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jenniferhawkin/Documents/GitHub/Chemical-Industry-Circularity/output/"/>
    </mc:Choice>
  </mc:AlternateContent>
  <xr:revisionPtr revIDLastSave="0" documentId="13_ncr:1_{CA80B5E6-BFC6-2C4C-ACBE-72A456642648}" xr6:coauthVersionLast="47" xr6:coauthVersionMax="47" xr10:uidLastSave="{00000000-0000-0000-0000-000000000000}"/>
  <bookViews>
    <workbookView xWindow="39620" yWindow="2520" windowWidth="30240" windowHeight="18980" tabRatio="709" firstSheet="4" activeTab="4" xr2:uid="{00000000-000D-0000-FFFF-FFFF00000000}"/>
  </bookViews>
  <sheets>
    <sheet name="COVER SHEET" sheetId="64" r:id="rId1"/>
    <sheet name="Sankey" sheetId="63" r:id="rId2"/>
    <sheet name="Final Exhibits" sheetId="60" r:id="rId3"/>
    <sheet name="Job + CO2 Analysis" sheetId="59" r:id="rId4"/>
    <sheet name="Yearly Summary" sheetId="58" r:id="rId5"/>
    <sheet name="Ammonia" sheetId="65" r:id="rId6"/>
    <sheet name="Side calc." sheetId="61" r:id="rId7"/>
    <sheet name="Yearly BTX" sheetId="45" r:id="rId8"/>
    <sheet name="Yearly Butadiene" sheetId="51" r:id="rId9"/>
    <sheet name="Yearly Methanol" sheetId="36" r:id="rId10"/>
    <sheet name="Yearly HC Ethylene" sheetId="12" r:id="rId11"/>
    <sheet name="Yearly LC Ethylene" sheetId="14" r:id="rId12"/>
    <sheet name="Yearly HC Propylene" sheetId="15" r:id="rId13"/>
    <sheet name="Yearly LC Propylene" sheetId="16" r:id="rId14"/>
    <sheet name="Scope 3 summary" sheetId="57" r:id="rId15"/>
    <sheet name="Scope 3 Yearly" sheetId="55" r:id="rId16"/>
    <sheet name="Per Capita Plastic" sheetId="52" r:id="rId17"/>
    <sheet name="Yearly Demand - Eth&amp;Prop" sheetId="6" r:id="rId18"/>
    <sheet name="Yearly Demand - Methanol" sheetId="39" r:id="rId19"/>
    <sheet name="Propylene" sheetId="2" state="hidden" r:id="rId20"/>
    <sheet name="Ethylene" sheetId="1" state="hidden" r:id="rId21"/>
    <sheet name="Yearly Demand - BTX" sheetId="43" r:id="rId22"/>
    <sheet name="Yearly Demand - C4" sheetId="50" r:id="rId23"/>
    <sheet name="Demand Breakdown - Ethylene" sheetId="7" r:id="rId24"/>
    <sheet name="Demand Breakdown - Propylene" sheetId="25" r:id="rId25"/>
    <sheet name="Demand Breakdown - Methanol" sheetId="40" r:id="rId26"/>
    <sheet name="Demand Breakdown - C4" sheetId="49" r:id="rId27"/>
    <sheet name="Demand Breakdown - BTX" sheetId="44" r:id="rId28"/>
    <sheet name="Demand - Solar" sheetId="13" r:id="rId29"/>
    <sheet name="Demand - Wind" sheetId="11" r:id="rId30"/>
    <sheet name="Demand - Industry shares" sheetId="24" r:id="rId31"/>
    <sheet name="R&amp;S - Packaging and hh goods" sheetId="8" r:id="rId32"/>
    <sheet name="R&amp;S - Transportation" sheetId="3" r:id="rId33"/>
    <sheet name="R&amp;S - Buildings" sheetId="4" r:id="rId34"/>
    <sheet name="R&amp;S - Apparel" sheetId="9" r:id="rId35"/>
    <sheet name="R&amp;S - Others" sheetId="26" r:id="rId36"/>
    <sheet name="Ethylene Recycling LC" sheetId="19" r:id="rId37"/>
    <sheet name="Ethylene Recycling HC" sheetId="20" r:id="rId38"/>
    <sheet name="Propylene Recycling LC" sheetId="29" r:id="rId39"/>
    <sheet name="Propylene Recycling HC" sheetId="28" r:id="rId40"/>
    <sheet name="Methanol Recycling LC" sheetId="42" r:id="rId41"/>
    <sheet name="Methanol Recycling HC" sheetId="38" r:id="rId42"/>
    <sheet name="BTX Recycling LC" sheetId="48" r:id="rId43"/>
    <sheet name="BTX Recycling HC" sheetId="46" r:id="rId44"/>
    <sheet name="Butadiene Recycling LC" sheetId="54" r:id="rId45"/>
    <sheet name="Butadiene Recycling HC" sheetId="53" r:id="rId46"/>
    <sheet name="Overall recycling rates" sheetId="33" r:id="rId47"/>
    <sheet name="BTX recycling rates" sheetId="47" r:id="rId48"/>
    <sheet name="Methanol recycling rates" sheetId="41" r:id="rId49"/>
    <sheet name="Ethylene recycling rates" sheetId="34" r:id="rId50"/>
    <sheet name="Waste gen. - Industry shares" sheetId="27" r:id="rId51"/>
    <sheet name="Sankey Ethylene" sheetId="30" r:id="rId52"/>
    <sheet name="Sankey Methanol_detailed" sheetId="37" r:id="rId53"/>
    <sheet name="Sankey recycling" sheetId="31" r:id="rId54"/>
  </sheets>
  <externalReferences>
    <externalReference r:id="rId55"/>
  </externalReferences>
  <calcPr calcId="191028"/>
  <pivotCaches>
    <pivotCache cacheId="2" r:id="rId56"/>
    <pivotCache cacheId="3" r:id="rId5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U21" i="58" l="1"/>
  <c r="BT21" i="58"/>
  <c r="BS21" i="58"/>
  <c r="BR21" i="58"/>
  <c r="BQ21" i="58"/>
  <c r="BP21" i="58"/>
  <c r="CT20" i="58"/>
  <c r="CS20" i="58"/>
  <c r="CR20" i="58"/>
  <c r="CQ20" i="58"/>
  <c r="CP20" i="58"/>
  <c r="CO20" i="58"/>
  <c r="CN20" i="58"/>
  <c r="CM20" i="58"/>
  <c r="CL20" i="58"/>
  <c r="CK20" i="58"/>
  <c r="CJ20" i="58"/>
  <c r="CI20" i="58"/>
  <c r="CH20" i="58"/>
  <c r="CG20" i="58"/>
  <c r="CF20" i="58"/>
  <c r="CE20" i="58"/>
  <c r="CD20" i="58"/>
  <c r="CC20" i="58"/>
  <c r="CB20" i="58"/>
  <c r="CA20" i="58"/>
  <c r="BZ20" i="58"/>
  <c r="BY20" i="58"/>
  <c r="BX20" i="58"/>
  <c r="BW20" i="58"/>
  <c r="BV20" i="58"/>
  <c r="BU20" i="58"/>
  <c r="BT20" i="58"/>
  <c r="BS20" i="58"/>
  <c r="BR20" i="58"/>
  <c r="BQ20" i="58"/>
  <c r="BP20" i="58"/>
  <c r="BU15" i="58"/>
  <c r="BT15" i="58"/>
  <c r="BS15" i="58"/>
  <c r="BR15" i="58"/>
  <c r="BQ15" i="58"/>
  <c r="BP15" i="58"/>
  <c r="CT14" i="58"/>
  <c r="CS14" i="58"/>
  <c r="CR14" i="58"/>
  <c r="CQ14" i="58"/>
  <c r="CP14" i="58"/>
  <c r="CO14" i="58"/>
  <c r="CN14" i="58"/>
  <c r="CM14" i="58"/>
  <c r="CL14" i="58"/>
  <c r="CK14" i="58"/>
  <c r="CJ14" i="58"/>
  <c r="CI14" i="58"/>
  <c r="CH14" i="58"/>
  <c r="CG14" i="58"/>
  <c r="CF14" i="58"/>
  <c r="CE14" i="58"/>
  <c r="CD14" i="58"/>
  <c r="CC14" i="58"/>
  <c r="CB14" i="58"/>
  <c r="CA14" i="58"/>
  <c r="BZ14" i="58"/>
  <c r="BY14" i="58"/>
  <c r="BX14" i="58"/>
  <c r="BW14" i="58"/>
  <c r="BV14" i="58"/>
  <c r="BU14" i="58"/>
  <c r="BT14" i="58"/>
  <c r="BS14" i="58"/>
  <c r="BR14" i="58"/>
  <c r="BQ14" i="58"/>
  <c r="BP14" i="58"/>
  <c r="AK14" i="58"/>
  <c r="AL14" i="58"/>
  <c r="AM14" i="58"/>
  <c r="AN14" i="58"/>
  <c r="AO14" i="58"/>
  <c r="AP14" i="58"/>
  <c r="AQ14" i="58"/>
  <c r="AR14" i="58"/>
  <c r="AS14" i="58"/>
  <c r="AT14" i="58"/>
  <c r="AU14" i="58"/>
  <c r="AV14" i="58"/>
  <c r="AW14" i="58"/>
  <c r="AX14" i="58"/>
  <c r="AY14" i="58"/>
  <c r="AZ14" i="58"/>
  <c r="BA14" i="58"/>
  <c r="BB14" i="58"/>
  <c r="BC14" i="58"/>
  <c r="BD14" i="58"/>
  <c r="BE14" i="58"/>
  <c r="BF14" i="58"/>
  <c r="BG14" i="58"/>
  <c r="BH14" i="58"/>
  <c r="BI14" i="58"/>
  <c r="BJ14" i="58"/>
  <c r="BK14" i="58"/>
  <c r="BL14" i="58"/>
  <c r="BM14" i="58"/>
  <c r="BN14" i="58"/>
  <c r="AK15" i="58"/>
  <c r="AL15" i="58"/>
  <c r="AM15" i="58"/>
  <c r="AN15" i="58"/>
  <c r="AO15" i="58"/>
  <c r="AK20" i="58"/>
  <c r="AL20" i="58"/>
  <c r="AM20" i="58"/>
  <c r="AN20" i="58"/>
  <c r="AO20" i="58"/>
  <c r="AP20" i="58"/>
  <c r="AQ20" i="58"/>
  <c r="AR20" i="58"/>
  <c r="AS20" i="58"/>
  <c r="AT20" i="58"/>
  <c r="AU20" i="58"/>
  <c r="AV20" i="58"/>
  <c r="AW20" i="58"/>
  <c r="AX20" i="58"/>
  <c r="AY20" i="58"/>
  <c r="AZ20" i="58"/>
  <c r="BA20" i="58"/>
  <c r="BB20" i="58"/>
  <c r="BC20" i="58"/>
  <c r="BD20" i="58"/>
  <c r="BE20" i="58"/>
  <c r="BF20" i="58"/>
  <c r="BG20" i="58"/>
  <c r="BH20" i="58"/>
  <c r="BI20" i="58"/>
  <c r="BJ20" i="58"/>
  <c r="BK20" i="58"/>
  <c r="BL20" i="58"/>
  <c r="BM20" i="58"/>
  <c r="BN20" i="58"/>
  <c r="AK21" i="58"/>
  <c r="AL21" i="58"/>
  <c r="AM21" i="58"/>
  <c r="AN21" i="58"/>
  <c r="AO21" i="58"/>
  <c r="AJ21" i="58"/>
  <c r="AJ20" i="58"/>
  <c r="AJ15" i="58"/>
  <c r="AJ14" i="58"/>
  <c r="E14" i="58"/>
  <c r="F14" i="58"/>
  <c r="G14" i="58"/>
  <c r="H14" i="58"/>
  <c r="I14" i="58"/>
  <c r="J14" i="58"/>
  <c r="K14" i="58"/>
  <c r="L14" i="58"/>
  <c r="M14" i="58"/>
  <c r="N14" i="58"/>
  <c r="O14" i="58"/>
  <c r="P14" i="58"/>
  <c r="Q14" i="58"/>
  <c r="R14" i="58"/>
  <c r="S14" i="58"/>
  <c r="T14" i="58"/>
  <c r="U14" i="58"/>
  <c r="V14" i="58"/>
  <c r="W14" i="58"/>
  <c r="X14" i="58"/>
  <c r="Y14" i="58"/>
  <c r="Z14" i="58"/>
  <c r="AA14" i="58"/>
  <c r="AB14" i="58"/>
  <c r="AC14" i="58"/>
  <c r="AD14" i="58"/>
  <c r="AE14" i="58"/>
  <c r="AF14" i="58"/>
  <c r="AG14" i="58"/>
  <c r="AH14" i="58"/>
  <c r="E15" i="58"/>
  <c r="F15" i="58"/>
  <c r="G15" i="58"/>
  <c r="H15" i="58"/>
  <c r="I15" i="58"/>
  <c r="E20" i="58"/>
  <c r="F20" i="58"/>
  <c r="G20" i="58"/>
  <c r="H20" i="58"/>
  <c r="I20" i="58"/>
  <c r="J20" i="58"/>
  <c r="K20" i="58"/>
  <c r="L20" i="58"/>
  <c r="M20" i="58"/>
  <c r="N20" i="58"/>
  <c r="O20" i="58"/>
  <c r="P20" i="58"/>
  <c r="Q20" i="58"/>
  <c r="R20" i="58"/>
  <c r="S20" i="58"/>
  <c r="T20" i="58"/>
  <c r="U20" i="58"/>
  <c r="V20" i="58"/>
  <c r="W20" i="58"/>
  <c r="X20" i="58"/>
  <c r="Y20" i="58"/>
  <c r="Z20" i="58"/>
  <c r="AA20" i="58"/>
  <c r="AB20" i="58"/>
  <c r="AC20" i="58"/>
  <c r="AD20" i="58"/>
  <c r="AE20" i="58"/>
  <c r="AF20" i="58"/>
  <c r="AG20" i="58"/>
  <c r="AH20" i="58"/>
  <c r="E21" i="58"/>
  <c r="F21" i="58"/>
  <c r="G21" i="58"/>
  <c r="H21" i="58"/>
  <c r="I21" i="58"/>
  <c r="D15" i="58"/>
  <c r="D20" i="58"/>
  <c r="D21" i="58"/>
  <c r="D14" i="58"/>
  <c r="E2" i="65"/>
  <c r="D102" i="65"/>
  <c r="B121" i="65"/>
  <c r="B122" i="65"/>
  <c r="B123" i="65"/>
  <c r="B124" i="65"/>
  <c r="O135" i="65"/>
  <c r="Q135" i="65"/>
  <c r="R135" i="65"/>
  <c r="S135" i="65"/>
  <c r="T135" i="65"/>
  <c r="U135" i="65"/>
  <c r="V135" i="65"/>
  <c r="W135" i="65"/>
  <c r="B61" i="65"/>
  <c r="B53" i="65"/>
  <c r="B89" i="65"/>
  <c r="D71" i="65"/>
  <c r="AH70" i="65"/>
  <c r="AC70" i="65"/>
  <c r="X70" i="65"/>
  <c r="S70" i="65"/>
  <c r="N70" i="65"/>
  <c r="I70" i="65"/>
  <c r="E67" i="65"/>
  <c r="E23" i="65"/>
  <c r="AH24" i="65"/>
  <c r="N24" i="65"/>
  <c r="D24" i="65"/>
  <c r="H76" i="60"/>
  <c r="K41" i="4"/>
  <c r="J39" i="4"/>
  <c r="AH7" i="59"/>
  <c r="E10" i="9"/>
  <c r="L16" i="9"/>
  <c r="AH46" i="45"/>
  <c r="AH28" i="45"/>
  <c r="EF147" i="59"/>
  <c r="B149" i="59"/>
  <c r="F2" i="65" l="1"/>
  <c r="G2" i="65" s="1"/>
  <c r="H2" i="65" s="1"/>
  <c r="I2" i="65" s="1"/>
  <c r="J2" i="65" s="1"/>
  <c r="K2" i="65" s="1"/>
  <c r="L2" i="65" s="1"/>
  <c r="M2" i="65" s="1"/>
  <c r="N2" i="65" s="1"/>
  <c r="O2" i="65" s="1"/>
  <c r="P2" i="65" s="1"/>
  <c r="Q2" i="65" s="1"/>
  <c r="R2" i="65" s="1"/>
  <c r="S2" i="65" s="1"/>
  <c r="T2" i="65" s="1"/>
  <c r="U2" i="65" s="1"/>
  <c r="V2" i="65" s="1"/>
  <c r="W2" i="65" s="1"/>
  <c r="X2" i="65" s="1"/>
  <c r="Y2" i="65" s="1"/>
  <c r="Z2" i="65" s="1"/>
  <c r="AA2" i="65" s="1"/>
  <c r="AB2" i="65" s="1"/>
  <c r="AC2" i="65" s="1"/>
  <c r="AD2" i="65" s="1"/>
  <c r="AE2" i="65" s="1"/>
  <c r="AF2" i="65" s="1"/>
  <c r="AG2" i="65" s="1"/>
  <c r="AH2" i="65" s="1"/>
  <c r="E102" i="65"/>
  <c r="F102" i="65" s="1"/>
  <c r="G102" i="65" s="1"/>
  <c r="H102" i="65" s="1"/>
  <c r="E97" i="65"/>
  <c r="F97" i="65" s="1"/>
  <c r="G97" i="65" s="1"/>
  <c r="CY19" i="58"/>
  <c r="N27" i="65"/>
  <c r="AH27" i="65"/>
  <c r="D27" i="65"/>
  <c r="D73" i="65"/>
  <c r="D31" i="65" s="1"/>
  <c r="D74" i="65"/>
  <c r="AH71" i="65"/>
  <c r="AC71" i="65"/>
  <c r="X71" i="65"/>
  <c r="S71" i="65"/>
  <c r="N71" i="65"/>
  <c r="I71" i="65"/>
  <c r="F67" i="65"/>
  <c r="F23" i="65"/>
  <c r="G23" i="65" s="1"/>
  <c r="H23" i="65" s="1"/>
  <c r="I23" i="65" s="1"/>
  <c r="J23" i="65" s="1"/>
  <c r="K23" i="65" s="1"/>
  <c r="AA10" i="63"/>
  <c r="I102" i="65" l="1"/>
  <c r="D29" i="65"/>
  <c r="D98" i="65" s="1"/>
  <c r="H97" i="65"/>
  <c r="D35" i="65"/>
  <c r="D3" i="65" s="1"/>
  <c r="AH28" i="65"/>
  <c r="D32" i="65"/>
  <c r="AH73" i="65"/>
  <c r="AH31" i="65" s="1"/>
  <c r="AH74" i="65"/>
  <c r="AC73" i="65"/>
  <c r="AC31" i="65" s="1"/>
  <c r="AC74" i="65"/>
  <c r="X73" i="65"/>
  <c r="X31" i="65" s="1"/>
  <c r="X74" i="65"/>
  <c r="S73" i="65"/>
  <c r="S31" i="65" s="1"/>
  <c r="S74" i="65"/>
  <c r="N73" i="65"/>
  <c r="N31" i="65" s="1"/>
  <c r="N74" i="65"/>
  <c r="G67" i="65"/>
  <c r="L23" i="65"/>
  <c r="E10" i="60"/>
  <c r="E22" i="60" s="1"/>
  <c r="D103" i="65" l="1"/>
  <c r="AH29" i="65"/>
  <c r="AH98" i="65" s="1"/>
  <c r="I97" i="65"/>
  <c r="B128" i="65"/>
  <c r="D96" i="65" s="1"/>
  <c r="D9" i="65" s="1"/>
  <c r="D33" i="65"/>
  <c r="D36" i="65" s="1"/>
  <c r="D4" i="65" s="1"/>
  <c r="AH35" i="65"/>
  <c r="AH3" i="65" s="1"/>
  <c r="AC32" i="65"/>
  <c r="X32" i="65"/>
  <c r="S32" i="65"/>
  <c r="S33" i="65"/>
  <c r="N35" i="65"/>
  <c r="N3" i="65" s="1"/>
  <c r="AH32" i="65"/>
  <c r="N32" i="65"/>
  <c r="M23" i="65"/>
  <c r="H67" i="65"/>
  <c r="E49" i="60"/>
  <c r="B129" i="65" l="1"/>
  <c r="D131" i="65"/>
  <c r="D133" i="65" s="1"/>
  <c r="D135" i="65" s="1"/>
  <c r="D136" i="65" s="1"/>
  <c r="D110" i="65"/>
  <c r="D99" i="65"/>
  <c r="D10" i="65" s="1"/>
  <c r="X33" i="65"/>
  <c r="AH33" i="65"/>
  <c r="AH36" i="65" s="1"/>
  <c r="AH4" i="65" s="1"/>
  <c r="AH15" i="58" s="1"/>
  <c r="BN15" i="58" s="1"/>
  <c r="CT15" i="58" s="1"/>
  <c r="N33" i="65"/>
  <c r="D106" i="65"/>
  <c r="D107" i="65" s="1"/>
  <c r="J97" i="65"/>
  <c r="D104" i="65"/>
  <c r="D13" i="65" s="1"/>
  <c r="D101" i="65"/>
  <c r="D12" i="65" s="1"/>
  <c r="AC33" i="65"/>
  <c r="N23" i="65"/>
  <c r="I67" i="65"/>
  <c r="C4" i="58"/>
  <c r="D24" i="58" l="1"/>
  <c r="AJ24" i="58" s="1"/>
  <c r="BP24" i="58" s="1"/>
  <c r="D23" i="58"/>
  <c r="AJ23" i="58" s="1"/>
  <c r="BP23" i="58" s="1"/>
  <c r="D112" i="65"/>
  <c r="D111" i="65"/>
  <c r="D108" i="65"/>
  <c r="D109" i="65" s="1"/>
  <c r="K97" i="65"/>
  <c r="J102" i="65"/>
  <c r="H69" i="65"/>
  <c r="H68" i="65"/>
  <c r="E24" i="65"/>
  <c r="I24" i="65"/>
  <c r="H24" i="65"/>
  <c r="M24" i="65"/>
  <c r="G24" i="65"/>
  <c r="L24" i="65"/>
  <c r="F24" i="65"/>
  <c r="J24" i="65"/>
  <c r="K24" i="65"/>
  <c r="O23" i="65"/>
  <c r="G69" i="65"/>
  <c r="G68" i="65"/>
  <c r="F69" i="65"/>
  <c r="F68" i="65"/>
  <c r="E68" i="65"/>
  <c r="J67" i="65"/>
  <c r="E69" i="65"/>
  <c r="DZ118" i="59"/>
  <c r="DY118" i="59"/>
  <c r="DX118" i="59"/>
  <c r="DW118" i="59"/>
  <c r="DV118" i="59"/>
  <c r="DU118" i="59"/>
  <c r="DT118" i="59"/>
  <c r="DS118" i="59"/>
  <c r="DR118" i="59"/>
  <c r="DQ118" i="59"/>
  <c r="DP118" i="59"/>
  <c r="DO118" i="59"/>
  <c r="DN118" i="59"/>
  <c r="DM118" i="59"/>
  <c r="DL118" i="59"/>
  <c r="DK118" i="59"/>
  <c r="DJ118" i="59"/>
  <c r="DI118" i="59"/>
  <c r="DH118" i="59"/>
  <c r="DG118" i="59"/>
  <c r="DF118" i="59"/>
  <c r="DE118" i="59"/>
  <c r="DD118" i="59"/>
  <c r="DC118" i="59"/>
  <c r="DB118" i="59"/>
  <c r="DA118" i="59"/>
  <c r="CZ118" i="59"/>
  <c r="CY118" i="59"/>
  <c r="CX118" i="59"/>
  <c r="CW118" i="59"/>
  <c r="CV118" i="59"/>
  <c r="DZ117" i="59"/>
  <c r="DY117" i="59"/>
  <c r="DX117" i="59"/>
  <c r="DW117" i="59"/>
  <c r="DV117" i="59"/>
  <c r="DU117" i="59"/>
  <c r="DT117" i="59"/>
  <c r="DS117" i="59"/>
  <c r="DR117" i="59"/>
  <c r="DQ117" i="59"/>
  <c r="DP117" i="59"/>
  <c r="DO117" i="59"/>
  <c r="DN117" i="59"/>
  <c r="DM117" i="59"/>
  <c r="DL117" i="59"/>
  <c r="DK117" i="59"/>
  <c r="DJ117" i="59"/>
  <c r="DI117" i="59"/>
  <c r="DH117" i="59"/>
  <c r="DG117" i="59"/>
  <c r="DF117" i="59"/>
  <c r="DE117" i="59"/>
  <c r="DD117" i="59"/>
  <c r="DC117" i="59"/>
  <c r="DB117" i="59"/>
  <c r="DA117" i="59"/>
  <c r="CZ117" i="59"/>
  <c r="CY117" i="59"/>
  <c r="CX117" i="59"/>
  <c r="CW117" i="59"/>
  <c r="CV117" i="59"/>
  <c r="DZ116" i="59"/>
  <c r="DY116" i="59"/>
  <c r="DX116" i="59"/>
  <c r="DW116" i="59"/>
  <c r="DV116" i="59"/>
  <c r="DU116" i="59"/>
  <c r="DT116" i="59"/>
  <c r="DS116" i="59"/>
  <c r="DR116" i="59"/>
  <c r="DQ116" i="59"/>
  <c r="DP116" i="59"/>
  <c r="DO116" i="59"/>
  <c r="DN116" i="59"/>
  <c r="DM116" i="59"/>
  <c r="DL116" i="59"/>
  <c r="DK116" i="59"/>
  <c r="DJ116" i="59"/>
  <c r="DI116" i="59"/>
  <c r="DH116" i="59"/>
  <c r="DG116" i="59"/>
  <c r="DF116" i="59"/>
  <c r="DE116" i="59"/>
  <c r="DD116" i="59"/>
  <c r="DC116" i="59"/>
  <c r="DB116" i="59"/>
  <c r="DA116" i="59"/>
  <c r="CZ116" i="59"/>
  <c r="CY116" i="59"/>
  <c r="CX116" i="59"/>
  <c r="CW116" i="59"/>
  <c r="CV116" i="59"/>
  <c r="DZ115" i="59"/>
  <c r="DY115" i="59"/>
  <c r="DX115" i="59"/>
  <c r="DW115" i="59"/>
  <c r="DV115" i="59"/>
  <c r="DU115" i="59"/>
  <c r="DT115" i="59"/>
  <c r="DS115" i="59"/>
  <c r="DR115" i="59"/>
  <c r="DQ115" i="59"/>
  <c r="DP115" i="59"/>
  <c r="DO115" i="59"/>
  <c r="DN115" i="59"/>
  <c r="DM115" i="59"/>
  <c r="DL115" i="59"/>
  <c r="DK115" i="59"/>
  <c r="DJ115" i="59"/>
  <c r="DI115" i="59"/>
  <c r="DH115" i="59"/>
  <c r="DG115" i="59"/>
  <c r="DF115" i="59"/>
  <c r="DE115" i="59"/>
  <c r="DD115" i="59"/>
  <c r="DC115" i="59"/>
  <c r="DB115" i="59"/>
  <c r="DA115" i="59"/>
  <c r="CZ115" i="59"/>
  <c r="CY115" i="59"/>
  <c r="CX115" i="59"/>
  <c r="CW115" i="59"/>
  <c r="CV115" i="59"/>
  <c r="DZ114" i="59"/>
  <c r="DY114" i="59"/>
  <c r="DX114" i="59"/>
  <c r="DW114" i="59"/>
  <c r="DV114" i="59"/>
  <c r="DU114" i="59"/>
  <c r="DT114" i="59"/>
  <c r="DS114" i="59"/>
  <c r="DR114" i="59"/>
  <c r="DQ114" i="59"/>
  <c r="DP114" i="59"/>
  <c r="DO114" i="59"/>
  <c r="DN114" i="59"/>
  <c r="DM114" i="59"/>
  <c r="DL114" i="59"/>
  <c r="DK114" i="59"/>
  <c r="DJ114" i="59"/>
  <c r="DI114" i="59"/>
  <c r="DH114" i="59"/>
  <c r="DG114" i="59"/>
  <c r="DF114" i="59"/>
  <c r="DE114" i="59"/>
  <c r="DD114" i="59"/>
  <c r="DC114" i="59"/>
  <c r="DB114" i="59"/>
  <c r="DA114" i="59"/>
  <c r="CZ114" i="59"/>
  <c r="CY114" i="59"/>
  <c r="CX114" i="59"/>
  <c r="CW114" i="59"/>
  <c r="CV114" i="59"/>
  <c r="DZ113" i="59"/>
  <c r="DY113" i="59"/>
  <c r="DX113" i="59"/>
  <c r="DW113" i="59"/>
  <c r="DV113" i="59"/>
  <c r="DU113" i="59"/>
  <c r="DT113" i="59"/>
  <c r="DS113" i="59"/>
  <c r="DR113" i="59"/>
  <c r="DQ113" i="59"/>
  <c r="DP113" i="59"/>
  <c r="DO113" i="59"/>
  <c r="DN113" i="59"/>
  <c r="DM113" i="59"/>
  <c r="DL113" i="59"/>
  <c r="DK113" i="59"/>
  <c r="DJ113" i="59"/>
  <c r="DI113" i="59"/>
  <c r="DH113" i="59"/>
  <c r="DG113" i="59"/>
  <c r="DF113" i="59"/>
  <c r="DE113" i="59"/>
  <c r="DD113" i="59"/>
  <c r="DC113" i="59"/>
  <c r="DB113" i="59"/>
  <c r="DA113" i="59"/>
  <c r="CZ113" i="59"/>
  <c r="CY113" i="59"/>
  <c r="CX113" i="59"/>
  <c r="CW113" i="59"/>
  <c r="CV113" i="59"/>
  <c r="DZ112" i="59"/>
  <c r="DY112" i="59"/>
  <c r="DX112" i="59"/>
  <c r="DW112" i="59"/>
  <c r="DV112" i="59"/>
  <c r="DU112" i="59"/>
  <c r="DT112" i="59"/>
  <c r="DS112" i="59"/>
  <c r="DR112" i="59"/>
  <c r="DQ112" i="59"/>
  <c r="DP112" i="59"/>
  <c r="DO112" i="59"/>
  <c r="DN112" i="59"/>
  <c r="DM112" i="59"/>
  <c r="DL112" i="59"/>
  <c r="DK112" i="59"/>
  <c r="DJ112" i="59"/>
  <c r="DI112" i="59"/>
  <c r="DH112" i="59"/>
  <c r="DG112" i="59"/>
  <c r="DF112" i="59"/>
  <c r="DE112" i="59"/>
  <c r="DD112" i="59"/>
  <c r="DC112" i="59"/>
  <c r="DB112" i="59"/>
  <c r="DA112" i="59"/>
  <c r="CZ112" i="59"/>
  <c r="CY112" i="59"/>
  <c r="CX112" i="59"/>
  <c r="CW112" i="59"/>
  <c r="CV112" i="59"/>
  <c r="DZ111" i="59"/>
  <c r="DY111" i="59"/>
  <c r="DX111" i="59"/>
  <c r="DW111" i="59"/>
  <c r="DV111" i="59"/>
  <c r="DU111" i="59"/>
  <c r="DT111" i="59"/>
  <c r="DS111" i="59"/>
  <c r="DR111" i="59"/>
  <c r="DQ111" i="59"/>
  <c r="DP111" i="59"/>
  <c r="DO111" i="59"/>
  <c r="DN111" i="59"/>
  <c r="DM111" i="59"/>
  <c r="DL111" i="59"/>
  <c r="DK111" i="59"/>
  <c r="DJ111" i="59"/>
  <c r="DI111" i="59"/>
  <c r="DH111" i="59"/>
  <c r="DG111" i="59"/>
  <c r="DF111" i="59"/>
  <c r="DE111" i="59"/>
  <c r="DD111" i="59"/>
  <c r="DC111" i="59"/>
  <c r="DB111" i="59"/>
  <c r="DA111" i="59"/>
  <c r="CZ111" i="59"/>
  <c r="CY111" i="59"/>
  <c r="CX111" i="59"/>
  <c r="CW111" i="59"/>
  <c r="CV111" i="59"/>
  <c r="DZ110" i="59"/>
  <c r="DY110" i="59"/>
  <c r="DX110" i="59"/>
  <c r="DW110" i="59"/>
  <c r="DV110" i="59"/>
  <c r="DU110" i="59"/>
  <c r="DT110" i="59"/>
  <c r="DS110" i="59"/>
  <c r="DR110" i="59"/>
  <c r="DQ110" i="59"/>
  <c r="DP110" i="59"/>
  <c r="DO110" i="59"/>
  <c r="DN110" i="59"/>
  <c r="DM110" i="59"/>
  <c r="DL110" i="59"/>
  <c r="DK110" i="59"/>
  <c r="DJ110" i="59"/>
  <c r="DI110" i="59"/>
  <c r="DH110" i="59"/>
  <c r="DG110" i="59"/>
  <c r="DF110" i="59"/>
  <c r="DE110" i="59"/>
  <c r="DD110" i="59"/>
  <c r="DC110" i="59"/>
  <c r="DB110" i="59"/>
  <c r="DA110" i="59"/>
  <c r="CZ110" i="59"/>
  <c r="CY110" i="59"/>
  <c r="CX110" i="59"/>
  <c r="CW110" i="59"/>
  <c r="CV110" i="59"/>
  <c r="DZ109" i="59"/>
  <c r="DY109" i="59"/>
  <c r="DX109" i="59"/>
  <c r="DW109" i="59"/>
  <c r="DV109" i="59"/>
  <c r="DU109" i="59"/>
  <c r="DT109" i="59"/>
  <c r="DS109" i="59"/>
  <c r="DR109" i="59"/>
  <c r="DQ109" i="59"/>
  <c r="DP109" i="59"/>
  <c r="DO109" i="59"/>
  <c r="DN109" i="59"/>
  <c r="DM109" i="59"/>
  <c r="DL109" i="59"/>
  <c r="DK109" i="59"/>
  <c r="DJ109" i="59"/>
  <c r="DI109" i="59"/>
  <c r="DH109" i="59"/>
  <c r="DG109" i="59"/>
  <c r="DF109" i="59"/>
  <c r="DE109" i="59"/>
  <c r="DD109" i="59"/>
  <c r="DC109" i="59"/>
  <c r="DB109" i="59"/>
  <c r="DA109" i="59"/>
  <c r="CZ109" i="59"/>
  <c r="CY109" i="59"/>
  <c r="CX109" i="59"/>
  <c r="CW109" i="59"/>
  <c r="CV109" i="59"/>
  <c r="DZ108" i="59"/>
  <c r="DY108" i="59"/>
  <c r="DX108" i="59"/>
  <c r="DW108" i="59"/>
  <c r="DV108" i="59"/>
  <c r="DU108" i="59"/>
  <c r="DT108" i="59"/>
  <c r="DS108" i="59"/>
  <c r="DR108" i="59"/>
  <c r="DQ108" i="59"/>
  <c r="DP108" i="59"/>
  <c r="DO108" i="59"/>
  <c r="DN108" i="59"/>
  <c r="DM108" i="59"/>
  <c r="DL108" i="59"/>
  <c r="DK108" i="59"/>
  <c r="DJ108" i="59"/>
  <c r="DI108" i="59"/>
  <c r="DH108" i="59"/>
  <c r="DG108" i="59"/>
  <c r="DF108" i="59"/>
  <c r="DE108" i="59"/>
  <c r="DD108" i="59"/>
  <c r="DC108" i="59"/>
  <c r="DB108" i="59"/>
  <c r="DA108" i="59"/>
  <c r="CZ108" i="59"/>
  <c r="CY108" i="59"/>
  <c r="CX108" i="59"/>
  <c r="CW108" i="59"/>
  <c r="CV108" i="59"/>
  <c r="DZ106" i="59"/>
  <c r="DY106" i="59"/>
  <c r="DX106" i="59"/>
  <c r="DW106" i="59"/>
  <c r="DV106" i="59"/>
  <c r="DU106" i="59"/>
  <c r="DT106" i="59"/>
  <c r="DS106" i="59"/>
  <c r="DR106" i="59"/>
  <c r="DQ106" i="59"/>
  <c r="DP106" i="59"/>
  <c r="DO106" i="59"/>
  <c r="DN106" i="59"/>
  <c r="DM106" i="59"/>
  <c r="DL106" i="59"/>
  <c r="DK106" i="59"/>
  <c r="DJ106" i="59"/>
  <c r="DI106" i="59"/>
  <c r="DH106" i="59"/>
  <c r="DG106" i="59"/>
  <c r="DF106" i="59"/>
  <c r="DE106" i="59"/>
  <c r="DD106" i="59"/>
  <c r="DC106" i="59"/>
  <c r="DB106" i="59"/>
  <c r="DA106" i="59"/>
  <c r="CZ106" i="59"/>
  <c r="CY106" i="59"/>
  <c r="CX106" i="59"/>
  <c r="CW106" i="59"/>
  <c r="CV106" i="59"/>
  <c r="DZ105" i="59"/>
  <c r="DY105" i="59"/>
  <c r="DX105" i="59"/>
  <c r="DW105" i="59"/>
  <c r="DV105" i="59"/>
  <c r="DU105" i="59"/>
  <c r="DT105" i="59"/>
  <c r="DS105" i="59"/>
  <c r="DR105" i="59"/>
  <c r="DQ105" i="59"/>
  <c r="DP105" i="59"/>
  <c r="DO105" i="59"/>
  <c r="DN105" i="59"/>
  <c r="DM105" i="59"/>
  <c r="DL105" i="59"/>
  <c r="DK105" i="59"/>
  <c r="DJ105" i="59"/>
  <c r="DI105" i="59"/>
  <c r="DH105" i="59"/>
  <c r="DG105" i="59"/>
  <c r="DF105" i="59"/>
  <c r="DE105" i="59"/>
  <c r="DD105" i="59"/>
  <c r="DC105" i="59"/>
  <c r="DB105" i="59"/>
  <c r="DA105" i="59"/>
  <c r="CZ105" i="59"/>
  <c r="CY105" i="59"/>
  <c r="CX105" i="59"/>
  <c r="CW105" i="59"/>
  <c r="CV105" i="59"/>
  <c r="DZ91" i="59"/>
  <c r="DY91" i="59"/>
  <c r="DX91" i="59"/>
  <c r="DW91" i="59"/>
  <c r="DV91" i="59"/>
  <c r="DU91" i="59"/>
  <c r="DT91" i="59"/>
  <c r="DS91" i="59"/>
  <c r="DR91" i="59"/>
  <c r="DQ91" i="59"/>
  <c r="DP91" i="59"/>
  <c r="DO91" i="59"/>
  <c r="DN91" i="59"/>
  <c r="DM91" i="59"/>
  <c r="DL91" i="59"/>
  <c r="DK91" i="59"/>
  <c r="DJ91" i="59"/>
  <c r="DI91" i="59"/>
  <c r="DH91" i="59"/>
  <c r="DG91" i="59"/>
  <c r="DF91" i="59"/>
  <c r="DE91" i="59"/>
  <c r="DD91" i="59"/>
  <c r="DC91" i="59"/>
  <c r="DB91" i="59"/>
  <c r="DA91" i="59"/>
  <c r="CZ91" i="59"/>
  <c r="CY91" i="59"/>
  <c r="CX91" i="59"/>
  <c r="CW91" i="59"/>
  <c r="CV91" i="59"/>
  <c r="DZ90" i="59"/>
  <c r="DY90" i="59"/>
  <c r="DX90" i="59"/>
  <c r="DW90" i="59"/>
  <c r="DV90" i="59"/>
  <c r="DU90" i="59"/>
  <c r="DT90" i="59"/>
  <c r="DS90" i="59"/>
  <c r="DR90" i="59"/>
  <c r="DQ90" i="59"/>
  <c r="DP90" i="59"/>
  <c r="DO90" i="59"/>
  <c r="DN90" i="59"/>
  <c r="DM90" i="59"/>
  <c r="DL90" i="59"/>
  <c r="DK90" i="59"/>
  <c r="DJ90" i="59"/>
  <c r="DI90" i="59"/>
  <c r="DH90" i="59"/>
  <c r="DG90" i="59"/>
  <c r="DF90" i="59"/>
  <c r="DE90" i="59"/>
  <c r="DD90" i="59"/>
  <c r="DC90" i="59"/>
  <c r="DB90" i="59"/>
  <c r="DA90" i="59"/>
  <c r="CZ90" i="59"/>
  <c r="CY90" i="59"/>
  <c r="CX90" i="59"/>
  <c r="CW90" i="59"/>
  <c r="CV90" i="59"/>
  <c r="DZ89" i="59"/>
  <c r="DY89" i="59"/>
  <c r="DX89" i="59"/>
  <c r="DW89" i="59"/>
  <c r="DV89" i="59"/>
  <c r="DU89" i="59"/>
  <c r="DT89" i="59"/>
  <c r="DS89" i="59"/>
  <c r="DR89" i="59"/>
  <c r="DQ89" i="59"/>
  <c r="DP89" i="59"/>
  <c r="DO89" i="59"/>
  <c r="DN89" i="59"/>
  <c r="DM89" i="59"/>
  <c r="DL89" i="59"/>
  <c r="DK89" i="59"/>
  <c r="DJ89" i="59"/>
  <c r="DI89" i="59"/>
  <c r="DH89" i="59"/>
  <c r="DG89" i="59"/>
  <c r="DF89" i="59"/>
  <c r="DE89" i="59"/>
  <c r="DD89" i="59"/>
  <c r="DC89" i="59"/>
  <c r="DB89" i="59"/>
  <c r="DA89" i="59"/>
  <c r="CZ89" i="59"/>
  <c r="CY89" i="59"/>
  <c r="CX89" i="59"/>
  <c r="CW89" i="59"/>
  <c r="CV89" i="59"/>
  <c r="DZ88" i="59"/>
  <c r="DY88" i="59"/>
  <c r="DX88" i="59"/>
  <c r="DW88" i="59"/>
  <c r="DV88" i="59"/>
  <c r="DU88" i="59"/>
  <c r="DT88" i="59"/>
  <c r="DS88" i="59"/>
  <c r="DR88" i="59"/>
  <c r="DQ88" i="59"/>
  <c r="DP88" i="59"/>
  <c r="DO88" i="59"/>
  <c r="DN88" i="59"/>
  <c r="DM88" i="59"/>
  <c r="DL88" i="59"/>
  <c r="DK88" i="59"/>
  <c r="DJ88" i="59"/>
  <c r="DI88" i="59"/>
  <c r="DH88" i="59"/>
  <c r="DG88" i="59"/>
  <c r="DF88" i="59"/>
  <c r="DE88" i="59"/>
  <c r="DD88" i="59"/>
  <c r="DC88" i="59"/>
  <c r="DB88" i="59"/>
  <c r="DA88" i="59"/>
  <c r="CZ88" i="59"/>
  <c r="CY88" i="59"/>
  <c r="CX88" i="59"/>
  <c r="CW88" i="59"/>
  <c r="CV88" i="59"/>
  <c r="DZ87" i="59"/>
  <c r="DY87" i="59"/>
  <c r="DX87" i="59"/>
  <c r="DW87" i="59"/>
  <c r="DV87" i="59"/>
  <c r="DU87" i="59"/>
  <c r="DT87" i="59"/>
  <c r="DS87" i="59"/>
  <c r="DR87" i="59"/>
  <c r="DQ87" i="59"/>
  <c r="DP87" i="59"/>
  <c r="DO87" i="59"/>
  <c r="DN87" i="59"/>
  <c r="DM87" i="59"/>
  <c r="DL87" i="59"/>
  <c r="DK87" i="59"/>
  <c r="DJ87" i="59"/>
  <c r="DI87" i="59"/>
  <c r="DH87" i="59"/>
  <c r="DG87" i="59"/>
  <c r="DF87" i="59"/>
  <c r="DE87" i="59"/>
  <c r="DD87" i="59"/>
  <c r="DC87" i="59"/>
  <c r="DB87" i="59"/>
  <c r="DA87" i="59"/>
  <c r="CZ87" i="59"/>
  <c r="CY87" i="59"/>
  <c r="CX87" i="59"/>
  <c r="CW87" i="59"/>
  <c r="CV87" i="59"/>
  <c r="DZ86" i="59"/>
  <c r="DY86" i="59"/>
  <c r="DX86" i="59"/>
  <c r="DW86" i="59"/>
  <c r="DV86" i="59"/>
  <c r="DU86" i="59"/>
  <c r="DT86" i="59"/>
  <c r="DS86" i="59"/>
  <c r="DR86" i="59"/>
  <c r="DQ86" i="59"/>
  <c r="DP86" i="59"/>
  <c r="DO86" i="59"/>
  <c r="DN86" i="59"/>
  <c r="DM86" i="59"/>
  <c r="DL86" i="59"/>
  <c r="DK86" i="59"/>
  <c r="DJ86" i="59"/>
  <c r="DI86" i="59"/>
  <c r="DH86" i="59"/>
  <c r="DG86" i="59"/>
  <c r="DF86" i="59"/>
  <c r="DE86" i="59"/>
  <c r="DD86" i="59"/>
  <c r="DC86" i="59"/>
  <c r="DB86" i="59"/>
  <c r="DA86" i="59"/>
  <c r="CZ86" i="59"/>
  <c r="CY86" i="59"/>
  <c r="CX86" i="59"/>
  <c r="CW86" i="59"/>
  <c r="CV86" i="59"/>
  <c r="DZ85" i="59"/>
  <c r="DY85" i="59"/>
  <c r="DX85" i="59"/>
  <c r="DW85" i="59"/>
  <c r="DV85" i="59"/>
  <c r="DU85" i="59"/>
  <c r="DT85" i="59"/>
  <c r="DS85" i="59"/>
  <c r="DR85" i="59"/>
  <c r="DQ85" i="59"/>
  <c r="DP85" i="59"/>
  <c r="DO85" i="59"/>
  <c r="DN85" i="59"/>
  <c r="DM85" i="59"/>
  <c r="DL85" i="59"/>
  <c r="DK85" i="59"/>
  <c r="DJ85" i="59"/>
  <c r="DI85" i="59"/>
  <c r="DH85" i="59"/>
  <c r="DG85" i="59"/>
  <c r="DF85" i="59"/>
  <c r="DE85" i="59"/>
  <c r="DD85" i="59"/>
  <c r="DC85" i="59"/>
  <c r="DB85" i="59"/>
  <c r="DA85" i="59"/>
  <c r="CZ85" i="59"/>
  <c r="CY85" i="59"/>
  <c r="CX85" i="59"/>
  <c r="CW85" i="59"/>
  <c r="CV85" i="59"/>
  <c r="DZ84" i="59"/>
  <c r="DY84" i="59"/>
  <c r="DX84" i="59"/>
  <c r="DW84" i="59"/>
  <c r="DV84" i="59"/>
  <c r="DU84" i="59"/>
  <c r="DT84" i="59"/>
  <c r="DS84" i="59"/>
  <c r="DR84" i="59"/>
  <c r="DQ84" i="59"/>
  <c r="DP84" i="59"/>
  <c r="DO84" i="59"/>
  <c r="DN84" i="59"/>
  <c r="DM84" i="59"/>
  <c r="DL84" i="59"/>
  <c r="DK84" i="59"/>
  <c r="DJ84" i="59"/>
  <c r="DI84" i="59"/>
  <c r="DH84" i="59"/>
  <c r="DG84" i="59"/>
  <c r="DF84" i="59"/>
  <c r="DE84" i="59"/>
  <c r="DD84" i="59"/>
  <c r="DC84" i="59"/>
  <c r="DB84" i="59"/>
  <c r="DA84" i="59"/>
  <c r="CZ84" i="59"/>
  <c r="CY84" i="59"/>
  <c r="CX84" i="59"/>
  <c r="CW84" i="59"/>
  <c r="CV84" i="59"/>
  <c r="DZ83" i="59"/>
  <c r="DY83" i="59"/>
  <c r="DX83" i="59"/>
  <c r="DW83" i="59"/>
  <c r="DV83" i="59"/>
  <c r="DU83" i="59"/>
  <c r="DT83" i="59"/>
  <c r="DS83" i="59"/>
  <c r="DR83" i="59"/>
  <c r="DQ83" i="59"/>
  <c r="DP83" i="59"/>
  <c r="DO83" i="59"/>
  <c r="DN83" i="59"/>
  <c r="DM83" i="59"/>
  <c r="DL83" i="59"/>
  <c r="DK83" i="59"/>
  <c r="DJ83" i="59"/>
  <c r="DI83" i="59"/>
  <c r="DH83" i="59"/>
  <c r="DG83" i="59"/>
  <c r="DF83" i="59"/>
  <c r="DE83" i="59"/>
  <c r="DD83" i="59"/>
  <c r="DC83" i="59"/>
  <c r="DB83" i="59"/>
  <c r="DA83" i="59"/>
  <c r="CZ83" i="59"/>
  <c r="CY83" i="59"/>
  <c r="CX83" i="59"/>
  <c r="CW83" i="59"/>
  <c r="CV83" i="59"/>
  <c r="DZ82" i="59"/>
  <c r="DY82" i="59"/>
  <c r="DX82" i="59"/>
  <c r="DW82" i="59"/>
  <c r="DV82" i="59"/>
  <c r="DU82" i="59"/>
  <c r="DT82" i="59"/>
  <c r="DS82" i="59"/>
  <c r="DR82" i="59"/>
  <c r="DQ82" i="59"/>
  <c r="DP82" i="59"/>
  <c r="DO82" i="59"/>
  <c r="DN82" i="59"/>
  <c r="DM82" i="59"/>
  <c r="DL82" i="59"/>
  <c r="DK82" i="59"/>
  <c r="DJ82" i="59"/>
  <c r="DI82" i="59"/>
  <c r="DH82" i="59"/>
  <c r="DG82" i="59"/>
  <c r="DF82" i="59"/>
  <c r="DE82" i="59"/>
  <c r="DD82" i="59"/>
  <c r="DC82" i="59"/>
  <c r="DB82" i="59"/>
  <c r="DA82" i="59"/>
  <c r="CZ82" i="59"/>
  <c r="CY82" i="59"/>
  <c r="CX82" i="59"/>
  <c r="CW82" i="59"/>
  <c r="CV82" i="59"/>
  <c r="DZ81" i="59"/>
  <c r="DY81" i="59"/>
  <c r="DX81" i="59"/>
  <c r="DW81" i="59"/>
  <c r="DV81" i="59"/>
  <c r="DU81" i="59"/>
  <c r="DT81" i="59"/>
  <c r="DS81" i="59"/>
  <c r="DR81" i="59"/>
  <c r="DQ81" i="59"/>
  <c r="DP81" i="59"/>
  <c r="DO81" i="59"/>
  <c r="DN81" i="59"/>
  <c r="DM81" i="59"/>
  <c r="DL81" i="59"/>
  <c r="DK81" i="59"/>
  <c r="DJ81" i="59"/>
  <c r="DI81" i="59"/>
  <c r="DH81" i="59"/>
  <c r="DG81" i="59"/>
  <c r="DF81" i="59"/>
  <c r="DE81" i="59"/>
  <c r="DD81" i="59"/>
  <c r="DC81" i="59"/>
  <c r="DB81" i="59"/>
  <c r="DA81" i="59"/>
  <c r="CZ81" i="59"/>
  <c r="CY81" i="59"/>
  <c r="CX81" i="59"/>
  <c r="CW81" i="59"/>
  <c r="CV81" i="59"/>
  <c r="DZ79" i="59"/>
  <c r="DY79" i="59"/>
  <c r="DX79" i="59"/>
  <c r="DW79" i="59"/>
  <c r="DV79" i="59"/>
  <c r="DU79" i="59"/>
  <c r="DT79" i="59"/>
  <c r="DS79" i="59"/>
  <c r="DR79" i="59"/>
  <c r="DQ79" i="59"/>
  <c r="DP79" i="59"/>
  <c r="DO79" i="59"/>
  <c r="DN79" i="59"/>
  <c r="DM79" i="59"/>
  <c r="DL79" i="59"/>
  <c r="DK79" i="59"/>
  <c r="DJ79" i="59"/>
  <c r="DI79" i="59"/>
  <c r="DH79" i="59"/>
  <c r="DG79" i="59"/>
  <c r="DF79" i="59"/>
  <c r="DE79" i="59"/>
  <c r="DD79" i="59"/>
  <c r="DC79" i="59"/>
  <c r="DB79" i="59"/>
  <c r="DA79" i="59"/>
  <c r="CZ79" i="59"/>
  <c r="CY79" i="59"/>
  <c r="CX79" i="59"/>
  <c r="CW79" i="59"/>
  <c r="CV79" i="59"/>
  <c r="DZ78" i="59"/>
  <c r="DY78" i="59"/>
  <c r="DX78" i="59"/>
  <c r="DW78" i="59"/>
  <c r="DV78" i="59"/>
  <c r="DU78" i="59"/>
  <c r="DT78" i="59"/>
  <c r="DS78" i="59"/>
  <c r="DR78" i="59"/>
  <c r="DQ78" i="59"/>
  <c r="DP78" i="59"/>
  <c r="DO78" i="59"/>
  <c r="DN78" i="59"/>
  <c r="DM78" i="59"/>
  <c r="DL78" i="59"/>
  <c r="DK78" i="59"/>
  <c r="DJ78" i="59"/>
  <c r="DI78" i="59"/>
  <c r="DH78" i="59"/>
  <c r="DG78" i="59"/>
  <c r="DF78" i="59"/>
  <c r="DE78" i="59"/>
  <c r="DD78" i="59"/>
  <c r="DC78" i="59"/>
  <c r="DB78" i="59"/>
  <c r="DA78" i="59"/>
  <c r="CZ78" i="59"/>
  <c r="CY78" i="59"/>
  <c r="CX78" i="59"/>
  <c r="CW78" i="59"/>
  <c r="CV78" i="59"/>
  <c r="CV73" i="59"/>
  <c r="CV70" i="59"/>
  <c r="CV69" i="59"/>
  <c r="CV68" i="59"/>
  <c r="CV67" i="59"/>
  <c r="CV66" i="59"/>
  <c r="CV65" i="59"/>
  <c r="CV64" i="59"/>
  <c r="CV62" i="59"/>
  <c r="CV61" i="59"/>
  <c r="DZ48" i="59"/>
  <c r="DY48" i="59"/>
  <c r="DX48" i="59"/>
  <c r="DW48" i="59"/>
  <c r="DV48" i="59"/>
  <c r="DU48" i="59"/>
  <c r="DT48" i="59"/>
  <c r="DS48" i="59"/>
  <c r="DR48" i="59"/>
  <c r="DQ48" i="59"/>
  <c r="DP48" i="59"/>
  <c r="DO48" i="59"/>
  <c r="DN48" i="59"/>
  <c r="DM48" i="59"/>
  <c r="DL48" i="59"/>
  <c r="DK48" i="59"/>
  <c r="DJ48" i="59"/>
  <c r="DI48" i="59"/>
  <c r="DH48" i="59"/>
  <c r="DG48" i="59"/>
  <c r="DF48" i="59"/>
  <c r="DE48" i="59"/>
  <c r="DD48" i="59"/>
  <c r="DC48" i="59"/>
  <c r="DB48" i="59"/>
  <c r="DA48" i="59"/>
  <c r="CZ48" i="59"/>
  <c r="CY48" i="59"/>
  <c r="CX48" i="59"/>
  <c r="CW48" i="59"/>
  <c r="CV48" i="59"/>
  <c r="DZ47" i="59"/>
  <c r="DY47" i="59"/>
  <c r="DX47" i="59"/>
  <c r="DW47" i="59"/>
  <c r="DV47" i="59"/>
  <c r="DU47" i="59"/>
  <c r="DT47" i="59"/>
  <c r="DS47" i="59"/>
  <c r="DR47" i="59"/>
  <c r="DQ47" i="59"/>
  <c r="DP47" i="59"/>
  <c r="DO47" i="59"/>
  <c r="DN47" i="59"/>
  <c r="DM47" i="59"/>
  <c r="DL47" i="59"/>
  <c r="DK47" i="59"/>
  <c r="DJ47" i="59"/>
  <c r="DI47" i="59"/>
  <c r="DH47" i="59"/>
  <c r="DG47" i="59"/>
  <c r="DF47" i="59"/>
  <c r="DE47" i="59"/>
  <c r="DD47" i="59"/>
  <c r="DC47" i="59"/>
  <c r="DB47" i="59"/>
  <c r="DA47" i="59"/>
  <c r="CZ47" i="59"/>
  <c r="CY47" i="59"/>
  <c r="CX47" i="59"/>
  <c r="CW47" i="59"/>
  <c r="CV47" i="59"/>
  <c r="DZ46" i="59"/>
  <c r="DY46" i="59"/>
  <c r="DX46" i="59"/>
  <c r="DW46" i="59"/>
  <c r="DV46" i="59"/>
  <c r="DU46" i="59"/>
  <c r="DT46" i="59"/>
  <c r="DS46" i="59"/>
  <c r="DR46" i="59"/>
  <c r="DQ46" i="59"/>
  <c r="DP46" i="59"/>
  <c r="DO46" i="59"/>
  <c r="DN46" i="59"/>
  <c r="DM46" i="59"/>
  <c r="DL46" i="59"/>
  <c r="DK46" i="59"/>
  <c r="DJ46" i="59"/>
  <c r="DI46" i="59"/>
  <c r="DH46" i="59"/>
  <c r="DG46" i="59"/>
  <c r="DF46" i="59"/>
  <c r="DE46" i="59"/>
  <c r="DD46" i="59"/>
  <c r="DC46" i="59"/>
  <c r="DB46" i="59"/>
  <c r="DA46" i="59"/>
  <c r="CZ46" i="59"/>
  <c r="CY46" i="59"/>
  <c r="CX46" i="59"/>
  <c r="CW46" i="59"/>
  <c r="CV46" i="59"/>
  <c r="DZ44" i="59"/>
  <c r="DY44" i="59"/>
  <c r="DX44" i="59"/>
  <c r="DW44" i="59"/>
  <c r="DV44" i="59"/>
  <c r="DU44" i="59"/>
  <c r="DT44" i="59"/>
  <c r="DS44" i="59"/>
  <c r="DR44" i="59"/>
  <c r="DQ44" i="59"/>
  <c r="DP44" i="59"/>
  <c r="DO44" i="59"/>
  <c r="DN44" i="59"/>
  <c r="DM44" i="59"/>
  <c r="DL44" i="59"/>
  <c r="DK44" i="59"/>
  <c r="DJ44" i="59"/>
  <c r="DI44" i="59"/>
  <c r="DH44" i="59"/>
  <c r="DG44" i="59"/>
  <c r="DF44" i="59"/>
  <c r="DE44" i="59"/>
  <c r="DD44" i="59"/>
  <c r="DC44" i="59"/>
  <c r="DB44" i="59"/>
  <c r="DA44" i="59"/>
  <c r="CZ44" i="59"/>
  <c r="CY44" i="59"/>
  <c r="CX44" i="59"/>
  <c r="CW44" i="59"/>
  <c r="CV44" i="59"/>
  <c r="DZ43" i="59"/>
  <c r="DY43" i="59"/>
  <c r="DX43" i="59"/>
  <c r="DW43" i="59"/>
  <c r="DV43" i="59"/>
  <c r="DU43" i="59"/>
  <c r="DT43" i="59"/>
  <c r="DS43" i="59"/>
  <c r="DR43" i="59"/>
  <c r="DQ43" i="59"/>
  <c r="DP43" i="59"/>
  <c r="DO43" i="59"/>
  <c r="DN43" i="59"/>
  <c r="DM43" i="59"/>
  <c r="DL43" i="59"/>
  <c r="DK43" i="59"/>
  <c r="DJ43" i="59"/>
  <c r="DI43" i="59"/>
  <c r="DH43" i="59"/>
  <c r="DG43" i="59"/>
  <c r="DF43" i="59"/>
  <c r="DE43" i="59"/>
  <c r="DD43" i="59"/>
  <c r="DC43" i="59"/>
  <c r="DB43" i="59"/>
  <c r="DA43" i="59"/>
  <c r="CZ43" i="59"/>
  <c r="CY43" i="59"/>
  <c r="CX43" i="59"/>
  <c r="CW43" i="59"/>
  <c r="CV43" i="59"/>
  <c r="DZ42" i="59"/>
  <c r="DY42" i="59"/>
  <c r="DX42" i="59"/>
  <c r="DW42" i="59"/>
  <c r="DV42" i="59"/>
  <c r="DU42" i="59"/>
  <c r="DT42" i="59"/>
  <c r="DS42" i="59"/>
  <c r="DR42" i="59"/>
  <c r="DQ42" i="59"/>
  <c r="DP42" i="59"/>
  <c r="DO42" i="59"/>
  <c r="DN42" i="59"/>
  <c r="DM42" i="59"/>
  <c r="DL42" i="59"/>
  <c r="DK42" i="59"/>
  <c r="DJ42" i="59"/>
  <c r="DI42" i="59"/>
  <c r="DH42" i="59"/>
  <c r="DG42" i="59"/>
  <c r="DF42" i="59"/>
  <c r="DE42" i="59"/>
  <c r="DD42" i="59"/>
  <c r="DC42" i="59"/>
  <c r="DB42" i="59"/>
  <c r="DA42" i="59"/>
  <c r="CZ42" i="59"/>
  <c r="CY42" i="59"/>
  <c r="CX42" i="59"/>
  <c r="CW42" i="59"/>
  <c r="CV42" i="59"/>
  <c r="DZ41" i="59"/>
  <c r="DY41" i="59"/>
  <c r="DX41" i="59"/>
  <c r="DW41" i="59"/>
  <c r="DV41" i="59"/>
  <c r="DU41" i="59"/>
  <c r="DT41" i="59"/>
  <c r="DS41" i="59"/>
  <c r="DR41" i="59"/>
  <c r="DQ41" i="59"/>
  <c r="DP41" i="59"/>
  <c r="DO41" i="59"/>
  <c r="DN41" i="59"/>
  <c r="DM41" i="59"/>
  <c r="DL41" i="59"/>
  <c r="DK41" i="59"/>
  <c r="DJ41" i="59"/>
  <c r="DI41" i="59"/>
  <c r="DH41" i="59"/>
  <c r="DG41" i="59"/>
  <c r="DF41" i="59"/>
  <c r="DE41" i="59"/>
  <c r="DD41" i="59"/>
  <c r="DC41" i="59"/>
  <c r="DB41" i="59"/>
  <c r="DA41" i="59"/>
  <c r="CZ41" i="59"/>
  <c r="CY41" i="59"/>
  <c r="CX41" i="59"/>
  <c r="CW41" i="59"/>
  <c r="CV41" i="59"/>
  <c r="DZ40" i="59"/>
  <c r="DY40" i="59"/>
  <c r="DX40" i="59"/>
  <c r="DW40" i="59"/>
  <c r="DV40" i="59"/>
  <c r="DU40" i="59"/>
  <c r="DT40" i="59"/>
  <c r="DS40" i="59"/>
  <c r="DR40" i="59"/>
  <c r="DQ40" i="59"/>
  <c r="DP40" i="59"/>
  <c r="DO40" i="59"/>
  <c r="DN40" i="59"/>
  <c r="DM40" i="59"/>
  <c r="DL40" i="59"/>
  <c r="DK40" i="59"/>
  <c r="DJ40" i="59"/>
  <c r="DI40" i="59"/>
  <c r="DH40" i="59"/>
  <c r="DG40" i="59"/>
  <c r="DF40" i="59"/>
  <c r="DE40" i="59"/>
  <c r="DD40" i="59"/>
  <c r="DC40" i="59"/>
  <c r="DB40" i="59"/>
  <c r="DA40" i="59"/>
  <c r="CZ40" i="59"/>
  <c r="CY40" i="59"/>
  <c r="CX40" i="59"/>
  <c r="CW40" i="59"/>
  <c r="CV40" i="59"/>
  <c r="DZ39" i="59"/>
  <c r="DY39" i="59"/>
  <c r="DX39" i="59"/>
  <c r="DW39" i="59"/>
  <c r="DV39" i="59"/>
  <c r="DU39" i="59"/>
  <c r="DT39" i="59"/>
  <c r="DS39" i="59"/>
  <c r="DR39" i="59"/>
  <c r="DQ39" i="59"/>
  <c r="DP39" i="59"/>
  <c r="DO39" i="59"/>
  <c r="DN39" i="59"/>
  <c r="DM39" i="59"/>
  <c r="DL39" i="59"/>
  <c r="DK39" i="59"/>
  <c r="DJ39" i="59"/>
  <c r="DI39" i="59"/>
  <c r="DH39" i="59"/>
  <c r="DG39" i="59"/>
  <c r="DF39" i="59"/>
  <c r="DE39" i="59"/>
  <c r="DD39" i="59"/>
  <c r="DC39" i="59"/>
  <c r="DB39" i="59"/>
  <c r="DA39" i="59"/>
  <c r="CZ39" i="59"/>
  <c r="CY39" i="59"/>
  <c r="CX39" i="59"/>
  <c r="CW39" i="59"/>
  <c r="CV39" i="59"/>
  <c r="DZ38" i="59"/>
  <c r="DY38" i="59"/>
  <c r="DX38" i="59"/>
  <c r="DW38" i="59"/>
  <c r="DV38" i="59"/>
  <c r="DU38" i="59"/>
  <c r="DT38" i="59"/>
  <c r="DS38" i="59"/>
  <c r="DR38" i="59"/>
  <c r="DQ38" i="59"/>
  <c r="DP38" i="59"/>
  <c r="DO38" i="59"/>
  <c r="DN38" i="59"/>
  <c r="DM38" i="59"/>
  <c r="DL38" i="59"/>
  <c r="DK38" i="59"/>
  <c r="DJ38" i="59"/>
  <c r="DI38" i="59"/>
  <c r="DH38" i="59"/>
  <c r="DG38" i="59"/>
  <c r="DF38" i="59"/>
  <c r="DE38" i="59"/>
  <c r="DD38" i="59"/>
  <c r="DC38" i="59"/>
  <c r="DB38" i="59"/>
  <c r="DA38" i="59"/>
  <c r="CZ38" i="59"/>
  <c r="CY38" i="59"/>
  <c r="CX38" i="59"/>
  <c r="CW38" i="59"/>
  <c r="CV38" i="59"/>
  <c r="DZ37" i="59"/>
  <c r="DY37" i="59"/>
  <c r="DX37" i="59"/>
  <c r="DW37" i="59"/>
  <c r="DV37" i="59"/>
  <c r="DU37" i="59"/>
  <c r="DT37" i="59"/>
  <c r="DS37" i="59"/>
  <c r="DR37" i="59"/>
  <c r="DQ37" i="59"/>
  <c r="DP37" i="59"/>
  <c r="DO37" i="59"/>
  <c r="DN37" i="59"/>
  <c r="DM37" i="59"/>
  <c r="DL37" i="59"/>
  <c r="DK37" i="59"/>
  <c r="DJ37" i="59"/>
  <c r="DI37" i="59"/>
  <c r="DH37" i="59"/>
  <c r="DG37" i="59"/>
  <c r="DF37" i="59"/>
  <c r="DE37" i="59"/>
  <c r="DD37" i="59"/>
  <c r="DC37" i="59"/>
  <c r="DB37" i="59"/>
  <c r="DA37" i="59"/>
  <c r="CZ37" i="59"/>
  <c r="CY37" i="59"/>
  <c r="CX37" i="59"/>
  <c r="CW37" i="59"/>
  <c r="CV37" i="59"/>
  <c r="DZ36" i="59"/>
  <c r="DY36" i="59"/>
  <c r="DX36" i="59"/>
  <c r="DW36" i="59"/>
  <c r="DV36" i="59"/>
  <c r="DU36" i="59"/>
  <c r="DT36" i="59"/>
  <c r="DS36" i="59"/>
  <c r="DR36" i="59"/>
  <c r="DQ36" i="59"/>
  <c r="DP36" i="59"/>
  <c r="DO36" i="59"/>
  <c r="DN36" i="59"/>
  <c r="DM36" i="59"/>
  <c r="DL36" i="59"/>
  <c r="DK36" i="59"/>
  <c r="DJ36" i="59"/>
  <c r="DI36" i="59"/>
  <c r="DH36" i="59"/>
  <c r="DG36" i="59"/>
  <c r="DF36" i="59"/>
  <c r="DE36" i="59"/>
  <c r="DD36" i="59"/>
  <c r="DC36" i="59"/>
  <c r="DB36" i="59"/>
  <c r="DA36" i="59"/>
  <c r="CZ36" i="59"/>
  <c r="CY36" i="59"/>
  <c r="CX36" i="59"/>
  <c r="CW36" i="59"/>
  <c r="CV36" i="59"/>
  <c r="DZ35" i="59"/>
  <c r="DY35" i="59"/>
  <c r="DX35" i="59"/>
  <c r="DW35" i="59"/>
  <c r="DV35" i="59"/>
  <c r="DU35" i="59"/>
  <c r="DT35" i="59"/>
  <c r="DS35" i="59"/>
  <c r="DR35" i="59"/>
  <c r="DQ35" i="59"/>
  <c r="DP35" i="59"/>
  <c r="DO35" i="59"/>
  <c r="DN35" i="59"/>
  <c r="DM35" i="59"/>
  <c r="DL35" i="59"/>
  <c r="DK35" i="59"/>
  <c r="DJ35" i="59"/>
  <c r="DI35" i="59"/>
  <c r="DH35" i="59"/>
  <c r="DG35" i="59"/>
  <c r="DF35" i="59"/>
  <c r="DE35" i="59"/>
  <c r="DD35" i="59"/>
  <c r="DC35" i="59"/>
  <c r="DB35" i="59"/>
  <c r="DA35" i="59"/>
  <c r="CZ35" i="59"/>
  <c r="CY35" i="59"/>
  <c r="CX35" i="59"/>
  <c r="CW35" i="59"/>
  <c r="CV35" i="59"/>
  <c r="CW2" i="59"/>
  <c r="CW65" i="59" s="1"/>
  <c r="D6" i="65" l="1"/>
  <c r="D7" i="65"/>
  <c r="E25" i="65"/>
  <c r="F25" i="65"/>
  <c r="J25" i="65"/>
  <c r="K25" i="65"/>
  <c r="I25" i="65"/>
  <c r="G25" i="65"/>
  <c r="H25" i="65"/>
  <c r="L25" i="65"/>
  <c r="M25" i="65"/>
  <c r="L97" i="65"/>
  <c r="K102" i="65"/>
  <c r="H70" i="65"/>
  <c r="H71" i="65" s="1"/>
  <c r="N25" i="65"/>
  <c r="E27" i="65"/>
  <c r="I27" i="65"/>
  <c r="I29" i="65" s="1"/>
  <c r="H27" i="65"/>
  <c r="H29" i="65" s="1"/>
  <c r="M27" i="65"/>
  <c r="G27" i="65"/>
  <c r="G29" i="65" s="1"/>
  <c r="L27" i="65"/>
  <c r="F27" i="65"/>
  <c r="F29" i="65" s="1"/>
  <c r="J27" i="65"/>
  <c r="K27" i="65"/>
  <c r="F70" i="65"/>
  <c r="F71" i="65" s="1"/>
  <c r="P23" i="65"/>
  <c r="G70" i="65"/>
  <c r="G71" i="65" s="1"/>
  <c r="K67" i="65"/>
  <c r="E70" i="65"/>
  <c r="E71" i="65" s="1"/>
  <c r="CW69" i="59"/>
  <c r="CW73" i="59"/>
  <c r="CW67" i="59"/>
  <c r="CW62" i="59"/>
  <c r="CW64" i="59"/>
  <c r="CW68" i="59"/>
  <c r="CW66" i="59"/>
  <c r="CW70" i="59"/>
  <c r="CW61" i="59"/>
  <c r="CX2" i="59"/>
  <c r="D17" i="58" l="1"/>
  <c r="AJ17" i="58" s="1"/>
  <c r="BP17" i="58" s="1"/>
  <c r="D18" i="58"/>
  <c r="AJ18" i="58" s="1"/>
  <c r="BP18" i="58" s="1"/>
  <c r="E101" i="65"/>
  <c r="E12" i="65" s="1"/>
  <c r="E29" i="65"/>
  <c r="E96" i="65"/>
  <c r="E9" i="65" s="1"/>
  <c r="E103" i="65"/>
  <c r="E104" i="65" s="1"/>
  <c r="E13" i="65" s="1"/>
  <c r="I98" i="65"/>
  <c r="I103" i="65"/>
  <c r="I104" i="65" s="1"/>
  <c r="I13" i="65" s="1"/>
  <c r="H98" i="65"/>
  <c r="H103" i="65"/>
  <c r="H104" i="65" s="1"/>
  <c r="H13" i="65" s="1"/>
  <c r="G98" i="65"/>
  <c r="G103" i="65"/>
  <c r="G104" i="65" s="1"/>
  <c r="G13" i="65" s="1"/>
  <c r="F98" i="65"/>
  <c r="F103" i="65"/>
  <c r="F104" i="65" s="1"/>
  <c r="F13" i="65" s="1"/>
  <c r="M97" i="65"/>
  <c r="N97" i="65" s="1"/>
  <c r="L102" i="65"/>
  <c r="N101" i="65"/>
  <c r="N12" i="65" s="1"/>
  <c r="N96" i="65"/>
  <c r="I101" i="65"/>
  <c r="I12" i="65" s="1"/>
  <c r="I96" i="65"/>
  <c r="I9" i="65" s="1"/>
  <c r="H101" i="65"/>
  <c r="H12" i="65" s="1"/>
  <c r="H96" i="65"/>
  <c r="H9" i="65" s="1"/>
  <c r="M101" i="65"/>
  <c r="M12" i="65" s="1"/>
  <c r="M96" i="65"/>
  <c r="G101" i="65"/>
  <c r="G12" i="65" s="1"/>
  <c r="G96" i="65"/>
  <c r="L101" i="65"/>
  <c r="L12" i="65" s="1"/>
  <c r="L96" i="65"/>
  <c r="F101" i="65"/>
  <c r="F12" i="65" s="1"/>
  <c r="F96" i="65"/>
  <c r="J101" i="65"/>
  <c r="J12" i="65" s="1"/>
  <c r="J96" i="65"/>
  <c r="K96" i="65"/>
  <c r="K9" i="65" s="1"/>
  <c r="K101" i="65"/>
  <c r="K12" i="65" s="1"/>
  <c r="Q23" i="65"/>
  <c r="L67" i="65"/>
  <c r="CX70" i="59"/>
  <c r="CX73" i="59"/>
  <c r="CX66" i="59"/>
  <c r="CX69" i="59"/>
  <c r="CX65" i="59"/>
  <c r="CX62" i="59"/>
  <c r="CX64" i="59"/>
  <c r="CX68" i="59"/>
  <c r="CY2" i="59"/>
  <c r="CX61" i="59"/>
  <c r="CX67" i="59"/>
  <c r="E23" i="58" l="1"/>
  <c r="AK23" i="58" s="1"/>
  <c r="BQ23" i="58" s="1"/>
  <c r="E24" i="58"/>
  <c r="AK24" i="58" s="1"/>
  <c r="BQ24" i="58" s="1"/>
  <c r="I24" i="58"/>
  <c r="AO24" i="58" s="1"/>
  <c r="BU24" i="58" s="1"/>
  <c r="H24" i="58"/>
  <c r="AN24" i="58" s="1"/>
  <c r="BT24" i="58" s="1"/>
  <c r="G24" i="58"/>
  <c r="AM24" i="58" s="1"/>
  <c r="BS24" i="58" s="1"/>
  <c r="F24" i="58"/>
  <c r="AL24" i="58" s="1"/>
  <c r="BR24" i="58" s="1"/>
  <c r="N23" i="58"/>
  <c r="AT23" i="58" s="1"/>
  <c r="BZ23" i="58" s="1"/>
  <c r="I23" i="58"/>
  <c r="AO23" i="58" s="1"/>
  <c r="BU23" i="58" s="1"/>
  <c r="H23" i="58"/>
  <c r="AN23" i="58" s="1"/>
  <c r="BT23" i="58" s="1"/>
  <c r="M23" i="58"/>
  <c r="AS23" i="58" s="1"/>
  <c r="BY23" i="58" s="1"/>
  <c r="G23" i="58"/>
  <c r="AM23" i="58" s="1"/>
  <c r="BS23" i="58" s="1"/>
  <c r="L23" i="58"/>
  <c r="AR23" i="58" s="1"/>
  <c r="BX23" i="58" s="1"/>
  <c r="F23" i="58"/>
  <c r="AL23" i="58" s="1"/>
  <c r="BR23" i="58" s="1"/>
  <c r="J23" i="58"/>
  <c r="AP23" i="58" s="1"/>
  <c r="BV23" i="58" s="1"/>
  <c r="K23" i="58"/>
  <c r="AQ23" i="58" s="1"/>
  <c r="BW23" i="58" s="1"/>
  <c r="I111" i="65"/>
  <c r="I99" i="65"/>
  <c r="I10" i="65" s="1"/>
  <c r="H99" i="65"/>
  <c r="H10" i="65" s="1"/>
  <c r="F99" i="65"/>
  <c r="F10" i="65" s="1"/>
  <c r="N111" i="65"/>
  <c r="N9" i="65"/>
  <c r="M111" i="65"/>
  <c r="M9" i="65"/>
  <c r="G111" i="65"/>
  <c r="G9" i="65"/>
  <c r="L111" i="65"/>
  <c r="L9" i="65"/>
  <c r="F111" i="65"/>
  <c r="F9" i="65"/>
  <c r="J111" i="65"/>
  <c r="J9" i="65"/>
  <c r="E111" i="65"/>
  <c r="H111" i="65"/>
  <c r="K111" i="65"/>
  <c r="E98" i="65"/>
  <c r="G99" i="65"/>
  <c r="G10" i="65" s="1"/>
  <c r="G110" i="65"/>
  <c r="M102" i="65"/>
  <c r="R23" i="65"/>
  <c r="M67" i="65"/>
  <c r="CY66" i="59"/>
  <c r="CY67" i="59"/>
  <c r="CY64" i="59"/>
  <c r="CY73" i="59"/>
  <c r="CY68" i="59"/>
  <c r="CY70" i="59"/>
  <c r="CY62" i="59"/>
  <c r="CZ2" i="59"/>
  <c r="CY69" i="59"/>
  <c r="CY61" i="59"/>
  <c r="CY65" i="59"/>
  <c r="E106" i="65" l="1"/>
  <c r="E107" i="65" s="1"/>
  <c r="E99" i="65"/>
  <c r="E10" i="65" s="1"/>
  <c r="E110" i="65"/>
  <c r="O97" i="65"/>
  <c r="N102" i="65"/>
  <c r="S23" i="65"/>
  <c r="N67" i="65"/>
  <c r="CZ67" i="59"/>
  <c r="CZ68" i="59"/>
  <c r="CZ65" i="59"/>
  <c r="CZ73" i="59"/>
  <c r="CZ61" i="59"/>
  <c r="CZ64" i="59"/>
  <c r="DA2" i="59"/>
  <c r="CZ69" i="59"/>
  <c r="CZ66" i="59"/>
  <c r="CZ62" i="59"/>
  <c r="CZ70" i="59"/>
  <c r="P97" i="65" l="1"/>
  <c r="O102" i="65"/>
  <c r="T23" i="65"/>
  <c r="M68" i="65"/>
  <c r="M72" i="65"/>
  <c r="M69" i="65"/>
  <c r="L68" i="65"/>
  <c r="L69" i="65"/>
  <c r="L72" i="65"/>
  <c r="K72" i="65"/>
  <c r="K69" i="65"/>
  <c r="K68" i="65"/>
  <c r="J72" i="65"/>
  <c r="J69" i="65"/>
  <c r="J68" i="65"/>
  <c r="I72" i="65"/>
  <c r="H72" i="65"/>
  <c r="G72" i="65"/>
  <c r="F72" i="65"/>
  <c r="O67" i="65"/>
  <c r="E72" i="65"/>
  <c r="DA73" i="59"/>
  <c r="DA68" i="59"/>
  <c r="DA69" i="59"/>
  <c r="DA70" i="59"/>
  <c r="DA66" i="59"/>
  <c r="DA62" i="59"/>
  <c r="DA64" i="59"/>
  <c r="DB2" i="59"/>
  <c r="DA61" i="59"/>
  <c r="DA65" i="59"/>
  <c r="DA67" i="59"/>
  <c r="Q97" i="65" l="1"/>
  <c r="P102" i="65"/>
  <c r="K70" i="65"/>
  <c r="K71" i="65" s="1"/>
  <c r="U23" i="65"/>
  <c r="M70" i="65"/>
  <c r="M71" i="65" s="1"/>
  <c r="J70" i="65"/>
  <c r="J71" i="65" s="1"/>
  <c r="I74" i="65"/>
  <c r="I73" i="65"/>
  <c r="I31" i="65" s="1"/>
  <c r="H74" i="65"/>
  <c r="H73" i="65"/>
  <c r="H31" i="65" s="1"/>
  <c r="G73" i="65"/>
  <c r="G31" i="65" s="1"/>
  <c r="G74" i="65"/>
  <c r="F74" i="65"/>
  <c r="F73" i="65"/>
  <c r="F31" i="65" s="1"/>
  <c r="P67" i="65"/>
  <c r="E74" i="65"/>
  <c r="E73" i="65"/>
  <c r="E31" i="65" s="1"/>
  <c r="L70" i="65"/>
  <c r="L71" i="65" s="1"/>
  <c r="DB69" i="59"/>
  <c r="DB70" i="59"/>
  <c r="DB73" i="59"/>
  <c r="DB68" i="59"/>
  <c r="DB61" i="59"/>
  <c r="DB66" i="59"/>
  <c r="DB65" i="59"/>
  <c r="DB67" i="59"/>
  <c r="DB62" i="59"/>
  <c r="DB64" i="59"/>
  <c r="DC2" i="59"/>
  <c r="R97" i="65" l="1"/>
  <c r="Q102" i="65"/>
  <c r="V23" i="65"/>
  <c r="I35" i="65"/>
  <c r="I3" i="65" s="1"/>
  <c r="H35" i="65"/>
  <c r="H3" i="65" s="1"/>
  <c r="G35" i="65"/>
  <c r="G3" i="65" s="1"/>
  <c r="F35" i="65"/>
  <c r="F3" i="65" s="1"/>
  <c r="E35" i="65"/>
  <c r="E3" i="65" s="1"/>
  <c r="K73" i="65"/>
  <c r="K31" i="65" s="1"/>
  <c r="K74" i="65"/>
  <c r="I32" i="65"/>
  <c r="H32" i="65"/>
  <c r="G32" i="65"/>
  <c r="F32" i="65"/>
  <c r="E32" i="65"/>
  <c r="M74" i="65"/>
  <c r="M73" i="65"/>
  <c r="M31" i="65" s="1"/>
  <c r="J73" i="65"/>
  <c r="J31" i="65" s="1"/>
  <c r="J74" i="65"/>
  <c r="Q67" i="65"/>
  <c r="L74" i="65"/>
  <c r="L73" i="65"/>
  <c r="L31" i="65" s="1"/>
  <c r="DC67" i="59"/>
  <c r="DC70" i="59"/>
  <c r="DC68" i="59"/>
  <c r="DC66" i="59"/>
  <c r="DC62" i="59"/>
  <c r="DC64" i="59"/>
  <c r="DC69" i="59"/>
  <c r="DC61" i="59"/>
  <c r="DD2" i="59"/>
  <c r="DC73" i="59"/>
  <c r="DC65" i="59"/>
  <c r="S97" i="65" l="1"/>
  <c r="R102" i="65"/>
  <c r="W23" i="65"/>
  <c r="E33" i="65"/>
  <c r="E36" i="65" s="1"/>
  <c r="E4" i="65" s="1"/>
  <c r="K32" i="65"/>
  <c r="I33" i="65"/>
  <c r="I36" i="65" s="1"/>
  <c r="I4" i="65" s="1"/>
  <c r="H33" i="65"/>
  <c r="H36" i="65" s="1"/>
  <c r="H4" i="65" s="1"/>
  <c r="G33" i="65"/>
  <c r="G36" i="65" s="1"/>
  <c r="G4" i="65" s="1"/>
  <c r="F33" i="65"/>
  <c r="F36" i="65" s="1"/>
  <c r="F4" i="65" s="1"/>
  <c r="K33" i="65"/>
  <c r="K35" i="65"/>
  <c r="K3" i="65" s="1"/>
  <c r="M35" i="65"/>
  <c r="M3" i="65" s="1"/>
  <c r="J35" i="65"/>
  <c r="J3" i="65" s="1"/>
  <c r="L35" i="65"/>
  <c r="L3" i="65" s="1"/>
  <c r="M32" i="65"/>
  <c r="J32" i="65"/>
  <c r="L32" i="65"/>
  <c r="R67" i="65"/>
  <c r="DD68" i="59"/>
  <c r="DD61" i="59"/>
  <c r="DD70" i="59"/>
  <c r="DD69" i="59"/>
  <c r="DD67" i="59"/>
  <c r="DD65" i="59"/>
  <c r="DD66" i="59"/>
  <c r="DD64" i="59"/>
  <c r="DD73" i="59"/>
  <c r="DE2" i="59"/>
  <c r="DD62" i="59"/>
  <c r="T97" i="65" l="1"/>
  <c r="S102" i="65"/>
  <c r="X23" i="65"/>
  <c r="M33" i="65"/>
  <c r="L33" i="65"/>
  <c r="J33" i="65"/>
  <c r="S67" i="65"/>
  <c r="R72" i="65"/>
  <c r="DE69" i="59"/>
  <c r="DE73" i="59"/>
  <c r="DE70" i="59"/>
  <c r="DE62" i="59"/>
  <c r="DE64" i="59"/>
  <c r="DE61" i="59"/>
  <c r="DE65" i="59"/>
  <c r="DE68" i="59"/>
  <c r="DE67" i="59"/>
  <c r="DF2" i="59"/>
  <c r="DE66" i="59"/>
  <c r="U97" i="65" l="1"/>
  <c r="T102" i="65"/>
  <c r="Y23" i="65"/>
  <c r="R69" i="65"/>
  <c r="Q69" i="65"/>
  <c r="Q72" i="65"/>
  <c r="Q68" i="65"/>
  <c r="Q70" i="65" s="1"/>
  <c r="Q71" i="65" s="1"/>
  <c r="P72" i="65"/>
  <c r="P69" i="65"/>
  <c r="P68" i="65"/>
  <c r="O72" i="65"/>
  <c r="O68" i="65"/>
  <c r="O69" i="65"/>
  <c r="T67" i="65"/>
  <c r="R68" i="65"/>
  <c r="R70" i="65" s="1"/>
  <c r="R71" i="65" s="1"/>
  <c r="DF70" i="59"/>
  <c r="DF73" i="59"/>
  <c r="DF66" i="59"/>
  <c r="DF67" i="59"/>
  <c r="DF65" i="59"/>
  <c r="DF69" i="59"/>
  <c r="DF68" i="59"/>
  <c r="DG2" i="59"/>
  <c r="DF61" i="59"/>
  <c r="DF62" i="59"/>
  <c r="DF64" i="59"/>
  <c r="V97" i="65" l="1"/>
  <c r="U102" i="65"/>
  <c r="Z23" i="65"/>
  <c r="P70" i="65"/>
  <c r="P71" i="65" s="1"/>
  <c r="Q73" i="65"/>
  <c r="Q31" i="65" s="1"/>
  <c r="Q74" i="65"/>
  <c r="U67" i="65"/>
  <c r="R73" i="65"/>
  <c r="R31" i="65" s="1"/>
  <c r="R74" i="65"/>
  <c r="O70" i="65"/>
  <c r="O71" i="65" s="1"/>
  <c r="DG66" i="59"/>
  <c r="DG67" i="59"/>
  <c r="DG64" i="59"/>
  <c r="DG69" i="59"/>
  <c r="DG73" i="59"/>
  <c r="DG68" i="59"/>
  <c r="DG65" i="59"/>
  <c r="DG70" i="59"/>
  <c r="DH2" i="59"/>
  <c r="DG61" i="59"/>
  <c r="DG62" i="59"/>
  <c r="W97" i="65" l="1"/>
  <c r="V102" i="65"/>
  <c r="AA23" i="65"/>
  <c r="Q32" i="65"/>
  <c r="R32" i="65"/>
  <c r="P73" i="65"/>
  <c r="P31" i="65" s="1"/>
  <c r="P74" i="65"/>
  <c r="V67" i="65"/>
  <c r="O74" i="65"/>
  <c r="O73" i="65"/>
  <c r="O31" i="65" s="1"/>
  <c r="AH135" i="65"/>
  <c r="DH67" i="59"/>
  <c r="DH68" i="59"/>
  <c r="DH65" i="59"/>
  <c r="DH69" i="59"/>
  <c r="DH73" i="59"/>
  <c r="DH61" i="59"/>
  <c r="DH70" i="59"/>
  <c r="DI2" i="59"/>
  <c r="DH62" i="59"/>
  <c r="DH64" i="59"/>
  <c r="DH66" i="59"/>
  <c r="Q33" i="65" l="1"/>
  <c r="X97" i="65"/>
  <c r="W102" i="65"/>
  <c r="AJ135" i="65"/>
  <c r="P135" i="65" s="1"/>
  <c r="N135" i="65"/>
  <c r="R33" i="65"/>
  <c r="AB23" i="65"/>
  <c r="P32" i="65"/>
  <c r="O32" i="65"/>
  <c r="W67" i="65"/>
  <c r="DI73" i="59"/>
  <c r="DI68" i="59"/>
  <c r="DI69" i="59"/>
  <c r="DI67" i="59"/>
  <c r="DI66" i="59"/>
  <c r="DI62" i="59"/>
  <c r="DI70" i="59"/>
  <c r="DJ2" i="59"/>
  <c r="DI65" i="59"/>
  <c r="DI64" i="59"/>
  <c r="DI61" i="59"/>
  <c r="O33" i="65" l="1"/>
  <c r="Y97" i="65"/>
  <c r="X102" i="65"/>
  <c r="X135" i="65"/>
  <c r="AC23" i="65"/>
  <c r="P33" i="65"/>
  <c r="X67" i="65"/>
  <c r="W72" i="65"/>
  <c r="DJ66" i="59"/>
  <c r="DJ69" i="59"/>
  <c r="DJ70" i="59"/>
  <c r="DJ67" i="59"/>
  <c r="DJ61" i="59"/>
  <c r="DJ73" i="59"/>
  <c r="DJ68" i="59"/>
  <c r="DJ62" i="59"/>
  <c r="DJ65" i="59"/>
  <c r="DJ64" i="59"/>
  <c r="DK2" i="59"/>
  <c r="W69" i="65" l="1"/>
  <c r="W68" i="65"/>
  <c r="Z97" i="65"/>
  <c r="Y102" i="65"/>
  <c r="AD23" i="65"/>
  <c r="V72" i="65"/>
  <c r="V69" i="65"/>
  <c r="V68" i="65"/>
  <c r="U72" i="65"/>
  <c r="U69" i="65"/>
  <c r="U68" i="65"/>
  <c r="T68" i="65"/>
  <c r="T69" i="65"/>
  <c r="T72" i="65"/>
  <c r="Y67" i="65"/>
  <c r="DK67" i="59"/>
  <c r="DK70" i="59"/>
  <c r="DK69" i="59"/>
  <c r="DK73" i="59"/>
  <c r="DK62" i="59"/>
  <c r="DK64" i="59"/>
  <c r="DK68" i="59"/>
  <c r="DK61" i="59"/>
  <c r="DK66" i="59"/>
  <c r="DK65" i="59"/>
  <c r="DL2" i="59"/>
  <c r="W70" i="65" l="1"/>
  <c r="W71" i="65" s="1"/>
  <c r="AA97" i="65"/>
  <c r="Z102" i="65"/>
  <c r="AE23" i="65"/>
  <c r="V70" i="65"/>
  <c r="V71" i="65" s="1"/>
  <c r="U70" i="65"/>
  <c r="U71" i="65" s="1"/>
  <c r="Z67" i="65"/>
  <c r="T70" i="65"/>
  <c r="T71" i="65" s="1"/>
  <c r="DL68" i="59"/>
  <c r="DL61" i="59"/>
  <c r="DL73" i="59"/>
  <c r="DL66" i="59"/>
  <c r="DL70" i="59"/>
  <c r="DL65" i="59"/>
  <c r="DL69" i="59"/>
  <c r="DL62" i="59"/>
  <c r="DL64" i="59"/>
  <c r="DL67" i="59"/>
  <c r="DM2" i="59"/>
  <c r="W74" i="65" l="1"/>
  <c r="W73" i="65"/>
  <c r="W31" i="65" s="1"/>
  <c r="AB97" i="65"/>
  <c r="AA102" i="65"/>
  <c r="AF23" i="65"/>
  <c r="W32" i="65"/>
  <c r="V74" i="65"/>
  <c r="V73" i="65"/>
  <c r="V31" i="65" s="1"/>
  <c r="U74" i="65"/>
  <c r="U73" i="65"/>
  <c r="U31" i="65" s="1"/>
  <c r="AA67" i="65"/>
  <c r="T74" i="65"/>
  <c r="T73" i="65"/>
  <c r="T31" i="65" s="1"/>
  <c r="DM69" i="59"/>
  <c r="DM73" i="59"/>
  <c r="DM62" i="59"/>
  <c r="DM68" i="59"/>
  <c r="DM64" i="59"/>
  <c r="DM70" i="59"/>
  <c r="DM67" i="59"/>
  <c r="DM61" i="59"/>
  <c r="DM66" i="59"/>
  <c r="DM65" i="59"/>
  <c r="DN2" i="59"/>
  <c r="AC97" i="65" l="1"/>
  <c r="AB102" i="65"/>
  <c r="AG23" i="65"/>
  <c r="W33" i="65"/>
  <c r="V32" i="65"/>
  <c r="U32" i="65"/>
  <c r="T32" i="65"/>
  <c r="AB67" i="65"/>
  <c r="DN70" i="59"/>
  <c r="DN73" i="59"/>
  <c r="DN66" i="59"/>
  <c r="DN68" i="59"/>
  <c r="DN65" i="59"/>
  <c r="DN67" i="59"/>
  <c r="DN64" i="59"/>
  <c r="DN69" i="59"/>
  <c r="DN62" i="59"/>
  <c r="DN61" i="59"/>
  <c r="DO2" i="59"/>
  <c r="AH23" i="65" l="1"/>
  <c r="AG28" i="65"/>
  <c r="V33" i="65"/>
  <c r="U33" i="65"/>
  <c r="AD97" i="65"/>
  <c r="AC102" i="65"/>
  <c r="T33" i="65"/>
  <c r="AC67" i="65"/>
  <c r="DO66" i="59"/>
  <c r="DO67" i="59"/>
  <c r="DO73" i="59"/>
  <c r="DO68" i="59"/>
  <c r="DO64" i="59"/>
  <c r="DO70" i="59"/>
  <c r="DO69" i="59"/>
  <c r="DO61" i="59"/>
  <c r="DO62" i="59"/>
  <c r="DP2" i="59"/>
  <c r="DO65" i="59"/>
  <c r="AF28" i="65" l="1"/>
  <c r="AE28" i="65"/>
  <c r="AC28" i="65"/>
  <c r="AB28" i="65"/>
  <c r="AA28" i="65"/>
  <c r="J28" i="65"/>
  <c r="L28" i="65"/>
  <c r="X28" i="65"/>
  <c r="T28" i="65"/>
  <c r="R28" i="65"/>
  <c r="AF24" i="65"/>
  <c r="W24" i="65"/>
  <c r="T24" i="65"/>
  <c r="Y24" i="65"/>
  <c r="M28" i="65"/>
  <c r="AB24" i="65"/>
  <c r="AC24" i="65"/>
  <c r="U24" i="65"/>
  <c r="V24" i="65"/>
  <c r="AE24" i="65"/>
  <c r="Z24" i="65"/>
  <c r="P24" i="65"/>
  <c r="AD28" i="65"/>
  <c r="K28" i="65"/>
  <c r="Z28" i="65"/>
  <c r="W28" i="65"/>
  <c r="V28" i="65"/>
  <c r="U28" i="65"/>
  <c r="S28" i="65"/>
  <c r="Q28" i="65"/>
  <c r="O28" i="65"/>
  <c r="O24" i="65"/>
  <c r="Q24" i="65"/>
  <c r="S24" i="65"/>
  <c r="AD24" i="65"/>
  <c r="Y28" i="65"/>
  <c r="P28" i="65"/>
  <c r="N28" i="65"/>
  <c r="AA24" i="65"/>
  <c r="AG24" i="65"/>
  <c r="R24" i="65"/>
  <c r="X24" i="65"/>
  <c r="AB68" i="65"/>
  <c r="AE97" i="65"/>
  <c r="AD102" i="65"/>
  <c r="AB69" i="65"/>
  <c r="AB72" i="65"/>
  <c r="AA69" i="65"/>
  <c r="AA68" i="65"/>
  <c r="AA72" i="65"/>
  <c r="Z69" i="65"/>
  <c r="Z72" i="65"/>
  <c r="Z68" i="65"/>
  <c r="Y69" i="65"/>
  <c r="Y72" i="65"/>
  <c r="Y68" i="65"/>
  <c r="Y70" i="65" s="1"/>
  <c r="Y71" i="65" s="1"/>
  <c r="AD67" i="65"/>
  <c r="DP67" i="59"/>
  <c r="DP68" i="59"/>
  <c r="DP66" i="59"/>
  <c r="DP65" i="59"/>
  <c r="DP70" i="59"/>
  <c r="DP69" i="59"/>
  <c r="DP61" i="59"/>
  <c r="DP73" i="59"/>
  <c r="DQ2" i="59"/>
  <c r="DP64" i="59"/>
  <c r="DP62" i="59"/>
  <c r="L29" i="65" l="1"/>
  <c r="L36" i="65"/>
  <c r="L4" i="65" s="1"/>
  <c r="L15" i="58" s="1"/>
  <c r="AR15" i="58" s="1"/>
  <c r="BX15" i="58" s="1"/>
  <c r="J29" i="65"/>
  <c r="W35" i="65"/>
  <c r="W3" i="65" s="1"/>
  <c r="T36" i="65"/>
  <c r="T4" i="65" s="1"/>
  <c r="T15" i="58" s="1"/>
  <c r="AZ15" i="58" s="1"/>
  <c r="CF15" i="58" s="1"/>
  <c r="T35" i="65"/>
  <c r="T3" i="65" s="1"/>
  <c r="V35" i="65"/>
  <c r="V3" i="65" s="1"/>
  <c r="J36" i="65"/>
  <c r="J4" i="65" s="1"/>
  <c r="J15" i="58" s="1"/>
  <c r="AP15" i="58" s="1"/>
  <c r="BV15" i="58" s="1"/>
  <c r="U35" i="65"/>
  <c r="U3" i="65" s="1"/>
  <c r="U36" i="65"/>
  <c r="U4" i="65" s="1"/>
  <c r="U15" i="58" s="1"/>
  <c r="BA15" i="58" s="1"/>
  <c r="CG15" i="58" s="1"/>
  <c r="P36" i="65"/>
  <c r="P4" i="65" s="1"/>
  <c r="P15" i="58" s="1"/>
  <c r="AV15" i="58" s="1"/>
  <c r="CB15" i="58" s="1"/>
  <c r="P35" i="65"/>
  <c r="P3" i="65" s="1"/>
  <c r="W36" i="65"/>
  <c r="W4" i="65" s="1"/>
  <c r="W15" i="58" s="1"/>
  <c r="BC15" i="58" s="1"/>
  <c r="CI15" i="58" s="1"/>
  <c r="O25" i="65"/>
  <c r="O36" i="65"/>
  <c r="O4" i="65" s="1"/>
  <c r="O15" i="58" s="1"/>
  <c r="AU15" i="58" s="1"/>
  <c r="CA15" i="58" s="1"/>
  <c r="V36" i="65"/>
  <c r="V4" i="65" s="1"/>
  <c r="V15" i="58" s="1"/>
  <c r="BB15" i="58" s="1"/>
  <c r="CH15" i="58" s="1"/>
  <c r="Q25" i="65"/>
  <c r="Q35" i="65"/>
  <c r="Q3" i="65" s="1"/>
  <c r="K36" i="65"/>
  <c r="K4" i="65" s="1"/>
  <c r="K15" i="58" s="1"/>
  <c r="AQ15" i="58" s="1"/>
  <c r="BW15" i="58" s="1"/>
  <c r="K29" i="65"/>
  <c r="N36" i="65"/>
  <c r="N4" i="65" s="1"/>
  <c r="N15" i="58" s="1"/>
  <c r="AT15" i="58" s="1"/>
  <c r="BZ15" i="58" s="1"/>
  <c r="N29" i="65"/>
  <c r="V25" i="65"/>
  <c r="O35" i="65"/>
  <c r="O3" i="65" s="1"/>
  <c r="R36" i="65"/>
  <c r="R4" i="65" s="1"/>
  <c r="R15" i="58" s="1"/>
  <c r="AX15" i="58" s="1"/>
  <c r="CD15" i="58" s="1"/>
  <c r="R35" i="65"/>
  <c r="R3" i="65" s="1"/>
  <c r="M29" i="65"/>
  <c r="M36" i="65"/>
  <c r="M4" i="65" s="1"/>
  <c r="M15" i="58" s="1"/>
  <c r="AS15" i="58" s="1"/>
  <c r="BY15" i="58" s="1"/>
  <c r="Q36" i="65"/>
  <c r="Q4" i="65" s="1"/>
  <c r="Q15" i="58" s="1"/>
  <c r="AW15" i="58" s="1"/>
  <c r="CC15" i="58" s="1"/>
  <c r="S25" i="65"/>
  <c r="S36" i="65"/>
  <c r="S4" i="65" s="1"/>
  <c r="S15" i="58" s="1"/>
  <c r="AY15" i="58" s="1"/>
  <c r="CE15" i="58" s="1"/>
  <c r="S35" i="65"/>
  <c r="S3" i="65" s="1"/>
  <c r="X25" i="65"/>
  <c r="X36" i="65"/>
  <c r="X4" i="65" s="1"/>
  <c r="X15" i="58" s="1"/>
  <c r="BD15" i="58" s="1"/>
  <c r="CJ15" i="58" s="1"/>
  <c r="X35" i="65"/>
  <c r="X3" i="65" s="1"/>
  <c r="AC25" i="65"/>
  <c r="AC35" i="65"/>
  <c r="AC3" i="65" s="1"/>
  <c r="AC36" i="65"/>
  <c r="AC4" i="65" s="1"/>
  <c r="AC15" i="58" s="1"/>
  <c r="BI15" i="58" s="1"/>
  <c r="CO15" i="58" s="1"/>
  <c r="U25" i="65"/>
  <c r="W25" i="65"/>
  <c r="T25" i="65"/>
  <c r="R25" i="65"/>
  <c r="P25" i="65"/>
  <c r="AA25" i="65"/>
  <c r="AF25" i="65"/>
  <c r="AG25" i="65"/>
  <c r="AH25" i="65"/>
  <c r="Y25" i="65"/>
  <c r="AB25" i="65"/>
  <c r="AE25" i="65"/>
  <c r="Z25" i="65"/>
  <c r="AD25" i="65"/>
  <c r="Z27" i="65"/>
  <c r="Z29" i="65" s="1"/>
  <c r="T27" i="65"/>
  <c r="T29" i="65" s="1"/>
  <c r="O27" i="65"/>
  <c r="O29" i="65" s="1"/>
  <c r="S27" i="65"/>
  <c r="S29" i="65" s="1"/>
  <c r="AA27" i="65"/>
  <c r="AA29" i="65" s="1"/>
  <c r="AF27" i="65"/>
  <c r="AF29" i="65" s="1"/>
  <c r="AG27" i="65"/>
  <c r="AG29" i="65" s="1"/>
  <c r="Y27" i="65"/>
  <c r="Y29" i="65" s="1"/>
  <c r="AB27" i="65"/>
  <c r="AB29" i="65" s="1"/>
  <c r="AB70" i="65"/>
  <c r="AB71" i="65" s="1"/>
  <c r="Q27" i="65"/>
  <c r="Q29" i="65" s="1"/>
  <c r="X27" i="65"/>
  <c r="X29" i="65" s="1"/>
  <c r="AE27" i="65"/>
  <c r="AE29" i="65" s="1"/>
  <c r="AD27" i="65"/>
  <c r="AD29" i="65" s="1"/>
  <c r="AD98" i="65" s="1"/>
  <c r="P27" i="65"/>
  <c r="P29" i="65" s="1"/>
  <c r="V27" i="65"/>
  <c r="V29" i="65" s="1"/>
  <c r="U27" i="65"/>
  <c r="U29" i="65" s="1"/>
  <c r="W27" i="65"/>
  <c r="W29" i="65" s="1"/>
  <c r="R27" i="65"/>
  <c r="R29" i="65" s="1"/>
  <c r="AC27" i="65"/>
  <c r="AC29" i="65" s="1"/>
  <c r="AF97" i="65"/>
  <c r="AE102" i="65"/>
  <c r="Z70" i="65"/>
  <c r="Z71" i="65" s="1"/>
  <c r="AA70" i="65"/>
  <c r="AA71" i="65" s="1"/>
  <c r="Y73" i="65"/>
  <c r="Y31" i="65" s="1"/>
  <c r="Y74" i="65"/>
  <c r="AE67" i="65"/>
  <c r="DQ73" i="59"/>
  <c r="DQ68" i="59"/>
  <c r="DQ69" i="59"/>
  <c r="DQ70" i="59"/>
  <c r="DQ67" i="59"/>
  <c r="DQ62" i="59"/>
  <c r="DQ61" i="59"/>
  <c r="DR2" i="59"/>
  <c r="DQ65" i="59"/>
  <c r="DQ66" i="59"/>
  <c r="DQ64" i="59"/>
  <c r="L103" i="65" l="1"/>
  <c r="L104" i="65" s="1"/>
  <c r="L13" i="65" s="1"/>
  <c r="J103" i="65"/>
  <c r="J104" i="65" s="1"/>
  <c r="J13" i="65" s="1"/>
  <c r="L98" i="65"/>
  <c r="J98" i="65"/>
  <c r="L99" i="65"/>
  <c r="L10" i="65" s="1"/>
  <c r="L21" i="58" s="1"/>
  <c r="AR21" i="58" s="1"/>
  <c r="BX21" i="58" s="1"/>
  <c r="Z103" i="65"/>
  <c r="Z104" i="65" s="1"/>
  <c r="Z13" i="65" s="1"/>
  <c r="Z98" i="65"/>
  <c r="AD101" i="65"/>
  <c r="AD12" i="65" s="1"/>
  <c r="K103" i="65"/>
  <c r="K104" i="65" s="1"/>
  <c r="K13" i="65" s="1"/>
  <c r="K98" i="65"/>
  <c r="N98" i="65"/>
  <c r="M103" i="65"/>
  <c r="M104" i="65" s="1"/>
  <c r="M13" i="65" s="1"/>
  <c r="M98" i="65"/>
  <c r="AD103" i="65"/>
  <c r="AD104" i="65" s="1"/>
  <c r="AD13" i="65" s="1"/>
  <c r="AD99" i="65"/>
  <c r="AD10" i="65" s="1"/>
  <c r="AD21" i="58" s="1"/>
  <c r="BJ21" i="58" s="1"/>
  <c r="CP21" i="58" s="1"/>
  <c r="AA103" i="65"/>
  <c r="AA104" i="65" s="1"/>
  <c r="AA13" i="65" s="1"/>
  <c r="Y103" i="65"/>
  <c r="Y104" i="65" s="1"/>
  <c r="Y13" i="65" s="1"/>
  <c r="AB103" i="65"/>
  <c r="AB104" i="65" s="1"/>
  <c r="AB13" i="65" s="1"/>
  <c r="AB98" i="65"/>
  <c r="N103" i="65"/>
  <c r="N104" i="65" s="1"/>
  <c r="N13" i="65" s="1"/>
  <c r="AA98" i="65"/>
  <c r="Y98" i="65"/>
  <c r="U103" i="65"/>
  <c r="U104" i="65" s="1"/>
  <c r="U13" i="65" s="1"/>
  <c r="T103" i="65"/>
  <c r="T104" i="65" s="1"/>
  <c r="T13" i="65" s="1"/>
  <c r="T98" i="65"/>
  <c r="O103" i="65"/>
  <c r="O104" i="65" s="1"/>
  <c r="O13" i="65" s="1"/>
  <c r="O98" i="65"/>
  <c r="V103" i="65"/>
  <c r="V104" i="65" s="1"/>
  <c r="V13" i="65" s="1"/>
  <c r="V98" i="65"/>
  <c r="R103" i="65"/>
  <c r="R104" i="65" s="1"/>
  <c r="R13" i="65" s="1"/>
  <c r="R98" i="65"/>
  <c r="Q103" i="65"/>
  <c r="Q104" i="65" s="1"/>
  <c r="Q13" i="65" s="1"/>
  <c r="Q98" i="65"/>
  <c r="S103" i="65"/>
  <c r="S104" i="65" s="1"/>
  <c r="S13" i="65" s="1"/>
  <c r="S98" i="65"/>
  <c r="X103" i="65"/>
  <c r="X104" i="65" s="1"/>
  <c r="X13" i="65" s="1"/>
  <c r="X98" i="65"/>
  <c r="AC103" i="65"/>
  <c r="AC104" i="65" s="1"/>
  <c r="AC13" i="65" s="1"/>
  <c r="AC98" i="65"/>
  <c r="O96" i="65"/>
  <c r="O9" i="65" s="1"/>
  <c r="O101" i="65"/>
  <c r="O12" i="65" s="1"/>
  <c r="V96" i="65"/>
  <c r="V9" i="65" s="1"/>
  <c r="V101" i="65"/>
  <c r="V12" i="65" s="1"/>
  <c r="Q96" i="65"/>
  <c r="Q9" i="65" s="1"/>
  <c r="Q101" i="65"/>
  <c r="Q12" i="65" s="1"/>
  <c r="Y96" i="65"/>
  <c r="Y9" i="65" s="1"/>
  <c r="Y101" i="65"/>
  <c r="Y12" i="65" s="1"/>
  <c r="AB96" i="65"/>
  <c r="AB9" i="65" s="1"/>
  <c r="AB101" i="65"/>
  <c r="AB12" i="65" s="1"/>
  <c r="AE101" i="65"/>
  <c r="AE12" i="65" s="1"/>
  <c r="AE96" i="65"/>
  <c r="Z101" i="65"/>
  <c r="Z12" i="65" s="1"/>
  <c r="Z96" i="65"/>
  <c r="AD96" i="65"/>
  <c r="AB74" i="65"/>
  <c r="AB73" i="65"/>
  <c r="AB31" i="65" s="1"/>
  <c r="AH99" i="65"/>
  <c r="AH101" i="65"/>
  <c r="AH12" i="65" s="1"/>
  <c r="AC101" i="65"/>
  <c r="AC12" i="65" s="1"/>
  <c r="W101" i="65"/>
  <c r="W12" i="65" s="1"/>
  <c r="X96" i="65"/>
  <c r="X9" i="65" s="1"/>
  <c r="AC96" i="65"/>
  <c r="W96" i="65"/>
  <c r="U98" i="65"/>
  <c r="P103" i="65"/>
  <c r="P104" i="65" s="1"/>
  <c r="P13" i="65" s="1"/>
  <c r="P98" i="65"/>
  <c r="W103" i="65"/>
  <c r="W104" i="65" s="1"/>
  <c r="W13" i="65" s="1"/>
  <c r="W98" i="65"/>
  <c r="S96" i="65"/>
  <c r="S9" i="65" s="1"/>
  <c r="S101" i="65"/>
  <c r="S12" i="65" s="1"/>
  <c r="X101" i="65"/>
  <c r="X12" i="65" s="1"/>
  <c r="U101" i="65"/>
  <c r="U12" i="65" s="1"/>
  <c r="U96" i="65"/>
  <c r="T96" i="65"/>
  <c r="T9" i="65" s="1"/>
  <c r="AE98" i="65"/>
  <c r="T101" i="65"/>
  <c r="T12" i="65" s="1"/>
  <c r="R101" i="65"/>
  <c r="R12" i="65" s="1"/>
  <c r="R96" i="65"/>
  <c r="P101" i="65"/>
  <c r="P12" i="65" s="1"/>
  <c r="P96" i="65"/>
  <c r="AA96" i="65"/>
  <c r="AA9" i="65" s="1"/>
  <c r="AA101" i="65"/>
  <c r="AA12" i="65" s="1"/>
  <c r="AF96" i="65"/>
  <c r="AF9" i="65" s="1"/>
  <c r="AF101" i="65"/>
  <c r="AF12" i="65" s="1"/>
  <c r="AG96" i="65"/>
  <c r="AG9" i="65" s="1"/>
  <c r="AG101" i="65"/>
  <c r="AG12" i="65" s="1"/>
  <c r="AH96" i="65"/>
  <c r="AG97" i="65"/>
  <c r="AG98" i="65" s="1"/>
  <c r="AF98" i="65"/>
  <c r="AF102" i="65"/>
  <c r="AE103" i="65"/>
  <c r="AE104" i="65" s="1"/>
  <c r="AE13" i="65" s="1"/>
  <c r="Y35" i="65"/>
  <c r="Y3" i="65" s="1"/>
  <c r="Y32" i="65"/>
  <c r="Z73" i="65"/>
  <c r="Z31" i="65" s="1"/>
  <c r="Z74" i="65"/>
  <c r="AA74" i="65"/>
  <c r="AA73" i="65"/>
  <c r="AA31" i="65" s="1"/>
  <c r="AF67" i="65"/>
  <c r="DR66" i="59"/>
  <c r="DR69" i="59"/>
  <c r="DR70" i="59"/>
  <c r="DR61" i="59"/>
  <c r="DR65" i="59"/>
  <c r="DR73" i="59"/>
  <c r="DR67" i="59"/>
  <c r="DR62" i="59"/>
  <c r="DR64" i="59"/>
  <c r="DR68" i="59"/>
  <c r="DS2" i="59"/>
  <c r="L24" i="58" l="1"/>
  <c r="AR24" i="58" s="1"/>
  <c r="BX24" i="58" s="1"/>
  <c r="J24" i="58"/>
  <c r="AP24" i="58" s="1"/>
  <c r="BV24" i="58" s="1"/>
  <c r="Z24" i="58"/>
  <c r="BF24" i="58" s="1"/>
  <c r="CL24" i="58" s="1"/>
  <c r="AD23" i="58"/>
  <c r="BJ23" i="58" s="1"/>
  <c r="CP23" i="58" s="1"/>
  <c r="K24" i="58"/>
  <c r="AQ24" i="58" s="1"/>
  <c r="BW24" i="58" s="1"/>
  <c r="M24" i="58"/>
  <c r="AS24" i="58" s="1"/>
  <c r="BY24" i="58" s="1"/>
  <c r="AD24" i="58"/>
  <c r="BJ24" i="58" s="1"/>
  <c r="CP24" i="58" s="1"/>
  <c r="AA24" i="58"/>
  <c r="BG24" i="58" s="1"/>
  <c r="CM24" i="58" s="1"/>
  <c r="Y24" i="58"/>
  <c r="BE24" i="58" s="1"/>
  <c r="CK24" i="58" s="1"/>
  <c r="AB24" i="58"/>
  <c r="BH24" i="58" s="1"/>
  <c r="CN24" i="58" s="1"/>
  <c r="N24" i="58"/>
  <c r="AT24" i="58" s="1"/>
  <c r="BZ24" i="58" s="1"/>
  <c r="U24" i="58"/>
  <c r="BA24" i="58" s="1"/>
  <c r="CG24" i="58" s="1"/>
  <c r="T24" i="58"/>
  <c r="AZ24" i="58" s="1"/>
  <c r="CF24" i="58" s="1"/>
  <c r="O24" i="58"/>
  <c r="AU24" i="58" s="1"/>
  <c r="CA24" i="58" s="1"/>
  <c r="V24" i="58"/>
  <c r="BB24" i="58" s="1"/>
  <c r="CH24" i="58" s="1"/>
  <c r="R24" i="58"/>
  <c r="AX24" i="58" s="1"/>
  <c r="CD24" i="58" s="1"/>
  <c r="Q24" i="58"/>
  <c r="AW24" i="58" s="1"/>
  <c r="CC24" i="58" s="1"/>
  <c r="S24" i="58"/>
  <c r="AY24" i="58" s="1"/>
  <c r="CE24" i="58" s="1"/>
  <c r="X24" i="58"/>
  <c r="BD24" i="58" s="1"/>
  <c r="CJ24" i="58" s="1"/>
  <c r="AC24" i="58"/>
  <c r="BI24" i="58" s="1"/>
  <c r="CO24" i="58" s="1"/>
  <c r="O23" i="58"/>
  <c r="AU23" i="58" s="1"/>
  <c r="CA23" i="58" s="1"/>
  <c r="V23" i="58"/>
  <c r="BB23" i="58" s="1"/>
  <c r="CH23" i="58" s="1"/>
  <c r="Q23" i="58"/>
  <c r="AW23" i="58" s="1"/>
  <c r="CC23" i="58" s="1"/>
  <c r="Y23" i="58"/>
  <c r="BE23" i="58" s="1"/>
  <c r="CK23" i="58" s="1"/>
  <c r="AB23" i="58"/>
  <c r="BH23" i="58" s="1"/>
  <c r="CN23" i="58" s="1"/>
  <c r="AE23" i="58"/>
  <c r="BK23" i="58" s="1"/>
  <c r="CQ23" i="58" s="1"/>
  <c r="Z23" i="58"/>
  <c r="BF23" i="58" s="1"/>
  <c r="CL23" i="58" s="1"/>
  <c r="AH23" i="58"/>
  <c r="BN23" i="58" s="1"/>
  <c r="CT23" i="58" s="1"/>
  <c r="AC23" i="58"/>
  <c r="BI23" i="58" s="1"/>
  <c r="CO23" i="58" s="1"/>
  <c r="W23" i="58"/>
  <c r="BC23" i="58" s="1"/>
  <c r="CI23" i="58" s="1"/>
  <c r="P24" i="58"/>
  <c r="AV24" i="58" s="1"/>
  <c r="CB24" i="58" s="1"/>
  <c r="W24" i="58"/>
  <c r="BC24" i="58" s="1"/>
  <c r="CI24" i="58" s="1"/>
  <c r="S23" i="58"/>
  <c r="AY23" i="58" s="1"/>
  <c r="CE23" i="58" s="1"/>
  <c r="X23" i="58"/>
  <c r="BD23" i="58" s="1"/>
  <c r="CJ23" i="58" s="1"/>
  <c r="U23" i="58"/>
  <c r="BA23" i="58" s="1"/>
  <c r="CG23" i="58" s="1"/>
  <c r="T23" i="58"/>
  <c r="AZ23" i="58" s="1"/>
  <c r="CF23" i="58" s="1"/>
  <c r="R23" i="58"/>
  <c r="AX23" i="58" s="1"/>
  <c r="CD23" i="58" s="1"/>
  <c r="P23" i="58"/>
  <c r="AV23" i="58" s="1"/>
  <c r="CB23" i="58" s="1"/>
  <c r="AA23" i="58"/>
  <c r="BG23" i="58" s="1"/>
  <c r="CM23" i="58" s="1"/>
  <c r="AF23" i="58"/>
  <c r="BL23" i="58" s="1"/>
  <c r="CR23" i="58" s="1"/>
  <c r="AG23" i="58"/>
  <c r="BM23" i="58" s="1"/>
  <c r="CS23" i="58" s="1"/>
  <c r="AE24" i="58"/>
  <c r="BK24" i="58" s="1"/>
  <c r="CQ24" i="58" s="1"/>
  <c r="J99" i="65"/>
  <c r="J10" i="65" s="1"/>
  <c r="J21" i="58" s="1"/>
  <c r="AP21" i="58" s="1"/>
  <c r="BV21" i="58" s="1"/>
  <c r="AH10" i="65"/>
  <c r="AH21" i="58" s="1"/>
  <c r="BN21" i="58" s="1"/>
  <c r="CT21" i="58" s="1"/>
  <c r="Z99" i="65"/>
  <c r="Z10" i="65" s="1"/>
  <c r="Z21" i="58" s="1"/>
  <c r="BF21" i="58" s="1"/>
  <c r="CL21" i="58" s="1"/>
  <c r="K99" i="65"/>
  <c r="K10" i="65" s="1"/>
  <c r="K21" i="58" s="1"/>
  <c r="AQ21" i="58" s="1"/>
  <c r="BW21" i="58" s="1"/>
  <c r="N99" i="65"/>
  <c r="N10" i="65" s="1"/>
  <c r="N21" i="58" s="1"/>
  <c r="AT21" i="58" s="1"/>
  <c r="BZ21" i="58" s="1"/>
  <c r="M99" i="65"/>
  <c r="M10" i="65" s="1"/>
  <c r="M21" i="58" s="1"/>
  <c r="AS21" i="58" s="1"/>
  <c r="BY21" i="58" s="1"/>
  <c r="AB99" i="65"/>
  <c r="AB10" i="65" s="1"/>
  <c r="AB21" i="58" s="1"/>
  <c r="BH21" i="58" s="1"/>
  <c r="CN21" i="58" s="1"/>
  <c r="AA99" i="65"/>
  <c r="AA10" i="65" s="1"/>
  <c r="AA21" i="58" s="1"/>
  <c r="BG21" i="58" s="1"/>
  <c r="CM21" i="58" s="1"/>
  <c r="Y99" i="65"/>
  <c r="Y10" i="65" s="1"/>
  <c r="Y21" i="58" s="1"/>
  <c r="BE21" i="58" s="1"/>
  <c r="CK21" i="58" s="1"/>
  <c r="T99" i="65"/>
  <c r="T10" i="65" s="1"/>
  <c r="T21" i="58" s="1"/>
  <c r="AZ21" i="58" s="1"/>
  <c r="CF21" i="58" s="1"/>
  <c r="O99" i="65"/>
  <c r="O10" i="65" s="1"/>
  <c r="O21" i="58" s="1"/>
  <c r="AU21" i="58" s="1"/>
  <c r="CA21" i="58" s="1"/>
  <c r="V99" i="65"/>
  <c r="V10" i="65" s="1"/>
  <c r="V21" i="58" s="1"/>
  <c r="BB21" i="58" s="1"/>
  <c r="CH21" i="58" s="1"/>
  <c r="R99" i="65"/>
  <c r="R10" i="65" s="1"/>
  <c r="R21" i="58" s="1"/>
  <c r="AX21" i="58" s="1"/>
  <c r="CD21" i="58" s="1"/>
  <c r="Q99" i="65"/>
  <c r="Q10" i="65" s="1"/>
  <c r="Q21" i="58" s="1"/>
  <c r="AW21" i="58" s="1"/>
  <c r="CC21" i="58" s="1"/>
  <c r="S99" i="65"/>
  <c r="S10" i="65" s="1"/>
  <c r="S21" i="58" s="1"/>
  <c r="AY21" i="58" s="1"/>
  <c r="CE21" i="58" s="1"/>
  <c r="X99" i="65"/>
  <c r="X10" i="65" s="1"/>
  <c r="X21" i="58" s="1"/>
  <c r="BD21" i="58" s="1"/>
  <c r="CJ21" i="58" s="1"/>
  <c r="AC99" i="65"/>
  <c r="AC10" i="65" s="1"/>
  <c r="AC21" i="58" s="1"/>
  <c r="BI21" i="58" s="1"/>
  <c r="CO21" i="58" s="1"/>
  <c r="AE111" i="65"/>
  <c r="AE9" i="65"/>
  <c r="Z111" i="65"/>
  <c r="Z9" i="65"/>
  <c r="AD111" i="65"/>
  <c r="AD9" i="65"/>
  <c r="AC111" i="65"/>
  <c r="AC9" i="65"/>
  <c r="W111" i="65"/>
  <c r="W9" i="65"/>
  <c r="U99" i="65"/>
  <c r="U10" i="65" s="1"/>
  <c r="U21" i="58" s="1"/>
  <c r="BA21" i="58" s="1"/>
  <c r="CG21" i="58" s="1"/>
  <c r="P99" i="65"/>
  <c r="P10" i="65" s="1"/>
  <c r="P21" i="58" s="1"/>
  <c r="AV21" i="58" s="1"/>
  <c r="CB21" i="58" s="1"/>
  <c r="W99" i="65"/>
  <c r="W10" i="65" s="1"/>
  <c r="W21" i="58" s="1"/>
  <c r="BC21" i="58" s="1"/>
  <c r="CI21" i="58" s="1"/>
  <c r="U111" i="65"/>
  <c r="U9" i="65"/>
  <c r="AE99" i="65"/>
  <c r="AE10" i="65" s="1"/>
  <c r="AE21" i="58" s="1"/>
  <c r="BK21" i="58" s="1"/>
  <c r="CQ21" i="58" s="1"/>
  <c r="R111" i="65"/>
  <c r="R9" i="65"/>
  <c r="P111" i="65"/>
  <c r="P9" i="65"/>
  <c r="AH111" i="65"/>
  <c r="AH9" i="65"/>
  <c r="AG99" i="65"/>
  <c r="AG10" i="65" s="1"/>
  <c r="AG21" i="58" s="1"/>
  <c r="BM21" i="58" s="1"/>
  <c r="CS21" i="58" s="1"/>
  <c r="AF99" i="65"/>
  <c r="AF10" i="65" s="1"/>
  <c r="AF21" i="58" s="1"/>
  <c r="BL21" i="58" s="1"/>
  <c r="CR21" i="58" s="1"/>
  <c r="AB111" i="65"/>
  <c r="AF111" i="65"/>
  <c r="AA111" i="65"/>
  <c r="S111" i="65"/>
  <c r="AG111" i="65"/>
  <c r="O111" i="65"/>
  <c r="V111" i="65"/>
  <c r="Q111" i="65"/>
  <c r="Y111" i="65"/>
  <c r="T111" i="65"/>
  <c r="X111" i="65"/>
  <c r="AB35" i="65"/>
  <c r="AB3" i="65" s="1"/>
  <c r="AB32" i="65"/>
  <c r="AB33" i="65" s="1"/>
  <c r="AB36" i="65" s="1"/>
  <c r="AB4" i="65" s="1"/>
  <c r="AB15" i="58" s="1"/>
  <c r="BH15" i="58" s="1"/>
  <c r="CN15" i="58" s="1"/>
  <c r="AG102" i="65"/>
  <c r="AF103" i="65"/>
  <c r="AF104" i="65" s="1"/>
  <c r="AF13" i="65" s="1"/>
  <c r="Y33" i="65"/>
  <c r="Y36" i="65" s="1"/>
  <c r="Y4" i="65" s="1"/>
  <c r="Y15" i="58" s="1"/>
  <c r="BE15" i="58" s="1"/>
  <c r="CK15" i="58" s="1"/>
  <c r="Z35" i="65"/>
  <c r="Z3" i="65" s="1"/>
  <c r="AA35" i="65"/>
  <c r="AA3" i="65" s="1"/>
  <c r="Z32" i="65"/>
  <c r="AA32" i="65"/>
  <c r="AG67" i="65"/>
  <c r="DS67" i="59"/>
  <c r="DS70" i="59"/>
  <c r="DS62" i="59"/>
  <c r="DS64" i="59"/>
  <c r="DS73" i="59"/>
  <c r="DS65" i="59"/>
  <c r="DS68" i="59"/>
  <c r="DS66" i="59"/>
  <c r="DS69" i="59"/>
  <c r="DT2" i="59"/>
  <c r="DS61" i="59"/>
  <c r="AF24" i="58" l="1"/>
  <c r="BL24" i="58" s="1"/>
  <c r="CR24" i="58" s="1"/>
  <c r="AG103" i="65"/>
  <c r="AG104" i="65" s="1"/>
  <c r="AG13" i="65" s="1"/>
  <c r="AH102" i="65"/>
  <c r="AH103" i="65" s="1"/>
  <c r="AH104" i="65" s="1"/>
  <c r="Z33" i="65"/>
  <c r="Z36" i="65" s="1"/>
  <c r="Z4" i="65" s="1"/>
  <c r="Z15" i="58" s="1"/>
  <c r="BF15" i="58" s="1"/>
  <c r="CL15" i="58" s="1"/>
  <c r="AA33" i="65"/>
  <c r="AA36" i="65" s="1"/>
  <c r="AA4" i="65" s="1"/>
  <c r="AA15" i="58" s="1"/>
  <c r="BG15" i="58" s="1"/>
  <c r="CM15" i="58" s="1"/>
  <c r="AH67" i="65"/>
  <c r="AG72" i="65"/>
  <c r="AG69" i="65"/>
  <c r="DT68" i="59"/>
  <c r="DT61" i="59"/>
  <c r="DT69" i="59"/>
  <c r="DT67" i="59"/>
  <c r="DT73" i="59"/>
  <c r="DT65" i="59"/>
  <c r="DT66" i="59"/>
  <c r="DU2" i="59"/>
  <c r="DT70" i="59"/>
  <c r="DT62" i="59"/>
  <c r="DT64" i="59"/>
  <c r="AG24" i="58" l="1"/>
  <c r="BM24" i="58" s="1"/>
  <c r="CS24" i="58" s="1"/>
  <c r="AH13" i="65"/>
  <c r="AG68" i="65"/>
  <c r="AH131" i="65"/>
  <c r="AH106" i="65"/>
  <c r="AH107" i="65" s="1"/>
  <c r="AH110" i="65"/>
  <c r="AF72" i="65"/>
  <c r="AF69" i="65"/>
  <c r="AF68" i="65"/>
  <c r="AE69" i="65"/>
  <c r="AE68" i="65"/>
  <c r="AE70" i="65" s="1"/>
  <c r="AE71" i="65" s="1"/>
  <c r="AE72" i="65"/>
  <c r="AD72" i="65"/>
  <c r="AD69" i="65"/>
  <c r="AD68" i="65"/>
  <c r="AD70" i="65" s="1"/>
  <c r="AD71" i="65" s="1"/>
  <c r="DU69" i="59"/>
  <c r="DU73" i="59"/>
  <c r="DU62" i="59"/>
  <c r="DU67" i="59"/>
  <c r="DU64" i="59"/>
  <c r="DU66" i="59"/>
  <c r="DU68" i="59"/>
  <c r="DU61" i="59"/>
  <c r="DU65" i="59"/>
  <c r="DU70" i="59"/>
  <c r="DV2" i="59"/>
  <c r="AH24" i="58" l="1"/>
  <c r="BN24" i="58" s="1"/>
  <c r="CT24" i="58" s="1"/>
  <c r="AG70" i="65"/>
  <c r="AG71" i="65" s="1"/>
  <c r="AH112" i="65"/>
  <c r="AH108" i="65"/>
  <c r="AH109" i="65" s="1"/>
  <c r="AH133" i="65"/>
  <c r="AJ133" i="65" s="1"/>
  <c r="AJ131" i="65"/>
  <c r="AF70" i="65"/>
  <c r="AF71" i="65" s="1"/>
  <c r="AE73" i="65"/>
  <c r="AE31" i="65" s="1"/>
  <c r="AE74" i="65"/>
  <c r="AD73" i="65"/>
  <c r="AD31" i="65" s="1"/>
  <c r="AD74" i="65"/>
  <c r="DV70" i="59"/>
  <c r="DV73" i="59"/>
  <c r="DV66" i="59"/>
  <c r="DV67" i="59"/>
  <c r="DV69" i="59"/>
  <c r="DV65" i="59"/>
  <c r="DV68" i="59"/>
  <c r="DV62" i="59"/>
  <c r="DV64" i="59"/>
  <c r="DW2" i="59"/>
  <c r="DV61" i="59"/>
  <c r="AH6" i="65" l="1"/>
  <c r="AH7" i="65"/>
  <c r="AG74" i="65"/>
  <c r="AG73" i="65"/>
  <c r="AG31" i="65" s="1"/>
  <c r="AH136" i="65"/>
  <c r="AJ136" i="65" s="1"/>
  <c r="AE35" i="65"/>
  <c r="AE3" i="65" s="1"/>
  <c r="AD35" i="65"/>
  <c r="AD3" i="65" s="1"/>
  <c r="AE32" i="65"/>
  <c r="AD32" i="65"/>
  <c r="AF74" i="65"/>
  <c r="AF73" i="65"/>
  <c r="AF31" i="65" s="1"/>
  <c r="DW66" i="59"/>
  <c r="DW67" i="59"/>
  <c r="DW69" i="59"/>
  <c r="DW64" i="59"/>
  <c r="DW73" i="59"/>
  <c r="DW70" i="59"/>
  <c r="DW62" i="59"/>
  <c r="DX2" i="59"/>
  <c r="DW65" i="59"/>
  <c r="DW61" i="59"/>
  <c r="DW68" i="59"/>
  <c r="AH17" i="58" l="1"/>
  <c r="BN17" i="58" s="1"/>
  <c r="CT17" i="58" s="1"/>
  <c r="AH18" i="58"/>
  <c r="BN18" i="58" s="1"/>
  <c r="CT18" i="58" s="1"/>
  <c r="AG35" i="65"/>
  <c r="AG3" i="65" s="1"/>
  <c r="AG32" i="65"/>
  <c r="AE33" i="65"/>
  <c r="AE36" i="65" s="1"/>
  <c r="AE4" i="65" s="1"/>
  <c r="AE15" i="58" s="1"/>
  <c r="BK15" i="58" s="1"/>
  <c r="CQ15" i="58" s="1"/>
  <c r="AD33" i="65"/>
  <c r="AD36" i="65" s="1"/>
  <c r="AD4" i="65" s="1"/>
  <c r="AD15" i="58" s="1"/>
  <c r="BJ15" i="58" s="1"/>
  <c r="CP15" i="58" s="1"/>
  <c r="AG33" i="65"/>
  <c r="AG36" i="65" s="1"/>
  <c r="AG4" i="65" s="1"/>
  <c r="AG15" i="58" s="1"/>
  <c r="BM15" i="58" s="1"/>
  <c r="CS15" i="58" s="1"/>
  <c r="AF35" i="65"/>
  <c r="AF3" i="65" s="1"/>
  <c r="AF32" i="65"/>
  <c r="DX67" i="59"/>
  <c r="DX68" i="59"/>
  <c r="DX65" i="59"/>
  <c r="DX73" i="59"/>
  <c r="DX70" i="59"/>
  <c r="DX61" i="59"/>
  <c r="DX66" i="59"/>
  <c r="DX62" i="59"/>
  <c r="DY2" i="59"/>
  <c r="DX64" i="59"/>
  <c r="DX69" i="59"/>
  <c r="AF33" i="65" l="1"/>
  <c r="AF36" i="65" s="1"/>
  <c r="AF4" i="65" s="1"/>
  <c r="AF15" i="58" s="1"/>
  <c r="BL15" i="58" s="1"/>
  <c r="CR15" i="58" s="1"/>
  <c r="DY73" i="59"/>
  <c r="DY68" i="59"/>
  <c r="DY69" i="59"/>
  <c r="DY66" i="59"/>
  <c r="DY70" i="59"/>
  <c r="DY62" i="59"/>
  <c r="DZ2" i="59"/>
  <c r="DY67" i="59"/>
  <c r="DY64" i="59"/>
  <c r="DY61" i="59"/>
  <c r="DY65" i="59"/>
  <c r="DZ66" i="59" l="1"/>
  <c r="DZ69" i="59"/>
  <c r="DZ70" i="59"/>
  <c r="DZ73" i="59"/>
  <c r="DZ68" i="59"/>
  <c r="DZ61" i="59"/>
  <c r="DZ64" i="59"/>
  <c r="DZ65" i="59"/>
  <c r="DZ67" i="59"/>
  <c r="DZ62" i="59"/>
  <c r="D76" i="60" l="1"/>
  <c r="F76" i="60" s="1"/>
  <c r="R10" i="63" l="1"/>
  <c r="J20" i="63"/>
  <c r="R6" i="63"/>
  <c r="N5" i="63"/>
  <c r="J19" i="63" l="1"/>
  <c r="N20" i="63"/>
  <c r="F5" i="63"/>
  <c r="N19" i="63" l="1"/>
  <c r="EH15" i="59"/>
  <c r="EH9" i="59"/>
  <c r="EG8" i="59"/>
  <c r="EE15" i="59"/>
  <c r="EM6" i="59" l="1"/>
  <c r="EN6" i="59"/>
  <c r="EN15" i="59"/>
  <c r="EM15" i="59"/>
  <c r="E108" i="65" l="1"/>
  <c r="E109" i="65" s="1"/>
  <c r="AG110" i="65"/>
  <c r="AG106" i="65"/>
  <c r="AG107" i="65" s="1"/>
  <c r="AG131" i="65"/>
  <c r="AD110" i="65"/>
  <c r="AD131" i="65"/>
  <c r="AD106" i="65"/>
  <c r="AD107" i="65" s="1"/>
  <c r="AE110" i="65"/>
  <c r="AE131" i="65"/>
  <c r="AE106" i="65"/>
  <c r="AE107" i="65" s="1"/>
  <c r="G131" i="65"/>
  <c r="G106" i="65"/>
  <c r="G107" i="65" s="1"/>
  <c r="F110" i="65"/>
  <c r="F131" i="65"/>
  <c r="F106" i="65"/>
  <c r="F107" i="65" s="1"/>
  <c r="I110" i="65"/>
  <c r="I106" i="65"/>
  <c r="I107" i="65" s="1"/>
  <c r="I131" i="65"/>
  <c r="E131" i="65"/>
  <c r="H131" i="65"/>
  <c r="H106" i="65"/>
  <c r="H107" i="65" s="1"/>
  <c r="H110" i="65"/>
  <c r="J106" i="65"/>
  <c r="J107" i="65" s="1"/>
  <c r="J131" i="65"/>
  <c r="J110" i="65"/>
  <c r="K131" i="65"/>
  <c r="K110" i="65"/>
  <c r="K106" i="65"/>
  <c r="K107" i="65" s="1"/>
  <c r="L131" i="65"/>
  <c r="L110" i="65"/>
  <c r="L106" i="65"/>
  <c r="L107" i="65" s="1"/>
  <c r="M110" i="65"/>
  <c r="M106" i="65"/>
  <c r="M107" i="65" s="1"/>
  <c r="M131" i="65"/>
  <c r="N131" i="65"/>
  <c r="N110" i="65"/>
  <c r="N106" i="65"/>
  <c r="N107" i="65" s="1"/>
  <c r="O106" i="65"/>
  <c r="O107" i="65" s="1"/>
  <c r="O110" i="65"/>
  <c r="O131" i="65"/>
  <c r="P106" i="65"/>
  <c r="P107" i="65" s="1"/>
  <c r="P131" i="65"/>
  <c r="P110" i="65"/>
  <c r="Q110" i="65"/>
  <c r="Q106" i="65"/>
  <c r="Q107" i="65" s="1"/>
  <c r="Q131" i="65"/>
  <c r="R131" i="65"/>
  <c r="R110" i="65"/>
  <c r="R106" i="65"/>
  <c r="R107" i="65" s="1"/>
  <c r="S131" i="65"/>
  <c r="S110" i="65"/>
  <c r="S106" i="65"/>
  <c r="S107" i="65" s="1"/>
  <c r="T131" i="65"/>
  <c r="T106" i="65"/>
  <c r="T107" i="65" s="1"/>
  <c r="T110" i="65"/>
  <c r="V131" i="65"/>
  <c r="V106" i="65"/>
  <c r="V107" i="65" s="1"/>
  <c r="V110" i="65"/>
  <c r="U131" i="65"/>
  <c r="U110" i="65"/>
  <c r="U106" i="65"/>
  <c r="U107" i="65" s="1"/>
  <c r="X131" i="65"/>
  <c r="X110" i="65"/>
  <c r="X106" i="65"/>
  <c r="X107" i="65" s="1"/>
  <c r="W106" i="65"/>
  <c r="W107" i="65" s="1"/>
  <c r="W131" i="65"/>
  <c r="W110" i="65"/>
  <c r="Y131" i="65"/>
  <c r="Y106" i="65"/>
  <c r="Y107" i="65" s="1"/>
  <c r="Y110" i="65"/>
  <c r="Z131" i="65"/>
  <c r="Z106" i="65"/>
  <c r="Z107" i="65" s="1"/>
  <c r="Z110" i="65"/>
  <c r="AA110" i="65"/>
  <c r="AA131" i="65"/>
  <c r="AA106" i="65"/>
  <c r="AA107" i="65" s="1"/>
  <c r="AB110" i="65"/>
  <c r="AB106" i="65"/>
  <c r="AB107" i="65" s="1"/>
  <c r="AB131" i="65"/>
  <c r="AF106" i="65"/>
  <c r="AF107" i="65" s="1"/>
  <c r="AF131" i="65"/>
  <c r="AF110" i="65"/>
  <c r="AC131" i="65"/>
  <c r="AC106" i="65"/>
  <c r="AC107" i="65" s="1"/>
  <c r="AC110" i="65"/>
  <c r="AG112" i="65" l="1"/>
  <c r="AG108" i="65"/>
  <c r="AG109" i="65" s="1"/>
  <c r="AG133" i="65"/>
  <c r="AD133" i="65"/>
  <c r="AD112" i="65"/>
  <c r="AD108" i="65"/>
  <c r="AD109" i="65" s="1"/>
  <c r="AE108" i="65"/>
  <c r="AE109" i="65" s="1"/>
  <c r="AE112" i="65"/>
  <c r="AE133" i="65"/>
  <c r="G133" i="65"/>
  <c r="G108" i="65"/>
  <c r="G109" i="65" s="1"/>
  <c r="G112" i="65"/>
  <c r="F133" i="65"/>
  <c r="F112" i="65"/>
  <c r="F108" i="65"/>
  <c r="F109" i="65" s="1"/>
  <c r="I133" i="65"/>
  <c r="I112" i="65"/>
  <c r="I108" i="65"/>
  <c r="I109" i="65" s="1"/>
  <c r="E133" i="65"/>
  <c r="E112" i="65"/>
  <c r="H133" i="65"/>
  <c r="H112" i="65"/>
  <c r="H108" i="65"/>
  <c r="H109" i="65" s="1"/>
  <c r="J133" i="65"/>
  <c r="J108" i="65"/>
  <c r="J109" i="65" s="1"/>
  <c r="J112" i="65"/>
  <c r="K133" i="65"/>
  <c r="K108" i="65"/>
  <c r="K109" i="65" s="1"/>
  <c r="K112" i="65"/>
  <c r="L133" i="65"/>
  <c r="L112" i="65"/>
  <c r="L108" i="65"/>
  <c r="L109" i="65" s="1"/>
  <c r="M133" i="65"/>
  <c r="M112" i="65"/>
  <c r="M108" i="65"/>
  <c r="M109" i="65" s="1"/>
  <c r="N133" i="65"/>
  <c r="N112" i="65"/>
  <c r="N108" i="65"/>
  <c r="N109" i="65" s="1"/>
  <c r="O133" i="65"/>
  <c r="O112" i="65"/>
  <c r="O108" i="65"/>
  <c r="O109" i="65" s="1"/>
  <c r="P133" i="65"/>
  <c r="P108" i="65"/>
  <c r="P109" i="65" s="1"/>
  <c r="P112" i="65"/>
  <c r="Q133" i="65"/>
  <c r="Q112" i="65"/>
  <c r="Q108" i="65"/>
  <c r="Q109" i="65" s="1"/>
  <c r="R133" i="65"/>
  <c r="R108" i="65"/>
  <c r="R109" i="65" s="1"/>
  <c r="R112" i="65"/>
  <c r="S133" i="65"/>
  <c r="S108" i="65"/>
  <c r="S109" i="65" s="1"/>
  <c r="S112" i="65"/>
  <c r="T133" i="65"/>
  <c r="T112" i="65"/>
  <c r="T108" i="65"/>
  <c r="T109" i="65" s="1"/>
  <c r="V133" i="65"/>
  <c r="V112" i="65"/>
  <c r="V108" i="65"/>
  <c r="V109" i="65" s="1"/>
  <c r="U133" i="65"/>
  <c r="U108" i="65"/>
  <c r="U109" i="65" s="1"/>
  <c r="U112" i="65"/>
  <c r="X133" i="65"/>
  <c r="X112" i="65"/>
  <c r="X108" i="65"/>
  <c r="X109" i="65" s="1"/>
  <c r="W133" i="65"/>
  <c r="W108" i="65"/>
  <c r="W109" i="65" s="1"/>
  <c r="W112" i="65"/>
  <c r="Y133" i="65"/>
  <c r="Y112" i="65"/>
  <c r="Y108" i="65"/>
  <c r="Y109" i="65" s="1"/>
  <c r="Z133" i="65"/>
  <c r="Z108" i="65"/>
  <c r="Z109" i="65" s="1"/>
  <c r="Z112" i="65"/>
  <c r="AA133" i="65"/>
  <c r="AA112" i="65"/>
  <c r="AA108" i="65"/>
  <c r="AA109" i="65" s="1"/>
  <c r="AB133" i="65"/>
  <c r="AB112" i="65"/>
  <c r="AB108" i="65"/>
  <c r="AB109" i="65" s="1"/>
  <c r="AF108" i="65"/>
  <c r="AF109" i="65" s="1"/>
  <c r="AF112" i="65"/>
  <c r="AF133" i="65"/>
  <c r="AC133" i="65"/>
  <c r="AC108" i="65"/>
  <c r="AC109" i="65" s="1"/>
  <c r="AC112" i="65"/>
  <c r="K136" i="65" l="1"/>
  <c r="E136" i="65"/>
  <c r="L136" i="65"/>
  <c r="AG6" i="65"/>
  <c r="AG7" i="65"/>
  <c r="AD6" i="65"/>
  <c r="AD7" i="65"/>
  <c r="AE6" i="65"/>
  <c r="AE7" i="65"/>
  <c r="G6" i="65"/>
  <c r="G7" i="65"/>
  <c r="F6" i="65"/>
  <c r="F7" i="65"/>
  <c r="I6" i="65"/>
  <c r="I7" i="65"/>
  <c r="E6" i="65"/>
  <c r="E7" i="65"/>
  <c r="H6" i="65"/>
  <c r="H7" i="65"/>
  <c r="J6" i="65"/>
  <c r="J7" i="65"/>
  <c r="K6" i="65"/>
  <c r="K7" i="65"/>
  <c r="L6" i="65"/>
  <c r="L7" i="65"/>
  <c r="M6" i="65"/>
  <c r="M7" i="65"/>
  <c r="N6" i="65"/>
  <c r="N7" i="65"/>
  <c r="O6" i="65"/>
  <c r="O7" i="65"/>
  <c r="P6" i="65"/>
  <c r="P7" i="65"/>
  <c r="Q6" i="65"/>
  <c r="Q7" i="65"/>
  <c r="R6" i="65"/>
  <c r="R7" i="65"/>
  <c r="S6" i="65"/>
  <c r="S7" i="65"/>
  <c r="T6" i="65"/>
  <c r="T7" i="65"/>
  <c r="V6" i="65"/>
  <c r="V7" i="65"/>
  <c r="U6" i="65"/>
  <c r="U7" i="65"/>
  <c r="X6" i="65"/>
  <c r="X7" i="65"/>
  <c r="W6" i="65"/>
  <c r="W7" i="65"/>
  <c r="Y6" i="65"/>
  <c r="Y7" i="65"/>
  <c r="Z6" i="65"/>
  <c r="Z7" i="65"/>
  <c r="AA6" i="65"/>
  <c r="AA7" i="65"/>
  <c r="AB6" i="65"/>
  <c r="AB7" i="65"/>
  <c r="AF6" i="65"/>
  <c r="AF7" i="65"/>
  <c r="AC6" i="65"/>
  <c r="AC7" i="65"/>
  <c r="I136" i="65"/>
  <c r="F136" i="65"/>
  <c r="AC136" i="65"/>
  <c r="H136" i="65"/>
  <c r="R136" i="65"/>
  <c r="Y136" i="65"/>
  <c r="J136" i="65"/>
  <c r="M136" i="65"/>
  <c r="N136" i="65"/>
  <c r="O136" i="65"/>
  <c r="P136" i="65"/>
  <c r="Q136" i="65"/>
  <c r="S136" i="65"/>
  <c r="U136" i="65"/>
  <c r="X136" i="65"/>
  <c r="AA136" i="65"/>
  <c r="T136" i="65"/>
  <c r="V136" i="65"/>
  <c r="Z136" i="65"/>
  <c r="AF136" i="65"/>
  <c r="AG136" i="65"/>
  <c r="AD136" i="65"/>
  <c r="AE136" i="65"/>
  <c r="G136" i="65"/>
  <c r="W136" i="65"/>
  <c r="AB136" i="65"/>
  <c r="AG17" i="58" l="1"/>
  <c r="BM17" i="58" s="1"/>
  <c r="CS17" i="58" s="1"/>
  <c r="AG18" i="58"/>
  <c r="BM18" i="58" s="1"/>
  <c r="CS18" i="58" s="1"/>
  <c r="AD17" i="58"/>
  <c r="BJ17" i="58" s="1"/>
  <c r="CP17" i="58" s="1"/>
  <c r="AD18" i="58"/>
  <c r="BJ18" i="58" s="1"/>
  <c r="CP18" i="58" s="1"/>
  <c r="AE17" i="58"/>
  <c r="BK17" i="58" s="1"/>
  <c r="CQ17" i="58" s="1"/>
  <c r="AE18" i="58"/>
  <c r="BK18" i="58" s="1"/>
  <c r="CQ18" i="58" s="1"/>
  <c r="G17" i="58"/>
  <c r="AM17" i="58" s="1"/>
  <c r="BS17" i="58" s="1"/>
  <c r="G18" i="58"/>
  <c r="AM18" i="58" s="1"/>
  <c r="BS18" i="58" s="1"/>
  <c r="F17" i="58"/>
  <c r="AL17" i="58" s="1"/>
  <c r="BR17" i="58" s="1"/>
  <c r="F18" i="58"/>
  <c r="AL18" i="58" s="1"/>
  <c r="BR18" i="58" s="1"/>
  <c r="I17" i="58"/>
  <c r="AO17" i="58" s="1"/>
  <c r="BU17" i="58" s="1"/>
  <c r="I18" i="58"/>
  <c r="AO18" i="58" s="1"/>
  <c r="BU18" i="58" s="1"/>
  <c r="E17" i="58"/>
  <c r="AK17" i="58" s="1"/>
  <c r="BQ17" i="58" s="1"/>
  <c r="E18" i="58"/>
  <c r="AK18" i="58" s="1"/>
  <c r="BQ18" i="58" s="1"/>
  <c r="H17" i="58"/>
  <c r="AN17" i="58" s="1"/>
  <c r="BT17" i="58" s="1"/>
  <c r="H18" i="58"/>
  <c r="AN18" i="58" s="1"/>
  <c r="BT18" i="58" s="1"/>
  <c r="J17" i="58"/>
  <c r="AP17" i="58" s="1"/>
  <c r="BV17" i="58" s="1"/>
  <c r="J18" i="58"/>
  <c r="AP18" i="58" s="1"/>
  <c r="BV18" i="58" s="1"/>
  <c r="K17" i="58"/>
  <c r="AQ17" i="58" s="1"/>
  <c r="BW17" i="58" s="1"/>
  <c r="K18" i="58"/>
  <c r="AQ18" i="58" s="1"/>
  <c r="BW18" i="58" s="1"/>
  <c r="L17" i="58"/>
  <c r="AR17" i="58" s="1"/>
  <c r="BX17" i="58" s="1"/>
  <c r="L18" i="58"/>
  <c r="AR18" i="58" s="1"/>
  <c r="BX18" i="58" s="1"/>
  <c r="M17" i="58"/>
  <c r="AS17" i="58" s="1"/>
  <c r="BY17" i="58" s="1"/>
  <c r="M18" i="58"/>
  <c r="AS18" i="58" s="1"/>
  <c r="BY18" i="58" s="1"/>
  <c r="N17" i="58"/>
  <c r="AT17" i="58" s="1"/>
  <c r="BZ17" i="58" s="1"/>
  <c r="N18" i="58"/>
  <c r="AT18" i="58" s="1"/>
  <c r="BZ18" i="58" s="1"/>
  <c r="O17" i="58"/>
  <c r="AU17" i="58" s="1"/>
  <c r="CA17" i="58" s="1"/>
  <c r="O18" i="58"/>
  <c r="AU18" i="58" s="1"/>
  <c r="CA18" i="58" s="1"/>
  <c r="P17" i="58"/>
  <c r="AV17" i="58" s="1"/>
  <c r="CB17" i="58" s="1"/>
  <c r="P18" i="58"/>
  <c r="AV18" i="58" s="1"/>
  <c r="CB18" i="58" s="1"/>
  <c r="Q17" i="58"/>
  <c r="AW17" i="58" s="1"/>
  <c r="CC17" i="58" s="1"/>
  <c r="Q18" i="58"/>
  <c r="AW18" i="58" s="1"/>
  <c r="CC18" i="58" s="1"/>
  <c r="R17" i="58"/>
  <c r="AX17" i="58" s="1"/>
  <c r="CD17" i="58" s="1"/>
  <c r="R18" i="58"/>
  <c r="AX18" i="58" s="1"/>
  <c r="CD18" i="58" s="1"/>
  <c r="S17" i="58"/>
  <c r="AY17" i="58" s="1"/>
  <c r="CE17" i="58" s="1"/>
  <c r="S18" i="58"/>
  <c r="AY18" i="58" s="1"/>
  <c r="CE18" i="58" s="1"/>
  <c r="T17" i="58"/>
  <c r="AZ17" i="58" s="1"/>
  <c r="CF17" i="58" s="1"/>
  <c r="T18" i="58"/>
  <c r="AZ18" i="58" s="1"/>
  <c r="CF18" i="58" s="1"/>
  <c r="V17" i="58"/>
  <c r="BB17" i="58" s="1"/>
  <c r="CH17" i="58" s="1"/>
  <c r="V18" i="58"/>
  <c r="BB18" i="58" s="1"/>
  <c r="CH18" i="58" s="1"/>
  <c r="U17" i="58"/>
  <c r="BA17" i="58" s="1"/>
  <c r="CG17" i="58" s="1"/>
  <c r="U18" i="58"/>
  <c r="BA18" i="58" s="1"/>
  <c r="CG18" i="58" s="1"/>
  <c r="X17" i="58"/>
  <c r="BD17" i="58" s="1"/>
  <c r="CJ17" i="58" s="1"/>
  <c r="X18" i="58"/>
  <c r="BD18" i="58" s="1"/>
  <c r="CJ18" i="58" s="1"/>
  <c r="W17" i="58"/>
  <c r="BC17" i="58" s="1"/>
  <c r="CI17" i="58" s="1"/>
  <c r="W18" i="58"/>
  <c r="BC18" i="58" s="1"/>
  <c r="CI18" i="58" s="1"/>
  <c r="Y17" i="58"/>
  <c r="BE17" i="58" s="1"/>
  <c r="CK17" i="58" s="1"/>
  <c r="Y18" i="58"/>
  <c r="BE18" i="58" s="1"/>
  <c r="CK18" i="58" s="1"/>
  <c r="Z17" i="58"/>
  <c r="BF17" i="58" s="1"/>
  <c r="CL17" i="58" s="1"/>
  <c r="Z18" i="58"/>
  <c r="BF18" i="58" s="1"/>
  <c r="CL18" i="58" s="1"/>
  <c r="AA17" i="58"/>
  <c r="BG17" i="58" s="1"/>
  <c r="CM17" i="58" s="1"/>
  <c r="AA18" i="58"/>
  <c r="BG18" i="58" s="1"/>
  <c r="CM18" i="58" s="1"/>
  <c r="AB17" i="58"/>
  <c r="BH17" i="58" s="1"/>
  <c r="CN17" i="58" s="1"/>
  <c r="AB18" i="58"/>
  <c r="BH18" i="58" s="1"/>
  <c r="CN18" i="58" s="1"/>
  <c r="AF17" i="58"/>
  <c r="BL17" i="58" s="1"/>
  <c r="CR17" i="58" s="1"/>
  <c r="AF18" i="58"/>
  <c r="BL18" i="58" s="1"/>
  <c r="CR18" i="58" s="1"/>
  <c r="AC17" i="58"/>
  <c r="BI17" i="58" s="1"/>
  <c r="CO17" i="58" s="1"/>
  <c r="AC18" i="58"/>
  <c r="BI18" i="58" s="1"/>
  <c r="CO18" i="58" s="1"/>
  <c r="CT59" i="58"/>
  <c r="CS59" i="58"/>
  <c r="CR59" i="58"/>
  <c r="CQ59" i="58"/>
  <c r="CP59" i="58"/>
  <c r="CO59" i="58"/>
  <c r="CN59" i="58"/>
  <c r="CM59" i="58"/>
  <c r="CL59" i="58"/>
  <c r="CK59" i="58"/>
  <c r="CJ59" i="58"/>
  <c r="CI59" i="58"/>
  <c r="CH59" i="58"/>
  <c r="CG59" i="58"/>
  <c r="CF59" i="58"/>
  <c r="CE59" i="58"/>
  <c r="CD59" i="58"/>
  <c r="CC59" i="58"/>
  <c r="CB59" i="58"/>
  <c r="CA59" i="58"/>
  <c r="BZ59" i="58"/>
  <c r="BY59" i="58"/>
  <c r="BX59" i="58"/>
  <c r="BW59" i="58"/>
  <c r="BV59" i="58"/>
  <c r="BU59" i="58"/>
  <c r="BT59" i="58"/>
  <c r="BS59" i="58"/>
  <c r="BR59" i="58"/>
  <c r="BQ59" i="58"/>
  <c r="BP59" i="58"/>
  <c r="BY58" i="58"/>
  <c r="BX58" i="58"/>
  <c r="BW58" i="58"/>
  <c r="BV58" i="58"/>
  <c r="BU58" i="58"/>
  <c r="BT58" i="58"/>
  <c r="BS58" i="58"/>
  <c r="BR58" i="58"/>
  <c r="BQ58" i="58"/>
  <c r="BP58" i="58"/>
  <c r="BY57" i="58"/>
  <c r="BX57" i="58"/>
  <c r="BW57" i="58"/>
  <c r="BV57" i="58"/>
  <c r="BU57" i="58"/>
  <c r="BT57" i="58"/>
  <c r="BS57" i="58"/>
  <c r="BR57" i="58"/>
  <c r="BQ57" i="58"/>
  <c r="BP57" i="58"/>
  <c r="CT39" i="58"/>
  <c r="CS39" i="58"/>
  <c r="CR39" i="58"/>
  <c r="CQ39" i="58"/>
  <c r="CP39" i="58"/>
  <c r="CO39" i="58"/>
  <c r="CN39" i="58"/>
  <c r="CM39" i="58"/>
  <c r="CL39" i="58"/>
  <c r="CK39" i="58"/>
  <c r="CJ39" i="58"/>
  <c r="CI39" i="58"/>
  <c r="CH39" i="58"/>
  <c r="CG39" i="58"/>
  <c r="CF39" i="58"/>
  <c r="CE39" i="58"/>
  <c r="CD39" i="58"/>
  <c r="CC39" i="58"/>
  <c r="CB39" i="58"/>
  <c r="CA39" i="58"/>
  <c r="BZ39" i="58"/>
  <c r="BY39" i="58"/>
  <c r="BX39" i="58"/>
  <c r="BW39" i="58"/>
  <c r="BV39" i="58"/>
  <c r="BU39" i="58"/>
  <c r="BT39" i="58"/>
  <c r="BS39" i="58"/>
  <c r="BR39" i="58"/>
  <c r="BQ39" i="58"/>
  <c r="BP39" i="58"/>
  <c r="CT34" i="58"/>
  <c r="CS34" i="58"/>
  <c r="CR34" i="58"/>
  <c r="CQ34" i="58"/>
  <c r="CP34" i="58"/>
  <c r="CO34" i="58"/>
  <c r="CN34" i="58"/>
  <c r="CM34" i="58"/>
  <c r="CL34" i="58"/>
  <c r="CK34" i="58"/>
  <c r="CJ34" i="58"/>
  <c r="CI34" i="58"/>
  <c r="CH34" i="58"/>
  <c r="CG34" i="58"/>
  <c r="CF34" i="58"/>
  <c r="CE34" i="58"/>
  <c r="CD34" i="58"/>
  <c r="CC34" i="58"/>
  <c r="CB34" i="58"/>
  <c r="CA34" i="58"/>
  <c r="BZ34" i="58"/>
  <c r="BY34" i="58"/>
  <c r="BX34" i="58"/>
  <c r="BW34" i="58"/>
  <c r="BV34" i="58"/>
  <c r="BU34" i="58"/>
  <c r="BT34" i="58"/>
  <c r="BS34" i="58"/>
  <c r="BR34" i="58"/>
  <c r="BQ34" i="58"/>
  <c r="BP34" i="58"/>
  <c r="CT29" i="58"/>
  <c r="CS29" i="58"/>
  <c r="CR29" i="58"/>
  <c r="CQ29" i="58"/>
  <c r="CP29" i="58"/>
  <c r="CO29" i="58"/>
  <c r="CN29" i="58"/>
  <c r="CM29" i="58"/>
  <c r="CL29" i="58"/>
  <c r="CK29" i="58"/>
  <c r="CJ29" i="58"/>
  <c r="CI29" i="58"/>
  <c r="CH29" i="58"/>
  <c r="CG29" i="58"/>
  <c r="CF29" i="58"/>
  <c r="CE29" i="58"/>
  <c r="CD29" i="58"/>
  <c r="CC29" i="58"/>
  <c r="CB29" i="58"/>
  <c r="CA29" i="58"/>
  <c r="BZ29" i="58"/>
  <c r="BY29" i="58"/>
  <c r="BX29" i="58"/>
  <c r="BW29" i="58"/>
  <c r="BV29" i="58"/>
  <c r="BU29" i="58"/>
  <c r="BT29" i="58"/>
  <c r="BS29" i="58"/>
  <c r="BR29" i="58"/>
  <c r="BQ29" i="58"/>
  <c r="BP29" i="58"/>
  <c r="BQ2" i="58"/>
  <c r="BR2" i="58" s="1"/>
  <c r="BS2" i="58" s="1"/>
  <c r="BT2" i="58" s="1"/>
  <c r="BU2" i="58" s="1"/>
  <c r="BV2" i="58" s="1"/>
  <c r="BW2" i="58" s="1"/>
  <c r="BX2" i="58" s="1"/>
  <c r="BY2" i="58" s="1"/>
  <c r="BZ2" i="58" s="1"/>
  <c r="CA2" i="58" s="1"/>
  <c r="CB2" i="58" s="1"/>
  <c r="CC2" i="58" s="1"/>
  <c r="CD2" i="58" s="1"/>
  <c r="CE2" i="58" s="1"/>
  <c r="CF2" i="58" s="1"/>
  <c r="CG2" i="58" s="1"/>
  <c r="CH2" i="58" s="1"/>
  <c r="CI2" i="58" s="1"/>
  <c r="CJ2" i="58" s="1"/>
  <c r="CK2" i="58" s="1"/>
  <c r="CL2" i="58" s="1"/>
  <c r="CM2" i="58" s="1"/>
  <c r="CN2" i="58" s="1"/>
  <c r="CO2" i="58" s="1"/>
  <c r="CP2" i="58" s="1"/>
  <c r="CQ2" i="58" s="1"/>
  <c r="CR2" i="58" s="1"/>
  <c r="CS2" i="58" s="1"/>
  <c r="CT2" i="58" s="1"/>
  <c r="CW3" i="55"/>
  <c r="CX3" i="55" s="1"/>
  <c r="CY3" i="55" s="1"/>
  <c r="CZ3" i="55" s="1"/>
  <c r="DA3" i="55" s="1"/>
  <c r="DB3" i="55" s="1"/>
  <c r="DC3" i="55" s="1"/>
  <c r="DD3" i="55" s="1"/>
  <c r="DE3" i="55" s="1"/>
  <c r="DF3" i="55" s="1"/>
  <c r="DG3" i="55" s="1"/>
  <c r="DH3" i="55" s="1"/>
  <c r="DI3" i="55" s="1"/>
  <c r="DJ3" i="55" s="1"/>
  <c r="DK3" i="55" s="1"/>
  <c r="DL3" i="55" s="1"/>
  <c r="DM3" i="55" s="1"/>
  <c r="DN3" i="55" s="1"/>
  <c r="DO3" i="55" s="1"/>
  <c r="DP3" i="55" s="1"/>
  <c r="DQ3" i="55" s="1"/>
  <c r="DR3" i="55" s="1"/>
  <c r="DS3" i="55" s="1"/>
  <c r="DT3" i="55" s="1"/>
  <c r="DU3" i="55" s="1"/>
  <c r="DV3" i="55" s="1"/>
  <c r="DW3" i="55" s="1"/>
  <c r="DX3" i="55" s="1"/>
  <c r="DY3" i="55" s="1"/>
  <c r="DZ3" i="55" s="1"/>
  <c r="D21" i="61" l="1"/>
  <c r="D22" i="61"/>
  <c r="D23" i="61"/>
  <c r="D24" i="61"/>
  <c r="D25" i="61"/>
  <c r="D26" i="61"/>
  <c r="D20" i="61"/>
  <c r="C23" i="27" l="1"/>
  <c r="E23" i="60" l="1"/>
  <c r="C6" i="58" l="1"/>
  <c r="C5" i="58"/>
  <c r="C14" i="60" l="1"/>
  <c r="D14" i="60"/>
  <c r="E14" i="60"/>
  <c r="F14" i="60"/>
  <c r="B14" i="60"/>
  <c r="EF15" i="59" l="1"/>
  <c r="EK15" i="59" s="1"/>
  <c r="EG15" i="59"/>
  <c r="EL15" i="59" s="1"/>
  <c r="EF6" i="59"/>
  <c r="EG6" i="59"/>
  <c r="EL6" i="59" s="1"/>
  <c r="CY18" i="58"/>
  <c r="BP33" i="57"/>
  <c r="B11" i="60"/>
  <c r="CJ33" i="57"/>
  <c r="BT33" i="57"/>
  <c r="CR33" i="57"/>
  <c r="CB33" i="57"/>
  <c r="CQ33" i="57"/>
  <c r="CA33" i="57"/>
  <c r="CI33" i="57"/>
  <c r="BS33" i="57"/>
  <c r="CN33" i="57"/>
  <c r="CF33" i="57"/>
  <c r="BX33" i="57"/>
  <c r="CM33" i="57"/>
  <c r="CE33" i="57"/>
  <c r="BW33" i="57"/>
  <c r="CT33" i="57"/>
  <c r="CL33" i="57"/>
  <c r="CD33" i="57"/>
  <c r="BV33" i="57"/>
  <c r="CS33" i="57"/>
  <c r="CK33" i="57"/>
  <c r="CC33" i="57"/>
  <c r="BU33" i="57"/>
  <c r="CP33" i="57"/>
  <c r="CH33" i="57"/>
  <c r="BZ33" i="57"/>
  <c r="BR33" i="57"/>
  <c r="CO33" i="57"/>
  <c r="CG33" i="57"/>
  <c r="BY33" i="57"/>
  <c r="BQ33" i="57"/>
  <c r="EK6" i="59" l="1"/>
  <c r="C11" i="60"/>
  <c r="C23" i="60" s="1"/>
  <c r="EJ15" i="59"/>
  <c r="EO15" i="59" s="1"/>
  <c r="EJ6" i="59"/>
  <c r="EO6" i="59" s="1"/>
  <c r="D23" i="60"/>
  <c r="F23" i="60" s="1"/>
  <c r="L6" i="60"/>
  <c r="B23" i="60"/>
  <c r="L5" i="60"/>
  <c r="F11" i="60"/>
  <c r="AG33" i="57"/>
  <c r="S23" i="60" l="1"/>
  <c r="Z33" i="57"/>
  <c r="AB33" i="57"/>
  <c r="AA33" i="57"/>
  <c r="AC33" i="57"/>
  <c r="U33" i="57"/>
  <c r="P33" i="57"/>
  <c r="D33" i="57"/>
  <c r="AF33" i="57"/>
  <c r="N33" i="57"/>
  <c r="X33" i="57"/>
  <c r="W33" i="57"/>
  <c r="O33" i="57"/>
  <c r="AD33" i="57"/>
  <c r="V33" i="57"/>
  <c r="Q33" i="57"/>
  <c r="M33" i="57"/>
  <c r="L33" i="57"/>
  <c r="S33" i="57"/>
  <c r="R33" i="57"/>
  <c r="K33" i="57"/>
  <c r="AE33" i="57"/>
  <c r="I33" i="57"/>
  <c r="Y33" i="57"/>
  <c r="J33" i="57"/>
  <c r="T33" i="57"/>
  <c r="E33" i="57" l="1"/>
  <c r="F33" i="57"/>
  <c r="G33" i="57"/>
  <c r="H33" i="57"/>
  <c r="EF94" i="59"/>
  <c r="EF92" i="59"/>
  <c r="EF107" i="59"/>
  <c r="BP105" i="59"/>
  <c r="BQ105" i="59"/>
  <c r="BR105" i="59"/>
  <c r="BS105" i="59"/>
  <c r="BT105" i="59"/>
  <c r="BU105" i="59"/>
  <c r="BV105" i="59"/>
  <c r="BW105" i="59"/>
  <c r="BX105" i="59"/>
  <c r="BY105" i="59"/>
  <c r="BZ105" i="59"/>
  <c r="CA105" i="59"/>
  <c r="CB105" i="59"/>
  <c r="CC105" i="59"/>
  <c r="CD105" i="59"/>
  <c r="CE105" i="59"/>
  <c r="CF105" i="59"/>
  <c r="CG105" i="59"/>
  <c r="CH105" i="59"/>
  <c r="CI105" i="59"/>
  <c r="CJ105" i="59"/>
  <c r="CK105" i="59"/>
  <c r="CL105" i="59"/>
  <c r="CM105" i="59"/>
  <c r="CN105" i="59"/>
  <c r="CO105" i="59"/>
  <c r="CP105" i="59"/>
  <c r="CQ105" i="59"/>
  <c r="CR105" i="59"/>
  <c r="CS105" i="59"/>
  <c r="CT105" i="59"/>
  <c r="BP106" i="59"/>
  <c r="BQ106" i="59"/>
  <c r="BR106" i="59"/>
  <c r="BS106" i="59"/>
  <c r="BT106" i="59"/>
  <c r="BU106" i="59"/>
  <c r="BV106" i="59"/>
  <c r="BW106" i="59"/>
  <c r="BX106" i="59"/>
  <c r="BY106" i="59"/>
  <c r="BZ106" i="59"/>
  <c r="CA106" i="59"/>
  <c r="CB106" i="59"/>
  <c r="CC106" i="59"/>
  <c r="CD106" i="59"/>
  <c r="CE106" i="59"/>
  <c r="CF106" i="59"/>
  <c r="CG106" i="59"/>
  <c r="CH106" i="59"/>
  <c r="CI106" i="59"/>
  <c r="CJ106" i="59"/>
  <c r="CK106" i="59"/>
  <c r="CL106" i="59"/>
  <c r="CM106" i="59"/>
  <c r="CN106" i="59"/>
  <c r="CO106" i="59"/>
  <c r="CP106" i="59"/>
  <c r="CQ106" i="59"/>
  <c r="CR106" i="59"/>
  <c r="CS106" i="59"/>
  <c r="CT106" i="59"/>
  <c r="BP108" i="59"/>
  <c r="BQ108" i="59"/>
  <c r="BR108" i="59"/>
  <c r="BS108" i="59"/>
  <c r="BT108" i="59"/>
  <c r="BU108" i="59"/>
  <c r="BV108" i="59"/>
  <c r="BW108" i="59"/>
  <c r="BX108" i="59"/>
  <c r="BY108" i="59"/>
  <c r="BZ108" i="59"/>
  <c r="CA108" i="59"/>
  <c r="CB108" i="59"/>
  <c r="CC108" i="59"/>
  <c r="CD108" i="59"/>
  <c r="CE108" i="59"/>
  <c r="CF108" i="59"/>
  <c r="CG108" i="59"/>
  <c r="CH108" i="59"/>
  <c r="CI108" i="59"/>
  <c r="CJ108" i="59"/>
  <c r="CK108" i="59"/>
  <c r="CL108" i="59"/>
  <c r="CM108" i="59"/>
  <c r="CN108" i="59"/>
  <c r="CO108" i="59"/>
  <c r="CP108" i="59"/>
  <c r="CQ108" i="59"/>
  <c r="CR108" i="59"/>
  <c r="CS108" i="59"/>
  <c r="CT108" i="59"/>
  <c r="BP109" i="59"/>
  <c r="BQ109" i="59"/>
  <c r="BR109" i="59"/>
  <c r="BS109" i="59"/>
  <c r="BT109" i="59"/>
  <c r="BU109" i="59"/>
  <c r="BV109" i="59"/>
  <c r="BW109" i="59"/>
  <c r="BX109" i="59"/>
  <c r="BY109" i="59"/>
  <c r="BZ109" i="59"/>
  <c r="CA109" i="59"/>
  <c r="CB109" i="59"/>
  <c r="CC109" i="59"/>
  <c r="CD109" i="59"/>
  <c r="CE109" i="59"/>
  <c r="CF109" i="59"/>
  <c r="CG109" i="59"/>
  <c r="CH109" i="59"/>
  <c r="CI109" i="59"/>
  <c r="CJ109" i="59"/>
  <c r="CK109" i="59"/>
  <c r="CL109" i="59"/>
  <c r="CM109" i="59"/>
  <c r="CN109" i="59"/>
  <c r="CO109" i="59"/>
  <c r="CP109" i="59"/>
  <c r="CQ109" i="59"/>
  <c r="CR109" i="59"/>
  <c r="CS109" i="59"/>
  <c r="CT109" i="59"/>
  <c r="BP110" i="59"/>
  <c r="BQ110" i="59"/>
  <c r="BR110" i="59"/>
  <c r="BS110" i="59"/>
  <c r="BT110" i="59"/>
  <c r="BU110" i="59"/>
  <c r="BV110" i="59"/>
  <c r="BW110" i="59"/>
  <c r="BX110" i="59"/>
  <c r="BY110" i="59"/>
  <c r="BZ110" i="59"/>
  <c r="CA110" i="59"/>
  <c r="CB110" i="59"/>
  <c r="CC110" i="59"/>
  <c r="CD110" i="59"/>
  <c r="CE110" i="59"/>
  <c r="CF110" i="59"/>
  <c r="CG110" i="59"/>
  <c r="CH110" i="59"/>
  <c r="CI110" i="59"/>
  <c r="CJ110" i="59"/>
  <c r="CK110" i="59"/>
  <c r="CL110" i="59"/>
  <c r="CM110" i="59"/>
  <c r="CN110" i="59"/>
  <c r="CO110" i="59"/>
  <c r="CP110" i="59"/>
  <c r="CQ110" i="59"/>
  <c r="CR110" i="59"/>
  <c r="CS110" i="59"/>
  <c r="CT110" i="59"/>
  <c r="BP111" i="59"/>
  <c r="BQ111" i="59"/>
  <c r="BR111" i="59"/>
  <c r="BS111" i="59"/>
  <c r="BT111" i="59"/>
  <c r="BU111" i="59"/>
  <c r="BV111" i="59"/>
  <c r="BW111" i="59"/>
  <c r="BX111" i="59"/>
  <c r="BY111" i="59"/>
  <c r="BZ111" i="59"/>
  <c r="CA111" i="59"/>
  <c r="CB111" i="59"/>
  <c r="CC111" i="59"/>
  <c r="CD111" i="59"/>
  <c r="CE111" i="59"/>
  <c r="CF111" i="59"/>
  <c r="CG111" i="59"/>
  <c r="CH111" i="59"/>
  <c r="CI111" i="59"/>
  <c r="CJ111" i="59"/>
  <c r="CK111" i="59"/>
  <c r="CL111" i="59"/>
  <c r="CM111" i="59"/>
  <c r="CN111" i="59"/>
  <c r="CO111" i="59"/>
  <c r="CP111" i="59"/>
  <c r="CQ111" i="59"/>
  <c r="CR111" i="59"/>
  <c r="CS111" i="59"/>
  <c r="CT111" i="59"/>
  <c r="BP112" i="59"/>
  <c r="BQ112" i="59"/>
  <c r="BR112" i="59"/>
  <c r="BS112" i="59"/>
  <c r="BT112" i="59"/>
  <c r="BU112" i="59"/>
  <c r="BV112" i="59"/>
  <c r="BW112" i="59"/>
  <c r="BX112" i="59"/>
  <c r="BY112" i="59"/>
  <c r="BZ112" i="59"/>
  <c r="CA112" i="59"/>
  <c r="CB112" i="59"/>
  <c r="CC112" i="59"/>
  <c r="CD112" i="59"/>
  <c r="CE112" i="59"/>
  <c r="CF112" i="59"/>
  <c r="CG112" i="59"/>
  <c r="CH112" i="59"/>
  <c r="CI112" i="59"/>
  <c r="CJ112" i="59"/>
  <c r="CK112" i="59"/>
  <c r="CL112" i="59"/>
  <c r="CM112" i="59"/>
  <c r="CN112" i="59"/>
  <c r="CO112" i="59"/>
  <c r="CP112" i="59"/>
  <c r="CQ112" i="59"/>
  <c r="CR112" i="59"/>
  <c r="CS112" i="59"/>
  <c r="CT112" i="59"/>
  <c r="BP113" i="59"/>
  <c r="BQ113" i="59"/>
  <c r="BR113" i="59"/>
  <c r="BS113" i="59"/>
  <c r="BT113" i="59"/>
  <c r="BU113" i="59"/>
  <c r="BV113" i="59"/>
  <c r="BW113" i="59"/>
  <c r="BX113" i="59"/>
  <c r="BY113" i="59"/>
  <c r="BZ113" i="59"/>
  <c r="CA113" i="59"/>
  <c r="CB113" i="59"/>
  <c r="CC113" i="59"/>
  <c r="CD113" i="59"/>
  <c r="CE113" i="59"/>
  <c r="CF113" i="59"/>
  <c r="CG113" i="59"/>
  <c r="CH113" i="59"/>
  <c r="CI113" i="59"/>
  <c r="CJ113" i="59"/>
  <c r="CK113" i="59"/>
  <c r="CL113" i="59"/>
  <c r="CM113" i="59"/>
  <c r="CN113" i="59"/>
  <c r="CO113" i="59"/>
  <c r="CP113" i="59"/>
  <c r="CQ113" i="59"/>
  <c r="CR113" i="59"/>
  <c r="CS113" i="59"/>
  <c r="CT113" i="59"/>
  <c r="BP114" i="59"/>
  <c r="BQ114" i="59"/>
  <c r="BR114" i="59"/>
  <c r="BS114" i="59"/>
  <c r="BT114" i="59"/>
  <c r="BU114" i="59"/>
  <c r="BV114" i="59"/>
  <c r="BW114" i="59"/>
  <c r="BX114" i="59"/>
  <c r="BY114" i="59"/>
  <c r="BZ114" i="59"/>
  <c r="CA114" i="59"/>
  <c r="CB114" i="59"/>
  <c r="CC114" i="59"/>
  <c r="CD114" i="59"/>
  <c r="CE114" i="59"/>
  <c r="CF114" i="59"/>
  <c r="CG114" i="59"/>
  <c r="CH114" i="59"/>
  <c r="CI114" i="59"/>
  <c r="CJ114" i="59"/>
  <c r="CK114" i="59"/>
  <c r="CL114" i="59"/>
  <c r="CM114" i="59"/>
  <c r="CN114" i="59"/>
  <c r="CO114" i="59"/>
  <c r="CP114" i="59"/>
  <c r="CQ114" i="59"/>
  <c r="CR114" i="59"/>
  <c r="CS114" i="59"/>
  <c r="CT114" i="59"/>
  <c r="BP115" i="59"/>
  <c r="BQ115" i="59"/>
  <c r="BR115" i="59"/>
  <c r="BS115" i="59"/>
  <c r="BT115" i="59"/>
  <c r="BU115" i="59"/>
  <c r="BV115" i="59"/>
  <c r="BW115" i="59"/>
  <c r="BX115" i="59"/>
  <c r="BY115" i="59"/>
  <c r="BZ115" i="59"/>
  <c r="CA115" i="59"/>
  <c r="CB115" i="59"/>
  <c r="CC115" i="59"/>
  <c r="CD115" i="59"/>
  <c r="CE115" i="59"/>
  <c r="CF115" i="59"/>
  <c r="CG115" i="59"/>
  <c r="CH115" i="59"/>
  <c r="CI115" i="59"/>
  <c r="CJ115" i="59"/>
  <c r="CK115" i="59"/>
  <c r="CL115" i="59"/>
  <c r="CM115" i="59"/>
  <c r="CN115" i="59"/>
  <c r="CO115" i="59"/>
  <c r="CP115" i="59"/>
  <c r="CQ115" i="59"/>
  <c r="CR115" i="59"/>
  <c r="CS115" i="59"/>
  <c r="CT115" i="59"/>
  <c r="BP116" i="59"/>
  <c r="BQ116" i="59"/>
  <c r="BR116" i="59"/>
  <c r="BS116" i="59"/>
  <c r="BT116" i="59"/>
  <c r="BU116" i="59"/>
  <c r="BV116" i="59"/>
  <c r="BW116" i="59"/>
  <c r="BX116" i="59"/>
  <c r="BY116" i="59"/>
  <c r="BZ116" i="59"/>
  <c r="CA116" i="59"/>
  <c r="CB116" i="59"/>
  <c r="CC116" i="59"/>
  <c r="CD116" i="59"/>
  <c r="CE116" i="59"/>
  <c r="CF116" i="59"/>
  <c r="CG116" i="59"/>
  <c r="CH116" i="59"/>
  <c r="CI116" i="59"/>
  <c r="CJ116" i="59"/>
  <c r="CK116" i="59"/>
  <c r="CL116" i="59"/>
  <c r="CM116" i="59"/>
  <c r="CN116" i="59"/>
  <c r="CO116" i="59"/>
  <c r="CP116" i="59"/>
  <c r="CQ116" i="59"/>
  <c r="CR116" i="59"/>
  <c r="CS116" i="59"/>
  <c r="CT116" i="59"/>
  <c r="BP117" i="59"/>
  <c r="BQ117" i="59"/>
  <c r="BR117" i="59"/>
  <c r="BS117" i="59"/>
  <c r="BT117" i="59"/>
  <c r="BU117" i="59"/>
  <c r="BV117" i="59"/>
  <c r="BW117" i="59"/>
  <c r="BX117" i="59"/>
  <c r="BY117" i="59"/>
  <c r="BZ117" i="59"/>
  <c r="CA117" i="59"/>
  <c r="CB117" i="59"/>
  <c r="CC117" i="59"/>
  <c r="CD117" i="59"/>
  <c r="CE117" i="59"/>
  <c r="CF117" i="59"/>
  <c r="CG117" i="59"/>
  <c r="CH117" i="59"/>
  <c r="CI117" i="59"/>
  <c r="CJ117" i="59"/>
  <c r="CK117" i="59"/>
  <c r="CL117" i="59"/>
  <c r="CM117" i="59"/>
  <c r="CN117" i="59"/>
  <c r="CO117" i="59"/>
  <c r="CP117" i="59"/>
  <c r="CQ117" i="59"/>
  <c r="CR117" i="59"/>
  <c r="CS117" i="59"/>
  <c r="CT117" i="59"/>
  <c r="BP118" i="59"/>
  <c r="BQ118" i="59"/>
  <c r="BR118" i="59"/>
  <c r="BS118" i="59"/>
  <c r="BT118" i="59"/>
  <c r="BU118" i="59"/>
  <c r="BV118" i="59"/>
  <c r="BW118" i="59"/>
  <c r="BX118" i="59"/>
  <c r="BY118" i="59"/>
  <c r="BZ118" i="59"/>
  <c r="CA118" i="59"/>
  <c r="CB118" i="59"/>
  <c r="CC118" i="59"/>
  <c r="CD118" i="59"/>
  <c r="CE118" i="59"/>
  <c r="CF118" i="59"/>
  <c r="CG118" i="59"/>
  <c r="CH118" i="59"/>
  <c r="CI118" i="59"/>
  <c r="CJ118" i="59"/>
  <c r="CK118" i="59"/>
  <c r="CL118" i="59"/>
  <c r="CM118" i="59"/>
  <c r="CN118" i="59"/>
  <c r="CO118" i="59"/>
  <c r="CP118" i="59"/>
  <c r="CQ118" i="59"/>
  <c r="CR118" i="59"/>
  <c r="CS118" i="59"/>
  <c r="CT118" i="59"/>
  <c r="EF121" i="59"/>
  <c r="EF120" i="59"/>
  <c r="EF119" i="59"/>
  <c r="BP78" i="59"/>
  <c r="BQ78" i="59"/>
  <c r="BR78" i="59"/>
  <c r="BS78" i="59"/>
  <c r="BT78" i="59"/>
  <c r="BU78" i="59"/>
  <c r="BV78" i="59"/>
  <c r="BW78" i="59"/>
  <c r="BX78" i="59"/>
  <c r="BY78" i="59"/>
  <c r="BZ78" i="59"/>
  <c r="CA78" i="59"/>
  <c r="CB78" i="59"/>
  <c r="CC78" i="59"/>
  <c r="CD78" i="59"/>
  <c r="CE78" i="59"/>
  <c r="CF78" i="59"/>
  <c r="CG78" i="59"/>
  <c r="CH78" i="59"/>
  <c r="CI78" i="59"/>
  <c r="CJ78" i="59"/>
  <c r="CK78" i="59"/>
  <c r="CL78" i="59"/>
  <c r="CM78" i="59"/>
  <c r="CN78" i="59"/>
  <c r="CO78" i="59"/>
  <c r="CP78" i="59"/>
  <c r="CQ78" i="59"/>
  <c r="CR78" i="59"/>
  <c r="CS78" i="59"/>
  <c r="CT78" i="59"/>
  <c r="BP79" i="59"/>
  <c r="BQ79" i="59"/>
  <c r="BR79" i="59"/>
  <c r="BS79" i="59"/>
  <c r="BT79" i="59"/>
  <c r="BU79" i="59"/>
  <c r="BV79" i="59"/>
  <c r="BW79" i="59"/>
  <c r="BX79" i="59"/>
  <c r="BY79" i="59"/>
  <c r="BZ79" i="59"/>
  <c r="CA79" i="59"/>
  <c r="CB79" i="59"/>
  <c r="CC79" i="59"/>
  <c r="CD79" i="59"/>
  <c r="CE79" i="59"/>
  <c r="CF79" i="59"/>
  <c r="CG79" i="59"/>
  <c r="CH79" i="59"/>
  <c r="CI79" i="59"/>
  <c r="CJ79" i="59"/>
  <c r="CK79" i="59"/>
  <c r="CL79" i="59"/>
  <c r="CM79" i="59"/>
  <c r="CN79" i="59"/>
  <c r="CO79" i="59"/>
  <c r="CP79" i="59"/>
  <c r="CQ79" i="59"/>
  <c r="CR79" i="59"/>
  <c r="CS79" i="59"/>
  <c r="CT79" i="59"/>
  <c r="BP81" i="59"/>
  <c r="BQ81" i="59"/>
  <c r="BR81" i="59"/>
  <c r="BS81" i="59"/>
  <c r="BT81" i="59"/>
  <c r="BU81" i="59"/>
  <c r="BV81" i="59"/>
  <c r="BW81" i="59"/>
  <c r="BX81" i="59"/>
  <c r="BY81" i="59"/>
  <c r="BZ81" i="59"/>
  <c r="CA81" i="59"/>
  <c r="CB81" i="59"/>
  <c r="CC81" i="59"/>
  <c r="CD81" i="59"/>
  <c r="CE81" i="59"/>
  <c r="CF81" i="59"/>
  <c r="CG81" i="59"/>
  <c r="CH81" i="59"/>
  <c r="CI81" i="59"/>
  <c r="CJ81" i="59"/>
  <c r="CK81" i="59"/>
  <c r="CL81" i="59"/>
  <c r="CM81" i="59"/>
  <c r="CN81" i="59"/>
  <c r="CO81" i="59"/>
  <c r="CP81" i="59"/>
  <c r="CQ81" i="59"/>
  <c r="CR81" i="59"/>
  <c r="CS81" i="59"/>
  <c r="CT81" i="59"/>
  <c r="BP82" i="59"/>
  <c r="BQ82" i="59"/>
  <c r="BR82" i="59"/>
  <c r="BS82" i="59"/>
  <c r="BT82" i="59"/>
  <c r="BU82" i="59"/>
  <c r="BV82" i="59"/>
  <c r="BW82" i="59"/>
  <c r="BX82" i="59"/>
  <c r="BY82" i="59"/>
  <c r="BZ82" i="59"/>
  <c r="CA82" i="59"/>
  <c r="CB82" i="59"/>
  <c r="CC82" i="59"/>
  <c r="CD82" i="59"/>
  <c r="CE82" i="59"/>
  <c r="CF82" i="59"/>
  <c r="CG82" i="59"/>
  <c r="CH82" i="59"/>
  <c r="CI82" i="59"/>
  <c r="CJ82" i="59"/>
  <c r="CK82" i="59"/>
  <c r="CL82" i="59"/>
  <c r="CM82" i="59"/>
  <c r="CN82" i="59"/>
  <c r="CO82" i="59"/>
  <c r="CP82" i="59"/>
  <c r="CQ82" i="59"/>
  <c r="CR82" i="59"/>
  <c r="CS82" i="59"/>
  <c r="CT82" i="59"/>
  <c r="BP83" i="59"/>
  <c r="BQ83" i="59"/>
  <c r="BR83" i="59"/>
  <c r="BS83" i="59"/>
  <c r="BT83" i="59"/>
  <c r="BU83" i="59"/>
  <c r="BV83" i="59"/>
  <c r="BW83" i="59"/>
  <c r="BX83" i="59"/>
  <c r="BY83" i="59"/>
  <c r="BZ83" i="59"/>
  <c r="CA83" i="59"/>
  <c r="CB83" i="59"/>
  <c r="CC83" i="59"/>
  <c r="CD83" i="59"/>
  <c r="CE83" i="59"/>
  <c r="CF83" i="59"/>
  <c r="CG83" i="59"/>
  <c r="CH83" i="59"/>
  <c r="CI83" i="59"/>
  <c r="CJ83" i="59"/>
  <c r="CK83" i="59"/>
  <c r="CL83" i="59"/>
  <c r="CM83" i="59"/>
  <c r="CN83" i="59"/>
  <c r="CO83" i="59"/>
  <c r="CP83" i="59"/>
  <c r="CQ83" i="59"/>
  <c r="CR83" i="59"/>
  <c r="CS83" i="59"/>
  <c r="CT83" i="59"/>
  <c r="BP84" i="59"/>
  <c r="BQ84" i="59"/>
  <c r="BR84" i="59"/>
  <c r="BS84" i="59"/>
  <c r="BT84" i="59"/>
  <c r="BU84" i="59"/>
  <c r="BV84" i="59"/>
  <c r="BW84" i="59"/>
  <c r="BX84" i="59"/>
  <c r="BY84" i="59"/>
  <c r="BZ84" i="59"/>
  <c r="CA84" i="59"/>
  <c r="CB84" i="59"/>
  <c r="CC84" i="59"/>
  <c r="CD84" i="59"/>
  <c r="CE84" i="59"/>
  <c r="CF84" i="59"/>
  <c r="CG84" i="59"/>
  <c r="CH84" i="59"/>
  <c r="CI84" i="59"/>
  <c r="CJ84" i="59"/>
  <c r="CK84" i="59"/>
  <c r="CL84" i="59"/>
  <c r="CM84" i="59"/>
  <c r="CN84" i="59"/>
  <c r="CO84" i="59"/>
  <c r="CP84" i="59"/>
  <c r="CQ84" i="59"/>
  <c r="CR84" i="59"/>
  <c r="CS84" i="59"/>
  <c r="CT84" i="59"/>
  <c r="BP85" i="59"/>
  <c r="BQ85" i="59"/>
  <c r="BR85" i="59"/>
  <c r="BS85" i="59"/>
  <c r="BT85" i="59"/>
  <c r="BU85" i="59"/>
  <c r="BV85" i="59"/>
  <c r="BW85" i="59"/>
  <c r="BX85" i="59"/>
  <c r="BY85" i="59"/>
  <c r="BZ85" i="59"/>
  <c r="CA85" i="59"/>
  <c r="CB85" i="59"/>
  <c r="CC85" i="59"/>
  <c r="CD85" i="59"/>
  <c r="CE85" i="59"/>
  <c r="CF85" i="59"/>
  <c r="CG85" i="59"/>
  <c r="CH85" i="59"/>
  <c r="CI85" i="59"/>
  <c r="CJ85" i="59"/>
  <c r="CK85" i="59"/>
  <c r="CL85" i="59"/>
  <c r="CM85" i="59"/>
  <c r="CN85" i="59"/>
  <c r="CO85" i="59"/>
  <c r="CP85" i="59"/>
  <c r="CQ85" i="59"/>
  <c r="CR85" i="59"/>
  <c r="CS85" i="59"/>
  <c r="CT85" i="59"/>
  <c r="BP86" i="59"/>
  <c r="BQ86" i="59"/>
  <c r="BR86" i="59"/>
  <c r="BS86" i="59"/>
  <c r="BT86" i="59"/>
  <c r="BU86" i="59"/>
  <c r="BV86" i="59"/>
  <c r="BW86" i="59"/>
  <c r="BX86" i="59"/>
  <c r="BY86" i="59"/>
  <c r="BZ86" i="59"/>
  <c r="CA86" i="59"/>
  <c r="CB86" i="59"/>
  <c r="CC86" i="59"/>
  <c r="CD86" i="59"/>
  <c r="CE86" i="59"/>
  <c r="CF86" i="59"/>
  <c r="CG86" i="59"/>
  <c r="CH86" i="59"/>
  <c r="CI86" i="59"/>
  <c r="CJ86" i="59"/>
  <c r="CK86" i="59"/>
  <c r="CL86" i="59"/>
  <c r="CM86" i="59"/>
  <c r="CN86" i="59"/>
  <c r="CO86" i="59"/>
  <c r="CP86" i="59"/>
  <c r="CQ86" i="59"/>
  <c r="CR86" i="59"/>
  <c r="CS86" i="59"/>
  <c r="CT86" i="59"/>
  <c r="BP87" i="59"/>
  <c r="BQ87" i="59"/>
  <c r="BR87" i="59"/>
  <c r="BS87" i="59"/>
  <c r="BT87" i="59"/>
  <c r="BU87" i="59"/>
  <c r="BV87" i="59"/>
  <c r="BW87" i="59"/>
  <c r="BX87" i="59"/>
  <c r="BY87" i="59"/>
  <c r="BZ87" i="59"/>
  <c r="CA87" i="59"/>
  <c r="CB87" i="59"/>
  <c r="CC87" i="59"/>
  <c r="CD87" i="59"/>
  <c r="CE87" i="59"/>
  <c r="CF87" i="59"/>
  <c r="CG87" i="59"/>
  <c r="CH87" i="59"/>
  <c r="CI87" i="59"/>
  <c r="CJ87" i="59"/>
  <c r="CK87" i="59"/>
  <c r="CL87" i="59"/>
  <c r="CM87" i="59"/>
  <c r="CN87" i="59"/>
  <c r="CO87" i="59"/>
  <c r="CP87" i="59"/>
  <c r="CQ87" i="59"/>
  <c r="CR87" i="59"/>
  <c r="CS87" i="59"/>
  <c r="CT87" i="59"/>
  <c r="BP88" i="59"/>
  <c r="BQ88" i="59"/>
  <c r="BR88" i="59"/>
  <c r="BS88" i="59"/>
  <c r="BT88" i="59"/>
  <c r="BU88" i="59"/>
  <c r="BV88" i="59"/>
  <c r="BW88" i="59"/>
  <c r="BX88" i="59"/>
  <c r="BY88" i="59"/>
  <c r="BZ88" i="59"/>
  <c r="CA88" i="59"/>
  <c r="CB88" i="59"/>
  <c r="CC88" i="59"/>
  <c r="CD88" i="59"/>
  <c r="CE88" i="59"/>
  <c r="CF88" i="59"/>
  <c r="CG88" i="59"/>
  <c r="CH88" i="59"/>
  <c r="CI88" i="59"/>
  <c r="CJ88" i="59"/>
  <c r="CK88" i="59"/>
  <c r="CL88" i="59"/>
  <c r="CM88" i="59"/>
  <c r="CN88" i="59"/>
  <c r="CO88" i="59"/>
  <c r="CP88" i="59"/>
  <c r="CQ88" i="59"/>
  <c r="CR88" i="59"/>
  <c r="CS88" i="59"/>
  <c r="CT88" i="59"/>
  <c r="BP89" i="59"/>
  <c r="BQ89" i="59"/>
  <c r="BR89" i="59"/>
  <c r="BS89" i="59"/>
  <c r="BT89" i="59"/>
  <c r="BU89" i="59"/>
  <c r="BV89" i="59"/>
  <c r="BW89" i="59"/>
  <c r="BX89" i="59"/>
  <c r="BY89" i="59"/>
  <c r="BZ89" i="59"/>
  <c r="CA89" i="59"/>
  <c r="CB89" i="59"/>
  <c r="CC89" i="59"/>
  <c r="CD89" i="59"/>
  <c r="CE89" i="59"/>
  <c r="CF89" i="59"/>
  <c r="CG89" i="59"/>
  <c r="CH89" i="59"/>
  <c r="CI89" i="59"/>
  <c r="CJ89" i="59"/>
  <c r="CK89" i="59"/>
  <c r="CL89" i="59"/>
  <c r="CM89" i="59"/>
  <c r="CN89" i="59"/>
  <c r="CO89" i="59"/>
  <c r="CP89" i="59"/>
  <c r="CQ89" i="59"/>
  <c r="CR89" i="59"/>
  <c r="CS89" i="59"/>
  <c r="CT89" i="59"/>
  <c r="BP90" i="59"/>
  <c r="BQ90" i="59"/>
  <c r="BR90" i="59"/>
  <c r="BS90" i="59"/>
  <c r="BT90" i="59"/>
  <c r="BU90" i="59"/>
  <c r="BV90" i="59"/>
  <c r="BW90" i="59"/>
  <c r="BX90" i="59"/>
  <c r="BY90" i="59"/>
  <c r="BZ90" i="59"/>
  <c r="CA90" i="59"/>
  <c r="CB90" i="59"/>
  <c r="CC90" i="59"/>
  <c r="CD90" i="59"/>
  <c r="CE90" i="59"/>
  <c r="CF90" i="59"/>
  <c r="CG90" i="59"/>
  <c r="CH90" i="59"/>
  <c r="CI90" i="59"/>
  <c r="CJ90" i="59"/>
  <c r="CK90" i="59"/>
  <c r="CL90" i="59"/>
  <c r="CM90" i="59"/>
  <c r="CN90" i="59"/>
  <c r="CO90" i="59"/>
  <c r="CP90" i="59"/>
  <c r="CQ90" i="59"/>
  <c r="CR90" i="59"/>
  <c r="CS90" i="59"/>
  <c r="CT90" i="59"/>
  <c r="BP91" i="59"/>
  <c r="BQ91" i="59"/>
  <c r="BR91" i="59"/>
  <c r="BS91" i="59"/>
  <c r="BT91" i="59"/>
  <c r="BU91" i="59"/>
  <c r="BV91" i="59"/>
  <c r="BW91" i="59"/>
  <c r="BX91" i="59"/>
  <c r="BY91" i="59"/>
  <c r="BZ91" i="59"/>
  <c r="CA91" i="59"/>
  <c r="CB91" i="59"/>
  <c r="CC91" i="59"/>
  <c r="CD91" i="59"/>
  <c r="CE91" i="59"/>
  <c r="CF91" i="59"/>
  <c r="CG91" i="59"/>
  <c r="CH91" i="59"/>
  <c r="CI91" i="59"/>
  <c r="CJ91" i="59"/>
  <c r="CK91" i="59"/>
  <c r="CL91" i="59"/>
  <c r="CM91" i="59"/>
  <c r="CN91" i="59"/>
  <c r="CO91" i="59"/>
  <c r="CP91" i="59"/>
  <c r="CQ91" i="59"/>
  <c r="CR91" i="59"/>
  <c r="CS91" i="59"/>
  <c r="CT91" i="59"/>
  <c r="B97" i="59"/>
  <c r="B79" i="59"/>
  <c r="B80" i="59"/>
  <c r="B81" i="59"/>
  <c r="B82" i="59"/>
  <c r="B83" i="59"/>
  <c r="B84" i="59"/>
  <c r="B85" i="59"/>
  <c r="B86" i="59"/>
  <c r="B87" i="59"/>
  <c r="B88" i="59"/>
  <c r="B89" i="59"/>
  <c r="B90" i="59"/>
  <c r="B91" i="59"/>
  <c r="B92" i="59"/>
  <c r="B93" i="59"/>
  <c r="B94" i="59"/>
  <c r="B95" i="59"/>
  <c r="B78" i="59"/>
  <c r="BP36" i="59"/>
  <c r="BQ36" i="59"/>
  <c r="BR36" i="59"/>
  <c r="BS36" i="59"/>
  <c r="BT36" i="59"/>
  <c r="BU36" i="59"/>
  <c r="BV36" i="59"/>
  <c r="BW36" i="59"/>
  <c r="BX36" i="59"/>
  <c r="BY36" i="59"/>
  <c r="BZ36" i="59"/>
  <c r="CA36" i="59"/>
  <c r="CB36" i="59"/>
  <c r="CC36" i="59"/>
  <c r="CD36" i="59"/>
  <c r="CE36" i="59"/>
  <c r="CF36" i="59"/>
  <c r="CG36" i="59"/>
  <c r="CH36" i="59"/>
  <c r="CI36" i="59"/>
  <c r="CJ36" i="59"/>
  <c r="CK36" i="59"/>
  <c r="CL36" i="59"/>
  <c r="CM36" i="59"/>
  <c r="CN36" i="59"/>
  <c r="CO36" i="59"/>
  <c r="CP36" i="59"/>
  <c r="CQ36" i="59"/>
  <c r="CR36" i="59"/>
  <c r="CS36" i="59"/>
  <c r="CT36" i="59"/>
  <c r="BP37" i="59"/>
  <c r="BQ37" i="59"/>
  <c r="BR37" i="59"/>
  <c r="BS37" i="59"/>
  <c r="BT37" i="59"/>
  <c r="BU37" i="59"/>
  <c r="BV37" i="59"/>
  <c r="BW37" i="59"/>
  <c r="BX37" i="59"/>
  <c r="BY37" i="59"/>
  <c r="BZ37" i="59"/>
  <c r="CA37" i="59"/>
  <c r="CB37" i="59"/>
  <c r="CC37" i="59"/>
  <c r="CD37" i="59"/>
  <c r="CE37" i="59"/>
  <c r="CF37" i="59"/>
  <c r="CG37" i="59"/>
  <c r="CH37" i="59"/>
  <c r="CI37" i="59"/>
  <c r="CJ37" i="59"/>
  <c r="CK37" i="59"/>
  <c r="CL37" i="59"/>
  <c r="CM37" i="59"/>
  <c r="CN37" i="59"/>
  <c r="CO37" i="59"/>
  <c r="CP37" i="59"/>
  <c r="CQ37" i="59"/>
  <c r="CR37" i="59"/>
  <c r="CS37" i="59"/>
  <c r="CT37" i="59"/>
  <c r="BP38" i="59"/>
  <c r="BQ38" i="59"/>
  <c r="BR38" i="59"/>
  <c r="BS38" i="59"/>
  <c r="BT38" i="59"/>
  <c r="BU38" i="59"/>
  <c r="BV38" i="59"/>
  <c r="BW38" i="59"/>
  <c r="BX38" i="59"/>
  <c r="BY38" i="59"/>
  <c r="BZ38" i="59"/>
  <c r="CA38" i="59"/>
  <c r="CB38" i="59"/>
  <c r="CC38" i="59"/>
  <c r="CD38" i="59"/>
  <c r="CE38" i="59"/>
  <c r="CF38" i="59"/>
  <c r="CG38" i="59"/>
  <c r="CH38" i="59"/>
  <c r="CI38" i="59"/>
  <c r="CJ38" i="59"/>
  <c r="CK38" i="59"/>
  <c r="CL38" i="59"/>
  <c r="CM38" i="59"/>
  <c r="CN38" i="59"/>
  <c r="CO38" i="59"/>
  <c r="CP38" i="59"/>
  <c r="CQ38" i="59"/>
  <c r="CR38" i="59"/>
  <c r="CS38" i="59"/>
  <c r="CT38" i="59"/>
  <c r="BP39" i="59"/>
  <c r="BQ39" i="59"/>
  <c r="BR39" i="59"/>
  <c r="BS39" i="59"/>
  <c r="BT39" i="59"/>
  <c r="BU39" i="59"/>
  <c r="BV39" i="59"/>
  <c r="BW39" i="59"/>
  <c r="BX39" i="59"/>
  <c r="BY39" i="59"/>
  <c r="BZ39" i="59"/>
  <c r="CA39" i="59"/>
  <c r="CB39" i="59"/>
  <c r="CC39" i="59"/>
  <c r="CD39" i="59"/>
  <c r="CE39" i="59"/>
  <c r="CF39" i="59"/>
  <c r="CG39" i="59"/>
  <c r="CH39" i="59"/>
  <c r="CI39" i="59"/>
  <c r="CJ39" i="59"/>
  <c r="CK39" i="59"/>
  <c r="CL39" i="59"/>
  <c r="CM39" i="59"/>
  <c r="CN39" i="59"/>
  <c r="CO39" i="59"/>
  <c r="CP39" i="59"/>
  <c r="CQ39" i="59"/>
  <c r="CR39" i="59"/>
  <c r="CS39" i="59"/>
  <c r="CT39" i="59"/>
  <c r="BP40" i="59"/>
  <c r="BQ40" i="59"/>
  <c r="BR40" i="59"/>
  <c r="BS40" i="59"/>
  <c r="BT40" i="59"/>
  <c r="BU40" i="59"/>
  <c r="BV40" i="59"/>
  <c r="BW40" i="59"/>
  <c r="BX40" i="59"/>
  <c r="BY40" i="59"/>
  <c r="BZ40" i="59"/>
  <c r="CA40" i="59"/>
  <c r="CB40" i="59"/>
  <c r="CC40" i="59"/>
  <c r="CD40" i="59"/>
  <c r="CE40" i="59"/>
  <c r="CF40" i="59"/>
  <c r="CG40" i="59"/>
  <c r="CH40" i="59"/>
  <c r="CI40" i="59"/>
  <c r="CJ40" i="59"/>
  <c r="CK40" i="59"/>
  <c r="CL40" i="59"/>
  <c r="CM40" i="59"/>
  <c r="CN40" i="59"/>
  <c r="CO40" i="59"/>
  <c r="CP40" i="59"/>
  <c r="CQ40" i="59"/>
  <c r="CR40" i="59"/>
  <c r="CS40" i="59"/>
  <c r="CT40" i="59"/>
  <c r="BP41" i="59"/>
  <c r="BQ41" i="59"/>
  <c r="BR41" i="59"/>
  <c r="BS41" i="59"/>
  <c r="BT41" i="59"/>
  <c r="BU41" i="59"/>
  <c r="BV41" i="59"/>
  <c r="BW41" i="59"/>
  <c r="BX41" i="59"/>
  <c r="BY41" i="59"/>
  <c r="BZ41" i="59"/>
  <c r="CA41" i="59"/>
  <c r="CB41" i="59"/>
  <c r="CC41" i="59"/>
  <c r="CD41" i="59"/>
  <c r="CE41" i="59"/>
  <c r="CF41" i="59"/>
  <c r="CG41" i="59"/>
  <c r="CH41" i="59"/>
  <c r="CI41" i="59"/>
  <c r="CJ41" i="59"/>
  <c r="CK41" i="59"/>
  <c r="CL41" i="59"/>
  <c r="CM41" i="59"/>
  <c r="CN41" i="59"/>
  <c r="CO41" i="59"/>
  <c r="CP41" i="59"/>
  <c r="CQ41" i="59"/>
  <c r="CR41" i="59"/>
  <c r="CS41" i="59"/>
  <c r="CT41" i="59"/>
  <c r="BP42" i="59"/>
  <c r="BQ42" i="59"/>
  <c r="BR42" i="59"/>
  <c r="BS42" i="59"/>
  <c r="BT42" i="59"/>
  <c r="BU42" i="59"/>
  <c r="BV42" i="59"/>
  <c r="BW42" i="59"/>
  <c r="BX42" i="59"/>
  <c r="BY42" i="59"/>
  <c r="BZ42" i="59"/>
  <c r="CA42" i="59"/>
  <c r="CB42" i="59"/>
  <c r="CC42" i="59"/>
  <c r="CD42" i="59"/>
  <c r="CE42" i="59"/>
  <c r="CF42" i="59"/>
  <c r="CG42" i="59"/>
  <c r="CH42" i="59"/>
  <c r="CI42" i="59"/>
  <c r="CJ42" i="59"/>
  <c r="CK42" i="59"/>
  <c r="CL42" i="59"/>
  <c r="CM42" i="59"/>
  <c r="CN42" i="59"/>
  <c r="CO42" i="59"/>
  <c r="CP42" i="59"/>
  <c r="CQ42" i="59"/>
  <c r="CR42" i="59"/>
  <c r="CS42" i="59"/>
  <c r="CT42" i="59"/>
  <c r="BP43" i="59"/>
  <c r="BQ43" i="59"/>
  <c r="BR43" i="59"/>
  <c r="BS43" i="59"/>
  <c r="BT43" i="59"/>
  <c r="BU43" i="59"/>
  <c r="BV43" i="59"/>
  <c r="BW43" i="59"/>
  <c r="BX43" i="59"/>
  <c r="BY43" i="59"/>
  <c r="BZ43" i="59"/>
  <c r="CA43" i="59"/>
  <c r="CB43" i="59"/>
  <c r="CC43" i="59"/>
  <c r="CD43" i="59"/>
  <c r="CE43" i="59"/>
  <c r="CF43" i="59"/>
  <c r="CG43" i="59"/>
  <c r="CH43" i="59"/>
  <c r="CI43" i="59"/>
  <c r="CJ43" i="59"/>
  <c r="CK43" i="59"/>
  <c r="CL43" i="59"/>
  <c r="CM43" i="59"/>
  <c r="CN43" i="59"/>
  <c r="CO43" i="59"/>
  <c r="CP43" i="59"/>
  <c r="CQ43" i="59"/>
  <c r="CR43" i="59"/>
  <c r="CS43" i="59"/>
  <c r="CT43" i="59"/>
  <c r="BP44" i="59"/>
  <c r="BQ44" i="59"/>
  <c r="BR44" i="59"/>
  <c r="BS44" i="59"/>
  <c r="BT44" i="59"/>
  <c r="BU44" i="59"/>
  <c r="BV44" i="59"/>
  <c r="BW44" i="59"/>
  <c r="BX44" i="59"/>
  <c r="BY44" i="59"/>
  <c r="BZ44" i="59"/>
  <c r="CA44" i="59"/>
  <c r="CB44" i="59"/>
  <c r="CC44" i="59"/>
  <c r="CD44" i="59"/>
  <c r="CE44" i="59"/>
  <c r="CF44" i="59"/>
  <c r="CG44" i="59"/>
  <c r="CH44" i="59"/>
  <c r="CI44" i="59"/>
  <c r="CJ44" i="59"/>
  <c r="CK44" i="59"/>
  <c r="CL44" i="59"/>
  <c r="CM44" i="59"/>
  <c r="CN44" i="59"/>
  <c r="CO44" i="59"/>
  <c r="CP44" i="59"/>
  <c r="CQ44" i="59"/>
  <c r="CR44" i="59"/>
  <c r="CS44" i="59"/>
  <c r="CT44" i="59"/>
  <c r="BP46" i="59"/>
  <c r="BQ46" i="59"/>
  <c r="BR46" i="59"/>
  <c r="BS46" i="59"/>
  <c r="BT46" i="59"/>
  <c r="BU46" i="59"/>
  <c r="BV46" i="59"/>
  <c r="BW46" i="59"/>
  <c r="BX46" i="59"/>
  <c r="BY46" i="59"/>
  <c r="BZ46" i="59"/>
  <c r="CA46" i="59"/>
  <c r="CB46" i="59"/>
  <c r="CC46" i="59"/>
  <c r="CD46" i="59"/>
  <c r="CE46" i="59"/>
  <c r="CF46" i="59"/>
  <c r="CG46" i="59"/>
  <c r="CH46" i="59"/>
  <c r="CI46" i="59"/>
  <c r="CJ46" i="59"/>
  <c r="CK46" i="59"/>
  <c r="CL46" i="59"/>
  <c r="CM46" i="59"/>
  <c r="CN46" i="59"/>
  <c r="CO46" i="59"/>
  <c r="CP46" i="59"/>
  <c r="CQ46" i="59"/>
  <c r="CR46" i="59"/>
  <c r="CS46" i="59"/>
  <c r="CT46" i="59"/>
  <c r="BP47" i="59"/>
  <c r="BQ47" i="59"/>
  <c r="BR47" i="59"/>
  <c r="BS47" i="59"/>
  <c r="BT47" i="59"/>
  <c r="BU47" i="59"/>
  <c r="BV47" i="59"/>
  <c r="BW47" i="59"/>
  <c r="BX47" i="59"/>
  <c r="BY47" i="59"/>
  <c r="BZ47" i="59"/>
  <c r="CA47" i="59"/>
  <c r="CB47" i="59"/>
  <c r="CC47" i="59"/>
  <c r="CD47" i="59"/>
  <c r="CE47" i="59"/>
  <c r="CF47" i="59"/>
  <c r="CG47" i="59"/>
  <c r="CH47" i="59"/>
  <c r="CI47" i="59"/>
  <c r="CJ47" i="59"/>
  <c r="CK47" i="59"/>
  <c r="CL47" i="59"/>
  <c r="CM47" i="59"/>
  <c r="CN47" i="59"/>
  <c r="CO47" i="59"/>
  <c r="CP47" i="59"/>
  <c r="CQ47" i="59"/>
  <c r="CR47" i="59"/>
  <c r="CS47" i="59"/>
  <c r="CT47" i="59"/>
  <c r="BP48" i="59"/>
  <c r="BQ48" i="59"/>
  <c r="BR48" i="59"/>
  <c r="BS48" i="59"/>
  <c r="BT48" i="59"/>
  <c r="BU48" i="59"/>
  <c r="BV48" i="59"/>
  <c r="BW48" i="59"/>
  <c r="BX48" i="59"/>
  <c r="BY48" i="59"/>
  <c r="BZ48" i="59"/>
  <c r="CA48" i="59"/>
  <c r="CB48" i="59"/>
  <c r="CC48" i="59"/>
  <c r="CD48" i="59"/>
  <c r="CE48" i="59"/>
  <c r="CF48" i="59"/>
  <c r="CG48" i="59"/>
  <c r="CH48" i="59"/>
  <c r="CI48" i="59"/>
  <c r="CJ48" i="59"/>
  <c r="CK48" i="59"/>
  <c r="CL48" i="59"/>
  <c r="CM48" i="59"/>
  <c r="CN48" i="59"/>
  <c r="CO48" i="59"/>
  <c r="CP48" i="59"/>
  <c r="CQ48" i="59"/>
  <c r="CR48" i="59"/>
  <c r="CS48" i="59"/>
  <c r="CT48" i="59"/>
  <c r="BP35" i="59"/>
  <c r="BQ35" i="59"/>
  <c r="BR35" i="59"/>
  <c r="BS35" i="59"/>
  <c r="BT35" i="59"/>
  <c r="BU35" i="59"/>
  <c r="BV35" i="59"/>
  <c r="BW35" i="59"/>
  <c r="BX35" i="59"/>
  <c r="BY35" i="59"/>
  <c r="BZ35" i="59"/>
  <c r="CA35" i="59"/>
  <c r="CB35" i="59"/>
  <c r="CC35" i="59"/>
  <c r="CD35" i="59"/>
  <c r="CE35" i="59"/>
  <c r="CF35" i="59"/>
  <c r="CG35" i="59"/>
  <c r="CH35" i="59"/>
  <c r="CI35" i="59"/>
  <c r="CJ35" i="59"/>
  <c r="CK35" i="59"/>
  <c r="CL35" i="59"/>
  <c r="CM35" i="59"/>
  <c r="CN35" i="59"/>
  <c r="CO35" i="59"/>
  <c r="CP35" i="59"/>
  <c r="CQ35" i="59"/>
  <c r="CR35" i="59"/>
  <c r="CS35" i="59"/>
  <c r="CT35" i="59"/>
  <c r="EF80" i="59"/>
  <c r="EE192" i="55"/>
  <c r="EE190" i="55"/>
  <c r="EE187" i="55"/>
  <c r="B122" i="59" l="1"/>
  <c r="B148" i="59"/>
  <c r="B114" i="59"/>
  <c r="B140" i="59"/>
  <c r="B106" i="59"/>
  <c r="B132" i="59"/>
  <c r="B121" i="59"/>
  <c r="B147" i="59"/>
  <c r="B113" i="59"/>
  <c r="B139" i="59"/>
  <c r="B123" i="59"/>
  <c r="B150" i="59"/>
  <c r="B120" i="59"/>
  <c r="B146" i="59"/>
  <c r="B112" i="59"/>
  <c r="B138" i="59"/>
  <c r="B119" i="59"/>
  <c r="B145" i="59"/>
  <c r="B111" i="59"/>
  <c r="B137" i="59"/>
  <c r="B118" i="59"/>
  <c r="B144" i="59"/>
  <c r="B110" i="59"/>
  <c r="B136" i="59"/>
  <c r="B117" i="59"/>
  <c r="B143" i="59"/>
  <c r="B109" i="59"/>
  <c r="B135" i="59"/>
  <c r="B116" i="59"/>
  <c r="B142" i="59"/>
  <c r="B108" i="59"/>
  <c r="B134" i="59"/>
  <c r="B105" i="59"/>
  <c r="B131" i="59"/>
  <c r="B115" i="59"/>
  <c r="B141" i="59"/>
  <c r="B107" i="59"/>
  <c r="B133" i="59"/>
  <c r="BR107" i="59"/>
  <c r="DT107" i="59"/>
  <c r="DL107" i="59"/>
  <c r="DD107" i="59"/>
  <c r="CV107" i="59"/>
  <c r="DS107" i="59"/>
  <c r="DK107" i="59"/>
  <c r="DC107" i="59"/>
  <c r="DY107" i="59"/>
  <c r="DQ107" i="59"/>
  <c r="DI107" i="59"/>
  <c r="DA107" i="59"/>
  <c r="DX107" i="59"/>
  <c r="DP107" i="59"/>
  <c r="DH107" i="59"/>
  <c r="CZ107" i="59"/>
  <c r="DW107" i="59"/>
  <c r="DO107" i="59"/>
  <c r="DG107" i="59"/>
  <c r="CY107" i="59"/>
  <c r="DF107" i="59"/>
  <c r="DZ107" i="59"/>
  <c r="DE107" i="59"/>
  <c r="DV107" i="59"/>
  <c r="DB107" i="59"/>
  <c r="DU107" i="59"/>
  <c r="CX107" i="59"/>
  <c r="DR107" i="59"/>
  <c r="CW107" i="59"/>
  <c r="DN107" i="59"/>
  <c r="DM107" i="59"/>
  <c r="DJ107" i="59"/>
  <c r="BS80" i="59"/>
  <c r="DV80" i="59"/>
  <c r="DN80" i="59"/>
  <c r="DF80" i="59"/>
  <c r="CX80" i="59"/>
  <c r="DT80" i="59"/>
  <c r="DL80" i="59"/>
  <c r="DD80" i="59"/>
  <c r="CV80" i="59"/>
  <c r="DS80" i="59"/>
  <c r="DK80" i="59"/>
  <c r="DC80" i="59"/>
  <c r="DZ80" i="59"/>
  <c r="DR80" i="59"/>
  <c r="DJ80" i="59"/>
  <c r="DB80" i="59"/>
  <c r="DQ80" i="59"/>
  <c r="DA80" i="59"/>
  <c r="DP80" i="59"/>
  <c r="CZ80" i="59"/>
  <c r="DO80" i="59"/>
  <c r="CY80" i="59"/>
  <c r="DM80" i="59"/>
  <c r="CW80" i="59"/>
  <c r="DY80" i="59"/>
  <c r="DI80" i="59"/>
  <c r="DX80" i="59"/>
  <c r="DH80" i="59"/>
  <c r="DE80" i="59"/>
  <c r="DW80" i="59"/>
  <c r="DU80" i="59"/>
  <c r="DG80" i="59"/>
  <c r="BZ119" i="59"/>
  <c r="DX119" i="59"/>
  <c r="DP119" i="59"/>
  <c r="DH119" i="59"/>
  <c r="CZ119" i="59"/>
  <c r="DW119" i="59"/>
  <c r="DO119" i="59"/>
  <c r="DG119" i="59"/>
  <c r="CY119" i="59"/>
  <c r="DU119" i="59"/>
  <c r="DM119" i="59"/>
  <c r="DE119" i="59"/>
  <c r="CW119" i="59"/>
  <c r="DT119" i="59"/>
  <c r="DL119" i="59"/>
  <c r="DD119" i="59"/>
  <c r="CV119" i="59"/>
  <c r="DS119" i="59"/>
  <c r="DK119" i="59"/>
  <c r="DC119" i="59"/>
  <c r="DZ119" i="59"/>
  <c r="DF119" i="59"/>
  <c r="DY119" i="59"/>
  <c r="DB119" i="59"/>
  <c r="DV119" i="59"/>
  <c r="DA119" i="59"/>
  <c r="DR119" i="59"/>
  <c r="CX119" i="59"/>
  <c r="DQ119" i="59"/>
  <c r="DN119" i="59"/>
  <c r="DJ119" i="59"/>
  <c r="DI119" i="59"/>
  <c r="CC107" i="59"/>
  <c r="CT107" i="59"/>
  <c r="BQ107" i="59"/>
  <c r="CS107" i="59"/>
  <c r="CL107" i="59"/>
  <c r="CK107" i="59"/>
  <c r="CD107" i="59"/>
  <c r="CR107" i="59"/>
  <c r="CJ107" i="59"/>
  <c r="CB107" i="59"/>
  <c r="CQ107" i="59"/>
  <c r="CI107" i="59"/>
  <c r="CA107" i="59"/>
  <c r="CP107" i="59"/>
  <c r="CH107" i="59"/>
  <c r="BZ107" i="59"/>
  <c r="CO107" i="59"/>
  <c r="CG107" i="59"/>
  <c r="BY107" i="59"/>
  <c r="CN107" i="59"/>
  <c r="CF107" i="59"/>
  <c r="BX107" i="59"/>
  <c r="CM107" i="59"/>
  <c r="CE107" i="59"/>
  <c r="BW107" i="59"/>
  <c r="BP107" i="59"/>
  <c r="CX14" i="58"/>
  <c r="BV107" i="59"/>
  <c r="BU107" i="59"/>
  <c r="CS119" i="59"/>
  <c r="BT107" i="59"/>
  <c r="BS107" i="59"/>
  <c r="CP119" i="59"/>
  <c r="CC119" i="59"/>
  <c r="BS119" i="59"/>
  <c r="CA119" i="59"/>
  <c r="CI119" i="59"/>
  <c r="CQ119" i="59"/>
  <c r="BV119" i="59"/>
  <c r="CD119" i="59"/>
  <c r="CL119" i="59"/>
  <c r="CT119" i="59"/>
  <c r="BW119" i="59"/>
  <c r="CE119" i="59"/>
  <c r="CM119" i="59"/>
  <c r="BP119" i="59"/>
  <c r="BX119" i="59"/>
  <c r="CF119" i="59"/>
  <c r="CN119" i="59"/>
  <c r="BR119" i="59"/>
  <c r="CG119" i="59"/>
  <c r="BQ119" i="59"/>
  <c r="CH119" i="59"/>
  <c r="BT119" i="59"/>
  <c r="CJ119" i="59"/>
  <c r="BU119" i="59"/>
  <c r="CK119" i="59"/>
  <c r="BY119" i="59"/>
  <c r="CO119" i="59"/>
  <c r="CB119" i="59"/>
  <c r="CR119" i="59"/>
  <c r="CO80" i="59"/>
  <c r="BT80" i="59"/>
  <c r="CB80" i="59"/>
  <c r="CJ80" i="59"/>
  <c r="CR80" i="59"/>
  <c r="BW80" i="59"/>
  <c r="CE80" i="59"/>
  <c r="CM80" i="59"/>
  <c r="BP80" i="59"/>
  <c r="BX80" i="59"/>
  <c r="CF80" i="59"/>
  <c r="CN80" i="59"/>
  <c r="BR80" i="59"/>
  <c r="BZ80" i="59"/>
  <c r="CH80" i="59"/>
  <c r="CP80" i="59"/>
  <c r="CD80" i="59"/>
  <c r="CT80" i="59"/>
  <c r="BU80" i="59"/>
  <c r="CK80" i="59"/>
  <c r="BV80" i="59"/>
  <c r="CL80" i="59"/>
  <c r="CI80" i="59"/>
  <c r="BQ80" i="59"/>
  <c r="CQ80" i="59"/>
  <c r="BY80" i="59"/>
  <c r="CA80" i="59"/>
  <c r="CG80" i="59"/>
  <c r="CS80" i="59"/>
  <c r="CC80" i="59"/>
  <c r="BP73" i="59" l="1"/>
  <c r="BP70" i="59"/>
  <c r="BP69" i="59"/>
  <c r="BP68" i="59"/>
  <c r="BP67" i="59"/>
  <c r="BP66" i="59"/>
  <c r="BP65" i="59"/>
  <c r="BP64" i="59"/>
  <c r="BP62" i="59"/>
  <c r="BP61" i="59"/>
  <c r="K5" i="44"/>
  <c r="EF74" i="59" l="1"/>
  <c r="EF72" i="59"/>
  <c r="EF45" i="59"/>
  <c r="EF63" i="59"/>
  <c r="DX45" i="59" l="1"/>
  <c r="DP45" i="59"/>
  <c r="DH45" i="59"/>
  <c r="CZ45" i="59"/>
  <c r="DW45" i="59"/>
  <c r="DO45" i="59"/>
  <c r="DG45" i="59"/>
  <c r="CY45" i="59"/>
  <c r="DB45" i="59"/>
  <c r="DV45" i="59"/>
  <c r="DN45" i="59"/>
  <c r="DF45" i="59"/>
  <c r="CX45" i="59"/>
  <c r="DR45" i="59"/>
  <c r="DU45" i="59"/>
  <c r="DM45" i="59"/>
  <c r="DE45" i="59"/>
  <c r="CW45" i="59"/>
  <c r="DJ45" i="59"/>
  <c r="DT45" i="59"/>
  <c r="DL45" i="59"/>
  <c r="DD45" i="59"/>
  <c r="CV45" i="59"/>
  <c r="DZ45" i="59"/>
  <c r="DS45" i="59"/>
  <c r="DK45" i="59"/>
  <c r="DC45" i="59"/>
  <c r="DY45" i="59"/>
  <c r="DQ45" i="59"/>
  <c r="DI45" i="59"/>
  <c r="DA45" i="59"/>
  <c r="DZ74" i="59"/>
  <c r="DR74" i="59"/>
  <c r="DJ74" i="59"/>
  <c r="DB74" i="59"/>
  <c r="DW74" i="59"/>
  <c r="DO74" i="59"/>
  <c r="DG74" i="59"/>
  <c r="CY74" i="59"/>
  <c r="DV74" i="59"/>
  <c r="DN74" i="59"/>
  <c r="DF74" i="59"/>
  <c r="CX74" i="59"/>
  <c r="DU74" i="59"/>
  <c r="DI74" i="59"/>
  <c r="CV74" i="59"/>
  <c r="DT74" i="59"/>
  <c r="DH74" i="59"/>
  <c r="DS74" i="59"/>
  <c r="DE74" i="59"/>
  <c r="DQ74" i="59"/>
  <c r="DD74" i="59"/>
  <c r="DP74" i="59"/>
  <c r="DC74" i="59"/>
  <c r="DM74" i="59"/>
  <c r="DA74" i="59"/>
  <c r="DY74" i="59"/>
  <c r="DX74" i="59"/>
  <c r="DL74" i="59"/>
  <c r="DK74" i="59"/>
  <c r="CZ74" i="59"/>
  <c r="CW74" i="59"/>
  <c r="DV63" i="59"/>
  <c r="DN63" i="59"/>
  <c r="DF63" i="59"/>
  <c r="CX63" i="59"/>
  <c r="DT63" i="59"/>
  <c r="DL63" i="59"/>
  <c r="DD63" i="59"/>
  <c r="CV63" i="59"/>
  <c r="DZ63" i="59"/>
  <c r="DR63" i="59"/>
  <c r="DJ63" i="59"/>
  <c r="DB63" i="59"/>
  <c r="DS63" i="59"/>
  <c r="DG63" i="59"/>
  <c r="DQ63" i="59"/>
  <c r="DE63" i="59"/>
  <c r="DH63" i="59"/>
  <c r="DP63" i="59"/>
  <c r="DC63" i="59"/>
  <c r="CW63" i="59"/>
  <c r="DO63" i="59"/>
  <c r="DA63" i="59"/>
  <c r="DU63" i="59"/>
  <c r="DY63" i="59"/>
  <c r="DM63" i="59"/>
  <c r="CZ63" i="59"/>
  <c r="DW63" i="59"/>
  <c r="DX63" i="59"/>
  <c r="DK63" i="59"/>
  <c r="CY63" i="59"/>
  <c r="DI63" i="59"/>
  <c r="DX72" i="59"/>
  <c r="DP72" i="59"/>
  <c r="DH72" i="59"/>
  <c r="CZ72" i="59"/>
  <c r="DU72" i="59"/>
  <c r="DM72" i="59"/>
  <c r="DE72" i="59"/>
  <c r="CW72" i="59"/>
  <c r="DT72" i="59"/>
  <c r="DL72" i="59"/>
  <c r="DD72" i="59"/>
  <c r="CV72" i="59"/>
  <c r="DS72" i="59"/>
  <c r="DG72" i="59"/>
  <c r="DR72" i="59"/>
  <c r="DF72" i="59"/>
  <c r="DQ72" i="59"/>
  <c r="DC72" i="59"/>
  <c r="DO72" i="59"/>
  <c r="DB72" i="59"/>
  <c r="DZ72" i="59"/>
  <c r="DN72" i="59"/>
  <c r="DA72" i="59"/>
  <c r="DY72" i="59"/>
  <c r="DK72" i="59"/>
  <c r="CY72" i="59"/>
  <c r="CX72" i="59"/>
  <c r="DI72" i="59"/>
  <c r="DW72" i="59"/>
  <c r="DV72" i="59"/>
  <c r="DJ72" i="59"/>
  <c r="EF71" i="59"/>
  <c r="BP63" i="59"/>
  <c r="BQ45" i="59"/>
  <c r="BY45" i="59"/>
  <c r="CG45" i="59"/>
  <c r="CO45" i="59"/>
  <c r="BV45" i="59"/>
  <c r="CD45" i="59"/>
  <c r="CL45" i="59"/>
  <c r="CT45" i="59"/>
  <c r="CU47" i="59" s="1"/>
  <c r="EI47" i="59" s="1"/>
  <c r="EI50" i="59" s="1"/>
  <c r="BW45" i="59"/>
  <c r="CE45" i="59"/>
  <c r="CM45" i="59"/>
  <c r="BS45" i="59"/>
  <c r="CF45" i="59"/>
  <c r="CR45" i="59"/>
  <c r="BT45" i="59"/>
  <c r="CH45" i="59"/>
  <c r="CS45" i="59"/>
  <c r="BP45" i="59"/>
  <c r="CB45" i="59"/>
  <c r="CP45" i="59"/>
  <c r="BU45" i="59"/>
  <c r="CN45" i="59"/>
  <c r="BX45" i="59"/>
  <c r="CQ45" i="59"/>
  <c r="BZ45" i="59"/>
  <c r="CC45" i="59"/>
  <c r="CI45" i="59"/>
  <c r="BR45" i="59"/>
  <c r="CA45" i="59"/>
  <c r="CK45" i="59"/>
  <c r="CJ45" i="59"/>
  <c r="BP72" i="59"/>
  <c r="BP74" i="59"/>
  <c r="B36" i="59"/>
  <c r="B62" i="59" s="1"/>
  <c r="B37" i="59"/>
  <c r="B63" i="59" s="1"/>
  <c r="B38" i="59"/>
  <c r="B64" i="59" s="1"/>
  <c r="B39" i="59"/>
  <c r="B65" i="59" s="1"/>
  <c r="B40" i="59"/>
  <c r="B66" i="59" s="1"/>
  <c r="B41" i="59"/>
  <c r="B67" i="59" s="1"/>
  <c r="B42" i="59"/>
  <c r="B68" i="59" s="1"/>
  <c r="B43" i="59"/>
  <c r="B69" i="59" s="1"/>
  <c r="B44" i="59"/>
  <c r="B70" i="59" s="1"/>
  <c r="B45" i="59"/>
  <c r="B71" i="59" s="1"/>
  <c r="B46" i="59"/>
  <c r="B72" i="59" s="1"/>
  <c r="B47" i="59"/>
  <c r="B73" i="59" s="1"/>
  <c r="B48" i="59"/>
  <c r="B74" i="59" s="1"/>
  <c r="B49" i="59"/>
  <c r="B50" i="59"/>
  <c r="B51" i="59"/>
  <c r="B52" i="59"/>
  <c r="B53" i="59"/>
  <c r="B35" i="59"/>
  <c r="B61" i="59" s="1"/>
  <c r="C32" i="59"/>
  <c r="BP23" i="59"/>
  <c r="BP146" i="59" s="1"/>
  <c r="BQ23" i="59"/>
  <c r="BQ146" i="59" s="1"/>
  <c r="BR23" i="59"/>
  <c r="BR146" i="59" s="1"/>
  <c r="BS23" i="59"/>
  <c r="BT23" i="59"/>
  <c r="BT146" i="59" s="1"/>
  <c r="BU23" i="59"/>
  <c r="BV23" i="59"/>
  <c r="BW23" i="59"/>
  <c r="BX23" i="59"/>
  <c r="BY23" i="59"/>
  <c r="BZ23" i="59"/>
  <c r="CA23" i="59"/>
  <c r="CB23" i="59"/>
  <c r="CC23" i="59"/>
  <c r="CD23" i="59"/>
  <c r="CE23" i="59"/>
  <c r="CF23" i="59"/>
  <c r="CG23" i="59"/>
  <c r="CH23" i="59"/>
  <c r="CI23" i="59"/>
  <c r="CJ23" i="59"/>
  <c r="CK23" i="59"/>
  <c r="CL23" i="59"/>
  <c r="CM23" i="59"/>
  <c r="CN23" i="59"/>
  <c r="CO23" i="59"/>
  <c r="CP23" i="59"/>
  <c r="CQ23" i="59"/>
  <c r="CR23" i="59"/>
  <c r="CR146" i="59" s="1"/>
  <c r="CS23" i="59"/>
  <c r="CT23" i="59"/>
  <c r="BQ2" i="59"/>
  <c r="BQ72" i="59" s="1"/>
  <c r="B28" i="59"/>
  <c r="B99" i="59" s="1"/>
  <c r="B29" i="59"/>
  <c r="B100" i="59" s="1"/>
  <c r="B30" i="59"/>
  <c r="B27" i="59"/>
  <c r="B98" i="59" s="1"/>
  <c r="AJ20" i="59"/>
  <c r="AJ19" i="59"/>
  <c r="D20" i="59"/>
  <c r="D48" i="59" s="1"/>
  <c r="D19" i="59"/>
  <c r="D47" i="59" s="1"/>
  <c r="AJ15" i="59"/>
  <c r="AJ14" i="59"/>
  <c r="D15" i="59"/>
  <c r="D43" i="59" s="1"/>
  <c r="D14" i="59"/>
  <c r="D42" i="59" s="1"/>
  <c r="AJ13" i="59"/>
  <c r="AJ12" i="59"/>
  <c r="D13" i="59"/>
  <c r="D41" i="59" s="1"/>
  <c r="D12" i="59"/>
  <c r="D40" i="59" s="1"/>
  <c r="AJ9" i="59"/>
  <c r="AJ10" i="59"/>
  <c r="AJ11" i="59"/>
  <c r="AJ8" i="59"/>
  <c r="D10" i="59"/>
  <c r="D38" i="59" s="1"/>
  <c r="D11" i="59"/>
  <c r="D39" i="59" s="1"/>
  <c r="D9" i="59"/>
  <c r="D37" i="59" s="1"/>
  <c r="D8" i="59"/>
  <c r="D36" i="59" s="1"/>
  <c r="BS146" i="59" l="1"/>
  <c r="CP146" i="59"/>
  <c r="CH146" i="59"/>
  <c r="BZ146" i="59"/>
  <c r="CO146" i="59"/>
  <c r="CG146" i="59"/>
  <c r="BY146" i="59"/>
  <c r="CN146" i="59"/>
  <c r="CF146" i="59"/>
  <c r="BX146" i="59"/>
  <c r="CM146" i="59"/>
  <c r="CT146" i="59"/>
  <c r="CL146" i="59"/>
  <c r="CE146" i="59"/>
  <c r="BW146" i="59"/>
  <c r="CD146" i="59"/>
  <c r="BV146" i="59"/>
  <c r="BU146" i="59"/>
  <c r="CJ146" i="59"/>
  <c r="CQ146" i="59"/>
  <c r="CS146" i="59"/>
  <c r="CI146" i="59"/>
  <c r="CK146" i="59"/>
  <c r="CB146" i="59"/>
  <c r="CA146" i="59"/>
  <c r="CC146" i="59"/>
  <c r="B124" i="59"/>
  <c r="B151" i="59"/>
  <c r="B126" i="59"/>
  <c r="B153" i="59"/>
  <c r="B125" i="59"/>
  <c r="B152" i="59"/>
  <c r="CM121" i="59"/>
  <c r="CM50" i="59"/>
  <c r="CE121" i="59"/>
  <c r="CE50" i="59"/>
  <c r="BW121" i="59"/>
  <c r="BW50" i="59"/>
  <c r="BX121" i="59"/>
  <c r="BX50" i="59"/>
  <c r="CT121" i="59"/>
  <c r="CT50" i="59"/>
  <c r="CL121" i="59"/>
  <c r="CL50" i="59"/>
  <c r="CD121" i="59"/>
  <c r="CD50" i="59"/>
  <c r="BV121" i="59"/>
  <c r="BV50" i="59"/>
  <c r="CS121" i="59"/>
  <c r="CS50" i="59"/>
  <c r="CK121" i="59"/>
  <c r="CK50" i="59"/>
  <c r="CC121" i="59"/>
  <c r="CC50" i="59"/>
  <c r="BU121" i="59"/>
  <c r="BU50" i="59"/>
  <c r="CR121" i="59"/>
  <c r="CR50" i="59"/>
  <c r="CJ121" i="59"/>
  <c r="CJ50" i="59"/>
  <c r="CB121" i="59"/>
  <c r="CB50" i="59"/>
  <c r="BT121" i="59"/>
  <c r="BT50" i="59"/>
  <c r="CN121" i="59"/>
  <c r="CN50" i="59"/>
  <c r="CQ121" i="59"/>
  <c r="CQ50" i="59"/>
  <c r="CI121" i="59"/>
  <c r="CI50" i="59"/>
  <c r="CA121" i="59"/>
  <c r="CA50" i="59"/>
  <c r="BS121" i="59"/>
  <c r="BS50" i="59"/>
  <c r="CF121" i="59"/>
  <c r="CF50" i="59"/>
  <c r="CP121" i="59"/>
  <c r="CP50" i="59"/>
  <c r="CH121" i="59"/>
  <c r="CH50" i="59"/>
  <c r="BZ121" i="59"/>
  <c r="BZ50" i="59"/>
  <c r="BR121" i="59"/>
  <c r="BR50" i="59"/>
  <c r="BP121" i="59"/>
  <c r="BP50" i="59"/>
  <c r="CO121" i="59"/>
  <c r="CO50" i="59"/>
  <c r="CG121" i="59"/>
  <c r="CG50" i="59"/>
  <c r="BY121" i="59"/>
  <c r="BY50" i="59"/>
  <c r="BQ121" i="59"/>
  <c r="BQ50" i="59"/>
  <c r="DW71" i="59"/>
  <c r="DW75" i="59" s="1"/>
  <c r="DO71" i="59"/>
  <c r="DO75" i="59" s="1"/>
  <c r="DG71" i="59"/>
  <c r="DG75" i="59" s="1"/>
  <c r="CY71" i="59"/>
  <c r="CY75" i="59" s="1"/>
  <c r="DT71" i="59"/>
  <c r="DT75" i="59" s="1"/>
  <c r="DL71" i="59"/>
  <c r="DL75" i="59" s="1"/>
  <c r="DD71" i="59"/>
  <c r="DD75" i="59" s="1"/>
  <c r="CV71" i="59"/>
  <c r="CV75" i="59" s="1"/>
  <c r="DS71" i="59"/>
  <c r="DS75" i="59" s="1"/>
  <c r="DK71" i="59"/>
  <c r="DK75" i="59" s="1"/>
  <c r="DC71" i="59"/>
  <c r="DC75" i="59" s="1"/>
  <c r="DY71" i="59"/>
  <c r="DY75" i="59" s="1"/>
  <c r="DM71" i="59"/>
  <c r="DM75" i="59" s="1"/>
  <c r="CZ71" i="59"/>
  <c r="CZ75" i="59" s="1"/>
  <c r="DX71" i="59"/>
  <c r="DX75" i="59" s="1"/>
  <c r="DJ71" i="59"/>
  <c r="CX71" i="59"/>
  <c r="CX75" i="59" s="1"/>
  <c r="DV71" i="59"/>
  <c r="DV75" i="59" s="1"/>
  <c r="DI71" i="59"/>
  <c r="DI75" i="59" s="1"/>
  <c r="CW71" i="59"/>
  <c r="CW75" i="59" s="1"/>
  <c r="DU71" i="59"/>
  <c r="DU75" i="59" s="1"/>
  <c r="DH71" i="59"/>
  <c r="DH75" i="59" s="1"/>
  <c r="DR71" i="59"/>
  <c r="DR75" i="59" s="1"/>
  <c r="DF71" i="59"/>
  <c r="DF75" i="59" s="1"/>
  <c r="DQ71" i="59"/>
  <c r="DQ75" i="59" s="1"/>
  <c r="DE71" i="59"/>
  <c r="DE75" i="59" s="1"/>
  <c r="DZ71" i="59"/>
  <c r="DZ75" i="59" s="1"/>
  <c r="DP71" i="59"/>
  <c r="DP75" i="59" s="1"/>
  <c r="DN71" i="59"/>
  <c r="DN75" i="59" s="1"/>
  <c r="DB71" i="59"/>
  <c r="DB75" i="59" s="1"/>
  <c r="DA71" i="59"/>
  <c r="DA75" i="59" s="1"/>
  <c r="DJ75" i="59"/>
  <c r="D81" i="59"/>
  <c r="D108" i="59"/>
  <c r="AJ84" i="59"/>
  <c r="AJ111" i="59"/>
  <c r="D82" i="59"/>
  <c r="D109" i="59"/>
  <c r="AJ79" i="59"/>
  <c r="AJ106" i="59"/>
  <c r="D85" i="59"/>
  <c r="D112" i="59"/>
  <c r="AJ85" i="59"/>
  <c r="AJ112" i="59"/>
  <c r="D80" i="59"/>
  <c r="D107" i="59"/>
  <c r="D84" i="59"/>
  <c r="D111" i="59"/>
  <c r="AJ91" i="59"/>
  <c r="AJ118" i="59"/>
  <c r="AJ83" i="59"/>
  <c r="AJ110" i="59"/>
  <c r="AJ80" i="59"/>
  <c r="AJ107" i="59"/>
  <c r="AJ86" i="59"/>
  <c r="AJ113" i="59"/>
  <c r="D91" i="59"/>
  <c r="D118" i="59"/>
  <c r="D90" i="59"/>
  <c r="D117" i="59"/>
  <c r="D79" i="59"/>
  <c r="D106" i="59"/>
  <c r="AJ81" i="59"/>
  <c r="AJ108" i="59"/>
  <c r="D83" i="59"/>
  <c r="D110" i="59"/>
  <c r="AJ90" i="59"/>
  <c r="AJ117" i="59"/>
  <c r="AJ82" i="59"/>
  <c r="AJ109" i="59"/>
  <c r="D86" i="59"/>
  <c r="D113" i="59"/>
  <c r="BQ93" i="59"/>
  <c r="CN93" i="59"/>
  <c r="CF93" i="59"/>
  <c r="BX93" i="59"/>
  <c r="BP93" i="59"/>
  <c r="CG93" i="59"/>
  <c r="CM93" i="59"/>
  <c r="CE93" i="59"/>
  <c r="BW93" i="59"/>
  <c r="B57" i="59"/>
  <c r="B101" i="59"/>
  <c r="CT93" i="59"/>
  <c r="CL93" i="59"/>
  <c r="CD93" i="59"/>
  <c r="BV93" i="59"/>
  <c r="CO93" i="59"/>
  <c r="CS93" i="59"/>
  <c r="CK93" i="59"/>
  <c r="CC93" i="59"/>
  <c r="BU93" i="59"/>
  <c r="CR93" i="59"/>
  <c r="CJ93" i="59"/>
  <c r="CB93" i="59"/>
  <c r="BT93" i="59"/>
  <c r="CQ93" i="59"/>
  <c r="CI93" i="59"/>
  <c r="CA93" i="59"/>
  <c r="BS93" i="59"/>
  <c r="BY93" i="59"/>
  <c r="CP93" i="59"/>
  <c r="CH93" i="59"/>
  <c r="BZ93" i="59"/>
  <c r="BR93" i="59"/>
  <c r="B56" i="59"/>
  <c r="B55" i="59"/>
  <c r="B54" i="59"/>
  <c r="BQ74" i="59"/>
  <c r="BQ63" i="59"/>
  <c r="BQ71" i="59"/>
  <c r="BP71" i="59"/>
  <c r="BP75" i="59" s="1"/>
  <c r="D65" i="59"/>
  <c r="D63" i="59"/>
  <c r="D67" i="59"/>
  <c r="AJ48" i="59"/>
  <c r="AJ74" i="59"/>
  <c r="D68" i="59"/>
  <c r="AJ40" i="59"/>
  <c r="AJ66" i="59"/>
  <c r="AJ37" i="59"/>
  <c r="AJ63" i="59"/>
  <c r="AJ43" i="59"/>
  <c r="AJ69" i="59"/>
  <c r="D74" i="59"/>
  <c r="AJ41" i="59"/>
  <c r="AJ67" i="59"/>
  <c r="D62" i="59"/>
  <c r="AJ47" i="59"/>
  <c r="AJ73" i="59"/>
  <c r="D64" i="59"/>
  <c r="AJ36" i="59"/>
  <c r="AJ62" i="59"/>
  <c r="AJ38" i="59"/>
  <c r="AJ64" i="59"/>
  <c r="D66" i="59"/>
  <c r="AJ39" i="59"/>
  <c r="AJ65" i="59"/>
  <c r="D69" i="59"/>
  <c r="AJ42" i="59"/>
  <c r="AJ68" i="59"/>
  <c r="D73" i="59"/>
  <c r="BR2" i="59"/>
  <c r="BQ68" i="59"/>
  <c r="BQ69" i="59"/>
  <c r="BQ61" i="59"/>
  <c r="BQ70" i="59"/>
  <c r="BQ62" i="59"/>
  <c r="BQ64" i="59"/>
  <c r="BQ73" i="59"/>
  <c r="BQ65" i="59"/>
  <c r="BQ66" i="59"/>
  <c r="BQ67" i="59"/>
  <c r="C31" i="59"/>
  <c r="AK2" i="59"/>
  <c r="AL2" i="59" s="1"/>
  <c r="AM2" i="59" s="1"/>
  <c r="AN2" i="59" s="1"/>
  <c r="AO2" i="59" s="1"/>
  <c r="AP2" i="59" s="1"/>
  <c r="AQ2" i="59" s="1"/>
  <c r="AR2" i="59" s="1"/>
  <c r="AS2" i="59" s="1"/>
  <c r="AT2" i="59" s="1"/>
  <c r="AU2" i="59" s="1"/>
  <c r="AV2" i="59" s="1"/>
  <c r="AW2" i="59" s="1"/>
  <c r="AX2" i="59" s="1"/>
  <c r="AY2" i="59" s="1"/>
  <c r="AZ2" i="59" s="1"/>
  <c r="BA2" i="59" s="1"/>
  <c r="BB2" i="59" s="1"/>
  <c r="BC2" i="59" s="1"/>
  <c r="BD2" i="59" s="1"/>
  <c r="BE2" i="59" s="1"/>
  <c r="BF2" i="59" s="1"/>
  <c r="BG2" i="59" s="1"/>
  <c r="BH2" i="59" s="1"/>
  <c r="BI2" i="59" s="1"/>
  <c r="BJ2" i="59" s="1"/>
  <c r="BK2" i="59" s="1"/>
  <c r="BL2" i="59" s="1"/>
  <c r="BM2" i="59" s="1"/>
  <c r="BN2" i="59" s="1"/>
  <c r="E2" i="59"/>
  <c r="F2" i="59" s="1"/>
  <c r="G2" i="59" s="1"/>
  <c r="H2" i="59" s="1"/>
  <c r="I2" i="59" s="1"/>
  <c r="J2" i="59" s="1"/>
  <c r="K2" i="59" s="1"/>
  <c r="L2" i="59" s="1"/>
  <c r="M2" i="59" s="1"/>
  <c r="N2" i="59" s="1"/>
  <c r="O2" i="59" s="1"/>
  <c r="P2" i="59" s="1"/>
  <c r="Q2" i="59" s="1"/>
  <c r="R2" i="59" s="1"/>
  <c r="S2" i="59" s="1"/>
  <c r="T2" i="59" s="1"/>
  <c r="U2" i="59" s="1"/>
  <c r="V2" i="59" s="1"/>
  <c r="W2" i="59" s="1"/>
  <c r="X2" i="59" s="1"/>
  <c r="Y2" i="59" s="1"/>
  <c r="Z2" i="59" s="1"/>
  <c r="AA2" i="59" s="1"/>
  <c r="AB2" i="59" s="1"/>
  <c r="AC2" i="59" s="1"/>
  <c r="AD2" i="59" s="1"/>
  <c r="AE2" i="59" s="1"/>
  <c r="AF2" i="59" s="1"/>
  <c r="AG2" i="59" s="1"/>
  <c r="AH2" i="59" s="1"/>
  <c r="C11" i="58"/>
  <c r="C10" i="58"/>
  <c r="B187" i="55"/>
  <c r="C27" i="58"/>
  <c r="C9" i="58" s="1"/>
  <c r="C59" i="58"/>
  <c r="C58" i="58"/>
  <c r="B127" i="59" l="1"/>
  <c r="B154" i="59"/>
  <c r="BQ75" i="59"/>
  <c r="BS2" i="59"/>
  <c r="BR69" i="59"/>
  <c r="BR61" i="59"/>
  <c r="BR70" i="59"/>
  <c r="BR62" i="59"/>
  <c r="BR64" i="59"/>
  <c r="BR73" i="59"/>
  <c r="BR65" i="59"/>
  <c r="BR66" i="59"/>
  <c r="BR67" i="59"/>
  <c r="BR68" i="59"/>
  <c r="BR63" i="59"/>
  <c r="BR74" i="59"/>
  <c r="BR72" i="59"/>
  <c r="BR71" i="59"/>
  <c r="C48" i="58"/>
  <c r="C54" i="58"/>
  <c r="C49" i="58"/>
  <c r="C44" i="58"/>
  <c r="C52" i="58"/>
  <c r="C53" i="58"/>
  <c r="C43" i="58"/>
  <c r="C47" i="58"/>
  <c r="C42" i="58"/>
  <c r="C39" i="58"/>
  <c r="C37" i="58"/>
  <c r="C38" i="58"/>
  <c r="C57" i="58"/>
  <c r="C34" i="58"/>
  <c r="C32" i="58"/>
  <c r="C33" i="58"/>
  <c r="C29" i="58"/>
  <c r="C28" i="58"/>
  <c r="AK2" i="58"/>
  <c r="AL2" i="58" s="1"/>
  <c r="AM2" i="58" s="1"/>
  <c r="AN2" i="58" s="1"/>
  <c r="AO2" i="58" s="1"/>
  <c r="AP2" i="58" s="1"/>
  <c r="AQ2" i="58" s="1"/>
  <c r="AR2" i="58" s="1"/>
  <c r="AS2" i="58" s="1"/>
  <c r="AT2" i="58" s="1"/>
  <c r="AU2" i="58" s="1"/>
  <c r="AV2" i="58" s="1"/>
  <c r="AW2" i="58" s="1"/>
  <c r="AX2" i="58" s="1"/>
  <c r="AY2" i="58" s="1"/>
  <c r="AZ2" i="58" s="1"/>
  <c r="BA2" i="58" s="1"/>
  <c r="BB2" i="58" s="1"/>
  <c r="BC2" i="58" s="1"/>
  <c r="BD2" i="58" s="1"/>
  <c r="BE2" i="58" s="1"/>
  <c r="BF2" i="58" s="1"/>
  <c r="BG2" i="58" s="1"/>
  <c r="BH2" i="58" s="1"/>
  <c r="BI2" i="58" s="1"/>
  <c r="BJ2" i="58" s="1"/>
  <c r="BK2" i="58" s="1"/>
  <c r="BL2" i="58" s="1"/>
  <c r="BM2" i="58" s="1"/>
  <c r="BN2" i="58" s="1"/>
  <c r="E2" i="58"/>
  <c r="F2" i="58" s="1"/>
  <c r="G2" i="58" s="1"/>
  <c r="H2" i="58" s="1"/>
  <c r="I2" i="58" s="1"/>
  <c r="J2" i="58" s="1"/>
  <c r="K2" i="58" s="1"/>
  <c r="L2" i="58" s="1"/>
  <c r="M2" i="58" s="1"/>
  <c r="N2" i="58" s="1"/>
  <c r="O2" i="58" s="1"/>
  <c r="P2" i="58" s="1"/>
  <c r="Q2" i="58" s="1"/>
  <c r="R2" i="58" s="1"/>
  <c r="S2" i="58" s="1"/>
  <c r="T2" i="58" s="1"/>
  <c r="U2" i="58" s="1"/>
  <c r="V2" i="58" s="1"/>
  <c r="W2" i="58" s="1"/>
  <c r="X2" i="58" s="1"/>
  <c r="Y2" i="58" s="1"/>
  <c r="Z2" i="58" s="1"/>
  <c r="AA2" i="58" s="1"/>
  <c r="AB2" i="58" s="1"/>
  <c r="AC2" i="58" s="1"/>
  <c r="AD2" i="58" s="1"/>
  <c r="AE2" i="58" s="1"/>
  <c r="AF2" i="58" s="1"/>
  <c r="AG2" i="58" s="1"/>
  <c r="AH2" i="58" s="1"/>
  <c r="AH164" i="55"/>
  <c r="AH72" i="55"/>
  <c r="AH49" i="55"/>
  <c r="AH26" i="55"/>
  <c r="EB189" i="55"/>
  <c r="AH95" i="55" s="1"/>
  <c r="C5" i="50"/>
  <c r="BQ3" i="55"/>
  <c r="BR3" i="55" s="1"/>
  <c r="BS3" i="55" s="1"/>
  <c r="BT3" i="55" s="1"/>
  <c r="BU3" i="55" s="1"/>
  <c r="BV3" i="55" s="1"/>
  <c r="BW3" i="55" s="1"/>
  <c r="BX3" i="55" s="1"/>
  <c r="BY3" i="55" s="1"/>
  <c r="BZ3" i="55" s="1"/>
  <c r="CA3" i="55" s="1"/>
  <c r="CB3" i="55" s="1"/>
  <c r="CC3" i="55" s="1"/>
  <c r="CD3" i="55" s="1"/>
  <c r="CE3" i="55" s="1"/>
  <c r="CF3" i="55" s="1"/>
  <c r="CG3" i="55" s="1"/>
  <c r="CH3" i="55" s="1"/>
  <c r="CI3" i="55" s="1"/>
  <c r="BQ173" i="55"/>
  <c r="CW173" i="55" s="1"/>
  <c r="BR173" i="55"/>
  <c r="CX173" i="55" s="1"/>
  <c r="BS173" i="55"/>
  <c r="CY173" i="55" s="1"/>
  <c r="BT173" i="55"/>
  <c r="CZ173" i="55" s="1"/>
  <c r="BU173" i="55"/>
  <c r="DA173" i="55" s="1"/>
  <c r="BV173" i="55"/>
  <c r="DB173" i="55" s="1"/>
  <c r="BW173" i="55"/>
  <c r="DC173" i="55" s="1"/>
  <c r="BX173" i="55"/>
  <c r="DD173" i="55" s="1"/>
  <c r="BY173" i="55"/>
  <c r="DE173" i="55" s="1"/>
  <c r="BZ173" i="55"/>
  <c r="DF173" i="55" s="1"/>
  <c r="CA173" i="55"/>
  <c r="DG173" i="55" s="1"/>
  <c r="CB173" i="55"/>
  <c r="DH173" i="55" s="1"/>
  <c r="CC173" i="55"/>
  <c r="DI173" i="55" s="1"/>
  <c r="CD173" i="55"/>
  <c r="DJ173" i="55" s="1"/>
  <c r="CE173" i="55"/>
  <c r="DK173" i="55" s="1"/>
  <c r="CF173" i="55"/>
  <c r="DL173" i="55" s="1"/>
  <c r="CG173" i="55"/>
  <c r="DM173" i="55" s="1"/>
  <c r="CH173" i="55"/>
  <c r="DN173" i="55" s="1"/>
  <c r="CI173" i="55"/>
  <c r="DO173" i="55" s="1"/>
  <c r="CJ173" i="55"/>
  <c r="DP173" i="55" s="1"/>
  <c r="CK173" i="55"/>
  <c r="DQ173" i="55" s="1"/>
  <c r="CL173" i="55"/>
  <c r="DR173" i="55" s="1"/>
  <c r="CM173" i="55"/>
  <c r="DS173" i="55" s="1"/>
  <c r="CN173" i="55"/>
  <c r="DT173" i="55" s="1"/>
  <c r="CO173" i="55"/>
  <c r="DU173" i="55" s="1"/>
  <c r="CP173" i="55"/>
  <c r="DV173" i="55" s="1"/>
  <c r="CQ173" i="55"/>
  <c r="DW173" i="55" s="1"/>
  <c r="CR173" i="55"/>
  <c r="DX173" i="55" s="1"/>
  <c r="CS173" i="55"/>
  <c r="DY173" i="55" s="1"/>
  <c r="CT173" i="55"/>
  <c r="DZ173" i="55" s="1"/>
  <c r="E173" i="55"/>
  <c r="F173" i="55"/>
  <c r="G173" i="55"/>
  <c r="H173" i="55"/>
  <c r="I173" i="55"/>
  <c r="J173" i="55"/>
  <c r="K173" i="55"/>
  <c r="L173" i="55"/>
  <c r="M173" i="55"/>
  <c r="N173" i="55"/>
  <c r="O173" i="55"/>
  <c r="P173" i="55"/>
  <c r="Q173" i="55"/>
  <c r="R173" i="55"/>
  <c r="S173" i="55"/>
  <c r="T173" i="55"/>
  <c r="U173" i="55"/>
  <c r="V173" i="55"/>
  <c r="W173" i="55"/>
  <c r="X173" i="55"/>
  <c r="Y173" i="55"/>
  <c r="Z173" i="55"/>
  <c r="AA173" i="55"/>
  <c r="AB173" i="55"/>
  <c r="AC173" i="55"/>
  <c r="AD173" i="55"/>
  <c r="AE173" i="55"/>
  <c r="AF173" i="55"/>
  <c r="AG173" i="55"/>
  <c r="AH173" i="55"/>
  <c r="D173" i="55"/>
  <c r="D140" i="55"/>
  <c r="AJ140" i="55" s="1"/>
  <c r="CV140" i="55" s="1"/>
  <c r="AH143" i="55"/>
  <c r="AH144" i="55"/>
  <c r="BN144" i="55" s="1"/>
  <c r="D146" i="55"/>
  <c r="AH146" i="55"/>
  <c r="BN146" i="55" s="1"/>
  <c r="D147" i="55"/>
  <c r="BP147" i="55" s="1"/>
  <c r="AH147" i="55"/>
  <c r="BQ104" i="55"/>
  <c r="BQ127" i="55" s="1"/>
  <c r="BQ150" i="55" s="1"/>
  <c r="BR104" i="55"/>
  <c r="BR127" i="55" s="1"/>
  <c r="BR150" i="55" s="1"/>
  <c r="BS104" i="55"/>
  <c r="BS127" i="55" s="1"/>
  <c r="BS150" i="55" s="1"/>
  <c r="BT104" i="55"/>
  <c r="BT127" i="55" s="1"/>
  <c r="BT150" i="55" s="1"/>
  <c r="BU104" i="55"/>
  <c r="BU127" i="55" s="1"/>
  <c r="BU150" i="55" s="1"/>
  <c r="BV104" i="55"/>
  <c r="BV127" i="55" s="1"/>
  <c r="BV150" i="55" s="1"/>
  <c r="BW104" i="55"/>
  <c r="BW127" i="55" s="1"/>
  <c r="BW150" i="55" s="1"/>
  <c r="BX104" i="55"/>
  <c r="BX127" i="55" s="1"/>
  <c r="BX150" i="55" s="1"/>
  <c r="BY104" i="55"/>
  <c r="BY127" i="55" s="1"/>
  <c r="BY150" i="55" s="1"/>
  <c r="BZ104" i="55"/>
  <c r="BZ127" i="55" s="1"/>
  <c r="BZ150" i="55" s="1"/>
  <c r="CA104" i="55"/>
  <c r="CA127" i="55" s="1"/>
  <c r="CA150" i="55" s="1"/>
  <c r="CB104" i="55"/>
  <c r="CB127" i="55" s="1"/>
  <c r="CB150" i="55" s="1"/>
  <c r="CC104" i="55"/>
  <c r="CC127" i="55" s="1"/>
  <c r="CC150" i="55" s="1"/>
  <c r="CD104" i="55"/>
  <c r="CD127" i="55" s="1"/>
  <c r="CD150" i="55" s="1"/>
  <c r="CE104" i="55"/>
  <c r="CE127" i="55" s="1"/>
  <c r="CE150" i="55" s="1"/>
  <c r="CF104" i="55"/>
  <c r="CF127" i="55" s="1"/>
  <c r="CF150" i="55" s="1"/>
  <c r="CG104" i="55"/>
  <c r="CG127" i="55" s="1"/>
  <c r="CG150" i="55" s="1"/>
  <c r="CH104" i="55"/>
  <c r="CH127" i="55" s="1"/>
  <c r="CH150" i="55" s="1"/>
  <c r="CI104" i="55"/>
  <c r="CI127" i="55" s="1"/>
  <c r="CI150" i="55" s="1"/>
  <c r="CJ104" i="55"/>
  <c r="CJ127" i="55" s="1"/>
  <c r="CJ150" i="55" s="1"/>
  <c r="CK104" i="55"/>
  <c r="CK127" i="55" s="1"/>
  <c r="CK150" i="55" s="1"/>
  <c r="CL104" i="55"/>
  <c r="CL127" i="55" s="1"/>
  <c r="CL150" i="55" s="1"/>
  <c r="CM104" i="55"/>
  <c r="CM127" i="55" s="1"/>
  <c r="CM150" i="55" s="1"/>
  <c r="CN104" i="55"/>
  <c r="CN127" i="55" s="1"/>
  <c r="CN150" i="55" s="1"/>
  <c r="CO104" i="55"/>
  <c r="CO127" i="55" s="1"/>
  <c r="CO150" i="55" s="1"/>
  <c r="CP104" i="55"/>
  <c r="CP127" i="55" s="1"/>
  <c r="CP150" i="55" s="1"/>
  <c r="CQ104" i="55"/>
  <c r="CQ127" i="55" s="1"/>
  <c r="CQ150" i="55" s="1"/>
  <c r="CR104" i="55"/>
  <c r="CR127" i="55" s="1"/>
  <c r="CR150" i="55" s="1"/>
  <c r="CS104" i="55"/>
  <c r="CS127" i="55" s="1"/>
  <c r="CS150" i="55" s="1"/>
  <c r="CT104" i="55"/>
  <c r="CT127" i="55" s="1"/>
  <c r="CT150" i="55" s="1"/>
  <c r="BQ81" i="55"/>
  <c r="BR81" i="55"/>
  <c r="BS81" i="55"/>
  <c r="BT81" i="55"/>
  <c r="BU81" i="55"/>
  <c r="BV81" i="55"/>
  <c r="BW81" i="55"/>
  <c r="BX81" i="55"/>
  <c r="BY81" i="55"/>
  <c r="BZ81" i="55"/>
  <c r="CA81" i="55"/>
  <c r="CB81" i="55"/>
  <c r="CC81" i="55"/>
  <c r="CD81" i="55"/>
  <c r="CE81" i="55"/>
  <c r="CF81" i="55"/>
  <c r="CG81" i="55"/>
  <c r="CH81" i="55"/>
  <c r="CI81" i="55"/>
  <c r="CJ81" i="55"/>
  <c r="CK81" i="55"/>
  <c r="CL81" i="55"/>
  <c r="CM81" i="55"/>
  <c r="CN81" i="55"/>
  <c r="CO81" i="55"/>
  <c r="CP81" i="55"/>
  <c r="CQ81" i="55"/>
  <c r="CR81" i="55"/>
  <c r="CS81" i="55"/>
  <c r="CT81" i="55"/>
  <c r="BP173" i="55"/>
  <c r="CV173" i="55" s="1"/>
  <c r="AH170" i="55"/>
  <c r="BN170" i="55" s="1"/>
  <c r="D170" i="55"/>
  <c r="BP170" i="55" s="1"/>
  <c r="AH169" i="55"/>
  <c r="BN169" i="55" s="1"/>
  <c r="D169" i="55"/>
  <c r="BP169" i="55" s="1"/>
  <c r="CT169" i="55" s="1"/>
  <c r="AH167" i="55"/>
  <c r="BN167" i="55" s="1"/>
  <c r="AH166" i="55"/>
  <c r="BN166" i="55" s="1"/>
  <c r="DZ166" i="55" s="1"/>
  <c r="D163" i="55"/>
  <c r="AJ163" i="55" s="1"/>
  <c r="CV163" i="55" s="1"/>
  <c r="AH124" i="55"/>
  <c r="BN124" i="55" s="1"/>
  <c r="D124" i="55"/>
  <c r="BP124" i="55" s="1"/>
  <c r="CT124" i="55" s="1"/>
  <c r="BQ124" i="55" s="1"/>
  <c r="BR124" i="55" s="1"/>
  <c r="BS124" i="55" s="1"/>
  <c r="BT124" i="55" s="1"/>
  <c r="BU124" i="55" s="1"/>
  <c r="BV124" i="55" s="1"/>
  <c r="BW124" i="55" s="1"/>
  <c r="BX124" i="55" s="1"/>
  <c r="BY124" i="55" s="1"/>
  <c r="BZ124" i="55" s="1"/>
  <c r="CA124" i="55" s="1"/>
  <c r="CB124" i="55" s="1"/>
  <c r="CC124" i="55" s="1"/>
  <c r="CD124" i="55" s="1"/>
  <c r="CE124" i="55" s="1"/>
  <c r="CF124" i="55" s="1"/>
  <c r="CG124" i="55" s="1"/>
  <c r="CH124" i="55" s="1"/>
  <c r="CI124" i="55" s="1"/>
  <c r="CJ124" i="55" s="1"/>
  <c r="CK124" i="55" s="1"/>
  <c r="CL124" i="55" s="1"/>
  <c r="CM124" i="55" s="1"/>
  <c r="CN124" i="55" s="1"/>
  <c r="CO124" i="55" s="1"/>
  <c r="CP124" i="55" s="1"/>
  <c r="CQ124" i="55" s="1"/>
  <c r="CR124" i="55" s="1"/>
  <c r="CS124" i="55" s="1"/>
  <c r="AH123" i="55"/>
  <c r="BN123" i="55" s="1"/>
  <c r="D123" i="55"/>
  <c r="AJ123" i="55" s="1"/>
  <c r="CV123" i="55" s="1"/>
  <c r="AH121" i="55"/>
  <c r="BN121" i="55" s="1"/>
  <c r="AH120" i="55"/>
  <c r="BN120" i="55" s="1"/>
  <c r="DZ120" i="55" s="1"/>
  <c r="D117" i="55"/>
  <c r="AJ117" i="55" s="1"/>
  <c r="CV117" i="55" s="1"/>
  <c r="BP104" i="55"/>
  <c r="BP127" i="55" s="1"/>
  <c r="BP150" i="55" s="1"/>
  <c r="AH101" i="55"/>
  <c r="BN101" i="55" s="1"/>
  <c r="D101" i="55"/>
  <c r="BP101" i="55" s="1"/>
  <c r="CT101" i="55" s="1"/>
  <c r="AH100" i="55"/>
  <c r="BN100" i="55" s="1"/>
  <c r="D100" i="55"/>
  <c r="AH98" i="55"/>
  <c r="BN98" i="55" s="1"/>
  <c r="AH97" i="55"/>
  <c r="BN97" i="55" s="1"/>
  <c r="DZ97" i="55" s="1"/>
  <c r="D94" i="55"/>
  <c r="BP81" i="55"/>
  <c r="AH78" i="55"/>
  <c r="BN78" i="55" s="1"/>
  <c r="D78" i="55"/>
  <c r="BP78" i="55" s="1"/>
  <c r="CT78" i="55" s="1"/>
  <c r="AH77" i="55"/>
  <c r="BN77" i="55" s="1"/>
  <c r="D77" i="55"/>
  <c r="AH75" i="55"/>
  <c r="BN75" i="55" s="1"/>
  <c r="AH74" i="55"/>
  <c r="BN74" i="55" s="1"/>
  <c r="DZ74" i="55" s="1"/>
  <c r="D71" i="55"/>
  <c r="BP71" i="55" s="1"/>
  <c r="BQ58" i="55"/>
  <c r="BR58" i="55"/>
  <c r="BS58" i="55"/>
  <c r="BT58" i="55"/>
  <c r="BU58" i="55"/>
  <c r="BV58" i="55"/>
  <c r="BW58" i="55"/>
  <c r="BX58" i="55"/>
  <c r="BY58" i="55"/>
  <c r="BZ58" i="55"/>
  <c r="CA58" i="55"/>
  <c r="CB58" i="55"/>
  <c r="CC58" i="55"/>
  <c r="CD58" i="55"/>
  <c r="CE58" i="55"/>
  <c r="CF58" i="55"/>
  <c r="CG58" i="55"/>
  <c r="CH58" i="55"/>
  <c r="CI58" i="55"/>
  <c r="CJ58" i="55"/>
  <c r="CK58" i="55"/>
  <c r="CL58" i="55"/>
  <c r="CM58" i="55"/>
  <c r="CN58" i="55"/>
  <c r="CO58" i="55"/>
  <c r="CP58" i="55"/>
  <c r="CQ58" i="55"/>
  <c r="CR58" i="55"/>
  <c r="CS58" i="55"/>
  <c r="CT58" i="55"/>
  <c r="AH55" i="55"/>
  <c r="BN55" i="55" s="1"/>
  <c r="D55" i="55"/>
  <c r="AJ55" i="55" s="1"/>
  <c r="CV55" i="55" s="1"/>
  <c r="AH54" i="55"/>
  <c r="BN54" i="55" s="1"/>
  <c r="D54" i="55"/>
  <c r="AH52" i="55"/>
  <c r="BN52" i="55" s="1"/>
  <c r="AH51" i="55"/>
  <c r="BN51" i="55" s="1"/>
  <c r="DZ51" i="55" s="1"/>
  <c r="D48" i="55"/>
  <c r="BP48" i="55" s="1"/>
  <c r="AH32" i="55"/>
  <c r="AH31" i="55"/>
  <c r="AH29" i="55"/>
  <c r="AH28" i="55"/>
  <c r="D32" i="55"/>
  <c r="D31" i="55"/>
  <c r="D25" i="55"/>
  <c r="BP58" i="55"/>
  <c r="BQ35" i="55"/>
  <c r="BR35" i="55"/>
  <c r="BS35" i="55"/>
  <c r="BT35" i="55"/>
  <c r="BU35" i="55"/>
  <c r="BV35" i="55"/>
  <c r="BW35" i="55"/>
  <c r="BX35" i="55"/>
  <c r="BY35" i="55"/>
  <c r="BZ35" i="55"/>
  <c r="CA35" i="55"/>
  <c r="CB35" i="55"/>
  <c r="CC35" i="55"/>
  <c r="CD35" i="55"/>
  <c r="CE35" i="55"/>
  <c r="CF35" i="55"/>
  <c r="CG35" i="55"/>
  <c r="CH35" i="55"/>
  <c r="CI35" i="55"/>
  <c r="CJ35" i="55"/>
  <c r="CK35" i="55"/>
  <c r="CL35" i="55"/>
  <c r="CM35" i="55"/>
  <c r="CN35" i="55"/>
  <c r="CO35" i="55"/>
  <c r="CP35" i="55"/>
  <c r="CQ35" i="55"/>
  <c r="CR35" i="55"/>
  <c r="CS35" i="55"/>
  <c r="CT35" i="55"/>
  <c r="BP35" i="55"/>
  <c r="AJ147" i="55" l="1"/>
  <c r="CV147" i="55" s="1"/>
  <c r="E147" i="55"/>
  <c r="AK147" i="55" s="1"/>
  <c r="DZ123" i="55"/>
  <c r="BN147" i="55"/>
  <c r="DZ147" i="55"/>
  <c r="DZ55" i="55"/>
  <c r="BP163" i="55"/>
  <c r="CT163" i="55" s="1"/>
  <c r="BQ163" i="55" s="1"/>
  <c r="BR163" i="55" s="1"/>
  <c r="BS163" i="55" s="1"/>
  <c r="BT163" i="55" s="1"/>
  <c r="BU163" i="55" s="1"/>
  <c r="BV163" i="55" s="1"/>
  <c r="BW163" i="55" s="1"/>
  <c r="BX163" i="55" s="1"/>
  <c r="BY163" i="55" s="1"/>
  <c r="BZ163" i="55" s="1"/>
  <c r="CA163" i="55" s="1"/>
  <c r="CB163" i="55" s="1"/>
  <c r="CC163" i="55" s="1"/>
  <c r="CD163" i="55" s="1"/>
  <c r="CE163" i="55" s="1"/>
  <c r="CF163" i="55" s="1"/>
  <c r="CG163" i="55" s="1"/>
  <c r="CH163" i="55" s="1"/>
  <c r="CI163" i="55" s="1"/>
  <c r="CJ163" i="55" s="1"/>
  <c r="CK163" i="55" s="1"/>
  <c r="CL163" i="55" s="1"/>
  <c r="CM163" i="55" s="1"/>
  <c r="CN163" i="55" s="1"/>
  <c r="CO163" i="55" s="1"/>
  <c r="CP163" i="55" s="1"/>
  <c r="CQ163" i="55" s="1"/>
  <c r="CR163" i="55" s="1"/>
  <c r="CS163" i="55" s="1"/>
  <c r="EB190" i="55"/>
  <c r="BR75" i="59"/>
  <c r="BT2" i="59"/>
  <c r="BS70" i="59"/>
  <c r="BS62" i="59"/>
  <c r="BS64" i="59"/>
  <c r="BS73" i="59"/>
  <c r="BS65" i="59"/>
  <c r="BS66" i="59"/>
  <c r="BS67" i="59"/>
  <c r="BS68" i="59"/>
  <c r="BS61" i="59"/>
  <c r="BS69" i="59"/>
  <c r="BS72" i="59"/>
  <c r="BS63" i="59"/>
  <c r="BS74" i="59"/>
  <c r="BS71" i="59"/>
  <c r="CT170" i="55"/>
  <c r="BQ170" i="55" s="1"/>
  <c r="BR170" i="55" s="1"/>
  <c r="BS170" i="55" s="1"/>
  <c r="BT170" i="55" s="1"/>
  <c r="BU170" i="55" s="1"/>
  <c r="BV170" i="55" s="1"/>
  <c r="BW170" i="55" s="1"/>
  <c r="BX170" i="55" s="1"/>
  <c r="BY170" i="55" s="1"/>
  <c r="BZ170" i="55" s="1"/>
  <c r="CA170" i="55" s="1"/>
  <c r="CB170" i="55" s="1"/>
  <c r="CC170" i="55" s="1"/>
  <c r="CD170" i="55" s="1"/>
  <c r="CE170" i="55" s="1"/>
  <c r="CF170" i="55" s="1"/>
  <c r="CG170" i="55" s="1"/>
  <c r="CH170" i="55" s="1"/>
  <c r="CI170" i="55" s="1"/>
  <c r="CJ170" i="55" s="1"/>
  <c r="CK170" i="55" s="1"/>
  <c r="CL170" i="55" s="1"/>
  <c r="CM170" i="55" s="1"/>
  <c r="CN170" i="55" s="1"/>
  <c r="CO170" i="55" s="1"/>
  <c r="CP170" i="55" s="1"/>
  <c r="CQ170" i="55" s="1"/>
  <c r="CR170" i="55" s="1"/>
  <c r="CS170" i="55" s="1"/>
  <c r="E170" i="55"/>
  <c r="F170" i="55" s="1"/>
  <c r="G170" i="55" s="1"/>
  <c r="AJ170" i="55"/>
  <c r="CV170" i="55" s="1"/>
  <c r="CT147" i="55"/>
  <c r="CW147" i="55" s="1"/>
  <c r="CX147" i="55" s="1"/>
  <c r="CY147" i="55" s="1"/>
  <c r="CZ147" i="55" s="1"/>
  <c r="DA147" i="55" s="1"/>
  <c r="DB147" i="55" s="1"/>
  <c r="DC147" i="55" s="1"/>
  <c r="DD147" i="55" s="1"/>
  <c r="DE147" i="55" s="1"/>
  <c r="DF147" i="55" s="1"/>
  <c r="DG147" i="55" s="1"/>
  <c r="DH147" i="55" s="1"/>
  <c r="DI147" i="55" s="1"/>
  <c r="DJ147" i="55" s="1"/>
  <c r="DK147" i="55" s="1"/>
  <c r="DL147" i="55" s="1"/>
  <c r="DM147" i="55" s="1"/>
  <c r="DN147" i="55" s="1"/>
  <c r="DO147" i="55" s="1"/>
  <c r="DP147" i="55" s="1"/>
  <c r="DQ147" i="55" s="1"/>
  <c r="DR147" i="55" s="1"/>
  <c r="DS147" i="55" s="1"/>
  <c r="DT147" i="55" s="1"/>
  <c r="DU147" i="55" s="1"/>
  <c r="DV147" i="55" s="1"/>
  <c r="DW147" i="55" s="1"/>
  <c r="DX147" i="55" s="1"/>
  <c r="DY147" i="55" s="1"/>
  <c r="AJ169" i="55"/>
  <c r="CV169" i="55" s="1"/>
  <c r="BN143" i="55"/>
  <c r="DZ143" i="55" s="1"/>
  <c r="E146" i="55"/>
  <c r="F146" i="55" s="1"/>
  <c r="AL146" i="55" s="1"/>
  <c r="BP146" i="55"/>
  <c r="AJ146" i="55"/>
  <c r="CV146" i="55" s="1"/>
  <c r="BP140" i="55"/>
  <c r="F147" i="55"/>
  <c r="E169" i="55"/>
  <c r="AJ124" i="55"/>
  <c r="CV124" i="55" s="1"/>
  <c r="E100" i="55"/>
  <c r="F100" i="55" s="1"/>
  <c r="BQ169" i="55"/>
  <c r="BR169" i="55" s="1"/>
  <c r="BS169" i="55" s="1"/>
  <c r="BT169" i="55" s="1"/>
  <c r="BU169" i="55" s="1"/>
  <c r="BV169" i="55" s="1"/>
  <c r="BW169" i="55" s="1"/>
  <c r="BX169" i="55" s="1"/>
  <c r="BY169" i="55" s="1"/>
  <c r="BZ169" i="55" s="1"/>
  <c r="CA169" i="55" s="1"/>
  <c r="CB169" i="55" s="1"/>
  <c r="CC169" i="55" s="1"/>
  <c r="CD169" i="55" s="1"/>
  <c r="CE169" i="55" s="1"/>
  <c r="CF169" i="55" s="1"/>
  <c r="CG169" i="55" s="1"/>
  <c r="CH169" i="55" s="1"/>
  <c r="CI169" i="55" s="1"/>
  <c r="CJ169" i="55" s="1"/>
  <c r="CK169" i="55" s="1"/>
  <c r="CL169" i="55" s="1"/>
  <c r="CM169" i="55" s="1"/>
  <c r="CN169" i="55" s="1"/>
  <c r="CO169" i="55" s="1"/>
  <c r="CP169" i="55" s="1"/>
  <c r="CQ169" i="55" s="1"/>
  <c r="CR169" i="55" s="1"/>
  <c r="CS169" i="55" s="1"/>
  <c r="E124" i="55"/>
  <c r="AK124" i="55" s="1"/>
  <c r="BP117" i="55"/>
  <c r="CT117" i="55" s="1"/>
  <c r="AJ71" i="55"/>
  <c r="CV71" i="55" s="1"/>
  <c r="BP55" i="55"/>
  <c r="CT55" i="55" s="1"/>
  <c r="BQ55" i="55" s="1"/>
  <c r="BR55" i="55" s="1"/>
  <c r="BS55" i="55" s="1"/>
  <c r="BT55" i="55" s="1"/>
  <c r="BU55" i="55" s="1"/>
  <c r="BV55" i="55" s="1"/>
  <c r="BW55" i="55" s="1"/>
  <c r="BX55" i="55" s="1"/>
  <c r="BY55" i="55" s="1"/>
  <c r="BZ55" i="55" s="1"/>
  <c r="CA55" i="55" s="1"/>
  <c r="CB55" i="55" s="1"/>
  <c r="CC55" i="55" s="1"/>
  <c r="CD55" i="55" s="1"/>
  <c r="CE55" i="55" s="1"/>
  <c r="CF55" i="55" s="1"/>
  <c r="CG55" i="55" s="1"/>
  <c r="CH55" i="55" s="1"/>
  <c r="CI55" i="55" s="1"/>
  <c r="CJ55" i="55" s="1"/>
  <c r="CK55" i="55" s="1"/>
  <c r="CL55" i="55" s="1"/>
  <c r="CM55" i="55" s="1"/>
  <c r="CN55" i="55" s="1"/>
  <c r="CO55" i="55" s="1"/>
  <c r="CP55" i="55" s="1"/>
  <c r="CQ55" i="55" s="1"/>
  <c r="CR55" i="55" s="1"/>
  <c r="CS55" i="55" s="1"/>
  <c r="E77" i="55"/>
  <c r="F77" i="55" s="1"/>
  <c r="AJ78" i="55"/>
  <c r="CV78" i="55" s="1"/>
  <c r="AJ101" i="55"/>
  <c r="CV101" i="55" s="1"/>
  <c r="AJ94" i="55"/>
  <c r="CV94" i="55" s="1"/>
  <c r="BP94" i="55"/>
  <c r="CT94" i="55" s="1"/>
  <c r="BQ94" i="55" s="1"/>
  <c r="BR94" i="55" s="1"/>
  <c r="BS94" i="55" s="1"/>
  <c r="BT94" i="55" s="1"/>
  <c r="BU94" i="55" s="1"/>
  <c r="BV94" i="55" s="1"/>
  <c r="BW94" i="55" s="1"/>
  <c r="BX94" i="55" s="1"/>
  <c r="BY94" i="55" s="1"/>
  <c r="BZ94" i="55" s="1"/>
  <c r="CA94" i="55" s="1"/>
  <c r="CB94" i="55" s="1"/>
  <c r="CC94" i="55" s="1"/>
  <c r="CD94" i="55" s="1"/>
  <c r="CE94" i="55" s="1"/>
  <c r="CF94" i="55" s="1"/>
  <c r="CG94" i="55" s="1"/>
  <c r="CH94" i="55" s="1"/>
  <c r="CI94" i="55" s="1"/>
  <c r="CJ94" i="55" s="1"/>
  <c r="CK94" i="55" s="1"/>
  <c r="CL94" i="55" s="1"/>
  <c r="CM94" i="55" s="1"/>
  <c r="CN94" i="55" s="1"/>
  <c r="CO94" i="55" s="1"/>
  <c r="CP94" i="55" s="1"/>
  <c r="CQ94" i="55" s="1"/>
  <c r="CR94" i="55" s="1"/>
  <c r="CS94" i="55" s="1"/>
  <c r="E123" i="55"/>
  <c r="BP123" i="55"/>
  <c r="BQ101" i="55"/>
  <c r="BR101" i="55" s="1"/>
  <c r="BS101" i="55" s="1"/>
  <c r="BT101" i="55" s="1"/>
  <c r="BU101" i="55" s="1"/>
  <c r="BV101" i="55" s="1"/>
  <c r="BW101" i="55" s="1"/>
  <c r="BX101" i="55" s="1"/>
  <c r="BY101" i="55" s="1"/>
  <c r="BZ101" i="55" s="1"/>
  <c r="CA101" i="55" s="1"/>
  <c r="CB101" i="55" s="1"/>
  <c r="CC101" i="55" s="1"/>
  <c r="CD101" i="55" s="1"/>
  <c r="CE101" i="55" s="1"/>
  <c r="CF101" i="55" s="1"/>
  <c r="CG101" i="55" s="1"/>
  <c r="CH101" i="55" s="1"/>
  <c r="CI101" i="55" s="1"/>
  <c r="CJ101" i="55" s="1"/>
  <c r="CK101" i="55" s="1"/>
  <c r="CL101" i="55" s="1"/>
  <c r="CM101" i="55" s="1"/>
  <c r="CN101" i="55" s="1"/>
  <c r="CO101" i="55" s="1"/>
  <c r="CP101" i="55" s="1"/>
  <c r="CQ101" i="55" s="1"/>
  <c r="CR101" i="55" s="1"/>
  <c r="CS101" i="55" s="1"/>
  <c r="BP100" i="55"/>
  <c r="E101" i="55"/>
  <c r="AJ100" i="55"/>
  <c r="CV100" i="55" s="1"/>
  <c r="CT71" i="55"/>
  <c r="BQ71" i="55" s="1"/>
  <c r="BR71" i="55" s="1"/>
  <c r="BS71" i="55" s="1"/>
  <c r="BT71" i="55" s="1"/>
  <c r="BU71" i="55" s="1"/>
  <c r="BV71" i="55" s="1"/>
  <c r="BW71" i="55" s="1"/>
  <c r="BX71" i="55" s="1"/>
  <c r="BY71" i="55" s="1"/>
  <c r="BZ71" i="55" s="1"/>
  <c r="CA71" i="55" s="1"/>
  <c r="CB71" i="55" s="1"/>
  <c r="CC71" i="55" s="1"/>
  <c r="CD71" i="55" s="1"/>
  <c r="CE71" i="55" s="1"/>
  <c r="CF71" i="55" s="1"/>
  <c r="CG71" i="55" s="1"/>
  <c r="CH71" i="55" s="1"/>
  <c r="CI71" i="55" s="1"/>
  <c r="CJ71" i="55" s="1"/>
  <c r="CK71" i="55" s="1"/>
  <c r="CL71" i="55" s="1"/>
  <c r="CM71" i="55" s="1"/>
  <c r="CN71" i="55" s="1"/>
  <c r="CO71" i="55" s="1"/>
  <c r="CP71" i="55" s="1"/>
  <c r="CQ71" i="55" s="1"/>
  <c r="CR71" i="55" s="1"/>
  <c r="CS71" i="55" s="1"/>
  <c r="BQ78" i="55"/>
  <c r="BR78" i="55" s="1"/>
  <c r="BS78" i="55" s="1"/>
  <c r="BT78" i="55" s="1"/>
  <c r="BU78" i="55" s="1"/>
  <c r="BV78" i="55" s="1"/>
  <c r="BW78" i="55" s="1"/>
  <c r="BX78" i="55" s="1"/>
  <c r="BY78" i="55" s="1"/>
  <c r="BZ78" i="55" s="1"/>
  <c r="CA78" i="55" s="1"/>
  <c r="CB78" i="55" s="1"/>
  <c r="CC78" i="55" s="1"/>
  <c r="CD78" i="55" s="1"/>
  <c r="CE78" i="55" s="1"/>
  <c r="CF78" i="55" s="1"/>
  <c r="CG78" i="55" s="1"/>
  <c r="CH78" i="55" s="1"/>
  <c r="CI78" i="55" s="1"/>
  <c r="CJ78" i="55" s="1"/>
  <c r="CK78" i="55" s="1"/>
  <c r="CL78" i="55" s="1"/>
  <c r="CM78" i="55" s="1"/>
  <c r="CN78" i="55" s="1"/>
  <c r="CO78" i="55" s="1"/>
  <c r="CP78" i="55" s="1"/>
  <c r="CQ78" i="55" s="1"/>
  <c r="CR78" i="55" s="1"/>
  <c r="CS78" i="55" s="1"/>
  <c r="BP77" i="55"/>
  <c r="E78" i="55"/>
  <c r="AJ77" i="55"/>
  <c r="CV77" i="55" s="1"/>
  <c r="E54" i="55"/>
  <c r="AK54" i="55" s="1"/>
  <c r="E55" i="55"/>
  <c r="F55" i="55" s="1"/>
  <c r="AJ48" i="55"/>
  <c r="CV48" i="55" s="1"/>
  <c r="CT48" i="55"/>
  <c r="BQ48" i="55" s="1"/>
  <c r="BR48" i="55" s="1"/>
  <c r="BS48" i="55" s="1"/>
  <c r="BT48" i="55" s="1"/>
  <c r="BU48" i="55" s="1"/>
  <c r="BV48" i="55" s="1"/>
  <c r="BW48" i="55" s="1"/>
  <c r="BX48" i="55" s="1"/>
  <c r="BY48" i="55" s="1"/>
  <c r="BZ48" i="55" s="1"/>
  <c r="CA48" i="55" s="1"/>
  <c r="CB48" i="55" s="1"/>
  <c r="CC48" i="55" s="1"/>
  <c r="CD48" i="55" s="1"/>
  <c r="CE48" i="55" s="1"/>
  <c r="CF48" i="55" s="1"/>
  <c r="CG48" i="55" s="1"/>
  <c r="CH48" i="55" s="1"/>
  <c r="CI48" i="55" s="1"/>
  <c r="CJ48" i="55" s="1"/>
  <c r="CK48" i="55" s="1"/>
  <c r="CL48" i="55" s="1"/>
  <c r="CM48" i="55" s="1"/>
  <c r="CN48" i="55" s="1"/>
  <c r="CO48" i="55" s="1"/>
  <c r="CP48" i="55" s="1"/>
  <c r="CQ48" i="55" s="1"/>
  <c r="CR48" i="55" s="1"/>
  <c r="CS48" i="55" s="1"/>
  <c r="BP54" i="55"/>
  <c r="AJ54" i="55"/>
  <c r="CV54" i="55" s="1"/>
  <c r="BN28" i="55"/>
  <c r="DZ28" i="55" s="1"/>
  <c r="BN29" i="55"/>
  <c r="BN31" i="55"/>
  <c r="BN32" i="55"/>
  <c r="C187" i="55"/>
  <c r="AH140" i="55" s="1"/>
  <c r="BN140" i="55" s="1"/>
  <c r="DZ140" i="55" s="1"/>
  <c r="C186" i="55"/>
  <c r="AH139" i="55" s="1"/>
  <c r="BN139" i="55" s="1"/>
  <c r="DZ139" i="55" s="1"/>
  <c r="AL170" i="55" l="1"/>
  <c r="BQ147" i="55"/>
  <c r="BR147" i="55" s="1"/>
  <c r="BS147" i="55" s="1"/>
  <c r="BT147" i="55" s="1"/>
  <c r="BU147" i="55" s="1"/>
  <c r="BV147" i="55" s="1"/>
  <c r="BW147" i="55" s="1"/>
  <c r="BX147" i="55" s="1"/>
  <c r="BY147" i="55" s="1"/>
  <c r="BZ147" i="55" s="1"/>
  <c r="CA147" i="55" s="1"/>
  <c r="CB147" i="55" s="1"/>
  <c r="CC147" i="55" s="1"/>
  <c r="CD147" i="55" s="1"/>
  <c r="CE147" i="55" s="1"/>
  <c r="CF147" i="55" s="1"/>
  <c r="CG147" i="55" s="1"/>
  <c r="CH147" i="55" s="1"/>
  <c r="CI147" i="55" s="1"/>
  <c r="CJ147" i="55" s="1"/>
  <c r="CK147" i="55" s="1"/>
  <c r="CL147" i="55" s="1"/>
  <c r="CM147" i="55" s="1"/>
  <c r="CN147" i="55" s="1"/>
  <c r="CO147" i="55" s="1"/>
  <c r="CP147" i="55" s="1"/>
  <c r="CQ147" i="55" s="1"/>
  <c r="CR147" i="55" s="1"/>
  <c r="CS147" i="55" s="1"/>
  <c r="DZ100" i="55"/>
  <c r="CW101" i="55"/>
  <c r="CX101" i="55" s="1"/>
  <c r="CY101" i="55" s="1"/>
  <c r="CZ101" i="55" s="1"/>
  <c r="DA101" i="55" s="1"/>
  <c r="DB101" i="55" s="1"/>
  <c r="DC101" i="55" s="1"/>
  <c r="DD101" i="55" s="1"/>
  <c r="DE101" i="55" s="1"/>
  <c r="DF101" i="55" s="1"/>
  <c r="DG101" i="55" s="1"/>
  <c r="DH101" i="55" s="1"/>
  <c r="DI101" i="55" s="1"/>
  <c r="DJ101" i="55" s="1"/>
  <c r="DK101" i="55" s="1"/>
  <c r="DL101" i="55" s="1"/>
  <c r="DM101" i="55" s="1"/>
  <c r="DN101" i="55" s="1"/>
  <c r="DO101" i="55" s="1"/>
  <c r="DP101" i="55" s="1"/>
  <c r="DQ101" i="55" s="1"/>
  <c r="DR101" i="55" s="1"/>
  <c r="DS101" i="55" s="1"/>
  <c r="DT101" i="55" s="1"/>
  <c r="DU101" i="55" s="1"/>
  <c r="DV101" i="55" s="1"/>
  <c r="DW101" i="55" s="1"/>
  <c r="DX101" i="55" s="1"/>
  <c r="DY101" i="55" s="1"/>
  <c r="DZ101" i="55"/>
  <c r="DZ146" i="55"/>
  <c r="CW78" i="55"/>
  <c r="CX78" i="55" s="1"/>
  <c r="CY78" i="55" s="1"/>
  <c r="CZ78" i="55" s="1"/>
  <c r="DA78" i="55" s="1"/>
  <c r="DB78" i="55" s="1"/>
  <c r="DC78" i="55" s="1"/>
  <c r="DD78" i="55" s="1"/>
  <c r="DE78" i="55" s="1"/>
  <c r="DF78" i="55" s="1"/>
  <c r="DG78" i="55" s="1"/>
  <c r="DH78" i="55" s="1"/>
  <c r="DI78" i="55" s="1"/>
  <c r="DJ78" i="55" s="1"/>
  <c r="DK78" i="55" s="1"/>
  <c r="DL78" i="55" s="1"/>
  <c r="DM78" i="55" s="1"/>
  <c r="DN78" i="55" s="1"/>
  <c r="DO78" i="55" s="1"/>
  <c r="DP78" i="55" s="1"/>
  <c r="DQ78" i="55" s="1"/>
  <c r="DR78" i="55" s="1"/>
  <c r="DS78" i="55" s="1"/>
  <c r="DT78" i="55" s="1"/>
  <c r="DU78" i="55" s="1"/>
  <c r="DV78" i="55" s="1"/>
  <c r="DW78" i="55" s="1"/>
  <c r="DX78" i="55" s="1"/>
  <c r="DY78" i="55" s="1"/>
  <c r="DZ78" i="55"/>
  <c r="DZ124" i="55"/>
  <c r="CW124" i="55"/>
  <c r="CX124" i="55" s="1"/>
  <c r="CY124" i="55" s="1"/>
  <c r="CZ124" i="55" s="1"/>
  <c r="DA124" i="55" s="1"/>
  <c r="DB124" i="55" s="1"/>
  <c r="DC124" i="55" s="1"/>
  <c r="DD124" i="55" s="1"/>
  <c r="DE124" i="55" s="1"/>
  <c r="DF124" i="55" s="1"/>
  <c r="DG124" i="55" s="1"/>
  <c r="DH124" i="55" s="1"/>
  <c r="DI124" i="55" s="1"/>
  <c r="DJ124" i="55" s="1"/>
  <c r="DK124" i="55" s="1"/>
  <c r="DL124" i="55" s="1"/>
  <c r="DM124" i="55" s="1"/>
  <c r="DN124" i="55" s="1"/>
  <c r="DO124" i="55" s="1"/>
  <c r="DP124" i="55" s="1"/>
  <c r="DQ124" i="55" s="1"/>
  <c r="DR124" i="55" s="1"/>
  <c r="DS124" i="55" s="1"/>
  <c r="DT124" i="55" s="1"/>
  <c r="DU124" i="55" s="1"/>
  <c r="DV124" i="55" s="1"/>
  <c r="DW124" i="55" s="1"/>
  <c r="DX124" i="55" s="1"/>
  <c r="DY124" i="55" s="1"/>
  <c r="CW169" i="55"/>
  <c r="CX169" i="55" s="1"/>
  <c r="CY169" i="55" s="1"/>
  <c r="CZ169" i="55" s="1"/>
  <c r="DA169" i="55" s="1"/>
  <c r="DB169" i="55" s="1"/>
  <c r="DC169" i="55" s="1"/>
  <c r="DD169" i="55" s="1"/>
  <c r="DE169" i="55" s="1"/>
  <c r="DF169" i="55" s="1"/>
  <c r="DG169" i="55" s="1"/>
  <c r="DH169" i="55" s="1"/>
  <c r="DI169" i="55" s="1"/>
  <c r="DJ169" i="55" s="1"/>
  <c r="DK169" i="55" s="1"/>
  <c r="DL169" i="55" s="1"/>
  <c r="DM169" i="55" s="1"/>
  <c r="DN169" i="55" s="1"/>
  <c r="DO169" i="55" s="1"/>
  <c r="DP169" i="55" s="1"/>
  <c r="DQ169" i="55" s="1"/>
  <c r="DR169" i="55" s="1"/>
  <c r="DS169" i="55" s="1"/>
  <c r="DT169" i="55" s="1"/>
  <c r="DU169" i="55" s="1"/>
  <c r="DV169" i="55" s="1"/>
  <c r="DW169" i="55" s="1"/>
  <c r="DX169" i="55" s="1"/>
  <c r="DY169" i="55" s="1"/>
  <c r="DZ169" i="55"/>
  <c r="DZ77" i="55"/>
  <c r="DZ54" i="55"/>
  <c r="CW170" i="55"/>
  <c r="CX170" i="55" s="1"/>
  <c r="CY170" i="55" s="1"/>
  <c r="CZ170" i="55" s="1"/>
  <c r="DA170" i="55" s="1"/>
  <c r="DB170" i="55" s="1"/>
  <c r="DC170" i="55" s="1"/>
  <c r="DD170" i="55" s="1"/>
  <c r="DE170" i="55" s="1"/>
  <c r="DF170" i="55" s="1"/>
  <c r="DG170" i="55" s="1"/>
  <c r="DH170" i="55" s="1"/>
  <c r="DI170" i="55" s="1"/>
  <c r="DJ170" i="55" s="1"/>
  <c r="DK170" i="55" s="1"/>
  <c r="DL170" i="55" s="1"/>
  <c r="DM170" i="55" s="1"/>
  <c r="DN170" i="55" s="1"/>
  <c r="DO170" i="55" s="1"/>
  <c r="DP170" i="55" s="1"/>
  <c r="DQ170" i="55" s="1"/>
  <c r="DR170" i="55" s="1"/>
  <c r="DS170" i="55" s="1"/>
  <c r="DT170" i="55" s="1"/>
  <c r="DU170" i="55" s="1"/>
  <c r="DV170" i="55" s="1"/>
  <c r="DW170" i="55" s="1"/>
  <c r="DX170" i="55" s="1"/>
  <c r="DY170" i="55" s="1"/>
  <c r="DZ170" i="55"/>
  <c r="CW55" i="55"/>
  <c r="CX55" i="55" s="1"/>
  <c r="CY55" i="55" s="1"/>
  <c r="CZ55" i="55" s="1"/>
  <c r="DA55" i="55" s="1"/>
  <c r="DB55" i="55" s="1"/>
  <c r="DC55" i="55" s="1"/>
  <c r="DD55" i="55" s="1"/>
  <c r="DE55" i="55" s="1"/>
  <c r="DF55" i="55" s="1"/>
  <c r="DG55" i="55" s="1"/>
  <c r="DH55" i="55" s="1"/>
  <c r="DI55" i="55" s="1"/>
  <c r="DJ55" i="55" s="1"/>
  <c r="DK55" i="55" s="1"/>
  <c r="DL55" i="55" s="1"/>
  <c r="DM55" i="55" s="1"/>
  <c r="DN55" i="55" s="1"/>
  <c r="DO55" i="55" s="1"/>
  <c r="DP55" i="55" s="1"/>
  <c r="DQ55" i="55" s="1"/>
  <c r="DR55" i="55" s="1"/>
  <c r="DS55" i="55" s="1"/>
  <c r="DT55" i="55" s="1"/>
  <c r="DU55" i="55" s="1"/>
  <c r="DV55" i="55" s="1"/>
  <c r="DW55" i="55" s="1"/>
  <c r="DX55" i="55" s="1"/>
  <c r="DY55" i="55" s="1"/>
  <c r="G146" i="55"/>
  <c r="AM146" i="55" s="1"/>
  <c r="AH118" i="55"/>
  <c r="EB191" i="55"/>
  <c r="AH141" i="55" s="1"/>
  <c r="BU2" i="59"/>
  <c r="BT64" i="59"/>
  <c r="BT73" i="59"/>
  <c r="BT65" i="59"/>
  <c r="BT66" i="59"/>
  <c r="BT67" i="59"/>
  <c r="BT68" i="59"/>
  <c r="BT69" i="59"/>
  <c r="BT61" i="59"/>
  <c r="BT70" i="59"/>
  <c r="BT62" i="59"/>
  <c r="BT63" i="59"/>
  <c r="BT74" i="59"/>
  <c r="BT72" i="59"/>
  <c r="BT71" i="59"/>
  <c r="BS75" i="59"/>
  <c r="CT140" i="55"/>
  <c r="BQ140" i="55" s="1"/>
  <c r="BR140" i="55" s="1"/>
  <c r="BS140" i="55" s="1"/>
  <c r="BT140" i="55" s="1"/>
  <c r="BU140" i="55" s="1"/>
  <c r="BV140" i="55" s="1"/>
  <c r="BW140" i="55" s="1"/>
  <c r="BX140" i="55" s="1"/>
  <c r="BY140" i="55" s="1"/>
  <c r="BZ140" i="55" s="1"/>
  <c r="CA140" i="55" s="1"/>
  <c r="CB140" i="55" s="1"/>
  <c r="CC140" i="55" s="1"/>
  <c r="CD140" i="55" s="1"/>
  <c r="CE140" i="55" s="1"/>
  <c r="CF140" i="55" s="1"/>
  <c r="CG140" i="55" s="1"/>
  <c r="CH140" i="55" s="1"/>
  <c r="CI140" i="55" s="1"/>
  <c r="CJ140" i="55" s="1"/>
  <c r="CK140" i="55" s="1"/>
  <c r="CL140" i="55" s="1"/>
  <c r="CM140" i="55" s="1"/>
  <c r="CN140" i="55" s="1"/>
  <c r="CO140" i="55" s="1"/>
  <c r="CP140" i="55" s="1"/>
  <c r="CQ140" i="55" s="1"/>
  <c r="CR140" i="55" s="1"/>
  <c r="CS140" i="55" s="1"/>
  <c r="E140" i="55"/>
  <c r="CT146" i="55"/>
  <c r="CW146" i="55" s="1"/>
  <c r="CX146" i="55" s="1"/>
  <c r="CY146" i="55" s="1"/>
  <c r="CZ146" i="55" s="1"/>
  <c r="DA146" i="55" s="1"/>
  <c r="DB146" i="55" s="1"/>
  <c r="DC146" i="55" s="1"/>
  <c r="DD146" i="55" s="1"/>
  <c r="DE146" i="55" s="1"/>
  <c r="DF146" i="55" s="1"/>
  <c r="DG146" i="55" s="1"/>
  <c r="DH146" i="55" s="1"/>
  <c r="DI146" i="55" s="1"/>
  <c r="DJ146" i="55" s="1"/>
  <c r="DK146" i="55" s="1"/>
  <c r="DL146" i="55" s="1"/>
  <c r="DM146" i="55" s="1"/>
  <c r="DN146" i="55" s="1"/>
  <c r="DO146" i="55" s="1"/>
  <c r="DP146" i="55" s="1"/>
  <c r="DQ146" i="55" s="1"/>
  <c r="DR146" i="55" s="1"/>
  <c r="DS146" i="55" s="1"/>
  <c r="DT146" i="55" s="1"/>
  <c r="DU146" i="55" s="1"/>
  <c r="DV146" i="55" s="1"/>
  <c r="DW146" i="55" s="1"/>
  <c r="DX146" i="55" s="1"/>
  <c r="DY146" i="55" s="1"/>
  <c r="AK170" i="55"/>
  <c r="AK146" i="55"/>
  <c r="H146" i="55"/>
  <c r="AL147" i="55"/>
  <c r="G147" i="55"/>
  <c r="AK169" i="55"/>
  <c r="F169" i="55"/>
  <c r="H170" i="55"/>
  <c r="AM170" i="55"/>
  <c r="AK100" i="55"/>
  <c r="AH162" i="55"/>
  <c r="AH163" i="55"/>
  <c r="F54" i="55"/>
  <c r="F124" i="55"/>
  <c r="BQ117" i="55"/>
  <c r="BR117" i="55" s="1"/>
  <c r="BS117" i="55" s="1"/>
  <c r="BT117" i="55" s="1"/>
  <c r="BU117" i="55" s="1"/>
  <c r="BV117" i="55" s="1"/>
  <c r="BW117" i="55" s="1"/>
  <c r="BX117" i="55" s="1"/>
  <c r="BY117" i="55" s="1"/>
  <c r="BZ117" i="55" s="1"/>
  <c r="CA117" i="55" s="1"/>
  <c r="CB117" i="55" s="1"/>
  <c r="CC117" i="55" s="1"/>
  <c r="CD117" i="55" s="1"/>
  <c r="CE117" i="55" s="1"/>
  <c r="CF117" i="55" s="1"/>
  <c r="CG117" i="55" s="1"/>
  <c r="CH117" i="55" s="1"/>
  <c r="CI117" i="55" s="1"/>
  <c r="CJ117" i="55" s="1"/>
  <c r="CK117" i="55" s="1"/>
  <c r="CL117" i="55" s="1"/>
  <c r="CM117" i="55" s="1"/>
  <c r="CN117" i="55" s="1"/>
  <c r="CO117" i="55" s="1"/>
  <c r="CP117" i="55" s="1"/>
  <c r="CQ117" i="55" s="1"/>
  <c r="CR117" i="55" s="1"/>
  <c r="CS117" i="55" s="1"/>
  <c r="AK77" i="55"/>
  <c r="AH116" i="55"/>
  <c r="AH93" i="55"/>
  <c r="AH70" i="55"/>
  <c r="AH94" i="55"/>
  <c r="AH117" i="55"/>
  <c r="AH71" i="55"/>
  <c r="CT123" i="55"/>
  <c r="BQ123" i="55" s="1"/>
  <c r="BR123" i="55" s="1"/>
  <c r="BS123" i="55" s="1"/>
  <c r="BT123" i="55" s="1"/>
  <c r="BU123" i="55" s="1"/>
  <c r="BV123" i="55" s="1"/>
  <c r="BW123" i="55" s="1"/>
  <c r="BX123" i="55" s="1"/>
  <c r="BY123" i="55" s="1"/>
  <c r="BZ123" i="55" s="1"/>
  <c r="CA123" i="55" s="1"/>
  <c r="CB123" i="55" s="1"/>
  <c r="CC123" i="55" s="1"/>
  <c r="CD123" i="55" s="1"/>
  <c r="CE123" i="55" s="1"/>
  <c r="CF123" i="55" s="1"/>
  <c r="CG123" i="55" s="1"/>
  <c r="CH123" i="55" s="1"/>
  <c r="CI123" i="55" s="1"/>
  <c r="CJ123" i="55" s="1"/>
  <c r="CK123" i="55" s="1"/>
  <c r="CL123" i="55" s="1"/>
  <c r="CM123" i="55" s="1"/>
  <c r="CN123" i="55" s="1"/>
  <c r="CO123" i="55" s="1"/>
  <c r="CP123" i="55" s="1"/>
  <c r="CQ123" i="55" s="1"/>
  <c r="CR123" i="55" s="1"/>
  <c r="CS123" i="55" s="1"/>
  <c r="AK123" i="55"/>
  <c r="F123" i="55"/>
  <c r="CT100" i="55"/>
  <c r="BQ100" i="55" s="1"/>
  <c r="BR100" i="55" s="1"/>
  <c r="BS100" i="55" s="1"/>
  <c r="BT100" i="55" s="1"/>
  <c r="BU100" i="55" s="1"/>
  <c r="BV100" i="55" s="1"/>
  <c r="BW100" i="55" s="1"/>
  <c r="BX100" i="55" s="1"/>
  <c r="BY100" i="55" s="1"/>
  <c r="BZ100" i="55" s="1"/>
  <c r="CA100" i="55" s="1"/>
  <c r="CB100" i="55" s="1"/>
  <c r="CC100" i="55" s="1"/>
  <c r="CD100" i="55" s="1"/>
  <c r="CE100" i="55" s="1"/>
  <c r="CF100" i="55" s="1"/>
  <c r="CG100" i="55" s="1"/>
  <c r="CH100" i="55" s="1"/>
  <c r="CI100" i="55" s="1"/>
  <c r="CJ100" i="55" s="1"/>
  <c r="CK100" i="55" s="1"/>
  <c r="CL100" i="55" s="1"/>
  <c r="CM100" i="55" s="1"/>
  <c r="CN100" i="55" s="1"/>
  <c r="CO100" i="55" s="1"/>
  <c r="CP100" i="55" s="1"/>
  <c r="CQ100" i="55" s="1"/>
  <c r="CR100" i="55" s="1"/>
  <c r="CS100" i="55" s="1"/>
  <c r="G100" i="55"/>
  <c r="AL100" i="55"/>
  <c r="F101" i="55"/>
  <c r="AK101" i="55"/>
  <c r="CT77" i="55"/>
  <c r="CW77" i="55" s="1"/>
  <c r="CX77" i="55" s="1"/>
  <c r="CY77" i="55" s="1"/>
  <c r="CZ77" i="55" s="1"/>
  <c r="DA77" i="55" s="1"/>
  <c r="DB77" i="55" s="1"/>
  <c r="DC77" i="55" s="1"/>
  <c r="DD77" i="55" s="1"/>
  <c r="DE77" i="55" s="1"/>
  <c r="DF77" i="55" s="1"/>
  <c r="DG77" i="55" s="1"/>
  <c r="DH77" i="55" s="1"/>
  <c r="DI77" i="55" s="1"/>
  <c r="DJ77" i="55" s="1"/>
  <c r="DK77" i="55" s="1"/>
  <c r="DL77" i="55" s="1"/>
  <c r="DM77" i="55" s="1"/>
  <c r="DN77" i="55" s="1"/>
  <c r="DO77" i="55" s="1"/>
  <c r="DP77" i="55" s="1"/>
  <c r="DQ77" i="55" s="1"/>
  <c r="DR77" i="55" s="1"/>
  <c r="DS77" i="55" s="1"/>
  <c r="DT77" i="55" s="1"/>
  <c r="DU77" i="55" s="1"/>
  <c r="DV77" i="55" s="1"/>
  <c r="DW77" i="55" s="1"/>
  <c r="DX77" i="55" s="1"/>
  <c r="DY77" i="55" s="1"/>
  <c r="G77" i="55"/>
  <c r="AL77" i="55"/>
  <c r="F78" i="55"/>
  <c r="AK78" i="55"/>
  <c r="AH47" i="55"/>
  <c r="BN47" i="55" s="1"/>
  <c r="DZ47" i="55" s="1"/>
  <c r="AH24" i="55"/>
  <c r="BN24" i="55" s="1"/>
  <c r="DZ24" i="55" s="1"/>
  <c r="AH48" i="55"/>
  <c r="AH25" i="55"/>
  <c r="BN25" i="55" s="1"/>
  <c r="DZ25" i="55" s="1"/>
  <c r="AK55" i="55"/>
  <c r="G55" i="55"/>
  <c r="AL55" i="55"/>
  <c r="AL54" i="55"/>
  <c r="G54" i="55"/>
  <c r="CT54" i="55"/>
  <c r="BQ54" i="55" s="1"/>
  <c r="BR54" i="55" s="1"/>
  <c r="BS54" i="55" s="1"/>
  <c r="BT54" i="55" s="1"/>
  <c r="BU54" i="55" s="1"/>
  <c r="BV54" i="55" s="1"/>
  <c r="BW54" i="55" s="1"/>
  <c r="BX54" i="55" s="1"/>
  <c r="BY54" i="55" s="1"/>
  <c r="BZ54" i="55" s="1"/>
  <c r="CA54" i="55" s="1"/>
  <c r="CB54" i="55" s="1"/>
  <c r="CC54" i="55" s="1"/>
  <c r="CD54" i="55" s="1"/>
  <c r="CE54" i="55" s="1"/>
  <c r="CF54" i="55" s="1"/>
  <c r="CG54" i="55" s="1"/>
  <c r="CH54" i="55" s="1"/>
  <c r="CI54" i="55" s="1"/>
  <c r="CJ54" i="55" s="1"/>
  <c r="CK54" i="55" s="1"/>
  <c r="CL54" i="55" s="1"/>
  <c r="CM54" i="55" s="1"/>
  <c r="CN54" i="55" s="1"/>
  <c r="CO54" i="55" s="1"/>
  <c r="CP54" i="55" s="1"/>
  <c r="CQ54" i="55" s="1"/>
  <c r="CR54" i="55" s="1"/>
  <c r="CS54" i="55" s="1"/>
  <c r="BP25" i="55"/>
  <c r="AJ25" i="55"/>
  <c r="CV25" i="55" s="1"/>
  <c r="E32" i="55"/>
  <c r="AJ32" i="55"/>
  <c r="CV32" i="55" s="1"/>
  <c r="BP32" i="55"/>
  <c r="BP31" i="55"/>
  <c r="AJ31" i="55"/>
  <c r="CV31" i="55" s="1"/>
  <c r="E31" i="55"/>
  <c r="AT193" i="55"/>
  <c r="AT187" i="55"/>
  <c r="AT188" i="55"/>
  <c r="AT189" i="55"/>
  <c r="AT190" i="55"/>
  <c r="AT191" i="55"/>
  <c r="AT192" i="55"/>
  <c r="AT186" i="55"/>
  <c r="B192" i="55"/>
  <c r="D145" i="55" s="1"/>
  <c r="B191" i="55"/>
  <c r="D144" i="55" s="1"/>
  <c r="B190" i="55"/>
  <c r="D143" i="55" s="1"/>
  <c r="B188" i="55"/>
  <c r="B186" i="55"/>
  <c r="CW100" i="55" l="1"/>
  <c r="CX100" i="55" s="1"/>
  <c r="CY100" i="55" s="1"/>
  <c r="CZ100" i="55" s="1"/>
  <c r="DA100" i="55" s="1"/>
  <c r="DB100" i="55" s="1"/>
  <c r="DC100" i="55" s="1"/>
  <c r="DD100" i="55" s="1"/>
  <c r="DE100" i="55" s="1"/>
  <c r="DF100" i="55" s="1"/>
  <c r="DG100" i="55" s="1"/>
  <c r="DH100" i="55" s="1"/>
  <c r="DI100" i="55" s="1"/>
  <c r="DJ100" i="55" s="1"/>
  <c r="DK100" i="55" s="1"/>
  <c r="DL100" i="55" s="1"/>
  <c r="DM100" i="55" s="1"/>
  <c r="DN100" i="55" s="1"/>
  <c r="DO100" i="55" s="1"/>
  <c r="DP100" i="55" s="1"/>
  <c r="DQ100" i="55" s="1"/>
  <c r="DR100" i="55" s="1"/>
  <c r="DS100" i="55" s="1"/>
  <c r="DT100" i="55" s="1"/>
  <c r="DU100" i="55" s="1"/>
  <c r="DV100" i="55" s="1"/>
  <c r="DW100" i="55" s="1"/>
  <c r="DX100" i="55" s="1"/>
  <c r="DY100" i="55" s="1"/>
  <c r="D139" i="55"/>
  <c r="D24" i="55"/>
  <c r="CW54" i="55"/>
  <c r="CX54" i="55" s="1"/>
  <c r="CY54" i="55" s="1"/>
  <c r="CZ54" i="55" s="1"/>
  <c r="DA54" i="55" s="1"/>
  <c r="DB54" i="55" s="1"/>
  <c r="DC54" i="55" s="1"/>
  <c r="DD54" i="55" s="1"/>
  <c r="DE54" i="55" s="1"/>
  <c r="DF54" i="55" s="1"/>
  <c r="DG54" i="55" s="1"/>
  <c r="DH54" i="55" s="1"/>
  <c r="DI54" i="55" s="1"/>
  <c r="DJ54" i="55" s="1"/>
  <c r="DK54" i="55" s="1"/>
  <c r="DL54" i="55" s="1"/>
  <c r="DM54" i="55" s="1"/>
  <c r="DN54" i="55" s="1"/>
  <c r="DO54" i="55" s="1"/>
  <c r="DP54" i="55" s="1"/>
  <c r="DQ54" i="55" s="1"/>
  <c r="DR54" i="55" s="1"/>
  <c r="DS54" i="55" s="1"/>
  <c r="DT54" i="55" s="1"/>
  <c r="DU54" i="55" s="1"/>
  <c r="DV54" i="55" s="1"/>
  <c r="DW54" i="55" s="1"/>
  <c r="DX54" i="55" s="1"/>
  <c r="DY54" i="55" s="1"/>
  <c r="CW123" i="55"/>
  <c r="CX123" i="55" s="1"/>
  <c r="CY123" i="55" s="1"/>
  <c r="CZ123" i="55" s="1"/>
  <c r="DA123" i="55" s="1"/>
  <c r="DB123" i="55" s="1"/>
  <c r="DC123" i="55" s="1"/>
  <c r="DD123" i="55" s="1"/>
  <c r="DE123" i="55" s="1"/>
  <c r="DF123" i="55" s="1"/>
  <c r="DG123" i="55" s="1"/>
  <c r="DH123" i="55" s="1"/>
  <c r="DI123" i="55" s="1"/>
  <c r="DJ123" i="55" s="1"/>
  <c r="DK123" i="55" s="1"/>
  <c r="DL123" i="55" s="1"/>
  <c r="DM123" i="55" s="1"/>
  <c r="DN123" i="55" s="1"/>
  <c r="DO123" i="55" s="1"/>
  <c r="DP123" i="55" s="1"/>
  <c r="DQ123" i="55" s="1"/>
  <c r="DR123" i="55" s="1"/>
  <c r="DS123" i="55" s="1"/>
  <c r="DT123" i="55" s="1"/>
  <c r="DU123" i="55" s="1"/>
  <c r="DV123" i="55" s="1"/>
  <c r="DW123" i="55" s="1"/>
  <c r="DX123" i="55" s="1"/>
  <c r="DY123" i="55" s="1"/>
  <c r="BP187" i="55"/>
  <c r="EA187" i="55" s="1"/>
  <c r="BP190" i="55"/>
  <c r="D118" i="55" s="1"/>
  <c r="BQ146" i="55"/>
  <c r="BR146" i="55" s="1"/>
  <c r="BS146" i="55" s="1"/>
  <c r="BT146" i="55" s="1"/>
  <c r="BU146" i="55" s="1"/>
  <c r="BV146" i="55" s="1"/>
  <c r="BW146" i="55" s="1"/>
  <c r="BX146" i="55" s="1"/>
  <c r="BY146" i="55" s="1"/>
  <c r="BZ146" i="55" s="1"/>
  <c r="CA146" i="55" s="1"/>
  <c r="CB146" i="55" s="1"/>
  <c r="CC146" i="55" s="1"/>
  <c r="CD146" i="55" s="1"/>
  <c r="CE146" i="55" s="1"/>
  <c r="CF146" i="55" s="1"/>
  <c r="CG146" i="55" s="1"/>
  <c r="CH146" i="55" s="1"/>
  <c r="CI146" i="55" s="1"/>
  <c r="CJ146" i="55" s="1"/>
  <c r="CK146" i="55" s="1"/>
  <c r="CL146" i="55" s="1"/>
  <c r="CM146" i="55" s="1"/>
  <c r="CN146" i="55" s="1"/>
  <c r="CO146" i="55" s="1"/>
  <c r="CP146" i="55" s="1"/>
  <c r="CQ146" i="55" s="1"/>
  <c r="CR146" i="55" s="1"/>
  <c r="CS146" i="55" s="1"/>
  <c r="BP192" i="55"/>
  <c r="DZ32" i="55"/>
  <c r="DZ31" i="55"/>
  <c r="BT75" i="59"/>
  <c r="BV2" i="59"/>
  <c r="BU64" i="59"/>
  <c r="BU73" i="59"/>
  <c r="BU65" i="59"/>
  <c r="BU66" i="59"/>
  <c r="BU67" i="59"/>
  <c r="BU68" i="59"/>
  <c r="BU69" i="59"/>
  <c r="BU61" i="59"/>
  <c r="BU70" i="59"/>
  <c r="BU62" i="59"/>
  <c r="BU72" i="59"/>
  <c r="BU63" i="59"/>
  <c r="BU74" i="59"/>
  <c r="BU71" i="59"/>
  <c r="AK140" i="55"/>
  <c r="CW140" i="55" s="1"/>
  <c r="F140" i="55"/>
  <c r="AJ143" i="55"/>
  <c r="CV143" i="55" s="1"/>
  <c r="BP143" i="55"/>
  <c r="E143" i="55"/>
  <c r="E139" i="55"/>
  <c r="AJ139" i="55"/>
  <c r="CV139" i="55" s="1"/>
  <c r="BP139" i="55"/>
  <c r="CT139" i="55" s="1"/>
  <c r="BQ139" i="55" s="1"/>
  <c r="BR139" i="55" s="1"/>
  <c r="BS139" i="55" s="1"/>
  <c r="BT139" i="55" s="1"/>
  <c r="BU139" i="55" s="1"/>
  <c r="BV139" i="55" s="1"/>
  <c r="BW139" i="55" s="1"/>
  <c r="BX139" i="55" s="1"/>
  <c r="BY139" i="55" s="1"/>
  <c r="BZ139" i="55" s="1"/>
  <c r="CA139" i="55" s="1"/>
  <c r="CB139" i="55" s="1"/>
  <c r="CC139" i="55" s="1"/>
  <c r="CD139" i="55" s="1"/>
  <c r="CE139" i="55" s="1"/>
  <c r="CF139" i="55" s="1"/>
  <c r="CG139" i="55" s="1"/>
  <c r="CH139" i="55" s="1"/>
  <c r="CI139" i="55" s="1"/>
  <c r="CJ139" i="55" s="1"/>
  <c r="CK139" i="55" s="1"/>
  <c r="CL139" i="55" s="1"/>
  <c r="CM139" i="55" s="1"/>
  <c r="CN139" i="55" s="1"/>
  <c r="CO139" i="55" s="1"/>
  <c r="CP139" i="55" s="1"/>
  <c r="CQ139" i="55" s="1"/>
  <c r="CR139" i="55" s="1"/>
  <c r="CS139" i="55" s="1"/>
  <c r="BP144" i="55"/>
  <c r="CT144" i="55" s="1"/>
  <c r="BQ144" i="55" s="1"/>
  <c r="BR144" i="55" s="1"/>
  <c r="BS144" i="55" s="1"/>
  <c r="BT144" i="55" s="1"/>
  <c r="BU144" i="55" s="1"/>
  <c r="BV144" i="55" s="1"/>
  <c r="BW144" i="55" s="1"/>
  <c r="BX144" i="55" s="1"/>
  <c r="BY144" i="55" s="1"/>
  <c r="BZ144" i="55" s="1"/>
  <c r="CA144" i="55" s="1"/>
  <c r="CB144" i="55" s="1"/>
  <c r="CC144" i="55" s="1"/>
  <c r="CD144" i="55" s="1"/>
  <c r="CE144" i="55" s="1"/>
  <c r="CF144" i="55" s="1"/>
  <c r="CG144" i="55" s="1"/>
  <c r="CH144" i="55" s="1"/>
  <c r="CI144" i="55" s="1"/>
  <c r="CJ144" i="55" s="1"/>
  <c r="CK144" i="55" s="1"/>
  <c r="CL144" i="55" s="1"/>
  <c r="CM144" i="55" s="1"/>
  <c r="CN144" i="55" s="1"/>
  <c r="CO144" i="55" s="1"/>
  <c r="CP144" i="55" s="1"/>
  <c r="CQ144" i="55" s="1"/>
  <c r="CR144" i="55" s="1"/>
  <c r="CS144" i="55" s="1"/>
  <c r="AJ144" i="55"/>
  <c r="CV144" i="55" s="1"/>
  <c r="E144" i="55"/>
  <c r="AJ145" i="55"/>
  <c r="CV145" i="55" s="1"/>
  <c r="BP145" i="55"/>
  <c r="AM147" i="55"/>
  <c r="H147" i="55"/>
  <c r="I146" i="55"/>
  <c r="AN146" i="55"/>
  <c r="I170" i="55"/>
  <c r="AN170" i="55"/>
  <c r="D167" i="55"/>
  <c r="BN162" i="55"/>
  <c r="DZ162" i="55" s="1"/>
  <c r="E25" i="55"/>
  <c r="AK25" i="55" s="1"/>
  <c r="CW25" i="55" s="1"/>
  <c r="AL169" i="55"/>
  <c r="G169" i="55"/>
  <c r="D168" i="55"/>
  <c r="D162" i="55"/>
  <c r="D166" i="55"/>
  <c r="E163" i="55"/>
  <c r="BN163" i="55"/>
  <c r="DZ163" i="55" s="1"/>
  <c r="AL124" i="55"/>
  <c r="G124" i="55"/>
  <c r="D97" i="55"/>
  <c r="D120" i="55"/>
  <c r="D74" i="55"/>
  <c r="D121" i="55"/>
  <c r="D75" i="55"/>
  <c r="D98" i="55"/>
  <c r="D122" i="55"/>
  <c r="D99" i="55"/>
  <c r="D76" i="55"/>
  <c r="BN71" i="55"/>
  <c r="DZ71" i="55" s="1"/>
  <c r="E71" i="55"/>
  <c r="BN116" i="55"/>
  <c r="DZ116" i="55" s="1"/>
  <c r="BN94" i="55"/>
  <c r="DZ94" i="55" s="1"/>
  <c r="E94" i="55"/>
  <c r="BN70" i="55"/>
  <c r="DZ70" i="55" s="1"/>
  <c r="BN117" i="55"/>
  <c r="DZ117" i="55" s="1"/>
  <c r="E117" i="55"/>
  <c r="D116" i="55"/>
  <c r="D70" i="55"/>
  <c r="D93" i="55"/>
  <c r="BN118" i="55"/>
  <c r="DZ118" i="55" s="1"/>
  <c r="BN95" i="55"/>
  <c r="DZ95" i="55" s="1"/>
  <c r="G123" i="55"/>
  <c r="AL123" i="55"/>
  <c r="BN93" i="55"/>
  <c r="DZ93" i="55" s="1"/>
  <c r="AM100" i="55"/>
  <c r="H100" i="55"/>
  <c r="G101" i="55"/>
  <c r="AL101" i="55"/>
  <c r="BQ77" i="55"/>
  <c r="BR77" i="55" s="1"/>
  <c r="BS77" i="55" s="1"/>
  <c r="BT77" i="55" s="1"/>
  <c r="BU77" i="55" s="1"/>
  <c r="BV77" i="55" s="1"/>
  <c r="BW77" i="55" s="1"/>
  <c r="BX77" i="55" s="1"/>
  <c r="BY77" i="55" s="1"/>
  <c r="BZ77" i="55" s="1"/>
  <c r="CA77" i="55" s="1"/>
  <c r="CB77" i="55" s="1"/>
  <c r="CC77" i="55" s="1"/>
  <c r="CD77" i="55" s="1"/>
  <c r="CE77" i="55" s="1"/>
  <c r="CF77" i="55" s="1"/>
  <c r="CG77" i="55" s="1"/>
  <c r="CH77" i="55" s="1"/>
  <c r="CI77" i="55" s="1"/>
  <c r="CJ77" i="55" s="1"/>
  <c r="CK77" i="55" s="1"/>
  <c r="CL77" i="55" s="1"/>
  <c r="CM77" i="55" s="1"/>
  <c r="CN77" i="55" s="1"/>
  <c r="CO77" i="55" s="1"/>
  <c r="CP77" i="55" s="1"/>
  <c r="CQ77" i="55" s="1"/>
  <c r="CR77" i="55" s="1"/>
  <c r="CS77" i="55" s="1"/>
  <c r="AM77" i="55"/>
  <c r="H77" i="55"/>
  <c r="G78" i="55"/>
  <c r="AL78" i="55"/>
  <c r="D28" i="55"/>
  <c r="E28" i="55" s="1"/>
  <c r="D51" i="55"/>
  <c r="BN48" i="55"/>
  <c r="DZ48" i="55" s="1"/>
  <c r="E48" i="55"/>
  <c r="D29" i="55"/>
  <c r="AJ29" i="55" s="1"/>
  <c r="CV29" i="55" s="1"/>
  <c r="D52" i="55"/>
  <c r="D53" i="55"/>
  <c r="D30" i="55"/>
  <c r="BP30" i="55" s="1"/>
  <c r="BP24" i="55"/>
  <c r="D47" i="55"/>
  <c r="BZ187" i="55"/>
  <c r="BN49" i="55"/>
  <c r="DZ49" i="55" s="1"/>
  <c r="D49" i="55"/>
  <c r="H55" i="55"/>
  <c r="AM55" i="55"/>
  <c r="AM54" i="55"/>
  <c r="H54" i="55"/>
  <c r="CT31" i="55"/>
  <c r="BQ31" i="55" s="1"/>
  <c r="BR31" i="55" s="1"/>
  <c r="BS31" i="55" s="1"/>
  <c r="BT31" i="55" s="1"/>
  <c r="BU31" i="55" s="1"/>
  <c r="BV31" i="55" s="1"/>
  <c r="BW31" i="55" s="1"/>
  <c r="BX31" i="55" s="1"/>
  <c r="BY31" i="55" s="1"/>
  <c r="BZ31" i="55" s="1"/>
  <c r="CA31" i="55" s="1"/>
  <c r="CB31" i="55" s="1"/>
  <c r="CC31" i="55" s="1"/>
  <c r="CD31" i="55" s="1"/>
  <c r="CE31" i="55" s="1"/>
  <c r="CF31" i="55" s="1"/>
  <c r="CG31" i="55" s="1"/>
  <c r="CH31" i="55" s="1"/>
  <c r="CI31" i="55" s="1"/>
  <c r="CJ31" i="55" s="1"/>
  <c r="CK31" i="55" s="1"/>
  <c r="CL31" i="55" s="1"/>
  <c r="CM31" i="55" s="1"/>
  <c r="CN31" i="55" s="1"/>
  <c r="CO31" i="55" s="1"/>
  <c r="CP31" i="55" s="1"/>
  <c r="CQ31" i="55" s="1"/>
  <c r="CR31" i="55" s="1"/>
  <c r="CS31" i="55" s="1"/>
  <c r="F31" i="55"/>
  <c r="AK31" i="55"/>
  <c r="CT32" i="55"/>
  <c r="BQ32" i="55" s="1"/>
  <c r="BR32" i="55" s="1"/>
  <c r="BS32" i="55" s="1"/>
  <c r="BT32" i="55" s="1"/>
  <c r="BU32" i="55" s="1"/>
  <c r="BV32" i="55" s="1"/>
  <c r="BW32" i="55" s="1"/>
  <c r="BX32" i="55" s="1"/>
  <c r="BY32" i="55" s="1"/>
  <c r="BZ32" i="55" s="1"/>
  <c r="CA32" i="55" s="1"/>
  <c r="CB32" i="55" s="1"/>
  <c r="CC32" i="55" s="1"/>
  <c r="CD32" i="55" s="1"/>
  <c r="CE32" i="55" s="1"/>
  <c r="CF32" i="55" s="1"/>
  <c r="CG32" i="55" s="1"/>
  <c r="CH32" i="55" s="1"/>
  <c r="CI32" i="55" s="1"/>
  <c r="CJ32" i="55" s="1"/>
  <c r="CK32" i="55" s="1"/>
  <c r="CL32" i="55" s="1"/>
  <c r="CM32" i="55" s="1"/>
  <c r="CN32" i="55" s="1"/>
  <c r="CO32" i="55" s="1"/>
  <c r="CP32" i="55" s="1"/>
  <c r="CQ32" i="55" s="1"/>
  <c r="CR32" i="55" s="1"/>
  <c r="CS32" i="55" s="1"/>
  <c r="CT25" i="55"/>
  <c r="BQ25" i="55" s="1"/>
  <c r="BR25" i="55" s="1"/>
  <c r="BS25" i="55" s="1"/>
  <c r="BT25" i="55" s="1"/>
  <c r="BU25" i="55" s="1"/>
  <c r="BV25" i="55" s="1"/>
  <c r="BW25" i="55" s="1"/>
  <c r="BX25" i="55" s="1"/>
  <c r="BY25" i="55" s="1"/>
  <c r="BZ25" i="55" s="1"/>
  <c r="CA25" i="55" s="1"/>
  <c r="CB25" i="55" s="1"/>
  <c r="CC25" i="55" s="1"/>
  <c r="CD25" i="55" s="1"/>
  <c r="CE25" i="55" s="1"/>
  <c r="CF25" i="55" s="1"/>
  <c r="CG25" i="55" s="1"/>
  <c r="CH25" i="55" s="1"/>
  <c r="CI25" i="55" s="1"/>
  <c r="CJ25" i="55" s="1"/>
  <c r="CK25" i="55" s="1"/>
  <c r="CL25" i="55" s="1"/>
  <c r="CM25" i="55" s="1"/>
  <c r="CN25" i="55" s="1"/>
  <c r="CO25" i="55" s="1"/>
  <c r="CP25" i="55" s="1"/>
  <c r="CQ25" i="55" s="1"/>
  <c r="CR25" i="55" s="1"/>
  <c r="CS25" i="55" s="1"/>
  <c r="F32" i="55"/>
  <c r="AK32" i="55"/>
  <c r="B189" i="55"/>
  <c r="C192" i="55"/>
  <c r="AH145" i="55" s="1"/>
  <c r="BN145" i="55" s="1"/>
  <c r="EA192" i="55"/>
  <c r="EA190" i="55" l="1"/>
  <c r="CW144" i="55"/>
  <c r="CX144" i="55" s="1"/>
  <c r="CY144" i="55" s="1"/>
  <c r="CZ144" i="55" s="1"/>
  <c r="DA144" i="55" s="1"/>
  <c r="DB144" i="55" s="1"/>
  <c r="DC144" i="55" s="1"/>
  <c r="DD144" i="55" s="1"/>
  <c r="DE144" i="55" s="1"/>
  <c r="DF144" i="55" s="1"/>
  <c r="DG144" i="55" s="1"/>
  <c r="DH144" i="55" s="1"/>
  <c r="DI144" i="55" s="1"/>
  <c r="DJ144" i="55" s="1"/>
  <c r="DK144" i="55" s="1"/>
  <c r="DL144" i="55" s="1"/>
  <c r="DM144" i="55" s="1"/>
  <c r="DN144" i="55" s="1"/>
  <c r="DO144" i="55" s="1"/>
  <c r="DP144" i="55" s="1"/>
  <c r="DQ144" i="55" s="1"/>
  <c r="DR144" i="55" s="1"/>
  <c r="DS144" i="55" s="1"/>
  <c r="DT144" i="55" s="1"/>
  <c r="DU144" i="55" s="1"/>
  <c r="DV144" i="55" s="1"/>
  <c r="DW144" i="55" s="1"/>
  <c r="DX144" i="55" s="1"/>
  <c r="DY144" i="55" s="1"/>
  <c r="D119" i="55"/>
  <c r="BZ190" i="55"/>
  <c r="F25" i="55"/>
  <c r="D50" i="55"/>
  <c r="AH50" i="55"/>
  <c r="DZ145" i="55"/>
  <c r="CW32" i="55"/>
  <c r="CX32" i="55" s="1"/>
  <c r="CY32" i="55" s="1"/>
  <c r="CZ32" i="55" s="1"/>
  <c r="DA32" i="55" s="1"/>
  <c r="DB32" i="55" s="1"/>
  <c r="DC32" i="55" s="1"/>
  <c r="DD32" i="55" s="1"/>
  <c r="DE32" i="55" s="1"/>
  <c r="DF32" i="55" s="1"/>
  <c r="DG32" i="55" s="1"/>
  <c r="DH32" i="55" s="1"/>
  <c r="DI32" i="55" s="1"/>
  <c r="DJ32" i="55" s="1"/>
  <c r="DK32" i="55" s="1"/>
  <c r="DL32" i="55" s="1"/>
  <c r="DM32" i="55" s="1"/>
  <c r="DN32" i="55" s="1"/>
  <c r="DO32" i="55" s="1"/>
  <c r="DP32" i="55" s="1"/>
  <c r="DQ32" i="55" s="1"/>
  <c r="DR32" i="55" s="1"/>
  <c r="DS32" i="55" s="1"/>
  <c r="DT32" i="55" s="1"/>
  <c r="DU32" i="55" s="1"/>
  <c r="DV32" i="55" s="1"/>
  <c r="DW32" i="55" s="1"/>
  <c r="DX32" i="55" s="1"/>
  <c r="DY32" i="55" s="1"/>
  <c r="CW31" i="55"/>
  <c r="CX31" i="55" s="1"/>
  <c r="CY31" i="55" s="1"/>
  <c r="CZ31" i="55" s="1"/>
  <c r="DA31" i="55" s="1"/>
  <c r="DB31" i="55" s="1"/>
  <c r="DC31" i="55" s="1"/>
  <c r="DD31" i="55" s="1"/>
  <c r="DE31" i="55" s="1"/>
  <c r="DF31" i="55" s="1"/>
  <c r="DG31" i="55" s="1"/>
  <c r="DH31" i="55" s="1"/>
  <c r="DI31" i="55" s="1"/>
  <c r="DJ31" i="55" s="1"/>
  <c r="DK31" i="55" s="1"/>
  <c r="DL31" i="55" s="1"/>
  <c r="DM31" i="55" s="1"/>
  <c r="DN31" i="55" s="1"/>
  <c r="DO31" i="55" s="1"/>
  <c r="DP31" i="55" s="1"/>
  <c r="DQ31" i="55" s="1"/>
  <c r="DR31" i="55" s="1"/>
  <c r="DS31" i="55" s="1"/>
  <c r="DT31" i="55" s="1"/>
  <c r="DU31" i="55" s="1"/>
  <c r="DV31" i="55" s="1"/>
  <c r="DW31" i="55" s="1"/>
  <c r="DX31" i="55" s="1"/>
  <c r="DY31" i="55" s="1"/>
  <c r="BU75" i="59"/>
  <c r="BW2" i="59"/>
  <c r="BV73" i="59"/>
  <c r="BV65" i="59"/>
  <c r="BV66" i="59"/>
  <c r="BV67" i="59"/>
  <c r="BV68" i="59"/>
  <c r="BV69" i="59"/>
  <c r="BV61" i="59"/>
  <c r="BV70" i="59"/>
  <c r="BV62" i="59"/>
  <c r="BV64" i="59"/>
  <c r="BV74" i="59"/>
  <c r="BV63" i="59"/>
  <c r="BV72" i="59"/>
  <c r="BV71" i="59"/>
  <c r="F144" i="55"/>
  <c r="AK144" i="55"/>
  <c r="AH119" i="55"/>
  <c r="BZ192" i="55"/>
  <c r="AH165" i="55" s="1"/>
  <c r="BN164" i="55"/>
  <c r="DZ164" i="55" s="1"/>
  <c r="D165" i="55"/>
  <c r="AJ165" i="55" s="1"/>
  <c r="CV165" i="55" s="1"/>
  <c r="D164" i="55"/>
  <c r="E164" i="55" s="1"/>
  <c r="AK143" i="55"/>
  <c r="CW143" i="55" s="1"/>
  <c r="F143" i="55"/>
  <c r="BN141" i="55"/>
  <c r="DZ141" i="55" s="1"/>
  <c r="CT143" i="55"/>
  <c r="BQ143" i="55" s="1"/>
  <c r="BR143" i="55" s="1"/>
  <c r="BS143" i="55" s="1"/>
  <c r="BT143" i="55" s="1"/>
  <c r="BU143" i="55" s="1"/>
  <c r="BV143" i="55" s="1"/>
  <c r="BW143" i="55" s="1"/>
  <c r="BX143" i="55" s="1"/>
  <c r="BY143" i="55" s="1"/>
  <c r="BZ143" i="55" s="1"/>
  <c r="CA143" i="55" s="1"/>
  <c r="CB143" i="55" s="1"/>
  <c r="CC143" i="55" s="1"/>
  <c r="CD143" i="55" s="1"/>
  <c r="CE143" i="55" s="1"/>
  <c r="CF143" i="55" s="1"/>
  <c r="CG143" i="55" s="1"/>
  <c r="CH143" i="55" s="1"/>
  <c r="CI143" i="55" s="1"/>
  <c r="CJ143" i="55" s="1"/>
  <c r="CK143" i="55" s="1"/>
  <c r="CL143" i="55" s="1"/>
  <c r="CM143" i="55" s="1"/>
  <c r="CN143" i="55" s="1"/>
  <c r="CO143" i="55" s="1"/>
  <c r="CP143" i="55" s="1"/>
  <c r="CQ143" i="55" s="1"/>
  <c r="CR143" i="55" s="1"/>
  <c r="CS143" i="55" s="1"/>
  <c r="BN72" i="55"/>
  <c r="DZ72" i="55" s="1"/>
  <c r="E145" i="55"/>
  <c r="AK139" i="55"/>
  <c r="CW139" i="55" s="1"/>
  <c r="F139" i="55"/>
  <c r="G140" i="55"/>
  <c r="AL140" i="55"/>
  <c r="CX140" i="55" s="1"/>
  <c r="CT145" i="55"/>
  <c r="BQ145" i="55" s="1"/>
  <c r="BR145" i="55" s="1"/>
  <c r="BS145" i="55" s="1"/>
  <c r="BT145" i="55" s="1"/>
  <c r="BU145" i="55" s="1"/>
  <c r="BV145" i="55" s="1"/>
  <c r="BW145" i="55" s="1"/>
  <c r="BX145" i="55" s="1"/>
  <c r="BY145" i="55" s="1"/>
  <c r="BZ145" i="55" s="1"/>
  <c r="CA145" i="55" s="1"/>
  <c r="CB145" i="55" s="1"/>
  <c r="CC145" i="55" s="1"/>
  <c r="CD145" i="55" s="1"/>
  <c r="CE145" i="55" s="1"/>
  <c r="CF145" i="55" s="1"/>
  <c r="CG145" i="55" s="1"/>
  <c r="CH145" i="55" s="1"/>
  <c r="CI145" i="55" s="1"/>
  <c r="CJ145" i="55" s="1"/>
  <c r="CK145" i="55" s="1"/>
  <c r="CL145" i="55" s="1"/>
  <c r="CM145" i="55" s="1"/>
  <c r="CN145" i="55" s="1"/>
  <c r="CO145" i="55" s="1"/>
  <c r="CP145" i="55" s="1"/>
  <c r="CQ145" i="55" s="1"/>
  <c r="CR145" i="55" s="1"/>
  <c r="CS145" i="55" s="1"/>
  <c r="AN147" i="55"/>
  <c r="I147" i="55"/>
  <c r="AO146" i="55"/>
  <c r="J146" i="55"/>
  <c r="AJ162" i="55"/>
  <c r="CV162" i="55" s="1"/>
  <c r="BP162" i="55"/>
  <c r="E162" i="55"/>
  <c r="AH168" i="55"/>
  <c r="BN168" i="55" s="1"/>
  <c r="F163" i="55"/>
  <c r="AK163" i="55"/>
  <c r="CW163" i="55" s="1"/>
  <c r="BP168" i="55"/>
  <c r="AJ168" i="55"/>
  <c r="CV168" i="55" s="1"/>
  <c r="E166" i="55"/>
  <c r="AJ166" i="55"/>
  <c r="CV166" i="55" s="1"/>
  <c r="BP166" i="55"/>
  <c r="AJ167" i="55"/>
  <c r="CV167" i="55" s="1"/>
  <c r="E167" i="55"/>
  <c r="BP167" i="55"/>
  <c r="AM169" i="55"/>
  <c r="H169" i="55"/>
  <c r="J170" i="55"/>
  <c r="AO170" i="55"/>
  <c r="E29" i="55"/>
  <c r="H124" i="55"/>
  <c r="AM124" i="55"/>
  <c r="BP29" i="55"/>
  <c r="CT29" i="55" s="1"/>
  <c r="BQ29" i="55" s="1"/>
  <c r="BR29" i="55" s="1"/>
  <c r="BS29" i="55" s="1"/>
  <c r="BT29" i="55" s="1"/>
  <c r="BU29" i="55" s="1"/>
  <c r="BV29" i="55" s="1"/>
  <c r="BW29" i="55" s="1"/>
  <c r="BX29" i="55" s="1"/>
  <c r="BY29" i="55" s="1"/>
  <c r="BZ29" i="55" s="1"/>
  <c r="CA29" i="55" s="1"/>
  <c r="CB29" i="55" s="1"/>
  <c r="CC29" i="55" s="1"/>
  <c r="CD29" i="55" s="1"/>
  <c r="CE29" i="55" s="1"/>
  <c r="CF29" i="55" s="1"/>
  <c r="CG29" i="55" s="1"/>
  <c r="CH29" i="55" s="1"/>
  <c r="CI29" i="55" s="1"/>
  <c r="CJ29" i="55" s="1"/>
  <c r="CK29" i="55" s="1"/>
  <c r="CL29" i="55" s="1"/>
  <c r="CM29" i="55" s="1"/>
  <c r="CN29" i="55" s="1"/>
  <c r="CO29" i="55" s="1"/>
  <c r="CP29" i="55" s="1"/>
  <c r="CQ29" i="55" s="1"/>
  <c r="CR29" i="55" s="1"/>
  <c r="CS29" i="55" s="1"/>
  <c r="AJ24" i="55"/>
  <c r="CV24" i="55" s="1"/>
  <c r="AJ70" i="55"/>
  <c r="CV70" i="55" s="1"/>
  <c r="BP70" i="55"/>
  <c r="E70" i="55"/>
  <c r="AJ99" i="55"/>
  <c r="CV99" i="55" s="1"/>
  <c r="BP99" i="55"/>
  <c r="CT99" i="55" s="1"/>
  <c r="BQ99" i="55" s="1"/>
  <c r="BR99" i="55" s="1"/>
  <c r="BS99" i="55" s="1"/>
  <c r="BT99" i="55" s="1"/>
  <c r="BU99" i="55" s="1"/>
  <c r="BV99" i="55" s="1"/>
  <c r="BW99" i="55" s="1"/>
  <c r="BX99" i="55" s="1"/>
  <c r="BY99" i="55" s="1"/>
  <c r="BZ99" i="55" s="1"/>
  <c r="CA99" i="55" s="1"/>
  <c r="CB99" i="55" s="1"/>
  <c r="CC99" i="55" s="1"/>
  <c r="CD99" i="55" s="1"/>
  <c r="CE99" i="55" s="1"/>
  <c r="CF99" i="55" s="1"/>
  <c r="CG99" i="55" s="1"/>
  <c r="CH99" i="55" s="1"/>
  <c r="CI99" i="55" s="1"/>
  <c r="CJ99" i="55" s="1"/>
  <c r="CK99" i="55" s="1"/>
  <c r="CL99" i="55" s="1"/>
  <c r="CM99" i="55" s="1"/>
  <c r="CN99" i="55" s="1"/>
  <c r="CO99" i="55" s="1"/>
  <c r="CP99" i="55" s="1"/>
  <c r="CQ99" i="55" s="1"/>
  <c r="CR99" i="55" s="1"/>
  <c r="CS99" i="55" s="1"/>
  <c r="AJ28" i="55"/>
  <c r="CV28" i="55" s="1"/>
  <c r="AJ119" i="55"/>
  <c r="CV119" i="55" s="1"/>
  <c r="BP119" i="55"/>
  <c r="BP116" i="55"/>
  <c r="AJ116" i="55"/>
  <c r="CV116" i="55" s="1"/>
  <c r="E116" i="55"/>
  <c r="F94" i="55"/>
  <c r="AK94" i="55"/>
  <c r="CW94" i="55" s="1"/>
  <c r="BP122" i="55"/>
  <c r="AJ122" i="55"/>
  <c r="CV122" i="55" s="1"/>
  <c r="AH122" i="55"/>
  <c r="BN122" i="55" s="1"/>
  <c r="AH99" i="55"/>
  <c r="BN99" i="55" s="1"/>
  <c r="AH76" i="55"/>
  <c r="BN76" i="55" s="1"/>
  <c r="BP28" i="55"/>
  <c r="CT28" i="55" s="1"/>
  <c r="BQ28" i="55" s="1"/>
  <c r="BR28" i="55" s="1"/>
  <c r="BS28" i="55" s="1"/>
  <c r="BT28" i="55" s="1"/>
  <c r="BU28" i="55" s="1"/>
  <c r="BV28" i="55" s="1"/>
  <c r="BW28" i="55" s="1"/>
  <c r="BX28" i="55" s="1"/>
  <c r="BY28" i="55" s="1"/>
  <c r="BZ28" i="55" s="1"/>
  <c r="CA28" i="55" s="1"/>
  <c r="CB28" i="55" s="1"/>
  <c r="CC28" i="55" s="1"/>
  <c r="CD28" i="55" s="1"/>
  <c r="CE28" i="55" s="1"/>
  <c r="CF28" i="55" s="1"/>
  <c r="CG28" i="55" s="1"/>
  <c r="CH28" i="55" s="1"/>
  <c r="CI28" i="55" s="1"/>
  <c r="CJ28" i="55" s="1"/>
  <c r="CK28" i="55" s="1"/>
  <c r="CL28" i="55" s="1"/>
  <c r="CM28" i="55" s="1"/>
  <c r="CN28" i="55" s="1"/>
  <c r="CO28" i="55" s="1"/>
  <c r="CP28" i="55" s="1"/>
  <c r="CQ28" i="55" s="1"/>
  <c r="CR28" i="55" s="1"/>
  <c r="CS28" i="55" s="1"/>
  <c r="BN119" i="55"/>
  <c r="AK117" i="55"/>
  <c r="CW117" i="55" s="1"/>
  <c r="F117" i="55"/>
  <c r="E98" i="55"/>
  <c r="BP98" i="55"/>
  <c r="CT98" i="55" s="1"/>
  <c r="BQ98" i="55" s="1"/>
  <c r="BR98" i="55" s="1"/>
  <c r="BS98" i="55" s="1"/>
  <c r="BT98" i="55" s="1"/>
  <c r="BU98" i="55" s="1"/>
  <c r="BV98" i="55" s="1"/>
  <c r="BW98" i="55" s="1"/>
  <c r="BX98" i="55" s="1"/>
  <c r="BY98" i="55" s="1"/>
  <c r="BZ98" i="55" s="1"/>
  <c r="CA98" i="55" s="1"/>
  <c r="CB98" i="55" s="1"/>
  <c r="CC98" i="55" s="1"/>
  <c r="CD98" i="55" s="1"/>
  <c r="CE98" i="55" s="1"/>
  <c r="CF98" i="55" s="1"/>
  <c r="CG98" i="55" s="1"/>
  <c r="CH98" i="55" s="1"/>
  <c r="CI98" i="55" s="1"/>
  <c r="CJ98" i="55" s="1"/>
  <c r="CK98" i="55" s="1"/>
  <c r="CL98" i="55" s="1"/>
  <c r="CM98" i="55" s="1"/>
  <c r="CN98" i="55" s="1"/>
  <c r="CO98" i="55" s="1"/>
  <c r="CP98" i="55" s="1"/>
  <c r="CQ98" i="55" s="1"/>
  <c r="CR98" i="55" s="1"/>
  <c r="CS98" i="55" s="1"/>
  <c r="AJ98" i="55"/>
  <c r="CV98" i="55" s="1"/>
  <c r="CW98" i="55" s="1"/>
  <c r="CX98" i="55" s="1"/>
  <c r="CY98" i="55" s="1"/>
  <c r="CZ98" i="55" s="1"/>
  <c r="DA98" i="55" s="1"/>
  <c r="DB98" i="55" s="1"/>
  <c r="DC98" i="55" s="1"/>
  <c r="DD98" i="55" s="1"/>
  <c r="DE98" i="55" s="1"/>
  <c r="DF98" i="55" s="1"/>
  <c r="DG98" i="55" s="1"/>
  <c r="DH98" i="55" s="1"/>
  <c r="DI98" i="55" s="1"/>
  <c r="DJ98" i="55" s="1"/>
  <c r="DK98" i="55" s="1"/>
  <c r="DL98" i="55" s="1"/>
  <c r="DM98" i="55" s="1"/>
  <c r="DN98" i="55" s="1"/>
  <c r="DO98" i="55" s="1"/>
  <c r="DP98" i="55" s="1"/>
  <c r="DQ98" i="55" s="1"/>
  <c r="DR98" i="55" s="1"/>
  <c r="DS98" i="55" s="1"/>
  <c r="DT98" i="55" s="1"/>
  <c r="DU98" i="55" s="1"/>
  <c r="DV98" i="55" s="1"/>
  <c r="DW98" i="55" s="1"/>
  <c r="DX98" i="55" s="1"/>
  <c r="DY98" i="55" s="1"/>
  <c r="E75" i="55"/>
  <c r="BP75" i="55"/>
  <c r="CT75" i="55" s="1"/>
  <c r="BQ75" i="55" s="1"/>
  <c r="BR75" i="55" s="1"/>
  <c r="BS75" i="55" s="1"/>
  <c r="BT75" i="55" s="1"/>
  <c r="BU75" i="55" s="1"/>
  <c r="BV75" i="55" s="1"/>
  <c r="BW75" i="55" s="1"/>
  <c r="BX75" i="55" s="1"/>
  <c r="BY75" i="55" s="1"/>
  <c r="BZ75" i="55" s="1"/>
  <c r="CA75" i="55" s="1"/>
  <c r="CB75" i="55" s="1"/>
  <c r="CC75" i="55" s="1"/>
  <c r="CD75" i="55" s="1"/>
  <c r="CE75" i="55" s="1"/>
  <c r="CF75" i="55" s="1"/>
  <c r="CG75" i="55" s="1"/>
  <c r="CH75" i="55" s="1"/>
  <c r="CI75" i="55" s="1"/>
  <c r="CJ75" i="55" s="1"/>
  <c r="CK75" i="55" s="1"/>
  <c r="CL75" i="55" s="1"/>
  <c r="CM75" i="55" s="1"/>
  <c r="CN75" i="55" s="1"/>
  <c r="CO75" i="55" s="1"/>
  <c r="CP75" i="55" s="1"/>
  <c r="CQ75" i="55" s="1"/>
  <c r="CR75" i="55" s="1"/>
  <c r="CS75" i="55" s="1"/>
  <c r="AJ75" i="55"/>
  <c r="CV75" i="55" s="1"/>
  <c r="AJ121" i="55"/>
  <c r="CV121" i="55" s="1"/>
  <c r="BP121" i="55"/>
  <c r="E121" i="55"/>
  <c r="AM123" i="55"/>
  <c r="H123" i="55"/>
  <c r="BP118" i="55"/>
  <c r="AJ118" i="55"/>
  <c r="CV118" i="55" s="1"/>
  <c r="E118" i="55"/>
  <c r="F71" i="55"/>
  <c r="AK71" i="55"/>
  <c r="CW71" i="55" s="1"/>
  <c r="BP74" i="55"/>
  <c r="CT74" i="55" s="1"/>
  <c r="BQ74" i="55" s="1"/>
  <c r="BR74" i="55" s="1"/>
  <c r="BS74" i="55" s="1"/>
  <c r="BT74" i="55" s="1"/>
  <c r="BU74" i="55" s="1"/>
  <c r="BV74" i="55" s="1"/>
  <c r="BW74" i="55" s="1"/>
  <c r="BX74" i="55" s="1"/>
  <c r="BY74" i="55" s="1"/>
  <c r="BZ74" i="55" s="1"/>
  <c r="CA74" i="55" s="1"/>
  <c r="CB74" i="55" s="1"/>
  <c r="CC74" i="55" s="1"/>
  <c r="CD74" i="55" s="1"/>
  <c r="CE74" i="55" s="1"/>
  <c r="CF74" i="55" s="1"/>
  <c r="CG74" i="55" s="1"/>
  <c r="CH74" i="55" s="1"/>
  <c r="CI74" i="55" s="1"/>
  <c r="CJ74" i="55" s="1"/>
  <c r="CK74" i="55" s="1"/>
  <c r="CL74" i="55" s="1"/>
  <c r="CM74" i="55" s="1"/>
  <c r="CN74" i="55" s="1"/>
  <c r="CO74" i="55" s="1"/>
  <c r="CP74" i="55" s="1"/>
  <c r="CQ74" i="55" s="1"/>
  <c r="CR74" i="55" s="1"/>
  <c r="CS74" i="55" s="1"/>
  <c r="E74" i="55"/>
  <c r="AJ74" i="55"/>
  <c r="CV74" i="55" s="1"/>
  <c r="E120" i="55"/>
  <c r="BP120" i="55"/>
  <c r="AJ120" i="55"/>
  <c r="CV120" i="55" s="1"/>
  <c r="BP93" i="55"/>
  <c r="AJ93" i="55"/>
  <c r="CV93" i="55" s="1"/>
  <c r="E93" i="55"/>
  <c r="BP76" i="55"/>
  <c r="AJ76" i="55"/>
  <c r="CV76" i="55" s="1"/>
  <c r="E97" i="55"/>
  <c r="AJ97" i="55"/>
  <c r="CV97" i="55" s="1"/>
  <c r="BP97" i="55"/>
  <c r="H101" i="55"/>
  <c r="AM101" i="55"/>
  <c r="AN100" i="55"/>
  <c r="I100" i="55"/>
  <c r="H78" i="55"/>
  <c r="AM78" i="55"/>
  <c r="AN77" i="55"/>
  <c r="I77" i="55"/>
  <c r="E52" i="55"/>
  <c r="BP52" i="55"/>
  <c r="AJ52" i="55"/>
  <c r="CV52" i="55" s="1"/>
  <c r="AJ30" i="55"/>
  <c r="CV30" i="55" s="1"/>
  <c r="E24" i="55"/>
  <c r="AK24" i="55" s="1"/>
  <c r="CW24" i="55" s="1"/>
  <c r="BN50" i="55"/>
  <c r="E47" i="55"/>
  <c r="BP47" i="55"/>
  <c r="CT47" i="55" s="1"/>
  <c r="BQ47" i="55" s="1"/>
  <c r="BR47" i="55" s="1"/>
  <c r="BS47" i="55" s="1"/>
  <c r="BT47" i="55" s="1"/>
  <c r="BU47" i="55" s="1"/>
  <c r="BV47" i="55" s="1"/>
  <c r="BW47" i="55" s="1"/>
  <c r="BX47" i="55" s="1"/>
  <c r="BY47" i="55" s="1"/>
  <c r="BZ47" i="55" s="1"/>
  <c r="CA47" i="55" s="1"/>
  <c r="CB47" i="55" s="1"/>
  <c r="CC47" i="55" s="1"/>
  <c r="CD47" i="55" s="1"/>
  <c r="CE47" i="55" s="1"/>
  <c r="CF47" i="55" s="1"/>
  <c r="CG47" i="55" s="1"/>
  <c r="CH47" i="55" s="1"/>
  <c r="CI47" i="55" s="1"/>
  <c r="CJ47" i="55" s="1"/>
  <c r="CK47" i="55" s="1"/>
  <c r="CL47" i="55" s="1"/>
  <c r="CM47" i="55" s="1"/>
  <c r="CN47" i="55" s="1"/>
  <c r="CO47" i="55" s="1"/>
  <c r="CP47" i="55" s="1"/>
  <c r="CQ47" i="55" s="1"/>
  <c r="CR47" i="55" s="1"/>
  <c r="CS47" i="55" s="1"/>
  <c r="AJ47" i="55"/>
  <c r="CV47" i="55" s="1"/>
  <c r="E49" i="55"/>
  <c r="BP49" i="55"/>
  <c r="CT49" i="55" s="1"/>
  <c r="BQ49" i="55" s="1"/>
  <c r="BR49" i="55" s="1"/>
  <c r="BS49" i="55" s="1"/>
  <c r="BT49" i="55" s="1"/>
  <c r="BU49" i="55" s="1"/>
  <c r="BV49" i="55" s="1"/>
  <c r="BW49" i="55" s="1"/>
  <c r="BX49" i="55" s="1"/>
  <c r="BY49" i="55" s="1"/>
  <c r="BZ49" i="55" s="1"/>
  <c r="CA49" i="55" s="1"/>
  <c r="CB49" i="55" s="1"/>
  <c r="CC49" i="55" s="1"/>
  <c r="CD49" i="55" s="1"/>
  <c r="CE49" i="55" s="1"/>
  <c r="CF49" i="55" s="1"/>
  <c r="CG49" i="55" s="1"/>
  <c r="CH49" i="55" s="1"/>
  <c r="CI49" i="55" s="1"/>
  <c r="CJ49" i="55" s="1"/>
  <c r="CK49" i="55" s="1"/>
  <c r="CL49" i="55" s="1"/>
  <c r="CM49" i="55" s="1"/>
  <c r="CN49" i="55" s="1"/>
  <c r="CO49" i="55" s="1"/>
  <c r="CP49" i="55" s="1"/>
  <c r="CQ49" i="55" s="1"/>
  <c r="CR49" i="55" s="1"/>
  <c r="CS49" i="55" s="1"/>
  <c r="AJ49" i="55"/>
  <c r="CV49" i="55" s="1"/>
  <c r="BN26" i="55"/>
  <c r="DZ26" i="55" s="1"/>
  <c r="BP50" i="55"/>
  <c r="AJ50" i="55"/>
  <c r="CV50" i="55" s="1"/>
  <c r="AK48" i="55"/>
  <c r="CW48" i="55" s="1"/>
  <c r="F48" i="55"/>
  <c r="AJ51" i="55"/>
  <c r="CV51" i="55" s="1"/>
  <c r="E51" i="55"/>
  <c r="BP51" i="55"/>
  <c r="CT51" i="55" s="1"/>
  <c r="BQ51" i="55" s="1"/>
  <c r="BR51" i="55" s="1"/>
  <c r="BS51" i="55" s="1"/>
  <c r="BT51" i="55" s="1"/>
  <c r="BU51" i="55" s="1"/>
  <c r="BV51" i="55" s="1"/>
  <c r="BW51" i="55" s="1"/>
  <c r="BX51" i="55" s="1"/>
  <c r="BY51" i="55" s="1"/>
  <c r="BZ51" i="55" s="1"/>
  <c r="CA51" i="55" s="1"/>
  <c r="CB51" i="55" s="1"/>
  <c r="CC51" i="55" s="1"/>
  <c r="CD51" i="55" s="1"/>
  <c r="CE51" i="55" s="1"/>
  <c r="CF51" i="55" s="1"/>
  <c r="CG51" i="55" s="1"/>
  <c r="CH51" i="55" s="1"/>
  <c r="CI51" i="55" s="1"/>
  <c r="CJ51" i="55" s="1"/>
  <c r="CK51" i="55" s="1"/>
  <c r="CL51" i="55" s="1"/>
  <c r="CM51" i="55" s="1"/>
  <c r="CN51" i="55" s="1"/>
  <c r="CO51" i="55" s="1"/>
  <c r="CP51" i="55" s="1"/>
  <c r="CQ51" i="55" s="1"/>
  <c r="CR51" i="55" s="1"/>
  <c r="CS51" i="55" s="1"/>
  <c r="AH30" i="55"/>
  <c r="BN30" i="55" s="1"/>
  <c r="AH53" i="55"/>
  <c r="BN53" i="55" s="1"/>
  <c r="BP53" i="55"/>
  <c r="AJ53" i="55"/>
  <c r="CV53" i="55" s="1"/>
  <c r="AN55" i="55"/>
  <c r="I55" i="55"/>
  <c r="I54" i="55"/>
  <c r="AN54" i="55"/>
  <c r="F29" i="55"/>
  <c r="AK29" i="55"/>
  <c r="G25" i="55"/>
  <c r="AL25" i="55"/>
  <c r="CX25" i="55" s="1"/>
  <c r="CT24" i="55"/>
  <c r="BQ24" i="55" s="1"/>
  <c r="G31" i="55"/>
  <c r="AL31" i="55"/>
  <c r="G32" i="55"/>
  <c r="AL32" i="55"/>
  <c r="CT30" i="55"/>
  <c r="BQ30" i="55" s="1"/>
  <c r="BR30" i="55" s="1"/>
  <c r="BS30" i="55" s="1"/>
  <c r="BT30" i="55" s="1"/>
  <c r="BU30" i="55" s="1"/>
  <c r="BV30" i="55" s="1"/>
  <c r="BW30" i="55" s="1"/>
  <c r="BX30" i="55" s="1"/>
  <c r="BY30" i="55" s="1"/>
  <c r="BZ30" i="55" s="1"/>
  <c r="CA30" i="55" s="1"/>
  <c r="CB30" i="55" s="1"/>
  <c r="CC30" i="55" s="1"/>
  <c r="CD30" i="55" s="1"/>
  <c r="CE30" i="55" s="1"/>
  <c r="CF30" i="55" s="1"/>
  <c r="CG30" i="55" s="1"/>
  <c r="CH30" i="55" s="1"/>
  <c r="CI30" i="55" s="1"/>
  <c r="CJ30" i="55" s="1"/>
  <c r="CK30" i="55" s="1"/>
  <c r="CL30" i="55" s="1"/>
  <c r="CM30" i="55" s="1"/>
  <c r="CN30" i="55" s="1"/>
  <c r="CO30" i="55" s="1"/>
  <c r="CP30" i="55" s="1"/>
  <c r="CQ30" i="55" s="1"/>
  <c r="CR30" i="55" s="1"/>
  <c r="CS30" i="55" s="1"/>
  <c r="F28" i="55"/>
  <c r="AK28" i="55"/>
  <c r="CW28" i="55" s="1"/>
  <c r="C189" i="55"/>
  <c r="N35" i="52"/>
  <c r="P35" i="52"/>
  <c r="Q35" i="52"/>
  <c r="R35" i="52"/>
  <c r="S35" i="52"/>
  <c r="T35" i="52"/>
  <c r="U35" i="52"/>
  <c r="V35" i="52"/>
  <c r="D32" i="52"/>
  <c r="C25" i="52"/>
  <c r="DZ53" i="55" l="1"/>
  <c r="DZ168" i="55"/>
  <c r="CW145" i="55"/>
  <c r="CX145" i="55" s="1"/>
  <c r="CY145" i="55" s="1"/>
  <c r="CZ145" i="55" s="1"/>
  <c r="DA145" i="55" s="1"/>
  <c r="DB145" i="55" s="1"/>
  <c r="DC145" i="55" s="1"/>
  <c r="DD145" i="55" s="1"/>
  <c r="DE145" i="55" s="1"/>
  <c r="DF145" i="55" s="1"/>
  <c r="DG145" i="55" s="1"/>
  <c r="DH145" i="55" s="1"/>
  <c r="DI145" i="55" s="1"/>
  <c r="DJ145" i="55" s="1"/>
  <c r="DK145" i="55" s="1"/>
  <c r="DL145" i="55" s="1"/>
  <c r="DM145" i="55" s="1"/>
  <c r="DN145" i="55" s="1"/>
  <c r="DO145" i="55" s="1"/>
  <c r="DP145" i="55" s="1"/>
  <c r="DQ145" i="55" s="1"/>
  <c r="DR145" i="55" s="1"/>
  <c r="DS145" i="55" s="1"/>
  <c r="DT145" i="55" s="1"/>
  <c r="DU145" i="55" s="1"/>
  <c r="DV145" i="55" s="1"/>
  <c r="DW145" i="55" s="1"/>
  <c r="DX145" i="55" s="1"/>
  <c r="DY145" i="55" s="1"/>
  <c r="CT50" i="55"/>
  <c r="DZ50" i="55"/>
  <c r="DZ122" i="55"/>
  <c r="DZ76" i="55"/>
  <c r="CW75" i="55"/>
  <c r="CX75" i="55" s="1"/>
  <c r="CY75" i="55" s="1"/>
  <c r="CZ75" i="55" s="1"/>
  <c r="DA75" i="55" s="1"/>
  <c r="DB75" i="55" s="1"/>
  <c r="DC75" i="55" s="1"/>
  <c r="DD75" i="55" s="1"/>
  <c r="DE75" i="55" s="1"/>
  <c r="DF75" i="55" s="1"/>
  <c r="DG75" i="55" s="1"/>
  <c r="DH75" i="55" s="1"/>
  <c r="DI75" i="55" s="1"/>
  <c r="DJ75" i="55" s="1"/>
  <c r="DK75" i="55" s="1"/>
  <c r="DL75" i="55" s="1"/>
  <c r="DM75" i="55" s="1"/>
  <c r="DN75" i="55" s="1"/>
  <c r="DO75" i="55" s="1"/>
  <c r="DP75" i="55" s="1"/>
  <c r="DQ75" i="55" s="1"/>
  <c r="DR75" i="55" s="1"/>
  <c r="DS75" i="55" s="1"/>
  <c r="DT75" i="55" s="1"/>
  <c r="DU75" i="55" s="1"/>
  <c r="DV75" i="55" s="1"/>
  <c r="DW75" i="55" s="1"/>
  <c r="DX75" i="55" s="1"/>
  <c r="DY75" i="55" s="1"/>
  <c r="CT119" i="55"/>
  <c r="DZ119" i="55"/>
  <c r="DZ99" i="55"/>
  <c r="CW99" i="55"/>
  <c r="CX99" i="55" s="1"/>
  <c r="CY99" i="55" s="1"/>
  <c r="CZ99" i="55" s="1"/>
  <c r="DA99" i="55" s="1"/>
  <c r="DB99" i="55" s="1"/>
  <c r="DC99" i="55" s="1"/>
  <c r="DD99" i="55" s="1"/>
  <c r="DE99" i="55" s="1"/>
  <c r="DF99" i="55" s="1"/>
  <c r="DG99" i="55" s="1"/>
  <c r="DH99" i="55" s="1"/>
  <c r="DI99" i="55" s="1"/>
  <c r="DJ99" i="55" s="1"/>
  <c r="DK99" i="55" s="1"/>
  <c r="DL99" i="55" s="1"/>
  <c r="DM99" i="55" s="1"/>
  <c r="DN99" i="55" s="1"/>
  <c r="DO99" i="55" s="1"/>
  <c r="DP99" i="55" s="1"/>
  <c r="DQ99" i="55" s="1"/>
  <c r="DR99" i="55" s="1"/>
  <c r="DS99" i="55" s="1"/>
  <c r="DT99" i="55" s="1"/>
  <c r="DU99" i="55" s="1"/>
  <c r="DV99" i="55" s="1"/>
  <c r="DW99" i="55" s="1"/>
  <c r="DX99" i="55" s="1"/>
  <c r="DY99" i="55" s="1"/>
  <c r="CW29" i="55"/>
  <c r="CX29" i="55" s="1"/>
  <c r="CY29" i="55" s="1"/>
  <c r="CZ29" i="55" s="1"/>
  <c r="DA29" i="55" s="1"/>
  <c r="DB29" i="55" s="1"/>
  <c r="DC29" i="55" s="1"/>
  <c r="DD29" i="55" s="1"/>
  <c r="DE29" i="55" s="1"/>
  <c r="DF29" i="55" s="1"/>
  <c r="DG29" i="55" s="1"/>
  <c r="DH29" i="55" s="1"/>
  <c r="DI29" i="55" s="1"/>
  <c r="DJ29" i="55" s="1"/>
  <c r="DK29" i="55" s="1"/>
  <c r="DL29" i="55" s="1"/>
  <c r="DM29" i="55" s="1"/>
  <c r="DN29" i="55" s="1"/>
  <c r="DO29" i="55" s="1"/>
  <c r="DP29" i="55" s="1"/>
  <c r="DQ29" i="55" s="1"/>
  <c r="DR29" i="55" s="1"/>
  <c r="DS29" i="55" s="1"/>
  <c r="DT29" i="55" s="1"/>
  <c r="DU29" i="55" s="1"/>
  <c r="DV29" i="55" s="1"/>
  <c r="DW29" i="55" s="1"/>
  <c r="DX29" i="55" s="1"/>
  <c r="DY29" i="55" s="1"/>
  <c r="CW30" i="55"/>
  <c r="CX30" i="55" s="1"/>
  <c r="CY30" i="55" s="1"/>
  <c r="CZ30" i="55" s="1"/>
  <c r="DA30" i="55" s="1"/>
  <c r="DB30" i="55" s="1"/>
  <c r="DC30" i="55" s="1"/>
  <c r="DD30" i="55" s="1"/>
  <c r="DE30" i="55" s="1"/>
  <c r="DF30" i="55" s="1"/>
  <c r="DG30" i="55" s="1"/>
  <c r="DH30" i="55" s="1"/>
  <c r="DI30" i="55" s="1"/>
  <c r="DJ30" i="55" s="1"/>
  <c r="DK30" i="55" s="1"/>
  <c r="DL30" i="55" s="1"/>
  <c r="DM30" i="55" s="1"/>
  <c r="DN30" i="55" s="1"/>
  <c r="DO30" i="55" s="1"/>
  <c r="DP30" i="55" s="1"/>
  <c r="DQ30" i="55" s="1"/>
  <c r="DR30" i="55" s="1"/>
  <c r="DS30" i="55" s="1"/>
  <c r="DT30" i="55" s="1"/>
  <c r="DU30" i="55" s="1"/>
  <c r="DV30" i="55" s="1"/>
  <c r="DW30" i="55" s="1"/>
  <c r="DX30" i="55" s="1"/>
  <c r="DY30" i="55" s="1"/>
  <c r="DZ30" i="55"/>
  <c r="BV75" i="59"/>
  <c r="BX2" i="59"/>
  <c r="BW66" i="59"/>
  <c r="BW67" i="59"/>
  <c r="BW68" i="59"/>
  <c r="BW69" i="59"/>
  <c r="BW61" i="59"/>
  <c r="BW70" i="59"/>
  <c r="BW62" i="59"/>
  <c r="BW65" i="59"/>
  <c r="BW73" i="59"/>
  <c r="BW64" i="59"/>
  <c r="BW72" i="59"/>
  <c r="BW74" i="59"/>
  <c r="BW63" i="59"/>
  <c r="BW71" i="59"/>
  <c r="BP164" i="55"/>
  <c r="CT164" i="55" s="1"/>
  <c r="BQ164" i="55" s="1"/>
  <c r="BR164" i="55" s="1"/>
  <c r="BS164" i="55" s="1"/>
  <c r="BT164" i="55" s="1"/>
  <c r="BU164" i="55" s="1"/>
  <c r="BV164" i="55" s="1"/>
  <c r="BW164" i="55" s="1"/>
  <c r="BX164" i="55" s="1"/>
  <c r="BY164" i="55" s="1"/>
  <c r="BZ164" i="55" s="1"/>
  <c r="CA164" i="55" s="1"/>
  <c r="CB164" i="55" s="1"/>
  <c r="CC164" i="55" s="1"/>
  <c r="CD164" i="55" s="1"/>
  <c r="CE164" i="55" s="1"/>
  <c r="CF164" i="55" s="1"/>
  <c r="CG164" i="55" s="1"/>
  <c r="CH164" i="55" s="1"/>
  <c r="CI164" i="55" s="1"/>
  <c r="CJ164" i="55" s="1"/>
  <c r="CK164" i="55" s="1"/>
  <c r="CL164" i="55" s="1"/>
  <c r="CM164" i="55" s="1"/>
  <c r="CN164" i="55" s="1"/>
  <c r="CO164" i="55" s="1"/>
  <c r="CP164" i="55" s="1"/>
  <c r="CQ164" i="55" s="1"/>
  <c r="CR164" i="55" s="1"/>
  <c r="CS164" i="55" s="1"/>
  <c r="AJ164" i="55"/>
  <c r="CV164" i="55" s="1"/>
  <c r="AK145" i="55"/>
  <c r="F145" i="55"/>
  <c r="E165" i="55"/>
  <c r="BP165" i="55"/>
  <c r="AL143" i="55"/>
  <c r="CX143" i="55" s="1"/>
  <c r="G143" i="55"/>
  <c r="E30" i="55"/>
  <c r="F30" i="55" s="1"/>
  <c r="H140" i="55"/>
  <c r="AM140" i="55"/>
  <c r="CY140" i="55" s="1"/>
  <c r="AL144" i="55"/>
  <c r="G144" i="55"/>
  <c r="G139" i="55"/>
  <c r="AL139" i="55"/>
  <c r="CX139" i="55" s="1"/>
  <c r="J147" i="55"/>
  <c r="AO147" i="55"/>
  <c r="AP146" i="55"/>
  <c r="K146" i="55"/>
  <c r="I169" i="55"/>
  <c r="AN169" i="55"/>
  <c r="E168" i="55"/>
  <c r="BN165" i="55"/>
  <c r="DZ165" i="55" s="1"/>
  <c r="F162" i="55"/>
  <c r="AK162" i="55"/>
  <c r="CW162" i="55" s="1"/>
  <c r="CT167" i="55"/>
  <c r="BQ167" i="55" s="1"/>
  <c r="BR167" i="55" s="1"/>
  <c r="BS167" i="55" s="1"/>
  <c r="BT167" i="55" s="1"/>
  <c r="BU167" i="55" s="1"/>
  <c r="BV167" i="55" s="1"/>
  <c r="BW167" i="55" s="1"/>
  <c r="BX167" i="55" s="1"/>
  <c r="BY167" i="55" s="1"/>
  <c r="BZ167" i="55" s="1"/>
  <c r="CA167" i="55" s="1"/>
  <c r="CB167" i="55" s="1"/>
  <c r="CC167" i="55" s="1"/>
  <c r="CD167" i="55" s="1"/>
  <c r="CE167" i="55" s="1"/>
  <c r="CF167" i="55" s="1"/>
  <c r="CG167" i="55" s="1"/>
  <c r="CH167" i="55" s="1"/>
  <c r="CI167" i="55" s="1"/>
  <c r="CJ167" i="55" s="1"/>
  <c r="CK167" i="55" s="1"/>
  <c r="CL167" i="55" s="1"/>
  <c r="CM167" i="55" s="1"/>
  <c r="CN167" i="55" s="1"/>
  <c r="CO167" i="55" s="1"/>
  <c r="CP167" i="55" s="1"/>
  <c r="CQ167" i="55" s="1"/>
  <c r="CR167" i="55" s="1"/>
  <c r="CS167" i="55" s="1"/>
  <c r="CT168" i="55"/>
  <c r="BQ168" i="55" s="1"/>
  <c r="BR168" i="55" s="1"/>
  <c r="BS168" i="55" s="1"/>
  <c r="BT168" i="55" s="1"/>
  <c r="BU168" i="55" s="1"/>
  <c r="BV168" i="55" s="1"/>
  <c r="BW168" i="55" s="1"/>
  <c r="BX168" i="55" s="1"/>
  <c r="BY168" i="55" s="1"/>
  <c r="BZ168" i="55" s="1"/>
  <c r="CA168" i="55" s="1"/>
  <c r="CB168" i="55" s="1"/>
  <c r="CC168" i="55" s="1"/>
  <c r="CD168" i="55" s="1"/>
  <c r="CE168" i="55" s="1"/>
  <c r="CF168" i="55" s="1"/>
  <c r="CG168" i="55" s="1"/>
  <c r="CH168" i="55" s="1"/>
  <c r="CI168" i="55" s="1"/>
  <c r="CJ168" i="55" s="1"/>
  <c r="CK168" i="55" s="1"/>
  <c r="CL168" i="55" s="1"/>
  <c r="CM168" i="55" s="1"/>
  <c r="CN168" i="55" s="1"/>
  <c r="CO168" i="55" s="1"/>
  <c r="CP168" i="55" s="1"/>
  <c r="CQ168" i="55" s="1"/>
  <c r="CR168" i="55" s="1"/>
  <c r="CS168" i="55" s="1"/>
  <c r="CT162" i="55"/>
  <c r="BQ162" i="55" s="1"/>
  <c r="F167" i="55"/>
  <c r="AK167" i="55"/>
  <c r="AL163" i="55"/>
  <c r="CX163" i="55" s="1"/>
  <c r="G163" i="55"/>
  <c r="AK165" i="55"/>
  <c r="CW165" i="55" s="1"/>
  <c r="F165" i="55"/>
  <c r="CT166" i="55"/>
  <c r="BQ166" i="55" s="1"/>
  <c r="BR166" i="55" s="1"/>
  <c r="BS166" i="55" s="1"/>
  <c r="BT166" i="55" s="1"/>
  <c r="BU166" i="55" s="1"/>
  <c r="BV166" i="55" s="1"/>
  <c r="BW166" i="55" s="1"/>
  <c r="BX166" i="55" s="1"/>
  <c r="BY166" i="55" s="1"/>
  <c r="BZ166" i="55" s="1"/>
  <c r="CA166" i="55" s="1"/>
  <c r="CB166" i="55" s="1"/>
  <c r="CC166" i="55" s="1"/>
  <c r="CD166" i="55" s="1"/>
  <c r="CE166" i="55" s="1"/>
  <c r="CF166" i="55" s="1"/>
  <c r="CG166" i="55" s="1"/>
  <c r="CH166" i="55" s="1"/>
  <c r="CI166" i="55" s="1"/>
  <c r="CJ166" i="55" s="1"/>
  <c r="CK166" i="55" s="1"/>
  <c r="CL166" i="55" s="1"/>
  <c r="CM166" i="55" s="1"/>
  <c r="CN166" i="55" s="1"/>
  <c r="CO166" i="55" s="1"/>
  <c r="CP166" i="55" s="1"/>
  <c r="CQ166" i="55" s="1"/>
  <c r="CR166" i="55" s="1"/>
  <c r="CS166" i="55" s="1"/>
  <c r="AP170" i="55"/>
  <c r="K170" i="55"/>
  <c r="F166" i="55"/>
  <c r="AK166" i="55"/>
  <c r="CW166" i="55" s="1"/>
  <c r="F164" i="55"/>
  <c r="AK164" i="55"/>
  <c r="CW164" i="55" s="1"/>
  <c r="I124" i="55"/>
  <c r="AN124" i="55"/>
  <c r="F24" i="55"/>
  <c r="AL24" i="55" s="1"/>
  <c r="CX24" i="55" s="1"/>
  <c r="E122" i="55"/>
  <c r="F122" i="55" s="1"/>
  <c r="BQ119" i="55"/>
  <c r="BR119" i="55" s="1"/>
  <c r="BS119" i="55" s="1"/>
  <c r="BT119" i="55" s="1"/>
  <c r="BU119" i="55" s="1"/>
  <c r="BV119" i="55" s="1"/>
  <c r="BW119" i="55" s="1"/>
  <c r="BX119" i="55" s="1"/>
  <c r="BY119" i="55" s="1"/>
  <c r="BZ119" i="55" s="1"/>
  <c r="CA119" i="55" s="1"/>
  <c r="CB119" i="55" s="1"/>
  <c r="CC119" i="55" s="1"/>
  <c r="CD119" i="55" s="1"/>
  <c r="CE119" i="55" s="1"/>
  <c r="CF119" i="55" s="1"/>
  <c r="CG119" i="55" s="1"/>
  <c r="CH119" i="55" s="1"/>
  <c r="CI119" i="55" s="1"/>
  <c r="CJ119" i="55" s="1"/>
  <c r="CK119" i="55" s="1"/>
  <c r="CL119" i="55" s="1"/>
  <c r="CM119" i="55" s="1"/>
  <c r="CN119" i="55" s="1"/>
  <c r="CO119" i="55" s="1"/>
  <c r="CP119" i="55" s="1"/>
  <c r="CQ119" i="55" s="1"/>
  <c r="CR119" i="55" s="1"/>
  <c r="CS119" i="55" s="1"/>
  <c r="F93" i="55"/>
  <c r="AK93" i="55"/>
  <c r="CW93" i="55" s="1"/>
  <c r="CT120" i="55"/>
  <c r="BQ120" i="55" s="1"/>
  <c r="BR120" i="55" s="1"/>
  <c r="BS120" i="55" s="1"/>
  <c r="BT120" i="55" s="1"/>
  <c r="BU120" i="55" s="1"/>
  <c r="BV120" i="55" s="1"/>
  <c r="BW120" i="55" s="1"/>
  <c r="BX120" i="55" s="1"/>
  <c r="BY120" i="55" s="1"/>
  <c r="BZ120" i="55" s="1"/>
  <c r="CA120" i="55" s="1"/>
  <c r="CB120" i="55" s="1"/>
  <c r="CC120" i="55" s="1"/>
  <c r="CD120" i="55" s="1"/>
  <c r="CE120" i="55" s="1"/>
  <c r="CF120" i="55" s="1"/>
  <c r="CG120" i="55" s="1"/>
  <c r="CH120" i="55" s="1"/>
  <c r="CI120" i="55" s="1"/>
  <c r="CJ120" i="55" s="1"/>
  <c r="CK120" i="55" s="1"/>
  <c r="CL120" i="55" s="1"/>
  <c r="CM120" i="55" s="1"/>
  <c r="CN120" i="55" s="1"/>
  <c r="CO120" i="55" s="1"/>
  <c r="CP120" i="55" s="1"/>
  <c r="CQ120" i="55" s="1"/>
  <c r="CR120" i="55" s="1"/>
  <c r="CS120" i="55" s="1"/>
  <c r="AK118" i="55"/>
  <c r="CW118" i="55" s="1"/>
  <c r="F118" i="55"/>
  <c r="F121" i="55"/>
  <c r="AK121" i="55"/>
  <c r="CT116" i="55"/>
  <c r="F97" i="55"/>
  <c r="AK97" i="55"/>
  <c r="CW97" i="55" s="1"/>
  <c r="F120" i="55"/>
  <c r="AK120" i="55"/>
  <c r="CW120" i="55" s="1"/>
  <c r="CT121" i="55"/>
  <c r="BQ121" i="55" s="1"/>
  <c r="BR121" i="55" s="1"/>
  <c r="BS121" i="55" s="1"/>
  <c r="BT121" i="55" s="1"/>
  <c r="BU121" i="55" s="1"/>
  <c r="BV121" i="55" s="1"/>
  <c r="BW121" i="55" s="1"/>
  <c r="BX121" i="55" s="1"/>
  <c r="BY121" i="55" s="1"/>
  <c r="BZ121" i="55" s="1"/>
  <c r="CA121" i="55" s="1"/>
  <c r="CB121" i="55" s="1"/>
  <c r="CC121" i="55" s="1"/>
  <c r="CD121" i="55" s="1"/>
  <c r="CE121" i="55" s="1"/>
  <c r="CF121" i="55" s="1"/>
  <c r="CG121" i="55" s="1"/>
  <c r="CH121" i="55" s="1"/>
  <c r="CI121" i="55" s="1"/>
  <c r="CJ121" i="55" s="1"/>
  <c r="CK121" i="55" s="1"/>
  <c r="CL121" i="55" s="1"/>
  <c r="CM121" i="55" s="1"/>
  <c r="CN121" i="55" s="1"/>
  <c r="CO121" i="55" s="1"/>
  <c r="CP121" i="55" s="1"/>
  <c r="CQ121" i="55" s="1"/>
  <c r="CR121" i="55" s="1"/>
  <c r="CS121" i="55" s="1"/>
  <c r="F70" i="55"/>
  <c r="AK70" i="55"/>
  <c r="CW70" i="55" s="1"/>
  <c r="G71" i="55"/>
  <c r="AL71" i="55"/>
  <c r="CX71" i="55" s="1"/>
  <c r="E76" i="55"/>
  <c r="AK74" i="55"/>
  <c r="CW74" i="55" s="1"/>
  <c r="F74" i="55"/>
  <c r="AN123" i="55"/>
  <c r="I123" i="55"/>
  <c r="AK98" i="55"/>
  <c r="F98" i="55"/>
  <c r="CT122" i="55"/>
  <c r="BQ122" i="55" s="1"/>
  <c r="BR122" i="55" s="1"/>
  <c r="BS122" i="55" s="1"/>
  <c r="BT122" i="55" s="1"/>
  <c r="BU122" i="55" s="1"/>
  <c r="BV122" i="55" s="1"/>
  <c r="BW122" i="55" s="1"/>
  <c r="BX122" i="55" s="1"/>
  <c r="BY122" i="55" s="1"/>
  <c r="BZ122" i="55" s="1"/>
  <c r="CA122" i="55" s="1"/>
  <c r="CB122" i="55" s="1"/>
  <c r="CC122" i="55" s="1"/>
  <c r="CD122" i="55" s="1"/>
  <c r="CE122" i="55" s="1"/>
  <c r="CF122" i="55" s="1"/>
  <c r="CG122" i="55" s="1"/>
  <c r="CH122" i="55" s="1"/>
  <c r="CI122" i="55" s="1"/>
  <c r="CJ122" i="55" s="1"/>
  <c r="CK122" i="55" s="1"/>
  <c r="CL122" i="55" s="1"/>
  <c r="CM122" i="55" s="1"/>
  <c r="CN122" i="55" s="1"/>
  <c r="CO122" i="55" s="1"/>
  <c r="CP122" i="55" s="1"/>
  <c r="CQ122" i="55" s="1"/>
  <c r="CR122" i="55" s="1"/>
  <c r="CS122" i="55" s="1"/>
  <c r="CT70" i="55"/>
  <c r="BQ70" i="55" s="1"/>
  <c r="CT93" i="55"/>
  <c r="BQ93" i="55" s="1"/>
  <c r="CT118" i="55"/>
  <c r="BQ118" i="55" s="1"/>
  <c r="BR118" i="55" s="1"/>
  <c r="BS118" i="55" s="1"/>
  <c r="BT118" i="55" s="1"/>
  <c r="BU118" i="55" s="1"/>
  <c r="BV118" i="55" s="1"/>
  <c r="BW118" i="55" s="1"/>
  <c r="BX118" i="55" s="1"/>
  <c r="BY118" i="55" s="1"/>
  <c r="BZ118" i="55" s="1"/>
  <c r="CA118" i="55" s="1"/>
  <c r="CB118" i="55" s="1"/>
  <c r="CC118" i="55" s="1"/>
  <c r="CD118" i="55" s="1"/>
  <c r="CE118" i="55" s="1"/>
  <c r="CF118" i="55" s="1"/>
  <c r="CG118" i="55" s="1"/>
  <c r="CH118" i="55" s="1"/>
  <c r="CI118" i="55" s="1"/>
  <c r="CJ118" i="55" s="1"/>
  <c r="CK118" i="55" s="1"/>
  <c r="CL118" i="55" s="1"/>
  <c r="CM118" i="55" s="1"/>
  <c r="CN118" i="55" s="1"/>
  <c r="CO118" i="55" s="1"/>
  <c r="CP118" i="55" s="1"/>
  <c r="CQ118" i="55" s="1"/>
  <c r="CR118" i="55" s="1"/>
  <c r="CS118" i="55" s="1"/>
  <c r="G117" i="55"/>
  <c r="AL117" i="55"/>
  <c r="CX117" i="55" s="1"/>
  <c r="E119" i="55"/>
  <c r="CT76" i="55"/>
  <c r="BQ76" i="55" s="1"/>
  <c r="BR76" i="55" s="1"/>
  <c r="BS76" i="55" s="1"/>
  <c r="BT76" i="55" s="1"/>
  <c r="BU76" i="55" s="1"/>
  <c r="BV76" i="55" s="1"/>
  <c r="BW76" i="55" s="1"/>
  <c r="BX76" i="55" s="1"/>
  <c r="BY76" i="55" s="1"/>
  <c r="BZ76" i="55" s="1"/>
  <c r="CA76" i="55" s="1"/>
  <c r="CB76" i="55" s="1"/>
  <c r="CC76" i="55" s="1"/>
  <c r="CD76" i="55" s="1"/>
  <c r="CE76" i="55" s="1"/>
  <c r="CF76" i="55" s="1"/>
  <c r="CG76" i="55" s="1"/>
  <c r="CH76" i="55" s="1"/>
  <c r="CI76" i="55" s="1"/>
  <c r="CJ76" i="55" s="1"/>
  <c r="CK76" i="55" s="1"/>
  <c r="CL76" i="55" s="1"/>
  <c r="CM76" i="55" s="1"/>
  <c r="CN76" i="55" s="1"/>
  <c r="CO76" i="55" s="1"/>
  <c r="CP76" i="55" s="1"/>
  <c r="CQ76" i="55" s="1"/>
  <c r="CR76" i="55" s="1"/>
  <c r="CS76" i="55" s="1"/>
  <c r="G94" i="55"/>
  <c r="AL94" i="55"/>
  <c r="CX94" i="55" s="1"/>
  <c r="AK116" i="55"/>
  <c r="CW116" i="55" s="1"/>
  <c r="F116" i="55"/>
  <c r="E53" i="55"/>
  <c r="F53" i="55" s="1"/>
  <c r="CT97" i="55"/>
  <c r="F75" i="55"/>
  <c r="AK75" i="55"/>
  <c r="E99" i="55"/>
  <c r="I101" i="55"/>
  <c r="AN101" i="55"/>
  <c r="J100" i="55"/>
  <c r="AO100" i="55"/>
  <c r="I78" i="55"/>
  <c r="AN78" i="55"/>
  <c r="J77" i="55"/>
  <c r="AO77" i="55"/>
  <c r="BQ50" i="55"/>
  <c r="BR50" i="55" s="1"/>
  <c r="BS50" i="55" s="1"/>
  <c r="BT50" i="55" s="1"/>
  <c r="BU50" i="55" s="1"/>
  <c r="BV50" i="55" s="1"/>
  <c r="BW50" i="55" s="1"/>
  <c r="BX50" i="55" s="1"/>
  <c r="BY50" i="55" s="1"/>
  <c r="BZ50" i="55" s="1"/>
  <c r="CA50" i="55" s="1"/>
  <c r="CB50" i="55" s="1"/>
  <c r="CC50" i="55" s="1"/>
  <c r="CD50" i="55" s="1"/>
  <c r="CE50" i="55" s="1"/>
  <c r="CF50" i="55" s="1"/>
  <c r="CG50" i="55" s="1"/>
  <c r="CH50" i="55" s="1"/>
  <c r="CI50" i="55" s="1"/>
  <c r="CJ50" i="55" s="1"/>
  <c r="CK50" i="55" s="1"/>
  <c r="CL50" i="55" s="1"/>
  <c r="CM50" i="55" s="1"/>
  <c r="CN50" i="55" s="1"/>
  <c r="CO50" i="55" s="1"/>
  <c r="CP50" i="55" s="1"/>
  <c r="CQ50" i="55" s="1"/>
  <c r="CR50" i="55" s="1"/>
  <c r="CS50" i="55" s="1"/>
  <c r="F49" i="55"/>
  <c r="AK49" i="55"/>
  <c r="CW49" i="55" s="1"/>
  <c r="F47" i="55"/>
  <c r="AK47" i="55"/>
  <c r="CW47" i="55" s="1"/>
  <c r="G48" i="55"/>
  <c r="AL48" i="55"/>
  <c r="CX48" i="55" s="1"/>
  <c r="CT53" i="55"/>
  <c r="BQ53" i="55" s="1"/>
  <c r="BR53" i="55" s="1"/>
  <c r="BS53" i="55" s="1"/>
  <c r="BT53" i="55" s="1"/>
  <c r="BU53" i="55" s="1"/>
  <c r="BV53" i="55" s="1"/>
  <c r="BW53" i="55" s="1"/>
  <c r="BX53" i="55" s="1"/>
  <c r="BY53" i="55" s="1"/>
  <c r="BZ53" i="55" s="1"/>
  <c r="CA53" i="55" s="1"/>
  <c r="CB53" i="55" s="1"/>
  <c r="CC53" i="55" s="1"/>
  <c r="CD53" i="55" s="1"/>
  <c r="CE53" i="55" s="1"/>
  <c r="CF53" i="55" s="1"/>
  <c r="CG53" i="55" s="1"/>
  <c r="CH53" i="55" s="1"/>
  <c r="CI53" i="55" s="1"/>
  <c r="CJ53" i="55" s="1"/>
  <c r="CK53" i="55" s="1"/>
  <c r="CL53" i="55" s="1"/>
  <c r="CM53" i="55" s="1"/>
  <c r="CN53" i="55" s="1"/>
  <c r="CO53" i="55" s="1"/>
  <c r="CP53" i="55" s="1"/>
  <c r="CQ53" i="55" s="1"/>
  <c r="CR53" i="55" s="1"/>
  <c r="CS53" i="55" s="1"/>
  <c r="AK51" i="55"/>
  <c r="CW51" i="55" s="1"/>
  <c r="F51" i="55"/>
  <c r="E50" i="55"/>
  <c r="CT52" i="55"/>
  <c r="BQ52" i="55" s="1"/>
  <c r="BR52" i="55" s="1"/>
  <c r="BS52" i="55" s="1"/>
  <c r="BT52" i="55" s="1"/>
  <c r="BU52" i="55" s="1"/>
  <c r="BV52" i="55" s="1"/>
  <c r="BW52" i="55" s="1"/>
  <c r="BX52" i="55" s="1"/>
  <c r="BY52" i="55" s="1"/>
  <c r="BZ52" i="55" s="1"/>
  <c r="CA52" i="55" s="1"/>
  <c r="CB52" i="55" s="1"/>
  <c r="CC52" i="55" s="1"/>
  <c r="CD52" i="55" s="1"/>
  <c r="CE52" i="55" s="1"/>
  <c r="CF52" i="55" s="1"/>
  <c r="CG52" i="55" s="1"/>
  <c r="CH52" i="55" s="1"/>
  <c r="CI52" i="55" s="1"/>
  <c r="CJ52" i="55" s="1"/>
  <c r="CK52" i="55" s="1"/>
  <c r="CL52" i="55" s="1"/>
  <c r="CM52" i="55" s="1"/>
  <c r="CN52" i="55" s="1"/>
  <c r="CO52" i="55" s="1"/>
  <c r="CP52" i="55" s="1"/>
  <c r="CQ52" i="55" s="1"/>
  <c r="CR52" i="55" s="1"/>
  <c r="CS52" i="55" s="1"/>
  <c r="F52" i="55"/>
  <c r="AK52" i="55"/>
  <c r="J54" i="55"/>
  <c r="AO54" i="55"/>
  <c r="AO55" i="55"/>
  <c r="J55" i="55"/>
  <c r="BR24" i="55"/>
  <c r="G29" i="55"/>
  <c r="AL29" i="55"/>
  <c r="G28" i="55"/>
  <c r="AL28" i="55"/>
  <c r="CX28" i="55" s="1"/>
  <c r="H31" i="55"/>
  <c r="AM31" i="55"/>
  <c r="H25" i="55"/>
  <c r="AM25" i="55"/>
  <c r="CY25" i="55" s="1"/>
  <c r="H32" i="55"/>
  <c r="AM32" i="55"/>
  <c r="D205" i="55"/>
  <c r="C307" i="20"/>
  <c r="E204" i="55"/>
  <c r="F204" i="55" s="1"/>
  <c r="F205" i="55" s="1"/>
  <c r="CJ3" i="55"/>
  <c r="CK3" i="55" s="1"/>
  <c r="CL3" i="55" s="1"/>
  <c r="CM3" i="55" s="1"/>
  <c r="CN3" i="55" s="1"/>
  <c r="CO3" i="55" s="1"/>
  <c r="CP3" i="55" s="1"/>
  <c r="CQ3" i="55" s="1"/>
  <c r="CR3" i="55" s="1"/>
  <c r="CS3" i="55" s="1"/>
  <c r="CT3" i="55" s="1"/>
  <c r="AK3" i="55"/>
  <c r="AL3" i="55" s="1"/>
  <c r="AM3" i="55" s="1"/>
  <c r="E3" i="55"/>
  <c r="N251" i="54"/>
  <c r="O251" i="54" s="1"/>
  <c r="P251" i="54" s="1"/>
  <c r="D251" i="54"/>
  <c r="E251" i="54" s="1"/>
  <c r="F251" i="54" s="1"/>
  <c r="G251" i="54" s="1"/>
  <c r="D247" i="54"/>
  <c r="E247" i="54" s="1"/>
  <c r="F247" i="54" s="1"/>
  <c r="G247" i="54" s="1"/>
  <c r="H247" i="54" s="1"/>
  <c r="I247" i="54" s="1"/>
  <c r="J247" i="54" s="1"/>
  <c r="D242" i="54"/>
  <c r="E242" i="54" s="1"/>
  <c r="F242" i="54" s="1"/>
  <c r="G242" i="54" s="1"/>
  <c r="H242" i="54" s="1"/>
  <c r="I242" i="54" s="1"/>
  <c r="J242" i="54" s="1"/>
  <c r="K242" i="54" s="1"/>
  <c r="L242" i="54" s="1"/>
  <c r="M242" i="54" s="1"/>
  <c r="N242" i="54" s="1"/>
  <c r="O242" i="54" s="1"/>
  <c r="P242" i="54" s="1"/>
  <c r="Q242" i="54" s="1"/>
  <c r="R242" i="54" s="1"/>
  <c r="S242" i="54" s="1"/>
  <c r="T242" i="54" s="1"/>
  <c r="U242" i="54" s="1"/>
  <c r="V242" i="54" s="1"/>
  <c r="W242" i="54" s="1"/>
  <c r="X242" i="54" s="1"/>
  <c r="Y242" i="54" s="1"/>
  <c r="Z242" i="54" s="1"/>
  <c r="AA242" i="54" s="1"/>
  <c r="AB242" i="54" s="1"/>
  <c r="AC242" i="54" s="1"/>
  <c r="AD242" i="54" s="1"/>
  <c r="AE242" i="54" s="1"/>
  <c r="AF242" i="54" s="1"/>
  <c r="AG242" i="54" s="1"/>
  <c r="D196" i="54"/>
  <c r="E196" i="54" s="1"/>
  <c r="D195" i="54"/>
  <c r="D194" i="54"/>
  <c r="D193" i="54"/>
  <c r="D192" i="54"/>
  <c r="E192" i="54" s="1"/>
  <c r="F192" i="54" s="1"/>
  <c r="G192" i="54" s="1"/>
  <c r="D191" i="54"/>
  <c r="D190" i="54"/>
  <c r="E190" i="54" s="1"/>
  <c r="F190" i="54" s="1"/>
  <c r="G190" i="54" s="1"/>
  <c r="H190" i="54" s="1"/>
  <c r="I190" i="54" s="1"/>
  <c r="J190" i="54" s="1"/>
  <c r="K190" i="54" s="1"/>
  <c r="L190" i="54" s="1"/>
  <c r="M190" i="54" s="1"/>
  <c r="N190" i="54" s="1"/>
  <c r="O190" i="54" s="1"/>
  <c r="P190" i="54" s="1"/>
  <c r="Q190" i="54" s="1"/>
  <c r="R190" i="54" s="1"/>
  <c r="S190" i="54" s="1"/>
  <c r="T190" i="54" s="1"/>
  <c r="U190" i="54" s="1"/>
  <c r="V190" i="54" s="1"/>
  <c r="W190" i="54" s="1"/>
  <c r="X190" i="54" s="1"/>
  <c r="Y190" i="54" s="1"/>
  <c r="Z190" i="54" s="1"/>
  <c r="AA190" i="54" s="1"/>
  <c r="AB190" i="54" s="1"/>
  <c r="AC190" i="54" s="1"/>
  <c r="AD190" i="54" s="1"/>
  <c r="AE190" i="54" s="1"/>
  <c r="AF190" i="54" s="1"/>
  <c r="D189" i="54"/>
  <c r="E189" i="54" s="1"/>
  <c r="F189" i="54" s="1"/>
  <c r="G189" i="54" s="1"/>
  <c r="H189" i="54" s="1"/>
  <c r="I189" i="54" s="1"/>
  <c r="J189" i="54" s="1"/>
  <c r="K189" i="54" s="1"/>
  <c r="L189" i="54" s="1"/>
  <c r="M189" i="54" s="1"/>
  <c r="N189" i="54" s="1"/>
  <c r="O189" i="54" s="1"/>
  <c r="P189" i="54" s="1"/>
  <c r="Q189" i="54" s="1"/>
  <c r="R189" i="54" s="1"/>
  <c r="S189" i="54" s="1"/>
  <c r="T189" i="54" s="1"/>
  <c r="U189" i="54" s="1"/>
  <c r="V189" i="54" s="1"/>
  <c r="W189" i="54" s="1"/>
  <c r="X189" i="54" s="1"/>
  <c r="Y189" i="54" s="1"/>
  <c r="Z189" i="54" s="1"/>
  <c r="AA189" i="54" s="1"/>
  <c r="AB189" i="54" s="1"/>
  <c r="AC189" i="54" s="1"/>
  <c r="AD189" i="54" s="1"/>
  <c r="AE189" i="54" s="1"/>
  <c r="AF189" i="54" s="1"/>
  <c r="D188" i="54"/>
  <c r="E188" i="54" s="1"/>
  <c r="F188" i="54" s="1"/>
  <c r="G188" i="54" s="1"/>
  <c r="H188" i="54" s="1"/>
  <c r="I188" i="54" s="1"/>
  <c r="J188" i="54" s="1"/>
  <c r="K188" i="54" s="1"/>
  <c r="L188" i="54" s="1"/>
  <c r="M188" i="54" s="1"/>
  <c r="N188" i="54" s="1"/>
  <c r="O188" i="54" s="1"/>
  <c r="P188" i="54" s="1"/>
  <c r="Q188" i="54" s="1"/>
  <c r="R188" i="54" s="1"/>
  <c r="S188" i="54" s="1"/>
  <c r="T188" i="54" s="1"/>
  <c r="U188" i="54" s="1"/>
  <c r="V188" i="54" s="1"/>
  <c r="W188" i="54" s="1"/>
  <c r="X188" i="54" s="1"/>
  <c r="Y188" i="54" s="1"/>
  <c r="Z188" i="54" s="1"/>
  <c r="AA188" i="54" s="1"/>
  <c r="AB188" i="54" s="1"/>
  <c r="AC188" i="54" s="1"/>
  <c r="AD188" i="54" s="1"/>
  <c r="AE188" i="54" s="1"/>
  <c r="AF188" i="54" s="1"/>
  <c r="D187" i="54"/>
  <c r="D186" i="54"/>
  <c r="E186" i="54" s="1"/>
  <c r="D185" i="54"/>
  <c r="E185" i="54" s="1"/>
  <c r="D184" i="54"/>
  <c r="D183" i="54"/>
  <c r="E183" i="54" s="1"/>
  <c r="F183" i="54" s="1"/>
  <c r="G183" i="54" s="1"/>
  <c r="H183" i="54" s="1"/>
  <c r="I183" i="54" s="1"/>
  <c r="J183" i="54" s="1"/>
  <c r="K183" i="54" s="1"/>
  <c r="L183" i="54" s="1"/>
  <c r="M183" i="54" s="1"/>
  <c r="N183" i="54" s="1"/>
  <c r="O183" i="54" s="1"/>
  <c r="P183" i="54" s="1"/>
  <c r="Q183" i="54" s="1"/>
  <c r="R183" i="54" s="1"/>
  <c r="S183" i="54" s="1"/>
  <c r="T183" i="54" s="1"/>
  <c r="U183" i="54" s="1"/>
  <c r="V183" i="54" s="1"/>
  <c r="W183" i="54" s="1"/>
  <c r="X183" i="54" s="1"/>
  <c r="Y183" i="54" s="1"/>
  <c r="Z183" i="54" s="1"/>
  <c r="AA183" i="54" s="1"/>
  <c r="AB183" i="54" s="1"/>
  <c r="AC183" i="54" s="1"/>
  <c r="AD183" i="54" s="1"/>
  <c r="AE183" i="54" s="1"/>
  <c r="AF183" i="54" s="1"/>
  <c r="D182" i="54"/>
  <c r="E182" i="54" s="1"/>
  <c r="F182" i="54" s="1"/>
  <c r="G182" i="54" s="1"/>
  <c r="H182" i="54" s="1"/>
  <c r="I182" i="54" s="1"/>
  <c r="J182" i="54" s="1"/>
  <c r="K182" i="54" s="1"/>
  <c r="L182" i="54" s="1"/>
  <c r="M182" i="54" s="1"/>
  <c r="N182" i="54" s="1"/>
  <c r="O182" i="54" s="1"/>
  <c r="P182" i="54" s="1"/>
  <c r="Q182" i="54" s="1"/>
  <c r="R182" i="54" s="1"/>
  <c r="S182" i="54" s="1"/>
  <c r="T182" i="54" s="1"/>
  <c r="U182" i="54" s="1"/>
  <c r="V182" i="54" s="1"/>
  <c r="W182" i="54" s="1"/>
  <c r="X182" i="54" s="1"/>
  <c r="Y182" i="54" s="1"/>
  <c r="Z182" i="54" s="1"/>
  <c r="AA182" i="54" s="1"/>
  <c r="AB182" i="54" s="1"/>
  <c r="AC182" i="54" s="1"/>
  <c r="AD182" i="54" s="1"/>
  <c r="AE182" i="54" s="1"/>
  <c r="AF182" i="54" s="1"/>
  <c r="D181" i="54"/>
  <c r="E181" i="54" s="1"/>
  <c r="F181" i="54" s="1"/>
  <c r="D180" i="54"/>
  <c r="AG179" i="54"/>
  <c r="C179" i="54"/>
  <c r="D178" i="54"/>
  <c r="D177" i="54"/>
  <c r="E177" i="54" s="1"/>
  <c r="F177" i="54" s="1"/>
  <c r="G177" i="54" s="1"/>
  <c r="H177" i="54" s="1"/>
  <c r="I177" i="54" s="1"/>
  <c r="J177" i="54" s="1"/>
  <c r="K177" i="54" s="1"/>
  <c r="L177" i="54" s="1"/>
  <c r="M177" i="54" s="1"/>
  <c r="N177" i="54" s="1"/>
  <c r="O177" i="54" s="1"/>
  <c r="P177" i="54" s="1"/>
  <c r="Q177" i="54" s="1"/>
  <c r="R177" i="54" s="1"/>
  <c r="S177" i="54" s="1"/>
  <c r="T177" i="54" s="1"/>
  <c r="U177" i="54" s="1"/>
  <c r="V177" i="54" s="1"/>
  <c r="W177" i="54" s="1"/>
  <c r="X177" i="54" s="1"/>
  <c r="Y177" i="54" s="1"/>
  <c r="Z177" i="54" s="1"/>
  <c r="AA177" i="54" s="1"/>
  <c r="AB177" i="54" s="1"/>
  <c r="AC177" i="54" s="1"/>
  <c r="AD177" i="54" s="1"/>
  <c r="AE177" i="54" s="1"/>
  <c r="AF177" i="54" s="1"/>
  <c r="D175" i="54"/>
  <c r="D174" i="54"/>
  <c r="E174" i="54" s="1"/>
  <c r="D173" i="54"/>
  <c r="D172" i="54"/>
  <c r="E172" i="54" s="1"/>
  <c r="D171" i="54"/>
  <c r="E171" i="54" s="1"/>
  <c r="D170" i="54"/>
  <c r="E170" i="54" s="1"/>
  <c r="D169" i="54"/>
  <c r="E169" i="54" s="1"/>
  <c r="F169" i="54" s="1"/>
  <c r="G169" i="54" s="1"/>
  <c r="H169" i="54" s="1"/>
  <c r="I169" i="54" s="1"/>
  <c r="J169" i="54" s="1"/>
  <c r="K169" i="54" s="1"/>
  <c r="L169" i="54" s="1"/>
  <c r="M169" i="54" s="1"/>
  <c r="N169" i="54" s="1"/>
  <c r="O169" i="54" s="1"/>
  <c r="P169" i="54" s="1"/>
  <c r="Q169" i="54" s="1"/>
  <c r="R169" i="54" s="1"/>
  <c r="S169" i="54" s="1"/>
  <c r="T169" i="54" s="1"/>
  <c r="U169" i="54" s="1"/>
  <c r="V169" i="54" s="1"/>
  <c r="W169" i="54" s="1"/>
  <c r="X169" i="54" s="1"/>
  <c r="Y169" i="54" s="1"/>
  <c r="Z169" i="54" s="1"/>
  <c r="AA169" i="54" s="1"/>
  <c r="AB169" i="54" s="1"/>
  <c r="AC169" i="54" s="1"/>
  <c r="AD169" i="54" s="1"/>
  <c r="AE169" i="54" s="1"/>
  <c r="AF169" i="54" s="1"/>
  <c r="AG153" i="54"/>
  <c r="W153" i="54"/>
  <c r="M153" i="54"/>
  <c r="C153" i="54"/>
  <c r="AG148" i="54"/>
  <c r="C148" i="54"/>
  <c r="D147" i="54"/>
  <c r="E147" i="54" s="1"/>
  <c r="F147" i="54" s="1"/>
  <c r="G147" i="54" s="1"/>
  <c r="H147" i="54" s="1"/>
  <c r="I147" i="54" s="1"/>
  <c r="J147" i="54" s="1"/>
  <c r="K147" i="54" s="1"/>
  <c r="L147" i="54" s="1"/>
  <c r="M147" i="54" s="1"/>
  <c r="W145" i="54"/>
  <c r="W144" i="54" s="1"/>
  <c r="M145" i="54"/>
  <c r="AG144" i="54"/>
  <c r="C144" i="54"/>
  <c r="AG132" i="54"/>
  <c r="W132" i="54"/>
  <c r="W135" i="54" s="1"/>
  <c r="M132" i="54"/>
  <c r="M135" i="54" s="1"/>
  <c r="C124" i="54"/>
  <c r="D124" i="54" s="1"/>
  <c r="E124" i="54" s="1"/>
  <c r="F124" i="54" s="1"/>
  <c r="G124" i="54" s="1"/>
  <c r="H124" i="54" s="1"/>
  <c r="I124" i="54" s="1"/>
  <c r="J124" i="54" s="1"/>
  <c r="K124" i="54" s="1"/>
  <c r="L124" i="54" s="1"/>
  <c r="M124" i="54" s="1"/>
  <c r="D123" i="54"/>
  <c r="E123" i="54" s="1"/>
  <c r="F123" i="54" s="1"/>
  <c r="AG121" i="54"/>
  <c r="W121" i="54"/>
  <c r="M121" i="54"/>
  <c r="C121" i="54"/>
  <c r="AG120" i="54"/>
  <c r="AG131" i="54" s="1"/>
  <c r="W120" i="54"/>
  <c r="W131" i="54" s="1"/>
  <c r="M120" i="54"/>
  <c r="M131" i="54" s="1"/>
  <c r="C120" i="54"/>
  <c r="X118" i="54"/>
  <c r="X119" i="54" s="1"/>
  <c r="N118" i="54"/>
  <c r="N119" i="54" s="1"/>
  <c r="D118" i="54"/>
  <c r="D119" i="54" s="1"/>
  <c r="AG116" i="54"/>
  <c r="W116" i="54"/>
  <c r="M116" i="54"/>
  <c r="C116" i="54"/>
  <c r="C92" i="54"/>
  <c r="D92" i="54" s="1"/>
  <c r="E92" i="54" s="1"/>
  <c r="D91" i="54"/>
  <c r="E91" i="54" s="1"/>
  <c r="D90" i="54"/>
  <c r="AG87" i="54"/>
  <c r="AG100" i="54" s="1"/>
  <c r="C87" i="54"/>
  <c r="C100" i="54" s="1"/>
  <c r="AG86" i="54"/>
  <c r="AG88" i="54" s="1"/>
  <c r="AG101" i="54" s="1"/>
  <c r="C86" i="54"/>
  <c r="C88" i="54" s="1"/>
  <c r="D85" i="54"/>
  <c r="D86" i="54" s="1"/>
  <c r="W84" i="54"/>
  <c r="W83" i="54" s="1"/>
  <c r="M84" i="54"/>
  <c r="M83" i="54" s="1"/>
  <c r="AG83" i="54"/>
  <c r="C83" i="54"/>
  <c r="AG54" i="54"/>
  <c r="AF54" i="54"/>
  <c r="AE54" i="54"/>
  <c r="AD54" i="54"/>
  <c r="AC54" i="54"/>
  <c r="AB54" i="54"/>
  <c r="AA54" i="54"/>
  <c r="Z54" i="54"/>
  <c r="Y54" i="54"/>
  <c r="X54" i="54"/>
  <c r="W54" i="54"/>
  <c r="V54" i="54"/>
  <c r="U54" i="54"/>
  <c r="T54" i="54"/>
  <c r="S54" i="54"/>
  <c r="R54" i="54"/>
  <c r="Q54" i="54"/>
  <c r="P54" i="54"/>
  <c r="O54" i="54"/>
  <c r="N54" i="54"/>
  <c r="M54" i="54"/>
  <c r="L54" i="54"/>
  <c r="K54" i="54"/>
  <c r="J54" i="54"/>
  <c r="I54" i="54"/>
  <c r="H54" i="54"/>
  <c r="G54" i="54"/>
  <c r="F54" i="54"/>
  <c r="E54" i="54"/>
  <c r="D54" i="54"/>
  <c r="C54" i="54"/>
  <c r="AG52" i="54"/>
  <c r="AG49" i="54" s="1"/>
  <c r="W52" i="54"/>
  <c r="W49" i="54" s="1"/>
  <c r="M52" i="54"/>
  <c r="M49" i="54" s="1"/>
  <c r="C52" i="54"/>
  <c r="C49" i="54" s="1"/>
  <c r="C10" i="54"/>
  <c r="D10" i="54" s="1"/>
  <c r="E10" i="54" s="1"/>
  <c r="F10" i="54" s="1"/>
  <c r="G10" i="54" s="1"/>
  <c r="H10" i="54" s="1"/>
  <c r="I10" i="54" s="1"/>
  <c r="J10" i="54" s="1"/>
  <c r="K10" i="54" s="1"/>
  <c r="L10" i="54" s="1"/>
  <c r="M10" i="54" s="1"/>
  <c r="N10" i="54" s="1"/>
  <c r="O10" i="54" s="1"/>
  <c r="P10" i="54" s="1"/>
  <c r="Q10" i="54" s="1"/>
  <c r="R10" i="54" s="1"/>
  <c r="S10" i="54" s="1"/>
  <c r="T10" i="54" s="1"/>
  <c r="U10" i="54" s="1"/>
  <c r="V10" i="54" s="1"/>
  <c r="W10" i="54" s="1"/>
  <c r="X10" i="54" s="1"/>
  <c r="Y10" i="54" s="1"/>
  <c r="Z10" i="54" s="1"/>
  <c r="AA10" i="54" s="1"/>
  <c r="AB10" i="54" s="1"/>
  <c r="AC10" i="54" s="1"/>
  <c r="AD10" i="54" s="1"/>
  <c r="AE10" i="54" s="1"/>
  <c r="AF10" i="54" s="1"/>
  <c r="AG10" i="54" s="1"/>
  <c r="X1" i="54"/>
  <c r="N1" i="54"/>
  <c r="O1" i="54" s="1"/>
  <c r="O51" i="54" s="1"/>
  <c r="D1" i="54"/>
  <c r="W145" i="53"/>
  <c r="M145" i="53"/>
  <c r="W84" i="53"/>
  <c r="M84" i="53"/>
  <c r="D54" i="53"/>
  <c r="E54" i="53"/>
  <c r="F54" i="53"/>
  <c r="G54" i="53"/>
  <c r="H54" i="53"/>
  <c r="I54" i="53"/>
  <c r="J54" i="53"/>
  <c r="K54" i="53"/>
  <c r="L54" i="53"/>
  <c r="M54" i="53"/>
  <c r="N54" i="53"/>
  <c r="O54" i="53"/>
  <c r="P54" i="53"/>
  <c r="Q54" i="53"/>
  <c r="R54" i="53"/>
  <c r="S54" i="53"/>
  <c r="T54" i="53"/>
  <c r="U54" i="53"/>
  <c r="V54" i="53"/>
  <c r="W54" i="53"/>
  <c r="X54" i="53"/>
  <c r="Y54" i="53"/>
  <c r="Z54" i="53"/>
  <c r="AA54" i="53"/>
  <c r="AB54" i="53"/>
  <c r="AC54" i="53"/>
  <c r="AD54" i="53"/>
  <c r="AE54" i="53"/>
  <c r="AF54" i="53"/>
  <c r="AG54" i="53"/>
  <c r="C54" i="53"/>
  <c r="F21" i="49"/>
  <c r="F19" i="49"/>
  <c r="K64" i="33"/>
  <c r="J64" i="33"/>
  <c r="I57" i="33"/>
  <c r="I59" i="33"/>
  <c r="I60" i="33"/>
  <c r="I61" i="33"/>
  <c r="I62" i="33"/>
  <c r="I6" i="24"/>
  <c r="H6" i="24"/>
  <c r="D247" i="53"/>
  <c r="E247" i="53" s="1"/>
  <c r="D242" i="53"/>
  <c r="E242" i="53" s="1"/>
  <c r="F242" i="53" s="1"/>
  <c r="G242" i="53" s="1"/>
  <c r="H242" i="53" s="1"/>
  <c r="I242" i="53" s="1"/>
  <c r="J242" i="53" s="1"/>
  <c r="K242" i="53" s="1"/>
  <c r="L242" i="53" s="1"/>
  <c r="M242" i="53" s="1"/>
  <c r="N242" i="53" s="1"/>
  <c r="O242" i="53" s="1"/>
  <c r="P242" i="53" s="1"/>
  <c r="Q242" i="53" s="1"/>
  <c r="R242" i="53" s="1"/>
  <c r="S242" i="53" s="1"/>
  <c r="T242" i="53" s="1"/>
  <c r="U242" i="53" s="1"/>
  <c r="V242" i="53" s="1"/>
  <c r="W242" i="53" s="1"/>
  <c r="X242" i="53" s="1"/>
  <c r="Y242" i="53" s="1"/>
  <c r="Z242" i="53" s="1"/>
  <c r="AA242" i="53" s="1"/>
  <c r="AB242" i="53" s="1"/>
  <c r="AC242" i="53" s="1"/>
  <c r="AD242" i="53" s="1"/>
  <c r="AE242" i="53" s="1"/>
  <c r="AF242" i="53" s="1"/>
  <c r="AG242" i="53" s="1"/>
  <c r="D196" i="53"/>
  <c r="D195" i="53"/>
  <c r="E195" i="53" s="1"/>
  <c r="D194" i="53"/>
  <c r="E194" i="53" s="1"/>
  <c r="F194" i="53" s="1"/>
  <c r="D193" i="53"/>
  <c r="D192" i="53"/>
  <c r="D191" i="53"/>
  <c r="E191" i="53" s="1"/>
  <c r="F191" i="53" s="1"/>
  <c r="D190" i="53"/>
  <c r="E190" i="53" s="1"/>
  <c r="F190" i="53" s="1"/>
  <c r="G190" i="53" s="1"/>
  <c r="H190" i="53" s="1"/>
  <c r="I190" i="53" s="1"/>
  <c r="J190" i="53" s="1"/>
  <c r="K190" i="53" s="1"/>
  <c r="L190" i="53" s="1"/>
  <c r="M190" i="53" s="1"/>
  <c r="N190" i="53" s="1"/>
  <c r="O190" i="53" s="1"/>
  <c r="P190" i="53" s="1"/>
  <c r="Q190" i="53" s="1"/>
  <c r="R190" i="53" s="1"/>
  <c r="S190" i="53" s="1"/>
  <c r="T190" i="53" s="1"/>
  <c r="U190" i="53" s="1"/>
  <c r="V190" i="53" s="1"/>
  <c r="W190" i="53" s="1"/>
  <c r="X190" i="53" s="1"/>
  <c r="Y190" i="53" s="1"/>
  <c r="Z190" i="53" s="1"/>
  <c r="AA190" i="53" s="1"/>
  <c r="AB190" i="53" s="1"/>
  <c r="AC190" i="53" s="1"/>
  <c r="AD190" i="53" s="1"/>
  <c r="AE190" i="53" s="1"/>
  <c r="AF190" i="53" s="1"/>
  <c r="D189" i="53"/>
  <c r="E189" i="53" s="1"/>
  <c r="F189" i="53" s="1"/>
  <c r="G189" i="53" s="1"/>
  <c r="H189" i="53" s="1"/>
  <c r="I189" i="53" s="1"/>
  <c r="J189" i="53" s="1"/>
  <c r="K189" i="53" s="1"/>
  <c r="L189" i="53" s="1"/>
  <c r="M189" i="53" s="1"/>
  <c r="N189" i="53" s="1"/>
  <c r="O189" i="53" s="1"/>
  <c r="P189" i="53" s="1"/>
  <c r="Q189" i="53" s="1"/>
  <c r="R189" i="53" s="1"/>
  <c r="S189" i="53" s="1"/>
  <c r="T189" i="53" s="1"/>
  <c r="U189" i="53" s="1"/>
  <c r="V189" i="53" s="1"/>
  <c r="W189" i="53" s="1"/>
  <c r="X189" i="53" s="1"/>
  <c r="Y189" i="53" s="1"/>
  <c r="Z189" i="53" s="1"/>
  <c r="AA189" i="53" s="1"/>
  <c r="AB189" i="53" s="1"/>
  <c r="AC189" i="53" s="1"/>
  <c r="AD189" i="53" s="1"/>
  <c r="AE189" i="53" s="1"/>
  <c r="AF189" i="53" s="1"/>
  <c r="D188" i="53"/>
  <c r="E188" i="53" s="1"/>
  <c r="F188" i="53" s="1"/>
  <c r="G188" i="53" s="1"/>
  <c r="H188" i="53" s="1"/>
  <c r="I188" i="53" s="1"/>
  <c r="J188" i="53" s="1"/>
  <c r="K188" i="53" s="1"/>
  <c r="L188" i="53" s="1"/>
  <c r="M188" i="53" s="1"/>
  <c r="N188" i="53" s="1"/>
  <c r="O188" i="53" s="1"/>
  <c r="P188" i="53" s="1"/>
  <c r="Q188" i="53" s="1"/>
  <c r="R188" i="53" s="1"/>
  <c r="S188" i="53" s="1"/>
  <c r="T188" i="53" s="1"/>
  <c r="U188" i="53" s="1"/>
  <c r="V188" i="53" s="1"/>
  <c r="W188" i="53" s="1"/>
  <c r="X188" i="53" s="1"/>
  <c r="Y188" i="53" s="1"/>
  <c r="Z188" i="53" s="1"/>
  <c r="AA188" i="53" s="1"/>
  <c r="AB188" i="53" s="1"/>
  <c r="AC188" i="53" s="1"/>
  <c r="AD188" i="53" s="1"/>
  <c r="AE188" i="53" s="1"/>
  <c r="AF188" i="53" s="1"/>
  <c r="D187" i="53"/>
  <c r="E187" i="53" s="1"/>
  <c r="D186" i="53"/>
  <c r="E186" i="53" s="1"/>
  <c r="D185" i="53"/>
  <c r="D184" i="53"/>
  <c r="D183" i="53"/>
  <c r="E183" i="53" s="1"/>
  <c r="F183" i="53" s="1"/>
  <c r="G183" i="53" s="1"/>
  <c r="H183" i="53" s="1"/>
  <c r="I183" i="53" s="1"/>
  <c r="J183" i="53" s="1"/>
  <c r="K183" i="53" s="1"/>
  <c r="L183" i="53" s="1"/>
  <c r="M183" i="53" s="1"/>
  <c r="N183" i="53" s="1"/>
  <c r="O183" i="53" s="1"/>
  <c r="P183" i="53" s="1"/>
  <c r="Q183" i="53" s="1"/>
  <c r="R183" i="53" s="1"/>
  <c r="S183" i="53" s="1"/>
  <c r="T183" i="53" s="1"/>
  <c r="U183" i="53" s="1"/>
  <c r="V183" i="53" s="1"/>
  <c r="W183" i="53" s="1"/>
  <c r="X183" i="53" s="1"/>
  <c r="Y183" i="53" s="1"/>
  <c r="Z183" i="53" s="1"/>
  <c r="AA183" i="53" s="1"/>
  <c r="AB183" i="53" s="1"/>
  <c r="AC183" i="53" s="1"/>
  <c r="AD183" i="53" s="1"/>
  <c r="AE183" i="53" s="1"/>
  <c r="AF183" i="53" s="1"/>
  <c r="D182" i="53"/>
  <c r="E182" i="53" s="1"/>
  <c r="F182" i="53" s="1"/>
  <c r="G182" i="53" s="1"/>
  <c r="H182" i="53" s="1"/>
  <c r="I182" i="53" s="1"/>
  <c r="J182" i="53" s="1"/>
  <c r="K182" i="53" s="1"/>
  <c r="L182" i="53" s="1"/>
  <c r="M182" i="53" s="1"/>
  <c r="N182" i="53" s="1"/>
  <c r="O182" i="53" s="1"/>
  <c r="P182" i="53" s="1"/>
  <c r="Q182" i="53" s="1"/>
  <c r="R182" i="53" s="1"/>
  <c r="S182" i="53" s="1"/>
  <c r="T182" i="53" s="1"/>
  <c r="U182" i="53" s="1"/>
  <c r="V182" i="53" s="1"/>
  <c r="W182" i="53" s="1"/>
  <c r="X182" i="53" s="1"/>
  <c r="Y182" i="53" s="1"/>
  <c r="Z182" i="53" s="1"/>
  <c r="AA182" i="53" s="1"/>
  <c r="AB182" i="53" s="1"/>
  <c r="AC182" i="53" s="1"/>
  <c r="AD182" i="53" s="1"/>
  <c r="AE182" i="53" s="1"/>
  <c r="AF182" i="53" s="1"/>
  <c r="D181" i="53"/>
  <c r="E181" i="53" s="1"/>
  <c r="F181" i="53" s="1"/>
  <c r="D180" i="53"/>
  <c r="AG179" i="53"/>
  <c r="C179" i="53"/>
  <c r="D178" i="53"/>
  <c r="D177" i="53"/>
  <c r="E177" i="53" s="1"/>
  <c r="F177" i="53" s="1"/>
  <c r="G177" i="53" s="1"/>
  <c r="H177" i="53" s="1"/>
  <c r="I177" i="53" s="1"/>
  <c r="J177" i="53" s="1"/>
  <c r="K177" i="53" s="1"/>
  <c r="L177" i="53" s="1"/>
  <c r="M177" i="53" s="1"/>
  <c r="N177" i="53" s="1"/>
  <c r="O177" i="53" s="1"/>
  <c r="P177" i="53" s="1"/>
  <c r="Q177" i="53" s="1"/>
  <c r="R177" i="53" s="1"/>
  <c r="S177" i="53" s="1"/>
  <c r="T177" i="53" s="1"/>
  <c r="U177" i="53" s="1"/>
  <c r="V177" i="53" s="1"/>
  <c r="W177" i="53" s="1"/>
  <c r="X177" i="53" s="1"/>
  <c r="Y177" i="53" s="1"/>
  <c r="Z177" i="53" s="1"/>
  <c r="AA177" i="53" s="1"/>
  <c r="AB177" i="53" s="1"/>
  <c r="AC177" i="53" s="1"/>
  <c r="AD177" i="53" s="1"/>
  <c r="AE177" i="53" s="1"/>
  <c r="AF177" i="53" s="1"/>
  <c r="D175" i="53"/>
  <c r="D174" i="53"/>
  <c r="E174" i="53" s="1"/>
  <c r="F174" i="53" s="1"/>
  <c r="D173" i="53"/>
  <c r="E173" i="53" s="1"/>
  <c r="F173" i="53" s="1"/>
  <c r="D172" i="53"/>
  <c r="E172" i="53" s="1"/>
  <c r="D171" i="53"/>
  <c r="E171" i="53" s="1"/>
  <c r="D170" i="53"/>
  <c r="D169" i="53"/>
  <c r="E169" i="53" s="1"/>
  <c r="F169" i="53" s="1"/>
  <c r="G169" i="53" s="1"/>
  <c r="H169" i="53" s="1"/>
  <c r="I169" i="53" s="1"/>
  <c r="J169" i="53" s="1"/>
  <c r="K169" i="53" s="1"/>
  <c r="L169" i="53" s="1"/>
  <c r="M169" i="53" s="1"/>
  <c r="N169" i="53" s="1"/>
  <c r="O169" i="53" s="1"/>
  <c r="P169" i="53" s="1"/>
  <c r="Q169" i="53" s="1"/>
  <c r="R169" i="53" s="1"/>
  <c r="S169" i="53" s="1"/>
  <c r="T169" i="53" s="1"/>
  <c r="U169" i="53" s="1"/>
  <c r="V169" i="53" s="1"/>
  <c r="W169" i="53" s="1"/>
  <c r="X169" i="53" s="1"/>
  <c r="Y169" i="53" s="1"/>
  <c r="Z169" i="53" s="1"/>
  <c r="AA169" i="53" s="1"/>
  <c r="AB169" i="53" s="1"/>
  <c r="AC169" i="53" s="1"/>
  <c r="AD169" i="53" s="1"/>
  <c r="AE169" i="53" s="1"/>
  <c r="AF169" i="53" s="1"/>
  <c r="AG153" i="53"/>
  <c r="C153" i="53"/>
  <c r="AG144" i="53"/>
  <c r="C144" i="53"/>
  <c r="C124" i="53"/>
  <c r="C125" i="53" s="1"/>
  <c r="D123" i="53"/>
  <c r="E123" i="53" s="1"/>
  <c r="AG120" i="53"/>
  <c r="C120" i="53"/>
  <c r="AG121" i="53"/>
  <c r="C121" i="53"/>
  <c r="D118" i="53"/>
  <c r="D119" i="53" s="1"/>
  <c r="AG116" i="53"/>
  <c r="C116" i="53"/>
  <c r="C92" i="53"/>
  <c r="C93" i="53" s="1"/>
  <c r="D91" i="53"/>
  <c r="E91" i="53" s="1"/>
  <c r="F91" i="53" s="1"/>
  <c r="D90" i="53"/>
  <c r="AG87" i="53"/>
  <c r="C87" i="53"/>
  <c r="AG86" i="53"/>
  <c r="AG88" i="53" s="1"/>
  <c r="C86" i="53"/>
  <c r="C88" i="53" s="1"/>
  <c r="C96" i="53" s="1"/>
  <c r="D85" i="53"/>
  <c r="D86" i="53" s="1"/>
  <c r="AG83" i="53"/>
  <c r="C83" i="53"/>
  <c r="W52" i="53"/>
  <c r="W49" i="53" s="1"/>
  <c r="M52" i="53"/>
  <c r="M49" i="53" s="1"/>
  <c r="C52" i="53"/>
  <c r="C49" i="53" s="1"/>
  <c r="C10" i="53"/>
  <c r="D10" i="53" s="1"/>
  <c r="E10" i="53" s="1"/>
  <c r="F10" i="53" s="1"/>
  <c r="G10" i="53" s="1"/>
  <c r="H10" i="53" s="1"/>
  <c r="I10" i="53" s="1"/>
  <c r="J10" i="53" s="1"/>
  <c r="K10" i="53" s="1"/>
  <c r="L10" i="53" s="1"/>
  <c r="M10" i="53" s="1"/>
  <c r="N10" i="53" s="1"/>
  <c r="O10" i="53" s="1"/>
  <c r="P10" i="53" s="1"/>
  <c r="Q10" i="53" s="1"/>
  <c r="R10" i="53" s="1"/>
  <c r="S10" i="53" s="1"/>
  <c r="T10" i="53" s="1"/>
  <c r="U10" i="53" s="1"/>
  <c r="V10" i="53" s="1"/>
  <c r="W10" i="53" s="1"/>
  <c r="X10" i="53" s="1"/>
  <c r="Y10" i="53" s="1"/>
  <c r="Z10" i="53" s="1"/>
  <c r="AA10" i="53" s="1"/>
  <c r="AB10" i="53" s="1"/>
  <c r="AC10" i="53" s="1"/>
  <c r="AD10" i="53" s="1"/>
  <c r="AE10" i="53" s="1"/>
  <c r="AF10" i="53" s="1"/>
  <c r="AG10" i="53" s="1"/>
  <c r="X1" i="53"/>
  <c r="Y1" i="53" s="1"/>
  <c r="N1" i="53"/>
  <c r="N51" i="53" s="1"/>
  <c r="D1" i="53"/>
  <c r="D51" i="53" s="1"/>
  <c r="M28" i="52"/>
  <c r="M24" i="52"/>
  <c r="C1" i="52"/>
  <c r="AJ24" i="51"/>
  <c r="AJ21" i="51"/>
  <c r="D24" i="51"/>
  <c r="D21" i="51"/>
  <c r="BN41" i="51"/>
  <c r="BM41" i="51"/>
  <c r="BL41" i="51"/>
  <c r="BK41" i="51"/>
  <c r="BJ41" i="51"/>
  <c r="BI41" i="51"/>
  <c r="BH41" i="51"/>
  <c r="BG41" i="51"/>
  <c r="BF41" i="51"/>
  <c r="BE41" i="51"/>
  <c r="BD41" i="51"/>
  <c r="BC41" i="51"/>
  <c r="BB41" i="51"/>
  <c r="BA41" i="51"/>
  <c r="AZ41" i="51"/>
  <c r="AY41" i="51"/>
  <c r="AX41" i="51"/>
  <c r="AW41" i="51"/>
  <c r="AV41" i="51"/>
  <c r="AU41" i="51"/>
  <c r="AT41" i="51"/>
  <c r="AS41" i="51"/>
  <c r="AR41" i="51"/>
  <c r="AQ41" i="51"/>
  <c r="AP41" i="51"/>
  <c r="AO41" i="51"/>
  <c r="AN41" i="51"/>
  <c r="AM41" i="51"/>
  <c r="AL41" i="51"/>
  <c r="AK41" i="51"/>
  <c r="AJ41" i="51"/>
  <c r="AH42" i="51"/>
  <c r="AF42" i="51"/>
  <c r="AE42" i="51"/>
  <c r="AD42" i="51"/>
  <c r="AB42" i="51"/>
  <c r="AA42" i="51"/>
  <c r="Z42" i="51"/>
  <c r="X42" i="51"/>
  <c r="W42" i="51"/>
  <c r="V42" i="51"/>
  <c r="BA40" i="51"/>
  <c r="T42" i="51"/>
  <c r="S42" i="51"/>
  <c r="R42" i="51"/>
  <c r="AV40" i="51"/>
  <c r="O42" i="51"/>
  <c r="N42" i="51"/>
  <c r="AR40" i="51"/>
  <c r="K42" i="51"/>
  <c r="J42" i="51"/>
  <c r="AN40" i="51"/>
  <c r="G42" i="51"/>
  <c r="F42" i="51"/>
  <c r="AJ40" i="51"/>
  <c r="BS23" i="51"/>
  <c r="BS22" i="51"/>
  <c r="BS20" i="51"/>
  <c r="BS24" i="51" s="1"/>
  <c r="BS18" i="51"/>
  <c r="BR18" i="51"/>
  <c r="BS17" i="51"/>
  <c r="BR17" i="51"/>
  <c r="AJ15" i="51"/>
  <c r="D15" i="51"/>
  <c r="BS12" i="51"/>
  <c r="BS11" i="51"/>
  <c r="BS9" i="51"/>
  <c r="BS13" i="51" s="1"/>
  <c r="CC7" i="51"/>
  <c r="CA7" i="51"/>
  <c r="BR7" i="51"/>
  <c r="AK3" i="51"/>
  <c r="AL3" i="51" s="1"/>
  <c r="AM3" i="51" s="1"/>
  <c r="AN3" i="51" s="1"/>
  <c r="AO3" i="51" s="1"/>
  <c r="AP3" i="51" s="1"/>
  <c r="AQ3" i="51" s="1"/>
  <c r="AR3" i="51" s="1"/>
  <c r="AS3" i="51" s="1"/>
  <c r="AT3" i="51" s="1"/>
  <c r="AU3" i="51" s="1"/>
  <c r="AV3" i="51" s="1"/>
  <c r="AW3" i="51" s="1"/>
  <c r="AX3" i="51" s="1"/>
  <c r="AY3" i="51" s="1"/>
  <c r="AZ3" i="51" s="1"/>
  <c r="BA3" i="51" s="1"/>
  <c r="BB3" i="51" s="1"/>
  <c r="BC3" i="51" s="1"/>
  <c r="BD3" i="51" s="1"/>
  <c r="BE3" i="51" s="1"/>
  <c r="BF3" i="51" s="1"/>
  <c r="BG3" i="51" s="1"/>
  <c r="BH3" i="51" s="1"/>
  <c r="BI3" i="51" s="1"/>
  <c r="BJ3" i="51" s="1"/>
  <c r="BK3" i="51" s="1"/>
  <c r="BL3" i="51" s="1"/>
  <c r="BM3" i="51" s="1"/>
  <c r="BN3" i="51" s="1"/>
  <c r="E3" i="51"/>
  <c r="F30" i="49"/>
  <c r="G30" i="49"/>
  <c r="C30" i="49"/>
  <c r="C31" i="49" s="1"/>
  <c r="B27" i="49"/>
  <c r="B28" i="49"/>
  <c r="B29" i="49"/>
  <c r="B30" i="49"/>
  <c r="B31" i="49"/>
  <c r="B26" i="49"/>
  <c r="B14" i="50"/>
  <c r="C14" i="50" s="1"/>
  <c r="B13" i="50"/>
  <c r="C13" i="50" s="1"/>
  <c r="B12" i="50"/>
  <c r="C12" i="50" s="1"/>
  <c r="B8" i="50"/>
  <c r="B18" i="50"/>
  <c r="B7" i="50" s="1"/>
  <c r="B17" i="50"/>
  <c r="B6" i="50" s="1"/>
  <c r="C11" i="50"/>
  <c r="P2" i="50"/>
  <c r="Q2" i="50" s="1"/>
  <c r="R2" i="50" s="1"/>
  <c r="S2" i="50" s="1"/>
  <c r="T2" i="50" s="1"/>
  <c r="U2" i="50" s="1"/>
  <c r="V2" i="50" s="1"/>
  <c r="W2" i="50" s="1"/>
  <c r="X2" i="50" s="1"/>
  <c r="Y2" i="50" s="1"/>
  <c r="Z2" i="50" s="1"/>
  <c r="AA2" i="50" s="1"/>
  <c r="AB2" i="50" s="1"/>
  <c r="AC2" i="50" s="1"/>
  <c r="AD2" i="50" s="1"/>
  <c r="AE2" i="50" s="1"/>
  <c r="AF2" i="50" s="1"/>
  <c r="AG2" i="50" s="1"/>
  <c r="AH2" i="50" s="1"/>
  <c r="AI2" i="50" s="1"/>
  <c r="AJ2" i="50" s="1"/>
  <c r="AK2" i="50" s="1"/>
  <c r="AL2" i="50" s="1"/>
  <c r="AM2" i="50" s="1"/>
  <c r="AN2" i="50" s="1"/>
  <c r="AO2" i="50" s="1"/>
  <c r="AP2" i="50" s="1"/>
  <c r="AQ2" i="50" s="1"/>
  <c r="AR2" i="50" s="1"/>
  <c r="AS2" i="50" s="1"/>
  <c r="G4" i="43"/>
  <c r="F3" i="50" s="1"/>
  <c r="H4" i="43"/>
  <c r="G3" i="50" s="1"/>
  <c r="I4" i="43"/>
  <c r="H3" i="50" s="1"/>
  <c r="J4" i="43"/>
  <c r="I3" i="50" s="1"/>
  <c r="F4" i="43"/>
  <c r="E3" i="50" s="1"/>
  <c r="D4" i="43"/>
  <c r="C3" i="50" s="1"/>
  <c r="B5" i="50" s="1"/>
  <c r="E4" i="43"/>
  <c r="D3" i="50" s="1"/>
  <c r="O4" i="49"/>
  <c r="O5" i="49" s="1"/>
  <c r="I7" i="49"/>
  <c r="I6" i="49"/>
  <c r="I5" i="49"/>
  <c r="I4" i="49"/>
  <c r="B4" i="50" l="1"/>
  <c r="CW121" i="55"/>
  <c r="CX121" i="55" s="1"/>
  <c r="CY121" i="55" s="1"/>
  <c r="CZ121" i="55" s="1"/>
  <c r="DA121" i="55" s="1"/>
  <c r="DB121" i="55" s="1"/>
  <c r="DC121" i="55" s="1"/>
  <c r="DD121" i="55" s="1"/>
  <c r="DE121" i="55" s="1"/>
  <c r="DF121" i="55" s="1"/>
  <c r="DG121" i="55" s="1"/>
  <c r="DH121" i="55" s="1"/>
  <c r="DI121" i="55" s="1"/>
  <c r="DJ121" i="55" s="1"/>
  <c r="DK121" i="55" s="1"/>
  <c r="DL121" i="55" s="1"/>
  <c r="DM121" i="55" s="1"/>
  <c r="DN121" i="55" s="1"/>
  <c r="DO121" i="55" s="1"/>
  <c r="DP121" i="55" s="1"/>
  <c r="DQ121" i="55" s="1"/>
  <c r="DR121" i="55" s="1"/>
  <c r="DS121" i="55" s="1"/>
  <c r="DT121" i="55" s="1"/>
  <c r="DU121" i="55" s="1"/>
  <c r="DV121" i="55" s="1"/>
  <c r="DW121" i="55" s="1"/>
  <c r="DX121" i="55" s="1"/>
  <c r="DY121" i="55" s="1"/>
  <c r="CW52" i="55"/>
  <c r="CX52" i="55" s="1"/>
  <c r="CY52" i="55" s="1"/>
  <c r="CZ52" i="55" s="1"/>
  <c r="DA52" i="55" s="1"/>
  <c r="DB52" i="55" s="1"/>
  <c r="DC52" i="55" s="1"/>
  <c r="DD52" i="55" s="1"/>
  <c r="DE52" i="55" s="1"/>
  <c r="DF52" i="55" s="1"/>
  <c r="DG52" i="55" s="1"/>
  <c r="DH52" i="55" s="1"/>
  <c r="DI52" i="55" s="1"/>
  <c r="DJ52" i="55" s="1"/>
  <c r="DK52" i="55" s="1"/>
  <c r="DL52" i="55" s="1"/>
  <c r="DM52" i="55" s="1"/>
  <c r="DN52" i="55" s="1"/>
  <c r="DO52" i="55" s="1"/>
  <c r="DP52" i="55" s="1"/>
  <c r="DQ52" i="55" s="1"/>
  <c r="DR52" i="55" s="1"/>
  <c r="DS52" i="55" s="1"/>
  <c r="DT52" i="55" s="1"/>
  <c r="DU52" i="55" s="1"/>
  <c r="DV52" i="55" s="1"/>
  <c r="DW52" i="55" s="1"/>
  <c r="DX52" i="55" s="1"/>
  <c r="DY52" i="55" s="1"/>
  <c r="CW167" i="55"/>
  <c r="CX167" i="55" s="1"/>
  <c r="CY167" i="55" s="1"/>
  <c r="CZ167" i="55" s="1"/>
  <c r="DA167" i="55" s="1"/>
  <c r="DB167" i="55" s="1"/>
  <c r="DC167" i="55" s="1"/>
  <c r="DD167" i="55" s="1"/>
  <c r="DE167" i="55" s="1"/>
  <c r="DF167" i="55" s="1"/>
  <c r="DG167" i="55" s="1"/>
  <c r="DH167" i="55" s="1"/>
  <c r="DI167" i="55" s="1"/>
  <c r="DJ167" i="55" s="1"/>
  <c r="DK167" i="55" s="1"/>
  <c r="DL167" i="55" s="1"/>
  <c r="DM167" i="55" s="1"/>
  <c r="DN167" i="55" s="1"/>
  <c r="DO167" i="55" s="1"/>
  <c r="DP167" i="55" s="1"/>
  <c r="DQ167" i="55" s="1"/>
  <c r="DR167" i="55" s="1"/>
  <c r="DS167" i="55" s="1"/>
  <c r="DT167" i="55" s="1"/>
  <c r="DU167" i="55" s="1"/>
  <c r="DV167" i="55" s="1"/>
  <c r="DW167" i="55" s="1"/>
  <c r="DX167" i="55" s="1"/>
  <c r="DY167" i="55" s="1"/>
  <c r="CW76" i="55"/>
  <c r="CX76" i="55" s="1"/>
  <c r="CY76" i="55" s="1"/>
  <c r="CZ76" i="55" s="1"/>
  <c r="DA76" i="55" s="1"/>
  <c r="DB76" i="55" s="1"/>
  <c r="DC76" i="55" s="1"/>
  <c r="DD76" i="55" s="1"/>
  <c r="DE76" i="55" s="1"/>
  <c r="DF76" i="55" s="1"/>
  <c r="DG76" i="55" s="1"/>
  <c r="DH76" i="55" s="1"/>
  <c r="DI76" i="55" s="1"/>
  <c r="DJ76" i="55" s="1"/>
  <c r="DK76" i="55" s="1"/>
  <c r="DL76" i="55" s="1"/>
  <c r="DM76" i="55" s="1"/>
  <c r="DN76" i="55" s="1"/>
  <c r="DO76" i="55" s="1"/>
  <c r="DP76" i="55" s="1"/>
  <c r="DQ76" i="55" s="1"/>
  <c r="DR76" i="55" s="1"/>
  <c r="DS76" i="55" s="1"/>
  <c r="DT76" i="55" s="1"/>
  <c r="DU76" i="55" s="1"/>
  <c r="DV76" i="55" s="1"/>
  <c r="DW76" i="55" s="1"/>
  <c r="DX76" i="55" s="1"/>
  <c r="DY76" i="55" s="1"/>
  <c r="CW168" i="55"/>
  <c r="CX168" i="55" s="1"/>
  <c r="CY168" i="55" s="1"/>
  <c r="CZ168" i="55" s="1"/>
  <c r="DA168" i="55" s="1"/>
  <c r="DB168" i="55" s="1"/>
  <c r="DC168" i="55" s="1"/>
  <c r="DD168" i="55" s="1"/>
  <c r="DE168" i="55" s="1"/>
  <c r="DF168" i="55" s="1"/>
  <c r="DG168" i="55" s="1"/>
  <c r="DH168" i="55" s="1"/>
  <c r="DI168" i="55" s="1"/>
  <c r="DJ168" i="55" s="1"/>
  <c r="DK168" i="55" s="1"/>
  <c r="DL168" i="55" s="1"/>
  <c r="DM168" i="55" s="1"/>
  <c r="DN168" i="55" s="1"/>
  <c r="DO168" i="55" s="1"/>
  <c r="DP168" i="55" s="1"/>
  <c r="DQ168" i="55" s="1"/>
  <c r="DR168" i="55" s="1"/>
  <c r="DS168" i="55" s="1"/>
  <c r="DT168" i="55" s="1"/>
  <c r="DU168" i="55" s="1"/>
  <c r="DV168" i="55" s="1"/>
  <c r="DW168" i="55" s="1"/>
  <c r="DX168" i="55" s="1"/>
  <c r="DY168" i="55" s="1"/>
  <c r="CW122" i="55"/>
  <c r="CX122" i="55" s="1"/>
  <c r="CY122" i="55" s="1"/>
  <c r="CZ122" i="55" s="1"/>
  <c r="DA122" i="55" s="1"/>
  <c r="DB122" i="55" s="1"/>
  <c r="DC122" i="55" s="1"/>
  <c r="DD122" i="55" s="1"/>
  <c r="DE122" i="55" s="1"/>
  <c r="DF122" i="55" s="1"/>
  <c r="DG122" i="55" s="1"/>
  <c r="DH122" i="55" s="1"/>
  <c r="DI122" i="55" s="1"/>
  <c r="DJ122" i="55" s="1"/>
  <c r="DK122" i="55" s="1"/>
  <c r="DL122" i="55" s="1"/>
  <c r="DM122" i="55" s="1"/>
  <c r="DN122" i="55" s="1"/>
  <c r="DO122" i="55" s="1"/>
  <c r="DP122" i="55" s="1"/>
  <c r="DQ122" i="55" s="1"/>
  <c r="DR122" i="55" s="1"/>
  <c r="DS122" i="55" s="1"/>
  <c r="DT122" i="55" s="1"/>
  <c r="DU122" i="55" s="1"/>
  <c r="DV122" i="55" s="1"/>
  <c r="DW122" i="55" s="1"/>
  <c r="DX122" i="55" s="1"/>
  <c r="DY122" i="55" s="1"/>
  <c r="CI7" i="51"/>
  <c r="E4" i="60"/>
  <c r="CW53" i="55"/>
  <c r="CX53" i="55" s="1"/>
  <c r="CY53" i="55" s="1"/>
  <c r="CZ53" i="55" s="1"/>
  <c r="DA53" i="55" s="1"/>
  <c r="DB53" i="55" s="1"/>
  <c r="DC53" i="55" s="1"/>
  <c r="DD53" i="55" s="1"/>
  <c r="DE53" i="55" s="1"/>
  <c r="DF53" i="55" s="1"/>
  <c r="DG53" i="55" s="1"/>
  <c r="DH53" i="55" s="1"/>
  <c r="DI53" i="55" s="1"/>
  <c r="DJ53" i="55" s="1"/>
  <c r="DK53" i="55" s="1"/>
  <c r="DL53" i="55" s="1"/>
  <c r="DM53" i="55" s="1"/>
  <c r="DN53" i="55" s="1"/>
  <c r="DO53" i="55" s="1"/>
  <c r="DP53" i="55" s="1"/>
  <c r="DQ53" i="55" s="1"/>
  <c r="DR53" i="55" s="1"/>
  <c r="DS53" i="55" s="1"/>
  <c r="DT53" i="55" s="1"/>
  <c r="DU53" i="55" s="1"/>
  <c r="DV53" i="55" s="1"/>
  <c r="DW53" i="55" s="1"/>
  <c r="DX53" i="55" s="1"/>
  <c r="DY53" i="55" s="1"/>
  <c r="AN3" i="55"/>
  <c r="AO3" i="55" s="1"/>
  <c r="AP3" i="55" s="1"/>
  <c r="AQ3" i="55" s="1"/>
  <c r="AR3" i="55" s="1"/>
  <c r="AS3" i="55" s="1"/>
  <c r="AT3" i="55" s="1"/>
  <c r="AU3" i="55" s="1"/>
  <c r="AV3" i="55" s="1"/>
  <c r="AW3" i="55" s="1"/>
  <c r="AX3" i="55" s="1"/>
  <c r="AY3" i="55" s="1"/>
  <c r="AZ3" i="55" s="1"/>
  <c r="BA3" i="55" s="1"/>
  <c r="BB3" i="55" s="1"/>
  <c r="BC3" i="55" s="1"/>
  <c r="BD3" i="55" s="1"/>
  <c r="BE3" i="55" s="1"/>
  <c r="BF3" i="55" s="1"/>
  <c r="BG3" i="55" s="1"/>
  <c r="BH3" i="55" s="1"/>
  <c r="BI3" i="55" s="1"/>
  <c r="BJ3" i="55" s="1"/>
  <c r="BK3" i="55" s="1"/>
  <c r="BL3" i="55" s="1"/>
  <c r="BM3" i="55" s="1"/>
  <c r="BN3" i="55" s="1"/>
  <c r="BY2" i="59"/>
  <c r="BX67" i="59"/>
  <c r="BX68" i="59"/>
  <c r="BX69" i="59"/>
  <c r="BX61" i="59"/>
  <c r="BX70" i="59"/>
  <c r="BX62" i="59"/>
  <c r="BX64" i="59"/>
  <c r="BX73" i="59"/>
  <c r="BX65" i="59"/>
  <c r="BX66" i="59"/>
  <c r="BX74" i="59"/>
  <c r="BX63" i="59"/>
  <c r="BX72" i="59"/>
  <c r="BX71" i="59"/>
  <c r="BW75" i="59"/>
  <c r="H139" i="55"/>
  <c r="AM139" i="55"/>
  <c r="CY139" i="55" s="1"/>
  <c r="AM143" i="55"/>
  <c r="CY143" i="55" s="1"/>
  <c r="H143" i="55"/>
  <c r="AK30" i="55"/>
  <c r="AM144" i="55"/>
  <c r="H144" i="55"/>
  <c r="AL145" i="55"/>
  <c r="G145" i="55"/>
  <c r="G24" i="55"/>
  <c r="AM24" i="55" s="1"/>
  <c r="CY24" i="55" s="1"/>
  <c r="AN140" i="55"/>
  <c r="CZ140" i="55" s="1"/>
  <c r="I140" i="55"/>
  <c r="M30" i="52"/>
  <c r="K147" i="55"/>
  <c r="AP147" i="55"/>
  <c r="L146" i="55"/>
  <c r="AQ146" i="55"/>
  <c r="G164" i="55"/>
  <c r="AL164" i="55"/>
  <c r="CX164" i="55" s="1"/>
  <c r="G167" i="55"/>
  <c r="AL167" i="55"/>
  <c r="CT165" i="55"/>
  <c r="G166" i="55"/>
  <c r="AL166" i="55"/>
  <c r="CX166" i="55" s="1"/>
  <c r="AQ170" i="55"/>
  <c r="L170" i="55"/>
  <c r="G165" i="55"/>
  <c r="AL165" i="55"/>
  <c r="CX165" i="55" s="1"/>
  <c r="F168" i="55"/>
  <c r="AK168" i="55"/>
  <c r="AM163" i="55"/>
  <c r="CY163" i="55" s="1"/>
  <c r="H163" i="55"/>
  <c r="BR162" i="55"/>
  <c r="G162" i="55"/>
  <c r="AL162" i="55"/>
  <c r="CX162" i="55" s="1"/>
  <c r="J169" i="55"/>
  <c r="AO169" i="55"/>
  <c r="J124" i="55"/>
  <c r="AO124" i="55"/>
  <c r="AK122" i="55"/>
  <c r="AK53" i="55"/>
  <c r="H94" i="55"/>
  <c r="AM94" i="55"/>
  <c r="CY94" i="55" s="1"/>
  <c r="G121" i="55"/>
  <c r="AL121" i="55"/>
  <c r="G75" i="55"/>
  <c r="AL75" i="55"/>
  <c r="AL97" i="55"/>
  <c r="CX97" i="55" s="1"/>
  <c r="G97" i="55"/>
  <c r="G118" i="55"/>
  <c r="AL118" i="55"/>
  <c r="CX118" i="55" s="1"/>
  <c r="G98" i="55"/>
  <c r="AL98" i="55"/>
  <c r="G70" i="55"/>
  <c r="AL70" i="55"/>
  <c r="CX70" i="55" s="1"/>
  <c r="BQ116" i="55"/>
  <c r="F76" i="55"/>
  <c r="AK76" i="55"/>
  <c r="BQ97" i="55"/>
  <c r="BR97" i="55" s="1"/>
  <c r="BS97" i="55" s="1"/>
  <c r="BT97" i="55" s="1"/>
  <c r="BR93" i="55"/>
  <c r="F119" i="55"/>
  <c r="AK119" i="55"/>
  <c r="CW119" i="55" s="1"/>
  <c r="AO123" i="55"/>
  <c r="J123" i="55"/>
  <c r="AL122" i="55"/>
  <c r="G122" i="55"/>
  <c r="AK99" i="55"/>
  <c r="F99" i="55"/>
  <c r="BR70" i="55"/>
  <c r="AL93" i="55"/>
  <c r="CX93" i="55" s="1"/>
  <c r="G93" i="55"/>
  <c r="G116" i="55"/>
  <c r="AL116" i="55"/>
  <c r="CX116" i="55" s="1"/>
  <c r="AM117" i="55"/>
  <c r="CY117" i="55" s="1"/>
  <c r="H117" i="55"/>
  <c r="AL74" i="55"/>
  <c r="CX74" i="55" s="1"/>
  <c r="G74" i="55"/>
  <c r="AM71" i="55"/>
  <c r="CY71" i="55" s="1"/>
  <c r="H71" i="55"/>
  <c r="AL120" i="55"/>
  <c r="CX120" i="55" s="1"/>
  <c r="G120" i="55"/>
  <c r="J101" i="55"/>
  <c r="AO101" i="55"/>
  <c r="K100" i="55"/>
  <c r="AP100" i="55"/>
  <c r="K77" i="55"/>
  <c r="AP77" i="55"/>
  <c r="J78" i="55"/>
  <c r="AO78" i="55"/>
  <c r="AL52" i="55"/>
  <c r="G52" i="55"/>
  <c r="G51" i="55"/>
  <c r="AL51" i="55"/>
  <c r="CX51" i="55" s="1"/>
  <c r="H48" i="55"/>
  <c r="AM48" i="55"/>
  <c r="CY48" i="55" s="1"/>
  <c r="G53" i="55"/>
  <c r="AL53" i="55"/>
  <c r="G47" i="55"/>
  <c r="AL47" i="55"/>
  <c r="CX47" i="55" s="1"/>
  <c r="AK50" i="55"/>
  <c r="CW50" i="55" s="1"/>
  <c r="F50" i="55"/>
  <c r="G49" i="55"/>
  <c r="AL49" i="55"/>
  <c r="CX49" i="55" s="1"/>
  <c r="AP55" i="55"/>
  <c r="K55" i="55"/>
  <c r="K54" i="55"/>
  <c r="AP54" i="55"/>
  <c r="I25" i="55"/>
  <c r="AN25" i="55"/>
  <c r="CZ25" i="55" s="1"/>
  <c r="H29" i="55"/>
  <c r="AM29" i="55"/>
  <c r="BS24" i="55"/>
  <c r="G30" i="55"/>
  <c r="AL30" i="55"/>
  <c r="I32" i="55"/>
  <c r="AN32" i="55"/>
  <c r="I31" i="55"/>
  <c r="AN31" i="55"/>
  <c r="H28" i="55"/>
  <c r="AM28" i="55"/>
  <c r="CY28" i="55" s="1"/>
  <c r="H24" i="55"/>
  <c r="AN24" i="55" s="1"/>
  <c r="CZ24" i="55" s="1"/>
  <c r="E205" i="55"/>
  <c r="G204" i="55"/>
  <c r="G205" i="55" s="1"/>
  <c r="F3" i="55"/>
  <c r="G3" i="55" s="1"/>
  <c r="H3" i="55" s="1"/>
  <c r="C93" i="54"/>
  <c r="M134" i="54"/>
  <c r="W133" i="54"/>
  <c r="AG133" i="54"/>
  <c r="D93" i="54"/>
  <c r="AG134" i="54"/>
  <c r="O118" i="54"/>
  <c r="O119" i="54" s="1"/>
  <c r="C125" i="54"/>
  <c r="AG102" i="54"/>
  <c r="E90" i="54"/>
  <c r="F90" i="54" s="1"/>
  <c r="E118" i="53"/>
  <c r="E119" i="53" s="1"/>
  <c r="E1" i="53"/>
  <c r="F1" i="53" s="1"/>
  <c r="G1" i="53" s="1"/>
  <c r="C128" i="53"/>
  <c r="C258" i="53" s="1"/>
  <c r="D124" i="53"/>
  <c r="E124" i="53" s="1"/>
  <c r="F124" i="53" s="1"/>
  <c r="G124" i="53" s="1"/>
  <c r="H124" i="53" s="1"/>
  <c r="I124" i="53" s="1"/>
  <c r="J124" i="53" s="1"/>
  <c r="K124" i="53" s="1"/>
  <c r="L124" i="53" s="1"/>
  <c r="M124" i="53" s="1"/>
  <c r="N124" i="53" s="1"/>
  <c r="O124" i="53" s="1"/>
  <c r="P124" i="53" s="1"/>
  <c r="Q124" i="53" s="1"/>
  <c r="R124" i="53" s="1"/>
  <c r="S124" i="53" s="1"/>
  <c r="T124" i="53" s="1"/>
  <c r="U124" i="53" s="1"/>
  <c r="V124" i="53" s="1"/>
  <c r="W124" i="53" s="1"/>
  <c r="X124" i="53" s="1"/>
  <c r="Y124" i="53" s="1"/>
  <c r="Z124" i="53" s="1"/>
  <c r="AA124" i="53" s="1"/>
  <c r="AB124" i="53" s="1"/>
  <c r="AC124" i="53" s="1"/>
  <c r="AD124" i="53" s="1"/>
  <c r="AE124" i="53" s="1"/>
  <c r="AF124" i="53" s="1"/>
  <c r="AG124" i="53" s="1"/>
  <c r="AG128" i="53" s="1"/>
  <c r="AG258" i="53" s="1"/>
  <c r="F247" i="53"/>
  <c r="G247" i="53" s="1"/>
  <c r="O1" i="53"/>
  <c r="O50" i="53" s="1"/>
  <c r="D154" i="54"/>
  <c r="D117" i="54"/>
  <c r="D84" i="54"/>
  <c r="D51" i="54"/>
  <c r="D50" i="54"/>
  <c r="E1" i="54"/>
  <c r="N154" i="54"/>
  <c r="N117" i="54"/>
  <c r="N84" i="54"/>
  <c r="N50" i="54"/>
  <c r="N51" i="54"/>
  <c r="O154" i="54"/>
  <c r="O117" i="54"/>
  <c r="O84" i="54"/>
  <c r="O50" i="54"/>
  <c r="X154" i="54"/>
  <c r="X145" i="54"/>
  <c r="X117" i="54"/>
  <c r="X84" i="54"/>
  <c r="X50" i="54"/>
  <c r="P1" i="54"/>
  <c r="Y1" i="54"/>
  <c r="X51" i="54"/>
  <c r="C95" i="54"/>
  <c r="C96" i="54"/>
  <c r="C97" i="54"/>
  <c r="C101" i="54"/>
  <c r="C102" i="54" s="1"/>
  <c r="F91" i="54"/>
  <c r="F92" i="54"/>
  <c r="E85" i="54"/>
  <c r="M128" i="54"/>
  <c r="N124" i="54"/>
  <c r="O124" i="54" s="1"/>
  <c r="P124" i="54" s="1"/>
  <c r="Q124" i="54" s="1"/>
  <c r="R124" i="54" s="1"/>
  <c r="S124" i="54" s="1"/>
  <c r="T124" i="54" s="1"/>
  <c r="U124" i="54" s="1"/>
  <c r="V124" i="54" s="1"/>
  <c r="W124" i="54" s="1"/>
  <c r="Y118" i="54"/>
  <c r="C127" i="54"/>
  <c r="D132" i="54"/>
  <c r="D135" i="54" s="1"/>
  <c r="N132" i="54"/>
  <c r="N135" i="54" s="1"/>
  <c r="X132" i="54"/>
  <c r="X135" i="54" s="1"/>
  <c r="E118" i="54"/>
  <c r="W134" i="54"/>
  <c r="D125" i="54"/>
  <c r="E125" i="54"/>
  <c r="F125" i="54"/>
  <c r="AG135" i="54"/>
  <c r="M148" i="54"/>
  <c r="N147" i="54"/>
  <c r="O147" i="54" s="1"/>
  <c r="P147" i="54" s="1"/>
  <c r="Q147" i="54" s="1"/>
  <c r="R147" i="54" s="1"/>
  <c r="S147" i="54" s="1"/>
  <c r="T147" i="54" s="1"/>
  <c r="U147" i="54" s="1"/>
  <c r="V147" i="54" s="1"/>
  <c r="W147" i="54" s="1"/>
  <c r="G123" i="54"/>
  <c r="C128" i="54"/>
  <c r="C258" i="54" s="1"/>
  <c r="M133" i="54"/>
  <c r="O145" i="54"/>
  <c r="M144" i="54"/>
  <c r="N145" i="54"/>
  <c r="D145" i="54"/>
  <c r="H192" i="54"/>
  <c r="E178" i="54"/>
  <c r="D179" i="54"/>
  <c r="F186" i="54"/>
  <c r="F171" i="54"/>
  <c r="E194" i="54"/>
  <c r="F174" i="54"/>
  <c r="E184" i="54"/>
  <c r="E175" i="54"/>
  <c r="G181" i="54"/>
  <c r="F172" i="54"/>
  <c r="E173" i="54"/>
  <c r="F185" i="54"/>
  <c r="E191" i="54"/>
  <c r="E195" i="54"/>
  <c r="E187" i="54"/>
  <c r="F170" i="54"/>
  <c r="E180" i="54"/>
  <c r="E193" i="54"/>
  <c r="F196" i="54"/>
  <c r="H251" i="54"/>
  <c r="K247" i="54"/>
  <c r="L247" i="54" s="1"/>
  <c r="M247" i="54" s="1"/>
  <c r="N247" i="54" s="1"/>
  <c r="O247" i="54" s="1"/>
  <c r="P247" i="54" s="1"/>
  <c r="Q247" i="54" s="1"/>
  <c r="R247" i="54" s="1"/>
  <c r="Q251" i="54"/>
  <c r="N145" i="53"/>
  <c r="D92" i="53"/>
  <c r="D93" i="53" s="1"/>
  <c r="E90" i="53"/>
  <c r="F90" i="53" s="1"/>
  <c r="E85" i="53"/>
  <c r="E86" i="53" s="1"/>
  <c r="I64" i="33"/>
  <c r="Z1" i="53"/>
  <c r="Z50" i="53" s="1"/>
  <c r="Y51" i="53"/>
  <c r="N50" i="53"/>
  <c r="Y50" i="53"/>
  <c r="X50" i="53"/>
  <c r="AG52" i="53"/>
  <c r="D50" i="53"/>
  <c r="X51" i="53"/>
  <c r="G91" i="53"/>
  <c r="C97" i="53"/>
  <c r="C95" i="53"/>
  <c r="C127" i="53"/>
  <c r="F123" i="53"/>
  <c r="G174" i="53"/>
  <c r="E175" i="53"/>
  <c r="E178" i="53"/>
  <c r="E170" i="53"/>
  <c r="F172" i="53"/>
  <c r="D179" i="53"/>
  <c r="E185" i="53"/>
  <c r="F171" i="53"/>
  <c r="F186" i="53"/>
  <c r="G173" i="53"/>
  <c r="G191" i="53"/>
  <c r="F187" i="53"/>
  <c r="E180" i="53"/>
  <c r="E192" i="53"/>
  <c r="E193" i="53"/>
  <c r="F195" i="53"/>
  <c r="E196" i="53"/>
  <c r="G181" i="53"/>
  <c r="E184" i="53"/>
  <c r="G194" i="53"/>
  <c r="AJ42" i="51"/>
  <c r="AJ45" i="51" s="1"/>
  <c r="AN42" i="51"/>
  <c r="AR42" i="51"/>
  <c r="AV42" i="51"/>
  <c r="BA42" i="51"/>
  <c r="D42" i="51"/>
  <c r="D45" i="51" s="1"/>
  <c r="AX40" i="51"/>
  <c r="AX42" i="51" s="1"/>
  <c r="AL40" i="51"/>
  <c r="AL42" i="51" s="1"/>
  <c r="BB40" i="51"/>
  <c r="BB42" i="51" s="1"/>
  <c r="H42" i="51"/>
  <c r="BN40" i="51"/>
  <c r="BN42" i="51" s="1"/>
  <c r="AP40" i="51"/>
  <c r="AP42" i="51" s="1"/>
  <c r="BF40" i="51"/>
  <c r="BF42" i="51" s="1"/>
  <c r="L42" i="51"/>
  <c r="AT40" i="51"/>
  <c r="AT42" i="51" s="1"/>
  <c r="BJ40" i="51"/>
  <c r="BJ42" i="51" s="1"/>
  <c r="P42" i="51"/>
  <c r="F3" i="51"/>
  <c r="G3" i="51" s="1"/>
  <c r="AK40" i="51"/>
  <c r="AK42" i="51" s="1"/>
  <c r="E42" i="51"/>
  <c r="AO40" i="51"/>
  <c r="AO42" i="51" s="1"/>
  <c r="I42" i="51"/>
  <c r="AS40" i="51"/>
  <c r="AS42" i="51" s="1"/>
  <c r="M42" i="51"/>
  <c r="AW40" i="51"/>
  <c r="AW42" i="51" s="1"/>
  <c r="Q42" i="51"/>
  <c r="Y42" i="51"/>
  <c r="BE40" i="51"/>
  <c r="BE42" i="51" s="1"/>
  <c r="AC42" i="51"/>
  <c r="BI40" i="51"/>
  <c r="BI42" i="51" s="1"/>
  <c r="AG42" i="51"/>
  <c r="BM40" i="51"/>
  <c r="BM42" i="51" s="1"/>
  <c r="U42" i="51"/>
  <c r="AM40" i="51"/>
  <c r="AM42" i="51" s="1"/>
  <c r="AQ40" i="51"/>
  <c r="AQ42" i="51" s="1"/>
  <c r="AU40" i="51"/>
  <c r="AU42" i="51" s="1"/>
  <c r="AY40" i="51"/>
  <c r="AY42" i="51" s="1"/>
  <c r="BC40" i="51"/>
  <c r="BC42" i="51" s="1"/>
  <c r="BG40" i="51"/>
  <c r="BG42" i="51" s="1"/>
  <c r="BK40" i="51"/>
  <c r="BK42" i="51" s="1"/>
  <c r="AZ40" i="51"/>
  <c r="AZ42" i="51" s="1"/>
  <c r="BD40" i="51"/>
  <c r="BD42" i="51" s="1"/>
  <c r="BH40" i="51"/>
  <c r="BH42" i="51" s="1"/>
  <c r="BL40" i="51"/>
  <c r="BL42" i="51" s="1"/>
  <c r="I8" i="49"/>
  <c r="I9" i="49" s="1"/>
  <c r="E16" i="60" l="1"/>
  <c r="BQ165" i="55"/>
  <c r="BR165" i="55" s="1"/>
  <c r="BS165" i="55" s="1"/>
  <c r="BT165" i="55" s="1"/>
  <c r="BU165" i="55" s="1"/>
  <c r="BV165" i="55" s="1"/>
  <c r="BW165" i="55" s="1"/>
  <c r="BX165" i="55" s="1"/>
  <c r="BY165" i="55" s="1"/>
  <c r="BZ165" i="55" s="1"/>
  <c r="CA165" i="55" s="1"/>
  <c r="CB165" i="55" s="1"/>
  <c r="CC165" i="55" s="1"/>
  <c r="CD165" i="55" s="1"/>
  <c r="CE165" i="55" s="1"/>
  <c r="CF165" i="55" s="1"/>
  <c r="CG165" i="55" s="1"/>
  <c r="CH165" i="55" s="1"/>
  <c r="CI165" i="55" s="1"/>
  <c r="CJ165" i="55" s="1"/>
  <c r="CK165" i="55" s="1"/>
  <c r="CL165" i="55" s="1"/>
  <c r="CM165" i="55" s="1"/>
  <c r="CN165" i="55" s="1"/>
  <c r="CO165" i="55" s="1"/>
  <c r="CP165" i="55" s="1"/>
  <c r="CQ165" i="55" s="1"/>
  <c r="CR165" i="55" s="1"/>
  <c r="CS165" i="55" s="1"/>
  <c r="BX75" i="59"/>
  <c r="BZ2" i="59"/>
  <c r="BY68" i="59"/>
  <c r="BY69" i="59"/>
  <c r="BY61" i="59"/>
  <c r="BY70" i="59"/>
  <c r="BY62" i="59"/>
  <c r="BY64" i="59"/>
  <c r="BY73" i="59"/>
  <c r="BY65" i="59"/>
  <c r="BY66" i="59"/>
  <c r="BY67" i="59"/>
  <c r="BY72" i="59"/>
  <c r="BY63" i="59"/>
  <c r="BY74" i="59"/>
  <c r="BY71" i="59"/>
  <c r="AO140" i="55"/>
  <c r="DA140" i="55" s="1"/>
  <c r="J140" i="55"/>
  <c r="AN143" i="55"/>
  <c r="CZ143" i="55" s="1"/>
  <c r="I143" i="55"/>
  <c r="H145" i="55"/>
  <c r="AM145" i="55"/>
  <c r="AN144" i="55"/>
  <c r="I144" i="55"/>
  <c r="AN139" i="55"/>
  <c r="CZ139" i="55" s="1"/>
  <c r="I139" i="55"/>
  <c r="M146" i="55"/>
  <c r="AR146" i="55"/>
  <c r="AQ147" i="55"/>
  <c r="L147" i="55"/>
  <c r="M170" i="55"/>
  <c r="AR170" i="55"/>
  <c r="AM166" i="55"/>
  <c r="CY166" i="55" s="1"/>
  <c r="H166" i="55"/>
  <c r="I163" i="55"/>
  <c r="AN163" i="55"/>
  <c r="CZ163" i="55" s="1"/>
  <c r="BS162" i="55"/>
  <c r="K169" i="55"/>
  <c r="AP169" i="55"/>
  <c r="H162" i="55"/>
  <c r="AM162" i="55"/>
  <c r="CY162" i="55" s="1"/>
  <c r="AL168" i="55"/>
  <c r="G168" i="55"/>
  <c r="H167" i="55"/>
  <c r="AM167" i="55"/>
  <c r="H164" i="55"/>
  <c r="AM164" i="55"/>
  <c r="CY164" i="55" s="1"/>
  <c r="H165" i="55"/>
  <c r="AM165" i="55"/>
  <c r="CY165" i="55" s="1"/>
  <c r="K124" i="55"/>
  <c r="AP124" i="55"/>
  <c r="AM97" i="55"/>
  <c r="CY97" i="55" s="1"/>
  <c r="H97" i="55"/>
  <c r="H116" i="55"/>
  <c r="AM116" i="55"/>
  <c r="CY116" i="55" s="1"/>
  <c r="G99" i="55"/>
  <c r="AL99" i="55"/>
  <c r="AL119" i="55"/>
  <c r="CX119" i="55" s="1"/>
  <c r="G119" i="55"/>
  <c r="AM74" i="55"/>
  <c r="CY74" i="55" s="1"/>
  <c r="H74" i="55"/>
  <c r="H93" i="55"/>
  <c r="AM93" i="55"/>
  <c r="CY93" i="55" s="1"/>
  <c r="H98" i="55"/>
  <c r="AM98" i="55"/>
  <c r="AM75" i="55"/>
  <c r="H75" i="55"/>
  <c r="BR116" i="55"/>
  <c r="AM121" i="55"/>
  <c r="H121" i="55"/>
  <c r="AM122" i="55"/>
  <c r="H122" i="55"/>
  <c r="AN117" i="55"/>
  <c r="CZ117" i="55" s="1"/>
  <c r="I117" i="55"/>
  <c r="BS93" i="55"/>
  <c r="H120" i="55"/>
  <c r="AM120" i="55"/>
  <c r="CY120" i="55" s="1"/>
  <c r="BS70" i="55"/>
  <c r="AP123" i="55"/>
  <c r="K123" i="55"/>
  <c r="H70" i="55"/>
  <c r="AM70" i="55"/>
  <c r="CY70" i="55" s="1"/>
  <c r="H118" i="55"/>
  <c r="AM118" i="55"/>
  <c r="CY118" i="55" s="1"/>
  <c r="I94" i="55"/>
  <c r="AN94" i="55"/>
  <c r="CZ94" i="55" s="1"/>
  <c r="AN71" i="55"/>
  <c r="CZ71" i="55" s="1"/>
  <c r="I71" i="55"/>
  <c r="G76" i="55"/>
  <c r="AL76" i="55"/>
  <c r="AP101" i="55"/>
  <c r="K101" i="55"/>
  <c r="L100" i="55"/>
  <c r="AQ100" i="55"/>
  <c r="BU97" i="55"/>
  <c r="L77" i="55"/>
  <c r="AQ77" i="55"/>
  <c r="AP78" i="55"/>
  <c r="K78" i="55"/>
  <c r="AL50" i="55"/>
  <c r="CX50" i="55" s="1"/>
  <c r="G50" i="55"/>
  <c r="I48" i="55"/>
  <c r="AN48" i="55"/>
  <c r="CZ48" i="55" s="1"/>
  <c r="AM49" i="55"/>
  <c r="CY49" i="55" s="1"/>
  <c r="H49" i="55"/>
  <c r="AM47" i="55"/>
  <c r="CY47" i="55" s="1"/>
  <c r="H47" i="55"/>
  <c r="H51" i="55"/>
  <c r="AM51" i="55"/>
  <c r="CY51" i="55" s="1"/>
  <c r="AM53" i="55"/>
  <c r="H53" i="55"/>
  <c r="AM52" i="55"/>
  <c r="H52" i="55"/>
  <c r="L55" i="55"/>
  <c r="AQ55" i="55"/>
  <c r="L54" i="55"/>
  <c r="AQ54" i="55"/>
  <c r="I28" i="55"/>
  <c r="AN28" i="55"/>
  <c r="CZ28" i="55" s="1"/>
  <c r="H30" i="55"/>
  <c r="AM30" i="55"/>
  <c r="I29" i="55"/>
  <c r="AN29" i="55"/>
  <c r="J31" i="55"/>
  <c r="AO31" i="55"/>
  <c r="BT24" i="55"/>
  <c r="J25" i="55"/>
  <c r="AO25" i="55"/>
  <c r="DA25" i="55" s="1"/>
  <c r="J32" i="55"/>
  <c r="AO32" i="55"/>
  <c r="I24" i="55"/>
  <c r="AO24" i="55" s="1"/>
  <c r="DA24" i="55" s="1"/>
  <c r="H204" i="55"/>
  <c r="H205" i="55" s="1"/>
  <c r="I3" i="55"/>
  <c r="P118" i="54"/>
  <c r="P132" i="54" s="1"/>
  <c r="P135" i="54" s="1"/>
  <c r="O132" i="54"/>
  <c r="O135" i="54" s="1"/>
  <c r="E93" i="54"/>
  <c r="C259" i="53"/>
  <c r="O51" i="53"/>
  <c r="O52" i="53" s="1"/>
  <c r="O49" i="53" s="1"/>
  <c r="F50" i="53"/>
  <c r="E50" i="53"/>
  <c r="F51" i="53"/>
  <c r="F52" i="53" s="1"/>
  <c r="F49" i="53" s="1"/>
  <c r="O145" i="53"/>
  <c r="P1" i="53"/>
  <c r="P145" i="53" s="1"/>
  <c r="E51" i="53"/>
  <c r="E92" i="53"/>
  <c r="E93" i="53" s="1"/>
  <c r="H247" i="53"/>
  <c r="I247" i="53" s="1"/>
  <c r="F118" i="53"/>
  <c r="F119" i="53" s="1"/>
  <c r="D125" i="53"/>
  <c r="E125" i="53"/>
  <c r="F85" i="53"/>
  <c r="F86" i="53" s="1"/>
  <c r="N148" i="54"/>
  <c r="N144" i="54"/>
  <c r="I251" i="54"/>
  <c r="F191" i="54"/>
  <c r="H181" i="54"/>
  <c r="G174" i="54"/>
  <c r="C105" i="54"/>
  <c r="Y145" i="54"/>
  <c r="Y154" i="54"/>
  <c r="Y117" i="54"/>
  <c r="Y84" i="54"/>
  <c r="Y51" i="54"/>
  <c r="Y50" i="54"/>
  <c r="Z1" i="54"/>
  <c r="O83" i="54"/>
  <c r="F184" i="54"/>
  <c r="F193" i="54"/>
  <c r="G186" i="54"/>
  <c r="O52" i="54"/>
  <c r="O49" i="54" s="1"/>
  <c r="D52" i="54"/>
  <c r="D49" i="54" s="1"/>
  <c r="O144" i="54"/>
  <c r="O148" i="54"/>
  <c r="W128" i="54"/>
  <c r="X124" i="54"/>
  <c r="Y124" i="54" s="1"/>
  <c r="Z124" i="54" s="1"/>
  <c r="AA124" i="54" s="1"/>
  <c r="AB124" i="54" s="1"/>
  <c r="AC124" i="54" s="1"/>
  <c r="AD124" i="54" s="1"/>
  <c r="AE124" i="54" s="1"/>
  <c r="AF124" i="54" s="1"/>
  <c r="AG124" i="54" s="1"/>
  <c r="AG128" i="54" s="1"/>
  <c r="P154" i="54"/>
  <c r="P145" i="54"/>
  <c r="P117" i="54"/>
  <c r="P84" i="54"/>
  <c r="P51" i="54"/>
  <c r="P50" i="54"/>
  <c r="Q1" i="54"/>
  <c r="O116" i="54"/>
  <c r="O121" i="54"/>
  <c r="O128" i="54" s="1"/>
  <c r="O120" i="54"/>
  <c r="D88" i="54"/>
  <c r="D83" i="54"/>
  <c r="D87" i="54"/>
  <c r="D100" i="54" s="1"/>
  <c r="F187" i="54"/>
  <c r="R251" i="54"/>
  <c r="C259" i="54"/>
  <c r="G170" i="54"/>
  <c r="G185" i="54"/>
  <c r="F175" i="54"/>
  <c r="F194" i="54"/>
  <c r="E179" i="54"/>
  <c r="F178" i="54"/>
  <c r="H123" i="54"/>
  <c r="G125" i="54"/>
  <c r="G92" i="54"/>
  <c r="G90" i="54"/>
  <c r="F93" i="54"/>
  <c r="X52" i="54"/>
  <c r="X49" i="54" s="1"/>
  <c r="O153" i="54"/>
  <c r="D121" i="54"/>
  <c r="D116" i="54"/>
  <c r="D120" i="54"/>
  <c r="G171" i="54"/>
  <c r="G172" i="54"/>
  <c r="D148" i="54"/>
  <c r="D144" i="54"/>
  <c r="X147" i="54"/>
  <c r="Y147" i="54" s="1"/>
  <c r="Z147" i="54" s="1"/>
  <c r="AA147" i="54" s="1"/>
  <c r="AB147" i="54" s="1"/>
  <c r="AC147" i="54" s="1"/>
  <c r="AD147" i="54" s="1"/>
  <c r="AE147" i="54" s="1"/>
  <c r="AF147" i="54" s="1"/>
  <c r="W148" i="54"/>
  <c r="Q118" i="54"/>
  <c r="F85" i="54"/>
  <c r="E86" i="54"/>
  <c r="G91" i="54"/>
  <c r="X83" i="54"/>
  <c r="N52" i="54"/>
  <c r="N49" i="54" s="1"/>
  <c r="D153" i="54"/>
  <c r="E132" i="54"/>
  <c r="E135" i="54" s="1"/>
  <c r="E119" i="54"/>
  <c r="F118" i="54"/>
  <c r="X116" i="54"/>
  <c r="X121" i="54"/>
  <c r="X120" i="54"/>
  <c r="N83" i="54"/>
  <c r="F180" i="54"/>
  <c r="X144" i="54"/>
  <c r="F173" i="54"/>
  <c r="I192" i="54"/>
  <c r="Y119" i="54"/>
  <c r="Z118" i="54"/>
  <c r="Y132" i="54"/>
  <c r="Y135" i="54" s="1"/>
  <c r="C103" i="54"/>
  <c r="C104" i="54"/>
  <c r="N116" i="54"/>
  <c r="N121" i="54"/>
  <c r="N128" i="54" s="1"/>
  <c r="N120" i="54"/>
  <c r="S247" i="54"/>
  <c r="G196" i="54"/>
  <c r="F195" i="54"/>
  <c r="X153" i="54"/>
  <c r="N153" i="54"/>
  <c r="E154" i="54"/>
  <c r="E145" i="54"/>
  <c r="E117" i="54"/>
  <c r="E84" i="54"/>
  <c r="E50" i="54"/>
  <c r="E51" i="54"/>
  <c r="F1" i="54"/>
  <c r="AG259" i="53"/>
  <c r="G85" i="53"/>
  <c r="H85" i="53" s="1"/>
  <c r="M116" i="53"/>
  <c r="G145" i="53"/>
  <c r="X117" i="53"/>
  <c r="W83" i="53"/>
  <c r="F185" i="53"/>
  <c r="F193" i="53"/>
  <c r="D52" i="53"/>
  <c r="D49" i="53" s="1"/>
  <c r="AG49" i="53"/>
  <c r="G187" i="53"/>
  <c r="F175" i="53"/>
  <c r="G90" i="53"/>
  <c r="F196" i="53"/>
  <c r="H194" i="53"/>
  <c r="F125" i="53"/>
  <c r="G123" i="53"/>
  <c r="X52" i="53"/>
  <c r="X49" i="53" s="1"/>
  <c r="Y52" i="53"/>
  <c r="Y49" i="53" s="1"/>
  <c r="H191" i="53"/>
  <c r="H174" i="53"/>
  <c r="F184" i="53"/>
  <c r="F170" i="53"/>
  <c r="Y154" i="53"/>
  <c r="W153" i="53"/>
  <c r="Z154" i="53"/>
  <c r="X154" i="53"/>
  <c r="G50" i="53"/>
  <c r="H1" i="53"/>
  <c r="G51" i="53"/>
  <c r="G172" i="53"/>
  <c r="F192" i="53"/>
  <c r="G171" i="53"/>
  <c r="N52" i="53"/>
  <c r="N49" i="53" s="1"/>
  <c r="G195" i="53"/>
  <c r="G186" i="53"/>
  <c r="H181" i="53"/>
  <c r="F180" i="53"/>
  <c r="H173" i="53"/>
  <c r="E179" i="53"/>
  <c r="F178" i="53"/>
  <c r="H91" i="53"/>
  <c r="Z51" i="53"/>
  <c r="Z52" i="53" s="1"/>
  <c r="Z49" i="53" s="1"/>
  <c r="AA1" i="53"/>
  <c r="AA154" i="53" s="1"/>
  <c r="E45" i="51"/>
  <c r="H3" i="51"/>
  <c r="P119" i="54" l="1"/>
  <c r="BY75" i="59"/>
  <c r="CA2" i="59"/>
  <c r="BZ69" i="59"/>
  <c r="BZ61" i="59"/>
  <c r="BZ70" i="59"/>
  <c r="BZ62" i="59"/>
  <c r="BZ64" i="59"/>
  <c r="BZ73" i="59"/>
  <c r="BZ65" i="59"/>
  <c r="BZ66" i="59"/>
  <c r="BZ67" i="59"/>
  <c r="BZ68" i="59"/>
  <c r="BZ63" i="59"/>
  <c r="BZ74" i="59"/>
  <c r="BZ72" i="59"/>
  <c r="BZ71" i="59"/>
  <c r="AN145" i="55"/>
  <c r="I145" i="55"/>
  <c r="AO143" i="55"/>
  <c r="DA143" i="55" s="1"/>
  <c r="J143" i="55"/>
  <c r="AO139" i="55"/>
  <c r="DA139" i="55" s="1"/>
  <c r="J139" i="55"/>
  <c r="AP140" i="55"/>
  <c r="DB140" i="55" s="1"/>
  <c r="K140" i="55"/>
  <c r="AO144" i="55"/>
  <c r="J144" i="55"/>
  <c r="AR147" i="55"/>
  <c r="M147" i="55"/>
  <c r="N146" i="55"/>
  <c r="AS146" i="55"/>
  <c r="I164" i="55"/>
  <c r="AN164" i="55"/>
  <c r="CZ164" i="55" s="1"/>
  <c r="BT162" i="55"/>
  <c r="I162" i="55"/>
  <c r="AN162" i="55"/>
  <c r="CZ162" i="55" s="1"/>
  <c r="J163" i="55"/>
  <c r="AO163" i="55"/>
  <c r="DA163" i="55" s="1"/>
  <c r="AN166" i="55"/>
  <c r="CZ166" i="55" s="1"/>
  <c r="I166" i="55"/>
  <c r="AN167" i="55"/>
  <c r="I167" i="55"/>
  <c r="I165" i="55"/>
  <c r="AN165" i="55"/>
  <c r="CZ165" i="55" s="1"/>
  <c r="AM168" i="55"/>
  <c r="H168" i="55"/>
  <c r="L169" i="55"/>
  <c r="AQ169" i="55"/>
  <c r="N170" i="55"/>
  <c r="AS170" i="55"/>
  <c r="AQ124" i="55"/>
  <c r="L124" i="55"/>
  <c r="H99" i="55"/>
  <c r="AM99" i="55"/>
  <c r="I70" i="55"/>
  <c r="AN70" i="55"/>
  <c r="CZ70" i="55" s="1"/>
  <c r="AQ123" i="55"/>
  <c r="L123" i="55"/>
  <c r="J117" i="55"/>
  <c r="AO117" i="55"/>
  <c r="DA117" i="55" s="1"/>
  <c r="AN121" i="55"/>
  <c r="I121" i="55"/>
  <c r="AN98" i="55"/>
  <c r="I98" i="55"/>
  <c r="I74" i="55"/>
  <c r="AN74" i="55"/>
  <c r="CZ74" i="55" s="1"/>
  <c r="I97" i="55"/>
  <c r="AN97" i="55"/>
  <c r="CZ97" i="55" s="1"/>
  <c r="AO94" i="55"/>
  <c r="DA94" i="55" s="1"/>
  <c r="J94" i="55"/>
  <c r="BT70" i="55"/>
  <c r="H119" i="55"/>
  <c r="AM119" i="55"/>
  <c r="CY119" i="55" s="1"/>
  <c r="AN120" i="55"/>
  <c r="CZ120" i="55" s="1"/>
  <c r="I120" i="55"/>
  <c r="BS116" i="55"/>
  <c r="AM76" i="55"/>
  <c r="H76" i="55"/>
  <c r="I118" i="55"/>
  <c r="AN118" i="55"/>
  <c r="CZ118" i="55" s="1"/>
  <c r="I122" i="55"/>
  <c r="AN122" i="55"/>
  <c r="I75" i="55"/>
  <c r="AN75" i="55"/>
  <c r="I93" i="55"/>
  <c r="AN93" i="55"/>
  <c r="CZ93" i="55" s="1"/>
  <c r="AO71" i="55"/>
  <c r="DA71" i="55" s="1"/>
  <c r="J71" i="55"/>
  <c r="BT93" i="55"/>
  <c r="AN116" i="55"/>
  <c r="CZ116" i="55" s="1"/>
  <c r="I116" i="55"/>
  <c r="BV97" i="55"/>
  <c r="M100" i="55"/>
  <c r="AR100" i="55"/>
  <c r="AQ101" i="55"/>
  <c r="L101" i="55"/>
  <c r="AQ78" i="55"/>
  <c r="L78" i="55"/>
  <c r="M77" i="55"/>
  <c r="AR77" i="55"/>
  <c r="I47" i="55"/>
  <c r="AN47" i="55"/>
  <c r="CZ47" i="55" s="1"/>
  <c r="H50" i="55"/>
  <c r="AM50" i="55"/>
  <c r="CY50" i="55" s="1"/>
  <c r="I51" i="55"/>
  <c r="AN51" i="55"/>
  <c r="CZ51" i="55" s="1"/>
  <c r="J48" i="55"/>
  <c r="AO48" i="55"/>
  <c r="DA48" i="55" s="1"/>
  <c r="AN52" i="55"/>
  <c r="I52" i="55"/>
  <c r="I49" i="55"/>
  <c r="AN49" i="55"/>
  <c r="CZ49" i="55" s="1"/>
  <c r="I53" i="55"/>
  <c r="AN53" i="55"/>
  <c r="M55" i="55"/>
  <c r="AR55" i="55"/>
  <c r="M54" i="55"/>
  <c r="AR54" i="55"/>
  <c r="BU24" i="55"/>
  <c r="I30" i="55"/>
  <c r="AN30" i="55"/>
  <c r="J28" i="55"/>
  <c r="AO28" i="55"/>
  <c r="DA28" i="55" s="1"/>
  <c r="K31" i="55"/>
  <c r="AP31" i="55"/>
  <c r="K25" i="55"/>
  <c r="AP25" i="55"/>
  <c r="DB25" i="55" s="1"/>
  <c r="J29" i="55"/>
  <c r="AO29" i="55"/>
  <c r="K32" i="55"/>
  <c r="AP32" i="55"/>
  <c r="J24" i="55"/>
  <c r="AP24" i="55" s="1"/>
  <c r="DB24" i="55" s="1"/>
  <c r="I204" i="55"/>
  <c r="I205" i="55" s="1"/>
  <c r="J3" i="55"/>
  <c r="X128" i="54"/>
  <c r="F92" i="53"/>
  <c r="G92" i="53" s="1"/>
  <c r="G93" i="53" s="1"/>
  <c r="G118" i="53"/>
  <c r="H118" i="53" s="1"/>
  <c r="P154" i="53"/>
  <c r="P153" i="53" s="1"/>
  <c r="E52" i="53"/>
  <c r="E49" i="53" s="1"/>
  <c r="Q1" i="53"/>
  <c r="Q145" i="53" s="1"/>
  <c r="Q144" i="53" s="1"/>
  <c r="P50" i="53"/>
  <c r="P51" i="53"/>
  <c r="J247" i="53"/>
  <c r="G175" i="54"/>
  <c r="Z154" i="54"/>
  <c r="Z145" i="54"/>
  <c r="Z117" i="54"/>
  <c r="Z84" i="54"/>
  <c r="Z51" i="54"/>
  <c r="Z50" i="54"/>
  <c r="AA1" i="54"/>
  <c r="F154" i="54"/>
  <c r="F117" i="54"/>
  <c r="F84" i="54"/>
  <c r="F51" i="54"/>
  <c r="F50" i="54"/>
  <c r="G1" i="54"/>
  <c r="F145" i="54"/>
  <c r="G195" i="54"/>
  <c r="G173" i="54"/>
  <c r="Y52" i="54"/>
  <c r="Y49" i="54" s="1"/>
  <c r="D131" i="54"/>
  <c r="D134" i="54"/>
  <c r="X134" i="54"/>
  <c r="X131" i="54"/>
  <c r="H91" i="54"/>
  <c r="H172" i="54"/>
  <c r="D127" i="54"/>
  <c r="D128" i="54"/>
  <c r="F179" i="54"/>
  <c r="G178" i="54"/>
  <c r="H185" i="54"/>
  <c r="G187" i="54"/>
  <c r="Q154" i="54"/>
  <c r="Q117" i="54"/>
  <c r="Q84" i="54"/>
  <c r="Q51" i="54"/>
  <c r="R1" i="54"/>
  <c r="Q50" i="54"/>
  <c r="Q145" i="54"/>
  <c r="G184" i="54"/>
  <c r="E153" i="54"/>
  <c r="H125" i="54"/>
  <c r="I123" i="54"/>
  <c r="G193" i="54"/>
  <c r="P52" i="54"/>
  <c r="P49" i="54" s="1"/>
  <c r="AG258" i="54"/>
  <c r="AG259" i="54"/>
  <c r="Y83" i="54"/>
  <c r="J251" i="54"/>
  <c r="O134" i="54"/>
  <c r="O131" i="54"/>
  <c r="G191" i="54"/>
  <c r="E87" i="54"/>
  <c r="E100" i="54" s="1"/>
  <c r="E83" i="54"/>
  <c r="E88" i="54"/>
  <c r="Q119" i="54"/>
  <c r="Q132" i="54"/>
  <c r="Q135" i="54" s="1"/>
  <c r="R118" i="54"/>
  <c r="H171" i="54"/>
  <c r="H170" i="54"/>
  <c r="Y120" i="54"/>
  <c r="Y116" i="54"/>
  <c r="Y121" i="54"/>
  <c r="Y128" i="54" s="1"/>
  <c r="H174" i="54"/>
  <c r="N134" i="54"/>
  <c r="N131" i="54"/>
  <c r="P148" i="54"/>
  <c r="P144" i="54"/>
  <c r="H92" i="54"/>
  <c r="S251" i="54"/>
  <c r="P153" i="54"/>
  <c r="E52" i="54"/>
  <c r="E49" i="54" s="1"/>
  <c r="H196" i="54"/>
  <c r="E116" i="54"/>
  <c r="E121" i="54"/>
  <c r="E120" i="54"/>
  <c r="Z119" i="54"/>
  <c r="Z132" i="54"/>
  <c r="Z135" i="54" s="1"/>
  <c r="AA118" i="54"/>
  <c r="X148" i="54"/>
  <c r="G180" i="54"/>
  <c r="F119" i="54"/>
  <c r="G118" i="54"/>
  <c r="F132" i="54"/>
  <c r="F135" i="54" s="1"/>
  <c r="F86" i="54"/>
  <c r="G85" i="54"/>
  <c r="P83" i="54"/>
  <c r="Y153" i="54"/>
  <c r="J192" i="54"/>
  <c r="E144" i="54"/>
  <c r="E148" i="54"/>
  <c r="T247" i="54"/>
  <c r="H90" i="54"/>
  <c r="G93" i="54"/>
  <c r="G194" i="54"/>
  <c r="D96" i="54"/>
  <c r="D95" i="54"/>
  <c r="D97" i="54"/>
  <c r="D101" i="54"/>
  <c r="D102" i="54" s="1"/>
  <c r="P116" i="54"/>
  <c r="P121" i="54"/>
  <c r="P128" i="54" s="1"/>
  <c r="P120" i="54"/>
  <c r="H186" i="54"/>
  <c r="Y148" i="54"/>
  <c r="Y144" i="54"/>
  <c r="I181" i="54"/>
  <c r="E145" i="53"/>
  <c r="E144" i="53" s="1"/>
  <c r="Y117" i="53"/>
  <c r="Y116" i="53" s="1"/>
  <c r="G86" i="53"/>
  <c r="D145" i="53"/>
  <c r="D144" i="53" s="1"/>
  <c r="M144" i="53"/>
  <c r="G117" i="53"/>
  <c r="G120" i="53" s="1"/>
  <c r="F117" i="53"/>
  <c r="F116" i="53" s="1"/>
  <c r="E117" i="53"/>
  <c r="E121" i="53" s="1"/>
  <c r="D117" i="53"/>
  <c r="D120" i="53" s="1"/>
  <c r="N117" i="53"/>
  <c r="N116" i="53" s="1"/>
  <c r="P117" i="53"/>
  <c r="P116" i="53" s="1"/>
  <c r="Z117" i="53"/>
  <c r="Z116" i="53" s="1"/>
  <c r="O117" i="53"/>
  <c r="O116" i="53" s="1"/>
  <c r="W116" i="53"/>
  <c r="F145" i="53"/>
  <c r="F144" i="53" s="1"/>
  <c r="P144" i="53"/>
  <c r="N144" i="53"/>
  <c r="X145" i="53"/>
  <c r="X144" i="53" s="1"/>
  <c r="Z145" i="53"/>
  <c r="Z144" i="53" s="1"/>
  <c r="W144" i="53"/>
  <c r="O144" i="53"/>
  <c r="Y145" i="53"/>
  <c r="Y144" i="53" s="1"/>
  <c r="Y84" i="53"/>
  <c r="Y83" i="53" s="1"/>
  <c r="F154" i="53"/>
  <c r="F153" i="53" s="1"/>
  <c r="M153" i="53"/>
  <c r="G154" i="53"/>
  <c r="G153" i="53" s="1"/>
  <c r="O154" i="53"/>
  <c r="O153" i="53" s="1"/>
  <c r="D154" i="53"/>
  <c r="D153" i="53" s="1"/>
  <c r="N154" i="53"/>
  <c r="N153" i="53" s="1"/>
  <c r="Z84" i="53"/>
  <c r="Z83" i="53" s="1"/>
  <c r="E154" i="53"/>
  <c r="E153" i="53" s="1"/>
  <c r="X84" i="53"/>
  <c r="X83" i="53" s="1"/>
  <c r="AA153" i="53"/>
  <c r="H171" i="53"/>
  <c r="Z153" i="53"/>
  <c r="I194" i="53"/>
  <c r="G144" i="53"/>
  <c r="I173" i="53"/>
  <c r="H50" i="53"/>
  <c r="H51" i="53"/>
  <c r="I1" i="53"/>
  <c r="I84" i="53" s="1"/>
  <c r="I191" i="53"/>
  <c r="G175" i="53"/>
  <c r="H186" i="53"/>
  <c r="G192" i="53"/>
  <c r="G52" i="53"/>
  <c r="G49" i="53" s="1"/>
  <c r="G184" i="53"/>
  <c r="X116" i="53"/>
  <c r="G196" i="53"/>
  <c r="H154" i="53"/>
  <c r="O84" i="53"/>
  <c r="G84" i="53"/>
  <c r="M83" i="53"/>
  <c r="F84" i="53"/>
  <c r="N84" i="53"/>
  <c r="H84" i="53"/>
  <c r="E84" i="53"/>
  <c r="P84" i="53"/>
  <c r="D84" i="53"/>
  <c r="G193" i="53"/>
  <c r="G180" i="53"/>
  <c r="H187" i="53"/>
  <c r="G119" i="53"/>
  <c r="AB1" i="53"/>
  <c r="AA51" i="53"/>
  <c r="AA50" i="53"/>
  <c r="H195" i="53"/>
  <c r="H123" i="53"/>
  <c r="G125" i="53"/>
  <c r="H90" i="53"/>
  <c r="G185" i="53"/>
  <c r="F179" i="53"/>
  <c r="G178" i="53"/>
  <c r="I181" i="53"/>
  <c r="AA145" i="53"/>
  <c r="Y153" i="53"/>
  <c r="H145" i="53"/>
  <c r="I91" i="53"/>
  <c r="AA117" i="53"/>
  <c r="AA84" i="53"/>
  <c r="H172" i="53"/>
  <c r="X153" i="53"/>
  <c r="G170" i="53"/>
  <c r="I174" i="53"/>
  <c r="H86" i="53"/>
  <c r="I85" i="53"/>
  <c r="H117" i="53"/>
  <c r="AK45" i="51"/>
  <c r="I3" i="51"/>
  <c r="F45" i="51"/>
  <c r="T6" i="49"/>
  <c r="T5" i="49"/>
  <c r="T4" i="49"/>
  <c r="D12" i="49"/>
  <c r="CB2" i="59" l="1"/>
  <c r="CA70" i="59"/>
  <c r="CA62" i="59"/>
  <c r="CA64" i="59"/>
  <c r="CA73" i="59"/>
  <c r="CA65" i="59"/>
  <c r="CA66" i="59"/>
  <c r="CA67" i="59"/>
  <c r="CA68" i="59"/>
  <c r="CA61" i="59"/>
  <c r="CA69" i="59"/>
  <c r="CA72" i="59"/>
  <c r="CA63" i="59"/>
  <c r="CA74" i="59"/>
  <c r="CA71" i="59"/>
  <c r="BZ75" i="59"/>
  <c r="AQ140" i="55"/>
  <c r="DC140" i="55" s="1"/>
  <c r="L140" i="55"/>
  <c r="K139" i="55"/>
  <c r="AP139" i="55"/>
  <c r="DB139" i="55" s="1"/>
  <c r="K143" i="55"/>
  <c r="AP143" i="55"/>
  <c r="DB143" i="55" s="1"/>
  <c r="K144" i="55"/>
  <c r="AP144" i="55"/>
  <c r="AO145" i="55"/>
  <c r="J145" i="55"/>
  <c r="AS147" i="55"/>
  <c r="N147" i="55"/>
  <c r="AT146" i="55"/>
  <c r="O146" i="55"/>
  <c r="M169" i="55"/>
  <c r="AR169" i="55"/>
  <c r="AO164" i="55"/>
  <c r="DA164" i="55" s="1"/>
  <c r="J164" i="55"/>
  <c r="I168" i="55"/>
  <c r="AN168" i="55"/>
  <c r="AO166" i="55"/>
  <c r="DA166" i="55" s="1"/>
  <c r="J166" i="55"/>
  <c r="J162" i="55"/>
  <c r="AO162" i="55"/>
  <c r="DA162" i="55" s="1"/>
  <c r="J167" i="55"/>
  <c r="AO167" i="55"/>
  <c r="BU162" i="55"/>
  <c r="J165" i="55"/>
  <c r="AO165" i="55"/>
  <c r="DA165" i="55" s="1"/>
  <c r="O170" i="55"/>
  <c r="AT170" i="55"/>
  <c r="K163" i="55"/>
  <c r="AP163" i="55"/>
  <c r="DB163" i="55" s="1"/>
  <c r="AR124" i="55"/>
  <c r="M124" i="55"/>
  <c r="I99" i="55"/>
  <c r="AN99" i="55"/>
  <c r="J118" i="55"/>
  <c r="AO118" i="55"/>
  <c r="DA118" i="55" s="1"/>
  <c r="J98" i="55"/>
  <c r="AO98" i="55"/>
  <c r="K71" i="55"/>
  <c r="AP71" i="55"/>
  <c r="DB71" i="55" s="1"/>
  <c r="I76" i="55"/>
  <c r="AN76" i="55"/>
  <c r="J116" i="55"/>
  <c r="AO116" i="55"/>
  <c r="DA116" i="55" s="1"/>
  <c r="AN119" i="55"/>
  <c r="CZ119" i="55" s="1"/>
  <c r="I119" i="55"/>
  <c r="J97" i="55"/>
  <c r="AO97" i="55"/>
  <c r="DA97" i="55" s="1"/>
  <c r="AO121" i="55"/>
  <c r="J121" i="55"/>
  <c r="AO70" i="55"/>
  <c r="DA70" i="55" s="1"/>
  <c r="J70" i="55"/>
  <c r="J122" i="55"/>
  <c r="AO122" i="55"/>
  <c r="BT116" i="55"/>
  <c r="AO93" i="55"/>
  <c r="DA93" i="55" s="1"/>
  <c r="J93" i="55"/>
  <c r="AP117" i="55"/>
  <c r="DB117" i="55" s="1"/>
  <c r="K117" i="55"/>
  <c r="BU70" i="55"/>
  <c r="M123" i="55"/>
  <c r="AR123" i="55"/>
  <c r="BU93" i="55"/>
  <c r="AO75" i="55"/>
  <c r="J75" i="55"/>
  <c r="AO120" i="55"/>
  <c r="DA120" i="55" s="1"/>
  <c r="J120" i="55"/>
  <c r="K94" i="55"/>
  <c r="AP94" i="55"/>
  <c r="DB94" i="55" s="1"/>
  <c r="J74" i="55"/>
  <c r="AO74" i="55"/>
  <c r="DA74" i="55" s="1"/>
  <c r="N100" i="55"/>
  <c r="AS100" i="55"/>
  <c r="M101" i="55"/>
  <c r="AR101" i="55"/>
  <c r="BW97" i="55"/>
  <c r="N77" i="55"/>
  <c r="AS77" i="55"/>
  <c r="M78" i="55"/>
  <c r="AR78" i="55"/>
  <c r="I50" i="55"/>
  <c r="AN50" i="55"/>
  <c r="CZ50" i="55" s="1"/>
  <c r="J51" i="55"/>
  <c r="AO51" i="55"/>
  <c r="DA51" i="55" s="1"/>
  <c r="J47" i="55"/>
  <c r="AO47" i="55"/>
  <c r="DA47" i="55" s="1"/>
  <c r="J49" i="55"/>
  <c r="AO49" i="55"/>
  <c r="DA49" i="55" s="1"/>
  <c r="J53" i="55"/>
  <c r="AO53" i="55"/>
  <c r="J52" i="55"/>
  <c r="AO52" i="55"/>
  <c r="AP48" i="55"/>
  <c r="DB48" i="55" s="1"/>
  <c r="K48" i="55"/>
  <c r="AS54" i="55"/>
  <c r="N54" i="55"/>
  <c r="N55" i="55"/>
  <c r="AS55" i="55"/>
  <c r="L32" i="55"/>
  <c r="AQ32" i="55"/>
  <c r="L25" i="55"/>
  <c r="AQ25" i="55"/>
  <c r="DC25" i="55" s="1"/>
  <c r="L31" i="55"/>
  <c r="AQ31" i="55"/>
  <c r="J30" i="55"/>
  <c r="AO30" i="55"/>
  <c r="K28" i="55"/>
  <c r="AP28" i="55"/>
  <c r="DB28" i="55" s="1"/>
  <c r="BV24" i="55"/>
  <c r="K29" i="55"/>
  <c r="AP29" i="55"/>
  <c r="K24" i="55"/>
  <c r="AQ24" i="55" s="1"/>
  <c r="DC24" i="55" s="1"/>
  <c r="J204" i="55"/>
  <c r="J205" i="55" s="1"/>
  <c r="K3" i="55"/>
  <c r="P52" i="53"/>
  <c r="P49" i="53" s="1"/>
  <c r="F93" i="53"/>
  <c r="Q51" i="53"/>
  <c r="Q50" i="53"/>
  <c r="Q117" i="53"/>
  <c r="Q116" i="53" s="1"/>
  <c r="Q84" i="53"/>
  <c r="Q83" i="53" s="1"/>
  <c r="R1" i="53"/>
  <c r="R50" i="53" s="1"/>
  <c r="Q154" i="53"/>
  <c r="Q153" i="53" s="1"/>
  <c r="K247" i="53"/>
  <c r="G119" i="54"/>
  <c r="H118" i="54"/>
  <c r="G132" i="54"/>
  <c r="G135" i="54" s="1"/>
  <c r="E134" i="54"/>
  <c r="E131" i="54"/>
  <c r="H184" i="54"/>
  <c r="H187" i="54"/>
  <c r="D258" i="54"/>
  <c r="D259" i="54"/>
  <c r="F88" i="54"/>
  <c r="F83" i="54"/>
  <c r="F87" i="54"/>
  <c r="F100" i="54" s="1"/>
  <c r="Z144" i="54"/>
  <c r="Z148" i="54"/>
  <c r="H194" i="54"/>
  <c r="U247" i="54"/>
  <c r="K192" i="54"/>
  <c r="H180" i="54"/>
  <c r="E97" i="54"/>
  <c r="E96" i="54"/>
  <c r="E101" i="54"/>
  <c r="E102" i="54" s="1"/>
  <c r="E95" i="54"/>
  <c r="I125" i="54"/>
  <c r="J123" i="54"/>
  <c r="Q52" i="54"/>
  <c r="Q49" i="54" s="1"/>
  <c r="I185" i="54"/>
  <c r="I172" i="54"/>
  <c r="F153" i="54"/>
  <c r="H175" i="54"/>
  <c r="E128" i="54"/>
  <c r="E127" i="54"/>
  <c r="F116" i="54"/>
  <c r="F121" i="54"/>
  <c r="F120" i="54"/>
  <c r="P131" i="54"/>
  <c r="P134" i="54"/>
  <c r="Y134" i="54"/>
  <c r="Y131" i="54"/>
  <c r="I170" i="54"/>
  <c r="R154" i="54"/>
  <c r="R117" i="54"/>
  <c r="R84" i="54"/>
  <c r="S1" i="54"/>
  <c r="R51" i="54"/>
  <c r="R50" i="54"/>
  <c r="R145" i="54"/>
  <c r="AA154" i="54"/>
  <c r="AA145" i="54"/>
  <c r="AA117" i="54"/>
  <c r="AA84" i="54"/>
  <c r="AA51" i="54"/>
  <c r="AB1" i="54"/>
  <c r="AA50" i="54"/>
  <c r="Q144" i="54"/>
  <c r="Q148" i="54"/>
  <c r="H195" i="54"/>
  <c r="T251" i="54"/>
  <c r="N133" i="54"/>
  <c r="H178" i="54"/>
  <c r="G179" i="54"/>
  <c r="F148" i="54"/>
  <c r="F144" i="54"/>
  <c r="Z52" i="54"/>
  <c r="Z49" i="54" s="1"/>
  <c r="J181" i="54"/>
  <c r="H85" i="54"/>
  <c r="G86" i="54"/>
  <c r="AB118" i="54"/>
  <c r="AA132" i="54"/>
  <c r="AA135" i="54" s="1"/>
  <c r="AA119" i="54"/>
  <c r="I196" i="54"/>
  <c r="I171" i="54"/>
  <c r="H191" i="54"/>
  <c r="O133" i="54"/>
  <c r="Q83" i="54"/>
  <c r="I91" i="54"/>
  <c r="G154" i="54"/>
  <c r="G117" i="54"/>
  <c r="G84" i="54"/>
  <c r="G51" i="54"/>
  <c r="G50" i="54"/>
  <c r="H1" i="54"/>
  <c r="G145" i="54"/>
  <c r="I186" i="54"/>
  <c r="Z153" i="54"/>
  <c r="D105" i="54"/>
  <c r="D104" i="54"/>
  <c r="D103" i="54"/>
  <c r="Q120" i="54"/>
  <c r="Q116" i="54"/>
  <c r="Q121" i="54"/>
  <c r="Q128" i="54" s="1"/>
  <c r="X133" i="54"/>
  <c r="F52" i="54"/>
  <c r="F49" i="54" s="1"/>
  <c r="Z83" i="54"/>
  <c r="D133" i="54"/>
  <c r="I90" i="54"/>
  <c r="H93" i="54"/>
  <c r="I92" i="54"/>
  <c r="I174" i="54"/>
  <c r="S118" i="54"/>
  <c r="R119" i="54"/>
  <c r="R132" i="54"/>
  <c r="R135" i="54" s="1"/>
  <c r="K251" i="54"/>
  <c r="H193" i="54"/>
  <c r="Q153" i="54"/>
  <c r="H173" i="54"/>
  <c r="Z121" i="54"/>
  <c r="Z128" i="54" s="1"/>
  <c r="Z116" i="54"/>
  <c r="Z120" i="54"/>
  <c r="D121" i="53"/>
  <c r="D127" i="53" s="1"/>
  <c r="D116" i="53"/>
  <c r="E120" i="53"/>
  <c r="E116" i="53"/>
  <c r="F120" i="53"/>
  <c r="F121" i="53"/>
  <c r="F128" i="53" s="1"/>
  <c r="F258" i="53" s="1"/>
  <c r="G121" i="53"/>
  <c r="G127" i="53" s="1"/>
  <c r="G116" i="53"/>
  <c r="I123" i="53"/>
  <c r="H125" i="53"/>
  <c r="H193" i="53"/>
  <c r="F88" i="53"/>
  <c r="F87" i="53"/>
  <c r="F83" i="53"/>
  <c r="I83" i="53"/>
  <c r="I87" i="53"/>
  <c r="J191" i="53"/>
  <c r="H144" i="53"/>
  <c r="AC1" i="53"/>
  <c r="AB50" i="53"/>
  <c r="AB51" i="53"/>
  <c r="AB117" i="53"/>
  <c r="AB154" i="53"/>
  <c r="AB84" i="53"/>
  <c r="AB145" i="53"/>
  <c r="J174" i="53"/>
  <c r="H119" i="53"/>
  <c r="H121" i="53" s="1"/>
  <c r="H128" i="53" s="1"/>
  <c r="I118" i="53"/>
  <c r="E87" i="53"/>
  <c r="E83" i="53"/>
  <c r="E88" i="53"/>
  <c r="H184" i="53"/>
  <c r="I186" i="53"/>
  <c r="I51" i="53"/>
  <c r="J1" i="53"/>
  <c r="I50" i="53"/>
  <c r="I117" i="53"/>
  <c r="I145" i="53"/>
  <c r="I154" i="53"/>
  <c r="AA116" i="53"/>
  <c r="H170" i="53"/>
  <c r="H185" i="53"/>
  <c r="I90" i="53"/>
  <c r="AA144" i="53"/>
  <c r="H88" i="53"/>
  <c r="H95" i="53" s="1"/>
  <c r="H83" i="53"/>
  <c r="H87" i="53"/>
  <c r="H153" i="53"/>
  <c r="H52" i="53"/>
  <c r="H49" i="53" s="1"/>
  <c r="I171" i="53"/>
  <c r="H92" i="53"/>
  <c r="E128" i="53"/>
  <c r="E127" i="53"/>
  <c r="J181" i="53"/>
  <c r="I195" i="53"/>
  <c r="D88" i="53"/>
  <c r="D83" i="53"/>
  <c r="D87" i="53"/>
  <c r="G87" i="53"/>
  <c r="G83" i="53"/>
  <c r="G88" i="53"/>
  <c r="H196" i="53"/>
  <c r="J194" i="53"/>
  <c r="H120" i="53"/>
  <c r="H116" i="53"/>
  <c r="AA83" i="53"/>
  <c r="O83" i="53"/>
  <c r="J85" i="53"/>
  <c r="I86" i="53"/>
  <c r="I88" i="53" s="1"/>
  <c r="I172" i="53"/>
  <c r="J91" i="53"/>
  <c r="G179" i="53"/>
  <c r="H178" i="53"/>
  <c r="AA52" i="53"/>
  <c r="AA49" i="53" s="1"/>
  <c r="I187" i="53"/>
  <c r="H180" i="53"/>
  <c r="P83" i="53"/>
  <c r="N83" i="53"/>
  <c r="H192" i="53"/>
  <c r="H175" i="53"/>
  <c r="J173" i="53"/>
  <c r="J3" i="51"/>
  <c r="AL45" i="51"/>
  <c r="G45" i="51"/>
  <c r="D13" i="49"/>
  <c r="T7" i="49"/>
  <c r="Q52" i="53" l="1"/>
  <c r="Q49" i="53" s="1"/>
  <c r="CA75" i="59"/>
  <c r="CC2" i="59"/>
  <c r="CB64" i="59"/>
  <c r="CB73" i="59"/>
  <c r="CB65" i="59"/>
  <c r="CB66" i="59"/>
  <c r="CB67" i="59"/>
  <c r="CB68" i="59"/>
  <c r="CB69" i="59"/>
  <c r="CB70" i="59"/>
  <c r="CB61" i="59"/>
  <c r="CB62" i="59"/>
  <c r="CB63" i="59"/>
  <c r="CB74" i="59"/>
  <c r="CB72" i="59"/>
  <c r="CB71" i="59"/>
  <c r="AQ143" i="55"/>
  <c r="DC143" i="55" s="1"/>
  <c r="L143" i="55"/>
  <c r="AP145" i="55"/>
  <c r="K145" i="55"/>
  <c r="L139" i="55"/>
  <c r="AQ139" i="55"/>
  <c r="DC139" i="55" s="1"/>
  <c r="AR140" i="55"/>
  <c r="DD140" i="55" s="1"/>
  <c r="M140" i="55"/>
  <c r="AQ144" i="55"/>
  <c r="L144" i="55"/>
  <c r="AT147" i="55"/>
  <c r="O147" i="55"/>
  <c r="AU146" i="55"/>
  <c r="P146" i="55"/>
  <c r="J168" i="55"/>
  <c r="AO168" i="55"/>
  <c r="L163" i="55"/>
  <c r="AQ163" i="55"/>
  <c r="DC163" i="55" s="1"/>
  <c r="K167" i="55"/>
  <c r="AP167" i="55"/>
  <c r="P170" i="55"/>
  <c r="AU170" i="55"/>
  <c r="K162" i="55"/>
  <c r="AP162" i="55"/>
  <c r="DB162" i="55" s="1"/>
  <c r="AP164" i="55"/>
  <c r="DB164" i="55" s="1"/>
  <c r="K164" i="55"/>
  <c r="K165" i="55"/>
  <c r="AP165" i="55"/>
  <c r="DB165" i="55" s="1"/>
  <c r="K166" i="55"/>
  <c r="AP166" i="55"/>
  <c r="DB166" i="55" s="1"/>
  <c r="BV162" i="55"/>
  <c r="AS169" i="55"/>
  <c r="N169" i="55"/>
  <c r="N124" i="55"/>
  <c r="AS124" i="55"/>
  <c r="AS123" i="55"/>
  <c r="N123" i="55"/>
  <c r="AP75" i="55"/>
  <c r="K75" i="55"/>
  <c r="K97" i="55"/>
  <c r="AP97" i="55"/>
  <c r="DB97" i="55" s="1"/>
  <c r="AO76" i="55"/>
  <c r="J76" i="55"/>
  <c r="J119" i="55"/>
  <c r="AO119" i="55"/>
  <c r="DA119" i="55" s="1"/>
  <c r="L117" i="55"/>
  <c r="AQ117" i="55"/>
  <c r="DC117" i="55" s="1"/>
  <c r="K70" i="55"/>
  <c r="AP70" i="55"/>
  <c r="DB70" i="55" s="1"/>
  <c r="L71" i="55"/>
  <c r="AQ71" i="55"/>
  <c r="DC71" i="55" s="1"/>
  <c r="J99" i="55"/>
  <c r="AO99" i="55"/>
  <c r="K74" i="55"/>
  <c r="AP74" i="55"/>
  <c r="DB74" i="55" s="1"/>
  <c r="BV93" i="55"/>
  <c r="AP93" i="55"/>
  <c r="DB93" i="55" s="1"/>
  <c r="K93" i="55"/>
  <c r="BU116" i="55"/>
  <c r="AP116" i="55"/>
  <c r="DB116" i="55" s="1"/>
  <c r="K116" i="55"/>
  <c r="AP98" i="55"/>
  <c r="K98" i="55"/>
  <c r="AQ94" i="55"/>
  <c r="DC94" i="55" s="1"/>
  <c r="L94" i="55"/>
  <c r="AP121" i="55"/>
  <c r="K121" i="55"/>
  <c r="AP120" i="55"/>
  <c r="DB120" i="55" s="1"/>
  <c r="K120" i="55"/>
  <c r="AP118" i="55"/>
  <c r="DB118" i="55" s="1"/>
  <c r="K118" i="55"/>
  <c r="BV70" i="55"/>
  <c r="K122" i="55"/>
  <c r="AP122" i="55"/>
  <c r="BX97" i="55"/>
  <c r="N101" i="55"/>
  <c r="AS101" i="55"/>
  <c r="O100" i="55"/>
  <c r="AT100" i="55"/>
  <c r="O77" i="55"/>
  <c r="AT77" i="55"/>
  <c r="N78" i="55"/>
  <c r="AS78" i="55"/>
  <c r="AP51" i="55"/>
  <c r="DB51" i="55" s="1"/>
  <c r="K51" i="55"/>
  <c r="L48" i="55"/>
  <c r="AQ48" i="55"/>
  <c r="DC48" i="55" s="1"/>
  <c r="AP53" i="55"/>
  <c r="K53" i="55"/>
  <c r="AO50" i="55"/>
  <c r="DA50" i="55" s="1"/>
  <c r="J50" i="55"/>
  <c r="K52" i="55"/>
  <c r="AP52" i="55"/>
  <c r="K49" i="55"/>
  <c r="AP49" i="55"/>
  <c r="DB49" i="55" s="1"/>
  <c r="AP47" i="55"/>
  <c r="DB47" i="55" s="1"/>
  <c r="K47" i="55"/>
  <c r="AT54" i="55"/>
  <c r="O54" i="55"/>
  <c r="O55" i="55"/>
  <c r="AT55" i="55"/>
  <c r="K30" i="55"/>
  <c r="AP30" i="55"/>
  <c r="L28" i="55"/>
  <c r="AQ28" i="55"/>
  <c r="DC28" i="55" s="1"/>
  <c r="L29" i="55"/>
  <c r="AQ29" i="55"/>
  <c r="M31" i="55"/>
  <c r="AR31" i="55"/>
  <c r="M25" i="55"/>
  <c r="AR25" i="55"/>
  <c r="DD25" i="55" s="1"/>
  <c r="BW24" i="55"/>
  <c r="M32" i="55"/>
  <c r="AR32" i="55"/>
  <c r="L24" i="55"/>
  <c r="AR24" i="55" s="1"/>
  <c r="DD24" i="55" s="1"/>
  <c r="K204" i="55"/>
  <c r="K205" i="55" s="1"/>
  <c r="L3" i="55"/>
  <c r="R154" i="53"/>
  <c r="R145" i="53"/>
  <c r="R144" i="53" s="1"/>
  <c r="R117" i="53"/>
  <c r="R84" i="53"/>
  <c r="R83" i="53" s="1"/>
  <c r="R51" i="53"/>
  <c r="S1" i="53"/>
  <c r="S145" i="53" s="1"/>
  <c r="D128" i="53"/>
  <c r="D259" i="53" s="1"/>
  <c r="L247" i="53"/>
  <c r="J185" i="54"/>
  <c r="J92" i="54"/>
  <c r="J186" i="54"/>
  <c r="G121" i="54"/>
  <c r="G120" i="54"/>
  <c r="G116" i="54"/>
  <c r="H86" i="54"/>
  <c r="I85" i="54"/>
  <c r="K181" i="54"/>
  <c r="AA52" i="54"/>
  <c r="AA49" i="54" s="1"/>
  <c r="R52" i="54"/>
  <c r="R49" i="54" s="1"/>
  <c r="Y133" i="54"/>
  <c r="V247" i="54"/>
  <c r="AB154" i="54"/>
  <c r="AB145" i="54"/>
  <c r="AB117" i="54"/>
  <c r="AB84" i="54"/>
  <c r="AB51" i="54"/>
  <c r="AB50" i="54"/>
  <c r="AC1" i="54"/>
  <c r="Q131" i="54"/>
  <c r="Q134" i="54"/>
  <c r="J196" i="54"/>
  <c r="S154" i="54"/>
  <c r="S145" i="54"/>
  <c r="S117" i="54"/>
  <c r="S84" i="54"/>
  <c r="S51" i="54"/>
  <c r="S50" i="54"/>
  <c r="T1" i="54"/>
  <c r="E258" i="54"/>
  <c r="E259" i="54"/>
  <c r="I187" i="54"/>
  <c r="I193" i="54"/>
  <c r="J91" i="54"/>
  <c r="Z131" i="54"/>
  <c r="Z134" i="54"/>
  <c r="J90" i="54"/>
  <c r="I93" i="54"/>
  <c r="G144" i="54"/>
  <c r="G148" i="54"/>
  <c r="I178" i="54"/>
  <c r="H179" i="54"/>
  <c r="AA83" i="54"/>
  <c r="R83" i="54"/>
  <c r="I175" i="54"/>
  <c r="I180" i="54"/>
  <c r="L251" i="54"/>
  <c r="S132" i="54"/>
  <c r="S135" i="54" s="1"/>
  <c r="T118" i="54"/>
  <c r="S119" i="54"/>
  <c r="H154" i="54"/>
  <c r="H145" i="54"/>
  <c r="H117" i="54"/>
  <c r="H84" i="54"/>
  <c r="H51" i="54"/>
  <c r="H50" i="54"/>
  <c r="I1" i="54"/>
  <c r="AA120" i="54"/>
  <c r="AA116" i="54"/>
  <c r="AA121" i="54"/>
  <c r="AA128" i="54" s="1"/>
  <c r="R121" i="54"/>
  <c r="R128" i="54" s="1"/>
  <c r="R120" i="54"/>
  <c r="R116" i="54"/>
  <c r="P133" i="54"/>
  <c r="I184" i="54"/>
  <c r="G52" i="54"/>
  <c r="G49" i="54" s="1"/>
  <c r="U251" i="54"/>
  <c r="AA148" i="54"/>
  <c r="AA144" i="54"/>
  <c r="R153" i="54"/>
  <c r="F131" i="54"/>
  <c r="F134" i="54"/>
  <c r="L192" i="54"/>
  <c r="J171" i="54"/>
  <c r="I118" i="54"/>
  <c r="H132" i="54"/>
  <c r="H135" i="54" s="1"/>
  <c r="H119" i="54"/>
  <c r="J174" i="54"/>
  <c r="I173" i="54"/>
  <c r="I191" i="54"/>
  <c r="AB119" i="54"/>
  <c r="AB132" i="54"/>
  <c r="AB135" i="54" s="1"/>
  <c r="AC118" i="54"/>
  <c r="I195" i="54"/>
  <c r="AA153" i="54"/>
  <c r="J170" i="54"/>
  <c r="F128" i="54"/>
  <c r="F127" i="54"/>
  <c r="J125" i="54"/>
  <c r="K123" i="54"/>
  <c r="E103" i="54"/>
  <c r="E105" i="54"/>
  <c r="E104" i="54"/>
  <c r="E133" i="54"/>
  <c r="G153" i="54"/>
  <c r="I194" i="54"/>
  <c r="G87" i="54"/>
  <c r="G100" i="54" s="1"/>
  <c r="G88" i="54"/>
  <c r="G83" i="54"/>
  <c r="R144" i="54"/>
  <c r="R148" i="54"/>
  <c r="J172" i="54"/>
  <c r="F96" i="54"/>
  <c r="F97" i="54"/>
  <c r="F101" i="54"/>
  <c r="F102" i="54" s="1"/>
  <c r="F95" i="54"/>
  <c r="F127" i="53"/>
  <c r="G128" i="53"/>
  <c r="G258" i="53" s="1"/>
  <c r="I96" i="53"/>
  <c r="J187" i="53"/>
  <c r="H258" i="53"/>
  <c r="I178" i="53"/>
  <c r="H179" i="53"/>
  <c r="H259" i="53" s="1"/>
  <c r="R153" i="53"/>
  <c r="I119" i="53"/>
  <c r="I121" i="53" s="1"/>
  <c r="I128" i="53" s="1"/>
  <c r="J118" i="53"/>
  <c r="AB153" i="53"/>
  <c r="H127" i="53"/>
  <c r="E258" i="53"/>
  <c r="E259" i="53"/>
  <c r="R116" i="53"/>
  <c r="I153" i="53"/>
  <c r="I184" i="53"/>
  <c r="AB116" i="53"/>
  <c r="F259" i="53"/>
  <c r="I95" i="53"/>
  <c r="J90" i="53"/>
  <c r="I170" i="53"/>
  <c r="I144" i="53"/>
  <c r="F97" i="53"/>
  <c r="F96" i="53"/>
  <c r="F95" i="53"/>
  <c r="K181" i="53"/>
  <c r="I92" i="53"/>
  <c r="H93" i="53"/>
  <c r="I120" i="53"/>
  <c r="I116" i="53"/>
  <c r="AB52" i="53"/>
  <c r="AB49" i="53" s="1"/>
  <c r="K191" i="53"/>
  <c r="I193" i="53"/>
  <c r="I175" i="53"/>
  <c r="K194" i="53"/>
  <c r="D96" i="53"/>
  <c r="D97" i="53"/>
  <c r="D95" i="53"/>
  <c r="R52" i="53"/>
  <c r="R49" i="53" s="1"/>
  <c r="I52" i="53"/>
  <c r="I49" i="53" s="1"/>
  <c r="E97" i="53"/>
  <c r="E96" i="53"/>
  <c r="E95" i="53"/>
  <c r="AD1" i="53"/>
  <c r="AC51" i="53"/>
  <c r="AC50" i="53"/>
  <c r="AC117" i="53"/>
  <c r="AC145" i="53"/>
  <c r="AC154" i="53"/>
  <c r="AC84" i="53"/>
  <c r="K85" i="53"/>
  <c r="J86" i="53"/>
  <c r="J171" i="53"/>
  <c r="H96" i="53"/>
  <c r="H97" i="53"/>
  <c r="I185" i="53"/>
  <c r="J51" i="53"/>
  <c r="J50" i="53"/>
  <c r="K1" i="53"/>
  <c r="J117" i="53"/>
  <c r="J145" i="53"/>
  <c r="J154" i="53"/>
  <c r="J84" i="53"/>
  <c r="K173" i="53"/>
  <c r="I192" i="53"/>
  <c r="I180" i="53"/>
  <c r="K91" i="53"/>
  <c r="J172" i="53"/>
  <c r="I196" i="53"/>
  <c r="J195" i="53"/>
  <c r="K174" i="53"/>
  <c r="AB144" i="53"/>
  <c r="G97" i="53"/>
  <c r="G96" i="53"/>
  <c r="G95" i="53"/>
  <c r="J186" i="53"/>
  <c r="AB83" i="53"/>
  <c r="J123" i="53"/>
  <c r="I125" i="53"/>
  <c r="H45" i="51"/>
  <c r="AM45" i="51"/>
  <c r="K3" i="51"/>
  <c r="T8" i="49"/>
  <c r="CB75" i="59" l="1"/>
  <c r="CD2" i="59"/>
  <c r="CC64" i="59"/>
  <c r="CC73" i="59"/>
  <c r="CC65" i="59"/>
  <c r="CC66" i="59"/>
  <c r="CC67" i="59"/>
  <c r="CC68" i="59"/>
  <c r="CC69" i="59"/>
  <c r="CC61" i="59"/>
  <c r="CC70" i="59"/>
  <c r="CC62" i="59"/>
  <c r="CC72" i="59"/>
  <c r="CC63" i="59"/>
  <c r="CC74" i="59"/>
  <c r="CC71" i="59"/>
  <c r="AR139" i="55"/>
  <c r="DD139" i="55" s="1"/>
  <c r="M139" i="55"/>
  <c r="AQ145" i="55"/>
  <c r="L145" i="55"/>
  <c r="AR144" i="55"/>
  <c r="M144" i="55"/>
  <c r="AS140" i="55"/>
  <c r="DE140" i="55" s="1"/>
  <c r="N140" i="55"/>
  <c r="AR143" i="55"/>
  <c r="DD143" i="55" s="1"/>
  <c r="M143" i="55"/>
  <c r="Q146" i="55"/>
  <c r="AV146" i="55"/>
  <c r="AU147" i="55"/>
  <c r="P147" i="55"/>
  <c r="AQ167" i="55"/>
  <c r="L167" i="55"/>
  <c r="L166" i="55"/>
  <c r="AQ166" i="55"/>
  <c r="DC166" i="55" s="1"/>
  <c r="AQ162" i="55"/>
  <c r="DC162" i="55" s="1"/>
  <c r="L162" i="55"/>
  <c r="M163" i="55"/>
  <c r="AR163" i="55"/>
  <c r="DD163" i="55" s="1"/>
  <c r="L165" i="55"/>
  <c r="AQ165" i="55"/>
  <c r="DC165" i="55" s="1"/>
  <c r="AT169" i="55"/>
  <c r="O169" i="55"/>
  <c r="K168" i="55"/>
  <c r="AP168" i="55"/>
  <c r="Q170" i="55"/>
  <c r="AV170" i="55"/>
  <c r="BW162" i="55"/>
  <c r="AQ164" i="55"/>
  <c r="DC164" i="55" s="1"/>
  <c r="L164" i="55"/>
  <c r="O124" i="55"/>
  <c r="AT124" i="55"/>
  <c r="L121" i="55"/>
  <c r="AQ121" i="55"/>
  <c r="M117" i="55"/>
  <c r="AR117" i="55"/>
  <c r="DD117" i="55" s="1"/>
  <c r="M94" i="55"/>
  <c r="AR94" i="55"/>
  <c r="DD94" i="55" s="1"/>
  <c r="BV116" i="55"/>
  <c r="K119" i="55"/>
  <c r="AP119" i="55"/>
  <c r="DB119" i="55" s="1"/>
  <c r="L97" i="55"/>
  <c r="AQ97" i="55"/>
  <c r="DC97" i="55" s="1"/>
  <c r="AQ118" i="55"/>
  <c r="DC118" i="55" s="1"/>
  <c r="L118" i="55"/>
  <c r="AR71" i="55"/>
  <c r="DD71" i="55" s="1"/>
  <c r="M71" i="55"/>
  <c r="L75" i="55"/>
  <c r="AQ75" i="55"/>
  <c r="BW70" i="55"/>
  <c r="K99" i="55"/>
  <c r="AP99" i="55"/>
  <c r="L98" i="55"/>
  <c r="AQ98" i="55"/>
  <c r="L93" i="55"/>
  <c r="AQ93" i="55"/>
  <c r="DC93" i="55" s="1"/>
  <c r="AQ122" i="55"/>
  <c r="L122" i="55"/>
  <c r="AQ120" i="55"/>
  <c r="DC120" i="55" s="1"/>
  <c r="L120" i="55"/>
  <c r="AQ116" i="55"/>
  <c r="DC116" i="55" s="1"/>
  <c r="L116" i="55"/>
  <c r="L70" i="55"/>
  <c r="AQ70" i="55"/>
  <c r="DC70" i="55" s="1"/>
  <c r="BW93" i="55"/>
  <c r="O123" i="55"/>
  <c r="AT123" i="55"/>
  <c r="L74" i="55"/>
  <c r="AQ74" i="55"/>
  <c r="DC74" i="55" s="1"/>
  <c r="K76" i="55"/>
  <c r="AP76" i="55"/>
  <c r="O101" i="55"/>
  <c r="AT101" i="55"/>
  <c r="AU100" i="55"/>
  <c r="P100" i="55"/>
  <c r="BY97" i="55"/>
  <c r="O78" i="55"/>
  <c r="AT78" i="55"/>
  <c r="AU77" i="55"/>
  <c r="P77" i="55"/>
  <c r="L49" i="55"/>
  <c r="AQ49" i="55"/>
  <c r="DC49" i="55" s="1"/>
  <c r="L52" i="55"/>
  <c r="AQ52" i="55"/>
  <c r="AQ53" i="55"/>
  <c r="L53" i="55"/>
  <c r="L47" i="55"/>
  <c r="AQ47" i="55"/>
  <c r="DC47" i="55" s="1"/>
  <c r="AP50" i="55"/>
  <c r="DB50" i="55" s="1"/>
  <c r="K50" i="55"/>
  <c r="AR48" i="55"/>
  <c r="DD48" i="55" s="1"/>
  <c r="M48" i="55"/>
  <c r="L51" i="55"/>
  <c r="AQ51" i="55"/>
  <c r="DC51" i="55" s="1"/>
  <c r="AU54" i="55"/>
  <c r="P54" i="55"/>
  <c r="P55" i="55"/>
  <c r="AU55" i="55"/>
  <c r="N25" i="55"/>
  <c r="AS25" i="55"/>
  <c r="DE25" i="55" s="1"/>
  <c r="N31" i="55"/>
  <c r="AS31" i="55"/>
  <c r="M28" i="55"/>
  <c r="AR28" i="55"/>
  <c r="DD28" i="55" s="1"/>
  <c r="L30" i="55"/>
  <c r="AQ30" i="55"/>
  <c r="N32" i="55"/>
  <c r="AS32" i="55"/>
  <c r="BX24" i="55"/>
  <c r="M29" i="55"/>
  <c r="AR29" i="55"/>
  <c r="M24" i="55"/>
  <c r="AS24" i="55" s="1"/>
  <c r="DE24" i="55" s="1"/>
  <c r="L204" i="55"/>
  <c r="L205" i="55" s="1"/>
  <c r="M3" i="55"/>
  <c r="D258" i="53"/>
  <c r="S117" i="53"/>
  <c r="S116" i="53" s="1"/>
  <c r="S50" i="53"/>
  <c r="S84" i="53"/>
  <c r="S154" i="53"/>
  <c r="S153" i="53" s="1"/>
  <c r="T1" i="53"/>
  <c r="T145" i="53" s="1"/>
  <c r="S51" i="53"/>
  <c r="M247" i="53"/>
  <c r="H153" i="54"/>
  <c r="S83" i="54"/>
  <c r="AC154" i="54"/>
  <c r="AC145" i="54"/>
  <c r="AC117" i="54"/>
  <c r="AC50" i="54"/>
  <c r="AC51" i="54"/>
  <c r="AD1" i="54"/>
  <c r="AC84" i="54"/>
  <c r="J194" i="54"/>
  <c r="J173" i="54"/>
  <c r="V251" i="54"/>
  <c r="Z133" i="54"/>
  <c r="S120" i="54"/>
  <c r="S116" i="54"/>
  <c r="S121" i="54"/>
  <c r="S128" i="54" s="1"/>
  <c r="AB52" i="54"/>
  <c r="AB49" i="54" s="1"/>
  <c r="G134" i="54"/>
  <c r="G131" i="54"/>
  <c r="AC132" i="54"/>
  <c r="AC135" i="54" s="1"/>
  <c r="AC119" i="54"/>
  <c r="AD118" i="54"/>
  <c r="K172" i="54"/>
  <c r="F258" i="54"/>
  <c r="F259" i="54"/>
  <c r="J191" i="54"/>
  <c r="R131" i="54"/>
  <c r="R134" i="54"/>
  <c r="I154" i="54"/>
  <c r="I117" i="54"/>
  <c r="I84" i="54"/>
  <c r="I51" i="54"/>
  <c r="I50" i="54"/>
  <c r="J1" i="54"/>
  <c r="I145" i="54"/>
  <c r="T132" i="54"/>
  <c r="T135" i="54" s="1"/>
  <c r="U118" i="54"/>
  <c r="T119" i="54"/>
  <c r="S148" i="54"/>
  <c r="S144" i="54"/>
  <c r="G128" i="54"/>
  <c r="G127" i="54"/>
  <c r="K92" i="54"/>
  <c r="K185" i="54"/>
  <c r="K174" i="54"/>
  <c r="F133" i="54"/>
  <c r="J184" i="54"/>
  <c r="H52" i="54"/>
  <c r="H49" i="54" s="1"/>
  <c r="J175" i="54"/>
  <c r="K91" i="54"/>
  <c r="S153" i="54"/>
  <c r="AB83" i="54"/>
  <c r="K186" i="54"/>
  <c r="J180" i="54"/>
  <c r="J187" i="54"/>
  <c r="Q133" i="54"/>
  <c r="J193" i="54"/>
  <c r="K196" i="54"/>
  <c r="AB121" i="54"/>
  <c r="AB128" i="54" s="1"/>
  <c r="AB116" i="54"/>
  <c r="AB120" i="54"/>
  <c r="L181" i="54"/>
  <c r="H144" i="54"/>
  <c r="H148" i="54"/>
  <c r="M192" i="54"/>
  <c r="F104" i="54"/>
  <c r="F105" i="54"/>
  <c r="F103" i="54"/>
  <c r="G97" i="54"/>
  <c r="G101" i="54"/>
  <c r="G102" i="54" s="1"/>
  <c r="G96" i="54"/>
  <c r="G95" i="54"/>
  <c r="L123" i="54"/>
  <c r="K125" i="54"/>
  <c r="J195" i="54"/>
  <c r="K171" i="54"/>
  <c r="H87" i="54"/>
  <c r="H100" i="54" s="1"/>
  <c r="H88" i="54"/>
  <c r="H83" i="54"/>
  <c r="I179" i="54"/>
  <c r="J178" i="54"/>
  <c r="T154" i="54"/>
  <c r="T145" i="54"/>
  <c r="T117" i="54"/>
  <c r="T84" i="54"/>
  <c r="T50" i="54"/>
  <c r="T51" i="54"/>
  <c r="U1" i="54"/>
  <c r="AB148" i="54"/>
  <c r="AB144" i="54"/>
  <c r="W247" i="54"/>
  <c r="J118" i="54"/>
  <c r="I132" i="54"/>
  <c r="I135" i="54" s="1"/>
  <c r="I119" i="54"/>
  <c r="K170" i="54"/>
  <c r="AA131" i="54"/>
  <c r="AA134" i="54"/>
  <c r="H121" i="54"/>
  <c r="H120" i="54"/>
  <c r="H116" i="54"/>
  <c r="J93" i="54"/>
  <c r="K90" i="54"/>
  <c r="S52" i="54"/>
  <c r="S49" i="54" s="1"/>
  <c r="AB153" i="54"/>
  <c r="J85" i="54"/>
  <c r="I86" i="54"/>
  <c r="G259" i="53"/>
  <c r="I127" i="53"/>
  <c r="AC144" i="53"/>
  <c r="J88" i="53"/>
  <c r="J95" i="53" s="1"/>
  <c r="J83" i="53"/>
  <c r="J87" i="53"/>
  <c r="AC83" i="53"/>
  <c r="S144" i="53"/>
  <c r="L181" i="53"/>
  <c r="K187" i="53"/>
  <c r="L91" i="53"/>
  <c r="K171" i="53"/>
  <c r="S83" i="53"/>
  <c r="J196" i="53"/>
  <c r="J192" i="53"/>
  <c r="J153" i="53"/>
  <c r="AC153" i="53"/>
  <c r="L194" i="53"/>
  <c r="T50" i="53"/>
  <c r="J170" i="53"/>
  <c r="K186" i="53"/>
  <c r="K172" i="53"/>
  <c r="L173" i="53"/>
  <c r="J120" i="53"/>
  <c r="J116" i="53"/>
  <c r="AC116" i="53"/>
  <c r="J175" i="53"/>
  <c r="J193" i="53"/>
  <c r="J184" i="53"/>
  <c r="J144" i="53"/>
  <c r="K50" i="53"/>
  <c r="K51" i="53"/>
  <c r="L1" i="53"/>
  <c r="K154" i="53"/>
  <c r="K145" i="53"/>
  <c r="K117" i="53"/>
  <c r="K84" i="53"/>
  <c r="AC52" i="53"/>
  <c r="AC49" i="53" s="1"/>
  <c r="AE1" i="53"/>
  <c r="AD51" i="53"/>
  <c r="AD50" i="53"/>
  <c r="AD84" i="53"/>
  <c r="AD117" i="53"/>
  <c r="AD154" i="53"/>
  <c r="AD145" i="53"/>
  <c r="L191" i="53"/>
  <c r="J92" i="53"/>
  <c r="J93" i="53" s="1"/>
  <c r="K90" i="53"/>
  <c r="I97" i="53"/>
  <c r="J52" i="53"/>
  <c r="J49" i="53" s="1"/>
  <c r="I258" i="53"/>
  <c r="J178" i="53"/>
  <c r="I179" i="53"/>
  <c r="I259" i="53" s="1"/>
  <c r="J125" i="53"/>
  <c r="K123" i="53"/>
  <c r="L174" i="53"/>
  <c r="K195" i="53"/>
  <c r="J180" i="53"/>
  <c r="J185" i="53"/>
  <c r="L85" i="53"/>
  <c r="K86" i="53"/>
  <c r="I93" i="53"/>
  <c r="K118" i="53"/>
  <c r="J119" i="53"/>
  <c r="J121" i="53" s="1"/>
  <c r="AN45" i="51"/>
  <c r="I45" i="51"/>
  <c r="L3" i="51"/>
  <c r="AM10" i="12"/>
  <c r="S52" i="53" l="1"/>
  <c r="S49" i="53" s="1"/>
  <c r="CC75" i="59"/>
  <c r="CE2" i="59"/>
  <c r="CD73" i="59"/>
  <c r="CD65" i="59"/>
  <c r="CD66" i="59"/>
  <c r="CD67" i="59"/>
  <c r="CD68" i="59"/>
  <c r="CD69" i="59"/>
  <c r="CD61" i="59"/>
  <c r="CD70" i="59"/>
  <c r="CD62" i="59"/>
  <c r="CD64" i="59"/>
  <c r="CD72" i="59"/>
  <c r="CD74" i="59"/>
  <c r="CD63" i="59"/>
  <c r="CD71" i="59"/>
  <c r="AS144" i="55"/>
  <c r="N144" i="55"/>
  <c r="AS143" i="55"/>
  <c r="DE143" i="55" s="1"/>
  <c r="N143" i="55"/>
  <c r="M145" i="55"/>
  <c r="AR145" i="55"/>
  <c r="O140" i="55"/>
  <c r="AT140" i="55"/>
  <c r="DF140" i="55" s="1"/>
  <c r="N139" i="55"/>
  <c r="AS139" i="55"/>
  <c r="DE139" i="55" s="1"/>
  <c r="AW146" i="55"/>
  <c r="R146" i="55"/>
  <c r="AV147" i="55"/>
  <c r="Q147" i="55"/>
  <c r="M164" i="55"/>
  <c r="AR164" i="55"/>
  <c r="DD164" i="55" s="1"/>
  <c r="AR162" i="55"/>
  <c r="DD162" i="55" s="1"/>
  <c r="M162" i="55"/>
  <c r="BX162" i="55"/>
  <c r="AU169" i="55"/>
  <c r="P169" i="55"/>
  <c r="M166" i="55"/>
  <c r="AR166" i="55"/>
  <c r="DD166" i="55" s="1"/>
  <c r="R170" i="55"/>
  <c r="AW170" i="55"/>
  <c r="AR165" i="55"/>
  <c r="DD165" i="55" s="1"/>
  <c r="M165" i="55"/>
  <c r="AR167" i="55"/>
  <c r="M167" i="55"/>
  <c r="AQ168" i="55"/>
  <c r="L168" i="55"/>
  <c r="N163" i="55"/>
  <c r="AS163" i="55"/>
  <c r="DE163" i="55" s="1"/>
  <c r="P124" i="55"/>
  <c r="AU124" i="55"/>
  <c r="N71" i="55"/>
  <c r="AS71" i="55"/>
  <c r="DE71" i="55" s="1"/>
  <c r="P123" i="55"/>
  <c r="AU123" i="55"/>
  <c r="AR116" i="55"/>
  <c r="DD116" i="55" s="1"/>
  <c r="M116" i="55"/>
  <c r="BW116" i="55"/>
  <c r="AQ119" i="55"/>
  <c r="DC119" i="55" s="1"/>
  <c r="L119" i="55"/>
  <c r="AQ99" i="55"/>
  <c r="L99" i="55"/>
  <c r="AR121" i="55"/>
  <c r="M121" i="55"/>
  <c r="AR98" i="55"/>
  <c r="M98" i="55"/>
  <c r="BX70" i="55"/>
  <c r="AR118" i="55"/>
  <c r="DD118" i="55" s="1"/>
  <c r="M118" i="55"/>
  <c r="L76" i="55"/>
  <c r="AQ76" i="55"/>
  <c r="BX93" i="55"/>
  <c r="M120" i="55"/>
  <c r="AR120" i="55"/>
  <c r="DD120" i="55" s="1"/>
  <c r="N94" i="55"/>
  <c r="AS94" i="55"/>
  <c r="DE94" i="55" s="1"/>
  <c r="M93" i="55"/>
  <c r="AR93" i="55"/>
  <c r="DD93" i="55" s="1"/>
  <c r="M74" i="55"/>
  <c r="AR74" i="55"/>
  <c r="DD74" i="55" s="1"/>
  <c r="M70" i="55"/>
  <c r="AR70" i="55"/>
  <c r="DD70" i="55" s="1"/>
  <c r="AR122" i="55"/>
  <c r="M122" i="55"/>
  <c r="AR75" i="55"/>
  <c r="M75" i="55"/>
  <c r="AR97" i="55"/>
  <c r="DD97" i="55" s="1"/>
  <c r="M97" i="55"/>
  <c r="N117" i="55"/>
  <c r="AS117" i="55"/>
  <c r="DE117" i="55" s="1"/>
  <c r="BZ97" i="55"/>
  <c r="AV100" i="55"/>
  <c r="Q100" i="55"/>
  <c r="P101" i="55"/>
  <c r="AU101" i="55"/>
  <c r="P78" i="55"/>
  <c r="AU78" i="55"/>
  <c r="AV77" i="55"/>
  <c r="Q77" i="55"/>
  <c r="AS48" i="55"/>
  <c r="DE48" i="55" s="1"/>
  <c r="N48" i="55"/>
  <c r="M47" i="55"/>
  <c r="AR47" i="55"/>
  <c r="DD47" i="55" s="1"/>
  <c r="AR53" i="55"/>
  <c r="M53" i="55"/>
  <c r="M51" i="55"/>
  <c r="AR51" i="55"/>
  <c r="DD51" i="55" s="1"/>
  <c r="AQ50" i="55"/>
  <c r="DC50" i="55" s="1"/>
  <c r="L50" i="55"/>
  <c r="M52" i="55"/>
  <c r="AR52" i="55"/>
  <c r="M49" i="55"/>
  <c r="AR49" i="55"/>
  <c r="DD49" i="55" s="1"/>
  <c r="AV55" i="55"/>
  <c r="Q55" i="55"/>
  <c r="Q54" i="55"/>
  <c r="AV54" i="55"/>
  <c r="M30" i="55"/>
  <c r="AR30" i="55"/>
  <c r="BY24" i="55"/>
  <c r="O25" i="55"/>
  <c r="AT25" i="55"/>
  <c r="DF25" i="55" s="1"/>
  <c r="O31" i="55"/>
  <c r="AT31" i="55"/>
  <c r="N29" i="55"/>
  <c r="AS29" i="55"/>
  <c r="O32" i="55"/>
  <c r="AT32" i="55"/>
  <c r="N28" i="55"/>
  <c r="AS28" i="55"/>
  <c r="DE28" i="55" s="1"/>
  <c r="N24" i="55"/>
  <c r="AT24" i="55" s="1"/>
  <c r="DF24" i="55" s="1"/>
  <c r="M204" i="55"/>
  <c r="M205" i="55" s="1"/>
  <c r="N3" i="55"/>
  <c r="T84" i="53"/>
  <c r="T83" i="53" s="1"/>
  <c r="T154" i="53"/>
  <c r="T153" i="53" s="1"/>
  <c r="T117" i="53"/>
  <c r="T51" i="53"/>
  <c r="T52" i="53" s="1"/>
  <c r="T49" i="53" s="1"/>
  <c r="U1" i="53"/>
  <c r="U145" i="53" s="1"/>
  <c r="N247" i="53"/>
  <c r="M181" i="54"/>
  <c r="L174" i="54"/>
  <c r="G258" i="54"/>
  <c r="G259" i="54"/>
  <c r="AC144" i="54"/>
  <c r="AC148" i="54"/>
  <c r="J86" i="54"/>
  <c r="K85" i="54"/>
  <c r="L170" i="54"/>
  <c r="X247" i="54"/>
  <c r="T148" i="54"/>
  <c r="T144" i="54"/>
  <c r="M123" i="54"/>
  <c r="L125" i="54"/>
  <c r="K180" i="54"/>
  <c r="J154" i="54"/>
  <c r="J145" i="54"/>
  <c r="J117" i="54"/>
  <c r="J84" i="54"/>
  <c r="J51" i="54"/>
  <c r="J50" i="54"/>
  <c r="K1" i="54"/>
  <c r="K191" i="54"/>
  <c r="W251" i="54"/>
  <c r="K194" i="54"/>
  <c r="AC153" i="54"/>
  <c r="T121" i="54"/>
  <c r="T128" i="54" s="1"/>
  <c r="T120" i="54"/>
  <c r="T116" i="54"/>
  <c r="K184" i="54"/>
  <c r="I52" i="54"/>
  <c r="I49" i="54" s="1"/>
  <c r="K173" i="54"/>
  <c r="K178" i="54"/>
  <c r="J179" i="54"/>
  <c r="L171" i="54"/>
  <c r="L186" i="54"/>
  <c r="L185" i="54"/>
  <c r="AC83" i="54"/>
  <c r="H101" i="54"/>
  <c r="H102" i="54" s="1"/>
  <c r="H96" i="54"/>
  <c r="H97" i="54"/>
  <c r="H95" i="54"/>
  <c r="I148" i="54"/>
  <c r="I144" i="54"/>
  <c r="T153" i="54"/>
  <c r="AB131" i="54"/>
  <c r="AB134" i="54"/>
  <c r="G105" i="54"/>
  <c r="G103" i="54"/>
  <c r="G104" i="54"/>
  <c r="I88" i="54"/>
  <c r="I83" i="54"/>
  <c r="I87" i="54"/>
  <c r="I100" i="54" s="1"/>
  <c r="AD132" i="54"/>
  <c r="AD135" i="54" s="1"/>
  <c r="AE118" i="54"/>
  <c r="AD119" i="54"/>
  <c r="AD154" i="54"/>
  <c r="AD145" i="54"/>
  <c r="AD117" i="54"/>
  <c r="AD84" i="54"/>
  <c r="AD51" i="54"/>
  <c r="AD50" i="54"/>
  <c r="AE1" i="54"/>
  <c r="K118" i="54"/>
  <c r="J132" i="54"/>
  <c r="J135" i="54" s="1"/>
  <c r="J119" i="54"/>
  <c r="U154" i="54"/>
  <c r="U145" i="54"/>
  <c r="U117" i="54"/>
  <c r="U51" i="54"/>
  <c r="U50" i="54"/>
  <c r="V1" i="54"/>
  <c r="U84" i="54"/>
  <c r="H128" i="54"/>
  <c r="H127" i="54"/>
  <c r="K195" i="54"/>
  <c r="L196" i="54"/>
  <c r="K175" i="54"/>
  <c r="I120" i="54"/>
  <c r="I116" i="54"/>
  <c r="I121" i="54"/>
  <c r="K93" i="54"/>
  <c r="L90" i="54"/>
  <c r="H131" i="54"/>
  <c r="H134" i="54"/>
  <c r="T52" i="54"/>
  <c r="T49" i="54" s="1"/>
  <c r="N192" i="54"/>
  <c r="L91" i="54"/>
  <c r="L92" i="54"/>
  <c r="U132" i="54"/>
  <c r="U135" i="54" s="1"/>
  <c r="V118" i="54"/>
  <c r="U119" i="54"/>
  <c r="I153" i="54"/>
  <c r="S131" i="54"/>
  <c r="S134" i="54"/>
  <c r="AC52" i="54"/>
  <c r="AC49" i="54" s="1"/>
  <c r="R133" i="54"/>
  <c r="L172" i="54"/>
  <c r="AA133" i="54"/>
  <c r="T83" i="54"/>
  <c r="K193" i="54"/>
  <c r="K187" i="54"/>
  <c r="G133" i="54"/>
  <c r="AC121" i="54"/>
  <c r="AC128" i="54" s="1"/>
  <c r="AC120" i="54"/>
  <c r="AC116" i="54"/>
  <c r="J128" i="53"/>
  <c r="J258" i="53" s="1"/>
  <c r="J127" i="53"/>
  <c r="L86" i="53"/>
  <c r="M85" i="53"/>
  <c r="M191" i="53"/>
  <c r="AD153" i="53"/>
  <c r="K193" i="53"/>
  <c r="U51" i="53"/>
  <c r="U84" i="53"/>
  <c r="L171" i="53"/>
  <c r="M174" i="53"/>
  <c r="AD116" i="53"/>
  <c r="K52" i="53"/>
  <c r="K49" i="53" s="1"/>
  <c r="K184" i="53"/>
  <c r="K192" i="53"/>
  <c r="L187" i="53"/>
  <c r="AD83" i="53"/>
  <c r="K175" i="53"/>
  <c r="L186" i="53"/>
  <c r="J96" i="53"/>
  <c r="J97" i="53"/>
  <c r="K185" i="53"/>
  <c r="L123" i="53"/>
  <c r="K125" i="53"/>
  <c r="K178" i="53"/>
  <c r="J179" i="53"/>
  <c r="K92" i="53"/>
  <c r="K93" i="53" s="1"/>
  <c r="AD52" i="53"/>
  <c r="AD49" i="53" s="1"/>
  <c r="K87" i="53"/>
  <c r="K88" i="53"/>
  <c r="K95" i="53" s="1"/>
  <c r="K83" i="53"/>
  <c r="K196" i="53"/>
  <c r="M91" i="53"/>
  <c r="M181" i="53"/>
  <c r="K116" i="53"/>
  <c r="K120" i="53"/>
  <c r="T116" i="53"/>
  <c r="AF1" i="53"/>
  <c r="AE51" i="53"/>
  <c r="AE50" i="53"/>
  <c r="AE117" i="53"/>
  <c r="AE145" i="53"/>
  <c r="AE84" i="53"/>
  <c r="AE154" i="53"/>
  <c r="K144" i="53"/>
  <c r="M173" i="53"/>
  <c r="T144" i="53"/>
  <c r="L118" i="53"/>
  <c r="K119" i="53"/>
  <c r="K121" i="53" s="1"/>
  <c r="K128" i="53" s="1"/>
  <c r="K180" i="53"/>
  <c r="K153" i="53"/>
  <c r="L172" i="53"/>
  <c r="M194" i="53"/>
  <c r="L195" i="53"/>
  <c r="L90" i="53"/>
  <c r="AD144" i="53"/>
  <c r="L51" i="53"/>
  <c r="L50" i="53"/>
  <c r="L154" i="53"/>
  <c r="L145" i="53"/>
  <c r="L117" i="53"/>
  <c r="L84" i="53"/>
  <c r="K170" i="53"/>
  <c r="AO45" i="51"/>
  <c r="M3" i="51"/>
  <c r="J45" i="51"/>
  <c r="AP261" i="12"/>
  <c r="D359" i="48"/>
  <c r="E359" i="48" s="1"/>
  <c r="D354" i="48"/>
  <c r="E354" i="48" s="1"/>
  <c r="F354" i="48" s="1"/>
  <c r="G354" i="48" s="1"/>
  <c r="H354" i="48" s="1"/>
  <c r="I354" i="48" s="1"/>
  <c r="J354" i="48" s="1"/>
  <c r="K354" i="48" s="1"/>
  <c r="L354" i="48" s="1"/>
  <c r="M354" i="48" s="1"/>
  <c r="N354" i="48" s="1"/>
  <c r="O354" i="48" s="1"/>
  <c r="P354" i="48" s="1"/>
  <c r="Q354" i="48" s="1"/>
  <c r="R354" i="48" s="1"/>
  <c r="S354" i="48" s="1"/>
  <c r="T354" i="48" s="1"/>
  <c r="U354" i="48" s="1"/>
  <c r="V354" i="48" s="1"/>
  <c r="W354" i="48" s="1"/>
  <c r="X354" i="48" s="1"/>
  <c r="Y354" i="48" s="1"/>
  <c r="Z354" i="48" s="1"/>
  <c r="AA354" i="48" s="1"/>
  <c r="AB354" i="48" s="1"/>
  <c r="AC354" i="48" s="1"/>
  <c r="AD354" i="48" s="1"/>
  <c r="AE354" i="48" s="1"/>
  <c r="AF354" i="48" s="1"/>
  <c r="AG354" i="48" s="1"/>
  <c r="D308" i="48"/>
  <c r="E308" i="48" s="1"/>
  <c r="D307" i="48"/>
  <c r="D306" i="48"/>
  <c r="E306" i="48" s="1"/>
  <c r="D305" i="48"/>
  <c r="D304" i="48"/>
  <c r="E304" i="48" s="1"/>
  <c r="D303" i="48"/>
  <c r="D302" i="48"/>
  <c r="E302" i="48" s="1"/>
  <c r="F302" i="48" s="1"/>
  <c r="G302" i="48" s="1"/>
  <c r="H302" i="48" s="1"/>
  <c r="I302" i="48" s="1"/>
  <c r="J302" i="48" s="1"/>
  <c r="K302" i="48" s="1"/>
  <c r="L302" i="48" s="1"/>
  <c r="M302" i="48" s="1"/>
  <c r="N302" i="48" s="1"/>
  <c r="O302" i="48" s="1"/>
  <c r="P302" i="48" s="1"/>
  <c r="Q302" i="48" s="1"/>
  <c r="R302" i="48" s="1"/>
  <c r="S302" i="48" s="1"/>
  <c r="T302" i="48" s="1"/>
  <c r="U302" i="48" s="1"/>
  <c r="V302" i="48" s="1"/>
  <c r="W302" i="48" s="1"/>
  <c r="X302" i="48" s="1"/>
  <c r="Y302" i="48" s="1"/>
  <c r="Z302" i="48" s="1"/>
  <c r="AA302" i="48" s="1"/>
  <c r="AB302" i="48" s="1"/>
  <c r="AC302" i="48" s="1"/>
  <c r="AD302" i="48" s="1"/>
  <c r="AE302" i="48" s="1"/>
  <c r="AF302" i="48" s="1"/>
  <c r="D301" i="48"/>
  <c r="E301" i="48" s="1"/>
  <c r="F301" i="48" s="1"/>
  <c r="G301" i="48" s="1"/>
  <c r="H301" i="48" s="1"/>
  <c r="I301" i="48" s="1"/>
  <c r="J301" i="48" s="1"/>
  <c r="K301" i="48" s="1"/>
  <c r="L301" i="48" s="1"/>
  <c r="M301" i="48" s="1"/>
  <c r="N301" i="48" s="1"/>
  <c r="O301" i="48" s="1"/>
  <c r="P301" i="48" s="1"/>
  <c r="Q301" i="48" s="1"/>
  <c r="R301" i="48" s="1"/>
  <c r="S301" i="48" s="1"/>
  <c r="T301" i="48" s="1"/>
  <c r="U301" i="48" s="1"/>
  <c r="V301" i="48" s="1"/>
  <c r="W301" i="48" s="1"/>
  <c r="X301" i="48" s="1"/>
  <c r="Y301" i="48" s="1"/>
  <c r="Z301" i="48" s="1"/>
  <c r="AA301" i="48" s="1"/>
  <c r="AB301" i="48" s="1"/>
  <c r="AC301" i="48" s="1"/>
  <c r="AD301" i="48" s="1"/>
  <c r="AE301" i="48" s="1"/>
  <c r="AF301" i="48" s="1"/>
  <c r="D300" i="48"/>
  <c r="E300" i="48" s="1"/>
  <c r="F300" i="48" s="1"/>
  <c r="G300" i="48" s="1"/>
  <c r="H300" i="48" s="1"/>
  <c r="I300" i="48" s="1"/>
  <c r="J300" i="48" s="1"/>
  <c r="K300" i="48" s="1"/>
  <c r="L300" i="48" s="1"/>
  <c r="M300" i="48" s="1"/>
  <c r="N300" i="48" s="1"/>
  <c r="O300" i="48" s="1"/>
  <c r="P300" i="48" s="1"/>
  <c r="Q300" i="48" s="1"/>
  <c r="R300" i="48" s="1"/>
  <c r="S300" i="48" s="1"/>
  <c r="T300" i="48" s="1"/>
  <c r="U300" i="48" s="1"/>
  <c r="V300" i="48" s="1"/>
  <c r="W300" i="48" s="1"/>
  <c r="X300" i="48" s="1"/>
  <c r="Y300" i="48" s="1"/>
  <c r="Z300" i="48" s="1"/>
  <c r="AA300" i="48" s="1"/>
  <c r="AB300" i="48" s="1"/>
  <c r="AC300" i="48" s="1"/>
  <c r="AD300" i="48" s="1"/>
  <c r="AE300" i="48" s="1"/>
  <c r="AF300" i="48" s="1"/>
  <c r="D299" i="48"/>
  <c r="D298" i="48"/>
  <c r="D297" i="48"/>
  <c r="E297" i="48" s="1"/>
  <c r="D296" i="48"/>
  <c r="E296" i="48" s="1"/>
  <c r="F296" i="48" s="1"/>
  <c r="G296" i="48" s="1"/>
  <c r="D295" i="48"/>
  <c r="E295" i="48" s="1"/>
  <c r="F295" i="48" s="1"/>
  <c r="G295" i="48" s="1"/>
  <c r="H295" i="48" s="1"/>
  <c r="I295" i="48" s="1"/>
  <c r="J295" i="48" s="1"/>
  <c r="K295" i="48" s="1"/>
  <c r="L295" i="48" s="1"/>
  <c r="M295" i="48" s="1"/>
  <c r="N295" i="48" s="1"/>
  <c r="O295" i="48" s="1"/>
  <c r="P295" i="48" s="1"/>
  <c r="Q295" i="48" s="1"/>
  <c r="R295" i="48" s="1"/>
  <c r="S295" i="48" s="1"/>
  <c r="T295" i="48" s="1"/>
  <c r="U295" i="48" s="1"/>
  <c r="V295" i="48" s="1"/>
  <c r="W295" i="48" s="1"/>
  <c r="X295" i="48" s="1"/>
  <c r="Y295" i="48" s="1"/>
  <c r="Z295" i="48" s="1"/>
  <c r="AA295" i="48" s="1"/>
  <c r="AB295" i="48" s="1"/>
  <c r="AC295" i="48" s="1"/>
  <c r="AD295" i="48" s="1"/>
  <c r="AE295" i="48" s="1"/>
  <c r="AF295" i="48" s="1"/>
  <c r="D294" i="48"/>
  <c r="E294" i="48" s="1"/>
  <c r="F294" i="48" s="1"/>
  <c r="G294" i="48" s="1"/>
  <c r="H294" i="48" s="1"/>
  <c r="I294" i="48" s="1"/>
  <c r="J294" i="48" s="1"/>
  <c r="K294" i="48" s="1"/>
  <c r="L294" i="48" s="1"/>
  <c r="M294" i="48" s="1"/>
  <c r="N294" i="48" s="1"/>
  <c r="O294" i="48" s="1"/>
  <c r="P294" i="48" s="1"/>
  <c r="Q294" i="48" s="1"/>
  <c r="R294" i="48" s="1"/>
  <c r="S294" i="48" s="1"/>
  <c r="T294" i="48" s="1"/>
  <c r="U294" i="48" s="1"/>
  <c r="V294" i="48" s="1"/>
  <c r="W294" i="48" s="1"/>
  <c r="X294" i="48" s="1"/>
  <c r="Y294" i="48" s="1"/>
  <c r="Z294" i="48" s="1"/>
  <c r="AA294" i="48" s="1"/>
  <c r="AB294" i="48" s="1"/>
  <c r="AC294" i="48" s="1"/>
  <c r="AD294" i="48" s="1"/>
  <c r="AE294" i="48" s="1"/>
  <c r="AF294" i="48" s="1"/>
  <c r="D293" i="48"/>
  <c r="E293" i="48" s="1"/>
  <c r="D292" i="48"/>
  <c r="E292" i="48" s="1"/>
  <c r="F292" i="48" s="1"/>
  <c r="AG291" i="48"/>
  <c r="C291" i="48"/>
  <c r="D290" i="48"/>
  <c r="D291" i="48" s="1"/>
  <c r="D289" i="48"/>
  <c r="E289" i="48" s="1"/>
  <c r="F289" i="48" s="1"/>
  <c r="G289" i="48" s="1"/>
  <c r="H289" i="48" s="1"/>
  <c r="I289" i="48" s="1"/>
  <c r="J289" i="48" s="1"/>
  <c r="K289" i="48" s="1"/>
  <c r="L289" i="48" s="1"/>
  <c r="M289" i="48" s="1"/>
  <c r="N289" i="48" s="1"/>
  <c r="O289" i="48" s="1"/>
  <c r="P289" i="48" s="1"/>
  <c r="Q289" i="48" s="1"/>
  <c r="R289" i="48" s="1"/>
  <c r="S289" i="48" s="1"/>
  <c r="T289" i="48" s="1"/>
  <c r="U289" i="48" s="1"/>
  <c r="V289" i="48" s="1"/>
  <c r="W289" i="48" s="1"/>
  <c r="X289" i="48" s="1"/>
  <c r="Y289" i="48" s="1"/>
  <c r="Z289" i="48" s="1"/>
  <c r="AA289" i="48" s="1"/>
  <c r="AB289" i="48" s="1"/>
  <c r="AC289" i="48" s="1"/>
  <c r="AD289" i="48" s="1"/>
  <c r="AE289" i="48" s="1"/>
  <c r="AF289" i="48" s="1"/>
  <c r="D287" i="48"/>
  <c r="E287" i="48" s="1"/>
  <c r="D286" i="48"/>
  <c r="D285" i="48"/>
  <c r="E285" i="48" s="1"/>
  <c r="D284" i="48"/>
  <c r="D283" i="48"/>
  <c r="E283" i="48" s="1"/>
  <c r="D282" i="48"/>
  <c r="D281" i="48"/>
  <c r="E281" i="48" s="1"/>
  <c r="F281" i="48" s="1"/>
  <c r="G281" i="48" s="1"/>
  <c r="H281" i="48" s="1"/>
  <c r="I281" i="48" s="1"/>
  <c r="J281" i="48" s="1"/>
  <c r="K281" i="48" s="1"/>
  <c r="L281" i="48" s="1"/>
  <c r="M281" i="48" s="1"/>
  <c r="N281" i="48" s="1"/>
  <c r="O281" i="48" s="1"/>
  <c r="P281" i="48" s="1"/>
  <c r="Q281" i="48" s="1"/>
  <c r="R281" i="48" s="1"/>
  <c r="S281" i="48" s="1"/>
  <c r="T281" i="48" s="1"/>
  <c r="U281" i="48" s="1"/>
  <c r="V281" i="48" s="1"/>
  <c r="W281" i="48" s="1"/>
  <c r="X281" i="48" s="1"/>
  <c r="Y281" i="48" s="1"/>
  <c r="Z281" i="48" s="1"/>
  <c r="AA281" i="48" s="1"/>
  <c r="AB281" i="48" s="1"/>
  <c r="AC281" i="48" s="1"/>
  <c r="AD281" i="48" s="1"/>
  <c r="AE281" i="48" s="1"/>
  <c r="AF281" i="48" s="1"/>
  <c r="AG257" i="48"/>
  <c r="C257" i="48"/>
  <c r="AG240" i="48"/>
  <c r="C240" i="48"/>
  <c r="C196" i="48"/>
  <c r="D196" i="48" s="1"/>
  <c r="E196" i="48" s="1"/>
  <c r="F196" i="48" s="1"/>
  <c r="G196" i="48" s="1"/>
  <c r="H196" i="48" s="1"/>
  <c r="I196" i="48" s="1"/>
  <c r="J196" i="48" s="1"/>
  <c r="K196" i="48" s="1"/>
  <c r="L196" i="48" s="1"/>
  <c r="M196" i="48" s="1"/>
  <c r="N196" i="48" s="1"/>
  <c r="O196" i="48" s="1"/>
  <c r="P196" i="48" s="1"/>
  <c r="Q196" i="48" s="1"/>
  <c r="R196" i="48" s="1"/>
  <c r="S196" i="48" s="1"/>
  <c r="T196" i="48" s="1"/>
  <c r="U196" i="48" s="1"/>
  <c r="V196" i="48" s="1"/>
  <c r="W196" i="48" s="1"/>
  <c r="X196" i="48" s="1"/>
  <c r="Y196" i="48" s="1"/>
  <c r="Z196" i="48" s="1"/>
  <c r="AA196" i="48" s="1"/>
  <c r="AB196" i="48" s="1"/>
  <c r="AC196" i="48" s="1"/>
  <c r="AD196" i="48" s="1"/>
  <c r="AE196" i="48" s="1"/>
  <c r="AF196" i="48" s="1"/>
  <c r="AG196" i="48" s="1"/>
  <c r="D195" i="48"/>
  <c r="AG192" i="48"/>
  <c r="C192" i="48"/>
  <c r="AG191" i="48"/>
  <c r="AG193" i="48" s="1"/>
  <c r="C191" i="48"/>
  <c r="C193" i="48" s="1"/>
  <c r="D190" i="48"/>
  <c r="D191" i="48" s="1"/>
  <c r="AG188" i="48"/>
  <c r="C188" i="48"/>
  <c r="C132" i="48"/>
  <c r="D132" i="48" s="1"/>
  <c r="E132" i="48" s="1"/>
  <c r="D131" i="48"/>
  <c r="E131" i="48" s="1"/>
  <c r="D130" i="48"/>
  <c r="E130" i="48" s="1"/>
  <c r="F130" i="48" s="1"/>
  <c r="AG127" i="48"/>
  <c r="C127" i="48"/>
  <c r="AG126" i="48"/>
  <c r="AG128" i="48" s="1"/>
  <c r="C126" i="48"/>
  <c r="C128" i="48" s="1"/>
  <c r="D125" i="48"/>
  <c r="D126" i="48" s="1"/>
  <c r="AG123" i="48"/>
  <c r="C123" i="48"/>
  <c r="AG54" i="48"/>
  <c r="W52" i="48"/>
  <c r="M52" i="48"/>
  <c r="M49" i="48" s="1"/>
  <c r="C52" i="48"/>
  <c r="C49" i="48" s="1"/>
  <c r="AG51" i="48"/>
  <c r="AG50" i="48"/>
  <c r="C10" i="48"/>
  <c r="D10" i="48" s="1"/>
  <c r="E10" i="48" s="1"/>
  <c r="F10" i="48" s="1"/>
  <c r="G10" i="48" s="1"/>
  <c r="H10" i="48" s="1"/>
  <c r="I10" i="48" s="1"/>
  <c r="J10" i="48" s="1"/>
  <c r="K10" i="48" s="1"/>
  <c r="L10" i="48" s="1"/>
  <c r="M10" i="48" s="1"/>
  <c r="N10" i="48" s="1"/>
  <c r="O10" i="48" s="1"/>
  <c r="P10" i="48" s="1"/>
  <c r="Q10" i="48" s="1"/>
  <c r="R10" i="48" s="1"/>
  <c r="S10" i="48" s="1"/>
  <c r="T10" i="48" s="1"/>
  <c r="U10" i="48" s="1"/>
  <c r="V10" i="48" s="1"/>
  <c r="W10" i="48" s="1"/>
  <c r="X10" i="48" s="1"/>
  <c r="Y10" i="48" s="1"/>
  <c r="Z10" i="48" s="1"/>
  <c r="AA10" i="48" s="1"/>
  <c r="AB10" i="48" s="1"/>
  <c r="AC10" i="48" s="1"/>
  <c r="AD10" i="48" s="1"/>
  <c r="AE10" i="48" s="1"/>
  <c r="AF10" i="48" s="1"/>
  <c r="AG10" i="48" s="1"/>
  <c r="X1" i="48"/>
  <c r="Y1" i="48" s="1"/>
  <c r="N1" i="48"/>
  <c r="N51" i="48" s="1"/>
  <c r="D1" i="48"/>
  <c r="E1" i="48" s="1"/>
  <c r="AI51" i="47"/>
  <c r="AI47" i="47"/>
  <c r="AI53" i="47"/>
  <c r="AI52" i="47"/>
  <c r="AI50" i="47"/>
  <c r="AI49" i="47"/>
  <c r="AI48" i="47"/>
  <c r="AI46" i="47"/>
  <c r="F37" i="47"/>
  <c r="G37" i="47" s="1"/>
  <c r="H37" i="47" s="1"/>
  <c r="I37" i="47" s="1"/>
  <c r="J37" i="47" s="1"/>
  <c r="K37" i="47" s="1"/>
  <c r="L37" i="47" s="1"/>
  <c r="M37" i="47" s="1"/>
  <c r="N37" i="47" s="1"/>
  <c r="O37" i="47" s="1"/>
  <c r="P37" i="47" s="1"/>
  <c r="Q37" i="47" s="1"/>
  <c r="R37" i="47" s="1"/>
  <c r="S37" i="47" s="1"/>
  <c r="T37" i="47" s="1"/>
  <c r="U37" i="47" s="1"/>
  <c r="V37" i="47" s="1"/>
  <c r="W37" i="47" s="1"/>
  <c r="X37" i="47" s="1"/>
  <c r="Y37" i="47" s="1"/>
  <c r="Z37" i="47" s="1"/>
  <c r="AA37" i="47" s="1"/>
  <c r="AB37" i="47" s="1"/>
  <c r="AC37" i="47" s="1"/>
  <c r="AD37" i="47" s="1"/>
  <c r="AE37" i="47" s="1"/>
  <c r="AF37" i="47" s="1"/>
  <c r="AG37" i="47" s="1"/>
  <c r="AH37" i="47" s="1"/>
  <c r="AI37" i="47" s="1"/>
  <c r="Q7" i="47"/>
  <c r="P7" i="47"/>
  <c r="D359" i="46"/>
  <c r="E359" i="46" s="1"/>
  <c r="F359" i="46" s="1"/>
  <c r="G359" i="46" s="1"/>
  <c r="H359" i="46" s="1"/>
  <c r="I359" i="46" s="1"/>
  <c r="J359" i="46" s="1"/>
  <c r="K359" i="46" s="1"/>
  <c r="L359" i="46" s="1"/>
  <c r="M359" i="46" s="1"/>
  <c r="N359" i="46" s="1"/>
  <c r="O359" i="46" s="1"/>
  <c r="P359" i="46" s="1"/>
  <c r="Q359" i="46" s="1"/>
  <c r="R359" i="46" s="1"/>
  <c r="S359" i="46" s="1"/>
  <c r="T359" i="46" s="1"/>
  <c r="U359" i="46" s="1"/>
  <c r="V359" i="46" s="1"/>
  <c r="W359" i="46" s="1"/>
  <c r="X359" i="46" s="1"/>
  <c r="Y359" i="46" s="1"/>
  <c r="Z359" i="46" s="1"/>
  <c r="AA359" i="46" s="1"/>
  <c r="AB359" i="46" s="1"/>
  <c r="AC359" i="46" s="1"/>
  <c r="AD359" i="46" s="1"/>
  <c r="AE359" i="46" s="1"/>
  <c r="AF359" i="46" s="1"/>
  <c r="AG359" i="46" s="1"/>
  <c r="D354" i="46"/>
  <c r="E354" i="46" s="1"/>
  <c r="F354" i="46" s="1"/>
  <c r="G354" i="46" s="1"/>
  <c r="H354" i="46" s="1"/>
  <c r="I354" i="46" s="1"/>
  <c r="J354" i="46" s="1"/>
  <c r="K354" i="46" s="1"/>
  <c r="L354" i="46" s="1"/>
  <c r="M354" i="46" s="1"/>
  <c r="N354" i="46" s="1"/>
  <c r="O354" i="46" s="1"/>
  <c r="P354" i="46" s="1"/>
  <c r="Q354" i="46" s="1"/>
  <c r="R354" i="46" s="1"/>
  <c r="S354" i="46" s="1"/>
  <c r="T354" i="46" s="1"/>
  <c r="U354" i="46" s="1"/>
  <c r="V354" i="46" s="1"/>
  <c r="W354" i="46" s="1"/>
  <c r="X354" i="46" s="1"/>
  <c r="Y354" i="46" s="1"/>
  <c r="Z354" i="46" s="1"/>
  <c r="AA354" i="46" s="1"/>
  <c r="AB354" i="46" s="1"/>
  <c r="AC354" i="46" s="1"/>
  <c r="AD354" i="46" s="1"/>
  <c r="AE354" i="46" s="1"/>
  <c r="AF354" i="46" s="1"/>
  <c r="AG354" i="46" s="1"/>
  <c r="D308" i="46"/>
  <c r="E308" i="46" s="1"/>
  <c r="D307" i="46"/>
  <c r="E307" i="46" s="1"/>
  <c r="D306" i="46"/>
  <c r="E306" i="46" s="1"/>
  <c r="D305" i="46"/>
  <c r="D304" i="46"/>
  <c r="D303" i="46"/>
  <c r="E303" i="46" s="1"/>
  <c r="D302" i="46"/>
  <c r="E302" i="46" s="1"/>
  <c r="F302" i="46" s="1"/>
  <c r="G302" i="46" s="1"/>
  <c r="H302" i="46" s="1"/>
  <c r="I302" i="46" s="1"/>
  <c r="J302" i="46" s="1"/>
  <c r="K302" i="46" s="1"/>
  <c r="L302" i="46" s="1"/>
  <c r="M302" i="46" s="1"/>
  <c r="N302" i="46" s="1"/>
  <c r="O302" i="46" s="1"/>
  <c r="P302" i="46" s="1"/>
  <c r="Q302" i="46" s="1"/>
  <c r="R302" i="46" s="1"/>
  <c r="S302" i="46" s="1"/>
  <c r="T302" i="46" s="1"/>
  <c r="U302" i="46" s="1"/>
  <c r="V302" i="46" s="1"/>
  <c r="W302" i="46" s="1"/>
  <c r="X302" i="46" s="1"/>
  <c r="Y302" i="46" s="1"/>
  <c r="Z302" i="46" s="1"/>
  <c r="AA302" i="46" s="1"/>
  <c r="AB302" i="46" s="1"/>
  <c r="AC302" i="46" s="1"/>
  <c r="AD302" i="46" s="1"/>
  <c r="AE302" i="46" s="1"/>
  <c r="AF302" i="46" s="1"/>
  <c r="D301" i="46"/>
  <c r="E301" i="46" s="1"/>
  <c r="F301" i="46" s="1"/>
  <c r="G301" i="46" s="1"/>
  <c r="H301" i="46" s="1"/>
  <c r="I301" i="46" s="1"/>
  <c r="J301" i="46" s="1"/>
  <c r="K301" i="46" s="1"/>
  <c r="L301" i="46" s="1"/>
  <c r="M301" i="46" s="1"/>
  <c r="N301" i="46" s="1"/>
  <c r="O301" i="46" s="1"/>
  <c r="P301" i="46" s="1"/>
  <c r="Q301" i="46" s="1"/>
  <c r="R301" i="46" s="1"/>
  <c r="S301" i="46" s="1"/>
  <c r="T301" i="46" s="1"/>
  <c r="U301" i="46" s="1"/>
  <c r="V301" i="46" s="1"/>
  <c r="W301" i="46" s="1"/>
  <c r="X301" i="46" s="1"/>
  <c r="Y301" i="46" s="1"/>
  <c r="Z301" i="46" s="1"/>
  <c r="AA301" i="46" s="1"/>
  <c r="AB301" i="46" s="1"/>
  <c r="AC301" i="46" s="1"/>
  <c r="AD301" i="46" s="1"/>
  <c r="AE301" i="46" s="1"/>
  <c r="AF301" i="46" s="1"/>
  <c r="D300" i="46"/>
  <c r="E300" i="46" s="1"/>
  <c r="F300" i="46" s="1"/>
  <c r="G300" i="46" s="1"/>
  <c r="H300" i="46" s="1"/>
  <c r="I300" i="46" s="1"/>
  <c r="J300" i="46" s="1"/>
  <c r="K300" i="46" s="1"/>
  <c r="L300" i="46" s="1"/>
  <c r="M300" i="46" s="1"/>
  <c r="N300" i="46" s="1"/>
  <c r="O300" i="46" s="1"/>
  <c r="P300" i="46" s="1"/>
  <c r="Q300" i="46" s="1"/>
  <c r="R300" i="46" s="1"/>
  <c r="S300" i="46" s="1"/>
  <c r="T300" i="46" s="1"/>
  <c r="U300" i="46" s="1"/>
  <c r="V300" i="46" s="1"/>
  <c r="W300" i="46" s="1"/>
  <c r="X300" i="46" s="1"/>
  <c r="Y300" i="46" s="1"/>
  <c r="Z300" i="46" s="1"/>
  <c r="AA300" i="46" s="1"/>
  <c r="AB300" i="46" s="1"/>
  <c r="AC300" i="46" s="1"/>
  <c r="AD300" i="46" s="1"/>
  <c r="AE300" i="46" s="1"/>
  <c r="AF300" i="46" s="1"/>
  <c r="D299" i="46"/>
  <c r="E299" i="46" s="1"/>
  <c r="D298" i="46"/>
  <c r="E298" i="46" s="1"/>
  <c r="F298" i="46" s="1"/>
  <c r="D297" i="46"/>
  <c r="D296" i="46"/>
  <c r="D295" i="46"/>
  <c r="E295" i="46" s="1"/>
  <c r="F295" i="46" s="1"/>
  <c r="G295" i="46" s="1"/>
  <c r="H295" i="46" s="1"/>
  <c r="I295" i="46" s="1"/>
  <c r="J295" i="46" s="1"/>
  <c r="K295" i="46" s="1"/>
  <c r="L295" i="46" s="1"/>
  <c r="M295" i="46" s="1"/>
  <c r="N295" i="46" s="1"/>
  <c r="O295" i="46" s="1"/>
  <c r="P295" i="46" s="1"/>
  <c r="Q295" i="46" s="1"/>
  <c r="R295" i="46" s="1"/>
  <c r="S295" i="46" s="1"/>
  <c r="T295" i="46" s="1"/>
  <c r="U295" i="46" s="1"/>
  <c r="V295" i="46" s="1"/>
  <c r="W295" i="46" s="1"/>
  <c r="X295" i="46" s="1"/>
  <c r="Y295" i="46" s="1"/>
  <c r="Z295" i="46" s="1"/>
  <c r="AA295" i="46" s="1"/>
  <c r="AB295" i="46" s="1"/>
  <c r="AC295" i="46" s="1"/>
  <c r="AD295" i="46" s="1"/>
  <c r="AE295" i="46" s="1"/>
  <c r="AF295" i="46" s="1"/>
  <c r="D294" i="46"/>
  <c r="E294" i="46" s="1"/>
  <c r="F294" i="46" s="1"/>
  <c r="G294" i="46" s="1"/>
  <c r="H294" i="46" s="1"/>
  <c r="I294" i="46" s="1"/>
  <c r="J294" i="46" s="1"/>
  <c r="K294" i="46" s="1"/>
  <c r="L294" i="46" s="1"/>
  <c r="M294" i="46" s="1"/>
  <c r="N294" i="46" s="1"/>
  <c r="O294" i="46" s="1"/>
  <c r="P294" i="46" s="1"/>
  <c r="Q294" i="46" s="1"/>
  <c r="R294" i="46" s="1"/>
  <c r="S294" i="46" s="1"/>
  <c r="T294" i="46" s="1"/>
  <c r="U294" i="46" s="1"/>
  <c r="V294" i="46" s="1"/>
  <c r="W294" i="46" s="1"/>
  <c r="X294" i="46" s="1"/>
  <c r="Y294" i="46" s="1"/>
  <c r="Z294" i="46" s="1"/>
  <c r="AA294" i="46" s="1"/>
  <c r="AB294" i="46" s="1"/>
  <c r="AC294" i="46" s="1"/>
  <c r="AD294" i="46" s="1"/>
  <c r="AE294" i="46" s="1"/>
  <c r="AF294" i="46" s="1"/>
  <c r="D293" i="46"/>
  <c r="D292" i="46"/>
  <c r="AG291" i="46"/>
  <c r="C291" i="46"/>
  <c r="D290" i="46"/>
  <c r="E290" i="46" s="1"/>
  <c r="D289" i="46"/>
  <c r="E289" i="46" s="1"/>
  <c r="F289" i="46" s="1"/>
  <c r="G289" i="46" s="1"/>
  <c r="H289" i="46" s="1"/>
  <c r="I289" i="46" s="1"/>
  <c r="J289" i="46" s="1"/>
  <c r="K289" i="46" s="1"/>
  <c r="L289" i="46" s="1"/>
  <c r="M289" i="46" s="1"/>
  <c r="N289" i="46" s="1"/>
  <c r="O289" i="46" s="1"/>
  <c r="P289" i="46" s="1"/>
  <c r="Q289" i="46" s="1"/>
  <c r="R289" i="46" s="1"/>
  <c r="S289" i="46" s="1"/>
  <c r="T289" i="46" s="1"/>
  <c r="U289" i="46" s="1"/>
  <c r="V289" i="46" s="1"/>
  <c r="W289" i="46" s="1"/>
  <c r="X289" i="46" s="1"/>
  <c r="Y289" i="46" s="1"/>
  <c r="Z289" i="46" s="1"/>
  <c r="AA289" i="46" s="1"/>
  <c r="AB289" i="46" s="1"/>
  <c r="AC289" i="46" s="1"/>
  <c r="AD289" i="46" s="1"/>
  <c r="AE289" i="46" s="1"/>
  <c r="AF289" i="46" s="1"/>
  <c r="D287" i="46"/>
  <c r="E287" i="46" s="1"/>
  <c r="F287" i="46" s="1"/>
  <c r="G287" i="46" s="1"/>
  <c r="D286" i="46"/>
  <c r="D285" i="46"/>
  <c r="E285" i="46" s="1"/>
  <c r="D284" i="46"/>
  <c r="E284" i="46" s="1"/>
  <c r="D283" i="46"/>
  <c r="E283" i="46" s="1"/>
  <c r="F283" i="46" s="1"/>
  <c r="D282" i="46"/>
  <c r="E282" i="46" s="1"/>
  <c r="D281" i="46"/>
  <c r="E281" i="46" s="1"/>
  <c r="F281" i="46" s="1"/>
  <c r="G281" i="46" s="1"/>
  <c r="H281" i="46" s="1"/>
  <c r="I281" i="46" s="1"/>
  <c r="J281" i="46" s="1"/>
  <c r="K281" i="46" s="1"/>
  <c r="L281" i="46" s="1"/>
  <c r="M281" i="46" s="1"/>
  <c r="N281" i="46" s="1"/>
  <c r="O281" i="46" s="1"/>
  <c r="P281" i="46" s="1"/>
  <c r="Q281" i="46" s="1"/>
  <c r="R281" i="46" s="1"/>
  <c r="S281" i="46" s="1"/>
  <c r="T281" i="46" s="1"/>
  <c r="U281" i="46" s="1"/>
  <c r="V281" i="46" s="1"/>
  <c r="W281" i="46" s="1"/>
  <c r="X281" i="46" s="1"/>
  <c r="Y281" i="46" s="1"/>
  <c r="Z281" i="46" s="1"/>
  <c r="AA281" i="46" s="1"/>
  <c r="AB281" i="46" s="1"/>
  <c r="AC281" i="46" s="1"/>
  <c r="AD281" i="46" s="1"/>
  <c r="AE281" i="46" s="1"/>
  <c r="AF281" i="46" s="1"/>
  <c r="AG257" i="46"/>
  <c r="C257" i="46"/>
  <c r="AG240" i="46"/>
  <c r="C240" i="46"/>
  <c r="C196" i="46"/>
  <c r="D196" i="46" s="1"/>
  <c r="E196" i="46" s="1"/>
  <c r="F196" i="46" s="1"/>
  <c r="G196" i="46" s="1"/>
  <c r="H196" i="46" s="1"/>
  <c r="I196" i="46" s="1"/>
  <c r="J196" i="46" s="1"/>
  <c r="K196" i="46" s="1"/>
  <c r="L196" i="46" s="1"/>
  <c r="M196" i="46" s="1"/>
  <c r="N196" i="46" s="1"/>
  <c r="O196" i="46" s="1"/>
  <c r="P196" i="46" s="1"/>
  <c r="Q196" i="46" s="1"/>
  <c r="R196" i="46" s="1"/>
  <c r="S196" i="46" s="1"/>
  <c r="T196" i="46" s="1"/>
  <c r="U196" i="46" s="1"/>
  <c r="V196" i="46" s="1"/>
  <c r="W196" i="46" s="1"/>
  <c r="X196" i="46" s="1"/>
  <c r="Y196" i="46" s="1"/>
  <c r="Z196" i="46" s="1"/>
  <c r="AA196" i="46" s="1"/>
  <c r="AB196" i="46" s="1"/>
  <c r="AC196" i="46" s="1"/>
  <c r="AD196" i="46" s="1"/>
  <c r="AE196" i="46" s="1"/>
  <c r="AF196" i="46" s="1"/>
  <c r="AG196" i="46" s="1"/>
  <c r="D195" i="46"/>
  <c r="AG192" i="46"/>
  <c r="C192" i="46"/>
  <c r="AG191" i="46"/>
  <c r="AG193" i="46" s="1"/>
  <c r="C191" i="46"/>
  <c r="C193" i="46" s="1"/>
  <c r="D190" i="46"/>
  <c r="E190" i="46" s="1"/>
  <c r="E191" i="46" s="1"/>
  <c r="AG188" i="46"/>
  <c r="C188" i="46"/>
  <c r="C132" i="46"/>
  <c r="C133" i="46" s="1"/>
  <c r="D131" i="46"/>
  <c r="E131" i="46" s="1"/>
  <c r="F131" i="46" s="1"/>
  <c r="G131" i="46" s="1"/>
  <c r="D130" i="46"/>
  <c r="E130" i="46" s="1"/>
  <c r="AG127" i="46"/>
  <c r="C127" i="46"/>
  <c r="AG126" i="46"/>
  <c r="AG128" i="46" s="1"/>
  <c r="C126" i="46"/>
  <c r="C128" i="46" s="1"/>
  <c r="C136" i="46" s="1"/>
  <c r="D125" i="46"/>
  <c r="E125" i="46" s="1"/>
  <c r="E126" i="46" s="1"/>
  <c r="AG123" i="46"/>
  <c r="C123" i="46"/>
  <c r="AG54" i="46"/>
  <c r="W52" i="46"/>
  <c r="W49" i="46" s="1"/>
  <c r="M52" i="46"/>
  <c r="M49" i="46" s="1"/>
  <c r="C52" i="46"/>
  <c r="C49" i="46" s="1"/>
  <c r="AG51" i="46"/>
  <c r="AG50" i="46"/>
  <c r="C10" i="46"/>
  <c r="D10" i="46" s="1"/>
  <c r="E10" i="46" s="1"/>
  <c r="F10" i="46" s="1"/>
  <c r="G10" i="46" s="1"/>
  <c r="H10" i="46" s="1"/>
  <c r="I10" i="46" s="1"/>
  <c r="J10" i="46" s="1"/>
  <c r="K10" i="46" s="1"/>
  <c r="L10" i="46" s="1"/>
  <c r="M10" i="46" s="1"/>
  <c r="N10" i="46" s="1"/>
  <c r="O10" i="46" s="1"/>
  <c r="P10" i="46" s="1"/>
  <c r="Q10" i="46" s="1"/>
  <c r="R10" i="46" s="1"/>
  <c r="S10" i="46" s="1"/>
  <c r="T10" i="46" s="1"/>
  <c r="U10" i="46" s="1"/>
  <c r="V10" i="46" s="1"/>
  <c r="W10" i="46" s="1"/>
  <c r="X10" i="46" s="1"/>
  <c r="Y10" i="46" s="1"/>
  <c r="Z10" i="46" s="1"/>
  <c r="AA10" i="46" s="1"/>
  <c r="AB10" i="46" s="1"/>
  <c r="AC10" i="46" s="1"/>
  <c r="AD10" i="46" s="1"/>
  <c r="AE10" i="46" s="1"/>
  <c r="AF10" i="46" s="1"/>
  <c r="AG10" i="46" s="1"/>
  <c r="X1" i="46"/>
  <c r="Y1" i="46" s="1"/>
  <c r="N1" i="46"/>
  <c r="N51" i="46" s="1"/>
  <c r="D1" i="46"/>
  <c r="AK65" i="45"/>
  <c r="AL65" i="45"/>
  <c r="AM65" i="45"/>
  <c r="AN65" i="45"/>
  <c r="AO65" i="45"/>
  <c r="AP65" i="45"/>
  <c r="AQ65" i="45"/>
  <c r="AR65" i="45"/>
  <c r="AS65" i="45"/>
  <c r="AT65" i="45"/>
  <c r="AU65" i="45"/>
  <c r="AV65" i="45"/>
  <c r="AW65" i="45"/>
  <c r="AX65" i="45"/>
  <c r="AY65" i="45"/>
  <c r="AZ65" i="45"/>
  <c r="BA65" i="45"/>
  <c r="BB65" i="45"/>
  <c r="BC65" i="45"/>
  <c r="BD65" i="45"/>
  <c r="BE65" i="45"/>
  <c r="BF65" i="45"/>
  <c r="BG65" i="45"/>
  <c r="BH65" i="45"/>
  <c r="BI65" i="45"/>
  <c r="BJ65" i="45"/>
  <c r="BK65" i="45"/>
  <c r="BL65" i="45"/>
  <c r="BM65" i="45"/>
  <c r="BN65" i="45"/>
  <c r="AJ65" i="45"/>
  <c r="AK62" i="45"/>
  <c r="AL62" i="45"/>
  <c r="AM62" i="45"/>
  <c r="AN62" i="45"/>
  <c r="AO62" i="45"/>
  <c r="AP62" i="45"/>
  <c r="AQ62" i="45"/>
  <c r="AR62" i="45"/>
  <c r="AS62" i="45"/>
  <c r="AT62" i="45"/>
  <c r="AU62" i="45"/>
  <c r="AV62" i="45"/>
  <c r="AW62" i="45"/>
  <c r="AX62" i="45"/>
  <c r="AY62" i="45"/>
  <c r="AZ62" i="45"/>
  <c r="BA62" i="45"/>
  <c r="BB62" i="45"/>
  <c r="BC62" i="45"/>
  <c r="BD62" i="45"/>
  <c r="BE62" i="45"/>
  <c r="BF62" i="45"/>
  <c r="BG62" i="45"/>
  <c r="BH62" i="45"/>
  <c r="BI62" i="45"/>
  <c r="BJ62" i="45"/>
  <c r="BK62" i="45"/>
  <c r="BL62" i="45"/>
  <c r="BM62" i="45"/>
  <c r="BN62" i="45"/>
  <c r="AJ62" i="45"/>
  <c r="AJ33" i="45"/>
  <c r="AJ30" i="45"/>
  <c r="AJ21" i="45"/>
  <c r="D66" i="45"/>
  <c r="AJ66" i="45" s="1"/>
  <c r="D64" i="45"/>
  <c r="AJ64" i="45" s="1"/>
  <c r="D61" i="45"/>
  <c r="AJ61" i="45" s="1"/>
  <c r="AJ63" i="45" l="1"/>
  <c r="AJ69" i="45" s="1"/>
  <c r="AG52" i="48"/>
  <c r="AG49" i="48" s="1"/>
  <c r="Y51" i="48"/>
  <c r="E125" i="48"/>
  <c r="C133" i="48"/>
  <c r="E290" i="48"/>
  <c r="F290" i="48" s="1"/>
  <c r="E190" i="48"/>
  <c r="F190" i="48" s="1"/>
  <c r="E291" i="48"/>
  <c r="D197" i="48"/>
  <c r="Z1" i="48"/>
  <c r="AA1" i="48" s="1"/>
  <c r="AB1" i="48" s="1"/>
  <c r="AC1" i="48" s="1"/>
  <c r="AD1" i="48" s="1"/>
  <c r="AG200" i="48"/>
  <c r="AG370" i="48" s="1"/>
  <c r="CF2" i="59"/>
  <c r="CE66" i="59"/>
  <c r="CE67" i="59"/>
  <c r="CE68" i="59"/>
  <c r="CE69" i="59"/>
  <c r="CE61" i="59"/>
  <c r="CE70" i="59"/>
  <c r="CE62" i="59"/>
  <c r="CE73" i="59"/>
  <c r="CE65" i="59"/>
  <c r="CE64" i="59"/>
  <c r="CE63" i="59"/>
  <c r="CE74" i="59"/>
  <c r="CE72" i="59"/>
  <c r="CE71" i="59"/>
  <c r="CD75" i="59"/>
  <c r="N145" i="55"/>
  <c r="AS145" i="55"/>
  <c r="O143" i="55"/>
  <c r="AT143" i="55"/>
  <c r="DF143" i="55" s="1"/>
  <c r="AT144" i="55"/>
  <c r="O144" i="55"/>
  <c r="AT139" i="55"/>
  <c r="DF139" i="55" s="1"/>
  <c r="O139" i="55"/>
  <c r="P140" i="55"/>
  <c r="AU140" i="55"/>
  <c r="DG140" i="55" s="1"/>
  <c r="R147" i="55"/>
  <c r="AW147" i="55"/>
  <c r="AX146" i="55"/>
  <c r="S146" i="55"/>
  <c r="AX170" i="55"/>
  <c r="S170" i="55"/>
  <c r="N166" i="55"/>
  <c r="AS166" i="55"/>
  <c r="DE166" i="55" s="1"/>
  <c r="N167" i="55"/>
  <c r="AS167" i="55"/>
  <c r="AS162" i="55"/>
  <c r="DE162" i="55" s="1"/>
  <c r="N162" i="55"/>
  <c r="Q169" i="55"/>
  <c r="AV169" i="55"/>
  <c r="AS165" i="55"/>
  <c r="DE165" i="55" s="1"/>
  <c r="N165" i="55"/>
  <c r="AT163" i="55"/>
  <c r="DF163" i="55" s="1"/>
  <c r="O163" i="55"/>
  <c r="M168" i="55"/>
  <c r="AR168" i="55"/>
  <c r="BY162" i="55"/>
  <c r="N164" i="55"/>
  <c r="AS164" i="55"/>
  <c r="DE164" i="55" s="1"/>
  <c r="AV124" i="55"/>
  <c r="Q124" i="55"/>
  <c r="N122" i="55"/>
  <c r="AS122" i="55"/>
  <c r="BX116" i="55"/>
  <c r="AV123" i="55"/>
  <c r="Q123" i="55"/>
  <c r="AS75" i="55"/>
  <c r="N75" i="55"/>
  <c r="O94" i="55"/>
  <c r="AT94" i="55"/>
  <c r="DF94" i="55" s="1"/>
  <c r="N98" i="55"/>
  <c r="AS98" i="55"/>
  <c r="BY93" i="55"/>
  <c r="BY70" i="55"/>
  <c r="N97" i="55"/>
  <c r="AS97" i="55"/>
  <c r="DE97" i="55" s="1"/>
  <c r="M76" i="55"/>
  <c r="AR76" i="55"/>
  <c r="AR99" i="55"/>
  <c r="M99" i="55"/>
  <c r="O117" i="55"/>
  <c r="AT117" i="55"/>
  <c r="DF117" i="55" s="1"/>
  <c r="N93" i="55"/>
  <c r="AS93" i="55"/>
  <c r="DE93" i="55" s="1"/>
  <c r="AS70" i="55"/>
  <c r="DE70" i="55" s="1"/>
  <c r="N70" i="55"/>
  <c r="AS116" i="55"/>
  <c r="DE116" i="55" s="1"/>
  <c r="N116" i="55"/>
  <c r="O71" i="55"/>
  <c r="AT71" i="55"/>
  <c r="DF71" i="55" s="1"/>
  <c r="AS74" i="55"/>
  <c r="DE74" i="55" s="1"/>
  <c r="N74" i="55"/>
  <c r="AS118" i="55"/>
  <c r="DE118" i="55" s="1"/>
  <c r="N118" i="55"/>
  <c r="M119" i="55"/>
  <c r="AR119" i="55"/>
  <c r="DD119" i="55" s="1"/>
  <c r="N120" i="55"/>
  <c r="AS120" i="55"/>
  <c r="DE120" i="55" s="1"/>
  <c r="AS121" i="55"/>
  <c r="N121" i="55"/>
  <c r="CA97" i="55"/>
  <c r="Q101" i="55"/>
  <c r="AV101" i="55"/>
  <c r="R100" i="55"/>
  <c r="AW100" i="55"/>
  <c r="R77" i="55"/>
  <c r="AW77" i="55"/>
  <c r="Q78" i="55"/>
  <c r="AV78" i="55"/>
  <c r="N49" i="55"/>
  <c r="AS49" i="55"/>
  <c r="DE49" i="55" s="1"/>
  <c r="N47" i="55"/>
  <c r="AS47" i="55"/>
  <c r="DE47" i="55" s="1"/>
  <c r="AS51" i="55"/>
  <c r="DE51" i="55" s="1"/>
  <c r="N51" i="55"/>
  <c r="N52" i="55"/>
  <c r="AS52" i="55"/>
  <c r="N53" i="55"/>
  <c r="AS53" i="55"/>
  <c r="M50" i="55"/>
  <c r="AR50" i="55"/>
  <c r="DD50" i="55" s="1"/>
  <c r="O48" i="55"/>
  <c r="AT48" i="55"/>
  <c r="DF48" i="55" s="1"/>
  <c r="R54" i="55"/>
  <c r="AW54" i="55"/>
  <c r="AW55" i="55"/>
  <c r="R55" i="55"/>
  <c r="P31" i="55"/>
  <c r="AU31" i="55"/>
  <c r="BZ24" i="55"/>
  <c r="P32" i="55"/>
  <c r="AU32" i="55"/>
  <c r="O29" i="55"/>
  <c r="AT29" i="55"/>
  <c r="O28" i="55"/>
  <c r="AT28" i="55"/>
  <c r="DF28" i="55" s="1"/>
  <c r="P25" i="55"/>
  <c r="AU25" i="55"/>
  <c r="DG25" i="55" s="1"/>
  <c r="N30" i="55"/>
  <c r="AS30" i="55"/>
  <c r="O24" i="55"/>
  <c r="AU24" i="55" s="1"/>
  <c r="DG24" i="55" s="1"/>
  <c r="N204" i="55"/>
  <c r="N205" i="55" s="1"/>
  <c r="O3" i="55"/>
  <c r="U117" i="53"/>
  <c r="U116" i="53" s="1"/>
  <c r="U50" i="53"/>
  <c r="V1" i="53"/>
  <c r="V145" i="53" s="1"/>
  <c r="U154" i="53"/>
  <c r="O247" i="53"/>
  <c r="U52" i="54"/>
  <c r="U49" i="54" s="1"/>
  <c r="AE154" i="54"/>
  <c r="AE117" i="54"/>
  <c r="AE50" i="54"/>
  <c r="AE51" i="54"/>
  <c r="AF1" i="54"/>
  <c r="AE84" i="54"/>
  <c r="AE145" i="54"/>
  <c r="AE119" i="54"/>
  <c r="AE132" i="54"/>
  <c r="AE135" i="54" s="1"/>
  <c r="AF118" i="54"/>
  <c r="L173" i="54"/>
  <c r="L191" i="54"/>
  <c r="J153" i="54"/>
  <c r="M170" i="54"/>
  <c r="AC134" i="54"/>
  <c r="AC131" i="54"/>
  <c r="L193" i="54"/>
  <c r="V119" i="54"/>
  <c r="V132" i="54"/>
  <c r="V135" i="54" s="1"/>
  <c r="O192" i="54"/>
  <c r="L195" i="54"/>
  <c r="AD52" i="54"/>
  <c r="AD49" i="54" s="1"/>
  <c r="M171" i="54"/>
  <c r="N123" i="54"/>
  <c r="M125" i="54"/>
  <c r="M127" i="54"/>
  <c r="N181" i="54"/>
  <c r="M196" i="54"/>
  <c r="M92" i="54"/>
  <c r="U144" i="54"/>
  <c r="U148" i="54"/>
  <c r="AD83" i="54"/>
  <c r="J52" i="54"/>
  <c r="J49" i="54" s="1"/>
  <c r="M172" i="54"/>
  <c r="M91" i="54"/>
  <c r="I131" i="54"/>
  <c r="I134" i="54"/>
  <c r="U153" i="54"/>
  <c r="AD121" i="54"/>
  <c r="AD128" i="54" s="1"/>
  <c r="AD120" i="54"/>
  <c r="AD116" i="54"/>
  <c r="I101" i="54"/>
  <c r="I102" i="54" s="1"/>
  <c r="I96" i="54"/>
  <c r="I97" i="54"/>
  <c r="I95" i="54"/>
  <c r="AB133" i="54"/>
  <c r="K179" i="54"/>
  <c r="L178" i="54"/>
  <c r="L194" i="54"/>
  <c r="L180" i="54"/>
  <c r="S133" i="54"/>
  <c r="L175" i="54"/>
  <c r="H258" i="54"/>
  <c r="H259" i="54"/>
  <c r="AD148" i="54"/>
  <c r="AD144" i="54"/>
  <c r="M185" i="54"/>
  <c r="L184" i="54"/>
  <c r="J87" i="54"/>
  <c r="J100" i="54" s="1"/>
  <c r="J88" i="54"/>
  <c r="J83" i="54"/>
  <c r="H133" i="54"/>
  <c r="I128" i="54"/>
  <c r="I127" i="54"/>
  <c r="U116" i="54"/>
  <c r="U121" i="54"/>
  <c r="U128" i="54" s="1"/>
  <c r="U120" i="54"/>
  <c r="H105" i="54"/>
  <c r="H103" i="54"/>
  <c r="H104" i="54"/>
  <c r="T131" i="54"/>
  <c r="T134" i="54"/>
  <c r="K154" i="54"/>
  <c r="K117" i="54"/>
  <c r="K50" i="54"/>
  <c r="K84" i="54"/>
  <c r="K51" i="54"/>
  <c r="L1" i="54"/>
  <c r="K145" i="54"/>
  <c r="L93" i="54"/>
  <c r="M90" i="54"/>
  <c r="U83" i="54"/>
  <c r="AD153" i="54"/>
  <c r="J121" i="54"/>
  <c r="J116" i="54"/>
  <c r="J120" i="54"/>
  <c r="K86" i="54"/>
  <c r="L85" i="54"/>
  <c r="L187" i="54"/>
  <c r="V154" i="54"/>
  <c r="V145" i="54"/>
  <c r="V117" i="54"/>
  <c r="V84" i="54"/>
  <c r="V50" i="54"/>
  <c r="V51" i="54"/>
  <c r="K132" i="54"/>
  <c r="K135" i="54" s="1"/>
  <c r="L118" i="54"/>
  <c r="K119" i="54"/>
  <c r="M186" i="54"/>
  <c r="X251" i="54"/>
  <c r="J144" i="54"/>
  <c r="J148" i="54"/>
  <c r="Y247" i="54"/>
  <c r="M174" i="54"/>
  <c r="J259" i="53"/>
  <c r="L116" i="53"/>
  <c r="L120" i="53"/>
  <c r="M172" i="53"/>
  <c r="L125" i="53"/>
  <c r="M123" i="53"/>
  <c r="M187" i="53"/>
  <c r="L144" i="53"/>
  <c r="M90" i="53"/>
  <c r="AE153" i="53"/>
  <c r="N181" i="53"/>
  <c r="L185" i="53"/>
  <c r="M186" i="53"/>
  <c r="L193" i="53"/>
  <c r="N191" i="53"/>
  <c r="L153" i="53"/>
  <c r="L180" i="53"/>
  <c r="L119" i="53"/>
  <c r="L121" i="53" s="1"/>
  <c r="AE83" i="53"/>
  <c r="L192" i="53"/>
  <c r="U83" i="53"/>
  <c r="L52" i="53"/>
  <c r="L49" i="53" s="1"/>
  <c r="AE144" i="53"/>
  <c r="N91" i="53"/>
  <c r="K258" i="53"/>
  <c r="L178" i="53"/>
  <c r="K179" i="53"/>
  <c r="K259" i="53" s="1"/>
  <c r="L184" i="53"/>
  <c r="U144" i="53"/>
  <c r="M86" i="53"/>
  <c r="M88" i="53" s="1"/>
  <c r="N85" i="53"/>
  <c r="M87" i="53"/>
  <c r="N173" i="53"/>
  <c r="AE116" i="53"/>
  <c r="L92" i="53"/>
  <c r="U153" i="53"/>
  <c r="L170" i="53"/>
  <c r="M195" i="53"/>
  <c r="AE52" i="53"/>
  <c r="AE49" i="53" s="1"/>
  <c r="L196" i="53"/>
  <c r="L175" i="53"/>
  <c r="N194" i="53"/>
  <c r="N174" i="53"/>
  <c r="U52" i="53"/>
  <c r="U49" i="53" s="1"/>
  <c r="L88" i="53"/>
  <c r="L87" i="53"/>
  <c r="L83" i="53"/>
  <c r="AF50" i="53"/>
  <c r="AF51" i="53"/>
  <c r="AF154" i="53"/>
  <c r="AF84" i="53"/>
  <c r="AF145" i="53"/>
  <c r="AF117" i="53"/>
  <c r="K97" i="53"/>
  <c r="K96" i="53"/>
  <c r="K127" i="53"/>
  <c r="M171" i="53"/>
  <c r="V117" i="53"/>
  <c r="AP45" i="51"/>
  <c r="N3" i="51"/>
  <c r="K45" i="51"/>
  <c r="E51" i="48"/>
  <c r="E50" i="48"/>
  <c r="F1" i="48"/>
  <c r="Z50" i="48"/>
  <c r="D51" i="48"/>
  <c r="W241" i="48"/>
  <c r="W258" i="48"/>
  <c r="W189" i="48"/>
  <c r="W124" i="48"/>
  <c r="O1" i="48"/>
  <c r="X50" i="48"/>
  <c r="AB50" i="48"/>
  <c r="X51" i="48"/>
  <c r="M258" i="48"/>
  <c r="M241" i="48"/>
  <c r="M189" i="48"/>
  <c r="M124" i="48"/>
  <c r="Y50" i="48"/>
  <c r="D50" i="48"/>
  <c r="W49" i="48"/>
  <c r="N50" i="48"/>
  <c r="E126" i="48"/>
  <c r="F125" i="48"/>
  <c r="F131" i="48"/>
  <c r="C136" i="48"/>
  <c r="C137" i="48"/>
  <c r="C135" i="48"/>
  <c r="G130" i="48"/>
  <c r="F132" i="48"/>
  <c r="D133" i="48"/>
  <c r="E133" i="48"/>
  <c r="C199" i="48"/>
  <c r="C200" i="48"/>
  <c r="C370" i="48" s="1"/>
  <c r="E195" i="48"/>
  <c r="C197" i="48"/>
  <c r="E286" i="48"/>
  <c r="F293" i="48"/>
  <c r="H296" i="48"/>
  <c r="E282" i="48"/>
  <c r="F287" i="48"/>
  <c r="F283" i="48"/>
  <c r="F291" i="48"/>
  <c r="G290" i="48"/>
  <c r="F297" i="48"/>
  <c r="E284" i="48"/>
  <c r="F285" i="48"/>
  <c r="C371" i="48"/>
  <c r="G292" i="48"/>
  <c r="AG371" i="48"/>
  <c r="E305" i="48"/>
  <c r="E298" i="48"/>
  <c r="F304" i="48"/>
  <c r="E299" i="48"/>
  <c r="F308" i="48"/>
  <c r="E303" i="48"/>
  <c r="F306" i="48"/>
  <c r="E307" i="48"/>
  <c r="F359" i="48"/>
  <c r="D132" i="46"/>
  <c r="E132" i="46" s="1"/>
  <c r="O1" i="46"/>
  <c r="O51" i="46" s="1"/>
  <c r="Y50" i="46"/>
  <c r="X51" i="46"/>
  <c r="AG52" i="46"/>
  <c r="W189" i="46" s="1"/>
  <c r="X50" i="46"/>
  <c r="D51" i="46"/>
  <c r="D50" i="46"/>
  <c r="E1" i="46"/>
  <c r="Z1" i="46"/>
  <c r="AA1" i="46" s="1"/>
  <c r="AB1" i="46" s="1"/>
  <c r="AC1" i="46" s="1"/>
  <c r="Y51" i="46"/>
  <c r="N50" i="46"/>
  <c r="C137" i="46"/>
  <c r="C135" i="46"/>
  <c r="H131" i="46"/>
  <c r="D126" i="46"/>
  <c r="F130" i="46"/>
  <c r="F125" i="46"/>
  <c r="C199" i="46"/>
  <c r="C200" i="46"/>
  <c r="C370" i="46" s="1"/>
  <c r="AG200" i="46"/>
  <c r="AG370" i="46" s="1"/>
  <c r="D197" i="46"/>
  <c r="F190" i="46"/>
  <c r="D191" i="46"/>
  <c r="E195" i="46"/>
  <c r="C197" i="46"/>
  <c r="G283" i="46"/>
  <c r="F290" i="46"/>
  <c r="E291" i="46"/>
  <c r="F282" i="46"/>
  <c r="E286" i="46"/>
  <c r="F284" i="46"/>
  <c r="F285" i="46"/>
  <c r="H287" i="46"/>
  <c r="D291" i="46"/>
  <c r="F306" i="46"/>
  <c r="E292" i="46"/>
  <c r="E296" i="46"/>
  <c r="G298" i="46"/>
  <c r="F299" i="46"/>
  <c r="F303" i="46"/>
  <c r="E304" i="46"/>
  <c r="F308" i="46"/>
  <c r="E293" i="46"/>
  <c r="E297" i="46"/>
  <c r="E305" i="46"/>
  <c r="F307" i="46"/>
  <c r="G9" i="9"/>
  <c r="G6" i="9"/>
  <c r="L14" i="8"/>
  <c r="J14" i="8"/>
  <c r="H14" i="8"/>
  <c r="E191" i="48" l="1"/>
  <c r="AC50" i="48"/>
  <c r="AC51" i="48"/>
  <c r="AA50" i="48"/>
  <c r="AA51" i="48"/>
  <c r="AB51" i="48"/>
  <c r="Z51" i="48"/>
  <c r="G11" i="9"/>
  <c r="CE75" i="59"/>
  <c r="CG2" i="59"/>
  <c r="CF67" i="59"/>
  <c r="CF68" i="59"/>
  <c r="CF69" i="59"/>
  <c r="CF61" i="59"/>
  <c r="CF70" i="59"/>
  <c r="CF62" i="59"/>
  <c r="CF64" i="59"/>
  <c r="CF73" i="59"/>
  <c r="CF65" i="59"/>
  <c r="CF66" i="59"/>
  <c r="CF63" i="59"/>
  <c r="CF74" i="59"/>
  <c r="CF72" i="59"/>
  <c r="CF71" i="59"/>
  <c r="P139" i="55"/>
  <c r="AU139" i="55"/>
  <c r="DG139" i="55" s="1"/>
  <c r="AU144" i="55"/>
  <c r="P144" i="55"/>
  <c r="AV140" i="55"/>
  <c r="DH140" i="55" s="1"/>
  <c r="Q140" i="55"/>
  <c r="P143" i="55"/>
  <c r="AU143" i="55"/>
  <c r="DG143" i="55" s="1"/>
  <c r="O145" i="55"/>
  <c r="AT145" i="55"/>
  <c r="T146" i="55"/>
  <c r="AY146" i="55"/>
  <c r="S147" i="55"/>
  <c r="AX147" i="55"/>
  <c r="AU163" i="55"/>
  <c r="DG163" i="55" s="1"/>
  <c r="P163" i="55"/>
  <c r="O162" i="55"/>
  <c r="AT162" i="55"/>
  <c r="DF162" i="55" s="1"/>
  <c r="O166" i="55"/>
  <c r="AT166" i="55"/>
  <c r="DF166" i="55" s="1"/>
  <c r="N168" i="55"/>
  <c r="AS168" i="55"/>
  <c r="AW169" i="55"/>
  <c r="R169" i="55"/>
  <c r="O164" i="55"/>
  <c r="AT164" i="55"/>
  <c r="DF164" i="55" s="1"/>
  <c r="AY170" i="55"/>
  <c r="T170" i="55"/>
  <c r="BZ162" i="55"/>
  <c r="O167" i="55"/>
  <c r="AT167" i="55"/>
  <c r="AT165" i="55"/>
  <c r="DF165" i="55" s="1"/>
  <c r="O165" i="55"/>
  <c r="R124" i="55"/>
  <c r="AW124" i="55"/>
  <c r="N119" i="55"/>
  <c r="AS119" i="55"/>
  <c r="DE119" i="55" s="1"/>
  <c r="AS99" i="55"/>
  <c r="N99" i="55"/>
  <c r="AT98" i="55"/>
  <c r="O98" i="55"/>
  <c r="O121" i="55"/>
  <c r="AT121" i="55"/>
  <c r="AT118" i="55"/>
  <c r="DF118" i="55" s="1"/>
  <c r="O118" i="55"/>
  <c r="P94" i="55"/>
  <c r="AU94" i="55"/>
  <c r="DG94" i="55" s="1"/>
  <c r="AT74" i="55"/>
  <c r="DF74" i="55" s="1"/>
  <c r="O74" i="55"/>
  <c r="AS76" i="55"/>
  <c r="N76" i="55"/>
  <c r="AT75" i="55"/>
  <c r="O75" i="55"/>
  <c r="O122" i="55"/>
  <c r="AT122" i="55"/>
  <c r="AT120" i="55"/>
  <c r="DF120" i="55" s="1"/>
  <c r="O120" i="55"/>
  <c r="AT70" i="55"/>
  <c r="DF70" i="55" s="1"/>
  <c r="O70" i="55"/>
  <c r="BZ70" i="55"/>
  <c r="AT93" i="55"/>
  <c r="DF93" i="55" s="1"/>
  <c r="O93" i="55"/>
  <c r="O97" i="55"/>
  <c r="AT97" i="55"/>
  <c r="DF97" i="55" s="1"/>
  <c r="R123" i="55"/>
  <c r="AW123" i="55"/>
  <c r="P71" i="55"/>
  <c r="AU71" i="55"/>
  <c r="DG71" i="55" s="1"/>
  <c r="BZ93" i="55"/>
  <c r="AT116" i="55"/>
  <c r="DF116" i="55" s="1"/>
  <c r="O116" i="55"/>
  <c r="P117" i="55"/>
  <c r="AU117" i="55"/>
  <c r="DG117" i="55" s="1"/>
  <c r="BY116" i="55"/>
  <c r="S100" i="55"/>
  <c r="AX100" i="55"/>
  <c r="R101" i="55"/>
  <c r="AW101" i="55"/>
  <c r="CB97" i="55"/>
  <c r="R78" i="55"/>
  <c r="AW78" i="55"/>
  <c r="S77" i="55"/>
  <c r="AX77" i="55"/>
  <c r="O53" i="55"/>
  <c r="AT53" i="55"/>
  <c r="AT49" i="55"/>
  <c r="DF49" i="55" s="1"/>
  <c r="O49" i="55"/>
  <c r="P48" i="55"/>
  <c r="AU48" i="55"/>
  <c r="DG48" i="55" s="1"/>
  <c r="O52" i="55"/>
  <c r="AT52" i="55"/>
  <c r="N50" i="55"/>
  <c r="AS50" i="55"/>
  <c r="DE50" i="55" s="1"/>
  <c r="AT47" i="55"/>
  <c r="DF47" i="55" s="1"/>
  <c r="O47" i="55"/>
  <c r="AT51" i="55"/>
  <c r="DF51" i="55" s="1"/>
  <c r="O51" i="55"/>
  <c r="AX55" i="55"/>
  <c r="S55" i="55"/>
  <c r="S54" i="55"/>
  <c r="AX54" i="55"/>
  <c r="P28" i="55"/>
  <c r="AU28" i="55"/>
  <c r="DG28" i="55" s="1"/>
  <c r="Q32" i="55"/>
  <c r="AV32" i="55"/>
  <c r="O30" i="55"/>
  <c r="AT30" i="55"/>
  <c r="Q25" i="55"/>
  <c r="AV25" i="55"/>
  <c r="DH25" i="55" s="1"/>
  <c r="CA24" i="55"/>
  <c r="P29" i="55"/>
  <c r="AU29" i="55"/>
  <c r="Q31" i="55"/>
  <c r="AV31" i="55"/>
  <c r="P24" i="55"/>
  <c r="AV24" i="55" s="1"/>
  <c r="DH24" i="55" s="1"/>
  <c r="O204" i="55"/>
  <c r="O205" i="55" s="1"/>
  <c r="P3" i="55"/>
  <c r="V84" i="53"/>
  <c r="V154" i="53"/>
  <c r="V153" i="53" s="1"/>
  <c r="V51" i="53"/>
  <c r="V50" i="53"/>
  <c r="P247" i="53"/>
  <c r="V52" i="54"/>
  <c r="V49" i="54" s="1"/>
  <c r="M184" i="54"/>
  <c r="AE83" i="54"/>
  <c r="N91" i="54"/>
  <c r="V116" i="54"/>
  <c r="V121" i="54"/>
  <c r="V128" i="54" s="1"/>
  <c r="V120" i="54"/>
  <c r="J131" i="54"/>
  <c r="J134" i="54"/>
  <c r="K153" i="54"/>
  <c r="N185" i="54"/>
  <c r="M178" i="54"/>
  <c r="L179" i="54"/>
  <c r="N92" i="54"/>
  <c r="N196" i="54"/>
  <c r="N125" i="54"/>
  <c r="O123" i="54"/>
  <c r="N127" i="54"/>
  <c r="M173" i="54"/>
  <c r="V148" i="54"/>
  <c r="V144" i="54"/>
  <c r="AE52" i="54"/>
  <c r="AE49" i="54" s="1"/>
  <c r="U134" i="54"/>
  <c r="U131" i="54"/>
  <c r="N170" i="54"/>
  <c r="V153" i="54"/>
  <c r="J128" i="54"/>
  <c r="J127" i="54"/>
  <c r="K144" i="54"/>
  <c r="K148" i="54"/>
  <c r="T133" i="54"/>
  <c r="I258" i="54"/>
  <c r="I259" i="54"/>
  <c r="N172" i="54"/>
  <c r="O181" i="54"/>
  <c r="M193" i="54"/>
  <c r="M191" i="54"/>
  <c r="AF132" i="54"/>
  <c r="AF135" i="54" s="1"/>
  <c r="AF119" i="54"/>
  <c r="AE116" i="54"/>
  <c r="AE121" i="54"/>
  <c r="AE128" i="54" s="1"/>
  <c r="AE120" i="54"/>
  <c r="M194" i="54"/>
  <c r="AF154" i="54"/>
  <c r="AF145" i="54"/>
  <c r="AF117" i="54"/>
  <c r="AF84" i="54"/>
  <c r="AF50" i="54"/>
  <c r="AF51" i="54"/>
  <c r="N174" i="54"/>
  <c r="Y251" i="54"/>
  <c r="L132" i="54"/>
  <c r="L135" i="54" s="1"/>
  <c r="L119" i="54"/>
  <c r="L154" i="54"/>
  <c r="L145" i="54"/>
  <c r="L117" i="54"/>
  <c r="L84" i="54"/>
  <c r="L51" i="54"/>
  <c r="L50" i="54"/>
  <c r="M175" i="54"/>
  <c r="I103" i="54"/>
  <c r="I105" i="54"/>
  <c r="I104" i="54"/>
  <c r="AE153" i="54"/>
  <c r="N186" i="54"/>
  <c r="L86" i="54"/>
  <c r="M85" i="54"/>
  <c r="N90" i="54"/>
  <c r="M93" i="54"/>
  <c r="M180" i="54"/>
  <c r="I133" i="54"/>
  <c r="N171" i="54"/>
  <c r="M195" i="54"/>
  <c r="AC133" i="54"/>
  <c r="Z247" i="54"/>
  <c r="K52" i="54"/>
  <c r="K49" i="54" s="1"/>
  <c r="P192" i="54"/>
  <c r="V83" i="54"/>
  <c r="K120" i="54"/>
  <c r="K116" i="54"/>
  <c r="K121" i="54"/>
  <c r="J97" i="54"/>
  <c r="J101" i="54"/>
  <c r="J102" i="54" s="1"/>
  <c r="J96" i="54"/>
  <c r="J95" i="54"/>
  <c r="M187" i="54"/>
  <c r="K87" i="54"/>
  <c r="K100" i="54" s="1"/>
  <c r="K83" i="54"/>
  <c r="K88" i="54"/>
  <c r="AD131" i="54"/>
  <c r="AD134" i="54"/>
  <c r="AE144" i="54"/>
  <c r="AE148" i="54"/>
  <c r="L128" i="53"/>
  <c r="L258" i="53" s="1"/>
  <c r="L127" i="53"/>
  <c r="V83" i="53"/>
  <c r="AF52" i="53"/>
  <c r="AF49" i="53" s="1"/>
  <c r="M96" i="53"/>
  <c r="V144" i="53"/>
  <c r="M184" i="53"/>
  <c r="M180" i="53"/>
  <c r="M193" i="53"/>
  <c r="V116" i="53"/>
  <c r="L96" i="53"/>
  <c r="L97" i="53"/>
  <c r="M175" i="53"/>
  <c r="M192" i="53"/>
  <c r="N187" i="53"/>
  <c r="AF116" i="53"/>
  <c r="N195" i="53"/>
  <c r="O173" i="53"/>
  <c r="N186" i="53"/>
  <c r="N172" i="53"/>
  <c r="AF144" i="53"/>
  <c r="O174" i="53"/>
  <c r="O194" i="53"/>
  <c r="M178" i="53"/>
  <c r="L179" i="53"/>
  <c r="O181" i="53"/>
  <c r="M125" i="53"/>
  <c r="N123" i="53"/>
  <c r="AF83" i="53"/>
  <c r="M170" i="53"/>
  <c r="M92" i="53"/>
  <c r="M97" i="53" s="1"/>
  <c r="M185" i="53"/>
  <c r="M95" i="53"/>
  <c r="N90" i="53"/>
  <c r="N171" i="53"/>
  <c r="AF153" i="53"/>
  <c r="M196" i="53"/>
  <c r="L93" i="53"/>
  <c r="N86" i="53"/>
  <c r="N88" i="53" s="1"/>
  <c r="O85" i="53"/>
  <c r="N87" i="53"/>
  <c r="O91" i="53"/>
  <c r="N118" i="53"/>
  <c r="M121" i="53"/>
  <c r="M128" i="53" s="1"/>
  <c r="M120" i="53"/>
  <c r="O191" i="53"/>
  <c r="L95" i="53"/>
  <c r="O3" i="51"/>
  <c r="AQ45" i="51"/>
  <c r="L45" i="51"/>
  <c r="G308" i="48"/>
  <c r="G304" i="48"/>
  <c r="F305" i="48"/>
  <c r="F284" i="48"/>
  <c r="G293" i="48"/>
  <c r="F195" i="48"/>
  <c r="E197" i="48"/>
  <c r="F307" i="48"/>
  <c r="F282" i="48"/>
  <c r="G306" i="48"/>
  <c r="F298" i="48"/>
  <c r="G285" i="48"/>
  <c r="G297" i="48"/>
  <c r="I296" i="48"/>
  <c r="F286" i="48"/>
  <c r="G131" i="48"/>
  <c r="G133" i="48" s="1"/>
  <c r="AA52" i="48"/>
  <c r="AA49" i="48" s="1"/>
  <c r="D241" i="48"/>
  <c r="O241" i="48"/>
  <c r="M240" i="48"/>
  <c r="N241" i="48"/>
  <c r="F241" i="48"/>
  <c r="E241" i="48"/>
  <c r="P1" i="48"/>
  <c r="P258" i="48" s="1"/>
  <c r="O51" i="48"/>
  <c r="O50" i="48"/>
  <c r="AB241" i="48"/>
  <c r="X241" i="48"/>
  <c r="AA241" i="48"/>
  <c r="AD241" i="48"/>
  <c r="Z241" i="48"/>
  <c r="AC241" i="48"/>
  <c r="Y241" i="48"/>
  <c r="W240" i="48"/>
  <c r="H290" i="48"/>
  <c r="G291" i="48"/>
  <c r="G283" i="48"/>
  <c r="G359" i="48"/>
  <c r="F299" i="48"/>
  <c r="H292" i="48"/>
  <c r="G287" i="48"/>
  <c r="F191" i="48"/>
  <c r="G190" i="48"/>
  <c r="G132" i="48"/>
  <c r="F133" i="48"/>
  <c r="N52" i="48"/>
  <c r="N49" i="48" s="1"/>
  <c r="D52" i="48"/>
  <c r="D49" i="48" s="1"/>
  <c r="N258" i="48"/>
  <c r="F258" i="48"/>
  <c r="D258" i="48"/>
  <c r="E258" i="48"/>
  <c r="O258" i="48"/>
  <c r="M257" i="48"/>
  <c r="AB124" i="48"/>
  <c r="X124" i="48"/>
  <c r="AA124" i="48"/>
  <c r="AD124" i="48"/>
  <c r="W123" i="48"/>
  <c r="AC124" i="48"/>
  <c r="Z124" i="48"/>
  <c r="Y124" i="48"/>
  <c r="AE1" i="48"/>
  <c r="AE189" i="48" s="1"/>
  <c r="AD50" i="48"/>
  <c r="AD51" i="48"/>
  <c r="F303" i="48"/>
  <c r="H130" i="48"/>
  <c r="D124" i="48"/>
  <c r="O124" i="48"/>
  <c r="M123" i="48"/>
  <c r="N124" i="48"/>
  <c r="F124" i="48"/>
  <c r="E124" i="48"/>
  <c r="AB52" i="48"/>
  <c r="AB49" i="48" s="1"/>
  <c r="AC189" i="48"/>
  <c r="Y189" i="48"/>
  <c r="W188" i="48"/>
  <c r="AB189" i="48"/>
  <c r="X189" i="48"/>
  <c r="AA189" i="48"/>
  <c r="AD189" i="48"/>
  <c r="Z189" i="48"/>
  <c r="Z52" i="48"/>
  <c r="Z49" i="48" s="1"/>
  <c r="G1" i="48"/>
  <c r="G241" i="48" s="1"/>
  <c r="F51" i="48"/>
  <c r="F50" i="48"/>
  <c r="G125" i="48"/>
  <c r="F126" i="48"/>
  <c r="Y52" i="48"/>
  <c r="Y49" i="48" s="1"/>
  <c r="E189" i="48"/>
  <c r="D189" i="48"/>
  <c r="O189" i="48"/>
  <c r="M188" i="48"/>
  <c r="N189" i="48"/>
  <c r="F189" i="48"/>
  <c r="X52" i="48"/>
  <c r="X49" i="48" s="1"/>
  <c r="AD258" i="48"/>
  <c r="Z258" i="48"/>
  <c r="AB258" i="48"/>
  <c r="X258" i="48"/>
  <c r="AC258" i="48"/>
  <c r="AA258" i="48"/>
  <c r="Y258" i="48"/>
  <c r="W257" i="48"/>
  <c r="AC52" i="48"/>
  <c r="AC49" i="48" s="1"/>
  <c r="E52" i="48"/>
  <c r="E49" i="48" s="1"/>
  <c r="M189" i="46"/>
  <c r="W241" i="46"/>
  <c r="AB241" i="46" s="1"/>
  <c r="W258" i="46"/>
  <c r="Y258" i="46" s="1"/>
  <c r="AG371" i="46"/>
  <c r="M241" i="46"/>
  <c r="M258" i="46"/>
  <c r="E258" i="46" s="1"/>
  <c r="C371" i="46"/>
  <c r="D133" i="46"/>
  <c r="M124" i="46"/>
  <c r="E124" i="46" s="1"/>
  <c r="O50" i="46"/>
  <c r="O52" i="46" s="1"/>
  <c r="O49" i="46" s="1"/>
  <c r="P1" i="46"/>
  <c r="P51" i="46" s="1"/>
  <c r="F297" i="46"/>
  <c r="G308" i="46"/>
  <c r="F304" i="46"/>
  <c r="H283" i="46"/>
  <c r="N52" i="46"/>
  <c r="N49" i="46" s="1"/>
  <c r="D52" i="46"/>
  <c r="D49" i="46" s="1"/>
  <c r="X52" i="46"/>
  <c r="X49" i="46" s="1"/>
  <c r="AB51" i="46"/>
  <c r="F293" i="46"/>
  <c r="G303" i="46"/>
  <c r="F296" i="46"/>
  <c r="G306" i="46"/>
  <c r="I287" i="46"/>
  <c r="G284" i="46"/>
  <c r="G290" i="46"/>
  <c r="F291" i="46"/>
  <c r="E197" i="46"/>
  <c r="F195" i="46"/>
  <c r="F126" i="46"/>
  <c r="G125" i="46"/>
  <c r="I131" i="46"/>
  <c r="AB189" i="46"/>
  <c r="X189" i="46"/>
  <c r="AA189" i="46"/>
  <c r="Z189" i="46"/>
  <c r="AC189" i="46"/>
  <c r="Y189" i="46"/>
  <c r="W188" i="46"/>
  <c r="AC51" i="46"/>
  <c r="AD1" i="46"/>
  <c r="AC50" i="46"/>
  <c r="AB50" i="46"/>
  <c r="AA51" i="46"/>
  <c r="F305" i="46"/>
  <c r="G299" i="46"/>
  <c r="F286" i="46"/>
  <c r="G282" i="46"/>
  <c r="Y241" i="46"/>
  <c r="W240" i="46"/>
  <c r="Z50" i="46"/>
  <c r="AA50" i="46"/>
  <c r="G307" i="46"/>
  <c r="H298" i="46"/>
  <c r="F292" i="46"/>
  <c r="G285" i="46"/>
  <c r="G190" i="46"/>
  <c r="F191" i="46"/>
  <c r="G130" i="46"/>
  <c r="F132" i="46"/>
  <c r="F133" i="46" s="1"/>
  <c r="E133" i="46"/>
  <c r="E51" i="46"/>
  <c r="E50" i="46"/>
  <c r="F1" i="46"/>
  <c r="W124" i="46"/>
  <c r="AG49" i="46"/>
  <c r="Z51" i="46"/>
  <c r="Y52" i="46"/>
  <c r="Y49" i="46" s="1"/>
  <c r="H118" i="24"/>
  <c r="K102" i="24"/>
  <c r="D77" i="44"/>
  <c r="C37" i="44"/>
  <c r="C33" i="44"/>
  <c r="R18" i="44"/>
  <c r="Z137" i="24"/>
  <c r="Z118" i="24"/>
  <c r="Z117" i="24"/>
  <c r="Z113" i="24"/>
  <c r="Z102" i="24"/>
  <c r="Z95" i="24"/>
  <c r="Z93" i="24"/>
  <c r="Z74" i="24"/>
  <c r="Z141" i="24" s="1"/>
  <c r="P189" i="48" l="1"/>
  <c r="P124" i="48"/>
  <c r="V52" i="53"/>
  <c r="V49" i="53" s="1"/>
  <c r="AE258" i="48"/>
  <c r="G189" i="48"/>
  <c r="Z119" i="24"/>
  <c r="Z122" i="24" s="1"/>
  <c r="O241" i="46"/>
  <c r="CF75" i="59"/>
  <c r="CH2" i="59"/>
  <c r="CG68" i="59"/>
  <c r="CG69" i="59"/>
  <c r="CG61" i="59"/>
  <c r="CG70" i="59"/>
  <c r="CG62" i="59"/>
  <c r="CG64" i="59"/>
  <c r="CG73" i="59"/>
  <c r="CG65" i="59"/>
  <c r="CG66" i="59"/>
  <c r="CG67" i="59"/>
  <c r="CG72" i="59"/>
  <c r="CG63" i="59"/>
  <c r="CG74" i="59"/>
  <c r="CG71" i="59"/>
  <c r="Q143" i="55"/>
  <c r="AV143" i="55"/>
  <c r="DH143" i="55" s="1"/>
  <c r="R140" i="55"/>
  <c r="AW140" i="55"/>
  <c r="DI140" i="55" s="1"/>
  <c r="AV144" i="55"/>
  <c r="Q144" i="55"/>
  <c r="AU145" i="55"/>
  <c r="P145" i="55"/>
  <c r="AV139" i="55"/>
  <c r="DH139" i="55" s="1"/>
  <c r="Q139" i="55"/>
  <c r="U146" i="55"/>
  <c r="AZ146" i="55"/>
  <c r="AY147" i="55"/>
  <c r="T147" i="55"/>
  <c r="P164" i="55"/>
  <c r="AU164" i="55"/>
  <c r="DG164" i="55" s="1"/>
  <c r="CA162" i="55"/>
  <c r="P162" i="55"/>
  <c r="AU162" i="55"/>
  <c r="DG162" i="55" s="1"/>
  <c r="S169" i="55"/>
  <c r="AX169" i="55"/>
  <c r="U170" i="55"/>
  <c r="AZ170" i="55"/>
  <c r="AV163" i="55"/>
  <c r="DH163" i="55" s="1"/>
  <c r="Q163" i="55"/>
  <c r="P165" i="55"/>
  <c r="AU165" i="55"/>
  <c r="DG165" i="55" s="1"/>
  <c r="AT168" i="55"/>
  <c r="O168" i="55"/>
  <c r="P167" i="55"/>
  <c r="AU167" i="55"/>
  <c r="AU166" i="55"/>
  <c r="DG166" i="55" s="1"/>
  <c r="P166" i="55"/>
  <c r="AX124" i="55"/>
  <c r="S124" i="55"/>
  <c r="P116" i="55"/>
  <c r="AU116" i="55"/>
  <c r="DG116" i="55" s="1"/>
  <c r="AU74" i="55"/>
  <c r="DG74" i="55" s="1"/>
  <c r="P74" i="55"/>
  <c r="AV71" i="55"/>
  <c r="DH71" i="55" s="1"/>
  <c r="Q71" i="55"/>
  <c r="P118" i="55"/>
  <c r="AU118" i="55"/>
  <c r="DG118" i="55" s="1"/>
  <c r="AT99" i="55"/>
  <c r="O99" i="55"/>
  <c r="BZ116" i="55"/>
  <c r="CA70" i="55"/>
  <c r="AU122" i="55"/>
  <c r="P122" i="55"/>
  <c r="AX123" i="55"/>
  <c r="S123" i="55"/>
  <c r="P75" i="55"/>
  <c r="AU75" i="55"/>
  <c r="AV94" i="55"/>
  <c r="DH94" i="55" s="1"/>
  <c r="Q94" i="55"/>
  <c r="CA93" i="55"/>
  <c r="P121" i="55"/>
  <c r="AU121" i="55"/>
  <c r="AV117" i="55"/>
  <c r="DH117" i="55" s="1"/>
  <c r="Q117" i="55"/>
  <c r="AU97" i="55"/>
  <c r="DG97" i="55" s="1"/>
  <c r="P97" i="55"/>
  <c r="P70" i="55"/>
  <c r="AU70" i="55"/>
  <c r="DG70" i="55" s="1"/>
  <c r="O76" i="55"/>
  <c r="AT76" i="55"/>
  <c r="AU98" i="55"/>
  <c r="P98" i="55"/>
  <c r="AT119" i="55"/>
  <c r="DF119" i="55" s="1"/>
  <c r="O119" i="55"/>
  <c r="P93" i="55"/>
  <c r="AU93" i="55"/>
  <c r="DG93" i="55" s="1"/>
  <c r="P120" i="55"/>
  <c r="AU120" i="55"/>
  <c r="DG120" i="55" s="1"/>
  <c r="CC97" i="55"/>
  <c r="T100" i="55"/>
  <c r="AY100" i="55"/>
  <c r="AX101" i="55"/>
  <c r="S101" i="55"/>
  <c r="AX78" i="55"/>
  <c r="S78" i="55"/>
  <c r="T77" i="55"/>
  <c r="AY77" i="55"/>
  <c r="AV48" i="55"/>
  <c r="DH48" i="55" s="1"/>
  <c r="Q48" i="55"/>
  <c r="P51" i="55"/>
  <c r="AU51" i="55"/>
  <c r="DG51" i="55" s="1"/>
  <c r="P47" i="55"/>
  <c r="AU47" i="55"/>
  <c r="DG47" i="55" s="1"/>
  <c r="P49" i="55"/>
  <c r="AU49" i="55"/>
  <c r="DG49" i="55" s="1"/>
  <c r="P53" i="55"/>
  <c r="AU53" i="55"/>
  <c r="O50" i="55"/>
  <c r="AT50" i="55"/>
  <c r="DF50" i="55" s="1"/>
  <c r="AU52" i="55"/>
  <c r="P52" i="55"/>
  <c r="T55" i="55"/>
  <c r="AY55" i="55"/>
  <c r="T54" i="55"/>
  <c r="AY54" i="55"/>
  <c r="R25" i="55"/>
  <c r="AW25" i="55"/>
  <c r="DI25" i="55" s="1"/>
  <c r="P30" i="55"/>
  <c r="AU30" i="55"/>
  <c r="Q28" i="55"/>
  <c r="AV28" i="55"/>
  <c r="DH28" i="55" s="1"/>
  <c r="R31" i="55"/>
  <c r="AW31" i="55"/>
  <c r="Q29" i="55"/>
  <c r="AV29" i="55"/>
  <c r="R32" i="55"/>
  <c r="AW32" i="55"/>
  <c r="CB24" i="55"/>
  <c r="Q24" i="55"/>
  <c r="AW24" i="55" s="1"/>
  <c r="DI24" i="55" s="1"/>
  <c r="P204" i="55"/>
  <c r="P205" i="55" s="1"/>
  <c r="Q3" i="55"/>
  <c r="Q247" i="53"/>
  <c r="K128" i="54"/>
  <c r="K127" i="54"/>
  <c r="N175" i="54"/>
  <c r="AF148" i="54"/>
  <c r="AF144" i="54"/>
  <c r="N191" i="54"/>
  <c r="O185" i="54"/>
  <c r="K96" i="54"/>
  <c r="K101" i="54"/>
  <c r="K97" i="54"/>
  <c r="K95" i="54"/>
  <c r="N195" i="54"/>
  <c r="N85" i="54"/>
  <c r="M86" i="54"/>
  <c r="M88" i="54" s="1"/>
  <c r="M87" i="54"/>
  <c r="M100" i="54" s="1"/>
  <c r="L88" i="54"/>
  <c r="L83" i="54"/>
  <c r="L87" i="54"/>
  <c r="L100" i="54" s="1"/>
  <c r="Z251" i="54"/>
  <c r="AF153" i="54"/>
  <c r="O92" i="54"/>
  <c r="O91" i="54"/>
  <c r="AD133" i="54"/>
  <c r="L148" i="54"/>
  <c r="L144" i="54"/>
  <c r="AE134" i="54"/>
  <c r="AE131" i="54"/>
  <c r="O172" i="54"/>
  <c r="P181" i="54"/>
  <c r="J133" i="54"/>
  <c r="N184" i="54"/>
  <c r="L121" i="54"/>
  <c r="L116" i="54"/>
  <c r="L120" i="54"/>
  <c r="N173" i="54"/>
  <c r="N187" i="54"/>
  <c r="L153" i="54"/>
  <c r="N194" i="54"/>
  <c r="O186" i="54"/>
  <c r="AF52" i="54"/>
  <c r="AF49" i="54" s="1"/>
  <c r="O127" i="54"/>
  <c r="P123" i="54"/>
  <c r="O125" i="54"/>
  <c r="M258" i="54"/>
  <c r="M179" i="54"/>
  <c r="M259" i="54" s="1"/>
  <c r="N178" i="54"/>
  <c r="V131" i="54"/>
  <c r="V134" i="54"/>
  <c r="K131" i="54"/>
  <c r="K134" i="54"/>
  <c r="O171" i="54"/>
  <c r="O174" i="54"/>
  <c r="N193" i="54"/>
  <c r="N180" i="54"/>
  <c r="J104" i="54"/>
  <c r="J105" i="54"/>
  <c r="J103" i="54"/>
  <c r="AF83" i="54"/>
  <c r="U133" i="54"/>
  <c r="Q192" i="54"/>
  <c r="AA247" i="54"/>
  <c r="N93" i="54"/>
  <c r="O90" i="54"/>
  <c r="L52" i="54"/>
  <c r="L49" i="54" s="1"/>
  <c r="AF116" i="54"/>
  <c r="AF121" i="54"/>
  <c r="AF128" i="54" s="1"/>
  <c r="AF120" i="54"/>
  <c r="J258" i="54"/>
  <c r="J259" i="54"/>
  <c r="O170" i="54"/>
  <c r="O196" i="54"/>
  <c r="M93" i="53"/>
  <c r="L259" i="53"/>
  <c r="N96" i="53"/>
  <c r="N95" i="53"/>
  <c r="O90" i="53"/>
  <c r="P194" i="53"/>
  <c r="O186" i="53"/>
  <c r="O195" i="53"/>
  <c r="N184" i="53"/>
  <c r="N119" i="53"/>
  <c r="N121" i="53" s="1"/>
  <c r="N128" i="53" s="1"/>
  <c r="O118" i="53"/>
  <c r="N120" i="53"/>
  <c r="P174" i="53"/>
  <c r="N175" i="53"/>
  <c r="N193" i="53"/>
  <c r="N196" i="53"/>
  <c r="O171" i="53"/>
  <c r="N185" i="53"/>
  <c r="N125" i="53"/>
  <c r="O123" i="53"/>
  <c r="P173" i="53"/>
  <c r="O187" i="53"/>
  <c r="P91" i="53"/>
  <c r="O172" i="53"/>
  <c r="N180" i="53"/>
  <c r="M127" i="53"/>
  <c r="P191" i="53"/>
  <c r="N92" i="53"/>
  <c r="P181" i="53"/>
  <c r="N192" i="53"/>
  <c r="P85" i="53"/>
  <c r="O86" i="53"/>
  <c r="O88" i="53" s="1"/>
  <c r="O87" i="53"/>
  <c r="N170" i="53"/>
  <c r="M258" i="53"/>
  <c r="M179" i="53"/>
  <c r="M259" i="53" s="1"/>
  <c r="N178" i="53"/>
  <c r="M45" i="51"/>
  <c r="AR45" i="51"/>
  <c r="P3" i="51"/>
  <c r="G240" i="48"/>
  <c r="AE257" i="48"/>
  <c r="AC257" i="48"/>
  <c r="F192" i="48"/>
  <c r="F188" i="48"/>
  <c r="F193" i="48"/>
  <c r="F200" i="48" s="1"/>
  <c r="D193" i="48"/>
  <c r="D192" i="48"/>
  <c r="D188" i="48"/>
  <c r="AD188" i="48"/>
  <c r="AB188" i="48"/>
  <c r="Y188" i="48"/>
  <c r="E127" i="48"/>
  <c r="E123" i="48"/>
  <c r="E128" i="48"/>
  <c r="O123" i="48"/>
  <c r="AF1" i="48"/>
  <c r="AE50" i="48"/>
  <c r="AE51" i="48"/>
  <c r="AC123" i="48"/>
  <c r="AE124" i="48"/>
  <c r="O257" i="48"/>
  <c r="F257" i="48"/>
  <c r="H132" i="48"/>
  <c r="H190" i="48"/>
  <c r="G191" i="48"/>
  <c r="G193" i="48" s="1"/>
  <c r="G200" i="48" s="1"/>
  <c r="G370" i="48" s="1"/>
  <c r="Y240" i="48"/>
  <c r="AA240" i="48"/>
  <c r="Q1" i="48"/>
  <c r="P51" i="48"/>
  <c r="P50" i="48"/>
  <c r="O240" i="48"/>
  <c r="J296" i="48"/>
  <c r="H293" i="48"/>
  <c r="G305" i="48"/>
  <c r="H308" i="48"/>
  <c r="X257" i="48"/>
  <c r="Z257" i="48"/>
  <c r="O188" i="48"/>
  <c r="E192" i="48"/>
  <c r="E188" i="48"/>
  <c r="E193" i="48"/>
  <c r="H125" i="48"/>
  <c r="G126" i="48"/>
  <c r="F52" i="48"/>
  <c r="F49" i="48" s="1"/>
  <c r="AA188" i="48"/>
  <c r="AC188" i="48"/>
  <c r="I130" i="48"/>
  <c r="Y123" i="48"/>
  <c r="X123" i="48"/>
  <c r="E257" i="48"/>
  <c r="I292" i="48"/>
  <c r="AC240" i="48"/>
  <c r="AE241" i="48"/>
  <c r="N240" i="48"/>
  <c r="P241" i="48"/>
  <c r="H131" i="48"/>
  <c r="H285" i="48"/>
  <c r="H306" i="48"/>
  <c r="G282" i="48"/>
  <c r="Y257" i="48"/>
  <c r="AB257" i="48"/>
  <c r="AD257" i="48"/>
  <c r="N188" i="48"/>
  <c r="AE188" i="48"/>
  <c r="F127" i="48"/>
  <c r="F123" i="48"/>
  <c r="F128" i="48"/>
  <c r="G124" i="48"/>
  <c r="P123" i="48"/>
  <c r="Z123" i="48"/>
  <c r="AD123" i="48"/>
  <c r="AB123" i="48"/>
  <c r="P257" i="48"/>
  <c r="N257" i="48"/>
  <c r="H359" i="48"/>
  <c r="H291" i="48"/>
  <c r="I290" i="48"/>
  <c r="Z240" i="48"/>
  <c r="X240" i="48"/>
  <c r="O52" i="48"/>
  <c r="O49" i="48" s="1"/>
  <c r="D240" i="48"/>
  <c r="G286" i="48"/>
  <c r="F197" i="48"/>
  <c r="F199" i="48"/>
  <c r="G195" i="48"/>
  <c r="G284" i="48"/>
  <c r="H304" i="48"/>
  <c r="AA257" i="48"/>
  <c r="G192" i="48"/>
  <c r="G188" i="48"/>
  <c r="P188" i="48"/>
  <c r="H1" i="48"/>
  <c r="G51" i="48"/>
  <c r="G50" i="48"/>
  <c r="Z188" i="48"/>
  <c r="X188" i="48"/>
  <c r="N123" i="48"/>
  <c r="D123" i="48"/>
  <c r="D128" i="48"/>
  <c r="D127" i="48"/>
  <c r="G303" i="48"/>
  <c r="AD52" i="48"/>
  <c r="AD49" i="48" s="1"/>
  <c r="AA123" i="48"/>
  <c r="G258" i="48"/>
  <c r="D257" i="48"/>
  <c r="H287" i="48"/>
  <c r="G299" i="48"/>
  <c r="H283" i="48"/>
  <c r="AD240" i="48"/>
  <c r="AB240" i="48"/>
  <c r="E240" i="48"/>
  <c r="F240" i="48"/>
  <c r="H297" i="48"/>
  <c r="G298" i="48"/>
  <c r="G307" i="48"/>
  <c r="AA241" i="46"/>
  <c r="AA240" i="46" s="1"/>
  <c r="AA258" i="46"/>
  <c r="AA257" i="46" s="1"/>
  <c r="AB258" i="46"/>
  <c r="AB257" i="46" s="1"/>
  <c r="M257" i="46"/>
  <c r="P189" i="46"/>
  <c r="P188" i="46" s="1"/>
  <c r="Q1" i="46"/>
  <c r="Q51" i="46" s="1"/>
  <c r="O189" i="46"/>
  <c r="O188" i="46" s="1"/>
  <c r="Z241" i="46"/>
  <c r="Z240" i="46" s="1"/>
  <c r="W257" i="46"/>
  <c r="E189" i="46"/>
  <c r="E193" i="46" s="1"/>
  <c r="N258" i="46"/>
  <c r="N257" i="46" s="1"/>
  <c r="D189" i="46"/>
  <c r="D192" i="46" s="1"/>
  <c r="M188" i="46"/>
  <c r="P50" i="46"/>
  <c r="P52" i="46" s="1"/>
  <c r="P49" i="46" s="1"/>
  <c r="D258" i="46"/>
  <c r="D257" i="46" s="1"/>
  <c r="X241" i="46"/>
  <c r="X240" i="46" s="1"/>
  <c r="AC241" i="46"/>
  <c r="AC240" i="46" s="1"/>
  <c r="P258" i="46"/>
  <c r="P257" i="46" s="1"/>
  <c r="N189" i="46"/>
  <c r="N188" i="46" s="1"/>
  <c r="AD241" i="46"/>
  <c r="AD240" i="46" s="1"/>
  <c r="D241" i="46"/>
  <c r="D240" i="46" s="1"/>
  <c r="O258" i="46"/>
  <c r="O257" i="46" s="1"/>
  <c r="X258" i="46"/>
  <c r="X257" i="46" s="1"/>
  <c r="AC258" i="46"/>
  <c r="AC257" i="46" s="1"/>
  <c r="D124" i="46"/>
  <c r="D123" i="46" s="1"/>
  <c r="M123" i="46"/>
  <c r="Z258" i="46"/>
  <c r="Z257" i="46" s="1"/>
  <c r="AD258" i="46"/>
  <c r="AD257" i="46" s="1"/>
  <c r="N241" i="46"/>
  <c r="N240" i="46" s="1"/>
  <c r="P241" i="46"/>
  <c r="P240" i="46" s="1"/>
  <c r="M240" i="46"/>
  <c r="E241" i="46"/>
  <c r="E240" i="46" s="1"/>
  <c r="F51" i="46"/>
  <c r="F50" i="46"/>
  <c r="G1" i="46"/>
  <c r="G292" i="46"/>
  <c r="H307" i="46"/>
  <c r="AA52" i="46"/>
  <c r="AA49" i="46" s="1"/>
  <c r="AB240" i="46"/>
  <c r="Y240" i="46"/>
  <c r="H299" i="46"/>
  <c r="AB52" i="46"/>
  <c r="AB49" i="46" s="1"/>
  <c r="AE1" i="46"/>
  <c r="AE124" i="46" s="1"/>
  <c r="AD50" i="46"/>
  <c r="AD51" i="46"/>
  <c r="F258" i="46"/>
  <c r="J287" i="46"/>
  <c r="G296" i="46"/>
  <c r="G293" i="46"/>
  <c r="G304" i="46"/>
  <c r="G297" i="46"/>
  <c r="E52" i="46"/>
  <c r="E49" i="46" s="1"/>
  <c r="Y257" i="46"/>
  <c r="G132" i="46"/>
  <c r="G191" i="46"/>
  <c r="H190" i="46"/>
  <c r="Z52" i="46"/>
  <c r="Z49" i="46" s="1"/>
  <c r="O124" i="46"/>
  <c r="N124" i="46"/>
  <c r="G286" i="46"/>
  <c r="Z188" i="46"/>
  <c r="X188" i="46"/>
  <c r="G126" i="46"/>
  <c r="H125" i="46"/>
  <c r="F241" i="46"/>
  <c r="I283" i="46"/>
  <c r="H130" i="46"/>
  <c r="H285" i="46"/>
  <c r="I298" i="46"/>
  <c r="P124" i="46"/>
  <c r="G305" i="46"/>
  <c r="Y188" i="46"/>
  <c r="AD189" i="46"/>
  <c r="AB188" i="46"/>
  <c r="H284" i="46"/>
  <c r="H306" i="46"/>
  <c r="H303" i="46"/>
  <c r="O240" i="46"/>
  <c r="H308" i="46"/>
  <c r="AD124" i="46"/>
  <c r="Z124" i="46"/>
  <c r="AC124" i="46"/>
  <c r="Y124" i="46"/>
  <c r="W123" i="46"/>
  <c r="AB124" i="46"/>
  <c r="AA124" i="46"/>
  <c r="X124" i="46"/>
  <c r="F189" i="46"/>
  <c r="E128" i="46"/>
  <c r="E127" i="46"/>
  <c r="E123" i="46"/>
  <c r="F124" i="46"/>
  <c r="H282" i="46"/>
  <c r="AC52" i="46"/>
  <c r="AC49" i="46" s="1"/>
  <c r="AC188" i="46"/>
  <c r="AA188" i="46"/>
  <c r="E257" i="46"/>
  <c r="J131" i="46"/>
  <c r="F197" i="46"/>
  <c r="G195" i="46"/>
  <c r="G291" i="46"/>
  <c r="H290" i="46"/>
  <c r="Z101" i="24"/>
  <c r="Z104" i="24" s="1"/>
  <c r="Z142" i="24"/>
  <c r="Z143" i="24" s="1"/>
  <c r="Z125" i="24"/>
  <c r="Z127" i="24" s="1"/>
  <c r="Z135" i="24"/>
  <c r="Z138" i="24" s="1"/>
  <c r="Z92" i="24"/>
  <c r="Z96" i="24" s="1"/>
  <c r="Z112" i="24"/>
  <c r="Z114" i="24" s="1"/>
  <c r="Z107" i="24"/>
  <c r="Z109" i="24" s="1"/>
  <c r="Z129" i="24" l="1"/>
  <c r="J81" i="24" s="1"/>
  <c r="CG75" i="59"/>
  <c r="CI2" i="59"/>
  <c r="CH69" i="59"/>
  <c r="CH61" i="59"/>
  <c r="CH70" i="59"/>
  <c r="CH62" i="59"/>
  <c r="CH64" i="59"/>
  <c r="CH73" i="59"/>
  <c r="CH65" i="59"/>
  <c r="CH66" i="59"/>
  <c r="CH67" i="59"/>
  <c r="CH68" i="59"/>
  <c r="CH63" i="59"/>
  <c r="CH74" i="59"/>
  <c r="CH72" i="59"/>
  <c r="CH71" i="59"/>
  <c r="Q145" i="55"/>
  <c r="AV145" i="55"/>
  <c r="AW144" i="55"/>
  <c r="R144" i="55"/>
  <c r="AW139" i="55"/>
  <c r="DI139" i="55" s="1"/>
  <c r="R139" i="55"/>
  <c r="AX140" i="55"/>
  <c r="DJ140" i="55" s="1"/>
  <c r="S140" i="55"/>
  <c r="R143" i="55"/>
  <c r="AW143" i="55"/>
  <c r="DI143" i="55" s="1"/>
  <c r="AZ147" i="55"/>
  <c r="U147" i="55"/>
  <c r="V146" i="55"/>
  <c r="BA146" i="55"/>
  <c r="Q162" i="55"/>
  <c r="AV162" i="55"/>
  <c r="DH162" i="55" s="1"/>
  <c r="CB162" i="55"/>
  <c r="R163" i="55"/>
  <c r="AW163" i="55"/>
  <c r="DI163" i="55" s="1"/>
  <c r="AV166" i="55"/>
  <c r="DH166" i="55" s="1"/>
  <c r="Q166" i="55"/>
  <c r="AU168" i="55"/>
  <c r="P168" i="55"/>
  <c r="V170" i="55"/>
  <c r="BA170" i="55"/>
  <c r="T169" i="55"/>
  <c r="AY169" i="55"/>
  <c r="Q164" i="55"/>
  <c r="AV164" i="55"/>
  <c r="DH164" i="55" s="1"/>
  <c r="AV167" i="55"/>
  <c r="Q167" i="55"/>
  <c r="Q165" i="55"/>
  <c r="AV165" i="55"/>
  <c r="DH165" i="55" s="1"/>
  <c r="AY124" i="55"/>
  <c r="T124" i="55"/>
  <c r="AV120" i="55"/>
  <c r="DH120" i="55" s="1"/>
  <c r="Q120" i="55"/>
  <c r="AU119" i="55"/>
  <c r="DG119" i="55" s="1"/>
  <c r="P119" i="55"/>
  <c r="Q75" i="55"/>
  <c r="AV75" i="55"/>
  <c r="AV74" i="55"/>
  <c r="DH74" i="55" s="1"/>
  <c r="Q74" i="55"/>
  <c r="Q93" i="55"/>
  <c r="AV93" i="55"/>
  <c r="DH93" i="55" s="1"/>
  <c r="AW94" i="55"/>
  <c r="DI94" i="55" s="1"/>
  <c r="R94" i="55"/>
  <c r="Q70" i="55"/>
  <c r="AV70" i="55"/>
  <c r="DH70" i="55" s="1"/>
  <c r="AY123" i="55"/>
  <c r="T123" i="55"/>
  <c r="AU99" i="55"/>
  <c r="P99" i="55"/>
  <c r="AV97" i="55"/>
  <c r="DH97" i="55" s="1"/>
  <c r="Q97" i="55"/>
  <c r="AV122" i="55"/>
  <c r="Q122" i="55"/>
  <c r="Q116" i="55"/>
  <c r="AV116" i="55"/>
  <c r="DH116" i="55" s="1"/>
  <c r="Q98" i="55"/>
  <c r="AV98" i="55"/>
  <c r="AV121" i="55"/>
  <c r="Q121" i="55"/>
  <c r="CB93" i="55"/>
  <c r="AV118" i="55"/>
  <c r="DH118" i="55" s="1"/>
  <c r="Q118" i="55"/>
  <c r="R71" i="55"/>
  <c r="AW71" i="55"/>
  <c r="DI71" i="55" s="1"/>
  <c r="CB70" i="55"/>
  <c r="P76" i="55"/>
  <c r="AU76" i="55"/>
  <c r="AW117" i="55"/>
  <c r="DI117" i="55" s="1"/>
  <c r="R117" i="55"/>
  <c r="CA116" i="55"/>
  <c r="AY101" i="55"/>
  <c r="T101" i="55"/>
  <c r="U100" i="55"/>
  <c r="AZ100" i="55"/>
  <c r="CD97" i="55"/>
  <c r="U77" i="55"/>
  <c r="AZ77" i="55"/>
  <c r="AY78" i="55"/>
  <c r="T78" i="55"/>
  <c r="Q47" i="55"/>
  <c r="AV47" i="55"/>
  <c r="DH47" i="55" s="1"/>
  <c r="AV52" i="55"/>
  <c r="Q52" i="55"/>
  <c r="Q51" i="55"/>
  <c r="AV51" i="55"/>
  <c r="DH51" i="55" s="1"/>
  <c r="Q53" i="55"/>
  <c r="AV53" i="55"/>
  <c r="AW48" i="55"/>
  <c r="DI48" i="55" s="1"/>
  <c r="R48" i="55"/>
  <c r="AV49" i="55"/>
  <c r="DH49" i="55" s="1"/>
  <c r="Q49" i="55"/>
  <c r="AU50" i="55"/>
  <c r="DG50" i="55" s="1"/>
  <c r="P50" i="55"/>
  <c r="U55" i="55"/>
  <c r="AZ55" i="55"/>
  <c r="U54" i="55"/>
  <c r="AZ54" i="55"/>
  <c r="CC24" i="55"/>
  <c r="R29" i="55"/>
  <c r="AW29" i="55"/>
  <c r="Q30" i="55"/>
  <c r="AV30" i="55"/>
  <c r="R28" i="55"/>
  <c r="AW28" i="55"/>
  <c r="DI28" i="55" s="1"/>
  <c r="S25" i="55"/>
  <c r="AX25" i="55"/>
  <c r="DJ25" i="55" s="1"/>
  <c r="S32" i="55"/>
  <c r="AX32" i="55"/>
  <c r="S31" i="55"/>
  <c r="AX31" i="55"/>
  <c r="R24" i="55"/>
  <c r="AX24" i="55" s="1"/>
  <c r="DJ24" i="55" s="1"/>
  <c r="Q204" i="55"/>
  <c r="Q205" i="55" s="1"/>
  <c r="R3" i="55"/>
  <c r="R247" i="53"/>
  <c r="P196" i="54"/>
  <c r="K104" i="54"/>
  <c r="K105" i="54"/>
  <c r="K103" i="54"/>
  <c r="AB247" i="54"/>
  <c r="O180" i="54"/>
  <c r="K133" i="54"/>
  <c r="P125" i="54"/>
  <c r="Q123" i="54"/>
  <c r="P127" i="54"/>
  <c r="O187" i="54"/>
  <c r="L131" i="54"/>
  <c r="L134" i="54"/>
  <c r="AE133" i="54"/>
  <c r="P92" i="54"/>
  <c r="P186" i="54"/>
  <c r="R192" i="54"/>
  <c r="AA251" i="54"/>
  <c r="AF131" i="54"/>
  <c r="AF134" i="54"/>
  <c r="V133" i="54"/>
  <c r="L128" i="54"/>
  <c r="L127" i="54"/>
  <c r="O175" i="54"/>
  <c r="P170" i="54"/>
  <c r="P90" i="54"/>
  <c r="O93" i="54"/>
  <c r="P174" i="54"/>
  <c r="N258" i="54"/>
  <c r="O178" i="54"/>
  <c r="N179" i="54"/>
  <c r="N259" i="54" s="1"/>
  <c r="K102" i="54"/>
  <c r="O184" i="54"/>
  <c r="Q181" i="54"/>
  <c r="O195" i="54"/>
  <c r="O193" i="54"/>
  <c r="O194" i="54"/>
  <c r="O173" i="54"/>
  <c r="L96" i="54"/>
  <c r="L97" i="54"/>
  <c r="L101" i="54"/>
  <c r="L102" i="54" s="1"/>
  <c r="L95" i="54"/>
  <c r="M97" i="54"/>
  <c r="M96" i="54"/>
  <c r="M101" i="54"/>
  <c r="M102" i="54" s="1"/>
  <c r="M95" i="54"/>
  <c r="K258" i="54"/>
  <c r="K259" i="54"/>
  <c r="P171" i="54"/>
  <c r="P91" i="54"/>
  <c r="O85" i="54"/>
  <c r="N86" i="54"/>
  <c r="N88" i="54" s="1"/>
  <c r="N87" i="54"/>
  <c r="N100" i="54" s="1"/>
  <c r="P172" i="54"/>
  <c r="P185" i="54"/>
  <c r="O191" i="54"/>
  <c r="N127" i="53"/>
  <c r="O170" i="53"/>
  <c r="P123" i="53"/>
  <c r="O125" i="53"/>
  <c r="O185" i="53"/>
  <c r="Q174" i="53"/>
  <c r="P172" i="53"/>
  <c r="P118" i="53"/>
  <c r="O119" i="53"/>
  <c r="O121" i="53" s="1"/>
  <c r="O128" i="53" s="1"/>
  <c r="O120" i="53"/>
  <c r="O184" i="53"/>
  <c r="P90" i="53"/>
  <c r="O95" i="53"/>
  <c r="O96" i="53"/>
  <c r="O92" i="53"/>
  <c r="P187" i="53"/>
  <c r="P171" i="53"/>
  <c r="P195" i="53"/>
  <c r="N93" i="53"/>
  <c r="Q85" i="53"/>
  <c r="P86" i="53"/>
  <c r="P88" i="53" s="1"/>
  <c r="P87" i="53"/>
  <c r="Q191" i="53"/>
  <c r="P186" i="53"/>
  <c r="N97" i="53"/>
  <c r="O192" i="53"/>
  <c r="Q181" i="53"/>
  <c r="Q173" i="53"/>
  <c r="O196" i="53"/>
  <c r="O193" i="53"/>
  <c r="O180" i="53"/>
  <c r="Q91" i="53"/>
  <c r="Q194" i="53"/>
  <c r="O175" i="53"/>
  <c r="N258" i="53"/>
  <c r="N179" i="53"/>
  <c r="N259" i="53" s="1"/>
  <c r="O178" i="53"/>
  <c r="AS45" i="51"/>
  <c r="N45" i="51"/>
  <c r="Q3" i="51"/>
  <c r="I304" i="48"/>
  <c r="P240" i="48"/>
  <c r="J292" i="48"/>
  <c r="G197" i="48"/>
  <c r="G199" i="48"/>
  <c r="H195" i="48"/>
  <c r="I285" i="48"/>
  <c r="J130" i="48"/>
  <c r="E200" i="48"/>
  <c r="E199" i="48"/>
  <c r="P52" i="48"/>
  <c r="P49" i="48" s="1"/>
  <c r="AE123" i="48"/>
  <c r="E136" i="48"/>
  <c r="E137" i="48"/>
  <c r="E135" i="48"/>
  <c r="H299" i="48"/>
  <c r="D137" i="48"/>
  <c r="D135" i="48"/>
  <c r="D136" i="48"/>
  <c r="I308" i="48"/>
  <c r="I293" i="48"/>
  <c r="H191" i="48"/>
  <c r="I190" i="48"/>
  <c r="AE52" i="48"/>
  <c r="AE49" i="48" s="1"/>
  <c r="G52" i="48"/>
  <c r="G49" i="48" s="1"/>
  <c r="H282" i="48"/>
  <c r="I297" i="48"/>
  <c r="H284" i="48"/>
  <c r="I291" i="48"/>
  <c r="J290" i="48"/>
  <c r="I306" i="48"/>
  <c r="I131" i="48"/>
  <c r="AE240" i="48"/>
  <c r="H133" i="48"/>
  <c r="R1" i="48"/>
  <c r="Q51" i="48"/>
  <c r="Q50" i="48"/>
  <c r="Q189" i="48"/>
  <c r="Q258" i="48"/>
  <c r="Q241" i="48"/>
  <c r="Q124" i="48"/>
  <c r="I132" i="48"/>
  <c r="AF51" i="48"/>
  <c r="AF50" i="48"/>
  <c r="AF124" i="48"/>
  <c r="AF258" i="48"/>
  <c r="AF189" i="48"/>
  <c r="AF241" i="48"/>
  <c r="D200" i="48"/>
  <c r="D199" i="48"/>
  <c r="H298" i="48"/>
  <c r="F136" i="48"/>
  <c r="F137" i="48"/>
  <c r="F135" i="48"/>
  <c r="H307" i="48"/>
  <c r="H303" i="48"/>
  <c r="I1" i="48"/>
  <c r="H51" i="48"/>
  <c r="H50" i="48"/>
  <c r="H241" i="48"/>
  <c r="H189" i="48"/>
  <c r="H258" i="48"/>
  <c r="H124" i="48"/>
  <c r="I283" i="48"/>
  <c r="I287" i="48"/>
  <c r="G257" i="48"/>
  <c r="H286" i="48"/>
  <c r="I359" i="48"/>
  <c r="G128" i="48"/>
  <c r="G123" i="48"/>
  <c r="G127" i="48"/>
  <c r="G371" i="48"/>
  <c r="H126" i="48"/>
  <c r="I125" i="48"/>
  <c r="H305" i="48"/>
  <c r="K296" i="48"/>
  <c r="F370" i="48"/>
  <c r="F371" i="48"/>
  <c r="D188" i="46"/>
  <c r="R1" i="46"/>
  <c r="R51" i="46" s="1"/>
  <c r="Q241" i="46"/>
  <c r="Q240" i="46" s="1"/>
  <c r="Q189" i="46"/>
  <c r="Q188" i="46" s="1"/>
  <c r="Q124" i="46"/>
  <c r="Q123" i="46" s="1"/>
  <c r="Q50" i="46"/>
  <c r="Q52" i="46" s="1"/>
  <c r="Q49" i="46" s="1"/>
  <c r="Q258" i="46"/>
  <c r="Q257" i="46" s="1"/>
  <c r="E188" i="46"/>
  <c r="D127" i="46"/>
  <c r="E192" i="46"/>
  <c r="D193" i="46"/>
  <c r="D200" i="46" s="1"/>
  <c r="D128" i="46"/>
  <c r="D137" i="46" s="1"/>
  <c r="I308" i="46"/>
  <c r="I282" i="46"/>
  <c r="AE123" i="46"/>
  <c r="I303" i="46"/>
  <c r="N123" i="46"/>
  <c r="F240" i="46"/>
  <c r="F257" i="46"/>
  <c r="AD52" i="46"/>
  <c r="AD49" i="46" s="1"/>
  <c r="E200" i="46"/>
  <c r="E199" i="46"/>
  <c r="F52" i="46"/>
  <c r="F49" i="46" s="1"/>
  <c r="AD123" i="46"/>
  <c r="I285" i="46"/>
  <c r="H296" i="46"/>
  <c r="I299" i="46"/>
  <c r="G50" i="46"/>
  <c r="H1" i="46"/>
  <c r="G51" i="46"/>
  <c r="G189" i="46"/>
  <c r="G258" i="46"/>
  <c r="G241" i="46"/>
  <c r="G124" i="46"/>
  <c r="AA123" i="46"/>
  <c r="I130" i="46"/>
  <c r="J283" i="46"/>
  <c r="H297" i="46"/>
  <c r="K131" i="46"/>
  <c r="E136" i="46"/>
  <c r="E137" i="46"/>
  <c r="E135" i="46"/>
  <c r="X123" i="46"/>
  <c r="AB123" i="46"/>
  <c r="I306" i="46"/>
  <c r="AD188" i="46"/>
  <c r="H305" i="46"/>
  <c r="P123" i="46"/>
  <c r="J298" i="46"/>
  <c r="H286" i="46"/>
  <c r="O123" i="46"/>
  <c r="H191" i="46"/>
  <c r="I190" i="46"/>
  <c r="H293" i="46"/>
  <c r="K287" i="46"/>
  <c r="AF1" i="46"/>
  <c r="AE50" i="46"/>
  <c r="AE51" i="46"/>
  <c r="AE241" i="46"/>
  <c r="AE258" i="46"/>
  <c r="AE189" i="46"/>
  <c r="I307" i="46"/>
  <c r="Y123" i="46"/>
  <c r="I284" i="46"/>
  <c r="H292" i="46"/>
  <c r="AC123" i="46"/>
  <c r="H132" i="46"/>
  <c r="H133" i="46" s="1"/>
  <c r="H291" i="46"/>
  <c r="I290" i="46"/>
  <c r="G197" i="46"/>
  <c r="H195" i="46"/>
  <c r="F128" i="46"/>
  <c r="F127" i="46"/>
  <c r="F123" i="46"/>
  <c r="F192" i="46"/>
  <c r="F188" i="46"/>
  <c r="F193" i="46"/>
  <c r="Z123" i="46"/>
  <c r="G133" i="46"/>
  <c r="I125" i="46"/>
  <c r="H126" i="46"/>
  <c r="H304" i="46"/>
  <c r="T10" i="44"/>
  <c r="S1" i="46" l="1"/>
  <c r="CH75" i="59"/>
  <c r="CJ2" i="59"/>
  <c r="CI70" i="59"/>
  <c r="CI62" i="59"/>
  <c r="CI64" i="59"/>
  <c r="CI73" i="59"/>
  <c r="CI65" i="59"/>
  <c r="CI66" i="59"/>
  <c r="CI67" i="59"/>
  <c r="CI68" i="59"/>
  <c r="CI69" i="59"/>
  <c r="CI61" i="59"/>
  <c r="CI63" i="59"/>
  <c r="CI74" i="59"/>
  <c r="CI72" i="59"/>
  <c r="CI71" i="59"/>
  <c r="T140" i="55"/>
  <c r="AY140" i="55"/>
  <c r="DK140" i="55" s="1"/>
  <c r="AX139" i="55"/>
  <c r="DJ139" i="55" s="1"/>
  <c r="S139" i="55"/>
  <c r="AX144" i="55"/>
  <c r="S144" i="55"/>
  <c r="AX143" i="55"/>
  <c r="DJ143" i="55" s="1"/>
  <c r="S143" i="55"/>
  <c r="AW145" i="55"/>
  <c r="R145" i="55"/>
  <c r="BA147" i="55"/>
  <c r="V147" i="55"/>
  <c r="BB146" i="55"/>
  <c r="W146" i="55"/>
  <c r="R167" i="55"/>
  <c r="AW167" i="55"/>
  <c r="Q168" i="55"/>
  <c r="AV168" i="55"/>
  <c r="AW166" i="55"/>
  <c r="DI166" i="55" s="1"/>
  <c r="R166" i="55"/>
  <c r="AW164" i="55"/>
  <c r="DI164" i="55" s="1"/>
  <c r="R164" i="55"/>
  <c r="R162" i="55"/>
  <c r="AW162" i="55"/>
  <c r="DI162" i="55" s="1"/>
  <c r="U169" i="55"/>
  <c r="AZ169" i="55"/>
  <c r="S163" i="55"/>
  <c r="AX163" i="55"/>
  <c r="DJ163" i="55" s="1"/>
  <c r="CC162" i="55"/>
  <c r="R165" i="55"/>
  <c r="AW165" i="55"/>
  <c r="DI165" i="55" s="1"/>
  <c r="W170" i="55"/>
  <c r="BB170" i="55"/>
  <c r="U124" i="55"/>
  <c r="AZ124" i="55"/>
  <c r="Q76" i="55"/>
  <c r="AV76" i="55"/>
  <c r="R98" i="55"/>
  <c r="AW98" i="55"/>
  <c r="S94" i="55"/>
  <c r="AX94" i="55"/>
  <c r="DJ94" i="55" s="1"/>
  <c r="AW75" i="55"/>
  <c r="R75" i="55"/>
  <c r="Q99" i="55"/>
  <c r="AV99" i="55"/>
  <c r="S71" i="55"/>
  <c r="AX71" i="55"/>
  <c r="DJ71" i="55" s="1"/>
  <c r="R116" i="55"/>
  <c r="AW116" i="55"/>
  <c r="DI116" i="55" s="1"/>
  <c r="AV119" i="55"/>
  <c r="DH119" i="55" s="1"/>
  <c r="Q119" i="55"/>
  <c r="CB116" i="55"/>
  <c r="CC70" i="55"/>
  <c r="U123" i="55"/>
  <c r="AZ123" i="55"/>
  <c r="R93" i="55"/>
  <c r="AW93" i="55"/>
  <c r="DI93" i="55" s="1"/>
  <c r="R118" i="55"/>
  <c r="AW118" i="55"/>
  <c r="DI118" i="55" s="1"/>
  <c r="R122" i="55"/>
  <c r="AW122" i="55"/>
  <c r="AW120" i="55"/>
  <c r="DI120" i="55" s="1"/>
  <c r="R120" i="55"/>
  <c r="AX117" i="55"/>
  <c r="DJ117" i="55" s="1"/>
  <c r="S117" i="55"/>
  <c r="AW121" i="55"/>
  <c r="R121" i="55"/>
  <c r="R74" i="55"/>
  <c r="AW74" i="55"/>
  <c r="DI74" i="55" s="1"/>
  <c r="R97" i="55"/>
  <c r="AW97" i="55"/>
  <c r="DI97" i="55" s="1"/>
  <c r="CC93" i="55"/>
  <c r="R70" i="55"/>
  <c r="AW70" i="55"/>
  <c r="DI70" i="55" s="1"/>
  <c r="CE97" i="55"/>
  <c r="V100" i="55"/>
  <c r="BA100" i="55"/>
  <c r="U101" i="55"/>
  <c r="AZ101" i="55"/>
  <c r="V77" i="55"/>
  <c r="BA77" i="55"/>
  <c r="U78" i="55"/>
  <c r="AZ78" i="55"/>
  <c r="R49" i="55"/>
  <c r="AW49" i="55"/>
  <c r="DI49" i="55" s="1"/>
  <c r="Q50" i="55"/>
  <c r="AV50" i="55"/>
  <c r="DH50" i="55" s="1"/>
  <c r="AX48" i="55"/>
  <c r="DJ48" i="55" s="1"/>
  <c r="S48" i="55"/>
  <c r="R52" i="55"/>
  <c r="AW52" i="55"/>
  <c r="R53" i="55"/>
  <c r="AW53" i="55"/>
  <c r="R51" i="55"/>
  <c r="AW51" i="55"/>
  <c r="DI51" i="55" s="1"/>
  <c r="R47" i="55"/>
  <c r="AW47" i="55"/>
  <c r="DI47" i="55" s="1"/>
  <c r="BA54" i="55"/>
  <c r="V54" i="55"/>
  <c r="V55" i="55"/>
  <c r="BA55" i="55"/>
  <c r="T25" i="55"/>
  <c r="AY25" i="55"/>
  <c r="DK25" i="55" s="1"/>
  <c r="S29" i="55"/>
  <c r="AX29" i="55"/>
  <c r="T31" i="55"/>
  <c r="AY31" i="55"/>
  <c r="CD24" i="55"/>
  <c r="T32" i="55"/>
  <c r="AY32" i="55"/>
  <c r="S28" i="55"/>
  <c r="AX28" i="55"/>
  <c r="DJ28" i="55" s="1"/>
  <c r="R30" i="55"/>
  <c r="AW30" i="55"/>
  <c r="S24" i="55"/>
  <c r="AY24" i="55" s="1"/>
  <c r="DK24" i="55" s="1"/>
  <c r="R204" i="55"/>
  <c r="R205" i="55" s="1"/>
  <c r="S3" i="55"/>
  <c r="S247" i="53"/>
  <c r="P173" i="54"/>
  <c r="P93" i="54"/>
  <c r="Q90" i="54"/>
  <c r="AB251" i="54"/>
  <c r="P194" i="54"/>
  <c r="Q170" i="54"/>
  <c r="Q127" i="54"/>
  <c r="R123" i="54"/>
  <c r="Q125" i="54"/>
  <c r="P191" i="54"/>
  <c r="Q91" i="54"/>
  <c r="R181" i="54"/>
  <c r="O258" i="54"/>
  <c r="O179" i="54"/>
  <c r="O259" i="54" s="1"/>
  <c r="P178" i="54"/>
  <c r="Q92" i="54"/>
  <c r="P193" i="54"/>
  <c r="L258" i="54"/>
  <c r="L259" i="54"/>
  <c r="S192" i="54"/>
  <c r="L103" i="54"/>
  <c r="L105" i="54"/>
  <c r="L104" i="54"/>
  <c r="P184" i="54"/>
  <c r="AC247" i="54"/>
  <c r="M103" i="54"/>
  <c r="M105" i="54"/>
  <c r="M104" i="54"/>
  <c r="N96" i="54"/>
  <c r="N97" i="54"/>
  <c r="N101" i="54"/>
  <c r="N102" i="54" s="1"/>
  <c r="N95" i="54"/>
  <c r="Q171" i="54"/>
  <c r="Q174" i="54"/>
  <c r="Q186" i="54"/>
  <c r="L133" i="54"/>
  <c r="Q172" i="54"/>
  <c r="P85" i="54"/>
  <c r="O86" i="54"/>
  <c r="O88" i="54" s="1"/>
  <c r="O87" i="54"/>
  <c r="O100" i="54" s="1"/>
  <c r="P195" i="54"/>
  <c r="P175" i="54"/>
  <c r="AF133" i="54"/>
  <c r="P187" i="54"/>
  <c r="Q185" i="54"/>
  <c r="P180" i="54"/>
  <c r="Q196" i="54"/>
  <c r="P180" i="53"/>
  <c r="Q171" i="53"/>
  <c r="Q172" i="53"/>
  <c r="P125" i="53"/>
  <c r="Q123" i="53"/>
  <c r="R194" i="53"/>
  <c r="P92" i="53"/>
  <c r="P93" i="53" s="1"/>
  <c r="O127" i="53"/>
  <c r="R181" i="53"/>
  <c r="R191" i="53"/>
  <c r="Q187" i="53"/>
  <c r="R174" i="53"/>
  <c r="P193" i="53"/>
  <c r="P96" i="53"/>
  <c r="Q195" i="53"/>
  <c r="P95" i="53"/>
  <c r="Q90" i="53"/>
  <c r="O258" i="53"/>
  <c r="O179" i="53"/>
  <c r="O259" i="53" s="1"/>
  <c r="P178" i="53"/>
  <c r="R91" i="53"/>
  <c r="P192" i="53"/>
  <c r="R85" i="53"/>
  <c r="Q86" i="53"/>
  <c r="Q88" i="53" s="1"/>
  <c r="Q87" i="53"/>
  <c r="O93" i="53"/>
  <c r="P119" i="53"/>
  <c r="P121" i="53" s="1"/>
  <c r="P128" i="53" s="1"/>
  <c r="Q118" i="53"/>
  <c r="P120" i="53"/>
  <c r="Q186" i="53"/>
  <c r="P185" i="53"/>
  <c r="P170" i="53"/>
  <c r="P175" i="53"/>
  <c r="O97" i="53"/>
  <c r="P184" i="53"/>
  <c r="P196" i="53"/>
  <c r="R173" i="53"/>
  <c r="AT45" i="51"/>
  <c r="R3" i="51"/>
  <c r="O45" i="51"/>
  <c r="G136" i="48"/>
  <c r="G137" i="48"/>
  <c r="G135" i="48"/>
  <c r="I286" i="48"/>
  <c r="J287" i="48"/>
  <c r="H128" i="48"/>
  <c r="H127" i="48"/>
  <c r="H123" i="48"/>
  <c r="H52" i="48"/>
  <c r="H49" i="48" s="1"/>
  <c r="AF123" i="48"/>
  <c r="Q188" i="48"/>
  <c r="J291" i="48"/>
  <c r="K290" i="48"/>
  <c r="I282" i="48"/>
  <c r="K130" i="48"/>
  <c r="J285" i="48"/>
  <c r="K292" i="48"/>
  <c r="J304" i="48"/>
  <c r="L296" i="48"/>
  <c r="J359" i="48"/>
  <c r="H257" i="48"/>
  <c r="I307" i="48"/>
  <c r="AF240" i="48"/>
  <c r="AF52" i="48"/>
  <c r="AF49" i="48" s="1"/>
  <c r="Q123" i="48"/>
  <c r="Q52" i="48"/>
  <c r="Q49" i="48" s="1"/>
  <c r="J131" i="48"/>
  <c r="I284" i="48"/>
  <c r="J308" i="48"/>
  <c r="H197" i="48"/>
  <c r="I195" i="48"/>
  <c r="J283" i="48"/>
  <c r="H193" i="48"/>
  <c r="H200" i="48" s="1"/>
  <c r="H192" i="48"/>
  <c r="H188" i="48"/>
  <c r="I51" i="48"/>
  <c r="I50" i="48"/>
  <c r="J1" i="48"/>
  <c r="I124" i="48"/>
  <c r="I189" i="48"/>
  <c r="I258" i="48"/>
  <c r="I241" i="48"/>
  <c r="AF188" i="48"/>
  <c r="Q240" i="48"/>
  <c r="J297" i="48"/>
  <c r="I191" i="48"/>
  <c r="J190" i="48"/>
  <c r="I299" i="48"/>
  <c r="I133" i="48"/>
  <c r="I305" i="48"/>
  <c r="I126" i="48"/>
  <c r="J125" i="48"/>
  <c r="H240" i="48"/>
  <c r="I303" i="48"/>
  <c r="I298" i="48"/>
  <c r="D371" i="48"/>
  <c r="D370" i="48"/>
  <c r="AF257" i="48"/>
  <c r="J132" i="48"/>
  <c r="Q257" i="48"/>
  <c r="R51" i="48"/>
  <c r="R50" i="48"/>
  <c r="S1" i="48"/>
  <c r="R258" i="48"/>
  <c r="R189" i="48"/>
  <c r="R241" i="48"/>
  <c r="R124" i="48"/>
  <c r="J306" i="48"/>
  <c r="J293" i="48"/>
  <c r="E370" i="48"/>
  <c r="E371" i="48"/>
  <c r="R124" i="46"/>
  <c r="R258" i="46"/>
  <c r="R257" i="46" s="1"/>
  <c r="R241" i="46"/>
  <c r="R240" i="46" s="1"/>
  <c r="R50" i="46"/>
  <c r="R52" i="46" s="1"/>
  <c r="R49" i="46" s="1"/>
  <c r="D199" i="46"/>
  <c r="R189" i="46"/>
  <c r="R188" i="46" s="1"/>
  <c r="D136" i="46"/>
  <c r="D135" i="46"/>
  <c r="F200" i="46"/>
  <c r="F199" i="46"/>
  <c r="I195" i="46"/>
  <c r="H197" i="46"/>
  <c r="I292" i="46"/>
  <c r="I286" i="46"/>
  <c r="I305" i="46"/>
  <c r="J130" i="46"/>
  <c r="G127" i="46"/>
  <c r="G128" i="46"/>
  <c r="G123" i="46"/>
  <c r="J299" i="46"/>
  <c r="E370" i="46"/>
  <c r="E371" i="46"/>
  <c r="D370" i="46"/>
  <c r="D371" i="46"/>
  <c r="J284" i="46"/>
  <c r="AE188" i="46"/>
  <c r="AE52" i="46"/>
  <c r="AE49" i="46" s="1"/>
  <c r="I293" i="46"/>
  <c r="J306" i="46"/>
  <c r="I297" i="46"/>
  <c r="G240" i="46"/>
  <c r="H51" i="46"/>
  <c r="H50" i="46"/>
  <c r="I1" i="46"/>
  <c r="H241" i="46"/>
  <c r="H124" i="46"/>
  <c r="H258" i="46"/>
  <c r="H189" i="46"/>
  <c r="J303" i="46"/>
  <c r="AE257" i="46"/>
  <c r="AF50" i="46"/>
  <c r="AF51" i="46"/>
  <c r="AF189" i="46"/>
  <c r="AF258" i="46"/>
  <c r="AF241" i="46"/>
  <c r="AF124" i="46"/>
  <c r="I191" i="46"/>
  <c r="J190" i="46"/>
  <c r="L131" i="46"/>
  <c r="K283" i="46"/>
  <c r="G257" i="46"/>
  <c r="G52" i="46"/>
  <c r="G49" i="46" s="1"/>
  <c r="I296" i="46"/>
  <c r="J285" i="46"/>
  <c r="J282" i="46"/>
  <c r="J308" i="46"/>
  <c r="R123" i="46"/>
  <c r="I304" i="46"/>
  <c r="I126" i="46"/>
  <c r="J125" i="46"/>
  <c r="F136" i="46"/>
  <c r="F137" i="46"/>
  <c r="F135" i="46"/>
  <c r="J290" i="46"/>
  <c r="I291" i="46"/>
  <c r="I132" i="46"/>
  <c r="I133" i="46" s="1"/>
  <c r="J307" i="46"/>
  <c r="AE240" i="46"/>
  <c r="L287" i="46"/>
  <c r="S51" i="46"/>
  <c r="S50" i="46"/>
  <c r="T1" i="46"/>
  <c r="S241" i="46"/>
  <c r="S258" i="46"/>
  <c r="S189" i="46"/>
  <c r="S124" i="46"/>
  <c r="K298" i="46"/>
  <c r="G193" i="46"/>
  <c r="G192" i="46"/>
  <c r="G188" i="46"/>
  <c r="D26" i="11"/>
  <c r="D24" i="11"/>
  <c r="J133" i="48" l="1"/>
  <c r="CI75" i="59"/>
  <c r="CK2" i="59"/>
  <c r="CJ64" i="59"/>
  <c r="CJ73" i="59"/>
  <c r="CJ65" i="59"/>
  <c r="CJ66" i="59"/>
  <c r="CJ67" i="59"/>
  <c r="CJ68" i="59"/>
  <c r="CJ69" i="59"/>
  <c r="CJ62" i="59"/>
  <c r="CJ70" i="59"/>
  <c r="CJ61" i="59"/>
  <c r="CJ63" i="59"/>
  <c r="CJ74" i="59"/>
  <c r="CJ72" i="59"/>
  <c r="CJ71" i="59"/>
  <c r="AY143" i="55"/>
  <c r="DK143" i="55" s="1"/>
  <c r="T143" i="55"/>
  <c r="AY144" i="55"/>
  <c r="T144" i="55"/>
  <c r="AX145" i="55"/>
  <c r="S145" i="55"/>
  <c r="T139" i="55"/>
  <c r="AY139" i="55"/>
  <c r="DK139" i="55" s="1"/>
  <c r="AZ140" i="55"/>
  <c r="DL140" i="55" s="1"/>
  <c r="U140" i="55"/>
  <c r="X146" i="55"/>
  <c r="BC146" i="55"/>
  <c r="BB147" i="55"/>
  <c r="W147" i="55"/>
  <c r="S162" i="55"/>
  <c r="AX162" i="55"/>
  <c r="DJ162" i="55" s="1"/>
  <c r="CD162" i="55"/>
  <c r="AX164" i="55"/>
  <c r="DJ164" i="55" s="1"/>
  <c r="S164" i="55"/>
  <c r="R168" i="55"/>
  <c r="AW168" i="55"/>
  <c r="X170" i="55"/>
  <c r="BC170" i="55"/>
  <c r="T163" i="55"/>
  <c r="AY163" i="55"/>
  <c r="DK163" i="55" s="1"/>
  <c r="S167" i="55"/>
  <c r="AX167" i="55"/>
  <c r="S165" i="55"/>
  <c r="AX165" i="55"/>
  <c r="DJ165" i="55" s="1"/>
  <c r="V169" i="55"/>
  <c r="BA169" i="55"/>
  <c r="S166" i="55"/>
  <c r="AX166" i="55"/>
  <c r="DJ166" i="55" s="1"/>
  <c r="BA124" i="55"/>
  <c r="V124" i="55"/>
  <c r="T94" i="55"/>
  <c r="AY94" i="55"/>
  <c r="DK94" i="55" s="1"/>
  <c r="S97" i="55"/>
  <c r="AX97" i="55"/>
  <c r="DJ97" i="55" s="1"/>
  <c r="AY117" i="55"/>
  <c r="DK117" i="55" s="1"/>
  <c r="T117" i="55"/>
  <c r="S118" i="55"/>
  <c r="AX118" i="55"/>
  <c r="DJ118" i="55" s="1"/>
  <c r="CD70" i="55"/>
  <c r="AX116" i="55"/>
  <c r="DJ116" i="55" s="1"/>
  <c r="S116" i="55"/>
  <c r="AX98" i="55"/>
  <c r="S98" i="55"/>
  <c r="AX70" i="55"/>
  <c r="DJ70" i="55" s="1"/>
  <c r="S70" i="55"/>
  <c r="AX74" i="55"/>
  <c r="DJ74" i="55" s="1"/>
  <c r="S74" i="55"/>
  <c r="AX120" i="55"/>
  <c r="DJ120" i="55" s="1"/>
  <c r="S120" i="55"/>
  <c r="S93" i="55"/>
  <c r="AX93" i="55"/>
  <c r="DJ93" i="55" s="1"/>
  <c r="CC116" i="55"/>
  <c r="S121" i="55"/>
  <c r="AX121" i="55"/>
  <c r="T71" i="55"/>
  <c r="AY71" i="55"/>
  <c r="DK71" i="55" s="1"/>
  <c r="AX75" i="55"/>
  <c r="S75" i="55"/>
  <c r="CD93" i="55"/>
  <c r="BA123" i="55"/>
  <c r="V123" i="55"/>
  <c r="R119" i="55"/>
  <c r="AW119" i="55"/>
  <c r="DI119" i="55" s="1"/>
  <c r="R76" i="55"/>
  <c r="AW76" i="55"/>
  <c r="S122" i="55"/>
  <c r="AX122" i="55"/>
  <c r="R99" i="55"/>
  <c r="AW99" i="55"/>
  <c r="V101" i="55"/>
  <c r="BA101" i="55"/>
  <c r="W100" i="55"/>
  <c r="BB100" i="55"/>
  <c r="CF97" i="55"/>
  <c r="V78" i="55"/>
  <c r="BA78" i="55"/>
  <c r="W77" i="55"/>
  <c r="BB77" i="55"/>
  <c r="S51" i="55"/>
  <c r="AX51" i="55"/>
  <c r="DJ51" i="55" s="1"/>
  <c r="S53" i="55"/>
  <c r="AX53" i="55"/>
  <c r="S49" i="55"/>
  <c r="AX49" i="55"/>
  <c r="DJ49" i="55" s="1"/>
  <c r="AX47" i="55"/>
  <c r="DJ47" i="55" s="1"/>
  <c r="S47" i="55"/>
  <c r="S52" i="55"/>
  <c r="AX52" i="55"/>
  <c r="AW50" i="55"/>
  <c r="DI50" i="55" s="1"/>
  <c r="R50" i="55"/>
  <c r="T48" i="55"/>
  <c r="AY48" i="55"/>
  <c r="DK48" i="55" s="1"/>
  <c r="W55" i="55"/>
  <c r="BB55" i="55"/>
  <c r="BB54" i="55"/>
  <c r="W54" i="55"/>
  <c r="CE24" i="55"/>
  <c r="U32" i="55"/>
  <c r="AZ32" i="55"/>
  <c r="U31" i="55"/>
  <c r="AZ31" i="55"/>
  <c r="U25" i="55"/>
  <c r="AZ25" i="55"/>
  <c r="DL25" i="55" s="1"/>
  <c r="S30" i="55"/>
  <c r="AX30" i="55"/>
  <c r="T28" i="55"/>
  <c r="AY28" i="55"/>
  <c r="DK28" i="55" s="1"/>
  <c r="T29" i="55"/>
  <c r="AY29" i="55"/>
  <c r="T24" i="55"/>
  <c r="AZ24" i="55" s="1"/>
  <c r="DL24" i="55" s="1"/>
  <c r="S204" i="55"/>
  <c r="S205" i="55" s="1"/>
  <c r="T3" i="55"/>
  <c r="T247" i="53"/>
  <c r="R171" i="54"/>
  <c r="R196" i="54"/>
  <c r="Q175" i="54"/>
  <c r="Q184" i="54"/>
  <c r="R92" i="54"/>
  <c r="R91" i="54"/>
  <c r="Q194" i="54"/>
  <c r="R174" i="54"/>
  <c r="R90" i="54"/>
  <c r="Q93" i="54"/>
  <c r="AD247" i="54"/>
  <c r="Q193" i="54"/>
  <c r="Q180" i="54"/>
  <c r="Q187" i="54"/>
  <c r="Q195" i="54"/>
  <c r="R172" i="54"/>
  <c r="P258" i="54"/>
  <c r="Q178" i="54"/>
  <c r="P179" i="54"/>
  <c r="P259" i="54" s="1"/>
  <c r="Q191" i="54"/>
  <c r="R186" i="54"/>
  <c r="S123" i="54"/>
  <c r="R125" i="54"/>
  <c r="R127" i="54"/>
  <c r="Q173" i="54"/>
  <c r="O97" i="54"/>
  <c r="O101" i="54"/>
  <c r="O102" i="54" s="1"/>
  <c r="O96" i="54"/>
  <c r="O95" i="54"/>
  <c r="R185" i="54"/>
  <c r="N104" i="54"/>
  <c r="N103" i="54"/>
  <c r="N105" i="54"/>
  <c r="AC251" i="54"/>
  <c r="Q85" i="54"/>
  <c r="P86" i="54"/>
  <c r="P88" i="54" s="1"/>
  <c r="P87" i="54"/>
  <c r="P100" i="54" s="1"/>
  <c r="T192" i="54"/>
  <c r="S181" i="54"/>
  <c r="R170" i="54"/>
  <c r="P97" i="53"/>
  <c r="Q196" i="53"/>
  <c r="Q175" i="53"/>
  <c r="Q119" i="53"/>
  <c r="Q121" i="53" s="1"/>
  <c r="Q128" i="53" s="1"/>
  <c r="R118" i="53"/>
  <c r="Q120" i="53"/>
  <c r="S194" i="53"/>
  <c r="P127" i="53"/>
  <c r="Q170" i="53"/>
  <c r="Q92" i="53"/>
  <c r="Q97" i="53" s="1"/>
  <c r="R195" i="53"/>
  <c r="R172" i="53"/>
  <c r="S173" i="53"/>
  <c r="Q185" i="53"/>
  <c r="R186" i="53"/>
  <c r="Q96" i="53"/>
  <c r="S174" i="53"/>
  <c r="S191" i="53"/>
  <c r="S85" i="53"/>
  <c r="R86" i="53"/>
  <c r="R88" i="53" s="1"/>
  <c r="R87" i="53"/>
  <c r="Q95" i="53"/>
  <c r="R90" i="53"/>
  <c r="R171" i="53"/>
  <c r="Q192" i="53"/>
  <c r="P258" i="53"/>
  <c r="P179" i="53"/>
  <c r="P259" i="53" s="1"/>
  <c r="Q178" i="53"/>
  <c r="Q193" i="53"/>
  <c r="S181" i="53"/>
  <c r="Q184" i="53"/>
  <c r="Q180" i="53"/>
  <c r="S91" i="53"/>
  <c r="R187" i="53"/>
  <c r="R123" i="53"/>
  <c r="Q125" i="53"/>
  <c r="AU45" i="51"/>
  <c r="P45" i="51"/>
  <c r="S3" i="51"/>
  <c r="K306" i="48"/>
  <c r="R188" i="48"/>
  <c r="K125" i="48"/>
  <c r="J126" i="48"/>
  <c r="I127" i="48"/>
  <c r="I123" i="48"/>
  <c r="I128" i="48"/>
  <c r="J195" i="48"/>
  <c r="I197" i="48"/>
  <c r="J284" i="48"/>
  <c r="J307" i="48"/>
  <c r="M296" i="48"/>
  <c r="L292" i="48"/>
  <c r="L130" i="48"/>
  <c r="J282" i="48"/>
  <c r="L290" i="48"/>
  <c r="K291" i="48"/>
  <c r="H137" i="48"/>
  <c r="H136" i="48"/>
  <c r="H135" i="48"/>
  <c r="K132" i="48"/>
  <c r="R257" i="48"/>
  <c r="J298" i="48"/>
  <c r="J191" i="48"/>
  <c r="K190" i="48"/>
  <c r="I240" i="48"/>
  <c r="K1" i="48"/>
  <c r="J51" i="48"/>
  <c r="J50" i="48"/>
  <c r="J258" i="48"/>
  <c r="J124" i="48"/>
  <c r="J189" i="48"/>
  <c r="J241" i="48"/>
  <c r="K283" i="48"/>
  <c r="H199" i="48"/>
  <c r="K359" i="48"/>
  <c r="K287" i="48"/>
  <c r="R240" i="48"/>
  <c r="K293" i="48"/>
  <c r="R123" i="48"/>
  <c r="T1" i="48"/>
  <c r="S51" i="48"/>
  <c r="S50" i="48"/>
  <c r="S189" i="48"/>
  <c r="S241" i="48"/>
  <c r="S124" i="48"/>
  <c r="S258" i="48"/>
  <c r="J305" i="48"/>
  <c r="K297" i="48"/>
  <c r="I257" i="48"/>
  <c r="I52" i="48"/>
  <c r="I49" i="48" s="1"/>
  <c r="H370" i="48"/>
  <c r="H371" i="48"/>
  <c r="K308" i="48"/>
  <c r="K304" i="48"/>
  <c r="K285" i="48"/>
  <c r="R52" i="48"/>
  <c r="R49" i="48" s="1"/>
  <c r="J303" i="48"/>
  <c r="J299" i="48"/>
  <c r="I192" i="48"/>
  <c r="I188" i="48"/>
  <c r="I193" i="48"/>
  <c r="I200" i="48" s="1"/>
  <c r="K131" i="48"/>
  <c r="J286" i="48"/>
  <c r="S123" i="46"/>
  <c r="T50" i="46"/>
  <c r="U1" i="46"/>
  <c r="T51" i="46"/>
  <c r="T258" i="46"/>
  <c r="T189" i="46"/>
  <c r="T241" i="46"/>
  <c r="T124" i="46"/>
  <c r="K290" i="46"/>
  <c r="J291" i="46"/>
  <c r="M131" i="46"/>
  <c r="AF257" i="46"/>
  <c r="H257" i="46"/>
  <c r="H52" i="46"/>
  <c r="H49" i="46" s="1"/>
  <c r="J297" i="46"/>
  <c r="J293" i="46"/>
  <c r="K284" i="46"/>
  <c r="J305" i="46"/>
  <c r="J292" i="46"/>
  <c r="S188" i="46"/>
  <c r="S52" i="46"/>
  <c r="S49" i="46" s="1"/>
  <c r="K282" i="46"/>
  <c r="K285" i="46"/>
  <c r="AF188" i="46"/>
  <c r="K303" i="46"/>
  <c r="H127" i="46"/>
  <c r="H128" i="46"/>
  <c r="H123" i="46"/>
  <c r="G200" i="46"/>
  <c r="G199" i="46"/>
  <c r="L298" i="46"/>
  <c r="S257" i="46"/>
  <c r="J304" i="46"/>
  <c r="L283" i="46"/>
  <c r="K190" i="46"/>
  <c r="J191" i="46"/>
  <c r="AF123" i="46"/>
  <c r="H240" i="46"/>
  <c r="K306" i="46"/>
  <c r="J286" i="46"/>
  <c r="I197" i="46"/>
  <c r="J195" i="46"/>
  <c r="F370" i="46"/>
  <c r="F371" i="46"/>
  <c r="S240" i="46"/>
  <c r="M287" i="46"/>
  <c r="K307" i="46"/>
  <c r="J132" i="46"/>
  <c r="J133" i="46" s="1"/>
  <c r="J126" i="46"/>
  <c r="K125" i="46"/>
  <c r="K308" i="46"/>
  <c r="J296" i="46"/>
  <c r="AF240" i="46"/>
  <c r="AF52" i="46"/>
  <c r="AF49" i="46" s="1"/>
  <c r="H192" i="46"/>
  <c r="H193" i="46"/>
  <c r="H188" i="46"/>
  <c r="I51" i="46"/>
  <c r="I50" i="46"/>
  <c r="J1" i="46"/>
  <c r="I241" i="46"/>
  <c r="I189" i="46"/>
  <c r="I258" i="46"/>
  <c r="I124" i="46"/>
  <c r="K299" i="46"/>
  <c r="G137" i="46"/>
  <c r="G136" i="46"/>
  <c r="G135" i="46"/>
  <c r="K130" i="46"/>
  <c r="F19" i="43"/>
  <c r="F18" i="43"/>
  <c r="F17" i="43"/>
  <c r="B26" i="43" s="1"/>
  <c r="F26" i="43" s="1"/>
  <c r="F16" i="43"/>
  <c r="B27" i="43" s="1"/>
  <c r="N3" i="43"/>
  <c r="D63" i="45"/>
  <c r="D69" i="45" s="1"/>
  <c r="D33" i="45"/>
  <c r="BS32" i="45"/>
  <c r="BS31" i="45"/>
  <c r="D30" i="45"/>
  <c r="BS29" i="45"/>
  <c r="BS33" i="45" s="1"/>
  <c r="BS27" i="45"/>
  <c r="BR27" i="45"/>
  <c r="BS23" i="45"/>
  <c r="BR23" i="45"/>
  <c r="D21" i="45"/>
  <c r="BS18" i="45"/>
  <c r="BS17" i="45"/>
  <c r="BS12" i="45"/>
  <c r="BS19" i="45" s="1"/>
  <c r="CC10" i="45"/>
  <c r="CA10" i="45"/>
  <c r="BR10" i="45"/>
  <c r="BZ7" i="45"/>
  <c r="AK3" i="45"/>
  <c r="AL3" i="45" s="1"/>
  <c r="AM3" i="45" s="1"/>
  <c r="AN3" i="45" s="1"/>
  <c r="AO3" i="45" s="1"/>
  <c r="AP3" i="45" s="1"/>
  <c r="AQ3" i="45" s="1"/>
  <c r="AR3" i="45" s="1"/>
  <c r="AS3" i="45" s="1"/>
  <c r="AT3" i="45" s="1"/>
  <c r="AU3" i="45" s="1"/>
  <c r="AV3" i="45" s="1"/>
  <c r="AW3" i="45" s="1"/>
  <c r="AX3" i="45" s="1"/>
  <c r="AY3" i="45" s="1"/>
  <c r="AZ3" i="45" s="1"/>
  <c r="BA3" i="45" s="1"/>
  <c r="BB3" i="45" s="1"/>
  <c r="BC3" i="45" s="1"/>
  <c r="BD3" i="45" s="1"/>
  <c r="BE3" i="45" s="1"/>
  <c r="BF3" i="45" s="1"/>
  <c r="BG3" i="45" s="1"/>
  <c r="BH3" i="45" s="1"/>
  <c r="BI3" i="45" s="1"/>
  <c r="BJ3" i="45" s="1"/>
  <c r="BK3" i="45" s="1"/>
  <c r="BL3" i="45" s="1"/>
  <c r="BM3" i="45" s="1"/>
  <c r="BN3" i="45" s="1"/>
  <c r="E3" i="45"/>
  <c r="O3" i="43" l="1"/>
  <c r="I199" i="48"/>
  <c r="F27" i="43"/>
  <c r="B28" i="43"/>
  <c r="F28" i="43" s="1"/>
  <c r="CJ75" i="59"/>
  <c r="CL2" i="59"/>
  <c r="CK64" i="59"/>
  <c r="CK73" i="59"/>
  <c r="CK65" i="59"/>
  <c r="CK66" i="59"/>
  <c r="CK67" i="59"/>
  <c r="CK68" i="59"/>
  <c r="CK69" i="59"/>
  <c r="CK61" i="59"/>
  <c r="CK70" i="59"/>
  <c r="CK62" i="59"/>
  <c r="CK63" i="59"/>
  <c r="CK74" i="59"/>
  <c r="CK72" i="59"/>
  <c r="CK71" i="59"/>
  <c r="AZ139" i="55"/>
  <c r="DL139" i="55" s="1"/>
  <c r="U139" i="55"/>
  <c r="AY145" i="55"/>
  <c r="T145" i="55"/>
  <c r="BA140" i="55"/>
  <c r="DM140" i="55" s="1"/>
  <c r="V140" i="55"/>
  <c r="AZ144" i="55"/>
  <c r="U144" i="55"/>
  <c r="AZ143" i="55"/>
  <c r="DL143" i="55" s="1"/>
  <c r="U143" i="55"/>
  <c r="BC147" i="55"/>
  <c r="X147" i="55"/>
  <c r="Y146" i="55"/>
  <c r="BD146" i="55"/>
  <c r="T165" i="55"/>
  <c r="AY165" i="55"/>
  <c r="DK165" i="55" s="1"/>
  <c r="S168" i="55"/>
  <c r="AX168" i="55"/>
  <c r="T167" i="55"/>
  <c r="AY167" i="55"/>
  <c r="AY164" i="55"/>
  <c r="DK164" i="55" s="1"/>
  <c r="T164" i="55"/>
  <c r="AY162" i="55"/>
  <c r="DK162" i="55" s="1"/>
  <c r="T162" i="55"/>
  <c r="T166" i="55"/>
  <c r="AY166" i="55"/>
  <c r="DK166" i="55" s="1"/>
  <c r="CE162" i="55"/>
  <c r="U163" i="55"/>
  <c r="AZ163" i="55"/>
  <c r="DL163" i="55" s="1"/>
  <c r="BB169" i="55"/>
  <c r="W169" i="55"/>
  <c r="Y170" i="55"/>
  <c r="BD170" i="55"/>
  <c r="W124" i="55"/>
  <c r="BB124" i="55"/>
  <c r="AY75" i="55"/>
  <c r="T75" i="55"/>
  <c r="AY120" i="55"/>
  <c r="DK120" i="55" s="1"/>
  <c r="T120" i="55"/>
  <c r="S76" i="55"/>
  <c r="AX76" i="55"/>
  <c r="AY116" i="55"/>
  <c r="DK116" i="55" s="1"/>
  <c r="T116" i="55"/>
  <c r="CD116" i="55"/>
  <c r="T74" i="55"/>
  <c r="AY74" i="55"/>
  <c r="DK74" i="55" s="1"/>
  <c r="T97" i="55"/>
  <c r="AY97" i="55"/>
  <c r="DK97" i="55" s="1"/>
  <c r="S119" i="55"/>
  <c r="AX119" i="55"/>
  <c r="DJ119" i="55" s="1"/>
  <c r="U71" i="55"/>
  <c r="AZ71" i="55"/>
  <c r="DL71" i="55" s="1"/>
  <c r="W123" i="55"/>
  <c r="BB123" i="55"/>
  <c r="T70" i="55"/>
  <c r="AY70" i="55"/>
  <c r="DK70" i="55" s="1"/>
  <c r="AZ94" i="55"/>
  <c r="DL94" i="55" s="1"/>
  <c r="U94" i="55"/>
  <c r="S99" i="55"/>
  <c r="AX99" i="55"/>
  <c r="AY121" i="55"/>
  <c r="T121" i="55"/>
  <c r="CE70" i="55"/>
  <c r="AY118" i="55"/>
  <c r="DK118" i="55" s="1"/>
  <c r="T118" i="55"/>
  <c r="AY122" i="55"/>
  <c r="T122" i="55"/>
  <c r="CE93" i="55"/>
  <c r="T93" i="55"/>
  <c r="AY93" i="55"/>
  <c r="DK93" i="55" s="1"/>
  <c r="T98" i="55"/>
  <c r="AY98" i="55"/>
  <c r="U117" i="55"/>
  <c r="AZ117" i="55"/>
  <c r="DL117" i="55" s="1"/>
  <c r="W101" i="55"/>
  <c r="BB101" i="55"/>
  <c r="BC100" i="55"/>
  <c r="X100" i="55"/>
  <c r="CG97" i="55"/>
  <c r="BC77" i="55"/>
  <c r="X77" i="55"/>
  <c r="W78" i="55"/>
  <c r="BB78" i="55"/>
  <c r="AY47" i="55"/>
  <c r="DK47" i="55" s="1"/>
  <c r="T47" i="55"/>
  <c r="U48" i="55"/>
  <c r="AZ48" i="55"/>
  <c r="DL48" i="55" s="1"/>
  <c r="AX50" i="55"/>
  <c r="DJ50" i="55" s="1"/>
  <c r="S50" i="55"/>
  <c r="T53" i="55"/>
  <c r="AY53" i="55"/>
  <c r="T51" i="55"/>
  <c r="AY51" i="55"/>
  <c r="DK51" i="55" s="1"/>
  <c r="T52" i="55"/>
  <c r="AY52" i="55"/>
  <c r="T49" i="55"/>
  <c r="AY49" i="55"/>
  <c r="DK49" i="55" s="1"/>
  <c r="X55" i="55"/>
  <c r="BC55" i="55"/>
  <c r="BC54" i="55"/>
  <c r="X54" i="55"/>
  <c r="V25" i="55"/>
  <c r="BA25" i="55"/>
  <c r="DM25" i="55" s="1"/>
  <c r="U28" i="55"/>
  <c r="AZ28" i="55"/>
  <c r="DL28" i="55" s="1"/>
  <c r="CF24" i="55"/>
  <c r="U29" i="55"/>
  <c r="AZ29" i="55"/>
  <c r="T30" i="55"/>
  <c r="AY30" i="55"/>
  <c r="V31" i="55"/>
  <c r="BA31" i="55"/>
  <c r="V32" i="55"/>
  <c r="BA32" i="55"/>
  <c r="U24" i="55"/>
  <c r="BA24" i="55" s="1"/>
  <c r="DM24" i="55" s="1"/>
  <c r="T204" i="55"/>
  <c r="T205" i="55" s="1"/>
  <c r="U3" i="55"/>
  <c r="U247" i="53"/>
  <c r="U192" i="54"/>
  <c r="S172" i="54"/>
  <c r="R180" i="54"/>
  <c r="S174" i="54"/>
  <c r="S92" i="54"/>
  <c r="R175" i="54"/>
  <c r="R191" i="54"/>
  <c r="Q258" i="54"/>
  <c r="R178" i="54"/>
  <c r="Q179" i="54"/>
  <c r="Q259" i="54" s="1"/>
  <c r="R193" i="54"/>
  <c r="S196" i="54"/>
  <c r="S171" i="54"/>
  <c r="R194" i="54"/>
  <c r="R195" i="54"/>
  <c r="AE247" i="54"/>
  <c r="R184" i="54"/>
  <c r="S170" i="54"/>
  <c r="P96" i="54"/>
  <c r="P97" i="54"/>
  <c r="P101" i="54"/>
  <c r="P95" i="54"/>
  <c r="O103" i="54"/>
  <c r="O105" i="54"/>
  <c r="O104" i="54"/>
  <c r="R85" i="54"/>
  <c r="Q86" i="54"/>
  <c r="Q88" i="54" s="1"/>
  <c r="Q87" i="54"/>
  <c r="Q100" i="54" s="1"/>
  <c r="AD251" i="54"/>
  <c r="S185" i="54"/>
  <c r="R187" i="54"/>
  <c r="R93" i="54"/>
  <c r="S90" i="54"/>
  <c r="T181" i="54"/>
  <c r="R173" i="54"/>
  <c r="T123" i="54"/>
  <c r="S125" i="54"/>
  <c r="S127" i="54"/>
  <c r="S186" i="54"/>
  <c r="S91" i="54"/>
  <c r="Q93" i="53"/>
  <c r="Q127" i="53"/>
  <c r="T91" i="53"/>
  <c r="T174" i="53"/>
  <c r="R180" i="53"/>
  <c r="R95" i="53"/>
  <c r="S90" i="53"/>
  <c r="R196" i="53"/>
  <c r="R192" i="53"/>
  <c r="T173" i="53"/>
  <c r="T194" i="53"/>
  <c r="S123" i="53"/>
  <c r="R125" i="53"/>
  <c r="R193" i="53"/>
  <c r="R96" i="53"/>
  <c r="S186" i="53"/>
  <c r="S187" i="53"/>
  <c r="T85" i="53"/>
  <c r="S86" i="53"/>
  <c r="S88" i="53" s="1"/>
  <c r="S87" i="53"/>
  <c r="S195" i="53"/>
  <c r="R119" i="53"/>
  <c r="R121" i="53" s="1"/>
  <c r="R128" i="53" s="1"/>
  <c r="S118" i="53"/>
  <c r="R120" i="53"/>
  <c r="T181" i="53"/>
  <c r="Q258" i="53"/>
  <c r="Q179" i="53"/>
  <c r="Q259" i="53" s="1"/>
  <c r="R178" i="53"/>
  <c r="T191" i="53"/>
  <c r="R185" i="53"/>
  <c r="S172" i="53"/>
  <c r="R92" i="53"/>
  <c r="R184" i="53"/>
  <c r="S171" i="53"/>
  <c r="R170" i="53"/>
  <c r="R175" i="53"/>
  <c r="Q45" i="51"/>
  <c r="T3" i="51"/>
  <c r="AV45" i="51"/>
  <c r="L285" i="48"/>
  <c r="L297" i="48"/>
  <c r="J192" i="48"/>
  <c r="J188" i="48"/>
  <c r="J193" i="48"/>
  <c r="J200" i="48" s="1"/>
  <c r="S188" i="48"/>
  <c r="L132" i="48"/>
  <c r="L133" i="48" s="1"/>
  <c r="I136" i="48"/>
  <c r="I137" i="48"/>
  <c r="I135" i="48"/>
  <c r="K286" i="48"/>
  <c r="L131" i="48"/>
  <c r="I370" i="48"/>
  <c r="I371" i="48"/>
  <c r="K303" i="48"/>
  <c r="S257" i="48"/>
  <c r="S52" i="48"/>
  <c r="S49" i="48" s="1"/>
  <c r="L293" i="48"/>
  <c r="J127" i="48"/>
  <c r="J123" i="48"/>
  <c r="J128" i="48"/>
  <c r="K51" i="48"/>
  <c r="K50" i="48"/>
  <c r="L1" i="48"/>
  <c r="K241" i="48"/>
  <c r="K258" i="48"/>
  <c r="K124" i="48"/>
  <c r="K189" i="48"/>
  <c r="K298" i="48"/>
  <c r="M292" i="48"/>
  <c r="K307" i="48"/>
  <c r="K126" i="48"/>
  <c r="L125" i="48"/>
  <c r="M290" i="48"/>
  <c r="L291" i="48"/>
  <c r="M130" i="48"/>
  <c r="K299" i="48"/>
  <c r="L304" i="48"/>
  <c r="L308" i="48"/>
  <c r="K305" i="48"/>
  <c r="S123" i="48"/>
  <c r="L287" i="48"/>
  <c r="L359" i="48"/>
  <c r="J257" i="48"/>
  <c r="L190" i="48"/>
  <c r="K191" i="48"/>
  <c r="K133" i="48"/>
  <c r="L306" i="48"/>
  <c r="S240" i="48"/>
  <c r="U1" i="48"/>
  <c r="T51" i="48"/>
  <c r="T50" i="48"/>
  <c r="T258" i="48"/>
  <c r="T124" i="48"/>
  <c r="T241" i="48"/>
  <c r="T189" i="48"/>
  <c r="L283" i="48"/>
  <c r="J240" i="48"/>
  <c r="J52" i="48"/>
  <c r="J49" i="48" s="1"/>
  <c r="K282" i="48"/>
  <c r="N296" i="48"/>
  <c r="K284" i="48"/>
  <c r="J197" i="48"/>
  <c r="J199" i="48"/>
  <c r="K195" i="48"/>
  <c r="L307" i="46"/>
  <c r="J197" i="46"/>
  <c r="K195" i="46"/>
  <c r="G370" i="46"/>
  <c r="G371" i="46"/>
  <c r="L285" i="46"/>
  <c r="I240" i="46"/>
  <c r="M283" i="46"/>
  <c r="H136" i="46"/>
  <c r="H137" i="46"/>
  <c r="H135" i="46"/>
  <c r="L284" i="46"/>
  <c r="K297" i="46"/>
  <c r="K291" i="46"/>
  <c r="L290" i="46"/>
  <c r="T240" i="46"/>
  <c r="U51" i="46"/>
  <c r="U50" i="46"/>
  <c r="V1" i="46"/>
  <c r="U189" i="46"/>
  <c r="U258" i="46"/>
  <c r="U241" i="46"/>
  <c r="U124" i="46"/>
  <c r="L299" i="46"/>
  <c r="I192" i="46"/>
  <c r="I188" i="46"/>
  <c r="I193" i="46"/>
  <c r="K191" i="46"/>
  <c r="L190" i="46"/>
  <c r="K292" i="46"/>
  <c r="T123" i="46"/>
  <c r="L308" i="46"/>
  <c r="I128" i="46"/>
  <c r="I123" i="46"/>
  <c r="I127" i="46"/>
  <c r="J51" i="46"/>
  <c r="J50" i="46"/>
  <c r="K1" i="46"/>
  <c r="J241" i="46"/>
  <c r="J258" i="46"/>
  <c r="J124" i="46"/>
  <c r="J189" i="46"/>
  <c r="H200" i="46"/>
  <c r="H199" i="46"/>
  <c r="K132" i="46"/>
  <c r="K133" i="46" s="1"/>
  <c r="N287" i="46"/>
  <c r="L282" i="46"/>
  <c r="K305" i="46"/>
  <c r="N131" i="46"/>
  <c r="T188" i="46"/>
  <c r="T52" i="46"/>
  <c r="T49" i="46" s="1"/>
  <c r="K286" i="46"/>
  <c r="L130" i="46"/>
  <c r="I257" i="46"/>
  <c r="I52" i="46"/>
  <c r="I49" i="46" s="1"/>
  <c r="K296" i="46"/>
  <c r="K126" i="46"/>
  <c r="L125" i="46"/>
  <c r="L306" i="46"/>
  <c r="K304" i="46"/>
  <c r="M298" i="46"/>
  <c r="L303" i="46"/>
  <c r="K293" i="46"/>
  <c r="T257" i="46"/>
  <c r="F21" i="43"/>
  <c r="D4" i="45"/>
  <c r="F3" i="45"/>
  <c r="CK75" i="59" l="1"/>
  <c r="CM2" i="59"/>
  <c r="CL73" i="59"/>
  <c r="CL65" i="59"/>
  <c r="CL66" i="59"/>
  <c r="CL67" i="59"/>
  <c r="CL68" i="59"/>
  <c r="CL69" i="59"/>
  <c r="CL61" i="59"/>
  <c r="CL70" i="59"/>
  <c r="CL62" i="59"/>
  <c r="CL64" i="59"/>
  <c r="CL63" i="59"/>
  <c r="CL74" i="59"/>
  <c r="CL72" i="59"/>
  <c r="CL71" i="59"/>
  <c r="V144" i="55"/>
  <c r="BA144" i="55"/>
  <c r="BB140" i="55"/>
  <c r="DN140" i="55" s="1"/>
  <c r="W140" i="55"/>
  <c r="AZ145" i="55"/>
  <c r="U145" i="55"/>
  <c r="BA143" i="55"/>
  <c r="DM143" i="55" s="1"/>
  <c r="V143" i="55"/>
  <c r="BA139" i="55"/>
  <c r="DM139" i="55" s="1"/>
  <c r="V139" i="55"/>
  <c r="BD147" i="55"/>
  <c r="Y147" i="55"/>
  <c r="Z146" i="55"/>
  <c r="BE146" i="55"/>
  <c r="U166" i="55"/>
  <c r="AZ166" i="55"/>
  <c r="DL166" i="55" s="1"/>
  <c r="AZ167" i="55"/>
  <c r="U167" i="55"/>
  <c r="V163" i="55"/>
  <c r="BA163" i="55"/>
  <c r="DM163" i="55" s="1"/>
  <c r="AZ162" i="55"/>
  <c r="DL162" i="55" s="1"/>
  <c r="U162" i="55"/>
  <c r="AY168" i="55"/>
  <c r="T168" i="55"/>
  <c r="CF162" i="55"/>
  <c r="U164" i="55"/>
  <c r="AZ164" i="55"/>
  <c r="DL164" i="55" s="1"/>
  <c r="Z170" i="55"/>
  <c r="BE170" i="55"/>
  <c r="BC169" i="55"/>
  <c r="X169" i="55"/>
  <c r="AZ165" i="55"/>
  <c r="DL165" i="55" s="1"/>
  <c r="U165" i="55"/>
  <c r="X124" i="55"/>
  <c r="BC124" i="55"/>
  <c r="U118" i="55"/>
  <c r="AZ118" i="55"/>
  <c r="DL118" i="55" s="1"/>
  <c r="AZ121" i="55"/>
  <c r="U121" i="55"/>
  <c r="U70" i="55"/>
  <c r="AZ70" i="55"/>
  <c r="DL70" i="55" s="1"/>
  <c r="AY119" i="55"/>
  <c r="DK119" i="55" s="1"/>
  <c r="T119" i="55"/>
  <c r="T76" i="55"/>
  <c r="AY76" i="55"/>
  <c r="V117" i="55"/>
  <c r="BA117" i="55"/>
  <c r="DM117" i="55" s="1"/>
  <c r="U120" i="55"/>
  <c r="AZ120" i="55"/>
  <c r="DL120" i="55" s="1"/>
  <c r="CF93" i="55"/>
  <c r="T99" i="55"/>
  <c r="AY99" i="55"/>
  <c r="U97" i="55"/>
  <c r="AZ97" i="55"/>
  <c r="DL97" i="55" s="1"/>
  <c r="AZ116" i="55"/>
  <c r="DL116" i="55" s="1"/>
  <c r="U116" i="55"/>
  <c r="U98" i="55"/>
  <c r="AZ98" i="55"/>
  <c r="AZ122" i="55"/>
  <c r="U122" i="55"/>
  <c r="CF70" i="55"/>
  <c r="V94" i="55"/>
  <c r="BA94" i="55"/>
  <c r="DM94" i="55" s="1"/>
  <c r="BC123" i="55"/>
  <c r="X123" i="55"/>
  <c r="U75" i="55"/>
  <c r="AZ75" i="55"/>
  <c r="AZ74" i="55"/>
  <c r="DL74" i="55" s="1"/>
  <c r="U74" i="55"/>
  <c r="U93" i="55"/>
  <c r="AZ93" i="55"/>
  <c r="DL93" i="55" s="1"/>
  <c r="V71" i="55"/>
  <c r="BA71" i="55"/>
  <c r="DM71" i="55" s="1"/>
  <c r="CE116" i="55"/>
  <c r="CH97" i="55"/>
  <c r="X101" i="55"/>
  <c r="BC101" i="55"/>
  <c r="BD100" i="55"/>
  <c r="Y100" i="55"/>
  <c r="BD77" i="55"/>
  <c r="Y77" i="55"/>
  <c r="X78" i="55"/>
  <c r="BC78" i="55"/>
  <c r="T50" i="55"/>
  <c r="AY50" i="55"/>
  <c r="DK50" i="55" s="1"/>
  <c r="AZ47" i="55"/>
  <c r="DL47" i="55" s="1"/>
  <c r="U47" i="55"/>
  <c r="U49" i="55"/>
  <c r="AZ49" i="55"/>
  <c r="DL49" i="55" s="1"/>
  <c r="AZ53" i="55"/>
  <c r="U53" i="55"/>
  <c r="AZ52" i="55"/>
  <c r="U52" i="55"/>
  <c r="AZ51" i="55"/>
  <c r="DL51" i="55" s="1"/>
  <c r="U51" i="55"/>
  <c r="V48" i="55"/>
  <c r="BA48" i="55"/>
  <c r="DM48" i="55" s="1"/>
  <c r="Y54" i="55"/>
  <c r="BD54" i="55"/>
  <c r="BD55" i="55"/>
  <c r="Y55" i="55"/>
  <c r="CG24" i="55"/>
  <c r="V28" i="55"/>
  <c r="BA28" i="55"/>
  <c r="DM28" i="55" s="1"/>
  <c r="W31" i="55"/>
  <c r="BB31" i="55"/>
  <c r="U30" i="55"/>
  <c r="AZ30" i="55"/>
  <c r="W32" i="55"/>
  <c r="BB32" i="55"/>
  <c r="V29" i="55"/>
  <c r="BA29" i="55"/>
  <c r="W25" i="55"/>
  <c r="BB25" i="55"/>
  <c r="DN25" i="55" s="1"/>
  <c r="V24" i="55"/>
  <c r="BB24" i="55" s="1"/>
  <c r="DN24" i="55" s="1"/>
  <c r="U204" i="55"/>
  <c r="U205" i="55" s="1"/>
  <c r="V3" i="55"/>
  <c r="BZ16" i="45"/>
  <c r="C5" i="52"/>
  <c r="V247" i="53"/>
  <c r="S173" i="54"/>
  <c r="AE251" i="54"/>
  <c r="T92" i="54"/>
  <c r="P103" i="54"/>
  <c r="P104" i="54"/>
  <c r="P105" i="54"/>
  <c r="AF247" i="54"/>
  <c r="T174" i="54"/>
  <c r="V192" i="54"/>
  <c r="Q101" i="54"/>
  <c r="Q102" i="54" s="1"/>
  <c r="Q97" i="54"/>
  <c r="Q96" i="54"/>
  <c r="Q95" i="54"/>
  <c r="S175" i="54"/>
  <c r="T172" i="54"/>
  <c r="T125" i="54"/>
  <c r="T127" i="54"/>
  <c r="U123" i="54"/>
  <c r="T196" i="54"/>
  <c r="T186" i="54"/>
  <c r="T90" i="54"/>
  <c r="S93" i="54"/>
  <c r="R86" i="54"/>
  <c r="R88" i="54" s="1"/>
  <c r="S85" i="54"/>
  <c r="R87" i="54"/>
  <c r="R100" i="54" s="1"/>
  <c r="S195" i="54"/>
  <c r="S180" i="54"/>
  <c r="R258" i="54"/>
  <c r="S178" i="54"/>
  <c r="R179" i="54"/>
  <c r="R259" i="54" s="1"/>
  <c r="T91" i="54"/>
  <c r="U181" i="54"/>
  <c r="T170" i="54"/>
  <c r="S184" i="54"/>
  <c r="P102" i="54"/>
  <c r="T185" i="54"/>
  <c r="T171" i="54"/>
  <c r="S193" i="54"/>
  <c r="S191" i="54"/>
  <c r="S187" i="54"/>
  <c r="S194" i="54"/>
  <c r="S185" i="53"/>
  <c r="U181" i="53"/>
  <c r="T186" i="53"/>
  <c r="S196" i="53"/>
  <c r="U174" i="53"/>
  <c r="S96" i="53"/>
  <c r="T187" i="53"/>
  <c r="U191" i="53"/>
  <c r="T86" i="53"/>
  <c r="T88" i="53" s="1"/>
  <c r="U85" i="53"/>
  <c r="T87" i="53"/>
  <c r="S193" i="53"/>
  <c r="S92" i="53"/>
  <c r="S97" i="53" s="1"/>
  <c r="R97" i="53"/>
  <c r="U194" i="53"/>
  <c r="U173" i="53"/>
  <c r="S180" i="53"/>
  <c r="S175" i="53"/>
  <c r="R258" i="53"/>
  <c r="S178" i="53"/>
  <c r="R179" i="53"/>
  <c r="R259" i="53" s="1"/>
  <c r="R127" i="53"/>
  <c r="S192" i="53"/>
  <c r="S170" i="53"/>
  <c r="S184" i="53"/>
  <c r="T123" i="53"/>
  <c r="S125" i="53"/>
  <c r="S95" i="53"/>
  <c r="T90" i="53"/>
  <c r="T171" i="53"/>
  <c r="T172" i="53"/>
  <c r="T118" i="53"/>
  <c r="S119" i="53"/>
  <c r="S121" i="53" s="1"/>
  <c r="S128" i="53" s="1"/>
  <c r="S120" i="53"/>
  <c r="T195" i="53"/>
  <c r="R93" i="53"/>
  <c r="U91" i="53"/>
  <c r="U3" i="51"/>
  <c r="AW45" i="51"/>
  <c r="R45" i="51"/>
  <c r="G20" i="43"/>
  <c r="N21" i="43" s="1"/>
  <c r="G18" i="43"/>
  <c r="N19" i="43" s="1"/>
  <c r="G16" i="43"/>
  <c r="O16" i="43" s="1"/>
  <c r="E5" i="45" s="1"/>
  <c r="G17" i="43"/>
  <c r="N17" i="43" s="1"/>
  <c r="D6" i="45" s="1"/>
  <c r="G19" i="43"/>
  <c r="N20" i="43" s="1"/>
  <c r="L284" i="48"/>
  <c r="L282" i="48"/>
  <c r="T188" i="48"/>
  <c r="T52" i="48"/>
  <c r="T49" i="48" s="1"/>
  <c r="M308" i="48"/>
  <c r="L299" i="48"/>
  <c r="L298" i="48"/>
  <c r="K240" i="48"/>
  <c r="J136" i="48"/>
  <c r="J137" i="48"/>
  <c r="J135" i="48"/>
  <c r="L303" i="48"/>
  <c r="L286" i="48"/>
  <c r="K197" i="48"/>
  <c r="L195" i="48"/>
  <c r="M283" i="48"/>
  <c r="T240" i="48"/>
  <c r="L305" i="48"/>
  <c r="N130" i="48"/>
  <c r="L307" i="48"/>
  <c r="K192" i="48"/>
  <c r="K188" i="48"/>
  <c r="K193" i="48"/>
  <c r="K200" i="48" s="1"/>
  <c r="L50" i="48"/>
  <c r="L51" i="48"/>
  <c r="L189" i="48"/>
  <c r="L258" i="48"/>
  <c r="L124" i="48"/>
  <c r="L241" i="48"/>
  <c r="M297" i="48"/>
  <c r="O296" i="48"/>
  <c r="T123" i="48"/>
  <c r="V1" i="48"/>
  <c r="U50" i="48"/>
  <c r="U51" i="48"/>
  <c r="U241" i="48"/>
  <c r="U258" i="48"/>
  <c r="U124" i="48"/>
  <c r="U189" i="48"/>
  <c r="M306" i="48"/>
  <c r="L191" i="48"/>
  <c r="M190" i="48"/>
  <c r="M359" i="48"/>
  <c r="M304" i="48"/>
  <c r="K128" i="48"/>
  <c r="K127" i="48"/>
  <c r="K123" i="48"/>
  <c r="K52" i="48"/>
  <c r="K49" i="48" s="1"/>
  <c r="M131" i="48"/>
  <c r="J370" i="48"/>
  <c r="J371" i="48"/>
  <c r="T257" i="48"/>
  <c r="M287" i="48"/>
  <c r="M291" i="48"/>
  <c r="N290" i="48"/>
  <c r="L126" i="48"/>
  <c r="M125" i="48"/>
  <c r="N292" i="48"/>
  <c r="K257" i="48"/>
  <c r="M293" i="48"/>
  <c r="M132" i="48"/>
  <c r="M285" i="48"/>
  <c r="J240" i="46"/>
  <c r="L292" i="46"/>
  <c r="U257" i="46"/>
  <c r="L297" i="46"/>
  <c r="N283" i="46"/>
  <c r="M285" i="46"/>
  <c r="M307" i="46"/>
  <c r="L296" i="46"/>
  <c r="M130" i="46"/>
  <c r="L305" i="46"/>
  <c r="M303" i="46"/>
  <c r="L304" i="46"/>
  <c r="M125" i="46"/>
  <c r="L126" i="46"/>
  <c r="J192" i="46"/>
  <c r="J188" i="46"/>
  <c r="J193" i="46"/>
  <c r="K51" i="46"/>
  <c r="L1" i="46"/>
  <c r="K50" i="46"/>
  <c r="K189" i="46"/>
  <c r="K124" i="46"/>
  <c r="K241" i="46"/>
  <c r="K258" i="46"/>
  <c r="M308" i="46"/>
  <c r="M299" i="46"/>
  <c r="U188" i="46"/>
  <c r="K197" i="46"/>
  <c r="L195" i="46"/>
  <c r="M306" i="46"/>
  <c r="L132" i="46"/>
  <c r="H370" i="46"/>
  <c r="H371" i="46"/>
  <c r="L293" i="46"/>
  <c r="L286" i="46"/>
  <c r="O131" i="46"/>
  <c r="M282" i="46"/>
  <c r="O287" i="46"/>
  <c r="J128" i="46"/>
  <c r="J127" i="46"/>
  <c r="J123" i="46"/>
  <c r="J52" i="46"/>
  <c r="J49" i="46" s="1"/>
  <c r="I136" i="46"/>
  <c r="I137" i="46"/>
  <c r="I135" i="46"/>
  <c r="L191" i="46"/>
  <c r="M190" i="46"/>
  <c r="I200" i="46"/>
  <c r="I199" i="46"/>
  <c r="U123" i="46"/>
  <c r="V51" i="46"/>
  <c r="V50" i="46"/>
  <c r="V258" i="46"/>
  <c r="V189" i="46"/>
  <c r="V241" i="46"/>
  <c r="V124" i="46"/>
  <c r="M284" i="46"/>
  <c r="N298" i="46"/>
  <c r="J257" i="46"/>
  <c r="U240" i="46"/>
  <c r="U52" i="46"/>
  <c r="U49" i="46" s="1"/>
  <c r="L291" i="46"/>
  <c r="M290" i="46"/>
  <c r="P3" i="43"/>
  <c r="E4" i="45"/>
  <c r="BS34" i="45"/>
  <c r="AJ4" i="45"/>
  <c r="G3" i="45"/>
  <c r="CC12" i="36"/>
  <c r="J7" i="37"/>
  <c r="H6" i="37"/>
  <c r="H5" i="37"/>
  <c r="G6" i="37"/>
  <c r="G5" i="37"/>
  <c r="O20" i="43" l="1"/>
  <c r="O21" i="43"/>
  <c r="O19" i="43"/>
  <c r="O18" i="43" s="1"/>
  <c r="E7" i="45" s="1"/>
  <c r="H45" i="37"/>
  <c r="CL75" i="59"/>
  <c r="CN2" i="59"/>
  <c r="CM66" i="59"/>
  <c r="CM67" i="59"/>
  <c r="CM68" i="59"/>
  <c r="CM69" i="59"/>
  <c r="CM61" i="59"/>
  <c r="CM70" i="59"/>
  <c r="CM62" i="59"/>
  <c r="CM73" i="59"/>
  <c r="CM65" i="59"/>
  <c r="CM64" i="59"/>
  <c r="CM63" i="59"/>
  <c r="CM74" i="59"/>
  <c r="CM72" i="59"/>
  <c r="CM71" i="59"/>
  <c r="V145" i="55"/>
  <c r="BA145" i="55"/>
  <c r="BB139" i="55"/>
  <c r="DN139" i="55" s="1"/>
  <c r="W139" i="55"/>
  <c r="X140" i="55"/>
  <c r="BC140" i="55"/>
  <c r="DO140" i="55" s="1"/>
  <c r="BB143" i="55"/>
  <c r="DN143" i="55" s="1"/>
  <c r="W143" i="55"/>
  <c r="BB144" i="55"/>
  <c r="W144" i="55"/>
  <c r="Z147" i="55"/>
  <c r="BE147" i="55"/>
  <c r="AA146" i="55"/>
  <c r="BF146" i="55"/>
  <c r="BF170" i="55"/>
  <c r="AA170" i="55"/>
  <c r="BB163" i="55"/>
  <c r="DN163" i="55" s="1"/>
  <c r="W163" i="55"/>
  <c r="V164" i="55"/>
  <c r="BA164" i="55"/>
  <c r="DM164" i="55" s="1"/>
  <c r="U168" i="55"/>
  <c r="AZ168" i="55"/>
  <c r="BA167" i="55"/>
  <c r="V167" i="55"/>
  <c r="BA165" i="55"/>
  <c r="DM165" i="55" s="1"/>
  <c r="V165" i="55"/>
  <c r="CG162" i="55"/>
  <c r="Y169" i="55"/>
  <c r="BD169" i="55"/>
  <c r="V162" i="55"/>
  <c r="BA162" i="55"/>
  <c r="DM162" i="55" s="1"/>
  <c r="V166" i="55"/>
  <c r="BA166" i="55"/>
  <c r="DM166" i="55" s="1"/>
  <c r="Y124" i="55"/>
  <c r="BD124" i="55"/>
  <c r="V74" i="55"/>
  <c r="BA74" i="55"/>
  <c r="DM74" i="55" s="1"/>
  <c r="BD123" i="55"/>
  <c r="Y123" i="55"/>
  <c r="U99" i="55"/>
  <c r="AZ99" i="55"/>
  <c r="AZ76" i="55"/>
  <c r="U76" i="55"/>
  <c r="V98" i="55"/>
  <c r="BA98" i="55"/>
  <c r="V121" i="55"/>
  <c r="BA121" i="55"/>
  <c r="W71" i="55"/>
  <c r="BB71" i="55"/>
  <c r="DN71" i="55" s="1"/>
  <c r="BA116" i="55"/>
  <c r="DM116" i="55" s="1"/>
  <c r="V116" i="55"/>
  <c r="CG93" i="55"/>
  <c r="W94" i="55"/>
  <c r="BB94" i="55"/>
  <c r="DN94" i="55" s="1"/>
  <c r="U119" i="55"/>
  <c r="AZ119" i="55"/>
  <c r="DL119" i="55" s="1"/>
  <c r="CG70" i="55"/>
  <c r="V120" i="55"/>
  <c r="BA120" i="55"/>
  <c r="DM120" i="55" s="1"/>
  <c r="BA118" i="55"/>
  <c r="DM118" i="55" s="1"/>
  <c r="V118" i="55"/>
  <c r="V93" i="55"/>
  <c r="BA93" i="55"/>
  <c r="DM93" i="55" s="1"/>
  <c r="V75" i="55"/>
  <c r="BA75" i="55"/>
  <c r="V122" i="55"/>
  <c r="BA122" i="55"/>
  <c r="V97" i="55"/>
  <c r="BA97" i="55"/>
  <c r="DM97" i="55" s="1"/>
  <c r="W117" i="55"/>
  <c r="BB117" i="55"/>
  <c r="DN117" i="55" s="1"/>
  <c r="BA70" i="55"/>
  <c r="DM70" i="55" s="1"/>
  <c r="V70" i="55"/>
  <c r="CF116" i="55"/>
  <c r="Z100" i="55"/>
  <c r="BE100" i="55"/>
  <c r="Y101" i="55"/>
  <c r="BD101" i="55"/>
  <c r="CI97" i="55"/>
  <c r="Z77" i="55"/>
  <c r="BE77" i="55"/>
  <c r="Y78" i="55"/>
  <c r="BD78" i="55"/>
  <c r="AZ50" i="55"/>
  <c r="DL50" i="55" s="1"/>
  <c r="U50" i="55"/>
  <c r="V49" i="55"/>
  <c r="BA49" i="55"/>
  <c r="DM49" i="55" s="1"/>
  <c r="W48" i="55"/>
  <c r="BB48" i="55"/>
  <c r="DN48" i="55" s="1"/>
  <c r="V47" i="55"/>
  <c r="BA47" i="55"/>
  <c r="DM47" i="55" s="1"/>
  <c r="BA51" i="55"/>
  <c r="DM51" i="55" s="1"/>
  <c r="V51" i="55"/>
  <c r="V53" i="55"/>
  <c r="BA53" i="55"/>
  <c r="V52" i="55"/>
  <c r="BA52" i="55"/>
  <c r="BE55" i="55"/>
  <c r="Z55" i="55"/>
  <c r="Z54" i="55"/>
  <c r="BE54" i="55"/>
  <c r="X32" i="55"/>
  <c r="BC32" i="55"/>
  <c r="W28" i="55"/>
  <c r="BB28" i="55"/>
  <c r="DN28" i="55" s="1"/>
  <c r="W29" i="55"/>
  <c r="BB29" i="55"/>
  <c r="X25" i="55"/>
  <c r="BC25" i="55"/>
  <c r="DO25" i="55" s="1"/>
  <c r="CH24" i="55"/>
  <c r="V30" i="55"/>
  <c r="BA30" i="55"/>
  <c r="X31" i="55"/>
  <c r="BC31" i="55"/>
  <c r="W24" i="55"/>
  <c r="BC24" i="55" s="1"/>
  <c r="DO24" i="55" s="1"/>
  <c r="V204" i="55"/>
  <c r="V205" i="55" s="1"/>
  <c r="W3" i="55"/>
  <c r="AK4" i="45"/>
  <c r="D5" i="52"/>
  <c r="S93" i="53"/>
  <c r="W247" i="53"/>
  <c r="T194" i="54"/>
  <c r="U185" i="54"/>
  <c r="U91" i="54"/>
  <c r="U186" i="54"/>
  <c r="AF251" i="54"/>
  <c r="T180" i="54"/>
  <c r="T173" i="54"/>
  <c r="T184" i="54"/>
  <c r="S86" i="54"/>
  <c r="S88" i="54" s="1"/>
  <c r="T85" i="54"/>
  <c r="S87" i="54"/>
  <c r="S100" i="54" s="1"/>
  <c r="U172" i="54"/>
  <c r="T193" i="54"/>
  <c r="R101" i="54"/>
  <c r="R102" i="54" s="1"/>
  <c r="R96" i="54"/>
  <c r="R97" i="54"/>
  <c r="R95" i="54"/>
  <c r="U174" i="54"/>
  <c r="AG247" i="54"/>
  <c r="T187" i="54"/>
  <c r="U170" i="54"/>
  <c r="U196" i="54"/>
  <c r="T175" i="54"/>
  <c r="W192" i="54"/>
  <c r="U92" i="54"/>
  <c r="T191" i="54"/>
  <c r="U171" i="54"/>
  <c r="S258" i="54"/>
  <c r="S179" i="54"/>
  <c r="S259" i="54" s="1"/>
  <c r="T178" i="54"/>
  <c r="T93" i="54"/>
  <c r="U90" i="54"/>
  <c r="Q103" i="54"/>
  <c r="Q104" i="54"/>
  <c r="Q105" i="54"/>
  <c r="V181" i="54"/>
  <c r="T195" i="54"/>
  <c r="V123" i="54"/>
  <c r="U125" i="54"/>
  <c r="U127" i="54"/>
  <c r="T125" i="53"/>
  <c r="U123" i="53"/>
  <c r="T193" i="53"/>
  <c r="T192" i="53"/>
  <c r="V173" i="53"/>
  <c r="V174" i="53"/>
  <c r="V181" i="53"/>
  <c r="U172" i="53"/>
  <c r="T175" i="53"/>
  <c r="T180" i="53"/>
  <c r="V191" i="53"/>
  <c r="U187" i="53"/>
  <c r="T196" i="53"/>
  <c r="T185" i="53"/>
  <c r="U195" i="53"/>
  <c r="U171" i="53"/>
  <c r="V194" i="53"/>
  <c r="V85" i="53"/>
  <c r="U86" i="53"/>
  <c r="U88" i="53" s="1"/>
  <c r="U87" i="53"/>
  <c r="T95" i="53"/>
  <c r="U90" i="53"/>
  <c r="T184" i="53"/>
  <c r="T96" i="53"/>
  <c r="S127" i="53"/>
  <c r="T170" i="53"/>
  <c r="U186" i="53"/>
  <c r="V91" i="53"/>
  <c r="U118" i="53"/>
  <c r="T119" i="53"/>
  <c r="T121" i="53" s="1"/>
  <c r="T128" i="53" s="1"/>
  <c r="T120" i="53"/>
  <c r="S258" i="53"/>
  <c r="T178" i="53"/>
  <c r="S179" i="53"/>
  <c r="S259" i="53" s="1"/>
  <c r="T92" i="53"/>
  <c r="T93" i="53" s="1"/>
  <c r="AX45" i="51"/>
  <c r="S45" i="51"/>
  <c r="V3" i="51"/>
  <c r="P16" i="43"/>
  <c r="F5" i="45" s="1"/>
  <c r="P21" i="43"/>
  <c r="P20" i="43"/>
  <c r="P17" i="43"/>
  <c r="F6" i="45" s="1"/>
  <c r="P19" i="43"/>
  <c r="E13" i="45"/>
  <c r="AK13" i="45" s="1"/>
  <c r="AK5" i="45"/>
  <c r="M8" i="44"/>
  <c r="AJ6" i="45"/>
  <c r="BO6" i="45" s="1"/>
  <c r="G21" i="43"/>
  <c r="N16" i="43"/>
  <c r="D5" i="45" s="1"/>
  <c r="O17" i="43"/>
  <c r="N18" i="43"/>
  <c r="D7" i="45" s="1"/>
  <c r="N291" i="48"/>
  <c r="O290" i="48"/>
  <c r="N287" i="48"/>
  <c r="N304" i="48"/>
  <c r="U240" i="48"/>
  <c r="L240" i="48"/>
  <c r="N283" i="48"/>
  <c r="L197" i="48"/>
  <c r="M195" i="48"/>
  <c r="M299" i="48"/>
  <c r="N293" i="48"/>
  <c r="N285" i="48"/>
  <c r="U188" i="48"/>
  <c r="L123" i="48"/>
  <c r="L128" i="48"/>
  <c r="L127" i="48"/>
  <c r="L52" i="48"/>
  <c r="L49" i="48" s="1"/>
  <c r="M307" i="48"/>
  <c r="O130" i="48"/>
  <c r="K199" i="48"/>
  <c r="M286" i="48"/>
  <c r="M298" i="48"/>
  <c r="M284" i="48"/>
  <c r="O292" i="48"/>
  <c r="M126" i="48"/>
  <c r="M128" i="48" s="1"/>
  <c r="N125" i="48"/>
  <c r="M127" i="48"/>
  <c r="N131" i="48"/>
  <c r="K136" i="48"/>
  <c r="K137" i="48"/>
  <c r="K135" i="48"/>
  <c r="M191" i="48"/>
  <c r="M193" i="48" s="1"/>
  <c r="M200" i="48" s="1"/>
  <c r="M370" i="48" s="1"/>
  <c r="N190" i="48"/>
  <c r="M192" i="48"/>
  <c r="U123" i="48"/>
  <c r="U52" i="48"/>
  <c r="U49" i="48" s="1"/>
  <c r="N297" i="48"/>
  <c r="L257" i="48"/>
  <c r="K370" i="48"/>
  <c r="K371" i="48"/>
  <c r="N308" i="48"/>
  <c r="N132" i="48"/>
  <c r="N359" i="48"/>
  <c r="N306" i="48"/>
  <c r="U257" i="48"/>
  <c r="V51" i="48"/>
  <c r="V50" i="48"/>
  <c r="V241" i="48"/>
  <c r="V258" i="48"/>
  <c r="V124" i="48"/>
  <c r="V189" i="48"/>
  <c r="P296" i="48"/>
  <c r="L193" i="48"/>
  <c r="L200" i="48" s="1"/>
  <c r="L192" i="48"/>
  <c r="L188" i="48"/>
  <c r="M133" i="48"/>
  <c r="M305" i="48"/>
  <c r="M303" i="48"/>
  <c r="M282" i="48"/>
  <c r="V52" i="46"/>
  <c r="V49" i="46" s="1"/>
  <c r="J136" i="46"/>
  <c r="J137" i="46"/>
  <c r="J135" i="46"/>
  <c r="O298" i="46"/>
  <c r="V240" i="46"/>
  <c r="P287" i="46"/>
  <c r="M286" i="46"/>
  <c r="N299" i="46"/>
  <c r="V188" i="46"/>
  <c r="I370" i="46"/>
  <c r="I371" i="46"/>
  <c r="P131" i="46"/>
  <c r="M293" i="46"/>
  <c r="K193" i="46"/>
  <c r="K192" i="46"/>
  <c r="K188" i="46"/>
  <c r="J200" i="46"/>
  <c r="J199" i="46"/>
  <c r="M126" i="46"/>
  <c r="M128" i="46" s="1"/>
  <c r="N125" i="46"/>
  <c r="M127" i="46"/>
  <c r="N130" i="46"/>
  <c r="M296" i="46"/>
  <c r="O283" i="46"/>
  <c r="N290" i="46"/>
  <c r="M291" i="46"/>
  <c r="V123" i="46"/>
  <c r="N284" i="46"/>
  <c r="K127" i="46"/>
  <c r="K128" i="46"/>
  <c r="K123" i="46"/>
  <c r="N303" i="46"/>
  <c r="V257" i="46"/>
  <c r="M191" i="46"/>
  <c r="M193" i="46" s="1"/>
  <c r="M200" i="46" s="1"/>
  <c r="M370" i="46" s="1"/>
  <c r="N190" i="46"/>
  <c r="M192" i="46"/>
  <c r="N282" i="46"/>
  <c r="M132" i="46"/>
  <c r="M133" i="46" s="1"/>
  <c r="N306" i="46"/>
  <c r="M195" i="46"/>
  <c r="L197" i="46"/>
  <c r="N308" i="46"/>
  <c r="K257" i="46"/>
  <c r="K52" i="46"/>
  <c r="K49" i="46" s="1"/>
  <c r="M304" i="46"/>
  <c r="M305" i="46"/>
  <c r="K240" i="46"/>
  <c r="L51" i="46"/>
  <c r="L50" i="46"/>
  <c r="L241" i="46"/>
  <c r="L258" i="46"/>
  <c r="L124" i="46"/>
  <c r="L189" i="46"/>
  <c r="L133" i="46"/>
  <c r="N307" i="46"/>
  <c r="N285" i="46"/>
  <c r="M297" i="46"/>
  <c r="M292" i="46"/>
  <c r="F4" i="45"/>
  <c r="H3" i="45"/>
  <c r="D9" i="43"/>
  <c r="N133" i="48" l="1"/>
  <c r="P18" i="43"/>
  <c r="F7" i="45" s="1"/>
  <c r="E6" i="45"/>
  <c r="AK6" i="45" s="1"/>
  <c r="CM75" i="59"/>
  <c r="CO2" i="59"/>
  <c r="CN67" i="59"/>
  <c r="CN68" i="59"/>
  <c r="CN69" i="59"/>
  <c r="CN61" i="59"/>
  <c r="CN70" i="59"/>
  <c r="CN62" i="59"/>
  <c r="CN64" i="59"/>
  <c r="CN73" i="59"/>
  <c r="CN65" i="59"/>
  <c r="CN66" i="59"/>
  <c r="CN63" i="59"/>
  <c r="CN72" i="59"/>
  <c r="CN74" i="59"/>
  <c r="CN71" i="59"/>
  <c r="Y140" i="55"/>
  <c r="BD140" i="55"/>
  <c r="DP140" i="55" s="1"/>
  <c r="BC139" i="55"/>
  <c r="DO139" i="55" s="1"/>
  <c r="X139" i="55"/>
  <c r="X144" i="55"/>
  <c r="BC144" i="55"/>
  <c r="W145" i="55"/>
  <c r="BB145" i="55"/>
  <c r="X143" i="55"/>
  <c r="BC143" i="55"/>
  <c r="DO143" i="55" s="1"/>
  <c r="AB146" i="55"/>
  <c r="BG146" i="55"/>
  <c r="AA147" i="55"/>
  <c r="BF147" i="55"/>
  <c r="W162" i="55"/>
  <c r="BB162" i="55"/>
  <c r="DN162" i="55" s="1"/>
  <c r="W167" i="55"/>
  <c r="BB167" i="55"/>
  <c r="Z169" i="55"/>
  <c r="BE169" i="55"/>
  <c r="V168" i="55"/>
  <c r="BA168" i="55"/>
  <c r="BG170" i="55"/>
  <c r="AB170" i="55"/>
  <c r="CH162" i="55"/>
  <c r="W164" i="55"/>
  <c r="BB164" i="55"/>
  <c r="DN164" i="55" s="1"/>
  <c r="W166" i="55"/>
  <c r="BB166" i="55"/>
  <c r="DN166" i="55" s="1"/>
  <c r="BB165" i="55"/>
  <c r="DN165" i="55" s="1"/>
  <c r="W165" i="55"/>
  <c r="BC163" i="55"/>
  <c r="DO163" i="55" s="1"/>
  <c r="X163" i="55"/>
  <c r="BE124" i="55"/>
  <c r="Z124" i="55"/>
  <c r="W75" i="55"/>
  <c r="BB75" i="55"/>
  <c r="V119" i="55"/>
  <c r="BA119" i="55"/>
  <c r="DM119" i="55" s="1"/>
  <c r="W121" i="55"/>
  <c r="BB121" i="55"/>
  <c r="BA99" i="55"/>
  <c r="V99" i="55"/>
  <c r="X117" i="55"/>
  <c r="BC117" i="55"/>
  <c r="DO117" i="55" s="1"/>
  <c r="W93" i="55"/>
  <c r="BB93" i="55"/>
  <c r="DN93" i="55" s="1"/>
  <c r="BB118" i="55"/>
  <c r="DN118" i="55" s="1"/>
  <c r="W118" i="55"/>
  <c r="CH93" i="55"/>
  <c r="BE123" i="55"/>
  <c r="Z123" i="55"/>
  <c r="BB116" i="55"/>
  <c r="DN116" i="55" s="1"/>
  <c r="W116" i="55"/>
  <c r="CG116" i="55"/>
  <c r="BB97" i="55"/>
  <c r="DN97" i="55" s="1"/>
  <c r="W97" i="55"/>
  <c r="X94" i="55"/>
  <c r="BC94" i="55"/>
  <c r="DO94" i="55" s="1"/>
  <c r="BB120" i="55"/>
  <c r="DN120" i="55" s="1"/>
  <c r="W120" i="55"/>
  <c r="BB98" i="55"/>
  <c r="W98" i="55"/>
  <c r="BB74" i="55"/>
  <c r="DN74" i="55" s="1"/>
  <c r="W74" i="55"/>
  <c r="BB70" i="55"/>
  <c r="DN70" i="55" s="1"/>
  <c r="W70" i="55"/>
  <c r="BB122" i="55"/>
  <c r="W122" i="55"/>
  <c r="CH70" i="55"/>
  <c r="BA76" i="55"/>
  <c r="V76" i="55"/>
  <c r="BC71" i="55"/>
  <c r="DO71" i="55" s="1"/>
  <c r="X71" i="55"/>
  <c r="Z101" i="55"/>
  <c r="BE101" i="55"/>
  <c r="CJ97" i="55"/>
  <c r="AA100" i="55"/>
  <c r="BF100" i="55"/>
  <c r="AA77" i="55"/>
  <c r="BF77" i="55"/>
  <c r="Z78" i="55"/>
  <c r="BE78" i="55"/>
  <c r="V50" i="55"/>
  <c r="BA50" i="55"/>
  <c r="DM50" i="55" s="1"/>
  <c r="X48" i="55"/>
  <c r="BC48" i="55"/>
  <c r="DO48" i="55" s="1"/>
  <c r="BB52" i="55"/>
  <c r="W52" i="55"/>
  <c r="BB49" i="55"/>
  <c r="DN49" i="55" s="1"/>
  <c r="W49" i="55"/>
  <c r="BB51" i="55"/>
  <c r="DN51" i="55" s="1"/>
  <c r="W51" i="55"/>
  <c r="BB53" i="55"/>
  <c r="W53" i="55"/>
  <c r="BB47" i="55"/>
  <c r="DN47" i="55" s="1"/>
  <c r="W47" i="55"/>
  <c r="BF55" i="55"/>
  <c r="AA55" i="55"/>
  <c r="AA54" i="55"/>
  <c r="BF54" i="55"/>
  <c r="CI24" i="55"/>
  <c r="Y25" i="55"/>
  <c r="BD25" i="55"/>
  <c r="DP25" i="55" s="1"/>
  <c r="Y32" i="55"/>
  <c r="BD32" i="55"/>
  <c r="Y31" i="55"/>
  <c r="BD31" i="55"/>
  <c r="X29" i="55"/>
  <c r="BC29" i="55"/>
  <c r="W30" i="55"/>
  <c r="BB30" i="55"/>
  <c r="X28" i="55"/>
  <c r="BC28" i="55"/>
  <c r="DO28" i="55" s="1"/>
  <c r="X24" i="55"/>
  <c r="BD24" i="55" s="1"/>
  <c r="DP24" i="55" s="1"/>
  <c r="W204" i="55"/>
  <c r="W205" i="55" s="1"/>
  <c r="X3" i="55"/>
  <c r="AL4" i="45"/>
  <c r="E5" i="52"/>
  <c r="X247" i="53"/>
  <c r="V174" i="54"/>
  <c r="S101" i="54"/>
  <c r="S102" i="54" s="1"/>
  <c r="S96" i="54"/>
  <c r="S97" i="54"/>
  <c r="S95" i="54"/>
  <c r="U173" i="54"/>
  <c r="AG251" i="54"/>
  <c r="V186" i="54"/>
  <c r="T86" i="54"/>
  <c r="T88" i="54" s="1"/>
  <c r="U85" i="54"/>
  <c r="T87" i="54"/>
  <c r="T100" i="54" s="1"/>
  <c r="U193" i="54"/>
  <c r="U184" i="54"/>
  <c r="W181" i="54"/>
  <c r="U191" i="54"/>
  <c r="U187" i="54"/>
  <c r="V125" i="54"/>
  <c r="V127" i="54"/>
  <c r="W123" i="54"/>
  <c r="V90" i="54"/>
  <c r="U93" i="54"/>
  <c r="V92" i="54"/>
  <c r="V170" i="54"/>
  <c r="V185" i="54"/>
  <c r="U194" i="54"/>
  <c r="V196" i="54"/>
  <c r="T258" i="54"/>
  <c r="U178" i="54"/>
  <c r="T179" i="54"/>
  <c r="T259" i="54" s="1"/>
  <c r="X192" i="54"/>
  <c r="V172" i="54"/>
  <c r="V91" i="54"/>
  <c r="U195" i="54"/>
  <c r="V171" i="54"/>
  <c r="R105" i="54"/>
  <c r="R104" i="54"/>
  <c r="R103" i="54"/>
  <c r="U180" i="54"/>
  <c r="U175" i="54"/>
  <c r="W174" i="53"/>
  <c r="U192" i="53"/>
  <c r="T258" i="53"/>
  <c r="U178" i="53"/>
  <c r="T179" i="53"/>
  <c r="T259" i="53" s="1"/>
  <c r="V195" i="53"/>
  <c r="U196" i="53"/>
  <c r="W191" i="53"/>
  <c r="U180" i="53"/>
  <c r="V118" i="53"/>
  <c r="U119" i="53"/>
  <c r="U121" i="53" s="1"/>
  <c r="U128" i="53" s="1"/>
  <c r="U120" i="53"/>
  <c r="V187" i="53"/>
  <c r="V172" i="53"/>
  <c r="W181" i="53"/>
  <c r="V123" i="53"/>
  <c r="U125" i="53"/>
  <c r="U193" i="53"/>
  <c r="T127" i="53"/>
  <c r="U92" i="53"/>
  <c r="U93" i="53" s="1"/>
  <c r="T97" i="53"/>
  <c r="U184" i="53"/>
  <c r="U96" i="53"/>
  <c r="W194" i="53"/>
  <c r="U175" i="53"/>
  <c r="W91" i="53"/>
  <c r="U170" i="53"/>
  <c r="V86" i="53"/>
  <c r="V88" i="53" s="1"/>
  <c r="W85" i="53"/>
  <c r="V87" i="53"/>
  <c r="V186" i="53"/>
  <c r="U95" i="53"/>
  <c r="V90" i="53"/>
  <c r="V171" i="53"/>
  <c r="U185" i="53"/>
  <c r="W173" i="53"/>
  <c r="AY45" i="51"/>
  <c r="W3" i="51"/>
  <c r="T45" i="51"/>
  <c r="L132" i="24"/>
  <c r="AL7" i="45"/>
  <c r="F15" i="45"/>
  <c r="AL15" i="45" s="1"/>
  <c r="P22" i="43"/>
  <c r="AL6" i="45"/>
  <c r="L104" i="24"/>
  <c r="N22" i="43"/>
  <c r="AL5" i="45"/>
  <c r="F13" i="45"/>
  <c r="AL13" i="45" s="1"/>
  <c r="M4" i="44"/>
  <c r="M5" i="44"/>
  <c r="M6" i="44"/>
  <c r="M3" i="44"/>
  <c r="H23" i="44" s="1"/>
  <c r="I23" i="44" s="1"/>
  <c r="E15" i="45"/>
  <c r="AK15" i="45" s="1"/>
  <c r="AK7" i="45"/>
  <c r="O22" i="43"/>
  <c r="N282" i="48"/>
  <c r="N305" i="48"/>
  <c r="V123" i="48"/>
  <c r="O306" i="48"/>
  <c r="O359" i="48"/>
  <c r="M136" i="48"/>
  <c r="M137" i="48"/>
  <c r="M135" i="48"/>
  <c r="O293" i="48"/>
  <c r="L199" i="48"/>
  <c r="O287" i="48"/>
  <c r="O308" i="48"/>
  <c r="V257" i="48"/>
  <c r="P292" i="48"/>
  <c r="N284" i="48"/>
  <c r="N298" i="48"/>
  <c r="L137" i="48"/>
  <c r="L136" i="48"/>
  <c r="L135" i="48"/>
  <c r="M371" i="48"/>
  <c r="O285" i="48"/>
  <c r="O304" i="48"/>
  <c r="V240" i="48"/>
  <c r="O132" i="48"/>
  <c r="O297" i="48"/>
  <c r="N191" i="48"/>
  <c r="N193" i="48" s="1"/>
  <c r="N200" i="48" s="1"/>
  <c r="N370" i="48" s="1"/>
  <c r="O190" i="48"/>
  <c r="N192" i="48"/>
  <c r="O131" i="48"/>
  <c r="N299" i="48"/>
  <c r="O283" i="48"/>
  <c r="P290" i="48"/>
  <c r="O291" i="48"/>
  <c r="Q296" i="48"/>
  <c r="N303" i="48"/>
  <c r="L370" i="48"/>
  <c r="L371" i="48"/>
  <c r="V188" i="48"/>
  <c r="V52" i="48"/>
  <c r="V49" i="48" s="1"/>
  <c r="O125" i="48"/>
  <c r="N126" i="48"/>
  <c r="N128" i="48" s="1"/>
  <c r="N127" i="48"/>
  <c r="N286" i="48"/>
  <c r="P130" i="48"/>
  <c r="N307" i="48"/>
  <c r="M199" i="48"/>
  <c r="N195" i="48"/>
  <c r="M197" i="48"/>
  <c r="N292" i="46"/>
  <c r="O285" i="46"/>
  <c r="L127" i="46"/>
  <c r="L128" i="46"/>
  <c r="L123" i="46"/>
  <c r="M197" i="46"/>
  <c r="M199" i="46"/>
  <c r="N195" i="46"/>
  <c r="J370" i="46"/>
  <c r="J371" i="46"/>
  <c r="N286" i="46"/>
  <c r="L257" i="46"/>
  <c r="N305" i="46"/>
  <c r="O308" i="46"/>
  <c r="M371" i="46"/>
  <c r="N126" i="46"/>
  <c r="N128" i="46" s="1"/>
  <c r="N135" i="46" s="1"/>
  <c r="O125" i="46"/>
  <c r="N127" i="46"/>
  <c r="N293" i="46"/>
  <c r="O299" i="46"/>
  <c r="N297" i="46"/>
  <c r="O307" i="46"/>
  <c r="L240" i="46"/>
  <c r="N304" i="46"/>
  <c r="O306" i="46"/>
  <c r="N132" i="46"/>
  <c r="N133" i="46" s="1"/>
  <c r="O282" i="46"/>
  <c r="K137" i="46"/>
  <c r="K136" i="46"/>
  <c r="K135" i="46"/>
  <c r="O284" i="46"/>
  <c r="O290" i="46"/>
  <c r="N291" i="46"/>
  <c r="P283" i="46"/>
  <c r="N296" i="46"/>
  <c r="O130" i="46"/>
  <c r="M136" i="46"/>
  <c r="M137" i="46"/>
  <c r="Q287" i="46"/>
  <c r="P298" i="46"/>
  <c r="L192" i="46"/>
  <c r="L193" i="46"/>
  <c r="L188" i="46"/>
  <c r="L52" i="46"/>
  <c r="L49" i="46" s="1"/>
  <c r="O190" i="46"/>
  <c r="N191" i="46"/>
  <c r="N193" i="46" s="1"/>
  <c r="N200" i="46" s="1"/>
  <c r="N370" i="46" s="1"/>
  <c r="N192" i="46"/>
  <c r="O303" i="46"/>
  <c r="M135" i="46"/>
  <c r="K200" i="46"/>
  <c r="K199" i="46"/>
  <c r="Q131" i="46"/>
  <c r="I3" i="45"/>
  <c r="B22" i="27"/>
  <c r="B21" i="27"/>
  <c r="B20" i="27"/>
  <c r="B19" i="27"/>
  <c r="B18" i="27"/>
  <c r="N371" i="48" l="1"/>
  <c r="CN75" i="59"/>
  <c r="CP2" i="59"/>
  <c r="CO68" i="59"/>
  <c r="CO69" i="59"/>
  <c r="CO61" i="59"/>
  <c r="CO70" i="59"/>
  <c r="CO62" i="59"/>
  <c r="CO64" i="59"/>
  <c r="CO73" i="59"/>
  <c r="CO65" i="59"/>
  <c r="CO66" i="59"/>
  <c r="CO67" i="59"/>
  <c r="CO63" i="59"/>
  <c r="CO74" i="59"/>
  <c r="CO72" i="59"/>
  <c r="CO71" i="59"/>
  <c r="BC145" i="55"/>
  <c r="X145" i="55"/>
  <c r="BD144" i="55"/>
  <c r="Y144" i="55"/>
  <c r="BD139" i="55"/>
  <c r="DP139" i="55" s="1"/>
  <c r="Y139" i="55"/>
  <c r="BD143" i="55"/>
  <c r="DP143" i="55" s="1"/>
  <c r="Y143" i="55"/>
  <c r="BE140" i="55"/>
  <c r="DQ140" i="55" s="1"/>
  <c r="Z140" i="55"/>
  <c r="AC146" i="55"/>
  <c r="BH146" i="55"/>
  <c r="BG147" i="55"/>
  <c r="AB147" i="55"/>
  <c r="BC166" i="55"/>
  <c r="DO166" i="55" s="1"/>
  <c r="X166" i="55"/>
  <c r="AC170" i="55"/>
  <c r="BH170" i="55"/>
  <c r="BC167" i="55"/>
  <c r="X167" i="55"/>
  <c r="Y163" i="55"/>
  <c r="BD163" i="55"/>
  <c r="DP163" i="55" s="1"/>
  <c r="W168" i="55"/>
  <c r="BB168" i="55"/>
  <c r="X162" i="55"/>
  <c r="BC162" i="55"/>
  <c r="DO162" i="55" s="1"/>
  <c r="X165" i="55"/>
  <c r="BC165" i="55"/>
  <c r="DO165" i="55" s="1"/>
  <c r="X164" i="55"/>
  <c r="BC164" i="55"/>
  <c r="DO164" i="55" s="1"/>
  <c r="AA169" i="55"/>
  <c r="BF169" i="55"/>
  <c r="CI162" i="55"/>
  <c r="AA124" i="55"/>
  <c r="BF124" i="55"/>
  <c r="BC122" i="55"/>
  <c r="X122" i="55"/>
  <c r="X121" i="55"/>
  <c r="BC121" i="55"/>
  <c r="X97" i="55"/>
  <c r="BC97" i="55"/>
  <c r="DO97" i="55" s="1"/>
  <c r="BC93" i="55"/>
  <c r="DO93" i="55" s="1"/>
  <c r="X93" i="55"/>
  <c r="W76" i="55"/>
  <c r="BB76" i="55"/>
  <c r="BC70" i="55"/>
  <c r="DO70" i="55" s="1"/>
  <c r="X70" i="55"/>
  <c r="X120" i="55"/>
  <c r="BC120" i="55"/>
  <c r="DO120" i="55" s="1"/>
  <c r="BF123" i="55"/>
  <c r="AA123" i="55"/>
  <c r="BB119" i="55"/>
  <c r="DN119" i="55" s="1"/>
  <c r="W119" i="55"/>
  <c r="BD71" i="55"/>
  <c r="DP71" i="55" s="1"/>
  <c r="Y71" i="55"/>
  <c r="CH116" i="55"/>
  <c r="BD117" i="55"/>
  <c r="DP117" i="55" s="1"/>
  <c r="Y117" i="55"/>
  <c r="BC74" i="55"/>
  <c r="DO74" i="55" s="1"/>
  <c r="X74" i="55"/>
  <c r="CI93" i="55"/>
  <c r="W99" i="55"/>
  <c r="BB99" i="55"/>
  <c r="X75" i="55"/>
  <c r="BC75" i="55"/>
  <c r="CI70" i="55"/>
  <c r="Y94" i="55"/>
  <c r="BD94" i="55"/>
  <c r="DP94" i="55" s="1"/>
  <c r="X118" i="55"/>
  <c r="BC118" i="55"/>
  <c r="DO118" i="55" s="1"/>
  <c r="BC98" i="55"/>
  <c r="X98" i="55"/>
  <c r="BC116" i="55"/>
  <c r="DO116" i="55" s="1"/>
  <c r="X116" i="55"/>
  <c r="AB100" i="55"/>
  <c r="BG100" i="55"/>
  <c r="CK97" i="55"/>
  <c r="BF101" i="55"/>
  <c r="AA101" i="55"/>
  <c r="AB77" i="55"/>
  <c r="BG77" i="55"/>
  <c r="BF78" i="55"/>
  <c r="AA78" i="55"/>
  <c r="BC47" i="55"/>
  <c r="DO47" i="55" s="1"/>
  <c r="X47" i="55"/>
  <c r="BC53" i="55"/>
  <c r="X53" i="55"/>
  <c r="BC49" i="55"/>
  <c r="DO49" i="55" s="1"/>
  <c r="X49" i="55"/>
  <c r="BD48" i="55"/>
  <c r="DP48" i="55" s="1"/>
  <c r="Y48" i="55"/>
  <c r="X51" i="55"/>
  <c r="BC51" i="55"/>
  <c r="DO51" i="55" s="1"/>
  <c r="BC52" i="55"/>
  <c r="X52" i="55"/>
  <c r="W50" i="55"/>
  <c r="BB50" i="55"/>
  <c r="DN50" i="55" s="1"/>
  <c r="AB54" i="55"/>
  <c r="BG54" i="55"/>
  <c r="AB55" i="55"/>
  <c r="BG55" i="55"/>
  <c r="Y28" i="55"/>
  <c r="BD28" i="55"/>
  <c r="DP28" i="55" s="1"/>
  <c r="Y29" i="55"/>
  <c r="BD29" i="55"/>
  <c r="Z32" i="55"/>
  <c r="BE32" i="55"/>
  <c r="X30" i="55"/>
  <c r="BC30" i="55"/>
  <c r="Z31" i="55"/>
  <c r="BE31" i="55"/>
  <c r="Z25" i="55"/>
  <c r="BE25" i="55"/>
  <c r="DQ25" i="55" s="1"/>
  <c r="CJ24" i="55"/>
  <c r="Y24" i="55"/>
  <c r="BE24" i="55" s="1"/>
  <c r="DQ24" i="55" s="1"/>
  <c r="X204" i="55"/>
  <c r="X205" i="55" s="1"/>
  <c r="Y3" i="55"/>
  <c r="Y247" i="53"/>
  <c r="V195" i="54"/>
  <c r="Y192" i="54"/>
  <c r="W170" i="54"/>
  <c r="V187" i="54"/>
  <c r="V173" i="54"/>
  <c r="V194" i="54"/>
  <c r="V93" i="54"/>
  <c r="W90" i="54"/>
  <c r="W92" i="54"/>
  <c r="V180" i="54"/>
  <c r="W91" i="54"/>
  <c r="V191" i="54"/>
  <c r="V184" i="54"/>
  <c r="U86" i="54"/>
  <c r="U88" i="54" s="1"/>
  <c r="V85" i="54"/>
  <c r="U87" i="54"/>
  <c r="U100" i="54" s="1"/>
  <c r="W171" i="54"/>
  <c r="U258" i="54"/>
  <c r="U179" i="54"/>
  <c r="U259" i="54" s="1"/>
  <c r="V178" i="54"/>
  <c r="W185" i="54"/>
  <c r="T96" i="54"/>
  <c r="T97" i="54"/>
  <c r="T101" i="54"/>
  <c r="T102" i="54" s="1"/>
  <c r="T95" i="54"/>
  <c r="X181" i="54"/>
  <c r="V193" i="54"/>
  <c r="W186" i="54"/>
  <c r="W174" i="54"/>
  <c r="S105" i="54"/>
  <c r="S104" i="54"/>
  <c r="S103" i="54"/>
  <c r="V175" i="54"/>
  <c r="W127" i="54"/>
  <c r="X123" i="54"/>
  <c r="W125" i="54"/>
  <c r="W196" i="54"/>
  <c r="W172" i="54"/>
  <c r="U97" i="53"/>
  <c r="U127" i="53"/>
  <c r="V185" i="53"/>
  <c r="W186" i="53"/>
  <c r="V193" i="53"/>
  <c r="V119" i="53"/>
  <c r="V121" i="53" s="1"/>
  <c r="V128" i="53" s="1"/>
  <c r="V120" i="53"/>
  <c r="X91" i="53"/>
  <c r="X194" i="53"/>
  <c r="W171" i="53"/>
  <c r="V175" i="53"/>
  <c r="X181" i="53"/>
  <c r="X191" i="53"/>
  <c r="U258" i="53"/>
  <c r="U179" i="53"/>
  <c r="U259" i="53" s="1"/>
  <c r="V178" i="53"/>
  <c r="X173" i="53"/>
  <c r="W90" i="53"/>
  <c r="V95" i="53"/>
  <c r="W86" i="53"/>
  <c r="W88" i="53" s="1"/>
  <c r="X85" i="53"/>
  <c r="W87" i="53"/>
  <c r="V96" i="53"/>
  <c r="V196" i="53"/>
  <c r="V192" i="53"/>
  <c r="V92" i="53"/>
  <c r="V97" i="53" s="1"/>
  <c r="W172" i="53"/>
  <c r="W187" i="53"/>
  <c r="X174" i="53"/>
  <c r="V170" i="53"/>
  <c r="V184" i="53"/>
  <c r="V125" i="53"/>
  <c r="W123" i="53"/>
  <c r="V180" i="53"/>
  <c r="W195" i="53"/>
  <c r="AZ45" i="51"/>
  <c r="U45" i="51"/>
  <c r="X3" i="51"/>
  <c r="D13" i="45"/>
  <c r="AJ13" i="45" s="1"/>
  <c r="AJ5" i="45"/>
  <c r="BO5" i="45" s="1"/>
  <c r="D15" i="45"/>
  <c r="AJ15" i="45" s="1"/>
  <c r="AJ7" i="45"/>
  <c r="BO7" i="45" s="1"/>
  <c r="P293" i="48"/>
  <c r="P306" i="48"/>
  <c r="O286" i="48"/>
  <c r="O303" i="48"/>
  <c r="P297" i="48"/>
  <c r="P285" i="48"/>
  <c r="O298" i="48"/>
  <c r="Q292" i="48"/>
  <c r="P308" i="48"/>
  <c r="O305" i="48"/>
  <c r="P132" i="48"/>
  <c r="N136" i="48"/>
  <c r="N137" i="48"/>
  <c r="N135" i="48"/>
  <c r="Q290" i="48"/>
  <c r="P291" i="48"/>
  <c r="P304" i="48"/>
  <c r="P287" i="48"/>
  <c r="N197" i="48"/>
  <c r="N199" i="48"/>
  <c r="O195" i="48"/>
  <c r="Q130" i="48"/>
  <c r="O133" i="48"/>
  <c r="O307" i="48"/>
  <c r="P125" i="48"/>
  <c r="O126" i="48"/>
  <c r="O128" i="48" s="1"/>
  <c r="O127" i="48"/>
  <c r="R296" i="48"/>
  <c r="P283" i="48"/>
  <c r="O299" i="48"/>
  <c r="P131" i="48"/>
  <c r="P133" i="48" s="1"/>
  <c r="P190" i="48"/>
  <c r="O191" i="48"/>
  <c r="O193" i="48" s="1"/>
  <c r="O200" i="48" s="1"/>
  <c r="O370" i="48" s="1"/>
  <c r="O192" i="48"/>
  <c r="O284" i="48"/>
  <c r="P359" i="48"/>
  <c r="O282" i="48"/>
  <c r="P303" i="46"/>
  <c r="R287" i="46"/>
  <c r="O296" i="46"/>
  <c r="N371" i="46"/>
  <c r="N136" i="46"/>
  <c r="N137" i="46"/>
  <c r="N197" i="46"/>
  <c r="N199" i="46"/>
  <c r="O195" i="46"/>
  <c r="P285" i="46"/>
  <c r="R131" i="46"/>
  <c r="K370" i="46"/>
  <c r="K371" i="46"/>
  <c r="O191" i="46"/>
  <c r="O193" i="46" s="1"/>
  <c r="O200" i="46" s="1"/>
  <c r="O370" i="46" s="1"/>
  <c r="P190" i="46"/>
  <c r="O192" i="46"/>
  <c r="O291" i="46"/>
  <c r="P290" i="46"/>
  <c r="P282" i="46"/>
  <c r="P306" i="46"/>
  <c r="O304" i="46"/>
  <c r="P307" i="46"/>
  <c r="P299" i="46"/>
  <c r="P308" i="46"/>
  <c r="L200" i="46"/>
  <c r="L199" i="46"/>
  <c r="Q298" i="46"/>
  <c r="Q283" i="46"/>
  <c r="P284" i="46"/>
  <c r="L136" i="46"/>
  <c r="L137" i="46"/>
  <c r="L135" i="46"/>
  <c r="O292" i="46"/>
  <c r="P130" i="46"/>
  <c r="O132" i="46"/>
  <c r="O133" i="46" s="1"/>
  <c r="O297" i="46"/>
  <c r="O293" i="46"/>
  <c r="O126" i="46"/>
  <c r="O128" i="46" s="1"/>
  <c r="P125" i="46"/>
  <c r="O127" i="46"/>
  <c r="O305" i="46"/>
  <c r="O286" i="46"/>
  <c r="J3" i="45"/>
  <c r="G61" i="44"/>
  <c r="F61" i="44"/>
  <c r="E61" i="44"/>
  <c r="D61" i="44"/>
  <c r="C61" i="44"/>
  <c r="D59" i="44"/>
  <c r="R20" i="7"/>
  <c r="E58" i="44"/>
  <c r="E57" i="44"/>
  <c r="D58" i="44"/>
  <c r="D56" i="44"/>
  <c r="C56" i="44"/>
  <c r="C36" i="7"/>
  <c r="CO75" i="59" l="1"/>
  <c r="CQ2" i="59"/>
  <c r="CP69" i="59"/>
  <c r="CP61" i="59"/>
  <c r="CP70" i="59"/>
  <c r="CP62" i="59"/>
  <c r="CP64" i="59"/>
  <c r="CP73" i="59"/>
  <c r="CP65" i="59"/>
  <c r="CP66" i="59"/>
  <c r="CP67" i="59"/>
  <c r="CP68" i="59"/>
  <c r="CP63" i="59"/>
  <c r="CP74" i="59"/>
  <c r="CP72" i="59"/>
  <c r="CP71" i="59"/>
  <c r="BE139" i="55"/>
  <c r="DQ139" i="55" s="1"/>
  <c r="Z139" i="55"/>
  <c r="BF140" i="55"/>
  <c r="DR140" i="55" s="1"/>
  <c r="AA140" i="55"/>
  <c r="BE144" i="55"/>
  <c r="Z144" i="55"/>
  <c r="BE143" i="55"/>
  <c r="DQ143" i="55" s="1"/>
  <c r="Z143" i="55"/>
  <c r="Y145" i="55"/>
  <c r="BD145" i="55"/>
  <c r="BH147" i="55"/>
  <c r="AC147" i="55"/>
  <c r="AD146" i="55"/>
  <c r="BI146" i="55"/>
  <c r="Y164" i="55"/>
  <c r="BD164" i="55"/>
  <c r="DP164" i="55" s="1"/>
  <c r="BC168" i="55"/>
  <c r="X168" i="55"/>
  <c r="AD170" i="55"/>
  <c r="BI170" i="55"/>
  <c r="Y165" i="55"/>
  <c r="BD165" i="55"/>
  <c r="DP165" i="55" s="1"/>
  <c r="Z163" i="55"/>
  <c r="BE163" i="55"/>
  <c r="DQ163" i="55" s="1"/>
  <c r="BD166" i="55"/>
  <c r="DP166" i="55" s="1"/>
  <c r="Y166" i="55"/>
  <c r="CJ162" i="55"/>
  <c r="Y162" i="55"/>
  <c r="BD162" i="55"/>
  <c r="DP162" i="55" s="1"/>
  <c r="AB169" i="55"/>
  <c r="BG169" i="55"/>
  <c r="BD167" i="55"/>
  <c r="Y167" i="55"/>
  <c r="BG124" i="55"/>
  <c r="AB124" i="55"/>
  <c r="Y74" i="55"/>
  <c r="BD74" i="55"/>
  <c r="DP74" i="55" s="1"/>
  <c r="BD118" i="55"/>
  <c r="DP118" i="55" s="1"/>
  <c r="Y118" i="55"/>
  <c r="Y75" i="55"/>
  <c r="BD75" i="55"/>
  <c r="BD120" i="55"/>
  <c r="DP120" i="55" s="1"/>
  <c r="Y120" i="55"/>
  <c r="Z117" i="55"/>
  <c r="BE117" i="55"/>
  <c r="DQ117" i="55" s="1"/>
  <c r="BE71" i="55"/>
  <c r="DQ71" i="55" s="1"/>
  <c r="Z71" i="55"/>
  <c r="Y70" i="55"/>
  <c r="BD70" i="55"/>
  <c r="DP70" i="55" s="1"/>
  <c r="Y122" i="55"/>
  <c r="BD122" i="55"/>
  <c r="BD116" i="55"/>
  <c r="DP116" i="55" s="1"/>
  <c r="Y116" i="55"/>
  <c r="Z94" i="55"/>
  <c r="BE94" i="55"/>
  <c r="DQ94" i="55" s="1"/>
  <c r="X99" i="55"/>
  <c r="BC99" i="55"/>
  <c r="Y97" i="55"/>
  <c r="BD97" i="55"/>
  <c r="DP97" i="55" s="1"/>
  <c r="X119" i="55"/>
  <c r="BC119" i="55"/>
  <c r="DO119" i="55" s="1"/>
  <c r="CJ70" i="55"/>
  <c r="CJ93" i="55"/>
  <c r="BD121" i="55"/>
  <c r="Y121" i="55"/>
  <c r="Y98" i="55"/>
  <c r="BD98" i="55"/>
  <c r="BG123" i="55"/>
  <c r="AB123" i="55"/>
  <c r="X76" i="55"/>
  <c r="BC76" i="55"/>
  <c r="CI116" i="55"/>
  <c r="BD93" i="55"/>
  <c r="DP93" i="55" s="1"/>
  <c r="Y93" i="55"/>
  <c r="BG101" i="55"/>
  <c r="AB101" i="55"/>
  <c r="CL97" i="55"/>
  <c r="AC100" i="55"/>
  <c r="BH100" i="55"/>
  <c r="AC77" i="55"/>
  <c r="BH77" i="55"/>
  <c r="BG78" i="55"/>
  <c r="AB78" i="55"/>
  <c r="Y53" i="55"/>
  <c r="BD53" i="55"/>
  <c r="BD52" i="55"/>
  <c r="Y52" i="55"/>
  <c r="BC50" i="55"/>
  <c r="DO50" i="55" s="1"/>
  <c r="X50" i="55"/>
  <c r="Z48" i="55"/>
  <c r="BE48" i="55"/>
  <c r="DQ48" i="55" s="1"/>
  <c r="Y51" i="55"/>
  <c r="BD51" i="55"/>
  <c r="DP51" i="55" s="1"/>
  <c r="BD47" i="55"/>
  <c r="DP47" i="55" s="1"/>
  <c r="Y47" i="55"/>
  <c r="BD49" i="55"/>
  <c r="DP49" i="55" s="1"/>
  <c r="Y49" i="55"/>
  <c r="AC54" i="55"/>
  <c r="BH54" i="55"/>
  <c r="AC55" i="55"/>
  <c r="BH55" i="55"/>
  <c r="AA25" i="55"/>
  <c r="BF25" i="55"/>
  <c r="DR25" i="55" s="1"/>
  <c r="AA31" i="55"/>
  <c r="BF31" i="55"/>
  <c r="Z29" i="55"/>
  <c r="BE29" i="55"/>
  <c r="Y30" i="55"/>
  <c r="BD30" i="55"/>
  <c r="Z28" i="55"/>
  <c r="BE28" i="55"/>
  <c r="DQ28" i="55" s="1"/>
  <c r="CK24" i="55"/>
  <c r="AA32" i="55"/>
  <c r="BF32" i="55"/>
  <c r="Z24" i="55"/>
  <c r="BF24" i="55" s="1"/>
  <c r="DR24" i="55" s="1"/>
  <c r="Y204" i="55"/>
  <c r="Z3" i="55"/>
  <c r="Z247" i="53"/>
  <c r="W191" i="54"/>
  <c r="X90" i="54"/>
  <c r="W93" i="54"/>
  <c r="X185" i="54"/>
  <c r="W195" i="54"/>
  <c r="Y181" i="54"/>
  <c r="X91" i="54"/>
  <c r="X172" i="54"/>
  <c r="W193" i="54"/>
  <c r="X171" i="54"/>
  <c r="V258" i="54"/>
  <c r="W178" i="54"/>
  <c r="V179" i="54"/>
  <c r="V259" i="54" s="1"/>
  <c r="W175" i="54"/>
  <c r="X174" i="54"/>
  <c r="W180" i="54"/>
  <c r="W173" i="54"/>
  <c r="Z192" i="54"/>
  <c r="W187" i="54"/>
  <c r="W194" i="54"/>
  <c r="X170" i="54"/>
  <c r="W184" i="54"/>
  <c r="X186" i="54"/>
  <c r="W85" i="54"/>
  <c r="V86" i="54"/>
  <c r="V88" i="54" s="1"/>
  <c r="V87" i="54"/>
  <c r="V100" i="54" s="1"/>
  <c r="X196" i="54"/>
  <c r="X125" i="54"/>
  <c r="Y123" i="54"/>
  <c r="X127" i="54"/>
  <c r="T104" i="54"/>
  <c r="T105" i="54"/>
  <c r="T103" i="54"/>
  <c r="U97" i="54"/>
  <c r="U101" i="54"/>
  <c r="U96" i="54"/>
  <c r="U95" i="54"/>
  <c r="X92" i="54"/>
  <c r="V127" i="53"/>
  <c r="X195" i="53"/>
  <c r="W196" i="53"/>
  <c r="W184" i="53"/>
  <c r="W192" i="53"/>
  <c r="W95" i="53"/>
  <c r="X90" i="53"/>
  <c r="W180" i="53"/>
  <c r="V258" i="53"/>
  <c r="W178" i="53"/>
  <c r="V179" i="53"/>
  <c r="V259" i="53" s="1"/>
  <c r="W185" i="53"/>
  <c r="X187" i="53"/>
  <c r="Y173" i="53"/>
  <c r="X171" i="53"/>
  <c r="Y194" i="53"/>
  <c r="X118" i="53"/>
  <c r="W121" i="53"/>
  <c r="W128" i="53" s="1"/>
  <c r="W120" i="53"/>
  <c r="W175" i="53"/>
  <c r="X186" i="53"/>
  <c r="W125" i="53"/>
  <c r="X123" i="53"/>
  <c r="W170" i="53"/>
  <c r="Y174" i="53"/>
  <c r="X86" i="53"/>
  <c r="X88" i="53" s="1"/>
  <c r="Y85" i="53"/>
  <c r="X87" i="53"/>
  <c r="Y181" i="53"/>
  <c r="Y91" i="53"/>
  <c r="W92" i="53"/>
  <c r="W96" i="53"/>
  <c r="Y191" i="53"/>
  <c r="X172" i="53"/>
  <c r="V93" i="53"/>
  <c r="W193" i="53"/>
  <c r="V45" i="51"/>
  <c r="Y3" i="51"/>
  <c r="BA45" i="51"/>
  <c r="P284" i="48"/>
  <c r="S296" i="48"/>
  <c r="P307" i="48"/>
  <c r="Q306" i="48"/>
  <c r="P282" i="48"/>
  <c r="P191" i="48"/>
  <c r="P193" i="48" s="1"/>
  <c r="P200" i="48" s="1"/>
  <c r="P370" i="48" s="1"/>
  <c r="Q190" i="48"/>
  <c r="P192" i="48"/>
  <c r="Q359" i="48"/>
  <c r="P299" i="48"/>
  <c r="P298" i="48"/>
  <c r="P303" i="48"/>
  <c r="Q283" i="48"/>
  <c r="R130" i="48"/>
  <c r="R290" i="48"/>
  <c r="Q291" i="48"/>
  <c r="Q132" i="48"/>
  <c r="P305" i="48"/>
  <c r="Q308" i="48"/>
  <c r="R292" i="48"/>
  <c r="Q285" i="48"/>
  <c r="O371" i="48"/>
  <c r="Q293" i="48"/>
  <c r="Q131" i="48"/>
  <c r="O136" i="48"/>
  <c r="O137" i="48"/>
  <c r="O135" i="48"/>
  <c r="P126" i="48"/>
  <c r="P128" i="48" s="1"/>
  <c r="Q125" i="48"/>
  <c r="P127" i="48"/>
  <c r="O197" i="48"/>
  <c r="O199" i="48"/>
  <c r="P195" i="48"/>
  <c r="Q287" i="48"/>
  <c r="Q304" i="48"/>
  <c r="Q297" i="48"/>
  <c r="P286" i="48"/>
  <c r="O371" i="46"/>
  <c r="Q284" i="46"/>
  <c r="R298" i="46"/>
  <c r="Q308" i="46"/>
  <c r="Q307" i="46"/>
  <c r="Q306" i="46"/>
  <c r="P191" i="46"/>
  <c r="P193" i="46" s="1"/>
  <c r="P200" i="46" s="1"/>
  <c r="P370" i="46" s="1"/>
  <c r="Q190" i="46"/>
  <c r="P192" i="46"/>
  <c r="P305" i="46"/>
  <c r="Q125" i="46"/>
  <c r="P126" i="46"/>
  <c r="P128" i="46" s="1"/>
  <c r="P135" i="46" s="1"/>
  <c r="P127" i="46"/>
  <c r="P297" i="46"/>
  <c r="P132" i="46"/>
  <c r="P133" i="46" s="1"/>
  <c r="Q130" i="46"/>
  <c r="P292" i="46"/>
  <c r="S131" i="46"/>
  <c r="O197" i="46"/>
  <c r="O199" i="46"/>
  <c r="P195" i="46"/>
  <c r="S287" i="46"/>
  <c r="P293" i="46"/>
  <c r="L370" i="46"/>
  <c r="L371" i="46"/>
  <c r="P286" i="46"/>
  <c r="O137" i="46"/>
  <c r="O136" i="46"/>
  <c r="O135" i="46"/>
  <c r="R283" i="46"/>
  <c r="Q299" i="46"/>
  <c r="P304" i="46"/>
  <c r="Q282" i="46"/>
  <c r="P291" i="46"/>
  <c r="Q290" i="46"/>
  <c r="Q285" i="46"/>
  <c r="P296" i="46"/>
  <c r="Q303" i="46"/>
  <c r="K3" i="45"/>
  <c r="CP75" i="59" l="1"/>
  <c r="CR2" i="59"/>
  <c r="CQ70" i="59"/>
  <c r="CQ62" i="59"/>
  <c r="CQ64" i="59"/>
  <c r="CQ73" i="59"/>
  <c r="CQ65" i="59"/>
  <c r="CQ66" i="59"/>
  <c r="CQ67" i="59"/>
  <c r="CQ68" i="59"/>
  <c r="CQ61" i="59"/>
  <c r="CQ69" i="59"/>
  <c r="CQ63" i="59"/>
  <c r="CQ74" i="59"/>
  <c r="CQ72" i="59"/>
  <c r="CQ71" i="59"/>
  <c r="BF144" i="55"/>
  <c r="AA144" i="55"/>
  <c r="BG140" i="55"/>
  <c r="DS140" i="55" s="1"/>
  <c r="AB140" i="55"/>
  <c r="BE145" i="55"/>
  <c r="Z145" i="55"/>
  <c r="AA143" i="55"/>
  <c r="BF143" i="55"/>
  <c r="DR143" i="55" s="1"/>
  <c r="BF139" i="55"/>
  <c r="DR139" i="55" s="1"/>
  <c r="AA139" i="55"/>
  <c r="BJ146" i="55"/>
  <c r="AE146" i="55"/>
  <c r="BI147" i="55"/>
  <c r="AD147" i="55"/>
  <c r="AC169" i="55"/>
  <c r="BH169" i="55"/>
  <c r="Z165" i="55"/>
  <c r="BE165" i="55"/>
  <c r="DQ165" i="55" s="1"/>
  <c r="CK162" i="55"/>
  <c r="AE170" i="55"/>
  <c r="BJ170" i="55"/>
  <c r="Z167" i="55"/>
  <c r="BE167" i="55"/>
  <c r="BE166" i="55"/>
  <c r="DQ166" i="55" s="1"/>
  <c r="Z166" i="55"/>
  <c r="BD168" i="55"/>
  <c r="Y168" i="55"/>
  <c r="Z162" i="55"/>
  <c r="BE162" i="55"/>
  <c r="DQ162" i="55" s="1"/>
  <c r="AA163" i="55"/>
  <c r="BF163" i="55"/>
  <c r="DR163" i="55" s="1"/>
  <c r="BE164" i="55"/>
  <c r="DQ164" i="55" s="1"/>
  <c r="Z164" i="55"/>
  <c r="AC124" i="55"/>
  <c r="BH124" i="55"/>
  <c r="Z118" i="55"/>
  <c r="BE118" i="55"/>
  <c r="DQ118" i="55" s="1"/>
  <c r="CK70" i="55"/>
  <c r="Z97" i="55"/>
  <c r="BE97" i="55"/>
  <c r="DQ97" i="55" s="1"/>
  <c r="BF117" i="55"/>
  <c r="DR117" i="55" s="1"/>
  <c r="AA117" i="55"/>
  <c r="BE93" i="55"/>
  <c r="DQ93" i="55" s="1"/>
  <c r="Z93" i="55"/>
  <c r="BE98" i="55"/>
  <c r="Z98" i="55"/>
  <c r="Z122" i="55"/>
  <c r="BE122" i="55"/>
  <c r="Z121" i="55"/>
  <c r="BE121" i="55"/>
  <c r="Y99" i="55"/>
  <c r="BD99" i="55"/>
  <c r="BE120" i="55"/>
  <c r="DQ120" i="55" s="1"/>
  <c r="Z120" i="55"/>
  <c r="Y76" i="55"/>
  <c r="BD76" i="55"/>
  <c r="Z74" i="55"/>
  <c r="BE74" i="55"/>
  <c r="DQ74" i="55" s="1"/>
  <c r="CJ116" i="55"/>
  <c r="AC123" i="55"/>
  <c r="BH123" i="55"/>
  <c r="BD119" i="55"/>
  <c r="DP119" i="55" s="1"/>
  <c r="Y119" i="55"/>
  <c r="AA94" i="55"/>
  <c r="BF94" i="55"/>
  <c r="DR94" i="55" s="1"/>
  <c r="Z70" i="55"/>
  <c r="BE70" i="55"/>
  <c r="DQ70" i="55" s="1"/>
  <c r="CK93" i="55"/>
  <c r="Z116" i="55"/>
  <c r="BE116" i="55"/>
  <c r="DQ116" i="55" s="1"/>
  <c r="AA71" i="55"/>
  <c r="BF71" i="55"/>
  <c r="DR71" i="55" s="1"/>
  <c r="BE75" i="55"/>
  <c r="Z75" i="55"/>
  <c r="CM97" i="55"/>
  <c r="AC101" i="55"/>
  <c r="BH101" i="55"/>
  <c r="AD100" i="55"/>
  <c r="BI100" i="55"/>
  <c r="AD77" i="55"/>
  <c r="BI77" i="55"/>
  <c r="AC78" i="55"/>
  <c r="BH78" i="55"/>
  <c r="Z52" i="55"/>
  <c r="BE52" i="55"/>
  <c r="BE53" i="55"/>
  <c r="Z53" i="55"/>
  <c r="Z51" i="55"/>
  <c r="BE51" i="55"/>
  <c r="DQ51" i="55" s="1"/>
  <c r="Z49" i="55"/>
  <c r="BE49" i="55"/>
  <c r="DQ49" i="55" s="1"/>
  <c r="Z47" i="55"/>
  <c r="BE47" i="55"/>
  <c r="DQ47" i="55" s="1"/>
  <c r="BF48" i="55"/>
  <c r="DR48" i="55" s="1"/>
  <c r="AA48" i="55"/>
  <c r="Y50" i="55"/>
  <c r="BD50" i="55"/>
  <c r="DP50" i="55" s="1"/>
  <c r="AD55" i="55"/>
  <c r="BI55" i="55"/>
  <c r="BI54" i="55"/>
  <c r="AD54" i="55"/>
  <c r="AB31" i="55"/>
  <c r="BG31" i="55"/>
  <c r="Z30" i="55"/>
  <c r="BE30" i="55"/>
  <c r="AB25" i="55"/>
  <c r="BG25" i="55"/>
  <c r="DS25" i="55" s="1"/>
  <c r="AB32" i="55"/>
  <c r="BG32" i="55"/>
  <c r="CL24" i="55"/>
  <c r="AA29" i="55"/>
  <c r="BF29" i="55"/>
  <c r="AA28" i="55"/>
  <c r="BF28" i="55"/>
  <c r="DR28" i="55" s="1"/>
  <c r="AA24" i="55"/>
  <c r="BG24" i="55" s="1"/>
  <c r="DS24" i="55" s="1"/>
  <c r="Z204" i="55"/>
  <c r="Z205" i="55" s="1"/>
  <c r="Y205" i="55"/>
  <c r="AA3" i="55"/>
  <c r="AA247" i="53"/>
  <c r="U104" i="54"/>
  <c r="U103" i="54"/>
  <c r="U105" i="54"/>
  <c r="Y196" i="54"/>
  <c r="X85" i="54"/>
  <c r="W87" i="54"/>
  <c r="W100" i="54" s="1"/>
  <c r="W86" i="54"/>
  <c r="W88" i="54" s="1"/>
  <c r="AA192" i="54"/>
  <c r="Y174" i="54"/>
  <c r="Y172" i="54"/>
  <c r="X195" i="54"/>
  <c r="Y186" i="54"/>
  <c r="X180" i="54"/>
  <c r="Y91" i="54"/>
  <c r="V96" i="54"/>
  <c r="V101" i="54"/>
  <c r="V102" i="54" s="1"/>
  <c r="V97" i="54"/>
  <c r="V95" i="54"/>
  <c r="X184" i="54"/>
  <c r="U102" i="54"/>
  <c r="X173" i="54"/>
  <c r="X175" i="54"/>
  <c r="W258" i="54"/>
  <c r="W179" i="54"/>
  <c r="W259" i="54" s="1"/>
  <c r="X178" i="54"/>
  <c r="Z181" i="54"/>
  <c r="Y92" i="54"/>
  <c r="X194" i="54"/>
  <c r="Y127" i="54"/>
  <c r="Z123" i="54"/>
  <c r="Y125" i="54"/>
  <c r="Y171" i="54"/>
  <c r="X93" i="54"/>
  <c r="Y90" i="54"/>
  <c r="Y170" i="54"/>
  <c r="X191" i="54"/>
  <c r="X193" i="54"/>
  <c r="X187" i="54"/>
  <c r="Y185" i="54"/>
  <c r="W127" i="53"/>
  <c r="X170" i="53"/>
  <c r="W258" i="53"/>
  <c r="W179" i="53"/>
  <c r="W259" i="53" s="1"/>
  <c r="X178" i="53"/>
  <c r="X95" i="53"/>
  <c r="Y90" i="53"/>
  <c r="Z181" i="53"/>
  <c r="Y172" i="53"/>
  <c r="X92" i="53"/>
  <c r="X93" i="53" s="1"/>
  <c r="X125" i="53"/>
  <c r="Y123" i="53"/>
  <c r="Z191" i="53"/>
  <c r="Z85" i="53"/>
  <c r="Y86" i="53"/>
  <c r="Y88" i="53" s="1"/>
  <c r="Y87" i="53"/>
  <c r="X185" i="53"/>
  <c r="X192" i="53"/>
  <c r="X196" i="53"/>
  <c r="Z91" i="53"/>
  <c r="X96" i="53"/>
  <c r="X119" i="53"/>
  <c r="X121" i="53" s="1"/>
  <c r="X128" i="53" s="1"/>
  <c r="Y118" i="53"/>
  <c r="X120" i="53"/>
  <c r="Z194" i="53"/>
  <c r="Y186" i="53"/>
  <c r="X175" i="53"/>
  <c r="Y171" i="53"/>
  <c r="X180" i="53"/>
  <c r="X193" i="53"/>
  <c r="W97" i="53"/>
  <c r="Z174" i="53"/>
  <c r="Y195" i="53"/>
  <c r="Z173" i="53"/>
  <c r="Y187" i="53"/>
  <c r="W93" i="53"/>
  <c r="X184" i="53"/>
  <c r="W45" i="51"/>
  <c r="Z3" i="51"/>
  <c r="BB45" i="51"/>
  <c r="R287" i="48"/>
  <c r="R285" i="48"/>
  <c r="R308" i="48"/>
  <c r="R132" i="48"/>
  <c r="S130" i="48"/>
  <c r="R359" i="48"/>
  <c r="Q282" i="48"/>
  <c r="R297" i="48"/>
  <c r="R291" i="48"/>
  <c r="S290" i="48"/>
  <c r="Q191" i="48"/>
  <c r="Q193" i="48" s="1"/>
  <c r="Q200" i="48" s="1"/>
  <c r="Q370" i="48" s="1"/>
  <c r="R190" i="48"/>
  <c r="Q192" i="48"/>
  <c r="T296" i="48"/>
  <c r="Q286" i="48"/>
  <c r="R304" i="48"/>
  <c r="Q126" i="48"/>
  <c r="Q128" i="48" s="1"/>
  <c r="R125" i="48"/>
  <c r="Q127" i="48"/>
  <c r="R283" i="48"/>
  <c r="Q303" i="48"/>
  <c r="Q298" i="48"/>
  <c r="Q299" i="48"/>
  <c r="P371" i="48"/>
  <c r="Q307" i="48"/>
  <c r="P197" i="48"/>
  <c r="P199" i="48"/>
  <c r="Q195" i="48"/>
  <c r="R293" i="48"/>
  <c r="P137" i="48"/>
  <c r="P136" i="48"/>
  <c r="P135" i="48"/>
  <c r="R131" i="48"/>
  <c r="R133" i="48" s="1"/>
  <c r="S292" i="48"/>
  <c r="Q305" i="48"/>
  <c r="Q371" i="48"/>
  <c r="Q133" i="48"/>
  <c r="R306" i="48"/>
  <c r="Q284" i="48"/>
  <c r="P371" i="46"/>
  <c r="R307" i="46"/>
  <c r="R290" i="46"/>
  <c r="Q291" i="46"/>
  <c r="R299" i="46"/>
  <c r="Q286" i="46"/>
  <c r="R303" i="46"/>
  <c r="R285" i="46"/>
  <c r="Q304" i="46"/>
  <c r="S283" i="46"/>
  <c r="T131" i="46"/>
  <c r="R130" i="46"/>
  <c r="Q132" i="46"/>
  <c r="Q133" i="46" s="1"/>
  <c r="R308" i="46"/>
  <c r="Q296" i="46"/>
  <c r="R282" i="46"/>
  <c r="Q293" i="46"/>
  <c r="P199" i="46"/>
  <c r="Q195" i="46"/>
  <c r="P197" i="46"/>
  <c r="T287" i="46"/>
  <c r="P136" i="46"/>
  <c r="P137" i="46"/>
  <c r="R306" i="46"/>
  <c r="Q292" i="46"/>
  <c r="Q297" i="46"/>
  <c r="Q126" i="46"/>
  <c r="Q128" i="46" s="1"/>
  <c r="Q135" i="46" s="1"/>
  <c r="R125" i="46"/>
  <c r="Q127" i="46"/>
  <c r="Q305" i="46"/>
  <c r="Q191" i="46"/>
  <c r="Q193" i="46" s="1"/>
  <c r="Q200" i="46" s="1"/>
  <c r="Q370" i="46" s="1"/>
  <c r="R190" i="46"/>
  <c r="Q192" i="46"/>
  <c r="S298" i="46"/>
  <c r="R284" i="46"/>
  <c r="L3" i="45"/>
  <c r="C28" i="44"/>
  <c r="C29" i="44" s="1"/>
  <c r="G38" i="44"/>
  <c r="G37" i="44"/>
  <c r="C39" i="44"/>
  <c r="C38" i="44"/>
  <c r="AD74" i="24"/>
  <c r="K33" i="44"/>
  <c r="K32" i="44"/>
  <c r="C24" i="44"/>
  <c r="Z13" i="44"/>
  <c r="Z12" i="44"/>
  <c r="AF7" i="44"/>
  <c r="AF8" i="44" s="1"/>
  <c r="AF17" i="44"/>
  <c r="AF18" i="44" s="1"/>
  <c r="Z7" i="44"/>
  <c r="R20" i="44"/>
  <c r="S5" i="44"/>
  <c r="K14" i="44"/>
  <c r="C18" i="44"/>
  <c r="C17" i="44"/>
  <c r="C13" i="44"/>
  <c r="C12" i="44"/>
  <c r="E34" i="44"/>
  <c r="C34" i="44"/>
  <c r="E33" i="44"/>
  <c r="AR3" i="43"/>
  <c r="AM3" i="43"/>
  <c r="AH3" i="43"/>
  <c r="AC3" i="43"/>
  <c r="X3" i="43"/>
  <c r="S3" i="43"/>
  <c r="O2" i="43"/>
  <c r="P2" i="43" s="1"/>
  <c r="Q2" i="43" s="1"/>
  <c r="R2" i="43" s="1"/>
  <c r="S2" i="43" s="1"/>
  <c r="T2" i="43" s="1"/>
  <c r="U2" i="43" s="1"/>
  <c r="V2" i="43" s="1"/>
  <c r="W2" i="43" s="1"/>
  <c r="X2" i="43" s="1"/>
  <c r="Y2" i="43" s="1"/>
  <c r="Z2" i="43" s="1"/>
  <c r="AA2" i="43" s="1"/>
  <c r="AB2" i="43" s="1"/>
  <c r="AC2" i="43" s="1"/>
  <c r="AD2" i="43" s="1"/>
  <c r="AE2" i="43" s="1"/>
  <c r="AF2" i="43" s="1"/>
  <c r="AG2" i="43" s="1"/>
  <c r="AH2" i="43" s="1"/>
  <c r="AI2" i="43" s="1"/>
  <c r="AJ2" i="43" s="1"/>
  <c r="AK2" i="43" s="1"/>
  <c r="AL2" i="43" s="1"/>
  <c r="AM2" i="43" s="1"/>
  <c r="AN2" i="43" s="1"/>
  <c r="AO2" i="43" s="1"/>
  <c r="AP2" i="43" s="1"/>
  <c r="AQ2" i="43" s="1"/>
  <c r="AR2" i="43" s="1"/>
  <c r="B21" i="43"/>
  <c r="E104" i="36"/>
  <c r="F104" i="36"/>
  <c r="G104" i="36"/>
  <c r="H104" i="36"/>
  <c r="I104" i="36"/>
  <c r="J104" i="36"/>
  <c r="K104" i="36"/>
  <c r="L104" i="36"/>
  <c r="M104" i="36"/>
  <c r="N104" i="36"/>
  <c r="O104" i="36"/>
  <c r="P104" i="36"/>
  <c r="Q104" i="36"/>
  <c r="R104" i="36"/>
  <c r="S104" i="36"/>
  <c r="T104" i="36"/>
  <c r="U104" i="36"/>
  <c r="V104" i="36"/>
  <c r="W104" i="36"/>
  <c r="X104" i="36"/>
  <c r="Y104" i="36"/>
  <c r="Z104" i="36"/>
  <c r="AA104" i="36"/>
  <c r="AB104" i="36"/>
  <c r="AC104" i="36"/>
  <c r="AD104" i="36"/>
  <c r="AE104" i="36"/>
  <c r="AF104" i="36"/>
  <c r="AG104" i="36"/>
  <c r="AH104" i="36"/>
  <c r="BN104" i="36"/>
  <c r="BM104" i="36"/>
  <c r="BL104" i="36"/>
  <c r="BK104" i="36"/>
  <c r="BJ104" i="36"/>
  <c r="BI104" i="36"/>
  <c r="BH104" i="36"/>
  <c r="BG104" i="36"/>
  <c r="BF104" i="36"/>
  <c r="BE104" i="36"/>
  <c r="BD104" i="36"/>
  <c r="BC104" i="36"/>
  <c r="BB104" i="36"/>
  <c r="BA104" i="36"/>
  <c r="AZ104" i="36"/>
  <c r="AY104" i="36"/>
  <c r="AX104" i="36"/>
  <c r="AW104" i="36"/>
  <c r="AV104" i="36"/>
  <c r="AU104" i="36"/>
  <c r="AT104" i="36"/>
  <c r="AS104" i="36"/>
  <c r="AR104" i="36"/>
  <c r="AQ104" i="36"/>
  <c r="AP104" i="36"/>
  <c r="AO104" i="36"/>
  <c r="AN104" i="36"/>
  <c r="AM104" i="36"/>
  <c r="AL104" i="36"/>
  <c r="AK104" i="36"/>
  <c r="AJ104" i="36"/>
  <c r="D104" i="36"/>
  <c r="BN95" i="36"/>
  <c r="BM95" i="36"/>
  <c r="BL95" i="36"/>
  <c r="BK95" i="36"/>
  <c r="BJ95" i="36"/>
  <c r="BI95" i="36"/>
  <c r="BH95" i="36"/>
  <c r="BG95" i="36"/>
  <c r="BF95" i="36"/>
  <c r="BE95" i="36"/>
  <c r="BD95" i="36"/>
  <c r="BC95" i="36"/>
  <c r="BB95" i="36"/>
  <c r="BA95" i="36"/>
  <c r="AZ95" i="36"/>
  <c r="AY95" i="36"/>
  <c r="AX95" i="36"/>
  <c r="AW95" i="36"/>
  <c r="AV95" i="36"/>
  <c r="AU95" i="36"/>
  <c r="AT95" i="36"/>
  <c r="AS95" i="36"/>
  <c r="AR95" i="36"/>
  <c r="AQ95" i="36"/>
  <c r="AP95" i="36"/>
  <c r="AO95" i="36"/>
  <c r="AN95" i="36"/>
  <c r="AM95" i="36"/>
  <c r="AL95" i="36"/>
  <c r="AK95" i="36"/>
  <c r="AJ95" i="36"/>
  <c r="E95" i="36"/>
  <c r="F95" i="36"/>
  <c r="G95" i="36"/>
  <c r="H95" i="36"/>
  <c r="I95" i="36"/>
  <c r="J95" i="36"/>
  <c r="K95" i="36"/>
  <c r="L95" i="36"/>
  <c r="M95" i="36"/>
  <c r="N95" i="36"/>
  <c r="O95" i="36"/>
  <c r="P95" i="36"/>
  <c r="Q95" i="36"/>
  <c r="R95" i="36"/>
  <c r="S95" i="36"/>
  <c r="T95" i="36"/>
  <c r="U95" i="36"/>
  <c r="V95" i="36"/>
  <c r="W95" i="36"/>
  <c r="X95" i="36"/>
  <c r="Y95" i="36"/>
  <c r="Z95" i="36"/>
  <c r="AA95" i="36"/>
  <c r="AB95" i="36"/>
  <c r="AC95" i="36"/>
  <c r="AD95" i="36"/>
  <c r="AE95" i="36"/>
  <c r="AF95" i="36"/>
  <c r="AG95" i="36"/>
  <c r="AH95" i="36"/>
  <c r="D95" i="36"/>
  <c r="AJ88" i="36"/>
  <c r="D88" i="36"/>
  <c r="BN82" i="36"/>
  <c r="BM82" i="36"/>
  <c r="BL82" i="36"/>
  <c r="BK82" i="36"/>
  <c r="BJ82" i="36"/>
  <c r="BI82" i="36"/>
  <c r="BH82" i="36"/>
  <c r="BG82" i="36"/>
  <c r="BF82" i="36"/>
  <c r="BE82" i="36"/>
  <c r="BD82" i="36"/>
  <c r="BC82" i="36"/>
  <c r="BB82" i="36"/>
  <c r="BA82" i="36"/>
  <c r="AZ82" i="36"/>
  <c r="AY82" i="36"/>
  <c r="AX82" i="36"/>
  <c r="AW82" i="36"/>
  <c r="AV82" i="36"/>
  <c r="AU82" i="36"/>
  <c r="AT82" i="36"/>
  <c r="AS82" i="36"/>
  <c r="AR82" i="36"/>
  <c r="AQ82" i="36"/>
  <c r="AP82" i="36"/>
  <c r="AO82" i="36"/>
  <c r="AN82" i="36"/>
  <c r="AM82" i="36"/>
  <c r="AL82" i="36"/>
  <c r="AK82" i="36"/>
  <c r="AJ82" i="36"/>
  <c r="E82" i="36"/>
  <c r="F82" i="36"/>
  <c r="G82" i="36"/>
  <c r="H82" i="36"/>
  <c r="I82" i="36"/>
  <c r="J82" i="36"/>
  <c r="K82" i="36"/>
  <c r="L82" i="36"/>
  <c r="M82" i="36"/>
  <c r="N82" i="36"/>
  <c r="O82" i="36"/>
  <c r="P82" i="36"/>
  <c r="Q82" i="36"/>
  <c r="R82" i="36"/>
  <c r="S82" i="36"/>
  <c r="T82" i="36"/>
  <c r="U82" i="36"/>
  <c r="V82" i="36"/>
  <c r="W82" i="36"/>
  <c r="X82" i="36"/>
  <c r="Y82" i="36"/>
  <c r="Z82" i="36"/>
  <c r="AA82" i="36"/>
  <c r="AB82" i="36"/>
  <c r="AC82" i="36"/>
  <c r="AD82" i="36"/>
  <c r="AE82" i="36"/>
  <c r="AF82" i="36"/>
  <c r="AG82" i="36"/>
  <c r="AH82" i="36"/>
  <c r="D82" i="36"/>
  <c r="C20" i="43" l="1"/>
  <c r="X12" i="43" s="1"/>
  <c r="C16" i="43"/>
  <c r="N7" i="43" s="1"/>
  <c r="D42" i="58" s="1"/>
  <c r="T3" i="43"/>
  <c r="CQ75" i="59"/>
  <c r="CS2" i="59"/>
  <c r="CR64" i="59"/>
  <c r="CR73" i="59"/>
  <c r="CR65" i="59"/>
  <c r="CR66" i="59"/>
  <c r="CR67" i="59"/>
  <c r="CR68" i="59"/>
  <c r="CR69" i="59"/>
  <c r="CR70" i="59"/>
  <c r="CR61" i="59"/>
  <c r="CR62" i="59"/>
  <c r="CR63" i="59"/>
  <c r="CR74" i="59"/>
  <c r="CR72" i="59"/>
  <c r="CR71" i="59"/>
  <c r="AA145" i="55"/>
  <c r="BF145" i="55"/>
  <c r="BG139" i="55"/>
  <c r="DS139" i="55" s="1"/>
  <c r="AB139" i="55"/>
  <c r="BH140" i="55"/>
  <c r="DT140" i="55" s="1"/>
  <c r="AC140" i="55"/>
  <c r="BG144" i="55"/>
  <c r="AB144" i="55"/>
  <c r="BG143" i="55"/>
  <c r="DS143" i="55" s="1"/>
  <c r="AB143" i="55"/>
  <c r="BJ147" i="55"/>
  <c r="AE147" i="55"/>
  <c r="BK146" i="55"/>
  <c r="AF146" i="55"/>
  <c r="AA162" i="55"/>
  <c r="BF162" i="55"/>
  <c r="DR162" i="55" s="1"/>
  <c r="AA167" i="55"/>
  <c r="BF167" i="55"/>
  <c r="AF170" i="55"/>
  <c r="BK170" i="55"/>
  <c r="BF164" i="55"/>
  <c r="DR164" i="55" s="1"/>
  <c r="AA164" i="55"/>
  <c r="Z168" i="55"/>
  <c r="BE168" i="55"/>
  <c r="AA165" i="55"/>
  <c r="BF165" i="55"/>
  <c r="DR165" i="55" s="1"/>
  <c r="AA166" i="55"/>
  <c r="BF166" i="55"/>
  <c r="DR166" i="55" s="1"/>
  <c r="AD169" i="55"/>
  <c r="BI169" i="55"/>
  <c r="AB163" i="55"/>
  <c r="BG163" i="55"/>
  <c r="DS163" i="55" s="1"/>
  <c r="CL162" i="55"/>
  <c r="BI124" i="55"/>
  <c r="AD124" i="55"/>
  <c r="Z119" i="55"/>
  <c r="BE119" i="55"/>
  <c r="DQ119" i="55" s="1"/>
  <c r="Z99" i="55"/>
  <c r="BE99" i="55"/>
  <c r="AA98" i="55"/>
  <c r="BF98" i="55"/>
  <c r="BG117" i="55"/>
  <c r="DS117" i="55" s="1"/>
  <c r="AB117" i="55"/>
  <c r="BF75" i="55"/>
  <c r="AA75" i="55"/>
  <c r="CL93" i="55"/>
  <c r="Z76" i="55"/>
  <c r="BE76" i="55"/>
  <c r="AA121" i="55"/>
  <c r="BF121" i="55"/>
  <c r="BF118" i="55"/>
  <c r="DR118" i="55" s="1"/>
  <c r="AA118" i="55"/>
  <c r="BI123" i="55"/>
  <c r="AD123" i="55"/>
  <c r="AA70" i="55"/>
  <c r="BF70" i="55"/>
  <c r="DR70" i="55" s="1"/>
  <c r="CK116" i="55"/>
  <c r="BF120" i="55"/>
  <c r="DR120" i="55" s="1"/>
  <c r="AA120" i="55"/>
  <c r="AA93" i="55"/>
  <c r="BF93" i="55"/>
  <c r="DR93" i="55" s="1"/>
  <c r="AA97" i="55"/>
  <c r="BF97" i="55"/>
  <c r="DR97" i="55" s="1"/>
  <c r="AB71" i="55"/>
  <c r="BG71" i="55"/>
  <c r="DS71" i="55" s="1"/>
  <c r="AA122" i="55"/>
  <c r="BF122" i="55"/>
  <c r="CL70" i="55"/>
  <c r="AA116" i="55"/>
  <c r="BF116" i="55"/>
  <c r="DR116" i="55" s="1"/>
  <c r="BG94" i="55"/>
  <c r="DS94" i="55" s="1"/>
  <c r="AB94" i="55"/>
  <c r="BF74" i="55"/>
  <c r="DR74" i="55" s="1"/>
  <c r="AA74" i="55"/>
  <c r="AE100" i="55"/>
  <c r="BJ100" i="55"/>
  <c r="AD101" i="55"/>
  <c r="BI101" i="55"/>
  <c r="CN97" i="55"/>
  <c r="AD78" i="55"/>
  <c r="BI78" i="55"/>
  <c r="AE77" i="55"/>
  <c r="BJ77" i="55"/>
  <c r="AA49" i="55"/>
  <c r="BF49" i="55"/>
  <c r="DR49" i="55" s="1"/>
  <c r="BE50" i="55"/>
  <c r="DQ50" i="55" s="1"/>
  <c r="Z50" i="55"/>
  <c r="AB48" i="55"/>
  <c r="BG48" i="55"/>
  <c r="DS48" i="55" s="1"/>
  <c r="AA51" i="55"/>
  <c r="BF51" i="55"/>
  <c r="DR51" i="55" s="1"/>
  <c r="AA52" i="55"/>
  <c r="BF52" i="55"/>
  <c r="BF53" i="55"/>
  <c r="AA53" i="55"/>
  <c r="AA47" i="55"/>
  <c r="BF47" i="55"/>
  <c r="DR47" i="55" s="1"/>
  <c r="BJ54" i="55"/>
  <c r="AE54" i="55"/>
  <c r="AE55" i="55"/>
  <c r="BJ55" i="55"/>
  <c r="AC25" i="55"/>
  <c r="BH25" i="55"/>
  <c r="DT25" i="55" s="1"/>
  <c r="AB28" i="55"/>
  <c r="BG28" i="55"/>
  <c r="DS28" i="55" s="1"/>
  <c r="AB29" i="55"/>
  <c r="BG29" i="55"/>
  <c r="AC31" i="55"/>
  <c r="BH31" i="55"/>
  <c r="CM24" i="55"/>
  <c r="AA30" i="55"/>
  <c r="BF30" i="55"/>
  <c r="AC32" i="55"/>
  <c r="BH32" i="55"/>
  <c r="AB24" i="55"/>
  <c r="BH24" i="55" s="1"/>
  <c r="DT24" i="55" s="1"/>
  <c r="AA204" i="55"/>
  <c r="AA205" i="55" s="1"/>
  <c r="AB3" i="55"/>
  <c r="AB247" i="53"/>
  <c r="X97" i="53"/>
  <c r="Z171" i="54"/>
  <c r="Y184" i="54"/>
  <c r="AA181" i="54"/>
  <c r="W97" i="54"/>
  <c r="W101" i="54"/>
  <c r="W102" i="54" s="1"/>
  <c r="W96" i="54"/>
  <c r="W95" i="54"/>
  <c r="Y193" i="54"/>
  <c r="Y85" i="54"/>
  <c r="X86" i="54"/>
  <c r="X88" i="54" s="1"/>
  <c r="X87" i="54"/>
  <c r="X100" i="54" s="1"/>
  <c r="Y187" i="54"/>
  <c r="Z90" i="54"/>
  <c r="Y93" i="54"/>
  <c r="Y194" i="54"/>
  <c r="X258" i="54"/>
  <c r="Y178" i="54"/>
  <c r="X179" i="54"/>
  <c r="X259" i="54" s="1"/>
  <c r="Y180" i="54"/>
  <c r="Y175" i="54"/>
  <c r="Z174" i="54"/>
  <c r="Z196" i="54"/>
  <c r="Z186" i="54"/>
  <c r="Z92" i="54"/>
  <c r="Y191" i="54"/>
  <c r="Y173" i="54"/>
  <c r="Z172" i="54"/>
  <c r="AB192" i="54"/>
  <c r="Z185" i="54"/>
  <c r="Z170" i="54"/>
  <c r="AA123" i="54"/>
  <c r="Z125" i="54"/>
  <c r="Z127" i="54"/>
  <c r="V105" i="54"/>
  <c r="V104" i="54"/>
  <c r="V103" i="54"/>
  <c r="Z91" i="54"/>
  <c r="Y195" i="54"/>
  <c r="AA191" i="53"/>
  <c r="AA181" i="53"/>
  <c r="Z171" i="53"/>
  <c r="Y95" i="53"/>
  <c r="Z90" i="53"/>
  <c r="X258" i="53"/>
  <c r="Y178" i="53"/>
  <c r="X179" i="53"/>
  <c r="X259" i="53" s="1"/>
  <c r="Z187" i="53"/>
  <c r="Y170" i="53"/>
  <c r="AA174" i="53"/>
  <c r="Y175" i="53"/>
  <c r="AA194" i="53"/>
  <c r="AA173" i="53"/>
  <c r="Y193" i="53"/>
  <c r="AA91" i="53"/>
  <c r="Z195" i="53"/>
  <c r="Z186" i="53"/>
  <c r="Y185" i="53"/>
  <c r="Y96" i="53"/>
  <c r="Z172" i="53"/>
  <c r="Y184" i="53"/>
  <c r="Y180" i="53"/>
  <c r="Z118" i="53"/>
  <c r="Y119" i="53"/>
  <c r="Y121" i="53" s="1"/>
  <c r="Y128" i="53" s="1"/>
  <c r="Y120" i="53"/>
  <c r="Y196" i="53"/>
  <c r="Z86" i="53"/>
  <c r="Z88" i="53" s="1"/>
  <c r="AA85" i="53"/>
  <c r="Z87" i="53"/>
  <c r="X127" i="53"/>
  <c r="Y192" i="53"/>
  <c r="Z123" i="53"/>
  <c r="Y125" i="53"/>
  <c r="Y92" i="53"/>
  <c r="AA3" i="51"/>
  <c r="X45" i="51"/>
  <c r="BC45" i="51"/>
  <c r="T19" i="43"/>
  <c r="T17" i="43"/>
  <c r="J6" i="45" s="1"/>
  <c r="T16" i="43"/>
  <c r="J5" i="45" s="1"/>
  <c r="T21" i="43"/>
  <c r="T20" i="43"/>
  <c r="AH17" i="43"/>
  <c r="AH19" i="43"/>
  <c r="AH16" i="43"/>
  <c r="X5" i="45" s="1"/>
  <c r="AH21" i="43"/>
  <c r="AH20" i="43"/>
  <c r="AM16" i="43"/>
  <c r="AC5" i="45" s="1"/>
  <c r="AM21" i="43"/>
  <c r="AM20" i="43"/>
  <c r="AM19" i="43"/>
  <c r="AM17" i="43"/>
  <c r="AT3" i="43"/>
  <c r="L77" i="44" s="1"/>
  <c r="AR19" i="43"/>
  <c r="AR21" i="43"/>
  <c r="AR20" i="43"/>
  <c r="AR17" i="43"/>
  <c r="AH6" i="45" s="1"/>
  <c r="AR16" i="43"/>
  <c r="AH5" i="45" s="1"/>
  <c r="S19" i="43"/>
  <c r="S17" i="43"/>
  <c r="S16" i="43"/>
  <c r="I5" i="45" s="1"/>
  <c r="S21" i="43"/>
  <c r="S20" i="43"/>
  <c r="X16" i="43"/>
  <c r="N5" i="45" s="1"/>
  <c r="X21" i="43"/>
  <c r="X20" i="43"/>
  <c r="X19" i="43"/>
  <c r="X17" i="43"/>
  <c r="N6" i="45" s="1"/>
  <c r="Y3" i="43"/>
  <c r="AC20" i="43"/>
  <c r="AC19" i="43"/>
  <c r="AC17" i="43"/>
  <c r="AC16" i="43"/>
  <c r="S5" i="45" s="1"/>
  <c r="AC21" i="43"/>
  <c r="R298" i="48"/>
  <c r="Q136" i="48"/>
  <c r="Q137" i="48"/>
  <c r="Q135" i="48"/>
  <c r="T290" i="48"/>
  <c r="S291" i="48"/>
  <c r="S308" i="48"/>
  <c r="S283" i="48"/>
  <c r="S125" i="48"/>
  <c r="R126" i="48"/>
  <c r="R128" i="48" s="1"/>
  <c r="R127" i="48"/>
  <c r="R286" i="48"/>
  <c r="R282" i="48"/>
  <c r="S306" i="48"/>
  <c r="R307" i="48"/>
  <c r="R299" i="48"/>
  <c r="R303" i="48"/>
  <c r="S297" i="48"/>
  <c r="S304" i="48"/>
  <c r="R191" i="48"/>
  <c r="R193" i="48" s="1"/>
  <c r="R200" i="48" s="1"/>
  <c r="R370" i="48" s="1"/>
  <c r="S190" i="48"/>
  <c r="R192" i="48"/>
  <c r="S287" i="48"/>
  <c r="R305" i="48"/>
  <c r="S131" i="48"/>
  <c r="S293" i="48"/>
  <c r="R284" i="48"/>
  <c r="T292" i="48"/>
  <c r="Q199" i="48"/>
  <c r="R195" i="48"/>
  <c r="Q197" i="48"/>
  <c r="U296" i="48"/>
  <c r="S359" i="48"/>
  <c r="T130" i="48"/>
  <c r="S132" i="48"/>
  <c r="S285" i="48"/>
  <c r="S190" i="46"/>
  <c r="R191" i="46"/>
  <c r="R193" i="46" s="1"/>
  <c r="R200" i="46" s="1"/>
  <c r="R370" i="46" s="1"/>
  <c r="R192" i="46"/>
  <c r="S308" i="46"/>
  <c r="T283" i="46"/>
  <c r="S290" i="46"/>
  <c r="R291" i="46"/>
  <c r="S307" i="46"/>
  <c r="S282" i="46"/>
  <c r="S303" i="46"/>
  <c r="R286" i="46"/>
  <c r="S299" i="46"/>
  <c r="R292" i="46"/>
  <c r="S306" i="46"/>
  <c r="U287" i="46"/>
  <c r="S284" i="46"/>
  <c r="R305" i="46"/>
  <c r="Q136" i="46"/>
  <c r="Q137" i="46"/>
  <c r="Q197" i="46"/>
  <c r="Q199" i="46"/>
  <c r="R195" i="46"/>
  <c r="U131" i="46"/>
  <c r="R304" i="46"/>
  <c r="T298" i="46"/>
  <c r="R293" i="46"/>
  <c r="R126" i="46"/>
  <c r="R128" i="46" s="1"/>
  <c r="R135" i="46" s="1"/>
  <c r="S125" i="46"/>
  <c r="R127" i="46"/>
  <c r="R297" i="46"/>
  <c r="R296" i="46"/>
  <c r="R132" i="46"/>
  <c r="S130" i="46"/>
  <c r="S285" i="46"/>
  <c r="Q371" i="46"/>
  <c r="K7" i="44"/>
  <c r="AH4" i="45"/>
  <c r="J4" i="45"/>
  <c r="I4" i="45"/>
  <c r="X4" i="45"/>
  <c r="S4" i="45"/>
  <c r="N4" i="45"/>
  <c r="AC4" i="45"/>
  <c r="M3" i="45"/>
  <c r="N12" i="43"/>
  <c r="AG7" i="44" s="1"/>
  <c r="AG6" i="44" s="1"/>
  <c r="AD3" i="43"/>
  <c r="Y12" i="43"/>
  <c r="T12" i="43"/>
  <c r="AH12" i="43"/>
  <c r="AC12" i="43"/>
  <c r="AN3" i="43"/>
  <c r="AM12" i="43"/>
  <c r="AR12" i="43"/>
  <c r="U3" i="43"/>
  <c r="AI3" i="43"/>
  <c r="S12" i="43"/>
  <c r="G39" i="44"/>
  <c r="H37" i="44" s="1"/>
  <c r="C30" i="44"/>
  <c r="C19" i="44"/>
  <c r="C40" i="44"/>
  <c r="D39" i="44" s="1"/>
  <c r="R19" i="44"/>
  <c r="Z15" i="44"/>
  <c r="Z16" i="44" s="1"/>
  <c r="C14" i="44"/>
  <c r="K8" i="44"/>
  <c r="D60" i="44"/>
  <c r="C19" i="43"/>
  <c r="AR11" i="43" s="1"/>
  <c r="C17" i="43"/>
  <c r="N8" i="43" s="1"/>
  <c r="D47" i="58" s="1"/>
  <c r="C18" i="43"/>
  <c r="AR10" i="43" s="1"/>
  <c r="I12" i="43"/>
  <c r="E12" i="43"/>
  <c r="H12" i="43"/>
  <c r="C12" i="43"/>
  <c r="G12" i="43"/>
  <c r="B12" i="43"/>
  <c r="J12" i="43"/>
  <c r="F12" i="43"/>
  <c r="AR7" i="43" l="1"/>
  <c r="AH42" i="58" s="1"/>
  <c r="S133" i="48"/>
  <c r="D6" i="61"/>
  <c r="AJ47" i="58"/>
  <c r="B6" i="60"/>
  <c r="O6" i="44"/>
  <c r="M7" i="44"/>
  <c r="S6" i="45"/>
  <c r="AY6" i="45" s="1"/>
  <c r="AG4" i="44"/>
  <c r="I6" i="45"/>
  <c r="AO6" i="45" s="1"/>
  <c r="AC6" i="45"/>
  <c r="BI6" i="45" s="1"/>
  <c r="E5" i="61"/>
  <c r="BN42" i="58"/>
  <c r="X18" i="43"/>
  <c r="N7" i="45" s="1"/>
  <c r="X6" i="45"/>
  <c r="BD6" i="45" s="1"/>
  <c r="D5" i="61"/>
  <c r="B7" i="60"/>
  <c r="AJ42" i="58"/>
  <c r="H38" i="44"/>
  <c r="CT2" i="59"/>
  <c r="CS64" i="59"/>
  <c r="CS73" i="59"/>
  <c r="CS65" i="59"/>
  <c r="CS66" i="59"/>
  <c r="CS67" i="59"/>
  <c r="CS68" i="59"/>
  <c r="CS69" i="59"/>
  <c r="CS61" i="59"/>
  <c r="CS70" i="59"/>
  <c r="CS62" i="59"/>
  <c r="CS63" i="59"/>
  <c r="CS74" i="59"/>
  <c r="CS72" i="59"/>
  <c r="CS71" i="59"/>
  <c r="CR75" i="59"/>
  <c r="BI140" i="55"/>
  <c r="DU140" i="55" s="1"/>
  <c r="AD140" i="55"/>
  <c r="AC139" i="55"/>
  <c r="BH139" i="55"/>
  <c r="DT139" i="55" s="1"/>
  <c r="AC143" i="55"/>
  <c r="BH143" i="55"/>
  <c r="DT143" i="55" s="1"/>
  <c r="BH144" i="55"/>
  <c r="AC144" i="55"/>
  <c r="BG145" i="55"/>
  <c r="AB145" i="55"/>
  <c r="BK147" i="55"/>
  <c r="AF147" i="55"/>
  <c r="AG146" i="55"/>
  <c r="BM146" i="55" s="1"/>
  <c r="BL146" i="55"/>
  <c r="AC163" i="55"/>
  <c r="BH163" i="55"/>
  <c r="DT163" i="55" s="1"/>
  <c r="AB165" i="55"/>
  <c r="BG165" i="55"/>
  <c r="DS165" i="55" s="1"/>
  <c r="BJ169" i="55"/>
  <c r="AE169" i="55"/>
  <c r="BF168" i="55"/>
  <c r="AA168" i="55"/>
  <c r="AB167" i="55"/>
  <c r="BG167" i="55"/>
  <c r="BG164" i="55"/>
  <c r="DS164" i="55" s="1"/>
  <c r="AB164" i="55"/>
  <c r="AB166" i="55"/>
  <c r="BG166" i="55"/>
  <c r="DS166" i="55" s="1"/>
  <c r="BG162" i="55"/>
  <c r="DS162" i="55" s="1"/>
  <c r="AB162" i="55"/>
  <c r="CM162" i="55"/>
  <c r="AG170" i="55"/>
  <c r="BM170" i="55" s="1"/>
  <c r="BL170" i="55"/>
  <c r="AE124" i="55"/>
  <c r="BJ124" i="55"/>
  <c r="BH71" i="55"/>
  <c r="DT71" i="55" s="1"/>
  <c r="AC71" i="55"/>
  <c r="CL116" i="55"/>
  <c r="BH94" i="55"/>
  <c r="DT94" i="55" s="1"/>
  <c r="AC94" i="55"/>
  <c r="CM93" i="55"/>
  <c r="CM70" i="55"/>
  <c r="AB97" i="55"/>
  <c r="BG97" i="55"/>
  <c r="DS97" i="55" s="1"/>
  <c r="BG118" i="55"/>
  <c r="DS118" i="55" s="1"/>
  <c r="AB118" i="55"/>
  <c r="AB75" i="55"/>
  <c r="BG75" i="55"/>
  <c r="AB70" i="55"/>
  <c r="BG70" i="55"/>
  <c r="DS70" i="55" s="1"/>
  <c r="AB98" i="55"/>
  <c r="BG98" i="55"/>
  <c r="BG116" i="55"/>
  <c r="DS116" i="55" s="1"/>
  <c r="AB116" i="55"/>
  <c r="AC117" i="55"/>
  <c r="BH117" i="55"/>
  <c r="DT117" i="55" s="1"/>
  <c r="AB93" i="55"/>
  <c r="BG93" i="55"/>
  <c r="DS93" i="55" s="1"/>
  <c r="BG121" i="55"/>
  <c r="AB121" i="55"/>
  <c r="AA99" i="55"/>
  <c r="BF99" i="55"/>
  <c r="BG122" i="55"/>
  <c r="AB122" i="55"/>
  <c r="BG120" i="55"/>
  <c r="DS120" i="55" s="1"/>
  <c r="AB120" i="55"/>
  <c r="AB74" i="55"/>
  <c r="BG74" i="55"/>
  <c r="DS74" i="55" s="1"/>
  <c r="AE123" i="55"/>
  <c r="BJ123" i="55"/>
  <c r="AA76" i="55"/>
  <c r="BF76" i="55"/>
  <c r="AA119" i="55"/>
  <c r="BF119" i="55"/>
  <c r="DR119" i="55" s="1"/>
  <c r="AE101" i="55"/>
  <c r="BJ101" i="55"/>
  <c r="BK100" i="55"/>
  <c r="AF100" i="55"/>
  <c r="CO97" i="55"/>
  <c r="BK77" i="55"/>
  <c r="AF77" i="55"/>
  <c r="AE78" i="55"/>
  <c r="BJ78" i="55"/>
  <c r="BG47" i="55"/>
  <c r="DS47" i="55" s="1"/>
  <c r="AB47" i="55"/>
  <c r="BF50" i="55"/>
  <c r="DR50" i="55" s="1"/>
  <c r="AA50" i="55"/>
  <c r="AB51" i="55"/>
  <c r="BG51" i="55"/>
  <c r="DS51" i="55" s="1"/>
  <c r="AB49" i="55"/>
  <c r="BG49" i="55"/>
  <c r="DS49" i="55" s="1"/>
  <c r="BG53" i="55"/>
  <c r="AB53" i="55"/>
  <c r="BH48" i="55"/>
  <c r="DT48" i="55" s="1"/>
  <c r="AC48" i="55"/>
  <c r="AB52" i="55"/>
  <c r="BG52" i="55"/>
  <c r="AF55" i="55"/>
  <c r="BK55" i="55"/>
  <c r="BK54" i="55"/>
  <c r="AF54" i="55"/>
  <c r="AC28" i="55"/>
  <c r="BH28" i="55"/>
  <c r="DT28" i="55" s="1"/>
  <c r="AD32" i="55"/>
  <c r="BI32" i="55"/>
  <c r="AB30" i="55"/>
  <c r="BG30" i="55"/>
  <c r="CN24" i="55"/>
  <c r="AD25" i="55"/>
  <c r="BI25" i="55"/>
  <c r="DU25" i="55" s="1"/>
  <c r="AD31" i="55"/>
  <c r="BI31" i="55"/>
  <c r="AC29" i="55"/>
  <c r="BH29" i="55"/>
  <c r="AC24" i="55"/>
  <c r="BI24" i="55" s="1"/>
  <c r="DU24" i="55" s="1"/>
  <c r="AB204" i="55"/>
  <c r="AB205" i="55" s="1"/>
  <c r="AC3" i="55"/>
  <c r="BD4" i="45"/>
  <c r="W5" i="52"/>
  <c r="AO4" i="45"/>
  <c r="H5" i="52"/>
  <c r="AP4" i="45"/>
  <c r="I5" i="52"/>
  <c r="CA21" i="45"/>
  <c r="AG5" i="52"/>
  <c r="BI4" i="45"/>
  <c r="AB5" i="52"/>
  <c r="AT4" i="45"/>
  <c r="M5" i="52"/>
  <c r="AY4" i="45"/>
  <c r="R5" i="52"/>
  <c r="AC247" i="53"/>
  <c r="Z180" i="54"/>
  <c r="AA91" i="54"/>
  <c r="AA196" i="54"/>
  <c r="Z193" i="54"/>
  <c r="AB181" i="54"/>
  <c r="Z184" i="54"/>
  <c r="AB123" i="54"/>
  <c r="AA125" i="54"/>
  <c r="AA127" i="54"/>
  <c r="AC192" i="54"/>
  <c r="Z173" i="54"/>
  <c r="AA170" i="54"/>
  <c r="AA174" i="54"/>
  <c r="Y258" i="54"/>
  <c r="Z178" i="54"/>
  <c r="Y179" i="54"/>
  <c r="Y259" i="54" s="1"/>
  <c r="Z175" i="54"/>
  <c r="Z93" i="54"/>
  <c r="AA90" i="54"/>
  <c r="AA171" i="54"/>
  <c r="W105" i="54"/>
  <c r="W103" i="54"/>
  <c r="W104" i="54"/>
  <c r="AA185" i="54"/>
  <c r="Z191" i="54"/>
  <c r="Z187" i="54"/>
  <c r="X96" i="54"/>
  <c r="X97" i="54"/>
  <c r="X101" i="54"/>
  <c r="X95" i="54"/>
  <c r="Z195" i="54"/>
  <c r="AA172" i="54"/>
  <c r="AA92" i="54"/>
  <c r="AA186" i="54"/>
  <c r="Z194" i="54"/>
  <c r="Z85" i="54"/>
  <c r="Y86" i="54"/>
  <c r="Y88" i="54" s="1"/>
  <c r="Y87" i="54"/>
  <c r="Y100" i="54" s="1"/>
  <c r="Y127" i="53"/>
  <c r="Z180" i="53"/>
  <c r="AB91" i="53"/>
  <c r="AB194" i="53"/>
  <c r="AB181" i="53"/>
  <c r="AB191" i="53"/>
  <c r="Z119" i="53"/>
  <c r="Z121" i="53" s="1"/>
  <c r="Z128" i="53" s="1"/>
  <c r="AA118" i="53"/>
  <c r="Z120" i="53"/>
  <c r="Z185" i="53"/>
  <c r="Z170" i="53"/>
  <c r="Z92" i="53"/>
  <c r="Z97" i="53" s="1"/>
  <c r="AA186" i="53"/>
  <c r="Z175" i="53"/>
  <c r="Y93" i="53"/>
  <c r="AA171" i="53"/>
  <c r="AB85" i="53"/>
  <c r="AA86" i="53"/>
  <c r="AA88" i="53" s="1"/>
  <c r="AA87" i="53"/>
  <c r="AA172" i="53"/>
  <c r="AB173" i="53"/>
  <c r="AA187" i="53"/>
  <c r="Z95" i="53"/>
  <c r="AA90" i="53"/>
  <c r="Z192" i="53"/>
  <c r="Z96" i="53"/>
  <c r="Z184" i="53"/>
  <c r="AB174" i="53"/>
  <c r="Z196" i="53"/>
  <c r="AA123" i="53"/>
  <c r="Z125" i="53"/>
  <c r="Y258" i="53"/>
  <c r="Y179" i="53"/>
  <c r="Y259" i="53" s="1"/>
  <c r="Z178" i="53"/>
  <c r="Y97" i="53"/>
  <c r="AA195" i="53"/>
  <c r="Z193" i="53"/>
  <c r="BD45" i="51"/>
  <c r="AB3" i="51"/>
  <c r="Y45" i="51"/>
  <c r="Y17" i="43"/>
  <c r="Y16" i="43"/>
  <c r="O5" i="45" s="1"/>
  <c r="Y21" i="43"/>
  <c r="Y20" i="43"/>
  <c r="Y19" i="43"/>
  <c r="I13" i="45"/>
  <c r="AO13" i="45" s="1"/>
  <c r="AO5" i="45"/>
  <c r="L96" i="44"/>
  <c r="L85" i="44"/>
  <c r="L73" i="44"/>
  <c r="L95" i="44"/>
  <c r="L84" i="44"/>
  <c r="L74" i="44"/>
  <c r="L94" i="44"/>
  <c r="L83" i="44"/>
  <c r="L75" i="44"/>
  <c r="L93" i="44"/>
  <c r="L82" i="44"/>
  <c r="L76" i="44"/>
  <c r="L92" i="44"/>
  <c r="L81" i="44"/>
  <c r="F5" i="4" s="1"/>
  <c r="L70" i="44"/>
  <c r="L91" i="44"/>
  <c r="G5" i="4" s="1"/>
  <c r="L80" i="44"/>
  <c r="L90" i="44"/>
  <c r="L71" i="44"/>
  <c r="E5" i="4" s="1"/>
  <c r="L87" i="44"/>
  <c r="L97" i="44" s="1"/>
  <c r="L86" i="44"/>
  <c r="L72" i="44"/>
  <c r="BD5" i="45"/>
  <c r="X13" i="45"/>
  <c r="BD13" i="45" s="1"/>
  <c r="AI19" i="43"/>
  <c r="AI17" i="43"/>
  <c r="AI16" i="43"/>
  <c r="Y5" i="45" s="1"/>
  <c r="AI21" i="43"/>
  <c r="AI20" i="43"/>
  <c r="X22" i="43"/>
  <c r="AT6" i="45"/>
  <c r="U20" i="43"/>
  <c r="U19" i="43"/>
  <c r="U17" i="43"/>
  <c r="U16" i="43"/>
  <c r="K5" i="45" s="1"/>
  <c r="U21" i="43"/>
  <c r="AD20" i="43"/>
  <c r="AD16" i="43"/>
  <c r="T5" i="45" s="1"/>
  <c r="AD19" i="43"/>
  <c r="AD21" i="43"/>
  <c r="AD17" i="43"/>
  <c r="AT7" i="45"/>
  <c r="N15" i="45"/>
  <c r="AT15" i="45" s="1"/>
  <c r="BN5" i="45"/>
  <c r="AH13" i="45"/>
  <c r="BN13" i="45" s="1"/>
  <c r="AM18" i="43"/>
  <c r="AC7" i="45" s="1"/>
  <c r="Z3" i="43"/>
  <c r="BN6" i="45"/>
  <c r="AN16" i="43"/>
  <c r="AD5" i="45" s="1"/>
  <c r="AN21" i="43"/>
  <c r="AN17" i="43"/>
  <c r="AD6" i="45" s="1"/>
  <c r="AN20" i="43"/>
  <c r="AN19" i="43"/>
  <c r="O4" i="45"/>
  <c r="AT5" i="45"/>
  <c r="N13" i="45"/>
  <c r="AT13" i="45" s="1"/>
  <c r="AC13" i="45"/>
  <c r="BI13" i="45" s="1"/>
  <c r="BI5" i="45"/>
  <c r="AP5" i="45"/>
  <c r="J13" i="45"/>
  <c r="AP13" i="45" s="1"/>
  <c r="AC18" i="43"/>
  <c r="S7" i="45" s="1"/>
  <c r="S18" i="43"/>
  <c r="I7" i="45" s="1"/>
  <c r="AH18" i="43"/>
  <c r="X7" i="45" s="1"/>
  <c r="AP6" i="45"/>
  <c r="AR18" i="43"/>
  <c r="AH7" i="45" s="1"/>
  <c r="T18" i="43"/>
  <c r="J7" i="45" s="1"/>
  <c r="T132" i="48"/>
  <c r="U292" i="48"/>
  <c r="T293" i="48"/>
  <c r="S305" i="48"/>
  <c r="T190" i="48"/>
  <c r="S191" i="48"/>
  <c r="S193" i="48" s="1"/>
  <c r="S200" i="48" s="1"/>
  <c r="S370" i="48" s="1"/>
  <c r="S192" i="48"/>
  <c r="T297" i="48"/>
  <c r="S303" i="48"/>
  <c r="S307" i="48"/>
  <c r="T306" i="48"/>
  <c r="R136" i="48"/>
  <c r="R137" i="48"/>
  <c r="R135" i="48"/>
  <c r="U130" i="48"/>
  <c r="S286" i="48"/>
  <c r="S126" i="48"/>
  <c r="S128" i="48" s="1"/>
  <c r="T125" i="48"/>
  <c r="S127" i="48"/>
  <c r="T285" i="48"/>
  <c r="V296" i="48"/>
  <c r="R197" i="48"/>
  <c r="R199" i="48"/>
  <c r="S195" i="48"/>
  <c r="S284" i="48"/>
  <c r="T131" i="48"/>
  <c r="T133" i="48" s="1"/>
  <c r="T287" i="48"/>
  <c r="T304" i="48"/>
  <c r="S299" i="48"/>
  <c r="T283" i="48"/>
  <c r="T359" i="48"/>
  <c r="R371" i="48"/>
  <c r="S282" i="48"/>
  <c r="T308" i="48"/>
  <c r="T291" i="48"/>
  <c r="U290" i="48"/>
  <c r="S298" i="48"/>
  <c r="R371" i="46"/>
  <c r="T130" i="46"/>
  <c r="R136" i="46"/>
  <c r="R137" i="46"/>
  <c r="S304" i="46"/>
  <c r="T307" i="46"/>
  <c r="T308" i="46"/>
  <c r="S191" i="46"/>
  <c r="S193" i="46" s="1"/>
  <c r="S200" i="46" s="1"/>
  <c r="T190" i="46"/>
  <c r="S192" i="46"/>
  <c r="S132" i="46"/>
  <c r="S293" i="46"/>
  <c r="S305" i="46"/>
  <c r="T284" i="46"/>
  <c r="T306" i="46"/>
  <c r="T299" i="46"/>
  <c r="S286" i="46"/>
  <c r="R133" i="46"/>
  <c r="V131" i="46"/>
  <c r="R197" i="46"/>
  <c r="R199" i="46"/>
  <c r="S195" i="46"/>
  <c r="T282" i="46"/>
  <c r="U283" i="46"/>
  <c r="T285" i="46"/>
  <c r="S296" i="46"/>
  <c r="S297" i="46"/>
  <c r="S126" i="46"/>
  <c r="S128" i="46" s="1"/>
  <c r="T125" i="46"/>
  <c r="S127" i="46"/>
  <c r="U298" i="46"/>
  <c r="V287" i="46"/>
  <c r="S292" i="46"/>
  <c r="T303" i="46"/>
  <c r="S370" i="46"/>
  <c r="S291" i="46"/>
  <c r="T290" i="46"/>
  <c r="K34" i="44"/>
  <c r="K35" i="44" s="1"/>
  <c r="D22" i="44" s="1"/>
  <c r="D28" i="44" s="1"/>
  <c r="H8" i="43"/>
  <c r="AM7" i="43"/>
  <c r="AC42" i="58" s="1"/>
  <c r="BI42" i="58" s="1"/>
  <c r="CO42" i="58" s="1"/>
  <c r="CO43" i="58" s="1"/>
  <c r="AM10" i="43"/>
  <c r="S10" i="43"/>
  <c r="AR9" i="43"/>
  <c r="AH52" i="58" s="1"/>
  <c r="Y4" i="45"/>
  <c r="AI10" i="43"/>
  <c r="Y11" i="43"/>
  <c r="AH10" i="43"/>
  <c r="Y10" i="43"/>
  <c r="C11" i="43"/>
  <c r="AD4" i="45"/>
  <c r="AN10" i="43"/>
  <c r="C21" i="43"/>
  <c r="F8" i="43"/>
  <c r="Y7" i="43"/>
  <c r="O42" i="58" s="1"/>
  <c r="AU42" i="58" s="1"/>
  <c r="CA42" i="58" s="1"/>
  <c r="CA43" i="58" s="1"/>
  <c r="AR8" i="43"/>
  <c r="AH47" i="58" s="1"/>
  <c r="T4" i="45"/>
  <c r="AD10" i="43"/>
  <c r="P4" i="45"/>
  <c r="Z10" i="43"/>
  <c r="AC10" i="43"/>
  <c r="BS20" i="45"/>
  <c r="BN4" i="45"/>
  <c r="J11" i="43"/>
  <c r="K4" i="45"/>
  <c r="U10" i="43"/>
  <c r="N10" i="43"/>
  <c r="T5" i="44" s="1"/>
  <c r="O10" i="43"/>
  <c r="P10" i="43"/>
  <c r="X10" i="43"/>
  <c r="T10" i="43"/>
  <c r="N3" i="45"/>
  <c r="AJ3" i="43"/>
  <c r="AI7" i="43"/>
  <c r="Y42" i="58" s="1"/>
  <c r="BE42" i="58" s="1"/>
  <c r="CK42" i="58" s="1"/>
  <c r="CK43" i="58" s="1"/>
  <c r="AI12" i="43"/>
  <c r="AI8" i="43"/>
  <c r="Y47" i="58" s="1"/>
  <c r="BE47" i="58" s="1"/>
  <c r="CK47" i="58" s="1"/>
  <c r="CK48" i="58" s="1"/>
  <c r="AI11" i="43"/>
  <c r="AE3" i="43"/>
  <c r="AD8" i="43"/>
  <c r="T47" i="58" s="1"/>
  <c r="AZ47" i="58" s="1"/>
  <c r="CF47" i="58" s="1"/>
  <c r="CF48" i="58" s="1"/>
  <c r="AD11" i="43"/>
  <c r="AD7" i="43"/>
  <c r="T42" i="58" s="1"/>
  <c r="AZ42" i="58" s="1"/>
  <c r="CF42" i="58" s="1"/>
  <c r="CF43" i="58" s="1"/>
  <c r="AD12" i="43"/>
  <c r="AH7" i="43"/>
  <c r="X42" i="58" s="1"/>
  <c r="BD42" i="58" s="1"/>
  <c r="CJ42" i="58" s="1"/>
  <c r="CJ43" i="58" s="1"/>
  <c r="AC7" i="43"/>
  <c r="S42" i="58" s="1"/>
  <c r="AY42" i="58" s="1"/>
  <c r="CE42" i="58" s="1"/>
  <c r="CE43" i="58" s="1"/>
  <c r="I8" i="43"/>
  <c r="AH8" i="43"/>
  <c r="X47" i="58" s="1"/>
  <c r="BD47" i="58" s="1"/>
  <c r="CJ47" i="58" s="1"/>
  <c r="CJ48" i="58" s="1"/>
  <c r="S8" i="43"/>
  <c r="I47" i="58" s="1"/>
  <c r="AO47" i="58" s="1"/>
  <c r="BU47" i="58" s="1"/>
  <c r="BU48" i="58" s="1"/>
  <c r="AM8" i="43"/>
  <c r="AC47" i="58" s="1"/>
  <c r="BI47" i="58" s="1"/>
  <c r="CO47" i="58" s="1"/>
  <c r="CO48" i="58" s="1"/>
  <c r="S7" i="43"/>
  <c r="I42" i="58" s="1"/>
  <c r="AO42" i="58" s="1"/>
  <c r="BU42" i="58" s="1"/>
  <c r="BU43" i="58" s="1"/>
  <c r="V3" i="43"/>
  <c r="U8" i="43"/>
  <c r="K47" i="58" s="1"/>
  <c r="AQ47" i="58" s="1"/>
  <c r="BW47" i="58" s="1"/>
  <c r="BW48" i="58" s="1"/>
  <c r="U11" i="43"/>
  <c r="U7" i="43"/>
  <c r="K42" i="58" s="1"/>
  <c r="AQ42" i="58" s="1"/>
  <c r="BW42" i="58" s="1"/>
  <c r="BW43" i="58" s="1"/>
  <c r="U12" i="43"/>
  <c r="AO3" i="43"/>
  <c r="AN7" i="43"/>
  <c r="AD42" i="58" s="1"/>
  <c r="BJ42" i="58" s="1"/>
  <c r="CP42" i="58" s="1"/>
  <c r="CP43" i="58" s="1"/>
  <c r="AN8" i="43"/>
  <c r="AD47" i="58" s="1"/>
  <c r="BJ47" i="58" s="1"/>
  <c r="CP47" i="58" s="1"/>
  <c r="CP48" i="58" s="1"/>
  <c r="AN12" i="43"/>
  <c r="AN11" i="43"/>
  <c r="O7" i="43"/>
  <c r="E42" i="58" s="1"/>
  <c r="AK42" i="58" s="1"/>
  <c r="BQ42" i="58" s="1"/>
  <c r="BQ43" i="58" s="1"/>
  <c r="O12" i="43"/>
  <c r="O11" i="43"/>
  <c r="O8" i="43"/>
  <c r="E47" i="58" s="1"/>
  <c r="AK47" i="58" s="1"/>
  <c r="BQ47" i="58" s="1"/>
  <c r="BQ48" i="58" s="1"/>
  <c r="T7" i="43"/>
  <c r="J42" i="58" s="1"/>
  <c r="AP42" i="58" s="1"/>
  <c r="BV42" i="58" s="1"/>
  <c r="BV43" i="58" s="1"/>
  <c r="G8" i="43"/>
  <c r="I11" i="43"/>
  <c r="AH11" i="43"/>
  <c r="X11" i="43"/>
  <c r="AM11" i="43"/>
  <c r="AM9" i="43" s="1"/>
  <c r="AC52" i="58" s="1"/>
  <c r="BI52" i="58" s="1"/>
  <c r="CO52" i="58" s="1"/>
  <c r="CO53" i="58" s="1"/>
  <c r="S11" i="43"/>
  <c r="G47" i="44"/>
  <c r="X8" i="43"/>
  <c r="N47" i="58" s="1"/>
  <c r="AT47" i="58" s="1"/>
  <c r="BZ47" i="58" s="1"/>
  <c r="BZ48" i="58" s="1"/>
  <c r="N11" i="43"/>
  <c r="AA7" i="44" s="1"/>
  <c r="AC11" i="43"/>
  <c r="Y8" i="43"/>
  <c r="O47" i="58" s="1"/>
  <c r="AU47" i="58" s="1"/>
  <c r="CA47" i="58" s="1"/>
  <c r="CA48" i="58" s="1"/>
  <c r="B8" i="43"/>
  <c r="E8" i="43"/>
  <c r="AG3" i="44"/>
  <c r="AG5" i="44"/>
  <c r="T11" i="43"/>
  <c r="X7" i="43"/>
  <c r="N42" i="58" s="1"/>
  <c r="AT42" i="58" s="1"/>
  <c r="BZ42" i="58" s="1"/>
  <c r="BZ43" i="58" s="1"/>
  <c r="T8" i="43"/>
  <c r="J47" i="58" s="1"/>
  <c r="AP47" i="58" s="1"/>
  <c r="BV47" i="58" s="1"/>
  <c r="BV48" i="58" s="1"/>
  <c r="AC8" i="43"/>
  <c r="S47" i="58" s="1"/>
  <c r="AY47" i="58" s="1"/>
  <c r="CE47" i="58" s="1"/>
  <c r="CE48" i="58" s="1"/>
  <c r="AA3" i="43"/>
  <c r="Z8" i="43"/>
  <c r="P47" i="58" s="1"/>
  <c r="AV47" i="58" s="1"/>
  <c r="CB47" i="58" s="1"/>
  <c r="CB48" i="58" s="1"/>
  <c r="Z11" i="43"/>
  <c r="Z7" i="43"/>
  <c r="P42" i="58" s="1"/>
  <c r="AV42" i="58" s="1"/>
  <c r="CB42" i="58" s="1"/>
  <c r="CB43" i="58" s="1"/>
  <c r="Z12" i="43"/>
  <c r="D38" i="44"/>
  <c r="D37" i="44"/>
  <c r="G46" i="44"/>
  <c r="D23" i="44"/>
  <c r="L8" i="44"/>
  <c r="D9" i="45"/>
  <c r="G11" i="43"/>
  <c r="E11" i="43"/>
  <c r="H11" i="43"/>
  <c r="B11" i="43"/>
  <c r="F11" i="43"/>
  <c r="J8" i="43"/>
  <c r="C8" i="43"/>
  <c r="B10" i="43"/>
  <c r="G10" i="43"/>
  <c r="G9" i="43" s="1"/>
  <c r="J10" i="43"/>
  <c r="J9" i="43" s="1"/>
  <c r="E10" i="43"/>
  <c r="I10" i="43"/>
  <c r="I9" i="43" s="1"/>
  <c r="C10" i="43"/>
  <c r="C9" i="43" s="1"/>
  <c r="F10" i="43"/>
  <c r="H10" i="43"/>
  <c r="I7" i="43"/>
  <c r="E7" i="43"/>
  <c r="H7" i="43"/>
  <c r="C7" i="43"/>
  <c r="G7" i="43"/>
  <c r="B7" i="43"/>
  <c r="J7" i="43"/>
  <c r="F7" i="43"/>
  <c r="AJ35" i="36"/>
  <c r="AJ32" i="36"/>
  <c r="AJ23" i="36"/>
  <c r="AK3" i="36"/>
  <c r="D63" i="36"/>
  <c r="D5" i="26"/>
  <c r="D5" i="4"/>
  <c r="D5" i="8"/>
  <c r="S371" i="48" l="1"/>
  <c r="AR13" i="43"/>
  <c r="CO54" i="58"/>
  <c r="B9" i="43"/>
  <c r="AG8" i="44"/>
  <c r="CO49" i="58"/>
  <c r="CO44" i="58"/>
  <c r="AN18" i="43"/>
  <c r="AD7" i="45" s="1"/>
  <c r="AD15" i="45" s="1"/>
  <c r="BJ15" i="45" s="1"/>
  <c r="E6" i="61"/>
  <c r="BN47" i="58"/>
  <c r="CT42" i="58"/>
  <c r="CT43" i="58" s="1"/>
  <c r="DC19" i="58"/>
  <c r="H9" i="43"/>
  <c r="K6" i="45"/>
  <c r="AQ6" i="45" s="1"/>
  <c r="Y6" i="45"/>
  <c r="BE6" i="45" s="1"/>
  <c r="O6" i="45"/>
  <c r="AU6" i="45" s="1"/>
  <c r="T6" i="45"/>
  <c r="AZ6" i="45" s="1"/>
  <c r="BP42" i="58"/>
  <c r="BP43" i="58" s="1"/>
  <c r="DC18" i="58"/>
  <c r="H60" i="44"/>
  <c r="H57" i="44"/>
  <c r="H61" i="44"/>
  <c r="H58" i="44"/>
  <c r="E7" i="61"/>
  <c r="BN52" i="58"/>
  <c r="P5" i="60"/>
  <c r="B19" i="60"/>
  <c r="B18" i="60"/>
  <c r="Q5" i="60"/>
  <c r="BP47" i="58"/>
  <c r="BP48" i="58" s="1"/>
  <c r="DD18" i="58"/>
  <c r="Y18" i="43"/>
  <c r="O7" i="45" s="1"/>
  <c r="O15" i="45" s="1"/>
  <c r="AU15" i="45" s="1"/>
  <c r="CS75" i="59"/>
  <c r="CT73" i="59"/>
  <c r="CT65" i="59"/>
  <c r="CT66" i="59"/>
  <c r="CT67" i="59"/>
  <c r="CT68" i="59"/>
  <c r="CT69" i="59"/>
  <c r="CT61" i="59"/>
  <c r="CT70" i="59"/>
  <c r="CT62" i="59"/>
  <c r="CT64" i="59"/>
  <c r="CT63" i="59"/>
  <c r="CT74" i="59"/>
  <c r="CT72" i="59"/>
  <c r="CT71" i="59"/>
  <c r="BI143" i="55"/>
  <c r="DU143" i="55" s="1"/>
  <c r="AD143" i="55"/>
  <c r="BH145" i="55"/>
  <c r="AC145" i="55"/>
  <c r="BI139" i="55"/>
  <c r="DU139" i="55" s="1"/>
  <c r="AD139" i="55"/>
  <c r="AD144" i="55"/>
  <c r="BI144" i="55"/>
  <c r="BJ140" i="55"/>
  <c r="DV140" i="55" s="1"/>
  <c r="AE140" i="55"/>
  <c r="BL147" i="55"/>
  <c r="AG147" i="55"/>
  <c r="BM147" i="55" s="1"/>
  <c r="BG168" i="55"/>
  <c r="AB168" i="55"/>
  <c r="AC166" i="55"/>
  <c r="BH166" i="55"/>
  <c r="DT166" i="55" s="1"/>
  <c r="BK169" i="55"/>
  <c r="AF169" i="55"/>
  <c r="CN162" i="55"/>
  <c r="AC164" i="55"/>
  <c r="BH164" i="55"/>
  <c r="DT164" i="55" s="1"/>
  <c r="BH165" i="55"/>
  <c r="DT165" i="55" s="1"/>
  <c r="AC165" i="55"/>
  <c r="BH162" i="55"/>
  <c r="DT162" i="55" s="1"/>
  <c r="AC162" i="55"/>
  <c r="BH167" i="55"/>
  <c r="AC167" i="55"/>
  <c r="AD163" i="55"/>
  <c r="BI163" i="55"/>
  <c r="DU163" i="55" s="1"/>
  <c r="AF124" i="55"/>
  <c r="BK124" i="55"/>
  <c r="BH121" i="55"/>
  <c r="AC121" i="55"/>
  <c r="BI117" i="55"/>
  <c r="DU117" i="55" s="1"/>
  <c r="AD117" i="55"/>
  <c r="AC70" i="55"/>
  <c r="BH70" i="55"/>
  <c r="DT70" i="55" s="1"/>
  <c r="AD94" i="55"/>
  <c r="BI94" i="55"/>
  <c r="DU94" i="55" s="1"/>
  <c r="AC97" i="55"/>
  <c r="BH97" i="55"/>
  <c r="DT97" i="55" s="1"/>
  <c r="AC120" i="55"/>
  <c r="BH120" i="55"/>
  <c r="DT120" i="55" s="1"/>
  <c r="BH116" i="55"/>
  <c r="DT116" i="55" s="1"/>
  <c r="AC116" i="55"/>
  <c r="CN70" i="55"/>
  <c r="AB76" i="55"/>
  <c r="BG76" i="55"/>
  <c r="AC122" i="55"/>
  <c r="BH122" i="55"/>
  <c r="AC93" i="55"/>
  <c r="BH93" i="55"/>
  <c r="DT93" i="55" s="1"/>
  <c r="AC75" i="55"/>
  <c r="BH75" i="55"/>
  <c r="CM116" i="55"/>
  <c r="AF123" i="55"/>
  <c r="BK123" i="55"/>
  <c r="BH118" i="55"/>
  <c r="DT118" i="55" s="1"/>
  <c r="AC118" i="55"/>
  <c r="CN93" i="55"/>
  <c r="BH98" i="55"/>
  <c r="AC98" i="55"/>
  <c r="BI71" i="55"/>
  <c r="DU71" i="55" s="1"/>
  <c r="AD71" i="55"/>
  <c r="BG119" i="55"/>
  <c r="DS119" i="55" s="1"/>
  <c r="AB119" i="55"/>
  <c r="AC74" i="55"/>
  <c r="BH74" i="55"/>
  <c r="DT74" i="55" s="1"/>
  <c r="AB99" i="55"/>
  <c r="BG99" i="55"/>
  <c r="BL100" i="55"/>
  <c r="AG100" i="55"/>
  <c r="BM100" i="55" s="1"/>
  <c r="AF101" i="55"/>
  <c r="BK101" i="55"/>
  <c r="CP97" i="55"/>
  <c r="BL77" i="55"/>
  <c r="AG77" i="55"/>
  <c r="BM77" i="55" s="1"/>
  <c r="AF78" i="55"/>
  <c r="BK78" i="55"/>
  <c r="BG50" i="55"/>
  <c r="DS50" i="55" s="1"/>
  <c r="AB50" i="55"/>
  <c r="AC52" i="55"/>
  <c r="BH52" i="55"/>
  <c r="AC49" i="55"/>
  <c r="BH49" i="55"/>
  <c r="DT49" i="55" s="1"/>
  <c r="AC53" i="55"/>
  <c r="BH53" i="55"/>
  <c r="BI48" i="55"/>
  <c r="DU48" i="55" s="1"/>
  <c r="AD48" i="55"/>
  <c r="AC47" i="55"/>
  <c r="BH47" i="55"/>
  <c r="DT47" i="55" s="1"/>
  <c r="BH51" i="55"/>
  <c r="DT51" i="55" s="1"/>
  <c r="AC51" i="55"/>
  <c r="AG54" i="55"/>
  <c r="BM54" i="55" s="1"/>
  <c r="BL54" i="55"/>
  <c r="BL55" i="55"/>
  <c r="AG55" i="55"/>
  <c r="BM55" i="55" s="1"/>
  <c r="AD29" i="55"/>
  <c r="BI29" i="55"/>
  <c r="AE25" i="55"/>
  <c r="BJ25" i="55"/>
  <c r="DV25" i="55" s="1"/>
  <c r="AE32" i="55"/>
  <c r="BJ32" i="55"/>
  <c r="AD28" i="55"/>
  <c r="BI28" i="55"/>
  <c r="DU28" i="55" s="1"/>
  <c r="AE31" i="55"/>
  <c r="BJ31" i="55"/>
  <c r="CO24" i="55"/>
  <c r="AC30" i="55"/>
  <c r="BH30" i="55"/>
  <c r="AD24" i="55"/>
  <c r="BJ24" i="55" s="1"/>
  <c r="DV24" i="55" s="1"/>
  <c r="AC204" i="55"/>
  <c r="AC205" i="55" s="1"/>
  <c r="AD3" i="55"/>
  <c r="AZ4" i="45"/>
  <c r="S5" i="52"/>
  <c r="AU4" i="45"/>
  <c r="N5" i="52"/>
  <c r="BE4" i="45"/>
  <c r="X5" i="52"/>
  <c r="AV4" i="45"/>
  <c r="O5" i="52"/>
  <c r="AQ4" i="45"/>
  <c r="J5" i="52"/>
  <c r="BJ4" i="45"/>
  <c r="AC5" i="52"/>
  <c r="AD247" i="53"/>
  <c r="Y101" i="54"/>
  <c r="Y102" i="54" s="1"/>
  <c r="Y96" i="54"/>
  <c r="Y97" i="54"/>
  <c r="Y95" i="54"/>
  <c r="AC123" i="54"/>
  <c r="AB125" i="54"/>
  <c r="AB127" i="54"/>
  <c r="AA193" i="54"/>
  <c r="Z86" i="54"/>
  <c r="Z88" i="54" s="1"/>
  <c r="AA85" i="54"/>
  <c r="Z87" i="54"/>
  <c r="Z100" i="54" s="1"/>
  <c r="AA195" i="54"/>
  <c r="X105" i="54"/>
  <c r="X104" i="54"/>
  <c r="X103" i="54"/>
  <c r="AB91" i="54"/>
  <c r="AA194" i="54"/>
  <c r="AB186" i="54"/>
  <c r="AB171" i="54"/>
  <c r="X102" i="54"/>
  <c r="AB185" i="54"/>
  <c r="AA175" i="54"/>
  <c r="AB196" i="54"/>
  <c r="AA187" i="54"/>
  <c r="AA191" i="54"/>
  <c r="Z258" i="54"/>
  <c r="AA178" i="54"/>
  <c r="Z179" i="54"/>
  <c r="Z259" i="54" s="1"/>
  <c r="AA184" i="54"/>
  <c r="AB92" i="54"/>
  <c r="AB174" i="54"/>
  <c r="AB170" i="54"/>
  <c r="AA173" i="54"/>
  <c r="AD192" i="54"/>
  <c r="AB172" i="54"/>
  <c r="AB90" i="54"/>
  <c r="AA93" i="54"/>
  <c r="AC181" i="54"/>
  <c r="AA180" i="54"/>
  <c r="Z93" i="53"/>
  <c r="Z127" i="53"/>
  <c r="AA193" i="53"/>
  <c r="Z258" i="53"/>
  <c r="AA178" i="53"/>
  <c r="Z179" i="53"/>
  <c r="Z259" i="53" s="1"/>
  <c r="AB86" i="53"/>
  <c r="AB88" i="53" s="1"/>
  <c r="AC85" i="53"/>
  <c r="AB87" i="53"/>
  <c r="AB171" i="53"/>
  <c r="AB186" i="53"/>
  <c r="AC174" i="53"/>
  <c r="AB187" i="53"/>
  <c r="AA175" i="53"/>
  <c r="AA170" i="53"/>
  <c r="AA185" i="53"/>
  <c r="AC191" i="53"/>
  <c r="AB123" i="53"/>
  <c r="AA125" i="53"/>
  <c r="AA196" i="53"/>
  <c r="AA184" i="53"/>
  <c r="AC173" i="53"/>
  <c r="AA92" i="53"/>
  <c r="AA93" i="53" s="1"/>
  <c r="AC181" i="53"/>
  <c r="AA192" i="53"/>
  <c r="AB172" i="53"/>
  <c r="AB118" i="53"/>
  <c r="AA119" i="53"/>
  <c r="AA121" i="53" s="1"/>
  <c r="AA128" i="53" s="1"/>
  <c r="AA120" i="53"/>
  <c r="AB195" i="53"/>
  <c r="AB90" i="53"/>
  <c r="AA95" i="53"/>
  <c r="AC194" i="53"/>
  <c r="AC91" i="53"/>
  <c r="AA180" i="53"/>
  <c r="AA96" i="53"/>
  <c r="BE45" i="51"/>
  <c r="Z45" i="51"/>
  <c r="AC3" i="51"/>
  <c r="S22" i="43"/>
  <c r="AC22" i="43"/>
  <c r="U18" i="43"/>
  <c r="K7" i="45" s="1"/>
  <c r="AO17" i="43"/>
  <c r="AO16" i="43"/>
  <c r="AE5" i="45" s="1"/>
  <c r="AO21" i="43"/>
  <c r="AO20" i="43"/>
  <c r="AO19" i="43"/>
  <c r="S15" i="45"/>
  <c r="AY15" i="45" s="1"/>
  <c r="AY7" i="45"/>
  <c r="AY5" i="45"/>
  <c r="S13" i="45"/>
  <c r="AY13" i="45" s="1"/>
  <c r="AE16" i="43"/>
  <c r="U5" i="45" s="1"/>
  <c r="AE21" i="43"/>
  <c r="AE20" i="43"/>
  <c r="AE19" i="43"/>
  <c r="AE17" i="43"/>
  <c r="Z17" i="43"/>
  <c r="Z16" i="43"/>
  <c r="P5" i="45" s="1"/>
  <c r="Z21" i="43"/>
  <c r="Z20" i="43"/>
  <c r="Z19" i="43"/>
  <c r="AP7" i="45"/>
  <c r="J15" i="45"/>
  <c r="AP15" i="45" s="1"/>
  <c r="BJ6" i="45"/>
  <c r="AM22" i="43"/>
  <c r="AZ5" i="45"/>
  <c r="T13" i="45"/>
  <c r="AZ13" i="45" s="1"/>
  <c r="BJ5" i="45"/>
  <c r="AD13" i="45"/>
  <c r="BJ13" i="45" s="1"/>
  <c r="E9" i="43"/>
  <c r="AA19" i="43"/>
  <c r="AA17" i="43"/>
  <c r="AA16" i="43"/>
  <c r="Q5" i="45" s="1"/>
  <c r="AA21" i="43"/>
  <c r="AA20" i="43"/>
  <c r="BN7" i="45"/>
  <c r="AH15" i="45"/>
  <c r="BN15" i="45" s="1"/>
  <c r="AD18" i="43"/>
  <c r="T7" i="45" s="1"/>
  <c r="AI18" i="43"/>
  <c r="Y7" i="45" s="1"/>
  <c r="V20" i="43"/>
  <c r="V19" i="43"/>
  <c r="V17" i="43"/>
  <c r="V16" i="43"/>
  <c r="L5" i="45" s="1"/>
  <c r="V21" i="43"/>
  <c r="T22" i="43"/>
  <c r="Y13" i="45"/>
  <c r="BE13" i="45" s="1"/>
  <c r="BE5" i="45"/>
  <c r="AJ19" i="43"/>
  <c r="AJ20" i="43"/>
  <c r="AJ17" i="43"/>
  <c r="Z6" i="45" s="1"/>
  <c r="AJ16" i="43"/>
  <c r="Z5" i="45" s="1"/>
  <c r="AJ21" i="43"/>
  <c r="S9" i="43"/>
  <c r="I52" i="58" s="1"/>
  <c r="AO52" i="58" s="1"/>
  <c r="BU52" i="58" s="1"/>
  <c r="BU53" i="58" s="1"/>
  <c r="BU54" i="58" s="1"/>
  <c r="AH22" i="43"/>
  <c r="AR22" i="43"/>
  <c r="S136" i="48"/>
  <c r="S137" i="48"/>
  <c r="S135" i="48"/>
  <c r="T303" i="48"/>
  <c r="T305" i="48"/>
  <c r="V292" i="48"/>
  <c r="U297" i="48"/>
  <c r="U132" i="48"/>
  <c r="U308" i="48"/>
  <c r="T299" i="48"/>
  <c r="U131" i="48"/>
  <c r="T286" i="48"/>
  <c r="T298" i="48"/>
  <c r="W296" i="48"/>
  <c r="U285" i="48"/>
  <c r="V130" i="48"/>
  <c r="U306" i="48"/>
  <c r="T307" i="48"/>
  <c r="T191" i="48"/>
  <c r="T193" i="48" s="1"/>
  <c r="T200" i="48" s="1"/>
  <c r="T370" i="48" s="1"/>
  <c r="U190" i="48"/>
  <c r="T192" i="48"/>
  <c r="U293" i="48"/>
  <c r="T282" i="48"/>
  <c r="U291" i="48"/>
  <c r="V290" i="48"/>
  <c r="U359" i="48"/>
  <c r="U283" i="48"/>
  <c r="U304" i="48"/>
  <c r="U287" i="48"/>
  <c r="T284" i="48"/>
  <c r="S197" i="48"/>
  <c r="S199" i="48"/>
  <c r="T195" i="48"/>
  <c r="T126" i="48"/>
  <c r="T128" i="48" s="1"/>
  <c r="U125" i="48"/>
  <c r="T127" i="48"/>
  <c r="S371" i="46"/>
  <c r="W287" i="46"/>
  <c r="V298" i="46"/>
  <c r="S137" i="46"/>
  <c r="S136" i="46"/>
  <c r="V283" i="46"/>
  <c r="W131" i="46"/>
  <c r="U299" i="46"/>
  <c r="T305" i="46"/>
  <c r="T191" i="46"/>
  <c r="T193" i="46" s="1"/>
  <c r="T200" i="46" s="1"/>
  <c r="T370" i="46" s="1"/>
  <c r="U190" i="46"/>
  <c r="T192" i="46"/>
  <c r="T304" i="46"/>
  <c r="U130" i="46"/>
  <c r="T291" i="46"/>
  <c r="U290" i="46"/>
  <c r="T297" i="46"/>
  <c r="T296" i="46"/>
  <c r="S197" i="46"/>
  <c r="S199" i="46"/>
  <c r="T195" i="46"/>
  <c r="T132" i="46"/>
  <c r="U308" i="46"/>
  <c r="S135" i="46"/>
  <c r="U303" i="46"/>
  <c r="T292" i="46"/>
  <c r="T286" i="46"/>
  <c r="U306" i="46"/>
  <c r="U284" i="46"/>
  <c r="S133" i="46"/>
  <c r="U125" i="46"/>
  <c r="T126" i="46"/>
  <c r="T128" i="46" s="1"/>
  <c r="T135" i="46" s="1"/>
  <c r="T127" i="46"/>
  <c r="U285" i="46"/>
  <c r="U282" i="46"/>
  <c r="T293" i="46"/>
  <c r="U307" i="46"/>
  <c r="L118" i="24"/>
  <c r="F9" i="45"/>
  <c r="AL9" i="45" s="1"/>
  <c r="J9" i="45"/>
  <c r="AP9" i="45" s="1"/>
  <c r="N9" i="45"/>
  <c r="AT9" i="45" s="1"/>
  <c r="AJ9" i="45"/>
  <c r="G9" i="45"/>
  <c r="AM9" i="45" s="1"/>
  <c r="K9" i="45"/>
  <c r="AQ9" i="45" s="1"/>
  <c r="E9" i="45"/>
  <c r="AK9" i="45" s="1"/>
  <c r="H9" i="45"/>
  <c r="AN9" i="45" s="1"/>
  <c r="L9" i="45"/>
  <c r="AR9" i="45" s="1"/>
  <c r="D10" i="45"/>
  <c r="I9" i="45"/>
  <c r="AO9" i="45" s="1"/>
  <c r="M9" i="45"/>
  <c r="AS9" i="45" s="1"/>
  <c r="D29" i="44"/>
  <c r="D30" i="44" s="1"/>
  <c r="G48" i="44"/>
  <c r="U9" i="43"/>
  <c r="K52" i="58" s="1"/>
  <c r="AQ52" i="58" s="1"/>
  <c r="BW52" i="58" s="1"/>
  <c r="BW53" i="58" s="1"/>
  <c r="BW54" i="58" s="1"/>
  <c r="AD9" i="43"/>
  <c r="T52" i="58" s="1"/>
  <c r="AZ52" i="58" s="1"/>
  <c r="CF52" i="58" s="1"/>
  <c r="CF53" i="58" s="1"/>
  <c r="CF54" i="58" s="1"/>
  <c r="AM13" i="43"/>
  <c r="L4" i="45"/>
  <c r="V10" i="43"/>
  <c r="U4" i="45"/>
  <c r="AE10" i="43"/>
  <c r="T9" i="43"/>
  <c r="Z9" i="43"/>
  <c r="P52" i="58" s="1"/>
  <c r="AV52" i="58" s="1"/>
  <c r="CB52" i="58" s="1"/>
  <c r="CB53" i="58" s="1"/>
  <c r="CB49" i="58" s="1"/>
  <c r="AN9" i="43"/>
  <c r="AD52" i="58" s="1"/>
  <c r="BJ52" i="58" s="1"/>
  <c r="CP52" i="58" s="1"/>
  <c r="CP53" i="58" s="1"/>
  <c r="CP54" i="58" s="1"/>
  <c r="AI9" i="43"/>
  <c r="L12" i="44"/>
  <c r="Q4" i="45"/>
  <c r="AA10" i="43"/>
  <c r="U13" i="43"/>
  <c r="Z4" i="45"/>
  <c r="AJ10" i="43"/>
  <c r="O9" i="43"/>
  <c r="AC9" i="43"/>
  <c r="AE4" i="45"/>
  <c r="AO10" i="43"/>
  <c r="F9" i="43"/>
  <c r="L13" i="44"/>
  <c r="M13" i="44" s="1"/>
  <c r="Z13" i="43"/>
  <c r="AN13" i="43"/>
  <c r="X9" i="43"/>
  <c r="N9" i="43"/>
  <c r="D52" i="58" s="1"/>
  <c r="Y9" i="43"/>
  <c r="AH9" i="43"/>
  <c r="O3" i="45"/>
  <c r="O9" i="45" s="1"/>
  <c r="AU9" i="45" s="1"/>
  <c r="AB3" i="43"/>
  <c r="AA7" i="43"/>
  <c r="Q42" i="58" s="1"/>
  <c r="AW42" i="58" s="1"/>
  <c r="CC42" i="58" s="1"/>
  <c r="CC43" i="58" s="1"/>
  <c r="AA12" i="43"/>
  <c r="AA8" i="43"/>
  <c r="Q47" i="58" s="1"/>
  <c r="AW47" i="58" s="1"/>
  <c r="CC47" i="58" s="1"/>
  <c r="CC48" i="58" s="1"/>
  <c r="AA11" i="43"/>
  <c r="Q3" i="43"/>
  <c r="P7" i="43"/>
  <c r="F42" i="58" s="1"/>
  <c r="AL42" i="58" s="1"/>
  <c r="BR42" i="58" s="1"/>
  <c r="BR43" i="58" s="1"/>
  <c r="P8" i="43"/>
  <c r="F47" i="58" s="1"/>
  <c r="AL47" i="58" s="1"/>
  <c r="BR47" i="58" s="1"/>
  <c r="BR48" i="58" s="1"/>
  <c r="P11" i="43"/>
  <c r="P12" i="43"/>
  <c r="E8" i="44"/>
  <c r="AF3" i="43"/>
  <c r="AE7" i="43"/>
  <c r="U42" i="58" s="1"/>
  <c r="BA42" i="58" s="1"/>
  <c r="CG42" i="58" s="1"/>
  <c r="CG43" i="58" s="1"/>
  <c r="AE12" i="43"/>
  <c r="AE11" i="43"/>
  <c r="AE8" i="43"/>
  <c r="U47" i="58" s="1"/>
  <c r="BA47" i="58" s="1"/>
  <c r="CG47" i="58" s="1"/>
  <c r="CG48" i="58" s="1"/>
  <c r="AK3" i="43"/>
  <c r="AJ7" i="43"/>
  <c r="Z42" i="58" s="1"/>
  <c r="BF42" i="58" s="1"/>
  <c r="CL42" i="58" s="1"/>
  <c r="CL43" i="58" s="1"/>
  <c r="AJ11" i="43"/>
  <c r="AJ8" i="43"/>
  <c r="Z47" i="58" s="1"/>
  <c r="BF47" i="58" s="1"/>
  <c r="CL47" i="58" s="1"/>
  <c r="CL48" i="58" s="1"/>
  <c r="AJ12" i="43"/>
  <c r="AA5" i="44"/>
  <c r="AA4" i="44"/>
  <c r="AA3" i="44"/>
  <c r="AA6" i="44"/>
  <c r="W3" i="43"/>
  <c r="V8" i="43"/>
  <c r="L47" i="58" s="1"/>
  <c r="AR47" i="58" s="1"/>
  <c r="BX47" i="58" s="1"/>
  <c r="BX48" i="58" s="1"/>
  <c r="V11" i="43"/>
  <c r="V7" i="43"/>
  <c r="L42" i="58" s="1"/>
  <c r="AR42" i="58" s="1"/>
  <c r="BX42" i="58" s="1"/>
  <c r="BX43" i="58" s="1"/>
  <c r="V12" i="43"/>
  <c r="AP3" i="43"/>
  <c r="AO8" i="43"/>
  <c r="AE47" i="58" s="1"/>
  <c r="BK47" i="58" s="1"/>
  <c r="CQ47" i="58" s="1"/>
  <c r="CQ48" i="58" s="1"/>
  <c r="AO11" i="43"/>
  <c r="AO7" i="43"/>
  <c r="AE42" i="58" s="1"/>
  <c r="BK42" i="58" s="1"/>
  <c r="CQ42" i="58" s="1"/>
  <c r="CQ43" i="58" s="1"/>
  <c r="AO12" i="43"/>
  <c r="D24" i="44"/>
  <c r="E6" i="44" s="1"/>
  <c r="AJ63" i="36"/>
  <c r="AJ68" i="36" s="1"/>
  <c r="D68" i="36"/>
  <c r="AL3" i="36"/>
  <c r="AM3" i="36" s="1"/>
  <c r="AN3" i="36" s="1"/>
  <c r="AO3" i="36" s="1"/>
  <c r="AP3" i="36" s="1"/>
  <c r="AQ3" i="36" s="1"/>
  <c r="AR3" i="36" s="1"/>
  <c r="AS3" i="36" s="1"/>
  <c r="AT3" i="36" s="1"/>
  <c r="AU3" i="36" s="1"/>
  <c r="AV3" i="36" s="1"/>
  <c r="AW3" i="36" s="1"/>
  <c r="AX3" i="36" s="1"/>
  <c r="AY3" i="36" s="1"/>
  <c r="AZ3" i="36" s="1"/>
  <c r="BA3" i="36" s="1"/>
  <c r="BB3" i="36" s="1"/>
  <c r="BC3" i="36" s="1"/>
  <c r="BD3" i="36" s="1"/>
  <c r="BE3" i="36" s="1"/>
  <c r="BF3" i="36" s="1"/>
  <c r="BG3" i="36" s="1"/>
  <c r="BH3" i="36" s="1"/>
  <c r="BI3" i="36" s="1"/>
  <c r="BJ3" i="36" s="1"/>
  <c r="BK3" i="36" s="1"/>
  <c r="BL3" i="36" s="1"/>
  <c r="BM3" i="36" s="1"/>
  <c r="BN3" i="36" s="1"/>
  <c r="AA7" i="8"/>
  <c r="AA10" i="8"/>
  <c r="AA9" i="8"/>
  <c r="AA8" i="8"/>
  <c r="AN22" i="43" l="1"/>
  <c r="BJ7" i="45"/>
  <c r="AU7" i="45"/>
  <c r="S13" i="43"/>
  <c r="Y22" i="43"/>
  <c r="U133" i="48"/>
  <c r="Z18" i="43"/>
  <c r="P7" i="45" s="1"/>
  <c r="T13" i="43"/>
  <c r="J52" i="58"/>
  <c r="AP52" i="58" s="1"/>
  <c r="BV52" i="58" s="1"/>
  <c r="BV53" i="58" s="1"/>
  <c r="BU44" i="58"/>
  <c r="CB44" i="58"/>
  <c r="AH13" i="43"/>
  <c r="X52" i="58"/>
  <c r="BD52" i="58" s="1"/>
  <c r="CJ52" i="58" s="1"/>
  <c r="CJ53" i="58" s="1"/>
  <c r="U22" i="43"/>
  <c r="P6" i="45"/>
  <c r="AV6" i="45" s="1"/>
  <c r="AE6" i="45"/>
  <c r="BK6" i="45" s="1"/>
  <c r="CP49" i="58"/>
  <c r="CB54" i="58"/>
  <c r="AI13" i="43"/>
  <c r="Y52" i="58"/>
  <c r="BE52" i="58" s="1"/>
  <c r="CK52" i="58" s="1"/>
  <c r="CK53" i="58" s="1"/>
  <c r="Y13" i="43"/>
  <c r="O52" i="58"/>
  <c r="AU52" i="58" s="1"/>
  <c r="CA52" i="58" s="1"/>
  <c r="CA53" i="58" s="1"/>
  <c r="U6" i="45"/>
  <c r="BA6" i="45" s="1"/>
  <c r="CT47" i="58"/>
  <c r="CT48" i="58" s="1"/>
  <c r="CT44" i="58" s="1"/>
  <c r="DD19" i="58"/>
  <c r="BW44" i="58"/>
  <c r="CO6" i="58"/>
  <c r="CO11" i="58"/>
  <c r="D7" i="61"/>
  <c r="AJ52" i="58"/>
  <c r="B5" i="60"/>
  <c r="AC13" i="43"/>
  <c r="S52" i="58"/>
  <c r="AY52" i="58" s="1"/>
  <c r="CE52" i="58" s="1"/>
  <c r="CE53" i="58" s="1"/>
  <c r="X13" i="43"/>
  <c r="N52" i="58"/>
  <c r="AT52" i="58" s="1"/>
  <c r="BZ52" i="58" s="1"/>
  <c r="BZ53" i="58" s="1"/>
  <c r="O13" i="43"/>
  <c r="E52" i="58"/>
  <c r="AK52" i="58" s="1"/>
  <c r="BQ52" i="58" s="1"/>
  <c r="BQ53" i="58" s="1"/>
  <c r="H22" i="44"/>
  <c r="I22" i="44" s="1"/>
  <c r="B6" i="61"/>
  <c r="AE18" i="43"/>
  <c r="U7" i="45" s="1"/>
  <c r="DE19" i="58"/>
  <c r="CT52" i="58"/>
  <c r="CT53" i="58" s="1"/>
  <c r="BW49" i="58"/>
  <c r="CF49" i="58"/>
  <c r="L6" i="45"/>
  <c r="AR6" i="45" s="1"/>
  <c r="BU49" i="58"/>
  <c r="CP44" i="58"/>
  <c r="CP6" i="58" s="1"/>
  <c r="P9" i="43"/>
  <c r="F52" i="58" s="1"/>
  <c r="AL52" i="58" s="1"/>
  <c r="BR52" i="58" s="1"/>
  <c r="BR53" i="58" s="1"/>
  <c r="BR54" i="58" s="1"/>
  <c r="AD13" i="43"/>
  <c r="V18" i="43"/>
  <c r="L7" i="45" s="1"/>
  <c r="Q6" i="45"/>
  <c r="AW6" i="45" s="1"/>
  <c r="CF44" i="58"/>
  <c r="CT75" i="59"/>
  <c r="AE139" i="55"/>
  <c r="BJ139" i="55"/>
  <c r="DV139" i="55" s="1"/>
  <c r="AD145" i="55"/>
  <c r="BI145" i="55"/>
  <c r="AF140" i="55"/>
  <c r="BK140" i="55"/>
  <c r="DW140" i="55" s="1"/>
  <c r="BJ143" i="55"/>
  <c r="DV143" i="55" s="1"/>
  <c r="AE143" i="55"/>
  <c r="BJ144" i="55"/>
  <c r="AE144" i="55"/>
  <c r="AD167" i="55"/>
  <c r="BI167" i="55"/>
  <c r="AD164" i="55"/>
  <c r="BI164" i="55"/>
  <c r="DU164" i="55" s="1"/>
  <c r="AD166" i="55"/>
  <c r="BI166" i="55"/>
  <c r="DU166" i="55" s="1"/>
  <c r="BI162" i="55"/>
  <c r="DU162" i="55" s="1"/>
  <c r="AD162" i="55"/>
  <c r="CO162" i="55"/>
  <c r="AC168" i="55"/>
  <c r="BH168" i="55"/>
  <c r="BI165" i="55"/>
  <c r="DU165" i="55" s="1"/>
  <c r="AD165" i="55"/>
  <c r="BJ163" i="55"/>
  <c r="DV163" i="55" s="1"/>
  <c r="AE163" i="55"/>
  <c r="AG169" i="55"/>
  <c r="BM169" i="55" s="1"/>
  <c r="BL169" i="55"/>
  <c r="BL124" i="55"/>
  <c r="AG124" i="55"/>
  <c r="BM124" i="55" s="1"/>
  <c r="CN116" i="55"/>
  <c r="AD122" i="55"/>
  <c r="BI122" i="55"/>
  <c r="CO70" i="55"/>
  <c r="AD97" i="55"/>
  <c r="BI97" i="55"/>
  <c r="DU97" i="55" s="1"/>
  <c r="AE117" i="55"/>
  <c r="BJ117" i="55"/>
  <c r="DV117" i="55" s="1"/>
  <c r="AD74" i="55"/>
  <c r="BI74" i="55"/>
  <c r="DU74" i="55" s="1"/>
  <c r="CO93" i="55"/>
  <c r="BI116" i="55"/>
  <c r="DU116" i="55" s="1"/>
  <c r="AD116" i="55"/>
  <c r="AC119" i="55"/>
  <c r="BH119" i="55"/>
  <c r="DT119" i="55" s="1"/>
  <c r="BI118" i="55"/>
  <c r="DU118" i="55" s="1"/>
  <c r="AD118" i="55"/>
  <c r="BI121" i="55"/>
  <c r="AD121" i="55"/>
  <c r="AD75" i="55"/>
  <c r="BI75" i="55"/>
  <c r="AE71" i="55"/>
  <c r="BJ71" i="55"/>
  <c r="DV71" i="55" s="1"/>
  <c r="BH76" i="55"/>
  <c r="AC76" i="55"/>
  <c r="AE94" i="55"/>
  <c r="BJ94" i="55"/>
  <c r="DV94" i="55" s="1"/>
  <c r="AD93" i="55"/>
  <c r="BI93" i="55"/>
  <c r="DU93" i="55" s="1"/>
  <c r="AD98" i="55"/>
  <c r="BI98" i="55"/>
  <c r="AD120" i="55"/>
  <c r="BI120" i="55"/>
  <c r="DU120" i="55" s="1"/>
  <c r="BI70" i="55"/>
  <c r="DU70" i="55" s="1"/>
  <c r="AD70" i="55"/>
  <c r="BH99" i="55"/>
  <c r="AC99" i="55"/>
  <c r="BL123" i="55"/>
  <c r="AG123" i="55"/>
  <c r="BM123" i="55" s="1"/>
  <c r="AG101" i="55"/>
  <c r="BM101" i="55" s="1"/>
  <c r="BL101" i="55"/>
  <c r="CQ97" i="55"/>
  <c r="AG78" i="55"/>
  <c r="BM78" i="55" s="1"/>
  <c r="BL78" i="55"/>
  <c r="BJ48" i="55"/>
  <c r="DV48" i="55" s="1"/>
  <c r="AE48" i="55"/>
  <c r="AD52" i="55"/>
  <c r="BI52" i="55"/>
  <c r="BI51" i="55"/>
  <c r="DU51" i="55" s="1"/>
  <c r="AD51" i="55"/>
  <c r="AD53" i="55"/>
  <c r="BI53" i="55"/>
  <c r="AD47" i="55"/>
  <c r="BI47" i="55"/>
  <c r="DU47" i="55" s="1"/>
  <c r="AC50" i="55"/>
  <c r="BH50" i="55"/>
  <c r="DT50" i="55" s="1"/>
  <c r="AD49" i="55"/>
  <c r="BI49" i="55"/>
  <c r="DU49" i="55" s="1"/>
  <c r="AE28" i="55"/>
  <c r="BJ28" i="55"/>
  <c r="DV28" i="55" s="1"/>
  <c r="AD30" i="55"/>
  <c r="BI30" i="55"/>
  <c r="CP24" i="55"/>
  <c r="AF25" i="55"/>
  <c r="BK25" i="55"/>
  <c r="DW25" i="55" s="1"/>
  <c r="AF31" i="55"/>
  <c r="BK31" i="55"/>
  <c r="AF32" i="55"/>
  <c r="BK32" i="55"/>
  <c r="AE29" i="55"/>
  <c r="BJ29" i="55"/>
  <c r="AE24" i="55"/>
  <c r="BK24" i="55" s="1"/>
  <c r="DW24" i="55" s="1"/>
  <c r="AD204" i="55"/>
  <c r="AD205" i="55" s="1"/>
  <c r="AE3" i="55"/>
  <c r="BK4" i="45"/>
  <c r="AD5" i="52"/>
  <c r="BA4" i="45"/>
  <c r="T5" i="52"/>
  <c r="AW4" i="45"/>
  <c r="P5" i="52"/>
  <c r="AR4" i="45"/>
  <c r="K5" i="52"/>
  <c r="BF4" i="45"/>
  <c r="Y5" i="52"/>
  <c r="AA97" i="53"/>
  <c r="AE247" i="53"/>
  <c r="AC92" i="54"/>
  <c r="AB187" i="54"/>
  <c r="AC171" i="54"/>
  <c r="AB173" i="54"/>
  <c r="AC170" i="54"/>
  <c r="AB184" i="54"/>
  <c r="AA258" i="54"/>
  <c r="AA179" i="54"/>
  <c r="AA259" i="54" s="1"/>
  <c r="AB178" i="54"/>
  <c r="AC196" i="54"/>
  <c r="AC185" i="54"/>
  <c r="AC186" i="54"/>
  <c r="AB195" i="54"/>
  <c r="AC91" i="54"/>
  <c r="AB180" i="54"/>
  <c r="AC172" i="54"/>
  <c r="AC174" i="54"/>
  <c r="AB175" i="54"/>
  <c r="AD123" i="54"/>
  <c r="AC125" i="54"/>
  <c r="AC127" i="54"/>
  <c r="AB194" i="54"/>
  <c r="AB193" i="54"/>
  <c r="AB93" i="54"/>
  <c r="AC90" i="54"/>
  <c r="AE192" i="54"/>
  <c r="AB85" i="54"/>
  <c r="AA86" i="54"/>
  <c r="AA88" i="54" s="1"/>
  <c r="AA87" i="54"/>
  <c r="AA100" i="54" s="1"/>
  <c r="Y103" i="54"/>
  <c r="Y105" i="54"/>
  <c r="Y104" i="54"/>
  <c r="AD181" i="54"/>
  <c r="AB191" i="54"/>
  <c r="Z96" i="54"/>
  <c r="Z97" i="54"/>
  <c r="Z101" i="54"/>
  <c r="Z102" i="54" s="1"/>
  <c r="Z95" i="54"/>
  <c r="AD194" i="53"/>
  <c r="AC195" i="53"/>
  <c r="AB192" i="53"/>
  <c r="AB184" i="53"/>
  <c r="AB185" i="53"/>
  <c r="AB92" i="53"/>
  <c r="AB93" i="53" s="1"/>
  <c r="AB196" i="53"/>
  <c r="AC187" i="53"/>
  <c r="AB170" i="53"/>
  <c r="AD174" i="53"/>
  <c r="AD85" i="53"/>
  <c r="AC86" i="53"/>
  <c r="AC88" i="53" s="1"/>
  <c r="AC87" i="53"/>
  <c r="AB193" i="53"/>
  <c r="AA127" i="53"/>
  <c r="AB96" i="53"/>
  <c r="AB180" i="53"/>
  <c r="AB175" i="53"/>
  <c r="AC186" i="53"/>
  <c r="AC171" i="53"/>
  <c r="AC172" i="53"/>
  <c r="AD181" i="53"/>
  <c r="AD173" i="53"/>
  <c r="AB125" i="53"/>
  <c r="AC123" i="53"/>
  <c r="AD91" i="53"/>
  <c r="AB95" i="53"/>
  <c r="AC90" i="53"/>
  <c r="AB119" i="53"/>
  <c r="AB121" i="53" s="1"/>
  <c r="AB128" i="53" s="1"/>
  <c r="AC118" i="53"/>
  <c r="AB120" i="53"/>
  <c r="AD191" i="53"/>
  <c r="AA258" i="53"/>
  <c r="AA179" i="53"/>
  <c r="AA259" i="53" s="1"/>
  <c r="AB178" i="53"/>
  <c r="AD3" i="51"/>
  <c r="BF45" i="51"/>
  <c r="AA45" i="51"/>
  <c r="Q17" i="43"/>
  <c r="Q16" i="43"/>
  <c r="G5" i="45" s="1"/>
  <c r="Q21" i="43"/>
  <c r="Q20" i="43"/>
  <c r="Q19" i="43"/>
  <c r="BF5" i="45"/>
  <c r="Z13" i="45"/>
  <c r="BF13" i="45" s="1"/>
  <c r="AI22" i="43"/>
  <c r="AC15" i="45"/>
  <c r="BI15" i="45" s="1"/>
  <c r="BI7" i="45"/>
  <c r="V22" i="43"/>
  <c r="U13" i="45"/>
  <c r="BA13" i="45" s="1"/>
  <c r="BA5" i="45"/>
  <c r="BF6" i="45"/>
  <c r="AQ5" i="45"/>
  <c r="K13" i="45"/>
  <c r="AQ13" i="45" s="1"/>
  <c r="AD22" i="43"/>
  <c r="AV5" i="45"/>
  <c r="P13" i="45"/>
  <c r="AV13" i="45" s="1"/>
  <c r="AF16" i="43"/>
  <c r="V5" i="45" s="1"/>
  <c r="AF21" i="43"/>
  <c r="AF20" i="43"/>
  <c r="AF17" i="43"/>
  <c r="V6" i="45" s="1"/>
  <c r="AF19" i="43"/>
  <c r="W16" i="43"/>
  <c r="M5" i="45" s="1"/>
  <c r="W21" i="43"/>
  <c r="W20" i="43"/>
  <c r="W19" i="43"/>
  <c r="W17" i="43"/>
  <c r="AJ18" i="43"/>
  <c r="Z7" i="45" s="1"/>
  <c r="K15" i="45"/>
  <c r="AQ15" i="45" s="1"/>
  <c r="AQ7" i="45"/>
  <c r="X15" i="45"/>
  <c r="BD15" i="45" s="1"/>
  <c r="BD7" i="45"/>
  <c r="AR5" i="45"/>
  <c r="L13" i="45"/>
  <c r="AR13" i="45" s="1"/>
  <c r="AA18" i="43"/>
  <c r="Q7" i="45" s="1"/>
  <c r="AK20" i="43"/>
  <c r="AK19" i="43"/>
  <c r="AK17" i="43"/>
  <c r="AK16" i="43"/>
  <c r="AA5" i="45" s="1"/>
  <c r="AK21" i="43"/>
  <c r="AB19" i="43"/>
  <c r="AB21" i="43"/>
  <c r="AB17" i="43"/>
  <c r="R6" i="45" s="1"/>
  <c r="AB16" i="43"/>
  <c r="R5" i="45" s="1"/>
  <c r="AB20" i="43"/>
  <c r="AU5" i="45"/>
  <c r="O13" i="45"/>
  <c r="AU13" i="45" s="1"/>
  <c r="AE22" i="43"/>
  <c r="I15" i="45"/>
  <c r="AO15" i="45" s="1"/>
  <c r="AO7" i="45"/>
  <c r="AP17" i="43"/>
  <c r="AP20" i="43"/>
  <c r="AP19" i="43"/>
  <c r="AP16" i="43"/>
  <c r="AF5" i="45" s="1"/>
  <c r="AP21" i="43"/>
  <c r="Q13" i="45"/>
  <c r="AW13" i="45" s="1"/>
  <c r="AW5" i="45"/>
  <c r="AO18" i="43"/>
  <c r="AE7" i="45" s="1"/>
  <c r="U284" i="48"/>
  <c r="V304" i="48"/>
  <c r="V359" i="48"/>
  <c r="V293" i="48"/>
  <c r="U307" i="48"/>
  <c r="U298" i="48"/>
  <c r="U126" i="48"/>
  <c r="U128" i="48" s="1"/>
  <c r="V125" i="48"/>
  <c r="U127" i="48"/>
  <c r="T197" i="48"/>
  <c r="T199" i="48"/>
  <c r="U195" i="48"/>
  <c r="V283" i="48"/>
  <c r="V291" i="48"/>
  <c r="W290" i="48"/>
  <c r="U282" i="48"/>
  <c r="V285" i="48"/>
  <c r="V131" i="48"/>
  <c r="V308" i="48"/>
  <c r="V297" i="48"/>
  <c r="U305" i="48"/>
  <c r="T137" i="48"/>
  <c r="T136" i="48"/>
  <c r="T135" i="48"/>
  <c r="V287" i="48"/>
  <c r="V306" i="48"/>
  <c r="W130" i="48"/>
  <c r="U286" i="48"/>
  <c r="U191" i="48"/>
  <c r="U193" i="48" s="1"/>
  <c r="U200" i="48" s="1"/>
  <c r="U370" i="48" s="1"/>
  <c r="V190" i="48"/>
  <c r="U192" i="48"/>
  <c r="X296" i="48"/>
  <c r="T371" i="48"/>
  <c r="U299" i="48"/>
  <c r="V132" i="48"/>
  <c r="W292" i="48"/>
  <c r="U303" i="48"/>
  <c r="U293" i="46"/>
  <c r="V290" i="46"/>
  <c r="U291" i="46"/>
  <c r="V130" i="46"/>
  <c r="V307" i="46"/>
  <c r="V282" i="46"/>
  <c r="U126" i="46"/>
  <c r="U128" i="46" s="1"/>
  <c r="V125" i="46"/>
  <c r="U127" i="46"/>
  <c r="V306" i="46"/>
  <c r="U132" i="46"/>
  <c r="U133" i="46" s="1"/>
  <c r="T371" i="46"/>
  <c r="W298" i="46"/>
  <c r="T136" i="46"/>
  <c r="T137" i="46"/>
  <c r="V303" i="46"/>
  <c r="U297" i="46"/>
  <c r="X131" i="46"/>
  <c r="U292" i="46"/>
  <c r="U296" i="46"/>
  <c r="T133" i="46"/>
  <c r="U304" i="46"/>
  <c r="V285" i="46"/>
  <c r="V284" i="46"/>
  <c r="U286" i="46"/>
  <c r="V308" i="46"/>
  <c r="T199" i="46"/>
  <c r="U195" i="46"/>
  <c r="T197" i="46"/>
  <c r="U191" i="46"/>
  <c r="U193" i="46" s="1"/>
  <c r="U200" i="46" s="1"/>
  <c r="U370" i="46" s="1"/>
  <c r="V190" i="46"/>
  <c r="U192" i="46"/>
  <c r="U305" i="46"/>
  <c r="V299" i="46"/>
  <c r="W283" i="46"/>
  <c r="X287" i="46"/>
  <c r="AJ10" i="45"/>
  <c r="D14" i="45"/>
  <c r="AJ14" i="45" s="1"/>
  <c r="D12" i="45"/>
  <c r="AJ12" i="45" s="1"/>
  <c r="M12" i="44"/>
  <c r="D57" i="44" s="1"/>
  <c r="E29" i="44"/>
  <c r="E75" i="44"/>
  <c r="E77" i="44" s="1"/>
  <c r="AJ9" i="43"/>
  <c r="Z52" i="58" s="1"/>
  <c r="BF52" i="58" s="1"/>
  <c r="CL52" i="58" s="1"/>
  <c r="CL53" i="58" s="1"/>
  <c r="CL54" i="58" s="1"/>
  <c r="G4" i="45"/>
  <c r="Q10" i="43"/>
  <c r="AO9" i="43"/>
  <c r="M4" i="45"/>
  <c r="W10" i="43"/>
  <c r="AA4" i="45"/>
  <c r="AK10" i="43"/>
  <c r="R4" i="45"/>
  <c r="AB10" i="43"/>
  <c r="AA9" i="43"/>
  <c r="V9" i="43"/>
  <c r="E28" i="44"/>
  <c r="C57" i="44" s="1"/>
  <c r="E23" i="44"/>
  <c r="AF4" i="45"/>
  <c r="AP10" i="43"/>
  <c r="V4" i="45"/>
  <c r="AF10" i="43"/>
  <c r="N13" i="43"/>
  <c r="AE9" i="43"/>
  <c r="P3" i="45"/>
  <c r="P9" i="45" s="1"/>
  <c r="AV9" i="45" s="1"/>
  <c r="AQ3" i="43"/>
  <c r="AP8" i="43"/>
  <c r="AF47" i="58" s="1"/>
  <c r="BL47" i="58" s="1"/>
  <c r="CR47" i="58" s="1"/>
  <c r="CR48" i="58" s="1"/>
  <c r="AP11" i="43"/>
  <c r="AP7" i="43"/>
  <c r="AF42" i="58" s="1"/>
  <c r="BL42" i="58" s="1"/>
  <c r="CR42" i="58" s="1"/>
  <c r="CR43" i="58" s="1"/>
  <c r="AP12" i="43"/>
  <c r="W7" i="43"/>
  <c r="M42" i="58" s="1"/>
  <c r="AS42" i="58" s="1"/>
  <c r="BY42" i="58" s="1"/>
  <c r="BY43" i="58" s="1"/>
  <c r="W12" i="43"/>
  <c r="W11" i="43"/>
  <c r="W8" i="43"/>
  <c r="M47" i="58" s="1"/>
  <c r="AS47" i="58" s="1"/>
  <c r="BY47" i="58" s="1"/>
  <c r="BY48" i="58" s="1"/>
  <c r="AL3" i="43"/>
  <c r="AK8" i="43"/>
  <c r="AA47" i="58" s="1"/>
  <c r="BG47" i="58" s="1"/>
  <c r="CM47" i="58" s="1"/>
  <c r="CM48" i="58" s="1"/>
  <c r="AK11" i="43"/>
  <c r="AK7" i="43"/>
  <c r="AA42" i="58" s="1"/>
  <c r="BG42" i="58" s="1"/>
  <c r="CM42" i="58" s="1"/>
  <c r="CM43" i="58" s="1"/>
  <c r="AK12" i="43"/>
  <c r="AG3" i="43"/>
  <c r="AF7" i="43"/>
  <c r="V42" i="58" s="1"/>
  <c r="BB42" i="58" s="1"/>
  <c r="CH42" i="58" s="1"/>
  <c r="CH43" i="58" s="1"/>
  <c r="AF8" i="43"/>
  <c r="V47" i="58" s="1"/>
  <c r="BB47" i="58" s="1"/>
  <c r="CH47" i="58" s="1"/>
  <c r="CH48" i="58" s="1"/>
  <c r="AF11" i="43"/>
  <c r="AF12" i="43"/>
  <c r="R3" i="43"/>
  <c r="Q8" i="43"/>
  <c r="G47" i="58" s="1"/>
  <c r="AM47" i="58" s="1"/>
  <c r="BS47" i="58" s="1"/>
  <c r="BS48" i="58" s="1"/>
  <c r="Q11" i="43"/>
  <c r="Q12" i="43"/>
  <c r="Q7" i="43"/>
  <c r="G42" i="58" s="1"/>
  <c r="AM42" i="58" s="1"/>
  <c r="BS42" i="58" s="1"/>
  <c r="BS43" i="58" s="1"/>
  <c r="AG17" i="44"/>
  <c r="AH17" i="44" s="1"/>
  <c r="AG12" i="44"/>
  <c r="AH12" i="44" s="1"/>
  <c r="AG14" i="44"/>
  <c r="AH14" i="44" s="1"/>
  <c r="AG16" i="44"/>
  <c r="AH16" i="44" s="1"/>
  <c r="AA14" i="44"/>
  <c r="AB14" i="44" s="1"/>
  <c r="AA12" i="44"/>
  <c r="AB12" i="44" s="1"/>
  <c r="AA15" i="44"/>
  <c r="AB15" i="44" s="1"/>
  <c r="AG13" i="44"/>
  <c r="AH13" i="44" s="1"/>
  <c r="AG15" i="44"/>
  <c r="AH15" i="44" s="1"/>
  <c r="AG18" i="44"/>
  <c r="AA13" i="44"/>
  <c r="AB13" i="44" s="1"/>
  <c r="AA11" i="44"/>
  <c r="E5" i="44"/>
  <c r="E22" i="44"/>
  <c r="D6" i="44"/>
  <c r="AB7" i="43"/>
  <c r="R42" i="58" s="1"/>
  <c r="AX42" i="58" s="1"/>
  <c r="CD42" i="58" s="1"/>
  <c r="CD43" i="58" s="1"/>
  <c r="AB11" i="43"/>
  <c r="AB12" i="43"/>
  <c r="AB8" i="43"/>
  <c r="R47" i="58" s="1"/>
  <c r="AX47" i="58" s="1"/>
  <c r="CD47" i="58" s="1"/>
  <c r="CD48" i="58" s="1"/>
  <c r="F14" i="8"/>
  <c r="P13" i="43" l="1"/>
  <c r="CT54" i="58"/>
  <c r="Z22" i="43"/>
  <c r="AB18" i="43"/>
  <c r="R7" i="45" s="1"/>
  <c r="R15" i="45" s="1"/>
  <c r="AX15" i="45" s="1"/>
  <c r="AJ13" i="43"/>
  <c r="W18" i="43"/>
  <c r="M7" i="45" s="1"/>
  <c r="AF18" i="43"/>
  <c r="V7" i="45" s="1"/>
  <c r="BB7" i="45" s="1"/>
  <c r="AA6" i="45"/>
  <c r="BG6" i="45" s="1"/>
  <c r="CJ54" i="58"/>
  <c r="CJ44" i="58"/>
  <c r="CJ49" i="58"/>
  <c r="CL49" i="58"/>
  <c r="CK54" i="58"/>
  <c r="CK44" i="58"/>
  <c r="CK49" i="58"/>
  <c r="BU6" i="58"/>
  <c r="BU11" i="58"/>
  <c r="G6" i="45"/>
  <c r="AM6" i="45" s="1"/>
  <c r="BW6" i="58"/>
  <c r="BW11" i="58"/>
  <c r="BV54" i="58"/>
  <c r="BV49" i="58"/>
  <c r="BV44" i="58"/>
  <c r="CE54" i="58"/>
  <c r="CE49" i="58"/>
  <c r="CE44" i="58"/>
  <c r="BQ54" i="58"/>
  <c r="BQ44" i="58"/>
  <c r="BQ49" i="58"/>
  <c r="CT49" i="58"/>
  <c r="CT11" i="58" s="1"/>
  <c r="BR49" i="58"/>
  <c r="AE13" i="43"/>
  <c r="U52" i="58"/>
  <c r="BA52" i="58" s="1"/>
  <c r="CG52" i="58" s="1"/>
  <c r="CG53" i="58" s="1"/>
  <c r="V13" i="43"/>
  <c r="L52" i="58"/>
  <c r="AR52" i="58" s="1"/>
  <c r="BX52" i="58" s="1"/>
  <c r="BX53" i="58" s="1"/>
  <c r="CL44" i="58"/>
  <c r="CL6" i="58" s="1"/>
  <c r="B68" i="60"/>
  <c r="R5" i="60"/>
  <c r="B17" i="60"/>
  <c r="CP11" i="58"/>
  <c r="BR44" i="58"/>
  <c r="AA13" i="43"/>
  <c r="Q52" i="58"/>
  <c r="AW52" i="58" s="1"/>
  <c r="CC52" i="58" s="1"/>
  <c r="CC53" i="58" s="1"/>
  <c r="AO13" i="43"/>
  <c r="AE52" i="58"/>
  <c r="BK52" i="58" s="1"/>
  <c r="CQ52" i="58" s="1"/>
  <c r="CQ53" i="58" s="1"/>
  <c r="AF6" i="45"/>
  <c r="BL6" i="45" s="1"/>
  <c r="M6" i="45"/>
  <c r="AS6" i="45" s="1"/>
  <c r="CT6" i="58"/>
  <c r="BZ54" i="58"/>
  <c r="BZ49" i="58"/>
  <c r="BZ44" i="58"/>
  <c r="BP52" i="58"/>
  <c r="BP53" i="58" s="1"/>
  <c r="DE18" i="58"/>
  <c r="CF6" i="58"/>
  <c r="CF11" i="58"/>
  <c r="CA54" i="58"/>
  <c r="CA49" i="58"/>
  <c r="CA44" i="58"/>
  <c r="CB6" i="58"/>
  <c r="CB11" i="58"/>
  <c r="AF143" i="55"/>
  <c r="BK143" i="55"/>
  <c r="DW143" i="55" s="1"/>
  <c r="BL140" i="55"/>
  <c r="DX140" i="55" s="1"/>
  <c r="AG140" i="55"/>
  <c r="BM140" i="55" s="1"/>
  <c r="DY140" i="55" s="1"/>
  <c r="BK144" i="55"/>
  <c r="AF144" i="55"/>
  <c r="AE145" i="55"/>
  <c r="BJ145" i="55"/>
  <c r="AF139" i="55"/>
  <c r="BK139" i="55"/>
  <c r="DW139" i="55" s="1"/>
  <c r="BK163" i="55"/>
  <c r="DW163" i="55" s="1"/>
  <c r="AF163" i="55"/>
  <c r="AE166" i="55"/>
  <c r="BJ166" i="55"/>
  <c r="DV166" i="55" s="1"/>
  <c r="AD168" i="55"/>
  <c r="BI168" i="55"/>
  <c r="CP162" i="55"/>
  <c r="AE164" i="55"/>
  <c r="BJ164" i="55"/>
  <c r="DV164" i="55" s="1"/>
  <c r="AE165" i="55"/>
  <c r="BJ165" i="55"/>
  <c r="DV165" i="55" s="1"/>
  <c r="AE162" i="55"/>
  <c r="BJ162" i="55"/>
  <c r="DV162" i="55" s="1"/>
  <c r="AE167" i="55"/>
  <c r="BJ167" i="55"/>
  <c r="AE98" i="55"/>
  <c r="BJ98" i="55"/>
  <c r="BJ118" i="55"/>
  <c r="DV118" i="55" s="1"/>
  <c r="AE118" i="55"/>
  <c r="BJ97" i="55"/>
  <c r="DV97" i="55" s="1"/>
  <c r="AE97" i="55"/>
  <c r="BJ70" i="55"/>
  <c r="DV70" i="55" s="1"/>
  <c r="AE70" i="55"/>
  <c r="AF71" i="55"/>
  <c r="BK71" i="55"/>
  <c r="DW71" i="55" s="1"/>
  <c r="CP70" i="55"/>
  <c r="AF94" i="55"/>
  <c r="BK94" i="55"/>
  <c r="DW94" i="55" s="1"/>
  <c r="CP93" i="55"/>
  <c r="BI76" i="55"/>
  <c r="AD76" i="55"/>
  <c r="AD119" i="55"/>
  <c r="BI119" i="55"/>
  <c r="DU119" i="55" s="1"/>
  <c r="AE75" i="55"/>
  <c r="BJ75" i="55"/>
  <c r="AE74" i="55"/>
  <c r="BJ74" i="55"/>
  <c r="DV74" i="55" s="1"/>
  <c r="BJ122" i="55"/>
  <c r="AE122" i="55"/>
  <c r="BJ120" i="55"/>
  <c r="DV120" i="55" s="1"/>
  <c r="AE120" i="55"/>
  <c r="BJ93" i="55"/>
  <c r="DV93" i="55" s="1"/>
  <c r="AE93" i="55"/>
  <c r="AE121" i="55"/>
  <c r="BJ121" i="55"/>
  <c r="CO116" i="55"/>
  <c r="BJ116" i="55"/>
  <c r="DV116" i="55" s="1"/>
  <c r="AE116" i="55"/>
  <c r="BK117" i="55"/>
  <c r="DW117" i="55" s="1"/>
  <c r="AF117" i="55"/>
  <c r="BI99" i="55"/>
  <c r="AD99" i="55"/>
  <c r="CR97" i="55"/>
  <c r="BJ51" i="55"/>
  <c r="DV51" i="55" s="1"/>
  <c r="AE51" i="55"/>
  <c r="BJ49" i="55"/>
  <c r="DV49" i="55" s="1"/>
  <c r="AE49" i="55"/>
  <c r="AD50" i="55"/>
  <c r="BI50" i="55"/>
  <c r="DU50" i="55" s="1"/>
  <c r="AE47" i="55"/>
  <c r="BJ47" i="55"/>
  <c r="DV47" i="55" s="1"/>
  <c r="AE53" i="55"/>
  <c r="BJ53" i="55"/>
  <c r="AE52" i="55"/>
  <c r="BJ52" i="55"/>
  <c r="AF48" i="55"/>
  <c r="BK48" i="55"/>
  <c r="DW48" i="55" s="1"/>
  <c r="AG32" i="55"/>
  <c r="BM32" i="55" s="1"/>
  <c r="BL32" i="55"/>
  <c r="AG31" i="55"/>
  <c r="BM31" i="55" s="1"/>
  <c r="BL31" i="55"/>
  <c r="CQ24" i="55"/>
  <c r="AF28" i="55"/>
  <c r="BK28" i="55"/>
  <c r="DW28" i="55" s="1"/>
  <c r="AF29" i="55"/>
  <c r="BK29" i="55"/>
  <c r="AG25" i="55"/>
  <c r="BM25" i="55" s="1"/>
  <c r="DY25" i="55" s="1"/>
  <c r="BL25" i="55"/>
  <c r="DX25" i="55" s="1"/>
  <c r="AE30" i="55"/>
  <c r="BJ30" i="55"/>
  <c r="AF24" i="55"/>
  <c r="BL24" i="55" s="1"/>
  <c r="DX24" i="55" s="1"/>
  <c r="AE204" i="55"/>
  <c r="AE205" i="55" s="1"/>
  <c r="AF3" i="55"/>
  <c r="AS4" i="45"/>
  <c r="L5" i="52"/>
  <c r="AX4" i="45"/>
  <c r="Q5" i="52"/>
  <c r="AM4" i="45"/>
  <c r="F5" i="52"/>
  <c r="BB4" i="45"/>
  <c r="U5" i="52"/>
  <c r="BL4" i="45"/>
  <c r="AE5" i="52"/>
  <c r="BG4" i="45"/>
  <c r="Z5" i="52"/>
  <c r="AF247" i="53"/>
  <c r="AD170" i="54"/>
  <c r="AC175" i="54"/>
  <c r="AD90" i="54"/>
  <c r="AC93" i="54"/>
  <c r="AD92" i="54"/>
  <c r="Z105" i="54"/>
  <c r="Z104" i="54"/>
  <c r="Z103" i="54"/>
  <c r="AB258" i="54"/>
  <c r="AB179" i="54"/>
  <c r="AB259" i="54" s="1"/>
  <c r="AC178" i="54"/>
  <c r="AC173" i="54"/>
  <c r="AD91" i="54"/>
  <c r="AD174" i="54"/>
  <c r="AD172" i="54"/>
  <c r="AC195" i="54"/>
  <c r="AD186" i="54"/>
  <c r="AA97" i="54"/>
  <c r="AA101" i="54"/>
  <c r="AA96" i="54"/>
  <c r="AA95" i="54"/>
  <c r="AD171" i="54"/>
  <c r="AE181" i="54"/>
  <c r="AB86" i="54"/>
  <c r="AB88" i="54" s="1"/>
  <c r="AC85" i="54"/>
  <c r="AB87" i="54"/>
  <c r="AB100" i="54" s="1"/>
  <c r="AF192" i="54"/>
  <c r="AC193" i="54"/>
  <c r="AC194" i="54"/>
  <c r="AC180" i="54"/>
  <c r="AD185" i="54"/>
  <c r="AD196" i="54"/>
  <c r="AC191" i="54"/>
  <c r="AD125" i="54"/>
  <c r="AE123" i="54"/>
  <c r="AD127" i="54"/>
  <c r="AC184" i="54"/>
  <c r="AC187" i="54"/>
  <c r="AB97" i="53"/>
  <c r="AE91" i="53"/>
  <c r="AC193" i="53"/>
  <c r="AC184" i="53"/>
  <c r="AC192" i="53"/>
  <c r="AC95" i="53"/>
  <c r="AD90" i="53"/>
  <c r="AE173" i="53"/>
  <c r="AD171" i="53"/>
  <c r="AE174" i="53"/>
  <c r="AE181" i="53"/>
  <c r="AD195" i="53"/>
  <c r="AD123" i="53"/>
  <c r="AC125" i="53"/>
  <c r="AC96" i="53"/>
  <c r="AC170" i="53"/>
  <c r="AB258" i="53"/>
  <c r="AC178" i="53"/>
  <c r="AB179" i="53"/>
  <c r="AB259" i="53" s="1"/>
  <c r="AB127" i="53"/>
  <c r="AD172" i="53"/>
  <c r="AD86" i="53"/>
  <c r="AD88" i="53" s="1"/>
  <c r="AE85" i="53"/>
  <c r="AD87" i="53"/>
  <c r="AE194" i="53"/>
  <c r="AD186" i="53"/>
  <c r="AD187" i="53"/>
  <c r="AC92" i="53"/>
  <c r="AD118" i="53"/>
  <c r="AC119" i="53"/>
  <c r="AC121" i="53" s="1"/>
  <c r="AC128" i="53" s="1"/>
  <c r="AC120" i="53"/>
  <c r="AC185" i="53"/>
  <c r="AE191" i="53"/>
  <c r="AC175" i="53"/>
  <c r="AC180" i="53"/>
  <c r="AC196" i="53"/>
  <c r="BG45" i="51"/>
  <c r="AE3" i="51"/>
  <c r="AB45" i="51"/>
  <c r="AB11" i="44"/>
  <c r="F59" i="44" s="1"/>
  <c r="R17" i="43"/>
  <c r="R19" i="43"/>
  <c r="R16" i="43"/>
  <c r="H5" i="45" s="1"/>
  <c r="R21" i="43"/>
  <c r="R20" i="43"/>
  <c r="AP18" i="43"/>
  <c r="AF7" i="45" s="1"/>
  <c r="AK18" i="43"/>
  <c r="AA7" i="45" s="1"/>
  <c r="AF22" i="43"/>
  <c r="BB6" i="45"/>
  <c r="T15" i="45"/>
  <c r="AZ15" i="45" s="1"/>
  <c r="AZ7" i="45"/>
  <c r="L15" i="45"/>
  <c r="AR15" i="45" s="1"/>
  <c r="AR7" i="45"/>
  <c r="Q18" i="43"/>
  <c r="G7" i="45" s="1"/>
  <c r="AL20" i="43"/>
  <c r="AL16" i="43"/>
  <c r="AB5" i="45" s="1"/>
  <c r="AL21" i="43"/>
  <c r="AL19" i="43"/>
  <c r="AL17" i="43"/>
  <c r="AE15" i="45"/>
  <c r="BK15" i="45" s="1"/>
  <c r="BK7" i="45"/>
  <c r="AX6" i="45"/>
  <c r="AA22" i="43"/>
  <c r="BF7" i="45"/>
  <c r="Z15" i="45"/>
  <c r="BF15" i="45" s="1"/>
  <c r="AQ19" i="43"/>
  <c r="AQ17" i="43"/>
  <c r="AQ16" i="43"/>
  <c r="AG5" i="45" s="1"/>
  <c r="AQ21" i="43"/>
  <c r="AQ20" i="43"/>
  <c r="BB5" i="45"/>
  <c r="V13" i="45"/>
  <c r="BB13" i="45" s="1"/>
  <c r="U15" i="45"/>
  <c r="BA15" i="45" s="1"/>
  <c r="BA7" i="45"/>
  <c r="AX7" i="45"/>
  <c r="W22" i="43"/>
  <c r="AO22" i="43"/>
  <c r="Y15" i="45"/>
  <c r="BE15" i="45" s="1"/>
  <c r="BE7" i="45"/>
  <c r="AX5" i="45"/>
  <c r="R13" i="45"/>
  <c r="AX13" i="45" s="1"/>
  <c r="AG17" i="43"/>
  <c r="AG16" i="43"/>
  <c r="W5" i="45" s="1"/>
  <c r="AG21" i="43"/>
  <c r="AG20" i="43"/>
  <c r="AG19" i="43"/>
  <c r="BK5" i="45"/>
  <c r="AE13" i="45"/>
  <c r="BK13" i="45" s="1"/>
  <c r="AJ22" i="43"/>
  <c r="P15" i="45"/>
  <c r="AV15" i="45" s="1"/>
  <c r="AV7" i="45"/>
  <c r="BL5" i="45"/>
  <c r="AF13" i="45"/>
  <c r="BL13" i="45" s="1"/>
  <c r="AK22" i="43"/>
  <c r="M13" i="45"/>
  <c r="AS13" i="45" s="1"/>
  <c r="AS5" i="45"/>
  <c r="V303" i="48"/>
  <c r="Y296" i="48"/>
  <c r="U371" i="48"/>
  <c r="W131" i="48"/>
  <c r="X290" i="48"/>
  <c r="W291" i="48"/>
  <c r="U136" i="48"/>
  <c r="U137" i="48"/>
  <c r="U135" i="48"/>
  <c r="V298" i="48"/>
  <c r="W293" i="48"/>
  <c r="V284" i="48"/>
  <c r="W132" i="48"/>
  <c r="W287" i="48"/>
  <c r="W297" i="48"/>
  <c r="W283" i="48"/>
  <c r="X292" i="48"/>
  <c r="V286" i="48"/>
  <c r="X130" i="48"/>
  <c r="W306" i="48"/>
  <c r="V305" i="48"/>
  <c r="W308" i="48"/>
  <c r="W285" i="48"/>
  <c r="V282" i="48"/>
  <c r="V307" i="48"/>
  <c r="W304" i="48"/>
  <c r="V299" i="48"/>
  <c r="V191" i="48"/>
  <c r="V193" i="48" s="1"/>
  <c r="V200" i="48" s="1"/>
  <c r="V370" i="48" s="1"/>
  <c r="W190" i="48"/>
  <c r="V192" i="48"/>
  <c r="V133" i="48"/>
  <c r="U199" i="48"/>
  <c r="V195" i="48"/>
  <c r="U197" i="48"/>
  <c r="W125" i="48"/>
  <c r="V126" i="48"/>
  <c r="V128" i="48" s="1"/>
  <c r="V127" i="48"/>
  <c r="W359" i="48"/>
  <c r="W299" i="46"/>
  <c r="Y287" i="46"/>
  <c r="X283" i="46"/>
  <c r="U197" i="46"/>
  <c r="U199" i="46"/>
  <c r="V195" i="46"/>
  <c r="W308" i="46"/>
  <c r="W284" i="46"/>
  <c r="V292" i="46"/>
  <c r="X298" i="46"/>
  <c r="U136" i="46"/>
  <c r="U137" i="46"/>
  <c r="U135" i="46"/>
  <c r="V293" i="46"/>
  <c r="W285" i="46"/>
  <c r="V304" i="46"/>
  <c r="W303" i="46"/>
  <c r="W307" i="46"/>
  <c r="U371" i="46"/>
  <c r="V286" i="46"/>
  <c r="V296" i="46"/>
  <c r="W282" i="46"/>
  <c r="W290" i="46"/>
  <c r="V291" i="46"/>
  <c r="V305" i="46"/>
  <c r="W190" i="46"/>
  <c r="V191" i="46"/>
  <c r="V193" i="46" s="1"/>
  <c r="V200" i="46" s="1"/>
  <c r="V370" i="46" s="1"/>
  <c r="V192" i="46"/>
  <c r="Y131" i="46"/>
  <c r="V297" i="46"/>
  <c r="V132" i="46"/>
  <c r="V133" i="46" s="1"/>
  <c r="W306" i="46"/>
  <c r="V126" i="46"/>
  <c r="V128" i="46" s="1"/>
  <c r="V135" i="46" s="1"/>
  <c r="W125" i="46"/>
  <c r="V127" i="46"/>
  <c r="W130" i="46"/>
  <c r="I110" i="24"/>
  <c r="H61" i="33" s="1"/>
  <c r="I96" i="24"/>
  <c r="H60" i="33" s="1"/>
  <c r="D62" i="44"/>
  <c r="D63" i="44" s="1"/>
  <c r="G59" i="44"/>
  <c r="G62" i="44" s="1"/>
  <c r="AP9" i="43"/>
  <c r="AF52" i="58" s="1"/>
  <c r="BL52" i="58" s="1"/>
  <c r="CR52" i="58" s="1"/>
  <c r="CR53" i="58" s="1"/>
  <c r="CR54" i="58" s="1"/>
  <c r="AB4" i="45"/>
  <c r="AL10" i="43"/>
  <c r="AG4" i="45"/>
  <c r="AQ10" i="43"/>
  <c r="W9" i="43"/>
  <c r="AF9" i="43"/>
  <c r="H4" i="45"/>
  <c r="R10" i="43"/>
  <c r="AB9" i="43"/>
  <c r="AK9" i="43"/>
  <c r="W4" i="45"/>
  <c r="AG10" i="43"/>
  <c r="T3" i="44"/>
  <c r="T4" i="44"/>
  <c r="Q9" i="43"/>
  <c r="Q3" i="45"/>
  <c r="Q9" i="45" s="1"/>
  <c r="AW9" i="45" s="1"/>
  <c r="R8" i="43"/>
  <c r="H47" i="58" s="1"/>
  <c r="AN47" i="58" s="1"/>
  <c r="BT47" i="58" s="1"/>
  <c r="BT48" i="58" s="1"/>
  <c r="R11" i="43"/>
  <c r="R12" i="43"/>
  <c r="R7" i="43"/>
  <c r="H42" i="58" s="1"/>
  <c r="AN42" i="58" s="1"/>
  <c r="BT42" i="58" s="1"/>
  <c r="BT43" i="58" s="1"/>
  <c r="AL8" i="43"/>
  <c r="AB47" i="58" s="1"/>
  <c r="BH47" i="58" s="1"/>
  <c r="CN47" i="58" s="1"/>
  <c r="CN48" i="58" s="1"/>
  <c r="AL7" i="43"/>
  <c r="AB42" i="58" s="1"/>
  <c r="BH42" i="58" s="1"/>
  <c r="CN42" i="58" s="1"/>
  <c r="CN43" i="58" s="1"/>
  <c r="AL12" i="43"/>
  <c r="AL11" i="43"/>
  <c r="AG8" i="43"/>
  <c r="W47" i="58" s="1"/>
  <c r="BC47" i="58" s="1"/>
  <c r="CI47" i="58" s="1"/>
  <c r="CI48" i="58" s="1"/>
  <c r="AG11" i="43"/>
  <c r="AG12" i="43"/>
  <c r="AG7" i="43"/>
  <c r="W42" i="58" s="1"/>
  <c r="BC42" i="58" s="1"/>
  <c r="CI42" i="58" s="1"/>
  <c r="CI43" i="58" s="1"/>
  <c r="AQ7" i="43"/>
  <c r="AG42" i="58" s="1"/>
  <c r="BM42" i="58" s="1"/>
  <c r="CS42" i="58" s="1"/>
  <c r="CS43" i="58" s="1"/>
  <c r="AQ12" i="43"/>
  <c r="AQ8" i="43"/>
  <c r="AG47" i="58" s="1"/>
  <c r="BM47" i="58" s="1"/>
  <c r="CS47" i="58" s="1"/>
  <c r="CS48" i="58" s="1"/>
  <c r="AQ11" i="43"/>
  <c r="D32" i="36"/>
  <c r="D64" i="36"/>
  <c r="B6" i="3"/>
  <c r="D7" i="36"/>
  <c r="AN10" i="12" s="1"/>
  <c r="AO10" i="12" s="1"/>
  <c r="V15" i="45" l="1"/>
  <c r="BB15" i="45" s="1"/>
  <c r="AB22" i="43"/>
  <c r="BQ11" i="58"/>
  <c r="Q22" i="43"/>
  <c r="AP13" i="43"/>
  <c r="W133" i="48"/>
  <c r="CK11" i="58"/>
  <c r="AB13" i="43"/>
  <c r="R52" i="58"/>
  <c r="AX52" i="58" s="1"/>
  <c r="CD52" i="58" s="1"/>
  <c r="CD53" i="58" s="1"/>
  <c r="AG6" i="45"/>
  <c r="BM6" i="45" s="1"/>
  <c r="CA11" i="58"/>
  <c r="CA6" i="58"/>
  <c r="BR11" i="58"/>
  <c r="BR6" i="58"/>
  <c r="CG54" i="58"/>
  <c r="CG44" i="58"/>
  <c r="CG49" i="58"/>
  <c r="CR49" i="58"/>
  <c r="AK13" i="43"/>
  <c r="AA52" i="58"/>
  <c r="BG52" i="58" s="1"/>
  <c r="CM52" i="58" s="1"/>
  <c r="CM53" i="58" s="1"/>
  <c r="AB6" i="45"/>
  <c r="BH6" i="45" s="1"/>
  <c r="BV6" i="58"/>
  <c r="BV11" i="58"/>
  <c r="AG18" i="43"/>
  <c r="W7" i="45" s="1"/>
  <c r="W15" i="45" s="1"/>
  <c r="BC15" i="45" s="1"/>
  <c r="H6" i="45"/>
  <c r="AN6" i="45" s="1"/>
  <c r="BZ6" i="58"/>
  <c r="BZ11" i="58"/>
  <c r="Q13" i="43"/>
  <c r="G52" i="58"/>
  <c r="AM52" i="58" s="1"/>
  <c r="BS52" i="58" s="1"/>
  <c r="BS53" i="58" s="1"/>
  <c r="CR44" i="58"/>
  <c r="CQ54" i="58"/>
  <c r="CQ44" i="58"/>
  <c r="CQ49" i="58"/>
  <c r="CE6" i="58"/>
  <c r="CE11" i="58"/>
  <c r="CJ6" i="58"/>
  <c r="CJ11" i="58"/>
  <c r="BP54" i="58"/>
  <c r="BP44" i="58"/>
  <c r="BP49" i="58"/>
  <c r="CK6" i="58"/>
  <c r="AF13" i="43"/>
  <c r="V52" i="58"/>
  <c r="BB52" i="58" s="1"/>
  <c r="CH52" i="58" s="1"/>
  <c r="CH53" i="58" s="1"/>
  <c r="CC54" i="58"/>
  <c r="CC49" i="58"/>
  <c r="CC44" i="58"/>
  <c r="BX54" i="58"/>
  <c r="BX44" i="58"/>
  <c r="BX49" i="58"/>
  <c r="W13" i="43"/>
  <c r="M52" i="58"/>
  <c r="AS52" i="58" s="1"/>
  <c r="BY52" i="58" s="1"/>
  <c r="BY53" i="58" s="1"/>
  <c r="W6" i="45"/>
  <c r="BC6" i="45" s="1"/>
  <c r="BQ6" i="58"/>
  <c r="CL11" i="58"/>
  <c r="BK145" i="55"/>
  <c r="AF145" i="55"/>
  <c r="BL144" i="55"/>
  <c r="AG144" i="55"/>
  <c r="BM144" i="55" s="1"/>
  <c r="AG139" i="55"/>
  <c r="BM139" i="55" s="1"/>
  <c r="DY139" i="55" s="1"/>
  <c r="BL139" i="55"/>
  <c r="DX139" i="55" s="1"/>
  <c r="BL143" i="55"/>
  <c r="DX143" i="55" s="1"/>
  <c r="AG143" i="55"/>
  <c r="BM143" i="55" s="1"/>
  <c r="DY143" i="55" s="1"/>
  <c r="AE168" i="55"/>
  <c r="BJ168" i="55"/>
  <c r="AF165" i="55"/>
  <c r="BK165" i="55"/>
  <c r="DW165" i="55" s="1"/>
  <c r="AF164" i="55"/>
  <c r="BK164" i="55"/>
  <c r="DW164" i="55" s="1"/>
  <c r="AF167" i="55"/>
  <c r="BK167" i="55"/>
  <c r="CQ162" i="55"/>
  <c r="BK166" i="55"/>
  <c r="DW166" i="55" s="1"/>
  <c r="AF166" i="55"/>
  <c r="AF162" i="55"/>
  <c r="BK162" i="55"/>
  <c r="DW162" i="55" s="1"/>
  <c r="BL163" i="55"/>
  <c r="DX163" i="55" s="1"/>
  <c r="AG163" i="55"/>
  <c r="BM163" i="55" s="1"/>
  <c r="DY163" i="55" s="1"/>
  <c r="AF118" i="55"/>
  <c r="BK118" i="55"/>
  <c r="DW118" i="55" s="1"/>
  <c r="AF120" i="55"/>
  <c r="BK120" i="55"/>
  <c r="DW120" i="55" s="1"/>
  <c r="CP116" i="55"/>
  <c r="AF75" i="55"/>
  <c r="BK75" i="55"/>
  <c r="BL71" i="55"/>
  <c r="DX71" i="55" s="1"/>
  <c r="AG71" i="55"/>
  <c r="BM71" i="55" s="1"/>
  <c r="DY71" i="55" s="1"/>
  <c r="AE99" i="55"/>
  <c r="BJ99" i="55"/>
  <c r="BK122" i="55"/>
  <c r="AF122" i="55"/>
  <c r="CQ93" i="55"/>
  <c r="AF70" i="55"/>
  <c r="BK70" i="55"/>
  <c r="DW70" i="55" s="1"/>
  <c r="BL117" i="55"/>
  <c r="DX117" i="55" s="1"/>
  <c r="AG117" i="55"/>
  <c r="BM117" i="55" s="1"/>
  <c r="DY117" i="55" s="1"/>
  <c r="BK121" i="55"/>
  <c r="AF121" i="55"/>
  <c r="BJ119" i="55"/>
  <c r="DV119" i="55" s="1"/>
  <c r="AE119" i="55"/>
  <c r="AG94" i="55"/>
  <c r="BM94" i="55" s="1"/>
  <c r="DY94" i="55" s="1"/>
  <c r="BL94" i="55"/>
  <c r="DX94" i="55" s="1"/>
  <c r="BK98" i="55"/>
  <c r="AF98" i="55"/>
  <c r="AF93" i="55"/>
  <c r="BK93" i="55"/>
  <c r="DW93" i="55" s="1"/>
  <c r="BK74" i="55"/>
  <c r="DW74" i="55" s="1"/>
  <c r="AF74" i="55"/>
  <c r="AE76" i="55"/>
  <c r="BJ76" i="55"/>
  <c r="BK97" i="55"/>
  <c r="DW97" i="55" s="1"/>
  <c r="AF97" i="55"/>
  <c r="BK116" i="55"/>
  <c r="DW116" i="55" s="1"/>
  <c r="AF116" i="55"/>
  <c r="CQ70" i="55"/>
  <c r="CS97" i="55"/>
  <c r="BK52" i="55"/>
  <c r="AF52" i="55"/>
  <c r="BK47" i="55"/>
  <c r="DW47" i="55" s="1"/>
  <c r="AF47" i="55"/>
  <c r="AF51" i="55"/>
  <c r="BK51" i="55"/>
  <c r="DW51" i="55" s="1"/>
  <c r="BL48" i="55"/>
  <c r="DX48" i="55" s="1"/>
  <c r="AG48" i="55"/>
  <c r="BM48" i="55" s="1"/>
  <c r="DY48" i="55" s="1"/>
  <c r="AF53" i="55"/>
  <c r="BK53" i="55"/>
  <c r="AE50" i="55"/>
  <c r="BJ50" i="55"/>
  <c r="DV50" i="55" s="1"/>
  <c r="AF49" i="55"/>
  <c r="BK49" i="55"/>
  <c r="DW49" i="55" s="1"/>
  <c r="AF30" i="55"/>
  <c r="BK30" i="55"/>
  <c r="AG28" i="55"/>
  <c r="BM28" i="55" s="1"/>
  <c r="DY28" i="55" s="1"/>
  <c r="BL28" i="55"/>
  <c r="DX28" i="55" s="1"/>
  <c r="CR24" i="55"/>
  <c r="AG29" i="55"/>
  <c r="BM29" i="55" s="1"/>
  <c r="BL29" i="55"/>
  <c r="AF204" i="55"/>
  <c r="AF205" i="55" s="1"/>
  <c r="AG24" i="55"/>
  <c r="BM24" i="55" s="1"/>
  <c r="DY24" i="55" s="1"/>
  <c r="AG3" i="55"/>
  <c r="BC4" i="45"/>
  <c r="V5" i="52"/>
  <c r="BM4" i="45"/>
  <c r="AF5" i="52"/>
  <c r="BH4" i="45"/>
  <c r="AA5" i="52"/>
  <c r="AN4" i="45"/>
  <c r="G5" i="52"/>
  <c r="AG247" i="53"/>
  <c r="AE185" i="54"/>
  <c r="AB96" i="54"/>
  <c r="AB101" i="54"/>
  <c r="AB102" i="54" s="1"/>
  <c r="AB97" i="54"/>
  <c r="AB95" i="54"/>
  <c r="AD191" i="54"/>
  <c r="AD180" i="54"/>
  <c r="AF181" i="54"/>
  <c r="AA104" i="54"/>
  <c r="AA103" i="54"/>
  <c r="AA105" i="54"/>
  <c r="AE174" i="54"/>
  <c r="AE92" i="54"/>
  <c r="AE170" i="54"/>
  <c r="AD187" i="54"/>
  <c r="AE90" i="54"/>
  <c r="AD93" i="54"/>
  <c r="AE196" i="54"/>
  <c r="AE186" i="54"/>
  <c r="AD173" i="54"/>
  <c r="AE127" i="54"/>
  <c r="AE125" i="54"/>
  <c r="AF123" i="54"/>
  <c r="AE171" i="54"/>
  <c r="AD184" i="54"/>
  <c r="AC258" i="54"/>
  <c r="AC179" i="54"/>
  <c r="AC259" i="54" s="1"/>
  <c r="AD178" i="54"/>
  <c r="AD195" i="54"/>
  <c r="AA102" i="54"/>
  <c r="AD175" i="54"/>
  <c r="AD194" i="54"/>
  <c r="AD193" i="54"/>
  <c r="AC86" i="54"/>
  <c r="AC88" i="54" s="1"/>
  <c r="AD85" i="54"/>
  <c r="AC87" i="54"/>
  <c r="AC100" i="54" s="1"/>
  <c r="AE172" i="54"/>
  <c r="AE91" i="54"/>
  <c r="AD196" i="53"/>
  <c r="AD175" i="53"/>
  <c r="AF85" i="53"/>
  <c r="AE86" i="53"/>
  <c r="AE88" i="53" s="1"/>
  <c r="AE87" i="53"/>
  <c r="AF91" i="53"/>
  <c r="AD96" i="53"/>
  <c r="AE195" i="53"/>
  <c r="AD92" i="53"/>
  <c r="AD93" i="53" s="1"/>
  <c r="AE186" i="53"/>
  <c r="AC258" i="53"/>
  <c r="AC179" i="53"/>
  <c r="AC259" i="53" s="1"/>
  <c r="AD178" i="53"/>
  <c r="AE171" i="53"/>
  <c r="AD192" i="53"/>
  <c r="AD170" i="53"/>
  <c r="AF181" i="53"/>
  <c r="AD95" i="53"/>
  <c r="AE90" i="53"/>
  <c r="AD193" i="53"/>
  <c r="AF191" i="53"/>
  <c r="AE187" i="53"/>
  <c r="AE172" i="53"/>
  <c r="AD125" i="53"/>
  <c r="AE123" i="53"/>
  <c r="AF174" i="53"/>
  <c r="AD184" i="53"/>
  <c r="AC127" i="53"/>
  <c r="AF173" i="53"/>
  <c r="AD180" i="53"/>
  <c r="AD185" i="53"/>
  <c r="AC97" i="53"/>
  <c r="AC93" i="53"/>
  <c r="AD119" i="53"/>
  <c r="AD121" i="53" s="1"/>
  <c r="AD128" i="53" s="1"/>
  <c r="AE118" i="53"/>
  <c r="AD120" i="53"/>
  <c r="AF194" i="53"/>
  <c r="BH45" i="51"/>
  <c r="AF3" i="51"/>
  <c r="AC45" i="51"/>
  <c r="AM5" i="45"/>
  <c r="G13" i="45"/>
  <c r="AM13" i="45" s="1"/>
  <c r="AN5" i="45"/>
  <c r="H13" i="45"/>
  <c r="AN13" i="45" s="1"/>
  <c r="M15" i="45"/>
  <c r="AS15" i="45" s="1"/>
  <c r="AS7" i="45"/>
  <c r="Q15" i="45"/>
  <c r="AW15" i="45" s="1"/>
  <c r="AW7" i="45"/>
  <c r="AQ18" i="43"/>
  <c r="AG7" i="45" s="1"/>
  <c r="BH5" i="45"/>
  <c r="AB13" i="45"/>
  <c r="BH13" i="45" s="1"/>
  <c r="AL18" i="43"/>
  <c r="AB7" i="45" s="1"/>
  <c r="AA15" i="45"/>
  <c r="BG15" i="45" s="1"/>
  <c r="BG7" i="45"/>
  <c r="BG5" i="45"/>
  <c r="AA13" i="45"/>
  <c r="BG13" i="45" s="1"/>
  <c r="AG13" i="45"/>
  <c r="BM13" i="45" s="1"/>
  <c r="BM5" i="45"/>
  <c r="G15" i="45"/>
  <c r="AM15" i="45" s="1"/>
  <c r="AM7" i="45"/>
  <c r="AP22" i="43"/>
  <c r="T9" i="44"/>
  <c r="H21" i="44" s="1"/>
  <c r="AN12" i="12"/>
  <c r="AO12" i="12" s="1"/>
  <c r="R18" i="43"/>
  <c r="H7" i="45" s="1"/>
  <c r="X293" i="48"/>
  <c r="X359" i="48"/>
  <c r="X125" i="48"/>
  <c r="W126" i="48"/>
  <c r="W128" i="48" s="1"/>
  <c r="W127" i="48"/>
  <c r="X304" i="48"/>
  <c r="X285" i="48"/>
  <c r="W305" i="48"/>
  <c r="X306" i="48"/>
  <c r="X283" i="48"/>
  <c r="V371" i="48"/>
  <c r="X131" i="48"/>
  <c r="W299" i="48"/>
  <c r="X190" i="48"/>
  <c r="W191" i="48"/>
  <c r="W193" i="48" s="1"/>
  <c r="W200" i="48" s="1"/>
  <c r="W370" i="48" s="1"/>
  <c r="W192" i="48"/>
  <c r="Y130" i="48"/>
  <c r="Y292" i="48"/>
  <c r="X297" i="48"/>
  <c r="X132" i="48"/>
  <c r="W284" i="48"/>
  <c r="W298" i="48"/>
  <c r="X291" i="48"/>
  <c r="Y290" i="48"/>
  <c r="Z296" i="48"/>
  <c r="W303" i="48"/>
  <c r="V136" i="48"/>
  <c r="V137" i="48"/>
  <c r="V135" i="48"/>
  <c r="V197" i="48"/>
  <c r="V199" i="48"/>
  <c r="W195" i="48"/>
  <c r="W307" i="48"/>
  <c r="W282" i="48"/>
  <c r="X308" i="48"/>
  <c r="W286" i="48"/>
  <c r="X287" i="48"/>
  <c r="W305" i="46"/>
  <c r="V371" i="46"/>
  <c r="W286" i="46"/>
  <c r="X307" i="46"/>
  <c r="X284" i="46"/>
  <c r="V197" i="46"/>
  <c r="V199" i="46"/>
  <c r="W195" i="46"/>
  <c r="W126" i="46"/>
  <c r="W128" i="46" s="1"/>
  <c r="W135" i="46" s="1"/>
  <c r="X125" i="46"/>
  <c r="W127" i="46"/>
  <c r="Z131" i="46"/>
  <c r="W291" i="46"/>
  <c r="X290" i="46"/>
  <c r="X282" i="46"/>
  <c r="X285" i="46"/>
  <c r="Z287" i="46"/>
  <c r="V136" i="46"/>
  <c r="V137" i="46"/>
  <c r="W296" i="46"/>
  <c r="X308" i="46"/>
  <c r="W132" i="46"/>
  <c r="W133" i="46" s="1"/>
  <c r="X130" i="46"/>
  <c r="X306" i="46"/>
  <c r="W297" i="46"/>
  <c r="W191" i="46"/>
  <c r="W193" i="46" s="1"/>
  <c r="W200" i="46" s="1"/>
  <c r="W370" i="46" s="1"/>
  <c r="X190" i="46"/>
  <c r="W192" i="46"/>
  <c r="X303" i="46"/>
  <c r="W304" i="46"/>
  <c r="W293" i="46"/>
  <c r="Y298" i="46"/>
  <c r="W292" i="46"/>
  <c r="Y283" i="46"/>
  <c r="X299" i="46"/>
  <c r="G63" i="44"/>
  <c r="AQ9" i="43"/>
  <c r="AG52" i="58" s="1"/>
  <c r="BM52" i="58" s="1"/>
  <c r="CS52" i="58" s="1"/>
  <c r="CS53" i="58" s="1"/>
  <c r="CS54" i="58" s="1"/>
  <c r="T13" i="44"/>
  <c r="S10" i="44" s="1"/>
  <c r="AG9" i="43"/>
  <c r="AL9" i="43"/>
  <c r="AB52" i="58" s="1"/>
  <c r="BH52" i="58" s="1"/>
  <c r="CN52" i="58" s="1"/>
  <c r="CN53" i="58" s="1"/>
  <c r="CN54" i="58" s="1"/>
  <c r="R9" i="43"/>
  <c r="H52" i="58" s="1"/>
  <c r="AN52" i="58" s="1"/>
  <c r="BT52" i="58" s="1"/>
  <c r="BT53" i="58" s="1"/>
  <c r="BT54" i="58" s="1"/>
  <c r="R3" i="45"/>
  <c r="R9" i="45" s="1"/>
  <c r="AX9" i="45" s="1"/>
  <c r="F62" i="44"/>
  <c r="AJ64" i="36"/>
  <c r="D66" i="36"/>
  <c r="AJ7" i="36"/>
  <c r="D15" i="36"/>
  <c r="AJ15" i="36" s="1"/>
  <c r="D331" i="42"/>
  <c r="D326" i="42"/>
  <c r="E326" i="42" s="1"/>
  <c r="F326" i="42" s="1"/>
  <c r="G326" i="42" s="1"/>
  <c r="H326" i="42" s="1"/>
  <c r="I326" i="42" s="1"/>
  <c r="J326" i="42" s="1"/>
  <c r="K326" i="42" s="1"/>
  <c r="L326" i="42" s="1"/>
  <c r="M326" i="42" s="1"/>
  <c r="N326" i="42" s="1"/>
  <c r="O326" i="42" s="1"/>
  <c r="P326" i="42" s="1"/>
  <c r="Q326" i="42" s="1"/>
  <c r="R326" i="42" s="1"/>
  <c r="S326" i="42" s="1"/>
  <c r="T326" i="42" s="1"/>
  <c r="U326" i="42" s="1"/>
  <c r="V326" i="42" s="1"/>
  <c r="W326" i="42" s="1"/>
  <c r="X326" i="42" s="1"/>
  <c r="Y326" i="42" s="1"/>
  <c r="Z326" i="42" s="1"/>
  <c r="AA326" i="42" s="1"/>
  <c r="AB326" i="42" s="1"/>
  <c r="AC326" i="42" s="1"/>
  <c r="AD326" i="42" s="1"/>
  <c r="AE326" i="42" s="1"/>
  <c r="AF326" i="42" s="1"/>
  <c r="AG326" i="42" s="1"/>
  <c r="D280" i="42"/>
  <c r="D279" i="42"/>
  <c r="D278" i="42"/>
  <c r="E278" i="42" s="1"/>
  <c r="D277" i="42"/>
  <c r="E277" i="42" s="1"/>
  <c r="F277" i="42" s="1"/>
  <c r="G277" i="42" s="1"/>
  <c r="D276" i="42"/>
  <c r="D275" i="42"/>
  <c r="D274" i="42"/>
  <c r="E274" i="42" s="1"/>
  <c r="F274" i="42" s="1"/>
  <c r="G274" i="42" s="1"/>
  <c r="H274" i="42" s="1"/>
  <c r="I274" i="42" s="1"/>
  <c r="J274" i="42" s="1"/>
  <c r="K274" i="42" s="1"/>
  <c r="L274" i="42" s="1"/>
  <c r="M274" i="42" s="1"/>
  <c r="N274" i="42" s="1"/>
  <c r="O274" i="42" s="1"/>
  <c r="P274" i="42" s="1"/>
  <c r="Q274" i="42" s="1"/>
  <c r="R274" i="42" s="1"/>
  <c r="S274" i="42" s="1"/>
  <c r="T274" i="42" s="1"/>
  <c r="U274" i="42" s="1"/>
  <c r="V274" i="42" s="1"/>
  <c r="W274" i="42" s="1"/>
  <c r="X274" i="42" s="1"/>
  <c r="Y274" i="42" s="1"/>
  <c r="Z274" i="42" s="1"/>
  <c r="AA274" i="42" s="1"/>
  <c r="AB274" i="42" s="1"/>
  <c r="AC274" i="42" s="1"/>
  <c r="AD274" i="42" s="1"/>
  <c r="AE274" i="42" s="1"/>
  <c r="AF274" i="42" s="1"/>
  <c r="D273" i="42"/>
  <c r="E273" i="42" s="1"/>
  <c r="F273" i="42" s="1"/>
  <c r="G273" i="42" s="1"/>
  <c r="H273" i="42" s="1"/>
  <c r="I273" i="42" s="1"/>
  <c r="J273" i="42" s="1"/>
  <c r="K273" i="42" s="1"/>
  <c r="L273" i="42" s="1"/>
  <c r="M273" i="42" s="1"/>
  <c r="N273" i="42" s="1"/>
  <c r="O273" i="42" s="1"/>
  <c r="P273" i="42" s="1"/>
  <c r="Q273" i="42" s="1"/>
  <c r="R273" i="42" s="1"/>
  <c r="S273" i="42" s="1"/>
  <c r="T273" i="42" s="1"/>
  <c r="U273" i="42" s="1"/>
  <c r="V273" i="42" s="1"/>
  <c r="W273" i="42" s="1"/>
  <c r="X273" i="42" s="1"/>
  <c r="Y273" i="42" s="1"/>
  <c r="Z273" i="42" s="1"/>
  <c r="AA273" i="42" s="1"/>
  <c r="AB273" i="42" s="1"/>
  <c r="AC273" i="42" s="1"/>
  <c r="AD273" i="42" s="1"/>
  <c r="AE273" i="42" s="1"/>
  <c r="AF273" i="42" s="1"/>
  <c r="D272" i="42"/>
  <c r="E272" i="42" s="1"/>
  <c r="F272" i="42" s="1"/>
  <c r="G272" i="42" s="1"/>
  <c r="H272" i="42" s="1"/>
  <c r="I272" i="42" s="1"/>
  <c r="J272" i="42" s="1"/>
  <c r="K272" i="42" s="1"/>
  <c r="L272" i="42" s="1"/>
  <c r="M272" i="42" s="1"/>
  <c r="N272" i="42" s="1"/>
  <c r="O272" i="42" s="1"/>
  <c r="P272" i="42" s="1"/>
  <c r="Q272" i="42" s="1"/>
  <c r="R272" i="42" s="1"/>
  <c r="S272" i="42" s="1"/>
  <c r="T272" i="42" s="1"/>
  <c r="U272" i="42" s="1"/>
  <c r="V272" i="42" s="1"/>
  <c r="W272" i="42" s="1"/>
  <c r="X272" i="42" s="1"/>
  <c r="Y272" i="42" s="1"/>
  <c r="Z272" i="42" s="1"/>
  <c r="AA272" i="42" s="1"/>
  <c r="AB272" i="42" s="1"/>
  <c r="AC272" i="42" s="1"/>
  <c r="AD272" i="42" s="1"/>
  <c r="AE272" i="42" s="1"/>
  <c r="AF272" i="42" s="1"/>
  <c r="D271" i="42"/>
  <c r="D270" i="42"/>
  <c r="E270" i="42" s="1"/>
  <c r="F270" i="42" s="1"/>
  <c r="D269" i="42"/>
  <c r="D268" i="42"/>
  <c r="D267" i="42"/>
  <c r="E267" i="42" s="1"/>
  <c r="F267" i="42" s="1"/>
  <c r="G267" i="42" s="1"/>
  <c r="H267" i="42" s="1"/>
  <c r="I267" i="42" s="1"/>
  <c r="J267" i="42" s="1"/>
  <c r="K267" i="42" s="1"/>
  <c r="L267" i="42" s="1"/>
  <c r="M267" i="42" s="1"/>
  <c r="N267" i="42" s="1"/>
  <c r="O267" i="42" s="1"/>
  <c r="P267" i="42" s="1"/>
  <c r="Q267" i="42" s="1"/>
  <c r="R267" i="42" s="1"/>
  <c r="S267" i="42" s="1"/>
  <c r="T267" i="42" s="1"/>
  <c r="U267" i="42" s="1"/>
  <c r="V267" i="42" s="1"/>
  <c r="W267" i="42" s="1"/>
  <c r="X267" i="42" s="1"/>
  <c r="Y267" i="42" s="1"/>
  <c r="Z267" i="42" s="1"/>
  <c r="AA267" i="42" s="1"/>
  <c r="AB267" i="42" s="1"/>
  <c r="AC267" i="42" s="1"/>
  <c r="AD267" i="42" s="1"/>
  <c r="AE267" i="42" s="1"/>
  <c r="AF267" i="42" s="1"/>
  <c r="D266" i="42"/>
  <c r="E266" i="42" s="1"/>
  <c r="F266" i="42" s="1"/>
  <c r="G266" i="42" s="1"/>
  <c r="H266" i="42" s="1"/>
  <c r="I266" i="42" s="1"/>
  <c r="J266" i="42" s="1"/>
  <c r="K266" i="42" s="1"/>
  <c r="L266" i="42" s="1"/>
  <c r="M266" i="42" s="1"/>
  <c r="N266" i="42" s="1"/>
  <c r="O266" i="42" s="1"/>
  <c r="P266" i="42" s="1"/>
  <c r="Q266" i="42" s="1"/>
  <c r="R266" i="42" s="1"/>
  <c r="S266" i="42" s="1"/>
  <c r="T266" i="42" s="1"/>
  <c r="U266" i="42" s="1"/>
  <c r="V266" i="42" s="1"/>
  <c r="W266" i="42" s="1"/>
  <c r="X266" i="42" s="1"/>
  <c r="Y266" i="42" s="1"/>
  <c r="Z266" i="42" s="1"/>
  <c r="AA266" i="42" s="1"/>
  <c r="AB266" i="42" s="1"/>
  <c r="AC266" i="42" s="1"/>
  <c r="AD266" i="42" s="1"/>
  <c r="AE266" i="42" s="1"/>
  <c r="AF266" i="42" s="1"/>
  <c r="D265" i="42"/>
  <c r="E265" i="42" s="1"/>
  <c r="F265" i="42" s="1"/>
  <c r="D264" i="42"/>
  <c r="AG263" i="42"/>
  <c r="C263" i="42"/>
  <c r="D262" i="42"/>
  <c r="D261" i="42"/>
  <c r="E261" i="42" s="1"/>
  <c r="F261" i="42" s="1"/>
  <c r="G261" i="42" s="1"/>
  <c r="H261" i="42" s="1"/>
  <c r="I261" i="42" s="1"/>
  <c r="J261" i="42" s="1"/>
  <c r="K261" i="42" s="1"/>
  <c r="L261" i="42" s="1"/>
  <c r="M261" i="42" s="1"/>
  <c r="N261" i="42" s="1"/>
  <c r="O261" i="42" s="1"/>
  <c r="P261" i="42" s="1"/>
  <c r="Q261" i="42" s="1"/>
  <c r="R261" i="42" s="1"/>
  <c r="S261" i="42" s="1"/>
  <c r="T261" i="42" s="1"/>
  <c r="U261" i="42" s="1"/>
  <c r="V261" i="42" s="1"/>
  <c r="W261" i="42" s="1"/>
  <c r="X261" i="42" s="1"/>
  <c r="Y261" i="42" s="1"/>
  <c r="Z261" i="42" s="1"/>
  <c r="AA261" i="42" s="1"/>
  <c r="AB261" i="42" s="1"/>
  <c r="AC261" i="42" s="1"/>
  <c r="AD261" i="42" s="1"/>
  <c r="AE261" i="42" s="1"/>
  <c r="AF261" i="42" s="1"/>
  <c r="D259" i="42"/>
  <c r="E259" i="42" s="1"/>
  <c r="D258" i="42"/>
  <c r="E258" i="42" s="1"/>
  <c r="D257" i="42"/>
  <c r="D256" i="42"/>
  <c r="E256" i="42" s="1"/>
  <c r="D255" i="42"/>
  <c r="E255" i="42" s="1"/>
  <c r="D254" i="42"/>
  <c r="E254" i="42" s="1"/>
  <c r="F254" i="42" s="1"/>
  <c r="D253" i="42"/>
  <c r="E253" i="42" s="1"/>
  <c r="F253" i="42" s="1"/>
  <c r="G253" i="42" s="1"/>
  <c r="H253" i="42" s="1"/>
  <c r="I253" i="42" s="1"/>
  <c r="J253" i="42" s="1"/>
  <c r="K253" i="42" s="1"/>
  <c r="L253" i="42" s="1"/>
  <c r="M253" i="42" s="1"/>
  <c r="N253" i="42" s="1"/>
  <c r="O253" i="42" s="1"/>
  <c r="P253" i="42" s="1"/>
  <c r="Q253" i="42" s="1"/>
  <c r="R253" i="42" s="1"/>
  <c r="S253" i="42" s="1"/>
  <c r="T253" i="42" s="1"/>
  <c r="U253" i="42" s="1"/>
  <c r="V253" i="42" s="1"/>
  <c r="W253" i="42" s="1"/>
  <c r="X253" i="42" s="1"/>
  <c r="Y253" i="42" s="1"/>
  <c r="Z253" i="42" s="1"/>
  <c r="AA253" i="42" s="1"/>
  <c r="AB253" i="42" s="1"/>
  <c r="AC253" i="42" s="1"/>
  <c r="AD253" i="42" s="1"/>
  <c r="AE253" i="42" s="1"/>
  <c r="AF253" i="42" s="1"/>
  <c r="AG231" i="42"/>
  <c r="C231" i="42"/>
  <c r="AG216" i="42"/>
  <c r="C216" i="42"/>
  <c r="C178" i="42"/>
  <c r="C179" i="42" s="1"/>
  <c r="D177" i="42"/>
  <c r="AG174" i="42"/>
  <c r="C174" i="42"/>
  <c r="AG173" i="42"/>
  <c r="AG175" i="42" s="1"/>
  <c r="C173" i="42"/>
  <c r="C175" i="42" s="1"/>
  <c r="D172" i="42"/>
  <c r="E172" i="42" s="1"/>
  <c r="F172" i="42" s="1"/>
  <c r="AG170" i="42"/>
  <c r="C170" i="42"/>
  <c r="C122" i="42"/>
  <c r="D121" i="42"/>
  <c r="E121" i="42" s="1"/>
  <c r="F121" i="42" s="1"/>
  <c r="D120" i="42"/>
  <c r="AG117" i="42"/>
  <c r="C117" i="42"/>
  <c r="AG116" i="42"/>
  <c r="AG118" i="42" s="1"/>
  <c r="C116" i="42"/>
  <c r="C118" i="42" s="1"/>
  <c r="D115" i="42"/>
  <c r="E115" i="42" s="1"/>
  <c r="AG113" i="42"/>
  <c r="C113" i="42"/>
  <c r="AG54" i="42"/>
  <c r="W52" i="42"/>
  <c r="W49" i="42" s="1"/>
  <c r="M52" i="42"/>
  <c r="M49" i="42" s="1"/>
  <c r="C52" i="42"/>
  <c r="C49" i="42" s="1"/>
  <c r="AG51" i="42"/>
  <c r="AG50" i="42"/>
  <c r="C10" i="42"/>
  <c r="D10" i="42" s="1"/>
  <c r="E10" i="42" s="1"/>
  <c r="F10" i="42" s="1"/>
  <c r="G10" i="42" s="1"/>
  <c r="H10" i="42" s="1"/>
  <c r="I10" i="42" s="1"/>
  <c r="J10" i="42" s="1"/>
  <c r="K10" i="42" s="1"/>
  <c r="L10" i="42" s="1"/>
  <c r="M10" i="42" s="1"/>
  <c r="N10" i="42" s="1"/>
  <c r="O10" i="42" s="1"/>
  <c r="P10" i="42" s="1"/>
  <c r="Q10" i="42" s="1"/>
  <c r="R10" i="42" s="1"/>
  <c r="S10" i="42" s="1"/>
  <c r="T10" i="42" s="1"/>
  <c r="U10" i="42" s="1"/>
  <c r="V10" i="42" s="1"/>
  <c r="W10" i="42" s="1"/>
  <c r="X10" i="42" s="1"/>
  <c r="Y10" i="42" s="1"/>
  <c r="Z10" i="42" s="1"/>
  <c r="AA10" i="42" s="1"/>
  <c r="AB10" i="42" s="1"/>
  <c r="AC10" i="42" s="1"/>
  <c r="AD10" i="42" s="1"/>
  <c r="AE10" i="42" s="1"/>
  <c r="AF10" i="42" s="1"/>
  <c r="AG10" i="42" s="1"/>
  <c r="X1" i="42"/>
  <c r="N1" i="42"/>
  <c r="N51" i="42" s="1"/>
  <c r="D1" i="42"/>
  <c r="E1" i="42" s="1"/>
  <c r="C10" i="38"/>
  <c r="D10" i="38" s="1"/>
  <c r="E10" i="38" s="1"/>
  <c r="F10" i="38" s="1"/>
  <c r="G10" i="38" s="1"/>
  <c r="H10" i="38" s="1"/>
  <c r="I10" i="38" s="1"/>
  <c r="J10" i="38" s="1"/>
  <c r="K10" i="38" s="1"/>
  <c r="L10" i="38" s="1"/>
  <c r="M10" i="38" s="1"/>
  <c r="N10" i="38" s="1"/>
  <c r="O10" i="38" s="1"/>
  <c r="P10" i="38" s="1"/>
  <c r="Q10" i="38" s="1"/>
  <c r="R10" i="38" s="1"/>
  <c r="S10" i="38" s="1"/>
  <c r="T10" i="38" s="1"/>
  <c r="U10" i="38" s="1"/>
  <c r="V10" i="38" s="1"/>
  <c r="W10" i="38" s="1"/>
  <c r="X10" i="38" s="1"/>
  <c r="Y10" i="38" s="1"/>
  <c r="Z10" i="38" s="1"/>
  <c r="AA10" i="38" s="1"/>
  <c r="AB10" i="38" s="1"/>
  <c r="AC10" i="38" s="1"/>
  <c r="AD10" i="38" s="1"/>
  <c r="AE10" i="38" s="1"/>
  <c r="AF10" i="38" s="1"/>
  <c r="AG10" i="38" s="1"/>
  <c r="D331" i="38"/>
  <c r="E331" i="38" s="1"/>
  <c r="D326" i="38"/>
  <c r="E326" i="38" s="1"/>
  <c r="F326" i="38" s="1"/>
  <c r="G326" i="38" s="1"/>
  <c r="H326" i="38" s="1"/>
  <c r="I326" i="38" s="1"/>
  <c r="J326" i="38" s="1"/>
  <c r="K326" i="38" s="1"/>
  <c r="L326" i="38" s="1"/>
  <c r="D280" i="38"/>
  <c r="E280" i="38" s="1"/>
  <c r="F280" i="38" s="1"/>
  <c r="D279" i="38"/>
  <c r="D278" i="38"/>
  <c r="D277" i="38"/>
  <c r="D276" i="38"/>
  <c r="E276" i="38" s="1"/>
  <c r="F276" i="38" s="1"/>
  <c r="D275" i="38"/>
  <c r="D274" i="38"/>
  <c r="D273" i="38"/>
  <c r="E273" i="38" s="1"/>
  <c r="F273" i="38" s="1"/>
  <c r="G273" i="38" s="1"/>
  <c r="H273" i="38" s="1"/>
  <c r="I273" i="38" s="1"/>
  <c r="J273" i="38" s="1"/>
  <c r="K273" i="38" s="1"/>
  <c r="L273" i="38" s="1"/>
  <c r="M273" i="38" s="1"/>
  <c r="N273" i="38" s="1"/>
  <c r="O273" i="38" s="1"/>
  <c r="P273" i="38" s="1"/>
  <c r="Q273" i="38" s="1"/>
  <c r="R273" i="38" s="1"/>
  <c r="S273" i="38" s="1"/>
  <c r="T273" i="38" s="1"/>
  <c r="U273" i="38" s="1"/>
  <c r="V273" i="38" s="1"/>
  <c r="W273" i="38" s="1"/>
  <c r="X273" i="38" s="1"/>
  <c r="Y273" i="38" s="1"/>
  <c r="Z273" i="38" s="1"/>
  <c r="AA273" i="38" s="1"/>
  <c r="AB273" i="38" s="1"/>
  <c r="AC273" i="38" s="1"/>
  <c r="AD273" i="38" s="1"/>
  <c r="AE273" i="38" s="1"/>
  <c r="AF273" i="38" s="1"/>
  <c r="D272" i="38"/>
  <c r="E272" i="38" s="1"/>
  <c r="F272" i="38" s="1"/>
  <c r="G272" i="38" s="1"/>
  <c r="H272" i="38" s="1"/>
  <c r="I272" i="38" s="1"/>
  <c r="J272" i="38" s="1"/>
  <c r="K272" i="38" s="1"/>
  <c r="L272" i="38" s="1"/>
  <c r="M272" i="38" s="1"/>
  <c r="N272" i="38" s="1"/>
  <c r="O272" i="38" s="1"/>
  <c r="P272" i="38" s="1"/>
  <c r="Q272" i="38" s="1"/>
  <c r="R272" i="38" s="1"/>
  <c r="S272" i="38" s="1"/>
  <c r="T272" i="38" s="1"/>
  <c r="U272" i="38" s="1"/>
  <c r="V272" i="38" s="1"/>
  <c r="W272" i="38" s="1"/>
  <c r="X272" i="38" s="1"/>
  <c r="Y272" i="38" s="1"/>
  <c r="Z272" i="38" s="1"/>
  <c r="AA272" i="38" s="1"/>
  <c r="AB272" i="38" s="1"/>
  <c r="AC272" i="38" s="1"/>
  <c r="AD272" i="38" s="1"/>
  <c r="AE272" i="38" s="1"/>
  <c r="AF272" i="38" s="1"/>
  <c r="D271" i="38"/>
  <c r="D270" i="38"/>
  <c r="D269" i="38"/>
  <c r="D268" i="38"/>
  <c r="E268" i="38" s="1"/>
  <c r="F268" i="38" s="1"/>
  <c r="D267" i="38"/>
  <c r="E267" i="38" s="1"/>
  <c r="F267" i="38" s="1"/>
  <c r="G267" i="38" s="1"/>
  <c r="H267" i="38" s="1"/>
  <c r="I267" i="38" s="1"/>
  <c r="J267" i="38" s="1"/>
  <c r="K267" i="38" s="1"/>
  <c r="L267" i="38" s="1"/>
  <c r="M267" i="38" s="1"/>
  <c r="N267" i="38" s="1"/>
  <c r="O267" i="38" s="1"/>
  <c r="P267" i="38" s="1"/>
  <c r="Q267" i="38" s="1"/>
  <c r="R267" i="38" s="1"/>
  <c r="S267" i="38" s="1"/>
  <c r="T267" i="38" s="1"/>
  <c r="U267" i="38" s="1"/>
  <c r="V267" i="38" s="1"/>
  <c r="W267" i="38" s="1"/>
  <c r="X267" i="38" s="1"/>
  <c r="Y267" i="38" s="1"/>
  <c r="Z267" i="38" s="1"/>
  <c r="AA267" i="38" s="1"/>
  <c r="AB267" i="38" s="1"/>
  <c r="AC267" i="38" s="1"/>
  <c r="AD267" i="38" s="1"/>
  <c r="AE267" i="38" s="1"/>
  <c r="AF267" i="38" s="1"/>
  <c r="D266" i="38"/>
  <c r="E266" i="38" s="1"/>
  <c r="F266" i="38" s="1"/>
  <c r="G266" i="38" s="1"/>
  <c r="H266" i="38" s="1"/>
  <c r="I266" i="38" s="1"/>
  <c r="J266" i="38" s="1"/>
  <c r="K266" i="38" s="1"/>
  <c r="L266" i="38" s="1"/>
  <c r="M266" i="38" s="1"/>
  <c r="N266" i="38" s="1"/>
  <c r="O266" i="38" s="1"/>
  <c r="P266" i="38" s="1"/>
  <c r="Q266" i="38" s="1"/>
  <c r="R266" i="38" s="1"/>
  <c r="S266" i="38" s="1"/>
  <c r="T266" i="38" s="1"/>
  <c r="U266" i="38" s="1"/>
  <c r="V266" i="38" s="1"/>
  <c r="W266" i="38" s="1"/>
  <c r="X266" i="38" s="1"/>
  <c r="Y266" i="38" s="1"/>
  <c r="Z266" i="38" s="1"/>
  <c r="AA266" i="38" s="1"/>
  <c r="AB266" i="38" s="1"/>
  <c r="AC266" i="38" s="1"/>
  <c r="AD266" i="38" s="1"/>
  <c r="AE266" i="38" s="1"/>
  <c r="AF266" i="38" s="1"/>
  <c r="D265" i="38"/>
  <c r="D264" i="38"/>
  <c r="E264" i="38" s="1"/>
  <c r="F264" i="38" s="1"/>
  <c r="AG263" i="38"/>
  <c r="C263" i="38"/>
  <c r="D262" i="38"/>
  <c r="D263" i="38" s="1"/>
  <c r="D261" i="38"/>
  <c r="E261" i="38" s="1"/>
  <c r="F261" i="38" s="1"/>
  <c r="G261" i="38" s="1"/>
  <c r="H261" i="38" s="1"/>
  <c r="I261" i="38" s="1"/>
  <c r="J261" i="38" s="1"/>
  <c r="K261" i="38" s="1"/>
  <c r="L261" i="38" s="1"/>
  <c r="M261" i="38" s="1"/>
  <c r="N261" i="38" s="1"/>
  <c r="O261" i="38" s="1"/>
  <c r="P261" i="38" s="1"/>
  <c r="Q261" i="38" s="1"/>
  <c r="D259" i="38"/>
  <c r="E259" i="38" s="1"/>
  <c r="D258" i="38"/>
  <c r="D257" i="38"/>
  <c r="E257" i="38" s="1"/>
  <c r="F257" i="38" s="1"/>
  <c r="G257" i="38" s="1"/>
  <c r="D256" i="38"/>
  <c r="E256" i="38" s="1"/>
  <c r="F256" i="38" s="1"/>
  <c r="D255" i="38"/>
  <c r="E255" i="38" s="1"/>
  <c r="F255" i="38" s="1"/>
  <c r="G255" i="38" s="1"/>
  <c r="D254" i="38"/>
  <c r="E254" i="38" s="1"/>
  <c r="D253" i="38"/>
  <c r="E253" i="38" s="1"/>
  <c r="F253" i="38" s="1"/>
  <c r="G253" i="38" s="1"/>
  <c r="H253" i="38" s="1"/>
  <c r="I253" i="38" s="1"/>
  <c r="J253" i="38" s="1"/>
  <c r="K253" i="38" s="1"/>
  <c r="L253" i="38" s="1"/>
  <c r="M253" i="38" s="1"/>
  <c r="N253" i="38" s="1"/>
  <c r="O253" i="38" s="1"/>
  <c r="P253" i="38" s="1"/>
  <c r="Q253" i="38" s="1"/>
  <c r="R253" i="38" s="1"/>
  <c r="S253" i="38" s="1"/>
  <c r="T253" i="38" s="1"/>
  <c r="U253" i="38" s="1"/>
  <c r="V253" i="38" s="1"/>
  <c r="W253" i="38" s="1"/>
  <c r="X253" i="38" s="1"/>
  <c r="Y253" i="38" s="1"/>
  <c r="Z253" i="38" s="1"/>
  <c r="AA253" i="38" s="1"/>
  <c r="AB253" i="38" s="1"/>
  <c r="AC253" i="38" s="1"/>
  <c r="AD253" i="38" s="1"/>
  <c r="AE253" i="38" s="1"/>
  <c r="AF253" i="38" s="1"/>
  <c r="H39" i="40"/>
  <c r="BC7" i="45" l="1"/>
  <c r="AG22" i="43"/>
  <c r="AG52" i="42"/>
  <c r="AG49" i="42" s="1"/>
  <c r="C182" i="42"/>
  <c r="C342" i="42" s="1"/>
  <c r="X51" i="42"/>
  <c r="AL13" i="43"/>
  <c r="CN44" i="58"/>
  <c r="E262" i="38"/>
  <c r="F262" i="38" s="1"/>
  <c r="F263" i="38" s="1"/>
  <c r="E116" i="42"/>
  <c r="F115" i="42"/>
  <c r="F116" i="42" s="1"/>
  <c r="O1" i="42"/>
  <c r="D173" i="42"/>
  <c r="CS49" i="58"/>
  <c r="M326" i="38"/>
  <c r="N326" i="38" s="1"/>
  <c r="O326" i="38" s="1"/>
  <c r="P326" i="38" s="1"/>
  <c r="Q326" i="38" s="1"/>
  <c r="R326" i="38" s="1"/>
  <c r="S326" i="38" s="1"/>
  <c r="T326" i="38" s="1"/>
  <c r="U326" i="38" s="1"/>
  <c r="V326" i="38" s="1"/>
  <c r="W326" i="38" s="1"/>
  <c r="X326" i="38" s="1"/>
  <c r="Y326" i="38" s="1"/>
  <c r="Z326" i="38" s="1"/>
  <c r="AA326" i="38" s="1"/>
  <c r="AB326" i="38" s="1"/>
  <c r="AC326" i="38" s="1"/>
  <c r="AD326" i="38" s="1"/>
  <c r="AE326" i="38" s="1"/>
  <c r="AF326" i="38" s="1"/>
  <c r="AG326" i="38" s="1"/>
  <c r="D116" i="42"/>
  <c r="R13" i="43"/>
  <c r="CC6" i="58"/>
  <c r="CC11" i="58"/>
  <c r="Y1" i="42"/>
  <c r="Z1" i="42" s="1"/>
  <c r="AQ13" i="43"/>
  <c r="CS44" i="58"/>
  <c r="BT44" i="58"/>
  <c r="CQ11" i="58"/>
  <c r="CQ6" i="58"/>
  <c r="BY54" i="58"/>
  <c r="BY49" i="58"/>
  <c r="BY44" i="58"/>
  <c r="AG13" i="43"/>
  <c r="W52" i="58"/>
  <c r="BC52" i="58" s="1"/>
  <c r="CI52" i="58" s="1"/>
  <c r="CI53" i="58" s="1"/>
  <c r="BT49" i="58"/>
  <c r="CH54" i="58"/>
  <c r="CH44" i="58"/>
  <c r="CH49" i="58"/>
  <c r="BP6" i="58"/>
  <c r="BP11" i="58"/>
  <c r="CG11" i="58"/>
  <c r="CG6" i="58"/>
  <c r="CR11" i="58"/>
  <c r="CR6" i="58"/>
  <c r="CD54" i="58"/>
  <c r="CD44" i="58"/>
  <c r="CD49" i="58"/>
  <c r="C181" i="42"/>
  <c r="BX6" i="58"/>
  <c r="BX11" i="58"/>
  <c r="CN49" i="58"/>
  <c r="CN6" i="58" s="1"/>
  <c r="BS54" i="58"/>
  <c r="BS49" i="58"/>
  <c r="BS44" i="58"/>
  <c r="CM54" i="58"/>
  <c r="CM44" i="58"/>
  <c r="CM49" i="58"/>
  <c r="AG145" i="55"/>
  <c r="BM145" i="55" s="1"/>
  <c r="BL145" i="55"/>
  <c r="AG164" i="55"/>
  <c r="BM164" i="55" s="1"/>
  <c r="DY164" i="55" s="1"/>
  <c r="BL164" i="55"/>
  <c r="DX164" i="55" s="1"/>
  <c r="BL166" i="55"/>
  <c r="DX166" i="55" s="1"/>
  <c r="AG166" i="55"/>
  <c r="BM166" i="55" s="1"/>
  <c r="DY166" i="55" s="1"/>
  <c r="CR162" i="55"/>
  <c r="AG165" i="55"/>
  <c r="BM165" i="55" s="1"/>
  <c r="DY165" i="55" s="1"/>
  <c r="BL165" i="55"/>
  <c r="DX165" i="55" s="1"/>
  <c r="AG162" i="55"/>
  <c r="BL162" i="55"/>
  <c r="DX162" i="55" s="1"/>
  <c r="BL167" i="55"/>
  <c r="AG167" i="55"/>
  <c r="BM167" i="55" s="1"/>
  <c r="BK168" i="55"/>
  <c r="AF168" i="55"/>
  <c r="AG74" i="55"/>
  <c r="BM74" i="55" s="1"/>
  <c r="DY74" i="55" s="1"/>
  <c r="BL74" i="55"/>
  <c r="DX74" i="55" s="1"/>
  <c r="CQ116" i="55"/>
  <c r="BL116" i="55"/>
  <c r="DX116" i="55" s="1"/>
  <c r="AG116" i="55"/>
  <c r="AF99" i="55"/>
  <c r="BK99" i="55"/>
  <c r="AG118" i="55"/>
  <c r="BM118" i="55" s="1"/>
  <c r="DY118" i="55" s="1"/>
  <c r="BL118" i="55"/>
  <c r="DX118" i="55" s="1"/>
  <c r="BK119" i="55"/>
  <c r="DW119" i="55" s="1"/>
  <c r="AF119" i="55"/>
  <c r="AG70" i="55"/>
  <c r="BL70" i="55"/>
  <c r="DX70" i="55" s="1"/>
  <c r="BL93" i="55"/>
  <c r="DX93" i="55" s="1"/>
  <c r="AG93" i="55"/>
  <c r="AG97" i="55"/>
  <c r="BM97" i="55" s="1"/>
  <c r="DY97" i="55" s="1"/>
  <c r="BL97" i="55"/>
  <c r="DX97" i="55" s="1"/>
  <c r="BL121" i="55"/>
  <c r="AG121" i="55"/>
  <c r="BM121" i="55" s="1"/>
  <c r="AG98" i="55"/>
  <c r="BM98" i="55" s="1"/>
  <c r="BL98" i="55"/>
  <c r="CR93" i="55"/>
  <c r="CR70" i="55"/>
  <c r="AG122" i="55"/>
  <c r="BM122" i="55" s="1"/>
  <c r="BL122" i="55"/>
  <c r="AF76" i="55"/>
  <c r="BK76" i="55"/>
  <c r="AG75" i="55"/>
  <c r="BM75" i="55" s="1"/>
  <c r="BL75" i="55"/>
  <c r="BL120" i="55"/>
  <c r="DX120" i="55" s="1"/>
  <c r="AG120" i="55"/>
  <c r="BM120" i="55" s="1"/>
  <c r="DY120" i="55" s="1"/>
  <c r="AG47" i="55"/>
  <c r="BL47" i="55"/>
  <c r="DX47" i="55" s="1"/>
  <c r="AG51" i="55"/>
  <c r="BM51" i="55" s="1"/>
  <c r="DY51" i="55" s="1"/>
  <c r="BL51" i="55"/>
  <c r="DX51" i="55" s="1"/>
  <c r="BL52" i="55"/>
  <c r="AG52" i="55"/>
  <c r="BM52" i="55" s="1"/>
  <c r="BK50" i="55"/>
  <c r="DW50" i="55" s="1"/>
  <c r="AF50" i="55"/>
  <c r="AG53" i="55"/>
  <c r="BM53" i="55" s="1"/>
  <c r="BL53" i="55"/>
  <c r="BL49" i="55"/>
  <c r="DX49" i="55" s="1"/>
  <c r="AG49" i="55"/>
  <c r="BM49" i="55" s="1"/>
  <c r="DY49" i="55" s="1"/>
  <c r="CS24" i="55"/>
  <c r="AG204" i="55"/>
  <c r="AG205" i="55" s="1"/>
  <c r="AG30" i="55"/>
  <c r="BM30" i="55" s="1"/>
  <c r="BL30" i="55"/>
  <c r="AH3" i="55"/>
  <c r="AE194" i="54"/>
  <c r="AE173" i="54"/>
  <c r="AE187" i="54"/>
  <c r="AF92" i="54"/>
  <c r="AE195" i="54"/>
  <c r="AF125" i="54"/>
  <c r="AF127" i="54"/>
  <c r="AG123" i="54"/>
  <c r="AF196" i="54"/>
  <c r="AE191" i="54"/>
  <c r="AE184" i="54"/>
  <c r="AF170" i="54"/>
  <c r="AF186" i="54"/>
  <c r="AD86" i="54"/>
  <c r="AD88" i="54" s="1"/>
  <c r="AE85" i="54"/>
  <c r="AD87" i="54"/>
  <c r="AD100" i="54" s="1"/>
  <c r="AB105" i="54"/>
  <c r="AB104" i="54"/>
  <c r="AB103" i="54"/>
  <c r="AF91" i="54"/>
  <c r="AC97" i="54"/>
  <c r="AC101" i="54"/>
  <c r="AC102" i="54" s="1"/>
  <c r="AC96" i="54"/>
  <c r="AC95" i="54"/>
  <c r="AE175" i="54"/>
  <c r="AF90" i="54"/>
  <c r="AE93" i="54"/>
  <c r="AF174" i="54"/>
  <c r="AE193" i="54"/>
  <c r="AD258" i="54"/>
  <c r="AD179" i="54"/>
  <c r="AD259" i="54" s="1"/>
  <c r="AE178" i="54"/>
  <c r="AF185" i="54"/>
  <c r="AF172" i="54"/>
  <c r="AF171" i="54"/>
  <c r="AE180" i="54"/>
  <c r="AE170" i="53"/>
  <c r="AE192" i="53"/>
  <c r="AE96" i="53"/>
  <c r="AE185" i="53"/>
  <c r="AE184" i="53"/>
  <c r="AF172" i="53"/>
  <c r="AF86" i="53"/>
  <c r="AF88" i="53" s="1"/>
  <c r="AF87" i="53"/>
  <c r="AF187" i="53"/>
  <c r="AE92" i="53"/>
  <c r="AE97" i="53" s="1"/>
  <c r="AF195" i="53"/>
  <c r="AE180" i="53"/>
  <c r="AF171" i="53"/>
  <c r="AD258" i="53"/>
  <c r="AE178" i="53"/>
  <c r="AD179" i="53"/>
  <c r="AD259" i="53" s="1"/>
  <c r="AG91" i="53"/>
  <c r="AE175" i="53"/>
  <c r="AD127" i="53"/>
  <c r="AE125" i="53"/>
  <c r="AF123" i="53"/>
  <c r="AE193" i="53"/>
  <c r="AE196" i="53"/>
  <c r="AE119" i="53"/>
  <c r="AE121" i="53" s="1"/>
  <c r="AE128" i="53" s="1"/>
  <c r="AF118" i="53"/>
  <c r="AE120" i="53"/>
  <c r="AF90" i="53"/>
  <c r="AE95" i="53"/>
  <c r="AF186" i="53"/>
  <c r="AD97" i="53"/>
  <c r="BI45" i="51"/>
  <c r="AD45" i="51"/>
  <c r="AG3" i="51"/>
  <c r="I21" i="44"/>
  <c r="AQ22" i="43"/>
  <c r="AL22" i="43"/>
  <c r="AF15" i="45"/>
  <c r="BL15" i="45" s="1"/>
  <c r="BL7" i="45"/>
  <c r="R22" i="43"/>
  <c r="BC5" i="45"/>
  <c r="W13" i="45"/>
  <c r="BC13" i="45" s="1"/>
  <c r="X298" i="48"/>
  <c r="W197" i="48"/>
  <c r="W199" i="48"/>
  <c r="X195" i="48"/>
  <c r="AA296" i="48"/>
  <c r="Y297" i="48"/>
  <c r="Z130" i="48"/>
  <c r="X191" i="48"/>
  <c r="X193" i="48" s="1"/>
  <c r="X200" i="48" s="1"/>
  <c r="X370" i="48" s="1"/>
  <c r="Y190" i="48"/>
  <c r="X192" i="48"/>
  <c r="Y131" i="48"/>
  <c r="X305" i="48"/>
  <c r="Y304" i="48"/>
  <c r="W136" i="48"/>
  <c r="W137" i="48"/>
  <c r="W135" i="48"/>
  <c r="X286" i="48"/>
  <c r="Y132" i="48"/>
  <c r="X126" i="48"/>
  <c r="X128" i="48" s="1"/>
  <c r="Y125" i="48"/>
  <c r="X127" i="48"/>
  <c r="X282" i="48"/>
  <c r="X303" i="48"/>
  <c r="Y291" i="48"/>
  <c r="Z290" i="48"/>
  <c r="X133" i="48"/>
  <c r="W371" i="48"/>
  <c r="Y283" i="48"/>
  <c r="Y306" i="48"/>
  <c r="Y285" i="48"/>
  <c r="Y287" i="48"/>
  <c r="Y308" i="48"/>
  <c r="X307" i="48"/>
  <c r="X284" i="48"/>
  <c r="Z292" i="48"/>
  <c r="X299" i="48"/>
  <c r="Y359" i="48"/>
  <c r="Y293" i="48"/>
  <c r="Z283" i="46"/>
  <c r="Z298" i="46"/>
  <c r="X293" i="46"/>
  <c r="Y303" i="46"/>
  <c r="X297" i="46"/>
  <c r="X132" i="46"/>
  <c r="X133" i="46" s="1"/>
  <c r="AA287" i="46"/>
  <c r="Y285" i="46"/>
  <c r="Y282" i="46"/>
  <c r="X291" i="46"/>
  <c r="Y290" i="46"/>
  <c r="W371" i="46"/>
  <c r="Y125" i="46"/>
  <c r="X126" i="46"/>
  <c r="X128" i="46" s="1"/>
  <c r="X135" i="46" s="1"/>
  <c r="X127" i="46"/>
  <c r="Y307" i="46"/>
  <c r="X305" i="46"/>
  <c r="Y299" i="46"/>
  <c r="X292" i="46"/>
  <c r="X304" i="46"/>
  <c r="X191" i="46"/>
  <c r="X193" i="46" s="1"/>
  <c r="X200" i="46" s="1"/>
  <c r="X370" i="46" s="1"/>
  <c r="Y190" i="46"/>
  <c r="X192" i="46"/>
  <c r="Y306" i="46"/>
  <c r="AA131" i="46"/>
  <c r="W137" i="46"/>
  <c r="W136" i="46"/>
  <c r="Y284" i="46"/>
  <c r="Y130" i="46"/>
  <c r="Y308" i="46"/>
  <c r="X296" i="46"/>
  <c r="W197" i="46"/>
  <c r="W199" i="46"/>
  <c r="X195" i="46"/>
  <c r="X286" i="46"/>
  <c r="T11" i="44"/>
  <c r="S11" i="44" s="1"/>
  <c r="S12" i="44" s="1"/>
  <c r="S13" i="44" s="1"/>
  <c r="T12" i="44"/>
  <c r="F63" i="44"/>
  <c r="U9" i="44"/>
  <c r="S3" i="45"/>
  <c r="S9" i="45" s="1"/>
  <c r="AY9" i="45" s="1"/>
  <c r="AJ66" i="36"/>
  <c r="AJ65" i="36"/>
  <c r="AJ71" i="36" s="1"/>
  <c r="AA1" i="42"/>
  <c r="AB1" i="42" s="1"/>
  <c r="AC1" i="42" s="1"/>
  <c r="Z51" i="42"/>
  <c r="E51" i="42"/>
  <c r="E50" i="42"/>
  <c r="F1" i="42"/>
  <c r="O50" i="42"/>
  <c r="X50" i="42"/>
  <c r="AB51" i="42"/>
  <c r="M217" i="42"/>
  <c r="M171" i="42"/>
  <c r="M232" i="42"/>
  <c r="M114" i="42"/>
  <c r="Y50" i="42"/>
  <c r="Y51" i="42"/>
  <c r="D50" i="42"/>
  <c r="Z50" i="42"/>
  <c r="D51" i="42"/>
  <c r="W217" i="42"/>
  <c r="W232" i="42"/>
  <c r="W171" i="42"/>
  <c r="W114" i="42"/>
  <c r="N50" i="42"/>
  <c r="AA50" i="42"/>
  <c r="AA51" i="42"/>
  <c r="G115" i="42"/>
  <c r="G121" i="42"/>
  <c r="C125" i="42"/>
  <c r="C126" i="42"/>
  <c r="C127" i="42"/>
  <c r="C123" i="42"/>
  <c r="D122" i="42"/>
  <c r="E120" i="42"/>
  <c r="F173" i="42"/>
  <c r="G172" i="42"/>
  <c r="E177" i="42"/>
  <c r="E173" i="42"/>
  <c r="E279" i="42"/>
  <c r="D178" i="42"/>
  <c r="E178" i="42" s="1"/>
  <c r="F178" i="42" s="1"/>
  <c r="G178" i="42" s="1"/>
  <c r="H178" i="42" s="1"/>
  <c r="I178" i="42" s="1"/>
  <c r="J178" i="42" s="1"/>
  <c r="K178" i="42" s="1"/>
  <c r="L178" i="42" s="1"/>
  <c r="M178" i="42" s="1"/>
  <c r="N178" i="42" s="1"/>
  <c r="O178" i="42" s="1"/>
  <c r="P178" i="42" s="1"/>
  <c r="Q178" i="42" s="1"/>
  <c r="R178" i="42" s="1"/>
  <c r="S178" i="42" s="1"/>
  <c r="T178" i="42" s="1"/>
  <c r="U178" i="42" s="1"/>
  <c r="V178" i="42" s="1"/>
  <c r="W178" i="42" s="1"/>
  <c r="X178" i="42" s="1"/>
  <c r="Y178" i="42" s="1"/>
  <c r="Z178" i="42" s="1"/>
  <c r="AA178" i="42" s="1"/>
  <c r="AB178" i="42" s="1"/>
  <c r="AC178" i="42" s="1"/>
  <c r="AD178" i="42" s="1"/>
  <c r="AE178" i="42" s="1"/>
  <c r="AF178" i="42" s="1"/>
  <c r="AG178" i="42" s="1"/>
  <c r="AG182" i="42" s="1"/>
  <c r="E268" i="42"/>
  <c r="F258" i="42"/>
  <c r="E264" i="42"/>
  <c r="F259" i="42"/>
  <c r="G265" i="42"/>
  <c r="F255" i="42"/>
  <c r="G270" i="42"/>
  <c r="E257" i="42"/>
  <c r="D263" i="42"/>
  <c r="E262" i="42"/>
  <c r="H277" i="42"/>
  <c r="G254" i="42"/>
  <c r="E271" i="42"/>
  <c r="F256" i="42"/>
  <c r="C343" i="42"/>
  <c r="E276" i="42"/>
  <c r="E269" i="42"/>
  <c r="E275" i="42"/>
  <c r="F278" i="42"/>
  <c r="E280" i="42"/>
  <c r="E331" i="42"/>
  <c r="G256" i="38"/>
  <c r="R261" i="38"/>
  <c r="S261" i="38" s="1"/>
  <c r="T261" i="38" s="1"/>
  <c r="U261" i="38" s="1"/>
  <c r="V261" i="38" s="1"/>
  <c r="W261" i="38" s="1"/>
  <c r="X261" i="38" s="1"/>
  <c r="Y261" i="38" s="1"/>
  <c r="Z261" i="38" s="1"/>
  <c r="AA261" i="38" s="1"/>
  <c r="AB261" i="38" s="1"/>
  <c r="AC261" i="38" s="1"/>
  <c r="AD261" i="38" s="1"/>
  <c r="AE261" i="38" s="1"/>
  <c r="AF261" i="38" s="1"/>
  <c r="F254" i="38"/>
  <c r="H255" i="38"/>
  <c r="H257" i="38"/>
  <c r="E258" i="38"/>
  <c r="E265" i="38"/>
  <c r="E269" i="38"/>
  <c r="E277" i="38"/>
  <c r="F259" i="38"/>
  <c r="G262" i="38"/>
  <c r="G264" i="38"/>
  <c r="G268" i="38"/>
  <c r="E270" i="38"/>
  <c r="E274" i="38"/>
  <c r="F274" i="38" s="1"/>
  <c r="G276" i="38"/>
  <c r="E278" i="38"/>
  <c r="G280" i="38"/>
  <c r="E271" i="38"/>
  <c r="E275" i="38"/>
  <c r="E279" i="38"/>
  <c r="F331" i="38"/>
  <c r="E263" i="38" l="1"/>
  <c r="CD11" i="58"/>
  <c r="AB50" i="42"/>
  <c r="X371" i="48"/>
  <c r="BY11" i="58"/>
  <c r="CS11" i="58"/>
  <c r="CD6" i="58"/>
  <c r="CN11" i="58"/>
  <c r="Y133" i="48"/>
  <c r="CH6" i="58"/>
  <c r="CH11" i="58"/>
  <c r="BS6" i="58"/>
  <c r="BS11" i="58"/>
  <c r="BT6" i="58"/>
  <c r="BT11" i="58"/>
  <c r="O51" i="42"/>
  <c r="O52" i="42" s="1"/>
  <c r="O49" i="42" s="1"/>
  <c r="P1" i="42"/>
  <c r="CI54" i="58"/>
  <c r="CI49" i="58"/>
  <c r="CI44" i="58"/>
  <c r="CS6" i="58"/>
  <c r="CM6" i="58"/>
  <c r="CM11" i="58"/>
  <c r="BY6" i="58"/>
  <c r="BM162" i="55"/>
  <c r="DY162" i="55" s="1"/>
  <c r="AG168" i="55"/>
  <c r="BM168" i="55" s="1"/>
  <c r="BL168" i="55"/>
  <c r="CS162" i="55"/>
  <c r="BM116" i="55"/>
  <c r="DY116" i="55" s="1"/>
  <c r="AG76" i="55"/>
  <c r="BM76" i="55" s="1"/>
  <c r="BL76" i="55"/>
  <c r="CS93" i="55"/>
  <c r="CR116" i="55"/>
  <c r="BM70" i="55"/>
  <c r="DY70" i="55" s="1"/>
  <c r="CS70" i="55"/>
  <c r="AG99" i="55"/>
  <c r="BM99" i="55" s="1"/>
  <c r="BL99" i="55"/>
  <c r="BM93" i="55"/>
  <c r="DY93" i="55" s="1"/>
  <c r="BL119" i="55"/>
  <c r="DX119" i="55" s="1"/>
  <c r="AG119" i="55"/>
  <c r="BM119" i="55" s="1"/>
  <c r="DY119" i="55" s="1"/>
  <c r="AH204" i="55"/>
  <c r="AH205" i="55" s="1"/>
  <c r="BM47" i="55"/>
  <c r="DY47" i="55" s="1"/>
  <c r="AG50" i="55"/>
  <c r="BM50" i="55" s="1"/>
  <c r="DY50" i="55" s="1"/>
  <c r="BL50" i="55"/>
  <c r="DX50" i="55" s="1"/>
  <c r="AG91" i="54"/>
  <c r="AF191" i="54"/>
  <c r="AG127" i="54"/>
  <c r="AG125" i="54"/>
  <c r="AF180" i="54"/>
  <c r="AE258" i="54"/>
  <c r="AF178" i="54"/>
  <c r="AE179" i="54"/>
  <c r="AE259" i="54" s="1"/>
  <c r="AF184" i="54"/>
  <c r="AF173" i="54"/>
  <c r="AG92" i="54"/>
  <c r="AF195" i="54"/>
  <c r="AF187" i="54"/>
  <c r="AC105" i="54"/>
  <c r="AC103" i="54"/>
  <c r="AC104" i="54"/>
  <c r="AF194" i="54"/>
  <c r="AF193" i="54"/>
  <c r="AG90" i="54"/>
  <c r="AF93" i="54"/>
  <c r="AF85" i="54"/>
  <c r="AE86" i="54"/>
  <c r="AE88" i="54" s="1"/>
  <c r="AE87" i="54"/>
  <c r="AE100" i="54" s="1"/>
  <c r="AF175" i="54"/>
  <c r="AD96" i="54"/>
  <c r="AD97" i="54"/>
  <c r="AD101" i="54"/>
  <c r="AD95" i="54"/>
  <c r="AE93" i="53"/>
  <c r="AE127" i="53"/>
  <c r="AF175" i="53"/>
  <c r="AF185" i="53"/>
  <c r="AF119" i="53"/>
  <c r="AF121" i="53" s="1"/>
  <c r="AF128" i="53" s="1"/>
  <c r="AF120" i="53"/>
  <c r="AF196" i="53"/>
  <c r="AG96" i="53"/>
  <c r="AE258" i="53"/>
  <c r="AE179" i="53"/>
  <c r="AE259" i="53" s="1"/>
  <c r="AF178" i="53"/>
  <c r="AF95" i="53"/>
  <c r="AG90" i="53"/>
  <c r="AF193" i="53"/>
  <c r="AF180" i="53"/>
  <c r="AF92" i="53"/>
  <c r="AF93" i="53" s="1"/>
  <c r="AF184" i="53"/>
  <c r="AF192" i="53"/>
  <c r="AF125" i="53"/>
  <c r="AG123" i="53"/>
  <c r="AF96" i="53"/>
  <c r="AF170" i="53"/>
  <c r="AH3" i="51"/>
  <c r="AE45" i="51"/>
  <c r="BJ45" i="51"/>
  <c r="AB15" i="45"/>
  <c r="BH15" i="45" s="1"/>
  <c r="BH7" i="45"/>
  <c r="H15" i="45"/>
  <c r="AN15" i="45" s="1"/>
  <c r="AN7" i="45"/>
  <c r="AG15" i="45"/>
  <c r="BM15" i="45" s="1"/>
  <c r="BM7" i="45"/>
  <c r="Z359" i="48"/>
  <c r="Y284" i="48"/>
  <c r="Y282" i="48"/>
  <c r="Y126" i="48"/>
  <c r="Y128" i="48" s="1"/>
  <c r="Z125" i="48"/>
  <c r="Y127" i="48"/>
  <c r="Y286" i="48"/>
  <c r="Z304" i="48"/>
  <c r="AB296" i="48"/>
  <c r="Z293" i="48"/>
  <c r="Y307" i="48"/>
  <c r="Z285" i="48"/>
  <c r="Z283" i="48"/>
  <c r="X137" i="48"/>
  <c r="X136" i="48"/>
  <c r="X135" i="48"/>
  <c r="X197" i="48"/>
  <c r="X199" i="48"/>
  <c r="Y195" i="48"/>
  <c r="AA292" i="48"/>
  <c r="Z287" i="48"/>
  <c r="Z132" i="48"/>
  <c r="Y305" i="48"/>
  <c r="Z131" i="48"/>
  <c r="Y191" i="48"/>
  <c r="Y193" i="48" s="1"/>
  <c r="Y200" i="48" s="1"/>
  <c r="Y370" i="48" s="1"/>
  <c r="Z190" i="48"/>
  <c r="Y192" i="48"/>
  <c r="AA130" i="48"/>
  <c r="Z297" i="48"/>
  <c r="Y298" i="48"/>
  <c r="Y299" i="48"/>
  <c r="Z308" i="48"/>
  <c r="Z306" i="48"/>
  <c r="Z291" i="48"/>
  <c r="AA290" i="48"/>
  <c r="Y303" i="48"/>
  <c r="Y304" i="46"/>
  <c r="Z299" i="46"/>
  <c r="Z290" i="46"/>
  <c r="Y291" i="46"/>
  <c r="Z282" i="46"/>
  <c r="Y293" i="46"/>
  <c r="AA283" i="46"/>
  <c r="Z130" i="46"/>
  <c r="Y286" i="46"/>
  <c r="X199" i="46"/>
  <c r="Y195" i="46"/>
  <c r="X197" i="46"/>
  <c r="Z284" i="46"/>
  <c r="Y191" i="46"/>
  <c r="Y193" i="46" s="1"/>
  <c r="Y200" i="46" s="1"/>
  <c r="Y370" i="46" s="1"/>
  <c r="Z190" i="46"/>
  <c r="Y192" i="46"/>
  <c r="X136" i="46"/>
  <c r="X137" i="46"/>
  <c r="X371" i="46"/>
  <c r="AB287" i="46"/>
  <c r="Y132" i="46"/>
  <c r="Z308" i="46"/>
  <c r="Y292" i="46"/>
  <c r="Y305" i="46"/>
  <c r="Z307" i="46"/>
  <c r="Y126" i="46"/>
  <c r="Y128" i="46" s="1"/>
  <c r="Y135" i="46" s="1"/>
  <c r="Z125" i="46"/>
  <c r="Y127" i="46"/>
  <c r="Y297" i="46"/>
  <c r="Z303" i="46"/>
  <c r="AA298" i="46"/>
  <c r="Y296" i="46"/>
  <c r="AB131" i="46"/>
  <c r="Z306" i="46"/>
  <c r="Z285" i="46"/>
  <c r="U10" i="44"/>
  <c r="E56" i="44" s="1"/>
  <c r="H56" i="44" s="1"/>
  <c r="T3" i="45"/>
  <c r="T9" i="45" s="1"/>
  <c r="AZ9" i="45" s="1"/>
  <c r="AG342" i="42"/>
  <c r="AG343" i="42"/>
  <c r="F280" i="42"/>
  <c r="G278" i="42"/>
  <c r="F269" i="42"/>
  <c r="F271" i="42"/>
  <c r="G259" i="42"/>
  <c r="G258" i="42"/>
  <c r="D179" i="42"/>
  <c r="H121" i="42"/>
  <c r="N52" i="42"/>
  <c r="N49" i="42" s="1"/>
  <c r="AB232" i="42"/>
  <c r="X232" i="42"/>
  <c r="AA232" i="42"/>
  <c r="Z232" i="42"/>
  <c r="Y232" i="42"/>
  <c r="W231" i="42"/>
  <c r="AC232" i="42"/>
  <c r="P232" i="42"/>
  <c r="D232" i="42"/>
  <c r="F232" i="42"/>
  <c r="O232" i="42"/>
  <c r="E232" i="42"/>
  <c r="M231" i="42"/>
  <c r="N232" i="42"/>
  <c r="F275" i="42"/>
  <c r="H270" i="42"/>
  <c r="E122" i="42"/>
  <c r="D123" i="42"/>
  <c r="AA217" i="42"/>
  <c r="Z217" i="42"/>
  <c r="AC217" i="42"/>
  <c r="Y217" i="42"/>
  <c r="W216" i="42"/>
  <c r="AB217" i="42"/>
  <c r="X217" i="42"/>
  <c r="Z52" i="42"/>
  <c r="Z49" i="42" s="1"/>
  <c r="Y52" i="42"/>
  <c r="Y49" i="42" s="1"/>
  <c r="N171" i="42"/>
  <c r="F171" i="42"/>
  <c r="E171" i="42"/>
  <c r="P171" i="42"/>
  <c r="D171" i="42"/>
  <c r="O171" i="42"/>
  <c r="M170" i="42"/>
  <c r="F331" i="42"/>
  <c r="F276" i="42"/>
  <c r="G256" i="42"/>
  <c r="H254" i="42"/>
  <c r="F262" i="42"/>
  <c r="E263" i="42"/>
  <c r="F257" i="42"/>
  <c r="H265" i="42"/>
  <c r="F264" i="42"/>
  <c r="F279" i="42"/>
  <c r="E179" i="42"/>
  <c r="F177" i="42"/>
  <c r="G116" i="42"/>
  <c r="H115" i="42"/>
  <c r="Z114" i="42"/>
  <c r="AC114" i="42"/>
  <c r="Y114" i="42"/>
  <c r="W113" i="42"/>
  <c r="AB114" i="42"/>
  <c r="X114" i="42"/>
  <c r="AA114" i="42"/>
  <c r="D52" i="42"/>
  <c r="D49" i="42" s="1"/>
  <c r="O217" i="42"/>
  <c r="M216" i="42"/>
  <c r="N217" i="42"/>
  <c r="F217" i="42"/>
  <c r="E217" i="42"/>
  <c r="P217" i="42"/>
  <c r="D217" i="42"/>
  <c r="AB52" i="42"/>
  <c r="AB49" i="42" s="1"/>
  <c r="G1" i="42"/>
  <c r="G114" i="42" s="1"/>
  <c r="F51" i="42"/>
  <c r="F50" i="42"/>
  <c r="AD1" i="42"/>
  <c r="AD171" i="42" s="1"/>
  <c r="AC51" i="42"/>
  <c r="AC50" i="42"/>
  <c r="I277" i="42"/>
  <c r="G255" i="42"/>
  <c r="F268" i="42"/>
  <c r="G173" i="42"/>
  <c r="H172" i="42"/>
  <c r="F120" i="42"/>
  <c r="E123" i="42"/>
  <c r="AA52" i="42"/>
  <c r="AA49" i="42" s="1"/>
  <c r="Z171" i="42"/>
  <c r="AC171" i="42"/>
  <c r="Y171" i="42"/>
  <c r="W170" i="42"/>
  <c r="AB171" i="42"/>
  <c r="X171" i="42"/>
  <c r="AA171" i="42"/>
  <c r="N114" i="42"/>
  <c r="F114" i="42"/>
  <c r="E114" i="42"/>
  <c r="P114" i="42"/>
  <c r="D114" i="42"/>
  <c r="O114" i="42"/>
  <c r="M113" i="42"/>
  <c r="X52" i="42"/>
  <c r="X49" i="42" s="1"/>
  <c r="E52" i="42"/>
  <c r="E49" i="42" s="1"/>
  <c r="F275" i="38"/>
  <c r="I255" i="38"/>
  <c r="G331" i="38"/>
  <c r="F271" i="38"/>
  <c r="F278" i="38"/>
  <c r="G274" i="38"/>
  <c r="H268" i="38"/>
  <c r="H262" i="38"/>
  <c r="G263" i="38"/>
  <c r="F265" i="38"/>
  <c r="G254" i="38"/>
  <c r="H256" i="38"/>
  <c r="G259" i="38"/>
  <c r="F277" i="38"/>
  <c r="F258" i="38"/>
  <c r="F279" i="38"/>
  <c r="H280" i="38"/>
  <c r="H276" i="38"/>
  <c r="F270" i="38"/>
  <c r="H264" i="38"/>
  <c r="F269" i="38"/>
  <c r="I257" i="38"/>
  <c r="Z133" i="48" l="1"/>
  <c r="EE191" i="55"/>
  <c r="BP191" i="55"/>
  <c r="CI6" i="58"/>
  <c r="CI11" i="58"/>
  <c r="Q1" i="42"/>
  <c r="P50" i="42"/>
  <c r="P51" i="42"/>
  <c r="R24" i="44"/>
  <c r="CS116" i="55"/>
  <c r="AF97" i="53"/>
  <c r="AG104" i="54"/>
  <c r="AG96" i="54"/>
  <c r="AG105" i="54"/>
  <c r="AG97" i="54"/>
  <c r="AF86" i="54"/>
  <c r="AF88" i="54" s="1"/>
  <c r="AF87" i="54"/>
  <c r="AF100" i="54" s="1"/>
  <c r="AD105" i="54"/>
  <c r="AD103" i="54"/>
  <c r="AD104" i="54"/>
  <c r="AD102" i="54"/>
  <c r="AF258" i="54"/>
  <c r="AF179" i="54"/>
  <c r="AF259" i="54" s="1"/>
  <c r="AG103" i="54"/>
  <c r="AG93" i="54"/>
  <c r="AG95" i="54"/>
  <c r="AE97" i="54"/>
  <c r="AE101" i="54"/>
  <c r="AE96" i="54"/>
  <c r="AE95" i="54"/>
  <c r="AF127" i="53"/>
  <c r="AG92" i="53"/>
  <c r="AG95" i="53"/>
  <c r="AF258" i="53"/>
  <c r="AF179" i="53"/>
  <c r="AF259" i="53" s="1"/>
  <c r="AG127" i="53"/>
  <c r="AG125" i="53"/>
  <c r="AF45" i="51"/>
  <c r="BK45" i="51"/>
  <c r="AB290" i="48"/>
  <c r="AA291" i="48"/>
  <c r="AA306" i="48"/>
  <c r="AA297" i="48"/>
  <c r="Z307" i="48"/>
  <c r="Z282" i="48"/>
  <c r="Z284" i="48"/>
  <c r="AA285" i="48"/>
  <c r="AA359" i="48"/>
  <c r="AA287" i="48"/>
  <c r="Z303" i="48"/>
  <c r="Z299" i="48"/>
  <c r="Z298" i="48"/>
  <c r="AB130" i="48"/>
  <c r="AA132" i="48"/>
  <c r="AB292" i="48"/>
  <c r="Y199" i="48"/>
  <c r="Z195" i="48"/>
  <c r="Y197" i="48"/>
  <c r="AA293" i="48"/>
  <c r="AC296" i="48"/>
  <c r="Z286" i="48"/>
  <c r="AA125" i="48"/>
  <c r="Z126" i="48"/>
  <c r="Z128" i="48" s="1"/>
  <c r="Z127" i="48"/>
  <c r="Y371" i="48"/>
  <c r="AA304" i="48"/>
  <c r="Z305" i="48"/>
  <c r="AA308" i="48"/>
  <c r="Z191" i="48"/>
  <c r="Z193" i="48" s="1"/>
  <c r="Z200" i="48" s="1"/>
  <c r="Z370" i="48" s="1"/>
  <c r="AA190" i="48"/>
  <c r="Z192" i="48"/>
  <c r="AA131" i="48"/>
  <c r="AA283" i="48"/>
  <c r="Y136" i="48"/>
  <c r="Y137" i="48"/>
  <c r="Y135" i="48"/>
  <c r="AA285" i="46"/>
  <c r="AA307" i="46"/>
  <c r="Z292" i="46"/>
  <c r="Z286" i="46"/>
  <c r="AA130" i="46"/>
  <c r="Z293" i="46"/>
  <c r="AA282" i="46"/>
  <c r="AA299" i="46"/>
  <c r="Z296" i="46"/>
  <c r="AA303" i="46"/>
  <c r="AA308" i="46"/>
  <c r="AC287" i="46"/>
  <c r="AA190" i="46"/>
  <c r="Z191" i="46"/>
  <c r="Z193" i="46" s="1"/>
  <c r="Z200" i="46" s="1"/>
  <c r="Z370" i="46" s="1"/>
  <c r="Z192" i="46"/>
  <c r="AA284" i="46"/>
  <c r="AA306" i="46"/>
  <c r="AC131" i="46"/>
  <c r="Z126" i="46"/>
  <c r="Z128" i="46" s="1"/>
  <c r="AA125" i="46"/>
  <c r="Z127" i="46"/>
  <c r="Z305" i="46"/>
  <c r="Y197" i="46"/>
  <c r="Y199" i="46"/>
  <c r="Z195" i="46"/>
  <c r="AB283" i="46"/>
  <c r="Y371" i="46"/>
  <c r="Z304" i="46"/>
  <c r="AB298" i="46"/>
  <c r="Z297" i="46"/>
  <c r="Y136" i="46"/>
  <c r="Y137" i="46"/>
  <c r="Z132" i="46"/>
  <c r="Y133" i="46"/>
  <c r="AA290" i="46"/>
  <c r="Z291" i="46"/>
  <c r="G110" i="24"/>
  <c r="G61" i="33" s="1"/>
  <c r="H110" i="24"/>
  <c r="U12" i="44"/>
  <c r="U3" i="45"/>
  <c r="U9" i="45" s="1"/>
  <c r="BA9" i="45" s="1"/>
  <c r="D117" i="42"/>
  <c r="D113" i="42"/>
  <c r="D118" i="42"/>
  <c r="AA170" i="42"/>
  <c r="Y170" i="42"/>
  <c r="AD170" i="42"/>
  <c r="J277" i="42"/>
  <c r="AE1" i="42"/>
  <c r="AD51" i="42"/>
  <c r="AD50" i="42"/>
  <c r="O216" i="42"/>
  <c r="X113" i="42"/>
  <c r="Z113" i="42"/>
  <c r="G264" i="42"/>
  <c r="G257" i="42"/>
  <c r="O170" i="42"/>
  <c r="Z216" i="42"/>
  <c r="O231" i="42"/>
  <c r="AD232" i="42"/>
  <c r="X231" i="42"/>
  <c r="H259" i="42"/>
  <c r="G269" i="42"/>
  <c r="G280" i="42"/>
  <c r="E118" i="42"/>
  <c r="E113" i="42"/>
  <c r="E117" i="42"/>
  <c r="F117" i="42"/>
  <c r="F113" i="42"/>
  <c r="F118" i="42"/>
  <c r="F125" i="42" s="1"/>
  <c r="AC170" i="42"/>
  <c r="I172" i="42"/>
  <c r="H173" i="42"/>
  <c r="H1" i="42"/>
  <c r="G51" i="42"/>
  <c r="G50" i="42"/>
  <c r="N216" i="42"/>
  <c r="AB113" i="42"/>
  <c r="Y113" i="42"/>
  <c r="AD114" i="42"/>
  <c r="H256" i="42"/>
  <c r="G331" i="42"/>
  <c r="G171" i="42"/>
  <c r="P170" i="42"/>
  <c r="N170" i="42"/>
  <c r="X216" i="42"/>
  <c r="AD217" i="42"/>
  <c r="I270" i="42"/>
  <c r="G232" i="42"/>
  <c r="P231" i="42"/>
  <c r="AC231" i="42"/>
  <c r="Z231" i="42"/>
  <c r="AB231" i="42"/>
  <c r="X170" i="42"/>
  <c r="H255" i="42"/>
  <c r="AC52" i="42"/>
  <c r="AC49" i="42" s="1"/>
  <c r="D216" i="42"/>
  <c r="P216" i="42"/>
  <c r="G217" i="42"/>
  <c r="AA113" i="42"/>
  <c r="AC113" i="42"/>
  <c r="I115" i="42"/>
  <c r="H116" i="42"/>
  <c r="G279" i="42"/>
  <c r="I265" i="42"/>
  <c r="I254" i="42"/>
  <c r="G276" i="42"/>
  <c r="D174" i="42"/>
  <c r="D170" i="42"/>
  <c r="D175" i="42"/>
  <c r="AB216" i="42"/>
  <c r="Y216" i="42"/>
  <c r="AA216" i="42"/>
  <c r="E231" i="42"/>
  <c r="F231" i="42"/>
  <c r="D231" i="42"/>
  <c r="H258" i="42"/>
  <c r="G271" i="42"/>
  <c r="H278" i="42"/>
  <c r="G117" i="42"/>
  <c r="G113" i="42"/>
  <c r="G118" i="42"/>
  <c r="O113" i="42"/>
  <c r="P113" i="42"/>
  <c r="N113" i="42"/>
  <c r="AB170" i="42"/>
  <c r="Z170" i="42"/>
  <c r="G120" i="42"/>
  <c r="G268" i="42"/>
  <c r="F52" i="42"/>
  <c r="F49" i="42" s="1"/>
  <c r="E216" i="42"/>
  <c r="F216" i="42"/>
  <c r="G177" i="42"/>
  <c r="F179" i="42"/>
  <c r="F263" i="42"/>
  <c r="G262" i="42"/>
  <c r="E175" i="42"/>
  <c r="E174" i="42"/>
  <c r="E170" i="42"/>
  <c r="F174" i="42"/>
  <c r="F170" i="42"/>
  <c r="F175" i="42"/>
  <c r="F182" i="42" s="1"/>
  <c r="F342" i="42" s="1"/>
  <c r="AC216" i="42"/>
  <c r="F122" i="42"/>
  <c r="F123" i="42" s="1"/>
  <c r="G275" i="42"/>
  <c r="N231" i="42"/>
  <c r="Y231" i="42"/>
  <c r="AA231" i="42"/>
  <c r="I121" i="42"/>
  <c r="H254" i="38"/>
  <c r="G271" i="38"/>
  <c r="G275" i="38"/>
  <c r="J257" i="38"/>
  <c r="I264" i="38"/>
  <c r="G277" i="38"/>
  <c r="H259" i="38"/>
  <c r="H274" i="38"/>
  <c r="J255" i="38"/>
  <c r="I276" i="38"/>
  <c r="I280" i="38"/>
  <c r="I256" i="38"/>
  <c r="G278" i="38"/>
  <c r="H331" i="38"/>
  <c r="G269" i="38"/>
  <c r="G270" i="38"/>
  <c r="G279" i="38"/>
  <c r="G258" i="38"/>
  <c r="G265" i="38"/>
  <c r="H263" i="38"/>
  <c r="I262" i="38"/>
  <c r="I268" i="38"/>
  <c r="AA133" i="48" l="1"/>
  <c r="EA191" i="55"/>
  <c r="D142" i="55"/>
  <c r="BZ191" i="55"/>
  <c r="AH142" i="55" s="1"/>
  <c r="BN142" i="55" s="1"/>
  <c r="D141" i="55"/>
  <c r="P52" i="42"/>
  <c r="P49" i="42" s="1"/>
  <c r="R1" i="42"/>
  <c r="Q51" i="42"/>
  <c r="Q50" i="42"/>
  <c r="Q114" i="42"/>
  <c r="Q113" i="42" s="1"/>
  <c r="Q217" i="42"/>
  <c r="Q216" i="42" s="1"/>
  <c r="Q232" i="42"/>
  <c r="Q231" i="42" s="1"/>
  <c r="Q171" i="42"/>
  <c r="Q170" i="42" s="1"/>
  <c r="AE104" i="54"/>
  <c r="AE103" i="54"/>
  <c r="AE105" i="54"/>
  <c r="AE102" i="54"/>
  <c r="AF97" i="54"/>
  <c r="AF101" i="54"/>
  <c r="AF102" i="54" s="1"/>
  <c r="AF96" i="54"/>
  <c r="AF95" i="54"/>
  <c r="AG97" i="53"/>
  <c r="AG93" i="53"/>
  <c r="BL45" i="51"/>
  <c r="AG45" i="51"/>
  <c r="AB304" i="48"/>
  <c r="AA126" i="48"/>
  <c r="AA128" i="48" s="1"/>
  <c r="AB125" i="48"/>
  <c r="AA127" i="48"/>
  <c r="AA286" i="48"/>
  <c r="AB293" i="48"/>
  <c r="Z197" i="48"/>
  <c r="Z199" i="48"/>
  <c r="AA195" i="48"/>
  <c r="AA303" i="48"/>
  <c r="AA282" i="48"/>
  <c r="AB297" i="48"/>
  <c r="AB283" i="48"/>
  <c r="AB131" i="48"/>
  <c r="AB190" i="48"/>
  <c r="AA191" i="48"/>
  <c r="AA193" i="48" s="1"/>
  <c r="AA200" i="48" s="1"/>
  <c r="AA370" i="48" s="1"/>
  <c r="AA192" i="48"/>
  <c r="AA299" i="48"/>
  <c r="Z371" i="48"/>
  <c r="AA284" i="48"/>
  <c r="AC290" i="48"/>
  <c r="AB291" i="48"/>
  <c r="AD296" i="48"/>
  <c r="AC292" i="48"/>
  <c r="AC130" i="48"/>
  <c r="AB287" i="48"/>
  <c r="AB306" i="48"/>
  <c r="AB308" i="48"/>
  <c r="AA305" i="48"/>
  <c r="Z136" i="48"/>
  <c r="Z137" i="48"/>
  <c r="Z135" i="48"/>
  <c r="AB132" i="48"/>
  <c r="AA298" i="48"/>
  <c r="AB359" i="48"/>
  <c r="AB285" i="48"/>
  <c r="AA307" i="48"/>
  <c r="Z371" i="46"/>
  <c r="AC298" i="46"/>
  <c r="AA126" i="46"/>
  <c r="AA128" i="46" s="1"/>
  <c r="AA135" i="46" s="1"/>
  <c r="AB125" i="46"/>
  <c r="AA127" i="46"/>
  <c r="AA191" i="46"/>
  <c r="AA193" i="46" s="1"/>
  <c r="AA200" i="46" s="1"/>
  <c r="AA370" i="46" s="1"/>
  <c r="AB190" i="46"/>
  <c r="AA192" i="46"/>
  <c r="AA296" i="46"/>
  <c r="AB299" i="46"/>
  <c r="AA293" i="46"/>
  <c r="AA132" i="46"/>
  <c r="AA133" i="46" s="1"/>
  <c r="AA304" i="46"/>
  <c r="AA305" i="46"/>
  <c r="Z136" i="46"/>
  <c r="Z137" i="46"/>
  <c r="AD131" i="46"/>
  <c r="AB308" i="46"/>
  <c r="AB130" i="46"/>
  <c r="AA286" i="46"/>
  <c r="AA292" i="46"/>
  <c r="AA291" i="46"/>
  <c r="AB290" i="46"/>
  <c r="AA297" i="46"/>
  <c r="AB303" i="46"/>
  <c r="AB282" i="46"/>
  <c r="Z135" i="46"/>
  <c r="AC283" i="46"/>
  <c r="Z197" i="46"/>
  <c r="Z199" i="46"/>
  <c r="AA195" i="46"/>
  <c r="AB306" i="46"/>
  <c r="AB284" i="46"/>
  <c r="AD287" i="46"/>
  <c r="Z133" i="46"/>
  <c r="AB307" i="46"/>
  <c r="AB285" i="46"/>
  <c r="G124" i="24"/>
  <c r="G62" i="33" s="1"/>
  <c r="H124" i="24"/>
  <c r="V3" i="45"/>
  <c r="V9" i="45" s="1"/>
  <c r="BB9" i="45" s="1"/>
  <c r="G263" i="42"/>
  <c r="H262" i="42"/>
  <c r="G125" i="42"/>
  <c r="H120" i="42"/>
  <c r="J265" i="42"/>
  <c r="G216" i="42"/>
  <c r="G174" i="42"/>
  <c r="G170" i="42"/>
  <c r="G175" i="42"/>
  <c r="G182" i="42" s="1"/>
  <c r="G342" i="42" s="1"/>
  <c r="E126" i="42"/>
  <c r="E127" i="42"/>
  <c r="E125" i="42"/>
  <c r="AF1" i="42"/>
  <c r="AE50" i="42"/>
  <c r="AE51" i="42"/>
  <c r="AE217" i="42"/>
  <c r="AE114" i="42"/>
  <c r="AE232" i="42"/>
  <c r="AE171" i="42"/>
  <c r="F343" i="42"/>
  <c r="G179" i="42"/>
  <c r="H177" i="42"/>
  <c r="G126" i="42"/>
  <c r="I278" i="42"/>
  <c r="I258" i="42"/>
  <c r="D182" i="42"/>
  <c r="D181" i="42"/>
  <c r="I116" i="42"/>
  <c r="J115" i="42"/>
  <c r="AD216" i="42"/>
  <c r="AD113" i="42"/>
  <c r="G52" i="42"/>
  <c r="G49" i="42" s="1"/>
  <c r="H269" i="42"/>
  <c r="H264" i="42"/>
  <c r="K277" i="42"/>
  <c r="H275" i="42"/>
  <c r="E182" i="42"/>
  <c r="E181" i="42"/>
  <c r="F181" i="42"/>
  <c r="J254" i="42"/>
  <c r="H279" i="42"/>
  <c r="I255" i="42"/>
  <c r="G231" i="42"/>
  <c r="H331" i="42"/>
  <c r="I173" i="42"/>
  <c r="J172" i="42"/>
  <c r="AD52" i="42"/>
  <c r="AD49" i="42" s="1"/>
  <c r="D126" i="42"/>
  <c r="D127" i="42"/>
  <c r="D125" i="42"/>
  <c r="J121" i="42"/>
  <c r="G122" i="42"/>
  <c r="G123" i="42" s="1"/>
  <c r="H268" i="42"/>
  <c r="H271" i="42"/>
  <c r="H276" i="42"/>
  <c r="J270" i="42"/>
  <c r="I256" i="42"/>
  <c r="I1" i="42"/>
  <c r="H51" i="42"/>
  <c r="H50" i="42"/>
  <c r="H232" i="42"/>
  <c r="H171" i="42"/>
  <c r="H114" i="42"/>
  <c r="H217" i="42"/>
  <c r="F127" i="42"/>
  <c r="F126" i="42"/>
  <c r="H280" i="42"/>
  <c r="I259" i="42"/>
  <c r="AD231" i="42"/>
  <c r="H257" i="42"/>
  <c r="I259" i="38"/>
  <c r="H270" i="38"/>
  <c r="J256" i="38"/>
  <c r="H275" i="38"/>
  <c r="H271" i="38"/>
  <c r="H278" i="38"/>
  <c r="I254" i="38"/>
  <c r="J268" i="38"/>
  <c r="H258" i="38"/>
  <c r="I331" i="38"/>
  <c r="J280" i="38"/>
  <c r="J276" i="38"/>
  <c r="K255" i="38"/>
  <c r="I274" i="38"/>
  <c r="J264" i="38"/>
  <c r="I263" i="38"/>
  <c r="J262" i="38"/>
  <c r="H265" i="38"/>
  <c r="H279" i="38"/>
  <c r="H269" i="38"/>
  <c r="H277" i="38"/>
  <c r="K257" i="38"/>
  <c r="AG54" i="38"/>
  <c r="AI39" i="41"/>
  <c r="AI44" i="41"/>
  <c r="AI43" i="41"/>
  <c r="AI42" i="41"/>
  <c r="AI41" i="41"/>
  <c r="AI40" i="41"/>
  <c r="F32" i="41"/>
  <c r="G32" i="41" s="1"/>
  <c r="H32" i="41" s="1"/>
  <c r="I32" i="41" s="1"/>
  <c r="J32" i="41" s="1"/>
  <c r="K32" i="41" s="1"/>
  <c r="L32" i="41" s="1"/>
  <c r="M32" i="41" s="1"/>
  <c r="N32" i="41" s="1"/>
  <c r="O32" i="41" s="1"/>
  <c r="P32" i="41" s="1"/>
  <c r="Q32" i="41" s="1"/>
  <c r="R32" i="41" s="1"/>
  <c r="S32" i="41" s="1"/>
  <c r="T32" i="41" s="1"/>
  <c r="U32" i="41" s="1"/>
  <c r="V32" i="41" s="1"/>
  <c r="W32" i="41" s="1"/>
  <c r="X32" i="41" s="1"/>
  <c r="Y32" i="41" s="1"/>
  <c r="Z32" i="41" s="1"/>
  <c r="AA32" i="41" s="1"/>
  <c r="AB32" i="41" s="1"/>
  <c r="AC32" i="41" s="1"/>
  <c r="AD32" i="41" s="1"/>
  <c r="AE32" i="41" s="1"/>
  <c r="AF32" i="41" s="1"/>
  <c r="AG32" i="41" s="1"/>
  <c r="AH32" i="41" s="1"/>
  <c r="AI32" i="41" s="1"/>
  <c r="Q6" i="41"/>
  <c r="D59" i="33"/>
  <c r="E59" i="33"/>
  <c r="F59" i="33"/>
  <c r="C59" i="33"/>
  <c r="AB133" i="48" l="1"/>
  <c r="Q52" i="42"/>
  <c r="Q49" i="42" s="1"/>
  <c r="R217" i="42"/>
  <c r="R216" i="42" s="1"/>
  <c r="R232" i="42"/>
  <c r="R231" i="42" s="1"/>
  <c r="R51" i="42"/>
  <c r="R171" i="42"/>
  <c r="R170" i="42" s="1"/>
  <c r="R50" i="42"/>
  <c r="R52" i="42" s="1"/>
  <c r="R49" i="42" s="1"/>
  <c r="R114" i="42"/>
  <c r="R113" i="42" s="1"/>
  <c r="S1" i="42"/>
  <c r="G181" i="42"/>
  <c r="BP141" i="55"/>
  <c r="CT141" i="55" s="1"/>
  <c r="BQ141" i="55" s="1"/>
  <c r="BR141" i="55" s="1"/>
  <c r="BS141" i="55" s="1"/>
  <c r="BT141" i="55" s="1"/>
  <c r="BU141" i="55" s="1"/>
  <c r="BV141" i="55" s="1"/>
  <c r="BW141" i="55" s="1"/>
  <c r="BX141" i="55" s="1"/>
  <c r="BY141" i="55" s="1"/>
  <c r="BZ141" i="55" s="1"/>
  <c r="CA141" i="55" s="1"/>
  <c r="CB141" i="55" s="1"/>
  <c r="CC141" i="55" s="1"/>
  <c r="CD141" i="55" s="1"/>
  <c r="CE141" i="55" s="1"/>
  <c r="CF141" i="55" s="1"/>
  <c r="CG141" i="55" s="1"/>
  <c r="CH141" i="55" s="1"/>
  <c r="CI141" i="55" s="1"/>
  <c r="CJ141" i="55" s="1"/>
  <c r="CK141" i="55" s="1"/>
  <c r="CL141" i="55" s="1"/>
  <c r="CM141" i="55" s="1"/>
  <c r="CN141" i="55" s="1"/>
  <c r="CO141" i="55" s="1"/>
  <c r="CP141" i="55" s="1"/>
  <c r="CQ141" i="55" s="1"/>
  <c r="CR141" i="55" s="1"/>
  <c r="CS141" i="55" s="1"/>
  <c r="AJ141" i="55"/>
  <c r="CV141" i="55" s="1"/>
  <c r="E141" i="55"/>
  <c r="CT142" i="55"/>
  <c r="DZ142" i="55"/>
  <c r="BP142" i="55"/>
  <c r="BQ142" i="55" s="1"/>
  <c r="BR142" i="55" s="1"/>
  <c r="BS142" i="55" s="1"/>
  <c r="BT142" i="55" s="1"/>
  <c r="BU142" i="55" s="1"/>
  <c r="BV142" i="55" s="1"/>
  <c r="BW142" i="55" s="1"/>
  <c r="BX142" i="55" s="1"/>
  <c r="BY142" i="55" s="1"/>
  <c r="BZ142" i="55" s="1"/>
  <c r="CA142" i="55" s="1"/>
  <c r="CB142" i="55" s="1"/>
  <c r="CC142" i="55" s="1"/>
  <c r="CD142" i="55" s="1"/>
  <c r="CE142" i="55" s="1"/>
  <c r="CF142" i="55" s="1"/>
  <c r="CG142" i="55" s="1"/>
  <c r="CH142" i="55" s="1"/>
  <c r="CI142" i="55" s="1"/>
  <c r="CJ142" i="55" s="1"/>
  <c r="CK142" i="55" s="1"/>
  <c r="CL142" i="55" s="1"/>
  <c r="CM142" i="55" s="1"/>
  <c r="CN142" i="55" s="1"/>
  <c r="CO142" i="55" s="1"/>
  <c r="CP142" i="55" s="1"/>
  <c r="CQ142" i="55" s="1"/>
  <c r="CR142" i="55" s="1"/>
  <c r="CS142" i="55" s="1"/>
  <c r="E142" i="55"/>
  <c r="AJ142" i="55"/>
  <c r="CV142" i="55" s="1"/>
  <c r="AF104" i="54"/>
  <c r="AF103" i="54"/>
  <c r="AF105" i="54"/>
  <c r="BM45" i="51"/>
  <c r="AB307" i="48"/>
  <c r="AC359" i="48"/>
  <c r="AC287" i="48"/>
  <c r="AC283" i="48"/>
  <c r="AC297" i="48"/>
  <c r="AB282" i="48"/>
  <c r="AB126" i="48"/>
  <c r="AB128" i="48" s="1"/>
  <c r="AC125" i="48"/>
  <c r="AB127" i="48"/>
  <c r="AE296" i="48"/>
  <c r="AB191" i="48"/>
  <c r="AB193" i="48" s="1"/>
  <c r="AB200" i="48" s="1"/>
  <c r="AB370" i="48" s="1"/>
  <c r="AC190" i="48"/>
  <c r="AB192" i="48"/>
  <c r="AB286" i="48"/>
  <c r="AA136" i="48"/>
  <c r="AA137" i="48"/>
  <c r="AA135" i="48"/>
  <c r="AC285" i="48"/>
  <c r="AB305" i="48"/>
  <c r="AC306" i="48"/>
  <c r="AD130" i="48"/>
  <c r="AC291" i="48"/>
  <c r="AD290" i="48"/>
  <c r="AC131" i="48"/>
  <c r="AB303" i="48"/>
  <c r="AC132" i="48"/>
  <c r="AB298" i="48"/>
  <c r="AC308" i="48"/>
  <c r="AD292" i="48"/>
  <c r="AB284" i="48"/>
  <c r="AB299" i="48"/>
  <c r="AA371" i="48"/>
  <c r="AA197" i="48"/>
  <c r="AA199" i="48"/>
  <c r="AB195" i="48"/>
  <c r="AC293" i="48"/>
  <c r="AC304" i="48"/>
  <c r="AA371" i="46"/>
  <c r="AC285" i="46"/>
  <c r="AC307" i="46"/>
  <c r="AA197" i="46"/>
  <c r="AA199" i="46"/>
  <c r="AB195" i="46"/>
  <c r="AC282" i="46"/>
  <c r="AB297" i="46"/>
  <c r="AC299" i="46"/>
  <c r="AC284" i="46"/>
  <c r="AB291" i="46"/>
  <c r="AC290" i="46"/>
  <c r="AE131" i="46"/>
  <c r="AC303" i="46"/>
  <c r="AB286" i="46"/>
  <c r="AB305" i="46"/>
  <c r="AB293" i="46"/>
  <c r="AB296" i="46"/>
  <c r="AC125" i="46"/>
  <c r="AB126" i="46"/>
  <c r="AB128" i="46" s="1"/>
  <c r="AB135" i="46" s="1"/>
  <c r="AB127" i="46"/>
  <c r="AD298" i="46"/>
  <c r="AB292" i="46"/>
  <c r="AB191" i="46"/>
  <c r="AB193" i="46" s="1"/>
  <c r="AB200" i="46" s="1"/>
  <c r="AB370" i="46" s="1"/>
  <c r="AC190" i="46"/>
  <c r="AB192" i="46"/>
  <c r="AE287" i="46"/>
  <c r="AC306" i="46"/>
  <c r="AD283" i="46"/>
  <c r="AC130" i="46"/>
  <c r="AC308" i="46"/>
  <c r="AB304" i="46"/>
  <c r="AB132" i="46"/>
  <c r="AB133" i="46" s="1"/>
  <c r="AA137" i="46"/>
  <c r="AA136" i="46"/>
  <c r="W3" i="45"/>
  <c r="W9" i="45" s="1"/>
  <c r="BC9" i="45" s="1"/>
  <c r="H174" i="42"/>
  <c r="H170" i="42"/>
  <c r="H175" i="42"/>
  <c r="H182" i="42" s="1"/>
  <c r="H342" i="42" s="1"/>
  <c r="I51" i="42"/>
  <c r="I50" i="42"/>
  <c r="J1" i="42"/>
  <c r="I232" i="42"/>
  <c r="I114" i="42"/>
  <c r="I171" i="42"/>
  <c r="I217" i="42"/>
  <c r="K270" i="42"/>
  <c r="I275" i="42"/>
  <c r="D342" i="42"/>
  <c r="D343" i="42"/>
  <c r="J278" i="42"/>
  <c r="AE231" i="42"/>
  <c r="AE52" i="42"/>
  <c r="AE49" i="42" s="1"/>
  <c r="I280" i="42"/>
  <c r="H231" i="42"/>
  <c r="I268" i="42"/>
  <c r="J173" i="42"/>
  <c r="K172" i="42"/>
  <c r="I279" i="42"/>
  <c r="L277" i="42"/>
  <c r="J116" i="42"/>
  <c r="K115" i="42"/>
  <c r="H179" i="42"/>
  <c r="I177" i="42"/>
  <c r="AE113" i="42"/>
  <c r="AF51" i="42"/>
  <c r="AF50" i="42"/>
  <c r="AF232" i="42"/>
  <c r="AF114" i="42"/>
  <c r="AF217" i="42"/>
  <c r="AF171" i="42"/>
  <c r="K265" i="42"/>
  <c r="H263" i="42"/>
  <c r="H343" i="42" s="1"/>
  <c r="I262" i="42"/>
  <c r="H216" i="42"/>
  <c r="H52" i="42"/>
  <c r="H49" i="42" s="1"/>
  <c r="J256" i="42"/>
  <c r="I276" i="42"/>
  <c r="I271" i="42"/>
  <c r="H122" i="42"/>
  <c r="H123" i="42" s="1"/>
  <c r="K121" i="42"/>
  <c r="J255" i="42"/>
  <c r="E342" i="42"/>
  <c r="E343" i="42"/>
  <c r="G127" i="42"/>
  <c r="AE216" i="42"/>
  <c r="G343" i="42"/>
  <c r="I257" i="42"/>
  <c r="J259" i="42"/>
  <c r="H117" i="42"/>
  <c r="H113" i="42"/>
  <c r="H118" i="42"/>
  <c r="H125" i="42" s="1"/>
  <c r="I331" i="42"/>
  <c r="K254" i="42"/>
  <c r="I264" i="42"/>
  <c r="I269" i="42"/>
  <c r="J258" i="42"/>
  <c r="AE170" i="42"/>
  <c r="I120" i="42"/>
  <c r="I279" i="38"/>
  <c r="J263" i="38"/>
  <c r="K262" i="38"/>
  <c r="I277" i="38"/>
  <c r="I269" i="38"/>
  <c r="I265" i="38"/>
  <c r="K264" i="38"/>
  <c r="L255" i="38"/>
  <c r="K280" i="38"/>
  <c r="I278" i="38"/>
  <c r="I270" i="38"/>
  <c r="I258" i="38"/>
  <c r="I271" i="38"/>
  <c r="L257" i="38"/>
  <c r="J274" i="38"/>
  <c r="K276" i="38"/>
  <c r="J331" i="38"/>
  <c r="K268" i="38"/>
  <c r="J254" i="38"/>
  <c r="J259" i="38"/>
  <c r="I275" i="38"/>
  <c r="K256" i="38"/>
  <c r="P6" i="41"/>
  <c r="C78" i="40"/>
  <c r="C74" i="40"/>
  <c r="I23" i="40"/>
  <c r="I33" i="40" s="1"/>
  <c r="H23" i="40"/>
  <c r="H33" i="40" s="1"/>
  <c r="G23" i="40"/>
  <c r="F23" i="40"/>
  <c r="F32" i="40" s="1"/>
  <c r="E23" i="40"/>
  <c r="E33" i="40" s="1"/>
  <c r="D23" i="40"/>
  <c r="D33" i="40" s="1"/>
  <c r="C23" i="40"/>
  <c r="B23" i="40"/>
  <c r="J22" i="40"/>
  <c r="J21" i="40"/>
  <c r="J20" i="40"/>
  <c r="J19" i="40"/>
  <c r="J18" i="40"/>
  <c r="J17" i="40"/>
  <c r="AC133" i="48" l="1"/>
  <c r="AK142" i="55"/>
  <c r="CW142" i="55" s="1"/>
  <c r="F142" i="55"/>
  <c r="S171" i="42"/>
  <c r="S170" i="42" s="1"/>
  <c r="S114" i="42"/>
  <c r="S113" i="42" s="1"/>
  <c r="T1" i="42"/>
  <c r="S51" i="42"/>
  <c r="S50" i="42"/>
  <c r="S217" i="42"/>
  <c r="S216" i="42" s="1"/>
  <c r="S232" i="42"/>
  <c r="S231" i="42" s="1"/>
  <c r="AK141" i="55"/>
  <c r="CW141" i="55" s="1"/>
  <c r="F141" i="55"/>
  <c r="BN45" i="51"/>
  <c r="AH45" i="51"/>
  <c r="CC15" i="51" s="1"/>
  <c r="AD304" i="48"/>
  <c r="AE292" i="48"/>
  <c r="AD308" i="48"/>
  <c r="AD291" i="48"/>
  <c r="AE290" i="48"/>
  <c r="AC282" i="48"/>
  <c r="AD283" i="48"/>
  <c r="AD287" i="48"/>
  <c r="AD293" i="48"/>
  <c r="AC299" i="48"/>
  <c r="AC284" i="48"/>
  <c r="AD132" i="48"/>
  <c r="AC305" i="48"/>
  <c r="AC191" i="48"/>
  <c r="AC193" i="48" s="1"/>
  <c r="AC200" i="48" s="1"/>
  <c r="AC370" i="48" s="1"/>
  <c r="AD190" i="48"/>
  <c r="AC192" i="48"/>
  <c r="AF296" i="48"/>
  <c r="AC126" i="48"/>
  <c r="AC128" i="48" s="1"/>
  <c r="AD125" i="48"/>
  <c r="AC127" i="48"/>
  <c r="AC298" i="48"/>
  <c r="AC303" i="48"/>
  <c r="AD131" i="48"/>
  <c r="AD133" i="48" s="1"/>
  <c r="AE130" i="48"/>
  <c r="AD306" i="48"/>
  <c r="AC286" i="48"/>
  <c r="AB137" i="48"/>
  <c r="AB136" i="48"/>
  <c r="AB135" i="48"/>
  <c r="AD297" i="48"/>
  <c r="AB197" i="48"/>
  <c r="AB199" i="48"/>
  <c r="AC195" i="48"/>
  <c r="AD285" i="48"/>
  <c r="AB371" i="48"/>
  <c r="AD359" i="48"/>
  <c r="AC307" i="48"/>
  <c r="AD306" i="46"/>
  <c r="AC305" i="46"/>
  <c r="AC286" i="46"/>
  <c r="AB371" i="46"/>
  <c r="AD284" i="46"/>
  <c r="AB199" i="46"/>
  <c r="AC195" i="46"/>
  <c r="AB197" i="46"/>
  <c r="AC296" i="46"/>
  <c r="AD290" i="46"/>
  <c r="AC291" i="46"/>
  <c r="AD299" i="46"/>
  <c r="AD308" i="46"/>
  <c r="AF287" i="46"/>
  <c r="AC191" i="46"/>
  <c r="AC193" i="46" s="1"/>
  <c r="AC200" i="46" s="1"/>
  <c r="AC370" i="46" s="1"/>
  <c r="AD190" i="46"/>
  <c r="AC192" i="46"/>
  <c r="AB136" i="46"/>
  <c r="AB137" i="46"/>
  <c r="AC293" i="46"/>
  <c r="AD307" i="46"/>
  <c r="AC304" i="46"/>
  <c r="AD130" i="46"/>
  <c r="AC292" i="46"/>
  <c r="AD303" i="46"/>
  <c r="AF131" i="46"/>
  <c r="AD285" i="46"/>
  <c r="AE283" i="46"/>
  <c r="AC132" i="46"/>
  <c r="AC133" i="46" s="1"/>
  <c r="AE298" i="46"/>
  <c r="AC126" i="46"/>
  <c r="AC128" i="46" s="1"/>
  <c r="AD125" i="46"/>
  <c r="AC127" i="46"/>
  <c r="AC297" i="46"/>
  <c r="AD282" i="46"/>
  <c r="X3" i="45"/>
  <c r="X9" i="45" s="1"/>
  <c r="BD9" i="45" s="1"/>
  <c r="J23" i="40"/>
  <c r="B79" i="40"/>
  <c r="B29" i="40"/>
  <c r="B33" i="40"/>
  <c r="F27" i="40"/>
  <c r="F33" i="40"/>
  <c r="B28" i="40"/>
  <c r="B30" i="40"/>
  <c r="B32" i="40"/>
  <c r="B27" i="40"/>
  <c r="B31" i="40"/>
  <c r="F29" i="40"/>
  <c r="F31" i="40"/>
  <c r="F28" i="40"/>
  <c r="F30" i="40"/>
  <c r="J280" i="42"/>
  <c r="J269" i="42"/>
  <c r="K255" i="42"/>
  <c r="I122" i="42"/>
  <c r="I123" i="42" s="1"/>
  <c r="J276" i="42"/>
  <c r="AF113" i="42"/>
  <c r="H181" i="42"/>
  <c r="J279" i="42"/>
  <c r="I216" i="42"/>
  <c r="K1" i="42"/>
  <c r="J51" i="42"/>
  <c r="J50" i="42"/>
  <c r="J232" i="42"/>
  <c r="J114" i="42"/>
  <c r="J171" i="42"/>
  <c r="J217" i="42"/>
  <c r="I179" i="42"/>
  <c r="J177" i="42"/>
  <c r="J120" i="42"/>
  <c r="J264" i="42"/>
  <c r="H126" i="42"/>
  <c r="H127" i="42"/>
  <c r="J257" i="42"/>
  <c r="AF231" i="42"/>
  <c r="K278" i="42"/>
  <c r="J275" i="42"/>
  <c r="I175" i="42"/>
  <c r="I182" i="42" s="1"/>
  <c r="I342" i="42" s="1"/>
  <c r="I174" i="42"/>
  <c r="I170" i="42"/>
  <c r="I52" i="42"/>
  <c r="I49" i="42" s="1"/>
  <c r="L254" i="42"/>
  <c r="AF216" i="42"/>
  <c r="J268" i="42"/>
  <c r="K258" i="42"/>
  <c r="J331" i="42"/>
  <c r="K259" i="42"/>
  <c r="L121" i="42"/>
  <c r="J271" i="42"/>
  <c r="K256" i="42"/>
  <c r="J262" i="42"/>
  <c r="I263" i="42"/>
  <c r="I343" i="42" s="1"/>
  <c r="L265" i="42"/>
  <c r="AF170" i="42"/>
  <c r="AF52" i="42"/>
  <c r="AF49" i="42" s="1"/>
  <c r="K116" i="42"/>
  <c r="L115" i="42"/>
  <c r="M277" i="42"/>
  <c r="K173" i="42"/>
  <c r="L172" i="42"/>
  <c r="L270" i="42"/>
  <c r="I118" i="42"/>
  <c r="I125" i="42" s="1"/>
  <c r="I117" i="42"/>
  <c r="I113" i="42"/>
  <c r="I231" i="42"/>
  <c r="K331" i="38"/>
  <c r="L264" i="38"/>
  <c r="J279" i="38"/>
  <c r="J265" i="38"/>
  <c r="L262" i="38"/>
  <c r="K263" i="38"/>
  <c r="J270" i="38"/>
  <c r="J278" i="38"/>
  <c r="J269" i="38"/>
  <c r="K259" i="38"/>
  <c r="K254" i="38"/>
  <c r="J271" i="38"/>
  <c r="L280" i="38"/>
  <c r="J277" i="38"/>
  <c r="L256" i="38"/>
  <c r="K274" i="38"/>
  <c r="J275" i="38"/>
  <c r="L268" i="38"/>
  <c r="L276" i="38"/>
  <c r="M257" i="38"/>
  <c r="J258" i="38"/>
  <c r="M255" i="38"/>
  <c r="C29" i="40"/>
  <c r="C33" i="40"/>
  <c r="C32" i="40"/>
  <c r="C31" i="40"/>
  <c r="C30" i="40"/>
  <c r="C28" i="40"/>
  <c r="C27" i="40"/>
  <c r="G30" i="40"/>
  <c r="G27" i="40"/>
  <c r="G33" i="40"/>
  <c r="G32" i="40"/>
  <c r="G31" i="40"/>
  <c r="G29" i="40"/>
  <c r="G28" i="40"/>
  <c r="D27" i="40"/>
  <c r="H27" i="40"/>
  <c r="D28" i="40"/>
  <c r="H28" i="40"/>
  <c r="D29" i="40"/>
  <c r="H29" i="40"/>
  <c r="D30" i="40"/>
  <c r="H30" i="40"/>
  <c r="D31" i="40"/>
  <c r="H31" i="40"/>
  <c r="D32" i="40"/>
  <c r="H32" i="40"/>
  <c r="E27" i="40"/>
  <c r="I27" i="40"/>
  <c r="E28" i="40"/>
  <c r="I28" i="40"/>
  <c r="E29" i="40"/>
  <c r="I29" i="40"/>
  <c r="E30" i="40"/>
  <c r="I30" i="40"/>
  <c r="E31" i="40"/>
  <c r="I31" i="40"/>
  <c r="E32" i="40"/>
  <c r="I32" i="40"/>
  <c r="S52" i="42" l="1"/>
  <c r="S49" i="42" s="1"/>
  <c r="T217" i="42"/>
  <c r="T216" i="42" s="1"/>
  <c r="T232" i="42"/>
  <c r="T231" i="42" s="1"/>
  <c r="T171" i="42"/>
  <c r="T170" i="42" s="1"/>
  <c r="T114" i="42"/>
  <c r="T113" i="42" s="1"/>
  <c r="U1" i="42"/>
  <c r="T51" i="42"/>
  <c r="T50" i="42"/>
  <c r="T52" i="42" s="1"/>
  <c r="T49" i="42" s="1"/>
  <c r="AL141" i="55"/>
  <c r="CX141" i="55" s="1"/>
  <c r="G141" i="55"/>
  <c r="AL142" i="55"/>
  <c r="CX142" i="55" s="1"/>
  <c r="G142" i="55"/>
  <c r="AE359" i="48"/>
  <c r="AE131" i="48"/>
  <c r="AC136" i="48"/>
  <c r="AC137" i="48"/>
  <c r="AC135" i="48"/>
  <c r="AC371" i="48"/>
  <c r="AE283" i="48"/>
  <c r="AD307" i="48"/>
  <c r="AE306" i="48"/>
  <c r="AD298" i="48"/>
  <c r="AE132" i="48"/>
  <c r="AD299" i="48"/>
  <c r="AE293" i="48"/>
  <c r="AE308" i="48"/>
  <c r="AE297" i="48"/>
  <c r="AD303" i="48"/>
  <c r="AD305" i="48"/>
  <c r="AD282" i="48"/>
  <c r="AF290" i="48"/>
  <c r="AE291" i="48"/>
  <c r="AE304" i="48"/>
  <c r="AE285" i="48"/>
  <c r="AC199" i="48"/>
  <c r="AD195" i="48"/>
  <c r="AC197" i="48"/>
  <c r="AD286" i="48"/>
  <c r="AF130" i="48"/>
  <c r="AE133" i="48"/>
  <c r="AE125" i="48"/>
  <c r="AD126" i="48"/>
  <c r="AD128" i="48" s="1"/>
  <c r="AD127" i="48"/>
  <c r="AD191" i="48"/>
  <c r="AD193" i="48" s="1"/>
  <c r="AD200" i="48" s="1"/>
  <c r="AD370" i="48" s="1"/>
  <c r="AE190" i="48"/>
  <c r="AD192" i="48"/>
  <c r="AD284" i="48"/>
  <c r="AE287" i="48"/>
  <c r="AF292" i="48"/>
  <c r="AE282" i="46"/>
  <c r="AG131" i="46"/>
  <c r="AE299" i="46"/>
  <c r="AE284" i="46"/>
  <c r="AD305" i="46"/>
  <c r="AD126" i="46"/>
  <c r="AD128" i="46" s="1"/>
  <c r="AD135" i="46" s="1"/>
  <c r="AE125" i="46"/>
  <c r="AD127" i="46"/>
  <c r="AD132" i="46"/>
  <c r="AD133" i="46" s="1"/>
  <c r="AE130" i="46"/>
  <c r="AD297" i="46"/>
  <c r="AC136" i="46"/>
  <c r="AC137" i="46"/>
  <c r="AF283" i="46"/>
  <c r="AE285" i="46"/>
  <c r="AE303" i="46"/>
  <c r="AC135" i="46"/>
  <c r="AE307" i="46"/>
  <c r="AC371" i="46"/>
  <c r="AD296" i="46"/>
  <c r="AD286" i="46"/>
  <c r="AF298" i="46"/>
  <c r="AD292" i="46"/>
  <c r="AD304" i="46"/>
  <c r="AD293" i="46"/>
  <c r="AE190" i="46"/>
  <c r="AD191" i="46"/>
  <c r="AD193" i="46" s="1"/>
  <c r="AD200" i="46" s="1"/>
  <c r="AD370" i="46" s="1"/>
  <c r="AD192" i="46"/>
  <c r="AE308" i="46"/>
  <c r="AE290" i="46"/>
  <c r="AD291" i="46"/>
  <c r="AC197" i="46"/>
  <c r="AC199" i="46"/>
  <c r="AD195" i="46"/>
  <c r="AE306" i="46"/>
  <c r="Y3" i="45"/>
  <c r="Y9" i="45" s="1"/>
  <c r="BE9" i="45" s="1"/>
  <c r="N277" i="42"/>
  <c r="L258" i="42"/>
  <c r="K275" i="42"/>
  <c r="J216" i="42"/>
  <c r="J52" i="42"/>
  <c r="J49" i="42" s="1"/>
  <c r="K279" i="42"/>
  <c r="K276" i="42"/>
  <c r="I126" i="42"/>
  <c r="I127" i="42"/>
  <c r="M121" i="42"/>
  <c r="J174" i="42"/>
  <c r="J170" i="42"/>
  <c r="J175" i="42"/>
  <c r="J182" i="42" s="1"/>
  <c r="J342" i="42" s="1"/>
  <c r="J122" i="42"/>
  <c r="M270" i="42"/>
  <c r="M172" i="42"/>
  <c r="L173" i="42"/>
  <c r="M115" i="42"/>
  <c r="L116" i="42"/>
  <c r="J263" i="42"/>
  <c r="K262" i="42"/>
  <c r="L256" i="42"/>
  <c r="K331" i="42"/>
  <c r="K268" i="42"/>
  <c r="L278" i="42"/>
  <c r="K264" i="42"/>
  <c r="K177" i="42"/>
  <c r="J179" i="42"/>
  <c r="J117" i="42"/>
  <c r="J113" i="42"/>
  <c r="J118" i="42"/>
  <c r="J125" i="42" s="1"/>
  <c r="L1" i="42"/>
  <c r="K51" i="42"/>
  <c r="K50" i="42"/>
  <c r="K232" i="42"/>
  <c r="K217" i="42"/>
  <c r="K171" i="42"/>
  <c r="K114" i="42"/>
  <c r="K280" i="42"/>
  <c r="M265" i="42"/>
  <c r="K271" i="42"/>
  <c r="L259" i="42"/>
  <c r="M254" i="42"/>
  <c r="K257" i="42"/>
  <c r="K120" i="42"/>
  <c r="J123" i="42"/>
  <c r="I181" i="42"/>
  <c r="J231" i="42"/>
  <c r="L255" i="42"/>
  <c r="K269" i="42"/>
  <c r="K279" i="38"/>
  <c r="K275" i="38"/>
  <c r="L274" i="38"/>
  <c r="M280" i="38"/>
  <c r="K270" i="38"/>
  <c r="M276" i="38"/>
  <c r="L259" i="38"/>
  <c r="N257" i="38"/>
  <c r="M256" i="38"/>
  <c r="L254" i="38"/>
  <c r="K269" i="38"/>
  <c r="K265" i="38"/>
  <c r="L331" i="38"/>
  <c r="K258" i="38"/>
  <c r="N255" i="38"/>
  <c r="M268" i="38"/>
  <c r="K277" i="38"/>
  <c r="K271" i="38"/>
  <c r="K278" i="38"/>
  <c r="M262" i="38"/>
  <c r="L263" i="38"/>
  <c r="M264" i="38"/>
  <c r="J343" i="42" l="1"/>
  <c r="U114" i="42"/>
  <c r="U113" i="42" s="1"/>
  <c r="U50" i="42"/>
  <c r="V1" i="42"/>
  <c r="U51" i="42"/>
  <c r="U171" i="42"/>
  <c r="U170" i="42" s="1"/>
  <c r="U232" i="42"/>
  <c r="U231" i="42" s="1"/>
  <c r="U217" i="42"/>
  <c r="U216" i="42" s="1"/>
  <c r="J181" i="42"/>
  <c r="H142" i="55"/>
  <c r="AM142" i="55"/>
  <c r="CY142" i="55" s="1"/>
  <c r="AM141" i="55"/>
  <c r="CY141" i="55" s="1"/>
  <c r="H141" i="55"/>
  <c r="AF359" i="48"/>
  <c r="AE282" i="48"/>
  <c r="AE303" i="48"/>
  <c r="AE307" i="48"/>
  <c r="AF131" i="48"/>
  <c r="AF190" i="48"/>
  <c r="AE191" i="48"/>
  <c r="AE193" i="48" s="1"/>
  <c r="AE200" i="48" s="1"/>
  <c r="AE370" i="48" s="1"/>
  <c r="AE192" i="48"/>
  <c r="AG130" i="48"/>
  <c r="AF308" i="48"/>
  <c r="AE284" i="48"/>
  <c r="AD136" i="48"/>
  <c r="AD137" i="48"/>
  <c r="AD135" i="48"/>
  <c r="AF304" i="48"/>
  <c r="AF297" i="48"/>
  <c r="AD371" i="48"/>
  <c r="AF125" i="48"/>
  <c r="AE126" i="48"/>
  <c r="AE128" i="48" s="1"/>
  <c r="AE127" i="48"/>
  <c r="AE286" i="48"/>
  <c r="AE305" i="48"/>
  <c r="AD197" i="48"/>
  <c r="AD199" i="48"/>
  <c r="AE195" i="48"/>
  <c r="AF291" i="48"/>
  <c r="AE299" i="48"/>
  <c r="AF306" i="48"/>
  <c r="AF287" i="48"/>
  <c r="AF285" i="48"/>
  <c r="AF293" i="48"/>
  <c r="AF132" i="48"/>
  <c r="AE298" i="48"/>
  <c r="AF283" i="48"/>
  <c r="AD371" i="46"/>
  <c r="AD197" i="46"/>
  <c r="AD199" i="46"/>
  <c r="AE195" i="46"/>
  <c r="AE191" i="46"/>
  <c r="AE193" i="46" s="1"/>
  <c r="AE200" i="46" s="1"/>
  <c r="AE370" i="46" s="1"/>
  <c r="AF190" i="46"/>
  <c r="AE192" i="46"/>
  <c r="AF285" i="46"/>
  <c r="AE297" i="46"/>
  <c r="AE132" i="46"/>
  <c r="AE126" i="46"/>
  <c r="AE128" i="46" s="1"/>
  <c r="AE135" i="46" s="1"/>
  <c r="AF125" i="46"/>
  <c r="AE127" i="46"/>
  <c r="AE304" i="46"/>
  <c r="AE286" i="46"/>
  <c r="AF307" i="46"/>
  <c r="AD136" i="46"/>
  <c r="AD137" i="46"/>
  <c r="AF299" i="46"/>
  <c r="AF303" i="46"/>
  <c r="AE305" i="46"/>
  <c r="AG136" i="46"/>
  <c r="AF306" i="46"/>
  <c r="AE291" i="46"/>
  <c r="AF290" i="46"/>
  <c r="AF308" i="46"/>
  <c r="AE293" i="46"/>
  <c r="AE292" i="46"/>
  <c r="AE296" i="46"/>
  <c r="AF130" i="46"/>
  <c r="AF284" i="46"/>
  <c r="AF282" i="46"/>
  <c r="Z3" i="45"/>
  <c r="Z9" i="45" s="1"/>
  <c r="BF9" i="45" s="1"/>
  <c r="L280" i="42"/>
  <c r="K117" i="42"/>
  <c r="K113" i="42"/>
  <c r="K118" i="42"/>
  <c r="K125" i="42" s="1"/>
  <c r="K52" i="42"/>
  <c r="K49" i="42" s="1"/>
  <c r="K179" i="42"/>
  <c r="L177" i="42"/>
  <c r="L331" i="42"/>
  <c r="M116" i="42"/>
  <c r="M118" i="42" s="1"/>
  <c r="N115" i="42"/>
  <c r="M117" i="42"/>
  <c r="N270" i="42"/>
  <c r="K122" i="42"/>
  <c r="L279" i="42"/>
  <c r="L275" i="42"/>
  <c r="M255" i="42"/>
  <c r="N254" i="42"/>
  <c r="L271" i="42"/>
  <c r="K174" i="42"/>
  <c r="K170" i="42"/>
  <c r="K175" i="42"/>
  <c r="K182" i="42" s="1"/>
  <c r="L268" i="42"/>
  <c r="M256" i="42"/>
  <c r="O277" i="42"/>
  <c r="L257" i="42"/>
  <c r="M259" i="42"/>
  <c r="N265" i="42"/>
  <c r="K216" i="42"/>
  <c r="L51" i="42"/>
  <c r="L50" i="42"/>
  <c r="L114" i="42"/>
  <c r="L217" i="42"/>
  <c r="L232" i="42"/>
  <c r="L171" i="42"/>
  <c r="L264" i="42"/>
  <c r="M278" i="42"/>
  <c r="N121" i="42"/>
  <c r="L276" i="42"/>
  <c r="L269" i="42"/>
  <c r="K123" i="42"/>
  <c r="L120" i="42"/>
  <c r="K231" i="42"/>
  <c r="J127" i="42"/>
  <c r="J126" i="42"/>
  <c r="K342" i="42"/>
  <c r="K263" i="42"/>
  <c r="K343" i="42" s="1"/>
  <c r="L262" i="42"/>
  <c r="M173" i="42"/>
  <c r="M175" i="42" s="1"/>
  <c r="M182" i="42" s="1"/>
  <c r="N172" i="42"/>
  <c r="M174" i="42"/>
  <c r="M258" i="42"/>
  <c r="M263" i="38"/>
  <c r="N262" i="38"/>
  <c r="O255" i="38"/>
  <c r="N276" i="38"/>
  <c r="N280" i="38"/>
  <c r="L271" i="38"/>
  <c r="L258" i="38"/>
  <c r="M254" i="38"/>
  <c r="O257" i="38"/>
  <c r="L270" i="38"/>
  <c r="L275" i="38"/>
  <c r="L279" i="38"/>
  <c r="N264" i="38"/>
  <c r="N268" i="38"/>
  <c r="N256" i="38"/>
  <c r="M259" i="38"/>
  <c r="L278" i="38"/>
  <c r="L277" i="38"/>
  <c r="M331" i="38"/>
  <c r="L265" i="38"/>
  <c r="L269" i="38"/>
  <c r="M274" i="38"/>
  <c r="AE371" i="48" l="1"/>
  <c r="AN141" i="55"/>
  <c r="CZ141" i="55" s="1"/>
  <c r="I141" i="55"/>
  <c r="V114" i="42"/>
  <c r="V113" i="42" s="1"/>
  <c r="V51" i="42"/>
  <c r="V50" i="42"/>
  <c r="V52" i="42" s="1"/>
  <c r="V49" i="42" s="1"/>
  <c r="V217" i="42"/>
  <c r="V216" i="42" s="1"/>
  <c r="V171" i="42"/>
  <c r="V170" i="42" s="1"/>
  <c r="V232" i="42"/>
  <c r="V231" i="42" s="1"/>
  <c r="U52" i="42"/>
  <c r="U49" i="42" s="1"/>
  <c r="AN142" i="55"/>
  <c r="CZ142" i="55" s="1"/>
  <c r="I142" i="55"/>
  <c r="AE197" i="48"/>
  <c r="AE199" i="48"/>
  <c r="AF195" i="48"/>
  <c r="AF282" i="48"/>
  <c r="AG132" i="48"/>
  <c r="AE136" i="48"/>
  <c r="AE137" i="48"/>
  <c r="AE135" i="48"/>
  <c r="AF284" i="48"/>
  <c r="AF133" i="48"/>
  <c r="AF307" i="48"/>
  <c r="AF298" i="48"/>
  <c r="AF299" i="48"/>
  <c r="AF286" i="48"/>
  <c r="AF126" i="48"/>
  <c r="AF128" i="48" s="1"/>
  <c r="AF127" i="48"/>
  <c r="AG131" i="48"/>
  <c r="AG133" i="48" s="1"/>
  <c r="AF303" i="48"/>
  <c r="AF305" i="48"/>
  <c r="AG135" i="48"/>
  <c r="AF191" i="48"/>
  <c r="AF193" i="48" s="1"/>
  <c r="AF200" i="48" s="1"/>
  <c r="AF370" i="48" s="1"/>
  <c r="AF192" i="48"/>
  <c r="AG359" i="48"/>
  <c r="AF305" i="46"/>
  <c r="AF132" i="46"/>
  <c r="AF133" i="46" s="1"/>
  <c r="AE133" i="46"/>
  <c r="AF293" i="46"/>
  <c r="AE371" i="46"/>
  <c r="AF304" i="46"/>
  <c r="AF297" i="46"/>
  <c r="AF286" i="46"/>
  <c r="AF126" i="46"/>
  <c r="AF128" i="46" s="1"/>
  <c r="AF135" i="46" s="1"/>
  <c r="AF127" i="46"/>
  <c r="AE197" i="46"/>
  <c r="AE199" i="46"/>
  <c r="AF195" i="46"/>
  <c r="AF296" i="46"/>
  <c r="AF291" i="46"/>
  <c r="AG130" i="46"/>
  <c r="AF292" i="46"/>
  <c r="AE137" i="46"/>
  <c r="AE136" i="46"/>
  <c r="AF191" i="46"/>
  <c r="AF193" i="46" s="1"/>
  <c r="AF200" i="46" s="1"/>
  <c r="AF370" i="46" s="1"/>
  <c r="AF192" i="46"/>
  <c r="AA3" i="45"/>
  <c r="AA9" i="45" s="1"/>
  <c r="BG9" i="45" s="1"/>
  <c r="N173" i="42"/>
  <c r="N175" i="42" s="1"/>
  <c r="N182" i="42" s="1"/>
  <c r="O172" i="42"/>
  <c r="N174" i="42"/>
  <c r="M120" i="42"/>
  <c r="M269" i="42"/>
  <c r="L117" i="42"/>
  <c r="L113" i="42"/>
  <c r="L118" i="42"/>
  <c r="N256" i="42"/>
  <c r="O254" i="42"/>
  <c r="M279" i="42"/>
  <c r="M331" i="42"/>
  <c r="K181" i="42"/>
  <c r="M280" i="42"/>
  <c r="N258" i="42"/>
  <c r="L174" i="42"/>
  <c r="L170" i="42"/>
  <c r="L175" i="42"/>
  <c r="L182" i="42" s="1"/>
  <c r="L52" i="42"/>
  <c r="L49" i="42" s="1"/>
  <c r="O265" i="42"/>
  <c r="M257" i="42"/>
  <c r="P277" i="42"/>
  <c r="L122" i="42"/>
  <c r="N116" i="42"/>
  <c r="N118" i="42" s="1"/>
  <c r="O115" i="42"/>
  <c r="N117" i="42"/>
  <c r="K126" i="42"/>
  <c r="K127" i="42"/>
  <c r="L342" i="42"/>
  <c r="L263" i="42"/>
  <c r="L343" i="42" s="1"/>
  <c r="M262" i="42"/>
  <c r="L231" i="42"/>
  <c r="M268" i="42"/>
  <c r="M271" i="42"/>
  <c r="M275" i="42"/>
  <c r="O270" i="42"/>
  <c r="M126" i="42"/>
  <c r="M276" i="42"/>
  <c r="O121" i="42"/>
  <c r="N278" i="42"/>
  <c r="M264" i="42"/>
  <c r="L216" i="42"/>
  <c r="N259" i="42"/>
  <c r="N255" i="42"/>
  <c r="L179" i="42"/>
  <c r="L181" i="42"/>
  <c r="M177" i="42"/>
  <c r="M278" i="38"/>
  <c r="O256" i="38"/>
  <c r="M270" i="38"/>
  <c r="O276" i="38"/>
  <c r="N263" i="38"/>
  <c r="O262" i="38"/>
  <c r="N331" i="38"/>
  <c r="M277" i="38"/>
  <c r="O264" i="38"/>
  <c r="P255" i="38"/>
  <c r="M265" i="38"/>
  <c r="M275" i="38"/>
  <c r="P257" i="38"/>
  <c r="M271" i="38"/>
  <c r="O280" i="38"/>
  <c r="N259" i="38"/>
  <c r="M279" i="38"/>
  <c r="M258" i="38"/>
  <c r="N274" i="38"/>
  <c r="O268" i="38"/>
  <c r="N254" i="38"/>
  <c r="M269" i="38"/>
  <c r="AO142" i="55" l="1"/>
  <c r="DA142" i="55" s="1"/>
  <c r="J142" i="55"/>
  <c r="J141" i="55"/>
  <c r="AO141" i="55"/>
  <c r="DA141" i="55" s="1"/>
  <c r="AF371" i="48"/>
  <c r="AF137" i="48"/>
  <c r="AF136" i="48"/>
  <c r="AF135" i="48"/>
  <c r="AG137" i="48"/>
  <c r="AF197" i="48"/>
  <c r="AF199" i="48"/>
  <c r="AG195" i="48"/>
  <c r="AG136" i="48"/>
  <c r="AF371" i="46"/>
  <c r="AF199" i="46"/>
  <c r="AG195" i="46"/>
  <c r="AF197" i="46"/>
  <c r="AG132" i="46"/>
  <c r="AG133" i="46" s="1"/>
  <c r="AG135" i="46"/>
  <c r="AF136" i="46"/>
  <c r="AF137" i="46"/>
  <c r="AB3" i="45"/>
  <c r="AB9" i="45" s="1"/>
  <c r="BH9" i="45" s="1"/>
  <c r="P270" i="42"/>
  <c r="O258" i="42"/>
  <c r="O278" i="42"/>
  <c r="N276" i="42"/>
  <c r="O116" i="42"/>
  <c r="O118" i="42" s="1"/>
  <c r="P115" i="42"/>
  <c r="O117" i="42"/>
  <c r="Q277" i="42"/>
  <c r="P265" i="42"/>
  <c r="N279" i="42"/>
  <c r="N269" i="42"/>
  <c r="N120" i="42"/>
  <c r="M125" i="42"/>
  <c r="O173" i="42"/>
  <c r="O175" i="42" s="1"/>
  <c r="O182" i="42" s="1"/>
  <c r="P172" i="42"/>
  <c r="O174" i="42"/>
  <c r="O255" i="42"/>
  <c r="O259" i="42"/>
  <c r="N275" i="42"/>
  <c r="N271" i="42"/>
  <c r="N126" i="42"/>
  <c r="N280" i="42"/>
  <c r="N331" i="42"/>
  <c r="O256" i="42"/>
  <c r="L126" i="42"/>
  <c r="L127" i="42"/>
  <c r="L125" i="42"/>
  <c r="M179" i="42"/>
  <c r="M181" i="42"/>
  <c r="N177" i="42"/>
  <c r="N264" i="42"/>
  <c r="P121" i="42"/>
  <c r="N268" i="42"/>
  <c r="M342" i="42"/>
  <c r="N262" i="42"/>
  <c r="M263" i="42"/>
  <c r="M343" i="42" s="1"/>
  <c r="M122" i="42"/>
  <c r="M123" i="42" s="1"/>
  <c r="N257" i="42"/>
  <c r="P254" i="42"/>
  <c r="L123" i="42"/>
  <c r="N275" i="38"/>
  <c r="P264" i="38"/>
  <c r="P256" i="38"/>
  <c r="O254" i="38"/>
  <c r="N258" i="38"/>
  <c r="N271" i="38"/>
  <c r="O331" i="38"/>
  <c r="N279" i="38"/>
  <c r="N265" i="38"/>
  <c r="P276" i="38"/>
  <c r="O259" i="38"/>
  <c r="P280" i="38"/>
  <c r="Q257" i="38"/>
  <c r="N277" i="38"/>
  <c r="P262" i="38"/>
  <c r="O263" i="38"/>
  <c r="N270" i="38"/>
  <c r="N278" i="38"/>
  <c r="O274" i="38"/>
  <c r="N269" i="38"/>
  <c r="P268" i="38"/>
  <c r="Q255" i="38"/>
  <c r="M26" i="39"/>
  <c r="L26" i="39"/>
  <c r="K26" i="39"/>
  <c r="I26" i="39"/>
  <c r="H26" i="39"/>
  <c r="G26" i="39"/>
  <c r="F26" i="39"/>
  <c r="E26" i="39"/>
  <c r="B22" i="39"/>
  <c r="D25" i="39" s="1"/>
  <c r="G8" i="39"/>
  <c r="F8" i="39"/>
  <c r="E8" i="39"/>
  <c r="D8" i="39"/>
  <c r="N10" i="39"/>
  <c r="M10" i="39"/>
  <c r="L10" i="39"/>
  <c r="X4" i="36" s="1"/>
  <c r="K10" i="39"/>
  <c r="J10" i="39"/>
  <c r="I10" i="39"/>
  <c r="D3" i="37"/>
  <c r="E5" i="39"/>
  <c r="D5" i="39"/>
  <c r="D7" i="39" s="1"/>
  <c r="B10" i="39"/>
  <c r="C11" i="39" s="1"/>
  <c r="N8" i="39"/>
  <c r="AH5" i="36" s="1"/>
  <c r="BN5" i="36" s="1"/>
  <c r="C8" i="39"/>
  <c r="N2" i="39"/>
  <c r="M2" i="39"/>
  <c r="M3" i="39" s="1"/>
  <c r="L2" i="39"/>
  <c r="L3" i="39" s="1"/>
  <c r="K2" i="39"/>
  <c r="K3" i="39" s="1"/>
  <c r="J2" i="39"/>
  <c r="J3" i="39" s="1"/>
  <c r="I2" i="39"/>
  <c r="I3" i="39" s="1"/>
  <c r="D2" i="39"/>
  <c r="D3" i="39" s="1"/>
  <c r="B2" i="39"/>
  <c r="B3" i="39" s="1"/>
  <c r="B4" i="39" s="1"/>
  <c r="AG231" i="38"/>
  <c r="C231" i="38"/>
  <c r="AG216" i="38"/>
  <c r="C216" i="38"/>
  <c r="C178" i="38"/>
  <c r="D177" i="38"/>
  <c r="AG174" i="38"/>
  <c r="C174" i="38"/>
  <c r="AG173" i="38"/>
  <c r="AG175" i="38" s="1"/>
  <c r="C173" i="38"/>
  <c r="C175" i="38" s="1"/>
  <c r="D172" i="38"/>
  <c r="AG170" i="38"/>
  <c r="C170" i="38"/>
  <c r="C122" i="38"/>
  <c r="D121" i="38"/>
  <c r="D120" i="38"/>
  <c r="AG117" i="38"/>
  <c r="C117" i="38"/>
  <c r="AG116" i="38"/>
  <c r="AG118" i="38" s="1"/>
  <c r="C116" i="38"/>
  <c r="C118" i="38" s="1"/>
  <c r="D115" i="38"/>
  <c r="AG113" i="38"/>
  <c r="C113" i="38"/>
  <c r="W52" i="38"/>
  <c r="M52" i="38"/>
  <c r="M49" i="38" s="1"/>
  <c r="C52" i="38"/>
  <c r="AG51" i="38"/>
  <c r="AG50" i="38"/>
  <c r="X1" i="38"/>
  <c r="N1" i="38"/>
  <c r="D1" i="38"/>
  <c r="E1" i="38" s="1"/>
  <c r="I4" i="39" l="1"/>
  <c r="J25" i="39"/>
  <c r="BD4" i="36"/>
  <c r="W7" i="52"/>
  <c r="M11" i="39"/>
  <c r="AC4" i="36"/>
  <c r="N3" i="39"/>
  <c r="O46" i="40"/>
  <c r="L11" i="39"/>
  <c r="C3" i="39"/>
  <c r="K141" i="55"/>
  <c r="AP141" i="55"/>
  <c r="DB141" i="55" s="1"/>
  <c r="AP142" i="55"/>
  <c r="DB142" i="55" s="1"/>
  <c r="K142" i="55"/>
  <c r="J11" i="39"/>
  <c r="N4" i="36"/>
  <c r="N11" i="39"/>
  <c r="AH4" i="36"/>
  <c r="K11" i="39"/>
  <c r="S4" i="36"/>
  <c r="AG199" i="48"/>
  <c r="AG197" i="48"/>
  <c r="AG197" i="46"/>
  <c r="AG199" i="46"/>
  <c r="AG137" i="46"/>
  <c r="AC3" i="45"/>
  <c r="AC9" i="45" s="1"/>
  <c r="BI9" i="45" s="1"/>
  <c r="D4" i="36"/>
  <c r="B13" i="40"/>
  <c r="I8" i="39"/>
  <c r="D5" i="36"/>
  <c r="AJ5" i="36" s="1"/>
  <c r="G5" i="39"/>
  <c r="G6" i="39" s="1"/>
  <c r="C5" i="39"/>
  <c r="C7" i="39" s="1"/>
  <c r="C9" i="39" s="1"/>
  <c r="O331" i="42"/>
  <c r="O275" i="42"/>
  <c r="P259" i="42"/>
  <c r="O269" i="42"/>
  <c r="O276" i="42"/>
  <c r="N342" i="42"/>
  <c r="N263" i="42"/>
  <c r="N343" i="42" s="1"/>
  <c r="O262" i="42"/>
  <c r="O268" i="42"/>
  <c r="Q121" i="42"/>
  <c r="N181" i="42"/>
  <c r="O177" i="42"/>
  <c r="N179" i="42"/>
  <c r="Q265" i="42"/>
  <c r="Q254" i="42"/>
  <c r="N122" i="42"/>
  <c r="N123" i="42" s="1"/>
  <c r="M127" i="42"/>
  <c r="P256" i="42"/>
  <c r="O280" i="42"/>
  <c r="O271" i="42"/>
  <c r="Q172" i="42"/>
  <c r="P173" i="42"/>
  <c r="P175" i="42" s="1"/>
  <c r="P182" i="42" s="1"/>
  <c r="P174" i="42"/>
  <c r="Q115" i="42"/>
  <c r="P116" i="42"/>
  <c r="P118" i="42" s="1"/>
  <c r="P117" i="42"/>
  <c r="P278" i="42"/>
  <c r="P258" i="42"/>
  <c r="Q270" i="42"/>
  <c r="O257" i="42"/>
  <c r="O264" i="42"/>
  <c r="P255" i="42"/>
  <c r="O120" i="42"/>
  <c r="N125" i="42"/>
  <c r="O279" i="42"/>
  <c r="R277" i="42"/>
  <c r="O126" i="42"/>
  <c r="O269" i="38"/>
  <c r="O278" i="38"/>
  <c r="O277" i="38"/>
  <c r="Q280" i="38"/>
  <c r="O271" i="38"/>
  <c r="R255" i="38"/>
  <c r="O270" i="38"/>
  <c r="P263" i="38"/>
  <c r="Q262" i="38"/>
  <c r="O265" i="38"/>
  <c r="P331" i="38"/>
  <c r="P254" i="38"/>
  <c r="Q264" i="38"/>
  <c r="Q268" i="38"/>
  <c r="P274" i="38"/>
  <c r="R257" i="38"/>
  <c r="P259" i="38"/>
  <c r="Q276" i="38"/>
  <c r="O279" i="38"/>
  <c r="O258" i="38"/>
  <c r="Q256" i="38"/>
  <c r="O275" i="38"/>
  <c r="C179" i="38"/>
  <c r="E121" i="38"/>
  <c r="D173" i="38"/>
  <c r="C125" i="38"/>
  <c r="C123" i="38"/>
  <c r="E172" i="38"/>
  <c r="H11" i="39"/>
  <c r="H5" i="39"/>
  <c r="H6" i="39" s="1"/>
  <c r="F11" i="39"/>
  <c r="D122" i="38"/>
  <c r="D178" i="38"/>
  <c r="E178" i="38" s="1"/>
  <c r="F178" i="38" s="1"/>
  <c r="G178" i="38" s="1"/>
  <c r="H178" i="38" s="1"/>
  <c r="I178" i="38" s="1"/>
  <c r="J178" i="38" s="1"/>
  <c r="K178" i="38" s="1"/>
  <c r="L178" i="38" s="1"/>
  <c r="M178" i="38" s="1"/>
  <c r="N178" i="38" s="1"/>
  <c r="O178" i="38" s="1"/>
  <c r="P178" i="38" s="1"/>
  <c r="Q178" i="38" s="1"/>
  <c r="R178" i="38" s="1"/>
  <c r="S178" i="38" s="1"/>
  <c r="T178" i="38" s="1"/>
  <c r="U178" i="38" s="1"/>
  <c r="V178" i="38" s="1"/>
  <c r="W178" i="38" s="1"/>
  <c r="X178" i="38" s="1"/>
  <c r="Y178" i="38" s="1"/>
  <c r="Z178" i="38" s="1"/>
  <c r="AA178" i="38" s="1"/>
  <c r="AB178" i="38" s="1"/>
  <c r="AC178" i="38" s="1"/>
  <c r="AD178" i="38" s="1"/>
  <c r="AE178" i="38" s="1"/>
  <c r="AF178" i="38" s="1"/>
  <c r="AG178" i="38" s="1"/>
  <c r="AG182" i="38" s="1"/>
  <c r="Y1" i="38"/>
  <c r="Y50" i="38" s="1"/>
  <c r="D50" i="38"/>
  <c r="G11" i="39"/>
  <c r="D11" i="39"/>
  <c r="D9" i="39"/>
  <c r="D6" i="39"/>
  <c r="F5" i="39"/>
  <c r="F6" i="39" s="1"/>
  <c r="I11" i="39"/>
  <c r="C4" i="39"/>
  <c r="F3" i="39"/>
  <c r="D14" i="39"/>
  <c r="D4" i="39"/>
  <c r="E3" i="39"/>
  <c r="H3" i="39"/>
  <c r="G3" i="39"/>
  <c r="E7" i="39"/>
  <c r="E9" i="39" s="1"/>
  <c r="E6" i="39"/>
  <c r="M7" i="39"/>
  <c r="M4" i="39"/>
  <c r="K7" i="39"/>
  <c r="K4" i="39"/>
  <c r="L7" i="39"/>
  <c r="L4" i="39"/>
  <c r="J7" i="39"/>
  <c r="J4" i="39"/>
  <c r="N7" i="39"/>
  <c r="N9" i="39" s="1"/>
  <c r="N4" i="39"/>
  <c r="G7" i="39"/>
  <c r="E11" i="39"/>
  <c r="N25" i="39"/>
  <c r="H8" i="39"/>
  <c r="O10" i="39"/>
  <c r="B25" i="39"/>
  <c r="E51" i="38"/>
  <c r="E50" i="38"/>
  <c r="F1" i="38"/>
  <c r="N51" i="38"/>
  <c r="N50" i="38"/>
  <c r="O1" i="38"/>
  <c r="C49" i="38"/>
  <c r="D51" i="38"/>
  <c r="AG52" i="38"/>
  <c r="X50" i="38"/>
  <c r="X51" i="38"/>
  <c r="W49" i="38"/>
  <c r="D116" i="38"/>
  <c r="E115" i="38"/>
  <c r="C126" i="38"/>
  <c r="C127" i="38"/>
  <c r="C182" i="38"/>
  <c r="C181" i="38"/>
  <c r="E120" i="38"/>
  <c r="E177" i="38"/>
  <c r="C14" i="39" l="1"/>
  <c r="F7" i="39"/>
  <c r="F9" i="39" s="1"/>
  <c r="BN4" i="36"/>
  <c r="AH6" i="36"/>
  <c r="AG7" i="52"/>
  <c r="C342" i="38"/>
  <c r="C343" i="38"/>
  <c r="AT4" i="36"/>
  <c r="M7" i="52"/>
  <c r="AQ142" i="55"/>
  <c r="DC142" i="55" s="1"/>
  <c r="L142" i="55"/>
  <c r="BI4" i="36"/>
  <c r="AB7" i="52"/>
  <c r="AG342" i="38"/>
  <c r="AG343" i="38"/>
  <c r="AJ4" i="36"/>
  <c r="C7" i="52"/>
  <c r="AY4" i="36"/>
  <c r="R7" i="52"/>
  <c r="AQ141" i="55"/>
  <c r="DC141" i="55" s="1"/>
  <c r="L141" i="55"/>
  <c r="AD3" i="45"/>
  <c r="AD9" i="45" s="1"/>
  <c r="BJ9" i="45" s="1"/>
  <c r="C6" i="39"/>
  <c r="Q255" i="42"/>
  <c r="P264" i="42"/>
  <c r="Q278" i="42"/>
  <c r="P126" i="42"/>
  <c r="P271" i="42"/>
  <c r="P280" i="42"/>
  <c r="P276" i="42"/>
  <c r="P331" i="42"/>
  <c r="P279" i="42"/>
  <c r="Q116" i="42"/>
  <c r="Q118" i="42" s="1"/>
  <c r="R115" i="42"/>
  <c r="Q117" i="42"/>
  <c r="Q173" i="42"/>
  <c r="Q175" i="42" s="1"/>
  <c r="Q182" i="42" s="1"/>
  <c r="R172" i="42"/>
  <c r="Q174" i="42"/>
  <c r="O122" i="42"/>
  <c r="O123" i="42" s="1"/>
  <c r="N127" i="42"/>
  <c r="R254" i="42"/>
  <c r="R265" i="42"/>
  <c r="O179" i="42"/>
  <c r="O181" i="42"/>
  <c r="P177" i="42"/>
  <c r="P269" i="42"/>
  <c r="P275" i="42"/>
  <c r="O125" i="42"/>
  <c r="P120" i="42"/>
  <c r="Q258" i="42"/>
  <c r="Q256" i="42"/>
  <c r="S277" i="42"/>
  <c r="P257" i="42"/>
  <c r="R270" i="42"/>
  <c r="R121" i="42"/>
  <c r="P268" i="42"/>
  <c r="O342" i="42"/>
  <c r="O263" i="42"/>
  <c r="O343" i="42" s="1"/>
  <c r="P262" i="42"/>
  <c r="Q259" i="42"/>
  <c r="P279" i="38"/>
  <c r="Q331" i="38"/>
  <c r="P270" i="38"/>
  <c r="P277" i="38"/>
  <c r="P275" i="38"/>
  <c r="P258" i="38"/>
  <c r="R276" i="38"/>
  <c r="S257" i="38"/>
  <c r="R264" i="38"/>
  <c r="P265" i="38"/>
  <c r="S255" i="38"/>
  <c r="P271" i="38"/>
  <c r="R280" i="38"/>
  <c r="Q259" i="38"/>
  <c r="Q254" i="38"/>
  <c r="Q274" i="38"/>
  <c r="Q263" i="38"/>
  <c r="R262" i="38"/>
  <c r="P269" i="38"/>
  <c r="R268" i="38"/>
  <c r="P278" i="38"/>
  <c r="R256" i="38"/>
  <c r="W217" i="38"/>
  <c r="X217" i="38" s="1"/>
  <c r="M171" i="38"/>
  <c r="Y51" i="38"/>
  <c r="E173" i="38"/>
  <c r="F121" i="38"/>
  <c r="D179" i="38"/>
  <c r="F172" i="38"/>
  <c r="E122" i="38"/>
  <c r="M217" i="38"/>
  <c r="O217" i="38" s="1"/>
  <c r="M114" i="38"/>
  <c r="E114" i="38" s="1"/>
  <c r="W232" i="38"/>
  <c r="D123" i="38"/>
  <c r="W171" i="38"/>
  <c r="C13" i="39"/>
  <c r="D13" i="39"/>
  <c r="Z1" i="38"/>
  <c r="H14" i="39"/>
  <c r="H4" i="39"/>
  <c r="H13" i="39" s="1"/>
  <c r="F14" i="39"/>
  <c r="F4" i="39"/>
  <c r="F13" i="39" s="1"/>
  <c r="G14" i="39"/>
  <c r="G4" i="39"/>
  <c r="G13" i="39" s="1"/>
  <c r="M8" i="39"/>
  <c r="M9" i="39" s="1"/>
  <c r="L8" i="39"/>
  <c r="L9" i="39" s="1"/>
  <c r="K8" i="39"/>
  <c r="K9" i="39" s="1"/>
  <c r="J8" i="39"/>
  <c r="J9" i="39" s="1"/>
  <c r="E14" i="39"/>
  <c r="E4" i="39"/>
  <c r="E13" i="39" s="1"/>
  <c r="I7" i="39"/>
  <c r="I9" i="39" s="1"/>
  <c r="H7" i="39"/>
  <c r="H9" i="39" s="1"/>
  <c r="G9" i="39"/>
  <c r="O51" i="38"/>
  <c r="O50" i="38"/>
  <c r="P1" i="38"/>
  <c r="E52" i="38"/>
  <c r="AG49" i="38"/>
  <c r="N52" i="38"/>
  <c r="F120" i="38"/>
  <c r="F177" i="38"/>
  <c r="E179" i="38"/>
  <c r="E116" i="38"/>
  <c r="F115" i="38"/>
  <c r="M232" i="38"/>
  <c r="W114" i="38"/>
  <c r="X52" i="38"/>
  <c r="D52" i="38"/>
  <c r="F51" i="38"/>
  <c r="F50" i="38"/>
  <c r="G1" i="38"/>
  <c r="Z217" i="38" l="1"/>
  <c r="AR141" i="55"/>
  <c r="DD141" i="55" s="1"/>
  <c r="M141" i="55"/>
  <c r="M142" i="55"/>
  <c r="AR142" i="55"/>
  <c r="DD142" i="55" s="1"/>
  <c r="AE3" i="45"/>
  <c r="AE9" i="45" s="1"/>
  <c r="BK9" i="45" s="1"/>
  <c r="P342" i="42"/>
  <c r="P263" i="42"/>
  <c r="P343" i="42" s="1"/>
  <c r="Q262" i="42"/>
  <c r="Q268" i="42"/>
  <c r="R258" i="42"/>
  <c r="R173" i="42"/>
  <c r="R175" i="42" s="1"/>
  <c r="R182" i="42" s="1"/>
  <c r="S172" i="42"/>
  <c r="R174" i="42"/>
  <c r="R116" i="42"/>
  <c r="R118" i="42" s="1"/>
  <c r="S115" i="42"/>
  <c r="R117" i="42"/>
  <c r="Q331" i="42"/>
  <c r="Q276" i="42"/>
  <c r="R278" i="42"/>
  <c r="R255" i="42"/>
  <c r="Q257" i="42"/>
  <c r="P125" i="42"/>
  <c r="Q120" i="42"/>
  <c r="S265" i="42"/>
  <c r="P122" i="42"/>
  <c r="P123" i="42" s="1"/>
  <c r="O127" i="42"/>
  <c r="Q126" i="42"/>
  <c r="Q279" i="42"/>
  <c r="Q271" i="42"/>
  <c r="R259" i="42"/>
  <c r="S121" i="42"/>
  <c r="S270" i="42"/>
  <c r="R256" i="42"/>
  <c r="Q275" i="42"/>
  <c r="Q269" i="42"/>
  <c r="P179" i="42"/>
  <c r="P181" i="42"/>
  <c r="Q177" i="42"/>
  <c r="S254" i="42"/>
  <c r="Q264" i="42"/>
  <c r="T277" i="42"/>
  <c r="Q280" i="42"/>
  <c r="Q278" i="38"/>
  <c r="Q269" i="38"/>
  <c r="T255" i="38"/>
  <c r="Q265" i="38"/>
  <c r="T257" i="38"/>
  <c r="R331" i="38"/>
  <c r="S256" i="38"/>
  <c r="S268" i="38"/>
  <c r="R274" i="38"/>
  <c r="S264" i="38"/>
  <c r="S276" i="38"/>
  <c r="Q275" i="38"/>
  <c r="Q279" i="38"/>
  <c r="Q270" i="38"/>
  <c r="R259" i="38"/>
  <c r="S280" i="38"/>
  <c r="Q271" i="38"/>
  <c r="R263" i="38"/>
  <c r="S262" i="38"/>
  <c r="R254" i="38"/>
  <c r="Q258" i="38"/>
  <c r="Q277" i="38"/>
  <c r="W216" i="38"/>
  <c r="Y217" i="38"/>
  <c r="Y216" i="38" s="1"/>
  <c r="Y52" i="38"/>
  <c r="Y49" i="38" s="1"/>
  <c r="E171" i="38"/>
  <c r="F171" i="38"/>
  <c r="M216" i="38"/>
  <c r="M170" i="38"/>
  <c r="D171" i="38"/>
  <c r="W231" i="38"/>
  <c r="N171" i="38"/>
  <c r="G172" i="38"/>
  <c r="E123" i="38"/>
  <c r="F217" i="38"/>
  <c r="G121" i="38"/>
  <c r="N217" i="38"/>
  <c r="N216" i="38" s="1"/>
  <c r="X232" i="38"/>
  <c r="F173" i="38"/>
  <c r="W170" i="38"/>
  <c r="G217" i="38"/>
  <c r="G216" i="38" s="1"/>
  <c r="D217" i="38"/>
  <c r="D216" i="38" s="1"/>
  <c r="P217" i="38"/>
  <c r="P216" i="38" s="1"/>
  <c r="E217" i="38"/>
  <c r="E216" i="38" s="1"/>
  <c r="X171" i="38"/>
  <c r="N114" i="38"/>
  <c r="N113" i="38" s="1"/>
  <c r="O171" i="38"/>
  <c r="F122" i="38"/>
  <c r="P171" i="38"/>
  <c r="M113" i="38"/>
  <c r="Y171" i="38"/>
  <c r="F114" i="38"/>
  <c r="F113" i="38" s="1"/>
  <c r="D114" i="38"/>
  <c r="D118" i="38" s="1"/>
  <c r="Z232" i="38"/>
  <c r="Y232" i="38"/>
  <c r="AA1" i="38"/>
  <c r="AA114" i="38" s="1"/>
  <c r="Z50" i="38"/>
  <c r="Z51" i="38"/>
  <c r="Z171" i="38"/>
  <c r="N49" i="38"/>
  <c r="X114" i="38"/>
  <c r="Z114" i="38"/>
  <c r="Y114" i="38"/>
  <c r="W113" i="38"/>
  <c r="O114" i="38"/>
  <c r="P51" i="38"/>
  <c r="P50" i="38"/>
  <c r="Q1" i="38"/>
  <c r="Q114" i="38" s="1"/>
  <c r="G51" i="38"/>
  <c r="G50" i="38"/>
  <c r="H1" i="38"/>
  <c r="H232" i="38" s="1"/>
  <c r="E232" i="38"/>
  <c r="P232" i="38"/>
  <c r="D232" i="38"/>
  <c r="O232" i="38"/>
  <c r="G232" i="38"/>
  <c r="M231" i="38"/>
  <c r="F232" i="38"/>
  <c r="N232" i="38"/>
  <c r="O216" i="38"/>
  <c r="O52" i="38"/>
  <c r="Z216" i="38"/>
  <c r="F179" i="38"/>
  <c r="G177" i="38"/>
  <c r="D49" i="38"/>
  <c r="X49" i="38"/>
  <c r="E117" i="38"/>
  <c r="E113" i="38"/>
  <c r="E118" i="38"/>
  <c r="F52" i="38"/>
  <c r="G115" i="38"/>
  <c r="F116" i="38"/>
  <c r="E174" i="38"/>
  <c r="G171" i="38"/>
  <c r="G120" i="38"/>
  <c r="G114" i="38"/>
  <c r="P114" i="38"/>
  <c r="E49" i="38"/>
  <c r="X216" i="38"/>
  <c r="N142" i="55" l="1"/>
  <c r="AS142" i="55"/>
  <c r="DE142" i="55" s="1"/>
  <c r="AS141" i="55"/>
  <c r="DE141" i="55" s="1"/>
  <c r="N141" i="55"/>
  <c r="AF3" i="45"/>
  <c r="AF9" i="45" s="1"/>
  <c r="BL9" i="45" s="1"/>
  <c r="R269" i="42"/>
  <c r="R279" i="42"/>
  <c r="R120" i="42"/>
  <c r="Q125" i="42"/>
  <c r="R257" i="42"/>
  <c r="R331" i="42"/>
  <c r="R126" i="42"/>
  <c r="S258" i="42"/>
  <c r="R280" i="42"/>
  <c r="U277" i="42"/>
  <c r="R264" i="42"/>
  <c r="Q179" i="42"/>
  <c r="Q181" i="42"/>
  <c r="R177" i="42"/>
  <c r="T270" i="42"/>
  <c r="T265" i="42"/>
  <c r="S255" i="42"/>
  <c r="R276" i="42"/>
  <c r="Q342" i="42"/>
  <c r="R262" i="42"/>
  <c r="Q263" i="42"/>
  <c r="Q343" i="42" s="1"/>
  <c r="R275" i="42"/>
  <c r="S256" i="42"/>
  <c r="S259" i="42"/>
  <c r="S173" i="42"/>
  <c r="S175" i="42" s="1"/>
  <c r="S182" i="42" s="1"/>
  <c r="T172" i="42"/>
  <c r="S174" i="42"/>
  <c r="T254" i="42"/>
  <c r="T121" i="42"/>
  <c r="R271" i="42"/>
  <c r="Q122" i="42"/>
  <c r="Q123" i="42" s="1"/>
  <c r="P127" i="42"/>
  <c r="S278" i="42"/>
  <c r="S116" i="42"/>
  <c r="S118" i="42" s="1"/>
  <c r="T115" i="42"/>
  <c r="S117" i="42"/>
  <c r="R268" i="42"/>
  <c r="T280" i="38"/>
  <c r="R275" i="38"/>
  <c r="S274" i="38"/>
  <c r="U257" i="38"/>
  <c r="R258" i="38"/>
  <c r="R279" i="38"/>
  <c r="T276" i="38"/>
  <c r="R269" i="38"/>
  <c r="T268" i="38"/>
  <c r="U255" i="38"/>
  <c r="R278" i="38"/>
  <c r="R270" i="38"/>
  <c r="T256" i="38"/>
  <c r="T262" i="38"/>
  <c r="S263" i="38"/>
  <c r="R277" i="38"/>
  <c r="S254" i="38"/>
  <c r="R271" i="38"/>
  <c r="S259" i="38"/>
  <c r="T264" i="38"/>
  <c r="S331" i="38"/>
  <c r="R265" i="38"/>
  <c r="F117" i="38"/>
  <c r="E175" i="38"/>
  <c r="E182" i="38" s="1"/>
  <c r="E170" i="38"/>
  <c r="D174" i="38"/>
  <c r="F170" i="38"/>
  <c r="F174" i="38"/>
  <c r="F175" i="38"/>
  <c r="F182" i="38" s="1"/>
  <c r="D175" i="38"/>
  <c r="D182" i="38" s="1"/>
  <c r="D170" i="38"/>
  <c r="O231" i="38"/>
  <c r="H231" i="38"/>
  <c r="P231" i="38"/>
  <c r="N231" i="38"/>
  <c r="Z231" i="38"/>
  <c r="F231" i="38"/>
  <c r="D231" i="38"/>
  <c r="G231" i="38"/>
  <c r="E231" i="38"/>
  <c r="Y231" i="38"/>
  <c r="X231" i="38"/>
  <c r="N170" i="38"/>
  <c r="F216" i="38"/>
  <c r="P170" i="38"/>
  <c r="G173" i="38"/>
  <c r="G175" i="38" s="1"/>
  <c r="H172" i="38"/>
  <c r="D113" i="38"/>
  <c r="Z170" i="38"/>
  <c r="Y170" i="38"/>
  <c r="F123" i="38"/>
  <c r="X170" i="38"/>
  <c r="O170" i="38"/>
  <c r="H121" i="38"/>
  <c r="Q232" i="38"/>
  <c r="D117" i="38"/>
  <c r="G122" i="38"/>
  <c r="Z52" i="38"/>
  <c r="F118" i="38"/>
  <c r="AB1" i="38"/>
  <c r="AA51" i="38"/>
  <c r="AA50" i="38"/>
  <c r="AA217" i="38"/>
  <c r="AA232" i="38"/>
  <c r="AA171" i="38"/>
  <c r="G52" i="38"/>
  <c r="Z113" i="38"/>
  <c r="P113" i="38"/>
  <c r="H120" i="38"/>
  <c r="E126" i="38"/>
  <c r="E127" i="38"/>
  <c r="E125" i="38"/>
  <c r="Y113" i="38"/>
  <c r="Q113" i="38"/>
  <c r="G116" i="38"/>
  <c r="G118" i="38" s="1"/>
  <c r="H115" i="38"/>
  <c r="P52" i="38"/>
  <c r="D127" i="38"/>
  <c r="D126" i="38"/>
  <c r="D125" i="38"/>
  <c r="AA113" i="38"/>
  <c r="G174" i="38"/>
  <c r="G170" i="38"/>
  <c r="O113" i="38"/>
  <c r="X113" i="38"/>
  <c r="G117" i="38"/>
  <c r="G113" i="38"/>
  <c r="G179" i="38"/>
  <c r="H177" i="38"/>
  <c r="F49" i="38"/>
  <c r="O49" i="38"/>
  <c r="H50" i="38"/>
  <c r="I1" i="38"/>
  <c r="H51" i="38"/>
  <c r="H217" i="38"/>
  <c r="H114" i="38"/>
  <c r="H171" i="38"/>
  <c r="Q50" i="38"/>
  <c r="R1" i="38"/>
  <c r="Q51" i="38"/>
  <c r="Q217" i="38"/>
  <c r="Q171" i="38"/>
  <c r="D342" i="38" l="1"/>
  <c r="D343" i="38"/>
  <c r="AT141" i="55"/>
  <c r="DF141" i="55" s="1"/>
  <c r="O141" i="55"/>
  <c r="F342" i="38"/>
  <c r="F343" i="38"/>
  <c r="E342" i="38"/>
  <c r="E343" i="38"/>
  <c r="O142" i="55"/>
  <c r="AT142" i="55"/>
  <c r="DF142" i="55" s="1"/>
  <c r="AG3" i="45"/>
  <c r="AG9" i="45" s="1"/>
  <c r="BM9" i="45" s="1"/>
  <c r="T278" i="42"/>
  <c r="S275" i="42"/>
  <c r="R181" i="42"/>
  <c r="S177" i="42"/>
  <c r="R179" i="42"/>
  <c r="T258" i="42"/>
  <c r="S268" i="42"/>
  <c r="U115" i="42"/>
  <c r="T116" i="42"/>
  <c r="T118" i="42" s="1"/>
  <c r="T117" i="42"/>
  <c r="R122" i="42"/>
  <c r="R123" i="42" s="1"/>
  <c r="Q127" i="42"/>
  <c r="U121" i="42"/>
  <c r="U254" i="42"/>
  <c r="U172" i="42"/>
  <c r="T173" i="42"/>
  <c r="T175" i="42" s="1"/>
  <c r="T182" i="42" s="1"/>
  <c r="T174" i="42"/>
  <c r="T259" i="42"/>
  <c r="T255" i="42"/>
  <c r="U265" i="42"/>
  <c r="V277" i="42"/>
  <c r="S331" i="42"/>
  <c r="S126" i="42"/>
  <c r="R342" i="42"/>
  <c r="R263" i="42"/>
  <c r="R343" i="42" s="1"/>
  <c r="S262" i="42"/>
  <c r="U270" i="42"/>
  <c r="S280" i="42"/>
  <c r="S257" i="42"/>
  <c r="S120" i="42"/>
  <c r="R125" i="42"/>
  <c r="S271" i="42"/>
  <c r="T256" i="42"/>
  <c r="S276" i="42"/>
  <c r="S264" i="42"/>
  <c r="S279" i="42"/>
  <c r="S269" i="42"/>
  <c r="T254" i="38"/>
  <c r="V255" i="38"/>
  <c r="S269" i="38"/>
  <c r="T331" i="38"/>
  <c r="T259" i="38"/>
  <c r="S277" i="38"/>
  <c r="U262" i="38"/>
  <c r="T263" i="38"/>
  <c r="S278" i="38"/>
  <c r="U276" i="38"/>
  <c r="U280" i="38"/>
  <c r="U256" i="38"/>
  <c r="S270" i="38"/>
  <c r="U268" i="38"/>
  <c r="S258" i="38"/>
  <c r="T274" i="38"/>
  <c r="S265" i="38"/>
  <c r="U264" i="38"/>
  <c r="S271" i="38"/>
  <c r="S279" i="38"/>
  <c r="V257" i="38"/>
  <c r="S275" i="38"/>
  <c r="D181" i="38"/>
  <c r="E181" i="38"/>
  <c r="F181" i="38"/>
  <c r="Q231" i="38"/>
  <c r="AA231" i="38"/>
  <c r="G123" i="38"/>
  <c r="H173" i="38"/>
  <c r="H175" i="38" s="1"/>
  <c r="I172" i="38"/>
  <c r="G182" i="38"/>
  <c r="I121" i="38"/>
  <c r="AA170" i="38"/>
  <c r="F126" i="38"/>
  <c r="F125" i="38"/>
  <c r="H122" i="38"/>
  <c r="F127" i="38"/>
  <c r="Z49" i="38"/>
  <c r="AA52" i="38"/>
  <c r="AB50" i="38"/>
  <c r="AB51" i="38"/>
  <c r="AC1" i="38"/>
  <c r="AB232" i="38"/>
  <c r="AB217" i="38"/>
  <c r="AB171" i="38"/>
  <c r="AB114" i="38"/>
  <c r="AB113" i="38" s="1"/>
  <c r="AA216" i="38"/>
  <c r="Q170" i="38"/>
  <c r="R51" i="38"/>
  <c r="R50" i="38"/>
  <c r="S1" i="38"/>
  <c r="R217" i="38"/>
  <c r="R171" i="38"/>
  <c r="R232" i="38"/>
  <c r="R114" i="38"/>
  <c r="H117" i="38"/>
  <c r="H113" i="38"/>
  <c r="I51" i="38"/>
  <c r="I50" i="38"/>
  <c r="J1" i="38"/>
  <c r="I217" i="38"/>
  <c r="I114" i="38"/>
  <c r="I171" i="38"/>
  <c r="I232" i="38"/>
  <c r="G126" i="38"/>
  <c r="G127" i="38"/>
  <c r="H116" i="38"/>
  <c r="H118" i="38" s="1"/>
  <c r="I115" i="38"/>
  <c r="G125" i="38"/>
  <c r="H216" i="38"/>
  <c r="H179" i="38"/>
  <c r="I177" i="38"/>
  <c r="I120" i="38"/>
  <c r="H170" i="38"/>
  <c r="H174" i="38"/>
  <c r="P49" i="38"/>
  <c r="Q216" i="38"/>
  <c r="Q52" i="38"/>
  <c r="H52" i="38"/>
  <c r="G181" i="38"/>
  <c r="G49" i="38"/>
  <c r="AU141" i="55" l="1"/>
  <c r="DG141" i="55" s="1"/>
  <c r="P141" i="55"/>
  <c r="G342" i="38"/>
  <c r="G343" i="38"/>
  <c r="AU142" i="55"/>
  <c r="DG142" i="55" s="1"/>
  <c r="P142" i="55"/>
  <c r="AH3" i="45"/>
  <c r="AH9" i="45" s="1"/>
  <c r="BN9" i="45" s="1"/>
  <c r="T257" i="42"/>
  <c r="V270" i="42"/>
  <c r="V254" i="42"/>
  <c r="S122" i="42"/>
  <c r="R127" i="42"/>
  <c r="U116" i="42"/>
  <c r="U118" i="42" s="1"/>
  <c r="V115" i="42"/>
  <c r="U117" i="42"/>
  <c r="U278" i="42"/>
  <c r="T269" i="42"/>
  <c r="T276" i="42"/>
  <c r="W277" i="42"/>
  <c r="V121" i="42"/>
  <c r="T268" i="42"/>
  <c r="T280" i="42"/>
  <c r="S342" i="42"/>
  <c r="S263" i="42"/>
  <c r="S343" i="42" s="1"/>
  <c r="T262" i="42"/>
  <c r="V265" i="42"/>
  <c r="U173" i="42"/>
  <c r="U175" i="42" s="1"/>
  <c r="U182" i="42" s="1"/>
  <c r="V172" i="42"/>
  <c r="U174" i="42"/>
  <c r="S179" i="42"/>
  <c r="S181" i="42"/>
  <c r="T177" i="42"/>
  <c r="T275" i="42"/>
  <c r="T279" i="42"/>
  <c r="T264" i="42"/>
  <c r="U256" i="42"/>
  <c r="T271" i="42"/>
  <c r="S123" i="42"/>
  <c r="S125" i="42"/>
  <c r="T120" i="42"/>
  <c r="T331" i="42"/>
  <c r="U255" i="42"/>
  <c r="U259" i="42"/>
  <c r="T126" i="42"/>
  <c r="U258" i="42"/>
  <c r="T265" i="38"/>
  <c r="T270" i="38"/>
  <c r="U259" i="38"/>
  <c r="W255" i="38"/>
  <c r="W257" i="38"/>
  <c r="T271" i="38"/>
  <c r="T258" i="38"/>
  <c r="U274" i="38"/>
  <c r="V264" i="38"/>
  <c r="V268" i="38"/>
  <c r="V256" i="38"/>
  <c r="V280" i="38"/>
  <c r="T278" i="38"/>
  <c r="T277" i="38"/>
  <c r="U331" i="38"/>
  <c r="T269" i="38"/>
  <c r="U254" i="38"/>
  <c r="T279" i="38"/>
  <c r="V276" i="38"/>
  <c r="U263" i="38"/>
  <c r="V262" i="38"/>
  <c r="T275" i="38"/>
  <c r="I231" i="38"/>
  <c r="AB231" i="38"/>
  <c r="R231" i="38"/>
  <c r="H182" i="38"/>
  <c r="AB170" i="38"/>
  <c r="H123" i="38"/>
  <c r="J121" i="38"/>
  <c r="I173" i="38"/>
  <c r="I175" i="38" s="1"/>
  <c r="J172" i="38"/>
  <c r="I122" i="38"/>
  <c r="AB52" i="38"/>
  <c r="AB216" i="38"/>
  <c r="AC217" i="38"/>
  <c r="AC51" i="38"/>
  <c r="AC171" i="38"/>
  <c r="AD1" i="38"/>
  <c r="AC232" i="38"/>
  <c r="AC50" i="38"/>
  <c r="AC114" i="38"/>
  <c r="AC113" i="38" s="1"/>
  <c r="AA49" i="38"/>
  <c r="H127" i="38"/>
  <c r="H126" i="38"/>
  <c r="H125" i="38"/>
  <c r="R113" i="38"/>
  <c r="J177" i="38"/>
  <c r="I179" i="38"/>
  <c r="I170" i="38"/>
  <c r="I174" i="38"/>
  <c r="J51" i="38"/>
  <c r="J50" i="38"/>
  <c r="K1" i="38"/>
  <c r="J217" i="38"/>
  <c r="J171" i="38"/>
  <c r="J114" i="38"/>
  <c r="J232" i="38"/>
  <c r="S51" i="38"/>
  <c r="S50" i="38"/>
  <c r="T1" i="38"/>
  <c r="S217" i="38"/>
  <c r="S114" i="38"/>
  <c r="S171" i="38"/>
  <c r="S232" i="38"/>
  <c r="J120" i="38"/>
  <c r="H181" i="38"/>
  <c r="I117" i="38"/>
  <c r="I113" i="38"/>
  <c r="I52" i="38"/>
  <c r="R170" i="38"/>
  <c r="R52" i="38"/>
  <c r="H49" i="38"/>
  <c r="Q49" i="38"/>
  <c r="I116" i="38"/>
  <c r="I118" i="38" s="1"/>
  <c r="J115" i="38"/>
  <c r="I216" i="38"/>
  <c r="R216" i="38"/>
  <c r="AV142" i="55" l="1"/>
  <c r="DH142" i="55" s="1"/>
  <c r="Q142" i="55"/>
  <c r="H342" i="38"/>
  <c r="H343" i="38"/>
  <c r="AV141" i="55"/>
  <c r="DH141" i="55" s="1"/>
  <c r="Q141" i="55"/>
  <c r="V255" i="42"/>
  <c r="T179" i="42"/>
  <c r="T181" i="42"/>
  <c r="U177" i="42"/>
  <c r="W265" i="42"/>
  <c r="U268" i="42"/>
  <c r="X277" i="42"/>
  <c r="W254" i="42"/>
  <c r="V258" i="42"/>
  <c r="T125" i="42"/>
  <c r="U120" i="42"/>
  <c r="U271" i="42"/>
  <c r="U279" i="42"/>
  <c r="T342" i="42"/>
  <c r="T263" i="42"/>
  <c r="T343" i="42" s="1"/>
  <c r="U262" i="42"/>
  <c r="U280" i="42"/>
  <c r="U276" i="42"/>
  <c r="T122" i="42"/>
  <c r="S127" i="42"/>
  <c r="W270" i="42"/>
  <c r="V259" i="42"/>
  <c r="W121" i="42"/>
  <c r="V278" i="42"/>
  <c r="V116" i="42"/>
  <c r="V118" i="42" s="1"/>
  <c r="W115" i="42"/>
  <c r="V117" i="42"/>
  <c r="U331" i="42"/>
  <c r="V256" i="42"/>
  <c r="U264" i="42"/>
  <c r="U275" i="42"/>
  <c r="V173" i="42"/>
  <c r="V175" i="42" s="1"/>
  <c r="V182" i="42" s="1"/>
  <c r="W172" i="42"/>
  <c r="V174" i="42"/>
  <c r="U269" i="42"/>
  <c r="U126" i="42"/>
  <c r="U257" i="42"/>
  <c r="U278" i="38"/>
  <c r="X257" i="38"/>
  <c r="V259" i="38"/>
  <c r="V263" i="38"/>
  <c r="W262" i="38"/>
  <c r="U279" i="38"/>
  <c r="U258" i="38"/>
  <c r="U271" i="38"/>
  <c r="X255" i="38"/>
  <c r="U265" i="38"/>
  <c r="U277" i="38"/>
  <c r="W276" i="38"/>
  <c r="W280" i="38"/>
  <c r="W268" i="38"/>
  <c r="U275" i="38"/>
  <c r="U269" i="38"/>
  <c r="W256" i="38"/>
  <c r="V254" i="38"/>
  <c r="V331" i="38"/>
  <c r="W264" i="38"/>
  <c r="V274" i="38"/>
  <c r="U270" i="38"/>
  <c r="S231" i="38"/>
  <c r="AC231" i="38"/>
  <c r="J231" i="38"/>
  <c r="I182" i="38"/>
  <c r="J173" i="38"/>
  <c r="J175" i="38" s="1"/>
  <c r="K172" i="38"/>
  <c r="K121" i="38"/>
  <c r="I123" i="38"/>
  <c r="AC170" i="38"/>
  <c r="J122" i="38"/>
  <c r="AD232" i="38"/>
  <c r="AD50" i="38"/>
  <c r="AD217" i="38"/>
  <c r="AD114" i="38"/>
  <c r="AD113" i="38" s="1"/>
  <c r="AD51" i="38"/>
  <c r="AE1" i="38"/>
  <c r="AD171" i="38"/>
  <c r="AC52" i="38"/>
  <c r="AC216" i="38"/>
  <c r="AB49" i="38"/>
  <c r="I126" i="38"/>
  <c r="I127" i="38"/>
  <c r="I125" i="38"/>
  <c r="J216" i="38"/>
  <c r="S170" i="38"/>
  <c r="I49" i="38"/>
  <c r="S113" i="38"/>
  <c r="T50" i="38"/>
  <c r="T51" i="38"/>
  <c r="U1" i="38"/>
  <c r="T217" i="38"/>
  <c r="T171" i="38"/>
  <c r="T114" i="38"/>
  <c r="T232" i="38"/>
  <c r="J117" i="38"/>
  <c r="J113" i="38"/>
  <c r="K50" i="38"/>
  <c r="K51" i="38"/>
  <c r="L1" i="38"/>
  <c r="K217" i="38"/>
  <c r="K114" i="38"/>
  <c r="K171" i="38"/>
  <c r="K232" i="38"/>
  <c r="J179" i="38"/>
  <c r="K177" i="38"/>
  <c r="R49" i="38"/>
  <c r="K115" i="38"/>
  <c r="J116" i="38"/>
  <c r="J118" i="38" s="1"/>
  <c r="K120" i="38"/>
  <c r="S216" i="38"/>
  <c r="S52" i="38"/>
  <c r="J174" i="38"/>
  <c r="J170" i="38"/>
  <c r="J52" i="38"/>
  <c r="I181" i="38"/>
  <c r="I342" i="38" l="1"/>
  <c r="I343" i="38"/>
  <c r="R141" i="55"/>
  <c r="AW141" i="55"/>
  <c r="DI141" i="55" s="1"/>
  <c r="AW142" i="55"/>
  <c r="DI142" i="55" s="1"/>
  <c r="R142" i="55"/>
  <c r="W173" i="42"/>
  <c r="W175" i="42" s="1"/>
  <c r="W182" i="42" s="1"/>
  <c r="X172" i="42"/>
  <c r="W174" i="42"/>
  <c r="V275" i="42"/>
  <c r="W278" i="42"/>
  <c r="U122" i="42"/>
  <c r="T127" i="42"/>
  <c r="Y277" i="42"/>
  <c r="V264" i="42"/>
  <c r="V331" i="42"/>
  <c r="X121" i="42"/>
  <c r="X270" i="42"/>
  <c r="V276" i="42"/>
  <c r="V280" i="42"/>
  <c r="V271" i="42"/>
  <c r="V120" i="42"/>
  <c r="U123" i="42"/>
  <c r="U125" i="42"/>
  <c r="W258" i="42"/>
  <c r="V269" i="42"/>
  <c r="W116" i="42"/>
  <c r="W118" i="42" s="1"/>
  <c r="X115" i="42"/>
  <c r="W117" i="42"/>
  <c r="X254" i="42"/>
  <c r="V268" i="42"/>
  <c r="V257" i="42"/>
  <c r="W256" i="42"/>
  <c r="V126" i="42"/>
  <c r="W259" i="42"/>
  <c r="U342" i="42"/>
  <c r="V262" i="42"/>
  <c r="U263" i="42"/>
  <c r="U343" i="42" s="1"/>
  <c r="V279" i="42"/>
  <c r="T123" i="42"/>
  <c r="X265" i="42"/>
  <c r="U179" i="42"/>
  <c r="U181" i="42"/>
  <c r="V177" i="42"/>
  <c r="W255" i="42"/>
  <c r="X264" i="38"/>
  <c r="W254" i="38"/>
  <c r="X268" i="38"/>
  <c r="X276" i="38"/>
  <c r="V265" i="38"/>
  <c r="V271" i="38"/>
  <c r="Y257" i="38"/>
  <c r="V270" i="38"/>
  <c r="X256" i="38"/>
  <c r="V275" i="38"/>
  <c r="X262" i="38"/>
  <c r="W263" i="38"/>
  <c r="V278" i="38"/>
  <c r="X280" i="38"/>
  <c r="V277" i="38"/>
  <c r="Y255" i="38"/>
  <c r="V258" i="38"/>
  <c r="V279" i="38"/>
  <c r="W274" i="38"/>
  <c r="W331" i="38"/>
  <c r="V269" i="38"/>
  <c r="W259" i="38"/>
  <c r="AD231" i="38"/>
  <c r="K231" i="38"/>
  <c r="T231" i="38"/>
  <c r="J182" i="38"/>
  <c r="J123" i="38"/>
  <c r="AD170" i="38"/>
  <c r="L121" i="38"/>
  <c r="K173" i="38"/>
  <c r="K175" i="38" s="1"/>
  <c r="L172" i="38"/>
  <c r="K122" i="38"/>
  <c r="K123" i="38" s="1"/>
  <c r="AD216" i="38"/>
  <c r="AD52" i="38"/>
  <c r="AE50" i="38"/>
  <c r="AE217" i="38"/>
  <c r="AE114" i="38"/>
  <c r="AE113" i="38" s="1"/>
  <c r="AE171" i="38"/>
  <c r="AF1" i="38"/>
  <c r="AE51" i="38"/>
  <c r="AE232" i="38"/>
  <c r="AC49" i="38"/>
  <c r="J126" i="38"/>
  <c r="J127" i="38"/>
  <c r="J125" i="38"/>
  <c r="L120" i="38"/>
  <c r="L51" i="38"/>
  <c r="L50" i="38"/>
  <c r="L217" i="38"/>
  <c r="L114" i="38"/>
  <c r="L171" i="38"/>
  <c r="L232" i="38"/>
  <c r="T170" i="38"/>
  <c r="K179" i="38"/>
  <c r="L177" i="38"/>
  <c r="K216" i="38"/>
  <c r="T216" i="38"/>
  <c r="J49" i="38"/>
  <c r="J181" i="38"/>
  <c r="K52" i="38"/>
  <c r="T52" i="38"/>
  <c r="K116" i="38"/>
  <c r="K118" i="38" s="1"/>
  <c r="L115" i="38"/>
  <c r="K117" i="38"/>
  <c r="K113" i="38"/>
  <c r="S49" i="38"/>
  <c r="K174" i="38"/>
  <c r="K170" i="38"/>
  <c r="T113" i="38"/>
  <c r="U51" i="38"/>
  <c r="U50" i="38"/>
  <c r="V1" i="38"/>
  <c r="U171" i="38"/>
  <c r="U217" i="38"/>
  <c r="U232" i="38"/>
  <c r="U114" i="38"/>
  <c r="AX142" i="55" l="1"/>
  <c r="DJ142" i="55" s="1"/>
  <c r="S142" i="55"/>
  <c r="S141" i="55"/>
  <c r="AX141" i="55"/>
  <c r="DJ141" i="55" s="1"/>
  <c r="J342" i="38"/>
  <c r="J343" i="38"/>
  <c r="W279" i="42"/>
  <c r="X259" i="42"/>
  <c r="W126" i="42"/>
  <c r="Y121" i="42"/>
  <c r="W331" i="42"/>
  <c r="X278" i="42"/>
  <c r="W257" i="42"/>
  <c r="W268" i="42"/>
  <c r="X258" i="42"/>
  <c r="W280" i="42"/>
  <c r="Y270" i="42"/>
  <c r="W264" i="42"/>
  <c r="V122" i="42"/>
  <c r="V123" i="42" s="1"/>
  <c r="U127" i="42"/>
  <c r="X255" i="42"/>
  <c r="Y265" i="42"/>
  <c r="W120" i="42"/>
  <c r="V125" i="42"/>
  <c r="Z277" i="42"/>
  <c r="W275" i="42"/>
  <c r="Y172" i="42"/>
  <c r="X173" i="42"/>
  <c r="X175" i="42" s="1"/>
  <c r="X182" i="42" s="1"/>
  <c r="X174" i="42"/>
  <c r="V181" i="42"/>
  <c r="W177" i="42"/>
  <c r="V179" i="42"/>
  <c r="V342" i="42"/>
  <c r="V263" i="42"/>
  <c r="V343" i="42" s="1"/>
  <c r="W262" i="42"/>
  <c r="X256" i="42"/>
  <c r="Y254" i="42"/>
  <c r="Y115" i="42"/>
  <c r="X116" i="42"/>
  <c r="X118" i="42" s="1"/>
  <c r="X117" i="42"/>
  <c r="W269" i="42"/>
  <c r="W271" i="42"/>
  <c r="W276" i="42"/>
  <c r="W279" i="38"/>
  <c r="Y280" i="38"/>
  <c r="W275" i="38"/>
  <c r="Z257" i="38"/>
  <c r="W271" i="38"/>
  <c r="Y276" i="38"/>
  <c r="X259" i="38"/>
  <c r="W269" i="38"/>
  <c r="Z255" i="38"/>
  <c r="X263" i="38"/>
  <c r="Y262" i="38"/>
  <c r="X274" i="38"/>
  <c r="W258" i="38"/>
  <c r="W277" i="38"/>
  <c r="W278" i="38"/>
  <c r="Y256" i="38"/>
  <c r="W270" i="38"/>
  <c r="Y264" i="38"/>
  <c r="X331" i="38"/>
  <c r="W265" i="38"/>
  <c r="Y268" i="38"/>
  <c r="X254" i="38"/>
  <c r="L231" i="38"/>
  <c r="AE231" i="38"/>
  <c r="U231" i="38"/>
  <c r="AE170" i="38"/>
  <c r="K182" i="38"/>
  <c r="M172" i="38"/>
  <c r="L173" i="38"/>
  <c r="L175" i="38" s="1"/>
  <c r="M121" i="38"/>
  <c r="L122" i="38"/>
  <c r="L123" i="38" s="1"/>
  <c r="AE52" i="38"/>
  <c r="AD49" i="38"/>
  <c r="AF217" i="38"/>
  <c r="AF50" i="38"/>
  <c r="AF232" i="38"/>
  <c r="AF51" i="38"/>
  <c r="AF171" i="38"/>
  <c r="AF114" i="38"/>
  <c r="AF113" i="38" s="1"/>
  <c r="AE216" i="38"/>
  <c r="L52" i="38"/>
  <c r="L117" i="38"/>
  <c r="L113" i="38"/>
  <c r="L179" i="38"/>
  <c r="M177" i="38"/>
  <c r="L216" i="38"/>
  <c r="M120" i="38"/>
  <c r="U170" i="38"/>
  <c r="K49" i="38"/>
  <c r="L174" i="38"/>
  <c r="L170" i="38"/>
  <c r="U113" i="38"/>
  <c r="K126" i="38"/>
  <c r="K127" i="38"/>
  <c r="V51" i="38"/>
  <c r="V50" i="38"/>
  <c r="V171" i="38"/>
  <c r="V114" i="38"/>
  <c r="V217" i="38"/>
  <c r="V232" i="38"/>
  <c r="L116" i="38"/>
  <c r="L118" i="38" s="1"/>
  <c r="M115" i="38"/>
  <c r="T49" i="38"/>
  <c r="U216" i="38"/>
  <c r="U52" i="38"/>
  <c r="K181" i="38"/>
  <c r="K125" i="38"/>
  <c r="T141" i="55" l="1"/>
  <c r="AY141" i="55"/>
  <c r="DK141" i="55" s="1"/>
  <c r="K342" i="38"/>
  <c r="K343" i="38"/>
  <c r="AY142" i="55"/>
  <c r="DK142" i="55" s="1"/>
  <c r="T142" i="55"/>
  <c r="X271" i="42"/>
  <c r="X269" i="42"/>
  <c r="Y116" i="42"/>
  <c r="Y118" i="42" s="1"/>
  <c r="Z115" i="42"/>
  <c r="Y117" i="42"/>
  <c r="X257" i="42"/>
  <c r="Y278" i="42"/>
  <c r="W342" i="42"/>
  <c r="W263" i="42"/>
  <c r="W343" i="42" s="1"/>
  <c r="X262" i="42"/>
  <c r="AA277" i="42"/>
  <c r="W125" i="42"/>
  <c r="X120" i="42"/>
  <c r="Z265" i="42"/>
  <c r="W122" i="42"/>
  <c r="V127" i="42"/>
  <c r="Z270" i="42"/>
  <c r="Y258" i="42"/>
  <c r="Y259" i="42"/>
  <c r="X276" i="42"/>
  <c r="Z254" i="42"/>
  <c r="Y256" i="42"/>
  <c r="W179" i="42"/>
  <c r="W181" i="42"/>
  <c r="X177" i="42"/>
  <c r="Y173" i="42"/>
  <c r="Y175" i="42" s="1"/>
  <c r="Y182" i="42" s="1"/>
  <c r="Z172" i="42"/>
  <c r="Y174" i="42"/>
  <c r="Y255" i="42"/>
  <c r="X264" i="42"/>
  <c r="X268" i="42"/>
  <c r="X331" i="42"/>
  <c r="X126" i="42"/>
  <c r="X275" i="42"/>
  <c r="X280" i="42"/>
  <c r="Z121" i="42"/>
  <c r="X279" i="42"/>
  <c r="Y254" i="38"/>
  <c r="Z256" i="38"/>
  <c r="X258" i="38"/>
  <c r="Y263" i="38"/>
  <c r="Z262" i="38"/>
  <c r="X275" i="38"/>
  <c r="Z268" i="38"/>
  <c r="Y331" i="38"/>
  <c r="Z264" i="38"/>
  <c r="X270" i="38"/>
  <c r="AA255" i="38"/>
  <c r="Z276" i="38"/>
  <c r="X265" i="38"/>
  <c r="X278" i="38"/>
  <c r="Y259" i="38"/>
  <c r="Z280" i="38"/>
  <c r="X277" i="38"/>
  <c r="Y274" i="38"/>
  <c r="X269" i="38"/>
  <c r="AA257" i="38"/>
  <c r="X279" i="38"/>
  <c r="X271" i="38"/>
  <c r="V231" i="38"/>
  <c r="AF231" i="38"/>
  <c r="AF170" i="38"/>
  <c r="N121" i="38"/>
  <c r="N172" i="38"/>
  <c r="M173" i="38"/>
  <c r="M175" i="38" s="1"/>
  <c r="M174" i="38"/>
  <c r="L182" i="38"/>
  <c r="M122" i="38"/>
  <c r="M123" i="38" s="1"/>
  <c r="AF52" i="38"/>
  <c r="AF216" i="38"/>
  <c r="AE49" i="38"/>
  <c r="L181" i="38"/>
  <c r="L127" i="38"/>
  <c r="L126" i="38"/>
  <c r="V52" i="38"/>
  <c r="U49" i="38"/>
  <c r="V216" i="38"/>
  <c r="M116" i="38"/>
  <c r="M118" i="38" s="1"/>
  <c r="N115" i="38"/>
  <c r="M117" i="38"/>
  <c r="V113" i="38"/>
  <c r="N120" i="38"/>
  <c r="L49" i="38"/>
  <c r="V170" i="38"/>
  <c r="L125" i="38"/>
  <c r="N177" i="38"/>
  <c r="M179" i="38"/>
  <c r="U142" i="55" l="1"/>
  <c r="AZ142" i="55"/>
  <c r="DL142" i="55" s="1"/>
  <c r="L342" i="38"/>
  <c r="L343" i="38"/>
  <c r="U141" i="55"/>
  <c r="AZ141" i="55"/>
  <c r="DL141" i="55" s="1"/>
  <c r="Y279" i="42"/>
  <c r="Y264" i="42"/>
  <c r="Z255" i="42"/>
  <c r="Y276" i="42"/>
  <c r="Z278" i="42"/>
  <c r="Z116" i="42"/>
  <c r="Z118" i="42" s="1"/>
  <c r="AA115" i="42"/>
  <c r="Z117" i="42"/>
  <c r="Y271" i="42"/>
  <c r="Y280" i="42"/>
  <c r="Y275" i="42"/>
  <c r="Y331" i="42"/>
  <c r="Z256" i="42"/>
  <c r="Z258" i="42"/>
  <c r="X122" i="42"/>
  <c r="X123" i="42" s="1"/>
  <c r="W127" i="42"/>
  <c r="X125" i="42"/>
  <c r="Y120" i="42"/>
  <c r="X342" i="42"/>
  <c r="X263" i="42"/>
  <c r="X343" i="42" s="1"/>
  <c r="Y262" i="42"/>
  <c r="Y126" i="42"/>
  <c r="AA121" i="42"/>
  <c r="X179" i="42"/>
  <c r="X181" i="42"/>
  <c r="Y177" i="42"/>
  <c r="Z259" i="42"/>
  <c r="AB277" i="42"/>
  <c r="Y257" i="42"/>
  <c r="Y269" i="42"/>
  <c r="Y268" i="42"/>
  <c r="Z173" i="42"/>
  <c r="Z175" i="42" s="1"/>
  <c r="Z182" i="42" s="1"/>
  <c r="AA172" i="42"/>
  <c r="Z174" i="42"/>
  <c r="AA254" i="42"/>
  <c r="AA270" i="42"/>
  <c r="AA265" i="42"/>
  <c r="W123" i="42"/>
  <c r="Y278" i="38"/>
  <c r="Y271" i="38"/>
  <c r="AB257" i="38"/>
  <c r="AA280" i="38"/>
  <c r="AB255" i="38"/>
  <c r="Z331" i="38"/>
  <c r="Y269" i="38"/>
  <c r="Y277" i="38"/>
  <c r="Y265" i="38"/>
  <c r="AA276" i="38"/>
  <c r="AA264" i="38"/>
  <c r="AA268" i="38"/>
  <c r="Y275" i="38"/>
  <c r="Z263" i="38"/>
  <c r="AA262" i="38"/>
  <c r="Z254" i="38"/>
  <c r="Z274" i="38"/>
  <c r="Y270" i="38"/>
  <c r="AA256" i="38"/>
  <c r="Y279" i="38"/>
  <c r="Z259" i="38"/>
  <c r="Y258" i="38"/>
  <c r="M182" i="38"/>
  <c r="O121" i="38"/>
  <c r="N173" i="38"/>
  <c r="N175" i="38" s="1"/>
  <c r="N181" i="38" s="1"/>
  <c r="N174" i="38"/>
  <c r="O172" i="38"/>
  <c r="M181" i="38"/>
  <c r="N122" i="38"/>
  <c r="N123" i="38" s="1"/>
  <c r="AF49" i="38"/>
  <c r="M126" i="38"/>
  <c r="M127" i="38"/>
  <c r="N179" i="38"/>
  <c r="O177" i="38"/>
  <c r="O120" i="38"/>
  <c r="V49" i="38"/>
  <c r="O115" i="38"/>
  <c r="N116" i="38"/>
  <c r="N118" i="38" s="1"/>
  <c r="N117" i="38"/>
  <c r="M125" i="38"/>
  <c r="BA141" i="55" l="1"/>
  <c r="DM141" i="55" s="1"/>
  <c r="V141" i="55"/>
  <c r="M342" i="38"/>
  <c r="M343" i="38"/>
  <c r="V142" i="55"/>
  <c r="BA142" i="55"/>
  <c r="DM142" i="55" s="1"/>
  <c r="AB265" i="42"/>
  <c r="Z268" i="42"/>
  <c r="Z120" i="42"/>
  <c r="Y125" i="42"/>
  <c r="AA256" i="42"/>
  <c r="Z275" i="42"/>
  <c r="Z280" i="42"/>
  <c r="Z276" i="42"/>
  <c r="Z264" i="42"/>
  <c r="AA173" i="42"/>
  <c r="AA175" i="42" s="1"/>
  <c r="AA182" i="42" s="1"/>
  <c r="AB172" i="42"/>
  <c r="AA174" i="42"/>
  <c r="Z269" i="42"/>
  <c r="AA259" i="42"/>
  <c r="Y179" i="42"/>
  <c r="Y181" i="42"/>
  <c r="Z177" i="42"/>
  <c r="Z331" i="42"/>
  <c r="AA116" i="42"/>
  <c r="AA118" i="42" s="1"/>
  <c r="AB115" i="42"/>
  <c r="AA117" i="42"/>
  <c r="AB254" i="42"/>
  <c r="AC277" i="42"/>
  <c r="AB121" i="42"/>
  <c r="Y342" i="42"/>
  <c r="Z262" i="42"/>
  <c r="Y263" i="42"/>
  <c r="Y343" i="42" s="1"/>
  <c r="AA258" i="42"/>
  <c r="Z271" i="42"/>
  <c r="Z126" i="42"/>
  <c r="AA255" i="42"/>
  <c r="AB270" i="42"/>
  <c r="Z257" i="42"/>
  <c r="Y122" i="42"/>
  <c r="Y123" i="42" s="1"/>
  <c r="X127" i="42"/>
  <c r="AA278" i="42"/>
  <c r="Z279" i="42"/>
  <c r="Z258" i="38"/>
  <c r="AB256" i="38"/>
  <c r="Z265" i="38"/>
  <c r="AC257" i="38"/>
  <c r="AC255" i="38"/>
  <c r="Z271" i="38"/>
  <c r="AB262" i="38"/>
  <c r="AA263" i="38"/>
  <c r="AB264" i="38"/>
  <c r="Z279" i="38"/>
  <c r="AA259" i="38"/>
  <c r="Z270" i="38"/>
  <c r="AB276" i="38"/>
  <c r="Z277" i="38"/>
  <c r="AB280" i="38"/>
  <c r="Z269" i="38"/>
  <c r="AA274" i="38"/>
  <c r="Z275" i="38"/>
  <c r="AA254" i="38"/>
  <c r="AB268" i="38"/>
  <c r="AA331" i="38"/>
  <c r="Z278" i="38"/>
  <c r="P121" i="38"/>
  <c r="O173" i="38"/>
  <c r="O175" i="38" s="1"/>
  <c r="O181" i="38" s="1"/>
  <c r="O174" i="38"/>
  <c r="P172" i="38"/>
  <c r="N182" i="38"/>
  <c r="O122" i="38"/>
  <c r="O123" i="38" s="1"/>
  <c r="N126" i="38"/>
  <c r="N127" i="38"/>
  <c r="N125" i="38"/>
  <c r="O116" i="38"/>
  <c r="O118" i="38" s="1"/>
  <c r="P115" i="38"/>
  <c r="O117" i="38"/>
  <c r="P120" i="38"/>
  <c r="O179" i="38"/>
  <c r="P177" i="38"/>
  <c r="BB142" i="55" l="1"/>
  <c r="DN142" i="55" s="1"/>
  <c r="W142" i="55"/>
  <c r="W141" i="55"/>
  <c r="BB141" i="55"/>
  <c r="DN141" i="55" s="1"/>
  <c r="N342" i="38"/>
  <c r="N343" i="38"/>
  <c r="AA331" i="42"/>
  <c r="AA269" i="42"/>
  <c r="AA276" i="42"/>
  <c r="AA268" i="42"/>
  <c r="AB278" i="42"/>
  <c r="Z122" i="42"/>
  <c r="Y127" i="42"/>
  <c r="AC121" i="42"/>
  <c r="AC115" i="42"/>
  <c r="AB116" i="42"/>
  <c r="AB118" i="42" s="1"/>
  <c r="AB117" i="42"/>
  <c r="AC172" i="42"/>
  <c r="AB173" i="42"/>
  <c r="AB175" i="42" s="1"/>
  <c r="AB182" i="42" s="1"/>
  <c r="AB174" i="42"/>
  <c r="AA280" i="42"/>
  <c r="AA279" i="42"/>
  <c r="AB255" i="42"/>
  <c r="Z342" i="42"/>
  <c r="Z263" i="42"/>
  <c r="Z343" i="42" s="1"/>
  <c r="AA262" i="42"/>
  <c r="AD277" i="42"/>
  <c r="AA126" i="42"/>
  <c r="AA264" i="42"/>
  <c r="AB256" i="42"/>
  <c r="AA120" i="42"/>
  <c r="Z123" i="42"/>
  <c r="Z125" i="42"/>
  <c r="AA257" i="42"/>
  <c r="AC270" i="42"/>
  <c r="AA271" i="42"/>
  <c r="AB258" i="42"/>
  <c r="AC254" i="42"/>
  <c r="Z181" i="42"/>
  <c r="AA177" i="42"/>
  <c r="Z179" i="42"/>
  <c r="AB259" i="42"/>
  <c r="AA275" i="42"/>
  <c r="AC265" i="42"/>
  <c r="AB331" i="38"/>
  <c r="AB254" i="38"/>
  <c r="AA269" i="38"/>
  <c r="AC262" i="38"/>
  <c r="AB263" i="38"/>
  <c r="AB274" i="38"/>
  <c r="AC280" i="38"/>
  <c r="AA277" i="38"/>
  <c r="AA270" i="38"/>
  <c r="AC264" i="38"/>
  <c r="AD255" i="38"/>
  <c r="AA265" i="38"/>
  <c r="AA258" i="38"/>
  <c r="AA275" i="38"/>
  <c r="AA271" i="38"/>
  <c r="AA278" i="38"/>
  <c r="AC268" i="38"/>
  <c r="AC276" i="38"/>
  <c r="AB259" i="38"/>
  <c r="AA279" i="38"/>
  <c r="AD257" i="38"/>
  <c r="AC256" i="38"/>
  <c r="Q121" i="38"/>
  <c r="Q172" i="38"/>
  <c r="P174" i="38"/>
  <c r="P173" i="38"/>
  <c r="P175" i="38" s="1"/>
  <c r="P181" i="38" s="1"/>
  <c r="O182" i="38"/>
  <c r="O125" i="38"/>
  <c r="P122" i="38"/>
  <c r="O126" i="38"/>
  <c r="O127" i="38"/>
  <c r="P179" i="38"/>
  <c r="Q177" i="38"/>
  <c r="Q120" i="38"/>
  <c r="P116" i="38"/>
  <c r="P118" i="38" s="1"/>
  <c r="Q115" i="38"/>
  <c r="P117" i="38"/>
  <c r="BC141" i="55" l="1"/>
  <c r="DO141" i="55" s="1"/>
  <c r="X141" i="55"/>
  <c r="O342" i="38"/>
  <c r="O343" i="38"/>
  <c r="X142" i="55"/>
  <c r="BC142" i="55"/>
  <c r="DO142" i="55" s="1"/>
  <c r="AD265" i="42"/>
  <c r="AD270" i="42"/>
  <c r="AA125" i="42"/>
  <c r="AB120" i="42"/>
  <c r="AA342" i="42"/>
  <c r="AA263" i="42"/>
  <c r="AA343" i="42" s="1"/>
  <c r="AB262" i="42"/>
  <c r="AD121" i="42"/>
  <c r="AA122" i="42"/>
  <c r="Z127" i="42"/>
  <c r="AB275" i="42"/>
  <c r="AA179" i="42"/>
  <c r="AA181" i="42"/>
  <c r="AB177" i="42"/>
  <c r="AB271" i="42"/>
  <c r="AC256" i="42"/>
  <c r="AB126" i="42"/>
  <c r="AB276" i="42"/>
  <c r="AB269" i="42"/>
  <c r="AB331" i="42"/>
  <c r="AC259" i="42"/>
  <c r="AD254" i="42"/>
  <c r="AC258" i="42"/>
  <c r="AB257" i="42"/>
  <c r="AE277" i="42"/>
  <c r="AB280" i="42"/>
  <c r="AC116" i="42"/>
  <c r="AC118" i="42" s="1"/>
  <c r="AD115" i="42"/>
  <c r="AC117" i="42"/>
  <c r="AB268" i="42"/>
  <c r="AB264" i="42"/>
  <c r="AC255" i="42"/>
  <c r="AB279" i="42"/>
  <c r="AC173" i="42"/>
  <c r="AC175" i="42" s="1"/>
  <c r="AC182" i="42" s="1"/>
  <c r="AD172" i="42"/>
  <c r="AC174" i="42"/>
  <c r="AC278" i="42"/>
  <c r="AB265" i="38"/>
  <c r="AD264" i="38"/>
  <c r="AB269" i="38"/>
  <c r="AB279" i="38"/>
  <c r="AD276" i="38"/>
  <c r="AD268" i="38"/>
  <c r="AB270" i="38"/>
  <c r="AD280" i="38"/>
  <c r="AE257" i="38"/>
  <c r="AB275" i="38"/>
  <c r="AE255" i="38"/>
  <c r="AC274" i="38"/>
  <c r="AC263" i="38"/>
  <c r="AD262" i="38"/>
  <c r="AC254" i="38"/>
  <c r="AD256" i="38"/>
  <c r="AC259" i="38"/>
  <c r="AB278" i="38"/>
  <c r="AB271" i="38"/>
  <c r="AB258" i="38"/>
  <c r="AB277" i="38"/>
  <c r="AC331" i="38"/>
  <c r="R121" i="38"/>
  <c r="P123" i="38"/>
  <c r="R172" i="38"/>
  <c r="Q173" i="38"/>
  <c r="Q175" i="38" s="1"/>
  <c r="Q181" i="38" s="1"/>
  <c r="Q174" i="38"/>
  <c r="P182" i="38"/>
  <c r="P125" i="38"/>
  <c r="Q122" i="38"/>
  <c r="R120" i="38"/>
  <c r="P127" i="38"/>
  <c r="P126" i="38"/>
  <c r="Q116" i="38"/>
  <c r="Q118" i="38" s="1"/>
  <c r="R115" i="38"/>
  <c r="Q117" i="38"/>
  <c r="R177" i="38"/>
  <c r="Q179" i="38"/>
  <c r="Y142" i="55" l="1"/>
  <c r="BD142" i="55"/>
  <c r="DP142" i="55" s="1"/>
  <c r="P342" i="38"/>
  <c r="P343" i="38"/>
  <c r="Y141" i="55"/>
  <c r="BD141" i="55"/>
  <c r="DP141" i="55" s="1"/>
  <c r="AD278" i="42"/>
  <c r="AC279" i="42"/>
  <c r="AD116" i="42"/>
  <c r="AD118" i="42" s="1"/>
  <c r="AE115" i="42"/>
  <c r="AD117" i="42"/>
  <c r="AC280" i="42"/>
  <c r="AC257" i="42"/>
  <c r="AE254" i="42"/>
  <c r="AC276" i="42"/>
  <c r="AD173" i="42"/>
  <c r="AD175" i="42" s="1"/>
  <c r="AD182" i="42" s="1"/>
  <c r="AE172" i="42"/>
  <c r="AD174" i="42"/>
  <c r="AC264" i="42"/>
  <c r="AC268" i="42"/>
  <c r="AC126" i="42"/>
  <c r="AC331" i="42"/>
  <c r="AC271" i="42"/>
  <c r="AB125" i="42"/>
  <c r="AC120" i="42"/>
  <c r="AE270" i="42"/>
  <c r="AE265" i="42"/>
  <c r="AD255" i="42"/>
  <c r="AF277" i="42"/>
  <c r="AD259" i="42"/>
  <c r="AC269" i="42"/>
  <c r="AC275" i="42"/>
  <c r="AE121" i="42"/>
  <c r="AD258" i="42"/>
  <c r="AD256" i="42"/>
  <c r="AB179" i="42"/>
  <c r="AB181" i="42"/>
  <c r="AC177" i="42"/>
  <c r="AB122" i="42"/>
  <c r="AB123" i="42" s="1"/>
  <c r="AA127" i="42"/>
  <c r="AB342" i="42"/>
  <c r="AB263" i="42"/>
  <c r="AB343" i="42" s="1"/>
  <c r="AC262" i="42"/>
  <c r="AA123" i="42"/>
  <c r="AD254" i="38"/>
  <c r="AD263" i="38"/>
  <c r="AE262" i="38"/>
  <c r="AD274" i="38"/>
  <c r="AF255" i="38"/>
  <c r="AC271" i="38"/>
  <c r="AC258" i="38"/>
  <c r="AD259" i="38"/>
  <c r="AE256" i="38"/>
  <c r="AC270" i="38"/>
  <c r="AE268" i="38"/>
  <c r="AC279" i="38"/>
  <c r="AC269" i="38"/>
  <c r="AC265" i="38"/>
  <c r="AC277" i="38"/>
  <c r="AC278" i="38"/>
  <c r="AD331" i="38"/>
  <c r="AC275" i="38"/>
  <c r="AF257" i="38"/>
  <c r="AE280" i="38"/>
  <c r="AE276" i="38"/>
  <c r="AE264" i="38"/>
  <c r="Q182" i="38"/>
  <c r="Q123" i="38"/>
  <c r="S172" i="38"/>
  <c r="R174" i="38"/>
  <c r="R173" i="38"/>
  <c r="R175" i="38" s="1"/>
  <c r="R181" i="38" s="1"/>
  <c r="S121" i="38"/>
  <c r="R122" i="38"/>
  <c r="S115" i="38"/>
  <c r="R116" i="38"/>
  <c r="R118" i="38" s="1"/>
  <c r="R117" i="38"/>
  <c r="R179" i="38"/>
  <c r="S177" i="38"/>
  <c r="S120" i="38"/>
  <c r="Q126" i="38"/>
  <c r="Q127" i="38"/>
  <c r="Q125" i="38"/>
  <c r="Q342" i="38" l="1"/>
  <c r="Q343" i="38"/>
  <c r="Z141" i="55"/>
  <c r="BE141" i="55"/>
  <c r="DQ141" i="55" s="1"/>
  <c r="BE142" i="55"/>
  <c r="DQ142" i="55" s="1"/>
  <c r="Z142" i="55"/>
  <c r="AE258" i="42"/>
  <c r="AF265" i="42"/>
  <c r="AD264" i="42"/>
  <c r="AE173" i="42"/>
  <c r="AE175" i="42" s="1"/>
  <c r="AE182" i="42" s="1"/>
  <c r="AF172" i="42"/>
  <c r="AE174" i="42"/>
  <c r="AF121" i="42"/>
  <c r="AD268" i="42"/>
  <c r="AD280" i="42"/>
  <c r="AD126" i="42"/>
  <c r="AE278" i="42"/>
  <c r="AC342" i="42"/>
  <c r="AD262" i="42"/>
  <c r="AC263" i="42"/>
  <c r="AC343" i="42" s="1"/>
  <c r="AD269" i="42"/>
  <c r="AF270" i="42"/>
  <c r="AD120" i="42"/>
  <c r="AC125" i="42"/>
  <c r="AD276" i="42"/>
  <c r="AD257" i="42"/>
  <c r="AD279" i="42"/>
  <c r="AC179" i="42"/>
  <c r="AC181" i="42"/>
  <c r="AD177" i="42"/>
  <c r="AE255" i="42"/>
  <c r="AD331" i="42"/>
  <c r="AF254" i="42"/>
  <c r="AE116" i="42"/>
  <c r="AE118" i="42" s="1"/>
  <c r="AF115" i="42"/>
  <c r="AE117" i="42"/>
  <c r="AC122" i="42"/>
  <c r="AB127" i="42"/>
  <c r="AE256" i="42"/>
  <c r="AD275" i="42"/>
  <c r="AE259" i="42"/>
  <c r="AD271" i="42"/>
  <c r="AD275" i="38"/>
  <c r="AD278" i="38"/>
  <c r="AD265" i="38"/>
  <c r="AD270" i="38"/>
  <c r="AF262" i="38"/>
  <c r="AE263" i="38"/>
  <c r="AE254" i="38"/>
  <c r="AF256" i="38"/>
  <c r="AF264" i="38"/>
  <c r="AE331" i="38"/>
  <c r="AD279" i="38"/>
  <c r="AD271" i="38"/>
  <c r="AD258" i="38"/>
  <c r="AF280" i="38"/>
  <c r="AF276" i="38"/>
  <c r="AD277" i="38"/>
  <c r="AD269" i="38"/>
  <c r="AF268" i="38"/>
  <c r="AE259" i="38"/>
  <c r="AE274" i="38"/>
  <c r="S173" i="38"/>
  <c r="S175" i="38" s="1"/>
  <c r="S181" i="38" s="1"/>
  <c r="S174" i="38"/>
  <c r="T172" i="38"/>
  <c r="T121" i="38"/>
  <c r="R182" i="38"/>
  <c r="R123" i="38"/>
  <c r="S122" i="38"/>
  <c r="T120" i="38"/>
  <c r="S179" i="38"/>
  <c r="T177" i="38"/>
  <c r="R126" i="38"/>
  <c r="R127" i="38"/>
  <c r="R125" i="38"/>
  <c r="S116" i="38"/>
  <c r="S118" i="38" s="1"/>
  <c r="T115" i="38"/>
  <c r="S117" i="38"/>
  <c r="BF142" i="55" l="1"/>
  <c r="DR142" i="55" s="1"/>
  <c r="AA142" i="55"/>
  <c r="AA141" i="55"/>
  <c r="BF141" i="55"/>
  <c r="DR141" i="55" s="1"/>
  <c r="R342" i="38"/>
  <c r="R343" i="38"/>
  <c r="AD122" i="42"/>
  <c r="AD123" i="42" s="1"/>
  <c r="AC127" i="42"/>
  <c r="AE269" i="42"/>
  <c r="AE279" i="42"/>
  <c r="AE276" i="42"/>
  <c r="AD342" i="42"/>
  <c r="AD263" i="42"/>
  <c r="AD343" i="42" s="1"/>
  <c r="AE262" i="42"/>
  <c r="AG121" i="42"/>
  <c r="AF173" i="42"/>
  <c r="AF175" i="42" s="1"/>
  <c r="AF182" i="42" s="1"/>
  <c r="AF174" i="42"/>
  <c r="AF259" i="42"/>
  <c r="AE126" i="42"/>
  <c r="AC123" i="42"/>
  <c r="AF258" i="42"/>
  <c r="AE271" i="42"/>
  <c r="AE275" i="42"/>
  <c r="AF256" i="42"/>
  <c r="AF255" i="42"/>
  <c r="AE120" i="42"/>
  <c r="AD125" i="42"/>
  <c r="AE280" i="42"/>
  <c r="AE264" i="42"/>
  <c r="AE331" i="42"/>
  <c r="AF116" i="42"/>
  <c r="AF118" i="42" s="1"/>
  <c r="AF117" i="42"/>
  <c r="AD181" i="42"/>
  <c r="AE177" i="42"/>
  <c r="AD179" i="42"/>
  <c r="AE257" i="42"/>
  <c r="AF278" i="42"/>
  <c r="AE268" i="42"/>
  <c r="AF259" i="38"/>
  <c r="AE269" i="38"/>
  <c r="AF331" i="38"/>
  <c r="AF254" i="38"/>
  <c r="AF263" i="38"/>
  <c r="AE271" i="38"/>
  <c r="AE265" i="38"/>
  <c r="AF274" i="38"/>
  <c r="AE270" i="38"/>
  <c r="AE278" i="38"/>
  <c r="AE275" i="38"/>
  <c r="AE277" i="38"/>
  <c r="AE258" i="38"/>
  <c r="AE279" i="38"/>
  <c r="U172" i="38"/>
  <c r="T174" i="38"/>
  <c r="T173" i="38"/>
  <c r="T175" i="38" s="1"/>
  <c r="S182" i="38"/>
  <c r="S123" i="38"/>
  <c r="U121" i="38"/>
  <c r="S125" i="38"/>
  <c r="T122" i="38"/>
  <c r="T116" i="38"/>
  <c r="T118" i="38" s="1"/>
  <c r="U115" i="38"/>
  <c r="T117" i="38"/>
  <c r="T179" i="38"/>
  <c r="U177" i="38"/>
  <c r="U120" i="38"/>
  <c r="S126" i="38"/>
  <c r="S127" i="38"/>
  <c r="BG141" i="55" l="1"/>
  <c r="DS141" i="55" s="1"/>
  <c r="AB141" i="55"/>
  <c r="S342" i="38"/>
  <c r="S343" i="38"/>
  <c r="BG142" i="55"/>
  <c r="DS142" i="55" s="1"/>
  <c r="AB142" i="55"/>
  <c r="AF276" i="42"/>
  <c r="AF271" i="42"/>
  <c r="AE122" i="42"/>
  <c r="AD127" i="42"/>
  <c r="AF268" i="42"/>
  <c r="AF257" i="42"/>
  <c r="AF126" i="42"/>
  <c r="AE123" i="42"/>
  <c r="AE125" i="42"/>
  <c r="AF120" i="42"/>
  <c r="AF275" i="42"/>
  <c r="AE342" i="42"/>
  <c r="AE263" i="42"/>
  <c r="AE343" i="42" s="1"/>
  <c r="AF262" i="42"/>
  <c r="AF269" i="42"/>
  <c r="AG126" i="42"/>
  <c r="AE179" i="42"/>
  <c r="AE181" i="42"/>
  <c r="AF177" i="42"/>
  <c r="AF331" i="42"/>
  <c r="AF264" i="42"/>
  <c r="AF280" i="42"/>
  <c r="AF279" i="42"/>
  <c r="AF275" i="38"/>
  <c r="AF270" i="38"/>
  <c r="AG331" i="38"/>
  <c r="AF269" i="38"/>
  <c r="AF277" i="38"/>
  <c r="AF278" i="38"/>
  <c r="AF265" i="38"/>
  <c r="AF279" i="38"/>
  <c r="AF271" i="38"/>
  <c r="AF258" i="38"/>
  <c r="T182" i="38"/>
  <c r="T181" i="38"/>
  <c r="V121" i="38"/>
  <c r="U174" i="38"/>
  <c r="U173" i="38"/>
  <c r="U175" i="38" s="1"/>
  <c r="V172" i="38"/>
  <c r="T123" i="38"/>
  <c r="U122" i="38"/>
  <c r="V120" i="38"/>
  <c r="T127" i="38"/>
  <c r="T126" i="38"/>
  <c r="U116" i="38"/>
  <c r="U118" i="38" s="1"/>
  <c r="V115" i="38"/>
  <c r="U117" i="38"/>
  <c r="T125" i="38"/>
  <c r="V177" i="38"/>
  <c r="U179" i="38"/>
  <c r="T342" i="38" l="1"/>
  <c r="T343" i="38"/>
  <c r="AC141" i="55"/>
  <c r="BH141" i="55"/>
  <c r="DT141" i="55" s="1"/>
  <c r="AC142" i="55"/>
  <c r="BH142" i="55"/>
  <c r="DT142" i="55" s="1"/>
  <c r="AF342" i="42"/>
  <c r="AF263" i="42"/>
  <c r="AF343" i="42" s="1"/>
  <c r="AF179" i="42"/>
  <c r="AF181" i="42"/>
  <c r="AG177" i="42"/>
  <c r="AF122" i="42"/>
  <c r="AF123" i="42" s="1"/>
  <c r="AE127" i="42"/>
  <c r="AG331" i="42"/>
  <c r="AF125" i="42"/>
  <c r="AG120" i="42"/>
  <c r="U182" i="38"/>
  <c r="U181" i="38"/>
  <c r="W121" i="38"/>
  <c r="U123" i="38"/>
  <c r="V173" i="38"/>
  <c r="V175" i="38" s="1"/>
  <c r="V174" i="38"/>
  <c r="W172" i="38"/>
  <c r="V122" i="38"/>
  <c r="V123" i="38" s="1"/>
  <c r="W120" i="38"/>
  <c r="U126" i="38"/>
  <c r="U127" i="38"/>
  <c r="U125" i="38"/>
  <c r="W115" i="38"/>
  <c r="V116" i="38"/>
  <c r="V118" i="38" s="1"/>
  <c r="V117" i="38"/>
  <c r="V179" i="38"/>
  <c r="W177" i="38"/>
  <c r="AD142" i="55" l="1"/>
  <c r="BI142" i="55"/>
  <c r="DU142" i="55" s="1"/>
  <c r="U342" i="38"/>
  <c r="U343" i="38"/>
  <c r="BI141" i="55"/>
  <c r="DU141" i="55" s="1"/>
  <c r="AD141" i="55"/>
  <c r="AG123" i="42"/>
  <c r="AG125" i="42"/>
  <c r="AG122" i="42"/>
  <c r="AF127" i="42"/>
  <c r="AG179" i="42"/>
  <c r="AG181" i="42"/>
  <c r="X121" i="38"/>
  <c r="V182" i="38"/>
  <c r="X172" i="38"/>
  <c r="W173" i="38"/>
  <c r="W175" i="38" s="1"/>
  <c r="W181" i="38" s="1"/>
  <c r="W174" i="38"/>
  <c r="V181" i="38"/>
  <c r="W122" i="38"/>
  <c r="V126" i="38"/>
  <c r="V127" i="38"/>
  <c r="X120" i="38"/>
  <c r="W116" i="38"/>
  <c r="W118" i="38" s="1"/>
  <c r="X115" i="38"/>
  <c r="W117" i="38"/>
  <c r="V125" i="38"/>
  <c r="W179" i="38"/>
  <c r="X177" i="38"/>
  <c r="V342" i="38" l="1"/>
  <c r="V343" i="38"/>
  <c r="AE141" i="55"/>
  <c r="BJ141" i="55"/>
  <c r="DV141" i="55" s="1"/>
  <c r="BJ142" i="55"/>
  <c r="DV142" i="55" s="1"/>
  <c r="AE142" i="55"/>
  <c r="AG127" i="42"/>
  <c r="W182" i="38"/>
  <c r="Y172" i="38"/>
  <c r="X174" i="38"/>
  <c r="X173" i="38"/>
  <c r="X175" i="38" s="1"/>
  <c r="X181" i="38" s="1"/>
  <c r="Y121" i="38"/>
  <c r="W123" i="38"/>
  <c r="X122" i="38"/>
  <c r="X179" i="38"/>
  <c r="Y177" i="38"/>
  <c r="X116" i="38"/>
  <c r="X118" i="38" s="1"/>
  <c r="Y115" i="38"/>
  <c r="X117" i="38"/>
  <c r="Y120" i="38"/>
  <c r="W126" i="38"/>
  <c r="W127" i="38"/>
  <c r="W125" i="38"/>
  <c r="W342" i="38" l="1"/>
  <c r="W343" i="38"/>
  <c r="AF141" i="55"/>
  <c r="BK141" i="55"/>
  <c r="DW141" i="55" s="1"/>
  <c r="BK142" i="55"/>
  <c r="DW142" i="55" s="1"/>
  <c r="AF142" i="55"/>
  <c r="Z121" i="38"/>
  <c r="X123" i="38"/>
  <c r="X182" i="38"/>
  <c r="Y174" i="38"/>
  <c r="Z172" i="38"/>
  <c r="Y173" i="38"/>
  <c r="Y175" i="38" s="1"/>
  <c r="Y181" i="38" s="1"/>
  <c r="X125" i="38"/>
  <c r="Y122" i="38"/>
  <c r="Y123" i="38" s="1"/>
  <c r="Z120" i="38"/>
  <c r="Y116" i="38"/>
  <c r="Y118" i="38" s="1"/>
  <c r="Z115" i="38"/>
  <c r="Y117" i="38"/>
  <c r="X127" i="38"/>
  <c r="X126" i="38"/>
  <c r="Z177" i="38"/>
  <c r="Y179" i="38"/>
  <c r="BL142" i="55" l="1"/>
  <c r="DX142" i="55" s="1"/>
  <c r="AG142" i="55"/>
  <c r="BM142" i="55" s="1"/>
  <c r="DY142" i="55" s="1"/>
  <c r="AG141" i="55"/>
  <c r="BM141" i="55" s="1"/>
  <c r="DY141" i="55" s="1"/>
  <c r="BL141" i="55"/>
  <c r="DX141" i="55" s="1"/>
  <c r="X342" i="38"/>
  <c r="X343" i="38"/>
  <c r="Y182" i="38"/>
  <c r="AA121" i="38"/>
  <c r="AA172" i="38"/>
  <c r="Z174" i="38"/>
  <c r="Z173" i="38"/>
  <c r="Z175" i="38" s="1"/>
  <c r="Z181" i="38" s="1"/>
  <c r="Z122" i="38"/>
  <c r="Y126" i="38"/>
  <c r="Y127" i="38"/>
  <c r="AA115" i="38"/>
  <c r="Z116" i="38"/>
  <c r="Z118" i="38" s="1"/>
  <c r="Z117" i="38"/>
  <c r="AA120" i="38"/>
  <c r="Z179" i="38"/>
  <c r="AA177" i="38"/>
  <c r="Y125" i="38"/>
  <c r="Y342" i="38" l="1"/>
  <c r="Y343" i="38"/>
  <c r="AB172" i="38"/>
  <c r="AA173" i="38"/>
  <c r="AA175" i="38" s="1"/>
  <c r="AA174" i="38"/>
  <c r="AB121" i="38"/>
  <c r="Z123" i="38"/>
  <c r="Z182" i="38"/>
  <c r="Z125" i="38"/>
  <c r="AA122" i="38"/>
  <c r="AB120" i="38"/>
  <c r="AA179" i="38"/>
  <c r="AB177" i="38"/>
  <c r="AA116" i="38"/>
  <c r="AA118" i="38" s="1"/>
  <c r="AB115" i="38"/>
  <c r="AA117" i="38"/>
  <c r="Z126" i="38"/>
  <c r="Z127" i="38"/>
  <c r="Z342" i="38" l="1"/>
  <c r="Z343" i="38"/>
  <c r="AB174" i="38"/>
  <c r="AB173" i="38"/>
  <c r="AB175" i="38" s="1"/>
  <c r="AB181" i="38" s="1"/>
  <c r="AC172" i="38"/>
  <c r="AA182" i="38"/>
  <c r="AC121" i="38"/>
  <c r="AA123" i="38"/>
  <c r="AA181" i="38"/>
  <c r="AB122" i="38"/>
  <c r="AB116" i="38"/>
  <c r="AB118" i="38" s="1"/>
  <c r="AC115" i="38"/>
  <c r="AB117" i="38"/>
  <c r="AA126" i="38"/>
  <c r="AA127" i="38"/>
  <c r="AA125" i="38"/>
  <c r="AC120" i="38"/>
  <c r="AB179" i="38"/>
  <c r="AC177" i="38"/>
  <c r="AA342" i="38" l="1"/>
  <c r="AA343" i="38"/>
  <c r="AB182" i="38"/>
  <c r="AD121" i="38"/>
  <c r="AB123" i="38"/>
  <c r="AC174" i="38"/>
  <c r="AC173" i="38"/>
  <c r="AC175" i="38" s="1"/>
  <c r="AD172" i="38"/>
  <c r="AB125" i="38"/>
  <c r="AC122" i="38"/>
  <c r="AD120" i="38"/>
  <c r="AC116" i="38"/>
  <c r="AC118" i="38" s="1"/>
  <c r="AD115" i="38"/>
  <c r="AC117" i="38"/>
  <c r="AD177" i="38"/>
  <c r="AC179" i="38"/>
  <c r="AB127" i="38"/>
  <c r="AB126" i="38"/>
  <c r="AB342" i="38" l="1"/>
  <c r="AB343" i="38"/>
  <c r="AC182" i="38"/>
  <c r="AC181" i="38"/>
  <c r="AC123" i="38"/>
  <c r="AE172" i="38"/>
  <c r="AD174" i="38"/>
  <c r="AD173" i="38"/>
  <c r="AD175" i="38" s="1"/>
  <c r="AD181" i="38" s="1"/>
  <c r="AE121" i="38"/>
  <c r="AC125" i="38"/>
  <c r="AD122" i="38"/>
  <c r="AD179" i="38"/>
  <c r="AE177" i="38"/>
  <c r="AC126" i="38"/>
  <c r="AC127" i="38"/>
  <c r="AE120" i="38"/>
  <c r="AE115" i="38"/>
  <c r="AD116" i="38"/>
  <c r="AD118" i="38" s="1"/>
  <c r="AD117" i="38"/>
  <c r="AC342" i="38" l="1"/>
  <c r="AC343" i="38"/>
  <c r="AF121" i="38"/>
  <c r="AE173" i="38"/>
  <c r="AE175" i="38" s="1"/>
  <c r="AE181" i="38" s="1"/>
  <c r="AF172" i="38"/>
  <c r="AE174" i="38"/>
  <c r="AD123" i="38"/>
  <c r="AD182" i="38"/>
  <c r="AE122" i="38"/>
  <c r="AE116" i="38"/>
  <c r="AE118" i="38" s="1"/>
  <c r="AF115" i="38"/>
  <c r="AE117" i="38"/>
  <c r="AF120" i="38"/>
  <c r="AD126" i="38"/>
  <c r="AD127" i="38"/>
  <c r="AD125" i="38"/>
  <c r="AE179" i="38"/>
  <c r="AF177" i="38"/>
  <c r="AD342" i="38" l="1"/>
  <c r="AD343" i="38"/>
  <c r="AF174" i="38"/>
  <c r="AF173" i="38"/>
  <c r="AF175" i="38" s="1"/>
  <c r="AF181" i="38" s="1"/>
  <c r="AE123" i="38"/>
  <c r="AE182" i="38"/>
  <c r="AG121" i="38"/>
  <c r="AE125" i="38"/>
  <c r="AF122" i="38"/>
  <c r="AF116" i="38"/>
  <c r="AF118" i="38" s="1"/>
  <c r="AF117" i="38"/>
  <c r="AE126" i="38"/>
  <c r="AE127" i="38"/>
  <c r="AG120" i="38"/>
  <c r="AF179" i="38"/>
  <c r="AG177" i="38"/>
  <c r="AE342" i="38" l="1"/>
  <c r="AE343" i="38"/>
  <c r="AG126" i="38"/>
  <c r="AF182" i="38"/>
  <c r="AF123" i="38"/>
  <c r="AF125" i="38"/>
  <c r="AG122" i="38"/>
  <c r="AG181" i="38"/>
  <c r="AG179" i="38"/>
  <c r="AG125" i="38"/>
  <c r="AF127" i="38"/>
  <c r="AF126" i="38"/>
  <c r="AF342" i="38" l="1"/>
  <c r="AF343" i="38"/>
  <c r="AG123" i="38"/>
  <c r="AG127" i="38"/>
  <c r="J118" i="37" l="1"/>
  <c r="H117" i="37"/>
  <c r="H119" i="37" s="1"/>
  <c r="J119" i="37" s="1"/>
  <c r="J116" i="37"/>
  <c r="J115" i="37"/>
  <c r="J114" i="37"/>
  <c r="J113" i="37"/>
  <c r="J112" i="37"/>
  <c r="J111" i="37"/>
  <c r="J110" i="37"/>
  <c r="J109" i="37"/>
  <c r="J108" i="37"/>
  <c r="J107" i="37"/>
  <c r="J106" i="37"/>
  <c r="J105" i="37"/>
  <c r="J104" i="37"/>
  <c r="J103" i="37"/>
  <c r="J102" i="37"/>
  <c r="J101" i="37"/>
  <c r="J100" i="37"/>
  <c r="J99" i="37"/>
  <c r="J98" i="37"/>
  <c r="J97" i="37"/>
  <c r="G96" i="37"/>
  <c r="G95" i="37"/>
  <c r="J94" i="37"/>
  <c r="M93" i="37"/>
  <c r="M92" i="37"/>
  <c r="J91" i="37"/>
  <c r="J90" i="37"/>
  <c r="J89" i="37"/>
  <c r="M88" i="37"/>
  <c r="M87" i="37"/>
  <c r="M86" i="37"/>
  <c r="H86" i="37"/>
  <c r="J86" i="37" s="1"/>
  <c r="L86" i="37" s="1"/>
  <c r="M85" i="37"/>
  <c r="H85" i="37"/>
  <c r="M84" i="37"/>
  <c r="H84" i="37"/>
  <c r="J84" i="37" s="1"/>
  <c r="M83" i="37"/>
  <c r="H83" i="37"/>
  <c r="M82" i="37"/>
  <c r="N82" i="37" s="1"/>
  <c r="J82" i="37"/>
  <c r="M81" i="37"/>
  <c r="N81" i="37" s="1"/>
  <c r="J81" i="37"/>
  <c r="L81" i="37" s="1"/>
  <c r="M80" i="37"/>
  <c r="G80" i="37"/>
  <c r="H80" i="37" s="1"/>
  <c r="M79" i="37"/>
  <c r="H79" i="37"/>
  <c r="T86" i="24" s="1"/>
  <c r="L89" i="24" s="1"/>
  <c r="M78" i="37"/>
  <c r="G78" i="37"/>
  <c r="H78" i="37" s="1"/>
  <c r="M77" i="37"/>
  <c r="H77" i="37"/>
  <c r="T87" i="24" s="1"/>
  <c r="M76" i="37"/>
  <c r="N76" i="37" s="1"/>
  <c r="J76" i="37"/>
  <c r="L76" i="37" s="1"/>
  <c r="M75" i="37"/>
  <c r="N75" i="37" s="1"/>
  <c r="J75" i="37"/>
  <c r="M74" i="37"/>
  <c r="N74" i="37" s="1"/>
  <c r="J74" i="37"/>
  <c r="M73" i="37"/>
  <c r="N73" i="37" s="1"/>
  <c r="J73" i="37"/>
  <c r="M72" i="37"/>
  <c r="N72" i="37" s="1"/>
  <c r="J72" i="37"/>
  <c r="M71" i="37"/>
  <c r="N71" i="37" s="1"/>
  <c r="J71" i="37"/>
  <c r="M70" i="37"/>
  <c r="N70" i="37" s="1"/>
  <c r="J70" i="37"/>
  <c r="M69" i="37"/>
  <c r="N69" i="37" s="1"/>
  <c r="J69" i="37"/>
  <c r="M68" i="37"/>
  <c r="N68" i="37" s="1"/>
  <c r="J68" i="37"/>
  <c r="M67" i="37"/>
  <c r="N67" i="37" s="1"/>
  <c r="J67" i="37"/>
  <c r="M66" i="37"/>
  <c r="M65" i="37"/>
  <c r="M64" i="37"/>
  <c r="M63" i="37"/>
  <c r="M62" i="37"/>
  <c r="M61" i="37"/>
  <c r="M60" i="37"/>
  <c r="M59" i="37"/>
  <c r="M58" i="37"/>
  <c r="M57" i="37"/>
  <c r="M56" i="37"/>
  <c r="M55" i="37"/>
  <c r="M54" i="37"/>
  <c r="M53" i="37"/>
  <c r="M52" i="37"/>
  <c r="M51" i="37"/>
  <c r="M50" i="37"/>
  <c r="M49" i="37"/>
  <c r="M48" i="37"/>
  <c r="M47" i="37"/>
  <c r="M46" i="37"/>
  <c r="M45" i="37"/>
  <c r="M44" i="37"/>
  <c r="M43" i="37"/>
  <c r="G43" i="37"/>
  <c r="G44" i="37" s="1"/>
  <c r="M42" i="37"/>
  <c r="M41" i="37"/>
  <c r="M40" i="37"/>
  <c r="M39" i="37"/>
  <c r="M38" i="37"/>
  <c r="M37" i="37"/>
  <c r="M36" i="37"/>
  <c r="M35" i="37"/>
  <c r="M34" i="37"/>
  <c r="M33" i="37"/>
  <c r="M32" i="37"/>
  <c r="M31" i="37"/>
  <c r="G31" i="37"/>
  <c r="M30" i="37"/>
  <c r="M29" i="37"/>
  <c r="M28" i="37"/>
  <c r="M27" i="37"/>
  <c r="M26" i="37"/>
  <c r="N26" i="37" s="1"/>
  <c r="J26" i="37"/>
  <c r="M25" i="37"/>
  <c r="N25" i="37" s="1"/>
  <c r="J25" i="37"/>
  <c r="M24" i="37"/>
  <c r="N24" i="37" s="1"/>
  <c r="J24" i="37"/>
  <c r="M23" i="37"/>
  <c r="N23" i="37" s="1"/>
  <c r="J23" i="37"/>
  <c r="M22" i="37"/>
  <c r="N22" i="37" s="1"/>
  <c r="J22" i="37"/>
  <c r="M21" i="37"/>
  <c r="N21" i="37" s="1"/>
  <c r="J21" i="37"/>
  <c r="M20" i="37"/>
  <c r="N20" i="37" s="1"/>
  <c r="J20" i="37"/>
  <c r="M19" i="37"/>
  <c r="H19" i="37"/>
  <c r="M18" i="37"/>
  <c r="H18" i="37"/>
  <c r="T88" i="24" s="1"/>
  <c r="M17" i="37"/>
  <c r="N17" i="37" s="1"/>
  <c r="J17" i="37"/>
  <c r="M16" i="37"/>
  <c r="N16" i="37" s="1"/>
  <c r="J16" i="37"/>
  <c r="M15" i="37"/>
  <c r="N15" i="37" s="1"/>
  <c r="J15" i="37"/>
  <c r="M14" i="37"/>
  <c r="N14" i="37" s="1"/>
  <c r="J14" i="37"/>
  <c r="M13" i="37"/>
  <c r="N13" i="37" s="1"/>
  <c r="J13" i="37"/>
  <c r="M12" i="37"/>
  <c r="N12" i="37" s="1"/>
  <c r="J12" i="37"/>
  <c r="M11" i="37"/>
  <c r="N11" i="37" s="1"/>
  <c r="J11" i="37"/>
  <c r="M10" i="37"/>
  <c r="N10" i="37" s="1"/>
  <c r="J10" i="37"/>
  <c r="M9" i="37"/>
  <c r="N9" i="37" s="1"/>
  <c r="J9" i="37"/>
  <c r="M8" i="37"/>
  <c r="N8" i="37" s="1"/>
  <c r="J8" i="37"/>
  <c r="M7" i="37"/>
  <c r="N7" i="37" s="1"/>
  <c r="M6" i="37"/>
  <c r="N6" i="37" s="1"/>
  <c r="H51" i="37"/>
  <c r="M5" i="37"/>
  <c r="N5" i="37" s="1"/>
  <c r="D35" i="36"/>
  <c r="D23" i="36"/>
  <c r="BS34" i="36"/>
  <c r="BS14" i="36"/>
  <c r="E3" i="36"/>
  <c r="G45" i="13"/>
  <c r="G43" i="13"/>
  <c r="G41" i="13"/>
  <c r="G40" i="13"/>
  <c r="G39" i="13"/>
  <c r="G38" i="13"/>
  <c r="P22" i="3"/>
  <c r="O22" i="3"/>
  <c r="P21" i="3"/>
  <c r="O21" i="3"/>
  <c r="P20" i="3"/>
  <c r="O20" i="3"/>
  <c r="C15" i="3"/>
  <c r="B15" i="3"/>
  <c r="P17" i="3" s="1"/>
  <c r="AE2" i="3"/>
  <c r="C46" i="4"/>
  <c r="J45" i="4"/>
  <c r="K45" i="4" s="1"/>
  <c r="J44" i="4"/>
  <c r="K44" i="4" s="1"/>
  <c r="J43" i="4"/>
  <c r="K43" i="4" s="1"/>
  <c r="J42" i="4"/>
  <c r="K42" i="4" s="1"/>
  <c r="J41" i="4"/>
  <c r="J40" i="4"/>
  <c r="K40" i="4" s="1"/>
  <c r="K39" i="4"/>
  <c r="D166" i="14"/>
  <c r="E166" i="14"/>
  <c r="F166" i="14"/>
  <c r="G166" i="14"/>
  <c r="H166" i="14"/>
  <c r="I166" i="14"/>
  <c r="J166" i="14"/>
  <c r="K166" i="14"/>
  <c r="L166" i="14"/>
  <c r="M166" i="14"/>
  <c r="N166" i="14"/>
  <c r="O166" i="14"/>
  <c r="P166" i="14"/>
  <c r="Q166" i="14"/>
  <c r="R166" i="14"/>
  <c r="S166" i="14"/>
  <c r="T166" i="14"/>
  <c r="U166" i="14"/>
  <c r="V166" i="14"/>
  <c r="W166" i="14"/>
  <c r="X166" i="14"/>
  <c r="Y166" i="14"/>
  <c r="Z166" i="14"/>
  <c r="AA166" i="14"/>
  <c r="AB166" i="14"/>
  <c r="AC166" i="14"/>
  <c r="AD166" i="14"/>
  <c r="AE166" i="14"/>
  <c r="AF166" i="14"/>
  <c r="AG166" i="14"/>
  <c r="AH166" i="14"/>
  <c r="D167" i="14"/>
  <c r="E167" i="14"/>
  <c r="F167" i="14"/>
  <c r="G167" i="14"/>
  <c r="H167" i="14"/>
  <c r="I167" i="14"/>
  <c r="J167" i="14"/>
  <c r="K167" i="14"/>
  <c r="L167" i="14"/>
  <c r="M167" i="14"/>
  <c r="N167" i="14"/>
  <c r="O167" i="14"/>
  <c r="P167" i="14"/>
  <c r="Q167" i="14"/>
  <c r="R167" i="14"/>
  <c r="S167" i="14"/>
  <c r="T167" i="14"/>
  <c r="U167" i="14"/>
  <c r="V167" i="14"/>
  <c r="W167" i="14"/>
  <c r="X167" i="14"/>
  <c r="Y167" i="14"/>
  <c r="Z167" i="14"/>
  <c r="AA167" i="14"/>
  <c r="AB167" i="14"/>
  <c r="AC167" i="14"/>
  <c r="AD167" i="14"/>
  <c r="AE167" i="14"/>
  <c r="AF167" i="14"/>
  <c r="AG167" i="14"/>
  <c r="AH167" i="14"/>
  <c r="E168" i="14"/>
  <c r="F168" i="14"/>
  <c r="G168" i="14"/>
  <c r="H168" i="14"/>
  <c r="I168" i="14"/>
  <c r="J168" i="14"/>
  <c r="K168" i="14"/>
  <c r="L168" i="14"/>
  <c r="M168" i="14"/>
  <c r="O168" i="14"/>
  <c r="P168" i="14"/>
  <c r="Q168" i="14"/>
  <c r="R168" i="14"/>
  <c r="S168" i="14"/>
  <c r="T168" i="14"/>
  <c r="U168" i="14"/>
  <c r="V168" i="14"/>
  <c r="W168" i="14"/>
  <c r="X168" i="14"/>
  <c r="Y168" i="14"/>
  <c r="Z168" i="14"/>
  <c r="AA168" i="14"/>
  <c r="AB168" i="14"/>
  <c r="AC168" i="14"/>
  <c r="AD168" i="14"/>
  <c r="AE168" i="14"/>
  <c r="AF168" i="14"/>
  <c r="AG168" i="14"/>
  <c r="AH168" i="14"/>
  <c r="E169" i="14"/>
  <c r="F169" i="14"/>
  <c r="G169" i="14"/>
  <c r="H169" i="14"/>
  <c r="I169" i="14"/>
  <c r="J169" i="14"/>
  <c r="K169" i="14"/>
  <c r="L169" i="14"/>
  <c r="M169" i="14"/>
  <c r="O169" i="14"/>
  <c r="P169" i="14"/>
  <c r="Q169" i="14"/>
  <c r="R169" i="14"/>
  <c r="S169" i="14"/>
  <c r="T169" i="14"/>
  <c r="U169" i="14"/>
  <c r="V169" i="14"/>
  <c r="W169" i="14"/>
  <c r="X169" i="14"/>
  <c r="Y169" i="14"/>
  <c r="Z169" i="14"/>
  <c r="AA169" i="14"/>
  <c r="AB169" i="14"/>
  <c r="AC169" i="14"/>
  <c r="AD169" i="14"/>
  <c r="AE169" i="14"/>
  <c r="AF169" i="14"/>
  <c r="AG169" i="14"/>
  <c r="AH169" i="14"/>
  <c r="AK200" i="28"/>
  <c r="AK201" i="28"/>
  <c r="AK202" i="28"/>
  <c r="AK199" i="28"/>
  <c r="R23" i="37"/>
  <c r="R21" i="37"/>
  <c r="G46" i="13" l="1"/>
  <c r="G44" i="13"/>
  <c r="AK247" i="53"/>
  <c r="AK247" i="54"/>
  <c r="AK359" i="48"/>
  <c r="AK359" i="46"/>
  <c r="AK331" i="42"/>
  <c r="AK331" i="38"/>
  <c r="AK249" i="54"/>
  <c r="AK249" i="53"/>
  <c r="AK361" i="48"/>
  <c r="AK361" i="46"/>
  <c r="AK333" i="38"/>
  <c r="AK333" i="42"/>
  <c r="AK248" i="53"/>
  <c r="AK248" i="54"/>
  <c r="AK360" i="48"/>
  <c r="AK360" i="46"/>
  <c r="AK332" i="38"/>
  <c r="AK332" i="42"/>
  <c r="T90" i="24"/>
  <c r="AK250" i="54"/>
  <c r="AK250" i="53"/>
  <c r="AK362" i="48"/>
  <c r="AK362" i="46"/>
  <c r="AK334" i="38"/>
  <c r="AK334" i="42"/>
  <c r="G42" i="13"/>
  <c r="D24" i="13" s="1"/>
  <c r="O16" i="3"/>
  <c r="O18" i="3"/>
  <c r="D23" i="11"/>
  <c r="L98" i="37"/>
  <c r="J77" i="37"/>
  <c r="L77" i="37" s="1"/>
  <c r="N85" i="37"/>
  <c r="H30" i="37"/>
  <c r="H44" i="37" s="1"/>
  <c r="L68" i="37"/>
  <c r="L69" i="37"/>
  <c r="J85" i="37"/>
  <c r="L85" i="37" s="1"/>
  <c r="L102" i="37"/>
  <c r="L106" i="37"/>
  <c r="L110" i="37"/>
  <c r="L114" i="37"/>
  <c r="N18" i="37"/>
  <c r="L24" i="37"/>
  <c r="L72" i="37"/>
  <c r="L73" i="37"/>
  <c r="N78" i="37"/>
  <c r="L82" i="37"/>
  <c r="N83" i="37"/>
  <c r="L91" i="37"/>
  <c r="L97" i="37"/>
  <c r="L90" i="37"/>
  <c r="J83" i="37"/>
  <c r="L83" i="37" s="1"/>
  <c r="N84" i="37"/>
  <c r="L94" i="37"/>
  <c r="N19" i="37"/>
  <c r="L12" i="37"/>
  <c r="L13" i="37"/>
  <c r="L26" i="37"/>
  <c r="N77" i="37"/>
  <c r="N79" i="37"/>
  <c r="T80" i="24"/>
  <c r="N86" i="37"/>
  <c r="J6" i="37"/>
  <c r="L6" i="37" s="1"/>
  <c r="L8" i="37"/>
  <c r="L9" i="37"/>
  <c r="L16" i="37"/>
  <c r="L17" i="37"/>
  <c r="L23" i="37"/>
  <c r="H31" i="37"/>
  <c r="N31" i="37" s="1"/>
  <c r="L101" i="37"/>
  <c r="L105" i="37"/>
  <c r="L109" i="37"/>
  <c r="L113" i="37"/>
  <c r="J117" i="37"/>
  <c r="L117" i="37" s="1"/>
  <c r="L67" i="37"/>
  <c r="L107" i="37"/>
  <c r="L118" i="37"/>
  <c r="L7" i="37"/>
  <c r="L20" i="37"/>
  <c r="L21" i="37"/>
  <c r="L116" i="37"/>
  <c r="L10" i="37"/>
  <c r="L11" i="37"/>
  <c r="L104" i="37"/>
  <c r="L111" i="37"/>
  <c r="L100" i="37"/>
  <c r="L74" i="37"/>
  <c r="L75" i="37"/>
  <c r="L84" i="37"/>
  <c r="L99" i="37"/>
  <c r="L108" i="37"/>
  <c r="L115" i="37"/>
  <c r="D65" i="36"/>
  <c r="L14" i="37"/>
  <c r="L15" i="37"/>
  <c r="L22" i="37"/>
  <c r="L25" i="37"/>
  <c r="L70" i="37"/>
  <c r="L71" i="37"/>
  <c r="L89" i="37"/>
  <c r="L103" i="37"/>
  <c r="L112" i="37"/>
  <c r="L119" i="37"/>
  <c r="Y5" i="3"/>
  <c r="Y7" i="3" s="1"/>
  <c r="N80" i="37"/>
  <c r="J80" i="37"/>
  <c r="L80" i="37" s="1"/>
  <c r="N30" i="37"/>
  <c r="J30" i="37"/>
  <c r="L30" i="37" s="1"/>
  <c r="N51" i="37"/>
  <c r="J51" i="37"/>
  <c r="L51" i="37" s="1"/>
  <c r="H29" i="37"/>
  <c r="H27" i="37"/>
  <c r="J5" i="37"/>
  <c r="L5" i="37" s="1"/>
  <c r="J18" i="37"/>
  <c r="L18" i="37" s="1"/>
  <c r="H46" i="37"/>
  <c r="H48" i="37"/>
  <c r="H50" i="37"/>
  <c r="J78" i="37"/>
  <c r="L78" i="37" s="1"/>
  <c r="H28" i="37"/>
  <c r="J19" i="37"/>
  <c r="L19" i="37" s="1"/>
  <c r="B5" i="40"/>
  <c r="C5" i="40" s="1"/>
  <c r="H47" i="37"/>
  <c r="H49" i="37"/>
  <c r="J79" i="37"/>
  <c r="L79" i="37" s="1"/>
  <c r="I81" i="24"/>
  <c r="F3" i="36"/>
  <c r="BS22" i="36"/>
  <c r="D6" i="36"/>
  <c r="BS36" i="36"/>
  <c r="BS31" i="36"/>
  <c r="G48" i="13"/>
  <c r="P16" i="3"/>
  <c r="P18" i="3"/>
  <c r="O17" i="3"/>
  <c r="H43" i="37" l="1"/>
  <c r="B9" i="40" s="1"/>
  <c r="C9" i="40" s="1"/>
  <c r="E248" i="54"/>
  <c r="T249" i="54" s="1"/>
  <c r="G248" i="54"/>
  <c r="V249" i="54" s="1"/>
  <c r="F248" i="54"/>
  <c r="U249" i="54" s="1"/>
  <c r="D248" i="54"/>
  <c r="S249" i="54" s="1"/>
  <c r="J248" i="54"/>
  <c r="Y249" i="54" s="1"/>
  <c r="C248" i="54"/>
  <c r="H248" i="54"/>
  <c r="W249" i="54" s="1"/>
  <c r="I248" i="54"/>
  <c r="X249" i="54" s="1"/>
  <c r="R248" i="54"/>
  <c r="AG249" i="54" s="1"/>
  <c r="P248" i="54"/>
  <c r="AE249" i="54" s="1"/>
  <c r="N248" i="54"/>
  <c r="AC249" i="54" s="1"/>
  <c r="K248" i="54"/>
  <c r="Z249" i="54" s="1"/>
  <c r="Q248" i="54"/>
  <c r="AF249" i="54" s="1"/>
  <c r="M248" i="54"/>
  <c r="AB249" i="54" s="1"/>
  <c r="L248" i="54"/>
  <c r="AA249" i="54" s="1"/>
  <c r="O248" i="54"/>
  <c r="AD249" i="54" s="1"/>
  <c r="S248" i="54"/>
  <c r="T248" i="54"/>
  <c r="U248" i="54"/>
  <c r="V248" i="54"/>
  <c r="W248" i="54"/>
  <c r="X248" i="54"/>
  <c r="Y248" i="54"/>
  <c r="Z248" i="54"/>
  <c r="AA248" i="54"/>
  <c r="AB248" i="54"/>
  <c r="AC248" i="54"/>
  <c r="AD248" i="54"/>
  <c r="AE248" i="54"/>
  <c r="AF248" i="54"/>
  <c r="AG248" i="54"/>
  <c r="C332" i="42"/>
  <c r="D332" i="42"/>
  <c r="S333" i="42" s="1"/>
  <c r="E332" i="42"/>
  <c r="T333" i="42" s="1"/>
  <c r="F332" i="42"/>
  <c r="U333" i="42" s="1"/>
  <c r="G332" i="42"/>
  <c r="V333" i="42" s="1"/>
  <c r="H332" i="42"/>
  <c r="W333" i="42" s="1"/>
  <c r="I332" i="42"/>
  <c r="X333" i="42" s="1"/>
  <c r="J332" i="42"/>
  <c r="Y333" i="42" s="1"/>
  <c r="K332" i="42"/>
  <c r="Z333" i="42" s="1"/>
  <c r="L332" i="42"/>
  <c r="AA333" i="42" s="1"/>
  <c r="M332" i="42"/>
  <c r="AB333" i="42" s="1"/>
  <c r="N332" i="42"/>
  <c r="AC333" i="42" s="1"/>
  <c r="O332" i="42"/>
  <c r="AD333" i="42" s="1"/>
  <c r="P332" i="42"/>
  <c r="AE333" i="42" s="1"/>
  <c r="Q332" i="42"/>
  <c r="AF333" i="42" s="1"/>
  <c r="R332" i="42"/>
  <c r="AG333" i="42" s="1"/>
  <c r="S332" i="42"/>
  <c r="T332" i="42"/>
  <c r="U332" i="42"/>
  <c r="V332" i="42"/>
  <c r="W332" i="42"/>
  <c r="X332" i="42"/>
  <c r="Y332" i="42"/>
  <c r="Z332" i="42"/>
  <c r="AA332" i="42"/>
  <c r="AB332" i="42"/>
  <c r="AC332" i="42"/>
  <c r="AD332" i="42"/>
  <c r="AE332" i="42"/>
  <c r="AF332" i="42"/>
  <c r="AG332" i="42"/>
  <c r="J332" i="38"/>
  <c r="Y333" i="38" s="1"/>
  <c r="R332" i="38"/>
  <c r="AG333" i="38" s="1"/>
  <c r="Z332" i="38"/>
  <c r="C332" i="38"/>
  <c r="O332" i="38"/>
  <c r="AD333" i="38" s="1"/>
  <c r="K332" i="38"/>
  <c r="Z333" i="38" s="1"/>
  <c r="S332" i="38"/>
  <c r="AA332" i="38"/>
  <c r="AE332" i="38"/>
  <c r="D332" i="38"/>
  <c r="S333" i="38" s="1"/>
  <c r="L332" i="38"/>
  <c r="AA333" i="38" s="1"/>
  <c r="T332" i="38"/>
  <c r="AB332" i="38"/>
  <c r="E332" i="38"/>
  <c r="T333" i="38" s="1"/>
  <c r="M332" i="38"/>
  <c r="AB333" i="38" s="1"/>
  <c r="U332" i="38"/>
  <c r="AC332" i="38"/>
  <c r="F332" i="38"/>
  <c r="U333" i="38" s="1"/>
  <c r="N332" i="38"/>
  <c r="AC333" i="38" s="1"/>
  <c r="V332" i="38"/>
  <c r="AD332" i="38"/>
  <c r="G332" i="38"/>
  <c r="V333" i="38" s="1"/>
  <c r="H332" i="38"/>
  <c r="W333" i="38" s="1"/>
  <c r="P332" i="38"/>
  <c r="AE333" i="38" s="1"/>
  <c r="X332" i="38"/>
  <c r="AF332" i="38"/>
  <c r="W332" i="38"/>
  <c r="I332" i="38"/>
  <c r="X333" i="38" s="1"/>
  <c r="Q332" i="38"/>
  <c r="AF333" i="38" s="1"/>
  <c r="Y332" i="38"/>
  <c r="AG332" i="38"/>
  <c r="AF360" i="46"/>
  <c r="AD360" i="46"/>
  <c r="V360" i="46"/>
  <c r="R360" i="46"/>
  <c r="AG361" i="46" s="1"/>
  <c r="S360" i="46"/>
  <c r="Z360" i="46"/>
  <c r="T360" i="46"/>
  <c r="C360" i="46"/>
  <c r="AB360" i="46"/>
  <c r="Y360" i="46"/>
  <c r="Q360" i="46"/>
  <c r="AF361" i="46" s="1"/>
  <c r="G360" i="46"/>
  <c r="V361" i="46" s="1"/>
  <c r="K360" i="46"/>
  <c r="Z361" i="46" s="1"/>
  <c r="N360" i="46"/>
  <c r="AC361" i="46" s="1"/>
  <c r="P360" i="46"/>
  <c r="AE361" i="46" s="1"/>
  <c r="E360" i="46"/>
  <c r="T361" i="46" s="1"/>
  <c r="U360" i="46"/>
  <c r="X360" i="46"/>
  <c r="O360" i="46"/>
  <c r="AD361" i="46" s="1"/>
  <c r="I360" i="46"/>
  <c r="X361" i="46" s="1"/>
  <c r="M360" i="46"/>
  <c r="AB361" i="46" s="1"/>
  <c r="F360" i="46"/>
  <c r="U361" i="46" s="1"/>
  <c r="L360" i="46"/>
  <c r="AA361" i="46" s="1"/>
  <c r="H360" i="46"/>
  <c r="W361" i="46" s="1"/>
  <c r="AG360" i="46"/>
  <c r="J360" i="46"/>
  <c r="Y361" i="46" s="1"/>
  <c r="W360" i="46"/>
  <c r="AE360" i="46"/>
  <c r="D360" i="46"/>
  <c r="S361" i="46" s="1"/>
  <c r="AA360" i="46"/>
  <c r="AC360" i="46"/>
  <c r="E360" i="48"/>
  <c r="T361" i="48" s="1"/>
  <c r="D360" i="48"/>
  <c r="S361" i="48" s="1"/>
  <c r="C360" i="48"/>
  <c r="F360" i="48"/>
  <c r="U361" i="48" s="1"/>
  <c r="G360" i="48"/>
  <c r="V361" i="48" s="1"/>
  <c r="H360" i="48"/>
  <c r="W361" i="48" s="1"/>
  <c r="I360" i="48"/>
  <c r="X361" i="48" s="1"/>
  <c r="J360" i="48"/>
  <c r="Y361" i="48" s="1"/>
  <c r="K360" i="48"/>
  <c r="Z361" i="48" s="1"/>
  <c r="L360" i="48"/>
  <c r="AA361" i="48" s="1"/>
  <c r="M360" i="48"/>
  <c r="AB361" i="48" s="1"/>
  <c r="N360" i="48"/>
  <c r="AC361" i="48" s="1"/>
  <c r="O360" i="48"/>
  <c r="AD361" i="48" s="1"/>
  <c r="P360" i="48"/>
  <c r="AE361" i="48" s="1"/>
  <c r="Q360" i="48"/>
  <c r="AF361" i="48" s="1"/>
  <c r="R360" i="48"/>
  <c r="AG361" i="48" s="1"/>
  <c r="S360" i="48"/>
  <c r="T360" i="48"/>
  <c r="U360" i="48"/>
  <c r="V360" i="48"/>
  <c r="W360" i="48"/>
  <c r="X360" i="48"/>
  <c r="Y360" i="48"/>
  <c r="Z360" i="48"/>
  <c r="AA360" i="48"/>
  <c r="AB360" i="48"/>
  <c r="AC360" i="48"/>
  <c r="AD360" i="48"/>
  <c r="AE360" i="48"/>
  <c r="AF360" i="48"/>
  <c r="AG360" i="48"/>
  <c r="CA12" i="36"/>
  <c r="E248" i="53"/>
  <c r="T249" i="53" s="1"/>
  <c r="D248" i="53"/>
  <c r="S249" i="53" s="1"/>
  <c r="C248" i="53"/>
  <c r="G248" i="53"/>
  <c r="V249" i="53" s="1"/>
  <c r="F248" i="53"/>
  <c r="U249" i="53" s="1"/>
  <c r="H248" i="53"/>
  <c r="W249" i="53" s="1"/>
  <c r="I248" i="53"/>
  <c r="X249" i="53" s="1"/>
  <c r="J248" i="53"/>
  <c r="Y249" i="53" s="1"/>
  <c r="K248" i="53"/>
  <c r="Z249" i="53" s="1"/>
  <c r="L248" i="53"/>
  <c r="AA249" i="53" s="1"/>
  <c r="M248" i="53"/>
  <c r="AB249" i="53" s="1"/>
  <c r="N248" i="53"/>
  <c r="AC249" i="53" s="1"/>
  <c r="O248" i="53"/>
  <c r="AD249" i="53" s="1"/>
  <c r="P248" i="53"/>
  <c r="AE249" i="53" s="1"/>
  <c r="Q248" i="53"/>
  <c r="AF249" i="53" s="1"/>
  <c r="R248" i="53"/>
  <c r="AG249" i="53" s="1"/>
  <c r="S248" i="53"/>
  <c r="T248" i="53"/>
  <c r="U248" i="53"/>
  <c r="V248" i="53"/>
  <c r="W248" i="53"/>
  <c r="X248" i="53"/>
  <c r="Y248" i="53"/>
  <c r="Z248" i="53"/>
  <c r="AA248" i="53"/>
  <c r="AB248" i="53"/>
  <c r="AC248" i="53"/>
  <c r="AD248" i="53"/>
  <c r="AE248" i="53"/>
  <c r="AF248" i="53"/>
  <c r="AG248" i="53"/>
  <c r="H59" i="33"/>
  <c r="E39" i="40"/>
  <c r="E43" i="40"/>
  <c r="E41" i="40"/>
  <c r="E38" i="40"/>
  <c r="E40" i="40"/>
  <c r="E37" i="40"/>
  <c r="D41" i="40"/>
  <c r="D37" i="40"/>
  <c r="D38" i="40"/>
  <c r="D43" i="40"/>
  <c r="D39" i="40"/>
  <c r="D40" i="40"/>
  <c r="J31" i="37"/>
  <c r="L31" i="37" s="1"/>
  <c r="AJ6" i="36"/>
  <c r="BZ9" i="36" s="1"/>
  <c r="BN6" i="36"/>
  <c r="D71" i="36"/>
  <c r="BP38" i="58" s="1"/>
  <c r="D37" i="58" s="1"/>
  <c r="AH7" i="36"/>
  <c r="N43" i="37"/>
  <c r="J43" i="37"/>
  <c r="L43" i="37" s="1"/>
  <c r="N50" i="37"/>
  <c r="J50" i="37"/>
  <c r="L50" i="37" s="1"/>
  <c r="H66" i="37"/>
  <c r="H65" i="37"/>
  <c r="H63" i="37"/>
  <c r="H64" i="37"/>
  <c r="H62" i="37"/>
  <c r="N49" i="37"/>
  <c r="J49" i="37"/>
  <c r="L49" i="37" s="1"/>
  <c r="H40" i="37"/>
  <c r="H38" i="37"/>
  <c r="H36" i="37"/>
  <c r="H34" i="37"/>
  <c r="N28" i="37"/>
  <c r="J28" i="37"/>
  <c r="L28" i="37" s="1"/>
  <c r="H39" i="37"/>
  <c r="B10" i="40" s="1"/>
  <c r="C10" i="40" s="1"/>
  <c r="H37" i="37"/>
  <c r="H35" i="37"/>
  <c r="H61" i="37"/>
  <c r="N48" i="37"/>
  <c r="J48" i="37"/>
  <c r="L48" i="37" s="1"/>
  <c r="H60" i="37"/>
  <c r="N44" i="37"/>
  <c r="J44" i="37"/>
  <c r="L44" i="37" s="1"/>
  <c r="H59" i="37"/>
  <c r="H57" i="37"/>
  <c r="H58" i="37"/>
  <c r="H56" i="37"/>
  <c r="N47" i="37"/>
  <c r="J47" i="37"/>
  <c r="L47" i="37" s="1"/>
  <c r="H55" i="37"/>
  <c r="H53" i="37"/>
  <c r="N46" i="37"/>
  <c r="J46" i="37"/>
  <c r="L46" i="37" s="1"/>
  <c r="H54" i="37"/>
  <c r="H52" i="37"/>
  <c r="H32" i="37"/>
  <c r="B4" i="40" s="1"/>
  <c r="C4" i="40" s="1"/>
  <c r="H33" i="37"/>
  <c r="B3" i="40" s="1"/>
  <c r="C3" i="40" s="1"/>
  <c r="N27" i="37"/>
  <c r="J27" i="37"/>
  <c r="L27" i="37" s="1"/>
  <c r="H93" i="37"/>
  <c r="H92" i="37"/>
  <c r="N45" i="37"/>
  <c r="J45" i="37"/>
  <c r="L45" i="37" s="1"/>
  <c r="H42" i="37"/>
  <c r="H41" i="37"/>
  <c r="B6" i="40" s="1"/>
  <c r="C6" i="40" s="1"/>
  <c r="N29" i="37"/>
  <c r="J29" i="37"/>
  <c r="L29" i="37" s="1"/>
  <c r="BR12" i="36"/>
  <c r="G3" i="36"/>
  <c r="Y13" i="3"/>
  <c r="Y12" i="3"/>
  <c r="Y8" i="3"/>
  <c r="R22" i="37"/>
  <c r="B10" i="60" l="1"/>
  <c r="AJ37" i="58"/>
  <c r="D4" i="61"/>
  <c r="R249" i="53"/>
  <c r="M249" i="53"/>
  <c r="R333" i="42"/>
  <c r="M333" i="42"/>
  <c r="R361" i="48"/>
  <c r="M361" i="48"/>
  <c r="R361" i="46"/>
  <c r="M361" i="46"/>
  <c r="R333" i="38"/>
  <c r="M333" i="38"/>
  <c r="R249" i="54"/>
  <c r="M249" i="54"/>
  <c r="I39" i="40"/>
  <c r="I43" i="40"/>
  <c r="I38" i="40"/>
  <c r="I37" i="40"/>
  <c r="I41" i="40"/>
  <c r="I40" i="40"/>
  <c r="E46" i="40"/>
  <c r="F43" i="40"/>
  <c r="F40" i="40"/>
  <c r="F37" i="40"/>
  <c r="F41" i="40"/>
  <c r="F38" i="40"/>
  <c r="F39" i="40"/>
  <c r="B37" i="40"/>
  <c r="B39" i="40"/>
  <c r="B41" i="40"/>
  <c r="B38" i="40"/>
  <c r="B40" i="40"/>
  <c r="B43" i="40"/>
  <c r="C37" i="40"/>
  <c r="C43" i="40"/>
  <c r="C40" i="40"/>
  <c r="C38" i="40"/>
  <c r="C39" i="40"/>
  <c r="C41" i="40"/>
  <c r="D46" i="40"/>
  <c r="AH15" i="36"/>
  <c r="BN15" i="36" s="1"/>
  <c r="BN7" i="36"/>
  <c r="Y14" i="3"/>
  <c r="Y15" i="3" s="1"/>
  <c r="R25" i="37"/>
  <c r="N42" i="37"/>
  <c r="J42" i="37"/>
  <c r="L42" i="37" s="1"/>
  <c r="N93" i="37"/>
  <c r="J93" i="37"/>
  <c r="L93" i="37" s="1"/>
  <c r="N33" i="37"/>
  <c r="J33" i="37"/>
  <c r="L33" i="37" s="1"/>
  <c r="N57" i="37"/>
  <c r="J57" i="37"/>
  <c r="L57" i="37" s="1"/>
  <c r="N60" i="37"/>
  <c r="J60" i="37"/>
  <c r="L60" i="37" s="1"/>
  <c r="N35" i="37"/>
  <c r="J35" i="37"/>
  <c r="L35" i="37" s="1"/>
  <c r="N40" i="37"/>
  <c r="J40" i="37"/>
  <c r="L40" i="37" s="1"/>
  <c r="N64" i="37"/>
  <c r="J64" i="37"/>
  <c r="L64" i="37" s="1"/>
  <c r="N32" i="37"/>
  <c r="J32" i="37"/>
  <c r="L32" i="37" s="1"/>
  <c r="N59" i="37"/>
  <c r="J59" i="37"/>
  <c r="L59" i="37" s="1"/>
  <c r="N37" i="37"/>
  <c r="J37" i="37"/>
  <c r="L37" i="37" s="1"/>
  <c r="H87" i="37"/>
  <c r="N34" i="37"/>
  <c r="J34" i="37"/>
  <c r="L34" i="37" s="1"/>
  <c r="H88" i="37"/>
  <c r="N63" i="37"/>
  <c r="J63" i="37"/>
  <c r="L63" i="37" s="1"/>
  <c r="N52" i="37"/>
  <c r="J52" i="37"/>
  <c r="L52" i="37" s="1"/>
  <c r="N53" i="37"/>
  <c r="J53" i="37"/>
  <c r="L53" i="37" s="1"/>
  <c r="N56" i="37"/>
  <c r="J56" i="37"/>
  <c r="L56" i="37" s="1"/>
  <c r="N39" i="37"/>
  <c r="J39" i="37"/>
  <c r="L39" i="37" s="1"/>
  <c r="N36" i="37"/>
  <c r="J36" i="37"/>
  <c r="L36" i="37" s="1"/>
  <c r="N65" i="37"/>
  <c r="J65" i="37"/>
  <c r="L65" i="37" s="1"/>
  <c r="N41" i="37"/>
  <c r="J41" i="37"/>
  <c r="L41" i="37" s="1"/>
  <c r="N92" i="37"/>
  <c r="J92" i="37"/>
  <c r="L92" i="37" s="1"/>
  <c r="N54" i="37"/>
  <c r="J54" i="37"/>
  <c r="L54" i="37" s="1"/>
  <c r="N55" i="37"/>
  <c r="J55" i="37"/>
  <c r="L55" i="37" s="1"/>
  <c r="N58" i="37"/>
  <c r="J58" i="37"/>
  <c r="L58" i="37" s="1"/>
  <c r="N61" i="37"/>
  <c r="J61" i="37"/>
  <c r="L61" i="37" s="1"/>
  <c r="N38" i="37"/>
  <c r="J38" i="37"/>
  <c r="L38" i="37" s="1"/>
  <c r="N62" i="37"/>
  <c r="J62" i="37"/>
  <c r="L62" i="37" s="1"/>
  <c r="N66" i="37"/>
  <c r="J66" i="37"/>
  <c r="L66" i="37" s="1"/>
  <c r="H3" i="36"/>
  <c r="BP37" i="58" l="1"/>
  <c r="DB18" i="58"/>
  <c r="B48" i="60"/>
  <c r="O5" i="60"/>
  <c r="B22" i="60"/>
  <c r="I46" i="40"/>
  <c r="T92" i="24"/>
  <c r="D2" i="37"/>
  <c r="M8" i="40" s="1"/>
  <c r="T89" i="24"/>
  <c r="T91" i="24" s="1"/>
  <c r="C46" i="40"/>
  <c r="B46" i="40"/>
  <c r="F46" i="40"/>
  <c r="S23" i="37"/>
  <c r="S21" i="37"/>
  <c r="N87" i="37"/>
  <c r="J87" i="37"/>
  <c r="L87" i="37" s="1"/>
  <c r="H96" i="37"/>
  <c r="H95" i="37"/>
  <c r="S24" i="37"/>
  <c r="N88" i="37"/>
  <c r="J88" i="37"/>
  <c r="L88" i="37" s="1"/>
  <c r="S22" i="37"/>
  <c r="I3" i="36"/>
  <c r="G15" i="52" l="1"/>
  <c r="O15" i="52"/>
  <c r="W15" i="52"/>
  <c r="AE15" i="52"/>
  <c r="AA15" i="52"/>
  <c r="H15" i="52"/>
  <c r="P15" i="52"/>
  <c r="X15" i="52"/>
  <c r="AF15" i="52"/>
  <c r="I15" i="52"/>
  <c r="Q15" i="52"/>
  <c r="Y15" i="52"/>
  <c r="AG15" i="52"/>
  <c r="S15" i="52"/>
  <c r="J15" i="52"/>
  <c r="R15" i="52"/>
  <c r="Z15" i="52"/>
  <c r="C15" i="52"/>
  <c r="D15" i="52"/>
  <c r="L15" i="52"/>
  <c r="T15" i="52"/>
  <c r="AB15" i="52"/>
  <c r="K15" i="52"/>
  <c r="E15" i="52"/>
  <c r="M15" i="52"/>
  <c r="U15" i="52"/>
  <c r="AC15" i="52"/>
  <c r="F15" i="52"/>
  <c r="N15" i="52"/>
  <c r="V15" i="52"/>
  <c r="AD15" i="52"/>
  <c r="BU20" i="51" a="1"/>
  <c r="BU29" i="45" a="1"/>
  <c r="M9" i="40"/>
  <c r="T83" i="24" s="1"/>
  <c r="M10" i="40"/>
  <c r="BU31" i="36" a="1"/>
  <c r="K2" i="40" a="1"/>
  <c r="J95" i="37"/>
  <c r="L95" i="37" s="1"/>
  <c r="B8" i="40"/>
  <c r="C8" i="40" s="1"/>
  <c r="J96" i="37"/>
  <c r="L96" i="37" s="1"/>
  <c r="B7" i="40"/>
  <c r="J3" i="36"/>
  <c r="M11" i="40" l="1"/>
  <c r="M12" i="40" s="1"/>
  <c r="L45" i="40"/>
  <c r="M45" i="40" s="1"/>
  <c r="C7" i="40"/>
  <c r="H38" i="40"/>
  <c r="H43" i="40"/>
  <c r="H42" i="40"/>
  <c r="L44" i="40"/>
  <c r="M44" i="40" s="1"/>
  <c r="F4" i="3" s="1"/>
  <c r="B11" i="40"/>
  <c r="K3" i="36"/>
  <c r="EE188" i="55" l="1"/>
  <c r="BP188" i="55"/>
  <c r="C11" i="40"/>
  <c r="B4" i="61"/>
  <c r="BS30" i="45"/>
  <c r="D11" i="45"/>
  <c r="AJ11" i="45" s="1"/>
  <c r="D11" i="36"/>
  <c r="K11" i="36" s="1"/>
  <c r="F6" i="3"/>
  <c r="F7" i="3" s="1"/>
  <c r="F9" i="3" s="1"/>
  <c r="F13" i="3" s="1"/>
  <c r="O44" i="40"/>
  <c r="T82" i="24"/>
  <c r="O45" i="40"/>
  <c r="T81" i="24"/>
  <c r="B12" i="40"/>
  <c r="B14" i="40" s="1"/>
  <c r="H46" i="40"/>
  <c r="J43" i="40"/>
  <c r="J37" i="40"/>
  <c r="J40" i="40"/>
  <c r="J41" i="40"/>
  <c r="J39" i="40"/>
  <c r="J38" i="40"/>
  <c r="K42" i="40"/>
  <c r="L42" i="40"/>
  <c r="M42" i="40" s="1"/>
  <c r="O42" i="40" s="1"/>
  <c r="G43" i="40"/>
  <c r="G40" i="40"/>
  <c r="G37" i="40"/>
  <c r="G41" i="40"/>
  <c r="G38" i="40"/>
  <c r="G39" i="40"/>
  <c r="L3" i="36"/>
  <c r="D72" i="55" l="1"/>
  <c r="EA188" i="55"/>
  <c r="BZ188" i="55"/>
  <c r="AF10" i="45"/>
  <c r="X10" i="45"/>
  <c r="L10" i="45"/>
  <c r="H10" i="45"/>
  <c r="AE10" i="45"/>
  <c r="W10" i="45"/>
  <c r="O10" i="45"/>
  <c r="G10" i="45"/>
  <c r="BS16" i="45"/>
  <c r="AH10" i="45"/>
  <c r="Z10" i="45"/>
  <c r="V10" i="45"/>
  <c r="R10" i="45"/>
  <c r="N10" i="45"/>
  <c r="J10" i="45"/>
  <c r="F10" i="45"/>
  <c r="AB10" i="45"/>
  <c r="T10" i="45"/>
  <c r="P10" i="45"/>
  <c r="E10" i="45"/>
  <c r="AA10" i="45"/>
  <c r="S10" i="45"/>
  <c r="K10" i="45"/>
  <c r="AD10" i="45"/>
  <c r="AG10" i="45"/>
  <c r="AC10" i="45"/>
  <c r="Y10" i="45"/>
  <c r="U10" i="45"/>
  <c r="Q10" i="45"/>
  <c r="M10" i="45"/>
  <c r="I10" i="45"/>
  <c r="AJ11" i="36"/>
  <c r="D8" i="36"/>
  <c r="E11" i="36"/>
  <c r="BS32" i="36"/>
  <c r="D12" i="36"/>
  <c r="F11" i="36"/>
  <c r="G11" i="36"/>
  <c r="H11" i="36"/>
  <c r="I11" i="36"/>
  <c r="J11" i="36"/>
  <c r="T84" i="24"/>
  <c r="K8" i="36"/>
  <c r="AQ8" i="36" s="1"/>
  <c r="AQ11" i="36"/>
  <c r="K12" i="36"/>
  <c r="L11" i="36"/>
  <c r="K40" i="40"/>
  <c r="L40" i="40"/>
  <c r="L38" i="40"/>
  <c r="M38" i="40" s="1"/>
  <c r="O38" i="40" s="1"/>
  <c r="K38" i="40"/>
  <c r="L43" i="40"/>
  <c r="M43" i="40" s="1"/>
  <c r="K43" i="40"/>
  <c r="G46" i="40"/>
  <c r="K37" i="40"/>
  <c r="L37" i="40"/>
  <c r="L39" i="40"/>
  <c r="M39" i="40" s="1"/>
  <c r="O39" i="40" s="1"/>
  <c r="K39" i="40"/>
  <c r="B64" i="40" s="1"/>
  <c r="J46" i="40"/>
  <c r="K41" i="40"/>
  <c r="L41" i="40"/>
  <c r="M41" i="40" s="1"/>
  <c r="O41" i="40" s="1"/>
  <c r="M3" i="36"/>
  <c r="D73" i="55" l="1"/>
  <c r="AH73" i="55"/>
  <c r="BN73" i="55" s="1"/>
  <c r="BP72" i="55"/>
  <c r="CT72" i="55" s="1"/>
  <c r="BQ72" i="55" s="1"/>
  <c r="BR72" i="55" s="1"/>
  <c r="BS72" i="55" s="1"/>
  <c r="BT72" i="55" s="1"/>
  <c r="BU72" i="55" s="1"/>
  <c r="BV72" i="55" s="1"/>
  <c r="BW72" i="55" s="1"/>
  <c r="BX72" i="55" s="1"/>
  <c r="BY72" i="55" s="1"/>
  <c r="BZ72" i="55" s="1"/>
  <c r="CA72" i="55" s="1"/>
  <c r="CB72" i="55" s="1"/>
  <c r="CC72" i="55" s="1"/>
  <c r="CD72" i="55" s="1"/>
  <c r="CE72" i="55" s="1"/>
  <c r="CF72" i="55" s="1"/>
  <c r="CG72" i="55" s="1"/>
  <c r="CH72" i="55" s="1"/>
  <c r="CI72" i="55" s="1"/>
  <c r="CJ72" i="55" s="1"/>
  <c r="CK72" i="55" s="1"/>
  <c r="CL72" i="55" s="1"/>
  <c r="CM72" i="55" s="1"/>
  <c r="CN72" i="55" s="1"/>
  <c r="CO72" i="55" s="1"/>
  <c r="CP72" i="55" s="1"/>
  <c r="CQ72" i="55" s="1"/>
  <c r="CR72" i="55" s="1"/>
  <c r="CS72" i="55" s="1"/>
  <c r="AJ72" i="55"/>
  <c r="CV72" i="55" s="1"/>
  <c r="E72" i="55"/>
  <c r="AQ12" i="36"/>
  <c r="K7" i="59"/>
  <c r="D13" i="36"/>
  <c r="AJ13" i="36" s="1"/>
  <c r="D7" i="59"/>
  <c r="Y12" i="45"/>
  <c r="BE12" i="45" s="1"/>
  <c r="Y14" i="45"/>
  <c r="BE14" i="45" s="1"/>
  <c r="BE10" i="45"/>
  <c r="AC12" i="45"/>
  <c r="BI12" i="45" s="1"/>
  <c r="AC14" i="45"/>
  <c r="BI14" i="45" s="1"/>
  <c r="BI10" i="45"/>
  <c r="U12" i="45"/>
  <c r="BA12" i="45" s="1"/>
  <c r="U14" i="45"/>
  <c r="BA14" i="45" s="1"/>
  <c r="BA10" i="45"/>
  <c r="BJ10" i="45"/>
  <c r="AD12" i="45"/>
  <c r="BJ12" i="45" s="1"/>
  <c r="AD14" i="45"/>
  <c r="BJ14" i="45" s="1"/>
  <c r="E12" i="45"/>
  <c r="AK12" i="45" s="1"/>
  <c r="E14" i="45"/>
  <c r="AK14" i="45" s="1"/>
  <c r="AK10" i="45"/>
  <c r="AL10" i="45"/>
  <c r="F12" i="45"/>
  <c r="AL12" i="45" s="1"/>
  <c r="F14" i="45"/>
  <c r="AL14" i="45" s="1"/>
  <c r="V11" i="45"/>
  <c r="BB11" i="45" s="1"/>
  <c r="BB10" i="45"/>
  <c r="V12" i="45"/>
  <c r="BB12" i="45" s="1"/>
  <c r="V14" i="45"/>
  <c r="BB14" i="45" s="1"/>
  <c r="AM10" i="45"/>
  <c r="G12" i="45"/>
  <c r="AM12" i="45" s="1"/>
  <c r="G14" i="45"/>
  <c r="AM14" i="45" s="1"/>
  <c r="H11" i="45"/>
  <c r="AN11" i="45" s="1"/>
  <c r="H14" i="45"/>
  <c r="AN14" i="45" s="1"/>
  <c r="AN10" i="45"/>
  <c r="H12" i="45"/>
  <c r="AN12" i="45" s="1"/>
  <c r="AQ10" i="45"/>
  <c r="K12" i="45"/>
  <c r="AQ12" i="45" s="1"/>
  <c r="K14" i="45"/>
  <c r="AQ14" i="45" s="1"/>
  <c r="P14" i="45"/>
  <c r="AV14" i="45" s="1"/>
  <c r="AV10" i="45"/>
  <c r="P12" i="45"/>
  <c r="AV12" i="45" s="1"/>
  <c r="J11" i="45"/>
  <c r="AP11" i="45" s="1"/>
  <c r="AP10" i="45"/>
  <c r="J12" i="45"/>
  <c r="AP12" i="45" s="1"/>
  <c r="J14" i="45"/>
  <c r="AP14" i="45" s="1"/>
  <c r="Z11" i="45"/>
  <c r="BF11" i="45" s="1"/>
  <c r="BF10" i="45"/>
  <c r="Z12" i="45"/>
  <c r="BF12" i="45" s="1"/>
  <c r="Z14" i="45"/>
  <c r="BF14" i="45" s="1"/>
  <c r="O11" i="45"/>
  <c r="AU11" i="45" s="1"/>
  <c r="AU10" i="45"/>
  <c r="O12" i="45"/>
  <c r="AU12" i="45" s="1"/>
  <c r="O14" i="45"/>
  <c r="AU14" i="45" s="1"/>
  <c r="L11" i="45"/>
  <c r="AR11" i="45" s="1"/>
  <c r="L14" i="45"/>
  <c r="AR14" i="45" s="1"/>
  <c r="AR10" i="45"/>
  <c r="L12" i="45"/>
  <c r="AR12" i="45" s="1"/>
  <c r="M11" i="45"/>
  <c r="AS11" i="45" s="1"/>
  <c r="M12" i="45"/>
  <c r="AS12" i="45" s="1"/>
  <c r="M14" i="45"/>
  <c r="AS14" i="45" s="1"/>
  <c r="AS10" i="45"/>
  <c r="T14" i="45"/>
  <c r="AZ14" i="45" s="1"/>
  <c r="AZ10" i="45"/>
  <c r="T12" i="45"/>
  <c r="AZ12" i="45" s="1"/>
  <c r="N11" i="45"/>
  <c r="AT11" i="45" s="1"/>
  <c r="AT10" i="45"/>
  <c r="N12" i="45"/>
  <c r="AT12" i="45" s="1"/>
  <c r="N14" i="45"/>
  <c r="AT14" i="45" s="1"/>
  <c r="AH11" i="45"/>
  <c r="BN11" i="45" s="1"/>
  <c r="BN10" i="45"/>
  <c r="AH12" i="45"/>
  <c r="BN12" i="45" s="1"/>
  <c r="AH14" i="45"/>
  <c r="BN14" i="45" s="1"/>
  <c r="BC10" i="45"/>
  <c r="W12" i="45"/>
  <c r="BC12" i="45" s="1"/>
  <c r="W14" i="45"/>
  <c r="BC14" i="45" s="1"/>
  <c r="X11" i="45"/>
  <c r="BD11" i="45" s="1"/>
  <c r="X14" i="45"/>
  <c r="BD14" i="45" s="1"/>
  <c r="BD10" i="45"/>
  <c r="X12" i="45"/>
  <c r="BD12" i="45" s="1"/>
  <c r="I12" i="45"/>
  <c r="AO12" i="45" s="1"/>
  <c r="I14" i="45"/>
  <c r="AO14" i="45" s="1"/>
  <c r="AO10" i="45"/>
  <c r="AY10" i="45"/>
  <c r="S12" i="45"/>
  <c r="AY12" i="45" s="1"/>
  <c r="S14" i="45"/>
  <c r="AY14" i="45" s="1"/>
  <c r="Q12" i="45"/>
  <c r="AW12" i="45" s="1"/>
  <c r="Q14" i="45"/>
  <c r="AW14" i="45" s="1"/>
  <c r="AW10" i="45"/>
  <c r="AG12" i="45"/>
  <c r="BM12" i="45" s="1"/>
  <c r="AG14" i="45"/>
  <c r="BM14" i="45" s="1"/>
  <c r="BM10" i="45"/>
  <c r="AA11" i="45"/>
  <c r="BG11" i="45" s="1"/>
  <c r="BG10" i="45"/>
  <c r="AA12" i="45"/>
  <c r="BG12" i="45" s="1"/>
  <c r="AA14" i="45"/>
  <c r="BG14" i="45" s="1"/>
  <c r="AB14" i="45"/>
  <c r="BH14" i="45" s="1"/>
  <c r="BH10" i="45"/>
  <c r="AB12" i="45"/>
  <c r="BH12" i="45" s="1"/>
  <c r="AX10" i="45"/>
  <c r="R12" i="45"/>
  <c r="AX12" i="45" s="1"/>
  <c r="R14" i="45"/>
  <c r="AX14" i="45" s="1"/>
  <c r="AE11" i="45"/>
  <c r="BK11" i="45" s="1"/>
  <c r="BK10" i="45"/>
  <c r="AE12" i="45"/>
  <c r="BK12" i="45" s="1"/>
  <c r="AE14" i="45"/>
  <c r="BK14" i="45" s="1"/>
  <c r="AF11" i="45"/>
  <c r="BL11" i="45" s="1"/>
  <c r="AF14" i="45"/>
  <c r="BL14" i="45" s="1"/>
  <c r="BL10" i="45"/>
  <c r="AF12" i="45"/>
  <c r="BL12" i="45" s="1"/>
  <c r="U11" i="45"/>
  <c r="BA11" i="45" s="1"/>
  <c r="K11" i="45"/>
  <c r="AQ11" i="45" s="1"/>
  <c r="E11" i="45"/>
  <c r="AK11" i="45" s="1"/>
  <c r="T11" i="45"/>
  <c r="AZ11" i="45" s="1"/>
  <c r="G11" i="45"/>
  <c r="AM11" i="45" s="1"/>
  <c r="S11" i="45"/>
  <c r="AY11" i="45" s="1"/>
  <c r="W11" i="45"/>
  <c r="BC11" i="45" s="1"/>
  <c r="AD11" i="45"/>
  <c r="BJ11" i="45" s="1"/>
  <c r="I11" i="45"/>
  <c r="AO11" i="45" s="1"/>
  <c r="Q11" i="45"/>
  <c r="AW11" i="45" s="1"/>
  <c r="AC11" i="45"/>
  <c r="BI11" i="45" s="1"/>
  <c r="Y11" i="45"/>
  <c r="BE11" i="45" s="1"/>
  <c r="AG11" i="45"/>
  <c r="BM11" i="45" s="1"/>
  <c r="P11" i="45"/>
  <c r="AV11" i="45" s="1"/>
  <c r="AB11" i="45"/>
  <c r="BH11" i="45" s="1"/>
  <c r="F11" i="45"/>
  <c r="AL11" i="45" s="1"/>
  <c r="R11" i="45"/>
  <c r="AX11" i="45" s="1"/>
  <c r="G8" i="36"/>
  <c r="G12" i="36"/>
  <c r="AM11" i="36"/>
  <c r="J12" i="36"/>
  <c r="J7" i="59" s="1"/>
  <c r="J8" i="36"/>
  <c r="AP11" i="36"/>
  <c r="E8" i="36"/>
  <c r="AK11" i="36"/>
  <c r="E12" i="36"/>
  <c r="AO11" i="36"/>
  <c r="I8" i="36"/>
  <c r="I12" i="36"/>
  <c r="F12" i="36"/>
  <c r="F8" i="36"/>
  <c r="AL11" i="36"/>
  <c r="AJ8" i="36"/>
  <c r="AJ9" i="36" s="1"/>
  <c r="D16" i="36"/>
  <c r="D9" i="36"/>
  <c r="D17" i="36" s="1"/>
  <c r="AJ17" i="36" s="1"/>
  <c r="H8" i="36"/>
  <c r="H12" i="36"/>
  <c r="AN11" i="36"/>
  <c r="AJ12" i="36"/>
  <c r="AJ7" i="59" s="1"/>
  <c r="D14" i="36"/>
  <c r="AJ14" i="36" s="1"/>
  <c r="K13" i="36"/>
  <c r="AQ13" i="36" s="1"/>
  <c r="L12" i="36"/>
  <c r="AR11" i="36"/>
  <c r="L8" i="36"/>
  <c r="K16" i="36"/>
  <c r="K118" i="36" s="1"/>
  <c r="K124" i="36" s="1"/>
  <c r="M11" i="36"/>
  <c r="E64" i="40"/>
  <c r="F64" i="40"/>
  <c r="C64" i="40"/>
  <c r="M40" i="40"/>
  <c r="M37" i="40"/>
  <c r="L46" i="40"/>
  <c r="D64" i="40"/>
  <c r="N3" i="36"/>
  <c r="AQ7" i="59" l="1"/>
  <c r="AK72" i="55"/>
  <c r="CW72" i="55" s="1"/>
  <c r="F72" i="55"/>
  <c r="CT73" i="55"/>
  <c r="DZ73" i="55"/>
  <c r="AJ73" i="55"/>
  <c r="CV73" i="55" s="1"/>
  <c r="BP73" i="55"/>
  <c r="BQ73" i="55" s="1"/>
  <c r="BR73" i="55" s="1"/>
  <c r="BS73" i="55" s="1"/>
  <c r="BT73" i="55" s="1"/>
  <c r="BU73" i="55" s="1"/>
  <c r="BV73" i="55" s="1"/>
  <c r="BW73" i="55" s="1"/>
  <c r="BX73" i="55" s="1"/>
  <c r="BY73" i="55" s="1"/>
  <c r="BZ73" i="55" s="1"/>
  <c r="CA73" i="55" s="1"/>
  <c r="CB73" i="55" s="1"/>
  <c r="CC73" i="55" s="1"/>
  <c r="CD73" i="55" s="1"/>
  <c r="CE73" i="55" s="1"/>
  <c r="CF73" i="55" s="1"/>
  <c r="CG73" i="55" s="1"/>
  <c r="CH73" i="55" s="1"/>
  <c r="CI73" i="55" s="1"/>
  <c r="CJ73" i="55" s="1"/>
  <c r="CK73" i="55" s="1"/>
  <c r="CL73" i="55" s="1"/>
  <c r="CM73" i="55" s="1"/>
  <c r="CN73" i="55" s="1"/>
  <c r="CO73" i="55" s="1"/>
  <c r="CP73" i="55" s="1"/>
  <c r="CQ73" i="55" s="1"/>
  <c r="CR73" i="55" s="1"/>
  <c r="CS73" i="55" s="1"/>
  <c r="E73" i="55"/>
  <c r="D35" i="59"/>
  <c r="AO12" i="36"/>
  <c r="AO7" i="59" s="1"/>
  <c r="I7" i="59"/>
  <c r="J35" i="59"/>
  <c r="J78" i="59"/>
  <c r="J105" i="59"/>
  <c r="J61" i="59"/>
  <c r="AN12" i="36"/>
  <c r="AN7" i="59" s="1"/>
  <c r="H7" i="59"/>
  <c r="AR12" i="36"/>
  <c r="AR7" i="59" s="1"/>
  <c r="L7" i="59"/>
  <c r="AK12" i="36"/>
  <c r="AK7" i="59" s="1"/>
  <c r="E7" i="59"/>
  <c r="D78" i="59"/>
  <c r="D105" i="59"/>
  <c r="D61" i="59"/>
  <c r="AJ61" i="59"/>
  <c r="AJ35" i="59"/>
  <c r="AJ78" i="59"/>
  <c r="AJ105" i="59"/>
  <c r="K35" i="59"/>
  <c r="K78" i="59"/>
  <c r="K105" i="59"/>
  <c r="K61" i="59"/>
  <c r="AM12" i="36"/>
  <c r="AM7" i="59" s="1"/>
  <c r="G7" i="59"/>
  <c r="AL12" i="36"/>
  <c r="AL7" i="59" s="1"/>
  <c r="F7" i="59"/>
  <c r="AQ35" i="59"/>
  <c r="AQ78" i="59"/>
  <c r="AQ105" i="59"/>
  <c r="AQ61" i="59"/>
  <c r="H13" i="36"/>
  <c r="AN13" i="36" s="1"/>
  <c r="L13" i="36"/>
  <c r="AR13" i="36" s="1"/>
  <c r="AK8" i="36"/>
  <c r="E16" i="36"/>
  <c r="G13" i="36"/>
  <c r="AM13" i="36" s="1"/>
  <c r="H16" i="36"/>
  <c r="AN8" i="36"/>
  <c r="F13" i="36"/>
  <c r="AL13" i="36" s="1"/>
  <c r="I13" i="36"/>
  <c r="AO13" i="36" s="1"/>
  <c r="E13" i="36"/>
  <c r="AK13" i="36" s="1"/>
  <c r="J16" i="36"/>
  <c r="AP8" i="36"/>
  <c r="D118" i="36"/>
  <c r="D124" i="36" s="1"/>
  <c r="AJ16" i="36"/>
  <c r="D74" i="36"/>
  <c r="F16" i="36"/>
  <c r="AL8" i="36"/>
  <c r="AO8" i="36"/>
  <c r="I16" i="36"/>
  <c r="AP12" i="36"/>
  <c r="AP7" i="59" s="1"/>
  <c r="J13" i="36"/>
  <c r="AP13" i="36" s="1"/>
  <c r="AM8" i="36"/>
  <c r="G16" i="36"/>
  <c r="AQ16" i="36"/>
  <c r="K74" i="36"/>
  <c r="L16" i="36"/>
  <c r="L118" i="36" s="1"/>
  <c r="L124" i="36" s="1"/>
  <c r="AR8" i="36"/>
  <c r="M12" i="36"/>
  <c r="AS11" i="36"/>
  <c r="N11" i="36"/>
  <c r="M8" i="36"/>
  <c r="G64" i="40"/>
  <c r="O37" i="40"/>
  <c r="M46" i="40"/>
  <c r="O3" i="36"/>
  <c r="F4" i="36"/>
  <c r="M4" i="36"/>
  <c r="K4" i="36"/>
  <c r="G4" i="36"/>
  <c r="J4" i="36"/>
  <c r="H4" i="36"/>
  <c r="L4" i="36"/>
  <c r="E4" i="36"/>
  <c r="I4" i="36"/>
  <c r="AK73" i="55" l="1"/>
  <c r="CW73" i="55" s="1"/>
  <c r="F73" i="55"/>
  <c r="AQ4" i="36"/>
  <c r="J7" i="52"/>
  <c r="AS4" i="36"/>
  <c r="L7" i="52"/>
  <c r="AP4" i="36"/>
  <c r="I7" i="52"/>
  <c r="AL4" i="36"/>
  <c r="E7" i="52"/>
  <c r="AM4" i="36"/>
  <c r="F7" i="52"/>
  <c r="AO4" i="36"/>
  <c r="H7" i="52"/>
  <c r="AK4" i="36"/>
  <c r="D7" i="52"/>
  <c r="G72" i="55"/>
  <c r="AL72" i="55"/>
  <c r="CX72" i="55" s="1"/>
  <c r="AR4" i="36"/>
  <c r="K7" i="52"/>
  <c r="AN4" i="36"/>
  <c r="G7" i="52"/>
  <c r="AL78" i="59"/>
  <c r="AL35" i="59"/>
  <c r="AL105" i="59"/>
  <c r="AL61" i="59"/>
  <c r="G35" i="59"/>
  <c r="G105" i="59"/>
  <c r="G78" i="59"/>
  <c r="G61" i="59"/>
  <c r="AM78" i="59"/>
  <c r="AM35" i="59"/>
  <c r="AM105" i="59"/>
  <c r="AM61" i="59"/>
  <c r="E78" i="59"/>
  <c r="E105" i="59"/>
  <c r="E35" i="59"/>
  <c r="E61" i="59"/>
  <c r="AK105" i="59"/>
  <c r="AK35" i="59"/>
  <c r="AK78" i="59"/>
  <c r="AK61" i="59"/>
  <c r="L35" i="59"/>
  <c r="L78" i="59"/>
  <c r="L105" i="59"/>
  <c r="L61" i="59"/>
  <c r="AN35" i="59"/>
  <c r="AN78" i="59"/>
  <c r="AN105" i="59"/>
  <c r="AN61" i="59"/>
  <c r="AR78" i="59"/>
  <c r="AR105" i="59"/>
  <c r="AR35" i="59"/>
  <c r="AR61" i="59"/>
  <c r="I78" i="59"/>
  <c r="I105" i="59"/>
  <c r="I35" i="59"/>
  <c r="I61" i="59"/>
  <c r="F78" i="59"/>
  <c r="F105" i="59"/>
  <c r="F35" i="59"/>
  <c r="F61" i="59"/>
  <c r="AS12" i="36"/>
  <c r="AS7" i="59" s="1"/>
  <c r="M7" i="59"/>
  <c r="AP35" i="59"/>
  <c r="AP78" i="59"/>
  <c r="AP105" i="59"/>
  <c r="AP61" i="59"/>
  <c r="H105" i="59"/>
  <c r="H78" i="59"/>
  <c r="H35" i="59"/>
  <c r="H61" i="59"/>
  <c r="AO35" i="59"/>
  <c r="AO78" i="59"/>
  <c r="AO105" i="59"/>
  <c r="AO61" i="59"/>
  <c r="AJ118" i="36"/>
  <c r="AJ124" i="36" s="1"/>
  <c r="AJ74" i="36"/>
  <c r="H118" i="36"/>
  <c r="H124" i="36" s="1"/>
  <c r="AN16" i="36"/>
  <c r="H74" i="36"/>
  <c r="F118" i="36"/>
  <c r="F124" i="36" s="1"/>
  <c r="AL16" i="36"/>
  <c r="F74" i="36"/>
  <c r="E118" i="36"/>
  <c r="E124" i="36" s="1"/>
  <c r="AK16" i="36"/>
  <c r="E74" i="36"/>
  <c r="G118" i="36"/>
  <c r="G124" i="36" s="1"/>
  <c r="AM16" i="36"/>
  <c r="G74" i="36"/>
  <c r="I118" i="36"/>
  <c r="I124" i="36" s="1"/>
  <c r="AO16" i="36"/>
  <c r="I74" i="36"/>
  <c r="J118" i="36"/>
  <c r="J124" i="36" s="1"/>
  <c r="AP16" i="36"/>
  <c r="J74" i="36"/>
  <c r="AQ74" i="36"/>
  <c r="AQ118" i="36"/>
  <c r="AQ124" i="36" s="1"/>
  <c r="M13" i="36"/>
  <c r="AS13" i="36" s="1"/>
  <c r="AR16" i="36"/>
  <c r="L74" i="36"/>
  <c r="M16" i="36"/>
  <c r="M118" i="36" s="1"/>
  <c r="M124" i="36" s="1"/>
  <c r="AS8" i="36"/>
  <c r="N12" i="36"/>
  <c r="AT11" i="36"/>
  <c r="O40" i="40"/>
  <c r="N40" i="40" s="1"/>
  <c r="O43" i="40"/>
  <c r="N8" i="36"/>
  <c r="O11" i="36"/>
  <c r="P3" i="36"/>
  <c r="G73" i="55" l="1"/>
  <c r="AL73" i="55"/>
  <c r="CX73" i="55" s="1"/>
  <c r="AM72" i="55"/>
  <c r="CY72" i="55" s="1"/>
  <c r="H72" i="55"/>
  <c r="M35" i="59"/>
  <c r="M105" i="59"/>
  <c r="M78" i="59"/>
  <c r="M61" i="59"/>
  <c r="AS78" i="59"/>
  <c r="AS105" i="59"/>
  <c r="AS35" i="59"/>
  <c r="AS61" i="59"/>
  <c r="AT12" i="36"/>
  <c r="AT7" i="59" s="1"/>
  <c r="N7" i="59"/>
  <c r="AO74" i="36"/>
  <c r="AO118" i="36"/>
  <c r="AO124" i="36" s="1"/>
  <c r="AN118" i="36"/>
  <c r="AN124" i="36" s="1"/>
  <c r="AN74" i="36"/>
  <c r="AP118" i="36"/>
  <c r="AP124" i="36" s="1"/>
  <c r="AP74" i="36"/>
  <c r="AL74" i="36"/>
  <c r="AL118" i="36"/>
  <c r="AL124" i="36" s="1"/>
  <c r="AK74" i="36"/>
  <c r="AK118" i="36"/>
  <c r="AK124" i="36" s="1"/>
  <c r="AM74" i="36"/>
  <c r="AM118" i="36"/>
  <c r="AM124" i="36" s="1"/>
  <c r="AR74" i="36"/>
  <c r="AR118" i="36"/>
  <c r="AR124" i="36" s="1"/>
  <c r="AS16" i="36"/>
  <c r="M74" i="36"/>
  <c r="N13" i="36"/>
  <c r="AT13" i="36" s="1"/>
  <c r="N16" i="36"/>
  <c r="N118" i="36" s="1"/>
  <c r="N124" i="36" s="1"/>
  <c r="AT8" i="36"/>
  <c r="O12" i="36"/>
  <c r="AU11" i="36"/>
  <c r="O48" i="40"/>
  <c r="N43" i="40"/>
  <c r="O8" i="36"/>
  <c r="P11" i="36"/>
  <c r="N46" i="40"/>
  <c r="P45" i="40"/>
  <c r="P44" i="40"/>
  <c r="P42" i="40"/>
  <c r="P39" i="40"/>
  <c r="P41" i="40"/>
  <c r="P43" i="40"/>
  <c r="P38" i="40"/>
  <c r="P40" i="40"/>
  <c r="P37" i="40"/>
  <c r="Q3" i="36"/>
  <c r="I72" i="55" l="1"/>
  <c r="AN72" i="55"/>
  <c r="CZ72" i="55" s="1"/>
  <c r="AM73" i="55"/>
  <c r="CY73" i="55" s="1"/>
  <c r="H73" i="55"/>
  <c r="N78" i="59"/>
  <c r="N105" i="59"/>
  <c r="N35" i="59"/>
  <c r="N61" i="59"/>
  <c r="AT35" i="59"/>
  <c r="AT78" i="59"/>
  <c r="AT105" i="59"/>
  <c r="AT61" i="59"/>
  <c r="AU12" i="36"/>
  <c r="AU7" i="59" s="1"/>
  <c r="O7" i="59"/>
  <c r="AS74" i="36"/>
  <c r="AS118" i="36"/>
  <c r="AS124" i="36" s="1"/>
  <c r="AT16" i="36"/>
  <c r="N74" i="36"/>
  <c r="O13" i="36"/>
  <c r="AU13" i="36" s="1"/>
  <c r="P8" i="36"/>
  <c r="AV8" i="36" s="1"/>
  <c r="AV11" i="36"/>
  <c r="O16" i="36"/>
  <c r="O118" i="36" s="1"/>
  <c r="O124" i="36" s="1"/>
  <c r="AU8" i="36"/>
  <c r="P12" i="36"/>
  <c r="Q11" i="36"/>
  <c r="Q8" i="36" s="1"/>
  <c r="AW8" i="36" s="1"/>
  <c r="P46" i="40"/>
  <c r="R3" i="36"/>
  <c r="I73" i="55" l="1"/>
  <c r="AN73" i="55"/>
  <c r="CZ73" i="55" s="1"/>
  <c r="AO72" i="55"/>
  <c r="DA72" i="55" s="1"/>
  <c r="J72" i="55"/>
  <c r="AU78" i="59"/>
  <c r="AU105" i="59"/>
  <c r="AU35" i="59"/>
  <c r="AU61" i="59"/>
  <c r="AV12" i="36"/>
  <c r="AV7" i="59" s="1"/>
  <c r="P7" i="59"/>
  <c r="O105" i="59"/>
  <c r="O78" i="59"/>
  <c r="O35" i="59"/>
  <c r="O61" i="59"/>
  <c r="AT74" i="36"/>
  <c r="AT118" i="36"/>
  <c r="AT124" i="36" s="1"/>
  <c r="AU16" i="36"/>
  <c r="O74" i="36"/>
  <c r="Q12" i="36"/>
  <c r="AW11" i="36"/>
  <c r="P13" i="36"/>
  <c r="AV13" i="36" s="1"/>
  <c r="P16" i="36"/>
  <c r="P118" i="36" s="1"/>
  <c r="P124" i="36" s="1"/>
  <c r="R11" i="36"/>
  <c r="S3" i="36"/>
  <c r="K72" i="55" l="1"/>
  <c r="AP72" i="55"/>
  <c r="DB72" i="55" s="1"/>
  <c r="J73" i="55"/>
  <c r="AO73" i="55"/>
  <c r="DA73" i="55" s="1"/>
  <c r="AW12" i="36"/>
  <c r="AW7" i="59" s="1"/>
  <c r="Q7" i="59"/>
  <c r="AV78" i="59"/>
  <c r="AV105" i="59"/>
  <c r="AV35" i="59"/>
  <c r="AV61" i="59"/>
  <c r="P78" i="59"/>
  <c r="P35" i="59"/>
  <c r="P105" i="59"/>
  <c r="P61" i="59"/>
  <c r="AU74" i="36"/>
  <c r="AU118" i="36"/>
  <c r="AU124" i="36" s="1"/>
  <c r="AV16" i="36"/>
  <c r="P74" i="36"/>
  <c r="Q13" i="36"/>
  <c r="AW13" i="36" s="1"/>
  <c r="Q16" i="36"/>
  <c r="Q118" i="36" s="1"/>
  <c r="Q124" i="36" s="1"/>
  <c r="R12" i="36"/>
  <c r="AX11" i="36"/>
  <c r="R8" i="36"/>
  <c r="S11" i="36"/>
  <c r="T3" i="36"/>
  <c r="Q4" i="36"/>
  <c r="O4" i="36"/>
  <c r="R4" i="36"/>
  <c r="P4" i="36"/>
  <c r="AX4" i="36" l="1"/>
  <c r="Q7" i="52"/>
  <c r="AV4" i="36"/>
  <c r="O7" i="52"/>
  <c r="K73" i="55"/>
  <c r="AP73" i="55"/>
  <c r="DB73" i="55" s="1"/>
  <c r="AU4" i="36"/>
  <c r="N7" i="52"/>
  <c r="AW4" i="36"/>
  <c r="P7" i="52"/>
  <c r="L72" i="55"/>
  <c r="AQ72" i="55"/>
  <c r="DC72" i="55" s="1"/>
  <c r="AX12" i="36"/>
  <c r="AX7" i="59" s="1"/>
  <c r="R7" i="59"/>
  <c r="Q78" i="59"/>
  <c r="Q105" i="59"/>
  <c r="Q35" i="59"/>
  <c r="Q61" i="59"/>
  <c r="AW35" i="59"/>
  <c r="AW78" i="59"/>
  <c r="AW105" i="59"/>
  <c r="AW61" i="59"/>
  <c r="AV74" i="36"/>
  <c r="AV118" i="36"/>
  <c r="AV124" i="36" s="1"/>
  <c r="AW16" i="36"/>
  <c r="Q74" i="36"/>
  <c r="R13" i="36"/>
  <c r="AX13" i="36" s="1"/>
  <c r="S8" i="36"/>
  <c r="AY8" i="36" s="1"/>
  <c r="AY11" i="36"/>
  <c r="R16" i="36"/>
  <c r="R118" i="36" s="1"/>
  <c r="R124" i="36" s="1"/>
  <c r="AX8" i="36"/>
  <c r="S12" i="36"/>
  <c r="T11" i="36"/>
  <c r="U3" i="36"/>
  <c r="AQ73" i="55" l="1"/>
  <c r="DC73" i="55" s="1"/>
  <c r="L73" i="55"/>
  <c r="M72" i="55"/>
  <c r="AR72" i="55"/>
  <c r="DD72" i="55" s="1"/>
  <c r="AY12" i="36"/>
  <c r="AY7" i="59" s="1"/>
  <c r="S7" i="59"/>
  <c r="R78" i="59"/>
  <c r="R105" i="59"/>
  <c r="R35" i="59"/>
  <c r="R61" i="59"/>
  <c r="AX105" i="59"/>
  <c r="AX35" i="59"/>
  <c r="AX78" i="59"/>
  <c r="AX61" i="59"/>
  <c r="AW74" i="36"/>
  <c r="AW118" i="36"/>
  <c r="AW124" i="36" s="1"/>
  <c r="AX16" i="36"/>
  <c r="R74" i="36"/>
  <c r="S13" i="36"/>
  <c r="AY13" i="36" s="1"/>
  <c r="T12" i="36"/>
  <c r="AZ11" i="36"/>
  <c r="S16" i="36"/>
  <c r="S118" i="36" s="1"/>
  <c r="S124" i="36" s="1"/>
  <c r="T8" i="36"/>
  <c r="U11" i="36"/>
  <c r="V3" i="36"/>
  <c r="AS72" i="55" l="1"/>
  <c r="DE72" i="55" s="1"/>
  <c r="N72" i="55"/>
  <c r="AR73" i="55"/>
  <c r="DD73" i="55" s="1"/>
  <c r="M73" i="55"/>
  <c r="S35" i="59"/>
  <c r="S105" i="59"/>
  <c r="S78" i="59"/>
  <c r="S61" i="59"/>
  <c r="AZ12" i="36"/>
  <c r="AZ7" i="59" s="1"/>
  <c r="T7" i="59"/>
  <c r="AY35" i="59"/>
  <c r="AY78" i="59"/>
  <c r="AY105" i="59"/>
  <c r="AY61" i="59"/>
  <c r="AX74" i="36"/>
  <c r="AX118" i="36"/>
  <c r="AX124" i="36" s="1"/>
  <c r="AY16" i="36"/>
  <c r="S74" i="36"/>
  <c r="T13" i="36"/>
  <c r="AZ13" i="36" s="1"/>
  <c r="U12" i="36"/>
  <c r="BA11" i="36"/>
  <c r="T16" i="36"/>
  <c r="T118" i="36" s="1"/>
  <c r="T124" i="36" s="1"/>
  <c r="AZ8" i="36"/>
  <c r="U8" i="36"/>
  <c r="V11" i="36"/>
  <c r="W3" i="36"/>
  <c r="AS73" i="55" l="1"/>
  <c r="DE73" i="55" s="1"/>
  <c r="N73" i="55"/>
  <c r="O72" i="55"/>
  <c r="AT72" i="55"/>
  <c r="DF72" i="55" s="1"/>
  <c r="AZ105" i="59"/>
  <c r="AZ35" i="59"/>
  <c r="AZ78" i="59"/>
  <c r="AZ61" i="59"/>
  <c r="BA12" i="36"/>
  <c r="BA7" i="59" s="1"/>
  <c r="U7" i="59"/>
  <c r="T35" i="59"/>
  <c r="T105" i="59"/>
  <c r="T78" i="59"/>
  <c r="T61" i="59"/>
  <c r="AY74" i="36"/>
  <c r="AY118" i="36"/>
  <c r="AY124" i="36" s="1"/>
  <c r="AZ16" i="36"/>
  <c r="T74" i="36"/>
  <c r="U13" i="36"/>
  <c r="BA13" i="36" s="1"/>
  <c r="U16" i="36"/>
  <c r="U118" i="36" s="1"/>
  <c r="U124" i="36" s="1"/>
  <c r="BA8" i="36"/>
  <c r="V8" i="36"/>
  <c r="BB8" i="36" s="1"/>
  <c r="BB11" i="36"/>
  <c r="V12" i="36"/>
  <c r="W11" i="36"/>
  <c r="X3" i="36"/>
  <c r="P72" i="55" l="1"/>
  <c r="AU72" i="55"/>
  <c r="DG72" i="55" s="1"/>
  <c r="O73" i="55"/>
  <c r="AT73" i="55"/>
  <c r="DF73" i="55" s="1"/>
  <c r="BA78" i="59"/>
  <c r="BA35" i="59"/>
  <c r="BA105" i="59"/>
  <c r="BA61" i="59"/>
  <c r="BB12" i="36"/>
  <c r="BB7" i="59" s="1"/>
  <c r="V7" i="59"/>
  <c r="U105" i="59"/>
  <c r="U78" i="59"/>
  <c r="U35" i="59"/>
  <c r="U61" i="59"/>
  <c r="AZ74" i="36"/>
  <c r="AZ118" i="36"/>
  <c r="AZ124" i="36" s="1"/>
  <c r="BA16" i="36"/>
  <c r="U74" i="36"/>
  <c r="W8" i="36"/>
  <c r="BC8" i="36" s="1"/>
  <c r="BC11" i="36"/>
  <c r="V13" i="36"/>
  <c r="BB13" i="36" s="1"/>
  <c r="V16" i="36"/>
  <c r="V118" i="36" s="1"/>
  <c r="V124" i="36" s="1"/>
  <c r="W12" i="36"/>
  <c r="X11" i="36"/>
  <c r="U4" i="36"/>
  <c r="T4" i="36"/>
  <c r="Y3" i="36"/>
  <c r="V4" i="36"/>
  <c r="W4" i="36"/>
  <c r="BC4" i="36" l="1"/>
  <c r="V7" i="52"/>
  <c r="P73" i="55"/>
  <c r="AU73" i="55"/>
  <c r="DG73" i="55" s="1"/>
  <c r="AZ4" i="36"/>
  <c r="S7" i="52"/>
  <c r="BB4" i="36"/>
  <c r="U7" i="52"/>
  <c r="BA4" i="36"/>
  <c r="T7" i="52"/>
  <c r="Q72" i="55"/>
  <c r="AV72" i="55"/>
  <c r="DH72" i="55" s="1"/>
  <c r="BB78" i="59"/>
  <c r="BB35" i="59"/>
  <c r="BB105" i="59"/>
  <c r="BB61" i="59"/>
  <c r="BC12" i="36"/>
  <c r="BC7" i="59" s="1"/>
  <c r="W7" i="59"/>
  <c r="V105" i="59"/>
  <c r="V35" i="59"/>
  <c r="V78" i="59"/>
  <c r="V61" i="59"/>
  <c r="BA74" i="36"/>
  <c r="BA118" i="36"/>
  <c r="BA124" i="36" s="1"/>
  <c r="BB16" i="36"/>
  <c r="V74" i="36"/>
  <c r="W16" i="36"/>
  <c r="W118" i="36" s="1"/>
  <c r="W124" i="36" s="1"/>
  <c r="X12" i="36"/>
  <c r="BD11" i="36"/>
  <c r="W13" i="36"/>
  <c r="BC13" i="36" s="1"/>
  <c r="X8" i="36"/>
  <c r="Y11" i="36"/>
  <c r="Z3" i="36"/>
  <c r="Q73" i="55" l="1"/>
  <c r="AV73" i="55"/>
  <c r="DH73" i="55" s="1"/>
  <c r="R72" i="55"/>
  <c r="AW72" i="55"/>
  <c r="DI72" i="55" s="1"/>
  <c r="W78" i="59"/>
  <c r="W105" i="59"/>
  <c r="W35" i="59"/>
  <c r="W61" i="59"/>
  <c r="BC35" i="59"/>
  <c r="BC105" i="59"/>
  <c r="BC78" i="59"/>
  <c r="BC61" i="59"/>
  <c r="BD12" i="36"/>
  <c r="BD7" i="59" s="1"/>
  <c r="X7" i="59"/>
  <c r="BB74" i="36"/>
  <c r="BB118" i="36"/>
  <c r="BB124" i="36" s="1"/>
  <c r="X13" i="36"/>
  <c r="BD13" i="36" s="1"/>
  <c r="BC16" i="36"/>
  <c r="W74" i="36"/>
  <c r="Y12" i="36"/>
  <c r="BE11" i="36"/>
  <c r="X16" i="36"/>
  <c r="X118" i="36" s="1"/>
  <c r="X124" i="36" s="1"/>
  <c r="BD8" i="36"/>
  <c r="Y8" i="36"/>
  <c r="BE8" i="36" s="1"/>
  <c r="Z11" i="36"/>
  <c r="AA3" i="36"/>
  <c r="S72" i="55" l="1"/>
  <c r="AX72" i="55"/>
  <c r="DJ72" i="55" s="1"/>
  <c r="R73" i="55"/>
  <c r="AW73" i="55"/>
  <c r="DI73" i="55" s="1"/>
  <c r="BD105" i="59"/>
  <c r="BD78" i="59"/>
  <c r="BD35" i="59"/>
  <c r="BD61" i="59"/>
  <c r="BE12" i="36"/>
  <c r="BE7" i="59" s="1"/>
  <c r="Y7" i="59"/>
  <c r="X78" i="59"/>
  <c r="X105" i="59"/>
  <c r="X35" i="59"/>
  <c r="X61" i="59"/>
  <c r="BC74" i="36"/>
  <c r="BC118" i="36"/>
  <c r="BC124" i="36" s="1"/>
  <c r="Y13" i="36"/>
  <c r="BE13" i="36" s="1"/>
  <c r="BD16" i="36"/>
  <c r="X74" i="36"/>
  <c r="Y16" i="36"/>
  <c r="Y118" i="36" s="1"/>
  <c r="Y124" i="36" s="1"/>
  <c r="Z12" i="36"/>
  <c r="BF11" i="36"/>
  <c r="Z8" i="36"/>
  <c r="AA11" i="36"/>
  <c r="AB3" i="36"/>
  <c r="S73" i="55" l="1"/>
  <c r="AX73" i="55"/>
  <c r="DJ73" i="55" s="1"/>
  <c r="AY72" i="55"/>
  <c r="DK72" i="55" s="1"/>
  <c r="T72" i="55"/>
  <c r="BE78" i="59"/>
  <c r="BE105" i="59"/>
  <c r="BE35" i="59"/>
  <c r="BE61" i="59"/>
  <c r="Y35" i="59"/>
  <c r="Y105" i="59"/>
  <c r="Y78" i="59"/>
  <c r="Y61" i="59"/>
  <c r="BF12" i="36"/>
  <c r="BF7" i="59" s="1"/>
  <c r="Z7" i="59"/>
  <c r="BD74" i="36"/>
  <c r="BD118" i="36"/>
  <c r="BD124" i="36" s="1"/>
  <c r="BE16" i="36"/>
  <c r="Y74" i="36"/>
  <c r="Z13" i="36"/>
  <c r="BF13" i="36" s="1"/>
  <c r="AA12" i="36"/>
  <c r="BG11" i="36"/>
  <c r="Z16" i="36"/>
  <c r="Z118" i="36" s="1"/>
  <c r="Z124" i="36" s="1"/>
  <c r="BF8" i="36"/>
  <c r="AA8" i="36"/>
  <c r="BG8" i="36" s="1"/>
  <c r="AB11" i="36"/>
  <c r="AC3" i="36"/>
  <c r="U72" i="55" l="1"/>
  <c r="AZ72" i="55"/>
  <c r="DL72" i="55" s="1"/>
  <c r="T73" i="55"/>
  <c r="AY73" i="55"/>
  <c r="DK73" i="55" s="1"/>
  <c r="Z105" i="59"/>
  <c r="Z35" i="59"/>
  <c r="Z78" i="59"/>
  <c r="Z61" i="59"/>
  <c r="BG12" i="36"/>
  <c r="BG7" i="59" s="1"/>
  <c r="AA7" i="59"/>
  <c r="BF35" i="59"/>
  <c r="BF78" i="59"/>
  <c r="BF105" i="59"/>
  <c r="BF61" i="59"/>
  <c r="BE74" i="36"/>
  <c r="BE118" i="36"/>
  <c r="BE124" i="36" s="1"/>
  <c r="BF16" i="36"/>
  <c r="Z74" i="36"/>
  <c r="AA13" i="36"/>
  <c r="BG13" i="36" s="1"/>
  <c r="AA16" i="36"/>
  <c r="AA118" i="36" s="1"/>
  <c r="AA124" i="36" s="1"/>
  <c r="AB12" i="36"/>
  <c r="BH11" i="36"/>
  <c r="AB8" i="36"/>
  <c r="BH8" i="36" s="1"/>
  <c r="AC11" i="36"/>
  <c r="Y4" i="36"/>
  <c r="Z4" i="36"/>
  <c r="AD3" i="36"/>
  <c r="AA4" i="36"/>
  <c r="AB4" i="36"/>
  <c r="BH4" i="36" l="1"/>
  <c r="AA7" i="52"/>
  <c r="AZ73" i="55"/>
  <c r="DL73" i="55" s="1"/>
  <c r="U73" i="55"/>
  <c r="BF4" i="36"/>
  <c r="Y7" i="52"/>
  <c r="BG4" i="36"/>
  <c r="Z7" i="52"/>
  <c r="BE4" i="36"/>
  <c r="X7" i="52"/>
  <c r="V72" i="55"/>
  <c r="BA72" i="55"/>
  <c r="DM72" i="55" s="1"/>
  <c r="BG35" i="59"/>
  <c r="BG105" i="59"/>
  <c r="BG78" i="59"/>
  <c r="BG61" i="59"/>
  <c r="AA78" i="59"/>
  <c r="AA35" i="59"/>
  <c r="AA105" i="59"/>
  <c r="AA61" i="59"/>
  <c r="BH12" i="36"/>
  <c r="BH7" i="59" s="1"/>
  <c r="AB7" i="59"/>
  <c r="AB13" i="36"/>
  <c r="BH13" i="36" s="1"/>
  <c r="BF74" i="36"/>
  <c r="BF118" i="36"/>
  <c r="BF124" i="36" s="1"/>
  <c r="BG16" i="36"/>
  <c r="AA74" i="36"/>
  <c r="AC8" i="36"/>
  <c r="BI8" i="36" s="1"/>
  <c r="BI11" i="36"/>
  <c r="AB16" i="36"/>
  <c r="AB118" i="36" s="1"/>
  <c r="AB124" i="36" s="1"/>
  <c r="AC12" i="36"/>
  <c r="AD11" i="36"/>
  <c r="AE3" i="36"/>
  <c r="V73" i="55" l="1"/>
  <c r="BA73" i="55"/>
  <c r="DM73" i="55" s="1"/>
  <c r="W72" i="55"/>
  <c r="BB72" i="55"/>
  <c r="DN72" i="55" s="1"/>
  <c r="AB35" i="59"/>
  <c r="AB78" i="59"/>
  <c r="AB105" i="59"/>
  <c r="AB61" i="59"/>
  <c r="BH78" i="59"/>
  <c r="BH35" i="59"/>
  <c r="BH105" i="59"/>
  <c r="BH61" i="59"/>
  <c r="BI12" i="36"/>
  <c r="BI7" i="59" s="1"/>
  <c r="AC7" i="59"/>
  <c r="BG74" i="36"/>
  <c r="BG118" i="36"/>
  <c r="BG124" i="36" s="1"/>
  <c r="BH16" i="36"/>
  <c r="AB74" i="36"/>
  <c r="AD12" i="36"/>
  <c r="BJ11" i="36"/>
  <c r="AD8" i="36"/>
  <c r="BJ8" i="36" s="1"/>
  <c r="AC16" i="36"/>
  <c r="AC118" i="36" s="1"/>
  <c r="AC124" i="36" s="1"/>
  <c r="AC13" i="36"/>
  <c r="BI13" i="36" s="1"/>
  <c r="AE11" i="36"/>
  <c r="AF3" i="36"/>
  <c r="BC72" i="55" l="1"/>
  <c r="DO72" i="55" s="1"/>
  <c r="X72" i="55"/>
  <c r="W73" i="55"/>
  <c r="BB73" i="55"/>
  <c r="DN73" i="55" s="1"/>
  <c r="BI78" i="59"/>
  <c r="BI105" i="59"/>
  <c r="BI35" i="59"/>
  <c r="BI61" i="59"/>
  <c r="BJ12" i="36"/>
  <c r="BJ7" i="59" s="1"/>
  <c r="AD7" i="59"/>
  <c r="AC78" i="59"/>
  <c r="AC105" i="59"/>
  <c r="AC35" i="59"/>
  <c r="AC61" i="59"/>
  <c r="BH74" i="36"/>
  <c r="BH118" i="36"/>
  <c r="BH124" i="36" s="1"/>
  <c r="BI16" i="36"/>
  <c r="AC74" i="36"/>
  <c r="AD13" i="36"/>
  <c r="BJ13" i="36" s="1"/>
  <c r="AD16" i="36"/>
  <c r="AD118" i="36" s="1"/>
  <c r="AD124" i="36" s="1"/>
  <c r="AE8" i="36"/>
  <c r="BK8" i="36" s="1"/>
  <c r="BK11" i="36"/>
  <c r="AE12" i="36"/>
  <c r="AF11" i="36"/>
  <c r="AG3" i="36"/>
  <c r="BC73" i="55" l="1"/>
  <c r="DO73" i="55" s="1"/>
  <c r="X73" i="55"/>
  <c r="Y72" i="55"/>
  <c r="BD72" i="55"/>
  <c r="DP72" i="55" s="1"/>
  <c r="BK12" i="36"/>
  <c r="BK7" i="59" s="1"/>
  <c r="AE7" i="59"/>
  <c r="AD35" i="59"/>
  <c r="AD78" i="59"/>
  <c r="AD105" i="59"/>
  <c r="AD61" i="59"/>
  <c r="BJ35" i="59"/>
  <c r="BJ105" i="59"/>
  <c r="BJ78" i="59"/>
  <c r="BJ61" i="59"/>
  <c r="BI74" i="36"/>
  <c r="BI118" i="36"/>
  <c r="BI124" i="36" s="1"/>
  <c r="BJ16" i="36"/>
  <c r="AD74" i="36"/>
  <c r="AF12" i="36"/>
  <c r="BL11" i="36"/>
  <c r="AF8" i="36"/>
  <c r="AE16" i="36"/>
  <c r="AE118" i="36" s="1"/>
  <c r="AE124" i="36" s="1"/>
  <c r="AE13" i="36"/>
  <c r="BK13" i="36" s="1"/>
  <c r="AG11" i="36"/>
  <c r="AH3" i="36"/>
  <c r="Z72" i="55" l="1"/>
  <c r="BE72" i="55"/>
  <c r="DQ72" i="55" s="1"/>
  <c r="Y73" i="55"/>
  <c r="BD73" i="55"/>
  <c r="DP73" i="55" s="1"/>
  <c r="BL12" i="36"/>
  <c r="BL7" i="59" s="1"/>
  <c r="AF7" i="59"/>
  <c r="AE78" i="59"/>
  <c r="AE105" i="59"/>
  <c r="AE35" i="59"/>
  <c r="AE61" i="59"/>
  <c r="BK78" i="59"/>
  <c r="BK105" i="59"/>
  <c r="BK35" i="59"/>
  <c r="BK61" i="59"/>
  <c r="BJ74" i="36"/>
  <c r="BJ118" i="36"/>
  <c r="BJ124" i="36" s="1"/>
  <c r="BK16" i="36"/>
  <c r="AE74" i="36"/>
  <c r="AF13" i="36"/>
  <c r="BL13" i="36" s="1"/>
  <c r="AG8" i="36"/>
  <c r="BM8" i="36" s="1"/>
  <c r="BM11" i="36"/>
  <c r="AF16" i="36"/>
  <c r="AF118" i="36" s="1"/>
  <c r="AF124" i="36" s="1"/>
  <c r="BL8" i="36"/>
  <c r="AG12" i="36"/>
  <c r="AH11" i="36"/>
  <c r="Z5" i="36"/>
  <c r="R5" i="36"/>
  <c r="J5" i="36"/>
  <c r="U5" i="36"/>
  <c r="BS20" i="36"/>
  <c r="M5" i="36"/>
  <c r="AC5" i="36"/>
  <c r="E5" i="36"/>
  <c r="AD4" i="36"/>
  <c r="F5" i="36"/>
  <c r="I5" i="36"/>
  <c r="AF5" i="36"/>
  <c r="BL5" i="36" s="1"/>
  <c r="O5" i="36"/>
  <c r="AE5" i="36"/>
  <c r="BK5" i="36" s="1"/>
  <c r="L5" i="36"/>
  <c r="AB5" i="36"/>
  <c r="N5" i="36"/>
  <c r="Q5" i="36"/>
  <c r="S5" i="36"/>
  <c r="P5" i="36"/>
  <c r="T5" i="36"/>
  <c r="AF4" i="36"/>
  <c r="AE4" i="36"/>
  <c r="AG5" i="36"/>
  <c r="BM5" i="36" s="1"/>
  <c r="AG4" i="36"/>
  <c r="AA5" i="36"/>
  <c r="H5" i="36"/>
  <c r="X5" i="36"/>
  <c r="V5" i="36"/>
  <c r="Y5" i="36"/>
  <c r="G5" i="36"/>
  <c r="W5" i="36"/>
  <c r="AD5" i="36"/>
  <c r="BJ5" i="36" s="1"/>
  <c r="K5" i="36"/>
  <c r="BK4" i="36" l="1"/>
  <c r="AD7" i="52"/>
  <c r="BL4" i="36"/>
  <c r="AE7" i="52"/>
  <c r="BE73" i="55"/>
  <c r="DQ73" i="55" s="1"/>
  <c r="Z73" i="55"/>
  <c r="BM4" i="36"/>
  <c r="AF7" i="52"/>
  <c r="BJ4" i="36"/>
  <c r="AC7" i="52"/>
  <c r="BF72" i="55"/>
  <c r="DR72" i="55" s="1"/>
  <c r="AA72" i="55"/>
  <c r="BM12" i="36"/>
  <c r="BM7" i="59" s="1"/>
  <c r="AG7" i="59"/>
  <c r="AF105" i="59"/>
  <c r="AF35" i="59"/>
  <c r="AF78" i="59"/>
  <c r="AF61" i="59"/>
  <c r="BL78" i="59"/>
  <c r="BL35" i="59"/>
  <c r="BL105" i="59"/>
  <c r="BL61" i="59"/>
  <c r="BK74" i="36"/>
  <c r="BK118" i="36"/>
  <c r="BK124" i="36" s="1"/>
  <c r="BL16" i="36"/>
  <c r="AF74" i="36"/>
  <c r="AG13" i="36"/>
  <c r="BM13" i="36" s="1"/>
  <c r="Y6" i="36"/>
  <c r="BE5" i="36"/>
  <c r="AA6" i="36"/>
  <c r="BG5" i="36"/>
  <c r="Q6" i="36"/>
  <c r="AW5" i="36"/>
  <c r="F6" i="36"/>
  <c r="AL5" i="36"/>
  <c r="M6" i="36"/>
  <c r="AS5" i="36"/>
  <c r="R6" i="36"/>
  <c r="AX5" i="36"/>
  <c r="K6" i="36"/>
  <c r="AQ5" i="36"/>
  <c r="V6" i="36"/>
  <c r="BB5" i="36"/>
  <c r="T6" i="36"/>
  <c r="AZ5" i="36"/>
  <c r="N6" i="36"/>
  <c r="AT5" i="36"/>
  <c r="O6" i="36"/>
  <c r="AU5" i="36"/>
  <c r="Z6" i="36"/>
  <c r="BF5" i="36"/>
  <c r="W6" i="36"/>
  <c r="BC5" i="36"/>
  <c r="X6" i="36"/>
  <c r="BD5" i="36"/>
  <c r="P6" i="36"/>
  <c r="AV5" i="36"/>
  <c r="AB6" i="36"/>
  <c r="BH5" i="36"/>
  <c r="E6" i="36"/>
  <c r="AK5" i="36"/>
  <c r="U6" i="36"/>
  <c r="BA5" i="36"/>
  <c r="AG16" i="36"/>
  <c r="AG118" i="36" s="1"/>
  <c r="AG124" i="36" s="1"/>
  <c r="G6" i="36"/>
  <c r="AM5" i="36"/>
  <c r="H6" i="36"/>
  <c r="AN5" i="36"/>
  <c r="S6" i="36"/>
  <c r="AY5" i="36"/>
  <c r="L6" i="36"/>
  <c r="AR5" i="36"/>
  <c r="I6" i="36"/>
  <c r="AO5" i="36"/>
  <c r="AC6" i="36"/>
  <c r="BI5" i="36"/>
  <c r="J6" i="36"/>
  <c r="J7" i="36" s="1"/>
  <c r="AP5" i="36"/>
  <c r="AH12" i="36"/>
  <c r="BN11" i="36"/>
  <c r="AH8" i="36"/>
  <c r="AH9" i="36" s="1"/>
  <c r="AE6" i="36"/>
  <c r="AG6" i="36"/>
  <c r="AF6" i="36"/>
  <c r="BS18" i="36"/>
  <c r="AD6" i="36"/>
  <c r="AA73" i="55" l="1"/>
  <c r="BF73" i="55"/>
  <c r="DR73" i="55" s="1"/>
  <c r="BG72" i="55"/>
  <c r="DS72" i="55" s="1"/>
  <c r="AB72" i="55"/>
  <c r="AC7" i="36"/>
  <c r="G7" i="36"/>
  <c r="EF11" i="59"/>
  <c r="AH35" i="59"/>
  <c r="AH78" i="59"/>
  <c r="AH105" i="59"/>
  <c r="AH61" i="59"/>
  <c r="AG78" i="59"/>
  <c r="AG105" i="59"/>
  <c r="AG35" i="59"/>
  <c r="AG61" i="59"/>
  <c r="BM78" i="59"/>
  <c r="BM105" i="59"/>
  <c r="BM35" i="59"/>
  <c r="BM61" i="59"/>
  <c r="BL74" i="36"/>
  <c r="BL118" i="36"/>
  <c r="BL124" i="36" s="1"/>
  <c r="E7" i="36"/>
  <c r="E15" i="36" s="1"/>
  <c r="AK15" i="36" s="1"/>
  <c r="O7" i="36"/>
  <c r="K7" i="36"/>
  <c r="Q7" i="36"/>
  <c r="H7" i="36"/>
  <c r="AB7" i="36"/>
  <c r="X7" i="36"/>
  <c r="BD7" i="36" s="1"/>
  <c r="N7" i="36"/>
  <c r="R7" i="36"/>
  <c r="R15" i="36" s="1"/>
  <c r="AX15" i="36" s="1"/>
  <c r="P7" i="36"/>
  <c r="W7" i="36"/>
  <c r="T7" i="36"/>
  <c r="M7" i="36"/>
  <c r="Y7" i="36"/>
  <c r="L7" i="36"/>
  <c r="L9" i="36" s="1"/>
  <c r="I7" i="36"/>
  <c r="S7" i="36"/>
  <c r="BM16" i="36"/>
  <c r="AG74" i="36"/>
  <c r="AH17" i="36"/>
  <c r="AA7" i="36"/>
  <c r="V7" i="36"/>
  <c r="J9" i="36"/>
  <c r="G9" i="36"/>
  <c r="U7" i="36"/>
  <c r="F7" i="36"/>
  <c r="Z7" i="36"/>
  <c r="AC9" i="36"/>
  <c r="H9" i="36"/>
  <c r="AE14" i="36"/>
  <c r="BK14" i="36" s="1"/>
  <c r="BK6" i="36"/>
  <c r="AC15" i="36"/>
  <c r="BI15" i="36" s="1"/>
  <c r="BI7" i="36"/>
  <c r="AH14" i="36"/>
  <c r="BN12" i="36"/>
  <c r="BN7" i="59" s="1"/>
  <c r="EF20" i="59" s="1"/>
  <c r="AC14" i="36"/>
  <c r="BI14" i="36" s="1"/>
  <c r="BI6" i="36"/>
  <c r="L14" i="36"/>
  <c r="AR14" i="36" s="1"/>
  <c r="AR6" i="36"/>
  <c r="H14" i="36"/>
  <c r="AN14" i="36" s="1"/>
  <c r="AN6" i="36"/>
  <c r="AF14" i="36"/>
  <c r="BL14" i="36" s="1"/>
  <c r="BL6" i="36"/>
  <c r="U14" i="36"/>
  <c r="BA14" i="36" s="1"/>
  <c r="BA6" i="36"/>
  <c r="AB14" i="36"/>
  <c r="BH14" i="36" s="1"/>
  <c r="BH6" i="36"/>
  <c r="X14" i="36"/>
  <c r="BD14" i="36" s="1"/>
  <c r="BD6" i="36"/>
  <c r="Z14" i="36"/>
  <c r="BF14" i="36" s="1"/>
  <c r="BF6" i="36"/>
  <c r="N14" i="36"/>
  <c r="AT14" i="36" s="1"/>
  <c r="AT6" i="36"/>
  <c r="V14" i="36"/>
  <c r="BB14" i="36" s="1"/>
  <c r="BB6" i="36"/>
  <c r="R14" i="36"/>
  <c r="AX14" i="36" s="1"/>
  <c r="AX6" i="36"/>
  <c r="F14" i="36"/>
  <c r="AL14" i="36" s="1"/>
  <c r="AL6" i="36"/>
  <c r="AA14" i="36"/>
  <c r="BG14" i="36" s="1"/>
  <c r="BG6" i="36"/>
  <c r="AD14" i="36"/>
  <c r="BJ14" i="36" s="1"/>
  <c r="BJ6" i="36"/>
  <c r="H15" i="36"/>
  <c r="AN15" i="36" s="1"/>
  <c r="AG14" i="36"/>
  <c r="BM14" i="36" s="1"/>
  <c r="BM6" i="36"/>
  <c r="M15" i="36"/>
  <c r="AS15" i="36" s="1"/>
  <c r="AH16" i="36"/>
  <c r="AH118" i="36" s="1"/>
  <c r="AH124" i="36" s="1"/>
  <c r="BN8" i="36"/>
  <c r="BN9" i="36" s="1"/>
  <c r="J14" i="36"/>
  <c r="AP14" i="36" s="1"/>
  <c r="AP6" i="36"/>
  <c r="I14" i="36"/>
  <c r="AO14" i="36" s="1"/>
  <c r="AO6" i="36"/>
  <c r="S14" i="36"/>
  <c r="AY14" i="36" s="1"/>
  <c r="AY6" i="36"/>
  <c r="G14" i="36"/>
  <c r="AM14" i="36" s="1"/>
  <c r="AM6" i="36"/>
  <c r="J15" i="36"/>
  <c r="AP15" i="36" s="1"/>
  <c r="AP7" i="36"/>
  <c r="AY7" i="36"/>
  <c r="G15" i="36"/>
  <c r="AM15" i="36" s="1"/>
  <c r="AM7" i="36"/>
  <c r="E14" i="36"/>
  <c r="AK14" i="36" s="1"/>
  <c r="AK6" i="36"/>
  <c r="P14" i="36"/>
  <c r="AV14" i="36" s="1"/>
  <c r="AV6" i="36"/>
  <c r="W14" i="36"/>
  <c r="BC14" i="36" s="1"/>
  <c r="BC6" i="36"/>
  <c r="O14" i="36"/>
  <c r="AU14" i="36" s="1"/>
  <c r="AU6" i="36"/>
  <c r="T14" i="36"/>
  <c r="AZ14" i="36" s="1"/>
  <c r="AZ6" i="36"/>
  <c r="K14" i="36"/>
  <c r="AQ14" i="36" s="1"/>
  <c r="AQ6" i="36"/>
  <c r="M14" i="36"/>
  <c r="AS14" i="36" s="1"/>
  <c r="AS6" i="36"/>
  <c r="Q14" i="36"/>
  <c r="AW14" i="36" s="1"/>
  <c r="AW6" i="36"/>
  <c r="Y14" i="36"/>
  <c r="BE14" i="36" s="1"/>
  <c r="BE6" i="36"/>
  <c r="AF7" i="36"/>
  <c r="AD7" i="36"/>
  <c r="AG7" i="36"/>
  <c r="AE7" i="36"/>
  <c r="AH13" i="36"/>
  <c r="BN13" i="36" s="1"/>
  <c r="BH72" i="55" l="1"/>
  <c r="DT72" i="55" s="1"/>
  <c r="AC72" i="55"/>
  <c r="BG73" i="55"/>
  <c r="DS73" i="55" s="1"/>
  <c r="AB73" i="55"/>
  <c r="BN78" i="59"/>
  <c r="BN35" i="59"/>
  <c r="BN105" i="59"/>
  <c r="BN61" i="59"/>
  <c r="O9" i="36"/>
  <c r="BA7" i="36"/>
  <c r="T15" i="36"/>
  <c r="AZ15" i="36" s="1"/>
  <c r="AN7" i="36"/>
  <c r="AN9" i="36" s="1"/>
  <c r="R9" i="36"/>
  <c r="R17" i="36" s="1"/>
  <c r="AX17" i="36" s="1"/>
  <c r="BM74" i="36"/>
  <c r="BM118" i="36"/>
  <c r="BM124" i="36" s="1"/>
  <c r="W15" i="36"/>
  <c r="BC15" i="36" s="1"/>
  <c r="Q15" i="36"/>
  <c r="AW15" i="36" s="1"/>
  <c r="K9" i="36"/>
  <c r="K17" i="36" s="1"/>
  <c r="AQ17" i="36" s="1"/>
  <c r="I9" i="36"/>
  <c r="I17" i="36" s="1"/>
  <c r="AO17" i="36" s="1"/>
  <c r="AX7" i="36"/>
  <c r="AX9" i="36" s="1"/>
  <c r="AT7" i="36"/>
  <c r="AT9" i="36" s="1"/>
  <c r="AK7" i="36"/>
  <c r="P9" i="36"/>
  <c r="F15" i="36"/>
  <c r="AL15" i="36" s="1"/>
  <c r="AA15" i="36"/>
  <c r="BG15" i="36" s="1"/>
  <c r="L15" i="36"/>
  <c r="AR15" i="36" s="1"/>
  <c r="X9" i="36"/>
  <c r="S15" i="36"/>
  <c r="AY15" i="36" s="1"/>
  <c r="W9" i="36"/>
  <c r="W17" i="36" s="1"/>
  <c r="BC17" i="36" s="1"/>
  <c r="Y15" i="36"/>
  <c r="BE15" i="36" s="1"/>
  <c r="AB9" i="36"/>
  <c r="AB17" i="36" s="1"/>
  <c r="BH17" i="36" s="1"/>
  <c r="AU7" i="36"/>
  <c r="AU9" i="36" s="1"/>
  <c r="E9" i="36"/>
  <c r="E17" i="36" s="1"/>
  <c r="AK17" i="36" s="1"/>
  <c r="M9" i="36"/>
  <c r="AS7" i="36"/>
  <c r="O15" i="36"/>
  <c r="AU15" i="36" s="1"/>
  <c r="N9" i="36"/>
  <c r="N17" i="36" s="1"/>
  <c r="AT17" i="36" s="1"/>
  <c r="X15" i="36"/>
  <c r="BD15" i="36" s="1"/>
  <c r="T9" i="36"/>
  <c r="N15" i="36"/>
  <c r="AT15" i="36" s="1"/>
  <c r="AZ7" i="36"/>
  <c r="AQ7" i="36"/>
  <c r="K15" i="36"/>
  <c r="AQ15" i="36" s="1"/>
  <c r="Y9" i="36"/>
  <c r="AO7" i="36"/>
  <c r="S9" i="36"/>
  <c r="AV7" i="36"/>
  <c r="BH7" i="36"/>
  <c r="BH9" i="36" s="1"/>
  <c r="I15" i="36"/>
  <c r="AO15" i="36" s="1"/>
  <c r="P15" i="36"/>
  <c r="AV15" i="36" s="1"/>
  <c r="Q9" i="36"/>
  <c r="AB15" i="36"/>
  <c r="BH15" i="36" s="1"/>
  <c r="BE7" i="36"/>
  <c r="AW7" i="36"/>
  <c r="BN14" i="36"/>
  <c r="BC7" i="36"/>
  <c r="AR7" i="36"/>
  <c r="BN16" i="36"/>
  <c r="AH74" i="36"/>
  <c r="BI9" i="36"/>
  <c r="U15" i="36"/>
  <c r="BA15" i="36" s="1"/>
  <c r="BG7" i="36"/>
  <c r="V9" i="36"/>
  <c r="AG9" i="36"/>
  <c r="H17" i="36"/>
  <c r="AN17" i="36" s="1"/>
  <c r="AL7" i="36"/>
  <c r="U9" i="36"/>
  <c r="AA9" i="36"/>
  <c r="AF9" i="36"/>
  <c r="AC17" i="36"/>
  <c r="BI17" i="36" s="1"/>
  <c r="J17" i="36"/>
  <c r="AP17" i="36" s="1"/>
  <c r="AE9" i="36"/>
  <c r="Z9" i="36"/>
  <c r="G17" i="36"/>
  <c r="AM17" i="36" s="1"/>
  <c r="AD9" i="36"/>
  <c r="L17" i="36"/>
  <c r="AR17" i="36" s="1"/>
  <c r="BB7" i="36"/>
  <c r="V15" i="36"/>
  <c r="BB15" i="36" s="1"/>
  <c r="AK9" i="36"/>
  <c r="F9" i="36"/>
  <c r="BF7" i="36"/>
  <c r="Z15" i="36"/>
  <c r="BF15" i="36" s="1"/>
  <c r="AM9" i="36"/>
  <c r="AR9" i="36"/>
  <c r="AY9" i="36"/>
  <c r="AP9" i="36"/>
  <c r="BD9" i="36"/>
  <c r="BA9" i="36"/>
  <c r="AF15" i="36"/>
  <c r="BL15" i="36" s="1"/>
  <c r="BL7" i="36"/>
  <c r="AG15" i="36"/>
  <c r="BM15" i="36" s="1"/>
  <c r="BM7" i="36"/>
  <c r="AD15" i="36"/>
  <c r="BJ15" i="36" s="1"/>
  <c r="BJ7" i="36"/>
  <c r="AE15" i="36"/>
  <c r="BK15" i="36" s="1"/>
  <c r="BK7" i="36"/>
  <c r="BN17" i="36"/>
  <c r="AC73" i="55" l="1"/>
  <c r="BH73" i="55"/>
  <c r="DT73" i="55" s="1"/>
  <c r="AD72" i="55"/>
  <c r="BI72" i="55"/>
  <c r="DU72" i="55" s="1"/>
  <c r="O17" i="36"/>
  <c r="AU17" i="36" s="1"/>
  <c r="M17" i="36"/>
  <c r="AS17" i="36" s="1"/>
  <c r="P17" i="36"/>
  <c r="AV17" i="36" s="1"/>
  <c r="X17" i="36"/>
  <c r="BD17" i="36" s="1"/>
  <c r="T17" i="36"/>
  <c r="AZ17" i="36" s="1"/>
  <c r="AS9" i="36"/>
  <c r="AQ9" i="36"/>
  <c r="Q17" i="36"/>
  <c r="AW17" i="36" s="1"/>
  <c r="BC9" i="36"/>
  <c r="AZ9" i="36"/>
  <c r="BN74" i="36"/>
  <c r="BN118" i="36"/>
  <c r="BN124" i="36" s="1"/>
  <c r="AL9" i="36"/>
  <c r="BG9" i="36"/>
  <c r="AV9" i="36"/>
  <c r="AW9" i="36"/>
  <c r="S17" i="36"/>
  <c r="AY17" i="36" s="1"/>
  <c r="Y17" i="36"/>
  <c r="BE17" i="36" s="1"/>
  <c r="BE9" i="36"/>
  <c r="AO9" i="36"/>
  <c r="BF9" i="36"/>
  <c r="AA17" i="36"/>
  <c r="BG17" i="36" s="1"/>
  <c r="AF17" i="36"/>
  <c r="BL17" i="36" s="1"/>
  <c r="U17" i="36"/>
  <c r="BA17" i="36" s="1"/>
  <c r="BK9" i="36"/>
  <c r="BM9" i="36"/>
  <c r="F17" i="36"/>
  <c r="AL17" i="36" s="1"/>
  <c r="AD17" i="36"/>
  <c r="BJ17" i="36" s="1"/>
  <c r="Z17" i="36"/>
  <c r="BF17" i="36" s="1"/>
  <c r="AE17" i="36"/>
  <c r="BK17" i="36" s="1"/>
  <c r="V17" i="36"/>
  <c r="BB17" i="36" s="1"/>
  <c r="BJ9" i="36"/>
  <c r="BL9" i="36"/>
  <c r="BB9" i="36"/>
  <c r="AG17" i="36"/>
  <c r="BM17" i="36" s="1"/>
  <c r="BJ72" i="55" l="1"/>
  <c r="DV72" i="55" s="1"/>
  <c r="AE72" i="55"/>
  <c r="AD73" i="55"/>
  <c r="BI73" i="55"/>
  <c r="DU73" i="55" s="1"/>
  <c r="BR25" i="36"/>
  <c r="BJ73" i="55" l="1"/>
  <c r="DV73" i="55" s="1"/>
  <c r="AE73" i="55"/>
  <c r="AF72" i="55"/>
  <c r="BK72" i="55"/>
  <c r="DW72" i="55" s="1"/>
  <c r="BS33" i="36"/>
  <c r="BS35" i="36" s="1"/>
  <c r="BR29" i="36"/>
  <c r="AG72" i="55" l="1"/>
  <c r="BM72" i="55" s="1"/>
  <c r="DY72" i="55" s="1"/>
  <c r="BL72" i="55"/>
  <c r="DX72" i="55" s="1"/>
  <c r="BK73" i="55"/>
  <c r="DW73" i="55" s="1"/>
  <c r="AF73" i="55"/>
  <c r="BS29" i="36"/>
  <c r="BS19" i="36"/>
  <c r="BS21" i="36" s="1"/>
  <c r="BL73" i="55" l="1"/>
  <c r="DX73" i="55" s="1"/>
  <c r="AG73" i="55"/>
  <c r="BM73" i="55" s="1"/>
  <c r="DY73" i="55" s="1"/>
  <c r="BS25" i="36"/>
  <c r="AK188" i="29" l="1"/>
  <c r="AK186" i="29"/>
  <c r="AK187" i="29"/>
  <c r="AK185" i="29"/>
  <c r="D189" i="29"/>
  <c r="E189" i="29" s="1"/>
  <c r="D185" i="29"/>
  <c r="E185" i="29" s="1"/>
  <c r="D180" i="29"/>
  <c r="E180" i="29" s="1"/>
  <c r="F180" i="29" s="1"/>
  <c r="G180" i="29" s="1"/>
  <c r="H180" i="29" s="1"/>
  <c r="I180" i="29" s="1"/>
  <c r="J180" i="29" s="1"/>
  <c r="K180" i="29" s="1"/>
  <c r="L180" i="29" s="1"/>
  <c r="M180" i="29" s="1"/>
  <c r="N180" i="29" s="1"/>
  <c r="O180" i="29" s="1"/>
  <c r="P180" i="29" s="1"/>
  <c r="Q180" i="29" s="1"/>
  <c r="R180" i="29" s="1"/>
  <c r="S180" i="29" s="1"/>
  <c r="T180" i="29" s="1"/>
  <c r="U180" i="29" s="1"/>
  <c r="V180" i="29" s="1"/>
  <c r="W180" i="29" s="1"/>
  <c r="X180" i="29" s="1"/>
  <c r="Y180" i="29" s="1"/>
  <c r="Z180" i="29" s="1"/>
  <c r="AA180" i="29" s="1"/>
  <c r="AB180" i="29" s="1"/>
  <c r="AC180" i="29" s="1"/>
  <c r="AD180" i="29" s="1"/>
  <c r="AE180" i="29" s="1"/>
  <c r="AF180" i="29" s="1"/>
  <c r="AG180" i="29" s="1"/>
  <c r="D134" i="29"/>
  <c r="D133" i="29"/>
  <c r="D132" i="29"/>
  <c r="E132" i="29" s="1"/>
  <c r="D131" i="29"/>
  <c r="E131" i="29" s="1"/>
  <c r="F131" i="29" s="1"/>
  <c r="D130" i="29"/>
  <c r="D129" i="29"/>
  <c r="D128" i="29"/>
  <c r="E128" i="29" s="1"/>
  <c r="F128" i="29" s="1"/>
  <c r="G128" i="29" s="1"/>
  <c r="D127" i="29"/>
  <c r="E127" i="29" s="1"/>
  <c r="F127" i="29" s="1"/>
  <c r="G127" i="29" s="1"/>
  <c r="H127" i="29" s="1"/>
  <c r="I127" i="29" s="1"/>
  <c r="J127" i="29" s="1"/>
  <c r="K127" i="29" s="1"/>
  <c r="L127" i="29" s="1"/>
  <c r="M127" i="29" s="1"/>
  <c r="N127" i="29" s="1"/>
  <c r="O127" i="29" s="1"/>
  <c r="P127" i="29" s="1"/>
  <c r="Q127" i="29" s="1"/>
  <c r="R127" i="29" s="1"/>
  <c r="S127" i="29" s="1"/>
  <c r="T127" i="29" s="1"/>
  <c r="U127" i="29" s="1"/>
  <c r="V127" i="29" s="1"/>
  <c r="W127" i="29" s="1"/>
  <c r="X127" i="29" s="1"/>
  <c r="Y127" i="29" s="1"/>
  <c r="Z127" i="29" s="1"/>
  <c r="AA127" i="29" s="1"/>
  <c r="AB127" i="29" s="1"/>
  <c r="AC127" i="29" s="1"/>
  <c r="AD127" i="29" s="1"/>
  <c r="AE127" i="29" s="1"/>
  <c r="AF127" i="29" s="1"/>
  <c r="D126" i="29"/>
  <c r="E126" i="29" s="1"/>
  <c r="F126" i="29" s="1"/>
  <c r="G126" i="29" s="1"/>
  <c r="H126" i="29" s="1"/>
  <c r="I126" i="29" s="1"/>
  <c r="J126" i="29" s="1"/>
  <c r="K126" i="29" s="1"/>
  <c r="L126" i="29" s="1"/>
  <c r="M126" i="29" s="1"/>
  <c r="N126" i="29" s="1"/>
  <c r="O126" i="29" s="1"/>
  <c r="P126" i="29" s="1"/>
  <c r="Q126" i="29" s="1"/>
  <c r="R126" i="29" s="1"/>
  <c r="S126" i="29" s="1"/>
  <c r="T126" i="29" s="1"/>
  <c r="U126" i="29" s="1"/>
  <c r="V126" i="29" s="1"/>
  <c r="W126" i="29" s="1"/>
  <c r="X126" i="29" s="1"/>
  <c r="Y126" i="29" s="1"/>
  <c r="Z126" i="29" s="1"/>
  <c r="AA126" i="29" s="1"/>
  <c r="AB126" i="29" s="1"/>
  <c r="AC126" i="29" s="1"/>
  <c r="AD126" i="29" s="1"/>
  <c r="AE126" i="29" s="1"/>
  <c r="AF126" i="29" s="1"/>
  <c r="D125" i="29"/>
  <c r="D124" i="29"/>
  <c r="D123" i="29"/>
  <c r="E123" i="29" s="1"/>
  <c r="D122" i="29"/>
  <c r="E122" i="29" s="1"/>
  <c r="D121" i="29"/>
  <c r="E121" i="29" s="1"/>
  <c r="F121" i="29" s="1"/>
  <c r="G121" i="29" s="1"/>
  <c r="H121" i="29" s="1"/>
  <c r="I121" i="29" s="1"/>
  <c r="J121" i="29" s="1"/>
  <c r="K121" i="29" s="1"/>
  <c r="L121" i="29" s="1"/>
  <c r="M121" i="29" s="1"/>
  <c r="N121" i="29" s="1"/>
  <c r="O121" i="29" s="1"/>
  <c r="P121" i="29" s="1"/>
  <c r="Q121" i="29" s="1"/>
  <c r="R121" i="29" s="1"/>
  <c r="S121" i="29" s="1"/>
  <c r="T121" i="29" s="1"/>
  <c r="U121" i="29" s="1"/>
  <c r="V121" i="29" s="1"/>
  <c r="W121" i="29" s="1"/>
  <c r="X121" i="29" s="1"/>
  <c r="Y121" i="29" s="1"/>
  <c r="Z121" i="29" s="1"/>
  <c r="AA121" i="29" s="1"/>
  <c r="AB121" i="29" s="1"/>
  <c r="AC121" i="29" s="1"/>
  <c r="AD121" i="29" s="1"/>
  <c r="AE121" i="29" s="1"/>
  <c r="AF121" i="29" s="1"/>
  <c r="D120" i="29"/>
  <c r="E120" i="29" s="1"/>
  <c r="F120" i="29" s="1"/>
  <c r="G120" i="29" s="1"/>
  <c r="H120" i="29" s="1"/>
  <c r="I120" i="29" s="1"/>
  <c r="J120" i="29" s="1"/>
  <c r="K120" i="29" s="1"/>
  <c r="L120" i="29" s="1"/>
  <c r="M120" i="29" s="1"/>
  <c r="N120" i="29" s="1"/>
  <c r="O120" i="29" s="1"/>
  <c r="P120" i="29" s="1"/>
  <c r="Q120" i="29" s="1"/>
  <c r="R120" i="29" s="1"/>
  <c r="S120" i="29" s="1"/>
  <c r="T120" i="29" s="1"/>
  <c r="U120" i="29" s="1"/>
  <c r="V120" i="29" s="1"/>
  <c r="W120" i="29" s="1"/>
  <c r="X120" i="29" s="1"/>
  <c r="Y120" i="29" s="1"/>
  <c r="Z120" i="29" s="1"/>
  <c r="AA120" i="29" s="1"/>
  <c r="AB120" i="29" s="1"/>
  <c r="AC120" i="29" s="1"/>
  <c r="AD120" i="29" s="1"/>
  <c r="AE120" i="29" s="1"/>
  <c r="AF120" i="29" s="1"/>
  <c r="D119" i="29"/>
  <c r="E119" i="29" s="1"/>
  <c r="D118" i="29"/>
  <c r="E118" i="29" s="1"/>
  <c r="F118" i="29" s="1"/>
  <c r="G118" i="29" s="1"/>
  <c r="AG117" i="29"/>
  <c r="C117" i="29"/>
  <c r="D116" i="29"/>
  <c r="D117" i="29" s="1"/>
  <c r="D115" i="29"/>
  <c r="D113" i="29"/>
  <c r="D112" i="29"/>
  <c r="E112" i="29" s="1"/>
  <c r="D111" i="29"/>
  <c r="E111" i="29" s="1"/>
  <c r="F111" i="29" s="1"/>
  <c r="D110" i="29"/>
  <c r="D109" i="29"/>
  <c r="D108" i="29"/>
  <c r="E108" i="29" s="1"/>
  <c r="D107" i="29"/>
  <c r="E107" i="29" s="1"/>
  <c r="F107" i="29" s="1"/>
  <c r="G107" i="29" s="1"/>
  <c r="H107" i="29" s="1"/>
  <c r="I107" i="29" s="1"/>
  <c r="J107" i="29" s="1"/>
  <c r="K107" i="29" s="1"/>
  <c r="L107" i="29" s="1"/>
  <c r="M107" i="29" s="1"/>
  <c r="N107" i="29" s="1"/>
  <c r="O107" i="29" s="1"/>
  <c r="P107" i="29" s="1"/>
  <c r="Q107" i="29" s="1"/>
  <c r="R107" i="29" s="1"/>
  <c r="S107" i="29" s="1"/>
  <c r="T107" i="29" s="1"/>
  <c r="U107" i="29" s="1"/>
  <c r="V107" i="29" s="1"/>
  <c r="W107" i="29" s="1"/>
  <c r="X107" i="29" s="1"/>
  <c r="Y107" i="29" s="1"/>
  <c r="Z107" i="29" s="1"/>
  <c r="AA107" i="29" s="1"/>
  <c r="AB107" i="29" s="1"/>
  <c r="AC107" i="29" s="1"/>
  <c r="AD107" i="29" s="1"/>
  <c r="AE107" i="29" s="1"/>
  <c r="AF107" i="29" s="1"/>
  <c r="D199" i="28"/>
  <c r="E199" i="28" s="1"/>
  <c r="F199" i="28" s="1"/>
  <c r="F200" i="28" s="1"/>
  <c r="D194" i="28"/>
  <c r="E194" i="28" s="1"/>
  <c r="F194" i="28" s="1"/>
  <c r="G194" i="28" s="1"/>
  <c r="H194" i="28" s="1"/>
  <c r="I194" i="28" s="1"/>
  <c r="J194" i="28" s="1"/>
  <c r="K194" i="28" s="1"/>
  <c r="L194" i="28" s="1"/>
  <c r="M194" i="28" s="1"/>
  <c r="N194" i="28" s="1"/>
  <c r="O194" i="28" s="1"/>
  <c r="P194" i="28" s="1"/>
  <c r="Q194" i="28" s="1"/>
  <c r="R194" i="28" s="1"/>
  <c r="S194" i="28" s="1"/>
  <c r="T194" i="28" s="1"/>
  <c r="U194" i="28" s="1"/>
  <c r="V194" i="28" s="1"/>
  <c r="W194" i="28" s="1"/>
  <c r="X194" i="28" s="1"/>
  <c r="Y194" i="28" s="1"/>
  <c r="Z194" i="28" s="1"/>
  <c r="AA194" i="28" s="1"/>
  <c r="AB194" i="28" s="1"/>
  <c r="AC194" i="28" s="1"/>
  <c r="AD194" i="28" s="1"/>
  <c r="AE194" i="28" s="1"/>
  <c r="AF194" i="28" s="1"/>
  <c r="AG194" i="28" s="1"/>
  <c r="D148" i="28"/>
  <c r="E148" i="28" s="1"/>
  <c r="D147" i="28"/>
  <c r="D146" i="28"/>
  <c r="D145" i="28"/>
  <c r="D144" i="28"/>
  <c r="D143" i="28"/>
  <c r="D142" i="28"/>
  <c r="E142" i="28" s="1"/>
  <c r="F142" i="28" s="1"/>
  <c r="G142" i="28" s="1"/>
  <c r="H142" i="28" s="1"/>
  <c r="I142" i="28" s="1"/>
  <c r="J142" i="28" s="1"/>
  <c r="K142" i="28" s="1"/>
  <c r="L142" i="28" s="1"/>
  <c r="M142" i="28" s="1"/>
  <c r="N142" i="28" s="1"/>
  <c r="O142" i="28" s="1"/>
  <c r="P142" i="28" s="1"/>
  <c r="Q142" i="28" s="1"/>
  <c r="R142" i="28" s="1"/>
  <c r="S142" i="28" s="1"/>
  <c r="T142" i="28" s="1"/>
  <c r="U142" i="28" s="1"/>
  <c r="V142" i="28" s="1"/>
  <c r="W142" i="28" s="1"/>
  <c r="X142" i="28" s="1"/>
  <c r="Y142" i="28" s="1"/>
  <c r="Z142" i="28" s="1"/>
  <c r="AA142" i="28" s="1"/>
  <c r="AB142" i="28" s="1"/>
  <c r="AC142" i="28" s="1"/>
  <c r="AD142" i="28" s="1"/>
  <c r="AE142" i="28" s="1"/>
  <c r="AF142" i="28" s="1"/>
  <c r="D141" i="28"/>
  <c r="E141" i="28" s="1"/>
  <c r="F141" i="28" s="1"/>
  <c r="G141" i="28" s="1"/>
  <c r="H141" i="28" s="1"/>
  <c r="I141" i="28" s="1"/>
  <c r="J141" i="28" s="1"/>
  <c r="K141" i="28" s="1"/>
  <c r="L141" i="28" s="1"/>
  <c r="M141" i="28" s="1"/>
  <c r="N141" i="28" s="1"/>
  <c r="O141" i="28" s="1"/>
  <c r="P141" i="28" s="1"/>
  <c r="Q141" i="28" s="1"/>
  <c r="R141" i="28" s="1"/>
  <c r="S141" i="28" s="1"/>
  <c r="T141" i="28" s="1"/>
  <c r="U141" i="28" s="1"/>
  <c r="V141" i="28" s="1"/>
  <c r="W141" i="28" s="1"/>
  <c r="X141" i="28" s="1"/>
  <c r="Y141" i="28" s="1"/>
  <c r="Z141" i="28" s="1"/>
  <c r="AA141" i="28" s="1"/>
  <c r="AB141" i="28" s="1"/>
  <c r="AC141" i="28" s="1"/>
  <c r="AD141" i="28" s="1"/>
  <c r="AE141" i="28" s="1"/>
  <c r="AF141" i="28" s="1"/>
  <c r="D140" i="28"/>
  <c r="E140" i="28" s="1"/>
  <c r="F140" i="28" s="1"/>
  <c r="G140" i="28" s="1"/>
  <c r="H140" i="28" s="1"/>
  <c r="I140" i="28" s="1"/>
  <c r="J140" i="28" s="1"/>
  <c r="K140" i="28" s="1"/>
  <c r="L140" i="28" s="1"/>
  <c r="M140" i="28" s="1"/>
  <c r="N140" i="28" s="1"/>
  <c r="O140" i="28" s="1"/>
  <c r="P140" i="28" s="1"/>
  <c r="Q140" i="28" s="1"/>
  <c r="R140" i="28" s="1"/>
  <c r="S140" i="28" s="1"/>
  <c r="T140" i="28" s="1"/>
  <c r="U140" i="28" s="1"/>
  <c r="V140" i="28" s="1"/>
  <c r="W140" i="28" s="1"/>
  <c r="X140" i="28" s="1"/>
  <c r="Y140" i="28" s="1"/>
  <c r="Z140" i="28" s="1"/>
  <c r="AA140" i="28" s="1"/>
  <c r="AB140" i="28" s="1"/>
  <c r="AC140" i="28" s="1"/>
  <c r="AD140" i="28" s="1"/>
  <c r="AE140" i="28" s="1"/>
  <c r="AF140" i="28" s="1"/>
  <c r="D139" i="28"/>
  <c r="D138" i="28"/>
  <c r="E138" i="28" s="1"/>
  <c r="D137" i="28"/>
  <c r="E137" i="28" s="1"/>
  <c r="D136" i="28"/>
  <c r="E136" i="28" s="1"/>
  <c r="D135" i="28"/>
  <c r="E135" i="28" s="1"/>
  <c r="F135" i="28" s="1"/>
  <c r="G135" i="28" s="1"/>
  <c r="H135" i="28" s="1"/>
  <c r="I135" i="28" s="1"/>
  <c r="J135" i="28" s="1"/>
  <c r="K135" i="28" s="1"/>
  <c r="L135" i="28" s="1"/>
  <c r="M135" i="28" s="1"/>
  <c r="N135" i="28" s="1"/>
  <c r="O135" i="28" s="1"/>
  <c r="P135" i="28" s="1"/>
  <c r="Q135" i="28" s="1"/>
  <c r="R135" i="28" s="1"/>
  <c r="S135" i="28" s="1"/>
  <c r="T135" i="28" s="1"/>
  <c r="U135" i="28" s="1"/>
  <c r="V135" i="28" s="1"/>
  <c r="W135" i="28" s="1"/>
  <c r="X135" i="28" s="1"/>
  <c r="Y135" i="28" s="1"/>
  <c r="Z135" i="28" s="1"/>
  <c r="AA135" i="28" s="1"/>
  <c r="AB135" i="28" s="1"/>
  <c r="AC135" i="28" s="1"/>
  <c r="AD135" i="28" s="1"/>
  <c r="AE135" i="28" s="1"/>
  <c r="AF135" i="28" s="1"/>
  <c r="D134" i="28"/>
  <c r="E134" i="28" s="1"/>
  <c r="F134" i="28" s="1"/>
  <c r="G134" i="28" s="1"/>
  <c r="H134" i="28" s="1"/>
  <c r="I134" i="28" s="1"/>
  <c r="J134" i="28" s="1"/>
  <c r="K134" i="28" s="1"/>
  <c r="L134" i="28" s="1"/>
  <c r="M134" i="28" s="1"/>
  <c r="N134" i="28" s="1"/>
  <c r="O134" i="28" s="1"/>
  <c r="P134" i="28" s="1"/>
  <c r="Q134" i="28" s="1"/>
  <c r="R134" i="28" s="1"/>
  <c r="S134" i="28" s="1"/>
  <c r="T134" i="28" s="1"/>
  <c r="U134" i="28" s="1"/>
  <c r="V134" i="28" s="1"/>
  <c r="W134" i="28" s="1"/>
  <c r="X134" i="28" s="1"/>
  <c r="Y134" i="28" s="1"/>
  <c r="Z134" i="28" s="1"/>
  <c r="AA134" i="28" s="1"/>
  <c r="AB134" i="28" s="1"/>
  <c r="AC134" i="28" s="1"/>
  <c r="AD134" i="28" s="1"/>
  <c r="AE134" i="28" s="1"/>
  <c r="AF134" i="28" s="1"/>
  <c r="D133" i="28"/>
  <c r="E133" i="28" s="1"/>
  <c r="F133" i="28" s="1"/>
  <c r="D132" i="28"/>
  <c r="E132" i="28" s="1"/>
  <c r="AG131" i="28"/>
  <c r="C131" i="28"/>
  <c r="D130" i="28"/>
  <c r="D131" i="28" s="1"/>
  <c r="D129" i="28"/>
  <c r="E129" i="28" s="1"/>
  <c r="D127" i="28"/>
  <c r="D126" i="28"/>
  <c r="E126" i="28" s="1"/>
  <c r="D125" i="28"/>
  <c r="D124" i="28"/>
  <c r="D123" i="28"/>
  <c r="D122" i="28"/>
  <c r="D121" i="28"/>
  <c r="E121" i="28" s="1"/>
  <c r="F121" i="28" s="1"/>
  <c r="G121" i="28" s="1"/>
  <c r="H121" i="28" s="1"/>
  <c r="I121" i="28" s="1"/>
  <c r="J121" i="28" s="1"/>
  <c r="K121" i="28" s="1"/>
  <c r="L121" i="28" s="1"/>
  <c r="M121" i="28" s="1"/>
  <c r="N121" i="28" s="1"/>
  <c r="O121" i="28" s="1"/>
  <c r="P121" i="28" s="1"/>
  <c r="Q121" i="28" s="1"/>
  <c r="R121" i="28" s="1"/>
  <c r="S121" i="28" s="1"/>
  <c r="T121" i="28" s="1"/>
  <c r="U121" i="28" s="1"/>
  <c r="V121" i="28" s="1"/>
  <c r="W121" i="28" s="1"/>
  <c r="X121" i="28" s="1"/>
  <c r="Y121" i="28" s="1"/>
  <c r="Z121" i="28" s="1"/>
  <c r="AA121" i="28" s="1"/>
  <c r="AB121" i="28" s="1"/>
  <c r="AC121" i="28" s="1"/>
  <c r="AD121" i="28" s="1"/>
  <c r="AE121" i="28" s="1"/>
  <c r="AF121" i="28" s="1"/>
  <c r="A165" i="12"/>
  <c r="A164" i="12"/>
  <c r="D301" i="20"/>
  <c r="E301" i="20" s="1"/>
  <c r="F301" i="20" s="1"/>
  <c r="G301" i="20" s="1"/>
  <c r="H301" i="20" s="1"/>
  <c r="I301" i="20" s="1"/>
  <c r="J301" i="20" s="1"/>
  <c r="K301" i="20" s="1"/>
  <c r="L301" i="20" s="1"/>
  <c r="M301" i="20" s="1"/>
  <c r="N301" i="20" s="1"/>
  <c r="O301" i="20" s="1"/>
  <c r="P301" i="20" s="1"/>
  <c r="Q301" i="20" s="1"/>
  <c r="R301" i="20" s="1"/>
  <c r="S301" i="20" s="1"/>
  <c r="T301" i="20" s="1"/>
  <c r="U301" i="20" s="1"/>
  <c r="V301" i="20" s="1"/>
  <c r="W301" i="20" s="1"/>
  <c r="X301" i="20" s="1"/>
  <c r="Y301" i="20" s="1"/>
  <c r="Z301" i="20" s="1"/>
  <c r="AA301" i="20" s="1"/>
  <c r="AB301" i="20" s="1"/>
  <c r="AC301" i="20" s="1"/>
  <c r="AD301" i="20" s="1"/>
  <c r="AE301" i="20" s="1"/>
  <c r="AF301" i="20" s="1"/>
  <c r="AG301" i="20" s="1"/>
  <c r="AK265" i="19"/>
  <c r="AK266" i="19"/>
  <c r="AK267" i="19"/>
  <c r="AK264" i="19"/>
  <c r="D264" i="19"/>
  <c r="E264" i="19" s="1"/>
  <c r="D259" i="19"/>
  <c r="E259" i="19" s="1"/>
  <c r="F259" i="19" s="1"/>
  <c r="G259" i="19" s="1"/>
  <c r="H259" i="19" s="1"/>
  <c r="I259" i="19" s="1"/>
  <c r="J259" i="19" s="1"/>
  <c r="K259" i="19" s="1"/>
  <c r="L259" i="19" s="1"/>
  <c r="M259" i="19" s="1"/>
  <c r="N259" i="19" s="1"/>
  <c r="O259" i="19" s="1"/>
  <c r="P259" i="19" s="1"/>
  <c r="Q259" i="19" s="1"/>
  <c r="R259" i="19" s="1"/>
  <c r="S259" i="19" s="1"/>
  <c r="T259" i="19" s="1"/>
  <c r="U259" i="19" s="1"/>
  <c r="V259" i="19" s="1"/>
  <c r="W259" i="19" s="1"/>
  <c r="X259" i="19" s="1"/>
  <c r="Y259" i="19" s="1"/>
  <c r="Z259" i="19" s="1"/>
  <c r="AA259" i="19" s="1"/>
  <c r="AB259" i="19" s="1"/>
  <c r="AC259" i="19" s="1"/>
  <c r="AD259" i="19" s="1"/>
  <c r="AE259" i="19" s="1"/>
  <c r="AF259" i="19" s="1"/>
  <c r="AG259" i="19" s="1"/>
  <c r="D213" i="19"/>
  <c r="D212" i="19"/>
  <c r="D211" i="19"/>
  <c r="D210" i="19"/>
  <c r="D209" i="19"/>
  <c r="D208" i="19"/>
  <c r="D207" i="19"/>
  <c r="E207" i="19" s="1"/>
  <c r="F207" i="19" s="1"/>
  <c r="G207" i="19" s="1"/>
  <c r="D206" i="19"/>
  <c r="E206" i="19" s="1"/>
  <c r="F206" i="19" s="1"/>
  <c r="G206" i="19" s="1"/>
  <c r="H206" i="19" s="1"/>
  <c r="I206" i="19" s="1"/>
  <c r="J206" i="19" s="1"/>
  <c r="K206" i="19" s="1"/>
  <c r="L206" i="19" s="1"/>
  <c r="M206" i="19" s="1"/>
  <c r="N206" i="19" s="1"/>
  <c r="O206" i="19" s="1"/>
  <c r="P206" i="19" s="1"/>
  <c r="Q206" i="19" s="1"/>
  <c r="R206" i="19" s="1"/>
  <c r="S206" i="19" s="1"/>
  <c r="T206" i="19" s="1"/>
  <c r="U206" i="19" s="1"/>
  <c r="V206" i="19" s="1"/>
  <c r="W206" i="19" s="1"/>
  <c r="X206" i="19" s="1"/>
  <c r="Y206" i="19" s="1"/>
  <c r="Z206" i="19" s="1"/>
  <c r="AA206" i="19" s="1"/>
  <c r="AB206" i="19" s="1"/>
  <c r="AC206" i="19" s="1"/>
  <c r="AD206" i="19" s="1"/>
  <c r="AE206" i="19" s="1"/>
  <c r="AF206" i="19" s="1"/>
  <c r="D205" i="19"/>
  <c r="E205" i="19" s="1"/>
  <c r="F205" i="19" s="1"/>
  <c r="G205" i="19" s="1"/>
  <c r="H205" i="19" s="1"/>
  <c r="I205" i="19" s="1"/>
  <c r="J205" i="19" s="1"/>
  <c r="K205" i="19" s="1"/>
  <c r="L205" i="19" s="1"/>
  <c r="M205" i="19" s="1"/>
  <c r="N205" i="19" s="1"/>
  <c r="O205" i="19" s="1"/>
  <c r="P205" i="19" s="1"/>
  <c r="Q205" i="19" s="1"/>
  <c r="R205" i="19" s="1"/>
  <c r="S205" i="19" s="1"/>
  <c r="T205" i="19" s="1"/>
  <c r="U205" i="19" s="1"/>
  <c r="V205" i="19" s="1"/>
  <c r="W205" i="19" s="1"/>
  <c r="X205" i="19" s="1"/>
  <c r="Y205" i="19" s="1"/>
  <c r="Z205" i="19" s="1"/>
  <c r="AA205" i="19" s="1"/>
  <c r="AB205" i="19" s="1"/>
  <c r="AC205" i="19" s="1"/>
  <c r="AD205" i="19" s="1"/>
  <c r="AE205" i="19" s="1"/>
  <c r="AF205" i="19" s="1"/>
  <c r="D204" i="19"/>
  <c r="E204" i="19" s="1"/>
  <c r="D203" i="19"/>
  <c r="E203" i="19" s="1"/>
  <c r="F203" i="19" s="1"/>
  <c r="D202" i="19"/>
  <c r="D201" i="19"/>
  <c r="D200" i="19"/>
  <c r="E200" i="19" s="1"/>
  <c r="F200" i="19" s="1"/>
  <c r="G200" i="19" s="1"/>
  <c r="H200" i="19" s="1"/>
  <c r="I200" i="19" s="1"/>
  <c r="J200" i="19" s="1"/>
  <c r="K200" i="19" s="1"/>
  <c r="L200" i="19" s="1"/>
  <c r="M200" i="19" s="1"/>
  <c r="N200" i="19" s="1"/>
  <c r="O200" i="19" s="1"/>
  <c r="P200" i="19" s="1"/>
  <c r="Q200" i="19" s="1"/>
  <c r="R200" i="19" s="1"/>
  <c r="S200" i="19" s="1"/>
  <c r="T200" i="19" s="1"/>
  <c r="U200" i="19" s="1"/>
  <c r="V200" i="19" s="1"/>
  <c r="W200" i="19" s="1"/>
  <c r="X200" i="19" s="1"/>
  <c r="Y200" i="19" s="1"/>
  <c r="Z200" i="19" s="1"/>
  <c r="AA200" i="19" s="1"/>
  <c r="AB200" i="19" s="1"/>
  <c r="AC200" i="19" s="1"/>
  <c r="AD200" i="19" s="1"/>
  <c r="AE200" i="19" s="1"/>
  <c r="AF200" i="19" s="1"/>
  <c r="D199" i="19"/>
  <c r="E199" i="19" s="1"/>
  <c r="F199" i="19" s="1"/>
  <c r="G199" i="19" s="1"/>
  <c r="H199" i="19" s="1"/>
  <c r="I199" i="19" s="1"/>
  <c r="J199" i="19" s="1"/>
  <c r="K199" i="19" s="1"/>
  <c r="L199" i="19" s="1"/>
  <c r="M199" i="19" s="1"/>
  <c r="N199" i="19" s="1"/>
  <c r="O199" i="19" s="1"/>
  <c r="P199" i="19" s="1"/>
  <c r="Q199" i="19" s="1"/>
  <c r="R199" i="19" s="1"/>
  <c r="S199" i="19" s="1"/>
  <c r="T199" i="19" s="1"/>
  <c r="U199" i="19" s="1"/>
  <c r="V199" i="19" s="1"/>
  <c r="W199" i="19" s="1"/>
  <c r="X199" i="19" s="1"/>
  <c r="Y199" i="19" s="1"/>
  <c r="Z199" i="19" s="1"/>
  <c r="AA199" i="19" s="1"/>
  <c r="AB199" i="19" s="1"/>
  <c r="AC199" i="19" s="1"/>
  <c r="AD199" i="19" s="1"/>
  <c r="AE199" i="19" s="1"/>
  <c r="AF199" i="19" s="1"/>
  <c r="D198" i="19"/>
  <c r="D197" i="19"/>
  <c r="AG196" i="19"/>
  <c r="C196" i="19"/>
  <c r="D195" i="19"/>
  <c r="D194" i="19"/>
  <c r="E194" i="19" s="1"/>
  <c r="F194" i="19" s="1"/>
  <c r="G194" i="19" s="1"/>
  <c r="H194" i="19" s="1"/>
  <c r="I194" i="19" s="1"/>
  <c r="J194" i="19" s="1"/>
  <c r="K194" i="19" s="1"/>
  <c r="L194" i="19" s="1"/>
  <c r="M194" i="19" s="1"/>
  <c r="N194" i="19" s="1"/>
  <c r="O194" i="19" s="1"/>
  <c r="P194" i="19" s="1"/>
  <c r="Q194" i="19" s="1"/>
  <c r="R194" i="19" s="1"/>
  <c r="S194" i="19" s="1"/>
  <c r="T194" i="19" s="1"/>
  <c r="U194" i="19" s="1"/>
  <c r="V194" i="19" s="1"/>
  <c r="W194" i="19" s="1"/>
  <c r="X194" i="19" s="1"/>
  <c r="Y194" i="19" s="1"/>
  <c r="Z194" i="19" s="1"/>
  <c r="AA194" i="19" s="1"/>
  <c r="AB194" i="19" s="1"/>
  <c r="AC194" i="19" s="1"/>
  <c r="AD194" i="19" s="1"/>
  <c r="AE194" i="19" s="1"/>
  <c r="AF194" i="19" s="1"/>
  <c r="D192" i="19"/>
  <c r="D191" i="19"/>
  <c r="D190" i="19"/>
  <c r="E190" i="19" s="1"/>
  <c r="D189" i="19"/>
  <c r="D188" i="19"/>
  <c r="D187" i="19"/>
  <c r="D186" i="19"/>
  <c r="E186" i="19" s="1"/>
  <c r="F186" i="19" s="1"/>
  <c r="G186" i="19" s="1"/>
  <c r="H186" i="19" s="1"/>
  <c r="I186" i="19" s="1"/>
  <c r="J186" i="19" s="1"/>
  <c r="K186" i="19" s="1"/>
  <c r="L186" i="19" s="1"/>
  <c r="M186" i="19" s="1"/>
  <c r="N186" i="19" s="1"/>
  <c r="O186" i="19" s="1"/>
  <c r="P186" i="19" s="1"/>
  <c r="Q186" i="19" s="1"/>
  <c r="R186" i="19" s="1"/>
  <c r="S186" i="19" s="1"/>
  <c r="T186" i="19" s="1"/>
  <c r="U186" i="19" s="1"/>
  <c r="V186" i="19" s="1"/>
  <c r="W186" i="19" s="1"/>
  <c r="X186" i="19" s="1"/>
  <c r="Y186" i="19" s="1"/>
  <c r="Z186" i="19" s="1"/>
  <c r="AA186" i="19" s="1"/>
  <c r="AB186" i="19" s="1"/>
  <c r="AC186" i="19" s="1"/>
  <c r="AD186" i="19" s="1"/>
  <c r="AE186" i="19" s="1"/>
  <c r="AF186" i="19" s="1"/>
  <c r="AI54" i="34"/>
  <c r="AI55" i="34"/>
  <c r="AI56" i="34"/>
  <c r="AI57" i="34"/>
  <c r="AI49" i="34"/>
  <c r="AI50" i="34"/>
  <c r="AI51" i="34"/>
  <c r="E99" i="34"/>
  <c r="E100" i="34"/>
  <c r="E94" i="34"/>
  <c r="E95" i="34"/>
  <c r="E89" i="34"/>
  <c r="E90" i="34"/>
  <c r="E65" i="34"/>
  <c r="E67" i="34"/>
  <c r="E60" i="34"/>
  <c r="E62" i="34"/>
  <c r="E55" i="34"/>
  <c r="F55" i="34" s="1"/>
  <c r="G55" i="34" s="1"/>
  <c r="H55" i="34" s="1"/>
  <c r="I55" i="34" s="1"/>
  <c r="J55" i="34" s="1"/>
  <c r="K55" i="34" s="1"/>
  <c r="L55" i="34" s="1"/>
  <c r="M55" i="34" s="1"/>
  <c r="N55" i="34" s="1"/>
  <c r="O55" i="34" s="1"/>
  <c r="P55" i="34" s="1"/>
  <c r="Q55" i="34" s="1"/>
  <c r="R55" i="34" s="1"/>
  <c r="S55" i="34" s="1"/>
  <c r="T55" i="34" s="1"/>
  <c r="U55" i="34" s="1"/>
  <c r="V55" i="34" s="1"/>
  <c r="W55" i="34" s="1"/>
  <c r="X55" i="34" s="1"/>
  <c r="Y55" i="34" s="1"/>
  <c r="Z55" i="34" s="1"/>
  <c r="AA55" i="34" s="1"/>
  <c r="AB55" i="34" s="1"/>
  <c r="AC55" i="34" s="1"/>
  <c r="AD55" i="34" s="1"/>
  <c r="AE55" i="34" s="1"/>
  <c r="AF55" i="34" s="1"/>
  <c r="AG55" i="34" s="1"/>
  <c r="AH55" i="34" s="1"/>
  <c r="E57" i="34"/>
  <c r="E50" i="34"/>
  <c r="E52" i="34"/>
  <c r="AI53" i="34"/>
  <c r="AI48" i="34"/>
  <c r="E98" i="34"/>
  <c r="E93" i="34"/>
  <c r="E88" i="34"/>
  <c r="E45" i="34"/>
  <c r="E47" i="34"/>
  <c r="F42" i="34"/>
  <c r="G42" i="34" s="1"/>
  <c r="H42" i="34" s="1"/>
  <c r="I42" i="34" s="1"/>
  <c r="J42" i="34" s="1"/>
  <c r="K42" i="34" s="1"/>
  <c r="L42" i="34" s="1"/>
  <c r="M42" i="34" s="1"/>
  <c r="N42" i="34" s="1"/>
  <c r="O42" i="34" s="1"/>
  <c r="P42" i="34" s="1"/>
  <c r="Q42" i="34" s="1"/>
  <c r="R42" i="34" s="1"/>
  <c r="S42" i="34" s="1"/>
  <c r="T42" i="34" s="1"/>
  <c r="U42" i="34" s="1"/>
  <c r="V42" i="34" s="1"/>
  <c r="W42" i="34" s="1"/>
  <c r="X42" i="34" s="1"/>
  <c r="Y42" i="34" s="1"/>
  <c r="Z42" i="34" s="1"/>
  <c r="AA42" i="34" s="1"/>
  <c r="AB42" i="34" s="1"/>
  <c r="AC42" i="34" s="1"/>
  <c r="AD42" i="34" s="1"/>
  <c r="AE42" i="34" s="1"/>
  <c r="AF42" i="34" s="1"/>
  <c r="AG42" i="34" s="1"/>
  <c r="AH42" i="34" s="1"/>
  <c r="AI42" i="34" s="1"/>
  <c r="O8" i="34"/>
  <c r="AB19" i="34"/>
  <c r="AA15" i="34"/>
  <c r="Z15" i="34"/>
  <c r="Y15" i="34"/>
  <c r="X15" i="34"/>
  <c r="W15" i="34"/>
  <c r="V15" i="34"/>
  <c r="AA14" i="34"/>
  <c r="Z21" i="34" s="1"/>
  <c r="Z14" i="34"/>
  <c r="Y14" i="34"/>
  <c r="X14" i="34"/>
  <c r="W14" i="34"/>
  <c r="V14" i="34"/>
  <c r="AA13" i="34"/>
  <c r="Z13" i="34"/>
  <c r="Y13" i="34"/>
  <c r="X13" i="34"/>
  <c r="W13" i="34"/>
  <c r="V13" i="34"/>
  <c r="AA12" i="34"/>
  <c r="Z12" i="34"/>
  <c r="Y12" i="34"/>
  <c r="X12" i="34"/>
  <c r="W12" i="34"/>
  <c r="V12" i="34"/>
  <c r="T15" i="33"/>
  <c r="T14" i="33"/>
  <c r="T13" i="33"/>
  <c r="T12" i="33"/>
  <c r="S15" i="33"/>
  <c r="S14" i="33"/>
  <c r="S13" i="33"/>
  <c r="S12" i="33"/>
  <c r="R15" i="33"/>
  <c r="R14" i="33"/>
  <c r="R13" i="33"/>
  <c r="R12" i="33"/>
  <c r="Q15" i="33"/>
  <c r="Q14" i="33"/>
  <c r="Q13" i="33"/>
  <c r="Q12" i="33"/>
  <c r="P15" i="33"/>
  <c r="P14" i="33"/>
  <c r="P13" i="33"/>
  <c r="P12" i="33"/>
  <c r="O15" i="33"/>
  <c r="O14" i="33"/>
  <c r="O13" i="33"/>
  <c r="O12" i="33"/>
  <c r="K106" i="33"/>
  <c r="K103" i="33"/>
  <c r="K105" i="33"/>
  <c r="K104" i="33"/>
  <c r="D64" i="33"/>
  <c r="R61" i="33"/>
  <c r="R60" i="33"/>
  <c r="N62" i="33"/>
  <c r="P61" i="33"/>
  <c r="P60" i="33"/>
  <c r="S61" i="33"/>
  <c r="S60" i="33"/>
  <c r="C57" i="33"/>
  <c r="C64" i="33" s="1"/>
  <c r="J30" i="33"/>
  <c r="J21" i="33"/>
  <c r="J23" i="33"/>
  <c r="Z5" i="33"/>
  <c r="Z6" i="33"/>
  <c r="Z7" i="33"/>
  <c r="Z8" i="33"/>
  <c r="Z4" i="33"/>
  <c r="L25" i="33"/>
  <c r="J34" i="33" s="1"/>
  <c r="D49" i="24"/>
  <c r="E49" i="24"/>
  <c r="G49" i="24"/>
  <c r="B49" i="24"/>
  <c r="J32" i="33"/>
  <c r="J33" i="33"/>
  <c r="J31" i="33"/>
  <c r="C22" i="33"/>
  <c r="D22" i="33"/>
  <c r="E22" i="33"/>
  <c r="F22" i="33"/>
  <c r="F50" i="34" l="1"/>
  <c r="G50" i="34" s="1"/>
  <c r="H50" i="34" s="1"/>
  <c r="I50" i="34" s="1"/>
  <c r="J50" i="34" s="1"/>
  <c r="K50" i="34" s="1"/>
  <c r="L50" i="34" s="1"/>
  <c r="M50" i="34" s="1"/>
  <c r="N50" i="34" s="1"/>
  <c r="O50" i="34" s="1"/>
  <c r="P50" i="34" s="1"/>
  <c r="Q50" i="34" s="1"/>
  <c r="R50" i="34" s="1"/>
  <c r="S50" i="34" s="1"/>
  <c r="T50" i="34" s="1"/>
  <c r="U50" i="34" s="1"/>
  <c r="V50" i="34" s="1"/>
  <c r="W50" i="34" s="1"/>
  <c r="X50" i="34" s="1"/>
  <c r="Y50" i="34" s="1"/>
  <c r="Z50" i="34" s="1"/>
  <c r="AA50" i="34" s="1"/>
  <c r="AB50" i="34" s="1"/>
  <c r="AC50" i="34" s="1"/>
  <c r="AD50" i="34" s="1"/>
  <c r="AE50" i="34" s="1"/>
  <c r="AF50" i="34" s="1"/>
  <c r="AG50" i="34" s="1"/>
  <c r="AH50" i="34" s="1"/>
  <c r="F57" i="34"/>
  <c r="G57" i="34" s="1"/>
  <c r="D265" i="19"/>
  <c r="E116" i="29"/>
  <c r="E265" i="19"/>
  <c r="T266" i="19" s="1"/>
  <c r="C265" i="19"/>
  <c r="R266" i="19" s="1"/>
  <c r="C200" i="28"/>
  <c r="R201" i="28" s="1"/>
  <c r="E200" i="28"/>
  <c r="T201" i="28" s="1"/>
  <c r="E186" i="29"/>
  <c r="T187" i="29" s="1"/>
  <c r="C186" i="29"/>
  <c r="R187" i="29" s="1"/>
  <c r="D186" i="29"/>
  <c r="S187" i="29" s="1"/>
  <c r="D200" i="28"/>
  <c r="S201" i="28" s="1"/>
  <c r="F108" i="29"/>
  <c r="G111" i="29"/>
  <c r="F112" i="29"/>
  <c r="F122" i="29"/>
  <c r="E109" i="29"/>
  <c r="H118" i="29"/>
  <c r="G131" i="29"/>
  <c r="E113" i="29"/>
  <c r="F119" i="29"/>
  <c r="F123" i="29"/>
  <c r="E124" i="29"/>
  <c r="F132" i="29"/>
  <c r="E110" i="29"/>
  <c r="E115" i="29"/>
  <c r="E129" i="29"/>
  <c r="E125" i="29"/>
  <c r="H128" i="29"/>
  <c r="E133" i="29"/>
  <c r="E130" i="29"/>
  <c r="E134" i="29"/>
  <c r="F185" i="29"/>
  <c r="F186" i="29" s="1"/>
  <c r="F189" i="29"/>
  <c r="U201" i="28"/>
  <c r="E146" i="28"/>
  <c r="F146" i="28" s="1"/>
  <c r="F129" i="28"/>
  <c r="G129" i="28" s="1"/>
  <c r="E124" i="28"/>
  <c r="E130" i="28"/>
  <c r="E131" i="28" s="1"/>
  <c r="E144" i="28"/>
  <c r="G199" i="28"/>
  <c r="H199" i="28" s="1"/>
  <c r="H200" i="28" s="1"/>
  <c r="W201" i="28" s="1"/>
  <c r="E122" i="28"/>
  <c r="F138" i="28"/>
  <c r="E125" i="28"/>
  <c r="F126" i="28"/>
  <c r="F132" i="28"/>
  <c r="F137" i="28"/>
  <c r="F148" i="28"/>
  <c r="G133" i="28"/>
  <c r="F136" i="28"/>
  <c r="E139" i="28"/>
  <c r="E127" i="28"/>
  <c r="E145" i="28"/>
  <c r="E143" i="28"/>
  <c r="E147" i="28"/>
  <c r="E123" i="28"/>
  <c r="I199" i="28"/>
  <c r="I200" i="28" s="1"/>
  <c r="D203" i="28"/>
  <c r="E189" i="19"/>
  <c r="E188" i="19"/>
  <c r="E192" i="19"/>
  <c r="E212" i="19"/>
  <c r="F212" i="19" s="1"/>
  <c r="E208" i="19"/>
  <c r="F208" i="19" s="1"/>
  <c r="E211" i="19"/>
  <c r="S266" i="19"/>
  <c r="F190" i="19"/>
  <c r="E202" i="19"/>
  <c r="H207" i="19"/>
  <c r="I207" i="19" s="1"/>
  <c r="J207" i="19" s="1"/>
  <c r="K207" i="19" s="1"/>
  <c r="E213" i="19"/>
  <c r="E191" i="19"/>
  <c r="G203" i="19"/>
  <c r="E209" i="19"/>
  <c r="D196" i="19"/>
  <c r="E197" i="19"/>
  <c r="E198" i="19"/>
  <c r="F204" i="19"/>
  <c r="E187" i="19"/>
  <c r="E195" i="19"/>
  <c r="E201" i="19"/>
  <c r="E210" i="19"/>
  <c r="F264" i="19"/>
  <c r="F265" i="19" s="1"/>
  <c r="H57" i="34"/>
  <c r="I57" i="34" s="1"/>
  <c r="J57" i="34" s="1"/>
  <c r="K57" i="34" s="1"/>
  <c r="L57" i="34" s="1"/>
  <c r="M57" i="34" s="1"/>
  <c r="N57" i="34" s="1"/>
  <c r="O57" i="34" s="1"/>
  <c r="P57" i="34" s="1"/>
  <c r="Q57" i="34" s="1"/>
  <c r="R57" i="34" s="1"/>
  <c r="S57" i="34" s="1"/>
  <c r="T57" i="34" s="1"/>
  <c r="U57" i="34" s="1"/>
  <c r="V57" i="34" s="1"/>
  <c r="W57" i="34" s="1"/>
  <c r="X57" i="34" s="1"/>
  <c r="Y57" i="34" s="1"/>
  <c r="Z57" i="34" s="1"/>
  <c r="AA57" i="34" s="1"/>
  <c r="AB57" i="34" s="1"/>
  <c r="AC57" i="34" s="1"/>
  <c r="AD57" i="34" s="1"/>
  <c r="AE57" i="34" s="1"/>
  <c r="AF57" i="34" s="1"/>
  <c r="AG57" i="34" s="1"/>
  <c r="AH57" i="34" s="1"/>
  <c r="X19" i="34"/>
  <c r="X25" i="34" s="1"/>
  <c r="Y20" i="34"/>
  <c r="X22" i="34"/>
  <c r="Z19" i="34"/>
  <c r="Z25" i="34" s="1"/>
  <c r="W19" i="34"/>
  <c r="W25" i="34" s="1"/>
  <c r="V22" i="34"/>
  <c r="V20" i="34"/>
  <c r="Z20" i="34"/>
  <c r="Z22" i="34"/>
  <c r="Y19" i="34"/>
  <c r="Y25" i="34" s="1"/>
  <c r="W20" i="34"/>
  <c r="W22" i="34"/>
  <c r="Y22" i="34"/>
  <c r="V19" i="34"/>
  <c r="V25" i="34" s="1"/>
  <c r="X20" i="34"/>
  <c r="T61" i="33"/>
  <c r="T60" i="33"/>
  <c r="R62" i="33"/>
  <c r="U61" i="33" s="1"/>
  <c r="Z9" i="33"/>
  <c r="AA6" i="33" s="1"/>
  <c r="P62" i="33"/>
  <c r="S62" i="33"/>
  <c r="M201" i="28" l="1"/>
  <c r="F130" i="28"/>
  <c r="G200" i="28"/>
  <c r="V201" i="28" s="1"/>
  <c r="U60" i="33"/>
  <c r="E117" i="29"/>
  <c r="F116" i="29"/>
  <c r="M266" i="19"/>
  <c r="M187" i="29"/>
  <c r="F113" i="29"/>
  <c r="F109" i="29"/>
  <c r="G189" i="29"/>
  <c r="F134" i="29"/>
  <c r="I128" i="29"/>
  <c r="F110" i="29"/>
  <c r="F124" i="29"/>
  <c r="I118" i="29"/>
  <c r="H111" i="29"/>
  <c r="U187" i="29"/>
  <c r="G185" i="29"/>
  <c r="G186" i="29" s="1"/>
  <c r="G123" i="29"/>
  <c r="F133" i="29"/>
  <c r="F125" i="29"/>
  <c r="F129" i="29"/>
  <c r="G132" i="29"/>
  <c r="H131" i="29"/>
  <c r="F130" i="29"/>
  <c r="F115" i="29"/>
  <c r="G119" i="29"/>
  <c r="G122" i="29"/>
  <c r="G112" i="29"/>
  <c r="G108" i="29"/>
  <c r="F144" i="28"/>
  <c r="F124" i="28"/>
  <c r="F127" i="28"/>
  <c r="H129" i="28"/>
  <c r="G136" i="28"/>
  <c r="F143" i="28"/>
  <c r="F145" i="28"/>
  <c r="G146" i="28"/>
  <c r="J199" i="28"/>
  <c r="J200" i="28" s="1"/>
  <c r="X201" i="28"/>
  <c r="F131" i="28"/>
  <c r="G130" i="28"/>
  <c r="H133" i="28"/>
  <c r="G132" i="28"/>
  <c r="F122" i="28"/>
  <c r="F139" i="28"/>
  <c r="G148" i="28"/>
  <c r="F125" i="28"/>
  <c r="E203" i="28"/>
  <c r="F123" i="28"/>
  <c r="F147" i="28"/>
  <c r="G137" i="28"/>
  <c r="G126" i="28"/>
  <c r="G138" i="28"/>
  <c r="F211" i="19"/>
  <c r="F192" i="19"/>
  <c r="F188" i="19"/>
  <c r="F189" i="19"/>
  <c r="F187" i="19"/>
  <c r="G212" i="19"/>
  <c r="F202" i="19"/>
  <c r="F198" i="19"/>
  <c r="F197" i="19"/>
  <c r="F209" i="19"/>
  <c r="F213" i="19"/>
  <c r="U266" i="19"/>
  <c r="G264" i="19"/>
  <c r="G265" i="19" s="1"/>
  <c r="F201" i="19"/>
  <c r="G204" i="19"/>
  <c r="F191" i="19"/>
  <c r="G190" i="19"/>
  <c r="L207" i="19"/>
  <c r="F210" i="19"/>
  <c r="E196" i="19"/>
  <c r="F195" i="19"/>
  <c r="H203" i="19"/>
  <c r="G208" i="19"/>
  <c r="AA5" i="33"/>
  <c r="AA8" i="33"/>
  <c r="U62" i="33"/>
  <c r="AA7" i="33"/>
  <c r="T62" i="33"/>
  <c r="V62" i="33" s="1"/>
  <c r="AA4" i="33"/>
  <c r="F117" i="29" l="1"/>
  <c r="G116" i="29"/>
  <c r="H108" i="29"/>
  <c r="H122" i="29"/>
  <c r="G130" i="29"/>
  <c r="V187" i="29"/>
  <c r="H185" i="29"/>
  <c r="H186" i="29" s="1"/>
  <c r="J118" i="29"/>
  <c r="G110" i="29"/>
  <c r="G115" i="29"/>
  <c r="I131" i="29"/>
  <c r="G129" i="29"/>
  <c r="G133" i="29"/>
  <c r="G134" i="29"/>
  <c r="G109" i="29"/>
  <c r="H123" i="29"/>
  <c r="G124" i="29"/>
  <c r="J128" i="29"/>
  <c r="H189" i="29"/>
  <c r="G113" i="29"/>
  <c r="H112" i="29"/>
  <c r="H119" i="29"/>
  <c r="H132" i="29"/>
  <c r="G125" i="29"/>
  <c r="I111" i="29"/>
  <c r="G144" i="28"/>
  <c r="H144" i="28" s="1"/>
  <c r="G124" i="28"/>
  <c r="F203" i="28"/>
  <c r="H132" i="28"/>
  <c r="H146" i="28"/>
  <c r="I129" i="28"/>
  <c r="H126" i="28"/>
  <c r="G123" i="28"/>
  <c r="G125" i="28"/>
  <c r="G139" i="28"/>
  <c r="H130" i="28"/>
  <c r="G131" i="28"/>
  <c r="G145" i="28"/>
  <c r="H138" i="28"/>
  <c r="H137" i="28"/>
  <c r="G122" i="28"/>
  <c r="I133" i="28"/>
  <c r="Y201" i="28"/>
  <c r="K199" i="28"/>
  <c r="K200" i="28" s="1"/>
  <c r="G147" i="28"/>
  <c r="H148" i="28"/>
  <c r="G143" i="28"/>
  <c r="H136" i="28"/>
  <c r="G127" i="28"/>
  <c r="G192" i="19"/>
  <c r="G211" i="19"/>
  <c r="G189" i="19"/>
  <c r="G188" i="19"/>
  <c r="I203" i="19"/>
  <c r="V266" i="19"/>
  <c r="H264" i="19"/>
  <c r="H265" i="19" s="1"/>
  <c r="H208" i="19"/>
  <c r="G195" i="19"/>
  <c r="F196" i="19"/>
  <c r="H190" i="19"/>
  <c r="H204" i="19"/>
  <c r="G202" i="19"/>
  <c r="G187" i="19"/>
  <c r="M207" i="19"/>
  <c r="G191" i="19"/>
  <c r="G198" i="19"/>
  <c r="G213" i="19"/>
  <c r="G197" i="19"/>
  <c r="G210" i="19"/>
  <c r="G201" i="19"/>
  <c r="G209" i="19"/>
  <c r="H212" i="19"/>
  <c r="AA9" i="33"/>
  <c r="G117" i="29" l="1"/>
  <c r="H116" i="29"/>
  <c r="H125" i="29"/>
  <c r="I119" i="29"/>
  <c r="H124" i="29"/>
  <c r="H134" i="29"/>
  <c r="H129" i="29"/>
  <c r="H113" i="29"/>
  <c r="I123" i="29"/>
  <c r="H110" i="29"/>
  <c r="W187" i="29"/>
  <c r="I185" i="29"/>
  <c r="I186" i="29" s="1"/>
  <c r="I122" i="29"/>
  <c r="I112" i="29"/>
  <c r="H133" i="29"/>
  <c r="J111" i="29"/>
  <c r="I132" i="29"/>
  <c r="K128" i="29"/>
  <c r="H109" i="29"/>
  <c r="J131" i="29"/>
  <c r="H115" i="29"/>
  <c r="I189" i="29"/>
  <c r="K118" i="29"/>
  <c r="H130" i="29"/>
  <c r="I108" i="29"/>
  <c r="H124" i="28"/>
  <c r="I148" i="28"/>
  <c r="J129" i="28"/>
  <c r="I136" i="28"/>
  <c r="H147" i="28"/>
  <c r="J133" i="28"/>
  <c r="H131" i="28"/>
  <c r="I130" i="28"/>
  <c r="H125" i="28"/>
  <c r="I137" i="28"/>
  <c r="I138" i="28"/>
  <c r="H145" i="28"/>
  <c r="I146" i="28"/>
  <c r="G203" i="28"/>
  <c r="H127" i="28"/>
  <c r="H143" i="28"/>
  <c r="Z201" i="28"/>
  <c r="L199" i="28"/>
  <c r="L200" i="28" s="1"/>
  <c r="H122" i="28"/>
  <c r="H139" i="28"/>
  <c r="H123" i="28"/>
  <c r="I126" i="28"/>
  <c r="I144" i="28"/>
  <c r="I132" i="28"/>
  <c r="H211" i="19"/>
  <c r="H188" i="19"/>
  <c r="H192" i="19"/>
  <c r="H189" i="19"/>
  <c r="G196" i="19"/>
  <c r="H195" i="19"/>
  <c r="H213" i="19"/>
  <c r="H198" i="19"/>
  <c r="H187" i="19"/>
  <c r="I190" i="19"/>
  <c r="I264" i="19"/>
  <c r="I265" i="19" s="1"/>
  <c r="W266" i="19"/>
  <c r="J203" i="19"/>
  <c r="H209" i="19"/>
  <c r="N207" i="19"/>
  <c r="I204" i="19"/>
  <c r="I212" i="19"/>
  <c r="H201" i="19"/>
  <c r="H210" i="19"/>
  <c r="H197" i="19"/>
  <c r="H191" i="19"/>
  <c r="H202" i="19"/>
  <c r="I208" i="19"/>
  <c r="I116" i="29" l="1"/>
  <c r="H117" i="29"/>
  <c r="L118" i="29"/>
  <c r="L128" i="29"/>
  <c r="I129" i="29"/>
  <c r="J119" i="29"/>
  <c r="I115" i="29"/>
  <c r="I109" i="29"/>
  <c r="J132" i="29"/>
  <c r="I133" i="29"/>
  <c r="J122" i="29"/>
  <c r="I110" i="29"/>
  <c r="J123" i="29"/>
  <c r="J108" i="29"/>
  <c r="J189" i="29"/>
  <c r="I130" i="29"/>
  <c r="I134" i="29"/>
  <c r="I124" i="29"/>
  <c r="K131" i="29"/>
  <c r="K111" i="29"/>
  <c r="J112" i="29"/>
  <c r="J185" i="29"/>
  <c r="J186" i="29" s="1"/>
  <c r="X187" i="29"/>
  <c r="I113" i="29"/>
  <c r="I125" i="29"/>
  <c r="I124" i="28"/>
  <c r="M199" i="28"/>
  <c r="M200" i="28" s="1"/>
  <c r="AA201" i="28"/>
  <c r="I143" i="28"/>
  <c r="J146" i="28"/>
  <c r="I139" i="28"/>
  <c r="I147" i="28"/>
  <c r="J126" i="28"/>
  <c r="I127" i="28"/>
  <c r="H203" i="28"/>
  <c r="J137" i="28"/>
  <c r="J148" i="28"/>
  <c r="I123" i="28"/>
  <c r="I145" i="28"/>
  <c r="I125" i="28"/>
  <c r="K129" i="28"/>
  <c r="J132" i="28"/>
  <c r="I122" i="28"/>
  <c r="J144" i="28"/>
  <c r="J138" i="28"/>
  <c r="J130" i="28"/>
  <c r="I131" i="28"/>
  <c r="K133" i="28"/>
  <c r="J136" i="28"/>
  <c r="I188" i="19"/>
  <c r="I192" i="19"/>
  <c r="I211" i="19"/>
  <c r="I189" i="19"/>
  <c r="J212" i="19"/>
  <c r="X266" i="19"/>
  <c r="J264" i="19"/>
  <c r="J265" i="19" s="1"/>
  <c r="I198" i="19"/>
  <c r="I210" i="19"/>
  <c r="J208" i="19"/>
  <c r="K203" i="19"/>
  <c r="J190" i="19"/>
  <c r="H196" i="19"/>
  <c r="I195" i="19"/>
  <c r="J204" i="19"/>
  <c r="I209" i="19"/>
  <c r="I187" i="19"/>
  <c r="I202" i="19"/>
  <c r="I191" i="19"/>
  <c r="I197" i="19"/>
  <c r="I201" i="19"/>
  <c r="O207" i="19"/>
  <c r="I213" i="19"/>
  <c r="I117" i="29" l="1"/>
  <c r="J116" i="29"/>
  <c r="J113" i="29"/>
  <c r="K112" i="29"/>
  <c r="J134" i="29"/>
  <c r="K189" i="29"/>
  <c r="K123" i="29"/>
  <c r="K122" i="29"/>
  <c r="K132" i="29"/>
  <c r="J125" i="29"/>
  <c r="J130" i="29"/>
  <c r="K108" i="29"/>
  <c r="J115" i="29"/>
  <c r="K119" i="29"/>
  <c r="M118" i="29"/>
  <c r="L111" i="29"/>
  <c r="J124" i="29"/>
  <c r="J110" i="29"/>
  <c r="J133" i="29"/>
  <c r="J109" i="29"/>
  <c r="M128" i="29"/>
  <c r="Y187" i="29"/>
  <c r="K185" i="29"/>
  <c r="K186" i="29" s="1"/>
  <c r="L131" i="29"/>
  <c r="J129" i="29"/>
  <c r="J124" i="28"/>
  <c r="J139" i="28"/>
  <c r="K136" i="28"/>
  <c r="K148" i="28"/>
  <c r="J127" i="28"/>
  <c r="J143" i="28"/>
  <c r="K144" i="28"/>
  <c r="K132" i="28"/>
  <c r="J125" i="28"/>
  <c r="J131" i="28"/>
  <c r="K130" i="28"/>
  <c r="J123" i="28"/>
  <c r="K137" i="28"/>
  <c r="I203" i="28"/>
  <c r="K126" i="28"/>
  <c r="J147" i="28"/>
  <c r="K146" i="28"/>
  <c r="L133" i="28"/>
  <c r="K138" i="28"/>
  <c r="J122" i="28"/>
  <c r="L129" i="28"/>
  <c r="J145" i="28"/>
  <c r="N199" i="28"/>
  <c r="N200" i="28" s="1"/>
  <c r="AB201" i="28"/>
  <c r="J192" i="19"/>
  <c r="J189" i="19"/>
  <c r="J211" i="19"/>
  <c r="J188" i="19"/>
  <c r="J210" i="19"/>
  <c r="J198" i="19"/>
  <c r="K212" i="19"/>
  <c r="J209" i="19"/>
  <c r="K208" i="19"/>
  <c r="Y266" i="19"/>
  <c r="K264" i="19"/>
  <c r="K265" i="19" s="1"/>
  <c r="J197" i="19"/>
  <c r="J202" i="19"/>
  <c r="L203" i="19"/>
  <c r="P207" i="19"/>
  <c r="J213" i="19"/>
  <c r="J201" i="19"/>
  <c r="J191" i="19"/>
  <c r="J187" i="19"/>
  <c r="K204" i="19"/>
  <c r="I196" i="19"/>
  <c r="J195" i="19"/>
  <c r="K190" i="19"/>
  <c r="J117" i="29" l="1"/>
  <c r="K116" i="29"/>
  <c r="L119" i="29"/>
  <c r="K125" i="29"/>
  <c r="L122" i="29"/>
  <c r="L189" i="29"/>
  <c r="M131" i="29"/>
  <c r="K109" i="29"/>
  <c r="K110" i="29"/>
  <c r="K124" i="29"/>
  <c r="N118" i="29"/>
  <c r="L108" i="29"/>
  <c r="L112" i="29"/>
  <c r="L132" i="29"/>
  <c r="L123" i="29"/>
  <c r="K134" i="29"/>
  <c r="K129" i="29"/>
  <c r="L185" i="29"/>
  <c r="L186" i="29" s="1"/>
  <c r="Z187" i="29"/>
  <c r="N128" i="29"/>
  <c r="K133" i="29"/>
  <c r="M111" i="29"/>
  <c r="K115" i="29"/>
  <c r="K130" i="29"/>
  <c r="K113" i="29"/>
  <c r="K124" i="28"/>
  <c r="L137" i="28"/>
  <c r="L130" i="28"/>
  <c r="K131" i="28"/>
  <c r="L132" i="28"/>
  <c r="K143" i="28"/>
  <c r="AC201" i="28"/>
  <c r="O199" i="28"/>
  <c r="O200" i="28" s="1"/>
  <c r="K145" i="28"/>
  <c r="K122" i="28"/>
  <c r="M133" i="28"/>
  <c r="L126" i="28"/>
  <c r="L136" i="28"/>
  <c r="K147" i="28"/>
  <c r="K123" i="28"/>
  <c r="K125" i="28"/>
  <c r="L144" i="28"/>
  <c r="L148" i="28"/>
  <c r="M129" i="28"/>
  <c r="L138" i="28"/>
  <c r="L146" i="28"/>
  <c r="J203" i="28"/>
  <c r="K127" i="28"/>
  <c r="K139" i="28"/>
  <c r="K189" i="19"/>
  <c r="K211" i="19"/>
  <c r="K188" i="19"/>
  <c r="K192" i="19"/>
  <c r="L204" i="19"/>
  <c r="Z266" i="19"/>
  <c r="L264" i="19"/>
  <c r="L265" i="19" s="1"/>
  <c r="L190" i="19"/>
  <c r="K191" i="19"/>
  <c r="K213" i="19"/>
  <c r="M203" i="19"/>
  <c r="K202" i="19"/>
  <c r="L208" i="19"/>
  <c r="K198" i="19"/>
  <c r="K201" i="19"/>
  <c r="Q207" i="19"/>
  <c r="K195" i="19"/>
  <c r="J196" i="19"/>
  <c r="K187" i="19"/>
  <c r="K197" i="19"/>
  <c r="K209" i="19"/>
  <c r="L212" i="19"/>
  <c r="K210" i="19"/>
  <c r="K117" i="29" l="1"/>
  <c r="L116" i="29"/>
  <c r="L130" i="29"/>
  <c r="L133" i="29"/>
  <c r="L134" i="29"/>
  <c r="O118" i="29"/>
  <c r="L110" i="29"/>
  <c r="N131" i="29"/>
  <c r="M122" i="29"/>
  <c r="L125" i="29"/>
  <c r="N111" i="29"/>
  <c r="AA187" i="29"/>
  <c r="M185" i="29"/>
  <c r="M186" i="29" s="1"/>
  <c r="M123" i="29"/>
  <c r="L113" i="29"/>
  <c r="L129" i="29"/>
  <c r="M112" i="29"/>
  <c r="M108" i="29"/>
  <c r="L109" i="29"/>
  <c r="M189" i="29"/>
  <c r="M119" i="29"/>
  <c r="L115" i="29"/>
  <c r="O128" i="29"/>
  <c r="M132" i="29"/>
  <c r="L124" i="29"/>
  <c r="L124" i="28"/>
  <c r="L127" i="28"/>
  <c r="L125" i="28"/>
  <c r="M126" i="28"/>
  <c r="AD201" i="28"/>
  <c r="P199" i="28"/>
  <c r="P200" i="28" s="1"/>
  <c r="L131" i="28"/>
  <c r="M130" i="28"/>
  <c r="M137" i="28"/>
  <c r="N129" i="28"/>
  <c r="L147" i="28"/>
  <c r="N133" i="28"/>
  <c r="L145" i="28"/>
  <c r="L143" i="28"/>
  <c r="K203" i="28"/>
  <c r="M148" i="28"/>
  <c r="L123" i="28"/>
  <c r="L122" i="28"/>
  <c r="M146" i="28"/>
  <c r="M132" i="28"/>
  <c r="L139" i="28"/>
  <c r="M138" i="28"/>
  <c r="M144" i="28"/>
  <c r="M136" i="28"/>
  <c r="L192" i="19"/>
  <c r="L211" i="19"/>
  <c r="L188" i="19"/>
  <c r="L189" i="19"/>
  <c r="R207" i="19"/>
  <c r="L191" i="19"/>
  <c r="M204" i="19"/>
  <c r="M212" i="19"/>
  <c r="L197" i="19"/>
  <c r="L201" i="19"/>
  <c r="L198" i="19"/>
  <c r="N203" i="19"/>
  <c r="M264" i="19"/>
  <c r="M265" i="19" s="1"/>
  <c r="AA266" i="19"/>
  <c r="L210" i="19"/>
  <c r="L209" i="19"/>
  <c r="L195" i="19"/>
  <c r="K196" i="19"/>
  <c r="M208" i="19"/>
  <c r="L187" i="19"/>
  <c r="L202" i="19"/>
  <c r="L213" i="19"/>
  <c r="M190" i="19"/>
  <c r="L117" i="29" l="1"/>
  <c r="M116" i="29"/>
  <c r="M113" i="29"/>
  <c r="M134" i="29"/>
  <c r="M115" i="29"/>
  <c r="N108" i="29"/>
  <c r="N123" i="29"/>
  <c r="O111" i="29"/>
  <c r="N119" i="29"/>
  <c r="P118" i="29"/>
  <c r="M130" i="29"/>
  <c r="M124" i="29"/>
  <c r="N132" i="29"/>
  <c r="N189" i="29"/>
  <c r="M109" i="29"/>
  <c r="N185" i="29"/>
  <c r="N186" i="29" s="1"/>
  <c r="AB187" i="29"/>
  <c r="P128" i="29"/>
  <c r="N122" i="29"/>
  <c r="N112" i="29"/>
  <c r="M129" i="29"/>
  <c r="M125" i="29"/>
  <c r="O131" i="29"/>
  <c r="M110" i="29"/>
  <c r="M133" i="29"/>
  <c r="M124" i="28"/>
  <c r="N138" i="28"/>
  <c r="M143" i="28"/>
  <c r="M147" i="28"/>
  <c r="O129" i="28"/>
  <c r="M125" i="28"/>
  <c r="N144" i="28"/>
  <c r="M139" i="28"/>
  <c r="N146" i="28"/>
  <c r="N148" i="28"/>
  <c r="N137" i="28"/>
  <c r="Q199" i="28"/>
  <c r="Q200" i="28" s="1"/>
  <c r="AE201" i="28"/>
  <c r="M127" i="28"/>
  <c r="N132" i="28"/>
  <c r="O133" i="28"/>
  <c r="M123" i="28"/>
  <c r="L203" i="28"/>
  <c r="N126" i="28"/>
  <c r="N136" i="28"/>
  <c r="M122" i="28"/>
  <c r="M145" i="28"/>
  <c r="M131" i="28"/>
  <c r="N130" i="28"/>
  <c r="M211" i="19"/>
  <c r="M189" i="19"/>
  <c r="M192" i="19"/>
  <c r="M188" i="19"/>
  <c r="O203" i="19"/>
  <c r="M197" i="19"/>
  <c r="N190" i="19"/>
  <c r="N204" i="19"/>
  <c r="M191" i="19"/>
  <c r="M213" i="19"/>
  <c r="L196" i="19"/>
  <c r="M195" i="19"/>
  <c r="AB266" i="19"/>
  <c r="N264" i="19"/>
  <c r="N265" i="19" s="1"/>
  <c r="N208" i="19"/>
  <c r="M210" i="19"/>
  <c r="M201" i="19"/>
  <c r="M202" i="19"/>
  <c r="M187" i="19"/>
  <c r="M209" i="19"/>
  <c r="M198" i="19"/>
  <c r="N212" i="19"/>
  <c r="S207" i="19"/>
  <c r="M117" i="29" l="1"/>
  <c r="N116" i="29"/>
  <c r="N133" i="29"/>
  <c r="P131" i="29"/>
  <c r="O112" i="29"/>
  <c r="N109" i="29"/>
  <c r="O132" i="29"/>
  <c r="N130" i="29"/>
  <c r="Q118" i="29"/>
  <c r="P111" i="29"/>
  <c r="O108" i="29"/>
  <c r="N115" i="29"/>
  <c r="O122" i="29"/>
  <c r="N110" i="29"/>
  <c r="N129" i="29"/>
  <c r="Q128" i="29"/>
  <c r="AC187" i="29"/>
  <c r="O185" i="29"/>
  <c r="O186" i="29" s="1"/>
  <c r="N124" i="29"/>
  <c r="O119" i="29"/>
  <c r="O123" i="29"/>
  <c r="N125" i="29"/>
  <c r="O189" i="29"/>
  <c r="N134" i="29"/>
  <c r="N113" i="29"/>
  <c r="N124" i="28"/>
  <c r="N145" i="28"/>
  <c r="P133" i="28"/>
  <c r="O137" i="28"/>
  <c r="O144" i="28"/>
  <c r="N147" i="28"/>
  <c r="O146" i="28"/>
  <c r="O126" i="28"/>
  <c r="O148" i="28"/>
  <c r="N139" i="28"/>
  <c r="N125" i="28"/>
  <c r="P129" i="28"/>
  <c r="N143" i="28"/>
  <c r="O138" i="28"/>
  <c r="O136" i="28"/>
  <c r="N123" i="28"/>
  <c r="N127" i="28"/>
  <c r="M203" i="28"/>
  <c r="N122" i="28"/>
  <c r="N131" i="28"/>
  <c r="O130" i="28"/>
  <c r="O132" i="28"/>
  <c r="R199" i="28"/>
  <c r="R200" i="28" s="1"/>
  <c r="AF201" i="28"/>
  <c r="N188" i="19"/>
  <c r="N192" i="19"/>
  <c r="N189" i="19"/>
  <c r="N211" i="19"/>
  <c r="N187" i="19"/>
  <c r="N201" i="19"/>
  <c r="T207" i="19"/>
  <c r="N209" i="19"/>
  <c r="AC266" i="19"/>
  <c r="O264" i="19"/>
  <c r="O265" i="19" s="1"/>
  <c r="P203" i="19"/>
  <c r="N210" i="19"/>
  <c r="N191" i="19"/>
  <c r="N197" i="19"/>
  <c r="O212" i="19"/>
  <c r="N198" i="19"/>
  <c r="N202" i="19"/>
  <c r="O208" i="19"/>
  <c r="M196" i="19"/>
  <c r="N195" i="19"/>
  <c r="N213" i="19"/>
  <c r="O204" i="19"/>
  <c r="O190" i="19"/>
  <c r="N117" i="29" l="1"/>
  <c r="O116" i="29"/>
  <c r="O125" i="29"/>
  <c r="P119" i="29"/>
  <c r="O129" i="29"/>
  <c r="O134" i="29"/>
  <c r="P108" i="29"/>
  <c r="P132" i="29"/>
  <c r="O133" i="29"/>
  <c r="P189" i="29"/>
  <c r="P123" i="29"/>
  <c r="R128" i="29"/>
  <c r="O110" i="29"/>
  <c r="R118" i="29"/>
  <c r="P112" i="29"/>
  <c r="P185" i="29"/>
  <c r="P186" i="29" s="1"/>
  <c r="AD187" i="29"/>
  <c r="P122" i="29"/>
  <c r="O124" i="29"/>
  <c r="O113" i="29"/>
  <c r="O115" i="29"/>
  <c r="Q111" i="29"/>
  <c r="O130" i="29"/>
  <c r="O109" i="29"/>
  <c r="Q131" i="29"/>
  <c r="O124" i="28"/>
  <c r="AG201" i="28"/>
  <c r="S199" i="28"/>
  <c r="S200" i="28" s="1"/>
  <c r="N203" i="28"/>
  <c r="O123" i="28"/>
  <c r="P138" i="28"/>
  <c r="Q129" i="28"/>
  <c r="O139" i="28"/>
  <c r="P126" i="28"/>
  <c r="Q133" i="28"/>
  <c r="O145" i="28"/>
  <c r="P136" i="28"/>
  <c r="O143" i="28"/>
  <c r="O125" i="28"/>
  <c r="P148" i="28"/>
  <c r="P146" i="28"/>
  <c r="O147" i="28"/>
  <c r="P137" i="28"/>
  <c r="O127" i="28"/>
  <c r="P132" i="28"/>
  <c r="P130" i="28"/>
  <c r="O131" i="28"/>
  <c r="O122" i="28"/>
  <c r="P144" i="28"/>
  <c r="O211" i="19"/>
  <c r="O192" i="19"/>
  <c r="O188" i="19"/>
  <c r="O189" i="19"/>
  <c r="P204" i="19"/>
  <c r="P208" i="19"/>
  <c r="AD266" i="19"/>
  <c r="P264" i="19"/>
  <c r="P265" i="19" s="1"/>
  <c r="P212" i="19"/>
  <c r="O191" i="19"/>
  <c r="O209" i="19"/>
  <c r="O187" i="19"/>
  <c r="O195" i="19"/>
  <c r="N196" i="19"/>
  <c r="O198" i="19"/>
  <c r="O210" i="19"/>
  <c r="U207" i="19"/>
  <c r="P190" i="19"/>
  <c r="O213" i="19"/>
  <c r="O202" i="19"/>
  <c r="O197" i="19"/>
  <c r="Q203" i="19"/>
  <c r="O201" i="19"/>
  <c r="P116" i="29" l="1"/>
  <c r="O117" i="29"/>
  <c r="P109" i="29"/>
  <c r="R111" i="29"/>
  <c r="P115" i="29"/>
  <c r="P124" i="29"/>
  <c r="Q123" i="29"/>
  <c r="AE187" i="29"/>
  <c r="Q185" i="29"/>
  <c r="Q186" i="29" s="1"/>
  <c r="Q112" i="29"/>
  <c r="Q132" i="29"/>
  <c r="P110" i="29"/>
  <c r="Q119" i="29"/>
  <c r="R131" i="29"/>
  <c r="P130" i="29"/>
  <c r="P113" i="29"/>
  <c r="Q122" i="29"/>
  <c r="Q189" i="29"/>
  <c r="P134" i="29"/>
  <c r="P129" i="29"/>
  <c r="S118" i="29"/>
  <c r="S128" i="29"/>
  <c r="P133" i="29"/>
  <c r="Q108" i="29"/>
  <c r="P125" i="29"/>
  <c r="P124" i="28"/>
  <c r="P122" i="28"/>
  <c r="Q146" i="28"/>
  <c r="P145" i="28"/>
  <c r="Q126" i="28"/>
  <c r="Q136" i="28"/>
  <c r="P127" i="28"/>
  <c r="Q148" i="28"/>
  <c r="P143" i="28"/>
  <c r="R133" i="28"/>
  <c r="R129" i="28"/>
  <c r="O203" i="28"/>
  <c r="Q137" i="28"/>
  <c r="P125" i="28"/>
  <c r="P123" i="28"/>
  <c r="Q144" i="28"/>
  <c r="Q130" i="28"/>
  <c r="P131" i="28"/>
  <c r="Q132" i="28"/>
  <c r="P147" i="28"/>
  <c r="P139" i="28"/>
  <c r="Q138" i="28"/>
  <c r="T199" i="28"/>
  <c r="T200" i="28" s="1"/>
  <c r="P189" i="19"/>
  <c r="P188" i="19"/>
  <c r="P192" i="19"/>
  <c r="P211" i="19"/>
  <c r="P202" i="19"/>
  <c r="V207" i="19"/>
  <c r="O196" i="19"/>
  <c r="P195" i="19"/>
  <c r="P209" i="19"/>
  <c r="R203" i="19"/>
  <c r="P210" i="19"/>
  <c r="P187" i="19"/>
  <c r="P191" i="19"/>
  <c r="Q264" i="19"/>
  <c r="Q265" i="19" s="1"/>
  <c r="AE266" i="19"/>
  <c r="P201" i="19"/>
  <c r="P213" i="19"/>
  <c r="Q190" i="19"/>
  <c r="P198" i="19"/>
  <c r="Q212" i="19"/>
  <c r="P197" i="19"/>
  <c r="Q208" i="19"/>
  <c r="Q204" i="19"/>
  <c r="Q116" i="29" l="1"/>
  <c r="P117" i="29"/>
  <c r="R189" i="29"/>
  <c r="S131" i="29"/>
  <c r="Q115" i="29"/>
  <c r="Q109" i="29"/>
  <c r="Q113" i="29"/>
  <c r="R185" i="29"/>
  <c r="R186" i="29" s="1"/>
  <c r="AF187" i="29"/>
  <c r="R123" i="29"/>
  <c r="Q134" i="29"/>
  <c r="Q110" i="29"/>
  <c r="Q125" i="29"/>
  <c r="T128" i="29"/>
  <c r="R122" i="29"/>
  <c r="R112" i="29"/>
  <c r="Q124" i="29"/>
  <c r="R108" i="29"/>
  <c r="T118" i="29"/>
  <c r="Q133" i="29"/>
  <c r="Q129" i="29"/>
  <c r="Q130" i="29"/>
  <c r="R119" i="29"/>
  <c r="R132" i="29"/>
  <c r="S111" i="29"/>
  <c r="Q124" i="28"/>
  <c r="R138" i="28"/>
  <c r="R146" i="28"/>
  <c r="Q123" i="28"/>
  <c r="S133" i="28"/>
  <c r="R136" i="28"/>
  <c r="Q139" i="28"/>
  <c r="R132" i="28"/>
  <c r="P203" i="28"/>
  <c r="Q145" i="28"/>
  <c r="Q122" i="28"/>
  <c r="R126" i="28"/>
  <c r="U199" i="28"/>
  <c r="U200" i="28" s="1"/>
  <c r="Q131" i="28"/>
  <c r="R130" i="28"/>
  <c r="Q125" i="28"/>
  <c r="Q143" i="28"/>
  <c r="Q127" i="28"/>
  <c r="R137" i="28"/>
  <c r="Q147" i="28"/>
  <c r="R144" i="28"/>
  <c r="S129" i="28"/>
  <c r="R148" i="28"/>
  <c r="Q188" i="19"/>
  <c r="Q192" i="19"/>
  <c r="Q189" i="19"/>
  <c r="Q211" i="19"/>
  <c r="S203" i="19"/>
  <c r="AF266" i="19"/>
  <c r="R264" i="19"/>
  <c r="R265" i="19" s="1"/>
  <c r="W207" i="19"/>
  <c r="Q202" i="19"/>
  <c r="R208" i="19"/>
  <c r="Q197" i="19"/>
  <c r="Q198" i="19"/>
  <c r="Q213" i="19"/>
  <c r="Q187" i="19"/>
  <c r="Q209" i="19"/>
  <c r="P196" i="19"/>
  <c r="Q195" i="19"/>
  <c r="R204" i="19"/>
  <c r="R212" i="19"/>
  <c r="R190" i="19"/>
  <c r="Q201" i="19"/>
  <c r="Q191" i="19"/>
  <c r="Q210" i="19"/>
  <c r="R116" i="29" l="1"/>
  <c r="Q117" i="29"/>
  <c r="R125" i="29"/>
  <c r="R134" i="29"/>
  <c r="S119" i="29"/>
  <c r="R129" i="29"/>
  <c r="U118" i="29"/>
  <c r="S112" i="29"/>
  <c r="S122" i="29"/>
  <c r="U128" i="29"/>
  <c r="AG187" i="29"/>
  <c r="S185" i="29"/>
  <c r="S186" i="29" s="1"/>
  <c r="R109" i="29"/>
  <c r="S108" i="29"/>
  <c r="R115" i="29"/>
  <c r="R124" i="29"/>
  <c r="R110" i="29"/>
  <c r="S123" i="29"/>
  <c r="R113" i="29"/>
  <c r="S189" i="29"/>
  <c r="T131" i="29"/>
  <c r="T111" i="29"/>
  <c r="S132" i="29"/>
  <c r="R130" i="29"/>
  <c r="R133" i="29"/>
  <c r="R124" i="28"/>
  <c r="T129" i="28"/>
  <c r="R127" i="28"/>
  <c r="R125" i="28"/>
  <c r="S126" i="28"/>
  <c r="R145" i="28"/>
  <c r="R147" i="28"/>
  <c r="S132" i="28"/>
  <c r="S148" i="28"/>
  <c r="S137" i="28"/>
  <c r="R143" i="28"/>
  <c r="R131" i="28"/>
  <c r="S130" i="28"/>
  <c r="R123" i="28"/>
  <c r="S146" i="28"/>
  <c r="S136" i="28"/>
  <c r="S144" i="28"/>
  <c r="V199" i="28"/>
  <c r="V200" i="28" s="1"/>
  <c r="R122" i="28"/>
  <c r="Q203" i="28"/>
  <c r="R139" i="28"/>
  <c r="T133" i="28"/>
  <c r="S138" i="28"/>
  <c r="R192" i="19"/>
  <c r="R189" i="19"/>
  <c r="R211" i="19"/>
  <c r="R188" i="19"/>
  <c r="R210" i="19"/>
  <c r="S204" i="19"/>
  <c r="R187" i="19"/>
  <c r="R198" i="19"/>
  <c r="X207" i="19"/>
  <c r="AG266" i="19"/>
  <c r="S264" i="19"/>
  <c r="S265" i="19" s="1"/>
  <c r="R201" i="19"/>
  <c r="S212" i="19"/>
  <c r="S208" i="19"/>
  <c r="T203" i="19"/>
  <c r="R191" i="19"/>
  <c r="S190" i="19"/>
  <c r="Q196" i="19"/>
  <c r="R195" i="19"/>
  <c r="R209" i="19"/>
  <c r="R213" i="19"/>
  <c r="R197" i="19"/>
  <c r="R202" i="19"/>
  <c r="R117" i="29" l="1"/>
  <c r="S116" i="29"/>
  <c r="S133" i="29"/>
  <c r="T123" i="29"/>
  <c r="S115" i="29"/>
  <c r="V128" i="29"/>
  <c r="T112" i="29"/>
  <c r="T119" i="29"/>
  <c r="S130" i="29"/>
  <c r="U111" i="29"/>
  <c r="T189" i="29"/>
  <c r="S109" i="29"/>
  <c r="S125" i="29"/>
  <c r="T132" i="29"/>
  <c r="S113" i="29"/>
  <c r="S110" i="29"/>
  <c r="T108" i="29"/>
  <c r="T185" i="29"/>
  <c r="T186" i="29" s="1"/>
  <c r="T122" i="29"/>
  <c r="S129" i="29"/>
  <c r="S134" i="29"/>
  <c r="U131" i="29"/>
  <c r="S124" i="29"/>
  <c r="V118" i="29"/>
  <c r="S124" i="28"/>
  <c r="S139" i="28"/>
  <c r="S122" i="28"/>
  <c r="T136" i="28"/>
  <c r="T146" i="28"/>
  <c r="T137" i="28"/>
  <c r="T132" i="28"/>
  <c r="T126" i="28"/>
  <c r="S127" i="28"/>
  <c r="R203" i="28"/>
  <c r="W199" i="28"/>
  <c r="W200" i="28" s="1"/>
  <c r="S123" i="28"/>
  <c r="T130" i="28"/>
  <c r="S131" i="28"/>
  <c r="S143" i="28"/>
  <c r="T148" i="28"/>
  <c r="S147" i="28"/>
  <c r="S145" i="28"/>
  <c r="U129" i="28"/>
  <c r="T138" i="28"/>
  <c r="U133" i="28"/>
  <c r="T144" i="28"/>
  <c r="S125" i="28"/>
  <c r="S188" i="19"/>
  <c r="S189" i="19"/>
  <c r="S211" i="19"/>
  <c r="S192" i="19"/>
  <c r="S197" i="19"/>
  <c r="S187" i="19"/>
  <c r="T212" i="19"/>
  <c r="S202" i="19"/>
  <c r="S195" i="19"/>
  <c r="R196" i="19"/>
  <c r="Y207" i="19"/>
  <c r="S198" i="19"/>
  <c r="T204" i="19"/>
  <c r="S209" i="19"/>
  <c r="T190" i="19"/>
  <c r="S210" i="19"/>
  <c r="S213" i="19"/>
  <c r="U203" i="19"/>
  <c r="S191" i="19"/>
  <c r="T208" i="19"/>
  <c r="S201" i="19"/>
  <c r="T264" i="19"/>
  <c r="T265" i="19" s="1"/>
  <c r="S117" i="29" l="1"/>
  <c r="T116" i="29"/>
  <c r="V131" i="29"/>
  <c r="U185" i="29"/>
  <c r="U186" i="29" s="1"/>
  <c r="W128" i="29"/>
  <c r="T115" i="29"/>
  <c r="W118" i="29"/>
  <c r="T134" i="29"/>
  <c r="U122" i="29"/>
  <c r="U108" i="29"/>
  <c r="T110" i="29"/>
  <c r="T130" i="29"/>
  <c r="U112" i="29"/>
  <c r="T133" i="29"/>
  <c r="U132" i="29"/>
  <c r="T125" i="29"/>
  <c r="U123" i="29"/>
  <c r="T124" i="29"/>
  <c r="T129" i="29"/>
  <c r="T113" i="29"/>
  <c r="T109" i="29"/>
  <c r="U189" i="29"/>
  <c r="V111" i="29"/>
  <c r="U119" i="29"/>
  <c r="T124" i="28"/>
  <c r="V133" i="28"/>
  <c r="U137" i="28"/>
  <c r="T122" i="28"/>
  <c r="V129" i="28"/>
  <c r="T143" i="28"/>
  <c r="S203" i="28"/>
  <c r="U138" i="28"/>
  <c r="T145" i="28"/>
  <c r="T123" i="28"/>
  <c r="X199" i="28"/>
  <c r="X200" i="28" s="1"/>
  <c r="U136" i="28"/>
  <c r="T125" i="28"/>
  <c r="T147" i="28"/>
  <c r="T127" i="28"/>
  <c r="U146" i="28"/>
  <c r="U144" i="28"/>
  <c r="U148" i="28"/>
  <c r="U130" i="28"/>
  <c r="T131" i="28"/>
  <c r="U126" i="28"/>
  <c r="U132" i="28"/>
  <c r="T139" i="28"/>
  <c r="T189" i="19"/>
  <c r="T211" i="19"/>
  <c r="T188" i="19"/>
  <c r="T192" i="19"/>
  <c r="U190" i="19"/>
  <c r="Z207" i="19"/>
  <c r="U264" i="19"/>
  <c r="U265" i="19" s="1"/>
  <c r="T187" i="19"/>
  <c r="V203" i="19"/>
  <c r="T209" i="19"/>
  <c r="T197" i="19"/>
  <c r="U212" i="19"/>
  <c r="T198" i="19"/>
  <c r="T202" i="19"/>
  <c r="U208" i="19"/>
  <c r="T213" i="19"/>
  <c r="T210" i="19"/>
  <c r="T195" i="19"/>
  <c r="S196" i="19"/>
  <c r="T201" i="19"/>
  <c r="T191" i="19"/>
  <c r="U204" i="19"/>
  <c r="U116" i="29" l="1"/>
  <c r="T117" i="29"/>
  <c r="U113" i="29"/>
  <c r="U125" i="29"/>
  <c r="U134" i="29"/>
  <c r="V108" i="29"/>
  <c r="X128" i="29"/>
  <c r="V119" i="29"/>
  <c r="U109" i="29"/>
  <c r="U115" i="29"/>
  <c r="W131" i="29"/>
  <c r="V189" i="29"/>
  <c r="U110" i="29"/>
  <c r="X118" i="29"/>
  <c r="U129" i="29"/>
  <c r="U124" i="29"/>
  <c r="V132" i="29"/>
  <c r="W111" i="29"/>
  <c r="V123" i="29"/>
  <c r="U133" i="29"/>
  <c r="V112" i="29"/>
  <c r="U130" i="29"/>
  <c r="V122" i="29"/>
  <c r="V185" i="29"/>
  <c r="V186" i="29" s="1"/>
  <c r="U124" i="28"/>
  <c r="U147" i="28"/>
  <c r="U125" i="28"/>
  <c r="W129" i="28"/>
  <c r="V137" i="28"/>
  <c r="U139" i="28"/>
  <c r="V130" i="28"/>
  <c r="U131" i="28"/>
  <c r="Y199" i="28"/>
  <c r="Y200" i="28" s="1"/>
  <c r="U145" i="28"/>
  <c r="W133" i="28"/>
  <c r="V132" i="28"/>
  <c r="V148" i="28"/>
  <c r="T203" i="28"/>
  <c r="V126" i="28"/>
  <c r="V144" i="28"/>
  <c r="V146" i="28"/>
  <c r="U127" i="28"/>
  <c r="V136" i="28"/>
  <c r="U123" i="28"/>
  <c r="V138" i="28"/>
  <c r="U143" i="28"/>
  <c r="U122" i="28"/>
  <c r="U211" i="19"/>
  <c r="U188" i="19"/>
  <c r="U189" i="19"/>
  <c r="U192" i="19"/>
  <c r="T196" i="19"/>
  <c r="U195" i="19"/>
  <c r="U197" i="19"/>
  <c r="U201" i="19"/>
  <c r="U202" i="19"/>
  <c r="U187" i="19"/>
  <c r="V264" i="19"/>
  <c r="V265" i="19" s="1"/>
  <c r="AA207" i="19"/>
  <c r="W203" i="19"/>
  <c r="V204" i="19"/>
  <c r="U213" i="19"/>
  <c r="V212" i="19"/>
  <c r="U191" i="19"/>
  <c r="U210" i="19"/>
  <c r="V208" i="19"/>
  <c r="U198" i="19"/>
  <c r="U209" i="19"/>
  <c r="V190" i="19"/>
  <c r="U117" i="29" l="1"/>
  <c r="V116" i="29"/>
  <c r="V129" i="29"/>
  <c r="V115" i="29"/>
  <c r="W185" i="29"/>
  <c r="W186" i="29" s="1"/>
  <c r="W122" i="29"/>
  <c r="W112" i="29"/>
  <c r="W123" i="29"/>
  <c r="V124" i="29"/>
  <c r="V110" i="29"/>
  <c r="X131" i="29"/>
  <c r="W119" i="29"/>
  <c r="W108" i="29"/>
  <c r="W189" i="29"/>
  <c r="V113" i="29"/>
  <c r="V130" i="29"/>
  <c r="V133" i="29"/>
  <c r="X111" i="29"/>
  <c r="W132" i="29"/>
  <c r="Y118" i="29"/>
  <c r="V109" i="29"/>
  <c r="Y128" i="29"/>
  <c r="V134" i="29"/>
  <c r="V125" i="29"/>
  <c r="V124" i="28"/>
  <c r="Z199" i="28"/>
  <c r="Z200" i="28" s="1"/>
  <c r="V122" i="28"/>
  <c r="W138" i="28"/>
  <c r="W132" i="28"/>
  <c r="X133" i="28"/>
  <c r="V145" i="28"/>
  <c r="V139" i="28"/>
  <c r="X129" i="28"/>
  <c r="V147" i="28"/>
  <c r="W144" i="28"/>
  <c r="W146" i="28"/>
  <c r="W126" i="28"/>
  <c r="U203" i="28"/>
  <c r="V127" i="28"/>
  <c r="W148" i="28"/>
  <c r="V131" i="28"/>
  <c r="W130" i="28"/>
  <c r="V143" i="28"/>
  <c r="V123" i="28"/>
  <c r="W136" i="28"/>
  <c r="W137" i="28"/>
  <c r="V125" i="28"/>
  <c r="V192" i="19"/>
  <c r="V188" i="19"/>
  <c r="V189" i="19"/>
  <c r="V211" i="19"/>
  <c r="V209" i="19"/>
  <c r="X203" i="19"/>
  <c r="U196" i="19"/>
  <c r="V195" i="19"/>
  <c r="AB207" i="19"/>
  <c r="V202" i="19"/>
  <c r="W190" i="19"/>
  <c r="V210" i="19"/>
  <c r="V201" i="19"/>
  <c r="V197" i="19"/>
  <c r="W208" i="19"/>
  <c r="V187" i="19"/>
  <c r="V198" i="19"/>
  <c r="V191" i="19"/>
  <c r="W204" i="19"/>
  <c r="W212" i="19"/>
  <c r="V213" i="19"/>
  <c r="W264" i="19"/>
  <c r="W265" i="19" s="1"/>
  <c r="AI14" i="20"/>
  <c r="AI17" i="20"/>
  <c r="AI15" i="20"/>
  <c r="AI16" i="20"/>
  <c r="L14" i="24"/>
  <c r="N22" i="24"/>
  <c r="C31" i="27"/>
  <c r="B31" i="27"/>
  <c r="B39" i="27" s="1"/>
  <c r="B30" i="27"/>
  <c r="B38" i="27" s="1"/>
  <c r="B29" i="27"/>
  <c r="B37" i="27" s="1"/>
  <c r="B28" i="27"/>
  <c r="D243" i="20"/>
  <c r="E243" i="20" s="1"/>
  <c r="D244" i="20"/>
  <c r="D245" i="20"/>
  <c r="D246" i="20"/>
  <c r="D247" i="20"/>
  <c r="E247" i="20" s="1"/>
  <c r="F247" i="20" s="1"/>
  <c r="G247" i="20" s="1"/>
  <c r="H247" i="20" s="1"/>
  <c r="I247" i="20" s="1"/>
  <c r="J247" i="20" s="1"/>
  <c r="K247" i="20" s="1"/>
  <c r="L247" i="20" s="1"/>
  <c r="M247" i="20" s="1"/>
  <c r="N247" i="20" s="1"/>
  <c r="O247" i="20" s="1"/>
  <c r="P247" i="20" s="1"/>
  <c r="Q247" i="20" s="1"/>
  <c r="R247" i="20" s="1"/>
  <c r="S247" i="20" s="1"/>
  <c r="T247" i="20" s="1"/>
  <c r="U247" i="20" s="1"/>
  <c r="V247" i="20" s="1"/>
  <c r="W247" i="20" s="1"/>
  <c r="X247" i="20" s="1"/>
  <c r="Y247" i="20" s="1"/>
  <c r="Z247" i="20" s="1"/>
  <c r="AA247" i="20" s="1"/>
  <c r="AB247" i="20" s="1"/>
  <c r="AC247" i="20" s="1"/>
  <c r="AD247" i="20" s="1"/>
  <c r="AE247" i="20" s="1"/>
  <c r="AF247" i="20" s="1"/>
  <c r="D248" i="20"/>
  <c r="E248" i="20" s="1"/>
  <c r="F248" i="20" s="1"/>
  <c r="G248" i="20" s="1"/>
  <c r="H248" i="20" s="1"/>
  <c r="I248" i="20" s="1"/>
  <c r="J248" i="20" s="1"/>
  <c r="K248" i="20" s="1"/>
  <c r="L248" i="20" s="1"/>
  <c r="M248" i="20" s="1"/>
  <c r="N248" i="20" s="1"/>
  <c r="O248" i="20" s="1"/>
  <c r="P248" i="20" s="1"/>
  <c r="Q248" i="20" s="1"/>
  <c r="R248" i="20" s="1"/>
  <c r="S248" i="20" s="1"/>
  <c r="T248" i="20" s="1"/>
  <c r="U248" i="20" s="1"/>
  <c r="V248" i="20" s="1"/>
  <c r="W248" i="20" s="1"/>
  <c r="X248" i="20" s="1"/>
  <c r="Y248" i="20" s="1"/>
  <c r="Z248" i="20" s="1"/>
  <c r="AA248" i="20" s="1"/>
  <c r="AB248" i="20" s="1"/>
  <c r="AC248" i="20" s="1"/>
  <c r="AD248" i="20" s="1"/>
  <c r="AE248" i="20" s="1"/>
  <c r="AF248" i="20" s="1"/>
  <c r="D250" i="20"/>
  <c r="E250" i="20" s="1"/>
  <c r="F250" i="20" s="1"/>
  <c r="G250" i="20" s="1"/>
  <c r="H250" i="20" s="1"/>
  <c r="I250" i="20" s="1"/>
  <c r="J250" i="20" s="1"/>
  <c r="K250" i="20" s="1"/>
  <c r="L250" i="20" s="1"/>
  <c r="M250" i="20" s="1"/>
  <c r="N250" i="20" s="1"/>
  <c r="O250" i="20" s="1"/>
  <c r="P250" i="20" s="1"/>
  <c r="Q250" i="20" s="1"/>
  <c r="R250" i="20" s="1"/>
  <c r="S250" i="20" s="1"/>
  <c r="T250" i="20" s="1"/>
  <c r="U250" i="20" s="1"/>
  <c r="V250" i="20" s="1"/>
  <c r="W250" i="20" s="1"/>
  <c r="X250" i="20" s="1"/>
  <c r="Y250" i="20" s="1"/>
  <c r="Z250" i="20" s="1"/>
  <c r="AA250" i="20" s="1"/>
  <c r="AB250" i="20" s="1"/>
  <c r="AC250" i="20" s="1"/>
  <c r="AD250" i="20" s="1"/>
  <c r="AE250" i="20" s="1"/>
  <c r="AF250" i="20" s="1"/>
  <c r="D239" i="20"/>
  <c r="E239" i="20" s="1"/>
  <c r="D242" i="20"/>
  <c r="E242" i="20" s="1"/>
  <c r="F242" i="20" s="1"/>
  <c r="G242" i="20" s="1"/>
  <c r="H242" i="20" s="1"/>
  <c r="I242" i="20" s="1"/>
  <c r="J242" i="20" s="1"/>
  <c r="K242" i="20" s="1"/>
  <c r="L242" i="20" s="1"/>
  <c r="M242" i="20" s="1"/>
  <c r="N242" i="20" s="1"/>
  <c r="O242" i="20" s="1"/>
  <c r="P242" i="20" s="1"/>
  <c r="Q242" i="20" s="1"/>
  <c r="R242" i="20" s="1"/>
  <c r="S242" i="20" s="1"/>
  <c r="T242" i="20" s="1"/>
  <c r="U242" i="20" s="1"/>
  <c r="V242" i="20" s="1"/>
  <c r="W242" i="20" s="1"/>
  <c r="X242" i="20" s="1"/>
  <c r="Y242" i="20" s="1"/>
  <c r="Z242" i="20" s="1"/>
  <c r="AA242" i="20" s="1"/>
  <c r="AB242" i="20" s="1"/>
  <c r="AC242" i="20" s="1"/>
  <c r="AD242" i="20" s="1"/>
  <c r="AE242" i="20" s="1"/>
  <c r="AF242" i="20" s="1"/>
  <c r="D241" i="20"/>
  <c r="E241" i="20" s="1"/>
  <c r="F241" i="20" s="1"/>
  <c r="G241" i="20" s="1"/>
  <c r="H241" i="20" s="1"/>
  <c r="I241" i="20" s="1"/>
  <c r="J241" i="20" s="1"/>
  <c r="K241" i="20" s="1"/>
  <c r="L241" i="20" s="1"/>
  <c r="M241" i="20" s="1"/>
  <c r="N241" i="20" s="1"/>
  <c r="O241" i="20" s="1"/>
  <c r="P241" i="20" s="1"/>
  <c r="Q241" i="20" s="1"/>
  <c r="R241" i="20" s="1"/>
  <c r="S241" i="20" s="1"/>
  <c r="T241" i="20" s="1"/>
  <c r="U241" i="20" s="1"/>
  <c r="V241" i="20" s="1"/>
  <c r="W241" i="20" s="1"/>
  <c r="X241" i="20" s="1"/>
  <c r="Y241" i="20" s="1"/>
  <c r="Z241" i="20" s="1"/>
  <c r="AA241" i="20" s="1"/>
  <c r="AB241" i="20" s="1"/>
  <c r="AC241" i="20" s="1"/>
  <c r="AD241" i="20" s="1"/>
  <c r="AE241" i="20" s="1"/>
  <c r="AF241" i="20" s="1"/>
  <c r="D240" i="20"/>
  <c r="AG238" i="20"/>
  <c r="C238" i="20"/>
  <c r="D237" i="20"/>
  <c r="D238" i="20" s="1"/>
  <c r="R308" i="20"/>
  <c r="D306" i="20"/>
  <c r="D307" i="20" s="1"/>
  <c r="S308" i="20" s="1"/>
  <c r="D249" i="20"/>
  <c r="E249" i="20" s="1"/>
  <c r="F249" i="20" s="1"/>
  <c r="G249" i="20" s="1"/>
  <c r="H249" i="20" s="1"/>
  <c r="I249" i="20" s="1"/>
  <c r="J249" i="20" s="1"/>
  <c r="K249" i="20" s="1"/>
  <c r="L249" i="20" s="1"/>
  <c r="M249" i="20" s="1"/>
  <c r="N249" i="20" s="1"/>
  <c r="O249" i="20" s="1"/>
  <c r="P249" i="20" s="1"/>
  <c r="Q249" i="20" s="1"/>
  <c r="R249" i="20" s="1"/>
  <c r="S249" i="20" s="1"/>
  <c r="T249" i="20" s="1"/>
  <c r="U249" i="20" s="1"/>
  <c r="V249" i="20" s="1"/>
  <c r="W249" i="20" s="1"/>
  <c r="X249" i="20" s="1"/>
  <c r="Y249" i="20" s="1"/>
  <c r="Z249" i="20" s="1"/>
  <c r="AA249" i="20" s="1"/>
  <c r="AB249" i="20" s="1"/>
  <c r="AC249" i="20" s="1"/>
  <c r="AD249" i="20" s="1"/>
  <c r="AE249" i="20" s="1"/>
  <c r="AF249" i="20" s="1"/>
  <c r="B36" i="27" l="1"/>
  <c r="V117" i="29"/>
  <c r="W116" i="29"/>
  <c r="X108" i="29"/>
  <c r="X112" i="29"/>
  <c r="X185" i="29"/>
  <c r="X186" i="29" s="1"/>
  <c r="W130" i="29"/>
  <c r="W110" i="29"/>
  <c r="W129" i="29"/>
  <c r="X189" i="29"/>
  <c r="W134" i="29"/>
  <c r="W109" i="29"/>
  <c r="Y111" i="29"/>
  <c r="X119" i="29"/>
  <c r="X123" i="29"/>
  <c r="X122" i="29"/>
  <c r="W115" i="29"/>
  <c r="Z118" i="29"/>
  <c r="W125" i="29"/>
  <c r="Z128" i="29"/>
  <c r="X132" i="29"/>
  <c r="W133" i="29"/>
  <c r="W113" i="29"/>
  <c r="Y131" i="29"/>
  <c r="W124" i="29"/>
  <c r="W124" i="28"/>
  <c r="X144" i="28"/>
  <c r="X137" i="28"/>
  <c r="X136" i="28"/>
  <c r="W143" i="28"/>
  <c r="X130" i="28"/>
  <c r="W131" i="28"/>
  <c r="V203" i="28"/>
  <c r="Y129" i="28"/>
  <c r="W122" i="28"/>
  <c r="Y133" i="28"/>
  <c r="X138" i="28"/>
  <c r="X146" i="28"/>
  <c r="W125" i="28"/>
  <c r="W123" i="28"/>
  <c r="X148" i="28"/>
  <c r="W127" i="28"/>
  <c r="X126" i="28"/>
  <c r="W147" i="28"/>
  <c r="W139" i="28"/>
  <c r="W145" i="28"/>
  <c r="X132" i="28"/>
  <c r="AA199" i="28"/>
  <c r="AA200" i="28" s="1"/>
  <c r="W188" i="19"/>
  <c r="W192" i="19"/>
  <c r="W211" i="19"/>
  <c r="W189" i="19"/>
  <c r="X264" i="19"/>
  <c r="X265" i="19" s="1"/>
  <c r="X212" i="19"/>
  <c r="X208" i="19"/>
  <c r="W201" i="19"/>
  <c r="X190" i="19"/>
  <c r="Y203" i="19"/>
  <c r="W191" i="19"/>
  <c r="W202" i="19"/>
  <c r="W213" i="19"/>
  <c r="W198" i="19"/>
  <c r="W187" i="19"/>
  <c r="W197" i="19"/>
  <c r="W210" i="19"/>
  <c r="AC207" i="19"/>
  <c r="W209" i="19"/>
  <c r="W195" i="19"/>
  <c r="V196" i="19"/>
  <c r="X204" i="19"/>
  <c r="M308" i="20"/>
  <c r="F243" i="20"/>
  <c r="E244" i="20"/>
  <c r="F239" i="20"/>
  <c r="E246" i="20"/>
  <c r="E240" i="20"/>
  <c r="E245" i="20"/>
  <c r="E237" i="20"/>
  <c r="E306" i="20"/>
  <c r="E307" i="20" s="1"/>
  <c r="T308" i="20" s="1"/>
  <c r="W117" i="29" l="1"/>
  <c r="X116" i="29"/>
  <c r="X109" i="29"/>
  <c r="Y189" i="29"/>
  <c r="Y112" i="29"/>
  <c r="Y108" i="29"/>
  <c r="X113" i="29"/>
  <c r="Y132" i="29"/>
  <c r="X125" i="29"/>
  <c r="Y122" i="29"/>
  <c r="Z111" i="29"/>
  <c r="X110" i="29"/>
  <c r="X124" i="29"/>
  <c r="X134" i="29"/>
  <c r="X129" i="29"/>
  <c r="Z131" i="29"/>
  <c r="X133" i="29"/>
  <c r="AA128" i="29"/>
  <c r="AA118" i="29"/>
  <c r="X115" i="29"/>
  <c r="Y123" i="29"/>
  <c r="Y119" i="29"/>
  <c r="X130" i="29"/>
  <c r="Y185" i="29"/>
  <c r="Y186" i="29" s="1"/>
  <c r="X124" i="28"/>
  <c r="X147" i="28"/>
  <c r="Y148" i="28"/>
  <c r="Y137" i="28"/>
  <c r="Y138" i="28"/>
  <c r="Z129" i="28"/>
  <c r="X131" i="28"/>
  <c r="Y130" i="28"/>
  <c r="Y144" i="28"/>
  <c r="X145" i="28"/>
  <c r="Y126" i="28"/>
  <c r="X143" i="28"/>
  <c r="X139" i="28"/>
  <c r="X127" i="28"/>
  <c r="X123" i="28"/>
  <c r="X125" i="28"/>
  <c r="X122" i="28"/>
  <c r="AB199" i="28"/>
  <c r="AB200" i="28" s="1"/>
  <c r="Y132" i="28"/>
  <c r="Y146" i="28"/>
  <c r="Z133" i="28"/>
  <c r="W203" i="28"/>
  <c r="Y136" i="28"/>
  <c r="X192" i="19"/>
  <c r="X189" i="19"/>
  <c r="X211" i="19"/>
  <c r="X188" i="19"/>
  <c r="X201" i="19"/>
  <c r="W196" i="19"/>
  <c r="X195" i="19"/>
  <c r="Z203" i="19"/>
  <c r="Y208" i="19"/>
  <c r="Y264" i="19"/>
  <c r="Y265" i="19" s="1"/>
  <c r="AD207" i="19"/>
  <c r="X191" i="19"/>
  <c r="Y190" i="19"/>
  <c r="Y212" i="19"/>
  <c r="X209" i="19"/>
  <c r="X187" i="19"/>
  <c r="X213" i="19"/>
  <c r="X202" i="19"/>
  <c r="Y204" i="19"/>
  <c r="X210" i="19"/>
  <c r="X197" i="19"/>
  <c r="X198" i="19"/>
  <c r="F244" i="20"/>
  <c r="F240" i="20"/>
  <c r="G239" i="20"/>
  <c r="F246" i="20"/>
  <c r="F245" i="20"/>
  <c r="G243" i="20"/>
  <c r="E238" i="20"/>
  <c r="F237" i="20"/>
  <c r="F306" i="20"/>
  <c r="F307" i="20" s="1"/>
  <c r="U308" i="20" s="1"/>
  <c r="X117" i="29" l="1"/>
  <c r="Y116" i="29"/>
  <c r="Z122" i="29"/>
  <c r="Z189" i="29"/>
  <c r="Z185" i="29"/>
  <c r="Z186" i="29" s="1"/>
  <c r="AB118" i="29"/>
  <c r="AA131" i="29"/>
  <c r="Y129" i="29"/>
  <c r="Y124" i="29"/>
  <c r="Z132" i="29"/>
  <c r="Z112" i="29"/>
  <c r="Y109" i="29"/>
  <c r="Z119" i="29"/>
  <c r="Y110" i="29"/>
  <c r="Z123" i="29"/>
  <c r="AB128" i="29"/>
  <c r="AA111" i="29"/>
  <c r="Y130" i="29"/>
  <c r="Y115" i="29"/>
  <c r="Y133" i="29"/>
  <c r="Y134" i="29"/>
  <c r="Y125" i="29"/>
  <c r="Y113" i="29"/>
  <c r="Z108" i="29"/>
  <c r="Y124" i="28"/>
  <c r="Y127" i="28"/>
  <c r="Z126" i="28"/>
  <c r="Z148" i="28"/>
  <c r="Y125" i="28"/>
  <c r="Z144" i="28"/>
  <c r="Z137" i="28"/>
  <c r="Z136" i="28"/>
  <c r="AA133" i="28"/>
  <c r="Y122" i="28"/>
  <c r="Y139" i="28"/>
  <c r="Y143" i="28"/>
  <c r="Y145" i="28"/>
  <c r="Y147" i="28"/>
  <c r="Z146" i="28"/>
  <c r="AC199" i="28"/>
  <c r="AC200" i="28" s="1"/>
  <c r="X203" i="28"/>
  <c r="Z132" i="28"/>
  <c r="Y123" i="28"/>
  <c r="Z130" i="28"/>
  <c r="Y131" i="28"/>
  <c r="AA129" i="28"/>
  <c r="Z138" i="28"/>
  <c r="Y188" i="19"/>
  <c r="Y192" i="19"/>
  <c r="Y189" i="19"/>
  <c r="Y211" i="19"/>
  <c r="Y210" i="19"/>
  <c r="Y187" i="19"/>
  <c r="Z212" i="19"/>
  <c r="Y191" i="19"/>
  <c r="X196" i="19"/>
  <c r="Y195" i="19"/>
  <c r="Y201" i="19"/>
  <c r="Y197" i="19"/>
  <c r="Z204" i="19"/>
  <c r="Y213" i="19"/>
  <c r="Y209" i="19"/>
  <c r="Z264" i="19"/>
  <c r="Z265" i="19" s="1"/>
  <c r="Y198" i="19"/>
  <c r="Y202" i="19"/>
  <c r="AE207" i="19"/>
  <c r="Z190" i="19"/>
  <c r="Z208" i="19"/>
  <c r="AA203" i="19"/>
  <c r="H243" i="20"/>
  <c r="G246" i="20"/>
  <c r="G240" i="20"/>
  <c r="G245" i="20"/>
  <c r="H239" i="20"/>
  <c r="G244" i="20"/>
  <c r="G237" i="20"/>
  <c r="F238" i="20"/>
  <c r="G306" i="20"/>
  <c r="G307" i="20" s="1"/>
  <c r="V308" i="20" s="1"/>
  <c r="Z116" i="29" l="1"/>
  <c r="Y117" i="29"/>
  <c r="Z125" i="29"/>
  <c r="AA108" i="29"/>
  <c r="Z134" i="29"/>
  <c r="AC118" i="29"/>
  <c r="Z115" i="29"/>
  <c r="AC128" i="29"/>
  <c r="AA112" i="29"/>
  <c r="Z124" i="29"/>
  <c r="AA189" i="29"/>
  <c r="AB131" i="29"/>
  <c r="AA122" i="29"/>
  <c r="Z113" i="29"/>
  <c r="Z133" i="29"/>
  <c r="Z130" i="29"/>
  <c r="AB111" i="29"/>
  <c r="AA123" i="29"/>
  <c r="Z110" i="29"/>
  <c r="AA119" i="29"/>
  <c r="Z109" i="29"/>
  <c r="AA132" i="29"/>
  <c r="Z129" i="29"/>
  <c r="AA185" i="29"/>
  <c r="AA186" i="29" s="1"/>
  <c r="Z124" i="28"/>
  <c r="Z123" i="28"/>
  <c r="AA146" i="28"/>
  <c r="AA136" i="28"/>
  <c r="AA144" i="28"/>
  <c r="AA148" i="28"/>
  <c r="AB129" i="28"/>
  <c r="Z145" i="28"/>
  <c r="Y203" i="28"/>
  <c r="Z143" i="28"/>
  <c r="Z122" i="28"/>
  <c r="Z139" i="28"/>
  <c r="AA138" i="28"/>
  <c r="Z131" i="28"/>
  <c r="AA130" i="28"/>
  <c r="AA132" i="28"/>
  <c r="AD199" i="28"/>
  <c r="AD200" i="28" s="1"/>
  <c r="Z147" i="28"/>
  <c r="AB133" i="28"/>
  <c r="AA137" i="28"/>
  <c r="Z125" i="28"/>
  <c r="AA126" i="28"/>
  <c r="Z127" i="28"/>
  <c r="Z211" i="19"/>
  <c r="Z189" i="19"/>
  <c r="Z192" i="19"/>
  <c r="Z188" i="19"/>
  <c r="Z201" i="19"/>
  <c r="Z191" i="19"/>
  <c r="Z202" i="19"/>
  <c r="AB203" i="19"/>
  <c r="AF207" i="19"/>
  <c r="AA264" i="19"/>
  <c r="AA265" i="19" s="1"/>
  <c r="Z213" i="19"/>
  <c r="Y196" i="19"/>
  <c r="Z195" i="19"/>
  <c r="AA212" i="19"/>
  <c r="Z210" i="19"/>
  <c r="AA208" i="19"/>
  <c r="Z209" i="19"/>
  <c r="AA190" i="19"/>
  <c r="AA204" i="19"/>
  <c r="Z187" i="19"/>
  <c r="Z198" i="19"/>
  <c r="Z197" i="19"/>
  <c r="H244" i="20"/>
  <c r="H245" i="20"/>
  <c r="H246" i="20"/>
  <c r="I239" i="20"/>
  <c r="H240" i="20"/>
  <c r="I243" i="20"/>
  <c r="H237" i="20"/>
  <c r="G238" i="20"/>
  <c r="H306" i="20"/>
  <c r="H307" i="20" s="1"/>
  <c r="W308" i="20" s="1"/>
  <c r="AA116" i="29" l="1"/>
  <c r="Z117" i="29"/>
  <c r="AB112" i="29"/>
  <c r="AB185" i="29"/>
  <c r="AB186" i="29" s="1"/>
  <c r="AB132" i="29"/>
  <c r="AB119" i="29"/>
  <c r="AB123" i="29"/>
  <c r="AA130" i="29"/>
  <c r="AB122" i="29"/>
  <c r="AA134" i="29"/>
  <c r="AA124" i="29"/>
  <c r="AA115" i="29"/>
  <c r="AA125" i="29"/>
  <c r="AA129" i="29"/>
  <c r="AA109" i="29"/>
  <c r="AA110" i="29"/>
  <c r="AC111" i="29"/>
  <c r="AA133" i="29"/>
  <c r="AA113" i="29"/>
  <c r="AC131" i="29"/>
  <c r="AB189" i="29"/>
  <c r="AD128" i="29"/>
  <c r="AD118" i="29"/>
  <c r="AB108" i="29"/>
  <c r="AA124" i="28"/>
  <c r="AA139" i="28"/>
  <c r="AB136" i="28"/>
  <c r="AA127" i="28"/>
  <c r="AC133" i="28"/>
  <c r="AB130" i="28"/>
  <c r="AA131" i="28"/>
  <c r="AB138" i="28"/>
  <c r="Z203" i="28"/>
  <c r="AB144" i="28"/>
  <c r="AE199" i="28"/>
  <c r="AE200" i="28" s="1"/>
  <c r="AA143" i="28"/>
  <c r="AA145" i="28"/>
  <c r="AB146" i="28"/>
  <c r="AA123" i="28"/>
  <c r="AA125" i="28"/>
  <c r="AA122" i="28"/>
  <c r="AC129" i="28"/>
  <c r="AB137" i="28"/>
  <c r="AB126" i="28"/>
  <c r="AA147" i="28"/>
  <c r="AB132" i="28"/>
  <c r="AB148" i="28"/>
  <c r="AA188" i="19"/>
  <c r="AA189" i="19"/>
  <c r="AA192" i="19"/>
  <c r="AA211" i="19"/>
  <c r="AB204" i="19"/>
  <c r="AA209" i="19"/>
  <c r="AA210" i="19"/>
  <c r="AB264" i="19"/>
  <c r="AB265" i="19" s="1"/>
  <c r="AC203" i="19"/>
  <c r="AA202" i="19"/>
  <c r="AA201" i="19"/>
  <c r="AB208" i="19"/>
  <c r="AA191" i="19"/>
  <c r="AA198" i="19"/>
  <c r="AA197" i="19"/>
  <c r="AA187" i="19"/>
  <c r="AB190" i="19"/>
  <c r="AB212" i="19"/>
  <c r="AA195" i="19"/>
  <c r="Z196" i="19"/>
  <c r="AA213" i="19"/>
  <c r="J243" i="20"/>
  <c r="J239" i="20"/>
  <c r="I245" i="20"/>
  <c r="I240" i="20"/>
  <c r="I246" i="20"/>
  <c r="I244" i="20"/>
  <c r="H238" i="20"/>
  <c r="I237" i="20"/>
  <c r="I306" i="20"/>
  <c r="I307" i="20" s="1"/>
  <c r="X308" i="20" s="1"/>
  <c r="AB116" i="29" l="1"/>
  <c r="AA117" i="29"/>
  <c r="AC189" i="29"/>
  <c r="AE118" i="29"/>
  <c r="AD131" i="29"/>
  <c r="AB133" i="29"/>
  <c r="AB110" i="29"/>
  <c r="AB129" i="29"/>
  <c r="AB134" i="29"/>
  <c r="AC122" i="29"/>
  <c r="AC123" i="29"/>
  <c r="AC132" i="29"/>
  <c r="AC112" i="29"/>
  <c r="AC108" i="29"/>
  <c r="AB113" i="29"/>
  <c r="AB109" i="29"/>
  <c r="AB115" i="29"/>
  <c r="AB130" i="29"/>
  <c r="AC119" i="29"/>
  <c r="AD111" i="29"/>
  <c r="AE128" i="29"/>
  <c r="AB125" i="29"/>
  <c r="AB124" i="29"/>
  <c r="AC185" i="29"/>
  <c r="AC186" i="29" s="1"/>
  <c r="AB124" i="28"/>
  <c r="AD133" i="28"/>
  <c r="AC126" i="28"/>
  <c r="AC137" i="28"/>
  <c r="AD129" i="28"/>
  <c r="AC146" i="28"/>
  <c r="AB143" i="28"/>
  <c r="AC144" i="28"/>
  <c r="AA203" i="28"/>
  <c r="AC148" i="28"/>
  <c r="AB125" i="28"/>
  <c r="AB139" i="28"/>
  <c r="AC132" i="28"/>
  <c r="AB123" i="28"/>
  <c r="AC138" i="28"/>
  <c r="AB131" i="28"/>
  <c r="AC130" i="28"/>
  <c r="AB127" i="28"/>
  <c r="AC136" i="28"/>
  <c r="AB122" i="28"/>
  <c r="AB147" i="28"/>
  <c r="AB145" i="28"/>
  <c r="AF199" i="28"/>
  <c r="AF200" i="28" s="1"/>
  <c r="AB211" i="19"/>
  <c r="AB189" i="19"/>
  <c r="AB188" i="19"/>
  <c r="AB192" i="19"/>
  <c r="AB202" i="19"/>
  <c r="AC264" i="19"/>
  <c r="AC265" i="19" s="1"/>
  <c r="AB210" i="19"/>
  <c r="AC212" i="19"/>
  <c r="AB187" i="19"/>
  <c r="AB213" i="19"/>
  <c r="AB191" i="19"/>
  <c r="AC204" i="19"/>
  <c r="AB198" i="19"/>
  <c r="AC208" i="19"/>
  <c r="AB195" i="19"/>
  <c r="AA196" i="19"/>
  <c r="AC190" i="19"/>
  <c r="AB197" i="19"/>
  <c r="AB201" i="19"/>
  <c r="AD203" i="19"/>
  <c r="AB209" i="19"/>
  <c r="J244" i="20"/>
  <c r="J240" i="20"/>
  <c r="K239" i="20"/>
  <c r="J246" i="20"/>
  <c r="J245" i="20"/>
  <c r="K243" i="20"/>
  <c r="I238" i="20"/>
  <c r="J237" i="20"/>
  <c r="J306" i="20"/>
  <c r="J307" i="20" s="1"/>
  <c r="Y308" i="20" s="1"/>
  <c r="AC116" i="29" l="1"/>
  <c r="AB117" i="29"/>
  <c r="AF128" i="29"/>
  <c r="AD112" i="29"/>
  <c r="AC129" i="29"/>
  <c r="AC133" i="29"/>
  <c r="AD185" i="29"/>
  <c r="AD186" i="29" s="1"/>
  <c r="AC125" i="29"/>
  <c r="AC130" i="29"/>
  <c r="AC115" i="29"/>
  <c r="AC113" i="29"/>
  <c r="AD123" i="29"/>
  <c r="AC134" i="29"/>
  <c r="AC124" i="29"/>
  <c r="AD108" i="29"/>
  <c r="AC110" i="29"/>
  <c r="AE131" i="29"/>
  <c r="AD189" i="29"/>
  <c r="AE111" i="29"/>
  <c r="AD119" i="29"/>
  <c r="AC109" i="29"/>
  <c r="AD132" i="29"/>
  <c r="AD122" i="29"/>
  <c r="AF118" i="29"/>
  <c r="AC124" i="28"/>
  <c r="AC125" i="28"/>
  <c r="AD146" i="28"/>
  <c r="AD137" i="28"/>
  <c r="AE133" i="28"/>
  <c r="AG199" i="28"/>
  <c r="AG200" i="28" s="1"/>
  <c r="AC147" i="28"/>
  <c r="AD136" i="28"/>
  <c r="AC131" i="28"/>
  <c r="AD130" i="28"/>
  <c r="AD132" i="28"/>
  <c r="AC139" i="28"/>
  <c r="AD148" i="28"/>
  <c r="AB203" i="28"/>
  <c r="AD138" i="28"/>
  <c r="AD144" i="28"/>
  <c r="AC143" i="28"/>
  <c r="AE129" i="28"/>
  <c r="AC145" i="28"/>
  <c r="AC123" i="28"/>
  <c r="AC122" i="28"/>
  <c r="AC127" i="28"/>
  <c r="AD126" i="28"/>
  <c r="AC192" i="19"/>
  <c r="AC189" i="19"/>
  <c r="AC188" i="19"/>
  <c r="AC211" i="19"/>
  <c r="AC198" i="19"/>
  <c r="AD212" i="19"/>
  <c r="AB196" i="19"/>
  <c r="AC195" i="19"/>
  <c r="AD204" i="19"/>
  <c r="AC209" i="19"/>
  <c r="AE203" i="19"/>
  <c r="AD264" i="19"/>
  <c r="AD265" i="19" s="1"/>
  <c r="AC201" i="19"/>
  <c r="AD190" i="19"/>
  <c r="AC213" i="19"/>
  <c r="AC197" i="19"/>
  <c r="AD208" i="19"/>
  <c r="AC191" i="19"/>
  <c r="AC187" i="19"/>
  <c r="AC210" i="19"/>
  <c r="AC202" i="19"/>
  <c r="K246" i="20"/>
  <c r="K240" i="20"/>
  <c r="L243" i="20"/>
  <c r="K245" i="20"/>
  <c r="L239" i="20"/>
  <c r="K244" i="20"/>
  <c r="K237" i="20"/>
  <c r="J238" i="20"/>
  <c r="K306" i="20"/>
  <c r="K307" i="20" s="1"/>
  <c r="Z308" i="20" s="1"/>
  <c r="AD116" i="29" l="1"/>
  <c r="AC117" i="29"/>
  <c r="AE108" i="29"/>
  <c r="AD134" i="29"/>
  <c r="AD113" i="29"/>
  <c r="AD129" i="29"/>
  <c r="AE112" i="29"/>
  <c r="AE122" i="29"/>
  <c r="AD109" i="29"/>
  <c r="AF111" i="29"/>
  <c r="AD110" i="29"/>
  <c r="AD124" i="29"/>
  <c r="AE189" i="29"/>
  <c r="AE123" i="29"/>
  <c r="AD125" i="29"/>
  <c r="AD133" i="29"/>
  <c r="AE132" i="29"/>
  <c r="AE119" i="29"/>
  <c r="AF131" i="29"/>
  <c r="AD115" i="29"/>
  <c r="AD130" i="29"/>
  <c r="AE185" i="29"/>
  <c r="AE186" i="29" s="1"/>
  <c r="AD124" i="28"/>
  <c r="AD127" i="28"/>
  <c r="AF133" i="28"/>
  <c r="AD125" i="28"/>
  <c r="AD122" i="28"/>
  <c r="AE132" i="28"/>
  <c r="AD147" i="28"/>
  <c r="AE146" i="28"/>
  <c r="AE126" i="28"/>
  <c r="AD145" i="28"/>
  <c r="AD143" i="28"/>
  <c r="AE148" i="28"/>
  <c r="AD123" i="28"/>
  <c r="AF129" i="28"/>
  <c r="AE144" i="28"/>
  <c r="AE138" i="28"/>
  <c r="AC203" i="28"/>
  <c r="AD139" i="28"/>
  <c r="AD131" i="28"/>
  <c r="AE130" i="28"/>
  <c r="AE136" i="28"/>
  <c r="AE137" i="28"/>
  <c r="AD211" i="19"/>
  <c r="AD188" i="19"/>
  <c r="AD192" i="19"/>
  <c r="AD189" i="19"/>
  <c r="AD191" i="19"/>
  <c r="AD197" i="19"/>
  <c r="AE190" i="19"/>
  <c r="AE204" i="19"/>
  <c r="AD202" i="19"/>
  <c r="AD187" i="19"/>
  <c r="AE208" i="19"/>
  <c r="AD201" i="19"/>
  <c r="AF203" i="19"/>
  <c r="AC196" i="19"/>
  <c r="AD195" i="19"/>
  <c r="AE212" i="19"/>
  <c r="AD210" i="19"/>
  <c r="AD198" i="19"/>
  <c r="AD213" i="19"/>
  <c r="AE264" i="19"/>
  <c r="AE265" i="19" s="1"/>
  <c r="AD209" i="19"/>
  <c r="L244" i="20"/>
  <c r="L245" i="20"/>
  <c r="L240" i="20"/>
  <c r="M239" i="20"/>
  <c r="M243" i="20"/>
  <c r="L246" i="20"/>
  <c r="L237" i="20"/>
  <c r="K238" i="20"/>
  <c r="L306" i="20"/>
  <c r="L307" i="20" s="1"/>
  <c r="AA308" i="20" s="1"/>
  <c r="AD117" i="29" l="1"/>
  <c r="AE116" i="29"/>
  <c r="AF119" i="29"/>
  <c r="AF123" i="29"/>
  <c r="AE129" i="29"/>
  <c r="AF185" i="29"/>
  <c r="AF186" i="29" s="1"/>
  <c r="AE115" i="29"/>
  <c r="AE110" i="29"/>
  <c r="AE109" i="29"/>
  <c r="AE113" i="29"/>
  <c r="AF108" i="29"/>
  <c r="AF132" i="29"/>
  <c r="AE125" i="29"/>
  <c r="AF189" i="29"/>
  <c r="AF112" i="29"/>
  <c r="AE130" i="29"/>
  <c r="AE133" i="29"/>
  <c r="AE124" i="29"/>
  <c r="AF122" i="29"/>
  <c r="AE134" i="29"/>
  <c r="AE124" i="28"/>
  <c r="AE122" i="28"/>
  <c r="AF132" i="28"/>
  <c r="AF136" i="28"/>
  <c r="AD203" i="28"/>
  <c r="AF144" i="28"/>
  <c r="AE123" i="28"/>
  <c r="AF148" i="28"/>
  <c r="AE145" i="28"/>
  <c r="AF126" i="28"/>
  <c r="AE147" i="28"/>
  <c r="AE125" i="28"/>
  <c r="AE139" i="28"/>
  <c r="AE143" i="28"/>
  <c r="AF137" i="28"/>
  <c r="AF130" i="28"/>
  <c r="AE131" i="28"/>
  <c r="AF138" i="28"/>
  <c r="AF146" i="28"/>
  <c r="AE127" i="28"/>
  <c r="AE188" i="19"/>
  <c r="AE192" i="19"/>
  <c r="AE211" i="19"/>
  <c r="AE189" i="19"/>
  <c r="AE209" i="19"/>
  <c r="AE213" i="19"/>
  <c r="AE202" i="19"/>
  <c r="AF204" i="19"/>
  <c r="AF190" i="19"/>
  <c r="AE198" i="19"/>
  <c r="AE195" i="19"/>
  <c r="AD196" i="19"/>
  <c r="AF208" i="19"/>
  <c r="AE210" i="19"/>
  <c r="AE201" i="19"/>
  <c r="AE191" i="19"/>
  <c r="AF212" i="19"/>
  <c r="AF264" i="19"/>
  <c r="AF265" i="19" s="1"/>
  <c r="AE187" i="19"/>
  <c r="AE197" i="19"/>
  <c r="M246" i="20"/>
  <c r="N239" i="20"/>
  <c r="M245" i="20"/>
  <c r="N243" i="20"/>
  <c r="M240" i="20"/>
  <c r="M244" i="20"/>
  <c r="L238" i="20"/>
  <c r="M237" i="20"/>
  <c r="M306" i="20"/>
  <c r="M307" i="20" s="1"/>
  <c r="AB308" i="20" s="1"/>
  <c r="AE117" i="29" l="1"/>
  <c r="AF116" i="29"/>
  <c r="AF117" i="29" s="1"/>
  <c r="AF113" i="29"/>
  <c r="AF109" i="29"/>
  <c r="AG185" i="29"/>
  <c r="AG186" i="29" s="1"/>
  <c r="AF124" i="29"/>
  <c r="AF130" i="29"/>
  <c r="AF125" i="29"/>
  <c r="AF115" i="29"/>
  <c r="AF129" i="29"/>
  <c r="AF110" i="29"/>
  <c r="AF134" i="29"/>
  <c r="AF133" i="29"/>
  <c r="AG189" i="29"/>
  <c r="AF124" i="28"/>
  <c r="AF139" i="28"/>
  <c r="AF122" i="28"/>
  <c r="AF143" i="28"/>
  <c r="AF147" i="28"/>
  <c r="AF145" i="28"/>
  <c r="AF123" i="28"/>
  <c r="AF127" i="28"/>
  <c r="AF131" i="28"/>
  <c r="AF125" i="28"/>
  <c r="AE203" i="28"/>
  <c r="AF189" i="19"/>
  <c r="AF192" i="19"/>
  <c r="AF211" i="19"/>
  <c r="AF188" i="19"/>
  <c r="AF191" i="19"/>
  <c r="AF210" i="19"/>
  <c r="AF198" i="19"/>
  <c r="AG264" i="19"/>
  <c r="AG265" i="19" s="1"/>
  <c r="AF213" i="19"/>
  <c r="AF187" i="19"/>
  <c r="AE196" i="19"/>
  <c r="AF195" i="19"/>
  <c r="AF209" i="19"/>
  <c r="AF197" i="19"/>
  <c r="AF202" i="19"/>
  <c r="AF201" i="19"/>
  <c r="N244" i="20"/>
  <c r="O243" i="20"/>
  <c r="O239" i="20"/>
  <c r="N240" i="20"/>
  <c r="N245" i="20"/>
  <c r="N246" i="20"/>
  <c r="M238" i="20"/>
  <c r="N237" i="20"/>
  <c r="N306" i="20"/>
  <c r="N307" i="20" s="1"/>
  <c r="AC308" i="20" s="1"/>
  <c r="AF203" i="28" l="1"/>
  <c r="AF196" i="19"/>
  <c r="O240" i="20"/>
  <c r="O246" i="20"/>
  <c r="P243" i="20"/>
  <c r="O245" i="20"/>
  <c r="P239" i="20"/>
  <c r="O244" i="20"/>
  <c r="O237" i="20"/>
  <c r="N238" i="20"/>
  <c r="O306" i="20"/>
  <c r="O307" i="20" s="1"/>
  <c r="AD308" i="20" s="1"/>
  <c r="AG203" i="28" l="1"/>
  <c r="P245" i="20"/>
  <c r="P246" i="20"/>
  <c r="P244" i="20"/>
  <c r="Q239" i="20"/>
  <c r="Q243" i="20"/>
  <c r="P240" i="20"/>
  <c r="P237" i="20"/>
  <c r="O238" i="20"/>
  <c r="P306" i="20"/>
  <c r="P307" i="20" s="1"/>
  <c r="AE308" i="20" s="1"/>
  <c r="Q246" i="20" l="1"/>
  <c r="R239" i="20"/>
  <c r="Q240" i="20"/>
  <c r="R243" i="20"/>
  <c r="Q244" i="20"/>
  <c r="Q245" i="20"/>
  <c r="P238" i="20"/>
  <c r="Q237" i="20"/>
  <c r="Q306" i="20"/>
  <c r="Q307" i="20" s="1"/>
  <c r="AF308" i="20" s="1"/>
  <c r="R245" i="20" l="1"/>
  <c r="S243" i="20"/>
  <c r="S239" i="20"/>
  <c r="R244" i="20"/>
  <c r="R240" i="20"/>
  <c r="R246" i="20"/>
  <c r="Q238" i="20"/>
  <c r="R237" i="20"/>
  <c r="R306" i="20"/>
  <c r="R307" i="20" s="1"/>
  <c r="AG308" i="20" s="1"/>
  <c r="S246" i="20" l="1"/>
  <c r="S244" i="20"/>
  <c r="T243" i="20"/>
  <c r="S240" i="20"/>
  <c r="T239" i="20"/>
  <c r="S245" i="20"/>
  <c r="S237" i="20"/>
  <c r="R238" i="20"/>
  <c r="S306" i="20"/>
  <c r="S307" i="20" s="1"/>
  <c r="T244" i="20" l="1"/>
  <c r="T240" i="20"/>
  <c r="T245" i="20"/>
  <c r="U239" i="20"/>
  <c r="U243" i="20"/>
  <c r="T246" i="20"/>
  <c r="T237" i="20"/>
  <c r="S238" i="20"/>
  <c r="T306" i="20"/>
  <c r="T307" i="20" s="1"/>
  <c r="U246" i="20" l="1"/>
  <c r="U240" i="20"/>
  <c r="V239" i="20"/>
  <c r="V243" i="20"/>
  <c r="U245" i="20"/>
  <c r="U244" i="20"/>
  <c r="T238" i="20"/>
  <c r="U237" i="20"/>
  <c r="U306" i="20"/>
  <c r="U307" i="20" s="1"/>
  <c r="V244" i="20" l="1"/>
  <c r="W243" i="20"/>
  <c r="V240" i="20"/>
  <c r="V245" i="20"/>
  <c r="W239" i="20"/>
  <c r="V246" i="20"/>
  <c r="U238" i="20"/>
  <c r="V237" i="20"/>
  <c r="V306" i="20"/>
  <c r="V307" i="20" s="1"/>
  <c r="W246" i="20" l="1"/>
  <c r="W245" i="20"/>
  <c r="X243" i="20"/>
  <c r="X239" i="20"/>
  <c r="W240" i="20"/>
  <c r="W244" i="20"/>
  <c r="W237" i="20"/>
  <c r="V238" i="20"/>
  <c r="W306" i="20"/>
  <c r="W307" i="20" s="1"/>
  <c r="X244" i="20" l="1"/>
  <c r="Y239" i="20"/>
  <c r="X245" i="20"/>
  <c r="X240" i="20"/>
  <c r="Y243" i="20"/>
  <c r="X246" i="20"/>
  <c r="X237" i="20"/>
  <c r="W238" i="20"/>
  <c r="X306" i="20"/>
  <c r="X307" i="20" s="1"/>
  <c r="Y246" i="20" l="1"/>
  <c r="Z239" i="20"/>
  <c r="Y240" i="20"/>
  <c r="Z243" i="20"/>
  <c r="Y245" i="20"/>
  <c r="Y244" i="20"/>
  <c r="X238" i="20"/>
  <c r="Y237" i="20"/>
  <c r="Y306" i="20"/>
  <c r="Y307" i="20" s="1"/>
  <c r="Z244" i="20" l="1"/>
  <c r="AA243" i="20"/>
  <c r="AA239" i="20"/>
  <c r="Z245" i="20"/>
  <c r="Z240" i="20"/>
  <c r="Z246" i="20"/>
  <c r="Y238" i="20"/>
  <c r="Z237" i="20"/>
  <c r="Z306" i="20"/>
  <c r="Z307" i="20" s="1"/>
  <c r="AA246" i="20" l="1"/>
  <c r="AA245" i="20"/>
  <c r="AB243" i="20"/>
  <c r="AA240" i="20"/>
  <c r="AB239" i="20"/>
  <c r="AA244" i="20"/>
  <c r="AA237" i="20"/>
  <c r="Z238" i="20"/>
  <c r="AA306" i="20"/>
  <c r="AA307" i="20" s="1"/>
  <c r="AB240" i="20" l="1"/>
  <c r="AB244" i="20"/>
  <c r="AB245" i="20"/>
  <c r="AC239" i="20"/>
  <c r="AC243" i="20"/>
  <c r="AB246" i="20"/>
  <c r="AB237" i="20"/>
  <c r="AA238" i="20"/>
  <c r="AB306" i="20"/>
  <c r="AB307" i="20" s="1"/>
  <c r="AD239" i="20" l="1"/>
  <c r="AC246" i="20"/>
  <c r="AC244" i="20"/>
  <c r="AD243" i="20"/>
  <c r="AC245" i="20"/>
  <c r="AC240" i="20"/>
  <c r="AB238" i="20"/>
  <c r="AC237" i="20"/>
  <c r="AC306" i="20"/>
  <c r="AC307" i="20" s="1"/>
  <c r="AD240" i="20" l="1"/>
  <c r="AD246" i="20"/>
  <c r="AE243" i="20"/>
  <c r="AD245" i="20"/>
  <c r="AD244" i="20"/>
  <c r="AE239" i="20"/>
  <c r="AC238" i="20"/>
  <c r="AD237" i="20"/>
  <c r="AD306" i="20"/>
  <c r="AD307" i="20" s="1"/>
  <c r="AE245" i="20" l="1"/>
  <c r="AF239" i="20"/>
  <c r="AE246" i="20"/>
  <c r="AE244" i="20"/>
  <c r="AF243" i="20"/>
  <c r="AE240" i="20"/>
  <c r="AE237" i="20"/>
  <c r="AD238" i="20"/>
  <c r="AE306" i="20"/>
  <c r="AE307" i="20" s="1"/>
  <c r="AF240" i="20" l="1"/>
  <c r="AF244" i="20"/>
  <c r="AF246" i="20"/>
  <c r="AF245" i="20"/>
  <c r="AF237" i="20"/>
  <c r="AE238" i="20"/>
  <c r="AF306" i="20"/>
  <c r="AF307" i="20" s="1"/>
  <c r="AF238" i="20" l="1"/>
  <c r="AG306" i="20"/>
  <c r="AG307" i="20" s="1"/>
  <c r="D255" i="20" l="1"/>
  <c r="D254" i="20"/>
  <c r="D253" i="20"/>
  <c r="D252" i="20"/>
  <c r="D251" i="20"/>
  <c r="D236" i="20"/>
  <c r="D229" i="20"/>
  <c r="E229" i="20" s="1"/>
  <c r="F229" i="20" s="1"/>
  <c r="G229" i="20" s="1"/>
  <c r="H229" i="20" s="1"/>
  <c r="I229" i="20" s="1"/>
  <c r="J229" i="20" s="1"/>
  <c r="K229" i="20" s="1"/>
  <c r="L229" i="20" s="1"/>
  <c r="M229" i="20" s="1"/>
  <c r="N229" i="20" s="1"/>
  <c r="O229" i="20" s="1"/>
  <c r="P229" i="20" s="1"/>
  <c r="Q229" i="20" s="1"/>
  <c r="R229" i="20" s="1"/>
  <c r="S229" i="20" s="1"/>
  <c r="T229" i="20" s="1"/>
  <c r="U229" i="20" s="1"/>
  <c r="V229" i="20" s="1"/>
  <c r="W229" i="20" s="1"/>
  <c r="X229" i="20" s="1"/>
  <c r="Y229" i="20" s="1"/>
  <c r="Z229" i="20" s="1"/>
  <c r="AA229" i="20" s="1"/>
  <c r="AB229" i="20" s="1"/>
  <c r="AC229" i="20" s="1"/>
  <c r="AD229" i="20" s="1"/>
  <c r="AE229" i="20" s="1"/>
  <c r="AF229" i="20" s="1"/>
  <c r="D230" i="20"/>
  <c r="E230" i="20" s="1"/>
  <c r="F230" i="20" s="1"/>
  <c r="G230" i="20" s="1"/>
  <c r="H230" i="20" s="1"/>
  <c r="I230" i="20" s="1"/>
  <c r="J230" i="20" s="1"/>
  <c r="K230" i="20" s="1"/>
  <c r="L230" i="20" s="1"/>
  <c r="M230" i="20" s="1"/>
  <c r="N230" i="20" s="1"/>
  <c r="O230" i="20" s="1"/>
  <c r="P230" i="20" s="1"/>
  <c r="Q230" i="20" s="1"/>
  <c r="R230" i="20" s="1"/>
  <c r="S230" i="20" s="1"/>
  <c r="T230" i="20" s="1"/>
  <c r="U230" i="20" s="1"/>
  <c r="V230" i="20" s="1"/>
  <c r="W230" i="20" s="1"/>
  <c r="X230" i="20" s="1"/>
  <c r="Y230" i="20" s="1"/>
  <c r="Z230" i="20" s="1"/>
  <c r="AA230" i="20" s="1"/>
  <c r="AB230" i="20" s="1"/>
  <c r="AC230" i="20" s="1"/>
  <c r="AD230" i="20" s="1"/>
  <c r="AE230" i="20" s="1"/>
  <c r="AF230" i="20" s="1"/>
  <c r="D231" i="20"/>
  <c r="E231" i="20" s="1"/>
  <c r="F231" i="20" s="1"/>
  <c r="G231" i="20" s="1"/>
  <c r="H231" i="20" s="1"/>
  <c r="I231" i="20" s="1"/>
  <c r="J231" i="20" s="1"/>
  <c r="K231" i="20" s="1"/>
  <c r="L231" i="20" s="1"/>
  <c r="M231" i="20" s="1"/>
  <c r="N231" i="20" s="1"/>
  <c r="O231" i="20" s="1"/>
  <c r="P231" i="20" s="1"/>
  <c r="Q231" i="20" s="1"/>
  <c r="R231" i="20" s="1"/>
  <c r="S231" i="20" s="1"/>
  <c r="T231" i="20" s="1"/>
  <c r="U231" i="20" s="1"/>
  <c r="V231" i="20" s="1"/>
  <c r="W231" i="20" s="1"/>
  <c r="X231" i="20" s="1"/>
  <c r="Y231" i="20" s="1"/>
  <c r="Z231" i="20" s="1"/>
  <c r="AA231" i="20" s="1"/>
  <c r="AB231" i="20" s="1"/>
  <c r="AC231" i="20" s="1"/>
  <c r="AD231" i="20" s="1"/>
  <c r="AE231" i="20" s="1"/>
  <c r="AF231" i="20" s="1"/>
  <c r="D232" i="20"/>
  <c r="E232" i="20" s="1"/>
  <c r="F232" i="20" s="1"/>
  <c r="G232" i="20" s="1"/>
  <c r="H232" i="20" s="1"/>
  <c r="I232" i="20" s="1"/>
  <c r="J232" i="20" s="1"/>
  <c r="K232" i="20" s="1"/>
  <c r="L232" i="20" s="1"/>
  <c r="M232" i="20" s="1"/>
  <c r="N232" i="20" s="1"/>
  <c r="O232" i="20" s="1"/>
  <c r="P232" i="20" s="1"/>
  <c r="Q232" i="20" s="1"/>
  <c r="R232" i="20" s="1"/>
  <c r="S232" i="20" s="1"/>
  <c r="T232" i="20" s="1"/>
  <c r="U232" i="20" s="1"/>
  <c r="V232" i="20" s="1"/>
  <c r="W232" i="20" s="1"/>
  <c r="X232" i="20" s="1"/>
  <c r="Y232" i="20" s="1"/>
  <c r="Z232" i="20" s="1"/>
  <c r="AA232" i="20" s="1"/>
  <c r="AB232" i="20" s="1"/>
  <c r="AC232" i="20" s="1"/>
  <c r="AD232" i="20" s="1"/>
  <c r="AE232" i="20" s="1"/>
  <c r="AF232" i="20" s="1"/>
  <c r="D233" i="20"/>
  <c r="E233" i="20" s="1"/>
  <c r="F233" i="20" s="1"/>
  <c r="G233" i="20" s="1"/>
  <c r="H233" i="20" s="1"/>
  <c r="I233" i="20" s="1"/>
  <c r="J233" i="20" s="1"/>
  <c r="K233" i="20" s="1"/>
  <c r="L233" i="20" s="1"/>
  <c r="M233" i="20" s="1"/>
  <c r="N233" i="20" s="1"/>
  <c r="O233" i="20" s="1"/>
  <c r="P233" i="20" s="1"/>
  <c r="Q233" i="20" s="1"/>
  <c r="R233" i="20" s="1"/>
  <c r="S233" i="20" s="1"/>
  <c r="T233" i="20" s="1"/>
  <c r="U233" i="20" s="1"/>
  <c r="V233" i="20" s="1"/>
  <c r="W233" i="20" s="1"/>
  <c r="X233" i="20" s="1"/>
  <c r="Y233" i="20" s="1"/>
  <c r="Z233" i="20" s="1"/>
  <c r="AA233" i="20" s="1"/>
  <c r="AB233" i="20" s="1"/>
  <c r="AC233" i="20" s="1"/>
  <c r="AD233" i="20" s="1"/>
  <c r="AE233" i="20" s="1"/>
  <c r="AF233" i="20" s="1"/>
  <c r="D234" i="20"/>
  <c r="E234" i="20" s="1"/>
  <c r="F234" i="20" s="1"/>
  <c r="G234" i="20" s="1"/>
  <c r="H234" i="20" s="1"/>
  <c r="I234" i="20" s="1"/>
  <c r="J234" i="20" s="1"/>
  <c r="K234" i="20" s="1"/>
  <c r="L234" i="20" s="1"/>
  <c r="M234" i="20" s="1"/>
  <c r="N234" i="20" s="1"/>
  <c r="O234" i="20" s="1"/>
  <c r="P234" i="20" s="1"/>
  <c r="Q234" i="20" s="1"/>
  <c r="R234" i="20" s="1"/>
  <c r="S234" i="20" s="1"/>
  <c r="T234" i="20" s="1"/>
  <c r="U234" i="20" s="1"/>
  <c r="V234" i="20" s="1"/>
  <c r="W234" i="20" s="1"/>
  <c r="X234" i="20" s="1"/>
  <c r="Y234" i="20" s="1"/>
  <c r="Z234" i="20" s="1"/>
  <c r="AA234" i="20" s="1"/>
  <c r="AB234" i="20" s="1"/>
  <c r="AC234" i="20" s="1"/>
  <c r="AD234" i="20" s="1"/>
  <c r="AE234" i="20" s="1"/>
  <c r="AF234" i="20" s="1"/>
  <c r="D228" i="20"/>
  <c r="E228" i="20" s="1"/>
  <c r="F228" i="20" s="1"/>
  <c r="G228" i="20" s="1"/>
  <c r="H228" i="20" s="1"/>
  <c r="I228" i="20" s="1"/>
  <c r="J228" i="20" s="1"/>
  <c r="K228" i="20" s="1"/>
  <c r="L228" i="20" s="1"/>
  <c r="M228" i="20" s="1"/>
  <c r="N228" i="20" s="1"/>
  <c r="O228" i="20" s="1"/>
  <c r="P228" i="20" s="1"/>
  <c r="Q228" i="20" s="1"/>
  <c r="R228" i="20" s="1"/>
  <c r="S228" i="20" s="1"/>
  <c r="T228" i="20" s="1"/>
  <c r="U228" i="20" s="1"/>
  <c r="V228" i="20" s="1"/>
  <c r="W228" i="20" s="1"/>
  <c r="X228" i="20" s="1"/>
  <c r="Y228" i="20" s="1"/>
  <c r="Z228" i="20" s="1"/>
  <c r="AA228" i="20" s="1"/>
  <c r="AB228" i="20" s="1"/>
  <c r="AC228" i="20" s="1"/>
  <c r="AD228" i="20" s="1"/>
  <c r="AE228" i="20" s="1"/>
  <c r="AF228" i="20" s="1"/>
  <c r="E236" i="20" l="1"/>
  <c r="E251" i="20"/>
  <c r="E255" i="20"/>
  <c r="E254" i="20"/>
  <c r="E252" i="20"/>
  <c r="E253" i="20"/>
  <c r="F236" i="20" l="1"/>
  <c r="F253" i="20"/>
  <c r="F254" i="20"/>
  <c r="F255" i="20"/>
  <c r="F252" i="20"/>
  <c r="F251" i="20"/>
  <c r="G236" i="20" l="1"/>
  <c r="G251" i="20"/>
  <c r="G255" i="20"/>
  <c r="G253" i="20"/>
  <c r="G252" i="20"/>
  <c r="G254" i="20"/>
  <c r="H236" i="20" l="1"/>
  <c r="H252" i="20"/>
  <c r="H255" i="20"/>
  <c r="H254" i="20"/>
  <c r="H253" i="20"/>
  <c r="H251" i="20"/>
  <c r="I236" i="20" l="1"/>
  <c r="I254" i="20"/>
  <c r="I251" i="20"/>
  <c r="I252" i="20"/>
  <c r="I253" i="20"/>
  <c r="I255" i="20"/>
  <c r="J236" i="20" l="1"/>
  <c r="J253" i="20"/>
  <c r="J251" i="20"/>
  <c r="J255" i="20"/>
  <c r="J252" i="20"/>
  <c r="J254" i="20"/>
  <c r="K236" i="20" l="1"/>
  <c r="K255" i="20"/>
  <c r="K254" i="20"/>
  <c r="K253" i="20"/>
  <c r="K252" i="20"/>
  <c r="K251" i="20"/>
  <c r="L236" i="20" l="1"/>
  <c r="L252" i="20"/>
  <c r="L254" i="20"/>
  <c r="L251" i="20"/>
  <c r="L253" i="20"/>
  <c r="L255" i="20"/>
  <c r="M236" i="20" l="1"/>
  <c r="M255" i="20"/>
  <c r="M251" i="20"/>
  <c r="M252" i="20"/>
  <c r="M253" i="20"/>
  <c r="M254" i="20"/>
  <c r="N236" i="20" l="1"/>
  <c r="N251" i="20"/>
  <c r="N253" i="20"/>
  <c r="N254" i="20"/>
  <c r="N252" i="20"/>
  <c r="N255" i="20"/>
  <c r="O236" i="20" l="1"/>
  <c r="O255" i="20"/>
  <c r="O254" i="20"/>
  <c r="O253" i="20"/>
  <c r="O252" i="20"/>
  <c r="O251" i="20"/>
  <c r="P236" i="20" l="1"/>
  <c r="P251" i="20"/>
  <c r="P252" i="20"/>
  <c r="P254" i="20"/>
  <c r="P253" i="20"/>
  <c r="P255" i="20"/>
  <c r="Q236" i="20" l="1"/>
  <c r="Q255" i="20"/>
  <c r="Q252" i="20"/>
  <c r="Q253" i="20"/>
  <c r="Q254" i="20"/>
  <c r="Q251" i="20"/>
  <c r="R236" i="20" l="1"/>
  <c r="R251" i="20"/>
  <c r="R253" i="20"/>
  <c r="R254" i="20"/>
  <c r="R252" i="20"/>
  <c r="R255" i="20"/>
  <c r="S236" i="20" l="1"/>
  <c r="S255" i="20"/>
  <c r="S251" i="20"/>
  <c r="S254" i="20"/>
  <c r="S252" i="20"/>
  <c r="S253" i="20"/>
  <c r="T236" i="20" l="1"/>
  <c r="T252" i="20"/>
  <c r="T251" i="20"/>
  <c r="T253" i="20"/>
  <c r="T254" i="20"/>
  <c r="T255" i="20"/>
  <c r="U236" i="20" l="1"/>
  <c r="U255" i="20"/>
  <c r="U253" i="20"/>
  <c r="U254" i="20"/>
  <c r="U251" i="20"/>
  <c r="U252" i="20"/>
  <c r="V236" i="20" l="1"/>
  <c r="V252" i="20"/>
  <c r="V254" i="20"/>
  <c r="V253" i="20"/>
  <c r="V251" i="20"/>
  <c r="V255" i="20"/>
  <c r="W236" i="20" l="1"/>
  <c r="W255" i="20"/>
  <c r="W251" i="20"/>
  <c r="W254" i="20"/>
  <c r="W253" i="20"/>
  <c r="W252" i="20"/>
  <c r="X236" i="20" l="1"/>
  <c r="X253" i="20"/>
  <c r="X252" i="20"/>
  <c r="X251" i="20"/>
  <c r="X254" i="20"/>
  <c r="X255" i="20"/>
  <c r="Y236" i="20" l="1"/>
  <c r="Y254" i="20"/>
  <c r="Y255" i="20"/>
  <c r="Y252" i="20"/>
  <c r="Y251" i="20"/>
  <c r="Y253" i="20"/>
  <c r="Z236" i="20" l="1"/>
  <c r="Z255" i="20"/>
  <c r="Z252" i="20"/>
  <c r="Z253" i="20"/>
  <c r="Z251" i="20"/>
  <c r="Z254" i="20"/>
  <c r="AA236" i="20" l="1"/>
  <c r="AA254" i="20"/>
  <c r="AA251" i="20"/>
  <c r="AA252" i="20"/>
  <c r="AA253" i="20"/>
  <c r="AA255" i="20"/>
  <c r="AB236" i="20" l="1"/>
  <c r="AB255" i="20"/>
  <c r="AB251" i="20"/>
  <c r="AB253" i="20"/>
  <c r="AB252" i="20"/>
  <c r="AB254" i="20"/>
  <c r="AC236" i="20" l="1"/>
  <c r="AC254" i="20"/>
  <c r="AC253" i="20"/>
  <c r="AC252" i="20"/>
  <c r="AC251" i="20"/>
  <c r="AC255" i="20"/>
  <c r="AD236" i="20" l="1"/>
  <c r="AD255" i="20"/>
  <c r="AD252" i="20"/>
  <c r="AD253" i="20"/>
  <c r="AD251" i="20"/>
  <c r="AD254" i="20"/>
  <c r="AE236" i="20" l="1"/>
  <c r="AE254" i="20"/>
  <c r="AE251" i="20"/>
  <c r="AE252" i="20"/>
  <c r="AE253" i="20"/>
  <c r="AE255" i="20"/>
  <c r="AF236" i="20" l="1"/>
  <c r="AF255" i="20"/>
  <c r="AF251" i="20"/>
  <c r="AF253" i="20"/>
  <c r="AF252" i="20"/>
  <c r="AF254" i="20"/>
  <c r="W8" i="8" l="1"/>
  <c r="W9" i="8"/>
  <c r="W10" i="8"/>
  <c r="W7" i="8"/>
  <c r="C37" i="7" l="1"/>
  <c r="H69" i="7" l="1"/>
  <c r="K55" i="60"/>
  <c r="H64" i="7"/>
  <c r="C39" i="7"/>
  <c r="K54" i="60" s="1"/>
  <c r="O6" i="31" l="1"/>
  <c r="P6" i="31"/>
  <c r="O11" i="31"/>
  <c r="P11" i="31"/>
  <c r="O15" i="31"/>
  <c r="P15" i="31"/>
  <c r="O17" i="31"/>
  <c r="P17" i="31"/>
  <c r="F20" i="26"/>
  <c r="G20" i="26"/>
  <c r="F21" i="26"/>
  <c r="G21" i="26"/>
  <c r="G19" i="26"/>
  <c r="F19" i="26"/>
  <c r="L21" i="9"/>
  <c r="M21" i="9"/>
  <c r="N21" i="9"/>
  <c r="L22" i="9"/>
  <c r="M22" i="9"/>
  <c r="N22" i="9"/>
  <c r="N20" i="9"/>
  <c r="M20" i="9"/>
  <c r="L20" i="9"/>
  <c r="K26" i="7"/>
  <c r="K25" i="7"/>
  <c r="K24" i="7"/>
  <c r="K32" i="4" l="1"/>
  <c r="Q32" i="4" s="1"/>
  <c r="K33" i="4"/>
  <c r="Q33" i="4" s="1"/>
  <c r="K35" i="4"/>
  <c r="K31" i="4"/>
  <c r="Q31" i="4" s="1"/>
  <c r="K25" i="4"/>
  <c r="Q25" i="4" s="1"/>
  <c r="K26" i="4"/>
  <c r="Q26" i="4" s="1"/>
  <c r="K22" i="4"/>
  <c r="Q11" i="9"/>
  <c r="Q12" i="9" s="1"/>
  <c r="C10" i="7"/>
  <c r="AP82" i="16"/>
  <c r="E120" i="16"/>
  <c r="F120" i="16" s="1"/>
  <c r="G120" i="16" s="1"/>
  <c r="H120" i="16" s="1"/>
  <c r="I120" i="16" s="1"/>
  <c r="J120" i="16" s="1"/>
  <c r="K120" i="16" s="1"/>
  <c r="L120" i="16" s="1"/>
  <c r="M120" i="16" s="1"/>
  <c r="N120" i="16" s="1"/>
  <c r="O120" i="16" s="1"/>
  <c r="P120" i="16" s="1"/>
  <c r="Q120" i="16" s="1"/>
  <c r="R120" i="16" s="1"/>
  <c r="S120" i="16" s="1"/>
  <c r="T120" i="16" s="1"/>
  <c r="U120" i="16" s="1"/>
  <c r="V120" i="16" s="1"/>
  <c r="W120" i="16" s="1"/>
  <c r="X120" i="16" s="1"/>
  <c r="Y120" i="16" s="1"/>
  <c r="Z120" i="16" s="1"/>
  <c r="AA120" i="16" s="1"/>
  <c r="AB120" i="16" s="1"/>
  <c r="AC120" i="16" s="1"/>
  <c r="AD120" i="16" s="1"/>
  <c r="AE120" i="16" s="1"/>
  <c r="AF120" i="16" s="1"/>
  <c r="AG120" i="16" s="1"/>
  <c r="AH120" i="16" s="1"/>
  <c r="E120" i="15"/>
  <c r="F120" i="15" s="1"/>
  <c r="G120" i="15" s="1"/>
  <c r="H120" i="15" s="1"/>
  <c r="I120" i="15" s="1"/>
  <c r="J120" i="15" s="1"/>
  <c r="K120" i="15" s="1"/>
  <c r="L120" i="15" s="1"/>
  <c r="M120" i="15" s="1"/>
  <c r="N120" i="15" s="1"/>
  <c r="O120" i="15" s="1"/>
  <c r="P120" i="15" s="1"/>
  <c r="Q120" i="15" s="1"/>
  <c r="R120" i="15" s="1"/>
  <c r="S120" i="15" s="1"/>
  <c r="T120" i="15" s="1"/>
  <c r="U120" i="15" s="1"/>
  <c r="V120" i="15" s="1"/>
  <c r="W120" i="15" s="1"/>
  <c r="X120" i="15" s="1"/>
  <c r="Y120" i="15" s="1"/>
  <c r="Z120" i="15" s="1"/>
  <c r="AA120" i="15" s="1"/>
  <c r="AB120" i="15" s="1"/>
  <c r="AC120" i="15" s="1"/>
  <c r="AD120" i="15" s="1"/>
  <c r="AE120" i="15" s="1"/>
  <c r="AF120" i="15" s="1"/>
  <c r="AG120" i="15" s="1"/>
  <c r="AH120" i="15" s="1"/>
  <c r="E212" i="14"/>
  <c r="F212" i="14" s="1"/>
  <c r="G212" i="14" s="1"/>
  <c r="H212" i="14" s="1"/>
  <c r="I212" i="14" s="1"/>
  <c r="J212" i="14" s="1"/>
  <c r="K212" i="14" s="1"/>
  <c r="L212" i="14" s="1"/>
  <c r="M212" i="14" s="1"/>
  <c r="N212" i="14" s="1"/>
  <c r="O212" i="14" s="1"/>
  <c r="P212" i="14" s="1"/>
  <c r="Q212" i="14" s="1"/>
  <c r="R212" i="14" s="1"/>
  <c r="S212" i="14" s="1"/>
  <c r="T212" i="14" s="1"/>
  <c r="U212" i="14" s="1"/>
  <c r="V212" i="14" s="1"/>
  <c r="W212" i="14" s="1"/>
  <c r="X212" i="14" s="1"/>
  <c r="Y212" i="14" s="1"/>
  <c r="Z212" i="14" s="1"/>
  <c r="AA212" i="14" s="1"/>
  <c r="AB212" i="14" s="1"/>
  <c r="AC212" i="14" s="1"/>
  <c r="AD212" i="14" s="1"/>
  <c r="AE212" i="14" s="1"/>
  <c r="AF212" i="14" s="1"/>
  <c r="AG212" i="14" s="1"/>
  <c r="AH212" i="14" s="1"/>
  <c r="AP174" i="14"/>
  <c r="AQ98" i="15"/>
  <c r="AO98" i="15"/>
  <c r="AN98" i="15"/>
  <c r="AR94" i="15"/>
  <c r="AR95" i="15" s="1"/>
  <c r="C101" i="16"/>
  <c r="B96" i="16"/>
  <c r="B101" i="16" s="1"/>
  <c r="D64" i="16"/>
  <c r="D62" i="16"/>
  <c r="D61" i="16"/>
  <c r="D58" i="16"/>
  <c r="D56" i="16"/>
  <c r="D55" i="16"/>
  <c r="D48" i="16"/>
  <c r="D45" i="16"/>
  <c r="D44" i="16"/>
  <c r="D64" i="15"/>
  <c r="D63" i="15"/>
  <c r="D62" i="15"/>
  <c r="D61" i="15"/>
  <c r="D58" i="15"/>
  <c r="D57" i="15"/>
  <c r="D56" i="15"/>
  <c r="D55"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AG52" i="15"/>
  <c r="AH52" i="15"/>
  <c r="AQ120" i="15" s="1"/>
  <c r="D51" i="15"/>
  <c r="D48" i="15"/>
  <c r="D45" i="15"/>
  <c r="D44" i="15"/>
  <c r="AL120" i="15"/>
  <c r="AK120" i="15"/>
  <c r="C101" i="15"/>
  <c r="AM98" i="15"/>
  <c r="AL98" i="15"/>
  <c r="AK98" i="15"/>
  <c r="B96" i="15"/>
  <c r="B101" i="15" s="1"/>
  <c r="AP82" i="15"/>
  <c r="Q17" i="4" l="1"/>
  <c r="Q16" i="4"/>
  <c r="Q18" i="4"/>
  <c r="K34" i="4"/>
  <c r="Q34" i="4" s="1"/>
  <c r="Q22" i="4"/>
  <c r="D126" i="12" l="1"/>
  <c r="D125" i="12"/>
  <c r="D124" i="12"/>
  <c r="D123" i="12"/>
  <c r="D94" i="12"/>
  <c r="D93" i="12"/>
  <c r="E212" i="12"/>
  <c r="F212" i="12" s="1"/>
  <c r="G212" i="12" s="1"/>
  <c r="H212" i="12" s="1"/>
  <c r="I212" i="12" s="1"/>
  <c r="J212" i="12" s="1"/>
  <c r="K212" i="12" s="1"/>
  <c r="L212" i="12" s="1"/>
  <c r="M212" i="12" s="1"/>
  <c r="N212" i="12" s="1"/>
  <c r="O212" i="12" s="1"/>
  <c r="P212" i="12" s="1"/>
  <c r="Q212" i="12" s="1"/>
  <c r="R212" i="12" s="1"/>
  <c r="S212" i="12" s="1"/>
  <c r="T212" i="12" s="1"/>
  <c r="U212" i="12" s="1"/>
  <c r="V212" i="12" s="1"/>
  <c r="W212" i="12" s="1"/>
  <c r="X212" i="12" s="1"/>
  <c r="Y212" i="12" s="1"/>
  <c r="Z212" i="12" s="1"/>
  <c r="AA212" i="12" s="1"/>
  <c r="AB212" i="12" s="1"/>
  <c r="AC212" i="12" s="1"/>
  <c r="AD212" i="12" s="1"/>
  <c r="AE212" i="12" s="1"/>
  <c r="AF212" i="12" s="1"/>
  <c r="AG212" i="12" s="1"/>
  <c r="AH212" i="12" s="1"/>
  <c r="AR186" i="12" l="1"/>
  <c r="AR187" i="12" s="1"/>
  <c r="K31" i="8"/>
  <c r="K32" i="8"/>
  <c r="K30" i="8"/>
  <c r="J31" i="8"/>
  <c r="J32" i="8"/>
  <c r="J30" i="8"/>
  <c r="C31" i="8"/>
  <c r="C32" i="8"/>
  <c r="C30" i="8"/>
  <c r="B31" i="8"/>
  <c r="B32" i="8"/>
  <c r="B30" i="8"/>
  <c r="K27" i="8"/>
  <c r="K28" i="8"/>
  <c r="K26" i="8"/>
  <c r="J27" i="8"/>
  <c r="J28" i="8"/>
  <c r="J26" i="8"/>
  <c r="C193" i="14"/>
  <c r="B189" i="14"/>
  <c r="B193" i="14" s="1"/>
  <c r="AP174" i="12"/>
  <c r="N22" i="7"/>
  <c r="E39" i="7"/>
  <c r="E36" i="7"/>
  <c r="E38" i="7"/>
  <c r="F57" i="33" s="1"/>
  <c r="F64" i="33" s="1"/>
  <c r="B186" i="14"/>
  <c r="B196" i="14" s="1"/>
  <c r="R21" i="7"/>
  <c r="H27" i="7"/>
  <c r="H21" i="7"/>
  <c r="C193" i="12"/>
  <c r="B189" i="12"/>
  <c r="B193" i="12" s="1"/>
  <c r="AB21" i="34" l="1"/>
  <c r="E57" i="33"/>
  <c r="E37" i="7"/>
  <c r="AB22" i="34"/>
  <c r="G57" i="33"/>
  <c r="H55" i="24"/>
  <c r="E51" i="16"/>
  <c r="F51" i="16"/>
  <c r="G51" i="16"/>
  <c r="H51" i="16"/>
  <c r="I51" i="16"/>
  <c r="J51" i="16"/>
  <c r="K51" i="16"/>
  <c r="L51" i="16"/>
  <c r="M51" i="16"/>
  <c r="N51" i="16"/>
  <c r="O51" i="16"/>
  <c r="P51" i="16"/>
  <c r="Q51" i="16"/>
  <c r="R51" i="16"/>
  <c r="S51" i="16"/>
  <c r="T51" i="16"/>
  <c r="U51" i="16"/>
  <c r="V51" i="16"/>
  <c r="W51" i="16"/>
  <c r="X51" i="16"/>
  <c r="Y51" i="16"/>
  <c r="Z51" i="16"/>
  <c r="AA51" i="16"/>
  <c r="AB51" i="16"/>
  <c r="AC51" i="16"/>
  <c r="AD51" i="16"/>
  <c r="AE51" i="16"/>
  <c r="AF51" i="16"/>
  <c r="AG51" i="16"/>
  <c r="AH51" i="16"/>
  <c r="D51" i="16"/>
  <c r="E52" i="15"/>
  <c r="D52" i="15"/>
  <c r="E3" i="14"/>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AG3" i="14" s="1"/>
  <c r="AH3" i="14" s="1"/>
  <c r="D17" i="14"/>
  <c r="D29" i="14"/>
  <c r="D32" i="14"/>
  <c r="D82" i="14" s="1"/>
  <c r="D214" i="14" s="1"/>
  <c r="D224" i="14" s="1"/>
  <c r="D53" i="14"/>
  <c r="D72" i="14"/>
  <c r="D73" i="14"/>
  <c r="C10" i="29"/>
  <c r="D10" i="29" s="1"/>
  <c r="E10" i="29" s="1"/>
  <c r="F10" i="29" s="1"/>
  <c r="G10" i="29" s="1"/>
  <c r="H10" i="29" s="1"/>
  <c r="I10" i="29" s="1"/>
  <c r="J10" i="29" s="1"/>
  <c r="K10" i="29" s="1"/>
  <c r="L10" i="29" s="1"/>
  <c r="M10" i="29" s="1"/>
  <c r="N10" i="29" s="1"/>
  <c r="O10" i="29" s="1"/>
  <c r="P10" i="29" s="1"/>
  <c r="Q10" i="29" s="1"/>
  <c r="R10" i="29" s="1"/>
  <c r="S10" i="29" s="1"/>
  <c r="T10" i="29" s="1"/>
  <c r="U10" i="29" s="1"/>
  <c r="V10" i="29" s="1"/>
  <c r="W10" i="29" s="1"/>
  <c r="X10" i="29" s="1"/>
  <c r="Y10" i="29" s="1"/>
  <c r="Z10" i="29" s="1"/>
  <c r="AA10" i="29" s="1"/>
  <c r="AB10" i="29" s="1"/>
  <c r="AC10" i="29" s="1"/>
  <c r="AD10" i="29" s="1"/>
  <c r="AE10" i="29" s="1"/>
  <c r="AF10" i="29" s="1"/>
  <c r="AG10" i="29" s="1"/>
  <c r="X1" i="29"/>
  <c r="Y1" i="29" s="1"/>
  <c r="Z1" i="29" s="1"/>
  <c r="AA1" i="29" s="1"/>
  <c r="AB1" i="29" s="1"/>
  <c r="AC1" i="29" s="1"/>
  <c r="AD1" i="29" s="1"/>
  <c r="AE1" i="29" s="1"/>
  <c r="AF1" i="29" s="1"/>
  <c r="N1" i="29"/>
  <c r="O1" i="29" s="1"/>
  <c r="P1" i="29" s="1"/>
  <c r="Q1" i="29" s="1"/>
  <c r="R1" i="29" s="1"/>
  <c r="S1" i="29" s="1"/>
  <c r="T1" i="29" s="1"/>
  <c r="U1" i="29" s="1"/>
  <c r="V1" i="29" s="1"/>
  <c r="D1" i="29"/>
  <c r="E1" i="29" s="1"/>
  <c r="F1" i="29" s="1"/>
  <c r="G1" i="29" s="1"/>
  <c r="H1" i="29" s="1"/>
  <c r="I1" i="29" s="1"/>
  <c r="J1" i="29" s="1"/>
  <c r="K1" i="29" s="1"/>
  <c r="L1" i="29" s="1"/>
  <c r="C93" i="28"/>
  <c r="C80" i="29" s="1"/>
  <c r="AG93" i="28"/>
  <c r="AG80" i="29" s="1"/>
  <c r="D95" i="28"/>
  <c r="E95" i="28" s="1"/>
  <c r="C96" i="28"/>
  <c r="C98" i="28" s="1"/>
  <c r="AG96" i="28"/>
  <c r="AG98" i="28" s="1"/>
  <c r="C97" i="28"/>
  <c r="AG97" i="28"/>
  <c r="D100" i="28"/>
  <c r="C101" i="28"/>
  <c r="C102" i="28" s="1"/>
  <c r="C59" i="28"/>
  <c r="D57" i="28"/>
  <c r="D58" i="28" s="1"/>
  <c r="C58" i="28"/>
  <c r="C60" i="28" s="1"/>
  <c r="H68" i="24"/>
  <c r="AG113" i="28"/>
  <c r="C113" i="28"/>
  <c r="AG107" i="28"/>
  <c r="C107" i="28"/>
  <c r="C78" i="28"/>
  <c r="D78" i="28" s="1"/>
  <c r="E78" i="28" s="1"/>
  <c r="F78" i="28" s="1"/>
  <c r="G78" i="28" s="1"/>
  <c r="H78" i="28" s="1"/>
  <c r="I78" i="28" s="1"/>
  <c r="J78" i="28" s="1"/>
  <c r="K78" i="28" s="1"/>
  <c r="L78" i="28" s="1"/>
  <c r="M78" i="28" s="1"/>
  <c r="N78" i="28" s="1"/>
  <c r="O78" i="28" s="1"/>
  <c r="P78" i="28" s="1"/>
  <c r="Q78" i="28" s="1"/>
  <c r="R78" i="28" s="1"/>
  <c r="S78" i="28" s="1"/>
  <c r="T78" i="28" s="1"/>
  <c r="U78" i="28" s="1"/>
  <c r="V78" i="28" s="1"/>
  <c r="W78" i="28" s="1"/>
  <c r="X78" i="28" s="1"/>
  <c r="Y78" i="28" s="1"/>
  <c r="Z78" i="28" s="1"/>
  <c r="AA78" i="28" s="1"/>
  <c r="AB78" i="28" s="1"/>
  <c r="AC78" i="28" s="1"/>
  <c r="AD78" i="28" s="1"/>
  <c r="AE78" i="28" s="1"/>
  <c r="AF78" i="28" s="1"/>
  <c r="AG78" i="28" s="1"/>
  <c r="D77" i="28"/>
  <c r="E77" i="28" s="1"/>
  <c r="F77" i="28" s="1"/>
  <c r="G77" i="28" s="1"/>
  <c r="H77" i="28" s="1"/>
  <c r="I77" i="28" s="1"/>
  <c r="J77" i="28" s="1"/>
  <c r="K77" i="28" s="1"/>
  <c r="L77" i="28" s="1"/>
  <c r="M77" i="28" s="1"/>
  <c r="N77" i="28" s="1"/>
  <c r="O77" i="28" s="1"/>
  <c r="P77" i="28" s="1"/>
  <c r="Q77" i="28" s="1"/>
  <c r="R77" i="28" s="1"/>
  <c r="S77" i="28" s="1"/>
  <c r="T77" i="28" s="1"/>
  <c r="U77" i="28" s="1"/>
  <c r="V77" i="28" s="1"/>
  <c r="W77" i="28" s="1"/>
  <c r="X77" i="28" s="1"/>
  <c r="Y77" i="28" s="1"/>
  <c r="Z77" i="28" s="1"/>
  <c r="AA77" i="28" s="1"/>
  <c r="AB77" i="28" s="1"/>
  <c r="AC77" i="28" s="1"/>
  <c r="AD77" i="28" s="1"/>
  <c r="AE77" i="28" s="1"/>
  <c r="AF77" i="28" s="1"/>
  <c r="AG77" i="28" s="1"/>
  <c r="D76" i="28"/>
  <c r="E76" i="28" s="1"/>
  <c r="F76" i="28" s="1"/>
  <c r="AG73" i="28"/>
  <c r="C73" i="28"/>
  <c r="AG72" i="28"/>
  <c r="AG74" i="28" s="1"/>
  <c r="C72" i="28"/>
  <c r="C74" i="28" s="1"/>
  <c r="D71" i="28"/>
  <c r="D72" i="28" s="1"/>
  <c r="AG69" i="28"/>
  <c r="C69" i="28"/>
  <c r="W55" i="28"/>
  <c r="M55" i="28"/>
  <c r="M52" i="28" s="1"/>
  <c r="C55" i="28"/>
  <c r="C52" i="28" s="1"/>
  <c r="AG54" i="28"/>
  <c r="AG53" i="28"/>
  <c r="C10" i="28"/>
  <c r="D10" i="28" s="1"/>
  <c r="E10" i="28" s="1"/>
  <c r="F10" i="28" s="1"/>
  <c r="G10" i="28" s="1"/>
  <c r="H10" i="28" s="1"/>
  <c r="I10" i="28" s="1"/>
  <c r="J10" i="28" s="1"/>
  <c r="K10" i="28" s="1"/>
  <c r="L10" i="28" s="1"/>
  <c r="M10" i="28" s="1"/>
  <c r="N10" i="28" s="1"/>
  <c r="O10" i="28" s="1"/>
  <c r="P10" i="28" s="1"/>
  <c r="Q10" i="28" s="1"/>
  <c r="R10" i="28" s="1"/>
  <c r="S10" i="28" s="1"/>
  <c r="T10" i="28" s="1"/>
  <c r="U10" i="28" s="1"/>
  <c r="V10" i="28" s="1"/>
  <c r="W10" i="28" s="1"/>
  <c r="X10" i="28" s="1"/>
  <c r="Y10" i="28" s="1"/>
  <c r="Z10" i="28" s="1"/>
  <c r="AA10" i="28" s="1"/>
  <c r="AB10" i="28" s="1"/>
  <c r="AC10" i="28" s="1"/>
  <c r="AD10" i="28" s="1"/>
  <c r="AE10" i="28" s="1"/>
  <c r="AF10" i="28" s="1"/>
  <c r="AG10" i="28" s="1"/>
  <c r="X1" i="28"/>
  <c r="Y1" i="28" s="1"/>
  <c r="N1" i="28"/>
  <c r="N54" i="28" s="1"/>
  <c r="D1" i="28"/>
  <c r="D54" i="28" s="1"/>
  <c r="AG54" i="20"/>
  <c r="AG61" i="20" s="1"/>
  <c r="AG53" i="20"/>
  <c r="AG58" i="48" l="1"/>
  <c r="AG58" i="46"/>
  <c r="AG58" i="42"/>
  <c r="AG58" i="38"/>
  <c r="Z27" i="34"/>
  <c r="Z33" i="34" s="1"/>
  <c r="G6" i="34" s="1"/>
  <c r="E66" i="34" s="1"/>
  <c r="Y27" i="34"/>
  <c r="X27" i="34"/>
  <c r="X33" i="34" s="1"/>
  <c r="E6" i="34" s="1"/>
  <c r="E56" i="34" s="1"/>
  <c r="F56" i="34" s="1"/>
  <c r="G56" i="34" s="1"/>
  <c r="H56" i="34" s="1"/>
  <c r="I56" i="34" s="1"/>
  <c r="J56" i="34" s="1"/>
  <c r="K56" i="34" s="1"/>
  <c r="L56" i="34" s="1"/>
  <c r="M56" i="34" s="1"/>
  <c r="N56" i="34" s="1"/>
  <c r="O56" i="34" s="1"/>
  <c r="P56" i="34" s="1"/>
  <c r="Q56" i="34" s="1"/>
  <c r="R56" i="34" s="1"/>
  <c r="S56" i="34" s="1"/>
  <c r="T56" i="34" s="1"/>
  <c r="U56" i="34" s="1"/>
  <c r="V56" i="34" s="1"/>
  <c r="W56" i="34" s="1"/>
  <c r="X56" i="34" s="1"/>
  <c r="Y56" i="34" s="1"/>
  <c r="Z56" i="34" s="1"/>
  <c r="AA56" i="34" s="1"/>
  <c r="AB56" i="34" s="1"/>
  <c r="AC56" i="34" s="1"/>
  <c r="AD56" i="34" s="1"/>
  <c r="AE56" i="34" s="1"/>
  <c r="AF56" i="34" s="1"/>
  <c r="AG56" i="34" s="1"/>
  <c r="AH56" i="34" s="1"/>
  <c r="W27" i="34"/>
  <c r="V27" i="34"/>
  <c r="X26" i="34"/>
  <c r="V26" i="34"/>
  <c r="Z26" i="34"/>
  <c r="W26" i="34"/>
  <c r="Y26" i="34"/>
  <c r="AH51" i="15"/>
  <c r="AP120" i="15" s="1"/>
  <c r="AR120" i="15" s="1"/>
  <c r="AG55" i="20"/>
  <c r="K102" i="33" s="1"/>
  <c r="D74" i="14"/>
  <c r="D219" i="14" s="1"/>
  <c r="D230" i="14" s="1"/>
  <c r="D81" i="14"/>
  <c r="D213" i="14" s="1"/>
  <c r="D223" i="14" s="1"/>
  <c r="C81" i="28"/>
  <c r="D101" i="28"/>
  <c r="E101" i="28" s="1"/>
  <c r="F101" i="28" s="1"/>
  <c r="G101" i="28" s="1"/>
  <c r="H101" i="28" s="1"/>
  <c r="I101" i="28" s="1"/>
  <c r="J101" i="28" s="1"/>
  <c r="K101" i="28" s="1"/>
  <c r="L101" i="28" s="1"/>
  <c r="M101" i="28" s="1"/>
  <c r="N101" i="28" s="1"/>
  <c r="O101" i="28" s="1"/>
  <c r="P101" i="28" s="1"/>
  <c r="Q101" i="28" s="1"/>
  <c r="R101" i="28" s="1"/>
  <c r="S101" i="28" s="1"/>
  <c r="T101" i="28" s="1"/>
  <c r="U101" i="28" s="1"/>
  <c r="V101" i="28" s="1"/>
  <c r="W101" i="28" s="1"/>
  <c r="X101" i="28" s="1"/>
  <c r="Y101" i="28" s="1"/>
  <c r="Z101" i="28" s="1"/>
  <c r="AA101" i="28" s="1"/>
  <c r="AB101" i="28" s="1"/>
  <c r="AC101" i="28" s="1"/>
  <c r="AD101" i="28" s="1"/>
  <c r="AE101" i="28" s="1"/>
  <c r="AF101" i="28" s="1"/>
  <c r="AG101" i="28" s="1"/>
  <c r="AG105" i="28" s="1"/>
  <c r="C105" i="28"/>
  <c r="E96" i="28"/>
  <c r="F95" i="28"/>
  <c r="G95" i="28" s="1"/>
  <c r="H95" i="28" s="1"/>
  <c r="C104" i="28"/>
  <c r="D96" i="28"/>
  <c r="E100" i="28"/>
  <c r="D60" i="28"/>
  <c r="D59" i="28"/>
  <c r="C79" i="28"/>
  <c r="E57" i="28"/>
  <c r="Y53" i="28"/>
  <c r="AG82" i="28"/>
  <c r="X54" i="28"/>
  <c r="Y54" i="28"/>
  <c r="D53" i="28"/>
  <c r="E1" i="28"/>
  <c r="Z1" i="28"/>
  <c r="Z54" i="28" s="1"/>
  <c r="N53" i="28"/>
  <c r="AG83" i="28"/>
  <c r="O1" i="28"/>
  <c r="W52" i="28"/>
  <c r="AG55" i="28"/>
  <c r="X53" i="28"/>
  <c r="F79" i="28"/>
  <c r="G76" i="28"/>
  <c r="C82" i="28"/>
  <c r="C83" i="28"/>
  <c r="E71" i="28"/>
  <c r="E79" i="28"/>
  <c r="D79" i="28"/>
  <c r="C208" i="20"/>
  <c r="C10" i="19"/>
  <c r="D10" i="19" s="1"/>
  <c r="E10" i="19" s="1"/>
  <c r="F10" i="19" s="1"/>
  <c r="G10" i="19" s="1"/>
  <c r="H10" i="19" s="1"/>
  <c r="I10" i="19" s="1"/>
  <c r="J10" i="19" s="1"/>
  <c r="K10" i="19" s="1"/>
  <c r="L10" i="19" s="1"/>
  <c r="M10" i="19" s="1"/>
  <c r="N10" i="19" s="1"/>
  <c r="O10" i="19" s="1"/>
  <c r="P10" i="19" s="1"/>
  <c r="Q10" i="19" s="1"/>
  <c r="R10" i="19" s="1"/>
  <c r="S10" i="19" s="1"/>
  <c r="T10" i="19" s="1"/>
  <c r="U10" i="19" s="1"/>
  <c r="V10" i="19" s="1"/>
  <c r="W10" i="19" s="1"/>
  <c r="X10" i="19" s="1"/>
  <c r="Y10" i="19" s="1"/>
  <c r="Z10" i="19" s="1"/>
  <c r="AA10" i="19" s="1"/>
  <c r="AB10" i="19" s="1"/>
  <c r="AC10" i="19" s="1"/>
  <c r="AD10" i="19" s="1"/>
  <c r="AE10" i="19" s="1"/>
  <c r="AF10" i="19" s="1"/>
  <c r="AG10" i="19" s="1"/>
  <c r="X1" i="19"/>
  <c r="N1" i="19"/>
  <c r="D1" i="19"/>
  <c r="AG208" i="20"/>
  <c r="AG195" i="20"/>
  <c r="C195" i="20"/>
  <c r="C115" i="20"/>
  <c r="C163" i="20"/>
  <c r="C159" i="20"/>
  <c r="AG159" i="20"/>
  <c r="W28" i="34" l="1"/>
  <c r="C57" i="20" s="1"/>
  <c r="W32" i="34"/>
  <c r="D4" i="34" s="1"/>
  <c r="E49" i="34" s="1"/>
  <c r="F49" i="34" s="1"/>
  <c r="G49" i="34" s="1"/>
  <c r="H49" i="34" s="1"/>
  <c r="I49" i="34" s="1"/>
  <c r="J49" i="34" s="1"/>
  <c r="K49" i="34" s="1"/>
  <c r="L49" i="34" s="1"/>
  <c r="M49" i="34" s="1"/>
  <c r="N49" i="34" s="1"/>
  <c r="O49" i="34" s="1"/>
  <c r="P49" i="34" s="1"/>
  <c r="Q49" i="34" s="1"/>
  <c r="R49" i="34" s="1"/>
  <c r="S49" i="34" s="1"/>
  <c r="T49" i="34" s="1"/>
  <c r="U49" i="34" s="1"/>
  <c r="V49" i="34" s="1"/>
  <c r="W49" i="34" s="1"/>
  <c r="X49" i="34" s="1"/>
  <c r="Y49" i="34" s="1"/>
  <c r="Z49" i="34" s="1"/>
  <c r="AA49" i="34" s="1"/>
  <c r="AB49" i="34" s="1"/>
  <c r="AC49" i="34" s="1"/>
  <c r="AD49" i="34" s="1"/>
  <c r="AE49" i="34" s="1"/>
  <c r="AF49" i="34" s="1"/>
  <c r="AG49" i="34" s="1"/>
  <c r="AH49" i="34" s="1"/>
  <c r="W31" i="34"/>
  <c r="D3" i="34" s="1"/>
  <c r="V33" i="34"/>
  <c r="C6" i="34" s="1"/>
  <c r="E46" i="34" s="1"/>
  <c r="V32" i="34"/>
  <c r="C4" i="34" s="1"/>
  <c r="E44" i="34" s="1"/>
  <c r="V31" i="34"/>
  <c r="C3" i="34" s="1"/>
  <c r="Y32" i="34"/>
  <c r="F4" i="34" s="1"/>
  <c r="E59" i="34" s="1"/>
  <c r="Y31" i="34"/>
  <c r="F3" i="34" s="1"/>
  <c r="Y28" i="34"/>
  <c r="X32" i="34"/>
  <c r="E4" i="34" s="1"/>
  <c r="E54" i="34" s="1"/>
  <c r="F54" i="34" s="1"/>
  <c r="G54" i="34" s="1"/>
  <c r="H54" i="34" s="1"/>
  <c r="I54" i="34" s="1"/>
  <c r="J54" i="34" s="1"/>
  <c r="K54" i="34" s="1"/>
  <c r="L54" i="34" s="1"/>
  <c r="M54" i="34" s="1"/>
  <c r="N54" i="34" s="1"/>
  <c r="O54" i="34" s="1"/>
  <c r="P54" i="34" s="1"/>
  <c r="Q54" i="34" s="1"/>
  <c r="R54" i="34" s="1"/>
  <c r="S54" i="34" s="1"/>
  <c r="T54" i="34" s="1"/>
  <c r="U54" i="34" s="1"/>
  <c r="V54" i="34" s="1"/>
  <c r="W54" i="34" s="1"/>
  <c r="X54" i="34" s="1"/>
  <c r="Y54" i="34" s="1"/>
  <c r="Z54" i="34" s="1"/>
  <c r="AA54" i="34" s="1"/>
  <c r="AB54" i="34" s="1"/>
  <c r="AC54" i="34" s="1"/>
  <c r="AD54" i="34" s="1"/>
  <c r="AE54" i="34" s="1"/>
  <c r="AF54" i="34" s="1"/>
  <c r="AG54" i="34" s="1"/>
  <c r="AH54" i="34" s="1"/>
  <c r="X28" i="34"/>
  <c r="C59" i="20" s="1"/>
  <c r="X31" i="34"/>
  <c r="E3" i="34" s="1"/>
  <c r="Y33" i="34"/>
  <c r="Z32" i="34"/>
  <c r="G4" i="34" s="1"/>
  <c r="E64" i="34" s="1"/>
  <c r="Z28" i="34"/>
  <c r="C58" i="20" s="1"/>
  <c r="Z31" i="34"/>
  <c r="G3" i="34" s="1"/>
  <c r="W33" i="34"/>
  <c r="D6" i="34" s="1"/>
  <c r="E51" i="34" s="1"/>
  <c r="F51" i="34" s="1"/>
  <c r="G51" i="34" s="1"/>
  <c r="H51" i="34" s="1"/>
  <c r="I51" i="34" s="1"/>
  <c r="J51" i="34" s="1"/>
  <c r="K51" i="34" s="1"/>
  <c r="L51" i="34" s="1"/>
  <c r="M51" i="34" s="1"/>
  <c r="N51" i="34" s="1"/>
  <c r="O51" i="34" s="1"/>
  <c r="P51" i="34" s="1"/>
  <c r="Q51" i="34" s="1"/>
  <c r="R51" i="34" s="1"/>
  <c r="S51" i="34" s="1"/>
  <c r="T51" i="34" s="1"/>
  <c r="U51" i="34" s="1"/>
  <c r="V51" i="34" s="1"/>
  <c r="W51" i="34" s="1"/>
  <c r="X51" i="34" s="1"/>
  <c r="Y51" i="34" s="1"/>
  <c r="Z51" i="34" s="1"/>
  <c r="AA51" i="34" s="1"/>
  <c r="AB51" i="34" s="1"/>
  <c r="AC51" i="34" s="1"/>
  <c r="AD51" i="34" s="1"/>
  <c r="AE51" i="34" s="1"/>
  <c r="AF51" i="34" s="1"/>
  <c r="AG51" i="34" s="1"/>
  <c r="AH51" i="34" s="1"/>
  <c r="AH63" i="15"/>
  <c r="D83" i="14"/>
  <c r="D102" i="28"/>
  <c r="Y55" i="28"/>
  <c r="Y52" i="28" s="1"/>
  <c r="F96" i="28"/>
  <c r="G96" i="28"/>
  <c r="I95" i="28"/>
  <c r="H96" i="28"/>
  <c r="M114" i="28"/>
  <c r="M113" i="28" s="1"/>
  <c r="W94" i="28"/>
  <c r="W93" i="28" s="1"/>
  <c r="W80" i="29" s="1"/>
  <c r="M94" i="28"/>
  <c r="M93" i="28" s="1"/>
  <c r="M80" i="29" s="1"/>
  <c r="F100" i="28"/>
  <c r="E102" i="28"/>
  <c r="M108" i="28"/>
  <c r="E58" i="28"/>
  <c r="F57" i="28"/>
  <c r="W70" i="28"/>
  <c r="X70" i="28" s="1"/>
  <c r="D55" i="28"/>
  <c r="AG52" i="28"/>
  <c r="W114" i="28"/>
  <c r="M70" i="28"/>
  <c r="W108" i="28"/>
  <c r="E72" i="28"/>
  <c r="F71" i="28"/>
  <c r="H76" i="28"/>
  <c r="G79" i="28"/>
  <c r="X55" i="28"/>
  <c r="AA1" i="28"/>
  <c r="Z53" i="28"/>
  <c r="O54" i="28"/>
  <c r="O53" i="28"/>
  <c r="P1" i="28"/>
  <c r="N55" i="28"/>
  <c r="F1" i="28"/>
  <c r="E54" i="28"/>
  <c r="E59" i="28" s="1"/>
  <c r="E53" i="28"/>
  <c r="Y1" i="19"/>
  <c r="O1" i="19"/>
  <c r="E1" i="19"/>
  <c r="C164" i="20"/>
  <c r="D163" i="20"/>
  <c r="E163" i="20" s="1"/>
  <c r="F163" i="20" s="1"/>
  <c r="G163" i="20" s="1"/>
  <c r="H163" i="20" s="1"/>
  <c r="I163" i="20" s="1"/>
  <c r="J163" i="20" s="1"/>
  <c r="K163" i="20" s="1"/>
  <c r="L163" i="20" s="1"/>
  <c r="M163" i="20" s="1"/>
  <c r="N163" i="20" s="1"/>
  <c r="O163" i="20" s="1"/>
  <c r="P163" i="20" s="1"/>
  <c r="Q163" i="20" s="1"/>
  <c r="R163" i="20" s="1"/>
  <c r="S163" i="20" s="1"/>
  <c r="T163" i="20" s="1"/>
  <c r="U163" i="20" s="1"/>
  <c r="V163" i="20" s="1"/>
  <c r="W163" i="20" s="1"/>
  <c r="X163" i="20" s="1"/>
  <c r="Y163" i="20" s="1"/>
  <c r="Z163" i="20" s="1"/>
  <c r="AA163" i="20" s="1"/>
  <c r="AB163" i="20" s="1"/>
  <c r="AC163" i="20" s="1"/>
  <c r="AD163" i="20" s="1"/>
  <c r="AE163" i="20" s="1"/>
  <c r="AF163" i="20" s="1"/>
  <c r="AG163" i="20" s="1"/>
  <c r="D162" i="20"/>
  <c r="D157" i="20"/>
  <c r="AG158" i="20"/>
  <c r="C158" i="20"/>
  <c r="E63" i="34" l="1"/>
  <c r="G8" i="34"/>
  <c r="C55" i="48"/>
  <c r="C55" i="46"/>
  <c r="C55" i="42"/>
  <c r="C55" i="38"/>
  <c r="D58" i="20"/>
  <c r="C62" i="20"/>
  <c r="E43" i="34"/>
  <c r="C8" i="34"/>
  <c r="E53" i="34"/>
  <c r="E8" i="34"/>
  <c r="E58" i="34"/>
  <c r="C56" i="48"/>
  <c r="C56" i="46"/>
  <c r="C56" i="42"/>
  <c r="C56" i="38"/>
  <c r="C63" i="20"/>
  <c r="D59" i="20"/>
  <c r="C60" i="20"/>
  <c r="E48" i="34"/>
  <c r="F48" i="34" s="1"/>
  <c r="G48" i="34" s="1"/>
  <c r="H48" i="34" s="1"/>
  <c r="I48" i="34" s="1"/>
  <c r="J48" i="34" s="1"/>
  <c r="K48" i="34" s="1"/>
  <c r="L48" i="34" s="1"/>
  <c r="M48" i="34" s="1"/>
  <c r="N48" i="34" s="1"/>
  <c r="O48" i="34" s="1"/>
  <c r="P48" i="34" s="1"/>
  <c r="Q48" i="34" s="1"/>
  <c r="R48" i="34" s="1"/>
  <c r="S48" i="34" s="1"/>
  <c r="T48" i="34" s="1"/>
  <c r="U48" i="34" s="1"/>
  <c r="V48" i="34" s="1"/>
  <c r="W48" i="34" s="1"/>
  <c r="X48" i="34" s="1"/>
  <c r="Y48" i="34" s="1"/>
  <c r="Z48" i="34" s="1"/>
  <c r="AA48" i="34" s="1"/>
  <c r="AB48" i="34" s="1"/>
  <c r="AC48" i="34" s="1"/>
  <c r="AD48" i="34" s="1"/>
  <c r="AE48" i="34" s="1"/>
  <c r="AF48" i="34" s="1"/>
  <c r="AG48" i="34" s="1"/>
  <c r="AH48" i="34" s="1"/>
  <c r="D8" i="34"/>
  <c r="F6" i="34"/>
  <c r="E61" i="34" s="1"/>
  <c r="C54" i="48"/>
  <c r="C54" i="46"/>
  <c r="C54" i="42"/>
  <c r="C54" i="38"/>
  <c r="D57" i="20"/>
  <c r="C61" i="20"/>
  <c r="AG160" i="20"/>
  <c r="AG167" i="20" s="1"/>
  <c r="D114" i="28"/>
  <c r="D113" i="28" s="1"/>
  <c r="E114" i="28"/>
  <c r="E113" i="28" s="1"/>
  <c r="D94" i="28"/>
  <c r="D93" i="28" s="1"/>
  <c r="D80" i="29" s="1"/>
  <c r="P94" i="28"/>
  <c r="P93" i="28" s="1"/>
  <c r="P80" i="29" s="1"/>
  <c r="E94" i="28"/>
  <c r="E93" i="28" s="1"/>
  <c r="E80" i="29" s="1"/>
  <c r="F94" i="28"/>
  <c r="F93" i="28" s="1"/>
  <c r="F80" i="29" s="1"/>
  <c r="N94" i="28"/>
  <c r="N93" i="28" s="1"/>
  <c r="N80" i="29" s="1"/>
  <c r="O94" i="28"/>
  <c r="O93" i="28" s="1"/>
  <c r="O80" i="29" s="1"/>
  <c r="I96" i="28"/>
  <c r="J95" i="28"/>
  <c r="X94" i="28"/>
  <c r="X93" i="28" s="1"/>
  <c r="X80" i="29" s="1"/>
  <c r="AA94" i="28"/>
  <c r="AA93" i="28" s="1"/>
  <c r="AA80" i="29" s="1"/>
  <c r="Y94" i="28"/>
  <c r="Y93" i="28" s="1"/>
  <c r="Y80" i="29" s="1"/>
  <c r="Z94" i="28"/>
  <c r="Z93" i="28" s="1"/>
  <c r="Z80" i="29" s="1"/>
  <c r="G100" i="28"/>
  <c r="F102" i="28"/>
  <c r="AA70" i="28"/>
  <c r="AA69" i="28" s="1"/>
  <c r="E60" i="28"/>
  <c r="E108" i="28"/>
  <c r="M107" i="28"/>
  <c r="N108" i="28"/>
  <c r="D108" i="28"/>
  <c r="Y70" i="28"/>
  <c r="Y69" i="28" s="1"/>
  <c r="Z70" i="28"/>
  <c r="Z69" i="28" s="1"/>
  <c r="W69" i="28"/>
  <c r="G57" i="28"/>
  <c r="F58" i="28"/>
  <c r="O108" i="28"/>
  <c r="O107" i="28" s="1"/>
  <c r="P53" i="28"/>
  <c r="P54" i="28"/>
  <c r="Q1" i="28"/>
  <c r="Q114" i="28" s="1"/>
  <c r="Q113" i="28" s="1"/>
  <c r="D52" i="28"/>
  <c r="F54" i="28"/>
  <c r="F59" i="28" s="1"/>
  <c r="F53" i="28"/>
  <c r="G1" i="28"/>
  <c r="G70" i="28" s="1"/>
  <c r="G71" i="28"/>
  <c r="F72" i="28"/>
  <c r="Y114" i="28"/>
  <c r="Y113" i="28" s="1"/>
  <c r="W113" i="28"/>
  <c r="Z114" i="28"/>
  <c r="Z113" i="28" s="1"/>
  <c r="X114" i="28"/>
  <c r="X113" i="28" s="1"/>
  <c r="AA114" i="28"/>
  <c r="AA113" i="28" s="1"/>
  <c r="O114" i="28"/>
  <c r="O113" i="28" s="1"/>
  <c r="E55" i="28"/>
  <c r="O55" i="28"/>
  <c r="Z55" i="28"/>
  <c r="X52" i="28"/>
  <c r="I76" i="28"/>
  <c r="H79" i="28"/>
  <c r="Z108" i="28"/>
  <c r="Y108" i="28"/>
  <c r="W107" i="28"/>
  <c r="X108" i="28"/>
  <c r="AA108" i="28"/>
  <c r="F114" i="28"/>
  <c r="F113" i="28" s="1"/>
  <c r="P108" i="28"/>
  <c r="X69" i="28"/>
  <c r="N52" i="28"/>
  <c r="AA53" i="28"/>
  <c r="AB1" i="28"/>
  <c r="AB94" i="28" s="1"/>
  <c r="AB93" i="28" s="1"/>
  <c r="AB80" i="29" s="1"/>
  <c r="AA54" i="28"/>
  <c r="P70" i="28"/>
  <c r="D70" i="28"/>
  <c r="O70" i="28"/>
  <c r="M69" i="28"/>
  <c r="N70" i="28"/>
  <c r="F70" i="28"/>
  <c r="E70" i="28"/>
  <c r="P114" i="28"/>
  <c r="P113" i="28" s="1"/>
  <c r="N114" i="28"/>
  <c r="N113" i="28" s="1"/>
  <c r="F108" i="28"/>
  <c r="F1" i="19"/>
  <c r="Z1" i="19"/>
  <c r="P1" i="19"/>
  <c r="E162" i="20"/>
  <c r="F162" i="20" s="1"/>
  <c r="C160" i="20"/>
  <c r="D164" i="20"/>
  <c r="E157" i="20"/>
  <c r="D158" i="20"/>
  <c r="F8" i="34" l="1"/>
  <c r="E59" i="20"/>
  <c r="D56" i="48"/>
  <c r="D56" i="46"/>
  <c r="D56" i="42"/>
  <c r="D56" i="38"/>
  <c r="D60" i="20"/>
  <c r="C59" i="48"/>
  <c r="C59" i="46"/>
  <c r="C59" i="42"/>
  <c r="C59" i="38"/>
  <c r="C58" i="48"/>
  <c r="C58" i="46"/>
  <c r="C58" i="42"/>
  <c r="C58" i="38"/>
  <c r="C60" i="48"/>
  <c r="C60" i="46"/>
  <c r="C60" i="42"/>
  <c r="C60" i="38"/>
  <c r="F53" i="34"/>
  <c r="G53" i="34" s="1"/>
  <c r="H53" i="34" s="1"/>
  <c r="I53" i="34" s="1"/>
  <c r="J53" i="34" s="1"/>
  <c r="K53" i="34" s="1"/>
  <c r="L53" i="34" s="1"/>
  <c r="M53" i="34" s="1"/>
  <c r="N53" i="34" s="1"/>
  <c r="O53" i="34" s="1"/>
  <c r="P53" i="34" s="1"/>
  <c r="Q53" i="34" s="1"/>
  <c r="R53" i="34" s="1"/>
  <c r="S53" i="34" s="1"/>
  <c r="T53" i="34" s="1"/>
  <c r="U53" i="34" s="1"/>
  <c r="V53" i="34" s="1"/>
  <c r="W53" i="34" s="1"/>
  <c r="X53" i="34" s="1"/>
  <c r="Y53" i="34" s="1"/>
  <c r="Z53" i="34" s="1"/>
  <c r="AA53" i="34" s="1"/>
  <c r="AB53" i="34" s="1"/>
  <c r="AC53" i="34" s="1"/>
  <c r="AD53" i="34" s="1"/>
  <c r="AE53" i="34" s="1"/>
  <c r="AF53" i="34" s="1"/>
  <c r="AG53" i="34" s="1"/>
  <c r="AH53" i="34" s="1"/>
  <c r="E58" i="20"/>
  <c r="D55" i="48"/>
  <c r="D55" i="46"/>
  <c r="D55" i="42"/>
  <c r="D55" i="38"/>
  <c r="D54" i="48"/>
  <c r="D54" i="46"/>
  <c r="D54" i="42"/>
  <c r="D54" i="38"/>
  <c r="E57" i="20"/>
  <c r="C64" i="20"/>
  <c r="C57" i="48"/>
  <c r="C57" i="46"/>
  <c r="C57" i="42"/>
  <c r="C57" i="38"/>
  <c r="F157" i="20"/>
  <c r="G94" i="28"/>
  <c r="G93" i="28" s="1"/>
  <c r="G80" i="29" s="1"/>
  <c r="E97" i="28"/>
  <c r="F51" i="15" s="1"/>
  <c r="E98" i="28"/>
  <c r="D98" i="28"/>
  <c r="D97" i="28"/>
  <c r="E51" i="15" s="1"/>
  <c r="D107" i="28"/>
  <c r="Q94" i="28"/>
  <c r="Q93" i="28" s="1"/>
  <c r="Q80" i="29" s="1"/>
  <c r="G102" i="28"/>
  <c r="H100" i="28"/>
  <c r="K95" i="28"/>
  <c r="J96" i="28"/>
  <c r="F97" i="28"/>
  <c r="G51" i="15" s="1"/>
  <c r="F98" i="28"/>
  <c r="E107" i="28"/>
  <c r="N107" i="28"/>
  <c r="F60" i="28"/>
  <c r="Q70" i="28"/>
  <c r="Q69" i="28" s="1"/>
  <c r="H57" i="28"/>
  <c r="G58" i="28"/>
  <c r="F107" i="28"/>
  <c r="E73" i="28"/>
  <c r="E69" i="28"/>
  <c r="E74" i="28"/>
  <c r="N69" i="28"/>
  <c r="AC1" i="28"/>
  <c r="AC94" i="28" s="1"/>
  <c r="AC93" i="28" s="1"/>
  <c r="AC80" i="29" s="1"/>
  <c r="AB53" i="28"/>
  <c r="AB54" i="28"/>
  <c r="AB70" i="28"/>
  <c r="AA107" i="28"/>
  <c r="E52" i="28"/>
  <c r="P55" i="28"/>
  <c r="O69" i="28"/>
  <c r="AA55" i="28"/>
  <c r="AB108" i="28"/>
  <c r="Z107" i="28"/>
  <c r="AB114" i="28"/>
  <c r="AB113" i="28" s="1"/>
  <c r="G72" i="28"/>
  <c r="G74" i="28" s="1"/>
  <c r="H71" i="28"/>
  <c r="P69" i="28"/>
  <c r="P107" i="28"/>
  <c r="O52" i="28"/>
  <c r="G54" i="28"/>
  <c r="G59" i="28" s="1"/>
  <c r="G53" i="28"/>
  <c r="H1" i="28"/>
  <c r="H94" i="28" s="1"/>
  <c r="H93" i="28" s="1"/>
  <c r="H80" i="29" s="1"/>
  <c r="G108" i="28"/>
  <c r="G114" i="28"/>
  <c r="G113" i="28" s="1"/>
  <c r="R1" i="28"/>
  <c r="R94" i="28" s="1"/>
  <c r="R93" i="28" s="1"/>
  <c r="R80" i="29" s="1"/>
  <c r="Q54" i="28"/>
  <c r="Q53" i="28"/>
  <c r="Q108" i="28"/>
  <c r="F73" i="28"/>
  <c r="F74" i="28"/>
  <c r="F69" i="28"/>
  <c r="G73" i="28"/>
  <c r="G69" i="28"/>
  <c r="D74" i="28"/>
  <c r="D73" i="28"/>
  <c r="D69" i="28"/>
  <c r="X107" i="28"/>
  <c r="Y107" i="28"/>
  <c r="I79" i="28"/>
  <c r="J76" i="28"/>
  <c r="Z52" i="28"/>
  <c r="F55" i="28"/>
  <c r="AA1" i="19"/>
  <c r="Q1" i="19"/>
  <c r="G1" i="19"/>
  <c r="C166" i="20"/>
  <c r="C167" i="20"/>
  <c r="E158" i="20"/>
  <c r="F164" i="20"/>
  <c r="G162" i="20"/>
  <c r="E164" i="20"/>
  <c r="F158" i="20"/>
  <c r="D57" i="48" l="1"/>
  <c r="D57" i="46"/>
  <c r="D57" i="42"/>
  <c r="D57" i="38"/>
  <c r="C61" i="48"/>
  <c r="C61" i="46"/>
  <c r="C61" i="42"/>
  <c r="C61" i="38"/>
  <c r="F57" i="20"/>
  <c r="E54" i="48"/>
  <c r="E54" i="46"/>
  <c r="E54" i="42"/>
  <c r="E54" i="38"/>
  <c r="F58" i="20"/>
  <c r="E55" i="48"/>
  <c r="E55" i="46"/>
  <c r="E55" i="42"/>
  <c r="E55" i="38"/>
  <c r="E56" i="48"/>
  <c r="E56" i="46"/>
  <c r="E56" i="42"/>
  <c r="E56" i="38"/>
  <c r="F59" i="20"/>
  <c r="E60" i="20"/>
  <c r="G157" i="20"/>
  <c r="H98" i="28"/>
  <c r="H105" i="28" s="1"/>
  <c r="I63" i="15" s="1"/>
  <c r="H97" i="28"/>
  <c r="I51" i="15" s="1"/>
  <c r="F105" i="28"/>
  <c r="G63" i="15" s="1"/>
  <c r="F104" i="28"/>
  <c r="G57" i="15" s="1"/>
  <c r="I100" i="28"/>
  <c r="H102" i="28"/>
  <c r="G98" i="28"/>
  <c r="G97" i="28"/>
  <c r="H51" i="15" s="1"/>
  <c r="D105" i="28"/>
  <c r="E63" i="15" s="1"/>
  <c r="D104" i="28"/>
  <c r="E57" i="15" s="1"/>
  <c r="L95" i="28"/>
  <c r="K96" i="28"/>
  <c r="E105" i="28"/>
  <c r="F63" i="15" s="1"/>
  <c r="E104" i="28"/>
  <c r="F57" i="15" s="1"/>
  <c r="G60" i="28"/>
  <c r="I57" i="28"/>
  <c r="H58" i="28"/>
  <c r="P52" i="28"/>
  <c r="AB55" i="28"/>
  <c r="F82" i="28"/>
  <c r="F83" i="28"/>
  <c r="F81" i="28"/>
  <c r="G55" i="28"/>
  <c r="AC53" i="28"/>
  <c r="AD1" i="28"/>
  <c r="AD94" i="28" s="1"/>
  <c r="AD93" i="28" s="1"/>
  <c r="AD80" i="29" s="1"/>
  <c r="AC54" i="28"/>
  <c r="AC70" i="28"/>
  <c r="AC114" i="28"/>
  <c r="AC113" i="28" s="1"/>
  <c r="AC108" i="28"/>
  <c r="H54" i="28"/>
  <c r="H59" i="28" s="1"/>
  <c r="I1" i="28"/>
  <c r="I94" i="28" s="1"/>
  <c r="I93" i="28" s="1"/>
  <c r="I80" i="29" s="1"/>
  <c r="H53" i="28"/>
  <c r="H108" i="28"/>
  <c r="H114" i="28"/>
  <c r="H113" i="28" s="1"/>
  <c r="H70" i="28"/>
  <c r="K76" i="28"/>
  <c r="J79" i="28"/>
  <c r="Q107" i="28"/>
  <c r="H72" i="28"/>
  <c r="I71" i="28"/>
  <c r="AB107" i="28"/>
  <c r="AA52" i="28"/>
  <c r="AB69" i="28"/>
  <c r="S1" i="28"/>
  <c r="S94" i="28" s="1"/>
  <c r="S93" i="28" s="1"/>
  <c r="S80" i="29" s="1"/>
  <c r="R53" i="28"/>
  <c r="R54" i="28"/>
  <c r="R70" i="28"/>
  <c r="R108" i="28"/>
  <c r="R114" i="28"/>
  <c r="R113" i="28" s="1"/>
  <c r="G82" i="28"/>
  <c r="G83" i="28"/>
  <c r="G81" i="28"/>
  <c r="F52" i="28"/>
  <c r="D83" i="28"/>
  <c r="D81" i="28"/>
  <c r="D82" i="28"/>
  <c r="Q55" i="28"/>
  <c r="G107" i="28"/>
  <c r="E82" i="28"/>
  <c r="E83" i="28"/>
  <c r="E81" i="28"/>
  <c r="H1" i="19"/>
  <c r="AB1" i="19"/>
  <c r="R1" i="19"/>
  <c r="H162" i="20"/>
  <c r="G164" i="20"/>
  <c r="E57" i="48" l="1"/>
  <c r="E57" i="46"/>
  <c r="E57" i="42"/>
  <c r="E57" i="38"/>
  <c r="F56" i="48"/>
  <c r="F56" i="46"/>
  <c r="F56" i="42"/>
  <c r="F56" i="38"/>
  <c r="G59" i="20"/>
  <c r="F60" i="20"/>
  <c r="G58" i="20"/>
  <c r="F55" i="48"/>
  <c r="F55" i="46"/>
  <c r="F55" i="42"/>
  <c r="F55" i="38"/>
  <c r="G57" i="20"/>
  <c r="F54" i="48"/>
  <c r="F54" i="46"/>
  <c r="F54" i="42"/>
  <c r="F54" i="38"/>
  <c r="H157" i="20"/>
  <c r="G158" i="20"/>
  <c r="H104" i="28"/>
  <c r="I57" i="15" s="1"/>
  <c r="J100" i="28"/>
  <c r="I102" i="28"/>
  <c r="G105" i="28"/>
  <c r="H63" i="15" s="1"/>
  <c r="G104" i="28"/>
  <c r="H57" i="15" s="1"/>
  <c r="I98" i="28"/>
  <c r="I105" i="28" s="1"/>
  <c r="J63" i="15" s="1"/>
  <c r="I97" i="28"/>
  <c r="J51" i="15" s="1"/>
  <c r="L96" i="28"/>
  <c r="M95" i="28"/>
  <c r="H60" i="28"/>
  <c r="J57" i="28"/>
  <c r="I58" i="28"/>
  <c r="R55" i="28"/>
  <c r="L76" i="28"/>
  <c r="K79" i="28"/>
  <c r="H107" i="28"/>
  <c r="AC107" i="28"/>
  <c r="AB52" i="28"/>
  <c r="R107" i="28"/>
  <c r="S54" i="28"/>
  <c r="S53" i="28"/>
  <c r="T1" i="28"/>
  <c r="T94" i="28" s="1"/>
  <c r="T93" i="28" s="1"/>
  <c r="T80" i="29" s="1"/>
  <c r="S108" i="28"/>
  <c r="S114" i="28"/>
  <c r="S113" i="28" s="1"/>
  <c r="S70" i="28"/>
  <c r="I72" i="28"/>
  <c r="J71" i="28"/>
  <c r="H74" i="28"/>
  <c r="H69" i="28"/>
  <c r="H73" i="28"/>
  <c r="H55" i="28"/>
  <c r="AE1" i="28"/>
  <c r="AE94" i="28" s="1"/>
  <c r="AE93" i="28" s="1"/>
  <c r="AE80" i="29" s="1"/>
  <c r="AD53" i="28"/>
  <c r="AD54" i="28"/>
  <c r="AD70" i="28"/>
  <c r="AD114" i="28"/>
  <c r="AD113" i="28" s="1"/>
  <c r="AD108" i="28"/>
  <c r="G52" i="28"/>
  <c r="I53" i="28"/>
  <c r="J1" i="28"/>
  <c r="J94" i="28" s="1"/>
  <c r="J93" i="28" s="1"/>
  <c r="J80" i="29" s="1"/>
  <c r="I54" i="28"/>
  <c r="I59" i="28" s="1"/>
  <c r="I108" i="28"/>
  <c r="I114" i="28"/>
  <c r="I113" i="28" s="1"/>
  <c r="I70" i="28"/>
  <c r="AC55" i="28"/>
  <c r="R69" i="28"/>
  <c r="Q52" i="28"/>
  <c r="AC69" i="28"/>
  <c r="S1" i="19"/>
  <c r="AC1" i="19"/>
  <c r="I1" i="19"/>
  <c r="I162" i="20"/>
  <c r="H164" i="20"/>
  <c r="H158" i="20"/>
  <c r="H57" i="20" l="1"/>
  <c r="G54" i="48"/>
  <c r="G54" i="46"/>
  <c r="G54" i="42"/>
  <c r="G54" i="38"/>
  <c r="H58" i="20"/>
  <c r="G55" i="48"/>
  <c r="G55" i="46"/>
  <c r="G55" i="42"/>
  <c r="G55" i="38"/>
  <c r="F57" i="48"/>
  <c r="F57" i="46"/>
  <c r="F57" i="42"/>
  <c r="F57" i="38"/>
  <c r="G56" i="48"/>
  <c r="G56" i="46"/>
  <c r="G56" i="42"/>
  <c r="G56" i="38"/>
  <c r="H59" i="20"/>
  <c r="G60" i="20"/>
  <c r="I157" i="20"/>
  <c r="J97" i="28"/>
  <c r="K51" i="15" s="1"/>
  <c r="J98" i="28"/>
  <c r="J105" i="28" s="1"/>
  <c r="K63" i="15" s="1"/>
  <c r="I104" i="28"/>
  <c r="J57" i="15" s="1"/>
  <c r="M96" i="28"/>
  <c r="M98" i="28" s="1"/>
  <c r="M105" i="28" s="1"/>
  <c r="N63" i="15" s="1"/>
  <c r="N95" i="28"/>
  <c r="M97" i="28"/>
  <c r="N51" i="15" s="1"/>
  <c r="K100" i="28"/>
  <c r="J102" i="28"/>
  <c r="I60" i="28"/>
  <c r="K57" i="28"/>
  <c r="J58" i="28"/>
  <c r="I55" i="28"/>
  <c r="AD107" i="28"/>
  <c r="K71" i="28"/>
  <c r="J72" i="28"/>
  <c r="AC52" i="28"/>
  <c r="I73" i="28"/>
  <c r="I74" i="28"/>
  <c r="I69" i="28"/>
  <c r="J54" i="28"/>
  <c r="J59" i="28" s="1"/>
  <c r="J53" i="28"/>
  <c r="K1" i="28"/>
  <c r="K94" i="28" s="1"/>
  <c r="K93" i="28" s="1"/>
  <c r="K80" i="29" s="1"/>
  <c r="J114" i="28"/>
  <c r="J113" i="28" s="1"/>
  <c r="J108" i="28"/>
  <c r="J70" i="28"/>
  <c r="AD69" i="28"/>
  <c r="H52" i="28"/>
  <c r="H83" i="28"/>
  <c r="H82" i="28"/>
  <c r="H81" i="28"/>
  <c r="S55" i="28"/>
  <c r="I107" i="28"/>
  <c r="AD55" i="28"/>
  <c r="S107" i="28"/>
  <c r="M76" i="28"/>
  <c r="L79" i="28"/>
  <c r="R52" i="28"/>
  <c r="AF1" i="28"/>
  <c r="AF94" i="28" s="1"/>
  <c r="AF93" i="28" s="1"/>
  <c r="AF80" i="29" s="1"/>
  <c r="AE53" i="28"/>
  <c r="AE54" i="28"/>
  <c r="AE70" i="28"/>
  <c r="AE114" i="28"/>
  <c r="AE113" i="28" s="1"/>
  <c r="AE108" i="28"/>
  <c r="S69" i="28"/>
  <c r="T54" i="28"/>
  <c r="T53" i="28"/>
  <c r="U1" i="28"/>
  <c r="U94" i="28" s="1"/>
  <c r="U93" i="28" s="1"/>
  <c r="U80" i="29" s="1"/>
  <c r="T108" i="28"/>
  <c r="T70" i="28"/>
  <c r="T114" i="28"/>
  <c r="T113" i="28" s="1"/>
  <c r="J1" i="19"/>
  <c r="AD1" i="19"/>
  <c r="T1" i="19"/>
  <c r="I164" i="20"/>
  <c r="J162" i="20"/>
  <c r="G57" i="48" l="1"/>
  <c r="G57" i="46"/>
  <c r="G57" i="42"/>
  <c r="G57" i="38"/>
  <c r="H56" i="48"/>
  <c r="H56" i="46"/>
  <c r="H56" i="42"/>
  <c r="H56" i="38"/>
  <c r="I59" i="20"/>
  <c r="H60" i="20"/>
  <c r="I58" i="20"/>
  <c r="H55" i="48"/>
  <c r="H55" i="46"/>
  <c r="H55" i="42"/>
  <c r="H55" i="38"/>
  <c r="I57" i="20"/>
  <c r="H54" i="48"/>
  <c r="H54" i="46"/>
  <c r="H54" i="42"/>
  <c r="H54" i="38"/>
  <c r="I158" i="20"/>
  <c r="J157" i="20"/>
  <c r="J158" i="20" s="1"/>
  <c r="J104" i="28"/>
  <c r="K57" i="15" s="1"/>
  <c r="K98" i="28"/>
  <c r="K105" i="28" s="1"/>
  <c r="L63" i="15" s="1"/>
  <c r="K97" i="28"/>
  <c r="L51" i="15" s="1"/>
  <c r="K102" i="28"/>
  <c r="L100" i="28"/>
  <c r="O95" i="28"/>
  <c r="N96" i="28"/>
  <c r="N98" i="28" s="1"/>
  <c r="N105" i="28" s="1"/>
  <c r="O63" i="15" s="1"/>
  <c r="N97" i="28"/>
  <c r="O51" i="15" s="1"/>
  <c r="J60" i="28"/>
  <c r="L57" i="28"/>
  <c r="K58" i="28"/>
  <c r="U53" i="28"/>
  <c r="V1" i="28"/>
  <c r="V94" i="28" s="1"/>
  <c r="V93" i="28" s="1"/>
  <c r="V80" i="29" s="1"/>
  <c r="U54" i="28"/>
  <c r="U114" i="28"/>
  <c r="U113" i="28" s="1"/>
  <c r="U108" i="28"/>
  <c r="U70" i="28"/>
  <c r="AE107" i="28"/>
  <c r="J73" i="28"/>
  <c r="J74" i="28"/>
  <c r="J69" i="28"/>
  <c r="K54" i="28"/>
  <c r="K59" i="28" s="1"/>
  <c r="L1" i="28"/>
  <c r="L94" i="28" s="1"/>
  <c r="L93" i="28" s="1"/>
  <c r="L80" i="29" s="1"/>
  <c r="K53" i="28"/>
  <c r="K114" i="28"/>
  <c r="K113" i="28" s="1"/>
  <c r="K108" i="28"/>
  <c r="K70" i="28"/>
  <c r="I52" i="28"/>
  <c r="AF54" i="28"/>
  <c r="AF53" i="28"/>
  <c r="AF70" i="28"/>
  <c r="AF114" i="28"/>
  <c r="AF113" i="28" s="1"/>
  <c r="AF108" i="28"/>
  <c r="I83" i="28"/>
  <c r="I82" i="28"/>
  <c r="I81" i="28"/>
  <c r="T107" i="28"/>
  <c r="AE69" i="28"/>
  <c r="M79" i="28"/>
  <c r="N76" i="28"/>
  <c r="AD52" i="28"/>
  <c r="S52" i="28"/>
  <c r="T69" i="28"/>
  <c r="T55" i="28"/>
  <c r="AE55" i="28"/>
  <c r="J107" i="28"/>
  <c r="J55" i="28"/>
  <c r="L71" i="28"/>
  <c r="K72" i="28"/>
  <c r="K1" i="19"/>
  <c r="U1" i="19"/>
  <c r="AE1" i="19"/>
  <c r="J164" i="20"/>
  <c r="K162" i="20"/>
  <c r="K104" i="28" l="1"/>
  <c r="L57" i="15" s="1"/>
  <c r="J57" i="20"/>
  <c r="I54" i="48"/>
  <c r="I54" i="46"/>
  <c r="I54" i="42"/>
  <c r="I54" i="38"/>
  <c r="J58" i="20"/>
  <c r="I55" i="46"/>
  <c r="I55" i="48"/>
  <c r="I55" i="42"/>
  <c r="I55" i="38"/>
  <c r="H57" i="48"/>
  <c r="H57" i="46"/>
  <c r="H57" i="42"/>
  <c r="H57" i="38"/>
  <c r="I56" i="48"/>
  <c r="I56" i="46"/>
  <c r="I56" i="42"/>
  <c r="I56" i="38"/>
  <c r="J59" i="20"/>
  <c r="I60" i="20"/>
  <c r="K157" i="20"/>
  <c r="P95" i="28"/>
  <c r="O96" i="28"/>
  <c r="O98" i="28" s="1"/>
  <c r="O105" i="28" s="1"/>
  <c r="P63" i="15" s="1"/>
  <c r="O97" i="28"/>
  <c r="P51" i="15" s="1"/>
  <c r="L98" i="28"/>
  <c r="L105" i="28" s="1"/>
  <c r="M63" i="15" s="1"/>
  <c r="L97" i="28"/>
  <c r="M51" i="15" s="1"/>
  <c r="M100" i="28"/>
  <c r="L102" i="28"/>
  <c r="K60" i="28"/>
  <c r="M57" i="28"/>
  <c r="M59" i="28" s="1"/>
  <c r="L58" i="28"/>
  <c r="AE52" i="28"/>
  <c r="L54" i="28"/>
  <c r="L59" i="28" s="1"/>
  <c r="L53" i="28"/>
  <c r="L108" i="28"/>
  <c r="L114" i="28"/>
  <c r="L113" i="28" s="1"/>
  <c r="L70" i="28"/>
  <c r="U69" i="28"/>
  <c r="AF107" i="28"/>
  <c r="AF55" i="28"/>
  <c r="U107" i="28"/>
  <c r="V54" i="28"/>
  <c r="V53" i="28"/>
  <c r="V114" i="28"/>
  <c r="V113" i="28" s="1"/>
  <c r="V108" i="28"/>
  <c r="V70" i="28"/>
  <c r="J52" i="28"/>
  <c r="T52" i="28"/>
  <c r="K74" i="28"/>
  <c r="K73" i="28"/>
  <c r="K69" i="28"/>
  <c r="K55" i="28"/>
  <c r="J82" i="28"/>
  <c r="J83" i="28"/>
  <c r="J81" i="28"/>
  <c r="AF69" i="28"/>
  <c r="K107" i="28"/>
  <c r="L72" i="28"/>
  <c r="M71" i="28"/>
  <c r="N79" i="28"/>
  <c r="O76" i="28"/>
  <c r="U55" i="28"/>
  <c r="L1" i="19"/>
  <c r="AF1" i="19"/>
  <c r="V1" i="19"/>
  <c r="L162" i="20"/>
  <c r="K164" i="20"/>
  <c r="I57" i="48" l="1"/>
  <c r="I57" i="46"/>
  <c r="I57" i="42"/>
  <c r="I57" i="38"/>
  <c r="J56" i="46"/>
  <c r="J56" i="48"/>
  <c r="J56" i="42"/>
  <c r="J56" i="38"/>
  <c r="K59" i="20"/>
  <c r="J60" i="20"/>
  <c r="K58" i="20"/>
  <c r="J55" i="48"/>
  <c r="J55" i="46"/>
  <c r="J55" i="42"/>
  <c r="J55" i="38"/>
  <c r="K57" i="20"/>
  <c r="J54" i="48"/>
  <c r="J54" i="46"/>
  <c r="J54" i="42"/>
  <c r="J54" i="38"/>
  <c r="K158" i="20"/>
  <c r="L157" i="20"/>
  <c r="L104" i="28"/>
  <c r="M57" i="15" s="1"/>
  <c r="N100" i="28"/>
  <c r="M104" i="28"/>
  <c r="N57" i="15" s="1"/>
  <c r="M102" i="28"/>
  <c r="P96" i="28"/>
  <c r="P98" i="28" s="1"/>
  <c r="P105" i="28" s="1"/>
  <c r="Q63" i="15" s="1"/>
  <c r="Q95" i="28"/>
  <c r="P97" i="28"/>
  <c r="Q51" i="15" s="1"/>
  <c r="L60" i="28"/>
  <c r="N57" i="28"/>
  <c r="N59" i="28" s="1"/>
  <c r="M58" i="28"/>
  <c r="M60" i="28" s="1"/>
  <c r="M72" i="28"/>
  <c r="M74" i="28" s="1"/>
  <c r="N71" i="28"/>
  <c r="M73" i="28"/>
  <c r="V55" i="28"/>
  <c r="L107" i="28"/>
  <c r="K52" i="28"/>
  <c r="K82" i="28"/>
  <c r="K83" i="28"/>
  <c r="K81" i="28"/>
  <c r="V69" i="28"/>
  <c r="AF52" i="28"/>
  <c r="U52" i="28"/>
  <c r="P76" i="28"/>
  <c r="O79" i="28"/>
  <c r="V107" i="28"/>
  <c r="L74" i="28"/>
  <c r="L73" i="28"/>
  <c r="L69" i="28"/>
  <c r="L55" i="28"/>
  <c r="M162" i="20"/>
  <c r="L164" i="20"/>
  <c r="L57" i="20" l="1"/>
  <c r="K54" i="48"/>
  <c r="K54" i="46"/>
  <c r="K54" i="42"/>
  <c r="K54" i="38"/>
  <c r="L58" i="20"/>
  <c r="K55" i="48"/>
  <c r="K55" i="46"/>
  <c r="K55" i="42"/>
  <c r="K55" i="38"/>
  <c r="J57" i="48"/>
  <c r="J57" i="46"/>
  <c r="J57" i="42"/>
  <c r="J57" i="38"/>
  <c r="K56" i="48"/>
  <c r="K56" i="46"/>
  <c r="K56" i="42"/>
  <c r="K56" i="38"/>
  <c r="L59" i="20"/>
  <c r="K60" i="20"/>
  <c r="L158" i="20"/>
  <c r="M157" i="20"/>
  <c r="Q96" i="28"/>
  <c r="Q98" i="28" s="1"/>
  <c r="Q105" i="28" s="1"/>
  <c r="R63" i="15" s="1"/>
  <c r="R95" i="28"/>
  <c r="Q97" i="28"/>
  <c r="R51" i="15" s="1"/>
  <c r="O100" i="28"/>
  <c r="N104" i="28"/>
  <c r="O57" i="15" s="1"/>
  <c r="N102" i="28"/>
  <c r="O57" i="28"/>
  <c r="O59" i="28" s="1"/>
  <c r="N58" i="28"/>
  <c r="N60" i="28" s="1"/>
  <c r="M82" i="28"/>
  <c r="M83" i="28"/>
  <c r="M81" i="28"/>
  <c r="L83" i="28"/>
  <c r="L82" i="28"/>
  <c r="L81" i="28"/>
  <c r="L52" i="28"/>
  <c r="V52" i="28"/>
  <c r="Q76" i="28"/>
  <c r="P79" i="28"/>
  <c r="O71" i="28"/>
  <c r="N72" i="28"/>
  <c r="N74" i="28" s="1"/>
  <c r="N73" i="28"/>
  <c r="M164" i="20"/>
  <c r="N162" i="20"/>
  <c r="K57" i="46" l="1"/>
  <c r="K57" i="48"/>
  <c r="K57" i="42"/>
  <c r="K57" i="38"/>
  <c r="L56" i="48"/>
  <c r="L56" i="46"/>
  <c r="L56" i="42"/>
  <c r="L56" i="38"/>
  <c r="M59" i="20"/>
  <c r="L60" i="20"/>
  <c r="M58" i="20"/>
  <c r="L55" i="48"/>
  <c r="L55" i="46"/>
  <c r="L55" i="42"/>
  <c r="L55" i="38"/>
  <c r="M57" i="20"/>
  <c r="L54" i="46"/>
  <c r="L54" i="48"/>
  <c r="L54" i="42"/>
  <c r="L54" i="38"/>
  <c r="M158" i="20"/>
  <c r="N157" i="20"/>
  <c r="O102" i="28"/>
  <c r="P100" i="28"/>
  <c r="O104" i="28"/>
  <c r="P57" i="15" s="1"/>
  <c r="S95" i="28"/>
  <c r="R96" i="28"/>
  <c r="R98" i="28" s="1"/>
  <c r="R105" i="28" s="1"/>
  <c r="S63" i="15" s="1"/>
  <c r="R97" i="28"/>
  <c r="S51" i="15" s="1"/>
  <c r="P57" i="28"/>
  <c r="P59" i="28" s="1"/>
  <c r="O58" i="28"/>
  <c r="O60" i="28" s="1"/>
  <c r="N82" i="28"/>
  <c r="N83" i="28"/>
  <c r="N81" i="28"/>
  <c r="P71" i="28"/>
  <c r="O72" i="28"/>
  <c r="O74" i="28" s="1"/>
  <c r="O73" i="28"/>
  <c r="Q79" i="28"/>
  <c r="R76" i="28"/>
  <c r="N164" i="20"/>
  <c r="O162" i="20"/>
  <c r="N57" i="20" l="1"/>
  <c r="M54" i="48"/>
  <c r="M54" i="46"/>
  <c r="M54" i="42"/>
  <c r="M54" i="38"/>
  <c r="M61" i="20"/>
  <c r="N58" i="20"/>
  <c r="M55" i="46"/>
  <c r="M55" i="48"/>
  <c r="M55" i="42"/>
  <c r="M55" i="38"/>
  <c r="M62" i="20"/>
  <c r="L57" i="48"/>
  <c r="L57" i="46"/>
  <c r="L57" i="42"/>
  <c r="L57" i="38"/>
  <c r="M56" i="48"/>
  <c r="M56" i="46"/>
  <c r="M56" i="42"/>
  <c r="M56" i="38"/>
  <c r="M60" i="20"/>
  <c r="M63" i="20"/>
  <c r="N59" i="20"/>
  <c r="N158" i="20"/>
  <c r="O157" i="20"/>
  <c r="Q100" i="28"/>
  <c r="P104" i="28"/>
  <c r="Q57" i="15" s="1"/>
  <c r="P102" i="28"/>
  <c r="T95" i="28"/>
  <c r="S96" i="28"/>
  <c r="S98" i="28" s="1"/>
  <c r="S105" i="28" s="1"/>
  <c r="T63" i="15" s="1"/>
  <c r="S97" i="28"/>
  <c r="T51" i="15" s="1"/>
  <c r="Q57" i="28"/>
  <c r="Q59" i="28" s="1"/>
  <c r="P58" i="28"/>
  <c r="P60" i="28" s="1"/>
  <c r="O82" i="28"/>
  <c r="O83" i="28"/>
  <c r="O81" i="28"/>
  <c r="P72" i="28"/>
  <c r="P74" i="28" s="1"/>
  <c r="Q71" i="28"/>
  <c r="P73" i="28"/>
  <c r="S76" i="28"/>
  <c r="R79" i="28"/>
  <c r="P162" i="20"/>
  <c r="O164" i="20"/>
  <c r="M59" i="46" l="1"/>
  <c r="M59" i="48"/>
  <c r="M59" i="42"/>
  <c r="M59" i="38"/>
  <c r="N56" i="46"/>
  <c r="N56" i="48"/>
  <c r="N56" i="42"/>
  <c r="N56" i="38"/>
  <c r="O59" i="20"/>
  <c r="N60" i="20"/>
  <c r="O58" i="20"/>
  <c r="N55" i="48"/>
  <c r="N55" i="46"/>
  <c r="N55" i="42"/>
  <c r="N55" i="38"/>
  <c r="M60" i="48"/>
  <c r="M60" i="46"/>
  <c r="M60" i="42"/>
  <c r="M60" i="38"/>
  <c r="M58" i="48"/>
  <c r="M58" i="46"/>
  <c r="M58" i="42"/>
  <c r="M58" i="38"/>
  <c r="M64" i="20"/>
  <c r="M57" i="48"/>
  <c r="M57" i="46"/>
  <c r="M57" i="42"/>
  <c r="M57" i="38"/>
  <c r="O57" i="20"/>
  <c r="N54" i="48"/>
  <c r="N54" i="46"/>
  <c r="N54" i="42"/>
  <c r="N54" i="38"/>
  <c r="O158" i="20"/>
  <c r="P157" i="20"/>
  <c r="U95" i="28"/>
  <c r="T96" i="28"/>
  <c r="T98" i="28" s="1"/>
  <c r="T105" i="28" s="1"/>
  <c r="U63" i="15" s="1"/>
  <c r="T97" i="28"/>
  <c r="U51" i="15" s="1"/>
  <c r="R100" i="28"/>
  <c r="Q104" i="28"/>
  <c r="R57" i="15" s="1"/>
  <c r="Q102" i="28"/>
  <c r="R57" i="28"/>
  <c r="R59" i="28" s="1"/>
  <c r="Q58" i="28"/>
  <c r="Q60" i="28" s="1"/>
  <c r="Q72" i="28"/>
  <c r="Q74" i="28" s="1"/>
  <c r="R71" i="28"/>
  <c r="Q73" i="28"/>
  <c r="P83" i="28"/>
  <c r="P82" i="28"/>
  <c r="P81" i="28"/>
  <c r="T76" i="28"/>
  <c r="S79" i="28"/>
  <c r="Q162" i="20"/>
  <c r="P164" i="20"/>
  <c r="P58" i="20" l="1"/>
  <c r="O55" i="48"/>
  <c r="O55" i="46"/>
  <c r="O55" i="42"/>
  <c r="O55" i="38"/>
  <c r="N57" i="48"/>
  <c r="N57" i="46"/>
  <c r="N57" i="42"/>
  <c r="N57" i="38"/>
  <c r="M61" i="48"/>
  <c r="M61" i="46"/>
  <c r="M61" i="42"/>
  <c r="M61" i="38"/>
  <c r="P57" i="20"/>
  <c r="O54" i="48"/>
  <c r="O54" i="46"/>
  <c r="O54" i="42"/>
  <c r="O54" i="38"/>
  <c r="O56" i="48"/>
  <c r="O56" i="46"/>
  <c r="O56" i="42"/>
  <c r="O56" i="38"/>
  <c r="P59" i="20"/>
  <c r="O60" i="20"/>
  <c r="P158" i="20"/>
  <c r="Q157" i="20"/>
  <c r="U96" i="28"/>
  <c r="U98" i="28" s="1"/>
  <c r="U105" i="28" s="1"/>
  <c r="V63" i="15" s="1"/>
  <c r="V95" i="28"/>
  <c r="U97" i="28"/>
  <c r="V51" i="15" s="1"/>
  <c r="S100" i="28"/>
  <c r="R104" i="28"/>
  <c r="S57" i="15" s="1"/>
  <c r="R102" i="28"/>
  <c r="S57" i="28"/>
  <c r="S59" i="28" s="1"/>
  <c r="R58" i="28"/>
  <c r="R60" i="28" s="1"/>
  <c r="U76" i="28"/>
  <c r="T79" i="28"/>
  <c r="S71" i="28"/>
  <c r="R72" i="28"/>
  <c r="R74" i="28" s="1"/>
  <c r="R73" i="28"/>
  <c r="Q83" i="28"/>
  <c r="Q82" i="28"/>
  <c r="Q81" i="28"/>
  <c r="Q164" i="20"/>
  <c r="R162" i="20"/>
  <c r="O57" i="46" l="1"/>
  <c r="O57" i="48"/>
  <c r="O57" i="42"/>
  <c r="O57" i="38"/>
  <c r="P56" i="48"/>
  <c r="P56" i="46"/>
  <c r="P56" i="42"/>
  <c r="P56" i="38"/>
  <c r="Q59" i="20"/>
  <c r="P60" i="20"/>
  <c r="Q57" i="20"/>
  <c r="P54" i="46"/>
  <c r="P54" i="48"/>
  <c r="P54" i="42"/>
  <c r="P54" i="38"/>
  <c r="Q58" i="20"/>
  <c r="P55" i="48"/>
  <c r="P55" i="46"/>
  <c r="P55" i="42"/>
  <c r="P55" i="38"/>
  <c r="Q158" i="20"/>
  <c r="R157" i="20"/>
  <c r="W95" i="28"/>
  <c r="V96" i="28"/>
  <c r="V98" i="28" s="1"/>
  <c r="V105" i="28" s="1"/>
  <c r="W63" i="15" s="1"/>
  <c r="V97" i="28"/>
  <c r="W51" i="15" s="1"/>
  <c r="S102" i="28"/>
  <c r="S104" i="28"/>
  <c r="T57" i="15" s="1"/>
  <c r="T100" i="28"/>
  <c r="T57" i="28"/>
  <c r="T59" i="28" s="1"/>
  <c r="S58" i="28"/>
  <c r="S60" i="28" s="1"/>
  <c r="R82" i="28"/>
  <c r="R83" i="28"/>
  <c r="R81" i="28"/>
  <c r="U79" i="28"/>
  <c r="V76" i="28"/>
  <c r="T71" i="28"/>
  <c r="S72" i="28"/>
  <c r="S74" i="28" s="1"/>
  <c r="S73" i="28"/>
  <c r="R164" i="20"/>
  <c r="S162" i="20"/>
  <c r="R58" i="20" l="1"/>
  <c r="Q55" i="48"/>
  <c r="Q55" i="46"/>
  <c r="Q55" i="42"/>
  <c r="Q55" i="38"/>
  <c r="R57" i="20"/>
  <c r="Q54" i="48"/>
  <c r="Q54" i="46"/>
  <c r="Q54" i="42"/>
  <c r="Q54" i="38"/>
  <c r="P57" i="48"/>
  <c r="P57" i="46"/>
  <c r="P57" i="42"/>
  <c r="P57" i="38"/>
  <c r="Q56" i="48"/>
  <c r="Q56" i="46"/>
  <c r="Q56" i="42"/>
  <c r="Q56" i="38"/>
  <c r="R59" i="20"/>
  <c r="Q60" i="20"/>
  <c r="R158" i="20"/>
  <c r="S157" i="20"/>
  <c r="U100" i="28"/>
  <c r="T104" i="28"/>
  <c r="U57" i="15" s="1"/>
  <c r="T102" i="28"/>
  <c r="X95" i="28"/>
  <c r="W96" i="28"/>
  <c r="W98" i="28" s="1"/>
  <c r="W105" i="28" s="1"/>
  <c r="X63" i="15" s="1"/>
  <c r="W97" i="28"/>
  <c r="X51" i="15" s="1"/>
  <c r="U57" i="28"/>
  <c r="U59" i="28" s="1"/>
  <c r="T58" i="28"/>
  <c r="T60" i="28" s="1"/>
  <c r="T72" i="28"/>
  <c r="T74" i="28" s="1"/>
  <c r="U71" i="28"/>
  <c r="T73" i="28"/>
  <c r="V79" i="28"/>
  <c r="W76" i="28"/>
  <c r="S82" i="28"/>
  <c r="S83" i="28"/>
  <c r="S81" i="28"/>
  <c r="T162" i="20"/>
  <c r="S164" i="20"/>
  <c r="Q57" i="48" l="1"/>
  <c r="Q57" i="46"/>
  <c r="Q57" i="42"/>
  <c r="Q57" i="38"/>
  <c r="R56" i="48"/>
  <c r="R56" i="46"/>
  <c r="R56" i="42"/>
  <c r="R56" i="38"/>
  <c r="S59" i="20"/>
  <c r="R60" i="20"/>
  <c r="S57" i="20"/>
  <c r="R54" i="48"/>
  <c r="R54" i="46"/>
  <c r="R54" i="42"/>
  <c r="R54" i="38"/>
  <c r="S58" i="20"/>
  <c r="R55" i="48"/>
  <c r="R55" i="46"/>
  <c r="R55" i="42"/>
  <c r="R55" i="38"/>
  <c r="S158" i="20"/>
  <c r="T157" i="20"/>
  <c r="X96" i="28"/>
  <c r="X98" i="28" s="1"/>
  <c r="X105" i="28" s="1"/>
  <c r="Y63" i="15" s="1"/>
  <c r="Y95" i="28"/>
  <c r="X97" i="28"/>
  <c r="Y51" i="15" s="1"/>
  <c r="V100" i="28"/>
  <c r="U104" i="28"/>
  <c r="V57" i="15" s="1"/>
  <c r="U102" i="28"/>
  <c r="V57" i="28"/>
  <c r="V59" i="28" s="1"/>
  <c r="U58" i="28"/>
  <c r="U60" i="28" s="1"/>
  <c r="U72" i="28"/>
  <c r="U74" i="28" s="1"/>
  <c r="V71" i="28"/>
  <c r="U73" i="28"/>
  <c r="T83" i="28"/>
  <c r="T82" i="28"/>
  <c r="T81" i="28"/>
  <c r="X76" i="28"/>
  <c r="W79" i="28"/>
  <c r="U162" i="20"/>
  <c r="T164" i="20"/>
  <c r="T57" i="20" l="1"/>
  <c r="S54" i="48"/>
  <c r="S54" i="46"/>
  <c r="S54" i="42"/>
  <c r="S54" i="38"/>
  <c r="T58" i="20"/>
  <c r="S55" i="48"/>
  <c r="S55" i="46"/>
  <c r="S55" i="42"/>
  <c r="S55" i="38"/>
  <c r="R57" i="48"/>
  <c r="R57" i="46"/>
  <c r="R57" i="42"/>
  <c r="R57" i="38"/>
  <c r="S56" i="48"/>
  <c r="S56" i="46"/>
  <c r="S56" i="42"/>
  <c r="S56" i="38"/>
  <c r="S60" i="20"/>
  <c r="T59" i="20"/>
  <c r="T158" i="20"/>
  <c r="U157" i="20"/>
  <c r="W100" i="28"/>
  <c r="V104" i="28"/>
  <c r="W57" i="15" s="1"/>
  <c r="V102" i="28"/>
  <c r="Y96" i="28"/>
  <c r="Y98" i="28" s="1"/>
  <c r="Y105" i="28" s="1"/>
  <c r="Z63" i="15" s="1"/>
  <c r="Z95" i="28"/>
  <c r="Y97" i="28"/>
  <c r="Z51" i="15" s="1"/>
  <c r="W57" i="28"/>
  <c r="W59" i="28" s="1"/>
  <c r="V58" i="28"/>
  <c r="V60" i="28" s="1"/>
  <c r="U82" i="28"/>
  <c r="U83" i="28"/>
  <c r="U81" i="28"/>
  <c r="Y76" i="28"/>
  <c r="X79" i="28"/>
  <c r="W71" i="28"/>
  <c r="V72" i="28"/>
  <c r="V74" i="28" s="1"/>
  <c r="V73" i="28"/>
  <c r="U164" i="20"/>
  <c r="V162" i="20"/>
  <c r="S57" i="48" l="1"/>
  <c r="S57" i="46"/>
  <c r="S57" i="42"/>
  <c r="S57" i="38"/>
  <c r="U58" i="20"/>
  <c r="T55" i="48"/>
  <c r="T55" i="46"/>
  <c r="T55" i="42"/>
  <c r="T55" i="38"/>
  <c r="T56" i="48"/>
  <c r="T56" i="46"/>
  <c r="T56" i="42"/>
  <c r="T56" i="38"/>
  <c r="U59" i="20"/>
  <c r="T60" i="20"/>
  <c r="U57" i="20"/>
  <c r="T54" i="48"/>
  <c r="T54" i="46"/>
  <c r="T54" i="42"/>
  <c r="T54" i="38"/>
  <c r="U158" i="20"/>
  <c r="V157" i="20"/>
  <c r="AA95" i="28"/>
  <c r="Z96" i="28"/>
  <c r="Z98" i="28" s="1"/>
  <c r="Z105" i="28" s="1"/>
  <c r="AA63" i="15" s="1"/>
  <c r="Z97" i="28"/>
  <c r="AA51" i="15" s="1"/>
  <c r="W102" i="28"/>
  <c r="X100" i="28"/>
  <c r="W104" i="28"/>
  <c r="X57" i="15" s="1"/>
  <c r="X57" i="28"/>
  <c r="X59" i="28" s="1"/>
  <c r="W58" i="28"/>
  <c r="W60" i="28" s="1"/>
  <c r="V82" i="28"/>
  <c r="V83" i="28"/>
  <c r="V81" i="28"/>
  <c r="W72" i="28"/>
  <c r="W74" i="28" s="1"/>
  <c r="X71" i="28"/>
  <c r="W73" i="28"/>
  <c r="Y79" i="28"/>
  <c r="Z76" i="28"/>
  <c r="V164" i="20"/>
  <c r="W162" i="20"/>
  <c r="V57" i="20" l="1"/>
  <c r="U54" i="48"/>
  <c r="U54" i="46"/>
  <c r="U54" i="42"/>
  <c r="U54" i="38"/>
  <c r="T57" i="48"/>
  <c r="T57" i="46"/>
  <c r="T57" i="42"/>
  <c r="T57" i="38"/>
  <c r="U56" i="48"/>
  <c r="U56" i="46"/>
  <c r="U56" i="42"/>
  <c r="U56" i="38"/>
  <c r="V59" i="20"/>
  <c r="U60" i="20"/>
  <c r="V58" i="20"/>
  <c r="U55" i="48"/>
  <c r="U55" i="46"/>
  <c r="U55" i="42"/>
  <c r="U55" i="38"/>
  <c r="V158" i="20"/>
  <c r="W157" i="20"/>
  <c r="Y100" i="28"/>
  <c r="X104" i="28"/>
  <c r="Y57" i="15" s="1"/>
  <c r="X102" i="28"/>
  <c r="AB95" i="28"/>
  <c r="AA96" i="28"/>
  <c r="AA98" i="28" s="1"/>
  <c r="AA105" i="28" s="1"/>
  <c r="AB63" i="15" s="1"/>
  <c r="AA97" i="28"/>
  <c r="AB51" i="15" s="1"/>
  <c r="Y57" i="28"/>
  <c r="Y59" i="28" s="1"/>
  <c r="X58" i="28"/>
  <c r="X60" i="28" s="1"/>
  <c r="AA76" i="28"/>
  <c r="Z79" i="28"/>
  <c r="X72" i="28"/>
  <c r="X74" i="28" s="1"/>
  <c r="Y71" i="28"/>
  <c r="X73" i="28"/>
  <c r="W82" i="28"/>
  <c r="W83" i="28"/>
  <c r="W81" i="28"/>
  <c r="X162" i="20"/>
  <c r="W164" i="20"/>
  <c r="W58" i="20" l="1"/>
  <c r="V55" i="48"/>
  <c r="V55" i="46"/>
  <c r="V55" i="42"/>
  <c r="V55" i="38"/>
  <c r="U57" i="48"/>
  <c r="U57" i="46"/>
  <c r="U57" i="42"/>
  <c r="U57" i="38"/>
  <c r="V56" i="48"/>
  <c r="V56" i="46"/>
  <c r="V56" i="42"/>
  <c r="V56" i="38"/>
  <c r="W59" i="20"/>
  <c r="V60" i="20"/>
  <c r="W57" i="20"/>
  <c r="V54" i="48"/>
  <c r="V54" i="46"/>
  <c r="V54" i="42"/>
  <c r="V54" i="38"/>
  <c r="W158" i="20"/>
  <c r="X157" i="20"/>
  <c r="AB96" i="28"/>
  <c r="AB98" i="28" s="1"/>
  <c r="AB105" i="28" s="1"/>
  <c r="AC63" i="15" s="1"/>
  <c r="AC95" i="28"/>
  <c r="AB97" i="28"/>
  <c r="AC51" i="15" s="1"/>
  <c r="Z100" i="28"/>
  <c r="Y104" i="28"/>
  <c r="Z57" i="15" s="1"/>
  <c r="Y102" i="28"/>
  <c r="Z57" i="28"/>
  <c r="Z59" i="28" s="1"/>
  <c r="Y58" i="28"/>
  <c r="Y60" i="28" s="1"/>
  <c r="X83" i="28"/>
  <c r="X82" i="28"/>
  <c r="X81" i="28"/>
  <c r="Y72" i="28"/>
  <c r="Y74" i="28" s="1"/>
  <c r="Z71" i="28"/>
  <c r="Y73" i="28"/>
  <c r="AB76" i="28"/>
  <c r="AA79" i="28"/>
  <c r="Y162" i="20"/>
  <c r="X164" i="20"/>
  <c r="X57" i="20" l="1"/>
  <c r="W54" i="48"/>
  <c r="W54" i="46"/>
  <c r="W54" i="42"/>
  <c r="W54" i="38"/>
  <c r="W61" i="20"/>
  <c r="V57" i="48"/>
  <c r="V57" i="46"/>
  <c r="V57" i="42"/>
  <c r="V57" i="38"/>
  <c r="W56" i="48"/>
  <c r="W56" i="46"/>
  <c r="W56" i="42"/>
  <c r="W56" i="38"/>
  <c r="W60" i="20"/>
  <c r="X59" i="20"/>
  <c r="W63" i="20"/>
  <c r="X58" i="20"/>
  <c r="W55" i="48"/>
  <c r="W55" i="46"/>
  <c r="W55" i="42"/>
  <c r="W55" i="38"/>
  <c r="W62" i="20"/>
  <c r="X158" i="20"/>
  <c r="Y157" i="20"/>
  <c r="AC96" i="28"/>
  <c r="AC98" i="28" s="1"/>
  <c r="AC105" i="28" s="1"/>
  <c r="AD63" i="15" s="1"/>
  <c r="AD95" i="28"/>
  <c r="AC97" i="28"/>
  <c r="AD51" i="15" s="1"/>
  <c r="AA100" i="28"/>
  <c r="Z104" i="28"/>
  <c r="AA57" i="15" s="1"/>
  <c r="Z102" i="28"/>
  <c r="AA57" i="28"/>
  <c r="AA59" i="28" s="1"/>
  <c r="Z58" i="28"/>
  <c r="Z60" i="28" s="1"/>
  <c r="AA71" i="28"/>
  <c r="Z72" i="28"/>
  <c r="Z74" i="28" s="1"/>
  <c r="Z73" i="28"/>
  <c r="Y83" i="28"/>
  <c r="Y82" i="28"/>
  <c r="Y81" i="28"/>
  <c r="AC76" i="28"/>
  <c r="AB79" i="28"/>
  <c r="Y164" i="20"/>
  <c r="Z162" i="20"/>
  <c r="AG155" i="20"/>
  <c r="C155" i="20"/>
  <c r="C116" i="20"/>
  <c r="D114" i="20"/>
  <c r="E114" i="20" s="1"/>
  <c r="F114" i="20" s="1"/>
  <c r="G114" i="20" s="1"/>
  <c r="H114" i="20" s="1"/>
  <c r="I114" i="20" s="1"/>
  <c r="J114" i="20" s="1"/>
  <c r="K114" i="20" s="1"/>
  <c r="L114" i="20" s="1"/>
  <c r="M114" i="20" s="1"/>
  <c r="N114" i="20" s="1"/>
  <c r="O114" i="20" s="1"/>
  <c r="P114" i="20" s="1"/>
  <c r="Q114" i="20" s="1"/>
  <c r="R114" i="20" s="1"/>
  <c r="S114" i="20" s="1"/>
  <c r="T114" i="20" s="1"/>
  <c r="U114" i="20" s="1"/>
  <c r="V114" i="20" s="1"/>
  <c r="W114" i="20" s="1"/>
  <c r="X114" i="20" s="1"/>
  <c r="Y114" i="20" s="1"/>
  <c r="Z114" i="20" s="1"/>
  <c r="AA114" i="20" s="1"/>
  <c r="AB114" i="20" s="1"/>
  <c r="AC114" i="20" s="1"/>
  <c r="AD114" i="20" s="1"/>
  <c r="AE114" i="20" s="1"/>
  <c r="AF114" i="20" s="1"/>
  <c r="AG114" i="20" s="1"/>
  <c r="D115" i="20"/>
  <c r="E115" i="20" s="1"/>
  <c r="F115" i="20" s="1"/>
  <c r="G115" i="20" s="1"/>
  <c r="H115" i="20" s="1"/>
  <c r="I115" i="20" s="1"/>
  <c r="J115" i="20" s="1"/>
  <c r="K115" i="20" s="1"/>
  <c r="L115" i="20" s="1"/>
  <c r="M115" i="20" s="1"/>
  <c r="N115" i="20" s="1"/>
  <c r="O115" i="20" s="1"/>
  <c r="P115" i="20" s="1"/>
  <c r="Q115" i="20" s="1"/>
  <c r="R115" i="20" s="1"/>
  <c r="S115" i="20" s="1"/>
  <c r="T115" i="20" s="1"/>
  <c r="U115" i="20" s="1"/>
  <c r="V115" i="20" s="1"/>
  <c r="W115" i="20" s="1"/>
  <c r="X115" i="20" s="1"/>
  <c r="Y115" i="20" s="1"/>
  <c r="Z115" i="20" s="1"/>
  <c r="AA115" i="20" s="1"/>
  <c r="AB115" i="20" s="1"/>
  <c r="AC115" i="20" s="1"/>
  <c r="AD115" i="20" s="1"/>
  <c r="AE115" i="20" s="1"/>
  <c r="AF115" i="20" s="1"/>
  <c r="AG115" i="20" s="1"/>
  <c r="D113" i="20"/>
  <c r="AG106" i="20"/>
  <c r="C106" i="20"/>
  <c r="AG110" i="20"/>
  <c r="C110" i="20"/>
  <c r="D108" i="20"/>
  <c r="D109" i="20" s="1"/>
  <c r="AG109" i="20"/>
  <c r="AG111" i="20" s="1"/>
  <c r="C109" i="20"/>
  <c r="C111" i="20" s="1"/>
  <c r="M55" i="20"/>
  <c r="W55" i="20"/>
  <c r="C55" i="20"/>
  <c r="M107" i="20" l="1"/>
  <c r="W64" i="20"/>
  <c r="W57" i="48"/>
  <c r="W57" i="46"/>
  <c r="W57" i="42"/>
  <c r="W57" i="38"/>
  <c r="Y58" i="20"/>
  <c r="X55" i="48"/>
  <c r="X55" i="46"/>
  <c r="X55" i="42"/>
  <c r="X55" i="38"/>
  <c r="W58" i="48"/>
  <c r="W58" i="46"/>
  <c r="W58" i="42"/>
  <c r="W58" i="38"/>
  <c r="X56" i="48"/>
  <c r="X56" i="46"/>
  <c r="X56" i="42"/>
  <c r="X56" i="38"/>
  <c r="Y59" i="20"/>
  <c r="X60" i="20"/>
  <c r="W59" i="48"/>
  <c r="W59" i="46"/>
  <c r="W59" i="42"/>
  <c r="W59" i="38"/>
  <c r="W60" i="48"/>
  <c r="W60" i="46"/>
  <c r="W60" i="42"/>
  <c r="W60" i="38"/>
  <c r="Y57" i="20"/>
  <c r="X54" i="48"/>
  <c r="X54" i="46"/>
  <c r="X54" i="42"/>
  <c r="X54" i="38"/>
  <c r="Y158" i="20"/>
  <c r="C118" i="20"/>
  <c r="Z157" i="20"/>
  <c r="AA102" i="28"/>
  <c r="AB100" i="28"/>
  <c r="AA104" i="28"/>
  <c r="AB57" i="15" s="1"/>
  <c r="AE95" i="28"/>
  <c r="AD96" i="28"/>
  <c r="AD98" i="28" s="1"/>
  <c r="AD105" i="28" s="1"/>
  <c r="AE63" i="15" s="1"/>
  <c r="AD97" i="28"/>
  <c r="AE51" i="15" s="1"/>
  <c r="AB57" i="28"/>
  <c r="AB59" i="28" s="1"/>
  <c r="AA58" i="28"/>
  <c r="AA60" i="28" s="1"/>
  <c r="AC79" i="28"/>
  <c r="AD76" i="28"/>
  <c r="Z82" i="28"/>
  <c r="Z83" i="28"/>
  <c r="Z81" i="28"/>
  <c r="AB71" i="28"/>
  <c r="AA72" i="28"/>
  <c r="AA74" i="28" s="1"/>
  <c r="AA73" i="28"/>
  <c r="W196" i="20"/>
  <c r="W209" i="20"/>
  <c r="M196" i="20"/>
  <c r="M209" i="20"/>
  <c r="W52" i="20"/>
  <c r="W107" i="20"/>
  <c r="W156" i="20"/>
  <c r="M52" i="20"/>
  <c r="M156" i="20"/>
  <c r="M155" i="20" s="1"/>
  <c r="Z164" i="20"/>
  <c r="AA162" i="20"/>
  <c r="AG120" i="20"/>
  <c r="D116" i="20"/>
  <c r="AG119" i="20"/>
  <c r="C119" i="20"/>
  <c r="C120" i="20"/>
  <c r="E113" i="20"/>
  <c r="C52" i="20"/>
  <c r="AG52" i="20"/>
  <c r="E108" i="20"/>
  <c r="E109" i="20" s="1"/>
  <c r="X57" i="48" l="1"/>
  <c r="X57" i="46"/>
  <c r="X57" i="42"/>
  <c r="X57" i="38"/>
  <c r="Z58" i="20"/>
  <c r="Y55" i="46"/>
  <c r="Y55" i="48"/>
  <c r="Y55" i="42"/>
  <c r="Y55" i="38"/>
  <c r="Y56" i="48"/>
  <c r="Y56" i="46"/>
  <c r="Y56" i="42"/>
  <c r="Y56" i="38"/>
  <c r="Z59" i="20"/>
  <c r="Y60" i="20"/>
  <c r="Z57" i="20"/>
  <c r="Y54" i="48"/>
  <c r="Y54" i="46"/>
  <c r="Y54" i="42"/>
  <c r="Y54" i="38"/>
  <c r="W61" i="48"/>
  <c r="W61" i="46"/>
  <c r="W61" i="42"/>
  <c r="W61" i="38"/>
  <c r="W208" i="20"/>
  <c r="M208" i="20"/>
  <c r="Z158" i="20"/>
  <c r="W106" i="20"/>
  <c r="M106" i="20"/>
  <c r="AA157" i="20"/>
  <c r="E116" i="20"/>
  <c r="AF95" i="28"/>
  <c r="AE96" i="28"/>
  <c r="AE98" i="28" s="1"/>
  <c r="AE105" i="28" s="1"/>
  <c r="AF63" i="15" s="1"/>
  <c r="AE97" i="28"/>
  <c r="AF51" i="15" s="1"/>
  <c r="AC100" i="28"/>
  <c r="AB104" i="28"/>
  <c r="AC57" i="15" s="1"/>
  <c r="AB102" i="28"/>
  <c r="AC57" i="28"/>
  <c r="AC59" i="28" s="1"/>
  <c r="AB58" i="28"/>
  <c r="AB60" i="28" s="1"/>
  <c r="AB72" i="28"/>
  <c r="AB74" i="28" s="1"/>
  <c r="AC71" i="28"/>
  <c r="AB73" i="28"/>
  <c r="AD79" i="28"/>
  <c r="AE76" i="28"/>
  <c r="AA82" i="28"/>
  <c r="AA83" i="28"/>
  <c r="AA81" i="28"/>
  <c r="W159" i="20"/>
  <c r="W160" i="20"/>
  <c r="M160" i="20"/>
  <c r="M159" i="20"/>
  <c r="AB162" i="20"/>
  <c r="AA164" i="20"/>
  <c r="W155" i="20"/>
  <c r="F113" i="20"/>
  <c r="F108" i="20"/>
  <c r="F109" i="20" s="1"/>
  <c r="AA57" i="20" l="1"/>
  <c r="Z54" i="48"/>
  <c r="Z54" i="46"/>
  <c r="Z54" i="42"/>
  <c r="Z54" i="38"/>
  <c r="Z56" i="48"/>
  <c r="Z56" i="46"/>
  <c r="Z56" i="42"/>
  <c r="Z56" i="38"/>
  <c r="AA59" i="20"/>
  <c r="Z60" i="20"/>
  <c r="Y57" i="48"/>
  <c r="Y57" i="46"/>
  <c r="Y57" i="42"/>
  <c r="Y57" i="38"/>
  <c r="AA58" i="20"/>
  <c r="Z55" i="48"/>
  <c r="Z55" i="46"/>
  <c r="Z55" i="42"/>
  <c r="Z55" i="38"/>
  <c r="AA158" i="20"/>
  <c r="AB157" i="20"/>
  <c r="F116" i="20"/>
  <c r="AF96" i="28"/>
  <c r="AF98" i="28" s="1"/>
  <c r="AF105" i="28" s="1"/>
  <c r="AG63" i="15" s="1"/>
  <c r="AF97" i="28"/>
  <c r="AG51" i="15" s="1"/>
  <c r="AD100" i="28"/>
  <c r="AC104" i="28"/>
  <c r="AD57" i="15" s="1"/>
  <c r="AC102" i="28"/>
  <c r="AD57" i="28"/>
  <c r="AD59" i="28" s="1"/>
  <c r="AC58" i="28"/>
  <c r="AC60" i="28" s="1"/>
  <c r="AB83" i="28"/>
  <c r="AB82" i="28"/>
  <c r="AB81" i="28"/>
  <c r="AF76" i="28"/>
  <c r="AE79" i="28"/>
  <c r="AC72" i="28"/>
  <c r="AC74" i="28" s="1"/>
  <c r="AD71" i="28"/>
  <c r="AC73" i="28"/>
  <c r="M167" i="20"/>
  <c r="M166" i="20"/>
  <c r="W167" i="20"/>
  <c r="W166" i="20"/>
  <c r="AC162" i="20"/>
  <c r="AB164" i="20"/>
  <c r="G113" i="20"/>
  <c r="G108" i="20"/>
  <c r="H108" i="20" s="1"/>
  <c r="AB58" i="20" l="1"/>
  <c r="AA55" i="48"/>
  <c r="AA55" i="46"/>
  <c r="AA55" i="42"/>
  <c r="AA55" i="38"/>
  <c r="Z57" i="48"/>
  <c r="Z57" i="46"/>
  <c r="Z57" i="42"/>
  <c r="Z57" i="38"/>
  <c r="AA56" i="48"/>
  <c r="AA56" i="46"/>
  <c r="AA56" i="42"/>
  <c r="AA56" i="38"/>
  <c r="AA60" i="20"/>
  <c r="AB59" i="20"/>
  <c r="AB57" i="20"/>
  <c r="AA54" i="48"/>
  <c r="AA54" i="46"/>
  <c r="AA54" i="42"/>
  <c r="AA54" i="38"/>
  <c r="AB158" i="20"/>
  <c r="AC157" i="20"/>
  <c r="G116" i="20"/>
  <c r="AE100" i="28"/>
  <c r="AD104" i="28"/>
  <c r="AE57" i="15" s="1"/>
  <c r="AD102" i="28"/>
  <c r="AE57" i="28"/>
  <c r="AE59" i="28" s="1"/>
  <c r="AD58" i="28"/>
  <c r="AD60" i="28" s="1"/>
  <c r="AG76" i="28"/>
  <c r="AF79" i="28"/>
  <c r="AE71" i="28"/>
  <c r="AD72" i="28"/>
  <c r="AD74" i="28" s="1"/>
  <c r="AD73" i="28"/>
  <c r="AC82" i="28"/>
  <c r="AC83" i="28"/>
  <c r="AC81" i="28"/>
  <c r="AC164" i="20"/>
  <c r="AD162" i="20"/>
  <c r="H113" i="20"/>
  <c r="G109" i="20"/>
  <c r="I108" i="20"/>
  <c r="H109" i="20"/>
  <c r="AC57" i="20" l="1"/>
  <c r="AB54" i="46"/>
  <c r="AB54" i="48"/>
  <c r="AB54" i="42"/>
  <c r="AB54" i="38"/>
  <c r="AB56" i="48"/>
  <c r="AB56" i="46"/>
  <c r="AB56" i="42"/>
  <c r="AB56" i="38"/>
  <c r="AC59" i="20"/>
  <c r="AB60" i="20"/>
  <c r="AA57" i="48"/>
  <c r="AA57" i="46"/>
  <c r="AA57" i="42"/>
  <c r="AA57" i="38"/>
  <c r="AC58" i="20"/>
  <c r="AB55" i="48"/>
  <c r="AB55" i="46"/>
  <c r="AB55" i="42"/>
  <c r="AB55" i="38"/>
  <c r="AC158" i="20"/>
  <c r="AD157" i="20"/>
  <c r="H116" i="20"/>
  <c r="AE102" i="28"/>
  <c r="AE104" i="28"/>
  <c r="AF57" i="15" s="1"/>
  <c r="AF100" i="28"/>
  <c r="AF57" i="28"/>
  <c r="AF59" i="28" s="1"/>
  <c r="AE58" i="28"/>
  <c r="AE60" i="28" s="1"/>
  <c r="AD82" i="28"/>
  <c r="AD83" i="28"/>
  <c r="AD81" i="28"/>
  <c r="AG79" i="28"/>
  <c r="AG81" i="28"/>
  <c r="AE72" i="28"/>
  <c r="AE74" i="28" s="1"/>
  <c r="AF71" i="28"/>
  <c r="AE73" i="28"/>
  <c r="AD164" i="20"/>
  <c r="AE162" i="20"/>
  <c r="I113" i="20"/>
  <c r="J108" i="20"/>
  <c r="I109" i="20"/>
  <c r="AB57" i="48" l="1"/>
  <c r="AB57" i="46"/>
  <c r="AB57" i="42"/>
  <c r="AB57" i="38"/>
  <c r="AC56" i="48"/>
  <c r="AC56" i="46"/>
  <c r="AC56" i="42"/>
  <c r="AC56" i="38"/>
  <c r="AD59" i="20"/>
  <c r="AC60" i="20"/>
  <c r="AD58" i="20"/>
  <c r="AC55" i="46"/>
  <c r="AC55" i="48"/>
  <c r="AC55" i="42"/>
  <c r="AC55" i="38"/>
  <c r="AD57" i="20"/>
  <c r="AC54" i="48"/>
  <c r="AC54" i="46"/>
  <c r="AC54" i="42"/>
  <c r="AC54" i="38"/>
  <c r="AD158" i="20"/>
  <c r="AE157" i="20"/>
  <c r="I116" i="20"/>
  <c r="AG100" i="28"/>
  <c r="AF104" i="28"/>
  <c r="AG57" i="15" s="1"/>
  <c r="AF102" i="28"/>
  <c r="AG57" i="28"/>
  <c r="AF58" i="28"/>
  <c r="AF60" i="28" s="1"/>
  <c r="AF72" i="28"/>
  <c r="AF74" i="28" s="1"/>
  <c r="AF73" i="28"/>
  <c r="AE82" i="28"/>
  <c r="AE83" i="28"/>
  <c r="AE81" i="28"/>
  <c r="AF162" i="20"/>
  <c r="AE164" i="20"/>
  <c r="J113" i="20"/>
  <c r="K108" i="20"/>
  <c r="J109" i="20"/>
  <c r="AC57" i="48" l="1"/>
  <c r="AC57" i="46"/>
  <c r="AC57" i="42"/>
  <c r="AC57" i="38"/>
  <c r="AE57" i="20"/>
  <c r="AD54" i="48"/>
  <c r="AD54" i="46"/>
  <c r="AD54" i="42"/>
  <c r="AD54" i="38"/>
  <c r="AE58" i="20"/>
  <c r="AD55" i="48"/>
  <c r="AD55" i="46"/>
  <c r="AD55" i="42"/>
  <c r="AD55" i="38"/>
  <c r="AD56" i="46"/>
  <c r="AD56" i="48"/>
  <c r="AD56" i="42"/>
  <c r="AD56" i="38"/>
  <c r="AE59" i="20"/>
  <c r="AD60" i="20"/>
  <c r="AE158" i="20"/>
  <c r="AF157" i="20"/>
  <c r="J116" i="20"/>
  <c r="AG104" i="28"/>
  <c r="AH57" i="15" s="1"/>
  <c r="AG102" i="28"/>
  <c r="AG58" i="28"/>
  <c r="AG60" i="28" s="1"/>
  <c r="AG59" i="28"/>
  <c r="AF83" i="28"/>
  <c r="AF82" i="28"/>
  <c r="AF81" i="28"/>
  <c r="AG162" i="20"/>
  <c r="AG166" i="20" s="1"/>
  <c r="AF164" i="20"/>
  <c r="K113" i="20"/>
  <c r="L108" i="20"/>
  <c r="K109" i="20"/>
  <c r="AD57" i="48" l="1"/>
  <c r="AD57" i="46"/>
  <c r="AD57" i="42"/>
  <c r="AD57" i="38"/>
  <c r="AE56" i="48"/>
  <c r="AE56" i="46"/>
  <c r="AE56" i="42"/>
  <c r="AE56" i="38"/>
  <c r="AF59" i="20"/>
  <c r="AE60" i="20"/>
  <c r="AF58" i="20"/>
  <c r="AE55" i="48"/>
  <c r="AE55" i="46"/>
  <c r="AE55" i="42"/>
  <c r="AE55" i="38"/>
  <c r="AF57" i="20"/>
  <c r="AE54" i="48"/>
  <c r="AE54" i="46"/>
  <c r="AE54" i="42"/>
  <c r="AE54" i="38"/>
  <c r="AF158" i="20"/>
  <c r="K116" i="20"/>
  <c r="AG164" i="20"/>
  <c r="L113" i="20"/>
  <c r="M108" i="20"/>
  <c r="L109" i="20"/>
  <c r="AF54" i="46" l="1"/>
  <c r="AF54" i="48"/>
  <c r="AF54" i="42"/>
  <c r="AF54" i="38"/>
  <c r="AG58" i="20"/>
  <c r="AF55" i="48"/>
  <c r="AF55" i="46"/>
  <c r="AF55" i="42"/>
  <c r="AF55" i="38"/>
  <c r="AE57" i="46"/>
  <c r="AE57" i="48"/>
  <c r="AE57" i="42"/>
  <c r="AE57" i="38"/>
  <c r="AF56" i="48"/>
  <c r="AF56" i="46"/>
  <c r="AF56" i="42"/>
  <c r="AF56" i="38"/>
  <c r="AG59" i="20"/>
  <c r="AF60" i="20"/>
  <c r="L116" i="20"/>
  <c r="M113" i="20"/>
  <c r="N108" i="20"/>
  <c r="M110" i="20"/>
  <c r="M109" i="20"/>
  <c r="AF57" i="48" l="1"/>
  <c r="AF57" i="46"/>
  <c r="AF57" i="42"/>
  <c r="AF57" i="38"/>
  <c r="AG60" i="20"/>
  <c r="AG56" i="48"/>
  <c r="AG56" i="46"/>
  <c r="AG56" i="42"/>
  <c r="AG56" i="38"/>
  <c r="AG63" i="20"/>
  <c r="AG55" i="48"/>
  <c r="AG55" i="46"/>
  <c r="AG55" i="42"/>
  <c r="AG55" i="38"/>
  <c r="AG62" i="20"/>
  <c r="M116" i="20"/>
  <c r="N113" i="20"/>
  <c r="M111" i="20"/>
  <c r="O108" i="20"/>
  <c r="N109" i="20"/>
  <c r="AG60" i="48" l="1"/>
  <c r="AG60" i="46"/>
  <c r="AG60" i="42"/>
  <c r="AG60" i="38"/>
  <c r="AG59" i="48"/>
  <c r="AG59" i="46"/>
  <c r="AG59" i="42"/>
  <c r="AG59" i="38"/>
  <c r="AG57" i="48"/>
  <c r="AG57" i="46"/>
  <c r="AG57" i="42"/>
  <c r="AG57" i="38"/>
  <c r="AG64" i="20"/>
  <c r="N116" i="20"/>
  <c r="M120" i="20"/>
  <c r="M119" i="20"/>
  <c r="M118" i="20"/>
  <c r="O113" i="20"/>
  <c r="P108" i="20"/>
  <c r="O109" i="20"/>
  <c r="AG61" i="48" l="1"/>
  <c r="AG61" i="46"/>
  <c r="AG61" i="42"/>
  <c r="AG61" i="38"/>
  <c r="O116" i="20"/>
  <c r="P113" i="20"/>
  <c r="Q108" i="20"/>
  <c r="P109" i="20"/>
  <c r="P116" i="20" l="1"/>
  <c r="Q113" i="20"/>
  <c r="R108" i="20"/>
  <c r="Q109" i="20"/>
  <c r="Q116" i="20" l="1"/>
  <c r="R113" i="20"/>
  <c r="S108" i="20"/>
  <c r="R109" i="20"/>
  <c r="R116" i="20" l="1"/>
  <c r="S113" i="20"/>
  <c r="T108" i="20"/>
  <c r="S109" i="20"/>
  <c r="S116" i="20" l="1"/>
  <c r="T113" i="20"/>
  <c r="U108" i="20"/>
  <c r="T109" i="20"/>
  <c r="T116" i="20" l="1"/>
  <c r="U113" i="20"/>
  <c r="U109" i="20"/>
  <c r="V108" i="20"/>
  <c r="U116" i="20" l="1"/>
  <c r="V113" i="20"/>
  <c r="W108" i="20"/>
  <c r="V109" i="20"/>
  <c r="V116" i="20" l="1"/>
  <c r="W113" i="20"/>
  <c r="W109" i="20"/>
  <c r="X108" i="20"/>
  <c r="W110" i="20"/>
  <c r="W116" i="20" l="1"/>
  <c r="X113" i="20"/>
  <c r="Y108" i="20"/>
  <c r="W111" i="20"/>
  <c r="X116" i="20" l="1"/>
  <c r="W119" i="20"/>
  <c r="W120" i="20"/>
  <c r="W118" i="20"/>
  <c r="Y113" i="20"/>
  <c r="Z108" i="20"/>
  <c r="Y116" i="20" l="1"/>
  <c r="Z113" i="20"/>
  <c r="AA108" i="20"/>
  <c r="Z116" i="20" l="1"/>
  <c r="AA113" i="20"/>
  <c r="AB108" i="20"/>
  <c r="AA116" i="20" l="1"/>
  <c r="AB113" i="20"/>
  <c r="AC108" i="20"/>
  <c r="AB116" i="20" l="1"/>
  <c r="AC113" i="20"/>
  <c r="AD108" i="20"/>
  <c r="AC116" i="20" l="1"/>
  <c r="AD113" i="20"/>
  <c r="AE108" i="20"/>
  <c r="AD116" i="20" l="1"/>
  <c r="AE113" i="20"/>
  <c r="AF108" i="20"/>
  <c r="G55" i="24"/>
  <c r="F55" i="24"/>
  <c r="E55" i="24"/>
  <c r="C55" i="24"/>
  <c r="B55" i="24"/>
  <c r="C10" i="20"/>
  <c r="C19" i="27"/>
  <c r="C9" i="20" s="1"/>
  <c r="C20" i="27"/>
  <c r="C21" i="27"/>
  <c r="C22" i="27"/>
  <c r="C18" i="27"/>
  <c r="B24" i="27"/>
  <c r="B32" i="27" s="1"/>
  <c r="B15" i="27"/>
  <c r="C14" i="27"/>
  <c r="C13" i="27"/>
  <c r="C12" i="27"/>
  <c r="C11" i="27"/>
  <c r="C10" i="27"/>
  <c r="C9" i="27"/>
  <c r="C8" i="27"/>
  <c r="C7" i="27"/>
  <c r="B5" i="4"/>
  <c r="H65" i="7"/>
  <c r="B11" i="26"/>
  <c r="C7" i="20" l="1"/>
  <c r="C7" i="53"/>
  <c r="C7" i="54"/>
  <c r="C7" i="48"/>
  <c r="C7" i="46"/>
  <c r="C24" i="27"/>
  <c r="C11" i="20" s="1"/>
  <c r="B40" i="27"/>
  <c r="B33" i="27"/>
  <c r="C8" i="53"/>
  <c r="D8" i="53" s="1"/>
  <c r="E8" i="53" s="1"/>
  <c r="F8" i="53" s="1"/>
  <c r="G8" i="53" s="1"/>
  <c r="H8" i="53" s="1"/>
  <c r="I8" i="53" s="1"/>
  <c r="J8" i="53" s="1"/>
  <c r="K8" i="53" s="1"/>
  <c r="L8" i="53" s="1"/>
  <c r="M8" i="53" s="1"/>
  <c r="N8" i="53" s="1"/>
  <c r="O8" i="53" s="1"/>
  <c r="P8" i="53" s="1"/>
  <c r="Q8" i="53" s="1"/>
  <c r="R8" i="53" s="1"/>
  <c r="S8" i="53" s="1"/>
  <c r="T8" i="53" s="1"/>
  <c r="U8" i="53" s="1"/>
  <c r="V8" i="53" s="1"/>
  <c r="W8" i="53" s="1"/>
  <c r="X8" i="53" s="1"/>
  <c r="Y8" i="53" s="1"/>
  <c r="Z8" i="53" s="1"/>
  <c r="AA8" i="53" s="1"/>
  <c r="AB8" i="53" s="1"/>
  <c r="AC8" i="53" s="1"/>
  <c r="AD8" i="53" s="1"/>
  <c r="AE8" i="53" s="1"/>
  <c r="AF8" i="53" s="1"/>
  <c r="AG8" i="53" s="1"/>
  <c r="C8" i="54"/>
  <c r="D8" i="54" s="1"/>
  <c r="E8" i="54" s="1"/>
  <c r="F8" i="54" s="1"/>
  <c r="G8" i="54" s="1"/>
  <c r="H8" i="54" s="1"/>
  <c r="I8" i="54" s="1"/>
  <c r="J8" i="54" s="1"/>
  <c r="K8" i="54" s="1"/>
  <c r="L8" i="54" s="1"/>
  <c r="M8" i="54" s="1"/>
  <c r="N8" i="54" s="1"/>
  <c r="O8" i="54" s="1"/>
  <c r="P8" i="54" s="1"/>
  <c r="Q8" i="54" s="1"/>
  <c r="R8" i="54" s="1"/>
  <c r="S8" i="54" s="1"/>
  <c r="T8" i="54" s="1"/>
  <c r="U8" i="54" s="1"/>
  <c r="V8" i="54" s="1"/>
  <c r="W8" i="54" s="1"/>
  <c r="X8" i="54" s="1"/>
  <c r="Y8" i="54" s="1"/>
  <c r="Z8" i="54" s="1"/>
  <c r="AA8" i="54" s="1"/>
  <c r="AB8" i="54" s="1"/>
  <c r="AC8" i="54" s="1"/>
  <c r="AD8" i="54" s="1"/>
  <c r="AE8" i="54" s="1"/>
  <c r="AF8" i="54" s="1"/>
  <c r="AG8" i="54" s="1"/>
  <c r="C8" i="48"/>
  <c r="D8" i="48" s="1"/>
  <c r="E8" i="48" s="1"/>
  <c r="F8" i="48" s="1"/>
  <c r="G8" i="48" s="1"/>
  <c r="H8" i="48" s="1"/>
  <c r="I8" i="48" s="1"/>
  <c r="J8" i="48" s="1"/>
  <c r="K8" i="48" s="1"/>
  <c r="L8" i="48" s="1"/>
  <c r="M8" i="48" s="1"/>
  <c r="N8" i="48" s="1"/>
  <c r="O8" i="48" s="1"/>
  <c r="P8" i="48" s="1"/>
  <c r="Q8" i="48" s="1"/>
  <c r="R8" i="48" s="1"/>
  <c r="S8" i="48" s="1"/>
  <c r="T8" i="48" s="1"/>
  <c r="U8" i="48" s="1"/>
  <c r="V8" i="48" s="1"/>
  <c r="W8" i="48" s="1"/>
  <c r="X8" i="48" s="1"/>
  <c r="Y8" i="48" s="1"/>
  <c r="Z8" i="48" s="1"/>
  <c r="AA8" i="48" s="1"/>
  <c r="AB8" i="48" s="1"/>
  <c r="AC8" i="48" s="1"/>
  <c r="AD8" i="48" s="1"/>
  <c r="AE8" i="48" s="1"/>
  <c r="AF8" i="48" s="1"/>
  <c r="AG8" i="48" s="1"/>
  <c r="C8" i="46"/>
  <c r="D8" i="46" s="1"/>
  <c r="E8" i="46" s="1"/>
  <c r="F8" i="46" s="1"/>
  <c r="G8" i="46" s="1"/>
  <c r="H8" i="46" s="1"/>
  <c r="I8" i="46" s="1"/>
  <c r="J8" i="46" s="1"/>
  <c r="K8" i="46" s="1"/>
  <c r="L8" i="46" s="1"/>
  <c r="M8" i="46" s="1"/>
  <c r="N8" i="46" s="1"/>
  <c r="O8" i="46" s="1"/>
  <c r="P8" i="46" s="1"/>
  <c r="Q8" i="46" s="1"/>
  <c r="R8" i="46" s="1"/>
  <c r="S8" i="46" s="1"/>
  <c r="T8" i="46" s="1"/>
  <c r="U8" i="46" s="1"/>
  <c r="V8" i="46" s="1"/>
  <c r="W8" i="46" s="1"/>
  <c r="X8" i="46" s="1"/>
  <c r="Y8" i="46" s="1"/>
  <c r="Z8" i="46" s="1"/>
  <c r="AA8" i="46" s="1"/>
  <c r="AB8" i="46" s="1"/>
  <c r="AC8" i="46" s="1"/>
  <c r="AD8" i="46" s="1"/>
  <c r="AE8" i="46" s="1"/>
  <c r="AF8" i="46" s="1"/>
  <c r="AG8" i="46" s="1"/>
  <c r="C8" i="38"/>
  <c r="D8" i="38" s="1"/>
  <c r="E8" i="38" s="1"/>
  <c r="F8" i="38" s="1"/>
  <c r="G8" i="38" s="1"/>
  <c r="H8" i="38" s="1"/>
  <c r="I8" i="38" s="1"/>
  <c r="J8" i="38" s="1"/>
  <c r="K8" i="38" s="1"/>
  <c r="L8" i="38" s="1"/>
  <c r="M8" i="38" s="1"/>
  <c r="N8" i="38" s="1"/>
  <c r="O8" i="38" s="1"/>
  <c r="P8" i="38" s="1"/>
  <c r="Q8" i="38" s="1"/>
  <c r="R8" i="38" s="1"/>
  <c r="S8" i="38" s="1"/>
  <c r="T8" i="38" s="1"/>
  <c r="U8" i="38" s="1"/>
  <c r="V8" i="38" s="1"/>
  <c r="W8" i="38" s="1"/>
  <c r="X8" i="38" s="1"/>
  <c r="Y8" i="38" s="1"/>
  <c r="Z8" i="38" s="1"/>
  <c r="AA8" i="38" s="1"/>
  <c r="AB8" i="38" s="1"/>
  <c r="AC8" i="38" s="1"/>
  <c r="AD8" i="38" s="1"/>
  <c r="AE8" i="38" s="1"/>
  <c r="AF8" i="38" s="1"/>
  <c r="AG8" i="38" s="1"/>
  <c r="C8" i="42"/>
  <c r="D8" i="42" s="1"/>
  <c r="E8" i="42" s="1"/>
  <c r="F8" i="42" s="1"/>
  <c r="G8" i="42" s="1"/>
  <c r="H8" i="42" s="1"/>
  <c r="I8" i="42" s="1"/>
  <c r="J8" i="42" s="1"/>
  <c r="K8" i="42" s="1"/>
  <c r="L8" i="42" s="1"/>
  <c r="M8" i="42" s="1"/>
  <c r="N8" i="42" s="1"/>
  <c r="O8" i="42" s="1"/>
  <c r="P8" i="42" s="1"/>
  <c r="Q8" i="42" s="1"/>
  <c r="R8" i="42" s="1"/>
  <c r="S8" i="42" s="1"/>
  <c r="T8" i="42" s="1"/>
  <c r="U8" i="42" s="1"/>
  <c r="V8" i="42" s="1"/>
  <c r="W8" i="42" s="1"/>
  <c r="X8" i="42" s="1"/>
  <c r="Y8" i="42" s="1"/>
  <c r="Z8" i="42" s="1"/>
  <c r="AA8" i="42" s="1"/>
  <c r="AB8" i="42" s="1"/>
  <c r="AC8" i="42" s="1"/>
  <c r="AD8" i="42" s="1"/>
  <c r="AE8" i="42" s="1"/>
  <c r="AF8" i="42" s="1"/>
  <c r="AG8" i="42" s="1"/>
  <c r="C8" i="29"/>
  <c r="D8" i="29" s="1"/>
  <c r="E8" i="29" s="1"/>
  <c r="F8" i="29" s="1"/>
  <c r="G8" i="29" s="1"/>
  <c r="H8" i="29" s="1"/>
  <c r="I8" i="29" s="1"/>
  <c r="J8" i="29" s="1"/>
  <c r="K8" i="29" s="1"/>
  <c r="L8" i="29" s="1"/>
  <c r="M8" i="29" s="1"/>
  <c r="N8" i="29" s="1"/>
  <c r="O8" i="29" s="1"/>
  <c r="P8" i="29" s="1"/>
  <c r="Q8" i="29" s="1"/>
  <c r="R8" i="29" s="1"/>
  <c r="S8" i="29" s="1"/>
  <c r="T8" i="29" s="1"/>
  <c r="U8" i="29" s="1"/>
  <c r="V8" i="29" s="1"/>
  <c r="W8" i="29" s="1"/>
  <c r="X8" i="29" s="1"/>
  <c r="Y8" i="29" s="1"/>
  <c r="Z8" i="29" s="1"/>
  <c r="AA8" i="29" s="1"/>
  <c r="AB8" i="29" s="1"/>
  <c r="AC8" i="29" s="1"/>
  <c r="AD8" i="29" s="1"/>
  <c r="AE8" i="29" s="1"/>
  <c r="AF8" i="29" s="1"/>
  <c r="AG8" i="29" s="1"/>
  <c r="C30" i="27"/>
  <c r="C8" i="28"/>
  <c r="D8" i="28" s="1"/>
  <c r="E8" i="28" s="1"/>
  <c r="F8" i="28" s="1"/>
  <c r="G8" i="28" s="1"/>
  <c r="H8" i="28" s="1"/>
  <c r="I8" i="28" s="1"/>
  <c r="J8" i="28" s="1"/>
  <c r="K8" i="28" s="1"/>
  <c r="L8" i="28" s="1"/>
  <c r="M8" i="28" s="1"/>
  <c r="N8" i="28" s="1"/>
  <c r="O8" i="28" s="1"/>
  <c r="P8" i="28" s="1"/>
  <c r="Q8" i="28" s="1"/>
  <c r="R8" i="28" s="1"/>
  <c r="S8" i="28" s="1"/>
  <c r="T8" i="28" s="1"/>
  <c r="U8" i="28" s="1"/>
  <c r="V8" i="28" s="1"/>
  <c r="W8" i="28" s="1"/>
  <c r="X8" i="28" s="1"/>
  <c r="Y8" i="28" s="1"/>
  <c r="Z8" i="28" s="1"/>
  <c r="AA8" i="28" s="1"/>
  <c r="AB8" i="28" s="1"/>
  <c r="AC8" i="28" s="1"/>
  <c r="AD8" i="28" s="1"/>
  <c r="AE8" i="28" s="1"/>
  <c r="AF8" i="28" s="1"/>
  <c r="AG8" i="28" s="1"/>
  <c r="C8" i="19"/>
  <c r="D8" i="19" s="1"/>
  <c r="E8" i="19" s="1"/>
  <c r="F8" i="19" s="1"/>
  <c r="G8" i="19" s="1"/>
  <c r="H8" i="19" s="1"/>
  <c r="I8" i="19" s="1"/>
  <c r="J8" i="19" s="1"/>
  <c r="K8" i="19" s="1"/>
  <c r="L8" i="19" s="1"/>
  <c r="M8" i="19" s="1"/>
  <c r="N8" i="19" s="1"/>
  <c r="O8" i="19" s="1"/>
  <c r="P8" i="19" s="1"/>
  <c r="Q8" i="19" s="1"/>
  <c r="R8" i="19" s="1"/>
  <c r="S8" i="19" s="1"/>
  <c r="T8" i="19" s="1"/>
  <c r="U8" i="19" s="1"/>
  <c r="V8" i="19" s="1"/>
  <c r="W8" i="19" s="1"/>
  <c r="X8" i="19" s="1"/>
  <c r="Y8" i="19" s="1"/>
  <c r="Z8" i="19" s="1"/>
  <c r="AA8" i="19" s="1"/>
  <c r="AB8" i="19" s="1"/>
  <c r="AC8" i="19" s="1"/>
  <c r="AD8" i="19" s="1"/>
  <c r="AE8" i="19" s="1"/>
  <c r="AF8" i="19" s="1"/>
  <c r="AG8" i="19" s="1"/>
  <c r="C9" i="54"/>
  <c r="D9" i="54" s="1"/>
  <c r="E9" i="54" s="1"/>
  <c r="F9" i="54" s="1"/>
  <c r="G9" i="54" s="1"/>
  <c r="H9" i="54" s="1"/>
  <c r="I9" i="54" s="1"/>
  <c r="J9" i="54" s="1"/>
  <c r="K9" i="54" s="1"/>
  <c r="L9" i="54" s="1"/>
  <c r="M9" i="54" s="1"/>
  <c r="N9" i="54" s="1"/>
  <c r="O9" i="54" s="1"/>
  <c r="P9" i="54" s="1"/>
  <c r="Q9" i="54" s="1"/>
  <c r="R9" i="54" s="1"/>
  <c r="S9" i="54" s="1"/>
  <c r="T9" i="54" s="1"/>
  <c r="U9" i="54" s="1"/>
  <c r="V9" i="54" s="1"/>
  <c r="W9" i="54" s="1"/>
  <c r="X9" i="54" s="1"/>
  <c r="Y9" i="54" s="1"/>
  <c r="Z9" i="54" s="1"/>
  <c r="AA9" i="54" s="1"/>
  <c r="AB9" i="54" s="1"/>
  <c r="AC9" i="54" s="1"/>
  <c r="AD9" i="54" s="1"/>
  <c r="AE9" i="54" s="1"/>
  <c r="AF9" i="54" s="1"/>
  <c r="AG9" i="54" s="1"/>
  <c r="C9" i="53"/>
  <c r="D9" i="53" s="1"/>
  <c r="E9" i="53" s="1"/>
  <c r="F9" i="53" s="1"/>
  <c r="G9" i="53" s="1"/>
  <c r="H9" i="53" s="1"/>
  <c r="I9" i="53" s="1"/>
  <c r="J9" i="53" s="1"/>
  <c r="K9" i="53" s="1"/>
  <c r="L9" i="53" s="1"/>
  <c r="M9" i="53" s="1"/>
  <c r="N9" i="53" s="1"/>
  <c r="O9" i="53" s="1"/>
  <c r="P9" i="53" s="1"/>
  <c r="Q9" i="53" s="1"/>
  <c r="R9" i="53" s="1"/>
  <c r="S9" i="53" s="1"/>
  <c r="T9" i="53" s="1"/>
  <c r="U9" i="53" s="1"/>
  <c r="V9" i="53" s="1"/>
  <c r="W9" i="53" s="1"/>
  <c r="X9" i="53" s="1"/>
  <c r="Y9" i="53" s="1"/>
  <c r="Z9" i="53" s="1"/>
  <c r="AA9" i="53" s="1"/>
  <c r="AB9" i="53" s="1"/>
  <c r="AC9" i="53" s="1"/>
  <c r="AD9" i="53" s="1"/>
  <c r="AE9" i="53" s="1"/>
  <c r="AF9" i="53" s="1"/>
  <c r="AG9" i="53" s="1"/>
  <c r="C9" i="48"/>
  <c r="D9" i="48" s="1"/>
  <c r="E9" i="48" s="1"/>
  <c r="F9" i="48" s="1"/>
  <c r="G9" i="48" s="1"/>
  <c r="H9" i="48" s="1"/>
  <c r="I9" i="48" s="1"/>
  <c r="J9" i="48" s="1"/>
  <c r="K9" i="48" s="1"/>
  <c r="L9" i="48" s="1"/>
  <c r="M9" i="48" s="1"/>
  <c r="N9" i="48" s="1"/>
  <c r="O9" i="48" s="1"/>
  <c r="P9" i="48" s="1"/>
  <c r="Q9" i="48" s="1"/>
  <c r="R9" i="48" s="1"/>
  <c r="S9" i="48" s="1"/>
  <c r="T9" i="48" s="1"/>
  <c r="U9" i="48" s="1"/>
  <c r="V9" i="48" s="1"/>
  <c r="W9" i="48" s="1"/>
  <c r="X9" i="48" s="1"/>
  <c r="Y9" i="48" s="1"/>
  <c r="Z9" i="48" s="1"/>
  <c r="AA9" i="48" s="1"/>
  <c r="AB9" i="48" s="1"/>
  <c r="AC9" i="48" s="1"/>
  <c r="AD9" i="48" s="1"/>
  <c r="AE9" i="48" s="1"/>
  <c r="AF9" i="48" s="1"/>
  <c r="AG9" i="48" s="1"/>
  <c r="C9" i="46"/>
  <c r="D9" i="46" s="1"/>
  <c r="E9" i="46" s="1"/>
  <c r="F9" i="46" s="1"/>
  <c r="G9" i="46" s="1"/>
  <c r="H9" i="46" s="1"/>
  <c r="I9" i="46" s="1"/>
  <c r="J9" i="46" s="1"/>
  <c r="K9" i="46" s="1"/>
  <c r="L9" i="46" s="1"/>
  <c r="M9" i="46" s="1"/>
  <c r="N9" i="46" s="1"/>
  <c r="O9" i="46" s="1"/>
  <c r="P9" i="46" s="1"/>
  <c r="Q9" i="46" s="1"/>
  <c r="R9" i="46" s="1"/>
  <c r="S9" i="46" s="1"/>
  <c r="T9" i="46" s="1"/>
  <c r="U9" i="46" s="1"/>
  <c r="V9" i="46" s="1"/>
  <c r="W9" i="46" s="1"/>
  <c r="X9" i="46" s="1"/>
  <c r="Y9" i="46" s="1"/>
  <c r="Z9" i="46" s="1"/>
  <c r="AA9" i="46" s="1"/>
  <c r="AB9" i="46" s="1"/>
  <c r="AC9" i="46" s="1"/>
  <c r="AD9" i="46" s="1"/>
  <c r="AE9" i="46" s="1"/>
  <c r="AF9" i="46" s="1"/>
  <c r="AG9" i="46" s="1"/>
  <c r="C9" i="42"/>
  <c r="D9" i="42" s="1"/>
  <c r="E9" i="42" s="1"/>
  <c r="F9" i="42" s="1"/>
  <c r="G9" i="42" s="1"/>
  <c r="H9" i="42" s="1"/>
  <c r="I9" i="42" s="1"/>
  <c r="J9" i="42" s="1"/>
  <c r="K9" i="42" s="1"/>
  <c r="L9" i="42" s="1"/>
  <c r="M9" i="42" s="1"/>
  <c r="N9" i="42" s="1"/>
  <c r="O9" i="42" s="1"/>
  <c r="P9" i="42" s="1"/>
  <c r="Q9" i="42" s="1"/>
  <c r="R9" i="42" s="1"/>
  <c r="S9" i="42" s="1"/>
  <c r="T9" i="42" s="1"/>
  <c r="U9" i="42" s="1"/>
  <c r="V9" i="42" s="1"/>
  <c r="W9" i="42" s="1"/>
  <c r="X9" i="42" s="1"/>
  <c r="Y9" i="42" s="1"/>
  <c r="Z9" i="42" s="1"/>
  <c r="AA9" i="42" s="1"/>
  <c r="AB9" i="42" s="1"/>
  <c r="AC9" i="42" s="1"/>
  <c r="AD9" i="42" s="1"/>
  <c r="AE9" i="42" s="1"/>
  <c r="AF9" i="42" s="1"/>
  <c r="AG9" i="42" s="1"/>
  <c r="C9" i="38"/>
  <c r="D9" i="38" s="1"/>
  <c r="E9" i="38" s="1"/>
  <c r="F9" i="38" s="1"/>
  <c r="G9" i="38" s="1"/>
  <c r="H9" i="38" s="1"/>
  <c r="I9" i="38" s="1"/>
  <c r="J9" i="38" s="1"/>
  <c r="K9" i="38" s="1"/>
  <c r="L9" i="38" s="1"/>
  <c r="M9" i="38" s="1"/>
  <c r="N9" i="38" s="1"/>
  <c r="O9" i="38" s="1"/>
  <c r="P9" i="38" s="1"/>
  <c r="Q9" i="38" s="1"/>
  <c r="R9" i="38" s="1"/>
  <c r="S9" i="38" s="1"/>
  <c r="T9" i="38" s="1"/>
  <c r="U9" i="38" s="1"/>
  <c r="V9" i="38" s="1"/>
  <c r="W9" i="38" s="1"/>
  <c r="X9" i="38" s="1"/>
  <c r="Y9" i="38" s="1"/>
  <c r="Z9" i="38" s="1"/>
  <c r="AA9" i="38" s="1"/>
  <c r="AB9" i="38" s="1"/>
  <c r="AC9" i="38" s="1"/>
  <c r="AD9" i="38" s="1"/>
  <c r="AE9" i="38" s="1"/>
  <c r="AF9" i="38" s="1"/>
  <c r="AG9" i="38" s="1"/>
  <c r="C29" i="27"/>
  <c r="C9" i="29"/>
  <c r="D9" i="29" s="1"/>
  <c r="E9" i="29" s="1"/>
  <c r="F9" i="29" s="1"/>
  <c r="G9" i="29" s="1"/>
  <c r="H9" i="29" s="1"/>
  <c r="I9" i="29" s="1"/>
  <c r="J9" i="29" s="1"/>
  <c r="K9" i="29" s="1"/>
  <c r="L9" i="29" s="1"/>
  <c r="M9" i="29" s="1"/>
  <c r="N9" i="29" s="1"/>
  <c r="O9" i="29" s="1"/>
  <c r="P9" i="29" s="1"/>
  <c r="Q9" i="29" s="1"/>
  <c r="R9" i="29" s="1"/>
  <c r="S9" i="29" s="1"/>
  <c r="T9" i="29" s="1"/>
  <c r="U9" i="29" s="1"/>
  <c r="V9" i="29" s="1"/>
  <c r="W9" i="29" s="1"/>
  <c r="X9" i="29" s="1"/>
  <c r="Y9" i="29" s="1"/>
  <c r="Z9" i="29" s="1"/>
  <c r="AA9" i="29" s="1"/>
  <c r="AB9" i="29" s="1"/>
  <c r="AC9" i="29" s="1"/>
  <c r="AD9" i="29" s="1"/>
  <c r="AE9" i="29" s="1"/>
  <c r="AF9" i="29" s="1"/>
  <c r="AG9" i="29" s="1"/>
  <c r="C9" i="28"/>
  <c r="D9" i="28" s="1"/>
  <c r="E9" i="28" s="1"/>
  <c r="F9" i="28" s="1"/>
  <c r="G9" i="28" s="1"/>
  <c r="H9" i="28" s="1"/>
  <c r="I9" i="28" s="1"/>
  <c r="J9" i="28" s="1"/>
  <c r="K9" i="28" s="1"/>
  <c r="L9" i="28" s="1"/>
  <c r="M9" i="28" s="1"/>
  <c r="N9" i="28" s="1"/>
  <c r="O9" i="28" s="1"/>
  <c r="P9" i="28" s="1"/>
  <c r="Q9" i="28" s="1"/>
  <c r="R9" i="28" s="1"/>
  <c r="S9" i="28" s="1"/>
  <c r="T9" i="28" s="1"/>
  <c r="U9" i="28" s="1"/>
  <c r="V9" i="28" s="1"/>
  <c r="W9" i="28" s="1"/>
  <c r="X9" i="28" s="1"/>
  <c r="Y9" i="28" s="1"/>
  <c r="Z9" i="28" s="1"/>
  <c r="AA9" i="28" s="1"/>
  <c r="AB9" i="28" s="1"/>
  <c r="AC9" i="28" s="1"/>
  <c r="AD9" i="28" s="1"/>
  <c r="AE9" i="28" s="1"/>
  <c r="AF9" i="28" s="1"/>
  <c r="AG9" i="28" s="1"/>
  <c r="C9" i="19"/>
  <c r="D9" i="19" s="1"/>
  <c r="E9" i="19" s="1"/>
  <c r="F9" i="19" s="1"/>
  <c r="G9" i="19" s="1"/>
  <c r="H9" i="19" s="1"/>
  <c r="I9" i="19" s="1"/>
  <c r="J9" i="19" s="1"/>
  <c r="K9" i="19" s="1"/>
  <c r="L9" i="19" s="1"/>
  <c r="M9" i="19" s="1"/>
  <c r="N9" i="19" s="1"/>
  <c r="O9" i="19" s="1"/>
  <c r="P9" i="19" s="1"/>
  <c r="Q9" i="19" s="1"/>
  <c r="R9" i="19" s="1"/>
  <c r="S9" i="19" s="1"/>
  <c r="T9" i="19" s="1"/>
  <c r="U9" i="19" s="1"/>
  <c r="V9" i="19" s="1"/>
  <c r="W9" i="19" s="1"/>
  <c r="X9" i="19" s="1"/>
  <c r="Y9" i="19" s="1"/>
  <c r="Z9" i="19" s="1"/>
  <c r="AA9" i="19" s="1"/>
  <c r="AB9" i="19" s="1"/>
  <c r="AC9" i="19" s="1"/>
  <c r="AD9" i="19" s="1"/>
  <c r="AE9" i="19" s="1"/>
  <c r="AF9" i="19" s="1"/>
  <c r="AG9" i="19" s="1"/>
  <c r="C15" i="27"/>
  <c r="B25" i="27"/>
  <c r="C8" i="20"/>
  <c r="C7" i="38"/>
  <c r="C7" i="42"/>
  <c r="C7" i="29"/>
  <c r="C28" i="27"/>
  <c r="C7" i="28"/>
  <c r="C7" i="19"/>
  <c r="C25" i="27"/>
  <c r="F17" i="26"/>
  <c r="F16" i="26"/>
  <c r="G15" i="26"/>
  <c r="G16" i="26"/>
  <c r="G17" i="26"/>
  <c r="F15" i="26"/>
  <c r="AE116" i="20"/>
  <c r="AF113" i="20"/>
  <c r="B41" i="27" l="1"/>
  <c r="C11" i="53"/>
  <c r="D11" i="53" s="1"/>
  <c r="E11" i="53" s="1"/>
  <c r="F11" i="53" s="1"/>
  <c r="G11" i="53" s="1"/>
  <c r="H11" i="53" s="1"/>
  <c r="I11" i="53" s="1"/>
  <c r="J11" i="53" s="1"/>
  <c r="K11" i="53" s="1"/>
  <c r="L11" i="53" s="1"/>
  <c r="M11" i="53" s="1"/>
  <c r="N11" i="53" s="1"/>
  <c r="O11" i="53" s="1"/>
  <c r="P11" i="53" s="1"/>
  <c r="Q11" i="53" s="1"/>
  <c r="R11" i="53" s="1"/>
  <c r="S11" i="53" s="1"/>
  <c r="T11" i="53" s="1"/>
  <c r="U11" i="53" s="1"/>
  <c r="V11" i="53" s="1"/>
  <c r="W11" i="53" s="1"/>
  <c r="X11" i="53" s="1"/>
  <c r="Y11" i="53" s="1"/>
  <c r="Z11" i="53" s="1"/>
  <c r="AA11" i="53" s="1"/>
  <c r="AB11" i="53" s="1"/>
  <c r="AC11" i="53" s="1"/>
  <c r="AD11" i="53" s="1"/>
  <c r="AE11" i="53" s="1"/>
  <c r="AF11" i="53" s="1"/>
  <c r="AG11" i="53" s="1"/>
  <c r="C11" i="54"/>
  <c r="D11" i="54" s="1"/>
  <c r="E11" i="54" s="1"/>
  <c r="F11" i="54" s="1"/>
  <c r="G11" i="54" s="1"/>
  <c r="H11" i="54" s="1"/>
  <c r="I11" i="54" s="1"/>
  <c r="J11" i="54" s="1"/>
  <c r="K11" i="54" s="1"/>
  <c r="L11" i="54" s="1"/>
  <c r="M11" i="54" s="1"/>
  <c r="N11" i="54" s="1"/>
  <c r="O11" i="54" s="1"/>
  <c r="P11" i="54" s="1"/>
  <c r="Q11" i="54" s="1"/>
  <c r="R11" i="54" s="1"/>
  <c r="S11" i="54" s="1"/>
  <c r="T11" i="54" s="1"/>
  <c r="U11" i="54" s="1"/>
  <c r="V11" i="54" s="1"/>
  <c r="W11" i="54" s="1"/>
  <c r="X11" i="54" s="1"/>
  <c r="Y11" i="54" s="1"/>
  <c r="Z11" i="54" s="1"/>
  <c r="AA11" i="54" s="1"/>
  <c r="AB11" i="54" s="1"/>
  <c r="AC11" i="54" s="1"/>
  <c r="AD11" i="54" s="1"/>
  <c r="AE11" i="54" s="1"/>
  <c r="AF11" i="54" s="1"/>
  <c r="AG11" i="54" s="1"/>
  <c r="C11" i="48"/>
  <c r="D11" i="48" s="1"/>
  <c r="E11" i="48" s="1"/>
  <c r="F11" i="48" s="1"/>
  <c r="G11" i="48" s="1"/>
  <c r="H11" i="48" s="1"/>
  <c r="I11" i="48" s="1"/>
  <c r="J11" i="48" s="1"/>
  <c r="K11" i="48" s="1"/>
  <c r="L11" i="48" s="1"/>
  <c r="M11" i="48" s="1"/>
  <c r="N11" i="48" s="1"/>
  <c r="O11" i="48" s="1"/>
  <c r="P11" i="48" s="1"/>
  <c r="Q11" i="48" s="1"/>
  <c r="R11" i="48" s="1"/>
  <c r="S11" i="48" s="1"/>
  <c r="T11" i="48" s="1"/>
  <c r="U11" i="48" s="1"/>
  <c r="V11" i="48" s="1"/>
  <c r="W11" i="48" s="1"/>
  <c r="X11" i="48" s="1"/>
  <c r="Y11" i="48" s="1"/>
  <c r="Z11" i="48" s="1"/>
  <c r="AA11" i="48" s="1"/>
  <c r="AB11" i="48" s="1"/>
  <c r="AC11" i="48" s="1"/>
  <c r="AD11" i="48" s="1"/>
  <c r="AE11" i="48" s="1"/>
  <c r="AF11" i="48" s="1"/>
  <c r="AG11" i="48" s="1"/>
  <c r="C11" i="46"/>
  <c r="D11" i="46" s="1"/>
  <c r="E11" i="46" s="1"/>
  <c r="F11" i="46" s="1"/>
  <c r="G11" i="46" s="1"/>
  <c r="H11" i="46" s="1"/>
  <c r="I11" i="46" s="1"/>
  <c r="J11" i="46" s="1"/>
  <c r="K11" i="46" s="1"/>
  <c r="L11" i="46" s="1"/>
  <c r="M11" i="46" s="1"/>
  <c r="N11" i="46" s="1"/>
  <c r="O11" i="46" s="1"/>
  <c r="P11" i="46" s="1"/>
  <c r="Q11" i="46" s="1"/>
  <c r="R11" i="46" s="1"/>
  <c r="S11" i="46" s="1"/>
  <c r="T11" i="46" s="1"/>
  <c r="U11" i="46" s="1"/>
  <c r="V11" i="46" s="1"/>
  <c r="W11" i="46" s="1"/>
  <c r="X11" i="46" s="1"/>
  <c r="Y11" i="46" s="1"/>
  <c r="Z11" i="46" s="1"/>
  <c r="AA11" i="46" s="1"/>
  <c r="AB11" i="46" s="1"/>
  <c r="AC11" i="46" s="1"/>
  <c r="AD11" i="46" s="1"/>
  <c r="AE11" i="46" s="1"/>
  <c r="AF11" i="46" s="1"/>
  <c r="AG11" i="46" s="1"/>
  <c r="C11" i="38"/>
  <c r="D11" i="38" s="1"/>
  <c r="E11" i="38" s="1"/>
  <c r="F11" i="38" s="1"/>
  <c r="G11" i="38" s="1"/>
  <c r="H11" i="38" s="1"/>
  <c r="I11" i="38" s="1"/>
  <c r="J11" i="38" s="1"/>
  <c r="K11" i="38" s="1"/>
  <c r="L11" i="38" s="1"/>
  <c r="M11" i="38" s="1"/>
  <c r="N11" i="38" s="1"/>
  <c r="O11" i="38" s="1"/>
  <c r="P11" i="38" s="1"/>
  <c r="Q11" i="38" s="1"/>
  <c r="R11" i="38" s="1"/>
  <c r="S11" i="38" s="1"/>
  <c r="T11" i="38" s="1"/>
  <c r="U11" i="38" s="1"/>
  <c r="V11" i="38" s="1"/>
  <c r="W11" i="38" s="1"/>
  <c r="X11" i="38" s="1"/>
  <c r="Y11" i="38" s="1"/>
  <c r="Z11" i="38" s="1"/>
  <c r="AA11" i="38" s="1"/>
  <c r="AB11" i="38" s="1"/>
  <c r="AC11" i="38" s="1"/>
  <c r="AD11" i="38" s="1"/>
  <c r="AE11" i="38" s="1"/>
  <c r="AF11" i="38" s="1"/>
  <c r="AG11" i="38" s="1"/>
  <c r="C11" i="42"/>
  <c r="D11" i="42" s="1"/>
  <c r="E11" i="42" s="1"/>
  <c r="F11" i="42" s="1"/>
  <c r="G11" i="42" s="1"/>
  <c r="H11" i="42" s="1"/>
  <c r="I11" i="42" s="1"/>
  <c r="J11" i="42" s="1"/>
  <c r="K11" i="42" s="1"/>
  <c r="L11" i="42" s="1"/>
  <c r="M11" i="42" s="1"/>
  <c r="N11" i="42" s="1"/>
  <c r="O11" i="42" s="1"/>
  <c r="P11" i="42" s="1"/>
  <c r="Q11" i="42" s="1"/>
  <c r="R11" i="42" s="1"/>
  <c r="S11" i="42" s="1"/>
  <c r="T11" i="42" s="1"/>
  <c r="U11" i="42" s="1"/>
  <c r="V11" i="42" s="1"/>
  <c r="W11" i="42" s="1"/>
  <c r="X11" i="42" s="1"/>
  <c r="Y11" i="42" s="1"/>
  <c r="Z11" i="42" s="1"/>
  <c r="AA11" i="42" s="1"/>
  <c r="AB11" i="42" s="1"/>
  <c r="AC11" i="42" s="1"/>
  <c r="AD11" i="42" s="1"/>
  <c r="AE11" i="42" s="1"/>
  <c r="AF11" i="42" s="1"/>
  <c r="AG11" i="42" s="1"/>
  <c r="C32" i="27"/>
  <c r="C11" i="28"/>
  <c r="D11" i="28" s="1"/>
  <c r="E11" i="28" s="1"/>
  <c r="F11" i="28" s="1"/>
  <c r="G11" i="28" s="1"/>
  <c r="H11" i="28" s="1"/>
  <c r="I11" i="28" s="1"/>
  <c r="J11" i="28" s="1"/>
  <c r="K11" i="28" s="1"/>
  <c r="L11" i="28" s="1"/>
  <c r="M11" i="28" s="1"/>
  <c r="N11" i="28" s="1"/>
  <c r="O11" i="28" s="1"/>
  <c r="P11" i="28" s="1"/>
  <c r="Q11" i="28" s="1"/>
  <c r="R11" i="28" s="1"/>
  <c r="S11" i="28" s="1"/>
  <c r="T11" i="28" s="1"/>
  <c r="U11" i="28" s="1"/>
  <c r="V11" i="28" s="1"/>
  <c r="W11" i="28" s="1"/>
  <c r="X11" i="28" s="1"/>
  <c r="Y11" i="28" s="1"/>
  <c r="Z11" i="28" s="1"/>
  <c r="AA11" i="28" s="1"/>
  <c r="AB11" i="28" s="1"/>
  <c r="AC11" i="28" s="1"/>
  <c r="AD11" i="28" s="1"/>
  <c r="AE11" i="28" s="1"/>
  <c r="AF11" i="28" s="1"/>
  <c r="AG11" i="28" s="1"/>
  <c r="C11" i="29"/>
  <c r="D11" i="29" s="1"/>
  <c r="E11" i="29" s="1"/>
  <c r="F11" i="29" s="1"/>
  <c r="G11" i="29" s="1"/>
  <c r="H11" i="29" s="1"/>
  <c r="I11" i="29" s="1"/>
  <c r="J11" i="29" s="1"/>
  <c r="K11" i="29" s="1"/>
  <c r="L11" i="29" s="1"/>
  <c r="M11" i="29" s="1"/>
  <c r="N11" i="29" s="1"/>
  <c r="O11" i="29" s="1"/>
  <c r="P11" i="29" s="1"/>
  <c r="Q11" i="29" s="1"/>
  <c r="R11" i="29" s="1"/>
  <c r="S11" i="29" s="1"/>
  <c r="T11" i="29" s="1"/>
  <c r="U11" i="29" s="1"/>
  <c r="V11" i="29" s="1"/>
  <c r="W11" i="29" s="1"/>
  <c r="X11" i="29" s="1"/>
  <c r="Y11" i="29" s="1"/>
  <c r="Z11" i="29" s="1"/>
  <c r="AA11" i="29" s="1"/>
  <c r="AB11" i="29" s="1"/>
  <c r="AC11" i="29" s="1"/>
  <c r="AD11" i="29" s="1"/>
  <c r="AE11" i="29" s="1"/>
  <c r="AF11" i="29" s="1"/>
  <c r="AG11" i="29" s="1"/>
  <c r="C11" i="19"/>
  <c r="D11" i="19" s="1"/>
  <c r="E11" i="19" s="1"/>
  <c r="F11" i="19" s="1"/>
  <c r="G11" i="19" s="1"/>
  <c r="H11" i="19" s="1"/>
  <c r="I11" i="19" s="1"/>
  <c r="J11" i="19" s="1"/>
  <c r="K11" i="19" s="1"/>
  <c r="L11" i="19" s="1"/>
  <c r="M11" i="19" s="1"/>
  <c r="N11" i="19" s="1"/>
  <c r="O11" i="19" s="1"/>
  <c r="P11" i="19" s="1"/>
  <c r="Q11" i="19" s="1"/>
  <c r="R11" i="19" s="1"/>
  <c r="S11" i="19" s="1"/>
  <c r="T11" i="19" s="1"/>
  <c r="U11" i="19" s="1"/>
  <c r="V11" i="19" s="1"/>
  <c r="W11" i="19" s="1"/>
  <c r="X11" i="19" s="1"/>
  <c r="Y11" i="19" s="1"/>
  <c r="Z11" i="19" s="1"/>
  <c r="AA11" i="19" s="1"/>
  <c r="AB11" i="19" s="1"/>
  <c r="AC11" i="19" s="1"/>
  <c r="AD11" i="19" s="1"/>
  <c r="AE11" i="19" s="1"/>
  <c r="AF11" i="19" s="1"/>
  <c r="AG11" i="19" s="1"/>
  <c r="C12" i="46"/>
  <c r="D7" i="46"/>
  <c r="D7" i="48"/>
  <c r="C12" i="48"/>
  <c r="C33" i="27"/>
  <c r="D7" i="54"/>
  <c r="C12" i="54"/>
  <c r="D7" i="53"/>
  <c r="C12" i="53"/>
  <c r="D7" i="42"/>
  <c r="C12" i="42"/>
  <c r="D7" i="29"/>
  <c r="D7" i="19"/>
  <c r="D7" i="28"/>
  <c r="C12" i="28"/>
  <c r="D7" i="38"/>
  <c r="C12" i="38"/>
  <c r="AF116" i="20"/>
  <c r="C12" i="20"/>
  <c r="AG113" i="20"/>
  <c r="C23" i="4"/>
  <c r="K23" i="4" s="1"/>
  <c r="Q23" i="4" s="1"/>
  <c r="C24" i="4"/>
  <c r="C36" i="4"/>
  <c r="P54" i="4"/>
  <c r="P55" i="4"/>
  <c r="P56" i="4"/>
  <c r="P57" i="4"/>
  <c r="P58" i="4"/>
  <c r="P59" i="4"/>
  <c r="P60" i="4"/>
  <c r="P61" i="4"/>
  <c r="P62" i="4"/>
  <c r="J65" i="4"/>
  <c r="R65" i="4"/>
  <c r="R76" i="4" s="1"/>
  <c r="J66" i="4"/>
  <c r="J77" i="4" s="1"/>
  <c r="R66" i="4"/>
  <c r="R77" i="4" s="1"/>
  <c r="AC69" i="4"/>
  <c r="AC70" i="4"/>
  <c r="Z71" i="4"/>
  <c r="AA71" i="4"/>
  <c r="L54" i="25"/>
  <c r="J56" i="25"/>
  <c r="C26" i="25"/>
  <c r="C25" i="25"/>
  <c r="C18" i="25"/>
  <c r="W20" i="25"/>
  <c r="M20" i="25"/>
  <c r="AG17" i="25"/>
  <c r="AB17" i="25"/>
  <c r="H20" i="25"/>
  <c r="C13" i="25"/>
  <c r="K2" i="25"/>
  <c r="D2" i="25"/>
  <c r="G2" i="25"/>
  <c r="C2" i="25"/>
  <c r="R18" i="25"/>
  <c r="C18" i="24"/>
  <c r="D18" i="24"/>
  <c r="E18" i="24"/>
  <c r="F18" i="24"/>
  <c r="G18" i="24"/>
  <c r="H18" i="24"/>
  <c r="I18" i="24"/>
  <c r="C19" i="24"/>
  <c r="D19" i="24"/>
  <c r="E19" i="24"/>
  <c r="F19" i="24"/>
  <c r="G19" i="24"/>
  <c r="H19" i="24"/>
  <c r="I19" i="24"/>
  <c r="C20" i="24"/>
  <c r="D20" i="24"/>
  <c r="E20" i="24"/>
  <c r="F20" i="24"/>
  <c r="G20" i="24"/>
  <c r="H20" i="24"/>
  <c r="I20" i="24"/>
  <c r="H30" i="24" s="1"/>
  <c r="C21" i="24"/>
  <c r="C100" i="24" s="1"/>
  <c r="D21" i="24"/>
  <c r="D100" i="24" s="1"/>
  <c r="E21" i="24"/>
  <c r="F21" i="24"/>
  <c r="F100" i="24" s="1"/>
  <c r="G21" i="24"/>
  <c r="G100" i="24" s="1"/>
  <c r="H21" i="24"/>
  <c r="I100" i="24" s="1"/>
  <c r="I21" i="24"/>
  <c r="J100" i="24" s="1"/>
  <c r="C22" i="24"/>
  <c r="C101" i="24" s="1"/>
  <c r="D22" i="24"/>
  <c r="D101" i="24" s="1"/>
  <c r="E22" i="24"/>
  <c r="F22" i="24"/>
  <c r="F101" i="24" s="1"/>
  <c r="G22" i="24"/>
  <c r="G101" i="24" s="1"/>
  <c r="H22" i="24"/>
  <c r="I101" i="24" s="1"/>
  <c r="I22" i="24"/>
  <c r="J101" i="24" s="1"/>
  <c r="C23" i="24"/>
  <c r="D23" i="24"/>
  <c r="E23" i="24"/>
  <c r="F23" i="24"/>
  <c r="G23" i="24"/>
  <c r="H23" i="24"/>
  <c r="I23" i="24"/>
  <c r="B23" i="24"/>
  <c r="B61" i="24" s="1"/>
  <c r="B22" i="24"/>
  <c r="B21" i="24"/>
  <c r="B100" i="24" s="1"/>
  <c r="B20" i="24"/>
  <c r="B19" i="24"/>
  <c r="B18" i="24"/>
  <c r="C13" i="24"/>
  <c r="D13" i="24"/>
  <c r="E13" i="24"/>
  <c r="F13" i="24"/>
  <c r="G13" i="24"/>
  <c r="H13" i="24"/>
  <c r="I13" i="24"/>
  <c r="B13" i="24"/>
  <c r="J7" i="24"/>
  <c r="J18" i="24" s="1"/>
  <c r="J8" i="24"/>
  <c r="J9" i="24"/>
  <c r="J21" i="24" s="1"/>
  <c r="J10" i="24"/>
  <c r="J22" i="24" s="1"/>
  <c r="J11" i="24"/>
  <c r="J12" i="24"/>
  <c r="J6" i="24"/>
  <c r="J20" i="24" s="1"/>
  <c r="C12" i="19" l="1"/>
  <c r="D12" i="48"/>
  <c r="E7" i="48"/>
  <c r="D12" i="46"/>
  <c r="E7" i="46"/>
  <c r="L56" i="60"/>
  <c r="E7" i="53"/>
  <c r="D12" i="53"/>
  <c r="B101" i="24"/>
  <c r="B60" i="24"/>
  <c r="E7" i="54"/>
  <c r="D12" i="54"/>
  <c r="C37" i="27"/>
  <c r="C38" i="27"/>
  <c r="C39" i="27"/>
  <c r="C36" i="27"/>
  <c r="C12" i="29"/>
  <c r="C40" i="27"/>
  <c r="E27" i="49"/>
  <c r="E26" i="49"/>
  <c r="E28" i="49"/>
  <c r="Z147" i="24"/>
  <c r="Z148" i="24"/>
  <c r="B128" i="24"/>
  <c r="B114" i="24"/>
  <c r="I131" i="24"/>
  <c r="I103" i="24"/>
  <c r="I117" i="24"/>
  <c r="D131" i="24"/>
  <c r="D117" i="24"/>
  <c r="D103" i="24"/>
  <c r="G115" i="24"/>
  <c r="G129" i="24"/>
  <c r="C86" i="24"/>
  <c r="C115" i="24"/>
  <c r="C129" i="24"/>
  <c r="F85" i="24"/>
  <c r="F114" i="24"/>
  <c r="F128" i="24"/>
  <c r="J99" i="24"/>
  <c r="J127" i="24"/>
  <c r="J113" i="24"/>
  <c r="E127" i="24"/>
  <c r="I126" i="24"/>
  <c r="I98" i="24"/>
  <c r="I112" i="24"/>
  <c r="D112" i="24"/>
  <c r="D98" i="24"/>
  <c r="D126" i="24"/>
  <c r="G97" i="24"/>
  <c r="G111" i="24"/>
  <c r="G125" i="24"/>
  <c r="C82" i="24"/>
  <c r="C111" i="24"/>
  <c r="C97" i="24"/>
  <c r="C125" i="24"/>
  <c r="B111" i="24"/>
  <c r="B82" i="24"/>
  <c r="B125" i="24"/>
  <c r="B86" i="24"/>
  <c r="B115" i="24"/>
  <c r="B129" i="24"/>
  <c r="G103" i="24"/>
  <c r="G117" i="24"/>
  <c r="G131" i="24"/>
  <c r="C117" i="24"/>
  <c r="C103" i="24"/>
  <c r="C131" i="24"/>
  <c r="F86" i="24"/>
  <c r="F129" i="24"/>
  <c r="F115" i="24"/>
  <c r="J85" i="24"/>
  <c r="J114" i="24"/>
  <c r="J128" i="24"/>
  <c r="E85" i="24"/>
  <c r="E128" i="24"/>
  <c r="I127" i="24"/>
  <c r="I99" i="24"/>
  <c r="I113" i="24"/>
  <c r="D113" i="24"/>
  <c r="D127" i="24"/>
  <c r="D99" i="24"/>
  <c r="G98" i="24"/>
  <c r="G112" i="24"/>
  <c r="G126" i="24"/>
  <c r="C83" i="24"/>
  <c r="C112" i="24"/>
  <c r="C98" i="24"/>
  <c r="C126" i="24"/>
  <c r="F82" i="24"/>
  <c r="F111" i="24"/>
  <c r="F97" i="24"/>
  <c r="F125" i="24"/>
  <c r="D65" i="44"/>
  <c r="G65" i="44"/>
  <c r="F65" i="44"/>
  <c r="B112" i="24"/>
  <c r="B126" i="24"/>
  <c r="B98" i="24"/>
  <c r="B88" i="24"/>
  <c r="B103" i="24"/>
  <c r="B117" i="24"/>
  <c r="B131" i="24"/>
  <c r="F131" i="24"/>
  <c r="F103" i="24"/>
  <c r="F117" i="24"/>
  <c r="J86" i="24"/>
  <c r="J129" i="24"/>
  <c r="J115" i="24"/>
  <c r="E86" i="24"/>
  <c r="E129" i="24"/>
  <c r="I85" i="24"/>
  <c r="I128" i="24"/>
  <c r="I114" i="24"/>
  <c r="D85" i="24"/>
  <c r="D114" i="24"/>
  <c r="D128" i="24"/>
  <c r="G99" i="24"/>
  <c r="G113" i="24"/>
  <c r="G127" i="24"/>
  <c r="C84" i="24"/>
  <c r="C99" i="24"/>
  <c r="C113" i="24"/>
  <c r="C127" i="24"/>
  <c r="F126" i="24"/>
  <c r="F98" i="24"/>
  <c r="F112" i="24"/>
  <c r="J82" i="24"/>
  <c r="J125" i="24"/>
  <c r="J111" i="24"/>
  <c r="J97" i="24"/>
  <c r="E82" i="24"/>
  <c r="E125" i="24"/>
  <c r="B127" i="24"/>
  <c r="B99" i="24"/>
  <c r="B113" i="24"/>
  <c r="B71" i="24"/>
  <c r="J88" i="24"/>
  <c r="J131" i="24"/>
  <c r="J103" i="24"/>
  <c r="J117" i="24"/>
  <c r="E131" i="24"/>
  <c r="I86" i="24"/>
  <c r="I129" i="24"/>
  <c r="I115" i="24"/>
  <c r="D86" i="24"/>
  <c r="D115" i="24"/>
  <c r="D129" i="24"/>
  <c r="G114" i="24"/>
  <c r="G128" i="24"/>
  <c r="C128" i="24"/>
  <c r="C114" i="24"/>
  <c r="F99" i="24"/>
  <c r="F127" i="24"/>
  <c r="F113" i="24"/>
  <c r="J126" i="24"/>
  <c r="J112" i="24"/>
  <c r="J98" i="24"/>
  <c r="E126" i="24"/>
  <c r="I82" i="24"/>
  <c r="I125" i="24"/>
  <c r="I97" i="24"/>
  <c r="I111" i="24"/>
  <c r="D82" i="24"/>
  <c r="D125" i="24"/>
  <c r="D111" i="24"/>
  <c r="D97" i="24"/>
  <c r="D12" i="19"/>
  <c r="E7" i="19"/>
  <c r="E7" i="29"/>
  <c r="D12" i="29"/>
  <c r="E7" i="38"/>
  <c r="D12" i="38"/>
  <c r="D12" i="28"/>
  <c r="E7" i="28"/>
  <c r="E7" i="42"/>
  <c r="D12" i="42"/>
  <c r="F30" i="24"/>
  <c r="B30" i="24"/>
  <c r="B84" i="24"/>
  <c r="E74" i="24"/>
  <c r="E88" i="24"/>
  <c r="C72" i="24"/>
  <c r="C85" i="24"/>
  <c r="E30" i="24"/>
  <c r="F84" i="24"/>
  <c r="H29" i="24"/>
  <c r="J83" i="24"/>
  <c r="D29" i="24"/>
  <c r="E83" i="24"/>
  <c r="B29" i="24"/>
  <c r="B83" i="24"/>
  <c r="F74" i="24"/>
  <c r="F88" i="24"/>
  <c r="E29" i="24"/>
  <c r="F83" i="24"/>
  <c r="B72" i="24"/>
  <c r="B85" i="24"/>
  <c r="H74" i="24"/>
  <c r="I88" i="24"/>
  <c r="D74" i="24"/>
  <c r="D88" i="24"/>
  <c r="G49" i="7"/>
  <c r="J84" i="24"/>
  <c r="D30" i="24"/>
  <c r="E84" i="24"/>
  <c r="G29" i="24"/>
  <c r="I83" i="24"/>
  <c r="C29" i="24"/>
  <c r="D83" i="24"/>
  <c r="B28" i="24"/>
  <c r="G74" i="24"/>
  <c r="C74" i="24"/>
  <c r="C88" i="24"/>
  <c r="G30" i="24"/>
  <c r="I84" i="24"/>
  <c r="C30" i="24"/>
  <c r="D84" i="24"/>
  <c r="F29" i="24"/>
  <c r="AI59" i="34"/>
  <c r="F31" i="24"/>
  <c r="G28" i="24"/>
  <c r="C28" i="24"/>
  <c r="F72" i="24"/>
  <c r="E31" i="24"/>
  <c r="F28" i="24"/>
  <c r="D35" i="25"/>
  <c r="H31" i="24"/>
  <c r="E72" i="24"/>
  <c r="D31" i="24"/>
  <c r="E28" i="24"/>
  <c r="B74" i="24"/>
  <c r="B31" i="24"/>
  <c r="H72" i="24"/>
  <c r="G31" i="24"/>
  <c r="D72" i="24"/>
  <c r="C31" i="24"/>
  <c r="H28" i="24"/>
  <c r="D28" i="24"/>
  <c r="C45" i="7"/>
  <c r="B69" i="24"/>
  <c r="B73" i="24"/>
  <c r="F73" i="24"/>
  <c r="H58" i="24"/>
  <c r="H71" i="24"/>
  <c r="G57" i="24"/>
  <c r="G70" i="24"/>
  <c r="C14" i="7"/>
  <c r="G60" i="24"/>
  <c r="G73" i="24"/>
  <c r="C73" i="24"/>
  <c r="E71" i="24"/>
  <c r="H70" i="24"/>
  <c r="D70" i="24"/>
  <c r="G69" i="24"/>
  <c r="C69" i="24"/>
  <c r="E73" i="24"/>
  <c r="D47" i="7"/>
  <c r="C71" i="24"/>
  <c r="E69" i="24"/>
  <c r="D71" i="24"/>
  <c r="C70" i="24"/>
  <c r="F56" i="24"/>
  <c r="F69" i="24"/>
  <c r="B57" i="24"/>
  <c r="B70" i="24"/>
  <c r="G58" i="24"/>
  <c r="G71" i="24"/>
  <c r="F70" i="24"/>
  <c r="J23" i="24"/>
  <c r="J19" i="24"/>
  <c r="B58" i="24"/>
  <c r="H60" i="24"/>
  <c r="H73" i="24"/>
  <c r="D60" i="24"/>
  <c r="D73" i="24"/>
  <c r="G59" i="24"/>
  <c r="G72" i="24"/>
  <c r="F71" i="24"/>
  <c r="E70" i="24"/>
  <c r="H69" i="24"/>
  <c r="H56" i="24"/>
  <c r="C32" i="25"/>
  <c r="D69" i="24"/>
  <c r="Q35" i="4"/>
  <c r="K24" i="4"/>
  <c r="Q24" i="4" s="1"/>
  <c r="C27" i="4"/>
  <c r="P65" i="4"/>
  <c r="P76" i="4" s="1"/>
  <c r="Q76" i="4" s="1"/>
  <c r="B86" i="15"/>
  <c r="B86" i="16"/>
  <c r="H68" i="7"/>
  <c r="AG118" i="20"/>
  <c r="AG116" i="20"/>
  <c r="H61" i="24"/>
  <c r="H59" i="24"/>
  <c r="H57" i="24"/>
  <c r="B56" i="24"/>
  <c r="E50" i="7"/>
  <c r="E61" i="24"/>
  <c r="F47" i="7"/>
  <c r="F58" i="24"/>
  <c r="C50" i="7"/>
  <c r="H50" i="7"/>
  <c r="C37" i="25"/>
  <c r="D61" i="24"/>
  <c r="D49" i="7"/>
  <c r="C60" i="24"/>
  <c r="F48" i="7"/>
  <c r="F59" i="24"/>
  <c r="E47" i="7"/>
  <c r="E58" i="24"/>
  <c r="H46" i="7"/>
  <c r="C33" i="25"/>
  <c r="D57" i="24"/>
  <c r="G45" i="7"/>
  <c r="G56" i="24"/>
  <c r="D45" i="7"/>
  <c r="C56" i="24"/>
  <c r="G48" i="7"/>
  <c r="C36" i="25"/>
  <c r="D48" i="7"/>
  <c r="C59" i="24"/>
  <c r="H24" i="24"/>
  <c r="G24" i="24"/>
  <c r="G51" i="7" s="1"/>
  <c r="G50" i="7"/>
  <c r="G61" i="24"/>
  <c r="D50" i="7"/>
  <c r="C61" i="24"/>
  <c r="F49" i="7"/>
  <c r="F60" i="24"/>
  <c r="E48" i="7"/>
  <c r="E59" i="24"/>
  <c r="H47" i="7"/>
  <c r="C34" i="25"/>
  <c r="D58" i="24"/>
  <c r="D46" i="7"/>
  <c r="C57" i="24"/>
  <c r="C47" i="7"/>
  <c r="G47" i="7"/>
  <c r="C49" i="7"/>
  <c r="D36" i="25"/>
  <c r="E46" i="7"/>
  <c r="E57" i="24"/>
  <c r="D24" i="24"/>
  <c r="C38" i="25" s="1"/>
  <c r="D56" i="24"/>
  <c r="C48" i="7"/>
  <c r="B59" i="24"/>
  <c r="C24" i="24"/>
  <c r="D51" i="7" s="1"/>
  <c r="F50" i="7"/>
  <c r="F61" i="24"/>
  <c r="E49" i="7"/>
  <c r="E60" i="24"/>
  <c r="H48" i="7"/>
  <c r="C35" i="25"/>
  <c r="D59" i="24"/>
  <c r="C58" i="24"/>
  <c r="F46" i="7"/>
  <c r="F57" i="24"/>
  <c r="E45" i="7"/>
  <c r="E56" i="24"/>
  <c r="F45" i="7"/>
  <c r="G46" i="7"/>
  <c r="D32" i="25"/>
  <c r="B24" i="24"/>
  <c r="C51" i="7" s="1"/>
  <c r="F24" i="24"/>
  <c r="F51" i="7" s="1"/>
  <c r="D34" i="25"/>
  <c r="I24" i="24"/>
  <c r="E24" i="24"/>
  <c r="E51" i="7" s="1"/>
  <c r="C46" i="7"/>
  <c r="H45" i="7"/>
  <c r="D37" i="25"/>
  <c r="D33" i="25"/>
  <c r="H49" i="7"/>
  <c r="R67" i="4"/>
  <c r="J67" i="4"/>
  <c r="I67" i="4" s="1"/>
  <c r="J76" i="4"/>
  <c r="AC71" i="4"/>
  <c r="P66" i="4"/>
  <c r="J13" i="24"/>
  <c r="K13" i="24"/>
  <c r="D104" i="24" l="1"/>
  <c r="E30" i="49"/>
  <c r="F7" i="53"/>
  <c r="E12" i="53"/>
  <c r="C41" i="27"/>
  <c r="E12" i="46"/>
  <c r="F7" i="46"/>
  <c r="E12" i="54"/>
  <c r="F7" i="54"/>
  <c r="E12" i="48"/>
  <c r="F7" i="48"/>
  <c r="P41" i="4"/>
  <c r="Q41" i="4" s="1"/>
  <c r="P40" i="4"/>
  <c r="Q40" i="4" s="1"/>
  <c r="P42" i="4"/>
  <c r="Q42" i="4" s="1"/>
  <c r="Q79" i="4"/>
  <c r="Q36" i="4"/>
  <c r="B8" i="4" s="1"/>
  <c r="P39" i="4"/>
  <c r="Q39" i="4" s="1"/>
  <c r="P45" i="4"/>
  <c r="Q45" i="4" s="1"/>
  <c r="P43" i="4"/>
  <c r="Q43" i="4" s="1"/>
  <c r="P44" i="4"/>
  <c r="Q44" i="4" s="1"/>
  <c r="C89" i="24"/>
  <c r="I29" i="24"/>
  <c r="E89" i="24"/>
  <c r="F89" i="24"/>
  <c r="I74" i="24"/>
  <c r="K74" i="24" s="1"/>
  <c r="G104" i="24"/>
  <c r="I118" i="24"/>
  <c r="J118" i="24"/>
  <c r="K131" i="24"/>
  <c r="F104" i="24"/>
  <c r="B118" i="24"/>
  <c r="K128" i="24"/>
  <c r="I30" i="24"/>
  <c r="F132" i="24"/>
  <c r="K129" i="24"/>
  <c r="D118" i="24"/>
  <c r="I104" i="24"/>
  <c r="E132" i="24"/>
  <c r="J132" i="24"/>
  <c r="K126" i="24"/>
  <c r="F118" i="24"/>
  <c r="C132" i="24"/>
  <c r="G132" i="24"/>
  <c r="J104" i="24"/>
  <c r="C118" i="24"/>
  <c r="I89" i="24"/>
  <c r="D89" i="24"/>
  <c r="D132" i="24"/>
  <c r="I132" i="24"/>
  <c r="K127" i="24"/>
  <c r="B132" i="24"/>
  <c r="K125" i="24"/>
  <c r="C104" i="24"/>
  <c r="G118" i="24"/>
  <c r="R17" i="44"/>
  <c r="R16" i="44" s="1"/>
  <c r="R21" i="44" s="1"/>
  <c r="G81" i="24"/>
  <c r="F7" i="28"/>
  <c r="E12" i="28"/>
  <c r="F7" i="29"/>
  <c r="E12" i="29"/>
  <c r="F7" i="19"/>
  <c r="E12" i="19"/>
  <c r="E12" i="42"/>
  <c r="F7" i="42"/>
  <c r="F7" i="38"/>
  <c r="E12" i="38"/>
  <c r="J89" i="24"/>
  <c r="H51" i="7"/>
  <c r="D75" i="24"/>
  <c r="F75" i="24"/>
  <c r="I72" i="24"/>
  <c r="K72" i="24" s="1"/>
  <c r="B89" i="24"/>
  <c r="C54" i="7"/>
  <c r="AI61" i="34"/>
  <c r="F61" i="34" s="1"/>
  <c r="G61" i="34" s="1"/>
  <c r="H61" i="34" s="1"/>
  <c r="I61" i="34" s="1"/>
  <c r="J61" i="34" s="1"/>
  <c r="K61" i="34" s="1"/>
  <c r="L61" i="34" s="1"/>
  <c r="M61" i="34" s="1"/>
  <c r="N61" i="34" s="1"/>
  <c r="O61" i="34" s="1"/>
  <c r="P61" i="34" s="1"/>
  <c r="Q61" i="34" s="1"/>
  <c r="R61" i="34" s="1"/>
  <c r="S61" i="34" s="1"/>
  <c r="T61" i="34" s="1"/>
  <c r="U61" i="34" s="1"/>
  <c r="V61" i="34" s="1"/>
  <c r="W61" i="34" s="1"/>
  <c r="X61" i="34" s="1"/>
  <c r="Y61" i="34" s="1"/>
  <c r="Z61" i="34" s="1"/>
  <c r="AA61" i="34" s="1"/>
  <c r="AB61" i="34" s="1"/>
  <c r="AC61" i="34" s="1"/>
  <c r="AD61" i="34" s="1"/>
  <c r="AE61" i="34" s="1"/>
  <c r="AF61" i="34" s="1"/>
  <c r="AG61" i="34" s="1"/>
  <c r="AH61" i="34" s="1"/>
  <c r="AI60" i="34"/>
  <c r="F60" i="34" s="1"/>
  <c r="G60" i="34" s="1"/>
  <c r="H60" i="34" s="1"/>
  <c r="I60" i="34" s="1"/>
  <c r="J60" i="34" s="1"/>
  <c r="K60" i="34" s="1"/>
  <c r="L60" i="34" s="1"/>
  <c r="M60" i="34" s="1"/>
  <c r="N60" i="34" s="1"/>
  <c r="O60" i="34" s="1"/>
  <c r="P60" i="34" s="1"/>
  <c r="Q60" i="34" s="1"/>
  <c r="R60" i="34" s="1"/>
  <c r="S60" i="34" s="1"/>
  <c r="T60" i="34" s="1"/>
  <c r="U60" i="34" s="1"/>
  <c r="V60" i="34" s="1"/>
  <c r="W60" i="34" s="1"/>
  <c r="X60" i="34" s="1"/>
  <c r="Y60" i="34" s="1"/>
  <c r="Z60" i="34" s="1"/>
  <c r="AA60" i="34" s="1"/>
  <c r="AB60" i="34" s="1"/>
  <c r="AC60" i="34" s="1"/>
  <c r="AD60" i="34" s="1"/>
  <c r="AE60" i="34" s="1"/>
  <c r="AF60" i="34" s="1"/>
  <c r="AG60" i="34" s="1"/>
  <c r="AH60" i="34" s="1"/>
  <c r="AI62" i="34"/>
  <c r="F62" i="34" s="1"/>
  <c r="G62" i="34" s="1"/>
  <c r="H62" i="34" s="1"/>
  <c r="I62" i="34" s="1"/>
  <c r="J62" i="34" s="1"/>
  <c r="K62" i="34" s="1"/>
  <c r="L62" i="34" s="1"/>
  <c r="M62" i="34" s="1"/>
  <c r="N62" i="34" s="1"/>
  <c r="O62" i="34" s="1"/>
  <c r="P62" i="34" s="1"/>
  <c r="Q62" i="34" s="1"/>
  <c r="R62" i="34" s="1"/>
  <c r="S62" i="34" s="1"/>
  <c r="T62" i="34" s="1"/>
  <c r="U62" i="34" s="1"/>
  <c r="V62" i="34" s="1"/>
  <c r="W62" i="34" s="1"/>
  <c r="X62" i="34" s="1"/>
  <c r="Y62" i="34" s="1"/>
  <c r="Z62" i="34" s="1"/>
  <c r="AA62" i="34" s="1"/>
  <c r="AB62" i="34" s="1"/>
  <c r="AC62" i="34" s="1"/>
  <c r="AD62" i="34" s="1"/>
  <c r="AE62" i="34" s="1"/>
  <c r="AF62" i="34" s="1"/>
  <c r="AG62" i="34" s="1"/>
  <c r="AH62" i="34" s="1"/>
  <c r="F59" i="34"/>
  <c r="G59" i="34" s="1"/>
  <c r="H59" i="34" s="1"/>
  <c r="I59" i="34" s="1"/>
  <c r="J59" i="34" s="1"/>
  <c r="K59" i="34" s="1"/>
  <c r="L59" i="34" s="1"/>
  <c r="M59" i="34" s="1"/>
  <c r="N59" i="34" s="1"/>
  <c r="O59" i="34" s="1"/>
  <c r="P59" i="34" s="1"/>
  <c r="Q59" i="34" s="1"/>
  <c r="R59" i="34" s="1"/>
  <c r="S59" i="34" s="1"/>
  <c r="T59" i="34" s="1"/>
  <c r="U59" i="34" s="1"/>
  <c r="V59" i="34" s="1"/>
  <c r="W59" i="34" s="1"/>
  <c r="X59" i="34" s="1"/>
  <c r="Y59" i="34" s="1"/>
  <c r="Z59" i="34" s="1"/>
  <c r="AA59" i="34" s="1"/>
  <c r="AB59" i="34" s="1"/>
  <c r="AC59" i="34" s="1"/>
  <c r="AD59" i="34" s="1"/>
  <c r="AE59" i="34" s="1"/>
  <c r="AF59" i="34" s="1"/>
  <c r="AG59" i="34" s="1"/>
  <c r="AH59" i="34" s="1"/>
  <c r="B32" i="24"/>
  <c r="E32" i="24"/>
  <c r="C32" i="24"/>
  <c r="F32" i="24"/>
  <c r="I28" i="24"/>
  <c r="G32" i="24"/>
  <c r="D32" i="24"/>
  <c r="I31" i="24"/>
  <c r="H32" i="24"/>
  <c r="E75" i="24"/>
  <c r="J24" i="24"/>
  <c r="K78" i="24"/>
  <c r="I73" i="24"/>
  <c r="K73" i="24" s="1"/>
  <c r="F54" i="7"/>
  <c r="I69" i="24"/>
  <c r="H75" i="24"/>
  <c r="C75" i="24"/>
  <c r="C15" i="7"/>
  <c r="C35" i="7" s="1"/>
  <c r="C34" i="7"/>
  <c r="B75" i="24"/>
  <c r="I71" i="24"/>
  <c r="K71" i="24" s="1"/>
  <c r="I70" i="24"/>
  <c r="K70" i="24" s="1"/>
  <c r="G75" i="24"/>
  <c r="P67" i="4"/>
  <c r="Q27" i="4"/>
  <c r="C8" i="4" s="1"/>
  <c r="C43" i="25"/>
  <c r="C52" i="25" s="1"/>
  <c r="C46" i="25"/>
  <c r="C55" i="25" s="1"/>
  <c r="C42" i="25"/>
  <c r="C51" i="25" s="1"/>
  <c r="C41" i="25"/>
  <c r="C50" i="25" s="1"/>
  <c r="B186" i="12"/>
  <c r="B196" i="12" s="1"/>
  <c r="I56" i="24"/>
  <c r="K56" i="24" s="1"/>
  <c r="H62" i="24"/>
  <c r="I57" i="24"/>
  <c r="K57" i="24" s="1"/>
  <c r="F62" i="24"/>
  <c r="C45" i="25"/>
  <c r="C54" i="25" s="1"/>
  <c r="G62" i="24"/>
  <c r="I58" i="24"/>
  <c r="K58" i="24" s="1"/>
  <c r="G54" i="7"/>
  <c r="G63" i="7" s="1"/>
  <c r="B62" i="24"/>
  <c r="E62" i="24"/>
  <c r="D62" i="24"/>
  <c r="C62" i="24"/>
  <c r="I61" i="24"/>
  <c r="K61" i="24" s="1"/>
  <c r="I59" i="24"/>
  <c r="I60" i="24"/>
  <c r="C44" i="25"/>
  <c r="C53" i="25" s="1"/>
  <c r="E54" i="7"/>
  <c r="D38" i="25"/>
  <c r="D45" i="25" s="1"/>
  <c r="P77" i="4"/>
  <c r="K77" i="4" s="1"/>
  <c r="K80" i="4" s="1"/>
  <c r="K76" i="4"/>
  <c r="K79" i="4" s="1"/>
  <c r="F12" i="54" l="1"/>
  <c r="G7" i="54"/>
  <c r="G7" i="46"/>
  <c r="F12" i="46"/>
  <c r="K53" i="60"/>
  <c r="G7" i="48"/>
  <c r="F12" i="48"/>
  <c r="F12" i="53"/>
  <c r="G7" i="53"/>
  <c r="K60" i="24"/>
  <c r="H55" i="7"/>
  <c r="H54" i="7"/>
  <c r="H56" i="7"/>
  <c r="K132" i="24"/>
  <c r="D90" i="44" s="1"/>
  <c r="Q46" i="4"/>
  <c r="G59" i="33"/>
  <c r="H81" i="24"/>
  <c r="L87" i="24" s="1"/>
  <c r="G86" i="24"/>
  <c r="K86" i="24" s="1"/>
  <c r="N86" i="24" s="1"/>
  <c r="G88" i="24"/>
  <c r="K88" i="24" s="1"/>
  <c r="N88" i="24" s="1"/>
  <c r="G83" i="24"/>
  <c r="K83" i="24" s="1"/>
  <c r="N83" i="24" s="1"/>
  <c r="G85" i="24"/>
  <c r="K85" i="24" s="1"/>
  <c r="N85" i="24" s="1"/>
  <c r="G82" i="24"/>
  <c r="G84" i="24"/>
  <c r="K84" i="24" s="1"/>
  <c r="N84" i="24" s="1"/>
  <c r="G7" i="29"/>
  <c r="F12" i="29"/>
  <c r="G7" i="38"/>
  <c r="F12" i="38"/>
  <c r="G7" i="42"/>
  <c r="F12" i="42"/>
  <c r="G7" i="19"/>
  <c r="F12" i="19"/>
  <c r="F12" i="28"/>
  <c r="G7" i="28"/>
  <c r="H59" i="7"/>
  <c r="H57" i="7"/>
  <c r="H58" i="7"/>
  <c r="C63" i="7"/>
  <c r="R16" i="4"/>
  <c r="R12" i="4"/>
  <c r="R13" i="4"/>
  <c r="R18" i="4"/>
  <c r="R17" i="4"/>
  <c r="R14" i="4"/>
  <c r="P8" i="34"/>
  <c r="AI58" i="34"/>
  <c r="I32" i="24"/>
  <c r="K69" i="24"/>
  <c r="I75" i="24"/>
  <c r="K77" i="24"/>
  <c r="C57" i="25"/>
  <c r="Q77" i="4"/>
  <c r="Q80" i="4" s="1"/>
  <c r="F38" i="25"/>
  <c r="D41" i="25"/>
  <c r="K64" i="24"/>
  <c r="K65" i="24"/>
  <c r="K59" i="24"/>
  <c r="D46" i="25"/>
  <c r="D42" i="25"/>
  <c r="D44" i="25"/>
  <c r="C47" i="25"/>
  <c r="I62" i="24"/>
  <c r="L60" i="24" s="1"/>
  <c r="D43" i="25"/>
  <c r="F8" i="4" l="1"/>
  <c r="D8" i="4"/>
  <c r="G8" i="4"/>
  <c r="E8" i="4"/>
  <c r="G12" i="53"/>
  <c r="H7" i="53"/>
  <c r="G12" i="46"/>
  <c r="H7" i="46"/>
  <c r="G12" i="48"/>
  <c r="H7" i="48"/>
  <c r="G12" i="54"/>
  <c r="H7" i="54"/>
  <c r="L57" i="24"/>
  <c r="L58" i="24"/>
  <c r="L59" i="24"/>
  <c r="L61" i="24"/>
  <c r="L56" i="24"/>
  <c r="D92" i="44"/>
  <c r="D96" i="44"/>
  <c r="D95" i="44"/>
  <c r="D91" i="44"/>
  <c r="G91" i="44"/>
  <c r="G95" i="44"/>
  <c r="G96" i="44"/>
  <c r="G90" i="44"/>
  <c r="G92" i="44"/>
  <c r="G94" i="44"/>
  <c r="G93" i="44"/>
  <c r="D94" i="44"/>
  <c r="D93" i="44"/>
  <c r="D47" i="36"/>
  <c r="F4" i="9"/>
  <c r="G64" i="33"/>
  <c r="N91" i="24"/>
  <c r="K82" i="24"/>
  <c r="G89" i="24"/>
  <c r="H7" i="29"/>
  <c r="G12" i="29"/>
  <c r="G12" i="28"/>
  <c r="H7" i="28"/>
  <c r="G12" i="42"/>
  <c r="H7" i="42"/>
  <c r="H7" i="19"/>
  <c r="G12" i="19"/>
  <c r="H7" i="38"/>
  <c r="G12" i="38"/>
  <c r="H60" i="7"/>
  <c r="F58" i="34"/>
  <c r="G58" i="34" s="1"/>
  <c r="H58" i="34" s="1"/>
  <c r="I58" i="34" s="1"/>
  <c r="J58" i="34" s="1"/>
  <c r="K58" i="34" s="1"/>
  <c r="L58" i="34" s="1"/>
  <c r="M58" i="34" s="1"/>
  <c r="N58" i="34" s="1"/>
  <c r="O58" i="34" s="1"/>
  <c r="P58" i="34" s="1"/>
  <c r="Q58" i="34" s="1"/>
  <c r="R58" i="34" s="1"/>
  <c r="S58" i="34" s="1"/>
  <c r="T58" i="34" s="1"/>
  <c r="U58" i="34" s="1"/>
  <c r="V58" i="34" s="1"/>
  <c r="W58" i="34" s="1"/>
  <c r="X58" i="34" s="1"/>
  <c r="Y58" i="34" s="1"/>
  <c r="Z58" i="34" s="1"/>
  <c r="AA58" i="34" s="1"/>
  <c r="AB58" i="34" s="1"/>
  <c r="AC58" i="34" s="1"/>
  <c r="AD58" i="34" s="1"/>
  <c r="AE58" i="34" s="1"/>
  <c r="AF58" i="34" s="1"/>
  <c r="AG58" i="34" s="1"/>
  <c r="AH58" i="34" s="1"/>
  <c r="D47" i="25"/>
  <c r="O13" i="1"/>
  <c r="W15" i="7"/>
  <c r="R16" i="7"/>
  <c r="I7" i="53" l="1"/>
  <c r="H12" i="53"/>
  <c r="I7" i="54"/>
  <c r="H12" i="54"/>
  <c r="H12" i="48"/>
  <c r="I7" i="48"/>
  <c r="I7" i="46"/>
  <c r="H12" i="46"/>
  <c r="D97" i="44"/>
  <c r="AJ47" i="36"/>
  <c r="E47" i="36"/>
  <c r="K89" i="24"/>
  <c r="N82" i="24"/>
  <c r="N90" i="24"/>
  <c r="I7" i="28"/>
  <c r="H12" i="28"/>
  <c r="I7" i="19"/>
  <c r="H12" i="19"/>
  <c r="I7" i="38"/>
  <c r="H12" i="38"/>
  <c r="I7" i="42"/>
  <c r="H12" i="42"/>
  <c r="I7" i="29"/>
  <c r="H12" i="29"/>
  <c r="N92" i="24"/>
  <c r="J7" i="46" l="1"/>
  <c r="I12" i="46"/>
  <c r="I12" i="48"/>
  <c r="J7" i="48"/>
  <c r="I12" i="54"/>
  <c r="J7" i="54"/>
  <c r="J7" i="53"/>
  <c r="I12" i="53"/>
  <c r="AJ51" i="36"/>
  <c r="AJ70" i="36" s="1"/>
  <c r="AJ48" i="36"/>
  <c r="AK47" i="36"/>
  <c r="AJ49" i="36"/>
  <c r="L88" i="24"/>
  <c r="L86" i="24"/>
  <c r="L85" i="24"/>
  <c r="L84" i="24"/>
  <c r="L83" i="24"/>
  <c r="L82" i="24"/>
  <c r="F47" i="36"/>
  <c r="J7" i="29"/>
  <c r="I12" i="29"/>
  <c r="J7" i="19"/>
  <c r="I12" i="19"/>
  <c r="I12" i="42"/>
  <c r="J7" i="42"/>
  <c r="J7" i="38"/>
  <c r="I12" i="38"/>
  <c r="J7" i="28"/>
  <c r="I12" i="28"/>
  <c r="J12" i="53" l="1"/>
  <c r="K7" i="53"/>
  <c r="K7" i="54"/>
  <c r="J12" i="54"/>
  <c r="J12" i="48"/>
  <c r="K7" i="48"/>
  <c r="K7" i="46"/>
  <c r="J12" i="46"/>
  <c r="G47" i="36"/>
  <c r="AK48" i="36"/>
  <c r="AK51" i="36"/>
  <c r="AK49" i="36"/>
  <c r="AL47" i="36"/>
  <c r="K4" i="4"/>
  <c r="K5" i="4" s="1"/>
  <c r="D40" i="36"/>
  <c r="G4" i="26"/>
  <c r="G5" i="26" s="1"/>
  <c r="G6" i="26" s="1"/>
  <c r="G7" i="26" s="1"/>
  <c r="L90" i="24"/>
  <c r="K4" i="8"/>
  <c r="K5" i="8" s="1"/>
  <c r="K6" i="8" s="1"/>
  <c r="D29" i="36"/>
  <c r="D18" i="36"/>
  <c r="E4" i="3"/>
  <c r="E5" i="3" s="1"/>
  <c r="E7" i="3" s="1"/>
  <c r="E8" i="3" s="1"/>
  <c r="E10" i="3" s="1"/>
  <c r="E11" i="3" s="1"/>
  <c r="E13" i="3" s="1"/>
  <c r="AJ50" i="36"/>
  <c r="J12" i="19"/>
  <c r="K7" i="19"/>
  <c r="K7" i="38"/>
  <c r="J12" i="38"/>
  <c r="J12" i="42"/>
  <c r="K7" i="42"/>
  <c r="J12" i="28"/>
  <c r="K7" i="28"/>
  <c r="K7" i="29"/>
  <c r="J12" i="29"/>
  <c r="D72" i="12"/>
  <c r="D73" i="12"/>
  <c r="D9" i="20"/>
  <c r="D8" i="20"/>
  <c r="X1" i="20"/>
  <c r="N1" i="20"/>
  <c r="D1" i="20"/>
  <c r="D107" i="20" s="1"/>
  <c r="K12" i="46" l="1"/>
  <c r="L7" i="46"/>
  <c r="L7" i="48"/>
  <c r="K12" i="48"/>
  <c r="K12" i="54"/>
  <c r="L7" i="54"/>
  <c r="L7" i="53"/>
  <c r="K12" i="53"/>
  <c r="K6" i="4"/>
  <c r="K7" i="4" s="1"/>
  <c r="AK50" i="36"/>
  <c r="AK52" i="36" s="1"/>
  <c r="AJ52" i="36"/>
  <c r="C39" i="42" s="1"/>
  <c r="AJ69" i="36"/>
  <c r="AJ72" i="36" s="1"/>
  <c r="D36" i="36"/>
  <c r="C36" i="38" s="1"/>
  <c r="AJ29" i="36"/>
  <c r="E29" i="36"/>
  <c r="G8" i="26"/>
  <c r="G9" i="26" s="1"/>
  <c r="AL48" i="36"/>
  <c r="AL51" i="36"/>
  <c r="AL49" i="36"/>
  <c r="AM47" i="36"/>
  <c r="H47" i="36"/>
  <c r="D20" i="36"/>
  <c r="D25" i="36" s="1"/>
  <c r="C37" i="38" s="1"/>
  <c r="E18" i="36"/>
  <c r="AJ18" i="36"/>
  <c r="D56" i="36"/>
  <c r="D59" i="36" s="1"/>
  <c r="K8" i="8"/>
  <c r="K10" i="8"/>
  <c r="K9" i="8"/>
  <c r="K7" i="8"/>
  <c r="E40" i="36"/>
  <c r="D43" i="36"/>
  <c r="C38" i="38" s="1"/>
  <c r="AJ40" i="36"/>
  <c r="L7" i="42"/>
  <c r="K12" i="42"/>
  <c r="L7" i="38"/>
  <c r="K12" i="38"/>
  <c r="L7" i="29"/>
  <c r="K12" i="29"/>
  <c r="K12" i="28"/>
  <c r="L7" i="28"/>
  <c r="K12" i="19"/>
  <c r="L7" i="19"/>
  <c r="E9" i="20"/>
  <c r="E8" i="20"/>
  <c r="D209" i="20"/>
  <c r="X209" i="20"/>
  <c r="N196" i="20"/>
  <c r="N209" i="20"/>
  <c r="D156" i="20"/>
  <c r="D196" i="20"/>
  <c r="N53" i="20"/>
  <c r="N156" i="20"/>
  <c r="X53" i="20"/>
  <c r="X156" i="20"/>
  <c r="D53" i="20"/>
  <c r="X54" i="20"/>
  <c r="X107" i="20"/>
  <c r="N54" i="20"/>
  <c r="N107" i="20"/>
  <c r="D54" i="20"/>
  <c r="O1" i="20"/>
  <c r="Y1" i="20"/>
  <c r="D74" i="12"/>
  <c r="D83" i="12" s="1"/>
  <c r="D7" i="20"/>
  <c r="E1" i="20"/>
  <c r="K8" i="4" l="1"/>
  <c r="M7" i="53"/>
  <c r="L12" i="53"/>
  <c r="L12" i="54"/>
  <c r="M7" i="54"/>
  <c r="L12" i="48"/>
  <c r="M7" i="48"/>
  <c r="M7" i="46"/>
  <c r="L12" i="46"/>
  <c r="AK53" i="36"/>
  <c r="AK94" i="36" s="1"/>
  <c r="D39" i="42"/>
  <c r="D106" i="36"/>
  <c r="C40" i="38"/>
  <c r="AK55" i="36"/>
  <c r="AK90" i="36"/>
  <c r="D62" i="36"/>
  <c r="D60" i="36"/>
  <c r="K11" i="8"/>
  <c r="F40" i="36"/>
  <c r="E42" i="36"/>
  <c r="D28" i="36"/>
  <c r="D84" i="36"/>
  <c r="D26" i="36"/>
  <c r="D87" i="36" s="1"/>
  <c r="I47" i="36"/>
  <c r="AL50" i="36"/>
  <c r="AL52" i="36" s="1"/>
  <c r="E39" i="42" s="1"/>
  <c r="D37" i="36"/>
  <c r="D81" i="36" s="1"/>
  <c r="D77" i="36"/>
  <c r="D39" i="36"/>
  <c r="AJ55" i="36"/>
  <c r="AJ53" i="36"/>
  <c r="AJ94" i="36" s="1"/>
  <c r="AJ90" i="36"/>
  <c r="AM51" i="36"/>
  <c r="AM48" i="36"/>
  <c r="AM49" i="36"/>
  <c r="AN47" i="36"/>
  <c r="AK40" i="36"/>
  <c r="AJ43" i="36"/>
  <c r="C38" i="42" s="1"/>
  <c r="AJ20" i="36"/>
  <c r="AJ25" i="36" s="1"/>
  <c r="C37" i="42" s="1"/>
  <c r="AJ56" i="36"/>
  <c r="AJ59" i="36" s="1"/>
  <c r="E33" i="36"/>
  <c r="E31" i="36"/>
  <c r="E34" i="36"/>
  <c r="E30" i="36"/>
  <c r="F29" i="36"/>
  <c r="D44" i="36"/>
  <c r="D97" i="36"/>
  <c r="D46" i="36"/>
  <c r="AK18" i="36"/>
  <c r="E19" i="36"/>
  <c r="E20" i="36" s="1"/>
  <c r="F18" i="36"/>
  <c r="E56" i="36"/>
  <c r="AJ36" i="36"/>
  <c r="C36" i="42" s="1"/>
  <c r="AK29" i="36"/>
  <c r="M7" i="29"/>
  <c r="L12" i="29"/>
  <c r="M7" i="38"/>
  <c r="L12" i="38"/>
  <c r="M7" i="28"/>
  <c r="L12" i="28"/>
  <c r="L12" i="19"/>
  <c r="M7" i="19"/>
  <c r="L12" i="42"/>
  <c r="M7" i="42"/>
  <c r="X208" i="20"/>
  <c r="D155" i="20"/>
  <c r="D208" i="20"/>
  <c r="N208" i="20"/>
  <c r="D106" i="20"/>
  <c r="X106" i="20"/>
  <c r="N106" i="20"/>
  <c r="N62" i="20"/>
  <c r="N64" i="20"/>
  <c r="N61" i="20"/>
  <c r="N63" i="20"/>
  <c r="D61" i="20"/>
  <c r="D63" i="20"/>
  <c r="D62" i="20"/>
  <c r="D64" i="20"/>
  <c r="X61" i="20"/>
  <c r="X63" i="20"/>
  <c r="X62" i="20"/>
  <c r="X64" i="20"/>
  <c r="F8" i="20"/>
  <c r="F9" i="20"/>
  <c r="D219" i="12"/>
  <c r="D230" i="12" s="1"/>
  <c r="D160" i="20"/>
  <c r="O196" i="20"/>
  <c r="O209" i="20"/>
  <c r="D159" i="20"/>
  <c r="Y156" i="20"/>
  <c r="Y155" i="20" s="1"/>
  <c r="Y209" i="20"/>
  <c r="E196" i="20"/>
  <c r="E209" i="20"/>
  <c r="X155" i="20"/>
  <c r="X159" i="20"/>
  <c r="X160" i="20"/>
  <c r="N155" i="20"/>
  <c r="N160" i="20"/>
  <c r="N159" i="20"/>
  <c r="O53" i="20"/>
  <c r="O156" i="20"/>
  <c r="E53" i="20"/>
  <c r="E156" i="20"/>
  <c r="D111" i="20"/>
  <c r="D110" i="20"/>
  <c r="Y107" i="20"/>
  <c r="Y53" i="20"/>
  <c r="X55" i="20"/>
  <c r="N111" i="20"/>
  <c r="N110" i="20"/>
  <c r="X110" i="20"/>
  <c r="D55" i="20"/>
  <c r="N55" i="20"/>
  <c r="E54" i="20"/>
  <c r="E107" i="20"/>
  <c r="O54" i="20"/>
  <c r="O107" i="20"/>
  <c r="Y54" i="20"/>
  <c r="Z1" i="20"/>
  <c r="P1" i="20"/>
  <c r="E7" i="20"/>
  <c r="F1" i="20"/>
  <c r="K9" i="4" l="1"/>
  <c r="N7" i="46"/>
  <c r="M12" i="46"/>
  <c r="M12" i="48"/>
  <c r="N7" i="48"/>
  <c r="M12" i="54"/>
  <c r="N7" i="54"/>
  <c r="N7" i="53"/>
  <c r="M12" i="53"/>
  <c r="N58" i="48"/>
  <c r="N58" i="46"/>
  <c r="N58" i="42"/>
  <c r="N58" i="38"/>
  <c r="X60" i="48"/>
  <c r="X60" i="46"/>
  <c r="X60" i="42"/>
  <c r="X60" i="38"/>
  <c r="D60" i="48"/>
  <c r="D60" i="46"/>
  <c r="D60" i="42"/>
  <c r="D60" i="38"/>
  <c r="N61" i="48"/>
  <c r="N61" i="46"/>
  <c r="N61" i="42"/>
  <c r="N61" i="38"/>
  <c r="X59" i="48"/>
  <c r="X59" i="46"/>
  <c r="X59" i="42"/>
  <c r="X59" i="38"/>
  <c r="X58" i="48"/>
  <c r="X58" i="46"/>
  <c r="X58" i="42"/>
  <c r="X58" i="38"/>
  <c r="D58" i="48"/>
  <c r="D58" i="46"/>
  <c r="D58" i="42"/>
  <c r="D58" i="38"/>
  <c r="N59" i="48"/>
  <c r="N59" i="46"/>
  <c r="N59" i="42"/>
  <c r="N59" i="38"/>
  <c r="D59" i="48"/>
  <c r="D59" i="46"/>
  <c r="D59" i="42"/>
  <c r="D59" i="38"/>
  <c r="X61" i="48"/>
  <c r="X61" i="46"/>
  <c r="X61" i="42"/>
  <c r="X61" i="38"/>
  <c r="D61" i="48"/>
  <c r="D61" i="46"/>
  <c r="D61" i="42"/>
  <c r="D61" i="38"/>
  <c r="N60" i="46"/>
  <c r="N60" i="48"/>
  <c r="N60" i="42"/>
  <c r="N60" i="38"/>
  <c r="AJ106" i="36"/>
  <c r="C40" i="42"/>
  <c r="AJ60" i="36"/>
  <c r="AJ62" i="36"/>
  <c r="E35" i="36"/>
  <c r="AJ37" i="36"/>
  <c r="AJ81" i="36" s="1"/>
  <c r="AJ39" i="36"/>
  <c r="AJ77" i="36"/>
  <c r="AK19" i="36"/>
  <c r="AK20" i="36" s="1"/>
  <c r="AK56" i="36"/>
  <c r="G29" i="36"/>
  <c r="F30" i="36"/>
  <c r="F33" i="36"/>
  <c r="F31" i="36"/>
  <c r="F34" i="36"/>
  <c r="AJ44" i="36"/>
  <c r="AJ46" i="36"/>
  <c r="AJ97" i="36"/>
  <c r="AN48" i="36"/>
  <c r="AN49" i="36"/>
  <c r="AN51" i="36"/>
  <c r="AO47" i="36"/>
  <c r="E57" i="36"/>
  <c r="E58" i="36"/>
  <c r="AK42" i="36"/>
  <c r="AL40" i="36"/>
  <c r="AK41" i="36"/>
  <c r="AL90" i="36"/>
  <c r="AL55" i="36"/>
  <c r="AL53" i="36"/>
  <c r="AL94" i="36" s="1"/>
  <c r="AL18" i="36"/>
  <c r="G18" i="36"/>
  <c r="F19" i="36"/>
  <c r="F20" i="36" s="1"/>
  <c r="F56" i="36"/>
  <c r="AM50" i="36"/>
  <c r="AM52" i="36" s="1"/>
  <c r="F39" i="42" s="1"/>
  <c r="J47" i="36"/>
  <c r="AK34" i="36"/>
  <c r="AL29" i="36"/>
  <c r="AK31" i="36"/>
  <c r="AK33" i="36"/>
  <c r="AK30" i="36"/>
  <c r="E21" i="36"/>
  <c r="E22" i="36"/>
  <c r="AJ28" i="36"/>
  <c r="AJ84" i="36"/>
  <c r="AJ26" i="36"/>
  <c r="AJ87" i="36" s="1"/>
  <c r="G40" i="36"/>
  <c r="F42" i="36"/>
  <c r="M12" i="28"/>
  <c r="N7" i="28"/>
  <c r="M12" i="42"/>
  <c r="N7" i="42"/>
  <c r="N7" i="19"/>
  <c r="M12" i="19"/>
  <c r="N7" i="38"/>
  <c r="M12" i="38"/>
  <c r="N7" i="29"/>
  <c r="M12" i="29"/>
  <c r="E208" i="20"/>
  <c r="Y208" i="20"/>
  <c r="O208" i="20"/>
  <c r="D166" i="20"/>
  <c r="Y106" i="20"/>
  <c r="O106" i="20"/>
  <c r="E106" i="20"/>
  <c r="O61" i="20"/>
  <c r="O63" i="20"/>
  <c r="O62" i="20"/>
  <c r="O64" i="20"/>
  <c r="Y62" i="20"/>
  <c r="Y64" i="20"/>
  <c r="Y61" i="20"/>
  <c r="Y63" i="20"/>
  <c r="E62" i="20"/>
  <c r="E64" i="20"/>
  <c r="E61" i="20"/>
  <c r="E63" i="20"/>
  <c r="D167" i="20"/>
  <c r="G9" i="20"/>
  <c r="G8" i="20"/>
  <c r="F209" i="20"/>
  <c r="Y159" i="20"/>
  <c r="P196" i="20"/>
  <c r="P209" i="20"/>
  <c r="Y160" i="20"/>
  <c r="Y166" i="20" s="1"/>
  <c r="Z156" i="20"/>
  <c r="Z159" i="20" s="1"/>
  <c r="Z209" i="20"/>
  <c r="F156" i="20"/>
  <c r="F155" i="20" s="1"/>
  <c r="F196" i="20"/>
  <c r="X167" i="20"/>
  <c r="X166" i="20"/>
  <c r="N167" i="20"/>
  <c r="N166" i="20"/>
  <c r="O155" i="20"/>
  <c r="O159" i="20"/>
  <c r="O160" i="20"/>
  <c r="E155" i="20"/>
  <c r="E160" i="20"/>
  <c r="E159" i="20"/>
  <c r="P53" i="20"/>
  <c r="P156" i="20"/>
  <c r="N119" i="20"/>
  <c r="N120" i="20"/>
  <c r="N118" i="20"/>
  <c r="D120" i="20"/>
  <c r="D119" i="20"/>
  <c r="D118" i="20"/>
  <c r="E55" i="20"/>
  <c r="E52" i="20" s="1"/>
  <c r="O55" i="20"/>
  <c r="Y110" i="20"/>
  <c r="N52" i="20"/>
  <c r="X52" i="20"/>
  <c r="D52" i="20"/>
  <c r="Z107" i="20"/>
  <c r="Z53" i="20"/>
  <c r="F107" i="20"/>
  <c r="F53" i="20"/>
  <c r="E111" i="20"/>
  <c r="E110" i="20"/>
  <c r="O111" i="20"/>
  <c r="O110" i="20"/>
  <c r="P54" i="20"/>
  <c r="P107" i="20"/>
  <c r="Y55" i="20"/>
  <c r="Z54" i="20"/>
  <c r="F54" i="20"/>
  <c r="AA1" i="20"/>
  <c r="Q1" i="20"/>
  <c r="F7" i="20"/>
  <c r="G1" i="20"/>
  <c r="O18" i="2"/>
  <c r="D7" i="13"/>
  <c r="E7" i="13"/>
  <c r="O7" i="53" l="1"/>
  <c r="N12" i="53"/>
  <c r="N12" i="54"/>
  <c r="O7" i="54"/>
  <c r="O7" i="48"/>
  <c r="N12" i="48"/>
  <c r="N12" i="46"/>
  <c r="O7" i="46"/>
  <c r="E61" i="48"/>
  <c r="E61" i="46"/>
  <c r="E61" i="42"/>
  <c r="E61" i="38"/>
  <c r="O58" i="48"/>
  <c r="O58" i="46"/>
  <c r="O58" i="42"/>
  <c r="O58" i="38"/>
  <c r="Y61" i="48"/>
  <c r="Y61" i="46"/>
  <c r="Y61" i="42"/>
  <c r="Y61" i="38"/>
  <c r="E59" i="48"/>
  <c r="E59" i="46"/>
  <c r="E59" i="42"/>
  <c r="E59" i="38"/>
  <c r="E60" i="48"/>
  <c r="E60" i="46"/>
  <c r="E60" i="42"/>
  <c r="E60" i="38"/>
  <c r="Y60" i="48"/>
  <c r="Y60" i="46"/>
  <c r="Y60" i="42"/>
  <c r="Y60" i="38"/>
  <c r="O61" i="46"/>
  <c r="O61" i="48"/>
  <c r="O61" i="42"/>
  <c r="O61" i="38"/>
  <c r="O60" i="48"/>
  <c r="O60" i="46"/>
  <c r="O60" i="42"/>
  <c r="O60" i="38"/>
  <c r="Y59" i="48"/>
  <c r="Y59" i="46"/>
  <c r="Y59" i="42"/>
  <c r="Y59" i="38"/>
  <c r="E58" i="48"/>
  <c r="E58" i="46"/>
  <c r="E58" i="42"/>
  <c r="E58" i="38"/>
  <c r="Y58" i="48"/>
  <c r="Y58" i="46"/>
  <c r="Y58" i="42"/>
  <c r="Y58" i="38"/>
  <c r="O59" i="48"/>
  <c r="O59" i="46"/>
  <c r="O59" i="42"/>
  <c r="O59" i="38"/>
  <c r="F35" i="36"/>
  <c r="AJ73" i="36"/>
  <c r="AJ75" i="36"/>
  <c r="AK35" i="36"/>
  <c r="E23" i="36"/>
  <c r="E25" i="36" s="1"/>
  <c r="E26" i="36" s="1"/>
  <c r="E87" i="36" s="1"/>
  <c r="AK32" i="36"/>
  <c r="F58" i="36"/>
  <c r="F57" i="36"/>
  <c r="AK43" i="36"/>
  <c r="D38" i="42" s="1"/>
  <c r="AO49" i="36"/>
  <c r="AP47" i="36"/>
  <c r="AO48" i="36"/>
  <c r="AO51" i="36"/>
  <c r="H40" i="36"/>
  <c r="G42" i="36"/>
  <c r="AM29" i="36"/>
  <c r="AL33" i="36"/>
  <c r="AL34" i="36"/>
  <c r="AL30" i="36"/>
  <c r="AL31" i="36"/>
  <c r="AL41" i="36"/>
  <c r="AM40" i="36"/>
  <c r="AL42" i="36"/>
  <c r="AK58" i="36"/>
  <c r="AK57" i="36"/>
  <c r="K47" i="36"/>
  <c r="G19" i="36"/>
  <c r="G20" i="36" s="1"/>
  <c r="H18" i="36"/>
  <c r="AM18" i="36"/>
  <c r="G56" i="36"/>
  <c r="E59" i="36"/>
  <c r="D40" i="38" s="1"/>
  <c r="AK21" i="36"/>
  <c r="AK22" i="36"/>
  <c r="AM90" i="36"/>
  <c r="AM53" i="36"/>
  <c r="AM94" i="36" s="1"/>
  <c r="AM55" i="36"/>
  <c r="F21" i="36"/>
  <c r="F22" i="36"/>
  <c r="AL19" i="36"/>
  <c r="AL20" i="36" s="1"/>
  <c r="AL56" i="36"/>
  <c r="AN50" i="36"/>
  <c r="AN52" i="36" s="1"/>
  <c r="G39" i="42" s="1"/>
  <c r="H29" i="36"/>
  <c r="G30" i="36"/>
  <c r="G33" i="36"/>
  <c r="G34" i="36"/>
  <c r="G31" i="36"/>
  <c r="O7" i="19"/>
  <c r="N12" i="19"/>
  <c r="O7" i="38"/>
  <c r="N12" i="38"/>
  <c r="O7" i="42"/>
  <c r="N12" i="42"/>
  <c r="N12" i="28"/>
  <c r="O7" i="28"/>
  <c r="O7" i="29"/>
  <c r="N12" i="29"/>
  <c r="P208" i="20"/>
  <c r="Z208" i="20"/>
  <c r="F208" i="20"/>
  <c r="P106" i="20"/>
  <c r="Z106" i="20"/>
  <c r="F111" i="20"/>
  <c r="F119" i="20" s="1"/>
  <c r="F62" i="20"/>
  <c r="F64" i="20"/>
  <c r="F61" i="20"/>
  <c r="F63" i="20"/>
  <c r="P61" i="20"/>
  <c r="P63" i="20"/>
  <c r="P62" i="20"/>
  <c r="P64" i="20"/>
  <c r="Z62" i="20"/>
  <c r="Z64" i="20"/>
  <c r="Z61" i="20"/>
  <c r="Z63" i="20"/>
  <c r="H8" i="20"/>
  <c r="H9" i="20"/>
  <c r="G209" i="20"/>
  <c r="F160" i="20"/>
  <c r="F167" i="20" s="1"/>
  <c r="Y167" i="20"/>
  <c r="Z155" i="20"/>
  <c r="F159" i="20"/>
  <c r="Z160" i="20"/>
  <c r="Z167" i="20" s="1"/>
  <c r="Q196" i="20"/>
  <c r="Q209" i="20"/>
  <c r="AA156" i="20"/>
  <c r="AA159" i="20" s="1"/>
  <c r="AA209" i="20"/>
  <c r="G156" i="20"/>
  <c r="G155" i="20" s="1"/>
  <c r="G196" i="20"/>
  <c r="E167" i="20"/>
  <c r="E166" i="20"/>
  <c r="O167" i="20"/>
  <c r="O166" i="20"/>
  <c r="P155" i="20"/>
  <c r="P159" i="20"/>
  <c r="P160" i="20"/>
  <c r="Q53" i="20"/>
  <c r="Q156" i="20"/>
  <c r="P55" i="20"/>
  <c r="Z110" i="20"/>
  <c r="O52" i="20"/>
  <c r="O119" i="20"/>
  <c r="O120" i="20"/>
  <c r="O118" i="20"/>
  <c r="E120" i="20"/>
  <c r="E119" i="20"/>
  <c r="E118" i="20"/>
  <c r="Y52" i="20"/>
  <c r="F110" i="20"/>
  <c r="F106" i="20"/>
  <c r="G107" i="20"/>
  <c r="G53" i="20"/>
  <c r="AA107" i="20"/>
  <c r="AA53" i="20"/>
  <c r="P110" i="20"/>
  <c r="P111" i="20"/>
  <c r="Q54" i="20"/>
  <c r="Q107" i="20"/>
  <c r="F55" i="20"/>
  <c r="Z55" i="20"/>
  <c r="AA54" i="20"/>
  <c r="G54" i="20"/>
  <c r="AB1" i="20"/>
  <c r="R1" i="20"/>
  <c r="H1" i="20"/>
  <c r="G7" i="20"/>
  <c r="O12" i="46" l="1"/>
  <c r="P7" i="46"/>
  <c r="O12" i="48"/>
  <c r="P7" i="48"/>
  <c r="O12" i="54"/>
  <c r="P7" i="54"/>
  <c r="O12" i="53"/>
  <c r="P7" i="53"/>
  <c r="Z59" i="48"/>
  <c r="Z59" i="46"/>
  <c r="Z59" i="42"/>
  <c r="Z59" i="38"/>
  <c r="F59" i="48"/>
  <c r="F59" i="46"/>
  <c r="F59" i="42"/>
  <c r="F59" i="38"/>
  <c r="P61" i="48"/>
  <c r="P61" i="46"/>
  <c r="P61" i="42"/>
  <c r="P61" i="38"/>
  <c r="Z58" i="48"/>
  <c r="Z58" i="46"/>
  <c r="Z58" i="42"/>
  <c r="Z58" i="38"/>
  <c r="P59" i="48"/>
  <c r="P59" i="46"/>
  <c r="P59" i="42"/>
  <c r="P59" i="38"/>
  <c r="F58" i="48"/>
  <c r="F58" i="46"/>
  <c r="F58" i="42"/>
  <c r="F58" i="38"/>
  <c r="P58" i="46"/>
  <c r="P58" i="48"/>
  <c r="P58" i="42"/>
  <c r="P58" i="38"/>
  <c r="Z60" i="48"/>
  <c r="Z60" i="46"/>
  <c r="Z60" i="42"/>
  <c r="Z60" i="38"/>
  <c r="F60" i="48"/>
  <c r="F60" i="46"/>
  <c r="F60" i="42"/>
  <c r="F60" i="38"/>
  <c r="Z61" i="48"/>
  <c r="Z61" i="46"/>
  <c r="Z61" i="42"/>
  <c r="Z61" i="38"/>
  <c r="P60" i="48"/>
  <c r="P60" i="46"/>
  <c r="P60" i="42"/>
  <c r="P60" i="38"/>
  <c r="F61" i="48"/>
  <c r="F61" i="46"/>
  <c r="F61" i="42"/>
  <c r="F61" i="38"/>
  <c r="E84" i="36"/>
  <c r="D37" i="38"/>
  <c r="E28" i="36"/>
  <c r="F23" i="36"/>
  <c r="F25" i="36" s="1"/>
  <c r="G35" i="36"/>
  <c r="AK70" i="36"/>
  <c r="AL32" i="36"/>
  <c r="AK36" i="36"/>
  <c r="D36" i="42" s="1"/>
  <c r="AK23" i="36"/>
  <c r="AK69" i="36" s="1"/>
  <c r="AL43" i="36"/>
  <c r="E38" i="42" s="1"/>
  <c r="AL35" i="36"/>
  <c r="G58" i="36"/>
  <c r="G57" i="36"/>
  <c r="AM42" i="36"/>
  <c r="AM41" i="36"/>
  <c r="AN40" i="36"/>
  <c r="AP48" i="36"/>
  <c r="AQ47" i="36"/>
  <c r="AP49" i="36"/>
  <c r="AP51" i="36"/>
  <c r="F59" i="36"/>
  <c r="E40" i="38" s="1"/>
  <c r="H33" i="36"/>
  <c r="H34" i="36"/>
  <c r="H31" i="36"/>
  <c r="I29" i="36"/>
  <c r="H30" i="36"/>
  <c r="AL21" i="36"/>
  <c r="AL22" i="36"/>
  <c r="E62" i="36"/>
  <c r="E60" i="36"/>
  <c r="AM19" i="36"/>
  <c r="AM20" i="36" s="1"/>
  <c r="AM56" i="36"/>
  <c r="AN90" i="36"/>
  <c r="AN53" i="36"/>
  <c r="AN94" i="36" s="1"/>
  <c r="AN55" i="36"/>
  <c r="AL57" i="36"/>
  <c r="AL58" i="36"/>
  <c r="I18" i="36"/>
  <c r="H19" i="36"/>
  <c r="H20" i="36" s="1"/>
  <c r="AN18" i="36"/>
  <c r="H56" i="36"/>
  <c r="AK59" i="36"/>
  <c r="D40" i="42" s="1"/>
  <c r="AM30" i="36"/>
  <c r="AM31" i="36"/>
  <c r="AM33" i="36"/>
  <c r="AN29" i="36"/>
  <c r="AM34" i="36"/>
  <c r="I40" i="36"/>
  <c r="H42" i="36"/>
  <c r="G22" i="36"/>
  <c r="G21" i="36"/>
  <c r="L47" i="36"/>
  <c r="AO50" i="36"/>
  <c r="AO52" i="36" s="1"/>
  <c r="H39" i="42" s="1"/>
  <c r="AK97" i="36"/>
  <c r="AK46" i="36"/>
  <c r="AK44" i="36"/>
  <c r="P7" i="29"/>
  <c r="O12" i="29"/>
  <c r="P7" i="38"/>
  <c r="O12" i="38"/>
  <c r="O12" i="28"/>
  <c r="P7" i="28"/>
  <c r="P7" i="42"/>
  <c r="O12" i="42"/>
  <c r="O12" i="19"/>
  <c r="P7" i="19"/>
  <c r="AA208" i="20"/>
  <c r="G208" i="20"/>
  <c r="Q208" i="20"/>
  <c r="F120" i="20"/>
  <c r="F118" i="20"/>
  <c r="Q106" i="20"/>
  <c r="G62" i="20"/>
  <c r="G64" i="20"/>
  <c r="G63" i="20"/>
  <c r="G61" i="20"/>
  <c r="AA63" i="20"/>
  <c r="AA62" i="20"/>
  <c r="AA64" i="20"/>
  <c r="AA61" i="20"/>
  <c r="Q62" i="20"/>
  <c r="Q61" i="20"/>
  <c r="Q63" i="20"/>
  <c r="Q64" i="20"/>
  <c r="I9" i="20"/>
  <c r="I8" i="20"/>
  <c r="AB209" i="20"/>
  <c r="H209" i="20"/>
  <c r="F166" i="20"/>
  <c r="AA155" i="20"/>
  <c r="Z166" i="20"/>
  <c r="G160" i="20"/>
  <c r="G166" i="20" s="1"/>
  <c r="G159" i="20"/>
  <c r="R196" i="20"/>
  <c r="R209" i="20"/>
  <c r="AA160" i="20"/>
  <c r="AA167" i="20" s="1"/>
  <c r="H156" i="20"/>
  <c r="H159" i="20" s="1"/>
  <c r="H196" i="20"/>
  <c r="P167" i="20"/>
  <c r="P166" i="20"/>
  <c r="Q155" i="20"/>
  <c r="Q160" i="20"/>
  <c r="Q159" i="20"/>
  <c r="P52" i="20"/>
  <c r="AB53" i="20"/>
  <c r="AB156" i="20"/>
  <c r="R53" i="20"/>
  <c r="R156" i="20"/>
  <c r="P120" i="20"/>
  <c r="P119" i="20"/>
  <c r="P118" i="20"/>
  <c r="F52" i="20"/>
  <c r="G111" i="20"/>
  <c r="G106" i="20"/>
  <c r="Z52" i="20"/>
  <c r="G110" i="20"/>
  <c r="AA110" i="20"/>
  <c r="AA106" i="20"/>
  <c r="H107" i="20"/>
  <c r="H53" i="20"/>
  <c r="Q55" i="20"/>
  <c r="Q110" i="20"/>
  <c r="Q111" i="20"/>
  <c r="AC1" i="20"/>
  <c r="G55" i="20"/>
  <c r="R54" i="20"/>
  <c r="R107" i="20"/>
  <c r="AB107" i="20"/>
  <c r="AA55" i="20"/>
  <c r="AB54" i="20"/>
  <c r="H54" i="20"/>
  <c r="S1" i="20"/>
  <c r="D10" i="20"/>
  <c r="D11" i="20"/>
  <c r="H7" i="20"/>
  <c r="I1" i="20"/>
  <c r="P12" i="53" l="1"/>
  <c r="Q7" i="53"/>
  <c r="Q7" i="54"/>
  <c r="P12" i="54"/>
  <c r="P12" i="48"/>
  <c r="Q7" i="48"/>
  <c r="P12" i="46"/>
  <c r="Q7" i="46"/>
  <c r="G58" i="48"/>
  <c r="G58" i="46"/>
  <c r="G58" i="42"/>
  <c r="G58" i="38"/>
  <c r="G60" i="48"/>
  <c r="G60" i="46"/>
  <c r="G60" i="42"/>
  <c r="G60" i="38"/>
  <c r="Q61" i="48"/>
  <c r="Q61" i="46"/>
  <c r="Q61" i="42"/>
  <c r="Q61" i="38"/>
  <c r="AA58" i="48"/>
  <c r="AA58" i="46"/>
  <c r="AA58" i="42"/>
  <c r="AA58" i="38"/>
  <c r="Q60" i="48"/>
  <c r="Q60" i="46"/>
  <c r="Q60" i="42"/>
  <c r="Q60" i="38"/>
  <c r="AA61" i="48"/>
  <c r="AA61" i="46"/>
  <c r="AA61" i="42"/>
  <c r="AA61" i="38"/>
  <c r="Q58" i="48"/>
  <c r="Q58" i="46"/>
  <c r="Q58" i="42"/>
  <c r="Q58" i="38"/>
  <c r="AA59" i="48"/>
  <c r="AA59" i="46"/>
  <c r="AA59" i="42"/>
  <c r="AA59" i="38"/>
  <c r="G61" i="48"/>
  <c r="G61" i="46"/>
  <c r="G61" i="42"/>
  <c r="G61" i="38"/>
  <c r="Q59" i="48"/>
  <c r="Q59" i="46"/>
  <c r="Q59" i="42"/>
  <c r="Q59" i="38"/>
  <c r="AA60" i="48"/>
  <c r="AA60" i="46"/>
  <c r="AA60" i="42"/>
  <c r="AA60" i="38"/>
  <c r="G59" i="48"/>
  <c r="G59" i="46"/>
  <c r="G59" i="42"/>
  <c r="G59" i="38"/>
  <c r="F28" i="36"/>
  <c r="E37" i="38"/>
  <c r="F84" i="36"/>
  <c r="AL70" i="36"/>
  <c r="AP50" i="36"/>
  <c r="AP52" i="36" s="1"/>
  <c r="I39" i="42" s="1"/>
  <c r="AL23" i="36"/>
  <c r="AL25" i="36" s="1"/>
  <c r="E37" i="42" s="1"/>
  <c r="F26" i="36"/>
  <c r="F87" i="36" s="1"/>
  <c r="AK25" i="36"/>
  <c r="D37" i="42" s="1"/>
  <c r="AL59" i="36"/>
  <c r="E40" i="42" s="1"/>
  <c r="H35" i="36"/>
  <c r="AL36" i="36"/>
  <c r="E36" i="42" s="1"/>
  <c r="AM35" i="36"/>
  <c r="AK37" i="36"/>
  <c r="AK81" i="36" s="1"/>
  <c r="AK39" i="36"/>
  <c r="AK77" i="36"/>
  <c r="AL97" i="36"/>
  <c r="AL44" i="36"/>
  <c r="AL46" i="36"/>
  <c r="AM32" i="36"/>
  <c r="G23" i="36"/>
  <c r="G25" i="36" s="1"/>
  <c r="AO40" i="36"/>
  <c r="AN42" i="36"/>
  <c r="AN41" i="36"/>
  <c r="AO90" i="36"/>
  <c r="AO53" i="36"/>
  <c r="AO94" i="36" s="1"/>
  <c r="AO55" i="36"/>
  <c r="M47" i="36"/>
  <c r="H21" i="36"/>
  <c r="H22" i="36"/>
  <c r="AO18" i="36"/>
  <c r="J18" i="36"/>
  <c r="I19" i="36"/>
  <c r="I20" i="36" s="1"/>
  <c r="I56" i="36"/>
  <c r="J29" i="36"/>
  <c r="I33" i="36"/>
  <c r="I31" i="36"/>
  <c r="I30" i="36"/>
  <c r="I34" i="36"/>
  <c r="AM43" i="36"/>
  <c r="F38" i="42" s="1"/>
  <c r="H58" i="36"/>
  <c r="H57" i="36"/>
  <c r="AM21" i="36"/>
  <c r="AM22" i="36"/>
  <c r="AQ49" i="36"/>
  <c r="AR47" i="36"/>
  <c r="AQ51" i="36"/>
  <c r="AQ48" i="36"/>
  <c r="J40" i="36"/>
  <c r="I42" i="36"/>
  <c r="AN30" i="36"/>
  <c r="AN31" i="36"/>
  <c r="AO29" i="36"/>
  <c r="AN34" i="36"/>
  <c r="AN33" i="36"/>
  <c r="AK60" i="36"/>
  <c r="AK62" i="36"/>
  <c r="AN19" i="36"/>
  <c r="AN20" i="36" s="1"/>
  <c r="AN56" i="36"/>
  <c r="AM57" i="36"/>
  <c r="AM58" i="36"/>
  <c r="F62" i="36"/>
  <c r="F60" i="36"/>
  <c r="G59" i="36"/>
  <c r="F40" i="38" s="1"/>
  <c r="P12" i="42"/>
  <c r="Q7" i="42"/>
  <c r="P12" i="28"/>
  <c r="Q7" i="28"/>
  <c r="Q7" i="38"/>
  <c r="P12" i="38"/>
  <c r="P12" i="19"/>
  <c r="Q7" i="19"/>
  <c r="Q7" i="29"/>
  <c r="P12" i="29"/>
  <c r="H208" i="20"/>
  <c r="R208" i="20"/>
  <c r="AB208" i="20"/>
  <c r="R106" i="20"/>
  <c r="AB106" i="20"/>
  <c r="H61" i="20"/>
  <c r="H63" i="20"/>
  <c r="H62" i="20"/>
  <c r="H64" i="20"/>
  <c r="AB61" i="20"/>
  <c r="AB63" i="20"/>
  <c r="AB62" i="20"/>
  <c r="AB64" i="20"/>
  <c r="R62" i="20"/>
  <c r="R64" i="20"/>
  <c r="R61" i="20"/>
  <c r="R63" i="20"/>
  <c r="J8" i="20"/>
  <c r="J9" i="20"/>
  <c r="I209" i="20"/>
  <c r="G167" i="20"/>
  <c r="H155" i="20"/>
  <c r="AA166" i="20"/>
  <c r="S196" i="20"/>
  <c r="S209" i="20"/>
  <c r="H160" i="20"/>
  <c r="H167" i="20" s="1"/>
  <c r="AC156" i="20"/>
  <c r="AC155" i="20" s="1"/>
  <c r="AC209" i="20"/>
  <c r="I156" i="20"/>
  <c r="I159" i="20" s="1"/>
  <c r="I196" i="20"/>
  <c r="Q167" i="20"/>
  <c r="Q166" i="20"/>
  <c r="R155" i="20"/>
  <c r="R159" i="20"/>
  <c r="R160" i="20"/>
  <c r="AB155" i="20"/>
  <c r="AB159" i="20"/>
  <c r="AB160" i="20"/>
  <c r="S53" i="20"/>
  <c r="S156" i="20"/>
  <c r="G119" i="20"/>
  <c r="G120" i="20"/>
  <c r="G118" i="20"/>
  <c r="Q120" i="20"/>
  <c r="Q119" i="20"/>
  <c r="Q118" i="20"/>
  <c r="H110" i="20"/>
  <c r="H106" i="20"/>
  <c r="Q52" i="20"/>
  <c r="G52" i="20"/>
  <c r="AA52" i="20"/>
  <c r="H55" i="20"/>
  <c r="H111" i="20"/>
  <c r="I107" i="20"/>
  <c r="I53" i="20"/>
  <c r="AC107" i="20"/>
  <c r="AC53" i="20"/>
  <c r="AB110" i="20"/>
  <c r="R111" i="20"/>
  <c r="R110" i="20"/>
  <c r="AD1" i="20"/>
  <c r="AC54" i="20"/>
  <c r="R55" i="20"/>
  <c r="S54" i="20"/>
  <c r="S107" i="20"/>
  <c r="AB55" i="20"/>
  <c r="I54" i="20"/>
  <c r="T1" i="20"/>
  <c r="E11" i="20"/>
  <c r="E10" i="20"/>
  <c r="D12" i="20"/>
  <c r="J1" i="20"/>
  <c r="I7" i="20"/>
  <c r="AL84" i="36" l="1"/>
  <c r="AM36" i="36"/>
  <c r="AM77" i="36" s="1"/>
  <c r="R7" i="46"/>
  <c r="Q12" i="46"/>
  <c r="Q12" i="48"/>
  <c r="R7" i="48"/>
  <c r="R7" i="54"/>
  <c r="Q12" i="54"/>
  <c r="Q12" i="53"/>
  <c r="R7" i="53"/>
  <c r="AM70" i="36"/>
  <c r="AL69" i="36"/>
  <c r="AB59" i="48"/>
  <c r="AB59" i="46"/>
  <c r="AB59" i="42"/>
  <c r="AB59" i="38"/>
  <c r="R61" i="48"/>
  <c r="R61" i="46"/>
  <c r="R61" i="42"/>
  <c r="R61" i="38"/>
  <c r="AB60" i="48"/>
  <c r="AB60" i="46"/>
  <c r="AB60" i="42"/>
  <c r="AB60" i="38"/>
  <c r="H60" i="48"/>
  <c r="H60" i="46"/>
  <c r="H60" i="42"/>
  <c r="H60" i="38"/>
  <c r="R58" i="48"/>
  <c r="R58" i="46"/>
  <c r="R58" i="42"/>
  <c r="R58" i="38"/>
  <c r="H59" i="48"/>
  <c r="H59" i="46"/>
  <c r="H59" i="42"/>
  <c r="H59" i="38"/>
  <c r="R59" i="48"/>
  <c r="R59" i="46"/>
  <c r="R59" i="42"/>
  <c r="R59" i="38"/>
  <c r="AB58" i="48"/>
  <c r="AB58" i="46"/>
  <c r="AB58" i="42"/>
  <c r="AB58" i="38"/>
  <c r="H58" i="48"/>
  <c r="H58" i="46"/>
  <c r="H58" i="42"/>
  <c r="H58" i="38"/>
  <c r="R60" i="48"/>
  <c r="R60" i="46"/>
  <c r="R60" i="42"/>
  <c r="R60" i="38"/>
  <c r="AB61" i="48"/>
  <c r="AB61" i="46"/>
  <c r="AB61" i="42"/>
  <c r="AB61" i="38"/>
  <c r="H61" i="48"/>
  <c r="H61" i="46"/>
  <c r="H61" i="42"/>
  <c r="H61" i="38"/>
  <c r="AK84" i="36"/>
  <c r="AK26" i="36"/>
  <c r="AK87" i="36" s="1"/>
  <c r="AK28" i="36"/>
  <c r="G26" i="36"/>
  <c r="G87" i="36" s="1"/>
  <c r="F37" i="38"/>
  <c r="AQ50" i="36"/>
  <c r="AQ52" i="36" s="1"/>
  <c r="H59" i="36"/>
  <c r="AL28" i="36"/>
  <c r="AL26" i="36"/>
  <c r="AL87" i="36" s="1"/>
  <c r="G84" i="36"/>
  <c r="AL60" i="36"/>
  <c r="AL62" i="36"/>
  <c r="G28" i="36"/>
  <c r="H23" i="36"/>
  <c r="H25" i="36" s="1"/>
  <c r="AM23" i="36"/>
  <c r="AM25" i="36" s="1"/>
  <c r="AN43" i="36"/>
  <c r="I35" i="36"/>
  <c r="AN32" i="36"/>
  <c r="AL37" i="36"/>
  <c r="AL81" i="36" s="1"/>
  <c r="AL39" i="36"/>
  <c r="AL77" i="36"/>
  <c r="AN35" i="36"/>
  <c r="AN58" i="36"/>
  <c r="AN57" i="36"/>
  <c r="AP90" i="36"/>
  <c r="AP53" i="36"/>
  <c r="AP94" i="36" s="1"/>
  <c r="AP55" i="36"/>
  <c r="AM59" i="36"/>
  <c r="F40" i="42" s="1"/>
  <c r="K40" i="36"/>
  <c r="J42" i="36"/>
  <c r="J34" i="36"/>
  <c r="J31" i="36"/>
  <c r="J33" i="36"/>
  <c r="J30" i="36"/>
  <c r="K29" i="36"/>
  <c r="AP18" i="36"/>
  <c r="J19" i="36"/>
  <c r="J20" i="36" s="1"/>
  <c r="K18" i="36"/>
  <c r="J56" i="36"/>
  <c r="AM46" i="36"/>
  <c r="AM44" i="36"/>
  <c r="AM97" i="36"/>
  <c r="I22" i="36"/>
  <c r="I21" i="36"/>
  <c r="AO19" i="36"/>
  <c r="AO20" i="36" s="1"/>
  <c r="AO56" i="36"/>
  <c r="AN22" i="36"/>
  <c r="AN21" i="36"/>
  <c r="I58" i="36"/>
  <c r="I57" i="36"/>
  <c r="N47" i="36"/>
  <c r="G60" i="36"/>
  <c r="G62" i="36"/>
  <c r="AO33" i="36"/>
  <c r="AO31" i="36"/>
  <c r="AP29" i="36"/>
  <c r="AO34" i="36"/>
  <c r="AO30" i="36"/>
  <c r="AR49" i="36"/>
  <c r="AR51" i="36"/>
  <c r="AS47" i="36"/>
  <c r="AR48" i="36"/>
  <c r="H60" i="36"/>
  <c r="AO41" i="36"/>
  <c r="AO42" i="36"/>
  <c r="AP40" i="36"/>
  <c r="R7" i="29"/>
  <c r="Q12" i="29"/>
  <c r="Q12" i="19"/>
  <c r="R7" i="19"/>
  <c r="R7" i="38"/>
  <c r="Q12" i="38"/>
  <c r="Q12" i="42"/>
  <c r="R7" i="42"/>
  <c r="Q12" i="28"/>
  <c r="R7" i="28"/>
  <c r="S208" i="20"/>
  <c r="AC208" i="20"/>
  <c r="I208" i="20"/>
  <c r="AC106" i="20"/>
  <c r="I106" i="20"/>
  <c r="S106" i="20"/>
  <c r="S62" i="20"/>
  <c r="S64" i="20"/>
  <c r="S63" i="20"/>
  <c r="S61" i="20"/>
  <c r="I61" i="20"/>
  <c r="I63" i="20"/>
  <c r="I62" i="20"/>
  <c r="I64" i="20"/>
  <c r="AC61" i="20"/>
  <c r="AC63" i="20"/>
  <c r="AC62" i="20"/>
  <c r="AC64" i="20"/>
  <c r="K9" i="20"/>
  <c r="K8" i="20"/>
  <c r="AD209" i="20"/>
  <c r="J209" i="20"/>
  <c r="AC159" i="20"/>
  <c r="I155" i="20"/>
  <c r="H166" i="20"/>
  <c r="I160" i="20"/>
  <c r="I167" i="20" s="1"/>
  <c r="T196" i="20"/>
  <c r="T209" i="20"/>
  <c r="AC160" i="20"/>
  <c r="AC166" i="20" s="1"/>
  <c r="J156" i="20"/>
  <c r="J155" i="20" s="1"/>
  <c r="J196" i="20"/>
  <c r="R167" i="20"/>
  <c r="R166" i="20"/>
  <c r="AB167" i="20"/>
  <c r="AB166" i="20"/>
  <c r="S155" i="20"/>
  <c r="S159" i="20"/>
  <c r="S160" i="20"/>
  <c r="AE1" i="20"/>
  <c r="AE54" i="20" s="1"/>
  <c r="AD156" i="20"/>
  <c r="T53" i="20"/>
  <c r="T156" i="20"/>
  <c r="I110" i="20"/>
  <c r="H120" i="20"/>
  <c r="H119" i="20"/>
  <c r="H118" i="20"/>
  <c r="R119" i="20"/>
  <c r="R120" i="20"/>
  <c r="R118" i="20"/>
  <c r="I111" i="20"/>
  <c r="AC110" i="20"/>
  <c r="AB52" i="20"/>
  <c r="R52" i="20"/>
  <c r="H52" i="20"/>
  <c r="AC55" i="20"/>
  <c r="AD107" i="20"/>
  <c r="AD53" i="20"/>
  <c r="J107" i="20"/>
  <c r="J53" i="20"/>
  <c r="S111" i="20"/>
  <c r="S110" i="20"/>
  <c r="I55" i="20"/>
  <c r="S55" i="20"/>
  <c r="AD54" i="20"/>
  <c r="T54" i="20"/>
  <c r="T107" i="20"/>
  <c r="J54" i="20"/>
  <c r="U1" i="20"/>
  <c r="F11" i="20"/>
  <c r="F10" i="20"/>
  <c r="E12" i="20"/>
  <c r="J7" i="20"/>
  <c r="K1" i="20"/>
  <c r="AM39" i="36" l="1"/>
  <c r="F36" i="42"/>
  <c r="AM37" i="36"/>
  <c r="AM81" i="36" s="1"/>
  <c r="S7" i="53"/>
  <c r="R12" i="53"/>
  <c r="R12" i="54"/>
  <c r="S7" i="54"/>
  <c r="R12" i="48"/>
  <c r="S7" i="48"/>
  <c r="S7" i="46"/>
  <c r="R12" i="46"/>
  <c r="AN36" i="36"/>
  <c r="G36" i="42" s="1"/>
  <c r="AC59" i="46"/>
  <c r="AC59" i="48"/>
  <c r="AC59" i="42"/>
  <c r="AC59" i="38"/>
  <c r="S60" i="48"/>
  <c r="S60" i="46"/>
  <c r="S60" i="42"/>
  <c r="S60" i="38"/>
  <c r="AC60" i="48"/>
  <c r="AC60" i="46"/>
  <c r="AC60" i="42"/>
  <c r="AC60" i="38"/>
  <c r="S61" i="48"/>
  <c r="S61" i="46"/>
  <c r="S61" i="42"/>
  <c r="S61" i="38"/>
  <c r="AC58" i="48"/>
  <c r="AC58" i="46"/>
  <c r="AC58" i="42"/>
  <c r="AC58" i="38"/>
  <c r="I58" i="48"/>
  <c r="I58" i="46"/>
  <c r="I58" i="42"/>
  <c r="I58" i="38"/>
  <c r="S59" i="48"/>
  <c r="S59" i="46"/>
  <c r="S59" i="42"/>
  <c r="S59" i="38"/>
  <c r="I59" i="46"/>
  <c r="I59" i="48"/>
  <c r="I59" i="42"/>
  <c r="I59" i="38"/>
  <c r="I60" i="48"/>
  <c r="I60" i="46"/>
  <c r="I60" i="42"/>
  <c r="I60" i="38"/>
  <c r="AC61" i="48"/>
  <c r="AC61" i="46"/>
  <c r="AC61" i="42"/>
  <c r="AC61" i="38"/>
  <c r="I61" i="48"/>
  <c r="I61" i="46"/>
  <c r="I61" i="42"/>
  <c r="I61" i="38"/>
  <c r="S58" i="48"/>
  <c r="S58" i="46"/>
  <c r="S58" i="42"/>
  <c r="S58" i="38"/>
  <c r="AN97" i="36"/>
  <c r="G38" i="42"/>
  <c r="AQ90" i="36"/>
  <c r="J39" i="42"/>
  <c r="AM28" i="36"/>
  <c r="F37" i="42"/>
  <c r="H62" i="36"/>
  <c r="G40" i="38"/>
  <c r="H28" i="36"/>
  <c r="G37" i="38"/>
  <c r="AQ55" i="36"/>
  <c r="AQ53" i="36"/>
  <c r="AQ94" i="36" s="1"/>
  <c r="AR50" i="36"/>
  <c r="AR52" i="36" s="1"/>
  <c r="H84" i="36"/>
  <c r="I23" i="36"/>
  <c r="I25" i="36" s="1"/>
  <c r="H37" i="38" s="1"/>
  <c r="H26" i="36"/>
  <c r="H87" i="36" s="1"/>
  <c r="AM26" i="36"/>
  <c r="AM87" i="36" s="1"/>
  <c r="AM84" i="36"/>
  <c r="AM69" i="36"/>
  <c r="AN59" i="36"/>
  <c r="AN60" i="36" s="1"/>
  <c r="AN44" i="36"/>
  <c r="AN46" i="36"/>
  <c r="AO32" i="36"/>
  <c r="AO35" i="36"/>
  <c r="J35" i="36"/>
  <c r="I59" i="36"/>
  <c r="AN23" i="36"/>
  <c r="AN69" i="36" s="1"/>
  <c r="AQ18" i="36"/>
  <c r="L18" i="36"/>
  <c r="K19" i="36"/>
  <c r="K20" i="36" s="1"/>
  <c r="K56" i="36"/>
  <c r="K42" i="36"/>
  <c r="L40" i="36"/>
  <c r="AO43" i="36"/>
  <c r="H38" i="42" s="1"/>
  <c r="J22" i="36"/>
  <c r="J21" i="36"/>
  <c r="AM60" i="36"/>
  <c r="AM62" i="36"/>
  <c r="AN70" i="36"/>
  <c r="AO57" i="36"/>
  <c r="AO58" i="36"/>
  <c r="AP19" i="36"/>
  <c r="AP20" i="36" s="1"/>
  <c r="AP56" i="36"/>
  <c r="L29" i="36"/>
  <c r="K30" i="36"/>
  <c r="K31" i="36"/>
  <c r="K34" i="36"/>
  <c r="K33" i="36"/>
  <c r="AP31" i="36"/>
  <c r="AP34" i="36"/>
  <c r="AP30" i="36"/>
  <c r="AQ29" i="36"/>
  <c r="AP33" i="36"/>
  <c r="AQ40" i="36"/>
  <c r="AP41" i="36"/>
  <c r="AP42" i="36"/>
  <c r="AS51" i="36"/>
  <c r="AS49" i="36"/>
  <c r="AT47" i="36"/>
  <c r="AS48" i="36"/>
  <c r="O47" i="36"/>
  <c r="AO21" i="36"/>
  <c r="AO22" i="36"/>
  <c r="J57" i="36"/>
  <c r="J58" i="36"/>
  <c r="R12" i="28"/>
  <c r="S7" i="28"/>
  <c r="S7" i="19"/>
  <c r="R12" i="19"/>
  <c r="S7" i="42"/>
  <c r="R12" i="42"/>
  <c r="S7" i="38"/>
  <c r="R12" i="38"/>
  <c r="S7" i="29"/>
  <c r="R12" i="29"/>
  <c r="J208" i="20"/>
  <c r="AD208" i="20"/>
  <c r="T208" i="20"/>
  <c r="T106" i="20"/>
  <c r="AD106" i="20"/>
  <c r="T61" i="20"/>
  <c r="T63" i="20"/>
  <c r="T62" i="20"/>
  <c r="T64" i="20"/>
  <c r="AE62" i="20"/>
  <c r="AE64" i="20"/>
  <c r="AE61" i="20"/>
  <c r="AE63" i="20"/>
  <c r="AD62" i="20"/>
  <c r="AD64" i="20"/>
  <c r="AD61" i="20"/>
  <c r="AD63" i="20"/>
  <c r="J62" i="20"/>
  <c r="J64" i="20"/>
  <c r="J61" i="20"/>
  <c r="J63" i="20"/>
  <c r="L8" i="20"/>
  <c r="L9" i="20"/>
  <c r="K209" i="20"/>
  <c r="J160" i="20"/>
  <c r="J166" i="20" s="1"/>
  <c r="I166" i="20"/>
  <c r="AC167" i="20"/>
  <c r="AE156" i="20"/>
  <c r="AE160" i="20" s="1"/>
  <c r="AE209" i="20"/>
  <c r="J159" i="20"/>
  <c r="U196" i="20"/>
  <c r="U209" i="20"/>
  <c r="AE107" i="20"/>
  <c r="K156" i="20"/>
  <c r="K155" i="20" s="1"/>
  <c r="K196" i="20"/>
  <c r="S167" i="20"/>
  <c r="S166" i="20"/>
  <c r="AF1" i="20"/>
  <c r="T155" i="20"/>
  <c r="T159" i="20"/>
  <c r="T160" i="20"/>
  <c r="AD155" i="20"/>
  <c r="AD160" i="20"/>
  <c r="AD159" i="20"/>
  <c r="AE53" i="20"/>
  <c r="U53" i="20"/>
  <c r="U156" i="20"/>
  <c r="I120" i="20"/>
  <c r="I119" i="20"/>
  <c r="I118" i="20"/>
  <c r="S119" i="20"/>
  <c r="S120" i="20"/>
  <c r="S118" i="20"/>
  <c r="T55" i="20"/>
  <c r="AD55" i="20"/>
  <c r="I52" i="20"/>
  <c r="S52" i="20"/>
  <c r="AD110" i="20"/>
  <c r="AC52" i="20"/>
  <c r="J111" i="20"/>
  <c r="J106" i="20"/>
  <c r="J110" i="20"/>
  <c r="K107" i="20"/>
  <c r="K53" i="20"/>
  <c r="T110" i="20"/>
  <c r="T111" i="20"/>
  <c r="U54" i="20"/>
  <c r="U107" i="20"/>
  <c r="J55" i="20"/>
  <c r="K54" i="20"/>
  <c r="V1" i="20"/>
  <c r="G11" i="20"/>
  <c r="G10" i="20"/>
  <c r="F12" i="20"/>
  <c r="L1" i="20"/>
  <c r="K7" i="20"/>
  <c r="AN25" i="36" l="1"/>
  <c r="G37" i="42" s="1"/>
  <c r="AN37" i="36"/>
  <c r="AN81" i="36" s="1"/>
  <c r="AN39" i="36"/>
  <c r="AN77" i="36"/>
  <c r="S12" i="46"/>
  <c r="T7" i="46"/>
  <c r="S12" i="48"/>
  <c r="T7" i="48"/>
  <c r="T7" i="54"/>
  <c r="S12" i="54"/>
  <c r="S12" i="53"/>
  <c r="T7" i="53"/>
  <c r="I84" i="36"/>
  <c r="AE60" i="48"/>
  <c r="AE60" i="46"/>
  <c r="AE60" i="42"/>
  <c r="AE60" i="38"/>
  <c r="AD58" i="48"/>
  <c r="AD58" i="46"/>
  <c r="AD58" i="42"/>
  <c r="AD58" i="38"/>
  <c r="AD60" i="46"/>
  <c r="AD60" i="48"/>
  <c r="AD60" i="42"/>
  <c r="AD60" i="38"/>
  <c r="J58" i="48"/>
  <c r="J58" i="46"/>
  <c r="J58" i="42"/>
  <c r="J58" i="38"/>
  <c r="T59" i="48"/>
  <c r="T59" i="46"/>
  <c r="T59" i="42"/>
  <c r="T59" i="38"/>
  <c r="J61" i="48"/>
  <c r="J61" i="46"/>
  <c r="J61" i="42"/>
  <c r="J61" i="38"/>
  <c r="AD61" i="48"/>
  <c r="AD61" i="46"/>
  <c r="AD61" i="42"/>
  <c r="AD61" i="38"/>
  <c r="AE61" i="46"/>
  <c r="AE61" i="48"/>
  <c r="AE61" i="42"/>
  <c r="AE61" i="38"/>
  <c r="T60" i="48"/>
  <c r="T60" i="46"/>
  <c r="T60" i="42"/>
  <c r="T60" i="38"/>
  <c r="J60" i="46"/>
  <c r="J60" i="48"/>
  <c r="J60" i="42"/>
  <c r="J60" i="38"/>
  <c r="T61" i="48"/>
  <c r="T61" i="46"/>
  <c r="T61" i="42"/>
  <c r="T61" i="38"/>
  <c r="AE58" i="48"/>
  <c r="AE58" i="46"/>
  <c r="AE58" i="42"/>
  <c r="AE58" i="38"/>
  <c r="J59" i="48"/>
  <c r="J59" i="46"/>
  <c r="J59" i="42"/>
  <c r="J59" i="38"/>
  <c r="AD59" i="48"/>
  <c r="AD59" i="46"/>
  <c r="AD59" i="42"/>
  <c r="AD59" i="38"/>
  <c r="AE59" i="48"/>
  <c r="AE59" i="46"/>
  <c r="AE59" i="42"/>
  <c r="AE59" i="38"/>
  <c r="T58" i="48"/>
  <c r="T58" i="46"/>
  <c r="T58" i="42"/>
  <c r="T58" i="38"/>
  <c r="AO70" i="36"/>
  <c r="AN62" i="36"/>
  <c r="G40" i="42"/>
  <c r="AR55" i="36"/>
  <c r="K39" i="42"/>
  <c r="I60" i="36"/>
  <c r="H40" i="38"/>
  <c r="AP35" i="36"/>
  <c r="AO36" i="36"/>
  <c r="H36" i="42" s="1"/>
  <c r="AR90" i="36"/>
  <c r="AR53" i="36"/>
  <c r="AR94" i="36" s="1"/>
  <c r="I62" i="36"/>
  <c r="I26" i="36"/>
  <c r="I87" i="36" s="1"/>
  <c r="I28" i="36"/>
  <c r="J59" i="36"/>
  <c r="AO23" i="36"/>
  <c r="AO69" i="36" s="1"/>
  <c r="K35" i="36"/>
  <c r="AP32" i="36"/>
  <c r="J23" i="36"/>
  <c r="J25" i="36" s="1"/>
  <c r="AS50" i="36"/>
  <c r="AS52" i="36" s="1"/>
  <c r="L39" i="42" s="1"/>
  <c r="AQ33" i="36"/>
  <c r="AQ30" i="36"/>
  <c r="AQ31" i="36"/>
  <c r="AQ34" i="36"/>
  <c r="AR29" i="36"/>
  <c r="L33" i="36"/>
  <c r="L34" i="36"/>
  <c r="L30" i="36"/>
  <c r="L31" i="36"/>
  <c r="M29" i="36"/>
  <c r="M40" i="36"/>
  <c r="L42" i="36"/>
  <c r="K22" i="36"/>
  <c r="K21" i="36"/>
  <c r="K58" i="36"/>
  <c r="K57" i="36"/>
  <c r="P47" i="36"/>
  <c r="AT51" i="36"/>
  <c r="AT48" i="36"/>
  <c r="AU47" i="36"/>
  <c r="AT49" i="36"/>
  <c r="AP43" i="36"/>
  <c r="I38" i="42" s="1"/>
  <c r="AP21" i="36"/>
  <c r="AP22" i="36"/>
  <c r="AO59" i="36"/>
  <c r="H40" i="42" s="1"/>
  <c r="AO97" i="36"/>
  <c r="AO44" i="36"/>
  <c r="AO46" i="36"/>
  <c r="AR18" i="36"/>
  <c r="M18" i="36"/>
  <c r="L19" i="36"/>
  <c r="L20" i="36" s="1"/>
  <c r="L56" i="36"/>
  <c r="AQ42" i="36"/>
  <c r="AR40" i="36"/>
  <c r="AQ41" i="36"/>
  <c r="AP57" i="36"/>
  <c r="AP58" i="36"/>
  <c r="AQ19" i="36"/>
  <c r="AQ20" i="36" s="1"/>
  <c r="AQ56" i="36"/>
  <c r="S12" i="42"/>
  <c r="T7" i="42"/>
  <c r="S12" i="19"/>
  <c r="T7" i="19"/>
  <c r="T7" i="38"/>
  <c r="S12" i="38"/>
  <c r="S12" i="28"/>
  <c r="T7" i="28"/>
  <c r="T7" i="29"/>
  <c r="S12" i="29"/>
  <c r="AE208" i="20"/>
  <c r="U208" i="20"/>
  <c r="K208" i="20"/>
  <c r="AE106" i="20"/>
  <c r="U106" i="20"/>
  <c r="K110" i="20"/>
  <c r="U61" i="20"/>
  <c r="U63" i="20"/>
  <c r="U62" i="20"/>
  <c r="U64" i="20"/>
  <c r="K62" i="20"/>
  <c r="K64" i="20"/>
  <c r="K61" i="20"/>
  <c r="K63" i="20"/>
  <c r="M9" i="20"/>
  <c r="M8" i="20"/>
  <c r="J167" i="20"/>
  <c r="AE55" i="20"/>
  <c r="AE52" i="20" s="1"/>
  <c r="L209" i="20"/>
  <c r="AF53" i="20"/>
  <c r="AE159" i="20"/>
  <c r="AF54" i="20"/>
  <c r="AE155" i="20"/>
  <c r="AE110" i="20"/>
  <c r="K160" i="20"/>
  <c r="K167" i="20" s="1"/>
  <c r="K159" i="20"/>
  <c r="V196" i="20"/>
  <c r="V209" i="20"/>
  <c r="AF156" i="20"/>
  <c r="AF155" i="20" s="1"/>
  <c r="AF209" i="20"/>
  <c r="AF107" i="20"/>
  <c r="L156" i="20"/>
  <c r="L155" i="20" s="1"/>
  <c r="L196" i="20"/>
  <c r="T167" i="20"/>
  <c r="T166" i="20"/>
  <c r="AD167" i="20"/>
  <c r="AD166" i="20"/>
  <c r="AE167" i="20"/>
  <c r="AE166" i="20"/>
  <c r="U155" i="20"/>
  <c r="U160" i="20"/>
  <c r="U159" i="20"/>
  <c r="V53" i="20"/>
  <c r="V156" i="20"/>
  <c r="T120" i="20"/>
  <c r="T119" i="20"/>
  <c r="T118" i="20"/>
  <c r="J119" i="20"/>
  <c r="J120" i="20"/>
  <c r="J118" i="20"/>
  <c r="T52" i="20"/>
  <c r="U55" i="20"/>
  <c r="AD52" i="20"/>
  <c r="J52" i="20"/>
  <c r="K111" i="20"/>
  <c r="K106" i="20"/>
  <c r="L107" i="20"/>
  <c r="L53" i="20"/>
  <c r="U111" i="20"/>
  <c r="U110" i="20"/>
  <c r="V54" i="20"/>
  <c r="V107" i="20"/>
  <c r="K55" i="20"/>
  <c r="L54" i="20"/>
  <c r="H11" i="20"/>
  <c r="H10" i="20"/>
  <c r="G12" i="20"/>
  <c r="L7" i="20"/>
  <c r="AN28" i="36" l="1"/>
  <c r="AN84" i="36"/>
  <c r="AN26" i="36"/>
  <c r="AN87" i="36" s="1"/>
  <c r="U7" i="53"/>
  <c r="T12" i="53"/>
  <c r="T12" i="54"/>
  <c r="U7" i="54"/>
  <c r="T12" i="48"/>
  <c r="U7" i="48"/>
  <c r="U7" i="46"/>
  <c r="T12" i="46"/>
  <c r="AP70" i="36"/>
  <c r="K61" i="46"/>
  <c r="K61" i="48"/>
  <c r="K61" i="42"/>
  <c r="K61" i="38"/>
  <c r="K59" i="48"/>
  <c r="K59" i="46"/>
  <c r="K59" i="42"/>
  <c r="K59" i="38"/>
  <c r="U58" i="48"/>
  <c r="U58" i="46"/>
  <c r="U58" i="42"/>
  <c r="U58" i="38"/>
  <c r="K58" i="48"/>
  <c r="K58" i="46"/>
  <c r="K58" i="42"/>
  <c r="K58" i="38"/>
  <c r="U59" i="48"/>
  <c r="U59" i="46"/>
  <c r="U59" i="42"/>
  <c r="U59" i="38"/>
  <c r="U60" i="48"/>
  <c r="U60" i="46"/>
  <c r="U60" i="42"/>
  <c r="U60" i="38"/>
  <c r="K60" i="48"/>
  <c r="K60" i="46"/>
  <c r="K60" i="42"/>
  <c r="K60" i="38"/>
  <c r="U61" i="48"/>
  <c r="U61" i="46"/>
  <c r="U61" i="42"/>
  <c r="U61" i="38"/>
  <c r="J84" i="36"/>
  <c r="I37" i="38"/>
  <c r="J62" i="36"/>
  <c r="I40" i="38"/>
  <c r="AP36" i="36"/>
  <c r="AP77" i="36" s="1"/>
  <c r="AQ35" i="36"/>
  <c r="AO77" i="36"/>
  <c r="AO37" i="36"/>
  <c r="AO81" i="36" s="1"/>
  <c r="AO39" i="36"/>
  <c r="J60" i="36"/>
  <c r="AO25" i="36"/>
  <c r="AO84" i="36" s="1"/>
  <c r="K23" i="36"/>
  <c r="K25" i="36" s="1"/>
  <c r="AP23" i="36"/>
  <c r="AP25" i="36" s="1"/>
  <c r="I37" i="42" s="1"/>
  <c r="J28" i="36"/>
  <c r="AP59" i="36"/>
  <c r="I40" i="42" s="1"/>
  <c r="J26" i="36"/>
  <c r="J87" i="36" s="1"/>
  <c r="AQ43" i="36"/>
  <c r="J38" i="42" s="1"/>
  <c r="L35" i="36"/>
  <c r="AQ32" i="36"/>
  <c r="L21" i="36"/>
  <c r="L22" i="36"/>
  <c r="AR19" i="36"/>
  <c r="AR20" i="36" s="1"/>
  <c r="AR56" i="36"/>
  <c r="AT50" i="36"/>
  <c r="AT52" i="36" s="1"/>
  <c r="M39" i="42" s="1"/>
  <c r="AS90" i="36"/>
  <c r="AS55" i="36"/>
  <c r="AS53" i="36"/>
  <c r="AS94" i="36" s="1"/>
  <c r="L57" i="36"/>
  <c r="L58" i="36"/>
  <c r="AP44" i="36"/>
  <c r="AP97" i="36"/>
  <c r="AP46" i="36"/>
  <c r="K59" i="36"/>
  <c r="J40" i="38" s="1"/>
  <c r="N29" i="36"/>
  <c r="M31" i="36"/>
  <c r="M34" i="36"/>
  <c r="M33" i="36"/>
  <c r="M30" i="36"/>
  <c r="AQ58" i="36"/>
  <c r="AQ57" i="36"/>
  <c r="AS40" i="36"/>
  <c r="AR41" i="36"/>
  <c r="AR42" i="36"/>
  <c r="AO60" i="36"/>
  <c r="AO62" i="36"/>
  <c r="Q47" i="36"/>
  <c r="K26" i="36"/>
  <c r="K87" i="36" s="1"/>
  <c r="M42" i="36"/>
  <c r="N40" i="36"/>
  <c r="AQ22" i="36"/>
  <c r="AQ21" i="36"/>
  <c r="N18" i="36"/>
  <c r="M19" i="36"/>
  <c r="M20" i="36" s="1"/>
  <c r="AS18" i="36"/>
  <c r="M56" i="36"/>
  <c r="AV47" i="36"/>
  <c r="AU48" i="36"/>
  <c r="AU49" i="36"/>
  <c r="AU51" i="36"/>
  <c r="AS29" i="36"/>
  <c r="AR31" i="36"/>
  <c r="AR33" i="36"/>
  <c r="AR30" i="36"/>
  <c r="AR34" i="36"/>
  <c r="U7" i="29"/>
  <c r="T12" i="29"/>
  <c r="T12" i="28"/>
  <c r="U7" i="28"/>
  <c r="U7" i="38"/>
  <c r="T12" i="38"/>
  <c r="U7" i="42"/>
  <c r="T12" i="42"/>
  <c r="T12" i="19"/>
  <c r="U7" i="19"/>
  <c r="AF208" i="20"/>
  <c r="V208" i="20"/>
  <c r="L208" i="20"/>
  <c r="V106" i="20"/>
  <c r="L106" i="20"/>
  <c r="AF106" i="20"/>
  <c r="V62" i="20"/>
  <c r="V64" i="20"/>
  <c r="V61" i="20"/>
  <c r="V63" i="20"/>
  <c r="L61" i="20"/>
  <c r="L63" i="20"/>
  <c r="L62" i="20"/>
  <c r="L64" i="20"/>
  <c r="AF61" i="20"/>
  <c r="AF63" i="20"/>
  <c r="AF62" i="20"/>
  <c r="AF64" i="20"/>
  <c r="N8" i="20"/>
  <c r="N9" i="20"/>
  <c r="AF55" i="20"/>
  <c r="AF52" i="20" s="1"/>
  <c r="K166" i="20"/>
  <c r="AF110" i="20"/>
  <c r="L160" i="20"/>
  <c r="L167" i="20" s="1"/>
  <c r="AF159" i="20"/>
  <c r="L159" i="20"/>
  <c r="AF160" i="20"/>
  <c r="U167" i="20"/>
  <c r="U166" i="20"/>
  <c r="V155" i="20"/>
  <c r="V160" i="20"/>
  <c r="V159" i="20"/>
  <c r="U120" i="20"/>
  <c r="U119" i="20"/>
  <c r="U118" i="20"/>
  <c r="K119" i="20"/>
  <c r="K120" i="20"/>
  <c r="K118" i="20"/>
  <c r="U52" i="20"/>
  <c r="K52" i="20"/>
  <c r="L111" i="20"/>
  <c r="L110" i="20"/>
  <c r="V111" i="20"/>
  <c r="V110" i="20"/>
  <c r="V55" i="20"/>
  <c r="L55" i="20"/>
  <c r="W195" i="20"/>
  <c r="M195" i="20"/>
  <c r="I10" i="20"/>
  <c r="H12" i="20"/>
  <c r="I11" i="20"/>
  <c r="M7" i="20"/>
  <c r="AQ36" i="36" l="1"/>
  <c r="U12" i="46"/>
  <c r="V7" i="46"/>
  <c r="V7" i="48"/>
  <c r="U12" i="48"/>
  <c r="U12" i="54"/>
  <c r="V7" i="54"/>
  <c r="V7" i="53"/>
  <c r="U12" i="53"/>
  <c r="AQ70" i="36"/>
  <c r="AF59" i="48"/>
  <c r="AF59" i="46"/>
  <c r="AF59" i="42"/>
  <c r="AF59" i="38"/>
  <c r="V58" i="48"/>
  <c r="V58" i="46"/>
  <c r="V58" i="42"/>
  <c r="V58" i="38"/>
  <c r="AF60" i="48"/>
  <c r="AF60" i="46"/>
  <c r="AF60" i="42"/>
  <c r="AF60" i="38"/>
  <c r="V61" i="48"/>
  <c r="V61" i="46"/>
  <c r="V61" i="42"/>
  <c r="V61" i="38"/>
  <c r="AF58" i="46"/>
  <c r="AF58" i="48"/>
  <c r="AF58" i="42"/>
  <c r="AF58" i="38"/>
  <c r="L58" i="46"/>
  <c r="L58" i="48"/>
  <c r="L58" i="42"/>
  <c r="L58" i="38"/>
  <c r="V59" i="48"/>
  <c r="V59" i="46"/>
  <c r="V59" i="42"/>
  <c r="V59" i="38"/>
  <c r="L59" i="48"/>
  <c r="L59" i="46"/>
  <c r="L59" i="42"/>
  <c r="L59" i="38"/>
  <c r="L60" i="48"/>
  <c r="L60" i="46"/>
  <c r="L60" i="42"/>
  <c r="L60" i="38"/>
  <c r="AF61" i="48"/>
  <c r="AF61" i="46"/>
  <c r="AF61" i="42"/>
  <c r="AF61" i="38"/>
  <c r="L61" i="48"/>
  <c r="L61" i="46"/>
  <c r="L61" i="42"/>
  <c r="L61" i="38"/>
  <c r="V60" i="48"/>
  <c r="V60" i="46"/>
  <c r="V60" i="42"/>
  <c r="V60" i="38"/>
  <c r="AP84" i="36"/>
  <c r="AQ37" i="36"/>
  <c r="AQ81" i="36" s="1"/>
  <c r="J36" i="42"/>
  <c r="K84" i="36"/>
  <c r="J37" i="38"/>
  <c r="AO26" i="36"/>
  <c r="AO87" i="36" s="1"/>
  <c r="H37" i="42"/>
  <c r="K28" i="36"/>
  <c r="AP37" i="36"/>
  <c r="AP81" i="36" s="1"/>
  <c r="I36" i="42"/>
  <c r="AP39" i="36"/>
  <c r="AO28" i="36"/>
  <c r="AP69" i="36"/>
  <c r="AP62" i="36"/>
  <c r="AP60" i="36"/>
  <c r="AP28" i="36"/>
  <c r="AP26" i="36"/>
  <c r="AP87" i="36" s="1"/>
  <c r="AQ97" i="36"/>
  <c r="AQ44" i="36"/>
  <c r="AQ46" i="36"/>
  <c r="M35" i="36"/>
  <c r="AR32" i="36"/>
  <c r="AR35" i="36"/>
  <c r="AQ23" i="36"/>
  <c r="AQ69" i="36" s="1"/>
  <c r="L23" i="36"/>
  <c r="L25" i="36" s="1"/>
  <c r="AU50" i="36"/>
  <c r="AU52" i="36" s="1"/>
  <c r="N39" i="42" s="1"/>
  <c r="M21" i="36"/>
  <c r="M22" i="36"/>
  <c r="N19" i="36"/>
  <c r="N20" i="36" s="1"/>
  <c r="AT18" i="36"/>
  <c r="O18" i="36"/>
  <c r="N56" i="36"/>
  <c r="R47" i="36"/>
  <c r="AT40" i="36"/>
  <c r="AS41" i="36"/>
  <c r="AS42" i="36"/>
  <c r="N33" i="36"/>
  <c r="N31" i="36"/>
  <c r="N30" i="36"/>
  <c r="O29" i="36"/>
  <c r="N34" i="36"/>
  <c r="M57" i="36"/>
  <c r="M58" i="36"/>
  <c r="O40" i="36"/>
  <c r="N42" i="36"/>
  <c r="AS30" i="36"/>
  <c r="AT29" i="36"/>
  <c r="AS31" i="36"/>
  <c r="AS34" i="36"/>
  <c r="AS33" i="36"/>
  <c r="AS19" i="36"/>
  <c r="AS20" i="36" s="1"/>
  <c r="AS56" i="36"/>
  <c r="AT90" i="36"/>
  <c r="AT53" i="36"/>
  <c r="AT94" i="36" s="1"/>
  <c r="AT55" i="36"/>
  <c r="AR58" i="36"/>
  <c r="AR57" i="36"/>
  <c r="AV48" i="36"/>
  <c r="AV49" i="36"/>
  <c r="AV51" i="36"/>
  <c r="AW47" i="36"/>
  <c r="AR43" i="36"/>
  <c r="K38" i="42" s="1"/>
  <c r="AQ59" i="36"/>
  <c r="J40" i="42" s="1"/>
  <c r="K62" i="36"/>
  <c r="K60" i="36"/>
  <c r="L59" i="36"/>
  <c r="K40" i="38" s="1"/>
  <c r="AR22" i="36"/>
  <c r="AR21" i="36"/>
  <c r="V7" i="42"/>
  <c r="U12" i="42"/>
  <c r="U12" i="19"/>
  <c r="V7" i="19"/>
  <c r="U12" i="28"/>
  <c r="V7" i="28"/>
  <c r="V7" i="38"/>
  <c r="U12" i="38"/>
  <c r="V7" i="29"/>
  <c r="U12" i="29"/>
  <c r="O9" i="20"/>
  <c r="O8" i="20"/>
  <c r="L166" i="20"/>
  <c r="AF166" i="20"/>
  <c r="AF167" i="20"/>
  <c r="V167" i="20"/>
  <c r="V166" i="20"/>
  <c r="L120" i="20"/>
  <c r="L119" i="20"/>
  <c r="L118" i="20"/>
  <c r="V119" i="20"/>
  <c r="V120" i="20"/>
  <c r="V118" i="20"/>
  <c r="L52" i="20"/>
  <c r="V52" i="20"/>
  <c r="J10" i="20"/>
  <c r="I12" i="20"/>
  <c r="AD109" i="20"/>
  <c r="X109" i="20"/>
  <c r="AB109" i="20"/>
  <c r="AA109" i="20"/>
  <c r="AC109" i="20"/>
  <c r="Z109" i="20"/>
  <c r="AE109" i="20"/>
  <c r="Y109" i="20"/>
  <c r="AF109" i="20"/>
  <c r="J11" i="20"/>
  <c r="AC196" i="20"/>
  <c r="AA196" i="20"/>
  <c r="Z196" i="20"/>
  <c r="Y196" i="20"/>
  <c r="AB196" i="20"/>
  <c r="AD196" i="20"/>
  <c r="X196" i="20"/>
  <c r="AE196" i="20"/>
  <c r="AF196" i="20"/>
  <c r="N7" i="20"/>
  <c r="AQ77" i="36" l="1"/>
  <c r="AQ39" i="36"/>
  <c r="V12" i="53"/>
  <c r="W7" i="53"/>
  <c r="V12" i="54"/>
  <c r="W7" i="54"/>
  <c r="W7" i="48"/>
  <c r="V12" i="48"/>
  <c r="V12" i="46"/>
  <c r="W7" i="46"/>
  <c r="AU90" i="36"/>
  <c r="AU55" i="36"/>
  <c r="L84" i="36"/>
  <c r="K37" i="38"/>
  <c r="AU53" i="36"/>
  <c r="AU94" i="36" s="1"/>
  <c r="AS35" i="36"/>
  <c r="AR59" i="36"/>
  <c r="AR60" i="36" s="1"/>
  <c r="AV50" i="36"/>
  <c r="AV52" i="36" s="1"/>
  <c r="L28" i="36"/>
  <c r="L26" i="36"/>
  <c r="L87" i="36" s="1"/>
  <c r="AR23" i="36"/>
  <c r="AR25" i="36" s="1"/>
  <c r="K37" i="42" s="1"/>
  <c r="AQ25" i="36"/>
  <c r="M23" i="36"/>
  <c r="M25" i="36" s="1"/>
  <c r="M59" i="36"/>
  <c r="L40" i="38" s="1"/>
  <c r="AR70" i="36"/>
  <c r="AS32" i="36"/>
  <c r="AS43" i="36"/>
  <c r="L38" i="42" s="1"/>
  <c r="N35" i="36"/>
  <c r="AR36" i="36"/>
  <c r="K36" i="42" s="1"/>
  <c r="O42" i="36"/>
  <c r="P40" i="36"/>
  <c r="O34" i="36"/>
  <c r="O33" i="36"/>
  <c r="P29" i="36"/>
  <c r="O31" i="36"/>
  <c r="O30" i="36"/>
  <c r="AT19" i="36"/>
  <c r="AT20" i="36" s="1"/>
  <c r="AT56" i="36"/>
  <c r="AQ60" i="36"/>
  <c r="AQ62" i="36"/>
  <c r="AS58" i="36"/>
  <c r="AS57" i="36"/>
  <c r="AU29" i="36"/>
  <c r="AT34" i="36"/>
  <c r="AT30" i="36"/>
  <c r="AT31" i="36"/>
  <c r="AT33" i="36"/>
  <c r="N22" i="36"/>
  <c r="N21" i="36"/>
  <c r="L60" i="36"/>
  <c r="L62" i="36"/>
  <c r="AR97" i="36"/>
  <c r="AR44" i="36"/>
  <c r="AR46" i="36"/>
  <c r="AS21" i="36"/>
  <c r="AS22" i="36"/>
  <c r="AT42" i="36"/>
  <c r="AT41" i="36"/>
  <c r="AU40" i="36"/>
  <c r="N57" i="36"/>
  <c r="N58" i="36"/>
  <c r="AW49" i="36"/>
  <c r="AX47" i="36"/>
  <c r="AW48" i="36"/>
  <c r="AW51" i="36"/>
  <c r="S47" i="36"/>
  <c r="AU18" i="36"/>
  <c r="O19" i="36"/>
  <c r="O20" i="36" s="1"/>
  <c r="P18" i="36"/>
  <c r="O56" i="36"/>
  <c r="W7" i="38"/>
  <c r="V12" i="38"/>
  <c r="W7" i="29"/>
  <c r="V12" i="29"/>
  <c r="W7" i="28"/>
  <c r="V12" i="28"/>
  <c r="W7" i="19"/>
  <c r="V12" i="19"/>
  <c r="V12" i="42"/>
  <c r="W7" i="42"/>
  <c r="P8" i="20"/>
  <c r="P9" i="20"/>
  <c r="AB195" i="20"/>
  <c r="AC195" i="20"/>
  <c r="V195" i="20"/>
  <c r="R195" i="20"/>
  <c r="T195" i="20"/>
  <c r="AA195" i="20"/>
  <c r="AE195" i="20"/>
  <c r="X195" i="20"/>
  <c r="O195" i="20"/>
  <c r="P195" i="20"/>
  <c r="U195" i="20"/>
  <c r="AF195" i="20"/>
  <c r="N195" i="20"/>
  <c r="Y195" i="20"/>
  <c r="AD195" i="20"/>
  <c r="Z195" i="20"/>
  <c r="Q195" i="20"/>
  <c r="S195" i="20"/>
  <c r="J195" i="20"/>
  <c r="G195" i="20"/>
  <c r="E195" i="20"/>
  <c r="L195" i="20"/>
  <c r="F195" i="20"/>
  <c r="I195" i="20"/>
  <c r="K195" i="20"/>
  <c r="D195" i="20"/>
  <c r="H195" i="20"/>
  <c r="Z111" i="20"/>
  <c r="X111" i="20"/>
  <c r="AB111" i="20"/>
  <c r="AF111" i="20"/>
  <c r="AC111" i="20"/>
  <c r="AD111" i="20"/>
  <c r="AE111" i="20"/>
  <c r="Y111" i="20"/>
  <c r="AA111" i="20"/>
  <c r="K11" i="20"/>
  <c r="K10" i="20"/>
  <c r="J12" i="20"/>
  <c r="O7" i="20"/>
  <c r="AQ28" i="36" l="1"/>
  <c r="M26" i="36"/>
  <c r="X7" i="46"/>
  <c r="W12" i="46"/>
  <c r="X7" i="48"/>
  <c r="W12" i="48"/>
  <c r="W12" i="54"/>
  <c r="X7" i="54"/>
  <c r="X7" i="53"/>
  <c r="W12" i="53"/>
  <c r="AS36" i="36"/>
  <c r="AS37" i="36" s="1"/>
  <c r="AS81" i="36" s="1"/>
  <c r="AS70" i="36"/>
  <c r="AR84" i="36"/>
  <c r="AR28" i="36"/>
  <c r="AR69" i="36"/>
  <c r="AQ26" i="36"/>
  <c r="AQ87" i="36" s="1"/>
  <c r="J37" i="42"/>
  <c r="AV90" i="36"/>
  <c r="O39" i="42"/>
  <c r="AR62" i="36"/>
  <c r="K40" i="42"/>
  <c r="AR26" i="36"/>
  <c r="AR87" i="36" s="1"/>
  <c r="AQ84" i="36"/>
  <c r="AS39" i="36"/>
  <c r="M28" i="36"/>
  <c r="L37" i="38"/>
  <c r="N23" i="36"/>
  <c r="N25" i="36" s="1"/>
  <c r="N28" i="36" s="1"/>
  <c r="AV53" i="36"/>
  <c r="AV94" i="36" s="1"/>
  <c r="AV55" i="36"/>
  <c r="M84" i="36"/>
  <c r="M60" i="36"/>
  <c r="M62" i="36"/>
  <c r="AS23" i="36"/>
  <c r="AS25" i="36" s="1"/>
  <c r="L37" i="42" s="1"/>
  <c r="AS59" i="36"/>
  <c r="L40" i="42" s="1"/>
  <c r="O35" i="36"/>
  <c r="AT35" i="36"/>
  <c r="AT32" i="36"/>
  <c r="AR39" i="36"/>
  <c r="AR77" i="36"/>
  <c r="AR37" i="36"/>
  <c r="AR81" i="36" s="1"/>
  <c r="AW50" i="36"/>
  <c r="AW52" i="36" s="1"/>
  <c r="AW55" i="36" s="1"/>
  <c r="AS46" i="36"/>
  <c r="AS97" i="36"/>
  <c r="AS44" i="36"/>
  <c r="AV18" i="36"/>
  <c r="P19" i="36"/>
  <c r="P20" i="36" s="1"/>
  <c r="Q18" i="36"/>
  <c r="P56" i="36"/>
  <c r="T47" i="36"/>
  <c r="AT43" i="36"/>
  <c r="M38" i="42" s="1"/>
  <c r="AU31" i="36"/>
  <c r="AU33" i="36"/>
  <c r="AV29" i="36"/>
  <c r="AU30" i="36"/>
  <c r="AU34" i="36"/>
  <c r="P34" i="36"/>
  <c r="Q29" i="36"/>
  <c r="P30" i="36"/>
  <c r="P33" i="36"/>
  <c r="P31" i="36"/>
  <c r="N59" i="36"/>
  <c r="M40" i="38" s="1"/>
  <c r="O21" i="36"/>
  <c r="O22" i="36"/>
  <c r="AU19" i="36"/>
  <c r="AU20" i="36" s="1"/>
  <c r="AU56" i="36"/>
  <c r="AT22" i="36"/>
  <c r="AT21" i="36"/>
  <c r="Q40" i="36"/>
  <c r="P42" i="36"/>
  <c r="O58" i="36"/>
  <c r="O57" i="36"/>
  <c r="AY47" i="36"/>
  <c r="AX49" i="36"/>
  <c r="AX51" i="36"/>
  <c r="AX48" i="36"/>
  <c r="AU41" i="36"/>
  <c r="AV40" i="36"/>
  <c r="AU42" i="36"/>
  <c r="AT58" i="36"/>
  <c r="AT57" i="36"/>
  <c r="X7" i="19"/>
  <c r="W12" i="19"/>
  <c r="X7" i="29"/>
  <c r="W12" i="29"/>
  <c r="W12" i="28"/>
  <c r="X7" i="28"/>
  <c r="X7" i="38"/>
  <c r="W12" i="38"/>
  <c r="W12" i="42"/>
  <c r="X7" i="42"/>
  <c r="Q9" i="20"/>
  <c r="Q8" i="20"/>
  <c r="AE119" i="20"/>
  <c r="AE120" i="20"/>
  <c r="AE118" i="20"/>
  <c r="X120" i="20"/>
  <c r="X119" i="20"/>
  <c r="X118" i="20"/>
  <c r="AA119" i="20"/>
  <c r="AA120" i="20"/>
  <c r="AA118" i="20"/>
  <c r="AC120" i="20"/>
  <c r="AC119" i="20"/>
  <c r="AC118" i="20"/>
  <c r="Z119" i="20"/>
  <c r="Z120" i="20"/>
  <c r="Z118" i="20"/>
  <c r="AB120" i="20"/>
  <c r="AB119" i="20"/>
  <c r="AB118" i="20"/>
  <c r="AD119" i="20"/>
  <c r="AD120" i="20"/>
  <c r="AD118" i="20"/>
  <c r="Y120" i="20"/>
  <c r="Y119" i="20"/>
  <c r="Y118" i="20"/>
  <c r="AF120" i="20"/>
  <c r="AF119" i="20"/>
  <c r="AF118" i="20"/>
  <c r="L10" i="20"/>
  <c r="K12" i="20"/>
  <c r="L11" i="20"/>
  <c r="P7" i="20"/>
  <c r="D45" i="2"/>
  <c r="D46" i="2"/>
  <c r="D44" i="2"/>
  <c r="D49" i="2" s="1"/>
  <c r="M87" i="36" l="1"/>
  <c r="AS77" i="36"/>
  <c r="X12" i="53"/>
  <c r="Y7" i="53"/>
  <c r="Y7" i="54"/>
  <c r="X12" i="54"/>
  <c r="X12" i="48"/>
  <c r="Y7" i="48"/>
  <c r="Y7" i="46"/>
  <c r="X12" i="46"/>
  <c r="L36" i="42"/>
  <c r="O59" i="36"/>
  <c r="N40" i="38" s="1"/>
  <c r="N26" i="36"/>
  <c r="N87" i="36" s="1"/>
  <c r="AS69" i="36"/>
  <c r="O60" i="36"/>
  <c r="AW90" i="36"/>
  <c r="P39" i="42"/>
  <c r="AW53" i="36"/>
  <c r="AW94" i="36" s="1"/>
  <c r="N84" i="36"/>
  <c r="M37" i="38"/>
  <c r="AT23" i="36"/>
  <c r="AT25" i="36" s="1"/>
  <c r="M37" i="42" s="1"/>
  <c r="AT59" i="36"/>
  <c r="AT60" i="36" s="1"/>
  <c r="AS60" i="36"/>
  <c r="AS62" i="36"/>
  <c r="AT70" i="36"/>
  <c r="P32" i="36"/>
  <c r="AT36" i="36"/>
  <c r="M36" i="42" s="1"/>
  <c r="AU43" i="36"/>
  <c r="N38" i="42" s="1"/>
  <c r="O23" i="36"/>
  <c r="O25" i="36" s="1"/>
  <c r="N37" i="38" s="1"/>
  <c r="AU32" i="36"/>
  <c r="AX50" i="36"/>
  <c r="AX52" i="36" s="1"/>
  <c r="AX55" i="36" s="1"/>
  <c r="P35" i="36"/>
  <c r="AU35" i="36"/>
  <c r="P57" i="36"/>
  <c r="P58" i="36"/>
  <c r="AW40" i="36"/>
  <c r="AV41" i="36"/>
  <c r="AV42" i="36"/>
  <c r="R40" i="36"/>
  <c r="Q42" i="36"/>
  <c r="AS26" i="36"/>
  <c r="AS87" i="36" s="1"/>
  <c r="AS28" i="36"/>
  <c r="AS84" i="36"/>
  <c r="Q34" i="36"/>
  <c r="R29" i="36"/>
  <c r="Q33" i="36"/>
  <c r="Q31" i="36"/>
  <c r="Q30" i="36"/>
  <c r="U47" i="36"/>
  <c r="R18" i="36"/>
  <c r="Q19" i="36"/>
  <c r="Q20" i="36" s="1"/>
  <c r="AW18" i="36"/>
  <c r="Q56" i="36"/>
  <c r="AY48" i="36"/>
  <c r="AZ47" i="36"/>
  <c r="AY51" i="36"/>
  <c r="AY49" i="36"/>
  <c r="AU58" i="36"/>
  <c r="AU57" i="36"/>
  <c r="AT97" i="36"/>
  <c r="AT46" i="36"/>
  <c r="AT44" i="36"/>
  <c r="P21" i="36"/>
  <c r="P22" i="36"/>
  <c r="AU21" i="36"/>
  <c r="AU22" i="36"/>
  <c r="N60" i="36"/>
  <c r="N62" i="36"/>
  <c r="AV33" i="36"/>
  <c r="AV34" i="36"/>
  <c r="AV30" i="36"/>
  <c r="AV31" i="36"/>
  <c r="AW29" i="36"/>
  <c r="AV19" i="36"/>
  <c r="AV20" i="36" s="1"/>
  <c r="AV56" i="36"/>
  <c r="X12" i="19"/>
  <c r="Y7" i="19"/>
  <c r="X12" i="28"/>
  <c r="Y7" i="28"/>
  <c r="Y7" i="42"/>
  <c r="X12" i="42"/>
  <c r="Y7" i="38"/>
  <c r="X12" i="38"/>
  <c r="Y7" i="29"/>
  <c r="X12" i="29"/>
  <c r="R8" i="20"/>
  <c r="R9" i="20"/>
  <c r="M11" i="20"/>
  <c r="M10" i="20"/>
  <c r="L12" i="20"/>
  <c r="Q7" i="20"/>
  <c r="AX53" i="36" l="1"/>
  <c r="AX94" i="36" s="1"/>
  <c r="Z7" i="46"/>
  <c r="Y12" i="46"/>
  <c r="Z7" i="48"/>
  <c r="Y12" i="48"/>
  <c r="Y12" i="54"/>
  <c r="Z7" i="54"/>
  <c r="Y12" i="53"/>
  <c r="Z7" i="53"/>
  <c r="O62" i="36"/>
  <c r="AT28" i="36"/>
  <c r="AT84" i="36"/>
  <c r="AT62" i="36"/>
  <c r="M40" i="42"/>
  <c r="AT26" i="36"/>
  <c r="AT87" i="36" s="1"/>
  <c r="AX90" i="36"/>
  <c r="Q39" i="42"/>
  <c r="AT69" i="36"/>
  <c r="P23" i="36"/>
  <c r="P25" i="36" s="1"/>
  <c r="O37" i="38" s="1"/>
  <c r="AU23" i="36"/>
  <c r="Q32" i="36"/>
  <c r="AT37" i="36"/>
  <c r="AT81" i="36" s="1"/>
  <c r="AT39" i="36"/>
  <c r="AT77" i="36"/>
  <c r="AU70" i="36"/>
  <c r="AU59" i="36"/>
  <c r="O26" i="36"/>
  <c r="O87" i="36" s="1"/>
  <c r="O28" i="36"/>
  <c r="O84" i="36"/>
  <c r="AV35" i="36"/>
  <c r="Q35" i="36"/>
  <c r="AU36" i="36"/>
  <c r="N36" i="42" s="1"/>
  <c r="AU44" i="36"/>
  <c r="AU46" i="36"/>
  <c r="AU97" i="36"/>
  <c r="AV32" i="36"/>
  <c r="AV22" i="36"/>
  <c r="AV21" i="36"/>
  <c r="AY50" i="36"/>
  <c r="AY52" i="36" s="1"/>
  <c r="R39" i="42" s="1"/>
  <c r="Q57" i="36"/>
  <c r="Q58" i="36"/>
  <c r="AW42" i="36"/>
  <c r="AX40" i="36"/>
  <c r="AW41" i="36"/>
  <c r="AV57" i="36"/>
  <c r="AV58" i="36"/>
  <c r="AW19" i="36"/>
  <c r="AW20" i="36" s="1"/>
  <c r="AW56" i="36"/>
  <c r="V47" i="36"/>
  <c r="R42" i="36"/>
  <c r="S40" i="36"/>
  <c r="Q22" i="36"/>
  <c r="Q21" i="36"/>
  <c r="R33" i="36"/>
  <c r="S29" i="36"/>
  <c r="R30" i="36"/>
  <c r="R31" i="36"/>
  <c r="R34" i="36"/>
  <c r="P59" i="36"/>
  <c r="O40" i="38" s="1"/>
  <c r="AW31" i="36"/>
  <c r="AW30" i="36"/>
  <c r="AW33" i="36"/>
  <c r="AX29" i="36"/>
  <c r="AW34" i="36"/>
  <c r="AZ49" i="36"/>
  <c r="BA47" i="36"/>
  <c r="AZ51" i="36"/>
  <c r="AZ48" i="36"/>
  <c r="S18" i="36"/>
  <c r="AX18" i="36"/>
  <c r="R19" i="36"/>
  <c r="R20" i="36" s="1"/>
  <c r="R56" i="36"/>
  <c r="AV43" i="36"/>
  <c r="O38" i="42" s="1"/>
  <c r="Z7" i="38"/>
  <c r="Y12" i="38"/>
  <c r="Z7" i="29"/>
  <c r="Y12" i="29"/>
  <c r="Y12" i="28"/>
  <c r="Z7" i="28"/>
  <c r="Y12" i="19"/>
  <c r="Z7" i="19"/>
  <c r="Y12" i="42"/>
  <c r="Z7" i="42"/>
  <c r="S9" i="20"/>
  <c r="S8" i="20"/>
  <c r="N10" i="20"/>
  <c r="M12" i="20"/>
  <c r="N11" i="20"/>
  <c r="R7" i="20"/>
  <c r="L67" i="7"/>
  <c r="C5" i="9"/>
  <c r="F5" i="9" s="1"/>
  <c r="F6" i="9" s="1"/>
  <c r="F7" i="9" s="1"/>
  <c r="C5" i="8"/>
  <c r="C5" i="4"/>
  <c r="D2" i="7"/>
  <c r="G2" i="7"/>
  <c r="K2" i="7"/>
  <c r="C2" i="7"/>
  <c r="G4" i="6"/>
  <c r="H4" i="6"/>
  <c r="I4" i="6"/>
  <c r="G5" i="6"/>
  <c r="H2" i="25" s="1"/>
  <c r="H3" i="25" s="1"/>
  <c r="H5" i="6"/>
  <c r="I2" i="25" s="1"/>
  <c r="I5" i="6"/>
  <c r="J2" i="25" s="1"/>
  <c r="G6" i="6"/>
  <c r="H6" i="6"/>
  <c r="I6" i="6"/>
  <c r="D4" i="6"/>
  <c r="E4" i="6"/>
  <c r="D5" i="6"/>
  <c r="E2" i="25" s="1"/>
  <c r="E5" i="6"/>
  <c r="F2" i="25" s="1"/>
  <c r="D6" i="6"/>
  <c r="E6" i="6"/>
  <c r="I3" i="6"/>
  <c r="J2" i="7" s="1"/>
  <c r="H3" i="6"/>
  <c r="I2" i="7" s="1"/>
  <c r="G3" i="6"/>
  <c r="H2" i="7" s="1"/>
  <c r="D3" i="6"/>
  <c r="E2" i="7" s="1"/>
  <c r="E3" i="6"/>
  <c r="F2" i="7" s="1"/>
  <c r="I3" i="25" l="1"/>
  <c r="AA7" i="53"/>
  <c r="Z12" i="53"/>
  <c r="K3" i="25"/>
  <c r="J3" i="25"/>
  <c r="W3" i="53"/>
  <c r="S3" i="53" s="1"/>
  <c r="T3" i="53" s="1"/>
  <c r="U3" i="53" s="1"/>
  <c r="V3" i="53" s="1"/>
  <c r="W3" i="54"/>
  <c r="S3" i="54" s="1"/>
  <c r="T3" i="54" s="1"/>
  <c r="U3" i="54" s="1"/>
  <c r="V3" i="54" s="1"/>
  <c r="W3" i="20"/>
  <c r="W3" i="46"/>
  <c r="W3" i="48"/>
  <c r="W3" i="28"/>
  <c r="W3" i="42"/>
  <c r="W3" i="38"/>
  <c r="W3" i="29"/>
  <c r="W3" i="19"/>
  <c r="AA7" i="54"/>
  <c r="Z12" i="54"/>
  <c r="R3" i="53"/>
  <c r="R3" i="54"/>
  <c r="R3" i="46"/>
  <c r="R3" i="28"/>
  <c r="R3" i="19"/>
  <c r="R3" i="42"/>
  <c r="R3" i="20"/>
  <c r="R3" i="38"/>
  <c r="R3" i="29"/>
  <c r="R3" i="48"/>
  <c r="AA7" i="48"/>
  <c r="Z12" i="48"/>
  <c r="D8" i="25"/>
  <c r="D12" i="25"/>
  <c r="AH16" i="25" s="1"/>
  <c r="AI16" i="25" s="1"/>
  <c r="C87" i="7"/>
  <c r="G87" i="7" s="1"/>
  <c r="D9" i="25"/>
  <c r="K56" i="25"/>
  <c r="M56" i="25" s="1"/>
  <c r="D10" i="25"/>
  <c r="L2" i="25"/>
  <c r="D3" i="25"/>
  <c r="D7" i="25"/>
  <c r="AN9" i="12"/>
  <c r="AO9" i="12" s="1"/>
  <c r="D11" i="25"/>
  <c r="AC16" i="25" s="1"/>
  <c r="AD16" i="25" s="1"/>
  <c r="D6" i="25"/>
  <c r="F3" i="25"/>
  <c r="G3" i="25"/>
  <c r="E3" i="25"/>
  <c r="AA7" i="46"/>
  <c r="Z12" i="46"/>
  <c r="AV70" i="36"/>
  <c r="D3" i="7"/>
  <c r="C2" i="20" s="1"/>
  <c r="AU62" i="36"/>
  <c r="N40" i="42"/>
  <c r="AU60" i="36"/>
  <c r="Q59" i="36"/>
  <c r="P40" i="38" s="1"/>
  <c r="AV23" i="36"/>
  <c r="AU69" i="36"/>
  <c r="AU25" i="36"/>
  <c r="N37" i="42" s="1"/>
  <c r="AW35" i="36"/>
  <c r="AV36" i="36"/>
  <c r="O36" i="42" s="1"/>
  <c r="R32" i="36"/>
  <c r="Q23" i="36"/>
  <c r="Q25" i="36" s="1"/>
  <c r="P37" i="38" s="1"/>
  <c r="AU37" i="36"/>
  <c r="AU81" i="36" s="1"/>
  <c r="AU39" i="36"/>
  <c r="AU77" i="36"/>
  <c r="AZ50" i="36"/>
  <c r="AZ52" i="36" s="1"/>
  <c r="AW32" i="36"/>
  <c r="R35" i="36"/>
  <c r="AV97" i="36"/>
  <c r="AV44" i="36"/>
  <c r="AV46" i="36"/>
  <c r="R58" i="36"/>
  <c r="R57" i="36"/>
  <c r="AX30" i="36"/>
  <c r="AY29" i="36"/>
  <c r="AX31" i="36"/>
  <c r="AX34" i="36"/>
  <c r="AX33" i="36"/>
  <c r="P60" i="36"/>
  <c r="P62" i="36"/>
  <c r="AW57" i="36"/>
  <c r="AW58" i="36"/>
  <c r="P28" i="36"/>
  <c r="P84" i="36"/>
  <c r="P26" i="36"/>
  <c r="P87" i="36" s="1"/>
  <c r="S31" i="36"/>
  <c r="S33" i="36"/>
  <c r="S30" i="36"/>
  <c r="S34" i="36"/>
  <c r="T29" i="36"/>
  <c r="T40" i="36"/>
  <c r="S42" i="36"/>
  <c r="W47" i="36"/>
  <c r="AW22" i="36"/>
  <c r="AW21" i="36"/>
  <c r="AV59" i="36"/>
  <c r="O40" i="42" s="1"/>
  <c r="AX19" i="36"/>
  <c r="AX20" i="36" s="1"/>
  <c r="AX56" i="36"/>
  <c r="AW43" i="36"/>
  <c r="P38" i="42" s="1"/>
  <c r="R22" i="36"/>
  <c r="R21" i="36"/>
  <c r="AY18" i="36"/>
  <c r="T18" i="36"/>
  <c r="S19" i="36"/>
  <c r="S20" i="36" s="1"/>
  <c r="S56" i="36"/>
  <c r="BA48" i="36"/>
  <c r="BA49" i="36"/>
  <c r="BA51" i="36"/>
  <c r="BB47" i="36"/>
  <c r="AX41" i="36"/>
  <c r="AY40" i="36"/>
  <c r="AX42" i="36"/>
  <c r="AY90" i="36"/>
  <c r="AY55" i="36"/>
  <c r="AY53" i="36"/>
  <c r="AY94" i="36" s="1"/>
  <c r="AA7" i="29"/>
  <c r="Z12" i="29"/>
  <c r="Z12" i="19"/>
  <c r="AA7" i="19"/>
  <c r="Z12" i="42"/>
  <c r="AA7" i="42"/>
  <c r="AA7" i="28"/>
  <c r="Z12" i="28"/>
  <c r="AA7" i="38"/>
  <c r="Z12" i="38"/>
  <c r="F10" i="9"/>
  <c r="F8" i="9"/>
  <c r="E3" i="7"/>
  <c r="D2" i="50" s="1"/>
  <c r="D5" i="50" s="1"/>
  <c r="F3" i="7"/>
  <c r="T8" i="20"/>
  <c r="T9" i="20"/>
  <c r="D6" i="7"/>
  <c r="C85" i="7"/>
  <c r="G85" i="7" s="1"/>
  <c r="C83" i="7"/>
  <c r="D8" i="7"/>
  <c r="D9" i="7"/>
  <c r="E3" i="44" s="1"/>
  <c r="D10" i="7"/>
  <c r="D7" i="7"/>
  <c r="O11" i="20"/>
  <c r="O10" i="20"/>
  <c r="N12" i="20"/>
  <c r="S7" i="20"/>
  <c r="AH38" i="16"/>
  <c r="AG38" i="16"/>
  <c r="AG127" i="16" s="1"/>
  <c r="AG138" i="16" s="1"/>
  <c r="AF38" i="16"/>
  <c r="AF127" i="16" s="1"/>
  <c r="AF138" i="16" s="1"/>
  <c r="AE38" i="16"/>
  <c r="AE127" i="16" s="1"/>
  <c r="AE138" i="16" s="1"/>
  <c r="AD38" i="16"/>
  <c r="AD127" i="16" s="1"/>
  <c r="AD138" i="16" s="1"/>
  <c r="AC38" i="16"/>
  <c r="AC127" i="16" s="1"/>
  <c r="AC138" i="16" s="1"/>
  <c r="AB38" i="16"/>
  <c r="AB127" i="16" s="1"/>
  <c r="AB138" i="16" s="1"/>
  <c r="AA38" i="16"/>
  <c r="AA127" i="16" s="1"/>
  <c r="AA138" i="16" s="1"/>
  <c r="Z38" i="16"/>
  <c r="Z127" i="16" s="1"/>
  <c r="Z138" i="16" s="1"/>
  <c r="Y38" i="16"/>
  <c r="Y127" i="16" s="1"/>
  <c r="Y138" i="16" s="1"/>
  <c r="X38" i="16"/>
  <c r="X127" i="16" s="1"/>
  <c r="X138" i="16" s="1"/>
  <c r="W38" i="16"/>
  <c r="W127" i="16" s="1"/>
  <c r="W138" i="16" s="1"/>
  <c r="V38" i="16"/>
  <c r="V127" i="16" s="1"/>
  <c r="V138" i="16" s="1"/>
  <c r="U38" i="16"/>
  <c r="U127" i="16" s="1"/>
  <c r="U138" i="16" s="1"/>
  <c r="T38" i="16"/>
  <c r="T127" i="16" s="1"/>
  <c r="T138" i="16" s="1"/>
  <c r="S38" i="16"/>
  <c r="S127" i="16" s="1"/>
  <c r="S138" i="16" s="1"/>
  <c r="R38" i="16"/>
  <c r="R127" i="16" s="1"/>
  <c r="R138" i="16" s="1"/>
  <c r="Q38" i="16"/>
  <c r="Q127" i="16" s="1"/>
  <c r="Q138" i="16" s="1"/>
  <c r="P38" i="16"/>
  <c r="P127" i="16" s="1"/>
  <c r="P138" i="16" s="1"/>
  <c r="O38" i="16"/>
  <c r="O127" i="16" s="1"/>
  <c r="O138" i="16" s="1"/>
  <c r="N38" i="16"/>
  <c r="N127" i="16" s="1"/>
  <c r="N138" i="16" s="1"/>
  <c r="M38" i="16"/>
  <c r="M127" i="16" s="1"/>
  <c r="M138" i="16" s="1"/>
  <c r="L38" i="16"/>
  <c r="L127" i="16" s="1"/>
  <c r="L138" i="16" s="1"/>
  <c r="K38" i="16"/>
  <c r="K127" i="16" s="1"/>
  <c r="K138" i="16" s="1"/>
  <c r="J38" i="16"/>
  <c r="J127" i="16" s="1"/>
  <c r="J138" i="16" s="1"/>
  <c r="I38" i="16"/>
  <c r="I127" i="16" s="1"/>
  <c r="I138" i="16" s="1"/>
  <c r="H38" i="16"/>
  <c r="H127" i="16" s="1"/>
  <c r="H138" i="16" s="1"/>
  <c r="G38" i="16"/>
  <c r="G127" i="16" s="1"/>
  <c r="G138" i="16" s="1"/>
  <c r="F38" i="16"/>
  <c r="F127" i="16" s="1"/>
  <c r="F138" i="16" s="1"/>
  <c r="E38" i="16"/>
  <c r="E127" i="16" s="1"/>
  <c r="E138" i="16" s="1"/>
  <c r="D38" i="16"/>
  <c r="AH31" i="16"/>
  <c r="AG31" i="16"/>
  <c r="AF31" i="16"/>
  <c r="AE31" i="16"/>
  <c r="AD31" i="16"/>
  <c r="AC31" i="16"/>
  <c r="AB31" i="16"/>
  <c r="AA31" i="16"/>
  <c r="Z31" i="16"/>
  <c r="Y31" i="16"/>
  <c r="X31" i="16"/>
  <c r="W31" i="16"/>
  <c r="V31" i="16"/>
  <c r="U31" i="16"/>
  <c r="T31" i="16"/>
  <c r="S31" i="16"/>
  <c r="R31" i="16"/>
  <c r="Q31" i="16"/>
  <c r="P31" i="16"/>
  <c r="O31" i="16"/>
  <c r="N31" i="16"/>
  <c r="M31" i="16"/>
  <c r="L31" i="16"/>
  <c r="K31" i="16"/>
  <c r="J31" i="16"/>
  <c r="I31" i="16"/>
  <c r="H31" i="16"/>
  <c r="G31" i="16"/>
  <c r="F31" i="16"/>
  <c r="E31" i="16"/>
  <c r="D31" i="16"/>
  <c r="D20" i="16"/>
  <c r="D40" i="16" s="1"/>
  <c r="D17" i="16"/>
  <c r="D11" i="16"/>
  <c r="E3" i="16"/>
  <c r="F3" i="16" s="1"/>
  <c r="G3" i="16" s="1"/>
  <c r="H3" i="16" s="1"/>
  <c r="I3" i="16" s="1"/>
  <c r="J3" i="16" s="1"/>
  <c r="K3" i="16" s="1"/>
  <c r="L3" i="16" s="1"/>
  <c r="M3" i="16" s="1"/>
  <c r="N3" i="16" s="1"/>
  <c r="O3" i="16" s="1"/>
  <c r="P3" i="16" s="1"/>
  <c r="Q3" i="16" s="1"/>
  <c r="R3" i="16" s="1"/>
  <c r="S3" i="16" s="1"/>
  <c r="T3" i="16" s="1"/>
  <c r="U3" i="16" s="1"/>
  <c r="V3" i="16" s="1"/>
  <c r="W3" i="16" s="1"/>
  <c r="X3" i="16" s="1"/>
  <c r="Y3" i="16" s="1"/>
  <c r="Z3" i="16" s="1"/>
  <c r="AA3" i="16" s="1"/>
  <c r="AB3" i="16" s="1"/>
  <c r="AC3" i="16" s="1"/>
  <c r="AD3" i="16" s="1"/>
  <c r="AE3" i="16" s="1"/>
  <c r="AF3" i="16" s="1"/>
  <c r="AG3" i="16" s="1"/>
  <c r="AH3" i="16" s="1"/>
  <c r="K38" i="15"/>
  <c r="K127" i="15" s="1"/>
  <c r="K138" i="15" s="1"/>
  <c r="S38" i="15"/>
  <c r="S127" i="15" s="1"/>
  <c r="S138" i="15" s="1"/>
  <c r="AA38" i="15"/>
  <c r="AA127" i="15" s="1"/>
  <c r="AA138" i="15" s="1"/>
  <c r="AF38" i="15"/>
  <c r="AF127" i="15" s="1"/>
  <c r="AF138" i="15" s="1"/>
  <c r="AE38" i="15"/>
  <c r="AE127" i="15" s="1"/>
  <c r="AE138" i="15" s="1"/>
  <c r="AB38" i="15"/>
  <c r="AB127" i="15" s="1"/>
  <c r="AB138" i="15" s="1"/>
  <c r="X38" i="15"/>
  <c r="X127" i="15" s="1"/>
  <c r="X138" i="15" s="1"/>
  <c r="W38" i="15"/>
  <c r="W127" i="15" s="1"/>
  <c r="W138" i="15" s="1"/>
  <c r="T38" i="15"/>
  <c r="T127" i="15" s="1"/>
  <c r="T138" i="15" s="1"/>
  <c r="P38" i="15"/>
  <c r="P127" i="15" s="1"/>
  <c r="P138" i="15" s="1"/>
  <c r="O38" i="15"/>
  <c r="O127" i="15" s="1"/>
  <c r="O138" i="15" s="1"/>
  <c r="L38" i="15"/>
  <c r="L127" i="15" s="1"/>
  <c r="L138" i="15" s="1"/>
  <c r="H38" i="15"/>
  <c r="H127" i="15" s="1"/>
  <c r="H138" i="15" s="1"/>
  <c r="G38" i="15"/>
  <c r="G127" i="15" s="1"/>
  <c r="G138" i="15" s="1"/>
  <c r="D38" i="15"/>
  <c r="D127" i="15" s="1"/>
  <c r="D138" i="15" s="1"/>
  <c r="AG38" i="15"/>
  <c r="AG127" i="15" s="1"/>
  <c r="AG138" i="15" s="1"/>
  <c r="AC38" i="15"/>
  <c r="AC127" i="15" s="1"/>
  <c r="AC138" i="15" s="1"/>
  <c r="Y38" i="15"/>
  <c r="Y127" i="15" s="1"/>
  <c r="Y138" i="15" s="1"/>
  <c r="U38" i="15"/>
  <c r="U127" i="15" s="1"/>
  <c r="U138" i="15" s="1"/>
  <c r="Q38" i="15"/>
  <c r="Q127" i="15" s="1"/>
  <c r="Q138" i="15" s="1"/>
  <c r="M38" i="15"/>
  <c r="M127" i="15" s="1"/>
  <c r="M138" i="15" s="1"/>
  <c r="I38" i="15"/>
  <c r="I127" i="15" s="1"/>
  <c r="I138" i="15" s="1"/>
  <c r="E38" i="15"/>
  <c r="E127" i="15" s="1"/>
  <c r="E138" i="15" s="1"/>
  <c r="D31" i="15"/>
  <c r="D20" i="15"/>
  <c r="D40" i="15" s="1"/>
  <c r="D122" i="15" s="1"/>
  <c r="D132" i="15" s="1"/>
  <c r="D17" i="15"/>
  <c r="D11" i="15"/>
  <c r="E3" i="15"/>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AG3" i="15" s="1"/>
  <c r="AH3" i="15" s="1"/>
  <c r="D28" i="13"/>
  <c r="D29" i="13"/>
  <c r="E27" i="13"/>
  <c r="F27" i="13" s="1"/>
  <c r="G27" i="13" s="1"/>
  <c r="H27" i="13" s="1"/>
  <c r="I27" i="13" s="1"/>
  <c r="J27" i="13" s="1"/>
  <c r="K27" i="13" s="1"/>
  <c r="L27" i="13" s="1"/>
  <c r="M27" i="13" s="1"/>
  <c r="N27" i="13" s="1"/>
  <c r="O27" i="13" s="1"/>
  <c r="P27" i="13" s="1"/>
  <c r="Q27" i="13" s="1"/>
  <c r="R27" i="13" s="1"/>
  <c r="S27" i="13" s="1"/>
  <c r="T27" i="13" s="1"/>
  <c r="U27" i="13" s="1"/>
  <c r="V27" i="13" s="1"/>
  <c r="W27" i="13" s="1"/>
  <c r="X27" i="13" s="1"/>
  <c r="Y27" i="13" s="1"/>
  <c r="Z27" i="13" s="1"/>
  <c r="AA27" i="13" s="1"/>
  <c r="AB27" i="13" s="1"/>
  <c r="AC27" i="13" s="1"/>
  <c r="AD27" i="13" s="1"/>
  <c r="AE27" i="13" s="1"/>
  <c r="AF27" i="13" s="1"/>
  <c r="AG27" i="13" s="1"/>
  <c r="AH27" i="13" s="1"/>
  <c r="D34" i="11"/>
  <c r="D33" i="11"/>
  <c r="F16" i="13"/>
  <c r="E16" i="13"/>
  <c r="E11" i="13"/>
  <c r="D11" i="13"/>
  <c r="F10" i="13"/>
  <c r="F9" i="13"/>
  <c r="F8" i="13"/>
  <c r="F7" i="13"/>
  <c r="D17" i="13" s="1"/>
  <c r="F6" i="13"/>
  <c r="E32" i="11"/>
  <c r="F32" i="11" s="1"/>
  <c r="G32" i="11" s="1"/>
  <c r="H32" i="11" s="1"/>
  <c r="I32" i="11" s="1"/>
  <c r="J32" i="11" s="1"/>
  <c r="K32" i="11" s="1"/>
  <c r="L32" i="11" s="1"/>
  <c r="M32" i="11" s="1"/>
  <c r="N32" i="11" s="1"/>
  <c r="O32" i="11" s="1"/>
  <c r="P32" i="11" s="1"/>
  <c r="Q32" i="11" s="1"/>
  <c r="R32" i="11" s="1"/>
  <c r="S32" i="11" s="1"/>
  <c r="T32" i="11" s="1"/>
  <c r="U32" i="11" s="1"/>
  <c r="V32" i="11" s="1"/>
  <c r="W32" i="11" s="1"/>
  <c r="X32" i="11" s="1"/>
  <c r="Y32" i="11" s="1"/>
  <c r="Z32" i="11" s="1"/>
  <c r="AA32" i="11" s="1"/>
  <c r="AB32" i="11" s="1"/>
  <c r="AC32" i="11" s="1"/>
  <c r="AD32" i="11" s="1"/>
  <c r="AE32" i="11" s="1"/>
  <c r="AF32" i="11" s="1"/>
  <c r="AG32" i="11" s="1"/>
  <c r="AH32" i="11" s="1"/>
  <c r="G16" i="11"/>
  <c r="F16" i="11"/>
  <c r="E10" i="11"/>
  <c r="E11" i="11" s="1"/>
  <c r="D10" i="11"/>
  <c r="D11" i="11" s="1"/>
  <c r="F9" i="11"/>
  <c r="F8" i="11"/>
  <c r="F7" i="11"/>
  <c r="D17" i="11" s="1"/>
  <c r="D16" i="25" l="1"/>
  <c r="D17" i="25"/>
  <c r="D13" i="25"/>
  <c r="E4" i="44"/>
  <c r="D4" i="44" s="1"/>
  <c r="S16" i="25"/>
  <c r="S17" i="25"/>
  <c r="T17" i="25" s="1"/>
  <c r="S3" i="46"/>
  <c r="T3" i="46" s="1"/>
  <c r="U3" i="46" s="1"/>
  <c r="V3" i="46" s="1"/>
  <c r="C2" i="19"/>
  <c r="C2" i="53"/>
  <c r="C2" i="54"/>
  <c r="AB7" i="54"/>
  <c r="AA12" i="54"/>
  <c r="S3" i="20"/>
  <c r="T3" i="20" s="1"/>
  <c r="U3" i="20" s="1"/>
  <c r="V3" i="20" s="1"/>
  <c r="H2" i="53"/>
  <c r="H2" i="54"/>
  <c r="S3" i="19"/>
  <c r="T3" i="19" s="1"/>
  <c r="U3" i="19" s="1"/>
  <c r="V3" i="19" s="1"/>
  <c r="I18" i="25"/>
  <c r="J18" i="25" s="1"/>
  <c r="I19" i="25"/>
  <c r="J19" i="25" s="1"/>
  <c r="I16" i="25"/>
  <c r="I17" i="25"/>
  <c r="J17" i="25" s="1"/>
  <c r="N19" i="25"/>
  <c r="O19" i="25" s="1"/>
  <c r="N17" i="25"/>
  <c r="O17" i="25" s="1"/>
  <c r="N16" i="25"/>
  <c r="N18" i="25"/>
  <c r="O18" i="25" s="1"/>
  <c r="S3" i="29"/>
  <c r="T3" i="29" s="1"/>
  <c r="U3" i="29" s="1"/>
  <c r="V3" i="29" s="1"/>
  <c r="AA12" i="46"/>
  <c r="AB7" i="46"/>
  <c r="C3" i="19"/>
  <c r="C3" i="53"/>
  <c r="C3" i="54"/>
  <c r="C3" i="20"/>
  <c r="C3" i="46"/>
  <c r="C3" i="48"/>
  <c r="C3" i="28"/>
  <c r="C3" i="42"/>
  <c r="C3" i="38"/>
  <c r="C3" i="29"/>
  <c r="S3" i="38"/>
  <c r="T3" i="38" s="1"/>
  <c r="U3" i="38" s="1"/>
  <c r="V3" i="38" s="1"/>
  <c r="AB3" i="53"/>
  <c r="X3" i="53" s="1"/>
  <c r="Y3" i="53" s="1"/>
  <c r="Z3" i="53" s="1"/>
  <c r="AA3" i="53" s="1"/>
  <c r="AB3" i="54"/>
  <c r="X3" i="54" s="1"/>
  <c r="Y3" i="54" s="1"/>
  <c r="Z3" i="54" s="1"/>
  <c r="AA3" i="54" s="1"/>
  <c r="AB3" i="48"/>
  <c r="AB3" i="28"/>
  <c r="X3" i="28" s="1"/>
  <c r="Y3" i="28" s="1"/>
  <c r="Z3" i="28" s="1"/>
  <c r="AA3" i="28" s="1"/>
  <c r="AB3" i="42"/>
  <c r="AB3" i="29"/>
  <c r="AB3" i="19"/>
  <c r="X3" i="19" s="1"/>
  <c r="Y3" i="19" s="1"/>
  <c r="Z3" i="19" s="1"/>
  <c r="AA3" i="19" s="1"/>
  <c r="AB3" i="38"/>
  <c r="AB3" i="20"/>
  <c r="X3" i="20" s="1"/>
  <c r="Y3" i="20" s="1"/>
  <c r="Z3" i="20" s="1"/>
  <c r="AA3" i="20" s="1"/>
  <c r="AB3" i="46"/>
  <c r="AI5" i="54"/>
  <c r="AI5" i="53"/>
  <c r="AI5" i="38"/>
  <c r="L57" i="25"/>
  <c r="AI5" i="29"/>
  <c r="AI5" i="46"/>
  <c r="AI5" i="48"/>
  <c r="AI5" i="42"/>
  <c r="AB7" i="48"/>
  <c r="AA12" i="48"/>
  <c r="S3" i="42"/>
  <c r="T3" i="42" s="1"/>
  <c r="U3" i="42" s="1"/>
  <c r="V3" i="42" s="1"/>
  <c r="AG3" i="53"/>
  <c r="AG3" i="54"/>
  <c r="AG3" i="38"/>
  <c r="AG3" i="19"/>
  <c r="AC3" i="19" s="1"/>
  <c r="AD3" i="19" s="1"/>
  <c r="AE3" i="19" s="1"/>
  <c r="AF3" i="19" s="1"/>
  <c r="AG3" i="20"/>
  <c r="AG3" i="48"/>
  <c r="AG3" i="46"/>
  <c r="AG3" i="28"/>
  <c r="AC3" i="28" s="1"/>
  <c r="AD3" i="28" s="1"/>
  <c r="AE3" i="28" s="1"/>
  <c r="AF3" i="28" s="1"/>
  <c r="AG3" i="42"/>
  <c r="AG3" i="29"/>
  <c r="F11" i="13"/>
  <c r="M3" i="53"/>
  <c r="N3" i="53" s="1"/>
  <c r="O3" i="53" s="1"/>
  <c r="P3" i="53" s="1"/>
  <c r="Q3" i="53" s="1"/>
  <c r="M3" i="54"/>
  <c r="M3" i="42"/>
  <c r="M3" i="38"/>
  <c r="M3" i="29"/>
  <c r="M3" i="48"/>
  <c r="M3" i="19"/>
  <c r="N3" i="19" s="1"/>
  <c r="O3" i="19" s="1"/>
  <c r="P3" i="19" s="1"/>
  <c r="Q3" i="19" s="1"/>
  <c r="M3" i="46"/>
  <c r="M3" i="20"/>
  <c r="M3" i="28"/>
  <c r="X16" i="25"/>
  <c r="X17" i="25"/>
  <c r="Y17" i="25" s="1"/>
  <c r="X19" i="25"/>
  <c r="Y19" i="25" s="1"/>
  <c r="X18" i="25"/>
  <c r="Y18" i="25" s="1"/>
  <c r="N3" i="48"/>
  <c r="O3" i="48" s="1"/>
  <c r="P3" i="48" s="1"/>
  <c r="Q3" i="48" s="1"/>
  <c r="S3" i="28"/>
  <c r="T3" i="28" s="1"/>
  <c r="U3" i="28" s="1"/>
  <c r="V3" i="28" s="1"/>
  <c r="H3" i="53"/>
  <c r="D3" i="53" s="1"/>
  <c r="E3" i="53" s="1"/>
  <c r="F3" i="53" s="1"/>
  <c r="G3" i="53" s="1"/>
  <c r="H3" i="54"/>
  <c r="D3" i="54" s="1"/>
  <c r="E3" i="54" s="1"/>
  <c r="F3" i="54" s="1"/>
  <c r="G3" i="54" s="1"/>
  <c r="H3" i="48"/>
  <c r="H3" i="46"/>
  <c r="H3" i="28"/>
  <c r="H3" i="42"/>
  <c r="H3" i="38"/>
  <c r="H3" i="19"/>
  <c r="D3" i="19" s="1"/>
  <c r="E3" i="19" s="1"/>
  <c r="F3" i="19" s="1"/>
  <c r="G3" i="19" s="1"/>
  <c r="H3" i="29"/>
  <c r="H3" i="20"/>
  <c r="N3" i="29"/>
  <c r="O3" i="29" s="1"/>
  <c r="P3" i="29" s="1"/>
  <c r="Q3" i="29" s="1"/>
  <c r="S3" i="48"/>
  <c r="T3" i="48" s="1"/>
  <c r="U3" i="48" s="1"/>
  <c r="V3" i="48" s="1"/>
  <c r="AA12" i="53"/>
  <c r="AB7" i="53"/>
  <c r="D13" i="44"/>
  <c r="E13" i="44" s="1"/>
  <c r="AN11" i="12"/>
  <c r="AO11" i="12" s="1"/>
  <c r="D14" i="44"/>
  <c r="D12" i="44"/>
  <c r="L14" i="44"/>
  <c r="E2" i="50"/>
  <c r="H2" i="48"/>
  <c r="H2" i="46"/>
  <c r="H2" i="28"/>
  <c r="H2" i="42"/>
  <c r="H2" i="38"/>
  <c r="H2" i="29"/>
  <c r="C2" i="50"/>
  <c r="C2" i="48"/>
  <c r="C2" i="46"/>
  <c r="C2" i="28"/>
  <c r="C2" i="42"/>
  <c r="C2" i="38"/>
  <c r="C2" i="29"/>
  <c r="Q62" i="36"/>
  <c r="AZ53" i="36"/>
  <c r="AZ94" i="36" s="1"/>
  <c r="S39" i="42"/>
  <c r="Q60" i="36"/>
  <c r="AZ55" i="36"/>
  <c r="AZ90" i="36"/>
  <c r="BA50" i="36"/>
  <c r="BA52" i="36" s="1"/>
  <c r="T39" i="42" s="1"/>
  <c r="AV25" i="36"/>
  <c r="O37" i="42" s="1"/>
  <c r="AV69" i="36"/>
  <c r="AW59" i="36"/>
  <c r="P40" i="42" s="1"/>
  <c r="R23" i="36"/>
  <c r="R25" i="36" s="1"/>
  <c r="Q37" i="38" s="1"/>
  <c r="AU26" i="36"/>
  <c r="AU87" i="36" s="1"/>
  <c r="AU28" i="36"/>
  <c r="AU84" i="36"/>
  <c r="AW23" i="36"/>
  <c r="AW70" i="36"/>
  <c r="AW36" i="36"/>
  <c r="P36" i="42" s="1"/>
  <c r="AX35" i="36"/>
  <c r="AV77" i="36"/>
  <c r="AV39" i="36"/>
  <c r="AV37" i="36"/>
  <c r="AV81" i="36" s="1"/>
  <c r="AX43" i="36"/>
  <c r="Q38" i="42" s="1"/>
  <c r="S32" i="36"/>
  <c r="S35" i="36"/>
  <c r="AX32" i="36"/>
  <c r="R59" i="36"/>
  <c r="Q40" i="38" s="1"/>
  <c r="AZ40" i="36"/>
  <c r="AY42" i="36"/>
  <c r="AY41" i="36"/>
  <c r="AX22" i="36"/>
  <c r="AX21" i="36"/>
  <c r="T42" i="36"/>
  <c r="U40" i="36"/>
  <c r="T31" i="36"/>
  <c r="T30" i="36"/>
  <c r="T34" i="36"/>
  <c r="T33" i="36"/>
  <c r="U29" i="36"/>
  <c r="AY31" i="36"/>
  <c r="AY30" i="36"/>
  <c r="AY34" i="36"/>
  <c r="AY33" i="36"/>
  <c r="AZ29" i="36"/>
  <c r="AZ18" i="36"/>
  <c r="T19" i="36"/>
  <c r="T20" i="36" s="1"/>
  <c r="U18" i="36"/>
  <c r="T56" i="36"/>
  <c r="AW44" i="36"/>
  <c r="AW97" i="36"/>
  <c r="AW46" i="36"/>
  <c r="AX58" i="36"/>
  <c r="AX57" i="36"/>
  <c r="AV62" i="36"/>
  <c r="AV60" i="36"/>
  <c r="BB48" i="36"/>
  <c r="BC47" i="36"/>
  <c r="BB51" i="36"/>
  <c r="BB49" i="36"/>
  <c r="S22" i="36"/>
  <c r="S21" i="36"/>
  <c r="AY19" i="36"/>
  <c r="AY20" i="36" s="1"/>
  <c r="AY56" i="36"/>
  <c r="X47" i="36"/>
  <c r="Q84" i="36"/>
  <c r="Q28" i="36"/>
  <c r="Q26" i="36"/>
  <c r="Q87" i="36" s="1"/>
  <c r="S57" i="36"/>
  <c r="S58" i="36"/>
  <c r="E33" i="11"/>
  <c r="AA12" i="19"/>
  <c r="AB7" i="19"/>
  <c r="AB7" i="38"/>
  <c r="AA12" i="38"/>
  <c r="AA12" i="42"/>
  <c r="AB7" i="42"/>
  <c r="AA12" i="28"/>
  <c r="AB7" i="28"/>
  <c r="AB7" i="29"/>
  <c r="AA12" i="29"/>
  <c r="H2" i="19"/>
  <c r="H2" i="20"/>
  <c r="D39" i="15"/>
  <c r="D121" i="15" s="1"/>
  <c r="D131" i="15" s="1"/>
  <c r="D39" i="16"/>
  <c r="D121" i="16" s="1"/>
  <c r="D131" i="16" s="1"/>
  <c r="F9" i="9"/>
  <c r="F11" i="9" s="1"/>
  <c r="D18" i="13"/>
  <c r="L25" i="13"/>
  <c r="K25" i="13"/>
  <c r="D25" i="13"/>
  <c r="M25" i="13"/>
  <c r="J25" i="13"/>
  <c r="L126" i="16"/>
  <c r="L50" i="16"/>
  <c r="L53" i="16" s="1"/>
  <c r="L137" i="16" s="1"/>
  <c r="X126" i="16"/>
  <c r="X50" i="16"/>
  <c r="X53" i="16" s="1"/>
  <c r="X137" i="16" s="1"/>
  <c r="I126" i="16"/>
  <c r="I50" i="16"/>
  <c r="I53" i="16" s="1"/>
  <c r="I137" i="16" s="1"/>
  <c r="U126" i="16"/>
  <c r="U50" i="16"/>
  <c r="U53" i="16" s="1"/>
  <c r="U137" i="16" s="1"/>
  <c r="Y126" i="16"/>
  <c r="Y50" i="16"/>
  <c r="Y53" i="16" s="1"/>
  <c r="Y137" i="16" s="1"/>
  <c r="AC126" i="16"/>
  <c r="AC50" i="16"/>
  <c r="AC53" i="16" s="1"/>
  <c r="AC137" i="16" s="1"/>
  <c r="AG126" i="16"/>
  <c r="AG50" i="16"/>
  <c r="AG53" i="16" s="1"/>
  <c r="AG137" i="16" s="1"/>
  <c r="AH127" i="16"/>
  <c r="AH138" i="16" s="1"/>
  <c r="D87" i="16"/>
  <c r="D126" i="16"/>
  <c r="D50" i="16"/>
  <c r="D53" i="16" s="1"/>
  <c r="D137" i="16" s="1"/>
  <c r="P126" i="16"/>
  <c r="P50" i="16"/>
  <c r="P53" i="16" s="1"/>
  <c r="P137" i="16" s="1"/>
  <c r="AB126" i="16"/>
  <c r="AB50" i="16"/>
  <c r="AB53" i="16" s="1"/>
  <c r="AB137" i="16" s="1"/>
  <c r="E126" i="16"/>
  <c r="E50" i="16"/>
  <c r="E53" i="16" s="1"/>
  <c r="E137" i="16" s="1"/>
  <c r="M126" i="16"/>
  <c r="M50" i="16"/>
  <c r="M53" i="16" s="1"/>
  <c r="M137" i="16" s="1"/>
  <c r="F126" i="16"/>
  <c r="F50" i="16"/>
  <c r="F53" i="16" s="1"/>
  <c r="F137" i="16" s="1"/>
  <c r="J126" i="16"/>
  <c r="J50" i="16"/>
  <c r="J53" i="16" s="1"/>
  <c r="J137" i="16" s="1"/>
  <c r="N126" i="16"/>
  <c r="N50" i="16"/>
  <c r="N53" i="16" s="1"/>
  <c r="N137" i="16" s="1"/>
  <c r="R126" i="16"/>
  <c r="R50" i="16"/>
  <c r="R53" i="16" s="1"/>
  <c r="R137" i="16" s="1"/>
  <c r="V126" i="16"/>
  <c r="V50" i="16"/>
  <c r="V53" i="16" s="1"/>
  <c r="V137" i="16" s="1"/>
  <c r="Z126" i="16"/>
  <c r="Z50" i="16"/>
  <c r="Z53" i="16" s="1"/>
  <c r="Z137" i="16" s="1"/>
  <c r="AD126" i="16"/>
  <c r="AD50" i="16"/>
  <c r="AD53" i="16" s="1"/>
  <c r="AD137" i="16" s="1"/>
  <c r="D86" i="16"/>
  <c r="AH126" i="16"/>
  <c r="AH50" i="16"/>
  <c r="AH53" i="16" s="1"/>
  <c r="H126" i="16"/>
  <c r="H50" i="16"/>
  <c r="H53" i="16" s="1"/>
  <c r="H137" i="16" s="1"/>
  <c r="T126" i="16"/>
  <c r="T50" i="16"/>
  <c r="T53" i="16" s="1"/>
  <c r="T137" i="16" s="1"/>
  <c r="AF126" i="16"/>
  <c r="AF50" i="16"/>
  <c r="AF53" i="16" s="1"/>
  <c r="AF137" i="16" s="1"/>
  <c r="Q126" i="16"/>
  <c r="Q50" i="16"/>
  <c r="Q53" i="16" s="1"/>
  <c r="Q137" i="16" s="1"/>
  <c r="D122" i="16"/>
  <c r="D132" i="16" s="1"/>
  <c r="G126" i="16"/>
  <c r="G50" i="16"/>
  <c r="G53" i="16" s="1"/>
  <c r="G137" i="16" s="1"/>
  <c r="K126" i="16"/>
  <c r="K50" i="16"/>
  <c r="K53" i="16" s="1"/>
  <c r="K137" i="16" s="1"/>
  <c r="O126" i="16"/>
  <c r="O50" i="16"/>
  <c r="O53" i="16" s="1"/>
  <c r="O137" i="16" s="1"/>
  <c r="S126" i="16"/>
  <c r="S50" i="16"/>
  <c r="S53" i="16" s="1"/>
  <c r="S137" i="16" s="1"/>
  <c r="W126" i="16"/>
  <c r="W50" i="16"/>
  <c r="W53" i="16" s="1"/>
  <c r="W137" i="16" s="1"/>
  <c r="AA126" i="16"/>
  <c r="AA50" i="16"/>
  <c r="AA53" i="16" s="1"/>
  <c r="AA137" i="16" s="1"/>
  <c r="AE126" i="16"/>
  <c r="AE50" i="16"/>
  <c r="AE53" i="16" s="1"/>
  <c r="AE137" i="16" s="1"/>
  <c r="D127" i="16"/>
  <c r="D138" i="16" s="1"/>
  <c r="D41" i="16"/>
  <c r="AJ119" i="59" s="1"/>
  <c r="D50" i="15"/>
  <c r="D53" i="15" s="1"/>
  <c r="D137" i="15" s="1"/>
  <c r="D126" i="15"/>
  <c r="U9" i="20"/>
  <c r="U8" i="20"/>
  <c r="E17" i="13"/>
  <c r="E19" i="13" s="1"/>
  <c r="I20" i="7"/>
  <c r="I19" i="7"/>
  <c r="C47" i="44" s="1"/>
  <c r="I18" i="7"/>
  <c r="X14" i="7"/>
  <c r="X15" i="7"/>
  <c r="I14" i="7"/>
  <c r="I15" i="7"/>
  <c r="S15" i="7"/>
  <c r="S14" i="7"/>
  <c r="S16" i="7"/>
  <c r="D41" i="15"/>
  <c r="D119" i="59" s="1"/>
  <c r="P10" i="20"/>
  <c r="O12" i="20"/>
  <c r="P11" i="20"/>
  <c r="J8" i="13"/>
  <c r="G16" i="13"/>
  <c r="E28" i="13" s="1"/>
  <c r="E29" i="13" s="1"/>
  <c r="E30" i="13" s="1"/>
  <c r="E32" i="13" s="1"/>
  <c r="T7" i="20"/>
  <c r="F38" i="15"/>
  <c r="F127" i="15" s="1"/>
  <c r="F138" i="15" s="1"/>
  <c r="J38" i="15"/>
  <c r="J127" i="15" s="1"/>
  <c r="J138" i="15" s="1"/>
  <c r="N38" i="15"/>
  <c r="N127" i="15" s="1"/>
  <c r="N138" i="15" s="1"/>
  <c r="R38" i="15"/>
  <c r="R127" i="15" s="1"/>
  <c r="R138" i="15" s="1"/>
  <c r="V38" i="15"/>
  <c r="V127" i="15" s="1"/>
  <c r="V138" i="15" s="1"/>
  <c r="Z38" i="15"/>
  <c r="Z127" i="15" s="1"/>
  <c r="Z138" i="15" s="1"/>
  <c r="AD38" i="15"/>
  <c r="AD127" i="15" s="1"/>
  <c r="AD138" i="15" s="1"/>
  <c r="AH38" i="15"/>
  <c r="E34" i="11"/>
  <c r="E35" i="11" s="1"/>
  <c r="E36" i="11" s="1"/>
  <c r="F33" i="11"/>
  <c r="F10" i="11"/>
  <c r="F17" i="11"/>
  <c r="F18" i="11" s="1"/>
  <c r="F19" i="11" s="1"/>
  <c r="F11" i="11"/>
  <c r="E18" i="13"/>
  <c r="G7" i="13"/>
  <c r="G9" i="13" s="1"/>
  <c r="F17" i="13"/>
  <c r="D19" i="13"/>
  <c r="J9" i="13"/>
  <c r="D18" i="11"/>
  <c r="D19" i="11" s="1"/>
  <c r="G7" i="11"/>
  <c r="G8" i="11" s="1"/>
  <c r="J8" i="11"/>
  <c r="E17" i="11"/>
  <c r="E18" i="11" s="1"/>
  <c r="E19" i="11" s="1"/>
  <c r="J9" i="11"/>
  <c r="R28" i="36" l="1"/>
  <c r="R26" i="36"/>
  <c r="D3" i="20"/>
  <c r="E3" i="20" s="1"/>
  <c r="F3" i="20" s="1"/>
  <c r="G3" i="20" s="1"/>
  <c r="AC3" i="20"/>
  <c r="AD3" i="20" s="1"/>
  <c r="AE3" i="20" s="1"/>
  <c r="AF3" i="20" s="1"/>
  <c r="I3" i="54"/>
  <c r="J3" i="54" s="1"/>
  <c r="K3" i="54" s="1"/>
  <c r="L3" i="54" s="1"/>
  <c r="I3" i="38"/>
  <c r="J3" i="38"/>
  <c r="K3" i="38" s="1"/>
  <c r="L3" i="38" s="1"/>
  <c r="AC3" i="46"/>
  <c r="AD3" i="46" s="1"/>
  <c r="AE3" i="46" s="1"/>
  <c r="AF3" i="46" s="1"/>
  <c r="AC7" i="48"/>
  <c r="AB12" i="48"/>
  <c r="X3" i="48"/>
  <c r="Y3" i="48" s="1"/>
  <c r="Z3" i="48" s="1"/>
  <c r="AA3" i="48" s="1"/>
  <c r="D2" i="54"/>
  <c r="D3" i="38"/>
  <c r="E3" i="38" s="1"/>
  <c r="F3" i="38" s="1"/>
  <c r="G3" i="38" s="1"/>
  <c r="N3" i="54"/>
  <c r="O3" i="54" s="1"/>
  <c r="P3" i="54" s="1"/>
  <c r="Q3" i="54" s="1"/>
  <c r="C46" i="44"/>
  <c r="C48" i="44" s="1"/>
  <c r="D51" i="44" s="1"/>
  <c r="Y16" i="25"/>
  <c r="X20" i="25"/>
  <c r="I3" i="42"/>
  <c r="J3" i="42" s="1"/>
  <c r="K3" i="42" s="1"/>
  <c r="L3" i="42" s="1"/>
  <c r="AC3" i="48"/>
  <c r="AD3" i="48" s="1"/>
  <c r="AE3" i="48" s="1"/>
  <c r="AF3" i="48" s="1"/>
  <c r="X3" i="46"/>
  <c r="Y3" i="46"/>
  <c r="Z3" i="46" s="1"/>
  <c r="AA3" i="46" s="1"/>
  <c r="D2" i="53"/>
  <c r="N3" i="38"/>
  <c r="O3" i="38" s="1"/>
  <c r="P3" i="38" s="1"/>
  <c r="Q3" i="38" s="1"/>
  <c r="AB12" i="53"/>
  <c r="AC7" i="53"/>
  <c r="D3" i="42"/>
  <c r="E3" i="42" s="1"/>
  <c r="F3" i="42" s="1"/>
  <c r="G3" i="42" s="1"/>
  <c r="I3" i="28"/>
  <c r="J3" i="28" s="1"/>
  <c r="K3" i="28" s="1"/>
  <c r="L3" i="28" s="1"/>
  <c r="AC7" i="46"/>
  <c r="AB12" i="46"/>
  <c r="E39" i="11"/>
  <c r="E40" i="11"/>
  <c r="E66" i="45" s="1"/>
  <c r="AK66" i="45" s="1"/>
  <c r="I3" i="20"/>
  <c r="J3" i="20" s="1"/>
  <c r="K3" i="20" s="1"/>
  <c r="L3" i="20" s="1"/>
  <c r="I3" i="53"/>
  <c r="J3" i="53" s="1"/>
  <c r="K3" i="53" s="1"/>
  <c r="L3" i="53" s="1"/>
  <c r="X3" i="38"/>
  <c r="Y3" i="38" s="1"/>
  <c r="Z3" i="38" s="1"/>
  <c r="AA3" i="38" s="1"/>
  <c r="D3" i="28"/>
  <c r="E3" i="28" s="1"/>
  <c r="F3" i="28" s="1"/>
  <c r="G3" i="28" s="1"/>
  <c r="O16" i="25"/>
  <c r="N20" i="25"/>
  <c r="S18" i="25"/>
  <c r="T16" i="25"/>
  <c r="D3" i="46"/>
  <c r="E3" i="46" s="1"/>
  <c r="F3" i="46" s="1"/>
  <c r="G3" i="46" s="1"/>
  <c r="I3" i="46"/>
  <c r="J3" i="46" s="1"/>
  <c r="K3" i="46" s="1"/>
  <c r="L3" i="46" s="1"/>
  <c r="AC3" i="38"/>
  <c r="AD3" i="38" s="1"/>
  <c r="AE3" i="38" s="1"/>
  <c r="AF3" i="38" s="1"/>
  <c r="AB12" i="54"/>
  <c r="AC7" i="54"/>
  <c r="D3" i="48"/>
  <c r="E3" i="48" s="1"/>
  <c r="F3" i="48" s="1"/>
  <c r="G3" i="48" s="1"/>
  <c r="I3" i="19"/>
  <c r="J3" i="19" s="1"/>
  <c r="K3" i="19" s="1"/>
  <c r="L3" i="19" s="1"/>
  <c r="AC3" i="29"/>
  <c r="AD3" i="29" s="1"/>
  <c r="AE3" i="29" s="1"/>
  <c r="AF3" i="29" s="1"/>
  <c r="AC3" i="54"/>
  <c r="AD3" i="54" s="1"/>
  <c r="AE3" i="54" s="1"/>
  <c r="AF3" i="54" s="1"/>
  <c r="X3" i="29"/>
  <c r="Y3" i="29" s="1"/>
  <c r="Z3" i="29" s="1"/>
  <c r="AA3" i="29" s="1"/>
  <c r="N3" i="42"/>
  <c r="I3" i="48"/>
  <c r="J3" i="48" s="1"/>
  <c r="K3" i="48" s="1"/>
  <c r="L3" i="48" s="1"/>
  <c r="AC3" i="42"/>
  <c r="AD3" i="42"/>
  <c r="AE3" i="42" s="1"/>
  <c r="AF3" i="42" s="1"/>
  <c r="AC3" i="53"/>
  <c r="AD3" i="53" s="1"/>
  <c r="AE3" i="53" s="1"/>
  <c r="AF3" i="53" s="1"/>
  <c r="N3" i="46"/>
  <c r="O3" i="46" s="1"/>
  <c r="P3" i="46" s="1"/>
  <c r="Q3" i="46" s="1"/>
  <c r="X3" i="42"/>
  <c r="Y3" i="42" s="1"/>
  <c r="Z3" i="42" s="1"/>
  <c r="AA3" i="42" s="1"/>
  <c r="N3" i="20"/>
  <c r="O3" i="20" s="1"/>
  <c r="P3" i="20" s="1"/>
  <c r="Q3" i="20" s="1"/>
  <c r="E17" i="25"/>
  <c r="O22" i="24"/>
  <c r="D3" i="29"/>
  <c r="E3" i="29" s="1"/>
  <c r="F3" i="29" s="1"/>
  <c r="G3" i="29" s="1"/>
  <c r="I3" i="29"/>
  <c r="J3" i="29" s="1"/>
  <c r="K3" i="29" s="1"/>
  <c r="L3" i="29" s="1"/>
  <c r="N3" i="28"/>
  <c r="O3" i="28" s="1"/>
  <c r="P3" i="28" s="1"/>
  <c r="Q3" i="28" s="1"/>
  <c r="J16" i="25"/>
  <c r="I20" i="25"/>
  <c r="O3" i="42"/>
  <c r="P3" i="42" s="1"/>
  <c r="Q3" i="42" s="1"/>
  <c r="E16" i="25"/>
  <c r="D18" i="25"/>
  <c r="D2" i="38"/>
  <c r="E2" i="38"/>
  <c r="D2" i="48"/>
  <c r="E2" i="48" s="1"/>
  <c r="D2" i="29"/>
  <c r="D2" i="46"/>
  <c r="E2" i="46" s="1"/>
  <c r="F2" i="46" s="1"/>
  <c r="D2" i="42"/>
  <c r="D2" i="28"/>
  <c r="E12" i="44"/>
  <c r="D18" i="44"/>
  <c r="E18" i="44" s="1"/>
  <c r="C59" i="44" s="1"/>
  <c r="C65" i="44" s="1"/>
  <c r="D17" i="44"/>
  <c r="D19" i="44"/>
  <c r="C8" i="50"/>
  <c r="C7" i="50"/>
  <c r="D7" i="50" s="1"/>
  <c r="C6" i="50"/>
  <c r="R84" i="36"/>
  <c r="BA55" i="36"/>
  <c r="BA53" i="36"/>
  <c r="BA94" i="36" s="1"/>
  <c r="BA90" i="36"/>
  <c r="S59" i="36"/>
  <c r="R40" i="38" s="1"/>
  <c r="AX59" i="36"/>
  <c r="Q40" i="42" s="1"/>
  <c r="AV84" i="36"/>
  <c r="AV26" i="36"/>
  <c r="AV87" i="36" s="1"/>
  <c r="AV28" i="36"/>
  <c r="AX70" i="36"/>
  <c r="AW25" i="36"/>
  <c r="P37" i="42" s="1"/>
  <c r="AW69" i="36"/>
  <c r="S23" i="36"/>
  <c r="S25" i="36" s="1"/>
  <c r="AW60" i="36"/>
  <c r="AW62" i="36"/>
  <c r="AX36" i="36"/>
  <c r="Q36" i="42" s="1"/>
  <c r="AY35" i="36"/>
  <c r="T35" i="36"/>
  <c r="AY32" i="36"/>
  <c r="T32" i="36"/>
  <c r="AW77" i="36"/>
  <c r="AW39" i="36"/>
  <c r="AW37" i="36"/>
  <c r="AW81" i="36" s="1"/>
  <c r="AX46" i="36"/>
  <c r="AX44" i="36"/>
  <c r="AX97" i="36"/>
  <c r="R62" i="36"/>
  <c r="R60" i="36"/>
  <c r="AX23" i="36"/>
  <c r="BA18" i="36"/>
  <c r="V18" i="36"/>
  <c r="U19" i="36"/>
  <c r="U20" i="36" s="1"/>
  <c r="U56" i="36"/>
  <c r="AZ30" i="36"/>
  <c r="AZ31" i="36"/>
  <c r="AZ34" i="36"/>
  <c r="BA29" i="36"/>
  <c r="AZ33" i="36"/>
  <c r="V29" i="36"/>
  <c r="U33" i="36"/>
  <c r="U30" i="36"/>
  <c r="U31" i="36"/>
  <c r="U34" i="36"/>
  <c r="AY58" i="36"/>
  <c r="AY57" i="36"/>
  <c r="BC49" i="36"/>
  <c r="BD47" i="36"/>
  <c r="BC51" i="36"/>
  <c r="BC48" i="36"/>
  <c r="T21" i="36"/>
  <c r="T22" i="36"/>
  <c r="AZ41" i="36"/>
  <c r="AZ42" i="36"/>
  <c r="BA40" i="36"/>
  <c r="Y47" i="36"/>
  <c r="AY22" i="36"/>
  <c r="AY21" i="36"/>
  <c r="BB50" i="36"/>
  <c r="BB52" i="36" s="1"/>
  <c r="U39" i="42" s="1"/>
  <c r="AZ19" i="36"/>
  <c r="AZ20" i="36" s="1"/>
  <c r="AZ56" i="36"/>
  <c r="V40" i="36"/>
  <c r="U42" i="36"/>
  <c r="T58" i="36"/>
  <c r="T57" i="36"/>
  <c r="AY43" i="36"/>
  <c r="R38" i="42" s="1"/>
  <c r="G19" i="11"/>
  <c r="E37" i="11"/>
  <c r="E72" i="14" s="1"/>
  <c r="E38" i="11"/>
  <c r="AC7" i="42"/>
  <c r="AB12" i="42"/>
  <c r="AC7" i="38"/>
  <c r="AB12" i="38"/>
  <c r="AB12" i="28"/>
  <c r="AC7" i="28"/>
  <c r="AB12" i="19"/>
  <c r="AC7" i="19"/>
  <c r="AC7" i="29"/>
  <c r="AB12" i="29"/>
  <c r="G19" i="13"/>
  <c r="D2" i="19"/>
  <c r="D2" i="20"/>
  <c r="D76" i="14"/>
  <c r="D80" i="14"/>
  <c r="D80" i="12"/>
  <c r="D76" i="12"/>
  <c r="N25" i="13"/>
  <c r="D75" i="14"/>
  <c r="D75" i="12"/>
  <c r="D79" i="14"/>
  <c r="D77" i="14"/>
  <c r="D77" i="12"/>
  <c r="D79" i="12"/>
  <c r="D78" i="14"/>
  <c r="D78" i="12"/>
  <c r="X86" i="16"/>
  <c r="AH137" i="16"/>
  <c r="AH127" i="15"/>
  <c r="AH138" i="15" s="1"/>
  <c r="D87" i="15"/>
  <c r="V8" i="20"/>
  <c r="V9" i="20"/>
  <c r="G8" i="13"/>
  <c r="I24" i="7"/>
  <c r="I25" i="7"/>
  <c r="J25" i="7" s="1"/>
  <c r="I26" i="7"/>
  <c r="J26" i="7" s="1"/>
  <c r="I27" i="7"/>
  <c r="S19" i="7"/>
  <c r="U19" i="7" s="1"/>
  <c r="S20" i="7"/>
  <c r="S21" i="7"/>
  <c r="Q11" i="20"/>
  <c r="Q10" i="20"/>
  <c r="P12" i="20"/>
  <c r="G33" i="11"/>
  <c r="F34" i="11"/>
  <c r="F35" i="11" s="1"/>
  <c r="F36" i="11" s="1"/>
  <c r="F28" i="13"/>
  <c r="G11" i="13"/>
  <c r="U7" i="20"/>
  <c r="E31" i="15"/>
  <c r="G11" i="11"/>
  <c r="F18" i="13"/>
  <c r="F19" i="13"/>
  <c r="G10" i="13"/>
  <c r="G10" i="11"/>
  <c r="G9" i="11"/>
  <c r="R87" i="36" l="1"/>
  <c r="C27" i="25"/>
  <c r="G51" i="44"/>
  <c r="G50" i="44"/>
  <c r="L59" i="60"/>
  <c r="AA12" i="52"/>
  <c r="U12" i="52"/>
  <c r="H12" i="52"/>
  <c r="AG12" i="52"/>
  <c r="D12" i="52"/>
  <c r="AC12" i="52"/>
  <c r="P12" i="52"/>
  <c r="O12" i="52"/>
  <c r="L12" i="52"/>
  <c r="AE12" i="52"/>
  <c r="X12" i="52"/>
  <c r="J12" i="52"/>
  <c r="T12" i="52"/>
  <c r="F12" i="52"/>
  <c r="AF12" i="52"/>
  <c r="R12" i="52"/>
  <c r="AB12" i="52"/>
  <c r="N12" i="52"/>
  <c r="C12" i="52"/>
  <c r="Z12" i="52"/>
  <c r="B3" i="61"/>
  <c r="W12" i="52"/>
  <c r="V12" i="52"/>
  <c r="I12" i="52"/>
  <c r="G12" i="52"/>
  <c r="K12" i="52"/>
  <c r="E12" i="52"/>
  <c r="AD12" i="52"/>
  <c r="Q12" i="52"/>
  <c r="S12" i="52"/>
  <c r="M12" i="52"/>
  <c r="C28" i="25"/>
  <c r="L60" i="60" s="1"/>
  <c r="Y12" i="52"/>
  <c r="E2" i="42"/>
  <c r="AC12" i="54"/>
  <c r="AD7" i="54"/>
  <c r="F37" i="11"/>
  <c r="F40" i="11"/>
  <c r="F66" i="45" s="1"/>
  <c r="AL66" i="45" s="1"/>
  <c r="F39" i="11"/>
  <c r="F38" i="11"/>
  <c r="E61" i="45"/>
  <c r="AK61" i="45" s="1"/>
  <c r="AK63" i="45" s="1"/>
  <c r="E64" i="45"/>
  <c r="AK64" i="45" s="1"/>
  <c r="E2" i="53"/>
  <c r="AC12" i="48"/>
  <c r="AD7" i="48"/>
  <c r="AC12" i="53"/>
  <c r="AD7" i="53"/>
  <c r="E2" i="54"/>
  <c r="AD7" i="46"/>
  <c r="AC12" i="46"/>
  <c r="D6" i="50"/>
  <c r="E6" i="50" s="1"/>
  <c r="J9" i="49"/>
  <c r="U8" i="49"/>
  <c r="D8" i="50"/>
  <c r="E8" i="50" s="1"/>
  <c r="P5" i="49"/>
  <c r="E7" i="50"/>
  <c r="F2" i="42"/>
  <c r="E2" i="29"/>
  <c r="F2" i="48"/>
  <c r="E2" i="19"/>
  <c r="E13" i="49"/>
  <c r="C4" i="50"/>
  <c r="H20" i="44"/>
  <c r="E17" i="44"/>
  <c r="E2" i="28"/>
  <c r="G2" i="46"/>
  <c r="F2" i="38"/>
  <c r="AX60" i="36"/>
  <c r="AX62" i="36"/>
  <c r="S28" i="36"/>
  <c r="R37" i="38"/>
  <c r="AY70" i="36"/>
  <c r="S26" i="36"/>
  <c r="S87" i="36" s="1"/>
  <c r="AY36" i="36"/>
  <c r="AY77" i="36" s="1"/>
  <c r="BC50" i="36"/>
  <c r="BC52" i="36" s="1"/>
  <c r="V39" i="42" s="1"/>
  <c r="T59" i="36"/>
  <c r="S62" i="36"/>
  <c r="S60" i="36"/>
  <c r="S84" i="36"/>
  <c r="AW84" i="36"/>
  <c r="AW26" i="36"/>
  <c r="AW87" i="36" s="1"/>
  <c r="AW28" i="36"/>
  <c r="AX77" i="36"/>
  <c r="AX37" i="36"/>
  <c r="AX81" i="36" s="1"/>
  <c r="AX39" i="36"/>
  <c r="U35" i="36"/>
  <c r="U32" i="36"/>
  <c r="AY23" i="36"/>
  <c r="T23" i="36"/>
  <c r="T25" i="36" s="1"/>
  <c r="S37" i="38" s="1"/>
  <c r="AZ35" i="36"/>
  <c r="AZ32" i="36"/>
  <c r="AX25" i="36"/>
  <c r="Q37" i="42" s="1"/>
  <c r="AX69" i="36"/>
  <c r="U22" i="36"/>
  <c r="U21" i="36"/>
  <c r="BA41" i="36"/>
  <c r="BA42" i="36"/>
  <c r="BB40" i="36"/>
  <c r="BD49" i="36"/>
  <c r="BD51" i="36"/>
  <c r="BE47" i="36"/>
  <c r="BD48" i="36"/>
  <c r="V56" i="36"/>
  <c r="V30" i="36"/>
  <c r="V34" i="36"/>
  <c r="W29" i="36"/>
  <c r="V33" i="36"/>
  <c r="V31" i="36"/>
  <c r="BB18" i="36"/>
  <c r="V19" i="36"/>
  <c r="V20" i="36" s="1"/>
  <c r="W18" i="36"/>
  <c r="V42" i="36"/>
  <c r="W40" i="36"/>
  <c r="AZ22" i="36"/>
  <c r="AZ21" i="36"/>
  <c r="BB90" i="36"/>
  <c r="BB53" i="36"/>
  <c r="BB94" i="36" s="1"/>
  <c r="BB55" i="36"/>
  <c r="BA19" i="36"/>
  <c r="BA20" i="36" s="1"/>
  <c r="BA56" i="36"/>
  <c r="AY97" i="36"/>
  <c r="AY46" i="36"/>
  <c r="AY44" i="36"/>
  <c r="AZ57" i="36"/>
  <c r="AZ58" i="36"/>
  <c r="Z47" i="36"/>
  <c r="AZ43" i="36"/>
  <c r="S38" i="42" s="1"/>
  <c r="AY59" i="36"/>
  <c r="R40" i="42" s="1"/>
  <c r="BA33" i="36"/>
  <c r="BA34" i="36"/>
  <c r="BB29" i="36"/>
  <c r="BA30" i="36"/>
  <c r="BA31" i="36"/>
  <c r="U57" i="36"/>
  <c r="U58" i="36"/>
  <c r="E63" i="36"/>
  <c r="E72" i="12"/>
  <c r="F72" i="14"/>
  <c r="AD7" i="38"/>
  <c r="AC12" i="38"/>
  <c r="AD7" i="28"/>
  <c r="AC12" i="28"/>
  <c r="AC12" i="19"/>
  <c r="AD7" i="19"/>
  <c r="AD7" i="29"/>
  <c r="AC12" i="29"/>
  <c r="AC12" i="42"/>
  <c r="AD7" i="42"/>
  <c r="J24" i="7"/>
  <c r="M22" i="24"/>
  <c r="L116" i="24" s="1"/>
  <c r="K85" i="44" s="1"/>
  <c r="E2" i="20"/>
  <c r="E50" i="15"/>
  <c r="E53" i="15" s="1"/>
  <c r="E137" i="15" s="1"/>
  <c r="E126" i="15"/>
  <c r="W9" i="20"/>
  <c r="W8" i="20"/>
  <c r="R11" i="20"/>
  <c r="R10" i="20"/>
  <c r="Q12" i="20"/>
  <c r="F72" i="12"/>
  <c r="H33" i="11"/>
  <c r="G34" i="11"/>
  <c r="G35" i="11" s="1"/>
  <c r="G36" i="11" s="1"/>
  <c r="E73" i="14"/>
  <c r="E31" i="13"/>
  <c r="E33" i="13" s="1"/>
  <c r="E64" i="36" s="1"/>
  <c r="F29" i="13"/>
  <c r="F30" i="13" s="1"/>
  <c r="G28" i="13"/>
  <c r="V7" i="20"/>
  <c r="F31" i="15"/>
  <c r="AD12" i="46" l="1"/>
  <c r="AE7" i="46"/>
  <c r="F61" i="45"/>
  <c r="AL61" i="45" s="1"/>
  <c r="AL63" i="45" s="1"/>
  <c r="F64" i="45"/>
  <c r="AL64" i="45" s="1"/>
  <c r="D55" i="25"/>
  <c r="J55" i="25" s="1"/>
  <c r="D54" i="25"/>
  <c r="J54" i="25" s="1"/>
  <c r="F2" i="53"/>
  <c r="AD12" i="54"/>
  <c r="AE7" i="54"/>
  <c r="C29" i="25"/>
  <c r="F2" i="54"/>
  <c r="D53" i="25"/>
  <c r="J53" i="25" s="1"/>
  <c r="AD12" i="53"/>
  <c r="AE7" i="53"/>
  <c r="D50" i="25"/>
  <c r="G39" i="11"/>
  <c r="G37" i="11"/>
  <c r="G40" i="11"/>
  <c r="G66" i="45" s="1"/>
  <c r="AM66" i="45" s="1"/>
  <c r="G38" i="11"/>
  <c r="D52" i="25"/>
  <c r="J52" i="25" s="1"/>
  <c r="AD12" i="48"/>
  <c r="AE7" i="48"/>
  <c r="D51" i="25"/>
  <c r="J51" i="25" s="1"/>
  <c r="O3" i="50"/>
  <c r="O6" i="50" s="1"/>
  <c r="P6" i="50" s="1"/>
  <c r="Q6" i="50" s="1"/>
  <c r="R6" i="50" s="1"/>
  <c r="S6" i="50" s="1"/>
  <c r="T6" i="50" s="1"/>
  <c r="U6" i="50" s="1"/>
  <c r="V6" i="50" s="1"/>
  <c r="W6" i="50" s="1"/>
  <c r="X6" i="50" s="1"/>
  <c r="Y6" i="50" s="1"/>
  <c r="G2" i="48"/>
  <c r="G2" i="42"/>
  <c r="U3" i="49"/>
  <c r="U6" i="49"/>
  <c r="U4" i="49"/>
  <c r="U5" i="49"/>
  <c r="U7" i="49"/>
  <c r="I20" i="44"/>
  <c r="H24" i="44"/>
  <c r="I24" i="44" s="1"/>
  <c r="P3" i="49"/>
  <c r="P4" i="49"/>
  <c r="F2" i="28"/>
  <c r="E7" i="49"/>
  <c r="E4" i="49"/>
  <c r="E11" i="49"/>
  <c r="E8" i="49"/>
  <c r="E6" i="49"/>
  <c r="E5" i="49"/>
  <c r="E10" i="49"/>
  <c r="E9" i="49"/>
  <c r="E12" i="49"/>
  <c r="F2" i="29"/>
  <c r="J5" i="49"/>
  <c r="J4" i="49"/>
  <c r="C19" i="49" s="1"/>
  <c r="J8" i="49"/>
  <c r="J6" i="49"/>
  <c r="J3" i="49"/>
  <c r="C21" i="49" s="1"/>
  <c r="J7" i="49"/>
  <c r="F2" i="19"/>
  <c r="G2" i="38"/>
  <c r="C58" i="44"/>
  <c r="E110" i="24"/>
  <c r="E5" i="50"/>
  <c r="D4" i="50"/>
  <c r="T62" i="36"/>
  <c r="S40" i="38"/>
  <c r="T60" i="36"/>
  <c r="AY37" i="36"/>
  <c r="AY81" i="36" s="1"/>
  <c r="R36" i="42"/>
  <c r="AY39" i="36"/>
  <c r="BD50" i="36"/>
  <c r="BD52" i="36" s="1"/>
  <c r="BD53" i="36" s="1"/>
  <c r="BD94" i="36" s="1"/>
  <c r="U23" i="36"/>
  <c r="AZ70" i="36"/>
  <c r="BA32" i="36"/>
  <c r="V35" i="36"/>
  <c r="AZ36" i="36"/>
  <c r="S36" i="42" s="1"/>
  <c r="U59" i="36"/>
  <c r="T40" i="38" s="1"/>
  <c r="AZ59" i="36"/>
  <c r="AZ60" i="36" s="1"/>
  <c r="BA35" i="36"/>
  <c r="V32" i="36"/>
  <c r="AZ23" i="36"/>
  <c r="AX28" i="36"/>
  <c r="AX26" i="36"/>
  <c r="AX87" i="36" s="1"/>
  <c r="AX84" i="36"/>
  <c r="AY25" i="36"/>
  <c r="R37" i="42" s="1"/>
  <c r="AY69" i="36"/>
  <c r="BD55" i="36"/>
  <c r="AY60" i="36"/>
  <c r="AY62" i="36"/>
  <c r="X40" i="36"/>
  <c r="W42" i="36"/>
  <c r="BB19" i="36"/>
  <c r="BB20" i="36" s="1"/>
  <c r="BB56" i="36"/>
  <c r="BB30" i="36"/>
  <c r="BC29" i="36"/>
  <c r="BB34" i="36"/>
  <c r="BB33" i="36"/>
  <c r="BB31" i="36"/>
  <c r="BC90" i="36"/>
  <c r="BC53" i="36"/>
  <c r="BC94" i="36" s="1"/>
  <c r="BC55" i="36"/>
  <c r="AA47" i="36"/>
  <c r="BA57" i="36"/>
  <c r="BA58" i="36"/>
  <c r="V21" i="36"/>
  <c r="V22" i="36"/>
  <c r="BF47" i="36"/>
  <c r="BE48" i="36"/>
  <c r="BE49" i="36"/>
  <c r="BE51" i="36"/>
  <c r="T28" i="36"/>
  <c r="T26" i="36"/>
  <c r="T87" i="36" s="1"/>
  <c r="T84" i="36"/>
  <c r="BA43" i="36"/>
  <c r="T38" i="42" s="1"/>
  <c r="U25" i="36"/>
  <c r="T37" i="38" s="1"/>
  <c r="AZ46" i="36"/>
  <c r="AZ97" i="36"/>
  <c r="AZ44" i="36"/>
  <c r="BA21" i="36"/>
  <c r="BA22" i="36"/>
  <c r="BC18" i="36"/>
  <c r="W19" i="36"/>
  <c r="W20" i="36" s="1"/>
  <c r="X18" i="36"/>
  <c r="W56" i="36"/>
  <c r="V58" i="36"/>
  <c r="V57" i="36"/>
  <c r="H4" i="9"/>
  <c r="L130" i="24"/>
  <c r="K95" i="44" s="1"/>
  <c r="M25" i="24"/>
  <c r="W31" i="36"/>
  <c r="X29" i="36"/>
  <c r="W33" i="36"/>
  <c r="W34" i="36"/>
  <c r="W30" i="36"/>
  <c r="BB42" i="36"/>
  <c r="BB41" i="36"/>
  <c r="BC40" i="36"/>
  <c r="G72" i="14"/>
  <c r="F63" i="36"/>
  <c r="E63" i="45"/>
  <c r="AK63" i="36"/>
  <c r="AK68" i="36" s="1"/>
  <c r="AK75" i="36" s="1"/>
  <c r="E68" i="36"/>
  <c r="AE7" i="38"/>
  <c r="AD12" i="38"/>
  <c r="AE7" i="29"/>
  <c r="AD12" i="29"/>
  <c r="AD12" i="28"/>
  <c r="AE7" i="28"/>
  <c r="AD12" i="42"/>
  <c r="AE7" i="42"/>
  <c r="AD12" i="19"/>
  <c r="AE7" i="19"/>
  <c r="AK64" i="36"/>
  <c r="E66" i="36"/>
  <c r="E65" i="36"/>
  <c r="F2" i="20"/>
  <c r="P22" i="24"/>
  <c r="F50" i="15"/>
  <c r="F53" i="15" s="1"/>
  <c r="F137" i="15" s="1"/>
  <c r="F126" i="15"/>
  <c r="X8" i="20"/>
  <c r="X9" i="20"/>
  <c r="E74" i="14"/>
  <c r="E219" i="14" s="1"/>
  <c r="E230" i="14" s="1"/>
  <c r="E79" i="14"/>
  <c r="E77" i="14"/>
  <c r="E75" i="14"/>
  <c r="E78" i="14"/>
  <c r="E76" i="14"/>
  <c r="E80" i="14"/>
  <c r="S10" i="20"/>
  <c r="R12" i="20"/>
  <c r="S11" i="20"/>
  <c r="G72" i="12"/>
  <c r="I33" i="11"/>
  <c r="H34" i="11"/>
  <c r="H35" i="11" s="1"/>
  <c r="H36" i="11" s="1"/>
  <c r="G29" i="13"/>
  <c r="G30" i="13" s="1"/>
  <c r="H28" i="13"/>
  <c r="F31" i="13"/>
  <c r="F33" i="13" s="1"/>
  <c r="F64" i="36" s="1"/>
  <c r="F32" i="13"/>
  <c r="F73" i="14" s="1"/>
  <c r="E73" i="12"/>
  <c r="W7" i="20"/>
  <c r="G31" i="15"/>
  <c r="D53" i="12"/>
  <c r="B13" i="9"/>
  <c r="Z48" i="36" s="1"/>
  <c r="G2" i="53" l="1"/>
  <c r="EE189" i="55"/>
  <c r="BP189" i="55"/>
  <c r="AF13" i="52"/>
  <c r="J13" i="52"/>
  <c r="Q13" i="52"/>
  <c r="P13" i="52"/>
  <c r="D13" i="52"/>
  <c r="T13" i="52"/>
  <c r="Z13" i="52"/>
  <c r="S13" i="52"/>
  <c r="U13" i="52"/>
  <c r="F13" i="52"/>
  <c r="I13" i="52"/>
  <c r="E13" i="52"/>
  <c r="AB13" i="52"/>
  <c r="O13" i="52"/>
  <c r="AE13" i="52"/>
  <c r="V13" i="52"/>
  <c r="C13" i="52"/>
  <c r="Y13" i="52"/>
  <c r="R13" i="52"/>
  <c r="H13" i="52"/>
  <c r="X13" i="52"/>
  <c r="M13" i="52"/>
  <c r="AC13" i="52"/>
  <c r="B5" i="61"/>
  <c r="AG13" i="52"/>
  <c r="L13" i="52"/>
  <c r="AA13" i="52"/>
  <c r="G13" i="52"/>
  <c r="W13" i="52"/>
  <c r="N13" i="52"/>
  <c r="AD13" i="52"/>
  <c r="K13" i="52"/>
  <c r="B82" i="15"/>
  <c r="B92" i="15" s="1"/>
  <c r="B105" i="15" s="1"/>
  <c r="K52" i="25"/>
  <c r="B82" i="16"/>
  <c r="B92" i="16" s="1"/>
  <c r="B105" i="16" s="1"/>
  <c r="K53" i="25"/>
  <c r="B83" i="16"/>
  <c r="B94" i="16" s="1"/>
  <c r="B103" i="16" s="1"/>
  <c r="B83" i="15"/>
  <c r="B94" i="15" s="1"/>
  <c r="B103" i="15" s="1"/>
  <c r="B84" i="16"/>
  <c r="B84" i="15"/>
  <c r="K54" i="25"/>
  <c r="M54" i="25" s="1"/>
  <c r="G2" i="54"/>
  <c r="K55" i="25"/>
  <c r="B85" i="15"/>
  <c r="B95" i="15" s="1"/>
  <c r="B102" i="15" s="1"/>
  <c r="B85" i="16"/>
  <c r="B95" i="16" s="1"/>
  <c r="B102" i="16" s="1"/>
  <c r="M28" i="24"/>
  <c r="L16" i="24"/>
  <c r="EC10" i="59" s="1"/>
  <c r="K51" i="25"/>
  <c r="B81" i="15"/>
  <c r="B93" i="15" s="1"/>
  <c r="B104" i="15" s="1"/>
  <c r="B81" i="16"/>
  <c r="B93" i="16" s="1"/>
  <c r="B104" i="16" s="1"/>
  <c r="G61" i="45"/>
  <c r="AM61" i="45" s="1"/>
  <c r="AM63" i="45" s="1"/>
  <c r="G64" i="45"/>
  <c r="AM64" i="45" s="1"/>
  <c r="H39" i="11"/>
  <c r="H37" i="11"/>
  <c r="H40" i="11"/>
  <c r="H66" i="45" s="1"/>
  <c r="AN66" i="45" s="1"/>
  <c r="H38" i="11"/>
  <c r="J50" i="25"/>
  <c r="D57" i="25"/>
  <c r="J57" i="25" s="1"/>
  <c r="AE12" i="54"/>
  <c r="AF7" i="54"/>
  <c r="AE12" i="46"/>
  <c r="AF7" i="46"/>
  <c r="AE12" i="48"/>
  <c r="AF7" i="48"/>
  <c r="AF7" i="53"/>
  <c r="AE12" i="53"/>
  <c r="F22" i="49"/>
  <c r="O5" i="50"/>
  <c r="O8" i="50"/>
  <c r="P8" i="50" s="1"/>
  <c r="Q8" i="50" s="1"/>
  <c r="R8" i="50" s="1"/>
  <c r="S8" i="50" s="1"/>
  <c r="T8" i="50" s="1"/>
  <c r="U8" i="50" s="1"/>
  <c r="V8" i="50" s="1"/>
  <c r="W8" i="50" s="1"/>
  <c r="X8" i="50" s="1"/>
  <c r="Y8" i="50" s="1"/>
  <c r="O7" i="50"/>
  <c r="P7" i="50" s="1"/>
  <c r="Q7" i="50" s="1"/>
  <c r="R7" i="50" s="1"/>
  <c r="S7" i="50" s="1"/>
  <c r="T7" i="50" s="1"/>
  <c r="U7" i="50" s="1"/>
  <c r="V7" i="50" s="1"/>
  <c r="W7" i="50" s="1"/>
  <c r="X7" i="50" s="1"/>
  <c r="Y7" i="50" s="1"/>
  <c r="F20" i="49"/>
  <c r="C20" i="49"/>
  <c r="P3" i="50"/>
  <c r="D6" i="52" s="1"/>
  <c r="C6" i="52"/>
  <c r="W32" i="36"/>
  <c r="E4" i="50"/>
  <c r="G2" i="19"/>
  <c r="C62" i="44"/>
  <c r="C63" i="44" s="1"/>
  <c r="G2" i="29"/>
  <c r="G2" i="28"/>
  <c r="K4" i="3"/>
  <c r="E61" i="33"/>
  <c r="E96" i="24"/>
  <c r="E113" i="24"/>
  <c r="E115" i="24"/>
  <c r="E114" i="24"/>
  <c r="E112" i="24"/>
  <c r="E111" i="24"/>
  <c r="E117" i="24"/>
  <c r="BD90" i="36"/>
  <c r="W39" i="42"/>
  <c r="AZ62" i="36"/>
  <c r="S40" i="42"/>
  <c r="I4" i="9"/>
  <c r="D45" i="45" s="1"/>
  <c r="AJ45" i="45" s="1"/>
  <c r="E95" i="44"/>
  <c r="H5" i="9"/>
  <c r="H6" i="9" s="1"/>
  <c r="Z51" i="36"/>
  <c r="L18" i="9"/>
  <c r="M16" i="9"/>
  <c r="M17" i="9"/>
  <c r="N17" i="9"/>
  <c r="L17" i="9"/>
  <c r="M18" i="9"/>
  <c r="N18" i="9"/>
  <c r="N16" i="9"/>
  <c r="D49" i="36"/>
  <c r="D51" i="36"/>
  <c r="D70" i="36" s="1"/>
  <c r="D48" i="36"/>
  <c r="E48" i="36"/>
  <c r="E51" i="36"/>
  <c r="E70" i="36" s="1"/>
  <c r="E49" i="36"/>
  <c r="F51" i="36"/>
  <c r="F70" i="36" s="1"/>
  <c r="F49" i="36"/>
  <c r="F48" i="36"/>
  <c r="G48" i="36"/>
  <c r="G51" i="36"/>
  <c r="G70" i="36" s="1"/>
  <c r="G49" i="36"/>
  <c r="H49" i="36"/>
  <c r="H48" i="36"/>
  <c r="H51" i="36"/>
  <c r="H70" i="36" s="1"/>
  <c r="I51" i="36"/>
  <c r="I70" i="36" s="1"/>
  <c r="I48" i="36"/>
  <c r="I49" i="36"/>
  <c r="J51" i="36"/>
  <c r="J70" i="36" s="1"/>
  <c r="J48" i="36"/>
  <c r="J49" i="36"/>
  <c r="K48" i="36"/>
  <c r="K49" i="36"/>
  <c r="K51" i="36"/>
  <c r="K70" i="36" s="1"/>
  <c r="L51" i="36"/>
  <c r="L70" i="36" s="1"/>
  <c r="L49" i="36"/>
  <c r="L48" i="36"/>
  <c r="M51" i="36"/>
  <c r="M70" i="36" s="1"/>
  <c r="M48" i="36"/>
  <c r="M49" i="36"/>
  <c r="N49" i="36"/>
  <c r="N51" i="36"/>
  <c r="N70" i="36" s="1"/>
  <c r="N48" i="36"/>
  <c r="O48" i="36"/>
  <c r="O51" i="36"/>
  <c r="O70" i="36" s="1"/>
  <c r="O49" i="36"/>
  <c r="P49" i="36"/>
  <c r="P51" i="36"/>
  <c r="P70" i="36" s="1"/>
  <c r="P48" i="36"/>
  <c r="Q49" i="36"/>
  <c r="Q48" i="36"/>
  <c r="Q51" i="36"/>
  <c r="Q70" i="36" s="1"/>
  <c r="R51" i="36"/>
  <c r="R70" i="36" s="1"/>
  <c r="R48" i="36"/>
  <c r="R49" i="36"/>
  <c r="S49" i="36"/>
  <c r="S51" i="36"/>
  <c r="S70" i="36" s="1"/>
  <c r="S48" i="36"/>
  <c r="T48" i="36"/>
  <c r="T49" i="36"/>
  <c r="T51" i="36"/>
  <c r="T70" i="36" s="1"/>
  <c r="U49" i="36"/>
  <c r="U51" i="36"/>
  <c r="U70" i="36" s="1"/>
  <c r="U48" i="36"/>
  <c r="V48" i="36"/>
  <c r="V49" i="36"/>
  <c r="V51" i="36"/>
  <c r="V70" i="36" s="1"/>
  <c r="W49" i="36"/>
  <c r="W51" i="36"/>
  <c r="W48" i="36"/>
  <c r="X49" i="36"/>
  <c r="X48" i="36"/>
  <c r="X51" i="36"/>
  <c r="Y49" i="36"/>
  <c r="Y51" i="36"/>
  <c r="Y48" i="36"/>
  <c r="Z49" i="36"/>
  <c r="Z50" i="36" s="1"/>
  <c r="Z52" i="36" s="1"/>
  <c r="Y39" i="38" s="1"/>
  <c r="BA36" i="36"/>
  <c r="BA70" i="36"/>
  <c r="W35" i="36"/>
  <c r="BA23" i="36"/>
  <c r="BA69" i="36" s="1"/>
  <c r="BA59" i="36"/>
  <c r="BB32" i="36"/>
  <c r="BB35" i="36"/>
  <c r="AY28" i="36"/>
  <c r="AY84" i="36"/>
  <c r="AY26" i="36"/>
  <c r="AY87" i="36" s="1"/>
  <c r="AZ69" i="36"/>
  <c r="AZ25" i="36"/>
  <c r="S37" i="42" s="1"/>
  <c r="U60" i="36"/>
  <c r="U62" i="36"/>
  <c r="V23" i="36"/>
  <c r="V25" i="36" s="1"/>
  <c r="U37" i="38" s="1"/>
  <c r="AZ77" i="36"/>
  <c r="AZ37" i="36"/>
  <c r="AZ81" i="36" s="1"/>
  <c r="AZ39" i="36"/>
  <c r="BF49" i="36"/>
  <c r="BF51" i="36"/>
  <c r="BF48" i="36"/>
  <c r="BG47" i="36"/>
  <c r="BB58" i="36"/>
  <c r="BB57" i="36"/>
  <c r="V59" i="36"/>
  <c r="U40" i="38" s="1"/>
  <c r="W58" i="36"/>
  <c r="W57" i="36"/>
  <c r="U28" i="36"/>
  <c r="U26" i="36"/>
  <c r="U87" i="36" s="1"/>
  <c r="U84" i="36"/>
  <c r="BE50" i="36"/>
  <c r="BE52" i="36" s="1"/>
  <c r="X39" i="42" s="1"/>
  <c r="BC31" i="36"/>
  <c r="BD29" i="36"/>
  <c r="BC33" i="36"/>
  <c r="BC30" i="36"/>
  <c r="BC34" i="36"/>
  <c r="L17" i="24"/>
  <c r="H38" i="24" s="1"/>
  <c r="H48" i="24" s="1"/>
  <c r="N28" i="24"/>
  <c r="N24" i="24"/>
  <c r="O28" i="24"/>
  <c r="O24" i="24"/>
  <c r="BA46" i="36"/>
  <c r="BA97" i="36"/>
  <c r="BA44" i="36"/>
  <c r="BB43" i="36"/>
  <c r="U38" i="42" s="1"/>
  <c r="W21" i="36"/>
  <c r="W22" i="36"/>
  <c r="AA51" i="36"/>
  <c r="AA48" i="36"/>
  <c r="AB47" i="36"/>
  <c r="AA49" i="36"/>
  <c r="BB21" i="36"/>
  <c r="BB22" i="36"/>
  <c r="X42" i="36"/>
  <c r="Y40" i="36"/>
  <c r="BC42" i="36"/>
  <c r="BC41" i="36"/>
  <c r="BD40" i="36"/>
  <c r="M116" i="24"/>
  <c r="E85" i="44"/>
  <c r="BD18" i="36"/>
  <c r="Y18" i="36"/>
  <c r="X19" i="36"/>
  <c r="X20" i="36" s="1"/>
  <c r="X56" i="36"/>
  <c r="Y29" i="36"/>
  <c r="X33" i="36"/>
  <c r="X30" i="36"/>
  <c r="X34" i="36"/>
  <c r="X31" i="36"/>
  <c r="M24" i="24"/>
  <c r="BC19" i="36"/>
  <c r="BC20" i="36" s="1"/>
  <c r="BC56" i="36"/>
  <c r="H72" i="14"/>
  <c r="F63" i="45"/>
  <c r="AL63" i="36"/>
  <c r="AL68" i="36" s="1"/>
  <c r="AL75" i="36" s="1"/>
  <c r="F68" i="36"/>
  <c r="G63" i="36"/>
  <c r="AF7" i="28"/>
  <c r="AE12" i="28"/>
  <c r="AF7" i="29"/>
  <c r="AE12" i="29"/>
  <c r="AF7" i="19"/>
  <c r="AE12" i="19"/>
  <c r="AF7" i="42"/>
  <c r="AE12" i="42"/>
  <c r="AF7" i="38"/>
  <c r="AE12" i="38"/>
  <c r="AL64" i="36"/>
  <c r="F66" i="36"/>
  <c r="F65" i="36"/>
  <c r="E71" i="36"/>
  <c r="BQ38" i="58" s="1"/>
  <c r="E37" i="58" s="1"/>
  <c r="AK37" i="58" s="1"/>
  <c r="BQ37" i="58" s="1"/>
  <c r="E106" i="36"/>
  <c r="AK65" i="36"/>
  <c r="AK66" i="36"/>
  <c r="AK73" i="36" s="1"/>
  <c r="V84" i="36"/>
  <c r="D77" i="7"/>
  <c r="J69" i="7"/>
  <c r="D29" i="49" s="1"/>
  <c r="E77" i="7"/>
  <c r="C77" i="7"/>
  <c r="G2" i="20"/>
  <c r="G50" i="15"/>
  <c r="G53" i="15" s="1"/>
  <c r="G137" i="15" s="1"/>
  <c r="G126" i="15"/>
  <c r="E74" i="12"/>
  <c r="E219" i="12" s="1"/>
  <c r="E230" i="12" s="1"/>
  <c r="E76" i="12"/>
  <c r="E77" i="12"/>
  <c r="E78" i="12"/>
  <c r="E79" i="12"/>
  <c r="E75" i="12"/>
  <c r="E80" i="12"/>
  <c r="Y9" i="20"/>
  <c r="Y8" i="20"/>
  <c r="F74" i="14"/>
  <c r="F219" i="14" s="1"/>
  <c r="F230" i="14" s="1"/>
  <c r="F80" i="14"/>
  <c r="F78" i="14"/>
  <c r="F76" i="14"/>
  <c r="F75" i="14"/>
  <c r="F77" i="14"/>
  <c r="F79" i="14"/>
  <c r="T11" i="20"/>
  <c r="T10" i="20"/>
  <c r="S12" i="20"/>
  <c r="H72" i="12"/>
  <c r="J33" i="11"/>
  <c r="I34" i="11"/>
  <c r="I35" i="11" s="1"/>
  <c r="I36" i="11" s="1"/>
  <c r="F73" i="12"/>
  <c r="H29" i="13"/>
  <c r="H30" i="13" s="1"/>
  <c r="I28" i="13"/>
  <c r="G31" i="13"/>
  <c r="G33" i="13" s="1"/>
  <c r="G64" i="36" s="1"/>
  <c r="G32" i="13"/>
  <c r="G73" i="14" s="1"/>
  <c r="X7" i="20"/>
  <c r="H31" i="15"/>
  <c r="M51" i="25" l="1"/>
  <c r="I4" i="4"/>
  <c r="I39" i="11"/>
  <c r="I37" i="11"/>
  <c r="I40" i="11"/>
  <c r="I66" i="45" s="1"/>
  <c r="AO66" i="45" s="1"/>
  <c r="I38" i="11"/>
  <c r="AF12" i="46"/>
  <c r="AG7" i="46"/>
  <c r="AG12" i="46" s="1"/>
  <c r="M52" i="25"/>
  <c r="C4" i="3"/>
  <c r="C5" i="3" s="1"/>
  <c r="C7" i="3" s="1"/>
  <c r="H64" i="45"/>
  <c r="AN64" i="45" s="1"/>
  <c r="H61" i="45"/>
  <c r="AN61" i="45" s="1"/>
  <c r="AN63" i="45" s="1"/>
  <c r="AF12" i="54"/>
  <c r="AG7" i="54"/>
  <c r="AG12" i="54" s="1"/>
  <c r="D96" i="55"/>
  <c r="D95" i="55"/>
  <c r="BZ189" i="55"/>
  <c r="AH96" i="55" s="1"/>
  <c r="BN96" i="55" s="1"/>
  <c r="EA189" i="55"/>
  <c r="AF12" i="53"/>
  <c r="AG7" i="53"/>
  <c r="AG12" i="53" s="1"/>
  <c r="AF12" i="48"/>
  <c r="AG7" i="48"/>
  <c r="AG12" i="48" s="1"/>
  <c r="K50" i="25"/>
  <c r="B80" i="15"/>
  <c r="B80" i="16"/>
  <c r="E4" i="26"/>
  <c r="Q3" i="50"/>
  <c r="E6" i="52" s="1"/>
  <c r="D4" i="51"/>
  <c r="D57" i="58" s="1"/>
  <c r="P5" i="50"/>
  <c r="K114" i="24"/>
  <c r="BS21" i="51"/>
  <c r="D7" i="51"/>
  <c r="AJ6" i="51"/>
  <c r="K111" i="24"/>
  <c r="E118" i="24"/>
  <c r="K113" i="24"/>
  <c r="K117" i="24"/>
  <c r="K115" i="24"/>
  <c r="K112" i="24"/>
  <c r="E60" i="33"/>
  <c r="E101" i="24"/>
  <c r="K101" i="24" s="1"/>
  <c r="E97" i="24"/>
  <c r="E103" i="24"/>
  <c r="K103" i="24" s="1"/>
  <c r="E100" i="24"/>
  <c r="K100" i="24" s="1"/>
  <c r="E99" i="24"/>
  <c r="K99" i="24" s="1"/>
  <c r="E98" i="24"/>
  <c r="K98" i="24" s="1"/>
  <c r="X50" i="36"/>
  <c r="Y50" i="36"/>
  <c r="Y52" i="36" s="1"/>
  <c r="Y55" i="36" s="1"/>
  <c r="U50" i="36"/>
  <c r="U52" i="36" s="1"/>
  <c r="T39" i="38" s="1"/>
  <c r="BA62" i="36"/>
  <c r="T40" i="42"/>
  <c r="BA37" i="36"/>
  <c r="BA81" i="36" s="1"/>
  <c r="T36" i="42"/>
  <c r="W50" i="36"/>
  <c r="W52" i="36" s="1"/>
  <c r="V39" i="38" s="1"/>
  <c r="AJ46" i="45"/>
  <c r="AK45" i="45"/>
  <c r="AJ47" i="45"/>
  <c r="AJ49" i="45"/>
  <c r="AJ68" i="45" s="1"/>
  <c r="D46" i="45"/>
  <c r="E45" i="45"/>
  <c r="D47" i="45"/>
  <c r="D49" i="45"/>
  <c r="D68" i="45" s="1"/>
  <c r="H7" i="9"/>
  <c r="H8" i="9"/>
  <c r="H10" i="9"/>
  <c r="E87" i="44"/>
  <c r="E97" i="44"/>
  <c r="I5" i="9"/>
  <c r="I6" i="9" s="1"/>
  <c r="Z53" i="36"/>
  <c r="Z94" i="36" s="1"/>
  <c r="Z55" i="36"/>
  <c r="Z90" i="36"/>
  <c r="P50" i="36"/>
  <c r="P52" i="36" s="1"/>
  <c r="O39" i="38" s="1"/>
  <c r="D50" i="36"/>
  <c r="D69" i="36" s="1"/>
  <c r="D72" i="36" s="1"/>
  <c r="O50" i="36"/>
  <c r="O52" i="36" s="1"/>
  <c r="M50" i="36"/>
  <c r="M52" i="36" s="1"/>
  <c r="L39" i="38" s="1"/>
  <c r="T50" i="36"/>
  <c r="T52" i="36" s="1"/>
  <c r="S39" i="38" s="1"/>
  <c r="N50" i="36"/>
  <c r="N52" i="36" s="1"/>
  <c r="L50" i="36"/>
  <c r="L52" i="36" s="1"/>
  <c r="K39" i="38" s="1"/>
  <c r="I50" i="36"/>
  <c r="I52" i="36" s="1"/>
  <c r="H39" i="38" s="1"/>
  <c r="H50" i="36"/>
  <c r="H52" i="36" s="1"/>
  <c r="H55" i="36" s="1"/>
  <c r="F50" i="36"/>
  <c r="F52" i="36" s="1"/>
  <c r="V50" i="36"/>
  <c r="V52" i="36" s="1"/>
  <c r="U39" i="38" s="1"/>
  <c r="Q50" i="36"/>
  <c r="Q52" i="36" s="1"/>
  <c r="P39" i="38" s="1"/>
  <c r="S50" i="36"/>
  <c r="S52" i="36" s="1"/>
  <c r="R39" i="38" s="1"/>
  <c r="R50" i="36"/>
  <c r="R52" i="36" s="1"/>
  <c r="Q39" i="38" s="1"/>
  <c r="K50" i="36"/>
  <c r="K52" i="36" s="1"/>
  <c r="J39" i="38" s="1"/>
  <c r="J50" i="36"/>
  <c r="J52" i="36" s="1"/>
  <c r="I39" i="38" s="1"/>
  <c r="G50" i="36"/>
  <c r="G52" i="36" s="1"/>
  <c r="F39" i="38" s="1"/>
  <c r="E50" i="36"/>
  <c r="E52" i="36" s="1"/>
  <c r="D39" i="38" s="1"/>
  <c r="BA25" i="36"/>
  <c r="T37" i="42" s="1"/>
  <c r="BA60" i="36"/>
  <c r="BB59" i="36"/>
  <c r="BB23" i="36"/>
  <c r="W23" i="36"/>
  <c r="W25" i="36" s="1"/>
  <c r="V37" i="38" s="1"/>
  <c r="BC43" i="36"/>
  <c r="W70" i="36"/>
  <c r="BA39" i="36"/>
  <c r="BA77" i="36"/>
  <c r="X32" i="36"/>
  <c r="BB70" i="36"/>
  <c r="X35" i="36"/>
  <c r="BC32" i="36"/>
  <c r="BB36" i="36"/>
  <c r="U36" i="42" s="1"/>
  <c r="AA50" i="36"/>
  <c r="AA52" i="36" s="1"/>
  <c r="BC35" i="36"/>
  <c r="AZ84" i="36"/>
  <c r="AZ26" i="36"/>
  <c r="AZ87" i="36" s="1"/>
  <c r="AZ28" i="36"/>
  <c r="V26" i="36"/>
  <c r="V87" i="36" s="1"/>
  <c r="V28" i="36"/>
  <c r="H39" i="24"/>
  <c r="H49" i="24" s="1"/>
  <c r="C38" i="24"/>
  <c r="C91" i="7"/>
  <c r="F38" i="24"/>
  <c r="F48" i="24" s="1"/>
  <c r="D87" i="7"/>
  <c r="G38" i="24"/>
  <c r="G48" i="24" s="1"/>
  <c r="F36" i="24"/>
  <c r="F46" i="24" s="1"/>
  <c r="G40" i="24"/>
  <c r="G50" i="24" s="1"/>
  <c r="H36" i="24"/>
  <c r="H46" i="24" s="1"/>
  <c r="C39" i="24"/>
  <c r="G37" i="24"/>
  <c r="G47" i="24" s="1"/>
  <c r="B38" i="24"/>
  <c r="D40" i="24"/>
  <c r="D50" i="24" s="1"/>
  <c r="D83" i="7"/>
  <c r="D36" i="24"/>
  <c r="D46" i="24" s="1"/>
  <c r="C88" i="7"/>
  <c r="B37" i="24"/>
  <c r="B47" i="24" s="1"/>
  <c r="D38" i="24"/>
  <c r="D48" i="24" s="1"/>
  <c r="H37" i="24"/>
  <c r="H47" i="24" s="1"/>
  <c r="E37" i="24"/>
  <c r="E47" i="24" s="1"/>
  <c r="D86" i="7"/>
  <c r="C40" i="24"/>
  <c r="C36" i="24"/>
  <c r="H40" i="24"/>
  <c r="H50" i="24" s="1"/>
  <c r="F39" i="24"/>
  <c r="F49" i="24" s="1"/>
  <c r="D84" i="7"/>
  <c r="D37" i="24"/>
  <c r="D47" i="24" s="1"/>
  <c r="G36" i="24"/>
  <c r="G46" i="24" s="1"/>
  <c r="B36" i="24"/>
  <c r="B46" i="24" s="1"/>
  <c r="E40" i="24"/>
  <c r="E50" i="24" s="1"/>
  <c r="E38" i="24"/>
  <c r="E48" i="24" s="1"/>
  <c r="F40" i="24"/>
  <c r="F50" i="24" s="1"/>
  <c r="D85" i="7"/>
  <c r="C37" i="24"/>
  <c r="E36" i="24"/>
  <c r="F37" i="24"/>
  <c r="F47" i="24" s="1"/>
  <c r="B40" i="24"/>
  <c r="B50" i="24" s="1"/>
  <c r="BC21" i="36"/>
  <c r="BC22" i="36"/>
  <c r="X57" i="36"/>
  <c r="X58" i="36"/>
  <c r="BE40" i="36"/>
  <c r="BD41" i="36"/>
  <c r="BD42" i="36"/>
  <c r="BD34" i="36"/>
  <c r="BE29" i="36"/>
  <c r="BD33" i="36"/>
  <c r="BD30" i="36"/>
  <c r="BD31" i="36"/>
  <c r="X21" i="36"/>
  <c r="X22" i="36"/>
  <c r="BE90" i="36"/>
  <c r="BE53" i="36"/>
  <c r="BE94" i="36" s="1"/>
  <c r="BE55" i="36"/>
  <c r="V60" i="36"/>
  <c r="V62" i="36"/>
  <c r="BG51" i="36"/>
  <c r="BG48" i="36"/>
  <c r="BG49" i="36"/>
  <c r="BH47" i="36"/>
  <c r="BE18" i="36"/>
  <c r="Y19" i="36"/>
  <c r="Y20" i="36" s="1"/>
  <c r="Z18" i="36"/>
  <c r="Y56" i="36"/>
  <c r="Y42" i="36"/>
  <c r="Z40" i="36"/>
  <c r="BB97" i="36"/>
  <c r="BB44" i="36"/>
  <c r="BB46" i="36"/>
  <c r="BF50" i="36"/>
  <c r="BF52" i="36" s="1"/>
  <c r="Y39" i="42" s="1"/>
  <c r="BC58" i="36"/>
  <c r="BC57" i="36"/>
  <c r="Y30" i="36"/>
  <c r="Y33" i="36"/>
  <c r="Z29" i="36"/>
  <c r="Y31" i="36"/>
  <c r="Y34" i="36"/>
  <c r="BD19" i="36"/>
  <c r="BD20" i="36" s="1"/>
  <c r="BD56" i="36"/>
  <c r="AC47" i="36"/>
  <c r="AB49" i="36"/>
  <c r="AB48" i="36"/>
  <c r="AB51" i="36"/>
  <c r="W59" i="36"/>
  <c r="V40" i="38" s="1"/>
  <c r="I72" i="14"/>
  <c r="G63" i="45"/>
  <c r="H63" i="36"/>
  <c r="AM63" i="36"/>
  <c r="AM68" i="36" s="1"/>
  <c r="AM75" i="36" s="1"/>
  <c r="G68" i="36"/>
  <c r="AF12" i="42"/>
  <c r="AG7" i="42"/>
  <c r="AG7" i="29"/>
  <c r="AG12" i="29" s="1"/>
  <c r="AF12" i="29"/>
  <c r="AG7" i="38"/>
  <c r="AF12" i="38"/>
  <c r="AF12" i="19"/>
  <c r="AG7" i="19"/>
  <c r="AG12" i="19" s="1"/>
  <c r="AG7" i="28"/>
  <c r="AG12" i="28" s="1"/>
  <c r="AF12" i="28"/>
  <c r="AK71" i="36"/>
  <c r="AK72" i="36" s="1"/>
  <c r="AK106" i="36"/>
  <c r="F71" i="36"/>
  <c r="BR38" i="58" s="1"/>
  <c r="F37" i="58" s="1"/>
  <c r="AL37" i="58" s="1"/>
  <c r="BR37" i="58" s="1"/>
  <c r="F106" i="36"/>
  <c r="AM64" i="36"/>
  <c r="G66" i="36"/>
  <c r="G65" i="36"/>
  <c r="AL65" i="36"/>
  <c r="AL66" i="36"/>
  <c r="AL73" i="36" s="1"/>
  <c r="E46" i="24"/>
  <c r="F77" i="7"/>
  <c r="G77" i="7" s="1"/>
  <c r="H50" i="15"/>
  <c r="H53" i="15" s="1"/>
  <c r="H137" i="15" s="1"/>
  <c r="H126" i="15"/>
  <c r="F74" i="12"/>
  <c r="F219" i="12" s="1"/>
  <c r="F230" i="12" s="1"/>
  <c r="F75" i="12"/>
  <c r="F78" i="12"/>
  <c r="F77" i="12"/>
  <c r="F80" i="12"/>
  <c r="F79" i="12"/>
  <c r="F76" i="12"/>
  <c r="Z8" i="20"/>
  <c r="Z9" i="20"/>
  <c r="G74" i="14"/>
  <c r="G219" i="14" s="1"/>
  <c r="G230" i="14" s="1"/>
  <c r="G77" i="14"/>
  <c r="G79" i="14"/>
  <c r="G78" i="14"/>
  <c r="G75" i="14"/>
  <c r="G76" i="14"/>
  <c r="G80" i="14"/>
  <c r="U11" i="20"/>
  <c r="U10" i="20"/>
  <c r="T12" i="20"/>
  <c r="I72" i="12"/>
  <c r="K33" i="11"/>
  <c r="J34" i="11"/>
  <c r="J35" i="11" s="1"/>
  <c r="J36" i="11" s="1"/>
  <c r="I29" i="13"/>
  <c r="I30" i="13" s="1"/>
  <c r="J28" i="13"/>
  <c r="H31" i="13"/>
  <c r="H33" i="13" s="1"/>
  <c r="H64" i="36" s="1"/>
  <c r="H32" i="13"/>
  <c r="H73" i="14" s="1"/>
  <c r="G73" i="12"/>
  <c r="Y7" i="20"/>
  <c r="I31" i="15"/>
  <c r="X52" i="36" l="1"/>
  <c r="E41" i="24"/>
  <c r="Y90" i="36"/>
  <c r="Y53" i="36"/>
  <c r="Y94" i="36" s="1"/>
  <c r="C41" i="24"/>
  <c r="BP95" i="55"/>
  <c r="CT95" i="55" s="1"/>
  <c r="BQ95" i="55" s="1"/>
  <c r="BR95" i="55" s="1"/>
  <c r="BS95" i="55" s="1"/>
  <c r="BT95" i="55" s="1"/>
  <c r="BU95" i="55" s="1"/>
  <c r="BV95" i="55" s="1"/>
  <c r="BW95" i="55" s="1"/>
  <c r="BX95" i="55" s="1"/>
  <c r="BY95" i="55" s="1"/>
  <c r="BZ95" i="55" s="1"/>
  <c r="CA95" i="55" s="1"/>
  <c r="CB95" i="55" s="1"/>
  <c r="CC95" i="55" s="1"/>
  <c r="CD95" i="55" s="1"/>
  <c r="CE95" i="55" s="1"/>
  <c r="CF95" i="55" s="1"/>
  <c r="CG95" i="55" s="1"/>
  <c r="CH95" i="55" s="1"/>
  <c r="CI95" i="55" s="1"/>
  <c r="CJ95" i="55" s="1"/>
  <c r="CK95" i="55" s="1"/>
  <c r="CL95" i="55" s="1"/>
  <c r="CM95" i="55" s="1"/>
  <c r="CN95" i="55" s="1"/>
  <c r="CO95" i="55" s="1"/>
  <c r="CP95" i="55" s="1"/>
  <c r="CQ95" i="55" s="1"/>
  <c r="CR95" i="55" s="1"/>
  <c r="CS95" i="55" s="1"/>
  <c r="AJ95" i="55"/>
  <c r="CV95" i="55" s="1"/>
  <c r="E95" i="55"/>
  <c r="X39" i="38"/>
  <c r="BP96" i="55"/>
  <c r="AJ96" i="55"/>
  <c r="CV96" i="55" s="1"/>
  <c r="E96" i="55"/>
  <c r="B88" i="16"/>
  <c r="B91" i="16"/>
  <c r="B88" i="15"/>
  <c r="B91" i="15"/>
  <c r="I64" i="45"/>
  <c r="AO64" i="45" s="1"/>
  <c r="I61" i="45"/>
  <c r="AO61" i="45" s="1"/>
  <c r="AO63" i="45" s="1"/>
  <c r="B4" i="60"/>
  <c r="D8" i="61"/>
  <c r="I4" i="8"/>
  <c r="K57" i="25"/>
  <c r="M57" i="25" s="1"/>
  <c r="N52" i="25" s="1"/>
  <c r="M50" i="25"/>
  <c r="B41" i="24"/>
  <c r="K59" i="25"/>
  <c r="J40" i="11"/>
  <c r="J66" i="45" s="1"/>
  <c r="AP66" i="45" s="1"/>
  <c r="J39" i="11"/>
  <c r="J37" i="11"/>
  <c r="J38" i="11"/>
  <c r="C48" i="24"/>
  <c r="CT96" i="55"/>
  <c r="DZ96" i="55"/>
  <c r="C8" i="3"/>
  <c r="C10" i="3" s="1"/>
  <c r="I49" i="24"/>
  <c r="G15" i="33" s="1"/>
  <c r="I37" i="24"/>
  <c r="B48" i="24"/>
  <c r="C46" i="24"/>
  <c r="I46" i="24" s="1"/>
  <c r="C50" i="24"/>
  <c r="B97" i="24"/>
  <c r="B104" i="24" s="1"/>
  <c r="E4" i="51"/>
  <c r="Q5" i="50"/>
  <c r="BZ10" i="51"/>
  <c r="AJ4" i="51"/>
  <c r="AJ57" i="58" s="1"/>
  <c r="BS25" i="51"/>
  <c r="R3" i="50"/>
  <c r="F6" i="52" s="1"/>
  <c r="E64" i="33"/>
  <c r="I38" i="24"/>
  <c r="K118" i="24"/>
  <c r="C82" i="44" s="1"/>
  <c r="D51" i="24"/>
  <c r="C47" i="24"/>
  <c r="D41" i="24"/>
  <c r="E104" i="24"/>
  <c r="D9" i="51"/>
  <c r="AJ9" i="51" s="1"/>
  <c r="AJ7" i="51"/>
  <c r="G41" i="24"/>
  <c r="D8" i="51"/>
  <c r="AJ8" i="51" s="1"/>
  <c r="I36" i="24"/>
  <c r="H41" i="24"/>
  <c r="I40" i="24"/>
  <c r="F41" i="24"/>
  <c r="D52" i="36"/>
  <c r="C39" i="38" s="1"/>
  <c r="BA28" i="36"/>
  <c r="M90" i="36"/>
  <c r="BA84" i="36"/>
  <c r="BA26" i="36"/>
  <c r="BA87" i="36" s="1"/>
  <c r="I90" i="36"/>
  <c r="AA55" i="36"/>
  <c r="Z39" i="38"/>
  <c r="BB62" i="36"/>
  <c r="U40" i="42"/>
  <c r="M55" i="36"/>
  <c r="I55" i="36"/>
  <c r="O53" i="36"/>
  <c r="O94" i="36" s="1"/>
  <c r="N39" i="38"/>
  <c r="BC70" i="36"/>
  <c r="BC97" i="36"/>
  <c r="V38" i="42"/>
  <c r="M53" i="36"/>
  <c r="M94" i="36" s="1"/>
  <c r="I53" i="36"/>
  <c r="I94" i="36" s="1"/>
  <c r="F53" i="36"/>
  <c r="F94" i="36" s="1"/>
  <c r="E39" i="38"/>
  <c r="N90" i="36"/>
  <c r="M39" i="38"/>
  <c r="D48" i="45"/>
  <c r="D50" i="45" s="1"/>
  <c r="H90" i="36"/>
  <c r="G39" i="38"/>
  <c r="AK47" i="45"/>
  <c r="AK49" i="45"/>
  <c r="AK46" i="45"/>
  <c r="AL45" i="45"/>
  <c r="AJ48" i="45"/>
  <c r="F45" i="45"/>
  <c r="E49" i="45"/>
  <c r="E46" i="45"/>
  <c r="E47" i="45"/>
  <c r="I8" i="9"/>
  <c r="I10" i="9"/>
  <c r="I7" i="9"/>
  <c r="H9" i="9"/>
  <c r="H11" i="9" s="1"/>
  <c r="BB60" i="36"/>
  <c r="AA90" i="36"/>
  <c r="O55" i="36"/>
  <c r="F90" i="36"/>
  <c r="N53" i="36"/>
  <c r="N94" i="36" s="1"/>
  <c r="O90" i="36"/>
  <c r="F55" i="36"/>
  <c r="N55" i="36"/>
  <c r="H53" i="36"/>
  <c r="H94" i="36" s="1"/>
  <c r="AA53" i="36"/>
  <c r="AA94" i="36" s="1"/>
  <c r="R55" i="36"/>
  <c r="R90" i="36"/>
  <c r="R53" i="36"/>
  <c r="R94" i="36" s="1"/>
  <c r="W90" i="36"/>
  <c r="W55" i="36"/>
  <c r="W53" i="36"/>
  <c r="W94" i="36" s="1"/>
  <c r="T55" i="36"/>
  <c r="T90" i="36"/>
  <c r="T53" i="36"/>
  <c r="T94" i="36" s="1"/>
  <c r="D53" i="36"/>
  <c r="G55" i="36"/>
  <c r="G90" i="36"/>
  <c r="G53" i="36"/>
  <c r="G94" i="36" s="1"/>
  <c r="Q90" i="36"/>
  <c r="Q53" i="36"/>
  <c r="Q94" i="36" s="1"/>
  <c r="Q55" i="36"/>
  <c r="J53" i="36"/>
  <c r="J94" i="36" s="1"/>
  <c r="J90" i="36"/>
  <c r="J55" i="36"/>
  <c r="P90" i="36"/>
  <c r="P55" i="36"/>
  <c r="P53" i="36"/>
  <c r="P94" i="36" s="1"/>
  <c r="S90" i="36"/>
  <c r="S55" i="36"/>
  <c r="S53" i="36"/>
  <c r="S94" i="36" s="1"/>
  <c r="V90" i="36"/>
  <c r="V53" i="36"/>
  <c r="V94" i="36" s="1"/>
  <c r="V55" i="36"/>
  <c r="E90" i="36"/>
  <c r="E55" i="36"/>
  <c r="E53" i="36"/>
  <c r="E94" i="36" s="1"/>
  <c r="K55" i="36"/>
  <c r="K53" i="36"/>
  <c r="K94" i="36" s="1"/>
  <c r="K90" i="36"/>
  <c r="U90" i="36"/>
  <c r="U53" i="36"/>
  <c r="U94" i="36" s="1"/>
  <c r="U55" i="36"/>
  <c r="L53" i="36"/>
  <c r="L94" i="36" s="1"/>
  <c r="L90" i="36"/>
  <c r="L55" i="36"/>
  <c r="BC59" i="36"/>
  <c r="BB25" i="36"/>
  <c r="U37" i="42" s="1"/>
  <c r="BB69" i="36"/>
  <c r="BD43" i="36"/>
  <c r="W38" i="42" s="1"/>
  <c r="BC44" i="36"/>
  <c r="BC46" i="36"/>
  <c r="BC36" i="36"/>
  <c r="V36" i="42" s="1"/>
  <c r="BD35" i="36"/>
  <c r="BB39" i="36"/>
  <c r="BB77" i="36"/>
  <c r="BB37" i="36"/>
  <c r="BB81" i="36" s="1"/>
  <c r="Y35" i="36"/>
  <c r="X23" i="36"/>
  <c r="X25" i="36" s="1"/>
  <c r="W37" i="38" s="1"/>
  <c r="BD32" i="36"/>
  <c r="BC23" i="36"/>
  <c r="BC25" i="36" s="1"/>
  <c r="V37" i="42" s="1"/>
  <c r="W60" i="36"/>
  <c r="W62" i="36"/>
  <c r="L131" i="24"/>
  <c r="L128" i="24"/>
  <c r="K93" i="44" s="1"/>
  <c r="L125" i="24"/>
  <c r="K90" i="44" s="1"/>
  <c r="L126" i="24"/>
  <c r="L129" i="24"/>
  <c r="K94" i="44" s="1"/>
  <c r="L127" i="24"/>
  <c r="AB50" i="36"/>
  <c r="AB52" i="36" s="1"/>
  <c r="AA39" i="38" s="1"/>
  <c r="BF90" i="36"/>
  <c r="BF53" i="36"/>
  <c r="BF94" i="36" s="1"/>
  <c r="BF55" i="36"/>
  <c r="AA40" i="36"/>
  <c r="Z42" i="36"/>
  <c r="Y57" i="36"/>
  <c r="Y58" i="36"/>
  <c r="BE19" i="36"/>
  <c r="BE20" i="36" s="1"/>
  <c r="BE56" i="36"/>
  <c r="BG50" i="36"/>
  <c r="BG52" i="36" s="1"/>
  <c r="Z39" i="42" s="1"/>
  <c r="BE42" i="36"/>
  <c r="BF40" i="36"/>
  <c r="BE41" i="36"/>
  <c r="BD22" i="36"/>
  <c r="BD21" i="36"/>
  <c r="Y22" i="36"/>
  <c r="Y21" i="36"/>
  <c r="X59" i="36"/>
  <c r="W40" i="38" s="1"/>
  <c r="X70" i="36"/>
  <c r="I39" i="24"/>
  <c r="AD47" i="36"/>
  <c r="AC49" i="36"/>
  <c r="AC51" i="36"/>
  <c r="AC48" i="36"/>
  <c r="BD58" i="36"/>
  <c r="BD57" i="36"/>
  <c r="AA29" i="36"/>
  <c r="Z34" i="36"/>
  <c r="Z33" i="36"/>
  <c r="Z30" i="36"/>
  <c r="Z31" i="36"/>
  <c r="AA18" i="36"/>
  <c r="BF18" i="36"/>
  <c r="Z19" i="36"/>
  <c r="Z20" i="36" s="1"/>
  <c r="Z56" i="36"/>
  <c r="BH48" i="36"/>
  <c r="BH49" i="36"/>
  <c r="BH51" i="36"/>
  <c r="BI47" i="36"/>
  <c r="W26" i="36"/>
  <c r="W87" i="36" s="1"/>
  <c r="W28" i="36"/>
  <c r="W84" i="36"/>
  <c r="BE30" i="36"/>
  <c r="BF29" i="36"/>
  <c r="BE33" i="36"/>
  <c r="BE31" i="36"/>
  <c r="BE34" i="36"/>
  <c r="AN63" i="36"/>
  <c r="AN68" i="36" s="1"/>
  <c r="AN75" i="36" s="1"/>
  <c r="H68" i="36"/>
  <c r="J72" i="14"/>
  <c r="I63" i="36"/>
  <c r="H63" i="45"/>
  <c r="AG12" i="38"/>
  <c r="AG12" i="42"/>
  <c r="G71" i="36"/>
  <c r="BS38" i="58" s="1"/>
  <c r="G37" i="58" s="1"/>
  <c r="AM37" i="58" s="1"/>
  <c r="BS37" i="58" s="1"/>
  <c r="G106" i="36"/>
  <c r="AN64" i="36"/>
  <c r="H65" i="36"/>
  <c r="H66" i="36"/>
  <c r="AL71" i="36"/>
  <c r="AL72" i="36" s="1"/>
  <c r="AL106" i="36"/>
  <c r="AM65" i="36"/>
  <c r="AM66" i="36"/>
  <c r="AM73" i="36" s="1"/>
  <c r="G6" i="33"/>
  <c r="F51" i="24"/>
  <c r="B51" i="24"/>
  <c r="I48" i="24"/>
  <c r="D14" i="33" s="1"/>
  <c r="G51" i="24"/>
  <c r="I50" i="24"/>
  <c r="D7" i="33" s="1"/>
  <c r="I41" i="24"/>
  <c r="H51" i="24"/>
  <c r="E51" i="24"/>
  <c r="E6" i="33"/>
  <c r="H6" i="33"/>
  <c r="F6" i="33"/>
  <c r="C6" i="33"/>
  <c r="D6" i="33"/>
  <c r="I50" i="15"/>
  <c r="I53" i="15" s="1"/>
  <c r="I137" i="15" s="1"/>
  <c r="I126" i="15"/>
  <c r="G74" i="12"/>
  <c r="G219" i="12" s="1"/>
  <c r="G230" i="12" s="1"/>
  <c r="G77" i="12"/>
  <c r="G80" i="12"/>
  <c r="G76" i="12"/>
  <c r="G75" i="12"/>
  <c r="G78" i="12"/>
  <c r="G79" i="12"/>
  <c r="AA9" i="20"/>
  <c r="AA8" i="20"/>
  <c r="H74" i="14"/>
  <c r="H219" i="14" s="1"/>
  <c r="H230" i="14" s="1"/>
  <c r="H78" i="14"/>
  <c r="H80" i="14"/>
  <c r="H79" i="14"/>
  <c r="H76" i="14"/>
  <c r="H75" i="14"/>
  <c r="H77" i="14"/>
  <c r="V11" i="20"/>
  <c r="V10" i="20"/>
  <c r="U12" i="20"/>
  <c r="L33" i="11"/>
  <c r="K34" i="11"/>
  <c r="K35" i="11" s="1"/>
  <c r="K36" i="11" s="1"/>
  <c r="H73" i="12"/>
  <c r="J29" i="13"/>
  <c r="J30" i="13" s="1"/>
  <c r="K28" i="13"/>
  <c r="I31" i="13"/>
  <c r="I33" i="13" s="1"/>
  <c r="I64" i="36" s="1"/>
  <c r="I32" i="13"/>
  <c r="I73" i="14" s="1"/>
  <c r="Z7" i="20"/>
  <c r="K31" i="15"/>
  <c r="J31" i="15"/>
  <c r="X53" i="36" l="1"/>
  <c r="X94" i="36" s="1"/>
  <c r="X55" i="36"/>
  <c r="W39" i="38"/>
  <c r="X90" i="36"/>
  <c r="D90" i="36"/>
  <c r="N51" i="25"/>
  <c r="N50" i="25"/>
  <c r="D55" i="36"/>
  <c r="D75" i="36" s="1"/>
  <c r="H12" i="33"/>
  <c r="I12" i="33"/>
  <c r="F12" i="33"/>
  <c r="C12" i="33"/>
  <c r="C105" i="16"/>
  <c r="C105" i="15"/>
  <c r="AK4" i="51"/>
  <c r="AK57" i="58" s="1"/>
  <c r="CA57" i="58" s="1"/>
  <c r="CA58" i="58" s="1"/>
  <c r="E57" i="58"/>
  <c r="C104" i="15"/>
  <c r="C104" i="16"/>
  <c r="E16" i="33"/>
  <c r="G14" i="33"/>
  <c r="M10" i="47" s="1"/>
  <c r="BQ96" i="55"/>
  <c r="BR96" i="55" s="1"/>
  <c r="BS96" i="55" s="1"/>
  <c r="BT96" i="55" s="1"/>
  <c r="BU96" i="55" s="1"/>
  <c r="BV96" i="55" s="1"/>
  <c r="BW96" i="55" s="1"/>
  <c r="BX96" i="55" s="1"/>
  <c r="BY96" i="55" s="1"/>
  <c r="BZ96" i="55" s="1"/>
  <c r="CA96" i="55" s="1"/>
  <c r="CB96" i="55" s="1"/>
  <c r="CC96" i="55" s="1"/>
  <c r="CD96" i="55" s="1"/>
  <c r="CE96" i="55" s="1"/>
  <c r="CF96" i="55" s="1"/>
  <c r="CG96" i="55" s="1"/>
  <c r="CH96" i="55" s="1"/>
  <c r="CI96" i="55" s="1"/>
  <c r="CJ96" i="55" s="1"/>
  <c r="CK96" i="55" s="1"/>
  <c r="CL96" i="55" s="1"/>
  <c r="CM96" i="55" s="1"/>
  <c r="CN96" i="55" s="1"/>
  <c r="CO96" i="55" s="1"/>
  <c r="CP96" i="55" s="1"/>
  <c r="CQ96" i="55" s="1"/>
  <c r="CR96" i="55" s="1"/>
  <c r="CS96" i="55" s="1"/>
  <c r="K39" i="11"/>
  <c r="K40" i="11"/>
  <c r="K66" i="45" s="1"/>
  <c r="AQ66" i="45" s="1"/>
  <c r="K37" i="11"/>
  <c r="K38" i="11"/>
  <c r="H16" i="33"/>
  <c r="I16" i="33"/>
  <c r="B106" i="15"/>
  <c r="B107" i="15" s="1"/>
  <c r="B97" i="15"/>
  <c r="I6" i="33"/>
  <c r="M55" i="25"/>
  <c r="M53" i="25"/>
  <c r="N56" i="25"/>
  <c r="N54" i="25"/>
  <c r="C106" i="15" s="1"/>
  <c r="F95" i="55"/>
  <c r="AK95" i="55"/>
  <c r="CW95" i="55" s="1"/>
  <c r="DF18" i="58"/>
  <c r="BZ57" i="58"/>
  <c r="BZ58" i="58" s="1"/>
  <c r="B97" i="16"/>
  <c r="B106" i="16"/>
  <c r="B107" i="16" s="1"/>
  <c r="J64" i="45"/>
  <c r="AP64" i="45" s="1"/>
  <c r="J61" i="45"/>
  <c r="AP61" i="45" s="1"/>
  <c r="AP63" i="45" s="1"/>
  <c r="C11" i="3"/>
  <c r="C13" i="3" s="1"/>
  <c r="S5" i="60"/>
  <c r="M61" i="60"/>
  <c r="B16" i="60"/>
  <c r="F96" i="55"/>
  <c r="AK96" i="55"/>
  <c r="CW96" i="55" s="1"/>
  <c r="C16" i="33"/>
  <c r="E12" i="33"/>
  <c r="G16" i="33"/>
  <c r="I47" i="24"/>
  <c r="H4" i="33" s="1"/>
  <c r="H14" i="33"/>
  <c r="D12" i="33"/>
  <c r="E14" i="33"/>
  <c r="E15" i="33"/>
  <c r="M18" i="47" s="1"/>
  <c r="H15" i="33"/>
  <c r="C15" i="33"/>
  <c r="D15" i="33"/>
  <c r="F15" i="33"/>
  <c r="E24" i="33" s="1"/>
  <c r="G12" i="33"/>
  <c r="M3" i="41" s="1"/>
  <c r="K97" i="24"/>
  <c r="K104" i="24" s="1"/>
  <c r="D16" i="33"/>
  <c r="F14" i="33"/>
  <c r="C51" i="24"/>
  <c r="F16" i="33"/>
  <c r="C14" i="33"/>
  <c r="I5" i="33"/>
  <c r="I14" i="33"/>
  <c r="M13" i="47" s="1"/>
  <c r="I15" i="33"/>
  <c r="S3" i="50"/>
  <c r="G6" i="52" s="1"/>
  <c r="R5" i="50"/>
  <c r="F4" i="51"/>
  <c r="L115" i="24"/>
  <c r="L112" i="24"/>
  <c r="M4" i="4" s="1"/>
  <c r="M5" i="4" s="1"/>
  <c r="M6" i="4" s="1"/>
  <c r="C80" i="44"/>
  <c r="L114" i="24"/>
  <c r="K83" i="44" s="1"/>
  <c r="C83" i="44"/>
  <c r="C85" i="44"/>
  <c r="L113" i="24"/>
  <c r="K82" i="44" s="1"/>
  <c r="L117" i="24"/>
  <c r="K86" i="44" s="1"/>
  <c r="L111" i="24"/>
  <c r="M111" i="24" s="1"/>
  <c r="C84" i="44"/>
  <c r="C86" i="44"/>
  <c r="C81" i="44"/>
  <c r="D81" i="44"/>
  <c r="G81" i="44"/>
  <c r="F81" i="44"/>
  <c r="G82" i="44"/>
  <c r="D86" i="44"/>
  <c r="D84" i="44"/>
  <c r="F84" i="44"/>
  <c r="D80" i="44"/>
  <c r="G85" i="44"/>
  <c r="G80" i="44"/>
  <c r="F85" i="44"/>
  <c r="G86" i="44"/>
  <c r="D83" i="44"/>
  <c r="D82" i="44"/>
  <c r="F82" i="44"/>
  <c r="F83" i="44"/>
  <c r="G83" i="44"/>
  <c r="F86" i="44"/>
  <c r="G84" i="44"/>
  <c r="F80" i="44"/>
  <c r="D85" i="44"/>
  <c r="K84" i="44"/>
  <c r="M115" i="24"/>
  <c r="K80" i="44"/>
  <c r="C3" i="33"/>
  <c r="I3" i="33"/>
  <c r="E3" i="33"/>
  <c r="L4" i="34"/>
  <c r="M16" i="41"/>
  <c r="M19" i="47"/>
  <c r="M15" i="41"/>
  <c r="M17" i="47"/>
  <c r="Y70" i="36"/>
  <c r="C39" i="46"/>
  <c r="D51" i="45"/>
  <c r="D92" i="45" s="1"/>
  <c r="J4" i="26"/>
  <c r="J5" i="26" s="1"/>
  <c r="J6" i="26" s="1"/>
  <c r="K96" i="44"/>
  <c r="N4" i="4"/>
  <c r="N5" i="4" s="1"/>
  <c r="N6" i="4" s="1"/>
  <c r="N8" i="4" s="1"/>
  <c r="K91" i="44"/>
  <c r="BC60" i="36"/>
  <c r="V40" i="42"/>
  <c r="D67" i="45"/>
  <c r="D70" i="45" s="1"/>
  <c r="E48" i="45"/>
  <c r="E50" i="45" s="1"/>
  <c r="D39" i="46" s="1"/>
  <c r="I4" i="3"/>
  <c r="I5" i="3" s="1"/>
  <c r="I7" i="3" s="1"/>
  <c r="K92" i="44"/>
  <c r="AK48" i="45"/>
  <c r="AK50" i="45" s="1"/>
  <c r="D39" i="48" s="1"/>
  <c r="AL47" i="45"/>
  <c r="AL49" i="45"/>
  <c r="AL46" i="45"/>
  <c r="AM45" i="45"/>
  <c r="AJ67" i="45"/>
  <c r="AJ70" i="45" s="1"/>
  <c r="AJ50" i="45"/>
  <c r="D53" i="45"/>
  <c r="D52" i="45"/>
  <c r="I9" i="9"/>
  <c r="I11" i="9" s="1"/>
  <c r="G45" i="45"/>
  <c r="F47" i="45"/>
  <c r="F49" i="45"/>
  <c r="F46" i="45"/>
  <c r="BC62" i="36"/>
  <c r="D94" i="36"/>
  <c r="D73" i="36"/>
  <c r="BH50" i="36"/>
  <c r="BH52" i="36" s="1"/>
  <c r="AA39" i="42" s="1"/>
  <c r="AC50" i="36"/>
  <c r="AC52" i="36" s="1"/>
  <c r="AB39" i="38" s="1"/>
  <c r="D88" i="45"/>
  <c r="Y59" i="36"/>
  <c r="X40" i="38" s="1"/>
  <c r="BC69" i="36"/>
  <c r="BB26" i="36"/>
  <c r="BB87" i="36" s="1"/>
  <c r="BB28" i="36"/>
  <c r="BB84" i="36"/>
  <c r="BE43" i="36"/>
  <c r="X38" i="42" s="1"/>
  <c r="BD97" i="36"/>
  <c r="BD44" i="36"/>
  <c r="BD46" i="36"/>
  <c r="BD70" i="36"/>
  <c r="BD36" i="36"/>
  <c r="Z32" i="36"/>
  <c r="BC77" i="36"/>
  <c r="BC39" i="36"/>
  <c r="BC37" i="36"/>
  <c r="BC81" i="36" s="1"/>
  <c r="BE32" i="36"/>
  <c r="Z35" i="36"/>
  <c r="Y23" i="36"/>
  <c r="Y25" i="36" s="1"/>
  <c r="X37" i="38" s="1"/>
  <c r="BE35" i="36"/>
  <c r="BD23" i="36"/>
  <c r="F3" i="33"/>
  <c r="M5" i="41"/>
  <c r="D3" i="33"/>
  <c r="BF19" i="36"/>
  <c r="BF20" i="36" s="1"/>
  <c r="BF56" i="36"/>
  <c r="BD59" i="36"/>
  <c r="W40" i="42" s="1"/>
  <c r="BC84" i="36"/>
  <c r="BC26" i="36"/>
  <c r="BC87" i="36" s="1"/>
  <c r="BC28" i="36"/>
  <c r="AB90" i="36"/>
  <c r="AB55" i="36"/>
  <c r="AB53" i="36"/>
  <c r="AB94" i="36" s="1"/>
  <c r="C7" i="33"/>
  <c r="H3" i="33"/>
  <c r="BG18" i="36"/>
  <c r="AB18" i="36"/>
  <c r="AA19" i="36"/>
  <c r="AA20" i="36" s="1"/>
  <c r="AD48" i="36"/>
  <c r="AE47" i="36"/>
  <c r="AD51" i="36"/>
  <c r="AD49" i="36"/>
  <c r="BG90" i="36"/>
  <c r="BG53" i="36"/>
  <c r="BG94" i="36" s="1"/>
  <c r="BG55" i="36"/>
  <c r="BE57" i="36"/>
  <c r="BE58" i="36"/>
  <c r="BF34" i="36"/>
  <c r="BF31" i="36"/>
  <c r="BG29" i="36"/>
  <c r="BF33" i="36"/>
  <c r="BF30" i="36"/>
  <c r="BI51" i="36"/>
  <c r="BI48" i="36"/>
  <c r="BI49" i="36"/>
  <c r="BJ47" i="36"/>
  <c r="Z58" i="36"/>
  <c r="Z57" i="36"/>
  <c r="BG40" i="36"/>
  <c r="BF42" i="36"/>
  <c r="BF41" i="36"/>
  <c r="BE21" i="36"/>
  <c r="BE22" i="36"/>
  <c r="Z21" i="36"/>
  <c r="Z22" i="36"/>
  <c r="AA56" i="36"/>
  <c r="AA34" i="36"/>
  <c r="AA30" i="36"/>
  <c r="AB29" i="36"/>
  <c r="AA33" i="36"/>
  <c r="AA31" i="36"/>
  <c r="X60" i="36"/>
  <c r="X62" i="36"/>
  <c r="X26" i="36"/>
  <c r="X87" i="36" s="1"/>
  <c r="X28" i="36"/>
  <c r="X84" i="36"/>
  <c r="AB40" i="36"/>
  <c r="AA42" i="36"/>
  <c r="L133" i="24"/>
  <c r="J72" i="12"/>
  <c r="I63" i="45"/>
  <c r="AO63" i="36"/>
  <c r="AO68" i="36" s="1"/>
  <c r="AO75" i="36" s="1"/>
  <c r="I68" i="36"/>
  <c r="J63" i="36"/>
  <c r="K72" i="14"/>
  <c r="AM71" i="36"/>
  <c r="AM72" i="36" s="1"/>
  <c r="AM106" i="36"/>
  <c r="AN65" i="36"/>
  <c r="AN66" i="36"/>
  <c r="AN73" i="36" s="1"/>
  <c r="H71" i="36"/>
  <c r="BT38" i="58" s="1"/>
  <c r="H37" i="58" s="1"/>
  <c r="AN37" i="58" s="1"/>
  <c r="BT37" i="58" s="1"/>
  <c r="H106" i="36"/>
  <c r="AO64" i="36"/>
  <c r="I66" i="36"/>
  <c r="I65" i="36"/>
  <c r="C5" i="33"/>
  <c r="D5" i="33"/>
  <c r="M4" i="41"/>
  <c r="L19" i="34"/>
  <c r="L11" i="34"/>
  <c r="G3" i="33"/>
  <c r="L20" i="34"/>
  <c r="E7" i="33"/>
  <c r="G7" i="33"/>
  <c r="M32" i="47"/>
  <c r="H7" i="33"/>
  <c r="F7" i="33"/>
  <c r="I7" i="33"/>
  <c r="F5" i="33"/>
  <c r="G5" i="33"/>
  <c r="H5" i="33"/>
  <c r="L13" i="34"/>
  <c r="M12" i="47"/>
  <c r="E5" i="33"/>
  <c r="I51" i="24"/>
  <c r="J6" i="33"/>
  <c r="L5" i="34"/>
  <c r="L22" i="34"/>
  <c r="K50" i="15"/>
  <c r="K53" i="15" s="1"/>
  <c r="K137" i="15" s="1"/>
  <c r="K126" i="15"/>
  <c r="J50" i="15"/>
  <c r="J53" i="15" s="1"/>
  <c r="J137" i="15" s="1"/>
  <c r="J126" i="15"/>
  <c r="H74" i="12"/>
  <c r="H219" i="12" s="1"/>
  <c r="H230" i="12" s="1"/>
  <c r="H78" i="12"/>
  <c r="H79" i="12"/>
  <c r="H76" i="12"/>
  <c r="H80" i="12"/>
  <c r="H75" i="12"/>
  <c r="H77" i="12"/>
  <c r="AB8" i="20"/>
  <c r="AB9" i="20"/>
  <c r="I74" i="14"/>
  <c r="I219" i="14" s="1"/>
  <c r="I230" i="14" s="1"/>
  <c r="I80" i="14"/>
  <c r="I76" i="14"/>
  <c r="I75" i="14"/>
  <c r="I79" i="14"/>
  <c r="I78" i="14"/>
  <c r="I77" i="14"/>
  <c r="W10" i="20"/>
  <c r="V12" i="20"/>
  <c r="W11" i="20"/>
  <c r="K72" i="12"/>
  <c r="M33" i="11"/>
  <c r="L34" i="11"/>
  <c r="L35" i="11" s="1"/>
  <c r="L36" i="11" s="1"/>
  <c r="J31" i="13"/>
  <c r="J33" i="13" s="1"/>
  <c r="J64" i="36" s="1"/>
  <c r="J32" i="13"/>
  <c r="J73" i="14" s="1"/>
  <c r="I73" i="12"/>
  <c r="K29" i="13"/>
  <c r="K30" i="13" s="1"/>
  <c r="L28" i="13"/>
  <c r="AA7" i="20"/>
  <c r="L31" i="15"/>
  <c r="C4" i="33" l="1"/>
  <c r="H24" i="33"/>
  <c r="G4" i="33"/>
  <c r="L21" i="34"/>
  <c r="M112" i="24"/>
  <c r="M113" i="24"/>
  <c r="K81" i="44"/>
  <c r="H4" i="3"/>
  <c r="H5" i="3" s="1"/>
  <c r="H7" i="3" s="1"/>
  <c r="H8" i="3" s="1"/>
  <c r="H10" i="3" s="1"/>
  <c r="I68" i="33"/>
  <c r="M7" i="4"/>
  <c r="M8" i="4"/>
  <c r="L37" i="11"/>
  <c r="L40" i="11"/>
  <c r="L66" i="45" s="1"/>
  <c r="AR66" i="45" s="1"/>
  <c r="L39" i="11"/>
  <c r="L38" i="11"/>
  <c r="AL4" i="51"/>
  <c r="AL57" i="58" s="1"/>
  <c r="CB57" i="58" s="1"/>
  <c r="CB58" i="58" s="1"/>
  <c r="F57" i="58"/>
  <c r="M114" i="24"/>
  <c r="G95" i="55"/>
  <c r="AL95" i="55"/>
  <c r="CX95" i="55" s="1"/>
  <c r="K61" i="45"/>
  <c r="AQ61" i="45" s="1"/>
  <c r="AQ63" i="45" s="1"/>
  <c r="K64" i="45"/>
  <c r="AQ64" i="45" s="1"/>
  <c r="G96" i="55"/>
  <c r="AL96" i="55"/>
  <c r="CX96" i="55" s="1"/>
  <c r="C106" i="16"/>
  <c r="T3" i="50"/>
  <c r="L53" i="25"/>
  <c r="B5" i="26" s="1"/>
  <c r="E5" i="26" s="1"/>
  <c r="E6" i="26" s="1"/>
  <c r="N53" i="25"/>
  <c r="D24" i="33"/>
  <c r="N55" i="25"/>
  <c r="L55" i="25"/>
  <c r="L23" i="34"/>
  <c r="L24" i="34" s="1"/>
  <c r="O19" i="34" s="1"/>
  <c r="M17" i="41"/>
  <c r="M20" i="47"/>
  <c r="D70" i="33"/>
  <c r="I70" i="33"/>
  <c r="E70" i="33"/>
  <c r="H70" i="33"/>
  <c r="G70" i="33"/>
  <c r="F70" i="33"/>
  <c r="E4" i="33"/>
  <c r="D71" i="33"/>
  <c r="I71" i="33"/>
  <c r="I79" i="33" s="1"/>
  <c r="E71" i="33"/>
  <c r="E79" i="33" s="1"/>
  <c r="C24" i="42" s="1"/>
  <c r="D24" i="42" s="1"/>
  <c r="E24" i="42" s="1"/>
  <c r="F24" i="42" s="1"/>
  <c r="G24" i="42" s="1"/>
  <c r="H24" i="42" s="1"/>
  <c r="I24" i="42" s="1"/>
  <c r="J24" i="42" s="1"/>
  <c r="K24" i="42" s="1"/>
  <c r="L24" i="42" s="1"/>
  <c r="M24" i="42" s="1"/>
  <c r="N24" i="42" s="1"/>
  <c r="O24" i="42" s="1"/>
  <c r="P24" i="42" s="1"/>
  <c r="Q24" i="42" s="1"/>
  <c r="R24" i="42" s="1"/>
  <c r="S24" i="42" s="1"/>
  <c r="T24" i="42" s="1"/>
  <c r="U24" i="42" s="1"/>
  <c r="V24" i="42" s="1"/>
  <c r="W24" i="42" s="1"/>
  <c r="X24" i="42" s="1"/>
  <c r="Y24" i="42" s="1"/>
  <c r="Z24" i="42" s="1"/>
  <c r="AA24" i="42" s="1"/>
  <c r="AB24" i="42" s="1"/>
  <c r="AC24" i="42" s="1"/>
  <c r="AD24" i="42" s="1"/>
  <c r="AE24" i="42" s="1"/>
  <c r="AF24" i="42" s="1"/>
  <c r="AG24" i="42" s="1"/>
  <c r="H71" i="33"/>
  <c r="G71" i="33"/>
  <c r="F71" i="33"/>
  <c r="I4" i="33"/>
  <c r="J4" i="33" s="1"/>
  <c r="F4" i="33"/>
  <c r="J15" i="33"/>
  <c r="G24" i="33"/>
  <c r="I24" i="33"/>
  <c r="C24" i="33"/>
  <c r="I72" i="33"/>
  <c r="D4" i="33"/>
  <c r="D8" i="33" s="1"/>
  <c r="E13" i="33"/>
  <c r="L28" i="34" s="1"/>
  <c r="I13" i="33"/>
  <c r="L31" i="34" s="1"/>
  <c r="F13" i="33"/>
  <c r="L29" i="34" s="1"/>
  <c r="H13" i="33"/>
  <c r="H17" i="33" s="1"/>
  <c r="C13" i="33"/>
  <c r="C17" i="33" s="1"/>
  <c r="G13" i="33"/>
  <c r="L30" i="34" s="1"/>
  <c r="F24" i="33"/>
  <c r="M18" i="41"/>
  <c r="D13" i="33"/>
  <c r="D17" i="33" s="1"/>
  <c r="Z70" i="36"/>
  <c r="BE70" i="36"/>
  <c r="S5" i="50"/>
  <c r="G4" i="51"/>
  <c r="H6" i="52"/>
  <c r="U3" i="50"/>
  <c r="I6" i="52" s="1"/>
  <c r="F87" i="44"/>
  <c r="L119" i="24"/>
  <c r="M21" i="41"/>
  <c r="L3" i="34"/>
  <c r="C87" i="44"/>
  <c r="I4" i="26"/>
  <c r="I5" i="26" s="1"/>
  <c r="I6" i="26" s="1"/>
  <c r="M117" i="24"/>
  <c r="D87" i="44"/>
  <c r="G87" i="44"/>
  <c r="L6" i="34"/>
  <c r="AK52" i="45"/>
  <c r="M23" i="41"/>
  <c r="M6" i="47"/>
  <c r="M27" i="47"/>
  <c r="D68" i="33"/>
  <c r="M28" i="41"/>
  <c r="M33" i="47"/>
  <c r="M27" i="41"/>
  <c r="M31" i="47"/>
  <c r="M21" i="47"/>
  <c r="N17" i="47" s="1"/>
  <c r="M4" i="47"/>
  <c r="M25" i="47"/>
  <c r="E68" i="33"/>
  <c r="L12" i="34"/>
  <c r="M11" i="47"/>
  <c r="M5" i="47"/>
  <c r="M26" i="47"/>
  <c r="M29" i="41"/>
  <c r="M34" i="47"/>
  <c r="M22" i="41"/>
  <c r="M3" i="47"/>
  <c r="M24" i="47"/>
  <c r="E51" i="45"/>
  <c r="E92" i="45" s="1"/>
  <c r="N7" i="4"/>
  <c r="N9" i="4" s="1"/>
  <c r="F48" i="45"/>
  <c r="F50" i="45" s="1"/>
  <c r="E39" i="46" s="1"/>
  <c r="AL48" i="45"/>
  <c r="AL50" i="45" s="1"/>
  <c r="AL53" i="45" s="1"/>
  <c r="BD39" i="36"/>
  <c r="W36" i="42"/>
  <c r="AK51" i="45"/>
  <c r="AK92" i="45" s="1"/>
  <c r="E52" i="45"/>
  <c r="AK53" i="45"/>
  <c r="E53" i="45"/>
  <c r="E88" i="45"/>
  <c r="C39" i="48"/>
  <c r="AJ53" i="45"/>
  <c r="AJ51" i="45"/>
  <c r="AJ52" i="45"/>
  <c r="AM49" i="45"/>
  <c r="AM46" i="45"/>
  <c r="AM47" i="45"/>
  <c r="AN45" i="45"/>
  <c r="J12" i="33"/>
  <c r="J39" i="33" s="1"/>
  <c r="H68" i="33"/>
  <c r="L7" i="34"/>
  <c r="C8" i="33"/>
  <c r="F68" i="33"/>
  <c r="F76" i="33" s="1"/>
  <c r="G68" i="33"/>
  <c r="AK88" i="45"/>
  <c r="H45" i="45"/>
  <c r="G46" i="45"/>
  <c r="G49" i="45"/>
  <c r="G47" i="45"/>
  <c r="I8" i="3"/>
  <c r="I11" i="3" s="1"/>
  <c r="J8" i="26"/>
  <c r="J7" i="26"/>
  <c r="BH53" i="36"/>
  <c r="BH94" i="36" s="1"/>
  <c r="BH90" i="36"/>
  <c r="BH55" i="36"/>
  <c r="BE23" i="36"/>
  <c r="BE69" i="36" s="1"/>
  <c r="Y62" i="36"/>
  <c r="Y60" i="36"/>
  <c r="BE97" i="36"/>
  <c r="BE44" i="36"/>
  <c r="BE46" i="36"/>
  <c r="BD77" i="36"/>
  <c r="BD37" i="36"/>
  <c r="BD81" i="36" s="1"/>
  <c r="BF32" i="36"/>
  <c r="BF35" i="36"/>
  <c r="BE36" i="36"/>
  <c r="X36" i="42" s="1"/>
  <c r="L97" i="24"/>
  <c r="L100" i="24"/>
  <c r="L101" i="24"/>
  <c r="AA32" i="36"/>
  <c r="Z23" i="36"/>
  <c r="Z25" i="36" s="1"/>
  <c r="Y37" i="38" s="1"/>
  <c r="BF43" i="36"/>
  <c r="Y38" i="42" s="1"/>
  <c r="BD25" i="36"/>
  <c r="W37" i="42" s="1"/>
  <c r="BD69" i="36"/>
  <c r="Y28" i="36"/>
  <c r="Y26" i="36"/>
  <c r="Y87" i="36" s="1"/>
  <c r="Y84" i="36"/>
  <c r="AA35" i="36"/>
  <c r="Z59" i="36"/>
  <c r="Y40" i="38" s="1"/>
  <c r="BE59" i="36"/>
  <c r="X40" i="42" s="1"/>
  <c r="AC40" i="36"/>
  <c r="AB42" i="36"/>
  <c r="BI50" i="36"/>
  <c r="BI52" i="36" s="1"/>
  <c r="AB39" i="42" s="1"/>
  <c r="BG31" i="36"/>
  <c r="BG34" i="36"/>
  <c r="BH29" i="36"/>
  <c r="BG33" i="36"/>
  <c r="BG30" i="36"/>
  <c r="BG32" i="36" s="1"/>
  <c r="AA22" i="36"/>
  <c r="AA21" i="36"/>
  <c r="BF21" i="36"/>
  <c r="BF22" i="36"/>
  <c r="AB19" i="36"/>
  <c r="AB20" i="36" s="1"/>
  <c r="AC18" i="36"/>
  <c r="BH18" i="36"/>
  <c r="AB56" i="36"/>
  <c r="AA58" i="36"/>
  <c r="AA57" i="36"/>
  <c r="BH40" i="36"/>
  <c r="BG42" i="36"/>
  <c r="BG41" i="36"/>
  <c r="BJ51" i="36"/>
  <c r="BJ49" i="36"/>
  <c r="BJ48" i="36"/>
  <c r="BK47" i="36"/>
  <c r="AE48" i="36"/>
  <c r="AF47" i="36"/>
  <c r="AE49" i="36"/>
  <c r="AE51" i="36"/>
  <c r="BG19" i="36"/>
  <c r="BG20" i="36" s="1"/>
  <c r="BG56" i="36"/>
  <c r="F70" i="44"/>
  <c r="C70" i="44"/>
  <c r="C72" i="44"/>
  <c r="F71" i="44"/>
  <c r="F76" i="44"/>
  <c r="F72" i="44"/>
  <c r="G76" i="44"/>
  <c r="L98" i="24"/>
  <c r="L4" i="4" s="1"/>
  <c r="G71" i="44"/>
  <c r="C76" i="44"/>
  <c r="G70" i="44"/>
  <c r="F73" i="44"/>
  <c r="G75" i="44"/>
  <c r="G73" i="44"/>
  <c r="C73" i="44"/>
  <c r="G72" i="44"/>
  <c r="F74" i="44"/>
  <c r="F97" i="44"/>
  <c r="C75" i="44"/>
  <c r="F75" i="44"/>
  <c r="L103" i="24"/>
  <c r="H4" i="26" s="1"/>
  <c r="G74" i="44"/>
  <c r="L99" i="24"/>
  <c r="G4" i="3" s="1"/>
  <c r="C71" i="44"/>
  <c r="C74" i="44"/>
  <c r="BD60" i="36"/>
  <c r="BD62" i="36"/>
  <c r="AB33" i="36"/>
  <c r="AB34" i="36"/>
  <c r="AB30" i="36"/>
  <c r="AC29" i="36"/>
  <c r="AB31" i="36"/>
  <c r="AC55" i="36"/>
  <c r="AC53" i="36"/>
  <c r="AC94" i="36" s="1"/>
  <c r="AC90" i="36"/>
  <c r="AD50" i="36"/>
  <c r="AD52" i="36" s="1"/>
  <c r="AC39" i="38" s="1"/>
  <c r="BF57" i="36"/>
  <c r="BF58" i="36"/>
  <c r="H8" i="33"/>
  <c r="J63" i="45"/>
  <c r="AP63" i="36"/>
  <c r="AP68" i="36" s="1"/>
  <c r="AP75" i="36" s="1"/>
  <c r="J68" i="36"/>
  <c r="K63" i="36"/>
  <c r="L72" i="14"/>
  <c r="AO66" i="36"/>
  <c r="AO73" i="36" s="1"/>
  <c r="AO65" i="36"/>
  <c r="AN71" i="36"/>
  <c r="AN72" i="36" s="1"/>
  <c r="AN106" i="36"/>
  <c r="AP64" i="36"/>
  <c r="J65" i="36"/>
  <c r="J66" i="36"/>
  <c r="I71" i="36"/>
  <c r="BU38" i="58" s="1"/>
  <c r="I37" i="58" s="1"/>
  <c r="AO37" i="58" s="1"/>
  <c r="BU37" i="58" s="1"/>
  <c r="I106" i="36"/>
  <c r="J5" i="33"/>
  <c r="P15" i="41"/>
  <c r="N17" i="41"/>
  <c r="AI62" i="41" s="1"/>
  <c r="P17" i="41"/>
  <c r="AI68" i="41" s="1"/>
  <c r="O17" i="41"/>
  <c r="AI65" i="41" s="1"/>
  <c r="O16" i="41"/>
  <c r="AI64" i="41" s="1"/>
  <c r="M10" i="41"/>
  <c r="L15" i="34"/>
  <c r="M11" i="41"/>
  <c r="N15" i="41"/>
  <c r="P16" i="41"/>
  <c r="AI67" i="41" s="1"/>
  <c r="M6" i="41"/>
  <c r="O3" i="41" s="1"/>
  <c r="L14" i="34"/>
  <c r="M9" i="41"/>
  <c r="J7" i="33"/>
  <c r="E8" i="33"/>
  <c r="O15" i="41"/>
  <c r="N16" i="41"/>
  <c r="AI61" i="41" s="1"/>
  <c r="F8" i="33"/>
  <c r="I17" i="33"/>
  <c r="D25" i="33"/>
  <c r="L37" i="34"/>
  <c r="F25" i="33"/>
  <c r="H79" i="33"/>
  <c r="H25" i="33"/>
  <c r="L38" i="34"/>
  <c r="G25" i="33"/>
  <c r="G17" i="33"/>
  <c r="F79" i="33"/>
  <c r="L36" i="34"/>
  <c r="E25" i="33"/>
  <c r="G8" i="33"/>
  <c r="J14" i="33"/>
  <c r="J41" i="33" s="1"/>
  <c r="L35" i="34"/>
  <c r="E72" i="33"/>
  <c r="G72" i="33"/>
  <c r="C25" i="33"/>
  <c r="H72" i="33"/>
  <c r="D72" i="33"/>
  <c r="F72" i="33"/>
  <c r="J16" i="33"/>
  <c r="J43" i="33" s="1"/>
  <c r="L39" i="34"/>
  <c r="I25" i="33"/>
  <c r="J3" i="33"/>
  <c r="L50" i="15"/>
  <c r="L53" i="15" s="1"/>
  <c r="L137" i="15" s="1"/>
  <c r="L126" i="15"/>
  <c r="I74" i="12"/>
  <c r="I76" i="12"/>
  <c r="I77" i="12"/>
  <c r="I78" i="12"/>
  <c r="I79" i="12"/>
  <c r="I75" i="12"/>
  <c r="I80" i="12"/>
  <c r="AC9" i="20"/>
  <c r="AC8" i="20"/>
  <c r="J74" i="14"/>
  <c r="J219" i="14" s="1"/>
  <c r="J230" i="14" s="1"/>
  <c r="J77" i="14"/>
  <c r="J75" i="14"/>
  <c r="J79" i="14"/>
  <c r="J80" i="14"/>
  <c r="J78" i="14"/>
  <c r="J76" i="14"/>
  <c r="I219" i="12"/>
  <c r="I230" i="12" s="1"/>
  <c r="X11" i="20"/>
  <c r="X10" i="20"/>
  <c r="W12" i="20"/>
  <c r="N33" i="11"/>
  <c r="M34" i="11"/>
  <c r="M35" i="11" s="1"/>
  <c r="M36" i="11" s="1"/>
  <c r="L29" i="13"/>
  <c r="L30" i="13" s="1"/>
  <c r="M28" i="13"/>
  <c r="J73" i="12"/>
  <c r="K31" i="13"/>
  <c r="K33" i="13" s="1"/>
  <c r="K64" i="36" s="1"/>
  <c r="K32" i="13"/>
  <c r="K73" i="14" s="1"/>
  <c r="AB7" i="20"/>
  <c r="BE25" i="36" l="1"/>
  <c r="X37" i="42" s="1"/>
  <c r="I8" i="33"/>
  <c r="E17" i="33"/>
  <c r="I22" i="33"/>
  <c r="H11" i="3"/>
  <c r="H22" i="33"/>
  <c r="H12" i="3"/>
  <c r="G79" i="33"/>
  <c r="AM4" i="51"/>
  <c r="AM57" i="58" s="1"/>
  <c r="CC57" i="58" s="1"/>
  <c r="CC58" i="58" s="1"/>
  <c r="G57" i="58"/>
  <c r="H96" i="55"/>
  <c r="AM96" i="55"/>
  <c r="CY96" i="55" s="1"/>
  <c r="J24" i="33"/>
  <c r="L30" i="41"/>
  <c r="N28" i="41" s="1"/>
  <c r="AI73" i="41" s="1"/>
  <c r="D79" i="33"/>
  <c r="C103" i="16"/>
  <c r="C103" i="15"/>
  <c r="N57" i="25"/>
  <c r="E7" i="26"/>
  <c r="E8" i="26"/>
  <c r="L61" i="45"/>
  <c r="AR61" i="45" s="1"/>
  <c r="AR63" i="45" s="1"/>
  <c r="L64" i="45"/>
  <c r="AR64" i="45" s="1"/>
  <c r="M37" i="11"/>
  <c r="M40" i="11"/>
  <c r="M66" i="45" s="1"/>
  <c r="AS66" i="45" s="1"/>
  <c r="M39" i="11"/>
  <c r="M38" i="11"/>
  <c r="H95" i="55"/>
  <c r="AM95" i="55"/>
  <c r="CY95" i="55" s="1"/>
  <c r="C102" i="15"/>
  <c r="C102" i="16"/>
  <c r="C107" i="16" s="1"/>
  <c r="C24" i="53"/>
  <c r="C24" i="54"/>
  <c r="D69" i="33"/>
  <c r="D77" i="33" s="1"/>
  <c r="J42" i="33"/>
  <c r="G42" i="33" s="1"/>
  <c r="F17" i="33"/>
  <c r="L8" i="34"/>
  <c r="Q4" i="34" s="1"/>
  <c r="AI64" i="34" s="1"/>
  <c r="F64" i="34" s="1"/>
  <c r="G64" i="34" s="1"/>
  <c r="H64" i="34" s="1"/>
  <c r="I64" i="34" s="1"/>
  <c r="J64" i="34" s="1"/>
  <c r="K64" i="34" s="1"/>
  <c r="L64" i="34" s="1"/>
  <c r="M64" i="34" s="1"/>
  <c r="N64" i="34" s="1"/>
  <c r="O64" i="34" s="1"/>
  <c r="P64" i="34" s="1"/>
  <c r="Q64" i="34" s="1"/>
  <c r="R64" i="34" s="1"/>
  <c r="S64" i="34" s="1"/>
  <c r="T64" i="34" s="1"/>
  <c r="U64" i="34" s="1"/>
  <c r="V64" i="34" s="1"/>
  <c r="W64" i="34" s="1"/>
  <c r="X64" i="34" s="1"/>
  <c r="Y64" i="34" s="1"/>
  <c r="Z64" i="34" s="1"/>
  <c r="AA64" i="34" s="1"/>
  <c r="AB64" i="34" s="1"/>
  <c r="AC64" i="34" s="1"/>
  <c r="AD64" i="34" s="1"/>
  <c r="AE64" i="34" s="1"/>
  <c r="AF64" i="34" s="1"/>
  <c r="AG64" i="34" s="1"/>
  <c r="AH64" i="34" s="1"/>
  <c r="F69" i="33"/>
  <c r="J13" i="33"/>
  <c r="J40" i="33" s="1"/>
  <c r="E69" i="33"/>
  <c r="H69" i="33"/>
  <c r="I69" i="33"/>
  <c r="I77" i="33" s="1"/>
  <c r="L27" i="34"/>
  <c r="L32" i="34" s="1"/>
  <c r="M29" i="34" s="1"/>
  <c r="AI105" i="34" s="1"/>
  <c r="G69" i="33"/>
  <c r="H4" i="51"/>
  <c r="T5" i="50"/>
  <c r="E39" i="48"/>
  <c r="N19" i="47"/>
  <c r="AI76" i="47" s="1"/>
  <c r="P19" i="47"/>
  <c r="AI84" i="47" s="1"/>
  <c r="O17" i="47"/>
  <c r="AI78" i="47" s="1"/>
  <c r="M24" i="41"/>
  <c r="N22" i="41" s="1"/>
  <c r="AI70" i="41" s="1"/>
  <c r="I7" i="26"/>
  <c r="I8" i="26"/>
  <c r="D24" i="53"/>
  <c r="F88" i="45"/>
  <c r="F51" i="45"/>
  <c r="F92" i="45" s="1"/>
  <c r="I76" i="33"/>
  <c r="V3" i="50"/>
  <c r="J6" i="52" s="1"/>
  <c r="O19" i="47"/>
  <c r="AI80" i="47" s="1"/>
  <c r="AI74" i="47"/>
  <c r="E76" i="33"/>
  <c r="C21" i="42" s="1"/>
  <c r="D21" i="42" s="1"/>
  <c r="E21" i="42" s="1"/>
  <c r="F21" i="42" s="1"/>
  <c r="G21" i="42" s="1"/>
  <c r="H21" i="42" s="1"/>
  <c r="I21" i="42" s="1"/>
  <c r="J21" i="42" s="1"/>
  <c r="K21" i="42" s="1"/>
  <c r="L21" i="42" s="1"/>
  <c r="M21" i="42" s="1"/>
  <c r="N21" i="42" s="1"/>
  <c r="O21" i="42" s="1"/>
  <c r="P21" i="42" s="1"/>
  <c r="Q21" i="42" s="1"/>
  <c r="R21" i="42" s="1"/>
  <c r="S21" i="42" s="1"/>
  <c r="T21" i="42" s="1"/>
  <c r="U21" i="42" s="1"/>
  <c r="V21" i="42" s="1"/>
  <c r="W21" i="42" s="1"/>
  <c r="X21" i="42" s="1"/>
  <c r="Y21" i="42" s="1"/>
  <c r="Z21" i="42" s="1"/>
  <c r="AA21" i="42" s="1"/>
  <c r="AB21" i="42" s="1"/>
  <c r="AC21" i="42" s="1"/>
  <c r="AD21" i="42" s="1"/>
  <c r="AE21" i="42" s="1"/>
  <c r="AF21" i="42" s="1"/>
  <c r="AG21" i="42" s="1"/>
  <c r="D76" i="33"/>
  <c r="C21" i="28" s="1"/>
  <c r="D21" i="28" s="1"/>
  <c r="M28" i="47"/>
  <c r="N24" i="47" s="1"/>
  <c r="L35" i="47"/>
  <c r="N32" i="47" s="1"/>
  <c r="AI91" i="47" s="1"/>
  <c r="M14" i="47"/>
  <c r="Q11" i="47" s="1"/>
  <c r="AI71" i="47" s="1"/>
  <c r="G76" i="33"/>
  <c r="H76" i="33"/>
  <c r="M7" i="47"/>
  <c r="R3" i="47" s="1"/>
  <c r="P17" i="47"/>
  <c r="O20" i="47"/>
  <c r="AI81" i="47" s="1"/>
  <c r="N18" i="47"/>
  <c r="AI75" i="47" s="1"/>
  <c r="P20" i="47"/>
  <c r="AI85" i="47" s="1"/>
  <c r="N20" i="47"/>
  <c r="AI77" i="47" s="1"/>
  <c r="P18" i="47"/>
  <c r="AI83" i="47" s="1"/>
  <c r="O18" i="47"/>
  <c r="AI79" i="47" s="1"/>
  <c r="AL52" i="45"/>
  <c r="F52" i="45"/>
  <c r="AL51" i="45"/>
  <c r="AL92" i="45" s="1"/>
  <c r="F53" i="45"/>
  <c r="AA23" i="36"/>
  <c r="C24" i="48"/>
  <c r="C24" i="46"/>
  <c r="BF70" i="36"/>
  <c r="AM48" i="45"/>
  <c r="AM50" i="45" s="1"/>
  <c r="AN46" i="45"/>
  <c r="AN47" i="45"/>
  <c r="AN49" i="45"/>
  <c r="AO45" i="45"/>
  <c r="G48" i="45"/>
  <c r="G50" i="45" s="1"/>
  <c r="F39" i="46" s="1"/>
  <c r="J75" i="44"/>
  <c r="H5" i="26"/>
  <c r="H6" i="26" s="1"/>
  <c r="L5" i="4"/>
  <c r="L6" i="4" s="1"/>
  <c r="D38" i="45"/>
  <c r="AJ38" i="45" s="1"/>
  <c r="AJ41" i="45" s="1"/>
  <c r="G5" i="3"/>
  <c r="G7" i="3" s="1"/>
  <c r="D16" i="45"/>
  <c r="AJ16" i="45" s="1"/>
  <c r="AL88" i="45"/>
  <c r="I45" i="45"/>
  <c r="H46" i="45"/>
  <c r="H47" i="45"/>
  <c r="H49" i="45"/>
  <c r="AJ88" i="45"/>
  <c r="AJ92" i="45"/>
  <c r="J9" i="26"/>
  <c r="I12" i="3"/>
  <c r="I10" i="3"/>
  <c r="AA59" i="36"/>
  <c r="Z40" i="38" s="1"/>
  <c r="BF36" i="36"/>
  <c r="BE39" i="36"/>
  <c r="BE77" i="36"/>
  <c r="BE37" i="36"/>
  <c r="BE81" i="36" s="1"/>
  <c r="AB35" i="36"/>
  <c r="BJ50" i="36"/>
  <c r="BJ52" i="36" s="1"/>
  <c r="AC39" i="42" s="1"/>
  <c r="BF23" i="36"/>
  <c r="BF25" i="36" s="1"/>
  <c r="Y37" i="42" s="1"/>
  <c r="BE60" i="36"/>
  <c r="BE62" i="36"/>
  <c r="H78" i="33"/>
  <c r="L105" i="24"/>
  <c r="BG35" i="36"/>
  <c r="BG36" i="36" s="1"/>
  <c r="Z36" i="42" s="1"/>
  <c r="Z62" i="36"/>
  <c r="Z60" i="36"/>
  <c r="BD26" i="36"/>
  <c r="BD87" i="36" s="1"/>
  <c r="BD28" i="36"/>
  <c r="BD84" i="36"/>
  <c r="AB32" i="36"/>
  <c r="AE50" i="36"/>
  <c r="AE52" i="36" s="1"/>
  <c r="BF44" i="36"/>
  <c r="BF97" i="36"/>
  <c r="BF46" i="36"/>
  <c r="J73" i="44"/>
  <c r="K73" i="44" s="1"/>
  <c r="M73" i="44" s="1"/>
  <c r="AA62" i="36"/>
  <c r="BF59" i="36"/>
  <c r="Y40" i="42" s="1"/>
  <c r="AD90" i="36"/>
  <c r="AD55" i="36"/>
  <c r="AD53" i="36"/>
  <c r="AD94" i="36" s="1"/>
  <c r="AD29" i="36"/>
  <c r="AC33" i="36"/>
  <c r="AC34" i="36"/>
  <c r="AC30" i="36"/>
  <c r="AC31" i="36"/>
  <c r="BG57" i="36"/>
  <c r="BG58" i="36"/>
  <c r="AF51" i="36"/>
  <c r="AF48" i="36"/>
  <c r="AF49" i="36"/>
  <c r="AG47" i="36"/>
  <c r="BH41" i="36"/>
  <c r="BH42" i="36"/>
  <c r="BI40" i="36"/>
  <c r="AB22" i="36"/>
  <c r="AB21" i="36"/>
  <c r="BI55" i="36"/>
  <c r="BI53" i="36"/>
  <c r="BI94" i="36" s="1"/>
  <c r="BI90" i="36"/>
  <c r="Z28" i="36"/>
  <c r="Z84" i="36"/>
  <c r="Z26" i="36"/>
  <c r="Z87" i="36" s="1"/>
  <c r="G97" i="44"/>
  <c r="G77" i="44"/>
  <c r="J70" i="44"/>
  <c r="C77" i="44"/>
  <c r="AB57" i="36"/>
  <c r="AB58" i="36"/>
  <c r="BI29" i="36"/>
  <c r="BH30" i="36"/>
  <c r="BH33" i="36"/>
  <c r="BH31" i="36"/>
  <c r="BH34" i="36"/>
  <c r="F77" i="44"/>
  <c r="BK51" i="36"/>
  <c r="BK48" i="36"/>
  <c r="BK49" i="36"/>
  <c r="BL47" i="36"/>
  <c r="BG43" i="36"/>
  <c r="Z38" i="42" s="1"/>
  <c r="AA70" i="36"/>
  <c r="BH19" i="36"/>
  <c r="BH20" i="36" s="1"/>
  <c r="BH56" i="36"/>
  <c r="C97" i="44"/>
  <c r="BG22" i="36"/>
  <c r="BG21" i="36"/>
  <c r="AC19" i="36"/>
  <c r="AC20" i="36" s="1"/>
  <c r="AD18" i="36"/>
  <c r="BI18" i="36"/>
  <c r="AC56" i="36"/>
  <c r="AC42" i="36"/>
  <c r="AD40" i="36"/>
  <c r="M72" i="14"/>
  <c r="L72" i="12"/>
  <c r="K63" i="45"/>
  <c r="L63" i="36"/>
  <c r="AQ63" i="36"/>
  <c r="AQ68" i="36" s="1"/>
  <c r="AQ75" i="36" s="1"/>
  <c r="K68" i="36"/>
  <c r="N5" i="41"/>
  <c r="AI35" i="41" s="1"/>
  <c r="J71" i="36"/>
  <c r="BV38" i="58" s="1"/>
  <c r="J37" i="58" s="1"/>
  <c r="AP37" i="58" s="1"/>
  <c r="BV37" i="58" s="1"/>
  <c r="J106" i="36"/>
  <c r="AP66" i="36"/>
  <c r="AP73" i="36" s="1"/>
  <c r="AP65" i="36"/>
  <c r="AO71" i="36"/>
  <c r="AO72" i="36" s="1"/>
  <c r="AO106" i="36"/>
  <c r="AQ64" i="36"/>
  <c r="K65" i="36"/>
  <c r="K66" i="36"/>
  <c r="N19" i="34"/>
  <c r="AI93" i="34" s="1"/>
  <c r="F93" i="34" s="1"/>
  <c r="G93" i="34" s="1"/>
  <c r="H93" i="34" s="1"/>
  <c r="I93" i="34" s="1"/>
  <c r="J93" i="34" s="1"/>
  <c r="K93" i="34" s="1"/>
  <c r="L93" i="34" s="1"/>
  <c r="M93" i="34" s="1"/>
  <c r="N93" i="34" s="1"/>
  <c r="O93" i="34" s="1"/>
  <c r="P93" i="34" s="1"/>
  <c r="Q93" i="34" s="1"/>
  <c r="R93" i="34" s="1"/>
  <c r="S93" i="34" s="1"/>
  <c r="T93" i="34" s="1"/>
  <c r="U93" i="34" s="1"/>
  <c r="V93" i="34" s="1"/>
  <c r="W93" i="34" s="1"/>
  <c r="X93" i="34" s="1"/>
  <c r="Y93" i="34" s="1"/>
  <c r="Z93" i="34" s="1"/>
  <c r="AA93" i="34" s="1"/>
  <c r="AB93" i="34" s="1"/>
  <c r="AC93" i="34" s="1"/>
  <c r="AD93" i="34" s="1"/>
  <c r="AE93" i="34" s="1"/>
  <c r="AF93" i="34" s="1"/>
  <c r="AG93" i="34" s="1"/>
  <c r="AH93" i="34" s="1"/>
  <c r="H80" i="33"/>
  <c r="J22" i="33"/>
  <c r="L16" i="34"/>
  <c r="N15" i="34" s="1"/>
  <c r="AI77" i="34" s="1"/>
  <c r="O5" i="41"/>
  <c r="AI38" i="41" s="1"/>
  <c r="N29" i="41"/>
  <c r="AI74" i="41" s="1"/>
  <c r="R5" i="41"/>
  <c r="AI47" i="41" s="1"/>
  <c r="N27" i="41"/>
  <c r="H77" i="33"/>
  <c r="J8" i="33"/>
  <c r="F80" i="33"/>
  <c r="N23" i="41"/>
  <c r="AI71" i="41" s="1"/>
  <c r="F77" i="33"/>
  <c r="D80" i="33"/>
  <c r="C25" i="28" s="1"/>
  <c r="G80" i="33"/>
  <c r="AI63" i="41"/>
  <c r="O18" i="41"/>
  <c r="N3" i="41"/>
  <c r="N21" i="41"/>
  <c r="O4" i="41"/>
  <c r="AI37" i="41" s="1"/>
  <c r="AI36" i="41"/>
  <c r="AI66" i="41"/>
  <c r="P18" i="41"/>
  <c r="C24" i="28"/>
  <c r="D24" i="28" s="1"/>
  <c r="C24" i="29"/>
  <c r="R4" i="41"/>
  <c r="AI46" i="41" s="1"/>
  <c r="M12" i="41"/>
  <c r="Q10" i="41" s="1"/>
  <c r="AI58" i="41" s="1"/>
  <c r="R3" i="41"/>
  <c r="AI60" i="41"/>
  <c r="N18" i="41"/>
  <c r="N4" i="41"/>
  <c r="AI34" i="41" s="1"/>
  <c r="C21" i="38"/>
  <c r="C24" i="38"/>
  <c r="AI98" i="34"/>
  <c r="F98" i="34" s="1"/>
  <c r="G98" i="34" s="1"/>
  <c r="H98" i="34" s="1"/>
  <c r="I98" i="34" s="1"/>
  <c r="J98" i="34" s="1"/>
  <c r="K98" i="34" s="1"/>
  <c r="L98" i="34" s="1"/>
  <c r="M98" i="34" s="1"/>
  <c r="N98" i="34" s="1"/>
  <c r="O98" i="34" s="1"/>
  <c r="P98" i="34" s="1"/>
  <c r="Q98" i="34" s="1"/>
  <c r="R98" i="34" s="1"/>
  <c r="S98" i="34" s="1"/>
  <c r="T98" i="34" s="1"/>
  <c r="U98" i="34" s="1"/>
  <c r="V98" i="34" s="1"/>
  <c r="W98" i="34" s="1"/>
  <c r="X98" i="34" s="1"/>
  <c r="Y98" i="34" s="1"/>
  <c r="Z98" i="34" s="1"/>
  <c r="AA98" i="34" s="1"/>
  <c r="AB98" i="34" s="1"/>
  <c r="AC98" i="34" s="1"/>
  <c r="AD98" i="34" s="1"/>
  <c r="AE98" i="34" s="1"/>
  <c r="AF98" i="34" s="1"/>
  <c r="AG98" i="34" s="1"/>
  <c r="AH98" i="34" s="1"/>
  <c r="F41" i="33"/>
  <c r="G41" i="33"/>
  <c r="H41" i="33"/>
  <c r="C12" i="47" s="1"/>
  <c r="I41" i="33"/>
  <c r="E41" i="33"/>
  <c r="C11" i="47" s="1"/>
  <c r="C41" i="33"/>
  <c r="D41" i="33"/>
  <c r="N22" i="34"/>
  <c r="AI96" i="34" s="1"/>
  <c r="N21" i="34"/>
  <c r="AI95" i="34" s="1"/>
  <c r="F95" i="34" s="1"/>
  <c r="G95" i="34" s="1"/>
  <c r="H95" i="34" s="1"/>
  <c r="I95" i="34" s="1"/>
  <c r="J95" i="34" s="1"/>
  <c r="K95" i="34" s="1"/>
  <c r="L95" i="34" s="1"/>
  <c r="M95" i="34" s="1"/>
  <c r="N95" i="34" s="1"/>
  <c r="O95" i="34" s="1"/>
  <c r="P95" i="34" s="1"/>
  <c r="Q95" i="34" s="1"/>
  <c r="R95" i="34" s="1"/>
  <c r="S95" i="34" s="1"/>
  <c r="T95" i="34" s="1"/>
  <c r="U95" i="34" s="1"/>
  <c r="V95" i="34" s="1"/>
  <c r="W95" i="34" s="1"/>
  <c r="X95" i="34" s="1"/>
  <c r="Y95" i="34" s="1"/>
  <c r="Z95" i="34" s="1"/>
  <c r="AA95" i="34" s="1"/>
  <c r="AB95" i="34" s="1"/>
  <c r="AC95" i="34" s="1"/>
  <c r="AD95" i="34" s="1"/>
  <c r="AE95" i="34" s="1"/>
  <c r="AF95" i="34" s="1"/>
  <c r="AG95" i="34" s="1"/>
  <c r="AH95" i="34" s="1"/>
  <c r="E77" i="33"/>
  <c r="C23" i="42" s="1"/>
  <c r="D23" i="42" s="1"/>
  <c r="E23" i="42" s="1"/>
  <c r="F23" i="42" s="1"/>
  <c r="G23" i="42" s="1"/>
  <c r="H23" i="42" s="1"/>
  <c r="I23" i="42" s="1"/>
  <c r="J23" i="42" s="1"/>
  <c r="K23" i="42" s="1"/>
  <c r="L23" i="42" s="1"/>
  <c r="M23" i="42" s="1"/>
  <c r="N23" i="42" s="1"/>
  <c r="O23" i="42" s="1"/>
  <c r="P23" i="42" s="1"/>
  <c r="Q23" i="42" s="1"/>
  <c r="R23" i="42" s="1"/>
  <c r="S23" i="42" s="1"/>
  <c r="T23" i="42" s="1"/>
  <c r="U23" i="42" s="1"/>
  <c r="V23" i="42" s="1"/>
  <c r="W23" i="42" s="1"/>
  <c r="X23" i="42" s="1"/>
  <c r="Y23" i="42" s="1"/>
  <c r="Z23" i="42" s="1"/>
  <c r="AA23" i="42" s="1"/>
  <c r="AB23" i="42" s="1"/>
  <c r="AC23" i="42" s="1"/>
  <c r="AD23" i="42" s="1"/>
  <c r="AE23" i="42" s="1"/>
  <c r="AF23" i="42" s="1"/>
  <c r="AG23" i="42" s="1"/>
  <c r="M20" i="34"/>
  <c r="AI89" i="34" s="1"/>
  <c r="F89" i="34" s="1"/>
  <c r="G89" i="34" s="1"/>
  <c r="H89" i="34" s="1"/>
  <c r="I89" i="34" s="1"/>
  <c r="J89" i="34" s="1"/>
  <c r="K89" i="34" s="1"/>
  <c r="L89" i="34" s="1"/>
  <c r="M89" i="34" s="1"/>
  <c r="N89" i="34" s="1"/>
  <c r="O89" i="34" s="1"/>
  <c r="P89" i="34" s="1"/>
  <c r="Q89" i="34" s="1"/>
  <c r="R89" i="34" s="1"/>
  <c r="S89" i="34" s="1"/>
  <c r="T89" i="34" s="1"/>
  <c r="U89" i="34" s="1"/>
  <c r="V89" i="34" s="1"/>
  <c r="W89" i="34" s="1"/>
  <c r="X89" i="34" s="1"/>
  <c r="Y89" i="34" s="1"/>
  <c r="Z89" i="34" s="1"/>
  <c r="AA89" i="34" s="1"/>
  <c r="AB89" i="34" s="1"/>
  <c r="AC89" i="34" s="1"/>
  <c r="AD89" i="34" s="1"/>
  <c r="AE89" i="34" s="1"/>
  <c r="AF89" i="34" s="1"/>
  <c r="AG89" i="34" s="1"/>
  <c r="AH89" i="34" s="1"/>
  <c r="M19" i="34"/>
  <c r="E80" i="33"/>
  <c r="C25" i="42" s="1"/>
  <c r="D25" i="42" s="1"/>
  <c r="E25" i="42" s="1"/>
  <c r="F25" i="42" s="1"/>
  <c r="G25" i="42" s="1"/>
  <c r="H25" i="42" s="1"/>
  <c r="I25" i="42" s="1"/>
  <c r="J25" i="42" s="1"/>
  <c r="K25" i="42" s="1"/>
  <c r="L25" i="42" s="1"/>
  <c r="M25" i="42" s="1"/>
  <c r="N25" i="42" s="1"/>
  <c r="O25" i="42" s="1"/>
  <c r="P25" i="42" s="1"/>
  <c r="Q25" i="42" s="1"/>
  <c r="R25" i="42" s="1"/>
  <c r="S25" i="42" s="1"/>
  <c r="T25" i="42" s="1"/>
  <c r="U25" i="42" s="1"/>
  <c r="V25" i="42" s="1"/>
  <c r="W25" i="42" s="1"/>
  <c r="X25" i="42" s="1"/>
  <c r="Y25" i="42" s="1"/>
  <c r="Z25" i="42" s="1"/>
  <c r="AA25" i="42" s="1"/>
  <c r="AB25" i="42" s="1"/>
  <c r="AC25" i="42" s="1"/>
  <c r="AD25" i="42" s="1"/>
  <c r="AE25" i="42" s="1"/>
  <c r="AF25" i="42" s="1"/>
  <c r="AG25" i="42" s="1"/>
  <c r="M22" i="34"/>
  <c r="AI91" i="34" s="1"/>
  <c r="O21" i="34"/>
  <c r="AI100" i="34" s="1"/>
  <c r="F100" i="34" s="1"/>
  <c r="G100" i="34" s="1"/>
  <c r="H100" i="34" s="1"/>
  <c r="I100" i="34" s="1"/>
  <c r="J100" i="34" s="1"/>
  <c r="K100" i="34" s="1"/>
  <c r="L100" i="34" s="1"/>
  <c r="M100" i="34" s="1"/>
  <c r="N100" i="34" s="1"/>
  <c r="O100" i="34" s="1"/>
  <c r="P100" i="34" s="1"/>
  <c r="Q100" i="34" s="1"/>
  <c r="R100" i="34" s="1"/>
  <c r="S100" i="34" s="1"/>
  <c r="T100" i="34" s="1"/>
  <c r="U100" i="34" s="1"/>
  <c r="V100" i="34" s="1"/>
  <c r="W100" i="34" s="1"/>
  <c r="X100" i="34" s="1"/>
  <c r="Y100" i="34" s="1"/>
  <c r="Z100" i="34" s="1"/>
  <c r="AA100" i="34" s="1"/>
  <c r="AB100" i="34" s="1"/>
  <c r="AC100" i="34" s="1"/>
  <c r="AD100" i="34" s="1"/>
  <c r="AE100" i="34" s="1"/>
  <c r="AF100" i="34" s="1"/>
  <c r="AG100" i="34" s="1"/>
  <c r="AH100" i="34" s="1"/>
  <c r="F78" i="33"/>
  <c r="F40" i="33"/>
  <c r="E40" i="33"/>
  <c r="C25" i="47" s="1"/>
  <c r="D40" i="33"/>
  <c r="D31" i="33" s="1"/>
  <c r="D49" i="33" s="1"/>
  <c r="I40" i="33"/>
  <c r="C40" i="33"/>
  <c r="G40" i="33"/>
  <c r="H40" i="33"/>
  <c r="C26" i="47" s="1"/>
  <c r="I43" i="33"/>
  <c r="D43" i="33"/>
  <c r="D34" i="33" s="1"/>
  <c r="D52" i="33" s="1"/>
  <c r="C43" i="33"/>
  <c r="H43" i="33"/>
  <c r="C33" i="47" s="1"/>
  <c r="G43" i="33"/>
  <c r="E43" i="33"/>
  <c r="C32" i="47" s="1"/>
  <c r="F43" i="33"/>
  <c r="I80" i="33"/>
  <c r="L40" i="34"/>
  <c r="M37" i="34" s="1"/>
  <c r="AI110" i="34" s="1"/>
  <c r="M28" i="34"/>
  <c r="AI104" i="34" s="1"/>
  <c r="H42" i="33"/>
  <c r="C19" i="47" s="1"/>
  <c r="I42" i="33"/>
  <c r="G78" i="33"/>
  <c r="J17" i="33"/>
  <c r="O20" i="34"/>
  <c r="AI99" i="34" s="1"/>
  <c r="F99" i="34" s="1"/>
  <c r="G99" i="34" s="1"/>
  <c r="H99" i="34" s="1"/>
  <c r="I99" i="34" s="1"/>
  <c r="J99" i="34" s="1"/>
  <c r="K99" i="34" s="1"/>
  <c r="L99" i="34" s="1"/>
  <c r="M99" i="34" s="1"/>
  <c r="N99" i="34" s="1"/>
  <c r="O99" i="34" s="1"/>
  <c r="P99" i="34" s="1"/>
  <c r="Q99" i="34" s="1"/>
  <c r="R99" i="34" s="1"/>
  <c r="S99" i="34" s="1"/>
  <c r="T99" i="34" s="1"/>
  <c r="U99" i="34" s="1"/>
  <c r="V99" i="34" s="1"/>
  <c r="W99" i="34" s="1"/>
  <c r="X99" i="34" s="1"/>
  <c r="Y99" i="34" s="1"/>
  <c r="Z99" i="34" s="1"/>
  <c r="AA99" i="34" s="1"/>
  <c r="AB99" i="34" s="1"/>
  <c r="AC99" i="34" s="1"/>
  <c r="AD99" i="34" s="1"/>
  <c r="AE99" i="34" s="1"/>
  <c r="AF99" i="34" s="1"/>
  <c r="AG99" i="34" s="1"/>
  <c r="AH99" i="34" s="1"/>
  <c r="M23" i="34"/>
  <c r="AI92" i="34" s="1"/>
  <c r="O23" i="34"/>
  <c r="AI102" i="34" s="1"/>
  <c r="N23" i="34"/>
  <c r="AI97" i="34" s="1"/>
  <c r="J25" i="33"/>
  <c r="D78" i="33"/>
  <c r="O22" i="34"/>
  <c r="AI101" i="34" s="1"/>
  <c r="M27" i="34"/>
  <c r="I78" i="33"/>
  <c r="M21" i="34"/>
  <c r="AI90" i="34" s="1"/>
  <c r="F90" i="34" s="1"/>
  <c r="G90" i="34" s="1"/>
  <c r="H90" i="34" s="1"/>
  <c r="I90" i="34" s="1"/>
  <c r="J90" i="34" s="1"/>
  <c r="K90" i="34" s="1"/>
  <c r="L90" i="34" s="1"/>
  <c r="M90" i="34" s="1"/>
  <c r="N90" i="34" s="1"/>
  <c r="O90" i="34" s="1"/>
  <c r="P90" i="34" s="1"/>
  <c r="Q90" i="34" s="1"/>
  <c r="R90" i="34" s="1"/>
  <c r="S90" i="34" s="1"/>
  <c r="T90" i="34" s="1"/>
  <c r="U90" i="34" s="1"/>
  <c r="V90" i="34" s="1"/>
  <c r="W90" i="34" s="1"/>
  <c r="X90" i="34" s="1"/>
  <c r="Y90" i="34" s="1"/>
  <c r="Z90" i="34" s="1"/>
  <c r="AA90" i="34" s="1"/>
  <c r="AB90" i="34" s="1"/>
  <c r="AC90" i="34" s="1"/>
  <c r="AD90" i="34" s="1"/>
  <c r="AE90" i="34" s="1"/>
  <c r="AF90" i="34" s="1"/>
  <c r="AG90" i="34" s="1"/>
  <c r="AH90" i="34" s="1"/>
  <c r="N20" i="34"/>
  <c r="AI94" i="34" s="1"/>
  <c r="F94" i="34" s="1"/>
  <c r="G94" i="34" s="1"/>
  <c r="H94" i="34" s="1"/>
  <c r="I94" i="34" s="1"/>
  <c r="J94" i="34" s="1"/>
  <c r="K94" i="34" s="1"/>
  <c r="L94" i="34" s="1"/>
  <c r="M94" i="34" s="1"/>
  <c r="N94" i="34" s="1"/>
  <c r="O94" i="34" s="1"/>
  <c r="P94" i="34" s="1"/>
  <c r="Q94" i="34" s="1"/>
  <c r="R94" i="34" s="1"/>
  <c r="S94" i="34" s="1"/>
  <c r="T94" i="34" s="1"/>
  <c r="U94" i="34" s="1"/>
  <c r="V94" i="34" s="1"/>
  <c r="W94" i="34" s="1"/>
  <c r="X94" i="34" s="1"/>
  <c r="Y94" i="34" s="1"/>
  <c r="Z94" i="34" s="1"/>
  <c r="AA94" i="34" s="1"/>
  <c r="AB94" i="34" s="1"/>
  <c r="AC94" i="34" s="1"/>
  <c r="AD94" i="34" s="1"/>
  <c r="AE94" i="34" s="1"/>
  <c r="AF94" i="34" s="1"/>
  <c r="AG94" i="34" s="1"/>
  <c r="AH94" i="34" s="1"/>
  <c r="F39" i="33"/>
  <c r="D39" i="33"/>
  <c r="D30" i="33" s="1"/>
  <c r="D48" i="33" s="1"/>
  <c r="E39" i="33"/>
  <c r="C4" i="47" s="1"/>
  <c r="I39" i="33"/>
  <c r="C39" i="33"/>
  <c r="H39" i="33"/>
  <c r="G39" i="33"/>
  <c r="J44" i="33"/>
  <c r="E78" i="33"/>
  <c r="C22" i="42" s="1"/>
  <c r="D22" i="42" s="1"/>
  <c r="E22" i="42" s="1"/>
  <c r="F22" i="42" s="1"/>
  <c r="G22" i="42" s="1"/>
  <c r="H22" i="42" s="1"/>
  <c r="I22" i="42" s="1"/>
  <c r="J22" i="42" s="1"/>
  <c r="K22" i="42" s="1"/>
  <c r="L22" i="42" s="1"/>
  <c r="M22" i="42" s="1"/>
  <c r="N22" i="42" s="1"/>
  <c r="O22" i="42" s="1"/>
  <c r="P22" i="42" s="1"/>
  <c r="Q22" i="42" s="1"/>
  <c r="R22" i="42" s="1"/>
  <c r="S22" i="42" s="1"/>
  <c r="T22" i="42" s="1"/>
  <c r="U22" i="42" s="1"/>
  <c r="V22" i="42" s="1"/>
  <c r="W22" i="42" s="1"/>
  <c r="X22" i="42" s="1"/>
  <c r="Y22" i="42" s="1"/>
  <c r="Z22" i="42" s="1"/>
  <c r="AA22" i="42" s="1"/>
  <c r="AB22" i="42" s="1"/>
  <c r="AC22" i="42" s="1"/>
  <c r="AD22" i="42" s="1"/>
  <c r="AE22" i="42" s="1"/>
  <c r="AF22" i="42" s="1"/>
  <c r="AG22" i="42" s="1"/>
  <c r="J74" i="12"/>
  <c r="J219" i="12" s="1"/>
  <c r="J230" i="12" s="1"/>
  <c r="J75" i="12"/>
  <c r="J78" i="12"/>
  <c r="J77" i="12"/>
  <c r="J80" i="12"/>
  <c r="J76" i="12"/>
  <c r="J79" i="12"/>
  <c r="AD8" i="20"/>
  <c r="AD9" i="20"/>
  <c r="K74" i="14"/>
  <c r="K219" i="14" s="1"/>
  <c r="K230" i="14" s="1"/>
  <c r="K79" i="14"/>
  <c r="K75" i="14"/>
  <c r="K78" i="14"/>
  <c r="K76" i="14"/>
  <c r="K77" i="14"/>
  <c r="K80" i="14"/>
  <c r="Y10" i="20"/>
  <c r="X12" i="20"/>
  <c r="Y11" i="20"/>
  <c r="O33" i="11"/>
  <c r="N34" i="11"/>
  <c r="N35" i="11" s="1"/>
  <c r="N36" i="11" s="1"/>
  <c r="K73" i="12"/>
  <c r="M29" i="13"/>
  <c r="M30" i="13" s="1"/>
  <c r="N28" i="13"/>
  <c r="L31" i="13"/>
  <c r="L33" i="13" s="1"/>
  <c r="L64" i="36" s="1"/>
  <c r="L32" i="13"/>
  <c r="L73" i="14" s="1"/>
  <c r="AC7" i="20"/>
  <c r="M31" i="15"/>
  <c r="N31" i="15"/>
  <c r="H13" i="3" l="1"/>
  <c r="BE26" i="36"/>
  <c r="BE87" i="36" s="1"/>
  <c r="BE84" i="36"/>
  <c r="BE28" i="36"/>
  <c r="AA25" i="36"/>
  <c r="Z37" i="38" s="1"/>
  <c r="C107" i="15"/>
  <c r="G77" i="33"/>
  <c r="E9" i="26"/>
  <c r="AN95" i="55"/>
  <c r="CZ95" i="55" s="1"/>
  <c r="I95" i="55"/>
  <c r="M61" i="45"/>
  <c r="AS61" i="45" s="1"/>
  <c r="AS63" i="45" s="1"/>
  <c r="M64" i="45"/>
  <c r="AS64" i="45" s="1"/>
  <c r="N37" i="11"/>
  <c r="N72" i="12" s="1"/>
  <c r="N40" i="11"/>
  <c r="N66" i="45" s="1"/>
  <c r="AT66" i="45" s="1"/>
  <c r="N39" i="11"/>
  <c r="N38" i="11"/>
  <c r="AN4" i="51"/>
  <c r="AN57" i="58" s="1"/>
  <c r="CD57" i="58" s="1"/>
  <c r="CD58" i="58" s="1"/>
  <c r="H57" i="58"/>
  <c r="I96" i="55"/>
  <c r="AN96" i="55"/>
  <c r="CZ96" i="55" s="1"/>
  <c r="Q6" i="34"/>
  <c r="AI66" i="34" s="1"/>
  <c r="F66" i="34" s="1"/>
  <c r="G66" i="34" s="1"/>
  <c r="H66" i="34" s="1"/>
  <c r="I66" i="34" s="1"/>
  <c r="J66" i="34" s="1"/>
  <c r="K66" i="34" s="1"/>
  <c r="L66" i="34" s="1"/>
  <c r="M66" i="34" s="1"/>
  <c r="N66" i="34" s="1"/>
  <c r="O66" i="34" s="1"/>
  <c r="P66" i="34" s="1"/>
  <c r="Q66" i="34" s="1"/>
  <c r="R66" i="34" s="1"/>
  <c r="S66" i="34" s="1"/>
  <c r="T66" i="34" s="1"/>
  <c r="U66" i="34" s="1"/>
  <c r="V66" i="34" s="1"/>
  <c r="W66" i="34" s="1"/>
  <c r="X66" i="34" s="1"/>
  <c r="Y66" i="34" s="1"/>
  <c r="Z66" i="34" s="1"/>
  <c r="AA66" i="34" s="1"/>
  <c r="AB66" i="34" s="1"/>
  <c r="AC66" i="34" s="1"/>
  <c r="AD66" i="34" s="1"/>
  <c r="AE66" i="34" s="1"/>
  <c r="AF66" i="34" s="1"/>
  <c r="AG66" i="34" s="1"/>
  <c r="AH66" i="34" s="1"/>
  <c r="M31" i="34"/>
  <c r="AI107" i="34" s="1"/>
  <c r="C42" i="33"/>
  <c r="Q5" i="34"/>
  <c r="AI65" i="34" s="1"/>
  <c r="F65" i="34" s="1"/>
  <c r="G65" i="34" s="1"/>
  <c r="H65" i="34" s="1"/>
  <c r="I65" i="34" s="1"/>
  <c r="J65" i="34" s="1"/>
  <c r="K65" i="34" s="1"/>
  <c r="L65" i="34" s="1"/>
  <c r="M65" i="34" s="1"/>
  <c r="N65" i="34" s="1"/>
  <c r="O65" i="34" s="1"/>
  <c r="P65" i="34" s="1"/>
  <c r="Q65" i="34" s="1"/>
  <c r="R65" i="34" s="1"/>
  <c r="S65" i="34" s="1"/>
  <c r="T65" i="34" s="1"/>
  <c r="U65" i="34" s="1"/>
  <c r="V65" i="34" s="1"/>
  <c r="W65" i="34" s="1"/>
  <c r="X65" i="34" s="1"/>
  <c r="Y65" i="34" s="1"/>
  <c r="Z65" i="34" s="1"/>
  <c r="AA65" i="34" s="1"/>
  <c r="AB65" i="34" s="1"/>
  <c r="AC65" i="34" s="1"/>
  <c r="AD65" i="34" s="1"/>
  <c r="AE65" i="34" s="1"/>
  <c r="AF65" i="34" s="1"/>
  <c r="AG65" i="34" s="1"/>
  <c r="AH65" i="34" s="1"/>
  <c r="E21" i="28"/>
  <c r="F21" i="28" s="1"/>
  <c r="N7" i="34"/>
  <c r="M4" i="34"/>
  <c r="AI44" i="34" s="1"/>
  <c r="F44" i="34" s="1"/>
  <c r="G44" i="34" s="1"/>
  <c r="H44" i="34" s="1"/>
  <c r="I44" i="34" s="1"/>
  <c r="J44" i="34" s="1"/>
  <c r="K44" i="34" s="1"/>
  <c r="L44" i="34" s="1"/>
  <c r="M44" i="34" s="1"/>
  <c r="N44" i="34" s="1"/>
  <c r="O44" i="34" s="1"/>
  <c r="P44" i="34" s="1"/>
  <c r="Q44" i="34" s="1"/>
  <c r="R44" i="34" s="1"/>
  <c r="S44" i="34" s="1"/>
  <c r="T44" i="34" s="1"/>
  <c r="U44" i="34" s="1"/>
  <c r="V44" i="34" s="1"/>
  <c r="W44" i="34" s="1"/>
  <c r="X44" i="34" s="1"/>
  <c r="Y44" i="34" s="1"/>
  <c r="Z44" i="34" s="1"/>
  <c r="AA44" i="34" s="1"/>
  <c r="AB44" i="34" s="1"/>
  <c r="AC44" i="34" s="1"/>
  <c r="AD44" i="34" s="1"/>
  <c r="AE44" i="34" s="1"/>
  <c r="AF44" i="34" s="1"/>
  <c r="AG44" i="34" s="1"/>
  <c r="AH44" i="34" s="1"/>
  <c r="M7" i="34"/>
  <c r="AI47" i="34" s="1"/>
  <c r="F47" i="34" s="1"/>
  <c r="G47" i="34" s="1"/>
  <c r="H47" i="34" s="1"/>
  <c r="I47" i="34" s="1"/>
  <c r="J47" i="34" s="1"/>
  <c r="K47" i="34" s="1"/>
  <c r="L47" i="34" s="1"/>
  <c r="M47" i="34" s="1"/>
  <c r="N47" i="34" s="1"/>
  <c r="O47" i="34" s="1"/>
  <c r="P47" i="34" s="1"/>
  <c r="Q47" i="34" s="1"/>
  <c r="R47" i="34" s="1"/>
  <c r="S47" i="34" s="1"/>
  <c r="T47" i="34" s="1"/>
  <c r="U47" i="34" s="1"/>
  <c r="V47" i="34" s="1"/>
  <c r="W47" i="34" s="1"/>
  <c r="X47" i="34" s="1"/>
  <c r="Y47" i="34" s="1"/>
  <c r="Z47" i="34" s="1"/>
  <c r="AA47" i="34" s="1"/>
  <c r="AB47" i="34" s="1"/>
  <c r="AC47" i="34" s="1"/>
  <c r="AD47" i="34" s="1"/>
  <c r="AE47" i="34" s="1"/>
  <c r="AF47" i="34" s="1"/>
  <c r="AG47" i="34" s="1"/>
  <c r="AH47" i="34" s="1"/>
  <c r="Q7" i="34"/>
  <c r="AI67" i="34" s="1"/>
  <c r="F67" i="34" s="1"/>
  <c r="G67" i="34" s="1"/>
  <c r="H67" i="34" s="1"/>
  <c r="I67" i="34" s="1"/>
  <c r="J67" i="34" s="1"/>
  <c r="K67" i="34" s="1"/>
  <c r="L67" i="34" s="1"/>
  <c r="M67" i="34" s="1"/>
  <c r="N67" i="34" s="1"/>
  <c r="O67" i="34" s="1"/>
  <c r="P67" i="34" s="1"/>
  <c r="Q67" i="34" s="1"/>
  <c r="R67" i="34" s="1"/>
  <c r="S67" i="34" s="1"/>
  <c r="T67" i="34" s="1"/>
  <c r="U67" i="34" s="1"/>
  <c r="V67" i="34" s="1"/>
  <c r="W67" i="34" s="1"/>
  <c r="X67" i="34" s="1"/>
  <c r="Y67" i="34" s="1"/>
  <c r="Z67" i="34" s="1"/>
  <c r="AA67" i="34" s="1"/>
  <c r="AB67" i="34" s="1"/>
  <c r="AC67" i="34" s="1"/>
  <c r="AD67" i="34" s="1"/>
  <c r="AE67" i="34" s="1"/>
  <c r="AF67" i="34" s="1"/>
  <c r="AG67" i="34" s="1"/>
  <c r="AH67" i="34" s="1"/>
  <c r="E42" i="33"/>
  <c r="E33" i="33" s="1"/>
  <c r="E51" i="33" s="1"/>
  <c r="M5" i="34"/>
  <c r="AI45" i="34" s="1"/>
  <c r="F45" i="34" s="1"/>
  <c r="G45" i="34" s="1"/>
  <c r="H45" i="34" s="1"/>
  <c r="I45" i="34" s="1"/>
  <c r="J45" i="34" s="1"/>
  <c r="K45" i="34" s="1"/>
  <c r="L45" i="34" s="1"/>
  <c r="M45" i="34" s="1"/>
  <c r="N45" i="34" s="1"/>
  <c r="O45" i="34" s="1"/>
  <c r="P45" i="34" s="1"/>
  <c r="Q45" i="34" s="1"/>
  <c r="R45" i="34" s="1"/>
  <c r="S45" i="34" s="1"/>
  <c r="T45" i="34" s="1"/>
  <c r="U45" i="34" s="1"/>
  <c r="V45" i="34" s="1"/>
  <c r="W45" i="34" s="1"/>
  <c r="X45" i="34" s="1"/>
  <c r="Y45" i="34" s="1"/>
  <c r="Z45" i="34" s="1"/>
  <c r="AA45" i="34" s="1"/>
  <c r="AB45" i="34" s="1"/>
  <c r="AC45" i="34" s="1"/>
  <c r="AD45" i="34" s="1"/>
  <c r="AE45" i="34" s="1"/>
  <c r="AF45" i="34" s="1"/>
  <c r="AG45" i="34" s="1"/>
  <c r="AH45" i="34" s="1"/>
  <c r="F42" i="33"/>
  <c r="M6" i="34"/>
  <c r="AI46" i="34" s="1"/>
  <c r="F46" i="34" s="1"/>
  <c r="G46" i="34" s="1"/>
  <c r="H46" i="34" s="1"/>
  <c r="I46" i="34" s="1"/>
  <c r="J46" i="34" s="1"/>
  <c r="K46" i="34" s="1"/>
  <c r="L46" i="34" s="1"/>
  <c r="M46" i="34" s="1"/>
  <c r="N46" i="34" s="1"/>
  <c r="O46" i="34" s="1"/>
  <c r="P46" i="34" s="1"/>
  <c r="Q46" i="34" s="1"/>
  <c r="R46" i="34" s="1"/>
  <c r="S46" i="34" s="1"/>
  <c r="T46" i="34" s="1"/>
  <c r="U46" i="34" s="1"/>
  <c r="V46" i="34" s="1"/>
  <c r="W46" i="34" s="1"/>
  <c r="X46" i="34" s="1"/>
  <c r="Y46" i="34" s="1"/>
  <c r="Z46" i="34" s="1"/>
  <c r="AA46" i="34" s="1"/>
  <c r="AB46" i="34" s="1"/>
  <c r="AC46" i="34" s="1"/>
  <c r="AD46" i="34" s="1"/>
  <c r="AE46" i="34" s="1"/>
  <c r="AF46" i="34" s="1"/>
  <c r="AG46" i="34" s="1"/>
  <c r="AH46" i="34" s="1"/>
  <c r="Q3" i="34"/>
  <c r="AI63" i="34" s="1"/>
  <c r="F63" i="34" s="1"/>
  <c r="G63" i="34" s="1"/>
  <c r="H63" i="34" s="1"/>
  <c r="I63" i="34" s="1"/>
  <c r="J63" i="34" s="1"/>
  <c r="K63" i="34" s="1"/>
  <c r="L63" i="34" s="1"/>
  <c r="M63" i="34" s="1"/>
  <c r="N63" i="34" s="1"/>
  <c r="O63" i="34" s="1"/>
  <c r="P63" i="34" s="1"/>
  <c r="Q63" i="34" s="1"/>
  <c r="R63" i="34" s="1"/>
  <c r="S63" i="34" s="1"/>
  <c r="T63" i="34" s="1"/>
  <c r="U63" i="34" s="1"/>
  <c r="V63" i="34" s="1"/>
  <c r="W63" i="34" s="1"/>
  <c r="X63" i="34" s="1"/>
  <c r="Y63" i="34" s="1"/>
  <c r="Z63" i="34" s="1"/>
  <c r="AA63" i="34" s="1"/>
  <c r="AB63" i="34" s="1"/>
  <c r="AC63" i="34" s="1"/>
  <c r="AD63" i="34" s="1"/>
  <c r="AE63" i="34" s="1"/>
  <c r="AF63" i="34" s="1"/>
  <c r="AG63" i="34" s="1"/>
  <c r="AH63" i="34" s="1"/>
  <c r="M30" i="34"/>
  <c r="AI106" i="34" s="1"/>
  <c r="C21" i="53"/>
  <c r="D21" i="53" s="1"/>
  <c r="C21" i="54"/>
  <c r="M3" i="34"/>
  <c r="AI43" i="34" s="1"/>
  <c r="F43" i="34" s="1"/>
  <c r="G43" i="34" s="1"/>
  <c r="H43" i="34" s="1"/>
  <c r="I43" i="34" s="1"/>
  <c r="J43" i="34" s="1"/>
  <c r="K43" i="34" s="1"/>
  <c r="L43" i="34" s="1"/>
  <c r="M43" i="34" s="1"/>
  <c r="N43" i="34" s="1"/>
  <c r="O43" i="34" s="1"/>
  <c r="P43" i="34" s="1"/>
  <c r="Q43" i="34" s="1"/>
  <c r="R43" i="34" s="1"/>
  <c r="S43" i="34" s="1"/>
  <c r="T43" i="34" s="1"/>
  <c r="U43" i="34" s="1"/>
  <c r="V43" i="34" s="1"/>
  <c r="W43" i="34" s="1"/>
  <c r="X43" i="34" s="1"/>
  <c r="Y43" i="34" s="1"/>
  <c r="Z43" i="34" s="1"/>
  <c r="AA43" i="34" s="1"/>
  <c r="AB43" i="34" s="1"/>
  <c r="AC43" i="34" s="1"/>
  <c r="AD43" i="34" s="1"/>
  <c r="AE43" i="34" s="1"/>
  <c r="AF43" i="34" s="1"/>
  <c r="AG43" i="34" s="1"/>
  <c r="AH43" i="34" s="1"/>
  <c r="D24" i="54"/>
  <c r="C23" i="54"/>
  <c r="C23" i="53"/>
  <c r="D23" i="53" s="1"/>
  <c r="C22" i="53"/>
  <c r="D22" i="53" s="1"/>
  <c r="C22" i="54"/>
  <c r="D42" i="33"/>
  <c r="D33" i="33" s="1"/>
  <c r="D51" i="33" s="1"/>
  <c r="C25" i="53"/>
  <c r="D25" i="53" s="1"/>
  <c r="C25" i="54"/>
  <c r="I4" i="51"/>
  <c r="U5" i="50"/>
  <c r="N25" i="47"/>
  <c r="AI87" i="47" s="1"/>
  <c r="N26" i="47"/>
  <c r="AI88" i="47" s="1"/>
  <c r="C21" i="46"/>
  <c r="D21" i="46" s="1"/>
  <c r="N27" i="47"/>
  <c r="AI89" i="47" s="1"/>
  <c r="C21" i="48"/>
  <c r="D21" i="48" s="1"/>
  <c r="I9" i="26"/>
  <c r="E24" i="53"/>
  <c r="W3" i="50"/>
  <c r="K6" i="52" s="1"/>
  <c r="O12" i="34"/>
  <c r="AI79" i="34" s="1"/>
  <c r="R5" i="47"/>
  <c r="AI56" i="47" s="1"/>
  <c r="R6" i="47"/>
  <c r="AI57" i="47" s="1"/>
  <c r="C21" i="29"/>
  <c r="D21" i="29" s="1"/>
  <c r="E21" i="29" s="1"/>
  <c r="N4" i="47"/>
  <c r="AI39" i="47" s="1"/>
  <c r="P12" i="34"/>
  <c r="AI84" i="34" s="1"/>
  <c r="O13" i="34"/>
  <c r="AI80" i="34" s="1"/>
  <c r="O3" i="47"/>
  <c r="AI42" i="47" s="1"/>
  <c r="O21" i="47"/>
  <c r="C5" i="41"/>
  <c r="C6" i="47"/>
  <c r="AI54" i="47"/>
  <c r="O5" i="47"/>
  <c r="AI44" i="47" s="1"/>
  <c r="O6" i="47"/>
  <c r="AI45" i="47" s="1"/>
  <c r="N21" i="47"/>
  <c r="C9" i="41"/>
  <c r="C10" i="47"/>
  <c r="O10" i="47"/>
  <c r="P10" i="47"/>
  <c r="Q12" i="47"/>
  <c r="AI72" i="47" s="1"/>
  <c r="Q13" i="47"/>
  <c r="AI73" i="47" s="1"/>
  <c r="O12" i="47"/>
  <c r="AI64" i="47" s="1"/>
  <c r="P13" i="47"/>
  <c r="AI69" i="47" s="1"/>
  <c r="N12" i="47"/>
  <c r="AI60" i="47" s="1"/>
  <c r="N10" i="47"/>
  <c r="P12" i="47"/>
  <c r="AI68" i="47" s="1"/>
  <c r="O13" i="47"/>
  <c r="AI65" i="47" s="1"/>
  <c r="Q10" i="47"/>
  <c r="N13" i="47"/>
  <c r="AI61" i="47" s="1"/>
  <c r="C15" i="41"/>
  <c r="C17" i="47"/>
  <c r="C27" i="41"/>
  <c r="C31" i="47"/>
  <c r="C29" i="41"/>
  <c r="C34" i="47"/>
  <c r="C23" i="41"/>
  <c r="C27" i="47"/>
  <c r="C3" i="41"/>
  <c r="C3" i="47"/>
  <c r="C17" i="41"/>
  <c r="C20" i="47"/>
  <c r="C11" i="41"/>
  <c r="C13" i="47"/>
  <c r="N34" i="47"/>
  <c r="AI93" i="47" s="1"/>
  <c r="AI86" i="47"/>
  <c r="R4" i="47"/>
  <c r="AI55" i="47" s="1"/>
  <c r="O11" i="47"/>
  <c r="AI63" i="47" s="1"/>
  <c r="AI82" i="47"/>
  <c r="P21" i="47"/>
  <c r="N11" i="47"/>
  <c r="AI59" i="47" s="1"/>
  <c r="C4" i="41"/>
  <c r="C5" i="47"/>
  <c r="C21" i="41"/>
  <c r="C24" i="47"/>
  <c r="N3" i="47"/>
  <c r="N31" i="47"/>
  <c r="N5" i="47"/>
  <c r="AI40" i="47" s="1"/>
  <c r="O4" i="47"/>
  <c r="AI43" i="47" s="1"/>
  <c r="N6" i="47"/>
  <c r="AI41" i="47" s="1"/>
  <c r="N33" i="47"/>
  <c r="AI92" i="47" s="1"/>
  <c r="P11" i="47"/>
  <c r="AI67" i="47" s="1"/>
  <c r="AA60" i="36"/>
  <c r="G51" i="45"/>
  <c r="G92" i="45" s="1"/>
  <c r="G52" i="45"/>
  <c r="G88" i="45"/>
  <c r="G53" i="45"/>
  <c r="D24" i="46"/>
  <c r="E24" i="46" s="1"/>
  <c r="C25" i="48"/>
  <c r="C25" i="46"/>
  <c r="D25" i="46" s="1"/>
  <c r="C23" i="48"/>
  <c r="C23" i="46"/>
  <c r="D23" i="46" s="1"/>
  <c r="C22" i="48"/>
  <c r="C22" i="46"/>
  <c r="D22" i="46" s="1"/>
  <c r="BF39" i="36"/>
  <c r="Y36" i="42"/>
  <c r="BG37" i="36"/>
  <c r="BG81" i="36" s="1"/>
  <c r="AE90" i="36"/>
  <c r="AD39" i="38"/>
  <c r="D24" i="48"/>
  <c r="H48" i="45"/>
  <c r="H50" i="45" s="1"/>
  <c r="G39" i="46" s="1"/>
  <c r="AJ18" i="45"/>
  <c r="AJ23" i="45" s="1"/>
  <c r="AN48" i="45"/>
  <c r="AN50" i="45" s="1"/>
  <c r="C38" i="48"/>
  <c r="AJ42" i="45"/>
  <c r="AJ43" i="45"/>
  <c r="AJ44" i="45"/>
  <c r="AO47" i="45"/>
  <c r="AO49" i="45"/>
  <c r="AO46" i="45"/>
  <c r="AP45" i="45"/>
  <c r="F39" i="48"/>
  <c r="AM52" i="45"/>
  <c r="AM51" i="45"/>
  <c r="AM92" i="45" s="1"/>
  <c r="AM53" i="45"/>
  <c r="P13" i="34"/>
  <c r="AI85" i="34" s="1"/>
  <c r="N12" i="34"/>
  <c r="AI74" i="34" s="1"/>
  <c r="O11" i="34"/>
  <c r="AI78" i="34" s="1"/>
  <c r="O14" i="34"/>
  <c r="AI81" i="34" s="1"/>
  <c r="N13" i="34"/>
  <c r="AI75" i="34" s="1"/>
  <c r="M12" i="34"/>
  <c r="AI69" i="34" s="1"/>
  <c r="E21" i="46"/>
  <c r="P15" i="34"/>
  <c r="AI87" i="34" s="1"/>
  <c r="M11" i="34"/>
  <c r="AI68" i="34" s="1"/>
  <c r="K70" i="44"/>
  <c r="L4" i="8" s="1"/>
  <c r="K75" i="44"/>
  <c r="M75" i="44" s="1"/>
  <c r="G8" i="3"/>
  <c r="G11" i="3" s="1"/>
  <c r="H7" i="26"/>
  <c r="H8" i="26"/>
  <c r="D41" i="45"/>
  <c r="E38" i="45"/>
  <c r="AK38" i="45" s="1"/>
  <c r="D18" i="45"/>
  <c r="D23" i="45" s="1"/>
  <c r="E16" i="45"/>
  <c r="AK16" i="45" s="1"/>
  <c r="L8" i="4"/>
  <c r="L7" i="4"/>
  <c r="AM88" i="45"/>
  <c r="J45" i="45"/>
  <c r="I47" i="45"/>
  <c r="I49" i="45"/>
  <c r="I46" i="45"/>
  <c r="I13" i="3"/>
  <c r="BH32" i="36"/>
  <c r="AE53" i="36"/>
  <c r="AE94" i="36" s="1"/>
  <c r="AE55" i="36"/>
  <c r="BG59" i="36"/>
  <c r="Z40" i="42" s="1"/>
  <c r="BF69" i="36"/>
  <c r="BH43" i="36"/>
  <c r="BF37" i="36"/>
  <c r="BF81" i="36" s="1"/>
  <c r="BG70" i="36"/>
  <c r="BF77" i="36"/>
  <c r="AC32" i="36"/>
  <c r="AC35" i="36"/>
  <c r="BH35" i="36"/>
  <c r="M14" i="34"/>
  <c r="AI71" i="34" s="1"/>
  <c r="BG77" i="36"/>
  <c r="BG39" i="36"/>
  <c r="M15" i="34"/>
  <c r="AI72" i="34" s="1"/>
  <c r="BG23" i="36"/>
  <c r="AB23" i="36"/>
  <c r="AB25" i="36" s="1"/>
  <c r="AA37" i="38" s="1"/>
  <c r="N11" i="34"/>
  <c r="AI73" i="34" s="1"/>
  <c r="O15" i="34"/>
  <c r="AI82" i="34" s="1"/>
  <c r="P14" i="34"/>
  <c r="AI86" i="34" s="1"/>
  <c r="AE18" i="36"/>
  <c r="AD19" i="36"/>
  <c r="AD20" i="36" s="1"/>
  <c r="BJ18" i="36"/>
  <c r="AD56" i="36"/>
  <c r="BJ53" i="36"/>
  <c r="BJ94" i="36" s="1"/>
  <c r="BJ55" i="36"/>
  <c r="BJ90" i="36"/>
  <c r="BG97" i="36"/>
  <c r="BG44" i="36"/>
  <c r="BG46" i="36"/>
  <c r="BI30" i="36"/>
  <c r="BJ29" i="36"/>
  <c r="BI34" i="36"/>
  <c r="BI31" i="36"/>
  <c r="BI33" i="36"/>
  <c r="AC21" i="36"/>
  <c r="AC22" i="36"/>
  <c r="BH58" i="36"/>
  <c r="BH57" i="36"/>
  <c r="BL51" i="36"/>
  <c r="BM47" i="36"/>
  <c r="BL49" i="36"/>
  <c r="BL48" i="36"/>
  <c r="AB59" i="36"/>
  <c r="AA40" i="38" s="1"/>
  <c r="AB70" i="36"/>
  <c r="AH47" i="36"/>
  <c r="AG51" i="36"/>
  <c r="AG49" i="36"/>
  <c r="AG48" i="36"/>
  <c r="AE40" i="36"/>
  <c r="AD42" i="36"/>
  <c r="BF26" i="36"/>
  <c r="BF87" i="36" s="1"/>
  <c r="BF28" i="36"/>
  <c r="BF84" i="36"/>
  <c r="AC58" i="36"/>
  <c r="AC57" i="36"/>
  <c r="BH21" i="36"/>
  <c r="BH22" i="36"/>
  <c r="BI41" i="36"/>
  <c r="BI42" i="36"/>
  <c r="BJ40" i="36"/>
  <c r="BF60" i="36"/>
  <c r="BF62" i="36"/>
  <c r="P11" i="34"/>
  <c r="AI83" i="34" s="1"/>
  <c r="N14" i="34"/>
  <c r="AI76" i="34" s="1"/>
  <c r="M13" i="34"/>
  <c r="AI70" i="34" s="1"/>
  <c r="BI19" i="36"/>
  <c r="BI20" i="36" s="1"/>
  <c r="BI56" i="36"/>
  <c r="BK50" i="36"/>
  <c r="BK52" i="36" s="1"/>
  <c r="AD39" i="42" s="1"/>
  <c r="AF50" i="36"/>
  <c r="AF52" i="36" s="1"/>
  <c r="AE39" i="38" s="1"/>
  <c r="AD31" i="36"/>
  <c r="AD34" i="36"/>
  <c r="AD33" i="36"/>
  <c r="AD30" i="36"/>
  <c r="AE29" i="36"/>
  <c r="M30" i="41"/>
  <c r="AI72" i="41"/>
  <c r="L63" i="45"/>
  <c r="M72" i="12"/>
  <c r="AR63" i="36"/>
  <c r="AR68" i="36" s="1"/>
  <c r="AR75" i="36" s="1"/>
  <c r="L68" i="36"/>
  <c r="M63" i="36"/>
  <c r="K71" i="36"/>
  <c r="BW38" i="58" s="1"/>
  <c r="K37" i="58" s="1"/>
  <c r="AQ37" i="58" s="1"/>
  <c r="BW37" i="58" s="1"/>
  <c r="K106" i="36"/>
  <c r="AR64" i="36"/>
  <c r="L65" i="36"/>
  <c r="L66" i="36"/>
  <c r="AQ65" i="36"/>
  <c r="AQ66" i="36"/>
  <c r="AQ73" i="36" s="1"/>
  <c r="AP71" i="36"/>
  <c r="AP72" i="36" s="1"/>
  <c r="AP106" i="36"/>
  <c r="J26" i="33"/>
  <c r="J35" i="33" s="1"/>
  <c r="D25" i="28"/>
  <c r="C25" i="29"/>
  <c r="D25" i="29" s="1"/>
  <c r="E25" i="29" s="1"/>
  <c r="F25" i="29" s="1"/>
  <c r="G25" i="29" s="1"/>
  <c r="H25" i="29" s="1"/>
  <c r="I25" i="29" s="1"/>
  <c r="J25" i="29" s="1"/>
  <c r="K25" i="29" s="1"/>
  <c r="L25" i="29" s="1"/>
  <c r="M25" i="29" s="1"/>
  <c r="N25" i="29" s="1"/>
  <c r="O25" i="29" s="1"/>
  <c r="P25" i="29" s="1"/>
  <c r="Q25" i="29" s="1"/>
  <c r="R25" i="29" s="1"/>
  <c r="S25" i="29" s="1"/>
  <c r="T25" i="29" s="1"/>
  <c r="U25" i="29" s="1"/>
  <c r="V25" i="29" s="1"/>
  <c r="W25" i="29" s="1"/>
  <c r="X25" i="29" s="1"/>
  <c r="Y25" i="29" s="1"/>
  <c r="Z25" i="29" s="1"/>
  <c r="AA25" i="29" s="1"/>
  <c r="AB25" i="29" s="1"/>
  <c r="AC25" i="29" s="1"/>
  <c r="AD25" i="29" s="1"/>
  <c r="AE25" i="29" s="1"/>
  <c r="AF25" i="29" s="1"/>
  <c r="AG25" i="29" s="1"/>
  <c r="O6" i="41"/>
  <c r="Q11" i="41"/>
  <c r="AI59" i="41" s="1"/>
  <c r="O11" i="41"/>
  <c r="AI53" i="41" s="1"/>
  <c r="Q9" i="41"/>
  <c r="H33" i="33"/>
  <c r="H51" i="33" s="1"/>
  <c r="C16" i="41"/>
  <c r="M35" i="34"/>
  <c r="AI108" i="34" s="1"/>
  <c r="C23" i="28"/>
  <c r="D23" i="28" s="1"/>
  <c r="C23" i="29"/>
  <c r="H32" i="33"/>
  <c r="H50" i="33" s="1"/>
  <c r="C10" i="41"/>
  <c r="O10" i="41"/>
  <c r="AI52" i="41" s="1"/>
  <c r="C22" i="29"/>
  <c r="C22" i="28"/>
  <c r="D22" i="28" s="1"/>
  <c r="N11" i="41"/>
  <c r="AI50" i="41" s="1"/>
  <c r="P9" i="41"/>
  <c r="D24" i="29"/>
  <c r="N10" i="41"/>
  <c r="AI49" i="41" s="1"/>
  <c r="AI33" i="41"/>
  <c r="N6" i="41"/>
  <c r="H34" i="33"/>
  <c r="H52" i="33" s="1"/>
  <c r="C28" i="41"/>
  <c r="H31" i="33"/>
  <c r="H49" i="33" s="1"/>
  <c r="C22" i="41"/>
  <c r="O9" i="41"/>
  <c r="P10" i="41"/>
  <c r="AI55" i="41" s="1"/>
  <c r="AI69" i="41"/>
  <c r="N24" i="41"/>
  <c r="P11" i="41"/>
  <c r="AI56" i="41" s="1"/>
  <c r="AI45" i="41"/>
  <c r="R6" i="41"/>
  <c r="N9" i="41"/>
  <c r="C25" i="38"/>
  <c r="C23" i="38"/>
  <c r="D21" i="38"/>
  <c r="C22" i="38"/>
  <c r="D24" i="38"/>
  <c r="C22" i="34"/>
  <c r="G33" i="33"/>
  <c r="G51" i="33" s="1"/>
  <c r="H57" i="33"/>
  <c r="H30" i="33"/>
  <c r="H48" i="33" s="1"/>
  <c r="H44" i="33"/>
  <c r="H35" i="33" s="1"/>
  <c r="C23" i="34"/>
  <c r="I33" i="33"/>
  <c r="I51" i="33" s="1"/>
  <c r="M36" i="34"/>
  <c r="AI109" i="34" s="1"/>
  <c r="C11" i="34"/>
  <c r="D86" i="33"/>
  <c r="E86" i="33"/>
  <c r="F86" i="33"/>
  <c r="I86" i="33"/>
  <c r="I95" i="33" s="1" a="1"/>
  <c r="G86" i="33"/>
  <c r="H86" i="33"/>
  <c r="H95" i="33" s="1" a="1"/>
  <c r="C32" i="33"/>
  <c r="C50" i="33" s="1"/>
  <c r="C14" i="34"/>
  <c r="G32" i="33"/>
  <c r="G50" i="33" s="1"/>
  <c r="N24" i="34"/>
  <c r="F84" i="33"/>
  <c r="D84" i="33"/>
  <c r="C30" i="33"/>
  <c r="C48" i="33" s="1"/>
  <c r="H84" i="33"/>
  <c r="H93" i="33" s="1" a="1"/>
  <c r="C44" i="33"/>
  <c r="C35" i="33" s="1"/>
  <c r="E84" i="33"/>
  <c r="I84" i="33"/>
  <c r="I93" i="33" s="1" a="1"/>
  <c r="G84" i="33"/>
  <c r="F44" i="33"/>
  <c r="F35" i="33" s="1"/>
  <c r="F30" i="33"/>
  <c r="F48" i="33" s="1"/>
  <c r="M39" i="34"/>
  <c r="AI112" i="34" s="1"/>
  <c r="E87" i="33"/>
  <c r="F33" i="33"/>
  <c r="F51" i="33" s="1"/>
  <c r="C37" i="34"/>
  <c r="F34" i="33"/>
  <c r="F52" i="33" s="1"/>
  <c r="C35" i="34"/>
  <c r="C34" i="33"/>
  <c r="C52" i="33" s="1"/>
  <c r="F88" i="33"/>
  <c r="H88" i="33"/>
  <c r="H97" i="33" s="1" a="1"/>
  <c r="I88" i="33"/>
  <c r="I97" i="33" s="1" a="1"/>
  <c r="D88" i="33"/>
  <c r="D97" i="33" s="1" a="1"/>
  <c r="E88" i="33"/>
  <c r="G88" i="33"/>
  <c r="C30" i="34"/>
  <c r="G31" i="33"/>
  <c r="G49" i="33" s="1"/>
  <c r="C28" i="34"/>
  <c r="E31" i="33"/>
  <c r="E49" i="33" s="1"/>
  <c r="M24" i="34"/>
  <c r="AI88" i="34"/>
  <c r="F88" i="34" s="1"/>
  <c r="G88" i="34" s="1"/>
  <c r="H88" i="34" s="1"/>
  <c r="I88" i="34" s="1"/>
  <c r="J88" i="34" s="1"/>
  <c r="K88" i="34" s="1"/>
  <c r="L88" i="34" s="1"/>
  <c r="M88" i="34" s="1"/>
  <c r="N88" i="34" s="1"/>
  <c r="O88" i="34" s="1"/>
  <c r="P88" i="34" s="1"/>
  <c r="Q88" i="34" s="1"/>
  <c r="R88" i="34" s="1"/>
  <c r="S88" i="34" s="1"/>
  <c r="T88" i="34" s="1"/>
  <c r="U88" i="34" s="1"/>
  <c r="V88" i="34" s="1"/>
  <c r="W88" i="34" s="1"/>
  <c r="X88" i="34" s="1"/>
  <c r="Y88" i="34" s="1"/>
  <c r="Z88" i="34" s="1"/>
  <c r="AA88" i="34" s="1"/>
  <c r="AB88" i="34" s="1"/>
  <c r="AC88" i="34" s="1"/>
  <c r="AD88" i="34" s="1"/>
  <c r="AE88" i="34" s="1"/>
  <c r="AF88" i="34" s="1"/>
  <c r="AG88" i="34" s="1"/>
  <c r="AH88" i="34" s="1"/>
  <c r="C12" i="34"/>
  <c r="E32" i="33"/>
  <c r="E50" i="33" s="1"/>
  <c r="C13" i="34"/>
  <c r="F32" i="33"/>
  <c r="F50" i="33" s="1"/>
  <c r="I30" i="33"/>
  <c r="I48" i="33" s="1"/>
  <c r="I44" i="33"/>
  <c r="I35" i="33" s="1"/>
  <c r="AI103" i="34"/>
  <c r="M32" i="34"/>
  <c r="H87" i="33"/>
  <c r="H96" i="33" s="1" a="1"/>
  <c r="F87" i="33"/>
  <c r="C33" i="33"/>
  <c r="C51" i="33" s="1"/>
  <c r="G87" i="33"/>
  <c r="D87" i="33"/>
  <c r="D96" i="33" s="1" a="1"/>
  <c r="I87" i="33"/>
  <c r="I96" i="33" s="1" a="1"/>
  <c r="E34" i="33"/>
  <c r="E52" i="33" s="1"/>
  <c r="C36" i="34"/>
  <c r="C27" i="34"/>
  <c r="F85" i="33"/>
  <c r="H85" i="33"/>
  <c r="H94" i="33" s="1" a="1"/>
  <c r="G85" i="33"/>
  <c r="C31" i="33"/>
  <c r="C49" i="33" s="1"/>
  <c r="I85" i="33"/>
  <c r="I94" i="33" s="1" a="1"/>
  <c r="D85" i="33"/>
  <c r="E85" i="33"/>
  <c r="C29" i="34"/>
  <c r="F31" i="33"/>
  <c r="F49" i="33" s="1"/>
  <c r="M8" i="34"/>
  <c r="C15" i="34"/>
  <c r="I32" i="33"/>
  <c r="I50" i="33" s="1"/>
  <c r="O24" i="34"/>
  <c r="G30" i="33"/>
  <c r="G48" i="33" s="1"/>
  <c r="G44" i="33"/>
  <c r="G35" i="33" s="1"/>
  <c r="E30" i="33"/>
  <c r="E48" i="33" s="1"/>
  <c r="E44" i="33"/>
  <c r="E35" i="33" s="1"/>
  <c r="C38" i="34"/>
  <c r="G34" i="33"/>
  <c r="G52" i="33" s="1"/>
  <c r="C39" i="34"/>
  <c r="I34" i="33"/>
  <c r="I52" i="33" s="1"/>
  <c r="C31" i="34"/>
  <c r="I31" i="33"/>
  <c r="I49" i="33" s="1"/>
  <c r="E24" i="28"/>
  <c r="AI52" i="34"/>
  <c r="F52" i="34" s="1"/>
  <c r="G52" i="34" s="1"/>
  <c r="H52" i="34" s="1"/>
  <c r="I52" i="34" s="1"/>
  <c r="J52" i="34" s="1"/>
  <c r="K52" i="34" s="1"/>
  <c r="L52" i="34" s="1"/>
  <c r="M52" i="34" s="1"/>
  <c r="N52" i="34" s="1"/>
  <c r="O52" i="34" s="1"/>
  <c r="P52" i="34" s="1"/>
  <c r="Q52" i="34" s="1"/>
  <c r="R52" i="34" s="1"/>
  <c r="S52" i="34" s="1"/>
  <c r="T52" i="34" s="1"/>
  <c r="U52" i="34" s="1"/>
  <c r="V52" i="34" s="1"/>
  <c r="W52" i="34" s="1"/>
  <c r="X52" i="34" s="1"/>
  <c r="Y52" i="34" s="1"/>
  <c r="Z52" i="34" s="1"/>
  <c r="AA52" i="34" s="1"/>
  <c r="AB52" i="34" s="1"/>
  <c r="AC52" i="34" s="1"/>
  <c r="AD52" i="34" s="1"/>
  <c r="AE52" i="34" s="1"/>
  <c r="AF52" i="34" s="1"/>
  <c r="AG52" i="34" s="1"/>
  <c r="AH52" i="34" s="1"/>
  <c r="N8" i="34"/>
  <c r="M38" i="34"/>
  <c r="AI111" i="34" s="1"/>
  <c r="D44" i="33"/>
  <c r="D35" i="33" s="1"/>
  <c r="D32" i="33"/>
  <c r="D50" i="33" s="1"/>
  <c r="E25" i="28"/>
  <c r="M50" i="15"/>
  <c r="M53" i="15" s="1"/>
  <c r="M137" i="15" s="1"/>
  <c r="M126" i="15"/>
  <c r="N50" i="15"/>
  <c r="N53" i="15" s="1"/>
  <c r="N137" i="15" s="1"/>
  <c r="N126" i="15"/>
  <c r="K74" i="12"/>
  <c r="K219" i="12" s="1"/>
  <c r="K230" i="12" s="1"/>
  <c r="K75" i="12"/>
  <c r="K78" i="12"/>
  <c r="K76" i="12"/>
  <c r="K77" i="12"/>
  <c r="K80" i="12"/>
  <c r="K79" i="12"/>
  <c r="AE9" i="20"/>
  <c r="AE8" i="20"/>
  <c r="L74" i="14"/>
  <c r="L219" i="14" s="1"/>
  <c r="L230" i="14" s="1"/>
  <c r="L75" i="14"/>
  <c r="L80" i="14"/>
  <c r="L77" i="14"/>
  <c r="L78" i="14"/>
  <c r="L76" i="14"/>
  <c r="L79" i="14"/>
  <c r="Z11" i="20"/>
  <c r="Z10" i="20"/>
  <c r="Y12" i="20"/>
  <c r="P33" i="11"/>
  <c r="O34" i="11"/>
  <c r="O35" i="11" s="1"/>
  <c r="O36" i="11" s="1"/>
  <c r="N29" i="13"/>
  <c r="N30" i="13" s="1"/>
  <c r="O28" i="13"/>
  <c r="M31" i="13"/>
  <c r="M33" i="13" s="1"/>
  <c r="M64" i="36" s="1"/>
  <c r="M32" i="13"/>
  <c r="M73" i="14" s="1"/>
  <c r="L73" i="12"/>
  <c r="AD7" i="20"/>
  <c r="O31" i="15"/>
  <c r="AA26" i="36" l="1"/>
  <c r="AA87" i="36" s="1"/>
  <c r="AA84" i="36"/>
  <c r="AA28" i="36"/>
  <c r="N72" i="14"/>
  <c r="Q8" i="34"/>
  <c r="O39" i="11"/>
  <c r="O37" i="11"/>
  <c r="O40" i="11"/>
  <c r="O66" i="45" s="1"/>
  <c r="AU66" i="45" s="1"/>
  <c r="O38" i="11"/>
  <c r="J96" i="55"/>
  <c r="AO96" i="55"/>
  <c r="DA96" i="55" s="1"/>
  <c r="AO4" i="51"/>
  <c r="AO57" i="58" s="1"/>
  <c r="CE57" i="58" s="1"/>
  <c r="CE58" i="58" s="1"/>
  <c r="I57" i="58"/>
  <c r="N61" i="45"/>
  <c r="AT61" i="45" s="1"/>
  <c r="AT63" i="45" s="1"/>
  <c r="N64" i="45"/>
  <c r="AT64" i="45" s="1"/>
  <c r="J95" i="55"/>
  <c r="AO95" i="55"/>
  <c r="DA95" i="55" s="1"/>
  <c r="N28" i="47"/>
  <c r="C18" i="47"/>
  <c r="D21" i="54"/>
  <c r="C71" i="33"/>
  <c r="C70" i="33"/>
  <c r="D22" i="54"/>
  <c r="C18" i="41"/>
  <c r="E15" i="41" s="1"/>
  <c r="D23" i="54"/>
  <c r="D25" i="54"/>
  <c r="E24" i="54"/>
  <c r="AC70" i="36"/>
  <c r="V5" i="50"/>
  <c r="J4" i="51"/>
  <c r="C156" i="54"/>
  <c r="C63" i="54"/>
  <c r="C130" i="54"/>
  <c r="C35" i="47"/>
  <c r="D31" i="47" s="1"/>
  <c r="F97" i="33" a="1"/>
  <c r="C156" i="53"/>
  <c r="F94" i="33" a="1"/>
  <c r="AG148" i="53" s="1"/>
  <c r="F96" i="33" a="1"/>
  <c r="C130" i="53"/>
  <c r="F93" i="33" a="1"/>
  <c r="C63" i="53"/>
  <c r="C363" i="48"/>
  <c r="D363" i="48" s="1"/>
  <c r="E363" i="48" s="1"/>
  <c r="F363" i="48" s="1"/>
  <c r="G363" i="48" s="1"/>
  <c r="H363" i="48" s="1"/>
  <c r="I363" i="48" s="1"/>
  <c r="J363" i="48" s="1"/>
  <c r="K363" i="48" s="1"/>
  <c r="L363" i="48" s="1"/>
  <c r="M363" i="48" s="1"/>
  <c r="N363" i="48" s="1"/>
  <c r="O363" i="48" s="1"/>
  <c r="P363" i="48" s="1"/>
  <c r="Q363" i="48" s="1"/>
  <c r="R363" i="48" s="1"/>
  <c r="S363" i="48" s="1"/>
  <c r="T363" i="48" s="1"/>
  <c r="U363" i="48" s="1"/>
  <c r="V363" i="48" s="1"/>
  <c r="W363" i="48" s="1"/>
  <c r="X363" i="48" s="1"/>
  <c r="Y363" i="48" s="1"/>
  <c r="Z363" i="48" s="1"/>
  <c r="AA363" i="48" s="1"/>
  <c r="AB363" i="48" s="1"/>
  <c r="AC363" i="48" s="1"/>
  <c r="AD363" i="48" s="1"/>
  <c r="AE363" i="48" s="1"/>
  <c r="AF363" i="48" s="1"/>
  <c r="AG363" i="48" s="1"/>
  <c r="C68" i="33"/>
  <c r="D251" i="53"/>
  <c r="E251" i="53" s="1"/>
  <c r="F251" i="53" s="1"/>
  <c r="G251" i="53" s="1"/>
  <c r="H251" i="53" s="1"/>
  <c r="I251" i="53" s="1"/>
  <c r="J251" i="53" s="1"/>
  <c r="K251" i="53" s="1"/>
  <c r="L251" i="53" s="1"/>
  <c r="N251" i="53" s="1"/>
  <c r="O251" i="53" s="1"/>
  <c r="P251" i="53" s="1"/>
  <c r="Q251" i="53" s="1"/>
  <c r="R251" i="53" s="1"/>
  <c r="S251" i="53" s="1"/>
  <c r="T251" i="53" s="1"/>
  <c r="U251" i="53" s="1"/>
  <c r="V251" i="53" s="1"/>
  <c r="W251" i="53" s="1"/>
  <c r="X251" i="53" s="1"/>
  <c r="Y251" i="53" s="1"/>
  <c r="Z251" i="53" s="1"/>
  <c r="AA251" i="53" s="1"/>
  <c r="AB251" i="53" s="1"/>
  <c r="AC251" i="53" s="1"/>
  <c r="AD251" i="53" s="1"/>
  <c r="AE251" i="53" s="1"/>
  <c r="AF251" i="53" s="1"/>
  <c r="AG251" i="53" s="1"/>
  <c r="C38" i="46"/>
  <c r="F95" i="33" a="1"/>
  <c r="AG139" i="48" s="1"/>
  <c r="C37" i="46"/>
  <c r="E25" i="53"/>
  <c r="E23" i="53"/>
  <c r="F24" i="53"/>
  <c r="E21" i="53"/>
  <c r="E22" i="53"/>
  <c r="C12" i="41"/>
  <c r="F11" i="41" s="1"/>
  <c r="E56" i="41" s="1"/>
  <c r="F56" i="41" s="1"/>
  <c r="G56" i="41" s="1"/>
  <c r="H56" i="41" s="1"/>
  <c r="I56" i="41" s="1"/>
  <c r="C28" i="47"/>
  <c r="D24" i="47" s="1"/>
  <c r="E86" i="47" s="1"/>
  <c r="L9" i="4"/>
  <c r="G12" i="3"/>
  <c r="C6" i="41"/>
  <c r="F3" i="41" s="1"/>
  <c r="E39" i="41" s="1"/>
  <c r="F39" i="41" s="1"/>
  <c r="G39" i="41" s="1"/>
  <c r="H39" i="41" s="1"/>
  <c r="I39" i="41" s="1"/>
  <c r="J39" i="41" s="1"/>
  <c r="K39" i="41" s="1"/>
  <c r="L39" i="41" s="1"/>
  <c r="M39" i="41" s="1"/>
  <c r="N39" i="41" s="1"/>
  <c r="O39" i="41" s="1"/>
  <c r="P39" i="41" s="1"/>
  <c r="Q39" i="41" s="1"/>
  <c r="R39" i="41" s="1"/>
  <c r="S39" i="41" s="1"/>
  <c r="T39" i="41" s="1"/>
  <c r="U39" i="41" s="1"/>
  <c r="V39" i="41" s="1"/>
  <c r="W39" i="41" s="1"/>
  <c r="X39" i="41" s="1"/>
  <c r="Y39" i="41" s="1"/>
  <c r="Z39" i="41" s="1"/>
  <c r="AA39" i="41" s="1"/>
  <c r="AB39" i="41" s="1"/>
  <c r="AC39" i="41" s="1"/>
  <c r="AD39" i="41" s="1"/>
  <c r="AE39" i="41" s="1"/>
  <c r="AF39" i="41" s="1"/>
  <c r="AG39" i="41" s="1"/>
  <c r="AH39" i="41" s="1"/>
  <c r="X3" i="50"/>
  <c r="L6" i="52" s="1"/>
  <c r="AI90" i="47"/>
  <c r="M35" i="47"/>
  <c r="AI62" i="47"/>
  <c r="O14" i="47"/>
  <c r="AI38" i="47"/>
  <c r="N7" i="47"/>
  <c r="E90" i="47"/>
  <c r="AI58" i="47"/>
  <c r="N14" i="47"/>
  <c r="C14" i="47"/>
  <c r="F10" i="47" s="1"/>
  <c r="AI70" i="47"/>
  <c r="Q14" i="47"/>
  <c r="O7" i="47"/>
  <c r="N16" i="34"/>
  <c r="C7" i="47"/>
  <c r="F3" i="47" s="1"/>
  <c r="D34" i="47"/>
  <c r="E93" i="47" s="1"/>
  <c r="C21" i="47"/>
  <c r="E20" i="47" s="1"/>
  <c r="E81" i="47" s="1"/>
  <c r="AI66" i="47"/>
  <c r="P14" i="47"/>
  <c r="R7" i="47"/>
  <c r="G10" i="3"/>
  <c r="BL50" i="36"/>
  <c r="AO48" i="45"/>
  <c r="AO50" i="45" s="1"/>
  <c r="H39" i="48" s="1"/>
  <c r="G97" i="33" a="1"/>
  <c r="C260" i="48"/>
  <c r="C260" i="46"/>
  <c r="C261" i="46" s="1"/>
  <c r="G95" i="33" a="1"/>
  <c r="C139" i="48"/>
  <c r="C139" i="46"/>
  <c r="C141" i="46" s="1"/>
  <c r="E24" i="48"/>
  <c r="D23" i="48"/>
  <c r="G94" i="33" a="1"/>
  <c r="C243" i="48"/>
  <c r="C243" i="46"/>
  <c r="C244" i="46" s="1"/>
  <c r="BH36" i="36"/>
  <c r="BH77" i="36" s="1"/>
  <c r="E21" i="48"/>
  <c r="G96" i="33" a="1"/>
  <c r="C202" i="46"/>
  <c r="C204" i="46" s="1"/>
  <c r="C202" i="48"/>
  <c r="D22" i="48"/>
  <c r="G93" i="33" a="1"/>
  <c r="C63" i="48"/>
  <c r="C63" i="46"/>
  <c r="C64" i="46" s="1"/>
  <c r="BH46" i="36"/>
  <c r="AA38" i="42"/>
  <c r="I48" i="45"/>
  <c r="I50" i="45" s="1"/>
  <c r="H39" i="46" s="1"/>
  <c r="D25" i="48"/>
  <c r="AK17" i="45"/>
  <c r="AK69" i="45" s="1"/>
  <c r="AP47" i="45"/>
  <c r="AP49" i="45"/>
  <c r="AP46" i="45"/>
  <c r="AQ45" i="45"/>
  <c r="G39" i="48"/>
  <c r="AN53" i="45"/>
  <c r="AN52" i="45"/>
  <c r="AN51" i="45"/>
  <c r="C37" i="48"/>
  <c r="AJ25" i="45"/>
  <c r="AJ26" i="45"/>
  <c r="AJ24" i="45"/>
  <c r="AK40" i="45"/>
  <c r="AK39" i="45"/>
  <c r="O16" i="34"/>
  <c r="P16" i="34"/>
  <c r="F21" i="46"/>
  <c r="C86" i="33"/>
  <c r="C122" i="20" s="1"/>
  <c r="C363" i="46"/>
  <c r="D363" i="46" s="1"/>
  <c r="M16" i="34"/>
  <c r="F24" i="46"/>
  <c r="E23" i="46"/>
  <c r="E22" i="46"/>
  <c r="E25" i="46"/>
  <c r="M91" i="44"/>
  <c r="M93" i="44"/>
  <c r="M96" i="44"/>
  <c r="M92" i="44"/>
  <c r="M95" i="44"/>
  <c r="M94" i="44"/>
  <c r="L5" i="8"/>
  <c r="L6" i="8" s="1"/>
  <c r="H9" i="26"/>
  <c r="M70" i="44"/>
  <c r="D24" i="45"/>
  <c r="D82" i="45"/>
  <c r="D25" i="45"/>
  <c r="D26" i="45"/>
  <c r="D43" i="45"/>
  <c r="D42" i="45"/>
  <c r="D44" i="45"/>
  <c r="D95" i="45"/>
  <c r="AJ82" i="45"/>
  <c r="F16" i="45"/>
  <c r="AL16" i="45" s="1"/>
  <c r="E17" i="45"/>
  <c r="E69" i="45" s="1"/>
  <c r="E40" i="45"/>
  <c r="F38" i="45"/>
  <c r="AL38" i="45" s="1"/>
  <c r="K45" i="45"/>
  <c r="J49" i="45"/>
  <c r="J47" i="45"/>
  <c r="J46" i="45"/>
  <c r="H52" i="45"/>
  <c r="H51" i="45"/>
  <c r="H92" i="45" s="1"/>
  <c r="H53" i="45"/>
  <c r="H88" i="45"/>
  <c r="BI35" i="36"/>
  <c r="BH59" i="36"/>
  <c r="AA40" i="42" s="1"/>
  <c r="BG62" i="36"/>
  <c r="BG60" i="36"/>
  <c r="BH44" i="36"/>
  <c r="BH97" i="36"/>
  <c r="BH70" i="36"/>
  <c r="AD32" i="36"/>
  <c r="AD35" i="36"/>
  <c r="BI32" i="36"/>
  <c r="BG69" i="36"/>
  <c r="BG25" i="36"/>
  <c r="Z37" i="42" s="1"/>
  <c r="BH23" i="36"/>
  <c r="BH25" i="36" s="1"/>
  <c r="AA37" i="42" s="1"/>
  <c r="BL52" i="36"/>
  <c r="AC23" i="36"/>
  <c r="AC25" i="36" s="1"/>
  <c r="AB37" i="38" s="1"/>
  <c r="AE30" i="36"/>
  <c r="AE34" i="36"/>
  <c r="AE31" i="36"/>
  <c r="AF29" i="36"/>
  <c r="AE33" i="36"/>
  <c r="BK53" i="36"/>
  <c r="BK94" i="36" s="1"/>
  <c r="BK55" i="36"/>
  <c r="BK90" i="36"/>
  <c r="BI57" i="36"/>
  <c r="BI58" i="36"/>
  <c r="BJ41" i="36"/>
  <c r="BK40" i="36"/>
  <c r="BJ42" i="36"/>
  <c r="AB60" i="36"/>
  <c r="AB62" i="36"/>
  <c r="AD22" i="36"/>
  <c r="AD21" i="36"/>
  <c r="AF90" i="36"/>
  <c r="AF53" i="36"/>
  <c r="AF94" i="36" s="1"/>
  <c r="AF55" i="36"/>
  <c r="AF18" i="36"/>
  <c r="BK18" i="36"/>
  <c r="AE19" i="36"/>
  <c r="AE20" i="36" s="1"/>
  <c r="AE56" i="36"/>
  <c r="BI43" i="36"/>
  <c r="AB38" i="42" s="1"/>
  <c r="AE42" i="36"/>
  <c r="AF40" i="36"/>
  <c r="AH48" i="36"/>
  <c r="AH49" i="36"/>
  <c r="AH51" i="36"/>
  <c r="BJ34" i="36"/>
  <c r="BJ33" i="36"/>
  <c r="BJ31" i="36"/>
  <c r="BJ30" i="36"/>
  <c r="BK29" i="36"/>
  <c r="AD57" i="36"/>
  <c r="AD58" i="36"/>
  <c r="AB26" i="36"/>
  <c r="AB87" i="36" s="1"/>
  <c r="AB84" i="36"/>
  <c r="AB28" i="36"/>
  <c r="BI21" i="36"/>
  <c r="BI22" i="36"/>
  <c r="AC59" i="36"/>
  <c r="AB40" i="38" s="1"/>
  <c r="AG50" i="36"/>
  <c r="AG52" i="36" s="1"/>
  <c r="AF39" i="38" s="1"/>
  <c r="BM49" i="36"/>
  <c r="BN47" i="36"/>
  <c r="BM48" i="36"/>
  <c r="BM51" i="36"/>
  <c r="BJ19" i="36"/>
  <c r="BJ20" i="36" s="1"/>
  <c r="BJ56" i="36"/>
  <c r="AS63" i="36"/>
  <c r="AS68" i="36" s="1"/>
  <c r="AS75" i="36" s="1"/>
  <c r="M68" i="36"/>
  <c r="N63" i="36"/>
  <c r="O72" i="14"/>
  <c r="M63" i="45"/>
  <c r="AS64" i="36"/>
  <c r="M66" i="36"/>
  <c r="M65" i="36"/>
  <c r="AR66" i="36"/>
  <c r="AR73" i="36" s="1"/>
  <c r="AR65" i="36"/>
  <c r="L71" i="36"/>
  <c r="BX38" i="58" s="1"/>
  <c r="L37" i="58" s="1"/>
  <c r="AR37" i="58" s="1"/>
  <c r="BX37" i="58" s="1"/>
  <c r="L106" i="36"/>
  <c r="AQ71" i="36"/>
  <c r="AQ72" i="36" s="1"/>
  <c r="AQ106" i="36"/>
  <c r="AC26" i="36"/>
  <c r="AC87" i="36" s="1"/>
  <c r="G9" i="41"/>
  <c r="E57" i="41" s="1"/>
  <c r="E11" i="41"/>
  <c r="E53" i="41" s="1"/>
  <c r="F53" i="41" s="1"/>
  <c r="G53" i="41" s="1"/>
  <c r="H53" i="41" s="1"/>
  <c r="I53" i="41" s="1"/>
  <c r="J53" i="41" s="1"/>
  <c r="K53" i="41" s="1"/>
  <c r="L53" i="41" s="1"/>
  <c r="M53" i="41" s="1"/>
  <c r="N53" i="41" s="1"/>
  <c r="O53" i="41" s="1"/>
  <c r="P53" i="41" s="1"/>
  <c r="Q53" i="41" s="1"/>
  <c r="R53" i="41" s="1"/>
  <c r="S53" i="41" s="1"/>
  <c r="T53" i="41" s="1"/>
  <c r="U53" i="41" s="1"/>
  <c r="V53" i="41" s="1"/>
  <c r="W53" i="41" s="1"/>
  <c r="X53" i="41" s="1"/>
  <c r="Y53" i="41" s="1"/>
  <c r="Z53" i="41" s="1"/>
  <c r="AA53" i="41" s="1"/>
  <c r="AB53" i="41" s="1"/>
  <c r="AC53" i="41" s="1"/>
  <c r="AD53" i="41" s="1"/>
  <c r="AE53" i="41" s="1"/>
  <c r="AF53" i="41" s="1"/>
  <c r="AG53" i="41" s="1"/>
  <c r="AH53" i="41" s="1"/>
  <c r="Q12" i="41"/>
  <c r="C88" i="33"/>
  <c r="C97" i="33" s="1" a="1"/>
  <c r="AG211" i="20" s="1"/>
  <c r="AG212" i="20" s="1"/>
  <c r="G11" i="41"/>
  <c r="E59" i="41" s="1"/>
  <c r="F59" i="41" s="1"/>
  <c r="G59" i="41" s="1"/>
  <c r="H59" i="41" s="1"/>
  <c r="I59" i="41" s="1"/>
  <c r="J59" i="41" s="1"/>
  <c r="K59" i="41" s="1"/>
  <c r="L59" i="41" s="1"/>
  <c r="M59" i="41" s="1"/>
  <c r="N59" i="41" s="1"/>
  <c r="O59" i="41" s="1"/>
  <c r="P59" i="41" s="1"/>
  <c r="Q59" i="41" s="1"/>
  <c r="R59" i="41" s="1"/>
  <c r="S59" i="41" s="1"/>
  <c r="T59" i="41" s="1"/>
  <c r="U59" i="41" s="1"/>
  <c r="V59" i="41" s="1"/>
  <c r="W59" i="41" s="1"/>
  <c r="X59" i="41" s="1"/>
  <c r="Y59" i="41" s="1"/>
  <c r="Z59" i="41" s="1"/>
  <c r="AA59" i="41" s="1"/>
  <c r="AB59" i="41" s="1"/>
  <c r="AC59" i="41" s="1"/>
  <c r="AD59" i="41" s="1"/>
  <c r="AE59" i="41" s="1"/>
  <c r="AF59" i="41" s="1"/>
  <c r="AG59" i="41" s="1"/>
  <c r="AH59" i="41" s="1"/>
  <c r="E17" i="41"/>
  <c r="E65" i="41" s="1"/>
  <c r="F65" i="41" s="1"/>
  <c r="G65" i="41" s="1"/>
  <c r="H65" i="41" s="1"/>
  <c r="I65" i="41" s="1"/>
  <c r="J65" i="41" s="1"/>
  <c r="K65" i="41" s="1"/>
  <c r="L65" i="41" s="1"/>
  <c r="M65" i="41" s="1"/>
  <c r="N65" i="41" s="1"/>
  <c r="O65" i="41" s="1"/>
  <c r="P65" i="41" s="1"/>
  <c r="Q65" i="41" s="1"/>
  <c r="R65" i="41" s="1"/>
  <c r="S65" i="41" s="1"/>
  <c r="T65" i="41" s="1"/>
  <c r="U65" i="41" s="1"/>
  <c r="V65" i="41" s="1"/>
  <c r="W65" i="41" s="1"/>
  <c r="X65" i="41" s="1"/>
  <c r="Y65" i="41" s="1"/>
  <c r="Z65" i="41" s="1"/>
  <c r="AA65" i="41" s="1"/>
  <c r="AB65" i="41" s="1"/>
  <c r="AC65" i="41" s="1"/>
  <c r="AD65" i="41" s="1"/>
  <c r="AE65" i="41" s="1"/>
  <c r="AF65" i="41" s="1"/>
  <c r="AG65" i="41" s="1"/>
  <c r="AH65" i="41" s="1"/>
  <c r="C85" i="33"/>
  <c r="C87" i="33"/>
  <c r="C96" i="33" s="1" a="1"/>
  <c r="AG169" i="20" s="1"/>
  <c r="C84" i="33"/>
  <c r="C93" i="33" s="1" a="1"/>
  <c r="AG66" i="20" s="1"/>
  <c r="D9" i="41"/>
  <c r="E48" i="41" s="1"/>
  <c r="H3" i="41"/>
  <c r="E45" i="41" s="1"/>
  <c r="F45" i="41" s="1"/>
  <c r="G45" i="41" s="1"/>
  <c r="H45" i="41" s="1"/>
  <c r="I45" i="41" s="1"/>
  <c r="J45" i="41" s="1"/>
  <c r="K45" i="41" s="1"/>
  <c r="L45" i="41" s="1"/>
  <c r="M45" i="41" s="1"/>
  <c r="N45" i="41" s="1"/>
  <c r="O45" i="41" s="1"/>
  <c r="P45" i="41" s="1"/>
  <c r="Q45" i="41" s="1"/>
  <c r="R45" i="41" s="1"/>
  <c r="S45" i="41" s="1"/>
  <c r="T45" i="41" s="1"/>
  <c r="U45" i="41" s="1"/>
  <c r="V45" i="41" s="1"/>
  <c r="W45" i="41" s="1"/>
  <c r="X45" i="41" s="1"/>
  <c r="Y45" i="41" s="1"/>
  <c r="Z45" i="41" s="1"/>
  <c r="AA45" i="41" s="1"/>
  <c r="AB45" i="41" s="1"/>
  <c r="AC45" i="41" s="1"/>
  <c r="AD45" i="41" s="1"/>
  <c r="AE45" i="41" s="1"/>
  <c r="AF45" i="41" s="1"/>
  <c r="AG45" i="41" s="1"/>
  <c r="AH45" i="41" s="1"/>
  <c r="AI57" i="41"/>
  <c r="D17" i="41"/>
  <c r="E62" i="41" s="1"/>
  <c r="F62" i="41" s="1"/>
  <c r="G62" i="41" s="1"/>
  <c r="H62" i="41" s="1"/>
  <c r="I62" i="41" s="1"/>
  <c r="J62" i="41" s="1"/>
  <c r="K62" i="41" s="1"/>
  <c r="L62" i="41" s="1"/>
  <c r="M62" i="41" s="1"/>
  <c r="N62" i="41" s="1"/>
  <c r="O62" i="41" s="1"/>
  <c r="P62" i="41" s="1"/>
  <c r="Q62" i="41" s="1"/>
  <c r="R62" i="41" s="1"/>
  <c r="S62" i="41" s="1"/>
  <c r="T62" i="41" s="1"/>
  <c r="U62" i="41" s="1"/>
  <c r="V62" i="41" s="1"/>
  <c r="W62" i="41" s="1"/>
  <c r="X62" i="41" s="1"/>
  <c r="Y62" i="41" s="1"/>
  <c r="Z62" i="41" s="1"/>
  <c r="AA62" i="41" s="1"/>
  <c r="AB62" i="41" s="1"/>
  <c r="AC62" i="41" s="1"/>
  <c r="AD62" i="41" s="1"/>
  <c r="AE62" i="41" s="1"/>
  <c r="AF62" i="41" s="1"/>
  <c r="AG62" i="41" s="1"/>
  <c r="AH62" i="41" s="1"/>
  <c r="F15" i="41"/>
  <c r="E66" i="41" s="1"/>
  <c r="F66" i="41" s="1"/>
  <c r="G66" i="41" s="1"/>
  <c r="H66" i="41" s="1"/>
  <c r="I66" i="41" s="1"/>
  <c r="J66" i="41" s="1"/>
  <c r="K66" i="41" s="1"/>
  <c r="L66" i="41" s="1"/>
  <c r="M66" i="41" s="1"/>
  <c r="N66" i="41" s="1"/>
  <c r="O66" i="41" s="1"/>
  <c r="P66" i="41" s="1"/>
  <c r="Q66" i="41" s="1"/>
  <c r="R66" i="41" s="1"/>
  <c r="S66" i="41" s="1"/>
  <c r="T66" i="41" s="1"/>
  <c r="U66" i="41" s="1"/>
  <c r="V66" i="41" s="1"/>
  <c r="W66" i="41" s="1"/>
  <c r="X66" i="41" s="1"/>
  <c r="Y66" i="41" s="1"/>
  <c r="Z66" i="41" s="1"/>
  <c r="AA66" i="41" s="1"/>
  <c r="AB66" i="41" s="1"/>
  <c r="AC66" i="41" s="1"/>
  <c r="AD66" i="41" s="1"/>
  <c r="AE66" i="41" s="1"/>
  <c r="AF66" i="41" s="1"/>
  <c r="AG66" i="41" s="1"/>
  <c r="AH66" i="41" s="1"/>
  <c r="D11" i="41"/>
  <c r="E50" i="41" s="1"/>
  <c r="F50" i="41" s="1"/>
  <c r="G50" i="41" s="1"/>
  <c r="H50" i="41" s="1"/>
  <c r="I50" i="41" s="1"/>
  <c r="J50" i="41" s="1"/>
  <c r="K50" i="41" s="1"/>
  <c r="L50" i="41" s="1"/>
  <c r="M50" i="41" s="1"/>
  <c r="N50" i="41" s="1"/>
  <c r="O50" i="41" s="1"/>
  <c r="P50" i="41" s="1"/>
  <c r="Q50" i="41" s="1"/>
  <c r="R50" i="41" s="1"/>
  <c r="S50" i="41" s="1"/>
  <c r="T50" i="41" s="1"/>
  <c r="U50" i="41" s="1"/>
  <c r="V50" i="41" s="1"/>
  <c r="W50" i="41" s="1"/>
  <c r="X50" i="41" s="1"/>
  <c r="Y50" i="41" s="1"/>
  <c r="Z50" i="41" s="1"/>
  <c r="AA50" i="41" s="1"/>
  <c r="AB50" i="41" s="1"/>
  <c r="AC50" i="41" s="1"/>
  <c r="AD50" i="41" s="1"/>
  <c r="AE50" i="41" s="1"/>
  <c r="AF50" i="41" s="1"/>
  <c r="AG50" i="41" s="1"/>
  <c r="AH50" i="41" s="1"/>
  <c r="F9" i="41"/>
  <c r="E54" i="41" s="1"/>
  <c r="AI48" i="41"/>
  <c r="N12" i="41"/>
  <c r="E24" i="29"/>
  <c r="D22" i="29"/>
  <c r="E22" i="29" s="1"/>
  <c r="F22" i="29" s="1"/>
  <c r="G22" i="29" s="1"/>
  <c r="H22" i="29" s="1"/>
  <c r="I22" i="29" s="1"/>
  <c r="J22" i="29" s="1"/>
  <c r="K22" i="29" s="1"/>
  <c r="L22" i="29" s="1"/>
  <c r="M22" i="29" s="1"/>
  <c r="N22" i="29" s="1"/>
  <c r="O22" i="29" s="1"/>
  <c r="P22" i="29" s="1"/>
  <c r="Q22" i="29" s="1"/>
  <c r="R22" i="29" s="1"/>
  <c r="S22" i="29" s="1"/>
  <c r="T22" i="29" s="1"/>
  <c r="U22" i="29" s="1"/>
  <c r="V22" i="29" s="1"/>
  <c r="W22" i="29" s="1"/>
  <c r="X22" i="29" s="1"/>
  <c r="Y22" i="29" s="1"/>
  <c r="Z22" i="29" s="1"/>
  <c r="AA22" i="29" s="1"/>
  <c r="AB22" i="29" s="1"/>
  <c r="AC22" i="29" s="1"/>
  <c r="AD22" i="29" s="1"/>
  <c r="AE22" i="29" s="1"/>
  <c r="AF22" i="29" s="1"/>
  <c r="AG22" i="29" s="1"/>
  <c r="D10" i="41"/>
  <c r="E49" i="41" s="1"/>
  <c r="F49" i="41" s="1"/>
  <c r="G49" i="41" s="1"/>
  <c r="H49" i="41" s="1"/>
  <c r="I49" i="41" s="1"/>
  <c r="J49" i="41" s="1"/>
  <c r="K49" i="41" s="1"/>
  <c r="L49" i="41" s="1"/>
  <c r="M49" i="41" s="1"/>
  <c r="N49" i="41" s="1"/>
  <c r="O49" i="41" s="1"/>
  <c r="P49" i="41" s="1"/>
  <c r="Q49" i="41" s="1"/>
  <c r="R49" i="41" s="1"/>
  <c r="S49" i="41" s="1"/>
  <c r="T49" i="41" s="1"/>
  <c r="U49" i="41" s="1"/>
  <c r="V49" i="41" s="1"/>
  <c r="W49" i="41" s="1"/>
  <c r="X49" i="41" s="1"/>
  <c r="Y49" i="41" s="1"/>
  <c r="Z49" i="41" s="1"/>
  <c r="AA49" i="41" s="1"/>
  <c r="AB49" i="41" s="1"/>
  <c r="AC49" i="41" s="1"/>
  <c r="AD49" i="41" s="1"/>
  <c r="AE49" i="41" s="1"/>
  <c r="AF49" i="41" s="1"/>
  <c r="AG49" i="41" s="1"/>
  <c r="AH49" i="41" s="1"/>
  <c r="E10" i="41"/>
  <c r="E52" i="41" s="1"/>
  <c r="F52" i="41" s="1"/>
  <c r="G52" i="41" s="1"/>
  <c r="H52" i="41" s="1"/>
  <c r="I52" i="41" s="1"/>
  <c r="J52" i="41" s="1"/>
  <c r="K52" i="41" s="1"/>
  <c r="L52" i="41" s="1"/>
  <c r="M52" i="41" s="1"/>
  <c r="N52" i="41" s="1"/>
  <c r="O52" i="41" s="1"/>
  <c r="P52" i="41" s="1"/>
  <c r="Q52" i="41" s="1"/>
  <c r="R52" i="41" s="1"/>
  <c r="S52" i="41" s="1"/>
  <c r="T52" i="41" s="1"/>
  <c r="U52" i="41" s="1"/>
  <c r="V52" i="41" s="1"/>
  <c r="W52" i="41" s="1"/>
  <c r="X52" i="41" s="1"/>
  <c r="Y52" i="41" s="1"/>
  <c r="Z52" i="41" s="1"/>
  <c r="AA52" i="41" s="1"/>
  <c r="AB52" i="41" s="1"/>
  <c r="AC52" i="41" s="1"/>
  <c r="AD52" i="41" s="1"/>
  <c r="AE52" i="41" s="1"/>
  <c r="AF52" i="41" s="1"/>
  <c r="AG52" i="41" s="1"/>
  <c r="AH52" i="41" s="1"/>
  <c r="F10" i="41"/>
  <c r="E55" i="41" s="1"/>
  <c r="F55" i="41" s="1"/>
  <c r="G55" i="41" s="1"/>
  <c r="H55" i="41" s="1"/>
  <c r="I55" i="41" s="1"/>
  <c r="J55" i="41" s="1"/>
  <c r="K55" i="41" s="1"/>
  <c r="L55" i="41" s="1"/>
  <c r="M55" i="41" s="1"/>
  <c r="N55" i="41" s="1"/>
  <c r="O55" i="41" s="1"/>
  <c r="P55" i="41" s="1"/>
  <c r="Q55" i="41" s="1"/>
  <c r="R55" i="41" s="1"/>
  <c r="S55" i="41" s="1"/>
  <c r="T55" i="41" s="1"/>
  <c r="U55" i="41" s="1"/>
  <c r="V55" i="41" s="1"/>
  <c r="W55" i="41" s="1"/>
  <c r="X55" i="41" s="1"/>
  <c r="Y55" i="41" s="1"/>
  <c r="Z55" i="41" s="1"/>
  <c r="AA55" i="41" s="1"/>
  <c r="AB55" i="41" s="1"/>
  <c r="AC55" i="41" s="1"/>
  <c r="AD55" i="41" s="1"/>
  <c r="AE55" i="41" s="1"/>
  <c r="AF55" i="41" s="1"/>
  <c r="AG55" i="41" s="1"/>
  <c r="AH55" i="41" s="1"/>
  <c r="AI51" i="41"/>
  <c r="O12" i="41"/>
  <c r="E16" i="41"/>
  <c r="E64" i="41" s="1"/>
  <c r="F64" i="41" s="1"/>
  <c r="G64" i="41" s="1"/>
  <c r="H64" i="41" s="1"/>
  <c r="I64" i="41" s="1"/>
  <c r="J64" i="41" s="1"/>
  <c r="K64" i="41" s="1"/>
  <c r="L64" i="41" s="1"/>
  <c r="M64" i="41" s="1"/>
  <c r="N64" i="41" s="1"/>
  <c r="O64" i="41" s="1"/>
  <c r="P64" i="41" s="1"/>
  <c r="Q64" i="41" s="1"/>
  <c r="R64" i="41" s="1"/>
  <c r="S64" i="41" s="1"/>
  <c r="T64" i="41" s="1"/>
  <c r="U64" i="41" s="1"/>
  <c r="V64" i="41" s="1"/>
  <c r="W64" i="41" s="1"/>
  <c r="X64" i="41" s="1"/>
  <c r="Y64" i="41" s="1"/>
  <c r="Z64" i="41" s="1"/>
  <c r="AA64" i="41" s="1"/>
  <c r="AB64" i="41" s="1"/>
  <c r="AC64" i="41" s="1"/>
  <c r="AD64" i="41" s="1"/>
  <c r="AE64" i="41" s="1"/>
  <c r="AF64" i="41" s="1"/>
  <c r="AG64" i="41" s="1"/>
  <c r="AH64" i="41" s="1"/>
  <c r="D16" i="41"/>
  <c r="E61" i="41" s="1"/>
  <c r="F61" i="41" s="1"/>
  <c r="G61" i="41" s="1"/>
  <c r="H61" i="41" s="1"/>
  <c r="I61" i="41" s="1"/>
  <c r="J61" i="41" s="1"/>
  <c r="K61" i="41" s="1"/>
  <c r="L61" i="41" s="1"/>
  <c r="M61" i="41" s="1"/>
  <c r="N61" i="41" s="1"/>
  <c r="O61" i="41" s="1"/>
  <c r="P61" i="41" s="1"/>
  <c r="Q61" i="41" s="1"/>
  <c r="R61" i="41" s="1"/>
  <c r="S61" i="41" s="1"/>
  <c r="T61" i="41" s="1"/>
  <c r="U61" i="41" s="1"/>
  <c r="V61" i="41" s="1"/>
  <c r="W61" i="41" s="1"/>
  <c r="X61" i="41" s="1"/>
  <c r="Y61" i="41" s="1"/>
  <c r="Z61" i="41" s="1"/>
  <c r="AA61" i="41" s="1"/>
  <c r="AB61" i="41" s="1"/>
  <c r="AC61" i="41" s="1"/>
  <c r="AD61" i="41" s="1"/>
  <c r="AE61" i="41" s="1"/>
  <c r="AF61" i="41" s="1"/>
  <c r="AG61" i="41" s="1"/>
  <c r="AH61" i="41" s="1"/>
  <c r="C24" i="41"/>
  <c r="C335" i="38"/>
  <c r="D335" i="38" s="1"/>
  <c r="E335" i="38" s="1"/>
  <c r="F335" i="38" s="1"/>
  <c r="G335" i="38" s="1"/>
  <c r="H335" i="38" s="1"/>
  <c r="I335" i="38" s="1"/>
  <c r="J335" i="38" s="1"/>
  <c r="K335" i="38" s="1"/>
  <c r="L335" i="38" s="1"/>
  <c r="M335" i="38" s="1"/>
  <c r="N335" i="38" s="1"/>
  <c r="O335" i="38" s="1"/>
  <c r="P335" i="38" s="1"/>
  <c r="Q335" i="38" s="1"/>
  <c r="R335" i="38" s="1"/>
  <c r="S335" i="38" s="1"/>
  <c r="T335" i="38" s="1"/>
  <c r="U335" i="38" s="1"/>
  <c r="V335" i="38" s="1"/>
  <c r="W335" i="38" s="1"/>
  <c r="X335" i="38" s="1"/>
  <c r="Y335" i="38" s="1"/>
  <c r="Z335" i="38" s="1"/>
  <c r="AA335" i="38" s="1"/>
  <c r="AB335" i="38" s="1"/>
  <c r="AC335" i="38" s="1"/>
  <c r="AD335" i="38" s="1"/>
  <c r="AE335" i="38" s="1"/>
  <c r="AF335" i="38" s="1"/>
  <c r="AG335" i="38" s="1"/>
  <c r="C335" i="42"/>
  <c r="D335" i="42" s="1"/>
  <c r="E335" i="42" s="1"/>
  <c r="F335" i="42" s="1"/>
  <c r="G335" i="42" s="1"/>
  <c r="H335" i="42" s="1"/>
  <c r="I335" i="42" s="1"/>
  <c r="J335" i="42" s="1"/>
  <c r="K335" i="42" s="1"/>
  <c r="L335" i="42" s="1"/>
  <c r="M335" i="42" s="1"/>
  <c r="N335" i="42" s="1"/>
  <c r="O335" i="42" s="1"/>
  <c r="P335" i="42" s="1"/>
  <c r="Q335" i="42" s="1"/>
  <c r="R335" i="42" s="1"/>
  <c r="S335" i="42" s="1"/>
  <c r="T335" i="42" s="1"/>
  <c r="U335" i="42" s="1"/>
  <c r="V335" i="42" s="1"/>
  <c r="W335" i="42" s="1"/>
  <c r="X335" i="42" s="1"/>
  <c r="Y335" i="42" s="1"/>
  <c r="Z335" i="42" s="1"/>
  <c r="AA335" i="42" s="1"/>
  <c r="AB335" i="42" s="1"/>
  <c r="AC335" i="42" s="1"/>
  <c r="AD335" i="42" s="1"/>
  <c r="AE335" i="42" s="1"/>
  <c r="AF335" i="42" s="1"/>
  <c r="AG335" i="42" s="1"/>
  <c r="E63" i="41"/>
  <c r="F63" i="41" s="1"/>
  <c r="G63" i="41" s="1"/>
  <c r="H63" i="41" s="1"/>
  <c r="I63" i="41" s="1"/>
  <c r="J63" i="41" s="1"/>
  <c r="K63" i="41" s="1"/>
  <c r="L63" i="41" s="1"/>
  <c r="M63" i="41" s="1"/>
  <c r="N63" i="41" s="1"/>
  <c r="O63" i="41" s="1"/>
  <c r="P63" i="41" s="1"/>
  <c r="Q63" i="41" s="1"/>
  <c r="R63" i="41" s="1"/>
  <c r="S63" i="41" s="1"/>
  <c r="T63" i="41" s="1"/>
  <c r="U63" i="41" s="1"/>
  <c r="V63" i="41" s="1"/>
  <c r="W63" i="41" s="1"/>
  <c r="X63" i="41" s="1"/>
  <c r="Y63" i="41" s="1"/>
  <c r="Z63" i="41" s="1"/>
  <c r="AA63" i="41" s="1"/>
  <c r="AB63" i="41" s="1"/>
  <c r="AC63" i="41" s="1"/>
  <c r="AD63" i="41" s="1"/>
  <c r="AE63" i="41" s="1"/>
  <c r="AF63" i="41" s="1"/>
  <c r="AG63" i="41" s="1"/>
  <c r="AH63" i="41" s="1"/>
  <c r="C30" i="41"/>
  <c r="D28" i="41" s="1"/>
  <c r="E73" i="41" s="1"/>
  <c r="F73" i="41" s="1"/>
  <c r="G73" i="41" s="1"/>
  <c r="H73" i="41" s="1"/>
  <c r="I73" i="41" s="1"/>
  <c r="J73" i="41" s="1"/>
  <c r="K73" i="41" s="1"/>
  <c r="L73" i="41" s="1"/>
  <c r="M73" i="41" s="1"/>
  <c r="N73" i="41" s="1"/>
  <c r="O73" i="41" s="1"/>
  <c r="P73" i="41" s="1"/>
  <c r="Q73" i="41" s="1"/>
  <c r="R73" i="41" s="1"/>
  <c r="S73" i="41" s="1"/>
  <c r="T73" i="41" s="1"/>
  <c r="U73" i="41" s="1"/>
  <c r="V73" i="41" s="1"/>
  <c r="W73" i="41" s="1"/>
  <c r="X73" i="41" s="1"/>
  <c r="Y73" i="41" s="1"/>
  <c r="Z73" i="41" s="1"/>
  <c r="AA73" i="41" s="1"/>
  <c r="AB73" i="41" s="1"/>
  <c r="AC73" i="41" s="1"/>
  <c r="AD73" i="41" s="1"/>
  <c r="AE73" i="41" s="1"/>
  <c r="AF73" i="41" s="1"/>
  <c r="AG73" i="41" s="1"/>
  <c r="AH73" i="41" s="1"/>
  <c r="D23" i="29"/>
  <c r="E23" i="29" s="1"/>
  <c r="F23" i="29" s="1"/>
  <c r="G23" i="29" s="1"/>
  <c r="H23" i="29" s="1"/>
  <c r="I23" i="29" s="1"/>
  <c r="J23" i="29" s="1"/>
  <c r="K23" i="29" s="1"/>
  <c r="L23" i="29" s="1"/>
  <c r="M23" i="29" s="1"/>
  <c r="N23" i="29" s="1"/>
  <c r="O23" i="29" s="1"/>
  <c r="P23" i="29" s="1"/>
  <c r="Q23" i="29" s="1"/>
  <c r="R23" i="29" s="1"/>
  <c r="S23" i="29" s="1"/>
  <c r="T23" i="29" s="1"/>
  <c r="U23" i="29" s="1"/>
  <c r="V23" i="29" s="1"/>
  <c r="W23" i="29" s="1"/>
  <c r="X23" i="29" s="1"/>
  <c r="Y23" i="29" s="1"/>
  <c r="Z23" i="29" s="1"/>
  <c r="AA23" i="29" s="1"/>
  <c r="AB23" i="29" s="1"/>
  <c r="AC23" i="29" s="1"/>
  <c r="AD23" i="29" s="1"/>
  <c r="AE23" i="29" s="1"/>
  <c r="AF23" i="29" s="1"/>
  <c r="AG23" i="29" s="1"/>
  <c r="F21" i="29"/>
  <c r="AI54" i="41"/>
  <c r="P12" i="41"/>
  <c r="D22" i="38"/>
  <c r="E94" i="33" a="1"/>
  <c r="C219" i="42"/>
  <c r="C220" i="42" s="1"/>
  <c r="C219" i="38"/>
  <c r="D23" i="38"/>
  <c r="E96" i="33" a="1"/>
  <c r="C184" i="42"/>
  <c r="C185" i="42" s="1"/>
  <c r="C184" i="38"/>
  <c r="E97" i="33" a="1"/>
  <c r="C234" i="42"/>
  <c r="C234" i="38"/>
  <c r="E93" i="33" a="1"/>
  <c r="C63" i="42"/>
  <c r="C63" i="38"/>
  <c r="E95" i="33" a="1"/>
  <c r="C129" i="42"/>
  <c r="C130" i="42" s="1"/>
  <c r="C129" i="38"/>
  <c r="D25" i="38"/>
  <c r="E24" i="38"/>
  <c r="E21" i="38"/>
  <c r="F24" i="28"/>
  <c r="D94" i="33" a="1"/>
  <c r="AG110" i="28" s="1"/>
  <c r="AG111" i="28" s="1"/>
  <c r="C110" i="28"/>
  <c r="E22" i="28"/>
  <c r="C310" i="20"/>
  <c r="H64" i="33"/>
  <c r="C79" i="33"/>
  <c r="C24" i="20" s="1"/>
  <c r="C69" i="33"/>
  <c r="C77" i="33" s="1"/>
  <c r="C23" i="20" s="1"/>
  <c r="C78" i="33"/>
  <c r="C22" i="20" s="1"/>
  <c r="C72" i="33"/>
  <c r="C80" i="33" s="1"/>
  <c r="C25" i="20" s="1"/>
  <c r="C24" i="34"/>
  <c r="F22" i="34" s="1"/>
  <c r="C16" i="34"/>
  <c r="G11" i="34" s="1"/>
  <c r="M40" i="34"/>
  <c r="G21" i="28"/>
  <c r="E23" i="28"/>
  <c r="F25" i="28"/>
  <c r="C198" i="20"/>
  <c r="C94" i="33" a="1"/>
  <c r="AG198" i="20" s="1"/>
  <c r="AG199" i="20" s="1"/>
  <c r="C32" i="34"/>
  <c r="D28" i="34" s="1"/>
  <c r="E104" i="34" s="1"/>
  <c r="F104" i="34" s="1"/>
  <c r="G104" i="34" s="1"/>
  <c r="H104" i="34" s="1"/>
  <c r="I104" i="34" s="1"/>
  <c r="J104" i="34" s="1"/>
  <c r="K104" i="34" s="1"/>
  <c r="L104" i="34" s="1"/>
  <c r="M104" i="34" s="1"/>
  <c r="N104" i="34" s="1"/>
  <c r="O104" i="34" s="1"/>
  <c r="P104" i="34" s="1"/>
  <c r="Q104" i="34" s="1"/>
  <c r="R104" i="34" s="1"/>
  <c r="S104" i="34" s="1"/>
  <c r="T104" i="34" s="1"/>
  <c r="U104" i="34" s="1"/>
  <c r="V104" i="34" s="1"/>
  <c r="W104" i="34" s="1"/>
  <c r="X104" i="34" s="1"/>
  <c r="Y104" i="34" s="1"/>
  <c r="Z104" i="34" s="1"/>
  <c r="AA104" i="34" s="1"/>
  <c r="AB104" i="34" s="1"/>
  <c r="AC104" i="34" s="1"/>
  <c r="AD104" i="34" s="1"/>
  <c r="AE104" i="34" s="1"/>
  <c r="AF104" i="34" s="1"/>
  <c r="AG104" i="34" s="1"/>
  <c r="AH104" i="34" s="1"/>
  <c r="C40" i="34"/>
  <c r="D37" i="34" s="1"/>
  <c r="E110" i="34" s="1"/>
  <c r="F110" i="34" s="1"/>
  <c r="G110" i="34" s="1"/>
  <c r="H110" i="34" s="1"/>
  <c r="I110" i="34" s="1"/>
  <c r="J110" i="34" s="1"/>
  <c r="K110" i="34" s="1"/>
  <c r="L110" i="34" s="1"/>
  <c r="M110" i="34" s="1"/>
  <c r="N110" i="34" s="1"/>
  <c r="O110" i="34" s="1"/>
  <c r="P110" i="34" s="1"/>
  <c r="Q110" i="34" s="1"/>
  <c r="R110" i="34" s="1"/>
  <c r="S110" i="34" s="1"/>
  <c r="T110" i="34" s="1"/>
  <c r="U110" i="34" s="1"/>
  <c r="V110" i="34" s="1"/>
  <c r="W110" i="34" s="1"/>
  <c r="X110" i="34" s="1"/>
  <c r="Y110" i="34" s="1"/>
  <c r="Z110" i="34" s="1"/>
  <c r="AA110" i="34" s="1"/>
  <c r="AB110" i="34" s="1"/>
  <c r="AC110" i="34" s="1"/>
  <c r="AD110" i="34" s="1"/>
  <c r="AE110" i="34" s="1"/>
  <c r="AF110" i="34" s="1"/>
  <c r="AG110" i="34" s="1"/>
  <c r="AH110" i="34" s="1"/>
  <c r="D93" i="33" a="1"/>
  <c r="AG62" i="28" s="1"/>
  <c r="C62" i="28"/>
  <c r="C95" i="33" a="1"/>
  <c r="AG122" i="20" s="1"/>
  <c r="D95" i="33" a="1"/>
  <c r="AG85" i="28" s="1"/>
  <c r="C85" i="28"/>
  <c r="O50" i="15"/>
  <c r="O53" i="15" s="1"/>
  <c r="O137" i="15" s="1"/>
  <c r="O126" i="15"/>
  <c r="L74" i="12"/>
  <c r="L219" i="12" s="1"/>
  <c r="L230" i="12" s="1"/>
  <c r="L78" i="12"/>
  <c r="L79" i="12"/>
  <c r="L75" i="12"/>
  <c r="L80" i="12"/>
  <c r="L76" i="12"/>
  <c r="L77" i="12"/>
  <c r="AF8" i="20"/>
  <c r="AF9" i="20"/>
  <c r="M74" i="14"/>
  <c r="M219" i="14" s="1"/>
  <c r="M230" i="14" s="1"/>
  <c r="M79" i="14"/>
  <c r="M77" i="14"/>
  <c r="M75" i="14"/>
  <c r="M78" i="14"/>
  <c r="M80" i="14"/>
  <c r="M76" i="14"/>
  <c r="AA10" i="20"/>
  <c r="Z12" i="20"/>
  <c r="AA11" i="20"/>
  <c r="O72" i="12"/>
  <c r="Q33" i="11"/>
  <c r="P34" i="11"/>
  <c r="P35" i="11" s="1"/>
  <c r="P36" i="11" s="1"/>
  <c r="M73" i="12"/>
  <c r="O29" i="13"/>
  <c r="O30" i="13" s="1"/>
  <c r="P28" i="13"/>
  <c r="N32" i="13"/>
  <c r="N73" i="14" s="1"/>
  <c r="N31" i="13"/>
  <c r="N33" i="13" s="1"/>
  <c r="N64" i="36" s="1"/>
  <c r="AE7" i="20"/>
  <c r="BH69" i="36" l="1"/>
  <c r="P39" i="11"/>
  <c r="P37" i="11"/>
  <c r="P40" i="11"/>
  <c r="P66" i="45" s="1"/>
  <c r="AV66" i="45" s="1"/>
  <c r="P38" i="11"/>
  <c r="AP4" i="51"/>
  <c r="AP57" i="58" s="1"/>
  <c r="CF57" i="58" s="1"/>
  <c r="CF58" i="58" s="1"/>
  <c r="J57" i="58"/>
  <c r="K95" i="55"/>
  <c r="AP95" i="55"/>
  <c r="DB95" i="55" s="1"/>
  <c r="K96" i="55"/>
  <c r="AP96" i="55"/>
  <c r="DB96" i="55" s="1"/>
  <c r="O61" i="45"/>
  <c r="AU61" i="45" s="1"/>
  <c r="AU63" i="45" s="1"/>
  <c r="O64" i="45"/>
  <c r="AU64" i="45" s="1"/>
  <c r="G5" i="41"/>
  <c r="E44" i="41" s="1"/>
  <c r="F44" i="41" s="1"/>
  <c r="G44" i="41" s="1"/>
  <c r="H44" i="41" s="1"/>
  <c r="I44" i="41" s="1"/>
  <c r="J44" i="41" s="1"/>
  <c r="K44" i="41" s="1"/>
  <c r="L44" i="41" s="1"/>
  <c r="M44" i="41" s="1"/>
  <c r="N44" i="41" s="1"/>
  <c r="O44" i="41" s="1"/>
  <c r="P44" i="41" s="1"/>
  <c r="Q44" i="41" s="1"/>
  <c r="R44" i="41" s="1"/>
  <c r="S44" i="41" s="1"/>
  <c r="T44" i="41" s="1"/>
  <c r="U44" i="41" s="1"/>
  <c r="V44" i="41" s="1"/>
  <c r="W44" i="41" s="1"/>
  <c r="X44" i="41" s="1"/>
  <c r="Y44" i="41" s="1"/>
  <c r="Z44" i="41" s="1"/>
  <c r="AA44" i="41" s="1"/>
  <c r="AB44" i="41" s="1"/>
  <c r="AC44" i="41" s="1"/>
  <c r="AD44" i="41" s="1"/>
  <c r="AE44" i="41" s="1"/>
  <c r="AF44" i="41" s="1"/>
  <c r="AG44" i="41" s="1"/>
  <c r="AH44" i="41" s="1"/>
  <c r="G3" i="41"/>
  <c r="E42" i="41" s="1"/>
  <c r="F42" i="41" s="1"/>
  <c r="G42" i="41" s="1"/>
  <c r="H42" i="41" s="1"/>
  <c r="I42" i="41" s="1"/>
  <c r="J42" i="41" s="1"/>
  <c r="K42" i="41" s="1"/>
  <c r="L42" i="41" s="1"/>
  <c r="M42" i="41" s="1"/>
  <c r="N42" i="41" s="1"/>
  <c r="O42" i="41" s="1"/>
  <c r="P42" i="41" s="1"/>
  <c r="Q42" i="41" s="1"/>
  <c r="R42" i="41" s="1"/>
  <c r="S42" i="41" s="1"/>
  <c r="T42" i="41" s="1"/>
  <c r="U42" i="41" s="1"/>
  <c r="V42" i="41" s="1"/>
  <c r="W42" i="41" s="1"/>
  <c r="X42" i="41" s="1"/>
  <c r="Y42" i="41" s="1"/>
  <c r="Z42" i="41" s="1"/>
  <c r="AA42" i="41" s="1"/>
  <c r="AB42" i="41" s="1"/>
  <c r="AC42" i="41" s="1"/>
  <c r="AD42" i="41" s="1"/>
  <c r="AE42" i="41" s="1"/>
  <c r="AF42" i="41" s="1"/>
  <c r="AG42" i="41" s="1"/>
  <c r="AH42" i="41" s="1"/>
  <c r="D3" i="41"/>
  <c r="E33" i="41" s="1"/>
  <c r="F33" i="41" s="1"/>
  <c r="G33" i="41" s="1"/>
  <c r="H33" i="41" s="1"/>
  <c r="I33" i="41" s="1"/>
  <c r="J33" i="41" s="1"/>
  <c r="K33" i="41" s="1"/>
  <c r="L33" i="41" s="1"/>
  <c r="M33" i="41" s="1"/>
  <c r="N33" i="41" s="1"/>
  <c r="O33" i="41" s="1"/>
  <c r="P33" i="41" s="1"/>
  <c r="Q33" i="41" s="1"/>
  <c r="R33" i="41" s="1"/>
  <c r="S33" i="41" s="1"/>
  <c r="T33" i="41" s="1"/>
  <c r="U33" i="41" s="1"/>
  <c r="V33" i="41" s="1"/>
  <c r="W33" i="41" s="1"/>
  <c r="X33" i="41" s="1"/>
  <c r="Y33" i="41" s="1"/>
  <c r="Z33" i="41" s="1"/>
  <c r="AA33" i="41" s="1"/>
  <c r="AB33" i="41" s="1"/>
  <c r="AC33" i="41" s="1"/>
  <c r="AD33" i="41" s="1"/>
  <c r="AE33" i="41" s="1"/>
  <c r="AF33" i="41" s="1"/>
  <c r="AG33" i="41" s="1"/>
  <c r="AH33" i="41" s="1"/>
  <c r="D5" i="41"/>
  <c r="E35" i="41" s="1"/>
  <c r="F35" i="41" s="1"/>
  <c r="G35" i="41" s="1"/>
  <c r="H35" i="41" s="1"/>
  <c r="I35" i="41" s="1"/>
  <c r="J35" i="41" s="1"/>
  <c r="K35" i="41" s="1"/>
  <c r="L35" i="41" s="1"/>
  <c r="M35" i="41" s="1"/>
  <c r="N35" i="41" s="1"/>
  <c r="O35" i="41" s="1"/>
  <c r="P35" i="41" s="1"/>
  <c r="Q35" i="41" s="1"/>
  <c r="R35" i="41" s="1"/>
  <c r="S35" i="41" s="1"/>
  <c r="T35" i="41" s="1"/>
  <c r="U35" i="41" s="1"/>
  <c r="V35" i="41" s="1"/>
  <c r="W35" i="41" s="1"/>
  <c r="X35" i="41" s="1"/>
  <c r="Y35" i="41" s="1"/>
  <c r="Z35" i="41" s="1"/>
  <c r="AA35" i="41" s="1"/>
  <c r="AB35" i="41" s="1"/>
  <c r="AC35" i="41" s="1"/>
  <c r="AD35" i="41" s="1"/>
  <c r="AE35" i="41" s="1"/>
  <c r="AF35" i="41" s="1"/>
  <c r="AG35" i="41" s="1"/>
  <c r="AH35" i="41" s="1"/>
  <c r="E22" i="54"/>
  <c r="D4" i="41"/>
  <c r="E34" i="41" s="1"/>
  <c r="F34" i="41" s="1"/>
  <c r="G34" i="41" s="1"/>
  <c r="H34" i="41" s="1"/>
  <c r="I34" i="41" s="1"/>
  <c r="J34" i="41" s="1"/>
  <c r="K34" i="41" s="1"/>
  <c r="L34" i="41" s="1"/>
  <c r="M34" i="41" s="1"/>
  <c r="N34" i="41" s="1"/>
  <c r="O34" i="41" s="1"/>
  <c r="P34" i="41" s="1"/>
  <c r="Q34" i="41" s="1"/>
  <c r="R34" i="41" s="1"/>
  <c r="S34" i="41" s="1"/>
  <c r="T34" i="41" s="1"/>
  <c r="U34" i="41" s="1"/>
  <c r="V34" i="41" s="1"/>
  <c r="W34" i="41" s="1"/>
  <c r="X34" i="41" s="1"/>
  <c r="Y34" i="41" s="1"/>
  <c r="Z34" i="41" s="1"/>
  <c r="AA34" i="41" s="1"/>
  <c r="AB34" i="41" s="1"/>
  <c r="AC34" i="41" s="1"/>
  <c r="AD34" i="41" s="1"/>
  <c r="AE34" i="41" s="1"/>
  <c r="AF34" i="41" s="1"/>
  <c r="AG34" i="41" s="1"/>
  <c r="AH34" i="41" s="1"/>
  <c r="E4" i="41"/>
  <c r="E37" i="41" s="1"/>
  <c r="F37" i="41" s="1"/>
  <c r="G37" i="41" s="1"/>
  <c r="H37" i="41" s="1"/>
  <c r="I37" i="41" s="1"/>
  <c r="J37" i="41" s="1"/>
  <c r="K37" i="41" s="1"/>
  <c r="L37" i="41" s="1"/>
  <c r="M37" i="41" s="1"/>
  <c r="N37" i="41" s="1"/>
  <c r="O37" i="41" s="1"/>
  <c r="P37" i="41" s="1"/>
  <c r="Q37" i="41" s="1"/>
  <c r="R37" i="41" s="1"/>
  <c r="S37" i="41" s="1"/>
  <c r="T37" i="41" s="1"/>
  <c r="U37" i="41" s="1"/>
  <c r="V37" i="41" s="1"/>
  <c r="W37" i="41" s="1"/>
  <c r="X37" i="41" s="1"/>
  <c r="Y37" i="41" s="1"/>
  <c r="Z37" i="41" s="1"/>
  <c r="AA37" i="41" s="1"/>
  <c r="AB37" i="41" s="1"/>
  <c r="AC37" i="41" s="1"/>
  <c r="AD37" i="41" s="1"/>
  <c r="AE37" i="41" s="1"/>
  <c r="AF37" i="41" s="1"/>
  <c r="AG37" i="41" s="1"/>
  <c r="AH37" i="41" s="1"/>
  <c r="E3" i="41"/>
  <c r="F16" i="41"/>
  <c r="E67" i="41" s="1"/>
  <c r="F67" i="41" s="1"/>
  <c r="G67" i="41" s="1"/>
  <c r="H67" i="41" s="1"/>
  <c r="I67" i="41" s="1"/>
  <c r="J67" i="41" s="1"/>
  <c r="K67" i="41" s="1"/>
  <c r="L67" i="41" s="1"/>
  <c r="M67" i="41" s="1"/>
  <c r="N67" i="41" s="1"/>
  <c r="O67" i="41" s="1"/>
  <c r="P67" i="41" s="1"/>
  <c r="Q67" i="41" s="1"/>
  <c r="R67" i="41" s="1"/>
  <c r="S67" i="41" s="1"/>
  <c r="T67" i="41" s="1"/>
  <c r="U67" i="41" s="1"/>
  <c r="V67" i="41" s="1"/>
  <c r="W67" i="41" s="1"/>
  <c r="X67" i="41" s="1"/>
  <c r="Y67" i="41" s="1"/>
  <c r="Z67" i="41" s="1"/>
  <c r="AA67" i="41" s="1"/>
  <c r="AB67" i="41" s="1"/>
  <c r="AC67" i="41" s="1"/>
  <c r="AD67" i="41" s="1"/>
  <c r="AE67" i="41" s="1"/>
  <c r="AF67" i="41" s="1"/>
  <c r="AG67" i="41" s="1"/>
  <c r="AH67" i="41" s="1"/>
  <c r="G10" i="41"/>
  <c r="E58" i="41" s="1"/>
  <c r="F58" i="41" s="1"/>
  <c r="G58" i="41" s="1"/>
  <c r="H58" i="41" s="1"/>
  <c r="I58" i="41" s="1"/>
  <c r="J58" i="41" s="1"/>
  <c r="K58" i="41" s="1"/>
  <c r="L58" i="41" s="1"/>
  <c r="M58" i="41" s="1"/>
  <c r="N58" i="41" s="1"/>
  <c r="O58" i="41" s="1"/>
  <c r="P58" i="41" s="1"/>
  <c r="Q58" i="41" s="1"/>
  <c r="R58" i="41" s="1"/>
  <c r="S58" i="41" s="1"/>
  <c r="T58" i="41" s="1"/>
  <c r="U58" i="41" s="1"/>
  <c r="V58" i="41" s="1"/>
  <c r="W58" i="41" s="1"/>
  <c r="X58" i="41" s="1"/>
  <c r="Y58" i="41" s="1"/>
  <c r="Z58" i="41" s="1"/>
  <c r="AA58" i="41" s="1"/>
  <c r="AB58" i="41" s="1"/>
  <c r="AC58" i="41" s="1"/>
  <c r="AD58" i="41" s="1"/>
  <c r="AE58" i="41" s="1"/>
  <c r="AF58" i="41" s="1"/>
  <c r="AG58" i="41" s="1"/>
  <c r="AH58" i="41" s="1"/>
  <c r="E23" i="54"/>
  <c r="F24" i="54"/>
  <c r="E21" i="54"/>
  <c r="G4" i="41"/>
  <c r="E43" i="41" s="1"/>
  <c r="F43" i="41" s="1"/>
  <c r="G43" i="41" s="1"/>
  <c r="H43" i="41" s="1"/>
  <c r="I43" i="41" s="1"/>
  <c r="J43" i="41" s="1"/>
  <c r="K43" i="41" s="1"/>
  <c r="L43" i="41" s="1"/>
  <c r="M43" i="41" s="1"/>
  <c r="N43" i="41" s="1"/>
  <c r="O43" i="41" s="1"/>
  <c r="P43" i="41" s="1"/>
  <c r="Q43" i="41" s="1"/>
  <c r="R43" i="41" s="1"/>
  <c r="S43" i="41" s="1"/>
  <c r="T43" i="41" s="1"/>
  <c r="U43" i="41" s="1"/>
  <c r="V43" i="41" s="1"/>
  <c r="W43" i="41" s="1"/>
  <c r="X43" i="41" s="1"/>
  <c r="Y43" i="41" s="1"/>
  <c r="Z43" i="41" s="1"/>
  <c r="AA43" i="41" s="1"/>
  <c r="AB43" i="41" s="1"/>
  <c r="AC43" i="41" s="1"/>
  <c r="AD43" i="41" s="1"/>
  <c r="AE43" i="41" s="1"/>
  <c r="AF43" i="41" s="1"/>
  <c r="AG43" i="41" s="1"/>
  <c r="AH43" i="41" s="1"/>
  <c r="H5" i="41"/>
  <c r="E47" i="41" s="1"/>
  <c r="F47" i="41" s="1"/>
  <c r="G47" i="41" s="1"/>
  <c r="H47" i="41" s="1"/>
  <c r="I47" i="41" s="1"/>
  <c r="J47" i="41" s="1"/>
  <c r="K47" i="41" s="1"/>
  <c r="L47" i="41" s="1"/>
  <c r="M47" i="41" s="1"/>
  <c r="N47" i="41" s="1"/>
  <c r="O47" i="41" s="1"/>
  <c r="P47" i="41" s="1"/>
  <c r="Q47" i="41" s="1"/>
  <c r="R47" i="41" s="1"/>
  <c r="S47" i="41" s="1"/>
  <c r="T47" i="41" s="1"/>
  <c r="U47" i="41" s="1"/>
  <c r="V47" i="41" s="1"/>
  <c r="W47" i="41" s="1"/>
  <c r="X47" i="41" s="1"/>
  <c r="Y47" i="41" s="1"/>
  <c r="Z47" i="41" s="1"/>
  <c r="AA47" i="41" s="1"/>
  <c r="AB47" i="41" s="1"/>
  <c r="AC47" i="41" s="1"/>
  <c r="AD47" i="41" s="1"/>
  <c r="AE47" i="41" s="1"/>
  <c r="AF47" i="41" s="1"/>
  <c r="AG47" i="41" s="1"/>
  <c r="AH47" i="41" s="1"/>
  <c r="F4" i="41"/>
  <c r="E40" i="41" s="1"/>
  <c r="F40" i="41" s="1"/>
  <c r="G40" i="41" s="1"/>
  <c r="H40" i="41" s="1"/>
  <c r="I40" i="41" s="1"/>
  <c r="J40" i="41" s="1"/>
  <c r="K40" i="41" s="1"/>
  <c r="L40" i="41" s="1"/>
  <c r="M40" i="41" s="1"/>
  <c r="N40" i="41" s="1"/>
  <c r="O40" i="41" s="1"/>
  <c r="P40" i="41" s="1"/>
  <c r="Q40" i="41" s="1"/>
  <c r="R40" i="41" s="1"/>
  <c r="S40" i="41" s="1"/>
  <c r="T40" i="41" s="1"/>
  <c r="U40" i="41" s="1"/>
  <c r="V40" i="41" s="1"/>
  <c r="W40" i="41" s="1"/>
  <c r="X40" i="41" s="1"/>
  <c r="Y40" i="41" s="1"/>
  <c r="Z40" i="41" s="1"/>
  <c r="AA40" i="41" s="1"/>
  <c r="AB40" i="41" s="1"/>
  <c r="AC40" i="41" s="1"/>
  <c r="AD40" i="41" s="1"/>
  <c r="AE40" i="41" s="1"/>
  <c r="AF40" i="41" s="1"/>
  <c r="AG40" i="41" s="1"/>
  <c r="AH40" i="41" s="1"/>
  <c r="E5" i="41"/>
  <c r="E38" i="41" s="1"/>
  <c r="F38" i="41" s="1"/>
  <c r="G38" i="41" s="1"/>
  <c r="H38" i="41" s="1"/>
  <c r="I38" i="41" s="1"/>
  <c r="J38" i="41" s="1"/>
  <c r="K38" i="41" s="1"/>
  <c r="L38" i="41" s="1"/>
  <c r="M38" i="41" s="1"/>
  <c r="N38" i="41" s="1"/>
  <c r="O38" i="41" s="1"/>
  <c r="P38" i="41" s="1"/>
  <c r="Q38" i="41" s="1"/>
  <c r="R38" i="41" s="1"/>
  <c r="S38" i="41" s="1"/>
  <c r="T38" i="41" s="1"/>
  <c r="U38" i="41" s="1"/>
  <c r="V38" i="41" s="1"/>
  <c r="W38" i="41" s="1"/>
  <c r="X38" i="41" s="1"/>
  <c r="Y38" i="41" s="1"/>
  <c r="Z38" i="41" s="1"/>
  <c r="AA38" i="41" s="1"/>
  <c r="AB38" i="41" s="1"/>
  <c r="AC38" i="41" s="1"/>
  <c r="AD38" i="41" s="1"/>
  <c r="AE38" i="41" s="1"/>
  <c r="AF38" i="41" s="1"/>
  <c r="AG38" i="41" s="1"/>
  <c r="AH38" i="41" s="1"/>
  <c r="E9" i="41"/>
  <c r="E51" i="41" s="1"/>
  <c r="D15" i="41"/>
  <c r="E60" i="41" s="1"/>
  <c r="F60" i="41" s="1"/>
  <c r="G60" i="41" s="1"/>
  <c r="H60" i="41" s="1"/>
  <c r="I60" i="41" s="1"/>
  <c r="J60" i="41" s="1"/>
  <c r="K60" i="41" s="1"/>
  <c r="L60" i="41" s="1"/>
  <c r="M60" i="41" s="1"/>
  <c r="N60" i="41" s="1"/>
  <c r="O60" i="41" s="1"/>
  <c r="P60" i="41" s="1"/>
  <c r="Q60" i="41" s="1"/>
  <c r="R60" i="41" s="1"/>
  <c r="S60" i="41" s="1"/>
  <c r="T60" i="41" s="1"/>
  <c r="U60" i="41" s="1"/>
  <c r="V60" i="41" s="1"/>
  <c r="W60" i="41" s="1"/>
  <c r="X60" i="41" s="1"/>
  <c r="Y60" i="41" s="1"/>
  <c r="Z60" i="41" s="1"/>
  <c r="AA60" i="41" s="1"/>
  <c r="AB60" i="41" s="1"/>
  <c r="AC60" i="41" s="1"/>
  <c r="AD60" i="41" s="1"/>
  <c r="AE60" i="41" s="1"/>
  <c r="AF60" i="41" s="1"/>
  <c r="AG60" i="41" s="1"/>
  <c r="AH60" i="41" s="1"/>
  <c r="D33" i="47"/>
  <c r="E92" i="47" s="1"/>
  <c r="F92" i="47" s="1"/>
  <c r="G92" i="47" s="1"/>
  <c r="H92" i="47" s="1"/>
  <c r="I92" i="47" s="1"/>
  <c r="J92" i="47" s="1"/>
  <c r="K92" i="47" s="1"/>
  <c r="L92" i="47" s="1"/>
  <c r="M92" i="47" s="1"/>
  <c r="N92" i="47" s="1"/>
  <c r="O92" i="47" s="1"/>
  <c r="P92" i="47" s="1"/>
  <c r="Q92" i="47" s="1"/>
  <c r="R92" i="47" s="1"/>
  <c r="S92" i="47" s="1"/>
  <c r="T92" i="47" s="1"/>
  <c r="U92" i="47" s="1"/>
  <c r="V92" i="47" s="1"/>
  <c r="W92" i="47" s="1"/>
  <c r="X92" i="47" s="1"/>
  <c r="Y92" i="47" s="1"/>
  <c r="Z92" i="47" s="1"/>
  <c r="AA92" i="47" s="1"/>
  <c r="AB92" i="47" s="1"/>
  <c r="AC92" i="47" s="1"/>
  <c r="AD92" i="47" s="1"/>
  <c r="AE92" i="47" s="1"/>
  <c r="AF92" i="47" s="1"/>
  <c r="AG92" i="47" s="1"/>
  <c r="AH92" i="47" s="1"/>
  <c r="E25" i="54"/>
  <c r="H4" i="41"/>
  <c r="E46" i="41" s="1"/>
  <c r="F46" i="41" s="1"/>
  <c r="G46" i="41" s="1"/>
  <c r="H46" i="41" s="1"/>
  <c r="I46" i="41" s="1"/>
  <c r="J46" i="41" s="1"/>
  <c r="K46" i="41" s="1"/>
  <c r="L46" i="41" s="1"/>
  <c r="M46" i="41" s="1"/>
  <c r="N46" i="41" s="1"/>
  <c r="O46" i="41" s="1"/>
  <c r="P46" i="41" s="1"/>
  <c r="Q46" i="41" s="1"/>
  <c r="R46" i="41" s="1"/>
  <c r="S46" i="41" s="1"/>
  <c r="T46" i="41" s="1"/>
  <c r="U46" i="41" s="1"/>
  <c r="V46" i="41" s="1"/>
  <c r="W46" i="41" s="1"/>
  <c r="X46" i="41" s="1"/>
  <c r="Y46" i="41" s="1"/>
  <c r="Z46" i="41" s="1"/>
  <c r="AA46" i="41" s="1"/>
  <c r="AB46" i="41" s="1"/>
  <c r="AC46" i="41" s="1"/>
  <c r="AD46" i="41" s="1"/>
  <c r="AE46" i="41" s="1"/>
  <c r="AF46" i="41" s="1"/>
  <c r="AG46" i="41" s="1"/>
  <c r="AH46" i="41" s="1"/>
  <c r="F5" i="41"/>
  <c r="E41" i="41" s="1"/>
  <c r="F41" i="41" s="1"/>
  <c r="G41" i="41" s="1"/>
  <c r="H41" i="41" s="1"/>
  <c r="I41" i="41" s="1"/>
  <c r="J41" i="41" s="1"/>
  <c r="K41" i="41" s="1"/>
  <c r="L41" i="41" s="1"/>
  <c r="M41" i="41" s="1"/>
  <c r="N41" i="41" s="1"/>
  <c r="O41" i="41" s="1"/>
  <c r="P41" i="41" s="1"/>
  <c r="Q41" i="41" s="1"/>
  <c r="R41" i="41" s="1"/>
  <c r="S41" i="41" s="1"/>
  <c r="T41" i="41" s="1"/>
  <c r="U41" i="41" s="1"/>
  <c r="V41" i="41" s="1"/>
  <c r="W41" i="41" s="1"/>
  <c r="X41" i="41" s="1"/>
  <c r="Y41" i="41" s="1"/>
  <c r="Z41" i="41" s="1"/>
  <c r="AA41" i="41" s="1"/>
  <c r="AB41" i="41" s="1"/>
  <c r="AC41" i="41" s="1"/>
  <c r="AD41" i="41" s="1"/>
  <c r="AE41" i="41" s="1"/>
  <c r="AF41" i="41" s="1"/>
  <c r="AG41" i="41" s="1"/>
  <c r="AH41" i="41" s="1"/>
  <c r="F17" i="41"/>
  <c r="E68" i="41" s="1"/>
  <c r="F68" i="41" s="1"/>
  <c r="G68" i="41" s="1"/>
  <c r="H68" i="41" s="1"/>
  <c r="I68" i="41" s="1"/>
  <c r="J68" i="41" s="1"/>
  <c r="K68" i="41" s="1"/>
  <c r="L68" i="41" s="1"/>
  <c r="M68" i="41" s="1"/>
  <c r="N68" i="41" s="1"/>
  <c r="O68" i="41" s="1"/>
  <c r="P68" i="41" s="1"/>
  <c r="Q68" i="41" s="1"/>
  <c r="R68" i="41" s="1"/>
  <c r="S68" i="41" s="1"/>
  <c r="T68" i="41" s="1"/>
  <c r="U68" i="41" s="1"/>
  <c r="V68" i="41" s="1"/>
  <c r="W68" i="41" s="1"/>
  <c r="X68" i="41" s="1"/>
  <c r="Y68" i="41" s="1"/>
  <c r="Z68" i="41" s="1"/>
  <c r="AA68" i="41" s="1"/>
  <c r="AB68" i="41" s="1"/>
  <c r="AC68" i="41" s="1"/>
  <c r="AD68" i="41" s="1"/>
  <c r="AE68" i="41" s="1"/>
  <c r="AF68" i="41" s="1"/>
  <c r="AG68" i="41" s="1"/>
  <c r="AH68" i="41" s="1"/>
  <c r="D32" i="47"/>
  <c r="E91" i="47" s="1"/>
  <c r="F91" i="47" s="1"/>
  <c r="G91" i="47" s="1"/>
  <c r="H91" i="47" s="1"/>
  <c r="I91" i="47" s="1"/>
  <c r="J91" i="47" s="1"/>
  <c r="K91" i="47" s="1"/>
  <c r="L91" i="47" s="1"/>
  <c r="M91" i="47" s="1"/>
  <c r="N91" i="47" s="1"/>
  <c r="O91" i="47" s="1"/>
  <c r="P91" i="47" s="1"/>
  <c r="Q91" i="47" s="1"/>
  <c r="R91" i="47" s="1"/>
  <c r="S91" i="47" s="1"/>
  <c r="T91" i="47" s="1"/>
  <c r="U91" i="47" s="1"/>
  <c r="V91" i="47" s="1"/>
  <c r="W91" i="47" s="1"/>
  <c r="X91" i="47" s="1"/>
  <c r="Y91" i="47" s="1"/>
  <c r="Z91" i="47" s="1"/>
  <c r="AA91" i="47" s="1"/>
  <c r="AB91" i="47" s="1"/>
  <c r="AC91" i="47" s="1"/>
  <c r="AD91" i="47" s="1"/>
  <c r="AE91" i="47" s="1"/>
  <c r="AF91" i="47" s="1"/>
  <c r="AG91" i="47" s="1"/>
  <c r="AH91" i="47" s="1"/>
  <c r="W5" i="50"/>
  <c r="K4" i="51"/>
  <c r="AG63" i="53"/>
  <c r="AG65" i="53" s="1"/>
  <c r="AG63" i="54"/>
  <c r="AG130" i="53"/>
  <c r="AG130" i="54"/>
  <c r="D130" i="54" s="1"/>
  <c r="E130" i="54" s="1"/>
  <c r="F130" i="54" s="1"/>
  <c r="G130" i="54" s="1"/>
  <c r="H130" i="54" s="1"/>
  <c r="I130" i="54" s="1"/>
  <c r="J130" i="54" s="1"/>
  <c r="K130" i="54" s="1"/>
  <c r="L130" i="54" s="1"/>
  <c r="M130" i="54" s="1"/>
  <c r="N130" i="54" s="1"/>
  <c r="O130" i="54" s="1"/>
  <c r="P130" i="54" s="1"/>
  <c r="Q130" i="54" s="1"/>
  <c r="R130" i="54" s="1"/>
  <c r="S130" i="54" s="1"/>
  <c r="T130" i="54" s="1"/>
  <c r="U130" i="54" s="1"/>
  <c r="V130" i="54" s="1"/>
  <c r="W130" i="54" s="1"/>
  <c r="X130" i="54" s="1"/>
  <c r="Y130" i="54" s="1"/>
  <c r="Z130" i="54" s="1"/>
  <c r="AA130" i="54" s="1"/>
  <c r="AB130" i="54" s="1"/>
  <c r="AC130" i="54" s="1"/>
  <c r="AD130" i="54" s="1"/>
  <c r="AE130" i="54" s="1"/>
  <c r="AF130" i="54" s="1"/>
  <c r="AG156" i="53"/>
  <c r="AG157" i="53" s="1"/>
  <c r="AG156" i="54"/>
  <c r="AG157" i="54" s="1"/>
  <c r="I51" i="45"/>
  <c r="I92" i="45" s="1"/>
  <c r="C132" i="54"/>
  <c r="C131" i="54"/>
  <c r="AG260" i="48"/>
  <c r="AG261" i="48" s="1"/>
  <c r="C64" i="54"/>
  <c r="C70" i="54"/>
  <c r="C65" i="54"/>
  <c r="C67" i="54"/>
  <c r="C68" i="54"/>
  <c r="C69" i="54"/>
  <c r="C76" i="54" s="1"/>
  <c r="C77" i="54" s="1"/>
  <c r="D63" i="54"/>
  <c r="J71" i="33"/>
  <c r="J70" i="33"/>
  <c r="J68" i="33"/>
  <c r="C157" i="54"/>
  <c r="AG243" i="48"/>
  <c r="AG244" i="48" s="1"/>
  <c r="AG202" i="48"/>
  <c r="C67" i="46"/>
  <c r="G13" i="47"/>
  <c r="E73" i="47" s="1"/>
  <c r="G10" i="47"/>
  <c r="E70" i="47" s="1"/>
  <c r="AG139" i="46"/>
  <c r="AG204" i="46" s="1"/>
  <c r="E17" i="47"/>
  <c r="E78" i="47" s="1"/>
  <c r="AG243" i="46"/>
  <c r="AG244" i="46" s="1"/>
  <c r="AG202" i="46"/>
  <c r="D202" i="46" s="1"/>
  <c r="E202" i="46" s="1"/>
  <c r="F202" i="46" s="1"/>
  <c r="G202" i="46" s="1"/>
  <c r="H202" i="46" s="1"/>
  <c r="I202" i="46" s="1"/>
  <c r="J202" i="46" s="1"/>
  <c r="K202" i="46" s="1"/>
  <c r="L202" i="46" s="1"/>
  <c r="M202" i="46" s="1"/>
  <c r="N202" i="46" s="1"/>
  <c r="O202" i="46" s="1"/>
  <c r="P202" i="46" s="1"/>
  <c r="Q202" i="46" s="1"/>
  <c r="R202" i="46" s="1"/>
  <c r="S202" i="46" s="1"/>
  <c r="T202" i="46" s="1"/>
  <c r="U202" i="46" s="1"/>
  <c r="V202" i="46" s="1"/>
  <c r="W202" i="46" s="1"/>
  <c r="X202" i="46" s="1"/>
  <c r="Y202" i="46" s="1"/>
  <c r="Z202" i="46" s="1"/>
  <c r="AA202" i="46" s="1"/>
  <c r="AB202" i="46" s="1"/>
  <c r="AC202" i="46" s="1"/>
  <c r="AD202" i="46" s="1"/>
  <c r="AE202" i="46" s="1"/>
  <c r="AF202" i="46" s="1"/>
  <c r="AG260" i="46"/>
  <c r="AG261" i="46" s="1"/>
  <c r="D25" i="47"/>
  <c r="E87" i="47" s="1"/>
  <c r="F87" i="47" s="1"/>
  <c r="G87" i="47" s="1"/>
  <c r="H87" i="47" s="1"/>
  <c r="I87" i="47" s="1"/>
  <c r="J87" i="47" s="1"/>
  <c r="K87" i="47" s="1"/>
  <c r="L87" i="47" s="1"/>
  <c r="M87" i="47" s="1"/>
  <c r="N87" i="47" s="1"/>
  <c r="O87" i="47" s="1"/>
  <c r="P87" i="47" s="1"/>
  <c r="Q87" i="47" s="1"/>
  <c r="R87" i="47" s="1"/>
  <c r="S87" i="47" s="1"/>
  <c r="T87" i="47" s="1"/>
  <c r="U87" i="47" s="1"/>
  <c r="V87" i="47" s="1"/>
  <c r="W87" i="47" s="1"/>
  <c r="X87" i="47" s="1"/>
  <c r="Y87" i="47" s="1"/>
  <c r="Z87" i="47" s="1"/>
  <c r="AA87" i="47" s="1"/>
  <c r="AB87" i="47" s="1"/>
  <c r="AC87" i="47" s="1"/>
  <c r="AD87" i="47" s="1"/>
  <c r="AE87" i="47" s="1"/>
  <c r="AF87" i="47" s="1"/>
  <c r="AG87" i="47" s="1"/>
  <c r="AH87" i="47" s="1"/>
  <c r="D26" i="47"/>
  <c r="E88" i="47" s="1"/>
  <c r="F88" i="47" s="1"/>
  <c r="G88" i="47" s="1"/>
  <c r="H88" i="47" s="1"/>
  <c r="I88" i="47" s="1"/>
  <c r="J88" i="47" s="1"/>
  <c r="K88" i="47" s="1"/>
  <c r="L88" i="47" s="1"/>
  <c r="M88" i="47" s="1"/>
  <c r="N88" i="47" s="1"/>
  <c r="O88" i="47" s="1"/>
  <c r="P88" i="47" s="1"/>
  <c r="Q88" i="47" s="1"/>
  <c r="R88" i="47" s="1"/>
  <c r="S88" i="47" s="1"/>
  <c r="T88" i="47" s="1"/>
  <c r="U88" i="47" s="1"/>
  <c r="V88" i="47" s="1"/>
  <c r="W88" i="47" s="1"/>
  <c r="X88" i="47" s="1"/>
  <c r="Y88" i="47" s="1"/>
  <c r="Z88" i="47" s="1"/>
  <c r="AA88" i="47" s="1"/>
  <c r="AB88" i="47" s="1"/>
  <c r="AC88" i="47" s="1"/>
  <c r="AD88" i="47" s="1"/>
  <c r="AE88" i="47" s="1"/>
  <c r="AF88" i="47" s="1"/>
  <c r="AG88" i="47" s="1"/>
  <c r="AH88" i="47" s="1"/>
  <c r="D10" i="47"/>
  <c r="D130" i="53"/>
  <c r="E130" i="53" s="1"/>
  <c r="F130" i="53" s="1"/>
  <c r="G130" i="53" s="1"/>
  <c r="H130" i="53" s="1"/>
  <c r="I130" i="53" s="1"/>
  <c r="J130" i="53" s="1"/>
  <c r="K130" i="53" s="1"/>
  <c r="L130" i="53" s="1"/>
  <c r="M130" i="53" s="1"/>
  <c r="N130" i="53" s="1"/>
  <c r="O130" i="53" s="1"/>
  <c r="P130" i="53" s="1"/>
  <c r="Q130" i="53" s="1"/>
  <c r="R130" i="53" s="1"/>
  <c r="S130" i="53" s="1"/>
  <c r="T130" i="53" s="1"/>
  <c r="U130" i="53" s="1"/>
  <c r="V130" i="53" s="1"/>
  <c r="W130" i="53" s="1"/>
  <c r="X130" i="53" s="1"/>
  <c r="Y130" i="53" s="1"/>
  <c r="Z130" i="53" s="1"/>
  <c r="AA130" i="53" s="1"/>
  <c r="AB130" i="53" s="1"/>
  <c r="AC130" i="53" s="1"/>
  <c r="AD130" i="53" s="1"/>
  <c r="AE130" i="53" s="1"/>
  <c r="AF130" i="53" s="1"/>
  <c r="C131" i="53"/>
  <c r="C132" i="53"/>
  <c r="C148" i="53"/>
  <c r="D147" i="53"/>
  <c r="F20" i="47"/>
  <c r="E85" i="47" s="1"/>
  <c r="F85" i="47" s="1"/>
  <c r="G85" i="47" s="1"/>
  <c r="H85" i="47" s="1"/>
  <c r="I85" i="47" s="1"/>
  <c r="J85" i="47" s="1"/>
  <c r="K85" i="47" s="1"/>
  <c r="L85" i="47" s="1"/>
  <c r="M85" i="47" s="1"/>
  <c r="N85" i="47" s="1"/>
  <c r="O85" i="47" s="1"/>
  <c r="P85" i="47" s="1"/>
  <c r="Q85" i="47" s="1"/>
  <c r="R85" i="47" s="1"/>
  <c r="S85" i="47" s="1"/>
  <c r="T85" i="47" s="1"/>
  <c r="U85" i="47" s="1"/>
  <c r="V85" i="47" s="1"/>
  <c r="W85" i="47" s="1"/>
  <c r="X85" i="47" s="1"/>
  <c r="Y85" i="47" s="1"/>
  <c r="Z85" i="47" s="1"/>
  <c r="AA85" i="47" s="1"/>
  <c r="AB85" i="47" s="1"/>
  <c r="AC85" i="47" s="1"/>
  <c r="AD85" i="47" s="1"/>
  <c r="AE85" i="47" s="1"/>
  <c r="AF85" i="47" s="1"/>
  <c r="AG85" i="47" s="1"/>
  <c r="AH85" i="47" s="1"/>
  <c r="C157" i="53"/>
  <c r="E13" i="47"/>
  <c r="E65" i="47" s="1"/>
  <c r="F65" i="47" s="1"/>
  <c r="G65" i="47" s="1"/>
  <c r="H65" i="47" s="1"/>
  <c r="I65" i="47" s="1"/>
  <c r="J65" i="47" s="1"/>
  <c r="K65" i="47" s="1"/>
  <c r="L65" i="47" s="1"/>
  <c r="M65" i="47" s="1"/>
  <c r="N65" i="47" s="1"/>
  <c r="O65" i="47" s="1"/>
  <c r="P65" i="47" s="1"/>
  <c r="Q65" i="47" s="1"/>
  <c r="R65" i="47" s="1"/>
  <c r="S65" i="47" s="1"/>
  <c r="T65" i="47" s="1"/>
  <c r="U65" i="47" s="1"/>
  <c r="V65" i="47" s="1"/>
  <c r="W65" i="47" s="1"/>
  <c r="X65" i="47" s="1"/>
  <c r="Y65" i="47" s="1"/>
  <c r="Z65" i="47" s="1"/>
  <c r="AA65" i="47" s="1"/>
  <c r="AB65" i="47" s="1"/>
  <c r="AC65" i="47" s="1"/>
  <c r="AD65" i="47" s="1"/>
  <c r="AE65" i="47" s="1"/>
  <c r="AF65" i="47" s="1"/>
  <c r="AG65" i="47" s="1"/>
  <c r="AH65" i="47" s="1"/>
  <c r="AG69" i="53"/>
  <c r="AG76" i="53" s="1"/>
  <c r="AG68" i="53"/>
  <c r="AG64" i="53"/>
  <c r="AG70" i="53"/>
  <c r="AG67" i="53"/>
  <c r="C69" i="53"/>
  <c r="C76" i="53" s="1"/>
  <c r="C65" i="53"/>
  <c r="C68" i="53"/>
  <c r="C70" i="53"/>
  <c r="C64" i="53"/>
  <c r="D63" i="53"/>
  <c r="C67" i="53"/>
  <c r="BI70" i="36"/>
  <c r="F13" i="47"/>
  <c r="E69" i="47" s="1"/>
  <c r="F69" i="47" s="1"/>
  <c r="G69" i="47" s="1"/>
  <c r="H69" i="47" s="1"/>
  <c r="I69" i="47" s="1"/>
  <c r="J69" i="47" s="1"/>
  <c r="K69" i="47" s="1"/>
  <c r="L69" i="47" s="1"/>
  <c r="M69" i="47" s="1"/>
  <c r="N69" i="47" s="1"/>
  <c r="O69" i="47" s="1"/>
  <c r="P69" i="47" s="1"/>
  <c r="Q69" i="47" s="1"/>
  <c r="R69" i="47" s="1"/>
  <c r="S69" i="47" s="1"/>
  <c r="T69" i="47" s="1"/>
  <c r="U69" i="47" s="1"/>
  <c r="V69" i="47" s="1"/>
  <c r="W69" i="47" s="1"/>
  <c r="X69" i="47" s="1"/>
  <c r="Y69" i="47" s="1"/>
  <c r="Z69" i="47" s="1"/>
  <c r="AA69" i="47" s="1"/>
  <c r="AB69" i="47" s="1"/>
  <c r="AC69" i="47" s="1"/>
  <c r="AD69" i="47" s="1"/>
  <c r="AE69" i="47" s="1"/>
  <c r="AF69" i="47" s="1"/>
  <c r="AG69" i="47" s="1"/>
  <c r="AH69" i="47" s="1"/>
  <c r="C100" i="53"/>
  <c r="C101" i="53"/>
  <c r="AG100" i="53"/>
  <c r="AG131" i="53"/>
  <c r="AG101" i="53"/>
  <c r="AG132" i="53"/>
  <c r="F25" i="53"/>
  <c r="F22" i="53"/>
  <c r="F21" i="53"/>
  <c r="G24" i="53"/>
  <c r="F23" i="53"/>
  <c r="Y3" i="50"/>
  <c r="M6" i="52" s="1"/>
  <c r="G13" i="3"/>
  <c r="D20" i="47"/>
  <c r="E77" i="47" s="1"/>
  <c r="F77" i="47" s="1"/>
  <c r="G77" i="47" s="1"/>
  <c r="H77" i="47" s="1"/>
  <c r="I77" i="47" s="1"/>
  <c r="J77" i="47" s="1"/>
  <c r="K77" i="47" s="1"/>
  <c r="L77" i="47" s="1"/>
  <c r="M77" i="47" s="1"/>
  <c r="N77" i="47" s="1"/>
  <c r="O77" i="47" s="1"/>
  <c r="P77" i="47" s="1"/>
  <c r="Q77" i="47" s="1"/>
  <c r="R77" i="47" s="1"/>
  <c r="S77" i="47" s="1"/>
  <c r="T77" i="47" s="1"/>
  <c r="U77" i="47" s="1"/>
  <c r="V77" i="47" s="1"/>
  <c r="W77" i="47" s="1"/>
  <c r="X77" i="47" s="1"/>
  <c r="Y77" i="47" s="1"/>
  <c r="Z77" i="47" s="1"/>
  <c r="AA77" i="47" s="1"/>
  <c r="AB77" i="47" s="1"/>
  <c r="AC77" i="47" s="1"/>
  <c r="AD77" i="47" s="1"/>
  <c r="AE77" i="47" s="1"/>
  <c r="AF77" i="47" s="1"/>
  <c r="AG77" i="47" s="1"/>
  <c r="AH77" i="47" s="1"/>
  <c r="D18" i="47"/>
  <c r="E75" i="47" s="1"/>
  <c r="F75" i="47" s="1"/>
  <c r="G75" i="47" s="1"/>
  <c r="H75" i="47" s="1"/>
  <c r="I75" i="47" s="1"/>
  <c r="J75" i="47" s="1"/>
  <c r="K75" i="47" s="1"/>
  <c r="L75" i="47" s="1"/>
  <c r="M75" i="47" s="1"/>
  <c r="N75" i="47" s="1"/>
  <c r="O75" i="47" s="1"/>
  <c r="P75" i="47" s="1"/>
  <c r="Q75" i="47" s="1"/>
  <c r="R75" i="47" s="1"/>
  <c r="S75" i="47" s="1"/>
  <c r="T75" i="47" s="1"/>
  <c r="U75" i="47" s="1"/>
  <c r="V75" i="47" s="1"/>
  <c r="W75" i="47" s="1"/>
  <c r="X75" i="47" s="1"/>
  <c r="Y75" i="47" s="1"/>
  <c r="Z75" i="47" s="1"/>
  <c r="AA75" i="47" s="1"/>
  <c r="AB75" i="47" s="1"/>
  <c r="AC75" i="47" s="1"/>
  <c r="AD75" i="47" s="1"/>
  <c r="AE75" i="47" s="1"/>
  <c r="AF75" i="47" s="1"/>
  <c r="AG75" i="47" s="1"/>
  <c r="AH75" i="47" s="1"/>
  <c r="C140" i="46"/>
  <c r="C142" i="46" s="1"/>
  <c r="C65" i="46"/>
  <c r="C66" i="46" s="1"/>
  <c r="F17" i="47"/>
  <c r="E82" i="47" s="1"/>
  <c r="D13" i="47"/>
  <c r="E61" i="47" s="1"/>
  <c r="F61" i="47" s="1"/>
  <c r="G61" i="47" s="1"/>
  <c r="H61" i="47" s="1"/>
  <c r="I61" i="47" s="1"/>
  <c r="J61" i="47" s="1"/>
  <c r="K61" i="47" s="1"/>
  <c r="L61" i="47" s="1"/>
  <c r="M61" i="47" s="1"/>
  <c r="N61" i="47" s="1"/>
  <c r="O61" i="47" s="1"/>
  <c r="P61" i="47" s="1"/>
  <c r="Q61" i="47" s="1"/>
  <c r="R61" i="47" s="1"/>
  <c r="S61" i="47" s="1"/>
  <c r="T61" i="47" s="1"/>
  <c r="U61" i="47" s="1"/>
  <c r="V61" i="47" s="1"/>
  <c r="W61" i="47" s="1"/>
  <c r="X61" i="47" s="1"/>
  <c r="Y61" i="47" s="1"/>
  <c r="Z61" i="47" s="1"/>
  <c r="AA61" i="47" s="1"/>
  <c r="AB61" i="47" s="1"/>
  <c r="AC61" i="47" s="1"/>
  <c r="AD61" i="47" s="1"/>
  <c r="AE61" i="47" s="1"/>
  <c r="AF61" i="47" s="1"/>
  <c r="AG61" i="47" s="1"/>
  <c r="AH61" i="47" s="1"/>
  <c r="D27" i="47"/>
  <c r="E89" i="47" s="1"/>
  <c r="F89" i="47" s="1"/>
  <c r="G89" i="47" s="1"/>
  <c r="H89" i="47" s="1"/>
  <c r="I89" i="47" s="1"/>
  <c r="J89" i="47" s="1"/>
  <c r="K89" i="47" s="1"/>
  <c r="L89" i="47" s="1"/>
  <c r="M89" i="47" s="1"/>
  <c r="N89" i="47" s="1"/>
  <c r="O89" i="47" s="1"/>
  <c r="P89" i="47" s="1"/>
  <c r="Q89" i="47" s="1"/>
  <c r="R89" i="47" s="1"/>
  <c r="S89" i="47" s="1"/>
  <c r="T89" i="47" s="1"/>
  <c r="U89" i="47" s="1"/>
  <c r="V89" i="47" s="1"/>
  <c r="W89" i="47" s="1"/>
  <c r="X89" i="47" s="1"/>
  <c r="Y89" i="47" s="1"/>
  <c r="Z89" i="47" s="1"/>
  <c r="AA89" i="47" s="1"/>
  <c r="AB89" i="47" s="1"/>
  <c r="AC89" i="47" s="1"/>
  <c r="AD89" i="47" s="1"/>
  <c r="E46" i="47"/>
  <c r="H3" i="47"/>
  <c r="G4" i="47"/>
  <c r="E51" i="47" s="1"/>
  <c r="H4" i="47"/>
  <c r="E55" i="47" s="1"/>
  <c r="D4" i="47"/>
  <c r="E39" i="47" s="1"/>
  <c r="F39" i="47" s="1"/>
  <c r="G39" i="47" s="1"/>
  <c r="H39" i="47" s="1"/>
  <c r="I39" i="47" s="1"/>
  <c r="J39" i="47" s="1"/>
  <c r="K39" i="47" s="1"/>
  <c r="L39" i="47" s="1"/>
  <c r="M39" i="47" s="1"/>
  <c r="N39" i="47" s="1"/>
  <c r="O39" i="47" s="1"/>
  <c r="P39" i="47" s="1"/>
  <c r="Q39" i="47" s="1"/>
  <c r="R39" i="47" s="1"/>
  <c r="S39" i="47" s="1"/>
  <c r="T39" i="47" s="1"/>
  <c r="U39" i="47" s="1"/>
  <c r="V39" i="47" s="1"/>
  <c r="W39" i="47" s="1"/>
  <c r="X39" i="47" s="1"/>
  <c r="Y39" i="47" s="1"/>
  <c r="Z39" i="47" s="1"/>
  <c r="AA39" i="47" s="1"/>
  <c r="AB39" i="47" s="1"/>
  <c r="AC39" i="47" s="1"/>
  <c r="AD39" i="47" s="1"/>
  <c r="AE39" i="47" s="1"/>
  <c r="AF39" i="47" s="1"/>
  <c r="AG39" i="47" s="1"/>
  <c r="AH39" i="47" s="1"/>
  <c r="F4" i="47"/>
  <c r="E47" i="47" s="1"/>
  <c r="E4" i="47"/>
  <c r="E43" i="47" s="1"/>
  <c r="F73" i="47"/>
  <c r="G73" i="47" s="1"/>
  <c r="H73" i="47" s="1"/>
  <c r="I73" i="47" s="1"/>
  <c r="J73" i="47" s="1"/>
  <c r="K73" i="47" s="1"/>
  <c r="L73" i="47" s="1"/>
  <c r="M73" i="47" s="1"/>
  <c r="N73" i="47" s="1"/>
  <c r="O73" i="47" s="1"/>
  <c r="P73" i="47" s="1"/>
  <c r="Q73" i="47" s="1"/>
  <c r="R73" i="47" s="1"/>
  <c r="S73" i="47" s="1"/>
  <c r="T73" i="47" s="1"/>
  <c r="U73" i="47" s="1"/>
  <c r="V73" i="47" s="1"/>
  <c r="W73" i="47" s="1"/>
  <c r="X73" i="47" s="1"/>
  <c r="Y73" i="47" s="1"/>
  <c r="Z73" i="47" s="1"/>
  <c r="AA73" i="47" s="1"/>
  <c r="AB73" i="47" s="1"/>
  <c r="AC73" i="47" s="1"/>
  <c r="AD73" i="47" s="1"/>
  <c r="AE73" i="47" s="1"/>
  <c r="AF73" i="47" s="1"/>
  <c r="AG73" i="47" s="1"/>
  <c r="AH73" i="47" s="1"/>
  <c r="D5" i="47"/>
  <c r="E40" i="47" s="1"/>
  <c r="F40" i="47" s="1"/>
  <c r="G40" i="47" s="1"/>
  <c r="H40" i="47" s="1"/>
  <c r="I40" i="47" s="1"/>
  <c r="J40" i="47" s="1"/>
  <c r="K40" i="47" s="1"/>
  <c r="L40" i="47" s="1"/>
  <c r="M40" i="47" s="1"/>
  <c r="N40" i="47" s="1"/>
  <c r="O40" i="47" s="1"/>
  <c r="P40" i="47" s="1"/>
  <c r="Q40" i="47" s="1"/>
  <c r="R40" i="47" s="1"/>
  <c r="S40" i="47" s="1"/>
  <c r="T40" i="47" s="1"/>
  <c r="U40" i="47" s="1"/>
  <c r="V40" i="47" s="1"/>
  <c r="W40" i="47" s="1"/>
  <c r="X40" i="47" s="1"/>
  <c r="Y40" i="47" s="1"/>
  <c r="Z40" i="47" s="1"/>
  <c r="AA40" i="47" s="1"/>
  <c r="AB40" i="47" s="1"/>
  <c r="AC40" i="47" s="1"/>
  <c r="AD40" i="47" s="1"/>
  <c r="AE40" i="47" s="1"/>
  <c r="AF40" i="47" s="1"/>
  <c r="AG40" i="47" s="1"/>
  <c r="AH40" i="47" s="1"/>
  <c r="E5" i="47"/>
  <c r="E44" i="47" s="1"/>
  <c r="D6" i="47"/>
  <c r="E41" i="47" s="1"/>
  <c r="F41" i="47" s="1"/>
  <c r="G41" i="47" s="1"/>
  <c r="H41" i="47" s="1"/>
  <c r="I41" i="47" s="1"/>
  <c r="J41" i="47" s="1"/>
  <c r="K41" i="47" s="1"/>
  <c r="L41" i="47" s="1"/>
  <c r="M41" i="47" s="1"/>
  <c r="N41" i="47" s="1"/>
  <c r="O41" i="47" s="1"/>
  <c r="P41" i="47" s="1"/>
  <c r="Q41" i="47" s="1"/>
  <c r="R41" i="47" s="1"/>
  <c r="S41" i="47" s="1"/>
  <c r="T41" i="47" s="1"/>
  <c r="U41" i="47" s="1"/>
  <c r="V41" i="47" s="1"/>
  <c r="W41" i="47" s="1"/>
  <c r="X41" i="47" s="1"/>
  <c r="Y41" i="47" s="1"/>
  <c r="Z41" i="47" s="1"/>
  <c r="AA41" i="47" s="1"/>
  <c r="AB41" i="47" s="1"/>
  <c r="AC41" i="47" s="1"/>
  <c r="AD41" i="47" s="1"/>
  <c r="AE41" i="47" s="1"/>
  <c r="AF41" i="47" s="1"/>
  <c r="AG41" i="47" s="1"/>
  <c r="AH41" i="47" s="1"/>
  <c r="D3" i="47"/>
  <c r="E58" i="47"/>
  <c r="H5" i="47"/>
  <c r="E56" i="47" s="1"/>
  <c r="H6" i="47"/>
  <c r="E57" i="47" s="1"/>
  <c r="D17" i="47"/>
  <c r="D19" i="47"/>
  <c r="E76" i="47" s="1"/>
  <c r="F19" i="47"/>
  <c r="E84" i="47" s="1"/>
  <c r="E19" i="47"/>
  <c r="E80" i="47" s="1"/>
  <c r="G3" i="47"/>
  <c r="E10" i="47"/>
  <c r="F11" i="47"/>
  <c r="E67" i="47" s="1"/>
  <c r="E12" i="47"/>
  <c r="E64" i="47" s="1"/>
  <c r="D11" i="47"/>
  <c r="E59" i="47" s="1"/>
  <c r="G12" i="47"/>
  <c r="E72" i="47" s="1"/>
  <c r="E11" i="47"/>
  <c r="E63" i="47" s="1"/>
  <c r="F12" i="47"/>
  <c r="E68" i="47" s="1"/>
  <c r="G11" i="47"/>
  <c r="E71" i="47" s="1"/>
  <c r="D12" i="47"/>
  <c r="E60" i="47" s="1"/>
  <c r="G5" i="47"/>
  <c r="E52" i="47" s="1"/>
  <c r="F6" i="47"/>
  <c r="E49" i="47" s="1"/>
  <c r="E18" i="47"/>
  <c r="E79" i="47" s="1"/>
  <c r="F93" i="47"/>
  <c r="G93" i="47" s="1"/>
  <c r="H93" i="47" s="1"/>
  <c r="I93" i="47" s="1"/>
  <c r="J93" i="47" s="1"/>
  <c r="K93" i="47" s="1"/>
  <c r="L93" i="47" s="1"/>
  <c r="M93" i="47" s="1"/>
  <c r="N93" i="47" s="1"/>
  <c r="O93" i="47" s="1"/>
  <c r="P93" i="47" s="1"/>
  <c r="Q93" i="47" s="1"/>
  <c r="R93" i="47" s="1"/>
  <c r="S93" i="47" s="1"/>
  <c r="T93" i="47" s="1"/>
  <c r="U93" i="47" s="1"/>
  <c r="V93" i="47" s="1"/>
  <c r="W93" i="47" s="1"/>
  <c r="X93" i="47" s="1"/>
  <c r="Y93" i="47" s="1"/>
  <c r="Z93" i="47" s="1"/>
  <c r="AA93" i="47" s="1"/>
  <c r="AB93" i="47" s="1"/>
  <c r="AC93" i="47" s="1"/>
  <c r="AD93" i="47" s="1"/>
  <c r="AE93" i="47" s="1"/>
  <c r="AF93" i="47" s="1"/>
  <c r="AG93" i="47" s="1"/>
  <c r="AH93" i="47" s="1"/>
  <c r="E3" i="47"/>
  <c r="F81" i="47"/>
  <c r="G81" i="47" s="1"/>
  <c r="H81" i="47" s="1"/>
  <c r="I81" i="47" s="1"/>
  <c r="J81" i="47" s="1"/>
  <c r="K81" i="47" s="1"/>
  <c r="L81" i="47" s="1"/>
  <c r="M81" i="47" s="1"/>
  <c r="N81" i="47" s="1"/>
  <c r="O81" i="47" s="1"/>
  <c r="P81" i="47" s="1"/>
  <c r="Q81" i="47" s="1"/>
  <c r="R81" i="47" s="1"/>
  <c r="S81" i="47" s="1"/>
  <c r="T81" i="47" s="1"/>
  <c r="U81" i="47" s="1"/>
  <c r="V81" i="47" s="1"/>
  <c r="W81" i="47" s="1"/>
  <c r="X81" i="47" s="1"/>
  <c r="Y81" i="47" s="1"/>
  <c r="Z81" i="47" s="1"/>
  <c r="AA81" i="47" s="1"/>
  <c r="AB81" i="47" s="1"/>
  <c r="AC81" i="47" s="1"/>
  <c r="AD81" i="47" s="1"/>
  <c r="AE81" i="47" s="1"/>
  <c r="AF81" i="47" s="1"/>
  <c r="AG81" i="47" s="1"/>
  <c r="AH81" i="47" s="1"/>
  <c r="E66" i="47"/>
  <c r="F90" i="47"/>
  <c r="G90" i="47" s="1"/>
  <c r="H90" i="47" s="1"/>
  <c r="I90" i="47" s="1"/>
  <c r="J90" i="47" s="1"/>
  <c r="K90" i="47" s="1"/>
  <c r="L90" i="47" s="1"/>
  <c r="M90" i="47" s="1"/>
  <c r="N90" i="47" s="1"/>
  <c r="O90" i="47" s="1"/>
  <c r="P90" i="47" s="1"/>
  <c r="Q90" i="47" s="1"/>
  <c r="R90" i="47" s="1"/>
  <c r="S90" i="47" s="1"/>
  <c r="T90" i="47" s="1"/>
  <c r="U90" i="47" s="1"/>
  <c r="V90" i="47" s="1"/>
  <c r="W90" i="47" s="1"/>
  <c r="X90" i="47" s="1"/>
  <c r="Y90" i="47" s="1"/>
  <c r="Z90" i="47" s="1"/>
  <c r="AA90" i="47" s="1"/>
  <c r="AB90" i="47" s="1"/>
  <c r="AC90" i="47" s="1"/>
  <c r="AD90" i="47" s="1"/>
  <c r="AE90" i="47" s="1"/>
  <c r="AF90" i="47" s="1"/>
  <c r="AG90" i="47" s="1"/>
  <c r="AH90" i="47" s="1"/>
  <c r="F5" i="47"/>
  <c r="E48" i="47" s="1"/>
  <c r="E6" i="47"/>
  <c r="E45" i="47" s="1"/>
  <c r="G6" i="47"/>
  <c r="E53" i="47" s="1"/>
  <c r="F18" i="47"/>
  <c r="E83" i="47" s="1"/>
  <c r="F86" i="47"/>
  <c r="G86" i="47" s="1"/>
  <c r="H86" i="47" s="1"/>
  <c r="I86" i="47" s="1"/>
  <c r="J86" i="47" s="1"/>
  <c r="K86" i="47" s="1"/>
  <c r="L86" i="47" s="1"/>
  <c r="M86" i="47" s="1"/>
  <c r="N86" i="47" s="1"/>
  <c r="O86" i="47" s="1"/>
  <c r="P86" i="47" s="1"/>
  <c r="Q86" i="47" s="1"/>
  <c r="R86" i="47" s="1"/>
  <c r="S86" i="47" s="1"/>
  <c r="T86" i="47" s="1"/>
  <c r="U86" i="47" s="1"/>
  <c r="V86" i="47" s="1"/>
  <c r="W86" i="47" s="1"/>
  <c r="X86" i="47" s="1"/>
  <c r="Y86" i="47" s="1"/>
  <c r="Z86" i="47" s="1"/>
  <c r="AA86" i="47" s="1"/>
  <c r="AB86" i="47" s="1"/>
  <c r="AC86" i="47" s="1"/>
  <c r="AD86" i="47" s="1"/>
  <c r="AE86" i="47" s="1"/>
  <c r="AF86" i="47" s="1"/>
  <c r="AG86" i="47" s="1"/>
  <c r="AH86" i="47" s="1"/>
  <c r="AC28" i="36"/>
  <c r="AG204" i="48"/>
  <c r="AG140" i="48"/>
  <c r="AG203" i="48"/>
  <c r="AG141" i="48"/>
  <c r="C203" i="46"/>
  <c r="AO52" i="45"/>
  <c r="AK18" i="45"/>
  <c r="AK20" i="45" s="1"/>
  <c r="AO51" i="45"/>
  <c r="AD70" i="36"/>
  <c r="I52" i="45"/>
  <c r="AO53" i="45"/>
  <c r="I53" i="45"/>
  <c r="E25" i="48"/>
  <c r="E23" i="48"/>
  <c r="BH60" i="36"/>
  <c r="E22" i="48"/>
  <c r="D202" i="48"/>
  <c r="E202" i="48" s="1"/>
  <c r="F202" i="48" s="1"/>
  <c r="G202" i="48" s="1"/>
  <c r="H202" i="48" s="1"/>
  <c r="I202" i="48" s="1"/>
  <c r="J202" i="48" s="1"/>
  <c r="K202" i="48" s="1"/>
  <c r="L202" i="48" s="1"/>
  <c r="M202" i="48" s="1"/>
  <c r="N202" i="48" s="1"/>
  <c r="O202" i="48" s="1"/>
  <c r="P202" i="48" s="1"/>
  <c r="Q202" i="48" s="1"/>
  <c r="R202" i="48" s="1"/>
  <c r="S202" i="48" s="1"/>
  <c r="T202" i="48" s="1"/>
  <c r="U202" i="48" s="1"/>
  <c r="V202" i="48" s="1"/>
  <c r="W202" i="48" s="1"/>
  <c r="X202" i="48" s="1"/>
  <c r="Y202" i="48" s="1"/>
  <c r="Z202" i="48" s="1"/>
  <c r="AA202" i="48" s="1"/>
  <c r="AB202" i="48" s="1"/>
  <c r="AC202" i="48" s="1"/>
  <c r="AD202" i="48" s="1"/>
  <c r="AE202" i="48" s="1"/>
  <c r="AF202" i="48" s="1"/>
  <c r="C203" i="48"/>
  <c r="C204" i="48"/>
  <c r="F21" i="48"/>
  <c r="C244" i="48"/>
  <c r="BH62" i="36"/>
  <c r="BL55" i="36"/>
  <c r="AE39" i="42"/>
  <c r="C70" i="46"/>
  <c r="C69" i="46"/>
  <c r="C92" i="46" s="1"/>
  <c r="C97" i="46" s="1"/>
  <c r="AP48" i="45"/>
  <c r="AP50" i="45" s="1"/>
  <c r="AP51" i="45" s="1"/>
  <c r="C69" i="48"/>
  <c r="C70" i="48"/>
  <c r="C68" i="48"/>
  <c r="C64" i="48"/>
  <c r="C67" i="48"/>
  <c r="C65" i="48"/>
  <c r="D260" i="48"/>
  <c r="C261" i="48"/>
  <c r="AC84" i="36"/>
  <c r="BI36" i="36"/>
  <c r="BI77" i="36" s="1"/>
  <c r="I88" i="45"/>
  <c r="C68" i="46"/>
  <c r="AK41" i="45"/>
  <c r="AK44" i="45" s="1"/>
  <c r="AG63" i="48"/>
  <c r="D63" i="48" s="1"/>
  <c r="AG63" i="46"/>
  <c r="AG70" i="46" s="1"/>
  <c r="BH39" i="36"/>
  <c r="AA36" i="42"/>
  <c r="BH37" i="36"/>
  <c r="BH81" i="36" s="1"/>
  <c r="F24" i="48"/>
  <c r="C140" i="48"/>
  <c r="C141" i="48"/>
  <c r="D139" i="48"/>
  <c r="AQ49" i="45"/>
  <c r="AQ46" i="45"/>
  <c r="AQ47" i="45"/>
  <c r="AR45" i="45"/>
  <c r="J48" i="45"/>
  <c r="J50" i="45" s="1"/>
  <c r="I39" i="46" s="1"/>
  <c r="AL40" i="45"/>
  <c r="AL39" i="45"/>
  <c r="AL17" i="45"/>
  <c r="AL69" i="45" s="1"/>
  <c r="F25" i="46"/>
  <c r="F23" i="46"/>
  <c r="E363" i="46"/>
  <c r="F363" i="46" s="1"/>
  <c r="C145" i="46"/>
  <c r="C143" i="46"/>
  <c r="C144" i="46"/>
  <c r="D243" i="46"/>
  <c r="G21" i="46"/>
  <c r="F22" i="46"/>
  <c r="G24" i="46"/>
  <c r="D260" i="46"/>
  <c r="C206" i="46"/>
  <c r="C207" i="46"/>
  <c r="L10" i="8"/>
  <c r="L7" i="8"/>
  <c r="L9" i="8"/>
  <c r="L8" i="8"/>
  <c r="F17" i="45"/>
  <c r="F69" i="45" s="1"/>
  <c r="G16" i="45"/>
  <c r="AM16" i="45" s="1"/>
  <c r="E18" i="45"/>
  <c r="G38" i="45"/>
  <c r="AM38" i="45" s="1"/>
  <c r="F40" i="45"/>
  <c r="AJ95" i="45"/>
  <c r="AN92" i="45"/>
  <c r="AN88" i="45"/>
  <c r="L45" i="45"/>
  <c r="K46" i="45"/>
  <c r="K47" i="45"/>
  <c r="K49" i="45"/>
  <c r="N4" i="8"/>
  <c r="M90" i="44"/>
  <c r="K97" i="44"/>
  <c r="BL53" i="36"/>
  <c r="BL94" i="36" s="1"/>
  <c r="BL90" i="36"/>
  <c r="BI59" i="36"/>
  <c r="AB40" i="42" s="1"/>
  <c r="AD59" i="36"/>
  <c r="AC40" i="38" s="1"/>
  <c r="BI23" i="36"/>
  <c r="BI25" i="36" s="1"/>
  <c r="AB37" i="42" s="1"/>
  <c r="AD23" i="36"/>
  <c r="AD25" i="36" s="1"/>
  <c r="AC37" i="38" s="1"/>
  <c r="BJ32" i="36"/>
  <c r="AE35" i="36"/>
  <c r="AH50" i="36"/>
  <c r="AH52" i="36" s="1"/>
  <c r="AH53" i="36" s="1"/>
  <c r="AH94" i="36" s="1"/>
  <c r="BG84" i="36"/>
  <c r="BG26" i="36"/>
  <c r="BG87" i="36" s="1"/>
  <c r="BG28" i="36"/>
  <c r="BJ35" i="36"/>
  <c r="AE32" i="36"/>
  <c r="AG90" i="36"/>
  <c r="AG55" i="36"/>
  <c r="AG53" i="36"/>
  <c r="AG94" i="36" s="1"/>
  <c r="AG18" i="36"/>
  <c r="BL18" i="36"/>
  <c r="AF19" i="36"/>
  <c r="AF20" i="36" s="1"/>
  <c r="AF56" i="36"/>
  <c r="AF30" i="36"/>
  <c r="AF33" i="36"/>
  <c r="AF31" i="36"/>
  <c r="AF34" i="36"/>
  <c r="AG29" i="36"/>
  <c r="BM50" i="36"/>
  <c r="BM52" i="36" s="1"/>
  <c r="AF39" i="42" s="1"/>
  <c r="BK31" i="36"/>
  <c r="BL29" i="36"/>
  <c r="BK33" i="36"/>
  <c r="BK34" i="36"/>
  <c r="BK30" i="36"/>
  <c r="BI46" i="36"/>
  <c r="BI97" i="36"/>
  <c r="BI44" i="36"/>
  <c r="AE58" i="36"/>
  <c r="AE57" i="36"/>
  <c r="BK41" i="36"/>
  <c r="BL40" i="36"/>
  <c r="BK42" i="36"/>
  <c r="BJ21" i="36"/>
  <c r="BJ22" i="36"/>
  <c r="BN48" i="36"/>
  <c r="BN51" i="36"/>
  <c r="BN49" i="36"/>
  <c r="AC62" i="36"/>
  <c r="AC60" i="36"/>
  <c r="AE21" i="36"/>
  <c r="AE22" i="36"/>
  <c r="BH26" i="36"/>
  <c r="BH87" i="36" s="1"/>
  <c r="BH28" i="36"/>
  <c r="BH84" i="36"/>
  <c r="BJ43" i="36"/>
  <c r="AC38" i="42" s="1"/>
  <c r="BJ57" i="36"/>
  <c r="BJ58" i="36"/>
  <c r="AF42" i="36"/>
  <c r="AG40" i="36"/>
  <c r="BK19" i="36"/>
  <c r="BK20" i="36" s="1"/>
  <c r="BK56" i="36"/>
  <c r="C66" i="20"/>
  <c r="D66" i="20" s="1"/>
  <c r="P72" i="14"/>
  <c r="N63" i="45"/>
  <c r="O63" i="36"/>
  <c r="AT63" i="36"/>
  <c r="AT68" i="36" s="1"/>
  <c r="AT75" i="36" s="1"/>
  <c r="N68" i="36"/>
  <c r="C169" i="20"/>
  <c r="C211" i="20"/>
  <c r="C212" i="20" s="1"/>
  <c r="AT64" i="36"/>
  <c r="N66" i="36"/>
  <c r="N65" i="36"/>
  <c r="M71" i="36"/>
  <c r="BY38" i="58" s="1"/>
  <c r="M37" i="58" s="1"/>
  <c r="AS37" i="58" s="1"/>
  <c r="BY37" i="58" s="1"/>
  <c r="M106" i="36"/>
  <c r="AR71" i="36"/>
  <c r="AR72" i="36" s="1"/>
  <c r="AR106" i="36"/>
  <c r="AS65" i="36"/>
  <c r="AS66" i="36"/>
  <c r="AS73" i="36" s="1"/>
  <c r="F57" i="41"/>
  <c r="G57" i="41" s="1"/>
  <c r="H57" i="41" s="1"/>
  <c r="I57" i="41" s="1"/>
  <c r="J57" i="41" s="1"/>
  <c r="K57" i="41" s="1"/>
  <c r="L57" i="41" s="1"/>
  <c r="M57" i="41" s="1"/>
  <c r="N57" i="41" s="1"/>
  <c r="O57" i="41" s="1"/>
  <c r="P57" i="41" s="1"/>
  <c r="Q57" i="41" s="1"/>
  <c r="R57" i="41" s="1"/>
  <c r="S57" i="41" s="1"/>
  <c r="T57" i="41" s="1"/>
  <c r="U57" i="41" s="1"/>
  <c r="V57" i="41" s="1"/>
  <c r="W57" i="41" s="1"/>
  <c r="X57" i="41" s="1"/>
  <c r="Y57" i="41" s="1"/>
  <c r="Z57" i="41" s="1"/>
  <c r="AA57" i="41" s="1"/>
  <c r="AB57" i="41" s="1"/>
  <c r="AC57" i="41" s="1"/>
  <c r="AD57" i="41" s="1"/>
  <c r="AE57" i="41" s="1"/>
  <c r="AF57" i="41" s="1"/>
  <c r="AG57" i="41" s="1"/>
  <c r="AH57" i="41" s="1"/>
  <c r="E18" i="41"/>
  <c r="G12" i="34"/>
  <c r="E84" i="34" s="1"/>
  <c r="F84" i="34" s="1"/>
  <c r="G84" i="34" s="1"/>
  <c r="H84" i="34" s="1"/>
  <c r="I84" i="34" s="1"/>
  <c r="J84" i="34" s="1"/>
  <c r="K84" i="34" s="1"/>
  <c r="L84" i="34" s="1"/>
  <c r="M84" i="34" s="1"/>
  <c r="N84" i="34" s="1"/>
  <c r="O84" i="34" s="1"/>
  <c r="P84" i="34" s="1"/>
  <c r="Q84" i="34" s="1"/>
  <c r="R84" i="34" s="1"/>
  <c r="S84" i="34" s="1"/>
  <c r="T84" i="34" s="1"/>
  <c r="U84" i="34" s="1"/>
  <c r="V84" i="34" s="1"/>
  <c r="W84" i="34" s="1"/>
  <c r="X84" i="34" s="1"/>
  <c r="Y84" i="34" s="1"/>
  <c r="Z84" i="34" s="1"/>
  <c r="AA84" i="34" s="1"/>
  <c r="AB84" i="34" s="1"/>
  <c r="AC84" i="34" s="1"/>
  <c r="AD84" i="34" s="1"/>
  <c r="AE84" i="34" s="1"/>
  <c r="AF84" i="34" s="1"/>
  <c r="AG84" i="34" s="1"/>
  <c r="AH84" i="34" s="1"/>
  <c r="D12" i="41"/>
  <c r="J56" i="41"/>
  <c r="K56" i="41" s="1"/>
  <c r="L56" i="41" s="1"/>
  <c r="M56" i="41" s="1"/>
  <c r="N56" i="41" s="1"/>
  <c r="O56" i="41" s="1"/>
  <c r="P56" i="41" s="1"/>
  <c r="Q56" i="41" s="1"/>
  <c r="R56" i="41" s="1"/>
  <c r="S56" i="41" s="1"/>
  <c r="T56" i="41" s="1"/>
  <c r="U56" i="41" s="1"/>
  <c r="V56" i="41" s="1"/>
  <c r="W56" i="41" s="1"/>
  <c r="X56" i="41" s="1"/>
  <c r="Y56" i="41" s="1"/>
  <c r="Z56" i="41" s="1"/>
  <c r="AA56" i="41" s="1"/>
  <c r="AB56" i="41" s="1"/>
  <c r="AC56" i="41" s="1"/>
  <c r="AD56" i="41" s="1"/>
  <c r="AE56" i="41" s="1"/>
  <c r="AF56" i="41" s="1"/>
  <c r="AG56" i="41" s="1"/>
  <c r="AH56" i="41" s="1"/>
  <c r="G15" i="34"/>
  <c r="E87" i="34" s="1"/>
  <c r="F87" i="34" s="1"/>
  <c r="G87" i="34" s="1"/>
  <c r="H87" i="34" s="1"/>
  <c r="I87" i="34" s="1"/>
  <c r="J87" i="34" s="1"/>
  <c r="K87" i="34" s="1"/>
  <c r="L87" i="34" s="1"/>
  <c r="M87" i="34" s="1"/>
  <c r="N87" i="34" s="1"/>
  <c r="O87" i="34" s="1"/>
  <c r="P87" i="34" s="1"/>
  <c r="Q87" i="34" s="1"/>
  <c r="R87" i="34" s="1"/>
  <c r="S87" i="34" s="1"/>
  <c r="T87" i="34" s="1"/>
  <c r="U87" i="34" s="1"/>
  <c r="V87" i="34" s="1"/>
  <c r="W87" i="34" s="1"/>
  <c r="X87" i="34" s="1"/>
  <c r="Y87" i="34" s="1"/>
  <c r="Z87" i="34" s="1"/>
  <c r="AA87" i="34" s="1"/>
  <c r="AB87" i="34" s="1"/>
  <c r="AC87" i="34" s="1"/>
  <c r="AD87" i="34" s="1"/>
  <c r="AE87" i="34" s="1"/>
  <c r="AF87" i="34" s="1"/>
  <c r="AG87" i="34" s="1"/>
  <c r="AH87" i="34" s="1"/>
  <c r="E12" i="41"/>
  <c r="D14" i="34"/>
  <c r="E71" i="34" s="1"/>
  <c r="F71" i="34" s="1"/>
  <c r="G71" i="34" s="1"/>
  <c r="H71" i="34" s="1"/>
  <c r="I71" i="34" s="1"/>
  <c r="J71" i="34" s="1"/>
  <c r="K71" i="34" s="1"/>
  <c r="L71" i="34" s="1"/>
  <c r="M71" i="34" s="1"/>
  <c r="N71" i="34" s="1"/>
  <c r="O71" i="34" s="1"/>
  <c r="P71" i="34" s="1"/>
  <c r="Q71" i="34" s="1"/>
  <c r="R71" i="34" s="1"/>
  <c r="S71" i="34" s="1"/>
  <c r="T71" i="34" s="1"/>
  <c r="U71" i="34" s="1"/>
  <c r="V71" i="34" s="1"/>
  <c r="W71" i="34" s="1"/>
  <c r="X71" i="34" s="1"/>
  <c r="Y71" i="34" s="1"/>
  <c r="Z71" i="34" s="1"/>
  <c r="AA71" i="34" s="1"/>
  <c r="AB71" i="34" s="1"/>
  <c r="AC71" i="34" s="1"/>
  <c r="AD71" i="34" s="1"/>
  <c r="AE71" i="34" s="1"/>
  <c r="AF71" i="34" s="1"/>
  <c r="AG71" i="34" s="1"/>
  <c r="AH71" i="34" s="1"/>
  <c r="F48" i="41"/>
  <c r="G48" i="41" s="1"/>
  <c r="H48" i="41" s="1"/>
  <c r="I48" i="41" s="1"/>
  <c r="J48" i="41" s="1"/>
  <c r="K48" i="41" s="1"/>
  <c r="L48" i="41" s="1"/>
  <c r="M48" i="41" s="1"/>
  <c r="N48" i="41" s="1"/>
  <c r="O48" i="41" s="1"/>
  <c r="P48" i="41" s="1"/>
  <c r="Q48" i="41" s="1"/>
  <c r="R48" i="41" s="1"/>
  <c r="S48" i="41" s="1"/>
  <c r="T48" i="41" s="1"/>
  <c r="U48" i="41" s="1"/>
  <c r="V48" i="41" s="1"/>
  <c r="W48" i="41" s="1"/>
  <c r="X48" i="41" s="1"/>
  <c r="Y48" i="41" s="1"/>
  <c r="Z48" i="41" s="1"/>
  <c r="AA48" i="41" s="1"/>
  <c r="AB48" i="41" s="1"/>
  <c r="AC48" i="41" s="1"/>
  <c r="AD48" i="41" s="1"/>
  <c r="AE48" i="41" s="1"/>
  <c r="AF48" i="41" s="1"/>
  <c r="AG48" i="41" s="1"/>
  <c r="AH48" i="41" s="1"/>
  <c r="F51" i="41"/>
  <c r="G51" i="41" s="1"/>
  <c r="H51" i="41" s="1"/>
  <c r="I51" i="41" s="1"/>
  <c r="J51" i="41" s="1"/>
  <c r="K51" i="41" s="1"/>
  <c r="L51" i="41" s="1"/>
  <c r="M51" i="41" s="1"/>
  <c r="N51" i="41" s="1"/>
  <c r="O51" i="41" s="1"/>
  <c r="P51" i="41" s="1"/>
  <c r="Q51" i="41" s="1"/>
  <c r="R51" i="41" s="1"/>
  <c r="S51" i="41" s="1"/>
  <c r="T51" i="41" s="1"/>
  <c r="U51" i="41" s="1"/>
  <c r="V51" i="41" s="1"/>
  <c r="W51" i="41" s="1"/>
  <c r="X51" i="41" s="1"/>
  <c r="Y51" i="41" s="1"/>
  <c r="Z51" i="41" s="1"/>
  <c r="AA51" i="41" s="1"/>
  <c r="AB51" i="41" s="1"/>
  <c r="AC51" i="41" s="1"/>
  <c r="AD51" i="41" s="1"/>
  <c r="AE51" i="41" s="1"/>
  <c r="AF51" i="41" s="1"/>
  <c r="AG51" i="41" s="1"/>
  <c r="AH51" i="41" s="1"/>
  <c r="G12" i="41"/>
  <c r="G6" i="41"/>
  <c r="F18" i="41"/>
  <c r="F12" i="34"/>
  <c r="E79" i="34" s="1"/>
  <c r="F79" i="34" s="1"/>
  <c r="G79" i="34" s="1"/>
  <c r="H79" i="34" s="1"/>
  <c r="I79" i="34" s="1"/>
  <c r="J79" i="34" s="1"/>
  <c r="K79" i="34" s="1"/>
  <c r="L79" i="34" s="1"/>
  <c r="M79" i="34" s="1"/>
  <c r="N79" i="34" s="1"/>
  <c r="O79" i="34" s="1"/>
  <c r="P79" i="34" s="1"/>
  <c r="Q79" i="34" s="1"/>
  <c r="R79" i="34" s="1"/>
  <c r="S79" i="34" s="1"/>
  <c r="T79" i="34" s="1"/>
  <c r="U79" i="34" s="1"/>
  <c r="V79" i="34" s="1"/>
  <c r="W79" i="34" s="1"/>
  <c r="X79" i="34" s="1"/>
  <c r="Y79" i="34" s="1"/>
  <c r="Z79" i="34" s="1"/>
  <c r="AA79" i="34" s="1"/>
  <c r="AB79" i="34" s="1"/>
  <c r="AC79" i="34" s="1"/>
  <c r="AD79" i="34" s="1"/>
  <c r="AE79" i="34" s="1"/>
  <c r="AF79" i="34" s="1"/>
  <c r="AG79" i="34" s="1"/>
  <c r="AH79" i="34" s="1"/>
  <c r="G14" i="34"/>
  <c r="E86" i="34" s="1"/>
  <c r="F86" i="34" s="1"/>
  <c r="G86" i="34" s="1"/>
  <c r="H86" i="34" s="1"/>
  <c r="I86" i="34" s="1"/>
  <c r="J86" i="34" s="1"/>
  <c r="K86" i="34" s="1"/>
  <c r="L86" i="34" s="1"/>
  <c r="M86" i="34" s="1"/>
  <c r="N86" i="34" s="1"/>
  <c r="O86" i="34" s="1"/>
  <c r="P86" i="34" s="1"/>
  <c r="Q86" i="34" s="1"/>
  <c r="R86" i="34" s="1"/>
  <c r="S86" i="34" s="1"/>
  <c r="T86" i="34" s="1"/>
  <c r="U86" i="34" s="1"/>
  <c r="V86" i="34" s="1"/>
  <c r="W86" i="34" s="1"/>
  <c r="X86" i="34" s="1"/>
  <c r="Y86" i="34" s="1"/>
  <c r="Z86" i="34" s="1"/>
  <c r="AA86" i="34" s="1"/>
  <c r="AB86" i="34" s="1"/>
  <c r="AC86" i="34" s="1"/>
  <c r="AD86" i="34" s="1"/>
  <c r="AE86" i="34" s="1"/>
  <c r="AF86" i="34" s="1"/>
  <c r="AG86" i="34" s="1"/>
  <c r="AH86" i="34" s="1"/>
  <c r="E36" i="41"/>
  <c r="F36" i="41" s="1"/>
  <c r="G36" i="41" s="1"/>
  <c r="H36" i="41" s="1"/>
  <c r="I36" i="41" s="1"/>
  <c r="J36" i="41" s="1"/>
  <c r="K36" i="41" s="1"/>
  <c r="L36" i="41" s="1"/>
  <c r="M36" i="41" s="1"/>
  <c r="N36" i="41" s="1"/>
  <c r="O36" i="41" s="1"/>
  <c r="P36" i="41" s="1"/>
  <c r="Q36" i="41" s="1"/>
  <c r="R36" i="41" s="1"/>
  <c r="S36" i="41" s="1"/>
  <c r="T36" i="41" s="1"/>
  <c r="U36" i="41" s="1"/>
  <c r="V36" i="41" s="1"/>
  <c r="W36" i="41" s="1"/>
  <c r="X36" i="41" s="1"/>
  <c r="Y36" i="41" s="1"/>
  <c r="Z36" i="41" s="1"/>
  <c r="AA36" i="41" s="1"/>
  <c r="AB36" i="41" s="1"/>
  <c r="AC36" i="41" s="1"/>
  <c r="AD36" i="41" s="1"/>
  <c r="AE36" i="41" s="1"/>
  <c r="AF36" i="41" s="1"/>
  <c r="AG36" i="41" s="1"/>
  <c r="AH36" i="41" s="1"/>
  <c r="E6" i="41"/>
  <c r="D35" i="34"/>
  <c r="E108" i="34" s="1"/>
  <c r="F108" i="34" s="1"/>
  <c r="G108" i="34" s="1"/>
  <c r="H108" i="34" s="1"/>
  <c r="I108" i="34" s="1"/>
  <c r="J108" i="34" s="1"/>
  <c r="K108" i="34" s="1"/>
  <c r="L108" i="34" s="1"/>
  <c r="M108" i="34" s="1"/>
  <c r="N108" i="34" s="1"/>
  <c r="O108" i="34" s="1"/>
  <c r="P108" i="34" s="1"/>
  <c r="Q108" i="34" s="1"/>
  <c r="R108" i="34" s="1"/>
  <c r="S108" i="34" s="1"/>
  <c r="T108" i="34" s="1"/>
  <c r="U108" i="34" s="1"/>
  <c r="V108" i="34" s="1"/>
  <c r="W108" i="34" s="1"/>
  <c r="X108" i="34" s="1"/>
  <c r="Y108" i="34" s="1"/>
  <c r="Z108" i="34" s="1"/>
  <c r="AA108" i="34" s="1"/>
  <c r="AB108" i="34" s="1"/>
  <c r="AC108" i="34" s="1"/>
  <c r="AD108" i="34" s="1"/>
  <c r="AE108" i="34" s="1"/>
  <c r="AF108" i="34" s="1"/>
  <c r="AG108" i="34" s="1"/>
  <c r="AH108" i="34" s="1"/>
  <c r="D12" i="34"/>
  <c r="E69" i="34" s="1"/>
  <c r="F69" i="34" s="1"/>
  <c r="G69" i="34" s="1"/>
  <c r="H69" i="34" s="1"/>
  <c r="I69" i="34" s="1"/>
  <c r="J69" i="34" s="1"/>
  <c r="K69" i="34" s="1"/>
  <c r="L69" i="34" s="1"/>
  <c r="M69" i="34" s="1"/>
  <c r="N69" i="34" s="1"/>
  <c r="O69" i="34" s="1"/>
  <c r="P69" i="34" s="1"/>
  <c r="Q69" i="34" s="1"/>
  <c r="R69" i="34" s="1"/>
  <c r="S69" i="34" s="1"/>
  <c r="T69" i="34" s="1"/>
  <c r="U69" i="34" s="1"/>
  <c r="V69" i="34" s="1"/>
  <c r="W69" i="34" s="1"/>
  <c r="X69" i="34" s="1"/>
  <c r="Y69" i="34" s="1"/>
  <c r="Z69" i="34" s="1"/>
  <c r="AA69" i="34" s="1"/>
  <c r="AB69" i="34" s="1"/>
  <c r="AC69" i="34" s="1"/>
  <c r="AD69" i="34" s="1"/>
  <c r="AE69" i="34" s="1"/>
  <c r="AF69" i="34" s="1"/>
  <c r="AG69" i="34" s="1"/>
  <c r="AH69" i="34" s="1"/>
  <c r="D27" i="41"/>
  <c r="D29" i="41"/>
  <c r="E74" i="41" s="1"/>
  <c r="F74" i="41" s="1"/>
  <c r="G74" i="41" s="1"/>
  <c r="H74" i="41" s="1"/>
  <c r="I74" i="41" s="1"/>
  <c r="J74" i="41" s="1"/>
  <c r="K74" i="41" s="1"/>
  <c r="L74" i="41" s="1"/>
  <c r="M74" i="41" s="1"/>
  <c r="N74" i="41" s="1"/>
  <c r="O74" i="41" s="1"/>
  <c r="P74" i="41" s="1"/>
  <c r="Q74" i="41" s="1"/>
  <c r="R74" i="41" s="1"/>
  <c r="S74" i="41" s="1"/>
  <c r="T74" i="41" s="1"/>
  <c r="U74" i="41" s="1"/>
  <c r="V74" i="41" s="1"/>
  <c r="W74" i="41" s="1"/>
  <c r="X74" i="41" s="1"/>
  <c r="Y74" i="41" s="1"/>
  <c r="Z74" i="41" s="1"/>
  <c r="AA74" i="41" s="1"/>
  <c r="AB74" i="41" s="1"/>
  <c r="AC74" i="41" s="1"/>
  <c r="AD74" i="41" s="1"/>
  <c r="AE74" i="41" s="1"/>
  <c r="AF74" i="41" s="1"/>
  <c r="AG74" i="41" s="1"/>
  <c r="AH74" i="41" s="1"/>
  <c r="D21" i="41"/>
  <c r="D23" i="41"/>
  <c r="E71" i="41" s="1"/>
  <c r="F71" i="41" s="1"/>
  <c r="G71" i="41" s="1"/>
  <c r="H71" i="41" s="1"/>
  <c r="I71" i="41" s="1"/>
  <c r="J71" i="41" s="1"/>
  <c r="K71" i="41" s="1"/>
  <c r="L71" i="41" s="1"/>
  <c r="M71" i="41" s="1"/>
  <c r="N71" i="41" s="1"/>
  <c r="O71" i="41" s="1"/>
  <c r="P71" i="41" s="1"/>
  <c r="Q71" i="41" s="1"/>
  <c r="R71" i="41" s="1"/>
  <c r="S71" i="41" s="1"/>
  <c r="T71" i="41" s="1"/>
  <c r="U71" i="41" s="1"/>
  <c r="V71" i="41" s="1"/>
  <c r="W71" i="41" s="1"/>
  <c r="X71" i="41" s="1"/>
  <c r="Y71" i="41" s="1"/>
  <c r="Z71" i="41" s="1"/>
  <c r="AA71" i="41" s="1"/>
  <c r="AB71" i="41" s="1"/>
  <c r="AC71" i="41" s="1"/>
  <c r="AD71" i="41" s="1"/>
  <c r="AE71" i="41" s="1"/>
  <c r="AF71" i="41" s="1"/>
  <c r="AG71" i="41" s="1"/>
  <c r="AH71" i="41" s="1"/>
  <c r="F6" i="41"/>
  <c r="H6" i="41"/>
  <c r="F12" i="41"/>
  <c r="F24" i="29"/>
  <c r="D22" i="41"/>
  <c r="E70" i="41" s="1"/>
  <c r="F70" i="41" s="1"/>
  <c r="G70" i="41" s="1"/>
  <c r="H70" i="41" s="1"/>
  <c r="I70" i="41" s="1"/>
  <c r="J70" i="41" s="1"/>
  <c r="K70" i="41" s="1"/>
  <c r="L70" i="41" s="1"/>
  <c r="M70" i="41" s="1"/>
  <c r="N70" i="41" s="1"/>
  <c r="O70" i="41" s="1"/>
  <c r="P70" i="41" s="1"/>
  <c r="Q70" i="41" s="1"/>
  <c r="R70" i="41" s="1"/>
  <c r="S70" i="41" s="1"/>
  <c r="T70" i="41" s="1"/>
  <c r="U70" i="41" s="1"/>
  <c r="V70" i="41" s="1"/>
  <c r="W70" i="41" s="1"/>
  <c r="X70" i="41" s="1"/>
  <c r="Y70" i="41" s="1"/>
  <c r="Z70" i="41" s="1"/>
  <c r="AA70" i="41" s="1"/>
  <c r="AB70" i="41" s="1"/>
  <c r="AC70" i="41" s="1"/>
  <c r="AD70" i="41" s="1"/>
  <c r="AE70" i="41" s="1"/>
  <c r="AF70" i="41" s="1"/>
  <c r="AG70" i="41" s="1"/>
  <c r="AH70" i="41" s="1"/>
  <c r="G21" i="29"/>
  <c r="D18" i="41"/>
  <c r="F54" i="41"/>
  <c r="G54" i="41" s="1"/>
  <c r="H54" i="41" s="1"/>
  <c r="I54" i="41" s="1"/>
  <c r="J54" i="41" s="1"/>
  <c r="K54" i="41" s="1"/>
  <c r="L54" i="41" s="1"/>
  <c r="M54" i="41" s="1"/>
  <c r="N54" i="41" s="1"/>
  <c r="O54" i="41" s="1"/>
  <c r="P54" i="41" s="1"/>
  <c r="Q54" i="41" s="1"/>
  <c r="R54" i="41" s="1"/>
  <c r="S54" i="41" s="1"/>
  <c r="T54" i="41" s="1"/>
  <c r="U54" i="41" s="1"/>
  <c r="V54" i="41" s="1"/>
  <c r="W54" i="41" s="1"/>
  <c r="X54" i="41" s="1"/>
  <c r="Y54" i="41" s="1"/>
  <c r="Z54" i="41" s="1"/>
  <c r="AA54" i="41" s="1"/>
  <c r="AB54" i="41" s="1"/>
  <c r="AC54" i="41" s="1"/>
  <c r="AD54" i="41" s="1"/>
  <c r="AE54" i="41" s="1"/>
  <c r="AF54" i="41" s="1"/>
  <c r="AG54" i="41" s="1"/>
  <c r="AH54" i="41" s="1"/>
  <c r="C131" i="38"/>
  <c r="C130" i="38"/>
  <c r="C68" i="42"/>
  <c r="C65" i="42"/>
  <c r="C64" i="42"/>
  <c r="C67" i="42"/>
  <c r="C69" i="42"/>
  <c r="C88" i="42" s="1"/>
  <c r="C70" i="42"/>
  <c r="AG234" i="42"/>
  <c r="AG235" i="42" s="1"/>
  <c r="AG234" i="38"/>
  <c r="AG235" i="38" s="1"/>
  <c r="AG219" i="42"/>
  <c r="AG220" i="42" s="1"/>
  <c r="AG219" i="38"/>
  <c r="AG220" i="38" s="1"/>
  <c r="E22" i="38"/>
  <c r="F24" i="38"/>
  <c r="E25" i="38"/>
  <c r="AG129" i="42"/>
  <c r="D129" i="42" s="1"/>
  <c r="AG129" i="38"/>
  <c r="D129" i="38" s="1"/>
  <c r="C235" i="38"/>
  <c r="C186" i="42"/>
  <c r="C187" i="42" s="1"/>
  <c r="C220" i="38"/>
  <c r="F21" i="38"/>
  <c r="C69" i="38"/>
  <c r="C88" i="38" s="1"/>
  <c r="C68" i="38"/>
  <c r="C70" i="38"/>
  <c r="C65" i="38"/>
  <c r="C64" i="38"/>
  <c r="C67" i="38"/>
  <c r="C235" i="42"/>
  <c r="AG184" i="42"/>
  <c r="AG184" i="38"/>
  <c r="D184" i="38" s="1"/>
  <c r="E184" i="38" s="1"/>
  <c r="F184" i="38" s="1"/>
  <c r="G184" i="38" s="1"/>
  <c r="H184" i="38" s="1"/>
  <c r="I184" i="38" s="1"/>
  <c r="J184" i="38" s="1"/>
  <c r="K184" i="38" s="1"/>
  <c r="L184" i="38" s="1"/>
  <c r="M184" i="38" s="1"/>
  <c r="N184" i="38" s="1"/>
  <c r="O184" i="38" s="1"/>
  <c r="P184" i="38" s="1"/>
  <c r="Q184" i="38" s="1"/>
  <c r="R184" i="38" s="1"/>
  <c r="S184" i="38" s="1"/>
  <c r="T184" i="38" s="1"/>
  <c r="U184" i="38" s="1"/>
  <c r="V184" i="38" s="1"/>
  <c r="W184" i="38" s="1"/>
  <c r="X184" i="38" s="1"/>
  <c r="Y184" i="38" s="1"/>
  <c r="Z184" i="38" s="1"/>
  <c r="AA184" i="38" s="1"/>
  <c r="AB184" i="38" s="1"/>
  <c r="AC184" i="38" s="1"/>
  <c r="AD184" i="38" s="1"/>
  <c r="AE184" i="38" s="1"/>
  <c r="AF184" i="38" s="1"/>
  <c r="C131" i="42"/>
  <c r="C132" i="42" s="1"/>
  <c r="AG63" i="42"/>
  <c r="AG63" i="38"/>
  <c r="C185" i="38"/>
  <c r="C186" i="38"/>
  <c r="E23" i="38"/>
  <c r="E12" i="34"/>
  <c r="E74" i="34" s="1"/>
  <c r="F74" i="34" s="1"/>
  <c r="G74" i="34" s="1"/>
  <c r="H74" i="34" s="1"/>
  <c r="I74" i="34" s="1"/>
  <c r="J74" i="34" s="1"/>
  <c r="K74" i="34" s="1"/>
  <c r="L74" i="34" s="1"/>
  <c r="M74" i="34" s="1"/>
  <c r="N74" i="34" s="1"/>
  <c r="O74" i="34" s="1"/>
  <c r="P74" i="34" s="1"/>
  <c r="Q74" i="34" s="1"/>
  <c r="R74" i="34" s="1"/>
  <c r="S74" i="34" s="1"/>
  <c r="T74" i="34" s="1"/>
  <c r="U74" i="34" s="1"/>
  <c r="V74" i="34" s="1"/>
  <c r="W74" i="34" s="1"/>
  <c r="X74" i="34" s="1"/>
  <c r="Y74" i="34" s="1"/>
  <c r="Z74" i="34" s="1"/>
  <c r="AA74" i="34" s="1"/>
  <c r="AB74" i="34" s="1"/>
  <c r="AC74" i="34" s="1"/>
  <c r="AD74" i="34" s="1"/>
  <c r="AE74" i="34" s="1"/>
  <c r="AF74" i="34" s="1"/>
  <c r="AG74" i="34" s="1"/>
  <c r="AH74" i="34" s="1"/>
  <c r="D27" i="34"/>
  <c r="E103" i="34" s="1"/>
  <c r="D31" i="34"/>
  <c r="E107" i="34" s="1"/>
  <c r="F107" i="34" s="1"/>
  <c r="G107" i="34" s="1"/>
  <c r="H107" i="34" s="1"/>
  <c r="I107" i="34" s="1"/>
  <c r="J107" i="34" s="1"/>
  <c r="K107" i="34" s="1"/>
  <c r="L107" i="34" s="1"/>
  <c r="M107" i="34" s="1"/>
  <c r="N107" i="34" s="1"/>
  <c r="O107" i="34" s="1"/>
  <c r="P107" i="34" s="1"/>
  <c r="Q107" i="34" s="1"/>
  <c r="R107" i="34" s="1"/>
  <c r="S107" i="34" s="1"/>
  <c r="T107" i="34" s="1"/>
  <c r="U107" i="34" s="1"/>
  <c r="V107" i="34" s="1"/>
  <c r="W107" i="34" s="1"/>
  <c r="X107" i="34" s="1"/>
  <c r="Y107" i="34" s="1"/>
  <c r="Z107" i="34" s="1"/>
  <c r="AA107" i="34" s="1"/>
  <c r="AB107" i="34" s="1"/>
  <c r="AC107" i="34" s="1"/>
  <c r="AD107" i="34" s="1"/>
  <c r="AE107" i="34" s="1"/>
  <c r="AF107" i="34" s="1"/>
  <c r="AG107" i="34" s="1"/>
  <c r="AH107" i="34" s="1"/>
  <c r="E15" i="34"/>
  <c r="E77" i="34" s="1"/>
  <c r="F77" i="34" s="1"/>
  <c r="G77" i="34" s="1"/>
  <c r="H77" i="34" s="1"/>
  <c r="I77" i="34" s="1"/>
  <c r="J77" i="34" s="1"/>
  <c r="K77" i="34" s="1"/>
  <c r="L77" i="34" s="1"/>
  <c r="M77" i="34" s="1"/>
  <c r="N77" i="34" s="1"/>
  <c r="O77" i="34" s="1"/>
  <c r="P77" i="34" s="1"/>
  <c r="Q77" i="34" s="1"/>
  <c r="R77" i="34" s="1"/>
  <c r="S77" i="34" s="1"/>
  <c r="T77" i="34" s="1"/>
  <c r="U77" i="34" s="1"/>
  <c r="V77" i="34" s="1"/>
  <c r="W77" i="34" s="1"/>
  <c r="X77" i="34" s="1"/>
  <c r="Y77" i="34" s="1"/>
  <c r="Z77" i="34" s="1"/>
  <c r="AA77" i="34" s="1"/>
  <c r="AB77" i="34" s="1"/>
  <c r="AC77" i="34" s="1"/>
  <c r="AD77" i="34" s="1"/>
  <c r="AE77" i="34" s="1"/>
  <c r="AF77" i="34" s="1"/>
  <c r="AG77" i="34" s="1"/>
  <c r="AH77" i="34" s="1"/>
  <c r="D22" i="34"/>
  <c r="E91" i="34" s="1"/>
  <c r="F91" i="34" s="1"/>
  <c r="G91" i="34" s="1"/>
  <c r="H91" i="34" s="1"/>
  <c r="I91" i="34" s="1"/>
  <c r="J91" i="34" s="1"/>
  <c r="K91" i="34" s="1"/>
  <c r="L91" i="34" s="1"/>
  <c r="M91" i="34" s="1"/>
  <c r="N91" i="34" s="1"/>
  <c r="O91" i="34" s="1"/>
  <c r="P91" i="34" s="1"/>
  <c r="Q91" i="34" s="1"/>
  <c r="R91" i="34" s="1"/>
  <c r="S91" i="34" s="1"/>
  <c r="T91" i="34" s="1"/>
  <c r="U91" i="34" s="1"/>
  <c r="V91" i="34" s="1"/>
  <c r="W91" i="34" s="1"/>
  <c r="X91" i="34" s="1"/>
  <c r="Y91" i="34" s="1"/>
  <c r="Z91" i="34" s="1"/>
  <c r="AA91" i="34" s="1"/>
  <c r="AB91" i="34" s="1"/>
  <c r="AC91" i="34" s="1"/>
  <c r="AD91" i="34" s="1"/>
  <c r="AE91" i="34" s="1"/>
  <c r="AF91" i="34" s="1"/>
  <c r="AG91" i="34" s="1"/>
  <c r="AH91" i="34" s="1"/>
  <c r="E83" i="34"/>
  <c r="F83" i="34" s="1"/>
  <c r="G83" i="34" s="1"/>
  <c r="H83" i="34" s="1"/>
  <c r="I83" i="34" s="1"/>
  <c r="J83" i="34" s="1"/>
  <c r="K83" i="34" s="1"/>
  <c r="L83" i="34" s="1"/>
  <c r="M83" i="34" s="1"/>
  <c r="N83" i="34" s="1"/>
  <c r="O83" i="34" s="1"/>
  <c r="P83" i="34" s="1"/>
  <c r="Q83" i="34" s="1"/>
  <c r="R83" i="34" s="1"/>
  <c r="S83" i="34" s="1"/>
  <c r="T83" i="34" s="1"/>
  <c r="U83" i="34" s="1"/>
  <c r="V83" i="34" s="1"/>
  <c r="W83" i="34" s="1"/>
  <c r="X83" i="34" s="1"/>
  <c r="Y83" i="34" s="1"/>
  <c r="Z83" i="34" s="1"/>
  <c r="AA83" i="34" s="1"/>
  <c r="AB83" i="34" s="1"/>
  <c r="AC83" i="34" s="1"/>
  <c r="AD83" i="34" s="1"/>
  <c r="AE83" i="34" s="1"/>
  <c r="AF83" i="34" s="1"/>
  <c r="AG83" i="34" s="1"/>
  <c r="AH83" i="34" s="1"/>
  <c r="AG125" i="20"/>
  <c r="AG128" i="20"/>
  <c r="AG123" i="20"/>
  <c r="AG126" i="20"/>
  <c r="AG127" i="20"/>
  <c r="AG124" i="20"/>
  <c r="F14" i="34"/>
  <c r="E81" i="34" s="1"/>
  <c r="F81" i="34" s="1"/>
  <c r="G81" i="34" s="1"/>
  <c r="H81" i="34" s="1"/>
  <c r="I81" i="34" s="1"/>
  <c r="J81" i="34" s="1"/>
  <c r="K81" i="34" s="1"/>
  <c r="L81" i="34" s="1"/>
  <c r="M81" i="34" s="1"/>
  <c r="N81" i="34" s="1"/>
  <c r="O81" i="34" s="1"/>
  <c r="P81" i="34" s="1"/>
  <c r="Q81" i="34" s="1"/>
  <c r="R81" i="34" s="1"/>
  <c r="S81" i="34" s="1"/>
  <c r="T81" i="34" s="1"/>
  <c r="U81" i="34" s="1"/>
  <c r="V81" i="34" s="1"/>
  <c r="W81" i="34" s="1"/>
  <c r="X81" i="34" s="1"/>
  <c r="Y81" i="34" s="1"/>
  <c r="Z81" i="34" s="1"/>
  <c r="AA81" i="34" s="1"/>
  <c r="AB81" i="34" s="1"/>
  <c r="AC81" i="34" s="1"/>
  <c r="AD81" i="34" s="1"/>
  <c r="AE81" i="34" s="1"/>
  <c r="AF81" i="34" s="1"/>
  <c r="AG81" i="34" s="1"/>
  <c r="AH81" i="34" s="1"/>
  <c r="D15" i="34"/>
  <c r="E72" i="34" s="1"/>
  <c r="F72" i="34" s="1"/>
  <c r="G72" i="34" s="1"/>
  <c r="H72" i="34" s="1"/>
  <c r="I72" i="34" s="1"/>
  <c r="J72" i="34" s="1"/>
  <c r="K72" i="34" s="1"/>
  <c r="L72" i="34" s="1"/>
  <c r="M72" i="34" s="1"/>
  <c r="N72" i="34" s="1"/>
  <c r="O72" i="34" s="1"/>
  <c r="P72" i="34" s="1"/>
  <c r="Q72" i="34" s="1"/>
  <c r="R72" i="34" s="1"/>
  <c r="S72" i="34" s="1"/>
  <c r="T72" i="34" s="1"/>
  <c r="U72" i="34" s="1"/>
  <c r="V72" i="34" s="1"/>
  <c r="W72" i="34" s="1"/>
  <c r="X72" i="34" s="1"/>
  <c r="Y72" i="34" s="1"/>
  <c r="Z72" i="34" s="1"/>
  <c r="AA72" i="34" s="1"/>
  <c r="AB72" i="34" s="1"/>
  <c r="AC72" i="34" s="1"/>
  <c r="AD72" i="34" s="1"/>
  <c r="AE72" i="34" s="1"/>
  <c r="AF72" i="34" s="1"/>
  <c r="AG72" i="34" s="1"/>
  <c r="AH72" i="34" s="1"/>
  <c r="D38" i="34"/>
  <c r="E111" i="34" s="1"/>
  <c r="F111" i="34" s="1"/>
  <c r="G111" i="34" s="1"/>
  <c r="H111" i="34" s="1"/>
  <c r="I111" i="34" s="1"/>
  <c r="J111" i="34" s="1"/>
  <c r="K111" i="34" s="1"/>
  <c r="L111" i="34" s="1"/>
  <c r="M111" i="34" s="1"/>
  <c r="N111" i="34" s="1"/>
  <c r="O111" i="34" s="1"/>
  <c r="P111" i="34" s="1"/>
  <c r="Q111" i="34" s="1"/>
  <c r="R111" i="34" s="1"/>
  <c r="S111" i="34" s="1"/>
  <c r="T111" i="34" s="1"/>
  <c r="U111" i="34" s="1"/>
  <c r="V111" i="34" s="1"/>
  <c r="W111" i="34" s="1"/>
  <c r="X111" i="34" s="1"/>
  <c r="Y111" i="34" s="1"/>
  <c r="Z111" i="34" s="1"/>
  <c r="AA111" i="34" s="1"/>
  <c r="AB111" i="34" s="1"/>
  <c r="AC111" i="34" s="1"/>
  <c r="AD111" i="34" s="1"/>
  <c r="AE111" i="34" s="1"/>
  <c r="AF111" i="34" s="1"/>
  <c r="AG111" i="34" s="1"/>
  <c r="AH111" i="34" s="1"/>
  <c r="E101" i="34"/>
  <c r="F101" i="34" s="1"/>
  <c r="G101" i="34" s="1"/>
  <c r="H101" i="34" s="1"/>
  <c r="I101" i="34" s="1"/>
  <c r="J101" i="34" s="1"/>
  <c r="K101" i="34" s="1"/>
  <c r="L101" i="34" s="1"/>
  <c r="M101" i="34" s="1"/>
  <c r="N101" i="34" s="1"/>
  <c r="O101" i="34" s="1"/>
  <c r="P101" i="34" s="1"/>
  <c r="Q101" i="34" s="1"/>
  <c r="R101" i="34" s="1"/>
  <c r="S101" i="34" s="1"/>
  <c r="T101" i="34" s="1"/>
  <c r="U101" i="34" s="1"/>
  <c r="V101" i="34" s="1"/>
  <c r="W101" i="34" s="1"/>
  <c r="X101" i="34" s="1"/>
  <c r="Y101" i="34" s="1"/>
  <c r="Z101" i="34" s="1"/>
  <c r="AA101" i="34" s="1"/>
  <c r="AB101" i="34" s="1"/>
  <c r="AC101" i="34" s="1"/>
  <c r="AD101" i="34" s="1"/>
  <c r="AE101" i="34" s="1"/>
  <c r="AF101" i="34" s="1"/>
  <c r="AG101" i="34" s="1"/>
  <c r="AH101" i="34" s="1"/>
  <c r="C76" i="33"/>
  <c r="C21" i="20" s="1"/>
  <c r="D30" i="34"/>
  <c r="E106" i="34" s="1"/>
  <c r="F106" i="34" s="1"/>
  <c r="G106" i="34" s="1"/>
  <c r="H106" i="34" s="1"/>
  <c r="I106" i="34" s="1"/>
  <c r="J106" i="34" s="1"/>
  <c r="K106" i="34" s="1"/>
  <c r="L106" i="34" s="1"/>
  <c r="M106" i="34" s="1"/>
  <c r="N106" i="34" s="1"/>
  <c r="O106" i="34" s="1"/>
  <c r="P106" i="34" s="1"/>
  <c r="Q106" i="34" s="1"/>
  <c r="R106" i="34" s="1"/>
  <c r="S106" i="34" s="1"/>
  <c r="T106" i="34" s="1"/>
  <c r="U106" i="34" s="1"/>
  <c r="V106" i="34" s="1"/>
  <c r="W106" i="34" s="1"/>
  <c r="X106" i="34" s="1"/>
  <c r="Y106" i="34" s="1"/>
  <c r="Z106" i="34" s="1"/>
  <c r="AA106" i="34" s="1"/>
  <c r="AB106" i="34" s="1"/>
  <c r="AC106" i="34" s="1"/>
  <c r="AD106" i="34" s="1"/>
  <c r="AE106" i="34" s="1"/>
  <c r="AF106" i="34" s="1"/>
  <c r="AG106" i="34" s="1"/>
  <c r="AH106" i="34" s="1"/>
  <c r="F13" i="34"/>
  <c r="E80" i="34" s="1"/>
  <c r="F80" i="34" s="1"/>
  <c r="G80" i="34" s="1"/>
  <c r="H80" i="34" s="1"/>
  <c r="I80" i="34" s="1"/>
  <c r="J80" i="34" s="1"/>
  <c r="K80" i="34" s="1"/>
  <c r="L80" i="34" s="1"/>
  <c r="M80" i="34" s="1"/>
  <c r="N80" i="34" s="1"/>
  <c r="O80" i="34" s="1"/>
  <c r="P80" i="34" s="1"/>
  <c r="Q80" i="34" s="1"/>
  <c r="R80" i="34" s="1"/>
  <c r="S80" i="34" s="1"/>
  <c r="T80" i="34" s="1"/>
  <c r="U80" i="34" s="1"/>
  <c r="V80" i="34" s="1"/>
  <c r="W80" i="34" s="1"/>
  <c r="X80" i="34" s="1"/>
  <c r="Y80" i="34" s="1"/>
  <c r="Z80" i="34" s="1"/>
  <c r="AA80" i="34" s="1"/>
  <c r="AB80" i="34" s="1"/>
  <c r="AC80" i="34" s="1"/>
  <c r="AD80" i="34" s="1"/>
  <c r="AE80" i="34" s="1"/>
  <c r="AF80" i="34" s="1"/>
  <c r="AG80" i="34" s="1"/>
  <c r="AH80" i="34" s="1"/>
  <c r="D110" i="28"/>
  <c r="C111" i="28"/>
  <c r="D39" i="34"/>
  <c r="E112" i="34" s="1"/>
  <c r="F112" i="34" s="1"/>
  <c r="G112" i="34" s="1"/>
  <c r="H112" i="34" s="1"/>
  <c r="I112" i="34" s="1"/>
  <c r="J112" i="34" s="1"/>
  <c r="K112" i="34" s="1"/>
  <c r="L112" i="34" s="1"/>
  <c r="M112" i="34" s="1"/>
  <c r="N112" i="34" s="1"/>
  <c r="O112" i="34" s="1"/>
  <c r="P112" i="34" s="1"/>
  <c r="Q112" i="34" s="1"/>
  <c r="R112" i="34" s="1"/>
  <c r="S112" i="34" s="1"/>
  <c r="T112" i="34" s="1"/>
  <c r="U112" i="34" s="1"/>
  <c r="V112" i="34" s="1"/>
  <c r="W112" i="34" s="1"/>
  <c r="X112" i="34" s="1"/>
  <c r="Y112" i="34" s="1"/>
  <c r="Z112" i="34" s="1"/>
  <c r="AA112" i="34" s="1"/>
  <c r="AB112" i="34" s="1"/>
  <c r="AC112" i="34" s="1"/>
  <c r="AD112" i="34" s="1"/>
  <c r="AE112" i="34" s="1"/>
  <c r="AF112" i="34" s="1"/>
  <c r="AG112" i="34" s="1"/>
  <c r="AH112" i="34" s="1"/>
  <c r="D11" i="34"/>
  <c r="D122" i="20"/>
  <c r="C128" i="20"/>
  <c r="C125" i="20"/>
  <c r="C126" i="20"/>
  <c r="C124" i="20"/>
  <c r="C127" i="20"/>
  <c r="C123" i="20"/>
  <c r="C199" i="20"/>
  <c r="D198" i="20"/>
  <c r="H21" i="28"/>
  <c r="C25" i="19"/>
  <c r="D25" i="19" s="1"/>
  <c r="E25" i="19" s="1"/>
  <c r="F25" i="19" s="1"/>
  <c r="G25" i="19" s="1"/>
  <c r="H25" i="19" s="1"/>
  <c r="I25" i="19" s="1"/>
  <c r="J25" i="19" s="1"/>
  <c r="K25" i="19" s="1"/>
  <c r="L25" i="19" s="1"/>
  <c r="M25" i="19" s="1"/>
  <c r="N25" i="19" s="1"/>
  <c r="O25" i="19" s="1"/>
  <c r="P25" i="19" s="1"/>
  <c r="Q25" i="19" s="1"/>
  <c r="R25" i="19" s="1"/>
  <c r="S25" i="19" s="1"/>
  <c r="T25" i="19" s="1"/>
  <c r="U25" i="19" s="1"/>
  <c r="V25" i="19" s="1"/>
  <c r="W25" i="19" s="1"/>
  <c r="X25" i="19" s="1"/>
  <c r="Y25" i="19" s="1"/>
  <c r="Z25" i="19" s="1"/>
  <c r="AA25" i="19" s="1"/>
  <c r="AB25" i="19" s="1"/>
  <c r="AC25" i="19" s="1"/>
  <c r="AD25" i="19" s="1"/>
  <c r="AE25" i="19" s="1"/>
  <c r="AF25" i="19" s="1"/>
  <c r="AG25" i="19" s="1"/>
  <c r="D25" i="20"/>
  <c r="E25" i="20" s="1"/>
  <c r="F25" i="20" s="1"/>
  <c r="G25" i="20" s="1"/>
  <c r="H25" i="20" s="1"/>
  <c r="I25" i="20" s="1"/>
  <c r="J25" i="20" s="1"/>
  <c r="K25" i="20" s="1"/>
  <c r="L25" i="20" s="1"/>
  <c r="M25" i="20" s="1"/>
  <c r="N25" i="20" s="1"/>
  <c r="O25" i="20" s="1"/>
  <c r="P25" i="20" s="1"/>
  <c r="Q25" i="20" s="1"/>
  <c r="R25" i="20" s="1"/>
  <c r="S25" i="20" s="1"/>
  <c r="T25" i="20" s="1"/>
  <c r="U25" i="20" s="1"/>
  <c r="V25" i="20" s="1"/>
  <c r="W25" i="20" s="1"/>
  <c r="X25" i="20" s="1"/>
  <c r="Y25" i="20" s="1"/>
  <c r="Z25" i="20" s="1"/>
  <c r="AA25" i="20" s="1"/>
  <c r="C24" i="19"/>
  <c r="D24" i="19" s="1"/>
  <c r="E24" i="19" s="1"/>
  <c r="F24" i="19" s="1"/>
  <c r="G24" i="19" s="1"/>
  <c r="H24" i="19" s="1"/>
  <c r="I24" i="19" s="1"/>
  <c r="J24" i="19" s="1"/>
  <c r="K24" i="19" s="1"/>
  <c r="L24" i="19" s="1"/>
  <c r="M24" i="19" s="1"/>
  <c r="N24" i="19" s="1"/>
  <c r="O24" i="19" s="1"/>
  <c r="P24" i="19" s="1"/>
  <c r="Q24" i="19" s="1"/>
  <c r="R24" i="19" s="1"/>
  <c r="S24" i="19" s="1"/>
  <c r="T24" i="19" s="1"/>
  <c r="U24" i="19" s="1"/>
  <c r="V24" i="19" s="1"/>
  <c r="W24" i="19" s="1"/>
  <c r="X24" i="19" s="1"/>
  <c r="Y24" i="19" s="1"/>
  <c r="Z24" i="19" s="1"/>
  <c r="AA24" i="19" s="1"/>
  <c r="AB24" i="19" s="1"/>
  <c r="AC24" i="19" s="1"/>
  <c r="AD24" i="19" s="1"/>
  <c r="AE24" i="19" s="1"/>
  <c r="AF24" i="19" s="1"/>
  <c r="AG24" i="19" s="1"/>
  <c r="D24" i="20"/>
  <c r="E24" i="20" s="1"/>
  <c r="F24" i="20" s="1"/>
  <c r="G24" i="20" s="1"/>
  <c r="H24" i="20" s="1"/>
  <c r="I24" i="20" s="1"/>
  <c r="J24" i="20" s="1"/>
  <c r="K24" i="20" s="1"/>
  <c r="L24" i="20" s="1"/>
  <c r="M24" i="20" s="1"/>
  <c r="N24" i="20" s="1"/>
  <c r="O24" i="20" s="1"/>
  <c r="P24" i="20" s="1"/>
  <c r="Q24" i="20" s="1"/>
  <c r="R24" i="20" s="1"/>
  <c r="S24" i="20" s="1"/>
  <c r="T24" i="20" s="1"/>
  <c r="U24" i="20" s="1"/>
  <c r="V24" i="20" s="1"/>
  <c r="W24" i="20" s="1"/>
  <c r="X24" i="20" s="1"/>
  <c r="Y24" i="20" s="1"/>
  <c r="Z24" i="20" s="1"/>
  <c r="AA24" i="20" s="1"/>
  <c r="AB24" i="20" s="1"/>
  <c r="F22" i="28"/>
  <c r="G13" i="34"/>
  <c r="E85" i="34" s="1"/>
  <c r="F85" i="34" s="1"/>
  <c r="G85" i="34" s="1"/>
  <c r="H85" i="34" s="1"/>
  <c r="I85" i="34" s="1"/>
  <c r="J85" i="34" s="1"/>
  <c r="K85" i="34" s="1"/>
  <c r="L85" i="34" s="1"/>
  <c r="M85" i="34" s="1"/>
  <c r="N85" i="34" s="1"/>
  <c r="O85" i="34" s="1"/>
  <c r="P85" i="34" s="1"/>
  <c r="Q85" i="34" s="1"/>
  <c r="R85" i="34" s="1"/>
  <c r="S85" i="34" s="1"/>
  <c r="T85" i="34" s="1"/>
  <c r="U85" i="34" s="1"/>
  <c r="V85" i="34" s="1"/>
  <c r="W85" i="34" s="1"/>
  <c r="X85" i="34" s="1"/>
  <c r="Y85" i="34" s="1"/>
  <c r="Z85" i="34" s="1"/>
  <c r="AA85" i="34" s="1"/>
  <c r="AB85" i="34" s="1"/>
  <c r="AC85" i="34" s="1"/>
  <c r="AD85" i="34" s="1"/>
  <c r="AE85" i="34" s="1"/>
  <c r="AF85" i="34" s="1"/>
  <c r="AG85" i="34" s="1"/>
  <c r="AH85" i="34" s="1"/>
  <c r="D23" i="34"/>
  <c r="E92" i="34" s="1"/>
  <c r="F92" i="34" s="1"/>
  <c r="G92" i="34" s="1"/>
  <c r="H92" i="34" s="1"/>
  <c r="I92" i="34" s="1"/>
  <c r="J92" i="34" s="1"/>
  <c r="K92" i="34" s="1"/>
  <c r="L92" i="34" s="1"/>
  <c r="M92" i="34" s="1"/>
  <c r="N92" i="34" s="1"/>
  <c r="O92" i="34" s="1"/>
  <c r="P92" i="34" s="1"/>
  <c r="Q92" i="34" s="1"/>
  <c r="R92" i="34" s="1"/>
  <c r="S92" i="34" s="1"/>
  <c r="T92" i="34" s="1"/>
  <c r="U92" i="34" s="1"/>
  <c r="V92" i="34" s="1"/>
  <c r="W92" i="34" s="1"/>
  <c r="X92" i="34" s="1"/>
  <c r="Y92" i="34" s="1"/>
  <c r="Z92" i="34" s="1"/>
  <c r="AA92" i="34" s="1"/>
  <c r="AB92" i="34" s="1"/>
  <c r="AC92" i="34" s="1"/>
  <c r="AD92" i="34" s="1"/>
  <c r="AE92" i="34" s="1"/>
  <c r="AF92" i="34" s="1"/>
  <c r="AG92" i="34" s="1"/>
  <c r="AH92" i="34" s="1"/>
  <c r="E11" i="34"/>
  <c r="D36" i="34"/>
  <c r="E109" i="34" s="1"/>
  <c r="F109" i="34" s="1"/>
  <c r="G109" i="34" s="1"/>
  <c r="H109" i="34" s="1"/>
  <c r="I109" i="34" s="1"/>
  <c r="J109" i="34" s="1"/>
  <c r="K109" i="34" s="1"/>
  <c r="L109" i="34" s="1"/>
  <c r="M109" i="34" s="1"/>
  <c r="N109" i="34" s="1"/>
  <c r="O109" i="34" s="1"/>
  <c r="P109" i="34" s="1"/>
  <c r="Q109" i="34" s="1"/>
  <c r="R109" i="34" s="1"/>
  <c r="S109" i="34" s="1"/>
  <c r="T109" i="34" s="1"/>
  <c r="U109" i="34" s="1"/>
  <c r="V109" i="34" s="1"/>
  <c r="W109" i="34" s="1"/>
  <c r="X109" i="34" s="1"/>
  <c r="Y109" i="34" s="1"/>
  <c r="Z109" i="34" s="1"/>
  <c r="AA109" i="34" s="1"/>
  <c r="AB109" i="34" s="1"/>
  <c r="AC109" i="34" s="1"/>
  <c r="AD109" i="34" s="1"/>
  <c r="AE109" i="34" s="1"/>
  <c r="AF109" i="34" s="1"/>
  <c r="AG109" i="34" s="1"/>
  <c r="AH109" i="34" s="1"/>
  <c r="AG66" i="28"/>
  <c r="AG63" i="28"/>
  <c r="AG67" i="28"/>
  <c r="AG64" i="28"/>
  <c r="D85" i="28"/>
  <c r="C90" i="28"/>
  <c r="C86" i="28"/>
  <c r="C89" i="28"/>
  <c r="C88" i="28"/>
  <c r="C87" i="28"/>
  <c r="C91" i="28"/>
  <c r="AG86" i="28"/>
  <c r="AG91" i="28"/>
  <c r="AG88" i="28"/>
  <c r="AG89" i="28"/>
  <c r="AG90" i="28"/>
  <c r="AG87" i="28"/>
  <c r="D62" i="28"/>
  <c r="C63" i="28"/>
  <c r="C66" i="28"/>
  <c r="C67" i="28"/>
  <c r="C64" i="28"/>
  <c r="AG68" i="20"/>
  <c r="AG67" i="20"/>
  <c r="G25" i="28"/>
  <c r="F23" i="28"/>
  <c r="E14" i="34"/>
  <c r="E76" i="34" s="1"/>
  <c r="F76" i="34" s="1"/>
  <c r="G76" i="34" s="1"/>
  <c r="H76" i="34" s="1"/>
  <c r="I76" i="34" s="1"/>
  <c r="J76" i="34" s="1"/>
  <c r="K76" i="34" s="1"/>
  <c r="L76" i="34" s="1"/>
  <c r="M76" i="34" s="1"/>
  <c r="N76" i="34" s="1"/>
  <c r="O76" i="34" s="1"/>
  <c r="P76" i="34" s="1"/>
  <c r="Q76" i="34" s="1"/>
  <c r="R76" i="34" s="1"/>
  <c r="S76" i="34" s="1"/>
  <c r="T76" i="34" s="1"/>
  <c r="U76" i="34" s="1"/>
  <c r="V76" i="34" s="1"/>
  <c r="W76" i="34" s="1"/>
  <c r="X76" i="34" s="1"/>
  <c r="Y76" i="34" s="1"/>
  <c r="Z76" i="34" s="1"/>
  <c r="AA76" i="34" s="1"/>
  <c r="AB76" i="34" s="1"/>
  <c r="AC76" i="34" s="1"/>
  <c r="AD76" i="34" s="1"/>
  <c r="AE76" i="34" s="1"/>
  <c r="AF76" i="34" s="1"/>
  <c r="AG76" i="34" s="1"/>
  <c r="AH76" i="34" s="1"/>
  <c r="F15" i="34"/>
  <c r="E82" i="34" s="1"/>
  <c r="F82" i="34" s="1"/>
  <c r="G82" i="34" s="1"/>
  <c r="H82" i="34" s="1"/>
  <c r="I82" i="34" s="1"/>
  <c r="J82" i="34" s="1"/>
  <c r="K82" i="34" s="1"/>
  <c r="L82" i="34" s="1"/>
  <c r="M82" i="34" s="1"/>
  <c r="N82" i="34" s="1"/>
  <c r="O82" i="34" s="1"/>
  <c r="P82" i="34" s="1"/>
  <c r="Q82" i="34" s="1"/>
  <c r="R82" i="34" s="1"/>
  <c r="S82" i="34" s="1"/>
  <c r="T82" i="34" s="1"/>
  <c r="U82" i="34" s="1"/>
  <c r="V82" i="34" s="1"/>
  <c r="W82" i="34" s="1"/>
  <c r="X82" i="34" s="1"/>
  <c r="Y82" i="34" s="1"/>
  <c r="Z82" i="34" s="1"/>
  <c r="AA82" i="34" s="1"/>
  <c r="AB82" i="34" s="1"/>
  <c r="AC82" i="34" s="1"/>
  <c r="AD82" i="34" s="1"/>
  <c r="AE82" i="34" s="1"/>
  <c r="AF82" i="34" s="1"/>
  <c r="AG82" i="34" s="1"/>
  <c r="AH82" i="34" s="1"/>
  <c r="E22" i="34"/>
  <c r="C22" i="19"/>
  <c r="D22" i="19" s="1"/>
  <c r="E22" i="19" s="1"/>
  <c r="F22" i="19" s="1"/>
  <c r="G22" i="19" s="1"/>
  <c r="H22" i="19" s="1"/>
  <c r="I22" i="19" s="1"/>
  <c r="J22" i="19" s="1"/>
  <c r="K22" i="19" s="1"/>
  <c r="L22" i="19" s="1"/>
  <c r="M22" i="19" s="1"/>
  <c r="N22" i="19" s="1"/>
  <c r="O22" i="19" s="1"/>
  <c r="P22" i="19" s="1"/>
  <c r="Q22" i="19" s="1"/>
  <c r="R22" i="19" s="1"/>
  <c r="S22" i="19" s="1"/>
  <c r="T22" i="19" s="1"/>
  <c r="U22" i="19" s="1"/>
  <c r="V22" i="19" s="1"/>
  <c r="W22" i="19" s="1"/>
  <c r="X22" i="19" s="1"/>
  <c r="Y22" i="19" s="1"/>
  <c r="Z22" i="19" s="1"/>
  <c r="AA22" i="19" s="1"/>
  <c r="AB22" i="19" s="1"/>
  <c r="AC22" i="19" s="1"/>
  <c r="AD22" i="19" s="1"/>
  <c r="AE22" i="19" s="1"/>
  <c r="AF22" i="19" s="1"/>
  <c r="AG22" i="19" s="1"/>
  <c r="D22" i="20"/>
  <c r="E22" i="20" s="1"/>
  <c r="F22" i="20" s="1"/>
  <c r="G22" i="20" s="1"/>
  <c r="H22" i="20" s="1"/>
  <c r="I22" i="20" s="1"/>
  <c r="J22" i="20" s="1"/>
  <c r="K22" i="20" s="1"/>
  <c r="L22" i="20" s="1"/>
  <c r="M22" i="20" s="1"/>
  <c r="N22" i="20" s="1"/>
  <c r="O22" i="20" s="1"/>
  <c r="P22" i="20" s="1"/>
  <c r="Q22" i="20" s="1"/>
  <c r="R22" i="20" s="1"/>
  <c r="S22" i="20" s="1"/>
  <c r="T22" i="20" s="1"/>
  <c r="U22" i="20" s="1"/>
  <c r="V22" i="20" s="1"/>
  <c r="W22" i="20" s="1"/>
  <c r="X22" i="20" s="1"/>
  <c r="Y22" i="20" s="1"/>
  <c r="Z22" i="20" s="1"/>
  <c r="AA22" i="20" s="1"/>
  <c r="J79" i="33"/>
  <c r="J76" i="33"/>
  <c r="J69" i="33"/>
  <c r="J77" i="33" s="1"/>
  <c r="J78" i="33"/>
  <c r="J72" i="33"/>
  <c r="J80" i="33" s="1"/>
  <c r="J84" i="33"/>
  <c r="J85" i="33"/>
  <c r="J88" i="33"/>
  <c r="J86" i="33"/>
  <c r="J87" i="33"/>
  <c r="D13" i="34"/>
  <c r="E70" i="34" s="1"/>
  <c r="F70" i="34" s="1"/>
  <c r="G70" i="34" s="1"/>
  <c r="H70" i="34" s="1"/>
  <c r="I70" i="34" s="1"/>
  <c r="J70" i="34" s="1"/>
  <c r="K70" i="34" s="1"/>
  <c r="L70" i="34" s="1"/>
  <c r="M70" i="34" s="1"/>
  <c r="N70" i="34" s="1"/>
  <c r="O70" i="34" s="1"/>
  <c r="P70" i="34" s="1"/>
  <c r="Q70" i="34" s="1"/>
  <c r="R70" i="34" s="1"/>
  <c r="S70" i="34" s="1"/>
  <c r="T70" i="34" s="1"/>
  <c r="U70" i="34" s="1"/>
  <c r="V70" i="34" s="1"/>
  <c r="W70" i="34" s="1"/>
  <c r="X70" i="34" s="1"/>
  <c r="Y70" i="34" s="1"/>
  <c r="Z70" i="34" s="1"/>
  <c r="AA70" i="34" s="1"/>
  <c r="AB70" i="34" s="1"/>
  <c r="AC70" i="34" s="1"/>
  <c r="AD70" i="34" s="1"/>
  <c r="AE70" i="34" s="1"/>
  <c r="AF70" i="34" s="1"/>
  <c r="AG70" i="34" s="1"/>
  <c r="AH70" i="34" s="1"/>
  <c r="C170" i="20"/>
  <c r="C173" i="20"/>
  <c r="C171" i="20"/>
  <c r="C172" i="20"/>
  <c r="D169" i="20"/>
  <c r="C174" i="20"/>
  <c r="D29" i="34"/>
  <c r="E105" i="34" s="1"/>
  <c r="F105" i="34" s="1"/>
  <c r="G105" i="34" s="1"/>
  <c r="H105" i="34" s="1"/>
  <c r="I105" i="34" s="1"/>
  <c r="J105" i="34" s="1"/>
  <c r="K105" i="34" s="1"/>
  <c r="L105" i="34" s="1"/>
  <c r="M105" i="34" s="1"/>
  <c r="N105" i="34" s="1"/>
  <c r="O105" i="34" s="1"/>
  <c r="P105" i="34" s="1"/>
  <c r="Q105" i="34" s="1"/>
  <c r="R105" i="34" s="1"/>
  <c r="S105" i="34" s="1"/>
  <c r="T105" i="34" s="1"/>
  <c r="U105" i="34" s="1"/>
  <c r="V105" i="34" s="1"/>
  <c r="W105" i="34" s="1"/>
  <c r="X105" i="34" s="1"/>
  <c r="Y105" i="34" s="1"/>
  <c r="Z105" i="34" s="1"/>
  <c r="AA105" i="34" s="1"/>
  <c r="AB105" i="34" s="1"/>
  <c r="AC105" i="34" s="1"/>
  <c r="AD105" i="34" s="1"/>
  <c r="AE105" i="34" s="1"/>
  <c r="AF105" i="34" s="1"/>
  <c r="AG105" i="34" s="1"/>
  <c r="AH105" i="34" s="1"/>
  <c r="E23" i="34"/>
  <c r="E97" i="34" s="1"/>
  <c r="F97" i="34" s="1"/>
  <c r="G97" i="34" s="1"/>
  <c r="H97" i="34" s="1"/>
  <c r="I97" i="34" s="1"/>
  <c r="J97" i="34" s="1"/>
  <c r="K97" i="34" s="1"/>
  <c r="L97" i="34" s="1"/>
  <c r="M97" i="34" s="1"/>
  <c r="N97" i="34" s="1"/>
  <c r="O97" i="34" s="1"/>
  <c r="P97" i="34" s="1"/>
  <c r="Q97" i="34" s="1"/>
  <c r="R97" i="34" s="1"/>
  <c r="S97" i="34" s="1"/>
  <c r="T97" i="34" s="1"/>
  <c r="U97" i="34" s="1"/>
  <c r="V97" i="34" s="1"/>
  <c r="W97" i="34" s="1"/>
  <c r="X97" i="34" s="1"/>
  <c r="Y97" i="34" s="1"/>
  <c r="Z97" i="34" s="1"/>
  <c r="AA97" i="34" s="1"/>
  <c r="AB97" i="34" s="1"/>
  <c r="AC97" i="34" s="1"/>
  <c r="AD97" i="34" s="1"/>
  <c r="AE97" i="34" s="1"/>
  <c r="AF97" i="34" s="1"/>
  <c r="AG97" i="34" s="1"/>
  <c r="AH97" i="34" s="1"/>
  <c r="F11" i="34"/>
  <c r="C23" i="19"/>
  <c r="D23" i="19" s="1"/>
  <c r="E23" i="19" s="1"/>
  <c r="F23" i="19" s="1"/>
  <c r="G23" i="19" s="1"/>
  <c r="H23" i="19" s="1"/>
  <c r="I23" i="19" s="1"/>
  <c r="J23" i="19" s="1"/>
  <c r="K23" i="19" s="1"/>
  <c r="L23" i="19" s="1"/>
  <c r="M23" i="19" s="1"/>
  <c r="N23" i="19" s="1"/>
  <c r="O23" i="19" s="1"/>
  <c r="P23" i="19" s="1"/>
  <c r="Q23" i="19" s="1"/>
  <c r="R23" i="19" s="1"/>
  <c r="S23" i="19" s="1"/>
  <c r="T23" i="19" s="1"/>
  <c r="U23" i="19" s="1"/>
  <c r="V23" i="19" s="1"/>
  <c r="W23" i="19" s="1"/>
  <c r="X23" i="19" s="1"/>
  <c r="Y23" i="19" s="1"/>
  <c r="Z23" i="19" s="1"/>
  <c r="AA23" i="19" s="1"/>
  <c r="AB23" i="19" s="1"/>
  <c r="AC23" i="19" s="1"/>
  <c r="AD23" i="19" s="1"/>
  <c r="AE23" i="19" s="1"/>
  <c r="AF23" i="19" s="1"/>
  <c r="AG23" i="19" s="1"/>
  <c r="D23" i="20"/>
  <c r="E23" i="20" s="1"/>
  <c r="F23" i="20" s="1"/>
  <c r="G23" i="20" s="1"/>
  <c r="H23" i="20" s="1"/>
  <c r="I23" i="20" s="1"/>
  <c r="J23" i="20" s="1"/>
  <c r="K23" i="20" s="1"/>
  <c r="L23" i="20" s="1"/>
  <c r="M23" i="20" s="1"/>
  <c r="N23" i="20" s="1"/>
  <c r="O23" i="20" s="1"/>
  <c r="P23" i="20" s="1"/>
  <c r="Q23" i="20" s="1"/>
  <c r="R23" i="20" s="1"/>
  <c r="S23" i="20" s="1"/>
  <c r="T23" i="20" s="1"/>
  <c r="U23" i="20" s="1"/>
  <c r="V23" i="20" s="1"/>
  <c r="W23" i="20" s="1"/>
  <c r="X23" i="20" s="1"/>
  <c r="Y23" i="20" s="1"/>
  <c r="Z23" i="20" s="1"/>
  <c r="AA23" i="20" s="1"/>
  <c r="C268" i="19"/>
  <c r="D310" i="20"/>
  <c r="E13" i="34"/>
  <c r="E75" i="34" s="1"/>
  <c r="F75" i="34" s="1"/>
  <c r="G75" i="34" s="1"/>
  <c r="H75" i="34" s="1"/>
  <c r="I75" i="34" s="1"/>
  <c r="J75" i="34" s="1"/>
  <c r="K75" i="34" s="1"/>
  <c r="L75" i="34" s="1"/>
  <c r="M75" i="34" s="1"/>
  <c r="N75" i="34" s="1"/>
  <c r="O75" i="34" s="1"/>
  <c r="P75" i="34" s="1"/>
  <c r="Q75" i="34" s="1"/>
  <c r="R75" i="34" s="1"/>
  <c r="S75" i="34" s="1"/>
  <c r="T75" i="34" s="1"/>
  <c r="U75" i="34" s="1"/>
  <c r="V75" i="34" s="1"/>
  <c r="W75" i="34" s="1"/>
  <c r="X75" i="34" s="1"/>
  <c r="Y75" i="34" s="1"/>
  <c r="Z75" i="34" s="1"/>
  <c r="AA75" i="34" s="1"/>
  <c r="AB75" i="34" s="1"/>
  <c r="AC75" i="34" s="1"/>
  <c r="AD75" i="34" s="1"/>
  <c r="AE75" i="34" s="1"/>
  <c r="AF75" i="34" s="1"/>
  <c r="AG75" i="34" s="1"/>
  <c r="AH75" i="34" s="1"/>
  <c r="AG172" i="20"/>
  <c r="AG173" i="20"/>
  <c r="AG170" i="20"/>
  <c r="AG174" i="20"/>
  <c r="AG171" i="20"/>
  <c r="F23" i="34"/>
  <c r="E102" i="34" s="1"/>
  <c r="F102" i="34" s="1"/>
  <c r="G102" i="34" s="1"/>
  <c r="H102" i="34" s="1"/>
  <c r="I102" i="34" s="1"/>
  <c r="J102" i="34" s="1"/>
  <c r="K102" i="34" s="1"/>
  <c r="L102" i="34" s="1"/>
  <c r="M102" i="34" s="1"/>
  <c r="N102" i="34" s="1"/>
  <c r="O102" i="34" s="1"/>
  <c r="P102" i="34" s="1"/>
  <c r="Q102" i="34" s="1"/>
  <c r="R102" i="34" s="1"/>
  <c r="S102" i="34" s="1"/>
  <c r="T102" i="34" s="1"/>
  <c r="U102" i="34" s="1"/>
  <c r="V102" i="34" s="1"/>
  <c r="W102" i="34" s="1"/>
  <c r="X102" i="34" s="1"/>
  <c r="Y102" i="34" s="1"/>
  <c r="Z102" i="34" s="1"/>
  <c r="AA102" i="34" s="1"/>
  <c r="AB102" i="34" s="1"/>
  <c r="AC102" i="34" s="1"/>
  <c r="AD102" i="34" s="1"/>
  <c r="AE102" i="34" s="1"/>
  <c r="AF102" i="34" s="1"/>
  <c r="AG102" i="34" s="1"/>
  <c r="AH102" i="34" s="1"/>
  <c r="D211" i="20"/>
  <c r="E211" i="20" s="1"/>
  <c r="F211" i="20" s="1"/>
  <c r="G211" i="20" s="1"/>
  <c r="H211" i="20" s="1"/>
  <c r="I211" i="20" s="1"/>
  <c r="J211" i="20" s="1"/>
  <c r="K211" i="20" s="1"/>
  <c r="L211" i="20" s="1"/>
  <c r="M211" i="20" s="1"/>
  <c r="N211" i="20" s="1"/>
  <c r="O211" i="20" s="1"/>
  <c r="P211" i="20" s="1"/>
  <c r="Q211" i="20" s="1"/>
  <c r="R211" i="20" s="1"/>
  <c r="S211" i="20" s="1"/>
  <c r="T211" i="20" s="1"/>
  <c r="U211" i="20" s="1"/>
  <c r="V211" i="20" s="1"/>
  <c r="W211" i="20" s="1"/>
  <c r="X211" i="20" s="1"/>
  <c r="Y211" i="20" s="1"/>
  <c r="Z211" i="20" s="1"/>
  <c r="AA211" i="20" s="1"/>
  <c r="AB211" i="20" s="1"/>
  <c r="AC211" i="20" s="1"/>
  <c r="AD211" i="20" s="1"/>
  <c r="AE211" i="20" s="1"/>
  <c r="AF211" i="20" s="1"/>
  <c r="G24" i="28"/>
  <c r="M74" i="12"/>
  <c r="M219" i="12" s="1"/>
  <c r="M230" i="12" s="1"/>
  <c r="M78" i="12"/>
  <c r="M79" i="12"/>
  <c r="M80" i="12"/>
  <c r="M75" i="12"/>
  <c r="M76" i="12"/>
  <c r="M77" i="12"/>
  <c r="AG9" i="20"/>
  <c r="AG8" i="20"/>
  <c r="N74" i="14"/>
  <c r="N219" i="14" s="1"/>
  <c r="N230" i="14" s="1"/>
  <c r="N80" i="14"/>
  <c r="N78" i="14"/>
  <c r="N76" i="14"/>
  <c r="N75" i="14"/>
  <c r="N79" i="14"/>
  <c r="N77" i="14"/>
  <c r="AB11" i="20"/>
  <c r="AB10" i="20"/>
  <c r="AA12" i="20"/>
  <c r="R33" i="11"/>
  <c r="Q34" i="11"/>
  <c r="Q35" i="11" s="1"/>
  <c r="Q36" i="11" s="1"/>
  <c r="P29" i="13"/>
  <c r="P30" i="13" s="1"/>
  <c r="Q28" i="13"/>
  <c r="O32" i="13"/>
  <c r="O73" i="14" s="1"/>
  <c r="O31" i="13"/>
  <c r="O33" i="13" s="1"/>
  <c r="O64" i="36" s="1"/>
  <c r="N73" i="12"/>
  <c r="AF7" i="20"/>
  <c r="P31" i="15"/>
  <c r="D35" i="47" l="1"/>
  <c r="D6" i="41"/>
  <c r="C67" i="20"/>
  <c r="D243" i="48"/>
  <c r="D156" i="53"/>
  <c r="C133" i="54"/>
  <c r="AQ4" i="51"/>
  <c r="AQ57" i="58" s="1"/>
  <c r="CG57" i="58" s="1"/>
  <c r="CG58" i="58" s="1"/>
  <c r="K57" i="58"/>
  <c r="AQ96" i="55"/>
  <c r="DC96" i="55" s="1"/>
  <c r="L96" i="55"/>
  <c r="Q39" i="11"/>
  <c r="Q37" i="11"/>
  <c r="Q40" i="11"/>
  <c r="Q66" i="45" s="1"/>
  <c r="AW66" i="45" s="1"/>
  <c r="Q38" i="11"/>
  <c r="BI37" i="36"/>
  <c r="BI81" i="36" s="1"/>
  <c r="J52" i="45"/>
  <c r="L95" i="55"/>
  <c r="AQ95" i="55"/>
  <c r="DC95" i="55" s="1"/>
  <c r="P61" i="45"/>
  <c r="AV61" i="45" s="1"/>
  <c r="AV63" i="45" s="1"/>
  <c r="P64" i="45"/>
  <c r="AV64" i="45" s="1"/>
  <c r="F21" i="54"/>
  <c r="G24" i="54"/>
  <c r="F22" i="54"/>
  <c r="F23" i="54"/>
  <c r="F25" i="54"/>
  <c r="D156" i="54"/>
  <c r="D157" i="54" s="1"/>
  <c r="X5" i="50"/>
  <c r="L4" i="51"/>
  <c r="AK19" i="45"/>
  <c r="C66" i="54"/>
  <c r="J53" i="45"/>
  <c r="D65" i="54"/>
  <c r="D64" i="54"/>
  <c r="D70" i="54"/>
  <c r="E63" i="54"/>
  <c r="D67" i="54"/>
  <c r="D69" i="54"/>
  <c r="D76" i="54" s="1"/>
  <c r="D77" i="54" s="1"/>
  <c r="D68" i="54"/>
  <c r="AG65" i="54"/>
  <c r="AG64" i="54"/>
  <c r="AG70" i="54"/>
  <c r="AG69" i="54"/>
  <c r="AG76" i="54" s="1"/>
  <c r="AG77" i="54" s="1"/>
  <c r="AG68" i="54"/>
  <c r="AG67" i="54"/>
  <c r="C134" i="54"/>
  <c r="C135" i="54"/>
  <c r="AG66" i="53"/>
  <c r="D139" i="46"/>
  <c r="AG140" i="46"/>
  <c r="AG141" i="46"/>
  <c r="AG144" i="46" s="1"/>
  <c r="AG203" i="46"/>
  <c r="E147" i="53"/>
  <c r="D148" i="53"/>
  <c r="C134" i="53"/>
  <c r="C135" i="53"/>
  <c r="C133" i="53"/>
  <c r="E156" i="53"/>
  <c r="D157" i="53"/>
  <c r="C77" i="53"/>
  <c r="D65" i="53"/>
  <c r="D69" i="53"/>
  <c r="D76" i="53" s="1"/>
  <c r="D67" i="53"/>
  <c r="D68" i="53"/>
  <c r="D64" i="53"/>
  <c r="E63" i="53"/>
  <c r="D70" i="53"/>
  <c r="C66" i="53"/>
  <c r="AE89" i="47"/>
  <c r="AF89" i="47" s="1"/>
  <c r="AG89" i="47" s="1"/>
  <c r="AH89" i="47" s="1"/>
  <c r="AG77" i="53"/>
  <c r="BK32" i="36"/>
  <c r="C102" i="53"/>
  <c r="AG134" i="53"/>
  <c r="AG135" i="53"/>
  <c r="AG104" i="53"/>
  <c r="AG103" i="53"/>
  <c r="AG105" i="53"/>
  <c r="AG133" i="53"/>
  <c r="AG102" i="53"/>
  <c r="C105" i="53"/>
  <c r="C104" i="53"/>
  <c r="C103" i="53"/>
  <c r="D132" i="53"/>
  <c r="D131" i="53"/>
  <c r="D100" i="53"/>
  <c r="D101" i="53"/>
  <c r="G21" i="53"/>
  <c r="H24" i="53"/>
  <c r="G23" i="53"/>
  <c r="G22" i="53"/>
  <c r="G25" i="53"/>
  <c r="J51" i="45"/>
  <c r="J92" i="45" s="1"/>
  <c r="AG205" i="48"/>
  <c r="F14" i="47"/>
  <c r="D28" i="47"/>
  <c r="C68" i="20"/>
  <c r="C70" i="20" s="1"/>
  <c r="J88" i="45"/>
  <c r="C205" i="46"/>
  <c r="AL41" i="45"/>
  <c r="E38" i="48" s="1"/>
  <c r="F83" i="47"/>
  <c r="G83" i="47" s="1"/>
  <c r="H83" i="47" s="1"/>
  <c r="I83" i="47" s="1"/>
  <c r="J83" i="47" s="1"/>
  <c r="K83" i="47" s="1"/>
  <c r="L83" i="47" s="1"/>
  <c r="M83" i="47" s="1"/>
  <c r="N83" i="47" s="1"/>
  <c r="O83" i="47" s="1"/>
  <c r="P83" i="47" s="1"/>
  <c r="Q83" i="47" s="1"/>
  <c r="R83" i="47" s="1"/>
  <c r="S83" i="47" s="1"/>
  <c r="T83" i="47" s="1"/>
  <c r="U83" i="47" s="1"/>
  <c r="V83" i="47" s="1"/>
  <c r="W83" i="47" s="1"/>
  <c r="X83" i="47" s="1"/>
  <c r="Y83" i="47" s="1"/>
  <c r="Z83" i="47" s="1"/>
  <c r="AA83" i="47" s="1"/>
  <c r="AB83" i="47" s="1"/>
  <c r="AC83" i="47" s="1"/>
  <c r="AD83" i="47" s="1"/>
  <c r="AE83" i="47" s="1"/>
  <c r="AF83" i="47" s="1"/>
  <c r="AG83" i="47" s="1"/>
  <c r="AH83" i="47" s="1"/>
  <c r="E42" i="47"/>
  <c r="E7" i="47"/>
  <c r="F49" i="47"/>
  <c r="G49" i="47" s="1"/>
  <c r="H49" i="47" s="1"/>
  <c r="I49" i="47" s="1"/>
  <c r="J49" i="47" s="1"/>
  <c r="K49" i="47" s="1"/>
  <c r="L49" i="47" s="1"/>
  <c r="M49" i="47" s="1"/>
  <c r="N49" i="47" s="1"/>
  <c r="O49" i="47" s="1"/>
  <c r="P49" i="47" s="1"/>
  <c r="Q49" i="47" s="1"/>
  <c r="R49" i="47" s="1"/>
  <c r="S49" i="47" s="1"/>
  <c r="T49" i="47" s="1"/>
  <c r="U49" i="47" s="1"/>
  <c r="V49" i="47" s="1"/>
  <c r="W49" i="47" s="1"/>
  <c r="X49" i="47" s="1"/>
  <c r="Y49" i="47" s="1"/>
  <c r="Z49" i="47" s="1"/>
  <c r="AA49" i="47" s="1"/>
  <c r="AB49" i="47" s="1"/>
  <c r="AC49" i="47" s="1"/>
  <c r="AD49" i="47" s="1"/>
  <c r="AE49" i="47" s="1"/>
  <c r="AF49" i="47" s="1"/>
  <c r="AG49" i="47" s="1"/>
  <c r="AH49" i="47" s="1"/>
  <c r="F71" i="47"/>
  <c r="G71" i="47" s="1"/>
  <c r="H71" i="47" s="1"/>
  <c r="I71" i="47" s="1"/>
  <c r="J71" i="47" s="1"/>
  <c r="K71" i="47" s="1"/>
  <c r="L71" i="47" s="1"/>
  <c r="M71" i="47" s="1"/>
  <c r="N71" i="47" s="1"/>
  <c r="O71" i="47" s="1"/>
  <c r="P71" i="47" s="1"/>
  <c r="Q71" i="47" s="1"/>
  <c r="R71" i="47" s="1"/>
  <c r="S71" i="47" s="1"/>
  <c r="T71" i="47" s="1"/>
  <c r="U71" i="47" s="1"/>
  <c r="V71" i="47" s="1"/>
  <c r="W71" i="47" s="1"/>
  <c r="X71" i="47" s="1"/>
  <c r="Y71" i="47" s="1"/>
  <c r="Z71" i="47" s="1"/>
  <c r="AA71" i="47" s="1"/>
  <c r="AB71" i="47" s="1"/>
  <c r="AC71" i="47" s="1"/>
  <c r="AD71" i="47" s="1"/>
  <c r="AE71" i="47" s="1"/>
  <c r="AF71" i="47" s="1"/>
  <c r="AG71" i="47" s="1"/>
  <c r="AH71" i="47" s="1"/>
  <c r="F59" i="47"/>
  <c r="G59" i="47" s="1"/>
  <c r="H59" i="47" s="1"/>
  <c r="I59" i="47" s="1"/>
  <c r="J59" i="47" s="1"/>
  <c r="K59" i="47" s="1"/>
  <c r="L59" i="47" s="1"/>
  <c r="M59" i="47" s="1"/>
  <c r="N59" i="47" s="1"/>
  <c r="O59" i="47" s="1"/>
  <c r="P59" i="47" s="1"/>
  <c r="Q59" i="47" s="1"/>
  <c r="R59" i="47" s="1"/>
  <c r="S59" i="47" s="1"/>
  <c r="T59" i="47" s="1"/>
  <c r="U59" i="47" s="1"/>
  <c r="V59" i="47" s="1"/>
  <c r="W59" i="47" s="1"/>
  <c r="X59" i="47" s="1"/>
  <c r="Y59" i="47" s="1"/>
  <c r="Z59" i="47" s="1"/>
  <c r="AA59" i="47" s="1"/>
  <c r="AB59" i="47" s="1"/>
  <c r="AC59" i="47" s="1"/>
  <c r="AD59" i="47" s="1"/>
  <c r="AE59" i="47" s="1"/>
  <c r="AF59" i="47" s="1"/>
  <c r="AG59" i="47" s="1"/>
  <c r="AH59" i="47" s="1"/>
  <c r="F80" i="47"/>
  <c r="G80" i="47" s="1"/>
  <c r="H80" i="47" s="1"/>
  <c r="I80" i="47" s="1"/>
  <c r="J80" i="47" s="1"/>
  <c r="K80" i="47" s="1"/>
  <c r="L80" i="47" s="1"/>
  <c r="M80" i="47" s="1"/>
  <c r="N80" i="47" s="1"/>
  <c r="O80" i="47" s="1"/>
  <c r="P80" i="47" s="1"/>
  <c r="Q80" i="47" s="1"/>
  <c r="R80" i="47" s="1"/>
  <c r="S80" i="47" s="1"/>
  <c r="T80" i="47" s="1"/>
  <c r="U80" i="47" s="1"/>
  <c r="V80" i="47" s="1"/>
  <c r="W80" i="47" s="1"/>
  <c r="X80" i="47" s="1"/>
  <c r="Y80" i="47" s="1"/>
  <c r="Z80" i="47" s="1"/>
  <c r="AA80" i="47" s="1"/>
  <c r="AB80" i="47" s="1"/>
  <c r="AC80" i="47" s="1"/>
  <c r="AD80" i="47" s="1"/>
  <c r="AE80" i="47" s="1"/>
  <c r="AF80" i="47" s="1"/>
  <c r="AG80" i="47" s="1"/>
  <c r="AH80" i="47" s="1"/>
  <c r="F57" i="47"/>
  <c r="G57" i="47" s="1"/>
  <c r="H57" i="47" s="1"/>
  <c r="I57" i="47" s="1"/>
  <c r="J57" i="47" s="1"/>
  <c r="K57" i="47" s="1"/>
  <c r="L57" i="47" s="1"/>
  <c r="M57" i="47" s="1"/>
  <c r="N57" i="47" s="1"/>
  <c r="O57" i="47" s="1"/>
  <c r="P57" i="47" s="1"/>
  <c r="Q57" i="47" s="1"/>
  <c r="R57" i="47" s="1"/>
  <c r="S57" i="47" s="1"/>
  <c r="T57" i="47" s="1"/>
  <c r="U57" i="47" s="1"/>
  <c r="V57" i="47" s="1"/>
  <c r="W57" i="47" s="1"/>
  <c r="X57" i="47" s="1"/>
  <c r="Y57" i="47" s="1"/>
  <c r="Z57" i="47" s="1"/>
  <c r="AA57" i="47" s="1"/>
  <c r="AB57" i="47" s="1"/>
  <c r="AC57" i="47" s="1"/>
  <c r="AD57" i="47" s="1"/>
  <c r="AE57" i="47" s="1"/>
  <c r="AF57" i="47" s="1"/>
  <c r="AG57" i="47" s="1"/>
  <c r="AH57" i="47" s="1"/>
  <c r="F78" i="47"/>
  <c r="G78" i="47" s="1"/>
  <c r="H78" i="47" s="1"/>
  <c r="I78" i="47" s="1"/>
  <c r="J78" i="47" s="1"/>
  <c r="K78" i="47" s="1"/>
  <c r="L78" i="47" s="1"/>
  <c r="M78" i="47" s="1"/>
  <c r="N78" i="47" s="1"/>
  <c r="O78" i="47" s="1"/>
  <c r="P78" i="47" s="1"/>
  <c r="Q78" i="47" s="1"/>
  <c r="R78" i="47" s="1"/>
  <c r="S78" i="47" s="1"/>
  <c r="T78" i="47" s="1"/>
  <c r="U78" i="47" s="1"/>
  <c r="V78" i="47" s="1"/>
  <c r="W78" i="47" s="1"/>
  <c r="X78" i="47" s="1"/>
  <c r="Y78" i="47" s="1"/>
  <c r="Z78" i="47" s="1"/>
  <c r="AA78" i="47" s="1"/>
  <c r="AB78" i="47" s="1"/>
  <c r="AC78" i="47" s="1"/>
  <c r="AD78" i="47" s="1"/>
  <c r="AE78" i="47" s="1"/>
  <c r="AF78" i="47" s="1"/>
  <c r="AG78" i="47" s="1"/>
  <c r="AH78" i="47" s="1"/>
  <c r="F70" i="47"/>
  <c r="G70" i="47" s="1"/>
  <c r="H70" i="47" s="1"/>
  <c r="I70" i="47" s="1"/>
  <c r="J70" i="47" s="1"/>
  <c r="K70" i="47" s="1"/>
  <c r="L70" i="47" s="1"/>
  <c r="M70" i="47" s="1"/>
  <c r="N70" i="47" s="1"/>
  <c r="O70" i="47" s="1"/>
  <c r="P70" i="47" s="1"/>
  <c r="Q70" i="47" s="1"/>
  <c r="R70" i="47" s="1"/>
  <c r="S70" i="47" s="1"/>
  <c r="T70" i="47" s="1"/>
  <c r="U70" i="47" s="1"/>
  <c r="V70" i="47" s="1"/>
  <c r="W70" i="47" s="1"/>
  <c r="X70" i="47" s="1"/>
  <c r="Y70" i="47" s="1"/>
  <c r="Z70" i="47" s="1"/>
  <c r="AA70" i="47" s="1"/>
  <c r="AB70" i="47" s="1"/>
  <c r="AC70" i="47" s="1"/>
  <c r="AD70" i="47" s="1"/>
  <c r="AE70" i="47" s="1"/>
  <c r="AF70" i="47" s="1"/>
  <c r="AG70" i="47" s="1"/>
  <c r="AH70" i="47" s="1"/>
  <c r="F43" i="47"/>
  <c r="G43" i="47" s="1"/>
  <c r="H43" i="47" s="1"/>
  <c r="I43" i="47" s="1"/>
  <c r="J43" i="47" s="1"/>
  <c r="K43" i="47" s="1"/>
  <c r="L43" i="47" s="1"/>
  <c r="M43" i="47" s="1"/>
  <c r="N43" i="47" s="1"/>
  <c r="O43" i="47" s="1"/>
  <c r="P43" i="47" s="1"/>
  <c r="Q43" i="47" s="1"/>
  <c r="R43" i="47" s="1"/>
  <c r="S43" i="47" s="1"/>
  <c r="T43" i="47" s="1"/>
  <c r="U43" i="47" s="1"/>
  <c r="V43" i="47" s="1"/>
  <c r="W43" i="47" s="1"/>
  <c r="X43" i="47" s="1"/>
  <c r="Y43" i="47" s="1"/>
  <c r="Z43" i="47" s="1"/>
  <c r="AA43" i="47" s="1"/>
  <c r="AB43" i="47" s="1"/>
  <c r="AC43" i="47" s="1"/>
  <c r="AD43" i="47" s="1"/>
  <c r="AE43" i="47" s="1"/>
  <c r="AF43" i="47" s="1"/>
  <c r="AG43" i="47" s="1"/>
  <c r="AH43" i="47" s="1"/>
  <c r="F51" i="47"/>
  <c r="G51" i="47" s="1"/>
  <c r="H51" i="47" s="1"/>
  <c r="I51" i="47" s="1"/>
  <c r="J51" i="47" s="1"/>
  <c r="K51" i="47" s="1"/>
  <c r="L51" i="47" s="1"/>
  <c r="M51" i="47" s="1"/>
  <c r="N51" i="47" s="1"/>
  <c r="O51" i="47" s="1"/>
  <c r="P51" i="47" s="1"/>
  <c r="Q51" i="47" s="1"/>
  <c r="R51" i="47" s="1"/>
  <c r="S51" i="47" s="1"/>
  <c r="T51" i="47" s="1"/>
  <c r="U51" i="47" s="1"/>
  <c r="V51" i="47" s="1"/>
  <c r="W51" i="47" s="1"/>
  <c r="X51" i="47" s="1"/>
  <c r="Y51" i="47" s="1"/>
  <c r="Z51" i="47" s="1"/>
  <c r="AA51" i="47" s="1"/>
  <c r="AB51" i="47" s="1"/>
  <c r="AC51" i="47" s="1"/>
  <c r="AD51" i="47" s="1"/>
  <c r="AE51" i="47" s="1"/>
  <c r="AF51" i="47" s="1"/>
  <c r="AG51" i="47" s="1"/>
  <c r="AH51" i="47" s="1"/>
  <c r="F82" i="47"/>
  <c r="G82" i="47" s="1"/>
  <c r="H82" i="47" s="1"/>
  <c r="I82" i="47" s="1"/>
  <c r="J82" i="47" s="1"/>
  <c r="K82" i="47" s="1"/>
  <c r="L82" i="47" s="1"/>
  <c r="M82" i="47" s="1"/>
  <c r="N82" i="47" s="1"/>
  <c r="O82" i="47" s="1"/>
  <c r="P82" i="47" s="1"/>
  <c r="Q82" i="47" s="1"/>
  <c r="R82" i="47" s="1"/>
  <c r="S82" i="47" s="1"/>
  <c r="T82" i="47" s="1"/>
  <c r="U82" i="47" s="1"/>
  <c r="V82" i="47" s="1"/>
  <c r="W82" i="47" s="1"/>
  <c r="X82" i="47" s="1"/>
  <c r="Y82" i="47" s="1"/>
  <c r="Z82" i="47" s="1"/>
  <c r="AA82" i="47" s="1"/>
  <c r="AB82" i="47" s="1"/>
  <c r="AC82" i="47" s="1"/>
  <c r="AD82" i="47" s="1"/>
  <c r="AE82" i="47" s="1"/>
  <c r="AF82" i="47" s="1"/>
  <c r="AG82" i="47" s="1"/>
  <c r="AH82" i="47" s="1"/>
  <c r="AG64" i="46"/>
  <c r="F53" i="47"/>
  <c r="G53" i="47" s="1"/>
  <c r="H53" i="47" s="1"/>
  <c r="I53" i="47" s="1"/>
  <c r="J53" i="47" s="1"/>
  <c r="K53" i="47" s="1"/>
  <c r="L53" i="47" s="1"/>
  <c r="M53" i="47" s="1"/>
  <c r="N53" i="47" s="1"/>
  <c r="O53" i="47" s="1"/>
  <c r="P53" i="47" s="1"/>
  <c r="Q53" i="47" s="1"/>
  <c r="R53" i="47" s="1"/>
  <c r="S53" i="47" s="1"/>
  <c r="T53" i="47" s="1"/>
  <c r="U53" i="47" s="1"/>
  <c r="V53" i="47" s="1"/>
  <c r="W53" i="47" s="1"/>
  <c r="X53" i="47" s="1"/>
  <c r="Y53" i="47" s="1"/>
  <c r="Z53" i="47" s="1"/>
  <c r="AA53" i="47" s="1"/>
  <c r="AB53" i="47" s="1"/>
  <c r="AC53" i="47" s="1"/>
  <c r="AD53" i="47" s="1"/>
  <c r="AE53" i="47" s="1"/>
  <c r="AF53" i="47" s="1"/>
  <c r="AG53" i="47" s="1"/>
  <c r="AH53" i="47" s="1"/>
  <c r="F66" i="47"/>
  <c r="G66" i="47" s="1"/>
  <c r="H66" i="47" s="1"/>
  <c r="I66" i="47" s="1"/>
  <c r="J66" i="47" s="1"/>
  <c r="K66" i="47" s="1"/>
  <c r="L66" i="47" s="1"/>
  <c r="M66" i="47" s="1"/>
  <c r="N66" i="47" s="1"/>
  <c r="O66" i="47" s="1"/>
  <c r="P66" i="47" s="1"/>
  <c r="Q66" i="47" s="1"/>
  <c r="R66" i="47" s="1"/>
  <c r="S66" i="47" s="1"/>
  <c r="T66" i="47" s="1"/>
  <c r="U66" i="47" s="1"/>
  <c r="V66" i="47" s="1"/>
  <c r="W66" i="47" s="1"/>
  <c r="X66" i="47" s="1"/>
  <c r="Y66" i="47" s="1"/>
  <c r="Z66" i="47" s="1"/>
  <c r="AA66" i="47" s="1"/>
  <c r="AB66" i="47" s="1"/>
  <c r="AC66" i="47" s="1"/>
  <c r="AD66" i="47" s="1"/>
  <c r="AE66" i="47" s="1"/>
  <c r="AF66" i="47" s="1"/>
  <c r="AG66" i="47" s="1"/>
  <c r="AH66" i="47" s="1"/>
  <c r="F52" i="47"/>
  <c r="G52" i="47" s="1"/>
  <c r="H52" i="47" s="1"/>
  <c r="I52" i="47" s="1"/>
  <c r="J52" i="47" s="1"/>
  <c r="K52" i="47" s="1"/>
  <c r="L52" i="47" s="1"/>
  <c r="M52" i="47" s="1"/>
  <c r="N52" i="47" s="1"/>
  <c r="O52" i="47" s="1"/>
  <c r="P52" i="47" s="1"/>
  <c r="Q52" i="47" s="1"/>
  <c r="R52" i="47" s="1"/>
  <c r="S52" i="47" s="1"/>
  <c r="T52" i="47" s="1"/>
  <c r="U52" i="47" s="1"/>
  <c r="V52" i="47" s="1"/>
  <c r="W52" i="47" s="1"/>
  <c r="X52" i="47" s="1"/>
  <c r="Y52" i="47" s="1"/>
  <c r="Z52" i="47" s="1"/>
  <c r="AA52" i="47" s="1"/>
  <c r="AB52" i="47" s="1"/>
  <c r="AC52" i="47" s="1"/>
  <c r="AD52" i="47" s="1"/>
  <c r="AE52" i="47" s="1"/>
  <c r="AF52" i="47" s="1"/>
  <c r="AG52" i="47" s="1"/>
  <c r="AH52" i="47" s="1"/>
  <c r="F68" i="47"/>
  <c r="G68" i="47" s="1"/>
  <c r="H68" i="47" s="1"/>
  <c r="I68" i="47" s="1"/>
  <c r="J68" i="47" s="1"/>
  <c r="K68" i="47" s="1"/>
  <c r="L68" i="47" s="1"/>
  <c r="M68" i="47" s="1"/>
  <c r="N68" i="47" s="1"/>
  <c r="O68" i="47" s="1"/>
  <c r="P68" i="47" s="1"/>
  <c r="Q68" i="47" s="1"/>
  <c r="R68" i="47" s="1"/>
  <c r="S68" i="47" s="1"/>
  <c r="T68" i="47" s="1"/>
  <c r="U68" i="47" s="1"/>
  <c r="V68" i="47" s="1"/>
  <c r="W68" i="47" s="1"/>
  <c r="X68" i="47" s="1"/>
  <c r="Y68" i="47" s="1"/>
  <c r="Z68" i="47" s="1"/>
  <c r="AA68" i="47" s="1"/>
  <c r="AB68" i="47" s="1"/>
  <c r="AC68" i="47" s="1"/>
  <c r="AD68" i="47" s="1"/>
  <c r="AE68" i="47" s="1"/>
  <c r="AF68" i="47" s="1"/>
  <c r="AG68" i="47" s="1"/>
  <c r="AH68" i="47" s="1"/>
  <c r="F64" i="47"/>
  <c r="G64" i="47" s="1"/>
  <c r="H64" i="47" s="1"/>
  <c r="I64" i="47" s="1"/>
  <c r="J64" i="47" s="1"/>
  <c r="K64" i="47" s="1"/>
  <c r="L64" i="47" s="1"/>
  <c r="M64" i="47" s="1"/>
  <c r="N64" i="47" s="1"/>
  <c r="O64" i="47" s="1"/>
  <c r="P64" i="47" s="1"/>
  <c r="Q64" i="47" s="1"/>
  <c r="R64" i="47" s="1"/>
  <c r="S64" i="47" s="1"/>
  <c r="T64" i="47" s="1"/>
  <c r="U64" i="47" s="1"/>
  <c r="V64" i="47" s="1"/>
  <c r="W64" i="47" s="1"/>
  <c r="X64" i="47" s="1"/>
  <c r="Y64" i="47" s="1"/>
  <c r="Z64" i="47" s="1"/>
  <c r="AA64" i="47" s="1"/>
  <c r="AB64" i="47" s="1"/>
  <c r="AC64" i="47" s="1"/>
  <c r="AD64" i="47" s="1"/>
  <c r="AE64" i="47" s="1"/>
  <c r="AF64" i="47" s="1"/>
  <c r="AG64" i="47" s="1"/>
  <c r="AH64" i="47" s="1"/>
  <c r="F84" i="47"/>
  <c r="G84" i="47" s="1"/>
  <c r="H84" i="47" s="1"/>
  <c r="I84" i="47" s="1"/>
  <c r="J84" i="47" s="1"/>
  <c r="K84" i="47" s="1"/>
  <c r="L84" i="47" s="1"/>
  <c r="M84" i="47" s="1"/>
  <c r="N84" i="47" s="1"/>
  <c r="O84" i="47" s="1"/>
  <c r="P84" i="47" s="1"/>
  <c r="Q84" i="47" s="1"/>
  <c r="R84" i="47" s="1"/>
  <c r="S84" i="47" s="1"/>
  <c r="T84" i="47" s="1"/>
  <c r="U84" i="47" s="1"/>
  <c r="V84" i="47" s="1"/>
  <c r="W84" i="47" s="1"/>
  <c r="X84" i="47" s="1"/>
  <c r="Y84" i="47" s="1"/>
  <c r="Z84" i="47" s="1"/>
  <c r="AA84" i="47" s="1"/>
  <c r="AB84" i="47" s="1"/>
  <c r="AC84" i="47" s="1"/>
  <c r="AD84" i="47" s="1"/>
  <c r="AE84" i="47" s="1"/>
  <c r="AF84" i="47" s="1"/>
  <c r="AG84" i="47" s="1"/>
  <c r="AH84" i="47" s="1"/>
  <c r="F56" i="47"/>
  <c r="G56" i="47" s="1"/>
  <c r="H56" i="47" s="1"/>
  <c r="I56" i="47" s="1"/>
  <c r="J56" i="47" s="1"/>
  <c r="K56" i="47" s="1"/>
  <c r="L56" i="47" s="1"/>
  <c r="M56" i="47" s="1"/>
  <c r="N56" i="47" s="1"/>
  <c r="O56" i="47" s="1"/>
  <c r="P56" i="47" s="1"/>
  <c r="Q56" i="47" s="1"/>
  <c r="R56" i="47" s="1"/>
  <c r="S56" i="47" s="1"/>
  <c r="T56" i="47" s="1"/>
  <c r="U56" i="47" s="1"/>
  <c r="V56" i="47" s="1"/>
  <c r="W56" i="47" s="1"/>
  <c r="X56" i="47" s="1"/>
  <c r="Y56" i="47" s="1"/>
  <c r="Z56" i="47" s="1"/>
  <c r="AA56" i="47" s="1"/>
  <c r="AB56" i="47" s="1"/>
  <c r="AC56" i="47" s="1"/>
  <c r="AD56" i="47" s="1"/>
  <c r="AE56" i="47" s="1"/>
  <c r="AF56" i="47" s="1"/>
  <c r="AG56" i="47" s="1"/>
  <c r="AH56" i="47" s="1"/>
  <c r="F44" i="47"/>
  <c r="G44" i="47" s="1"/>
  <c r="H44" i="47" s="1"/>
  <c r="I44" i="47" s="1"/>
  <c r="J44" i="47" s="1"/>
  <c r="K44" i="47" s="1"/>
  <c r="L44" i="47" s="1"/>
  <c r="M44" i="47" s="1"/>
  <c r="N44" i="47" s="1"/>
  <c r="O44" i="47" s="1"/>
  <c r="P44" i="47" s="1"/>
  <c r="Q44" i="47" s="1"/>
  <c r="R44" i="47" s="1"/>
  <c r="S44" i="47" s="1"/>
  <c r="T44" i="47" s="1"/>
  <c r="U44" i="47" s="1"/>
  <c r="V44" i="47" s="1"/>
  <c r="W44" i="47" s="1"/>
  <c r="X44" i="47" s="1"/>
  <c r="Y44" i="47" s="1"/>
  <c r="Z44" i="47" s="1"/>
  <c r="AA44" i="47" s="1"/>
  <c r="AB44" i="47" s="1"/>
  <c r="AC44" i="47" s="1"/>
  <c r="AD44" i="47" s="1"/>
  <c r="AE44" i="47" s="1"/>
  <c r="AF44" i="47" s="1"/>
  <c r="AG44" i="47" s="1"/>
  <c r="AH44" i="47" s="1"/>
  <c r="G14" i="47"/>
  <c r="F47" i="47"/>
  <c r="G47" i="47" s="1"/>
  <c r="H47" i="47" s="1"/>
  <c r="I47" i="47" s="1"/>
  <c r="J47" i="47" s="1"/>
  <c r="K47" i="47" s="1"/>
  <c r="L47" i="47" s="1"/>
  <c r="M47" i="47" s="1"/>
  <c r="N47" i="47" s="1"/>
  <c r="O47" i="47" s="1"/>
  <c r="P47" i="47" s="1"/>
  <c r="Q47" i="47" s="1"/>
  <c r="R47" i="47" s="1"/>
  <c r="S47" i="47" s="1"/>
  <c r="T47" i="47" s="1"/>
  <c r="U47" i="47" s="1"/>
  <c r="V47" i="47" s="1"/>
  <c r="W47" i="47" s="1"/>
  <c r="X47" i="47" s="1"/>
  <c r="Y47" i="47" s="1"/>
  <c r="Z47" i="47" s="1"/>
  <c r="AA47" i="47" s="1"/>
  <c r="AB47" i="47" s="1"/>
  <c r="AC47" i="47" s="1"/>
  <c r="AD47" i="47" s="1"/>
  <c r="AE47" i="47" s="1"/>
  <c r="AF47" i="47" s="1"/>
  <c r="AG47" i="47" s="1"/>
  <c r="AH47" i="47" s="1"/>
  <c r="E54" i="47"/>
  <c r="H7" i="47"/>
  <c r="F21" i="47"/>
  <c r="F45" i="47"/>
  <c r="G45" i="47" s="1"/>
  <c r="H45" i="47" s="1"/>
  <c r="I45" i="47" s="1"/>
  <c r="J45" i="47" s="1"/>
  <c r="K45" i="47" s="1"/>
  <c r="L45" i="47" s="1"/>
  <c r="M45" i="47" s="1"/>
  <c r="N45" i="47" s="1"/>
  <c r="O45" i="47" s="1"/>
  <c r="P45" i="47" s="1"/>
  <c r="Q45" i="47" s="1"/>
  <c r="R45" i="47" s="1"/>
  <c r="S45" i="47" s="1"/>
  <c r="T45" i="47" s="1"/>
  <c r="U45" i="47" s="1"/>
  <c r="V45" i="47" s="1"/>
  <c r="W45" i="47" s="1"/>
  <c r="X45" i="47" s="1"/>
  <c r="Y45" i="47" s="1"/>
  <c r="Z45" i="47" s="1"/>
  <c r="AA45" i="47" s="1"/>
  <c r="AB45" i="47" s="1"/>
  <c r="AC45" i="47" s="1"/>
  <c r="AD45" i="47" s="1"/>
  <c r="AE45" i="47" s="1"/>
  <c r="AF45" i="47" s="1"/>
  <c r="AG45" i="47" s="1"/>
  <c r="AH45" i="47" s="1"/>
  <c r="F63" i="47"/>
  <c r="G63" i="47" s="1"/>
  <c r="H63" i="47" s="1"/>
  <c r="I63" i="47" s="1"/>
  <c r="J63" i="47" s="1"/>
  <c r="K63" i="47" s="1"/>
  <c r="L63" i="47" s="1"/>
  <c r="M63" i="47" s="1"/>
  <c r="N63" i="47" s="1"/>
  <c r="O63" i="47" s="1"/>
  <c r="P63" i="47" s="1"/>
  <c r="Q63" i="47" s="1"/>
  <c r="R63" i="47" s="1"/>
  <c r="S63" i="47" s="1"/>
  <c r="T63" i="47" s="1"/>
  <c r="U63" i="47" s="1"/>
  <c r="V63" i="47" s="1"/>
  <c r="W63" i="47" s="1"/>
  <c r="X63" i="47" s="1"/>
  <c r="Y63" i="47" s="1"/>
  <c r="Z63" i="47" s="1"/>
  <c r="AA63" i="47" s="1"/>
  <c r="AB63" i="47" s="1"/>
  <c r="AC63" i="47" s="1"/>
  <c r="AD63" i="47" s="1"/>
  <c r="AE63" i="47" s="1"/>
  <c r="AF63" i="47" s="1"/>
  <c r="AG63" i="47" s="1"/>
  <c r="AH63" i="47" s="1"/>
  <c r="F67" i="47"/>
  <c r="G67" i="47" s="1"/>
  <c r="H67" i="47" s="1"/>
  <c r="I67" i="47" s="1"/>
  <c r="J67" i="47" s="1"/>
  <c r="K67" i="47" s="1"/>
  <c r="L67" i="47" s="1"/>
  <c r="M67" i="47" s="1"/>
  <c r="N67" i="47" s="1"/>
  <c r="O67" i="47" s="1"/>
  <c r="P67" i="47" s="1"/>
  <c r="Q67" i="47" s="1"/>
  <c r="R67" i="47" s="1"/>
  <c r="S67" i="47" s="1"/>
  <c r="T67" i="47" s="1"/>
  <c r="U67" i="47" s="1"/>
  <c r="V67" i="47" s="1"/>
  <c r="W67" i="47" s="1"/>
  <c r="X67" i="47" s="1"/>
  <c r="Y67" i="47" s="1"/>
  <c r="Z67" i="47" s="1"/>
  <c r="AA67" i="47" s="1"/>
  <c r="AB67" i="47" s="1"/>
  <c r="AC67" i="47" s="1"/>
  <c r="AD67" i="47" s="1"/>
  <c r="AE67" i="47" s="1"/>
  <c r="AF67" i="47" s="1"/>
  <c r="AG67" i="47" s="1"/>
  <c r="AH67" i="47" s="1"/>
  <c r="F76" i="47"/>
  <c r="G76" i="47" s="1"/>
  <c r="H76" i="47" s="1"/>
  <c r="I76" i="47" s="1"/>
  <c r="J76" i="47" s="1"/>
  <c r="K76" i="47" s="1"/>
  <c r="L76" i="47" s="1"/>
  <c r="M76" i="47" s="1"/>
  <c r="N76" i="47" s="1"/>
  <c r="O76" i="47" s="1"/>
  <c r="P76" i="47" s="1"/>
  <c r="Q76" i="47" s="1"/>
  <c r="R76" i="47" s="1"/>
  <c r="S76" i="47" s="1"/>
  <c r="T76" i="47" s="1"/>
  <c r="U76" i="47" s="1"/>
  <c r="V76" i="47" s="1"/>
  <c r="W76" i="47" s="1"/>
  <c r="X76" i="47" s="1"/>
  <c r="Y76" i="47" s="1"/>
  <c r="Z76" i="47" s="1"/>
  <c r="AA76" i="47" s="1"/>
  <c r="AB76" i="47" s="1"/>
  <c r="AC76" i="47" s="1"/>
  <c r="AD76" i="47" s="1"/>
  <c r="AE76" i="47" s="1"/>
  <c r="AF76" i="47" s="1"/>
  <c r="AG76" i="47" s="1"/>
  <c r="AH76" i="47" s="1"/>
  <c r="D14" i="47"/>
  <c r="D7" i="47"/>
  <c r="E38" i="47"/>
  <c r="F38" i="47" s="1"/>
  <c r="G38" i="47" s="1"/>
  <c r="H38" i="47" s="1"/>
  <c r="I38" i="47" s="1"/>
  <c r="J38" i="47" s="1"/>
  <c r="K38" i="47" s="1"/>
  <c r="L38" i="47" s="1"/>
  <c r="M38" i="47" s="1"/>
  <c r="N38" i="47" s="1"/>
  <c r="O38" i="47" s="1"/>
  <c r="P38" i="47" s="1"/>
  <c r="Q38" i="47" s="1"/>
  <c r="R38" i="47" s="1"/>
  <c r="S38" i="47" s="1"/>
  <c r="T38" i="47" s="1"/>
  <c r="U38" i="47" s="1"/>
  <c r="V38" i="47" s="1"/>
  <c r="W38" i="47" s="1"/>
  <c r="X38" i="47" s="1"/>
  <c r="Y38" i="47" s="1"/>
  <c r="Z38" i="47" s="1"/>
  <c r="AA38" i="47" s="1"/>
  <c r="AB38" i="47" s="1"/>
  <c r="AC38" i="47" s="1"/>
  <c r="AD38" i="47" s="1"/>
  <c r="AE38" i="47" s="1"/>
  <c r="AF38" i="47" s="1"/>
  <c r="AG38" i="47" s="1"/>
  <c r="AH38" i="47" s="1"/>
  <c r="F7" i="47"/>
  <c r="C95" i="46"/>
  <c r="C100" i="46" s="1"/>
  <c r="F48" i="47"/>
  <c r="G48" i="47" s="1"/>
  <c r="H48" i="47" s="1"/>
  <c r="I48" i="47" s="1"/>
  <c r="J48" i="47" s="1"/>
  <c r="K48" i="47" s="1"/>
  <c r="L48" i="47" s="1"/>
  <c r="M48" i="47" s="1"/>
  <c r="N48" i="47" s="1"/>
  <c r="O48" i="47" s="1"/>
  <c r="P48" i="47" s="1"/>
  <c r="Q48" i="47" s="1"/>
  <c r="R48" i="47" s="1"/>
  <c r="S48" i="47" s="1"/>
  <c r="T48" i="47" s="1"/>
  <c r="U48" i="47" s="1"/>
  <c r="V48" i="47" s="1"/>
  <c r="W48" i="47" s="1"/>
  <c r="X48" i="47" s="1"/>
  <c r="Y48" i="47" s="1"/>
  <c r="Z48" i="47" s="1"/>
  <c r="AA48" i="47" s="1"/>
  <c r="AB48" i="47" s="1"/>
  <c r="AC48" i="47" s="1"/>
  <c r="AD48" i="47" s="1"/>
  <c r="AE48" i="47" s="1"/>
  <c r="AF48" i="47" s="1"/>
  <c r="AG48" i="47" s="1"/>
  <c r="AH48" i="47" s="1"/>
  <c r="F79" i="47"/>
  <c r="G79" i="47" s="1"/>
  <c r="H79" i="47" s="1"/>
  <c r="I79" i="47" s="1"/>
  <c r="J79" i="47" s="1"/>
  <c r="K79" i="47" s="1"/>
  <c r="L79" i="47" s="1"/>
  <c r="M79" i="47" s="1"/>
  <c r="N79" i="47" s="1"/>
  <c r="O79" i="47" s="1"/>
  <c r="P79" i="47" s="1"/>
  <c r="Q79" i="47" s="1"/>
  <c r="R79" i="47" s="1"/>
  <c r="S79" i="47" s="1"/>
  <c r="T79" i="47" s="1"/>
  <c r="U79" i="47" s="1"/>
  <c r="V79" i="47" s="1"/>
  <c r="W79" i="47" s="1"/>
  <c r="X79" i="47" s="1"/>
  <c r="Y79" i="47" s="1"/>
  <c r="Z79" i="47" s="1"/>
  <c r="AA79" i="47" s="1"/>
  <c r="AB79" i="47" s="1"/>
  <c r="AC79" i="47" s="1"/>
  <c r="AD79" i="47" s="1"/>
  <c r="AE79" i="47" s="1"/>
  <c r="AF79" i="47" s="1"/>
  <c r="AG79" i="47" s="1"/>
  <c r="AH79" i="47" s="1"/>
  <c r="F60" i="47"/>
  <c r="G60" i="47" s="1"/>
  <c r="H60" i="47" s="1"/>
  <c r="I60" i="47" s="1"/>
  <c r="J60" i="47" s="1"/>
  <c r="K60" i="47" s="1"/>
  <c r="L60" i="47" s="1"/>
  <c r="M60" i="47" s="1"/>
  <c r="N60" i="47" s="1"/>
  <c r="O60" i="47" s="1"/>
  <c r="P60" i="47" s="1"/>
  <c r="Q60" i="47" s="1"/>
  <c r="R60" i="47" s="1"/>
  <c r="S60" i="47" s="1"/>
  <c r="T60" i="47" s="1"/>
  <c r="U60" i="47" s="1"/>
  <c r="V60" i="47" s="1"/>
  <c r="W60" i="47" s="1"/>
  <c r="X60" i="47" s="1"/>
  <c r="Y60" i="47" s="1"/>
  <c r="Z60" i="47" s="1"/>
  <c r="AA60" i="47" s="1"/>
  <c r="AB60" i="47" s="1"/>
  <c r="AC60" i="47" s="1"/>
  <c r="AD60" i="47" s="1"/>
  <c r="AE60" i="47" s="1"/>
  <c r="AF60" i="47" s="1"/>
  <c r="AG60" i="47" s="1"/>
  <c r="AH60" i="47" s="1"/>
  <c r="F72" i="47"/>
  <c r="G72" i="47" s="1"/>
  <c r="H72" i="47" s="1"/>
  <c r="I72" i="47" s="1"/>
  <c r="J72" i="47" s="1"/>
  <c r="K72" i="47" s="1"/>
  <c r="L72" i="47" s="1"/>
  <c r="M72" i="47" s="1"/>
  <c r="N72" i="47" s="1"/>
  <c r="O72" i="47" s="1"/>
  <c r="P72" i="47" s="1"/>
  <c r="Q72" i="47" s="1"/>
  <c r="R72" i="47" s="1"/>
  <c r="S72" i="47" s="1"/>
  <c r="T72" i="47" s="1"/>
  <c r="U72" i="47" s="1"/>
  <c r="V72" i="47" s="1"/>
  <c r="W72" i="47" s="1"/>
  <c r="X72" i="47" s="1"/>
  <c r="Y72" i="47" s="1"/>
  <c r="Z72" i="47" s="1"/>
  <c r="AA72" i="47" s="1"/>
  <c r="AB72" i="47" s="1"/>
  <c r="AC72" i="47" s="1"/>
  <c r="AD72" i="47" s="1"/>
  <c r="AE72" i="47" s="1"/>
  <c r="AF72" i="47" s="1"/>
  <c r="AG72" i="47" s="1"/>
  <c r="AH72" i="47" s="1"/>
  <c r="E62" i="47"/>
  <c r="E14" i="47"/>
  <c r="E50" i="47"/>
  <c r="G7" i="47"/>
  <c r="E74" i="47"/>
  <c r="D21" i="47"/>
  <c r="F58" i="47"/>
  <c r="G58" i="47" s="1"/>
  <c r="H58" i="47" s="1"/>
  <c r="I58" i="47" s="1"/>
  <c r="J58" i="47" s="1"/>
  <c r="K58" i="47" s="1"/>
  <c r="L58" i="47" s="1"/>
  <c r="M58" i="47" s="1"/>
  <c r="N58" i="47" s="1"/>
  <c r="O58" i="47" s="1"/>
  <c r="P58" i="47" s="1"/>
  <c r="Q58" i="47" s="1"/>
  <c r="R58" i="47" s="1"/>
  <c r="S58" i="47" s="1"/>
  <c r="T58" i="47" s="1"/>
  <c r="U58" i="47" s="1"/>
  <c r="V58" i="47" s="1"/>
  <c r="W58" i="47" s="1"/>
  <c r="X58" i="47" s="1"/>
  <c r="Y58" i="47" s="1"/>
  <c r="Z58" i="47" s="1"/>
  <c r="AA58" i="47" s="1"/>
  <c r="AB58" i="47" s="1"/>
  <c r="AC58" i="47" s="1"/>
  <c r="AD58" i="47" s="1"/>
  <c r="AE58" i="47" s="1"/>
  <c r="AF58" i="47" s="1"/>
  <c r="AG58" i="47" s="1"/>
  <c r="AH58" i="47" s="1"/>
  <c r="E21" i="47"/>
  <c r="F55" i="47"/>
  <c r="G55" i="47" s="1"/>
  <c r="H55" i="47" s="1"/>
  <c r="I55" i="47" s="1"/>
  <c r="J55" i="47" s="1"/>
  <c r="K55" i="47" s="1"/>
  <c r="L55" i="47" s="1"/>
  <c r="M55" i="47" s="1"/>
  <c r="N55" i="47" s="1"/>
  <c r="O55" i="47" s="1"/>
  <c r="P55" i="47" s="1"/>
  <c r="Q55" i="47" s="1"/>
  <c r="R55" i="47" s="1"/>
  <c r="S55" i="47" s="1"/>
  <c r="T55" i="47" s="1"/>
  <c r="U55" i="47" s="1"/>
  <c r="V55" i="47" s="1"/>
  <c r="W55" i="47" s="1"/>
  <c r="X55" i="47" s="1"/>
  <c r="Y55" i="47" s="1"/>
  <c r="Z55" i="47" s="1"/>
  <c r="AA55" i="47" s="1"/>
  <c r="AB55" i="47" s="1"/>
  <c r="AC55" i="47" s="1"/>
  <c r="AD55" i="47" s="1"/>
  <c r="AE55" i="47" s="1"/>
  <c r="AF55" i="47" s="1"/>
  <c r="AG55" i="47" s="1"/>
  <c r="AH55" i="47" s="1"/>
  <c r="F46" i="47"/>
  <c r="G46" i="47" s="1"/>
  <c r="H46" i="47" s="1"/>
  <c r="I46" i="47" s="1"/>
  <c r="J46" i="47" s="1"/>
  <c r="K46" i="47" s="1"/>
  <c r="L46" i="47" s="1"/>
  <c r="M46" i="47" s="1"/>
  <c r="N46" i="47" s="1"/>
  <c r="O46" i="47" s="1"/>
  <c r="P46" i="47" s="1"/>
  <c r="Q46" i="47" s="1"/>
  <c r="R46" i="47" s="1"/>
  <c r="S46" i="47" s="1"/>
  <c r="T46" i="47" s="1"/>
  <c r="U46" i="47" s="1"/>
  <c r="V46" i="47" s="1"/>
  <c r="W46" i="47" s="1"/>
  <c r="X46" i="47" s="1"/>
  <c r="Y46" i="47" s="1"/>
  <c r="Z46" i="47" s="1"/>
  <c r="AA46" i="47" s="1"/>
  <c r="AB46" i="47" s="1"/>
  <c r="AC46" i="47" s="1"/>
  <c r="AD46" i="47" s="1"/>
  <c r="AE46" i="47" s="1"/>
  <c r="AF46" i="47" s="1"/>
  <c r="AG46" i="47" s="1"/>
  <c r="AH46" i="47" s="1"/>
  <c r="AP52" i="45"/>
  <c r="AP53" i="45"/>
  <c r="I39" i="48"/>
  <c r="AK42" i="45"/>
  <c r="AG142" i="48"/>
  <c r="AG143" i="48"/>
  <c r="AG144" i="48"/>
  <c r="AG145" i="48"/>
  <c r="AG207" i="48"/>
  <c r="AG206" i="48"/>
  <c r="BI84" i="36"/>
  <c r="AL18" i="45"/>
  <c r="AL19" i="45" s="1"/>
  <c r="C93" i="46"/>
  <c r="C98" i="46" s="1"/>
  <c r="D38" i="48"/>
  <c r="C96" i="46"/>
  <c r="C101" i="46" s="1"/>
  <c r="C92" i="48"/>
  <c r="C97" i="48" s="1"/>
  <c r="C94" i="46"/>
  <c r="AK43" i="45"/>
  <c r="M97" i="44"/>
  <c r="N96" i="44" s="1"/>
  <c r="J95" i="44"/>
  <c r="J94" i="44"/>
  <c r="J90" i="44"/>
  <c r="J93" i="44"/>
  <c r="J91" i="44"/>
  <c r="J92" i="44"/>
  <c r="J96" i="44"/>
  <c r="D141" i="48"/>
  <c r="D203" i="48"/>
  <c r="D204" i="48"/>
  <c r="D140" i="48"/>
  <c r="E139" i="48"/>
  <c r="G24" i="48"/>
  <c r="D70" i="48"/>
  <c r="D65" i="48"/>
  <c r="D68" i="48"/>
  <c r="D64" i="48"/>
  <c r="D69" i="48"/>
  <c r="E63" i="48"/>
  <c r="D67" i="48"/>
  <c r="E243" i="48"/>
  <c r="D244" i="48"/>
  <c r="C207" i="48"/>
  <c r="C206" i="48"/>
  <c r="F22" i="48"/>
  <c r="F23" i="48"/>
  <c r="AH90" i="36"/>
  <c r="AG39" i="38"/>
  <c r="AG65" i="46"/>
  <c r="C145" i="48"/>
  <c r="C143" i="48"/>
  <c r="C144" i="48"/>
  <c r="AG64" i="48"/>
  <c r="AG67" i="48"/>
  <c r="AG69" i="48"/>
  <c r="AG70" i="48"/>
  <c r="AG68" i="48"/>
  <c r="AG65" i="48"/>
  <c r="D63" i="46"/>
  <c r="C205" i="48"/>
  <c r="BI60" i="36"/>
  <c r="AG67" i="46"/>
  <c r="AG69" i="46"/>
  <c r="AG92" i="46" s="1"/>
  <c r="C142" i="48"/>
  <c r="C66" i="48"/>
  <c r="C90" i="38"/>
  <c r="C89" i="38"/>
  <c r="C91" i="38"/>
  <c r="C92" i="42"/>
  <c r="C91" i="42"/>
  <c r="C95" i="42" s="1"/>
  <c r="C89" i="42"/>
  <c r="C93" i="42" s="1"/>
  <c r="C90" i="42"/>
  <c r="C94" i="42" s="1"/>
  <c r="BI62" i="36"/>
  <c r="AG68" i="46"/>
  <c r="BI39" i="36"/>
  <c r="AB36" i="42"/>
  <c r="D261" i="48"/>
  <c r="E260" i="48"/>
  <c r="G21" i="48"/>
  <c r="F25" i="48"/>
  <c r="AR46" i="45"/>
  <c r="AR49" i="45"/>
  <c r="AR47" i="45"/>
  <c r="AS45" i="45"/>
  <c r="AM39" i="45"/>
  <c r="AM40" i="45"/>
  <c r="AQ48" i="45"/>
  <c r="AQ50" i="45" s="1"/>
  <c r="AM17" i="45"/>
  <c r="AM69" i="45" s="1"/>
  <c r="AG143" i="46"/>
  <c r="AG145" i="46"/>
  <c r="H24" i="46"/>
  <c r="H21" i="46"/>
  <c r="G23" i="46"/>
  <c r="E139" i="46"/>
  <c r="D204" i="46"/>
  <c r="D140" i="46"/>
  <c r="D141" i="46"/>
  <c r="D203" i="46"/>
  <c r="AG207" i="46"/>
  <c r="AG206" i="46"/>
  <c r="E243" i="46"/>
  <c r="D244" i="46"/>
  <c r="AG205" i="46"/>
  <c r="E260" i="46"/>
  <c r="D261" i="46"/>
  <c r="G22" i="46"/>
  <c r="G363" i="46"/>
  <c r="G25" i="46"/>
  <c r="L11" i="8"/>
  <c r="AK95" i="45"/>
  <c r="E19" i="45"/>
  <c r="E20" i="45"/>
  <c r="H38" i="45"/>
  <c r="AN38" i="45" s="1"/>
  <c r="G40" i="45"/>
  <c r="F18" i="45"/>
  <c r="H16" i="45"/>
  <c r="AN16" i="45" s="1"/>
  <c r="G17" i="45"/>
  <c r="G69" i="45" s="1"/>
  <c r="K48" i="45"/>
  <c r="K50" i="45" s="1"/>
  <c r="J39" i="46" s="1"/>
  <c r="M45" i="45"/>
  <c r="L46" i="45"/>
  <c r="L49" i="45"/>
  <c r="L47" i="45"/>
  <c r="AO92" i="45"/>
  <c r="AO88" i="45"/>
  <c r="BI69" i="36"/>
  <c r="M98" i="44"/>
  <c r="N5" i="8"/>
  <c r="N6" i="8" s="1"/>
  <c r="AH55" i="36"/>
  <c r="BJ23" i="36"/>
  <c r="AD60" i="36"/>
  <c r="AD62" i="36"/>
  <c r="AE59" i="36"/>
  <c r="AD40" i="38" s="1"/>
  <c r="BI26" i="36"/>
  <c r="BI87" i="36" s="1"/>
  <c r="BI28" i="36"/>
  <c r="BK43" i="36"/>
  <c r="BJ36" i="36"/>
  <c r="AC36" i="42" s="1"/>
  <c r="BJ70" i="36"/>
  <c r="AE70" i="36"/>
  <c r="AF35" i="36"/>
  <c r="BJ59" i="36"/>
  <c r="AC40" i="42" s="1"/>
  <c r="AE23" i="36"/>
  <c r="AE25" i="36" s="1"/>
  <c r="AD37" i="38" s="1"/>
  <c r="BK35" i="36"/>
  <c r="BK36" i="36" s="1"/>
  <c r="AF32" i="36"/>
  <c r="BK58" i="36"/>
  <c r="BK57" i="36"/>
  <c r="AH40" i="36"/>
  <c r="AG42" i="36"/>
  <c r="AD26" i="36"/>
  <c r="AD87" i="36" s="1"/>
  <c r="AD28" i="36"/>
  <c r="AD84" i="36"/>
  <c r="BN50" i="36"/>
  <c r="BN52" i="36" s="1"/>
  <c r="AG39" i="42" s="1"/>
  <c r="BL42" i="36"/>
  <c r="BM40" i="36"/>
  <c r="BL41" i="36"/>
  <c r="BL33" i="36"/>
  <c r="BL30" i="36"/>
  <c r="BL31" i="36"/>
  <c r="BL34" i="36"/>
  <c r="BM29" i="36"/>
  <c r="AF58" i="36"/>
  <c r="AF57" i="36"/>
  <c r="AH18" i="36"/>
  <c r="BM18" i="36"/>
  <c r="AG19" i="36"/>
  <c r="AG20" i="36" s="1"/>
  <c r="AG56" i="36"/>
  <c r="BK22" i="36"/>
  <c r="BK21" i="36"/>
  <c r="BM53" i="36"/>
  <c r="BM94" i="36" s="1"/>
  <c r="BM55" i="36"/>
  <c r="BM90" i="36"/>
  <c r="AF22" i="36"/>
  <c r="AF21" i="36"/>
  <c r="BJ44" i="36"/>
  <c r="BJ46" i="36"/>
  <c r="BJ97" i="36"/>
  <c r="AG31" i="36"/>
  <c r="AG30" i="36"/>
  <c r="AH29" i="36"/>
  <c r="AG34" i="36"/>
  <c r="AG33" i="36"/>
  <c r="BL19" i="36"/>
  <c r="BL20" i="36" s="1"/>
  <c r="BL56" i="36"/>
  <c r="D184" i="42"/>
  <c r="AG185" i="42"/>
  <c r="AG186" i="42"/>
  <c r="P72" i="12"/>
  <c r="Q72" i="14"/>
  <c r="O63" i="45"/>
  <c r="AU63" i="36"/>
  <c r="AU68" i="36" s="1"/>
  <c r="AU75" i="36" s="1"/>
  <c r="O68" i="36"/>
  <c r="P63" i="36"/>
  <c r="AS71" i="36"/>
  <c r="AS72" i="36" s="1"/>
  <c r="AS106" i="36"/>
  <c r="N71" i="36"/>
  <c r="BZ38" i="58" s="1"/>
  <c r="N37" i="58" s="1"/>
  <c r="AT37" i="58" s="1"/>
  <c r="BZ37" i="58" s="1"/>
  <c r="N106" i="36"/>
  <c r="AU64" i="36"/>
  <c r="O65" i="36"/>
  <c r="O66" i="36"/>
  <c r="AT65" i="36"/>
  <c r="AT66" i="36"/>
  <c r="AT73" i="36" s="1"/>
  <c r="D24" i="34"/>
  <c r="D234" i="38"/>
  <c r="E234" i="38" s="1"/>
  <c r="H21" i="29"/>
  <c r="D219" i="38"/>
  <c r="E219" i="38" s="1"/>
  <c r="E69" i="41"/>
  <c r="D24" i="41"/>
  <c r="D234" i="42"/>
  <c r="E234" i="42" s="1"/>
  <c r="G24" i="29"/>
  <c r="D30" i="41"/>
  <c r="E72" i="41"/>
  <c r="E129" i="38"/>
  <c r="D185" i="38"/>
  <c r="D186" i="38"/>
  <c r="D131" i="38"/>
  <c r="D130" i="38"/>
  <c r="F23" i="38"/>
  <c r="AG68" i="38"/>
  <c r="AG69" i="38"/>
  <c r="AG88" i="38" s="1"/>
  <c r="AG70" i="38"/>
  <c r="AG67" i="38"/>
  <c r="AG64" i="38"/>
  <c r="AG65" i="38"/>
  <c r="E129" i="42"/>
  <c r="D131" i="42"/>
  <c r="D130" i="42"/>
  <c r="G21" i="38"/>
  <c r="C135" i="38"/>
  <c r="C133" i="38"/>
  <c r="C134" i="38"/>
  <c r="C188" i="38"/>
  <c r="C189" i="38"/>
  <c r="AG67" i="42"/>
  <c r="AG64" i="42"/>
  <c r="AG65" i="42"/>
  <c r="AG69" i="42"/>
  <c r="AG88" i="42" s="1"/>
  <c r="AG70" i="42"/>
  <c r="AG68" i="42"/>
  <c r="D63" i="42"/>
  <c r="C187" i="38"/>
  <c r="D219" i="42"/>
  <c r="C188" i="42"/>
  <c r="C189" i="42"/>
  <c r="AG186" i="38"/>
  <c r="AG185" i="38"/>
  <c r="AG130" i="38"/>
  <c r="AG131" i="38"/>
  <c r="G24" i="38"/>
  <c r="F22" i="38"/>
  <c r="C135" i="42"/>
  <c r="C133" i="42"/>
  <c r="C134" i="42"/>
  <c r="D63" i="38"/>
  <c r="AG130" i="42"/>
  <c r="AG131" i="42"/>
  <c r="F25" i="38"/>
  <c r="C66" i="42"/>
  <c r="C132" i="38"/>
  <c r="K80" i="33"/>
  <c r="AG65" i="28"/>
  <c r="J95" i="33" a="1"/>
  <c r="K86" i="33"/>
  <c r="L86" i="33" s="1"/>
  <c r="D66" i="28"/>
  <c r="D67" i="28"/>
  <c r="E62" i="28"/>
  <c r="D63" i="28"/>
  <c r="D64" i="28"/>
  <c r="E66" i="20"/>
  <c r="D68" i="20"/>
  <c r="D67" i="20"/>
  <c r="E198" i="20"/>
  <c r="D199" i="20"/>
  <c r="C21" i="19"/>
  <c r="D21" i="19" s="1"/>
  <c r="E21" i="19" s="1"/>
  <c r="F21" i="19" s="1"/>
  <c r="G21" i="19" s="1"/>
  <c r="H21" i="19" s="1"/>
  <c r="I21" i="19" s="1"/>
  <c r="J21" i="19" s="1"/>
  <c r="K21" i="19" s="1"/>
  <c r="L21" i="19" s="1"/>
  <c r="M21" i="19" s="1"/>
  <c r="N21" i="19" s="1"/>
  <c r="O21" i="19" s="1"/>
  <c r="P21" i="19" s="1"/>
  <c r="Q21" i="19" s="1"/>
  <c r="R21" i="19" s="1"/>
  <c r="S21" i="19" s="1"/>
  <c r="T21" i="19" s="1"/>
  <c r="U21" i="19" s="1"/>
  <c r="V21" i="19" s="1"/>
  <c r="W21" i="19" s="1"/>
  <c r="X21" i="19" s="1"/>
  <c r="Y21" i="19" s="1"/>
  <c r="Z21" i="19" s="1"/>
  <c r="AA21" i="19" s="1"/>
  <c r="AB21" i="19" s="1"/>
  <c r="AC21" i="19" s="1"/>
  <c r="AD21" i="19" s="1"/>
  <c r="AE21" i="19" s="1"/>
  <c r="AF21" i="19" s="1"/>
  <c r="AG21" i="19" s="1"/>
  <c r="D21" i="20"/>
  <c r="E21" i="20" s="1"/>
  <c r="F21" i="20" s="1"/>
  <c r="G21" i="20" s="1"/>
  <c r="H21" i="20" s="1"/>
  <c r="I21" i="20" s="1"/>
  <c r="J21" i="20" s="1"/>
  <c r="K21" i="20" s="1"/>
  <c r="L21" i="20" s="1"/>
  <c r="M21" i="20" s="1"/>
  <c r="N21" i="20" s="1"/>
  <c r="O21" i="20" s="1"/>
  <c r="P21" i="20" s="1"/>
  <c r="Q21" i="20" s="1"/>
  <c r="R21" i="20" s="1"/>
  <c r="S21" i="20" s="1"/>
  <c r="T21" i="20" s="1"/>
  <c r="U21" i="20" s="1"/>
  <c r="V21" i="20" s="1"/>
  <c r="W21" i="20" s="1"/>
  <c r="X21" i="20" s="1"/>
  <c r="Y21" i="20" s="1"/>
  <c r="Z21" i="20" s="1"/>
  <c r="AA21" i="20" s="1"/>
  <c r="H24" i="28"/>
  <c r="F16" i="34"/>
  <c r="E78" i="34"/>
  <c r="F78" i="34" s="1"/>
  <c r="G78" i="34" s="1"/>
  <c r="H78" i="34" s="1"/>
  <c r="I78" i="34" s="1"/>
  <c r="J78" i="34" s="1"/>
  <c r="K78" i="34" s="1"/>
  <c r="L78" i="34" s="1"/>
  <c r="M78" i="34" s="1"/>
  <c r="N78" i="34" s="1"/>
  <c r="O78" i="34" s="1"/>
  <c r="P78" i="34" s="1"/>
  <c r="Q78" i="34" s="1"/>
  <c r="R78" i="34" s="1"/>
  <c r="S78" i="34" s="1"/>
  <c r="T78" i="34" s="1"/>
  <c r="U78" i="34" s="1"/>
  <c r="V78" i="34" s="1"/>
  <c r="W78" i="34" s="1"/>
  <c r="X78" i="34" s="1"/>
  <c r="Y78" i="34" s="1"/>
  <c r="Z78" i="34" s="1"/>
  <c r="AA78" i="34" s="1"/>
  <c r="AB78" i="34" s="1"/>
  <c r="AC78" i="34" s="1"/>
  <c r="AD78" i="34" s="1"/>
  <c r="AE78" i="34" s="1"/>
  <c r="AF78" i="34" s="1"/>
  <c r="AG78" i="34" s="1"/>
  <c r="AH78" i="34" s="1"/>
  <c r="D172" i="20"/>
  <c r="D171" i="20"/>
  <c r="E169" i="20"/>
  <c r="F169" i="20" s="1"/>
  <c r="G169" i="20" s="1"/>
  <c r="H169" i="20" s="1"/>
  <c r="I169" i="20" s="1"/>
  <c r="J169" i="20" s="1"/>
  <c r="K169" i="20" s="1"/>
  <c r="L169" i="20" s="1"/>
  <c r="M169" i="20" s="1"/>
  <c r="N169" i="20" s="1"/>
  <c r="O169" i="20" s="1"/>
  <c r="P169" i="20" s="1"/>
  <c r="Q169" i="20" s="1"/>
  <c r="R169" i="20" s="1"/>
  <c r="S169" i="20" s="1"/>
  <c r="T169" i="20" s="1"/>
  <c r="U169" i="20" s="1"/>
  <c r="V169" i="20" s="1"/>
  <c r="W169" i="20" s="1"/>
  <c r="X169" i="20" s="1"/>
  <c r="Y169" i="20" s="1"/>
  <c r="Z169" i="20" s="1"/>
  <c r="AA169" i="20" s="1"/>
  <c r="AB169" i="20" s="1"/>
  <c r="AC169" i="20" s="1"/>
  <c r="AD169" i="20" s="1"/>
  <c r="AE169" i="20" s="1"/>
  <c r="AF169" i="20" s="1"/>
  <c r="D170" i="20"/>
  <c r="D174" i="20"/>
  <c r="D173" i="20"/>
  <c r="J97" i="33" a="1"/>
  <c r="K88" i="33"/>
  <c r="L88" i="33" s="1"/>
  <c r="H25" i="28"/>
  <c r="D88" i="28"/>
  <c r="D86" i="28"/>
  <c r="D91" i="28"/>
  <c r="E85" i="28"/>
  <c r="D90" i="28"/>
  <c r="D87" i="28"/>
  <c r="D89" i="28"/>
  <c r="G22" i="28"/>
  <c r="F24" i="34"/>
  <c r="J94" i="33" a="1"/>
  <c r="K85" i="33"/>
  <c r="L85" i="33" s="1"/>
  <c r="AG69" i="20"/>
  <c r="D32" i="34"/>
  <c r="D126" i="20"/>
  <c r="D128" i="20"/>
  <c r="D127" i="20"/>
  <c r="E122" i="20"/>
  <c r="D123" i="20"/>
  <c r="D124" i="20"/>
  <c r="D125" i="20"/>
  <c r="E68" i="34"/>
  <c r="F68" i="34" s="1"/>
  <c r="G68" i="34" s="1"/>
  <c r="H68" i="34" s="1"/>
  <c r="I68" i="34" s="1"/>
  <c r="J68" i="34" s="1"/>
  <c r="K68" i="34" s="1"/>
  <c r="L68" i="34" s="1"/>
  <c r="M68" i="34" s="1"/>
  <c r="N68" i="34" s="1"/>
  <c r="O68" i="34" s="1"/>
  <c r="P68" i="34" s="1"/>
  <c r="Q68" i="34" s="1"/>
  <c r="R68" i="34" s="1"/>
  <c r="S68" i="34" s="1"/>
  <c r="T68" i="34" s="1"/>
  <c r="U68" i="34" s="1"/>
  <c r="V68" i="34" s="1"/>
  <c r="W68" i="34" s="1"/>
  <c r="X68" i="34" s="1"/>
  <c r="Y68" i="34" s="1"/>
  <c r="Z68" i="34" s="1"/>
  <c r="AA68" i="34" s="1"/>
  <c r="AB68" i="34" s="1"/>
  <c r="AC68" i="34" s="1"/>
  <c r="AD68" i="34" s="1"/>
  <c r="AE68" i="34" s="1"/>
  <c r="AF68" i="34" s="1"/>
  <c r="AG68" i="34" s="1"/>
  <c r="AH68" i="34" s="1"/>
  <c r="D16" i="34"/>
  <c r="G16" i="34"/>
  <c r="E310" i="20"/>
  <c r="D268" i="19"/>
  <c r="J96" i="33" a="1"/>
  <c r="K87" i="33"/>
  <c r="L87" i="33" s="1"/>
  <c r="J93" i="33" a="1"/>
  <c r="K84" i="33"/>
  <c r="L84" i="33" s="1"/>
  <c r="E96" i="34"/>
  <c r="F96" i="34" s="1"/>
  <c r="G96" i="34" s="1"/>
  <c r="H96" i="34" s="1"/>
  <c r="I96" i="34" s="1"/>
  <c r="J96" i="34" s="1"/>
  <c r="K96" i="34" s="1"/>
  <c r="L96" i="34" s="1"/>
  <c r="M96" i="34" s="1"/>
  <c r="N96" i="34" s="1"/>
  <c r="O96" i="34" s="1"/>
  <c r="P96" i="34" s="1"/>
  <c r="Q96" i="34" s="1"/>
  <c r="R96" i="34" s="1"/>
  <c r="S96" i="34" s="1"/>
  <c r="T96" i="34" s="1"/>
  <c r="U96" i="34" s="1"/>
  <c r="V96" i="34" s="1"/>
  <c r="W96" i="34" s="1"/>
  <c r="X96" i="34" s="1"/>
  <c r="Y96" i="34" s="1"/>
  <c r="Z96" i="34" s="1"/>
  <c r="AA96" i="34" s="1"/>
  <c r="AB96" i="34" s="1"/>
  <c r="AC96" i="34" s="1"/>
  <c r="AD96" i="34" s="1"/>
  <c r="AE96" i="34" s="1"/>
  <c r="AF96" i="34" s="1"/>
  <c r="AG96" i="34" s="1"/>
  <c r="AH96" i="34" s="1"/>
  <c r="E24" i="34"/>
  <c r="G23" i="28"/>
  <c r="AG73" i="20"/>
  <c r="AG71" i="20"/>
  <c r="AG72" i="20"/>
  <c r="AG70" i="20"/>
  <c r="C65" i="28"/>
  <c r="E16" i="34"/>
  <c r="E73" i="34"/>
  <c r="F73" i="34" s="1"/>
  <c r="G73" i="34" s="1"/>
  <c r="H73" i="34" s="1"/>
  <c r="I73" i="34" s="1"/>
  <c r="J73" i="34" s="1"/>
  <c r="K73" i="34" s="1"/>
  <c r="L73" i="34" s="1"/>
  <c r="M73" i="34" s="1"/>
  <c r="N73" i="34" s="1"/>
  <c r="O73" i="34" s="1"/>
  <c r="P73" i="34" s="1"/>
  <c r="Q73" i="34" s="1"/>
  <c r="R73" i="34" s="1"/>
  <c r="S73" i="34" s="1"/>
  <c r="T73" i="34" s="1"/>
  <c r="U73" i="34" s="1"/>
  <c r="V73" i="34" s="1"/>
  <c r="W73" i="34" s="1"/>
  <c r="X73" i="34" s="1"/>
  <c r="Y73" i="34" s="1"/>
  <c r="Z73" i="34" s="1"/>
  <c r="AA73" i="34" s="1"/>
  <c r="AB73" i="34" s="1"/>
  <c r="AC73" i="34" s="1"/>
  <c r="AD73" i="34" s="1"/>
  <c r="AE73" i="34" s="1"/>
  <c r="AF73" i="34" s="1"/>
  <c r="AG73" i="34" s="1"/>
  <c r="AH73" i="34" s="1"/>
  <c r="I21" i="28"/>
  <c r="F103" i="34"/>
  <c r="G103" i="34" s="1"/>
  <c r="H103" i="34" s="1"/>
  <c r="I103" i="34" s="1"/>
  <c r="J103" i="34" s="1"/>
  <c r="K103" i="34" s="1"/>
  <c r="L103" i="34" s="1"/>
  <c r="M103" i="34" s="1"/>
  <c r="N103" i="34" s="1"/>
  <c r="O103" i="34" s="1"/>
  <c r="P103" i="34" s="1"/>
  <c r="Q103" i="34" s="1"/>
  <c r="R103" i="34" s="1"/>
  <c r="S103" i="34" s="1"/>
  <c r="T103" i="34" s="1"/>
  <c r="U103" i="34" s="1"/>
  <c r="V103" i="34" s="1"/>
  <c r="W103" i="34" s="1"/>
  <c r="X103" i="34" s="1"/>
  <c r="Y103" i="34" s="1"/>
  <c r="Z103" i="34" s="1"/>
  <c r="AA103" i="34" s="1"/>
  <c r="AB103" i="34" s="1"/>
  <c r="AC103" i="34" s="1"/>
  <c r="AD103" i="34" s="1"/>
  <c r="AE103" i="34" s="1"/>
  <c r="AF103" i="34" s="1"/>
  <c r="AG103" i="34" s="1"/>
  <c r="AH103" i="34" s="1"/>
  <c r="D40" i="34"/>
  <c r="E110" i="28"/>
  <c r="D111" i="28"/>
  <c r="K72" i="33"/>
  <c r="P50" i="15"/>
  <c r="P53" i="15" s="1"/>
  <c r="P137" i="15" s="1"/>
  <c r="P126" i="15"/>
  <c r="N74" i="12"/>
  <c r="N219" i="12" s="1"/>
  <c r="N230" i="12" s="1"/>
  <c r="N75" i="12"/>
  <c r="N78" i="12"/>
  <c r="N79" i="12"/>
  <c r="N76" i="12"/>
  <c r="N77" i="12"/>
  <c r="N80" i="12"/>
  <c r="O74" i="14"/>
  <c r="O219" i="14" s="1"/>
  <c r="O230" i="14" s="1"/>
  <c r="O77" i="14"/>
  <c r="O79" i="14"/>
  <c r="O76" i="14"/>
  <c r="O75" i="14"/>
  <c r="O80" i="14"/>
  <c r="O78" i="14"/>
  <c r="AB23" i="20"/>
  <c r="AB22" i="20"/>
  <c r="AC10" i="20"/>
  <c r="AB12" i="20"/>
  <c r="AC11" i="20"/>
  <c r="AB25" i="20"/>
  <c r="Q72" i="12"/>
  <c r="S33" i="11"/>
  <c r="R34" i="11"/>
  <c r="R35" i="11" s="1"/>
  <c r="R36" i="11" s="1"/>
  <c r="O73" i="12"/>
  <c r="Q29" i="13"/>
  <c r="Q30" i="13" s="1"/>
  <c r="R28" i="13"/>
  <c r="P31" i="13"/>
  <c r="P33" i="13" s="1"/>
  <c r="P64" i="36" s="1"/>
  <c r="P32" i="13"/>
  <c r="P73" i="14" s="1"/>
  <c r="AC24" i="20"/>
  <c r="AG7" i="20"/>
  <c r="Q31" i="15"/>
  <c r="AL42" i="45" l="1"/>
  <c r="AL44" i="45"/>
  <c r="AL43" i="45"/>
  <c r="AK21" i="45"/>
  <c r="AG142" i="46"/>
  <c r="N93" i="44"/>
  <c r="E156" i="54"/>
  <c r="E157" i="54" s="1"/>
  <c r="M95" i="55"/>
  <c r="AR95" i="55"/>
  <c r="DD95" i="55" s="1"/>
  <c r="R40" i="11"/>
  <c r="R66" i="45" s="1"/>
  <c r="AX66" i="45" s="1"/>
  <c r="R39" i="11"/>
  <c r="R37" i="11"/>
  <c r="R38" i="11"/>
  <c r="Q61" i="45"/>
  <c r="AW61" i="45" s="1"/>
  <c r="AW63" i="45" s="1"/>
  <c r="Q64" i="45"/>
  <c r="AW64" i="45" s="1"/>
  <c r="AR4" i="51"/>
  <c r="AR57" i="58" s="1"/>
  <c r="CH57" i="58" s="1"/>
  <c r="CH58" i="58" s="1"/>
  <c r="L57" i="58"/>
  <c r="AR96" i="55"/>
  <c r="DD96" i="55" s="1"/>
  <c r="M96" i="55"/>
  <c r="G25" i="54"/>
  <c r="G23" i="54"/>
  <c r="H24" i="54"/>
  <c r="G22" i="54"/>
  <c r="G21" i="54"/>
  <c r="Y5" i="50"/>
  <c r="M4" i="51"/>
  <c r="AG66" i="54"/>
  <c r="F156" i="54"/>
  <c r="E70" i="54"/>
  <c r="E69" i="54"/>
  <c r="E76" i="54" s="1"/>
  <c r="E77" i="54" s="1"/>
  <c r="E65" i="54"/>
  <c r="E64" i="54"/>
  <c r="F63" i="54"/>
  <c r="E68" i="54"/>
  <c r="E67" i="54"/>
  <c r="D66" i="54"/>
  <c r="C73" i="20"/>
  <c r="C72" i="20"/>
  <c r="C71" i="20"/>
  <c r="C69" i="20"/>
  <c r="F156" i="53"/>
  <c r="E157" i="53"/>
  <c r="F147" i="53"/>
  <c r="E148" i="53"/>
  <c r="E64" i="53"/>
  <c r="E70" i="53"/>
  <c r="F63" i="53"/>
  <c r="E68" i="53"/>
  <c r="E67" i="53"/>
  <c r="E69" i="53"/>
  <c r="E76" i="53" s="1"/>
  <c r="E65" i="53"/>
  <c r="D66" i="53"/>
  <c r="C94" i="48"/>
  <c r="D77" i="53"/>
  <c r="D133" i="53"/>
  <c r="D135" i="53"/>
  <c r="D134" i="53"/>
  <c r="E132" i="53"/>
  <c r="E131" i="53"/>
  <c r="E101" i="53"/>
  <c r="E100" i="53"/>
  <c r="D103" i="53"/>
  <c r="D104" i="53"/>
  <c r="D105" i="53"/>
  <c r="D102" i="53"/>
  <c r="H22" i="53"/>
  <c r="H23" i="53"/>
  <c r="H21" i="53"/>
  <c r="H25" i="53"/>
  <c r="I24" i="53"/>
  <c r="AG66" i="46"/>
  <c r="F42" i="47"/>
  <c r="G42" i="47" s="1"/>
  <c r="H42" i="47" s="1"/>
  <c r="I42" i="47" s="1"/>
  <c r="J42" i="47" s="1"/>
  <c r="K42" i="47" s="1"/>
  <c r="L42" i="47" s="1"/>
  <c r="M42" i="47" s="1"/>
  <c r="N42" i="47" s="1"/>
  <c r="O42" i="47" s="1"/>
  <c r="P42" i="47" s="1"/>
  <c r="Q42" i="47" s="1"/>
  <c r="R42" i="47" s="1"/>
  <c r="S42" i="47" s="1"/>
  <c r="T42" i="47" s="1"/>
  <c r="U42" i="47" s="1"/>
  <c r="V42" i="47" s="1"/>
  <c r="W42" i="47" s="1"/>
  <c r="X42" i="47" s="1"/>
  <c r="Y42" i="47" s="1"/>
  <c r="Z42" i="47" s="1"/>
  <c r="AA42" i="47" s="1"/>
  <c r="AB42" i="47" s="1"/>
  <c r="AC42" i="47" s="1"/>
  <c r="AD42" i="47" s="1"/>
  <c r="AE42" i="47" s="1"/>
  <c r="AF42" i="47" s="1"/>
  <c r="AG42" i="47" s="1"/>
  <c r="AH42" i="47" s="1"/>
  <c r="C96" i="48"/>
  <c r="C101" i="48" s="1"/>
  <c r="F50" i="47"/>
  <c r="G50" i="47" s="1"/>
  <c r="H50" i="47" s="1"/>
  <c r="I50" i="47" s="1"/>
  <c r="J50" i="47" s="1"/>
  <c r="K50" i="47" s="1"/>
  <c r="L50" i="47" s="1"/>
  <c r="M50" i="47" s="1"/>
  <c r="N50" i="47" s="1"/>
  <c r="O50" i="47" s="1"/>
  <c r="P50" i="47" s="1"/>
  <c r="Q50" i="47" s="1"/>
  <c r="R50" i="47" s="1"/>
  <c r="S50" i="47" s="1"/>
  <c r="T50" i="47" s="1"/>
  <c r="U50" i="47" s="1"/>
  <c r="V50" i="47" s="1"/>
  <c r="W50" i="47" s="1"/>
  <c r="X50" i="47" s="1"/>
  <c r="Y50" i="47" s="1"/>
  <c r="Z50" i="47" s="1"/>
  <c r="AA50" i="47" s="1"/>
  <c r="AB50" i="47" s="1"/>
  <c r="AC50" i="47" s="1"/>
  <c r="AD50" i="47" s="1"/>
  <c r="AE50" i="47" s="1"/>
  <c r="AF50" i="47" s="1"/>
  <c r="AG50" i="47" s="1"/>
  <c r="AH50" i="47" s="1"/>
  <c r="F54" i="47"/>
  <c r="G54" i="47" s="1"/>
  <c r="H54" i="47" s="1"/>
  <c r="I54" i="47" s="1"/>
  <c r="J54" i="47" s="1"/>
  <c r="K54" i="47" s="1"/>
  <c r="L54" i="47" s="1"/>
  <c r="M54" i="47" s="1"/>
  <c r="N54" i="47" s="1"/>
  <c r="O54" i="47" s="1"/>
  <c r="P54" i="47" s="1"/>
  <c r="Q54" i="47" s="1"/>
  <c r="R54" i="47" s="1"/>
  <c r="S54" i="47" s="1"/>
  <c r="T54" i="47" s="1"/>
  <c r="U54" i="47" s="1"/>
  <c r="V54" i="47" s="1"/>
  <c r="W54" i="47" s="1"/>
  <c r="X54" i="47" s="1"/>
  <c r="Y54" i="47" s="1"/>
  <c r="Z54" i="47" s="1"/>
  <c r="AA54" i="47" s="1"/>
  <c r="AB54" i="47" s="1"/>
  <c r="AC54" i="47" s="1"/>
  <c r="AD54" i="47" s="1"/>
  <c r="AE54" i="47" s="1"/>
  <c r="AF54" i="47" s="1"/>
  <c r="AG54" i="47" s="1"/>
  <c r="AH54" i="47" s="1"/>
  <c r="C93" i="48"/>
  <c r="C98" i="48" s="1"/>
  <c r="C95" i="48"/>
  <c r="C100" i="48" s="1"/>
  <c r="AG66" i="48"/>
  <c r="F74" i="47"/>
  <c r="G74" i="47" s="1"/>
  <c r="H74" i="47" s="1"/>
  <c r="I74" i="47" s="1"/>
  <c r="J74" i="47" s="1"/>
  <c r="K74" i="47" s="1"/>
  <c r="L74" i="47" s="1"/>
  <c r="M74" i="47" s="1"/>
  <c r="N74" i="47" s="1"/>
  <c r="O74" i="47" s="1"/>
  <c r="P74" i="47" s="1"/>
  <c r="Q74" i="47" s="1"/>
  <c r="R74" i="47" s="1"/>
  <c r="S74" i="47" s="1"/>
  <c r="T74" i="47" s="1"/>
  <c r="U74" i="47" s="1"/>
  <c r="V74" i="47" s="1"/>
  <c r="W74" i="47" s="1"/>
  <c r="X74" i="47" s="1"/>
  <c r="Y74" i="47" s="1"/>
  <c r="Z74" i="47" s="1"/>
  <c r="AA74" i="47" s="1"/>
  <c r="AB74" i="47" s="1"/>
  <c r="AC74" i="47" s="1"/>
  <c r="AD74" i="47" s="1"/>
  <c r="AE74" i="47" s="1"/>
  <c r="AF74" i="47" s="1"/>
  <c r="AG74" i="47" s="1"/>
  <c r="AH74" i="47" s="1"/>
  <c r="F62" i="47"/>
  <c r="G62" i="47" s="1"/>
  <c r="H62" i="47" s="1"/>
  <c r="I62" i="47" s="1"/>
  <c r="J62" i="47" s="1"/>
  <c r="K62" i="47" s="1"/>
  <c r="L62" i="47" s="1"/>
  <c r="M62" i="47" s="1"/>
  <c r="N62" i="47" s="1"/>
  <c r="O62" i="47" s="1"/>
  <c r="P62" i="47" s="1"/>
  <c r="Q62" i="47" s="1"/>
  <c r="R62" i="47" s="1"/>
  <c r="S62" i="47" s="1"/>
  <c r="T62" i="47" s="1"/>
  <c r="U62" i="47" s="1"/>
  <c r="V62" i="47" s="1"/>
  <c r="W62" i="47" s="1"/>
  <c r="X62" i="47" s="1"/>
  <c r="Y62" i="47" s="1"/>
  <c r="Z62" i="47" s="1"/>
  <c r="AA62" i="47" s="1"/>
  <c r="AB62" i="47" s="1"/>
  <c r="AC62" i="47" s="1"/>
  <c r="AD62" i="47" s="1"/>
  <c r="AE62" i="47" s="1"/>
  <c r="AF62" i="47" s="1"/>
  <c r="AG62" i="47" s="1"/>
  <c r="AH62" i="47" s="1"/>
  <c r="N90" i="44"/>
  <c r="AL20" i="45"/>
  <c r="BJ77" i="36"/>
  <c r="N94" i="44"/>
  <c r="N95" i="44"/>
  <c r="N92" i="44"/>
  <c r="BK77" i="36"/>
  <c r="AD36" i="42"/>
  <c r="BK97" i="36"/>
  <c r="AD38" i="42"/>
  <c r="AG97" i="46"/>
  <c r="AG96" i="46"/>
  <c r="AG95" i="46"/>
  <c r="AG93" i="46"/>
  <c r="AG94" i="46"/>
  <c r="AG92" i="48"/>
  <c r="G23" i="48"/>
  <c r="E65" i="48"/>
  <c r="E67" i="48"/>
  <c r="E64" i="48"/>
  <c r="E68" i="48"/>
  <c r="E69" i="48"/>
  <c r="F63" i="48"/>
  <c r="E70" i="48"/>
  <c r="E203" i="48"/>
  <c r="F139" i="48"/>
  <c r="E140" i="48"/>
  <c r="E141" i="48"/>
  <c r="E204" i="48"/>
  <c r="D145" i="48"/>
  <c r="D143" i="48"/>
  <c r="D144" i="48"/>
  <c r="AM41" i="45"/>
  <c r="F38" i="48" s="1"/>
  <c r="H21" i="48"/>
  <c r="D142" i="48"/>
  <c r="AG92" i="42"/>
  <c r="AG90" i="42"/>
  <c r="AG91" i="42"/>
  <c r="AG89" i="42"/>
  <c r="AG90" i="38"/>
  <c r="AG91" i="38"/>
  <c r="AG89" i="38"/>
  <c r="BK39" i="36"/>
  <c r="L48" i="45"/>
  <c r="L50" i="45" s="1"/>
  <c r="K39" i="46" s="1"/>
  <c r="F260" i="48"/>
  <c r="E261" i="48"/>
  <c r="G22" i="48"/>
  <c r="E244" i="48"/>
  <c r="F243" i="48"/>
  <c r="D66" i="48"/>
  <c r="D207" i="48"/>
  <c r="D206" i="48"/>
  <c r="BK37" i="36"/>
  <c r="BK81" i="36" s="1"/>
  <c r="N91" i="44"/>
  <c r="AM18" i="45"/>
  <c r="AM20" i="45" s="1"/>
  <c r="G25" i="48"/>
  <c r="D68" i="46"/>
  <c r="D67" i="46"/>
  <c r="D70" i="46"/>
  <c r="D64" i="46"/>
  <c r="D65" i="46"/>
  <c r="D69" i="46"/>
  <c r="D92" i="46" s="1"/>
  <c r="E63" i="46"/>
  <c r="H24" i="48"/>
  <c r="D205" i="48"/>
  <c r="J97" i="44"/>
  <c r="AN17" i="45"/>
  <c r="AN69" i="45" s="1"/>
  <c r="J39" i="48"/>
  <c r="AQ51" i="45"/>
  <c r="AQ52" i="45"/>
  <c r="AQ53" i="45"/>
  <c r="AS47" i="45"/>
  <c r="AS46" i="45"/>
  <c r="AS49" i="45"/>
  <c r="AT45" i="45"/>
  <c r="AN39" i="45"/>
  <c r="AN40" i="45"/>
  <c r="AR48" i="45"/>
  <c r="AR50" i="45" s="1"/>
  <c r="H25" i="46"/>
  <c r="F260" i="46"/>
  <c r="E261" i="46"/>
  <c r="D145" i="46"/>
  <c r="D143" i="46"/>
  <c r="D144" i="46"/>
  <c r="H23" i="46"/>
  <c r="F72" i="41"/>
  <c r="G72" i="41" s="1"/>
  <c r="H72" i="41" s="1"/>
  <c r="I72" i="41" s="1"/>
  <c r="J72" i="41" s="1"/>
  <c r="K72" i="41" s="1"/>
  <c r="L72" i="41" s="1"/>
  <c r="M72" i="41" s="1"/>
  <c r="N72" i="41" s="1"/>
  <c r="O72" i="41" s="1"/>
  <c r="P72" i="41" s="1"/>
  <c r="Q72" i="41" s="1"/>
  <c r="R72" i="41" s="1"/>
  <c r="S72" i="41" s="1"/>
  <c r="T72" i="41" s="1"/>
  <c r="U72" i="41" s="1"/>
  <c r="V72" i="41" s="1"/>
  <c r="W72" i="41" s="1"/>
  <c r="X72" i="41" s="1"/>
  <c r="Y72" i="41" s="1"/>
  <c r="Z72" i="41" s="1"/>
  <c r="AA72" i="41" s="1"/>
  <c r="AB72" i="41" s="1"/>
  <c r="AC72" i="41" s="1"/>
  <c r="AD72" i="41" s="1"/>
  <c r="AE72" i="41" s="1"/>
  <c r="AF72" i="41" s="1"/>
  <c r="AG72" i="41" s="1"/>
  <c r="AH72" i="41" s="1"/>
  <c r="F69" i="41"/>
  <c r="G69" i="41" s="1"/>
  <c r="H69" i="41" s="1"/>
  <c r="I69" i="41" s="1"/>
  <c r="J69" i="41" s="1"/>
  <c r="K69" i="41" s="1"/>
  <c r="L69" i="41" s="1"/>
  <c r="M69" i="41" s="1"/>
  <c r="N69" i="41" s="1"/>
  <c r="O69" i="41" s="1"/>
  <c r="P69" i="41" s="1"/>
  <c r="Q69" i="41" s="1"/>
  <c r="R69" i="41" s="1"/>
  <c r="S69" i="41" s="1"/>
  <c r="T69" i="41" s="1"/>
  <c r="U69" i="41" s="1"/>
  <c r="V69" i="41" s="1"/>
  <c r="W69" i="41" s="1"/>
  <c r="X69" i="41" s="1"/>
  <c r="Y69" i="41" s="1"/>
  <c r="Z69" i="41" s="1"/>
  <c r="AA69" i="41" s="1"/>
  <c r="AB69" i="41" s="1"/>
  <c r="AC69" i="41" s="1"/>
  <c r="AD69" i="41" s="1"/>
  <c r="AE69" i="41" s="1"/>
  <c r="AF69" i="41" s="1"/>
  <c r="AG69" i="41" s="1"/>
  <c r="AH69" i="41" s="1"/>
  <c r="H22" i="46"/>
  <c r="D142" i="46"/>
  <c r="I21" i="46"/>
  <c r="I24" i="46"/>
  <c r="H363" i="46"/>
  <c r="D207" i="46"/>
  <c r="D206" i="46"/>
  <c r="F243" i="46"/>
  <c r="E244" i="46"/>
  <c r="D205" i="46"/>
  <c r="F139" i="46"/>
  <c r="E204" i="46"/>
  <c r="E140" i="46"/>
  <c r="E141" i="46"/>
  <c r="E203" i="46"/>
  <c r="AL95" i="45"/>
  <c r="I16" i="45"/>
  <c r="AO16" i="45" s="1"/>
  <c r="H17" i="45"/>
  <c r="H69" i="45" s="1"/>
  <c r="E21" i="45"/>
  <c r="E23" i="45" s="1"/>
  <c r="G18" i="45"/>
  <c r="I38" i="45"/>
  <c r="AO38" i="45" s="1"/>
  <c r="H40" i="45"/>
  <c r="F20" i="45"/>
  <c r="F19" i="45"/>
  <c r="N45" i="45"/>
  <c r="M49" i="45"/>
  <c r="M47" i="45"/>
  <c r="M46" i="45"/>
  <c r="AP92" i="45"/>
  <c r="AP88" i="45"/>
  <c r="K52" i="45"/>
  <c r="K51" i="45"/>
  <c r="K92" i="45" s="1"/>
  <c r="K53" i="45"/>
  <c r="K88" i="45"/>
  <c r="BK23" i="36"/>
  <c r="BK25" i="36" s="1"/>
  <c r="AD37" i="42" s="1"/>
  <c r="N8" i="8"/>
  <c r="N10" i="8"/>
  <c r="N7" i="8"/>
  <c r="N9" i="8"/>
  <c r="AF23" i="36"/>
  <c r="AF25" i="36" s="1"/>
  <c r="AE37" i="38" s="1"/>
  <c r="AF70" i="36"/>
  <c r="BJ25" i="36"/>
  <c r="AC37" i="42" s="1"/>
  <c r="BJ69" i="36"/>
  <c r="AE60" i="36"/>
  <c r="AE62" i="36"/>
  <c r="BK46" i="36"/>
  <c r="BK44" i="36"/>
  <c r="BL43" i="36"/>
  <c r="AE38" i="42" s="1"/>
  <c r="BJ39" i="36"/>
  <c r="BJ37" i="36"/>
  <c r="BJ81" i="36" s="1"/>
  <c r="AG35" i="36"/>
  <c r="BL32" i="36"/>
  <c r="BL35" i="36"/>
  <c r="BK70" i="36"/>
  <c r="AG32" i="36"/>
  <c r="AF59" i="36"/>
  <c r="BJ60" i="36"/>
  <c r="BJ62" i="36"/>
  <c r="AG22" i="36"/>
  <c r="AG21" i="36"/>
  <c r="BN55" i="36"/>
  <c r="BN90" i="36"/>
  <c r="BN53" i="36"/>
  <c r="BN94" i="36" s="1"/>
  <c r="BL22" i="36"/>
  <c r="BL21" i="36"/>
  <c r="BL57" i="36"/>
  <c r="BL58" i="36"/>
  <c r="AH33" i="36"/>
  <c r="AH31" i="36"/>
  <c r="AH30" i="36"/>
  <c r="AH34" i="36"/>
  <c r="BM19" i="36"/>
  <c r="BM20" i="36" s="1"/>
  <c r="BM56" i="36"/>
  <c r="BM33" i="36"/>
  <c r="BM30" i="36"/>
  <c r="BN29" i="36"/>
  <c r="BM31" i="36"/>
  <c r="BM34" i="36"/>
  <c r="BM41" i="36"/>
  <c r="BM42" i="36"/>
  <c r="BN40" i="36"/>
  <c r="AH42" i="36"/>
  <c r="CG11" i="36" s="1"/>
  <c r="AE28" i="36"/>
  <c r="AE26" i="36"/>
  <c r="AE87" i="36" s="1"/>
  <c r="AE84" i="36"/>
  <c r="AG58" i="36"/>
  <c r="AG57" i="36"/>
  <c r="BN18" i="36"/>
  <c r="AH19" i="36"/>
  <c r="AH20" i="36" s="1"/>
  <c r="AH56" i="36"/>
  <c r="BK59" i="36"/>
  <c r="AD40" i="42" s="1"/>
  <c r="D65" i="28"/>
  <c r="D235" i="38"/>
  <c r="E184" i="42"/>
  <c r="D186" i="42"/>
  <c r="D189" i="42" s="1"/>
  <c r="D185" i="42"/>
  <c r="P63" i="45"/>
  <c r="R72" i="14"/>
  <c r="AV63" i="36"/>
  <c r="AV68" i="36" s="1"/>
  <c r="AV75" i="36" s="1"/>
  <c r="P68" i="36"/>
  <c r="Q63" i="36"/>
  <c r="AT71" i="36"/>
  <c r="AT72" i="36" s="1"/>
  <c r="AT106" i="36"/>
  <c r="O71" i="36"/>
  <c r="CA38" i="58" s="1"/>
  <c r="O37" i="58" s="1"/>
  <c r="AU37" i="58" s="1"/>
  <c r="CA37" i="58" s="1"/>
  <c r="O106" i="36"/>
  <c r="AV64" i="36"/>
  <c r="P66" i="36"/>
  <c r="P65" i="36"/>
  <c r="AU66" i="36"/>
  <c r="AU73" i="36" s="1"/>
  <c r="AU65" i="36"/>
  <c r="D220" i="38"/>
  <c r="D69" i="20"/>
  <c r="D132" i="38"/>
  <c r="D235" i="42"/>
  <c r="I21" i="29"/>
  <c r="H24" i="29"/>
  <c r="AG132" i="42"/>
  <c r="AG66" i="42"/>
  <c r="D132" i="42"/>
  <c r="AG187" i="42"/>
  <c r="F234" i="42"/>
  <c r="E235" i="42"/>
  <c r="H24" i="38"/>
  <c r="AG187" i="38"/>
  <c r="E219" i="42"/>
  <c r="D220" i="42"/>
  <c r="D133" i="42"/>
  <c r="D134" i="42"/>
  <c r="D135" i="42"/>
  <c r="F129" i="38"/>
  <c r="E185" i="38"/>
  <c r="E186" i="38"/>
  <c r="E131" i="38"/>
  <c r="E130" i="38"/>
  <c r="AG189" i="42"/>
  <c r="AG188" i="42"/>
  <c r="D69" i="42"/>
  <c r="D88" i="42" s="1"/>
  <c r="D65" i="42"/>
  <c r="D68" i="42"/>
  <c r="D70" i="42"/>
  <c r="D64" i="42"/>
  <c r="D67" i="42"/>
  <c r="E63" i="42"/>
  <c r="D189" i="38"/>
  <c r="D188" i="38"/>
  <c r="AG134" i="42"/>
  <c r="AG133" i="42"/>
  <c r="AG135" i="42"/>
  <c r="G22" i="38"/>
  <c r="AG189" i="38"/>
  <c r="AG188" i="38"/>
  <c r="F219" i="38"/>
  <c r="E220" i="38"/>
  <c r="AG66" i="38"/>
  <c r="D133" i="38"/>
  <c r="D135" i="38"/>
  <c r="D134" i="38"/>
  <c r="D67" i="38"/>
  <c r="D69" i="38"/>
  <c r="D88" i="38" s="1"/>
  <c r="D70" i="38"/>
  <c r="D68" i="38"/>
  <c r="E63" i="38"/>
  <c r="D65" i="38"/>
  <c r="D64" i="38"/>
  <c r="AG133" i="38"/>
  <c r="AG134" i="38"/>
  <c r="AG135" i="38"/>
  <c r="G25" i="38"/>
  <c r="AG132" i="38"/>
  <c r="F234" i="38"/>
  <c r="E235" i="38"/>
  <c r="H21" i="38"/>
  <c r="F129" i="42"/>
  <c r="E130" i="42"/>
  <c r="E131" i="42"/>
  <c r="G23" i="38"/>
  <c r="D187" i="38"/>
  <c r="H23" i="28"/>
  <c r="E268" i="19"/>
  <c r="F310" i="20"/>
  <c r="H22" i="28"/>
  <c r="F85" i="28"/>
  <c r="E90" i="28"/>
  <c r="E87" i="28"/>
  <c r="E86" i="28"/>
  <c r="E89" i="28"/>
  <c r="E88" i="28"/>
  <c r="E91" i="28"/>
  <c r="I25" i="28"/>
  <c r="F110" i="28"/>
  <c r="E111" i="28"/>
  <c r="E123" i="20"/>
  <c r="E127" i="20"/>
  <c r="F122" i="20"/>
  <c r="E124" i="20"/>
  <c r="E128" i="20"/>
  <c r="E125" i="20"/>
  <c r="E126" i="20"/>
  <c r="I24" i="28"/>
  <c r="D71" i="20"/>
  <c r="D72" i="20"/>
  <c r="D73" i="20"/>
  <c r="D70" i="20"/>
  <c r="E66" i="28"/>
  <c r="E63" i="28"/>
  <c r="E67" i="28"/>
  <c r="E64" i="28"/>
  <c r="F62" i="28"/>
  <c r="J21" i="28"/>
  <c r="F198" i="20"/>
  <c r="E199" i="20"/>
  <c r="F66" i="20"/>
  <c r="E67" i="20"/>
  <c r="E68" i="20"/>
  <c r="Q50" i="15"/>
  <c r="Q53" i="15" s="1"/>
  <c r="Q137" i="15" s="1"/>
  <c r="Q126" i="15"/>
  <c r="O74" i="12"/>
  <c r="O219" i="12" s="1"/>
  <c r="O230" i="12" s="1"/>
  <c r="O77" i="12"/>
  <c r="O80" i="12"/>
  <c r="O79" i="12"/>
  <c r="O75" i="12"/>
  <c r="O78" i="12"/>
  <c r="O76" i="12"/>
  <c r="D212" i="20"/>
  <c r="P74" i="14"/>
  <c r="P219" i="14" s="1"/>
  <c r="P230" i="14" s="1"/>
  <c r="P75" i="14"/>
  <c r="P77" i="14"/>
  <c r="P76" i="14"/>
  <c r="P78" i="14"/>
  <c r="P80" i="14"/>
  <c r="P79" i="14"/>
  <c r="AD11" i="20"/>
  <c r="AD10" i="20"/>
  <c r="AC12" i="20"/>
  <c r="AC22" i="20"/>
  <c r="AC25" i="20"/>
  <c r="AB21" i="20"/>
  <c r="AC23" i="20"/>
  <c r="R72" i="12"/>
  <c r="T33" i="11"/>
  <c r="S34" i="11"/>
  <c r="S35" i="11" s="1"/>
  <c r="S36" i="11" s="1"/>
  <c r="R29" i="13"/>
  <c r="R30" i="13" s="1"/>
  <c r="S28" i="13"/>
  <c r="Q31" i="13"/>
  <c r="Q33" i="13" s="1"/>
  <c r="Q64" i="36" s="1"/>
  <c r="Q32" i="13"/>
  <c r="Q73" i="14" s="1"/>
  <c r="P73" i="12"/>
  <c r="AD24" i="20"/>
  <c r="R31" i="15"/>
  <c r="AK23" i="45" l="1"/>
  <c r="AF84" i="36"/>
  <c r="D188" i="42"/>
  <c r="S40" i="11"/>
  <c r="S66" i="45" s="1"/>
  <c r="AY66" i="45" s="1"/>
  <c r="S39" i="11"/>
  <c r="S37" i="11"/>
  <c r="S38" i="11"/>
  <c r="AS4" i="51"/>
  <c r="AS57" i="58" s="1"/>
  <c r="CI57" i="58" s="1"/>
  <c r="CI58" i="58" s="1"/>
  <c r="M57" i="58"/>
  <c r="N95" i="55"/>
  <c r="AS95" i="55"/>
  <c r="DE95" i="55" s="1"/>
  <c r="R64" i="45"/>
  <c r="AX64" i="45" s="1"/>
  <c r="R61" i="45"/>
  <c r="AX61" i="45" s="1"/>
  <c r="AX63" i="45" s="1"/>
  <c r="AS96" i="55"/>
  <c r="DE96" i="55" s="1"/>
  <c r="N96" i="55"/>
  <c r="H22" i="54"/>
  <c r="H25" i="54"/>
  <c r="AL21" i="45"/>
  <c r="I24" i="54"/>
  <c r="H21" i="54"/>
  <c r="H23" i="54"/>
  <c r="E66" i="54"/>
  <c r="N4" i="51"/>
  <c r="F67" i="54"/>
  <c r="F65" i="54"/>
  <c r="G63" i="54"/>
  <c r="F68" i="54"/>
  <c r="F70" i="54"/>
  <c r="F64" i="54"/>
  <c r="F69" i="54"/>
  <c r="F76" i="54" s="1"/>
  <c r="F77" i="54" s="1"/>
  <c r="G156" i="54"/>
  <c r="F157" i="54"/>
  <c r="E66" i="53"/>
  <c r="G147" i="53"/>
  <c r="F148" i="53"/>
  <c r="G156" i="53"/>
  <c r="F157" i="53"/>
  <c r="E77" i="53"/>
  <c r="F65" i="53"/>
  <c r="F64" i="53"/>
  <c r="F68" i="53"/>
  <c r="G63" i="53"/>
  <c r="F70" i="53"/>
  <c r="F69" i="53"/>
  <c r="F76" i="53" s="1"/>
  <c r="F67" i="53"/>
  <c r="D37" i="46"/>
  <c r="F132" i="53"/>
  <c r="F131" i="53"/>
  <c r="F101" i="53"/>
  <c r="F100" i="53"/>
  <c r="E102" i="53"/>
  <c r="E104" i="53"/>
  <c r="E103" i="53"/>
  <c r="E105" i="53"/>
  <c r="E133" i="53"/>
  <c r="E135" i="53"/>
  <c r="E134" i="53"/>
  <c r="J24" i="53"/>
  <c r="I23" i="53"/>
  <c r="I25" i="53"/>
  <c r="I21" i="53"/>
  <c r="I22" i="53"/>
  <c r="AM42" i="45"/>
  <c r="AF28" i="36"/>
  <c r="BK69" i="36"/>
  <c r="AN18" i="45"/>
  <c r="AN20" i="45" s="1"/>
  <c r="AG70" i="36"/>
  <c r="E66" i="48"/>
  <c r="AM19" i="45"/>
  <c r="E205" i="48"/>
  <c r="H22" i="48"/>
  <c r="D91" i="38"/>
  <c r="D90" i="38"/>
  <c r="D89" i="38"/>
  <c r="AM44" i="45"/>
  <c r="F244" i="48"/>
  <c r="G243" i="48"/>
  <c r="H23" i="48"/>
  <c r="AF60" i="36"/>
  <c r="AE40" i="38"/>
  <c r="AN41" i="45"/>
  <c r="AN43" i="45" s="1"/>
  <c r="AM43" i="45"/>
  <c r="G260" i="48"/>
  <c r="F261" i="48"/>
  <c r="E142" i="48"/>
  <c r="F65" i="48"/>
  <c r="F64" i="48"/>
  <c r="F68" i="48"/>
  <c r="F70" i="48"/>
  <c r="F69" i="48"/>
  <c r="F67" i="48"/>
  <c r="G63" i="48"/>
  <c r="AG95" i="48"/>
  <c r="AG100" i="48" s="1"/>
  <c r="AG94" i="48"/>
  <c r="AG96" i="48"/>
  <c r="AG101" i="48" s="1"/>
  <c r="AG93" i="48"/>
  <c r="AG98" i="48" s="1"/>
  <c r="AG97" i="48"/>
  <c r="F63" i="46"/>
  <c r="E68" i="46"/>
  <c r="E64" i="46"/>
  <c r="E70" i="46"/>
  <c r="E67" i="46"/>
  <c r="E69" i="46"/>
  <c r="E92" i="46" s="1"/>
  <c r="E65" i="46"/>
  <c r="H25" i="48"/>
  <c r="E207" i="48"/>
  <c r="E206" i="48"/>
  <c r="D92" i="48"/>
  <c r="D96" i="46"/>
  <c r="D101" i="46" s="1"/>
  <c r="D95" i="46"/>
  <c r="D100" i="46" s="1"/>
  <c r="D94" i="46"/>
  <c r="D97" i="46"/>
  <c r="D93" i="46"/>
  <c r="D98" i="46" s="1"/>
  <c r="E145" i="48"/>
  <c r="E143" i="48"/>
  <c r="E144" i="48"/>
  <c r="D92" i="42"/>
  <c r="D89" i="42"/>
  <c r="D93" i="42" s="1"/>
  <c r="D90" i="42"/>
  <c r="D94" i="42" s="1"/>
  <c r="D91" i="42"/>
  <c r="AF26" i="36"/>
  <c r="AF87" i="36" s="1"/>
  <c r="I24" i="48"/>
  <c r="D66" i="46"/>
  <c r="I21" i="48"/>
  <c r="G139" i="48"/>
  <c r="F203" i="48"/>
  <c r="F141" i="48"/>
  <c r="F140" i="48"/>
  <c r="F204" i="48"/>
  <c r="AO40" i="45"/>
  <c r="AO39" i="45"/>
  <c r="AO17" i="45"/>
  <c r="AO69" i="45" s="1"/>
  <c r="AT47" i="45"/>
  <c r="AT49" i="45"/>
  <c r="AT46" i="45"/>
  <c r="AU45" i="45"/>
  <c r="K39" i="48"/>
  <c r="AR52" i="45"/>
  <c r="AR51" i="45"/>
  <c r="AR53" i="45"/>
  <c r="AS48" i="45"/>
  <c r="AS50" i="45" s="1"/>
  <c r="E143" i="46"/>
  <c r="E144" i="46"/>
  <c r="E145" i="46"/>
  <c r="I363" i="46"/>
  <c r="J363" i="46" s="1"/>
  <c r="J24" i="46"/>
  <c r="E142" i="46"/>
  <c r="I22" i="46"/>
  <c r="E207" i="46"/>
  <c r="E206" i="46"/>
  <c r="J21" i="46"/>
  <c r="I23" i="46"/>
  <c r="E205" i="46"/>
  <c r="G139" i="46"/>
  <c r="F204" i="46"/>
  <c r="F203" i="46"/>
  <c r="F140" i="46"/>
  <c r="F141" i="46"/>
  <c r="G243" i="46"/>
  <c r="F244" i="46"/>
  <c r="G260" i="46"/>
  <c r="F261" i="46"/>
  <c r="I25" i="46"/>
  <c r="F21" i="45"/>
  <c r="F23" i="45" s="1"/>
  <c r="E24" i="45"/>
  <c r="E25" i="45"/>
  <c r="E26" i="45"/>
  <c r="E82" i="45"/>
  <c r="H18" i="45"/>
  <c r="J38" i="45"/>
  <c r="AP38" i="45" s="1"/>
  <c r="I40" i="45"/>
  <c r="G19" i="45"/>
  <c r="G20" i="45"/>
  <c r="J16" i="45"/>
  <c r="AP16" i="45" s="1"/>
  <c r="I17" i="45"/>
  <c r="I69" i="45" s="1"/>
  <c r="AQ92" i="45"/>
  <c r="AQ88" i="45"/>
  <c r="O45" i="45"/>
  <c r="N46" i="45"/>
  <c r="N47" i="45"/>
  <c r="N49" i="45"/>
  <c r="M48" i="45"/>
  <c r="M50" i="45" s="1"/>
  <c r="L39" i="46" s="1"/>
  <c r="L52" i="45"/>
  <c r="L53" i="45"/>
  <c r="L51" i="45"/>
  <c r="L92" i="45" s="1"/>
  <c r="L88" i="45"/>
  <c r="N11" i="8"/>
  <c r="AF62" i="36"/>
  <c r="BJ28" i="36"/>
  <c r="BJ26" i="36"/>
  <c r="BJ87" i="36" s="1"/>
  <c r="BJ84" i="36"/>
  <c r="AG59" i="36"/>
  <c r="BM43" i="36"/>
  <c r="AF38" i="42" s="1"/>
  <c r="BL46" i="36"/>
  <c r="BL97" i="36"/>
  <c r="BL44" i="36"/>
  <c r="AH35" i="36"/>
  <c r="CF11" i="36" s="1"/>
  <c r="BL36" i="36"/>
  <c r="BL70" i="36"/>
  <c r="AH32" i="36"/>
  <c r="CF10" i="36" s="1"/>
  <c r="BM32" i="36"/>
  <c r="BL59" i="36"/>
  <c r="BM35" i="36"/>
  <c r="BL23" i="36"/>
  <c r="AG23" i="36"/>
  <c r="BN42" i="36"/>
  <c r="BN41" i="36"/>
  <c r="BN19" i="36"/>
  <c r="BN20" i="36" s="1"/>
  <c r="BN56" i="36"/>
  <c r="BK84" i="36"/>
  <c r="BK26" i="36"/>
  <c r="BK87" i="36" s="1"/>
  <c r="BK28" i="36"/>
  <c r="BM57" i="36"/>
  <c r="BM58" i="36"/>
  <c r="AH57" i="36"/>
  <c r="AH58" i="36"/>
  <c r="BN33" i="36"/>
  <c r="BN30" i="36"/>
  <c r="BN34" i="36"/>
  <c r="BN31" i="36"/>
  <c r="BM22" i="36"/>
  <c r="BM21" i="36"/>
  <c r="BK62" i="36"/>
  <c r="BK60" i="36"/>
  <c r="AH22" i="36"/>
  <c r="AH21" i="36"/>
  <c r="D187" i="42"/>
  <c r="F184" i="42"/>
  <c r="E186" i="42"/>
  <c r="E189" i="42" s="1"/>
  <c r="E185" i="42"/>
  <c r="AW63" i="36"/>
  <c r="AW68" i="36" s="1"/>
  <c r="AW75" i="36" s="1"/>
  <c r="Q68" i="36"/>
  <c r="S72" i="14"/>
  <c r="Q63" i="45"/>
  <c r="R63" i="36"/>
  <c r="AW64" i="36"/>
  <c r="Q66" i="36"/>
  <c r="Q65" i="36"/>
  <c r="P71" i="36"/>
  <c r="CB38" i="58" s="1"/>
  <c r="P37" i="58" s="1"/>
  <c r="AV37" i="58" s="1"/>
  <c r="CB37" i="58" s="1"/>
  <c r="P106" i="36"/>
  <c r="AU71" i="36"/>
  <c r="AU72" i="36" s="1"/>
  <c r="AU106" i="36"/>
  <c r="AV66" i="36"/>
  <c r="AV73" i="36" s="1"/>
  <c r="AV65" i="36"/>
  <c r="I24" i="29"/>
  <c r="J21" i="29"/>
  <c r="G234" i="38"/>
  <c r="F235" i="38"/>
  <c r="D66" i="38"/>
  <c r="G219" i="38"/>
  <c r="F220" i="38"/>
  <c r="D95" i="42"/>
  <c r="E135" i="38"/>
  <c r="E134" i="38"/>
  <c r="E133" i="38"/>
  <c r="G234" i="42"/>
  <c r="F235" i="42"/>
  <c r="H23" i="38"/>
  <c r="H25" i="38"/>
  <c r="D66" i="42"/>
  <c r="E189" i="38"/>
  <c r="E188" i="38"/>
  <c r="F219" i="42"/>
  <c r="E220" i="42"/>
  <c r="G129" i="42"/>
  <c r="F130" i="42"/>
  <c r="F131" i="42"/>
  <c r="I21" i="38"/>
  <c r="F63" i="38"/>
  <c r="E69" i="38"/>
  <c r="E88" i="38" s="1"/>
  <c r="E68" i="38"/>
  <c r="E67" i="38"/>
  <c r="E70" i="38"/>
  <c r="E65" i="38"/>
  <c r="E64" i="38"/>
  <c r="H22" i="38"/>
  <c r="E187" i="38"/>
  <c r="I24" i="38"/>
  <c r="E133" i="42"/>
  <c r="E135" i="42"/>
  <c r="E134" i="42"/>
  <c r="E132" i="42"/>
  <c r="E64" i="42"/>
  <c r="E70" i="42"/>
  <c r="E65" i="42"/>
  <c r="E69" i="42"/>
  <c r="E88" i="42" s="1"/>
  <c r="F63" i="42"/>
  <c r="E68" i="42"/>
  <c r="E67" i="42"/>
  <c r="E132" i="38"/>
  <c r="G129" i="38"/>
  <c r="F185" i="38"/>
  <c r="F186" i="38"/>
  <c r="F130" i="38"/>
  <c r="F131" i="38"/>
  <c r="E69" i="20"/>
  <c r="G62" i="28"/>
  <c r="F63" i="28"/>
  <c r="F66" i="28"/>
  <c r="F64" i="28"/>
  <c r="F67" i="28"/>
  <c r="F88" i="28"/>
  <c r="F87" i="28"/>
  <c r="G85" i="28"/>
  <c r="F91" i="28"/>
  <c r="F90" i="28"/>
  <c r="F86" i="28"/>
  <c r="F89" i="28"/>
  <c r="E73" i="20"/>
  <c r="E72" i="20"/>
  <c r="E70" i="20"/>
  <c r="E71" i="20"/>
  <c r="G198" i="20"/>
  <c r="F199" i="20"/>
  <c r="J25" i="28"/>
  <c r="I23" i="28"/>
  <c r="J24" i="28"/>
  <c r="G110" i="28"/>
  <c r="F111" i="28"/>
  <c r="I22" i="28"/>
  <c r="G66" i="20"/>
  <c r="F68" i="20"/>
  <c r="F67" i="20"/>
  <c r="K21" i="28"/>
  <c r="E65" i="28"/>
  <c r="F128" i="20"/>
  <c r="F123" i="20"/>
  <c r="G122" i="20"/>
  <c r="F126" i="20"/>
  <c r="F125" i="20"/>
  <c r="F127" i="20"/>
  <c r="F124" i="20"/>
  <c r="G310" i="20"/>
  <c r="F268" i="19"/>
  <c r="R50" i="15"/>
  <c r="R53" i="15" s="1"/>
  <c r="R137" i="15" s="1"/>
  <c r="R126" i="15"/>
  <c r="P74" i="12"/>
  <c r="P219" i="12" s="1"/>
  <c r="P230" i="12" s="1"/>
  <c r="P76" i="12"/>
  <c r="P77" i="12"/>
  <c r="P80" i="12"/>
  <c r="P78" i="12"/>
  <c r="P79" i="12"/>
  <c r="P75" i="12"/>
  <c r="E212" i="20"/>
  <c r="Q74" i="14"/>
  <c r="Q219" i="14" s="1"/>
  <c r="Q230" i="14" s="1"/>
  <c r="Q80" i="14"/>
  <c r="Q76" i="14"/>
  <c r="Q77" i="14"/>
  <c r="Q79" i="14"/>
  <c r="Q78" i="14"/>
  <c r="Q75" i="14"/>
  <c r="AE11" i="20"/>
  <c r="AD25" i="20"/>
  <c r="AD23" i="20"/>
  <c r="AC21" i="20"/>
  <c r="AE10" i="20"/>
  <c r="AD12" i="20"/>
  <c r="AD22" i="20"/>
  <c r="S72" i="12"/>
  <c r="U33" i="11"/>
  <c r="T34" i="11"/>
  <c r="T35" i="11" s="1"/>
  <c r="T36" i="11" s="1"/>
  <c r="Q73" i="12"/>
  <c r="S29" i="13"/>
  <c r="S30" i="13" s="1"/>
  <c r="T28" i="13"/>
  <c r="R31" i="13"/>
  <c r="R33" i="13" s="1"/>
  <c r="R64" i="36" s="1"/>
  <c r="R32" i="13"/>
  <c r="R73" i="14" s="1"/>
  <c r="AE24" i="20"/>
  <c r="S31" i="15"/>
  <c r="B11" i="4"/>
  <c r="D32" i="12"/>
  <c r="D29" i="12"/>
  <c r="D14" i="8"/>
  <c r="B14" i="8"/>
  <c r="D17" i="12"/>
  <c r="S4" i="6"/>
  <c r="X4" i="6"/>
  <c r="AC4" i="6"/>
  <c r="AH4" i="6"/>
  <c r="AM4" i="6"/>
  <c r="AR4" i="6"/>
  <c r="S5" i="6"/>
  <c r="X5" i="6"/>
  <c r="AC5" i="6"/>
  <c r="AH5" i="6"/>
  <c r="AM5" i="6"/>
  <c r="AR5" i="6"/>
  <c r="S6" i="6"/>
  <c r="X6" i="6"/>
  <c r="AC6" i="6"/>
  <c r="AH6" i="6"/>
  <c r="AM6" i="6"/>
  <c r="AR6" i="6"/>
  <c r="AC3" i="6"/>
  <c r="AH3" i="6"/>
  <c r="AM3" i="6"/>
  <c r="AR3" i="6"/>
  <c r="X3" i="6"/>
  <c r="O2" i="6"/>
  <c r="P2" i="6" s="1"/>
  <c r="Q2" i="6" s="1"/>
  <c r="R2" i="6" s="1"/>
  <c r="S2" i="6" s="1"/>
  <c r="T2" i="6" s="1"/>
  <c r="U2" i="6" s="1"/>
  <c r="V2" i="6" s="1"/>
  <c r="W2" i="6" s="1"/>
  <c r="X2" i="6" s="1"/>
  <c r="Y2" i="6" s="1"/>
  <c r="Z2" i="6" s="1"/>
  <c r="AA2" i="6" s="1"/>
  <c r="AB2" i="6" s="1"/>
  <c r="AC2" i="6" s="1"/>
  <c r="AD2" i="6" s="1"/>
  <c r="AE2" i="6" s="1"/>
  <c r="AF2" i="6" s="1"/>
  <c r="AG2" i="6" s="1"/>
  <c r="AH2" i="6" s="1"/>
  <c r="AI2" i="6" s="1"/>
  <c r="AJ2" i="6" s="1"/>
  <c r="AK2" i="6" s="1"/>
  <c r="AL2" i="6" s="1"/>
  <c r="AM2" i="6" s="1"/>
  <c r="AN2" i="6" s="1"/>
  <c r="AO2" i="6" s="1"/>
  <c r="AP2" i="6" s="1"/>
  <c r="AQ2" i="6" s="1"/>
  <c r="AR2" i="6" s="1"/>
  <c r="K3" i="7"/>
  <c r="J3" i="7"/>
  <c r="I3" i="7"/>
  <c r="H3" i="7"/>
  <c r="G3" i="7"/>
  <c r="E3" i="12"/>
  <c r="D1" i="52" s="1"/>
  <c r="D37" i="48" l="1"/>
  <c r="AK26" i="45"/>
  <c r="AK25" i="45"/>
  <c r="AK24" i="45"/>
  <c r="AL23" i="45"/>
  <c r="Y6" i="6"/>
  <c r="Z6" i="6" s="1"/>
  <c r="AA6" i="6" s="1"/>
  <c r="AB6" i="6" s="1"/>
  <c r="AG35" i="20"/>
  <c r="AH4" i="12"/>
  <c r="AG35" i="29"/>
  <c r="AH4" i="14"/>
  <c r="AG35" i="19"/>
  <c r="AG35" i="28"/>
  <c r="M35" i="20"/>
  <c r="M35" i="29"/>
  <c r="N4" i="14"/>
  <c r="M35" i="19"/>
  <c r="M35" i="28"/>
  <c r="M2" i="53"/>
  <c r="M2" i="54"/>
  <c r="AB35" i="20"/>
  <c r="AC4" i="14"/>
  <c r="AB35" i="29"/>
  <c r="AB35" i="19"/>
  <c r="AB35" i="28"/>
  <c r="R2" i="53"/>
  <c r="R2" i="54"/>
  <c r="W35" i="20"/>
  <c r="X4" i="12"/>
  <c r="X4" i="14"/>
  <c r="W35" i="29"/>
  <c r="W35" i="19"/>
  <c r="W35" i="28"/>
  <c r="O96" i="55"/>
  <c r="AT96" i="55"/>
  <c r="DF96" i="55" s="1"/>
  <c r="W2" i="53"/>
  <c r="W2" i="54"/>
  <c r="R35" i="20"/>
  <c r="R35" i="29"/>
  <c r="S4" i="14"/>
  <c r="R35" i="19"/>
  <c r="R35" i="28"/>
  <c r="T37" i="11"/>
  <c r="T40" i="11"/>
  <c r="T66" i="45" s="1"/>
  <c r="AZ66" i="45" s="1"/>
  <c r="T39" i="11"/>
  <c r="T38" i="11"/>
  <c r="O95" i="55"/>
  <c r="AT95" i="55"/>
  <c r="DF95" i="55" s="1"/>
  <c r="AB2" i="53"/>
  <c r="AB2" i="54"/>
  <c r="S61" i="45"/>
  <c r="AY61" i="45" s="1"/>
  <c r="AY63" i="45" s="1"/>
  <c r="S64" i="45"/>
  <c r="AY64" i="45" s="1"/>
  <c r="AG2" i="54"/>
  <c r="AG2" i="53"/>
  <c r="AT4" i="51"/>
  <c r="AT57" i="58" s="1"/>
  <c r="CJ57" i="58" s="1"/>
  <c r="CJ58" i="58" s="1"/>
  <c r="N57" i="58"/>
  <c r="I23" i="54"/>
  <c r="I21" i="54"/>
  <c r="AM21" i="45"/>
  <c r="J24" i="54"/>
  <c r="I25" i="54"/>
  <c r="I22" i="54"/>
  <c r="CH10" i="36"/>
  <c r="F66" i="54"/>
  <c r="H156" i="54"/>
  <c r="G157" i="54"/>
  <c r="G67" i="54"/>
  <c r="G69" i="54"/>
  <c r="G76" i="54" s="1"/>
  <c r="G77" i="54" s="1"/>
  <c r="G70" i="54"/>
  <c r="G68" i="54"/>
  <c r="H63" i="54"/>
  <c r="G65" i="54"/>
  <c r="G64" i="54"/>
  <c r="F66" i="53"/>
  <c r="H147" i="53"/>
  <c r="G148" i="53"/>
  <c r="H156" i="53"/>
  <c r="G157" i="53"/>
  <c r="F77" i="53"/>
  <c r="G65" i="53"/>
  <c r="H63" i="53"/>
  <c r="G67" i="53"/>
  <c r="G69" i="53"/>
  <c r="G76" i="53" s="1"/>
  <c r="G70" i="53"/>
  <c r="G68" i="53"/>
  <c r="G64" i="53"/>
  <c r="AO41" i="45"/>
  <c r="AO43" i="45" s="1"/>
  <c r="G132" i="53"/>
  <c r="G131" i="53"/>
  <c r="G100" i="53"/>
  <c r="G101" i="53"/>
  <c r="F25" i="45"/>
  <c r="F102" i="53"/>
  <c r="F104" i="53"/>
  <c r="F103" i="53"/>
  <c r="F105" i="53"/>
  <c r="F133" i="53"/>
  <c r="F135" i="53"/>
  <c r="F134" i="53"/>
  <c r="J21" i="53"/>
  <c r="J25" i="53"/>
  <c r="J23" i="53"/>
  <c r="J22" i="53"/>
  <c r="K24" i="53"/>
  <c r="I2" i="50"/>
  <c r="AB2" i="48"/>
  <c r="AB2" i="46"/>
  <c r="AB2" i="28"/>
  <c r="AB2" i="42"/>
  <c r="AB2" i="29"/>
  <c r="AB2" i="38"/>
  <c r="F2" i="50"/>
  <c r="M2" i="48"/>
  <c r="M2" i="46"/>
  <c r="M2" i="28"/>
  <c r="M2" i="42"/>
  <c r="M2" i="29"/>
  <c r="M2" i="38"/>
  <c r="G2" i="50"/>
  <c r="R2" i="48"/>
  <c r="R2" i="46"/>
  <c r="R2" i="28"/>
  <c r="R2" i="42"/>
  <c r="R2" i="29"/>
  <c r="R2" i="38"/>
  <c r="AG2" i="48"/>
  <c r="AG2" i="46"/>
  <c r="AG2" i="28"/>
  <c r="AG2" i="42"/>
  <c r="AG2" i="29"/>
  <c r="AG2" i="38"/>
  <c r="H2" i="50"/>
  <c r="W2" i="48"/>
  <c r="W2" i="46"/>
  <c r="W2" i="28"/>
  <c r="W2" i="42"/>
  <c r="W2" i="38"/>
  <c r="W2" i="29"/>
  <c r="AN19" i="45"/>
  <c r="E39" i="45"/>
  <c r="F39" i="45"/>
  <c r="G39" i="45"/>
  <c r="H39" i="45"/>
  <c r="I39" i="45"/>
  <c r="F26" i="45"/>
  <c r="F142" i="48"/>
  <c r="E188" i="42"/>
  <c r="AN44" i="45"/>
  <c r="AN42" i="45"/>
  <c r="F66" i="48"/>
  <c r="F24" i="45"/>
  <c r="E89" i="38"/>
  <c r="E90" i="38"/>
  <c r="E91" i="38"/>
  <c r="BL37" i="36"/>
  <c r="BL81" i="36" s="1"/>
  <c r="AE36" i="42"/>
  <c r="G140" i="48"/>
  <c r="G204" i="48"/>
  <c r="H139" i="48"/>
  <c r="G141" i="48"/>
  <c r="G203" i="48"/>
  <c r="D96" i="48"/>
  <c r="D101" i="48" s="1"/>
  <c r="D94" i="48"/>
  <c r="D93" i="48"/>
  <c r="D98" i="48" s="1"/>
  <c r="D95" i="48"/>
  <c r="D100" i="48" s="1"/>
  <c r="D97" i="48"/>
  <c r="E66" i="46"/>
  <c r="H243" i="48"/>
  <c r="G244" i="48"/>
  <c r="I22" i="48"/>
  <c r="J24" i="48"/>
  <c r="E92" i="48"/>
  <c r="E95" i="46"/>
  <c r="E100" i="46" s="1"/>
  <c r="E93" i="46"/>
  <c r="E98" i="46" s="1"/>
  <c r="E96" i="46"/>
  <c r="E101" i="46" s="1"/>
  <c r="E94" i="46"/>
  <c r="E97" i="46"/>
  <c r="E92" i="42"/>
  <c r="E90" i="42"/>
  <c r="E94" i="42" s="1"/>
  <c r="E91" i="42"/>
  <c r="E95" i="42" s="1"/>
  <c r="E89" i="42"/>
  <c r="E93" i="42" s="1"/>
  <c r="BL62" i="36"/>
  <c r="AE40" i="42"/>
  <c r="BL39" i="36"/>
  <c r="AG60" i="36"/>
  <c r="AF40" i="38"/>
  <c r="AO18" i="45"/>
  <c r="AO19" i="45" s="1"/>
  <c r="G38" i="48"/>
  <c r="F143" i="48"/>
  <c r="F145" i="48"/>
  <c r="F144" i="48"/>
  <c r="J21" i="48"/>
  <c r="G63" i="46"/>
  <c r="F70" i="46"/>
  <c r="F65" i="46"/>
  <c r="F69" i="46"/>
  <c r="F92" i="46" s="1"/>
  <c r="F67" i="46"/>
  <c r="F64" i="46"/>
  <c r="F68" i="46"/>
  <c r="H260" i="48"/>
  <c r="G261" i="48"/>
  <c r="I23" i="48"/>
  <c r="F206" i="48"/>
  <c r="F207" i="48"/>
  <c r="BL77" i="36"/>
  <c r="F205" i="48"/>
  <c r="I25" i="48"/>
  <c r="G70" i="48"/>
  <c r="G65" i="48"/>
  <c r="G68" i="48"/>
  <c r="H63" i="48"/>
  <c r="G64" i="48"/>
  <c r="G67" i="48"/>
  <c r="G69" i="48"/>
  <c r="AP40" i="45"/>
  <c r="AP39" i="45"/>
  <c r="AU49" i="45"/>
  <c r="AU47" i="45"/>
  <c r="AU46" i="45"/>
  <c r="AV45" i="45"/>
  <c r="AO20" i="45"/>
  <c r="AP17" i="45"/>
  <c r="AP69" i="45" s="1"/>
  <c r="F82" i="45"/>
  <c r="E37" i="46"/>
  <c r="L39" i="48"/>
  <c r="AS51" i="45"/>
  <c r="AS92" i="45" s="1"/>
  <c r="AS52" i="45"/>
  <c r="AS53" i="45"/>
  <c r="AT48" i="45"/>
  <c r="AT50" i="45" s="1"/>
  <c r="J25" i="46"/>
  <c r="F205" i="46"/>
  <c r="J23" i="46"/>
  <c r="K21" i="46"/>
  <c r="K24" i="46"/>
  <c r="J22" i="46"/>
  <c r="H243" i="46"/>
  <c r="G244" i="46"/>
  <c r="F207" i="46"/>
  <c r="F206" i="46"/>
  <c r="H260" i="46"/>
  <c r="G261" i="46"/>
  <c r="F142" i="46"/>
  <c r="F143" i="46"/>
  <c r="F145" i="46"/>
  <c r="F144" i="46"/>
  <c r="H139" i="46"/>
  <c r="G204" i="46"/>
  <c r="G140" i="46"/>
  <c r="G203" i="46"/>
  <c r="G141" i="46"/>
  <c r="K363" i="46"/>
  <c r="G21" i="45"/>
  <c r="G23" i="45" s="1"/>
  <c r="AK82" i="45"/>
  <c r="J17" i="45"/>
  <c r="J69" i="45" s="1"/>
  <c r="K16" i="45"/>
  <c r="AQ16" i="45" s="1"/>
  <c r="J40" i="45"/>
  <c r="J39" i="45"/>
  <c r="K38" i="45"/>
  <c r="AQ38" i="45" s="1"/>
  <c r="AM95" i="45"/>
  <c r="I18" i="45"/>
  <c r="H19" i="45"/>
  <c r="H20" i="45"/>
  <c r="AS88" i="45"/>
  <c r="N48" i="45"/>
  <c r="N50" i="45" s="1"/>
  <c r="M39" i="46" s="1"/>
  <c r="M51" i="45"/>
  <c r="M92" i="45" s="1"/>
  <c r="M53" i="45"/>
  <c r="M52" i="45"/>
  <c r="M88" i="45"/>
  <c r="P45" i="45"/>
  <c r="O47" i="45"/>
  <c r="O46" i="45"/>
  <c r="O49" i="45"/>
  <c r="AR88" i="45"/>
  <c r="AR92" i="45"/>
  <c r="BL60" i="36"/>
  <c r="AG62" i="36"/>
  <c r="BM23" i="36"/>
  <c r="BM25" i="36" s="1"/>
  <c r="AH23" i="36"/>
  <c r="AH59" i="36"/>
  <c r="AH62" i="36" s="1"/>
  <c r="BM97" i="36"/>
  <c r="BM46" i="36"/>
  <c r="BM44" i="36"/>
  <c r="BN43" i="36"/>
  <c r="AG38" i="42" s="1"/>
  <c r="E41" i="36"/>
  <c r="E43" i="36" s="1"/>
  <c r="D38" i="38" s="1"/>
  <c r="F41" i="36"/>
  <c r="F43" i="36" s="1"/>
  <c r="E38" i="38" s="1"/>
  <c r="G41" i="36"/>
  <c r="G43" i="36" s="1"/>
  <c r="F38" i="38" s="1"/>
  <c r="H41" i="36"/>
  <c r="H43" i="36" s="1"/>
  <c r="G38" i="38" s="1"/>
  <c r="I41" i="36"/>
  <c r="I43" i="36" s="1"/>
  <c r="H38" i="38" s="1"/>
  <c r="J41" i="36"/>
  <c r="J43" i="36" s="1"/>
  <c r="I38" i="38" s="1"/>
  <c r="K41" i="36"/>
  <c r="K43" i="36" s="1"/>
  <c r="J38" i="38" s="1"/>
  <c r="L41" i="36"/>
  <c r="L43" i="36" s="1"/>
  <c r="K38" i="38" s="1"/>
  <c r="M41" i="36"/>
  <c r="M43" i="36" s="1"/>
  <c r="L38" i="38" s="1"/>
  <c r="N41" i="36"/>
  <c r="N43" i="36" s="1"/>
  <c r="M38" i="38" s="1"/>
  <c r="O41" i="36"/>
  <c r="O43" i="36" s="1"/>
  <c r="N38" i="38" s="1"/>
  <c r="P41" i="36"/>
  <c r="Q41" i="36"/>
  <c r="R41" i="36"/>
  <c r="S41" i="36"/>
  <c r="T41" i="36"/>
  <c r="U41" i="36"/>
  <c r="V41" i="36"/>
  <c r="W41" i="36"/>
  <c r="X41" i="36"/>
  <c r="Y41" i="36"/>
  <c r="Y43" i="36" s="1"/>
  <c r="X38" i="38" s="1"/>
  <c r="Z41" i="36"/>
  <c r="AA41" i="36"/>
  <c r="AB41" i="36"/>
  <c r="AC41" i="36"/>
  <c r="AD41" i="36"/>
  <c r="AE41" i="36"/>
  <c r="AF41" i="36"/>
  <c r="AG41" i="36"/>
  <c r="AG43" i="36" s="1"/>
  <c r="AF38" i="38" s="1"/>
  <c r="AH41" i="36"/>
  <c r="BN35" i="36"/>
  <c r="BN32" i="36"/>
  <c r="BL25" i="36"/>
  <c r="AE37" i="42" s="1"/>
  <c r="BL69" i="36"/>
  <c r="BM36" i="36"/>
  <c r="AF36" i="42" s="1"/>
  <c r="AG25" i="36"/>
  <c r="AF37" i="38" s="1"/>
  <c r="CH11" i="36"/>
  <c r="CF20" i="36" s="1"/>
  <c r="AH70" i="36"/>
  <c r="BN22" i="36"/>
  <c r="BN21" i="36"/>
  <c r="BM59" i="36"/>
  <c r="AF40" i="42" s="1"/>
  <c r="BM70" i="36"/>
  <c r="BN58" i="36"/>
  <c r="BN57" i="36"/>
  <c r="E187" i="42"/>
  <c r="G184" i="42"/>
  <c r="F185" i="42"/>
  <c r="F186" i="42"/>
  <c r="F189" i="42" s="1"/>
  <c r="R63" i="45"/>
  <c r="T72" i="14"/>
  <c r="AX63" i="36"/>
  <c r="AX68" i="36" s="1"/>
  <c r="AX75" i="36" s="1"/>
  <c r="R68" i="36"/>
  <c r="S63" i="36"/>
  <c r="Q71" i="36"/>
  <c r="CC38" i="58" s="1"/>
  <c r="Q37" i="58" s="1"/>
  <c r="AW37" i="58" s="1"/>
  <c r="CC37" i="58" s="1"/>
  <c r="Q106" i="36"/>
  <c r="AX64" i="36"/>
  <c r="R65" i="36"/>
  <c r="R66" i="36"/>
  <c r="AV71" i="36"/>
  <c r="AV72" i="36" s="1"/>
  <c r="AV106" i="36"/>
  <c r="AW66" i="36"/>
  <c r="AW73" i="36" s="1"/>
  <c r="AW65" i="36"/>
  <c r="J24" i="29"/>
  <c r="E66" i="42"/>
  <c r="K21" i="29"/>
  <c r="F132" i="38"/>
  <c r="F189" i="38"/>
  <c r="F188" i="38"/>
  <c r="J24" i="38"/>
  <c r="E66" i="38"/>
  <c r="F132" i="42"/>
  <c r="I25" i="38"/>
  <c r="H234" i="38"/>
  <c r="G235" i="38"/>
  <c r="F187" i="38"/>
  <c r="G219" i="42"/>
  <c r="F220" i="42"/>
  <c r="F134" i="38"/>
  <c r="F135" i="38"/>
  <c r="F133" i="38"/>
  <c r="H129" i="38"/>
  <c r="G185" i="38"/>
  <c r="G186" i="38"/>
  <c r="G130" i="38"/>
  <c r="G131" i="38"/>
  <c r="F67" i="38"/>
  <c r="F69" i="38"/>
  <c r="F88" i="38" s="1"/>
  <c r="F68" i="38"/>
  <c r="F70" i="38"/>
  <c r="G63" i="38"/>
  <c r="F64" i="38"/>
  <c r="F65" i="38"/>
  <c r="J21" i="38"/>
  <c r="F188" i="42"/>
  <c r="I23" i="38"/>
  <c r="H219" i="38"/>
  <c r="G220" i="38"/>
  <c r="F65" i="42"/>
  <c r="F64" i="42"/>
  <c r="G63" i="42"/>
  <c r="F70" i="42"/>
  <c r="F67" i="42"/>
  <c r="F69" i="42"/>
  <c r="F88" i="42" s="1"/>
  <c r="F68" i="42"/>
  <c r="I22" i="38"/>
  <c r="F133" i="42"/>
  <c r="F134" i="42"/>
  <c r="F135" i="42"/>
  <c r="H129" i="42"/>
  <c r="G130" i="42"/>
  <c r="G131" i="42"/>
  <c r="H234" i="42"/>
  <c r="G235" i="42"/>
  <c r="F69" i="20"/>
  <c r="M2" i="19"/>
  <c r="M2" i="20"/>
  <c r="AG2" i="19"/>
  <c r="AG2" i="20"/>
  <c r="L21" i="28"/>
  <c r="G87" i="28"/>
  <c r="G90" i="28"/>
  <c r="G89" i="28"/>
  <c r="G88" i="28"/>
  <c r="H85" i="28"/>
  <c r="G91" i="28"/>
  <c r="G86" i="28"/>
  <c r="R2" i="19"/>
  <c r="R2" i="20"/>
  <c r="G111" i="28"/>
  <c r="H110" i="28"/>
  <c r="W2" i="19"/>
  <c r="W2" i="20"/>
  <c r="H310" i="20"/>
  <c r="G268" i="19"/>
  <c r="F70" i="20"/>
  <c r="F72" i="20"/>
  <c r="F71" i="20"/>
  <c r="F73" i="20"/>
  <c r="J23" i="28"/>
  <c r="K25" i="28"/>
  <c r="F65" i="28"/>
  <c r="AB2" i="19"/>
  <c r="AB2" i="20"/>
  <c r="G124" i="20"/>
  <c r="G125" i="20"/>
  <c r="H122" i="20"/>
  <c r="G126" i="20"/>
  <c r="G127" i="20"/>
  <c r="G123" i="20"/>
  <c r="G128" i="20"/>
  <c r="H66" i="20"/>
  <c r="G67" i="20"/>
  <c r="G68" i="20"/>
  <c r="J22" i="28"/>
  <c r="K24" i="28"/>
  <c r="H198" i="20"/>
  <c r="G199" i="20"/>
  <c r="G64" i="28"/>
  <c r="H62" i="28"/>
  <c r="G67" i="28"/>
  <c r="G66" i="28"/>
  <c r="G63" i="28"/>
  <c r="C28" i="8"/>
  <c r="B26" i="8"/>
  <c r="B27" i="8"/>
  <c r="C26" i="8"/>
  <c r="B28" i="8"/>
  <c r="C27" i="8"/>
  <c r="Q13" i="4"/>
  <c r="Q12" i="4"/>
  <c r="Q14" i="4"/>
  <c r="S50" i="15"/>
  <c r="S53" i="15" s="1"/>
  <c r="S137" i="15" s="1"/>
  <c r="S126" i="15"/>
  <c r="D82" i="12"/>
  <c r="Q74" i="12"/>
  <c r="Q219" i="12" s="1"/>
  <c r="Q230" i="12" s="1"/>
  <c r="Q76" i="12"/>
  <c r="Q77" i="12"/>
  <c r="Q80" i="12"/>
  <c r="Q75" i="12"/>
  <c r="Q78" i="12"/>
  <c r="Q79" i="12"/>
  <c r="F212" i="20"/>
  <c r="R74" i="14"/>
  <c r="R219" i="14" s="1"/>
  <c r="R230" i="14" s="1"/>
  <c r="R77" i="14"/>
  <c r="R75" i="14"/>
  <c r="R76" i="14"/>
  <c r="R80" i="14"/>
  <c r="R78" i="14"/>
  <c r="R79" i="14"/>
  <c r="AM198" i="12"/>
  <c r="C203" i="12"/>
  <c r="AM172" i="12"/>
  <c r="D81" i="12"/>
  <c r="D213" i="12" s="1"/>
  <c r="D223" i="12" s="1"/>
  <c r="AF10" i="20"/>
  <c r="AE12" i="20"/>
  <c r="AE22" i="20"/>
  <c r="AE23" i="20"/>
  <c r="AF11" i="20"/>
  <c r="AD21" i="20"/>
  <c r="AE25" i="20"/>
  <c r="T72" i="12"/>
  <c r="V33" i="11"/>
  <c r="U34" i="11"/>
  <c r="U35" i="11" s="1"/>
  <c r="U36" i="11" s="1"/>
  <c r="T29" i="13"/>
  <c r="T30" i="13" s="1"/>
  <c r="U28" i="13"/>
  <c r="S32" i="13"/>
  <c r="S73" i="14" s="1"/>
  <c r="S31" i="13"/>
  <c r="S33" i="13" s="1"/>
  <c r="S64" i="36" s="1"/>
  <c r="R73" i="12"/>
  <c r="T4" i="6"/>
  <c r="U4" i="6" s="1"/>
  <c r="V4" i="6" s="1"/>
  <c r="W4" i="6" s="1"/>
  <c r="AF24" i="20"/>
  <c r="AC4" i="12"/>
  <c r="AB3" i="52" s="1"/>
  <c r="AN5" i="6"/>
  <c r="AH4" i="16"/>
  <c r="AH4" i="15"/>
  <c r="T5" i="6"/>
  <c r="N4" i="16"/>
  <c r="N4" i="15"/>
  <c r="AD3" i="6"/>
  <c r="AC4" i="15"/>
  <c r="AC4" i="16"/>
  <c r="I4" i="15"/>
  <c r="I4" i="16"/>
  <c r="AI4" i="6"/>
  <c r="AJ4" i="6" s="1"/>
  <c r="AK4" i="6" s="1"/>
  <c r="AL4" i="6" s="1"/>
  <c r="AN6" i="6"/>
  <c r="AO6" i="6" s="1"/>
  <c r="AP6" i="6" s="1"/>
  <c r="AQ6" i="6" s="1"/>
  <c r="T6" i="6"/>
  <c r="U6" i="6" s="1"/>
  <c r="V6" i="6" s="1"/>
  <c r="W6" i="6" s="1"/>
  <c r="AI5" i="6"/>
  <c r="X4" i="16"/>
  <c r="X4" i="15"/>
  <c r="AD4" i="6"/>
  <c r="AE4" i="6" s="1"/>
  <c r="AF4" i="6" s="1"/>
  <c r="AG4" i="6" s="1"/>
  <c r="AI3" i="6"/>
  <c r="AD6" i="6"/>
  <c r="AE6" i="6" s="1"/>
  <c r="AF6" i="6" s="1"/>
  <c r="AG6" i="6" s="1"/>
  <c r="Y5" i="6"/>
  <c r="S4" i="15"/>
  <c r="S4" i="16"/>
  <c r="AN4" i="6"/>
  <c r="AO4" i="6" s="1"/>
  <c r="AP4" i="6" s="1"/>
  <c r="AQ4" i="6" s="1"/>
  <c r="S4" i="12"/>
  <c r="R3" i="52" s="1"/>
  <c r="AN3" i="6"/>
  <c r="Y3" i="6"/>
  <c r="N4" i="12"/>
  <c r="M3" i="52" s="1"/>
  <c r="T31" i="15"/>
  <c r="F3" i="12"/>
  <c r="E1" i="52" s="1"/>
  <c r="AI6" i="6"/>
  <c r="AJ6" i="6" s="1"/>
  <c r="AK6" i="6" s="1"/>
  <c r="AL6" i="6" s="1"/>
  <c r="AD5" i="6"/>
  <c r="Y4" i="6"/>
  <c r="Z4" i="6" s="1"/>
  <c r="AA4" i="6" s="1"/>
  <c r="AB4" i="6" s="1"/>
  <c r="AM23" i="45" l="1"/>
  <c r="AL25" i="45"/>
  <c r="E37" i="48"/>
  <c r="AL24" i="45"/>
  <c r="AL26" i="45"/>
  <c r="N35" i="20"/>
  <c r="N35" i="29"/>
  <c r="O4" i="14"/>
  <c r="N35" i="19"/>
  <c r="N35" i="28"/>
  <c r="X35" i="20"/>
  <c r="Y4" i="14"/>
  <c r="X35" i="29"/>
  <c r="X35" i="19"/>
  <c r="X35" i="28"/>
  <c r="AG4" i="52"/>
  <c r="X5" i="14"/>
  <c r="X7" i="14"/>
  <c r="X6" i="14"/>
  <c r="X8" i="14"/>
  <c r="AC35" i="20"/>
  <c r="AC35" i="29"/>
  <c r="AD4" i="14"/>
  <c r="AC35" i="19"/>
  <c r="AC35" i="28"/>
  <c r="H4" i="52"/>
  <c r="T61" i="45"/>
  <c r="AZ61" i="45" s="1"/>
  <c r="AZ63" i="45" s="1"/>
  <c r="T64" i="45"/>
  <c r="AZ64" i="45" s="1"/>
  <c r="S2" i="54"/>
  <c r="W4" i="54"/>
  <c r="W3" i="52"/>
  <c r="X6" i="12"/>
  <c r="X5" i="12"/>
  <c r="X7" i="12"/>
  <c r="N7" i="14"/>
  <c r="N6" i="14"/>
  <c r="N8" i="14" s="1"/>
  <c r="N5" i="14"/>
  <c r="W4" i="52"/>
  <c r="X2" i="54"/>
  <c r="X4" i="54" s="1"/>
  <c r="AB4" i="54"/>
  <c r="S2" i="53"/>
  <c r="S4" i="53" s="1"/>
  <c r="W4" i="53"/>
  <c r="AB4" i="52"/>
  <c r="U37" i="11"/>
  <c r="U40" i="11"/>
  <c r="U66" i="45" s="1"/>
  <c r="BA66" i="45" s="1"/>
  <c r="U39" i="11"/>
  <c r="U38" i="11"/>
  <c r="X2" i="53"/>
  <c r="X4" i="53" s="1"/>
  <c r="AB4" i="53"/>
  <c r="R4" i="54"/>
  <c r="N2" i="54"/>
  <c r="N4" i="54" s="1"/>
  <c r="AC6" i="14"/>
  <c r="AC7" i="14"/>
  <c r="AC5" i="14"/>
  <c r="AH6" i="14"/>
  <c r="AH5" i="14"/>
  <c r="AH7" i="14"/>
  <c r="AH8" i="14" s="1"/>
  <c r="AM172" i="14"/>
  <c r="AM198" i="14"/>
  <c r="S35" i="20"/>
  <c r="T4" i="14"/>
  <c r="S35" i="29"/>
  <c r="S35" i="19"/>
  <c r="S35" i="28"/>
  <c r="AG4" i="53"/>
  <c r="AC2" i="53"/>
  <c r="AC4" i="53" s="1"/>
  <c r="AU96" i="55"/>
  <c r="DG96" i="55" s="1"/>
  <c r="P96" i="55"/>
  <c r="R4" i="53"/>
  <c r="N2" i="53"/>
  <c r="R4" i="52"/>
  <c r="AC2" i="54"/>
  <c r="AG4" i="54"/>
  <c r="P95" i="55"/>
  <c r="AU95" i="55"/>
  <c r="DG95" i="55" s="1"/>
  <c r="I2" i="54"/>
  <c r="J2" i="54" s="1"/>
  <c r="M4" i="54"/>
  <c r="AG3" i="52"/>
  <c r="AH6" i="12"/>
  <c r="AH5" i="12"/>
  <c r="AH7" i="12"/>
  <c r="M4" i="52"/>
  <c r="M8" i="52" s="1"/>
  <c r="S5" i="14"/>
  <c r="S7" i="14"/>
  <c r="S6" i="14"/>
  <c r="I2" i="53"/>
  <c r="M4" i="53"/>
  <c r="J2" i="53"/>
  <c r="K2" i="53" s="1"/>
  <c r="J21" i="54"/>
  <c r="K24" i="54"/>
  <c r="G65" i="28"/>
  <c r="J23" i="54"/>
  <c r="AN21" i="45"/>
  <c r="AN23" i="45" s="1"/>
  <c r="J22" i="54"/>
  <c r="J25" i="54"/>
  <c r="AO42" i="45"/>
  <c r="H67" i="54"/>
  <c r="H68" i="54"/>
  <c r="H65" i="54"/>
  <c r="H64" i="54"/>
  <c r="H69" i="54"/>
  <c r="H76" i="54" s="1"/>
  <c r="H77" i="54" s="1"/>
  <c r="H70" i="54"/>
  <c r="I63" i="54"/>
  <c r="G66" i="54"/>
  <c r="I156" i="54"/>
  <c r="H157" i="54"/>
  <c r="AO44" i="45"/>
  <c r="H38" i="48"/>
  <c r="I147" i="53"/>
  <c r="H148" i="53"/>
  <c r="I156" i="53"/>
  <c r="H157" i="53"/>
  <c r="G66" i="53"/>
  <c r="H68" i="53"/>
  <c r="H70" i="53"/>
  <c r="H65" i="53"/>
  <c r="H69" i="53"/>
  <c r="H76" i="53" s="1"/>
  <c r="H64" i="53"/>
  <c r="H67" i="53"/>
  <c r="I63" i="53"/>
  <c r="G77" i="53"/>
  <c r="G104" i="53"/>
  <c r="G103" i="53"/>
  <c r="G105" i="53"/>
  <c r="G102" i="53"/>
  <c r="G133" i="53"/>
  <c r="G135" i="53"/>
  <c r="G134" i="53"/>
  <c r="H132" i="53"/>
  <c r="H101" i="53"/>
  <c r="H100" i="53"/>
  <c r="H131" i="53"/>
  <c r="G82" i="45"/>
  <c r="K22" i="53"/>
  <c r="K23" i="53"/>
  <c r="L24" i="53"/>
  <c r="K21" i="53"/>
  <c r="K25" i="53"/>
  <c r="AC2" i="38"/>
  <c r="AC4" i="38" s="1"/>
  <c r="AG4" i="38"/>
  <c r="AC2" i="46"/>
  <c r="AG4" i="46"/>
  <c r="N2" i="46"/>
  <c r="R4" i="46"/>
  <c r="I2" i="46"/>
  <c r="J2" i="46" s="1"/>
  <c r="K2" i="46" s="1"/>
  <c r="M4" i="46"/>
  <c r="S2" i="46"/>
  <c r="W4" i="46"/>
  <c r="AG4" i="48"/>
  <c r="R4" i="48"/>
  <c r="I2" i="29"/>
  <c r="M4" i="29"/>
  <c r="X2" i="38"/>
  <c r="AB4" i="38"/>
  <c r="S2" i="38"/>
  <c r="W4" i="38"/>
  <c r="S2" i="48"/>
  <c r="S4" i="48" s="1"/>
  <c r="W4" i="48"/>
  <c r="AG4" i="42"/>
  <c r="N2" i="42"/>
  <c r="N4" i="42" s="1"/>
  <c r="R4" i="42"/>
  <c r="M4" i="42"/>
  <c r="I2" i="42"/>
  <c r="F6" i="50"/>
  <c r="F7" i="50"/>
  <c r="F8" i="50"/>
  <c r="F5" i="50"/>
  <c r="Z5" i="50" s="1"/>
  <c r="X2" i="29"/>
  <c r="X4" i="29" s="1"/>
  <c r="AB4" i="29"/>
  <c r="AC2" i="48"/>
  <c r="AC4" i="48" s="1"/>
  <c r="X2" i="48"/>
  <c r="X4" i="48" s="1"/>
  <c r="Y2" i="48"/>
  <c r="AB4" i="48"/>
  <c r="X2" i="28"/>
  <c r="S2" i="28"/>
  <c r="S4" i="28" s="1"/>
  <c r="W4" i="28"/>
  <c r="N2" i="38"/>
  <c r="N4" i="38" s="1"/>
  <c r="R4" i="38"/>
  <c r="I2" i="38"/>
  <c r="M4" i="38"/>
  <c r="AB4" i="28"/>
  <c r="S2" i="29"/>
  <c r="W4" i="29"/>
  <c r="AC2" i="29"/>
  <c r="AC4" i="29" s="1"/>
  <c r="AG4" i="29"/>
  <c r="N2" i="29"/>
  <c r="N4" i="29" s="1"/>
  <c r="R4" i="29"/>
  <c r="N2" i="48"/>
  <c r="N4" i="48" s="1"/>
  <c r="M4" i="48"/>
  <c r="I2" i="48"/>
  <c r="X2" i="46"/>
  <c r="AB4" i="46"/>
  <c r="S2" i="42"/>
  <c r="S4" i="42" s="1"/>
  <c r="W4" i="42"/>
  <c r="AC2" i="28"/>
  <c r="AC4" i="28" s="1"/>
  <c r="AG4" i="28"/>
  <c r="N2" i="28"/>
  <c r="N4" i="28" s="1"/>
  <c r="R4" i="28"/>
  <c r="I2" i="28"/>
  <c r="M4" i="28"/>
  <c r="AC2" i="42"/>
  <c r="AC4" i="42" s="1"/>
  <c r="X2" i="42"/>
  <c r="X4" i="42" s="1"/>
  <c r="AB4" i="42"/>
  <c r="AP18" i="45"/>
  <c r="AP19" i="45" s="1"/>
  <c r="AP41" i="45"/>
  <c r="I38" i="48" s="1"/>
  <c r="G66" i="48"/>
  <c r="F66" i="46"/>
  <c r="AO21" i="45"/>
  <c r="AO23" i="45" s="1"/>
  <c r="G143" i="48"/>
  <c r="G144" i="48"/>
  <c r="G145" i="48"/>
  <c r="G25" i="45"/>
  <c r="H64" i="48"/>
  <c r="H69" i="48"/>
  <c r="I63" i="48"/>
  <c r="H68" i="48"/>
  <c r="H65" i="48"/>
  <c r="H70" i="48"/>
  <c r="H67" i="48"/>
  <c r="J23" i="48"/>
  <c r="E97" i="48"/>
  <c r="E95" i="48"/>
  <c r="E100" i="48" s="1"/>
  <c r="E94" i="48"/>
  <c r="E96" i="48"/>
  <c r="E101" i="48" s="1"/>
  <c r="E93" i="48"/>
  <c r="E98" i="48" s="1"/>
  <c r="G26" i="45"/>
  <c r="AU48" i="45"/>
  <c r="AU50" i="45" s="1"/>
  <c r="AU53" i="45" s="1"/>
  <c r="J25" i="48"/>
  <c r="H261" i="48"/>
  <c r="I260" i="48"/>
  <c r="F95" i="46"/>
  <c r="F100" i="46" s="1"/>
  <c r="F94" i="46"/>
  <c r="F97" i="46"/>
  <c r="F93" i="46"/>
  <c r="F98" i="46" s="1"/>
  <c r="F92" i="48"/>
  <c r="F96" i="46"/>
  <c r="F101" i="46" s="1"/>
  <c r="K24" i="48"/>
  <c r="J22" i="48"/>
  <c r="G207" i="48"/>
  <c r="G206" i="48"/>
  <c r="H244" i="48"/>
  <c r="I243" i="48"/>
  <c r="F89" i="38"/>
  <c r="F90" i="38"/>
  <c r="F91" i="38"/>
  <c r="F187" i="42"/>
  <c r="AH60" i="36"/>
  <c r="AG40" i="38"/>
  <c r="H63" i="46"/>
  <c r="G70" i="46"/>
  <c r="G68" i="46"/>
  <c r="G65" i="46"/>
  <c r="G67" i="46"/>
  <c r="G64" i="46"/>
  <c r="G69" i="46"/>
  <c r="G92" i="46" s="1"/>
  <c r="H204" i="48"/>
  <c r="H141" i="48"/>
  <c r="H203" i="48"/>
  <c r="H140" i="48"/>
  <c r="I139" i="48"/>
  <c r="F92" i="42"/>
  <c r="F91" i="42"/>
  <c r="F90" i="42"/>
  <c r="F94" i="42" s="1"/>
  <c r="F89" i="42"/>
  <c r="F93" i="42" s="1"/>
  <c r="BM28" i="36"/>
  <c r="AF37" i="42"/>
  <c r="K21" i="48"/>
  <c r="G205" i="48"/>
  <c r="G142" i="48"/>
  <c r="AQ39" i="45"/>
  <c r="AQ40" i="45"/>
  <c r="O48" i="45"/>
  <c r="O50" i="45" s="1"/>
  <c r="N39" i="46" s="1"/>
  <c r="G24" i="45"/>
  <c r="F37" i="46"/>
  <c r="F37" i="48"/>
  <c r="AM24" i="45"/>
  <c r="AM26" i="45"/>
  <c r="AM25" i="45"/>
  <c r="M39" i="48"/>
  <c r="AT51" i="45"/>
  <c r="AT92" i="45" s="1"/>
  <c r="AT52" i="45"/>
  <c r="AT53" i="45"/>
  <c r="AV46" i="45"/>
  <c r="AV47" i="45"/>
  <c r="AV49" i="45"/>
  <c r="AW45" i="45"/>
  <c r="AQ17" i="45"/>
  <c r="AQ69" i="45" s="1"/>
  <c r="G207" i="46"/>
  <c r="G206" i="46"/>
  <c r="I243" i="46"/>
  <c r="H244" i="46"/>
  <c r="K22" i="46"/>
  <c r="G144" i="46"/>
  <c r="G143" i="46"/>
  <c r="G145" i="46"/>
  <c r="I139" i="46"/>
  <c r="H204" i="46"/>
  <c r="H140" i="46"/>
  <c r="H141" i="46"/>
  <c r="H203" i="46"/>
  <c r="L21" i="46"/>
  <c r="K25" i="46"/>
  <c r="L363" i="46"/>
  <c r="G205" i="46"/>
  <c r="L24" i="46"/>
  <c r="G142" i="46"/>
  <c r="I260" i="46"/>
  <c r="H261" i="46"/>
  <c r="K23" i="46"/>
  <c r="AO95" i="45"/>
  <c r="AL82" i="45"/>
  <c r="J18" i="45"/>
  <c r="J19" i="45" s="1"/>
  <c r="AN95" i="45"/>
  <c r="I20" i="45"/>
  <c r="I19" i="45"/>
  <c r="K39" i="45"/>
  <c r="L38" i="45"/>
  <c r="AR38" i="45" s="1"/>
  <c r="K40" i="45"/>
  <c r="K17" i="45"/>
  <c r="K69" i="45" s="1"/>
  <c r="L16" i="45"/>
  <c r="AR16" i="45" s="1"/>
  <c r="AM82" i="45"/>
  <c r="H21" i="45"/>
  <c r="H23" i="45" s="1"/>
  <c r="AT88" i="45"/>
  <c r="N51" i="45"/>
  <c r="N92" i="45" s="1"/>
  <c r="N53" i="45"/>
  <c r="N52" i="45"/>
  <c r="N88" i="45"/>
  <c r="Q45" i="45"/>
  <c r="P46" i="45"/>
  <c r="P49" i="45"/>
  <c r="P47" i="45"/>
  <c r="BN36" i="36"/>
  <c r="AG36" i="42" s="1"/>
  <c r="BN70" i="36"/>
  <c r="BN23" i="36"/>
  <c r="BM26" i="36"/>
  <c r="BM87" i="36" s="1"/>
  <c r="BM84" i="36"/>
  <c r="BM69" i="36"/>
  <c r="BN59" i="36"/>
  <c r="AG40" i="42" s="1"/>
  <c r="CE10" i="36"/>
  <c r="AH25" i="36"/>
  <c r="AG37" i="38" s="1"/>
  <c r="BN97" i="36"/>
  <c r="BN44" i="36"/>
  <c r="BN46" i="36"/>
  <c r="AC43" i="36"/>
  <c r="AB38" i="38" s="1"/>
  <c r="AC69" i="36"/>
  <c r="U43" i="36"/>
  <c r="T38" i="38" s="1"/>
  <c r="U69" i="36"/>
  <c r="G97" i="36"/>
  <c r="G46" i="36"/>
  <c r="G44" i="36"/>
  <c r="AF43" i="36"/>
  <c r="AE38" i="38" s="1"/>
  <c r="AF69" i="36"/>
  <c r="Z43" i="36"/>
  <c r="Y38" i="38" s="1"/>
  <c r="Z69" i="36"/>
  <c r="X43" i="36"/>
  <c r="W38" i="38" s="1"/>
  <c r="X69" i="36"/>
  <c r="V43" i="36"/>
  <c r="U38" i="38" s="1"/>
  <c r="V69" i="36"/>
  <c r="N46" i="36"/>
  <c r="N44" i="36"/>
  <c r="N97" i="36"/>
  <c r="J97" i="36"/>
  <c r="J44" i="36"/>
  <c r="J46" i="36"/>
  <c r="H41" i="45"/>
  <c r="F41" i="45"/>
  <c r="W43" i="36"/>
  <c r="V38" i="38" s="1"/>
  <c r="W69" i="36"/>
  <c r="O46" i="36"/>
  <c r="O97" i="36"/>
  <c r="O44" i="36"/>
  <c r="I41" i="45"/>
  <c r="AG69" i="36"/>
  <c r="AH43" i="36"/>
  <c r="AG38" i="38" s="1"/>
  <c r="AH69" i="36"/>
  <c r="CG10" i="36"/>
  <c r="AD43" i="36"/>
  <c r="AC38" i="38" s="1"/>
  <c r="AD69" i="36"/>
  <c r="AB43" i="36"/>
  <c r="AA38" i="38" s="1"/>
  <c r="AB69" i="36"/>
  <c r="T43" i="36"/>
  <c r="S38" i="38" s="1"/>
  <c r="T69" i="36"/>
  <c r="R43" i="36"/>
  <c r="Q38" i="38" s="1"/>
  <c r="R69" i="36"/>
  <c r="P43" i="36"/>
  <c r="O38" i="38" s="1"/>
  <c r="P69" i="36"/>
  <c r="P72" i="36" s="1"/>
  <c r="L97" i="36"/>
  <c r="L44" i="36"/>
  <c r="L46" i="36"/>
  <c r="J41" i="45"/>
  <c r="H46" i="36"/>
  <c r="H44" i="36"/>
  <c r="H97" i="36"/>
  <c r="F97" i="36"/>
  <c r="F44" i="36"/>
  <c r="F46" i="36"/>
  <c r="AG46" i="36"/>
  <c r="AG97" i="36"/>
  <c r="AG44" i="36"/>
  <c r="Y46" i="36"/>
  <c r="Y97" i="36"/>
  <c r="Y44" i="36"/>
  <c r="S43" i="36"/>
  <c r="R38" i="38" s="1"/>
  <c r="S69" i="36"/>
  <c r="M44" i="36"/>
  <c r="M97" i="36"/>
  <c r="M46" i="36"/>
  <c r="E41" i="45"/>
  <c r="AE43" i="36"/>
  <c r="AD38" i="38" s="1"/>
  <c r="AE69" i="36"/>
  <c r="AA43" i="36"/>
  <c r="Z38" i="38" s="1"/>
  <c r="AA69" i="36"/>
  <c r="Q43" i="36"/>
  <c r="P38" i="38" s="1"/>
  <c r="Q69" i="36"/>
  <c r="Q72" i="36" s="1"/>
  <c r="K44" i="36"/>
  <c r="K46" i="36"/>
  <c r="K97" i="36"/>
  <c r="I44" i="36"/>
  <c r="I97" i="36"/>
  <c r="I46" i="36"/>
  <c r="G41" i="45"/>
  <c r="E46" i="36"/>
  <c r="E97" i="36"/>
  <c r="E44" i="36"/>
  <c r="AG26" i="36"/>
  <c r="AG87" i="36" s="1"/>
  <c r="AG28" i="36"/>
  <c r="AG84" i="36"/>
  <c r="BL28" i="36"/>
  <c r="BL26" i="36"/>
  <c r="BL87" i="36" s="1"/>
  <c r="BL84" i="36"/>
  <c r="BM37" i="36"/>
  <c r="BM81" i="36" s="1"/>
  <c r="BM39" i="36"/>
  <c r="BM77" i="36"/>
  <c r="BM62" i="36"/>
  <c r="BM60" i="36"/>
  <c r="H184" i="42"/>
  <c r="G185" i="42"/>
  <c r="G186" i="42"/>
  <c r="G188" i="42" s="1"/>
  <c r="S63" i="45"/>
  <c r="AY63" i="36"/>
  <c r="AY68" i="36" s="1"/>
  <c r="AY75" i="36" s="1"/>
  <c r="S68" i="36"/>
  <c r="T63" i="36"/>
  <c r="U72" i="14"/>
  <c r="AX66" i="36"/>
  <c r="AX73" i="36" s="1"/>
  <c r="AX65" i="36"/>
  <c r="AY64" i="36"/>
  <c r="S65" i="36"/>
  <c r="S66" i="36"/>
  <c r="R71" i="36"/>
  <c r="CD38" i="58" s="1"/>
  <c r="R37" i="58" s="1"/>
  <c r="AX37" i="58" s="1"/>
  <c r="CD37" i="58" s="1"/>
  <c r="R106" i="36"/>
  <c r="AW71" i="36"/>
  <c r="AW72" i="36" s="1"/>
  <c r="AW106" i="36"/>
  <c r="G69" i="20"/>
  <c r="L21" i="29"/>
  <c r="K24" i="29"/>
  <c r="G132" i="38"/>
  <c r="G132" i="42"/>
  <c r="I234" i="42"/>
  <c r="H235" i="42"/>
  <c r="G64" i="42"/>
  <c r="G68" i="42"/>
  <c r="G69" i="42"/>
  <c r="G88" i="42" s="1"/>
  <c r="G67" i="42"/>
  <c r="G70" i="42"/>
  <c r="G65" i="42"/>
  <c r="H63" i="42"/>
  <c r="J23" i="38"/>
  <c r="G189" i="38"/>
  <c r="G188" i="38"/>
  <c r="H219" i="42"/>
  <c r="G220" i="42"/>
  <c r="J25" i="38"/>
  <c r="J22" i="38"/>
  <c r="F66" i="38"/>
  <c r="G187" i="38"/>
  <c r="F66" i="42"/>
  <c r="G134" i="42"/>
  <c r="G133" i="42"/>
  <c r="G135" i="42"/>
  <c r="I129" i="42"/>
  <c r="H131" i="42"/>
  <c r="H130" i="42"/>
  <c r="F95" i="42"/>
  <c r="I219" i="38"/>
  <c r="H220" i="38"/>
  <c r="G69" i="38"/>
  <c r="G88" i="38" s="1"/>
  <c r="G68" i="38"/>
  <c r="G67" i="38"/>
  <c r="G70" i="38"/>
  <c r="H63" i="38"/>
  <c r="G64" i="38"/>
  <c r="G65" i="38"/>
  <c r="G134" i="38"/>
  <c r="G133" i="38"/>
  <c r="G135" i="38"/>
  <c r="I129" i="38"/>
  <c r="H185" i="38"/>
  <c r="H186" i="38"/>
  <c r="H131" i="38"/>
  <c r="H130" i="38"/>
  <c r="I234" i="38"/>
  <c r="H235" i="38"/>
  <c r="K21" i="38"/>
  <c r="K24" i="38"/>
  <c r="Y32" i="36"/>
  <c r="Y69" i="36" s="1"/>
  <c r="M32" i="36"/>
  <c r="M69" i="36" s="1"/>
  <c r="I32" i="36"/>
  <c r="I69" i="36" s="1"/>
  <c r="G32" i="36"/>
  <c r="G69" i="36" s="1"/>
  <c r="K32" i="36"/>
  <c r="K69" i="36" s="1"/>
  <c r="L32" i="36"/>
  <c r="L69" i="36" s="1"/>
  <c r="F32" i="36"/>
  <c r="F69" i="36" s="1"/>
  <c r="O32" i="36"/>
  <c r="O69" i="36" s="1"/>
  <c r="E32" i="36"/>
  <c r="E69" i="36" s="1"/>
  <c r="N32" i="36"/>
  <c r="N69" i="36" s="1"/>
  <c r="J32" i="36"/>
  <c r="J69" i="36" s="1"/>
  <c r="H32" i="36"/>
  <c r="H69" i="36" s="1"/>
  <c r="I198" i="20"/>
  <c r="H199" i="20"/>
  <c r="K22" i="28"/>
  <c r="K23" i="28"/>
  <c r="I310" i="20"/>
  <c r="H268" i="19"/>
  <c r="AG4" i="20"/>
  <c r="AC2" i="20"/>
  <c r="I62" i="28"/>
  <c r="H67" i="28"/>
  <c r="H64" i="28"/>
  <c r="H63" i="28"/>
  <c r="H66" i="28"/>
  <c r="G70" i="20"/>
  <c r="G72" i="20"/>
  <c r="G71" i="20"/>
  <c r="G73" i="20"/>
  <c r="H127" i="20"/>
  <c r="H126" i="20"/>
  <c r="H125" i="20"/>
  <c r="H123" i="20"/>
  <c r="I122" i="20"/>
  <c r="H124" i="20"/>
  <c r="H128" i="20"/>
  <c r="S2" i="20"/>
  <c r="W4" i="20"/>
  <c r="H111" i="28"/>
  <c r="I110" i="28"/>
  <c r="N2" i="20"/>
  <c r="N4" i="20" s="1"/>
  <c r="R4" i="20"/>
  <c r="H86" i="28"/>
  <c r="H89" i="28"/>
  <c r="H87" i="28"/>
  <c r="H91" i="28"/>
  <c r="I85" i="28"/>
  <c r="H88" i="28"/>
  <c r="H90" i="28"/>
  <c r="AC2" i="19"/>
  <c r="AC4" i="19" s="1"/>
  <c r="AG4" i="19"/>
  <c r="L24" i="28"/>
  <c r="AB4" i="20"/>
  <c r="X2" i="20"/>
  <c r="X4" i="20" s="1"/>
  <c r="L25" i="28"/>
  <c r="W4" i="19"/>
  <c r="S2" i="19"/>
  <c r="R4" i="19"/>
  <c r="N2" i="19"/>
  <c r="N4" i="19" s="1"/>
  <c r="M4" i="20"/>
  <c r="I2" i="20"/>
  <c r="I66" i="20"/>
  <c r="H68" i="20"/>
  <c r="H67" i="20"/>
  <c r="X2" i="19"/>
  <c r="AB4" i="19"/>
  <c r="M21" i="28"/>
  <c r="M4" i="19"/>
  <c r="I2" i="19"/>
  <c r="AM80" i="16"/>
  <c r="AM106" i="16"/>
  <c r="C111" i="16"/>
  <c r="C115" i="16"/>
  <c r="C116" i="16"/>
  <c r="C117" i="16"/>
  <c r="C113" i="16"/>
  <c r="C112" i="16"/>
  <c r="AM106" i="15"/>
  <c r="AM80" i="15"/>
  <c r="C111" i="15"/>
  <c r="T50" i="15"/>
  <c r="T53" i="15" s="1"/>
  <c r="T137" i="15" s="1"/>
  <c r="T126" i="15"/>
  <c r="D214" i="12"/>
  <c r="D224" i="12" s="1"/>
  <c r="R74" i="12"/>
  <c r="R219" i="12" s="1"/>
  <c r="R230" i="12" s="1"/>
  <c r="R75" i="12"/>
  <c r="R78" i="12"/>
  <c r="R77" i="12"/>
  <c r="R80" i="12"/>
  <c r="R79" i="12"/>
  <c r="R76" i="12"/>
  <c r="G212" i="20"/>
  <c r="S74" i="14"/>
  <c r="S219" i="14" s="1"/>
  <c r="S230" i="14" s="1"/>
  <c r="S79" i="14"/>
  <c r="S75" i="14"/>
  <c r="S78" i="14"/>
  <c r="S77" i="14"/>
  <c r="S80" i="14"/>
  <c r="S76" i="14"/>
  <c r="S6" i="12"/>
  <c r="S5" i="12"/>
  <c r="S7" i="12"/>
  <c r="AC6" i="12"/>
  <c r="AC5" i="12"/>
  <c r="AC7" i="12"/>
  <c r="N6" i="12"/>
  <c r="N5" i="12"/>
  <c r="N7" i="12"/>
  <c r="AE21" i="20"/>
  <c r="AF23" i="20"/>
  <c r="AF25" i="20"/>
  <c r="AG11" i="20"/>
  <c r="AF22" i="20"/>
  <c r="AG10" i="20"/>
  <c r="AF12" i="20"/>
  <c r="W33" i="11"/>
  <c r="V34" i="11"/>
  <c r="V35" i="11" s="1"/>
  <c r="V36" i="11" s="1"/>
  <c r="S73" i="12"/>
  <c r="U29" i="13"/>
  <c r="U30" i="13" s="1"/>
  <c r="V28" i="13"/>
  <c r="T31" i="13"/>
  <c r="T33" i="13" s="1"/>
  <c r="T64" i="36" s="1"/>
  <c r="T32" i="13"/>
  <c r="T73" i="14" s="1"/>
  <c r="AG24" i="20"/>
  <c r="Y4" i="12"/>
  <c r="X3" i="52" s="1"/>
  <c r="AJ3" i="6"/>
  <c r="U5" i="6"/>
  <c r="J4" i="16"/>
  <c r="J4" i="15"/>
  <c r="AJ5" i="6"/>
  <c r="Y4" i="16"/>
  <c r="Y4" i="15"/>
  <c r="T4" i="12"/>
  <c r="S3" i="52" s="1"/>
  <c r="AE3" i="6"/>
  <c r="Z5" i="6"/>
  <c r="O4" i="16"/>
  <c r="O4" i="15"/>
  <c r="AE5" i="6"/>
  <c r="T4" i="16"/>
  <c r="T4" i="15"/>
  <c r="AO5" i="6"/>
  <c r="AD4" i="16"/>
  <c r="AD4" i="15"/>
  <c r="AO3" i="6"/>
  <c r="AD4" i="12"/>
  <c r="AC3" i="52" s="1"/>
  <c r="O4" i="12"/>
  <c r="N3" i="52" s="1"/>
  <c r="Z3" i="6"/>
  <c r="U31" i="15"/>
  <c r="G3" i="12"/>
  <c r="F1" i="52" s="1"/>
  <c r="AP43" i="45" l="1"/>
  <c r="AN26" i="45"/>
  <c r="G37" i="48"/>
  <c r="AN24" i="45"/>
  <c r="AN25" i="45"/>
  <c r="Y2" i="42"/>
  <c r="S8" i="14"/>
  <c r="Y2" i="20"/>
  <c r="AH8" i="12"/>
  <c r="Y2" i="54"/>
  <c r="O2" i="29"/>
  <c r="H66" i="54"/>
  <c r="X8" i="12"/>
  <c r="AC8" i="14"/>
  <c r="O2" i="54"/>
  <c r="P2" i="54" s="1"/>
  <c r="Q2" i="54" s="1"/>
  <c r="L2" i="53"/>
  <c r="K2" i="54"/>
  <c r="L2" i="46"/>
  <c r="AC4" i="52"/>
  <c r="Y4" i="54"/>
  <c r="T35" i="20"/>
  <c r="U4" i="14"/>
  <c r="T35" i="29"/>
  <c r="T35" i="19"/>
  <c r="T35" i="28"/>
  <c r="Y35" i="20"/>
  <c r="Y35" i="29"/>
  <c r="Z4" i="14"/>
  <c r="Y35" i="19"/>
  <c r="Y35" i="28"/>
  <c r="V37" i="11"/>
  <c r="V40" i="11"/>
  <c r="V66" i="45" s="1"/>
  <c r="BB66" i="45" s="1"/>
  <c r="V39" i="11"/>
  <c r="V38" i="11"/>
  <c r="Y2" i="29"/>
  <c r="Y4" i="29" s="1"/>
  <c r="AD2" i="54"/>
  <c r="AC4" i="54"/>
  <c r="AD2" i="53"/>
  <c r="AD6" i="14"/>
  <c r="AD7" i="14"/>
  <c r="AD5" i="14"/>
  <c r="O2" i="42"/>
  <c r="O4" i="42" s="1"/>
  <c r="T5" i="14"/>
  <c r="T6" i="14"/>
  <c r="T7" i="14"/>
  <c r="Y2" i="53"/>
  <c r="S4" i="52"/>
  <c r="X4" i="52"/>
  <c r="Y4" i="20"/>
  <c r="Y4" i="42"/>
  <c r="O2" i="53"/>
  <c r="N4" i="53"/>
  <c r="T2" i="53"/>
  <c r="Y5" i="14"/>
  <c r="Y6" i="14"/>
  <c r="Y7" i="14"/>
  <c r="O35" i="20"/>
  <c r="P4" i="14"/>
  <c r="O35" i="29"/>
  <c r="O35" i="19"/>
  <c r="O35" i="28"/>
  <c r="AD2" i="28"/>
  <c r="AE2" i="28" s="1"/>
  <c r="G8" i="50"/>
  <c r="H8" i="50" s="1"/>
  <c r="I8" i="50" s="1"/>
  <c r="Z8" i="50"/>
  <c r="AA8" i="50" s="1"/>
  <c r="AB8" i="50" s="1"/>
  <c r="AC8" i="50" s="1"/>
  <c r="AD8" i="50" s="1"/>
  <c r="AE8" i="50" s="1"/>
  <c r="AF8" i="50" s="1"/>
  <c r="AG8" i="50" s="1"/>
  <c r="AH8" i="50" s="1"/>
  <c r="AI8" i="50" s="1"/>
  <c r="AJ8" i="50" s="1"/>
  <c r="AK8" i="50" s="1"/>
  <c r="AL8" i="50" s="1"/>
  <c r="AM8" i="50" s="1"/>
  <c r="AN8" i="50" s="1"/>
  <c r="AO8" i="50" s="1"/>
  <c r="AP8" i="50" s="1"/>
  <c r="AQ8" i="50" s="1"/>
  <c r="AR8" i="50" s="1"/>
  <c r="AS8" i="50" s="1"/>
  <c r="U61" i="45"/>
  <c r="BA61" i="45" s="1"/>
  <c r="BA63" i="45" s="1"/>
  <c r="U64" i="45"/>
  <c r="BA64" i="45" s="1"/>
  <c r="Y4" i="48"/>
  <c r="G7" i="50"/>
  <c r="H7" i="50" s="1"/>
  <c r="I7" i="50" s="1"/>
  <c r="Z7" i="50"/>
  <c r="AA7" i="50" s="1"/>
  <c r="AB7" i="50" s="1"/>
  <c r="AC7" i="50" s="1"/>
  <c r="AD7" i="50" s="1"/>
  <c r="Q95" i="55"/>
  <c r="AV95" i="55"/>
  <c r="DH95" i="55" s="1"/>
  <c r="AV96" i="55"/>
  <c r="DH96" i="55" s="1"/>
  <c r="Q96" i="55"/>
  <c r="O4" i="54"/>
  <c r="N4" i="52"/>
  <c r="I4" i="52"/>
  <c r="G6" i="50"/>
  <c r="H6" i="50" s="1"/>
  <c r="I6" i="50" s="1"/>
  <c r="Z6" i="50"/>
  <c r="AA6" i="50" s="1"/>
  <c r="AB6" i="50" s="1"/>
  <c r="AC6" i="50" s="1"/>
  <c r="AD6" i="50" s="1"/>
  <c r="AD2" i="38"/>
  <c r="Z2" i="54"/>
  <c r="T2" i="54"/>
  <c r="S4" i="54"/>
  <c r="AD35" i="20"/>
  <c r="AD35" i="29"/>
  <c r="AE4" i="14"/>
  <c r="AD35" i="19"/>
  <c r="AD35" i="28"/>
  <c r="J2" i="28"/>
  <c r="K2" i="28" s="1"/>
  <c r="AD2" i="48"/>
  <c r="AD4" i="48" s="1"/>
  <c r="O7" i="14"/>
  <c r="O6" i="14"/>
  <c r="O5" i="14"/>
  <c r="O8" i="14" s="1"/>
  <c r="K22" i="54"/>
  <c r="K25" i="54"/>
  <c r="K23" i="54"/>
  <c r="L24" i="54"/>
  <c r="K21" i="54"/>
  <c r="AA5" i="50"/>
  <c r="O4" i="51"/>
  <c r="O57" i="58" s="1"/>
  <c r="I68" i="54"/>
  <c r="I69" i="54"/>
  <c r="I76" i="54" s="1"/>
  <c r="I77" i="54" s="1"/>
  <c r="I70" i="54"/>
  <c r="I65" i="54"/>
  <c r="I64" i="54"/>
  <c r="J63" i="54"/>
  <c r="I67" i="54"/>
  <c r="J156" i="54"/>
  <c r="I157" i="54"/>
  <c r="H66" i="53"/>
  <c r="J147" i="53"/>
  <c r="I148" i="53"/>
  <c r="J156" i="53"/>
  <c r="I157" i="53"/>
  <c r="I64" i="53"/>
  <c r="I68" i="53"/>
  <c r="I69" i="53"/>
  <c r="I76" i="53" s="1"/>
  <c r="I67" i="53"/>
  <c r="I65" i="53"/>
  <c r="I70" i="53"/>
  <c r="J63" i="53"/>
  <c r="H77" i="53"/>
  <c r="G37" i="46"/>
  <c r="I100" i="53"/>
  <c r="I101" i="53"/>
  <c r="I132" i="53"/>
  <c r="I131" i="53"/>
  <c r="I38" i="46"/>
  <c r="E38" i="46"/>
  <c r="AQ41" i="45"/>
  <c r="AQ42" i="45" s="1"/>
  <c r="F38" i="46"/>
  <c r="G38" i="46"/>
  <c r="H38" i="46"/>
  <c r="H133" i="53"/>
  <c r="H102" i="53"/>
  <c r="H103" i="53"/>
  <c r="H105" i="53"/>
  <c r="H104" i="53"/>
  <c r="D38" i="46"/>
  <c r="H135" i="53"/>
  <c r="H134" i="53"/>
  <c r="L21" i="53"/>
  <c r="M24" i="53"/>
  <c r="L22" i="53"/>
  <c r="L25" i="53"/>
  <c r="L23" i="53"/>
  <c r="Y2" i="46"/>
  <c r="X4" i="46"/>
  <c r="Y2" i="28"/>
  <c r="X4" i="28"/>
  <c r="G5" i="50"/>
  <c r="F4" i="50"/>
  <c r="Z3" i="50" s="1"/>
  <c r="N6" i="52" s="1"/>
  <c r="J2" i="42"/>
  <c r="T2" i="38"/>
  <c r="S4" i="38"/>
  <c r="P2" i="29"/>
  <c r="O4" i="29"/>
  <c r="T2" i="29"/>
  <c r="S4" i="29"/>
  <c r="Y2" i="38"/>
  <c r="X4" i="38"/>
  <c r="T2" i="46"/>
  <c r="S4" i="46"/>
  <c r="AU52" i="45"/>
  <c r="AD2" i="29"/>
  <c r="T2" i="28"/>
  <c r="Z2" i="29"/>
  <c r="T2" i="48"/>
  <c r="J2" i="29"/>
  <c r="O2" i="48"/>
  <c r="AE2" i="48"/>
  <c r="AD2" i="46"/>
  <c r="AC4" i="46"/>
  <c r="O2" i="19"/>
  <c r="P2" i="19" s="1"/>
  <c r="O2" i="20"/>
  <c r="N39" i="48"/>
  <c r="Z2" i="42"/>
  <c r="O2" i="28"/>
  <c r="T2" i="42"/>
  <c r="J2" i="48"/>
  <c r="J2" i="38"/>
  <c r="O2" i="38"/>
  <c r="Z2" i="48"/>
  <c r="P2" i="42"/>
  <c r="AD2" i="42"/>
  <c r="O2" i="46"/>
  <c r="N4" i="46"/>
  <c r="AP20" i="45"/>
  <c r="AU51" i="45"/>
  <c r="AU92" i="45" s="1"/>
  <c r="AP44" i="45"/>
  <c r="AP42" i="45"/>
  <c r="AO24" i="45"/>
  <c r="AO26" i="45"/>
  <c r="H142" i="48"/>
  <c r="H66" i="48"/>
  <c r="P48" i="45"/>
  <c r="P50" i="45" s="1"/>
  <c r="O39" i="46" s="1"/>
  <c r="L21" i="48"/>
  <c r="K22" i="48"/>
  <c r="G92" i="42"/>
  <c r="G91" i="42"/>
  <c r="G95" i="42" s="1"/>
  <c r="G89" i="42"/>
  <c r="G93" i="42" s="1"/>
  <c r="G90" i="42"/>
  <c r="H37" i="48"/>
  <c r="K23" i="48"/>
  <c r="AO25" i="45"/>
  <c r="H205" i="48"/>
  <c r="G66" i="46"/>
  <c r="L24" i="48"/>
  <c r="J260" i="48"/>
  <c r="I261" i="48"/>
  <c r="J139" i="48"/>
  <c r="I203" i="48"/>
  <c r="I140" i="48"/>
  <c r="I141" i="48"/>
  <c r="I204" i="48"/>
  <c r="H207" i="48"/>
  <c r="H206" i="48"/>
  <c r="G90" i="38"/>
  <c r="G91" i="38"/>
  <c r="G89" i="38"/>
  <c r="AV48" i="45"/>
  <c r="AV50" i="45" s="1"/>
  <c r="AV52" i="45" s="1"/>
  <c r="G94" i="46"/>
  <c r="G93" i="46"/>
  <c r="G98" i="46" s="1"/>
  <c r="G97" i="46"/>
  <c r="G95" i="46"/>
  <c r="G100" i="46" s="1"/>
  <c r="G92" i="48"/>
  <c r="G96" i="46"/>
  <c r="G101" i="46" s="1"/>
  <c r="J243" i="48"/>
  <c r="I244" i="48"/>
  <c r="F97" i="48"/>
  <c r="F94" i="48"/>
  <c r="F96" i="48"/>
  <c r="F101" i="48" s="1"/>
  <c r="F93" i="48"/>
  <c r="F98" i="48" s="1"/>
  <c r="F95" i="48"/>
  <c r="F100" i="48" s="1"/>
  <c r="K25" i="48"/>
  <c r="CE19" i="36"/>
  <c r="H144" i="48"/>
  <c r="H145" i="48"/>
  <c r="H143" i="48"/>
  <c r="H64" i="46"/>
  <c r="H67" i="46"/>
  <c r="H65" i="46"/>
  <c r="H69" i="46"/>
  <c r="H92" i="46" s="1"/>
  <c r="H70" i="46"/>
  <c r="H68" i="46"/>
  <c r="I63" i="46"/>
  <c r="I67" i="48"/>
  <c r="I70" i="48"/>
  <c r="J63" i="48"/>
  <c r="I69" i="48"/>
  <c r="I68" i="48"/>
  <c r="I65" i="48"/>
  <c r="I64" i="48"/>
  <c r="AR39" i="45"/>
  <c r="AR40" i="45"/>
  <c r="AW47" i="45"/>
  <c r="AW49" i="45"/>
  <c r="AW46" i="45"/>
  <c r="AX45" i="45"/>
  <c r="AR17" i="45"/>
  <c r="AR69" i="45" s="1"/>
  <c r="K41" i="45"/>
  <c r="K43" i="45" s="1"/>
  <c r="AQ18" i="45"/>
  <c r="J260" i="46"/>
  <c r="I261" i="46"/>
  <c r="H144" i="46"/>
  <c r="H143" i="46"/>
  <c r="H145" i="46"/>
  <c r="M21" i="46"/>
  <c r="H142" i="46"/>
  <c r="J243" i="46"/>
  <c r="I244" i="46"/>
  <c r="H207" i="46"/>
  <c r="H206" i="46"/>
  <c r="L23" i="46"/>
  <c r="M24" i="46"/>
  <c r="M363" i="46"/>
  <c r="N363" i="46" s="1"/>
  <c r="L25" i="46"/>
  <c r="H205" i="46"/>
  <c r="J139" i="46"/>
  <c r="I204" i="46"/>
  <c r="I141" i="46"/>
  <c r="I140" i="46"/>
  <c r="I203" i="46"/>
  <c r="L22" i="46"/>
  <c r="J20" i="45"/>
  <c r="AP95" i="45"/>
  <c r="I21" i="45"/>
  <c r="I23" i="45" s="1"/>
  <c r="H25" i="45"/>
  <c r="H82" i="45"/>
  <c r="H24" i="45"/>
  <c r="H26" i="45"/>
  <c r="K18" i="45"/>
  <c r="M38" i="45"/>
  <c r="AS38" i="45" s="1"/>
  <c r="L40" i="45"/>
  <c r="L39" i="45"/>
  <c r="L17" i="45"/>
  <c r="L69" i="45" s="1"/>
  <c r="M16" i="45"/>
  <c r="AS16" i="45" s="1"/>
  <c r="AU88" i="45"/>
  <c r="O52" i="45"/>
  <c r="O51" i="45"/>
  <c r="O92" i="45" s="1"/>
  <c r="O53" i="45"/>
  <c r="O88" i="45"/>
  <c r="R45" i="45"/>
  <c r="Q49" i="45"/>
  <c r="Q46" i="45"/>
  <c r="Q47" i="45"/>
  <c r="G42" i="45"/>
  <c r="G44" i="45"/>
  <c r="G43" i="45"/>
  <c r="I42" i="45"/>
  <c r="I44" i="45"/>
  <c r="I43" i="45"/>
  <c r="F43" i="45"/>
  <c r="F42" i="45"/>
  <c r="F44" i="45"/>
  <c r="E43" i="45"/>
  <c r="E42" i="45"/>
  <c r="E44" i="45"/>
  <c r="J43" i="45"/>
  <c r="J42" i="45"/>
  <c r="J44" i="45"/>
  <c r="H42" i="45"/>
  <c r="H44" i="45"/>
  <c r="H43" i="45"/>
  <c r="BN39" i="36"/>
  <c r="BN37" i="36"/>
  <c r="BN81" i="36" s="1"/>
  <c r="BN77" i="36"/>
  <c r="BN25" i="36"/>
  <c r="AG37" i="42" s="1"/>
  <c r="BN69" i="36"/>
  <c r="AH26" i="36"/>
  <c r="AH87" i="36" s="1"/>
  <c r="AH84" i="36"/>
  <c r="AH28" i="36"/>
  <c r="BN62" i="36"/>
  <c r="BN60" i="36"/>
  <c r="R72" i="36"/>
  <c r="E95" i="45"/>
  <c r="AD46" i="36"/>
  <c r="AD97" i="36"/>
  <c r="AD44" i="36"/>
  <c r="I95" i="45"/>
  <c r="F95" i="45"/>
  <c r="AF44" i="36"/>
  <c r="AF97" i="36"/>
  <c r="AF46" i="36"/>
  <c r="G95" i="45"/>
  <c r="Q46" i="36"/>
  <c r="Q44" i="36"/>
  <c r="Q97" i="36"/>
  <c r="P44" i="36"/>
  <c r="P97" i="36"/>
  <c r="P46" i="36"/>
  <c r="T46" i="36"/>
  <c r="T44" i="36"/>
  <c r="T97" i="36"/>
  <c r="AB97" i="36"/>
  <c r="AB44" i="36"/>
  <c r="AB46" i="36"/>
  <c r="H95" i="45"/>
  <c r="V97" i="36"/>
  <c r="V44" i="36"/>
  <c r="V46" i="36"/>
  <c r="Z46" i="36"/>
  <c r="Z97" i="36"/>
  <c r="Z44" i="36"/>
  <c r="R44" i="36"/>
  <c r="R46" i="36"/>
  <c r="R97" i="36"/>
  <c r="X97" i="36"/>
  <c r="X44" i="36"/>
  <c r="X46" i="36"/>
  <c r="S44" i="36"/>
  <c r="S97" i="36"/>
  <c r="S46" i="36"/>
  <c r="AH97" i="36"/>
  <c r="AH46" i="36"/>
  <c r="AH44" i="36"/>
  <c r="W46" i="36"/>
  <c r="W97" i="36"/>
  <c r="W44" i="36"/>
  <c r="U46" i="36"/>
  <c r="U44" i="36"/>
  <c r="U97" i="36"/>
  <c r="AA44" i="36"/>
  <c r="AA46" i="36"/>
  <c r="AA97" i="36"/>
  <c r="AE97" i="36"/>
  <c r="AE44" i="36"/>
  <c r="AE46" i="36"/>
  <c r="J95" i="45"/>
  <c r="AC46" i="36"/>
  <c r="AC97" i="36"/>
  <c r="AC44" i="36"/>
  <c r="G189" i="42"/>
  <c r="G187" i="42"/>
  <c r="I184" i="42"/>
  <c r="H186" i="42"/>
  <c r="H188" i="42" s="1"/>
  <c r="H185" i="42"/>
  <c r="U72" i="12"/>
  <c r="AZ63" i="36"/>
  <c r="AZ68" i="36" s="1"/>
  <c r="AZ75" i="36" s="1"/>
  <c r="T68" i="36"/>
  <c r="V72" i="14"/>
  <c r="U63" i="36"/>
  <c r="T63" i="45"/>
  <c r="AY66" i="36"/>
  <c r="AY73" i="36" s="1"/>
  <c r="AY65" i="36"/>
  <c r="S71" i="36"/>
  <c r="S106" i="36"/>
  <c r="AZ64" i="36"/>
  <c r="T65" i="36"/>
  <c r="T66" i="36"/>
  <c r="AX71" i="36"/>
  <c r="AX72" i="36" s="1"/>
  <c r="AX106" i="36"/>
  <c r="H65" i="28"/>
  <c r="L24" i="29"/>
  <c r="M21" i="29"/>
  <c r="H132" i="42"/>
  <c r="J234" i="38"/>
  <c r="I235" i="38"/>
  <c r="H189" i="38"/>
  <c r="H188" i="38"/>
  <c r="G66" i="38"/>
  <c r="K22" i="38"/>
  <c r="K25" i="38"/>
  <c r="G94" i="42"/>
  <c r="H187" i="38"/>
  <c r="H69" i="38"/>
  <c r="H88" i="38" s="1"/>
  <c r="I63" i="38"/>
  <c r="H70" i="38"/>
  <c r="H67" i="38"/>
  <c r="H68" i="38"/>
  <c r="H64" i="38"/>
  <c r="H65" i="38"/>
  <c r="J129" i="42"/>
  <c r="I130" i="42"/>
  <c r="I131" i="42"/>
  <c r="H64" i="42"/>
  <c r="H68" i="42"/>
  <c r="I63" i="42"/>
  <c r="H69" i="42"/>
  <c r="H88" i="42" s="1"/>
  <c r="H70" i="42"/>
  <c r="H65" i="42"/>
  <c r="H67" i="42"/>
  <c r="J234" i="42"/>
  <c r="I235" i="42"/>
  <c r="L24" i="38"/>
  <c r="L21" i="38"/>
  <c r="H132" i="38"/>
  <c r="J129" i="38"/>
  <c r="I185" i="38"/>
  <c r="I186" i="38"/>
  <c r="I131" i="38"/>
  <c r="I130" i="38"/>
  <c r="H135" i="42"/>
  <c r="H134" i="42"/>
  <c r="H133" i="42"/>
  <c r="I219" i="42"/>
  <c r="H220" i="42"/>
  <c r="K23" i="38"/>
  <c r="H133" i="38"/>
  <c r="H134" i="38"/>
  <c r="H135" i="38"/>
  <c r="J219" i="38"/>
  <c r="I220" i="38"/>
  <c r="G66" i="42"/>
  <c r="F72" i="36"/>
  <c r="K72" i="36"/>
  <c r="G72" i="36"/>
  <c r="L72" i="36"/>
  <c r="J72" i="36"/>
  <c r="O72" i="36"/>
  <c r="M72" i="36"/>
  <c r="H72" i="36"/>
  <c r="N72" i="36"/>
  <c r="E72" i="36"/>
  <c r="I72" i="36"/>
  <c r="J36" i="36"/>
  <c r="I36" i="38" s="1"/>
  <c r="T36" i="36"/>
  <c r="S36" i="38" s="1"/>
  <c r="E36" i="36"/>
  <c r="D36" i="38" s="1"/>
  <c r="X36" i="36"/>
  <c r="W36" i="38" s="1"/>
  <c r="AH36" i="36"/>
  <c r="AG36" i="38" s="1"/>
  <c r="I36" i="36"/>
  <c r="H36" i="38" s="1"/>
  <c r="AG36" i="36"/>
  <c r="AF36" i="38" s="1"/>
  <c r="R36" i="36"/>
  <c r="Q36" i="38" s="1"/>
  <c r="P36" i="36"/>
  <c r="O36" i="38" s="1"/>
  <c r="AD36" i="36"/>
  <c r="AC36" i="38" s="1"/>
  <c r="L36" i="36"/>
  <c r="K36" i="38" s="1"/>
  <c r="S36" i="36"/>
  <c r="R36" i="38" s="1"/>
  <c r="AA36" i="36"/>
  <c r="Z36" i="38" s="1"/>
  <c r="Q36" i="36"/>
  <c r="P36" i="38" s="1"/>
  <c r="Y36" i="36"/>
  <c r="X36" i="38" s="1"/>
  <c r="H36" i="36"/>
  <c r="G36" i="38" s="1"/>
  <c r="N36" i="36"/>
  <c r="M36" i="38" s="1"/>
  <c r="AB36" i="36"/>
  <c r="AA36" i="38" s="1"/>
  <c r="AF36" i="36"/>
  <c r="AE36" i="38" s="1"/>
  <c r="O36" i="36"/>
  <c r="N36" i="38" s="1"/>
  <c r="F36" i="36"/>
  <c r="E36" i="38" s="1"/>
  <c r="V36" i="36"/>
  <c r="U36" i="38" s="1"/>
  <c r="Z36" i="36"/>
  <c r="Y36" i="38" s="1"/>
  <c r="K36" i="36"/>
  <c r="J36" i="38" s="1"/>
  <c r="W36" i="36"/>
  <c r="V36" i="38" s="1"/>
  <c r="G36" i="36"/>
  <c r="F36" i="38" s="1"/>
  <c r="M36" i="36"/>
  <c r="L36" i="38" s="1"/>
  <c r="U36" i="36"/>
  <c r="T36" i="38" s="1"/>
  <c r="AC36" i="36"/>
  <c r="AB36" i="38" s="1"/>
  <c r="AE36" i="36"/>
  <c r="AD36" i="38" s="1"/>
  <c r="Y2" i="19"/>
  <c r="X4" i="19"/>
  <c r="T2" i="19"/>
  <c r="S4" i="19"/>
  <c r="M25" i="28"/>
  <c r="M24" i="28"/>
  <c r="J110" i="28"/>
  <c r="I111" i="28"/>
  <c r="AD2" i="20"/>
  <c r="AC4" i="20"/>
  <c r="H69" i="20"/>
  <c r="AD2" i="19"/>
  <c r="T2" i="20"/>
  <c r="S4" i="20"/>
  <c r="J310" i="20"/>
  <c r="I268" i="19"/>
  <c r="L22" i="28"/>
  <c r="H70" i="20"/>
  <c r="H72" i="20"/>
  <c r="H71" i="20"/>
  <c r="H73" i="20"/>
  <c r="J2" i="20"/>
  <c r="O4" i="19"/>
  <c r="I86" i="28"/>
  <c r="I89" i="28"/>
  <c r="I91" i="28"/>
  <c r="I88" i="28"/>
  <c r="I90" i="28"/>
  <c r="I87" i="28"/>
  <c r="J85" i="28"/>
  <c r="I124" i="20"/>
  <c r="I125" i="20"/>
  <c r="I126" i="20"/>
  <c r="I123" i="20"/>
  <c r="I127" i="20"/>
  <c r="I128" i="20"/>
  <c r="J122" i="20"/>
  <c r="J2" i="19"/>
  <c r="N21" i="28"/>
  <c r="J66" i="20"/>
  <c r="I67" i="20"/>
  <c r="I68" i="20"/>
  <c r="Z2" i="20"/>
  <c r="J62" i="28"/>
  <c r="I67" i="28"/>
  <c r="I66" i="28"/>
  <c r="I63" i="28"/>
  <c r="I64" i="28"/>
  <c r="L23" i="28"/>
  <c r="J198" i="20"/>
  <c r="I199" i="20"/>
  <c r="C118" i="16"/>
  <c r="U50" i="15"/>
  <c r="U53" i="15" s="1"/>
  <c r="U137" i="15" s="1"/>
  <c r="U126" i="15"/>
  <c r="S74" i="12"/>
  <c r="S219" i="12" s="1"/>
  <c r="S230" i="12" s="1"/>
  <c r="S76" i="12"/>
  <c r="S77" i="12"/>
  <c r="S80" i="12"/>
  <c r="S75" i="12"/>
  <c r="S78" i="12"/>
  <c r="S79" i="12"/>
  <c r="H212" i="20"/>
  <c r="T74" i="14"/>
  <c r="T219" i="14" s="1"/>
  <c r="T230" i="14" s="1"/>
  <c r="T78" i="14"/>
  <c r="T76" i="14"/>
  <c r="T79" i="14"/>
  <c r="T77" i="14"/>
  <c r="T80" i="14"/>
  <c r="T75" i="14"/>
  <c r="S8" i="12"/>
  <c r="N8" i="12"/>
  <c r="AC8" i="12"/>
  <c r="O6" i="12"/>
  <c r="O5" i="12"/>
  <c r="O7" i="12"/>
  <c r="T5" i="12"/>
  <c r="T6" i="12"/>
  <c r="T7" i="12"/>
  <c r="Y6" i="12"/>
  <c r="Y5" i="12"/>
  <c r="Y7" i="12"/>
  <c r="AD6" i="12"/>
  <c r="AD5" i="12"/>
  <c r="AD7" i="12"/>
  <c r="AG22" i="20"/>
  <c r="AG25" i="20"/>
  <c r="AF21" i="20"/>
  <c r="AG12" i="20"/>
  <c r="AG23" i="20"/>
  <c r="V72" i="12"/>
  <c r="X33" i="11"/>
  <c r="W34" i="11"/>
  <c r="W35" i="11" s="1"/>
  <c r="W36" i="11" s="1"/>
  <c r="V29" i="13"/>
  <c r="V30" i="13" s="1"/>
  <c r="W28" i="13"/>
  <c r="U31" i="13"/>
  <c r="U33" i="13" s="1"/>
  <c r="U64" i="36" s="1"/>
  <c r="U32" i="13"/>
  <c r="U73" i="14" s="1"/>
  <c r="T73" i="12"/>
  <c r="AF3" i="6"/>
  <c r="U4" i="12"/>
  <c r="T3" i="52" s="1"/>
  <c r="AK3" i="6"/>
  <c r="Z4" i="12"/>
  <c r="Y3" i="52" s="1"/>
  <c r="AF5" i="6"/>
  <c r="U4" i="15"/>
  <c r="U4" i="16"/>
  <c r="V5" i="6"/>
  <c r="K4" i="15"/>
  <c r="K4" i="16"/>
  <c r="AP5" i="6"/>
  <c r="AE4" i="15"/>
  <c r="AE4" i="16"/>
  <c r="AK5" i="6"/>
  <c r="Z4" i="16"/>
  <c r="Z4" i="15"/>
  <c r="AA5" i="6"/>
  <c r="P4" i="16"/>
  <c r="P4" i="15"/>
  <c r="AP3" i="6"/>
  <c r="AE4" i="12"/>
  <c r="AD3" i="52" s="1"/>
  <c r="AA3" i="6"/>
  <c r="P4" i="54" s="1"/>
  <c r="P4" i="12"/>
  <c r="O3" i="52" s="1"/>
  <c r="V31" i="15"/>
  <c r="H3" i="12"/>
  <c r="G1" i="52" s="1"/>
  <c r="J38" i="48" l="1"/>
  <c r="AQ44" i="45"/>
  <c r="AD4" i="28"/>
  <c r="O39" i="48"/>
  <c r="AD8" i="14"/>
  <c r="T8" i="14"/>
  <c r="Y8" i="14"/>
  <c r="AE35" i="20"/>
  <c r="AF4" i="14"/>
  <c r="AE35" i="29"/>
  <c r="AE35" i="19"/>
  <c r="AE35" i="28"/>
  <c r="Z35" i="20"/>
  <c r="Z35" i="29"/>
  <c r="AA4" i="14"/>
  <c r="Z35" i="19"/>
  <c r="Z35" i="28"/>
  <c r="T4" i="53"/>
  <c r="U2" i="53"/>
  <c r="Z6" i="14"/>
  <c r="Z7" i="14"/>
  <c r="Z5" i="14"/>
  <c r="J4" i="52"/>
  <c r="U35" i="20"/>
  <c r="U35" i="29"/>
  <c r="V4" i="14"/>
  <c r="U35" i="19"/>
  <c r="U35" i="28"/>
  <c r="S72" i="36"/>
  <c r="CE38" i="58"/>
  <c r="S37" i="58" s="1"/>
  <c r="AY37" i="58" s="1"/>
  <c r="CE37" i="58" s="1"/>
  <c r="AD4" i="38"/>
  <c r="AE2" i="38"/>
  <c r="P5" i="14"/>
  <c r="P6" i="14"/>
  <c r="P8" i="14" s="1"/>
  <c r="P7" i="14"/>
  <c r="AD4" i="53"/>
  <c r="AE2" i="53"/>
  <c r="AE7" i="14"/>
  <c r="AE6" i="14"/>
  <c r="AE5" i="14"/>
  <c r="AW95" i="55"/>
  <c r="DI95" i="55" s="1"/>
  <c r="R95" i="55"/>
  <c r="O4" i="53"/>
  <c r="P2" i="53"/>
  <c r="AE6" i="50"/>
  <c r="AF6" i="50" s="1"/>
  <c r="AG6" i="50" s="1"/>
  <c r="AH6" i="50" s="1"/>
  <c r="AI6" i="50" s="1"/>
  <c r="AJ6" i="50" s="1"/>
  <c r="AK6" i="50" s="1"/>
  <c r="AL6" i="50" s="1"/>
  <c r="AM6" i="50" s="1"/>
  <c r="AN6" i="50" s="1"/>
  <c r="AO6" i="50" s="1"/>
  <c r="AP6" i="50" s="1"/>
  <c r="AQ6" i="50" s="1"/>
  <c r="AR6" i="50" s="1"/>
  <c r="AS6" i="50" s="1"/>
  <c r="AD4" i="54"/>
  <c r="AE2" i="54"/>
  <c r="V61" i="45"/>
  <c r="BB61" i="45" s="1"/>
  <c r="BB63" i="45" s="1"/>
  <c r="V64" i="45"/>
  <c r="BB64" i="45" s="1"/>
  <c r="Y4" i="52"/>
  <c r="T4" i="52"/>
  <c r="L2" i="54"/>
  <c r="P35" i="20"/>
  <c r="Q4" i="14"/>
  <c r="P35" i="29"/>
  <c r="P35" i="19"/>
  <c r="P35" i="28"/>
  <c r="AD4" i="52"/>
  <c r="T4" i="54"/>
  <c r="U2" i="54"/>
  <c r="AE7" i="50"/>
  <c r="AF7" i="50" s="1"/>
  <c r="AG7" i="50" s="1"/>
  <c r="AH7" i="50" s="1"/>
  <c r="AI7" i="50" s="1"/>
  <c r="AJ7" i="50" s="1"/>
  <c r="AK7" i="50" s="1"/>
  <c r="AL7" i="50" s="1"/>
  <c r="AM7" i="50" s="1"/>
  <c r="AN7" i="50" s="1"/>
  <c r="AO7" i="50" s="1"/>
  <c r="AP7" i="50" s="1"/>
  <c r="AQ7" i="50" s="1"/>
  <c r="AR7" i="50" s="1"/>
  <c r="AS7" i="50" s="1"/>
  <c r="Y4" i="53"/>
  <c r="Z2" i="53"/>
  <c r="U6" i="14"/>
  <c r="U5" i="14"/>
  <c r="U7" i="14"/>
  <c r="O4" i="52"/>
  <c r="W39" i="11"/>
  <c r="W40" i="11"/>
  <c r="W66" i="45" s="1"/>
  <c r="BC66" i="45" s="1"/>
  <c r="W37" i="11"/>
  <c r="W38" i="11"/>
  <c r="Z4" i="54"/>
  <c r="AA2" i="54"/>
  <c r="R96" i="55"/>
  <c r="AW96" i="55"/>
  <c r="DI96" i="55" s="1"/>
  <c r="AP21" i="45"/>
  <c r="M24" i="54"/>
  <c r="AQ43" i="45"/>
  <c r="I66" i="54"/>
  <c r="L25" i="54"/>
  <c r="L23" i="54"/>
  <c r="J21" i="45"/>
  <c r="J23" i="45" s="1"/>
  <c r="I37" i="46" s="1"/>
  <c r="L21" i="54"/>
  <c r="L22" i="54"/>
  <c r="N8" i="52"/>
  <c r="AB5" i="50"/>
  <c r="P4" i="51"/>
  <c r="P57" i="58" s="1"/>
  <c r="K156" i="54"/>
  <c r="J157" i="54"/>
  <c r="J67" i="54"/>
  <c r="J68" i="54"/>
  <c r="J69" i="54"/>
  <c r="J76" i="54" s="1"/>
  <c r="J77" i="54" s="1"/>
  <c r="J70" i="54"/>
  <c r="K63" i="54"/>
  <c r="J65" i="54"/>
  <c r="J64" i="54"/>
  <c r="AV53" i="45"/>
  <c r="AV51" i="45"/>
  <c r="K147" i="53"/>
  <c r="J148" i="53"/>
  <c r="K156" i="53"/>
  <c r="J157" i="53"/>
  <c r="J69" i="53"/>
  <c r="J76" i="53" s="1"/>
  <c r="J70" i="53"/>
  <c r="J67" i="53"/>
  <c r="K63" i="53"/>
  <c r="J65" i="53"/>
  <c r="J64" i="53"/>
  <c r="J68" i="53"/>
  <c r="I77" i="53"/>
  <c r="I66" i="53"/>
  <c r="I133" i="53"/>
  <c r="J38" i="46"/>
  <c r="I135" i="53"/>
  <c r="I134" i="53"/>
  <c r="I104" i="53"/>
  <c r="I103" i="53"/>
  <c r="I105" i="53"/>
  <c r="I102" i="53"/>
  <c r="J132" i="53"/>
  <c r="J100" i="53"/>
  <c r="J101" i="53"/>
  <c r="J131" i="53"/>
  <c r="M25" i="53"/>
  <c r="M22" i="53"/>
  <c r="N24" i="53"/>
  <c r="M23" i="53"/>
  <c r="M21" i="53"/>
  <c r="AD4" i="42"/>
  <c r="AE2" i="42"/>
  <c r="P2" i="28"/>
  <c r="O4" i="28"/>
  <c r="AE4" i="48"/>
  <c r="AF2" i="48"/>
  <c r="AF2" i="28"/>
  <c r="AE4" i="28"/>
  <c r="U2" i="29"/>
  <c r="T4" i="29"/>
  <c r="H5" i="50"/>
  <c r="G4" i="50"/>
  <c r="K2" i="38"/>
  <c r="O4" i="20"/>
  <c r="P2" i="20"/>
  <c r="Z4" i="29"/>
  <c r="AA2" i="29"/>
  <c r="U2" i="46"/>
  <c r="T4" i="46"/>
  <c r="K2" i="42"/>
  <c r="Z2" i="46"/>
  <c r="Y4" i="46"/>
  <c r="O4" i="46"/>
  <c r="P2" i="46"/>
  <c r="P4" i="42"/>
  <c r="Q2" i="42"/>
  <c r="Z4" i="42"/>
  <c r="AA2" i="42"/>
  <c r="O4" i="48"/>
  <c r="P2" i="48"/>
  <c r="U2" i="28"/>
  <c r="T4" i="28"/>
  <c r="Z4" i="48"/>
  <c r="AA2" i="48"/>
  <c r="K2" i="48"/>
  <c r="K2" i="29"/>
  <c r="AD4" i="29"/>
  <c r="AE2" i="29"/>
  <c r="Y4" i="38"/>
  <c r="Z2" i="38"/>
  <c r="P4" i="29"/>
  <c r="Q2" i="29"/>
  <c r="Y4" i="28"/>
  <c r="Z2" i="28"/>
  <c r="L2" i="28"/>
  <c r="H189" i="42"/>
  <c r="O4" i="38"/>
  <c r="P2" i="38"/>
  <c r="T4" i="42"/>
  <c r="U2" i="42"/>
  <c r="AE2" i="46"/>
  <c r="AD4" i="46"/>
  <c r="T4" i="48"/>
  <c r="U2" i="48"/>
  <c r="U2" i="38"/>
  <c r="T4" i="38"/>
  <c r="AA3" i="50"/>
  <c r="O6" i="52" s="1"/>
  <c r="K44" i="45"/>
  <c r="K95" i="45"/>
  <c r="K42" i="45"/>
  <c r="AR41" i="45"/>
  <c r="AR42" i="45" s="1"/>
  <c r="H66" i="46"/>
  <c r="I205" i="48"/>
  <c r="G93" i="48"/>
  <c r="G98" i="48" s="1"/>
  <c r="G96" i="48"/>
  <c r="G101" i="48" s="1"/>
  <c r="G94" i="48"/>
  <c r="G95" i="48"/>
  <c r="G100" i="48" s="1"/>
  <c r="G97" i="48"/>
  <c r="I206" i="48"/>
  <c r="I207" i="48"/>
  <c r="J141" i="48"/>
  <c r="K139" i="48"/>
  <c r="J204" i="48"/>
  <c r="J140" i="48"/>
  <c r="J203" i="48"/>
  <c r="L23" i="48"/>
  <c r="M21" i="48"/>
  <c r="H91" i="38"/>
  <c r="H90" i="38"/>
  <c r="H89" i="38"/>
  <c r="AW48" i="45"/>
  <c r="AW50" i="45" s="1"/>
  <c r="AW53" i="45" s="1"/>
  <c r="H92" i="48"/>
  <c r="H96" i="46"/>
  <c r="H101" i="46" s="1"/>
  <c r="H93" i="46"/>
  <c r="H98" i="46" s="1"/>
  <c r="H94" i="46"/>
  <c r="H97" i="46"/>
  <c r="H95" i="46"/>
  <c r="H100" i="46" s="1"/>
  <c r="I144" i="48"/>
  <c r="I145" i="48"/>
  <c r="I143" i="48"/>
  <c r="M24" i="48"/>
  <c r="L25" i="48"/>
  <c r="J261" i="48"/>
  <c r="K260" i="48"/>
  <c r="H92" i="42"/>
  <c r="H89" i="42"/>
  <c r="H93" i="42" s="1"/>
  <c r="H91" i="42"/>
  <c r="H95" i="42" s="1"/>
  <c r="H90" i="42"/>
  <c r="H94" i="42" s="1"/>
  <c r="AR18" i="45"/>
  <c r="AR20" i="45" s="1"/>
  <c r="I66" i="48"/>
  <c r="J64" i="48"/>
  <c r="J65" i="48"/>
  <c r="K63" i="48"/>
  <c r="J68" i="48"/>
  <c r="J69" i="48"/>
  <c r="J70" i="48"/>
  <c r="J67" i="48"/>
  <c r="I67" i="46"/>
  <c r="I69" i="46"/>
  <c r="I92" i="46" s="1"/>
  <c r="I68" i="46"/>
  <c r="J63" i="46"/>
  <c r="I70" i="46"/>
  <c r="I64" i="46"/>
  <c r="I65" i="46"/>
  <c r="K243" i="48"/>
  <c r="J244" i="48"/>
  <c r="I142" i="48"/>
  <c r="L22" i="48"/>
  <c r="I26" i="45"/>
  <c r="H37" i="46"/>
  <c r="Q48" i="45"/>
  <c r="Q50" i="45" s="1"/>
  <c r="P39" i="46" s="1"/>
  <c r="AS17" i="45"/>
  <c r="AS69" i="45" s="1"/>
  <c r="AS40" i="45"/>
  <c r="AS39" i="45"/>
  <c r="AQ19" i="45"/>
  <c r="AQ20" i="45"/>
  <c r="AX47" i="45"/>
  <c r="AX49" i="45"/>
  <c r="AX46" i="45"/>
  <c r="AY45" i="45"/>
  <c r="I205" i="46"/>
  <c r="M25" i="46"/>
  <c r="N24" i="46"/>
  <c r="I142" i="46"/>
  <c r="K139" i="46"/>
  <c r="J204" i="46"/>
  <c r="J203" i="46"/>
  <c r="J140" i="46"/>
  <c r="J141" i="46"/>
  <c r="M22" i="46"/>
  <c r="I143" i="46"/>
  <c r="I145" i="46"/>
  <c r="I144" i="46"/>
  <c r="O363" i="46"/>
  <c r="P363" i="46" s="1"/>
  <c r="M23" i="46"/>
  <c r="K243" i="46"/>
  <c r="J244" i="46"/>
  <c r="I207" i="46"/>
  <c r="I206" i="46"/>
  <c r="N21" i="46"/>
  <c r="K260" i="46"/>
  <c r="J261" i="46"/>
  <c r="I82" i="45"/>
  <c r="I25" i="45"/>
  <c r="I24" i="45"/>
  <c r="AO82" i="45"/>
  <c r="L18" i="45"/>
  <c r="L20" i="45" s="1"/>
  <c r="AQ95" i="45"/>
  <c r="L41" i="45"/>
  <c r="M40" i="45"/>
  <c r="M39" i="45"/>
  <c r="N38" i="45"/>
  <c r="AT38" i="45" s="1"/>
  <c r="N16" i="45"/>
  <c r="AT16" i="45" s="1"/>
  <c r="M17" i="45"/>
  <c r="M69" i="45" s="1"/>
  <c r="K20" i="45"/>
  <c r="K19" i="45"/>
  <c r="AN82" i="45"/>
  <c r="S45" i="45"/>
  <c r="R46" i="45"/>
  <c r="R47" i="45"/>
  <c r="R49" i="45"/>
  <c r="P52" i="45"/>
  <c r="P51" i="45"/>
  <c r="P92" i="45" s="1"/>
  <c r="P53" i="45"/>
  <c r="P88" i="45"/>
  <c r="BN26" i="36"/>
  <c r="BN87" i="36" s="1"/>
  <c r="BN28" i="36"/>
  <c r="BN84" i="36"/>
  <c r="H187" i="42"/>
  <c r="J184" i="42"/>
  <c r="I185" i="42"/>
  <c r="I186" i="42"/>
  <c r="U63" i="45"/>
  <c r="BA63" i="36"/>
  <c r="BA68" i="36" s="1"/>
  <c r="BA75" i="36" s="1"/>
  <c r="U68" i="36"/>
  <c r="V63" i="36"/>
  <c r="W72" i="14"/>
  <c r="T71" i="36"/>
  <c r="T106" i="36"/>
  <c r="AY71" i="36"/>
  <c r="AY72" i="36" s="1"/>
  <c r="AY106" i="36"/>
  <c r="BA64" i="36"/>
  <c r="U66" i="36"/>
  <c r="U65" i="36"/>
  <c r="AZ66" i="36"/>
  <c r="AZ73" i="36" s="1"/>
  <c r="AZ65" i="36"/>
  <c r="U39" i="36"/>
  <c r="U37" i="36"/>
  <c r="O37" i="36"/>
  <c r="O39" i="36"/>
  <c r="O75" i="36" s="1"/>
  <c r="S37" i="36"/>
  <c r="S39" i="36"/>
  <c r="S75" i="36" s="1"/>
  <c r="X37" i="36"/>
  <c r="X39" i="36"/>
  <c r="M39" i="36"/>
  <c r="M75" i="36" s="1"/>
  <c r="M37" i="36"/>
  <c r="AF37" i="36"/>
  <c r="AF39" i="36"/>
  <c r="L39" i="36"/>
  <c r="L37" i="36"/>
  <c r="E39" i="36"/>
  <c r="E75" i="36" s="1"/>
  <c r="E37" i="36"/>
  <c r="G39" i="36"/>
  <c r="G75" i="36" s="1"/>
  <c r="G37" i="36"/>
  <c r="AB37" i="36"/>
  <c r="AB39" i="36"/>
  <c r="AD37" i="36"/>
  <c r="AD39" i="36"/>
  <c r="T37" i="36"/>
  <c r="T39" i="36"/>
  <c r="T75" i="36" s="1"/>
  <c r="W39" i="36"/>
  <c r="W37" i="36"/>
  <c r="N39" i="36"/>
  <c r="N75" i="36" s="1"/>
  <c r="N37" i="36"/>
  <c r="P37" i="36"/>
  <c r="P39" i="36"/>
  <c r="P75" i="36" s="1"/>
  <c r="J37" i="36"/>
  <c r="J39" i="36"/>
  <c r="J75" i="36" s="1"/>
  <c r="K37" i="36"/>
  <c r="K39" i="36"/>
  <c r="K75" i="36" s="1"/>
  <c r="H37" i="36"/>
  <c r="H39" i="36"/>
  <c r="H75" i="36" s="1"/>
  <c r="R37" i="36"/>
  <c r="R39" i="36"/>
  <c r="R75" i="36" s="1"/>
  <c r="Z39" i="36"/>
  <c r="Z37" i="36"/>
  <c r="Y39" i="36"/>
  <c r="Y37" i="36"/>
  <c r="AG37" i="36"/>
  <c r="AG39" i="36"/>
  <c r="AE39" i="36"/>
  <c r="AE37" i="36"/>
  <c r="V39" i="36"/>
  <c r="V37" i="36"/>
  <c r="Q37" i="36"/>
  <c r="Q39" i="36"/>
  <c r="Q75" i="36" s="1"/>
  <c r="I37" i="36"/>
  <c r="I39" i="36"/>
  <c r="I75" i="36" s="1"/>
  <c r="AC37" i="36"/>
  <c r="AC39" i="36"/>
  <c r="F37" i="36"/>
  <c r="F39" i="36"/>
  <c r="F75" i="36" s="1"/>
  <c r="AA39" i="36"/>
  <c r="AA37" i="36"/>
  <c r="AH39" i="36"/>
  <c r="AH37" i="36"/>
  <c r="L75" i="36"/>
  <c r="N21" i="29"/>
  <c r="M24" i="29"/>
  <c r="I132" i="42"/>
  <c r="I132" i="38"/>
  <c r="K219" i="38"/>
  <c r="J220" i="38"/>
  <c r="I134" i="38"/>
  <c r="I133" i="38"/>
  <c r="I135" i="38"/>
  <c r="K234" i="42"/>
  <c r="J235" i="42"/>
  <c r="I135" i="42"/>
  <c r="I133" i="42"/>
  <c r="I134" i="42"/>
  <c r="K129" i="42"/>
  <c r="J130" i="42"/>
  <c r="J131" i="42"/>
  <c r="L23" i="38"/>
  <c r="I189" i="38"/>
  <c r="I188" i="38"/>
  <c r="I69" i="42"/>
  <c r="I88" i="42" s="1"/>
  <c r="I67" i="42"/>
  <c r="I70" i="42"/>
  <c r="I64" i="42"/>
  <c r="I65" i="42"/>
  <c r="J63" i="42"/>
  <c r="I68" i="42"/>
  <c r="I187" i="38"/>
  <c r="M24" i="38"/>
  <c r="H66" i="42"/>
  <c r="H66" i="38"/>
  <c r="I67" i="38"/>
  <c r="J63" i="38"/>
  <c r="I69" i="38"/>
  <c r="I88" i="38" s="1"/>
  <c r="I68" i="38"/>
  <c r="I70" i="38"/>
  <c r="I65" i="38"/>
  <c r="I64" i="38"/>
  <c r="L25" i="38"/>
  <c r="L22" i="38"/>
  <c r="J219" i="42"/>
  <c r="I220" i="42"/>
  <c r="K129" i="38"/>
  <c r="J185" i="38"/>
  <c r="J186" i="38"/>
  <c r="J131" i="38"/>
  <c r="J130" i="38"/>
  <c r="M21" i="38"/>
  <c r="K234" i="38"/>
  <c r="J235" i="38"/>
  <c r="AE77" i="36"/>
  <c r="U77" i="36"/>
  <c r="G77" i="36"/>
  <c r="K77" i="36"/>
  <c r="V77" i="36"/>
  <c r="O77" i="36"/>
  <c r="AB77" i="36"/>
  <c r="H77" i="36"/>
  <c r="Q77" i="36"/>
  <c r="S77" i="36"/>
  <c r="AD77" i="36"/>
  <c r="R77" i="36"/>
  <c r="I77" i="36"/>
  <c r="X77" i="36"/>
  <c r="T77" i="36"/>
  <c r="AC77" i="36"/>
  <c r="M77" i="36"/>
  <c r="W77" i="36"/>
  <c r="Z77" i="36"/>
  <c r="F77" i="36"/>
  <c r="AF77" i="36"/>
  <c r="N77" i="36"/>
  <c r="Y77" i="36"/>
  <c r="AA77" i="36"/>
  <c r="L77" i="36"/>
  <c r="P77" i="36"/>
  <c r="AG77" i="36"/>
  <c r="AH77" i="36"/>
  <c r="E77" i="36"/>
  <c r="J77" i="36"/>
  <c r="I69" i="20"/>
  <c r="I65" i="28"/>
  <c r="J66" i="28"/>
  <c r="J67" i="28"/>
  <c r="K62" i="28"/>
  <c r="J64" i="28"/>
  <c r="J63" i="28"/>
  <c r="K2" i="19"/>
  <c r="K310" i="20"/>
  <c r="J268" i="19"/>
  <c r="N25" i="28"/>
  <c r="K198" i="20"/>
  <c r="J199" i="20"/>
  <c r="K66" i="20"/>
  <c r="J67" i="20"/>
  <c r="J68" i="20"/>
  <c r="J86" i="28"/>
  <c r="J90" i="28"/>
  <c r="J88" i="28"/>
  <c r="J91" i="28"/>
  <c r="J87" i="28"/>
  <c r="K85" i="28"/>
  <c r="J89" i="28"/>
  <c r="P4" i="19"/>
  <c r="Q2" i="19"/>
  <c r="AD4" i="19"/>
  <c r="AE2" i="19"/>
  <c r="AE2" i="20"/>
  <c r="AD4" i="20"/>
  <c r="Z4" i="20"/>
  <c r="AA2" i="20"/>
  <c r="J124" i="20"/>
  <c r="J126" i="20"/>
  <c r="J128" i="20"/>
  <c r="J127" i="20"/>
  <c r="J123" i="20"/>
  <c r="K122" i="20"/>
  <c r="J125" i="20"/>
  <c r="M22" i="28"/>
  <c r="T4" i="20"/>
  <c r="U2" i="20"/>
  <c r="N24" i="28"/>
  <c r="U2" i="19"/>
  <c r="T4" i="19"/>
  <c r="Z2" i="19"/>
  <c r="Y4" i="19"/>
  <c r="M23" i="28"/>
  <c r="I71" i="20"/>
  <c r="I73" i="20"/>
  <c r="I70" i="20"/>
  <c r="I72" i="20"/>
  <c r="O21" i="28"/>
  <c r="K2" i="20"/>
  <c r="K110" i="28"/>
  <c r="J111" i="28"/>
  <c r="V50" i="15"/>
  <c r="V53" i="15" s="1"/>
  <c r="V137" i="15" s="1"/>
  <c r="V126" i="15"/>
  <c r="T74" i="12"/>
  <c r="T219" i="12" s="1"/>
  <c r="T230" i="12" s="1"/>
  <c r="T78" i="12"/>
  <c r="T79" i="12"/>
  <c r="T76" i="12"/>
  <c r="T80" i="12"/>
  <c r="T75" i="12"/>
  <c r="T77" i="12"/>
  <c r="I212" i="20"/>
  <c r="U74" i="14"/>
  <c r="U219" i="14" s="1"/>
  <c r="U230" i="14" s="1"/>
  <c r="U79" i="14"/>
  <c r="U77" i="14"/>
  <c r="U75" i="14"/>
  <c r="U78" i="14"/>
  <c r="U76" i="14"/>
  <c r="U80" i="14"/>
  <c r="AD8" i="12"/>
  <c r="O8" i="12"/>
  <c r="Z6" i="12"/>
  <c r="Z5" i="12"/>
  <c r="Z7" i="12"/>
  <c r="P6" i="12"/>
  <c r="P7" i="12"/>
  <c r="P5" i="12"/>
  <c r="T8" i="12"/>
  <c r="AE6" i="12"/>
  <c r="AE5" i="12"/>
  <c r="AE7" i="12"/>
  <c r="U6" i="12"/>
  <c r="U5" i="12"/>
  <c r="U7" i="12"/>
  <c r="Y8" i="12"/>
  <c r="AG21" i="20"/>
  <c r="Y33" i="11"/>
  <c r="X34" i="11"/>
  <c r="X35" i="11" s="1"/>
  <c r="X36" i="11" s="1"/>
  <c r="U73" i="12"/>
  <c r="W29" i="13"/>
  <c r="W30" i="13" s="1"/>
  <c r="X28" i="13"/>
  <c r="V32" i="13"/>
  <c r="V73" i="14" s="1"/>
  <c r="V31" i="13"/>
  <c r="V33" i="13" s="1"/>
  <c r="V64" i="36" s="1"/>
  <c r="AL5" i="6"/>
  <c r="AA4" i="16"/>
  <c r="AA4" i="15"/>
  <c r="AB5" i="6"/>
  <c r="Q4" i="16"/>
  <c r="Q4" i="15"/>
  <c r="AG5" i="6"/>
  <c r="V4" i="16"/>
  <c r="V4" i="15"/>
  <c r="W5" i="6"/>
  <c r="L4" i="16"/>
  <c r="L4" i="15"/>
  <c r="AL3" i="6"/>
  <c r="AA4" i="12"/>
  <c r="Z3" i="52" s="1"/>
  <c r="AQ5" i="6"/>
  <c r="AF4" i="16"/>
  <c r="AF4" i="15"/>
  <c r="AG3" i="6"/>
  <c r="V4" i="12"/>
  <c r="U3" i="52" s="1"/>
  <c r="AQ3" i="6"/>
  <c r="AF4" i="12"/>
  <c r="AE3" i="52" s="1"/>
  <c r="AB3" i="6"/>
  <c r="Q4" i="54" s="1"/>
  <c r="Q4" i="12"/>
  <c r="P3" i="52" s="1"/>
  <c r="W31" i="15"/>
  <c r="I3" i="12"/>
  <c r="H1" i="52" s="1"/>
  <c r="J26" i="45" l="1"/>
  <c r="AP23" i="45"/>
  <c r="AE8" i="14"/>
  <c r="Z8" i="14"/>
  <c r="U8" i="14"/>
  <c r="AF4" i="28"/>
  <c r="AX96" i="55"/>
  <c r="DJ96" i="55" s="1"/>
  <c r="S96" i="55"/>
  <c r="U4" i="53"/>
  <c r="V2" i="53"/>
  <c r="V4" i="53" s="1"/>
  <c r="AA5" i="14"/>
  <c r="AA6" i="14"/>
  <c r="AA7" i="14"/>
  <c r="AF35" i="20"/>
  <c r="AG4" i="14"/>
  <c r="AF35" i="29"/>
  <c r="AF35" i="19"/>
  <c r="AF35" i="28"/>
  <c r="K4" i="52"/>
  <c r="Q4" i="42"/>
  <c r="AF4" i="48"/>
  <c r="AA4" i="54"/>
  <c r="S95" i="55"/>
  <c r="AX95" i="55"/>
  <c r="DJ95" i="55" s="1"/>
  <c r="Z4" i="52"/>
  <c r="X39" i="11"/>
  <c r="X37" i="11"/>
  <c r="X72" i="12" s="1"/>
  <c r="X40" i="11"/>
  <c r="X66" i="45" s="1"/>
  <c r="BD66" i="45" s="1"/>
  <c r="X38" i="11"/>
  <c r="W61" i="45"/>
  <c r="BC61" i="45" s="1"/>
  <c r="BC63" i="45" s="1"/>
  <c r="W64" i="45"/>
  <c r="BC64" i="45" s="1"/>
  <c r="Q5" i="14"/>
  <c r="Q6" i="14"/>
  <c r="Q7" i="14"/>
  <c r="Q8" i="14" s="1"/>
  <c r="V35" i="20"/>
  <c r="V35" i="29"/>
  <c r="W4" i="14"/>
  <c r="V35" i="19"/>
  <c r="V35" i="28"/>
  <c r="AA4" i="29"/>
  <c r="Z4" i="53"/>
  <c r="AA2" i="53"/>
  <c r="AA4" i="53" s="1"/>
  <c r="AE4" i="38"/>
  <c r="AF2" i="38"/>
  <c r="AF4" i="38" s="1"/>
  <c r="AE4" i="52"/>
  <c r="U4" i="52"/>
  <c r="Q4" i="19"/>
  <c r="T72" i="36"/>
  <c r="CF38" i="58"/>
  <c r="T37" i="58" s="1"/>
  <c r="AZ37" i="58" s="1"/>
  <c r="CF37" i="58" s="1"/>
  <c r="AE4" i="53"/>
  <c r="AF2" i="53"/>
  <c r="AF4" i="53" s="1"/>
  <c r="Q4" i="29"/>
  <c r="V6" i="14"/>
  <c r="V5" i="14"/>
  <c r="V8" i="14" s="1"/>
  <c r="V7" i="14"/>
  <c r="AA35" i="20"/>
  <c r="AB4" i="14"/>
  <c r="AA35" i="29"/>
  <c r="AA35" i="19"/>
  <c r="AA35" i="28"/>
  <c r="AA4" i="20"/>
  <c r="U4" i="54"/>
  <c r="V2" i="54"/>
  <c r="V4" i="54" s="1"/>
  <c r="AF5" i="14"/>
  <c r="AF6" i="14"/>
  <c r="AF7" i="14"/>
  <c r="Q35" i="20"/>
  <c r="Q35" i="29"/>
  <c r="R4" i="14"/>
  <c r="Q35" i="19"/>
  <c r="Q35" i="28"/>
  <c r="P4" i="52"/>
  <c r="AA4" i="48"/>
  <c r="AA4" i="42"/>
  <c r="AE4" i="54"/>
  <c r="AF2" i="54"/>
  <c r="AF4" i="54" s="1"/>
  <c r="P4" i="53"/>
  <c r="Q2" i="53"/>
  <c r="Q4" i="53" s="1"/>
  <c r="J82" i="45"/>
  <c r="M23" i="54"/>
  <c r="J24" i="45"/>
  <c r="J25" i="45"/>
  <c r="M22" i="54"/>
  <c r="N24" i="54"/>
  <c r="M25" i="54"/>
  <c r="M21" i="54"/>
  <c r="O8" i="52"/>
  <c r="AC5" i="50"/>
  <c r="Q4" i="51"/>
  <c r="Q57" i="58" s="1"/>
  <c r="K67" i="54"/>
  <c r="K64" i="54"/>
  <c r="K65" i="54"/>
  <c r="K69" i="54"/>
  <c r="K76" i="54" s="1"/>
  <c r="K77" i="54" s="1"/>
  <c r="K70" i="54"/>
  <c r="L63" i="54"/>
  <c r="K68" i="54"/>
  <c r="J66" i="54"/>
  <c r="L156" i="54"/>
  <c r="K157" i="54"/>
  <c r="J66" i="53"/>
  <c r="L147" i="53"/>
  <c r="K148" i="53"/>
  <c r="L156" i="53"/>
  <c r="K157" i="53"/>
  <c r="L63" i="53"/>
  <c r="K65" i="53"/>
  <c r="K64" i="53"/>
  <c r="K70" i="53"/>
  <c r="K68" i="53"/>
  <c r="K69" i="53"/>
  <c r="K76" i="53" s="1"/>
  <c r="K67" i="53"/>
  <c r="J77" i="53"/>
  <c r="J133" i="53"/>
  <c r="J102" i="53"/>
  <c r="J105" i="53"/>
  <c r="J104" i="53"/>
  <c r="J103" i="53"/>
  <c r="K38" i="46"/>
  <c r="J135" i="53"/>
  <c r="J134" i="53"/>
  <c r="K132" i="53"/>
  <c r="K100" i="53"/>
  <c r="K131" i="53"/>
  <c r="K101" i="53"/>
  <c r="N23" i="53"/>
  <c r="N21" i="53"/>
  <c r="O24" i="53"/>
  <c r="N22" i="53"/>
  <c r="N25" i="53"/>
  <c r="AB3" i="50"/>
  <c r="P6" i="52" s="1"/>
  <c r="AA2" i="28"/>
  <c r="AA4" i="28" s="1"/>
  <c r="Z4" i="28"/>
  <c r="U4" i="46"/>
  <c r="V2" i="46"/>
  <c r="V4" i="46" s="1"/>
  <c r="L2" i="38"/>
  <c r="V2" i="29"/>
  <c r="V4" i="29" s="1"/>
  <c r="U4" i="29"/>
  <c r="AE4" i="46"/>
  <c r="AF2" i="46"/>
  <c r="AF4" i="46" s="1"/>
  <c r="V2" i="28"/>
  <c r="V4" i="28" s="1"/>
  <c r="U4" i="28"/>
  <c r="V2" i="38"/>
  <c r="V4" i="38" s="1"/>
  <c r="U4" i="38"/>
  <c r="U4" i="48"/>
  <c r="V2" i="48"/>
  <c r="V4" i="48" s="1"/>
  <c r="U4" i="42"/>
  <c r="V2" i="42"/>
  <c r="V4" i="42" s="1"/>
  <c r="AE4" i="29"/>
  <c r="AF2" i="29"/>
  <c r="AF4" i="29" s="1"/>
  <c r="L2" i="48"/>
  <c r="P4" i="48"/>
  <c r="Q2" i="48"/>
  <c r="Q4" i="48" s="1"/>
  <c r="Q2" i="28"/>
  <c r="Q4" i="28" s="1"/>
  <c r="P4" i="28"/>
  <c r="P4" i="38"/>
  <c r="Q2" i="38"/>
  <c r="Q4" i="38" s="1"/>
  <c r="Z4" i="38"/>
  <c r="AA2" i="38"/>
  <c r="AA4" i="38" s="1"/>
  <c r="L2" i="29"/>
  <c r="P4" i="46"/>
  <c r="Q2" i="46"/>
  <c r="Q4" i="46" s="1"/>
  <c r="L2" i="42"/>
  <c r="H4" i="50"/>
  <c r="I5" i="50"/>
  <c r="I4" i="50" s="1"/>
  <c r="Q52" i="45"/>
  <c r="AU4" i="51"/>
  <c r="AU57" i="58" s="1"/>
  <c r="CK57" i="58" s="1"/>
  <c r="CK58" i="58" s="1"/>
  <c r="Z4" i="46"/>
  <c r="AA2" i="46"/>
  <c r="AA4" i="46" s="1"/>
  <c r="P4" i="20"/>
  <c r="Q2" i="20"/>
  <c r="Q4" i="20" s="1"/>
  <c r="AE4" i="42"/>
  <c r="AF2" i="42"/>
  <c r="AF4" i="42" s="1"/>
  <c r="AR44" i="45"/>
  <c r="AR43" i="45"/>
  <c r="K38" i="48"/>
  <c r="Q51" i="45"/>
  <c r="Q92" i="45" s="1"/>
  <c r="AR19" i="45"/>
  <c r="M18" i="45"/>
  <c r="M20" i="45" s="1"/>
  <c r="AS41" i="45"/>
  <c r="L38" i="48" s="1"/>
  <c r="AW51" i="45"/>
  <c r="I66" i="46"/>
  <c r="J66" i="48"/>
  <c r="J142" i="48"/>
  <c r="M25" i="48"/>
  <c r="I92" i="42"/>
  <c r="I90" i="42"/>
  <c r="I94" i="42" s="1"/>
  <c r="I89" i="42"/>
  <c r="I91" i="42"/>
  <c r="L260" i="48"/>
  <c r="K261" i="48"/>
  <c r="M23" i="48"/>
  <c r="I91" i="38"/>
  <c r="I89" i="38"/>
  <c r="I90" i="38"/>
  <c r="P39" i="48"/>
  <c r="K244" i="48"/>
  <c r="L243" i="48"/>
  <c r="J65" i="46"/>
  <c r="J67" i="46"/>
  <c r="K63" i="46"/>
  <c r="J70" i="46"/>
  <c r="J68" i="46"/>
  <c r="J69" i="46"/>
  <c r="J92" i="46" s="1"/>
  <c r="J64" i="46"/>
  <c r="L63" i="48"/>
  <c r="K65" i="48"/>
  <c r="K67" i="48"/>
  <c r="K70" i="48"/>
  <c r="K68" i="48"/>
  <c r="K64" i="48"/>
  <c r="K69" i="48"/>
  <c r="N24" i="48"/>
  <c r="J205" i="48"/>
  <c r="J143" i="48"/>
  <c r="J145" i="48"/>
  <c r="J144" i="48"/>
  <c r="I92" i="48"/>
  <c r="I93" i="46"/>
  <c r="I98" i="46" s="1"/>
  <c r="I95" i="46"/>
  <c r="I100" i="46" s="1"/>
  <c r="I97" i="46"/>
  <c r="I96" i="46"/>
  <c r="I101" i="46" s="1"/>
  <c r="I94" i="46"/>
  <c r="H93" i="48"/>
  <c r="H98" i="48" s="1"/>
  <c r="H95" i="48"/>
  <c r="H100" i="48" s="1"/>
  <c r="H97" i="48"/>
  <c r="H94" i="48"/>
  <c r="H96" i="48"/>
  <c r="H101" i="48" s="1"/>
  <c r="J207" i="48"/>
  <c r="J206" i="48"/>
  <c r="AW52" i="45"/>
  <c r="M22" i="48"/>
  <c r="K140" i="48"/>
  <c r="K204" i="48"/>
  <c r="L139" i="48"/>
  <c r="K203" i="48"/>
  <c r="K141" i="48"/>
  <c r="AX48" i="45"/>
  <c r="AX50" i="45" s="1"/>
  <c r="Q39" i="48" s="1"/>
  <c r="N21" i="48"/>
  <c r="R48" i="45"/>
  <c r="R50" i="45" s="1"/>
  <c r="Q39" i="46" s="1"/>
  <c r="Q53" i="45"/>
  <c r="AQ21" i="45"/>
  <c r="AT17" i="45"/>
  <c r="AT69" i="45" s="1"/>
  <c r="Q88" i="45"/>
  <c r="L19" i="45"/>
  <c r="AT40" i="45"/>
  <c r="AT39" i="45"/>
  <c r="AY49" i="45"/>
  <c r="AY47" i="45"/>
  <c r="AY46" i="45"/>
  <c r="AZ45" i="45"/>
  <c r="AS18" i="45"/>
  <c r="L243" i="46"/>
  <c r="K244" i="46"/>
  <c r="O21" i="46"/>
  <c r="Q363" i="46"/>
  <c r="R363" i="46" s="1"/>
  <c r="J205" i="46"/>
  <c r="J142" i="46"/>
  <c r="N25" i="46"/>
  <c r="J207" i="46"/>
  <c r="J206" i="46"/>
  <c r="O24" i="46"/>
  <c r="L260" i="46"/>
  <c r="K261" i="46"/>
  <c r="N23" i="46"/>
  <c r="N22" i="46"/>
  <c r="J143" i="46"/>
  <c r="J145" i="46"/>
  <c r="J144" i="46"/>
  <c r="L139" i="46"/>
  <c r="K204" i="46"/>
  <c r="K140" i="46"/>
  <c r="K203" i="46"/>
  <c r="K141" i="46"/>
  <c r="M41" i="45"/>
  <c r="L42" i="45"/>
  <c r="L95" i="45"/>
  <c r="L44" i="45"/>
  <c r="L43" i="45"/>
  <c r="AR95" i="45"/>
  <c r="O38" i="45"/>
  <c r="AU38" i="45" s="1"/>
  <c r="N40" i="45"/>
  <c r="N39" i="45"/>
  <c r="N17" i="45"/>
  <c r="N69" i="45" s="1"/>
  <c r="O16" i="45"/>
  <c r="AU16" i="45" s="1"/>
  <c r="K21" i="45"/>
  <c r="K23" i="45" s="1"/>
  <c r="T45" i="45"/>
  <c r="S46" i="45"/>
  <c r="S49" i="45"/>
  <c r="S47" i="45"/>
  <c r="AV92" i="45"/>
  <c r="AV88" i="45"/>
  <c r="I187" i="42"/>
  <c r="I188" i="42"/>
  <c r="I189" i="42"/>
  <c r="K184" i="42"/>
  <c r="J185" i="42"/>
  <c r="J186" i="42"/>
  <c r="J188" i="42" s="1"/>
  <c r="U75" i="36"/>
  <c r="W72" i="12"/>
  <c r="BB63" i="36"/>
  <c r="BB68" i="36" s="1"/>
  <c r="BB75" i="36" s="1"/>
  <c r="V68" i="36"/>
  <c r="V75" i="36" s="1"/>
  <c r="X72" i="14"/>
  <c r="W63" i="36"/>
  <c r="V63" i="45"/>
  <c r="BB64" i="36"/>
  <c r="V66" i="36"/>
  <c r="V73" i="36" s="1"/>
  <c r="V65" i="36"/>
  <c r="U71" i="36"/>
  <c r="U106" i="36"/>
  <c r="AZ71" i="36"/>
  <c r="AZ72" i="36" s="1"/>
  <c r="AZ106" i="36"/>
  <c r="BA66" i="36"/>
  <c r="BA73" i="36" s="1"/>
  <c r="BA65" i="36"/>
  <c r="V81" i="36"/>
  <c r="Z81" i="36"/>
  <c r="E81" i="36"/>
  <c r="E73" i="36"/>
  <c r="AC81" i="36"/>
  <c r="J81" i="36"/>
  <c r="J73" i="36"/>
  <c r="T81" i="36"/>
  <c r="T73" i="36"/>
  <c r="X81" i="36"/>
  <c r="AH81" i="36"/>
  <c r="AE81" i="36"/>
  <c r="L81" i="36"/>
  <c r="L73" i="36"/>
  <c r="R81" i="36"/>
  <c r="R73" i="36"/>
  <c r="P81" i="36"/>
  <c r="P73" i="36"/>
  <c r="AD81" i="36"/>
  <c r="S81" i="36"/>
  <c r="S73" i="36"/>
  <c r="AA81" i="36"/>
  <c r="N81" i="36"/>
  <c r="N73" i="36"/>
  <c r="I81" i="36"/>
  <c r="I73" i="36"/>
  <c r="AG81" i="36"/>
  <c r="H81" i="36"/>
  <c r="H73" i="36"/>
  <c r="AB81" i="36"/>
  <c r="AF81" i="36"/>
  <c r="O81" i="36"/>
  <c r="O73" i="36"/>
  <c r="Y81" i="36"/>
  <c r="W81" i="36"/>
  <c r="G81" i="36"/>
  <c r="G73" i="36"/>
  <c r="M81" i="36"/>
  <c r="M73" i="36"/>
  <c r="U81" i="36"/>
  <c r="U73" i="36"/>
  <c r="F81" i="36"/>
  <c r="F73" i="36"/>
  <c r="Q81" i="36"/>
  <c r="Q73" i="36"/>
  <c r="K81" i="36"/>
  <c r="K73" i="36"/>
  <c r="J132" i="38"/>
  <c r="N24" i="29"/>
  <c r="O21" i="29"/>
  <c r="J132" i="42"/>
  <c r="N21" i="38"/>
  <c r="J187" i="38"/>
  <c r="M22" i="38"/>
  <c r="J70" i="38"/>
  <c r="K63" i="38"/>
  <c r="J67" i="38"/>
  <c r="J69" i="38"/>
  <c r="J88" i="38" s="1"/>
  <c r="J68" i="38"/>
  <c r="J65" i="38"/>
  <c r="J64" i="38"/>
  <c r="I66" i="42"/>
  <c r="J135" i="42"/>
  <c r="J134" i="42"/>
  <c r="J133" i="42"/>
  <c r="L129" i="42"/>
  <c r="K130" i="42"/>
  <c r="K131" i="42"/>
  <c r="L234" i="42"/>
  <c r="K235" i="42"/>
  <c r="L234" i="38"/>
  <c r="K235" i="38"/>
  <c r="L129" i="38"/>
  <c r="K185" i="38"/>
  <c r="K186" i="38"/>
  <c r="K130" i="38"/>
  <c r="K131" i="38"/>
  <c r="K219" i="42"/>
  <c r="J220" i="42"/>
  <c r="N24" i="38"/>
  <c r="J133" i="38"/>
  <c r="J135" i="38"/>
  <c r="J134" i="38"/>
  <c r="M25" i="38"/>
  <c r="J65" i="42"/>
  <c r="K63" i="42"/>
  <c r="J68" i="42"/>
  <c r="J67" i="42"/>
  <c r="J70" i="42"/>
  <c r="J69" i="42"/>
  <c r="J88" i="42" s="1"/>
  <c r="J64" i="42"/>
  <c r="I93" i="42"/>
  <c r="I95" i="42"/>
  <c r="M23" i="38"/>
  <c r="J189" i="38"/>
  <c r="J188" i="38"/>
  <c r="I66" i="38"/>
  <c r="J189" i="42"/>
  <c r="L219" i="38"/>
  <c r="K220" i="38"/>
  <c r="AE4" i="19"/>
  <c r="AF2" i="19"/>
  <c r="AF4" i="19" s="1"/>
  <c r="J70" i="20"/>
  <c r="J71" i="20"/>
  <c r="J73" i="20"/>
  <c r="J72" i="20"/>
  <c r="L198" i="20"/>
  <c r="K199" i="20"/>
  <c r="L310" i="20"/>
  <c r="K268" i="19"/>
  <c r="P21" i="28"/>
  <c r="Z4" i="19"/>
  <c r="AA2" i="19"/>
  <c r="AA4" i="19" s="1"/>
  <c r="O24" i="28"/>
  <c r="N22" i="28"/>
  <c r="K127" i="20"/>
  <c r="K125" i="20"/>
  <c r="K126" i="20"/>
  <c r="K124" i="20"/>
  <c r="K128" i="20"/>
  <c r="K123" i="20"/>
  <c r="L122" i="20"/>
  <c r="J69" i="20"/>
  <c r="L2" i="19"/>
  <c r="K66" i="28"/>
  <c r="L62" i="28"/>
  <c r="K67" i="28"/>
  <c r="K64" i="28"/>
  <c r="K63" i="28"/>
  <c r="U4" i="20"/>
  <c r="V2" i="20"/>
  <c r="V4" i="20" s="1"/>
  <c r="K86" i="28"/>
  <c r="K90" i="28"/>
  <c r="K89" i="28"/>
  <c r="K88" i="28"/>
  <c r="K91" i="28"/>
  <c r="K87" i="28"/>
  <c r="L85" i="28"/>
  <c r="L66" i="20"/>
  <c r="K68" i="20"/>
  <c r="K67" i="20"/>
  <c r="O25" i="28"/>
  <c r="L110" i="28"/>
  <c r="K111" i="28"/>
  <c r="L2" i="20"/>
  <c r="N23" i="28"/>
  <c r="U4" i="19"/>
  <c r="V2" i="19"/>
  <c r="V4" i="19" s="1"/>
  <c r="AF2" i="20"/>
  <c r="AF4" i="20" s="1"/>
  <c r="AE4" i="20"/>
  <c r="J65" i="28"/>
  <c r="W50" i="15"/>
  <c r="W53" i="15" s="1"/>
  <c r="W137" i="15" s="1"/>
  <c r="W126" i="15"/>
  <c r="U74" i="12"/>
  <c r="U219" i="12" s="1"/>
  <c r="U230" i="12" s="1"/>
  <c r="U76" i="12"/>
  <c r="U77" i="12"/>
  <c r="U78" i="12"/>
  <c r="U79" i="12"/>
  <c r="U80" i="12"/>
  <c r="U75" i="12"/>
  <c r="J212" i="20"/>
  <c r="V74" i="14"/>
  <c r="V219" i="14" s="1"/>
  <c r="V230" i="14" s="1"/>
  <c r="V80" i="14"/>
  <c r="V79" i="14"/>
  <c r="V76" i="14"/>
  <c r="V78" i="14"/>
  <c r="V75" i="14"/>
  <c r="V77" i="14"/>
  <c r="U8" i="12"/>
  <c r="AE8" i="12"/>
  <c r="Z8" i="12"/>
  <c r="V6" i="12"/>
  <c r="V5" i="12"/>
  <c r="V7" i="12"/>
  <c r="AA6" i="12"/>
  <c r="AA5" i="12"/>
  <c r="AA7" i="12"/>
  <c r="AF5" i="12"/>
  <c r="AF6" i="12"/>
  <c r="AF7" i="12"/>
  <c r="Q6" i="12"/>
  <c r="Q5" i="12"/>
  <c r="Q7" i="12"/>
  <c r="P8" i="12"/>
  <c r="Z33" i="11"/>
  <c r="Y34" i="11"/>
  <c r="Y35" i="11" s="1"/>
  <c r="Y36" i="11" s="1"/>
  <c r="X29" i="13"/>
  <c r="X30" i="13" s="1"/>
  <c r="Y28" i="13"/>
  <c r="W32" i="13"/>
  <c r="W73" i="14" s="1"/>
  <c r="W31" i="13"/>
  <c r="W33" i="13" s="1"/>
  <c r="W64" i="36" s="1"/>
  <c r="V73" i="12"/>
  <c r="R4" i="16"/>
  <c r="R4" i="15"/>
  <c r="W4" i="12"/>
  <c r="V3" i="52" s="1"/>
  <c r="W4" i="16"/>
  <c r="W4" i="15"/>
  <c r="M4" i="15"/>
  <c r="M4" i="16"/>
  <c r="AG4" i="15"/>
  <c r="AG4" i="16"/>
  <c r="AB4" i="12"/>
  <c r="AA3" i="52" s="1"/>
  <c r="AB4" i="16"/>
  <c r="AB4" i="15"/>
  <c r="AG4" i="12"/>
  <c r="AF3" i="52" s="1"/>
  <c r="R4" i="12"/>
  <c r="Q3" i="52" s="1"/>
  <c r="X31" i="15"/>
  <c r="J3" i="12"/>
  <c r="I1" i="52" s="1"/>
  <c r="I37" i="48" l="1"/>
  <c r="AP26" i="45"/>
  <c r="AP25" i="45"/>
  <c r="AP24" i="45"/>
  <c r="AF8" i="14"/>
  <c r="AA8" i="14"/>
  <c r="L4" i="52"/>
  <c r="W7" i="14"/>
  <c r="W6" i="14"/>
  <c r="W5" i="14"/>
  <c r="X64" i="45"/>
  <c r="BD64" i="45" s="1"/>
  <c r="X61" i="45"/>
  <c r="BD61" i="45" s="1"/>
  <c r="BD63" i="45" s="1"/>
  <c r="AG5" i="14"/>
  <c r="AG7" i="14"/>
  <c r="AG6" i="14"/>
  <c r="V4" i="52"/>
  <c r="T96" i="55"/>
  <c r="AY96" i="55"/>
  <c r="DK96" i="55" s="1"/>
  <c r="AA4" i="52"/>
  <c r="AB7" i="14"/>
  <c r="AB5" i="14"/>
  <c r="AB6" i="14"/>
  <c r="Y39" i="11"/>
  <c r="Y37" i="11"/>
  <c r="Y40" i="11"/>
  <c r="Y66" i="45" s="1"/>
  <c r="BE66" i="45" s="1"/>
  <c r="Y38" i="11"/>
  <c r="U72" i="36"/>
  <c r="CG38" i="58"/>
  <c r="U37" i="58" s="1"/>
  <c r="BA37" i="58" s="1"/>
  <c r="CG37" i="58" s="1"/>
  <c r="Q4" i="52"/>
  <c r="AY95" i="55"/>
  <c r="DK95" i="55" s="1"/>
  <c r="T95" i="55"/>
  <c r="AF4" i="52"/>
  <c r="R6" i="14"/>
  <c r="R5" i="14"/>
  <c r="R7" i="14"/>
  <c r="R8" i="14"/>
  <c r="AR21" i="45"/>
  <c r="AR23" i="45" s="1"/>
  <c r="O24" i="54"/>
  <c r="N25" i="54"/>
  <c r="N21" i="54"/>
  <c r="N22" i="54"/>
  <c r="L21" i="45"/>
  <c r="L23" i="45" s="1"/>
  <c r="L82" i="45" s="1"/>
  <c r="N23" i="54"/>
  <c r="AX52" i="45"/>
  <c r="P8" i="52"/>
  <c r="AD5" i="50"/>
  <c r="R4" i="51"/>
  <c r="R57" i="58" s="1"/>
  <c r="M63" i="54"/>
  <c r="L67" i="54"/>
  <c r="L68" i="54"/>
  <c r="L70" i="54"/>
  <c r="L69" i="54"/>
  <c r="L76" i="54" s="1"/>
  <c r="L77" i="54" s="1"/>
  <c r="L65" i="54"/>
  <c r="L64" i="54"/>
  <c r="K66" i="54"/>
  <c r="M156" i="54"/>
  <c r="L157" i="54"/>
  <c r="K66" i="53"/>
  <c r="M147" i="53"/>
  <c r="L148" i="53"/>
  <c r="M156" i="53"/>
  <c r="L157" i="53"/>
  <c r="K77" i="53"/>
  <c r="L69" i="53"/>
  <c r="L76" i="53" s="1"/>
  <c r="L67" i="53"/>
  <c r="L70" i="53"/>
  <c r="L65" i="53"/>
  <c r="M63" i="53"/>
  <c r="M64" i="53" s="1"/>
  <c r="L68" i="53"/>
  <c r="L64" i="53"/>
  <c r="K102" i="53"/>
  <c r="K135" i="53"/>
  <c r="K134" i="53"/>
  <c r="L132" i="53"/>
  <c r="L100" i="53"/>
  <c r="L131" i="53"/>
  <c r="L101" i="53"/>
  <c r="J37" i="46"/>
  <c r="K105" i="53"/>
  <c r="K103" i="53"/>
  <c r="K104" i="53"/>
  <c r="K133" i="53"/>
  <c r="O21" i="53"/>
  <c r="O23" i="53"/>
  <c r="O22" i="53"/>
  <c r="O25" i="53"/>
  <c r="P24" i="53"/>
  <c r="AV4" i="51"/>
  <c r="AV57" i="58" s="1"/>
  <c r="CL57" i="58" s="1"/>
  <c r="CL58" i="58" s="1"/>
  <c r="AC3" i="50"/>
  <c r="Q6" i="52" s="1"/>
  <c r="M19" i="45"/>
  <c r="AT41" i="45"/>
  <c r="AT42" i="45" s="1"/>
  <c r="AS43" i="45"/>
  <c r="K66" i="48"/>
  <c r="R53" i="45"/>
  <c r="R51" i="45"/>
  <c r="R92" i="45" s="1"/>
  <c r="R88" i="45"/>
  <c r="J66" i="46"/>
  <c r="R52" i="45"/>
  <c r="AS44" i="45"/>
  <c r="AS42" i="45"/>
  <c r="K142" i="48"/>
  <c r="AX51" i="45"/>
  <c r="AX92" i="45" s="1"/>
  <c r="K205" i="48"/>
  <c r="K143" i="48"/>
  <c r="K144" i="48"/>
  <c r="K145" i="48"/>
  <c r="N22" i="48"/>
  <c r="I96" i="48"/>
  <c r="I101" i="48" s="1"/>
  <c r="I97" i="48"/>
  <c r="I95" i="48"/>
  <c r="I100" i="48" s="1"/>
  <c r="I93" i="48"/>
  <c r="I98" i="48" s="1"/>
  <c r="I94" i="48"/>
  <c r="L69" i="48"/>
  <c r="L68" i="48"/>
  <c r="L65" i="48"/>
  <c r="L67" i="48"/>
  <c r="M63" i="48"/>
  <c r="L70" i="48"/>
  <c r="L64" i="48"/>
  <c r="L244" i="48"/>
  <c r="M243" i="48"/>
  <c r="M260" i="48"/>
  <c r="L261" i="48"/>
  <c r="AX53" i="45"/>
  <c r="O24" i="48"/>
  <c r="K68" i="46"/>
  <c r="K70" i="46"/>
  <c r="K65" i="46"/>
  <c r="K69" i="46"/>
  <c r="K92" i="46" s="1"/>
  <c r="K67" i="46"/>
  <c r="L63" i="46"/>
  <c r="K64" i="46"/>
  <c r="S48" i="45"/>
  <c r="S50" i="45" s="1"/>
  <c r="R39" i="46" s="1"/>
  <c r="L141" i="48"/>
  <c r="L203" i="48"/>
  <c r="M139" i="48"/>
  <c r="L140" i="48"/>
  <c r="L204" i="48"/>
  <c r="J92" i="48"/>
  <c r="J95" i="46"/>
  <c r="J100" i="46" s="1"/>
  <c r="J97" i="46"/>
  <c r="J96" i="46"/>
  <c r="J101" i="46" s="1"/>
  <c r="J94" i="46"/>
  <c r="J93" i="46"/>
  <c r="J98" i="46" s="1"/>
  <c r="N23" i="48"/>
  <c r="N25" i="48"/>
  <c r="J92" i="42"/>
  <c r="J91" i="42"/>
  <c r="J95" i="42" s="1"/>
  <c r="J90" i="42"/>
  <c r="J94" i="42" s="1"/>
  <c r="J89" i="42"/>
  <c r="J93" i="42" s="1"/>
  <c r="J89" i="38"/>
  <c r="J90" i="38"/>
  <c r="J91" i="38"/>
  <c r="AY48" i="45"/>
  <c r="AY50" i="45" s="1"/>
  <c r="AT18" i="45"/>
  <c r="AT20" i="45" s="1"/>
  <c r="O21" i="48"/>
  <c r="K207" i="48"/>
  <c r="K206" i="48"/>
  <c r="AZ46" i="45"/>
  <c r="AZ47" i="45"/>
  <c r="AZ49" i="45"/>
  <c r="BA45" i="45"/>
  <c r="AS20" i="45"/>
  <c r="AS19" i="45"/>
  <c r="AQ23" i="45"/>
  <c r="AU17" i="45"/>
  <c r="AU69" i="45" s="1"/>
  <c r="AU39" i="45"/>
  <c r="AU40" i="45"/>
  <c r="M95" i="45"/>
  <c r="L38" i="46"/>
  <c r="K142" i="46"/>
  <c r="O25" i="46"/>
  <c r="K207" i="46"/>
  <c r="K206" i="46"/>
  <c r="O23" i="46"/>
  <c r="S363" i="46"/>
  <c r="T363" i="46" s="1"/>
  <c r="M243" i="46"/>
  <c r="L244" i="46"/>
  <c r="K145" i="46"/>
  <c r="K144" i="46"/>
  <c r="K143" i="46"/>
  <c r="M139" i="46"/>
  <c r="L204" i="46"/>
  <c r="L140" i="46"/>
  <c r="L141" i="46"/>
  <c r="L203" i="46"/>
  <c r="P24" i="46"/>
  <c r="K205" i="46"/>
  <c r="O22" i="46"/>
  <c r="M260" i="46"/>
  <c r="L261" i="46"/>
  <c r="P21" i="46"/>
  <c r="M43" i="45"/>
  <c r="M42" i="45"/>
  <c r="M44" i="45"/>
  <c r="N18" i="45"/>
  <c r="N19" i="45" s="1"/>
  <c r="N41" i="45"/>
  <c r="P16" i="45"/>
  <c r="AV16" i="45" s="1"/>
  <c r="O17" i="45"/>
  <c r="O69" i="45" s="1"/>
  <c r="O39" i="45"/>
  <c r="P38" i="45"/>
  <c r="AV38" i="45" s="1"/>
  <c r="O40" i="45"/>
  <c r="AP82" i="45"/>
  <c r="K26" i="45"/>
  <c r="K25" i="45"/>
  <c r="K82" i="45"/>
  <c r="K24" i="45"/>
  <c r="AX88" i="45"/>
  <c r="AW88" i="45"/>
  <c r="AW92" i="45"/>
  <c r="U45" i="45"/>
  <c r="T46" i="45"/>
  <c r="T47" i="45"/>
  <c r="T49" i="45"/>
  <c r="J187" i="42"/>
  <c r="L184" i="42"/>
  <c r="K186" i="42"/>
  <c r="K189" i="42" s="1"/>
  <c r="K185" i="42"/>
  <c r="BC63" i="36"/>
  <c r="BC68" i="36" s="1"/>
  <c r="BC75" i="36" s="1"/>
  <c r="W68" i="36"/>
  <c r="W75" i="36" s="1"/>
  <c r="X63" i="36"/>
  <c r="Y72" i="14"/>
  <c r="W63" i="45"/>
  <c r="V71" i="36"/>
  <c r="V106" i="36"/>
  <c r="BC64" i="36"/>
  <c r="W66" i="36"/>
  <c r="W73" i="36" s="1"/>
  <c r="W65" i="36"/>
  <c r="BA71" i="36"/>
  <c r="BA72" i="36" s="1"/>
  <c r="BA106" i="36"/>
  <c r="BB65" i="36"/>
  <c r="BB66" i="36"/>
  <c r="BB73" i="36" s="1"/>
  <c r="K69" i="20"/>
  <c r="K132" i="42"/>
  <c r="O24" i="29"/>
  <c r="P21" i="29"/>
  <c r="K70" i="42"/>
  <c r="K64" i="42"/>
  <c r="K67" i="42"/>
  <c r="L63" i="42"/>
  <c r="K69" i="42"/>
  <c r="K88" i="42" s="1"/>
  <c r="K68" i="42"/>
  <c r="K65" i="42"/>
  <c r="L219" i="42"/>
  <c r="K220" i="42"/>
  <c r="K187" i="38"/>
  <c r="N22" i="38"/>
  <c r="M219" i="38"/>
  <c r="L220" i="38"/>
  <c r="N23" i="38"/>
  <c r="N25" i="38"/>
  <c r="K133" i="38"/>
  <c r="K135" i="38"/>
  <c r="K134" i="38"/>
  <c r="M129" i="38"/>
  <c r="L185" i="38"/>
  <c r="L186" i="38"/>
  <c r="L131" i="38"/>
  <c r="L130" i="38"/>
  <c r="M234" i="42"/>
  <c r="L235" i="42"/>
  <c r="K132" i="38"/>
  <c r="M234" i="38"/>
  <c r="L235" i="38"/>
  <c r="K135" i="42"/>
  <c r="K134" i="42"/>
  <c r="K133" i="42"/>
  <c r="M129" i="42"/>
  <c r="L130" i="42"/>
  <c r="L131" i="42"/>
  <c r="J66" i="38"/>
  <c r="J66" i="42"/>
  <c r="O24" i="38"/>
  <c r="K189" i="38"/>
  <c r="K188" i="38"/>
  <c r="K70" i="38"/>
  <c r="L63" i="38"/>
  <c r="K68" i="38"/>
  <c r="K67" i="38"/>
  <c r="K69" i="38"/>
  <c r="K88" i="38" s="1"/>
  <c r="K65" i="38"/>
  <c r="K64" i="38"/>
  <c r="O21" i="38"/>
  <c r="K73" i="20"/>
  <c r="K71" i="20"/>
  <c r="K72" i="20"/>
  <c r="K70" i="20"/>
  <c r="P25" i="28"/>
  <c r="M66" i="20"/>
  <c r="L67" i="20"/>
  <c r="L68" i="20"/>
  <c r="P24" i="28"/>
  <c r="Q21" i="28"/>
  <c r="M198" i="20"/>
  <c r="L199" i="20"/>
  <c r="L86" i="28"/>
  <c r="L89" i="28"/>
  <c r="M85" i="28"/>
  <c r="L88" i="28"/>
  <c r="L90" i="28"/>
  <c r="L87" i="28"/>
  <c r="L91" i="28"/>
  <c r="M62" i="28"/>
  <c r="L63" i="28"/>
  <c r="L64" i="28"/>
  <c r="L66" i="28"/>
  <c r="L67" i="28"/>
  <c r="O23" i="28"/>
  <c r="M110" i="28"/>
  <c r="L111" i="28"/>
  <c r="K65" i="28"/>
  <c r="L124" i="20"/>
  <c r="L123" i="20"/>
  <c r="L128" i="20"/>
  <c r="L126" i="20"/>
  <c r="L125" i="20"/>
  <c r="L127" i="20"/>
  <c r="M122" i="20"/>
  <c r="O22" i="28"/>
  <c r="M310" i="20"/>
  <c r="L268" i="19"/>
  <c r="X50" i="15"/>
  <c r="X53" i="15" s="1"/>
  <c r="X137" i="15" s="1"/>
  <c r="X126" i="15"/>
  <c r="V74" i="12"/>
  <c r="V219" i="12" s="1"/>
  <c r="V230" i="12" s="1"/>
  <c r="V75" i="12"/>
  <c r="V78" i="12"/>
  <c r="V79" i="12"/>
  <c r="V76" i="12"/>
  <c r="V77" i="12"/>
  <c r="V80" i="12"/>
  <c r="K212" i="20"/>
  <c r="W74" i="14"/>
  <c r="W219" i="14" s="1"/>
  <c r="W230" i="14" s="1"/>
  <c r="W77" i="14"/>
  <c r="W79" i="14"/>
  <c r="W80" i="14"/>
  <c r="W75" i="14"/>
  <c r="W76" i="14"/>
  <c r="W78" i="14"/>
  <c r="V8" i="12"/>
  <c r="AA8" i="12"/>
  <c r="AF8" i="12"/>
  <c r="AG6" i="12"/>
  <c r="AG5" i="12"/>
  <c r="AG7" i="12"/>
  <c r="W6" i="12"/>
  <c r="W5" i="12"/>
  <c r="W7" i="12"/>
  <c r="Q8" i="12"/>
  <c r="R6" i="12"/>
  <c r="R5" i="12"/>
  <c r="R7" i="12"/>
  <c r="AB5" i="12"/>
  <c r="AB6" i="12"/>
  <c r="AB7" i="12"/>
  <c r="AA33" i="11"/>
  <c r="Z34" i="11"/>
  <c r="Z35" i="11" s="1"/>
  <c r="Z36" i="11" s="1"/>
  <c r="W73" i="12"/>
  <c r="Y29" i="13"/>
  <c r="Y30" i="13" s="1"/>
  <c r="Z28" i="13"/>
  <c r="X31" i="13"/>
  <c r="X33" i="13" s="1"/>
  <c r="X64" i="36" s="1"/>
  <c r="X32" i="13"/>
  <c r="X73" i="14" s="1"/>
  <c r="Y31" i="15"/>
  <c r="K3" i="12"/>
  <c r="J1" i="52" s="1"/>
  <c r="K37" i="48" l="1"/>
  <c r="AR25" i="45"/>
  <c r="AR26" i="45"/>
  <c r="AR24" i="45"/>
  <c r="K37" i="46"/>
  <c r="AG8" i="14"/>
  <c r="W8" i="14"/>
  <c r="AT43" i="45"/>
  <c r="AB8" i="14"/>
  <c r="AZ96" i="55"/>
  <c r="DL96" i="55" s="1"/>
  <c r="U96" i="55"/>
  <c r="V72" i="36"/>
  <c r="CH38" i="58"/>
  <c r="V37" i="58" s="1"/>
  <c r="BB37" i="58" s="1"/>
  <c r="CH37" i="58" s="1"/>
  <c r="Z40" i="11"/>
  <c r="Z66" i="45" s="1"/>
  <c r="BF66" i="45" s="1"/>
  <c r="Z39" i="11"/>
  <c r="Z37" i="11"/>
  <c r="Z38" i="11"/>
  <c r="Y61" i="45"/>
  <c r="BE61" i="45" s="1"/>
  <c r="BE63" i="45" s="1"/>
  <c r="Y64" i="45"/>
  <c r="BE64" i="45" s="1"/>
  <c r="AZ95" i="55"/>
  <c r="DL95" i="55" s="1"/>
  <c r="U95" i="55"/>
  <c r="O21" i="54"/>
  <c r="M21" i="45"/>
  <c r="M23" i="45" s="1"/>
  <c r="L25" i="45"/>
  <c r="L24" i="45"/>
  <c r="O23" i="54"/>
  <c r="O25" i="54"/>
  <c r="O22" i="54"/>
  <c r="P24" i="54"/>
  <c r="L26" i="45"/>
  <c r="L66" i="48"/>
  <c r="Q8" i="52"/>
  <c r="AE5" i="50"/>
  <c r="S4" i="51"/>
  <c r="S57" i="58" s="1"/>
  <c r="L66" i="54"/>
  <c r="M157" i="54"/>
  <c r="N156" i="54"/>
  <c r="M67" i="54"/>
  <c r="M69" i="54"/>
  <c r="M76" i="54" s="1"/>
  <c r="M77" i="54" s="1"/>
  <c r="M68" i="54"/>
  <c r="M65" i="54"/>
  <c r="N63" i="54"/>
  <c r="M70" i="54"/>
  <c r="M64" i="54"/>
  <c r="L66" i="53"/>
  <c r="K66" i="46"/>
  <c r="N147" i="53"/>
  <c r="M148" i="53"/>
  <c r="N156" i="53"/>
  <c r="M157" i="53"/>
  <c r="M68" i="53"/>
  <c r="M67" i="53"/>
  <c r="M70" i="53"/>
  <c r="N63" i="53"/>
  <c r="M69" i="53"/>
  <c r="M76" i="53" s="1"/>
  <c r="M65" i="53"/>
  <c r="M66" i="53" s="1"/>
  <c r="L77" i="53"/>
  <c r="L133" i="53"/>
  <c r="L102" i="53"/>
  <c r="L135" i="53"/>
  <c r="L134" i="53"/>
  <c r="N44" i="45"/>
  <c r="M100" i="53"/>
  <c r="M101" i="53"/>
  <c r="M132" i="53"/>
  <c r="M131" i="53"/>
  <c r="M24" i="45"/>
  <c r="L105" i="53"/>
  <c r="L103" i="53"/>
  <c r="L104" i="53"/>
  <c r="P22" i="53"/>
  <c r="P25" i="53"/>
  <c r="P23" i="53"/>
  <c r="P21" i="53"/>
  <c r="Q24" i="53"/>
  <c r="AD3" i="50"/>
  <c r="R6" i="52" s="1"/>
  <c r="AT19" i="45"/>
  <c r="AW4" i="51"/>
  <c r="AW57" i="58" s="1"/>
  <c r="CM57" i="58" s="1"/>
  <c r="CM58" i="58" s="1"/>
  <c r="M38" i="48"/>
  <c r="AT44" i="45"/>
  <c r="L142" i="48"/>
  <c r="AS21" i="45"/>
  <c r="AS23" i="45" s="1"/>
  <c r="L205" i="48"/>
  <c r="N243" i="48"/>
  <c r="M244" i="48"/>
  <c r="M69" i="48"/>
  <c r="M68" i="48"/>
  <c r="N63" i="48"/>
  <c r="M67" i="48"/>
  <c r="M65" i="48"/>
  <c r="M70" i="48"/>
  <c r="M64" i="48"/>
  <c r="L207" i="48"/>
  <c r="L206" i="48"/>
  <c r="L144" i="48"/>
  <c r="L143" i="48"/>
  <c r="L145" i="48"/>
  <c r="P24" i="48"/>
  <c r="K90" i="38"/>
  <c r="K89" i="38"/>
  <c r="K91" i="38"/>
  <c r="K92" i="48"/>
  <c r="K96" i="46"/>
  <c r="K101" i="46" s="1"/>
  <c r="K95" i="46"/>
  <c r="K100" i="46" s="1"/>
  <c r="K93" i="46"/>
  <c r="K98" i="46" s="1"/>
  <c r="K94" i="46"/>
  <c r="K97" i="46"/>
  <c r="P21" i="48"/>
  <c r="O25" i="48"/>
  <c r="J94" i="48"/>
  <c r="J97" i="48"/>
  <c r="J96" i="48"/>
  <c r="J101" i="48" s="1"/>
  <c r="J93" i="48"/>
  <c r="J98" i="48" s="1"/>
  <c r="J95" i="48"/>
  <c r="J100" i="48" s="1"/>
  <c r="L65" i="46"/>
  <c r="L69" i="46"/>
  <c r="L92" i="46" s="1"/>
  <c r="L67" i="46"/>
  <c r="M63" i="46"/>
  <c r="L68" i="46"/>
  <c r="L64" i="46"/>
  <c r="L70" i="46"/>
  <c r="O23" i="48"/>
  <c r="K92" i="42"/>
  <c r="K90" i="42"/>
  <c r="K91" i="42"/>
  <c r="K95" i="42" s="1"/>
  <c r="K89" i="42"/>
  <c r="AU41" i="45"/>
  <c r="AU44" i="45" s="1"/>
  <c r="AZ48" i="45"/>
  <c r="M140" i="48"/>
  <c r="M141" i="48"/>
  <c r="M203" i="48"/>
  <c r="N139" i="48"/>
  <c r="M204" i="48"/>
  <c r="N260" i="48"/>
  <c r="M261" i="48"/>
  <c r="O22" i="48"/>
  <c r="R39" i="48"/>
  <c r="AY51" i="45"/>
  <c r="AY53" i="45"/>
  <c r="AY52" i="45"/>
  <c r="AV39" i="45"/>
  <c r="AV40" i="45"/>
  <c r="AV17" i="45"/>
  <c r="AV69" i="45" s="1"/>
  <c r="J37" i="48"/>
  <c r="AQ24" i="45"/>
  <c r="AQ26" i="45"/>
  <c r="AQ25" i="45"/>
  <c r="AQ82" i="45"/>
  <c r="AZ50" i="45"/>
  <c r="N43" i="45"/>
  <c r="M38" i="46"/>
  <c r="AU18" i="45"/>
  <c r="BA47" i="45"/>
  <c r="BA49" i="45"/>
  <c r="BA46" i="45"/>
  <c r="BB45" i="45"/>
  <c r="K188" i="42"/>
  <c r="K187" i="42"/>
  <c r="N260" i="46"/>
  <c r="M261" i="46"/>
  <c r="L207" i="46"/>
  <c r="L206" i="46"/>
  <c r="Q21" i="46"/>
  <c r="Q24" i="46"/>
  <c r="L205" i="46"/>
  <c r="N139" i="46"/>
  <c r="M204" i="46"/>
  <c r="M203" i="46"/>
  <c r="M141" i="46"/>
  <c r="M140" i="46"/>
  <c r="P22" i="46"/>
  <c r="L145" i="46"/>
  <c r="L144" i="46"/>
  <c r="L143" i="46"/>
  <c r="U363" i="46"/>
  <c r="P23" i="46"/>
  <c r="P25" i="46"/>
  <c r="L142" i="46"/>
  <c r="N243" i="46"/>
  <c r="M244" i="46"/>
  <c r="N20" i="45"/>
  <c r="N95" i="45"/>
  <c r="N42" i="45"/>
  <c r="O41" i="45"/>
  <c r="P40" i="45"/>
  <c r="P39" i="45"/>
  <c r="Q38" i="45"/>
  <c r="AW38" i="45" s="1"/>
  <c r="AS95" i="45"/>
  <c r="P17" i="45"/>
  <c r="P69" i="45" s="1"/>
  <c r="Q16" i="45"/>
  <c r="AW16" i="45" s="1"/>
  <c r="O18" i="45"/>
  <c r="V45" i="45"/>
  <c r="U47" i="45"/>
  <c r="U46" i="45"/>
  <c r="U49" i="45"/>
  <c r="T48" i="45"/>
  <c r="T50" i="45" s="1"/>
  <c r="S39" i="46" s="1"/>
  <c r="S52" i="45"/>
  <c r="S51" i="45"/>
  <c r="S92" i="45" s="1"/>
  <c r="S53" i="45"/>
  <c r="S88" i="45"/>
  <c r="M184" i="42"/>
  <c r="L186" i="42"/>
  <c r="L189" i="42" s="1"/>
  <c r="L185" i="42"/>
  <c r="Y72" i="12"/>
  <c r="Y63" i="36"/>
  <c r="X63" i="45"/>
  <c r="BD63" i="36"/>
  <c r="BD68" i="36" s="1"/>
  <c r="BD75" i="36" s="1"/>
  <c r="X68" i="36"/>
  <c r="X75" i="36" s="1"/>
  <c r="Z72" i="14"/>
  <c r="BC66" i="36"/>
  <c r="BC73" i="36" s="1"/>
  <c r="BC65" i="36"/>
  <c r="BD64" i="36"/>
  <c r="X66" i="36"/>
  <c r="X73" i="36" s="1"/>
  <c r="X65" i="36"/>
  <c r="BB71" i="36"/>
  <c r="BB72" i="36" s="1"/>
  <c r="BB106" i="36"/>
  <c r="W71" i="36"/>
  <c r="W106" i="36"/>
  <c r="Q21" i="29"/>
  <c r="P24" i="29"/>
  <c r="N234" i="38"/>
  <c r="M235" i="38"/>
  <c r="L189" i="38"/>
  <c r="L188" i="38"/>
  <c r="K94" i="42"/>
  <c r="K93" i="42"/>
  <c r="L135" i="42"/>
  <c r="L134" i="42"/>
  <c r="L133" i="42"/>
  <c r="N129" i="42"/>
  <c r="M131" i="42"/>
  <c r="M130" i="42"/>
  <c r="L187" i="38"/>
  <c r="O25" i="38"/>
  <c r="O23" i="38"/>
  <c r="N219" i="38"/>
  <c r="M220" i="38"/>
  <c r="K66" i="42"/>
  <c r="K66" i="38"/>
  <c r="P24" i="38"/>
  <c r="L132" i="42"/>
  <c r="L132" i="38"/>
  <c r="N129" i="38"/>
  <c r="M185" i="38"/>
  <c r="M186" i="38"/>
  <c r="M130" i="38"/>
  <c r="M131" i="38"/>
  <c r="O22" i="38"/>
  <c r="P21" i="38"/>
  <c r="L69" i="38"/>
  <c r="L88" i="38" s="1"/>
  <c r="M63" i="38"/>
  <c r="L68" i="38"/>
  <c r="L70" i="38"/>
  <c r="L67" i="38"/>
  <c r="L65" i="38"/>
  <c r="L64" i="38"/>
  <c r="N234" i="42"/>
  <c r="M235" i="42"/>
  <c r="L133" i="38"/>
  <c r="L134" i="38"/>
  <c r="L135" i="38"/>
  <c r="M219" i="42"/>
  <c r="L220" i="42"/>
  <c r="L65" i="42"/>
  <c r="L64" i="42"/>
  <c r="L70" i="42"/>
  <c r="L67" i="42"/>
  <c r="L69" i="42"/>
  <c r="L88" i="42" s="1"/>
  <c r="L68" i="42"/>
  <c r="M63" i="42"/>
  <c r="L65" i="28"/>
  <c r="M123" i="20"/>
  <c r="M128" i="20"/>
  <c r="M126" i="20"/>
  <c r="M124" i="20"/>
  <c r="M125" i="20"/>
  <c r="N122" i="20"/>
  <c r="M127" i="20"/>
  <c r="M86" i="28"/>
  <c r="M89" i="28"/>
  <c r="M87" i="28"/>
  <c r="M90" i="28"/>
  <c r="N85" i="28"/>
  <c r="M88" i="28"/>
  <c r="M91" i="28"/>
  <c r="R21" i="28"/>
  <c r="Q25" i="28"/>
  <c r="M268" i="19"/>
  <c r="N310" i="20"/>
  <c r="N110" i="28"/>
  <c r="M111" i="28"/>
  <c r="M63" i="28"/>
  <c r="M64" i="28"/>
  <c r="M66" i="28"/>
  <c r="M67" i="28"/>
  <c r="N62" i="28"/>
  <c r="L71" i="20"/>
  <c r="L73" i="20"/>
  <c r="L70" i="20"/>
  <c r="L72" i="20"/>
  <c r="N198" i="20"/>
  <c r="M199" i="20"/>
  <c r="Q24" i="28"/>
  <c r="L69" i="20"/>
  <c r="P22" i="28"/>
  <c r="P23" i="28"/>
  <c r="N66" i="20"/>
  <c r="M68" i="20"/>
  <c r="M67" i="20"/>
  <c r="Y50" i="15"/>
  <c r="Y53" i="15" s="1"/>
  <c r="Y137" i="15" s="1"/>
  <c r="Y126" i="15"/>
  <c r="W74" i="12"/>
  <c r="W219" i="12" s="1"/>
  <c r="W230" i="12" s="1"/>
  <c r="W77" i="12"/>
  <c r="W80" i="12"/>
  <c r="W79" i="12"/>
  <c r="W76" i="12"/>
  <c r="W78" i="12"/>
  <c r="W75" i="12"/>
  <c r="L212" i="20"/>
  <c r="X74" i="14"/>
  <c r="X219" i="14" s="1"/>
  <c r="X230" i="14" s="1"/>
  <c r="X78" i="14"/>
  <c r="X80" i="14"/>
  <c r="X79" i="14"/>
  <c r="X76" i="14"/>
  <c r="X75" i="14"/>
  <c r="X77" i="14"/>
  <c r="W8" i="12"/>
  <c r="AG8" i="12"/>
  <c r="AB8" i="12"/>
  <c r="R8" i="12"/>
  <c r="AB33" i="11"/>
  <c r="AA34" i="11"/>
  <c r="AA35" i="11" s="1"/>
  <c r="AA36" i="11" s="1"/>
  <c r="X73" i="12"/>
  <c r="Z29" i="13"/>
  <c r="Z30" i="13" s="1"/>
  <c r="AA28" i="13"/>
  <c r="Y31" i="13"/>
  <c r="Y33" i="13" s="1"/>
  <c r="Y64" i="36" s="1"/>
  <c r="Y32" i="13"/>
  <c r="Y73" i="14" s="1"/>
  <c r="Z31" i="15"/>
  <c r="L3" i="12"/>
  <c r="K1" i="52" s="1"/>
  <c r="M82" i="45" l="1"/>
  <c r="M26" i="45"/>
  <c r="M25" i="45"/>
  <c r="L37" i="46"/>
  <c r="V95" i="55"/>
  <c r="BA95" i="55"/>
  <c r="DM95" i="55" s="1"/>
  <c r="W72" i="36"/>
  <c r="CI38" i="58"/>
  <c r="W37" i="58" s="1"/>
  <c r="BC37" i="58" s="1"/>
  <c r="CI37" i="58" s="1"/>
  <c r="Z64" i="45"/>
  <c r="BF64" i="45" s="1"/>
  <c r="Z61" i="45"/>
  <c r="BF61" i="45" s="1"/>
  <c r="BF63" i="45" s="1"/>
  <c r="V96" i="55"/>
  <c r="BA96" i="55"/>
  <c r="DM96" i="55" s="1"/>
  <c r="AA40" i="11"/>
  <c r="AA66" i="45" s="1"/>
  <c r="BG66" i="45" s="1"/>
  <c r="AA39" i="11"/>
  <c r="AA37" i="11"/>
  <c r="AA38" i="11"/>
  <c r="AT21" i="45"/>
  <c r="AT23" i="45" s="1"/>
  <c r="AT24" i="45" s="1"/>
  <c r="P21" i="54"/>
  <c r="P23" i="54"/>
  <c r="P22" i="54"/>
  <c r="P25" i="54"/>
  <c r="N21" i="45"/>
  <c r="N23" i="45" s="1"/>
  <c r="Q24" i="54"/>
  <c r="R8" i="52"/>
  <c r="AF5" i="50"/>
  <c r="T4" i="51"/>
  <c r="T57" i="58" s="1"/>
  <c r="N157" i="54"/>
  <c r="O156" i="54"/>
  <c r="M66" i="54"/>
  <c r="N70" i="54"/>
  <c r="N69" i="54"/>
  <c r="N76" i="54" s="1"/>
  <c r="N77" i="54" s="1"/>
  <c r="O63" i="54"/>
  <c r="N65" i="54"/>
  <c r="N67" i="54"/>
  <c r="N64" i="54"/>
  <c r="N68" i="54"/>
  <c r="O147" i="53"/>
  <c r="N148" i="53"/>
  <c r="O156" i="53"/>
  <c r="N157" i="53"/>
  <c r="M77" i="53"/>
  <c r="N70" i="53"/>
  <c r="N68" i="53"/>
  <c r="N64" i="53"/>
  <c r="N67" i="53"/>
  <c r="N65" i="53"/>
  <c r="N69" i="53"/>
  <c r="N76" i="53" s="1"/>
  <c r="O63" i="53"/>
  <c r="N100" i="53"/>
  <c r="N101" i="53"/>
  <c r="N132" i="53"/>
  <c r="N131" i="53"/>
  <c r="M133" i="53"/>
  <c r="M135" i="53"/>
  <c r="M134" i="53"/>
  <c r="M104" i="53"/>
  <c r="M103" i="53"/>
  <c r="M105" i="53"/>
  <c r="M102" i="53"/>
  <c r="Q22" i="53"/>
  <c r="Q23" i="53"/>
  <c r="R24" i="53"/>
  <c r="Q21" i="53"/>
  <c r="Q25" i="53"/>
  <c r="AE3" i="50"/>
  <c r="S6" i="52" s="1"/>
  <c r="AX4" i="51"/>
  <c r="AX57" i="58" s="1"/>
  <c r="CN57" i="58" s="1"/>
  <c r="CN58" i="58" s="1"/>
  <c r="AV41" i="45"/>
  <c r="O38" i="48" s="1"/>
  <c r="AU42" i="45"/>
  <c r="M205" i="48"/>
  <c r="U48" i="45"/>
  <c r="L66" i="46"/>
  <c r="N38" i="48"/>
  <c r="AU43" i="45"/>
  <c r="AV18" i="45"/>
  <c r="AV20" i="45" s="1"/>
  <c r="P22" i="48"/>
  <c r="M143" i="48"/>
  <c r="M144" i="48"/>
  <c r="M145" i="48"/>
  <c r="L97" i="46"/>
  <c r="L96" i="46"/>
  <c r="L101" i="46" s="1"/>
  <c r="L94" i="46"/>
  <c r="L92" i="48"/>
  <c r="L93" i="46"/>
  <c r="L98" i="46" s="1"/>
  <c r="L95" i="46"/>
  <c r="L100" i="46" s="1"/>
  <c r="P25" i="48"/>
  <c r="L92" i="42"/>
  <c r="L89" i="42"/>
  <c r="L93" i="42" s="1"/>
  <c r="L91" i="42"/>
  <c r="L95" i="42" s="1"/>
  <c r="L90" i="42"/>
  <c r="L94" i="42" s="1"/>
  <c r="BA48" i="45"/>
  <c r="BA50" i="45" s="1"/>
  <c r="T39" i="48" s="1"/>
  <c r="M207" i="48"/>
  <c r="M206" i="48"/>
  <c r="M142" i="48"/>
  <c r="P23" i="48"/>
  <c r="K96" i="48"/>
  <c r="K101" i="48" s="1"/>
  <c r="K95" i="48"/>
  <c r="K100" i="48" s="1"/>
  <c r="K93" i="48"/>
  <c r="K98" i="48" s="1"/>
  <c r="K94" i="48"/>
  <c r="K97" i="48"/>
  <c r="Q24" i="48"/>
  <c r="N261" i="48"/>
  <c r="O260" i="48"/>
  <c r="O139" i="48"/>
  <c r="N141" i="48"/>
  <c r="N204" i="48"/>
  <c r="N203" i="48"/>
  <c r="N140" i="48"/>
  <c r="M69" i="46"/>
  <c r="M92" i="46" s="1"/>
  <c r="N63" i="46"/>
  <c r="M64" i="46"/>
  <c r="M68" i="46"/>
  <c r="M65" i="46"/>
  <c r="M70" i="46"/>
  <c r="M67" i="46"/>
  <c r="Q21" i="48"/>
  <c r="L91" i="38"/>
  <c r="L89" i="38"/>
  <c r="L90" i="38"/>
  <c r="M66" i="48"/>
  <c r="O63" i="48"/>
  <c r="N70" i="48"/>
  <c r="N68" i="48"/>
  <c r="N64" i="48"/>
  <c r="N67" i="48"/>
  <c r="N69" i="48"/>
  <c r="N65" i="48"/>
  <c r="O243" i="48"/>
  <c r="N244" i="48"/>
  <c r="S39" i="48"/>
  <c r="AZ52" i="45"/>
  <c r="AZ53" i="45"/>
  <c r="AZ51" i="45"/>
  <c r="AW40" i="45"/>
  <c r="AW39" i="45"/>
  <c r="AU19" i="45"/>
  <c r="AU20" i="45"/>
  <c r="O43" i="45"/>
  <c r="N38" i="46"/>
  <c r="AW17" i="45"/>
  <c r="AW69" i="45" s="1"/>
  <c r="BB47" i="45"/>
  <c r="BB49" i="45"/>
  <c r="BB46" i="45"/>
  <c r="BC45" i="45"/>
  <c r="L37" i="48"/>
  <c r="AS26" i="45"/>
  <c r="AS24" i="45"/>
  <c r="AS25" i="45"/>
  <c r="M142" i="46"/>
  <c r="M143" i="46"/>
  <c r="M145" i="46"/>
  <c r="M144" i="46"/>
  <c r="R21" i="46"/>
  <c r="M205" i="46"/>
  <c r="R24" i="46"/>
  <c r="O260" i="46"/>
  <c r="N261" i="46"/>
  <c r="Q22" i="46"/>
  <c r="M207" i="46"/>
  <c r="M206" i="46"/>
  <c r="O243" i="46"/>
  <c r="N244" i="46"/>
  <c r="Q23" i="46"/>
  <c r="V363" i="46"/>
  <c r="Q25" i="46"/>
  <c r="O139" i="46"/>
  <c r="N204" i="46"/>
  <c r="N203" i="46"/>
  <c r="N140" i="46"/>
  <c r="N141" i="46"/>
  <c r="AR82" i="45"/>
  <c r="O42" i="45"/>
  <c r="O95" i="45"/>
  <c r="O44" i="45"/>
  <c r="AT95" i="45"/>
  <c r="P41" i="45"/>
  <c r="AS82" i="45"/>
  <c r="Q17" i="45"/>
  <c r="Q69" i="45" s="1"/>
  <c r="R16" i="45"/>
  <c r="AX16" i="45" s="1"/>
  <c r="O20" i="45"/>
  <c r="O19" i="45"/>
  <c r="AU95" i="45"/>
  <c r="P18" i="45"/>
  <c r="R38" i="45"/>
  <c r="AX38" i="45" s="1"/>
  <c r="Q40" i="45"/>
  <c r="Q39" i="45"/>
  <c r="U50" i="45"/>
  <c r="T39" i="46" s="1"/>
  <c r="AY88" i="45"/>
  <c r="AY92" i="45"/>
  <c r="T52" i="45"/>
  <c r="T51" i="45"/>
  <c r="T92" i="45" s="1"/>
  <c r="T53" i="45"/>
  <c r="T88" i="45"/>
  <c r="W45" i="45"/>
  <c r="V46" i="45"/>
  <c r="V47" i="45"/>
  <c r="V49" i="45"/>
  <c r="L188" i="42"/>
  <c r="L187" i="42"/>
  <c r="N184" i="42"/>
  <c r="M185" i="42"/>
  <c r="M186" i="42"/>
  <c r="M188" i="42" s="1"/>
  <c r="Z72" i="12"/>
  <c r="Z63" i="36"/>
  <c r="AA72" i="14"/>
  <c r="Y63" i="45"/>
  <c r="BE63" i="36"/>
  <c r="BE68" i="36" s="1"/>
  <c r="BE75" i="36" s="1"/>
  <c r="Y68" i="36"/>
  <c r="Y75" i="36" s="1"/>
  <c r="BE64" i="36"/>
  <c r="Y65" i="36"/>
  <c r="Y66" i="36"/>
  <c r="Y73" i="36" s="1"/>
  <c r="BD66" i="36"/>
  <c r="BD73" i="36" s="1"/>
  <c r="BD65" i="36"/>
  <c r="BC71" i="36"/>
  <c r="BC72" i="36" s="1"/>
  <c r="BC106" i="36"/>
  <c r="X71" i="36"/>
  <c r="X106" i="36"/>
  <c r="M69" i="20"/>
  <c r="Q24" i="29"/>
  <c r="R21" i="29"/>
  <c r="L66" i="42"/>
  <c r="L66" i="38"/>
  <c r="Q21" i="38"/>
  <c r="P22" i="38"/>
  <c r="M187" i="38"/>
  <c r="M132" i="42"/>
  <c r="O129" i="42"/>
  <c r="N130" i="42"/>
  <c r="N131" i="42"/>
  <c r="O234" i="42"/>
  <c r="N235" i="42"/>
  <c r="M64" i="38"/>
  <c r="M67" i="38"/>
  <c r="M70" i="38"/>
  <c r="M68" i="38"/>
  <c r="M69" i="38"/>
  <c r="M88" i="38" s="1"/>
  <c r="M65" i="38"/>
  <c r="N63" i="38"/>
  <c r="M133" i="38"/>
  <c r="M134" i="38"/>
  <c r="M135" i="38"/>
  <c r="O129" i="38"/>
  <c r="N185" i="38"/>
  <c r="N186" i="38"/>
  <c r="N131" i="38"/>
  <c r="N130" i="38"/>
  <c r="P23" i="38"/>
  <c r="M134" i="42"/>
  <c r="M133" i="42"/>
  <c r="M135" i="42"/>
  <c r="M69" i="42"/>
  <c r="M88" i="42" s="1"/>
  <c r="M68" i="42"/>
  <c r="M65" i="42"/>
  <c r="M64" i="42"/>
  <c r="N63" i="42"/>
  <c r="M70" i="42"/>
  <c r="M67" i="42"/>
  <c r="N219" i="42"/>
  <c r="M220" i="42"/>
  <c r="M132" i="38"/>
  <c r="Q24" i="38"/>
  <c r="M189" i="38"/>
  <c r="M188" i="38"/>
  <c r="O219" i="38"/>
  <c r="N220" i="38"/>
  <c r="P25" i="38"/>
  <c r="O234" i="38"/>
  <c r="N235" i="38"/>
  <c r="Q23" i="28"/>
  <c r="R24" i="28"/>
  <c r="N268" i="19"/>
  <c r="O310" i="20"/>
  <c r="N86" i="28"/>
  <c r="N90" i="28"/>
  <c r="N87" i="28"/>
  <c r="N91" i="28"/>
  <c r="N88" i="28"/>
  <c r="O85" i="28"/>
  <c r="N89" i="28"/>
  <c r="M73" i="20"/>
  <c r="M72" i="20"/>
  <c r="M70" i="20"/>
  <c r="M71" i="20"/>
  <c r="N63" i="28"/>
  <c r="N67" i="28"/>
  <c r="O62" i="28"/>
  <c r="N66" i="28"/>
  <c r="N64" i="28"/>
  <c r="M65" i="28"/>
  <c r="S21" i="28"/>
  <c r="O66" i="20"/>
  <c r="N68" i="20"/>
  <c r="N67" i="20"/>
  <c r="N199" i="20"/>
  <c r="O198" i="20"/>
  <c r="R25" i="28"/>
  <c r="N124" i="20"/>
  <c r="N128" i="20"/>
  <c r="N123" i="20"/>
  <c r="N126" i="20"/>
  <c r="O122" i="20"/>
  <c r="N127" i="20"/>
  <c r="N125" i="20"/>
  <c r="Q22" i="28"/>
  <c r="N111" i="28"/>
  <c r="O110" i="28"/>
  <c r="Z50" i="15"/>
  <c r="Z53" i="15" s="1"/>
  <c r="Z137" i="15" s="1"/>
  <c r="Z126" i="15"/>
  <c r="X74" i="12"/>
  <c r="X219" i="12" s="1"/>
  <c r="X230" i="12" s="1"/>
  <c r="X76" i="12"/>
  <c r="X77" i="12"/>
  <c r="X80" i="12"/>
  <c r="X75" i="12"/>
  <c r="X78" i="12"/>
  <c r="X79" i="12"/>
  <c r="M212" i="20"/>
  <c r="Y74" i="14"/>
  <c r="Y219" i="14" s="1"/>
  <c r="Y230" i="14" s="1"/>
  <c r="Y80" i="14"/>
  <c r="Y76" i="14"/>
  <c r="Y75" i="14"/>
  <c r="Y79" i="14"/>
  <c r="Y78" i="14"/>
  <c r="Y77" i="14"/>
  <c r="AA72" i="12"/>
  <c r="AC33" i="11"/>
  <c r="AB34" i="11"/>
  <c r="AB35" i="11" s="1"/>
  <c r="AB36" i="11" s="1"/>
  <c r="AA29" i="13"/>
  <c r="AA30" i="13" s="1"/>
  <c r="AB28" i="13"/>
  <c r="Y73" i="12"/>
  <c r="Z31" i="13"/>
  <c r="Z33" i="13" s="1"/>
  <c r="Z64" i="36" s="1"/>
  <c r="Z32" i="13"/>
  <c r="Z73" i="14" s="1"/>
  <c r="AA31" i="15"/>
  <c r="M3" i="12"/>
  <c r="L1" i="52" s="1"/>
  <c r="M37" i="46" l="1"/>
  <c r="AT26" i="45"/>
  <c r="M37" i="48"/>
  <c r="AT25" i="45"/>
  <c r="N24" i="45"/>
  <c r="N25" i="45"/>
  <c r="N26" i="45"/>
  <c r="N82" i="45"/>
  <c r="X72" i="36"/>
  <c r="CJ38" i="58"/>
  <c r="X37" i="58" s="1"/>
  <c r="BD37" i="58" s="1"/>
  <c r="CJ37" i="58" s="1"/>
  <c r="AA61" i="45"/>
  <c r="BG61" i="45" s="1"/>
  <c r="BG63" i="45" s="1"/>
  <c r="AA64" i="45"/>
  <c r="BG64" i="45" s="1"/>
  <c r="BB96" i="55"/>
  <c r="DN96" i="55" s="1"/>
  <c r="W96" i="55"/>
  <c r="BB95" i="55"/>
  <c r="DN95" i="55" s="1"/>
  <c r="W95" i="55"/>
  <c r="AB37" i="11"/>
  <c r="AB40" i="11"/>
  <c r="AB66" i="45" s="1"/>
  <c r="BH66" i="45" s="1"/>
  <c r="AB39" i="11"/>
  <c r="AB38" i="11"/>
  <c r="Q21" i="54"/>
  <c r="Q25" i="54"/>
  <c r="R24" i="54"/>
  <c r="Q22" i="54"/>
  <c r="Q23" i="54"/>
  <c r="AV44" i="45"/>
  <c r="S8" i="52"/>
  <c r="AG5" i="50"/>
  <c r="U4" i="51"/>
  <c r="U57" i="58" s="1"/>
  <c r="O68" i="54"/>
  <c r="O67" i="54"/>
  <c r="O65" i="54"/>
  <c r="O64" i="54"/>
  <c r="O69" i="54"/>
  <c r="O76" i="54" s="1"/>
  <c r="O77" i="54" s="1"/>
  <c r="O70" i="54"/>
  <c r="P63" i="54"/>
  <c r="P156" i="54"/>
  <c r="O157" i="54"/>
  <c r="N66" i="54"/>
  <c r="N66" i="53"/>
  <c r="P147" i="53"/>
  <c r="O148" i="53"/>
  <c r="P156" i="53"/>
  <c r="O157" i="53"/>
  <c r="O65" i="53"/>
  <c r="P63" i="53"/>
  <c r="O67" i="53"/>
  <c r="O68" i="53"/>
  <c r="O69" i="53"/>
  <c r="O76" i="53" s="1"/>
  <c r="O70" i="53"/>
  <c r="O64" i="53"/>
  <c r="N77" i="53"/>
  <c r="N133" i="53"/>
  <c r="N135" i="53"/>
  <c r="N134" i="53"/>
  <c r="N104" i="53"/>
  <c r="N103" i="53"/>
  <c r="N105" i="53"/>
  <c r="N102" i="53"/>
  <c r="O100" i="53"/>
  <c r="O132" i="53"/>
  <c r="O101" i="53"/>
  <c r="O131" i="53"/>
  <c r="R25" i="53"/>
  <c r="R23" i="53"/>
  <c r="R21" i="53"/>
  <c r="R22" i="53"/>
  <c r="S24" i="53"/>
  <c r="AY4" i="51"/>
  <c r="AY57" i="58" s="1"/>
  <c r="CO57" i="58" s="1"/>
  <c r="CO58" i="58" s="1"/>
  <c r="AF3" i="50"/>
  <c r="T6" i="52" s="1"/>
  <c r="AV42" i="45"/>
  <c r="M189" i="42"/>
  <c r="AV43" i="45"/>
  <c r="AV19" i="45"/>
  <c r="V48" i="45"/>
  <c r="BA51" i="45"/>
  <c r="N142" i="48"/>
  <c r="AW41" i="45"/>
  <c r="AW43" i="45" s="1"/>
  <c r="M66" i="46"/>
  <c r="R21" i="48"/>
  <c r="P139" i="48"/>
  <c r="O203" i="48"/>
  <c r="O141" i="48"/>
  <c r="O204" i="48"/>
  <c r="O140" i="48"/>
  <c r="L93" i="48"/>
  <c r="L98" i="48" s="1"/>
  <c r="L97" i="48"/>
  <c r="L94" i="48"/>
  <c r="L96" i="48"/>
  <c r="L101" i="48" s="1"/>
  <c r="L95" i="48"/>
  <c r="L100" i="48" s="1"/>
  <c r="BA52" i="45"/>
  <c r="N205" i="48"/>
  <c r="P260" i="48"/>
  <c r="O261" i="48"/>
  <c r="R24" i="48"/>
  <c r="Q25" i="48"/>
  <c r="Q22" i="48"/>
  <c r="BA53" i="45"/>
  <c r="O67" i="48"/>
  <c r="O70" i="48"/>
  <c r="O68" i="48"/>
  <c r="P63" i="48"/>
  <c r="O64" i="48"/>
  <c r="O65" i="48"/>
  <c r="O69" i="48"/>
  <c r="O63" i="46"/>
  <c r="N65" i="46"/>
  <c r="N68" i="46"/>
  <c r="N67" i="46"/>
  <c r="N64" i="46"/>
  <c r="N69" i="46"/>
  <c r="N92" i="46" s="1"/>
  <c r="N70" i="46"/>
  <c r="N206" i="48"/>
  <c r="N207" i="48"/>
  <c r="M92" i="42"/>
  <c r="M90" i="42"/>
  <c r="M94" i="42" s="1"/>
  <c r="M91" i="42"/>
  <c r="M95" i="42" s="1"/>
  <c r="M89" i="42"/>
  <c r="M93" i="42" s="1"/>
  <c r="M90" i="38"/>
  <c r="M89" i="38"/>
  <c r="M91" i="38"/>
  <c r="O244" i="48"/>
  <c r="P243" i="48"/>
  <c r="N66" i="48"/>
  <c r="M97" i="46"/>
  <c r="M94" i="46"/>
  <c r="M92" i="48"/>
  <c r="M95" i="46"/>
  <c r="M100" i="46" s="1"/>
  <c r="M96" i="46"/>
  <c r="M101" i="46" s="1"/>
  <c r="M93" i="46"/>
  <c r="M98" i="46" s="1"/>
  <c r="N145" i="48"/>
  <c r="N143" i="48"/>
  <c r="N144" i="48"/>
  <c r="Q23" i="48"/>
  <c r="P42" i="45"/>
  <c r="O38" i="46"/>
  <c r="BC49" i="45"/>
  <c r="BC46" i="45"/>
  <c r="BC47" i="45"/>
  <c r="BD45" i="45"/>
  <c r="AW18" i="45"/>
  <c r="AU21" i="45"/>
  <c r="AX17" i="45"/>
  <c r="AX69" i="45" s="1"/>
  <c r="BB48" i="45"/>
  <c r="BB50" i="45" s="1"/>
  <c r="AX40" i="45"/>
  <c r="AX39" i="45"/>
  <c r="N207" i="46"/>
  <c r="N206" i="46"/>
  <c r="R23" i="46"/>
  <c r="N145" i="46"/>
  <c r="N144" i="46"/>
  <c r="N143" i="46"/>
  <c r="P139" i="46"/>
  <c r="O204" i="46"/>
  <c r="O140" i="46"/>
  <c r="O203" i="46"/>
  <c r="O141" i="46"/>
  <c r="R22" i="46"/>
  <c r="S24" i="46"/>
  <c r="N142" i="46"/>
  <c r="W363" i="46"/>
  <c r="X363" i="46" s="1"/>
  <c r="N205" i="46"/>
  <c r="R25" i="46"/>
  <c r="P243" i="46"/>
  <c r="O244" i="46"/>
  <c r="P260" i="46"/>
  <c r="O261" i="46"/>
  <c r="S21" i="46"/>
  <c r="P95" i="45"/>
  <c r="P43" i="45"/>
  <c r="Q41" i="45"/>
  <c r="O21" i="45"/>
  <c r="O23" i="45" s="1"/>
  <c r="P44" i="45"/>
  <c r="Q18" i="45"/>
  <c r="Q20" i="45" s="1"/>
  <c r="R39" i="45"/>
  <c r="S38" i="45"/>
  <c r="AY38" i="45" s="1"/>
  <c r="R40" i="45"/>
  <c r="P19" i="45"/>
  <c r="P20" i="45"/>
  <c r="S16" i="45"/>
  <c r="AY16" i="45" s="1"/>
  <c r="R17" i="45"/>
  <c r="R69" i="45" s="1"/>
  <c r="X45" i="45"/>
  <c r="W46" i="45"/>
  <c r="W47" i="45"/>
  <c r="W49" i="45"/>
  <c r="U51" i="45"/>
  <c r="U92" i="45" s="1"/>
  <c r="U53" i="45"/>
  <c r="U52" i="45"/>
  <c r="U88" i="45"/>
  <c r="AZ92" i="45"/>
  <c r="AZ88" i="45"/>
  <c r="M187" i="42"/>
  <c r="O184" i="42"/>
  <c r="N185" i="42"/>
  <c r="N186" i="42"/>
  <c r="N188" i="42" s="1"/>
  <c r="Z63" i="45"/>
  <c r="AB72" i="14"/>
  <c r="BF63" i="36"/>
  <c r="BF68" i="36" s="1"/>
  <c r="BF75" i="36" s="1"/>
  <c r="Z68" i="36"/>
  <c r="Z75" i="36" s="1"/>
  <c r="AA63" i="36"/>
  <c r="Y71" i="36"/>
  <c r="Y106" i="36"/>
  <c r="BF64" i="36"/>
  <c r="Z66" i="36"/>
  <c r="Z73" i="36" s="1"/>
  <c r="Z65" i="36"/>
  <c r="BD71" i="36"/>
  <c r="BD72" i="36" s="1"/>
  <c r="BD106" i="36"/>
  <c r="BE65" i="36"/>
  <c r="BE66" i="36"/>
  <c r="BE73" i="36" s="1"/>
  <c r="N69" i="20"/>
  <c r="S21" i="29"/>
  <c r="R24" i="29"/>
  <c r="N132" i="42"/>
  <c r="N189" i="38"/>
  <c r="N188" i="38"/>
  <c r="M66" i="38"/>
  <c r="Q25" i="38"/>
  <c r="O63" i="42"/>
  <c r="N65" i="42"/>
  <c r="N67" i="42"/>
  <c r="N64" i="42"/>
  <c r="N70" i="42"/>
  <c r="N68" i="42"/>
  <c r="N69" i="42"/>
  <c r="N88" i="42" s="1"/>
  <c r="N187" i="38"/>
  <c r="Q22" i="38"/>
  <c r="R21" i="38"/>
  <c r="P234" i="38"/>
  <c r="O235" i="38"/>
  <c r="R24" i="38"/>
  <c r="O219" i="42"/>
  <c r="N220" i="42"/>
  <c r="M66" i="42"/>
  <c r="Q23" i="38"/>
  <c r="N132" i="38"/>
  <c r="P129" i="38"/>
  <c r="O185" i="38"/>
  <c r="O186" i="38"/>
  <c r="O131" i="38"/>
  <c r="O130" i="38"/>
  <c r="N70" i="38"/>
  <c r="N67" i="38"/>
  <c r="N68" i="38"/>
  <c r="O63" i="38"/>
  <c r="N69" i="38"/>
  <c r="N88" i="38" s="1"/>
  <c r="N65" i="38"/>
  <c r="N64" i="38"/>
  <c r="P234" i="42"/>
  <c r="O235" i="42"/>
  <c r="N134" i="42"/>
  <c r="N133" i="42"/>
  <c r="N135" i="42"/>
  <c r="P129" i="42"/>
  <c r="O130" i="42"/>
  <c r="O131" i="42"/>
  <c r="P219" i="38"/>
  <c r="O220" i="38"/>
  <c r="N134" i="38"/>
  <c r="N135" i="38"/>
  <c r="N133" i="38"/>
  <c r="P310" i="20"/>
  <c r="O268" i="19"/>
  <c r="P198" i="20"/>
  <c r="O199" i="20"/>
  <c r="N65" i="28"/>
  <c r="O86" i="28"/>
  <c r="O91" i="28"/>
  <c r="O88" i="28"/>
  <c r="O89" i="28"/>
  <c r="O87" i="28"/>
  <c r="O90" i="28"/>
  <c r="P85" i="28"/>
  <c r="S24" i="28"/>
  <c r="O111" i="28"/>
  <c r="P110" i="28"/>
  <c r="O125" i="20"/>
  <c r="O128" i="20"/>
  <c r="O124" i="20"/>
  <c r="P122" i="20"/>
  <c r="O123" i="20"/>
  <c r="O127" i="20"/>
  <c r="O126" i="20"/>
  <c r="S25" i="28"/>
  <c r="N72" i="20"/>
  <c r="N73" i="20"/>
  <c r="N71" i="20"/>
  <c r="N70" i="20"/>
  <c r="R22" i="28"/>
  <c r="O67" i="20"/>
  <c r="P66" i="20"/>
  <c r="O68" i="20"/>
  <c r="T21" i="28"/>
  <c r="O64" i="28"/>
  <c r="O66" i="28"/>
  <c r="P62" i="28"/>
  <c r="O67" i="28"/>
  <c r="O63" i="28"/>
  <c r="R23" i="28"/>
  <c r="AA50" i="15"/>
  <c r="AA53" i="15" s="1"/>
  <c r="AA137" i="15" s="1"/>
  <c r="AA126" i="15"/>
  <c r="Y74" i="12"/>
  <c r="Y219" i="12" s="1"/>
  <c r="Y230" i="12" s="1"/>
  <c r="Y76" i="12"/>
  <c r="Y77" i="12"/>
  <c r="Y78" i="12"/>
  <c r="Y79" i="12"/>
  <c r="Y75" i="12"/>
  <c r="Y80" i="12"/>
  <c r="N212" i="20"/>
  <c r="Z74" i="14"/>
  <c r="Z219" i="14" s="1"/>
  <c r="Z230" i="14" s="1"/>
  <c r="Z77" i="14"/>
  <c r="Z78" i="14"/>
  <c r="Z75" i="14"/>
  <c r="Z80" i="14"/>
  <c r="Z79" i="14"/>
  <c r="Z76" i="14"/>
  <c r="AB72" i="12"/>
  <c r="AD33" i="11"/>
  <c r="AC34" i="11"/>
  <c r="AC35" i="11" s="1"/>
  <c r="AC36" i="11" s="1"/>
  <c r="Z73" i="12"/>
  <c r="AB29" i="13"/>
  <c r="AB30" i="13" s="1"/>
  <c r="AC28" i="13"/>
  <c r="AA31" i="13"/>
  <c r="AA33" i="13" s="1"/>
  <c r="AA64" i="36" s="1"/>
  <c r="AA32" i="13"/>
  <c r="AA73" i="14" s="1"/>
  <c r="AB31" i="15"/>
  <c r="N3" i="12"/>
  <c r="M1" i="52" s="1"/>
  <c r="V50" i="45" l="1"/>
  <c r="U39" i="46" s="1"/>
  <c r="AW44" i="45"/>
  <c r="AW42" i="45"/>
  <c r="O66" i="54"/>
  <c r="X95" i="55"/>
  <c r="BC95" i="55"/>
  <c r="DO95" i="55" s="1"/>
  <c r="AB61" i="45"/>
  <c r="BH61" i="45" s="1"/>
  <c r="BH63" i="45" s="1"/>
  <c r="AB64" i="45"/>
  <c r="BH64" i="45" s="1"/>
  <c r="AC37" i="11"/>
  <c r="AC40" i="11"/>
  <c r="AC66" i="45" s="1"/>
  <c r="BI66" i="45" s="1"/>
  <c r="AC39" i="11"/>
  <c r="AC38" i="11"/>
  <c r="Y72" i="36"/>
  <c r="CK38" i="58"/>
  <c r="Y37" i="58" s="1"/>
  <c r="BE37" i="58" s="1"/>
  <c r="CK37" i="58" s="1"/>
  <c r="X96" i="55"/>
  <c r="BC96" i="55"/>
  <c r="DO96" i="55" s="1"/>
  <c r="AV21" i="45"/>
  <c r="AV23" i="45" s="1"/>
  <c r="R22" i="54"/>
  <c r="R23" i="54"/>
  <c r="R21" i="54"/>
  <c r="R25" i="54"/>
  <c r="S24" i="54"/>
  <c r="AH5" i="50"/>
  <c r="V4" i="51"/>
  <c r="V57" i="58" s="1"/>
  <c r="T8" i="52"/>
  <c r="Q156" i="54"/>
  <c r="P157" i="54"/>
  <c r="P68" i="54"/>
  <c r="P69" i="54"/>
  <c r="P76" i="54" s="1"/>
  <c r="P77" i="54" s="1"/>
  <c r="P67" i="54"/>
  <c r="P64" i="54"/>
  <c r="P65" i="54"/>
  <c r="P70" i="54"/>
  <c r="Q63" i="54"/>
  <c r="O66" i="53"/>
  <c r="Q147" i="53"/>
  <c r="P148" i="53"/>
  <c r="Q156" i="53"/>
  <c r="P157" i="53"/>
  <c r="O77" i="53"/>
  <c r="Q63" i="53"/>
  <c r="P67" i="53"/>
  <c r="P64" i="53"/>
  <c r="P69" i="53"/>
  <c r="P76" i="53" s="1"/>
  <c r="P65" i="53"/>
  <c r="P68" i="53"/>
  <c r="P70" i="53"/>
  <c r="O135" i="53"/>
  <c r="O134" i="53"/>
  <c r="O102" i="53"/>
  <c r="P100" i="53"/>
  <c r="P101" i="53"/>
  <c r="P132" i="53"/>
  <c r="P131" i="53"/>
  <c r="P38" i="46"/>
  <c r="O133" i="53"/>
  <c r="O104" i="53"/>
  <c r="O105" i="53"/>
  <c r="O103" i="53"/>
  <c r="S23" i="53"/>
  <c r="S22" i="53"/>
  <c r="T24" i="53"/>
  <c r="S25" i="53"/>
  <c r="S21" i="53"/>
  <c r="V51" i="45"/>
  <c r="V92" i="45" s="1"/>
  <c r="AZ4" i="51"/>
  <c r="AZ57" i="58" s="1"/>
  <c r="CP57" i="58" s="1"/>
  <c r="CP58" i="58" s="1"/>
  <c r="AG3" i="50"/>
  <c r="U6" i="52" s="1"/>
  <c r="P38" i="48"/>
  <c r="AX41" i="45"/>
  <c r="AX43" i="45" s="1"/>
  <c r="V52" i="45"/>
  <c r="V88" i="45"/>
  <c r="V53" i="45"/>
  <c r="Q42" i="45"/>
  <c r="Q95" i="45"/>
  <c r="Q43" i="45"/>
  <c r="N66" i="46"/>
  <c r="AX18" i="45"/>
  <c r="AX19" i="45" s="1"/>
  <c r="Q44" i="45"/>
  <c r="O205" i="48"/>
  <c r="N89" i="38"/>
  <c r="N91" i="38"/>
  <c r="N90" i="38"/>
  <c r="Q243" i="48"/>
  <c r="P244" i="48"/>
  <c r="R22" i="48"/>
  <c r="M97" i="48"/>
  <c r="M95" i="48"/>
  <c r="M100" i="48" s="1"/>
  <c r="M93" i="48"/>
  <c r="M98" i="48" s="1"/>
  <c r="M96" i="48"/>
  <c r="M101" i="48" s="1"/>
  <c r="M94" i="48"/>
  <c r="O69" i="46"/>
  <c r="O92" i="46" s="1"/>
  <c r="P63" i="46"/>
  <c r="O64" i="46"/>
  <c r="O65" i="46"/>
  <c r="O68" i="46"/>
  <c r="O70" i="46"/>
  <c r="O67" i="46"/>
  <c r="S21" i="48"/>
  <c r="Q19" i="45"/>
  <c r="R23" i="48"/>
  <c r="O142" i="48"/>
  <c r="P140" i="48"/>
  <c r="Q139" i="48"/>
  <c r="P203" i="48"/>
  <c r="P141" i="48"/>
  <c r="P204" i="48"/>
  <c r="P65" i="48"/>
  <c r="P67" i="48"/>
  <c r="P68" i="48"/>
  <c r="P64" i="48"/>
  <c r="Q63" i="48"/>
  <c r="P69" i="48"/>
  <c r="P70" i="48"/>
  <c r="O143" i="48"/>
  <c r="O145" i="48"/>
  <c r="O144" i="48"/>
  <c r="N92" i="42"/>
  <c r="N91" i="42"/>
  <c r="N95" i="42" s="1"/>
  <c r="N89" i="42"/>
  <c r="N93" i="42" s="1"/>
  <c r="N90" i="42"/>
  <c r="N94" i="42" s="1"/>
  <c r="N92" i="48"/>
  <c r="N96" i="46"/>
  <c r="N101" i="46" s="1"/>
  <c r="N95" i="46"/>
  <c r="N100" i="46" s="1"/>
  <c r="N97" i="46"/>
  <c r="N93" i="46"/>
  <c r="N98" i="46" s="1"/>
  <c r="N94" i="46"/>
  <c r="O66" i="48"/>
  <c r="R25" i="48"/>
  <c r="S24" i="48"/>
  <c r="Q260" i="48"/>
  <c r="P261" i="48"/>
  <c r="O207" i="48"/>
  <c r="O206" i="48"/>
  <c r="AY17" i="45"/>
  <c r="AY69" i="45" s="1"/>
  <c r="AY39" i="45"/>
  <c r="AY40" i="45"/>
  <c r="AU23" i="45"/>
  <c r="BC48" i="45"/>
  <c r="BC50" i="45" s="1"/>
  <c r="AX20" i="45"/>
  <c r="BD46" i="45"/>
  <c r="BD47" i="45"/>
  <c r="BD49" i="45"/>
  <c r="BE45" i="45"/>
  <c r="O26" i="45"/>
  <c r="N37" i="46"/>
  <c r="BB52" i="45"/>
  <c r="U39" i="48"/>
  <c r="BB53" i="45"/>
  <c r="BB51" i="45"/>
  <c r="AW19" i="45"/>
  <c r="AW20" i="45"/>
  <c r="O205" i="46"/>
  <c r="O65" i="28"/>
  <c r="T21" i="46"/>
  <c r="S25" i="46"/>
  <c r="O142" i="46"/>
  <c r="Y363" i="46"/>
  <c r="T24" i="46"/>
  <c r="S22" i="46"/>
  <c r="O207" i="46"/>
  <c r="O206" i="46"/>
  <c r="S23" i="46"/>
  <c r="Q260" i="46"/>
  <c r="P261" i="46"/>
  <c r="Q243" i="46"/>
  <c r="P244" i="46"/>
  <c r="O144" i="46"/>
  <c r="O143" i="46"/>
  <c r="O145" i="46"/>
  <c r="Q139" i="46"/>
  <c r="P204" i="46"/>
  <c r="P141" i="46"/>
  <c r="P140" i="46"/>
  <c r="P203" i="46"/>
  <c r="AV95" i="45"/>
  <c r="O24" i="45"/>
  <c r="O25" i="45"/>
  <c r="O82" i="45"/>
  <c r="R41" i="45"/>
  <c r="R18" i="45"/>
  <c r="R20" i="45" s="1"/>
  <c r="T16" i="45"/>
  <c r="AZ16" i="45" s="1"/>
  <c r="S17" i="45"/>
  <c r="S69" i="45" s="1"/>
  <c r="P21" i="45"/>
  <c r="P23" i="45" s="1"/>
  <c r="T38" i="45"/>
  <c r="AZ38" i="45" s="1"/>
  <c r="S40" i="45"/>
  <c r="S39" i="45"/>
  <c r="AT82" i="45"/>
  <c r="BA88" i="45"/>
  <c r="BA92" i="45"/>
  <c r="W48" i="45"/>
  <c r="W50" i="45" s="1"/>
  <c r="V39" i="46" s="1"/>
  <c r="Y45" i="45"/>
  <c r="X46" i="45"/>
  <c r="X47" i="45"/>
  <c r="X49" i="45"/>
  <c r="N187" i="42"/>
  <c r="N189" i="42"/>
  <c r="P184" i="42"/>
  <c r="O186" i="42"/>
  <c r="O189" i="42" s="1"/>
  <c r="O185" i="42"/>
  <c r="AC72" i="14"/>
  <c r="AA63" i="45"/>
  <c r="AB63" i="36"/>
  <c r="BG63" i="36"/>
  <c r="BG68" i="36" s="1"/>
  <c r="BG75" i="36" s="1"/>
  <c r="AA68" i="36"/>
  <c r="AA75" i="36" s="1"/>
  <c r="BE71" i="36"/>
  <c r="BE72" i="36" s="1"/>
  <c r="BE106" i="36"/>
  <c r="BG64" i="36"/>
  <c r="AA65" i="36"/>
  <c r="AA66" i="36"/>
  <c r="AA73" i="36" s="1"/>
  <c r="BF66" i="36"/>
  <c r="BF73" i="36" s="1"/>
  <c r="BF65" i="36"/>
  <c r="Z71" i="36"/>
  <c r="Z106" i="36"/>
  <c r="S24" i="29"/>
  <c r="T21" i="29"/>
  <c r="O133" i="38"/>
  <c r="O135" i="38"/>
  <c r="O134" i="38"/>
  <c r="S24" i="38"/>
  <c r="O189" i="38"/>
  <c r="O188" i="38"/>
  <c r="Q234" i="38"/>
  <c r="P235" i="38"/>
  <c r="S21" i="38"/>
  <c r="N66" i="42"/>
  <c r="R25" i="38"/>
  <c r="O134" i="42"/>
  <c r="O133" i="42"/>
  <c r="O135" i="42"/>
  <c r="R23" i="38"/>
  <c r="Q219" i="38"/>
  <c r="P220" i="38"/>
  <c r="Q129" i="42"/>
  <c r="P131" i="42"/>
  <c r="P130" i="42"/>
  <c r="O187" i="38"/>
  <c r="O132" i="42"/>
  <c r="Q234" i="42"/>
  <c r="P235" i="42"/>
  <c r="O69" i="38"/>
  <c r="O88" i="38" s="1"/>
  <c r="O65" i="38"/>
  <c r="P63" i="38"/>
  <c r="O64" i="38"/>
  <c r="O68" i="38"/>
  <c r="O70" i="38"/>
  <c r="O67" i="38"/>
  <c r="O132" i="38"/>
  <c r="Q129" i="38"/>
  <c r="P185" i="38"/>
  <c r="P186" i="38"/>
  <c r="P130" i="38"/>
  <c r="P131" i="38"/>
  <c r="P219" i="42"/>
  <c r="O220" i="42"/>
  <c r="R22" i="38"/>
  <c r="N66" i="38"/>
  <c r="O68" i="42"/>
  <c r="O65" i="42"/>
  <c r="O69" i="42"/>
  <c r="O88" i="42" s="1"/>
  <c r="O64" i="42"/>
  <c r="P63" i="42"/>
  <c r="O70" i="42"/>
  <c r="O67" i="42"/>
  <c r="P63" i="28"/>
  <c r="Q62" i="28"/>
  <c r="P66" i="28"/>
  <c r="P64" i="28"/>
  <c r="P67" i="28"/>
  <c r="U21" i="28"/>
  <c r="T25" i="28"/>
  <c r="P123" i="20"/>
  <c r="Q122" i="20"/>
  <c r="P128" i="20"/>
  <c r="P124" i="20"/>
  <c r="P127" i="20"/>
  <c r="P125" i="20"/>
  <c r="P126" i="20"/>
  <c r="O70" i="20"/>
  <c r="O71" i="20"/>
  <c r="O73" i="20"/>
  <c r="O72" i="20"/>
  <c r="T24" i="28"/>
  <c r="P268" i="19"/>
  <c r="Q310" i="20"/>
  <c r="P67" i="20"/>
  <c r="P68" i="20"/>
  <c r="Q66" i="20"/>
  <c r="Q110" i="28"/>
  <c r="P111" i="28"/>
  <c r="P88" i="28"/>
  <c r="P90" i="28"/>
  <c r="P87" i="28"/>
  <c r="P86" i="28"/>
  <c r="P89" i="28"/>
  <c r="Q85" i="28"/>
  <c r="P91" i="28"/>
  <c r="S23" i="28"/>
  <c r="O69" i="20"/>
  <c r="S22" i="28"/>
  <c r="P199" i="20"/>
  <c r="Q198" i="20"/>
  <c r="AB50" i="15"/>
  <c r="AB53" i="15" s="1"/>
  <c r="AB137" i="15" s="1"/>
  <c r="AB126" i="15"/>
  <c r="Z74" i="12"/>
  <c r="Z219" i="12" s="1"/>
  <c r="Z230" i="12" s="1"/>
  <c r="Z75" i="12"/>
  <c r="Z78" i="12"/>
  <c r="Z80" i="12"/>
  <c r="Z79" i="12"/>
  <c r="Z76" i="12"/>
  <c r="Z77" i="12"/>
  <c r="O212" i="20"/>
  <c r="AA74" i="14"/>
  <c r="AA219" i="14" s="1"/>
  <c r="AA230" i="14" s="1"/>
  <c r="AA80" i="14"/>
  <c r="AA76" i="14"/>
  <c r="AA78" i="14"/>
  <c r="AA75" i="14"/>
  <c r="AA77" i="14"/>
  <c r="AA79" i="14"/>
  <c r="AC72" i="12"/>
  <c r="AE33" i="11"/>
  <c r="AD34" i="11"/>
  <c r="AD35" i="11" s="1"/>
  <c r="AD36" i="11" s="1"/>
  <c r="AC29" i="13"/>
  <c r="AC30" i="13" s="1"/>
  <c r="AD28" i="13"/>
  <c r="AB31" i="13"/>
  <c r="AB33" i="13" s="1"/>
  <c r="AB64" i="36" s="1"/>
  <c r="AB32" i="13"/>
  <c r="AB73" i="14" s="1"/>
  <c r="AA73" i="12"/>
  <c r="AC31" i="15"/>
  <c r="O3" i="12"/>
  <c r="N1" i="52" s="1"/>
  <c r="AV24" i="45" l="1"/>
  <c r="O37" i="48"/>
  <c r="AV25" i="45"/>
  <c r="AV26" i="45"/>
  <c r="Z72" i="36"/>
  <c r="CL38" i="58"/>
  <c r="Z37" i="58" s="1"/>
  <c r="BF37" i="58" s="1"/>
  <c r="CL37" i="58" s="1"/>
  <c r="Y96" i="55"/>
  <c r="BD96" i="55"/>
  <c r="DP96" i="55" s="1"/>
  <c r="Y95" i="55"/>
  <c r="BD95" i="55"/>
  <c r="DP95" i="55" s="1"/>
  <c r="AC61" i="45"/>
  <c r="BI61" i="45" s="1"/>
  <c r="BI63" i="45" s="1"/>
  <c r="AC64" i="45"/>
  <c r="BI64" i="45" s="1"/>
  <c r="AD40" i="11"/>
  <c r="AD66" i="45" s="1"/>
  <c r="BJ66" i="45" s="1"/>
  <c r="AD37" i="11"/>
  <c r="AD39" i="11"/>
  <c r="AD38" i="11"/>
  <c r="T24" i="54"/>
  <c r="S25" i="54"/>
  <c r="S22" i="54"/>
  <c r="Q21" i="45"/>
  <c r="Q23" i="45" s="1"/>
  <c r="Q82" i="45" s="1"/>
  <c r="S21" i="54"/>
  <c r="S23" i="54"/>
  <c r="U8" i="52"/>
  <c r="AI5" i="50"/>
  <c r="W4" i="51"/>
  <c r="W57" i="58" s="1"/>
  <c r="P66" i="54"/>
  <c r="Q67" i="54"/>
  <c r="Q70" i="54"/>
  <c r="Q68" i="54"/>
  <c r="Q65" i="54"/>
  <c r="Q64" i="54"/>
  <c r="R63" i="54"/>
  <c r="Q69" i="54"/>
  <c r="Q76" i="54" s="1"/>
  <c r="Q77" i="54" s="1"/>
  <c r="R156" i="54"/>
  <c r="Q157" i="54"/>
  <c r="R147" i="53"/>
  <c r="Q148" i="53"/>
  <c r="R156" i="53"/>
  <c r="Q157" i="53"/>
  <c r="P77" i="53"/>
  <c r="P66" i="53"/>
  <c r="Q68" i="53"/>
  <c r="Q69" i="53"/>
  <c r="Q76" i="53" s="1"/>
  <c r="Q67" i="53"/>
  <c r="Q64" i="53"/>
  <c r="Q70" i="53"/>
  <c r="R63" i="53"/>
  <c r="Q65" i="53"/>
  <c r="P102" i="53"/>
  <c r="O37" i="46"/>
  <c r="Q100" i="53"/>
  <c r="Q101" i="53"/>
  <c r="Q132" i="53"/>
  <c r="Q131" i="53"/>
  <c r="P133" i="53"/>
  <c r="P135" i="53"/>
  <c r="P134" i="53"/>
  <c r="P104" i="53"/>
  <c r="P105" i="53"/>
  <c r="P103" i="53"/>
  <c r="U24" i="53"/>
  <c r="T23" i="53"/>
  <c r="T21" i="53"/>
  <c r="T22" i="53"/>
  <c r="T25" i="53"/>
  <c r="Q38" i="48"/>
  <c r="BA4" i="51"/>
  <c r="BA57" i="58" s="1"/>
  <c r="CQ57" i="58" s="1"/>
  <c r="CQ58" i="58" s="1"/>
  <c r="AH3" i="50"/>
  <c r="V6" i="52" s="1"/>
  <c r="AX44" i="45"/>
  <c r="AY41" i="45"/>
  <c r="AY44" i="45" s="1"/>
  <c r="AX42" i="45"/>
  <c r="P142" i="48"/>
  <c r="O66" i="46"/>
  <c r="S23" i="48"/>
  <c r="O90" i="38"/>
  <c r="O91" i="38"/>
  <c r="O89" i="38"/>
  <c r="AW21" i="45"/>
  <c r="AW23" i="45" s="1"/>
  <c r="AW24" i="45" s="1"/>
  <c r="T24" i="48"/>
  <c r="P145" i="48"/>
  <c r="P143" i="48"/>
  <c r="P144" i="48"/>
  <c r="P68" i="46"/>
  <c r="P64" i="46"/>
  <c r="Q63" i="46"/>
  <c r="P70" i="46"/>
  <c r="P67" i="46"/>
  <c r="P69" i="46"/>
  <c r="P92" i="46" s="1"/>
  <c r="P65" i="46"/>
  <c r="N96" i="48"/>
  <c r="N101" i="48" s="1"/>
  <c r="N93" i="48"/>
  <c r="N98" i="48" s="1"/>
  <c r="N95" i="48"/>
  <c r="N100" i="48" s="1"/>
  <c r="N97" i="48"/>
  <c r="N94" i="48"/>
  <c r="Q69" i="48"/>
  <c r="Q65" i="48"/>
  <c r="R63" i="48"/>
  <c r="Q64" i="48"/>
  <c r="Q70" i="48"/>
  <c r="Q67" i="48"/>
  <c r="Q68" i="48"/>
  <c r="P205" i="48"/>
  <c r="O96" i="46"/>
  <c r="O101" i="46" s="1"/>
  <c r="O94" i="46"/>
  <c r="O93" i="46"/>
  <c r="O98" i="46" s="1"/>
  <c r="O97" i="46"/>
  <c r="O95" i="46"/>
  <c r="O100" i="46" s="1"/>
  <c r="O92" i="48"/>
  <c r="S22" i="48"/>
  <c r="P207" i="48"/>
  <c r="P206" i="48"/>
  <c r="R243" i="48"/>
  <c r="Q244" i="48"/>
  <c r="O92" i="42"/>
  <c r="O89" i="42"/>
  <c r="O93" i="42" s="1"/>
  <c r="O90" i="42"/>
  <c r="O94" i="42" s="1"/>
  <c r="O91" i="42"/>
  <c r="AY18" i="45"/>
  <c r="AY20" i="45" s="1"/>
  <c r="Q261" i="48"/>
  <c r="R260" i="48"/>
  <c r="S25" i="48"/>
  <c r="P66" i="48"/>
  <c r="Q140" i="48"/>
  <c r="Q204" i="48"/>
  <c r="Q203" i="48"/>
  <c r="R139" i="48"/>
  <c r="Q141" i="48"/>
  <c r="T21" i="48"/>
  <c r="AZ17" i="45"/>
  <c r="AZ69" i="45" s="1"/>
  <c r="R44" i="45"/>
  <c r="Q38" i="46"/>
  <c r="BD48" i="45"/>
  <c r="BD50" i="45" s="1"/>
  <c r="N37" i="48"/>
  <c r="AU25" i="45"/>
  <c r="AU26" i="45"/>
  <c r="AU24" i="45"/>
  <c r="AX21" i="45"/>
  <c r="AZ39" i="45"/>
  <c r="AZ40" i="45"/>
  <c r="AU82" i="45"/>
  <c r="BE46" i="45"/>
  <c r="BE47" i="45"/>
  <c r="BE49" i="45"/>
  <c r="BF45" i="45"/>
  <c r="V39" i="48"/>
  <c r="BC53" i="45"/>
  <c r="BC51" i="45"/>
  <c r="BC52" i="45"/>
  <c r="P142" i="46"/>
  <c r="P145" i="46"/>
  <c r="P144" i="46"/>
  <c r="P143" i="46"/>
  <c r="R260" i="46"/>
  <c r="Q261" i="46"/>
  <c r="U24" i="46"/>
  <c r="T25" i="46"/>
  <c r="P207" i="46"/>
  <c r="P206" i="46"/>
  <c r="P205" i="46"/>
  <c r="R139" i="46"/>
  <c r="Q204" i="46"/>
  <c r="Q203" i="46"/>
  <c r="Q140" i="46"/>
  <c r="Q141" i="46"/>
  <c r="R243" i="46"/>
  <c r="Q244" i="46"/>
  <c r="T23" i="46"/>
  <c r="T22" i="46"/>
  <c r="Z363" i="46"/>
  <c r="U21" i="46"/>
  <c r="R95" i="45"/>
  <c r="R19" i="45"/>
  <c r="R42" i="45"/>
  <c r="AW95" i="45"/>
  <c r="R43" i="45"/>
  <c r="S41" i="45"/>
  <c r="T40" i="45"/>
  <c r="U38" i="45"/>
  <c r="BA38" i="45" s="1"/>
  <c r="T39" i="45"/>
  <c r="P25" i="45"/>
  <c r="P82" i="45"/>
  <c r="P24" i="45"/>
  <c r="P26" i="45"/>
  <c r="S18" i="45"/>
  <c r="AV82" i="45"/>
  <c r="AX95" i="45"/>
  <c r="T17" i="45"/>
  <c r="T69" i="45" s="1"/>
  <c r="U16" i="45"/>
  <c r="BA16" i="45" s="1"/>
  <c r="BC92" i="45"/>
  <c r="BC88" i="45"/>
  <c r="BB88" i="45"/>
  <c r="BB92" i="45"/>
  <c r="W52" i="45"/>
  <c r="W51" i="45"/>
  <c r="W92" i="45" s="1"/>
  <c r="W53" i="45"/>
  <c r="W88" i="45"/>
  <c r="X48" i="45"/>
  <c r="X50" i="45" s="1"/>
  <c r="W39" i="46" s="1"/>
  <c r="Z45" i="45"/>
  <c r="Y46" i="45"/>
  <c r="Y47" i="45"/>
  <c r="Y49" i="45"/>
  <c r="O188" i="42"/>
  <c r="O187" i="42"/>
  <c r="Q184" i="42"/>
  <c r="P186" i="42"/>
  <c r="P188" i="42" s="1"/>
  <c r="P185" i="42"/>
  <c r="AC63" i="36"/>
  <c r="AD72" i="14"/>
  <c r="AB63" i="45"/>
  <c r="BH63" i="36"/>
  <c r="BH68" i="36" s="1"/>
  <c r="BH75" i="36" s="1"/>
  <c r="AB68" i="36"/>
  <c r="AB75" i="36" s="1"/>
  <c r="BF71" i="36"/>
  <c r="BF72" i="36" s="1"/>
  <c r="BF106" i="36"/>
  <c r="BG65" i="36"/>
  <c r="BG66" i="36"/>
  <c r="BG73" i="36" s="1"/>
  <c r="BH64" i="36"/>
  <c r="AB65" i="36"/>
  <c r="AB66" i="36"/>
  <c r="AB73" i="36" s="1"/>
  <c r="AA71" i="36"/>
  <c r="AA106" i="36"/>
  <c r="T24" i="29"/>
  <c r="U21" i="29"/>
  <c r="O66" i="42"/>
  <c r="O95" i="42"/>
  <c r="Q219" i="42"/>
  <c r="P220" i="42"/>
  <c r="P187" i="38"/>
  <c r="P132" i="42"/>
  <c r="R129" i="42"/>
  <c r="Q130" i="42"/>
  <c r="Q131" i="42"/>
  <c r="T24" i="38"/>
  <c r="P133" i="38"/>
  <c r="P134" i="38"/>
  <c r="P135" i="38"/>
  <c r="R129" i="38"/>
  <c r="Q185" i="38"/>
  <c r="Q186" i="38"/>
  <c r="Q131" i="38"/>
  <c r="Q130" i="38"/>
  <c r="P134" i="42"/>
  <c r="P133" i="42"/>
  <c r="P135" i="42"/>
  <c r="S25" i="38"/>
  <c r="T21" i="38"/>
  <c r="P70" i="42"/>
  <c r="P65" i="42"/>
  <c r="P67" i="42"/>
  <c r="P69" i="42"/>
  <c r="P88" i="42" s="1"/>
  <c r="P68" i="42"/>
  <c r="Q63" i="42"/>
  <c r="P64" i="42"/>
  <c r="S22" i="38"/>
  <c r="P132" i="38"/>
  <c r="O66" i="38"/>
  <c r="R219" i="38"/>
  <c r="Q220" i="38"/>
  <c r="S23" i="38"/>
  <c r="P189" i="38"/>
  <c r="P188" i="38"/>
  <c r="Q63" i="38"/>
  <c r="P70" i="38"/>
  <c r="P68" i="38"/>
  <c r="P65" i="38"/>
  <c r="P67" i="38"/>
  <c r="P64" i="38"/>
  <c r="P69" i="38"/>
  <c r="P88" i="38" s="1"/>
  <c r="R234" i="42"/>
  <c r="Q235" i="42"/>
  <c r="R234" i="38"/>
  <c r="Q235" i="38"/>
  <c r="P69" i="20"/>
  <c r="T22" i="28"/>
  <c r="P70" i="20"/>
  <c r="P73" i="20"/>
  <c r="P71" i="20"/>
  <c r="P72" i="20"/>
  <c r="R110" i="28"/>
  <c r="Q111" i="28"/>
  <c r="U24" i="28"/>
  <c r="Q124" i="20"/>
  <c r="Q127" i="20"/>
  <c r="Q125" i="20"/>
  <c r="Q123" i="20"/>
  <c r="R122" i="20"/>
  <c r="Q126" i="20"/>
  <c r="Q128" i="20"/>
  <c r="R85" i="28"/>
  <c r="Q89" i="28"/>
  <c r="Q86" i="28"/>
  <c r="Q90" i="28"/>
  <c r="Q87" i="28"/>
  <c r="Q91" i="28"/>
  <c r="Q88" i="28"/>
  <c r="Q268" i="19"/>
  <c r="R310" i="20"/>
  <c r="V21" i="28"/>
  <c r="Q67" i="28"/>
  <c r="Q63" i="28"/>
  <c r="Q66" i="28"/>
  <c r="R62" i="28"/>
  <c r="Q64" i="28"/>
  <c r="R198" i="20"/>
  <c r="Q199" i="20"/>
  <c r="T23" i="28"/>
  <c r="R66" i="20"/>
  <c r="Q67" i="20"/>
  <c r="Q68" i="20"/>
  <c r="U25" i="28"/>
  <c r="P65" i="28"/>
  <c r="AC50" i="15"/>
  <c r="AC53" i="15" s="1"/>
  <c r="AC137" i="15" s="1"/>
  <c r="AC126" i="15"/>
  <c r="AA74" i="12"/>
  <c r="AA219" i="12" s="1"/>
  <c r="AA230" i="12" s="1"/>
  <c r="AA75" i="12"/>
  <c r="AA78" i="12"/>
  <c r="AA77" i="12"/>
  <c r="AA80" i="12"/>
  <c r="AA79" i="12"/>
  <c r="AA76" i="12"/>
  <c r="P212" i="20"/>
  <c r="AB74" i="14"/>
  <c r="AB219" i="14" s="1"/>
  <c r="AB230" i="14" s="1"/>
  <c r="AB75" i="14"/>
  <c r="AB80" i="14"/>
  <c r="AB79" i="14"/>
  <c r="AB77" i="14"/>
  <c r="AB78" i="14"/>
  <c r="AB76" i="14"/>
  <c r="AD72" i="12"/>
  <c r="AF33" i="11"/>
  <c r="AE34" i="11"/>
  <c r="AE35" i="11" s="1"/>
  <c r="AE36" i="11" s="1"/>
  <c r="AD29" i="13"/>
  <c r="AD30" i="13" s="1"/>
  <c r="AE28" i="13"/>
  <c r="AB73" i="12"/>
  <c r="AC31" i="13"/>
  <c r="AC33" i="13" s="1"/>
  <c r="AC64" i="36" s="1"/>
  <c r="AC32" i="13"/>
  <c r="AC73" i="14" s="1"/>
  <c r="AD31" i="15"/>
  <c r="P3" i="12"/>
  <c r="O1" i="52" s="1"/>
  <c r="AY42" i="45" l="1"/>
  <c r="AY43" i="45"/>
  <c r="Q25" i="45"/>
  <c r="P37" i="46"/>
  <c r="Q26" i="45"/>
  <c r="Q24" i="45"/>
  <c r="Z95" i="55"/>
  <c r="BE95" i="55"/>
  <c r="DQ95" i="55" s="1"/>
  <c r="AA72" i="36"/>
  <c r="CM38" i="58"/>
  <c r="AA37" i="58" s="1"/>
  <c r="BG37" i="58" s="1"/>
  <c r="CM37" i="58" s="1"/>
  <c r="AD61" i="45"/>
  <c r="BJ61" i="45" s="1"/>
  <c r="BJ63" i="45" s="1"/>
  <c r="AD64" i="45"/>
  <c r="BJ64" i="45" s="1"/>
  <c r="Z96" i="55"/>
  <c r="BE96" i="55"/>
  <c r="DQ96" i="55" s="1"/>
  <c r="AE39" i="11"/>
  <c r="AE37" i="11"/>
  <c r="AE40" i="11"/>
  <c r="AE66" i="45" s="1"/>
  <c r="BK66" i="45" s="1"/>
  <c r="AE38" i="11"/>
  <c r="R21" i="45"/>
  <c r="R23" i="45" s="1"/>
  <c r="Q37" i="46" s="1"/>
  <c r="R38" i="48"/>
  <c r="T21" i="54"/>
  <c r="T23" i="54"/>
  <c r="T25" i="54"/>
  <c r="U24" i="54"/>
  <c r="T22" i="54"/>
  <c r="Q66" i="54"/>
  <c r="V8" i="52"/>
  <c r="AJ5" i="50"/>
  <c r="X4" i="51"/>
  <c r="X57" i="58" s="1"/>
  <c r="R69" i="54"/>
  <c r="R76" i="54" s="1"/>
  <c r="R77" i="54" s="1"/>
  <c r="S63" i="54"/>
  <c r="R68" i="54"/>
  <c r="R65" i="54"/>
  <c r="R64" i="54"/>
  <c r="R67" i="54"/>
  <c r="R70" i="54"/>
  <c r="R157" i="54"/>
  <c r="S156" i="54"/>
  <c r="S147" i="53"/>
  <c r="R148" i="53"/>
  <c r="S156" i="53"/>
  <c r="R157" i="53"/>
  <c r="Q77" i="53"/>
  <c r="R68" i="53"/>
  <c r="R64" i="53"/>
  <c r="R65" i="53"/>
  <c r="S63" i="53"/>
  <c r="R67" i="53"/>
  <c r="R69" i="53"/>
  <c r="R76" i="53" s="1"/>
  <c r="R70" i="53"/>
  <c r="Q66" i="53"/>
  <c r="AY19" i="45"/>
  <c r="Q133" i="53"/>
  <c r="Q104" i="53"/>
  <c r="Q103" i="53"/>
  <c r="Q105" i="53"/>
  <c r="Q102" i="53"/>
  <c r="Q135" i="53"/>
  <c r="Q134" i="53"/>
  <c r="R100" i="53"/>
  <c r="R101" i="53"/>
  <c r="R132" i="53"/>
  <c r="R131" i="53"/>
  <c r="U22" i="53"/>
  <c r="U25" i="53"/>
  <c r="U21" i="53"/>
  <c r="U23" i="53"/>
  <c r="V24" i="53"/>
  <c r="BB4" i="51"/>
  <c r="BB57" i="58" s="1"/>
  <c r="CR57" i="58" s="1"/>
  <c r="CR58" i="58" s="1"/>
  <c r="AI3" i="50"/>
  <c r="W6" i="52" s="1"/>
  <c r="Q66" i="48"/>
  <c r="AW26" i="45"/>
  <c r="AZ41" i="45"/>
  <c r="S38" i="48" s="1"/>
  <c r="P37" i="48"/>
  <c r="P66" i="46"/>
  <c r="AW25" i="45"/>
  <c r="S139" i="48"/>
  <c r="R203" i="48"/>
  <c r="R204" i="48"/>
  <c r="R141" i="48"/>
  <c r="R140" i="48"/>
  <c r="T25" i="48"/>
  <c r="S63" i="48"/>
  <c r="R68" i="48"/>
  <c r="R69" i="48"/>
  <c r="R70" i="48"/>
  <c r="R67" i="48"/>
  <c r="R64" i="48"/>
  <c r="R65" i="48"/>
  <c r="AZ18" i="45"/>
  <c r="AZ20" i="45" s="1"/>
  <c r="Q205" i="48"/>
  <c r="R261" i="48"/>
  <c r="S260" i="48"/>
  <c r="U24" i="48"/>
  <c r="T23" i="48"/>
  <c r="P91" i="38"/>
  <c r="P89" i="38"/>
  <c r="P90" i="38"/>
  <c r="U21" i="48"/>
  <c r="Q206" i="48"/>
  <c r="Q207" i="48"/>
  <c r="S243" i="48"/>
  <c r="R244" i="48"/>
  <c r="Q70" i="46"/>
  <c r="Q67" i="46"/>
  <c r="Q69" i="46"/>
  <c r="Q92" i="46" s="1"/>
  <c r="Q64" i="46"/>
  <c r="R63" i="46"/>
  <c r="Q68" i="46"/>
  <c r="Q65" i="46"/>
  <c r="O97" i="48"/>
  <c r="O94" i="48"/>
  <c r="O96" i="48"/>
  <c r="O101" i="48" s="1"/>
  <c r="O95" i="48"/>
  <c r="O100" i="48" s="1"/>
  <c r="O93" i="48"/>
  <c r="O98" i="48" s="1"/>
  <c r="P92" i="42"/>
  <c r="P89" i="42"/>
  <c r="P93" i="42" s="1"/>
  <c r="P90" i="42"/>
  <c r="P94" i="42" s="1"/>
  <c r="P91" i="42"/>
  <c r="P95" i="42" s="1"/>
  <c r="Q144" i="48"/>
  <c r="Q145" i="48"/>
  <c r="Q143" i="48"/>
  <c r="Q142" i="48"/>
  <c r="T22" i="48"/>
  <c r="P93" i="46"/>
  <c r="P98" i="46" s="1"/>
  <c r="P94" i="46"/>
  <c r="P97" i="46"/>
  <c r="P95" i="46"/>
  <c r="P100" i="46" s="1"/>
  <c r="P92" i="48"/>
  <c r="P96" i="46"/>
  <c r="P101" i="46" s="1"/>
  <c r="BA17" i="45"/>
  <c r="BA69" i="45" s="1"/>
  <c r="Y48" i="45"/>
  <c r="Y50" i="45" s="1"/>
  <c r="X39" i="46" s="1"/>
  <c r="S44" i="45"/>
  <c r="R38" i="46"/>
  <c r="BF47" i="45"/>
  <c r="BF49" i="45"/>
  <c r="BF46" i="45"/>
  <c r="BG45" i="45"/>
  <c r="BD51" i="45"/>
  <c r="W39" i="48"/>
  <c r="BD53" i="45"/>
  <c r="BD52" i="45"/>
  <c r="BA40" i="45"/>
  <c r="BA39" i="45"/>
  <c r="BE48" i="45"/>
  <c r="BE50" i="45" s="1"/>
  <c r="AX23" i="45"/>
  <c r="P189" i="42"/>
  <c r="Q142" i="46"/>
  <c r="S260" i="46"/>
  <c r="R261" i="46"/>
  <c r="V21" i="46"/>
  <c r="U22" i="46"/>
  <c r="Q205" i="46"/>
  <c r="U25" i="46"/>
  <c r="Q207" i="46"/>
  <c r="Q206" i="46"/>
  <c r="V24" i="46"/>
  <c r="AA363" i="46"/>
  <c r="U23" i="46"/>
  <c r="S243" i="46"/>
  <c r="R244" i="46"/>
  <c r="Q145" i="46"/>
  <c r="Q144" i="46"/>
  <c r="Q143" i="46"/>
  <c r="S139" i="46"/>
  <c r="R204" i="46"/>
  <c r="R140" i="46"/>
  <c r="R141" i="46"/>
  <c r="R203" i="46"/>
  <c r="S43" i="45"/>
  <c r="S95" i="45"/>
  <c r="S42" i="45"/>
  <c r="T41" i="45"/>
  <c r="T18" i="45"/>
  <c r="T19" i="45" s="1"/>
  <c r="U17" i="45"/>
  <c r="U69" i="45" s="1"/>
  <c r="V16" i="45"/>
  <c r="BB16" i="45" s="1"/>
  <c r="U39" i="45"/>
  <c r="U40" i="45"/>
  <c r="V38" i="45"/>
  <c r="BB38" i="45" s="1"/>
  <c r="S19" i="45"/>
  <c r="S20" i="45"/>
  <c r="AW82" i="45"/>
  <c r="AA45" i="45"/>
  <c r="Z47" i="45"/>
  <c r="Z46" i="45"/>
  <c r="Z49" i="45"/>
  <c r="X52" i="45"/>
  <c r="X51" i="45"/>
  <c r="X92" i="45" s="1"/>
  <c r="X53" i="45"/>
  <c r="X88" i="45"/>
  <c r="R184" i="42"/>
  <c r="Q186" i="42"/>
  <c r="Q188" i="42" s="1"/>
  <c r="Q185" i="42"/>
  <c r="P187" i="42"/>
  <c r="AC63" i="45"/>
  <c r="BI63" i="36"/>
  <c r="BI68" i="36" s="1"/>
  <c r="BI75" i="36" s="1"/>
  <c r="AC68" i="36"/>
  <c r="AC75" i="36" s="1"/>
  <c r="AE72" i="14"/>
  <c r="AD63" i="36"/>
  <c r="BG71" i="36"/>
  <c r="BG72" i="36" s="1"/>
  <c r="BG106" i="36"/>
  <c r="BI64" i="36"/>
  <c r="AC65" i="36"/>
  <c r="AC66" i="36"/>
  <c r="AC73" i="36" s="1"/>
  <c r="AB71" i="36"/>
  <c r="AB106" i="36"/>
  <c r="BH65" i="36"/>
  <c r="BH66" i="36"/>
  <c r="BH73" i="36" s="1"/>
  <c r="V21" i="29"/>
  <c r="U24" i="29"/>
  <c r="Q132" i="38"/>
  <c r="S234" i="38"/>
  <c r="R235" i="38"/>
  <c r="P66" i="38"/>
  <c r="Q187" i="38"/>
  <c r="U24" i="38"/>
  <c r="Q134" i="42"/>
  <c r="Q133" i="42"/>
  <c r="Q135" i="42"/>
  <c r="S129" i="42"/>
  <c r="R131" i="42"/>
  <c r="R130" i="42"/>
  <c r="Q67" i="38"/>
  <c r="Q68" i="38"/>
  <c r="Q64" i="38"/>
  <c r="R63" i="38"/>
  <c r="Q69" i="38"/>
  <c r="Q88" i="38" s="1"/>
  <c r="Q65" i="38"/>
  <c r="Q70" i="38"/>
  <c r="T23" i="38"/>
  <c r="U21" i="38"/>
  <c r="T25" i="38"/>
  <c r="S129" i="38"/>
  <c r="R185" i="38"/>
  <c r="R186" i="38"/>
  <c r="R130" i="38"/>
  <c r="R131" i="38"/>
  <c r="Q132" i="42"/>
  <c r="S234" i="42"/>
  <c r="R235" i="42"/>
  <c r="P66" i="42"/>
  <c r="Q133" i="38"/>
  <c r="Q134" i="38"/>
  <c r="Q135" i="38"/>
  <c r="S219" i="38"/>
  <c r="R220" i="38"/>
  <c r="T22" i="38"/>
  <c r="R63" i="42"/>
  <c r="Q65" i="42"/>
  <c r="Q64" i="42"/>
  <c r="Q68" i="42"/>
  <c r="Q69" i="42"/>
  <c r="Q88" i="42" s="1"/>
  <c r="Q67" i="42"/>
  <c r="Q70" i="42"/>
  <c r="Q189" i="38"/>
  <c r="Q188" i="38"/>
  <c r="R219" i="42"/>
  <c r="Q220" i="42"/>
  <c r="Q71" i="20"/>
  <c r="Q73" i="20"/>
  <c r="Q70" i="20"/>
  <c r="Q72" i="20"/>
  <c r="Q69" i="20"/>
  <c r="S62" i="28"/>
  <c r="R63" i="28"/>
  <c r="R64" i="28"/>
  <c r="R66" i="28"/>
  <c r="R67" i="28"/>
  <c r="R88" i="28"/>
  <c r="S85" i="28"/>
  <c r="R89" i="28"/>
  <c r="R86" i="28"/>
  <c r="R91" i="28"/>
  <c r="R87" i="28"/>
  <c r="R90" i="28"/>
  <c r="R125" i="20"/>
  <c r="R128" i="20"/>
  <c r="R123" i="20"/>
  <c r="R126" i="20"/>
  <c r="R124" i="20"/>
  <c r="S122" i="20"/>
  <c r="R127" i="20"/>
  <c r="S110" i="28"/>
  <c r="R111" i="28"/>
  <c r="R68" i="20"/>
  <c r="R67" i="20"/>
  <c r="S66" i="20"/>
  <c r="W21" i="28"/>
  <c r="V25" i="28"/>
  <c r="U23" i="28"/>
  <c r="S198" i="20"/>
  <c r="R199" i="20"/>
  <c r="Q65" i="28"/>
  <c r="R268" i="19"/>
  <c r="S310" i="20"/>
  <c r="V24" i="28"/>
  <c r="U22" i="28"/>
  <c r="AD50" i="15"/>
  <c r="AD53" i="15" s="1"/>
  <c r="AD137" i="15" s="1"/>
  <c r="AD126" i="15"/>
  <c r="AB74" i="12"/>
  <c r="AB219" i="12" s="1"/>
  <c r="AB230" i="12" s="1"/>
  <c r="AB76" i="12"/>
  <c r="AB77" i="12"/>
  <c r="AB78" i="12"/>
  <c r="AB79" i="12"/>
  <c r="AB80" i="12"/>
  <c r="AB75" i="12"/>
  <c r="Q212" i="20"/>
  <c r="AC74" i="14"/>
  <c r="AC219" i="14" s="1"/>
  <c r="AC230" i="14" s="1"/>
  <c r="AC79" i="14"/>
  <c r="AC77" i="14"/>
  <c r="AC75" i="14"/>
  <c r="AC78" i="14"/>
  <c r="AC76" i="14"/>
  <c r="AC80" i="14"/>
  <c r="AG33" i="11"/>
  <c r="AF34" i="11"/>
  <c r="AF35" i="11" s="1"/>
  <c r="AF36" i="11" s="1"/>
  <c r="AC73" i="12"/>
  <c r="AE29" i="13"/>
  <c r="AE30" i="13" s="1"/>
  <c r="AF28" i="13"/>
  <c r="AD32" i="13"/>
  <c r="AD73" i="14" s="1"/>
  <c r="AD31" i="13"/>
  <c r="AD33" i="13" s="1"/>
  <c r="AD64" i="36" s="1"/>
  <c r="AE31" i="15"/>
  <c r="Q3" i="12"/>
  <c r="P1" i="52" s="1"/>
  <c r="R26" i="45" l="1"/>
  <c r="AY21" i="45"/>
  <c r="AY23" i="45" s="1"/>
  <c r="R82" i="45"/>
  <c r="R24" i="45"/>
  <c r="R25" i="45"/>
  <c r="AE61" i="45"/>
  <c r="BK61" i="45" s="1"/>
  <c r="BK63" i="45" s="1"/>
  <c r="AE64" i="45"/>
  <c r="BK64" i="45" s="1"/>
  <c r="BF96" i="55"/>
  <c r="DR96" i="55" s="1"/>
  <c r="AA96" i="55"/>
  <c r="AF39" i="11"/>
  <c r="AF37" i="11"/>
  <c r="AF40" i="11"/>
  <c r="AF66" i="45" s="1"/>
  <c r="BL66" i="45" s="1"/>
  <c r="AF38" i="11"/>
  <c r="AB72" i="36"/>
  <c r="CN38" i="58"/>
  <c r="AB37" i="58" s="1"/>
  <c r="BH37" i="58" s="1"/>
  <c r="CN37" i="58" s="1"/>
  <c r="AA95" i="55"/>
  <c r="BF95" i="55"/>
  <c r="DR95" i="55" s="1"/>
  <c r="U22" i="54"/>
  <c r="U25" i="54"/>
  <c r="V24" i="54"/>
  <c r="U21" i="54"/>
  <c r="U23" i="54"/>
  <c r="AZ42" i="45"/>
  <c r="R66" i="54"/>
  <c r="W8" i="52"/>
  <c r="AK5" i="50"/>
  <c r="Y4" i="51"/>
  <c r="Y57" i="58" s="1"/>
  <c r="S70" i="54"/>
  <c r="S68" i="54"/>
  <c r="S69" i="54"/>
  <c r="S76" i="54" s="1"/>
  <c r="S77" i="54" s="1"/>
  <c r="S65" i="54"/>
  <c r="S64" i="54"/>
  <c r="S67" i="54"/>
  <c r="T63" i="54"/>
  <c r="T156" i="54"/>
  <c r="S157" i="54"/>
  <c r="R66" i="53"/>
  <c r="T156" i="53"/>
  <c r="S157" i="53"/>
  <c r="T147" i="53"/>
  <c r="S148" i="53"/>
  <c r="R77" i="53"/>
  <c r="T63" i="53"/>
  <c r="S65" i="53"/>
  <c r="S64" i="53"/>
  <c r="S68" i="53"/>
  <c r="S70" i="53"/>
  <c r="S69" i="53"/>
  <c r="S76" i="53" s="1"/>
  <c r="S67" i="53"/>
  <c r="R135" i="53"/>
  <c r="R134" i="53"/>
  <c r="R104" i="53"/>
  <c r="R105" i="53"/>
  <c r="R103" i="53"/>
  <c r="R102" i="53"/>
  <c r="T44" i="45"/>
  <c r="S100" i="53"/>
  <c r="S101" i="53"/>
  <c r="S132" i="53"/>
  <c r="S131" i="53"/>
  <c r="R133" i="53"/>
  <c r="V21" i="53"/>
  <c r="W24" i="53"/>
  <c r="V22" i="53"/>
  <c r="V23" i="53"/>
  <c r="V25" i="53"/>
  <c r="BC4" i="51"/>
  <c r="BC57" i="58" s="1"/>
  <c r="CS57" i="58" s="1"/>
  <c r="CS58" i="58" s="1"/>
  <c r="AJ3" i="50"/>
  <c r="X6" i="52" s="1"/>
  <c r="Q189" i="42"/>
  <c r="AZ43" i="45"/>
  <c r="AZ44" i="45"/>
  <c r="T20" i="45"/>
  <c r="AZ19" i="45"/>
  <c r="BA41" i="45"/>
  <c r="BA43" i="45" s="1"/>
  <c r="R69" i="46"/>
  <c r="R92" i="46" s="1"/>
  <c r="R70" i="46"/>
  <c r="R65" i="46"/>
  <c r="R68" i="46"/>
  <c r="S63" i="46"/>
  <c r="R64" i="46"/>
  <c r="R67" i="46"/>
  <c r="R206" i="48"/>
  <c r="R207" i="48"/>
  <c r="Q90" i="38"/>
  <c r="Q91" i="38"/>
  <c r="Q89" i="38"/>
  <c r="Y88" i="45"/>
  <c r="BA18" i="45"/>
  <c r="BA19" i="45" s="1"/>
  <c r="U22" i="48"/>
  <c r="Q66" i="46"/>
  <c r="U23" i="48"/>
  <c r="S261" i="48"/>
  <c r="T260" i="48"/>
  <c r="U25" i="48"/>
  <c r="R205" i="48"/>
  <c r="Y51" i="45"/>
  <c r="Y92" i="45" s="1"/>
  <c r="P95" i="48"/>
  <c r="P100" i="48" s="1"/>
  <c r="P93" i="48"/>
  <c r="P98" i="48" s="1"/>
  <c r="P96" i="48"/>
  <c r="P101" i="48" s="1"/>
  <c r="P97" i="48"/>
  <c r="P94" i="48"/>
  <c r="Q97" i="46"/>
  <c r="Q94" i="46"/>
  <c r="Q95" i="46"/>
  <c r="Q100" i="46" s="1"/>
  <c r="Q92" i="48"/>
  <c r="Q93" i="46"/>
  <c r="Q98" i="46" s="1"/>
  <c r="Q96" i="46"/>
  <c r="Q101" i="46" s="1"/>
  <c r="R66" i="48"/>
  <c r="R142" i="48"/>
  <c r="S204" i="48"/>
  <c r="S140" i="48"/>
  <c r="S203" i="48"/>
  <c r="T139" i="48"/>
  <c r="S141" i="48"/>
  <c r="Q92" i="42"/>
  <c r="Q90" i="42"/>
  <c r="Q91" i="42"/>
  <c r="Q95" i="42" s="1"/>
  <c r="Q89" i="42"/>
  <c r="Q93" i="42" s="1"/>
  <c r="T243" i="48"/>
  <c r="S244" i="48"/>
  <c r="V21" i="48"/>
  <c r="V24" i="48"/>
  <c r="S65" i="48"/>
  <c r="T63" i="48"/>
  <c r="S69" i="48"/>
  <c r="S67" i="48"/>
  <c r="S64" i="48"/>
  <c r="S68" i="48"/>
  <c r="S70" i="48"/>
  <c r="R145" i="48"/>
  <c r="R143" i="48"/>
  <c r="R144" i="48"/>
  <c r="BG49" i="45"/>
  <c r="BG47" i="45"/>
  <c r="BG46" i="45"/>
  <c r="BH45" i="45"/>
  <c r="Y52" i="45"/>
  <c r="BB17" i="45"/>
  <c r="BB69" i="45" s="1"/>
  <c r="T95" i="45"/>
  <c r="S38" i="46"/>
  <c r="BF48" i="45"/>
  <c r="BF50" i="45" s="1"/>
  <c r="Q37" i="48"/>
  <c r="AX26" i="45"/>
  <c r="AX24" i="45"/>
  <c r="AX25" i="45"/>
  <c r="Y53" i="45"/>
  <c r="BB40" i="45"/>
  <c r="BB39" i="45"/>
  <c r="X39" i="48"/>
  <c r="BE51" i="45"/>
  <c r="BE52" i="45"/>
  <c r="BE53" i="45"/>
  <c r="R145" i="46"/>
  <c r="R143" i="46"/>
  <c r="R144" i="46"/>
  <c r="T243" i="46"/>
  <c r="S244" i="46"/>
  <c r="AB363" i="46"/>
  <c r="W21" i="46"/>
  <c r="R142" i="46"/>
  <c r="V22" i="46"/>
  <c r="R207" i="46"/>
  <c r="R206" i="46"/>
  <c r="V23" i="46"/>
  <c r="V25" i="46"/>
  <c r="T260" i="46"/>
  <c r="S261" i="46"/>
  <c r="R205" i="46"/>
  <c r="T139" i="46"/>
  <c r="S204" i="46"/>
  <c r="S141" i="46"/>
  <c r="S140" i="46"/>
  <c r="S203" i="46"/>
  <c r="W24" i="46"/>
  <c r="T42" i="45"/>
  <c r="T43" i="45"/>
  <c r="AY95" i="45"/>
  <c r="U41" i="45"/>
  <c r="AX82" i="45"/>
  <c r="U18" i="45"/>
  <c r="S21" i="45"/>
  <c r="S23" i="45" s="1"/>
  <c r="W16" i="45"/>
  <c r="BC16" i="45" s="1"/>
  <c r="V17" i="45"/>
  <c r="V69" i="45" s="1"/>
  <c r="V40" i="45"/>
  <c r="V39" i="45"/>
  <c r="W38" i="45"/>
  <c r="BC38" i="45" s="1"/>
  <c r="BD92" i="45"/>
  <c r="BD88" i="45"/>
  <c r="AB45" i="45"/>
  <c r="AA47" i="45"/>
  <c r="AA46" i="45"/>
  <c r="AA49" i="45"/>
  <c r="Z48" i="45"/>
  <c r="Z50" i="45" s="1"/>
  <c r="Y39" i="46" s="1"/>
  <c r="Q187" i="42"/>
  <c r="S184" i="42"/>
  <c r="R185" i="42"/>
  <c r="R186" i="42"/>
  <c r="R189" i="42" s="1"/>
  <c r="AE72" i="12"/>
  <c r="AD63" i="45"/>
  <c r="AF72" i="14"/>
  <c r="BJ63" i="36"/>
  <c r="BJ68" i="36" s="1"/>
  <c r="BJ75" i="36" s="1"/>
  <c r="AD68" i="36"/>
  <c r="AD75" i="36" s="1"/>
  <c r="AE63" i="36"/>
  <c r="BH71" i="36"/>
  <c r="BH72" i="36" s="1"/>
  <c r="BH106" i="36"/>
  <c r="BI66" i="36"/>
  <c r="BI73" i="36" s="1"/>
  <c r="BI65" i="36"/>
  <c r="BJ64" i="36"/>
  <c r="AD65" i="36"/>
  <c r="AD66" i="36"/>
  <c r="AD73" i="36" s="1"/>
  <c r="AC71" i="36"/>
  <c r="AC106" i="36"/>
  <c r="V24" i="29"/>
  <c r="W21" i="29"/>
  <c r="R132" i="38"/>
  <c r="R67" i="42"/>
  <c r="R64" i="42"/>
  <c r="R69" i="42"/>
  <c r="R88" i="42" s="1"/>
  <c r="R65" i="42"/>
  <c r="R70" i="42"/>
  <c r="R68" i="42"/>
  <c r="S63" i="42"/>
  <c r="U22" i="38"/>
  <c r="T219" i="38"/>
  <c r="S220" i="38"/>
  <c r="R134" i="38"/>
  <c r="R135" i="38"/>
  <c r="R133" i="38"/>
  <c r="T129" i="38"/>
  <c r="S185" i="38"/>
  <c r="S186" i="38"/>
  <c r="S130" i="38"/>
  <c r="S131" i="38"/>
  <c r="U25" i="38"/>
  <c r="U23" i="38"/>
  <c r="R132" i="42"/>
  <c r="T129" i="42"/>
  <c r="S130" i="42"/>
  <c r="S131" i="42"/>
  <c r="S219" i="42"/>
  <c r="R220" i="42"/>
  <c r="T234" i="42"/>
  <c r="S235" i="42"/>
  <c r="R69" i="38"/>
  <c r="R88" i="38" s="1"/>
  <c r="R64" i="38"/>
  <c r="R65" i="38"/>
  <c r="S63" i="38"/>
  <c r="R68" i="38"/>
  <c r="R70" i="38"/>
  <c r="R67" i="38"/>
  <c r="R134" i="42"/>
  <c r="R133" i="42"/>
  <c r="R135" i="42"/>
  <c r="V24" i="38"/>
  <c r="T234" i="38"/>
  <c r="S235" i="38"/>
  <c r="Q66" i="42"/>
  <c r="R188" i="38"/>
  <c r="R189" i="38"/>
  <c r="V21" i="38"/>
  <c r="Q66" i="38"/>
  <c r="Q94" i="42"/>
  <c r="R187" i="38"/>
  <c r="X21" i="28"/>
  <c r="V23" i="28"/>
  <c r="S67" i="20"/>
  <c r="S68" i="20"/>
  <c r="T66" i="20"/>
  <c r="T110" i="28"/>
  <c r="S111" i="28"/>
  <c r="W25" i="28"/>
  <c r="R69" i="20"/>
  <c r="S87" i="28"/>
  <c r="S90" i="28"/>
  <c r="S88" i="28"/>
  <c r="S86" i="28"/>
  <c r="T85" i="28"/>
  <c r="S89" i="28"/>
  <c r="S91" i="28"/>
  <c r="R65" i="28"/>
  <c r="V22" i="28"/>
  <c r="W24" i="28"/>
  <c r="T310" i="20"/>
  <c r="S268" i="19"/>
  <c r="S199" i="20"/>
  <c r="T198" i="20"/>
  <c r="R70" i="20"/>
  <c r="R71" i="20"/>
  <c r="R72" i="20"/>
  <c r="R73" i="20"/>
  <c r="T122" i="20"/>
  <c r="S125" i="20"/>
  <c r="S128" i="20"/>
  <c r="S124" i="20"/>
  <c r="S127" i="20"/>
  <c r="S123" i="20"/>
  <c r="S126" i="20"/>
  <c r="S66" i="28"/>
  <c r="T62" i="28"/>
  <c r="S63" i="28"/>
  <c r="S64" i="28"/>
  <c r="S67" i="28"/>
  <c r="AE50" i="15"/>
  <c r="AE53" i="15" s="1"/>
  <c r="AE137" i="15" s="1"/>
  <c r="AE126" i="15"/>
  <c r="AC74" i="12"/>
  <c r="AC219" i="12" s="1"/>
  <c r="AC230" i="12" s="1"/>
  <c r="AC76" i="12"/>
  <c r="AC77" i="12"/>
  <c r="AC78" i="12"/>
  <c r="AC79" i="12"/>
  <c r="AC75" i="12"/>
  <c r="AC80" i="12"/>
  <c r="R212" i="20"/>
  <c r="AD74" i="14"/>
  <c r="AD219" i="14" s="1"/>
  <c r="AD230" i="14" s="1"/>
  <c r="AD80" i="14"/>
  <c r="AD75" i="14"/>
  <c r="AD76" i="14"/>
  <c r="AD78" i="14"/>
  <c r="AD79" i="14"/>
  <c r="AD77" i="14"/>
  <c r="AH33" i="11"/>
  <c r="AH34" i="11" s="1"/>
  <c r="AH35" i="11" s="1"/>
  <c r="AH36" i="11" s="1"/>
  <c r="AG34" i="11"/>
  <c r="AG35" i="11" s="1"/>
  <c r="AG36" i="11" s="1"/>
  <c r="AF29" i="13"/>
  <c r="AF30" i="13" s="1"/>
  <c r="AG28" i="13"/>
  <c r="AE31" i="13"/>
  <c r="AE33" i="13" s="1"/>
  <c r="AE64" i="36" s="1"/>
  <c r="AE32" i="13"/>
  <c r="AE73" i="14" s="1"/>
  <c r="AD73" i="12"/>
  <c r="AF31" i="15"/>
  <c r="R3" i="12"/>
  <c r="Q1" i="52" s="1"/>
  <c r="BA42" i="45" l="1"/>
  <c r="AY26" i="45"/>
  <c r="AY24" i="45"/>
  <c r="AY25" i="45"/>
  <c r="R37" i="48"/>
  <c r="AH40" i="11"/>
  <c r="AH66" i="45" s="1"/>
  <c r="BN66" i="45" s="1"/>
  <c r="AH39" i="11"/>
  <c r="AH37" i="11"/>
  <c r="AH38" i="11"/>
  <c r="AF64" i="45"/>
  <c r="BL64" i="45" s="1"/>
  <c r="AF61" i="45"/>
  <c r="BL61" i="45" s="1"/>
  <c r="BL63" i="45" s="1"/>
  <c r="AB96" i="55"/>
  <c r="BG96" i="55"/>
  <c r="DS96" i="55" s="1"/>
  <c r="AB95" i="55"/>
  <c r="BG95" i="55"/>
  <c r="DS95" i="55" s="1"/>
  <c r="AC72" i="36"/>
  <c r="CO38" i="58"/>
  <c r="AC37" i="58" s="1"/>
  <c r="BI37" i="58" s="1"/>
  <c r="CO37" i="58" s="1"/>
  <c r="AG39" i="11"/>
  <c r="AG37" i="11"/>
  <c r="AG40" i="11"/>
  <c r="AG66" i="45" s="1"/>
  <c r="BM66" i="45" s="1"/>
  <c r="AG38" i="11"/>
  <c r="V25" i="54"/>
  <c r="T21" i="45"/>
  <c r="T23" i="45" s="1"/>
  <c r="V23" i="54"/>
  <c r="V21" i="54"/>
  <c r="V22" i="54"/>
  <c r="W24" i="54"/>
  <c r="AZ21" i="45"/>
  <c r="AZ23" i="45" s="1"/>
  <c r="S66" i="54"/>
  <c r="AL5" i="50"/>
  <c r="Z4" i="51"/>
  <c r="Z57" i="58" s="1"/>
  <c r="X8" i="52"/>
  <c r="T157" i="54"/>
  <c r="U156" i="54"/>
  <c r="T64" i="54"/>
  <c r="T65" i="54"/>
  <c r="T68" i="54"/>
  <c r="T67" i="54"/>
  <c r="T69" i="54"/>
  <c r="T76" i="54" s="1"/>
  <c r="T77" i="54" s="1"/>
  <c r="U63" i="54"/>
  <c r="T70" i="54"/>
  <c r="U156" i="53"/>
  <c r="T157" i="53"/>
  <c r="U147" i="53"/>
  <c r="T148" i="53"/>
  <c r="S66" i="53"/>
  <c r="T68" i="53"/>
  <c r="T69" i="53"/>
  <c r="T76" i="53" s="1"/>
  <c r="T70" i="53"/>
  <c r="T67" i="53"/>
  <c r="U63" i="53"/>
  <c r="T65" i="53"/>
  <c r="T64" i="53"/>
  <c r="S77" i="53"/>
  <c r="S66" i="48"/>
  <c r="R37" i="46"/>
  <c r="T100" i="53"/>
  <c r="T101" i="53"/>
  <c r="T132" i="53"/>
  <c r="T131" i="53"/>
  <c r="S133" i="53"/>
  <c r="S135" i="53"/>
  <c r="S134" i="53"/>
  <c r="S104" i="53"/>
  <c r="S103" i="53"/>
  <c r="S105" i="53"/>
  <c r="S102" i="53"/>
  <c r="X24" i="53"/>
  <c r="W21" i="53"/>
  <c r="W23" i="53"/>
  <c r="W25" i="53"/>
  <c r="W22" i="53"/>
  <c r="BD4" i="51"/>
  <c r="BD57" i="58" s="1"/>
  <c r="CT57" i="58" s="1"/>
  <c r="CT58" i="58" s="1"/>
  <c r="AK3" i="50"/>
  <c r="Y6" i="52" s="1"/>
  <c r="BA20" i="45"/>
  <c r="T38" i="48"/>
  <c r="BA44" i="45"/>
  <c r="BB41" i="45"/>
  <c r="U38" i="48" s="1"/>
  <c r="T261" i="48"/>
  <c r="U260" i="48"/>
  <c r="V22" i="48"/>
  <c r="T141" i="48"/>
  <c r="T203" i="48"/>
  <c r="U139" i="48"/>
  <c r="T140" i="48"/>
  <c r="T204" i="48"/>
  <c r="R89" i="38"/>
  <c r="R90" i="38"/>
  <c r="R91" i="38"/>
  <c r="W24" i="48"/>
  <c r="U243" i="48"/>
  <c r="T244" i="48"/>
  <c r="S205" i="48"/>
  <c r="Q94" i="48"/>
  <c r="Q96" i="48"/>
  <c r="Q101" i="48" s="1"/>
  <c r="Q93" i="48"/>
  <c r="Q98" i="48" s="1"/>
  <c r="Q95" i="48"/>
  <c r="Q100" i="48" s="1"/>
  <c r="Q97" i="48"/>
  <c r="R66" i="46"/>
  <c r="T64" i="48"/>
  <c r="T65" i="48"/>
  <c r="T70" i="48"/>
  <c r="T68" i="48"/>
  <c r="U63" i="48"/>
  <c r="T69" i="48"/>
  <c r="T67" i="48"/>
  <c r="S142" i="48"/>
  <c r="S64" i="46"/>
  <c r="T63" i="46"/>
  <c r="S69" i="46"/>
  <c r="S92" i="46" s="1"/>
  <c r="S70" i="46"/>
  <c r="S68" i="46"/>
  <c r="S65" i="46"/>
  <c r="S67" i="46"/>
  <c r="R94" i="46"/>
  <c r="R97" i="46"/>
  <c r="R96" i="46"/>
  <c r="R101" i="46" s="1"/>
  <c r="R92" i="48"/>
  <c r="R95" i="46"/>
  <c r="R100" i="46" s="1"/>
  <c r="R93" i="46"/>
  <c r="R98" i="46" s="1"/>
  <c r="R92" i="42"/>
  <c r="R91" i="42"/>
  <c r="R89" i="42"/>
  <c r="R90" i="42"/>
  <c r="R94" i="42" s="1"/>
  <c r="BG48" i="45"/>
  <c r="BG50" i="45" s="1"/>
  <c r="BG53" i="45" s="1"/>
  <c r="W21" i="48"/>
  <c r="S145" i="48"/>
  <c r="S144" i="48"/>
  <c r="S143" i="48"/>
  <c r="S207" i="48"/>
  <c r="S206" i="48"/>
  <c r="V25" i="48"/>
  <c r="V23" i="48"/>
  <c r="BF53" i="45"/>
  <c r="Y39" i="48"/>
  <c r="BF51" i="45"/>
  <c r="BF52" i="45"/>
  <c r="BC40" i="45"/>
  <c r="BC39" i="45"/>
  <c r="BC17" i="45"/>
  <c r="BC69" i="45" s="1"/>
  <c r="U95" i="45"/>
  <c r="T38" i="46"/>
  <c r="BB18" i="45"/>
  <c r="BH46" i="45"/>
  <c r="BH49" i="45"/>
  <c r="BH47" i="45"/>
  <c r="BI45" i="45"/>
  <c r="X24" i="46"/>
  <c r="S142" i="46"/>
  <c r="W22" i="46"/>
  <c r="X21" i="46"/>
  <c r="S145" i="46"/>
  <c r="S143" i="46"/>
  <c r="S144" i="46"/>
  <c r="W25" i="46"/>
  <c r="AC363" i="46"/>
  <c r="S207" i="46"/>
  <c r="S206" i="46"/>
  <c r="U260" i="46"/>
  <c r="T261" i="46"/>
  <c r="W23" i="46"/>
  <c r="R188" i="42"/>
  <c r="S205" i="46"/>
  <c r="U139" i="46"/>
  <c r="T204" i="46"/>
  <c r="T140" i="46"/>
  <c r="T141" i="46"/>
  <c r="T203" i="46"/>
  <c r="U243" i="46"/>
  <c r="T244" i="46"/>
  <c r="AZ95" i="45"/>
  <c r="U43" i="45"/>
  <c r="U44" i="45"/>
  <c r="U42" i="45"/>
  <c r="V41" i="45"/>
  <c r="W17" i="45"/>
  <c r="W69" i="45" s="1"/>
  <c r="X16" i="45"/>
  <c r="BD16" i="45" s="1"/>
  <c r="U19" i="45"/>
  <c r="U20" i="45"/>
  <c r="V18" i="45"/>
  <c r="AY82" i="45"/>
  <c r="W39" i="45"/>
  <c r="X38" i="45"/>
  <c r="BD38" i="45" s="1"/>
  <c r="W40" i="45"/>
  <c r="S26" i="45"/>
  <c r="S24" i="45"/>
  <c r="S25" i="45"/>
  <c r="S82" i="45"/>
  <c r="AC45" i="45"/>
  <c r="AB47" i="45"/>
  <c r="AB49" i="45"/>
  <c r="AB46" i="45"/>
  <c r="BE88" i="45"/>
  <c r="BE92" i="45"/>
  <c r="Z51" i="45"/>
  <c r="Z92" i="45" s="1"/>
  <c r="Z53" i="45"/>
  <c r="Z52" i="45"/>
  <c r="Z88" i="45"/>
  <c r="AA48" i="45"/>
  <c r="AA50" i="45" s="1"/>
  <c r="Z39" i="46" s="1"/>
  <c r="R187" i="42"/>
  <c r="T184" i="42"/>
  <c r="S185" i="42"/>
  <c r="S186" i="42"/>
  <c r="S189" i="42" s="1"/>
  <c r="AF72" i="12"/>
  <c r="AH72" i="14"/>
  <c r="BK63" i="36"/>
  <c r="BK68" i="36" s="1"/>
  <c r="BK75" i="36" s="1"/>
  <c r="AE68" i="36"/>
  <c r="AE75" i="36" s="1"/>
  <c r="AF63" i="36"/>
  <c r="AG72" i="14"/>
  <c r="AE63" i="45"/>
  <c r="BI71" i="36"/>
  <c r="BI72" i="36" s="1"/>
  <c r="BI106" i="36"/>
  <c r="AD71" i="36"/>
  <c r="AD106" i="36"/>
  <c r="BK64" i="36"/>
  <c r="AE65" i="36"/>
  <c r="AE66" i="36"/>
  <c r="AE73" i="36" s="1"/>
  <c r="BJ66" i="36"/>
  <c r="BJ73" i="36" s="1"/>
  <c r="BJ65" i="36"/>
  <c r="X21" i="29"/>
  <c r="W24" i="29"/>
  <c r="S132" i="38"/>
  <c r="S132" i="42"/>
  <c r="U234" i="38"/>
  <c r="T235" i="38"/>
  <c r="S67" i="38"/>
  <c r="S65" i="38"/>
  <c r="S70" i="38"/>
  <c r="T63" i="38"/>
  <c r="S69" i="38"/>
  <c r="S88" i="38" s="1"/>
  <c r="S64" i="38"/>
  <c r="S68" i="38"/>
  <c r="T219" i="42"/>
  <c r="S220" i="42"/>
  <c r="S134" i="42"/>
  <c r="S133" i="42"/>
  <c r="S135" i="42"/>
  <c r="U129" i="42"/>
  <c r="T130" i="42"/>
  <c r="T131" i="42"/>
  <c r="S133" i="38"/>
  <c r="S135" i="38"/>
  <c r="S134" i="38"/>
  <c r="U129" i="38"/>
  <c r="T185" i="38"/>
  <c r="T186" i="38"/>
  <c r="T131" i="38"/>
  <c r="T130" i="38"/>
  <c r="R95" i="42"/>
  <c r="R93" i="42"/>
  <c r="W24" i="38"/>
  <c r="V23" i="38"/>
  <c r="V22" i="38"/>
  <c r="W21" i="38"/>
  <c r="R66" i="38"/>
  <c r="S189" i="38"/>
  <c r="S188" i="38"/>
  <c r="S69" i="42"/>
  <c r="S88" i="42" s="1"/>
  <c r="S65" i="42"/>
  <c r="S68" i="42"/>
  <c r="S70" i="42"/>
  <c r="S64" i="42"/>
  <c r="S67" i="42"/>
  <c r="T63" i="42"/>
  <c r="U234" i="42"/>
  <c r="T235" i="42"/>
  <c r="V25" i="38"/>
  <c r="S187" i="38"/>
  <c r="U219" i="38"/>
  <c r="T220" i="38"/>
  <c r="R66" i="42"/>
  <c r="S69" i="20"/>
  <c r="T268" i="19"/>
  <c r="U310" i="20"/>
  <c r="W22" i="28"/>
  <c r="T88" i="28"/>
  <c r="T90" i="28"/>
  <c r="T87" i="28"/>
  <c r="T86" i="28"/>
  <c r="U85" i="28"/>
  <c r="T91" i="28"/>
  <c r="T89" i="28"/>
  <c r="U66" i="20"/>
  <c r="T67" i="20"/>
  <c r="T68" i="20"/>
  <c r="W23" i="28"/>
  <c r="U198" i="20"/>
  <c r="T199" i="20"/>
  <c r="S71" i="20"/>
  <c r="S73" i="20"/>
  <c r="S70" i="20"/>
  <c r="S72" i="20"/>
  <c r="S65" i="28"/>
  <c r="X24" i="28"/>
  <c r="T67" i="28"/>
  <c r="T66" i="28"/>
  <c r="U62" i="28"/>
  <c r="T64" i="28"/>
  <c r="T63" i="28"/>
  <c r="T123" i="20"/>
  <c r="T126" i="20"/>
  <c r="T124" i="20"/>
  <c r="T125" i="20"/>
  <c r="T128" i="20"/>
  <c r="U122" i="20"/>
  <c r="T127" i="20"/>
  <c r="X25" i="28"/>
  <c r="U110" i="28"/>
  <c r="T111" i="28"/>
  <c r="Y21" i="28"/>
  <c r="AF50" i="15"/>
  <c r="AF53" i="15" s="1"/>
  <c r="AF137" i="15" s="1"/>
  <c r="AF126" i="15"/>
  <c r="AD74" i="12"/>
  <c r="AD219" i="12" s="1"/>
  <c r="AD230" i="12" s="1"/>
  <c r="AD75" i="12"/>
  <c r="AD78" i="12"/>
  <c r="AD77" i="12"/>
  <c r="AD80" i="12"/>
  <c r="AD76" i="12"/>
  <c r="AD79" i="12"/>
  <c r="S212" i="20"/>
  <c r="AE74" i="14"/>
  <c r="AE219" i="14" s="1"/>
  <c r="AE230" i="14" s="1"/>
  <c r="AE77" i="14"/>
  <c r="AE80" i="14"/>
  <c r="AE78" i="14"/>
  <c r="AE76" i="14"/>
  <c r="AE75" i="14"/>
  <c r="AE79" i="14"/>
  <c r="AG72" i="12"/>
  <c r="AE73" i="12"/>
  <c r="AG29" i="13"/>
  <c r="AG30" i="13" s="1"/>
  <c r="AH28" i="13"/>
  <c r="AH29" i="13" s="1"/>
  <c r="AH30" i="13" s="1"/>
  <c r="AF31" i="13"/>
  <c r="AF33" i="13" s="1"/>
  <c r="AF64" i="36" s="1"/>
  <c r="AF32" i="13"/>
  <c r="AF73" i="14" s="1"/>
  <c r="AG31" i="15"/>
  <c r="S3" i="12"/>
  <c r="R1" i="52" s="1"/>
  <c r="T25" i="45" l="1"/>
  <c r="T24" i="45"/>
  <c r="T26" i="45"/>
  <c r="S37" i="46"/>
  <c r="T82" i="45"/>
  <c r="BG52" i="45"/>
  <c r="AC96" i="55"/>
  <c r="BH96" i="55"/>
  <c r="DT96" i="55" s="1"/>
  <c r="BH95" i="55"/>
  <c r="DT95" i="55" s="1"/>
  <c r="AC95" i="55"/>
  <c r="AH64" i="45"/>
  <c r="BN64" i="45" s="1"/>
  <c r="AH61" i="45"/>
  <c r="BN61" i="45" s="1"/>
  <c r="BN63" i="45" s="1"/>
  <c r="AG64" i="45"/>
  <c r="BM64" i="45" s="1"/>
  <c r="AG61" i="45"/>
  <c r="BM61" i="45" s="1"/>
  <c r="BM63" i="45" s="1"/>
  <c r="AD72" i="36"/>
  <c r="CP38" i="58"/>
  <c r="AD37" i="58" s="1"/>
  <c r="BJ37" i="58" s="1"/>
  <c r="CP37" i="58" s="1"/>
  <c r="W23" i="54"/>
  <c r="X24" i="54"/>
  <c r="W22" i="54"/>
  <c r="BA21" i="45"/>
  <c r="W21" i="54"/>
  <c r="W25" i="54"/>
  <c r="Y8" i="52"/>
  <c r="AM5" i="50"/>
  <c r="AA4" i="51"/>
  <c r="AA57" i="58" s="1"/>
  <c r="U65" i="54"/>
  <c r="U67" i="54"/>
  <c r="U69" i="54"/>
  <c r="U76" i="54" s="1"/>
  <c r="U77" i="54" s="1"/>
  <c r="U68" i="54"/>
  <c r="U70" i="54"/>
  <c r="V63" i="54"/>
  <c r="U64" i="54"/>
  <c r="BG51" i="45"/>
  <c r="T66" i="54"/>
  <c r="V156" i="54"/>
  <c r="U157" i="54"/>
  <c r="V156" i="53"/>
  <c r="U157" i="53"/>
  <c r="V147" i="53"/>
  <c r="U148" i="53"/>
  <c r="T66" i="53"/>
  <c r="U65" i="53"/>
  <c r="U69" i="53"/>
  <c r="U76" i="53" s="1"/>
  <c r="U68" i="53"/>
  <c r="U64" i="53"/>
  <c r="U70" i="53"/>
  <c r="U67" i="53"/>
  <c r="V63" i="53"/>
  <c r="T77" i="53"/>
  <c r="U100" i="53"/>
  <c r="U132" i="53"/>
  <c r="U101" i="53"/>
  <c r="U131" i="53"/>
  <c r="T133" i="53"/>
  <c r="T135" i="53"/>
  <c r="T134" i="53"/>
  <c r="T104" i="53"/>
  <c r="T103" i="53"/>
  <c r="T105" i="53"/>
  <c r="T102" i="53"/>
  <c r="X22" i="53"/>
  <c r="X23" i="53"/>
  <c r="X25" i="53"/>
  <c r="X21" i="53"/>
  <c r="Y24" i="53"/>
  <c r="BE4" i="51"/>
  <c r="BE57" i="58" s="1"/>
  <c r="AL3" i="50"/>
  <c r="Z6" i="52" s="1"/>
  <c r="S188" i="42"/>
  <c r="Z39" i="48"/>
  <c r="BB43" i="45"/>
  <c r="BB42" i="45"/>
  <c r="BB44" i="45"/>
  <c r="BH48" i="45"/>
  <c r="BH50" i="45" s="1"/>
  <c r="W23" i="48"/>
  <c r="T67" i="46"/>
  <c r="T65" i="46"/>
  <c r="T69" i="46"/>
  <c r="T92" i="46" s="1"/>
  <c r="U63" i="46"/>
  <c r="T68" i="46"/>
  <c r="T64" i="46"/>
  <c r="T70" i="46"/>
  <c r="X24" i="48"/>
  <c r="T207" i="48"/>
  <c r="T206" i="48"/>
  <c r="T143" i="48"/>
  <c r="T145" i="48"/>
  <c r="T144" i="48"/>
  <c r="S92" i="42"/>
  <c r="S89" i="42"/>
  <c r="S90" i="42"/>
  <c r="S91" i="42"/>
  <c r="S95" i="42" s="1"/>
  <c r="X21" i="48"/>
  <c r="S66" i="46"/>
  <c r="T142" i="48"/>
  <c r="V260" i="48"/>
  <c r="U261" i="48"/>
  <c r="BC41" i="45"/>
  <c r="BC44" i="45" s="1"/>
  <c r="W25" i="48"/>
  <c r="V243" i="48"/>
  <c r="U244" i="48"/>
  <c r="U204" i="48"/>
  <c r="U141" i="48"/>
  <c r="U203" i="48"/>
  <c r="U140" i="48"/>
  <c r="V139" i="48"/>
  <c r="S90" i="38"/>
  <c r="S91" i="38"/>
  <c r="S89" i="38"/>
  <c r="R94" i="48"/>
  <c r="R97" i="48"/>
  <c r="R93" i="48"/>
  <c r="R98" i="48" s="1"/>
  <c r="R95" i="48"/>
  <c r="R100" i="48" s="1"/>
  <c r="R96" i="48"/>
  <c r="R101" i="48" s="1"/>
  <c r="S96" i="46"/>
  <c r="S101" i="46" s="1"/>
  <c r="S97" i="46"/>
  <c r="S94" i="46"/>
  <c r="S92" i="48"/>
  <c r="S95" i="46"/>
  <c r="S100" i="46" s="1"/>
  <c r="S93" i="46"/>
  <c r="S98" i="46" s="1"/>
  <c r="U65" i="48"/>
  <c r="V63" i="48"/>
  <c r="U68" i="48"/>
  <c r="U70" i="48"/>
  <c r="U64" i="48"/>
  <c r="U69" i="48"/>
  <c r="U67" i="48"/>
  <c r="T66" i="48"/>
  <c r="T205" i="48"/>
  <c r="W22" i="48"/>
  <c r="AB48" i="45"/>
  <c r="BD17" i="45"/>
  <c r="BD69" i="45" s="1"/>
  <c r="BI46" i="45"/>
  <c r="BI47" i="45"/>
  <c r="BI49" i="45"/>
  <c r="BJ45" i="45"/>
  <c r="BB19" i="45"/>
  <c r="BB20" i="45"/>
  <c r="BD39" i="45"/>
  <c r="BD40" i="45"/>
  <c r="S37" i="48"/>
  <c r="AZ24" i="45"/>
  <c r="AZ25" i="45"/>
  <c r="AZ26" i="45"/>
  <c r="V42" i="45"/>
  <c r="U38" i="46"/>
  <c r="BC18" i="45"/>
  <c r="T205" i="46"/>
  <c r="V139" i="46"/>
  <c r="U204" i="46"/>
  <c r="U141" i="46"/>
  <c r="U203" i="46"/>
  <c r="U140" i="46"/>
  <c r="AD363" i="46"/>
  <c r="X25" i="46"/>
  <c r="Y21" i="46"/>
  <c r="X22" i="46"/>
  <c r="Y24" i="46"/>
  <c r="V243" i="46"/>
  <c r="U244" i="46"/>
  <c r="T145" i="46"/>
  <c r="T144" i="46"/>
  <c r="T143" i="46"/>
  <c r="V260" i="46"/>
  <c r="U261" i="46"/>
  <c r="T142" i="46"/>
  <c r="T207" i="46"/>
  <c r="T206" i="46"/>
  <c r="X23" i="46"/>
  <c r="U21" i="45"/>
  <c r="U23" i="45" s="1"/>
  <c r="V43" i="45"/>
  <c r="W41" i="45"/>
  <c r="V95" i="45"/>
  <c r="BA95" i="45"/>
  <c r="W18" i="45"/>
  <c r="W19" i="45" s="1"/>
  <c r="V44" i="45"/>
  <c r="X39" i="45"/>
  <c r="Y38" i="45"/>
  <c r="BE38" i="45" s="1"/>
  <c r="X40" i="45"/>
  <c r="V19" i="45"/>
  <c r="V20" i="45"/>
  <c r="Y16" i="45"/>
  <c r="BE16" i="45" s="1"/>
  <c r="X17" i="45"/>
  <c r="X69" i="45" s="1"/>
  <c r="BB95" i="45"/>
  <c r="AA52" i="45"/>
  <c r="AA51" i="45"/>
  <c r="AA92" i="45" s="1"/>
  <c r="AA53" i="45"/>
  <c r="AA88" i="45"/>
  <c r="AD45" i="45"/>
  <c r="AC49" i="45"/>
  <c r="AC46" i="45"/>
  <c r="AC47" i="45"/>
  <c r="BF88" i="45"/>
  <c r="BF92" i="45"/>
  <c r="S187" i="42"/>
  <c r="U184" i="42"/>
  <c r="T186" i="42"/>
  <c r="T188" i="42" s="1"/>
  <c r="T185" i="42"/>
  <c r="AH72" i="12"/>
  <c r="BL63" i="36"/>
  <c r="BL68" i="36" s="1"/>
  <c r="BL75" i="36" s="1"/>
  <c r="AF68" i="36"/>
  <c r="AF75" i="36" s="1"/>
  <c r="AH63" i="36"/>
  <c r="AG63" i="36"/>
  <c r="AF63" i="45"/>
  <c r="BL64" i="36"/>
  <c r="AF66" i="36"/>
  <c r="AF73" i="36" s="1"/>
  <c r="AF65" i="36"/>
  <c r="AE71" i="36"/>
  <c r="AE106" i="36"/>
  <c r="BJ71" i="36"/>
  <c r="BJ72" i="36" s="1"/>
  <c r="BJ106" i="36"/>
  <c r="BK66" i="36"/>
  <c r="BK73" i="36" s="1"/>
  <c r="BK65" i="36"/>
  <c r="T69" i="20"/>
  <c r="X24" i="29"/>
  <c r="Y21" i="29"/>
  <c r="T132" i="42"/>
  <c r="T132" i="38"/>
  <c r="X24" i="38"/>
  <c r="W25" i="38"/>
  <c r="T68" i="42"/>
  <c r="U63" i="42"/>
  <c r="T67" i="42"/>
  <c r="T69" i="42"/>
  <c r="T88" i="42" s="1"/>
  <c r="T65" i="42"/>
  <c r="T70" i="42"/>
  <c r="T64" i="42"/>
  <c r="X21" i="38"/>
  <c r="T133" i="38"/>
  <c r="T135" i="38"/>
  <c r="T134" i="38"/>
  <c r="T134" i="42"/>
  <c r="T133" i="42"/>
  <c r="T135" i="42"/>
  <c r="V129" i="42"/>
  <c r="U130" i="42"/>
  <c r="U131" i="42"/>
  <c r="V234" i="38"/>
  <c r="U235" i="38"/>
  <c r="V234" i="42"/>
  <c r="U235" i="42"/>
  <c r="T188" i="38"/>
  <c r="T189" i="38"/>
  <c r="U219" i="42"/>
  <c r="T220" i="42"/>
  <c r="S66" i="38"/>
  <c r="S93" i="42"/>
  <c r="S94" i="42"/>
  <c r="V219" i="38"/>
  <c r="U220" i="38"/>
  <c r="S66" i="42"/>
  <c r="T187" i="38"/>
  <c r="W22" i="38"/>
  <c r="W23" i="38"/>
  <c r="V129" i="38"/>
  <c r="U185" i="38"/>
  <c r="U186" i="38"/>
  <c r="U130" i="38"/>
  <c r="U131" i="38"/>
  <c r="U63" i="38"/>
  <c r="T68" i="38"/>
  <c r="T67" i="38"/>
  <c r="T64" i="38"/>
  <c r="T70" i="38"/>
  <c r="T65" i="38"/>
  <c r="T69" i="38"/>
  <c r="T88" i="38" s="1"/>
  <c r="T71" i="20"/>
  <c r="T70" i="20"/>
  <c r="T72" i="20"/>
  <c r="T73" i="20"/>
  <c r="U268" i="19"/>
  <c r="V310" i="20"/>
  <c r="Z21" i="28"/>
  <c r="Y25" i="28"/>
  <c r="V122" i="20"/>
  <c r="U126" i="20"/>
  <c r="U124" i="20"/>
  <c r="U125" i="20"/>
  <c r="U128" i="20"/>
  <c r="U123" i="20"/>
  <c r="U127" i="20"/>
  <c r="U63" i="28"/>
  <c r="U66" i="28"/>
  <c r="V62" i="28"/>
  <c r="U64" i="28"/>
  <c r="U67" i="28"/>
  <c r="U88" i="28"/>
  <c r="U89" i="28"/>
  <c r="V85" i="28"/>
  <c r="U90" i="28"/>
  <c r="U87" i="28"/>
  <c r="U86" i="28"/>
  <c r="U91" i="28"/>
  <c r="Y24" i="28"/>
  <c r="V66" i="20"/>
  <c r="U68" i="20"/>
  <c r="U67" i="20"/>
  <c r="U111" i="28"/>
  <c r="V110" i="28"/>
  <c r="T65" i="28"/>
  <c r="V198" i="20"/>
  <c r="U199" i="20"/>
  <c r="X23" i="28"/>
  <c r="X22" i="28"/>
  <c r="AG50" i="15"/>
  <c r="AG53" i="15" s="1"/>
  <c r="AG137" i="15" s="1"/>
  <c r="AG126" i="15"/>
  <c r="AE74" i="12"/>
  <c r="AE219" i="12" s="1"/>
  <c r="AE230" i="12" s="1"/>
  <c r="AE75" i="12"/>
  <c r="AE78" i="12"/>
  <c r="AE79" i="12"/>
  <c r="AE76" i="12"/>
  <c r="AE77" i="12"/>
  <c r="AE80" i="12"/>
  <c r="T212" i="20"/>
  <c r="AF74" i="14"/>
  <c r="AF219" i="14" s="1"/>
  <c r="AF230" i="14" s="1"/>
  <c r="AF79" i="14"/>
  <c r="AF75" i="14"/>
  <c r="AF76" i="14"/>
  <c r="AF78" i="14"/>
  <c r="AF80" i="14"/>
  <c r="AF77" i="14"/>
  <c r="AH32" i="13"/>
  <c r="AH73" i="14" s="1"/>
  <c r="AH31" i="13"/>
  <c r="AH33" i="13" s="1"/>
  <c r="AH64" i="36" s="1"/>
  <c r="AG31" i="13"/>
  <c r="AG33" i="13" s="1"/>
  <c r="AG64" i="36" s="1"/>
  <c r="AG32" i="13"/>
  <c r="AG73" i="14" s="1"/>
  <c r="AF73" i="12"/>
  <c r="AH31" i="15"/>
  <c r="T3" i="12"/>
  <c r="S1" i="52" s="1"/>
  <c r="I45" i="2"/>
  <c r="E52" i="2"/>
  <c r="B5" i="8"/>
  <c r="V30" i="3"/>
  <c r="V32" i="3"/>
  <c r="W32" i="3"/>
  <c r="C26" i="3"/>
  <c r="C30" i="3" s="1"/>
  <c r="D30" i="3" s="1"/>
  <c r="E29" i="3"/>
  <c r="E30" i="3"/>
  <c r="E28" i="3"/>
  <c r="D27" i="3"/>
  <c r="M15" i="7"/>
  <c r="N15" i="7" s="1"/>
  <c r="M14" i="7"/>
  <c r="C38" i="7" s="1"/>
  <c r="B17" i="1"/>
  <c r="I16" i="7"/>
  <c r="I17" i="7"/>
  <c r="C11" i="7"/>
  <c r="D11" i="7" s="1"/>
  <c r="L2" i="7"/>
  <c r="Q13" i="1"/>
  <c r="N4" i="6"/>
  <c r="O4" i="6" s="1"/>
  <c r="P4" i="6" s="1"/>
  <c r="Q4" i="6" s="1"/>
  <c r="R4" i="6" s="1"/>
  <c r="N5" i="6"/>
  <c r="N6" i="6"/>
  <c r="O6" i="6" s="1"/>
  <c r="P6" i="6" s="1"/>
  <c r="Q6" i="6" s="1"/>
  <c r="R6" i="6" s="1"/>
  <c r="AB50" i="45" l="1"/>
  <c r="AA39" i="46" s="1"/>
  <c r="BA23" i="45"/>
  <c r="AE72" i="36"/>
  <c r="CQ38" i="58"/>
  <c r="AE37" i="58" s="1"/>
  <c r="BK37" i="58" s="1"/>
  <c r="CQ37" i="58" s="1"/>
  <c r="AD96" i="55"/>
  <c r="BI96" i="55"/>
  <c r="DU96" i="55" s="1"/>
  <c r="K57" i="60"/>
  <c r="BP186" i="55"/>
  <c r="EE186" i="55"/>
  <c r="AD95" i="55"/>
  <c r="BI95" i="55"/>
  <c r="DU95" i="55" s="1"/>
  <c r="Y24" i="54"/>
  <c r="X21" i="54"/>
  <c r="X23" i="54"/>
  <c r="X22" i="54"/>
  <c r="X25" i="54"/>
  <c r="U66" i="54"/>
  <c r="Z8" i="52"/>
  <c r="AN5" i="50"/>
  <c r="AB4" i="51"/>
  <c r="AB57" i="58" s="1"/>
  <c r="V67" i="54"/>
  <c r="V64" i="54"/>
  <c r="V65" i="54"/>
  <c r="V68" i="54"/>
  <c r="V69" i="54"/>
  <c r="V76" i="54" s="1"/>
  <c r="V77" i="54" s="1"/>
  <c r="V70" i="54"/>
  <c r="W63" i="54"/>
  <c r="U66" i="53"/>
  <c r="V157" i="54"/>
  <c r="W156" i="54"/>
  <c r="AA39" i="48"/>
  <c r="BH53" i="45"/>
  <c r="BH51" i="45"/>
  <c r="BH52" i="45"/>
  <c r="W147" i="53"/>
  <c r="V148" i="53"/>
  <c r="W156" i="53"/>
  <c r="V157" i="53"/>
  <c r="U77" i="53"/>
  <c r="V69" i="53"/>
  <c r="V76" i="53" s="1"/>
  <c r="W63" i="53"/>
  <c r="V65" i="53"/>
  <c r="V64" i="53"/>
  <c r="V70" i="53"/>
  <c r="V67" i="53"/>
  <c r="V68" i="53"/>
  <c r="V38" i="46"/>
  <c r="U24" i="45"/>
  <c r="U133" i="53"/>
  <c r="U104" i="53"/>
  <c r="U103" i="53"/>
  <c r="U105" i="53"/>
  <c r="U135" i="53"/>
  <c r="U134" i="53"/>
  <c r="U102" i="53"/>
  <c r="V100" i="53"/>
  <c r="V101" i="53"/>
  <c r="V132" i="53"/>
  <c r="V131" i="53"/>
  <c r="Z24" i="53"/>
  <c r="Y25" i="53"/>
  <c r="Y23" i="53"/>
  <c r="Y21" i="53"/>
  <c r="Y22" i="53"/>
  <c r="BF4" i="51"/>
  <c r="BF57" i="58" s="1"/>
  <c r="AM3" i="50"/>
  <c r="AA6" i="52" s="1"/>
  <c r="BC43" i="45"/>
  <c r="W43" i="45"/>
  <c r="BC42" i="45"/>
  <c r="V38" i="48"/>
  <c r="U66" i="48"/>
  <c r="T66" i="46"/>
  <c r="W95" i="45"/>
  <c r="U205" i="48"/>
  <c r="AC48" i="45"/>
  <c r="AC50" i="45" s="1"/>
  <c r="AB39" i="46" s="1"/>
  <c r="BD41" i="45"/>
  <c r="W38" i="48" s="1"/>
  <c r="X22" i="48"/>
  <c r="V65" i="48"/>
  <c r="V70" i="48"/>
  <c r="V69" i="48"/>
  <c r="V64" i="48"/>
  <c r="V68" i="48"/>
  <c r="W63" i="48"/>
  <c r="V67" i="48"/>
  <c r="S96" i="48"/>
  <c r="S101" i="48" s="1"/>
  <c r="S93" i="48"/>
  <c r="S98" i="48" s="1"/>
  <c r="S94" i="48"/>
  <c r="S95" i="48"/>
  <c r="S100" i="48" s="1"/>
  <c r="S97" i="48"/>
  <c r="W243" i="48"/>
  <c r="V244" i="48"/>
  <c r="X25" i="48"/>
  <c r="V261" i="48"/>
  <c r="W260" i="48"/>
  <c r="Y21" i="48"/>
  <c r="T91" i="38"/>
  <c r="T89" i="38"/>
  <c r="T90" i="38"/>
  <c r="U143" i="48"/>
  <c r="U145" i="48"/>
  <c r="U144" i="48"/>
  <c r="T95" i="46"/>
  <c r="T100" i="46" s="1"/>
  <c r="T94" i="46"/>
  <c r="T92" i="48"/>
  <c r="T97" i="46"/>
  <c r="T93" i="46"/>
  <c r="T98" i="46" s="1"/>
  <c r="T96" i="46"/>
  <c r="T101" i="46" s="1"/>
  <c r="Y24" i="48"/>
  <c r="BB21" i="45"/>
  <c r="BI48" i="45"/>
  <c r="BI50" i="45" s="1"/>
  <c r="BI51" i="45" s="1"/>
  <c r="W139" i="48"/>
  <c r="V140" i="48"/>
  <c r="V204" i="48"/>
  <c r="V141" i="48"/>
  <c r="V203" i="48"/>
  <c r="U206" i="48"/>
  <c r="U207" i="48"/>
  <c r="X23" i="48"/>
  <c r="U67" i="46"/>
  <c r="U69" i="46"/>
  <c r="U92" i="46" s="1"/>
  <c r="U70" i="46"/>
  <c r="U64" i="46"/>
  <c r="V63" i="46"/>
  <c r="U68" i="46"/>
  <c r="U65" i="46"/>
  <c r="T92" i="42"/>
  <c r="T89" i="42"/>
  <c r="T93" i="42" s="1"/>
  <c r="T91" i="42"/>
  <c r="T95" i="42" s="1"/>
  <c r="T90" i="42"/>
  <c r="W20" i="45"/>
  <c r="U142" i="48"/>
  <c r="W44" i="45"/>
  <c r="U25" i="45"/>
  <c r="T37" i="46"/>
  <c r="BC19" i="45"/>
  <c r="BC20" i="45"/>
  <c r="BJ47" i="45"/>
  <c r="BJ49" i="45"/>
  <c r="BJ46" i="45"/>
  <c r="BK45" i="45"/>
  <c r="BB23" i="45"/>
  <c r="BB82" i="45" s="1"/>
  <c r="W42" i="45"/>
  <c r="U82" i="45"/>
  <c r="T37" i="48"/>
  <c r="BA25" i="45"/>
  <c r="BA26" i="45"/>
  <c r="BA24" i="45"/>
  <c r="BE17" i="45"/>
  <c r="BE69" i="45" s="1"/>
  <c r="BE39" i="45"/>
  <c r="BE40" i="45"/>
  <c r="BD18" i="45"/>
  <c r="Y23" i="46"/>
  <c r="Y22" i="46"/>
  <c r="Y25" i="46"/>
  <c r="AE363" i="46"/>
  <c r="U142" i="46"/>
  <c r="W139" i="46"/>
  <c r="V204" i="46"/>
  <c r="V140" i="46"/>
  <c r="V203" i="46"/>
  <c r="V141" i="46"/>
  <c r="Z24" i="46"/>
  <c r="U205" i="46"/>
  <c r="Z21" i="46"/>
  <c r="U145" i="46"/>
  <c r="U144" i="46"/>
  <c r="U143" i="46"/>
  <c r="W260" i="46"/>
  <c r="V261" i="46"/>
  <c r="W243" i="46"/>
  <c r="V244" i="46"/>
  <c r="U207" i="46"/>
  <c r="U206" i="46"/>
  <c r="U26" i="45"/>
  <c r="X18" i="45"/>
  <c r="X19" i="45" s="1"/>
  <c r="AZ82" i="45"/>
  <c r="V21" i="45"/>
  <c r="V23" i="45" s="1"/>
  <c r="Z38" i="45"/>
  <c r="BF38" i="45" s="1"/>
  <c r="Y40" i="45"/>
  <c r="Y39" i="45"/>
  <c r="Y17" i="45"/>
  <c r="Y69" i="45" s="1"/>
  <c r="Z16" i="45"/>
  <c r="BF16" i="45" s="1"/>
  <c r="X41" i="45"/>
  <c r="BG88" i="45"/>
  <c r="BG92" i="45"/>
  <c r="AE45" i="45"/>
  <c r="AD49" i="45"/>
  <c r="AD47" i="45"/>
  <c r="AD46" i="45"/>
  <c r="T189" i="42"/>
  <c r="T187" i="42"/>
  <c r="V184" i="42"/>
  <c r="U186" i="42"/>
  <c r="U189" i="42" s="1"/>
  <c r="U185" i="42"/>
  <c r="BN63" i="36"/>
  <c r="BN68" i="36" s="1"/>
  <c r="BN75" i="36" s="1"/>
  <c r="AH68" i="36"/>
  <c r="AH75" i="36" s="1"/>
  <c r="AG63" i="45"/>
  <c r="BM63" i="36"/>
  <c r="BM68" i="36" s="1"/>
  <c r="BM75" i="36" s="1"/>
  <c r="AG68" i="36"/>
  <c r="AG75" i="36" s="1"/>
  <c r="AH63" i="45"/>
  <c r="BN64" i="36"/>
  <c r="AH66" i="36"/>
  <c r="AH73" i="36" s="1"/>
  <c r="AH65" i="36"/>
  <c r="CI12" i="36" s="1"/>
  <c r="CD23" i="36" s="1"/>
  <c r="AF71" i="36"/>
  <c r="AF106" i="36"/>
  <c r="BM64" i="36"/>
  <c r="AG66" i="36"/>
  <c r="AG73" i="36" s="1"/>
  <c r="AG65" i="36"/>
  <c r="BK71" i="36"/>
  <c r="BK72" i="36" s="1"/>
  <c r="BK106" i="36"/>
  <c r="BL66" i="36"/>
  <c r="BL73" i="36" s="1"/>
  <c r="BL65" i="36"/>
  <c r="Z21" i="29"/>
  <c r="Y24" i="29"/>
  <c r="U132" i="42"/>
  <c r="T66" i="38"/>
  <c r="W129" i="38"/>
  <c r="V185" i="38"/>
  <c r="V186" i="38"/>
  <c r="V130" i="38"/>
  <c r="V131" i="38"/>
  <c r="U132" i="38"/>
  <c r="X23" i="38"/>
  <c r="U134" i="42"/>
  <c r="U133" i="42"/>
  <c r="U135" i="42"/>
  <c r="W129" i="42"/>
  <c r="V131" i="42"/>
  <c r="V130" i="42"/>
  <c r="U69" i="42"/>
  <c r="U88" i="42" s="1"/>
  <c r="U67" i="42"/>
  <c r="U68" i="42"/>
  <c r="U70" i="42"/>
  <c r="U65" i="42"/>
  <c r="V63" i="42"/>
  <c r="U64" i="42"/>
  <c r="Y24" i="38"/>
  <c r="W219" i="38"/>
  <c r="V220" i="38"/>
  <c r="V219" i="42"/>
  <c r="U220" i="42"/>
  <c r="W234" i="42"/>
  <c r="V235" i="42"/>
  <c r="U189" i="38"/>
  <c r="U188" i="38"/>
  <c r="U67" i="38"/>
  <c r="U64" i="38"/>
  <c r="U65" i="38"/>
  <c r="V63" i="38"/>
  <c r="U69" i="38"/>
  <c r="U88" i="38" s="1"/>
  <c r="U68" i="38"/>
  <c r="U70" i="38"/>
  <c r="U187" i="38"/>
  <c r="X22" i="38"/>
  <c r="Y21" i="38"/>
  <c r="X25" i="38"/>
  <c r="U133" i="38"/>
  <c r="U135" i="38"/>
  <c r="U134" i="38"/>
  <c r="W234" i="38"/>
  <c r="V235" i="38"/>
  <c r="T66" i="42"/>
  <c r="T94" i="42"/>
  <c r="Y22" i="28"/>
  <c r="V199" i="20"/>
  <c r="W198" i="20"/>
  <c r="W110" i="28"/>
  <c r="V111" i="28"/>
  <c r="U72" i="20"/>
  <c r="U71" i="20"/>
  <c r="U73" i="20"/>
  <c r="U70" i="20"/>
  <c r="V87" i="28"/>
  <c r="V88" i="28"/>
  <c r="W85" i="28"/>
  <c r="V89" i="28"/>
  <c r="V86" i="28"/>
  <c r="V91" i="28"/>
  <c r="V90" i="28"/>
  <c r="Z25" i="28"/>
  <c r="W66" i="20"/>
  <c r="V68" i="20"/>
  <c r="V67" i="20"/>
  <c r="V66" i="28"/>
  <c r="W62" i="28"/>
  <c r="V64" i="28"/>
  <c r="V67" i="28"/>
  <c r="V63" i="28"/>
  <c r="Y23" i="28"/>
  <c r="V124" i="20"/>
  <c r="V128" i="20"/>
  <c r="W122" i="20"/>
  <c r="V126" i="20"/>
  <c r="V125" i="20"/>
  <c r="V127" i="20"/>
  <c r="V123" i="20"/>
  <c r="AA21" i="28"/>
  <c r="U69" i="20"/>
  <c r="Z24" i="28"/>
  <c r="U65" i="28"/>
  <c r="W310" i="20"/>
  <c r="V268" i="19"/>
  <c r="W33" i="3"/>
  <c r="V33" i="3" s="1"/>
  <c r="AH126" i="15"/>
  <c r="D86" i="15"/>
  <c r="AN120" i="15"/>
  <c r="AF74" i="12"/>
  <c r="AF219" i="12" s="1"/>
  <c r="AF230" i="12" s="1"/>
  <c r="AF76" i="12"/>
  <c r="AF77" i="12"/>
  <c r="AF75" i="12"/>
  <c r="AF78" i="12"/>
  <c r="AF79" i="12"/>
  <c r="AF80" i="12"/>
  <c r="U212" i="20"/>
  <c r="AG74" i="14"/>
  <c r="AG219" i="14" s="1"/>
  <c r="AG230" i="14" s="1"/>
  <c r="AG80" i="14"/>
  <c r="AG76" i="14"/>
  <c r="AG75" i="14"/>
  <c r="AG77" i="14"/>
  <c r="AG79" i="14"/>
  <c r="AG78" i="14"/>
  <c r="AH74" i="14"/>
  <c r="D179" i="14" s="1"/>
  <c r="AH75" i="14"/>
  <c r="AH77" i="14"/>
  <c r="AH76" i="14"/>
  <c r="AH80" i="14"/>
  <c r="AH78" i="14"/>
  <c r="AH79" i="14"/>
  <c r="C84" i="7"/>
  <c r="N14" i="7"/>
  <c r="O14" i="7" s="1"/>
  <c r="T20" i="7"/>
  <c r="T19" i="7"/>
  <c r="E63" i="7"/>
  <c r="C86" i="7"/>
  <c r="J19" i="7"/>
  <c r="J18" i="7"/>
  <c r="J20" i="7"/>
  <c r="Y14" i="7"/>
  <c r="J14" i="7"/>
  <c r="T15" i="7"/>
  <c r="J16" i="7"/>
  <c r="T14" i="7"/>
  <c r="J17" i="7"/>
  <c r="J15" i="7"/>
  <c r="O15" i="7"/>
  <c r="L70" i="7"/>
  <c r="AH50" i="15"/>
  <c r="AH53" i="15" s="1"/>
  <c r="AH137" i="15" s="1"/>
  <c r="W34" i="3"/>
  <c r="C29" i="3"/>
  <c r="D29" i="3" s="1"/>
  <c r="AG73" i="12"/>
  <c r="AH73" i="12"/>
  <c r="I21" i="7"/>
  <c r="M16" i="7"/>
  <c r="N16" i="7" s="1"/>
  <c r="O5" i="6"/>
  <c r="D4" i="16"/>
  <c r="D4" i="15"/>
  <c r="C52" i="2"/>
  <c r="U3" i="12"/>
  <c r="T1" i="52" s="1"/>
  <c r="C27" i="3"/>
  <c r="E27" i="3" s="1"/>
  <c r="C28" i="3"/>
  <c r="D28" i="3" s="1"/>
  <c r="C31" i="3"/>
  <c r="E31" i="3" s="1"/>
  <c r="AB52" i="45" l="1"/>
  <c r="AB51" i="45"/>
  <c r="AB92" i="45" s="1"/>
  <c r="AB53" i="45"/>
  <c r="AB88" i="45"/>
  <c r="C40" i="7"/>
  <c r="AE95" i="55"/>
  <c r="BJ95" i="55"/>
  <c r="DV95" i="55" s="1"/>
  <c r="BZ186" i="55"/>
  <c r="D26" i="55"/>
  <c r="EA186" i="55"/>
  <c r="AE96" i="55"/>
  <c r="BJ96" i="55"/>
  <c r="DV96" i="55" s="1"/>
  <c r="BP33" i="58"/>
  <c r="D32" i="58" s="1"/>
  <c r="C4" i="52"/>
  <c r="AF72" i="36"/>
  <c r="CR38" i="58"/>
  <c r="AF37" i="58" s="1"/>
  <c r="BL37" i="58" s="1"/>
  <c r="CR37" i="58" s="1"/>
  <c r="W21" i="45"/>
  <c r="W23" i="45" s="1"/>
  <c r="Y25" i="54"/>
  <c r="Z24" i="54"/>
  <c r="Y23" i="54"/>
  <c r="Y21" i="54"/>
  <c r="Y22" i="54"/>
  <c r="V66" i="54"/>
  <c r="AC52" i="45"/>
  <c r="AO5" i="50"/>
  <c r="AC4" i="51"/>
  <c r="AC57" i="58" s="1"/>
  <c r="AA8" i="52"/>
  <c r="X63" i="54"/>
  <c r="W69" i="54"/>
  <c r="W76" i="54" s="1"/>
  <c r="W77" i="54" s="1"/>
  <c r="W67" i="54"/>
  <c r="W70" i="54"/>
  <c r="W65" i="54"/>
  <c r="W68" i="54"/>
  <c r="W64" i="54"/>
  <c r="X156" i="54"/>
  <c r="W157" i="54"/>
  <c r="X147" i="53"/>
  <c r="W148" i="53"/>
  <c r="X156" i="53"/>
  <c r="W157" i="53"/>
  <c r="X63" i="53"/>
  <c r="W67" i="53"/>
  <c r="W64" i="53"/>
  <c r="W70" i="53"/>
  <c r="W69" i="53"/>
  <c r="W76" i="53" s="1"/>
  <c r="W68" i="53"/>
  <c r="W65" i="53"/>
  <c r="V77" i="53"/>
  <c r="V66" i="53"/>
  <c r="U37" i="46"/>
  <c r="V133" i="53"/>
  <c r="V135" i="53"/>
  <c r="V134" i="53"/>
  <c r="W38" i="46"/>
  <c r="V104" i="53"/>
  <c r="V105" i="53"/>
  <c r="V103" i="53"/>
  <c r="V102" i="53"/>
  <c r="W100" i="53"/>
  <c r="W132" i="53"/>
  <c r="W101" i="53"/>
  <c r="W131" i="53"/>
  <c r="Z22" i="53"/>
  <c r="Z25" i="53"/>
  <c r="Z21" i="53"/>
  <c r="AA24" i="53"/>
  <c r="Z23" i="53"/>
  <c r="BG4" i="51"/>
  <c r="BG57" i="58" s="1"/>
  <c r="AN3" i="50"/>
  <c r="AB6" i="52" s="1"/>
  <c r="V37" i="46"/>
  <c r="W26" i="45"/>
  <c r="BD44" i="45"/>
  <c r="BD42" i="45"/>
  <c r="AC53" i="45"/>
  <c r="AC51" i="45"/>
  <c r="AC92" i="45" s="1"/>
  <c r="AB39" i="48"/>
  <c r="AC88" i="45"/>
  <c r="W24" i="45"/>
  <c r="BD43" i="45"/>
  <c r="BJ48" i="45"/>
  <c r="BJ50" i="45" s="1"/>
  <c r="BJ52" i="45" s="1"/>
  <c r="BI52" i="45"/>
  <c r="BI53" i="45"/>
  <c r="BE41" i="45"/>
  <c r="BE44" i="45" s="1"/>
  <c r="Y25" i="48"/>
  <c r="W82" i="45"/>
  <c r="V70" i="46"/>
  <c r="V64" i="46"/>
  <c r="V68" i="46"/>
  <c r="V67" i="46"/>
  <c r="V69" i="46"/>
  <c r="V92" i="46" s="1"/>
  <c r="W63" i="46"/>
  <c r="V65" i="46"/>
  <c r="V207" i="48"/>
  <c r="V206" i="48"/>
  <c r="T93" i="48"/>
  <c r="T98" i="48" s="1"/>
  <c r="T96" i="48"/>
  <c r="T101" i="48" s="1"/>
  <c r="T95" i="48"/>
  <c r="T100" i="48" s="1"/>
  <c r="T94" i="48"/>
  <c r="T97" i="48"/>
  <c r="X260" i="48"/>
  <c r="W261" i="48"/>
  <c r="V66" i="48"/>
  <c r="Z21" i="48"/>
  <c r="U66" i="46"/>
  <c r="V142" i="48"/>
  <c r="X243" i="48"/>
  <c r="W244" i="48"/>
  <c r="Y22" i="48"/>
  <c r="U95" i="46"/>
  <c r="U100" i="46" s="1"/>
  <c r="U93" i="46"/>
  <c r="U98" i="46" s="1"/>
  <c r="U92" i="48"/>
  <c r="U97" i="46"/>
  <c r="U96" i="46"/>
  <c r="U101" i="46" s="1"/>
  <c r="U94" i="46"/>
  <c r="V143" i="48"/>
  <c r="V145" i="48"/>
  <c r="V144" i="48"/>
  <c r="Z24" i="48"/>
  <c r="U89" i="38"/>
  <c r="U90" i="38"/>
  <c r="U91" i="38"/>
  <c r="U92" i="42"/>
  <c r="U90" i="42"/>
  <c r="U91" i="42"/>
  <c r="U95" i="42" s="1"/>
  <c r="U89" i="42"/>
  <c r="U93" i="42" s="1"/>
  <c r="W25" i="45"/>
  <c r="Y23" i="48"/>
  <c r="V205" i="48"/>
  <c r="X139" i="48"/>
  <c r="W141" i="48"/>
  <c r="W203" i="48"/>
  <c r="W204" i="48"/>
  <c r="W140" i="48"/>
  <c r="W64" i="48"/>
  <c r="W67" i="48"/>
  <c r="W69" i="48"/>
  <c r="W65" i="48"/>
  <c r="W68" i="48"/>
  <c r="X63" i="48"/>
  <c r="W70" i="48"/>
  <c r="BE18" i="45"/>
  <c r="BB25" i="45"/>
  <c r="U37" i="48"/>
  <c r="BB24" i="45"/>
  <c r="BB26" i="45"/>
  <c r="BD20" i="45"/>
  <c r="BD19" i="45"/>
  <c r="BC21" i="45"/>
  <c r="BF17" i="45"/>
  <c r="BF69" i="45" s="1"/>
  <c r="BF40" i="45"/>
  <c r="BF39" i="45"/>
  <c r="BK49" i="45"/>
  <c r="BK46" i="45"/>
  <c r="BK47" i="45"/>
  <c r="BL45" i="45"/>
  <c r="Z25" i="46"/>
  <c r="X260" i="46"/>
  <c r="W261" i="46"/>
  <c r="V207" i="46"/>
  <c r="V206" i="46"/>
  <c r="Z23" i="46"/>
  <c r="AA24" i="46"/>
  <c r="V142" i="46"/>
  <c r="V145" i="46"/>
  <c r="V144" i="46"/>
  <c r="V143" i="46"/>
  <c r="X139" i="46"/>
  <c r="W204" i="46"/>
  <c r="W203" i="46"/>
  <c r="W140" i="46"/>
  <c r="W141" i="46"/>
  <c r="AF363" i="46"/>
  <c r="Z22" i="46"/>
  <c r="X243" i="46"/>
  <c r="W244" i="46"/>
  <c r="AA21" i="46"/>
  <c r="V205" i="46"/>
  <c r="Y41" i="45"/>
  <c r="X20" i="45"/>
  <c r="BA82" i="45"/>
  <c r="AA16" i="45"/>
  <c r="BG16" i="45" s="1"/>
  <c r="Z17" i="45"/>
  <c r="Z69" i="45" s="1"/>
  <c r="V24" i="45"/>
  <c r="V26" i="45"/>
  <c r="V25" i="45"/>
  <c r="V82" i="45"/>
  <c r="BD95" i="45"/>
  <c r="Z39" i="45"/>
  <c r="AA38" i="45"/>
  <c r="BG38" i="45" s="1"/>
  <c r="Z40" i="45"/>
  <c r="X95" i="45"/>
  <c r="X42" i="45"/>
  <c r="X43" i="45"/>
  <c r="X44" i="45"/>
  <c r="BC95" i="45"/>
  <c r="Y18" i="45"/>
  <c r="BH92" i="45"/>
  <c r="BH88" i="45"/>
  <c r="AF45" i="45"/>
  <c r="AE47" i="45"/>
  <c r="AE46" i="45"/>
  <c r="AE49" i="45"/>
  <c r="AD48" i="45"/>
  <c r="AD50" i="45" s="1"/>
  <c r="AC39" i="46" s="1"/>
  <c r="V34" i="3"/>
  <c r="W36" i="3" s="1"/>
  <c r="U187" i="42"/>
  <c r="U188" i="42"/>
  <c r="W184" i="42"/>
  <c r="V185" i="42"/>
  <c r="V186" i="42"/>
  <c r="V188" i="42" s="1"/>
  <c r="CI10" i="45"/>
  <c r="AH71" i="36"/>
  <c r="AH106" i="36"/>
  <c r="BL71" i="36"/>
  <c r="BL72" i="36" s="1"/>
  <c r="BL106" i="36"/>
  <c r="BM65" i="36"/>
  <c r="BM66" i="36"/>
  <c r="BM73" i="36" s="1"/>
  <c r="AG71" i="36"/>
  <c r="AG106" i="36"/>
  <c r="BN65" i="36"/>
  <c r="BN66" i="36"/>
  <c r="BN73" i="36" s="1"/>
  <c r="V65" i="28"/>
  <c r="V132" i="38"/>
  <c r="V69" i="20"/>
  <c r="AA21" i="29"/>
  <c r="Z24" i="29"/>
  <c r="X234" i="42"/>
  <c r="W235" i="42"/>
  <c r="W219" i="42"/>
  <c r="V220" i="42"/>
  <c r="X219" i="38"/>
  <c r="W220" i="38"/>
  <c r="U66" i="42"/>
  <c r="V132" i="42"/>
  <c r="X129" i="42"/>
  <c r="W130" i="42"/>
  <c r="W131" i="42"/>
  <c r="Y23" i="38"/>
  <c r="V133" i="38"/>
  <c r="V135" i="38"/>
  <c r="V134" i="38"/>
  <c r="X129" i="38"/>
  <c r="W185" i="38"/>
  <c r="W186" i="38"/>
  <c r="W131" i="38"/>
  <c r="W130" i="38"/>
  <c r="X234" i="38"/>
  <c r="W235" i="38"/>
  <c r="Z21" i="38"/>
  <c r="U66" i="38"/>
  <c r="V67" i="42"/>
  <c r="V65" i="42"/>
  <c r="V69" i="42"/>
  <c r="V88" i="42" s="1"/>
  <c r="V70" i="42"/>
  <c r="V68" i="42"/>
  <c r="W63" i="42"/>
  <c r="V64" i="42"/>
  <c r="U94" i="42"/>
  <c r="V134" i="42"/>
  <c r="V133" i="42"/>
  <c r="V135" i="42"/>
  <c r="Y25" i="38"/>
  <c r="V189" i="38"/>
  <c r="V188" i="38"/>
  <c r="Y22" i="38"/>
  <c r="V68" i="38"/>
  <c r="V65" i="38"/>
  <c r="V69" i="38"/>
  <c r="V88" i="38" s="1"/>
  <c r="V67" i="38"/>
  <c r="V70" i="38"/>
  <c r="V64" i="38"/>
  <c r="W63" i="38"/>
  <c r="Z24" i="38"/>
  <c r="V187" i="38"/>
  <c r="W268" i="19"/>
  <c r="X310" i="20"/>
  <c r="AB21" i="28"/>
  <c r="X198" i="20"/>
  <c r="W199" i="20"/>
  <c r="AD9" i="14"/>
  <c r="U9" i="14"/>
  <c r="AA9" i="14"/>
  <c r="X9" i="14"/>
  <c r="Y9" i="14"/>
  <c r="AE9" i="14"/>
  <c r="AG9" i="14"/>
  <c r="Q9" i="14"/>
  <c r="AH9" i="14"/>
  <c r="T9" i="14"/>
  <c r="N9" i="14"/>
  <c r="O9" i="14"/>
  <c r="AB9" i="14"/>
  <c r="P9" i="14"/>
  <c r="V9" i="14"/>
  <c r="AC9" i="14"/>
  <c r="W9" i="14"/>
  <c r="S9" i="14"/>
  <c r="Z9" i="14"/>
  <c r="R9" i="14"/>
  <c r="AF9" i="14"/>
  <c r="W124" i="20"/>
  <c r="W123" i="20"/>
  <c r="X122" i="20"/>
  <c r="W128" i="20"/>
  <c r="W125" i="20"/>
  <c r="W127" i="20"/>
  <c r="W126" i="20"/>
  <c r="Z23" i="28"/>
  <c r="V73" i="20"/>
  <c r="V72" i="20"/>
  <c r="V71" i="20"/>
  <c r="V70" i="20"/>
  <c r="W67" i="28"/>
  <c r="W63" i="28"/>
  <c r="W64" i="28"/>
  <c r="W66" i="28"/>
  <c r="X62" i="28"/>
  <c r="W67" i="20"/>
  <c r="W68" i="20"/>
  <c r="X66" i="20"/>
  <c r="AA25" i="28"/>
  <c r="AC10" i="14"/>
  <c r="W10" i="14"/>
  <c r="AF10" i="14"/>
  <c r="N10" i="14"/>
  <c r="T10" i="14"/>
  <c r="AD10" i="14"/>
  <c r="Y10" i="14"/>
  <c r="AE10" i="14"/>
  <c r="S10" i="14"/>
  <c r="O10" i="14"/>
  <c r="AH10" i="14"/>
  <c r="AB10" i="14"/>
  <c r="P10" i="14"/>
  <c r="AG10" i="14"/>
  <c r="Q10" i="14"/>
  <c r="AA10" i="14"/>
  <c r="R10" i="14"/>
  <c r="X10" i="14"/>
  <c r="V10" i="14"/>
  <c r="U10" i="14"/>
  <c r="Z10" i="14"/>
  <c r="AA24" i="28"/>
  <c r="X85" i="28"/>
  <c r="W90" i="28"/>
  <c r="W87" i="28"/>
  <c r="W86" i="28"/>
  <c r="W89" i="28"/>
  <c r="W88" i="28"/>
  <c r="W91" i="28"/>
  <c r="W111" i="28"/>
  <c r="X110" i="28"/>
  <c r="Z22" i="28"/>
  <c r="AK80" i="16"/>
  <c r="AK106" i="16"/>
  <c r="B111" i="16"/>
  <c r="B115" i="16"/>
  <c r="B116" i="16"/>
  <c r="B112" i="16"/>
  <c r="B113" i="16"/>
  <c r="B117" i="16"/>
  <c r="D42" i="16"/>
  <c r="AL83" i="16"/>
  <c r="AL106" i="16"/>
  <c r="AK126" i="15"/>
  <c r="AK80" i="15"/>
  <c r="AK106" i="15"/>
  <c r="B111" i="15"/>
  <c r="B112" i="15"/>
  <c r="B115" i="15"/>
  <c r="B113" i="15"/>
  <c r="B116" i="15"/>
  <c r="B117" i="15"/>
  <c r="D42" i="15"/>
  <c r="AL126" i="15"/>
  <c r="AL83" i="15"/>
  <c r="AL106" i="15"/>
  <c r="AG74" i="12"/>
  <c r="AG219" i="12" s="1"/>
  <c r="AG230" i="12" s="1"/>
  <c r="AG80" i="12"/>
  <c r="AG79" i="12"/>
  <c r="AG75" i="12"/>
  <c r="AG78" i="12"/>
  <c r="AG76" i="12"/>
  <c r="AG77" i="12"/>
  <c r="AH74" i="12"/>
  <c r="D179" i="12" s="1"/>
  <c r="AH75" i="12"/>
  <c r="AH78" i="12"/>
  <c r="AH77" i="12"/>
  <c r="AH80" i="12"/>
  <c r="AH79" i="12"/>
  <c r="AH76" i="12"/>
  <c r="V212" i="20"/>
  <c r="AS175" i="14"/>
  <c r="AH219" i="14"/>
  <c r="AH230" i="14" s="1"/>
  <c r="AH9" i="12"/>
  <c r="X9" i="12"/>
  <c r="S9" i="12"/>
  <c r="AC9" i="12"/>
  <c r="N9" i="12"/>
  <c r="T9" i="12"/>
  <c r="Y9" i="12"/>
  <c r="AD9" i="12"/>
  <c r="O9" i="12"/>
  <c r="P9" i="12"/>
  <c r="Z9" i="12"/>
  <c r="AE9" i="12"/>
  <c r="U9" i="12"/>
  <c r="Q9" i="12"/>
  <c r="AA9" i="12"/>
  <c r="V9" i="12"/>
  <c r="AF9" i="12"/>
  <c r="W9" i="12"/>
  <c r="R9" i="12"/>
  <c r="AB9" i="12"/>
  <c r="AG9" i="12"/>
  <c r="X10" i="12"/>
  <c r="AH10" i="12"/>
  <c r="S10" i="12"/>
  <c r="AC10" i="12"/>
  <c r="N10" i="12"/>
  <c r="AD10" i="12"/>
  <c r="Y10" i="12"/>
  <c r="O10" i="12"/>
  <c r="T10" i="12"/>
  <c r="Z10" i="12"/>
  <c r="AE10" i="12"/>
  <c r="U10" i="12"/>
  <c r="P10" i="12"/>
  <c r="AA10" i="12"/>
  <c r="Q10" i="12"/>
  <c r="V10" i="12"/>
  <c r="AF10" i="12"/>
  <c r="R10" i="12"/>
  <c r="W10" i="12"/>
  <c r="AG10" i="12"/>
  <c r="AB10" i="12"/>
  <c r="F84" i="7"/>
  <c r="G84" i="7"/>
  <c r="X86" i="15"/>
  <c r="F86" i="7"/>
  <c r="D31" i="3"/>
  <c r="D26" i="3" s="1"/>
  <c r="D52" i="2"/>
  <c r="I51" i="2" s="1"/>
  <c r="P5" i="6"/>
  <c r="E4" i="16"/>
  <c r="E4" i="15"/>
  <c r="V3" i="12"/>
  <c r="U1" i="52" s="1"/>
  <c r="E26" i="3"/>
  <c r="K69" i="7"/>
  <c r="H70" i="7"/>
  <c r="C59" i="7"/>
  <c r="C58" i="7"/>
  <c r="C57" i="7"/>
  <c r="C56" i="7"/>
  <c r="C55" i="7"/>
  <c r="D59" i="7"/>
  <c r="D58" i="7"/>
  <c r="D57" i="7"/>
  <c r="D56" i="7"/>
  <c r="D55" i="7"/>
  <c r="D54" i="7"/>
  <c r="E59" i="7"/>
  <c r="E68" i="7" s="1"/>
  <c r="E58" i="7"/>
  <c r="E67" i="7" s="1"/>
  <c r="E57" i="7"/>
  <c r="E66" i="7" s="1"/>
  <c r="E56" i="7"/>
  <c r="E65" i="7" s="1"/>
  <c r="E55" i="7"/>
  <c r="E64" i="7" s="1"/>
  <c r="F59" i="7"/>
  <c r="F68" i="7" s="1"/>
  <c r="F58" i="7"/>
  <c r="F67" i="7" s="1"/>
  <c r="F57" i="7"/>
  <c r="F66" i="7" s="1"/>
  <c r="F56" i="7"/>
  <c r="F65" i="7" s="1"/>
  <c r="F55" i="7"/>
  <c r="F64" i="7" s="1"/>
  <c r="F63" i="7"/>
  <c r="G59" i="7"/>
  <c r="G68" i="7" s="1"/>
  <c r="G58" i="7"/>
  <c r="G67" i="7" s="1"/>
  <c r="G57" i="7"/>
  <c r="G66" i="7" s="1"/>
  <c r="G56" i="7"/>
  <c r="G65" i="7" s="1"/>
  <c r="G55" i="7"/>
  <c r="G64" i="7" s="1"/>
  <c r="AC39" i="48" l="1"/>
  <c r="I49" i="2"/>
  <c r="D4" i="52"/>
  <c r="AG72" i="36"/>
  <c r="CS38" i="58"/>
  <c r="AG37" i="58" s="1"/>
  <c r="BM37" i="58" s="1"/>
  <c r="CS37" i="58" s="1"/>
  <c r="AF96" i="55"/>
  <c r="BK96" i="55"/>
  <c r="DW96" i="55" s="1"/>
  <c r="AF95" i="55"/>
  <c r="BK95" i="55"/>
  <c r="DW95" i="55" s="1"/>
  <c r="E26" i="55"/>
  <c r="BP26" i="55"/>
  <c r="CT26" i="55" s="1"/>
  <c r="BQ26" i="55" s="1"/>
  <c r="BR26" i="55" s="1"/>
  <c r="BS26" i="55" s="1"/>
  <c r="BT26" i="55" s="1"/>
  <c r="BU26" i="55" s="1"/>
  <c r="BV26" i="55" s="1"/>
  <c r="BW26" i="55" s="1"/>
  <c r="BX26" i="55" s="1"/>
  <c r="BY26" i="55" s="1"/>
  <c r="BZ26" i="55" s="1"/>
  <c r="CA26" i="55" s="1"/>
  <c r="CB26" i="55" s="1"/>
  <c r="CC26" i="55" s="1"/>
  <c r="CD26" i="55" s="1"/>
  <c r="CE26" i="55" s="1"/>
  <c r="CF26" i="55" s="1"/>
  <c r="CG26" i="55" s="1"/>
  <c r="CH26" i="55" s="1"/>
  <c r="CI26" i="55" s="1"/>
  <c r="CJ26" i="55" s="1"/>
  <c r="CK26" i="55" s="1"/>
  <c r="CL26" i="55" s="1"/>
  <c r="CM26" i="55" s="1"/>
  <c r="CN26" i="55" s="1"/>
  <c r="CO26" i="55" s="1"/>
  <c r="CP26" i="55" s="1"/>
  <c r="CQ26" i="55" s="1"/>
  <c r="CR26" i="55" s="1"/>
  <c r="CS26" i="55" s="1"/>
  <c r="AJ26" i="55"/>
  <c r="CV26" i="55" s="1"/>
  <c r="I48" i="2"/>
  <c r="AH27" i="55"/>
  <c r="D27" i="55"/>
  <c r="K59" i="60"/>
  <c r="Z11" i="52"/>
  <c r="Q11" i="52"/>
  <c r="AG11" i="52"/>
  <c r="P11" i="52"/>
  <c r="G11" i="52"/>
  <c r="T11" i="52"/>
  <c r="S11" i="52"/>
  <c r="M11" i="52"/>
  <c r="AF11" i="52"/>
  <c r="O11" i="52"/>
  <c r="U11" i="52"/>
  <c r="N11" i="52"/>
  <c r="J11" i="52"/>
  <c r="E11" i="52"/>
  <c r="AE11" i="52"/>
  <c r="H11" i="52"/>
  <c r="D11" i="52"/>
  <c r="I11" i="52"/>
  <c r="Y11" i="52"/>
  <c r="AD11" i="52"/>
  <c r="K11" i="52"/>
  <c r="AA11" i="52"/>
  <c r="C41" i="7"/>
  <c r="K60" i="60" s="1"/>
  <c r="X11" i="52"/>
  <c r="AB11" i="52"/>
  <c r="F11" i="52"/>
  <c r="AC11" i="52"/>
  <c r="R11" i="52"/>
  <c r="B2" i="61"/>
  <c r="W11" i="52"/>
  <c r="C11" i="52"/>
  <c r="V11" i="52"/>
  <c r="L11" i="52"/>
  <c r="AH72" i="36"/>
  <c r="CT38" i="58"/>
  <c r="AH37" i="58" s="1"/>
  <c r="D3" i="61"/>
  <c r="AJ32" i="58"/>
  <c r="B8" i="60"/>
  <c r="Z25" i="54"/>
  <c r="Z21" i="54"/>
  <c r="X21" i="45"/>
  <c r="X23" i="45" s="1"/>
  <c r="X25" i="45" s="1"/>
  <c r="Z23" i="54"/>
  <c r="AA24" i="54"/>
  <c r="W66" i="54"/>
  <c r="Z22" i="54"/>
  <c r="AB8" i="52"/>
  <c r="AP5" i="50"/>
  <c r="AD4" i="51"/>
  <c r="AD57" i="58" s="1"/>
  <c r="X157" i="54"/>
  <c r="Y156" i="54"/>
  <c r="X69" i="54"/>
  <c r="X76" i="54" s="1"/>
  <c r="X77" i="54" s="1"/>
  <c r="X65" i="54"/>
  <c r="X64" i="54"/>
  <c r="X70" i="54"/>
  <c r="Y63" i="54"/>
  <c r="X68" i="54"/>
  <c r="X67" i="54"/>
  <c r="X38" i="48"/>
  <c r="Y156" i="53"/>
  <c r="X157" i="53"/>
  <c r="Y147" i="53"/>
  <c r="X148" i="53"/>
  <c r="W77" i="53"/>
  <c r="W66" i="53"/>
  <c r="X65" i="53"/>
  <c r="X64" i="53"/>
  <c r="X69" i="53"/>
  <c r="X76" i="53" s="1"/>
  <c r="Y63" i="53"/>
  <c r="X70" i="53"/>
  <c r="X68" i="53"/>
  <c r="X67" i="53"/>
  <c r="W133" i="53"/>
  <c r="W104" i="53"/>
  <c r="W103" i="53"/>
  <c r="W105" i="53"/>
  <c r="W135" i="53"/>
  <c r="W134" i="53"/>
  <c r="W102" i="53"/>
  <c r="X100" i="53"/>
  <c r="X132" i="53"/>
  <c r="X101" i="53"/>
  <c r="X131" i="53"/>
  <c r="AA22" i="53"/>
  <c r="AA23" i="53"/>
  <c r="AB24" i="53"/>
  <c r="AA21" i="53"/>
  <c r="AA25" i="53"/>
  <c r="BH4" i="51"/>
  <c r="BH57" i="58" s="1"/>
  <c r="BE43" i="45"/>
  <c r="AO3" i="50"/>
  <c r="AC6" i="52" s="1"/>
  <c r="BJ51" i="45"/>
  <c r="BJ53" i="45"/>
  <c r="BE42" i="45"/>
  <c r="BF41" i="45"/>
  <c r="BF44" i="45" s="1"/>
  <c r="V189" i="42"/>
  <c r="V66" i="46"/>
  <c r="BD21" i="45"/>
  <c r="BD23" i="45" s="1"/>
  <c r="BD25" i="45" s="1"/>
  <c r="W144" i="48"/>
  <c r="W145" i="48"/>
  <c r="W143" i="48"/>
  <c r="Y243" i="48"/>
  <c r="X244" i="48"/>
  <c r="W69" i="46"/>
  <c r="W92" i="46" s="1"/>
  <c r="W70" i="46"/>
  <c r="X63" i="46"/>
  <c r="W68" i="46"/>
  <c r="W67" i="46"/>
  <c r="W64" i="46"/>
  <c r="W65" i="46"/>
  <c r="W142" i="48"/>
  <c r="X203" i="48"/>
  <c r="Y139" i="48"/>
  <c r="X141" i="48"/>
  <c r="X140" i="48"/>
  <c r="X204" i="48"/>
  <c r="V97" i="46"/>
  <c r="V96" i="46"/>
  <c r="V101" i="46" s="1"/>
  <c r="V92" i="48"/>
  <c r="V95" i="46"/>
  <c r="V100" i="46" s="1"/>
  <c r="V93" i="46"/>
  <c r="V98" i="46" s="1"/>
  <c r="V94" i="46"/>
  <c r="V92" i="42"/>
  <c r="V91" i="42"/>
  <c r="V95" i="42" s="1"/>
  <c r="V90" i="42"/>
  <c r="V94" i="42" s="1"/>
  <c r="V89" i="42"/>
  <c r="BK48" i="45"/>
  <c r="BK50" i="45" s="1"/>
  <c r="BK51" i="45" s="1"/>
  <c r="Y63" i="48"/>
  <c r="X64" i="48"/>
  <c r="X68" i="48"/>
  <c r="X69" i="48"/>
  <c r="X70" i="48"/>
  <c r="X67" i="48"/>
  <c r="X65" i="48"/>
  <c r="W206" i="48"/>
  <c r="W207" i="48"/>
  <c r="Z22" i="48"/>
  <c r="AA21" i="48"/>
  <c r="V89" i="38"/>
  <c r="V91" i="38"/>
  <c r="V90" i="38"/>
  <c r="Z23" i="48"/>
  <c r="AA24" i="48"/>
  <c r="W66" i="48"/>
  <c r="W205" i="48"/>
  <c r="U94" i="48"/>
  <c r="U93" i="48"/>
  <c r="U98" i="48" s="1"/>
  <c r="U97" i="48"/>
  <c r="U96" i="48"/>
  <c r="U101" i="48" s="1"/>
  <c r="U95" i="48"/>
  <c r="U100" i="48" s="1"/>
  <c r="X261" i="48"/>
  <c r="Y260" i="48"/>
  <c r="Z25" i="48"/>
  <c r="Y42" i="45"/>
  <c r="X38" i="46"/>
  <c r="AE48" i="45"/>
  <c r="AE50" i="45" s="1"/>
  <c r="AD39" i="46" s="1"/>
  <c r="BG40" i="45"/>
  <c r="BG39" i="45"/>
  <c r="BG17" i="45"/>
  <c r="BG69" i="45" s="1"/>
  <c r="Y44" i="45"/>
  <c r="BL46" i="45"/>
  <c r="BL47" i="45"/>
  <c r="BL49" i="45"/>
  <c r="BM45" i="45"/>
  <c r="BC23" i="45"/>
  <c r="BE20" i="45"/>
  <c r="BE19" i="45"/>
  <c r="BF18" i="45"/>
  <c r="AB21" i="46"/>
  <c r="Y243" i="46"/>
  <c r="X244" i="46"/>
  <c r="W205" i="46"/>
  <c r="AB24" i="46"/>
  <c r="AA23" i="46"/>
  <c r="AG363" i="46"/>
  <c r="W207" i="46"/>
  <c r="W206" i="46"/>
  <c r="W145" i="46"/>
  <c r="W143" i="46"/>
  <c r="W144" i="46"/>
  <c r="Y139" i="46"/>
  <c r="X204" i="46"/>
  <c r="X141" i="46"/>
  <c r="X203" i="46"/>
  <c r="X140" i="46"/>
  <c r="Y260" i="46"/>
  <c r="X261" i="46"/>
  <c r="AA25" i="46"/>
  <c r="AA22" i="46"/>
  <c r="W142" i="46"/>
  <c r="Y43" i="45"/>
  <c r="Y95" i="45"/>
  <c r="Z41" i="45"/>
  <c r="BE95" i="45"/>
  <c r="AB16" i="45"/>
  <c r="BH16" i="45" s="1"/>
  <c r="AA17" i="45"/>
  <c r="AA69" i="45" s="1"/>
  <c r="Y20" i="45"/>
  <c r="Y19" i="45"/>
  <c r="AB38" i="45"/>
  <c r="BH38" i="45" s="1"/>
  <c r="AA40" i="45"/>
  <c r="AA39" i="45"/>
  <c r="Z18" i="45"/>
  <c r="BI88" i="45"/>
  <c r="BI92" i="45"/>
  <c r="AG45" i="45"/>
  <c r="AF47" i="45"/>
  <c r="AF46" i="45"/>
  <c r="AF49" i="45"/>
  <c r="AE52" i="45"/>
  <c r="AE51" i="45"/>
  <c r="AE92" i="45" s="1"/>
  <c r="AD51" i="45"/>
  <c r="AD92" i="45" s="1"/>
  <c r="AD53" i="45"/>
  <c r="AD52" i="45"/>
  <c r="AD88" i="45"/>
  <c r="V187" i="42"/>
  <c r="X184" i="42"/>
  <c r="W185" i="42"/>
  <c r="W186" i="42"/>
  <c r="W188" i="42" s="1"/>
  <c r="W69" i="20"/>
  <c r="K14" i="7"/>
  <c r="L24" i="7"/>
  <c r="BN71" i="36"/>
  <c r="BN72" i="36" s="1"/>
  <c r="BN106" i="36"/>
  <c r="BM71" i="36"/>
  <c r="BM72" i="36" s="1"/>
  <c r="BM106" i="36"/>
  <c r="AA24" i="29"/>
  <c r="W65" i="28"/>
  <c r="AB21" i="29"/>
  <c r="W67" i="38"/>
  <c r="W70" i="38"/>
  <c r="W69" i="38"/>
  <c r="W88" i="38" s="1"/>
  <c r="W64" i="38"/>
  <c r="W65" i="38"/>
  <c r="X63" i="38"/>
  <c r="W68" i="38"/>
  <c r="Y234" i="38"/>
  <c r="X235" i="38"/>
  <c r="V66" i="38"/>
  <c r="V66" i="42"/>
  <c r="AA21" i="38"/>
  <c r="W132" i="38"/>
  <c r="Y129" i="38"/>
  <c r="X185" i="38"/>
  <c r="X186" i="38"/>
  <c r="X130" i="38"/>
  <c r="X131" i="38"/>
  <c r="Y219" i="38"/>
  <c r="X220" i="38"/>
  <c r="Y234" i="42"/>
  <c r="X235" i="42"/>
  <c r="AA24" i="38"/>
  <c r="W68" i="42"/>
  <c r="X63" i="42"/>
  <c r="W70" i="42"/>
  <c r="W64" i="42"/>
  <c r="W65" i="42"/>
  <c r="W67" i="42"/>
  <c r="W69" i="42"/>
  <c r="W88" i="42" s="1"/>
  <c r="W134" i="42"/>
  <c r="W133" i="42"/>
  <c r="W135" i="42"/>
  <c r="Y129" i="42"/>
  <c r="X131" i="42"/>
  <c r="X130" i="42"/>
  <c r="Z25" i="38"/>
  <c r="W134" i="38"/>
  <c r="W135" i="38"/>
  <c r="W133" i="38"/>
  <c r="Z23" i="38"/>
  <c r="V93" i="42"/>
  <c r="W189" i="38"/>
  <c r="W188" i="38"/>
  <c r="W132" i="42"/>
  <c r="X219" i="42"/>
  <c r="W220" i="42"/>
  <c r="Z22" i="38"/>
  <c r="W187" i="38"/>
  <c r="X111" i="28"/>
  <c r="Y110" i="28"/>
  <c r="X87" i="28"/>
  <c r="Y85" i="28"/>
  <c r="X89" i="28"/>
  <c r="X86" i="28"/>
  <c r="X90" i="28"/>
  <c r="X88" i="28"/>
  <c r="X91" i="28"/>
  <c r="I47" i="2"/>
  <c r="AB24" i="28"/>
  <c r="AB25" i="28"/>
  <c r="X67" i="28"/>
  <c r="Y62" i="28"/>
  <c r="X66" i="28"/>
  <c r="X64" i="28"/>
  <c r="X63" i="28"/>
  <c r="AC21" i="28"/>
  <c r="X68" i="20"/>
  <c r="Y66" i="20"/>
  <c r="X67" i="20"/>
  <c r="X124" i="20"/>
  <c r="Y122" i="20"/>
  <c r="X127" i="20"/>
  <c r="X125" i="20"/>
  <c r="X126" i="20"/>
  <c r="X123" i="20"/>
  <c r="X128" i="20"/>
  <c r="Y310" i="20"/>
  <c r="X268" i="19"/>
  <c r="I50" i="2"/>
  <c r="AA22" i="28"/>
  <c r="W70" i="20"/>
  <c r="W71" i="20"/>
  <c r="W73" i="20"/>
  <c r="W72" i="20"/>
  <c r="AA23" i="28"/>
  <c r="Y198" i="20"/>
  <c r="X199" i="20"/>
  <c r="B118" i="16"/>
  <c r="B118" i="15"/>
  <c r="AH219" i="12"/>
  <c r="AH230" i="12" s="1"/>
  <c r="AS175" i="12"/>
  <c r="W212" i="20"/>
  <c r="I77" i="7"/>
  <c r="B178" i="14"/>
  <c r="E4" i="9"/>
  <c r="D50" i="14" s="1"/>
  <c r="M69" i="7"/>
  <c r="B178" i="12"/>
  <c r="D14" i="16"/>
  <c r="Q5" i="6"/>
  <c r="F4" i="16"/>
  <c r="F4" i="15"/>
  <c r="D6" i="15"/>
  <c r="D6" i="16"/>
  <c r="I5" i="4"/>
  <c r="D22" i="15"/>
  <c r="D22" i="16"/>
  <c r="W3" i="12"/>
  <c r="V1" i="52" s="1"/>
  <c r="F70" i="7"/>
  <c r="G70" i="7"/>
  <c r="G60" i="7"/>
  <c r="E70" i="7"/>
  <c r="C60" i="7"/>
  <c r="D60" i="7"/>
  <c r="E60" i="7"/>
  <c r="F60" i="7"/>
  <c r="BK53" i="45" l="1"/>
  <c r="BF42" i="45"/>
  <c r="BF43" i="45"/>
  <c r="Y38" i="48"/>
  <c r="X26" i="45"/>
  <c r="X82" i="45"/>
  <c r="W37" i="46"/>
  <c r="X24" i="45"/>
  <c r="F26" i="55"/>
  <c r="AK26" i="55"/>
  <c r="CW26" i="55" s="1"/>
  <c r="AG96" i="55"/>
  <c r="BM96" i="55" s="1"/>
  <c r="DY96" i="55" s="1"/>
  <c r="BL96" i="55"/>
  <c r="DX96" i="55" s="1"/>
  <c r="I65" i="7"/>
  <c r="BP27" i="55"/>
  <c r="AJ27" i="55"/>
  <c r="CV27" i="55" s="1"/>
  <c r="E27" i="55"/>
  <c r="I68" i="7"/>
  <c r="BN27" i="55"/>
  <c r="DZ27" i="55" s="1"/>
  <c r="CT27" i="55"/>
  <c r="E4" i="52"/>
  <c r="N5" i="60"/>
  <c r="L61" i="60"/>
  <c r="B20" i="60"/>
  <c r="I66" i="7"/>
  <c r="BP32" i="58"/>
  <c r="DA18" i="58"/>
  <c r="I64" i="7"/>
  <c r="AG95" i="55"/>
  <c r="BM95" i="55" s="1"/>
  <c r="DY95" i="55" s="1"/>
  <c r="BL95" i="55"/>
  <c r="DX95" i="55" s="1"/>
  <c r="BN37" i="58"/>
  <c r="D10" i="60"/>
  <c r="E4" i="61"/>
  <c r="I67" i="7"/>
  <c r="I63" i="7"/>
  <c r="AA22" i="54"/>
  <c r="AA25" i="54"/>
  <c r="AB24" i="54"/>
  <c r="AA23" i="54"/>
  <c r="AA21" i="54"/>
  <c r="X66" i="54"/>
  <c r="AQ5" i="50"/>
  <c r="AE4" i="51"/>
  <c r="AE57" i="58" s="1"/>
  <c r="AC8" i="52"/>
  <c r="Y67" i="54"/>
  <c r="Y70" i="54"/>
  <c r="Y68" i="54"/>
  <c r="Z63" i="54"/>
  <c r="Y65" i="54"/>
  <c r="Y64" i="54"/>
  <c r="Y69" i="54"/>
  <c r="Y76" i="54" s="1"/>
  <c r="Y77" i="54" s="1"/>
  <c r="Z156" i="54"/>
  <c r="Y157" i="54"/>
  <c r="Z156" i="53"/>
  <c r="Y157" i="53"/>
  <c r="Z147" i="53"/>
  <c r="Y148" i="53"/>
  <c r="Y68" i="53"/>
  <c r="Y70" i="53"/>
  <c r="Y64" i="53"/>
  <c r="Y67" i="53"/>
  <c r="Y69" i="53"/>
  <c r="Y76" i="53" s="1"/>
  <c r="Z63" i="53"/>
  <c r="Y65" i="53"/>
  <c r="X77" i="53"/>
  <c r="X66" i="53"/>
  <c r="Y100" i="53"/>
  <c r="Y132" i="53"/>
  <c r="Y101" i="53"/>
  <c r="Y131" i="53"/>
  <c r="Z44" i="45"/>
  <c r="X133" i="53"/>
  <c r="X104" i="53"/>
  <c r="X103" i="53"/>
  <c r="X105" i="53"/>
  <c r="X135" i="53"/>
  <c r="X134" i="53"/>
  <c r="X102" i="53"/>
  <c r="AB22" i="53"/>
  <c r="AB23" i="53"/>
  <c r="AB21" i="53"/>
  <c r="AC24" i="53"/>
  <c r="AB25" i="53"/>
  <c r="AP3" i="50"/>
  <c r="AD6" i="52" s="1"/>
  <c r="BI4" i="51"/>
  <c r="BI57" i="58" s="1"/>
  <c r="BD24" i="45"/>
  <c r="BD26" i="45"/>
  <c r="W37" i="48"/>
  <c r="AE88" i="45"/>
  <c r="W66" i="46"/>
  <c r="AE53" i="45"/>
  <c r="BG41" i="45"/>
  <c r="BG44" i="45" s="1"/>
  <c r="Y70" i="48"/>
  <c r="Y65" i="48"/>
  <c r="Z63" i="48"/>
  <c r="Y67" i="48"/>
  <c r="Y64" i="48"/>
  <c r="Y68" i="48"/>
  <c r="Y69" i="48"/>
  <c r="X145" i="48"/>
  <c r="X143" i="48"/>
  <c r="X144" i="48"/>
  <c r="Y244" i="48"/>
  <c r="Z243" i="48"/>
  <c r="BK52" i="45"/>
  <c r="AA23" i="48"/>
  <c r="AB21" i="48"/>
  <c r="Y204" i="48"/>
  <c r="Y203" i="48"/>
  <c r="Z139" i="48"/>
  <c r="Y140" i="48"/>
  <c r="Y141" i="48"/>
  <c r="W94" i="46"/>
  <c r="W97" i="46"/>
  <c r="W95" i="46"/>
  <c r="W100" i="46" s="1"/>
  <c r="W96" i="46"/>
  <c r="W101" i="46" s="1"/>
  <c r="W92" i="48"/>
  <c r="W93" i="46"/>
  <c r="W98" i="46" s="1"/>
  <c r="W92" i="42"/>
  <c r="W91" i="42"/>
  <c r="W95" i="42" s="1"/>
  <c r="W89" i="42"/>
  <c r="W93" i="42" s="1"/>
  <c r="W90" i="42"/>
  <c r="W94" i="42" s="1"/>
  <c r="AD39" i="48"/>
  <c r="AA25" i="48"/>
  <c r="V94" i="48"/>
  <c r="V95" i="48"/>
  <c r="V100" i="48" s="1"/>
  <c r="V96" i="48"/>
  <c r="V101" i="48" s="1"/>
  <c r="V97" i="48"/>
  <c r="V93" i="48"/>
  <c r="V98" i="48" s="1"/>
  <c r="X207" i="48"/>
  <c r="X206" i="48"/>
  <c r="X205" i="48"/>
  <c r="W90" i="38"/>
  <c r="W91" i="38"/>
  <c r="W89" i="38"/>
  <c r="BE21" i="45"/>
  <c r="BE23" i="45" s="1"/>
  <c r="BE24" i="45" s="1"/>
  <c r="Z260" i="48"/>
  <c r="Y261" i="48"/>
  <c r="AB24" i="48"/>
  <c r="AA22" i="48"/>
  <c r="X66" i="48"/>
  <c r="X142" i="48"/>
  <c r="X65" i="46"/>
  <c r="X70" i="46"/>
  <c r="X68" i="46"/>
  <c r="X67" i="46"/>
  <c r="X64" i="46"/>
  <c r="X69" i="46"/>
  <c r="X92" i="46" s="1"/>
  <c r="Y63" i="46"/>
  <c r="V37" i="48"/>
  <c r="BC26" i="45"/>
  <c r="BC24" i="45"/>
  <c r="BC25" i="45"/>
  <c r="BC82" i="45"/>
  <c r="Z43" i="45"/>
  <c r="Y38" i="46"/>
  <c r="BF19" i="45"/>
  <c r="BF20" i="45"/>
  <c r="BL48" i="45"/>
  <c r="BL50" i="45" s="1"/>
  <c r="AF48" i="45"/>
  <c r="AF50" i="45" s="1"/>
  <c r="AE39" i="46" s="1"/>
  <c r="BH40" i="45"/>
  <c r="BH39" i="45"/>
  <c r="BH17" i="45"/>
  <c r="BH69" i="45" s="1"/>
  <c r="BM46" i="45"/>
  <c r="BM47" i="45"/>
  <c r="BM49" i="45"/>
  <c r="BN45" i="45"/>
  <c r="BG18" i="45"/>
  <c r="Z260" i="46"/>
  <c r="Y261" i="46"/>
  <c r="X205" i="46"/>
  <c r="X145" i="46"/>
  <c r="X143" i="46"/>
  <c r="X144" i="46"/>
  <c r="AC24" i="46"/>
  <c r="AC21" i="46"/>
  <c r="AB25" i="46"/>
  <c r="X207" i="46"/>
  <c r="X206" i="46"/>
  <c r="AB23" i="46"/>
  <c r="AB22" i="46"/>
  <c r="X142" i="46"/>
  <c r="Z139" i="46"/>
  <c r="Y204" i="46"/>
  <c r="Y203" i="46"/>
  <c r="Y140" i="46"/>
  <c r="Y141" i="46"/>
  <c r="Z243" i="46"/>
  <c r="Y244" i="46"/>
  <c r="BD82" i="45"/>
  <c r="Z42" i="45"/>
  <c r="Z95" i="45"/>
  <c r="BF95" i="45"/>
  <c r="AA41" i="45"/>
  <c r="Z20" i="45"/>
  <c r="Z19" i="45"/>
  <c r="AB39" i="45"/>
  <c r="AB40" i="45"/>
  <c r="AC38" i="45"/>
  <c r="BI38" i="45" s="1"/>
  <c r="AB17" i="45"/>
  <c r="AB69" i="45" s="1"/>
  <c r="AC16" i="45"/>
  <c r="BI16" i="45" s="1"/>
  <c r="Y21" i="45"/>
  <c r="Y23" i="45" s="1"/>
  <c r="AA18" i="45"/>
  <c r="BK88" i="45"/>
  <c r="BK92" i="45"/>
  <c r="BJ92" i="45"/>
  <c r="BJ88" i="45"/>
  <c r="AH45" i="45"/>
  <c r="AG47" i="45"/>
  <c r="AG49" i="45"/>
  <c r="AG46" i="45"/>
  <c r="I6" i="4"/>
  <c r="W187" i="42"/>
  <c r="W189" i="42"/>
  <c r="Y184" i="42"/>
  <c r="X186" i="42"/>
  <c r="X188" i="42" s="1"/>
  <c r="X185" i="42"/>
  <c r="X69" i="20"/>
  <c r="X65" i="28"/>
  <c r="AB24" i="29"/>
  <c r="AC21" i="29"/>
  <c r="X132" i="38"/>
  <c r="AA22" i="38"/>
  <c r="AA25" i="38"/>
  <c r="X132" i="42"/>
  <c r="Z129" i="42"/>
  <c r="Y130" i="42"/>
  <c r="Y131" i="42"/>
  <c r="X68" i="42"/>
  <c r="Y63" i="42"/>
  <c r="X67" i="42"/>
  <c r="X69" i="42"/>
  <c r="X88" i="42" s="1"/>
  <c r="X65" i="42"/>
  <c r="X70" i="42"/>
  <c r="X64" i="42"/>
  <c r="Z234" i="42"/>
  <c r="Y235" i="42"/>
  <c r="X189" i="38"/>
  <c r="X188" i="38"/>
  <c r="Y219" i="42"/>
  <c r="X220" i="42"/>
  <c r="X134" i="42"/>
  <c r="X133" i="42"/>
  <c r="X135" i="42"/>
  <c r="X187" i="38"/>
  <c r="X68" i="38"/>
  <c r="X64" i="38"/>
  <c r="X67" i="38"/>
  <c r="X65" i="38"/>
  <c r="X69" i="38"/>
  <c r="X88" i="38" s="1"/>
  <c r="X70" i="38"/>
  <c r="Y63" i="38"/>
  <c r="AA23" i="38"/>
  <c r="W66" i="42"/>
  <c r="AB24" i="38"/>
  <c r="Z219" i="38"/>
  <c r="Y220" i="38"/>
  <c r="X133" i="38"/>
  <c r="X135" i="38"/>
  <c r="X134" i="38"/>
  <c r="Z129" i="38"/>
  <c r="Y185" i="38"/>
  <c r="Y186" i="38"/>
  <c r="Y130" i="38"/>
  <c r="Y131" i="38"/>
  <c r="AB21" i="38"/>
  <c r="Z234" i="38"/>
  <c r="Y235" i="38"/>
  <c r="W66" i="38"/>
  <c r="Z198" i="20"/>
  <c r="Y199" i="20"/>
  <c r="AB22" i="28"/>
  <c r="Y67" i="20"/>
  <c r="Z66" i="20"/>
  <c r="Y68" i="20"/>
  <c r="Y87" i="28"/>
  <c r="Z85" i="28"/>
  <c r="Y90" i="28"/>
  <c r="Y86" i="28"/>
  <c r="Y91" i="28"/>
  <c r="Y88" i="28"/>
  <c r="Y89" i="28"/>
  <c r="AB23" i="28"/>
  <c r="Y124" i="20"/>
  <c r="Z122" i="20"/>
  <c r="Y128" i="20"/>
  <c r="Y125" i="20"/>
  <c r="Y126" i="20"/>
  <c r="Y123" i="20"/>
  <c r="Y127" i="20"/>
  <c r="X72" i="20"/>
  <c r="X70" i="20"/>
  <c r="X71" i="20"/>
  <c r="X73" i="20"/>
  <c r="AD21" i="28"/>
  <c r="AC25" i="28"/>
  <c r="AC24" i="28"/>
  <c r="Y111" i="28"/>
  <c r="Z110" i="28"/>
  <c r="Z310" i="20"/>
  <c r="Y268" i="19"/>
  <c r="Y64" i="28"/>
  <c r="Z62" i="28"/>
  <c r="Y67" i="28"/>
  <c r="Y66" i="28"/>
  <c r="Y63" i="28"/>
  <c r="X212" i="20"/>
  <c r="AK114" i="15"/>
  <c r="AK90" i="15"/>
  <c r="AK94" i="15"/>
  <c r="AK117" i="15"/>
  <c r="E50" i="14"/>
  <c r="D55" i="14"/>
  <c r="D112" i="14" s="1"/>
  <c r="D32" i="16"/>
  <c r="D35" i="16" s="1"/>
  <c r="D128" i="16" s="1"/>
  <c r="I5" i="8"/>
  <c r="I6" i="8" s="1"/>
  <c r="D14" i="15"/>
  <c r="D50" i="12"/>
  <c r="E5" i="9"/>
  <c r="R5" i="6"/>
  <c r="G4" i="16"/>
  <c r="G4" i="15"/>
  <c r="D25" i="15"/>
  <c r="D124" i="15" s="1"/>
  <c r="E22" i="15"/>
  <c r="E24" i="15" s="1"/>
  <c r="E6" i="15"/>
  <c r="D8" i="15"/>
  <c r="D13" i="15" s="1"/>
  <c r="D125" i="15" s="1"/>
  <c r="D8" i="16"/>
  <c r="D13" i="16" s="1"/>
  <c r="D125" i="16" s="1"/>
  <c r="E6" i="16"/>
  <c r="D25" i="16"/>
  <c r="D124" i="16" s="1"/>
  <c r="E22" i="16"/>
  <c r="E24" i="16" s="1"/>
  <c r="E14" i="16"/>
  <c r="D21" i="16"/>
  <c r="D123" i="16" s="1"/>
  <c r="X3" i="12"/>
  <c r="W1" i="52" s="1"/>
  <c r="Y65" i="28" l="1"/>
  <c r="D48" i="60"/>
  <c r="F48" i="60" s="1"/>
  <c r="F10" i="60"/>
  <c r="F22" i="60" s="1"/>
  <c r="C10" i="60"/>
  <c r="D22" i="60"/>
  <c r="O6" i="60"/>
  <c r="CT37" i="58"/>
  <c r="DB19" i="58"/>
  <c r="I7" i="8"/>
  <c r="F27" i="55"/>
  <c r="AK27" i="55"/>
  <c r="CW27" i="55" s="1"/>
  <c r="BQ27" i="55"/>
  <c r="G26" i="55"/>
  <c r="AL26" i="55"/>
  <c r="CX26" i="55" s="1"/>
  <c r="F4" i="52"/>
  <c r="I7" i="4"/>
  <c r="AB25" i="54"/>
  <c r="AB23" i="54"/>
  <c r="AB21" i="54"/>
  <c r="AB22" i="54"/>
  <c r="AC24" i="54"/>
  <c r="Y66" i="54"/>
  <c r="AD8" i="52"/>
  <c r="AR5" i="50"/>
  <c r="AF4" i="51"/>
  <c r="AF57" i="58" s="1"/>
  <c r="Z157" i="54"/>
  <c r="AA156" i="54"/>
  <c r="Z67" i="54"/>
  <c r="Z64" i="54"/>
  <c r="Z65" i="54"/>
  <c r="Z70" i="54"/>
  <c r="AA63" i="54"/>
  <c r="Z68" i="54"/>
  <c r="Z69" i="54"/>
  <c r="Z76" i="54" s="1"/>
  <c r="Z77" i="54" s="1"/>
  <c r="AA147" i="53"/>
  <c r="Z148" i="53"/>
  <c r="AA156" i="53"/>
  <c r="Z157" i="53"/>
  <c r="Z67" i="53"/>
  <c r="Z69" i="53"/>
  <c r="Z76" i="53" s="1"/>
  <c r="Z65" i="53"/>
  <c r="AA63" i="53"/>
  <c r="Z68" i="53"/>
  <c r="Z70" i="53"/>
  <c r="Z64" i="53"/>
  <c r="Y77" i="53"/>
  <c r="Y66" i="53"/>
  <c r="Z100" i="53"/>
  <c r="Z132" i="53"/>
  <c r="Z101" i="53"/>
  <c r="Z131" i="53"/>
  <c r="X37" i="46"/>
  <c r="AA43" i="45"/>
  <c r="Y133" i="53"/>
  <c r="Y104" i="53"/>
  <c r="Y103" i="53"/>
  <c r="Y105" i="53"/>
  <c r="Y135" i="53"/>
  <c r="Y134" i="53"/>
  <c r="Y102" i="53"/>
  <c r="AC22" i="53"/>
  <c r="AC23" i="53"/>
  <c r="AC25" i="53"/>
  <c r="AD24" i="53"/>
  <c r="AC21" i="53"/>
  <c r="BJ4" i="51"/>
  <c r="BJ57" i="58" s="1"/>
  <c r="AQ3" i="50"/>
  <c r="AE6" i="52" s="1"/>
  <c r="BG42" i="45"/>
  <c r="BG43" i="45"/>
  <c r="Z38" i="48"/>
  <c r="I8" i="4"/>
  <c r="BE25" i="45"/>
  <c r="AA44" i="45"/>
  <c r="X66" i="46"/>
  <c r="Y205" i="48"/>
  <c r="BH18" i="45"/>
  <c r="BH20" i="45" s="1"/>
  <c r="BE26" i="45"/>
  <c r="BE82" i="45"/>
  <c r="X37" i="48"/>
  <c r="BH41" i="45"/>
  <c r="BH43" i="45" s="1"/>
  <c r="Y66" i="48"/>
  <c r="AB22" i="48"/>
  <c r="W93" i="48"/>
  <c r="W98" i="48" s="1"/>
  <c r="W96" i="48"/>
  <c r="W101" i="48" s="1"/>
  <c r="W94" i="48"/>
  <c r="W95" i="48"/>
  <c r="W100" i="48" s="1"/>
  <c r="W97" i="48"/>
  <c r="AC21" i="48"/>
  <c r="X91" i="38"/>
  <c r="X90" i="38"/>
  <c r="X89" i="38"/>
  <c r="X92" i="42"/>
  <c r="X89" i="42"/>
  <c r="X93" i="42" s="1"/>
  <c r="X91" i="42"/>
  <c r="X90" i="42"/>
  <c r="BM48" i="45"/>
  <c r="BM50" i="45" s="1"/>
  <c r="BM52" i="45" s="1"/>
  <c r="Y143" i="48"/>
  <c r="Y145" i="48"/>
  <c r="Y144" i="48"/>
  <c r="Y206" i="48"/>
  <c r="Y207" i="48"/>
  <c r="AA243" i="48"/>
  <c r="Z244" i="48"/>
  <c r="Z63" i="46"/>
  <c r="Y68" i="46"/>
  <c r="Y69" i="46"/>
  <c r="Y92" i="46" s="1"/>
  <c r="Y64" i="46"/>
  <c r="Y65" i="46"/>
  <c r="Y70" i="46"/>
  <c r="Y67" i="46"/>
  <c r="AC24" i="48"/>
  <c r="AB25" i="48"/>
  <c r="Y142" i="48"/>
  <c r="AB23" i="48"/>
  <c r="Z69" i="48"/>
  <c r="Z64" i="48"/>
  <c r="AA63" i="48"/>
  <c r="Z65" i="48"/>
  <c r="Z70" i="48"/>
  <c r="Z68" i="48"/>
  <c r="Z67" i="48"/>
  <c r="AA260" i="48"/>
  <c r="Z261" i="48"/>
  <c r="X187" i="42"/>
  <c r="X92" i="48"/>
  <c r="X96" i="46"/>
  <c r="X101" i="46" s="1"/>
  <c r="X95" i="46"/>
  <c r="X100" i="46" s="1"/>
  <c r="X93" i="46"/>
  <c r="X98" i="46" s="1"/>
  <c r="X94" i="46"/>
  <c r="X97" i="46"/>
  <c r="Z203" i="48"/>
  <c r="AA139" i="48"/>
  <c r="Z141" i="48"/>
  <c r="Z140" i="48"/>
  <c r="Z204" i="48"/>
  <c r="BN47" i="45"/>
  <c r="BN49" i="45"/>
  <c r="BN46" i="45"/>
  <c r="BF21" i="45"/>
  <c r="BG19" i="45"/>
  <c r="BG20" i="45"/>
  <c r="BI17" i="45"/>
  <c r="BI69" i="45" s="1"/>
  <c r="AE39" i="48"/>
  <c r="BL53" i="45"/>
  <c r="BL52" i="45"/>
  <c r="BL51" i="45"/>
  <c r="BL92" i="45" s="1"/>
  <c r="BI39" i="45"/>
  <c r="BI40" i="45"/>
  <c r="AG48" i="45"/>
  <c r="AG50" i="45" s="1"/>
  <c r="AF39" i="46" s="1"/>
  <c r="AA95" i="45"/>
  <c r="Z38" i="46"/>
  <c r="X189" i="42"/>
  <c r="Y142" i="46"/>
  <c r="AC22" i="46"/>
  <c r="Y205" i="46"/>
  <c r="AD21" i="46"/>
  <c r="Y207" i="46"/>
  <c r="Y206" i="46"/>
  <c r="AC23" i="46"/>
  <c r="AC25" i="46"/>
  <c r="AA243" i="46"/>
  <c r="Z244" i="46"/>
  <c r="Y145" i="46"/>
  <c r="Y144" i="46"/>
  <c r="Y143" i="46"/>
  <c r="AA139" i="46"/>
  <c r="Z204" i="46"/>
  <c r="Z141" i="46"/>
  <c r="Z140" i="46"/>
  <c r="Z203" i="46"/>
  <c r="AD24" i="46"/>
  <c r="AA260" i="46"/>
  <c r="Z261" i="46"/>
  <c r="AA42" i="45"/>
  <c r="Z21" i="45"/>
  <c r="Z23" i="45" s="1"/>
  <c r="BG95" i="45"/>
  <c r="AD16" i="45"/>
  <c r="BJ16" i="45" s="1"/>
  <c r="AC17" i="45"/>
  <c r="AC69" i="45" s="1"/>
  <c r="AB41" i="45"/>
  <c r="Y25" i="45"/>
  <c r="Y82" i="45"/>
  <c r="Y24" i="45"/>
  <c r="Y26" i="45"/>
  <c r="AA19" i="45"/>
  <c r="AA20" i="45"/>
  <c r="AB18" i="45"/>
  <c r="AC39" i="45"/>
  <c r="AC40" i="45"/>
  <c r="AD38" i="45"/>
  <c r="BJ38" i="45" s="1"/>
  <c r="BL88" i="45"/>
  <c r="AF88" i="45"/>
  <c r="AF52" i="45"/>
  <c r="AF51" i="45"/>
  <c r="AF92" i="45" s="1"/>
  <c r="AF53" i="45"/>
  <c r="AH47" i="45"/>
  <c r="AH49" i="45"/>
  <c r="Z184" i="42"/>
  <c r="Y185" i="42"/>
  <c r="Y186" i="42"/>
  <c r="Y188" i="42" s="1"/>
  <c r="AD21" i="29"/>
  <c r="AC24" i="29"/>
  <c r="Y132" i="42"/>
  <c r="Y132" i="38"/>
  <c r="Y134" i="38"/>
  <c r="Y133" i="38"/>
  <c r="Y135" i="38"/>
  <c r="AA129" i="38"/>
  <c r="Z185" i="38"/>
  <c r="Z186" i="38"/>
  <c r="Z131" i="38"/>
  <c r="Z130" i="38"/>
  <c r="Y134" i="42"/>
  <c r="Y133" i="42"/>
  <c r="Y135" i="42"/>
  <c r="AA129" i="42"/>
  <c r="Z131" i="42"/>
  <c r="Z130" i="42"/>
  <c r="AB23" i="38"/>
  <c r="Y67" i="38"/>
  <c r="Z63" i="38"/>
  <c r="Y69" i="38"/>
  <c r="Y88" i="38" s="1"/>
  <c r="Y65" i="38"/>
  <c r="Y68" i="38"/>
  <c r="Y64" i="38"/>
  <c r="Y70" i="38"/>
  <c r="AB22" i="38"/>
  <c r="Y189" i="38"/>
  <c r="Y188" i="38"/>
  <c r="AC24" i="38"/>
  <c r="X66" i="38"/>
  <c r="Z219" i="42"/>
  <c r="Y220" i="42"/>
  <c r="X66" i="42"/>
  <c r="X94" i="42"/>
  <c r="X95" i="42"/>
  <c r="AA234" i="38"/>
  <c r="Z235" i="38"/>
  <c r="AC21" i="38"/>
  <c r="Y187" i="38"/>
  <c r="AA219" i="38"/>
  <c r="Z220" i="38"/>
  <c r="AA234" i="42"/>
  <c r="Z235" i="42"/>
  <c r="Y69" i="42"/>
  <c r="Y88" i="42" s="1"/>
  <c r="Y67" i="42"/>
  <c r="Y70" i="42"/>
  <c r="Y64" i="42"/>
  <c r="Y68" i="42"/>
  <c r="Z63" i="42"/>
  <c r="Y65" i="42"/>
  <c r="AB25" i="38"/>
  <c r="Y69" i="20"/>
  <c r="AA110" i="28"/>
  <c r="Z111" i="28"/>
  <c r="Z87" i="28"/>
  <c r="AA85" i="28"/>
  <c r="Z91" i="28"/>
  <c r="Z86" i="28"/>
  <c r="Z90" i="28"/>
  <c r="Z88" i="28"/>
  <c r="Z89" i="28"/>
  <c r="AA310" i="20"/>
  <c r="Z268" i="19"/>
  <c r="AD25" i="28"/>
  <c r="AE21" i="28"/>
  <c r="AC23" i="28"/>
  <c r="Y70" i="20"/>
  <c r="Y72" i="20"/>
  <c r="Y71" i="20"/>
  <c r="Y73" i="20"/>
  <c r="AC22" i="28"/>
  <c r="Z63" i="28"/>
  <c r="Z64" i="28"/>
  <c r="AA62" i="28"/>
  <c r="Z66" i="28"/>
  <c r="Z67" i="28"/>
  <c r="AA66" i="20"/>
  <c r="Z67" i="20"/>
  <c r="Z68" i="20"/>
  <c r="AD24" i="28"/>
  <c r="Z127" i="20"/>
  <c r="Z125" i="20"/>
  <c r="Z128" i="20"/>
  <c r="Z124" i="20"/>
  <c r="Z123" i="20"/>
  <c r="Z126" i="20"/>
  <c r="AA122" i="20"/>
  <c r="Z199" i="20"/>
  <c r="AA198" i="20"/>
  <c r="Y212" i="20"/>
  <c r="D218" i="14"/>
  <c r="D60" i="14"/>
  <c r="D56" i="14"/>
  <c r="D61" i="14"/>
  <c r="D57" i="14" s="1"/>
  <c r="D129" i="16"/>
  <c r="AK212" i="12"/>
  <c r="AK190" i="12"/>
  <c r="D47" i="15"/>
  <c r="D21" i="15"/>
  <c r="AK86" i="15"/>
  <c r="AK110" i="15"/>
  <c r="C42" i="19"/>
  <c r="F50" i="14"/>
  <c r="E54" i="14"/>
  <c r="E51" i="14"/>
  <c r="E52" i="14"/>
  <c r="D54" i="16"/>
  <c r="C41" i="29"/>
  <c r="D74" i="16"/>
  <c r="D32" i="15"/>
  <c r="D74" i="15" s="1"/>
  <c r="D47" i="16"/>
  <c r="C40" i="29"/>
  <c r="D75" i="16"/>
  <c r="D43" i="16"/>
  <c r="C39" i="29"/>
  <c r="D60" i="16"/>
  <c r="C43" i="29"/>
  <c r="D54" i="15"/>
  <c r="C40" i="28"/>
  <c r="E7" i="15"/>
  <c r="C41" i="28"/>
  <c r="E32" i="16"/>
  <c r="M59" i="25"/>
  <c r="I8" i="8"/>
  <c r="I9" i="8"/>
  <c r="I10" i="8"/>
  <c r="E14" i="15"/>
  <c r="F14" i="15" s="1"/>
  <c r="E50" i="12"/>
  <c r="D55" i="12"/>
  <c r="D61" i="12" s="1"/>
  <c r="H4" i="16"/>
  <c r="H4" i="15"/>
  <c r="E23" i="15"/>
  <c r="F22" i="15"/>
  <c r="F24" i="15" s="1"/>
  <c r="F6" i="15"/>
  <c r="E18" i="16"/>
  <c r="E15" i="16"/>
  <c r="E16" i="16"/>
  <c r="E19" i="16"/>
  <c r="F14" i="16"/>
  <c r="E7" i="16"/>
  <c r="E41" i="16" s="1"/>
  <c r="F6" i="16"/>
  <c r="E23" i="16"/>
  <c r="F22" i="16"/>
  <c r="F24" i="16" s="1"/>
  <c r="Y3" i="12"/>
  <c r="X1" i="52" s="1"/>
  <c r="D61" i="2"/>
  <c r="I9" i="4" l="1"/>
  <c r="H26" i="55"/>
  <c r="AM26" i="55"/>
  <c r="CY26" i="55" s="1"/>
  <c r="C22" i="60"/>
  <c r="C48" i="60"/>
  <c r="AL27" i="55"/>
  <c r="CX27" i="55" s="1"/>
  <c r="BR27" i="55"/>
  <c r="G27" i="55"/>
  <c r="G4" i="52"/>
  <c r="AC21" i="54"/>
  <c r="AC23" i="54"/>
  <c r="AD24" i="54"/>
  <c r="AC22" i="54"/>
  <c r="AC25" i="54"/>
  <c r="AE8" i="52"/>
  <c r="AS5" i="50"/>
  <c r="AH4" i="51" s="1"/>
  <c r="AH57" i="58" s="1"/>
  <c r="AG4" i="51"/>
  <c r="AG57" i="58" s="1"/>
  <c r="AA64" i="54"/>
  <c r="AB63" i="54"/>
  <c r="AA65" i="54"/>
  <c r="AA67" i="54"/>
  <c r="AA69" i="54"/>
  <c r="AA76" i="54" s="1"/>
  <c r="AA77" i="54" s="1"/>
  <c r="AA70" i="54"/>
  <c r="AA68" i="54"/>
  <c r="Z66" i="54"/>
  <c r="AB156" i="54"/>
  <c r="AA157" i="54"/>
  <c r="Z66" i="53"/>
  <c r="AB156" i="53"/>
  <c r="AA157" i="53"/>
  <c r="AB147" i="53"/>
  <c r="AA148" i="53"/>
  <c r="AA64" i="53"/>
  <c r="AA68" i="53"/>
  <c r="AA70" i="53"/>
  <c r="AA69" i="53"/>
  <c r="AA76" i="53" s="1"/>
  <c r="AA67" i="53"/>
  <c r="AB63" i="53"/>
  <c r="AA65" i="53"/>
  <c r="Z77" i="53"/>
  <c r="AA100" i="53"/>
  <c r="AA132" i="53"/>
  <c r="AA101" i="53"/>
  <c r="AA131" i="53"/>
  <c r="Z133" i="53"/>
  <c r="Z104" i="53"/>
  <c r="Z103" i="53"/>
  <c r="Z105" i="53"/>
  <c r="AA38" i="46"/>
  <c r="Z135" i="53"/>
  <c r="Z134" i="53"/>
  <c r="Z102" i="53"/>
  <c r="AD22" i="53"/>
  <c r="AD21" i="53"/>
  <c r="AE24" i="53"/>
  <c r="AD25" i="53"/>
  <c r="AD23" i="53"/>
  <c r="BM51" i="45"/>
  <c r="AG51" i="45"/>
  <c r="AG92" i="45" s="1"/>
  <c r="BK4" i="51"/>
  <c r="BK57" i="58" s="1"/>
  <c r="AR3" i="50"/>
  <c r="AF6" i="52" s="1"/>
  <c r="BH19" i="45"/>
  <c r="BH44" i="45"/>
  <c r="BH42" i="45"/>
  <c r="AA38" i="48"/>
  <c r="BN48" i="45"/>
  <c r="BN50" i="45" s="1"/>
  <c r="BN52" i="45" s="1"/>
  <c r="AF39" i="48"/>
  <c r="BI41" i="45"/>
  <c r="AB38" i="48" s="1"/>
  <c r="BM53" i="45"/>
  <c r="Z66" i="48"/>
  <c r="Y189" i="42"/>
  <c r="Y66" i="46"/>
  <c r="AC23" i="48"/>
  <c r="AD24" i="48"/>
  <c r="AG88" i="45"/>
  <c r="AA141" i="48"/>
  <c r="AA140" i="48"/>
  <c r="AB139" i="48"/>
  <c r="AA203" i="48"/>
  <c r="AA204" i="48"/>
  <c r="AC25" i="48"/>
  <c r="Y96" i="46"/>
  <c r="Y101" i="46" s="1"/>
  <c r="Y93" i="46"/>
  <c r="Y98" i="46" s="1"/>
  <c r="Y94" i="46"/>
  <c r="Y97" i="46"/>
  <c r="Y95" i="46"/>
  <c r="Y100" i="46" s="1"/>
  <c r="Y92" i="48"/>
  <c r="AG52" i="45"/>
  <c r="Z207" i="48"/>
  <c r="Z206" i="48"/>
  <c r="Z205" i="48"/>
  <c r="AB260" i="48"/>
  <c r="AA261" i="48"/>
  <c r="AA244" i="48"/>
  <c r="AB243" i="48"/>
  <c r="AD21" i="48"/>
  <c r="Y92" i="42"/>
  <c r="Y90" i="42"/>
  <c r="Y94" i="42" s="1"/>
  <c r="Y89" i="42"/>
  <c r="Y93" i="42" s="1"/>
  <c r="Y91" i="42"/>
  <c r="Y95" i="42" s="1"/>
  <c r="Z144" i="48"/>
  <c r="Z145" i="48"/>
  <c r="Z143" i="48"/>
  <c r="X94" i="48"/>
  <c r="X97" i="48"/>
  <c r="X96" i="48"/>
  <c r="X101" i="48" s="1"/>
  <c r="X93" i="48"/>
  <c r="X98" i="48" s="1"/>
  <c r="X95" i="48"/>
  <c r="X100" i="48" s="1"/>
  <c r="AA70" i="48"/>
  <c r="AA67" i="48"/>
  <c r="AB63" i="48"/>
  <c r="AA65" i="48"/>
  <c r="AA68" i="48"/>
  <c r="AA69" i="48"/>
  <c r="AA64" i="48"/>
  <c r="Y91" i="38"/>
  <c r="Y90" i="38"/>
  <c r="Y89" i="38"/>
  <c r="AG53" i="45"/>
  <c r="BI18" i="45"/>
  <c r="BI20" i="45" s="1"/>
  <c r="Z142" i="48"/>
  <c r="Z68" i="46"/>
  <c r="AA63" i="46"/>
  <c r="Z70" i="46"/>
  <c r="Z65" i="46"/>
  <c r="Z67" i="46"/>
  <c r="Z69" i="46"/>
  <c r="Z92" i="46" s="1"/>
  <c r="Z64" i="46"/>
  <c r="AC22" i="48"/>
  <c r="Z24" i="45"/>
  <c r="Y37" i="46"/>
  <c r="BF23" i="45"/>
  <c r="BG21" i="45"/>
  <c r="AG39" i="48"/>
  <c r="BN53" i="45"/>
  <c r="Z82" i="45"/>
  <c r="BJ17" i="45"/>
  <c r="BJ69" i="45" s="1"/>
  <c r="BJ40" i="45"/>
  <c r="BJ39" i="45"/>
  <c r="AH48" i="45"/>
  <c r="AH50" i="45" s="1"/>
  <c r="AG39" i="46" s="1"/>
  <c r="Z25" i="45"/>
  <c r="AE24" i="46"/>
  <c r="Z145" i="46"/>
  <c r="Z144" i="46"/>
  <c r="Z143" i="46"/>
  <c r="Z207" i="46"/>
  <c r="Z206" i="46"/>
  <c r="AD23" i="46"/>
  <c r="AB260" i="46"/>
  <c r="AA261" i="46"/>
  <c r="Z205" i="46"/>
  <c r="AB139" i="46"/>
  <c r="AA204" i="46"/>
  <c r="AA203" i="46"/>
  <c r="AA140" i="46"/>
  <c r="AA141" i="46"/>
  <c r="AD22" i="46"/>
  <c r="Z142" i="46"/>
  <c r="AB243" i="46"/>
  <c r="AA244" i="46"/>
  <c r="AD25" i="46"/>
  <c r="AE21" i="46"/>
  <c r="Z26" i="45"/>
  <c r="AC18" i="45"/>
  <c r="AC19" i="45" s="1"/>
  <c r="AC41" i="45"/>
  <c r="AB19" i="45"/>
  <c r="AB20" i="45"/>
  <c r="AD39" i="45"/>
  <c r="AD40" i="45"/>
  <c r="AE38" i="45"/>
  <c r="BK38" i="45" s="1"/>
  <c r="AA21" i="45"/>
  <c r="AA23" i="45" s="1"/>
  <c r="AB95" i="45"/>
  <c r="AB43" i="45"/>
  <c r="AB42" i="45"/>
  <c r="AB44" i="45"/>
  <c r="AD17" i="45"/>
  <c r="AD69" i="45" s="1"/>
  <c r="AE16" i="45"/>
  <c r="BK16" i="45" s="1"/>
  <c r="Y187" i="42"/>
  <c r="AA184" i="42"/>
  <c r="Z185" i="42"/>
  <c r="Z186" i="42"/>
  <c r="Z189" i="42" s="1"/>
  <c r="Z132" i="38"/>
  <c r="AD24" i="29"/>
  <c r="AE21" i="29"/>
  <c r="AA219" i="42"/>
  <c r="Z220" i="42"/>
  <c r="AC22" i="38"/>
  <c r="Z134" i="42"/>
  <c r="Z133" i="42"/>
  <c r="Z135" i="42"/>
  <c r="AB129" i="38"/>
  <c r="AA185" i="38"/>
  <c r="AA186" i="38"/>
  <c r="AA130" i="38"/>
  <c r="AA131" i="38"/>
  <c r="AC25" i="38"/>
  <c r="Y66" i="42"/>
  <c r="AB219" i="38"/>
  <c r="AA220" i="38"/>
  <c r="AC23" i="38"/>
  <c r="Z133" i="38"/>
  <c r="Z135" i="38"/>
  <c r="Z134" i="38"/>
  <c r="AB234" i="42"/>
  <c r="AA235" i="42"/>
  <c r="AD24" i="38"/>
  <c r="Y66" i="38"/>
  <c r="Z68" i="38"/>
  <c r="Z64" i="38"/>
  <c r="Z70" i="38"/>
  <c r="Z69" i="38"/>
  <c r="Z88" i="38" s="1"/>
  <c r="AA63" i="38"/>
  <c r="Z67" i="38"/>
  <c r="Z65" i="38"/>
  <c r="Z189" i="38"/>
  <c r="Z188" i="38"/>
  <c r="Z69" i="42"/>
  <c r="Z88" i="42" s="1"/>
  <c r="Z67" i="42"/>
  <c r="Z65" i="42"/>
  <c r="Z70" i="42"/>
  <c r="Z68" i="42"/>
  <c r="AA63" i="42"/>
  <c r="Z64" i="42"/>
  <c r="AD21" i="38"/>
  <c r="AB234" i="38"/>
  <c r="AA235" i="38"/>
  <c r="Z132" i="42"/>
  <c r="AB129" i="42"/>
  <c r="AA131" i="42"/>
  <c r="AA130" i="42"/>
  <c r="Z187" i="38"/>
  <c r="AB198" i="20"/>
  <c r="AA199" i="20"/>
  <c r="AA63" i="28"/>
  <c r="AA64" i="28"/>
  <c r="AB62" i="28"/>
  <c r="AA67" i="28"/>
  <c r="AA66" i="28"/>
  <c r="AD22" i="28"/>
  <c r="AF21" i="28"/>
  <c r="Z73" i="20"/>
  <c r="Z71" i="20"/>
  <c r="Z70" i="20"/>
  <c r="Z72" i="20"/>
  <c r="AA123" i="20"/>
  <c r="AA127" i="20"/>
  <c r="AA124" i="20"/>
  <c r="AB122" i="20"/>
  <c r="AA126" i="20"/>
  <c r="AA128" i="20"/>
  <c r="AA125" i="20"/>
  <c r="AE24" i="28"/>
  <c r="Z69" i="20"/>
  <c r="Z65" i="28"/>
  <c r="AD23" i="28"/>
  <c r="AE25" i="28"/>
  <c r="AB310" i="20"/>
  <c r="AA268" i="19"/>
  <c r="AA68" i="20"/>
  <c r="AA67" i="20"/>
  <c r="AB66" i="20"/>
  <c r="AA86" i="28"/>
  <c r="AA90" i="28"/>
  <c r="AA88" i="28"/>
  <c r="AA91" i="28"/>
  <c r="AA87" i="28"/>
  <c r="AB85" i="28"/>
  <c r="AA89" i="28"/>
  <c r="AB110" i="28"/>
  <c r="AA111" i="28"/>
  <c r="D58" i="14"/>
  <c r="D59" i="14" s="1"/>
  <c r="D57" i="12"/>
  <c r="Z212" i="20"/>
  <c r="D56" i="12"/>
  <c r="D60" i="12"/>
  <c r="D218" i="12"/>
  <c r="C39" i="28"/>
  <c r="D123" i="15"/>
  <c r="D35" i="15"/>
  <c r="D128" i="15" s="1"/>
  <c r="AK123" i="15"/>
  <c r="AK102" i="15"/>
  <c r="E33" i="16"/>
  <c r="E34" i="16"/>
  <c r="D43" i="15"/>
  <c r="I11" i="8"/>
  <c r="F32" i="15"/>
  <c r="D76" i="16"/>
  <c r="F54" i="14"/>
  <c r="F51" i="14"/>
  <c r="F52" i="14"/>
  <c r="G50" i="14"/>
  <c r="E74" i="16"/>
  <c r="E32" i="15"/>
  <c r="E53" i="14"/>
  <c r="E55" i="14" s="1"/>
  <c r="E112" i="14" s="1"/>
  <c r="F7" i="15"/>
  <c r="F41" i="15" s="1"/>
  <c r="BR33" i="58" s="1"/>
  <c r="F32" i="58" s="1"/>
  <c r="AL32" i="58" s="1"/>
  <c r="BR32" i="58" s="1"/>
  <c r="F32" i="16"/>
  <c r="D112" i="12"/>
  <c r="C42" i="20"/>
  <c r="E19" i="15"/>
  <c r="E16" i="15"/>
  <c r="E18" i="15"/>
  <c r="E15" i="15"/>
  <c r="E25" i="15"/>
  <c r="E124" i="15" s="1"/>
  <c r="E25" i="16"/>
  <c r="E124" i="16" s="1"/>
  <c r="F50" i="12"/>
  <c r="E54" i="12"/>
  <c r="E52" i="12"/>
  <c r="E51" i="12"/>
  <c r="E8" i="16"/>
  <c r="E9" i="16" s="1"/>
  <c r="E17" i="16"/>
  <c r="E8" i="15"/>
  <c r="E41" i="15"/>
  <c r="BQ33" i="58" s="1"/>
  <c r="E32" i="58" s="1"/>
  <c r="AK32" i="58" s="1"/>
  <c r="BQ32" i="58" s="1"/>
  <c r="G14" i="15"/>
  <c r="F18" i="15"/>
  <c r="F19" i="15"/>
  <c r="F15" i="15"/>
  <c r="F16" i="15"/>
  <c r="F7" i="16"/>
  <c r="F41" i="16" s="1"/>
  <c r="G6" i="16"/>
  <c r="G22" i="15"/>
  <c r="G24" i="15" s="1"/>
  <c r="F23" i="15"/>
  <c r="F23" i="16"/>
  <c r="G22" i="16"/>
  <c r="G24" i="16" s="1"/>
  <c r="G6" i="15"/>
  <c r="F19" i="16"/>
  <c r="F16" i="16"/>
  <c r="F15" i="16"/>
  <c r="F18" i="16"/>
  <c r="G14" i="16"/>
  <c r="E20" i="16"/>
  <c r="Z3" i="12"/>
  <c r="Y1" i="52" s="1"/>
  <c r="P62" i="2"/>
  <c r="U26" i="2"/>
  <c r="U27" i="2"/>
  <c r="U28" i="2"/>
  <c r="U29" i="2"/>
  <c r="U30" i="2"/>
  <c r="U31" i="2"/>
  <c r="U32" i="2"/>
  <c r="U25" i="2"/>
  <c r="T26" i="2"/>
  <c r="T27" i="2"/>
  <c r="T28" i="2"/>
  <c r="T29" i="2"/>
  <c r="T30" i="2"/>
  <c r="T31" i="2"/>
  <c r="T32" i="2"/>
  <c r="T25" i="2"/>
  <c r="S26" i="2"/>
  <c r="S27" i="2"/>
  <c r="S28" i="2"/>
  <c r="S29" i="2"/>
  <c r="S30" i="2"/>
  <c r="S31" i="2"/>
  <c r="S32" i="2"/>
  <c r="S25" i="2"/>
  <c r="R26" i="2"/>
  <c r="R27" i="2"/>
  <c r="R28" i="2"/>
  <c r="R29" i="2"/>
  <c r="R30" i="2"/>
  <c r="R31" i="2"/>
  <c r="R32" i="2"/>
  <c r="R25" i="2"/>
  <c r="P26" i="2"/>
  <c r="P27" i="2"/>
  <c r="P28" i="2"/>
  <c r="P29" i="2"/>
  <c r="P30" i="2"/>
  <c r="P31" i="2"/>
  <c r="P32" i="2"/>
  <c r="P25" i="2"/>
  <c r="P24" i="2"/>
  <c r="Q24" i="2"/>
  <c r="R24" i="2"/>
  <c r="S24" i="2"/>
  <c r="T24" i="2"/>
  <c r="U24" i="2"/>
  <c r="O31" i="2"/>
  <c r="O24" i="2"/>
  <c r="N32" i="2"/>
  <c r="A51" i="2" s="1"/>
  <c r="N26" i="2"/>
  <c r="A45" i="2" s="1"/>
  <c r="N27" i="2"/>
  <c r="A46" i="2" s="1"/>
  <c r="N28" i="2"/>
  <c r="A47" i="2" s="1"/>
  <c r="N29" i="2"/>
  <c r="A48" i="2" s="1"/>
  <c r="N30" i="2"/>
  <c r="A49" i="2" s="1"/>
  <c r="N31" i="2"/>
  <c r="A50" i="2" s="1"/>
  <c r="N25" i="2"/>
  <c r="A44" i="2" s="1"/>
  <c r="O14" i="2"/>
  <c r="O25" i="2" s="1"/>
  <c r="Q20" i="2"/>
  <c r="Q31" i="2" s="1"/>
  <c r="Q19" i="2"/>
  <c r="Q30" i="2" s="1"/>
  <c r="W6" i="2"/>
  <c r="Q15" i="2" s="1"/>
  <c r="Q26" i="2" s="1"/>
  <c r="W7" i="2"/>
  <c r="Q16" i="2" s="1"/>
  <c r="Q27" i="2" s="1"/>
  <c r="W8" i="2"/>
  <c r="Q17" i="2" s="1"/>
  <c r="Q28" i="2" s="1"/>
  <c r="W9" i="2"/>
  <c r="Q18" i="2" s="1"/>
  <c r="Q29" i="2" s="1"/>
  <c r="W10" i="2"/>
  <c r="W11" i="2"/>
  <c r="Q21" i="2" s="1"/>
  <c r="Q32" i="2" s="1"/>
  <c r="W5" i="2"/>
  <c r="Q14" i="2" s="1"/>
  <c r="Q25" i="2" s="1"/>
  <c r="O15" i="2"/>
  <c r="O26" i="2" s="1"/>
  <c r="O16" i="2"/>
  <c r="O27" i="2" s="1"/>
  <c r="O17" i="2"/>
  <c r="O28" i="2" s="1"/>
  <c r="O29" i="2"/>
  <c r="O19" i="2"/>
  <c r="O30" i="2" s="1"/>
  <c r="O21" i="2"/>
  <c r="O32" i="2" s="1"/>
  <c r="A46" i="1"/>
  <c r="A65" i="1" s="1"/>
  <c r="A47" i="1"/>
  <c r="A48" i="1"/>
  <c r="A49" i="1"/>
  <c r="A50" i="1"/>
  <c r="A51" i="1"/>
  <c r="A53" i="1"/>
  <c r="A45" i="1"/>
  <c r="A18" i="2"/>
  <c r="B18" i="2"/>
  <c r="A19" i="2"/>
  <c r="B19" i="2"/>
  <c r="A20" i="2"/>
  <c r="B20" i="2"/>
  <c r="A21" i="2"/>
  <c r="B21" i="2"/>
  <c r="A22" i="2"/>
  <c r="B22" i="2"/>
  <c r="A23" i="2"/>
  <c r="B23" i="2"/>
  <c r="A17" i="2"/>
  <c r="B17" i="2"/>
  <c r="B40" i="1"/>
  <c r="B39" i="1"/>
  <c r="S39" i="1" s="1"/>
  <c r="B37" i="1"/>
  <c r="Q40" i="1" s="1"/>
  <c r="O14" i="1"/>
  <c r="P14" i="1"/>
  <c r="Q14" i="1"/>
  <c r="R14" i="1"/>
  <c r="S14" i="1"/>
  <c r="O15" i="1"/>
  <c r="P15" i="1"/>
  <c r="Q15" i="1"/>
  <c r="R15" i="1"/>
  <c r="S15" i="1"/>
  <c r="O16" i="1"/>
  <c r="P16" i="1"/>
  <c r="Q16" i="1"/>
  <c r="R16" i="1"/>
  <c r="S16" i="1"/>
  <c r="O17" i="1"/>
  <c r="P17" i="1"/>
  <c r="Q17" i="1"/>
  <c r="R17" i="1"/>
  <c r="S17" i="1"/>
  <c r="O18" i="1"/>
  <c r="P18" i="1"/>
  <c r="Q18" i="1"/>
  <c r="R18" i="1"/>
  <c r="S18" i="1"/>
  <c r="O19" i="1"/>
  <c r="P19" i="1"/>
  <c r="Q19" i="1"/>
  <c r="R19" i="1"/>
  <c r="S19" i="1"/>
  <c r="S13" i="1"/>
  <c r="R13" i="1"/>
  <c r="P13" i="1"/>
  <c r="B38" i="1"/>
  <c r="B18" i="1"/>
  <c r="C17" i="1" s="1"/>
  <c r="P20" i="1" l="1"/>
  <c r="P25" i="1" s="1"/>
  <c r="Q20" i="1"/>
  <c r="Q24" i="1" s="1"/>
  <c r="O20" i="1"/>
  <c r="O24" i="1" s="1"/>
  <c r="R20" i="1"/>
  <c r="R26" i="1" s="1"/>
  <c r="R36" i="1" s="1"/>
  <c r="P29" i="1"/>
  <c r="S41" i="1"/>
  <c r="V32" i="2"/>
  <c r="B51" i="2" s="1"/>
  <c r="C51" i="2" s="1"/>
  <c r="H51" i="2" s="1"/>
  <c r="J51" i="2" s="1"/>
  <c r="S40" i="1"/>
  <c r="P28" i="1"/>
  <c r="P26" i="1"/>
  <c r="R27" i="1"/>
  <c r="R37" i="1" s="1"/>
  <c r="P27" i="1"/>
  <c r="R25" i="1"/>
  <c r="R35" i="1" s="1"/>
  <c r="P31" i="1"/>
  <c r="R28" i="1"/>
  <c r="R38" i="1" s="1"/>
  <c r="S36" i="1"/>
  <c r="V26" i="2"/>
  <c r="B45" i="2" s="1"/>
  <c r="S20" i="1"/>
  <c r="T29" i="1" s="1"/>
  <c r="T39" i="1" s="1"/>
  <c r="P24" i="1"/>
  <c r="I26" i="55"/>
  <c r="AN26" i="55"/>
  <c r="CZ26" i="55" s="1"/>
  <c r="T40" i="1"/>
  <c r="S38" i="1"/>
  <c r="S35" i="1"/>
  <c r="V31" i="2"/>
  <c r="D4" i="60"/>
  <c r="E8" i="61"/>
  <c r="BS27" i="55"/>
  <c r="H27" i="55"/>
  <c r="AM27" i="55"/>
  <c r="CY27" i="55" s="1"/>
  <c r="R40" i="1"/>
  <c r="S34" i="1"/>
  <c r="S37" i="1"/>
  <c r="V29" i="2"/>
  <c r="B48" i="2" s="1"/>
  <c r="C48" i="2" s="1"/>
  <c r="V28" i="2"/>
  <c r="B47" i="2" s="1"/>
  <c r="C47" i="2" s="1"/>
  <c r="H47" i="2" s="1"/>
  <c r="J47" i="2" s="1"/>
  <c r="Q34" i="1"/>
  <c r="AE24" i="54"/>
  <c r="AD25" i="54"/>
  <c r="BH21" i="45"/>
  <c r="BH23" i="45" s="1"/>
  <c r="AA37" i="48" s="1"/>
  <c r="AD22" i="54"/>
  <c r="AD23" i="54"/>
  <c r="AD21" i="54"/>
  <c r="AF8" i="52"/>
  <c r="AB69" i="54"/>
  <c r="AB76" i="54" s="1"/>
  <c r="AB77" i="54" s="1"/>
  <c r="AB70" i="54"/>
  <c r="AB64" i="54"/>
  <c r="AC63" i="54"/>
  <c r="AB65" i="54"/>
  <c r="AB68" i="54"/>
  <c r="AB67" i="54"/>
  <c r="AC156" i="54"/>
  <c r="AB157" i="54"/>
  <c r="AA66" i="54"/>
  <c r="AC147" i="53"/>
  <c r="AB148" i="53"/>
  <c r="AC156" i="53"/>
  <c r="AB157" i="53"/>
  <c r="AB68" i="53"/>
  <c r="AB67" i="53"/>
  <c r="AB70" i="53"/>
  <c r="AC63" i="53"/>
  <c r="AB69" i="53"/>
  <c r="AB76" i="53" s="1"/>
  <c r="AB65" i="53"/>
  <c r="AB64" i="53"/>
  <c r="AA77" i="53"/>
  <c r="AA66" i="53"/>
  <c r="AA133" i="53"/>
  <c r="AA104" i="53"/>
  <c r="AA103" i="53"/>
  <c r="AA105" i="53"/>
  <c r="AA135" i="53"/>
  <c r="AA134" i="53"/>
  <c r="AA102" i="53"/>
  <c r="AB100" i="53"/>
  <c r="AB132" i="53"/>
  <c r="AB101" i="53"/>
  <c r="AB131" i="53"/>
  <c r="Z37" i="46"/>
  <c r="AE25" i="53"/>
  <c r="AE22" i="53"/>
  <c r="AE23" i="53"/>
  <c r="AF24" i="53"/>
  <c r="AE21" i="53"/>
  <c r="BL4" i="51"/>
  <c r="BL57" i="58" s="1"/>
  <c r="BN51" i="45"/>
  <c r="AS3" i="50"/>
  <c r="AG6" i="52" s="1"/>
  <c r="AG8" i="52" s="1"/>
  <c r="BI44" i="45"/>
  <c r="BI42" i="45"/>
  <c r="BI43" i="45"/>
  <c r="AA205" i="48"/>
  <c r="AA142" i="48"/>
  <c r="Z89" i="38"/>
  <c r="Z91" i="38"/>
  <c r="Z90" i="38"/>
  <c r="AA69" i="46"/>
  <c r="AA92" i="46" s="1"/>
  <c r="AB63" i="46"/>
  <c r="AA65" i="46"/>
  <c r="AA68" i="46"/>
  <c r="AA64" i="46"/>
  <c r="AA70" i="46"/>
  <c r="AA67" i="46"/>
  <c r="AB261" i="48"/>
  <c r="AC260" i="48"/>
  <c r="AC20" i="45"/>
  <c r="BI19" i="45"/>
  <c r="AC243" i="48"/>
  <c r="AB244" i="48"/>
  <c r="AB140" i="48"/>
  <c r="AC139" i="48"/>
  <c r="AB204" i="48"/>
  <c r="AB141" i="48"/>
  <c r="AB203" i="48"/>
  <c r="AE24" i="48"/>
  <c r="AD22" i="48"/>
  <c r="AD25" i="48"/>
  <c r="AD23" i="48"/>
  <c r="Z92" i="48"/>
  <c r="Z96" i="46"/>
  <c r="Z101" i="46" s="1"/>
  <c r="Z95" i="46"/>
  <c r="Z100" i="46" s="1"/>
  <c r="Z94" i="46"/>
  <c r="Z93" i="46"/>
  <c r="Z98" i="46" s="1"/>
  <c r="Z97" i="46"/>
  <c r="Z92" i="42"/>
  <c r="Z91" i="42"/>
  <c r="Z95" i="42" s="1"/>
  <c r="Z90" i="42"/>
  <c r="Z94" i="42" s="1"/>
  <c r="Z89" i="42"/>
  <c r="BJ41" i="45"/>
  <c r="AC38" i="48" s="1"/>
  <c r="Z66" i="46"/>
  <c r="AA66" i="48"/>
  <c r="AB65" i="48"/>
  <c r="AB64" i="48"/>
  <c r="AC63" i="48"/>
  <c r="AB70" i="48"/>
  <c r="AB67" i="48"/>
  <c r="AB69" i="48"/>
  <c r="AB68" i="48"/>
  <c r="AE21" i="48"/>
  <c r="Y97" i="48"/>
  <c r="Y94" i="48"/>
  <c r="Y96" i="48"/>
  <c r="Y101" i="48" s="1"/>
  <c r="Y95" i="48"/>
  <c r="Y100" i="48" s="1"/>
  <c r="Y93" i="48"/>
  <c r="Y98" i="48" s="1"/>
  <c r="AA206" i="48"/>
  <c r="AA207" i="48"/>
  <c r="AA145" i="48"/>
  <c r="AA143" i="48"/>
  <c r="AA144" i="48"/>
  <c r="Y37" i="48"/>
  <c r="BF24" i="45"/>
  <c r="BF25" i="45"/>
  <c r="BF26" i="45"/>
  <c r="AC42" i="45"/>
  <c r="AB38" i="46"/>
  <c r="BK17" i="45"/>
  <c r="BK69" i="45" s="1"/>
  <c r="BK40" i="45"/>
  <c r="BK39" i="45"/>
  <c r="BF82" i="45"/>
  <c r="BJ18" i="45"/>
  <c r="BG23" i="45"/>
  <c r="AA142" i="46"/>
  <c r="AA205" i="46"/>
  <c r="AE23" i="46"/>
  <c r="AE22" i="46"/>
  <c r="AA207" i="46"/>
  <c r="AA206" i="46"/>
  <c r="AF24" i="46"/>
  <c r="AF21" i="46"/>
  <c r="AE25" i="46"/>
  <c r="AC243" i="46"/>
  <c r="AB244" i="46"/>
  <c r="AA144" i="46"/>
  <c r="AA143" i="46"/>
  <c r="AA145" i="46"/>
  <c r="AC139" i="46"/>
  <c r="AB204" i="46"/>
  <c r="AB140" i="46"/>
  <c r="AB141" i="46"/>
  <c r="AB203" i="46"/>
  <c r="AC260" i="46"/>
  <c r="AB261" i="46"/>
  <c r="AC44" i="45"/>
  <c r="AC43" i="45"/>
  <c r="BH95" i="45"/>
  <c r="AC95" i="45"/>
  <c r="AD41" i="45"/>
  <c r="AF16" i="45"/>
  <c r="BL16" i="45" s="1"/>
  <c r="AE17" i="45"/>
  <c r="AE69" i="45" s="1"/>
  <c r="AF38" i="45"/>
  <c r="BL38" i="45" s="1"/>
  <c r="AE39" i="45"/>
  <c r="AE40" i="45"/>
  <c r="AD18" i="45"/>
  <c r="AA26" i="45"/>
  <c r="AA25" i="45"/>
  <c r="AA82" i="45"/>
  <c r="AA24" i="45"/>
  <c r="AB21" i="45"/>
  <c r="AB23" i="45" s="1"/>
  <c r="AH51" i="45"/>
  <c r="AH92" i="45" s="1"/>
  <c r="AH53" i="45"/>
  <c r="AH52" i="45"/>
  <c r="AH88" i="45"/>
  <c r="BM92" i="45"/>
  <c r="BM88" i="45"/>
  <c r="Z188" i="42"/>
  <c r="Z187" i="42"/>
  <c r="AB184" i="42"/>
  <c r="AA186" i="42"/>
  <c r="AA189" i="42" s="1"/>
  <c r="AA185" i="42"/>
  <c r="AE24" i="29"/>
  <c r="AF21" i="29"/>
  <c r="AA134" i="42"/>
  <c r="AA133" i="42"/>
  <c r="AA135" i="42"/>
  <c r="AE21" i="38"/>
  <c r="AA187" i="38"/>
  <c r="AB219" i="42"/>
  <c r="AA220" i="42"/>
  <c r="Z66" i="42"/>
  <c r="AC219" i="38"/>
  <c r="AB220" i="38"/>
  <c r="AD25" i="38"/>
  <c r="AA134" i="38"/>
  <c r="AA133" i="38"/>
  <c r="AA135" i="38"/>
  <c r="AC129" i="38"/>
  <c r="AB185" i="38"/>
  <c r="AB186" i="38"/>
  <c r="AB131" i="38"/>
  <c r="AB130" i="38"/>
  <c r="AC234" i="38"/>
  <c r="AB235" i="38"/>
  <c r="AA70" i="42"/>
  <c r="AA69" i="42"/>
  <c r="AA88" i="42" s="1"/>
  <c r="AA67" i="42"/>
  <c r="AB63" i="42"/>
  <c r="AA68" i="42"/>
  <c r="AA64" i="42"/>
  <c r="AA65" i="42"/>
  <c r="Z93" i="42"/>
  <c r="Z66" i="38"/>
  <c r="AC234" i="42"/>
  <c r="AB235" i="42"/>
  <c r="AA132" i="38"/>
  <c r="AD22" i="38"/>
  <c r="AA132" i="42"/>
  <c r="AC129" i="42"/>
  <c r="AB131" i="42"/>
  <c r="AB130" i="42"/>
  <c r="AB63" i="38"/>
  <c r="AA68" i="38"/>
  <c r="AA67" i="38"/>
  <c r="AA65" i="38"/>
  <c r="AA69" i="38"/>
  <c r="AA88" i="38" s="1"/>
  <c r="AA64" i="38"/>
  <c r="AA70" i="38"/>
  <c r="AE24" i="38"/>
  <c r="AD23" i="38"/>
  <c r="AA188" i="38"/>
  <c r="AA189" i="38"/>
  <c r="AA69" i="20"/>
  <c r="AA70" i="20"/>
  <c r="AA72" i="20"/>
  <c r="AA71" i="20"/>
  <c r="AA73" i="20"/>
  <c r="AC310" i="20"/>
  <c r="AB268" i="19"/>
  <c r="AE23" i="28"/>
  <c r="AF24" i="28"/>
  <c r="AB123" i="20"/>
  <c r="AB127" i="20"/>
  <c r="AB124" i="20"/>
  <c r="AB125" i="20"/>
  <c r="AB126" i="20"/>
  <c r="AC122" i="20"/>
  <c r="AB128" i="20"/>
  <c r="AE22" i="28"/>
  <c r="AB88" i="28"/>
  <c r="AB90" i="28"/>
  <c r="AB87" i="28"/>
  <c r="AB86" i="28"/>
  <c r="AB91" i="28"/>
  <c r="AC85" i="28"/>
  <c r="AB89" i="28"/>
  <c r="AA65" i="28"/>
  <c r="AB68" i="20"/>
  <c r="AB67" i="20"/>
  <c r="AC66" i="20"/>
  <c r="AF25" i="28"/>
  <c r="AG21" i="28"/>
  <c r="AC110" i="28"/>
  <c r="AB111" i="28"/>
  <c r="AB64" i="28"/>
  <c r="AB66" i="28"/>
  <c r="AB67" i="28"/>
  <c r="AC62" i="28"/>
  <c r="AB63" i="28"/>
  <c r="AC198" i="20"/>
  <c r="AB199" i="20"/>
  <c r="D58" i="12"/>
  <c r="D59" i="12" s="1"/>
  <c r="AA212" i="20"/>
  <c r="E218" i="14"/>
  <c r="E60" i="14"/>
  <c r="E56" i="14"/>
  <c r="E61" i="14"/>
  <c r="E57" i="14" s="1"/>
  <c r="D60" i="15"/>
  <c r="D76" i="15" s="1"/>
  <c r="C43" i="28"/>
  <c r="D75" i="15"/>
  <c r="D129" i="15"/>
  <c r="E54" i="15"/>
  <c r="F33" i="16"/>
  <c r="F34" i="16"/>
  <c r="E74" i="15"/>
  <c r="E34" i="15"/>
  <c r="E33" i="15"/>
  <c r="F33" i="15"/>
  <c r="F34" i="15"/>
  <c r="E17" i="15"/>
  <c r="E35" i="16"/>
  <c r="E128" i="16" s="1"/>
  <c r="E40" i="16"/>
  <c r="E122" i="16" s="1"/>
  <c r="E132" i="16" s="1"/>
  <c r="E20" i="15"/>
  <c r="F53" i="14"/>
  <c r="F55" i="14" s="1"/>
  <c r="F112" i="14" s="1"/>
  <c r="G32" i="15"/>
  <c r="G52" i="14"/>
  <c r="G51" i="14"/>
  <c r="H50" i="14"/>
  <c r="G54" i="14"/>
  <c r="E54" i="16"/>
  <c r="D41" i="29"/>
  <c r="D42" i="19"/>
  <c r="F74" i="16"/>
  <c r="F74" i="15"/>
  <c r="D59" i="15"/>
  <c r="D135" i="15" s="1"/>
  <c r="G7" i="15"/>
  <c r="G41" i="15" s="1"/>
  <c r="BS33" i="58" s="1"/>
  <c r="G32" i="58" s="1"/>
  <c r="AM32" i="58" s="1"/>
  <c r="BS32" i="58" s="1"/>
  <c r="D41" i="28"/>
  <c r="G32" i="16"/>
  <c r="E21" i="16"/>
  <c r="E123" i="16" s="1"/>
  <c r="F17" i="15"/>
  <c r="H48" i="2"/>
  <c r="E53" i="12"/>
  <c r="E55" i="12" s="1"/>
  <c r="G50" i="12"/>
  <c r="F54" i="12"/>
  <c r="F51" i="12"/>
  <c r="F52" i="12"/>
  <c r="F17" i="16"/>
  <c r="F8" i="15"/>
  <c r="F9" i="15" s="1"/>
  <c r="F10" i="15" s="1"/>
  <c r="F11" i="15" s="1"/>
  <c r="F25" i="16"/>
  <c r="F124" i="16" s="1"/>
  <c r="F25" i="15"/>
  <c r="F124" i="15" s="1"/>
  <c r="F20" i="16"/>
  <c r="E10" i="16"/>
  <c r="E11" i="16" s="1"/>
  <c r="E39" i="16" s="1"/>
  <c r="E121" i="16" s="1"/>
  <c r="H22" i="15"/>
  <c r="H24" i="15" s="1"/>
  <c r="G23" i="15"/>
  <c r="F20" i="15"/>
  <c r="E9" i="15"/>
  <c r="G19" i="16"/>
  <c r="G16" i="16"/>
  <c r="G18" i="16"/>
  <c r="G15" i="16"/>
  <c r="H14" i="16"/>
  <c r="H6" i="15"/>
  <c r="G7" i="16"/>
  <c r="G41" i="16" s="1"/>
  <c r="H6" i="16"/>
  <c r="G23" i="16"/>
  <c r="H22" i="16"/>
  <c r="H24" i="16" s="1"/>
  <c r="F8" i="16"/>
  <c r="H14" i="15"/>
  <c r="G19" i="15"/>
  <c r="G16" i="15"/>
  <c r="G18" i="15"/>
  <c r="G15" i="15"/>
  <c r="AA3" i="12"/>
  <c r="Z1" i="52" s="1"/>
  <c r="C18" i="1"/>
  <c r="B35" i="1"/>
  <c r="O34" i="1" s="1"/>
  <c r="Q25" i="1"/>
  <c r="Q35" i="1" s="1"/>
  <c r="Q26" i="1"/>
  <c r="Q36" i="1" s="1"/>
  <c r="Q27" i="1"/>
  <c r="Q37" i="1" s="1"/>
  <c r="Q28" i="1"/>
  <c r="Q38" i="1" s="1"/>
  <c r="Q29" i="1"/>
  <c r="Q39" i="1" s="1"/>
  <c r="Q31" i="1"/>
  <c r="Q41" i="1" s="1"/>
  <c r="O25" i="1"/>
  <c r="O35" i="1" s="1"/>
  <c r="O26" i="1"/>
  <c r="O36" i="1" s="1"/>
  <c r="O27" i="1"/>
  <c r="O37" i="1" s="1"/>
  <c r="O28" i="1"/>
  <c r="O38" i="1" s="1"/>
  <c r="O29" i="1"/>
  <c r="O31" i="1"/>
  <c r="V25" i="2"/>
  <c r="B44" i="2" s="1"/>
  <c r="C44" i="2" s="1"/>
  <c r="V30" i="2"/>
  <c r="B49" i="2" s="1"/>
  <c r="C49" i="2" s="1"/>
  <c r="V27" i="2"/>
  <c r="B46" i="2" s="1"/>
  <c r="BH25" i="45" l="1"/>
  <c r="BH26" i="45"/>
  <c r="BH24" i="45"/>
  <c r="O41" i="1"/>
  <c r="O39" i="1"/>
  <c r="R31" i="1"/>
  <c r="R41" i="1" s="1"/>
  <c r="R24" i="1"/>
  <c r="R34" i="1" s="1"/>
  <c r="R29" i="1"/>
  <c r="R39" i="1" s="1"/>
  <c r="T24" i="1"/>
  <c r="T34" i="1" s="1"/>
  <c r="C63" i="2"/>
  <c r="B63" i="2" s="1"/>
  <c r="C71" i="4"/>
  <c r="C45" i="2"/>
  <c r="H45" i="2" s="1"/>
  <c r="J45" i="2" s="1"/>
  <c r="B50" i="2"/>
  <c r="C50" i="2" s="1"/>
  <c r="H50" i="2" s="1"/>
  <c r="J50" i="2" s="1"/>
  <c r="BT27" i="55"/>
  <c r="I27" i="55"/>
  <c r="AN27" i="55"/>
  <c r="CZ27" i="55" s="1"/>
  <c r="T27" i="1"/>
  <c r="T37" i="1" s="1"/>
  <c r="J26" i="55"/>
  <c r="AO26" i="55"/>
  <c r="DA26" i="55" s="1"/>
  <c r="T28" i="1"/>
  <c r="T38" i="1" s="1"/>
  <c r="C46" i="2"/>
  <c r="B46" i="3"/>
  <c r="H49" i="2"/>
  <c r="J49" i="2" s="1"/>
  <c r="E49" i="2"/>
  <c r="F49" i="2" s="1"/>
  <c r="T26" i="1"/>
  <c r="T36" i="1" s="1"/>
  <c r="T25" i="1"/>
  <c r="T35" i="1" s="1"/>
  <c r="E44" i="2"/>
  <c r="F44" i="2" s="1"/>
  <c r="H44" i="2"/>
  <c r="J44" i="2" s="1"/>
  <c r="F4" i="60"/>
  <c r="F16" i="60" s="1"/>
  <c r="D16" i="60"/>
  <c r="C4" i="60"/>
  <c r="C16" i="60" s="1"/>
  <c r="S6" i="60"/>
  <c r="T31" i="1"/>
  <c r="T41" i="1" s="1"/>
  <c r="AC21" i="45"/>
  <c r="AC23" i="45" s="1"/>
  <c r="AC24" i="45" s="1"/>
  <c r="AE25" i="54"/>
  <c r="AE21" i="54"/>
  <c r="AF24" i="54"/>
  <c r="AE23" i="54"/>
  <c r="BI21" i="45"/>
  <c r="BI23" i="45" s="1"/>
  <c r="BI24" i="45" s="1"/>
  <c r="AE22" i="54"/>
  <c r="AD156" i="54"/>
  <c r="AC157" i="54"/>
  <c r="AC65" i="54"/>
  <c r="AC64" i="54"/>
  <c r="AD63" i="54"/>
  <c r="AC67" i="54"/>
  <c r="AC68" i="54"/>
  <c r="AC69" i="54"/>
  <c r="AC76" i="54" s="1"/>
  <c r="AC77" i="54" s="1"/>
  <c r="AC70" i="54"/>
  <c r="AB66" i="54"/>
  <c r="AB66" i="53"/>
  <c r="AB65" i="28"/>
  <c r="AD147" i="53"/>
  <c r="AC148" i="53"/>
  <c r="AD156" i="53"/>
  <c r="AC157" i="53"/>
  <c r="AB77" i="53"/>
  <c r="AC70" i="53"/>
  <c r="AC69" i="53"/>
  <c r="AC76" i="53" s="1"/>
  <c r="AD63" i="53"/>
  <c r="AC67" i="53"/>
  <c r="AC64" i="53"/>
  <c r="AC68" i="53"/>
  <c r="AC65" i="53"/>
  <c r="AC100" i="53"/>
  <c r="AC101" i="53"/>
  <c r="AC132" i="53"/>
  <c r="AC131" i="53"/>
  <c r="AC38" i="46"/>
  <c r="AB133" i="53"/>
  <c r="AB104" i="53"/>
  <c r="AB103" i="53"/>
  <c r="AB105" i="53"/>
  <c r="AB135" i="53"/>
  <c r="AB134" i="53"/>
  <c r="AA37" i="46"/>
  <c r="AB102" i="53"/>
  <c r="AG24" i="53"/>
  <c r="AF23" i="53"/>
  <c r="AF21" i="53"/>
  <c r="AF22" i="53"/>
  <c r="AF25" i="53"/>
  <c r="AU3" i="50"/>
  <c r="BM4" i="51"/>
  <c r="BM57" i="58" s="1"/>
  <c r="AB66" i="48"/>
  <c r="BK41" i="45"/>
  <c r="BK42" i="45" s="1"/>
  <c r="BJ43" i="45"/>
  <c r="BJ44" i="45"/>
  <c r="AB142" i="48"/>
  <c r="AA90" i="38"/>
  <c r="AA89" i="38"/>
  <c r="AA91" i="38"/>
  <c r="AA92" i="42"/>
  <c r="AA90" i="42"/>
  <c r="AA94" i="42" s="1"/>
  <c r="AA91" i="42"/>
  <c r="AA95" i="42" s="1"/>
  <c r="AA89" i="42"/>
  <c r="AF21" i="48"/>
  <c r="Z93" i="48"/>
  <c r="Z98" i="48" s="1"/>
  <c r="Z97" i="48"/>
  <c r="Z96" i="48"/>
  <c r="Z101" i="48" s="1"/>
  <c r="Z95" i="48"/>
  <c r="Z100" i="48" s="1"/>
  <c r="Z94" i="48"/>
  <c r="AF24" i="48"/>
  <c r="AB207" i="48"/>
  <c r="AB206" i="48"/>
  <c r="BJ42" i="45"/>
  <c r="AC64" i="48"/>
  <c r="AC69" i="48"/>
  <c r="AC65" i="48"/>
  <c r="AC70" i="48"/>
  <c r="AC67" i="48"/>
  <c r="AD63" i="48"/>
  <c r="AC68" i="48"/>
  <c r="AE25" i="48"/>
  <c r="AE22" i="48"/>
  <c r="AC203" i="48"/>
  <c r="AD139" i="48"/>
  <c r="AC140" i="48"/>
  <c r="AC141" i="48"/>
  <c r="AC204" i="48"/>
  <c r="AB70" i="46"/>
  <c r="AB67" i="46"/>
  <c r="AB68" i="46"/>
  <c r="AB65" i="46"/>
  <c r="AB64" i="46"/>
  <c r="AB69" i="46"/>
  <c r="AB92" i="46" s="1"/>
  <c r="AC63" i="46"/>
  <c r="AB205" i="48"/>
  <c r="AD243" i="48"/>
  <c r="AC244" i="48"/>
  <c r="AD260" i="48"/>
  <c r="AC261" i="48"/>
  <c r="AA66" i="46"/>
  <c r="AA95" i="46"/>
  <c r="AA100" i="46" s="1"/>
  <c r="AA92" i="48"/>
  <c r="AA93" i="46"/>
  <c r="AA98" i="46" s="1"/>
  <c r="AA94" i="46"/>
  <c r="AA97" i="46"/>
  <c r="AA96" i="46"/>
  <c r="AA101" i="46" s="1"/>
  <c r="AE23" i="48"/>
  <c r="AB145" i="48"/>
  <c r="AB144" i="48"/>
  <c r="AB143" i="48"/>
  <c r="BL39" i="45"/>
  <c r="BL40" i="45"/>
  <c r="BL17" i="45"/>
  <c r="BL69" i="45" s="1"/>
  <c r="BJ19" i="45"/>
  <c r="BJ20" i="45"/>
  <c r="Z37" i="48"/>
  <c r="BG24" i="45"/>
  <c r="BG25" i="45"/>
  <c r="BG26" i="45"/>
  <c r="BK18" i="45"/>
  <c r="AB145" i="46"/>
  <c r="AB144" i="46"/>
  <c r="AB143" i="46"/>
  <c r="AF25" i="46"/>
  <c r="AB142" i="46"/>
  <c r="AF22" i="46"/>
  <c r="AD260" i="46"/>
  <c r="AC261" i="46"/>
  <c r="AB207" i="46"/>
  <c r="AB206" i="46"/>
  <c r="AD243" i="46"/>
  <c r="AC244" i="46"/>
  <c r="AG21" i="46"/>
  <c r="AG24" i="46"/>
  <c r="AF23" i="46"/>
  <c r="AB205" i="46"/>
  <c r="AD139" i="46"/>
  <c r="AC204" i="46"/>
  <c r="AC140" i="46"/>
  <c r="AC203" i="46"/>
  <c r="AC141" i="46"/>
  <c r="BG82" i="45"/>
  <c r="BJ95" i="45"/>
  <c r="AE18" i="45"/>
  <c r="AE19" i="45" s="1"/>
  <c r="BI95" i="45"/>
  <c r="AD44" i="45"/>
  <c r="AD95" i="45"/>
  <c r="AD42" i="45"/>
  <c r="AD43" i="45"/>
  <c r="AE41" i="45"/>
  <c r="AF17" i="45"/>
  <c r="AF69" i="45" s="1"/>
  <c r="AG16" i="45"/>
  <c r="BM16" i="45" s="1"/>
  <c r="AD20" i="45"/>
  <c r="AD19" i="45"/>
  <c r="BH82" i="45"/>
  <c r="AB25" i="45"/>
  <c r="AB26" i="45"/>
  <c r="AB82" i="45"/>
  <c r="AB24" i="45"/>
  <c r="AF39" i="45"/>
  <c r="AF40" i="45"/>
  <c r="AG38" i="45"/>
  <c r="BM38" i="45" s="1"/>
  <c r="BN88" i="45"/>
  <c r="BN92" i="45"/>
  <c r="AA187" i="42"/>
  <c r="AA188" i="42"/>
  <c r="AC184" i="42"/>
  <c r="AB186" i="42"/>
  <c r="AB188" i="42" s="1"/>
  <c r="AB185" i="42"/>
  <c r="AB132" i="38"/>
  <c r="AG21" i="29"/>
  <c r="AF24" i="29"/>
  <c r="AB132" i="42"/>
  <c r="AC63" i="38"/>
  <c r="AB68" i="38"/>
  <c r="AB70" i="38"/>
  <c r="AB65" i="38"/>
  <c r="AB67" i="38"/>
  <c r="AB64" i="38"/>
  <c r="AB69" i="38"/>
  <c r="AB88" i="38" s="1"/>
  <c r="AB69" i="42"/>
  <c r="AB88" i="42" s="1"/>
  <c r="AB65" i="42"/>
  <c r="AC63" i="42"/>
  <c r="AB70" i="42"/>
  <c r="AB64" i="42"/>
  <c r="AB68" i="42"/>
  <c r="AB67" i="42"/>
  <c r="AD129" i="38"/>
  <c r="AC185" i="38"/>
  <c r="AC186" i="38"/>
  <c r="AC131" i="38"/>
  <c r="AC130" i="38"/>
  <c r="AF21" i="38"/>
  <c r="AF24" i="38"/>
  <c r="AD129" i="42"/>
  <c r="AC131" i="42"/>
  <c r="AC130" i="42"/>
  <c r="AA93" i="42"/>
  <c r="AB134" i="38"/>
  <c r="AB133" i="38"/>
  <c r="AB135" i="38"/>
  <c r="AE25" i="38"/>
  <c r="AC219" i="42"/>
  <c r="AB220" i="42"/>
  <c r="AB134" i="42"/>
  <c r="AB133" i="42"/>
  <c r="AB135" i="42"/>
  <c r="AE22" i="38"/>
  <c r="AA66" i="42"/>
  <c r="AB189" i="38"/>
  <c r="AB188" i="38"/>
  <c r="AE23" i="38"/>
  <c r="AA66" i="38"/>
  <c r="AD234" i="42"/>
  <c r="AC235" i="42"/>
  <c r="AD234" i="38"/>
  <c r="AC235" i="38"/>
  <c r="AB187" i="38"/>
  <c r="AD219" i="38"/>
  <c r="AC220" i="38"/>
  <c r="AB69" i="20"/>
  <c r="AD198" i="20"/>
  <c r="AC199" i="20"/>
  <c r="AD110" i="28"/>
  <c r="AC111" i="28"/>
  <c r="AG25" i="28"/>
  <c r="AF22" i="28"/>
  <c r="AD66" i="20"/>
  <c r="AC67" i="20"/>
  <c r="AC68" i="20"/>
  <c r="AD85" i="28"/>
  <c r="AC90" i="28"/>
  <c r="AC86" i="28"/>
  <c r="AC87" i="28"/>
  <c r="AC89" i="28"/>
  <c r="AC88" i="28"/>
  <c r="AC91" i="28"/>
  <c r="AG24" i="28"/>
  <c r="AC268" i="19"/>
  <c r="AD310" i="20"/>
  <c r="AC64" i="28"/>
  <c r="AD62" i="28"/>
  <c r="AC67" i="28"/>
  <c r="AC63" i="28"/>
  <c r="AC66" i="28"/>
  <c r="AC124" i="20"/>
  <c r="AD122" i="20"/>
  <c r="AC126" i="20"/>
  <c r="AC125" i="20"/>
  <c r="AC127" i="20"/>
  <c r="AC128" i="20"/>
  <c r="AC123" i="20"/>
  <c r="AB70" i="20"/>
  <c r="AB71" i="20"/>
  <c r="AB72" i="20"/>
  <c r="AB73" i="20"/>
  <c r="AF23" i="28"/>
  <c r="E58" i="14"/>
  <c r="E59" i="14" s="1"/>
  <c r="AB212" i="20"/>
  <c r="F218" i="14"/>
  <c r="F61" i="14"/>
  <c r="F57" i="14" s="1"/>
  <c r="F60" i="14"/>
  <c r="F56" i="14"/>
  <c r="E60" i="12"/>
  <c r="E58" i="12" s="1"/>
  <c r="E56" i="12"/>
  <c r="E61" i="12"/>
  <c r="E57" i="12" s="1"/>
  <c r="F21" i="16"/>
  <c r="F123" i="16" s="1"/>
  <c r="E131" i="16"/>
  <c r="G33" i="15"/>
  <c r="G34" i="15"/>
  <c r="E42" i="19"/>
  <c r="G34" i="16"/>
  <c r="G33" i="16"/>
  <c r="F54" i="15"/>
  <c r="E112" i="12"/>
  <c r="E218" i="12"/>
  <c r="E60" i="16"/>
  <c r="D43" i="29"/>
  <c r="E40" i="15"/>
  <c r="E122" i="15" s="1"/>
  <c r="E132" i="15" s="1"/>
  <c r="G53" i="14"/>
  <c r="G55" i="14" s="1"/>
  <c r="G112" i="14" s="1"/>
  <c r="E42" i="16"/>
  <c r="F40" i="15"/>
  <c r="F122" i="15" s="1"/>
  <c r="F132" i="15" s="1"/>
  <c r="E21" i="15"/>
  <c r="E123" i="15" s="1"/>
  <c r="E35" i="15"/>
  <c r="E128" i="15" s="1"/>
  <c r="F35" i="16"/>
  <c r="F128" i="16" s="1"/>
  <c r="D66" i="7"/>
  <c r="D14" i="7"/>
  <c r="E14" i="7" s="1"/>
  <c r="F39" i="15"/>
  <c r="F121" i="15" s="1"/>
  <c r="D66" i="16"/>
  <c r="F35" i="15"/>
  <c r="F128" i="15" s="1"/>
  <c r="G74" i="16"/>
  <c r="G74" i="15"/>
  <c r="H32" i="16"/>
  <c r="F54" i="16"/>
  <c r="E41" i="29"/>
  <c r="H32" i="15"/>
  <c r="E43" i="16"/>
  <c r="D39" i="29"/>
  <c r="F40" i="16"/>
  <c r="F122" i="16" s="1"/>
  <c r="F132" i="16" s="1"/>
  <c r="D46" i="16"/>
  <c r="D65" i="15"/>
  <c r="D139" i="15" s="1"/>
  <c r="I50" i="14"/>
  <c r="H54" i="14"/>
  <c r="H51" i="14"/>
  <c r="H52" i="14"/>
  <c r="D66" i="15"/>
  <c r="D46" i="15"/>
  <c r="D67" i="15"/>
  <c r="D49" i="15"/>
  <c r="D136" i="15" s="1"/>
  <c r="E41" i="28"/>
  <c r="H7" i="15"/>
  <c r="H41" i="15" s="1"/>
  <c r="BT33" i="58" s="1"/>
  <c r="H32" i="58" s="1"/>
  <c r="AN32" i="58" s="1"/>
  <c r="BT32" i="58" s="1"/>
  <c r="D42" i="20"/>
  <c r="J48" i="2"/>
  <c r="F53" i="12"/>
  <c r="F55" i="12" s="1"/>
  <c r="H50" i="12"/>
  <c r="G54" i="12"/>
  <c r="G52" i="12"/>
  <c r="G51" i="12"/>
  <c r="G25" i="16"/>
  <c r="G124" i="16" s="1"/>
  <c r="G25" i="15"/>
  <c r="G124" i="15" s="1"/>
  <c r="G17" i="15"/>
  <c r="G8" i="15"/>
  <c r="G9" i="15" s="1"/>
  <c r="G10" i="15" s="1"/>
  <c r="G11" i="15" s="1"/>
  <c r="G17" i="16"/>
  <c r="G20" i="16"/>
  <c r="G8" i="16"/>
  <c r="G9" i="16" s="1"/>
  <c r="F13" i="15"/>
  <c r="F125" i="15" s="1"/>
  <c r="H7" i="16"/>
  <c r="H41" i="16" s="1"/>
  <c r="I6" i="16"/>
  <c r="I6" i="15"/>
  <c r="E10" i="15"/>
  <c r="E11" i="15" s="1"/>
  <c r="E39" i="15" s="1"/>
  <c r="E121" i="15" s="1"/>
  <c r="G20" i="15"/>
  <c r="I22" i="15"/>
  <c r="I24" i="15" s="1"/>
  <c r="H23" i="15"/>
  <c r="E13" i="16"/>
  <c r="E125" i="16" s="1"/>
  <c r="E129" i="16" s="1"/>
  <c r="I14" i="15"/>
  <c r="H19" i="15"/>
  <c r="H16" i="15"/>
  <c r="H15" i="15"/>
  <c r="H18" i="15"/>
  <c r="F9" i="16"/>
  <c r="H23" i="16"/>
  <c r="I22" i="16"/>
  <c r="I24" i="16" s="1"/>
  <c r="H18" i="16"/>
  <c r="H15" i="16"/>
  <c r="H16" i="16"/>
  <c r="H19" i="16"/>
  <c r="I14" i="16"/>
  <c r="F21" i="15"/>
  <c r="F123" i="15" s="1"/>
  <c r="AB3" i="12"/>
  <c r="AA1" i="52" s="1"/>
  <c r="O40" i="1"/>
  <c r="B36" i="1"/>
  <c r="C61" i="2"/>
  <c r="B61" i="2" s="1"/>
  <c r="C60" i="2"/>
  <c r="B60" i="2" s="1"/>
  <c r="C59" i="2"/>
  <c r="B59" i="2" s="1"/>
  <c r="C58" i="2"/>
  <c r="B58" i="2" s="1"/>
  <c r="AC82" i="45" l="1"/>
  <c r="AC66" i="54"/>
  <c r="AC25" i="45"/>
  <c r="AB37" i="46"/>
  <c r="AC26" i="45"/>
  <c r="K26" i="55"/>
  <c r="AP26" i="55"/>
  <c r="DB26" i="55" s="1"/>
  <c r="C62" i="2"/>
  <c r="B62" i="2" s="1"/>
  <c r="AO27" i="55"/>
  <c r="DA27" i="55" s="1"/>
  <c r="BU27" i="55"/>
  <c r="J27" i="55"/>
  <c r="S16" i="60"/>
  <c r="H46" i="2"/>
  <c r="E46" i="2"/>
  <c r="F46" i="2" s="1"/>
  <c r="AG24" i="54"/>
  <c r="AF25" i="54"/>
  <c r="AF21" i="54"/>
  <c r="AB37" i="48"/>
  <c r="BI26" i="45"/>
  <c r="BI25" i="45"/>
  <c r="AF23" i="54"/>
  <c r="AF22" i="54"/>
  <c r="Q29" i="49"/>
  <c r="Q28" i="49"/>
  <c r="Q27" i="49"/>
  <c r="Q26" i="49"/>
  <c r="Q30" i="49"/>
  <c r="AD67" i="54"/>
  <c r="AD69" i="54"/>
  <c r="AD76" i="54" s="1"/>
  <c r="AD77" i="54" s="1"/>
  <c r="AD65" i="54"/>
  <c r="AE63" i="54"/>
  <c r="AD64" i="54"/>
  <c r="AD68" i="54"/>
  <c r="AD70" i="54"/>
  <c r="AD157" i="54"/>
  <c r="AE156" i="54"/>
  <c r="BK44" i="45"/>
  <c r="AE156" i="53"/>
  <c r="AD157" i="53"/>
  <c r="AE147" i="53"/>
  <c r="AD148" i="53"/>
  <c r="AD65" i="53"/>
  <c r="AD64" i="53"/>
  <c r="AD68" i="53"/>
  <c r="AD67" i="53"/>
  <c r="AD70" i="53"/>
  <c r="AD69" i="53"/>
  <c r="AD76" i="53" s="1"/>
  <c r="AE63" i="53"/>
  <c r="AC77" i="53"/>
  <c r="AC66" i="53"/>
  <c r="AC133" i="53"/>
  <c r="AC135" i="53"/>
  <c r="AC134" i="53"/>
  <c r="AC104" i="53"/>
  <c r="AC103" i="53"/>
  <c r="AC105" i="53"/>
  <c r="AC102" i="53"/>
  <c r="AD100" i="53"/>
  <c r="AD101" i="53"/>
  <c r="AD132" i="53"/>
  <c r="AD131" i="53"/>
  <c r="AD38" i="46"/>
  <c r="AG21" i="53"/>
  <c r="AG22" i="53"/>
  <c r="AG25" i="53"/>
  <c r="AG23" i="53"/>
  <c r="BN4" i="51"/>
  <c r="BN57" i="58" s="1"/>
  <c r="DF19" i="58" s="1"/>
  <c r="CA15" i="51"/>
  <c r="BS14" i="51"/>
  <c r="K29" i="49"/>
  <c r="K26" i="49"/>
  <c r="H5" i="8" s="1"/>
  <c r="K28" i="49"/>
  <c r="K30" i="49"/>
  <c r="K27" i="49"/>
  <c r="H5" i="4" s="1"/>
  <c r="AD38" i="48"/>
  <c r="BK43" i="45"/>
  <c r="BL41" i="45"/>
  <c r="BL44" i="45" s="1"/>
  <c r="AB92" i="42"/>
  <c r="AB89" i="42"/>
  <c r="AB93" i="42" s="1"/>
  <c r="AB91" i="42"/>
  <c r="AB95" i="42" s="1"/>
  <c r="AB90" i="42"/>
  <c r="AB94" i="42" s="1"/>
  <c r="AF23" i="48"/>
  <c r="AA96" i="48"/>
  <c r="AA101" i="48" s="1"/>
  <c r="AA97" i="48"/>
  <c r="AA95" i="48"/>
  <c r="AA100" i="48" s="1"/>
  <c r="AA94" i="48"/>
  <c r="AA93" i="48"/>
  <c r="AA98" i="48" s="1"/>
  <c r="AD261" i="48"/>
  <c r="AE260" i="48"/>
  <c r="AC207" i="48"/>
  <c r="AC206" i="48"/>
  <c r="AC205" i="48"/>
  <c r="AF25" i="48"/>
  <c r="AG21" i="48"/>
  <c r="AB91" i="38"/>
  <c r="AB89" i="38"/>
  <c r="AB90" i="38"/>
  <c r="AD63" i="46"/>
  <c r="AC68" i="46"/>
  <c r="AC70" i="46"/>
  <c r="AC67" i="46"/>
  <c r="AC69" i="46"/>
  <c r="AC92" i="46" s="1"/>
  <c r="AC64" i="46"/>
  <c r="AC65" i="46"/>
  <c r="AC143" i="48"/>
  <c r="AC145" i="48"/>
  <c r="AC144" i="48"/>
  <c r="AG24" i="48"/>
  <c r="AE243" i="48"/>
  <c r="AD244" i="48"/>
  <c r="AB97" i="46"/>
  <c r="AB96" i="46"/>
  <c r="AB101" i="46" s="1"/>
  <c r="AB93" i="46"/>
  <c r="AB98" i="46" s="1"/>
  <c r="AB95" i="46"/>
  <c r="AB100" i="46" s="1"/>
  <c r="AB92" i="48"/>
  <c r="AB94" i="46"/>
  <c r="AC142" i="48"/>
  <c r="AF22" i="48"/>
  <c r="AD68" i="48"/>
  <c r="AD64" i="48"/>
  <c r="AD67" i="48"/>
  <c r="AE63" i="48"/>
  <c r="AD70" i="48"/>
  <c r="AD65" i="48"/>
  <c r="AD69" i="48"/>
  <c r="AB66" i="46"/>
  <c r="AD140" i="48"/>
  <c r="AE139" i="48"/>
  <c r="AD203" i="48"/>
  <c r="AD141" i="48"/>
  <c r="AD204" i="48"/>
  <c r="AC66" i="48"/>
  <c r="BM17" i="45"/>
  <c r="BM69" i="45" s="1"/>
  <c r="BJ21" i="45"/>
  <c r="BM40" i="45"/>
  <c r="BM39" i="45"/>
  <c r="BK19" i="45"/>
  <c r="BK20" i="45"/>
  <c r="BL18" i="45"/>
  <c r="AC207" i="46"/>
  <c r="AC206" i="46"/>
  <c r="AG22" i="46"/>
  <c r="AC145" i="46"/>
  <c r="AC144" i="46"/>
  <c r="AC143" i="46"/>
  <c r="AE139" i="46"/>
  <c r="AD204" i="46"/>
  <c r="AD203" i="46"/>
  <c r="AD140" i="46"/>
  <c r="AD141" i="46"/>
  <c r="AC205" i="46"/>
  <c r="AG23" i="46"/>
  <c r="AG25" i="46"/>
  <c r="AC142" i="46"/>
  <c r="AE243" i="46"/>
  <c r="AD244" i="46"/>
  <c r="AE260" i="46"/>
  <c r="AD261" i="46"/>
  <c r="AE20" i="45"/>
  <c r="AD21" i="45"/>
  <c r="AD23" i="45" s="1"/>
  <c r="BI82" i="45"/>
  <c r="AF41" i="45"/>
  <c r="BK95" i="45"/>
  <c r="AG17" i="45"/>
  <c r="AG69" i="45" s="1"/>
  <c r="AH16" i="45"/>
  <c r="BN16" i="45" s="1"/>
  <c r="AG40" i="45"/>
  <c r="AG39" i="45"/>
  <c r="AH38" i="45"/>
  <c r="AF18" i="45"/>
  <c r="AE43" i="45"/>
  <c r="AE44" i="45"/>
  <c r="AE42" i="45"/>
  <c r="AE95" i="45"/>
  <c r="AB189" i="42"/>
  <c r="AB187" i="42"/>
  <c r="AD184" i="42"/>
  <c r="AC185" i="42"/>
  <c r="AC186" i="42"/>
  <c r="AC65" i="28"/>
  <c r="AC132" i="42"/>
  <c r="AC132" i="38"/>
  <c r="AG24" i="29"/>
  <c r="AC187" i="38"/>
  <c r="AC68" i="42"/>
  <c r="AD63" i="42"/>
  <c r="AC69" i="42"/>
  <c r="AC88" i="42" s="1"/>
  <c r="AC67" i="42"/>
  <c r="AC70" i="42"/>
  <c r="AC65" i="42"/>
  <c r="AC64" i="42"/>
  <c r="AB66" i="38"/>
  <c r="AE219" i="38"/>
  <c r="AD220" i="38"/>
  <c r="AE234" i="42"/>
  <c r="AD235" i="42"/>
  <c r="AF23" i="38"/>
  <c r="AD219" i="42"/>
  <c r="AC220" i="42"/>
  <c r="AE129" i="42"/>
  <c r="AD131" i="42"/>
  <c r="AD130" i="42"/>
  <c r="AG24" i="38"/>
  <c r="AG21" i="38"/>
  <c r="AE129" i="38"/>
  <c r="AD185" i="38"/>
  <c r="AD186" i="38"/>
  <c r="AD131" i="38"/>
  <c r="AD130" i="38"/>
  <c r="AD63" i="38"/>
  <c r="AC69" i="38"/>
  <c r="AC88" i="38" s="1"/>
  <c r="AC68" i="38"/>
  <c r="AC64" i="38"/>
  <c r="AC70" i="38"/>
  <c r="AC65" i="38"/>
  <c r="AC67" i="38"/>
  <c r="AC134" i="42"/>
  <c r="AC133" i="42"/>
  <c r="AC135" i="42"/>
  <c r="AC134" i="38"/>
  <c r="AC135" i="38"/>
  <c r="AC133" i="38"/>
  <c r="AB66" i="42"/>
  <c r="AE234" i="38"/>
  <c r="AD235" i="38"/>
  <c r="AF22" i="38"/>
  <c r="AF25" i="38"/>
  <c r="AC189" i="38"/>
  <c r="AC188" i="38"/>
  <c r="AC73" i="20"/>
  <c r="AC70" i="20"/>
  <c r="AC71" i="20"/>
  <c r="AC72" i="20"/>
  <c r="AD128" i="20"/>
  <c r="AD123" i="20"/>
  <c r="AD127" i="20"/>
  <c r="AD124" i="20"/>
  <c r="AD125" i="20"/>
  <c r="AE122" i="20"/>
  <c r="AD126" i="20"/>
  <c r="AE310" i="20"/>
  <c r="AD268" i="19"/>
  <c r="AC69" i="20"/>
  <c r="AG22" i="28"/>
  <c r="AD111" i="28"/>
  <c r="AE110" i="28"/>
  <c r="AG23" i="28"/>
  <c r="AE66" i="20"/>
  <c r="AD68" i="20"/>
  <c r="AD67" i="20"/>
  <c r="AE62" i="28"/>
  <c r="AD66" i="28"/>
  <c r="AD64" i="28"/>
  <c r="AD67" i="28"/>
  <c r="AD63" i="28"/>
  <c r="AD87" i="28"/>
  <c r="AD91" i="28"/>
  <c r="AD88" i="28"/>
  <c r="AE85" i="28"/>
  <c r="AD90" i="28"/>
  <c r="AD86" i="28"/>
  <c r="AD89" i="28"/>
  <c r="AE198" i="20"/>
  <c r="AD199" i="20"/>
  <c r="F58" i="14"/>
  <c r="F59" i="14" s="1"/>
  <c r="E59" i="12"/>
  <c r="AC212" i="20"/>
  <c r="G218" i="14"/>
  <c r="G61" i="14"/>
  <c r="G57" i="14" s="1"/>
  <c r="G60" i="14"/>
  <c r="G56" i="14"/>
  <c r="F60" i="12"/>
  <c r="F58" i="12" s="1"/>
  <c r="F61" i="12"/>
  <c r="F57" i="12" s="1"/>
  <c r="F56" i="12"/>
  <c r="E39" i="29"/>
  <c r="F43" i="16"/>
  <c r="E131" i="15"/>
  <c r="D134" i="16"/>
  <c r="F131" i="15"/>
  <c r="F129" i="15"/>
  <c r="D134" i="15"/>
  <c r="D140" i="15" s="1"/>
  <c r="D133" i="15" a="1"/>
  <c r="H34" i="15"/>
  <c r="H33" i="15"/>
  <c r="G54" i="15"/>
  <c r="E43" i="15"/>
  <c r="H34" i="16"/>
  <c r="H33" i="16"/>
  <c r="F43" i="15"/>
  <c r="F47" i="15"/>
  <c r="F112" i="12"/>
  <c r="F218" i="12"/>
  <c r="E43" i="29"/>
  <c r="E43" i="28"/>
  <c r="E60" i="15"/>
  <c r="E75" i="16"/>
  <c r="D63" i="7"/>
  <c r="F60" i="16"/>
  <c r="F42" i="19"/>
  <c r="D39" i="28"/>
  <c r="G40" i="15"/>
  <c r="G122" i="15" s="1"/>
  <c r="G132" i="15" s="1"/>
  <c r="G40" i="16"/>
  <c r="G122" i="16" s="1"/>
  <c r="D43" i="28"/>
  <c r="D15" i="7"/>
  <c r="E15" i="7" s="1"/>
  <c r="D68" i="7"/>
  <c r="D65" i="7"/>
  <c r="D64" i="7"/>
  <c r="D67" i="7"/>
  <c r="F60" i="15"/>
  <c r="G35" i="16"/>
  <c r="G128" i="16" s="1"/>
  <c r="G39" i="15"/>
  <c r="G121" i="15" s="1"/>
  <c r="G54" i="16"/>
  <c r="F41" i="29"/>
  <c r="I32" i="15"/>
  <c r="I54" i="14"/>
  <c r="I51" i="14"/>
  <c r="I52" i="14"/>
  <c r="J50" i="14"/>
  <c r="E47" i="16"/>
  <c r="D40" i="29"/>
  <c r="D68" i="15"/>
  <c r="H53" i="14"/>
  <c r="H55" i="14" s="1"/>
  <c r="H112" i="14" s="1"/>
  <c r="H74" i="15"/>
  <c r="H74" i="16"/>
  <c r="G35" i="15"/>
  <c r="G128" i="15" s="1"/>
  <c r="E39" i="28"/>
  <c r="F42" i="15"/>
  <c r="F41" i="28"/>
  <c r="I7" i="15"/>
  <c r="I41" i="15" s="1"/>
  <c r="BU33" i="58" s="1"/>
  <c r="I32" i="58" s="1"/>
  <c r="AO32" i="58" s="1"/>
  <c r="BU32" i="58" s="1"/>
  <c r="E40" i="28"/>
  <c r="I32" i="16"/>
  <c r="E42" i="20"/>
  <c r="C16" i="7"/>
  <c r="D16" i="7" s="1"/>
  <c r="H25" i="15"/>
  <c r="H124" i="15" s="1"/>
  <c r="G53" i="12"/>
  <c r="G55" i="12" s="1"/>
  <c r="I50" i="12"/>
  <c r="H54" i="12"/>
  <c r="H52" i="12"/>
  <c r="H51" i="12"/>
  <c r="H20" i="16"/>
  <c r="H17" i="15"/>
  <c r="G13" i="15"/>
  <c r="G125" i="15" s="1"/>
  <c r="H17" i="16"/>
  <c r="H25" i="16"/>
  <c r="H124" i="16" s="1"/>
  <c r="G21" i="16"/>
  <c r="G123" i="16" s="1"/>
  <c r="G21" i="15"/>
  <c r="G123" i="15" s="1"/>
  <c r="I18" i="16"/>
  <c r="I15" i="16"/>
  <c r="I19" i="16"/>
  <c r="I16" i="16"/>
  <c r="J14" i="16"/>
  <c r="H20" i="15"/>
  <c r="J14" i="15"/>
  <c r="I18" i="15"/>
  <c r="I19" i="15"/>
  <c r="I16" i="15"/>
  <c r="I15" i="15"/>
  <c r="E13" i="15"/>
  <c r="E125" i="15" s="1"/>
  <c r="E129" i="15" s="1"/>
  <c r="J6" i="15"/>
  <c r="H8" i="16"/>
  <c r="I23" i="16"/>
  <c r="J22" i="16"/>
  <c r="J24" i="16" s="1"/>
  <c r="F10" i="16"/>
  <c r="F11" i="16" s="1"/>
  <c r="F39" i="16" s="1"/>
  <c r="F121" i="16" s="1"/>
  <c r="J22" i="15"/>
  <c r="J24" i="15" s="1"/>
  <c r="I23" i="15"/>
  <c r="H8" i="15"/>
  <c r="G10" i="16"/>
  <c r="G11" i="16" s="1"/>
  <c r="G39" i="16" s="1"/>
  <c r="G121" i="16" s="1"/>
  <c r="G131" i="16" s="1"/>
  <c r="J6" i="16"/>
  <c r="I7" i="16"/>
  <c r="I41" i="16" s="1"/>
  <c r="AC3" i="12"/>
  <c r="AB1" i="52" s="1"/>
  <c r="P35" i="1"/>
  <c r="V35" i="1" s="1"/>
  <c r="B46" i="1" s="1"/>
  <c r="C72" i="4" s="1"/>
  <c r="I72" i="4" s="1"/>
  <c r="I66" i="4" s="1"/>
  <c r="C77" i="4" s="1"/>
  <c r="I77" i="4" s="1"/>
  <c r="P36" i="1"/>
  <c r="V36" i="1" s="1"/>
  <c r="B47" i="1" s="1"/>
  <c r="B47" i="3" s="1"/>
  <c r="P37" i="1"/>
  <c r="V37" i="1" s="1"/>
  <c r="B48" i="1" s="1"/>
  <c r="P38" i="1"/>
  <c r="V38" i="1" s="1"/>
  <c r="B49" i="1" s="1"/>
  <c r="P39" i="1"/>
  <c r="V39" i="1" s="1"/>
  <c r="B50" i="1" s="1"/>
  <c r="P40" i="1"/>
  <c r="P41" i="1"/>
  <c r="V41" i="1" s="1"/>
  <c r="B53" i="1" s="1"/>
  <c r="P34" i="1"/>
  <c r="V34" i="1" s="1"/>
  <c r="V40" i="1"/>
  <c r="B51" i="1" s="1"/>
  <c r="C66" i="1" s="1"/>
  <c r="BN38" i="45" l="1"/>
  <c r="AH39" i="45"/>
  <c r="AH40" i="45"/>
  <c r="BL43" i="45"/>
  <c r="I71" i="4"/>
  <c r="I65" i="4" s="1"/>
  <c r="C76" i="4" s="1"/>
  <c r="I76" i="4" s="1"/>
  <c r="BV27" i="55"/>
  <c r="K27" i="55"/>
  <c r="AP27" i="55"/>
  <c r="DB27" i="55" s="1"/>
  <c r="J46" i="2"/>
  <c r="J52" i="2" s="1"/>
  <c r="H52" i="2"/>
  <c r="L26" i="55"/>
  <c r="AQ26" i="55"/>
  <c r="DC26" i="55" s="1"/>
  <c r="AG22" i="54"/>
  <c r="AG21" i="54"/>
  <c r="AG25" i="54"/>
  <c r="AE21" i="45"/>
  <c r="AE23" i="45" s="1"/>
  <c r="AD37" i="46" s="1"/>
  <c r="AG23" i="54"/>
  <c r="AD66" i="54"/>
  <c r="AE70" i="54"/>
  <c r="AE69" i="54"/>
  <c r="AE76" i="54" s="1"/>
  <c r="AE77" i="54" s="1"/>
  <c r="AE65" i="54"/>
  <c r="AF63" i="54"/>
  <c r="AE64" i="54"/>
  <c r="AE66" i="54" s="1"/>
  <c r="AE67" i="54"/>
  <c r="AE68" i="54"/>
  <c r="AF156" i="54"/>
  <c r="AF157" i="54" s="1"/>
  <c r="AE157" i="54"/>
  <c r="AE38" i="48"/>
  <c r="BL42" i="45"/>
  <c r="AD66" i="53"/>
  <c r="AF156" i="53"/>
  <c r="AF157" i="53" s="1"/>
  <c r="AE157" i="53"/>
  <c r="AF147" i="53"/>
  <c r="AF148" i="53" s="1"/>
  <c r="AE148" i="53"/>
  <c r="AE68" i="53"/>
  <c r="AE69" i="53"/>
  <c r="AE76" i="53" s="1"/>
  <c r="AE67" i="53"/>
  <c r="AE70" i="53"/>
  <c r="AE65" i="53"/>
  <c r="AE64" i="53"/>
  <c r="AF63" i="53"/>
  <c r="AD77" i="53"/>
  <c r="AD133" i="53"/>
  <c r="AD135" i="53"/>
  <c r="AD134" i="53"/>
  <c r="AD24" i="45"/>
  <c r="AD104" i="53"/>
  <c r="AD103" i="53"/>
  <c r="AD105" i="53"/>
  <c r="AD102" i="53"/>
  <c r="AE100" i="53"/>
  <c r="AE101" i="53"/>
  <c r="AE132" i="53"/>
  <c r="AE131" i="53"/>
  <c r="E6" i="51"/>
  <c r="K6" i="51"/>
  <c r="O6" i="51"/>
  <c r="S6" i="51"/>
  <c r="W6" i="51"/>
  <c r="AA6" i="51"/>
  <c r="AE6" i="51"/>
  <c r="Z6" i="51"/>
  <c r="H6" i="51"/>
  <c r="L6" i="51"/>
  <c r="P6" i="51"/>
  <c r="T6" i="51"/>
  <c r="X6" i="51"/>
  <c r="AB6" i="51"/>
  <c r="AF6" i="51"/>
  <c r="F6" i="51"/>
  <c r="N6" i="51"/>
  <c r="R6" i="51"/>
  <c r="V6" i="51"/>
  <c r="AD6" i="51"/>
  <c r="AH6" i="51"/>
  <c r="K6" i="3"/>
  <c r="K7" i="3" s="1"/>
  <c r="G6" i="51"/>
  <c r="I6" i="51"/>
  <c r="M6" i="51"/>
  <c r="Q6" i="51"/>
  <c r="U6" i="51"/>
  <c r="Y6" i="51"/>
  <c r="AC6" i="51"/>
  <c r="AG6" i="51"/>
  <c r="J6" i="51"/>
  <c r="BM41" i="45"/>
  <c r="BM44" i="45" s="1"/>
  <c r="AD205" i="48"/>
  <c r="AD66" i="48"/>
  <c r="AD144" i="48"/>
  <c r="AD145" i="48"/>
  <c r="AD143" i="48"/>
  <c r="AF260" i="48"/>
  <c r="AF261" i="48" s="1"/>
  <c r="AE261" i="48"/>
  <c r="AG23" i="48"/>
  <c r="AC90" i="38"/>
  <c r="AC91" i="38"/>
  <c r="AC89" i="38"/>
  <c r="AE244" i="48"/>
  <c r="AF243" i="48"/>
  <c r="AF244" i="48" s="1"/>
  <c r="AC66" i="46"/>
  <c r="AC92" i="42"/>
  <c r="AC90" i="42"/>
  <c r="AC94" i="42" s="1"/>
  <c r="AC89" i="42"/>
  <c r="AC93" i="42" s="1"/>
  <c r="AC91" i="42"/>
  <c r="AC95" i="42" s="1"/>
  <c r="AE140" i="48"/>
  <c r="AF139" i="48"/>
  <c r="AE203" i="48"/>
  <c r="AE141" i="48"/>
  <c r="AE204" i="48"/>
  <c r="AC92" i="48"/>
  <c r="AC94" i="46"/>
  <c r="AC96" i="46"/>
  <c r="AC101" i="46" s="1"/>
  <c r="AC95" i="46"/>
  <c r="AC100" i="46" s="1"/>
  <c r="AC97" i="46"/>
  <c r="AC93" i="46"/>
  <c r="AC98" i="46" s="1"/>
  <c r="AD68" i="46"/>
  <c r="AE63" i="46"/>
  <c r="AD65" i="46"/>
  <c r="AD67" i="46"/>
  <c r="AD69" i="46"/>
  <c r="AD92" i="46" s="1"/>
  <c r="AD70" i="46"/>
  <c r="AD64" i="46"/>
  <c r="AG25" i="48"/>
  <c r="AG22" i="48"/>
  <c r="BK21" i="45"/>
  <c r="BK23" i="45" s="1"/>
  <c r="AD207" i="48"/>
  <c r="AD206" i="48"/>
  <c r="AD142" i="48"/>
  <c r="AE70" i="48"/>
  <c r="AE65" i="48"/>
  <c r="AE64" i="48"/>
  <c r="AE68" i="48"/>
  <c r="AE69" i="48"/>
  <c r="AF63" i="48"/>
  <c r="AE67" i="48"/>
  <c r="AB95" i="48"/>
  <c r="AB100" i="48" s="1"/>
  <c r="AB97" i="48"/>
  <c r="AB94" i="48"/>
  <c r="AB93" i="48"/>
  <c r="AB98" i="48" s="1"/>
  <c r="AB96" i="48"/>
  <c r="AB101" i="48" s="1"/>
  <c r="BL20" i="45"/>
  <c r="BL19" i="45"/>
  <c r="AD26" i="45"/>
  <c r="AC37" i="46"/>
  <c r="BN17" i="45"/>
  <c r="BN69" i="45" s="1"/>
  <c r="E69" i="60" s="1"/>
  <c r="AF95" i="45"/>
  <c r="AE38" i="46"/>
  <c r="BJ23" i="45"/>
  <c r="BM18" i="45"/>
  <c r="AD142" i="46"/>
  <c r="AF243" i="46"/>
  <c r="AF244" i="46" s="1"/>
  <c r="AE244" i="46"/>
  <c r="AD205" i="46"/>
  <c r="AD207" i="46"/>
  <c r="AD206" i="46"/>
  <c r="AF260" i="46"/>
  <c r="AF261" i="46" s="1"/>
  <c r="AE261" i="46"/>
  <c r="AD143" i="46"/>
  <c r="AD145" i="46"/>
  <c r="AD144" i="46"/>
  <c r="AF139" i="46"/>
  <c r="AE204" i="46"/>
  <c r="AE141" i="46"/>
  <c r="AE140" i="46"/>
  <c r="AE203" i="46"/>
  <c r="AD25" i="45"/>
  <c r="AG41" i="45"/>
  <c r="AF43" i="45"/>
  <c r="AF42" i="45"/>
  <c r="AF44" i="45"/>
  <c r="AD82" i="45"/>
  <c r="AG18" i="45"/>
  <c r="AF19" i="45"/>
  <c r="AF20" i="45"/>
  <c r="AH17" i="45"/>
  <c r="AC187" i="42"/>
  <c r="AC189" i="42"/>
  <c r="AC188" i="42"/>
  <c r="AE184" i="42"/>
  <c r="AD185" i="42"/>
  <c r="AD186" i="42"/>
  <c r="AD188" i="42" s="1"/>
  <c r="AD65" i="28"/>
  <c r="AD68" i="38"/>
  <c r="AD65" i="38"/>
  <c r="AD70" i="38"/>
  <c r="AD69" i="38"/>
  <c r="AD88" i="38" s="1"/>
  <c r="AD64" i="38"/>
  <c r="AE63" i="38"/>
  <c r="AD67" i="38"/>
  <c r="AD134" i="38"/>
  <c r="AD135" i="38"/>
  <c r="AD133" i="38"/>
  <c r="AD134" i="42"/>
  <c r="AD133" i="42"/>
  <c r="AD135" i="42"/>
  <c r="AG22" i="38"/>
  <c r="AC66" i="38"/>
  <c r="AD189" i="38"/>
  <c r="AD188" i="38"/>
  <c r="AE219" i="42"/>
  <c r="AD220" i="42"/>
  <c r="AG23" i="38"/>
  <c r="AF219" i="38"/>
  <c r="AF220" i="38" s="1"/>
  <c r="AE220" i="38"/>
  <c r="AC66" i="42"/>
  <c r="AD187" i="38"/>
  <c r="AE63" i="42"/>
  <c r="AD65" i="42"/>
  <c r="AD67" i="42"/>
  <c r="AD64" i="42"/>
  <c r="AD70" i="42"/>
  <c r="AD69" i="42"/>
  <c r="AD88" i="42" s="1"/>
  <c r="AD68" i="42"/>
  <c r="AG25" i="38"/>
  <c r="AF234" i="38"/>
  <c r="AF235" i="38" s="1"/>
  <c r="AE235" i="38"/>
  <c r="AD132" i="38"/>
  <c r="AF129" i="38"/>
  <c r="AE185" i="38"/>
  <c r="AE186" i="38"/>
  <c r="AE131" i="38"/>
  <c r="AE130" i="38"/>
  <c r="AD132" i="42"/>
  <c r="AF129" i="42"/>
  <c r="AE130" i="42"/>
  <c r="AE131" i="42"/>
  <c r="AF234" i="42"/>
  <c r="AF235" i="42" s="1"/>
  <c r="AE235" i="42"/>
  <c r="AF66" i="20"/>
  <c r="AE68" i="20"/>
  <c r="AE67" i="20"/>
  <c r="AF110" i="28"/>
  <c r="AF111" i="28" s="1"/>
  <c r="AE111" i="28"/>
  <c r="AF122" i="20"/>
  <c r="AE128" i="20"/>
  <c r="AE126" i="20"/>
  <c r="AE125" i="20"/>
  <c r="AE123" i="20"/>
  <c r="AE127" i="20"/>
  <c r="AE124" i="20"/>
  <c r="AD69" i="20"/>
  <c r="AE199" i="20"/>
  <c r="AF198" i="20"/>
  <c r="AF199" i="20" s="1"/>
  <c r="AE88" i="28"/>
  <c r="AE89" i="28"/>
  <c r="AE87" i="28"/>
  <c r="AF85" i="28"/>
  <c r="AE90" i="28"/>
  <c r="AE91" i="28"/>
  <c r="AE86" i="28"/>
  <c r="AE66" i="28"/>
  <c r="AE67" i="28"/>
  <c r="AF62" i="28"/>
  <c r="AE63" i="28"/>
  <c r="AE64" i="28"/>
  <c r="AD73" i="20"/>
  <c r="AD71" i="20"/>
  <c r="AD70" i="20"/>
  <c r="AD72" i="20"/>
  <c r="AF310" i="20"/>
  <c r="AE268" i="19"/>
  <c r="G58" i="14"/>
  <c r="G59" i="14" s="1"/>
  <c r="AD212" i="20"/>
  <c r="D141" i="15"/>
  <c r="D142" i="15" s="1"/>
  <c r="H218" i="14"/>
  <c r="H60" i="14"/>
  <c r="H56" i="14"/>
  <c r="H61" i="14"/>
  <c r="H57" i="14" s="1"/>
  <c r="F59" i="12"/>
  <c r="G61" i="12"/>
  <c r="G57" i="12" s="1"/>
  <c r="G60" i="12"/>
  <c r="G58" i="12" s="1"/>
  <c r="G56" i="12"/>
  <c r="D77" i="15"/>
  <c r="G131" i="15"/>
  <c r="G129" i="15"/>
  <c r="F131" i="16"/>
  <c r="G132" i="16"/>
  <c r="G47" i="15"/>
  <c r="H54" i="15"/>
  <c r="I74" i="16"/>
  <c r="I33" i="16"/>
  <c r="I34" i="16"/>
  <c r="I74" i="15"/>
  <c r="I34" i="15"/>
  <c r="I33" i="15"/>
  <c r="G43" i="15"/>
  <c r="G112" i="12"/>
  <c r="G218" i="12"/>
  <c r="F42" i="16"/>
  <c r="G60" i="16"/>
  <c r="C67" i="7"/>
  <c r="C66" i="7"/>
  <c r="C65" i="7"/>
  <c r="C68" i="7"/>
  <c r="C64" i="7"/>
  <c r="J64" i="7" s="1"/>
  <c r="D27" i="49" s="1"/>
  <c r="G42" i="16"/>
  <c r="H40" i="15"/>
  <c r="H122" i="15" s="1"/>
  <c r="H132" i="15" s="1"/>
  <c r="H40" i="16"/>
  <c r="H122" i="16" s="1"/>
  <c r="H132" i="16" s="1"/>
  <c r="F43" i="29"/>
  <c r="D70" i="7"/>
  <c r="H35" i="16"/>
  <c r="H128" i="16" s="1"/>
  <c r="H35" i="15"/>
  <c r="H128" i="15" s="1"/>
  <c r="J32" i="15"/>
  <c r="G43" i="16"/>
  <c r="F39" i="29"/>
  <c r="D65" i="16"/>
  <c r="D67" i="16"/>
  <c r="I53" i="14"/>
  <c r="I55" i="14" s="1"/>
  <c r="I112" i="14" s="1"/>
  <c r="J32" i="16"/>
  <c r="H54" i="16"/>
  <c r="G41" i="29"/>
  <c r="G60" i="15"/>
  <c r="F43" i="28"/>
  <c r="G42" i="19"/>
  <c r="K50" i="14"/>
  <c r="J54" i="14"/>
  <c r="J52" i="14"/>
  <c r="J51" i="14"/>
  <c r="E76" i="16"/>
  <c r="E47" i="15"/>
  <c r="F75" i="15"/>
  <c r="F76" i="15"/>
  <c r="F39" i="28"/>
  <c r="G41" i="28"/>
  <c r="D40" i="28"/>
  <c r="E42" i="15"/>
  <c r="F40" i="28"/>
  <c r="J7" i="15"/>
  <c r="J41" i="15" s="1"/>
  <c r="BV33" i="58" s="1"/>
  <c r="J32" i="58" s="1"/>
  <c r="AP32" i="58" s="1"/>
  <c r="BV32" i="58" s="1"/>
  <c r="F42" i="20"/>
  <c r="I8" i="15"/>
  <c r="I9" i="15" s="1"/>
  <c r="I10" i="15" s="1"/>
  <c r="I11" i="15" s="1"/>
  <c r="H21" i="16"/>
  <c r="H123" i="16" s="1"/>
  <c r="G42" i="15"/>
  <c r="J50" i="12"/>
  <c r="I51" i="12"/>
  <c r="I52" i="12"/>
  <c r="I54" i="12"/>
  <c r="H53" i="12"/>
  <c r="H55" i="12" s="1"/>
  <c r="I25" i="15"/>
  <c r="I124" i="15" s="1"/>
  <c r="I20" i="16"/>
  <c r="I17" i="15"/>
  <c r="I25" i="16"/>
  <c r="I124" i="16" s="1"/>
  <c r="I8" i="16"/>
  <c r="I9" i="16" s="1"/>
  <c r="I17" i="16"/>
  <c r="F13" i="16"/>
  <c r="F125" i="16" s="1"/>
  <c r="F129" i="16" s="1"/>
  <c r="I20" i="15"/>
  <c r="J19" i="16"/>
  <c r="J16" i="16"/>
  <c r="J18" i="16"/>
  <c r="J15" i="16"/>
  <c r="K14" i="16"/>
  <c r="H9" i="16"/>
  <c r="K6" i="15"/>
  <c r="K14" i="15"/>
  <c r="J18" i="15"/>
  <c r="J16" i="15"/>
  <c r="J15" i="15"/>
  <c r="J19" i="15"/>
  <c r="J7" i="16"/>
  <c r="J41" i="16" s="1"/>
  <c r="K6" i="16"/>
  <c r="G13" i="16"/>
  <c r="G125" i="16" s="1"/>
  <c r="G129" i="16" s="1"/>
  <c r="H9" i="15"/>
  <c r="K22" i="15"/>
  <c r="K24" i="15" s="1"/>
  <c r="J23" i="15"/>
  <c r="J23" i="16"/>
  <c r="K22" i="16"/>
  <c r="K24" i="16" s="1"/>
  <c r="H21" i="15"/>
  <c r="H123" i="15" s="1"/>
  <c r="AD3" i="12"/>
  <c r="AC1" i="52" s="1"/>
  <c r="B45" i="1"/>
  <c r="V42" i="1"/>
  <c r="C65" i="1"/>
  <c r="BN40" i="45" l="1"/>
  <c r="BN39" i="45"/>
  <c r="AF38" i="48"/>
  <c r="BM42" i="45"/>
  <c r="BW27" i="55"/>
  <c r="L27" i="55"/>
  <c r="AQ27" i="55"/>
  <c r="DC27" i="55" s="1"/>
  <c r="M26" i="55"/>
  <c r="AR26" i="55"/>
  <c r="DD26" i="55" s="1"/>
  <c r="AE24" i="45"/>
  <c r="AE25" i="45"/>
  <c r="AE82" i="45"/>
  <c r="AE26" i="45"/>
  <c r="CG9" i="45"/>
  <c r="CG8" i="45"/>
  <c r="AF70" i="54"/>
  <c r="AF67" i="54"/>
  <c r="AF68" i="54"/>
  <c r="AF64" i="54"/>
  <c r="AF69" i="54"/>
  <c r="AF76" i="54" s="1"/>
  <c r="AF77" i="54" s="1"/>
  <c r="AF65" i="54"/>
  <c r="AE66" i="53"/>
  <c r="AF65" i="53"/>
  <c r="AF67" i="53"/>
  <c r="AF70" i="53"/>
  <c r="AF68" i="53"/>
  <c r="AF69" i="53"/>
  <c r="AF76" i="53" s="1"/>
  <c r="AF64" i="53"/>
  <c r="AE77" i="53"/>
  <c r="AE135" i="53"/>
  <c r="AE134" i="53"/>
  <c r="AF38" i="46"/>
  <c r="AE104" i="53"/>
  <c r="AE103" i="53"/>
  <c r="AE105" i="53"/>
  <c r="AE102" i="53"/>
  <c r="AF100" i="53"/>
  <c r="AF101" i="53"/>
  <c r="AF132" i="53"/>
  <c r="AF131" i="53"/>
  <c r="AE133" i="53"/>
  <c r="L7" i="51"/>
  <c r="L8" i="51" s="1"/>
  <c r="AR8" i="51" s="1"/>
  <c r="AR6" i="51"/>
  <c r="AC7" i="51"/>
  <c r="BI6" i="51"/>
  <c r="AS6" i="51"/>
  <c r="M7" i="51"/>
  <c r="M8" i="51" s="1"/>
  <c r="AS8" i="51" s="1"/>
  <c r="BN6" i="51"/>
  <c r="AH7" i="51"/>
  <c r="BS10" i="51"/>
  <c r="AT6" i="51"/>
  <c r="N7" i="51"/>
  <c r="N8" i="51" s="1"/>
  <c r="AT8" i="51" s="1"/>
  <c r="BD6" i="51"/>
  <c r="X7" i="51"/>
  <c r="H7" i="51"/>
  <c r="H8" i="51" s="1"/>
  <c r="AN8" i="51" s="1"/>
  <c r="AN6" i="51"/>
  <c r="W7" i="51"/>
  <c r="W8" i="51" s="1"/>
  <c r="BC8" i="51" s="1"/>
  <c r="BC6" i="51"/>
  <c r="E7" i="51"/>
  <c r="AK6" i="51"/>
  <c r="K9" i="3"/>
  <c r="K13" i="3" s="1"/>
  <c r="BH6" i="51"/>
  <c r="AB7" i="51"/>
  <c r="AB8" i="51" s="1"/>
  <c r="BH8" i="51" s="1"/>
  <c r="AQ6" i="51"/>
  <c r="K7" i="51"/>
  <c r="BE6" i="51"/>
  <c r="Y7" i="51"/>
  <c r="Y8" i="51" s="1"/>
  <c r="BE8" i="51" s="1"/>
  <c r="I7" i="51"/>
  <c r="I8" i="51" s="1"/>
  <c r="AO8" i="51" s="1"/>
  <c r="AO6" i="51"/>
  <c r="AD7" i="51"/>
  <c r="BJ6" i="51"/>
  <c r="AL6" i="51"/>
  <c r="F7" i="51"/>
  <c r="T7" i="51"/>
  <c r="T8" i="51" s="1"/>
  <c r="AZ8" i="51" s="1"/>
  <c r="AZ6" i="51"/>
  <c r="BF6" i="51"/>
  <c r="Z7" i="51"/>
  <c r="Z8" i="51" s="1"/>
  <c r="BF8" i="51" s="1"/>
  <c r="S7" i="51"/>
  <c r="AY6" i="51"/>
  <c r="BM6" i="51"/>
  <c r="AG7" i="51"/>
  <c r="Q7" i="51"/>
  <c r="Q8" i="51" s="1"/>
  <c r="AW8" i="51" s="1"/>
  <c r="AW6" i="51"/>
  <c r="AX6" i="51"/>
  <c r="R7" i="51"/>
  <c r="BG6" i="51"/>
  <c r="AA7" i="51"/>
  <c r="J7" i="51"/>
  <c r="AP6" i="51"/>
  <c r="BA6" i="51"/>
  <c r="U7" i="51"/>
  <c r="G7" i="51"/>
  <c r="G8" i="51" s="1"/>
  <c r="AM8" i="51" s="1"/>
  <c r="AM6" i="51"/>
  <c r="V7" i="51"/>
  <c r="V8" i="51" s="1"/>
  <c r="BB8" i="51" s="1"/>
  <c r="BB6" i="51"/>
  <c r="BL6" i="51"/>
  <c r="AF7" i="51"/>
  <c r="AF8" i="51" s="1"/>
  <c r="BL8" i="51" s="1"/>
  <c r="P7" i="51"/>
  <c r="AV6" i="51"/>
  <c r="BK6" i="51"/>
  <c r="AE7" i="51"/>
  <c r="AU6" i="51"/>
  <c r="O7" i="51"/>
  <c r="O8" i="51" s="1"/>
  <c r="AU8" i="51" s="1"/>
  <c r="AE66" i="48"/>
  <c r="BM43" i="45"/>
  <c r="AG42" i="45"/>
  <c r="AD66" i="46"/>
  <c r="AH69" i="45"/>
  <c r="BL21" i="45"/>
  <c r="BL23" i="45" s="1"/>
  <c r="BL25" i="45" s="1"/>
  <c r="AE142" i="48"/>
  <c r="AF68" i="48"/>
  <c r="AF69" i="48"/>
  <c r="AF64" i="48"/>
  <c r="AF67" i="48"/>
  <c r="AF65" i="48"/>
  <c r="AF70" i="48"/>
  <c r="AC96" i="48"/>
  <c r="AC101" i="48" s="1"/>
  <c r="AC97" i="48"/>
  <c r="AC94" i="48"/>
  <c r="AC95" i="48"/>
  <c r="AC100" i="48" s="1"/>
  <c r="AC93" i="48"/>
  <c r="AC98" i="48" s="1"/>
  <c r="AE205" i="48"/>
  <c r="AD92" i="48"/>
  <c r="AD93" i="46"/>
  <c r="AD98" i="46" s="1"/>
  <c r="AD96" i="46"/>
  <c r="AD101" i="46" s="1"/>
  <c r="AD97" i="46"/>
  <c r="AD95" i="46"/>
  <c r="AD100" i="46" s="1"/>
  <c r="AD94" i="46"/>
  <c r="AE207" i="48"/>
  <c r="AE206" i="48"/>
  <c r="AE143" i="48"/>
  <c r="AE145" i="48"/>
  <c r="AE144" i="48"/>
  <c r="AD92" i="42"/>
  <c r="AD91" i="42"/>
  <c r="AD95" i="42" s="1"/>
  <c r="AD89" i="42"/>
  <c r="AD93" i="42" s="1"/>
  <c r="AD90" i="42"/>
  <c r="AD94" i="42" s="1"/>
  <c r="AD89" i="38"/>
  <c r="AD91" i="38"/>
  <c r="AD90" i="38"/>
  <c r="AE64" i="46"/>
  <c r="AE68" i="46"/>
  <c r="AE65" i="46"/>
  <c r="AE70" i="46"/>
  <c r="AE67" i="46"/>
  <c r="AE69" i="46"/>
  <c r="AE92" i="46" s="1"/>
  <c r="AF63" i="46"/>
  <c r="AF141" i="48"/>
  <c r="AF203" i="48"/>
  <c r="AF204" i="48"/>
  <c r="AF140" i="48"/>
  <c r="AG44" i="45"/>
  <c r="BM19" i="45"/>
  <c r="BM20" i="45"/>
  <c r="AD37" i="48"/>
  <c r="BK25" i="45"/>
  <c r="BK24" i="45"/>
  <c r="BK26" i="45"/>
  <c r="AG43" i="45"/>
  <c r="BJ24" i="45"/>
  <c r="AC37" i="48"/>
  <c r="BJ26" i="45"/>
  <c r="BJ25" i="45"/>
  <c r="BN18" i="45"/>
  <c r="AG95" i="45"/>
  <c r="AE205" i="46"/>
  <c r="AF204" i="46"/>
  <c r="AF141" i="46"/>
  <c r="AF140" i="46"/>
  <c r="AF203" i="46"/>
  <c r="AG98" i="46"/>
  <c r="AG100" i="46"/>
  <c r="AG101" i="46"/>
  <c r="AE142" i="46"/>
  <c r="AE145" i="46"/>
  <c r="AE144" i="46"/>
  <c r="AE143" i="46"/>
  <c r="AE207" i="46"/>
  <c r="AE206" i="46"/>
  <c r="BJ82" i="45"/>
  <c r="AH41" i="45"/>
  <c r="BL95" i="45"/>
  <c r="AH18" i="45"/>
  <c r="AH19" i="45" s="1"/>
  <c r="AF21" i="45"/>
  <c r="AF23" i="45" s="1"/>
  <c r="AG19" i="45"/>
  <c r="AG20" i="45"/>
  <c r="AD189" i="42"/>
  <c r="AD187" i="42"/>
  <c r="AF184" i="42"/>
  <c r="AE186" i="42"/>
  <c r="AE188" i="42" s="1"/>
  <c r="AE185" i="42"/>
  <c r="AE132" i="38"/>
  <c r="AF185" i="38"/>
  <c r="AF186" i="38"/>
  <c r="AF130" i="38"/>
  <c r="AF131" i="38"/>
  <c r="AE67" i="42"/>
  <c r="AF63" i="42"/>
  <c r="AE68" i="42"/>
  <c r="AE65" i="42"/>
  <c r="AE69" i="42"/>
  <c r="AE88" i="42" s="1"/>
  <c r="AE64" i="42"/>
  <c r="AE70" i="42"/>
  <c r="AE68" i="38"/>
  <c r="AE67" i="38"/>
  <c r="AE65" i="38"/>
  <c r="AF63" i="38"/>
  <c r="AE70" i="38"/>
  <c r="AE64" i="38"/>
  <c r="AE69" i="38"/>
  <c r="AE88" i="38" s="1"/>
  <c r="AE133" i="38"/>
  <c r="AE135" i="38"/>
  <c r="AE134" i="38"/>
  <c r="AD66" i="42"/>
  <c r="AD66" i="38"/>
  <c r="AE134" i="42"/>
  <c r="AE133" i="42"/>
  <c r="AE135" i="42"/>
  <c r="AF130" i="42"/>
  <c r="AF131" i="42"/>
  <c r="AE188" i="38"/>
  <c r="AE189" i="38"/>
  <c r="AF219" i="42"/>
  <c r="AF220" i="42" s="1"/>
  <c r="AE220" i="42"/>
  <c r="AE132" i="42"/>
  <c r="AE187" i="38"/>
  <c r="AE69" i="20"/>
  <c r="AF89" i="28"/>
  <c r="AF86" i="28"/>
  <c r="AF90" i="28"/>
  <c r="AF87" i="28"/>
  <c r="AF91" i="28"/>
  <c r="AF88" i="28"/>
  <c r="AE65" i="28"/>
  <c r="AF123" i="20"/>
  <c r="AF127" i="20"/>
  <c r="AF124" i="20"/>
  <c r="AF128" i="20"/>
  <c r="AF125" i="20"/>
  <c r="AF126" i="20"/>
  <c r="AE71" i="20"/>
  <c r="AE73" i="20"/>
  <c r="AE72" i="20"/>
  <c r="AE70" i="20"/>
  <c r="AG310" i="20"/>
  <c r="AG268" i="19" s="1"/>
  <c r="AF268" i="19"/>
  <c r="AF63" i="28"/>
  <c r="AF64" i="28"/>
  <c r="AF67" i="28"/>
  <c r="AF66" i="28"/>
  <c r="AF68" i="20"/>
  <c r="AF67" i="20"/>
  <c r="H58" i="14"/>
  <c r="H59" i="14" s="1"/>
  <c r="AF212" i="20"/>
  <c r="AE212" i="20"/>
  <c r="I218" i="14"/>
  <c r="I60" i="14"/>
  <c r="I56" i="14"/>
  <c r="I61" i="14"/>
  <c r="I57" i="14" s="1"/>
  <c r="G59" i="12"/>
  <c r="H56" i="12"/>
  <c r="H61" i="12"/>
  <c r="H57" i="12" s="1"/>
  <c r="H60" i="12"/>
  <c r="H58" i="12" s="1"/>
  <c r="I21" i="16"/>
  <c r="I123" i="16" s="1"/>
  <c r="D139" i="16"/>
  <c r="H43" i="15"/>
  <c r="J33" i="15"/>
  <c r="J34" i="15"/>
  <c r="H112" i="12"/>
  <c r="H218" i="12"/>
  <c r="J74" i="16"/>
  <c r="J33" i="16"/>
  <c r="J34" i="16"/>
  <c r="I54" i="15"/>
  <c r="H60" i="16"/>
  <c r="G43" i="28"/>
  <c r="G83" i="7"/>
  <c r="C90" i="7"/>
  <c r="J66" i="7"/>
  <c r="J65" i="7"/>
  <c r="J67" i="7"/>
  <c r="C70" i="7"/>
  <c r="C42" i="7"/>
  <c r="G43" i="29"/>
  <c r="H60" i="15"/>
  <c r="I40" i="16"/>
  <c r="I122" i="16" s="1"/>
  <c r="I132" i="16" s="1"/>
  <c r="I35" i="16"/>
  <c r="I128" i="16" s="1"/>
  <c r="I35" i="15"/>
  <c r="I128" i="15" s="1"/>
  <c r="I40" i="15"/>
  <c r="I122" i="15" s="1"/>
  <c r="I132" i="15" s="1"/>
  <c r="I39" i="15"/>
  <c r="I121" i="15" s="1"/>
  <c r="J53" i="14"/>
  <c r="J55" i="14" s="1"/>
  <c r="J112" i="14" s="1"/>
  <c r="G47" i="16"/>
  <c r="F40" i="29"/>
  <c r="I54" i="16"/>
  <c r="H41" i="29"/>
  <c r="H42" i="19"/>
  <c r="J74" i="15"/>
  <c r="K32" i="16"/>
  <c r="K32" i="15"/>
  <c r="F47" i="16"/>
  <c r="E40" i="29"/>
  <c r="H43" i="16"/>
  <c r="G39" i="29"/>
  <c r="K52" i="14"/>
  <c r="L50" i="14"/>
  <c r="K54" i="14"/>
  <c r="K51" i="14"/>
  <c r="G75" i="16"/>
  <c r="F75" i="16"/>
  <c r="G75" i="15"/>
  <c r="G76" i="15"/>
  <c r="E75" i="15"/>
  <c r="E76" i="15"/>
  <c r="G39" i="28"/>
  <c r="H41" i="28"/>
  <c r="K7" i="15"/>
  <c r="K41" i="15" s="1"/>
  <c r="BW33" i="58" s="1"/>
  <c r="K32" i="58" s="1"/>
  <c r="AQ32" i="58" s="1"/>
  <c r="BW32" i="58" s="1"/>
  <c r="G42" i="20"/>
  <c r="I53" i="12"/>
  <c r="I55" i="12" s="1"/>
  <c r="K50" i="12"/>
  <c r="J54" i="12"/>
  <c r="J52" i="12"/>
  <c r="J51" i="12"/>
  <c r="J25" i="15"/>
  <c r="J124" i="15" s="1"/>
  <c r="J8" i="16"/>
  <c r="J9" i="16" s="1"/>
  <c r="J17" i="15"/>
  <c r="J17" i="16"/>
  <c r="I13" i="15"/>
  <c r="I125" i="15" s="1"/>
  <c r="L6" i="16"/>
  <c r="K7" i="16"/>
  <c r="K41" i="16" s="1"/>
  <c r="L14" i="15"/>
  <c r="K19" i="15"/>
  <c r="K16" i="15"/>
  <c r="K15" i="15"/>
  <c r="K18" i="15"/>
  <c r="H10" i="16"/>
  <c r="H11" i="16" s="1"/>
  <c r="H39" i="16" s="1"/>
  <c r="H121" i="16" s="1"/>
  <c r="I21" i="15"/>
  <c r="I123" i="15" s="1"/>
  <c r="K23" i="16"/>
  <c r="L22" i="16"/>
  <c r="L24" i="16" s="1"/>
  <c r="H10" i="15"/>
  <c r="H11" i="15" s="1"/>
  <c r="H39" i="15" s="1"/>
  <c r="H121" i="15" s="1"/>
  <c r="L6" i="15"/>
  <c r="J20" i="16"/>
  <c r="L22" i="15"/>
  <c r="L24" i="15" s="1"/>
  <c r="K23" i="15"/>
  <c r="K19" i="16"/>
  <c r="K16" i="16"/>
  <c r="K15" i="16"/>
  <c r="K18" i="16"/>
  <c r="L14" i="16"/>
  <c r="J25" i="16"/>
  <c r="J124" i="16" s="1"/>
  <c r="J20" i="15"/>
  <c r="J8" i="15"/>
  <c r="I10" i="16"/>
  <c r="I11" i="16" s="1"/>
  <c r="I39" i="16" s="1"/>
  <c r="I121" i="16" s="1"/>
  <c r="AE3" i="12"/>
  <c r="AD1" i="52" s="1"/>
  <c r="E6" i="9"/>
  <c r="J68" i="7"/>
  <c r="C46" i="3"/>
  <c r="C47" i="3"/>
  <c r="C64" i="1"/>
  <c r="C63" i="1"/>
  <c r="C41" i="3"/>
  <c r="BN41" i="45" l="1"/>
  <c r="BN44" i="45" s="1"/>
  <c r="BX27" i="55"/>
  <c r="M27" i="55"/>
  <c r="AR27" i="55"/>
  <c r="DD27" i="55" s="1"/>
  <c r="N26" i="55"/>
  <c r="AS26" i="55"/>
  <c r="DE26" i="55" s="1"/>
  <c r="CC21" i="45"/>
  <c r="AF66" i="54"/>
  <c r="AF66" i="53"/>
  <c r="AF77" i="53"/>
  <c r="AE37" i="48"/>
  <c r="AF133" i="53"/>
  <c r="AF135" i="53"/>
  <c r="AF134" i="53"/>
  <c r="AE37" i="46"/>
  <c r="AF104" i="53"/>
  <c r="AF103" i="53"/>
  <c r="AF105" i="53"/>
  <c r="AF102" i="53"/>
  <c r="AH44" i="45"/>
  <c r="BJ7" i="51"/>
  <c r="AD9" i="51"/>
  <c r="BJ9" i="51" s="1"/>
  <c r="AE8" i="51"/>
  <c r="BK8" i="51" s="1"/>
  <c r="BK7" i="51"/>
  <c r="AE9" i="51"/>
  <c r="BK9" i="51" s="1"/>
  <c r="AV7" i="51"/>
  <c r="P9" i="51"/>
  <c r="AV9" i="51" s="1"/>
  <c r="BE7" i="51"/>
  <c r="Y9" i="51"/>
  <c r="BE9" i="51" s="1"/>
  <c r="AS7" i="51"/>
  <c r="M9" i="51"/>
  <c r="AS9" i="51" s="1"/>
  <c r="BI7" i="51"/>
  <c r="AC9" i="51"/>
  <c r="BI9" i="51" s="1"/>
  <c r="AP7" i="51"/>
  <c r="J9" i="51"/>
  <c r="AP9" i="51" s="1"/>
  <c r="BM7" i="51"/>
  <c r="AG9" i="51"/>
  <c r="BM9" i="51" s="1"/>
  <c r="AY7" i="51"/>
  <c r="S9" i="51"/>
  <c r="AY9" i="51" s="1"/>
  <c r="AK7" i="51"/>
  <c r="E9" i="51"/>
  <c r="AK9" i="51" s="1"/>
  <c r="BD7" i="51"/>
  <c r="X9" i="51"/>
  <c r="BD9" i="51" s="1"/>
  <c r="AM7" i="51"/>
  <c r="G9" i="51"/>
  <c r="AM9" i="51" s="1"/>
  <c r="J8" i="51"/>
  <c r="AP8" i="51" s="1"/>
  <c r="R8" i="51"/>
  <c r="AX8" i="51" s="1"/>
  <c r="AX7" i="51"/>
  <c r="R9" i="51"/>
  <c r="AX9" i="51" s="1"/>
  <c r="AW7" i="51"/>
  <c r="Q9" i="51"/>
  <c r="AW9" i="51" s="1"/>
  <c r="S8" i="51"/>
  <c r="AY8" i="51" s="1"/>
  <c r="BF7" i="51"/>
  <c r="Z9" i="51"/>
  <c r="BF9" i="51" s="1"/>
  <c r="AZ7" i="51"/>
  <c r="T9" i="51"/>
  <c r="AZ9" i="51" s="1"/>
  <c r="AD8" i="51"/>
  <c r="BJ8" i="51" s="1"/>
  <c r="BH7" i="51"/>
  <c r="AB9" i="51"/>
  <c r="BH9" i="51" s="1"/>
  <c r="E8" i="51"/>
  <c r="AK8" i="51" s="1"/>
  <c r="AN7" i="51"/>
  <c r="H9" i="51"/>
  <c r="AN9" i="51" s="1"/>
  <c r="AH8" i="51"/>
  <c r="BN8" i="51" s="1"/>
  <c r="BN7" i="51"/>
  <c r="AH9" i="51"/>
  <c r="BA7" i="51"/>
  <c r="U9" i="51"/>
  <c r="BA9" i="51" s="1"/>
  <c r="BG7" i="51"/>
  <c r="AA9" i="51"/>
  <c r="BG9" i="51" s="1"/>
  <c r="AL7" i="51"/>
  <c r="F9" i="51"/>
  <c r="AL9" i="51" s="1"/>
  <c r="AR7" i="51"/>
  <c r="L9" i="51"/>
  <c r="AR9" i="51" s="1"/>
  <c r="K65" i="7"/>
  <c r="D4" i="3" s="1"/>
  <c r="D28" i="49"/>
  <c r="AU7" i="51"/>
  <c r="O9" i="51"/>
  <c r="AU9" i="51" s="1"/>
  <c r="P8" i="51"/>
  <c r="AV8" i="51" s="1"/>
  <c r="BL7" i="51"/>
  <c r="AF9" i="51"/>
  <c r="BL9" i="51" s="1"/>
  <c r="BB7" i="51"/>
  <c r="V9" i="51"/>
  <c r="BB9" i="51" s="1"/>
  <c r="U8" i="51"/>
  <c r="BA8" i="51" s="1"/>
  <c r="AA8" i="51"/>
  <c r="BG8" i="51" s="1"/>
  <c r="AG8" i="51"/>
  <c r="BM8" i="51" s="1"/>
  <c r="F8" i="51"/>
  <c r="AL8" i="51" s="1"/>
  <c r="AO7" i="51"/>
  <c r="I9" i="51"/>
  <c r="AO9" i="51" s="1"/>
  <c r="K8" i="51"/>
  <c r="AQ8" i="51" s="1"/>
  <c r="AQ7" i="51"/>
  <c r="K9" i="51"/>
  <c r="AQ9" i="51" s="1"/>
  <c r="BC7" i="51"/>
  <c r="W9" i="51"/>
  <c r="BC9" i="51" s="1"/>
  <c r="X8" i="51"/>
  <c r="BD8" i="51" s="1"/>
  <c r="AT7" i="51"/>
  <c r="N9" i="51"/>
  <c r="AT9" i="51" s="1"/>
  <c r="AC8" i="51"/>
  <c r="BI8" i="51" s="1"/>
  <c r="BL82" i="45"/>
  <c r="BL24" i="45"/>
  <c r="BL26" i="45"/>
  <c r="AF205" i="48"/>
  <c r="AE66" i="46"/>
  <c r="AE189" i="42"/>
  <c r="AF66" i="48"/>
  <c r="AE90" i="38"/>
  <c r="AE91" i="38"/>
  <c r="AE89" i="38"/>
  <c r="AF142" i="48"/>
  <c r="AF69" i="46"/>
  <c r="AF92" i="46" s="1"/>
  <c r="AF67" i="46"/>
  <c r="AF68" i="46"/>
  <c r="AF64" i="46"/>
  <c r="AF65" i="46"/>
  <c r="AF70" i="46"/>
  <c r="AF145" i="48"/>
  <c r="AF143" i="48"/>
  <c r="AF144" i="48"/>
  <c r="AD95" i="48"/>
  <c r="AD100" i="48" s="1"/>
  <c r="AD93" i="48"/>
  <c r="AD98" i="48" s="1"/>
  <c r="AD97" i="48"/>
  <c r="AD94" i="48"/>
  <c r="AD96" i="48"/>
  <c r="AD101" i="48" s="1"/>
  <c r="AE92" i="42"/>
  <c r="AE91" i="42"/>
  <c r="AE95" i="42" s="1"/>
  <c r="AE89" i="42"/>
  <c r="AE90" i="42"/>
  <c r="AE94" i="42" s="1"/>
  <c r="AF206" i="48"/>
  <c r="AF207" i="48"/>
  <c r="AE93" i="46"/>
  <c r="AE98" i="46" s="1"/>
  <c r="AE94" i="46"/>
  <c r="AE95" i="46"/>
  <c r="AE100" i="46" s="1"/>
  <c r="AE97" i="46"/>
  <c r="AE96" i="46"/>
  <c r="AE101" i="46" s="1"/>
  <c r="AE92" i="48"/>
  <c r="BM21" i="45"/>
  <c r="BN19" i="45"/>
  <c r="BN20" i="45"/>
  <c r="AH43" i="45"/>
  <c r="AG38" i="46"/>
  <c r="AF207" i="46"/>
  <c r="AF206" i="46"/>
  <c r="AF205" i="46"/>
  <c r="AF142" i="46"/>
  <c r="AF145" i="46"/>
  <c r="AF144" i="46"/>
  <c r="AF143" i="46"/>
  <c r="AH42" i="45"/>
  <c r="AH95" i="45"/>
  <c r="AH20" i="45"/>
  <c r="BM95" i="45"/>
  <c r="BK82" i="45"/>
  <c r="AG21" i="45"/>
  <c r="AG23" i="45" s="1"/>
  <c r="AF25" i="45"/>
  <c r="AF26" i="45"/>
  <c r="AF82" i="45"/>
  <c r="AF24" i="45"/>
  <c r="AE187" i="42"/>
  <c r="AF186" i="42"/>
  <c r="AF188" i="42" s="1"/>
  <c r="AF185" i="42"/>
  <c r="AF132" i="42"/>
  <c r="AF132" i="38"/>
  <c r="AG94" i="42"/>
  <c r="AG93" i="42"/>
  <c r="AG95" i="42"/>
  <c r="AE66" i="38"/>
  <c r="AF133" i="38"/>
  <c r="AF135" i="38"/>
  <c r="AF134" i="38"/>
  <c r="AF134" i="42"/>
  <c r="AF133" i="42"/>
  <c r="AF135" i="42"/>
  <c r="AE66" i="42"/>
  <c r="AF70" i="42"/>
  <c r="AF69" i="42"/>
  <c r="AF88" i="42" s="1"/>
  <c r="AF67" i="42"/>
  <c r="AF68" i="42"/>
  <c r="AF64" i="42"/>
  <c r="AF65" i="42"/>
  <c r="AF67" i="38"/>
  <c r="AF64" i="38"/>
  <c r="AF69" i="38"/>
  <c r="AF88" i="38" s="1"/>
  <c r="AF70" i="38"/>
  <c r="AF68" i="38"/>
  <c r="AF65" i="38"/>
  <c r="AE93" i="42"/>
  <c r="AF189" i="38"/>
  <c r="AF188" i="38"/>
  <c r="AF187" i="38"/>
  <c r="AF69" i="20"/>
  <c r="AF71" i="20"/>
  <c r="AF73" i="20"/>
  <c r="AF72" i="20"/>
  <c r="AF70" i="20"/>
  <c r="AF65" i="28"/>
  <c r="I58" i="14"/>
  <c r="I59" i="14" s="1"/>
  <c r="C73" i="7"/>
  <c r="E76" i="7"/>
  <c r="D76" i="7"/>
  <c r="C76" i="7"/>
  <c r="J218" i="14"/>
  <c r="J61" i="14"/>
  <c r="J57" i="14" s="1"/>
  <c r="J60" i="14"/>
  <c r="J56" i="14"/>
  <c r="H59" i="12"/>
  <c r="I60" i="12"/>
  <c r="I58" i="12" s="1"/>
  <c r="I56" i="12"/>
  <c r="I61" i="12"/>
  <c r="I57" i="12" s="1"/>
  <c r="E73" i="7"/>
  <c r="D73" i="7"/>
  <c r="E75" i="7"/>
  <c r="C75" i="7"/>
  <c r="C74" i="7"/>
  <c r="H39" i="29"/>
  <c r="J63" i="7"/>
  <c r="E74" i="7"/>
  <c r="D75" i="7"/>
  <c r="D74" i="7"/>
  <c r="I43" i="16"/>
  <c r="I131" i="15"/>
  <c r="I129" i="15"/>
  <c r="H131" i="15"/>
  <c r="I131" i="16"/>
  <c r="H131" i="16"/>
  <c r="I112" i="12"/>
  <c r="I218" i="12"/>
  <c r="B177" i="14"/>
  <c r="B188" i="14" s="1"/>
  <c r="B194" i="14" s="1"/>
  <c r="K74" i="16"/>
  <c r="K34" i="16"/>
  <c r="K33" i="16"/>
  <c r="I43" i="15"/>
  <c r="B174" i="14"/>
  <c r="B185" i="14" s="1"/>
  <c r="B197" i="14" s="1"/>
  <c r="B173" i="14"/>
  <c r="B184" i="14" s="1"/>
  <c r="B198" i="14" s="1"/>
  <c r="I47" i="15"/>
  <c r="J54" i="15"/>
  <c r="K33" i="15"/>
  <c r="K34" i="15"/>
  <c r="B176" i="14"/>
  <c r="B175" i="14"/>
  <c r="B187" i="14" s="1"/>
  <c r="B195" i="14" s="1"/>
  <c r="I60" i="16"/>
  <c r="H42" i="16"/>
  <c r="H43" i="28"/>
  <c r="K66" i="7"/>
  <c r="B175" i="12"/>
  <c r="B187" i="12" s="1"/>
  <c r="B195" i="12" s="1"/>
  <c r="K67" i="7"/>
  <c r="B176" i="12"/>
  <c r="B174" i="12"/>
  <c r="B185" i="12" s="1"/>
  <c r="B197" i="12" s="1"/>
  <c r="I70" i="7"/>
  <c r="J70" i="7" s="1"/>
  <c r="B173" i="12"/>
  <c r="B184" i="12" s="1"/>
  <c r="B198" i="12" s="1"/>
  <c r="K64" i="7"/>
  <c r="J40" i="16"/>
  <c r="J122" i="16" s="1"/>
  <c r="J132" i="16" s="1"/>
  <c r="I60" i="15"/>
  <c r="I42" i="16"/>
  <c r="H43" i="29"/>
  <c r="I42" i="19"/>
  <c r="J40" i="15"/>
  <c r="J122" i="15" s="1"/>
  <c r="J132" i="15" s="1"/>
  <c r="J35" i="16"/>
  <c r="J128" i="16" s="1"/>
  <c r="K53" i="14"/>
  <c r="K55" i="14" s="1"/>
  <c r="K112" i="14" s="1"/>
  <c r="J35" i="15"/>
  <c r="J128" i="15" s="1"/>
  <c r="L32" i="15"/>
  <c r="F76" i="16"/>
  <c r="G76" i="16"/>
  <c r="L52" i="14"/>
  <c r="M50" i="14"/>
  <c r="L54" i="14"/>
  <c r="L51" i="14"/>
  <c r="J54" i="16"/>
  <c r="I41" i="29"/>
  <c r="K74" i="15"/>
  <c r="H39" i="28"/>
  <c r="I41" i="28"/>
  <c r="L7" i="15"/>
  <c r="L41" i="15" s="1"/>
  <c r="BX33" i="58" s="1"/>
  <c r="L32" i="58" s="1"/>
  <c r="AR32" i="58" s="1"/>
  <c r="BX32" i="58" s="1"/>
  <c r="H40" i="28"/>
  <c r="L32" i="16"/>
  <c r="H42" i="20"/>
  <c r="J21" i="15"/>
  <c r="J123" i="15" s="1"/>
  <c r="K68" i="7"/>
  <c r="B177" i="12"/>
  <c r="B188" i="12" s="1"/>
  <c r="B194" i="12" s="1"/>
  <c r="K25" i="15"/>
  <c r="K124" i="15" s="1"/>
  <c r="J53" i="12"/>
  <c r="J55" i="12" s="1"/>
  <c r="L50" i="12"/>
  <c r="K52" i="12"/>
  <c r="K51" i="12"/>
  <c r="K54" i="12"/>
  <c r="J21" i="16"/>
  <c r="J123" i="16" s="1"/>
  <c r="K17" i="16"/>
  <c r="K17" i="15"/>
  <c r="K8" i="16"/>
  <c r="K9" i="16" s="1"/>
  <c r="K20" i="16"/>
  <c r="K8" i="15"/>
  <c r="K9" i="15" s="1"/>
  <c r="K10" i="15" s="1"/>
  <c r="K11" i="15" s="1"/>
  <c r="H13" i="16"/>
  <c r="H125" i="16" s="1"/>
  <c r="H129" i="16" s="1"/>
  <c r="J9" i="15"/>
  <c r="J10" i="15" s="1"/>
  <c r="J11" i="15" s="1"/>
  <c r="M6" i="15"/>
  <c r="L7" i="16"/>
  <c r="L41" i="16" s="1"/>
  <c r="M6" i="16"/>
  <c r="L23" i="16"/>
  <c r="M22" i="16"/>
  <c r="M24" i="16" s="1"/>
  <c r="K20" i="15"/>
  <c r="M14" i="15"/>
  <c r="L19" i="15"/>
  <c r="L16" i="15"/>
  <c r="L18" i="15"/>
  <c r="L15" i="15"/>
  <c r="I13" i="16"/>
  <c r="I125" i="16" s="1"/>
  <c r="I129" i="16" s="1"/>
  <c r="H13" i="15"/>
  <c r="H125" i="15" s="1"/>
  <c r="H129" i="15" s="1"/>
  <c r="K25" i="16"/>
  <c r="K124" i="16" s="1"/>
  <c r="I42" i="15"/>
  <c r="L18" i="16"/>
  <c r="L15" i="16"/>
  <c r="L19" i="16"/>
  <c r="L16" i="16"/>
  <c r="M14" i="16"/>
  <c r="M22" i="15"/>
  <c r="M24" i="15" s="1"/>
  <c r="L23" i="15"/>
  <c r="J10" i="16"/>
  <c r="J11" i="16" s="1"/>
  <c r="J39" i="16" s="1"/>
  <c r="J121" i="16" s="1"/>
  <c r="E7" i="9"/>
  <c r="E8" i="9"/>
  <c r="AF3" i="12"/>
  <c r="AE1" i="52" s="1"/>
  <c r="E45" i="2"/>
  <c r="I52" i="2"/>
  <c r="BN43" i="45" l="1"/>
  <c r="AG38" i="48"/>
  <c r="BN95" i="45"/>
  <c r="BN42" i="45"/>
  <c r="E9" i="9"/>
  <c r="AS27" i="55"/>
  <c r="DE27" i="55" s="1"/>
  <c r="BY27" i="55"/>
  <c r="N27" i="55"/>
  <c r="O26" i="55"/>
  <c r="AT26" i="55"/>
  <c r="DF26" i="55" s="1"/>
  <c r="D5" i="3"/>
  <c r="D7" i="3" s="1"/>
  <c r="AH21" i="45"/>
  <c r="AH23" i="45" s="1"/>
  <c r="AF37" i="46"/>
  <c r="M65" i="7"/>
  <c r="I75" i="7"/>
  <c r="BN9" i="51"/>
  <c r="K63" i="7"/>
  <c r="K70" i="7" s="1"/>
  <c r="D26" i="49"/>
  <c r="D30" i="49" s="1"/>
  <c r="AF66" i="46"/>
  <c r="AE96" i="48"/>
  <c r="AE101" i="48" s="1"/>
  <c r="AE95" i="48"/>
  <c r="AE100" i="48" s="1"/>
  <c r="AE93" i="48"/>
  <c r="AE98" i="48" s="1"/>
  <c r="AE97" i="48"/>
  <c r="AE94" i="48"/>
  <c r="AF91" i="38"/>
  <c r="AF89" i="38"/>
  <c r="AF90" i="38"/>
  <c r="AF92" i="42"/>
  <c r="AF89" i="42"/>
  <c r="AF93" i="42" s="1"/>
  <c r="AF90" i="42"/>
  <c r="AF91" i="42"/>
  <c r="AF95" i="42" s="1"/>
  <c r="AF92" i="48"/>
  <c r="AF95" i="46"/>
  <c r="AF100" i="46" s="1"/>
  <c r="AF94" i="46"/>
  <c r="AF96" i="46"/>
  <c r="AF101" i="46" s="1"/>
  <c r="AF97" i="46"/>
  <c r="AF93" i="46"/>
  <c r="AF98" i="46" s="1"/>
  <c r="BM23" i="45"/>
  <c r="BN21" i="45"/>
  <c r="AF189" i="42"/>
  <c r="AG26" i="45"/>
  <c r="AG24" i="45"/>
  <c r="AG25" i="45"/>
  <c r="AG82" i="45"/>
  <c r="AF187" i="42"/>
  <c r="AF94" i="42"/>
  <c r="AF66" i="42"/>
  <c r="AF66" i="38"/>
  <c r="F76" i="7"/>
  <c r="G76" i="7" s="1"/>
  <c r="J58" i="14"/>
  <c r="J59" i="14" s="1"/>
  <c r="I59" i="12"/>
  <c r="I74" i="7"/>
  <c r="I76" i="7"/>
  <c r="I73" i="7"/>
  <c r="K218" i="14"/>
  <c r="K61" i="14"/>
  <c r="K57" i="14" s="1"/>
  <c r="K60" i="14"/>
  <c r="K56" i="14"/>
  <c r="F75" i="7"/>
  <c r="G75" i="7" s="1"/>
  <c r="J60" i="12"/>
  <c r="J58" i="12" s="1"/>
  <c r="J56" i="12"/>
  <c r="J61" i="12"/>
  <c r="J57" i="12" s="1"/>
  <c r="F73" i="7"/>
  <c r="G73" i="7" s="1"/>
  <c r="F74" i="7"/>
  <c r="G74" i="7" s="1"/>
  <c r="M67" i="7"/>
  <c r="M64" i="7"/>
  <c r="F4" i="26"/>
  <c r="J131" i="16"/>
  <c r="L34" i="16"/>
  <c r="L33" i="16"/>
  <c r="B172" i="14"/>
  <c r="H75" i="16"/>
  <c r="K54" i="15"/>
  <c r="L34" i="15"/>
  <c r="L33" i="15"/>
  <c r="J218" i="12"/>
  <c r="J112" i="12"/>
  <c r="J43" i="15"/>
  <c r="I43" i="29"/>
  <c r="J60" i="15"/>
  <c r="J4" i="4"/>
  <c r="B172" i="12"/>
  <c r="B183" i="12" s="1"/>
  <c r="B199" i="12" s="1"/>
  <c r="J42" i="16"/>
  <c r="I75" i="16"/>
  <c r="K40" i="15"/>
  <c r="K122" i="15" s="1"/>
  <c r="K132" i="15" s="1"/>
  <c r="K40" i="16"/>
  <c r="K122" i="16" s="1"/>
  <c r="K132" i="16" s="1"/>
  <c r="K35" i="16"/>
  <c r="K128" i="16" s="1"/>
  <c r="J60" i="16"/>
  <c r="K35" i="15"/>
  <c r="K128" i="15" s="1"/>
  <c r="J42" i="19"/>
  <c r="I43" i="28"/>
  <c r="K39" i="15"/>
  <c r="K121" i="15" s="1"/>
  <c r="K131" i="15" s="1"/>
  <c r="L53" i="14"/>
  <c r="L55" i="14" s="1"/>
  <c r="L112" i="14" s="1"/>
  <c r="J39" i="15"/>
  <c r="J121" i="15" s="1"/>
  <c r="H47" i="16"/>
  <c r="G40" i="29"/>
  <c r="K54" i="16"/>
  <c r="J41" i="29"/>
  <c r="I47" i="16"/>
  <c r="H40" i="29"/>
  <c r="L74" i="16"/>
  <c r="M51" i="14"/>
  <c r="M52" i="14"/>
  <c r="N50" i="14"/>
  <c r="M54" i="14"/>
  <c r="L74" i="15"/>
  <c r="M32" i="15"/>
  <c r="J43" i="16"/>
  <c r="I39" i="29"/>
  <c r="H47" i="15"/>
  <c r="I75" i="15"/>
  <c r="I76" i="15"/>
  <c r="J41" i="28"/>
  <c r="H42" i="15"/>
  <c r="I39" i="28"/>
  <c r="G40" i="28"/>
  <c r="M7" i="15"/>
  <c r="M41" i="15" s="1"/>
  <c r="BY33" i="58" s="1"/>
  <c r="M32" i="58" s="1"/>
  <c r="AS32" i="58" s="1"/>
  <c r="BY32" i="58" s="1"/>
  <c r="M32" i="16"/>
  <c r="I42" i="20"/>
  <c r="K21" i="16"/>
  <c r="K123" i="16" s="1"/>
  <c r="F45" i="2"/>
  <c r="E50" i="2"/>
  <c r="D50" i="2" s="1"/>
  <c r="E48" i="2"/>
  <c r="D48" i="2" s="1"/>
  <c r="E47" i="2"/>
  <c r="E51" i="2"/>
  <c r="D51" i="2" s="1"/>
  <c r="K53" i="12"/>
  <c r="K55" i="12" s="1"/>
  <c r="M50" i="12"/>
  <c r="L54" i="12"/>
  <c r="L51" i="12"/>
  <c r="L52" i="12"/>
  <c r="L25" i="16"/>
  <c r="L124" i="16" s="1"/>
  <c r="L8" i="15"/>
  <c r="L9" i="15" s="1"/>
  <c r="L20" i="16"/>
  <c r="L25" i="15"/>
  <c r="L124" i="15" s="1"/>
  <c r="L17" i="15"/>
  <c r="M18" i="16"/>
  <c r="M15" i="16"/>
  <c r="M16" i="16"/>
  <c r="M19" i="16"/>
  <c r="N14" i="16"/>
  <c r="M7" i="16"/>
  <c r="M41" i="16" s="1"/>
  <c r="N6" i="16"/>
  <c r="J13" i="16"/>
  <c r="J125" i="16" s="1"/>
  <c r="J129" i="16" s="1"/>
  <c r="N14" i="15"/>
  <c r="M18" i="15"/>
  <c r="M16" i="15"/>
  <c r="M19" i="15"/>
  <c r="M15" i="15"/>
  <c r="N22" i="15"/>
  <c r="N24" i="15" s="1"/>
  <c r="M23" i="15"/>
  <c r="L20" i="15"/>
  <c r="K21" i="15"/>
  <c r="K123" i="15" s="1"/>
  <c r="L8" i="16"/>
  <c r="N6" i="15"/>
  <c r="L17" i="16"/>
  <c r="K10" i="16"/>
  <c r="K11" i="16" s="1"/>
  <c r="K39" i="16" s="1"/>
  <c r="K121" i="16" s="1"/>
  <c r="K13" i="15"/>
  <c r="K125" i="15" s="1"/>
  <c r="M23" i="16"/>
  <c r="N22" i="16"/>
  <c r="N24" i="16" s="1"/>
  <c r="J13" i="15"/>
  <c r="J125" i="15" s="1"/>
  <c r="AG3" i="12"/>
  <c r="AF1" i="52" s="1"/>
  <c r="J43" i="29" l="1"/>
  <c r="CE8" i="45"/>
  <c r="D40" i="12"/>
  <c r="D43" i="12" s="1"/>
  <c r="P26" i="55"/>
  <c r="AU26" i="55"/>
  <c r="DG26" i="55" s="1"/>
  <c r="D8" i="3"/>
  <c r="D10" i="3" s="1"/>
  <c r="D11" i="3" s="1"/>
  <c r="D13" i="3" s="1"/>
  <c r="BZ27" i="55"/>
  <c r="O27" i="55"/>
  <c r="AT27" i="55"/>
  <c r="DF27" i="55" s="1"/>
  <c r="AG37" i="46"/>
  <c r="M63" i="7"/>
  <c r="J4" i="8"/>
  <c r="AF93" i="48"/>
  <c r="AF98" i="48" s="1"/>
  <c r="AF97" i="48"/>
  <c r="AF95" i="48"/>
  <c r="AF100" i="48" s="1"/>
  <c r="AF94" i="48"/>
  <c r="AF96" i="48"/>
  <c r="AF101" i="48" s="1"/>
  <c r="BN23" i="45"/>
  <c r="BN82" i="45" s="1"/>
  <c r="AF37" i="48"/>
  <c r="BM24" i="45"/>
  <c r="BM25" i="45"/>
  <c r="BM26" i="45"/>
  <c r="BM82" i="45"/>
  <c r="AH25" i="45"/>
  <c r="AH24" i="45"/>
  <c r="AH82" i="45"/>
  <c r="AH26" i="45"/>
  <c r="D26" i="12"/>
  <c r="D34" i="12" s="1"/>
  <c r="J5" i="8"/>
  <c r="K58" i="14"/>
  <c r="K59" i="14" s="1"/>
  <c r="J59" i="12"/>
  <c r="L218" i="14"/>
  <c r="L60" i="14"/>
  <c r="L56" i="14"/>
  <c r="L61" i="14"/>
  <c r="L57" i="14" s="1"/>
  <c r="K61" i="12"/>
  <c r="K57" i="12" s="1"/>
  <c r="K56" i="12"/>
  <c r="K60" i="12"/>
  <c r="K58" i="12" s="1"/>
  <c r="D12" i="14"/>
  <c r="E12" i="14" s="1"/>
  <c r="E13" i="14" s="1"/>
  <c r="E83" i="14" s="1"/>
  <c r="D12" i="12"/>
  <c r="E12" i="12" s="1"/>
  <c r="K129" i="15"/>
  <c r="J129" i="15"/>
  <c r="J131" i="15"/>
  <c r="D40" i="14"/>
  <c r="E40" i="14" s="1"/>
  <c r="E42" i="14" s="1"/>
  <c r="J5" i="4"/>
  <c r="K131" i="16"/>
  <c r="M74" i="16"/>
  <c r="M33" i="16"/>
  <c r="M34" i="16"/>
  <c r="M34" i="15"/>
  <c r="M33" i="15"/>
  <c r="K47" i="15"/>
  <c r="L54" i="15"/>
  <c r="B200" i="12"/>
  <c r="B183" i="14"/>
  <c r="B180" i="14"/>
  <c r="K43" i="15"/>
  <c r="K112" i="12"/>
  <c r="K218" i="12"/>
  <c r="K60" i="16"/>
  <c r="J42" i="15"/>
  <c r="J75" i="15" s="1"/>
  <c r="K60" i="15"/>
  <c r="D26" i="14"/>
  <c r="B190" i="12"/>
  <c r="K42" i="16"/>
  <c r="M70" i="7"/>
  <c r="M66" i="7" s="1"/>
  <c r="J75" i="16"/>
  <c r="B180" i="12"/>
  <c r="L40" i="15"/>
  <c r="L122" i="15" s="1"/>
  <c r="L132" i="15" s="1"/>
  <c r="L35" i="16"/>
  <c r="L128" i="16" s="1"/>
  <c r="L40" i="16"/>
  <c r="L122" i="16" s="1"/>
  <c r="L132" i="16" s="1"/>
  <c r="K42" i="19"/>
  <c r="J43" i="28"/>
  <c r="M53" i="14"/>
  <c r="M55" i="14" s="1"/>
  <c r="M112" i="14" s="1"/>
  <c r="H76" i="16"/>
  <c r="K43" i="16"/>
  <c r="J39" i="29"/>
  <c r="M74" i="15"/>
  <c r="J47" i="16"/>
  <c r="I40" i="29"/>
  <c r="L54" i="16"/>
  <c r="K41" i="29"/>
  <c r="N52" i="14"/>
  <c r="O50" i="14"/>
  <c r="N54" i="14"/>
  <c r="N51" i="14"/>
  <c r="N32" i="15"/>
  <c r="I76" i="16"/>
  <c r="L35" i="15"/>
  <c r="L128" i="15" s="1"/>
  <c r="J47" i="15"/>
  <c r="H75" i="15"/>
  <c r="H76" i="15"/>
  <c r="K41" i="28"/>
  <c r="J39" i="28"/>
  <c r="N7" i="15"/>
  <c r="N41" i="15" s="1"/>
  <c r="BZ33" i="58" s="1"/>
  <c r="N32" i="58" s="1"/>
  <c r="AT32" i="58" s="1"/>
  <c r="BZ32" i="58" s="1"/>
  <c r="J40" i="28"/>
  <c r="I40" i="28"/>
  <c r="N32" i="16"/>
  <c r="J42" i="20"/>
  <c r="M25" i="15"/>
  <c r="M124" i="15" s="1"/>
  <c r="F48" i="2"/>
  <c r="F47" i="2"/>
  <c r="F50" i="2"/>
  <c r="D47" i="2"/>
  <c r="F51" i="2"/>
  <c r="K42" i="15"/>
  <c r="E11" i="9"/>
  <c r="L21" i="16"/>
  <c r="L123" i="16" s="1"/>
  <c r="L53" i="12"/>
  <c r="L55" i="12" s="1"/>
  <c r="N50" i="12"/>
  <c r="M54" i="12"/>
  <c r="M52" i="12"/>
  <c r="M51" i="12"/>
  <c r="M8" i="15"/>
  <c r="M9" i="15" s="1"/>
  <c r="M25" i="16"/>
  <c r="M124" i="16" s="1"/>
  <c r="M20" i="15"/>
  <c r="L9" i="16"/>
  <c r="O6" i="16"/>
  <c r="N7" i="16"/>
  <c r="N41" i="16" s="1"/>
  <c r="N23" i="16"/>
  <c r="O22" i="16"/>
  <c r="O24" i="16" s="1"/>
  <c r="K13" i="16"/>
  <c r="K125" i="16" s="1"/>
  <c r="K129" i="16" s="1"/>
  <c r="O6" i="15"/>
  <c r="M17" i="15"/>
  <c r="O14" i="15"/>
  <c r="N18" i="15"/>
  <c r="N19" i="15"/>
  <c r="N16" i="15"/>
  <c r="N15" i="15"/>
  <c r="L10" i="15"/>
  <c r="L11" i="15" s="1"/>
  <c r="L39" i="15" s="1"/>
  <c r="L121" i="15" s="1"/>
  <c r="M17" i="16"/>
  <c r="L21" i="15"/>
  <c r="L123" i="15" s="1"/>
  <c r="O22" i="15"/>
  <c r="O24" i="15" s="1"/>
  <c r="N23" i="15"/>
  <c r="M8" i="16"/>
  <c r="N19" i="16"/>
  <c r="N16" i="16"/>
  <c r="N15" i="16"/>
  <c r="N18" i="16"/>
  <c r="O14" i="16"/>
  <c r="M20" i="16"/>
  <c r="AH3" i="12"/>
  <c r="AG1" i="52" s="1"/>
  <c r="AK182" i="12" l="1"/>
  <c r="D44" i="12"/>
  <c r="D216" i="12"/>
  <c r="E40" i="12"/>
  <c r="AK206" i="12"/>
  <c r="D122" i="12"/>
  <c r="C41" i="20"/>
  <c r="D49" i="12"/>
  <c r="D48" i="12"/>
  <c r="E5" i="60"/>
  <c r="Q26" i="55"/>
  <c r="AV26" i="55"/>
  <c r="DH26" i="55" s="1"/>
  <c r="CA27" i="55"/>
  <c r="P27" i="55"/>
  <c r="AU27" i="55"/>
  <c r="DG27" i="55" s="1"/>
  <c r="E6" i="60"/>
  <c r="E7" i="60"/>
  <c r="D33" i="12"/>
  <c r="AG37" i="48"/>
  <c r="BN25" i="45"/>
  <c r="BN26" i="45"/>
  <c r="BN24" i="45"/>
  <c r="J6" i="4"/>
  <c r="J8" i="4" s="1"/>
  <c r="N63" i="7"/>
  <c r="L58" i="14"/>
  <c r="L59" i="14" s="1"/>
  <c r="D39" i="12"/>
  <c r="D38" i="12"/>
  <c r="D36" i="12" s="1"/>
  <c r="M218" i="14"/>
  <c r="M60" i="14"/>
  <c r="M56" i="14"/>
  <c r="M61" i="14"/>
  <c r="M57" i="14" s="1"/>
  <c r="D33" i="14"/>
  <c r="D34" i="14"/>
  <c r="D14" i="14"/>
  <c r="D19" i="14" s="1"/>
  <c r="D102" i="14" s="1"/>
  <c r="L56" i="12"/>
  <c r="L61" i="12"/>
  <c r="L57" i="12" s="1"/>
  <c r="L60" i="12"/>
  <c r="L58" i="12" s="1"/>
  <c r="K59" i="12"/>
  <c r="N65" i="7"/>
  <c r="C197" i="14" s="1"/>
  <c r="F12" i="14"/>
  <c r="F13" i="14" s="1"/>
  <c r="F83" i="14" s="1"/>
  <c r="J6" i="8"/>
  <c r="D43" i="14"/>
  <c r="D122" i="14" s="1"/>
  <c r="L131" i="15"/>
  <c r="D14" i="12"/>
  <c r="D19" i="12" s="1"/>
  <c r="J76" i="15"/>
  <c r="AK209" i="12"/>
  <c r="AK186" i="12"/>
  <c r="L112" i="12"/>
  <c r="L218" i="12"/>
  <c r="N33" i="15"/>
  <c r="N34" i="15"/>
  <c r="L43" i="15"/>
  <c r="M54" i="15"/>
  <c r="N33" i="16"/>
  <c r="N34" i="16"/>
  <c r="B199" i="14"/>
  <c r="B200" i="14" s="1"/>
  <c r="B190" i="14"/>
  <c r="C115" i="15"/>
  <c r="K43" i="29"/>
  <c r="K75" i="16"/>
  <c r="E26" i="14"/>
  <c r="K80" i="7"/>
  <c r="N69" i="7"/>
  <c r="N66" i="7"/>
  <c r="N67" i="7"/>
  <c r="M68" i="7"/>
  <c r="N64" i="7"/>
  <c r="L60" i="16"/>
  <c r="L42" i="19"/>
  <c r="M35" i="16"/>
  <c r="M128" i="16" s="1"/>
  <c r="M40" i="16"/>
  <c r="M122" i="16" s="1"/>
  <c r="M132" i="16" s="1"/>
  <c r="M35" i="15"/>
  <c r="M128" i="15" s="1"/>
  <c r="M40" i="15"/>
  <c r="M122" i="15" s="1"/>
  <c r="M132" i="15" s="1"/>
  <c r="N53" i="14"/>
  <c r="N55" i="14" s="1"/>
  <c r="N112" i="14" s="1"/>
  <c r="E14" i="14"/>
  <c r="E15" i="14" s="1"/>
  <c r="E16" i="14" s="1"/>
  <c r="E17" i="14" s="1"/>
  <c r="O32" i="15"/>
  <c r="L60" i="15"/>
  <c r="K43" i="28"/>
  <c r="K47" i="16"/>
  <c r="J40" i="29"/>
  <c r="M54" i="16"/>
  <c r="L41" i="29"/>
  <c r="E13" i="12"/>
  <c r="E83" i="12" s="1"/>
  <c r="E119" i="59" s="1"/>
  <c r="E41" i="14"/>
  <c r="F40" i="14"/>
  <c r="F42" i="14" s="1"/>
  <c r="J76" i="16"/>
  <c r="L43" i="16"/>
  <c r="K39" i="29"/>
  <c r="N74" i="15"/>
  <c r="O54" i="14"/>
  <c r="O51" i="14"/>
  <c r="O52" i="14"/>
  <c r="P50" i="14"/>
  <c r="N74" i="16"/>
  <c r="K75" i="15"/>
  <c r="K76" i="15"/>
  <c r="O7" i="15"/>
  <c r="O41" i="15" s="1"/>
  <c r="CA33" i="58" s="1"/>
  <c r="O32" i="58" s="1"/>
  <c r="AU32" i="58" s="1"/>
  <c r="CA32" i="58" s="1"/>
  <c r="L41" i="28"/>
  <c r="K39" i="28"/>
  <c r="O32" i="16"/>
  <c r="K42" i="20"/>
  <c r="F12" i="12"/>
  <c r="M21" i="15"/>
  <c r="M123" i="15" s="1"/>
  <c r="O50" i="12"/>
  <c r="N54" i="12"/>
  <c r="N52" i="12"/>
  <c r="N51" i="12"/>
  <c r="M53" i="12"/>
  <c r="M55" i="12" s="1"/>
  <c r="N8" i="15"/>
  <c r="N9" i="15" s="1"/>
  <c r="N25" i="15"/>
  <c r="N124" i="15" s="1"/>
  <c r="N17" i="15"/>
  <c r="L13" i="15"/>
  <c r="L125" i="15" s="1"/>
  <c r="L129" i="15" s="1"/>
  <c r="O19" i="16"/>
  <c r="O16" i="16"/>
  <c r="O18" i="16"/>
  <c r="O15" i="16"/>
  <c r="P14" i="16"/>
  <c r="N20" i="15"/>
  <c r="O23" i="16"/>
  <c r="P22" i="16"/>
  <c r="P24" i="16" s="1"/>
  <c r="O7" i="16"/>
  <c r="O41" i="16" s="1"/>
  <c r="P6" i="16"/>
  <c r="N20" i="16"/>
  <c r="M9" i="16"/>
  <c r="P22" i="15"/>
  <c r="P24" i="15" s="1"/>
  <c r="O23" i="15"/>
  <c r="M21" i="16"/>
  <c r="M123" i="16" s="1"/>
  <c r="P14" i="15"/>
  <c r="O19" i="15"/>
  <c r="O16" i="15"/>
  <c r="O18" i="15"/>
  <c r="O15" i="15"/>
  <c r="P6" i="15"/>
  <c r="N25" i="16"/>
  <c r="N124" i="16" s="1"/>
  <c r="M10" i="15"/>
  <c r="M11" i="15" s="1"/>
  <c r="M39" i="15" s="1"/>
  <c r="M121" i="15" s="1"/>
  <c r="N17" i="16"/>
  <c r="N8" i="16"/>
  <c r="L10" i="16"/>
  <c r="L11" i="16" s="1"/>
  <c r="L39" i="16" s="1"/>
  <c r="L121" i="16" s="1"/>
  <c r="E42" i="12" l="1"/>
  <c r="F40" i="12"/>
  <c r="F42" i="12" s="1"/>
  <c r="E41" i="12"/>
  <c r="D46" i="12"/>
  <c r="D45" i="12"/>
  <c r="E17" i="60"/>
  <c r="D5" i="60"/>
  <c r="CB27" i="55"/>
  <c r="Q27" i="55"/>
  <c r="AV27" i="55"/>
  <c r="DH27" i="55" s="1"/>
  <c r="J8" i="8"/>
  <c r="J7" i="4"/>
  <c r="R26" i="55"/>
  <c r="AW26" i="55"/>
  <c r="DI26" i="55" s="1"/>
  <c r="R6" i="60"/>
  <c r="F5" i="60"/>
  <c r="F17" i="60" s="1"/>
  <c r="S17" i="60" s="1"/>
  <c r="C5" i="60"/>
  <c r="D17" i="60"/>
  <c r="D6" i="60"/>
  <c r="E18" i="60"/>
  <c r="D7" i="60"/>
  <c r="E19" i="60"/>
  <c r="M9" i="4"/>
  <c r="C39" i="19"/>
  <c r="D92" i="14"/>
  <c r="M58" i="14"/>
  <c r="M59" i="14" s="1"/>
  <c r="C40" i="19"/>
  <c r="D25" i="12"/>
  <c r="D20" i="12"/>
  <c r="J9" i="8"/>
  <c r="C197" i="12"/>
  <c r="C207" i="12" s="1"/>
  <c r="L59" i="12"/>
  <c r="D35" i="12"/>
  <c r="N218" i="14"/>
  <c r="N61" i="14"/>
  <c r="N57" i="14" s="1"/>
  <c r="N56" i="14"/>
  <c r="N60" i="14"/>
  <c r="D216" i="14"/>
  <c r="D48" i="14"/>
  <c r="D44" i="14"/>
  <c r="D49" i="14"/>
  <c r="E27" i="14"/>
  <c r="D215" i="14"/>
  <c r="D38" i="14"/>
  <c r="D39" i="14"/>
  <c r="D24" i="14"/>
  <c r="D20" i="14"/>
  <c r="D25" i="14"/>
  <c r="D217" i="14"/>
  <c r="M60" i="12"/>
  <c r="M58" i="12" s="1"/>
  <c r="M56" i="12"/>
  <c r="M61" i="12"/>
  <c r="M57" i="12" s="1"/>
  <c r="J7" i="8"/>
  <c r="D24" i="12"/>
  <c r="G12" i="14"/>
  <c r="H12" i="14" s="1"/>
  <c r="J10" i="8"/>
  <c r="E30" i="14"/>
  <c r="D217" i="12"/>
  <c r="C41" i="19"/>
  <c r="E31" i="14"/>
  <c r="E28" i="14"/>
  <c r="M131" i="15"/>
  <c r="F26" i="14"/>
  <c r="C40" i="20"/>
  <c r="D102" i="12"/>
  <c r="L131" i="16"/>
  <c r="O34" i="16"/>
  <c r="O33" i="16"/>
  <c r="M112" i="12"/>
  <c r="M218" i="12"/>
  <c r="C113" i="15"/>
  <c r="C195" i="14"/>
  <c r="E26" i="12"/>
  <c r="AK202" i="12"/>
  <c r="AK178" i="12"/>
  <c r="O33" i="15"/>
  <c r="O34" i="15"/>
  <c r="C198" i="12"/>
  <c r="C208" i="12" s="1"/>
  <c r="C116" i="15"/>
  <c r="C198" i="14"/>
  <c r="C117" i="15"/>
  <c r="C199" i="14"/>
  <c r="N54" i="15"/>
  <c r="M43" i="15"/>
  <c r="L68" i="7"/>
  <c r="AI18" i="20" s="1"/>
  <c r="L42" i="16"/>
  <c r="M60" i="16"/>
  <c r="M60" i="15"/>
  <c r="N68" i="7"/>
  <c r="C196" i="14" s="1"/>
  <c r="C199" i="12"/>
  <c r="C209" i="12" s="1"/>
  <c r="L66" i="7"/>
  <c r="N40" i="15"/>
  <c r="N122" i="15" s="1"/>
  <c r="N132" i="15" s="1"/>
  <c r="C195" i="12"/>
  <c r="C205" i="12" s="1"/>
  <c r="N40" i="16"/>
  <c r="N122" i="16" s="1"/>
  <c r="N132" i="16" s="1"/>
  <c r="N35" i="16"/>
  <c r="N128" i="16" s="1"/>
  <c r="L43" i="29"/>
  <c r="K76" i="16"/>
  <c r="L43" i="28"/>
  <c r="E43" i="14"/>
  <c r="E122" i="14" s="1"/>
  <c r="M42" i="19"/>
  <c r="N35" i="15"/>
  <c r="N128" i="15" s="1"/>
  <c r="O53" i="14"/>
  <c r="O55" i="14" s="1"/>
  <c r="O112" i="14" s="1"/>
  <c r="N54" i="16"/>
  <c r="M41" i="29"/>
  <c r="M43" i="16"/>
  <c r="L39" i="29"/>
  <c r="O74" i="16"/>
  <c r="G40" i="14"/>
  <c r="G42" i="14" s="1"/>
  <c r="F41" i="14"/>
  <c r="P32" i="15"/>
  <c r="F13" i="12"/>
  <c r="F14" i="12" s="1"/>
  <c r="E19" i="14"/>
  <c r="E102" i="14" s="1"/>
  <c r="Q50" i="14"/>
  <c r="P51" i="14"/>
  <c r="P52" i="14"/>
  <c r="P54" i="14"/>
  <c r="F14" i="14"/>
  <c r="O74" i="15"/>
  <c r="L47" i="15"/>
  <c r="M41" i="28"/>
  <c r="P7" i="15"/>
  <c r="P41" i="15" s="1"/>
  <c r="CB33" i="58" s="1"/>
  <c r="P32" i="58" s="1"/>
  <c r="AV32" i="58" s="1"/>
  <c r="CB32" i="58" s="1"/>
  <c r="K40" i="28"/>
  <c r="L39" i="28"/>
  <c r="L42" i="15"/>
  <c r="P32" i="16"/>
  <c r="L42" i="20"/>
  <c r="G12" i="12"/>
  <c r="E14" i="12"/>
  <c r="E15" i="12" s="1"/>
  <c r="O8" i="15"/>
  <c r="O9" i="15" s="1"/>
  <c r="O10" i="15" s="1"/>
  <c r="O11" i="15" s="1"/>
  <c r="O25" i="16"/>
  <c r="O124" i="16" s="1"/>
  <c r="N53" i="12"/>
  <c r="N55" i="12" s="1"/>
  <c r="O20" i="15"/>
  <c r="P50" i="12"/>
  <c r="O51" i="12"/>
  <c r="O54" i="12"/>
  <c r="O52" i="12"/>
  <c r="O25" i="15"/>
  <c r="O124" i="15" s="1"/>
  <c r="O8" i="16"/>
  <c r="O9" i="16" s="1"/>
  <c r="O17" i="15"/>
  <c r="Q14" i="15"/>
  <c r="P19" i="15"/>
  <c r="P16" i="15"/>
  <c r="P15" i="15"/>
  <c r="P18" i="15"/>
  <c r="N21" i="16"/>
  <c r="N123" i="16" s="1"/>
  <c r="P23" i="16"/>
  <c r="Q22" i="16"/>
  <c r="Q24" i="16" s="1"/>
  <c r="N21" i="15"/>
  <c r="N123" i="15" s="1"/>
  <c r="L13" i="16"/>
  <c r="L125" i="16" s="1"/>
  <c r="L129" i="16" s="1"/>
  <c r="M13" i="15"/>
  <c r="M125" i="15" s="1"/>
  <c r="M129" i="15" s="1"/>
  <c r="Q6" i="15"/>
  <c r="Q22" i="15"/>
  <c r="Q24" i="15" s="1"/>
  <c r="P23" i="15"/>
  <c r="P18" i="16"/>
  <c r="P15" i="16"/>
  <c r="P16" i="16"/>
  <c r="P19" i="16"/>
  <c r="Q14" i="16"/>
  <c r="N10" i="15"/>
  <c r="N11" i="15" s="1"/>
  <c r="N39" i="15" s="1"/>
  <c r="N121" i="15" s="1"/>
  <c r="Q6" i="16"/>
  <c r="P7" i="16"/>
  <c r="P41" i="16" s="1"/>
  <c r="O17" i="16"/>
  <c r="N9" i="16"/>
  <c r="M10" i="16"/>
  <c r="M11" i="16" s="1"/>
  <c r="M39" i="16" s="1"/>
  <c r="M121" i="16" s="1"/>
  <c r="O20" i="16"/>
  <c r="J9" i="4" l="1"/>
  <c r="D47" i="12"/>
  <c r="G40" i="12"/>
  <c r="G42" i="12" s="1"/>
  <c r="F41" i="12"/>
  <c r="F43" i="12" s="1"/>
  <c r="E43" i="12"/>
  <c r="CC27" i="55"/>
  <c r="R27" i="55"/>
  <c r="AW27" i="55"/>
  <c r="DI27" i="55" s="1"/>
  <c r="S26" i="55"/>
  <c r="AX26" i="55"/>
  <c r="DJ26" i="55" s="1"/>
  <c r="Q6" i="60"/>
  <c r="C6" i="60"/>
  <c r="C18" i="60" s="1"/>
  <c r="D18" i="60"/>
  <c r="F6" i="60"/>
  <c r="F18" i="60" s="1"/>
  <c r="D68" i="60"/>
  <c r="F68" i="60" s="1"/>
  <c r="C17" i="60"/>
  <c r="P6" i="60"/>
  <c r="F7" i="60"/>
  <c r="F19" i="60" s="1"/>
  <c r="S19" i="60" s="1"/>
  <c r="D19" i="60"/>
  <c r="C7" i="60"/>
  <c r="C19" i="60" s="1"/>
  <c r="E29" i="14"/>
  <c r="D45" i="14"/>
  <c r="D46" i="14"/>
  <c r="N58" i="14"/>
  <c r="N59" i="14" s="1"/>
  <c r="D35" i="14"/>
  <c r="D36" i="14"/>
  <c r="M59" i="12"/>
  <c r="D37" i="12"/>
  <c r="J11" i="8"/>
  <c r="D21" i="14"/>
  <c r="D22" i="14"/>
  <c r="O218" i="14"/>
  <c r="O60" i="14"/>
  <c r="O56" i="14"/>
  <c r="O61" i="14"/>
  <c r="O57" i="14" s="1"/>
  <c r="E216" i="14"/>
  <c r="E48" i="14"/>
  <c r="E44" i="14"/>
  <c r="E49" i="14"/>
  <c r="E34" i="14"/>
  <c r="G13" i="14"/>
  <c r="G83" i="14" s="1"/>
  <c r="E38" i="14"/>
  <c r="E217" i="14"/>
  <c r="E24" i="14"/>
  <c r="E20" i="14"/>
  <c r="E25" i="14"/>
  <c r="D22" i="12"/>
  <c r="D21" i="12"/>
  <c r="N60" i="12"/>
  <c r="N58" i="12" s="1"/>
  <c r="N61" i="12"/>
  <c r="N57" i="12" s="1"/>
  <c r="N56" i="12"/>
  <c r="F30" i="14"/>
  <c r="E32" i="14"/>
  <c r="E30" i="12"/>
  <c r="E28" i="12"/>
  <c r="E27" i="12"/>
  <c r="C5" i="26"/>
  <c r="F5" i="26" s="1"/>
  <c r="F6" i="26" s="1"/>
  <c r="F7" i="26" s="1"/>
  <c r="F28" i="14"/>
  <c r="F31" i="14"/>
  <c r="G26" i="14"/>
  <c r="F27" i="14"/>
  <c r="D92" i="12"/>
  <c r="N131" i="15"/>
  <c r="E31" i="12"/>
  <c r="M131" i="16"/>
  <c r="F26" i="12"/>
  <c r="N112" i="12"/>
  <c r="N218" i="12"/>
  <c r="N43" i="15"/>
  <c r="O54" i="15"/>
  <c r="P34" i="16"/>
  <c r="P33" i="16"/>
  <c r="C196" i="12"/>
  <c r="C39" i="20"/>
  <c r="D215" i="12"/>
  <c r="P34" i="15"/>
  <c r="P33" i="15"/>
  <c r="C194" i="14"/>
  <c r="C200" i="14" s="1"/>
  <c r="N70" i="7"/>
  <c r="N60" i="16"/>
  <c r="M42" i="16"/>
  <c r="N60" i="15"/>
  <c r="M43" i="29"/>
  <c r="D41" i="19"/>
  <c r="O40" i="15"/>
  <c r="O122" i="15" s="1"/>
  <c r="O132" i="15" s="1"/>
  <c r="M43" i="28"/>
  <c r="O35" i="16"/>
  <c r="O128" i="16" s="1"/>
  <c r="O40" i="16"/>
  <c r="O122" i="16" s="1"/>
  <c r="O132" i="16" s="1"/>
  <c r="F43" i="14"/>
  <c r="F122" i="14" s="1"/>
  <c r="Q52" i="14"/>
  <c r="R50" i="14"/>
  <c r="Q54" i="14"/>
  <c r="Q51" i="14"/>
  <c r="N42" i="19"/>
  <c r="L47" i="16"/>
  <c r="K40" i="29"/>
  <c r="N43" i="16"/>
  <c r="M39" i="29"/>
  <c r="D40" i="19"/>
  <c r="O35" i="15"/>
  <c r="O128" i="15" s="1"/>
  <c r="Q32" i="15"/>
  <c r="O54" i="16"/>
  <c r="N41" i="29"/>
  <c r="G13" i="12"/>
  <c r="F15" i="14"/>
  <c r="F16" i="14" s="1"/>
  <c r="L75" i="16"/>
  <c r="H13" i="14"/>
  <c r="H83" i="14" s="1"/>
  <c r="I12" i="14"/>
  <c r="O39" i="15"/>
  <c r="O121" i="15" s="1"/>
  <c r="P53" i="14"/>
  <c r="P55" i="14" s="1"/>
  <c r="P112" i="14" s="1"/>
  <c r="P74" i="15"/>
  <c r="G41" i="14"/>
  <c r="H40" i="14"/>
  <c r="H42" i="14" s="1"/>
  <c r="P74" i="16"/>
  <c r="M47" i="15"/>
  <c r="L75" i="15"/>
  <c r="L76" i="15"/>
  <c r="Q7" i="15"/>
  <c r="Q41" i="15" s="1"/>
  <c r="CC33" i="58" s="1"/>
  <c r="Q32" i="58" s="1"/>
  <c r="AW32" i="58" s="1"/>
  <c r="CC32" i="58" s="1"/>
  <c r="L40" i="28"/>
  <c r="M39" i="28"/>
  <c r="M42" i="15"/>
  <c r="N41" i="28"/>
  <c r="Q32" i="16"/>
  <c r="M42" i="20"/>
  <c r="E16" i="12"/>
  <c r="E17" i="12" s="1"/>
  <c r="P25" i="15"/>
  <c r="P124" i="15" s="1"/>
  <c r="P17" i="15"/>
  <c r="F83" i="12"/>
  <c r="F119" i="59" s="1"/>
  <c r="H12" i="12"/>
  <c r="O21" i="15"/>
  <c r="O123" i="15" s="1"/>
  <c r="O53" i="12"/>
  <c r="O55" i="12" s="1"/>
  <c r="Q50" i="12"/>
  <c r="P51" i="12"/>
  <c r="P54" i="12"/>
  <c r="P52" i="12"/>
  <c r="O13" i="15"/>
  <c r="O125" i="15" s="1"/>
  <c r="P20" i="15"/>
  <c r="O21" i="16"/>
  <c r="O123" i="16" s="1"/>
  <c r="P8" i="16"/>
  <c r="P9" i="16" s="1"/>
  <c r="P20" i="16"/>
  <c r="P25" i="16"/>
  <c r="P124" i="16" s="1"/>
  <c r="N13" i="15"/>
  <c r="N125" i="15" s="1"/>
  <c r="N129" i="15" s="1"/>
  <c r="M13" i="16"/>
  <c r="M125" i="16" s="1"/>
  <c r="M129" i="16" s="1"/>
  <c r="O10" i="16"/>
  <c r="O11" i="16" s="1"/>
  <c r="O39" i="16" s="1"/>
  <c r="O121" i="16" s="1"/>
  <c r="R22" i="15"/>
  <c r="R24" i="15" s="1"/>
  <c r="Q23" i="15"/>
  <c r="R14" i="15"/>
  <c r="Q18" i="15"/>
  <c r="Q15" i="15"/>
  <c r="Q19" i="15"/>
  <c r="Q16" i="15"/>
  <c r="P17" i="16"/>
  <c r="N10" i="16"/>
  <c r="N11" i="16" s="1"/>
  <c r="N39" i="16" s="1"/>
  <c r="N121" i="16" s="1"/>
  <c r="Q7" i="16"/>
  <c r="Q41" i="16" s="1"/>
  <c r="R6" i="16"/>
  <c r="Q18" i="16"/>
  <c r="Q15" i="16"/>
  <c r="Q19" i="16"/>
  <c r="Q16" i="16"/>
  <c r="R14" i="16"/>
  <c r="R6" i="15"/>
  <c r="Q23" i="16"/>
  <c r="R22" i="16"/>
  <c r="R24" i="16" s="1"/>
  <c r="P8" i="15"/>
  <c r="E49" i="12" l="1"/>
  <c r="E45" i="12" s="1"/>
  <c r="E48" i="12"/>
  <c r="E44" i="12"/>
  <c r="E122" i="12"/>
  <c r="H40" i="12"/>
  <c r="H42" i="12" s="1"/>
  <c r="G41" i="12"/>
  <c r="G43" i="12" s="1"/>
  <c r="D41" i="20"/>
  <c r="E216" i="12"/>
  <c r="F48" i="12"/>
  <c r="F44" i="12"/>
  <c r="F122" i="12"/>
  <c r="F216" i="12"/>
  <c r="F49" i="12"/>
  <c r="F45" i="12" s="1"/>
  <c r="E41" i="20"/>
  <c r="S18" i="60"/>
  <c r="T26" i="55"/>
  <c r="AY26" i="55"/>
  <c r="DK26" i="55" s="1"/>
  <c r="AX27" i="55"/>
  <c r="DJ27" i="55" s="1"/>
  <c r="S27" i="55"/>
  <c r="CD27" i="55"/>
  <c r="C68" i="60"/>
  <c r="E45" i="14"/>
  <c r="D47" i="14"/>
  <c r="D37" i="14"/>
  <c r="E46" i="14"/>
  <c r="O58" i="14"/>
  <c r="E36" i="14"/>
  <c r="D23" i="14"/>
  <c r="E22" i="14"/>
  <c r="E21" i="14"/>
  <c r="G14" i="14"/>
  <c r="G15" i="14" s="1"/>
  <c r="G16" i="14" s="1"/>
  <c r="G17" i="14" s="1"/>
  <c r="G19" i="14" s="1"/>
  <c r="G102" i="14" s="1"/>
  <c r="F32" i="14"/>
  <c r="P218" i="14"/>
  <c r="P60" i="14"/>
  <c r="P56" i="14"/>
  <c r="P61" i="14"/>
  <c r="P57" i="14" s="1"/>
  <c r="F34" i="14"/>
  <c r="F49" i="14"/>
  <c r="F48" i="14"/>
  <c r="F44" i="14"/>
  <c r="F38" i="14"/>
  <c r="G31" i="14"/>
  <c r="D23" i="12"/>
  <c r="N59" i="12"/>
  <c r="O61" i="12"/>
  <c r="O57" i="12" s="1"/>
  <c r="O56" i="12"/>
  <c r="O60" i="12"/>
  <c r="O58" i="12" s="1"/>
  <c r="E32" i="12"/>
  <c r="E33" i="14"/>
  <c r="E92" i="14" s="1"/>
  <c r="E34" i="12"/>
  <c r="E38" i="12"/>
  <c r="F29" i="14"/>
  <c r="G28" i="14"/>
  <c r="G27" i="14"/>
  <c r="H26" i="14"/>
  <c r="G30" i="14"/>
  <c r="F31" i="12"/>
  <c r="F8" i="26"/>
  <c r="F9" i="26" s="1"/>
  <c r="M80" i="7"/>
  <c r="E29" i="12"/>
  <c r="F27" i="12"/>
  <c r="O129" i="15"/>
  <c r="O131" i="15"/>
  <c r="F216" i="14"/>
  <c r="O131" i="16"/>
  <c r="N131" i="16"/>
  <c r="G26" i="12"/>
  <c r="F28" i="12"/>
  <c r="F30" i="12"/>
  <c r="O47" i="15"/>
  <c r="O43" i="15"/>
  <c r="C112" i="15"/>
  <c r="C118" i="15" s="1"/>
  <c r="P54" i="15"/>
  <c r="Q34" i="15"/>
  <c r="Q33" i="15"/>
  <c r="O112" i="12"/>
  <c r="O218" i="12"/>
  <c r="Q33" i="16"/>
  <c r="Q34" i="16"/>
  <c r="E41" i="19"/>
  <c r="C194" i="12"/>
  <c r="C206" i="12"/>
  <c r="O60" i="16"/>
  <c r="N42" i="16"/>
  <c r="N43" i="29"/>
  <c r="O42" i="16"/>
  <c r="P35" i="16"/>
  <c r="P128" i="16" s="1"/>
  <c r="P40" i="16"/>
  <c r="P122" i="16" s="1"/>
  <c r="P132" i="16" s="1"/>
  <c r="Q53" i="14"/>
  <c r="Q55" i="14" s="1"/>
  <c r="Q112" i="14" s="1"/>
  <c r="P40" i="15"/>
  <c r="P122" i="15" s="1"/>
  <c r="P132" i="15" s="1"/>
  <c r="P35" i="15"/>
  <c r="P128" i="15" s="1"/>
  <c r="G43" i="14"/>
  <c r="G122" i="14" s="1"/>
  <c r="R32" i="15"/>
  <c r="M47" i="16"/>
  <c r="L40" i="29"/>
  <c r="H13" i="12"/>
  <c r="O42" i="19"/>
  <c r="O43" i="16"/>
  <c r="N39" i="29"/>
  <c r="F17" i="14"/>
  <c r="Q74" i="15"/>
  <c r="O60" i="15"/>
  <c r="N43" i="28"/>
  <c r="P54" i="16"/>
  <c r="O41" i="29"/>
  <c r="I40" i="14"/>
  <c r="I42" i="14" s="1"/>
  <c r="H41" i="14"/>
  <c r="Q74" i="16"/>
  <c r="H14" i="14"/>
  <c r="S50" i="14"/>
  <c r="R54" i="14"/>
  <c r="R52" i="14"/>
  <c r="R51" i="14"/>
  <c r="M75" i="16"/>
  <c r="I13" i="14"/>
  <c r="I83" i="14" s="1"/>
  <c r="J12" i="14"/>
  <c r="L76" i="16"/>
  <c r="N47" i="15"/>
  <c r="M75" i="15"/>
  <c r="M76" i="15"/>
  <c r="D95" i="12"/>
  <c r="R7" i="15"/>
  <c r="R41" i="15" s="1"/>
  <c r="CD33" i="58" s="1"/>
  <c r="R32" i="58" s="1"/>
  <c r="AX32" i="58" s="1"/>
  <c r="CD32" i="58" s="1"/>
  <c r="N42" i="15"/>
  <c r="N40" i="28"/>
  <c r="O41" i="28"/>
  <c r="M40" i="28"/>
  <c r="O42" i="15"/>
  <c r="N39" i="28"/>
  <c r="R32" i="16"/>
  <c r="N42" i="20"/>
  <c r="F15" i="12"/>
  <c r="F16" i="12" s="1"/>
  <c r="F17" i="12" s="1"/>
  <c r="G83" i="12"/>
  <c r="G119" i="59" s="1"/>
  <c r="G14" i="12"/>
  <c r="I12" i="12"/>
  <c r="E19" i="12"/>
  <c r="E25" i="12" s="1"/>
  <c r="P21" i="16"/>
  <c r="P123" i="16" s="1"/>
  <c r="Q25" i="15"/>
  <c r="Q124" i="15" s="1"/>
  <c r="P53" i="12"/>
  <c r="P55" i="12" s="1"/>
  <c r="R50" i="12"/>
  <c r="Q52" i="12"/>
  <c r="Q54" i="12"/>
  <c r="Q51" i="12"/>
  <c r="Q17" i="15"/>
  <c r="Q25" i="16"/>
  <c r="Q124" i="16" s="1"/>
  <c r="Q17" i="16"/>
  <c r="P21" i="15"/>
  <c r="P123" i="15" s="1"/>
  <c r="S6" i="16"/>
  <c r="R7" i="16"/>
  <c r="R41" i="16" s="1"/>
  <c r="O13" i="16"/>
  <c r="O125" i="16" s="1"/>
  <c r="O129" i="16" s="1"/>
  <c r="P9" i="15"/>
  <c r="R19" i="16"/>
  <c r="R16" i="16"/>
  <c r="R18" i="16"/>
  <c r="R15" i="16"/>
  <c r="S14" i="16"/>
  <c r="Q20" i="16"/>
  <c r="N13" i="16"/>
  <c r="N125" i="16" s="1"/>
  <c r="N129" i="16" s="1"/>
  <c r="Q20" i="15"/>
  <c r="R23" i="16"/>
  <c r="S22" i="16"/>
  <c r="S24" i="16" s="1"/>
  <c r="S6" i="15"/>
  <c r="Q8" i="15"/>
  <c r="Q8" i="16"/>
  <c r="S14" i="15"/>
  <c r="R18" i="15"/>
  <c r="R16" i="15"/>
  <c r="R19" i="15"/>
  <c r="R15" i="15"/>
  <c r="S22" i="15"/>
  <c r="S24" i="15" s="1"/>
  <c r="R23" i="15"/>
  <c r="P10" i="16"/>
  <c r="P11" i="16" s="1"/>
  <c r="P39" i="16" s="1"/>
  <c r="P121" i="16" s="1"/>
  <c r="G49" i="12" l="1"/>
  <c r="G45" i="12" s="1"/>
  <c r="E46" i="12"/>
  <c r="I40" i="12"/>
  <c r="I42" i="12" s="1"/>
  <c r="G44" i="12"/>
  <c r="G48" i="12"/>
  <c r="H41" i="12"/>
  <c r="H43" i="12" s="1"/>
  <c r="G122" i="12"/>
  <c r="G216" i="12"/>
  <c r="F41" i="20"/>
  <c r="F46" i="12"/>
  <c r="O59" i="14"/>
  <c r="U26" i="55"/>
  <c r="AZ26" i="55"/>
  <c r="DL26" i="55" s="1"/>
  <c r="CE27" i="55"/>
  <c r="T27" i="55"/>
  <c r="AY27" i="55"/>
  <c r="DK27" i="55" s="1"/>
  <c r="E47" i="14"/>
  <c r="F33" i="14"/>
  <c r="F92" i="14" s="1"/>
  <c r="F45" i="14"/>
  <c r="F46" i="14"/>
  <c r="P58" i="14"/>
  <c r="P59" i="14" s="1"/>
  <c r="F36" i="14"/>
  <c r="E23" i="14"/>
  <c r="E36" i="12"/>
  <c r="Q218" i="14"/>
  <c r="Q60" i="14"/>
  <c r="Q56" i="14"/>
  <c r="Q61" i="14"/>
  <c r="Q57" i="14" s="1"/>
  <c r="G216" i="14"/>
  <c r="G44" i="14"/>
  <c r="G49" i="14"/>
  <c r="G48" i="14"/>
  <c r="G34" i="14"/>
  <c r="G29" i="14"/>
  <c r="G32" i="14"/>
  <c r="G38" i="14"/>
  <c r="I26" i="14"/>
  <c r="J26" i="14" s="1"/>
  <c r="E215" i="14"/>
  <c r="E39" i="14"/>
  <c r="G217" i="14"/>
  <c r="G24" i="14"/>
  <c r="G20" i="14"/>
  <c r="G25" i="14"/>
  <c r="F32" i="12"/>
  <c r="D39" i="19"/>
  <c r="O59" i="12"/>
  <c r="P56" i="12"/>
  <c r="P61" i="12"/>
  <c r="P57" i="12" s="1"/>
  <c r="P60" i="12"/>
  <c r="P58" i="12" s="1"/>
  <c r="E33" i="12"/>
  <c r="H31" i="14"/>
  <c r="H30" i="14"/>
  <c r="H28" i="14"/>
  <c r="H27" i="14"/>
  <c r="E24" i="12"/>
  <c r="E20" i="12"/>
  <c r="F38" i="12"/>
  <c r="F34" i="12"/>
  <c r="F40" i="19"/>
  <c r="F29" i="12"/>
  <c r="P131" i="16"/>
  <c r="H26" i="12"/>
  <c r="G31" i="12"/>
  <c r="G28" i="12"/>
  <c r="G27" i="12"/>
  <c r="G30" i="12"/>
  <c r="Q54" i="15"/>
  <c r="P43" i="15"/>
  <c r="R33" i="15"/>
  <c r="R34" i="15"/>
  <c r="F41" i="19"/>
  <c r="C204" i="12"/>
  <c r="C210" i="12" s="1"/>
  <c r="C200" i="12"/>
  <c r="R74" i="16"/>
  <c r="R33" i="16"/>
  <c r="R34" i="16"/>
  <c r="N75" i="16"/>
  <c r="E102" i="12"/>
  <c r="E217" i="12"/>
  <c r="P112" i="12"/>
  <c r="P218" i="12"/>
  <c r="D226" i="12"/>
  <c r="O43" i="29"/>
  <c r="P60" i="15"/>
  <c r="Q40" i="15"/>
  <c r="Q122" i="15" s="1"/>
  <c r="Q132" i="15" s="1"/>
  <c r="P42" i="16"/>
  <c r="Q40" i="16"/>
  <c r="Q122" i="16" s="1"/>
  <c r="Q132" i="16" s="1"/>
  <c r="Q35" i="16"/>
  <c r="Q128" i="16" s="1"/>
  <c r="P60" i="16"/>
  <c r="O43" i="28"/>
  <c r="P42" i="19"/>
  <c r="R53" i="14"/>
  <c r="R55" i="14" s="1"/>
  <c r="R112" i="14" s="1"/>
  <c r="Q35" i="15"/>
  <c r="Q128" i="15" s="1"/>
  <c r="S32" i="15"/>
  <c r="J13" i="14"/>
  <c r="J83" i="14" s="1"/>
  <c r="K12" i="14"/>
  <c r="T50" i="14"/>
  <c r="S54" i="14"/>
  <c r="S52" i="14"/>
  <c r="S51" i="14"/>
  <c r="H15" i="14"/>
  <c r="H16" i="14" s="1"/>
  <c r="H17" i="14" s="1"/>
  <c r="P43" i="16"/>
  <c r="O39" i="29"/>
  <c r="J40" i="14"/>
  <c r="J42" i="14" s="1"/>
  <c r="I41" i="14"/>
  <c r="F19" i="14"/>
  <c r="F102" i="14" s="1"/>
  <c r="N47" i="16"/>
  <c r="M40" i="29"/>
  <c r="O47" i="16"/>
  <c r="N40" i="29"/>
  <c r="I14" i="14"/>
  <c r="O75" i="16"/>
  <c r="R74" i="15"/>
  <c r="Q54" i="16"/>
  <c r="P41" i="29"/>
  <c r="I13" i="12"/>
  <c r="H43" i="14"/>
  <c r="H122" i="14" s="1"/>
  <c r="M76" i="16"/>
  <c r="O75" i="15"/>
  <c r="O76" i="15"/>
  <c r="N75" i="15"/>
  <c r="N76" i="15"/>
  <c r="S7" i="15"/>
  <c r="S41" i="15" s="1"/>
  <c r="CE33" i="58" s="1"/>
  <c r="S32" i="58" s="1"/>
  <c r="AY32" i="58" s="1"/>
  <c r="CE32" i="58" s="1"/>
  <c r="O39" i="28"/>
  <c r="P41" i="28"/>
  <c r="S32" i="16"/>
  <c r="O42" i="20"/>
  <c r="D40" i="20"/>
  <c r="G15" i="12"/>
  <c r="G16" i="12" s="1"/>
  <c r="G17" i="12" s="1"/>
  <c r="F19" i="12"/>
  <c r="F25" i="12" s="1"/>
  <c r="H83" i="12"/>
  <c r="H119" i="59" s="1"/>
  <c r="H14" i="12"/>
  <c r="J12" i="12"/>
  <c r="R25" i="15"/>
  <c r="R124" i="15" s="1"/>
  <c r="Q53" i="12"/>
  <c r="Q55" i="12" s="1"/>
  <c r="S50" i="12"/>
  <c r="R54" i="12"/>
  <c r="R51" i="12"/>
  <c r="R52" i="12"/>
  <c r="R8" i="16"/>
  <c r="R9" i="16" s="1"/>
  <c r="R20" i="15"/>
  <c r="Q21" i="16"/>
  <c r="Q123" i="16" s="1"/>
  <c r="R25" i="16"/>
  <c r="R124" i="16" s="1"/>
  <c r="R20" i="16"/>
  <c r="R17" i="16"/>
  <c r="P13" i="16"/>
  <c r="P125" i="16" s="1"/>
  <c r="P129" i="16" s="1"/>
  <c r="T22" i="15"/>
  <c r="T24" i="15" s="1"/>
  <c r="S23" i="15"/>
  <c r="Q9" i="15"/>
  <c r="T6" i="15"/>
  <c r="P10" i="15"/>
  <c r="P11" i="15" s="1"/>
  <c r="P39" i="15" s="1"/>
  <c r="P121" i="15" s="1"/>
  <c r="R17" i="15"/>
  <c r="T6" i="16"/>
  <c r="S7" i="16"/>
  <c r="S41" i="16" s="1"/>
  <c r="T14" i="15"/>
  <c r="S19" i="15"/>
  <c r="S16" i="15"/>
  <c r="S15" i="15"/>
  <c r="S18" i="15"/>
  <c r="Q9" i="16"/>
  <c r="R8" i="15"/>
  <c r="S23" i="16"/>
  <c r="T22" i="16"/>
  <c r="T24" i="16" s="1"/>
  <c r="S19" i="16"/>
  <c r="S16" i="16"/>
  <c r="S15" i="16"/>
  <c r="S18" i="16"/>
  <c r="T14" i="16"/>
  <c r="Q21" i="15"/>
  <c r="Q123" i="15" s="1"/>
  <c r="G46" i="12" l="1"/>
  <c r="H49" i="12"/>
  <c r="H45" i="12" s="1"/>
  <c r="E47" i="12"/>
  <c r="J40" i="12"/>
  <c r="J42" i="12" s="1"/>
  <c r="I41" i="12"/>
  <c r="I43" i="12" s="1"/>
  <c r="H48" i="12"/>
  <c r="H44" i="12"/>
  <c r="H122" i="12"/>
  <c r="H216" i="12"/>
  <c r="F47" i="12"/>
  <c r="G41" i="20"/>
  <c r="CF27" i="55"/>
  <c r="U27" i="55"/>
  <c r="AZ27" i="55"/>
  <c r="DL27" i="55" s="1"/>
  <c r="V26" i="55"/>
  <c r="BA26" i="55"/>
  <c r="DM26" i="55" s="1"/>
  <c r="E39" i="19"/>
  <c r="F39" i="14"/>
  <c r="F35" i="14" s="1"/>
  <c r="F37" i="14" s="1"/>
  <c r="F47" i="14"/>
  <c r="F215" i="14"/>
  <c r="G45" i="14"/>
  <c r="G46" i="14"/>
  <c r="Q58" i="14"/>
  <c r="Q59" i="14" s="1"/>
  <c r="G36" i="14"/>
  <c r="E39" i="12"/>
  <c r="D39" i="20"/>
  <c r="F36" i="12"/>
  <c r="E35" i="14"/>
  <c r="G22" i="14"/>
  <c r="G21" i="14"/>
  <c r="I31" i="14"/>
  <c r="I30" i="14"/>
  <c r="I27" i="14"/>
  <c r="I28" i="14"/>
  <c r="G33" i="14"/>
  <c r="R218" i="14"/>
  <c r="R61" i="14"/>
  <c r="R57" i="14" s="1"/>
  <c r="R56" i="14"/>
  <c r="R60" i="14"/>
  <c r="H29" i="14"/>
  <c r="H216" i="14"/>
  <c r="H48" i="14"/>
  <c r="H44" i="14"/>
  <c r="H49" i="14"/>
  <c r="H34" i="14"/>
  <c r="H38" i="14"/>
  <c r="H32" i="14"/>
  <c r="F217" i="14"/>
  <c r="F25" i="14"/>
  <c r="F20" i="14"/>
  <c r="F24" i="14"/>
  <c r="E22" i="12"/>
  <c r="E21" i="12"/>
  <c r="E215" i="12"/>
  <c r="F33" i="12"/>
  <c r="P59" i="12"/>
  <c r="Q60" i="12"/>
  <c r="Q58" i="12" s="1"/>
  <c r="Q56" i="12"/>
  <c r="Q61" i="12"/>
  <c r="Q57" i="12" s="1"/>
  <c r="E92" i="12"/>
  <c r="G38" i="12"/>
  <c r="G34" i="12"/>
  <c r="F24" i="12"/>
  <c r="F20" i="12"/>
  <c r="P131" i="15"/>
  <c r="G29" i="12"/>
  <c r="G32" i="12"/>
  <c r="H31" i="12"/>
  <c r="I26" i="12"/>
  <c r="H30" i="12"/>
  <c r="H28" i="12"/>
  <c r="H27" i="12"/>
  <c r="R54" i="15"/>
  <c r="F217" i="12"/>
  <c r="F102" i="12"/>
  <c r="S34" i="16"/>
  <c r="S33" i="16"/>
  <c r="Q43" i="15"/>
  <c r="S33" i="15"/>
  <c r="S34" i="15"/>
  <c r="Q42" i="19"/>
  <c r="Q112" i="12"/>
  <c r="Q218" i="12"/>
  <c r="P43" i="29"/>
  <c r="P43" i="28"/>
  <c r="P75" i="16"/>
  <c r="Q60" i="16"/>
  <c r="R35" i="16"/>
  <c r="R128" i="16" s="1"/>
  <c r="R40" i="15"/>
  <c r="R122" i="15" s="1"/>
  <c r="R132" i="15" s="1"/>
  <c r="R40" i="16"/>
  <c r="R122" i="16" s="1"/>
  <c r="R132" i="16" s="1"/>
  <c r="J14" i="14"/>
  <c r="J15" i="14" s="1"/>
  <c r="J16" i="14" s="1"/>
  <c r="Q60" i="15"/>
  <c r="S53" i="14"/>
  <c r="S55" i="14" s="1"/>
  <c r="S112" i="14" s="1"/>
  <c r="R35" i="15"/>
  <c r="R128" i="15" s="1"/>
  <c r="H19" i="14"/>
  <c r="H102" i="14" s="1"/>
  <c r="G41" i="19"/>
  <c r="O76" i="16"/>
  <c r="J27" i="14"/>
  <c r="J30" i="14"/>
  <c r="J31" i="14"/>
  <c r="K26" i="14"/>
  <c r="J28" i="14"/>
  <c r="T51" i="14"/>
  <c r="T52" i="14"/>
  <c r="T54" i="14"/>
  <c r="U50" i="14"/>
  <c r="S74" i="15"/>
  <c r="T32" i="15"/>
  <c r="R54" i="16"/>
  <c r="Q41" i="29"/>
  <c r="J13" i="12"/>
  <c r="J83" i="12" s="1"/>
  <c r="J119" i="59" s="1"/>
  <c r="N76" i="16"/>
  <c r="K40" i="14"/>
  <c r="K42" i="14" s="1"/>
  <c r="J41" i="14"/>
  <c r="L12" i="14"/>
  <c r="K13" i="14"/>
  <c r="K83" i="14" s="1"/>
  <c r="S74" i="16"/>
  <c r="P47" i="16"/>
  <c r="O40" i="29"/>
  <c r="Q43" i="16"/>
  <c r="P39" i="29"/>
  <c r="I15" i="14"/>
  <c r="I16" i="14" s="1"/>
  <c r="E40" i="19"/>
  <c r="I43" i="14"/>
  <c r="I122" i="14" s="1"/>
  <c r="T7" i="15"/>
  <c r="T41" i="15" s="1"/>
  <c r="CF33" i="58" s="1"/>
  <c r="T32" i="58" s="1"/>
  <c r="AZ32" i="58" s="1"/>
  <c r="CF32" i="58" s="1"/>
  <c r="Q41" i="28"/>
  <c r="P39" i="28"/>
  <c r="T32" i="16"/>
  <c r="P42" i="20"/>
  <c r="E40" i="20"/>
  <c r="G19" i="12"/>
  <c r="G25" i="12" s="1"/>
  <c r="I83" i="12"/>
  <c r="I119" i="59" s="1"/>
  <c r="I14" i="12"/>
  <c r="H15" i="12"/>
  <c r="H16" i="12" s="1"/>
  <c r="H17" i="12" s="1"/>
  <c r="K12" i="12"/>
  <c r="S25" i="16"/>
  <c r="S124" i="16" s="1"/>
  <c r="R21" i="16"/>
  <c r="R123" i="16" s="1"/>
  <c r="T50" i="12"/>
  <c r="S51" i="12"/>
  <c r="S54" i="12"/>
  <c r="S52" i="12"/>
  <c r="R53" i="12"/>
  <c r="R55" i="12" s="1"/>
  <c r="S20" i="16"/>
  <c r="S17" i="16"/>
  <c r="R21" i="15"/>
  <c r="R123" i="15" s="1"/>
  <c r="S20" i="15"/>
  <c r="S17" i="15"/>
  <c r="S8" i="15"/>
  <c r="S9" i="15" s="1"/>
  <c r="S10" i="15" s="1"/>
  <c r="S11" i="15" s="1"/>
  <c r="S25" i="15"/>
  <c r="S124" i="15" s="1"/>
  <c r="P13" i="15"/>
  <c r="P125" i="15" s="1"/>
  <c r="P129" i="15" s="1"/>
  <c r="R9" i="15"/>
  <c r="Q10" i="15"/>
  <c r="Q11" i="15" s="1"/>
  <c r="Q39" i="15" s="1"/>
  <c r="Q121" i="15" s="1"/>
  <c r="Q10" i="16"/>
  <c r="Q11" i="16" s="1"/>
  <c r="Q39" i="16" s="1"/>
  <c r="Q121" i="16" s="1"/>
  <c r="R10" i="16"/>
  <c r="R11" i="16" s="1"/>
  <c r="R39" i="16" s="1"/>
  <c r="R121" i="16" s="1"/>
  <c r="U14" i="15"/>
  <c r="T19" i="15"/>
  <c r="T16" i="15"/>
  <c r="T18" i="15"/>
  <c r="T15" i="15"/>
  <c r="T23" i="16"/>
  <c r="U22" i="16"/>
  <c r="U24" i="16" s="1"/>
  <c r="U6" i="16"/>
  <c r="T7" i="16"/>
  <c r="T41" i="16" s="1"/>
  <c r="U22" i="15"/>
  <c r="U24" i="15" s="1"/>
  <c r="T23" i="15"/>
  <c r="T18" i="16"/>
  <c r="T15" i="16"/>
  <c r="T19" i="16"/>
  <c r="T16" i="16"/>
  <c r="U14" i="16"/>
  <c r="S8" i="16"/>
  <c r="U6" i="15"/>
  <c r="G47" i="12" l="1"/>
  <c r="I49" i="12"/>
  <c r="I45" i="12" s="1"/>
  <c r="H46" i="12"/>
  <c r="J41" i="12"/>
  <c r="J43" i="12" s="1"/>
  <c r="K40" i="12"/>
  <c r="K42" i="12" s="1"/>
  <c r="I216" i="12"/>
  <c r="I122" i="12"/>
  <c r="H41" i="20"/>
  <c r="I48" i="12"/>
  <c r="I44" i="12"/>
  <c r="W26" i="55"/>
  <c r="BB26" i="55"/>
  <c r="DN26" i="55" s="1"/>
  <c r="CG27" i="55"/>
  <c r="BA27" i="55"/>
  <c r="DM27" i="55" s="1"/>
  <c r="V27" i="55"/>
  <c r="G47" i="14"/>
  <c r="G215" i="14"/>
  <c r="G92" i="14"/>
  <c r="H45" i="14"/>
  <c r="H46" i="14"/>
  <c r="H33" i="14"/>
  <c r="R58" i="14"/>
  <c r="R59" i="14" s="1"/>
  <c r="G23" i="14"/>
  <c r="H36" i="14"/>
  <c r="G39" i="14"/>
  <c r="G36" i="12"/>
  <c r="F39" i="12"/>
  <c r="E35" i="12"/>
  <c r="I34" i="14"/>
  <c r="I38" i="14"/>
  <c r="F21" i="14"/>
  <c r="F22" i="14"/>
  <c r="I32" i="14"/>
  <c r="E37" i="14"/>
  <c r="I29" i="14"/>
  <c r="F39" i="19"/>
  <c r="S218" i="14"/>
  <c r="S61" i="14"/>
  <c r="S57" i="14" s="1"/>
  <c r="S60" i="14"/>
  <c r="S56" i="14"/>
  <c r="J34" i="14"/>
  <c r="I216" i="14"/>
  <c r="I48" i="14"/>
  <c r="I44" i="14"/>
  <c r="I49" i="14"/>
  <c r="J38" i="14"/>
  <c r="H217" i="14"/>
  <c r="H24" i="14"/>
  <c r="H20" i="14"/>
  <c r="H25" i="14"/>
  <c r="E23" i="12"/>
  <c r="F215" i="12"/>
  <c r="F92" i="12"/>
  <c r="F21" i="12"/>
  <c r="E39" i="20"/>
  <c r="F22" i="12"/>
  <c r="Q59" i="12"/>
  <c r="R60" i="12"/>
  <c r="R58" i="12" s="1"/>
  <c r="R56" i="12"/>
  <c r="R61" i="12"/>
  <c r="R57" i="12" s="1"/>
  <c r="H34" i="12"/>
  <c r="H38" i="12"/>
  <c r="G20" i="12"/>
  <c r="G24" i="12"/>
  <c r="G33" i="12"/>
  <c r="Q131" i="15"/>
  <c r="H29" i="12"/>
  <c r="R131" i="16"/>
  <c r="Q131" i="16"/>
  <c r="H32" i="12"/>
  <c r="J26" i="12"/>
  <c r="I31" i="12"/>
  <c r="I28" i="12"/>
  <c r="I27" i="12"/>
  <c r="I30" i="12"/>
  <c r="T34" i="15"/>
  <c r="T33" i="15"/>
  <c r="G217" i="12"/>
  <c r="G102" i="12"/>
  <c r="R43" i="15"/>
  <c r="S54" i="15"/>
  <c r="T34" i="16"/>
  <c r="T33" i="16"/>
  <c r="R112" i="12"/>
  <c r="R218" i="12"/>
  <c r="Q42" i="16"/>
  <c r="Q43" i="29"/>
  <c r="Q43" i="28"/>
  <c r="R60" i="16"/>
  <c r="S40" i="16"/>
  <c r="S122" i="16" s="1"/>
  <c r="S132" i="16" s="1"/>
  <c r="S35" i="15"/>
  <c r="S128" i="15" s="1"/>
  <c r="J43" i="14"/>
  <c r="J122" i="14" s="1"/>
  <c r="R60" i="15"/>
  <c r="R42" i="19"/>
  <c r="R42" i="16"/>
  <c r="S35" i="16"/>
  <c r="S128" i="16" s="1"/>
  <c r="S40" i="15"/>
  <c r="S122" i="15" s="1"/>
  <c r="S132" i="15" s="1"/>
  <c r="T53" i="14"/>
  <c r="T55" i="14" s="1"/>
  <c r="T112" i="14" s="1"/>
  <c r="J32" i="14"/>
  <c r="R43" i="16"/>
  <c r="Q39" i="29"/>
  <c r="L13" i="14"/>
  <c r="L83" i="14" s="1"/>
  <c r="M12" i="14"/>
  <c r="P76" i="16"/>
  <c r="S54" i="16"/>
  <c r="R41" i="29"/>
  <c r="L40" i="14"/>
  <c r="L42" i="14" s="1"/>
  <c r="K41" i="14"/>
  <c r="U54" i="14"/>
  <c r="U51" i="14"/>
  <c r="U52" i="14"/>
  <c r="V50" i="14"/>
  <c r="J29" i="14"/>
  <c r="U32" i="15"/>
  <c r="S39" i="15"/>
  <c r="S121" i="15" s="1"/>
  <c r="H41" i="19"/>
  <c r="K14" i="14"/>
  <c r="T74" i="15"/>
  <c r="K28" i="14"/>
  <c r="K31" i="14"/>
  <c r="K27" i="14"/>
  <c r="K30" i="14"/>
  <c r="L26" i="14"/>
  <c r="G40" i="19"/>
  <c r="K13" i="12"/>
  <c r="K83" i="12" s="1"/>
  <c r="K119" i="59" s="1"/>
  <c r="I17" i="14"/>
  <c r="T74" i="16"/>
  <c r="J17" i="14"/>
  <c r="P47" i="15"/>
  <c r="U7" i="15"/>
  <c r="U41" i="15" s="1"/>
  <c r="CG33" i="58" s="1"/>
  <c r="U32" i="58" s="1"/>
  <c r="BA32" i="58" s="1"/>
  <c r="CG32" i="58" s="1"/>
  <c r="P42" i="15"/>
  <c r="O40" i="28"/>
  <c r="R41" i="28"/>
  <c r="Q39" i="28"/>
  <c r="U32" i="16"/>
  <c r="Q42" i="20"/>
  <c r="F40" i="20"/>
  <c r="H19" i="12"/>
  <c r="H25" i="12" s="1"/>
  <c r="I15" i="12"/>
  <c r="I16" i="12" s="1"/>
  <c r="I17" i="12" s="1"/>
  <c r="L12" i="12"/>
  <c r="J14" i="12"/>
  <c r="T20" i="16"/>
  <c r="S53" i="12"/>
  <c r="S55" i="12" s="1"/>
  <c r="U50" i="12"/>
  <c r="T51" i="12"/>
  <c r="T54" i="12"/>
  <c r="T52" i="12"/>
  <c r="T25" i="15"/>
  <c r="T124" i="15" s="1"/>
  <c r="S21" i="15"/>
  <c r="S123" i="15" s="1"/>
  <c r="S21" i="16"/>
  <c r="S123" i="16" s="1"/>
  <c r="T17" i="15"/>
  <c r="T8" i="15"/>
  <c r="T9" i="15" s="1"/>
  <c r="T10" i="15" s="1"/>
  <c r="T11" i="15" s="1"/>
  <c r="T17" i="16"/>
  <c r="T25" i="16"/>
  <c r="T124" i="16" s="1"/>
  <c r="T8" i="16"/>
  <c r="T9" i="16" s="1"/>
  <c r="R13" i="16"/>
  <c r="R125" i="16" s="1"/>
  <c r="R129" i="16" s="1"/>
  <c r="S13" i="15"/>
  <c r="S125" i="15" s="1"/>
  <c r="U23" i="16"/>
  <c r="V22" i="16"/>
  <c r="V24" i="16" s="1"/>
  <c r="Q13" i="16"/>
  <c r="Q125" i="16" s="1"/>
  <c r="Q129" i="16" s="1"/>
  <c r="U18" i="16"/>
  <c r="U15" i="16"/>
  <c r="U16" i="16"/>
  <c r="U19" i="16"/>
  <c r="V14" i="16"/>
  <c r="V22" i="15"/>
  <c r="V24" i="15" s="1"/>
  <c r="U23" i="15"/>
  <c r="V14" i="15"/>
  <c r="U18" i="15"/>
  <c r="U15" i="15"/>
  <c r="U16" i="15"/>
  <c r="U19" i="15"/>
  <c r="V6" i="15"/>
  <c r="T20" i="15"/>
  <c r="Q13" i="15"/>
  <c r="Q125" i="15" s="1"/>
  <c r="Q129" i="15" s="1"/>
  <c r="R10" i="15"/>
  <c r="R11" i="15" s="1"/>
  <c r="R39" i="15" s="1"/>
  <c r="R121" i="15" s="1"/>
  <c r="S9" i="16"/>
  <c r="U7" i="16"/>
  <c r="U41" i="16" s="1"/>
  <c r="V6" i="16"/>
  <c r="H47" i="12" l="1"/>
  <c r="K41" i="12"/>
  <c r="K43" i="12" s="1"/>
  <c r="L40" i="12"/>
  <c r="L42" i="12" s="1"/>
  <c r="J48" i="12"/>
  <c r="J44" i="12"/>
  <c r="J216" i="12"/>
  <c r="J122" i="12"/>
  <c r="J49" i="12"/>
  <c r="J45" i="12" s="1"/>
  <c r="I41" i="20"/>
  <c r="I46" i="12"/>
  <c r="X26" i="55"/>
  <c r="BC26" i="55"/>
  <c r="DO26" i="55" s="1"/>
  <c r="CH27" i="55"/>
  <c r="W27" i="55"/>
  <c r="BB27" i="55"/>
  <c r="DN27" i="55" s="1"/>
  <c r="H47" i="14"/>
  <c r="H39" i="14"/>
  <c r="H35" i="14" s="1"/>
  <c r="H37" i="14" s="1"/>
  <c r="H92" i="14"/>
  <c r="I45" i="14"/>
  <c r="G39" i="19"/>
  <c r="H215" i="14"/>
  <c r="I46" i="14"/>
  <c r="I33" i="14"/>
  <c r="I92" i="14" s="1"/>
  <c r="S58" i="14"/>
  <c r="S59" i="14" s="1"/>
  <c r="G35" i="14"/>
  <c r="G37" i="14" s="1"/>
  <c r="J36" i="14"/>
  <c r="I36" i="14"/>
  <c r="H36" i="12"/>
  <c r="F35" i="12"/>
  <c r="F37" i="12" s="1"/>
  <c r="K49" i="12"/>
  <c r="K45" i="12" s="1"/>
  <c r="L41" i="12"/>
  <c r="L43" i="12" s="1"/>
  <c r="M40" i="12"/>
  <c r="M42" i="12" s="1"/>
  <c r="E37" i="12"/>
  <c r="G39" i="12"/>
  <c r="H21" i="14"/>
  <c r="F23" i="14"/>
  <c r="H22" i="14"/>
  <c r="K34" i="14"/>
  <c r="T218" i="14"/>
  <c r="T60" i="14"/>
  <c r="T56" i="14"/>
  <c r="T61" i="14"/>
  <c r="T57" i="14" s="1"/>
  <c r="K38" i="14"/>
  <c r="J216" i="14"/>
  <c r="J49" i="14"/>
  <c r="J48" i="14"/>
  <c r="J44" i="14"/>
  <c r="F23" i="12"/>
  <c r="G22" i="12"/>
  <c r="G21" i="12"/>
  <c r="R59" i="12"/>
  <c r="S61" i="12"/>
  <c r="S57" i="12" s="1"/>
  <c r="S60" i="12"/>
  <c r="S58" i="12" s="1"/>
  <c r="S56" i="12"/>
  <c r="I34" i="12"/>
  <c r="H20" i="12"/>
  <c r="H24" i="12"/>
  <c r="I38" i="12"/>
  <c r="G215" i="12"/>
  <c r="G92" i="12"/>
  <c r="F39" i="20"/>
  <c r="R131" i="15"/>
  <c r="S129" i="15"/>
  <c r="S131" i="15"/>
  <c r="H33" i="12"/>
  <c r="I32" i="12"/>
  <c r="J30" i="12"/>
  <c r="J27" i="12"/>
  <c r="J31" i="12"/>
  <c r="K26" i="12"/>
  <c r="J28" i="12"/>
  <c r="I29" i="12"/>
  <c r="U74" i="15"/>
  <c r="U34" i="15"/>
  <c r="U33" i="15"/>
  <c r="S112" i="12"/>
  <c r="S218" i="12"/>
  <c r="H102" i="12"/>
  <c r="H217" i="12"/>
  <c r="S42" i="19"/>
  <c r="T54" i="15"/>
  <c r="K122" i="12"/>
  <c r="K216" i="12"/>
  <c r="S47" i="15"/>
  <c r="S43" i="15"/>
  <c r="U74" i="16"/>
  <c r="U33" i="16"/>
  <c r="U34" i="16"/>
  <c r="R43" i="29"/>
  <c r="S60" i="15"/>
  <c r="T40" i="16"/>
  <c r="T122" i="16" s="1"/>
  <c r="T132" i="16" s="1"/>
  <c r="T40" i="15"/>
  <c r="T122" i="15" s="1"/>
  <c r="T132" i="15" s="1"/>
  <c r="I41" i="19"/>
  <c r="R75" i="16"/>
  <c r="R43" i="28"/>
  <c r="T39" i="15"/>
  <c r="T121" i="15" s="1"/>
  <c r="S60" i="16"/>
  <c r="U53" i="14"/>
  <c r="U55" i="14" s="1"/>
  <c r="U112" i="14" s="1"/>
  <c r="J33" i="14"/>
  <c r="J92" i="14" s="1"/>
  <c r="T35" i="16"/>
  <c r="T128" i="16" s="1"/>
  <c r="T21" i="16"/>
  <c r="T123" i="16" s="1"/>
  <c r="K29" i="14"/>
  <c r="Q47" i="16"/>
  <c r="P40" i="29"/>
  <c r="T54" i="16"/>
  <c r="S41" i="29"/>
  <c r="S43" i="16"/>
  <c r="R39" i="29"/>
  <c r="I19" i="14"/>
  <c r="I102" i="14" s="1"/>
  <c r="K15" i="14"/>
  <c r="K16" i="14" s="1"/>
  <c r="V32" i="15"/>
  <c r="L31" i="14"/>
  <c r="L28" i="14"/>
  <c r="L27" i="14"/>
  <c r="M26" i="14"/>
  <c r="L30" i="14"/>
  <c r="V52" i="14"/>
  <c r="W50" i="14"/>
  <c r="V54" i="14"/>
  <c r="V51" i="14"/>
  <c r="K43" i="14"/>
  <c r="K122" i="14" s="1"/>
  <c r="Q75" i="16"/>
  <c r="R47" i="16"/>
  <c r="Q40" i="29"/>
  <c r="J19" i="14"/>
  <c r="J102" i="14" s="1"/>
  <c r="K32" i="14"/>
  <c r="T35" i="15"/>
  <c r="T128" i="15" s="1"/>
  <c r="L41" i="14"/>
  <c r="M40" i="14"/>
  <c r="M42" i="14" s="1"/>
  <c r="L14" i="14"/>
  <c r="V32" i="16"/>
  <c r="L13" i="12"/>
  <c r="L83" i="12" s="1"/>
  <c r="L119" i="59" s="1"/>
  <c r="M13" i="14"/>
  <c r="M83" i="14" s="1"/>
  <c r="N12" i="14"/>
  <c r="Q47" i="15"/>
  <c r="P75" i="15"/>
  <c r="P76" i="15"/>
  <c r="P40" i="28"/>
  <c r="S41" i="28"/>
  <c r="R39" i="28"/>
  <c r="V7" i="15"/>
  <c r="V41" i="15" s="1"/>
  <c r="CH33" i="58" s="1"/>
  <c r="V32" i="58" s="1"/>
  <c r="BB32" i="58" s="1"/>
  <c r="CH32" i="58" s="1"/>
  <c r="Q42" i="15"/>
  <c r="R40" i="28"/>
  <c r="S42" i="15"/>
  <c r="R42" i="20"/>
  <c r="J41" i="20"/>
  <c r="G40" i="20"/>
  <c r="I19" i="12"/>
  <c r="I25" i="12" s="1"/>
  <c r="K14" i="12"/>
  <c r="K15" i="12" s="1"/>
  <c r="K16" i="12" s="1"/>
  <c r="K17" i="12" s="1"/>
  <c r="J15" i="12"/>
  <c r="J16" i="12" s="1"/>
  <c r="J17" i="12" s="1"/>
  <c r="M12" i="12"/>
  <c r="U20" i="16"/>
  <c r="U25" i="15"/>
  <c r="U124" i="15" s="1"/>
  <c r="T53" i="12"/>
  <c r="T55" i="12" s="1"/>
  <c r="V50" i="12"/>
  <c r="U52" i="12"/>
  <c r="U54" i="12"/>
  <c r="U51" i="12"/>
  <c r="U20" i="15"/>
  <c r="T13" i="15"/>
  <c r="T125" i="15" s="1"/>
  <c r="U8" i="16"/>
  <c r="U9" i="16" s="1"/>
  <c r="U25" i="16"/>
  <c r="U124" i="16" s="1"/>
  <c r="V7" i="16"/>
  <c r="V41" i="16" s="1"/>
  <c r="W6" i="16"/>
  <c r="S10" i="16"/>
  <c r="S11" i="16" s="1"/>
  <c r="S39" i="16" s="1"/>
  <c r="S121" i="16" s="1"/>
  <c r="W6" i="15"/>
  <c r="T10" i="16"/>
  <c r="T11" i="16" s="1"/>
  <c r="T39" i="16" s="1"/>
  <c r="T121" i="16" s="1"/>
  <c r="W22" i="15"/>
  <c r="W24" i="15" s="1"/>
  <c r="V23" i="15"/>
  <c r="V23" i="16"/>
  <c r="W22" i="16"/>
  <c r="W24" i="16" s="1"/>
  <c r="R13" i="15"/>
  <c r="R125" i="15" s="1"/>
  <c r="R129" i="15" s="1"/>
  <c r="T21" i="15"/>
  <c r="T123" i="15" s="1"/>
  <c r="U17" i="15"/>
  <c r="U17" i="16"/>
  <c r="V19" i="16"/>
  <c r="V16" i="16"/>
  <c r="V15" i="16"/>
  <c r="V18" i="16"/>
  <c r="W14" i="16"/>
  <c r="U8" i="15"/>
  <c r="W14" i="15"/>
  <c r="V18" i="15"/>
  <c r="V19" i="15"/>
  <c r="V15" i="15"/>
  <c r="V16" i="15"/>
  <c r="I47" i="12" l="1"/>
  <c r="J46" i="12"/>
  <c r="K44" i="12"/>
  <c r="K48" i="12"/>
  <c r="J47" i="12"/>
  <c r="Y26" i="55"/>
  <c r="BD26" i="55"/>
  <c r="DP26" i="55" s="1"/>
  <c r="CI27" i="55"/>
  <c r="X27" i="55"/>
  <c r="BC27" i="55"/>
  <c r="DO27" i="55" s="1"/>
  <c r="I47" i="14"/>
  <c r="N40" i="12"/>
  <c r="N42" i="12" s="1"/>
  <c r="J45" i="14"/>
  <c r="I215" i="14"/>
  <c r="I39" i="14"/>
  <c r="I35" i="14" s="1"/>
  <c r="I37" i="14" s="1"/>
  <c r="H39" i="19"/>
  <c r="J46" i="14"/>
  <c r="T58" i="14"/>
  <c r="T59" i="14" s="1"/>
  <c r="K36" i="14"/>
  <c r="H23" i="14"/>
  <c r="G23" i="12"/>
  <c r="M41" i="12"/>
  <c r="M43" i="12" s="1"/>
  <c r="K46" i="12"/>
  <c r="L49" i="12"/>
  <c r="L45" i="12" s="1"/>
  <c r="G35" i="12"/>
  <c r="H39" i="12"/>
  <c r="I36" i="12"/>
  <c r="U218" i="14"/>
  <c r="U60" i="14"/>
  <c r="U56" i="14"/>
  <c r="U61" i="14"/>
  <c r="U57" i="14" s="1"/>
  <c r="L38" i="14"/>
  <c r="K216" i="14"/>
  <c r="K48" i="14"/>
  <c r="K44" i="14"/>
  <c r="K49" i="14"/>
  <c r="L34" i="14"/>
  <c r="J215" i="14"/>
  <c r="J39" i="14"/>
  <c r="I217" i="14"/>
  <c r="I24" i="14"/>
  <c r="I20" i="14"/>
  <c r="I25" i="14"/>
  <c r="J217" i="14"/>
  <c r="J25" i="14"/>
  <c r="J24" i="14"/>
  <c r="J20" i="14"/>
  <c r="H22" i="12"/>
  <c r="H21" i="12"/>
  <c r="S59" i="12"/>
  <c r="T56" i="12"/>
  <c r="T61" i="12"/>
  <c r="T57" i="12" s="1"/>
  <c r="T60" i="12"/>
  <c r="T58" i="12" s="1"/>
  <c r="L44" i="12"/>
  <c r="L48" i="12"/>
  <c r="J34" i="12"/>
  <c r="I24" i="12"/>
  <c r="I20" i="12"/>
  <c r="J38" i="12"/>
  <c r="H215" i="12"/>
  <c r="H92" i="12"/>
  <c r="G39" i="20"/>
  <c r="L32" i="14"/>
  <c r="T131" i="15"/>
  <c r="T129" i="15"/>
  <c r="I33" i="12"/>
  <c r="J29" i="12"/>
  <c r="S131" i="16"/>
  <c r="T131" i="16"/>
  <c r="J32" i="12"/>
  <c r="K27" i="12"/>
  <c r="K31" i="12"/>
  <c r="K28" i="12"/>
  <c r="K30" i="12"/>
  <c r="L26" i="12"/>
  <c r="U54" i="15"/>
  <c r="V33" i="15"/>
  <c r="V34" i="15"/>
  <c r="T47" i="15"/>
  <c r="L122" i="12"/>
  <c r="L216" i="12"/>
  <c r="I102" i="12"/>
  <c r="I217" i="12"/>
  <c r="T43" i="15"/>
  <c r="T112" i="12"/>
  <c r="T218" i="12"/>
  <c r="V74" i="16"/>
  <c r="V33" i="16"/>
  <c r="V34" i="16"/>
  <c r="S39" i="29"/>
  <c r="S42" i="16"/>
  <c r="S43" i="29"/>
  <c r="T42" i="16"/>
  <c r="T60" i="16"/>
  <c r="U40" i="16"/>
  <c r="U122" i="16" s="1"/>
  <c r="U132" i="16" s="1"/>
  <c r="K33" i="14"/>
  <c r="K92" i="14" s="1"/>
  <c r="I39" i="19"/>
  <c r="R76" i="16"/>
  <c r="L43" i="14"/>
  <c r="L122" i="14" s="1"/>
  <c r="L29" i="14"/>
  <c r="T43" i="16"/>
  <c r="U35" i="16"/>
  <c r="U128" i="16" s="1"/>
  <c r="U35" i="15"/>
  <c r="U128" i="15" s="1"/>
  <c r="U40" i="15"/>
  <c r="U122" i="15" s="1"/>
  <c r="U132" i="15" s="1"/>
  <c r="O12" i="14"/>
  <c r="N13" i="14"/>
  <c r="N83" i="14" s="1"/>
  <c r="BZ28" i="58" s="1"/>
  <c r="M41" i="14"/>
  <c r="N40" i="14"/>
  <c r="N42" i="14" s="1"/>
  <c r="J41" i="19"/>
  <c r="W51" i="14"/>
  <c r="W52" i="14"/>
  <c r="X50" i="14"/>
  <c r="W54" i="14"/>
  <c r="M31" i="14"/>
  <c r="M28" i="14"/>
  <c r="M27" i="14"/>
  <c r="M30" i="14"/>
  <c r="N26" i="14"/>
  <c r="T42" i="19"/>
  <c r="W32" i="15"/>
  <c r="L15" i="14"/>
  <c r="L16" i="14" s="1"/>
  <c r="I40" i="19"/>
  <c r="V53" i="14"/>
  <c r="V55" i="14" s="1"/>
  <c r="V112" i="14" s="1"/>
  <c r="H40" i="19"/>
  <c r="U54" i="16"/>
  <c r="T41" i="29"/>
  <c r="M13" i="12"/>
  <c r="M83" i="12" s="1"/>
  <c r="M119" i="59" s="1"/>
  <c r="M14" i="14"/>
  <c r="T60" i="15"/>
  <c r="S43" i="28"/>
  <c r="V74" i="15"/>
  <c r="K17" i="14"/>
  <c r="Q76" i="16"/>
  <c r="R47" i="15"/>
  <c r="Q75" i="15"/>
  <c r="Q76" i="15"/>
  <c r="S75" i="15"/>
  <c r="S76" i="15"/>
  <c r="R42" i="15"/>
  <c r="S39" i="28"/>
  <c r="Q40" i="28"/>
  <c r="S40" i="28"/>
  <c r="W7" i="15"/>
  <c r="W41" i="15" s="1"/>
  <c r="CI33" i="58" s="1"/>
  <c r="W32" i="58" s="1"/>
  <c r="BC32" i="58" s="1"/>
  <c r="CI32" i="58" s="1"/>
  <c r="T41" i="28"/>
  <c r="W32" i="16"/>
  <c r="S42" i="20"/>
  <c r="K41" i="20"/>
  <c r="H40" i="20"/>
  <c r="L14" i="12"/>
  <c r="L15" i="12" s="1"/>
  <c r="L16" i="12" s="1"/>
  <c r="L17" i="12" s="1"/>
  <c r="J19" i="12"/>
  <c r="J25" i="12" s="1"/>
  <c r="K19" i="12"/>
  <c r="K25" i="12" s="1"/>
  <c r="N12" i="12"/>
  <c r="U21" i="16"/>
  <c r="U123" i="16" s="1"/>
  <c r="U53" i="12"/>
  <c r="U55" i="12" s="1"/>
  <c r="U21" i="15"/>
  <c r="U123" i="15" s="1"/>
  <c r="V8" i="15"/>
  <c r="V9" i="15" s="1"/>
  <c r="V8" i="16"/>
  <c r="V9" i="16" s="1"/>
  <c r="T42" i="15"/>
  <c r="W50" i="12"/>
  <c r="V52" i="12"/>
  <c r="V51" i="12"/>
  <c r="V54" i="12"/>
  <c r="V25" i="15"/>
  <c r="V124" i="15" s="1"/>
  <c r="V25" i="16"/>
  <c r="V124" i="16" s="1"/>
  <c r="V17" i="16"/>
  <c r="S13" i="16"/>
  <c r="S125" i="16" s="1"/>
  <c r="S129" i="16" s="1"/>
  <c r="X14" i="15"/>
  <c r="W19" i="15"/>
  <c r="W16" i="15"/>
  <c r="W18" i="15"/>
  <c r="W15" i="15"/>
  <c r="W23" i="16"/>
  <c r="X22" i="16"/>
  <c r="X24" i="16" s="1"/>
  <c r="V17" i="15"/>
  <c r="U9" i="15"/>
  <c r="U10" i="15" s="1"/>
  <c r="U11" i="15" s="1"/>
  <c r="U39" i="15" s="1"/>
  <c r="U121" i="15" s="1"/>
  <c r="X6" i="15"/>
  <c r="W19" i="16"/>
  <c r="W16" i="16"/>
  <c r="W18" i="16"/>
  <c r="W15" i="16"/>
  <c r="X14" i="16"/>
  <c r="U10" i="16"/>
  <c r="U11" i="16" s="1"/>
  <c r="U39" i="16" s="1"/>
  <c r="U121" i="16" s="1"/>
  <c r="T13" i="16"/>
  <c r="T125" i="16" s="1"/>
  <c r="T129" i="16" s="1"/>
  <c r="W7" i="16"/>
  <c r="W41" i="16" s="1"/>
  <c r="X6" i="16"/>
  <c r="X22" i="15"/>
  <c r="X24" i="15" s="1"/>
  <c r="W23" i="15"/>
  <c r="V20" i="15"/>
  <c r="V20" i="16"/>
  <c r="Z26" i="55" l="1"/>
  <c r="BE26" i="55"/>
  <c r="DQ26" i="55" s="1"/>
  <c r="N27" i="58"/>
  <c r="BZ10" i="58"/>
  <c r="BZ5" i="58"/>
  <c r="Y27" i="55"/>
  <c r="BD27" i="55"/>
  <c r="DP27" i="55" s="1"/>
  <c r="CJ27" i="55"/>
  <c r="N41" i="12"/>
  <c r="N43" i="12" s="1"/>
  <c r="O40" i="12"/>
  <c r="O42" i="12" s="1"/>
  <c r="J47" i="14"/>
  <c r="K45" i="14"/>
  <c r="K47" i="12"/>
  <c r="K46" i="14"/>
  <c r="U58" i="14"/>
  <c r="U59" i="14" s="1"/>
  <c r="L36" i="14"/>
  <c r="J35" i="14"/>
  <c r="J37" i="14" s="1"/>
  <c r="M49" i="12"/>
  <c r="M45" i="12" s="1"/>
  <c r="L46" i="12"/>
  <c r="H23" i="12"/>
  <c r="G37" i="12"/>
  <c r="I39" i="12"/>
  <c r="J36" i="12"/>
  <c r="H35" i="12"/>
  <c r="J21" i="14"/>
  <c r="I21" i="14"/>
  <c r="I22" i="14"/>
  <c r="J22" i="14"/>
  <c r="V218" i="14"/>
  <c r="V61" i="14"/>
  <c r="V57" i="14" s="1"/>
  <c r="V60" i="14"/>
  <c r="V56" i="14"/>
  <c r="L216" i="14"/>
  <c r="L48" i="14"/>
  <c r="L44" i="14"/>
  <c r="L49" i="14"/>
  <c r="M38" i="14"/>
  <c r="M34" i="14"/>
  <c r="K215" i="14"/>
  <c r="K39" i="14"/>
  <c r="I22" i="12"/>
  <c r="I21" i="12"/>
  <c r="T59" i="12"/>
  <c r="U60" i="12"/>
  <c r="U58" i="12" s="1"/>
  <c r="U56" i="12"/>
  <c r="U61" i="12"/>
  <c r="U57" i="12" s="1"/>
  <c r="M48" i="12"/>
  <c r="M44" i="12"/>
  <c r="K34" i="12"/>
  <c r="K38" i="12"/>
  <c r="K20" i="12"/>
  <c r="K24" i="12"/>
  <c r="J24" i="12"/>
  <c r="J20" i="12"/>
  <c r="L33" i="14"/>
  <c r="L92" i="14" s="1"/>
  <c r="I92" i="12"/>
  <c r="J33" i="12"/>
  <c r="U131" i="15"/>
  <c r="I215" i="12"/>
  <c r="J39" i="19"/>
  <c r="H39" i="20"/>
  <c r="U131" i="16"/>
  <c r="L28" i="12"/>
  <c r="L27" i="12"/>
  <c r="L30" i="12"/>
  <c r="M26" i="12"/>
  <c r="L31" i="12"/>
  <c r="K29" i="12"/>
  <c r="K32" i="12"/>
  <c r="T75" i="16"/>
  <c r="V54" i="15"/>
  <c r="S75" i="16"/>
  <c r="M122" i="12"/>
  <c r="M216" i="12"/>
  <c r="U43" i="15"/>
  <c r="U112" i="12"/>
  <c r="U218" i="12"/>
  <c r="K102" i="12"/>
  <c r="K217" i="12"/>
  <c r="J102" i="12"/>
  <c r="J217" i="12"/>
  <c r="W34" i="16"/>
  <c r="W33" i="16"/>
  <c r="W33" i="15"/>
  <c r="W34" i="15"/>
  <c r="T43" i="29"/>
  <c r="T43" i="28"/>
  <c r="V40" i="16"/>
  <c r="V122" i="16" s="1"/>
  <c r="V132" i="16" s="1"/>
  <c r="U60" i="16"/>
  <c r="U42" i="16"/>
  <c r="U60" i="15"/>
  <c r="V40" i="15"/>
  <c r="V122" i="15" s="1"/>
  <c r="V132" i="15" s="1"/>
  <c r="K41" i="19"/>
  <c r="V35" i="15"/>
  <c r="V128" i="15" s="1"/>
  <c r="M43" i="14"/>
  <c r="M122" i="14" s="1"/>
  <c r="N62" i="14"/>
  <c r="N64" i="14" s="1"/>
  <c r="N14" i="14"/>
  <c r="N15" i="14" s="1"/>
  <c r="M32" i="14"/>
  <c r="M29" i="14"/>
  <c r="V54" i="16"/>
  <c r="U41" i="29"/>
  <c r="M15" i="14"/>
  <c r="U42" i="19"/>
  <c r="X32" i="16"/>
  <c r="U43" i="16"/>
  <c r="T39" i="29"/>
  <c r="L17" i="14"/>
  <c r="W74" i="15"/>
  <c r="X54" i="14"/>
  <c r="X51" i="14"/>
  <c r="X52" i="14"/>
  <c r="Y50" i="14"/>
  <c r="S47" i="16"/>
  <c r="R40" i="29"/>
  <c r="V35" i="16"/>
  <c r="V128" i="16" s="1"/>
  <c r="W74" i="16"/>
  <c r="P12" i="14"/>
  <c r="O13" i="14"/>
  <c r="O83" i="14" s="1"/>
  <c r="CA28" i="58" s="1"/>
  <c r="T47" i="16"/>
  <c r="S40" i="29"/>
  <c r="X32" i="15"/>
  <c r="N13" i="12"/>
  <c r="N83" i="12" s="1"/>
  <c r="N119" i="59" s="1"/>
  <c r="K19" i="14"/>
  <c r="K102" i="14" s="1"/>
  <c r="N30" i="14"/>
  <c r="N28" i="14"/>
  <c r="N27" i="14"/>
  <c r="O26" i="14"/>
  <c r="N31" i="14"/>
  <c r="W53" i="14"/>
  <c r="W55" i="14" s="1"/>
  <c r="W112" i="14" s="1"/>
  <c r="N41" i="14"/>
  <c r="O40" i="14"/>
  <c r="O42" i="14" s="1"/>
  <c r="T75" i="15"/>
  <c r="T76" i="15"/>
  <c r="R75" i="15"/>
  <c r="R76" i="15"/>
  <c r="X7" i="15"/>
  <c r="X41" i="15" s="1"/>
  <c r="CJ33" i="58" s="1"/>
  <c r="X32" i="58" s="1"/>
  <c r="BD32" i="58" s="1"/>
  <c r="CJ32" i="58" s="1"/>
  <c r="U41" i="28"/>
  <c r="T39" i="28"/>
  <c r="T42" i="20"/>
  <c r="L41" i="20"/>
  <c r="I40" i="20"/>
  <c r="J40" i="20"/>
  <c r="L19" i="12"/>
  <c r="L25" i="12" s="1"/>
  <c r="M14" i="12"/>
  <c r="M15" i="12" s="1"/>
  <c r="M16" i="12" s="1"/>
  <c r="M17" i="12" s="1"/>
  <c r="O12" i="12"/>
  <c r="O13" i="12" s="1"/>
  <c r="V53" i="12"/>
  <c r="V55" i="12" s="1"/>
  <c r="V21" i="16"/>
  <c r="V123" i="16" s="1"/>
  <c r="X50" i="12"/>
  <c r="W54" i="12"/>
  <c r="W51" i="12"/>
  <c r="W52" i="12"/>
  <c r="W25" i="16"/>
  <c r="W124" i="16" s="1"/>
  <c r="W25" i="15"/>
  <c r="W124" i="15" s="1"/>
  <c r="W20" i="16"/>
  <c r="W17" i="15"/>
  <c r="V21" i="15"/>
  <c r="V123" i="15" s="1"/>
  <c r="U13" i="16"/>
  <c r="U125" i="16" s="1"/>
  <c r="U129" i="16" s="1"/>
  <c r="U13" i="15"/>
  <c r="U125" i="15" s="1"/>
  <c r="U129" i="15" s="1"/>
  <c r="Y22" i="15"/>
  <c r="Y24" i="15" s="1"/>
  <c r="X23" i="15"/>
  <c r="X23" i="16"/>
  <c r="Y22" i="16"/>
  <c r="Y24" i="16" s="1"/>
  <c r="Y6" i="15"/>
  <c r="X18" i="16"/>
  <c r="X15" i="16"/>
  <c r="X16" i="16"/>
  <c r="X19" i="16"/>
  <c r="Y14" i="16"/>
  <c r="W20" i="15"/>
  <c r="V10" i="16"/>
  <c r="V11" i="16" s="1"/>
  <c r="V39" i="16" s="1"/>
  <c r="V121" i="16" s="1"/>
  <c r="Y14" i="15"/>
  <c r="X19" i="15"/>
  <c r="X16" i="15"/>
  <c r="X15" i="15"/>
  <c r="X18" i="15"/>
  <c r="Y6" i="16"/>
  <c r="X7" i="16"/>
  <c r="X41" i="16" s="1"/>
  <c r="W8" i="16"/>
  <c r="W17" i="16"/>
  <c r="W8" i="15"/>
  <c r="V10" i="15"/>
  <c r="V11" i="15" s="1"/>
  <c r="V39" i="15" s="1"/>
  <c r="V121" i="15" s="1"/>
  <c r="O41" i="12" l="1"/>
  <c r="BE27" i="55"/>
  <c r="DQ27" i="55" s="1"/>
  <c r="CK27" i="55"/>
  <c r="Z27" i="55"/>
  <c r="AT27" i="58"/>
  <c r="N9" i="58"/>
  <c r="N4" i="59" s="1"/>
  <c r="N4" i="58"/>
  <c r="AT4" i="58" s="1"/>
  <c r="BZ4" i="58" s="1"/>
  <c r="O27" i="58"/>
  <c r="CA10" i="58"/>
  <c r="CA5" i="58"/>
  <c r="AA26" i="55"/>
  <c r="BF26" i="55"/>
  <c r="DR26" i="55" s="1"/>
  <c r="P40" i="12"/>
  <c r="P42" i="12" s="1"/>
  <c r="K47" i="14"/>
  <c r="L45" i="14"/>
  <c r="L46" i="14"/>
  <c r="V58" i="14"/>
  <c r="V59" i="14" s="1"/>
  <c r="K35" i="14"/>
  <c r="K37" i="14" s="1"/>
  <c r="M36" i="14"/>
  <c r="N49" i="12"/>
  <c r="N45" i="12" s="1"/>
  <c r="M46" i="12"/>
  <c r="L47" i="12"/>
  <c r="H37" i="12"/>
  <c r="I23" i="12"/>
  <c r="J39" i="12"/>
  <c r="K36" i="12"/>
  <c r="U59" i="12"/>
  <c r="I35" i="12"/>
  <c r="J23" i="14"/>
  <c r="I23" i="14"/>
  <c r="W218" i="14"/>
  <c r="W61" i="14"/>
  <c r="W57" i="14" s="1"/>
  <c r="W60" i="14"/>
  <c r="W56" i="14"/>
  <c r="M216" i="14"/>
  <c r="M48" i="14"/>
  <c r="M44" i="14"/>
  <c r="M49" i="14"/>
  <c r="N34" i="14"/>
  <c r="L215" i="14"/>
  <c r="L39" i="14"/>
  <c r="N38" i="14"/>
  <c r="K217" i="14"/>
  <c r="K25" i="14"/>
  <c r="K24" i="14"/>
  <c r="K20" i="14"/>
  <c r="K39" i="19"/>
  <c r="J22" i="12"/>
  <c r="K22" i="12"/>
  <c r="J21" i="12"/>
  <c r="K21" i="12"/>
  <c r="V60" i="12"/>
  <c r="V58" i="12" s="1"/>
  <c r="V61" i="12"/>
  <c r="V57" i="12" s="1"/>
  <c r="V56" i="12"/>
  <c r="N48" i="12"/>
  <c r="N44" i="12"/>
  <c r="L34" i="12"/>
  <c r="L20" i="12"/>
  <c r="L24" i="12"/>
  <c r="L38" i="12"/>
  <c r="J92" i="12"/>
  <c r="I39" i="20"/>
  <c r="J215" i="12"/>
  <c r="N14" i="12"/>
  <c r="N15" i="12" s="1"/>
  <c r="V131" i="15"/>
  <c r="K33" i="12"/>
  <c r="V131" i="16"/>
  <c r="M27" i="12"/>
  <c r="M31" i="12"/>
  <c r="N26" i="12"/>
  <c r="M28" i="12"/>
  <c r="M30" i="12"/>
  <c r="L32" i="12"/>
  <c r="L29" i="12"/>
  <c r="X74" i="16"/>
  <c r="X34" i="16"/>
  <c r="X33" i="16"/>
  <c r="V43" i="15"/>
  <c r="X74" i="15"/>
  <c r="X34" i="15"/>
  <c r="X33" i="15"/>
  <c r="L102" i="12"/>
  <c r="L217" i="12"/>
  <c r="N122" i="12"/>
  <c r="N216" i="12"/>
  <c r="W54" i="15"/>
  <c r="V112" i="12"/>
  <c r="V218" i="12"/>
  <c r="V60" i="15"/>
  <c r="V42" i="16"/>
  <c r="N63" i="14"/>
  <c r="N65" i="14" s="1"/>
  <c r="N134" i="14" s="1"/>
  <c r="W35" i="16"/>
  <c r="W128" i="16" s="1"/>
  <c r="U75" i="16"/>
  <c r="M33" i="14"/>
  <c r="M92" i="14" s="1"/>
  <c r="U43" i="28"/>
  <c r="W40" i="15"/>
  <c r="W122" i="15" s="1"/>
  <c r="W132" i="15" s="1"/>
  <c r="L41" i="19"/>
  <c r="W40" i="16"/>
  <c r="W122" i="16" s="1"/>
  <c r="X53" i="14"/>
  <c r="X55" i="14" s="1"/>
  <c r="X112" i="14" s="1"/>
  <c r="Y32" i="16"/>
  <c r="V42" i="19"/>
  <c r="O14" i="14"/>
  <c r="U43" i="29"/>
  <c r="V60" i="16"/>
  <c r="S76" i="16"/>
  <c r="Y32" i="15"/>
  <c r="V43" i="16"/>
  <c r="U39" i="29"/>
  <c r="P40" i="14"/>
  <c r="P42" i="14" s="1"/>
  <c r="O41" i="14"/>
  <c r="N32" i="14"/>
  <c r="N82" i="14" s="1"/>
  <c r="N214" i="14" s="1"/>
  <c r="N224" i="14" s="1"/>
  <c r="U47" i="16"/>
  <c r="T40" i="29"/>
  <c r="O28" i="14"/>
  <c r="P26" i="14"/>
  <c r="O27" i="14"/>
  <c r="O30" i="14"/>
  <c r="O31" i="14"/>
  <c r="Q12" i="14"/>
  <c r="P13" i="14"/>
  <c r="P83" i="14" s="1"/>
  <c r="CB28" i="58" s="1"/>
  <c r="Z50" i="14"/>
  <c r="Y54" i="14"/>
  <c r="Y51" i="14"/>
  <c r="Y52" i="14"/>
  <c r="W35" i="15"/>
  <c r="W128" i="15" s="1"/>
  <c r="W54" i="16"/>
  <c r="V41" i="29"/>
  <c r="N43" i="14"/>
  <c r="N122" i="14" s="1"/>
  <c r="N29" i="14"/>
  <c r="J40" i="19"/>
  <c r="T76" i="16"/>
  <c r="O62" i="14"/>
  <c r="L19" i="14"/>
  <c r="L102" i="14" s="1"/>
  <c r="N16" i="14"/>
  <c r="N17" i="14" s="1"/>
  <c r="M16" i="14"/>
  <c r="M17" i="14" s="1"/>
  <c r="U47" i="15"/>
  <c r="Y7" i="15"/>
  <c r="Y41" i="15" s="1"/>
  <c r="CK33" i="58" s="1"/>
  <c r="Y32" i="58" s="1"/>
  <c r="BE32" i="58" s="1"/>
  <c r="CK32" i="58" s="1"/>
  <c r="T40" i="28"/>
  <c r="U39" i="28"/>
  <c r="V41" i="28"/>
  <c r="U42" i="15"/>
  <c r="U42" i="20"/>
  <c r="M41" i="20"/>
  <c r="K40" i="20"/>
  <c r="O83" i="12"/>
  <c r="O119" i="59" s="1"/>
  <c r="M19" i="12"/>
  <c r="M25" i="12" s="1"/>
  <c r="P12" i="12"/>
  <c r="W53" i="12"/>
  <c r="W55" i="12" s="1"/>
  <c r="W21" i="16"/>
  <c r="W123" i="16" s="1"/>
  <c r="Y50" i="12"/>
  <c r="X54" i="12"/>
  <c r="X51" i="12"/>
  <c r="X52" i="12"/>
  <c r="X25" i="16"/>
  <c r="X124" i="16" s="1"/>
  <c r="X25" i="15"/>
  <c r="X124" i="15" s="1"/>
  <c r="X20" i="16"/>
  <c r="X17" i="15"/>
  <c r="X8" i="15"/>
  <c r="X9" i="15" s="1"/>
  <c r="X10" i="15" s="1"/>
  <c r="Y18" i="16"/>
  <c r="Y15" i="16"/>
  <c r="Y19" i="16"/>
  <c r="Y16" i="16"/>
  <c r="Z14" i="16"/>
  <c r="Y23" i="16"/>
  <c r="Z22" i="16"/>
  <c r="Z24" i="16" s="1"/>
  <c r="V13" i="15"/>
  <c r="V125" i="15" s="1"/>
  <c r="V129" i="15" s="1"/>
  <c r="W9" i="16"/>
  <c r="W21" i="15"/>
  <c r="W123" i="15" s="1"/>
  <c r="Z6" i="15"/>
  <c r="W9" i="15"/>
  <c r="W10" i="15" s="1"/>
  <c r="W11" i="15" s="1"/>
  <c r="W39" i="15" s="1"/>
  <c r="W121" i="15" s="1"/>
  <c r="V13" i="16"/>
  <c r="V125" i="16" s="1"/>
  <c r="V129" i="16" s="1"/>
  <c r="Z6" i="16"/>
  <c r="Y7" i="16"/>
  <c r="Y41" i="16" s="1"/>
  <c r="X8" i="16"/>
  <c r="X20" i="15"/>
  <c r="Z14" i="15"/>
  <c r="Y18" i="15"/>
  <c r="Y16" i="15"/>
  <c r="Y19" i="15"/>
  <c r="Y15" i="15"/>
  <c r="X17" i="16"/>
  <c r="Z22" i="15"/>
  <c r="Z24" i="15" s="1"/>
  <c r="Y23" i="15"/>
  <c r="O43" i="12" l="1"/>
  <c r="BG26" i="55"/>
  <c r="DS26" i="55" s="1"/>
  <c r="AB26" i="55"/>
  <c r="BZ27" i="58"/>
  <c r="BZ9" i="58" s="1"/>
  <c r="AT9" i="58"/>
  <c r="AT4" i="59" s="1"/>
  <c r="BZ4" i="59" s="1"/>
  <c r="DF4" i="59" s="1"/>
  <c r="P27" i="58"/>
  <c r="CB10" i="58"/>
  <c r="CB5" i="58"/>
  <c r="CL27" i="55"/>
  <c r="AA27" i="55"/>
  <c r="BF27" i="55"/>
  <c r="DR27" i="55" s="1"/>
  <c r="AU27" i="58"/>
  <c r="O9" i="58"/>
  <c r="O4" i="59" s="1"/>
  <c r="O4" i="58"/>
  <c r="AU4" i="58" s="1"/>
  <c r="CA4" i="58" s="1"/>
  <c r="Q40" i="12"/>
  <c r="Q42" i="12" s="1"/>
  <c r="P41" i="12"/>
  <c r="L47" i="14"/>
  <c r="M45" i="14"/>
  <c r="M46" i="14"/>
  <c r="W58" i="14"/>
  <c r="W59" i="14" s="1"/>
  <c r="L35" i="14"/>
  <c r="L37" i="14" s="1"/>
  <c r="N36" i="14"/>
  <c r="L36" i="12"/>
  <c r="N46" i="12"/>
  <c r="N47" i="12" s="1"/>
  <c r="M47" i="12"/>
  <c r="I37" i="12"/>
  <c r="J23" i="12"/>
  <c r="N71" i="14"/>
  <c r="N66" i="14"/>
  <c r="N70" i="14"/>
  <c r="K39" i="12"/>
  <c r="J35" i="12"/>
  <c r="K21" i="14"/>
  <c r="K22" i="14"/>
  <c r="N220" i="14"/>
  <c r="X218" i="14"/>
  <c r="X60" i="14"/>
  <c r="X56" i="14"/>
  <c r="X61" i="14"/>
  <c r="X57" i="14" s="1"/>
  <c r="N216" i="14"/>
  <c r="N49" i="14"/>
  <c r="N48" i="14"/>
  <c r="N44" i="14"/>
  <c r="O38" i="14"/>
  <c r="M215" i="14"/>
  <c r="M39" i="14"/>
  <c r="O34" i="14"/>
  <c r="L217" i="14"/>
  <c r="L24" i="14"/>
  <c r="L20" i="14"/>
  <c r="L25" i="14"/>
  <c r="L21" i="12"/>
  <c r="L22" i="12"/>
  <c r="K23" i="12"/>
  <c r="V59" i="12"/>
  <c r="W61" i="12"/>
  <c r="W57" i="12" s="1"/>
  <c r="W60" i="12"/>
  <c r="W58" i="12" s="1"/>
  <c r="W56" i="12"/>
  <c r="M34" i="12"/>
  <c r="M38" i="12"/>
  <c r="M24" i="12"/>
  <c r="M20" i="12"/>
  <c r="N28" i="12"/>
  <c r="K92" i="12"/>
  <c r="J39" i="20"/>
  <c r="K215" i="12"/>
  <c r="W131" i="15"/>
  <c r="W132" i="16"/>
  <c r="N31" i="12"/>
  <c r="N27" i="12"/>
  <c r="O26" i="12"/>
  <c r="N30" i="12"/>
  <c r="N62" i="12"/>
  <c r="M32" i="12"/>
  <c r="M29" i="12"/>
  <c r="L33" i="12"/>
  <c r="L39" i="19"/>
  <c r="W43" i="15"/>
  <c r="Y74" i="15"/>
  <c r="Y34" i="15"/>
  <c r="Y33" i="15"/>
  <c r="M102" i="12"/>
  <c r="M217" i="12"/>
  <c r="X54" i="15"/>
  <c r="W112" i="12"/>
  <c r="W218" i="12"/>
  <c r="Y74" i="16"/>
  <c r="Y33" i="16"/>
  <c r="Y34" i="16"/>
  <c r="V43" i="29"/>
  <c r="W60" i="16"/>
  <c r="X40" i="15"/>
  <c r="X122" i="15" s="1"/>
  <c r="X132" i="15" s="1"/>
  <c r="P62" i="14"/>
  <c r="M43" i="19"/>
  <c r="W42" i="19"/>
  <c r="X40" i="16"/>
  <c r="X122" i="16" s="1"/>
  <c r="X132" i="16" s="1"/>
  <c r="X35" i="16"/>
  <c r="X128" i="16" s="1"/>
  <c r="P14" i="14"/>
  <c r="P15" i="14" s="1"/>
  <c r="P16" i="14" s="1"/>
  <c r="P17" i="14" s="1"/>
  <c r="O29" i="14"/>
  <c r="O43" i="14"/>
  <c r="O122" i="14" s="1"/>
  <c r="X35" i="15"/>
  <c r="X128" i="15" s="1"/>
  <c r="N81" i="14"/>
  <c r="N213" i="14" s="1"/>
  <c r="N19" i="14"/>
  <c r="N102" i="14" s="1"/>
  <c r="M19" i="14"/>
  <c r="M102" i="14" s="1"/>
  <c r="X54" i="16"/>
  <c r="W41" i="29"/>
  <c r="M41" i="19"/>
  <c r="W60" i="15"/>
  <c r="V43" i="28"/>
  <c r="P30" i="14"/>
  <c r="P31" i="14"/>
  <c r="Q26" i="14"/>
  <c r="P27" i="14"/>
  <c r="P28" i="14"/>
  <c r="V47" i="16"/>
  <c r="U40" i="29"/>
  <c r="W43" i="16"/>
  <c r="V39" i="29"/>
  <c r="Y53" i="14"/>
  <c r="Y55" i="14" s="1"/>
  <c r="Y112" i="14" s="1"/>
  <c r="P41" i="14"/>
  <c r="Q40" i="14"/>
  <c r="Q42" i="14" s="1"/>
  <c r="O15" i="14"/>
  <c r="Z32" i="15"/>
  <c r="O63" i="14"/>
  <c r="O64" i="14"/>
  <c r="V75" i="16"/>
  <c r="R12" i="14"/>
  <c r="Q13" i="14"/>
  <c r="Q83" i="14" s="1"/>
  <c r="CC28" i="58" s="1"/>
  <c r="O32" i="14"/>
  <c r="U76" i="16"/>
  <c r="N33" i="14"/>
  <c r="N92" i="14" s="1"/>
  <c r="K40" i="19"/>
  <c r="Z52" i="14"/>
  <c r="AA50" i="14"/>
  <c r="Z54" i="14"/>
  <c r="Z51" i="14"/>
  <c r="V47" i="15"/>
  <c r="U75" i="15"/>
  <c r="U76" i="15"/>
  <c r="U40" i="28"/>
  <c r="V39" i="28"/>
  <c r="V42" i="15"/>
  <c r="W41" i="28"/>
  <c r="Z7" i="15"/>
  <c r="Z41" i="15" s="1"/>
  <c r="CL33" i="58" s="1"/>
  <c r="Z32" i="58" s="1"/>
  <c r="BF32" i="58" s="1"/>
  <c r="CL32" i="58" s="1"/>
  <c r="Z32" i="16"/>
  <c r="V42" i="20"/>
  <c r="L40" i="20"/>
  <c r="P13" i="12"/>
  <c r="P83" i="12" s="1"/>
  <c r="P119" i="59" s="1"/>
  <c r="O14" i="12"/>
  <c r="O15" i="12" s="1"/>
  <c r="Q12" i="12"/>
  <c r="X21" i="16"/>
  <c r="X123" i="16" s="1"/>
  <c r="Y25" i="15"/>
  <c r="Y124" i="15" s="1"/>
  <c r="X53" i="12"/>
  <c r="X55" i="12" s="1"/>
  <c r="Z50" i="12"/>
  <c r="Y54" i="12"/>
  <c r="Y52" i="12"/>
  <c r="Y51" i="12"/>
  <c r="Y17" i="15"/>
  <c r="Y20" i="15"/>
  <c r="X21" i="15"/>
  <c r="X123" i="15" s="1"/>
  <c r="Y25" i="16"/>
  <c r="Y124" i="16" s="1"/>
  <c r="W13" i="15"/>
  <c r="W125" i="15" s="1"/>
  <c r="W129" i="15" s="1"/>
  <c r="Y8" i="15"/>
  <c r="Y9" i="15" s="1"/>
  <c r="Y10" i="15" s="1"/>
  <c r="Y11" i="15" s="1"/>
  <c r="Y17" i="16"/>
  <c r="AA14" i="15"/>
  <c r="Z18" i="15"/>
  <c r="Z16" i="15"/>
  <c r="Z19" i="15"/>
  <c r="Z15" i="15"/>
  <c r="Z7" i="16"/>
  <c r="Z41" i="16" s="1"/>
  <c r="AA6" i="16"/>
  <c r="AA6" i="15"/>
  <c r="X11" i="15"/>
  <c r="X39" i="15" s="1"/>
  <c r="X121" i="15" s="1"/>
  <c r="AA22" i="15"/>
  <c r="AA24" i="15" s="1"/>
  <c r="Z23" i="15"/>
  <c r="X9" i="16"/>
  <c r="Y8" i="16"/>
  <c r="W10" i="16"/>
  <c r="W11" i="16" s="1"/>
  <c r="W39" i="16" s="1"/>
  <c r="W121" i="16" s="1"/>
  <c r="W131" i="16" s="1"/>
  <c r="Z23" i="16"/>
  <c r="AA22" i="16"/>
  <c r="AA24" i="16" s="1"/>
  <c r="Z19" i="16"/>
  <c r="Z16" i="16"/>
  <c r="Z18" i="16"/>
  <c r="Z15" i="16"/>
  <c r="AA14" i="16"/>
  <c r="Y20" i="16"/>
  <c r="O49" i="12" l="1"/>
  <c r="O45" i="12" s="1"/>
  <c r="O44" i="12"/>
  <c r="O48" i="12"/>
  <c r="O122" i="12"/>
  <c r="O216" i="12"/>
  <c r="Q41" i="12"/>
  <c r="R40" i="12"/>
  <c r="R42" i="12" s="1"/>
  <c r="P43" i="12"/>
  <c r="N41" i="20"/>
  <c r="BG27" i="55"/>
  <c r="DS27" i="55" s="1"/>
  <c r="CM27" i="55"/>
  <c r="AB27" i="55"/>
  <c r="Q27" i="58"/>
  <c r="CC10" i="58"/>
  <c r="CC5" i="58"/>
  <c r="AC26" i="55"/>
  <c r="BH26" i="55"/>
  <c r="DT26" i="55" s="1"/>
  <c r="CA27" i="58"/>
  <c r="CA9" i="58" s="1"/>
  <c r="AU9" i="58"/>
  <c r="AU4" i="59" s="1"/>
  <c r="CA4" i="59" s="1"/>
  <c r="DG4" i="59" s="1"/>
  <c r="AV27" i="58"/>
  <c r="P9" i="58"/>
  <c r="P4" i="59" s="1"/>
  <c r="P4" i="58"/>
  <c r="AV4" i="58" s="1"/>
  <c r="CB4" i="58" s="1"/>
  <c r="M47" i="14"/>
  <c r="N45" i="14"/>
  <c r="N67" i="14"/>
  <c r="N68" i="14"/>
  <c r="N46" i="14"/>
  <c r="X58" i="14"/>
  <c r="X59" i="14" s="1"/>
  <c r="M35" i="14"/>
  <c r="M37" i="14" s="1"/>
  <c r="O36" i="14"/>
  <c r="J37" i="12"/>
  <c r="L23" i="12"/>
  <c r="K23" i="14"/>
  <c r="L39" i="12"/>
  <c r="K35" i="12"/>
  <c r="M36" i="12"/>
  <c r="L21" i="14"/>
  <c r="L22" i="14"/>
  <c r="Y218" i="14"/>
  <c r="Y60" i="14"/>
  <c r="Y56" i="14"/>
  <c r="Y61" i="14"/>
  <c r="Y57" i="14" s="1"/>
  <c r="P34" i="14"/>
  <c r="P38" i="14"/>
  <c r="O216" i="14"/>
  <c r="O44" i="14"/>
  <c r="O49" i="14"/>
  <c r="O48" i="14"/>
  <c r="N215" i="14"/>
  <c r="N39" i="14"/>
  <c r="N217" i="14"/>
  <c r="N25" i="14"/>
  <c r="N24" i="14"/>
  <c r="N20" i="14"/>
  <c r="M217" i="14"/>
  <c r="M24" i="14"/>
  <c r="M20" i="14"/>
  <c r="M25" i="14"/>
  <c r="M22" i="12"/>
  <c r="M21" i="12"/>
  <c r="W59" i="12"/>
  <c r="X56" i="12"/>
  <c r="X61" i="12"/>
  <c r="X57" i="12" s="1"/>
  <c r="X60" i="12"/>
  <c r="X58" i="12" s="1"/>
  <c r="N38" i="12"/>
  <c r="N34" i="12"/>
  <c r="N32" i="12"/>
  <c r="N16" i="12"/>
  <c r="N17" i="12" s="1"/>
  <c r="N19" i="12" s="1"/>
  <c r="N25" i="12" s="1"/>
  <c r="X131" i="15"/>
  <c r="M33" i="12"/>
  <c r="N29" i="12"/>
  <c r="N223" i="14"/>
  <c r="N166" i="12"/>
  <c r="N63" i="12"/>
  <c r="N64" i="12"/>
  <c r="K39" i="20"/>
  <c r="L92" i="12"/>
  <c r="L215" i="12"/>
  <c r="O27" i="12"/>
  <c r="O28" i="12"/>
  <c r="O31" i="12"/>
  <c r="O30" i="12"/>
  <c r="P26" i="12"/>
  <c r="O62" i="12"/>
  <c r="X112" i="12"/>
  <c r="X218" i="12"/>
  <c r="Z33" i="15"/>
  <c r="Z34" i="15"/>
  <c r="X43" i="15"/>
  <c r="Z33" i="16"/>
  <c r="Z34" i="16"/>
  <c r="Y54" i="15"/>
  <c r="W42" i="16"/>
  <c r="W43" i="29"/>
  <c r="X60" i="15"/>
  <c r="N84" i="14"/>
  <c r="P63" i="14"/>
  <c r="P64" i="14"/>
  <c r="X60" i="16"/>
  <c r="O33" i="14"/>
  <c r="O92" i="14" s="1"/>
  <c r="Y40" i="16"/>
  <c r="Y122" i="16" s="1"/>
  <c r="Y132" i="16" s="1"/>
  <c r="N41" i="19"/>
  <c r="Y40" i="15"/>
  <c r="Y122" i="15" s="1"/>
  <c r="Y132" i="15" s="1"/>
  <c r="O82" i="14"/>
  <c r="O214" i="14" s="1"/>
  <c r="O224" i="14" s="1"/>
  <c r="Z53" i="14"/>
  <c r="Z55" i="14" s="1"/>
  <c r="Z112" i="14" s="1"/>
  <c r="Y35" i="15"/>
  <c r="Y128" i="15" s="1"/>
  <c r="Q14" i="14"/>
  <c r="Q15" i="14" s="1"/>
  <c r="Q16" i="14" s="1"/>
  <c r="Q17" i="14" s="1"/>
  <c r="W43" i="28"/>
  <c r="Y35" i="16"/>
  <c r="Y128" i="16" s="1"/>
  <c r="O65" i="14"/>
  <c r="O134" i="14" s="1"/>
  <c r="P19" i="14"/>
  <c r="P102" i="14" s="1"/>
  <c r="Y39" i="15"/>
  <c r="Y121" i="15" s="1"/>
  <c r="M39" i="19"/>
  <c r="S12" i="14"/>
  <c r="R13" i="14"/>
  <c r="R83" i="14" s="1"/>
  <c r="CD28" i="58" s="1"/>
  <c r="Z74" i="16"/>
  <c r="Q41" i="14"/>
  <c r="R40" i="14"/>
  <c r="R42" i="14" s="1"/>
  <c r="X42" i="19"/>
  <c r="V76" i="16"/>
  <c r="P32" i="14"/>
  <c r="Y54" i="16"/>
  <c r="X41" i="29"/>
  <c r="AA52" i="14"/>
  <c r="AB50" i="14"/>
  <c r="AA54" i="14"/>
  <c r="AA51" i="14"/>
  <c r="P29" i="14"/>
  <c r="M40" i="19"/>
  <c r="X43" i="16"/>
  <c r="W39" i="29"/>
  <c r="AA32" i="15"/>
  <c r="Q62" i="14"/>
  <c r="Z74" i="15"/>
  <c r="O16" i="14"/>
  <c r="O17" i="14" s="1"/>
  <c r="P43" i="14"/>
  <c r="P122" i="14" s="1"/>
  <c r="Q27" i="14"/>
  <c r="Q30" i="14"/>
  <c r="R26" i="14"/>
  <c r="Q31" i="14"/>
  <c r="Q28" i="14"/>
  <c r="L40" i="19"/>
  <c r="W47" i="15"/>
  <c r="V75" i="15"/>
  <c r="V76" i="15"/>
  <c r="V40" i="28"/>
  <c r="W39" i="28"/>
  <c r="X41" i="28"/>
  <c r="AA7" i="15"/>
  <c r="AA41" i="15" s="1"/>
  <c r="CM33" i="58" s="1"/>
  <c r="AA32" i="58" s="1"/>
  <c r="BG32" i="58" s="1"/>
  <c r="CM32" i="58" s="1"/>
  <c r="W42" i="15"/>
  <c r="AA32" i="16"/>
  <c r="W42" i="20"/>
  <c r="Q13" i="12"/>
  <c r="Q83" i="12" s="1"/>
  <c r="Q119" i="59" s="1"/>
  <c r="O16" i="12"/>
  <c r="O17" i="12" s="1"/>
  <c r="R12" i="12"/>
  <c r="P14" i="12"/>
  <c r="Y21" i="15"/>
  <c r="Y123" i="15" s="1"/>
  <c r="Y53" i="12"/>
  <c r="Y55" i="12" s="1"/>
  <c r="AA50" i="12"/>
  <c r="Z51" i="12"/>
  <c r="Z52" i="12"/>
  <c r="Z54" i="12"/>
  <c r="Z25" i="15"/>
  <c r="Z124" i="15" s="1"/>
  <c r="Z25" i="16"/>
  <c r="Z124" i="16" s="1"/>
  <c r="Z20" i="16"/>
  <c r="Z20" i="15"/>
  <c r="Z8" i="15"/>
  <c r="Z9" i="15" s="1"/>
  <c r="Z10" i="15" s="1"/>
  <c r="Z11" i="15" s="1"/>
  <c r="Z8" i="16"/>
  <c r="Z9" i="16" s="1"/>
  <c r="Z17" i="15"/>
  <c r="W13" i="16"/>
  <c r="W125" i="16" s="1"/>
  <c r="W129" i="16" s="1"/>
  <c r="Y13" i="15"/>
  <c r="Y125" i="15" s="1"/>
  <c r="AB14" i="15"/>
  <c r="AA19" i="15"/>
  <c r="AA16" i="15"/>
  <c r="AA18" i="15"/>
  <c r="AA15" i="15"/>
  <c r="Y9" i="16"/>
  <c r="X10" i="16"/>
  <c r="X11" i="16" s="1"/>
  <c r="X39" i="16" s="1"/>
  <c r="X121" i="16" s="1"/>
  <c r="AB22" i="15"/>
  <c r="AB24" i="15" s="1"/>
  <c r="AA23" i="15"/>
  <c r="AB6" i="15"/>
  <c r="AB6" i="16"/>
  <c r="AA7" i="16"/>
  <c r="AA41" i="16" s="1"/>
  <c r="Y21" i="16"/>
  <c r="Y123" i="16" s="1"/>
  <c r="AA19" i="16"/>
  <c r="AA16" i="16"/>
  <c r="AA15" i="16"/>
  <c r="AA18" i="16"/>
  <c r="AB14" i="16"/>
  <c r="Z17" i="16"/>
  <c r="AA23" i="16"/>
  <c r="AB22" i="16"/>
  <c r="AB24" i="16" s="1"/>
  <c r="X13" i="15"/>
  <c r="X125" i="15" s="1"/>
  <c r="X129" i="15" s="1"/>
  <c r="O46" i="12" l="1"/>
  <c r="P49" i="12"/>
  <c r="P45" i="12" s="1"/>
  <c r="P216" i="12"/>
  <c r="P122" i="12"/>
  <c r="Q43" i="12"/>
  <c r="P44" i="12"/>
  <c r="P48" i="12"/>
  <c r="O41" i="20"/>
  <c r="R41" i="12"/>
  <c r="S40" i="12"/>
  <c r="S42" i="12" s="1"/>
  <c r="O47" i="12"/>
  <c r="CB27" i="58"/>
  <c r="CB9" i="58" s="1"/>
  <c r="AV9" i="58"/>
  <c r="AV4" i="59" s="1"/>
  <c r="CB4" i="59" s="1"/>
  <c r="DH4" i="59" s="1"/>
  <c r="Q9" i="58"/>
  <c r="Q4" i="59" s="1"/>
  <c r="AW27" i="58"/>
  <c r="Q4" i="58"/>
  <c r="AW4" i="58" s="1"/>
  <c r="CC4" i="58" s="1"/>
  <c r="AD26" i="55"/>
  <c r="BI26" i="55"/>
  <c r="DU26" i="55" s="1"/>
  <c r="AC27" i="55"/>
  <c r="CN27" i="55"/>
  <c r="BH27" i="55"/>
  <c r="DT27" i="55" s="1"/>
  <c r="R27" i="58"/>
  <c r="CD10" i="58"/>
  <c r="CD5" i="58"/>
  <c r="N69" i="14"/>
  <c r="N85" i="14"/>
  <c r="N47" i="14"/>
  <c r="O45" i="14"/>
  <c r="O46" i="14"/>
  <c r="Y58" i="14"/>
  <c r="Y59" i="14" s="1"/>
  <c r="N35" i="14"/>
  <c r="N37" i="14" s="1"/>
  <c r="P36" i="14"/>
  <c r="K37" i="12"/>
  <c r="M23" i="12"/>
  <c r="N36" i="12"/>
  <c r="L35" i="12"/>
  <c r="O71" i="14"/>
  <c r="O70" i="14"/>
  <c r="O66" i="14"/>
  <c r="M39" i="12"/>
  <c r="M21" i="14"/>
  <c r="N22" i="14"/>
  <c r="N87" i="14" s="1"/>
  <c r="N89" i="14"/>
  <c r="M22" i="14"/>
  <c r="N21" i="14"/>
  <c r="N90" i="14"/>
  <c r="L23" i="14"/>
  <c r="O220" i="14"/>
  <c r="Z218" i="14"/>
  <c r="Z61" i="14"/>
  <c r="Z57" i="14" s="1"/>
  <c r="Z60" i="14"/>
  <c r="Z56" i="14"/>
  <c r="Q38" i="14"/>
  <c r="P216" i="14"/>
  <c r="P48" i="14"/>
  <c r="P44" i="14"/>
  <c r="P49" i="14"/>
  <c r="N221" i="14"/>
  <c r="Q34" i="14"/>
  <c r="O215" i="14"/>
  <c r="O39" i="14"/>
  <c r="P217" i="14"/>
  <c r="P24" i="14"/>
  <c r="P20" i="14"/>
  <c r="P25" i="14"/>
  <c r="X59" i="12"/>
  <c r="Y60" i="12"/>
  <c r="Y58" i="12" s="1"/>
  <c r="Y56" i="12"/>
  <c r="Y61" i="12"/>
  <c r="Y57" i="12" s="1"/>
  <c r="N33" i="12"/>
  <c r="O34" i="12"/>
  <c r="O38" i="12"/>
  <c r="N20" i="12"/>
  <c r="N24" i="12"/>
  <c r="L39" i="20"/>
  <c r="N82" i="12"/>
  <c r="M215" i="12"/>
  <c r="M92" i="12"/>
  <c r="N217" i="12"/>
  <c r="M40" i="20"/>
  <c r="N102" i="12"/>
  <c r="Y131" i="15"/>
  <c r="Y129" i="15"/>
  <c r="N81" i="12"/>
  <c r="O32" i="12"/>
  <c r="X131" i="16"/>
  <c r="O166" i="12"/>
  <c r="O64" i="12"/>
  <c r="O63" i="12"/>
  <c r="P28" i="12"/>
  <c r="P31" i="12"/>
  <c r="P30" i="12"/>
  <c r="P27" i="12"/>
  <c r="Q26" i="12"/>
  <c r="P62" i="12"/>
  <c r="O29" i="12"/>
  <c r="N65" i="12"/>
  <c r="AA34" i="16"/>
  <c r="AA33" i="16"/>
  <c r="Y112" i="12"/>
  <c r="Y218" i="12"/>
  <c r="Y47" i="15"/>
  <c r="Z54" i="15"/>
  <c r="Y43" i="15"/>
  <c r="AA33" i="15"/>
  <c r="AA34" i="15"/>
  <c r="Y60" i="16"/>
  <c r="X42" i="16"/>
  <c r="Y60" i="15"/>
  <c r="P65" i="14"/>
  <c r="P134" i="14" s="1"/>
  <c r="Z40" i="15"/>
  <c r="Z122" i="15" s="1"/>
  <c r="Z132" i="15" s="1"/>
  <c r="N39" i="19"/>
  <c r="Z40" i="16"/>
  <c r="Z122" i="16" s="1"/>
  <c r="Z132" i="16" s="1"/>
  <c r="P82" i="14"/>
  <c r="P214" i="14" s="1"/>
  <c r="P224" i="14" s="1"/>
  <c r="Z35" i="16"/>
  <c r="Z128" i="16" s="1"/>
  <c r="X43" i="29"/>
  <c r="AA53" i="14"/>
  <c r="AA55" i="14" s="1"/>
  <c r="AA112" i="14" s="1"/>
  <c r="X43" i="28"/>
  <c r="P33" i="14"/>
  <c r="P92" i="14" s="1"/>
  <c r="Q29" i="14"/>
  <c r="Z35" i="15"/>
  <c r="Z128" i="15" s="1"/>
  <c r="N43" i="19"/>
  <c r="Z39" i="15"/>
  <c r="Z121" i="15" s="1"/>
  <c r="O81" i="14"/>
  <c r="O213" i="14" s="1"/>
  <c r="O19" i="14"/>
  <c r="O102" i="14" s="1"/>
  <c r="Q19" i="14"/>
  <c r="Q102" i="14" s="1"/>
  <c r="AB32" i="16"/>
  <c r="Z54" i="16"/>
  <c r="Y41" i="29"/>
  <c r="R14" i="14"/>
  <c r="O40" i="19"/>
  <c r="Q43" i="14"/>
  <c r="Q122" i="14" s="1"/>
  <c r="T12" i="14"/>
  <c r="S13" i="14"/>
  <c r="S83" i="14" s="1"/>
  <c r="CE28" i="58" s="1"/>
  <c r="Y42" i="19"/>
  <c r="AA74" i="16"/>
  <c r="P81" i="14"/>
  <c r="P213" i="14" s="1"/>
  <c r="W47" i="16"/>
  <c r="V40" i="29"/>
  <c r="R27" i="14"/>
  <c r="R31" i="14"/>
  <c r="S26" i="14"/>
  <c r="R28" i="14"/>
  <c r="R30" i="14"/>
  <c r="Q63" i="14"/>
  <c r="Q64" i="14"/>
  <c r="AA74" i="15"/>
  <c r="AC50" i="14"/>
  <c r="AB51" i="14"/>
  <c r="AB52" i="14"/>
  <c r="AB54" i="14"/>
  <c r="W75" i="16"/>
  <c r="Y43" i="16"/>
  <c r="X39" i="29"/>
  <c r="AB32" i="15"/>
  <c r="Q32" i="14"/>
  <c r="O41" i="19"/>
  <c r="S40" i="14"/>
  <c r="S42" i="14" s="1"/>
  <c r="R41" i="14"/>
  <c r="R62" i="14"/>
  <c r="X47" i="15"/>
  <c r="W75" i="15"/>
  <c r="W76" i="15"/>
  <c r="W40" i="28"/>
  <c r="Y41" i="28"/>
  <c r="X42" i="15"/>
  <c r="X40" i="28"/>
  <c r="AB7" i="15"/>
  <c r="AB41" i="15" s="1"/>
  <c r="CN33" i="58" s="1"/>
  <c r="AB32" i="58" s="1"/>
  <c r="BH32" i="58" s="1"/>
  <c r="CN32" i="58" s="1"/>
  <c r="Y42" i="15"/>
  <c r="X39" i="28"/>
  <c r="X42" i="20"/>
  <c r="R13" i="12"/>
  <c r="R83" i="12" s="1"/>
  <c r="R119" i="59" s="1"/>
  <c r="Q14" i="12"/>
  <c r="O19" i="12"/>
  <c r="O25" i="12" s="1"/>
  <c r="P15" i="12"/>
  <c r="P16" i="12" s="1"/>
  <c r="P17" i="12" s="1"/>
  <c r="S12" i="12"/>
  <c r="AA17" i="16"/>
  <c r="AA8" i="16"/>
  <c r="AA9" i="16" s="1"/>
  <c r="AA25" i="15"/>
  <c r="AA124" i="15" s="1"/>
  <c r="Z21" i="16"/>
  <c r="Z123" i="16" s="1"/>
  <c r="AB50" i="12"/>
  <c r="AA54" i="12"/>
  <c r="AA52" i="12"/>
  <c r="AA51" i="12"/>
  <c r="Z53" i="12"/>
  <c r="Z55" i="12" s="1"/>
  <c r="AA25" i="16"/>
  <c r="AA124" i="16" s="1"/>
  <c r="AA8" i="15"/>
  <c r="AA9" i="15" s="1"/>
  <c r="Z21" i="15"/>
  <c r="Z123" i="15" s="1"/>
  <c r="Z13" i="15"/>
  <c r="Z125" i="15" s="1"/>
  <c r="AA20" i="16"/>
  <c r="AB7" i="16"/>
  <c r="AB41" i="16" s="1"/>
  <c r="AC6" i="16"/>
  <c r="X13" i="16"/>
  <c r="X125" i="16" s="1"/>
  <c r="X129" i="16" s="1"/>
  <c r="AA17" i="15"/>
  <c r="AC14" i="15"/>
  <c r="AB19" i="15"/>
  <c r="AB16" i="15"/>
  <c r="AB18" i="15"/>
  <c r="AB15" i="15"/>
  <c r="AB18" i="16"/>
  <c r="AB15" i="16"/>
  <c r="AB19" i="16"/>
  <c r="AB16" i="16"/>
  <c r="AC14" i="16"/>
  <c r="Y10" i="16"/>
  <c r="Y11" i="16" s="1"/>
  <c r="Y39" i="16" s="1"/>
  <c r="Y121" i="16" s="1"/>
  <c r="Z10" i="16"/>
  <c r="Z11" i="16" s="1"/>
  <c r="Z39" i="16" s="1"/>
  <c r="Z121" i="16" s="1"/>
  <c r="AB23" i="16"/>
  <c r="AC22" i="16"/>
  <c r="AC24" i="16" s="1"/>
  <c r="AC6" i="15"/>
  <c r="AC22" i="15"/>
  <c r="AC24" i="15" s="1"/>
  <c r="AB23" i="15"/>
  <c r="AA20" i="15"/>
  <c r="P41" i="20" l="1"/>
  <c r="Q49" i="12"/>
  <c r="P46" i="12"/>
  <c r="Q122" i="12"/>
  <c r="Q216" i="12"/>
  <c r="Q48" i="12"/>
  <c r="Q44" i="12"/>
  <c r="S41" i="12"/>
  <c r="T40" i="12"/>
  <c r="T42" i="12" s="1"/>
  <c r="R43" i="12"/>
  <c r="BJ26" i="55"/>
  <c r="DV26" i="55" s="1"/>
  <c r="AE26" i="55"/>
  <c r="S27" i="58"/>
  <c r="CE10" i="58"/>
  <c r="CE5" i="58"/>
  <c r="CC27" i="58"/>
  <c r="CC9" i="58" s="1"/>
  <c r="AW9" i="58"/>
  <c r="AW4" i="59" s="1"/>
  <c r="CC4" i="59" s="1"/>
  <c r="DI4" i="59" s="1"/>
  <c r="AX27" i="58"/>
  <c r="R9" i="58"/>
  <c r="R4" i="59" s="1"/>
  <c r="R4" i="58"/>
  <c r="AX4" i="58" s="1"/>
  <c r="CD4" i="58" s="1"/>
  <c r="CO27" i="55"/>
  <c r="AD27" i="55"/>
  <c r="BI27" i="55"/>
  <c r="DU27" i="55" s="1"/>
  <c r="O47" i="14"/>
  <c r="M23" i="14"/>
  <c r="N86" i="14"/>
  <c r="P45" i="14"/>
  <c r="O67" i="14"/>
  <c r="O68" i="14"/>
  <c r="P46" i="14"/>
  <c r="Z58" i="14"/>
  <c r="Z59" i="14" s="1"/>
  <c r="O35" i="14"/>
  <c r="O37" i="14" s="1"/>
  <c r="Q36" i="14"/>
  <c r="N214" i="12"/>
  <c r="N224" i="12" s="1"/>
  <c r="O36" i="12"/>
  <c r="P47" i="12"/>
  <c r="L37" i="12"/>
  <c r="M35" i="12"/>
  <c r="N66" i="12"/>
  <c r="N71" i="12"/>
  <c r="N70" i="12"/>
  <c r="N39" i="12"/>
  <c r="Y59" i="12"/>
  <c r="P66" i="14"/>
  <c r="P71" i="14"/>
  <c r="P70" i="14"/>
  <c r="P21" i="14"/>
  <c r="N23" i="14"/>
  <c r="P22" i="14"/>
  <c r="P220" i="14"/>
  <c r="AA218" i="14"/>
  <c r="AA61" i="14"/>
  <c r="AA57" i="14" s="1"/>
  <c r="AA60" i="14"/>
  <c r="AA56" i="14"/>
  <c r="R34" i="14"/>
  <c r="Q216" i="14"/>
  <c r="Q48" i="14"/>
  <c r="Q44" i="14"/>
  <c r="Q49" i="14"/>
  <c r="P215" i="14"/>
  <c r="P39" i="14"/>
  <c r="R38" i="14"/>
  <c r="O217" i="14"/>
  <c r="O221" i="14" s="1"/>
  <c r="O24" i="14"/>
  <c r="O20" i="14"/>
  <c r="O25" i="14"/>
  <c r="Q217" i="14"/>
  <c r="Q24" i="14"/>
  <c r="Q20" i="14"/>
  <c r="Q25" i="14"/>
  <c r="N21" i="12"/>
  <c r="N22" i="12"/>
  <c r="N215" i="12"/>
  <c r="Z60" i="12"/>
  <c r="Z58" i="12" s="1"/>
  <c r="Z56" i="12"/>
  <c r="Z61" i="12"/>
  <c r="Z57" i="12" s="1"/>
  <c r="M39" i="20"/>
  <c r="N92" i="12"/>
  <c r="P34" i="12"/>
  <c r="O20" i="12"/>
  <c r="O24" i="12"/>
  <c r="P38" i="12"/>
  <c r="N84" i="12"/>
  <c r="N213" i="12"/>
  <c r="N223" i="12" s="1"/>
  <c r="Z129" i="15"/>
  <c r="Z131" i="15"/>
  <c r="O65" i="12"/>
  <c r="O81" i="12"/>
  <c r="O213" i="12" s="1"/>
  <c r="O33" i="12"/>
  <c r="O82" i="12"/>
  <c r="P223" i="14"/>
  <c r="O223" i="14"/>
  <c r="Y131" i="16"/>
  <c r="Z131" i="16"/>
  <c r="P29" i="12"/>
  <c r="N134" i="12"/>
  <c r="N220" i="12"/>
  <c r="M43" i="20"/>
  <c r="Q27" i="12"/>
  <c r="Q31" i="12"/>
  <c r="R26" i="12"/>
  <c r="Q30" i="12"/>
  <c r="Q28" i="12"/>
  <c r="Q62" i="12"/>
  <c r="P32" i="12"/>
  <c r="P166" i="12"/>
  <c r="P64" i="12"/>
  <c r="P63" i="12"/>
  <c r="Z47" i="15"/>
  <c r="Z43" i="15"/>
  <c r="O217" i="12"/>
  <c r="O102" i="12"/>
  <c r="AB34" i="15"/>
  <c r="AB33" i="15"/>
  <c r="X75" i="16"/>
  <c r="Z218" i="12"/>
  <c r="Z112" i="12"/>
  <c r="AA54" i="15"/>
  <c r="AB74" i="16"/>
  <c r="AB34" i="16"/>
  <c r="AB33" i="16"/>
  <c r="Y43" i="29"/>
  <c r="Y42" i="16"/>
  <c r="Y43" i="28"/>
  <c r="Z42" i="16"/>
  <c r="O84" i="14"/>
  <c r="O43" i="19"/>
  <c r="Z60" i="16"/>
  <c r="O39" i="19"/>
  <c r="P84" i="14"/>
  <c r="AA35" i="16"/>
  <c r="AA128" i="16" s="1"/>
  <c r="AA40" i="15"/>
  <c r="AA122" i="15" s="1"/>
  <c r="AA132" i="15" s="1"/>
  <c r="AA40" i="16"/>
  <c r="AA122" i="16" s="1"/>
  <c r="AA132" i="16" s="1"/>
  <c r="Q33" i="14"/>
  <c r="Q92" i="14" s="1"/>
  <c r="Q81" i="14"/>
  <c r="Q213" i="14" s="1"/>
  <c r="Z60" i="15"/>
  <c r="Z42" i="19"/>
  <c r="AA35" i="15"/>
  <c r="AA128" i="15" s="1"/>
  <c r="AB53" i="14"/>
  <c r="AB55" i="14" s="1"/>
  <c r="AB112" i="14" s="1"/>
  <c r="R29" i="14"/>
  <c r="Q65" i="14"/>
  <c r="Q134" i="14" s="1"/>
  <c r="AD50" i="14"/>
  <c r="AC54" i="14"/>
  <c r="AC51" i="14"/>
  <c r="AC52" i="14"/>
  <c r="N40" i="19"/>
  <c r="R43" i="14"/>
  <c r="R122" i="14" s="1"/>
  <c r="R32" i="14"/>
  <c r="U12" i="14"/>
  <c r="T13" i="14"/>
  <c r="T83" i="14" s="1"/>
  <c r="CF28" i="58" s="1"/>
  <c r="AC32" i="15"/>
  <c r="AA54" i="16"/>
  <c r="Z41" i="29"/>
  <c r="AB74" i="15"/>
  <c r="Q82" i="14"/>
  <c r="Q214" i="14" s="1"/>
  <c r="Q224" i="14" s="1"/>
  <c r="S14" i="14"/>
  <c r="P40" i="19"/>
  <c r="X47" i="16"/>
  <c r="W40" i="29"/>
  <c r="Z43" i="16"/>
  <c r="Y39" i="29"/>
  <c r="R63" i="14"/>
  <c r="R64" i="14"/>
  <c r="T40" i="14"/>
  <c r="T42" i="14" s="1"/>
  <c r="S41" i="14"/>
  <c r="S28" i="14"/>
  <c r="S27" i="14"/>
  <c r="T26" i="14"/>
  <c r="S30" i="14"/>
  <c r="S31" i="14"/>
  <c r="W76" i="16"/>
  <c r="S62" i="14"/>
  <c r="P41" i="19"/>
  <c r="R15" i="14"/>
  <c r="R16" i="14" s="1"/>
  <c r="R17" i="14" s="1"/>
  <c r="Y75" i="15"/>
  <c r="Y76" i="15"/>
  <c r="X75" i="15"/>
  <c r="X76" i="15"/>
  <c r="AC7" i="15"/>
  <c r="AC41" i="15" s="1"/>
  <c r="CO33" i="58" s="1"/>
  <c r="AC32" i="58" s="1"/>
  <c r="BI32" i="58" s="1"/>
  <c r="CO32" i="58" s="1"/>
  <c r="Y40" i="28"/>
  <c r="Z42" i="15"/>
  <c r="Z41" i="28"/>
  <c r="Y39" i="28"/>
  <c r="AC32" i="16"/>
  <c r="Y42" i="20"/>
  <c r="N40" i="20"/>
  <c r="S13" i="12"/>
  <c r="S83" i="12" s="1"/>
  <c r="S119" i="59" s="1"/>
  <c r="P19" i="12"/>
  <c r="P25" i="12" s="1"/>
  <c r="T12" i="12"/>
  <c r="Q15" i="12"/>
  <c r="Q16" i="12" s="1"/>
  <c r="Q17" i="12" s="1"/>
  <c r="AA21" i="16"/>
  <c r="AA123" i="16" s="1"/>
  <c r="R14" i="12"/>
  <c r="R15" i="12" s="1"/>
  <c r="R16" i="12" s="1"/>
  <c r="R17" i="12" s="1"/>
  <c r="AA53" i="12"/>
  <c r="AA55" i="12" s="1"/>
  <c r="AC50" i="12"/>
  <c r="AB52" i="12"/>
  <c r="AB51" i="12"/>
  <c r="AB54" i="12"/>
  <c r="AB25" i="15"/>
  <c r="AB124" i="15" s="1"/>
  <c r="AB8" i="15"/>
  <c r="AB9" i="15" s="1"/>
  <c r="AB8" i="16"/>
  <c r="AB9" i="16" s="1"/>
  <c r="AB17" i="15"/>
  <c r="AB25" i="16"/>
  <c r="AB124" i="16" s="1"/>
  <c r="AA10" i="15"/>
  <c r="AA11" i="15" s="1"/>
  <c r="AA39" i="15" s="1"/>
  <c r="AA121" i="15" s="1"/>
  <c r="AA131" i="15" s="1"/>
  <c r="AD22" i="15"/>
  <c r="AD24" i="15" s="1"/>
  <c r="AC23" i="15"/>
  <c r="AC23" i="16"/>
  <c r="AD22" i="16"/>
  <c r="AD24" i="16" s="1"/>
  <c r="AD14" i="15"/>
  <c r="AC18" i="15"/>
  <c r="AC19" i="15"/>
  <c r="AC16" i="15"/>
  <c r="AC15" i="15"/>
  <c r="AC7" i="16"/>
  <c r="AC41" i="16" s="1"/>
  <c r="AD6" i="16"/>
  <c r="Z13" i="16"/>
  <c r="Z125" i="16" s="1"/>
  <c r="Z129" i="16" s="1"/>
  <c r="AB17" i="16"/>
  <c r="AB20" i="15"/>
  <c r="AA21" i="15"/>
  <c r="AA123" i="15" s="1"/>
  <c r="AD6" i="15"/>
  <c r="Y13" i="16"/>
  <c r="Y125" i="16" s="1"/>
  <c r="Y129" i="16" s="1"/>
  <c r="AA10" i="16"/>
  <c r="AA11" i="16" s="1"/>
  <c r="AA39" i="16" s="1"/>
  <c r="AA121" i="16" s="1"/>
  <c r="AC18" i="16"/>
  <c r="AC15" i="16"/>
  <c r="AC16" i="16"/>
  <c r="AC19" i="16"/>
  <c r="AD14" i="16"/>
  <c r="AB20" i="16"/>
  <c r="Q45" i="12" l="1"/>
  <c r="Q46" i="12"/>
  <c r="Q41" i="20"/>
  <c r="S43" i="12"/>
  <c r="R122" i="12"/>
  <c r="R216" i="12"/>
  <c r="U40" i="12"/>
  <c r="U42" i="12" s="1"/>
  <c r="T41" i="12"/>
  <c r="R49" i="12"/>
  <c r="R45" i="12" s="1"/>
  <c r="R48" i="12"/>
  <c r="R44" i="12"/>
  <c r="CD27" i="58"/>
  <c r="CD9" i="58" s="1"/>
  <c r="AX9" i="58"/>
  <c r="AX4" i="59" s="1"/>
  <c r="CD4" i="59" s="1"/>
  <c r="DJ4" i="59" s="1"/>
  <c r="AY27" i="58"/>
  <c r="S9" i="58"/>
  <c r="S4" i="59" s="1"/>
  <c r="S4" i="58"/>
  <c r="AY4" i="58" s="1"/>
  <c r="CE4" i="58" s="1"/>
  <c r="AF26" i="55"/>
  <c r="BK26" i="55"/>
  <c r="DW26" i="55" s="1"/>
  <c r="T27" i="58"/>
  <c r="CF10" i="58"/>
  <c r="CF5" i="58"/>
  <c r="AE27" i="55"/>
  <c r="CP27" i="55"/>
  <c r="BJ27" i="55"/>
  <c r="DV27" i="55" s="1"/>
  <c r="P47" i="14"/>
  <c r="O69" i="14"/>
  <c r="O85" i="14"/>
  <c r="P67" i="14"/>
  <c r="Q45" i="14"/>
  <c r="P85" i="14"/>
  <c r="P68" i="14"/>
  <c r="P87" i="14" s="1"/>
  <c r="Q46" i="14"/>
  <c r="AA58" i="14"/>
  <c r="AA59" i="14" s="1"/>
  <c r="N88" i="14"/>
  <c r="R36" i="14"/>
  <c r="P35" i="14"/>
  <c r="P37" i="14" s="1"/>
  <c r="Q47" i="12"/>
  <c r="N167" i="12"/>
  <c r="O214" i="12"/>
  <c r="O224" i="12" s="1"/>
  <c r="N67" i="12"/>
  <c r="N23" i="12"/>
  <c r="M37" i="12"/>
  <c r="N85" i="12"/>
  <c r="O39" i="12"/>
  <c r="Q70" i="14"/>
  <c r="Q66" i="14"/>
  <c r="Q71" i="14"/>
  <c r="Z59" i="12"/>
  <c r="N90" i="12"/>
  <c r="N35" i="12"/>
  <c r="N68" i="12"/>
  <c r="N89" i="12"/>
  <c r="O70" i="12"/>
  <c r="O71" i="12"/>
  <c r="O66" i="12"/>
  <c r="P36" i="12"/>
  <c r="Q22" i="14"/>
  <c r="P221" i="14"/>
  <c r="O22" i="14"/>
  <c r="O87" i="14" s="1"/>
  <c r="O89" i="14"/>
  <c r="Q21" i="14"/>
  <c r="O21" i="14"/>
  <c r="O86" i="14" s="1"/>
  <c r="O90" i="14"/>
  <c r="P90" i="14"/>
  <c r="P23" i="14"/>
  <c r="P89" i="14"/>
  <c r="Q220" i="14"/>
  <c r="AB218" i="14"/>
  <c r="AB60" i="14"/>
  <c r="AB56" i="14"/>
  <c r="AB61" i="14"/>
  <c r="AB57" i="14" s="1"/>
  <c r="R216" i="14"/>
  <c r="R49" i="14"/>
  <c r="R48" i="14"/>
  <c r="R44" i="14"/>
  <c r="S38" i="14"/>
  <c r="S34" i="14"/>
  <c r="Q215" i="14"/>
  <c r="Q39" i="14"/>
  <c r="O22" i="12"/>
  <c r="O21" i="12"/>
  <c r="AA61" i="12"/>
  <c r="AA57" i="12" s="1"/>
  <c r="AA56" i="12"/>
  <c r="AA60" i="12"/>
  <c r="AA58" i="12" s="1"/>
  <c r="Q34" i="12"/>
  <c r="P20" i="12"/>
  <c r="P24" i="12"/>
  <c r="Q38" i="12"/>
  <c r="N168" i="12"/>
  <c r="O92" i="12"/>
  <c r="O134" i="12"/>
  <c r="N39" i="20"/>
  <c r="O215" i="12"/>
  <c r="N221" i="12"/>
  <c r="N43" i="20"/>
  <c r="O220" i="12"/>
  <c r="O84" i="12"/>
  <c r="P65" i="12"/>
  <c r="Q32" i="12"/>
  <c r="O223" i="12"/>
  <c r="Q223" i="14"/>
  <c r="AA131" i="16"/>
  <c r="Q29" i="12"/>
  <c r="P33" i="12"/>
  <c r="P81" i="12"/>
  <c r="P213" i="12" s="1"/>
  <c r="P82" i="12"/>
  <c r="R30" i="12"/>
  <c r="S26" i="12"/>
  <c r="R31" i="12"/>
  <c r="R27" i="12"/>
  <c r="R28" i="12"/>
  <c r="R62" i="12"/>
  <c r="Q166" i="12"/>
  <c r="Q64" i="12"/>
  <c r="Q63" i="12"/>
  <c r="AC74" i="16"/>
  <c r="AC33" i="16"/>
  <c r="AC34" i="16"/>
  <c r="AC34" i="15"/>
  <c r="AC33" i="15"/>
  <c r="P39" i="19"/>
  <c r="AA112" i="12"/>
  <c r="AA218" i="12"/>
  <c r="Z75" i="16"/>
  <c r="AA43" i="15"/>
  <c r="AB54" i="15"/>
  <c r="P102" i="12"/>
  <c r="P217" i="12"/>
  <c r="AA60" i="16"/>
  <c r="Z43" i="28"/>
  <c r="Z43" i="29"/>
  <c r="AA42" i="19"/>
  <c r="AA60" i="15"/>
  <c r="AA42" i="16"/>
  <c r="AB35" i="15"/>
  <c r="AB128" i="15" s="1"/>
  <c r="Q84" i="14"/>
  <c r="AB40" i="15"/>
  <c r="AB122" i="15" s="1"/>
  <c r="AB132" i="15" s="1"/>
  <c r="R81" i="14"/>
  <c r="R213" i="14" s="1"/>
  <c r="AB40" i="16"/>
  <c r="AB122" i="16" s="1"/>
  <c r="AB132" i="16" s="1"/>
  <c r="R65" i="14"/>
  <c r="R134" i="14" s="1"/>
  <c r="T14" i="14"/>
  <c r="T15" i="14" s="1"/>
  <c r="T16" i="14" s="1"/>
  <c r="T17" i="14" s="1"/>
  <c r="P43" i="19"/>
  <c r="AB35" i="16"/>
  <c r="AB128" i="16" s="1"/>
  <c r="R82" i="14"/>
  <c r="R214" i="14" s="1"/>
  <c r="R224" i="14" s="1"/>
  <c r="S29" i="14"/>
  <c r="X76" i="16"/>
  <c r="U13" i="14"/>
  <c r="U83" i="14" s="1"/>
  <c r="CG28" i="58" s="1"/>
  <c r="V12" i="14"/>
  <c r="Y47" i="16"/>
  <c r="X40" i="29"/>
  <c r="T13" i="12"/>
  <c r="T83" i="12" s="1"/>
  <c r="T119" i="59" s="1"/>
  <c r="R19" i="14"/>
  <c r="R102" i="14" s="1"/>
  <c r="U40" i="14"/>
  <c r="U42" i="14" s="1"/>
  <c r="T41" i="14"/>
  <c r="T62" i="14"/>
  <c r="Q41" i="19"/>
  <c r="AD52" i="14"/>
  <c r="AE50" i="14"/>
  <c r="AD54" i="14"/>
  <c r="AD51" i="14"/>
  <c r="AB54" i="16"/>
  <c r="AA41" i="29"/>
  <c r="S64" i="14"/>
  <c r="S63" i="14"/>
  <c r="S32" i="14"/>
  <c r="S43" i="14"/>
  <c r="S122" i="14" s="1"/>
  <c r="Y75" i="16"/>
  <c r="AC74" i="15"/>
  <c r="AD32" i="15"/>
  <c r="Z47" i="16"/>
  <c r="Y40" i="29"/>
  <c r="AA43" i="16"/>
  <c r="Z39" i="29"/>
  <c r="T27" i="14"/>
  <c r="T30" i="14"/>
  <c r="T31" i="14"/>
  <c r="T28" i="14"/>
  <c r="U26" i="14"/>
  <c r="S15" i="14"/>
  <c r="R33" i="14"/>
  <c r="R92" i="14" s="1"/>
  <c r="AC53" i="14"/>
  <c r="AC55" i="14" s="1"/>
  <c r="AC112" i="14" s="1"/>
  <c r="Z75" i="15"/>
  <c r="Z76" i="15"/>
  <c r="AD7" i="15"/>
  <c r="AD41" i="15" s="1"/>
  <c r="CP33" i="58" s="1"/>
  <c r="AD32" i="58" s="1"/>
  <c r="BJ32" i="58" s="1"/>
  <c r="CP32" i="58" s="1"/>
  <c r="AA41" i="28"/>
  <c r="Z39" i="28"/>
  <c r="AD32" i="16"/>
  <c r="Z42" i="20"/>
  <c r="O40" i="20"/>
  <c r="R19" i="12"/>
  <c r="R25" i="12" s="1"/>
  <c r="S14" i="12"/>
  <c r="S15" i="12" s="1"/>
  <c r="S16" i="12" s="1"/>
  <c r="S17" i="12" s="1"/>
  <c r="Q19" i="12"/>
  <c r="Q25" i="12" s="1"/>
  <c r="U12" i="12"/>
  <c r="AC25" i="15"/>
  <c r="AC124" i="15" s="1"/>
  <c r="AB53" i="12"/>
  <c r="AB55" i="12" s="1"/>
  <c r="AB10" i="15"/>
  <c r="AB11" i="15" s="1"/>
  <c r="AD50" i="12"/>
  <c r="AC51" i="12"/>
  <c r="AC54" i="12"/>
  <c r="AC52" i="12"/>
  <c r="AC20" i="15"/>
  <c r="AC25" i="16"/>
  <c r="AC124" i="16" s="1"/>
  <c r="AC20" i="16"/>
  <c r="AB21" i="16"/>
  <c r="AB123" i="16" s="1"/>
  <c r="AC8" i="16"/>
  <c r="AC9" i="16" s="1"/>
  <c r="AA13" i="16"/>
  <c r="AA125" i="16" s="1"/>
  <c r="AA129" i="16" s="1"/>
  <c r="AD19" i="16"/>
  <c r="AD16" i="16"/>
  <c r="AD15" i="16"/>
  <c r="AD18" i="16"/>
  <c r="AE14" i="16"/>
  <c r="AA13" i="15"/>
  <c r="AA125" i="15" s="1"/>
  <c r="AA129" i="15" s="1"/>
  <c r="AC8" i="15"/>
  <c r="AB21" i="15"/>
  <c r="AB123" i="15" s="1"/>
  <c r="AD7" i="16"/>
  <c r="AD41" i="16" s="1"/>
  <c r="AE6" i="16"/>
  <c r="AD23" i="16"/>
  <c r="AE22" i="16"/>
  <c r="AE24" i="16" s="1"/>
  <c r="AC17" i="16"/>
  <c r="AE6" i="15"/>
  <c r="AC17" i="15"/>
  <c r="AE14" i="15"/>
  <c r="AD18" i="15"/>
  <c r="AD19" i="15"/>
  <c r="AD16" i="15"/>
  <c r="AD15" i="15"/>
  <c r="AE22" i="15"/>
  <c r="AE24" i="15" s="1"/>
  <c r="AD23" i="15"/>
  <c r="AB10" i="16"/>
  <c r="AB11" i="16" s="1"/>
  <c r="AB39" i="16" s="1"/>
  <c r="AB121" i="16" s="1"/>
  <c r="S44" i="12" l="1"/>
  <c r="S48" i="12"/>
  <c r="S49" i="12"/>
  <c r="S45" i="12" s="1"/>
  <c r="S122" i="12"/>
  <c r="S216" i="12"/>
  <c r="R41" i="20"/>
  <c r="T43" i="12"/>
  <c r="V40" i="12"/>
  <c r="V42" i="12" s="1"/>
  <c r="U41" i="12"/>
  <c r="R46" i="12"/>
  <c r="CQ27" i="55"/>
  <c r="BK27" i="55"/>
  <c r="DW27" i="55" s="1"/>
  <c r="AF27" i="55"/>
  <c r="CE27" i="58"/>
  <c r="CE9" i="58" s="1"/>
  <c r="AY9" i="58"/>
  <c r="AY4" i="59" s="1"/>
  <c r="CE4" i="59" s="1"/>
  <c r="DK4" i="59" s="1"/>
  <c r="AZ27" i="58"/>
  <c r="T9" i="58"/>
  <c r="T4" i="59" s="1"/>
  <c r="T4" i="58"/>
  <c r="AZ4" i="58" s="1"/>
  <c r="CF4" i="58" s="1"/>
  <c r="U27" i="58"/>
  <c r="CG10" i="58"/>
  <c r="CG5" i="58"/>
  <c r="AG26" i="55"/>
  <c r="BM26" i="55" s="1"/>
  <c r="DY26" i="55" s="1"/>
  <c r="BL26" i="55"/>
  <c r="DX26" i="55" s="1"/>
  <c r="Q23" i="14"/>
  <c r="P69" i="14"/>
  <c r="P88" i="14" s="1"/>
  <c r="Q47" i="14"/>
  <c r="Q67" i="14"/>
  <c r="R45" i="14"/>
  <c r="Q85" i="14"/>
  <c r="Q68" i="14"/>
  <c r="Q87" i="14" s="1"/>
  <c r="R46" i="14"/>
  <c r="AB58" i="14"/>
  <c r="AB59" i="14" s="1"/>
  <c r="P86" i="14"/>
  <c r="Q221" i="14"/>
  <c r="S36" i="14"/>
  <c r="Q35" i="14"/>
  <c r="Q37" i="14" s="1"/>
  <c r="P214" i="12"/>
  <c r="P224" i="12" s="1"/>
  <c r="O67" i="12"/>
  <c r="N86" i="12"/>
  <c r="O85" i="12"/>
  <c r="N87" i="12"/>
  <c r="N37" i="12"/>
  <c r="O68" i="12"/>
  <c r="O89" i="12"/>
  <c r="R71" i="14"/>
  <c r="R66" i="14"/>
  <c r="R70" i="14"/>
  <c r="O35" i="12"/>
  <c r="O90" i="12"/>
  <c r="P70" i="12"/>
  <c r="P71" i="12"/>
  <c r="P66" i="12"/>
  <c r="Q36" i="12"/>
  <c r="P39" i="12"/>
  <c r="N69" i="12"/>
  <c r="O23" i="14"/>
  <c r="Q90" i="14"/>
  <c r="Q89" i="14"/>
  <c r="T38" i="14"/>
  <c r="R220" i="14"/>
  <c r="AC218" i="14"/>
  <c r="AC60" i="14"/>
  <c r="AC56" i="14"/>
  <c r="AC61" i="14"/>
  <c r="AC57" i="14" s="1"/>
  <c r="S216" i="14"/>
  <c r="S48" i="14"/>
  <c r="S44" i="14"/>
  <c r="S49" i="14"/>
  <c r="T34" i="14"/>
  <c r="R215" i="14"/>
  <c r="R39" i="14"/>
  <c r="R217" i="14"/>
  <c r="R25" i="14"/>
  <c r="R20" i="14"/>
  <c r="R24" i="14"/>
  <c r="P21" i="12"/>
  <c r="P22" i="12"/>
  <c r="O23" i="12"/>
  <c r="O167" i="12"/>
  <c r="AA59" i="12"/>
  <c r="AB56" i="12"/>
  <c r="AB61" i="12"/>
  <c r="AB57" i="12" s="1"/>
  <c r="AB60" i="12"/>
  <c r="AB58" i="12" s="1"/>
  <c r="Q24" i="12"/>
  <c r="Q20" i="12"/>
  <c r="R34" i="12"/>
  <c r="R38" i="12"/>
  <c r="R24" i="12"/>
  <c r="R20" i="12"/>
  <c r="O221" i="12"/>
  <c r="P134" i="12"/>
  <c r="O168" i="12"/>
  <c r="P220" i="12"/>
  <c r="O43" i="20"/>
  <c r="P84" i="12"/>
  <c r="Q65" i="12"/>
  <c r="Q81" i="12"/>
  <c r="Q213" i="12" s="1"/>
  <c r="P223" i="12"/>
  <c r="R223" i="14"/>
  <c r="Q33" i="12"/>
  <c r="Q82" i="12"/>
  <c r="AB131" i="16"/>
  <c r="R166" i="12"/>
  <c r="R64" i="12"/>
  <c r="R63" i="12"/>
  <c r="S27" i="12"/>
  <c r="S31" i="12"/>
  <c r="T26" i="12"/>
  <c r="S28" i="12"/>
  <c r="S30" i="12"/>
  <c r="S62" i="12"/>
  <c r="P92" i="12"/>
  <c r="O39" i="20"/>
  <c r="P215" i="12"/>
  <c r="R32" i="12"/>
  <c r="R29" i="12"/>
  <c r="AC54" i="15"/>
  <c r="Q102" i="12"/>
  <c r="Q217" i="12"/>
  <c r="AD74" i="16"/>
  <c r="AD33" i="16"/>
  <c r="AD34" i="16"/>
  <c r="AB43" i="15"/>
  <c r="R102" i="12"/>
  <c r="R217" i="12"/>
  <c r="AB112" i="12"/>
  <c r="AB218" i="12"/>
  <c r="AD74" i="15"/>
  <c r="AD33" i="15"/>
  <c r="AD34" i="15"/>
  <c r="AA43" i="29"/>
  <c r="AA43" i="28"/>
  <c r="AB60" i="15"/>
  <c r="S33" i="14"/>
  <c r="S92" i="14" s="1"/>
  <c r="AC40" i="16"/>
  <c r="AC122" i="16" s="1"/>
  <c r="AC132" i="16" s="1"/>
  <c r="AB60" i="16"/>
  <c r="U62" i="14"/>
  <c r="U64" i="14" s="1"/>
  <c r="R84" i="14"/>
  <c r="AB42" i="16"/>
  <c r="AC35" i="16"/>
  <c r="AC128" i="16" s="1"/>
  <c r="Q43" i="19"/>
  <c r="AC40" i="15"/>
  <c r="AC122" i="15" s="1"/>
  <c r="AC132" i="15" s="1"/>
  <c r="Z76" i="16"/>
  <c r="S65" i="14"/>
  <c r="S134" i="14" s="1"/>
  <c r="AC35" i="15"/>
  <c r="AC128" i="15" s="1"/>
  <c r="AD53" i="14"/>
  <c r="AD55" i="14" s="1"/>
  <c r="AD112" i="14" s="1"/>
  <c r="T43" i="14"/>
  <c r="T122" i="14" s="1"/>
  <c r="T19" i="14"/>
  <c r="T102" i="14" s="1"/>
  <c r="AB42" i="19"/>
  <c r="T63" i="14"/>
  <c r="T64" i="14"/>
  <c r="Y76" i="16"/>
  <c r="AB43" i="16"/>
  <c r="AA39" i="29"/>
  <c r="AB39" i="15"/>
  <c r="AB121" i="15" s="1"/>
  <c r="Q39" i="19"/>
  <c r="S16" i="14"/>
  <c r="S17" i="14" s="1"/>
  <c r="T32" i="14"/>
  <c r="Q40" i="19"/>
  <c r="AE32" i="15"/>
  <c r="AA47" i="16"/>
  <c r="Z40" i="29"/>
  <c r="AC54" i="16"/>
  <c r="AB41" i="29"/>
  <c r="U27" i="14"/>
  <c r="V26" i="14"/>
  <c r="U31" i="14"/>
  <c r="U30" i="14"/>
  <c r="U28" i="14"/>
  <c r="T29" i="14"/>
  <c r="R41" i="19"/>
  <c r="S82" i="14"/>
  <c r="S214" i="14" s="1"/>
  <c r="S224" i="14" s="1"/>
  <c r="AE52" i="14"/>
  <c r="AF50" i="14"/>
  <c r="AE54" i="14"/>
  <c r="AE51" i="14"/>
  <c r="U14" i="14"/>
  <c r="V40" i="14"/>
  <c r="V42" i="14" s="1"/>
  <c r="U41" i="14"/>
  <c r="V13" i="14"/>
  <c r="V83" i="14" s="1"/>
  <c r="CH28" i="58" s="1"/>
  <c r="W12" i="14"/>
  <c r="AA75" i="16"/>
  <c r="AA47" i="15"/>
  <c r="AE7" i="15"/>
  <c r="AE41" i="15" s="1"/>
  <c r="CQ33" i="58" s="1"/>
  <c r="AE32" i="58" s="1"/>
  <c r="BK32" i="58" s="1"/>
  <c r="CQ32" i="58" s="1"/>
  <c r="Z40" i="28"/>
  <c r="AA39" i="28"/>
  <c r="AA42" i="15"/>
  <c r="AB41" i="28"/>
  <c r="AE32" i="16"/>
  <c r="AA42" i="20"/>
  <c r="Q40" i="20"/>
  <c r="P40" i="20"/>
  <c r="U13" i="12"/>
  <c r="U83" i="12" s="1"/>
  <c r="U119" i="59" s="1"/>
  <c r="T14" i="12"/>
  <c r="T15" i="12" s="1"/>
  <c r="T16" i="12" s="1"/>
  <c r="T17" i="12" s="1"/>
  <c r="V12" i="12"/>
  <c r="S19" i="12"/>
  <c r="S25" i="12" s="1"/>
  <c r="AC21" i="15"/>
  <c r="AC123" i="15" s="1"/>
  <c r="AB13" i="15"/>
  <c r="AB125" i="15" s="1"/>
  <c r="AC53" i="12"/>
  <c r="AC55" i="12" s="1"/>
  <c r="AC21" i="16"/>
  <c r="AC123" i="16" s="1"/>
  <c r="AE50" i="12"/>
  <c r="AD51" i="12"/>
  <c r="AD54" i="12"/>
  <c r="AD52" i="12"/>
  <c r="AD17" i="15"/>
  <c r="AD25" i="16"/>
  <c r="AD124" i="16" s="1"/>
  <c r="AD25" i="15"/>
  <c r="AD124" i="15" s="1"/>
  <c r="AD20" i="15"/>
  <c r="AD8" i="16"/>
  <c r="AD9" i="16" s="1"/>
  <c r="AB13" i="16"/>
  <c r="AB125" i="16" s="1"/>
  <c r="AB129" i="16" s="1"/>
  <c r="AF14" i="15"/>
  <c r="AE19" i="15"/>
  <c r="AE16" i="15"/>
  <c r="AE15" i="15"/>
  <c r="AE18" i="15"/>
  <c r="AE23" i="16"/>
  <c r="AF22" i="16"/>
  <c r="AF24" i="16" s="1"/>
  <c r="AF6" i="16"/>
  <c r="AE7" i="16"/>
  <c r="AE41" i="16" s="1"/>
  <c r="AE19" i="16"/>
  <c r="AE16" i="16"/>
  <c r="AE18" i="16"/>
  <c r="AE15" i="16"/>
  <c r="AF14" i="16"/>
  <c r="AF22" i="15"/>
  <c r="AF24" i="15" s="1"/>
  <c r="AE23" i="15"/>
  <c r="AF6" i="15"/>
  <c r="AD20" i="16"/>
  <c r="AD8" i="15"/>
  <c r="AC9" i="15"/>
  <c r="AC10" i="16"/>
  <c r="AC11" i="16" s="1"/>
  <c r="AC39" i="16" s="1"/>
  <c r="AC121" i="16" s="1"/>
  <c r="AD17" i="16"/>
  <c r="S46" i="12" l="1"/>
  <c r="T49" i="12"/>
  <c r="T45" i="12" s="1"/>
  <c r="T122" i="12"/>
  <c r="T216" i="12"/>
  <c r="T44" i="12"/>
  <c r="T48" i="12"/>
  <c r="S41" i="20"/>
  <c r="U43" i="12"/>
  <c r="W40" i="12"/>
  <c r="W42" i="12" s="1"/>
  <c r="V41" i="12"/>
  <c r="R47" i="12"/>
  <c r="V27" i="58"/>
  <c r="CH10" i="58"/>
  <c r="CH5" i="58"/>
  <c r="U9" i="58"/>
  <c r="U4" i="59" s="1"/>
  <c r="BA27" i="58"/>
  <c r="U4" i="58"/>
  <c r="BA4" i="58" s="1"/>
  <c r="CG4" i="58" s="1"/>
  <c r="CR27" i="55"/>
  <c r="AG27" i="55"/>
  <c r="BL27" i="55"/>
  <c r="DX27" i="55" s="1"/>
  <c r="CF27" i="58"/>
  <c r="CF9" i="58" s="1"/>
  <c r="AZ9" i="58"/>
  <c r="AZ4" i="59" s="1"/>
  <c r="CF4" i="59" s="1"/>
  <c r="DL4" i="59" s="1"/>
  <c r="R47" i="14"/>
  <c r="Q69" i="14"/>
  <c r="Q88" i="14" s="1"/>
  <c r="S47" i="12"/>
  <c r="R67" i="14"/>
  <c r="S45" i="14"/>
  <c r="R68" i="14"/>
  <c r="S46" i="14"/>
  <c r="AC58" i="14"/>
  <c r="AC59" i="14" s="1"/>
  <c r="O88" i="14"/>
  <c r="R35" i="14"/>
  <c r="R37" i="14" s="1"/>
  <c r="T36" i="14"/>
  <c r="Q86" i="14"/>
  <c r="Q214" i="12"/>
  <c r="Q224" i="12" s="1"/>
  <c r="O69" i="12"/>
  <c r="P67" i="12"/>
  <c r="N88" i="12"/>
  <c r="P85" i="12"/>
  <c r="O37" i="12"/>
  <c r="O87" i="12"/>
  <c r="O86" i="12"/>
  <c r="Q39" i="12"/>
  <c r="Q71" i="12"/>
  <c r="Q66" i="12"/>
  <c r="Q70" i="12"/>
  <c r="P68" i="12"/>
  <c r="P89" i="12"/>
  <c r="S70" i="14"/>
  <c r="S71" i="14"/>
  <c r="S66" i="14"/>
  <c r="R36" i="12"/>
  <c r="P90" i="12"/>
  <c r="P35" i="12"/>
  <c r="R21" i="14"/>
  <c r="R90" i="14"/>
  <c r="R22" i="14"/>
  <c r="R89" i="14"/>
  <c r="R85" i="14"/>
  <c r="U38" i="14"/>
  <c r="R221" i="14"/>
  <c r="S220" i="14"/>
  <c r="AD218" i="14"/>
  <c r="AD61" i="14"/>
  <c r="AD57" i="14" s="1"/>
  <c r="AD60" i="14"/>
  <c r="AD56" i="14"/>
  <c r="T216" i="14"/>
  <c r="T48" i="14"/>
  <c r="T44" i="14"/>
  <c r="T49" i="14"/>
  <c r="U34" i="14"/>
  <c r="S215" i="14"/>
  <c r="S39" i="14"/>
  <c r="T217" i="14"/>
  <c r="T24" i="14"/>
  <c r="T20" i="14"/>
  <c r="T25" i="14"/>
  <c r="Q22" i="12"/>
  <c r="R21" i="12"/>
  <c r="R22" i="12"/>
  <c r="Q21" i="12"/>
  <c r="P23" i="12"/>
  <c r="AB59" i="12"/>
  <c r="P167" i="12"/>
  <c r="AC60" i="12"/>
  <c r="AC58" i="12" s="1"/>
  <c r="AC56" i="12"/>
  <c r="AC61" i="12"/>
  <c r="AC57" i="12" s="1"/>
  <c r="S34" i="12"/>
  <c r="S20" i="12"/>
  <c r="S24" i="12"/>
  <c r="S38" i="12"/>
  <c r="P39" i="20"/>
  <c r="Q92" i="12"/>
  <c r="Q215" i="12"/>
  <c r="Q220" i="12"/>
  <c r="P221" i="12"/>
  <c r="P168" i="12"/>
  <c r="AD40" i="16"/>
  <c r="AD122" i="16" s="1"/>
  <c r="AD132" i="16" s="1"/>
  <c r="AB131" i="15"/>
  <c r="AB129" i="15"/>
  <c r="P43" i="20"/>
  <c r="Q134" i="12"/>
  <c r="R65" i="12"/>
  <c r="S32" i="12"/>
  <c r="Q223" i="12"/>
  <c r="Q84" i="12"/>
  <c r="AC131" i="16"/>
  <c r="T31" i="12"/>
  <c r="T30" i="12"/>
  <c r="U26" i="12"/>
  <c r="T28" i="12"/>
  <c r="T27" i="12"/>
  <c r="T62" i="12"/>
  <c r="R82" i="12"/>
  <c r="R33" i="12"/>
  <c r="R81" i="12"/>
  <c r="S166" i="12"/>
  <c r="S63" i="12"/>
  <c r="S64" i="12"/>
  <c r="S29" i="12"/>
  <c r="U63" i="14"/>
  <c r="U65" i="14" s="1"/>
  <c r="U134" i="14" s="1"/>
  <c r="S102" i="12"/>
  <c r="S217" i="12"/>
  <c r="AE34" i="16"/>
  <c r="AE33" i="16"/>
  <c r="R39" i="19"/>
  <c r="AD54" i="15"/>
  <c r="AC42" i="19"/>
  <c r="AE33" i="15"/>
  <c r="AE34" i="15"/>
  <c r="S41" i="19"/>
  <c r="AC112" i="12"/>
  <c r="AC218" i="12"/>
  <c r="AC43" i="15"/>
  <c r="AB43" i="29"/>
  <c r="AB42" i="15"/>
  <c r="AB75" i="15" s="1"/>
  <c r="AB43" i="28"/>
  <c r="AC60" i="16"/>
  <c r="AC60" i="15"/>
  <c r="AD35" i="16"/>
  <c r="AD128" i="16" s="1"/>
  <c r="AC42" i="16"/>
  <c r="T33" i="14"/>
  <c r="T92" i="14" s="1"/>
  <c r="AD40" i="15"/>
  <c r="AD122" i="15" s="1"/>
  <c r="AD132" i="15" s="1"/>
  <c r="V62" i="14"/>
  <c r="T82" i="14"/>
  <c r="T214" i="14" s="1"/>
  <c r="T224" i="14" s="1"/>
  <c r="R43" i="19"/>
  <c r="AD35" i="15"/>
  <c r="AD128" i="15" s="1"/>
  <c r="U43" i="14"/>
  <c r="U122" i="14" s="1"/>
  <c r="U32" i="14"/>
  <c r="U82" i="14" s="1"/>
  <c r="U214" i="14" s="1"/>
  <c r="U224" i="14" s="1"/>
  <c r="S81" i="14"/>
  <c r="S213" i="14" s="1"/>
  <c r="S19" i="14"/>
  <c r="S102" i="14" s="1"/>
  <c r="X12" i="14"/>
  <c r="W13" i="14"/>
  <c r="W83" i="14" s="1"/>
  <c r="CI28" i="58" s="1"/>
  <c r="U29" i="14"/>
  <c r="AB47" i="16"/>
  <c r="AA40" i="29"/>
  <c r="AF32" i="15"/>
  <c r="AG50" i="14"/>
  <c r="AF51" i="14"/>
  <c r="AF52" i="14"/>
  <c r="AF54" i="14"/>
  <c r="AE74" i="16"/>
  <c r="T65" i="14"/>
  <c r="T134" i="14" s="1"/>
  <c r="S40" i="19"/>
  <c r="AD54" i="16"/>
  <c r="AC41" i="29"/>
  <c r="U15" i="14"/>
  <c r="U16" i="14" s="1"/>
  <c r="AE74" i="15"/>
  <c r="T81" i="14"/>
  <c r="T213" i="14" s="1"/>
  <c r="AB75" i="16"/>
  <c r="AC43" i="16"/>
  <c r="AB39" i="29"/>
  <c r="V14" i="14"/>
  <c r="W40" i="14"/>
  <c r="W42" i="14" s="1"/>
  <c r="V41" i="14"/>
  <c r="AA76" i="16"/>
  <c r="AE53" i="14"/>
  <c r="AE55" i="14" s="1"/>
  <c r="AE112" i="14" s="1"/>
  <c r="V28" i="14"/>
  <c r="W26" i="14"/>
  <c r="V31" i="14"/>
  <c r="V30" i="14"/>
  <c r="V27" i="14"/>
  <c r="AB47" i="15"/>
  <c r="AA75" i="15"/>
  <c r="AA76" i="15"/>
  <c r="AF7" i="15"/>
  <c r="AF41" i="15" s="1"/>
  <c r="CR33" i="58" s="1"/>
  <c r="AF32" i="58" s="1"/>
  <c r="BL32" i="58" s="1"/>
  <c r="CR32" i="58" s="1"/>
  <c r="AA40" i="28"/>
  <c r="AC41" i="28"/>
  <c r="AB39" i="28"/>
  <c r="AF32" i="16"/>
  <c r="AB42" i="20"/>
  <c r="R40" i="20"/>
  <c r="T19" i="12"/>
  <c r="T25" i="12" s="1"/>
  <c r="V13" i="12"/>
  <c r="V83" i="12" s="1"/>
  <c r="V119" i="59" s="1"/>
  <c r="W12" i="12"/>
  <c r="X12" i="12" s="1"/>
  <c r="U14" i="12"/>
  <c r="AD53" i="12"/>
  <c r="AD55" i="12" s="1"/>
  <c r="AD21" i="15"/>
  <c r="AD123" i="15" s="1"/>
  <c r="AF50" i="12"/>
  <c r="AE52" i="12"/>
  <c r="AE51" i="12"/>
  <c r="AE54" i="12"/>
  <c r="AE17" i="15"/>
  <c r="AE17" i="16"/>
  <c r="AE8" i="15"/>
  <c r="AE9" i="15" s="1"/>
  <c r="AE10" i="15" s="1"/>
  <c r="AE11" i="15" s="1"/>
  <c r="AE20" i="16"/>
  <c r="AE25" i="15"/>
  <c r="AE124" i="15" s="1"/>
  <c r="AE20" i="15"/>
  <c r="AE25" i="16"/>
  <c r="AE124" i="16" s="1"/>
  <c r="AC13" i="16"/>
  <c r="AC125" i="16" s="1"/>
  <c r="AC129" i="16" s="1"/>
  <c r="AG6" i="16"/>
  <c r="AF7" i="16"/>
  <c r="AF41" i="16" s="1"/>
  <c r="AD21" i="16"/>
  <c r="AD123" i="16" s="1"/>
  <c r="AG22" i="15"/>
  <c r="AG24" i="15" s="1"/>
  <c r="AF23" i="15"/>
  <c r="AE8" i="16"/>
  <c r="AF23" i="16"/>
  <c r="AG22" i="16"/>
  <c r="AG24" i="16" s="1"/>
  <c r="AG14" i="15"/>
  <c r="AF19" i="15"/>
  <c r="AF16" i="15"/>
  <c r="AF15" i="15"/>
  <c r="AF18" i="15"/>
  <c r="AC10" i="15"/>
  <c r="AC11" i="15" s="1"/>
  <c r="AC39" i="15" s="1"/>
  <c r="AC121" i="15" s="1"/>
  <c r="AG6" i="15"/>
  <c r="AD9" i="15"/>
  <c r="AD10" i="15" s="1"/>
  <c r="AD11" i="15" s="1"/>
  <c r="AD39" i="15" s="1"/>
  <c r="AD121" i="15" s="1"/>
  <c r="AD10" i="16"/>
  <c r="AD11" i="16" s="1"/>
  <c r="AD39" i="16" s="1"/>
  <c r="AD121" i="16" s="1"/>
  <c r="AF18" i="16"/>
  <c r="AF15" i="16"/>
  <c r="AF16" i="16"/>
  <c r="AF19" i="16"/>
  <c r="AG14" i="16"/>
  <c r="U49" i="12" l="1"/>
  <c r="U45" i="12" s="1"/>
  <c r="U48" i="12"/>
  <c r="U44" i="12"/>
  <c r="U122" i="12"/>
  <c r="U216" i="12"/>
  <c r="T41" i="20"/>
  <c r="V43" i="12"/>
  <c r="W41" i="12"/>
  <c r="X40" i="12"/>
  <c r="X42" i="12" s="1"/>
  <c r="T46" i="12"/>
  <c r="W27" i="58"/>
  <c r="CI10" i="58"/>
  <c r="CI5" i="58"/>
  <c r="CG27" i="58"/>
  <c r="CG9" i="58" s="1"/>
  <c r="BA9" i="58"/>
  <c r="BA4" i="59" s="1"/>
  <c r="CG4" i="59" s="1"/>
  <c r="DM4" i="59" s="1"/>
  <c r="BM27" i="55"/>
  <c r="DY27" i="55" s="1"/>
  <c r="CS27" i="55"/>
  <c r="BB27" i="58"/>
  <c r="V9" i="58"/>
  <c r="V4" i="59" s="1"/>
  <c r="V4" i="58"/>
  <c r="BB4" i="58" s="1"/>
  <c r="CH4" i="58" s="1"/>
  <c r="O88" i="12"/>
  <c r="R86" i="14"/>
  <c r="R69" i="14"/>
  <c r="S47" i="14"/>
  <c r="S67" i="14"/>
  <c r="T45" i="14"/>
  <c r="R87" i="14"/>
  <c r="S68" i="14"/>
  <c r="T46" i="14"/>
  <c r="AD58" i="14"/>
  <c r="AD59" i="14" s="1"/>
  <c r="U36" i="14"/>
  <c r="S35" i="14"/>
  <c r="S37" i="14" s="1"/>
  <c r="R214" i="12"/>
  <c r="R224" i="12" s="1"/>
  <c r="Q67" i="12"/>
  <c r="P86" i="12"/>
  <c r="P87" i="12"/>
  <c r="P37" i="12"/>
  <c r="Q85" i="12"/>
  <c r="R23" i="14"/>
  <c r="P69" i="12"/>
  <c r="Q90" i="12"/>
  <c r="Q35" i="12"/>
  <c r="Q68" i="12"/>
  <c r="Q89" i="12"/>
  <c r="R39" i="12"/>
  <c r="T71" i="14"/>
  <c r="T70" i="14"/>
  <c r="T66" i="14"/>
  <c r="U70" i="14"/>
  <c r="U66" i="14"/>
  <c r="U71" i="14"/>
  <c r="S36" i="12"/>
  <c r="R66" i="12"/>
  <c r="R71" i="12"/>
  <c r="R70" i="12"/>
  <c r="T22" i="14"/>
  <c r="T21" i="14"/>
  <c r="V34" i="14"/>
  <c r="T220" i="14"/>
  <c r="U220" i="14"/>
  <c r="AE218" i="14"/>
  <c r="AE60" i="14"/>
  <c r="AE56" i="14"/>
  <c r="AE61" i="14"/>
  <c r="AE57" i="14" s="1"/>
  <c r="U216" i="14"/>
  <c r="U48" i="14"/>
  <c r="U44" i="14"/>
  <c r="U49" i="14"/>
  <c r="T215" i="14"/>
  <c r="T39" i="14"/>
  <c r="V38" i="14"/>
  <c r="S217" i="14"/>
  <c r="S221" i="14" s="1"/>
  <c r="S25" i="14"/>
  <c r="S24" i="14"/>
  <c r="S20" i="14"/>
  <c r="Q23" i="12"/>
  <c r="S22" i="12"/>
  <c r="S21" i="12"/>
  <c r="R23" i="12"/>
  <c r="AC59" i="12"/>
  <c r="AD60" i="12"/>
  <c r="AD58" i="12" s="1"/>
  <c r="AD61" i="12"/>
  <c r="AD57" i="12" s="1"/>
  <c r="AD56" i="12"/>
  <c r="T34" i="12"/>
  <c r="T20" i="12"/>
  <c r="T24" i="12"/>
  <c r="T38" i="12"/>
  <c r="Q221" i="12"/>
  <c r="Q168" i="12"/>
  <c r="R220" i="12"/>
  <c r="AC131" i="15"/>
  <c r="AD131" i="15"/>
  <c r="S82" i="12"/>
  <c r="R134" i="12"/>
  <c r="Q43" i="20"/>
  <c r="Q167" i="12"/>
  <c r="T29" i="12"/>
  <c r="T223" i="14"/>
  <c r="S223" i="14"/>
  <c r="T32" i="12"/>
  <c r="AD131" i="16"/>
  <c r="S65" i="12"/>
  <c r="R213" i="12"/>
  <c r="R84" i="12"/>
  <c r="T166" i="12"/>
  <c r="T64" i="12"/>
  <c r="T63" i="12"/>
  <c r="R215" i="12"/>
  <c r="Q39" i="20"/>
  <c r="R92" i="12"/>
  <c r="S33" i="12"/>
  <c r="S81" i="12"/>
  <c r="V26" i="12"/>
  <c r="U30" i="12"/>
  <c r="U28" i="12"/>
  <c r="U31" i="12"/>
  <c r="U27" i="12"/>
  <c r="U62" i="12"/>
  <c r="AE54" i="15"/>
  <c r="T102" i="12"/>
  <c r="T217" i="12"/>
  <c r="T41" i="19"/>
  <c r="S39" i="19"/>
  <c r="AD112" i="12"/>
  <c r="AD218" i="12"/>
  <c r="AD43" i="15"/>
  <c r="AF34" i="16"/>
  <c r="AF33" i="16"/>
  <c r="AF34" i="15"/>
  <c r="AF33" i="15"/>
  <c r="AD60" i="16"/>
  <c r="AD42" i="16"/>
  <c r="AD60" i="15"/>
  <c r="S84" i="14"/>
  <c r="AC43" i="29"/>
  <c r="AE40" i="15"/>
  <c r="AE122" i="15" s="1"/>
  <c r="AE132" i="15" s="1"/>
  <c r="AE35" i="16"/>
  <c r="AE128" i="16" s="1"/>
  <c r="AE40" i="16"/>
  <c r="AE122" i="16" s="1"/>
  <c r="AE132" i="16" s="1"/>
  <c r="V64" i="14"/>
  <c r="AB76" i="16"/>
  <c r="AE35" i="15"/>
  <c r="AE128" i="15" s="1"/>
  <c r="V29" i="14"/>
  <c r="T84" i="14"/>
  <c r="AB76" i="15"/>
  <c r="T43" i="19"/>
  <c r="V63" i="14"/>
  <c r="V32" i="14"/>
  <c r="AC43" i="28"/>
  <c r="W14" i="14"/>
  <c r="W15" i="14" s="1"/>
  <c r="W16" i="14" s="1"/>
  <c r="W17" i="14" s="1"/>
  <c r="AE39" i="15"/>
  <c r="AE121" i="15" s="1"/>
  <c r="V43" i="14"/>
  <c r="V122" i="14" s="1"/>
  <c r="AF53" i="14"/>
  <c r="AF55" i="14" s="1"/>
  <c r="AF112" i="14" s="1"/>
  <c r="U33" i="14"/>
  <c r="U92" i="14" s="1"/>
  <c r="AC47" i="16"/>
  <c r="AB40" i="29"/>
  <c r="AG52" i="14"/>
  <c r="AH50" i="14"/>
  <c r="AG54" i="14"/>
  <c r="AG51" i="14"/>
  <c r="AC75" i="16"/>
  <c r="R40" i="19"/>
  <c r="AD43" i="16"/>
  <c r="AC39" i="29"/>
  <c r="AE54" i="16"/>
  <c r="AD41" i="29"/>
  <c r="W13" i="12"/>
  <c r="W83" i="12" s="1"/>
  <c r="W119" i="59" s="1"/>
  <c r="AD42" i="19"/>
  <c r="W41" i="14"/>
  <c r="X40" i="14"/>
  <c r="X42" i="14" s="1"/>
  <c r="AG32" i="15"/>
  <c r="AF74" i="16"/>
  <c r="S43" i="19"/>
  <c r="AF74" i="15"/>
  <c r="Y12" i="14"/>
  <c r="X13" i="14"/>
  <c r="X83" i="14" s="1"/>
  <c r="CJ28" i="58" s="1"/>
  <c r="W27" i="14"/>
  <c r="X26" i="14"/>
  <c r="W31" i="14"/>
  <c r="W28" i="14"/>
  <c r="W30" i="14"/>
  <c r="V15" i="14"/>
  <c r="V16" i="14" s="1"/>
  <c r="V17" i="14" s="1"/>
  <c r="U17" i="14"/>
  <c r="W62" i="14"/>
  <c r="AD41" i="28"/>
  <c r="AG7" i="15"/>
  <c r="AG41" i="15" s="1"/>
  <c r="CS33" i="58" s="1"/>
  <c r="AG32" i="58" s="1"/>
  <c r="BM32" i="58" s="1"/>
  <c r="CS32" i="58" s="1"/>
  <c r="AD42" i="15"/>
  <c r="AC39" i="28"/>
  <c r="AG32" i="16"/>
  <c r="AC42" i="20"/>
  <c r="S40" i="20"/>
  <c r="V14" i="12"/>
  <c r="V15" i="12" s="1"/>
  <c r="V16" i="12" s="1"/>
  <c r="V17" i="12" s="1"/>
  <c r="U15" i="12"/>
  <c r="U16" i="12" s="1"/>
  <c r="U17" i="12" s="1"/>
  <c r="AE53" i="12"/>
  <c r="AE55" i="12" s="1"/>
  <c r="AF25" i="15"/>
  <c r="AF124" i="15" s="1"/>
  <c r="AE21" i="16"/>
  <c r="AE123" i="16" s="1"/>
  <c r="AG50" i="12"/>
  <c r="AF52" i="12"/>
  <c r="AF51" i="12"/>
  <c r="AF54" i="12"/>
  <c r="AF17" i="16"/>
  <c r="AF20" i="16"/>
  <c r="AE21" i="15"/>
  <c r="AE123" i="15" s="1"/>
  <c r="AF25" i="16"/>
  <c r="AF124" i="16" s="1"/>
  <c r="AD13" i="15"/>
  <c r="AD125" i="15" s="1"/>
  <c r="AD129" i="15" s="1"/>
  <c r="AF8" i="15"/>
  <c r="AF9" i="15" s="1"/>
  <c r="AF17" i="15"/>
  <c r="AC13" i="15"/>
  <c r="AC125" i="15" s="1"/>
  <c r="AC129" i="15" s="1"/>
  <c r="AE13" i="15"/>
  <c r="AE125" i="15" s="1"/>
  <c r="AD13" i="16"/>
  <c r="AD125" i="16" s="1"/>
  <c r="AD129" i="16" s="1"/>
  <c r="AH6" i="16"/>
  <c r="AG7" i="16"/>
  <c r="AG41" i="16" s="1"/>
  <c r="AG18" i="16"/>
  <c r="AG15" i="16"/>
  <c r="AG19" i="16"/>
  <c r="AG16" i="16"/>
  <c r="AH14" i="16"/>
  <c r="AF20" i="15"/>
  <c r="AG23" i="16"/>
  <c r="AH22" i="16"/>
  <c r="AH24" i="16" s="1"/>
  <c r="AF8" i="16"/>
  <c r="AH14" i="15"/>
  <c r="AG18" i="15"/>
  <c r="AG15" i="15"/>
  <c r="AG19" i="15"/>
  <c r="AG16" i="15"/>
  <c r="AH6" i="15"/>
  <c r="AE9" i="16"/>
  <c r="AH22" i="15"/>
  <c r="AG23" i="15"/>
  <c r="T47" i="12" l="1"/>
  <c r="U46" i="12"/>
  <c r="V49" i="12"/>
  <c r="V45" i="12" s="1"/>
  <c r="V48" i="12"/>
  <c r="V44" i="12"/>
  <c r="W43" i="12"/>
  <c r="V122" i="12"/>
  <c r="V216" i="12"/>
  <c r="U41" i="20"/>
  <c r="X41" i="12"/>
  <c r="Y40" i="12"/>
  <c r="Y42" i="12" s="1"/>
  <c r="AH24" i="15"/>
  <c r="AH23" i="15"/>
  <c r="X27" i="58"/>
  <c r="CJ10" i="58"/>
  <c r="CJ5" i="58"/>
  <c r="CH27" i="58"/>
  <c r="CH9" i="58" s="1"/>
  <c r="BB9" i="58"/>
  <c r="BB4" i="59" s="1"/>
  <c r="CH4" i="59" s="1"/>
  <c r="DN4" i="59" s="1"/>
  <c r="W9" i="58"/>
  <c r="W4" i="59" s="1"/>
  <c r="BC27" i="58"/>
  <c r="W4" i="58"/>
  <c r="BC4" i="58" s="1"/>
  <c r="CI4" i="58" s="1"/>
  <c r="T47" i="14"/>
  <c r="S69" i="14"/>
  <c r="S85" i="14"/>
  <c r="Q86" i="12"/>
  <c r="U67" i="14"/>
  <c r="U45" i="14"/>
  <c r="T67" i="14"/>
  <c r="T85" i="14"/>
  <c r="T68" i="14"/>
  <c r="U68" i="14"/>
  <c r="U46" i="14"/>
  <c r="AE58" i="14"/>
  <c r="AE59" i="14" s="1"/>
  <c r="R88" i="14"/>
  <c r="V36" i="14"/>
  <c r="T35" i="14"/>
  <c r="T37" i="14" s="1"/>
  <c r="S214" i="12"/>
  <c r="S224" i="12" s="1"/>
  <c r="R67" i="12"/>
  <c r="T36" i="12"/>
  <c r="P88" i="12"/>
  <c r="Q87" i="12"/>
  <c r="Q37" i="12"/>
  <c r="R85" i="12"/>
  <c r="Q69" i="12"/>
  <c r="R90" i="12"/>
  <c r="R35" i="12"/>
  <c r="S39" i="12"/>
  <c r="S66" i="12"/>
  <c r="S70" i="12"/>
  <c r="S71" i="12"/>
  <c r="R68" i="12"/>
  <c r="R89" i="12"/>
  <c r="T89" i="14"/>
  <c r="S21" i="14"/>
  <c r="S86" i="14" s="1"/>
  <c r="S90" i="14"/>
  <c r="S22" i="14"/>
  <c r="S87" i="14" s="1"/>
  <c r="S89" i="14"/>
  <c r="T23" i="14"/>
  <c r="T90" i="14"/>
  <c r="T221" i="14"/>
  <c r="AF218" i="14"/>
  <c r="AF60" i="14"/>
  <c r="AF56" i="14"/>
  <c r="AF61" i="14"/>
  <c r="AF57" i="14" s="1"/>
  <c r="V216" i="14"/>
  <c r="V49" i="14"/>
  <c r="V48" i="14"/>
  <c r="V44" i="14"/>
  <c r="W38" i="14"/>
  <c r="U215" i="14"/>
  <c r="U39" i="14"/>
  <c r="W34" i="14"/>
  <c r="S23" i="12"/>
  <c r="T22" i="12"/>
  <c r="T21" i="12"/>
  <c r="AE61" i="12"/>
  <c r="AE57" i="12" s="1"/>
  <c r="AE60" i="12"/>
  <c r="AE58" i="12" s="1"/>
  <c r="AE56" i="12"/>
  <c r="AD59" i="12"/>
  <c r="W44" i="12"/>
  <c r="W48" i="12"/>
  <c r="U38" i="12"/>
  <c r="U34" i="12"/>
  <c r="T82" i="12"/>
  <c r="W19" i="14"/>
  <c r="W102" i="14" s="1"/>
  <c r="AE129" i="15"/>
  <c r="AE131" i="15"/>
  <c r="T81" i="12"/>
  <c r="T33" i="12"/>
  <c r="R223" i="12"/>
  <c r="R221" i="12"/>
  <c r="T65" i="12"/>
  <c r="R43" i="20"/>
  <c r="S134" i="12"/>
  <c r="S220" i="12"/>
  <c r="U166" i="12"/>
  <c r="U64" i="12"/>
  <c r="U63" i="12"/>
  <c r="U32" i="12"/>
  <c r="S84" i="12"/>
  <c r="S213" i="12"/>
  <c r="R167" i="12"/>
  <c r="R168" i="12"/>
  <c r="U29" i="12"/>
  <c r="V31" i="12"/>
  <c r="W26" i="12"/>
  <c r="V30" i="12"/>
  <c r="V27" i="12"/>
  <c r="V28" i="12"/>
  <c r="V62" i="12"/>
  <c r="S92" i="12"/>
  <c r="S215" i="12"/>
  <c r="R39" i="20"/>
  <c r="AF54" i="15"/>
  <c r="AG34" i="15"/>
  <c r="AG33" i="15"/>
  <c r="AL117" i="15"/>
  <c r="AM94" i="15"/>
  <c r="AL94" i="15"/>
  <c r="AG74" i="16"/>
  <c r="AG33" i="16"/>
  <c r="AG34" i="16"/>
  <c r="AL110" i="15"/>
  <c r="AL86" i="15"/>
  <c r="AM86" i="15"/>
  <c r="AE43" i="15"/>
  <c r="AL114" i="15"/>
  <c r="AL90" i="15"/>
  <c r="AM90" i="15"/>
  <c r="AD75" i="16"/>
  <c r="AE47" i="15"/>
  <c r="AE112" i="12"/>
  <c r="AE218" i="12"/>
  <c r="AD43" i="29"/>
  <c r="AD43" i="28"/>
  <c r="AE60" i="15"/>
  <c r="V33" i="14"/>
  <c r="V92" i="14" s="1"/>
  <c r="V82" i="14"/>
  <c r="V214" i="14" s="1"/>
  <c r="V224" i="14" s="1"/>
  <c r="AC76" i="16"/>
  <c r="X14" i="14"/>
  <c r="X15" i="14" s="1"/>
  <c r="X16" i="14" s="1"/>
  <c r="X17" i="14" s="1"/>
  <c r="AE60" i="16"/>
  <c r="V81" i="14"/>
  <c r="V213" i="14" s="1"/>
  <c r="AF35" i="16"/>
  <c r="AF128" i="16" s="1"/>
  <c r="V65" i="14"/>
  <c r="V134" i="14" s="1"/>
  <c r="AF40" i="16"/>
  <c r="AF122" i="16" s="1"/>
  <c r="AF132" i="16" s="1"/>
  <c r="T39" i="19"/>
  <c r="AF40" i="15"/>
  <c r="AF122" i="15" s="1"/>
  <c r="AF132" i="15" s="1"/>
  <c r="AF35" i="15"/>
  <c r="AF128" i="15" s="1"/>
  <c r="AG53" i="14"/>
  <c r="AG55" i="14" s="1"/>
  <c r="AG112" i="14" s="1"/>
  <c r="U41" i="19"/>
  <c r="AE42" i="19"/>
  <c r="W43" i="14"/>
  <c r="W122" i="14" s="1"/>
  <c r="Y13" i="14"/>
  <c r="Y83" i="14" s="1"/>
  <c r="CK28" i="58" s="1"/>
  <c r="Z12" i="14"/>
  <c r="W63" i="14"/>
  <c r="W64" i="14"/>
  <c r="U81" i="14"/>
  <c r="U213" i="14" s="1"/>
  <c r="U19" i="14"/>
  <c r="U102" i="14" s="1"/>
  <c r="X41" i="14"/>
  <c r="Y40" i="14"/>
  <c r="Y42" i="14" s="1"/>
  <c r="AE43" i="16"/>
  <c r="AD39" i="29"/>
  <c r="X31" i="14"/>
  <c r="X30" i="14"/>
  <c r="Y26" i="14"/>
  <c r="X28" i="14"/>
  <c r="X27" i="14"/>
  <c r="AG74" i="15"/>
  <c r="AH51" i="14"/>
  <c r="AH52" i="14"/>
  <c r="AH54" i="14"/>
  <c r="AF54" i="16"/>
  <c r="AE41" i="29"/>
  <c r="X62" i="14"/>
  <c r="AH32" i="15"/>
  <c r="AD47" i="16"/>
  <c r="AC40" i="29"/>
  <c r="V19" i="14"/>
  <c r="V102" i="14" s="1"/>
  <c r="W32" i="14"/>
  <c r="W29" i="14"/>
  <c r="AC47" i="15"/>
  <c r="AD47" i="15"/>
  <c r="AD75" i="15"/>
  <c r="AH7" i="15"/>
  <c r="AE41" i="28"/>
  <c r="AC42" i="15"/>
  <c r="AC40" i="28"/>
  <c r="AD40" i="28"/>
  <c r="AD39" i="28"/>
  <c r="AB40" i="28"/>
  <c r="AE42" i="15"/>
  <c r="AH32" i="16"/>
  <c r="AD42" i="20"/>
  <c r="V41" i="20"/>
  <c r="V19" i="12"/>
  <c r="V25" i="12" s="1"/>
  <c r="X13" i="12"/>
  <c r="X83" i="12" s="1"/>
  <c r="X119" i="59" s="1"/>
  <c r="U19" i="12"/>
  <c r="U25" i="12" s="1"/>
  <c r="W14" i="12"/>
  <c r="Y12" i="12"/>
  <c r="AF21" i="16"/>
  <c r="AF123" i="16" s="1"/>
  <c r="AF53" i="12"/>
  <c r="AF55" i="12" s="1"/>
  <c r="X43" i="12"/>
  <c r="AH50" i="12"/>
  <c r="AG52" i="12"/>
  <c r="AG54" i="12"/>
  <c r="AG51" i="12"/>
  <c r="AG25" i="16"/>
  <c r="AG124" i="16" s="1"/>
  <c r="AG8" i="16"/>
  <c r="AG9" i="16" s="1"/>
  <c r="AG25" i="15"/>
  <c r="AG124" i="15" s="1"/>
  <c r="AG17" i="16"/>
  <c r="AG20" i="15"/>
  <c r="AH23" i="16"/>
  <c r="AF21" i="15"/>
  <c r="AF123" i="15" s="1"/>
  <c r="AG8" i="15"/>
  <c r="AH7" i="16"/>
  <c r="AH41" i="16" s="1"/>
  <c r="AE10" i="16"/>
  <c r="AE11" i="16" s="1"/>
  <c r="AE39" i="16" s="1"/>
  <c r="AE121" i="16" s="1"/>
  <c r="AG17" i="15"/>
  <c r="AF10" i="15"/>
  <c r="AF11" i="15" s="1"/>
  <c r="AF39" i="15" s="1"/>
  <c r="AF121" i="15" s="1"/>
  <c r="AH19" i="16"/>
  <c r="AR86" i="15" s="1"/>
  <c r="AH16" i="16"/>
  <c r="AO86" i="15" s="1"/>
  <c r="AH18" i="16"/>
  <c r="AQ86" i="15" s="1"/>
  <c r="AH15" i="16"/>
  <c r="AN86" i="15" s="1"/>
  <c r="AG20" i="16"/>
  <c r="AH18" i="15"/>
  <c r="AH15" i="15"/>
  <c r="AH16" i="15"/>
  <c r="AH19" i="15"/>
  <c r="AF9" i="16"/>
  <c r="W122" i="12" l="1"/>
  <c r="W216" i="12"/>
  <c r="Z40" i="12"/>
  <c r="Z42" i="12" s="1"/>
  <c r="Y41" i="12"/>
  <c r="U47" i="12"/>
  <c r="W49" i="12"/>
  <c r="W45" i="12" s="1"/>
  <c r="V46" i="12"/>
  <c r="AO82" i="15"/>
  <c r="AO81" i="15"/>
  <c r="BD27" i="58"/>
  <c r="X9" i="58"/>
  <c r="X4" i="59" s="1"/>
  <c r="X4" i="58"/>
  <c r="BD4" i="58" s="1"/>
  <c r="CJ4" i="58" s="1"/>
  <c r="CI27" i="58"/>
  <c r="CI9" i="58" s="1"/>
  <c r="BC9" i="58"/>
  <c r="BC4" i="59" s="1"/>
  <c r="CI4" i="59" s="1"/>
  <c r="DO4" i="59" s="1"/>
  <c r="Y27" i="58"/>
  <c r="CK10" i="58"/>
  <c r="CK5" i="58"/>
  <c r="U47" i="14"/>
  <c r="U69" i="14"/>
  <c r="V45" i="14"/>
  <c r="T69" i="14"/>
  <c r="T88" i="14" s="1"/>
  <c r="T87" i="14"/>
  <c r="V46" i="14"/>
  <c r="AF58" i="14"/>
  <c r="AF59" i="14" s="1"/>
  <c r="V40" i="19"/>
  <c r="U35" i="14"/>
  <c r="U37" i="14" s="1"/>
  <c r="W36" i="14"/>
  <c r="T86" i="14"/>
  <c r="T214" i="12"/>
  <c r="T224" i="12" s="1"/>
  <c r="S67" i="12"/>
  <c r="R86" i="12"/>
  <c r="Q88" i="12"/>
  <c r="W46" i="12"/>
  <c r="X49" i="12"/>
  <c r="X45" i="12" s="1"/>
  <c r="S85" i="12"/>
  <c r="R87" i="12"/>
  <c r="R37" i="12"/>
  <c r="S23" i="14"/>
  <c r="U36" i="12"/>
  <c r="S68" i="12"/>
  <c r="S89" i="12"/>
  <c r="T39" i="12"/>
  <c r="V71" i="14"/>
  <c r="V66" i="14"/>
  <c r="V70" i="14"/>
  <c r="T70" i="12"/>
  <c r="T71" i="12"/>
  <c r="T66" i="12"/>
  <c r="S90" i="12"/>
  <c r="S35" i="12"/>
  <c r="R69" i="12"/>
  <c r="V220" i="14"/>
  <c r="AG218" i="14"/>
  <c r="AG60" i="14"/>
  <c r="AG56" i="14"/>
  <c r="AG61" i="14"/>
  <c r="AG57" i="14" s="1"/>
  <c r="X38" i="14"/>
  <c r="W216" i="14"/>
  <c r="W49" i="14"/>
  <c r="W48" i="14"/>
  <c r="W44" i="14"/>
  <c r="X34" i="14"/>
  <c r="V215" i="14"/>
  <c r="V39" i="14"/>
  <c r="V217" i="14"/>
  <c r="V25" i="14"/>
  <c r="V24" i="14"/>
  <c r="V20" i="14"/>
  <c r="U217" i="14"/>
  <c r="U221" i="14" s="1"/>
  <c r="U24" i="14"/>
  <c r="U20" i="14"/>
  <c r="U25" i="14"/>
  <c r="W217" i="14"/>
  <c r="W25" i="14"/>
  <c r="W24" i="14"/>
  <c r="W20" i="14"/>
  <c r="T23" i="12"/>
  <c r="AF56" i="12"/>
  <c r="AF61" i="12"/>
  <c r="AF57" i="12" s="1"/>
  <c r="AF60" i="12"/>
  <c r="AF58" i="12" s="1"/>
  <c r="AE59" i="12"/>
  <c r="X44" i="12"/>
  <c r="X48" i="12"/>
  <c r="V38" i="12"/>
  <c r="U24" i="12"/>
  <c r="U20" i="12"/>
  <c r="V34" i="12"/>
  <c r="V20" i="12"/>
  <c r="V24" i="12"/>
  <c r="T84" i="12"/>
  <c r="X19" i="14"/>
  <c r="X102" i="14" s="1"/>
  <c r="S39" i="20"/>
  <c r="T215" i="12"/>
  <c r="AO90" i="15"/>
  <c r="AO82" i="16"/>
  <c r="T92" i="12"/>
  <c r="AF131" i="15"/>
  <c r="AN90" i="15"/>
  <c r="AO81" i="16"/>
  <c r="T213" i="12"/>
  <c r="T223" i="12" s="1"/>
  <c r="V32" i="12"/>
  <c r="U223" i="14"/>
  <c r="U65" i="12"/>
  <c r="AQ99" i="15"/>
  <c r="AQ174" i="14"/>
  <c r="S223" i="12"/>
  <c r="S221" i="12"/>
  <c r="T134" i="12"/>
  <c r="S43" i="20"/>
  <c r="T220" i="12"/>
  <c r="V223" i="14"/>
  <c r="AE131" i="16"/>
  <c r="W30" i="12"/>
  <c r="W27" i="12"/>
  <c r="W31" i="12"/>
  <c r="W28" i="12"/>
  <c r="X26" i="12"/>
  <c r="W62" i="12"/>
  <c r="V166" i="12"/>
  <c r="V64" i="12"/>
  <c r="V63" i="12"/>
  <c r="U82" i="12"/>
  <c r="U81" i="12"/>
  <c r="U213" i="12" s="1"/>
  <c r="V29" i="12"/>
  <c r="U33" i="12"/>
  <c r="S168" i="12"/>
  <c r="S167" i="12"/>
  <c r="AL212" i="12"/>
  <c r="AM190" i="12"/>
  <c r="AL190" i="12"/>
  <c r="V217" i="12"/>
  <c r="V102" i="12"/>
  <c r="AN190" i="12"/>
  <c r="AG54" i="15"/>
  <c r="AF112" i="12"/>
  <c r="AF218" i="12"/>
  <c r="U102" i="12"/>
  <c r="U217" i="12"/>
  <c r="AH41" i="15"/>
  <c r="AN94" i="15"/>
  <c r="AO99" i="15"/>
  <c r="AO190" i="12"/>
  <c r="AF43" i="15"/>
  <c r="X122" i="12"/>
  <c r="X216" i="12"/>
  <c r="AH74" i="16"/>
  <c r="AH33" i="16"/>
  <c r="AH34" i="16"/>
  <c r="AH74" i="15"/>
  <c r="AH33" i="15"/>
  <c r="AQ81" i="15" s="1"/>
  <c r="AH34" i="15"/>
  <c r="AQ82" i="15" s="1"/>
  <c r="AL123" i="15"/>
  <c r="AM102" i="15"/>
  <c r="AL102" i="15"/>
  <c r="AE43" i="29"/>
  <c r="AE42" i="16"/>
  <c r="AE43" i="28"/>
  <c r="U84" i="14"/>
  <c r="AQ190" i="12"/>
  <c r="V84" i="14"/>
  <c r="U39" i="19"/>
  <c r="AF60" i="16"/>
  <c r="AF60" i="15"/>
  <c r="U43" i="19"/>
  <c r="V41" i="19"/>
  <c r="AF42" i="19"/>
  <c r="AG40" i="15"/>
  <c r="AG122" i="15" s="1"/>
  <c r="AG132" i="15" s="1"/>
  <c r="AG40" i="16"/>
  <c r="AG122" i="16" s="1"/>
  <c r="AG132" i="16" s="1"/>
  <c r="AD76" i="16"/>
  <c r="W33" i="14"/>
  <c r="W92" i="14" s="1"/>
  <c r="AH53" i="14"/>
  <c r="AQ173" i="14" s="1"/>
  <c r="AG35" i="15"/>
  <c r="AG128" i="15" s="1"/>
  <c r="W82" i="14"/>
  <c r="W214" i="14" s="1"/>
  <c r="W224" i="14" s="1"/>
  <c r="AG35" i="16"/>
  <c r="AG128" i="16" s="1"/>
  <c r="W65" i="14"/>
  <c r="W134" i="14" s="1"/>
  <c r="W81" i="14"/>
  <c r="W213" i="14" s="1"/>
  <c r="Y27" i="14"/>
  <c r="Y30" i="14"/>
  <c r="Y28" i="14"/>
  <c r="Y31" i="14"/>
  <c r="Z26" i="14"/>
  <c r="X43" i="14"/>
  <c r="X122" i="14" s="1"/>
  <c r="AG54" i="16"/>
  <c r="AF41" i="29"/>
  <c r="X64" i="14"/>
  <c r="X63" i="14"/>
  <c r="Z13" i="14"/>
  <c r="Z83" i="14" s="1"/>
  <c r="CL28" i="58" s="1"/>
  <c r="AA12" i="14"/>
  <c r="X32" i="14"/>
  <c r="Y41" i="14"/>
  <c r="Z40" i="14"/>
  <c r="Z42" i="14" s="1"/>
  <c r="T40" i="19"/>
  <c r="Y62" i="14"/>
  <c r="AF43" i="16"/>
  <c r="AE39" i="29"/>
  <c r="U40" i="19"/>
  <c r="X29" i="14"/>
  <c r="Y14" i="14"/>
  <c r="AD76" i="15"/>
  <c r="AE75" i="15"/>
  <c r="AE76" i="15"/>
  <c r="AC75" i="15"/>
  <c r="AC76" i="15"/>
  <c r="AF41" i="28"/>
  <c r="AE39" i="28"/>
  <c r="AE42" i="20"/>
  <c r="W41" i="20"/>
  <c r="U40" i="20"/>
  <c r="T40" i="20"/>
  <c r="Y13" i="12"/>
  <c r="Y83" i="12" s="1"/>
  <c r="Y119" i="59" s="1"/>
  <c r="Z12" i="12"/>
  <c r="W15" i="12"/>
  <c r="W16" i="12" s="1"/>
  <c r="W17" i="12" s="1"/>
  <c r="AH25" i="15"/>
  <c r="AH124" i="15" s="1"/>
  <c r="AH25" i="16"/>
  <c r="X14" i="12"/>
  <c r="AH20" i="15"/>
  <c r="AN82" i="15" s="1"/>
  <c r="AG53" i="12"/>
  <c r="AG55" i="12" s="1"/>
  <c r="AH20" i="16"/>
  <c r="AN82" i="16" s="1"/>
  <c r="AG21" i="15"/>
  <c r="AG123" i="15" s="1"/>
  <c r="AH54" i="12"/>
  <c r="AH51" i="12"/>
  <c r="AH52" i="12"/>
  <c r="AG21" i="16"/>
  <c r="AG123" i="16" s="1"/>
  <c r="AE13" i="16"/>
  <c r="AE125" i="16" s="1"/>
  <c r="AE129" i="16" s="1"/>
  <c r="AG9" i="15"/>
  <c r="AF13" i="15"/>
  <c r="AF125" i="15" s="1"/>
  <c r="AF129" i="15" s="1"/>
  <c r="AH8" i="16"/>
  <c r="AG10" i="16"/>
  <c r="AG11" i="16" s="1"/>
  <c r="AG39" i="16" s="1"/>
  <c r="AG121" i="16" s="1"/>
  <c r="AF10" i="16"/>
  <c r="AF11" i="16" s="1"/>
  <c r="AF39" i="16" s="1"/>
  <c r="AF121" i="16" s="1"/>
  <c r="AH17" i="15"/>
  <c r="AN81" i="15" s="1"/>
  <c r="AH17" i="16"/>
  <c r="AN81" i="16" s="1"/>
  <c r="AH8" i="15"/>
  <c r="V47" i="12" l="1"/>
  <c r="Y43" i="12"/>
  <c r="AA40" i="12"/>
  <c r="AA42" i="12" s="1"/>
  <c r="Z41" i="12"/>
  <c r="Z27" i="58"/>
  <c r="CL10" i="58"/>
  <c r="CL5" i="58"/>
  <c r="Y9" i="58"/>
  <c r="Y4" i="59" s="1"/>
  <c r="BE27" i="58"/>
  <c r="Y4" i="58"/>
  <c r="BE4" i="58" s="1"/>
  <c r="CK4" i="58" s="1"/>
  <c r="AN126" i="15"/>
  <c r="E8" i="60"/>
  <c r="CT33" i="58"/>
  <c r="AH32" i="58" s="1"/>
  <c r="CJ27" i="58"/>
  <c r="CJ9" i="58" s="1"/>
  <c r="BD9" i="58"/>
  <c r="BD4" i="59" s="1"/>
  <c r="CJ4" i="59" s="1"/>
  <c r="DP4" i="59" s="1"/>
  <c r="AQ174" i="12"/>
  <c r="AP262" i="12"/>
  <c r="U85" i="14"/>
  <c r="V67" i="14"/>
  <c r="V47" i="14"/>
  <c r="W47" i="12"/>
  <c r="W45" i="14"/>
  <c r="V68" i="14"/>
  <c r="W46" i="14"/>
  <c r="AG58" i="14"/>
  <c r="AG59" i="14" s="1"/>
  <c r="S88" i="14"/>
  <c r="V35" i="14"/>
  <c r="V37" i="14" s="1"/>
  <c r="X36" i="14"/>
  <c r="R88" i="12"/>
  <c r="U214" i="12"/>
  <c r="U224" i="12" s="1"/>
  <c r="T67" i="12"/>
  <c r="S69" i="12"/>
  <c r="X46" i="12"/>
  <c r="T85" i="12"/>
  <c r="S87" i="12"/>
  <c r="S37" i="12"/>
  <c r="V85" i="14"/>
  <c r="U70" i="12"/>
  <c r="U71" i="12"/>
  <c r="U66" i="12"/>
  <c r="S86" i="12"/>
  <c r="T89" i="12"/>
  <c r="T68" i="12"/>
  <c r="T90" i="12"/>
  <c r="T35" i="12"/>
  <c r="U39" i="12"/>
  <c r="W66" i="14"/>
  <c r="W70" i="14"/>
  <c r="W71" i="14"/>
  <c r="V36" i="12"/>
  <c r="U21" i="14"/>
  <c r="U86" i="14" s="1"/>
  <c r="U90" i="14"/>
  <c r="W22" i="14"/>
  <c r="V22" i="14"/>
  <c r="V89" i="14"/>
  <c r="W21" i="14"/>
  <c r="U22" i="14"/>
  <c r="U87" i="14" s="1"/>
  <c r="U89" i="14"/>
  <c r="V21" i="14"/>
  <c r="V90" i="14"/>
  <c r="W220" i="14"/>
  <c r="V221" i="14"/>
  <c r="Y38" i="14"/>
  <c r="X216" i="14"/>
  <c r="X48" i="14"/>
  <c r="X44" i="14"/>
  <c r="X49" i="14"/>
  <c r="W215" i="14"/>
  <c r="W39" i="14"/>
  <c r="Y34" i="14"/>
  <c r="X217" i="14"/>
  <c r="X24" i="14"/>
  <c r="X20" i="14"/>
  <c r="X25" i="14"/>
  <c r="V21" i="12"/>
  <c r="U21" i="12"/>
  <c r="AF59" i="12"/>
  <c r="V22" i="12"/>
  <c r="U22" i="12"/>
  <c r="T167" i="12"/>
  <c r="AG60" i="12"/>
  <c r="AG58" i="12" s="1"/>
  <c r="AG56" i="12"/>
  <c r="AG61" i="12"/>
  <c r="AG57" i="12" s="1"/>
  <c r="W40" i="19"/>
  <c r="W38" i="12"/>
  <c r="W34" i="12"/>
  <c r="T168" i="12"/>
  <c r="V82" i="12"/>
  <c r="U134" i="12"/>
  <c r="T221" i="12"/>
  <c r="D81" i="16"/>
  <c r="AH124" i="16"/>
  <c r="V65" i="12"/>
  <c r="W223" i="14"/>
  <c r="U223" i="12"/>
  <c r="U220" i="12"/>
  <c r="T43" i="20"/>
  <c r="AO102" i="15"/>
  <c r="AQ82" i="16"/>
  <c r="AN102" i="15"/>
  <c r="AQ81" i="16"/>
  <c r="AF131" i="16"/>
  <c r="AG131" i="16"/>
  <c r="U92" i="12"/>
  <c r="U215" i="12"/>
  <c r="T39" i="20"/>
  <c r="U84" i="12"/>
  <c r="V33" i="12"/>
  <c r="V81" i="12"/>
  <c r="W166" i="12"/>
  <c r="W63" i="12"/>
  <c r="W64" i="12"/>
  <c r="W29" i="12"/>
  <c r="Y26" i="12"/>
  <c r="X27" i="12"/>
  <c r="X28" i="12"/>
  <c r="X30" i="12"/>
  <c r="X31" i="12"/>
  <c r="X62" i="12"/>
  <c r="W32" i="12"/>
  <c r="AG43" i="15"/>
  <c r="V39" i="19"/>
  <c r="AG112" i="12"/>
  <c r="AG218" i="12"/>
  <c r="AH54" i="15"/>
  <c r="D81" i="15"/>
  <c r="AN114" i="15"/>
  <c r="X33" i="14"/>
  <c r="X92" i="14" s="1"/>
  <c r="AO191" i="12"/>
  <c r="AN191" i="12"/>
  <c r="AN99" i="15"/>
  <c r="AP98" i="15" s="1"/>
  <c r="AR98" i="15" s="1"/>
  <c r="AF42" i="16"/>
  <c r="AG60" i="16"/>
  <c r="AF43" i="28"/>
  <c r="AQ191" i="12"/>
  <c r="AH55" i="14"/>
  <c r="AH112" i="14" s="1"/>
  <c r="AG42" i="16"/>
  <c r="W84" i="14"/>
  <c r="AH40" i="16"/>
  <c r="AH122" i="16" s="1"/>
  <c r="AH132" i="16" s="1"/>
  <c r="AG60" i="15"/>
  <c r="Y32" i="14"/>
  <c r="X82" i="14"/>
  <c r="X214" i="14" s="1"/>
  <c r="X224" i="14" s="1"/>
  <c r="AH35" i="16"/>
  <c r="AH128" i="16" s="1"/>
  <c r="V43" i="19"/>
  <c r="AH35" i="15"/>
  <c r="AH128" i="15" s="1"/>
  <c r="AF43" i="29"/>
  <c r="AH40" i="15"/>
  <c r="AE47" i="16"/>
  <c r="AD40" i="29"/>
  <c r="AH54" i="16"/>
  <c r="AG41" i="29"/>
  <c r="Y15" i="14"/>
  <c r="Y16" i="14" s="1"/>
  <c r="AE75" i="16"/>
  <c r="W41" i="19"/>
  <c r="AH21" i="16"/>
  <c r="AH123" i="16" s="1"/>
  <c r="AG43" i="16"/>
  <c r="AF39" i="29"/>
  <c r="Y63" i="14"/>
  <c r="Y64" i="14"/>
  <c r="AA40" i="14"/>
  <c r="AA42" i="14" s="1"/>
  <c r="Z41" i="14"/>
  <c r="X81" i="14"/>
  <c r="X213" i="14" s="1"/>
  <c r="Y43" i="14"/>
  <c r="Y122" i="14" s="1"/>
  <c r="Z62" i="14"/>
  <c r="AA26" i="14"/>
  <c r="Z28" i="14"/>
  <c r="Z27" i="14"/>
  <c r="Z30" i="14"/>
  <c r="Z31" i="14"/>
  <c r="Y29" i="14"/>
  <c r="AB12" i="14"/>
  <c r="AA13" i="14"/>
  <c r="AA83" i="14" s="1"/>
  <c r="CM28" i="58" s="1"/>
  <c r="Z14" i="14"/>
  <c r="X65" i="14"/>
  <c r="X134" i="14" s="1"/>
  <c r="AF47" i="15"/>
  <c r="AE40" i="28"/>
  <c r="AF42" i="15"/>
  <c r="AF39" i="28"/>
  <c r="AG41" i="28"/>
  <c r="AF42" i="20"/>
  <c r="Z13" i="12"/>
  <c r="Z83" i="12" s="1"/>
  <c r="Z119" i="59" s="1"/>
  <c r="Y14" i="12"/>
  <c r="Y15" i="12" s="1"/>
  <c r="Y16" i="12" s="1"/>
  <c r="Y17" i="12" s="1"/>
  <c r="X15" i="12"/>
  <c r="X16" i="12" s="1"/>
  <c r="X17" i="12" s="1"/>
  <c r="W19" i="12"/>
  <c r="W25" i="12" s="1"/>
  <c r="AA12" i="12"/>
  <c r="AH21" i="15"/>
  <c r="AH123" i="15" s="1"/>
  <c r="AH53" i="12"/>
  <c r="AG13" i="16"/>
  <c r="AG125" i="16" s="1"/>
  <c r="AG129" i="16" s="1"/>
  <c r="AH9" i="15"/>
  <c r="AF13" i="16"/>
  <c r="AF125" i="16" s="1"/>
  <c r="AF129" i="16" s="1"/>
  <c r="AH9" i="16"/>
  <c r="AO94" i="15" s="1"/>
  <c r="AG10" i="15"/>
  <c r="AG11" i="15" s="1"/>
  <c r="AG39" i="15" s="1"/>
  <c r="AG121" i="15" s="1"/>
  <c r="Y49" i="12" l="1"/>
  <c r="Y45" i="12" s="1"/>
  <c r="Y48" i="12"/>
  <c r="Y44" i="12"/>
  <c r="Y216" i="12"/>
  <c r="Y122" i="12"/>
  <c r="X41" i="20"/>
  <c r="AA41" i="12"/>
  <c r="Z43" i="12"/>
  <c r="AB40" i="12"/>
  <c r="AB42" i="12" s="1"/>
  <c r="X47" i="12"/>
  <c r="AA27" i="58"/>
  <c r="CM10" i="58"/>
  <c r="CM5" i="58"/>
  <c r="D8" i="60"/>
  <c r="E3" i="61"/>
  <c r="BN32" i="58"/>
  <c r="E20" i="60"/>
  <c r="BF27" i="58"/>
  <c r="Z9" i="58"/>
  <c r="Z4" i="59" s="1"/>
  <c r="Z4" i="58"/>
  <c r="BF4" i="58" s="1"/>
  <c r="CL4" i="58" s="1"/>
  <c r="CK27" i="58"/>
  <c r="CK9" i="58" s="1"/>
  <c r="BE9" i="58"/>
  <c r="BE4" i="59" s="1"/>
  <c r="CK4" i="59" s="1"/>
  <c r="DQ4" i="59" s="1"/>
  <c r="V87" i="14"/>
  <c r="AQ173" i="12"/>
  <c r="AO262" i="12"/>
  <c r="W47" i="14"/>
  <c r="V69" i="14"/>
  <c r="X45" i="14"/>
  <c r="W67" i="14"/>
  <c r="W85" i="14"/>
  <c r="W68" i="14"/>
  <c r="W87" i="14" s="1"/>
  <c r="X46" i="14"/>
  <c r="V86" i="14"/>
  <c r="W35" i="14"/>
  <c r="W37" i="14" s="1"/>
  <c r="Y36" i="14"/>
  <c r="V214" i="12"/>
  <c r="V224" i="12" s="1"/>
  <c r="U67" i="12"/>
  <c r="S88" i="12"/>
  <c r="T37" i="12"/>
  <c r="U85" i="12"/>
  <c r="T87" i="12"/>
  <c r="T86" i="12"/>
  <c r="U23" i="12"/>
  <c r="V39" i="12"/>
  <c r="W36" i="12"/>
  <c r="U90" i="12"/>
  <c r="U35" i="12"/>
  <c r="V66" i="12"/>
  <c r="V71" i="12"/>
  <c r="V70" i="12"/>
  <c r="X70" i="14"/>
  <c r="X71" i="14"/>
  <c r="X66" i="14"/>
  <c r="U68" i="12"/>
  <c r="U89" i="12"/>
  <c r="T69" i="12"/>
  <c r="U23" i="14"/>
  <c r="X21" i="14"/>
  <c r="V23" i="14"/>
  <c r="W23" i="14"/>
  <c r="X22" i="14"/>
  <c r="W90" i="14"/>
  <c r="W89" i="14"/>
  <c r="W221" i="14"/>
  <c r="X220" i="14"/>
  <c r="AH218" i="14"/>
  <c r="AH61" i="14"/>
  <c r="AH57" i="14" s="1"/>
  <c r="AH56" i="14"/>
  <c r="AH60" i="14"/>
  <c r="Z38" i="14"/>
  <c r="Y216" i="14"/>
  <c r="Y48" i="14"/>
  <c r="Y44" i="14"/>
  <c r="Y49" i="14"/>
  <c r="Z34" i="14"/>
  <c r="X215" i="14"/>
  <c r="X39" i="14"/>
  <c r="V23" i="12"/>
  <c r="U167" i="12"/>
  <c r="AG59" i="12"/>
  <c r="X34" i="12"/>
  <c r="W20" i="12"/>
  <c r="W24" i="12"/>
  <c r="X38" i="12"/>
  <c r="AP190" i="12"/>
  <c r="AR190" i="12" s="1"/>
  <c r="AH122" i="15"/>
  <c r="AH132" i="15" s="1"/>
  <c r="AP126" i="15"/>
  <c r="V134" i="12"/>
  <c r="W81" i="12"/>
  <c r="W213" i="12" s="1"/>
  <c r="V220" i="12"/>
  <c r="U43" i="20"/>
  <c r="AG131" i="15"/>
  <c r="U221" i="12"/>
  <c r="W39" i="19"/>
  <c r="X223" i="14"/>
  <c r="W33" i="12"/>
  <c r="Z26" i="12"/>
  <c r="Y31" i="12"/>
  <c r="Y30" i="12"/>
  <c r="Y27" i="12"/>
  <c r="Y28" i="12"/>
  <c r="Y62" i="12"/>
  <c r="W82" i="12"/>
  <c r="V92" i="12"/>
  <c r="V215" i="12"/>
  <c r="U39" i="20"/>
  <c r="U168" i="12"/>
  <c r="X32" i="12"/>
  <c r="V213" i="12"/>
  <c r="V84" i="12"/>
  <c r="X166" i="12"/>
  <c r="X64" i="12"/>
  <c r="X63" i="12"/>
  <c r="X29" i="12"/>
  <c r="W65" i="12"/>
  <c r="D83" i="16"/>
  <c r="D85" i="16"/>
  <c r="D80" i="16"/>
  <c r="D84" i="16"/>
  <c r="W217" i="12"/>
  <c r="W102" i="12"/>
  <c r="D178" i="14"/>
  <c r="AG42" i="19"/>
  <c r="AH43" i="15"/>
  <c r="D80" i="15"/>
  <c r="AN110" i="15"/>
  <c r="D84" i="15"/>
  <c r="AN123" i="15"/>
  <c r="D83" i="15"/>
  <c r="D85" i="15"/>
  <c r="Y33" i="14"/>
  <c r="Y92" i="14" s="1"/>
  <c r="AH60" i="15"/>
  <c r="AG75" i="16"/>
  <c r="AH60" i="16"/>
  <c r="Y82" i="14"/>
  <c r="Y214" i="14" s="1"/>
  <c r="Y224" i="14" s="1"/>
  <c r="AG43" i="29"/>
  <c r="X84" i="14"/>
  <c r="AG43" i="28"/>
  <c r="AA14" i="14"/>
  <c r="AA15" i="14" s="1"/>
  <c r="AA16" i="14" s="1"/>
  <c r="AA62" i="14"/>
  <c r="W43" i="19"/>
  <c r="AA30" i="14"/>
  <c r="AA31" i="14"/>
  <c r="AA28" i="14"/>
  <c r="AB26" i="14"/>
  <c r="AA27" i="14"/>
  <c r="Y17" i="14"/>
  <c r="X41" i="19"/>
  <c r="AG47" i="16"/>
  <c r="AF40" i="29"/>
  <c r="Z15" i="14"/>
  <c r="Z16" i="14" s="1"/>
  <c r="Z32" i="14"/>
  <c r="Y65" i="14"/>
  <c r="Y134" i="14" s="1"/>
  <c r="AH43" i="16"/>
  <c r="AG39" i="29"/>
  <c r="AE76" i="16"/>
  <c r="AA41" i="14"/>
  <c r="AB40" i="14"/>
  <c r="AB42" i="14" s="1"/>
  <c r="AF47" i="16"/>
  <c r="AE40" i="29"/>
  <c r="AF75" i="16"/>
  <c r="AC12" i="14"/>
  <c r="AB13" i="14"/>
  <c r="AB83" i="14" s="1"/>
  <c r="CN28" i="58" s="1"/>
  <c r="Z29" i="14"/>
  <c r="Z64" i="14"/>
  <c r="Z63" i="14"/>
  <c r="Z43" i="14"/>
  <c r="Z122" i="14" s="1"/>
  <c r="AF76" i="15"/>
  <c r="AF75" i="15"/>
  <c r="AG39" i="28"/>
  <c r="V40" i="20"/>
  <c r="AA13" i="12"/>
  <c r="AA83" i="12" s="1"/>
  <c r="AA119" i="59" s="1"/>
  <c r="X19" i="12"/>
  <c r="X25" i="12" s="1"/>
  <c r="Y19" i="12"/>
  <c r="Y25" i="12" s="1"/>
  <c r="Z14" i="12"/>
  <c r="Z15" i="12" s="1"/>
  <c r="Z16" i="12" s="1"/>
  <c r="Z17" i="12" s="1"/>
  <c r="AB12" i="12"/>
  <c r="AH55" i="12"/>
  <c r="AH10" i="16"/>
  <c r="AG13" i="15"/>
  <c r="AG125" i="15" s="1"/>
  <c r="AG129" i="15" s="1"/>
  <c r="AH10" i="15"/>
  <c r="AH11" i="15" s="1"/>
  <c r="AP81" i="15" s="1"/>
  <c r="Z216" i="12" l="1"/>
  <c r="Z122" i="12"/>
  <c r="Z49" i="12"/>
  <c r="Z45" i="12" s="1"/>
  <c r="Y46" i="12"/>
  <c r="Z48" i="12"/>
  <c r="Z44" i="12"/>
  <c r="Y41" i="20"/>
  <c r="AA43" i="12"/>
  <c r="AC40" i="12"/>
  <c r="AC42" i="12" s="1"/>
  <c r="AB41" i="12"/>
  <c r="AB27" i="58"/>
  <c r="CN10" i="58"/>
  <c r="CN5" i="58"/>
  <c r="CT32" i="58"/>
  <c r="DA19" i="58"/>
  <c r="N6" i="60"/>
  <c r="D20" i="60"/>
  <c r="C8" i="60"/>
  <c r="F8" i="60"/>
  <c r="F20" i="60" s="1"/>
  <c r="S20" i="60" s="1"/>
  <c r="CL27" i="58"/>
  <c r="CL9" i="58" s="1"/>
  <c r="BF9" i="58"/>
  <c r="BF4" i="59" s="1"/>
  <c r="CL4" i="59" s="1"/>
  <c r="DR4" i="59" s="1"/>
  <c r="BG27" i="58"/>
  <c r="AA9" i="58"/>
  <c r="AA4" i="59" s="1"/>
  <c r="AA4" i="58"/>
  <c r="BG4" i="58" s="1"/>
  <c r="CM4" i="58" s="1"/>
  <c r="X47" i="14"/>
  <c r="W69" i="14"/>
  <c r="W88" i="14" s="1"/>
  <c r="X67" i="14"/>
  <c r="X85" i="14"/>
  <c r="Y45" i="14"/>
  <c r="X68" i="14"/>
  <c r="Y46" i="14"/>
  <c r="AH58" i="14"/>
  <c r="AH59" i="14" s="1"/>
  <c r="V88" i="14"/>
  <c r="U88" i="14"/>
  <c r="W86" i="14"/>
  <c r="X35" i="14"/>
  <c r="X37" i="14" s="1"/>
  <c r="Z36" i="14"/>
  <c r="X221" i="14"/>
  <c r="W214" i="12"/>
  <c r="W224" i="12" s="1"/>
  <c r="V67" i="12"/>
  <c r="X36" i="12"/>
  <c r="U87" i="12"/>
  <c r="T88" i="12"/>
  <c r="V85" i="12"/>
  <c r="U37" i="12"/>
  <c r="U86" i="12"/>
  <c r="X23" i="14"/>
  <c r="U69" i="12"/>
  <c r="Y70" i="14"/>
  <c r="Y71" i="14"/>
  <c r="Y66" i="14"/>
  <c r="W71" i="12"/>
  <c r="W66" i="12"/>
  <c r="W70" i="12"/>
  <c r="V68" i="12"/>
  <c r="V89" i="12"/>
  <c r="V90" i="12"/>
  <c r="V35" i="12"/>
  <c r="W39" i="12"/>
  <c r="X90" i="14"/>
  <c r="X89" i="14"/>
  <c r="Y220" i="14"/>
  <c r="AA38" i="14"/>
  <c r="Z216" i="14"/>
  <c r="Z49" i="14"/>
  <c r="Z48" i="14"/>
  <c r="Z44" i="14"/>
  <c r="Y215" i="14"/>
  <c r="Y39" i="14"/>
  <c r="AA34" i="14"/>
  <c r="W22" i="12"/>
  <c r="W21" i="12"/>
  <c r="AH60" i="12"/>
  <c r="AH58" i="12" s="1"/>
  <c r="AH56" i="12"/>
  <c r="AH61" i="12"/>
  <c r="AH57" i="12" s="1"/>
  <c r="Y34" i="12"/>
  <c r="X20" i="12"/>
  <c r="X24" i="12"/>
  <c r="Y24" i="12"/>
  <c r="Y20" i="12"/>
  <c r="Y38" i="12"/>
  <c r="V39" i="20"/>
  <c r="W92" i="12"/>
  <c r="X65" i="12"/>
  <c r="X39" i="19"/>
  <c r="X33" i="12"/>
  <c r="Y32" i="12"/>
  <c r="V223" i="12"/>
  <c r="V221" i="12"/>
  <c r="Y29" i="12"/>
  <c r="W223" i="12"/>
  <c r="W215" i="12"/>
  <c r="W84" i="12"/>
  <c r="X82" i="12"/>
  <c r="Y166" i="12"/>
  <c r="Y64" i="12"/>
  <c r="Y63" i="12"/>
  <c r="V167" i="12"/>
  <c r="V168" i="12"/>
  <c r="X81" i="12"/>
  <c r="X213" i="12" s="1"/>
  <c r="W134" i="12"/>
  <c r="W220" i="12"/>
  <c r="V43" i="20"/>
  <c r="Z28" i="12"/>
  <c r="Z27" i="12"/>
  <c r="AA26" i="12"/>
  <c r="Z31" i="12"/>
  <c r="Z30" i="12"/>
  <c r="Z62" i="12"/>
  <c r="AH11" i="16"/>
  <c r="AH13" i="16" s="1"/>
  <c r="AP94" i="15"/>
  <c r="Y102" i="12"/>
  <c r="Y217" i="12"/>
  <c r="D178" i="12"/>
  <c r="AN212" i="12"/>
  <c r="AH112" i="12"/>
  <c r="AH218" i="12"/>
  <c r="X102" i="12"/>
  <c r="X217" i="12"/>
  <c r="AG76" i="16"/>
  <c r="AA43" i="14"/>
  <c r="AA122" i="14" s="1"/>
  <c r="AA64" i="14"/>
  <c r="AA63" i="14"/>
  <c r="Z82" i="14"/>
  <c r="Z214" i="14" s="1"/>
  <c r="Z224" i="14" s="1"/>
  <c r="Z33" i="14"/>
  <c r="Z92" i="14" s="1"/>
  <c r="Z65" i="14"/>
  <c r="Z134" i="14" s="1"/>
  <c r="AA29" i="14"/>
  <c r="AC13" i="14"/>
  <c r="AC83" i="14" s="1"/>
  <c r="CO28" i="58" s="1"/>
  <c r="AD12" i="14"/>
  <c r="Y81" i="14"/>
  <c r="Y213" i="14" s="1"/>
  <c r="Y19" i="14"/>
  <c r="Y102" i="14" s="1"/>
  <c r="AA32" i="14"/>
  <c r="AB41" i="14"/>
  <c r="AC40" i="14"/>
  <c r="AC42" i="14" s="1"/>
  <c r="X43" i="19"/>
  <c r="AB13" i="12"/>
  <c r="AB83" i="12" s="1"/>
  <c r="AB119" i="59" s="1"/>
  <c r="AB14" i="14"/>
  <c r="Z17" i="14"/>
  <c r="AC26" i="14"/>
  <c r="AB30" i="14"/>
  <c r="AB31" i="14"/>
  <c r="AB28" i="14"/>
  <c r="AB27" i="14"/>
  <c r="AH39" i="15"/>
  <c r="AH42" i="15" s="1"/>
  <c r="AL271" i="12" s="1"/>
  <c r="AH13" i="15"/>
  <c r="AH125" i="15" s="1"/>
  <c r="Y41" i="19"/>
  <c r="AB62" i="14"/>
  <c r="AF76" i="16"/>
  <c r="AA17" i="14"/>
  <c r="AG47" i="15"/>
  <c r="AG42" i="20"/>
  <c r="AF40" i="28"/>
  <c r="AG42" i="15"/>
  <c r="X40" i="20"/>
  <c r="W40" i="20"/>
  <c r="Z19" i="12"/>
  <c r="Z25" i="12" s="1"/>
  <c r="AC12" i="12"/>
  <c r="AA14" i="12"/>
  <c r="Y47" i="12" l="1"/>
  <c r="Z46" i="12"/>
  <c r="AA49" i="12"/>
  <c r="AA45" i="12" s="1"/>
  <c r="AA44" i="12"/>
  <c r="AA48" i="12"/>
  <c r="AA122" i="12"/>
  <c r="AA216" i="12"/>
  <c r="Z41" i="20"/>
  <c r="AD40" i="12"/>
  <c r="AD42" i="12" s="1"/>
  <c r="AC41" i="12"/>
  <c r="AB43" i="12"/>
  <c r="AC27" i="58"/>
  <c r="CO10" i="58"/>
  <c r="CO5" i="58"/>
  <c r="CM27" i="58"/>
  <c r="CM9" i="58" s="1"/>
  <c r="BG9" i="58"/>
  <c r="BG4" i="59" s="1"/>
  <c r="CM4" i="59" s="1"/>
  <c r="DS4" i="59" s="1"/>
  <c r="C20" i="60"/>
  <c r="BH27" i="58"/>
  <c r="AB9" i="58"/>
  <c r="AB4" i="59" s="1"/>
  <c r="AB4" i="58"/>
  <c r="BH4" i="58" s="1"/>
  <c r="CN4" i="58" s="1"/>
  <c r="Y47" i="14"/>
  <c r="X69" i="14"/>
  <c r="X88" i="14" s="1"/>
  <c r="X87" i="14"/>
  <c r="Z47" i="12"/>
  <c r="Z45" i="14"/>
  <c r="Y67" i="14"/>
  <c r="Y68" i="14"/>
  <c r="Z46" i="14"/>
  <c r="X86" i="14"/>
  <c r="Y35" i="14"/>
  <c r="Y37" i="14" s="1"/>
  <c r="AA36" i="14"/>
  <c r="X214" i="12"/>
  <c r="X224" i="12" s="1"/>
  <c r="W67" i="12"/>
  <c r="V86" i="12"/>
  <c r="AB49" i="12"/>
  <c r="AB45" i="12" s="1"/>
  <c r="AA46" i="12"/>
  <c r="W85" i="12"/>
  <c r="U88" i="12"/>
  <c r="V87" i="12"/>
  <c r="V37" i="12"/>
  <c r="W23" i="12"/>
  <c r="Z71" i="14"/>
  <c r="Z66" i="14"/>
  <c r="Z70" i="14"/>
  <c r="Y36" i="12"/>
  <c r="W90" i="12"/>
  <c r="W35" i="12"/>
  <c r="X39" i="12"/>
  <c r="X70" i="12"/>
  <c r="X66" i="12"/>
  <c r="X71" i="12"/>
  <c r="W68" i="12"/>
  <c r="W89" i="12"/>
  <c r="V69" i="12"/>
  <c r="Z220" i="14"/>
  <c r="AB34" i="14"/>
  <c r="AA216" i="14"/>
  <c r="AA48" i="14"/>
  <c r="AA44" i="14"/>
  <c r="AA49" i="14"/>
  <c r="AB38" i="14"/>
  <c r="Z215" i="14"/>
  <c r="Z39" i="14"/>
  <c r="Y217" i="14"/>
  <c r="Y221" i="14" s="1"/>
  <c r="Y24" i="14"/>
  <c r="Y20" i="14"/>
  <c r="Y25" i="14"/>
  <c r="X21" i="12"/>
  <c r="Y22" i="12"/>
  <c r="Y21" i="12"/>
  <c r="X22" i="12"/>
  <c r="W167" i="12"/>
  <c r="AH59" i="12"/>
  <c r="Z38" i="12"/>
  <c r="Z24" i="12"/>
  <c r="Z20" i="12"/>
  <c r="Z34" i="12"/>
  <c r="X92" i="12"/>
  <c r="AH121" i="15"/>
  <c r="AH129" i="15" s="1"/>
  <c r="AO126" i="15"/>
  <c r="W39" i="20"/>
  <c r="X220" i="12"/>
  <c r="X134" i="12"/>
  <c r="W43" i="20"/>
  <c r="D82" i="16"/>
  <c r="D88" i="16" s="1"/>
  <c r="AH125" i="16"/>
  <c r="Z29" i="12"/>
  <c r="AH39" i="16"/>
  <c r="AN106" i="16" s="1"/>
  <c r="AO106" i="16" s="1"/>
  <c r="AP81" i="16"/>
  <c r="Y65" i="12"/>
  <c r="Z32" i="12"/>
  <c r="X215" i="12"/>
  <c r="Y33" i="12"/>
  <c r="X84" i="12"/>
  <c r="Y82" i="12"/>
  <c r="Y81" i="12"/>
  <c r="Y213" i="12" s="1"/>
  <c r="Y223" i="12" s="1"/>
  <c r="W221" i="12"/>
  <c r="Y223" i="14"/>
  <c r="X223" i="12"/>
  <c r="AA27" i="12"/>
  <c r="AA31" i="12"/>
  <c r="AA30" i="12"/>
  <c r="AA28" i="12"/>
  <c r="AB26" i="12"/>
  <c r="AA62" i="12"/>
  <c r="Z166" i="12"/>
  <c r="Z64" i="12"/>
  <c r="Z63" i="12"/>
  <c r="W168" i="12"/>
  <c r="Z102" i="12"/>
  <c r="Z217" i="12"/>
  <c r="AH47" i="15"/>
  <c r="AN117" i="15"/>
  <c r="D82" i="15"/>
  <c r="D88" i="15" s="1"/>
  <c r="Z41" i="19"/>
  <c r="AN106" i="15"/>
  <c r="AO106" i="15" s="1"/>
  <c r="Y84" i="14"/>
  <c r="Y39" i="19"/>
  <c r="AA82" i="14"/>
  <c r="AA214" i="14" s="1"/>
  <c r="AA224" i="14" s="1"/>
  <c r="AA65" i="14"/>
  <c r="AA134" i="14" s="1"/>
  <c r="AB29" i="14"/>
  <c r="AA33" i="14"/>
  <c r="AA92" i="14" s="1"/>
  <c r="AB32" i="14"/>
  <c r="Y43" i="19"/>
  <c r="AB63" i="14"/>
  <c r="AB64" i="14"/>
  <c r="AC31" i="14"/>
  <c r="AC28" i="14"/>
  <c r="AC27" i="14"/>
  <c r="AC30" i="14"/>
  <c r="AD26" i="14"/>
  <c r="X40" i="19"/>
  <c r="AH47" i="16"/>
  <c r="AG40" i="29"/>
  <c r="AC41" i="14"/>
  <c r="AD40" i="14"/>
  <c r="AD42" i="14" s="1"/>
  <c r="AC62" i="14"/>
  <c r="AD13" i="14"/>
  <c r="AD83" i="14" s="1"/>
  <c r="CP28" i="58" s="1"/>
  <c r="AE12" i="14"/>
  <c r="AA81" i="14"/>
  <c r="AA213" i="14" s="1"/>
  <c r="AA19" i="14"/>
  <c r="AA102" i="14" s="1"/>
  <c r="Z81" i="14"/>
  <c r="Z213" i="14" s="1"/>
  <c r="Z19" i="14"/>
  <c r="Z102" i="14" s="1"/>
  <c r="AB15" i="14"/>
  <c r="AB43" i="14"/>
  <c r="AB122" i="14" s="1"/>
  <c r="AC14" i="14"/>
  <c r="AG40" i="28"/>
  <c r="AG75" i="15"/>
  <c r="AG76" i="15"/>
  <c r="Y40" i="20"/>
  <c r="AC13" i="12"/>
  <c r="AC83" i="12" s="1"/>
  <c r="AC119" i="59" s="1"/>
  <c r="AB14" i="12"/>
  <c r="AB15" i="12" s="1"/>
  <c r="AB16" i="12" s="1"/>
  <c r="AB17" i="12" s="1"/>
  <c r="AA15" i="12"/>
  <c r="AA16" i="12" s="1"/>
  <c r="AA17" i="12" s="1"/>
  <c r="AD12" i="12"/>
  <c r="AB44" i="12" l="1"/>
  <c r="AB48" i="12"/>
  <c r="AB216" i="12"/>
  <c r="AB122" i="12"/>
  <c r="AC43" i="12"/>
  <c r="AE40" i="12"/>
  <c r="AE42" i="12" s="1"/>
  <c r="AD41" i="12"/>
  <c r="AA41" i="20"/>
  <c r="AD27" i="58"/>
  <c r="CP10" i="58"/>
  <c r="CP5" i="58"/>
  <c r="CN27" i="58"/>
  <c r="CN9" i="58" s="1"/>
  <c r="BH9" i="58"/>
  <c r="BH4" i="59" s="1"/>
  <c r="CN4" i="59" s="1"/>
  <c r="DT4" i="59" s="1"/>
  <c r="BI27" i="58"/>
  <c r="AC9" i="58"/>
  <c r="AC4" i="59" s="1"/>
  <c r="AC4" i="58"/>
  <c r="BI4" i="58" s="1"/>
  <c r="CO4" i="58" s="1"/>
  <c r="Z47" i="14"/>
  <c r="Y69" i="14"/>
  <c r="Y85" i="14"/>
  <c r="AA45" i="14"/>
  <c r="AA47" i="12"/>
  <c r="Z67" i="14"/>
  <c r="Z68" i="14"/>
  <c r="AA46" i="14"/>
  <c r="AB36" i="14"/>
  <c r="Z35" i="14"/>
  <c r="Z37" i="14" s="1"/>
  <c r="Y214" i="12"/>
  <c r="Y224" i="12" s="1"/>
  <c r="X67" i="12"/>
  <c r="W87" i="12"/>
  <c r="W37" i="12"/>
  <c r="V88" i="12"/>
  <c r="X85" i="12"/>
  <c r="W86" i="12"/>
  <c r="X23" i="12"/>
  <c r="X90" i="12"/>
  <c r="X35" i="12"/>
  <c r="Y70" i="12"/>
  <c r="Y71" i="12"/>
  <c r="Y66" i="12"/>
  <c r="Z36" i="12"/>
  <c r="AA66" i="14"/>
  <c r="AA71" i="14"/>
  <c r="AA70" i="14"/>
  <c r="Y39" i="12"/>
  <c r="W69" i="12"/>
  <c r="X89" i="12"/>
  <c r="X68" i="12"/>
  <c r="Y21" i="14"/>
  <c r="Y86" i="14" s="1"/>
  <c r="Y90" i="14"/>
  <c r="Y22" i="14"/>
  <c r="Y87" i="14" s="1"/>
  <c r="Y89" i="14"/>
  <c r="AA220" i="14"/>
  <c r="AB216" i="14"/>
  <c r="AB49" i="14"/>
  <c r="AB48" i="14"/>
  <c r="AB44" i="14"/>
  <c r="AC38" i="14"/>
  <c r="AA215" i="14"/>
  <c r="AA39" i="14"/>
  <c r="AC34" i="14"/>
  <c r="Z217" i="14"/>
  <c r="Z221" i="14" s="1"/>
  <c r="Z25" i="14"/>
  <c r="Z24" i="14"/>
  <c r="Z20" i="14"/>
  <c r="AA217" i="14"/>
  <c r="AA25" i="14"/>
  <c r="AA24" i="14"/>
  <c r="AA20" i="14"/>
  <c r="Y23" i="12"/>
  <c r="Z21" i="12"/>
  <c r="Z22" i="12"/>
  <c r="X167" i="12"/>
  <c r="AH131" i="15"/>
  <c r="AA34" i="12"/>
  <c r="AA38" i="12"/>
  <c r="X221" i="12"/>
  <c r="Z81" i="12"/>
  <c r="Z213" i="12" s="1"/>
  <c r="Z223" i="12" s="1"/>
  <c r="Z82" i="12"/>
  <c r="Z33" i="12"/>
  <c r="Y134" i="12"/>
  <c r="X168" i="12"/>
  <c r="AH121" i="16"/>
  <c r="AH131" i="16" s="1"/>
  <c r="AH42" i="16"/>
  <c r="AR80" i="16" s="1"/>
  <c r="X43" i="20"/>
  <c r="Y220" i="12"/>
  <c r="Y84" i="12"/>
  <c r="Y215" i="12"/>
  <c r="Y92" i="12"/>
  <c r="X39" i="20"/>
  <c r="AA29" i="12"/>
  <c r="Z223" i="14"/>
  <c r="AA223" i="14"/>
  <c r="AA166" i="12"/>
  <c r="AA63" i="12"/>
  <c r="AA64" i="12"/>
  <c r="AB28" i="12"/>
  <c r="AB30" i="12"/>
  <c r="AB31" i="12"/>
  <c r="AC26" i="12"/>
  <c r="AB27" i="12"/>
  <c r="AB62" i="12"/>
  <c r="Z65" i="12"/>
  <c r="AA32" i="12"/>
  <c r="C87" i="16"/>
  <c r="C96" i="16" s="1"/>
  <c r="D101" i="16" s="1"/>
  <c r="C86" i="16"/>
  <c r="C81" i="16"/>
  <c r="C93" i="16" s="1"/>
  <c r="D104" i="16" s="1"/>
  <c r="C85" i="16"/>
  <c r="C80" i="16"/>
  <c r="C83" i="16"/>
  <c r="C94" i="16" s="1"/>
  <c r="D103" i="16" s="1"/>
  <c r="C84" i="16"/>
  <c r="C82" i="16"/>
  <c r="C92" i="16" s="1"/>
  <c r="D105" i="16" s="1"/>
  <c r="C82" i="15"/>
  <c r="C92" i="15" s="1"/>
  <c r="D105" i="15" s="1"/>
  <c r="C87" i="15"/>
  <c r="C96" i="15" s="1"/>
  <c r="D101" i="15" s="1"/>
  <c r="C86" i="15"/>
  <c r="C81" i="15"/>
  <c r="C93" i="15" s="1"/>
  <c r="D104" i="15" s="1"/>
  <c r="C83" i="15"/>
  <c r="C94" i="15" s="1"/>
  <c r="D103" i="15" s="1"/>
  <c r="C84" i="15"/>
  <c r="AH75" i="15"/>
  <c r="C85" i="15"/>
  <c r="C80" i="15"/>
  <c r="AA84" i="14"/>
  <c r="Z84" i="14"/>
  <c r="AB82" i="14"/>
  <c r="AB214" i="14" s="1"/>
  <c r="AB224" i="14" s="1"/>
  <c r="AB33" i="14"/>
  <c r="AB92" i="14" s="1"/>
  <c r="Z39" i="19"/>
  <c r="Z43" i="19"/>
  <c r="AD62" i="14"/>
  <c r="AC43" i="14"/>
  <c r="AC122" i="14" s="1"/>
  <c r="AD14" i="14"/>
  <c r="AD15" i="14" s="1"/>
  <c r="AD16" i="14" s="1"/>
  <c r="AD17" i="14" s="1"/>
  <c r="AC29" i="14"/>
  <c r="AC15" i="14"/>
  <c r="AC16" i="14" s="1"/>
  <c r="AA41" i="19"/>
  <c r="Y40" i="19"/>
  <c r="AC63" i="14"/>
  <c r="AC64" i="14"/>
  <c r="AF12" i="14"/>
  <c r="AE13" i="14"/>
  <c r="AE83" i="14" s="1"/>
  <c r="CQ28" i="58" s="1"/>
  <c r="AD28" i="14"/>
  <c r="AD27" i="14"/>
  <c r="AE26" i="14"/>
  <c r="AD31" i="14"/>
  <c r="AD30" i="14"/>
  <c r="AE40" i="14"/>
  <c r="AE42" i="14" s="1"/>
  <c r="AD41" i="14"/>
  <c r="AB16" i="14"/>
  <c r="AB17" i="14" s="1"/>
  <c r="Z40" i="19"/>
  <c r="AC32" i="14"/>
  <c r="AB65" i="14"/>
  <c r="AB134" i="14" s="1"/>
  <c r="AH76" i="15"/>
  <c r="AB19" i="12"/>
  <c r="AB25" i="12" s="1"/>
  <c r="AD13" i="12"/>
  <c r="AD83" i="12" s="1"/>
  <c r="AD119" i="59" s="1"/>
  <c r="AC14" i="12"/>
  <c r="AC15" i="12" s="1"/>
  <c r="AC16" i="12" s="1"/>
  <c r="AC17" i="12" s="1"/>
  <c r="AA19" i="12"/>
  <c r="AA25" i="12" s="1"/>
  <c r="AE12" i="12"/>
  <c r="AB46" i="12" l="1"/>
  <c r="AC49" i="12"/>
  <c r="AC45" i="12" s="1"/>
  <c r="AC122" i="12"/>
  <c r="AC216" i="12"/>
  <c r="AC48" i="12"/>
  <c r="AC44" i="12"/>
  <c r="AB41" i="20"/>
  <c r="AD43" i="12"/>
  <c r="AF40" i="12"/>
  <c r="AF42" i="12" s="1"/>
  <c r="AE41" i="12"/>
  <c r="AE27" i="58"/>
  <c r="CQ10" i="58"/>
  <c r="CQ5" i="58"/>
  <c r="CO27" i="58"/>
  <c r="CO9" i="58" s="1"/>
  <c r="BI9" i="58"/>
  <c r="BI4" i="59" s="1"/>
  <c r="CO4" i="59" s="1"/>
  <c r="DU4" i="59" s="1"/>
  <c r="BJ27" i="58"/>
  <c r="AD9" i="58"/>
  <c r="AD4" i="59" s="1"/>
  <c r="AD4" i="58"/>
  <c r="BJ4" i="58" s="1"/>
  <c r="CP4" i="58" s="1"/>
  <c r="Z69" i="14"/>
  <c r="Z85" i="14"/>
  <c r="AB45" i="14"/>
  <c r="AA67" i="14"/>
  <c r="AA47" i="14"/>
  <c r="X86" i="12"/>
  <c r="AB47" i="12"/>
  <c r="AA68" i="14"/>
  <c r="AB46" i="14"/>
  <c r="AA35" i="14"/>
  <c r="AA37" i="14" s="1"/>
  <c r="Y23" i="14"/>
  <c r="AC36" i="14"/>
  <c r="Z214" i="12"/>
  <c r="Z224" i="12" s="1"/>
  <c r="AA221" i="14"/>
  <c r="Y67" i="12"/>
  <c r="Z23" i="12"/>
  <c r="AA85" i="14"/>
  <c r="Y85" i="12"/>
  <c r="W88" i="12"/>
  <c r="X37" i="12"/>
  <c r="Y90" i="12"/>
  <c r="Y35" i="12"/>
  <c r="Y68" i="12"/>
  <c r="Y89" i="12"/>
  <c r="AB66" i="14"/>
  <c r="AB70" i="14"/>
  <c r="AB71" i="14"/>
  <c r="Z66" i="12"/>
  <c r="Z71" i="12"/>
  <c r="Z70" i="12"/>
  <c r="Z39" i="12"/>
  <c r="AA36" i="12"/>
  <c r="X87" i="12"/>
  <c r="X69" i="12"/>
  <c r="AA22" i="14"/>
  <c r="AA89" i="14"/>
  <c r="Z22" i="14"/>
  <c r="Z87" i="14" s="1"/>
  <c r="Z89" i="14"/>
  <c r="AA21" i="14"/>
  <c r="AA90" i="14"/>
  <c r="Z21" i="14"/>
  <c r="Z90" i="14"/>
  <c r="AB220" i="14"/>
  <c r="AC216" i="14"/>
  <c r="AC48" i="14"/>
  <c r="AC44" i="14"/>
  <c r="AC49" i="14"/>
  <c r="AD34" i="14"/>
  <c r="AD38" i="14"/>
  <c r="AB215" i="14"/>
  <c r="AB39" i="14"/>
  <c r="Y167" i="12"/>
  <c r="AB34" i="12"/>
  <c r="AB38" i="12"/>
  <c r="AB20" i="12"/>
  <c r="AB24" i="12"/>
  <c r="AA20" i="12"/>
  <c r="AA24" i="12"/>
  <c r="Y39" i="20"/>
  <c r="Z84" i="12"/>
  <c r="Z92" i="12"/>
  <c r="AH76" i="16"/>
  <c r="Z215" i="12"/>
  <c r="AD19" i="14"/>
  <c r="AD102" i="14" s="1"/>
  <c r="AH129" i="16"/>
  <c r="AH75" i="16"/>
  <c r="Y221" i="12"/>
  <c r="AA65" i="12"/>
  <c r="Y168" i="12"/>
  <c r="AA81" i="12"/>
  <c r="AA213" i="12" s="1"/>
  <c r="AB29" i="12"/>
  <c r="AA33" i="12"/>
  <c r="AB166" i="12"/>
  <c r="AB64" i="12"/>
  <c r="AB63" i="12"/>
  <c r="AB32" i="12"/>
  <c r="AC30" i="12"/>
  <c r="AD26" i="12"/>
  <c r="AC27" i="12"/>
  <c r="AC31" i="12"/>
  <c r="AC28" i="12"/>
  <c r="AC62" i="12"/>
  <c r="AA82" i="12"/>
  <c r="Z220" i="12"/>
  <c r="Y43" i="20"/>
  <c r="Z134" i="12"/>
  <c r="C95" i="15"/>
  <c r="C95" i="16"/>
  <c r="D102" i="16" s="1"/>
  <c r="C91" i="16"/>
  <c r="C88" i="16"/>
  <c r="C91" i="15"/>
  <c r="D106" i="15" s="1"/>
  <c r="C88" i="15"/>
  <c r="AA102" i="12"/>
  <c r="AA217" i="12"/>
  <c r="AD64" i="14"/>
  <c r="AB102" i="12"/>
  <c r="AB217" i="12"/>
  <c r="AA39" i="19"/>
  <c r="AD63" i="14"/>
  <c r="AC33" i="14"/>
  <c r="AC92" i="14" s="1"/>
  <c r="AB41" i="19"/>
  <c r="AE62" i="14"/>
  <c r="AE63" i="14" s="1"/>
  <c r="AD43" i="14"/>
  <c r="AD122" i="14" s="1"/>
  <c r="AD32" i="14"/>
  <c r="AB81" i="14"/>
  <c r="AB213" i="14" s="1"/>
  <c r="AB19" i="14"/>
  <c r="AB102" i="14" s="1"/>
  <c r="AC82" i="14"/>
  <c r="AC214" i="14" s="1"/>
  <c r="AC224" i="14" s="1"/>
  <c r="AA43" i="19"/>
  <c r="AE30" i="14"/>
  <c r="AF26" i="14"/>
  <c r="AE27" i="14"/>
  <c r="AE31" i="14"/>
  <c r="AE28" i="14"/>
  <c r="AF13" i="14"/>
  <c r="AF83" i="14" s="1"/>
  <c r="CR28" i="58" s="1"/>
  <c r="AG12" i="14"/>
  <c r="AF40" i="14"/>
  <c r="AF42" i="14" s="1"/>
  <c r="AE41" i="14"/>
  <c r="AD29" i="14"/>
  <c r="AE14" i="14"/>
  <c r="AC65" i="14"/>
  <c r="AC134" i="14" s="1"/>
  <c r="AC17" i="14"/>
  <c r="AA40" i="20"/>
  <c r="Z40" i="20"/>
  <c r="AE13" i="12"/>
  <c r="AE83" i="12" s="1"/>
  <c r="AE119" i="59" s="1"/>
  <c r="AC19" i="12"/>
  <c r="AC25" i="12" s="1"/>
  <c r="AF12" i="12"/>
  <c r="AD14" i="12"/>
  <c r="AD48" i="12" l="1"/>
  <c r="AD44" i="12"/>
  <c r="AD122" i="12"/>
  <c r="AC46" i="12"/>
  <c r="AC47" i="12" s="1"/>
  <c r="AD49" i="12"/>
  <c r="AD45" i="12" s="1"/>
  <c r="AD216" i="12"/>
  <c r="AC41" i="20"/>
  <c r="AE43" i="12"/>
  <c r="AG40" i="12"/>
  <c r="AG42" i="12" s="1"/>
  <c r="AF41" i="12"/>
  <c r="CP27" i="58"/>
  <c r="CP9" i="58" s="1"/>
  <c r="BJ9" i="58"/>
  <c r="BJ4" i="59" s="1"/>
  <c r="CP4" i="59" s="1"/>
  <c r="DV4" i="59" s="1"/>
  <c r="AF27" i="58"/>
  <c r="CR10" i="58"/>
  <c r="CR5" i="58"/>
  <c r="BK27" i="58"/>
  <c r="AE9" i="58"/>
  <c r="AE4" i="59" s="1"/>
  <c r="AE4" i="58"/>
  <c r="BK4" i="58" s="1"/>
  <c r="CQ4" i="58" s="1"/>
  <c r="AA87" i="14"/>
  <c r="AA69" i="14"/>
  <c r="AA86" i="14"/>
  <c r="Z86" i="14"/>
  <c r="AB67" i="14"/>
  <c r="AC45" i="14"/>
  <c r="AB47" i="14"/>
  <c r="AB68" i="14"/>
  <c r="AC46" i="14"/>
  <c r="Y88" i="14"/>
  <c r="AD36" i="14"/>
  <c r="AB35" i="14"/>
  <c r="AB37" i="14" s="1"/>
  <c r="AA23" i="14"/>
  <c r="AA214" i="12"/>
  <c r="AA224" i="12" s="1"/>
  <c r="Z23" i="14"/>
  <c r="AB36" i="12"/>
  <c r="Z35" i="12"/>
  <c r="Z37" i="12" s="1"/>
  <c r="Y86" i="12"/>
  <c r="AD46" i="12"/>
  <c r="Y87" i="12"/>
  <c r="X88" i="12"/>
  <c r="Y37" i="12"/>
  <c r="Z85" i="12"/>
  <c r="AC70" i="14"/>
  <c r="AC71" i="14"/>
  <c r="AC66" i="14"/>
  <c r="AA39" i="12"/>
  <c r="Z68" i="12"/>
  <c r="Z89" i="12"/>
  <c r="Z90" i="12"/>
  <c r="Z67" i="12"/>
  <c r="AA71" i="12"/>
  <c r="AA66" i="12"/>
  <c r="AA70" i="12"/>
  <c r="Y69" i="12"/>
  <c r="AC220" i="14"/>
  <c r="AD216" i="14"/>
  <c r="AD49" i="14"/>
  <c r="AD48" i="14"/>
  <c r="AD44" i="14"/>
  <c r="AE38" i="14"/>
  <c r="AC215" i="14"/>
  <c r="AC39" i="14"/>
  <c r="AE34" i="14"/>
  <c r="AD217" i="14"/>
  <c r="AD25" i="14"/>
  <c r="AD20" i="14"/>
  <c r="AD24" i="14"/>
  <c r="AB217" i="14"/>
  <c r="AB221" i="14" s="1"/>
  <c r="AB24" i="14"/>
  <c r="AB20" i="14"/>
  <c r="AB25" i="14"/>
  <c r="AC40" i="19"/>
  <c r="AA21" i="12"/>
  <c r="AB22" i="12"/>
  <c r="AA22" i="12"/>
  <c r="AB21" i="12"/>
  <c r="Z167" i="12"/>
  <c r="AC38" i="12"/>
  <c r="AC34" i="12"/>
  <c r="AC24" i="12"/>
  <c r="AC20" i="12"/>
  <c r="Z168" i="12"/>
  <c r="Z221" i="12"/>
  <c r="Z39" i="20"/>
  <c r="AA92" i="12"/>
  <c r="AA215" i="12"/>
  <c r="AA134" i="12"/>
  <c r="Z43" i="20"/>
  <c r="AA220" i="12"/>
  <c r="AA84" i="12"/>
  <c r="AB82" i="12"/>
  <c r="AC32" i="12"/>
  <c r="AB33" i="12"/>
  <c r="AB223" i="14"/>
  <c r="AA223" i="12"/>
  <c r="AC29" i="12"/>
  <c r="AC166" i="12"/>
  <c r="AC64" i="12"/>
  <c r="AC63" i="12"/>
  <c r="AD28" i="12"/>
  <c r="AD30" i="12"/>
  <c r="AD27" i="12"/>
  <c r="AD31" i="12"/>
  <c r="AE26" i="12"/>
  <c r="AD62" i="12"/>
  <c r="AB81" i="12"/>
  <c r="AB65" i="12"/>
  <c r="AD65" i="14"/>
  <c r="AD134" i="14" s="1"/>
  <c r="C97" i="16"/>
  <c r="D106" i="16"/>
  <c r="D107" i="16" s="1"/>
  <c r="AC41" i="19"/>
  <c r="AD82" i="14"/>
  <c r="AD214" i="14" s="1"/>
  <c r="AD224" i="14" s="1"/>
  <c r="AC102" i="12"/>
  <c r="AC217" i="12"/>
  <c r="AB84" i="14"/>
  <c r="AD81" i="14"/>
  <c r="AD213" i="14" s="1"/>
  <c r="AE64" i="14"/>
  <c r="AE65" i="14" s="1"/>
  <c r="AE134" i="14" s="1"/>
  <c r="AB39" i="19"/>
  <c r="AE43" i="14"/>
  <c r="AE122" i="14" s="1"/>
  <c r="AE32" i="14"/>
  <c r="AE15" i="14"/>
  <c r="AE16" i="14" s="1"/>
  <c r="AE17" i="14" s="1"/>
  <c r="AF41" i="14"/>
  <c r="AG40" i="14"/>
  <c r="AG42" i="14" s="1"/>
  <c r="AF14" i="14"/>
  <c r="AD33" i="14"/>
  <c r="AD92" i="14" s="1"/>
  <c r="AC81" i="14"/>
  <c r="AC213" i="14" s="1"/>
  <c r="AC19" i="14"/>
  <c r="AC102" i="14" s="1"/>
  <c r="AG13" i="14"/>
  <c r="AG83" i="14" s="1"/>
  <c r="CS28" i="58" s="1"/>
  <c r="AH12" i="14"/>
  <c r="AA40" i="19"/>
  <c r="AF27" i="14"/>
  <c r="AF28" i="14"/>
  <c r="AG26" i="14"/>
  <c r="AF31" i="14"/>
  <c r="AF30" i="14"/>
  <c r="AB43" i="19"/>
  <c r="AF62" i="14"/>
  <c r="AE29" i="14"/>
  <c r="AB40" i="20"/>
  <c r="AF13" i="12"/>
  <c r="AF83" i="12" s="1"/>
  <c r="AF119" i="59" s="1"/>
  <c r="AE14" i="12"/>
  <c r="AE15" i="12" s="1"/>
  <c r="AE16" i="12" s="1"/>
  <c r="AE17" i="12" s="1"/>
  <c r="AG12" i="12"/>
  <c r="AH12" i="12" s="1"/>
  <c r="AD15" i="12"/>
  <c r="AD16" i="12" s="1"/>
  <c r="AD17" i="12" s="1"/>
  <c r="AE49" i="12" l="1"/>
  <c r="AE45" i="12" s="1"/>
  <c r="AE122" i="12"/>
  <c r="AE216" i="12"/>
  <c r="AH40" i="12"/>
  <c r="AH42" i="12" s="1"/>
  <c r="AP260" i="12" s="1"/>
  <c r="AE44" i="12"/>
  <c r="AE48" i="12"/>
  <c r="AD41" i="20"/>
  <c r="AF43" i="12"/>
  <c r="AG41" i="12"/>
  <c r="CQ27" i="58"/>
  <c r="CQ9" i="58" s="1"/>
  <c r="BK9" i="58"/>
  <c r="BK4" i="59" s="1"/>
  <c r="CQ4" i="59" s="1"/>
  <c r="DW4" i="59" s="1"/>
  <c r="AG27" i="58"/>
  <c r="CS10" i="58"/>
  <c r="CS5" i="58"/>
  <c r="BL27" i="58"/>
  <c r="AF9" i="58"/>
  <c r="AF4" i="59" s="1"/>
  <c r="AF4" i="58"/>
  <c r="BL4" i="58" s="1"/>
  <c r="CR4" i="58" s="1"/>
  <c r="AC47" i="14"/>
  <c r="AB85" i="14"/>
  <c r="AB69" i="14"/>
  <c r="AC67" i="14"/>
  <c r="AD45" i="14"/>
  <c r="AD47" i="12"/>
  <c r="AC68" i="14"/>
  <c r="AD46" i="14"/>
  <c r="Z88" i="14"/>
  <c r="AA88" i="14"/>
  <c r="AC35" i="14"/>
  <c r="AC37" i="14" s="1"/>
  <c r="AE36" i="14"/>
  <c r="AB214" i="12"/>
  <c r="AB224" i="12" s="1"/>
  <c r="AA67" i="12"/>
  <c r="AF49" i="12"/>
  <c r="AF45" i="12" s="1"/>
  <c r="AE46" i="12"/>
  <c r="AA85" i="12"/>
  <c r="Z87" i="12"/>
  <c r="Y88" i="12"/>
  <c r="Z86" i="12"/>
  <c r="AB70" i="12"/>
  <c r="AB71" i="12"/>
  <c r="AB66" i="12"/>
  <c r="AB39" i="12"/>
  <c r="AC36" i="12"/>
  <c r="Z69" i="12"/>
  <c r="AA90" i="12"/>
  <c r="AA35" i="12"/>
  <c r="AE71" i="14"/>
  <c r="AE70" i="14"/>
  <c r="AE66" i="14"/>
  <c r="AD71" i="14"/>
  <c r="AD66" i="14"/>
  <c r="AD70" i="14"/>
  <c r="AA68" i="12"/>
  <c r="AA89" i="12"/>
  <c r="AD21" i="14"/>
  <c r="AB22" i="14"/>
  <c r="AB87" i="14" s="1"/>
  <c r="AB89" i="14"/>
  <c r="AB21" i="14"/>
  <c r="AB86" i="14" s="1"/>
  <c r="AB90" i="14"/>
  <c r="AD22" i="14"/>
  <c r="AE220" i="14"/>
  <c r="AE216" i="14"/>
  <c r="AE48" i="14"/>
  <c r="AE44" i="14"/>
  <c r="AE49" i="14"/>
  <c r="AF38" i="14"/>
  <c r="AF34" i="14"/>
  <c r="AD215" i="14"/>
  <c r="AD39" i="14"/>
  <c r="AC217" i="14"/>
  <c r="AC221" i="14" s="1"/>
  <c r="AC24" i="14"/>
  <c r="AC20" i="14"/>
  <c r="AC25" i="14"/>
  <c r="AB23" i="12"/>
  <c r="AA23" i="12"/>
  <c r="AC21" i="12"/>
  <c r="AC22" i="12"/>
  <c r="AD34" i="12"/>
  <c r="AD38" i="12"/>
  <c r="AB215" i="12"/>
  <c r="AB92" i="12"/>
  <c r="AA39" i="20"/>
  <c r="AA221" i="12"/>
  <c r="AA168" i="12"/>
  <c r="AA167" i="12"/>
  <c r="AD29" i="12"/>
  <c r="AC82" i="12"/>
  <c r="AD32" i="12"/>
  <c r="AC223" i="14"/>
  <c r="AD223" i="14"/>
  <c r="AD220" i="14"/>
  <c r="AD166" i="12"/>
  <c r="AD64" i="12"/>
  <c r="AD63" i="12"/>
  <c r="AC43" i="19"/>
  <c r="AE31" i="12"/>
  <c r="AF26" i="12"/>
  <c r="AE28" i="12"/>
  <c r="AE30" i="12"/>
  <c r="AE27" i="12"/>
  <c r="AE62" i="12"/>
  <c r="AC33" i="12"/>
  <c r="AC81" i="12"/>
  <c r="AB134" i="12"/>
  <c r="AB220" i="12"/>
  <c r="AA43" i="20"/>
  <c r="AC65" i="12"/>
  <c r="AB84" i="12"/>
  <c r="AB213" i="12"/>
  <c r="AL206" i="12"/>
  <c r="AM182" i="12"/>
  <c r="AL182" i="12"/>
  <c r="AD84" i="14"/>
  <c r="AC84" i="14"/>
  <c r="AD41" i="19"/>
  <c r="AE82" i="14"/>
  <c r="AE214" i="14" s="1"/>
  <c r="AE224" i="14" s="1"/>
  <c r="AE33" i="14"/>
  <c r="AE92" i="14" s="1"/>
  <c r="AD43" i="19"/>
  <c r="AF43" i="14"/>
  <c r="AF122" i="14" s="1"/>
  <c r="AF32" i="14"/>
  <c r="AF29" i="14"/>
  <c r="AG14" i="14"/>
  <c r="AG41" i="14"/>
  <c r="AH40" i="14"/>
  <c r="AH42" i="14" s="1"/>
  <c r="AF15" i="14"/>
  <c r="AF16" i="14" s="1"/>
  <c r="AF17" i="14" s="1"/>
  <c r="AE81" i="14"/>
  <c r="AE213" i="14" s="1"/>
  <c r="AF63" i="14"/>
  <c r="AF64" i="14"/>
  <c r="AG62" i="14"/>
  <c r="AH26" i="14"/>
  <c r="AG30" i="14"/>
  <c r="AG31" i="14"/>
  <c r="AG28" i="14"/>
  <c r="AG27" i="14"/>
  <c r="AH13" i="14"/>
  <c r="AH83" i="14" s="1"/>
  <c r="AB40" i="19"/>
  <c r="AC39" i="19"/>
  <c r="AE19" i="14"/>
  <c r="AE102" i="14" s="1"/>
  <c r="AE19" i="12"/>
  <c r="AE25" i="12" s="1"/>
  <c r="AG13" i="12"/>
  <c r="AG83" i="12" s="1"/>
  <c r="AG119" i="59" s="1"/>
  <c r="AF14" i="12"/>
  <c r="AF15" i="12" s="1"/>
  <c r="AF16" i="12" s="1"/>
  <c r="AF17" i="12" s="1"/>
  <c r="AD19" i="12"/>
  <c r="AD25" i="12" s="1"/>
  <c r="AF44" i="12" l="1"/>
  <c r="AF48" i="12"/>
  <c r="AF122" i="12"/>
  <c r="AF216" i="12"/>
  <c r="AE41" i="20"/>
  <c r="AG43" i="12"/>
  <c r="AH41" i="12"/>
  <c r="AO260" i="12" s="1"/>
  <c r="AN256" i="14"/>
  <c r="CT28" i="58"/>
  <c r="CR27" i="58"/>
  <c r="CR9" i="58" s="1"/>
  <c r="BL9" i="58"/>
  <c r="BL4" i="59" s="1"/>
  <c r="CR4" i="59" s="1"/>
  <c r="DX4" i="59" s="1"/>
  <c r="AG9" i="58"/>
  <c r="AG4" i="59" s="1"/>
  <c r="BM27" i="58"/>
  <c r="AG4" i="58"/>
  <c r="BM4" i="58" s="1"/>
  <c r="CS4" i="58" s="1"/>
  <c r="AD47" i="14"/>
  <c r="AA86" i="12"/>
  <c r="AC85" i="14"/>
  <c r="AC69" i="14"/>
  <c r="AE45" i="14"/>
  <c r="AD67" i="14"/>
  <c r="AD85" i="14"/>
  <c r="AE67" i="14"/>
  <c r="AE68" i="14"/>
  <c r="AD68" i="14"/>
  <c r="AD87" i="14" s="1"/>
  <c r="AE46" i="14"/>
  <c r="AD221" i="14"/>
  <c r="AD35" i="14"/>
  <c r="AD37" i="14" s="1"/>
  <c r="AF36" i="14"/>
  <c r="AC214" i="12"/>
  <c r="AC224" i="12" s="1"/>
  <c r="AB67" i="12"/>
  <c r="AG49" i="12"/>
  <c r="AE47" i="12"/>
  <c r="AF46" i="12"/>
  <c r="AA87" i="12"/>
  <c r="Z88" i="12"/>
  <c r="AB85" i="12"/>
  <c r="AA37" i="12"/>
  <c r="AC39" i="12"/>
  <c r="AD36" i="12"/>
  <c r="AA69" i="12"/>
  <c r="AB90" i="12"/>
  <c r="AB35" i="12"/>
  <c r="AC66" i="12"/>
  <c r="AC70" i="12"/>
  <c r="AC71" i="12"/>
  <c r="AB89" i="12"/>
  <c r="AB68" i="12"/>
  <c r="AB23" i="14"/>
  <c r="AC21" i="14"/>
  <c r="AC90" i="14"/>
  <c r="AD23" i="14"/>
  <c r="AD90" i="14"/>
  <c r="AD89" i="14"/>
  <c r="AC22" i="14"/>
  <c r="AC87" i="14" s="1"/>
  <c r="AC89" i="14"/>
  <c r="AF216" i="14"/>
  <c r="AF48" i="14"/>
  <c r="AF44" i="14"/>
  <c r="AF49" i="14"/>
  <c r="AG38" i="14"/>
  <c r="AE215" i="14"/>
  <c r="AE39" i="14"/>
  <c r="AG34" i="14"/>
  <c r="AE217" i="14"/>
  <c r="AE24" i="14"/>
  <c r="AE20" i="14"/>
  <c r="AE25" i="14"/>
  <c r="AC23" i="12"/>
  <c r="AE34" i="12"/>
  <c r="AE38" i="12"/>
  <c r="AE20" i="12"/>
  <c r="AE24" i="12"/>
  <c r="AD24" i="12"/>
  <c r="AD20" i="12"/>
  <c r="AD81" i="12"/>
  <c r="AD213" i="12" s="1"/>
  <c r="AD33" i="12"/>
  <c r="AB223" i="12"/>
  <c r="AB221" i="12"/>
  <c r="AD82" i="12"/>
  <c r="AE223" i="14"/>
  <c r="AE32" i="12"/>
  <c r="AB167" i="12"/>
  <c r="AB168" i="12"/>
  <c r="AD65" i="12"/>
  <c r="AE166" i="12"/>
  <c r="AE64" i="12"/>
  <c r="AE63" i="12"/>
  <c r="AG26" i="12"/>
  <c r="AF27" i="12"/>
  <c r="AF30" i="12"/>
  <c r="AF28" i="12"/>
  <c r="AF31" i="12"/>
  <c r="AF62" i="12"/>
  <c r="AC84" i="12"/>
  <c r="AC213" i="12"/>
  <c r="AE29" i="12"/>
  <c r="AC220" i="12"/>
  <c r="AB43" i="20"/>
  <c r="AC134" i="12"/>
  <c r="AC215" i="12"/>
  <c r="AB39" i="20"/>
  <c r="AC92" i="12"/>
  <c r="AL209" i="12"/>
  <c r="AM186" i="12"/>
  <c r="AL186" i="12"/>
  <c r="AD217" i="12"/>
  <c r="AD102" i="12"/>
  <c r="AE217" i="12"/>
  <c r="AE102" i="12"/>
  <c r="AO174" i="12"/>
  <c r="AE84" i="14"/>
  <c r="AD39" i="19"/>
  <c r="AF82" i="14"/>
  <c r="AF214" i="14" s="1"/>
  <c r="AF224" i="14" s="1"/>
  <c r="AF33" i="14"/>
  <c r="AF92" i="14" s="1"/>
  <c r="AE41" i="19"/>
  <c r="AH14" i="14"/>
  <c r="AH15" i="14" s="1"/>
  <c r="AG29" i="14"/>
  <c r="AF81" i="14"/>
  <c r="AF213" i="14" s="1"/>
  <c r="AF19" i="14"/>
  <c r="AF102" i="14" s="1"/>
  <c r="AH28" i="14"/>
  <c r="AH30" i="14"/>
  <c r="AH27" i="14"/>
  <c r="AH31" i="14"/>
  <c r="AD40" i="19"/>
  <c r="AG64" i="14"/>
  <c r="AG63" i="14"/>
  <c r="AG15" i="14"/>
  <c r="AG16" i="14" s="1"/>
  <c r="AH62" i="14"/>
  <c r="AH41" i="14"/>
  <c r="AO173" i="14" s="1"/>
  <c r="AO174" i="14"/>
  <c r="AG32" i="14"/>
  <c r="AF65" i="14"/>
  <c r="AF134" i="14" s="1"/>
  <c r="AG43" i="14"/>
  <c r="AG122" i="14" s="1"/>
  <c r="AC40" i="20"/>
  <c r="AD40" i="20"/>
  <c r="AH13" i="12"/>
  <c r="AG14" i="12"/>
  <c r="AG15" i="12" s="1"/>
  <c r="AG16" i="12" s="1"/>
  <c r="AG17" i="12" s="1"/>
  <c r="AF19" i="12"/>
  <c r="AF25" i="12" s="1"/>
  <c r="AO173" i="12" l="1"/>
  <c r="AG122" i="12"/>
  <c r="AG216" i="12"/>
  <c r="AG48" i="12"/>
  <c r="AG44" i="12"/>
  <c r="AF41" i="20"/>
  <c r="AH43" i="12"/>
  <c r="CS27" i="58"/>
  <c r="CS9" i="58" s="1"/>
  <c r="BM9" i="58"/>
  <c r="BM4" i="59" s="1"/>
  <c r="CS4" i="59" s="1"/>
  <c r="DY4" i="59" s="1"/>
  <c r="AH27" i="58"/>
  <c r="CT10" i="58"/>
  <c r="CT5" i="58"/>
  <c r="AE69" i="14"/>
  <c r="AE85" i="14"/>
  <c r="AE47" i="14"/>
  <c r="AF45" i="14"/>
  <c r="AF47" i="12"/>
  <c r="AD69" i="14"/>
  <c r="AD86" i="14"/>
  <c r="AF46" i="14"/>
  <c r="AB88" i="14"/>
  <c r="AG36" i="14"/>
  <c r="AE35" i="14"/>
  <c r="AE37" i="14" s="1"/>
  <c r="AA88" i="12"/>
  <c r="AD214" i="12"/>
  <c r="AD224" i="12" s="1"/>
  <c r="AC67" i="12"/>
  <c r="AC85" i="12"/>
  <c r="AB37" i="12"/>
  <c r="AE221" i="14"/>
  <c r="AD66" i="12"/>
  <c r="AD71" i="12"/>
  <c r="AD70" i="12"/>
  <c r="AD39" i="12"/>
  <c r="AF66" i="14"/>
  <c r="AF71" i="14"/>
  <c r="AF70" i="14"/>
  <c r="AE36" i="12"/>
  <c r="AB87" i="12"/>
  <c r="AB69" i="12"/>
  <c r="AC68" i="12"/>
  <c r="AC89" i="12"/>
  <c r="AC90" i="12"/>
  <c r="AC35" i="12"/>
  <c r="AB86" i="12"/>
  <c r="AE21" i="14"/>
  <c r="AE90" i="14"/>
  <c r="AE22" i="14"/>
  <c r="AE87" i="14" s="1"/>
  <c r="AE89" i="14"/>
  <c r="AC23" i="14"/>
  <c r="AC86" i="14"/>
  <c r="AF220" i="14"/>
  <c r="AH38" i="14"/>
  <c r="AG216" i="14"/>
  <c r="AG48" i="14"/>
  <c r="AG44" i="14"/>
  <c r="AG49" i="14"/>
  <c r="AH34" i="14"/>
  <c r="AF215" i="14"/>
  <c r="AF39" i="14"/>
  <c r="AF217" i="14"/>
  <c r="AF24" i="14"/>
  <c r="AF20" i="14"/>
  <c r="AF25" i="14"/>
  <c r="AG45" i="12"/>
  <c r="AD22" i="12"/>
  <c r="AE22" i="12"/>
  <c r="AD21" i="12"/>
  <c r="AE21" i="12"/>
  <c r="AH44" i="12"/>
  <c r="AF34" i="12"/>
  <c r="AF38" i="12"/>
  <c r="AF20" i="12"/>
  <c r="AF24" i="12"/>
  <c r="AD92" i="12"/>
  <c r="AE82" i="12"/>
  <c r="AD84" i="12"/>
  <c r="AD215" i="12"/>
  <c r="AC39" i="20"/>
  <c r="AD223" i="12"/>
  <c r="AF29" i="12"/>
  <c r="AF223" i="14"/>
  <c r="AC223" i="12"/>
  <c r="AC221" i="12"/>
  <c r="AG28" i="12"/>
  <c r="AH26" i="12"/>
  <c r="AG27" i="12"/>
  <c r="AG31" i="12"/>
  <c r="AG30" i="12"/>
  <c r="AG62" i="12"/>
  <c r="AE33" i="12"/>
  <c r="AE81" i="12"/>
  <c r="AE65" i="12"/>
  <c r="AD134" i="12"/>
  <c r="AC43" i="20"/>
  <c r="AD220" i="12"/>
  <c r="AF32" i="12"/>
  <c r="AC167" i="12"/>
  <c r="AC168" i="12"/>
  <c r="AF166" i="12"/>
  <c r="AF64" i="12"/>
  <c r="AF63" i="12"/>
  <c r="AO87" i="15"/>
  <c r="AO178" i="12"/>
  <c r="AF102" i="12"/>
  <c r="AF217" i="12"/>
  <c r="AR87" i="15"/>
  <c r="AR178" i="12"/>
  <c r="AN178" i="12"/>
  <c r="AO186" i="12"/>
  <c r="AN91" i="15"/>
  <c r="AN182" i="12"/>
  <c r="AN183" i="12" s="1"/>
  <c r="AH83" i="12"/>
  <c r="AN186" i="12"/>
  <c r="AO91" i="15"/>
  <c r="AO182" i="12"/>
  <c r="AO183" i="12" s="1"/>
  <c r="AQ87" i="15"/>
  <c r="AQ178" i="12"/>
  <c r="AF84" i="14"/>
  <c r="AE39" i="19"/>
  <c r="AG65" i="14"/>
  <c r="AG134" i="14" s="1"/>
  <c r="AH16" i="14"/>
  <c r="AG82" i="14"/>
  <c r="AG214" i="14" s="1"/>
  <c r="AG224" i="14" s="1"/>
  <c r="AE43" i="19"/>
  <c r="AH43" i="14"/>
  <c r="AH122" i="14" s="1"/>
  <c r="AG33" i="14"/>
  <c r="AG92" i="14" s="1"/>
  <c r="AF41" i="19"/>
  <c r="AH64" i="14"/>
  <c r="AH63" i="14"/>
  <c r="AG17" i="14"/>
  <c r="AH29" i="14"/>
  <c r="AN173" i="14" s="1"/>
  <c r="AE40" i="19"/>
  <c r="AH32" i="14"/>
  <c r="AN174" i="14" s="1"/>
  <c r="AE40" i="20"/>
  <c r="AG19" i="12"/>
  <c r="AG25" i="12" s="1"/>
  <c r="AH14" i="12"/>
  <c r="AH15" i="12" s="1"/>
  <c r="S3" i="6"/>
  <c r="N3" i="6"/>
  <c r="AH49" i="12" l="1"/>
  <c r="AH45" i="12" s="1"/>
  <c r="AG46" i="12"/>
  <c r="AH48" i="12"/>
  <c r="AN206" i="12"/>
  <c r="AH216" i="12"/>
  <c r="AP182" i="12"/>
  <c r="AG41" i="20"/>
  <c r="AH122" i="12"/>
  <c r="D173" i="12"/>
  <c r="T3" i="6"/>
  <c r="H35" i="20"/>
  <c r="I4" i="14"/>
  <c r="H35" i="29"/>
  <c r="H35" i="19"/>
  <c r="H35" i="28"/>
  <c r="H4" i="54"/>
  <c r="H4" i="48"/>
  <c r="H4" i="20"/>
  <c r="H4" i="53"/>
  <c r="H4" i="29"/>
  <c r="H4" i="28"/>
  <c r="H4" i="38"/>
  <c r="H4" i="42"/>
  <c r="H4" i="46"/>
  <c r="H4" i="19"/>
  <c r="AH9" i="58"/>
  <c r="E2" i="61"/>
  <c r="CZ19" i="58"/>
  <c r="BN27" i="58"/>
  <c r="AH4" i="58"/>
  <c r="BN4" i="58" s="1"/>
  <c r="O3" i="6"/>
  <c r="C35" i="20"/>
  <c r="D4" i="14"/>
  <c r="C35" i="29"/>
  <c r="C35" i="19"/>
  <c r="C35" i="28"/>
  <c r="C4" i="20"/>
  <c r="C5" i="20" s="1"/>
  <c r="C4" i="28"/>
  <c r="C5" i="28" s="1"/>
  <c r="C4" i="38"/>
  <c r="C5" i="38" s="1"/>
  <c r="C4" i="29"/>
  <c r="C5" i="29" s="1"/>
  <c r="C4" i="53"/>
  <c r="C5" i="53" s="1"/>
  <c r="C4" i="48"/>
  <c r="C5" i="48" s="1"/>
  <c r="C4" i="42"/>
  <c r="C5" i="42" s="1"/>
  <c r="C4" i="46"/>
  <c r="C5" i="46" s="1"/>
  <c r="C4" i="19"/>
  <c r="C5" i="19" s="1"/>
  <c r="C4" i="54"/>
  <c r="C5" i="54" s="1"/>
  <c r="AN256" i="12"/>
  <c r="AN265" i="12" s="1"/>
  <c r="E9" i="60"/>
  <c r="D9" i="60" s="1"/>
  <c r="F10" i="61"/>
  <c r="AH119" i="59"/>
  <c r="AC86" i="12"/>
  <c r="AF47" i="14"/>
  <c r="AG45" i="14"/>
  <c r="AD88" i="14"/>
  <c r="AF67" i="14"/>
  <c r="AF68" i="14"/>
  <c r="AG46" i="14"/>
  <c r="AC88" i="14"/>
  <c r="AH36" i="14"/>
  <c r="AE86" i="14"/>
  <c r="AF35" i="14"/>
  <c r="AF37" i="14" s="1"/>
  <c r="AN218" i="12"/>
  <c r="AE214" i="12"/>
  <c r="AE224" i="12" s="1"/>
  <c r="AD23" i="12"/>
  <c r="AB88" i="12"/>
  <c r="AD35" i="12"/>
  <c r="AD37" i="12" s="1"/>
  <c r="AG47" i="12"/>
  <c r="AC37" i="12"/>
  <c r="AD85" i="12"/>
  <c r="AC87" i="12"/>
  <c r="AE23" i="12"/>
  <c r="AD221" i="12"/>
  <c r="AF85" i="14"/>
  <c r="AF221" i="14"/>
  <c r="AD68" i="12"/>
  <c r="AD89" i="12"/>
  <c r="AE39" i="12"/>
  <c r="AG70" i="14"/>
  <c r="AG66" i="14"/>
  <c r="AG71" i="14"/>
  <c r="AE70" i="12"/>
  <c r="AE71" i="12"/>
  <c r="AE66" i="12"/>
  <c r="AD90" i="12"/>
  <c r="AD67" i="12"/>
  <c r="AF36" i="12"/>
  <c r="AC69" i="12"/>
  <c r="AE23" i="14"/>
  <c r="AF21" i="14"/>
  <c r="AF90" i="14"/>
  <c r="AF22" i="14"/>
  <c r="AF89" i="14"/>
  <c r="AG220" i="14"/>
  <c r="AH216" i="14"/>
  <c r="AH49" i="14"/>
  <c r="AH48" i="14"/>
  <c r="AH44" i="14"/>
  <c r="AG215" i="14"/>
  <c r="AG39" i="14"/>
  <c r="AF22" i="12"/>
  <c r="AF21" i="12"/>
  <c r="AD167" i="12"/>
  <c r="AG34" i="12"/>
  <c r="AG38" i="12"/>
  <c r="AG24" i="12"/>
  <c r="AG20" i="12"/>
  <c r="AF82" i="12"/>
  <c r="AD168" i="12"/>
  <c r="AG32" i="12"/>
  <c r="AF33" i="12"/>
  <c r="AE215" i="12"/>
  <c r="AD39" i="20"/>
  <c r="AE92" i="12"/>
  <c r="AF65" i="12"/>
  <c r="AF81" i="12"/>
  <c r="AG29" i="12"/>
  <c r="AE220" i="12"/>
  <c r="AD43" i="20"/>
  <c r="AE134" i="12"/>
  <c r="AG166" i="12"/>
  <c r="AG64" i="12"/>
  <c r="AG63" i="12"/>
  <c r="AL202" i="12"/>
  <c r="AH30" i="12"/>
  <c r="AM178" i="12"/>
  <c r="AH31" i="12"/>
  <c r="AL178" i="12"/>
  <c r="AH28" i="12"/>
  <c r="AO179" i="12" s="1"/>
  <c r="AH27" i="12"/>
  <c r="AH62" i="12"/>
  <c r="AE213" i="12"/>
  <c r="AE84" i="12"/>
  <c r="AN103" i="15"/>
  <c r="AR173" i="14"/>
  <c r="AO103" i="15"/>
  <c r="AR174" i="14"/>
  <c r="AO95" i="15"/>
  <c r="AH16" i="12"/>
  <c r="AO187" i="12"/>
  <c r="AG102" i="12"/>
  <c r="AG217" i="12"/>
  <c r="AH17" i="14"/>
  <c r="AP95" i="15"/>
  <c r="AP186" i="12"/>
  <c r="AN87" i="15"/>
  <c r="AP86" i="15" s="1"/>
  <c r="AO194" i="12"/>
  <c r="AN194" i="12"/>
  <c r="D173" i="14"/>
  <c r="AG41" i="19"/>
  <c r="AF43" i="19"/>
  <c r="AF39" i="19"/>
  <c r="AH65" i="14"/>
  <c r="AH134" i="14" s="1"/>
  <c r="AH33" i="14"/>
  <c r="AH92" i="14" s="1"/>
  <c r="AH82" i="14"/>
  <c r="AG81" i="14"/>
  <c r="AG213" i="14" s="1"/>
  <c r="AG19" i="14"/>
  <c r="AG102" i="14" s="1"/>
  <c r="AF40" i="20"/>
  <c r="I4" i="12"/>
  <c r="H3" i="52" s="1"/>
  <c r="H8" i="52" s="1"/>
  <c r="U3" i="6"/>
  <c r="J4" i="12"/>
  <c r="I3" i="52" s="1"/>
  <c r="I8" i="52" s="1"/>
  <c r="P3" i="6"/>
  <c r="E4" i="12"/>
  <c r="D3" i="52" s="1"/>
  <c r="D8" i="52" s="1"/>
  <c r="D4" i="12"/>
  <c r="C3" i="52" s="1"/>
  <c r="C8" i="52" s="1"/>
  <c r="AI8" i="52" s="1"/>
  <c r="AH46" i="12" l="1"/>
  <c r="F9" i="60"/>
  <c r="F21" i="60" s="1"/>
  <c r="F30" i="60" s="1"/>
  <c r="D21" i="60"/>
  <c r="D30" i="60" s="1"/>
  <c r="D31" i="60" s="1"/>
  <c r="M6" i="60"/>
  <c r="D55" i="60"/>
  <c r="I8" i="60"/>
  <c r="C18" i="38"/>
  <c r="C31" i="38" s="1"/>
  <c r="C46" i="38" s="1"/>
  <c r="C237" i="38" s="1"/>
  <c r="C14" i="38"/>
  <c r="C17" i="38"/>
  <c r="C30" i="38" s="1"/>
  <c r="C45" i="38" s="1"/>
  <c r="C15" i="38"/>
  <c r="C28" i="38" s="1"/>
  <c r="C43" i="38" s="1"/>
  <c r="C16" i="38"/>
  <c r="C29" i="38" s="1"/>
  <c r="C44" i="38" s="1"/>
  <c r="C222" i="38" s="1"/>
  <c r="D35" i="20"/>
  <c r="E4" i="14"/>
  <c r="D35" i="29"/>
  <c r="D35" i="19"/>
  <c r="D35" i="28"/>
  <c r="D4" i="46"/>
  <c r="D5" i="46" s="1"/>
  <c r="D4" i="20"/>
  <c r="D5" i="20" s="1"/>
  <c r="D4" i="38"/>
  <c r="D5" i="38" s="1"/>
  <c r="D4" i="29"/>
  <c r="D5" i="29" s="1"/>
  <c r="D4" i="54"/>
  <c r="D5" i="54" s="1"/>
  <c r="D4" i="42"/>
  <c r="D5" i="42" s="1"/>
  <c r="D4" i="19"/>
  <c r="D5" i="19" s="1"/>
  <c r="D4" i="28"/>
  <c r="D5" i="28" s="1"/>
  <c r="D4" i="53"/>
  <c r="D5" i="53" s="1"/>
  <c r="D4" i="48"/>
  <c r="D5" i="48" s="1"/>
  <c r="C18" i="20"/>
  <c r="C17" i="20"/>
  <c r="C15" i="20"/>
  <c r="C16" i="20"/>
  <c r="C14" i="20"/>
  <c r="C14" i="54"/>
  <c r="C18" i="54"/>
  <c r="C31" i="54" s="1"/>
  <c r="C15" i="54"/>
  <c r="C28" i="54" s="1"/>
  <c r="C16" i="54"/>
  <c r="C29" i="54" s="1"/>
  <c r="C44" i="54" s="1"/>
  <c r="C150" i="54" s="1"/>
  <c r="C151" i="54" s="1"/>
  <c r="C17" i="54"/>
  <c r="C30" i="54" s="1"/>
  <c r="C15" i="28"/>
  <c r="C28" i="28" s="1"/>
  <c r="C46" i="28" s="1"/>
  <c r="C17" i="28"/>
  <c r="C30" i="28" s="1"/>
  <c r="C14" i="28"/>
  <c r="C16" i="28"/>
  <c r="C29" i="28" s="1"/>
  <c r="C47" i="28" s="1"/>
  <c r="C18" i="28"/>
  <c r="C31" i="28" s="1"/>
  <c r="CT4" i="58"/>
  <c r="C15" i="46"/>
  <c r="C28" i="46" s="1"/>
  <c r="C43" i="46" s="1"/>
  <c r="C17" i="46"/>
  <c r="C30" i="46" s="1"/>
  <c r="C45" i="46" s="1"/>
  <c r="C14" i="46"/>
  <c r="C16" i="46"/>
  <c r="C29" i="46" s="1"/>
  <c r="C44" i="46" s="1"/>
  <c r="C246" i="46" s="1"/>
  <c r="C18" i="46"/>
  <c r="C31" i="46" s="1"/>
  <c r="CT27" i="58"/>
  <c r="CT9" i="58" s="1"/>
  <c r="BN9" i="58"/>
  <c r="E35" i="20"/>
  <c r="E35" i="29"/>
  <c r="F4" i="14"/>
  <c r="E35" i="19"/>
  <c r="E35" i="28"/>
  <c r="E4" i="48"/>
  <c r="E5" i="48" s="1"/>
  <c r="E4" i="46"/>
  <c r="E4" i="38"/>
  <c r="E5" i="38" s="1"/>
  <c r="E4" i="42"/>
  <c r="E5" i="42" s="1"/>
  <c r="E4" i="28"/>
  <c r="E4" i="20"/>
  <c r="E5" i="20" s="1"/>
  <c r="E4" i="54"/>
  <c r="E4" i="29"/>
  <c r="E5" i="29" s="1"/>
  <c r="E4" i="53"/>
  <c r="E4" i="19"/>
  <c r="E5" i="19" s="1"/>
  <c r="C18" i="42"/>
  <c r="C31" i="42" s="1"/>
  <c r="C46" i="42" s="1"/>
  <c r="C237" i="42" s="1"/>
  <c r="C15" i="42"/>
  <c r="C28" i="42" s="1"/>
  <c r="C43" i="42" s="1"/>
  <c r="C16" i="42"/>
  <c r="C29" i="42" s="1"/>
  <c r="C44" i="42" s="1"/>
  <c r="C222" i="42" s="1"/>
  <c r="C14" i="42"/>
  <c r="C17" i="42"/>
  <c r="C30" i="42" s="1"/>
  <c r="C45" i="42" s="1"/>
  <c r="BU28" i="58"/>
  <c r="I7" i="14"/>
  <c r="I5" i="14"/>
  <c r="I6" i="14"/>
  <c r="I8" i="14" s="1"/>
  <c r="I10" i="14"/>
  <c r="I9" i="14"/>
  <c r="I62" i="14"/>
  <c r="C18" i="19"/>
  <c r="C31" i="19" s="1"/>
  <c r="C15" i="19"/>
  <c r="C28" i="19" s="1"/>
  <c r="C46" i="19" s="1"/>
  <c r="C14" i="19"/>
  <c r="C17" i="19"/>
  <c r="C30" i="19" s="1"/>
  <c r="C48" i="19" s="1"/>
  <c r="C16" i="19"/>
  <c r="C29" i="19" s="1"/>
  <c r="C47" i="19" s="1"/>
  <c r="C14" i="48"/>
  <c r="C18" i="48"/>
  <c r="C31" i="48" s="1"/>
  <c r="C16" i="48"/>
  <c r="C29" i="48" s="1"/>
  <c r="C44" i="48" s="1"/>
  <c r="C17" i="48"/>
  <c r="C30" i="48" s="1"/>
  <c r="C45" i="48" s="1"/>
  <c r="C15" i="48"/>
  <c r="C28" i="48" s="1"/>
  <c r="C43" i="48" s="1"/>
  <c r="F31" i="60"/>
  <c r="AH4" i="59"/>
  <c r="J35" i="20"/>
  <c r="J35" i="29"/>
  <c r="K4" i="14"/>
  <c r="J35" i="19"/>
  <c r="J35" i="28"/>
  <c r="J4" i="54"/>
  <c r="J4" i="46"/>
  <c r="J4" i="28"/>
  <c r="J4" i="53"/>
  <c r="J4" i="20"/>
  <c r="J4" i="48"/>
  <c r="J4" i="19"/>
  <c r="J4" i="29"/>
  <c r="J4" i="38"/>
  <c r="J4" i="42"/>
  <c r="C14" i="53"/>
  <c r="C15" i="53"/>
  <c r="C28" i="53" s="1"/>
  <c r="C16" i="53"/>
  <c r="C29" i="53" s="1"/>
  <c r="C44" i="53" s="1"/>
  <c r="C150" i="53" s="1"/>
  <c r="C151" i="53" s="1"/>
  <c r="D60" i="51" s="1"/>
  <c r="AJ60" i="51" s="1"/>
  <c r="C18" i="53"/>
  <c r="C31" i="53" s="1"/>
  <c r="C17" i="53"/>
  <c r="C30" i="53" s="1"/>
  <c r="BP28" i="58"/>
  <c r="AK251" i="14"/>
  <c r="D5" i="14"/>
  <c r="D7" i="14"/>
  <c r="D6" i="14"/>
  <c r="D8" i="14" s="1"/>
  <c r="AK172" i="14"/>
  <c r="AK198" i="14"/>
  <c r="D84" i="14"/>
  <c r="AL175" i="14"/>
  <c r="AL256" i="14"/>
  <c r="AL198" i="14"/>
  <c r="D9" i="14"/>
  <c r="D10" i="14"/>
  <c r="D62" i="14"/>
  <c r="D65" i="14" s="1"/>
  <c r="I35" i="20"/>
  <c r="I35" i="29"/>
  <c r="J4" i="14"/>
  <c r="I35" i="19"/>
  <c r="I35" i="28"/>
  <c r="I4" i="29"/>
  <c r="I4" i="19"/>
  <c r="I4" i="48"/>
  <c r="I4" i="20"/>
  <c r="I4" i="54"/>
  <c r="I4" i="46"/>
  <c r="I4" i="42"/>
  <c r="I4" i="38"/>
  <c r="I4" i="28"/>
  <c r="I4" i="53"/>
  <c r="E21" i="60"/>
  <c r="S21" i="60" s="1"/>
  <c r="E56" i="60"/>
  <c r="C14" i="29"/>
  <c r="C15" i="29"/>
  <c r="C28" i="29" s="1"/>
  <c r="C46" i="29" s="1"/>
  <c r="C17" i="29"/>
  <c r="C18" i="29"/>
  <c r="C31" i="29" s="1"/>
  <c r="C16" i="29"/>
  <c r="C29" i="29" s="1"/>
  <c r="C47" i="29" s="1"/>
  <c r="AK251" i="12"/>
  <c r="AK258" i="12" s="1"/>
  <c r="AL256" i="12"/>
  <c r="AL265" i="12" s="1"/>
  <c r="AH214" i="14"/>
  <c r="AH224" i="14" s="1"/>
  <c r="AP253" i="14"/>
  <c r="AG47" i="14"/>
  <c r="AF69" i="14"/>
  <c r="AF86" i="14"/>
  <c r="AH45" i="14"/>
  <c r="AG67" i="14"/>
  <c r="AF87" i="14"/>
  <c r="AG68" i="14"/>
  <c r="AH46" i="14"/>
  <c r="AE88" i="14"/>
  <c r="AG35" i="14"/>
  <c r="AG37" i="14" s="1"/>
  <c r="AH34" i="12"/>
  <c r="AF214" i="12"/>
  <c r="AF224" i="12" s="1"/>
  <c r="AE67" i="12"/>
  <c r="AC88" i="12"/>
  <c r="AQ179" i="12"/>
  <c r="AE85" i="12"/>
  <c r="AD87" i="12"/>
  <c r="AR179" i="12"/>
  <c r="AD69" i="12"/>
  <c r="AD86" i="12"/>
  <c r="AF23" i="14"/>
  <c r="AH71" i="14"/>
  <c r="AH66" i="14"/>
  <c r="AH70" i="14"/>
  <c r="AF70" i="12"/>
  <c r="AF71" i="12"/>
  <c r="AF66" i="12"/>
  <c r="AE68" i="12"/>
  <c r="AE89" i="12"/>
  <c r="AF39" i="12"/>
  <c r="AG36" i="12"/>
  <c r="AE90" i="12"/>
  <c r="AE35" i="12"/>
  <c r="AH220" i="14"/>
  <c r="AH215" i="14"/>
  <c r="AH39" i="14"/>
  <c r="AG217" i="14"/>
  <c r="AG221" i="14" s="1"/>
  <c r="AG24" i="14"/>
  <c r="AG20" i="14"/>
  <c r="AG25" i="14"/>
  <c r="AG21" i="12"/>
  <c r="AG22" i="12"/>
  <c r="AF23" i="12"/>
  <c r="AH38" i="12"/>
  <c r="J6" i="12"/>
  <c r="J5" i="12"/>
  <c r="J7" i="12"/>
  <c r="J10" i="12"/>
  <c r="J9" i="12"/>
  <c r="D10" i="12"/>
  <c r="D7" i="12"/>
  <c r="AN8" i="12" s="1"/>
  <c r="AO8" i="12" s="1"/>
  <c r="D6" i="12"/>
  <c r="AN7" i="12" s="1"/>
  <c r="AO7" i="12" s="1"/>
  <c r="D5" i="12"/>
  <c r="AN6" i="12" s="1"/>
  <c r="AO6" i="12" s="1"/>
  <c r="D9" i="12"/>
  <c r="E6" i="12"/>
  <c r="E5" i="12"/>
  <c r="E7" i="12"/>
  <c r="E10" i="12"/>
  <c r="E9" i="12"/>
  <c r="I6" i="12"/>
  <c r="I5" i="12"/>
  <c r="I7" i="12"/>
  <c r="I10" i="12"/>
  <c r="I9" i="12"/>
  <c r="AL218" i="12"/>
  <c r="AK218" i="12"/>
  <c r="B204" i="12"/>
  <c r="AP173" i="14"/>
  <c r="AH19" i="14"/>
  <c r="AH102" i="14" s="1"/>
  <c r="AE39" i="20"/>
  <c r="AF92" i="12"/>
  <c r="AH29" i="12"/>
  <c r="AG82" i="12"/>
  <c r="AH81" i="14"/>
  <c r="AE223" i="12"/>
  <c r="AE221" i="12"/>
  <c r="AF215" i="12"/>
  <c r="AN179" i="12"/>
  <c r="AP178" i="12" s="1"/>
  <c r="AG65" i="12"/>
  <c r="AG223" i="14"/>
  <c r="AF84" i="12"/>
  <c r="AF213" i="12"/>
  <c r="AM194" i="12"/>
  <c r="AH63" i="12"/>
  <c r="AH64" i="12"/>
  <c r="AH166" i="12"/>
  <c r="AK198" i="12"/>
  <c r="B203" i="12"/>
  <c r="B206" i="12"/>
  <c r="AL175" i="12"/>
  <c r="AL198" i="12"/>
  <c r="B208" i="12"/>
  <c r="B207" i="12"/>
  <c r="B205" i="12"/>
  <c r="B209" i="12"/>
  <c r="AE168" i="12"/>
  <c r="AE167" i="12"/>
  <c r="AH32" i="12"/>
  <c r="AP259" i="12" s="1"/>
  <c r="AG33" i="12"/>
  <c r="AG81" i="12"/>
  <c r="AE43" i="20"/>
  <c r="AF134" i="12"/>
  <c r="AF220" i="12"/>
  <c r="AP102" i="15"/>
  <c r="AH17" i="12"/>
  <c r="AO261" i="12" s="1"/>
  <c r="AP187" i="12"/>
  <c r="AQ186" i="12" s="1"/>
  <c r="AS186" i="12" s="1"/>
  <c r="AQ94" i="15"/>
  <c r="AG84" i="14"/>
  <c r="D177" i="14"/>
  <c r="D175" i="14"/>
  <c r="D176" i="14"/>
  <c r="D172" i="14"/>
  <c r="AG39" i="19"/>
  <c r="AF40" i="19"/>
  <c r="AK172" i="12"/>
  <c r="D84" i="12"/>
  <c r="AG43" i="19"/>
  <c r="J62" i="12"/>
  <c r="J166" i="12" s="1"/>
  <c r="D62" i="12"/>
  <c r="E62" i="12"/>
  <c r="E166" i="12" s="1"/>
  <c r="I62" i="12"/>
  <c r="I166" i="12" s="1"/>
  <c r="F4" i="12"/>
  <c r="E3" i="52" s="1"/>
  <c r="E8" i="52" s="1"/>
  <c r="Q3" i="6"/>
  <c r="V3" i="6"/>
  <c r="K4" i="12"/>
  <c r="J3" i="52" s="1"/>
  <c r="J8" i="52" s="1"/>
  <c r="AH47" i="12" l="1"/>
  <c r="C43" i="19"/>
  <c r="E5" i="46"/>
  <c r="F35" i="20"/>
  <c r="F35" i="29"/>
  <c r="G4" i="14"/>
  <c r="F35" i="19"/>
  <c r="F35" i="28"/>
  <c r="F4" i="46"/>
  <c r="F5" i="46" s="1"/>
  <c r="F4" i="38"/>
  <c r="F5" i="38" s="1"/>
  <c r="F4" i="48"/>
  <c r="F5" i="48" s="1"/>
  <c r="F4" i="42"/>
  <c r="F5" i="42" s="1"/>
  <c r="F4" i="53"/>
  <c r="F4" i="28"/>
  <c r="F4" i="19"/>
  <c r="F4" i="54"/>
  <c r="F4" i="29"/>
  <c r="F5" i="29" s="1"/>
  <c r="F4" i="20"/>
  <c r="F5" i="20" s="1"/>
  <c r="C19" i="53"/>
  <c r="C27" i="53"/>
  <c r="C32" i="53" s="1"/>
  <c r="C19" i="48"/>
  <c r="C275" i="48" s="1"/>
  <c r="C27" i="48"/>
  <c r="C32" i="48" s="1"/>
  <c r="C19" i="42"/>
  <c r="C247" i="42" s="1"/>
  <c r="C27" i="42"/>
  <c r="E18" i="20"/>
  <c r="E16" i="20"/>
  <c r="E15" i="20"/>
  <c r="E14" i="20"/>
  <c r="E17" i="20"/>
  <c r="BR28" i="58"/>
  <c r="F5" i="14"/>
  <c r="F7" i="14"/>
  <c r="F6" i="14"/>
  <c r="F10" i="14"/>
  <c r="F9" i="14"/>
  <c r="F62" i="14"/>
  <c r="C246" i="48"/>
  <c r="C250" i="46"/>
  <c r="C255" i="46" s="1"/>
  <c r="C251" i="46"/>
  <c r="D96" i="45" s="1"/>
  <c r="C248" i="46"/>
  <c r="C253" i="46" s="1"/>
  <c r="C249" i="46"/>
  <c r="C254" i="46" s="1"/>
  <c r="C247" i="46"/>
  <c r="C252" i="46" s="1"/>
  <c r="C83" i="29"/>
  <c r="C82" i="29" s="1"/>
  <c r="C85" i="29"/>
  <c r="L10" i="31"/>
  <c r="L9" i="31"/>
  <c r="L8" i="31"/>
  <c r="L18" i="31"/>
  <c r="C19" i="54"/>
  <c r="C27" i="54"/>
  <c r="C32" i="54" s="1"/>
  <c r="E5" i="28"/>
  <c r="D18" i="28"/>
  <c r="D31" i="28" s="1"/>
  <c r="D17" i="28"/>
  <c r="D30" i="28" s="1"/>
  <c r="D14" i="28"/>
  <c r="D16" i="28"/>
  <c r="D29" i="28" s="1"/>
  <c r="D47" i="28" s="1"/>
  <c r="D15" i="28"/>
  <c r="D28" i="28" s="1"/>
  <c r="D46" i="28" s="1"/>
  <c r="C19" i="38"/>
  <c r="C247" i="38" s="1"/>
  <c r="C27" i="38"/>
  <c r="BV28" i="58"/>
  <c r="J6" i="14"/>
  <c r="J7" i="14"/>
  <c r="J5" i="14"/>
  <c r="J8" i="14" s="1"/>
  <c r="J9" i="14"/>
  <c r="J10" i="14"/>
  <c r="J62" i="14"/>
  <c r="C30" i="29"/>
  <c r="C49" i="29" s="1"/>
  <c r="C98" i="29"/>
  <c r="C226" i="42"/>
  <c r="C225" i="42"/>
  <c r="C229" i="42" s="1"/>
  <c r="C224" i="42"/>
  <c r="C228" i="42" s="1"/>
  <c r="C223" i="42"/>
  <c r="C227" i="42" s="1"/>
  <c r="C19" i="46"/>
  <c r="C275" i="46" s="1"/>
  <c r="C27" i="46"/>
  <c r="C32" i="46" s="1"/>
  <c r="C19" i="28"/>
  <c r="C118" i="28" s="1"/>
  <c r="C27" i="28"/>
  <c r="C19" i="20"/>
  <c r="D14" i="19"/>
  <c r="D17" i="19"/>
  <c r="D30" i="19" s="1"/>
  <c r="D48" i="19" s="1"/>
  <c r="D15" i="19"/>
  <c r="D28" i="19" s="1"/>
  <c r="D46" i="19" s="1"/>
  <c r="D16" i="19"/>
  <c r="D29" i="19" s="1"/>
  <c r="D47" i="19" s="1"/>
  <c r="D18" i="19"/>
  <c r="D31" i="19" s="1"/>
  <c r="C239" i="38"/>
  <c r="C243" i="38" s="1"/>
  <c r="C240" i="38"/>
  <c r="C244" i="38" s="1"/>
  <c r="C238" i="38"/>
  <c r="C242" i="38" s="1"/>
  <c r="E16" i="42"/>
  <c r="E29" i="42" s="1"/>
  <c r="E44" i="42" s="1"/>
  <c r="E222" i="42" s="1"/>
  <c r="E17" i="42"/>
  <c r="E30" i="42" s="1"/>
  <c r="E45" i="42" s="1"/>
  <c r="E18" i="42"/>
  <c r="E31" i="42" s="1"/>
  <c r="E46" i="42" s="1"/>
  <c r="E237" i="42" s="1"/>
  <c r="E14" i="42"/>
  <c r="E15" i="42"/>
  <c r="E28" i="42" s="1"/>
  <c r="E43" i="42" s="1"/>
  <c r="C19" i="29"/>
  <c r="C27" i="29"/>
  <c r="D27" i="58"/>
  <c r="BP10" i="58"/>
  <c r="BP5" i="58"/>
  <c r="C19" i="19"/>
  <c r="C27" i="19"/>
  <c r="C240" i="42"/>
  <c r="C244" i="42" s="1"/>
  <c r="C239" i="42"/>
  <c r="C243" i="42" s="1"/>
  <c r="C241" i="42"/>
  <c r="C238" i="42"/>
  <c r="C242" i="42" s="1"/>
  <c r="E16" i="38"/>
  <c r="E29" i="38" s="1"/>
  <c r="E44" i="38" s="1"/>
  <c r="E222" i="38" s="1"/>
  <c r="E17" i="38"/>
  <c r="E30" i="38" s="1"/>
  <c r="E45" i="38" s="1"/>
  <c r="E15" i="38"/>
  <c r="E28" i="38" s="1"/>
  <c r="E43" i="38" s="1"/>
  <c r="E14" i="38"/>
  <c r="E18" i="38"/>
  <c r="E31" i="38" s="1"/>
  <c r="E46" i="38" s="1"/>
  <c r="E237" i="38" s="1"/>
  <c r="BN4" i="59"/>
  <c r="CT4" i="59" s="1"/>
  <c r="DZ4" i="59" s="1"/>
  <c r="C157" i="46"/>
  <c r="C177" i="46"/>
  <c r="C147" i="46"/>
  <c r="C167" i="46"/>
  <c r="C223" i="28"/>
  <c r="C77" i="29"/>
  <c r="C67" i="29"/>
  <c r="C99" i="29" s="1"/>
  <c r="C78" i="29"/>
  <c r="L7" i="31"/>
  <c r="C69" i="29"/>
  <c r="C74" i="29"/>
  <c r="D49" i="16" s="1"/>
  <c r="C70" i="29"/>
  <c r="C76" i="29"/>
  <c r="D59" i="16" s="1"/>
  <c r="D135" i="16" s="1"/>
  <c r="C75" i="29"/>
  <c r="C68" i="29"/>
  <c r="C66" i="29"/>
  <c r="C65" i="29" s="1"/>
  <c r="C71" i="29"/>
  <c r="C73" i="29"/>
  <c r="D18" i="54"/>
  <c r="D31" i="54" s="1"/>
  <c r="D17" i="54"/>
  <c r="D30" i="54" s="1"/>
  <c r="D14" i="54"/>
  <c r="E5" i="54"/>
  <c r="D16" i="54"/>
  <c r="D29" i="54" s="1"/>
  <c r="D44" i="54" s="1"/>
  <c r="D150" i="54" s="1"/>
  <c r="D151" i="54" s="1"/>
  <c r="D15" i="54"/>
  <c r="D28" i="54" s="1"/>
  <c r="BQ28" i="58"/>
  <c r="E5" i="14"/>
  <c r="E6" i="14"/>
  <c r="E8" i="14" s="1"/>
  <c r="E7" i="14"/>
  <c r="E10" i="14"/>
  <c r="E9" i="14"/>
  <c r="E62" i="14"/>
  <c r="F55" i="60"/>
  <c r="K35" i="20"/>
  <c r="L4" i="14"/>
  <c r="K35" i="29"/>
  <c r="K35" i="19"/>
  <c r="K35" i="28"/>
  <c r="K4" i="53"/>
  <c r="K4" i="46"/>
  <c r="K4" i="54"/>
  <c r="K4" i="28"/>
  <c r="K4" i="19"/>
  <c r="K4" i="20"/>
  <c r="K4" i="48"/>
  <c r="K4" i="42"/>
  <c r="K4" i="38"/>
  <c r="K4" i="29"/>
  <c r="F5" i="19"/>
  <c r="E18" i="19"/>
  <c r="E31" i="19" s="1"/>
  <c r="E16" i="19"/>
  <c r="E29" i="19" s="1"/>
  <c r="E47" i="19" s="1"/>
  <c r="E17" i="19"/>
  <c r="E30" i="19" s="1"/>
  <c r="E48" i="19" s="1"/>
  <c r="E15" i="19"/>
  <c r="E28" i="19" s="1"/>
  <c r="E46" i="19" s="1"/>
  <c r="E14" i="19"/>
  <c r="E14" i="46"/>
  <c r="E17" i="46"/>
  <c r="E30" i="46" s="1"/>
  <c r="E45" i="46" s="1"/>
  <c r="E15" i="46"/>
  <c r="E28" i="46" s="1"/>
  <c r="E43" i="46" s="1"/>
  <c r="E16" i="46"/>
  <c r="E29" i="46" s="1"/>
  <c r="E44" i="46" s="1"/>
  <c r="E246" i="46" s="1"/>
  <c r="E18" i="46"/>
  <c r="E31" i="46" s="1"/>
  <c r="D16" i="29"/>
  <c r="D29" i="29" s="1"/>
  <c r="D47" i="29" s="1"/>
  <c r="D83" i="29" s="1"/>
  <c r="D82" i="29" s="1"/>
  <c r="D17" i="29"/>
  <c r="D30" i="29" s="1"/>
  <c r="D18" i="29"/>
  <c r="D31" i="29" s="1"/>
  <c r="D15" i="29"/>
  <c r="D28" i="29" s="1"/>
  <c r="D46" i="29" s="1"/>
  <c r="D14" i="29"/>
  <c r="D134" i="14"/>
  <c r="D220" i="14"/>
  <c r="D221" i="14" s="1"/>
  <c r="D71" i="14"/>
  <c r="D70" i="14"/>
  <c r="D66" i="14"/>
  <c r="D85" i="14" s="1"/>
  <c r="E18" i="48"/>
  <c r="E31" i="48" s="1"/>
  <c r="E17" i="48"/>
  <c r="E30" i="48" s="1"/>
  <c r="E45" i="48" s="1"/>
  <c r="E16" i="48"/>
  <c r="E29" i="48" s="1"/>
  <c r="E44" i="48" s="1"/>
  <c r="E15" i="48"/>
  <c r="E28" i="48" s="1"/>
  <c r="E43" i="48" s="1"/>
  <c r="E14" i="48"/>
  <c r="D18" i="38"/>
  <c r="D31" i="38" s="1"/>
  <c r="D46" i="38" s="1"/>
  <c r="D237" i="38" s="1"/>
  <c r="D14" i="38"/>
  <c r="D16" i="38"/>
  <c r="D29" i="38" s="1"/>
  <c r="D44" i="38" s="1"/>
  <c r="D222" i="38" s="1"/>
  <c r="D15" i="38"/>
  <c r="D28" i="38" s="1"/>
  <c r="D43" i="38" s="1"/>
  <c r="D17" i="38"/>
  <c r="D30" i="38" s="1"/>
  <c r="D45" i="38" s="1"/>
  <c r="C225" i="38"/>
  <c r="C229" i="38" s="1"/>
  <c r="C224" i="38"/>
  <c r="C228" i="38" s="1"/>
  <c r="C223" i="38"/>
  <c r="C227" i="38" s="1"/>
  <c r="C137" i="42"/>
  <c r="C161" i="42"/>
  <c r="C145" i="42"/>
  <c r="C153" i="42"/>
  <c r="D18" i="42"/>
  <c r="D31" i="42" s="1"/>
  <c r="D46" i="42" s="1"/>
  <c r="D237" i="42" s="1"/>
  <c r="D15" i="42"/>
  <c r="D28" i="42" s="1"/>
  <c r="D43" i="42" s="1"/>
  <c r="D17" i="42"/>
  <c r="D30" i="42" s="1"/>
  <c r="D45" i="42" s="1"/>
  <c r="D16" i="42"/>
  <c r="D29" i="42" s="1"/>
  <c r="D44" i="42" s="1"/>
  <c r="D222" i="42" s="1"/>
  <c r="D14" i="42"/>
  <c r="BW28" i="58"/>
  <c r="K7" i="14"/>
  <c r="K5" i="14"/>
  <c r="K6" i="14"/>
  <c r="K9" i="14"/>
  <c r="K10" i="14"/>
  <c r="K62" i="14"/>
  <c r="I27" i="58"/>
  <c r="BU10" i="58"/>
  <c r="BU5" i="58"/>
  <c r="E14" i="29"/>
  <c r="E18" i="29"/>
  <c r="E31" i="29" s="1"/>
  <c r="E17" i="29"/>
  <c r="E30" i="29" s="1"/>
  <c r="E16" i="29"/>
  <c r="E29" i="29" s="1"/>
  <c r="E47" i="29" s="1"/>
  <c r="E15" i="29"/>
  <c r="E28" i="29" s="1"/>
  <c r="E46" i="29" s="1"/>
  <c r="D17" i="48"/>
  <c r="D30" i="48" s="1"/>
  <c r="D45" i="48" s="1"/>
  <c r="D14" i="48"/>
  <c r="D16" i="48"/>
  <c r="D29" i="48" s="1"/>
  <c r="D44" i="48" s="1"/>
  <c r="D18" i="48"/>
  <c r="D31" i="48" s="1"/>
  <c r="D15" i="48"/>
  <c r="D28" i="48" s="1"/>
  <c r="D43" i="48" s="1"/>
  <c r="D18" i="20"/>
  <c r="D16" i="20"/>
  <c r="D15" i="20"/>
  <c r="D17" i="20"/>
  <c r="D14" i="20"/>
  <c r="C137" i="38"/>
  <c r="C145" i="38"/>
  <c r="C161" i="38"/>
  <c r="C153" i="38"/>
  <c r="C209" i="46"/>
  <c r="C219" i="46"/>
  <c r="C229" i="46"/>
  <c r="I64" i="14"/>
  <c r="I82" i="14" s="1"/>
  <c r="I214" i="14" s="1"/>
  <c r="I224" i="14" s="1"/>
  <c r="I63" i="14"/>
  <c r="C191" i="42"/>
  <c r="C199" i="42"/>
  <c r="C207" i="42"/>
  <c r="C49" i="28"/>
  <c r="D17" i="53"/>
  <c r="D30" i="53" s="1"/>
  <c r="D18" i="53"/>
  <c r="D31" i="53" s="1"/>
  <c r="E5" i="53"/>
  <c r="D14" i="53"/>
  <c r="D16" i="53"/>
  <c r="D29" i="53" s="1"/>
  <c r="D44" i="53" s="1"/>
  <c r="D150" i="53" s="1"/>
  <c r="D151" i="53" s="1"/>
  <c r="E60" i="51" s="1"/>
  <c r="AK60" i="51" s="1"/>
  <c r="D15" i="53"/>
  <c r="D28" i="53" s="1"/>
  <c r="D14" i="46"/>
  <c r="D16" i="46"/>
  <c r="D29" i="46" s="1"/>
  <c r="D44" i="46" s="1"/>
  <c r="D246" i="46" s="1"/>
  <c r="D15" i="46"/>
  <c r="D28" i="46" s="1"/>
  <c r="D43" i="46" s="1"/>
  <c r="D17" i="46"/>
  <c r="D30" i="46" s="1"/>
  <c r="D45" i="46" s="1"/>
  <c r="D18" i="46"/>
  <c r="D31" i="46" s="1"/>
  <c r="C207" i="38"/>
  <c r="C191" i="38"/>
  <c r="C199" i="38"/>
  <c r="AR174" i="12"/>
  <c r="AP263" i="12"/>
  <c r="AN195" i="12"/>
  <c r="AO263" i="12"/>
  <c r="AN173" i="12"/>
  <c r="AO259" i="12"/>
  <c r="AH47" i="14"/>
  <c r="AH213" i="14"/>
  <c r="AH223" i="14" s="1"/>
  <c r="AO252" i="14"/>
  <c r="AF88" i="14"/>
  <c r="AE86" i="12"/>
  <c r="AG85" i="14"/>
  <c r="AG69" i="14"/>
  <c r="AH67" i="14"/>
  <c r="AH68" i="14"/>
  <c r="AH35" i="14"/>
  <c r="AH37" i="14" s="1"/>
  <c r="AG214" i="12"/>
  <c r="AG224" i="12" s="1"/>
  <c r="AF67" i="12"/>
  <c r="AG23" i="12"/>
  <c r="AE87" i="12"/>
  <c r="AF85" i="12"/>
  <c r="AD88" i="12"/>
  <c r="AE37" i="12"/>
  <c r="AE69" i="12"/>
  <c r="AF68" i="12"/>
  <c r="AF89" i="12"/>
  <c r="AG39" i="12"/>
  <c r="AG71" i="12"/>
  <c r="AG66" i="12"/>
  <c r="AG70" i="12"/>
  <c r="AH36" i="12"/>
  <c r="AF90" i="12"/>
  <c r="AF35" i="12"/>
  <c r="AG21" i="14"/>
  <c r="AG86" i="14" s="1"/>
  <c r="AG90" i="14"/>
  <c r="AG22" i="14"/>
  <c r="AG87" i="14" s="1"/>
  <c r="AG89" i="14"/>
  <c r="AH217" i="14"/>
  <c r="AH25" i="14"/>
  <c r="AH24" i="14"/>
  <c r="AH20" i="14"/>
  <c r="J8" i="12"/>
  <c r="F6" i="12"/>
  <c r="F5" i="12"/>
  <c r="F7" i="12"/>
  <c r="F10" i="12"/>
  <c r="F9" i="12"/>
  <c r="K10" i="12"/>
  <c r="K9" i="12"/>
  <c r="K6" i="12"/>
  <c r="K5" i="12"/>
  <c r="K7" i="12"/>
  <c r="I8" i="12"/>
  <c r="E8" i="12"/>
  <c r="D8" i="12"/>
  <c r="D174" i="14"/>
  <c r="D180" i="14" s="1"/>
  <c r="AG40" i="19"/>
  <c r="AF43" i="20"/>
  <c r="AH33" i="12"/>
  <c r="AG134" i="12"/>
  <c r="AN198" i="14"/>
  <c r="AO198" i="14" s="1"/>
  <c r="AH84" i="14"/>
  <c r="AT172" i="14" s="1"/>
  <c r="AO195" i="12"/>
  <c r="AG220" i="12"/>
  <c r="AF223" i="12"/>
  <c r="AF221" i="12"/>
  <c r="AN174" i="12"/>
  <c r="AH82" i="12"/>
  <c r="AP253" i="12" s="1"/>
  <c r="B210" i="12"/>
  <c r="AR173" i="12"/>
  <c r="AH65" i="12"/>
  <c r="AG213" i="12"/>
  <c r="AG84" i="12"/>
  <c r="AF167" i="12"/>
  <c r="AF168" i="12"/>
  <c r="AG92" i="12"/>
  <c r="AG215" i="12"/>
  <c r="AF39" i="20"/>
  <c r="AP173" i="12"/>
  <c r="AH81" i="12"/>
  <c r="AH19" i="12"/>
  <c r="AH25" i="12" s="1"/>
  <c r="D166" i="12"/>
  <c r="AK215" i="12"/>
  <c r="AK194" i="12"/>
  <c r="AL215" i="12"/>
  <c r="AL194" i="12"/>
  <c r="D65" i="12"/>
  <c r="E63" i="12"/>
  <c r="E81" i="12" s="1"/>
  <c r="E213" i="12" s="1"/>
  <c r="E64" i="12"/>
  <c r="E82" i="12" s="1"/>
  <c r="J63" i="12"/>
  <c r="J81" i="12" s="1"/>
  <c r="J213" i="12" s="1"/>
  <c r="J64" i="12"/>
  <c r="J82" i="12" s="1"/>
  <c r="I64" i="12"/>
  <c r="I82" i="12" s="1"/>
  <c r="I63" i="12"/>
  <c r="I81" i="12" s="1"/>
  <c r="I213" i="12" s="1"/>
  <c r="F62" i="12"/>
  <c r="F166" i="12" s="1"/>
  <c r="K62" i="12"/>
  <c r="K166" i="12" s="1"/>
  <c r="W3" i="6"/>
  <c r="L4" i="12"/>
  <c r="K3" i="52" s="1"/>
  <c r="K8" i="52" s="1"/>
  <c r="R3" i="6"/>
  <c r="G4" i="12"/>
  <c r="F3" i="52" s="1"/>
  <c r="F8" i="52" s="1"/>
  <c r="C49" i="19" l="1"/>
  <c r="D49" i="19"/>
  <c r="E49" i="19"/>
  <c r="F8" i="14"/>
  <c r="E49" i="29"/>
  <c r="K8" i="14"/>
  <c r="C181" i="46"/>
  <c r="C186" i="46" s="1"/>
  <c r="C182" i="46"/>
  <c r="D107" i="45" s="1"/>
  <c r="AJ107" i="45" s="1"/>
  <c r="C178" i="46"/>
  <c r="C183" i="46" s="1"/>
  <c r="C180" i="46"/>
  <c r="C185" i="46" s="1"/>
  <c r="C179" i="46"/>
  <c r="C184" i="46" s="1"/>
  <c r="C177" i="48"/>
  <c r="D246" i="48"/>
  <c r="D251" i="46"/>
  <c r="E96" i="45" s="1"/>
  <c r="D249" i="46"/>
  <c r="D254" i="46" s="1"/>
  <c r="D247" i="46"/>
  <c r="D252" i="46" s="1"/>
  <c r="D248" i="46"/>
  <c r="D253" i="46" s="1"/>
  <c r="D250" i="46"/>
  <c r="D255" i="46" s="1"/>
  <c r="C88" i="29"/>
  <c r="L16" i="31"/>
  <c r="C140" i="38"/>
  <c r="C138" i="38"/>
  <c r="C142" i="38" s="1"/>
  <c r="C141" i="38"/>
  <c r="D85" i="36" s="1"/>
  <c r="C139" i="38"/>
  <c r="E19" i="29"/>
  <c r="E27" i="29"/>
  <c r="D223" i="42"/>
  <c r="D227" i="42" s="1"/>
  <c r="D225" i="42"/>
  <c r="D229" i="42" s="1"/>
  <c r="D226" i="42"/>
  <c r="D224" i="42"/>
  <c r="D228" i="42" s="1"/>
  <c r="E19" i="48"/>
  <c r="E275" i="48" s="1"/>
  <c r="E27" i="48"/>
  <c r="E32" i="48" s="1"/>
  <c r="E19" i="46"/>
  <c r="E275" i="46" s="1"/>
  <c r="E27" i="46"/>
  <c r="E32" i="46" s="1"/>
  <c r="C170" i="46"/>
  <c r="C175" i="46" s="1"/>
  <c r="C168" i="46"/>
  <c r="C173" i="46" s="1"/>
  <c r="C172" i="46"/>
  <c r="D77" i="45" s="1"/>
  <c r="AJ77" i="45" s="1"/>
  <c r="C167" i="48"/>
  <c r="C171" i="46"/>
  <c r="C176" i="46" s="1"/>
  <c r="C169" i="46"/>
  <c r="C174" i="46" s="1"/>
  <c r="E137" i="38"/>
  <c r="E161" i="38"/>
  <c r="E145" i="38"/>
  <c r="E153" i="38"/>
  <c r="C32" i="28"/>
  <c r="C45" i="28"/>
  <c r="C197" i="54"/>
  <c r="C34" i="54"/>
  <c r="F63" i="14"/>
  <c r="F81" i="14" s="1"/>
  <c r="F64" i="14"/>
  <c r="F82" i="14" s="1"/>
  <c r="F214" i="14" s="1"/>
  <c r="F224" i="14" s="1"/>
  <c r="C309" i="48"/>
  <c r="C34" i="48"/>
  <c r="F17" i="20"/>
  <c r="F16" i="20"/>
  <c r="F15" i="20"/>
  <c r="F18" i="20"/>
  <c r="F14" i="20"/>
  <c r="F16" i="38"/>
  <c r="F29" i="38" s="1"/>
  <c r="F44" i="38" s="1"/>
  <c r="F222" i="38" s="1"/>
  <c r="F17" i="38"/>
  <c r="F30" i="38" s="1"/>
  <c r="F45" i="38" s="1"/>
  <c r="F18" i="38"/>
  <c r="F31" i="38" s="1"/>
  <c r="F46" i="38" s="1"/>
  <c r="F237" i="38" s="1"/>
  <c r="F15" i="38"/>
  <c r="F28" i="38" s="1"/>
  <c r="F43" i="38" s="1"/>
  <c r="F14" i="38"/>
  <c r="G35" i="20"/>
  <c r="H4" i="14"/>
  <c r="G35" i="29"/>
  <c r="G35" i="19"/>
  <c r="G35" i="28"/>
  <c r="G4" i="46"/>
  <c r="G5" i="46" s="1"/>
  <c r="G4" i="42"/>
  <c r="G4" i="48"/>
  <c r="G4" i="38"/>
  <c r="G5" i="38" s="1"/>
  <c r="G4" i="29"/>
  <c r="G4" i="28"/>
  <c r="G4" i="20"/>
  <c r="G5" i="20" s="1"/>
  <c r="G4" i="54"/>
  <c r="G4" i="19"/>
  <c r="G4" i="53"/>
  <c r="C230" i="46"/>
  <c r="C235" i="46" s="1"/>
  <c r="C231" i="46"/>
  <c r="C236" i="46" s="1"/>
  <c r="C234" i="46"/>
  <c r="D108" i="45" s="1"/>
  <c r="AJ108" i="45" s="1"/>
  <c r="C229" i="48"/>
  <c r="C232" i="46"/>
  <c r="C237" i="46" s="1"/>
  <c r="C233" i="46"/>
  <c r="C238" i="46" s="1"/>
  <c r="E223" i="38"/>
  <c r="E227" i="38" s="1"/>
  <c r="E224" i="38"/>
  <c r="E228" i="38" s="1"/>
  <c r="E225" i="38"/>
  <c r="E229" i="38" s="1"/>
  <c r="D19" i="46"/>
  <c r="D275" i="46" s="1"/>
  <c r="D27" i="46"/>
  <c r="D32" i="46" s="1"/>
  <c r="C208" i="42"/>
  <c r="C212" i="42" s="1"/>
  <c r="C210" i="42"/>
  <c r="C214" i="42" s="1"/>
  <c r="C211" i="42"/>
  <c r="C209" i="42"/>
  <c r="C213" i="42" s="1"/>
  <c r="D19" i="48"/>
  <c r="D275" i="48" s="1"/>
  <c r="D27" i="48"/>
  <c r="D32" i="48" s="1"/>
  <c r="D191" i="42"/>
  <c r="D199" i="42"/>
  <c r="D207" i="42"/>
  <c r="D68" i="14"/>
  <c r="D87" i="14" s="1"/>
  <c r="D89" i="14"/>
  <c r="D49" i="29"/>
  <c r="E19" i="19"/>
  <c r="E27" i="19"/>
  <c r="D136" i="16"/>
  <c r="D68" i="16"/>
  <c r="D77" i="16"/>
  <c r="D133" i="16" a="1"/>
  <c r="D141" i="16" s="1"/>
  <c r="D142" i="16" s="1"/>
  <c r="C147" i="48"/>
  <c r="C152" i="46"/>
  <c r="D83" i="45" s="1"/>
  <c r="C151" i="46"/>
  <c r="C156" i="46" s="1"/>
  <c r="C150" i="46"/>
  <c r="C155" i="46" s="1"/>
  <c r="C149" i="46"/>
  <c r="C154" i="46" s="1"/>
  <c r="C148" i="46"/>
  <c r="C153" i="46" s="1"/>
  <c r="E207" i="38"/>
  <c r="E191" i="38"/>
  <c r="E199" i="38"/>
  <c r="E137" i="42"/>
  <c r="E161" i="42"/>
  <c r="E153" i="42"/>
  <c r="E145" i="42"/>
  <c r="F14" i="29"/>
  <c r="F18" i="29"/>
  <c r="F31" i="29" s="1"/>
  <c r="F17" i="29"/>
  <c r="F30" i="29" s="1"/>
  <c r="F16" i="29"/>
  <c r="F29" i="29" s="1"/>
  <c r="F47" i="29" s="1"/>
  <c r="G5" i="29"/>
  <c r="F15" i="29"/>
  <c r="F28" i="29" s="1"/>
  <c r="F46" i="29" s="1"/>
  <c r="F15" i="46"/>
  <c r="F28" i="46" s="1"/>
  <c r="F43" i="46" s="1"/>
  <c r="F14" i="46"/>
  <c r="F17" i="46"/>
  <c r="F30" i="46" s="1"/>
  <c r="F45" i="46" s="1"/>
  <c r="F18" i="46"/>
  <c r="F31" i="46" s="1"/>
  <c r="F16" i="46"/>
  <c r="F29" i="46" s="1"/>
  <c r="F44" i="46" s="1"/>
  <c r="F246" i="46" s="1"/>
  <c r="D90" i="14"/>
  <c r="D67" i="14"/>
  <c r="C309" i="46"/>
  <c r="C34" i="46"/>
  <c r="E45" i="15"/>
  <c r="D75" i="29"/>
  <c r="D69" i="29"/>
  <c r="E48" i="15"/>
  <c r="E49" i="15" s="1"/>
  <c r="E136" i="15" s="1"/>
  <c r="D74" i="29"/>
  <c r="E48" i="16" s="1"/>
  <c r="E49" i="16" s="1"/>
  <c r="E136" i="16" s="1"/>
  <c r="D67" i="29"/>
  <c r="E58" i="15"/>
  <c r="D68" i="29"/>
  <c r="D78" i="29"/>
  <c r="E64" i="16" s="1"/>
  <c r="D73" i="29"/>
  <c r="D71" i="29"/>
  <c r="D66" i="29"/>
  <c r="D65" i="29" s="1"/>
  <c r="D77" i="29"/>
  <c r="E45" i="16" s="1"/>
  <c r="D76" i="29"/>
  <c r="E58" i="16" s="1"/>
  <c r="E64" i="15"/>
  <c r="D70" i="29"/>
  <c r="C192" i="38"/>
  <c r="C196" i="38" s="1"/>
  <c r="C194" i="38"/>
  <c r="C198" i="38" s="1"/>
  <c r="C193" i="38"/>
  <c r="C197" i="38" s="1"/>
  <c r="C193" i="42"/>
  <c r="C197" i="42" s="1"/>
  <c r="C194" i="42"/>
  <c r="C198" i="42" s="1"/>
  <c r="C192" i="42"/>
  <c r="C196" i="42" s="1"/>
  <c r="C195" i="42"/>
  <c r="C221" i="46"/>
  <c r="C226" i="46" s="1"/>
  <c r="C220" i="46"/>
  <c r="C225" i="46" s="1"/>
  <c r="C223" i="46"/>
  <c r="C228" i="46" s="1"/>
  <c r="C224" i="46"/>
  <c r="D99" i="45" s="1"/>
  <c r="C222" i="46"/>
  <c r="C227" i="46" s="1"/>
  <c r="C219" i="48"/>
  <c r="I9" i="58"/>
  <c r="I4" i="59" s="1"/>
  <c r="AO27" i="58"/>
  <c r="I4" i="58"/>
  <c r="AO4" i="58" s="1"/>
  <c r="BU4" i="58" s="1"/>
  <c r="D239" i="42"/>
  <c r="D243" i="42" s="1"/>
  <c r="D241" i="42"/>
  <c r="D240" i="42"/>
  <c r="D244" i="42" s="1"/>
  <c r="D238" i="42"/>
  <c r="D242" i="42" s="1"/>
  <c r="D199" i="38"/>
  <c r="D207" i="38"/>
  <c r="D191" i="38"/>
  <c r="E27" i="58"/>
  <c r="BQ10" i="58"/>
  <c r="BQ5" i="58"/>
  <c r="C157" i="48"/>
  <c r="C160" i="46"/>
  <c r="C165" i="46" s="1"/>
  <c r="C159" i="46"/>
  <c r="C164" i="46" s="1"/>
  <c r="C161" i="46"/>
  <c r="C166" i="46" s="1"/>
  <c r="C158" i="46"/>
  <c r="C163" i="46" s="1"/>
  <c r="C162" i="46"/>
  <c r="D98" i="45" s="1"/>
  <c r="AJ98" i="45" s="1"/>
  <c r="E241" i="42"/>
  <c r="E240" i="42"/>
  <c r="E244" i="42" s="1"/>
  <c r="E238" i="42"/>
  <c r="E242" i="42" s="1"/>
  <c r="E239" i="42"/>
  <c r="E243" i="42" s="1"/>
  <c r="D85" i="29"/>
  <c r="E55" i="16" s="1"/>
  <c r="E55" i="15"/>
  <c r="C197" i="53"/>
  <c r="C34" i="53"/>
  <c r="C210" i="38"/>
  <c r="C214" i="38" s="1"/>
  <c r="C208" i="38"/>
  <c r="C212" i="38" s="1"/>
  <c r="C209" i="38"/>
  <c r="C213" i="38" s="1"/>
  <c r="D19" i="53"/>
  <c r="D27" i="53"/>
  <c r="D32" i="53" s="1"/>
  <c r="I65" i="14"/>
  <c r="I81" i="14"/>
  <c r="C214" i="46"/>
  <c r="D89" i="45" s="1"/>
  <c r="C209" i="48"/>
  <c r="C211" i="46"/>
  <c r="C216" i="46" s="1"/>
  <c r="C212" i="46"/>
  <c r="C217" i="46" s="1"/>
  <c r="C213" i="46"/>
  <c r="C218" i="46" s="1"/>
  <c r="C210" i="46"/>
  <c r="C215" i="46" s="1"/>
  <c r="K27" i="58"/>
  <c r="BW10" i="58"/>
  <c r="BW5" i="58"/>
  <c r="C156" i="42"/>
  <c r="C160" i="42" s="1"/>
  <c r="C154" i="42"/>
  <c r="C158" i="42" s="1"/>
  <c r="C157" i="42"/>
  <c r="C155" i="42"/>
  <c r="C159" i="42" s="1"/>
  <c r="D137" i="38"/>
  <c r="D161" i="38"/>
  <c r="D145" i="38"/>
  <c r="D153" i="38"/>
  <c r="E63" i="14"/>
  <c r="E81" i="14" s="1"/>
  <c r="E64" i="14"/>
  <c r="E82" i="14" s="1"/>
  <c r="E214" i="14" s="1"/>
  <c r="E224" i="14" s="1"/>
  <c r="AJ27" i="58"/>
  <c r="B9" i="60"/>
  <c r="D2" i="61"/>
  <c r="CZ18" i="58"/>
  <c r="D9" i="58"/>
  <c r="D4" i="58"/>
  <c r="AJ4" i="58" s="1"/>
  <c r="E191" i="42"/>
  <c r="E199" i="42"/>
  <c r="E207" i="42"/>
  <c r="D19" i="28"/>
  <c r="D118" i="28" s="1"/>
  <c r="D27" i="28"/>
  <c r="F5" i="28"/>
  <c r="BS28" i="58"/>
  <c r="G5" i="14"/>
  <c r="G7" i="14"/>
  <c r="G6" i="14"/>
  <c r="G10" i="14"/>
  <c r="G9" i="14"/>
  <c r="G62" i="14"/>
  <c r="C201" i="42"/>
  <c r="C205" i="42" s="1"/>
  <c r="C200" i="42"/>
  <c r="C204" i="42" s="1"/>
  <c r="C202" i="42"/>
  <c r="C206" i="42" s="1"/>
  <c r="C203" i="42"/>
  <c r="L35" i="20"/>
  <c r="M4" i="14"/>
  <c r="L35" i="29"/>
  <c r="L35" i="19"/>
  <c r="L35" i="28"/>
  <c r="L4" i="46"/>
  <c r="L4" i="53"/>
  <c r="L4" i="54"/>
  <c r="L4" i="28"/>
  <c r="L4" i="29"/>
  <c r="L4" i="38"/>
  <c r="L4" i="42"/>
  <c r="L4" i="48"/>
  <c r="L4" i="20"/>
  <c r="L4" i="19"/>
  <c r="F5" i="53"/>
  <c r="E15" i="53"/>
  <c r="E28" i="53" s="1"/>
  <c r="E14" i="53"/>
  <c r="E17" i="53"/>
  <c r="E30" i="53" s="1"/>
  <c r="E16" i="53"/>
  <c r="E29" i="53" s="1"/>
  <c r="E44" i="53" s="1"/>
  <c r="E150" i="53" s="1"/>
  <c r="E151" i="53" s="1"/>
  <c r="F60" i="51" s="1"/>
  <c r="AL60" i="51" s="1"/>
  <c r="E18" i="53"/>
  <c r="E31" i="53" s="1"/>
  <c r="C156" i="38"/>
  <c r="C155" i="38"/>
  <c r="C154" i="38"/>
  <c r="C157" i="38"/>
  <c r="D79" i="36" s="1"/>
  <c r="AJ79" i="36" s="1"/>
  <c r="K63" i="14"/>
  <c r="K81" i="14" s="1"/>
  <c r="K64" i="14"/>
  <c r="C148" i="42"/>
  <c r="C152" i="42" s="1"/>
  <c r="C147" i="42"/>
  <c r="C151" i="42" s="1"/>
  <c r="C149" i="42"/>
  <c r="C146" i="42"/>
  <c r="C150" i="42" s="1"/>
  <c r="D225" i="38"/>
  <c r="D229" i="38" s="1"/>
  <c r="D224" i="38"/>
  <c r="D228" i="38" s="1"/>
  <c r="D223" i="38"/>
  <c r="D227" i="38" s="1"/>
  <c r="E248" i="46"/>
  <c r="E253" i="46" s="1"/>
  <c r="E250" i="46"/>
  <c r="E255" i="46" s="1"/>
  <c r="E247" i="46"/>
  <c r="E252" i="46" s="1"/>
  <c r="E246" i="48"/>
  <c r="E249" i="46"/>
  <c r="E254" i="46" s="1"/>
  <c r="E251" i="46"/>
  <c r="F96" i="45" s="1"/>
  <c r="E223" i="42"/>
  <c r="E227" i="42" s="1"/>
  <c r="E224" i="42"/>
  <c r="E228" i="42" s="1"/>
  <c r="E225" i="42"/>
  <c r="E229" i="42" s="1"/>
  <c r="E226" i="42"/>
  <c r="C42" i="42"/>
  <c r="C32" i="42"/>
  <c r="C201" i="38"/>
  <c r="C205" i="38" s="1"/>
  <c r="C202" i="38"/>
  <c r="C206" i="38" s="1"/>
  <c r="C200" i="38"/>
  <c r="C204" i="38" s="1"/>
  <c r="D137" i="42"/>
  <c r="D145" i="42"/>
  <c r="D153" i="42"/>
  <c r="D161" i="42"/>
  <c r="D209" i="46"/>
  <c r="D229" i="46"/>
  <c r="D219" i="46"/>
  <c r="C164" i="38"/>
  <c r="C163" i="38"/>
  <c r="C162" i="38"/>
  <c r="C165" i="38"/>
  <c r="D109" i="36" s="1"/>
  <c r="AJ109" i="36" s="1"/>
  <c r="C162" i="42"/>
  <c r="C166" i="42" s="1"/>
  <c r="C165" i="42"/>
  <c r="C163" i="42"/>
  <c r="C167" i="42" s="1"/>
  <c r="C164" i="42"/>
  <c r="C168" i="42" s="1"/>
  <c r="D19" i="38"/>
  <c r="D247" i="38" s="1"/>
  <c r="D27" i="38"/>
  <c r="E147" i="46"/>
  <c r="E157" i="46"/>
  <c r="E177" i="46"/>
  <c r="E167" i="46"/>
  <c r="G5" i="19"/>
  <c r="F14" i="19"/>
  <c r="F15" i="19"/>
  <c r="F28" i="19" s="1"/>
  <c r="F46" i="19" s="1"/>
  <c r="F16" i="19"/>
  <c r="F29" i="19" s="1"/>
  <c r="F47" i="19" s="1"/>
  <c r="F17" i="19"/>
  <c r="F30" i="19" s="1"/>
  <c r="F48" i="19" s="1"/>
  <c r="F18" i="19"/>
  <c r="F31" i="19" s="1"/>
  <c r="F49" i="19" s="1"/>
  <c r="F5" i="54"/>
  <c r="E14" i="54"/>
  <c r="E16" i="54"/>
  <c r="E29" i="54" s="1"/>
  <c r="E44" i="54" s="1"/>
  <c r="E150" i="54" s="1"/>
  <c r="E151" i="54" s="1"/>
  <c r="E15" i="54"/>
  <c r="E28" i="54" s="1"/>
  <c r="E18" i="54"/>
  <c r="E31" i="54" s="1"/>
  <c r="E17" i="54"/>
  <c r="E30" i="54" s="1"/>
  <c r="E238" i="38"/>
  <c r="E242" i="38" s="1"/>
  <c r="E239" i="38"/>
  <c r="E243" i="38" s="1"/>
  <c r="E240" i="38"/>
  <c r="E244" i="38" s="1"/>
  <c r="C32" i="29"/>
  <c r="C45" i="29"/>
  <c r="D19" i="19"/>
  <c r="D27" i="19"/>
  <c r="J27" i="58"/>
  <c r="BV10" i="58"/>
  <c r="BV5" i="58"/>
  <c r="D49" i="28"/>
  <c r="C247" i="48"/>
  <c r="C252" i="48" s="1"/>
  <c r="C251" i="48"/>
  <c r="C248" i="48"/>
  <c r="C253" i="48" s="1"/>
  <c r="C249" i="48"/>
  <c r="C254" i="48" s="1"/>
  <c r="C250" i="48"/>
  <c r="C255" i="48" s="1"/>
  <c r="F16" i="42"/>
  <c r="F29" i="42" s="1"/>
  <c r="F44" i="42" s="1"/>
  <c r="F222" i="42" s="1"/>
  <c r="F15" i="42"/>
  <c r="F28" i="42" s="1"/>
  <c r="F43" i="42" s="1"/>
  <c r="F18" i="42"/>
  <c r="F31" i="42" s="1"/>
  <c r="F46" i="42" s="1"/>
  <c r="F237" i="42" s="1"/>
  <c r="F14" i="42"/>
  <c r="G5" i="42"/>
  <c r="F17" i="42"/>
  <c r="F30" i="42" s="1"/>
  <c r="F45" i="42" s="1"/>
  <c r="E19" i="42"/>
  <c r="E247" i="42" s="1"/>
  <c r="E27" i="42"/>
  <c r="D147" i="46"/>
  <c r="D177" i="46"/>
  <c r="D167" i="46"/>
  <c r="D157" i="46"/>
  <c r="C146" i="38"/>
  <c r="C148" i="38"/>
  <c r="C147" i="38"/>
  <c r="C149" i="38"/>
  <c r="D100" i="36" s="1"/>
  <c r="AJ100" i="36" s="1"/>
  <c r="D19" i="42"/>
  <c r="D247" i="42" s="1"/>
  <c r="D27" i="42"/>
  <c r="C138" i="42"/>
  <c r="C142" i="42" s="1"/>
  <c r="C140" i="42"/>
  <c r="C144" i="42" s="1"/>
  <c r="C141" i="42"/>
  <c r="C139" i="42"/>
  <c r="C143" i="42" s="1"/>
  <c r="D240" i="38"/>
  <c r="D244" i="38" s="1"/>
  <c r="D238" i="38"/>
  <c r="D242" i="38" s="1"/>
  <c r="D239" i="38"/>
  <c r="D243" i="38" s="1"/>
  <c r="D19" i="29"/>
  <c r="D27" i="29"/>
  <c r="E219" i="46"/>
  <c r="E209" i="46"/>
  <c r="E229" i="46"/>
  <c r="BX28" i="58"/>
  <c r="L5" i="14"/>
  <c r="L7" i="14"/>
  <c r="L6" i="14"/>
  <c r="L10" i="14"/>
  <c r="L9" i="14"/>
  <c r="L62" i="14"/>
  <c r="D19" i="54"/>
  <c r="D27" i="54"/>
  <c r="D32" i="54" s="1"/>
  <c r="D140" i="16"/>
  <c r="E19" i="38"/>
  <c r="E247" i="38" s="1"/>
  <c r="E27" i="38"/>
  <c r="C32" i="19"/>
  <c r="C45" i="19"/>
  <c r="J64" i="14"/>
  <c r="J82" i="14" s="1"/>
  <c r="J214" i="14" s="1"/>
  <c r="J224" i="14" s="1"/>
  <c r="J63" i="14"/>
  <c r="J81" i="14" s="1"/>
  <c r="C42" i="38"/>
  <c r="C32" i="38"/>
  <c r="E15" i="28"/>
  <c r="E28" i="28" s="1"/>
  <c r="E46" i="28" s="1"/>
  <c r="E18" i="28"/>
  <c r="E31" i="28" s="1"/>
  <c r="E17" i="28"/>
  <c r="E30" i="28" s="1"/>
  <c r="E16" i="28"/>
  <c r="E29" i="28" s="1"/>
  <c r="E47" i="28" s="1"/>
  <c r="E14" i="28"/>
  <c r="F27" i="58"/>
  <c r="BR10" i="58"/>
  <c r="BR5" i="58"/>
  <c r="F15" i="48"/>
  <c r="F28" i="48" s="1"/>
  <c r="F43" i="48" s="1"/>
  <c r="F17" i="48"/>
  <c r="F30" i="48" s="1"/>
  <c r="F45" i="48" s="1"/>
  <c r="F14" i="48"/>
  <c r="F16" i="48"/>
  <c r="F29" i="48" s="1"/>
  <c r="F44" i="48" s="1"/>
  <c r="G5" i="48"/>
  <c r="F18" i="48"/>
  <c r="F31" i="48" s="1"/>
  <c r="AP194" i="12"/>
  <c r="AH221" i="14"/>
  <c r="AO218" i="12"/>
  <c r="AO252" i="12"/>
  <c r="AH85" i="14"/>
  <c r="AH69" i="14"/>
  <c r="AF69" i="12"/>
  <c r="E214" i="12"/>
  <c r="E224" i="12" s="1"/>
  <c r="I214" i="12"/>
  <c r="I224" i="12" s="1"/>
  <c r="J214" i="12"/>
  <c r="J224" i="12" s="1"/>
  <c r="AG67" i="12"/>
  <c r="AF37" i="12"/>
  <c r="AG85" i="12"/>
  <c r="AF87" i="12"/>
  <c r="AE88" i="12"/>
  <c r="AG90" i="12"/>
  <c r="AG35" i="12"/>
  <c r="AH66" i="12"/>
  <c r="AH71" i="12"/>
  <c r="AH70" i="12"/>
  <c r="AF86" i="12"/>
  <c r="AG68" i="12"/>
  <c r="AG89" i="12"/>
  <c r="D70" i="12"/>
  <c r="D68" i="12" s="1"/>
  <c r="D71" i="12"/>
  <c r="AH39" i="12"/>
  <c r="AH21" i="14"/>
  <c r="AH90" i="14"/>
  <c r="AH22" i="14"/>
  <c r="AH87" i="14" s="1"/>
  <c r="AH89" i="14"/>
  <c r="AG23" i="14"/>
  <c r="D66" i="12"/>
  <c r="AG39" i="20"/>
  <c r="AH215" i="12"/>
  <c r="AH20" i="12"/>
  <c r="AH24" i="12"/>
  <c r="K8" i="12"/>
  <c r="D176" i="12"/>
  <c r="D172" i="12"/>
  <c r="AN202" i="12"/>
  <c r="AH92" i="12"/>
  <c r="F8" i="12"/>
  <c r="L7" i="12"/>
  <c r="L10" i="12"/>
  <c r="L9" i="12"/>
  <c r="L6" i="12"/>
  <c r="L5" i="12"/>
  <c r="G10" i="12"/>
  <c r="G9" i="12"/>
  <c r="G6" i="12"/>
  <c r="G5" i="12"/>
  <c r="G7" i="12"/>
  <c r="AH214" i="12"/>
  <c r="AH224" i="12" s="1"/>
  <c r="AP218" i="12"/>
  <c r="I223" i="12"/>
  <c r="J223" i="12"/>
  <c r="AG223" i="12"/>
  <c r="AG221" i="12"/>
  <c r="E223" i="12"/>
  <c r="AH220" i="12"/>
  <c r="D177" i="12"/>
  <c r="AG43" i="20"/>
  <c r="D175" i="12"/>
  <c r="AH134" i="12"/>
  <c r="AN215" i="12"/>
  <c r="AG167" i="12"/>
  <c r="AG168" i="12"/>
  <c r="D134" i="12"/>
  <c r="D168" i="12" s="1"/>
  <c r="D220" i="12"/>
  <c r="D221" i="12" s="1"/>
  <c r="AH84" i="12"/>
  <c r="AK271" i="12" s="1"/>
  <c r="AM271" i="12" s="1"/>
  <c r="AH213" i="12"/>
  <c r="AN198" i="12"/>
  <c r="AO198" i="12" s="1"/>
  <c r="D174" i="12"/>
  <c r="AH102" i="12"/>
  <c r="AH217" i="12"/>
  <c r="AN209" i="12"/>
  <c r="AG40" i="20"/>
  <c r="C172" i="14"/>
  <c r="C178" i="14"/>
  <c r="C177" i="14"/>
  <c r="C173" i="14"/>
  <c r="C184" i="14" s="1"/>
  <c r="D198" i="14" s="1"/>
  <c r="C175" i="14"/>
  <c r="C179" i="14"/>
  <c r="C189" i="14" s="1"/>
  <c r="D193" i="14" s="1"/>
  <c r="C176" i="14"/>
  <c r="C174" i="14"/>
  <c r="C185" i="14" s="1"/>
  <c r="D197" i="14" s="1"/>
  <c r="D167" i="12"/>
  <c r="C43" i="20"/>
  <c r="J65" i="12"/>
  <c r="I65" i="12"/>
  <c r="E65" i="12"/>
  <c r="K64" i="12"/>
  <c r="K82" i="12" s="1"/>
  <c r="K63" i="12"/>
  <c r="K81" i="12" s="1"/>
  <c r="K213" i="12" s="1"/>
  <c r="F63" i="12"/>
  <c r="F81" i="12" s="1"/>
  <c r="F213" i="12" s="1"/>
  <c r="F64" i="12"/>
  <c r="F82" i="12" s="1"/>
  <c r="E84" i="12"/>
  <c r="I84" i="12"/>
  <c r="J84" i="12"/>
  <c r="G62" i="12"/>
  <c r="G166" i="12" s="1"/>
  <c r="L62" i="12"/>
  <c r="L166" i="12" s="1"/>
  <c r="M4" i="12"/>
  <c r="L3" i="52" s="1"/>
  <c r="L8" i="52" s="1"/>
  <c r="H4" i="12"/>
  <c r="G3" i="52" s="1"/>
  <c r="G8" i="52" s="1"/>
  <c r="H43" i="19" l="1"/>
  <c r="C50" i="19"/>
  <c r="L8" i="14"/>
  <c r="G8" i="14"/>
  <c r="E65" i="14"/>
  <c r="E49" i="28"/>
  <c r="H5" i="20"/>
  <c r="G15" i="20"/>
  <c r="G16" i="20"/>
  <c r="G14" i="20"/>
  <c r="G17" i="20"/>
  <c r="G18" i="20"/>
  <c r="G14" i="38"/>
  <c r="G17" i="38"/>
  <c r="G30" i="38" s="1"/>
  <c r="G45" i="38" s="1"/>
  <c r="G18" i="38"/>
  <c r="G31" i="38" s="1"/>
  <c r="G46" i="38" s="1"/>
  <c r="G237" i="38" s="1"/>
  <c r="G16" i="38"/>
  <c r="G29" i="38" s="1"/>
  <c r="G44" i="38" s="1"/>
  <c r="G222" i="38" s="1"/>
  <c r="H5" i="38"/>
  <c r="G15" i="38"/>
  <c r="G28" i="38" s="1"/>
  <c r="G43" i="38" s="1"/>
  <c r="J213" i="14"/>
  <c r="J84" i="14"/>
  <c r="E157" i="48"/>
  <c r="E161" i="46"/>
  <c r="E166" i="46" s="1"/>
  <c r="E160" i="46"/>
  <c r="E165" i="46" s="1"/>
  <c r="E159" i="46"/>
  <c r="E164" i="46" s="1"/>
  <c r="E158" i="46"/>
  <c r="E163" i="46" s="1"/>
  <c r="E162" i="46"/>
  <c r="F98" i="45" s="1"/>
  <c r="AL98" i="45" s="1"/>
  <c r="D193" i="38"/>
  <c r="D197" i="38" s="1"/>
  <c r="D192" i="38"/>
  <c r="D196" i="38" s="1"/>
  <c r="D194" i="38"/>
  <c r="D198" i="38" s="1"/>
  <c r="C47" i="38"/>
  <c r="C291" i="38" s="1"/>
  <c r="C295" i="38" s="1"/>
  <c r="C96" i="38"/>
  <c r="C97" i="38" s="1"/>
  <c r="C104" i="38"/>
  <c r="C72" i="38"/>
  <c r="C80" i="38"/>
  <c r="D42" i="42"/>
  <c r="D32" i="42"/>
  <c r="D180" i="46"/>
  <c r="D185" i="46" s="1"/>
  <c r="D178" i="46"/>
  <c r="D183" i="46" s="1"/>
  <c r="D179" i="46"/>
  <c r="D184" i="46" s="1"/>
  <c r="D182" i="46"/>
  <c r="E107" i="45" s="1"/>
  <c r="AK107" i="45" s="1"/>
  <c r="D177" i="48"/>
  <c r="D181" i="46"/>
  <c r="D186" i="46" s="1"/>
  <c r="F137" i="42"/>
  <c r="F153" i="42"/>
  <c r="F161" i="42"/>
  <c r="F145" i="42"/>
  <c r="E168" i="46"/>
  <c r="E173" i="46" s="1"/>
  <c r="E167" i="48"/>
  <c r="E171" i="46"/>
  <c r="E176" i="46" s="1"/>
  <c r="E170" i="46"/>
  <c r="E175" i="46" s="1"/>
  <c r="E172" i="46"/>
  <c r="F77" i="45" s="1"/>
  <c r="AL77" i="45" s="1"/>
  <c r="E169" i="46"/>
  <c r="E174" i="46" s="1"/>
  <c r="D234" i="46"/>
  <c r="E108" i="45" s="1"/>
  <c r="AK108" i="45" s="1"/>
  <c r="D229" i="48"/>
  <c r="D232" i="46"/>
  <c r="D237" i="46" s="1"/>
  <c r="D231" i="46"/>
  <c r="D236" i="46" s="1"/>
  <c r="D233" i="46"/>
  <c r="D238" i="46" s="1"/>
  <c r="D230" i="46"/>
  <c r="D235" i="46" s="1"/>
  <c r="K65" i="14"/>
  <c r="K82" i="14"/>
  <c r="K214" i="14" s="1"/>
  <c r="K224" i="14" s="1"/>
  <c r="G63" i="14"/>
  <c r="G81" i="14" s="1"/>
  <c r="G64" i="14"/>
  <c r="F18" i="28"/>
  <c r="F31" i="28" s="1"/>
  <c r="F16" i="28"/>
  <c r="F29" i="28" s="1"/>
  <c r="F47" i="28" s="1"/>
  <c r="F14" i="28"/>
  <c r="G5" i="28"/>
  <c r="F15" i="28"/>
  <c r="F28" i="28" s="1"/>
  <c r="F46" i="28" s="1"/>
  <c r="F17" i="28"/>
  <c r="F30" i="28" s="1"/>
  <c r="EC14" i="59"/>
  <c r="D4" i="59"/>
  <c r="C211" i="48"/>
  <c r="C216" i="48" s="1"/>
  <c r="C214" i="48"/>
  <c r="C213" i="48"/>
  <c r="C218" i="48" s="1"/>
  <c r="C212" i="48"/>
  <c r="C217" i="48" s="1"/>
  <c r="C210" i="48"/>
  <c r="C215" i="48" s="1"/>
  <c r="F19" i="46"/>
  <c r="F275" i="46" s="1"/>
  <c r="F27" i="46"/>
  <c r="F32" i="46" s="1"/>
  <c r="E147" i="42"/>
  <c r="E151" i="42" s="1"/>
  <c r="E148" i="42"/>
  <c r="E152" i="42" s="1"/>
  <c r="E149" i="42"/>
  <c r="E146" i="42"/>
  <c r="E150" i="42" s="1"/>
  <c r="D192" i="42"/>
  <c r="D196" i="42" s="1"/>
  <c r="D193" i="42"/>
  <c r="D197" i="42" s="1"/>
  <c r="D195" i="42"/>
  <c r="D194" i="42"/>
  <c r="D198" i="42" s="1"/>
  <c r="D309" i="46"/>
  <c r="D34" i="46"/>
  <c r="C231" i="48"/>
  <c r="C236" i="48" s="1"/>
  <c r="C233" i="48"/>
  <c r="C238" i="48" s="1"/>
  <c r="C230" i="48"/>
  <c r="C235" i="48" s="1"/>
  <c r="C234" i="48"/>
  <c r="C232" i="48"/>
  <c r="C237" i="48" s="1"/>
  <c r="F223" i="38"/>
  <c r="F227" i="38" s="1"/>
  <c r="F224" i="38"/>
  <c r="F228" i="38" s="1"/>
  <c r="F225" i="38"/>
  <c r="F229" i="38" s="1"/>
  <c r="E157" i="38"/>
  <c r="F79" i="36" s="1"/>
  <c r="AL79" i="36" s="1"/>
  <c r="E154" i="38"/>
  <c r="E158" i="38" s="1"/>
  <c r="E156" i="38"/>
  <c r="E160" i="38" s="1"/>
  <c r="E155" i="38"/>
  <c r="E159" i="38" s="1"/>
  <c r="D147" i="38"/>
  <c r="D151" i="38" s="1"/>
  <c r="D149" i="38"/>
  <c r="E100" i="36" s="1"/>
  <c r="AK100" i="36" s="1"/>
  <c r="D146" i="38"/>
  <c r="D150" i="38" s="1"/>
  <c r="D148" i="38"/>
  <c r="D152" i="38" s="1"/>
  <c r="BU27" i="58"/>
  <c r="BU9" i="58" s="1"/>
  <c r="AO9" i="58"/>
  <c r="AO4" i="59" s="1"/>
  <c r="BU4" i="59" s="1"/>
  <c r="DA4" i="59" s="1"/>
  <c r="E164" i="38"/>
  <c r="E168" i="38" s="1"/>
  <c r="E165" i="38"/>
  <c r="F109" i="36" s="1"/>
  <c r="AL109" i="36" s="1"/>
  <c r="E163" i="38"/>
  <c r="E167" i="38" s="1"/>
  <c r="E162" i="38"/>
  <c r="E166" i="38" s="1"/>
  <c r="AL27" i="58"/>
  <c r="F9" i="58"/>
  <c r="F4" i="59" s="1"/>
  <c r="F4" i="58"/>
  <c r="AL4" i="58" s="1"/>
  <c r="BR4" i="58" s="1"/>
  <c r="J65" i="14"/>
  <c r="D197" i="54"/>
  <c r="D34" i="54"/>
  <c r="D147" i="48"/>
  <c r="D149" i="46"/>
  <c r="D154" i="46" s="1"/>
  <c r="D152" i="46"/>
  <c r="E83" i="45" s="1"/>
  <c r="D151" i="46"/>
  <c r="D156" i="46" s="1"/>
  <c r="D150" i="46"/>
  <c r="D155" i="46" s="1"/>
  <c r="D148" i="46"/>
  <c r="D153" i="46" s="1"/>
  <c r="F225" i="42"/>
  <c r="F229" i="42" s="1"/>
  <c r="F226" i="42"/>
  <c r="F224" i="42"/>
  <c r="F228" i="42" s="1"/>
  <c r="F223" i="42"/>
  <c r="F227" i="42" s="1"/>
  <c r="E182" i="46"/>
  <c r="F107" i="45" s="1"/>
  <c r="AL107" i="45" s="1"/>
  <c r="E177" i="48"/>
  <c r="E180" i="46"/>
  <c r="E185" i="46" s="1"/>
  <c r="E181" i="46"/>
  <c r="E186" i="46" s="1"/>
  <c r="E178" i="46"/>
  <c r="E183" i="46" s="1"/>
  <c r="E179" i="46"/>
  <c r="E184" i="46" s="1"/>
  <c r="D209" i="48"/>
  <c r="D212" i="46"/>
  <c r="D217" i="46" s="1"/>
  <c r="D213" i="46"/>
  <c r="D218" i="46" s="1"/>
  <c r="D211" i="46"/>
  <c r="D216" i="46" s="1"/>
  <c r="D210" i="46"/>
  <c r="D215" i="46" s="1"/>
  <c r="D214" i="46"/>
  <c r="E89" i="45" s="1"/>
  <c r="K213" i="14"/>
  <c r="E19" i="53"/>
  <c r="E27" i="53"/>
  <c r="E32" i="53" s="1"/>
  <c r="BY28" i="58"/>
  <c r="M5" i="14"/>
  <c r="M6" i="14"/>
  <c r="M7" i="14"/>
  <c r="M10" i="14"/>
  <c r="M9" i="14"/>
  <c r="M62" i="14"/>
  <c r="D32" i="28"/>
  <c r="D45" i="28"/>
  <c r="D156" i="38"/>
  <c r="D160" i="38" s="1"/>
  <c r="D155" i="38"/>
  <c r="D159" i="38" s="1"/>
  <c r="D154" i="38"/>
  <c r="D158" i="38" s="1"/>
  <c r="D157" i="38"/>
  <c r="E79" i="36" s="1"/>
  <c r="AK79" i="36" s="1"/>
  <c r="AK27" i="58"/>
  <c r="E9" i="58"/>
  <c r="E4" i="59" s="1"/>
  <c r="E4" i="58"/>
  <c r="AK4" i="58" s="1"/>
  <c r="BQ4" i="58" s="1"/>
  <c r="F147" i="46"/>
  <c r="F167" i="46"/>
  <c r="F177" i="46"/>
  <c r="F157" i="46"/>
  <c r="E155" i="42"/>
  <c r="E159" i="42" s="1"/>
  <c r="E156" i="42"/>
  <c r="E160" i="42" s="1"/>
  <c r="E154" i="42"/>
  <c r="E158" i="42" s="1"/>
  <c r="E157" i="42"/>
  <c r="E32" i="19"/>
  <c r="E45" i="19"/>
  <c r="E50" i="19" s="1"/>
  <c r="D309" i="48"/>
  <c r="D34" i="48"/>
  <c r="BT28" i="58"/>
  <c r="H6" i="14"/>
  <c r="H5" i="14"/>
  <c r="H8" i="14" s="1"/>
  <c r="H7" i="14"/>
  <c r="H9" i="14"/>
  <c r="H10" i="14"/>
  <c r="H62" i="14"/>
  <c r="F65" i="14"/>
  <c r="E147" i="38"/>
  <c r="E151" i="38" s="1"/>
  <c r="E146" i="38"/>
  <c r="E150" i="38" s="1"/>
  <c r="E148" i="38"/>
  <c r="E152" i="38" s="1"/>
  <c r="E149" i="38"/>
  <c r="F100" i="36" s="1"/>
  <c r="AL100" i="36" s="1"/>
  <c r="D251" i="48"/>
  <c r="D247" i="48"/>
  <c r="D252" i="48" s="1"/>
  <c r="D249" i="48"/>
  <c r="D254" i="48" s="1"/>
  <c r="D248" i="48"/>
  <c r="D253" i="48" s="1"/>
  <c r="D250" i="48"/>
  <c r="D255" i="48" s="1"/>
  <c r="E163" i="42"/>
  <c r="E167" i="42" s="1"/>
  <c r="E165" i="42"/>
  <c r="E164" i="42"/>
  <c r="E168" i="42" s="1"/>
  <c r="E162" i="42"/>
  <c r="E166" i="42" s="1"/>
  <c r="C179" i="48"/>
  <c r="C184" i="48" s="1"/>
  <c r="C180" i="48"/>
  <c r="C185" i="48" s="1"/>
  <c r="C181" i="48"/>
  <c r="C186" i="48" s="1"/>
  <c r="C178" i="48"/>
  <c r="C183" i="48" s="1"/>
  <c r="C182" i="48"/>
  <c r="E83" i="29"/>
  <c r="E82" i="29" s="1"/>
  <c r="F55" i="15"/>
  <c r="E85" i="29"/>
  <c r="F55" i="16" s="1"/>
  <c r="L27" i="58"/>
  <c r="BX10" i="58"/>
  <c r="BX5" i="58"/>
  <c r="D32" i="19"/>
  <c r="D45" i="19"/>
  <c r="D50" i="19" s="1"/>
  <c r="E151" i="46"/>
  <c r="E156" i="46" s="1"/>
  <c r="E149" i="46"/>
  <c r="E154" i="46" s="1"/>
  <c r="E152" i="46"/>
  <c r="F83" i="45" s="1"/>
  <c r="E150" i="46"/>
  <c r="E155" i="46" s="1"/>
  <c r="E148" i="46"/>
  <c r="E153" i="46" s="1"/>
  <c r="E147" i="48"/>
  <c r="F14" i="53"/>
  <c r="G5" i="53"/>
  <c r="F16" i="53"/>
  <c r="F29" i="53" s="1"/>
  <c r="F44" i="53" s="1"/>
  <c r="F150" i="53" s="1"/>
  <c r="F151" i="53" s="1"/>
  <c r="G60" i="51" s="1"/>
  <c r="AM60" i="51" s="1"/>
  <c r="F15" i="53"/>
  <c r="F28" i="53" s="1"/>
  <c r="F17" i="53"/>
  <c r="F30" i="53" s="1"/>
  <c r="F18" i="53"/>
  <c r="F31" i="53" s="1"/>
  <c r="B21" i="60"/>
  <c r="B30" i="60" s="1"/>
  <c r="B31" i="60" s="1"/>
  <c r="K61" i="60"/>
  <c r="M5" i="60"/>
  <c r="I7" i="60"/>
  <c r="I9" i="60" s="1"/>
  <c r="B55" i="60"/>
  <c r="F6" i="63"/>
  <c r="C9" i="60"/>
  <c r="D164" i="38"/>
  <c r="D168" i="38" s="1"/>
  <c r="D162" i="38"/>
  <c r="D166" i="38" s="1"/>
  <c r="D163" i="38"/>
  <c r="D167" i="38" s="1"/>
  <c r="D165" i="38"/>
  <c r="E109" i="36" s="1"/>
  <c r="AK109" i="36" s="1"/>
  <c r="AQ27" i="58"/>
  <c r="K9" i="58"/>
  <c r="K4" i="59" s="1"/>
  <c r="K4" i="58"/>
  <c r="AQ4" i="58" s="1"/>
  <c r="BW4" i="58" s="1"/>
  <c r="I134" i="14"/>
  <c r="I70" i="14"/>
  <c r="I220" i="14"/>
  <c r="I71" i="14"/>
  <c r="I66" i="14"/>
  <c r="I85" i="14" s="1"/>
  <c r="D209" i="38"/>
  <c r="D213" i="38" s="1"/>
  <c r="D211" i="38"/>
  <c r="D210" i="38"/>
  <c r="D214" i="38" s="1"/>
  <c r="D208" i="38"/>
  <c r="D212" i="38" s="1"/>
  <c r="D86" i="14"/>
  <c r="D69" i="14"/>
  <c r="D88" i="14" s="1"/>
  <c r="H5" i="29"/>
  <c r="G17" i="29"/>
  <c r="G30" i="29" s="1"/>
  <c r="G15" i="29"/>
  <c r="G28" i="29" s="1"/>
  <c r="G46" i="29" s="1"/>
  <c r="G18" i="29"/>
  <c r="G31" i="29" s="1"/>
  <c r="G16" i="29"/>
  <c r="G29" i="29" s="1"/>
  <c r="G47" i="29" s="1"/>
  <c r="G14" i="29"/>
  <c r="E138" i="42"/>
  <c r="E142" i="42" s="1"/>
  <c r="E141" i="42"/>
  <c r="E139" i="42"/>
  <c r="E143" i="42" s="1"/>
  <c r="E140" i="42"/>
  <c r="E144" i="42" s="1"/>
  <c r="AJ83" i="45"/>
  <c r="AJ84" i="45" s="1"/>
  <c r="D84" i="45"/>
  <c r="F19" i="38"/>
  <c r="F247" i="38" s="1"/>
  <c r="F27" i="38"/>
  <c r="F213" i="14"/>
  <c r="F84" i="14"/>
  <c r="E140" i="38"/>
  <c r="E138" i="38"/>
  <c r="E139" i="38"/>
  <c r="E34" i="46"/>
  <c r="E309" i="46"/>
  <c r="C87" i="29"/>
  <c r="E19" i="28"/>
  <c r="E118" i="28" s="1"/>
  <c r="E27" i="28"/>
  <c r="E42" i="42"/>
  <c r="E32" i="42"/>
  <c r="I213" i="14"/>
  <c r="I84" i="14"/>
  <c r="F19" i="48"/>
  <c r="F275" i="48" s="1"/>
  <c r="F27" i="48"/>
  <c r="F32" i="48" s="1"/>
  <c r="L63" i="14"/>
  <c r="L81" i="14" s="1"/>
  <c r="L64" i="14"/>
  <c r="E229" i="48"/>
  <c r="E232" i="46"/>
  <c r="E237" i="46" s="1"/>
  <c r="E231" i="46"/>
  <c r="E236" i="46" s="1"/>
  <c r="E230" i="46"/>
  <c r="E235" i="46" s="1"/>
  <c r="E233" i="46"/>
  <c r="E238" i="46" s="1"/>
  <c r="E234" i="46"/>
  <c r="F108" i="45" s="1"/>
  <c r="AL108" i="45" s="1"/>
  <c r="F191" i="42"/>
  <c r="F199" i="42"/>
  <c r="F207" i="42"/>
  <c r="D32" i="38"/>
  <c r="D42" i="38"/>
  <c r="D164" i="42"/>
  <c r="D168" i="42" s="1"/>
  <c r="D165" i="42"/>
  <c r="D162" i="42"/>
  <c r="D166" i="42" s="1"/>
  <c r="D163" i="42"/>
  <c r="D167" i="42" s="1"/>
  <c r="C281" i="42"/>
  <c r="C34" i="42"/>
  <c r="E211" i="42"/>
  <c r="E208" i="42"/>
  <c r="E212" i="42" s="1"/>
  <c r="E210" i="42"/>
  <c r="E214" i="42" s="1"/>
  <c r="E209" i="42"/>
  <c r="E213" i="42" s="1"/>
  <c r="BP27" i="58"/>
  <c r="BP9" i="58" s="1"/>
  <c r="AJ9" i="58"/>
  <c r="D140" i="38"/>
  <c r="D138" i="38"/>
  <c r="D139" i="38"/>
  <c r="D34" i="53"/>
  <c r="D197" i="53"/>
  <c r="D203" i="38"/>
  <c r="E101" i="36" s="1"/>
  <c r="AK101" i="36" s="1"/>
  <c r="D200" i="38"/>
  <c r="D204" i="38" s="1"/>
  <c r="D201" i="38"/>
  <c r="D205" i="38" s="1"/>
  <c r="D202" i="38"/>
  <c r="D206" i="38" s="1"/>
  <c r="C220" i="48"/>
  <c r="C225" i="48" s="1"/>
  <c r="C222" i="48"/>
  <c r="C227" i="48" s="1"/>
  <c r="C221" i="48"/>
  <c r="C226" i="48" s="1"/>
  <c r="C224" i="48"/>
  <c r="C223" i="48"/>
  <c r="C228" i="48" s="1"/>
  <c r="E201" i="38"/>
  <c r="E205" i="38" s="1"/>
  <c r="E202" i="38"/>
  <c r="E206" i="38" s="1"/>
  <c r="E200" i="38"/>
  <c r="E204" i="38" s="1"/>
  <c r="E203" i="38"/>
  <c r="F101" i="36" s="1"/>
  <c r="AL101" i="36" s="1"/>
  <c r="C150" i="48"/>
  <c r="C155" i="48" s="1"/>
  <c r="C149" i="48"/>
  <c r="C154" i="48" s="1"/>
  <c r="C151" i="48"/>
  <c r="C156" i="48" s="1"/>
  <c r="C152" i="48"/>
  <c r="C148" i="48"/>
  <c r="C153" i="48" s="1"/>
  <c r="F137" i="38"/>
  <c r="F161" i="38"/>
  <c r="F145" i="38"/>
  <c r="F153" i="38"/>
  <c r="E32" i="29"/>
  <c r="E45" i="29"/>
  <c r="C34" i="19"/>
  <c r="C214" i="19"/>
  <c r="E212" i="46"/>
  <c r="E217" i="46" s="1"/>
  <c r="E211" i="46"/>
  <c r="E216" i="46" s="1"/>
  <c r="E210" i="46"/>
  <c r="E215" i="46" s="1"/>
  <c r="E214" i="46"/>
  <c r="F89" i="45" s="1"/>
  <c r="E209" i="48"/>
  <c r="E213" i="46"/>
  <c r="E218" i="46" s="1"/>
  <c r="G15" i="42"/>
  <c r="G28" i="42" s="1"/>
  <c r="G43" i="42" s="1"/>
  <c r="H5" i="42"/>
  <c r="G16" i="42"/>
  <c r="G29" i="42" s="1"/>
  <c r="G44" i="42" s="1"/>
  <c r="G222" i="42" s="1"/>
  <c r="G14" i="42"/>
  <c r="G17" i="42"/>
  <c r="G30" i="42" s="1"/>
  <c r="G45" i="42" s="1"/>
  <c r="G18" i="42"/>
  <c r="G31" i="42" s="1"/>
  <c r="G46" i="42" s="1"/>
  <c r="G237" i="42" s="1"/>
  <c r="C50" i="29"/>
  <c r="C145" i="29" s="1"/>
  <c r="D157" i="42"/>
  <c r="D154" i="42"/>
  <c r="D158" i="42" s="1"/>
  <c r="D155" i="42"/>
  <c r="D159" i="42" s="1"/>
  <c r="D156" i="42"/>
  <c r="D160" i="42" s="1"/>
  <c r="C47" i="42"/>
  <c r="C291" i="42" s="1"/>
  <c r="C72" i="42"/>
  <c r="C96" i="42"/>
  <c r="C80" i="42"/>
  <c r="C104" i="42"/>
  <c r="C249" i="42"/>
  <c r="E249" i="48"/>
  <c r="E254" i="48" s="1"/>
  <c r="E250" i="48"/>
  <c r="E255" i="48" s="1"/>
  <c r="E247" i="48"/>
  <c r="E252" i="48" s="1"/>
  <c r="E251" i="48"/>
  <c r="E248" i="48"/>
  <c r="E253" i="48" s="1"/>
  <c r="E201" i="42"/>
  <c r="E205" i="42" s="1"/>
  <c r="E202" i="42"/>
  <c r="E206" i="42" s="1"/>
  <c r="E200" i="42"/>
  <c r="E204" i="42" s="1"/>
  <c r="E203" i="42"/>
  <c r="F246" i="48"/>
  <c r="F249" i="46"/>
  <c r="F254" i="46" s="1"/>
  <c r="F247" i="46"/>
  <c r="F252" i="46" s="1"/>
  <c r="F248" i="46"/>
  <c r="F253" i="46" s="1"/>
  <c r="F250" i="46"/>
  <c r="F255" i="46" s="1"/>
  <c r="F251" i="46"/>
  <c r="G96" i="45" s="1"/>
  <c r="E194" i="38"/>
  <c r="E198" i="38" s="1"/>
  <c r="E192" i="38"/>
  <c r="E196" i="38" s="1"/>
  <c r="E193" i="38"/>
  <c r="E197" i="38" s="1"/>
  <c r="G15" i="46"/>
  <c r="G28" i="46" s="1"/>
  <c r="G43" i="46" s="1"/>
  <c r="G17" i="46"/>
  <c r="G30" i="46" s="1"/>
  <c r="G45" i="46" s="1"/>
  <c r="G16" i="46"/>
  <c r="G29" i="46" s="1"/>
  <c r="G44" i="46" s="1"/>
  <c r="G246" i="46" s="1"/>
  <c r="G14" i="46"/>
  <c r="G18" i="46"/>
  <c r="G31" i="46" s="1"/>
  <c r="H5" i="46"/>
  <c r="E309" i="48"/>
  <c r="E34" i="48"/>
  <c r="H5" i="48"/>
  <c r="G15" i="48"/>
  <c r="G28" i="48" s="1"/>
  <c r="G43" i="48" s="1"/>
  <c r="G14" i="48"/>
  <c r="G16" i="48"/>
  <c r="G29" i="48" s="1"/>
  <c r="G44" i="48" s="1"/>
  <c r="G18" i="48"/>
  <c r="G31" i="48" s="1"/>
  <c r="G17" i="48"/>
  <c r="G30" i="48" s="1"/>
  <c r="G45" i="48" s="1"/>
  <c r="AP27" i="58"/>
  <c r="J9" i="58"/>
  <c r="J4" i="59" s="1"/>
  <c r="J4" i="58"/>
  <c r="AP4" i="58" s="1"/>
  <c r="BV4" i="58" s="1"/>
  <c r="E67" i="29"/>
  <c r="E68" i="29"/>
  <c r="F58" i="15"/>
  <c r="E66" i="29"/>
  <c r="E65" i="29" s="1"/>
  <c r="E77" i="29"/>
  <c r="F45" i="16" s="1"/>
  <c r="F64" i="15"/>
  <c r="E74" i="29"/>
  <c r="F48" i="16" s="1"/>
  <c r="F49" i="16" s="1"/>
  <c r="F136" i="16" s="1"/>
  <c r="E70" i="29"/>
  <c r="F48" i="15"/>
  <c r="F49" i="15" s="1"/>
  <c r="F136" i="15" s="1"/>
  <c r="E73" i="29"/>
  <c r="E76" i="29"/>
  <c r="F58" i="16" s="1"/>
  <c r="F45" i="15"/>
  <c r="E69" i="29"/>
  <c r="E78" i="29"/>
  <c r="F64" i="16" s="1"/>
  <c r="E75" i="29"/>
  <c r="E71" i="29"/>
  <c r="E32" i="38"/>
  <c r="E42" i="38"/>
  <c r="E219" i="48"/>
  <c r="E222" i="46"/>
  <c r="E227" i="46" s="1"/>
  <c r="E220" i="46"/>
  <c r="E225" i="46" s="1"/>
  <c r="E221" i="46"/>
  <c r="E226" i="46" s="1"/>
  <c r="E223" i="46"/>
  <c r="E228" i="46" s="1"/>
  <c r="E224" i="46"/>
  <c r="F99" i="45" s="1"/>
  <c r="AL99" i="45" s="1"/>
  <c r="D157" i="48"/>
  <c r="D159" i="46"/>
  <c r="D164" i="46" s="1"/>
  <c r="D160" i="46"/>
  <c r="D165" i="46" s="1"/>
  <c r="D161" i="46"/>
  <c r="D166" i="46" s="1"/>
  <c r="D158" i="46"/>
  <c r="D163" i="46" s="1"/>
  <c r="D162" i="46"/>
  <c r="E98" i="45" s="1"/>
  <c r="AK98" i="45" s="1"/>
  <c r="F19" i="42"/>
  <c r="F247" i="42" s="1"/>
  <c r="F27" i="42"/>
  <c r="C34" i="29"/>
  <c r="C135" i="29"/>
  <c r="E19" i="54"/>
  <c r="E27" i="54"/>
  <c r="E32" i="54" s="1"/>
  <c r="F19" i="19"/>
  <c r="F27" i="19"/>
  <c r="D146" i="42"/>
  <c r="D150" i="42" s="1"/>
  <c r="D147" i="42"/>
  <c r="D151" i="42" s="1"/>
  <c r="D149" i="42"/>
  <c r="D148" i="42"/>
  <c r="D152" i="42" s="1"/>
  <c r="E195" i="42"/>
  <c r="E194" i="42"/>
  <c r="E198" i="42" s="1"/>
  <c r="E192" i="42"/>
  <c r="E196" i="42" s="1"/>
  <c r="E193" i="42"/>
  <c r="E197" i="42" s="1"/>
  <c r="C158" i="48"/>
  <c r="C163" i="48" s="1"/>
  <c r="C162" i="48"/>
  <c r="C161" i="48"/>
  <c r="C166" i="48" s="1"/>
  <c r="C159" i="48"/>
  <c r="C164" i="48" s="1"/>
  <c r="C160" i="48"/>
  <c r="C165" i="48" s="1"/>
  <c r="F49" i="29"/>
  <c r="E209" i="38"/>
  <c r="E213" i="38" s="1"/>
  <c r="E211" i="38"/>
  <c r="E210" i="38"/>
  <c r="E214" i="38" s="1"/>
  <c r="E208" i="38"/>
  <c r="E212" i="38" s="1"/>
  <c r="D208" i="42"/>
  <c r="D212" i="42" s="1"/>
  <c r="D210" i="42"/>
  <c r="D214" i="42" s="1"/>
  <c r="D211" i="42"/>
  <c r="D209" i="42"/>
  <c r="D213" i="42" s="1"/>
  <c r="F239" i="38"/>
  <c r="F243" i="38" s="1"/>
  <c r="F238" i="38"/>
  <c r="F242" i="38" s="1"/>
  <c r="F240" i="38"/>
  <c r="F244" i="38" s="1"/>
  <c r="C56" i="29"/>
  <c r="C62" i="29"/>
  <c r="C53" i="29"/>
  <c r="C96" i="29" s="1"/>
  <c r="C61" i="29"/>
  <c r="C60" i="29"/>
  <c r="C63" i="29"/>
  <c r="C54" i="29"/>
  <c r="C57" i="29"/>
  <c r="C95" i="29" s="1"/>
  <c r="C100" i="29" s="1"/>
  <c r="L3" i="31"/>
  <c r="C59" i="29"/>
  <c r="L2" i="31"/>
  <c r="C55" i="29"/>
  <c r="C52" i="29" s="1"/>
  <c r="L5" i="31"/>
  <c r="C50" i="28"/>
  <c r="C117" i="28" s="1"/>
  <c r="C221" i="28"/>
  <c r="C216" i="28"/>
  <c r="C225" i="28"/>
  <c r="C222" i="28"/>
  <c r="C168" i="48"/>
  <c r="C173" i="48" s="1"/>
  <c r="C169" i="48"/>
  <c r="C174" i="48" s="1"/>
  <c r="C171" i="48"/>
  <c r="C176" i="48" s="1"/>
  <c r="C170" i="48"/>
  <c r="C175" i="48" s="1"/>
  <c r="C172" i="48"/>
  <c r="C34" i="38"/>
  <c r="C281" i="38"/>
  <c r="D32" i="29"/>
  <c r="D45" i="29"/>
  <c r="D167" i="48"/>
  <c r="D171" i="46"/>
  <c r="D176" i="46" s="1"/>
  <c r="D172" i="46"/>
  <c r="E77" i="45" s="1"/>
  <c r="AK77" i="45" s="1"/>
  <c r="D169" i="46"/>
  <c r="D174" i="46" s="1"/>
  <c r="D170" i="46"/>
  <c r="D175" i="46" s="1"/>
  <c r="D168" i="46"/>
  <c r="D173" i="46" s="1"/>
  <c r="F241" i="42"/>
  <c r="F238" i="42"/>
  <c r="F242" i="42" s="1"/>
  <c r="F239" i="42"/>
  <c r="F243" i="42" s="1"/>
  <c r="F240" i="42"/>
  <c r="F244" i="42" s="1"/>
  <c r="E61" i="15"/>
  <c r="D88" i="29"/>
  <c r="F16" i="54"/>
  <c r="F29" i="54" s="1"/>
  <c r="F44" i="54" s="1"/>
  <c r="F150" i="54" s="1"/>
  <c r="F151" i="54" s="1"/>
  <c r="F18" i="54"/>
  <c r="F31" i="54" s="1"/>
  <c r="F15" i="54"/>
  <c r="F28" i="54" s="1"/>
  <c r="F17" i="54"/>
  <c r="F30" i="54" s="1"/>
  <c r="F14" i="54"/>
  <c r="G5" i="54"/>
  <c r="H5" i="19"/>
  <c r="G16" i="19"/>
  <c r="G29" i="19" s="1"/>
  <c r="G47" i="19" s="1"/>
  <c r="G17" i="19"/>
  <c r="G30" i="19" s="1"/>
  <c r="G48" i="19" s="1"/>
  <c r="G14" i="19"/>
  <c r="G18" i="19"/>
  <c r="G31" i="19" s="1"/>
  <c r="G49" i="19" s="1"/>
  <c r="G15" i="19"/>
  <c r="G28" i="19" s="1"/>
  <c r="G46" i="19" s="1"/>
  <c r="D221" i="46"/>
  <c r="D226" i="46" s="1"/>
  <c r="D222" i="46"/>
  <c r="D227" i="46" s="1"/>
  <c r="D220" i="46"/>
  <c r="D225" i="46" s="1"/>
  <c r="D224" i="46"/>
  <c r="E99" i="45" s="1"/>
  <c r="AK99" i="45" s="1"/>
  <c r="D219" i="48"/>
  <c r="D223" i="46"/>
  <c r="D228" i="46" s="1"/>
  <c r="D141" i="42"/>
  <c r="D139" i="42"/>
  <c r="D143" i="42" s="1"/>
  <c r="D140" i="42"/>
  <c r="D144" i="42" s="1"/>
  <c r="D138" i="42"/>
  <c r="D142" i="42" s="1"/>
  <c r="G27" i="58"/>
  <c r="BS10" i="58"/>
  <c r="BS5" i="58"/>
  <c r="BP4" i="58"/>
  <c r="CX4" i="58"/>
  <c r="E213" i="14"/>
  <c r="E84" i="14"/>
  <c r="F209" i="46"/>
  <c r="F219" i="46"/>
  <c r="F229" i="46"/>
  <c r="F19" i="29"/>
  <c r="F27" i="29"/>
  <c r="D85" i="45"/>
  <c r="AJ87" i="45"/>
  <c r="D86" i="45"/>
  <c r="AJ85" i="45"/>
  <c r="AJ86" i="45"/>
  <c r="D87" i="45"/>
  <c r="D200" i="42"/>
  <c r="D204" i="42" s="1"/>
  <c r="D203" i="42"/>
  <c r="D202" i="42"/>
  <c r="D206" i="42" s="1"/>
  <c r="D201" i="42"/>
  <c r="D205" i="42" s="1"/>
  <c r="F191" i="38"/>
  <c r="F207" i="38"/>
  <c r="F199" i="38"/>
  <c r="C149" i="28"/>
  <c r="C34" i="28"/>
  <c r="D86" i="36"/>
  <c r="D89" i="36" s="1"/>
  <c r="AJ85" i="36"/>
  <c r="AJ86" i="36" s="1"/>
  <c r="AJ89" i="36" s="1"/>
  <c r="AH86" i="14"/>
  <c r="D85" i="12"/>
  <c r="AG88" i="14"/>
  <c r="AF88" i="12"/>
  <c r="F214" i="12"/>
  <c r="F224" i="12" s="1"/>
  <c r="K214" i="12"/>
  <c r="K224" i="12" s="1"/>
  <c r="AH67" i="12"/>
  <c r="AG87" i="12"/>
  <c r="D90" i="12"/>
  <c r="AG37" i="12"/>
  <c r="D87" i="12"/>
  <c r="D89" i="12"/>
  <c r="AG69" i="12"/>
  <c r="AH85" i="12"/>
  <c r="AG86" i="12"/>
  <c r="E70" i="12"/>
  <c r="E71" i="12"/>
  <c r="E66" i="12"/>
  <c r="I70" i="12"/>
  <c r="I71" i="12"/>
  <c r="I66" i="12"/>
  <c r="AH90" i="12"/>
  <c r="AH35" i="12"/>
  <c r="AH37" i="12" s="1"/>
  <c r="J66" i="12"/>
  <c r="J71" i="12"/>
  <c r="J70" i="12"/>
  <c r="AH68" i="12"/>
  <c r="AH89" i="12"/>
  <c r="AH23" i="14"/>
  <c r="AH21" i="12"/>
  <c r="AH22" i="12"/>
  <c r="D67" i="12"/>
  <c r="L8" i="12"/>
  <c r="G8" i="12"/>
  <c r="H10" i="12"/>
  <c r="H9" i="12"/>
  <c r="H6" i="12"/>
  <c r="H5" i="12"/>
  <c r="H7" i="12"/>
  <c r="M6" i="12"/>
  <c r="M5" i="12"/>
  <c r="M7" i="12"/>
  <c r="M10" i="12"/>
  <c r="M9" i="12"/>
  <c r="D180" i="12"/>
  <c r="C172" i="12" s="1"/>
  <c r="F223" i="12"/>
  <c r="AH223" i="12"/>
  <c r="AH221" i="12"/>
  <c r="K223" i="12"/>
  <c r="J134" i="12"/>
  <c r="J168" i="12" s="1"/>
  <c r="J220" i="12"/>
  <c r="J221" i="12" s="1"/>
  <c r="I134" i="12"/>
  <c r="I168" i="12" s="1"/>
  <c r="I220" i="12"/>
  <c r="I221" i="12" s="1"/>
  <c r="E134" i="12"/>
  <c r="E168" i="12" s="1"/>
  <c r="E220" i="12"/>
  <c r="E221" i="12" s="1"/>
  <c r="AT172" i="12"/>
  <c r="AH167" i="12"/>
  <c r="AH168" i="12"/>
  <c r="C187" i="14"/>
  <c r="D195" i="14" s="1"/>
  <c r="C183" i="14"/>
  <c r="C180" i="14"/>
  <c r="I167" i="12"/>
  <c r="E167" i="12"/>
  <c r="J167" i="12"/>
  <c r="H43" i="20"/>
  <c r="I43" i="20"/>
  <c r="D43" i="20"/>
  <c r="K84" i="12"/>
  <c r="K65" i="12"/>
  <c r="F65" i="12"/>
  <c r="L64" i="12"/>
  <c r="L82" i="12" s="1"/>
  <c r="L63" i="12"/>
  <c r="L81" i="12" s="1"/>
  <c r="L213" i="12" s="1"/>
  <c r="G63" i="12"/>
  <c r="G81" i="12" s="1"/>
  <c r="G213" i="12" s="1"/>
  <c r="G64" i="12"/>
  <c r="G82" i="12" s="1"/>
  <c r="F84" i="12"/>
  <c r="M62" i="12"/>
  <c r="M166" i="12" s="1"/>
  <c r="H62" i="12"/>
  <c r="H166" i="12" s="1"/>
  <c r="C276" i="19" l="1"/>
  <c r="C224" i="19"/>
  <c r="C275" i="19"/>
  <c r="C228" i="19"/>
  <c r="C225" i="19"/>
  <c r="I43" i="19"/>
  <c r="E88" i="29"/>
  <c r="F61" i="15"/>
  <c r="E134" i="14"/>
  <c r="E70" i="14"/>
  <c r="E66" i="14"/>
  <c r="E85" i="14" s="1"/>
  <c r="E71" i="14"/>
  <c r="E220" i="14"/>
  <c r="D43" i="19"/>
  <c r="C97" i="29"/>
  <c r="C91" i="29"/>
  <c r="C292" i="38"/>
  <c r="D225" i="19"/>
  <c r="D228" i="19"/>
  <c r="D224" i="19"/>
  <c r="E228" i="19"/>
  <c r="D275" i="19"/>
  <c r="D276" i="19"/>
  <c r="E275" i="19"/>
  <c r="E225" i="19"/>
  <c r="E224" i="19"/>
  <c r="E276" i="19"/>
  <c r="M8" i="14"/>
  <c r="C246" i="42"/>
  <c r="G49" i="29"/>
  <c r="C21" i="60"/>
  <c r="C55" i="60"/>
  <c r="F156" i="42"/>
  <c r="F160" i="42" s="1"/>
  <c r="F157" i="42"/>
  <c r="F154" i="42"/>
  <c r="F158" i="42" s="1"/>
  <c r="F155" i="42"/>
  <c r="F159" i="42" s="1"/>
  <c r="F210" i="38"/>
  <c r="F214" i="38" s="1"/>
  <c r="F209" i="38"/>
  <c r="F213" i="38" s="1"/>
  <c r="F211" i="38"/>
  <c r="F208" i="38"/>
  <c r="F212" i="38" s="1"/>
  <c r="F229" i="48"/>
  <c r="F232" i="46"/>
  <c r="F237" i="46" s="1"/>
  <c r="F230" i="46"/>
  <c r="F235" i="46" s="1"/>
  <c r="F234" i="46"/>
  <c r="G108" i="45" s="1"/>
  <c r="AM108" i="45" s="1"/>
  <c r="F231" i="46"/>
  <c r="F236" i="46" s="1"/>
  <c r="F233" i="46"/>
  <c r="F238" i="46" s="1"/>
  <c r="D87" i="29"/>
  <c r="E61" i="16"/>
  <c r="M95" i="29"/>
  <c r="M98" i="29"/>
  <c r="M99" i="29"/>
  <c r="C37" i="29"/>
  <c r="C36" i="29"/>
  <c r="D161" i="48"/>
  <c r="D166" i="48" s="1"/>
  <c r="D159" i="48"/>
  <c r="D164" i="48" s="1"/>
  <c r="D162" i="48"/>
  <c r="D158" i="48"/>
  <c r="D163" i="48" s="1"/>
  <c r="D160" i="48"/>
  <c r="D165" i="48" s="1"/>
  <c r="E34" i="38"/>
  <c r="E281" i="38"/>
  <c r="G19" i="48"/>
  <c r="G275" i="48" s="1"/>
  <c r="G27" i="48"/>
  <c r="G32" i="48" s="1"/>
  <c r="G246" i="48"/>
  <c r="G251" i="46"/>
  <c r="H96" i="45" s="1"/>
  <c r="G249" i="46"/>
  <c r="G254" i="46" s="1"/>
  <c r="G248" i="46"/>
  <c r="G253" i="46" s="1"/>
  <c r="G250" i="46"/>
  <c r="G255" i="46" s="1"/>
  <c r="G247" i="46"/>
  <c r="G252" i="46" s="1"/>
  <c r="C73" i="42"/>
  <c r="C77" i="42" s="1"/>
  <c r="C74" i="42"/>
  <c r="C78" i="42" s="1"/>
  <c r="C75" i="42"/>
  <c r="C79" i="42" s="1"/>
  <c r="C76" i="42"/>
  <c r="G240" i="42"/>
  <c r="G244" i="42" s="1"/>
  <c r="G241" i="42"/>
  <c r="G239" i="42"/>
  <c r="G243" i="42" s="1"/>
  <c r="G238" i="42"/>
  <c r="G242" i="42" s="1"/>
  <c r="E50" i="29"/>
  <c r="E145" i="29" s="1"/>
  <c r="F34" i="48"/>
  <c r="F309" i="48"/>
  <c r="C92" i="29"/>
  <c r="C101" i="29" s="1"/>
  <c r="F223" i="14"/>
  <c r="AL86" i="45"/>
  <c r="AL87" i="45"/>
  <c r="AL85" i="45"/>
  <c r="F86" i="45"/>
  <c r="F87" i="45"/>
  <c r="F85" i="45"/>
  <c r="H27" i="58"/>
  <c r="BT10" i="58"/>
  <c r="BT5" i="58"/>
  <c r="D213" i="48"/>
  <c r="D218" i="48" s="1"/>
  <c r="D212" i="48"/>
  <c r="D217" i="48" s="1"/>
  <c r="D211" i="48"/>
  <c r="D216" i="48" s="1"/>
  <c r="D214" i="48"/>
  <c r="D210" i="48"/>
  <c r="D215" i="48" s="1"/>
  <c r="D152" i="48"/>
  <c r="D148" i="48"/>
  <c r="D153" i="48" s="1"/>
  <c r="D150" i="48"/>
  <c r="D155" i="48" s="1"/>
  <c r="D149" i="48"/>
  <c r="D154" i="48" s="1"/>
  <c r="D151" i="48"/>
  <c r="D156" i="48" s="1"/>
  <c r="G213" i="14"/>
  <c r="D230" i="48"/>
  <c r="D235" i="48" s="1"/>
  <c r="D233" i="48"/>
  <c r="D238" i="48" s="1"/>
  <c r="D231" i="48"/>
  <c r="D236" i="48" s="1"/>
  <c r="D232" i="48"/>
  <c r="D237" i="48" s="1"/>
  <c r="D234" i="48"/>
  <c r="F148" i="42"/>
  <c r="F152" i="42" s="1"/>
  <c r="F149" i="42"/>
  <c r="F147" i="42"/>
  <c r="F151" i="42" s="1"/>
  <c r="F146" i="42"/>
  <c r="F150" i="42" s="1"/>
  <c r="C296" i="38"/>
  <c r="C298" i="38"/>
  <c r="C297" i="38"/>
  <c r="C299" i="38"/>
  <c r="G191" i="38"/>
  <c r="G199" i="38"/>
  <c r="G207" i="38"/>
  <c r="G147" i="46"/>
  <c r="G177" i="46"/>
  <c r="G157" i="46"/>
  <c r="G167" i="46"/>
  <c r="K223" i="14"/>
  <c r="F192" i="38"/>
  <c r="F196" i="38" s="1"/>
  <c r="F194" i="38"/>
  <c r="F198" i="38" s="1"/>
  <c r="F193" i="38"/>
  <c r="F197" i="38" s="1"/>
  <c r="F219" i="48"/>
  <c r="F222" i="46"/>
  <c r="F227" i="46" s="1"/>
  <c r="F221" i="46"/>
  <c r="F226" i="46" s="1"/>
  <c r="F224" i="46"/>
  <c r="G99" i="45" s="1"/>
  <c r="AM99" i="45" s="1"/>
  <c r="F220" i="46"/>
  <c r="F225" i="46" s="1"/>
  <c r="F223" i="46"/>
  <c r="F228" i="46" s="1"/>
  <c r="AM27" i="58"/>
  <c r="G9" i="58"/>
  <c r="G4" i="59" s="1"/>
  <c r="G4" i="58"/>
  <c r="AM4" i="58" s="1"/>
  <c r="BS4" i="58" s="1"/>
  <c r="H17" i="19"/>
  <c r="H30" i="19" s="1"/>
  <c r="H48" i="19" s="1"/>
  <c r="H18" i="19"/>
  <c r="H31" i="19" s="1"/>
  <c r="H49" i="19" s="1"/>
  <c r="H15" i="19"/>
  <c r="H28" i="19" s="1"/>
  <c r="H46" i="19" s="1"/>
  <c r="H14" i="19"/>
  <c r="H16" i="19"/>
  <c r="H29" i="19" s="1"/>
  <c r="H47" i="19" s="1"/>
  <c r="I5" i="19"/>
  <c r="F42" i="42"/>
  <c r="F32" i="42"/>
  <c r="G219" i="46"/>
  <c r="G209" i="46"/>
  <c r="G229" i="46"/>
  <c r="C295" i="42"/>
  <c r="C292" i="42"/>
  <c r="G191" i="42"/>
  <c r="G207" i="42"/>
  <c r="G199" i="42"/>
  <c r="E135" i="29"/>
  <c r="E34" i="29"/>
  <c r="C103" i="29"/>
  <c r="F32" i="38"/>
  <c r="F42" i="38"/>
  <c r="G19" i="29"/>
  <c r="G27" i="29"/>
  <c r="I68" i="14"/>
  <c r="I87" i="14" s="1"/>
  <c r="I89" i="14"/>
  <c r="AR27" i="58"/>
  <c r="L9" i="58"/>
  <c r="L4" i="59" s="1"/>
  <c r="L4" i="58"/>
  <c r="AR4" i="58" s="1"/>
  <c r="BX4" i="58" s="1"/>
  <c r="H64" i="14"/>
  <c r="H82" i="14" s="1"/>
  <c r="H214" i="14" s="1"/>
  <c r="H224" i="14" s="1"/>
  <c r="H63" i="14"/>
  <c r="H81" i="14" s="1"/>
  <c r="F161" i="46"/>
  <c r="F166" i="46" s="1"/>
  <c r="F159" i="46"/>
  <c r="F164" i="46" s="1"/>
  <c r="F158" i="46"/>
  <c r="F163" i="46" s="1"/>
  <c r="F162" i="46"/>
  <c r="G98" i="45" s="1"/>
  <c r="AM98" i="45" s="1"/>
  <c r="F157" i="48"/>
  <c r="F160" i="46"/>
  <c r="F165" i="46" s="1"/>
  <c r="K84" i="14"/>
  <c r="F164" i="42"/>
  <c r="F168" i="42" s="1"/>
  <c r="F165" i="42"/>
  <c r="F163" i="42"/>
  <c r="F167" i="42" s="1"/>
  <c r="F162" i="42"/>
  <c r="F166" i="42" s="1"/>
  <c r="E158" i="48"/>
  <c r="E163" i="48" s="1"/>
  <c r="E159" i="48"/>
  <c r="E164" i="48" s="1"/>
  <c r="E162" i="48"/>
  <c r="E160" i="48"/>
  <c r="E165" i="48" s="1"/>
  <c r="E161" i="48"/>
  <c r="E166" i="48" s="1"/>
  <c r="G19" i="38"/>
  <c r="G247" i="38" s="1"/>
  <c r="G27" i="38"/>
  <c r="F178" i="46"/>
  <c r="F183" i="46" s="1"/>
  <c r="F181" i="46"/>
  <c r="F186" i="46" s="1"/>
  <c r="F177" i="48"/>
  <c r="F180" i="46"/>
  <c r="F185" i="46" s="1"/>
  <c r="F179" i="46"/>
  <c r="F184" i="46" s="1"/>
  <c r="F182" i="46"/>
  <c r="G107" i="45" s="1"/>
  <c r="AM107" i="45" s="1"/>
  <c r="F19" i="54"/>
  <c r="F27" i="54"/>
  <c r="F32" i="54" s="1"/>
  <c r="D168" i="48"/>
  <c r="D173" i="48" s="1"/>
  <c r="D169" i="48"/>
  <c r="D174" i="48" s="1"/>
  <c r="D170" i="48"/>
  <c r="D175" i="48" s="1"/>
  <c r="D172" i="48"/>
  <c r="D171" i="48"/>
  <c r="D176" i="48" s="1"/>
  <c r="F32" i="19"/>
  <c r="F45" i="19"/>
  <c r="F50" i="19" s="1"/>
  <c r="F250" i="48"/>
  <c r="F255" i="48" s="1"/>
  <c r="F247" i="48"/>
  <c r="F252" i="48" s="1"/>
  <c r="F248" i="48"/>
  <c r="F253" i="48" s="1"/>
  <c r="F249" i="48"/>
  <c r="F254" i="48" s="1"/>
  <c r="F251" i="48"/>
  <c r="C316" i="42"/>
  <c r="C317" i="42" s="1"/>
  <c r="C293" i="42"/>
  <c r="C294" i="42" s="1"/>
  <c r="C250" i="42"/>
  <c r="G225" i="42"/>
  <c r="G229" i="42" s="1"/>
  <c r="G226" i="42"/>
  <c r="G223" i="42"/>
  <c r="G227" i="42" s="1"/>
  <c r="G224" i="42"/>
  <c r="G228" i="42" s="1"/>
  <c r="F146" i="38"/>
  <c r="F150" i="38" s="1"/>
  <c r="F147" i="38"/>
  <c r="F151" i="38" s="1"/>
  <c r="F149" i="38"/>
  <c r="G100" i="36" s="1"/>
  <c r="AM100" i="36" s="1"/>
  <c r="F148" i="38"/>
  <c r="F152" i="38" s="1"/>
  <c r="D47" i="38"/>
  <c r="D291" i="38" s="1"/>
  <c r="D72" i="38"/>
  <c r="D73" i="38" s="1"/>
  <c r="D104" i="38"/>
  <c r="D96" i="38"/>
  <c r="D80" i="38"/>
  <c r="D249" i="38"/>
  <c r="D246" i="38"/>
  <c r="I223" i="14"/>
  <c r="I221" i="14"/>
  <c r="B10" i="63"/>
  <c r="F7" i="63"/>
  <c r="G6" i="63" s="1"/>
  <c r="F167" i="48"/>
  <c r="F172" i="46"/>
  <c r="G77" i="45" s="1"/>
  <c r="AM77" i="45" s="1"/>
  <c r="F171" i="46"/>
  <c r="F176" i="46" s="1"/>
  <c r="F170" i="46"/>
  <c r="F175" i="46" s="1"/>
  <c r="F169" i="46"/>
  <c r="F174" i="46" s="1"/>
  <c r="F168" i="46"/>
  <c r="F173" i="46" s="1"/>
  <c r="E85" i="45"/>
  <c r="AK85" i="45"/>
  <c r="AK87" i="45"/>
  <c r="E86" i="45"/>
  <c r="AK86" i="45"/>
  <c r="E87" i="45"/>
  <c r="J134" i="14"/>
  <c r="J71" i="14"/>
  <c r="J66" i="14"/>
  <c r="J85" i="14" s="1"/>
  <c r="J70" i="14"/>
  <c r="J220" i="14"/>
  <c r="J221" i="14" s="1"/>
  <c r="H5" i="28"/>
  <c r="G14" i="28"/>
  <c r="G17" i="28"/>
  <c r="G30" i="28" s="1"/>
  <c r="G18" i="28"/>
  <c r="G31" i="28" s="1"/>
  <c r="G15" i="28"/>
  <c r="G28" i="28" s="1"/>
  <c r="G46" i="28" s="1"/>
  <c r="G16" i="28"/>
  <c r="G29" i="28" s="1"/>
  <c r="G47" i="28" s="1"/>
  <c r="K134" i="14"/>
  <c r="K66" i="14"/>
  <c r="K85" i="14" s="1"/>
  <c r="K71" i="14"/>
  <c r="K70" i="14"/>
  <c r="K220" i="14"/>
  <c r="K221" i="14" s="1"/>
  <c r="F138" i="42"/>
  <c r="F142" i="42" s="1"/>
  <c r="F139" i="42"/>
  <c r="F143" i="42" s="1"/>
  <c r="F140" i="42"/>
  <c r="F144" i="42" s="1"/>
  <c r="F141" i="42"/>
  <c r="D47" i="42"/>
  <c r="D291" i="42" s="1"/>
  <c r="D96" i="42"/>
  <c r="D104" i="42"/>
  <c r="D72" i="42"/>
  <c r="D80" i="42"/>
  <c r="D249" i="42"/>
  <c r="J223" i="14"/>
  <c r="H18" i="48"/>
  <c r="H31" i="48" s="1"/>
  <c r="H15" i="48"/>
  <c r="H28" i="48" s="1"/>
  <c r="H43" i="48" s="1"/>
  <c r="H16" i="48"/>
  <c r="H29" i="48" s="1"/>
  <c r="H44" i="48" s="1"/>
  <c r="H17" i="48"/>
  <c r="H30" i="48" s="1"/>
  <c r="H45" i="48" s="1"/>
  <c r="H14" i="48"/>
  <c r="I5" i="48"/>
  <c r="G19" i="42"/>
  <c r="G247" i="42" s="1"/>
  <c r="G27" i="42"/>
  <c r="G64" i="15"/>
  <c r="F66" i="29"/>
  <c r="F65" i="29" s="1"/>
  <c r="F76" i="29"/>
  <c r="G58" i="16" s="1"/>
  <c r="G48" i="15"/>
  <c r="G49" i="15" s="1"/>
  <c r="G136" i="15" s="1"/>
  <c r="F75" i="29"/>
  <c r="F70" i="29"/>
  <c r="G45" i="15"/>
  <c r="F71" i="29"/>
  <c r="F67" i="29"/>
  <c r="G58" i="15"/>
  <c r="F69" i="29"/>
  <c r="F78" i="29"/>
  <c r="G64" i="16" s="1"/>
  <c r="F74" i="29"/>
  <c r="G48" i="16" s="1"/>
  <c r="G49" i="16" s="1"/>
  <c r="G136" i="16" s="1"/>
  <c r="F68" i="29"/>
  <c r="F77" i="29"/>
  <c r="G45" i="16" s="1"/>
  <c r="F73" i="29"/>
  <c r="E223" i="14"/>
  <c r="D50" i="29"/>
  <c r="D145" i="29" s="1"/>
  <c r="BV27" i="58"/>
  <c r="BV9" i="58" s="1"/>
  <c r="AP9" i="58"/>
  <c r="AP4" i="59" s="1"/>
  <c r="BV4" i="59" s="1"/>
  <c r="DB4" i="59" s="1"/>
  <c r="H17" i="42"/>
  <c r="H30" i="42" s="1"/>
  <c r="H45" i="42" s="1"/>
  <c r="H14" i="42"/>
  <c r="H16" i="42"/>
  <c r="H29" i="42" s="1"/>
  <c r="H44" i="42" s="1"/>
  <c r="H222" i="42" s="1"/>
  <c r="H15" i="42"/>
  <c r="H28" i="42" s="1"/>
  <c r="H43" i="42" s="1"/>
  <c r="H18" i="42"/>
  <c r="H31" i="42" s="1"/>
  <c r="H46" i="42" s="1"/>
  <c r="H237" i="42" s="1"/>
  <c r="I5" i="42"/>
  <c r="F164" i="38"/>
  <c r="F168" i="38" s="1"/>
  <c r="F163" i="38"/>
  <c r="F167" i="38" s="1"/>
  <c r="F165" i="38"/>
  <c r="G109" i="36" s="1"/>
  <c r="AM109" i="36" s="1"/>
  <c r="F162" i="38"/>
  <c r="F166" i="38" s="1"/>
  <c r="D34" i="38"/>
  <c r="D281" i="38"/>
  <c r="E281" i="42"/>
  <c r="E34" i="42"/>
  <c r="E34" i="19"/>
  <c r="E214" i="19"/>
  <c r="F148" i="46"/>
  <c r="F153" i="46" s="1"/>
  <c r="F147" i="48"/>
  <c r="F152" i="46"/>
  <c r="G83" i="45" s="1"/>
  <c r="F151" i="46"/>
  <c r="F156" i="46" s="1"/>
  <c r="F150" i="46"/>
  <c r="F155" i="46" s="1"/>
  <c r="F149" i="46"/>
  <c r="F154" i="46" s="1"/>
  <c r="D216" i="28"/>
  <c r="D63" i="29"/>
  <c r="E56" i="16" s="1"/>
  <c r="E56" i="15"/>
  <c r="D61" i="29"/>
  <c r="D103" i="29" s="1"/>
  <c r="D57" i="29"/>
  <c r="D60" i="29"/>
  <c r="D55" i="29"/>
  <c r="D52" i="29" s="1"/>
  <c r="D62" i="29"/>
  <c r="E62" i="16" s="1"/>
  <c r="D54" i="29"/>
  <c r="D56" i="29"/>
  <c r="D59" i="29"/>
  <c r="E44" i="16" s="1"/>
  <c r="E62" i="15"/>
  <c r="E65" i="15" s="1"/>
  <c r="E139" i="15" s="1"/>
  <c r="D50" i="28"/>
  <c r="D117" i="28" s="1"/>
  <c r="D53" i="29"/>
  <c r="E44" i="15"/>
  <c r="F19" i="28"/>
  <c r="F118" i="28" s="1"/>
  <c r="F27" i="28"/>
  <c r="G137" i="38"/>
  <c r="G153" i="38"/>
  <c r="G161" i="38"/>
  <c r="G145" i="38"/>
  <c r="G15" i="54"/>
  <c r="G28" i="54" s="1"/>
  <c r="G17" i="54"/>
  <c r="G30" i="54" s="1"/>
  <c r="G14" i="54"/>
  <c r="H5" i="54"/>
  <c r="G16" i="54"/>
  <c r="G29" i="54" s="1"/>
  <c r="G44" i="54" s="1"/>
  <c r="G150" i="54" s="1"/>
  <c r="G151" i="54" s="1"/>
  <c r="G18" i="54"/>
  <c r="G31" i="54" s="1"/>
  <c r="F155" i="38"/>
  <c r="F159" i="38" s="1"/>
  <c r="F154" i="38"/>
  <c r="F158" i="38" s="1"/>
  <c r="F157" i="38"/>
  <c r="G79" i="36" s="1"/>
  <c r="AM79" i="36" s="1"/>
  <c r="F156" i="38"/>
  <c r="F160" i="38" s="1"/>
  <c r="C37" i="28"/>
  <c r="C36" i="28"/>
  <c r="D135" i="29"/>
  <c r="D34" i="29"/>
  <c r="M96" i="29"/>
  <c r="E197" i="54"/>
  <c r="E34" i="54"/>
  <c r="H14" i="46"/>
  <c r="H18" i="46"/>
  <c r="H31" i="46" s="1"/>
  <c r="H17" i="46"/>
  <c r="H30" i="46" s="1"/>
  <c r="H45" i="46" s="1"/>
  <c r="H15" i="46"/>
  <c r="H28" i="46" s="1"/>
  <c r="H43" i="46" s="1"/>
  <c r="H16" i="46"/>
  <c r="H29" i="46" s="1"/>
  <c r="H44" i="46" s="1"/>
  <c r="H246" i="46" s="1"/>
  <c r="I5" i="46"/>
  <c r="C105" i="42"/>
  <c r="C109" i="42" s="1"/>
  <c r="C106" i="42"/>
  <c r="C110" i="42" s="1"/>
  <c r="C108" i="42"/>
  <c r="C107" i="42"/>
  <c r="C111" i="42" s="1"/>
  <c r="G137" i="42"/>
  <c r="G161" i="42"/>
  <c r="G153" i="42"/>
  <c r="G145" i="42"/>
  <c r="C36" i="19"/>
  <c r="C37" i="19"/>
  <c r="F140" i="38"/>
  <c r="F138" i="38"/>
  <c r="F139" i="38"/>
  <c r="F208" i="42"/>
  <c r="F212" i="42" s="1"/>
  <c r="F209" i="42"/>
  <c r="F213" i="42" s="1"/>
  <c r="F211" i="42"/>
  <c r="F210" i="42"/>
  <c r="F214" i="42" s="1"/>
  <c r="E232" i="48"/>
  <c r="E237" i="48" s="1"/>
  <c r="E234" i="48"/>
  <c r="E233" i="48"/>
  <c r="E238" i="48" s="1"/>
  <c r="E230" i="48"/>
  <c r="E235" i="48" s="1"/>
  <c r="E231" i="48"/>
  <c r="E236" i="48" s="1"/>
  <c r="E47" i="42"/>
  <c r="E291" i="42" s="1"/>
  <c r="E96" i="42"/>
  <c r="E80" i="42"/>
  <c r="E72" i="42"/>
  <c r="E104" i="42"/>
  <c r="E249" i="42"/>
  <c r="BW27" i="58"/>
  <c r="BW9" i="58" s="1"/>
  <c r="AQ9" i="58"/>
  <c r="AQ4" i="59" s="1"/>
  <c r="BW4" i="59" s="1"/>
  <c r="DC4" i="59" s="1"/>
  <c r="G18" i="53"/>
  <c r="G31" i="53" s="1"/>
  <c r="H5" i="53"/>
  <c r="G14" i="53"/>
  <c r="G17" i="53"/>
  <c r="G30" i="53" s="1"/>
  <c r="G15" i="53"/>
  <c r="G28" i="53" s="1"/>
  <c r="G16" i="53"/>
  <c r="G29" i="53" s="1"/>
  <c r="G44" i="53" s="1"/>
  <c r="G150" i="53" s="1"/>
  <c r="G151" i="53" s="1"/>
  <c r="H60" i="51" s="1"/>
  <c r="AN60" i="51" s="1"/>
  <c r="D34" i="28"/>
  <c r="D149" i="28"/>
  <c r="E179" i="48"/>
  <c r="E184" i="48" s="1"/>
  <c r="E178" i="48"/>
  <c r="E183" i="48" s="1"/>
  <c r="E181" i="48"/>
  <c r="E186" i="48" s="1"/>
  <c r="E180" i="48"/>
  <c r="E185" i="48" s="1"/>
  <c r="E182" i="48"/>
  <c r="F83" i="29"/>
  <c r="F82" i="29" s="1"/>
  <c r="F85" i="29"/>
  <c r="G55" i="16" s="1"/>
  <c r="G55" i="15"/>
  <c r="D179" i="48"/>
  <c r="D184" i="48" s="1"/>
  <c r="D181" i="48"/>
  <c r="D186" i="48" s="1"/>
  <c r="D178" i="48"/>
  <c r="D183" i="48" s="1"/>
  <c r="D182" i="48"/>
  <c r="D180" i="48"/>
  <c r="D185" i="48" s="1"/>
  <c r="H18" i="38"/>
  <c r="H31" i="38" s="1"/>
  <c r="H46" i="38" s="1"/>
  <c r="H237" i="38" s="1"/>
  <c r="H15" i="38"/>
  <c r="H28" i="38" s="1"/>
  <c r="H43" i="38" s="1"/>
  <c r="H16" i="38"/>
  <c r="H29" i="38" s="1"/>
  <c r="H44" i="38" s="1"/>
  <c r="H222" i="38" s="1"/>
  <c r="H17" i="38"/>
  <c r="H30" i="38" s="1"/>
  <c r="H45" i="38" s="1"/>
  <c r="H14" i="38"/>
  <c r="I5" i="38"/>
  <c r="F32" i="29"/>
  <c r="F45" i="29"/>
  <c r="G19" i="19"/>
  <c r="G27" i="19"/>
  <c r="E224" i="48"/>
  <c r="E220" i="48"/>
  <c r="E225" i="48" s="1"/>
  <c r="E223" i="48"/>
  <c r="E228" i="48" s="1"/>
  <c r="E222" i="48"/>
  <c r="E227" i="48" s="1"/>
  <c r="E221" i="48"/>
  <c r="E226" i="48" s="1"/>
  <c r="C84" i="42"/>
  <c r="C82" i="42"/>
  <c r="C86" i="42" s="1"/>
  <c r="C81" i="42"/>
  <c r="C85" i="42" s="1"/>
  <c r="C83" i="42"/>
  <c r="C87" i="42" s="1"/>
  <c r="F201" i="42"/>
  <c r="F205" i="42" s="1"/>
  <c r="F200" i="42"/>
  <c r="F204" i="42" s="1"/>
  <c r="F202" i="42"/>
  <c r="F206" i="42" s="1"/>
  <c r="F203" i="42"/>
  <c r="L65" i="14"/>
  <c r="L82" i="14"/>
  <c r="L214" i="14" s="1"/>
  <c r="L224" i="14" s="1"/>
  <c r="E32" i="28"/>
  <c r="E45" i="28"/>
  <c r="H15" i="29"/>
  <c r="H28" i="29" s="1"/>
  <c r="H46" i="29" s="1"/>
  <c r="H14" i="29"/>
  <c r="H18" i="29"/>
  <c r="H31" i="29" s="1"/>
  <c r="H17" i="29"/>
  <c r="H30" i="29" s="1"/>
  <c r="H16" i="29"/>
  <c r="H29" i="29" s="1"/>
  <c r="H47" i="29" s="1"/>
  <c r="I5" i="29"/>
  <c r="F19" i="53"/>
  <c r="F27" i="53"/>
  <c r="F32" i="53" s="1"/>
  <c r="D214" i="19"/>
  <c r="D34" i="19"/>
  <c r="M27" i="58"/>
  <c r="BY10" i="58"/>
  <c r="BY5" i="58"/>
  <c r="BR27" i="58"/>
  <c r="BR9" i="58" s="1"/>
  <c r="AL9" i="58"/>
  <c r="AL4" i="59" s="1"/>
  <c r="BR4" i="59" s="1"/>
  <c r="CX4" i="59" s="1"/>
  <c r="F49" i="28"/>
  <c r="E170" i="48"/>
  <c r="E175" i="48" s="1"/>
  <c r="E169" i="48"/>
  <c r="E174" i="48" s="1"/>
  <c r="E171" i="48"/>
  <c r="E176" i="48" s="1"/>
  <c r="E168" i="48"/>
  <c r="E173" i="48" s="1"/>
  <c r="E172" i="48"/>
  <c r="G225" i="38"/>
  <c r="G229" i="38" s="1"/>
  <c r="G223" i="38"/>
  <c r="G227" i="38" s="1"/>
  <c r="G224" i="38"/>
  <c r="G228" i="38" s="1"/>
  <c r="F210" i="46"/>
  <c r="F215" i="46" s="1"/>
  <c r="F209" i="48"/>
  <c r="F214" i="46"/>
  <c r="G89" i="45" s="1"/>
  <c r="F213" i="46"/>
  <c r="F218" i="46" s="1"/>
  <c r="F211" i="46"/>
  <c r="F216" i="46" s="1"/>
  <c r="F212" i="46"/>
  <c r="F217" i="46" s="1"/>
  <c r="C211" i="28"/>
  <c r="C210" i="28"/>
  <c r="C159" i="28"/>
  <c r="D281" i="42"/>
  <c r="D34" i="42"/>
  <c r="F202" i="38"/>
  <c r="F206" i="38" s="1"/>
  <c r="F201" i="38"/>
  <c r="F205" i="38" s="1"/>
  <c r="F200" i="38"/>
  <c r="F204" i="38" s="1"/>
  <c r="F203" i="38"/>
  <c r="G101" i="36" s="1"/>
  <c r="AM101" i="36" s="1"/>
  <c r="D224" i="48"/>
  <c r="D220" i="48"/>
  <c r="D225" i="48" s="1"/>
  <c r="D222" i="48"/>
  <c r="D227" i="48" s="1"/>
  <c r="D221" i="48"/>
  <c r="D226" i="48" s="1"/>
  <c r="D223" i="48"/>
  <c r="D228" i="48" s="1"/>
  <c r="C217" i="28"/>
  <c r="C161" i="28"/>
  <c r="C226" i="28"/>
  <c r="C184" i="28"/>
  <c r="C185" i="28" s="1"/>
  <c r="E47" i="38"/>
  <c r="E291" i="38" s="1"/>
  <c r="E72" i="38"/>
  <c r="E73" i="38" s="1"/>
  <c r="E80" i="38"/>
  <c r="E104" i="38"/>
  <c r="E96" i="38"/>
  <c r="E249" i="38"/>
  <c r="G19" i="46"/>
  <c r="G275" i="46" s="1"/>
  <c r="G27" i="46"/>
  <c r="G32" i="46" s="1"/>
  <c r="C100" i="42"/>
  <c r="C99" i="42"/>
  <c r="C103" i="42" s="1"/>
  <c r="C97" i="42"/>
  <c r="C101" i="42" s="1"/>
  <c r="C98" i="42"/>
  <c r="C102" i="42" s="1"/>
  <c r="C149" i="29"/>
  <c r="C146" i="29"/>
  <c r="E210" i="48"/>
  <c r="E215" i="48" s="1"/>
  <c r="E213" i="48"/>
  <c r="E218" i="48" s="1"/>
  <c r="E211" i="48"/>
  <c r="E216" i="48" s="1"/>
  <c r="E214" i="48"/>
  <c r="E212" i="48"/>
  <c r="E217" i="48" s="1"/>
  <c r="AJ4" i="59"/>
  <c r="BP4" i="59" s="1"/>
  <c r="CV4" i="59" s="1"/>
  <c r="CX9" i="58"/>
  <c r="F194" i="42"/>
  <c r="F198" i="42" s="1"/>
  <c r="F192" i="42"/>
  <c r="F196" i="42" s="1"/>
  <c r="F195" i="42"/>
  <c r="F193" i="42"/>
  <c r="F197" i="42" s="1"/>
  <c r="L213" i="14"/>
  <c r="I67" i="14"/>
  <c r="I90" i="14"/>
  <c r="N55" i="60"/>
  <c r="N56" i="60"/>
  <c r="N57" i="60"/>
  <c r="N61" i="60"/>
  <c r="K62" i="60" s="1"/>
  <c r="N53" i="60"/>
  <c r="N54" i="60"/>
  <c r="E151" i="48"/>
  <c r="E156" i="48" s="1"/>
  <c r="E148" i="48"/>
  <c r="E153" i="48" s="1"/>
  <c r="E149" i="48"/>
  <c r="E154" i="48" s="1"/>
  <c r="E150" i="48"/>
  <c r="E155" i="48" s="1"/>
  <c r="E152" i="48"/>
  <c r="F134" i="14"/>
  <c r="F220" i="14"/>
  <c r="F221" i="14" s="1"/>
  <c r="F71" i="14"/>
  <c r="F66" i="14"/>
  <c r="F85" i="14" s="1"/>
  <c r="F70" i="14"/>
  <c r="BQ27" i="58"/>
  <c r="BQ9" i="58" s="1"/>
  <c r="AK9" i="58"/>
  <c r="AK4" i="59" s="1"/>
  <c r="BQ4" i="59" s="1"/>
  <c r="CW4" i="59" s="1"/>
  <c r="M63" i="14"/>
  <c r="M81" i="14" s="1"/>
  <c r="M64" i="14"/>
  <c r="E197" i="53"/>
  <c r="E34" i="53"/>
  <c r="F309" i="46"/>
  <c r="F34" i="46"/>
  <c r="G65" i="14"/>
  <c r="G82" i="14"/>
  <c r="G214" i="14" s="1"/>
  <c r="G224" i="14" s="1"/>
  <c r="G238" i="38"/>
  <c r="G242" i="38" s="1"/>
  <c r="G239" i="38"/>
  <c r="G243" i="38" s="1"/>
  <c r="G240" i="38"/>
  <c r="G244" i="38" s="1"/>
  <c r="H14" i="20"/>
  <c r="H17" i="20"/>
  <c r="H18" i="20"/>
  <c r="H15" i="20"/>
  <c r="H16" i="20"/>
  <c r="I5" i="20"/>
  <c r="AH88" i="14"/>
  <c r="G214" i="12"/>
  <c r="G224" i="12" s="1"/>
  <c r="L214" i="12"/>
  <c r="L224" i="12" s="1"/>
  <c r="AH23" i="12"/>
  <c r="AG88" i="12"/>
  <c r="J85" i="12"/>
  <c r="E85" i="12"/>
  <c r="D86" i="12"/>
  <c r="I85" i="12"/>
  <c r="AH86" i="12"/>
  <c r="AH87" i="12"/>
  <c r="J67" i="12"/>
  <c r="J86" i="12" s="1"/>
  <c r="J90" i="12"/>
  <c r="E67" i="12"/>
  <c r="E86" i="12" s="1"/>
  <c r="E90" i="12"/>
  <c r="J68" i="12"/>
  <c r="J89" i="12"/>
  <c r="F66" i="12"/>
  <c r="F71" i="12"/>
  <c r="F70" i="12"/>
  <c r="I67" i="12"/>
  <c r="I86" i="12" s="1"/>
  <c r="I90" i="12"/>
  <c r="E68" i="12"/>
  <c r="E89" i="12"/>
  <c r="K71" i="12"/>
  <c r="K66" i="12"/>
  <c r="K70" i="12"/>
  <c r="I68" i="12"/>
  <c r="I89" i="12"/>
  <c r="AH69" i="12"/>
  <c r="D69" i="12"/>
  <c r="M8" i="12"/>
  <c r="H8" i="12"/>
  <c r="G223" i="12"/>
  <c r="L223" i="12"/>
  <c r="F134" i="12"/>
  <c r="F168" i="12" s="1"/>
  <c r="F220" i="12"/>
  <c r="F221" i="12" s="1"/>
  <c r="K134" i="12"/>
  <c r="K168" i="12" s="1"/>
  <c r="K220" i="12"/>
  <c r="K221" i="12" s="1"/>
  <c r="D199" i="14"/>
  <c r="K167" i="12"/>
  <c r="F167" i="12"/>
  <c r="J43" i="19"/>
  <c r="E43" i="19"/>
  <c r="E43" i="20"/>
  <c r="J43" i="20"/>
  <c r="G65" i="12"/>
  <c r="L65" i="12"/>
  <c r="L84" i="12"/>
  <c r="H64" i="12"/>
  <c r="H82" i="12" s="1"/>
  <c r="H63" i="12"/>
  <c r="H81" i="12" s="1"/>
  <c r="H213" i="12" s="1"/>
  <c r="M64" i="12"/>
  <c r="M82" i="12" s="1"/>
  <c r="M63" i="12"/>
  <c r="M81" i="12" s="1"/>
  <c r="M213" i="12" s="1"/>
  <c r="G84" i="12"/>
  <c r="E221" i="14" l="1"/>
  <c r="E68" i="14"/>
  <c r="E87" i="14" s="1"/>
  <c r="E89" i="14"/>
  <c r="C232" i="19"/>
  <c r="C231" i="19"/>
  <c r="C229" i="19"/>
  <c r="C230" i="19"/>
  <c r="D92" i="29"/>
  <c r="E67" i="14"/>
  <c r="E87" i="29"/>
  <c r="E90" i="14"/>
  <c r="M97" i="29"/>
  <c r="F61" i="16"/>
  <c r="L84" i="14"/>
  <c r="D292" i="42"/>
  <c r="E231" i="19"/>
  <c r="E229" i="19"/>
  <c r="E230" i="19"/>
  <c r="E232" i="19"/>
  <c r="D230" i="19"/>
  <c r="D229" i="19"/>
  <c r="D231" i="19"/>
  <c r="D232" i="19"/>
  <c r="O53" i="60"/>
  <c r="E246" i="38"/>
  <c r="D246" i="42"/>
  <c r="D57" i="55"/>
  <c r="O55" i="60"/>
  <c r="O54" i="60"/>
  <c r="O57" i="60"/>
  <c r="E246" i="42"/>
  <c r="O56" i="60"/>
  <c r="H49" i="29"/>
  <c r="D91" i="29"/>
  <c r="E292" i="42"/>
  <c r="H19" i="38"/>
  <c r="H247" i="38" s="1"/>
  <c r="H27" i="38"/>
  <c r="E82" i="42"/>
  <c r="E86" i="42" s="1"/>
  <c r="E84" i="42"/>
  <c r="E81" i="42"/>
  <c r="E85" i="42" s="1"/>
  <c r="E83" i="42"/>
  <c r="E87" i="42" s="1"/>
  <c r="G152" i="46"/>
  <c r="H83" i="45" s="1"/>
  <c r="G147" i="48"/>
  <c r="G150" i="46"/>
  <c r="G155" i="46" s="1"/>
  <c r="G151" i="46"/>
  <c r="G156" i="46" s="1"/>
  <c r="G149" i="46"/>
  <c r="G154" i="46" s="1"/>
  <c r="G148" i="46"/>
  <c r="G153" i="46" s="1"/>
  <c r="G134" i="14"/>
  <c r="G70" i="14"/>
  <c r="G71" i="14"/>
  <c r="G220" i="14"/>
  <c r="G66" i="14"/>
  <c r="G85" i="14" s="1"/>
  <c r="E34" i="28"/>
  <c r="E149" i="28"/>
  <c r="E105" i="42"/>
  <c r="E109" i="42" s="1"/>
  <c r="E106" i="42"/>
  <c r="E110" i="42" s="1"/>
  <c r="E108" i="42"/>
  <c r="E107" i="42"/>
  <c r="E111" i="42" s="1"/>
  <c r="H19" i="46"/>
  <c r="H275" i="46" s="1"/>
  <c r="H27" i="46"/>
  <c r="H32" i="46" s="1"/>
  <c r="G19" i="54"/>
  <c r="G27" i="54"/>
  <c r="G32" i="54" s="1"/>
  <c r="D161" i="28"/>
  <c r="D184" i="28"/>
  <c r="D185" i="28" s="1"/>
  <c r="E36" i="19"/>
  <c r="E37" i="19"/>
  <c r="I14" i="48"/>
  <c r="I16" i="48"/>
  <c r="I29" i="48" s="1"/>
  <c r="I44" i="48" s="1"/>
  <c r="I15" i="48"/>
  <c r="I28" i="48" s="1"/>
  <c r="I43" i="48" s="1"/>
  <c r="I18" i="48"/>
  <c r="I31" i="48" s="1"/>
  <c r="I17" i="48"/>
  <c r="I30" i="48" s="1"/>
  <c r="I45" i="48" s="1"/>
  <c r="J5" i="48"/>
  <c r="F172" i="48"/>
  <c r="F168" i="48"/>
  <c r="F173" i="48" s="1"/>
  <c r="F170" i="48"/>
  <c r="F175" i="48" s="1"/>
  <c r="F171" i="48"/>
  <c r="F176" i="48" s="1"/>
  <c r="F169" i="48"/>
  <c r="F174" i="48" s="1"/>
  <c r="D316" i="38"/>
  <c r="D293" i="38"/>
  <c r="E80" i="55" s="1"/>
  <c r="H65" i="14"/>
  <c r="G32" i="29"/>
  <c r="G45" i="29"/>
  <c r="G211" i="42"/>
  <c r="G210" i="42"/>
  <c r="G214" i="42" s="1"/>
  <c r="G208" i="42"/>
  <c r="G212" i="42" s="1"/>
  <c r="G209" i="42"/>
  <c r="G213" i="42" s="1"/>
  <c r="F281" i="42"/>
  <c r="F34" i="42"/>
  <c r="G158" i="46"/>
  <c r="G163" i="46" s="1"/>
  <c r="G157" i="48"/>
  <c r="G160" i="46"/>
  <c r="G165" i="46" s="1"/>
  <c r="G162" i="46"/>
  <c r="H98" i="45" s="1"/>
  <c r="AN98" i="45" s="1"/>
  <c r="G161" i="46"/>
  <c r="G166" i="46" s="1"/>
  <c r="G159" i="46"/>
  <c r="G164" i="46" s="1"/>
  <c r="C300" i="38"/>
  <c r="C301" i="38"/>
  <c r="G34" i="48"/>
  <c r="G309" i="48"/>
  <c r="H240" i="42"/>
  <c r="H244" i="42" s="1"/>
  <c r="H238" i="42"/>
  <c r="H242" i="42" s="1"/>
  <c r="H239" i="42"/>
  <c r="H243" i="42" s="1"/>
  <c r="H241" i="42"/>
  <c r="G66" i="29"/>
  <c r="G65" i="29" s="1"/>
  <c r="H58" i="15"/>
  <c r="G77" i="29"/>
  <c r="H45" i="16" s="1"/>
  <c r="H64" i="15"/>
  <c r="G71" i="29"/>
  <c r="H48" i="15"/>
  <c r="H49" i="15" s="1"/>
  <c r="H136" i="15" s="1"/>
  <c r="G74" i="29"/>
  <c r="H48" i="16" s="1"/>
  <c r="H49" i="16" s="1"/>
  <c r="H136" i="16" s="1"/>
  <c r="H45" i="15"/>
  <c r="G78" i="29"/>
  <c r="H64" i="16" s="1"/>
  <c r="G68" i="29"/>
  <c r="G73" i="29"/>
  <c r="G69" i="29"/>
  <c r="G75" i="29"/>
  <c r="G70" i="29"/>
  <c r="G76" i="29"/>
  <c r="H58" i="16" s="1"/>
  <c r="G67" i="29"/>
  <c r="D217" i="28"/>
  <c r="C151" i="28"/>
  <c r="I17" i="29"/>
  <c r="I30" i="29" s="1"/>
  <c r="I18" i="29"/>
  <c r="I31" i="29" s="1"/>
  <c r="I15" i="29"/>
  <c r="I28" i="29" s="1"/>
  <c r="I46" i="29" s="1"/>
  <c r="I16" i="29"/>
  <c r="I29" i="29" s="1"/>
  <c r="I47" i="29" s="1"/>
  <c r="I14" i="29"/>
  <c r="J5" i="29"/>
  <c r="I16" i="38"/>
  <c r="I29" i="38" s="1"/>
  <c r="I44" i="38" s="1"/>
  <c r="I222" i="38" s="1"/>
  <c r="I18" i="38"/>
  <c r="I31" i="38" s="1"/>
  <c r="I46" i="38" s="1"/>
  <c r="I237" i="38" s="1"/>
  <c r="I17" i="38"/>
  <c r="I30" i="38" s="1"/>
  <c r="I45" i="38" s="1"/>
  <c r="I14" i="38"/>
  <c r="I15" i="38"/>
  <c r="I28" i="38" s="1"/>
  <c r="I43" i="38" s="1"/>
  <c r="J5" i="38"/>
  <c r="G19" i="53"/>
  <c r="G27" i="53"/>
  <c r="G32" i="53" s="1"/>
  <c r="E73" i="42"/>
  <c r="E77" i="42" s="1"/>
  <c r="E74" i="42"/>
  <c r="E78" i="42" s="1"/>
  <c r="E75" i="42"/>
  <c r="E79" i="42" s="1"/>
  <c r="E76" i="42"/>
  <c r="I16" i="42"/>
  <c r="I29" i="42" s="1"/>
  <c r="I44" i="42" s="1"/>
  <c r="I222" i="42" s="1"/>
  <c r="I14" i="42"/>
  <c r="I18" i="42"/>
  <c r="I31" i="42" s="1"/>
  <c r="I46" i="42" s="1"/>
  <c r="I237" i="42" s="1"/>
  <c r="I17" i="42"/>
  <c r="I30" i="42" s="1"/>
  <c r="I45" i="42" s="1"/>
  <c r="I15" i="42"/>
  <c r="I28" i="42" s="1"/>
  <c r="I43" i="42" s="1"/>
  <c r="J5" i="42"/>
  <c r="H19" i="48"/>
  <c r="H275" i="48" s="1"/>
  <c r="H27" i="48"/>
  <c r="H32" i="48" s="1"/>
  <c r="D293" i="42"/>
  <c r="D316" i="42"/>
  <c r="D317" i="42" s="1"/>
  <c r="G83" i="29"/>
  <c r="G82" i="29" s="1"/>
  <c r="H55" i="15"/>
  <c r="G85" i="29"/>
  <c r="H55" i="16" s="1"/>
  <c r="J68" i="14"/>
  <c r="J87" i="14" s="1"/>
  <c r="J89" i="14"/>
  <c r="H213" i="14"/>
  <c r="H84" i="14"/>
  <c r="G193" i="42"/>
  <c r="G197" i="42" s="1"/>
  <c r="G194" i="42"/>
  <c r="G198" i="42" s="1"/>
  <c r="G195" i="42"/>
  <c r="G192" i="42"/>
  <c r="G196" i="42" s="1"/>
  <c r="F47" i="42"/>
  <c r="F291" i="42" s="1"/>
  <c r="F80" i="42"/>
  <c r="F104" i="42"/>
  <c r="F96" i="42"/>
  <c r="F72" i="42"/>
  <c r="F249" i="42"/>
  <c r="F224" i="48"/>
  <c r="F221" i="48"/>
  <c r="F226" i="48" s="1"/>
  <c r="F223" i="48"/>
  <c r="F228" i="48" s="1"/>
  <c r="F220" i="48"/>
  <c r="F225" i="48" s="1"/>
  <c r="F222" i="48"/>
  <c r="F227" i="48" s="1"/>
  <c r="G177" i="48"/>
  <c r="G178" i="46"/>
  <c r="G183" i="46" s="1"/>
  <c r="G179" i="46"/>
  <c r="G184" i="46" s="1"/>
  <c r="G180" i="46"/>
  <c r="G185" i="46" s="1"/>
  <c r="G181" i="46"/>
  <c r="G186" i="46" s="1"/>
  <c r="G182" i="46"/>
  <c r="H107" i="45" s="1"/>
  <c r="AN107" i="45" s="1"/>
  <c r="AN27" i="58"/>
  <c r="H9" i="58"/>
  <c r="H4" i="59" s="1"/>
  <c r="H4" i="58"/>
  <c r="AN4" i="58" s="1"/>
  <c r="BT4" i="58" s="1"/>
  <c r="C196" i="29"/>
  <c r="C197" i="29"/>
  <c r="L134" i="14"/>
  <c r="L66" i="14"/>
  <c r="L85" i="14" s="1"/>
  <c r="L70" i="14"/>
  <c r="L71" i="14"/>
  <c r="L220" i="14"/>
  <c r="I5" i="53"/>
  <c r="H17" i="53"/>
  <c r="H30" i="53" s="1"/>
  <c r="H14" i="53"/>
  <c r="H16" i="53"/>
  <c r="H29" i="53" s="1"/>
  <c r="H44" i="53" s="1"/>
  <c r="H150" i="53" s="1"/>
  <c r="H151" i="53" s="1"/>
  <c r="I60" i="51" s="1"/>
  <c r="AO60" i="51" s="1"/>
  <c r="H18" i="53"/>
  <c r="H31" i="53" s="1"/>
  <c r="H15" i="53"/>
  <c r="H28" i="53" s="1"/>
  <c r="G32" i="19"/>
  <c r="G45" i="19"/>
  <c r="G50" i="19" s="1"/>
  <c r="H207" i="38"/>
  <c r="H191" i="38"/>
  <c r="H199" i="38"/>
  <c r="E98" i="42"/>
  <c r="E102" i="42" s="1"/>
  <c r="E99" i="42"/>
  <c r="E103" i="42" s="1"/>
  <c r="E100" i="42"/>
  <c r="E97" i="42"/>
  <c r="E101" i="42" s="1"/>
  <c r="G146" i="42"/>
  <c r="G150" i="42" s="1"/>
  <c r="G147" i="42"/>
  <c r="G151" i="42" s="1"/>
  <c r="G148" i="42"/>
  <c r="G152" i="42" s="1"/>
  <c r="G149" i="42"/>
  <c r="I18" i="46"/>
  <c r="I31" i="46" s="1"/>
  <c r="I17" i="46"/>
  <c r="I30" i="46" s="1"/>
  <c r="I45" i="46" s="1"/>
  <c r="J5" i="46"/>
  <c r="I15" i="46"/>
  <c r="I28" i="46" s="1"/>
  <c r="I43" i="46" s="1"/>
  <c r="I16" i="46"/>
  <c r="I29" i="46" s="1"/>
  <c r="I44" i="46" s="1"/>
  <c r="I246" i="46" s="1"/>
  <c r="I14" i="46"/>
  <c r="G147" i="38"/>
  <c r="G151" i="38" s="1"/>
  <c r="G149" i="38"/>
  <c r="H100" i="36" s="1"/>
  <c r="AN100" i="36" s="1"/>
  <c r="G148" i="38"/>
  <c r="G152" i="38" s="1"/>
  <c r="G146" i="38"/>
  <c r="G150" i="38" s="1"/>
  <c r="H137" i="42"/>
  <c r="H161" i="42"/>
  <c r="H153" i="42"/>
  <c r="H145" i="42"/>
  <c r="D146" i="29"/>
  <c r="D149" i="29"/>
  <c r="D75" i="42"/>
  <c r="D79" i="42" s="1"/>
  <c r="D74" i="42"/>
  <c r="D78" i="42" s="1"/>
  <c r="D76" i="42"/>
  <c r="D73" i="42"/>
  <c r="D77" i="42" s="1"/>
  <c r="G49" i="28"/>
  <c r="J67" i="14"/>
  <c r="J90" i="14"/>
  <c r="G7" i="63"/>
  <c r="J6" i="63"/>
  <c r="F21" i="63"/>
  <c r="G21" i="63" s="1"/>
  <c r="F160" i="48"/>
  <c r="F165" i="48" s="1"/>
  <c r="F162" i="48"/>
  <c r="F161" i="48"/>
  <c r="F166" i="48" s="1"/>
  <c r="F158" i="48"/>
  <c r="F163" i="48" s="1"/>
  <c r="F159" i="48"/>
  <c r="F164" i="48" s="1"/>
  <c r="F34" i="38"/>
  <c r="F281" i="38"/>
  <c r="I14" i="19"/>
  <c r="I15" i="19"/>
  <c r="I28" i="19" s="1"/>
  <c r="I46" i="19" s="1"/>
  <c r="I16" i="19"/>
  <c r="I29" i="19" s="1"/>
  <c r="I47" i="19" s="1"/>
  <c r="I17" i="19"/>
  <c r="I30" i="19" s="1"/>
  <c r="I48" i="19" s="1"/>
  <c r="I18" i="19"/>
  <c r="I31" i="19" s="1"/>
  <c r="I49" i="19" s="1"/>
  <c r="J5" i="19"/>
  <c r="BS27" i="58"/>
  <c r="BS9" i="58" s="1"/>
  <c r="AM9" i="58"/>
  <c r="AM4" i="59" s="1"/>
  <c r="BS4" i="59" s="1"/>
  <c r="CY4" i="59" s="1"/>
  <c r="G210" i="38"/>
  <c r="G214" i="38" s="1"/>
  <c r="G208" i="38"/>
  <c r="G212" i="38" s="1"/>
  <c r="G211" i="38"/>
  <c r="G209" i="38"/>
  <c r="G213" i="38" s="1"/>
  <c r="G84" i="14"/>
  <c r="F178" i="48"/>
  <c r="F183" i="48" s="1"/>
  <c r="F179" i="48"/>
  <c r="F184" i="48" s="1"/>
  <c r="F182" i="48"/>
  <c r="F181" i="48"/>
  <c r="F186" i="48" s="1"/>
  <c r="F180" i="48"/>
  <c r="F185" i="48" s="1"/>
  <c r="C313" i="42"/>
  <c r="AJ87" i="55" s="1"/>
  <c r="C312" i="42"/>
  <c r="AJ86" i="55" s="1"/>
  <c r="C311" i="42"/>
  <c r="AJ85" i="55" s="1"/>
  <c r="C310" i="42"/>
  <c r="C314" i="42"/>
  <c r="AJ88" i="55" s="1"/>
  <c r="C309" i="42"/>
  <c r="F90" i="14"/>
  <c r="F67" i="14"/>
  <c r="G309" i="46"/>
  <c r="G34" i="46"/>
  <c r="E292" i="38"/>
  <c r="E295" i="38"/>
  <c r="AS27" i="58"/>
  <c r="M9" i="58"/>
  <c r="M4" i="59" s="1"/>
  <c r="M4" i="58"/>
  <c r="AS4" i="58" s="1"/>
  <c r="BY4" i="58" s="1"/>
  <c r="H225" i="38"/>
  <c r="H229" i="38" s="1"/>
  <c r="H224" i="38"/>
  <c r="H228" i="38" s="1"/>
  <c r="H223" i="38"/>
  <c r="H227" i="38" s="1"/>
  <c r="E295" i="42"/>
  <c r="G154" i="42"/>
  <c r="G158" i="42" s="1"/>
  <c r="G155" i="42"/>
  <c r="G159" i="42" s="1"/>
  <c r="G156" i="42"/>
  <c r="G160" i="42" s="1"/>
  <c r="G157" i="42"/>
  <c r="H248" i="46"/>
  <c r="H253" i="46" s="1"/>
  <c r="H250" i="46"/>
  <c r="H255" i="46" s="1"/>
  <c r="H246" i="48"/>
  <c r="H249" i="46"/>
  <c r="H254" i="46" s="1"/>
  <c r="H247" i="46"/>
  <c r="H252" i="46" s="1"/>
  <c r="H251" i="46"/>
  <c r="I96" i="45" s="1"/>
  <c r="G165" i="38"/>
  <c r="H109" i="36" s="1"/>
  <c r="AN109" i="36" s="1"/>
  <c r="G163" i="38"/>
  <c r="G167" i="38" s="1"/>
  <c r="G164" i="38"/>
  <c r="G168" i="38" s="1"/>
  <c r="G162" i="38"/>
  <c r="G166" i="38" s="1"/>
  <c r="D210" i="28"/>
  <c r="D211" i="28"/>
  <c r="D159" i="28"/>
  <c r="H223" i="42"/>
  <c r="H227" i="42" s="1"/>
  <c r="H226" i="42"/>
  <c r="H224" i="42"/>
  <c r="H228" i="42" s="1"/>
  <c r="H225" i="42"/>
  <c r="H229" i="42" s="1"/>
  <c r="D105" i="42"/>
  <c r="D109" i="42" s="1"/>
  <c r="D106" i="42"/>
  <c r="D110" i="42" s="1"/>
  <c r="D108" i="42"/>
  <c r="D107" i="42"/>
  <c r="D111" i="42" s="1"/>
  <c r="B5" i="63"/>
  <c r="B6" i="63"/>
  <c r="C170" i="29"/>
  <c r="C171" i="29" s="1"/>
  <c r="C104" i="29"/>
  <c r="C147" i="29"/>
  <c r="C298" i="42"/>
  <c r="C299" i="42"/>
  <c r="C296" i="42"/>
  <c r="C297" i="42"/>
  <c r="G203" i="38"/>
  <c r="H101" i="36" s="1"/>
  <c r="AN101" i="36" s="1"/>
  <c r="G200" i="38"/>
  <c r="G204" i="38" s="1"/>
  <c r="G202" i="38"/>
  <c r="G206" i="38" s="1"/>
  <c r="G201" i="38"/>
  <c r="G205" i="38" s="1"/>
  <c r="G223" i="14"/>
  <c r="F89" i="14"/>
  <c r="F68" i="14"/>
  <c r="F87" i="14" s="1"/>
  <c r="E46" i="15"/>
  <c r="E67" i="15"/>
  <c r="D84" i="42"/>
  <c r="D82" i="42"/>
  <c r="D86" i="42" s="1"/>
  <c r="D81" i="42"/>
  <c r="D85" i="42" s="1"/>
  <c r="D83" i="42"/>
  <c r="D87" i="42" s="1"/>
  <c r="F47" i="38"/>
  <c r="F291" i="38" s="1"/>
  <c r="F249" i="38"/>
  <c r="F96" i="38"/>
  <c r="F104" i="38"/>
  <c r="F80" i="38"/>
  <c r="F72" i="38"/>
  <c r="F73" i="38" s="1"/>
  <c r="M65" i="14"/>
  <c r="M82" i="14"/>
  <c r="M214" i="14" s="1"/>
  <c r="M224" i="14" s="1"/>
  <c r="I86" i="14"/>
  <c r="I69" i="14"/>
  <c r="I88" i="14" s="1"/>
  <c r="F210" i="48"/>
  <c r="F215" i="48" s="1"/>
  <c r="F214" i="48"/>
  <c r="F211" i="48"/>
  <c r="F216" i="48" s="1"/>
  <c r="F212" i="48"/>
  <c r="F217" i="48" s="1"/>
  <c r="F213" i="48"/>
  <c r="F218" i="48" s="1"/>
  <c r="D37" i="19"/>
  <c r="D36" i="19"/>
  <c r="H19" i="29"/>
  <c r="H27" i="29"/>
  <c r="F50" i="29"/>
  <c r="F145" i="29" s="1"/>
  <c r="H137" i="38"/>
  <c r="H153" i="38"/>
  <c r="H161" i="38"/>
  <c r="H145" i="38"/>
  <c r="D37" i="28"/>
  <c r="D36" i="28"/>
  <c r="G162" i="42"/>
  <c r="G166" i="42" s="1"/>
  <c r="G165" i="42"/>
  <c r="G163" i="42"/>
  <c r="G167" i="42" s="1"/>
  <c r="G164" i="42"/>
  <c r="G168" i="42" s="1"/>
  <c r="H147" i="46"/>
  <c r="H167" i="46"/>
  <c r="H157" i="46"/>
  <c r="H177" i="46"/>
  <c r="D37" i="29"/>
  <c r="D36" i="29"/>
  <c r="G157" i="38"/>
  <c r="H79" i="36" s="1"/>
  <c r="AN79" i="36" s="1"/>
  <c r="G156" i="38"/>
  <c r="G160" i="38" s="1"/>
  <c r="G154" i="38"/>
  <c r="G158" i="38" s="1"/>
  <c r="G155" i="38"/>
  <c r="G159" i="38" s="1"/>
  <c r="D170" i="29"/>
  <c r="D171" i="29" s="1"/>
  <c r="D147" i="29"/>
  <c r="F151" i="48"/>
  <c r="F156" i="48" s="1"/>
  <c r="F152" i="48"/>
  <c r="F149" i="48"/>
  <c r="F154" i="48" s="1"/>
  <c r="F148" i="48"/>
  <c r="F153" i="48" s="1"/>
  <c r="F150" i="48"/>
  <c r="F155" i="48" s="1"/>
  <c r="H19" i="42"/>
  <c r="H247" i="42" s="1"/>
  <c r="H27" i="42"/>
  <c r="D98" i="42"/>
  <c r="D102" i="42" s="1"/>
  <c r="D99" i="42"/>
  <c r="D103" i="42" s="1"/>
  <c r="D100" i="42"/>
  <c r="D97" i="42"/>
  <c r="D101" i="42" s="1"/>
  <c r="K68" i="14"/>
  <c r="K87" i="14" s="1"/>
  <c r="K89" i="14"/>
  <c r="G19" i="28"/>
  <c r="G118" i="28" s="1"/>
  <c r="G27" i="28"/>
  <c r="D295" i="38"/>
  <c r="D292" i="38"/>
  <c r="F34" i="54"/>
  <c r="F197" i="54"/>
  <c r="BX27" i="58"/>
  <c r="BX9" i="58" s="1"/>
  <c r="AR9" i="58"/>
  <c r="AR4" i="59" s="1"/>
  <c r="BX4" i="59" s="1"/>
  <c r="DD4" i="59" s="1"/>
  <c r="E36" i="29"/>
  <c r="E37" i="29"/>
  <c r="G232" i="46"/>
  <c r="G237" i="46" s="1"/>
  <c r="G230" i="46"/>
  <c r="G235" i="46" s="1"/>
  <c r="G231" i="46"/>
  <c r="G236" i="46" s="1"/>
  <c r="G233" i="46"/>
  <c r="G238" i="46" s="1"/>
  <c r="G234" i="46"/>
  <c r="H108" i="45" s="1"/>
  <c r="AN108" i="45" s="1"/>
  <c r="G229" i="48"/>
  <c r="H19" i="19"/>
  <c r="H27" i="19"/>
  <c r="G194" i="38"/>
  <c r="G198" i="38" s="1"/>
  <c r="G192" i="38"/>
  <c r="G196" i="38" s="1"/>
  <c r="G193" i="38"/>
  <c r="G197" i="38" s="1"/>
  <c r="F234" i="48"/>
  <c r="F230" i="48"/>
  <c r="F235" i="48" s="1"/>
  <c r="F232" i="48"/>
  <c r="F237" i="48" s="1"/>
  <c r="F233" i="48"/>
  <c r="F238" i="48" s="1"/>
  <c r="F231" i="48"/>
  <c r="F236" i="48" s="1"/>
  <c r="I16" i="20"/>
  <c r="I15" i="20"/>
  <c r="I14" i="20"/>
  <c r="I18" i="20"/>
  <c r="I17" i="20"/>
  <c r="J5" i="20"/>
  <c r="M213" i="14"/>
  <c r="M62" i="60"/>
  <c r="L62" i="60"/>
  <c r="C163" i="28"/>
  <c r="C160" i="28"/>
  <c r="C162" i="28"/>
  <c r="F34" i="29"/>
  <c r="F135" i="29"/>
  <c r="H238" i="38"/>
  <c r="H242" i="38" s="1"/>
  <c r="H239" i="38"/>
  <c r="H243" i="38" s="1"/>
  <c r="H240" i="38"/>
  <c r="H244" i="38" s="1"/>
  <c r="G139" i="42"/>
  <c r="G143" i="42" s="1"/>
  <c r="G141" i="42"/>
  <c r="G140" i="42"/>
  <c r="G144" i="42" s="1"/>
  <c r="G138" i="42"/>
  <c r="G142" i="42" s="1"/>
  <c r="H219" i="46"/>
  <c r="H209" i="46"/>
  <c r="H229" i="46"/>
  <c r="G138" i="38"/>
  <c r="G139" i="38"/>
  <c r="G140" i="38"/>
  <c r="E67" i="16"/>
  <c r="E46" i="16"/>
  <c r="E59" i="15"/>
  <c r="E135" i="15" s="1"/>
  <c r="E66" i="15"/>
  <c r="G87" i="45"/>
  <c r="AM85" i="45"/>
  <c r="G86" i="45"/>
  <c r="AM86" i="45"/>
  <c r="AM87" i="45"/>
  <c r="G85" i="45"/>
  <c r="H199" i="42"/>
  <c r="H207" i="42"/>
  <c r="H191" i="42"/>
  <c r="G42" i="42"/>
  <c r="G32" i="42"/>
  <c r="D295" i="42"/>
  <c r="K67" i="14"/>
  <c r="K90" i="14"/>
  <c r="H18" i="28"/>
  <c r="H31" i="28" s="1"/>
  <c r="H17" i="28"/>
  <c r="H30" i="28" s="1"/>
  <c r="H15" i="28"/>
  <c r="H28" i="28" s="1"/>
  <c r="H46" i="28" s="1"/>
  <c r="H16" i="28"/>
  <c r="H29" i="28" s="1"/>
  <c r="H47" i="28" s="1"/>
  <c r="H14" i="28"/>
  <c r="I5" i="28"/>
  <c r="C283" i="42"/>
  <c r="C284" i="42" s="1"/>
  <c r="D250" i="42"/>
  <c r="F225" i="19"/>
  <c r="F276" i="19"/>
  <c r="F228" i="19"/>
  <c r="F224" i="19"/>
  <c r="F275" i="19"/>
  <c r="G32" i="38"/>
  <c r="G42" i="38"/>
  <c r="G211" i="46"/>
  <c r="G216" i="46" s="1"/>
  <c r="G213" i="46"/>
  <c r="G218" i="46" s="1"/>
  <c r="G214" i="46"/>
  <c r="H89" i="45" s="1"/>
  <c r="G212" i="46"/>
  <c r="G217" i="46" s="1"/>
  <c r="G210" i="46"/>
  <c r="G215" i="46" s="1"/>
  <c r="G209" i="48"/>
  <c r="C306" i="38"/>
  <c r="C318" i="38" s="1"/>
  <c r="C307" i="38"/>
  <c r="E65" i="16"/>
  <c r="E139" i="16" s="1"/>
  <c r="L223" i="14"/>
  <c r="C152" i="29"/>
  <c r="C150" i="29"/>
  <c r="C151" i="29"/>
  <c r="C153" i="29"/>
  <c r="E293" i="38"/>
  <c r="F80" i="55" s="1"/>
  <c r="E316" i="38"/>
  <c r="F88" i="29"/>
  <c r="G61" i="15"/>
  <c r="F34" i="53"/>
  <c r="F197" i="53"/>
  <c r="E216" i="28"/>
  <c r="E53" i="29"/>
  <c r="E56" i="29"/>
  <c r="F44" i="15"/>
  <c r="E57" i="29"/>
  <c r="E63" i="29"/>
  <c r="F56" i="16" s="1"/>
  <c r="E60" i="29"/>
  <c r="E62" i="29"/>
  <c r="F62" i="16" s="1"/>
  <c r="E55" i="29"/>
  <c r="E52" i="29" s="1"/>
  <c r="E54" i="29"/>
  <c r="E50" i="28"/>
  <c r="E117" i="28" s="1"/>
  <c r="E59" i="29"/>
  <c r="F44" i="16" s="1"/>
  <c r="F56" i="15"/>
  <c r="E61" i="29"/>
  <c r="F62" i="15"/>
  <c r="F65" i="15" s="1"/>
  <c r="F139" i="15" s="1"/>
  <c r="E316" i="42"/>
  <c r="E317" i="42" s="1"/>
  <c r="E293" i="42"/>
  <c r="E294" i="42" s="1"/>
  <c r="H17" i="54"/>
  <c r="H30" i="54" s="1"/>
  <c r="I5" i="54"/>
  <c r="H16" i="54"/>
  <c r="H29" i="54" s="1"/>
  <c r="H44" i="54" s="1"/>
  <c r="H150" i="54" s="1"/>
  <c r="H151" i="54" s="1"/>
  <c r="H14" i="54"/>
  <c r="H18" i="54"/>
  <c r="H31" i="54" s="1"/>
  <c r="H15" i="54"/>
  <c r="H28" i="54" s="1"/>
  <c r="F32" i="28"/>
  <c r="F45" i="28"/>
  <c r="E66" i="16"/>
  <c r="E59" i="16"/>
  <c r="E135" i="16" s="1"/>
  <c r="CV80" i="55"/>
  <c r="AJ80" i="55"/>
  <c r="F34" i="19"/>
  <c r="F214" i="19"/>
  <c r="G202" i="42"/>
  <c r="G206" i="42" s="1"/>
  <c r="G203" i="42"/>
  <c r="G201" i="42"/>
  <c r="G205" i="42" s="1"/>
  <c r="G200" i="42"/>
  <c r="G204" i="42" s="1"/>
  <c r="G224" i="46"/>
  <c r="H99" i="45" s="1"/>
  <c r="AN99" i="45" s="1"/>
  <c r="G219" i="48"/>
  <c r="G221" i="46"/>
  <c r="G226" i="46" s="1"/>
  <c r="G222" i="46"/>
  <c r="G227" i="46" s="1"/>
  <c r="G220" i="46"/>
  <c r="G225" i="46" s="1"/>
  <c r="G223" i="46"/>
  <c r="G228" i="46" s="1"/>
  <c r="G167" i="48"/>
  <c r="G171" i="46"/>
  <c r="G176" i="46" s="1"/>
  <c r="G169" i="46"/>
  <c r="G174" i="46" s="1"/>
  <c r="G172" i="46"/>
  <c r="H77" i="45" s="1"/>
  <c r="AN77" i="45" s="1"/>
  <c r="G170" i="46"/>
  <c r="G175" i="46" s="1"/>
  <c r="G168" i="46"/>
  <c r="G173" i="46" s="1"/>
  <c r="E146" i="29"/>
  <c r="E149" i="29"/>
  <c r="G250" i="48"/>
  <c r="G255" i="48" s="1"/>
  <c r="G248" i="48"/>
  <c r="G253" i="48" s="1"/>
  <c r="G247" i="48"/>
  <c r="G252" i="48" s="1"/>
  <c r="G251" i="48"/>
  <c r="G249" i="48"/>
  <c r="G254" i="48" s="1"/>
  <c r="H214" i="12"/>
  <c r="H224" i="12" s="1"/>
  <c r="M214" i="12"/>
  <c r="M224" i="12" s="1"/>
  <c r="I87" i="12"/>
  <c r="J87" i="12"/>
  <c r="D88" i="12"/>
  <c r="E87" i="12"/>
  <c r="AH88" i="12"/>
  <c r="K85" i="12"/>
  <c r="F85" i="12"/>
  <c r="L70" i="12"/>
  <c r="L71" i="12"/>
  <c r="L66" i="12"/>
  <c r="K68" i="12"/>
  <c r="K89" i="12"/>
  <c r="F90" i="12"/>
  <c r="F67" i="12"/>
  <c r="G71" i="12"/>
  <c r="G66" i="12"/>
  <c r="G70" i="12"/>
  <c r="E69" i="12"/>
  <c r="K67" i="12"/>
  <c r="K90" i="12"/>
  <c r="I69" i="12"/>
  <c r="F68" i="12"/>
  <c r="F89" i="12"/>
  <c r="J69" i="12"/>
  <c r="G220" i="12"/>
  <c r="G221" i="12" s="1"/>
  <c r="H223" i="12"/>
  <c r="M223" i="12"/>
  <c r="L134" i="12"/>
  <c r="L168" i="12" s="1"/>
  <c r="L220" i="12"/>
  <c r="L221" i="12" s="1"/>
  <c r="G167" i="12"/>
  <c r="G134" i="12"/>
  <c r="G168" i="12" s="1"/>
  <c r="L167" i="12"/>
  <c r="H84" i="12"/>
  <c r="K43" i="19"/>
  <c r="F43" i="19"/>
  <c r="K43" i="20"/>
  <c r="F43" i="20"/>
  <c r="H65" i="12"/>
  <c r="M65" i="12"/>
  <c r="M84" i="12"/>
  <c r="C240" i="19" l="1"/>
  <c r="C239" i="19"/>
  <c r="C251" i="19" s="1"/>
  <c r="C234" i="19"/>
  <c r="C233" i="19"/>
  <c r="F65" i="16"/>
  <c r="F139" i="16" s="1"/>
  <c r="E86" i="14"/>
  <c r="E69" i="14"/>
  <c r="E88" i="14" s="1"/>
  <c r="E92" i="29"/>
  <c r="G221" i="14"/>
  <c r="L221" i="14"/>
  <c r="D294" i="42"/>
  <c r="M84" i="14"/>
  <c r="D239" i="19"/>
  <c r="D251" i="19" s="1"/>
  <c r="E234" i="19"/>
  <c r="E239" i="19"/>
  <c r="E251" i="19" s="1"/>
  <c r="D240" i="19"/>
  <c r="D233" i="19"/>
  <c r="E240" i="19"/>
  <c r="D234" i="19"/>
  <c r="E233" i="19"/>
  <c r="I49" i="29"/>
  <c r="D294" i="38"/>
  <c r="F246" i="42"/>
  <c r="F246" i="38"/>
  <c r="M134" i="14"/>
  <c r="M220" i="14"/>
  <c r="M70" i="14"/>
  <c r="M71" i="14"/>
  <c r="M66" i="14"/>
  <c r="M85" i="14" s="1"/>
  <c r="G275" i="19"/>
  <c r="G228" i="19"/>
  <c r="G225" i="19"/>
  <c r="G276" i="19"/>
  <c r="G224" i="19"/>
  <c r="G178" i="48"/>
  <c r="G183" i="48" s="1"/>
  <c r="G181" i="48"/>
  <c r="G186" i="48" s="1"/>
  <c r="G182" i="48"/>
  <c r="G180" i="48"/>
  <c r="G185" i="48" s="1"/>
  <c r="G179" i="48"/>
  <c r="G184" i="48" s="1"/>
  <c r="I19" i="29"/>
  <c r="I27" i="29"/>
  <c r="H19" i="54"/>
  <c r="H27" i="54"/>
  <c r="H32" i="54" s="1"/>
  <c r="E91" i="29"/>
  <c r="E103" i="29"/>
  <c r="F59" i="16"/>
  <c r="F135" i="16" s="1"/>
  <c r="F66" i="16"/>
  <c r="H193" i="42"/>
  <c r="H197" i="42" s="1"/>
  <c r="H194" i="42"/>
  <c r="H198" i="42" s="1"/>
  <c r="H195" i="42"/>
  <c r="H192" i="42"/>
  <c r="H196" i="42" s="1"/>
  <c r="H233" i="46"/>
  <c r="H238" i="46" s="1"/>
  <c r="H234" i="46"/>
  <c r="I108" i="45" s="1"/>
  <c r="AO108" i="45" s="1"/>
  <c r="H231" i="46"/>
  <c r="H236" i="46" s="1"/>
  <c r="H230" i="46"/>
  <c r="H235" i="46" s="1"/>
  <c r="H229" i="48"/>
  <c r="H232" i="46"/>
  <c r="H237" i="46" s="1"/>
  <c r="H156" i="38"/>
  <c r="H160" i="38" s="1"/>
  <c r="H155" i="38"/>
  <c r="H159" i="38" s="1"/>
  <c r="H154" i="38"/>
  <c r="H158" i="38" s="1"/>
  <c r="H157" i="38"/>
  <c r="I79" i="36" s="1"/>
  <c r="AO79" i="36" s="1"/>
  <c r="F316" i="38"/>
  <c r="F293" i="38"/>
  <c r="G80" i="55" s="1"/>
  <c r="J86" i="14"/>
  <c r="J69" i="14"/>
  <c r="J88" i="14" s="1"/>
  <c r="H192" i="38"/>
  <c r="H196" i="38" s="1"/>
  <c r="H194" i="38"/>
  <c r="H198" i="38" s="1"/>
  <c r="H193" i="38"/>
  <c r="H197" i="38" s="1"/>
  <c r="I137" i="42"/>
  <c r="I145" i="42"/>
  <c r="I161" i="42"/>
  <c r="I153" i="42"/>
  <c r="I225" i="38"/>
  <c r="I229" i="38" s="1"/>
  <c r="I223" i="38"/>
  <c r="I227" i="38" s="1"/>
  <c r="I224" i="38"/>
  <c r="I228" i="38" s="1"/>
  <c r="E217" i="28"/>
  <c r="D151" i="28"/>
  <c r="C302" i="38"/>
  <c r="C303" i="38"/>
  <c r="H134" i="14"/>
  <c r="H70" i="14"/>
  <c r="H71" i="14"/>
  <c r="H66" i="14"/>
  <c r="H85" i="14" s="1"/>
  <c r="H220" i="14"/>
  <c r="H221" i="14" s="1"/>
  <c r="G150" i="48"/>
  <c r="G155" i="48" s="1"/>
  <c r="G149" i="48"/>
  <c r="G154" i="48" s="1"/>
  <c r="G152" i="48"/>
  <c r="G151" i="48"/>
  <c r="G156" i="48" s="1"/>
  <c r="G148" i="48"/>
  <c r="G153" i="48" s="1"/>
  <c r="F67" i="16"/>
  <c r="F46" i="16"/>
  <c r="G171" i="48"/>
  <c r="G176" i="48" s="1"/>
  <c r="G170" i="48"/>
  <c r="G175" i="48" s="1"/>
  <c r="G169" i="48"/>
  <c r="G174" i="48" s="1"/>
  <c r="G172" i="48"/>
  <c r="G168" i="48"/>
  <c r="G173" i="48" s="1"/>
  <c r="F59" i="15"/>
  <c r="F135" i="15" s="1"/>
  <c r="F66" i="15"/>
  <c r="F87" i="29"/>
  <c r="G61" i="16"/>
  <c r="H49" i="28"/>
  <c r="H209" i="42"/>
  <c r="H213" i="42" s="1"/>
  <c r="H208" i="42"/>
  <c r="H212" i="42" s="1"/>
  <c r="H211" i="42"/>
  <c r="H210" i="42"/>
  <c r="H214" i="42" s="1"/>
  <c r="H209" i="48"/>
  <c r="H213" i="46"/>
  <c r="H218" i="46" s="1"/>
  <c r="H211" i="46"/>
  <c r="H216" i="46" s="1"/>
  <c r="H212" i="46"/>
  <c r="H217" i="46" s="1"/>
  <c r="H214" i="46"/>
  <c r="I89" i="45" s="1"/>
  <c r="H210" i="46"/>
  <c r="H215" i="46" s="1"/>
  <c r="D197" i="29"/>
  <c r="D196" i="29"/>
  <c r="H139" i="38"/>
  <c r="H140" i="38"/>
  <c r="H138" i="38"/>
  <c r="F295" i="38"/>
  <c r="F292" i="38"/>
  <c r="D163" i="28"/>
  <c r="D162" i="28"/>
  <c r="D160" i="28"/>
  <c r="G88" i="29"/>
  <c r="H61" i="15"/>
  <c r="H147" i="42"/>
  <c r="H151" i="42" s="1"/>
  <c r="H149" i="42"/>
  <c r="H146" i="42"/>
  <c r="H150" i="42" s="1"/>
  <c r="H148" i="42"/>
  <c r="H152" i="42" s="1"/>
  <c r="I19" i="46"/>
  <c r="I275" i="46" s="1"/>
  <c r="I27" i="46"/>
  <c r="I32" i="46" s="1"/>
  <c r="H211" i="38"/>
  <c r="H209" i="38"/>
  <c r="H213" i="38" s="1"/>
  <c r="H208" i="38"/>
  <c r="H212" i="38" s="1"/>
  <c r="H210" i="38"/>
  <c r="H214" i="38" s="1"/>
  <c r="J5" i="53"/>
  <c r="I18" i="53"/>
  <c r="I31" i="53" s="1"/>
  <c r="I17" i="53"/>
  <c r="I30" i="53" s="1"/>
  <c r="I14" i="53"/>
  <c r="I16" i="53"/>
  <c r="I29" i="53" s="1"/>
  <c r="I44" i="53" s="1"/>
  <c r="I150" i="53" s="1"/>
  <c r="I151" i="53" s="1"/>
  <c r="J60" i="51" s="1"/>
  <c r="AP60" i="51" s="1"/>
  <c r="I15" i="53"/>
  <c r="I28" i="53" s="1"/>
  <c r="F293" i="42"/>
  <c r="F316" i="42"/>
  <c r="F317" i="42" s="1"/>
  <c r="I207" i="42"/>
  <c r="I199" i="42"/>
  <c r="I191" i="42"/>
  <c r="G197" i="53"/>
  <c r="G34" i="53"/>
  <c r="J16" i="29"/>
  <c r="J29" i="29" s="1"/>
  <c r="J47" i="29" s="1"/>
  <c r="J15" i="29"/>
  <c r="J28" i="29" s="1"/>
  <c r="J46" i="29" s="1"/>
  <c r="J17" i="29"/>
  <c r="J30" i="29" s="1"/>
  <c r="J14" i="29"/>
  <c r="J18" i="29"/>
  <c r="J31" i="29" s="1"/>
  <c r="K5" i="29"/>
  <c r="F292" i="42"/>
  <c r="G67" i="14"/>
  <c r="G90" i="14"/>
  <c r="D283" i="42"/>
  <c r="D284" i="42" s="1"/>
  <c r="E250" i="42"/>
  <c r="F74" i="42"/>
  <c r="F78" i="42" s="1"/>
  <c r="F73" i="42"/>
  <c r="F77" i="42" s="1"/>
  <c r="F75" i="42"/>
  <c r="F79" i="42" s="1"/>
  <c r="F76" i="42"/>
  <c r="G68" i="14"/>
  <c r="G87" i="14" s="1"/>
  <c r="G89" i="14"/>
  <c r="E211" i="28"/>
  <c r="E210" i="28"/>
  <c r="E159" i="28"/>
  <c r="G47" i="38"/>
  <c r="G291" i="38" s="1"/>
  <c r="G80" i="38"/>
  <c r="G104" i="38"/>
  <c r="G249" i="38"/>
  <c r="G72" i="38"/>
  <c r="G73" i="38" s="1"/>
  <c r="G96" i="38"/>
  <c r="C287" i="42"/>
  <c r="C286" i="42"/>
  <c r="C290" i="42"/>
  <c r="C288" i="42"/>
  <c r="C289" i="42"/>
  <c r="C285" i="42"/>
  <c r="K86" i="14"/>
  <c r="K69" i="14"/>
  <c r="K88" i="14" s="1"/>
  <c r="E134" i="16"/>
  <c r="E140" i="16" s="1"/>
  <c r="E77" i="16"/>
  <c r="E133" i="16" a="1"/>
  <c r="E68" i="16"/>
  <c r="F37" i="29"/>
  <c r="F36" i="29"/>
  <c r="M223" i="14"/>
  <c r="H32" i="19"/>
  <c r="H45" i="19"/>
  <c r="H50" i="19" s="1"/>
  <c r="D296" i="38"/>
  <c r="D298" i="38"/>
  <c r="D297" i="38"/>
  <c r="D299" i="38"/>
  <c r="CW57" i="55"/>
  <c r="AK57" i="55"/>
  <c r="H177" i="48"/>
  <c r="H181" i="46"/>
  <c r="H186" i="46" s="1"/>
  <c r="H180" i="46"/>
  <c r="H185" i="46" s="1"/>
  <c r="H178" i="46"/>
  <c r="H183" i="46" s="1"/>
  <c r="H179" i="46"/>
  <c r="H184" i="46" s="1"/>
  <c r="H182" i="46"/>
  <c r="I107" i="45" s="1"/>
  <c r="AO107" i="45" s="1"/>
  <c r="C300" i="42"/>
  <c r="C301" i="42"/>
  <c r="H250" i="48"/>
  <c r="H255" i="48" s="1"/>
  <c r="H251" i="48"/>
  <c r="H247" i="48"/>
  <c r="H252" i="48" s="1"/>
  <c r="H249" i="48"/>
  <c r="H254" i="48" s="1"/>
  <c r="H248" i="48"/>
  <c r="H253" i="48" s="1"/>
  <c r="E299" i="42"/>
  <c r="E298" i="42"/>
  <c r="E296" i="42"/>
  <c r="E297" i="42"/>
  <c r="F86" i="14"/>
  <c r="F69" i="14"/>
  <c r="F88" i="14" s="1"/>
  <c r="H164" i="42"/>
  <c r="H168" i="42" s="1"/>
  <c r="H165" i="42"/>
  <c r="H162" i="42"/>
  <c r="H166" i="42" s="1"/>
  <c r="H163" i="42"/>
  <c r="H167" i="42" s="1"/>
  <c r="I147" i="46"/>
  <c r="I177" i="46"/>
  <c r="I167" i="46"/>
  <c r="I157" i="46"/>
  <c r="G214" i="19"/>
  <c r="G34" i="19"/>
  <c r="F98" i="42"/>
  <c r="F102" i="42" s="1"/>
  <c r="F100" i="42"/>
  <c r="F97" i="42"/>
  <c r="F101" i="42" s="1"/>
  <c r="F99" i="42"/>
  <c r="F103" i="42" s="1"/>
  <c r="CW80" i="55"/>
  <c r="AK80" i="55"/>
  <c r="I19" i="42"/>
  <c r="I247" i="42" s="1"/>
  <c r="I27" i="42"/>
  <c r="J18" i="38"/>
  <c r="J31" i="38" s="1"/>
  <c r="J46" i="38" s="1"/>
  <c r="J237" i="38" s="1"/>
  <c r="K5" i="38"/>
  <c r="J15" i="38"/>
  <c r="J28" i="38" s="1"/>
  <c r="J43" i="38" s="1"/>
  <c r="J14" i="38"/>
  <c r="J17" i="38"/>
  <c r="J30" i="38" s="1"/>
  <c r="J45" i="38" s="1"/>
  <c r="J16" i="38"/>
  <c r="J29" i="38" s="1"/>
  <c r="J44" i="38" s="1"/>
  <c r="J222" i="38" s="1"/>
  <c r="E57" i="55"/>
  <c r="I240" i="42"/>
  <c r="I244" i="42" s="1"/>
  <c r="I239" i="42"/>
  <c r="I243" i="42" s="1"/>
  <c r="I241" i="42"/>
  <c r="I238" i="42"/>
  <c r="I242" i="42" s="1"/>
  <c r="F216" i="28"/>
  <c r="F54" i="29"/>
  <c r="F63" i="29"/>
  <c r="G56" i="16" s="1"/>
  <c r="G62" i="15"/>
  <c r="G65" i="15" s="1"/>
  <c r="G139" i="15" s="1"/>
  <c r="F56" i="29"/>
  <c r="F62" i="29"/>
  <c r="G62" i="16" s="1"/>
  <c r="G56" i="15"/>
  <c r="F59" i="29"/>
  <c r="G44" i="16" s="1"/>
  <c r="G44" i="15"/>
  <c r="F53" i="29"/>
  <c r="F50" i="28"/>
  <c r="F57" i="29"/>
  <c r="F60" i="29"/>
  <c r="F55" i="29"/>
  <c r="F52" i="29" s="1"/>
  <c r="F61" i="29"/>
  <c r="CX80" i="55"/>
  <c r="AL80" i="55"/>
  <c r="C161" i="29"/>
  <c r="C160" i="29"/>
  <c r="C172" i="29" s="1"/>
  <c r="C173" i="29" s="1"/>
  <c r="C174" i="29" s="1"/>
  <c r="G281" i="38"/>
  <c r="G34" i="38"/>
  <c r="I18" i="28"/>
  <c r="I31" i="28" s="1"/>
  <c r="I49" i="28" s="1"/>
  <c r="I17" i="28"/>
  <c r="I30" i="28" s="1"/>
  <c r="I15" i="28"/>
  <c r="I28" i="28" s="1"/>
  <c r="I46" i="28" s="1"/>
  <c r="I14" i="28"/>
  <c r="I16" i="28"/>
  <c r="I29" i="28" s="1"/>
  <c r="I47" i="28" s="1"/>
  <c r="J5" i="28"/>
  <c r="C181" i="28"/>
  <c r="D64" i="55" s="1"/>
  <c r="C180" i="28"/>
  <c r="D63" i="55" s="1"/>
  <c r="C178" i="28"/>
  <c r="C182" i="28"/>
  <c r="D65" i="55" s="1"/>
  <c r="C177" i="28"/>
  <c r="C179" i="28"/>
  <c r="D62" i="55" s="1"/>
  <c r="J17" i="20"/>
  <c r="J15" i="20"/>
  <c r="J16" i="20"/>
  <c r="J14" i="20"/>
  <c r="J18" i="20"/>
  <c r="K5" i="20"/>
  <c r="E197" i="29"/>
  <c r="E196" i="29"/>
  <c r="G32" i="28"/>
  <c r="G45" i="28"/>
  <c r="H42" i="42"/>
  <c r="H32" i="42"/>
  <c r="H161" i="46"/>
  <c r="H166" i="46" s="1"/>
  <c r="H162" i="46"/>
  <c r="I98" i="45" s="1"/>
  <c r="AO98" i="45" s="1"/>
  <c r="H159" i="46"/>
  <c r="H164" i="46" s="1"/>
  <c r="H158" i="46"/>
  <c r="H163" i="46" s="1"/>
  <c r="H157" i="48"/>
  <c r="H160" i="46"/>
  <c r="H165" i="46" s="1"/>
  <c r="F146" i="29"/>
  <c r="F149" i="29"/>
  <c r="CV57" i="55"/>
  <c r="AJ57" i="55"/>
  <c r="C148" i="29"/>
  <c r="I19" i="19"/>
  <c r="I27" i="19"/>
  <c r="H138" i="42"/>
  <c r="H142" i="42" s="1"/>
  <c r="H139" i="42"/>
  <c r="H143" i="42" s="1"/>
  <c r="H141" i="42"/>
  <c r="H140" i="42"/>
  <c r="H144" i="42" s="1"/>
  <c r="J15" i="46"/>
  <c r="J28" i="46" s="1"/>
  <c r="J43" i="46" s="1"/>
  <c r="J18" i="46"/>
  <c r="J31" i="46" s="1"/>
  <c r="J14" i="46"/>
  <c r="J17" i="46"/>
  <c r="J30" i="46" s="1"/>
  <c r="J45" i="46" s="1"/>
  <c r="J16" i="46"/>
  <c r="J29" i="46" s="1"/>
  <c r="J44" i="46" s="1"/>
  <c r="J246" i="46" s="1"/>
  <c r="K5" i="46"/>
  <c r="L67" i="14"/>
  <c r="L90" i="14"/>
  <c r="BT27" i="58"/>
  <c r="BT9" i="58" s="1"/>
  <c r="AN9" i="58"/>
  <c r="AN4" i="59" s="1"/>
  <c r="BT4" i="59" s="1"/>
  <c r="CZ4" i="59" s="1"/>
  <c r="F105" i="42"/>
  <c r="F109" i="42" s="1"/>
  <c r="F108" i="42"/>
  <c r="F106" i="42"/>
  <c r="F110" i="42" s="1"/>
  <c r="F107" i="42"/>
  <c r="F111" i="42" s="1"/>
  <c r="H223" i="14"/>
  <c r="H309" i="48"/>
  <c r="H34" i="48"/>
  <c r="I224" i="42"/>
  <c r="I228" i="42" s="1"/>
  <c r="I225" i="42"/>
  <c r="I229" i="42" s="1"/>
  <c r="I223" i="42"/>
  <c r="I227" i="42" s="1"/>
  <c r="I226" i="42"/>
  <c r="I137" i="38"/>
  <c r="I153" i="38"/>
  <c r="I161" i="38"/>
  <c r="I145" i="38"/>
  <c r="G197" i="54"/>
  <c r="G34" i="54"/>
  <c r="AN86" i="45"/>
  <c r="H87" i="45"/>
  <c r="H85" i="45"/>
  <c r="AN85" i="45"/>
  <c r="AN87" i="45"/>
  <c r="H86" i="45"/>
  <c r="E150" i="29"/>
  <c r="E153" i="29"/>
  <c r="E151" i="29"/>
  <c r="E152" i="29"/>
  <c r="E312" i="42"/>
  <c r="AL86" i="55" s="1"/>
  <c r="E311" i="42"/>
  <c r="AL85" i="55" s="1"/>
  <c r="E313" i="42"/>
  <c r="AL87" i="55" s="1"/>
  <c r="E310" i="42"/>
  <c r="E314" i="42"/>
  <c r="AL88" i="55" s="1"/>
  <c r="E309" i="42"/>
  <c r="F36" i="19"/>
  <c r="F37" i="19"/>
  <c r="F149" i="28"/>
  <c r="F34" i="28"/>
  <c r="E184" i="28"/>
  <c r="E185" i="28" s="1"/>
  <c r="E161" i="28"/>
  <c r="G213" i="48"/>
  <c r="G218" i="48" s="1"/>
  <c r="G210" i="48"/>
  <c r="G215" i="48" s="1"/>
  <c r="G214" i="48"/>
  <c r="G211" i="48"/>
  <c r="G216" i="48" s="1"/>
  <c r="G212" i="48"/>
  <c r="G217" i="48" s="1"/>
  <c r="H19" i="28"/>
  <c r="H118" i="28" s="1"/>
  <c r="H27" i="28"/>
  <c r="D296" i="42"/>
  <c r="D297" i="42"/>
  <c r="D298" i="42"/>
  <c r="D299" i="42"/>
  <c r="G234" i="48"/>
  <c r="G231" i="48"/>
  <c r="G236" i="48" s="1"/>
  <c r="G230" i="48"/>
  <c r="G235" i="48" s="1"/>
  <c r="G232" i="48"/>
  <c r="G237" i="48" s="1"/>
  <c r="G233" i="48"/>
  <c r="G238" i="48" s="1"/>
  <c r="H171" i="46"/>
  <c r="H176" i="46" s="1"/>
  <c r="H170" i="46"/>
  <c r="H175" i="46" s="1"/>
  <c r="H169" i="46"/>
  <c r="H174" i="46" s="1"/>
  <c r="H172" i="46"/>
  <c r="I77" i="45" s="1"/>
  <c r="AO77" i="45" s="1"/>
  <c r="H168" i="46"/>
  <c r="H173" i="46" s="1"/>
  <c r="H167" i="48"/>
  <c r="H32" i="29"/>
  <c r="H45" i="29"/>
  <c r="C137" i="29"/>
  <c r="C138" i="29" s="1"/>
  <c r="D104" i="29"/>
  <c r="BY27" i="58"/>
  <c r="BY9" i="58" s="1"/>
  <c r="AS9" i="58"/>
  <c r="AS4" i="59" s="1"/>
  <c r="BY4" i="59" s="1"/>
  <c r="DE4" i="59" s="1"/>
  <c r="I219" i="46"/>
  <c r="I209" i="46"/>
  <c r="I229" i="46"/>
  <c r="L68" i="14"/>
  <c r="L87" i="14" s="1"/>
  <c r="L89" i="14"/>
  <c r="F83" i="42"/>
  <c r="F87" i="42" s="1"/>
  <c r="F84" i="42"/>
  <c r="F82" i="42"/>
  <c r="F86" i="42" s="1"/>
  <c r="F81" i="42"/>
  <c r="F85" i="42" s="1"/>
  <c r="I19" i="38"/>
  <c r="I247" i="38" s="1"/>
  <c r="I27" i="38"/>
  <c r="E37" i="28"/>
  <c r="E36" i="28"/>
  <c r="I16" i="54"/>
  <c r="I29" i="54" s="1"/>
  <c r="I44" i="54" s="1"/>
  <c r="I150" i="54" s="1"/>
  <c r="I151" i="54" s="1"/>
  <c r="I15" i="54"/>
  <c r="I28" i="54" s="1"/>
  <c r="J5" i="54"/>
  <c r="I18" i="54"/>
  <c r="I31" i="54" s="1"/>
  <c r="I17" i="54"/>
  <c r="I30" i="54" s="1"/>
  <c r="I14" i="54"/>
  <c r="H224" i="46"/>
  <c r="I99" i="45" s="1"/>
  <c r="AO99" i="45" s="1"/>
  <c r="H219" i="48"/>
  <c r="H220" i="46"/>
  <c r="H225" i="46" s="1"/>
  <c r="H221" i="46"/>
  <c r="H226" i="46" s="1"/>
  <c r="H223" i="46"/>
  <c r="H228" i="46" s="1"/>
  <c r="H222" i="46"/>
  <c r="H227" i="46" s="1"/>
  <c r="H157" i="42"/>
  <c r="H156" i="42"/>
  <c r="H160" i="42" s="1"/>
  <c r="H154" i="42"/>
  <c r="H158" i="42" s="1"/>
  <c r="H155" i="42"/>
  <c r="H159" i="42" s="1"/>
  <c r="G221" i="48"/>
  <c r="G226" i="48" s="1"/>
  <c r="G224" i="48"/>
  <c r="G220" i="48"/>
  <c r="G225" i="48" s="1"/>
  <c r="G222" i="48"/>
  <c r="G227" i="48" s="1"/>
  <c r="G223" i="48"/>
  <c r="G228" i="48" s="1"/>
  <c r="H83" i="29"/>
  <c r="H82" i="29" s="1"/>
  <c r="I55" i="15"/>
  <c r="H85" i="29"/>
  <c r="I55" i="16" s="1"/>
  <c r="G281" i="42"/>
  <c r="G34" i="42"/>
  <c r="C166" i="28"/>
  <c r="C167" i="28"/>
  <c r="C165" i="28"/>
  <c r="C164" i="28"/>
  <c r="H147" i="48"/>
  <c r="H149" i="46"/>
  <c r="H154" i="46" s="1"/>
  <c r="H150" i="46"/>
  <c r="H155" i="46" s="1"/>
  <c r="H152" i="46"/>
  <c r="I83" i="45" s="1"/>
  <c r="H151" i="46"/>
  <c r="H156" i="46" s="1"/>
  <c r="H148" i="46"/>
  <c r="H153" i="46" s="1"/>
  <c r="H148" i="38"/>
  <c r="H152" i="38" s="1"/>
  <c r="H147" i="38"/>
  <c r="H151" i="38" s="1"/>
  <c r="H146" i="38"/>
  <c r="H150" i="38" s="1"/>
  <c r="H149" i="38"/>
  <c r="I100" i="36" s="1"/>
  <c r="AO100" i="36" s="1"/>
  <c r="E294" i="38"/>
  <c r="D148" i="29"/>
  <c r="F295" i="42"/>
  <c r="I199" i="38"/>
  <c r="I207" i="38"/>
  <c r="I191" i="38"/>
  <c r="G160" i="48"/>
  <c r="G165" i="48" s="1"/>
  <c r="G162" i="48"/>
  <c r="G161" i="48"/>
  <c r="G166" i="48" s="1"/>
  <c r="G159" i="48"/>
  <c r="G164" i="48" s="1"/>
  <c r="G158" i="48"/>
  <c r="G163" i="48" s="1"/>
  <c r="G50" i="29"/>
  <c r="G145" i="29" s="1"/>
  <c r="H34" i="46"/>
  <c r="H309" i="46"/>
  <c r="H32" i="38"/>
  <c r="H42" i="38"/>
  <c r="F67" i="15"/>
  <c r="F46" i="15"/>
  <c r="H202" i="42"/>
  <c r="H206" i="42" s="1"/>
  <c r="H203" i="42"/>
  <c r="H200" i="42"/>
  <c r="H204" i="42" s="1"/>
  <c r="H201" i="42"/>
  <c r="H205" i="42" s="1"/>
  <c r="C306" i="42"/>
  <c r="C318" i="42" s="1"/>
  <c r="C319" i="42" s="1"/>
  <c r="C320" i="42" s="1"/>
  <c r="C307" i="42"/>
  <c r="I249" i="46"/>
  <c r="I254" i="46" s="1"/>
  <c r="I248" i="46"/>
  <c r="I253" i="46" s="1"/>
  <c r="I251" i="46"/>
  <c r="J96" i="45" s="1"/>
  <c r="I250" i="46"/>
  <c r="I255" i="46" s="1"/>
  <c r="I247" i="46"/>
  <c r="I252" i="46" s="1"/>
  <c r="I246" i="48"/>
  <c r="J14" i="48"/>
  <c r="J15" i="48"/>
  <c r="J28" i="48" s="1"/>
  <c r="J43" i="48" s="1"/>
  <c r="K5" i="48"/>
  <c r="J16" i="48"/>
  <c r="J29" i="48" s="1"/>
  <c r="J44" i="48" s="1"/>
  <c r="J18" i="48"/>
  <c r="J31" i="48" s="1"/>
  <c r="J17" i="48"/>
  <c r="J30" i="48" s="1"/>
  <c r="J45" i="48" s="1"/>
  <c r="C154" i="29"/>
  <c r="C155" i="29"/>
  <c r="F230" i="19"/>
  <c r="F232" i="19"/>
  <c r="F229" i="19"/>
  <c r="F231" i="19"/>
  <c r="H69" i="29"/>
  <c r="H66" i="29"/>
  <c r="H65" i="29" s="1"/>
  <c r="H75" i="29"/>
  <c r="I64" i="15"/>
  <c r="H74" i="29"/>
  <c r="I48" i="16" s="1"/>
  <c r="I49" i="16" s="1"/>
  <c r="I136" i="16" s="1"/>
  <c r="I48" i="15"/>
  <c r="I49" i="15" s="1"/>
  <c r="I136" i="15" s="1"/>
  <c r="H67" i="29"/>
  <c r="H68" i="29"/>
  <c r="I58" i="15"/>
  <c r="H78" i="29"/>
  <c r="I64" i="16" s="1"/>
  <c r="H77" i="29"/>
  <c r="I45" i="16" s="1"/>
  <c r="I45" i="15"/>
  <c r="H71" i="29"/>
  <c r="H76" i="29"/>
  <c r="I58" i="16" s="1"/>
  <c r="H73" i="29"/>
  <c r="H70" i="29"/>
  <c r="G47" i="42"/>
  <c r="G291" i="42" s="1"/>
  <c r="G80" i="42"/>
  <c r="G72" i="42"/>
  <c r="G96" i="42"/>
  <c r="G104" i="42"/>
  <c r="G249" i="42"/>
  <c r="H163" i="38"/>
  <c r="H167" i="38" s="1"/>
  <c r="H165" i="38"/>
  <c r="I109" i="36" s="1"/>
  <c r="AO109" i="36" s="1"/>
  <c r="H162" i="38"/>
  <c r="H166" i="38" s="1"/>
  <c r="H164" i="38"/>
  <c r="H168" i="38" s="1"/>
  <c r="E134" i="15"/>
  <c r="E140" i="15" s="1"/>
  <c r="E133" i="15" a="1"/>
  <c r="E68" i="15"/>
  <c r="E77" i="15" s="1"/>
  <c r="E297" i="38"/>
  <c r="E299" i="38"/>
  <c r="E298" i="38"/>
  <c r="E296" i="38"/>
  <c r="K5" i="19"/>
  <c r="J17" i="19"/>
  <c r="J30" i="19" s="1"/>
  <c r="J48" i="19" s="1"/>
  <c r="J18" i="19"/>
  <c r="J31" i="19" s="1"/>
  <c r="J49" i="19" s="1"/>
  <c r="J15" i="19"/>
  <c r="J28" i="19" s="1"/>
  <c r="J46" i="19" s="1"/>
  <c r="J14" i="19"/>
  <c r="J16" i="19"/>
  <c r="J29" i="19" s="1"/>
  <c r="J47" i="19" s="1"/>
  <c r="D151" i="29"/>
  <c r="D150" i="29"/>
  <c r="D153" i="29"/>
  <c r="D152" i="29"/>
  <c r="H203" i="38"/>
  <c r="I101" i="36" s="1"/>
  <c r="AO101" i="36" s="1"/>
  <c r="H202" i="38"/>
  <c r="H206" i="38" s="1"/>
  <c r="H200" i="38"/>
  <c r="H204" i="38" s="1"/>
  <c r="H201" i="38"/>
  <c r="H205" i="38" s="1"/>
  <c r="H19" i="53"/>
  <c r="H27" i="53"/>
  <c r="H32" i="53" s="1"/>
  <c r="J14" i="42"/>
  <c r="J15" i="42"/>
  <c r="J28" i="42" s="1"/>
  <c r="J43" i="42" s="1"/>
  <c r="J18" i="42"/>
  <c r="J31" i="42" s="1"/>
  <c r="J46" i="42" s="1"/>
  <c r="J237" i="42" s="1"/>
  <c r="J17" i="42"/>
  <c r="J30" i="42" s="1"/>
  <c r="J45" i="42" s="1"/>
  <c r="J16" i="42"/>
  <c r="J29" i="42" s="1"/>
  <c r="J44" i="42" s="1"/>
  <c r="J222" i="42" s="1"/>
  <c r="K5" i="42"/>
  <c r="I238" i="38"/>
  <c r="I242" i="38" s="1"/>
  <c r="I240" i="38"/>
  <c r="I244" i="38" s="1"/>
  <c r="I239" i="38"/>
  <c r="I243" i="38" s="1"/>
  <c r="BP57" i="55"/>
  <c r="C152" i="28"/>
  <c r="G135" i="29"/>
  <c r="G34" i="29"/>
  <c r="I19" i="48"/>
  <c r="I275" i="48" s="1"/>
  <c r="I27" i="48"/>
  <c r="I32" i="48" s="1"/>
  <c r="J88" i="12"/>
  <c r="G85" i="12"/>
  <c r="K69" i="12"/>
  <c r="K87" i="12"/>
  <c r="F87" i="12"/>
  <c r="E88" i="12"/>
  <c r="L85" i="12"/>
  <c r="F86" i="12"/>
  <c r="I88" i="12"/>
  <c r="M66" i="12"/>
  <c r="M70" i="12"/>
  <c r="M71" i="12"/>
  <c r="F69" i="12"/>
  <c r="H70" i="12"/>
  <c r="H66" i="12"/>
  <c r="H71" i="12"/>
  <c r="K86" i="12"/>
  <c r="G68" i="12"/>
  <c r="G89" i="12"/>
  <c r="L67" i="12"/>
  <c r="L90" i="12"/>
  <c r="G67" i="12"/>
  <c r="G90" i="12"/>
  <c r="L89" i="12"/>
  <c r="L68" i="12"/>
  <c r="H220" i="12"/>
  <c r="H221" i="12" s="1"/>
  <c r="M134" i="12"/>
  <c r="M168" i="12" s="1"/>
  <c r="M220" i="12"/>
  <c r="M221" i="12" s="1"/>
  <c r="M167" i="12"/>
  <c r="H167" i="12"/>
  <c r="H134" i="12"/>
  <c r="G43" i="19"/>
  <c r="L43" i="19"/>
  <c r="L43" i="20"/>
  <c r="G43" i="20"/>
  <c r="C177" i="12"/>
  <c r="C179" i="12"/>
  <c r="C189" i="12" s="1"/>
  <c r="D193" i="12" s="1"/>
  <c r="C173" i="12"/>
  <c r="C184" i="12" s="1"/>
  <c r="D198" i="12" s="1"/>
  <c r="C176" i="12"/>
  <c r="C183" i="12" s="1"/>
  <c r="C178" i="12"/>
  <c r="C175" i="12"/>
  <c r="C187" i="12" s="1"/>
  <c r="D195" i="12" s="1"/>
  <c r="C174" i="12"/>
  <c r="C185" i="12" s="1"/>
  <c r="D197" i="12" s="1"/>
  <c r="C235" i="19" l="1"/>
  <c r="C236" i="19"/>
  <c r="F92" i="29"/>
  <c r="F57" i="55"/>
  <c r="C175" i="29"/>
  <c r="C176" i="29" s="1"/>
  <c r="M221" i="14"/>
  <c r="D312" i="42"/>
  <c r="AK86" i="55" s="1"/>
  <c r="D311" i="42"/>
  <c r="AK85" i="55" s="1"/>
  <c r="D313" i="42"/>
  <c r="AK87" i="55" s="1"/>
  <c r="D310" i="42"/>
  <c r="D314" i="42"/>
  <c r="AK88" i="55" s="1"/>
  <c r="D309" i="42"/>
  <c r="F294" i="42"/>
  <c r="D309" i="38"/>
  <c r="D311" i="38"/>
  <c r="E85" i="55" s="1"/>
  <c r="D314" i="38"/>
  <c r="E88" i="55" s="1"/>
  <c r="D310" i="38"/>
  <c r="D312" i="38"/>
  <c r="E86" i="55" s="1"/>
  <c r="D313" i="38"/>
  <c r="E87" i="55" s="1"/>
  <c r="F294" i="38"/>
  <c r="D236" i="19"/>
  <c r="E236" i="19"/>
  <c r="E235" i="19"/>
  <c r="D235" i="19"/>
  <c r="E141" i="15"/>
  <c r="E142" i="15" s="1"/>
  <c r="G65" i="16"/>
  <c r="G139" i="16" s="1"/>
  <c r="E141" i="16"/>
  <c r="E142" i="16" s="1"/>
  <c r="G246" i="42"/>
  <c r="D137" i="29"/>
  <c r="D138" i="29" s="1"/>
  <c r="E104" i="29"/>
  <c r="L5" i="29"/>
  <c r="K17" i="29"/>
  <c r="K30" i="29" s="1"/>
  <c r="K14" i="29"/>
  <c r="K16" i="29"/>
  <c r="K29" i="29" s="1"/>
  <c r="K47" i="29" s="1"/>
  <c r="K18" i="29"/>
  <c r="K31" i="29" s="1"/>
  <c r="K15" i="29"/>
  <c r="K28" i="29" s="1"/>
  <c r="K46" i="29" s="1"/>
  <c r="D177" i="28"/>
  <c r="D180" i="28"/>
  <c r="E63" i="55" s="1"/>
  <c r="D178" i="28"/>
  <c r="D182" i="28"/>
  <c r="E65" i="55" s="1"/>
  <c r="D179" i="28"/>
  <c r="E62" i="55" s="1"/>
  <c r="D181" i="28"/>
  <c r="E64" i="55" s="1"/>
  <c r="H197" i="53"/>
  <c r="H34" i="53"/>
  <c r="G99" i="42"/>
  <c r="G103" i="42" s="1"/>
  <c r="G100" i="42"/>
  <c r="G98" i="42"/>
  <c r="G102" i="42" s="1"/>
  <c r="G97" i="42"/>
  <c r="G101" i="42" s="1"/>
  <c r="C156" i="29"/>
  <c r="C157" i="29"/>
  <c r="C178" i="29" s="1"/>
  <c r="I251" i="48"/>
  <c r="I250" i="48"/>
  <c r="I255" i="48" s="1"/>
  <c r="I247" i="48"/>
  <c r="I252" i="48" s="1"/>
  <c r="I249" i="48"/>
  <c r="I254" i="48" s="1"/>
  <c r="I248" i="48"/>
  <c r="I253" i="48" s="1"/>
  <c r="C177" i="29"/>
  <c r="G292" i="42"/>
  <c r="F37" i="28"/>
  <c r="F36" i="28"/>
  <c r="J229" i="46"/>
  <c r="J219" i="46"/>
  <c r="J209" i="46"/>
  <c r="I32" i="19"/>
  <c r="I45" i="19"/>
  <c r="I50" i="19" s="1"/>
  <c r="H281" i="42"/>
  <c r="H34" i="42"/>
  <c r="J17" i="28"/>
  <c r="J30" i="28" s="1"/>
  <c r="J16" i="28"/>
  <c r="J29" i="28" s="1"/>
  <c r="J47" i="28" s="1"/>
  <c r="J14" i="28"/>
  <c r="J15" i="28"/>
  <c r="J28" i="28" s="1"/>
  <c r="J46" i="28" s="1"/>
  <c r="J18" i="28"/>
  <c r="J31" i="28" s="1"/>
  <c r="K5" i="28"/>
  <c r="I42" i="42"/>
  <c r="I32" i="42"/>
  <c r="G37" i="19"/>
  <c r="G36" i="19"/>
  <c r="G316" i="38"/>
  <c r="G293" i="38"/>
  <c r="H80" i="55" s="1"/>
  <c r="G86" i="14"/>
  <c r="G69" i="14"/>
  <c r="G88" i="14" s="1"/>
  <c r="G87" i="29"/>
  <c r="H61" i="16"/>
  <c r="BQ57" i="55"/>
  <c r="D152" i="28"/>
  <c r="I140" i="42"/>
  <c r="I144" i="42" s="1"/>
  <c r="I139" i="42"/>
  <c r="I143" i="42" s="1"/>
  <c r="I141" i="42"/>
  <c r="I138" i="42"/>
  <c r="I142" i="42" s="1"/>
  <c r="G232" i="19"/>
  <c r="G231" i="19"/>
  <c r="G229" i="19"/>
  <c r="G230" i="19"/>
  <c r="H224" i="48"/>
  <c r="H221" i="48"/>
  <c r="H226" i="48" s="1"/>
  <c r="H220" i="48"/>
  <c r="H225" i="48" s="1"/>
  <c r="H223" i="48"/>
  <c r="H228" i="48" s="1"/>
  <c r="H222" i="48"/>
  <c r="H227" i="48" s="1"/>
  <c r="I146" i="38"/>
  <c r="I150" i="38" s="1"/>
  <c r="I148" i="38"/>
  <c r="I152" i="38" s="1"/>
  <c r="I147" i="38"/>
  <c r="I151" i="38" s="1"/>
  <c r="I149" i="38"/>
  <c r="J100" i="36" s="1"/>
  <c r="AP100" i="36" s="1"/>
  <c r="I193" i="42"/>
  <c r="I197" i="42" s="1"/>
  <c r="I194" i="42"/>
  <c r="I198" i="42" s="1"/>
  <c r="I195" i="42"/>
  <c r="I192" i="42"/>
  <c r="I196" i="42" s="1"/>
  <c r="G36" i="29"/>
  <c r="G37" i="29"/>
  <c r="K15" i="42"/>
  <c r="K28" i="42" s="1"/>
  <c r="K43" i="42" s="1"/>
  <c r="K16" i="42"/>
  <c r="K29" i="42" s="1"/>
  <c r="K44" i="42" s="1"/>
  <c r="K222" i="42" s="1"/>
  <c r="L5" i="42"/>
  <c r="K18" i="42"/>
  <c r="K31" i="42" s="1"/>
  <c r="K46" i="42" s="1"/>
  <c r="K237" i="42" s="1"/>
  <c r="K14" i="42"/>
  <c r="K17" i="42"/>
  <c r="K30" i="42" s="1"/>
  <c r="K45" i="42" s="1"/>
  <c r="G73" i="42"/>
  <c r="G77" i="42" s="1"/>
  <c r="G75" i="42"/>
  <c r="G79" i="42" s="1"/>
  <c r="G76" i="42"/>
  <c r="G74" i="42"/>
  <c r="G78" i="42" s="1"/>
  <c r="I192" i="38"/>
  <c r="I196" i="38" s="1"/>
  <c r="I194" i="38"/>
  <c r="I198" i="38" s="1"/>
  <c r="I193" i="38"/>
  <c r="I197" i="38" s="1"/>
  <c r="D306" i="42"/>
  <c r="D307" i="42"/>
  <c r="J19" i="46"/>
  <c r="J275" i="46" s="1"/>
  <c r="J27" i="46"/>
  <c r="J32" i="46" s="1"/>
  <c r="H162" i="48"/>
  <c r="H159" i="48"/>
  <c r="H164" i="48" s="1"/>
  <c r="H158" i="48"/>
  <c r="H163" i="48" s="1"/>
  <c r="H161" i="48"/>
  <c r="H166" i="48" s="1"/>
  <c r="H160" i="48"/>
  <c r="H165" i="48" s="1"/>
  <c r="H47" i="42"/>
  <c r="H291" i="42" s="1"/>
  <c r="H104" i="42"/>
  <c r="H72" i="42"/>
  <c r="H96" i="42"/>
  <c r="H80" i="42"/>
  <c r="H249" i="42"/>
  <c r="I85" i="29"/>
  <c r="J55" i="16" s="1"/>
  <c r="J55" i="15"/>
  <c r="I83" i="29"/>
  <c r="I82" i="29" s="1"/>
  <c r="F210" i="28"/>
  <c r="F159" i="28"/>
  <c r="F211" i="28"/>
  <c r="G59" i="16"/>
  <c r="G135" i="16" s="1"/>
  <c r="G66" i="16"/>
  <c r="D300" i="38"/>
  <c r="D301" i="38"/>
  <c r="I19" i="53"/>
  <c r="I27" i="53"/>
  <c r="I32" i="53" s="1"/>
  <c r="I309" i="46"/>
  <c r="I34" i="46"/>
  <c r="F134" i="16"/>
  <c r="F140" i="16" s="1"/>
  <c r="F68" i="16"/>
  <c r="F133" i="16" a="1"/>
  <c r="F141" i="16" s="1"/>
  <c r="F142" i="16" s="1"/>
  <c r="F77" i="16"/>
  <c r="F217" i="28"/>
  <c r="E151" i="28"/>
  <c r="J225" i="42"/>
  <c r="J229" i="42" s="1"/>
  <c r="J226" i="42"/>
  <c r="J223" i="42"/>
  <c r="J227" i="42" s="1"/>
  <c r="J224" i="42"/>
  <c r="J228" i="42" s="1"/>
  <c r="H150" i="48"/>
  <c r="H155" i="48" s="1"/>
  <c r="H152" i="48"/>
  <c r="H148" i="48"/>
  <c r="H153" i="48" s="1"/>
  <c r="H149" i="48"/>
  <c r="H154" i="48" s="1"/>
  <c r="H151" i="48"/>
  <c r="H156" i="48" s="1"/>
  <c r="D301" i="42"/>
  <c r="D300" i="42"/>
  <c r="C167" i="29"/>
  <c r="AJ64" i="55" s="1"/>
  <c r="C164" i="29"/>
  <c r="C165" i="29"/>
  <c r="AJ62" i="55" s="1"/>
  <c r="C166" i="29"/>
  <c r="AJ63" i="55" s="1"/>
  <c r="C163" i="29"/>
  <c r="C168" i="29"/>
  <c r="AJ65" i="55" s="1"/>
  <c r="J223" i="38"/>
  <c r="J227" i="38" s="1"/>
  <c r="J225" i="38"/>
  <c r="J229" i="38" s="1"/>
  <c r="J224" i="38"/>
  <c r="J228" i="38" s="1"/>
  <c r="E170" i="29"/>
  <c r="E171" i="29" s="1"/>
  <c r="E147" i="29"/>
  <c r="J191" i="42"/>
  <c r="J207" i="42"/>
  <c r="J199" i="42"/>
  <c r="J19" i="19"/>
  <c r="J27" i="19"/>
  <c r="E306" i="38"/>
  <c r="E318" i="38" s="1"/>
  <c r="E307" i="38"/>
  <c r="G295" i="42"/>
  <c r="G149" i="29"/>
  <c r="G146" i="29"/>
  <c r="I202" i="38"/>
  <c r="I206" i="38" s="1"/>
  <c r="I201" i="38"/>
  <c r="I205" i="38" s="1"/>
  <c r="I203" i="38"/>
  <c r="J101" i="36" s="1"/>
  <c r="AP101" i="36" s="1"/>
  <c r="I200" i="38"/>
  <c r="I204" i="38" s="1"/>
  <c r="C140" i="29"/>
  <c r="C144" i="29"/>
  <c r="C142" i="29"/>
  <c r="C141" i="29"/>
  <c r="C139" i="29"/>
  <c r="C143" i="29"/>
  <c r="I165" i="38"/>
  <c r="J109" i="36" s="1"/>
  <c r="AP109" i="36" s="1"/>
  <c r="I164" i="38"/>
  <c r="I168" i="38" s="1"/>
  <c r="I162" i="38"/>
  <c r="I166" i="38" s="1"/>
  <c r="I163" i="38"/>
  <c r="I167" i="38" s="1"/>
  <c r="J147" i="46"/>
  <c r="J177" i="46"/>
  <c r="J167" i="46"/>
  <c r="J157" i="46"/>
  <c r="G149" i="28"/>
  <c r="G34" i="28"/>
  <c r="J48" i="15"/>
  <c r="J49" i="15" s="1"/>
  <c r="J136" i="15" s="1"/>
  <c r="I70" i="29"/>
  <c r="I78" i="29"/>
  <c r="J64" i="16" s="1"/>
  <c r="I73" i="29"/>
  <c r="I69" i="29"/>
  <c r="I77" i="29"/>
  <c r="J45" i="16" s="1"/>
  <c r="I71" i="29"/>
  <c r="J58" i="15"/>
  <c r="I68" i="29"/>
  <c r="I75" i="29"/>
  <c r="J45" i="15"/>
  <c r="I66" i="29"/>
  <c r="I65" i="29" s="1"/>
  <c r="I74" i="29"/>
  <c r="J48" i="16" s="1"/>
  <c r="J49" i="16" s="1"/>
  <c r="J136" i="16" s="1"/>
  <c r="J64" i="15"/>
  <c r="I67" i="29"/>
  <c r="I76" i="29"/>
  <c r="J58" i="16" s="1"/>
  <c r="G67" i="15"/>
  <c r="G46" i="15"/>
  <c r="F184" i="28"/>
  <c r="F185" i="28" s="1"/>
  <c r="F161" i="28"/>
  <c r="J191" i="38"/>
  <c r="J199" i="38"/>
  <c r="J207" i="38"/>
  <c r="I168" i="46"/>
  <c r="I173" i="46" s="1"/>
  <c r="I172" i="46"/>
  <c r="J77" i="45" s="1"/>
  <c r="AP77" i="45" s="1"/>
  <c r="I167" i="48"/>
  <c r="I171" i="46"/>
  <c r="I176" i="46" s="1"/>
  <c r="I170" i="46"/>
  <c r="I175" i="46" s="1"/>
  <c r="I169" i="46"/>
  <c r="I174" i="46" s="1"/>
  <c r="H275" i="19"/>
  <c r="H225" i="19"/>
  <c r="H228" i="19"/>
  <c r="H276" i="19"/>
  <c r="H224" i="19"/>
  <c r="G295" i="38"/>
  <c r="G292" i="38"/>
  <c r="J49" i="29"/>
  <c r="I201" i="42"/>
  <c r="I205" i="42" s="1"/>
  <c r="I200" i="42"/>
  <c r="I204" i="42" s="1"/>
  <c r="I203" i="42"/>
  <c r="I202" i="42"/>
  <c r="I206" i="42" s="1"/>
  <c r="D166" i="28"/>
  <c r="D165" i="28"/>
  <c r="D164" i="28"/>
  <c r="D167" i="28"/>
  <c r="H90" i="14"/>
  <c r="H67" i="14"/>
  <c r="E300" i="38"/>
  <c r="E301" i="38"/>
  <c r="G216" i="28"/>
  <c r="G55" i="29"/>
  <c r="G52" i="29" s="1"/>
  <c r="G57" i="29"/>
  <c r="H44" i="15"/>
  <c r="G56" i="29"/>
  <c r="G59" i="29"/>
  <c r="H44" i="16" s="1"/>
  <c r="G61" i="29"/>
  <c r="H56" i="15"/>
  <c r="G54" i="29"/>
  <c r="G63" i="29"/>
  <c r="H56" i="16" s="1"/>
  <c r="G50" i="28"/>
  <c r="G117" i="28" s="1"/>
  <c r="G60" i="29"/>
  <c r="G53" i="29"/>
  <c r="H62" i="15"/>
  <c r="G62" i="29"/>
  <c r="H62" i="16" s="1"/>
  <c r="C154" i="28"/>
  <c r="BP61" i="55" s="1"/>
  <c r="C155" i="28"/>
  <c r="BP62" i="55" s="1"/>
  <c r="C153" i="28"/>
  <c r="C158" i="28"/>
  <c r="BP65" i="55" s="1"/>
  <c r="C156" i="28"/>
  <c r="BP63" i="55" s="1"/>
  <c r="C157" i="28"/>
  <c r="BP64" i="55" s="1"/>
  <c r="J241" i="42"/>
  <c r="J240" i="42"/>
  <c r="J244" i="42" s="1"/>
  <c r="J239" i="42"/>
  <c r="J243" i="42" s="1"/>
  <c r="J238" i="42"/>
  <c r="J242" i="42" s="1"/>
  <c r="F233" i="19"/>
  <c r="F234" i="19"/>
  <c r="F68" i="15"/>
  <c r="F77" i="15" s="1"/>
  <c r="F134" i="15"/>
  <c r="F140" i="15" s="1"/>
  <c r="F133" i="15" a="1"/>
  <c r="F141" i="15" s="1"/>
  <c r="F142" i="15" s="1"/>
  <c r="I19" i="54"/>
  <c r="I27" i="54"/>
  <c r="I32" i="54" s="1"/>
  <c r="I42" i="38"/>
  <c r="I32" i="38"/>
  <c r="I229" i="48"/>
  <c r="I232" i="46"/>
  <c r="I237" i="46" s="1"/>
  <c r="I231" i="46"/>
  <c r="I236" i="46" s="1"/>
  <c r="I233" i="46"/>
  <c r="I238" i="46" s="1"/>
  <c r="I230" i="46"/>
  <c r="I235" i="46" s="1"/>
  <c r="I234" i="46"/>
  <c r="J108" i="45" s="1"/>
  <c r="AP108" i="45" s="1"/>
  <c r="H50" i="29"/>
  <c r="H145" i="29" s="1"/>
  <c r="I157" i="38"/>
  <c r="J79" i="36" s="1"/>
  <c r="AP79" i="36" s="1"/>
  <c r="I155" i="38"/>
  <c r="I159" i="38" s="1"/>
  <c r="I154" i="38"/>
  <c r="I158" i="38" s="1"/>
  <c r="I156" i="38"/>
  <c r="I160" i="38" s="1"/>
  <c r="F117" i="28"/>
  <c r="G67" i="16"/>
  <c r="G46" i="16"/>
  <c r="J19" i="38"/>
  <c r="J247" i="38" s="1"/>
  <c r="J27" i="38"/>
  <c r="I177" i="48"/>
  <c r="I180" i="46"/>
  <c r="I185" i="46" s="1"/>
  <c r="I181" i="46"/>
  <c r="I186" i="46" s="1"/>
  <c r="I182" i="46"/>
  <c r="J107" i="45" s="1"/>
  <c r="AP107" i="45" s="1"/>
  <c r="I179" i="46"/>
  <c r="I184" i="46" s="1"/>
  <c r="I178" i="46"/>
  <c r="I183" i="46" s="1"/>
  <c r="H178" i="48"/>
  <c r="H183" i="48" s="1"/>
  <c r="H180" i="48"/>
  <c r="H185" i="48" s="1"/>
  <c r="H179" i="48"/>
  <c r="H184" i="48" s="1"/>
  <c r="H182" i="48"/>
  <c r="H181" i="48"/>
  <c r="H186" i="48" s="1"/>
  <c r="H34" i="19"/>
  <c r="H214" i="19"/>
  <c r="E163" i="28"/>
  <c r="E160" i="28"/>
  <c r="E162" i="28"/>
  <c r="J19" i="29"/>
  <c r="J27" i="29"/>
  <c r="I209" i="42"/>
  <c r="I213" i="42" s="1"/>
  <c r="I208" i="42"/>
  <c r="I212" i="42" s="1"/>
  <c r="I210" i="42"/>
  <c r="I214" i="42" s="1"/>
  <c r="I211" i="42"/>
  <c r="J16" i="53"/>
  <c r="J29" i="53" s="1"/>
  <c r="J44" i="53" s="1"/>
  <c r="J150" i="53" s="1"/>
  <c r="J151" i="53" s="1"/>
  <c r="K60" i="51" s="1"/>
  <c r="AQ60" i="51" s="1"/>
  <c r="J14" i="53"/>
  <c r="J18" i="53"/>
  <c r="J31" i="53" s="1"/>
  <c r="J15" i="53"/>
  <c r="J28" i="53" s="1"/>
  <c r="K5" i="53"/>
  <c r="J17" i="53"/>
  <c r="J30" i="53" s="1"/>
  <c r="H88" i="29"/>
  <c r="I61" i="15"/>
  <c r="H68" i="14"/>
  <c r="H87" i="14" s="1"/>
  <c r="H89" i="14"/>
  <c r="H34" i="54"/>
  <c r="H197" i="54"/>
  <c r="M67" i="14"/>
  <c r="M90" i="14"/>
  <c r="I209" i="38"/>
  <c r="I213" i="38" s="1"/>
  <c r="I210" i="38"/>
  <c r="I214" i="38" s="1"/>
  <c r="I211" i="38"/>
  <c r="I208" i="38"/>
  <c r="I212" i="38" s="1"/>
  <c r="J137" i="42"/>
  <c r="J153" i="42"/>
  <c r="J161" i="42"/>
  <c r="J145" i="42"/>
  <c r="G293" i="42"/>
  <c r="G294" i="42" s="1"/>
  <c r="G316" i="42"/>
  <c r="G317" i="42" s="1"/>
  <c r="K16" i="48"/>
  <c r="K29" i="48" s="1"/>
  <c r="K44" i="48" s="1"/>
  <c r="K14" i="48"/>
  <c r="K15" i="48"/>
  <c r="K28" i="48" s="1"/>
  <c r="K43" i="48" s="1"/>
  <c r="K18" i="48"/>
  <c r="K31" i="48" s="1"/>
  <c r="L5" i="48"/>
  <c r="K17" i="48"/>
  <c r="K30" i="48" s="1"/>
  <c r="K45" i="48" s="1"/>
  <c r="F298" i="42"/>
  <c r="F299" i="42"/>
  <c r="F296" i="42"/>
  <c r="F297" i="42"/>
  <c r="I86" i="45"/>
  <c r="AO85" i="45"/>
  <c r="AO87" i="45"/>
  <c r="AO86" i="45"/>
  <c r="I87" i="45"/>
  <c r="I85" i="45"/>
  <c r="C174" i="28"/>
  <c r="C186" i="28" s="1"/>
  <c r="C187" i="28" s="1"/>
  <c r="C188" i="28" s="1"/>
  <c r="C175" i="28"/>
  <c r="I211" i="46"/>
  <c r="I216" i="46" s="1"/>
  <c r="I210" i="46"/>
  <c r="I215" i="46" s="1"/>
  <c r="I209" i="48"/>
  <c r="I214" i="46"/>
  <c r="J89" i="45" s="1"/>
  <c r="I213" i="46"/>
  <c r="I218" i="46" s="1"/>
  <c r="I212" i="46"/>
  <c r="I217" i="46" s="1"/>
  <c r="H135" i="29"/>
  <c r="H34" i="29"/>
  <c r="H32" i="28"/>
  <c r="H45" i="28"/>
  <c r="E155" i="29"/>
  <c r="E154" i="29"/>
  <c r="I139" i="38"/>
  <c r="I140" i="38"/>
  <c r="I138" i="38"/>
  <c r="L86" i="14"/>
  <c r="L69" i="14"/>
  <c r="L88" i="14" s="1"/>
  <c r="J61" i="15"/>
  <c r="I88" i="29"/>
  <c r="F91" i="29"/>
  <c r="F103" i="29"/>
  <c r="G59" i="15"/>
  <c r="G135" i="15" s="1"/>
  <c r="G66" i="15"/>
  <c r="J137" i="38"/>
  <c r="J161" i="38"/>
  <c r="J145" i="38"/>
  <c r="J153" i="38"/>
  <c r="I147" i="48"/>
  <c r="I151" i="46"/>
  <c r="I156" i="46" s="1"/>
  <c r="I150" i="46"/>
  <c r="I155" i="46" s="1"/>
  <c r="I149" i="46"/>
  <c r="I154" i="46" s="1"/>
  <c r="I152" i="46"/>
  <c r="J83" i="45" s="1"/>
  <c r="I148" i="46"/>
  <c r="I153" i="46" s="1"/>
  <c r="C302" i="42"/>
  <c r="C303" i="42"/>
  <c r="F250" i="42"/>
  <c r="E283" i="42"/>
  <c r="E284" i="42" s="1"/>
  <c r="I156" i="42"/>
  <c r="I160" i="42" s="1"/>
  <c r="I155" i="42"/>
  <c r="I159" i="42" s="1"/>
  <c r="I157" i="42"/>
  <c r="I154" i="42"/>
  <c r="I158" i="42" s="1"/>
  <c r="M68" i="14"/>
  <c r="M87" i="14" s="1"/>
  <c r="M89" i="14"/>
  <c r="I162" i="46"/>
  <c r="J98" i="45" s="1"/>
  <c r="AP98" i="45" s="1"/>
  <c r="I157" i="48"/>
  <c r="I161" i="46"/>
  <c r="I166" i="46" s="1"/>
  <c r="I160" i="46"/>
  <c r="I165" i="46" s="1"/>
  <c r="I159" i="46"/>
  <c r="I164" i="46" s="1"/>
  <c r="I158" i="46"/>
  <c r="I163" i="46" s="1"/>
  <c r="I309" i="48"/>
  <c r="I34" i="48"/>
  <c r="J19" i="42"/>
  <c r="J247" i="42" s="1"/>
  <c r="J27" i="42"/>
  <c r="D154" i="29"/>
  <c r="D155" i="29"/>
  <c r="F240" i="19"/>
  <c r="F239" i="19"/>
  <c r="F251" i="19" s="1"/>
  <c r="H47" i="38"/>
  <c r="H291" i="38" s="1"/>
  <c r="H104" i="38"/>
  <c r="H96" i="38"/>
  <c r="H72" i="38"/>
  <c r="H73" i="38" s="1"/>
  <c r="H80" i="38"/>
  <c r="H249" i="38"/>
  <c r="D168" i="29"/>
  <c r="AK65" i="55" s="1"/>
  <c r="D167" i="29"/>
  <c r="AK64" i="55" s="1"/>
  <c r="D165" i="29"/>
  <c r="AK62" i="55" s="1"/>
  <c r="D164" i="29"/>
  <c r="D163" i="29"/>
  <c r="D166" i="29"/>
  <c r="AK63" i="55" s="1"/>
  <c r="C168" i="28"/>
  <c r="C169" i="28"/>
  <c r="I219" i="48"/>
  <c r="I223" i="46"/>
  <c r="I228" i="46" s="1"/>
  <c r="I220" i="46"/>
  <c r="I225" i="46" s="1"/>
  <c r="I222" i="46"/>
  <c r="I227" i="46" s="1"/>
  <c r="I221" i="46"/>
  <c r="I226" i="46" s="1"/>
  <c r="I224" i="46"/>
  <c r="J99" i="45" s="1"/>
  <c r="AP99" i="45" s="1"/>
  <c r="H168" i="48"/>
  <c r="H173" i="48" s="1"/>
  <c r="H170" i="48"/>
  <c r="H175" i="48" s="1"/>
  <c r="H172" i="48"/>
  <c r="H171" i="48"/>
  <c r="H176" i="48" s="1"/>
  <c r="H169" i="48"/>
  <c r="H174" i="48" s="1"/>
  <c r="K17" i="46"/>
  <c r="K30" i="46" s="1"/>
  <c r="K45" i="46" s="1"/>
  <c r="K18" i="46"/>
  <c r="K31" i="46" s="1"/>
  <c r="L5" i="46"/>
  <c r="K14" i="46"/>
  <c r="K16" i="46"/>
  <c r="K29" i="46" s="1"/>
  <c r="K44" i="46" s="1"/>
  <c r="K246" i="46" s="1"/>
  <c r="K15" i="46"/>
  <c r="K28" i="46" s="1"/>
  <c r="K43" i="46" s="1"/>
  <c r="F152" i="29"/>
  <c r="F150" i="29"/>
  <c r="F153" i="29"/>
  <c r="F151" i="29"/>
  <c r="L5" i="20"/>
  <c r="K16" i="20"/>
  <c r="K15" i="20"/>
  <c r="K14" i="20"/>
  <c r="K17" i="20"/>
  <c r="K18" i="20"/>
  <c r="K14" i="38"/>
  <c r="L5" i="38"/>
  <c r="K17" i="38"/>
  <c r="K30" i="38" s="1"/>
  <c r="K45" i="38" s="1"/>
  <c r="K15" i="38"/>
  <c r="K28" i="38" s="1"/>
  <c r="K43" i="38" s="1"/>
  <c r="K16" i="38"/>
  <c r="K29" i="38" s="1"/>
  <c r="K44" i="38" s="1"/>
  <c r="K222" i="38" s="1"/>
  <c r="K18" i="38"/>
  <c r="K31" i="38" s="1"/>
  <c r="K46" i="38" s="1"/>
  <c r="K237" i="38" s="1"/>
  <c r="E301" i="42"/>
  <c r="E300" i="42"/>
  <c r="C321" i="42"/>
  <c r="C322" i="42" s="1"/>
  <c r="G246" i="38"/>
  <c r="D290" i="42"/>
  <c r="D288" i="42"/>
  <c r="D285" i="42"/>
  <c r="D287" i="42"/>
  <c r="D289" i="42"/>
  <c r="D286" i="42"/>
  <c r="CY80" i="55"/>
  <c r="AM80" i="55"/>
  <c r="F299" i="38"/>
  <c r="F298" i="38"/>
  <c r="F297" i="38"/>
  <c r="F296" i="38"/>
  <c r="I162" i="42"/>
  <c r="I166" i="42" s="1"/>
  <c r="I163" i="42"/>
  <c r="I167" i="42" s="1"/>
  <c r="I165" i="42"/>
  <c r="I164" i="42"/>
  <c r="I168" i="42" s="1"/>
  <c r="H231" i="48"/>
  <c r="H236" i="48" s="1"/>
  <c r="H234" i="48"/>
  <c r="H233" i="48"/>
  <c r="H238" i="48" s="1"/>
  <c r="H232" i="48"/>
  <c r="H237" i="48" s="1"/>
  <c r="H230" i="48"/>
  <c r="H235" i="48" s="1"/>
  <c r="I32" i="29"/>
  <c r="I45" i="29"/>
  <c r="G84" i="42"/>
  <c r="G81" i="42"/>
  <c r="G85" i="42" s="1"/>
  <c r="G83" i="42"/>
  <c r="G87" i="42" s="1"/>
  <c r="G82" i="42"/>
  <c r="G86" i="42" s="1"/>
  <c r="I19" i="28"/>
  <c r="I118" i="28" s="1"/>
  <c r="I27" i="28"/>
  <c r="D161" i="29"/>
  <c r="D160" i="29"/>
  <c r="L5" i="19"/>
  <c r="K14" i="19"/>
  <c r="K15" i="19"/>
  <c r="K28" i="19" s="1"/>
  <c r="K46" i="19" s="1"/>
  <c r="K16" i="19"/>
  <c r="K29" i="19" s="1"/>
  <c r="K47" i="19" s="1"/>
  <c r="K18" i="19"/>
  <c r="K31" i="19" s="1"/>
  <c r="K49" i="19" s="1"/>
  <c r="K17" i="19"/>
  <c r="K30" i="19" s="1"/>
  <c r="K48" i="19" s="1"/>
  <c r="G105" i="42"/>
  <c r="G109" i="42" s="1"/>
  <c r="G107" i="42"/>
  <c r="G111" i="42" s="1"/>
  <c r="G108" i="42"/>
  <c r="G106" i="42"/>
  <c r="G110" i="42" s="1"/>
  <c r="J19" i="48"/>
  <c r="J275" i="48" s="1"/>
  <c r="J27" i="48"/>
  <c r="J32" i="48" s="1"/>
  <c r="C323" i="42"/>
  <c r="H34" i="38"/>
  <c r="H281" i="38"/>
  <c r="E314" i="38"/>
  <c r="F88" i="55" s="1"/>
  <c r="E309" i="38"/>
  <c r="E310" i="38"/>
  <c r="E311" i="38"/>
  <c r="F85" i="55" s="1"/>
  <c r="E313" i="38"/>
  <c r="F87" i="55" s="1"/>
  <c r="E312" i="38"/>
  <c r="F86" i="55" s="1"/>
  <c r="J15" i="54"/>
  <c r="J28" i="54" s="1"/>
  <c r="J17" i="54"/>
  <c r="J30" i="54" s="1"/>
  <c r="J14" i="54"/>
  <c r="K5" i="54"/>
  <c r="J18" i="54"/>
  <c r="J31" i="54" s="1"/>
  <c r="J16" i="54"/>
  <c r="J29" i="54" s="1"/>
  <c r="J44" i="54" s="1"/>
  <c r="J150" i="54" s="1"/>
  <c r="J151" i="54" s="1"/>
  <c r="E160" i="29"/>
  <c r="E172" i="29" s="1"/>
  <c r="E161" i="29"/>
  <c r="J248" i="46"/>
  <c r="J253" i="46" s="1"/>
  <c r="J246" i="48"/>
  <c r="J247" i="46"/>
  <c r="J252" i="46" s="1"/>
  <c r="J250" i="46"/>
  <c r="J255" i="46" s="1"/>
  <c r="J249" i="46"/>
  <c r="J254" i="46" s="1"/>
  <c r="J251" i="46"/>
  <c r="K96" i="45" s="1"/>
  <c r="J239" i="38"/>
  <c r="J243" i="38" s="1"/>
  <c r="J238" i="38"/>
  <c r="J242" i="38" s="1"/>
  <c r="J240" i="38"/>
  <c r="J244" i="38" s="1"/>
  <c r="E307" i="42"/>
  <c r="E306" i="42"/>
  <c r="D307" i="38"/>
  <c r="D306" i="38"/>
  <c r="D318" i="38" s="1"/>
  <c r="F196" i="29"/>
  <c r="F197" i="29"/>
  <c r="J83" i="29"/>
  <c r="J82" i="29" s="1"/>
  <c r="H212" i="48"/>
  <c r="H217" i="48" s="1"/>
  <c r="H213" i="48"/>
  <c r="H218" i="48" s="1"/>
  <c r="H211" i="48"/>
  <c r="H216" i="48" s="1"/>
  <c r="H214" i="48"/>
  <c r="H210" i="48"/>
  <c r="H215" i="48" s="1"/>
  <c r="C304" i="38"/>
  <c r="C308" i="38" s="1"/>
  <c r="C305" i="38"/>
  <c r="I147" i="42"/>
  <c r="I151" i="42" s="1"/>
  <c r="I149" i="42"/>
  <c r="I148" i="42"/>
  <c r="I152" i="42" s="1"/>
  <c r="I146" i="42"/>
  <c r="I150" i="42" s="1"/>
  <c r="F88" i="12"/>
  <c r="K88" i="12"/>
  <c r="H85" i="12"/>
  <c r="G69" i="12"/>
  <c r="G87" i="12"/>
  <c r="M85" i="12"/>
  <c r="L87" i="12"/>
  <c r="L86" i="12"/>
  <c r="G86" i="12"/>
  <c r="L69" i="12"/>
  <c r="H67" i="12"/>
  <c r="H90" i="12"/>
  <c r="M67" i="12"/>
  <c r="M90" i="12"/>
  <c r="M68" i="12"/>
  <c r="M89" i="12"/>
  <c r="H89" i="12"/>
  <c r="H68" i="12"/>
  <c r="C186" i="14"/>
  <c r="D196" i="14" s="1"/>
  <c r="C186" i="12"/>
  <c r="D196" i="12" s="1"/>
  <c r="D199" i="12"/>
  <c r="H168" i="12"/>
  <c r="C180" i="12"/>
  <c r="C238" i="19" l="1"/>
  <c r="C237" i="19"/>
  <c r="C241" i="19" s="1"/>
  <c r="G57" i="55"/>
  <c r="H65" i="16"/>
  <c r="H139" i="16" s="1"/>
  <c r="G92" i="29"/>
  <c r="C324" i="42"/>
  <c r="F311" i="42"/>
  <c r="AM85" i="55" s="1"/>
  <c r="F314" i="42"/>
  <c r="AM88" i="55" s="1"/>
  <c r="F312" i="42"/>
  <c r="AM86" i="55" s="1"/>
  <c r="F310" i="42"/>
  <c r="F309" i="42"/>
  <c r="F313" i="42"/>
  <c r="AM87" i="55" s="1"/>
  <c r="G294" i="38"/>
  <c r="F311" i="38"/>
  <c r="G85" i="55" s="1"/>
  <c r="F313" i="38"/>
  <c r="G87" i="55" s="1"/>
  <c r="F312" i="38"/>
  <c r="G86" i="55" s="1"/>
  <c r="F309" i="38"/>
  <c r="F310" i="38"/>
  <c r="F314" i="38"/>
  <c r="G88" i="55" s="1"/>
  <c r="D237" i="19"/>
  <c r="D241" i="19" s="1"/>
  <c r="D238" i="19"/>
  <c r="E237" i="19"/>
  <c r="E241" i="19" s="1"/>
  <c r="E238" i="19"/>
  <c r="H65" i="15"/>
  <c r="H139" i="15" s="1"/>
  <c r="K49" i="29"/>
  <c r="H246" i="42"/>
  <c r="J49" i="28"/>
  <c r="G312" i="42"/>
  <c r="AN86" i="55" s="1"/>
  <c r="G309" i="42"/>
  <c r="G314" i="42"/>
  <c r="AN88" i="55" s="1"/>
  <c r="G311" i="42"/>
  <c r="AN85" i="55" s="1"/>
  <c r="G313" i="42"/>
  <c r="AN87" i="55" s="1"/>
  <c r="G310" i="42"/>
  <c r="K16" i="54"/>
  <c r="K29" i="54" s="1"/>
  <c r="K44" i="54" s="1"/>
  <c r="K150" i="54" s="1"/>
  <c r="K151" i="54" s="1"/>
  <c r="K18" i="54"/>
  <c r="K31" i="54" s="1"/>
  <c r="K17" i="54"/>
  <c r="K30" i="54" s="1"/>
  <c r="K15" i="54"/>
  <c r="K28" i="54" s="1"/>
  <c r="K14" i="54"/>
  <c r="L5" i="54"/>
  <c r="J42" i="42"/>
  <c r="J32" i="42"/>
  <c r="C304" i="42"/>
  <c r="C308" i="42" s="1"/>
  <c r="C305" i="42"/>
  <c r="H108" i="42"/>
  <c r="H107" i="42"/>
  <c r="H111" i="42" s="1"/>
  <c r="H105" i="42"/>
  <c r="H109" i="42" s="1"/>
  <c r="H106" i="42"/>
  <c r="H110" i="42" s="1"/>
  <c r="F300" i="38"/>
  <c r="F301" i="38"/>
  <c r="K137" i="38"/>
  <c r="K161" i="38"/>
  <c r="K153" i="38"/>
  <c r="K145" i="38"/>
  <c r="K19" i="46"/>
  <c r="K275" i="46" s="1"/>
  <c r="K27" i="46"/>
  <c r="K32" i="46" s="1"/>
  <c r="H293" i="38"/>
  <c r="I80" i="55" s="1"/>
  <c r="H316" i="38"/>
  <c r="D156" i="29"/>
  <c r="D157" i="29"/>
  <c r="G250" i="42"/>
  <c r="F283" i="42"/>
  <c r="F284" i="42" s="1"/>
  <c r="I152" i="48"/>
  <c r="I151" i="48"/>
  <c r="I156" i="48" s="1"/>
  <c r="I149" i="48"/>
  <c r="I154" i="48" s="1"/>
  <c r="I148" i="48"/>
  <c r="I153" i="48" s="1"/>
  <c r="I150" i="48"/>
  <c r="I155" i="48" s="1"/>
  <c r="C189" i="28"/>
  <c r="C190" i="28" s="1"/>
  <c r="C191" i="28"/>
  <c r="H146" i="29"/>
  <c r="H149" i="29"/>
  <c r="I249" i="38"/>
  <c r="I47" i="38"/>
  <c r="I291" i="38" s="1"/>
  <c r="I104" i="38"/>
  <c r="I96" i="38"/>
  <c r="I72" i="38"/>
  <c r="I73" i="38" s="1"/>
  <c r="I80" i="38"/>
  <c r="G184" i="28"/>
  <c r="G185" i="28" s="1"/>
  <c r="G161" i="28"/>
  <c r="D169" i="28"/>
  <c r="D168" i="28"/>
  <c r="G299" i="38"/>
  <c r="G296" i="38"/>
  <c r="G297" i="38"/>
  <c r="G298" i="38"/>
  <c r="J147" i="48"/>
  <c r="J151" i="46"/>
  <c r="J156" i="46" s="1"/>
  <c r="J149" i="46"/>
  <c r="J154" i="46" s="1"/>
  <c r="J150" i="46"/>
  <c r="J155" i="46" s="1"/>
  <c r="J148" i="46"/>
  <c r="J153" i="46" s="1"/>
  <c r="J152" i="46"/>
  <c r="K83" i="45" s="1"/>
  <c r="J201" i="42"/>
  <c r="J205" i="42" s="1"/>
  <c r="J202" i="42"/>
  <c r="J206" i="42" s="1"/>
  <c r="J200" i="42"/>
  <c r="J204" i="42" s="1"/>
  <c r="J203" i="42"/>
  <c r="F163" i="28"/>
  <c r="F162" i="28"/>
  <c r="F160" i="28"/>
  <c r="H99" i="42"/>
  <c r="H103" i="42" s="1"/>
  <c r="H98" i="42"/>
  <c r="H102" i="42" s="1"/>
  <c r="H100" i="42"/>
  <c r="H97" i="42"/>
  <c r="H101" i="42" s="1"/>
  <c r="K207" i="42"/>
  <c r="K191" i="42"/>
  <c r="K199" i="42"/>
  <c r="G233" i="19"/>
  <c r="G234" i="19"/>
  <c r="I34" i="42"/>
  <c r="I281" i="42"/>
  <c r="E318" i="42"/>
  <c r="E319" i="42" s="1"/>
  <c r="E320" i="42"/>
  <c r="E323" i="42" s="1"/>
  <c r="K19" i="19"/>
  <c r="K27" i="19"/>
  <c r="F307" i="38"/>
  <c r="F306" i="38"/>
  <c r="F318" i="38" s="1"/>
  <c r="K207" i="38"/>
  <c r="K191" i="38"/>
  <c r="K199" i="38"/>
  <c r="L18" i="20"/>
  <c r="L17" i="20"/>
  <c r="M5" i="20"/>
  <c r="L16" i="20"/>
  <c r="L15" i="20"/>
  <c r="L14" i="20"/>
  <c r="L17" i="46"/>
  <c r="L30" i="46" s="1"/>
  <c r="L45" i="46" s="1"/>
  <c r="L16" i="46"/>
  <c r="L29" i="46" s="1"/>
  <c r="L44" i="46" s="1"/>
  <c r="L246" i="46" s="1"/>
  <c r="L18" i="46"/>
  <c r="L31" i="46" s="1"/>
  <c r="L15" i="46"/>
  <c r="L28" i="46" s="1"/>
  <c r="L43" i="46" s="1"/>
  <c r="L14" i="46"/>
  <c r="M5" i="46"/>
  <c r="J157" i="38"/>
  <c r="K79" i="36" s="1"/>
  <c r="AQ79" i="36" s="1"/>
  <c r="J156" i="38"/>
  <c r="J160" i="38" s="1"/>
  <c r="J154" i="38"/>
  <c r="J158" i="38" s="1"/>
  <c r="J155" i="38"/>
  <c r="J159" i="38" s="1"/>
  <c r="J61" i="16"/>
  <c r="I87" i="29"/>
  <c r="F307" i="42"/>
  <c r="F306" i="42"/>
  <c r="H37" i="19"/>
  <c r="H36" i="19"/>
  <c r="I34" i="54"/>
  <c r="I197" i="54"/>
  <c r="H59" i="15"/>
  <c r="H135" i="15" s="1"/>
  <c r="H66" i="15"/>
  <c r="E303" i="38"/>
  <c r="E302" i="38"/>
  <c r="I170" i="48"/>
  <c r="I175" i="48" s="1"/>
  <c r="I168" i="48"/>
  <c r="I173" i="48" s="1"/>
  <c r="I171" i="48"/>
  <c r="I176" i="48" s="1"/>
  <c r="I169" i="48"/>
  <c r="I174" i="48" s="1"/>
  <c r="I172" i="48"/>
  <c r="G68" i="15"/>
  <c r="G77" i="15" s="1"/>
  <c r="G134" i="15"/>
  <c r="G140" i="15" s="1"/>
  <c r="G133" i="15" a="1"/>
  <c r="G152" i="29"/>
  <c r="G153" i="29"/>
  <c r="G150" i="29"/>
  <c r="G151" i="29"/>
  <c r="J208" i="42"/>
  <c r="J212" i="42" s="1"/>
  <c r="J211" i="42"/>
  <c r="J209" i="42"/>
  <c r="J213" i="42" s="1"/>
  <c r="J210" i="42"/>
  <c r="J214" i="42" s="1"/>
  <c r="BR57" i="55"/>
  <c r="E152" i="28"/>
  <c r="I197" i="53"/>
  <c r="I34" i="53"/>
  <c r="H76" i="42"/>
  <c r="H74" i="42"/>
  <c r="H78" i="42" s="1"/>
  <c r="H73" i="42"/>
  <c r="H77" i="42" s="1"/>
  <c r="H75" i="42"/>
  <c r="H79" i="42" s="1"/>
  <c r="J34" i="46"/>
  <c r="J309" i="46"/>
  <c r="K19" i="42"/>
  <c r="K247" i="42" s="1"/>
  <c r="K27" i="42"/>
  <c r="G240" i="19"/>
  <c r="G239" i="19"/>
  <c r="G251" i="19" s="1"/>
  <c r="I47" i="42"/>
  <c r="I291" i="42" s="1"/>
  <c r="I72" i="42"/>
  <c r="I104" i="42"/>
  <c r="I80" i="42"/>
  <c r="I96" i="42"/>
  <c r="I249" i="42"/>
  <c r="H292" i="42"/>
  <c r="C159" i="29"/>
  <c r="C158" i="29"/>
  <c r="C162" i="29" s="1"/>
  <c r="H87" i="29"/>
  <c r="I61" i="16"/>
  <c r="C182" i="29"/>
  <c r="J251" i="48"/>
  <c r="J247" i="48"/>
  <c r="J252" i="48" s="1"/>
  <c r="J248" i="48"/>
  <c r="J253" i="48" s="1"/>
  <c r="J250" i="48"/>
  <c r="J255" i="48" s="1"/>
  <c r="J249" i="48"/>
  <c r="J254" i="48" s="1"/>
  <c r="J19" i="54"/>
  <c r="J27" i="54"/>
  <c r="J32" i="54" s="1"/>
  <c r="D172" i="29"/>
  <c r="D173" i="29" s="1"/>
  <c r="D174" i="29"/>
  <c r="I50" i="29"/>
  <c r="I145" i="29" s="1"/>
  <c r="K19" i="38"/>
  <c r="K247" i="38" s="1"/>
  <c r="K27" i="38"/>
  <c r="F160" i="29"/>
  <c r="F172" i="29" s="1"/>
  <c r="F161" i="29"/>
  <c r="K229" i="46"/>
  <c r="K219" i="46"/>
  <c r="K209" i="46"/>
  <c r="J86" i="45"/>
  <c r="AP85" i="45"/>
  <c r="J85" i="45"/>
  <c r="J87" i="45"/>
  <c r="AP87" i="45"/>
  <c r="AP86" i="45"/>
  <c r="J162" i="38"/>
  <c r="J166" i="38" s="1"/>
  <c r="J164" i="38"/>
  <c r="J168" i="38" s="1"/>
  <c r="J165" i="38"/>
  <c r="K109" i="36" s="1"/>
  <c r="AQ109" i="36" s="1"/>
  <c r="J163" i="38"/>
  <c r="J167" i="38" s="1"/>
  <c r="J147" i="42"/>
  <c r="J151" i="42" s="1"/>
  <c r="J146" i="42"/>
  <c r="J150" i="42" s="1"/>
  <c r="J148" i="42"/>
  <c r="J152" i="42" s="1"/>
  <c r="J149" i="42"/>
  <c r="J32" i="29"/>
  <c r="J45" i="29"/>
  <c r="H67" i="16"/>
  <c r="H46" i="16"/>
  <c r="H86" i="14"/>
  <c r="H69" i="14"/>
  <c r="H88" i="14" s="1"/>
  <c r="H229" i="19"/>
  <c r="H231" i="19"/>
  <c r="H232" i="19"/>
  <c r="H230" i="19"/>
  <c r="G37" i="28"/>
  <c r="G36" i="28"/>
  <c r="G297" i="42"/>
  <c r="G296" i="42"/>
  <c r="G299" i="42"/>
  <c r="G298" i="42"/>
  <c r="CX57" i="55"/>
  <c r="AL57" i="55"/>
  <c r="E148" i="29"/>
  <c r="D302" i="38"/>
  <c r="D303" i="38"/>
  <c r="H295" i="42"/>
  <c r="M5" i="42"/>
  <c r="L14" i="42"/>
  <c r="L18" i="42"/>
  <c r="L31" i="42" s="1"/>
  <c r="L46" i="42" s="1"/>
  <c r="L237" i="42" s="1"/>
  <c r="L15" i="42"/>
  <c r="L28" i="42" s="1"/>
  <c r="L43" i="42" s="1"/>
  <c r="L17" i="42"/>
  <c r="L30" i="42" s="1"/>
  <c r="L45" i="42" s="1"/>
  <c r="L16" i="42"/>
  <c r="L29" i="42" s="1"/>
  <c r="L44" i="42" s="1"/>
  <c r="L222" i="42" s="1"/>
  <c r="I34" i="19"/>
  <c r="I214" i="19"/>
  <c r="K19" i="29"/>
  <c r="K27" i="29"/>
  <c r="F151" i="28"/>
  <c r="G217" i="28"/>
  <c r="K239" i="42"/>
  <c r="K243" i="42" s="1"/>
  <c r="K241" i="42"/>
  <c r="K240" i="42"/>
  <c r="K244" i="42" s="1"/>
  <c r="K238" i="42"/>
  <c r="K242" i="42" s="1"/>
  <c r="I276" i="19"/>
  <c r="I275" i="19"/>
  <c r="I225" i="19"/>
  <c r="I228" i="19"/>
  <c r="I224" i="19"/>
  <c r="I135" i="29"/>
  <c r="I34" i="29"/>
  <c r="J140" i="38"/>
  <c r="J139" i="38"/>
  <c r="J138" i="38"/>
  <c r="I211" i="48"/>
  <c r="I216" i="48" s="1"/>
  <c r="I210" i="48"/>
  <c r="I215" i="48" s="1"/>
  <c r="I213" i="48"/>
  <c r="I218" i="48" s="1"/>
  <c r="I214" i="48"/>
  <c r="I212" i="48"/>
  <c r="I217" i="48" s="1"/>
  <c r="L16" i="48"/>
  <c r="L29" i="48" s="1"/>
  <c r="L44" i="48" s="1"/>
  <c r="M5" i="48"/>
  <c r="L15" i="48"/>
  <c r="L28" i="48" s="1"/>
  <c r="L43" i="48" s="1"/>
  <c r="L18" i="48"/>
  <c r="L31" i="48" s="1"/>
  <c r="L14" i="48"/>
  <c r="L17" i="48"/>
  <c r="L30" i="48" s="1"/>
  <c r="L45" i="48" s="1"/>
  <c r="J163" i="42"/>
  <c r="J167" i="42" s="1"/>
  <c r="J164" i="42"/>
  <c r="J168" i="42" s="1"/>
  <c r="J162" i="42"/>
  <c r="J166" i="42" s="1"/>
  <c r="J165" i="42"/>
  <c r="M86" i="14"/>
  <c r="M69" i="14"/>
  <c r="M88" i="14" s="1"/>
  <c r="I180" i="48"/>
  <c r="I185" i="48" s="1"/>
  <c r="I182" i="48"/>
  <c r="I179" i="48"/>
  <c r="I184" i="48" s="1"/>
  <c r="I178" i="48"/>
  <c r="I183" i="48" s="1"/>
  <c r="I181" i="48"/>
  <c r="I186" i="48" s="1"/>
  <c r="J209" i="38"/>
  <c r="J213" i="38" s="1"/>
  <c r="J210" i="38"/>
  <c r="J214" i="38" s="1"/>
  <c r="J208" i="38"/>
  <c r="J212" i="38" s="1"/>
  <c r="J211" i="38"/>
  <c r="E174" i="29"/>
  <c r="E175" i="29" s="1"/>
  <c r="E176" i="29" s="1"/>
  <c r="E173" i="29"/>
  <c r="K224" i="42"/>
  <c r="K228" i="42" s="1"/>
  <c r="K223" i="42"/>
  <c r="K227" i="42" s="1"/>
  <c r="K225" i="42"/>
  <c r="K229" i="42" s="1"/>
  <c r="K226" i="42"/>
  <c r="J77" i="29"/>
  <c r="K45" i="16" s="1"/>
  <c r="J70" i="29"/>
  <c r="J74" i="29"/>
  <c r="K48" i="16" s="1"/>
  <c r="K49" i="16" s="1"/>
  <c r="K136" i="16" s="1"/>
  <c r="J68" i="29"/>
  <c r="K64" i="15"/>
  <c r="J78" i="29"/>
  <c r="K64" i="16" s="1"/>
  <c r="J67" i="29"/>
  <c r="K48" i="15"/>
  <c r="K49" i="15" s="1"/>
  <c r="K136" i="15" s="1"/>
  <c r="J75" i="29"/>
  <c r="J76" i="29"/>
  <c r="K58" i="16" s="1"/>
  <c r="K45" i="15"/>
  <c r="J71" i="29"/>
  <c r="J73" i="29"/>
  <c r="K58" i="15"/>
  <c r="J66" i="29"/>
  <c r="J65" i="29" s="1"/>
  <c r="J69" i="29"/>
  <c r="J210" i="46"/>
  <c r="J215" i="46" s="1"/>
  <c r="J214" i="46"/>
  <c r="K89" i="45" s="1"/>
  <c r="J209" i="48"/>
  <c r="J212" i="46"/>
  <c r="J217" i="46" s="1"/>
  <c r="J213" i="46"/>
  <c r="J218" i="46" s="1"/>
  <c r="J211" i="46"/>
  <c r="J216" i="46" s="1"/>
  <c r="L16" i="38"/>
  <c r="L29" i="38" s="1"/>
  <c r="L44" i="38" s="1"/>
  <c r="L222" i="38" s="1"/>
  <c r="L18" i="38"/>
  <c r="L31" i="38" s="1"/>
  <c r="L46" i="38" s="1"/>
  <c r="L237" i="38" s="1"/>
  <c r="L14" i="38"/>
  <c r="M5" i="38"/>
  <c r="L15" i="38"/>
  <c r="L28" i="38" s="1"/>
  <c r="L43" i="38" s="1"/>
  <c r="L17" i="38"/>
  <c r="L30" i="38" s="1"/>
  <c r="L45" i="38" s="1"/>
  <c r="E157" i="29"/>
  <c r="E156" i="29"/>
  <c r="CZ80" i="55"/>
  <c r="AN80" i="55"/>
  <c r="K18" i="53"/>
  <c r="K31" i="53" s="1"/>
  <c r="K15" i="53"/>
  <c r="K28" i="53" s="1"/>
  <c r="L5" i="53"/>
  <c r="K17" i="53"/>
  <c r="K30" i="53" s="1"/>
  <c r="K14" i="53"/>
  <c r="K16" i="53"/>
  <c r="K29" i="53" s="1"/>
  <c r="K44" i="53" s="1"/>
  <c r="K150" i="53" s="1"/>
  <c r="K151" i="53" s="1"/>
  <c r="L60" i="51" s="1"/>
  <c r="AR60" i="51" s="1"/>
  <c r="J194" i="42"/>
  <c r="J198" i="42" s="1"/>
  <c r="J193" i="42"/>
  <c r="J197" i="42" s="1"/>
  <c r="J195" i="42"/>
  <c r="J192" i="42"/>
  <c r="J196" i="42" s="1"/>
  <c r="I32" i="28"/>
  <c r="I45" i="28"/>
  <c r="E303" i="42"/>
  <c r="E302" i="42"/>
  <c r="F154" i="29"/>
  <c r="F155" i="29"/>
  <c r="H295" i="38"/>
  <c r="H292" i="38"/>
  <c r="H216" i="28"/>
  <c r="H59" i="29"/>
  <c r="I44" i="16" s="1"/>
  <c r="H54" i="29"/>
  <c r="H56" i="29"/>
  <c r="H60" i="29"/>
  <c r="I62" i="15"/>
  <c r="I65" i="15" s="1"/>
  <c r="I139" i="15" s="1"/>
  <c r="H53" i="29"/>
  <c r="I56" i="15"/>
  <c r="H62" i="29"/>
  <c r="I62" i="16" s="1"/>
  <c r="H57" i="29"/>
  <c r="H61" i="29"/>
  <c r="I44" i="15"/>
  <c r="H55" i="29"/>
  <c r="H52" i="29" s="1"/>
  <c r="H63" i="29"/>
  <c r="I56" i="16" s="1"/>
  <c r="H50" i="28"/>
  <c r="J156" i="42"/>
  <c r="J160" i="42" s="1"/>
  <c r="J154" i="42"/>
  <c r="J158" i="42" s="1"/>
  <c r="J157" i="42"/>
  <c r="J155" i="42"/>
  <c r="J159" i="42" s="1"/>
  <c r="J19" i="53"/>
  <c r="J27" i="53"/>
  <c r="J32" i="53" s="1"/>
  <c r="E178" i="28"/>
  <c r="E177" i="28"/>
  <c r="E179" i="28"/>
  <c r="F62" i="55" s="1"/>
  <c r="E181" i="28"/>
  <c r="F64" i="55" s="1"/>
  <c r="E180" i="28"/>
  <c r="F63" i="55" s="1"/>
  <c r="E182" i="28"/>
  <c r="F65" i="55" s="1"/>
  <c r="J32" i="38"/>
  <c r="J42" i="38"/>
  <c r="F236" i="19"/>
  <c r="F235" i="19"/>
  <c r="H67" i="15"/>
  <c r="H46" i="15"/>
  <c r="D174" i="28"/>
  <c r="D175" i="28"/>
  <c r="J201" i="38"/>
  <c r="J205" i="38" s="1"/>
  <c r="J200" i="38"/>
  <c r="J204" i="38" s="1"/>
  <c r="J203" i="38"/>
  <c r="K101" i="36" s="1"/>
  <c r="AQ101" i="36" s="1"/>
  <c r="J202" i="38"/>
  <c r="J206" i="38" s="1"/>
  <c r="J158" i="46"/>
  <c r="J163" i="46" s="1"/>
  <c r="J157" i="48"/>
  <c r="J162" i="46"/>
  <c r="K98" i="45" s="1"/>
  <c r="AQ98" i="45" s="1"/>
  <c r="J160" i="46"/>
  <c r="J165" i="46" s="1"/>
  <c r="J161" i="46"/>
  <c r="J166" i="46" s="1"/>
  <c r="J159" i="46"/>
  <c r="J164" i="46" s="1"/>
  <c r="H293" i="42"/>
  <c r="H294" i="42" s="1"/>
  <c r="H316" i="42"/>
  <c r="H317" i="42" s="1"/>
  <c r="K137" i="42"/>
  <c r="K153" i="42"/>
  <c r="K145" i="42"/>
  <c r="K161" i="42"/>
  <c r="J19" i="28"/>
  <c r="J118" i="28" s="1"/>
  <c r="J27" i="28"/>
  <c r="J219" i="48"/>
  <c r="J220" i="46"/>
  <c r="J225" i="46" s="1"/>
  <c r="J223" i="46"/>
  <c r="J228" i="46" s="1"/>
  <c r="J221" i="46"/>
  <c r="J226" i="46" s="1"/>
  <c r="J222" i="46"/>
  <c r="J227" i="46" s="1"/>
  <c r="J224" i="46"/>
  <c r="K99" i="45" s="1"/>
  <c r="AQ99" i="45" s="1"/>
  <c r="M5" i="29"/>
  <c r="L15" i="29"/>
  <c r="L28" i="29" s="1"/>
  <c r="L46" i="29" s="1"/>
  <c r="L18" i="29"/>
  <c r="L31" i="29" s="1"/>
  <c r="L14" i="29"/>
  <c r="L16" i="29"/>
  <c r="L29" i="29" s="1"/>
  <c r="L47" i="29" s="1"/>
  <c r="L17" i="29"/>
  <c r="L30" i="29" s="1"/>
  <c r="M5" i="19"/>
  <c r="L17" i="19"/>
  <c r="L30" i="19" s="1"/>
  <c r="L48" i="19" s="1"/>
  <c r="L16" i="19"/>
  <c r="L29" i="19" s="1"/>
  <c r="L47" i="19" s="1"/>
  <c r="L14" i="19"/>
  <c r="L18" i="19"/>
  <c r="L31" i="19" s="1"/>
  <c r="L49" i="19" s="1"/>
  <c r="L15" i="19"/>
  <c r="L28" i="19" s="1"/>
  <c r="L46" i="19" s="1"/>
  <c r="K18" i="28"/>
  <c r="K31" i="28" s="1"/>
  <c r="K17" i="28"/>
  <c r="K30" i="28" s="1"/>
  <c r="K14" i="28"/>
  <c r="K15" i="28"/>
  <c r="K28" i="28" s="1"/>
  <c r="K46" i="28" s="1"/>
  <c r="L5" i="28"/>
  <c r="K16" i="28"/>
  <c r="K29" i="28" s="1"/>
  <c r="K47" i="28" s="1"/>
  <c r="C328" i="42"/>
  <c r="K239" i="38"/>
  <c r="K243" i="38" s="1"/>
  <c r="K238" i="38"/>
  <c r="K242" i="38" s="1"/>
  <c r="K240" i="38"/>
  <c r="K244" i="38" s="1"/>
  <c r="K147" i="46"/>
  <c r="K157" i="46"/>
  <c r="K177" i="46"/>
  <c r="K167" i="46"/>
  <c r="I222" i="48"/>
  <c r="I227" i="48" s="1"/>
  <c r="I224" i="48"/>
  <c r="I221" i="48"/>
  <c r="I226" i="48" s="1"/>
  <c r="I220" i="48"/>
  <c r="I225" i="48" s="1"/>
  <c r="I223" i="48"/>
  <c r="I228" i="48" s="1"/>
  <c r="H149" i="28"/>
  <c r="H34" i="28"/>
  <c r="J138" i="42"/>
  <c r="J142" i="42" s="1"/>
  <c r="J139" i="42"/>
  <c r="J143" i="42" s="1"/>
  <c r="J141" i="42"/>
  <c r="J140" i="42"/>
  <c r="J144" i="42" s="1"/>
  <c r="I232" i="48"/>
  <c r="I237" i="48" s="1"/>
  <c r="I231" i="48"/>
  <c r="I236" i="48" s="1"/>
  <c r="I234" i="48"/>
  <c r="I233" i="48"/>
  <c r="I238" i="48" s="1"/>
  <c r="I230" i="48"/>
  <c r="I235" i="48" s="1"/>
  <c r="G210" i="28"/>
  <c r="G211" i="28"/>
  <c r="G159" i="28"/>
  <c r="J194" i="38"/>
  <c r="J198" i="38" s="1"/>
  <c r="J193" i="38"/>
  <c r="J197" i="38" s="1"/>
  <c r="J192" i="38"/>
  <c r="J196" i="38" s="1"/>
  <c r="J172" i="46"/>
  <c r="K77" i="45" s="1"/>
  <c r="AQ77" i="45" s="1"/>
  <c r="J167" i="48"/>
  <c r="J171" i="46"/>
  <c r="J176" i="46" s="1"/>
  <c r="J169" i="46"/>
  <c r="J174" i="46" s="1"/>
  <c r="J170" i="46"/>
  <c r="J175" i="46" s="1"/>
  <c r="J168" i="46"/>
  <c r="J173" i="46" s="1"/>
  <c r="J32" i="19"/>
  <c r="J45" i="19"/>
  <c r="J50" i="19" s="1"/>
  <c r="D318" i="42"/>
  <c r="D319" i="42" s="1"/>
  <c r="D320" i="42"/>
  <c r="D154" i="28"/>
  <c r="BQ61" i="55" s="1"/>
  <c r="D156" i="28"/>
  <c r="BQ63" i="55" s="1"/>
  <c r="D153" i="28"/>
  <c r="D158" i="28"/>
  <c r="BQ65" i="55" s="1"/>
  <c r="D157" i="28"/>
  <c r="BQ64" i="55" s="1"/>
  <c r="D155" i="28"/>
  <c r="BQ62" i="55" s="1"/>
  <c r="K55" i="15"/>
  <c r="J85" i="29"/>
  <c r="K55" i="16" s="1"/>
  <c r="J231" i="46"/>
  <c r="J236" i="46" s="1"/>
  <c r="J233" i="46"/>
  <c r="J238" i="46" s="1"/>
  <c r="J234" i="46"/>
  <c r="K108" i="45" s="1"/>
  <c r="AQ108" i="45" s="1"/>
  <c r="J230" i="46"/>
  <c r="J235" i="46" s="1"/>
  <c r="J229" i="48"/>
  <c r="J232" i="46"/>
  <c r="J237" i="46" s="1"/>
  <c r="F104" i="29"/>
  <c r="E137" i="29"/>
  <c r="E138" i="29" s="1"/>
  <c r="I158" i="48"/>
  <c r="I163" i="48" s="1"/>
  <c r="I160" i="48"/>
  <c r="I165" i="48" s="1"/>
  <c r="I159" i="48"/>
  <c r="I164" i="48" s="1"/>
  <c r="I162" i="48"/>
  <c r="I161" i="48"/>
  <c r="I166" i="48" s="1"/>
  <c r="J146" i="38"/>
  <c r="J150" i="38" s="1"/>
  <c r="J149" i="38"/>
  <c r="K100" i="36" s="1"/>
  <c r="AQ100" i="36" s="1"/>
  <c r="J147" i="38"/>
  <c r="J151" i="38" s="1"/>
  <c r="J148" i="38"/>
  <c r="J152" i="38" s="1"/>
  <c r="F300" i="42"/>
  <c r="F301" i="42"/>
  <c r="G103" i="29"/>
  <c r="G91" i="29"/>
  <c r="J309" i="48"/>
  <c r="J34" i="48"/>
  <c r="K225" i="38"/>
  <c r="K229" i="38" s="1"/>
  <c r="K224" i="38"/>
  <c r="K228" i="38" s="1"/>
  <c r="K223" i="38"/>
  <c r="K227" i="38" s="1"/>
  <c r="K249" i="46"/>
  <c r="K254" i="46" s="1"/>
  <c r="K248" i="46"/>
  <c r="K253" i="46" s="1"/>
  <c r="K250" i="46"/>
  <c r="K255" i="46" s="1"/>
  <c r="K246" i="48"/>
  <c r="K247" i="46"/>
  <c r="K252" i="46" s="1"/>
  <c r="K251" i="46"/>
  <c r="L96" i="45" s="1"/>
  <c r="C171" i="28"/>
  <c r="C170" i="28"/>
  <c r="H246" i="38"/>
  <c r="E287" i="42"/>
  <c r="E286" i="42"/>
  <c r="E289" i="42"/>
  <c r="E290" i="42"/>
  <c r="E288" i="42"/>
  <c r="E285" i="42"/>
  <c r="F170" i="29"/>
  <c r="F171" i="29" s="1"/>
  <c r="F147" i="29"/>
  <c r="H37" i="29"/>
  <c r="H36" i="29"/>
  <c r="K19" i="48"/>
  <c r="K275" i="48" s="1"/>
  <c r="K27" i="48"/>
  <c r="K32" i="48" s="1"/>
  <c r="E167" i="28"/>
  <c r="E164" i="28"/>
  <c r="E166" i="28"/>
  <c r="E165" i="28"/>
  <c r="G68" i="16"/>
  <c r="G134" i="16"/>
  <c r="G140" i="16" s="1"/>
  <c r="G133" i="16" a="1"/>
  <c r="G141" i="16" s="1"/>
  <c r="G142" i="16" s="1"/>
  <c r="G77" i="16"/>
  <c r="I34" i="38"/>
  <c r="I281" i="38"/>
  <c r="H59" i="16"/>
  <c r="H135" i="16" s="1"/>
  <c r="H66" i="16"/>
  <c r="J177" i="48"/>
  <c r="J181" i="46"/>
  <c r="J186" i="46" s="1"/>
  <c r="J179" i="46"/>
  <c r="J184" i="46" s="1"/>
  <c r="J178" i="46"/>
  <c r="J183" i="46" s="1"/>
  <c r="J180" i="46"/>
  <c r="J185" i="46" s="1"/>
  <c r="J182" i="46"/>
  <c r="K107" i="45" s="1"/>
  <c r="AQ107" i="45" s="1"/>
  <c r="D303" i="42"/>
  <c r="D302" i="42"/>
  <c r="H81" i="42"/>
  <c r="H85" i="42" s="1"/>
  <c r="H84" i="42"/>
  <c r="H82" i="42"/>
  <c r="H86" i="42" s="1"/>
  <c r="H83" i="42"/>
  <c r="H87" i="42" s="1"/>
  <c r="G197" i="29"/>
  <c r="G196" i="29"/>
  <c r="D140" i="29"/>
  <c r="D142" i="29"/>
  <c r="D144" i="29"/>
  <c r="D139" i="29"/>
  <c r="D141" i="29"/>
  <c r="D143" i="29"/>
  <c r="M86" i="12"/>
  <c r="G88" i="12"/>
  <c r="H87" i="12"/>
  <c r="L88" i="12"/>
  <c r="M87" i="12"/>
  <c r="H86" i="12"/>
  <c r="H69" i="12"/>
  <c r="M69" i="12"/>
  <c r="C188" i="14"/>
  <c r="D194" i="14" s="1"/>
  <c r="D200" i="14" s="1"/>
  <c r="D102" i="15"/>
  <c r="D107" i="15" s="1"/>
  <c r="C188" i="12"/>
  <c r="I65" i="16" l="1"/>
  <c r="I139" i="16" s="1"/>
  <c r="H92" i="29"/>
  <c r="C192" i="28"/>
  <c r="K61" i="15"/>
  <c r="J88" i="29"/>
  <c r="C329" i="42"/>
  <c r="C338" i="42" s="1"/>
  <c r="G314" i="38"/>
  <c r="H88" i="55" s="1"/>
  <c r="G311" i="38"/>
  <c r="H85" i="55" s="1"/>
  <c r="G310" i="38"/>
  <c r="G312" i="38"/>
  <c r="H86" i="55" s="1"/>
  <c r="G313" i="38"/>
  <c r="H87" i="55" s="1"/>
  <c r="G309" i="38"/>
  <c r="H294" i="38"/>
  <c r="E321" i="42"/>
  <c r="E322" i="42" s="1"/>
  <c r="H117" i="28"/>
  <c r="K49" i="28"/>
  <c r="G141" i="15"/>
  <c r="G142" i="15" s="1"/>
  <c r="L49" i="29"/>
  <c r="H312" i="42"/>
  <c r="AO86" i="55" s="1"/>
  <c r="H313" i="42"/>
  <c r="AO87" i="55" s="1"/>
  <c r="H314" i="42"/>
  <c r="AO88" i="55" s="1"/>
  <c r="H311" i="42"/>
  <c r="AO85" i="55" s="1"/>
  <c r="H310" i="42"/>
  <c r="H309" i="42"/>
  <c r="E174" i="28"/>
  <c r="E175" i="28"/>
  <c r="E143" i="29"/>
  <c r="E140" i="29"/>
  <c r="E144" i="29"/>
  <c r="E141" i="29"/>
  <c r="E142" i="29"/>
  <c r="E139" i="29"/>
  <c r="K61" i="16"/>
  <c r="J87" i="29"/>
  <c r="I149" i="29"/>
  <c r="I146" i="29"/>
  <c r="I295" i="38"/>
  <c r="I292" i="38"/>
  <c r="E168" i="28"/>
  <c r="E169" i="28"/>
  <c r="F174" i="29"/>
  <c r="F175" i="29" s="1"/>
  <c r="F176" i="29" s="1"/>
  <c r="C173" i="28"/>
  <c r="C172" i="28"/>
  <c r="C176" i="28" s="1"/>
  <c r="K171" i="46"/>
  <c r="K176" i="46" s="1"/>
  <c r="K169" i="46"/>
  <c r="K174" i="46" s="1"/>
  <c r="K170" i="46"/>
  <c r="K175" i="46" s="1"/>
  <c r="K168" i="46"/>
  <c r="K173" i="46" s="1"/>
  <c r="K172" i="46"/>
  <c r="L77" i="45" s="1"/>
  <c r="AR77" i="45" s="1"/>
  <c r="K167" i="48"/>
  <c r="L19" i="29"/>
  <c r="L27" i="29"/>
  <c r="K141" i="42"/>
  <c r="K139" i="42"/>
  <c r="K143" i="42" s="1"/>
  <c r="K140" i="42"/>
  <c r="K144" i="42" s="1"/>
  <c r="K138" i="42"/>
  <c r="K142" i="42" s="1"/>
  <c r="J160" i="48"/>
  <c r="J165" i="48" s="1"/>
  <c r="J162" i="48"/>
  <c r="J159" i="48"/>
  <c r="J164" i="48" s="1"/>
  <c r="J158" i="48"/>
  <c r="J163" i="48" s="1"/>
  <c r="J161" i="48"/>
  <c r="J166" i="48" s="1"/>
  <c r="D186" i="28"/>
  <c r="D187" i="28" s="1"/>
  <c r="D188" i="28"/>
  <c r="D191" i="28" s="1"/>
  <c r="I67" i="15"/>
  <c r="I46" i="15"/>
  <c r="L239" i="38"/>
  <c r="L243" i="38" s="1"/>
  <c r="L240" i="38"/>
  <c r="L244" i="38" s="1"/>
  <c r="L238" i="38"/>
  <c r="L242" i="38" s="1"/>
  <c r="L19" i="42"/>
  <c r="L247" i="42" s="1"/>
  <c r="L27" i="42"/>
  <c r="J50" i="29"/>
  <c r="J145" i="29" s="1"/>
  <c r="I107" i="42"/>
  <c r="I111" i="42" s="1"/>
  <c r="I108" i="42"/>
  <c r="I105" i="42"/>
  <c r="I109" i="42" s="1"/>
  <c r="I106" i="42"/>
  <c r="I110" i="42" s="1"/>
  <c r="G154" i="29"/>
  <c r="G155" i="29"/>
  <c r="E328" i="42"/>
  <c r="K195" i="42"/>
  <c r="K193" i="42"/>
  <c r="K197" i="42" s="1"/>
  <c r="K192" i="42"/>
  <c r="K196" i="42" s="1"/>
  <c r="K194" i="42"/>
  <c r="K198" i="42" s="1"/>
  <c r="F165" i="28"/>
  <c r="F164" i="28"/>
  <c r="F166" i="28"/>
  <c r="F167" i="28"/>
  <c r="G307" i="38"/>
  <c r="G306" i="38"/>
  <c r="G318" i="38" s="1"/>
  <c r="K164" i="38"/>
  <c r="K168" i="38" s="1"/>
  <c r="K165" i="38"/>
  <c r="L109" i="36" s="1"/>
  <c r="AR109" i="36" s="1"/>
  <c r="K162" i="38"/>
  <c r="K166" i="38" s="1"/>
  <c r="K163" i="38"/>
  <c r="K167" i="38" s="1"/>
  <c r="L55" i="15"/>
  <c r="K85" i="29"/>
  <c r="L55" i="16" s="1"/>
  <c r="E159" i="29"/>
  <c r="E158" i="29"/>
  <c r="E162" i="29" s="1"/>
  <c r="H234" i="19"/>
  <c r="H233" i="19"/>
  <c r="H36" i="28"/>
  <c r="H37" i="28"/>
  <c r="K177" i="48"/>
  <c r="K179" i="46"/>
  <c r="K184" i="46" s="1"/>
  <c r="K178" i="46"/>
  <c r="K183" i="46" s="1"/>
  <c r="K181" i="46"/>
  <c r="K186" i="46" s="1"/>
  <c r="K182" i="46"/>
  <c r="L107" i="45" s="1"/>
  <c r="AR107" i="45" s="1"/>
  <c r="K180" i="46"/>
  <c r="K185" i="46" s="1"/>
  <c r="C336" i="42"/>
  <c r="H68" i="15"/>
  <c r="H77" i="15" s="1"/>
  <c r="H134" i="15"/>
  <c r="H140" i="15" s="1"/>
  <c r="H133" i="15" a="1"/>
  <c r="H103" i="29"/>
  <c r="H91" i="29"/>
  <c r="E305" i="42"/>
  <c r="E304" i="42"/>
  <c r="E308" i="42" s="1"/>
  <c r="L224" i="38"/>
  <c r="L228" i="38" s="1"/>
  <c r="L223" i="38"/>
  <c r="L227" i="38" s="1"/>
  <c r="L225" i="38"/>
  <c r="L229" i="38" s="1"/>
  <c r="I37" i="29"/>
  <c r="I36" i="29"/>
  <c r="I37" i="19"/>
  <c r="I36" i="19"/>
  <c r="M16" i="42"/>
  <c r="M29" i="42" s="1"/>
  <c r="M44" i="42" s="1"/>
  <c r="M222" i="42" s="1"/>
  <c r="M14" i="42"/>
  <c r="M15" i="42"/>
  <c r="M28" i="42" s="1"/>
  <c r="M43" i="42" s="1"/>
  <c r="M17" i="42"/>
  <c r="M30" i="42" s="1"/>
  <c r="M45" i="42" s="1"/>
  <c r="M18" i="42"/>
  <c r="M31" i="42" s="1"/>
  <c r="M46" i="42" s="1"/>
  <c r="M237" i="42" s="1"/>
  <c r="N5" i="42"/>
  <c r="H240" i="19"/>
  <c r="H239" i="19"/>
  <c r="H251" i="19" s="1"/>
  <c r="J135" i="29"/>
  <c r="J34" i="29"/>
  <c r="K214" i="46"/>
  <c r="L89" i="45" s="1"/>
  <c r="K209" i="48"/>
  <c r="K211" i="46"/>
  <c r="K216" i="46" s="1"/>
  <c r="K213" i="46"/>
  <c r="K218" i="46" s="1"/>
  <c r="K212" i="46"/>
  <c r="K217" i="46" s="1"/>
  <c r="K210" i="46"/>
  <c r="K215" i="46" s="1"/>
  <c r="I76" i="42"/>
  <c r="I75" i="42"/>
  <c r="I79" i="42" s="1"/>
  <c r="I74" i="42"/>
  <c r="I78" i="42" s="1"/>
  <c r="I73" i="42"/>
  <c r="I77" i="42" s="1"/>
  <c r="L248" i="46"/>
  <c r="L253" i="46" s="1"/>
  <c r="L246" i="48"/>
  <c r="L249" i="46"/>
  <c r="L254" i="46" s="1"/>
  <c r="L247" i="46"/>
  <c r="L252" i="46" s="1"/>
  <c r="L250" i="46"/>
  <c r="L255" i="46" s="1"/>
  <c r="L251" i="46"/>
  <c r="M96" i="45" s="1"/>
  <c r="K202" i="38"/>
  <c r="K206" i="38" s="1"/>
  <c r="K203" i="38"/>
  <c r="L101" i="36" s="1"/>
  <c r="AR101" i="36" s="1"/>
  <c r="K200" i="38"/>
  <c r="K204" i="38" s="1"/>
  <c r="K201" i="38"/>
  <c r="K205" i="38" s="1"/>
  <c r="K209" i="42"/>
  <c r="K213" i="42" s="1"/>
  <c r="K208" i="42"/>
  <c r="K212" i="42" s="1"/>
  <c r="K211" i="42"/>
  <c r="K210" i="42"/>
  <c r="K214" i="42" s="1"/>
  <c r="D159" i="29"/>
  <c r="D158" i="29"/>
  <c r="D162" i="29" s="1"/>
  <c r="K139" i="38"/>
  <c r="K140" i="38"/>
  <c r="K138" i="38"/>
  <c r="K157" i="48"/>
  <c r="K161" i="46"/>
  <c r="K166" i="46" s="1"/>
  <c r="K159" i="46"/>
  <c r="K164" i="46" s="1"/>
  <c r="K160" i="46"/>
  <c r="K165" i="46" s="1"/>
  <c r="K158" i="46"/>
  <c r="K163" i="46" s="1"/>
  <c r="K162" i="46"/>
  <c r="L98" i="45" s="1"/>
  <c r="AR98" i="45" s="1"/>
  <c r="J220" i="48"/>
  <c r="J225" i="48" s="1"/>
  <c r="J222" i="48"/>
  <c r="J227" i="48" s="1"/>
  <c r="J224" i="48"/>
  <c r="J221" i="48"/>
  <c r="J226" i="48" s="1"/>
  <c r="J223" i="48"/>
  <c r="J228" i="48" s="1"/>
  <c r="L219" i="46"/>
  <c r="L209" i="46"/>
  <c r="L229" i="46"/>
  <c r="J148" i="48"/>
  <c r="J153" i="48" s="1"/>
  <c r="J151" i="48"/>
  <c r="J156" i="48" s="1"/>
  <c r="J152" i="48"/>
  <c r="J149" i="48"/>
  <c r="J154" i="48" s="1"/>
  <c r="J150" i="48"/>
  <c r="J155" i="48" s="1"/>
  <c r="K309" i="48"/>
  <c r="K34" i="48"/>
  <c r="G104" i="29"/>
  <c r="F137" i="29"/>
  <c r="F138" i="29" s="1"/>
  <c r="K149" i="46"/>
  <c r="K154" i="46" s="1"/>
  <c r="K148" i="46"/>
  <c r="K153" i="46" s="1"/>
  <c r="K152" i="46"/>
  <c r="L83" i="45" s="1"/>
  <c r="K147" i="48"/>
  <c r="K151" i="46"/>
  <c r="K156" i="46" s="1"/>
  <c r="K150" i="46"/>
  <c r="K155" i="46" s="1"/>
  <c r="M5" i="28"/>
  <c r="L17" i="28"/>
  <c r="L30" i="28" s="1"/>
  <c r="L18" i="28"/>
  <c r="L31" i="28" s="1"/>
  <c r="L15" i="28"/>
  <c r="L28" i="28" s="1"/>
  <c r="L46" i="28" s="1"/>
  <c r="L16" i="28"/>
  <c r="L29" i="28" s="1"/>
  <c r="L47" i="28" s="1"/>
  <c r="L14" i="28"/>
  <c r="M14" i="29"/>
  <c r="N5" i="29"/>
  <c r="M15" i="29"/>
  <c r="M28" i="29" s="1"/>
  <c r="M46" i="29" s="1"/>
  <c r="M16" i="29"/>
  <c r="M29" i="29" s="1"/>
  <c r="M47" i="29" s="1"/>
  <c r="M18" i="29"/>
  <c r="M31" i="29" s="1"/>
  <c r="M17" i="29"/>
  <c r="M30" i="29" s="1"/>
  <c r="J32" i="28"/>
  <c r="J45" i="28"/>
  <c r="F237" i="19"/>
  <c r="F241" i="19" s="1"/>
  <c r="F238" i="19"/>
  <c r="H184" i="28"/>
  <c r="H185" i="28" s="1"/>
  <c r="H161" i="28"/>
  <c r="I216" i="28"/>
  <c r="I53" i="29"/>
  <c r="I59" i="29"/>
  <c r="J44" i="16" s="1"/>
  <c r="J44" i="15"/>
  <c r="I57" i="29"/>
  <c r="I61" i="29"/>
  <c r="I60" i="29"/>
  <c r="I62" i="29"/>
  <c r="J62" i="16" s="1"/>
  <c r="J65" i="16" s="1"/>
  <c r="J139" i="16" s="1"/>
  <c r="I55" i="29"/>
  <c r="I52" i="29" s="1"/>
  <c r="I92" i="29" s="1"/>
  <c r="I63" i="29"/>
  <c r="J56" i="16" s="1"/>
  <c r="I50" i="28"/>
  <c r="I56" i="29"/>
  <c r="J56" i="15"/>
  <c r="I54" i="29"/>
  <c r="J62" i="15"/>
  <c r="J65" i="15" s="1"/>
  <c r="J139" i="15" s="1"/>
  <c r="K19" i="53"/>
  <c r="K27" i="53"/>
  <c r="K32" i="53" s="1"/>
  <c r="E178" i="29"/>
  <c r="L19" i="48"/>
  <c r="L275" i="48" s="1"/>
  <c r="L27" i="48"/>
  <c r="L32" i="48" s="1"/>
  <c r="H297" i="42"/>
  <c r="H299" i="42"/>
  <c r="H296" i="42"/>
  <c r="H298" i="42"/>
  <c r="G307" i="42"/>
  <c r="G306" i="42"/>
  <c r="K234" i="46"/>
  <c r="L108" i="45" s="1"/>
  <c r="AR108" i="45" s="1"/>
  <c r="K229" i="48"/>
  <c r="K232" i="46"/>
  <c r="K237" i="46" s="1"/>
  <c r="K231" i="46"/>
  <c r="K236" i="46" s="1"/>
  <c r="K230" i="46"/>
  <c r="K235" i="46" s="1"/>
  <c r="K233" i="46"/>
  <c r="K238" i="46" s="1"/>
  <c r="D175" i="29"/>
  <c r="D176" i="29" s="1"/>
  <c r="D178" i="29" s="1"/>
  <c r="D177" i="29"/>
  <c r="K209" i="38"/>
  <c r="K213" i="38" s="1"/>
  <c r="K211" i="38"/>
  <c r="K210" i="38"/>
  <c r="K214" i="38" s="1"/>
  <c r="K208" i="38"/>
  <c r="K212" i="38" s="1"/>
  <c r="I292" i="42"/>
  <c r="H57" i="55"/>
  <c r="I293" i="38"/>
  <c r="J80" i="55" s="1"/>
  <c r="I316" i="38"/>
  <c r="J249" i="42"/>
  <c r="J72" i="42"/>
  <c r="J47" i="42"/>
  <c r="J291" i="42" s="1"/>
  <c r="J80" i="42"/>
  <c r="J96" i="42"/>
  <c r="J104" i="42"/>
  <c r="D321" i="42"/>
  <c r="D322" i="42" s="1"/>
  <c r="D324" i="42" s="1"/>
  <c r="D323" i="42"/>
  <c r="I295" i="42"/>
  <c r="E304" i="38"/>
  <c r="E308" i="38" s="1"/>
  <c r="E305" i="38"/>
  <c r="J281" i="42"/>
  <c r="J34" i="42"/>
  <c r="J275" i="19"/>
  <c r="J276" i="19"/>
  <c r="J228" i="19"/>
  <c r="J224" i="19"/>
  <c r="J225" i="19"/>
  <c r="L48" i="15"/>
  <c r="L49" i="15" s="1"/>
  <c r="L136" i="15" s="1"/>
  <c r="K76" i="29"/>
  <c r="L58" i="16" s="1"/>
  <c r="K71" i="29"/>
  <c r="K70" i="29"/>
  <c r="K74" i="29"/>
  <c r="L48" i="16" s="1"/>
  <c r="L49" i="16" s="1"/>
  <c r="L136" i="16" s="1"/>
  <c r="K77" i="29"/>
  <c r="L45" i="16" s="1"/>
  <c r="K68" i="29"/>
  <c r="K78" i="29"/>
  <c r="L64" i="16" s="1"/>
  <c r="K69" i="29"/>
  <c r="K75" i="29"/>
  <c r="L58" i="15"/>
  <c r="K67" i="29"/>
  <c r="L45" i="15"/>
  <c r="K66" i="29"/>
  <c r="K65" i="29" s="1"/>
  <c r="L64" i="15"/>
  <c r="K73" i="29"/>
  <c r="I59" i="15"/>
  <c r="I135" i="15" s="1"/>
  <c r="I66" i="15"/>
  <c r="I149" i="28"/>
  <c r="I34" i="28"/>
  <c r="L191" i="38"/>
  <c r="L207" i="38"/>
  <c r="L199" i="38"/>
  <c r="I230" i="19"/>
  <c r="I229" i="19"/>
  <c r="I231" i="19"/>
  <c r="I232" i="19"/>
  <c r="H217" i="28"/>
  <c r="G151" i="28"/>
  <c r="L223" i="42"/>
  <c r="L227" i="42" s="1"/>
  <c r="L226" i="42"/>
  <c r="L224" i="42"/>
  <c r="L228" i="42" s="1"/>
  <c r="L225" i="42"/>
  <c r="L229" i="42" s="1"/>
  <c r="I246" i="42"/>
  <c r="K309" i="46"/>
  <c r="K34" i="46"/>
  <c r="L15" i="54"/>
  <c r="L28" i="54" s="1"/>
  <c r="L18" i="54"/>
  <c r="L31" i="54" s="1"/>
  <c r="L17" i="54"/>
  <c r="L30" i="54" s="1"/>
  <c r="L14" i="54"/>
  <c r="M5" i="54"/>
  <c r="L16" i="54"/>
  <c r="L29" i="54" s="1"/>
  <c r="L44" i="54" s="1"/>
  <c r="L150" i="54" s="1"/>
  <c r="L151" i="54" s="1"/>
  <c r="J170" i="48"/>
  <c r="J175" i="48" s="1"/>
  <c r="J169" i="48"/>
  <c r="J174" i="48" s="1"/>
  <c r="J172" i="48"/>
  <c r="J171" i="48"/>
  <c r="J176" i="48" s="1"/>
  <c r="J168" i="48"/>
  <c r="J173" i="48" s="1"/>
  <c r="F303" i="38"/>
  <c r="F302" i="38"/>
  <c r="H197" i="29"/>
  <c r="H196" i="29"/>
  <c r="J230" i="48"/>
  <c r="J235" i="48" s="1"/>
  <c r="J232" i="48"/>
  <c r="J237" i="48" s="1"/>
  <c r="J234" i="48"/>
  <c r="J233" i="48"/>
  <c r="J238" i="48" s="1"/>
  <c r="J231" i="48"/>
  <c r="J236" i="48" s="1"/>
  <c r="J34" i="19"/>
  <c r="J214" i="19"/>
  <c r="G163" i="28"/>
  <c r="G160" i="28"/>
  <c r="G162" i="28"/>
  <c r="K19" i="28"/>
  <c r="K118" i="28" s="1"/>
  <c r="K27" i="28"/>
  <c r="N5" i="19"/>
  <c r="M14" i="19"/>
  <c r="M17" i="19"/>
  <c r="M30" i="19" s="1"/>
  <c r="M48" i="19" s="1"/>
  <c r="M16" i="19"/>
  <c r="M29" i="19" s="1"/>
  <c r="M47" i="19" s="1"/>
  <c r="M15" i="19"/>
  <c r="M28" i="19" s="1"/>
  <c r="M46" i="19" s="1"/>
  <c r="M18" i="19"/>
  <c r="M31" i="19" s="1"/>
  <c r="M49" i="19" s="1"/>
  <c r="K164" i="42"/>
  <c r="K168" i="42" s="1"/>
  <c r="K162" i="42"/>
  <c r="K166" i="42" s="1"/>
  <c r="K165" i="42"/>
  <c r="K163" i="42"/>
  <c r="K167" i="42" s="1"/>
  <c r="H159" i="28"/>
  <c r="H210" i="28"/>
  <c r="H211" i="28"/>
  <c r="K83" i="29"/>
  <c r="K82" i="29" s="1"/>
  <c r="L15" i="53"/>
  <c r="L28" i="53" s="1"/>
  <c r="M5" i="53"/>
  <c r="L14" i="53"/>
  <c r="L17" i="53"/>
  <c r="L30" i="53" s="1"/>
  <c r="L18" i="53"/>
  <c r="L31" i="53" s="1"/>
  <c r="L16" i="53"/>
  <c r="L29" i="53" s="1"/>
  <c r="L44" i="53" s="1"/>
  <c r="L150" i="53" s="1"/>
  <c r="L151" i="53" s="1"/>
  <c r="M60" i="51" s="1"/>
  <c r="AS60" i="51" s="1"/>
  <c r="L137" i="38"/>
  <c r="L145" i="38"/>
  <c r="L161" i="38"/>
  <c r="L153" i="38"/>
  <c r="J210" i="48"/>
  <c r="J215" i="48" s="1"/>
  <c r="J212" i="48"/>
  <c r="J217" i="48" s="1"/>
  <c r="J213" i="48"/>
  <c r="J218" i="48" s="1"/>
  <c r="J211" i="48"/>
  <c r="J216" i="48" s="1"/>
  <c r="J214" i="48"/>
  <c r="BS57" i="55"/>
  <c r="F152" i="28"/>
  <c r="L199" i="42"/>
  <c r="L207" i="42"/>
  <c r="L191" i="42"/>
  <c r="F173" i="29"/>
  <c r="J34" i="54"/>
  <c r="J197" i="54"/>
  <c r="C183" i="29"/>
  <c r="C190" i="29" s="1"/>
  <c r="I293" i="42"/>
  <c r="I316" i="42"/>
  <c r="I317" i="42" s="1"/>
  <c r="K42" i="42"/>
  <c r="K32" i="42"/>
  <c r="F318" i="42"/>
  <c r="F319" i="42" s="1"/>
  <c r="F320" i="42"/>
  <c r="M17" i="46"/>
  <c r="M30" i="46" s="1"/>
  <c r="M45" i="46" s="1"/>
  <c r="N5" i="46"/>
  <c r="M15" i="46"/>
  <c r="M28" i="46" s="1"/>
  <c r="M43" i="46" s="1"/>
  <c r="M18" i="46"/>
  <c r="M31" i="46" s="1"/>
  <c r="M16" i="46"/>
  <c r="M29" i="46" s="1"/>
  <c r="M44" i="46" s="1"/>
  <c r="M246" i="46" s="1"/>
  <c r="M14" i="46"/>
  <c r="G235" i="19"/>
  <c r="G236" i="19"/>
  <c r="G300" i="38"/>
  <c r="G301" i="38"/>
  <c r="I246" i="38"/>
  <c r="H152" i="29"/>
  <c r="H153" i="29"/>
  <c r="H151" i="29"/>
  <c r="H150" i="29"/>
  <c r="K19" i="54"/>
  <c r="K27" i="54"/>
  <c r="K32" i="54" s="1"/>
  <c r="L19" i="19"/>
  <c r="L27" i="19"/>
  <c r="DA80" i="55"/>
  <c r="AO80" i="55"/>
  <c r="G300" i="42"/>
  <c r="G301" i="42"/>
  <c r="K223" i="46"/>
  <c r="K228" i="46" s="1"/>
  <c r="K222" i="46"/>
  <c r="K227" i="46" s="1"/>
  <c r="K220" i="46"/>
  <c r="K225" i="46" s="1"/>
  <c r="K219" i="48"/>
  <c r="K224" i="46"/>
  <c r="L99" i="45" s="1"/>
  <c r="AR99" i="45" s="1"/>
  <c r="K221" i="46"/>
  <c r="K226" i="46" s="1"/>
  <c r="K193" i="38"/>
  <c r="K197" i="38" s="1"/>
  <c r="K192" i="38"/>
  <c r="K196" i="38" s="1"/>
  <c r="K194" i="38"/>
  <c r="K198" i="38" s="1"/>
  <c r="D170" i="28"/>
  <c r="D171" i="28"/>
  <c r="K249" i="48"/>
  <c r="K254" i="48" s="1"/>
  <c r="K248" i="48"/>
  <c r="K253" i="48" s="1"/>
  <c r="K247" i="48"/>
  <c r="K252" i="48" s="1"/>
  <c r="K251" i="48"/>
  <c r="K250" i="48"/>
  <c r="K255" i="48" s="1"/>
  <c r="J182" i="48"/>
  <c r="J178" i="48"/>
  <c r="J183" i="48" s="1"/>
  <c r="J180" i="48"/>
  <c r="J185" i="48" s="1"/>
  <c r="J181" i="48"/>
  <c r="J186" i="48" s="1"/>
  <c r="J179" i="48"/>
  <c r="J184" i="48" s="1"/>
  <c r="G170" i="29"/>
  <c r="G171" i="29" s="1"/>
  <c r="G147" i="29"/>
  <c r="K146" i="42"/>
  <c r="K150" i="42" s="1"/>
  <c r="K147" i="42"/>
  <c r="K151" i="42" s="1"/>
  <c r="K149" i="42"/>
  <c r="K148" i="42"/>
  <c r="K152" i="42" s="1"/>
  <c r="J72" i="38"/>
  <c r="J73" i="38" s="1"/>
  <c r="J249" i="38"/>
  <c r="J96" i="38"/>
  <c r="J104" i="38"/>
  <c r="J80" i="38"/>
  <c r="J47" i="38"/>
  <c r="J291" i="38" s="1"/>
  <c r="J197" i="53"/>
  <c r="J34" i="53"/>
  <c r="I59" i="16"/>
  <c r="I135" i="16" s="1"/>
  <c r="I66" i="16"/>
  <c r="H298" i="38"/>
  <c r="H299" i="38"/>
  <c r="H297" i="38"/>
  <c r="H296" i="38"/>
  <c r="M16" i="38"/>
  <c r="M29" i="38" s="1"/>
  <c r="M44" i="38" s="1"/>
  <c r="M222" i="38" s="1"/>
  <c r="M17" i="38"/>
  <c r="M30" i="38" s="1"/>
  <c r="M45" i="38" s="1"/>
  <c r="N5" i="38"/>
  <c r="M18" i="38"/>
  <c r="M31" i="38" s="1"/>
  <c r="M46" i="38" s="1"/>
  <c r="M237" i="38" s="1"/>
  <c r="M14" i="38"/>
  <c r="M15" i="38"/>
  <c r="M28" i="38" s="1"/>
  <c r="M43" i="38" s="1"/>
  <c r="E177" i="29"/>
  <c r="M18" i="48"/>
  <c r="M31" i="48" s="1"/>
  <c r="M14" i="48"/>
  <c r="M15" i="48"/>
  <c r="M28" i="48" s="1"/>
  <c r="M43" i="48" s="1"/>
  <c r="M17" i="48"/>
  <c r="M30" i="48" s="1"/>
  <c r="M45" i="48" s="1"/>
  <c r="N5" i="48"/>
  <c r="M16" i="48"/>
  <c r="M29" i="48" s="1"/>
  <c r="M44" i="48" s="1"/>
  <c r="K32" i="29"/>
  <c r="K45" i="29"/>
  <c r="L137" i="42"/>
  <c r="L161" i="42"/>
  <c r="L153" i="42"/>
  <c r="L145" i="42"/>
  <c r="D304" i="38"/>
  <c r="D308" i="38" s="1"/>
  <c r="D305" i="38"/>
  <c r="H68" i="16"/>
  <c r="H134" i="16"/>
  <c r="H140" i="16" s="1"/>
  <c r="H133" i="16" a="1"/>
  <c r="H77" i="16"/>
  <c r="K42" i="38"/>
  <c r="K32" i="38"/>
  <c r="I97" i="42"/>
  <c r="I101" i="42" s="1"/>
  <c r="I99" i="42"/>
  <c r="I103" i="42" s="1"/>
  <c r="I98" i="42"/>
  <c r="I102" i="42" s="1"/>
  <c r="I100" i="42"/>
  <c r="L19" i="46"/>
  <c r="L275" i="46" s="1"/>
  <c r="L27" i="46"/>
  <c r="L32" i="46" s="1"/>
  <c r="M14" i="20"/>
  <c r="M18" i="20"/>
  <c r="M17" i="20"/>
  <c r="N5" i="20"/>
  <c r="M15" i="20"/>
  <c r="M16" i="20"/>
  <c r="K32" i="19"/>
  <c r="K45" i="19"/>
  <c r="K50" i="19" s="1"/>
  <c r="K85" i="45"/>
  <c r="K87" i="45"/>
  <c r="K86" i="45"/>
  <c r="AQ85" i="45"/>
  <c r="AQ86" i="45"/>
  <c r="AQ87" i="45"/>
  <c r="F287" i="42"/>
  <c r="F288" i="42"/>
  <c r="F285" i="42"/>
  <c r="F286" i="42"/>
  <c r="F290" i="42"/>
  <c r="F289" i="42"/>
  <c r="K146" i="38"/>
  <c r="K150" i="38" s="1"/>
  <c r="K149" i="38"/>
  <c r="L100" i="36" s="1"/>
  <c r="AR100" i="36" s="1"/>
  <c r="K148" i="38"/>
  <c r="K152" i="38" s="1"/>
  <c r="K147" i="38"/>
  <c r="K151" i="38" s="1"/>
  <c r="I67" i="16"/>
  <c r="I46" i="16"/>
  <c r="D304" i="42"/>
  <c r="D308" i="42" s="1"/>
  <c r="D305" i="42"/>
  <c r="CY57" i="55"/>
  <c r="AM57" i="55"/>
  <c r="F148" i="29"/>
  <c r="F303" i="42"/>
  <c r="F302" i="42"/>
  <c r="L83" i="29"/>
  <c r="L82" i="29" s="1"/>
  <c r="K156" i="42"/>
  <c r="K160" i="42" s="1"/>
  <c r="K155" i="42"/>
  <c r="K159" i="42" s="1"/>
  <c r="K157" i="42"/>
  <c r="K154" i="42"/>
  <c r="K158" i="42" s="1"/>
  <c r="J281" i="38"/>
  <c r="J34" i="38"/>
  <c r="F156" i="29"/>
  <c r="F157" i="29"/>
  <c r="L19" i="38"/>
  <c r="L247" i="38" s="1"/>
  <c r="L27" i="38"/>
  <c r="L238" i="42"/>
  <c r="L242" i="42" s="1"/>
  <c r="L239" i="42"/>
  <c r="L243" i="42" s="1"/>
  <c r="L241" i="42"/>
  <c r="L240" i="42"/>
  <c r="L244" i="42" s="1"/>
  <c r="E164" i="29"/>
  <c r="E163" i="29"/>
  <c r="E166" i="29"/>
  <c r="AL63" i="55" s="1"/>
  <c r="E168" i="29"/>
  <c r="AL65" i="55" s="1"/>
  <c r="E165" i="29"/>
  <c r="AL62" i="55" s="1"/>
  <c r="E167" i="29"/>
  <c r="AL64" i="55" s="1"/>
  <c r="I81" i="42"/>
  <c r="I85" i="42" s="1"/>
  <c r="I84" i="42"/>
  <c r="I82" i="42"/>
  <c r="I86" i="42" s="1"/>
  <c r="I83" i="42"/>
  <c r="I87" i="42" s="1"/>
  <c r="E158" i="28"/>
  <c r="BR65" i="55" s="1"/>
  <c r="E154" i="28"/>
  <c r="BR61" i="55" s="1"/>
  <c r="E156" i="28"/>
  <c r="BR63" i="55" s="1"/>
  <c r="E153" i="28"/>
  <c r="E157" i="28"/>
  <c r="BR64" i="55" s="1"/>
  <c r="E155" i="28"/>
  <c r="BR62" i="55" s="1"/>
  <c r="G160" i="29"/>
  <c r="G172" i="29" s="1"/>
  <c r="G161" i="29"/>
  <c r="L147" i="46"/>
  <c r="L177" i="46"/>
  <c r="L157" i="46"/>
  <c r="L167" i="46"/>
  <c r="K201" i="42"/>
  <c r="K205" i="42" s="1"/>
  <c r="K202" i="42"/>
  <c r="K206" i="42" s="1"/>
  <c r="K203" i="42"/>
  <c r="K200" i="42"/>
  <c r="K204" i="42" s="1"/>
  <c r="F178" i="28"/>
  <c r="F180" i="28"/>
  <c r="G63" i="55" s="1"/>
  <c r="F177" i="28"/>
  <c r="F181" i="28"/>
  <c r="G64" i="55" s="1"/>
  <c r="F179" i="28"/>
  <c r="G62" i="55" s="1"/>
  <c r="F182" i="28"/>
  <c r="G65" i="55" s="1"/>
  <c r="C196" i="28"/>
  <c r="C197" i="28" s="1"/>
  <c r="C206" i="28" s="1"/>
  <c r="D70" i="15" s="1"/>
  <c r="G283" i="42"/>
  <c r="G284" i="42" s="1"/>
  <c r="H250" i="42"/>
  <c r="K155" i="38"/>
  <c r="K159" i="38" s="1"/>
  <c r="K157" i="38"/>
  <c r="L79" i="36" s="1"/>
  <c r="AR79" i="36" s="1"/>
  <c r="K154" i="38"/>
  <c r="K158" i="38" s="1"/>
  <c r="K156" i="38"/>
  <c r="K160" i="38" s="1"/>
  <c r="H88" i="12"/>
  <c r="M88" i="12"/>
  <c r="C190" i="14"/>
  <c r="C97" i="15"/>
  <c r="D194" i="12"/>
  <c r="D200" i="12" s="1"/>
  <c r="C190" i="12"/>
  <c r="G173" i="29" l="1"/>
  <c r="C192" i="29"/>
  <c r="D70" i="16" s="1"/>
  <c r="K88" i="29"/>
  <c r="L61" i="15"/>
  <c r="E324" i="42"/>
  <c r="H312" i="38"/>
  <c r="I86" i="55" s="1"/>
  <c r="H314" i="38"/>
  <c r="I88" i="55" s="1"/>
  <c r="H309" i="38"/>
  <c r="H310" i="38"/>
  <c r="H313" i="38"/>
  <c r="I87" i="55" s="1"/>
  <c r="H311" i="38"/>
  <c r="I85" i="55" s="1"/>
  <c r="D189" i="28"/>
  <c r="D190" i="28" s="1"/>
  <c r="F178" i="29"/>
  <c r="H141" i="16"/>
  <c r="H142" i="16" s="1"/>
  <c r="J246" i="38"/>
  <c r="J246" i="42"/>
  <c r="L49" i="28"/>
  <c r="AJ58" i="55"/>
  <c r="D69" i="16"/>
  <c r="D71" i="16" s="1"/>
  <c r="AJ33" i="58" s="1"/>
  <c r="CV58" i="55"/>
  <c r="AJ61" i="55"/>
  <c r="C199" i="29"/>
  <c r="G302" i="38"/>
  <c r="G303" i="38"/>
  <c r="M19" i="19"/>
  <c r="M27" i="19"/>
  <c r="H283" i="42"/>
  <c r="H284" i="42" s="1"/>
  <c r="I250" i="42"/>
  <c r="L157" i="48"/>
  <c r="L159" i="46"/>
  <c r="L164" i="46" s="1"/>
  <c r="L162" i="46"/>
  <c r="M98" i="45" s="1"/>
  <c r="AS98" i="45" s="1"/>
  <c r="L161" i="46"/>
  <c r="L166" i="46" s="1"/>
  <c r="L160" i="46"/>
  <c r="L165" i="46" s="1"/>
  <c r="L158" i="46"/>
  <c r="L163" i="46" s="1"/>
  <c r="K104" i="38"/>
  <c r="K72" i="38"/>
  <c r="K73" i="38" s="1"/>
  <c r="K249" i="38"/>
  <c r="K47" i="38"/>
  <c r="K291" i="38" s="1"/>
  <c r="K96" i="38"/>
  <c r="K80" i="38"/>
  <c r="L155" i="42"/>
  <c r="L159" i="42" s="1"/>
  <c r="L157" i="42"/>
  <c r="L154" i="42"/>
  <c r="L158" i="42" s="1"/>
  <c r="L156" i="42"/>
  <c r="L160" i="42" s="1"/>
  <c r="M199" i="38"/>
  <c r="M191" i="38"/>
  <c r="M207" i="38"/>
  <c r="K221" i="48"/>
  <c r="K226" i="48" s="1"/>
  <c r="K222" i="48"/>
  <c r="K227" i="48" s="1"/>
  <c r="K220" i="48"/>
  <c r="K225" i="48" s="1"/>
  <c r="K224" i="48"/>
  <c r="K223" i="48"/>
  <c r="K228" i="48" s="1"/>
  <c r="L32" i="19"/>
  <c r="L45" i="19"/>
  <c r="L50" i="19" s="1"/>
  <c r="H154" i="29"/>
  <c r="H155" i="29"/>
  <c r="L192" i="42"/>
  <c r="L196" i="42" s="1"/>
  <c r="L194" i="42"/>
  <c r="L198" i="42" s="1"/>
  <c r="L193" i="42"/>
  <c r="L197" i="42" s="1"/>
  <c r="L195" i="42"/>
  <c r="H163" i="28"/>
  <c r="H162" i="28"/>
  <c r="H160" i="28"/>
  <c r="G167" i="28"/>
  <c r="G166" i="28"/>
  <c r="G164" i="28"/>
  <c r="G165" i="28"/>
  <c r="BT57" i="55"/>
  <c r="G152" i="28"/>
  <c r="L192" i="38"/>
  <c r="L196" i="38" s="1"/>
  <c r="L194" i="38"/>
  <c r="L198" i="38" s="1"/>
  <c r="L193" i="38"/>
  <c r="L197" i="38" s="1"/>
  <c r="D182" i="29"/>
  <c r="G318" i="42"/>
  <c r="G319" i="42" s="1"/>
  <c r="G320" i="42"/>
  <c r="G323" i="42" s="1"/>
  <c r="J67" i="15"/>
  <c r="J46" i="15"/>
  <c r="J216" i="28"/>
  <c r="J53" i="29"/>
  <c r="K44" i="15"/>
  <c r="J60" i="29"/>
  <c r="J57" i="29"/>
  <c r="J61" i="29"/>
  <c r="J62" i="29"/>
  <c r="K62" i="16" s="1"/>
  <c r="K65" i="16" s="1"/>
  <c r="K139" i="16" s="1"/>
  <c r="J50" i="28"/>
  <c r="J54" i="29"/>
  <c r="J55" i="29"/>
  <c r="J52" i="29" s="1"/>
  <c r="J92" i="29" s="1"/>
  <c r="J56" i="29"/>
  <c r="J63" i="29"/>
  <c r="K56" i="16" s="1"/>
  <c r="K62" i="15"/>
  <c r="K65" i="15" s="1"/>
  <c r="K139" i="15" s="1"/>
  <c r="J59" i="29"/>
  <c r="K44" i="16" s="1"/>
  <c r="K56" i="15"/>
  <c r="L19" i="28"/>
  <c r="L118" i="28" s="1"/>
  <c r="L27" i="28"/>
  <c r="K150" i="48"/>
  <c r="K155" i="48" s="1"/>
  <c r="K152" i="48"/>
  <c r="K149" i="48"/>
  <c r="K154" i="48" s="1"/>
  <c r="K148" i="48"/>
  <c r="K153" i="48" s="1"/>
  <c r="K151" i="48"/>
  <c r="K156" i="48" s="1"/>
  <c r="L209" i="48"/>
  <c r="L214" i="46"/>
  <c r="M89" i="45" s="1"/>
  <c r="L213" i="46"/>
  <c r="L218" i="46" s="1"/>
  <c r="L212" i="46"/>
  <c r="L217" i="46" s="1"/>
  <c r="L211" i="46"/>
  <c r="L216" i="46" s="1"/>
  <c r="L210" i="46"/>
  <c r="L215" i="46" s="1"/>
  <c r="M240" i="42"/>
  <c r="M244" i="42" s="1"/>
  <c r="M238" i="42"/>
  <c r="M242" i="42" s="1"/>
  <c r="M239" i="42"/>
  <c r="M243" i="42" s="1"/>
  <c r="M241" i="42"/>
  <c r="G156" i="29"/>
  <c r="G157" i="29"/>
  <c r="L42" i="42"/>
  <c r="L32" i="42"/>
  <c r="D196" i="28"/>
  <c r="D197" i="28" s="1"/>
  <c r="D204" i="28" s="1"/>
  <c r="L151" i="46"/>
  <c r="L156" i="46" s="1"/>
  <c r="L150" i="46"/>
  <c r="L155" i="46" s="1"/>
  <c r="L148" i="46"/>
  <c r="L153" i="46" s="1"/>
  <c r="L152" i="46"/>
  <c r="M83" i="45" s="1"/>
  <c r="L147" i="48"/>
  <c r="L149" i="46"/>
  <c r="L154" i="46" s="1"/>
  <c r="K214" i="19"/>
  <c r="K34" i="19"/>
  <c r="L19" i="53"/>
  <c r="L27" i="53"/>
  <c r="L32" i="53" s="1"/>
  <c r="M48" i="15"/>
  <c r="M49" i="15" s="1"/>
  <c r="M136" i="15" s="1"/>
  <c r="L75" i="29"/>
  <c r="L71" i="29"/>
  <c r="M58" i="15"/>
  <c r="L74" i="29"/>
  <c r="M48" i="16" s="1"/>
  <c r="M49" i="16" s="1"/>
  <c r="M136" i="16" s="1"/>
  <c r="L73" i="29"/>
  <c r="M45" i="15"/>
  <c r="L68" i="29"/>
  <c r="L69" i="29"/>
  <c r="L77" i="29"/>
  <c r="M45" i="16" s="1"/>
  <c r="L66" i="29"/>
  <c r="L65" i="29" s="1"/>
  <c r="L76" i="29"/>
  <c r="M58" i="16" s="1"/>
  <c r="L70" i="29"/>
  <c r="L67" i="29"/>
  <c r="M64" i="15"/>
  <c r="L78" i="29"/>
  <c r="M64" i="16" s="1"/>
  <c r="H235" i="19"/>
  <c r="H236" i="19"/>
  <c r="G285" i="42"/>
  <c r="G286" i="42"/>
  <c r="G290" i="42"/>
  <c r="G289" i="42"/>
  <c r="G288" i="42"/>
  <c r="G287" i="42"/>
  <c r="L180" i="46"/>
  <c r="L185" i="46" s="1"/>
  <c r="L182" i="46"/>
  <c r="M107" i="45" s="1"/>
  <c r="AS107" i="45" s="1"/>
  <c r="L177" i="48"/>
  <c r="L181" i="46"/>
  <c r="L186" i="46" s="1"/>
  <c r="L179" i="46"/>
  <c r="L184" i="46" s="1"/>
  <c r="L178" i="46"/>
  <c r="L183" i="46" s="1"/>
  <c r="F165" i="29"/>
  <c r="AM62" i="55" s="1"/>
  <c r="F163" i="29"/>
  <c r="F164" i="29"/>
  <c r="F166" i="29"/>
  <c r="AM63" i="55" s="1"/>
  <c r="F168" i="29"/>
  <c r="AM65" i="55" s="1"/>
  <c r="F167" i="29"/>
  <c r="AM64" i="55" s="1"/>
  <c r="K228" i="19"/>
  <c r="K224" i="19"/>
  <c r="K225" i="19"/>
  <c r="K275" i="19"/>
  <c r="K276" i="19"/>
  <c r="L309" i="46"/>
  <c r="L34" i="46"/>
  <c r="L162" i="42"/>
  <c r="L166" i="42" s="1"/>
  <c r="L163" i="42"/>
  <c r="L167" i="42" s="1"/>
  <c r="L164" i="42"/>
  <c r="L168" i="42" s="1"/>
  <c r="L165" i="42"/>
  <c r="M19" i="48"/>
  <c r="M275" i="48" s="1"/>
  <c r="M27" i="48"/>
  <c r="M32" i="48" s="1"/>
  <c r="M224" i="38"/>
  <c r="M228" i="38" s="1"/>
  <c r="M225" i="38"/>
  <c r="M229" i="38" s="1"/>
  <c r="M223" i="38"/>
  <c r="M227" i="38" s="1"/>
  <c r="M147" i="46"/>
  <c r="M157" i="46"/>
  <c r="M177" i="46"/>
  <c r="M167" i="46"/>
  <c r="DB80" i="55"/>
  <c r="AP80" i="55"/>
  <c r="L210" i="42"/>
  <c r="L214" i="42" s="1"/>
  <c r="L211" i="42"/>
  <c r="L209" i="42"/>
  <c r="L213" i="42" s="1"/>
  <c r="L208" i="42"/>
  <c r="L212" i="42" s="1"/>
  <c r="I217" i="28"/>
  <c r="H151" i="28"/>
  <c r="I37" i="28"/>
  <c r="I36" i="28"/>
  <c r="I159" i="28"/>
  <c r="I211" i="28"/>
  <c r="I210" i="28"/>
  <c r="J67" i="16"/>
  <c r="J46" i="16"/>
  <c r="J34" i="28"/>
  <c r="J149" i="28"/>
  <c r="M55" i="15"/>
  <c r="L85" i="29"/>
  <c r="M55" i="16" s="1"/>
  <c r="L219" i="48"/>
  <c r="L223" i="46"/>
  <c r="L228" i="46" s="1"/>
  <c r="L222" i="46"/>
  <c r="L227" i="46" s="1"/>
  <c r="L221" i="46"/>
  <c r="L226" i="46" s="1"/>
  <c r="L220" i="46"/>
  <c r="L225" i="46" s="1"/>
  <c r="L224" i="46"/>
  <c r="M99" i="45" s="1"/>
  <c r="AS99" i="45" s="1"/>
  <c r="K213" i="48"/>
  <c r="K218" i="48" s="1"/>
  <c r="K210" i="48"/>
  <c r="K215" i="48" s="1"/>
  <c r="K211" i="48"/>
  <c r="K216" i="48" s="1"/>
  <c r="K212" i="48"/>
  <c r="K217" i="48" s="1"/>
  <c r="K214" i="48"/>
  <c r="M207" i="42"/>
  <c r="M191" i="42"/>
  <c r="M199" i="42"/>
  <c r="H141" i="15"/>
  <c r="H142" i="15" s="1"/>
  <c r="I294" i="38"/>
  <c r="E186" i="28"/>
  <c r="E187" i="28" s="1"/>
  <c r="E188" i="28"/>
  <c r="D173" i="28"/>
  <c r="D172" i="28"/>
  <c r="D176" i="28" s="1"/>
  <c r="K50" i="29"/>
  <c r="K145" i="29" s="1"/>
  <c r="E182" i="29"/>
  <c r="J295" i="38"/>
  <c r="J292" i="38"/>
  <c r="K34" i="54"/>
  <c r="K197" i="54"/>
  <c r="M229" i="46"/>
  <c r="M209" i="46"/>
  <c r="M219" i="46"/>
  <c r="F154" i="28"/>
  <c r="BS61" i="55" s="1"/>
  <c r="F155" i="28"/>
  <c r="BS62" i="55" s="1"/>
  <c r="F153" i="28"/>
  <c r="F157" i="28"/>
  <c r="BS64" i="55" s="1"/>
  <c r="F158" i="28"/>
  <c r="BS65" i="55" s="1"/>
  <c r="F156" i="28"/>
  <c r="BS63" i="55" s="1"/>
  <c r="L157" i="38"/>
  <c r="M79" i="36" s="1"/>
  <c r="AS79" i="36" s="1"/>
  <c r="L154" i="38"/>
  <c r="L158" i="38" s="1"/>
  <c r="L155" i="38"/>
  <c r="L159" i="38" s="1"/>
  <c r="L156" i="38"/>
  <c r="L160" i="38" s="1"/>
  <c r="M15" i="53"/>
  <c r="M28" i="53" s="1"/>
  <c r="M18" i="53"/>
  <c r="M31" i="53" s="1"/>
  <c r="M16" i="53"/>
  <c r="M29" i="53" s="1"/>
  <c r="M44" i="53" s="1"/>
  <c r="M150" i="53" s="1"/>
  <c r="M151" i="53" s="1"/>
  <c r="N60" i="51" s="1"/>
  <c r="AT60" i="51" s="1"/>
  <c r="N5" i="53"/>
  <c r="M14" i="53"/>
  <c r="M17" i="53"/>
  <c r="M30" i="53" s="1"/>
  <c r="O5" i="19"/>
  <c r="N15" i="19"/>
  <c r="N28" i="19" s="1"/>
  <c r="N46" i="19" s="1"/>
  <c r="N18" i="19"/>
  <c r="N31" i="19" s="1"/>
  <c r="N49" i="19" s="1"/>
  <c r="N14" i="19"/>
  <c r="N16" i="19"/>
  <c r="N29" i="19" s="1"/>
  <c r="N47" i="19" s="1"/>
  <c r="N17" i="19"/>
  <c r="N30" i="19" s="1"/>
  <c r="N48" i="19" s="1"/>
  <c r="L19" i="54"/>
  <c r="L27" i="54"/>
  <c r="L32" i="54" s="1"/>
  <c r="I233" i="19"/>
  <c r="I234" i="19"/>
  <c r="J98" i="42"/>
  <c r="J102" i="42" s="1"/>
  <c r="J97" i="42"/>
  <c r="J101" i="42" s="1"/>
  <c r="J100" i="42"/>
  <c r="J99" i="42"/>
  <c r="J103" i="42" s="1"/>
  <c r="I184" i="28"/>
  <c r="I185" i="28" s="1"/>
  <c r="I161" i="28"/>
  <c r="M49" i="29"/>
  <c r="J37" i="29"/>
  <c r="J36" i="29"/>
  <c r="M19" i="42"/>
  <c r="M247" i="42" s="1"/>
  <c r="M27" i="42"/>
  <c r="L32" i="29"/>
  <c r="L45" i="29"/>
  <c r="I298" i="38"/>
  <c r="I297" i="38"/>
  <c r="I296" i="38"/>
  <c r="I299" i="38"/>
  <c r="L138" i="42"/>
  <c r="L142" i="42" s="1"/>
  <c r="L139" i="42"/>
  <c r="L143" i="42" s="1"/>
  <c r="L140" i="42"/>
  <c r="L144" i="42" s="1"/>
  <c r="L141" i="42"/>
  <c r="N17" i="46"/>
  <c r="N30" i="46" s="1"/>
  <c r="N45" i="46" s="1"/>
  <c r="N18" i="46"/>
  <c r="N31" i="46" s="1"/>
  <c r="O5" i="46"/>
  <c r="N15" i="46"/>
  <c r="N28" i="46" s="1"/>
  <c r="N43" i="46" s="1"/>
  <c r="N14" i="46"/>
  <c r="N16" i="46"/>
  <c r="N29" i="46" s="1"/>
  <c r="N44" i="46" s="1"/>
  <c r="N246" i="46" s="1"/>
  <c r="F304" i="38"/>
  <c r="F308" i="38" s="1"/>
  <c r="F305" i="38"/>
  <c r="K34" i="53"/>
  <c r="K197" i="53"/>
  <c r="M137" i="42"/>
  <c r="M161" i="42"/>
  <c r="M145" i="42"/>
  <c r="M153" i="42"/>
  <c r="C204" i="28"/>
  <c r="K34" i="29"/>
  <c r="K135" i="29"/>
  <c r="M137" i="38"/>
  <c r="M161" i="38"/>
  <c r="M153" i="38"/>
  <c r="M145" i="38"/>
  <c r="H307" i="38"/>
  <c r="H306" i="38"/>
  <c r="H318" i="38" s="1"/>
  <c r="G302" i="42"/>
  <c r="G303" i="42"/>
  <c r="F321" i="42"/>
  <c r="F322" i="42" s="1"/>
  <c r="F324" i="42" s="1"/>
  <c r="F323" i="42"/>
  <c r="L164" i="38"/>
  <c r="L168" i="38" s="1"/>
  <c r="L165" i="38"/>
  <c r="M109" i="36" s="1"/>
  <c r="AS109" i="36" s="1"/>
  <c r="L162" i="38"/>
  <c r="L166" i="38" s="1"/>
  <c r="L163" i="38"/>
  <c r="L167" i="38" s="1"/>
  <c r="K32" i="28"/>
  <c r="K45" i="28"/>
  <c r="J83" i="42"/>
  <c r="J87" i="42" s="1"/>
  <c r="J82" i="42"/>
  <c r="J86" i="42" s="1"/>
  <c r="J84" i="42"/>
  <c r="J81" i="42"/>
  <c r="J85" i="42" s="1"/>
  <c r="H306" i="42"/>
  <c r="H307" i="42"/>
  <c r="I117" i="28"/>
  <c r="I57" i="55"/>
  <c r="K160" i="48"/>
  <c r="K165" i="48" s="1"/>
  <c r="K158" i="48"/>
  <c r="K163" i="48" s="1"/>
  <c r="K162" i="48"/>
  <c r="K159" i="48"/>
  <c r="K164" i="48" s="1"/>
  <c r="K161" i="48"/>
  <c r="K166" i="48" s="1"/>
  <c r="M224" i="42"/>
  <c r="M228" i="42" s="1"/>
  <c r="M223" i="42"/>
  <c r="M227" i="42" s="1"/>
  <c r="M226" i="42"/>
  <c r="M225" i="42"/>
  <c r="M229" i="42" s="1"/>
  <c r="L42" i="38"/>
  <c r="L32" i="38"/>
  <c r="J37" i="19"/>
  <c r="J36" i="19"/>
  <c r="H301" i="42"/>
  <c r="H300" i="42"/>
  <c r="L87" i="45"/>
  <c r="L85" i="45"/>
  <c r="AR85" i="45"/>
  <c r="AR86" i="45"/>
  <c r="AR87" i="45"/>
  <c r="L86" i="45"/>
  <c r="F158" i="29"/>
  <c r="F162" i="29" s="1"/>
  <c r="F159" i="29"/>
  <c r="O5" i="20"/>
  <c r="N16" i="20"/>
  <c r="N15" i="20"/>
  <c r="N14" i="20"/>
  <c r="N18" i="20"/>
  <c r="N17" i="20"/>
  <c r="M19" i="38"/>
  <c r="M247" i="38" s="1"/>
  <c r="M27" i="38"/>
  <c r="H301" i="38"/>
  <c r="H300" i="38"/>
  <c r="CZ57" i="55"/>
  <c r="AN57" i="55"/>
  <c r="G148" i="29"/>
  <c r="G238" i="19"/>
  <c r="G237" i="19"/>
  <c r="G241" i="19" s="1"/>
  <c r="L149" i="38"/>
  <c r="M100" i="36" s="1"/>
  <c r="AS100" i="36" s="1"/>
  <c r="L146" i="38"/>
  <c r="L150" i="38" s="1"/>
  <c r="L147" i="38"/>
  <c r="L151" i="38" s="1"/>
  <c r="L148" i="38"/>
  <c r="L152" i="38" s="1"/>
  <c r="I294" i="42"/>
  <c r="J292" i="42"/>
  <c r="J295" i="42"/>
  <c r="M15" i="28"/>
  <c r="M28" i="28" s="1"/>
  <c r="M46" i="28" s="1"/>
  <c r="M14" i="28"/>
  <c r="M16" i="28"/>
  <c r="M29" i="28" s="1"/>
  <c r="M47" i="28" s="1"/>
  <c r="N5" i="28"/>
  <c r="M17" i="28"/>
  <c r="M30" i="28" s="1"/>
  <c r="M18" i="28"/>
  <c r="M31" i="28" s="1"/>
  <c r="F139" i="29"/>
  <c r="F141" i="29"/>
  <c r="F143" i="29"/>
  <c r="F140" i="29"/>
  <c r="F142" i="29"/>
  <c r="F144" i="29"/>
  <c r="K181" i="48"/>
  <c r="K186" i="48" s="1"/>
  <c r="K180" i="48"/>
  <c r="K185" i="48" s="1"/>
  <c r="K182" i="48"/>
  <c r="K179" i="48"/>
  <c r="K184" i="48" s="1"/>
  <c r="K178" i="48"/>
  <c r="K183" i="48" s="1"/>
  <c r="K169" i="48"/>
  <c r="K174" i="48" s="1"/>
  <c r="K168" i="48"/>
  <c r="K173" i="48" s="1"/>
  <c r="K171" i="48"/>
  <c r="K176" i="48" s="1"/>
  <c r="K170" i="48"/>
  <c r="K175" i="48" s="1"/>
  <c r="K172" i="48"/>
  <c r="F177" i="29"/>
  <c r="L203" i="42"/>
  <c r="L200" i="42"/>
  <c r="L204" i="42" s="1"/>
  <c r="L201" i="42"/>
  <c r="L205" i="42" s="1"/>
  <c r="L202" i="42"/>
  <c r="L206" i="42" s="1"/>
  <c r="M18" i="54"/>
  <c r="M31" i="54" s="1"/>
  <c r="M15" i="54"/>
  <c r="M28" i="54" s="1"/>
  <c r="M17" i="54"/>
  <c r="M30" i="54" s="1"/>
  <c r="M14" i="54"/>
  <c r="N5" i="54"/>
  <c r="M16" i="54"/>
  <c r="M29" i="54" s="1"/>
  <c r="M44" i="54" s="1"/>
  <c r="M150" i="54" s="1"/>
  <c r="M151" i="54" s="1"/>
  <c r="J107" i="42"/>
  <c r="J111" i="42" s="1"/>
  <c r="J108" i="42"/>
  <c r="J106" i="42"/>
  <c r="J110" i="42" s="1"/>
  <c r="J105" i="42"/>
  <c r="J109" i="42" s="1"/>
  <c r="I133" i="16" a="1"/>
  <c r="I134" i="16"/>
  <c r="I140" i="16" s="1"/>
  <c r="I68" i="16"/>
  <c r="I77" i="16"/>
  <c r="O5" i="48"/>
  <c r="N17" i="48"/>
  <c r="N30" i="48" s="1"/>
  <c r="N45" i="48" s="1"/>
  <c r="N14" i="48"/>
  <c r="N18" i="48"/>
  <c r="N31" i="48" s="1"/>
  <c r="N15" i="48"/>
  <c r="N28" i="48" s="1"/>
  <c r="N43" i="48" s="1"/>
  <c r="N16" i="48"/>
  <c r="N29" i="48" s="1"/>
  <c r="N44" i="48" s="1"/>
  <c r="M239" i="38"/>
  <c r="M243" i="38" s="1"/>
  <c r="M240" i="38"/>
  <c r="M244" i="38" s="1"/>
  <c r="M238" i="38"/>
  <c r="M242" i="38" s="1"/>
  <c r="G174" i="29"/>
  <c r="G175" i="29" s="1"/>
  <c r="G176" i="29" s="1"/>
  <c r="M27" i="46"/>
  <c r="M32" i="46" s="1"/>
  <c r="M19" i="46"/>
  <c r="M275" i="46" s="1"/>
  <c r="K281" i="42"/>
  <c r="K34" i="42"/>
  <c r="L139" i="38"/>
  <c r="L138" i="38"/>
  <c r="L140" i="38"/>
  <c r="G179" i="28"/>
  <c r="H62" i="55" s="1"/>
  <c r="G181" i="28"/>
  <c r="H64" i="55" s="1"/>
  <c r="G177" i="28"/>
  <c r="G180" i="28"/>
  <c r="H63" i="55" s="1"/>
  <c r="G178" i="28"/>
  <c r="G182" i="28"/>
  <c r="H65" i="55" s="1"/>
  <c r="L201" i="38"/>
  <c r="L205" i="38" s="1"/>
  <c r="L203" i="38"/>
  <c r="M101" i="36" s="1"/>
  <c r="AS101" i="36" s="1"/>
  <c r="L200" i="38"/>
  <c r="L204" i="38" s="1"/>
  <c r="L202" i="38"/>
  <c r="L206" i="38" s="1"/>
  <c r="J230" i="19"/>
  <c r="J231" i="19"/>
  <c r="J232" i="19"/>
  <c r="J229" i="19"/>
  <c r="I296" i="42"/>
  <c r="I299" i="42"/>
  <c r="I297" i="42"/>
  <c r="I298" i="42"/>
  <c r="J74" i="42"/>
  <c r="J78" i="42" s="1"/>
  <c r="J75" i="42"/>
  <c r="J79" i="42" s="1"/>
  <c r="J73" i="42"/>
  <c r="J77" i="42" s="1"/>
  <c r="J76" i="42"/>
  <c r="K232" i="48"/>
  <c r="K237" i="48" s="1"/>
  <c r="K231" i="48"/>
  <c r="K236" i="48" s="1"/>
  <c r="K233" i="48"/>
  <c r="K238" i="48" s="1"/>
  <c r="K234" i="48"/>
  <c r="K230" i="48"/>
  <c r="K235" i="48" s="1"/>
  <c r="I103" i="29"/>
  <c r="I91" i="29"/>
  <c r="N15" i="29"/>
  <c r="N28" i="29" s="1"/>
  <c r="N46" i="29" s="1"/>
  <c r="N14" i="29"/>
  <c r="N17" i="29"/>
  <c r="N30" i="29" s="1"/>
  <c r="N16" i="29"/>
  <c r="N29" i="29" s="1"/>
  <c r="N47" i="29" s="1"/>
  <c r="O5" i="29"/>
  <c r="N18" i="29"/>
  <c r="N31" i="29" s="1"/>
  <c r="N49" i="29" s="1"/>
  <c r="H104" i="29"/>
  <c r="G137" i="29"/>
  <c r="G138" i="29" s="1"/>
  <c r="F175" i="28"/>
  <c r="F174" i="28"/>
  <c r="I134" i="15"/>
  <c r="I140" i="15" s="1"/>
  <c r="I133" i="15" a="1"/>
  <c r="I141" i="15" s="1"/>
  <c r="I142" i="15" s="1"/>
  <c r="I68" i="15"/>
  <c r="I77" i="15" s="1"/>
  <c r="I153" i="29"/>
  <c r="I151" i="29"/>
  <c r="I152" i="29"/>
  <c r="I150" i="29"/>
  <c r="I239" i="19"/>
  <c r="I251" i="19" s="1"/>
  <c r="I240" i="19"/>
  <c r="J59" i="16"/>
  <c r="J135" i="16" s="1"/>
  <c r="J66" i="16"/>
  <c r="L171" i="46"/>
  <c r="L176" i="46" s="1"/>
  <c r="L169" i="46"/>
  <c r="L174" i="46" s="1"/>
  <c r="L170" i="46"/>
  <c r="L175" i="46" s="1"/>
  <c r="L168" i="46"/>
  <c r="L173" i="46" s="1"/>
  <c r="L167" i="48"/>
  <c r="L172" i="46"/>
  <c r="M77" i="45" s="1"/>
  <c r="AS77" i="45" s="1"/>
  <c r="F304" i="42"/>
  <c r="F308" i="42" s="1"/>
  <c r="F305" i="42"/>
  <c r="K34" i="38"/>
  <c r="K281" i="38"/>
  <c r="L146" i="42"/>
  <c r="L150" i="42" s="1"/>
  <c r="L147" i="42"/>
  <c r="L151" i="42" s="1"/>
  <c r="L149" i="42"/>
  <c r="L148" i="42"/>
  <c r="L152" i="42" s="1"/>
  <c r="N15" i="38"/>
  <c r="N28" i="38" s="1"/>
  <c r="N43" i="38" s="1"/>
  <c r="N14" i="38"/>
  <c r="N17" i="38"/>
  <c r="N30" i="38" s="1"/>
  <c r="N45" i="38" s="1"/>
  <c r="N18" i="38"/>
  <c r="N31" i="38" s="1"/>
  <c r="N46" i="38" s="1"/>
  <c r="N237" i="38" s="1"/>
  <c r="N16" i="38"/>
  <c r="N29" i="38" s="1"/>
  <c r="N44" i="38" s="1"/>
  <c r="N222" i="38" s="1"/>
  <c r="O5" i="38"/>
  <c r="J293" i="38"/>
  <c r="K80" i="55" s="1"/>
  <c r="J316" i="38"/>
  <c r="H161" i="29"/>
  <c r="H160" i="29"/>
  <c r="H172" i="29" s="1"/>
  <c r="M250" i="46"/>
  <c r="M255" i="46" s="1"/>
  <c r="M248" i="46"/>
  <c r="M253" i="46" s="1"/>
  <c r="M246" i="48"/>
  <c r="M251" i="46"/>
  <c r="N96" i="45" s="1"/>
  <c r="M249" i="46"/>
  <c r="M254" i="46" s="1"/>
  <c r="M247" i="46"/>
  <c r="M252" i="46" s="1"/>
  <c r="K249" i="42"/>
  <c r="K96" i="42"/>
  <c r="K47" i="42"/>
  <c r="K291" i="42" s="1"/>
  <c r="K80" i="42"/>
  <c r="K104" i="42"/>
  <c r="K72" i="42"/>
  <c r="L209" i="38"/>
  <c r="L213" i="38" s="1"/>
  <c r="L208" i="38"/>
  <c r="L212" i="38" s="1"/>
  <c r="L211" i="38"/>
  <c r="L210" i="38"/>
  <c r="L214" i="38" s="1"/>
  <c r="D328" i="42"/>
  <c r="J293" i="42"/>
  <c r="J316" i="42"/>
  <c r="J317" i="42" s="1"/>
  <c r="L34" i="48"/>
  <c r="L309" i="48"/>
  <c r="J59" i="15"/>
  <c r="J135" i="15" s="1"/>
  <c r="J66" i="15"/>
  <c r="M19" i="29"/>
  <c r="M27" i="29"/>
  <c r="L229" i="48"/>
  <c r="L234" i="46"/>
  <c r="M108" i="45" s="1"/>
  <c r="AS108" i="45" s="1"/>
  <c r="L232" i="46"/>
  <c r="L237" i="46" s="1"/>
  <c r="L233" i="46"/>
  <c r="L238" i="46" s="1"/>
  <c r="L230" i="46"/>
  <c r="L235" i="46" s="1"/>
  <c r="L231" i="46"/>
  <c r="L236" i="46" s="1"/>
  <c r="L250" i="48"/>
  <c r="L255" i="48" s="1"/>
  <c r="L248" i="48"/>
  <c r="L253" i="48" s="1"/>
  <c r="L247" i="48"/>
  <c r="L252" i="48" s="1"/>
  <c r="L249" i="48"/>
  <c r="L254" i="48" s="1"/>
  <c r="L251" i="48"/>
  <c r="N15" i="42"/>
  <c r="N28" i="42" s="1"/>
  <c r="N43" i="42" s="1"/>
  <c r="N14" i="42"/>
  <c r="O5" i="42"/>
  <c r="N17" i="42"/>
  <c r="N30" i="42" s="1"/>
  <c r="N45" i="42" s="1"/>
  <c r="N18" i="42"/>
  <c r="N31" i="42" s="1"/>
  <c r="N46" i="42" s="1"/>
  <c r="N237" i="42" s="1"/>
  <c r="N16" i="42"/>
  <c r="N29" i="42" s="1"/>
  <c r="N44" i="42" s="1"/>
  <c r="N222" i="42" s="1"/>
  <c r="I197" i="29"/>
  <c r="I196" i="29"/>
  <c r="H170" i="29"/>
  <c r="H171" i="29" s="1"/>
  <c r="H147" i="29"/>
  <c r="AJ81" i="55"/>
  <c r="CV81" i="55"/>
  <c r="C340" i="42"/>
  <c r="AJ84" i="55"/>
  <c r="C345" i="42"/>
  <c r="F168" i="28"/>
  <c r="F169" i="28"/>
  <c r="E329" i="42"/>
  <c r="E338" i="42" s="1"/>
  <c r="J149" i="29"/>
  <c r="J146" i="29"/>
  <c r="E171" i="28"/>
  <c r="E170" i="28"/>
  <c r="C31" i="20"/>
  <c r="C49" i="20" s="1"/>
  <c r="C214" i="20" s="1"/>
  <c r="D135" i="12" s="1"/>
  <c r="C329" i="20"/>
  <c r="C328" i="20"/>
  <c r="C326" i="20"/>
  <c r="L61" i="16" l="1"/>
  <c r="K87" i="29"/>
  <c r="J117" i="28"/>
  <c r="M61" i="15"/>
  <c r="L88" i="29"/>
  <c r="G321" i="42"/>
  <c r="G322" i="42" s="1"/>
  <c r="G324" i="42" s="1"/>
  <c r="D192" i="28"/>
  <c r="G178" i="29"/>
  <c r="J57" i="55"/>
  <c r="I141" i="16"/>
  <c r="I142" i="16" s="1"/>
  <c r="K246" i="42"/>
  <c r="N223" i="42"/>
  <c r="N227" i="42" s="1"/>
  <c r="N224" i="42"/>
  <c r="N228" i="42" s="1"/>
  <c r="N225" i="42"/>
  <c r="N229" i="42" s="1"/>
  <c r="N226" i="42"/>
  <c r="L232" i="48"/>
  <c r="L237" i="48" s="1"/>
  <c r="L230" i="48"/>
  <c r="L235" i="48" s="1"/>
  <c r="L234" i="48"/>
  <c r="L231" i="48"/>
  <c r="L236" i="48" s="1"/>
  <c r="L233" i="48"/>
  <c r="L238" i="48" s="1"/>
  <c r="DC80" i="55"/>
  <c r="AQ80" i="55"/>
  <c r="L169" i="48"/>
  <c r="L174" i="48" s="1"/>
  <c r="L170" i="48"/>
  <c r="L175" i="48" s="1"/>
  <c r="L172" i="48"/>
  <c r="L171" i="48"/>
  <c r="L176" i="48" s="1"/>
  <c r="L168" i="48"/>
  <c r="L173" i="48" s="1"/>
  <c r="G177" i="29"/>
  <c r="N19" i="48"/>
  <c r="N275" i="48" s="1"/>
  <c r="N27" i="48"/>
  <c r="N32" i="48" s="1"/>
  <c r="H302" i="38"/>
  <c r="H303" i="38"/>
  <c r="O15" i="20"/>
  <c r="O16" i="20"/>
  <c r="O14" i="20"/>
  <c r="O17" i="20"/>
  <c r="O18" i="20"/>
  <c r="P5" i="20"/>
  <c r="L281" i="38"/>
  <c r="L34" i="38"/>
  <c r="H318" i="42"/>
  <c r="H319" i="42" s="1"/>
  <c r="H320" i="42"/>
  <c r="H323" i="42" s="1"/>
  <c r="I301" i="38"/>
  <c r="I300" i="38"/>
  <c r="M61" i="16"/>
  <c r="L87" i="29"/>
  <c r="J294" i="38"/>
  <c r="M210" i="42"/>
  <c r="M214" i="42" s="1"/>
  <c r="M209" i="42"/>
  <c r="M213" i="42" s="1"/>
  <c r="M211" i="42"/>
  <c r="M208" i="42"/>
  <c r="M212" i="42" s="1"/>
  <c r="J68" i="16"/>
  <c r="J133" i="16" a="1"/>
  <c r="J134" i="16"/>
  <c r="J140" i="16" s="1"/>
  <c r="J77" i="16"/>
  <c r="BU57" i="55"/>
  <c r="H152" i="28"/>
  <c r="M167" i="48"/>
  <c r="M171" i="46"/>
  <c r="M176" i="46" s="1"/>
  <c r="M170" i="46"/>
  <c r="M175" i="46" s="1"/>
  <c r="M172" i="46"/>
  <c r="N77" i="45" s="1"/>
  <c r="AT77" i="45" s="1"/>
  <c r="M169" i="46"/>
  <c r="M174" i="46" s="1"/>
  <c r="M168" i="46"/>
  <c r="M173" i="46" s="1"/>
  <c r="M309" i="48"/>
  <c r="M34" i="48"/>
  <c r="L47" i="42"/>
  <c r="L291" i="42" s="1"/>
  <c r="L72" i="42"/>
  <c r="L104" i="42"/>
  <c r="L96" i="42"/>
  <c r="L249" i="42"/>
  <c r="L80" i="42"/>
  <c r="K66" i="16"/>
  <c r="K59" i="16"/>
  <c r="K135" i="16" s="1"/>
  <c r="L34" i="19"/>
  <c r="L214" i="19"/>
  <c r="M202" i="38"/>
  <c r="M206" i="38" s="1"/>
  <c r="M200" i="38"/>
  <c r="M204" i="38" s="1"/>
  <c r="M203" i="38"/>
  <c r="N101" i="36" s="1"/>
  <c r="AT101" i="36" s="1"/>
  <c r="M201" i="38"/>
  <c r="M205" i="38" s="1"/>
  <c r="K295" i="38"/>
  <c r="K292" i="38"/>
  <c r="N241" i="42"/>
  <c r="N238" i="42"/>
  <c r="N242" i="42" s="1"/>
  <c r="N239" i="42"/>
  <c r="N243" i="42" s="1"/>
  <c r="N240" i="42"/>
  <c r="N244" i="42" s="1"/>
  <c r="M32" i="29"/>
  <c r="M45" i="29"/>
  <c r="K74" i="42"/>
  <c r="K78" i="42" s="1"/>
  <c r="K76" i="42"/>
  <c r="K73" i="42"/>
  <c r="K77" i="42" s="1"/>
  <c r="K75" i="42"/>
  <c r="K79" i="42" s="1"/>
  <c r="O17" i="38"/>
  <c r="O30" i="38" s="1"/>
  <c r="O45" i="38" s="1"/>
  <c r="O14" i="38"/>
  <c r="O15" i="38"/>
  <c r="O28" i="38" s="1"/>
  <c r="O43" i="38" s="1"/>
  <c r="O16" i="38"/>
  <c r="O29" i="38" s="1"/>
  <c r="O44" i="38" s="1"/>
  <c r="O222" i="38" s="1"/>
  <c r="O18" i="38"/>
  <c r="O31" i="38" s="1"/>
  <c r="O46" i="38" s="1"/>
  <c r="O237" i="38" s="1"/>
  <c r="P5" i="38"/>
  <c r="F186" i="28"/>
  <c r="F187" i="28" s="1"/>
  <c r="F188" i="28"/>
  <c r="F191" i="28" s="1"/>
  <c r="I306" i="42"/>
  <c r="I307" i="42"/>
  <c r="M49" i="28"/>
  <c r="J298" i="42"/>
  <c r="J297" i="42"/>
  <c r="J299" i="42"/>
  <c r="J296" i="42"/>
  <c r="M42" i="38"/>
  <c r="M32" i="38"/>
  <c r="L249" i="38"/>
  <c r="L47" i="38"/>
  <c r="L291" i="38" s="1"/>
  <c r="L80" i="38"/>
  <c r="L104" i="38"/>
  <c r="L72" i="38"/>
  <c r="L73" i="38" s="1"/>
  <c r="L96" i="38"/>
  <c r="M148" i="38"/>
  <c r="M152" i="38" s="1"/>
  <c r="M149" i="38"/>
  <c r="N100" i="36" s="1"/>
  <c r="AT100" i="36" s="1"/>
  <c r="M146" i="38"/>
  <c r="M150" i="38" s="1"/>
  <c r="M147" i="38"/>
  <c r="M151" i="38" s="1"/>
  <c r="D69" i="15"/>
  <c r="D71" i="15" s="1"/>
  <c r="D33" i="58" s="1"/>
  <c r="D58" i="55"/>
  <c r="D61" i="55"/>
  <c r="C208" i="28"/>
  <c r="C213" i="28"/>
  <c r="L50" i="29"/>
  <c r="L145" i="29" s="1"/>
  <c r="I235" i="19"/>
  <c r="I236" i="19"/>
  <c r="E189" i="28"/>
  <c r="E190" i="28" s="1"/>
  <c r="E191" i="28"/>
  <c r="J217" i="28"/>
  <c r="I151" i="28"/>
  <c r="M177" i="48"/>
  <c r="M178" i="46"/>
  <c r="M183" i="46" s="1"/>
  <c r="M179" i="46"/>
  <c r="M184" i="46" s="1"/>
  <c r="M181" i="46"/>
  <c r="M186" i="46" s="1"/>
  <c r="M180" i="46"/>
  <c r="M185" i="46" s="1"/>
  <c r="M182" i="46"/>
  <c r="N107" i="45" s="1"/>
  <c r="AT107" i="45" s="1"/>
  <c r="H237" i="19"/>
  <c r="H241" i="19" s="1"/>
  <c r="H238" i="19"/>
  <c r="M87" i="45"/>
  <c r="AS86" i="45"/>
  <c r="M86" i="45"/>
  <c r="M85" i="45"/>
  <c r="AS85" i="45"/>
  <c r="AS87" i="45"/>
  <c r="K67" i="15"/>
  <c r="K46" i="15"/>
  <c r="D183" i="29"/>
  <c r="K316" i="38"/>
  <c r="K293" i="38"/>
  <c r="L80" i="55" s="1"/>
  <c r="L162" i="48"/>
  <c r="L161" i="48"/>
  <c r="L166" i="48" s="1"/>
  <c r="L159" i="48"/>
  <c r="L164" i="48" s="1"/>
  <c r="L158" i="48"/>
  <c r="L163" i="48" s="1"/>
  <c r="L160" i="48"/>
  <c r="L165" i="48" s="1"/>
  <c r="G304" i="38"/>
  <c r="G308" i="38" s="1"/>
  <c r="G305" i="38"/>
  <c r="N224" i="38"/>
  <c r="N228" i="38" s="1"/>
  <c r="N223" i="38"/>
  <c r="N227" i="38" s="1"/>
  <c r="N225" i="38"/>
  <c r="N229" i="38" s="1"/>
  <c r="I154" i="29"/>
  <c r="I155" i="29"/>
  <c r="N27" i="29"/>
  <c r="N19" i="29"/>
  <c r="P5" i="48"/>
  <c r="O16" i="48"/>
  <c r="O29" i="48" s="1"/>
  <c r="O44" i="48" s="1"/>
  <c r="O15" i="48"/>
  <c r="O28" i="48" s="1"/>
  <c r="O43" i="48" s="1"/>
  <c r="O14" i="48"/>
  <c r="O17" i="48"/>
  <c r="O30" i="48" s="1"/>
  <c r="O45" i="48" s="1"/>
  <c r="O18" i="48"/>
  <c r="O31" i="48" s="1"/>
  <c r="M155" i="38"/>
  <c r="M159" i="38" s="1"/>
  <c r="M156" i="38"/>
  <c r="M160" i="38" s="1"/>
  <c r="M154" i="38"/>
  <c r="M158" i="38" s="1"/>
  <c r="M157" i="38"/>
  <c r="N79" i="36" s="1"/>
  <c r="AT79" i="36" s="1"/>
  <c r="M157" i="42"/>
  <c r="M155" i="42"/>
  <c r="M159" i="42" s="1"/>
  <c r="M154" i="42"/>
  <c r="M158" i="42" s="1"/>
  <c r="M156" i="42"/>
  <c r="M160" i="42" s="1"/>
  <c r="N247" i="46"/>
  <c r="N252" i="46" s="1"/>
  <c r="N248" i="46"/>
  <c r="N253" i="46" s="1"/>
  <c r="N250" i="46"/>
  <c r="N255" i="46" s="1"/>
  <c r="N251" i="46"/>
  <c r="O96" i="45" s="1"/>
  <c r="N246" i="48"/>
  <c r="N249" i="46"/>
  <c r="N254" i="46" s="1"/>
  <c r="L135" i="29"/>
  <c r="L34" i="29"/>
  <c r="P5" i="19"/>
  <c r="O14" i="19"/>
  <c r="O16" i="19"/>
  <c r="O29" i="19" s="1"/>
  <c r="O47" i="19" s="1"/>
  <c r="O17" i="19"/>
  <c r="O30" i="19" s="1"/>
  <c r="O48" i="19" s="1"/>
  <c r="O15" i="19"/>
  <c r="O28" i="19" s="1"/>
  <c r="O46" i="19" s="1"/>
  <c r="O18" i="19"/>
  <c r="O31" i="19" s="1"/>
  <c r="O49" i="19" s="1"/>
  <c r="J296" i="38"/>
  <c r="J299" i="38"/>
  <c r="J297" i="38"/>
  <c r="J298" i="38"/>
  <c r="M160" i="46"/>
  <c r="M165" i="46" s="1"/>
  <c r="M159" i="46"/>
  <c r="M164" i="46" s="1"/>
  <c r="M161" i="46"/>
  <c r="M166" i="46" s="1"/>
  <c r="M158" i="46"/>
  <c r="M163" i="46" s="1"/>
  <c r="M162" i="46"/>
  <c r="N98" i="45" s="1"/>
  <c r="AT98" i="45" s="1"/>
  <c r="M157" i="48"/>
  <c r="L34" i="53"/>
  <c r="L197" i="53"/>
  <c r="G159" i="29"/>
  <c r="G158" i="29"/>
  <c r="G162" i="29" s="1"/>
  <c r="L32" i="28"/>
  <c r="L45" i="28"/>
  <c r="G168" i="28"/>
  <c r="G169" i="28"/>
  <c r="D72" i="16"/>
  <c r="AJ34" i="58" s="1"/>
  <c r="C200" i="29"/>
  <c r="D73" i="16" s="1"/>
  <c r="J153" i="29"/>
  <c r="J151" i="29"/>
  <c r="J150" i="29"/>
  <c r="J152" i="29"/>
  <c r="D329" i="42"/>
  <c r="D338" i="42" s="1"/>
  <c r="E336" i="42"/>
  <c r="O18" i="42"/>
  <c r="O31" i="42" s="1"/>
  <c r="O46" i="42" s="1"/>
  <c r="O237" i="42" s="1"/>
  <c r="O14" i="42"/>
  <c r="O17" i="42"/>
  <c r="O30" i="42" s="1"/>
  <c r="O45" i="42" s="1"/>
  <c r="O15" i="42"/>
  <c r="O28" i="42" s="1"/>
  <c r="O43" i="42" s="1"/>
  <c r="P5" i="42"/>
  <c r="O16" i="42"/>
  <c r="O29" i="42" s="1"/>
  <c r="O44" i="42" s="1"/>
  <c r="O222" i="42" s="1"/>
  <c r="K84" i="42"/>
  <c r="K83" i="42"/>
  <c r="K87" i="42" s="1"/>
  <c r="K81" i="42"/>
  <c r="K85" i="42" s="1"/>
  <c r="K82" i="42"/>
  <c r="K86" i="42" s="1"/>
  <c r="N240" i="38"/>
  <c r="N244" i="38" s="1"/>
  <c r="N239" i="38"/>
  <c r="N243" i="38" s="1"/>
  <c r="N238" i="38"/>
  <c r="N242" i="38" s="1"/>
  <c r="N15" i="28"/>
  <c r="N28" i="28" s="1"/>
  <c r="N46" i="28" s="1"/>
  <c r="O5" i="28"/>
  <c r="N14" i="28"/>
  <c r="N16" i="28"/>
  <c r="N29" i="28" s="1"/>
  <c r="N47" i="28" s="1"/>
  <c r="N18" i="28"/>
  <c r="N31" i="28" s="1"/>
  <c r="N17" i="28"/>
  <c r="N30" i="28" s="1"/>
  <c r="J294" i="42"/>
  <c r="F328" i="42"/>
  <c r="M164" i="38"/>
  <c r="M168" i="38" s="1"/>
  <c r="M163" i="38"/>
  <c r="M167" i="38" s="1"/>
  <c r="M162" i="38"/>
  <c r="M166" i="38" s="1"/>
  <c r="M165" i="38"/>
  <c r="N109" i="36" s="1"/>
  <c r="AT109" i="36" s="1"/>
  <c r="M149" i="42"/>
  <c r="M147" i="42"/>
  <c r="M151" i="42" s="1"/>
  <c r="M148" i="42"/>
  <c r="M152" i="42" s="1"/>
  <c r="M146" i="42"/>
  <c r="M150" i="42" s="1"/>
  <c r="N19" i="46"/>
  <c r="N275" i="46" s="1"/>
  <c r="N27" i="46"/>
  <c r="N32" i="46" s="1"/>
  <c r="L34" i="54"/>
  <c r="L197" i="54"/>
  <c r="M220" i="46"/>
  <c r="M225" i="46" s="1"/>
  <c r="M221" i="46"/>
  <c r="M226" i="46" s="1"/>
  <c r="M223" i="46"/>
  <c r="M228" i="46" s="1"/>
  <c r="M222" i="46"/>
  <c r="M227" i="46" s="1"/>
  <c r="M224" i="46"/>
  <c r="N99" i="45" s="1"/>
  <c r="AT99" i="45" s="1"/>
  <c r="M219" i="48"/>
  <c r="I310" i="38"/>
  <c r="I314" i="38"/>
  <c r="J88" i="55" s="1"/>
  <c r="I311" i="38"/>
  <c r="J85" i="55" s="1"/>
  <c r="I313" i="38"/>
  <c r="J87" i="55" s="1"/>
  <c r="I312" i="38"/>
  <c r="J86" i="55" s="1"/>
  <c r="I309" i="38"/>
  <c r="L224" i="48"/>
  <c r="L223" i="48"/>
  <c r="L228" i="48" s="1"/>
  <c r="L221" i="48"/>
  <c r="L226" i="48" s="1"/>
  <c r="L220" i="48"/>
  <c r="L225" i="48" s="1"/>
  <c r="L222" i="48"/>
  <c r="L227" i="48" s="1"/>
  <c r="M149" i="46"/>
  <c r="M154" i="46" s="1"/>
  <c r="M150" i="46"/>
  <c r="M155" i="46" s="1"/>
  <c r="M147" i="48"/>
  <c r="M152" i="46"/>
  <c r="N83" i="45" s="1"/>
  <c r="M148" i="46"/>
  <c r="M153" i="46" s="1"/>
  <c r="M151" i="46"/>
  <c r="M156" i="46" s="1"/>
  <c r="J184" i="28"/>
  <c r="J185" i="28" s="1"/>
  <c r="J161" i="28"/>
  <c r="G175" i="28"/>
  <c r="G174" i="28"/>
  <c r="I283" i="42"/>
  <c r="I284" i="42" s="1"/>
  <c r="J250" i="42"/>
  <c r="N207" i="42"/>
  <c r="N191" i="42"/>
  <c r="N199" i="42"/>
  <c r="K107" i="42"/>
  <c r="K111" i="42" s="1"/>
  <c r="K108" i="42"/>
  <c r="K106" i="42"/>
  <c r="K110" i="42" s="1"/>
  <c r="K105" i="42"/>
  <c r="K109" i="42" s="1"/>
  <c r="DA57" i="55"/>
  <c r="AO57" i="55"/>
  <c r="H148" i="29"/>
  <c r="N19" i="42"/>
  <c r="N247" i="42" s="1"/>
  <c r="N27" i="42"/>
  <c r="K292" i="42"/>
  <c r="K295" i="42"/>
  <c r="N191" i="38"/>
  <c r="N207" i="38"/>
  <c r="N199" i="38"/>
  <c r="I160" i="29"/>
  <c r="I172" i="29" s="1"/>
  <c r="I161" i="29"/>
  <c r="G139" i="29"/>
  <c r="G141" i="29"/>
  <c r="G143" i="29"/>
  <c r="G140" i="29"/>
  <c r="G142" i="29"/>
  <c r="G144" i="29"/>
  <c r="J240" i="19"/>
  <c r="J239" i="19"/>
  <c r="J251" i="19" s="1"/>
  <c r="N55" i="15"/>
  <c r="M85" i="29"/>
  <c r="N55" i="16" s="1"/>
  <c r="I311" i="42"/>
  <c r="AP85" i="55" s="1"/>
  <c r="I310" i="42"/>
  <c r="I313" i="42"/>
  <c r="AP87" i="55" s="1"/>
  <c r="I312" i="42"/>
  <c r="AP86" i="55" s="1"/>
  <c r="I309" i="42"/>
  <c r="I314" i="42"/>
  <c r="AP88" i="55" s="1"/>
  <c r="G163" i="29"/>
  <c r="G165" i="29"/>
  <c r="AN62" i="55" s="1"/>
  <c r="G167" i="29"/>
  <c r="AN64" i="55" s="1"/>
  <c r="G164" i="29"/>
  <c r="G166" i="29"/>
  <c r="AN63" i="55" s="1"/>
  <c r="G168" i="29"/>
  <c r="AN65" i="55" s="1"/>
  <c r="H303" i="42"/>
  <c r="H302" i="42"/>
  <c r="M83" i="29"/>
  <c r="M82" i="29" s="1"/>
  <c r="M138" i="38"/>
  <c r="M139" i="38"/>
  <c r="M140" i="38"/>
  <c r="M164" i="42"/>
  <c r="M168" i="42" s="1"/>
  <c r="M165" i="42"/>
  <c r="M163" i="42"/>
  <c r="M167" i="42" s="1"/>
  <c r="M162" i="42"/>
  <c r="M166" i="42" s="1"/>
  <c r="N147" i="46"/>
  <c r="N167" i="46"/>
  <c r="N177" i="46"/>
  <c r="N157" i="46"/>
  <c r="M42" i="42"/>
  <c r="M32" i="42"/>
  <c r="M19" i="53"/>
  <c r="M27" i="53"/>
  <c r="M32" i="53" s="1"/>
  <c r="M209" i="48"/>
  <c r="M211" i="46"/>
  <c r="M216" i="46" s="1"/>
  <c r="M212" i="46"/>
  <c r="M217" i="46" s="1"/>
  <c r="M213" i="46"/>
  <c r="M218" i="46" s="1"/>
  <c r="M210" i="46"/>
  <c r="M215" i="46" s="1"/>
  <c r="M214" i="46"/>
  <c r="N89" i="45" s="1"/>
  <c r="E183" i="29"/>
  <c r="E190" i="29" s="1"/>
  <c r="I163" i="28"/>
  <c r="I162" i="28"/>
  <c r="I160" i="28"/>
  <c r="K231" i="19"/>
  <c r="K229" i="19"/>
  <c r="K230" i="19"/>
  <c r="K232" i="19"/>
  <c r="K36" i="19"/>
  <c r="K37" i="19"/>
  <c r="L213" i="48"/>
  <c r="L218" i="48" s="1"/>
  <c r="L211" i="48"/>
  <c r="L216" i="48" s="1"/>
  <c r="L214" i="48"/>
  <c r="L210" i="48"/>
  <c r="L215" i="48" s="1"/>
  <c r="L212" i="48"/>
  <c r="L217" i="48" s="1"/>
  <c r="J211" i="28"/>
  <c r="J210" i="28"/>
  <c r="J159" i="28"/>
  <c r="J134" i="15"/>
  <c r="J140" i="15" s="1"/>
  <c r="J68" i="15"/>
  <c r="J77" i="15" s="1"/>
  <c r="J133" i="15" a="1"/>
  <c r="H288" i="42"/>
  <c r="H285" i="42"/>
  <c r="H289" i="42"/>
  <c r="H287" i="42"/>
  <c r="H286" i="42"/>
  <c r="H290" i="42"/>
  <c r="E172" i="28"/>
  <c r="E176" i="28" s="1"/>
  <c r="E173" i="28"/>
  <c r="M247" i="48"/>
  <c r="M252" i="48" s="1"/>
  <c r="M251" i="48"/>
  <c r="M250" i="48"/>
  <c r="M255" i="48" s="1"/>
  <c r="M249" i="48"/>
  <c r="M254" i="48" s="1"/>
  <c r="M248" i="48"/>
  <c r="M253" i="48" s="1"/>
  <c r="F170" i="28"/>
  <c r="F171" i="28"/>
  <c r="H174" i="29"/>
  <c r="H175" i="29" s="1"/>
  <c r="H176" i="29" s="1"/>
  <c r="N137" i="42"/>
  <c r="N153" i="42"/>
  <c r="N161" i="42"/>
  <c r="N145" i="42"/>
  <c r="K98" i="42"/>
  <c r="K102" i="42" s="1"/>
  <c r="K100" i="42"/>
  <c r="K97" i="42"/>
  <c r="K101" i="42" s="1"/>
  <c r="K99" i="42"/>
  <c r="K103" i="42" s="1"/>
  <c r="H173" i="29"/>
  <c r="N27" i="38"/>
  <c r="N19" i="38"/>
  <c r="N247" i="38" s="1"/>
  <c r="I104" i="29"/>
  <c r="H137" i="29"/>
  <c r="H138" i="29" s="1"/>
  <c r="I170" i="29"/>
  <c r="I171" i="29" s="1"/>
  <c r="I147" i="29"/>
  <c r="J234" i="19"/>
  <c r="J233" i="19"/>
  <c r="M19" i="28"/>
  <c r="M118" i="28" s="1"/>
  <c r="M27" i="28"/>
  <c r="K216" i="28"/>
  <c r="K53" i="29"/>
  <c r="L56" i="15"/>
  <c r="K62" i="29"/>
  <c r="L62" i="16" s="1"/>
  <c r="K55" i="29"/>
  <c r="K52" i="29" s="1"/>
  <c r="K60" i="29"/>
  <c r="K54" i="29"/>
  <c r="K57" i="29"/>
  <c r="K56" i="29"/>
  <c r="K59" i="29"/>
  <c r="L44" i="16" s="1"/>
  <c r="K50" i="28"/>
  <c r="K61" i="29"/>
  <c r="L44" i="15"/>
  <c r="K63" i="29"/>
  <c r="L56" i="16" s="1"/>
  <c r="L59" i="16" s="1"/>
  <c r="L135" i="16" s="1"/>
  <c r="L62" i="15"/>
  <c r="L65" i="15" s="1"/>
  <c r="L139" i="15" s="1"/>
  <c r="M140" i="42"/>
  <c r="M144" i="42" s="1"/>
  <c r="M138" i="42"/>
  <c r="M142" i="42" s="1"/>
  <c r="M141" i="42"/>
  <c r="M139" i="42"/>
  <c r="M143" i="42" s="1"/>
  <c r="O17" i="46"/>
  <c r="O30" i="46" s="1"/>
  <c r="O45" i="46" s="1"/>
  <c r="O14" i="46"/>
  <c r="P5" i="46"/>
  <c r="O18" i="46"/>
  <c r="O31" i="46" s="1"/>
  <c r="O16" i="46"/>
  <c r="O29" i="46" s="1"/>
  <c r="O44" i="46" s="1"/>
  <c r="O246" i="46" s="1"/>
  <c r="O15" i="46"/>
  <c r="O28" i="46" s="1"/>
  <c r="O43" i="46" s="1"/>
  <c r="I307" i="38"/>
  <c r="I306" i="38"/>
  <c r="I318" i="38" s="1"/>
  <c r="N15" i="53"/>
  <c r="N28" i="53" s="1"/>
  <c r="N16" i="53"/>
  <c r="N29" i="53" s="1"/>
  <c r="N44" i="53" s="1"/>
  <c r="N150" i="53" s="1"/>
  <c r="N151" i="53" s="1"/>
  <c r="O60" i="51" s="1"/>
  <c r="AU60" i="51" s="1"/>
  <c r="O5" i="53"/>
  <c r="N14" i="53"/>
  <c r="N18" i="53"/>
  <c r="N31" i="53" s="1"/>
  <c r="N17" i="53"/>
  <c r="N30" i="53" s="1"/>
  <c r="M233" i="46"/>
  <c r="M238" i="46" s="1"/>
  <c r="M229" i="48"/>
  <c r="M232" i="46"/>
  <c r="M237" i="46" s="1"/>
  <c r="M231" i="46"/>
  <c r="M236" i="46" s="1"/>
  <c r="M234" i="46"/>
  <c r="N108" i="45" s="1"/>
  <c r="AT108" i="45" s="1"/>
  <c r="M230" i="46"/>
  <c r="M235" i="46" s="1"/>
  <c r="E69" i="15"/>
  <c r="K66" i="15"/>
  <c r="K59" i="15"/>
  <c r="K135" i="15" s="1"/>
  <c r="H180" i="28"/>
  <c r="I63" i="55" s="1"/>
  <c r="H178" i="28"/>
  <c r="H182" i="28"/>
  <c r="I65" i="55" s="1"/>
  <c r="H181" i="28"/>
  <c r="I64" i="55" s="1"/>
  <c r="H177" i="28"/>
  <c r="H179" i="28"/>
  <c r="I62" i="55" s="1"/>
  <c r="H156" i="29"/>
  <c r="H157" i="29"/>
  <c r="K246" i="38"/>
  <c r="K293" i="42"/>
  <c r="DD80" i="55" s="1"/>
  <c r="K316" i="42"/>
  <c r="K317" i="42" s="1"/>
  <c r="N137" i="38"/>
  <c r="N161" i="38"/>
  <c r="N153" i="38"/>
  <c r="N145" i="38"/>
  <c r="O5" i="54"/>
  <c r="N16" i="54"/>
  <c r="N29" i="54" s="1"/>
  <c r="N44" i="54" s="1"/>
  <c r="N150" i="54" s="1"/>
  <c r="N151" i="54" s="1"/>
  <c r="N18" i="54"/>
  <c r="N31" i="54" s="1"/>
  <c r="N15" i="54"/>
  <c r="N28" i="54" s="1"/>
  <c r="N17" i="54"/>
  <c r="N30" i="54" s="1"/>
  <c r="N14" i="54"/>
  <c r="M77" i="29"/>
  <c r="N45" i="16" s="1"/>
  <c r="M71" i="29"/>
  <c r="N64" i="15"/>
  <c r="M66" i="29"/>
  <c r="M65" i="29" s="1"/>
  <c r="M75" i="29"/>
  <c r="N48" i="15"/>
  <c r="N49" i="15" s="1"/>
  <c r="N136" i="15" s="1"/>
  <c r="M68" i="29"/>
  <c r="M76" i="29"/>
  <c r="N58" i="16" s="1"/>
  <c r="N58" i="15"/>
  <c r="M67" i="29"/>
  <c r="M78" i="29"/>
  <c r="N64" i="16" s="1"/>
  <c r="N45" i="15"/>
  <c r="M74" i="29"/>
  <c r="N48" i="16" s="1"/>
  <c r="N49" i="16" s="1"/>
  <c r="N136" i="16" s="1"/>
  <c r="M70" i="29"/>
  <c r="M73" i="29"/>
  <c r="M69" i="29"/>
  <c r="K149" i="28"/>
  <c r="K34" i="28"/>
  <c r="G305" i="42"/>
  <c r="G304" i="42"/>
  <c r="G308" i="42" s="1"/>
  <c r="K37" i="29"/>
  <c r="K36" i="29"/>
  <c r="J197" i="29"/>
  <c r="J196" i="29"/>
  <c r="K149" i="29"/>
  <c r="K146" i="29"/>
  <c r="M200" i="42"/>
  <c r="M204" i="42" s="1"/>
  <c r="M201" i="42"/>
  <c r="M205" i="42" s="1"/>
  <c r="M203" i="42"/>
  <c r="M202" i="42"/>
  <c r="M206" i="42" s="1"/>
  <c r="L180" i="48"/>
  <c r="L185" i="48" s="1"/>
  <c r="L179" i="48"/>
  <c r="L184" i="48" s="1"/>
  <c r="L178" i="48"/>
  <c r="L183" i="48" s="1"/>
  <c r="L181" i="48"/>
  <c r="L186" i="48" s="1"/>
  <c r="L182" i="48"/>
  <c r="D206" i="28"/>
  <c r="E61" i="55" s="1"/>
  <c r="K67" i="16"/>
  <c r="K46" i="16"/>
  <c r="J103" i="29"/>
  <c r="J91" i="29"/>
  <c r="G328" i="42"/>
  <c r="G329" i="42" s="1"/>
  <c r="G338" i="42" s="1"/>
  <c r="G153" i="28"/>
  <c r="G155" i="28"/>
  <c r="BT62" i="55" s="1"/>
  <c r="G157" i="28"/>
  <c r="BT64" i="55" s="1"/>
  <c r="G158" i="28"/>
  <c r="BT65" i="55" s="1"/>
  <c r="G156" i="28"/>
  <c r="BT63" i="55" s="1"/>
  <c r="G154" i="28"/>
  <c r="BT61" i="55" s="1"/>
  <c r="H164" i="28"/>
  <c r="H167" i="28"/>
  <c r="H166" i="28"/>
  <c r="H165" i="28"/>
  <c r="M208" i="38"/>
  <c r="M212" i="38" s="1"/>
  <c r="M209" i="38"/>
  <c r="M213" i="38" s="1"/>
  <c r="M210" i="38"/>
  <c r="M214" i="38" s="1"/>
  <c r="M211" i="38"/>
  <c r="M32" i="19"/>
  <c r="M45" i="19"/>
  <c r="M50" i="19" s="1"/>
  <c r="AJ126" i="36"/>
  <c r="AJ39" i="58" s="1"/>
  <c r="C346" i="42"/>
  <c r="AJ127" i="36" s="1"/>
  <c r="P5" i="29"/>
  <c r="O17" i="29"/>
  <c r="O30" i="29" s="1"/>
  <c r="O14" i="29"/>
  <c r="O15" i="29"/>
  <c r="O28" i="29" s="1"/>
  <c r="O46" i="29" s="1"/>
  <c r="O16" i="29"/>
  <c r="O29" i="29" s="1"/>
  <c r="O47" i="29" s="1"/>
  <c r="O18" i="29"/>
  <c r="O31" i="29" s="1"/>
  <c r="I301" i="42"/>
  <c r="I300" i="42"/>
  <c r="M309" i="46"/>
  <c r="M34" i="46"/>
  <c r="M19" i="54"/>
  <c r="M27" i="54"/>
  <c r="M32" i="54" s="1"/>
  <c r="F182" i="29"/>
  <c r="F183" i="29" s="1"/>
  <c r="F192" i="29" s="1"/>
  <c r="G70" i="16" s="1"/>
  <c r="N219" i="46"/>
  <c r="N229" i="46"/>
  <c r="N209" i="46"/>
  <c r="N27" i="19"/>
  <c r="N19" i="19"/>
  <c r="M193" i="42"/>
  <c r="M197" i="42" s="1"/>
  <c r="M192" i="42"/>
  <c r="M196" i="42" s="1"/>
  <c r="M194" i="42"/>
  <c r="M198" i="42" s="1"/>
  <c r="M195" i="42"/>
  <c r="J37" i="28"/>
  <c r="J36" i="28"/>
  <c r="L148" i="48"/>
  <c r="L153" i="48" s="1"/>
  <c r="L152" i="48"/>
  <c r="L149" i="48"/>
  <c r="L154" i="48" s="1"/>
  <c r="L151" i="48"/>
  <c r="L156" i="48" s="1"/>
  <c r="L150" i="48"/>
  <c r="L155" i="48" s="1"/>
  <c r="L281" i="42"/>
  <c r="L34" i="42"/>
  <c r="L276" i="19"/>
  <c r="L275" i="19"/>
  <c r="L224" i="19"/>
  <c r="L225" i="19"/>
  <c r="L228" i="19"/>
  <c r="M192" i="38"/>
  <c r="M196" i="38" s="1"/>
  <c r="M194" i="38"/>
  <c r="M198" i="38" s="1"/>
  <c r="M193" i="38"/>
  <c r="M197" i="38" s="1"/>
  <c r="C172" i="19"/>
  <c r="D135" i="14" s="1"/>
  <c r="C218" i="20"/>
  <c r="C217" i="20"/>
  <c r="C175" i="19" s="1"/>
  <c r="C219" i="20"/>
  <c r="C177" i="19" s="1"/>
  <c r="C216" i="20"/>
  <c r="C215" i="20"/>
  <c r="C327" i="20"/>
  <c r="D31" i="20"/>
  <c r="D49" i="20" s="1"/>
  <c r="D29" i="20"/>
  <c r="D47" i="20" s="1"/>
  <c r="D201" i="20" s="1"/>
  <c r="D162" i="19" s="1"/>
  <c r="C29" i="20"/>
  <c r="C47" i="20" s="1"/>
  <c r="C201" i="20" s="1"/>
  <c r="C162" i="19" s="1"/>
  <c r="D123" i="14" s="1"/>
  <c r="D19" i="20"/>
  <c r="C325" i="20"/>
  <c r="C27" i="20"/>
  <c r="C30" i="20"/>
  <c r="C48" i="20" s="1"/>
  <c r="C222" i="20"/>
  <c r="C28" i="20"/>
  <c r="C46" i="20" s="1"/>
  <c r="C170" i="19"/>
  <c r="I16" i="31"/>
  <c r="O16" i="31" s="1"/>
  <c r="K92" i="29" l="1"/>
  <c r="J141" i="16"/>
  <c r="J142" i="16" s="1"/>
  <c r="D190" i="29"/>
  <c r="D192" i="29"/>
  <c r="E70" i="16" s="1"/>
  <c r="E192" i="28"/>
  <c r="L66" i="16"/>
  <c r="H321" i="42"/>
  <c r="H322" i="42" s="1"/>
  <c r="H178" i="29"/>
  <c r="D336" i="42"/>
  <c r="O49" i="29"/>
  <c r="E192" i="29"/>
  <c r="F70" i="16" s="1"/>
  <c r="J141" i="15"/>
  <c r="J142" i="15" s="1"/>
  <c r="L246" i="38"/>
  <c r="F69" i="16"/>
  <c r="I302" i="42"/>
  <c r="I303" i="42"/>
  <c r="K68" i="16"/>
  <c r="K134" i="16"/>
  <c r="K140" i="16" s="1"/>
  <c r="K133" i="16" a="1"/>
  <c r="K141" i="16" s="1"/>
  <c r="K142" i="16" s="1"/>
  <c r="K77" i="16"/>
  <c r="N19" i="54"/>
  <c r="N27" i="54"/>
  <c r="N32" i="54" s="1"/>
  <c r="N154" i="38"/>
  <c r="N158" i="38" s="1"/>
  <c r="N157" i="38"/>
  <c r="O79" i="36" s="1"/>
  <c r="AU79" i="36" s="1"/>
  <c r="N155" i="38"/>
  <c r="N159" i="38" s="1"/>
  <c r="N156" i="38"/>
  <c r="N160" i="38" s="1"/>
  <c r="D208" i="28"/>
  <c r="M231" i="48"/>
  <c r="M236" i="48" s="1"/>
  <c r="M234" i="48"/>
  <c r="M233" i="48"/>
  <c r="M238" i="48" s="1"/>
  <c r="M230" i="48"/>
  <c r="M235" i="48" s="1"/>
  <c r="M232" i="48"/>
  <c r="M237" i="48" s="1"/>
  <c r="K103" i="29"/>
  <c r="K91" i="29"/>
  <c r="DB57" i="55"/>
  <c r="AP57" i="55"/>
  <c r="I148" i="29"/>
  <c r="M197" i="53"/>
  <c r="M34" i="53"/>
  <c r="N169" i="46"/>
  <c r="N174" i="46" s="1"/>
  <c r="N170" i="46"/>
  <c r="N175" i="46" s="1"/>
  <c r="N168" i="46"/>
  <c r="N173" i="46" s="1"/>
  <c r="N172" i="46"/>
  <c r="O77" i="45" s="1"/>
  <c r="AU77" i="45" s="1"/>
  <c r="N167" i="48"/>
  <c r="N171" i="46"/>
  <c r="N176" i="46" s="1"/>
  <c r="N193" i="38"/>
  <c r="N197" i="38" s="1"/>
  <c r="N192" i="38"/>
  <c r="N196" i="38" s="1"/>
  <c r="N194" i="38"/>
  <c r="N198" i="38" s="1"/>
  <c r="N211" i="42"/>
  <c r="N209" i="42"/>
  <c r="N213" i="42" s="1"/>
  <c r="N208" i="42"/>
  <c r="N212" i="42" s="1"/>
  <c r="N210" i="42"/>
  <c r="N214" i="42" s="1"/>
  <c r="O199" i="42"/>
  <c r="O191" i="42"/>
  <c r="O207" i="42"/>
  <c r="M34" i="38"/>
  <c r="M281" i="38"/>
  <c r="I318" i="42"/>
  <c r="I319" i="42" s="1"/>
  <c r="I320" i="42"/>
  <c r="I323" i="42" s="1"/>
  <c r="O199" i="38"/>
  <c r="O207" i="38"/>
  <c r="O191" i="38"/>
  <c r="L316" i="42"/>
  <c r="L317" i="42" s="1"/>
  <c r="L293" i="42"/>
  <c r="L229" i="19"/>
  <c r="L231" i="19"/>
  <c r="L230" i="19"/>
  <c r="L232" i="19"/>
  <c r="N162" i="38"/>
  <c r="N166" i="38" s="1"/>
  <c r="N163" i="38"/>
  <c r="N167" i="38" s="1"/>
  <c r="N164" i="38"/>
  <c r="N168" i="38" s="1"/>
  <c r="N165" i="38"/>
  <c r="O109" i="36" s="1"/>
  <c r="AU109" i="36" s="1"/>
  <c r="K211" i="28"/>
  <c r="K210" i="28"/>
  <c r="K159" i="28"/>
  <c r="L59" i="15"/>
  <c r="L135" i="15" s="1"/>
  <c r="L66" i="15"/>
  <c r="I174" i="29"/>
  <c r="I177" i="29" s="1"/>
  <c r="K234" i="19"/>
  <c r="K233" i="19"/>
  <c r="N150" i="46"/>
  <c r="N155" i="46" s="1"/>
  <c r="N148" i="46"/>
  <c r="N153" i="46" s="1"/>
  <c r="N152" i="46"/>
  <c r="O83" i="45" s="1"/>
  <c r="N147" i="48"/>
  <c r="N149" i="46"/>
  <c r="N154" i="46" s="1"/>
  <c r="N151" i="46"/>
  <c r="N156" i="46" s="1"/>
  <c r="K299" i="42"/>
  <c r="K298" i="42"/>
  <c r="K296" i="42"/>
  <c r="K297" i="42"/>
  <c r="J283" i="42"/>
  <c r="J284" i="42" s="1"/>
  <c r="K250" i="42"/>
  <c r="N85" i="45"/>
  <c r="AT86" i="45"/>
  <c r="N86" i="45"/>
  <c r="AT85" i="45"/>
  <c r="AT87" i="45"/>
  <c r="N87" i="45"/>
  <c r="M220" i="48"/>
  <c r="M225" i="48" s="1"/>
  <c r="M224" i="48"/>
  <c r="M222" i="48"/>
  <c r="M227" i="48" s="1"/>
  <c r="M221" i="48"/>
  <c r="M226" i="48" s="1"/>
  <c r="M223" i="48"/>
  <c r="M228" i="48" s="1"/>
  <c r="N309" i="46"/>
  <c r="N34" i="46"/>
  <c r="N49" i="28"/>
  <c r="O19" i="42"/>
  <c r="O247" i="42" s="1"/>
  <c r="O27" i="42"/>
  <c r="J160" i="29"/>
  <c r="J172" i="29" s="1"/>
  <c r="J161" i="29"/>
  <c r="P18" i="48"/>
  <c r="P31" i="48" s="1"/>
  <c r="P14" i="48"/>
  <c r="P16" i="48"/>
  <c r="P29" i="48" s="1"/>
  <c r="P44" i="48" s="1"/>
  <c r="Q5" i="48"/>
  <c r="P17" i="48"/>
  <c r="P30" i="48" s="1"/>
  <c r="P45" i="48" s="1"/>
  <c r="P15" i="48"/>
  <c r="P28" i="48" s="1"/>
  <c r="P43" i="48" s="1"/>
  <c r="M249" i="38"/>
  <c r="M72" i="38"/>
  <c r="M73" i="38" s="1"/>
  <c r="M80" i="38"/>
  <c r="M104" i="38"/>
  <c r="M47" i="38"/>
  <c r="M291" i="38" s="1"/>
  <c r="M96" i="38"/>
  <c r="F196" i="28"/>
  <c r="L98" i="42"/>
  <c r="L102" i="42" s="1"/>
  <c r="L99" i="42"/>
  <c r="L103" i="42" s="1"/>
  <c r="L100" i="42"/>
  <c r="L97" i="42"/>
  <c r="L101" i="42" s="1"/>
  <c r="J310" i="38"/>
  <c r="J312" i="38"/>
  <c r="K86" i="55" s="1"/>
  <c r="J309" i="38"/>
  <c r="J313" i="38"/>
  <c r="K87" i="55" s="1"/>
  <c r="J311" i="38"/>
  <c r="K85" i="55" s="1"/>
  <c r="J314" i="38"/>
  <c r="K88" i="55" s="1"/>
  <c r="H304" i="38"/>
  <c r="H308" i="38" s="1"/>
  <c r="H305" i="38"/>
  <c r="F190" i="29"/>
  <c r="H169" i="28"/>
  <c r="H168" i="28"/>
  <c r="E58" i="55"/>
  <c r="E70" i="15"/>
  <c r="E71" i="15" s="1"/>
  <c r="E33" i="58" s="1"/>
  <c r="K197" i="29"/>
  <c r="K196" i="29"/>
  <c r="N140" i="38"/>
  <c r="N139" i="38"/>
  <c r="N138" i="38"/>
  <c r="O147" i="46"/>
  <c r="O177" i="46"/>
  <c r="O167" i="46"/>
  <c r="O157" i="46"/>
  <c r="L67" i="16"/>
  <c r="L46" i="16"/>
  <c r="H142" i="29"/>
  <c r="H144" i="29"/>
  <c r="H139" i="29"/>
  <c r="H141" i="29"/>
  <c r="H143" i="29"/>
  <c r="H140" i="29"/>
  <c r="F173" i="28"/>
  <c r="F172" i="28"/>
  <c r="F176" i="28" s="1"/>
  <c r="K294" i="42"/>
  <c r="I287" i="42"/>
  <c r="I290" i="42"/>
  <c r="I289" i="42"/>
  <c r="I288" i="42"/>
  <c r="I285" i="42"/>
  <c r="I286" i="42"/>
  <c r="O55" i="15"/>
  <c r="N85" i="29"/>
  <c r="O55" i="16" s="1"/>
  <c r="O239" i="42"/>
  <c r="O243" i="42" s="1"/>
  <c r="O241" i="42"/>
  <c r="O240" i="42"/>
  <c r="O244" i="42" s="1"/>
  <c r="O238" i="42"/>
  <c r="O242" i="42" s="1"/>
  <c r="J300" i="38"/>
  <c r="J301" i="38"/>
  <c r="O19" i="19"/>
  <c r="O27" i="19"/>
  <c r="I238" i="19"/>
  <c r="I237" i="19"/>
  <c r="I241" i="19" s="1"/>
  <c r="L105" i="42"/>
  <c r="L109" i="42" s="1"/>
  <c r="L106" i="42"/>
  <c r="L110" i="42" s="1"/>
  <c r="L108" i="42"/>
  <c r="L107" i="42"/>
  <c r="L111" i="42" s="1"/>
  <c r="Q5" i="20"/>
  <c r="P15" i="20"/>
  <c r="P16" i="20"/>
  <c r="P14" i="20"/>
  <c r="P18" i="20"/>
  <c r="P17" i="20"/>
  <c r="N309" i="48"/>
  <c r="N34" i="48"/>
  <c r="M34" i="54"/>
  <c r="M197" i="54"/>
  <c r="M225" i="19"/>
  <c r="M276" i="19"/>
  <c r="M228" i="19"/>
  <c r="M275" i="19"/>
  <c r="M224" i="19"/>
  <c r="H175" i="28"/>
  <c r="H174" i="28"/>
  <c r="O250" i="46"/>
  <c r="O255" i="46" s="1"/>
  <c r="O251" i="46"/>
  <c r="P96" i="45" s="1"/>
  <c r="O246" i="48"/>
  <c r="O249" i="46"/>
  <c r="O254" i="46" s="1"/>
  <c r="O248" i="46"/>
  <c r="O253" i="46" s="1"/>
  <c r="O247" i="46"/>
  <c r="O252" i="46" s="1"/>
  <c r="K161" i="28"/>
  <c r="K184" i="28"/>
  <c r="K185" i="28" s="1"/>
  <c r="J104" i="29"/>
  <c r="I137" i="29"/>
  <c r="I138" i="29" s="1"/>
  <c r="N147" i="42"/>
  <c r="N151" i="42" s="1"/>
  <c r="N148" i="42"/>
  <c r="N152" i="42" s="1"/>
  <c r="N149" i="42"/>
  <c r="N146" i="42"/>
  <c r="N150" i="42" s="1"/>
  <c r="H304" i="42"/>
  <c r="H308" i="42" s="1"/>
  <c r="H305" i="42"/>
  <c r="G186" i="28"/>
  <c r="G187" i="28" s="1"/>
  <c r="G188" i="28"/>
  <c r="G191" i="28" s="1"/>
  <c r="M148" i="48"/>
  <c r="M153" i="48" s="1"/>
  <c r="M150" i="48"/>
  <c r="M155" i="48" s="1"/>
  <c r="M151" i="48"/>
  <c r="M156" i="48" s="1"/>
  <c r="M149" i="48"/>
  <c r="M154" i="48" s="1"/>
  <c r="M152" i="48"/>
  <c r="N19" i="28"/>
  <c r="N118" i="28" s="1"/>
  <c r="N27" i="28"/>
  <c r="AL81" i="55"/>
  <c r="CX81" i="55"/>
  <c r="E340" i="42"/>
  <c r="AL84" i="55"/>
  <c r="E345" i="42"/>
  <c r="Q5" i="19"/>
  <c r="P18" i="19"/>
  <c r="P31" i="19" s="1"/>
  <c r="P49" i="19" s="1"/>
  <c r="P16" i="19"/>
  <c r="P29" i="19" s="1"/>
  <c r="P47" i="19" s="1"/>
  <c r="P14" i="19"/>
  <c r="P17" i="19"/>
  <c r="P30" i="19" s="1"/>
  <c r="P48" i="19" s="1"/>
  <c r="P15" i="19"/>
  <c r="P28" i="19" s="1"/>
  <c r="P46" i="19" s="1"/>
  <c r="N32" i="29"/>
  <c r="N45" i="29"/>
  <c r="J307" i="42"/>
  <c r="J306" i="42"/>
  <c r="P15" i="38"/>
  <c r="P28" i="38" s="1"/>
  <c r="P43" i="38" s="1"/>
  <c r="Q5" i="38"/>
  <c r="P17" i="38"/>
  <c r="P30" i="38" s="1"/>
  <c r="P45" i="38" s="1"/>
  <c r="P18" i="38"/>
  <c r="P31" i="38" s="1"/>
  <c r="P46" i="38" s="1"/>
  <c r="P237" i="38" s="1"/>
  <c r="P14" i="38"/>
  <c r="P16" i="38"/>
  <c r="P29" i="38" s="1"/>
  <c r="P44" i="38" s="1"/>
  <c r="P222" i="38" s="1"/>
  <c r="K294" i="38"/>
  <c r="L36" i="19"/>
  <c r="L37" i="19"/>
  <c r="L74" i="42"/>
  <c r="L78" i="42" s="1"/>
  <c r="L76" i="42"/>
  <c r="L75" i="42"/>
  <c r="L79" i="42" s="1"/>
  <c r="L73" i="42"/>
  <c r="L77" i="42" s="1"/>
  <c r="N32" i="19"/>
  <c r="N45" i="19"/>
  <c r="N50" i="19" s="1"/>
  <c r="O19" i="29"/>
  <c r="O27" i="29"/>
  <c r="M214" i="19"/>
  <c r="M34" i="19"/>
  <c r="N19" i="53"/>
  <c r="N27" i="53"/>
  <c r="N32" i="53" s="1"/>
  <c r="K117" i="28"/>
  <c r="M32" i="28"/>
  <c r="M45" i="28"/>
  <c r="N163" i="42"/>
  <c r="N167" i="42" s="1"/>
  <c r="N164" i="42"/>
  <c r="N168" i="42" s="1"/>
  <c r="N165" i="42"/>
  <c r="N162" i="42"/>
  <c r="N166" i="42" s="1"/>
  <c r="J163" i="28"/>
  <c r="J160" i="28"/>
  <c r="J162" i="28"/>
  <c r="I177" i="28"/>
  <c r="I181" i="28"/>
  <c r="J64" i="55" s="1"/>
  <c r="I179" i="28"/>
  <c r="J62" i="55" s="1"/>
  <c r="I178" i="28"/>
  <c r="I182" i="28"/>
  <c r="J65" i="55" s="1"/>
  <c r="I180" i="28"/>
  <c r="J63" i="55" s="1"/>
  <c r="M34" i="42"/>
  <c r="M281" i="42"/>
  <c r="AR80" i="55"/>
  <c r="F329" i="42"/>
  <c r="F338" i="42" s="1"/>
  <c r="O17" i="28"/>
  <c r="O30" i="28" s="1"/>
  <c r="O18" i="28"/>
  <c r="O31" i="28" s="1"/>
  <c r="O14" i="28"/>
  <c r="O15" i="28"/>
  <c r="O28" i="28" s="1"/>
  <c r="O46" i="28" s="1"/>
  <c r="O16" i="28"/>
  <c r="O29" i="28" s="1"/>
  <c r="O47" i="28" s="1"/>
  <c r="P5" i="28"/>
  <c r="CW81" i="55"/>
  <c r="AK81" i="55"/>
  <c r="D340" i="42"/>
  <c r="AK84" i="55"/>
  <c r="D345" i="42"/>
  <c r="G171" i="28"/>
  <c r="G170" i="28"/>
  <c r="M158" i="48"/>
  <c r="M163" i="48" s="1"/>
  <c r="M161" i="48"/>
  <c r="M166" i="48" s="1"/>
  <c r="M160" i="48"/>
  <c r="M165" i="48" s="1"/>
  <c r="M159" i="48"/>
  <c r="M164" i="48" s="1"/>
  <c r="M162" i="48"/>
  <c r="J306" i="38"/>
  <c r="J318" i="38" s="1"/>
  <c r="J307" i="38"/>
  <c r="L37" i="29"/>
  <c r="L36" i="29"/>
  <c r="I156" i="29"/>
  <c r="I157" i="29"/>
  <c r="M181" i="48"/>
  <c r="M186" i="48" s="1"/>
  <c r="M180" i="48"/>
  <c r="M185" i="48" s="1"/>
  <c r="M182" i="48"/>
  <c r="M178" i="48"/>
  <c r="M183" i="48" s="1"/>
  <c r="M179" i="48"/>
  <c r="M184" i="48" s="1"/>
  <c r="O239" i="38"/>
  <c r="O243" i="38" s="1"/>
  <c r="O240" i="38"/>
  <c r="O244" i="38" s="1"/>
  <c r="O238" i="38"/>
  <c r="O242" i="38" s="1"/>
  <c r="L295" i="42"/>
  <c r="L292" i="42"/>
  <c r="L294" i="42"/>
  <c r="G182" i="29"/>
  <c r="N209" i="48"/>
  <c r="N213" i="46"/>
  <c r="N218" i="46" s="1"/>
  <c r="N212" i="46"/>
  <c r="N217" i="46" s="1"/>
  <c r="N211" i="46"/>
  <c r="N216" i="46" s="1"/>
  <c r="N210" i="46"/>
  <c r="N215" i="46" s="1"/>
  <c r="N214" i="46"/>
  <c r="O89" i="45" s="1"/>
  <c r="G336" i="42"/>
  <c r="O14" i="54"/>
  <c r="P5" i="54"/>
  <c r="O16" i="54"/>
  <c r="O29" i="54" s="1"/>
  <c r="O44" i="54" s="1"/>
  <c r="O150" i="54" s="1"/>
  <c r="O151" i="54" s="1"/>
  <c r="O18" i="54"/>
  <c r="O31" i="54" s="1"/>
  <c r="O15" i="54"/>
  <c r="O28" i="54" s="1"/>
  <c r="O17" i="54"/>
  <c r="O30" i="54" s="1"/>
  <c r="P5" i="53"/>
  <c r="O17" i="53"/>
  <c r="O30" i="53" s="1"/>
  <c r="O14" i="53"/>
  <c r="O18" i="53"/>
  <c r="O31" i="53" s="1"/>
  <c r="O15" i="53"/>
  <c r="O28" i="53" s="1"/>
  <c r="O16" i="53"/>
  <c r="O29" i="53" s="1"/>
  <c r="O44" i="53" s="1"/>
  <c r="O150" i="53" s="1"/>
  <c r="O151" i="53" s="1"/>
  <c r="P60" i="51" s="1"/>
  <c r="AV60" i="51" s="1"/>
  <c r="P16" i="46"/>
  <c r="P29" i="46" s="1"/>
  <c r="P44" i="46" s="1"/>
  <c r="P246" i="46" s="1"/>
  <c r="P15" i="46"/>
  <c r="P28" i="46" s="1"/>
  <c r="P43" i="46" s="1"/>
  <c r="P18" i="46"/>
  <c r="P31" i="46" s="1"/>
  <c r="P17" i="46"/>
  <c r="P30" i="46" s="1"/>
  <c r="P45" i="46" s="1"/>
  <c r="P14" i="46"/>
  <c r="Q5" i="46"/>
  <c r="N42" i="38"/>
  <c r="N32" i="38"/>
  <c r="N156" i="42"/>
  <c r="N160" i="42" s="1"/>
  <c r="N157" i="42"/>
  <c r="N155" i="42"/>
  <c r="N159" i="42" s="1"/>
  <c r="N154" i="42"/>
  <c r="N158" i="42" s="1"/>
  <c r="I164" i="28"/>
  <c r="I166" i="28"/>
  <c r="I165" i="28"/>
  <c r="I167" i="28"/>
  <c r="M249" i="42"/>
  <c r="M96" i="42"/>
  <c r="M80" i="42"/>
  <c r="M72" i="42"/>
  <c r="M104" i="42"/>
  <c r="M47" i="42"/>
  <c r="M291" i="42" s="1"/>
  <c r="I173" i="29"/>
  <c r="N42" i="42"/>
  <c r="N32" i="42"/>
  <c r="K57" i="55"/>
  <c r="H324" i="42"/>
  <c r="O64" i="15"/>
  <c r="N78" i="29"/>
  <c r="O64" i="16" s="1"/>
  <c r="N67" i="29"/>
  <c r="O48" i="15"/>
  <c r="O49" i="15" s="1"/>
  <c r="O136" i="15" s="1"/>
  <c r="N75" i="29"/>
  <c r="N76" i="29"/>
  <c r="O58" i="16" s="1"/>
  <c r="O58" i="15"/>
  <c r="N70" i="29"/>
  <c r="N73" i="29"/>
  <c r="O45" i="15"/>
  <c r="N74" i="29"/>
  <c r="O48" i="16" s="1"/>
  <c r="O49" i="16" s="1"/>
  <c r="O136" i="16" s="1"/>
  <c r="N69" i="29"/>
  <c r="N66" i="29"/>
  <c r="N65" i="29" s="1"/>
  <c r="N77" i="29"/>
  <c r="O45" i="16" s="1"/>
  <c r="N71" i="29"/>
  <c r="N68" i="29"/>
  <c r="O223" i="42"/>
  <c r="O227" i="42" s="1"/>
  <c r="O224" i="42"/>
  <c r="O228" i="42" s="1"/>
  <c r="O225" i="42"/>
  <c r="O229" i="42" s="1"/>
  <c r="O226" i="42"/>
  <c r="K133" i="15" a="1"/>
  <c r="K134" i="15"/>
  <c r="K140" i="15" s="1"/>
  <c r="K68" i="15"/>
  <c r="K77" i="15" s="1"/>
  <c r="BV57" i="55"/>
  <c r="I152" i="28"/>
  <c r="L295" i="38"/>
  <c r="L292" i="38"/>
  <c r="J300" i="42"/>
  <c r="J301" i="42"/>
  <c r="O225" i="38"/>
  <c r="O229" i="38" s="1"/>
  <c r="O224" i="38"/>
  <c r="O228" i="38" s="1"/>
  <c r="O223" i="38"/>
  <c r="O227" i="38" s="1"/>
  <c r="M50" i="29"/>
  <c r="M145" i="29" s="1"/>
  <c r="K296" i="38"/>
  <c r="K299" i="38"/>
  <c r="K298" i="38"/>
  <c r="K297" i="38"/>
  <c r="I302" i="38"/>
  <c r="I303" i="38"/>
  <c r="N83" i="29"/>
  <c r="N82" i="29" s="1"/>
  <c r="N229" i="48"/>
  <c r="N232" i="46"/>
  <c r="N237" i="46" s="1"/>
  <c r="N233" i="46"/>
  <c r="N238" i="46" s="1"/>
  <c r="N234" i="46"/>
  <c r="O108" i="45" s="1"/>
  <c r="AU108" i="45" s="1"/>
  <c r="N230" i="46"/>
  <c r="N235" i="46" s="1"/>
  <c r="N231" i="46"/>
  <c r="N236" i="46" s="1"/>
  <c r="P18" i="29"/>
  <c r="P31" i="29" s="1"/>
  <c r="Q5" i="29"/>
  <c r="P17" i="29"/>
  <c r="P30" i="29" s="1"/>
  <c r="P16" i="29"/>
  <c r="P29" i="29" s="1"/>
  <c r="P47" i="29" s="1"/>
  <c r="P14" i="29"/>
  <c r="P15" i="29"/>
  <c r="P28" i="29" s="1"/>
  <c r="P46" i="29" s="1"/>
  <c r="K37" i="28"/>
  <c r="K36" i="28"/>
  <c r="O19" i="46"/>
  <c r="O275" i="46" s="1"/>
  <c r="O27" i="46"/>
  <c r="O32" i="46" s="1"/>
  <c r="N139" i="42"/>
  <c r="N143" i="42" s="1"/>
  <c r="N141" i="42"/>
  <c r="N138" i="42"/>
  <c r="N142" i="42" s="1"/>
  <c r="N140" i="42"/>
  <c r="N144" i="42" s="1"/>
  <c r="K239" i="19"/>
  <c r="K251" i="19" s="1"/>
  <c r="K240" i="19"/>
  <c r="N161" i="46"/>
  <c r="N166" i="46" s="1"/>
  <c r="N159" i="46"/>
  <c r="N164" i="46" s="1"/>
  <c r="N158" i="46"/>
  <c r="N163" i="46" s="1"/>
  <c r="N162" i="46"/>
  <c r="O98" i="45" s="1"/>
  <c r="AU98" i="45" s="1"/>
  <c r="N157" i="48"/>
  <c r="N160" i="46"/>
  <c r="N165" i="46" s="1"/>
  <c r="N203" i="38"/>
  <c r="O101" i="36" s="1"/>
  <c r="AU101" i="36" s="1"/>
  <c r="N201" i="38"/>
  <c r="N205" i="38" s="1"/>
  <c r="N202" i="38"/>
  <c r="N206" i="38" s="1"/>
  <c r="N200" i="38"/>
  <c r="N204" i="38" s="1"/>
  <c r="N201" i="42"/>
  <c r="N205" i="42" s="1"/>
  <c r="N200" i="42"/>
  <c r="N204" i="42" s="1"/>
  <c r="N202" i="42"/>
  <c r="N206" i="42" s="1"/>
  <c r="N203" i="42"/>
  <c r="P17" i="42"/>
  <c r="P30" i="42" s="1"/>
  <c r="P45" i="42" s="1"/>
  <c r="Q5" i="42"/>
  <c r="P16" i="42"/>
  <c r="P29" i="42" s="1"/>
  <c r="P44" i="42" s="1"/>
  <c r="P222" i="42" s="1"/>
  <c r="P14" i="42"/>
  <c r="P15" i="42"/>
  <c r="P28" i="42" s="1"/>
  <c r="P43" i="42" s="1"/>
  <c r="P18" i="42"/>
  <c r="P31" i="42" s="1"/>
  <c r="P46" i="42" s="1"/>
  <c r="P237" i="42" s="1"/>
  <c r="J154" i="29"/>
  <c r="J155" i="29"/>
  <c r="L216" i="28"/>
  <c r="L59" i="29"/>
  <c r="M44" i="16" s="1"/>
  <c r="L62" i="29"/>
  <c r="M62" i="16" s="1"/>
  <c r="M65" i="16" s="1"/>
  <c r="M139" i="16" s="1"/>
  <c r="M62" i="15"/>
  <c r="M65" i="15" s="1"/>
  <c r="M139" i="15" s="1"/>
  <c r="L63" i="29"/>
  <c r="M56" i="16" s="1"/>
  <c r="M56" i="15"/>
  <c r="L61" i="29"/>
  <c r="M44" i="15"/>
  <c r="L57" i="29"/>
  <c r="L53" i="29"/>
  <c r="L50" i="28"/>
  <c r="L117" i="28" s="1"/>
  <c r="L55" i="29"/>
  <c r="L52" i="29" s="1"/>
  <c r="L92" i="29" s="1"/>
  <c r="L60" i="29"/>
  <c r="L54" i="29"/>
  <c r="L56" i="29"/>
  <c r="O19" i="48"/>
  <c r="O275" i="48" s="1"/>
  <c r="O27" i="48"/>
  <c r="O32" i="48" s="1"/>
  <c r="K217" i="28"/>
  <c r="J151" i="28"/>
  <c r="L149" i="29"/>
  <c r="L146" i="29"/>
  <c r="L293" i="38"/>
  <c r="M80" i="55" s="1"/>
  <c r="L316" i="38"/>
  <c r="N61" i="15"/>
  <c r="M88" i="29"/>
  <c r="O137" i="38"/>
  <c r="O153" i="38"/>
  <c r="O145" i="38"/>
  <c r="O161" i="38"/>
  <c r="M34" i="29"/>
  <c r="M135" i="29"/>
  <c r="L246" i="42"/>
  <c r="M171" i="48"/>
  <c r="M176" i="48" s="1"/>
  <c r="M168" i="48"/>
  <c r="M173" i="48" s="1"/>
  <c r="M170" i="48"/>
  <c r="M175" i="48" s="1"/>
  <c r="M172" i="48"/>
  <c r="M169" i="48"/>
  <c r="M174" i="48" s="1"/>
  <c r="H328" i="42"/>
  <c r="F189" i="28"/>
  <c r="F190" i="28" s="1"/>
  <c r="F192" i="28" s="1"/>
  <c r="N219" i="48"/>
  <c r="N224" i="46"/>
  <c r="O99" i="45" s="1"/>
  <c r="AU99" i="45" s="1"/>
  <c r="N223" i="46"/>
  <c r="N228" i="46" s="1"/>
  <c r="N222" i="46"/>
  <c r="N227" i="46" s="1"/>
  <c r="N221" i="46"/>
  <c r="N226" i="46" s="1"/>
  <c r="N220" i="46"/>
  <c r="N225" i="46" s="1"/>
  <c r="J170" i="29"/>
  <c r="J171" i="29" s="1"/>
  <c r="J147" i="29"/>
  <c r="K150" i="29"/>
  <c r="K151" i="29"/>
  <c r="K152" i="29"/>
  <c r="K153" i="29"/>
  <c r="N146" i="38"/>
  <c r="N150" i="38" s="1"/>
  <c r="N147" i="38"/>
  <c r="N151" i="38" s="1"/>
  <c r="N149" i="38"/>
  <c r="O100" i="36" s="1"/>
  <c r="AU100" i="36" s="1"/>
  <c r="N148" i="38"/>
  <c r="N152" i="38" s="1"/>
  <c r="H158" i="29"/>
  <c r="H162" i="29" s="1"/>
  <c r="H159" i="29"/>
  <c r="O229" i="46"/>
  <c r="O209" i="46"/>
  <c r="O219" i="46"/>
  <c r="L67" i="15"/>
  <c r="L46" i="15"/>
  <c r="J236" i="19"/>
  <c r="J235" i="19"/>
  <c r="H177" i="29"/>
  <c r="M213" i="48"/>
  <c r="M218" i="48" s="1"/>
  <c r="M214" i="48"/>
  <c r="M210" i="48"/>
  <c r="M215" i="48" s="1"/>
  <c r="M212" i="48"/>
  <c r="M217" i="48" s="1"/>
  <c r="M211" i="48"/>
  <c r="M216" i="48" s="1"/>
  <c r="N181" i="46"/>
  <c r="N186" i="46" s="1"/>
  <c r="N180" i="46"/>
  <c r="N185" i="46" s="1"/>
  <c r="N179" i="46"/>
  <c r="N184" i="46" s="1"/>
  <c r="N182" i="46"/>
  <c r="O107" i="45" s="1"/>
  <c r="AU107" i="45" s="1"/>
  <c r="N178" i="46"/>
  <c r="N183" i="46" s="1"/>
  <c r="N177" i="48"/>
  <c r="N209" i="38"/>
  <c r="N213" i="38" s="1"/>
  <c r="N211" i="38"/>
  <c r="N210" i="38"/>
  <c r="N214" i="38" s="1"/>
  <c r="N208" i="38"/>
  <c r="N212" i="38" s="1"/>
  <c r="H166" i="29"/>
  <c r="AO63" i="55" s="1"/>
  <c r="H164" i="29"/>
  <c r="H167" i="29"/>
  <c r="AO64" i="55" s="1"/>
  <c r="H163" i="29"/>
  <c r="H165" i="29"/>
  <c r="AO62" i="55" s="1"/>
  <c r="H168" i="29"/>
  <c r="AO65" i="55" s="1"/>
  <c r="N192" i="42"/>
  <c r="N196" i="42" s="1"/>
  <c r="N193" i="42"/>
  <c r="N197" i="42" s="1"/>
  <c r="N195" i="42"/>
  <c r="N194" i="42"/>
  <c r="N198" i="42" s="1"/>
  <c r="J312" i="42"/>
  <c r="AQ86" i="55" s="1"/>
  <c r="J310" i="42"/>
  <c r="J309" i="42"/>
  <c r="J314" i="42"/>
  <c r="AQ88" i="55" s="1"/>
  <c r="J311" i="42"/>
  <c r="AQ85" i="55" s="1"/>
  <c r="J313" i="42"/>
  <c r="AQ87" i="55" s="1"/>
  <c r="O137" i="42"/>
  <c r="O153" i="42"/>
  <c r="O161" i="42"/>
  <c r="O145" i="42"/>
  <c r="L34" i="28"/>
  <c r="L149" i="28"/>
  <c r="N251" i="48"/>
  <c r="N250" i="48"/>
  <c r="N255" i="48" s="1"/>
  <c r="N247" i="48"/>
  <c r="N252" i="48" s="1"/>
  <c r="N248" i="48"/>
  <c r="N253" i="48" s="1"/>
  <c r="N249" i="48"/>
  <c r="N254" i="48" s="1"/>
  <c r="E196" i="28"/>
  <c r="E197" i="28" s="1"/>
  <c r="E204" i="28" s="1"/>
  <c r="D72" i="15"/>
  <c r="D34" i="58" s="1"/>
  <c r="C214" i="28"/>
  <c r="D73" i="15" s="1"/>
  <c r="L65" i="16"/>
  <c r="L139" i="16" s="1"/>
  <c r="O19" i="38"/>
  <c r="O247" i="38" s="1"/>
  <c r="O27" i="38"/>
  <c r="L84" i="42"/>
  <c r="L82" i="42"/>
  <c r="L86" i="42" s="1"/>
  <c r="L83" i="42"/>
  <c r="L87" i="42" s="1"/>
  <c r="L81" i="42"/>
  <c r="L85" i="42" s="1"/>
  <c r="H155" i="28"/>
  <c r="BU62" i="55" s="1"/>
  <c r="H158" i="28"/>
  <c r="BU65" i="55" s="1"/>
  <c r="H153" i="28"/>
  <c r="H154" i="28"/>
  <c r="BU61" i="55" s="1"/>
  <c r="H156" i="28"/>
  <c r="BU63" i="55" s="1"/>
  <c r="H157" i="28"/>
  <c r="BU64" i="55" s="1"/>
  <c r="D213" i="28"/>
  <c r="E123" i="14"/>
  <c r="C173" i="19"/>
  <c r="C174" i="19"/>
  <c r="C176" i="19"/>
  <c r="C169" i="19"/>
  <c r="D214" i="20"/>
  <c r="E135" i="12" s="1"/>
  <c r="C203" i="20"/>
  <c r="C164" i="19" s="1"/>
  <c r="C202" i="20"/>
  <c r="C163" i="19" s="1"/>
  <c r="C204" i="20"/>
  <c r="C165" i="19" s="1"/>
  <c r="C205" i="20"/>
  <c r="C166" i="19" s="1"/>
  <c r="C206" i="20"/>
  <c r="C167" i="19" s="1"/>
  <c r="D203" i="20"/>
  <c r="D205" i="20"/>
  <c r="D202" i="20"/>
  <c r="D204" i="20"/>
  <c r="D206" i="20"/>
  <c r="D167" i="19" s="1"/>
  <c r="C188" i="20"/>
  <c r="C176" i="20"/>
  <c r="C182" i="20"/>
  <c r="C144" i="19" s="1"/>
  <c r="D125" i="14" s="1"/>
  <c r="C148" i="20"/>
  <c r="C136" i="20"/>
  <c r="C112" i="19" s="1"/>
  <c r="D126" i="14" s="1"/>
  <c r="C130" i="20"/>
  <c r="D103" i="12" s="1"/>
  <c r="C142" i="20"/>
  <c r="D170" i="19"/>
  <c r="C331" i="20"/>
  <c r="L26" i="33"/>
  <c r="E31" i="20"/>
  <c r="E49" i="20" s="1"/>
  <c r="E214" i="20" s="1"/>
  <c r="F135" i="12" s="1"/>
  <c r="D222" i="20"/>
  <c r="D27" i="20"/>
  <c r="E123" i="12"/>
  <c r="D158" i="19"/>
  <c r="D160" i="19"/>
  <c r="C133" i="19"/>
  <c r="C136" i="19"/>
  <c r="C132" i="19"/>
  <c r="I14" i="31"/>
  <c r="O14" i="31" s="1"/>
  <c r="C135" i="19"/>
  <c r="C134" i="19"/>
  <c r="I12" i="31"/>
  <c r="O12" i="31" s="1"/>
  <c r="I13" i="31"/>
  <c r="O13" i="31" s="1"/>
  <c r="D28" i="20"/>
  <c r="D46" i="20" s="1"/>
  <c r="E94" i="12" s="1"/>
  <c r="D30" i="20"/>
  <c r="D48" i="20" s="1"/>
  <c r="I8" i="31"/>
  <c r="O8" i="31" s="1"/>
  <c r="I18" i="31"/>
  <c r="O18" i="31" s="1"/>
  <c r="I9" i="31"/>
  <c r="O9" i="31" s="1"/>
  <c r="C158" i="19"/>
  <c r="C157" i="19" s="1"/>
  <c r="C160" i="19"/>
  <c r="I10" i="31"/>
  <c r="O10" i="31" s="1"/>
  <c r="C100" i="19"/>
  <c r="C286" i="19" s="1"/>
  <c r="C99" i="19"/>
  <c r="C104" i="19"/>
  <c r="C103" i="19"/>
  <c r="C102" i="19"/>
  <c r="I7" i="31"/>
  <c r="O7" i="31" s="1"/>
  <c r="C101" i="19"/>
  <c r="C45" i="20"/>
  <c r="C32" i="20"/>
  <c r="BP4" i="55" s="1"/>
  <c r="CV4" i="55" s="1"/>
  <c r="C330" i="20"/>
  <c r="M325" i="20" s="1"/>
  <c r="E29" i="20"/>
  <c r="E47" i="20" s="1"/>
  <c r="E201" i="20" s="1"/>
  <c r="E162" i="19" s="1"/>
  <c r="F123" i="14" s="1"/>
  <c r="CW58" i="55" l="1"/>
  <c r="E69" i="16"/>
  <c r="E71" i="16" s="1"/>
  <c r="AK33" i="58" s="1"/>
  <c r="AK58" i="55"/>
  <c r="AK61" i="55"/>
  <c r="D199" i="29"/>
  <c r="I321" i="42"/>
  <c r="I322" i="42" s="1"/>
  <c r="I324" i="42" s="1"/>
  <c r="G189" i="28"/>
  <c r="G190" i="28" s="1"/>
  <c r="L57" i="55"/>
  <c r="I175" i="29"/>
  <c r="I176" i="29" s="1"/>
  <c r="I178" i="29" s="1"/>
  <c r="AL61" i="55"/>
  <c r="K141" i="15"/>
  <c r="K142" i="15" s="1"/>
  <c r="E199" i="29"/>
  <c r="G192" i="28"/>
  <c r="AL58" i="55"/>
  <c r="CX58" i="55"/>
  <c r="F71" i="16"/>
  <c r="AL33" i="58" s="1"/>
  <c r="M246" i="42"/>
  <c r="P49" i="29"/>
  <c r="F336" i="42"/>
  <c r="F69" i="15"/>
  <c r="I182" i="29"/>
  <c r="I183" i="29"/>
  <c r="I192" i="29" s="1"/>
  <c r="J70" i="16" s="1"/>
  <c r="O230" i="46"/>
  <c r="O235" i="46" s="1"/>
  <c r="O233" i="46"/>
  <c r="O238" i="46" s="1"/>
  <c r="O234" i="46"/>
  <c r="P108" i="45" s="1"/>
  <c r="AV108" i="45" s="1"/>
  <c r="O229" i="48"/>
  <c r="O232" i="46"/>
  <c r="O237" i="46" s="1"/>
  <c r="O231" i="46"/>
  <c r="O236" i="46" s="1"/>
  <c r="M36" i="29"/>
  <c r="M37" i="29"/>
  <c r="N249" i="38"/>
  <c r="N47" i="38"/>
  <c r="N291" i="38" s="1"/>
  <c r="N96" i="38"/>
  <c r="N72" i="38"/>
  <c r="N73" i="38" s="1"/>
  <c r="N104" i="38"/>
  <c r="N80" i="38"/>
  <c r="L91" i="29"/>
  <c r="L103" i="29"/>
  <c r="M295" i="42"/>
  <c r="M292" i="42"/>
  <c r="I168" i="28"/>
  <c r="I169" i="28"/>
  <c r="P18" i="54"/>
  <c r="P31" i="54" s="1"/>
  <c r="P15" i="54"/>
  <c r="P28" i="54" s="1"/>
  <c r="P17" i="54"/>
  <c r="P30" i="54" s="1"/>
  <c r="Q5" i="54"/>
  <c r="P14" i="54"/>
  <c r="P16" i="54"/>
  <c r="P29" i="54" s="1"/>
  <c r="P44" i="54" s="1"/>
  <c r="P150" i="54" s="1"/>
  <c r="P151" i="54" s="1"/>
  <c r="N214" i="48"/>
  <c r="N213" i="48"/>
  <c r="N218" i="48" s="1"/>
  <c r="N211" i="48"/>
  <c r="N216" i="48" s="1"/>
  <c r="N212" i="48"/>
  <c r="N217" i="48" s="1"/>
  <c r="N210" i="48"/>
  <c r="N215" i="48" s="1"/>
  <c r="Q5" i="28"/>
  <c r="P14" i="28"/>
  <c r="P18" i="28"/>
  <c r="P31" i="28" s="1"/>
  <c r="P17" i="28"/>
  <c r="P30" i="28" s="1"/>
  <c r="P16" i="28"/>
  <c r="P29" i="28" s="1"/>
  <c r="P47" i="28" s="1"/>
  <c r="P15" i="28"/>
  <c r="P28" i="28" s="1"/>
  <c r="P46" i="28" s="1"/>
  <c r="P238" i="38"/>
  <c r="P242" i="38" s="1"/>
  <c r="P239" i="38"/>
  <c r="P243" i="38" s="1"/>
  <c r="P240" i="38"/>
  <c r="P244" i="38" s="1"/>
  <c r="O150" i="46"/>
  <c r="O155" i="46" s="1"/>
  <c r="O149" i="46"/>
  <c r="O154" i="46" s="1"/>
  <c r="O151" i="46"/>
  <c r="O156" i="46" s="1"/>
  <c r="O148" i="46"/>
  <c r="O153" i="46" s="1"/>
  <c r="O152" i="46"/>
  <c r="P83" i="45" s="1"/>
  <c r="O147" i="48"/>
  <c r="K236" i="19"/>
  <c r="K235" i="19"/>
  <c r="K170" i="29"/>
  <c r="K171" i="29" s="1"/>
  <c r="K147" i="29"/>
  <c r="J156" i="29"/>
  <c r="J157" i="29"/>
  <c r="L196" i="29"/>
  <c r="L197" i="29"/>
  <c r="E72" i="15"/>
  <c r="E34" i="58" s="1"/>
  <c r="D214" i="28"/>
  <c r="E73" i="15" s="1"/>
  <c r="J237" i="19"/>
  <c r="J241" i="19" s="1"/>
  <c r="J238" i="19"/>
  <c r="K155" i="29"/>
  <c r="K154" i="29"/>
  <c r="O149" i="38"/>
  <c r="P100" i="36" s="1"/>
  <c r="AV100" i="36" s="1"/>
  <c r="O148" i="38"/>
  <c r="O152" i="38" s="1"/>
  <c r="O146" i="38"/>
  <c r="O150" i="38" s="1"/>
  <c r="O147" i="38"/>
  <c r="O151" i="38" s="1"/>
  <c r="M66" i="15"/>
  <c r="M59" i="15"/>
  <c r="M135" i="15" s="1"/>
  <c r="P241" i="42"/>
  <c r="P240" i="42"/>
  <c r="P244" i="42" s="1"/>
  <c r="P238" i="42"/>
  <c r="P242" i="42" s="1"/>
  <c r="P239" i="42"/>
  <c r="P243" i="42" s="1"/>
  <c r="N162" i="48"/>
  <c r="N159" i="48"/>
  <c r="N164" i="48" s="1"/>
  <c r="N158" i="48"/>
  <c r="N163" i="48" s="1"/>
  <c r="N161" i="48"/>
  <c r="N166" i="48" s="1"/>
  <c r="N160" i="48"/>
  <c r="N165" i="48" s="1"/>
  <c r="K300" i="38"/>
  <c r="K301" i="38"/>
  <c r="J303" i="42"/>
  <c r="J302" i="42"/>
  <c r="M107" i="42"/>
  <c r="M111" i="42" s="1"/>
  <c r="M108" i="42"/>
  <c r="M106" i="42"/>
  <c r="M110" i="42" s="1"/>
  <c r="M105" i="42"/>
  <c r="M109" i="42" s="1"/>
  <c r="P19" i="46"/>
  <c r="P275" i="46" s="1"/>
  <c r="P27" i="46"/>
  <c r="P32" i="46" s="1"/>
  <c r="O19" i="53"/>
  <c r="O27" i="53"/>
  <c r="O32" i="53" s="1"/>
  <c r="O19" i="54"/>
  <c r="O27" i="54"/>
  <c r="O32" i="54" s="1"/>
  <c r="G172" i="28"/>
  <c r="G176" i="28" s="1"/>
  <c r="G173" i="28"/>
  <c r="P55" i="15"/>
  <c r="O85" i="29"/>
  <c r="P55" i="16" s="1"/>
  <c r="M37" i="19"/>
  <c r="M36" i="19"/>
  <c r="P199" i="38"/>
  <c r="P207" i="38"/>
  <c r="P191" i="38"/>
  <c r="O248" i="48"/>
  <c r="O253" i="48" s="1"/>
  <c r="O247" i="48"/>
  <c r="O252" i="48" s="1"/>
  <c r="O250" i="48"/>
  <c r="O255" i="48" s="1"/>
  <c r="O249" i="48"/>
  <c r="O254" i="48" s="1"/>
  <c r="O251" i="48"/>
  <c r="M229" i="19"/>
  <c r="M230" i="19"/>
  <c r="M232" i="19"/>
  <c r="M231" i="19"/>
  <c r="O32" i="19"/>
  <c r="O45" i="19"/>
  <c r="O50" i="19" s="1"/>
  <c r="K309" i="42"/>
  <c r="K313" i="42"/>
  <c r="AR87" i="55" s="1"/>
  <c r="K312" i="42"/>
  <c r="AR86" i="55" s="1"/>
  <c r="K314" i="42"/>
  <c r="AR88" i="55" s="1"/>
  <c r="K311" i="42"/>
  <c r="AR85" i="55" s="1"/>
  <c r="K310" i="42"/>
  <c r="H170" i="28"/>
  <c r="H171" i="28"/>
  <c r="M293" i="38"/>
  <c r="N80" i="55" s="1"/>
  <c r="M316" i="38"/>
  <c r="J173" i="29"/>
  <c r="DE80" i="55"/>
  <c r="AS80" i="55"/>
  <c r="I304" i="38"/>
  <c r="I308" i="38" s="1"/>
  <c r="I305" i="38"/>
  <c r="I158" i="29"/>
  <c r="I162" i="29" s="1"/>
  <c r="I159" i="29"/>
  <c r="H182" i="29"/>
  <c r="K160" i="29"/>
  <c r="K172" i="29" s="1"/>
  <c r="K161" i="29"/>
  <c r="O164" i="38"/>
  <c r="O168" i="38" s="1"/>
  <c r="O165" i="38"/>
  <c r="P109" i="36" s="1"/>
  <c r="AV109" i="36" s="1"/>
  <c r="O163" i="38"/>
  <c r="O167" i="38" s="1"/>
  <c r="O162" i="38"/>
  <c r="O166" i="38" s="1"/>
  <c r="Q15" i="46"/>
  <c r="Q28" i="46" s="1"/>
  <c r="Q43" i="46" s="1"/>
  <c r="Q18" i="46"/>
  <c r="Q31" i="46" s="1"/>
  <c r="Q16" i="46"/>
  <c r="Q29" i="46" s="1"/>
  <c r="Q44" i="46" s="1"/>
  <c r="Q246" i="46" s="1"/>
  <c r="Q14" i="46"/>
  <c r="Q17" i="46"/>
  <c r="Q30" i="46" s="1"/>
  <c r="Q45" i="46" s="1"/>
  <c r="R5" i="46"/>
  <c r="L37" i="28"/>
  <c r="L36" i="28"/>
  <c r="O156" i="38"/>
  <c r="O160" i="38" s="1"/>
  <c r="O157" i="38"/>
  <c r="P79" i="36" s="1"/>
  <c r="AV79" i="36" s="1"/>
  <c r="O155" i="38"/>
  <c r="O159" i="38" s="1"/>
  <c r="O154" i="38"/>
  <c r="O158" i="38" s="1"/>
  <c r="L153" i="29"/>
  <c r="L151" i="29"/>
  <c r="L152" i="29"/>
  <c r="L150" i="29"/>
  <c r="M59" i="16"/>
  <c r="M135" i="16" s="1"/>
  <c r="M66" i="16"/>
  <c r="P137" i="42"/>
  <c r="P153" i="42"/>
  <c r="P145" i="42"/>
  <c r="P161" i="42"/>
  <c r="P19" i="29"/>
  <c r="P27" i="29"/>
  <c r="K307" i="38"/>
  <c r="K306" i="38"/>
  <c r="K318" i="38" s="1"/>
  <c r="M74" i="42"/>
  <c r="M78" i="42" s="1"/>
  <c r="M75" i="42"/>
  <c r="M79" i="42" s="1"/>
  <c r="M73" i="42"/>
  <c r="M77" i="42" s="1"/>
  <c r="M76" i="42"/>
  <c r="P209" i="46"/>
  <c r="P219" i="46"/>
  <c r="P229" i="46"/>
  <c r="CZ81" i="55"/>
  <c r="AN81" i="55"/>
  <c r="AN84" i="55"/>
  <c r="G340" i="42"/>
  <c r="G345" i="42"/>
  <c r="G183" i="29"/>
  <c r="G192" i="29" s="1"/>
  <c r="H70" i="16" s="1"/>
  <c r="P48" i="15"/>
  <c r="P49" i="15" s="1"/>
  <c r="P136" i="15" s="1"/>
  <c r="O76" i="29"/>
  <c r="P58" i="16" s="1"/>
  <c r="O70" i="29"/>
  <c r="O73" i="29"/>
  <c r="O78" i="29"/>
  <c r="P64" i="16" s="1"/>
  <c r="O66" i="29"/>
  <c r="O65" i="29" s="1"/>
  <c r="O77" i="29"/>
  <c r="P45" i="16" s="1"/>
  <c r="P58" i="15"/>
  <c r="O74" i="29"/>
  <c r="P48" i="16" s="1"/>
  <c r="P49" i="16" s="1"/>
  <c r="P136" i="16" s="1"/>
  <c r="O69" i="29"/>
  <c r="P45" i="15"/>
  <c r="O68" i="29"/>
  <c r="O67" i="29"/>
  <c r="P64" i="15"/>
  <c r="O75" i="29"/>
  <c r="O71" i="29"/>
  <c r="M216" i="28"/>
  <c r="M54" i="29"/>
  <c r="M53" i="29"/>
  <c r="M59" i="29"/>
  <c r="N44" i="16" s="1"/>
  <c r="M57" i="29"/>
  <c r="M56" i="29"/>
  <c r="N56" i="15"/>
  <c r="M50" i="28"/>
  <c r="M60" i="29"/>
  <c r="N62" i="15"/>
  <c r="M62" i="29"/>
  <c r="N62" i="16" s="1"/>
  <c r="N44" i="15"/>
  <c r="M55" i="29"/>
  <c r="M52" i="29" s="1"/>
  <c r="M61" i="29"/>
  <c r="M63" i="29"/>
  <c r="N56" i="16" s="1"/>
  <c r="M117" i="28"/>
  <c r="Q15" i="38"/>
  <c r="Q28" i="38" s="1"/>
  <c r="Q43" i="38" s="1"/>
  <c r="Q18" i="38"/>
  <c r="Q31" i="38" s="1"/>
  <c r="Q46" i="38" s="1"/>
  <c r="Q237" i="38" s="1"/>
  <c r="Q17" i="38"/>
  <c r="Q30" i="38" s="1"/>
  <c r="Q45" i="38" s="1"/>
  <c r="Q16" i="38"/>
  <c r="Q29" i="38" s="1"/>
  <c r="Q44" i="38" s="1"/>
  <c r="Q222" i="38" s="1"/>
  <c r="Q14" i="38"/>
  <c r="R5" i="38"/>
  <c r="P19" i="19"/>
  <c r="P27" i="19"/>
  <c r="G196" i="28"/>
  <c r="I139" i="29"/>
  <c r="I141" i="29"/>
  <c r="I143" i="29"/>
  <c r="I140" i="29"/>
  <c r="I142" i="29"/>
  <c r="I144" i="29"/>
  <c r="F197" i="28"/>
  <c r="F206" i="28" s="1"/>
  <c r="G70" i="15" s="1"/>
  <c r="O42" i="42"/>
  <c r="O32" i="42"/>
  <c r="K283" i="42"/>
  <c r="K284" i="42" s="1"/>
  <c r="L250" i="42"/>
  <c r="O210" i="42"/>
  <c r="O214" i="42" s="1"/>
  <c r="O211" i="42"/>
  <c r="O208" i="42"/>
  <c r="O212" i="42" s="1"/>
  <c r="O209" i="42"/>
  <c r="O213" i="42" s="1"/>
  <c r="I304" i="42"/>
  <c r="I308" i="42" s="1"/>
  <c r="I305" i="42"/>
  <c r="M67" i="15"/>
  <c r="M46" i="15"/>
  <c r="CY81" i="55"/>
  <c r="AM81" i="55"/>
  <c r="F340" i="42"/>
  <c r="AM84" i="55"/>
  <c r="F345" i="42"/>
  <c r="N34" i="29"/>
  <c r="N135" i="29"/>
  <c r="E206" i="28"/>
  <c r="O146" i="42"/>
  <c r="O150" i="42" s="1"/>
  <c r="O148" i="42"/>
  <c r="O152" i="42" s="1"/>
  <c r="O147" i="42"/>
  <c r="O151" i="42" s="1"/>
  <c r="O149" i="42"/>
  <c r="L134" i="15"/>
  <c r="L140" i="15" s="1"/>
  <c r="L133" i="15" a="1"/>
  <c r="L68" i="15"/>
  <c r="L77" i="15" s="1"/>
  <c r="O139" i="38"/>
  <c r="O140" i="38"/>
  <c r="O138" i="38"/>
  <c r="BW57" i="55"/>
  <c r="J152" i="28"/>
  <c r="P27" i="42"/>
  <c r="P19" i="42"/>
  <c r="P247" i="42" s="1"/>
  <c r="P83" i="29"/>
  <c r="P82" i="29" s="1"/>
  <c r="M81" i="42"/>
  <c r="M85" i="42" s="1"/>
  <c r="M83" i="42"/>
  <c r="M87" i="42" s="1"/>
  <c r="M84" i="42"/>
  <c r="M82" i="42"/>
  <c r="M86" i="42" s="1"/>
  <c r="P18" i="53"/>
  <c r="P31" i="53" s="1"/>
  <c r="P15" i="53"/>
  <c r="P28" i="53" s="1"/>
  <c r="Q5" i="53"/>
  <c r="P16" i="53"/>
  <c r="P29" i="53" s="1"/>
  <c r="P44" i="53" s="1"/>
  <c r="P150" i="53" s="1"/>
  <c r="P151" i="53" s="1"/>
  <c r="Q60" i="51" s="1"/>
  <c r="AW60" i="51" s="1"/>
  <c r="P14" i="53"/>
  <c r="P17" i="53"/>
  <c r="P30" i="53" s="1"/>
  <c r="L310" i="42"/>
  <c r="L312" i="42"/>
  <c r="AS86" i="55" s="1"/>
  <c r="L313" i="42"/>
  <c r="AS87" i="55" s="1"/>
  <c r="L311" i="42"/>
  <c r="AS85" i="55" s="1"/>
  <c r="L314" i="42"/>
  <c r="AS88" i="55" s="1"/>
  <c r="L309" i="42"/>
  <c r="AK126" i="36"/>
  <c r="AK39" i="58" s="1"/>
  <c r="D346" i="42"/>
  <c r="AK127" i="36" s="1"/>
  <c r="O19" i="28"/>
  <c r="O118" i="28" s="1"/>
  <c r="O27" i="28"/>
  <c r="J177" i="28"/>
  <c r="J182" i="28"/>
  <c r="K65" i="55" s="1"/>
  <c r="J181" i="28"/>
  <c r="K64" i="55" s="1"/>
  <c r="J178" i="28"/>
  <c r="J180" i="28"/>
  <c r="K63" i="55" s="1"/>
  <c r="J179" i="28"/>
  <c r="K62" i="55" s="1"/>
  <c r="M34" i="28"/>
  <c r="M149" i="28"/>
  <c r="O32" i="29"/>
  <c r="O45" i="29"/>
  <c r="P137" i="38"/>
  <c r="P153" i="38"/>
  <c r="P145" i="38"/>
  <c r="P161" i="38"/>
  <c r="N32" i="28"/>
  <c r="N45" i="28"/>
  <c r="K104" i="29"/>
  <c r="J137" i="29"/>
  <c r="J138" i="29" s="1"/>
  <c r="J303" i="38"/>
  <c r="J302" i="38"/>
  <c r="L133" i="16" a="1"/>
  <c r="L134" i="16"/>
  <c r="L140" i="16" s="1"/>
  <c r="L68" i="16"/>
  <c r="L77" i="16"/>
  <c r="O83" i="29"/>
  <c r="O82" i="29" s="1"/>
  <c r="M246" i="38"/>
  <c r="J286" i="42"/>
  <c r="J290" i="42"/>
  <c r="J287" i="42"/>
  <c r="J289" i="42"/>
  <c r="J288" i="42"/>
  <c r="J285" i="42"/>
  <c r="N149" i="48"/>
  <c r="N154" i="48" s="1"/>
  <c r="N148" i="48"/>
  <c r="N153" i="48" s="1"/>
  <c r="N150" i="48"/>
  <c r="N155" i="48" s="1"/>
  <c r="N151" i="48"/>
  <c r="N156" i="48" s="1"/>
  <c r="N152" i="48"/>
  <c r="O194" i="38"/>
  <c r="O198" i="38" s="1"/>
  <c r="O192" i="38"/>
  <c r="O196" i="38" s="1"/>
  <c r="O193" i="38"/>
  <c r="O197" i="38" s="1"/>
  <c r="O193" i="42"/>
  <c r="O197" i="42" s="1"/>
  <c r="O194" i="42"/>
  <c r="O198" i="42" s="1"/>
  <c r="O192" i="42"/>
  <c r="O196" i="42" s="1"/>
  <c r="O195" i="42"/>
  <c r="N34" i="54"/>
  <c r="N197" i="54"/>
  <c r="P27" i="38"/>
  <c r="P19" i="38"/>
  <c r="P247" i="38" s="1"/>
  <c r="O42" i="38"/>
  <c r="O32" i="38"/>
  <c r="O164" i="42"/>
  <c r="O168" i="42" s="1"/>
  <c r="O163" i="42"/>
  <c r="O167" i="42" s="1"/>
  <c r="O165" i="42"/>
  <c r="O162" i="42"/>
  <c r="O166" i="42" s="1"/>
  <c r="DC57" i="55"/>
  <c r="AQ57" i="55"/>
  <c r="J148" i="29"/>
  <c r="N221" i="48"/>
  <c r="N226" i="48" s="1"/>
  <c r="N222" i="48"/>
  <c r="N227" i="48" s="1"/>
  <c r="N224" i="48"/>
  <c r="N223" i="48"/>
  <c r="N228" i="48" s="1"/>
  <c r="N220" i="48"/>
  <c r="N225" i="48" s="1"/>
  <c r="N61" i="16"/>
  <c r="M87" i="29"/>
  <c r="L217" i="28"/>
  <c r="K151" i="28"/>
  <c r="L210" i="28"/>
  <c r="L211" i="28"/>
  <c r="L159" i="28"/>
  <c r="P226" i="42"/>
  <c r="P223" i="42"/>
  <c r="P227" i="42" s="1"/>
  <c r="P224" i="42"/>
  <c r="P228" i="42" s="1"/>
  <c r="P225" i="42"/>
  <c r="P229" i="42" s="1"/>
  <c r="O34" i="46"/>
  <c r="O309" i="46"/>
  <c r="N231" i="48"/>
  <c r="N236" i="48" s="1"/>
  <c r="N232" i="48"/>
  <c r="N237" i="48" s="1"/>
  <c r="N234" i="48"/>
  <c r="N230" i="48"/>
  <c r="N235" i="48" s="1"/>
  <c r="N233" i="48"/>
  <c r="N238" i="48" s="1"/>
  <c r="L299" i="38"/>
  <c r="L296" i="38"/>
  <c r="L298" i="38"/>
  <c r="L297" i="38"/>
  <c r="N34" i="42"/>
  <c r="N281" i="42"/>
  <c r="M100" i="42"/>
  <c r="M97" i="42"/>
  <c r="M101" i="42" s="1"/>
  <c r="M99" i="42"/>
  <c r="M103" i="42" s="1"/>
  <c r="M98" i="42"/>
  <c r="M102" i="42" s="1"/>
  <c r="P147" i="46"/>
  <c r="P177" i="46"/>
  <c r="P157" i="46"/>
  <c r="P167" i="46"/>
  <c r="O49" i="28"/>
  <c r="J318" i="42"/>
  <c r="J319" i="42" s="1"/>
  <c r="J320" i="42"/>
  <c r="J323" i="42" s="1"/>
  <c r="CY58" i="55"/>
  <c r="G69" i="16"/>
  <c r="G71" i="16" s="1"/>
  <c r="AM33" i="58" s="1"/>
  <c r="AM58" i="55"/>
  <c r="AM61" i="55"/>
  <c r="F199" i="29"/>
  <c r="Q16" i="48"/>
  <c r="Q29" i="48" s="1"/>
  <c r="Q44" i="48" s="1"/>
  <c r="Q15" i="48"/>
  <c r="Q28" i="48" s="1"/>
  <c r="Q43" i="48" s="1"/>
  <c r="Q17" i="48"/>
  <c r="Q30" i="48" s="1"/>
  <c r="Q45" i="48" s="1"/>
  <c r="Q14" i="48"/>
  <c r="Q18" i="48"/>
  <c r="Q31" i="48" s="1"/>
  <c r="R5" i="48"/>
  <c r="O61" i="15"/>
  <c r="N88" i="29"/>
  <c r="O208" i="38"/>
  <c r="O212" i="38" s="1"/>
  <c r="O209" i="38"/>
  <c r="O213" i="38" s="1"/>
  <c r="O211" i="38"/>
  <c r="O210" i="38"/>
  <c r="O214" i="38" s="1"/>
  <c r="O201" i="42"/>
  <c r="O205" i="42" s="1"/>
  <c r="O200" i="42"/>
  <c r="O204" i="42" s="1"/>
  <c r="O203" i="42"/>
  <c r="O202" i="42"/>
  <c r="O206" i="42" s="1"/>
  <c r="I164" i="29"/>
  <c r="I167" i="29"/>
  <c r="AP64" i="55" s="1"/>
  <c r="I168" i="29"/>
  <c r="AP65" i="55" s="1"/>
  <c r="I165" i="29"/>
  <c r="AP62" i="55" s="1"/>
  <c r="I163" i="29"/>
  <c r="I166" i="29"/>
  <c r="AP63" i="55" s="1"/>
  <c r="J174" i="29"/>
  <c r="J175" i="29" s="1"/>
  <c r="J176" i="29" s="1"/>
  <c r="M67" i="16"/>
  <c r="M46" i="16"/>
  <c r="R5" i="29"/>
  <c r="Q15" i="29"/>
  <c r="Q28" i="29" s="1"/>
  <c r="Q46" i="29" s="1"/>
  <c r="Q14" i="29"/>
  <c r="Q17" i="29"/>
  <c r="Q30" i="29" s="1"/>
  <c r="Q16" i="29"/>
  <c r="Q29" i="29" s="1"/>
  <c r="Q47" i="29" s="1"/>
  <c r="Q18" i="29"/>
  <c r="Q31" i="29" s="1"/>
  <c r="M293" i="42"/>
  <c r="M316" i="42"/>
  <c r="M317" i="42" s="1"/>
  <c r="P246" i="48"/>
  <c r="P248" i="46"/>
  <c r="P253" i="46" s="1"/>
  <c r="P247" i="46"/>
  <c r="P252" i="46" s="1"/>
  <c r="P250" i="46"/>
  <c r="P255" i="46" s="1"/>
  <c r="P249" i="46"/>
  <c r="P254" i="46" s="1"/>
  <c r="P251" i="46"/>
  <c r="Q96" i="45" s="1"/>
  <c r="L297" i="42"/>
  <c r="L299" i="42"/>
  <c r="L296" i="42"/>
  <c r="L298" i="42"/>
  <c r="J167" i="28"/>
  <c r="J164" i="28"/>
  <c r="J166" i="28"/>
  <c r="J165" i="28"/>
  <c r="N197" i="53"/>
  <c r="N34" i="53"/>
  <c r="N275" i="19"/>
  <c r="N276" i="19"/>
  <c r="N224" i="19"/>
  <c r="N228" i="19"/>
  <c r="N225" i="19"/>
  <c r="K312" i="38"/>
  <c r="L86" i="55" s="1"/>
  <c r="K310" i="38"/>
  <c r="K314" i="38"/>
  <c r="L88" i="55" s="1"/>
  <c r="K309" i="38"/>
  <c r="K313" i="38"/>
  <c r="L87" i="55" s="1"/>
  <c r="K311" i="38"/>
  <c r="L85" i="55" s="1"/>
  <c r="R5" i="19"/>
  <c r="Q15" i="19"/>
  <c r="Q28" i="19" s="1"/>
  <c r="Q46" i="19" s="1"/>
  <c r="Q18" i="19"/>
  <c r="Q31" i="19" s="1"/>
  <c r="Q49" i="19" s="1"/>
  <c r="Q16" i="19"/>
  <c r="Q29" i="19" s="1"/>
  <c r="Q47" i="19" s="1"/>
  <c r="Q14" i="19"/>
  <c r="Q17" i="19"/>
  <c r="Q30" i="19" s="1"/>
  <c r="Q48" i="19" s="1"/>
  <c r="H186" i="28"/>
  <c r="H187" i="28" s="1"/>
  <c r="H188" i="28"/>
  <c r="Q18" i="20"/>
  <c r="Q17" i="20"/>
  <c r="R5" i="20"/>
  <c r="Q16" i="20"/>
  <c r="Q15" i="20"/>
  <c r="Q14" i="20"/>
  <c r="O157" i="48"/>
  <c r="O162" i="46"/>
  <c r="P98" i="45" s="1"/>
  <c r="AV98" i="45" s="1"/>
  <c r="O161" i="46"/>
  <c r="O166" i="46" s="1"/>
  <c r="O160" i="46"/>
  <c r="O165" i="46" s="1"/>
  <c r="O159" i="46"/>
  <c r="O164" i="46" s="1"/>
  <c r="O158" i="46"/>
  <c r="O163" i="46" s="1"/>
  <c r="M295" i="38"/>
  <c r="M292" i="38"/>
  <c r="O85" i="45"/>
  <c r="O86" i="45"/>
  <c r="O87" i="45"/>
  <c r="AU86" i="45"/>
  <c r="AU85" i="45"/>
  <c r="AU87" i="45"/>
  <c r="K163" i="28"/>
  <c r="K162" i="28"/>
  <c r="K160" i="28"/>
  <c r="L240" i="19"/>
  <c r="L239" i="19"/>
  <c r="L251" i="19" s="1"/>
  <c r="O200" i="38"/>
  <c r="O204" i="38" s="1"/>
  <c r="O203" i="38"/>
  <c r="P101" i="36" s="1"/>
  <c r="AV101" i="36" s="1"/>
  <c r="O202" i="38"/>
  <c r="O206" i="38" s="1"/>
  <c r="O201" i="38"/>
  <c r="O205" i="38" s="1"/>
  <c r="N172" i="48"/>
  <c r="N170" i="48"/>
  <c r="N175" i="48" s="1"/>
  <c r="N171" i="48"/>
  <c r="N176" i="48" s="1"/>
  <c r="N168" i="48"/>
  <c r="N173" i="48" s="1"/>
  <c r="N169" i="48"/>
  <c r="N174" i="48" s="1"/>
  <c r="O157" i="42"/>
  <c r="O156" i="42"/>
  <c r="O160" i="42" s="1"/>
  <c r="O155" i="42"/>
  <c r="O159" i="42" s="1"/>
  <c r="O154" i="42"/>
  <c r="O158" i="42" s="1"/>
  <c r="N182" i="48"/>
  <c r="N181" i="48"/>
  <c r="N186" i="48" s="1"/>
  <c r="N178" i="48"/>
  <c r="N183" i="48" s="1"/>
  <c r="N180" i="48"/>
  <c r="N185" i="48" s="1"/>
  <c r="N179" i="48"/>
  <c r="N184" i="48" s="1"/>
  <c r="O219" i="48"/>
  <c r="O220" i="46"/>
  <c r="O225" i="46" s="1"/>
  <c r="O222" i="46"/>
  <c r="O227" i="46" s="1"/>
  <c r="O223" i="46"/>
  <c r="O228" i="46" s="1"/>
  <c r="O224" i="46"/>
  <c r="P99" i="45" s="1"/>
  <c r="AV99" i="45" s="1"/>
  <c r="O221" i="46"/>
  <c r="O226" i="46" s="1"/>
  <c r="O309" i="48"/>
  <c r="O34" i="48"/>
  <c r="Q17" i="42"/>
  <c r="Q30" i="42" s="1"/>
  <c r="Q45" i="42" s="1"/>
  <c r="Q18" i="42"/>
  <c r="Q31" i="42" s="1"/>
  <c r="Q46" i="42" s="1"/>
  <c r="Q237" i="42" s="1"/>
  <c r="R5" i="42"/>
  <c r="Q16" i="42"/>
  <c r="Q29" i="42" s="1"/>
  <c r="Q44" i="42" s="1"/>
  <c r="Q222" i="42" s="1"/>
  <c r="Q15" i="42"/>
  <c r="Q28" i="42" s="1"/>
  <c r="Q43" i="42" s="1"/>
  <c r="Q14" i="42"/>
  <c r="M149" i="29"/>
  <c r="M146" i="29"/>
  <c r="L294" i="38"/>
  <c r="N249" i="42"/>
  <c r="N47" i="42"/>
  <c r="N291" i="42" s="1"/>
  <c r="N104" i="42"/>
  <c r="N96" i="42"/>
  <c r="N72" i="42"/>
  <c r="N80" i="42"/>
  <c r="O138" i="42"/>
  <c r="O142" i="42" s="1"/>
  <c r="O139" i="42"/>
  <c r="O143" i="42" s="1"/>
  <c r="O140" i="42"/>
  <c r="O144" i="42" s="1"/>
  <c r="O141" i="42"/>
  <c r="O209" i="48"/>
  <c r="O211" i="46"/>
  <c r="O216" i="46" s="1"/>
  <c r="O213" i="46"/>
  <c r="O218" i="46" s="1"/>
  <c r="O212" i="46"/>
  <c r="O217" i="46" s="1"/>
  <c r="O210" i="46"/>
  <c r="O215" i="46" s="1"/>
  <c r="O214" i="46"/>
  <c r="P89" i="45" s="1"/>
  <c r="H329" i="42"/>
  <c r="H336" i="42" s="1"/>
  <c r="L184" i="28"/>
  <c r="L185" i="28" s="1"/>
  <c r="L161" i="28"/>
  <c r="P191" i="42"/>
  <c r="P207" i="42"/>
  <c r="P199" i="42"/>
  <c r="I157" i="28"/>
  <c r="BV64" i="55" s="1"/>
  <c r="I156" i="28"/>
  <c r="BV63" i="55" s="1"/>
  <c r="I153" i="28"/>
  <c r="I158" i="28"/>
  <c r="BV65" i="55" s="1"/>
  <c r="I155" i="28"/>
  <c r="BV62" i="55" s="1"/>
  <c r="I154" i="28"/>
  <c r="BV61" i="55" s="1"/>
  <c r="I175" i="28"/>
  <c r="I174" i="28"/>
  <c r="N34" i="38"/>
  <c r="N281" i="38"/>
  <c r="N34" i="19"/>
  <c r="N214" i="19"/>
  <c r="P225" i="38"/>
  <c r="P229" i="38" s="1"/>
  <c r="P223" i="38"/>
  <c r="P227" i="38" s="1"/>
  <c r="P224" i="38"/>
  <c r="P228" i="38" s="1"/>
  <c r="N50" i="29"/>
  <c r="N145" i="29" s="1"/>
  <c r="AL126" i="36"/>
  <c r="AL39" i="58" s="1"/>
  <c r="E346" i="42"/>
  <c r="AL127" i="36" s="1"/>
  <c r="O167" i="48"/>
  <c r="O171" i="46"/>
  <c r="O176" i="46" s="1"/>
  <c r="O170" i="46"/>
  <c r="O175" i="46" s="1"/>
  <c r="O172" i="46"/>
  <c r="P77" i="45" s="1"/>
  <c r="AV77" i="45" s="1"/>
  <c r="O169" i="46"/>
  <c r="O174" i="46" s="1"/>
  <c r="O168" i="46"/>
  <c r="O173" i="46" s="1"/>
  <c r="P19" i="48"/>
  <c r="P275" i="48" s="1"/>
  <c r="P27" i="48"/>
  <c r="P32" i="48" s="1"/>
  <c r="K301" i="42"/>
  <c r="K300" i="42"/>
  <c r="I328" i="42"/>
  <c r="I329" i="42" s="1"/>
  <c r="I338" i="42" s="1"/>
  <c r="O181" i="46"/>
  <c r="O186" i="46" s="1"/>
  <c r="O177" i="48"/>
  <c r="O182" i="46"/>
  <c r="P107" i="45" s="1"/>
  <c r="AV107" i="45" s="1"/>
  <c r="O178" i="46"/>
  <c r="O183" i="46" s="1"/>
  <c r="O179" i="46"/>
  <c r="O184" i="46" s="1"/>
  <c r="O180" i="46"/>
  <c r="O185" i="46" s="1"/>
  <c r="K307" i="42"/>
  <c r="K306" i="42"/>
  <c r="L234" i="19"/>
  <c r="L233" i="19"/>
  <c r="C150" i="19"/>
  <c r="D137" i="14" s="1"/>
  <c r="D137" i="12"/>
  <c r="C138" i="19"/>
  <c r="D113" i="14" s="1"/>
  <c r="D113" i="12"/>
  <c r="D147" i="12" s="1"/>
  <c r="C124" i="19"/>
  <c r="D138" i="14" s="1"/>
  <c r="D138" i="12"/>
  <c r="C98" i="19"/>
  <c r="D165" i="19"/>
  <c r="D163" i="19"/>
  <c r="D166" i="19"/>
  <c r="D164" i="19"/>
  <c r="C118" i="19"/>
  <c r="D94" i="14" s="1"/>
  <c r="C81" i="20"/>
  <c r="C224" i="20"/>
  <c r="C131" i="20"/>
  <c r="C106" i="19"/>
  <c r="D103" i="14" s="1"/>
  <c r="E172" i="19"/>
  <c r="F135" i="14" s="1"/>
  <c r="D172" i="19"/>
  <c r="E135" i="14" s="1"/>
  <c r="C131" i="19"/>
  <c r="E215" i="20"/>
  <c r="E173" i="19" s="1"/>
  <c r="E217" i="20"/>
  <c r="E175" i="19" s="1"/>
  <c r="E219" i="20"/>
  <c r="E177" i="19" s="1"/>
  <c r="E216" i="20"/>
  <c r="E218" i="20"/>
  <c r="D215" i="20"/>
  <c r="D173" i="19" s="1"/>
  <c r="D217" i="20"/>
  <c r="D175" i="19" s="1"/>
  <c r="D219" i="20"/>
  <c r="D177" i="19" s="1"/>
  <c r="D216" i="20"/>
  <c r="D218" i="20"/>
  <c r="D188" i="20"/>
  <c r="D176" i="20"/>
  <c r="D182" i="20"/>
  <c r="D144" i="19" s="1"/>
  <c r="E125" i="14" s="1"/>
  <c r="E203" i="20"/>
  <c r="E205" i="20"/>
  <c r="E202" i="20"/>
  <c r="E204" i="20"/>
  <c r="E206" i="20"/>
  <c r="E167" i="19" s="1"/>
  <c r="D148" i="20"/>
  <c r="D142" i="20"/>
  <c r="D136" i="20"/>
  <c r="D112" i="19" s="1"/>
  <c r="E126" i="14" s="1"/>
  <c r="D130" i="20"/>
  <c r="D169" i="19"/>
  <c r="C184" i="20"/>
  <c r="C146" i="19" s="1"/>
  <c r="C187" i="20"/>
  <c r="C149" i="19" s="1"/>
  <c r="C185" i="20"/>
  <c r="C183" i="20"/>
  <c r="C186" i="20"/>
  <c r="C190" i="20"/>
  <c r="C152" i="19" s="1"/>
  <c r="C189" i="20"/>
  <c r="C191" i="20"/>
  <c r="C193" i="20"/>
  <c r="C192" i="20"/>
  <c r="C178" i="20"/>
  <c r="C140" i="19" s="1"/>
  <c r="C179" i="20"/>
  <c r="C181" i="20"/>
  <c r="C180" i="20"/>
  <c r="C177" i="20"/>
  <c r="C132" i="20"/>
  <c r="C133" i="20"/>
  <c r="C134" i="20"/>
  <c r="C110" i="19" s="1"/>
  <c r="C135" i="20"/>
  <c r="C138" i="20"/>
  <c r="C139" i="20"/>
  <c r="C115" i="19" s="1"/>
  <c r="C140" i="20"/>
  <c r="C116" i="19" s="1"/>
  <c r="C137" i="20"/>
  <c r="C113" i="19" s="1"/>
  <c r="C141" i="20"/>
  <c r="C117" i="19" s="1"/>
  <c r="C144" i="20"/>
  <c r="C145" i="20"/>
  <c r="C121" i="19" s="1"/>
  <c r="C143" i="20"/>
  <c r="C146" i="20"/>
  <c r="C122" i="19" s="1"/>
  <c r="C147" i="20"/>
  <c r="C150" i="20"/>
  <c r="C149" i="20"/>
  <c r="C151" i="20"/>
  <c r="C127" i="19" s="1"/>
  <c r="C152" i="20"/>
  <c r="C128" i="19" s="1"/>
  <c r="C153" i="20"/>
  <c r="C75" i="20"/>
  <c r="C67" i="19" s="1"/>
  <c r="D93" i="14" s="1"/>
  <c r="C87" i="20"/>
  <c r="D104" i="12" s="1"/>
  <c r="C93" i="20"/>
  <c r="C85" i="19" s="1"/>
  <c r="D124" i="14" s="1"/>
  <c r="C99" i="20"/>
  <c r="D136" i="12" s="1"/>
  <c r="E19" i="20"/>
  <c r="E222" i="20" s="1"/>
  <c r="E30" i="20"/>
  <c r="E48" i="20" s="1"/>
  <c r="E27" i="20"/>
  <c r="F29" i="20"/>
  <c r="F47" i="20" s="1"/>
  <c r="F201" i="20" s="1"/>
  <c r="F162" i="19" s="1"/>
  <c r="G123" i="14" s="1"/>
  <c r="D133" i="19"/>
  <c r="D135" i="19"/>
  <c r="D134" i="19"/>
  <c r="D132" i="19"/>
  <c r="D136" i="19"/>
  <c r="E125" i="12"/>
  <c r="D157" i="19"/>
  <c r="C256" i="20"/>
  <c r="C34" i="20"/>
  <c r="D102" i="19"/>
  <c r="D104" i="19"/>
  <c r="D99" i="19"/>
  <c r="E126" i="12"/>
  <c r="D101" i="19"/>
  <c r="D103" i="19"/>
  <c r="D100" i="19"/>
  <c r="F31" i="20"/>
  <c r="F49" i="20" s="1"/>
  <c r="F214" i="20" s="1"/>
  <c r="G135" i="12" s="1"/>
  <c r="F123" i="12"/>
  <c r="E160" i="19"/>
  <c r="E158" i="19"/>
  <c r="M328" i="20"/>
  <c r="M326" i="20"/>
  <c r="M327" i="20"/>
  <c r="M329" i="20"/>
  <c r="C53" i="19"/>
  <c r="C283" i="19" s="1"/>
  <c r="D169" i="14" s="1"/>
  <c r="C55" i="19"/>
  <c r="C52" i="19" s="1"/>
  <c r="C58" i="19"/>
  <c r="C282" i="19" s="1"/>
  <c r="D168" i="14" s="1"/>
  <c r="C62" i="19"/>
  <c r="C50" i="20"/>
  <c r="C317" i="20" s="1"/>
  <c r="C336" i="20"/>
  <c r="I2" i="31"/>
  <c r="O2" i="31" s="1"/>
  <c r="I3" i="31"/>
  <c r="O3" i="31" s="1"/>
  <c r="I4" i="31"/>
  <c r="O4" i="31" s="1"/>
  <c r="C64" i="19"/>
  <c r="C65" i="19"/>
  <c r="C63" i="19"/>
  <c r="C54" i="19"/>
  <c r="C60" i="19"/>
  <c r="C57" i="19"/>
  <c r="C284" i="19" s="1"/>
  <c r="C61" i="19"/>
  <c r="C56" i="19"/>
  <c r="C285" i="19" s="1"/>
  <c r="I5" i="31"/>
  <c r="O5" i="31" s="1"/>
  <c r="E28" i="20"/>
  <c r="E46" i="20" s="1"/>
  <c r="F94" i="12" s="1"/>
  <c r="D45" i="20"/>
  <c r="D224" i="20" s="1"/>
  <c r="D32" i="20"/>
  <c r="BQ4" i="55" s="1"/>
  <c r="CW4" i="55" s="1"/>
  <c r="E170" i="19"/>
  <c r="E72" i="16" l="1"/>
  <c r="AK34" i="58" s="1"/>
  <c r="D200" i="29"/>
  <c r="E73" i="16" s="1"/>
  <c r="M294" i="38"/>
  <c r="N65" i="15"/>
  <c r="N139" i="15" s="1"/>
  <c r="K173" i="29"/>
  <c r="L141" i="16"/>
  <c r="L142" i="16" s="1"/>
  <c r="M57" i="55"/>
  <c r="F72" i="16"/>
  <c r="AL34" i="58" s="1"/>
  <c r="E200" i="29"/>
  <c r="F73" i="16" s="1"/>
  <c r="J178" i="29"/>
  <c r="P49" i="28"/>
  <c r="Q49" i="29"/>
  <c r="G190" i="29"/>
  <c r="N246" i="38"/>
  <c r="K302" i="42"/>
  <c r="K303" i="42"/>
  <c r="O172" i="48"/>
  <c r="O169" i="48"/>
  <c r="O174" i="48" s="1"/>
  <c r="O171" i="48"/>
  <c r="O176" i="48" s="1"/>
  <c r="O168" i="48"/>
  <c r="O173" i="48" s="1"/>
  <c r="O170" i="48"/>
  <c r="O175" i="48" s="1"/>
  <c r="O212" i="48"/>
  <c r="O217" i="48" s="1"/>
  <c r="O214" i="48"/>
  <c r="O211" i="48"/>
  <c r="O216" i="48" s="1"/>
  <c r="O213" i="48"/>
  <c r="O218" i="48" s="1"/>
  <c r="O210" i="48"/>
  <c r="O215" i="48" s="1"/>
  <c r="N100" i="42"/>
  <c r="N98" i="42"/>
  <c r="N102" i="42" s="1"/>
  <c r="N97" i="42"/>
  <c r="N101" i="42" s="1"/>
  <c r="N99" i="42"/>
  <c r="N103" i="42" s="1"/>
  <c r="Q19" i="42"/>
  <c r="Q247" i="42"/>
  <c r="Q27" i="42"/>
  <c r="DF80" i="55"/>
  <c r="AT80" i="55"/>
  <c r="M68" i="16"/>
  <c r="M133" i="16" a="1"/>
  <c r="M134" i="16"/>
  <c r="M140" i="16" s="1"/>
  <c r="M77" i="16"/>
  <c r="P167" i="48"/>
  <c r="P171" i="46"/>
  <c r="P176" i="46" s="1"/>
  <c r="P169" i="46"/>
  <c r="P174" i="46" s="1"/>
  <c r="P170" i="46"/>
  <c r="P175" i="46" s="1"/>
  <c r="P168" i="46"/>
  <c r="P173" i="46" s="1"/>
  <c r="P172" i="46"/>
  <c r="Q77" i="45" s="1"/>
  <c r="AW77" i="45" s="1"/>
  <c r="J141" i="29"/>
  <c r="J143" i="29"/>
  <c r="J140" i="29"/>
  <c r="J142" i="29"/>
  <c r="J144" i="29"/>
  <c r="J139" i="29"/>
  <c r="O50" i="29"/>
  <c r="O145" i="29" s="1"/>
  <c r="R5" i="53"/>
  <c r="Q14" i="53"/>
  <c r="Q16" i="53"/>
  <c r="Q29" i="53" s="1"/>
  <c r="Q44" i="53" s="1"/>
  <c r="Q150" i="53" s="1"/>
  <c r="Q151" i="53" s="1"/>
  <c r="R60" i="51" s="1"/>
  <c r="AX60" i="51" s="1"/>
  <c r="Q18" i="53"/>
  <c r="Q31" i="53" s="1"/>
  <c r="Q17" i="53"/>
  <c r="Q30" i="53" s="1"/>
  <c r="Q15" i="53"/>
  <c r="Q28" i="53" s="1"/>
  <c r="F58" i="55"/>
  <c r="F70" i="15"/>
  <c r="F71" i="15" s="1"/>
  <c r="F33" i="58" s="1"/>
  <c r="M134" i="15"/>
  <c r="M140" i="15" s="1"/>
  <c r="M133" i="15" a="1"/>
  <c r="M68" i="15"/>
  <c r="M77" i="15" s="1"/>
  <c r="Q239" i="38"/>
  <c r="Q243" i="38" s="1"/>
  <c r="Q240" i="38"/>
  <c r="Q244" i="38" s="1"/>
  <c r="Q238" i="38"/>
  <c r="Q242" i="38" s="1"/>
  <c r="P163" i="42"/>
  <c r="P167" i="42" s="1"/>
  <c r="P162" i="42"/>
  <c r="P166" i="42" s="1"/>
  <c r="P165" i="42"/>
  <c r="P164" i="42"/>
  <c r="P168" i="42" s="1"/>
  <c r="R14" i="46"/>
  <c r="S5" i="46"/>
  <c r="R15" i="46"/>
  <c r="R28" i="46" s="1"/>
  <c r="R43" i="46" s="1"/>
  <c r="R17" i="46"/>
  <c r="R30" i="46" s="1"/>
  <c r="R45" i="46" s="1"/>
  <c r="R16" i="46"/>
  <c r="R29" i="46" s="1"/>
  <c r="R44" i="46" s="1"/>
  <c r="R246" i="46" s="1"/>
  <c r="R18" i="46"/>
  <c r="R31" i="46" s="1"/>
  <c r="L170" i="29"/>
  <c r="L171" i="29" s="1"/>
  <c r="L147" i="29"/>
  <c r="N293" i="38"/>
  <c r="O80" i="55" s="1"/>
  <c r="N316" i="38"/>
  <c r="P34" i="48"/>
  <c r="P309" i="48"/>
  <c r="N37" i="19"/>
  <c r="N36" i="19"/>
  <c r="N105" i="42"/>
  <c r="N109" i="42" s="1"/>
  <c r="N106" i="42"/>
  <c r="N110" i="42" s="1"/>
  <c r="N108" i="42"/>
  <c r="N107" i="42"/>
  <c r="N111" i="42" s="1"/>
  <c r="Q137" i="42"/>
  <c r="Q145" i="42"/>
  <c r="Q153" i="42"/>
  <c r="Q161" i="42"/>
  <c r="R15" i="20"/>
  <c r="R14" i="20"/>
  <c r="R18" i="20"/>
  <c r="R17" i="20"/>
  <c r="S5" i="20"/>
  <c r="R16" i="20"/>
  <c r="Q19" i="48"/>
  <c r="Q275" i="48" s="1"/>
  <c r="Q27" i="48"/>
  <c r="Q32" i="48" s="1"/>
  <c r="P157" i="48"/>
  <c r="P159" i="46"/>
  <c r="P164" i="46" s="1"/>
  <c r="P161" i="46"/>
  <c r="P166" i="46" s="1"/>
  <c r="P160" i="46"/>
  <c r="P165" i="46" s="1"/>
  <c r="P158" i="46"/>
  <c r="P163" i="46" s="1"/>
  <c r="P162" i="46"/>
  <c r="Q98" i="45" s="1"/>
  <c r="AW98" i="45" s="1"/>
  <c r="P42" i="38"/>
  <c r="P32" i="38"/>
  <c r="L104" i="29"/>
  <c r="K137" i="29"/>
  <c r="K138" i="29" s="1"/>
  <c r="O135" i="29"/>
  <c r="O34" i="29"/>
  <c r="P42" i="42"/>
  <c r="P32" i="42"/>
  <c r="L141" i="15"/>
  <c r="L142" i="15" s="1"/>
  <c r="G197" i="28"/>
  <c r="G206" i="28" s="1"/>
  <c r="H70" i="15" s="1"/>
  <c r="Q137" i="38"/>
  <c r="Q161" i="38"/>
  <c r="Q153" i="38"/>
  <c r="Q145" i="38"/>
  <c r="M184" i="28"/>
  <c r="M185" i="28" s="1"/>
  <c r="M161" i="28"/>
  <c r="P147" i="42"/>
  <c r="P151" i="42" s="1"/>
  <c r="P148" i="42"/>
  <c r="P152" i="42" s="1"/>
  <c r="P149" i="42"/>
  <c r="P146" i="42"/>
  <c r="P150" i="42" s="1"/>
  <c r="L160" i="29"/>
  <c r="L172" i="29" s="1"/>
  <c r="L161" i="29"/>
  <c r="Q209" i="46"/>
  <c r="Q229" i="46"/>
  <c r="Q219" i="46"/>
  <c r="H173" i="28"/>
  <c r="H172" i="28"/>
  <c r="H176" i="28" s="1"/>
  <c r="O225" i="19"/>
  <c r="O228" i="19"/>
  <c r="O275" i="19"/>
  <c r="O276" i="19"/>
  <c r="O224" i="19"/>
  <c r="P309" i="46"/>
  <c r="P34" i="46"/>
  <c r="K303" i="38"/>
  <c r="K302" i="38"/>
  <c r="O148" i="48"/>
  <c r="O153" i="48" s="1"/>
  <c r="O150" i="48"/>
  <c r="O155" i="48" s="1"/>
  <c r="O152" i="48"/>
  <c r="O149" i="48"/>
  <c r="O154" i="48" s="1"/>
  <c r="O151" i="48"/>
  <c r="O156" i="48" s="1"/>
  <c r="O179" i="48"/>
  <c r="O184" i="48" s="1"/>
  <c r="O181" i="48"/>
  <c r="O186" i="48" s="1"/>
  <c r="O178" i="48"/>
  <c r="O183" i="48" s="1"/>
  <c r="O180" i="48"/>
  <c r="O185" i="48" s="1"/>
  <c r="O182" i="48"/>
  <c r="N295" i="42"/>
  <c r="N292" i="42"/>
  <c r="Q226" i="42"/>
  <c r="Q225" i="42"/>
  <c r="Q229" i="42" s="1"/>
  <c r="Q223" i="42"/>
  <c r="Q227" i="42" s="1"/>
  <c r="Q224" i="42"/>
  <c r="Q228" i="42" s="1"/>
  <c r="J168" i="28"/>
  <c r="J169" i="28"/>
  <c r="P181" i="46"/>
  <c r="P186" i="46" s="1"/>
  <c r="P179" i="46"/>
  <c r="P184" i="46" s="1"/>
  <c r="P178" i="46"/>
  <c r="P183" i="46" s="1"/>
  <c r="P182" i="46"/>
  <c r="Q107" i="45" s="1"/>
  <c r="AW107" i="45" s="1"/>
  <c r="P177" i="48"/>
  <c r="P180" i="46"/>
  <c r="P185" i="46" s="1"/>
  <c r="L163" i="28"/>
  <c r="L162" i="28"/>
  <c r="L160" i="28"/>
  <c r="N216" i="28"/>
  <c r="N53" i="29"/>
  <c r="O62" i="15"/>
  <c r="N50" i="28"/>
  <c r="N57" i="29"/>
  <c r="O44" i="15"/>
  <c r="N60" i="29"/>
  <c r="N63" i="29"/>
  <c r="O56" i="16" s="1"/>
  <c r="N62" i="29"/>
  <c r="O62" i="16" s="1"/>
  <c r="N54" i="29"/>
  <c r="N55" i="29"/>
  <c r="N52" i="29" s="1"/>
  <c r="N56" i="29"/>
  <c r="N61" i="29"/>
  <c r="N59" i="29"/>
  <c r="O44" i="16" s="1"/>
  <c r="O56" i="15"/>
  <c r="J153" i="28"/>
  <c r="J154" i="28"/>
  <c r="BW61" i="55" s="1"/>
  <c r="J155" i="28"/>
  <c r="BW62" i="55" s="1"/>
  <c r="J156" i="28"/>
  <c r="BW63" i="55" s="1"/>
  <c r="J158" i="28"/>
  <c r="BW65" i="55" s="1"/>
  <c r="J157" i="28"/>
  <c r="BW64" i="55" s="1"/>
  <c r="N36" i="29"/>
  <c r="N37" i="29"/>
  <c r="L283" i="42"/>
  <c r="L284" i="42" s="1"/>
  <c r="M250" i="42"/>
  <c r="P32" i="19"/>
  <c r="P45" i="19"/>
  <c r="P50" i="19" s="1"/>
  <c r="M211" i="28"/>
  <c r="M210" i="28"/>
  <c r="M159" i="28"/>
  <c r="P157" i="42"/>
  <c r="P155" i="42"/>
  <c r="P159" i="42" s="1"/>
  <c r="P154" i="42"/>
  <c r="P158" i="42" s="1"/>
  <c r="P156" i="42"/>
  <c r="P160" i="42" s="1"/>
  <c r="Q19" i="46"/>
  <c r="Q275" i="46" s="1"/>
  <c r="Q27" i="46"/>
  <c r="Q32" i="46" s="1"/>
  <c r="O34" i="19"/>
  <c r="O214" i="19"/>
  <c r="Q45" i="15"/>
  <c r="P77" i="29"/>
  <c r="Q45" i="16" s="1"/>
  <c r="Q64" i="15"/>
  <c r="P76" i="29"/>
  <c r="Q58" i="16" s="1"/>
  <c r="Q48" i="15"/>
  <c r="Q49" i="15" s="1"/>
  <c r="Q136" i="15" s="1"/>
  <c r="P73" i="29"/>
  <c r="P70" i="29"/>
  <c r="P69" i="29"/>
  <c r="P67" i="29"/>
  <c r="P66" i="29"/>
  <c r="P65" i="29" s="1"/>
  <c r="P78" i="29"/>
  <c r="Q64" i="16" s="1"/>
  <c r="P75" i="29"/>
  <c r="P71" i="29"/>
  <c r="P74" i="29"/>
  <c r="Q48" i="16" s="1"/>
  <c r="Q49" i="16" s="1"/>
  <c r="Q136" i="16" s="1"/>
  <c r="Q58" i="15"/>
  <c r="P68" i="29"/>
  <c r="M197" i="29"/>
  <c r="M196" i="29"/>
  <c r="L235" i="19"/>
  <c r="L236" i="19"/>
  <c r="N293" i="42"/>
  <c r="N316" i="42"/>
  <c r="N317" i="42" s="1"/>
  <c r="R17" i="42"/>
  <c r="R30" i="42" s="1"/>
  <c r="R45" i="42" s="1"/>
  <c r="R14" i="42"/>
  <c r="R15" i="42"/>
  <c r="R28" i="42" s="1"/>
  <c r="R43" i="42" s="1"/>
  <c r="S5" i="42"/>
  <c r="R18" i="42"/>
  <c r="R31" i="42" s="1"/>
  <c r="R46" i="42" s="1"/>
  <c r="R237" i="42" s="1"/>
  <c r="R16" i="42"/>
  <c r="R29" i="42" s="1"/>
  <c r="R44" i="42" s="1"/>
  <c r="R222" i="42" s="1"/>
  <c r="S5" i="19"/>
  <c r="R15" i="19"/>
  <c r="R28" i="19" s="1"/>
  <c r="R46" i="19" s="1"/>
  <c r="R17" i="19"/>
  <c r="R30" i="19" s="1"/>
  <c r="R48" i="19" s="1"/>
  <c r="R18" i="19"/>
  <c r="R31" i="19" s="1"/>
  <c r="R49" i="19" s="1"/>
  <c r="R14" i="19"/>
  <c r="R16" i="19"/>
  <c r="R29" i="19" s="1"/>
  <c r="R47" i="19" s="1"/>
  <c r="N232" i="19"/>
  <c r="N229" i="19"/>
  <c r="N231" i="19"/>
  <c r="N230" i="19"/>
  <c r="J177" i="29"/>
  <c r="P151" i="46"/>
  <c r="P156" i="46" s="1"/>
  <c r="P149" i="46"/>
  <c r="P154" i="46" s="1"/>
  <c r="P150" i="46"/>
  <c r="P155" i="46" s="1"/>
  <c r="P148" i="46"/>
  <c r="P153" i="46" s="1"/>
  <c r="P152" i="46"/>
  <c r="Q83" i="45" s="1"/>
  <c r="P147" i="48"/>
  <c r="H338" i="42"/>
  <c r="H345" i="42" s="1"/>
  <c r="N149" i="28"/>
  <c r="N34" i="28"/>
  <c r="M37" i="28"/>
  <c r="M36" i="28"/>
  <c r="O32" i="28"/>
  <c r="O45" i="28"/>
  <c r="AM126" i="36"/>
  <c r="AM39" i="58" s="1"/>
  <c r="F346" i="42"/>
  <c r="AM127" i="36" s="1"/>
  <c r="K286" i="42"/>
  <c r="K290" i="42"/>
  <c r="K285" i="42"/>
  <c r="K289" i="42"/>
  <c r="K287" i="42"/>
  <c r="K288" i="42"/>
  <c r="N66" i="16"/>
  <c r="N59" i="16"/>
  <c r="N135" i="16" s="1"/>
  <c r="N59" i="15"/>
  <c r="N135" i="15" s="1"/>
  <c r="N66" i="15"/>
  <c r="P229" i="48"/>
  <c r="P232" i="46"/>
  <c r="P237" i="46" s="1"/>
  <c r="P234" i="46"/>
  <c r="Q108" i="45" s="1"/>
  <c r="AW108" i="45" s="1"/>
  <c r="P230" i="46"/>
  <c r="P235" i="46" s="1"/>
  <c r="P233" i="46"/>
  <c r="P238" i="46" s="1"/>
  <c r="P231" i="46"/>
  <c r="P236" i="46" s="1"/>
  <c r="J321" i="42"/>
  <c r="J322" i="42" s="1"/>
  <c r="J324" i="42" s="1"/>
  <c r="P139" i="42"/>
  <c r="P143" i="42" s="1"/>
  <c r="P140" i="42"/>
  <c r="P144" i="42" s="1"/>
  <c r="P141" i="42"/>
  <c r="P138" i="42"/>
  <c r="P142" i="42" s="1"/>
  <c r="Q246" i="48"/>
  <c r="Q249" i="46"/>
  <c r="Q254" i="46" s="1"/>
  <c r="Q251" i="46"/>
  <c r="R96" i="45" s="1"/>
  <c r="Q247" i="46"/>
  <c r="Q252" i="46" s="1"/>
  <c r="Q248" i="46"/>
  <c r="Q253" i="46" s="1"/>
  <c r="Q250" i="46"/>
  <c r="Q255" i="46" s="1"/>
  <c r="M234" i="19"/>
  <c r="M233" i="19"/>
  <c r="K156" i="29"/>
  <c r="K157" i="29"/>
  <c r="AV85" i="45"/>
  <c r="P86" i="45"/>
  <c r="P87" i="45"/>
  <c r="P85" i="45"/>
  <c r="AV86" i="45"/>
  <c r="AV87" i="45"/>
  <c r="Q55" i="15"/>
  <c r="P85" i="29"/>
  <c r="Q55" i="16" s="1"/>
  <c r="I171" i="28"/>
  <c r="I170" i="28"/>
  <c r="I190" i="29"/>
  <c r="AP61" i="55" s="1"/>
  <c r="K318" i="42"/>
  <c r="K319" i="42" s="1"/>
  <c r="K320" i="42"/>
  <c r="K323" i="42" s="1"/>
  <c r="K328" i="42" s="1"/>
  <c r="N149" i="29"/>
  <c r="N146" i="29"/>
  <c r="I186" i="28"/>
  <c r="I187" i="28" s="1"/>
  <c r="I188" i="28"/>
  <c r="P203" i="42"/>
  <c r="P202" i="42"/>
  <c r="P206" i="42" s="1"/>
  <c r="P200" i="42"/>
  <c r="P204" i="42" s="1"/>
  <c r="P201" i="42"/>
  <c r="P205" i="42" s="1"/>
  <c r="L314" i="38"/>
  <c r="M88" i="55" s="1"/>
  <c r="L309" i="38"/>
  <c r="L310" i="38"/>
  <c r="L313" i="38"/>
  <c r="M87" i="55" s="1"/>
  <c r="L312" i="38"/>
  <c r="M86" i="55" s="1"/>
  <c r="L311" i="38"/>
  <c r="M85" i="55" s="1"/>
  <c r="Q239" i="42"/>
  <c r="Q243" i="42" s="1"/>
  <c r="Q240" i="42"/>
  <c r="Q244" i="42" s="1"/>
  <c r="Q241" i="42"/>
  <c r="Q238" i="42"/>
  <c r="Q242" i="42" s="1"/>
  <c r="H189" i="28"/>
  <c r="H190" i="28" s="1"/>
  <c r="H192" i="28" s="1"/>
  <c r="H191" i="28"/>
  <c r="J174" i="28"/>
  <c r="J175" i="28"/>
  <c r="L300" i="38"/>
  <c r="L301" i="38"/>
  <c r="P165" i="38"/>
  <c r="Q109" i="36" s="1"/>
  <c r="AW109" i="36" s="1"/>
  <c r="P162" i="38"/>
  <c r="P166" i="38" s="1"/>
  <c r="P164" i="38"/>
  <c r="P168" i="38" s="1"/>
  <c r="P163" i="38"/>
  <c r="P167" i="38" s="1"/>
  <c r="O34" i="42"/>
  <c r="O281" i="42"/>
  <c r="R18" i="38"/>
  <c r="R31" i="38" s="1"/>
  <c r="R46" i="38" s="1"/>
  <c r="R237" i="38" s="1"/>
  <c r="R16" i="38"/>
  <c r="R29" i="38" s="1"/>
  <c r="R44" i="38" s="1"/>
  <c r="R222" i="38" s="1"/>
  <c r="R17" i="38"/>
  <c r="R30" i="38" s="1"/>
  <c r="R45" i="38" s="1"/>
  <c r="R14" i="38"/>
  <c r="R15" i="38"/>
  <c r="R28" i="38" s="1"/>
  <c r="R43" i="38" s="1"/>
  <c r="S5" i="38"/>
  <c r="M103" i="29"/>
  <c r="M91" i="29"/>
  <c r="P219" i="48"/>
  <c r="P221" i="46"/>
  <c r="P226" i="46" s="1"/>
  <c r="P223" i="46"/>
  <c r="P228" i="46" s="1"/>
  <c r="P222" i="46"/>
  <c r="P227" i="46" s="1"/>
  <c r="P220" i="46"/>
  <c r="P225" i="46" s="1"/>
  <c r="P224" i="46"/>
  <c r="Q99" i="45" s="1"/>
  <c r="AW99" i="45" s="1"/>
  <c r="M239" i="19"/>
  <c r="M251" i="19" s="1"/>
  <c r="M240" i="19"/>
  <c r="P194" i="38"/>
  <c r="P198" i="38" s="1"/>
  <c r="P192" i="38"/>
  <c r="P196" i="38" s="1"/>
  <c r="P193" i="38"/>
  <c r="P197" i="38" s="1"/>
  <c r="J159" i="29"/>
  <c r="J158" i="29"/>
  <c r="J162" i="29" s="1"/>
  <c r="E213" i="28"/>
  <c r="P208" i="42"/>
  <c r="P212" i="42" s="1"/>
  <c r="P209" i="42"/>
  <c r="P213" i="42" s="1"/>
  <c r="P210" i="42"/>
  <c r="P214" i="42" s="1"/>
  <c r="P211" i="42"/>
  <c r="N246" i="42"/>
  <c r="Q191" i="42"/>
  <c r="Q199" i="42"/>
  <c r="Q207" i="42"/>
  <c r="K180" i="28"/>
  <c r="L63" i="55" s="1"/>
  <c r="K178" i="28"/>
  <c r="K177" i="28"/>
  <c r="K182" i="28"/>
  <c r="L65" i="55" s="1"/>
  <c r="K179" i="28"/>
  <c r="L62" i="55" s="1"/>
  <c r="K181" i="28"/>
  <c r="L64" i="55" s="1"/>
  <c r="O161" i="48"/>
  <c r="O166" i="48" s="1"/>
  <c r="O159" i="48"/>
  <c r="O164" i="48" s="1"/>
  <c r="O160" i="48"/>
  <c r="O165" i="48" s="1"/>
  <c r="O158" i="48"/>
  <c r="O163" i="48" s="1"/>
  <c r="O162" i="48"/>
  <c r="L301" i="42"/>
  <c r="L300" i="42"/>
  <c r="Q19" i="29"/>
  <c r="Q27" i="29"/>
  <c r="N87" i="29"/>
  <c r="O61" i="16"/>
  <c r="G72" i="16"/>
  <c r="AM34" i="58" s="1"/>
  <c r="F200" i="29"/>
  <c r="G73" i="16" s="1"/>
  <c r="J328" i="42"/>
  <c r="J329" i="42" s="1"/>
  <c r="J336" i="42" s="1"/>
  <c r="BX57" i="55"/>
  <c r="K152" i="28"/>
  <c r="O281" i="38"/>
  <c r="O34" i="38"/>
  <c r="P146" i="38"/>
  <c r="P150" i="38" s="1"/>
  <c r="P148" i="38"/>
  <c r="P152" i="38" s="1"/>
  <c r="P147" i="38"/>
  <c r="P151" i="38" s="1"/>
  <c r="P149" i="38"/>
  <c r="Q100" i="36" s="1"/>
  <c r="AW100" i="36" s="1"/>
  <c r="O249" i="42"/>
  <c r="O104" i="42"/>
  <c r="O80" i="42"/>
  <c r="O72" i="42"/>
  <c r="O96" i="42"/>
  <c r="O47" i="42"/>
  <c r="O291" i="42" s="1"/>
  <c r="Q19" i="38"/>
  <c r="Q247" i="38" s="1"/>
  <c r="Q27" i="38"/>
  <c r="M92" i="29"/>
  <c r="P213" i="46"/>
  <c r="P218" i="46" s="1"/>
  <c r="P212" i="46"/>
  <c r="P217" i="46" s="1"/>
  <c r="P211" i="46"/>
  <c r="P216" i="46" s="1"/>
  <c r="P210" i="46"/>
  <c r="P215" i="46" s="1"/>
  <c r="P214" i="46"/>
  <c r="Q89" i="45" s="1"/>
  <c r="P209" i="48"/>
  <c r="Q147" i="46"/>
  <c r="Q167" i="46"/>
  <c r="Q157" i="46"/>
  <c r="Q177" i="46"/>
  <c r="P209" i="38"/>
  <c r="P213" i="38" s="1"/>
  <c r="P210" i="38"/>
  <c r="P214" i="38" s="1"/>
  <c r="P211" i="38"/>
  <c r="P208" i="38"/>
  <c r="P212" i="38" s="1"/>
  <c r="O34" i="54"/>
  <c r="O197" i="54"/>
  <c r="DD57" i="55"/>
  <c r="AR57" i="55"/>
  <c r="K148" i="29"/>
  <c r="O234" i="48"/>
  <c r="O232" i="48"/>
  <c r="O237" i="48" s="1"/>
  <c r="O233" i="48"/>
  <c r="O238" i="48" s="1"/>
  <c r="O230" i="48"/>
  <c r="O235" i="48" s="1"/>
  <c r="O231" i="48"/>
  <c r="O236" i="48" s="1"/>
  <c r="F61" i="55"/>
  <c r="I336" i="42"/>
  <c r="P193" i="42"/>
  <c r="P197" i="42" s="1"/>
  <c r="P194" i="42"/>
  <c r="P198" i="42" s="1"/>
  <c r="P192" i="42"/>
  <c r="P196" i="42" s="1"/>
  <c r="P195" i="42"/>
  <c r="N82" i="42"/>
  <c r="N86" i="42" s="1"/>
  <c r="N84" i="42"/>
  <c r="N81" i="42"/>
  <c r="N85" i="42" s="1"/>
  <c r="N83" i="42"/>
  <c r="N87" i="42" s="1"/>
  <c r="O224" i="48"/>
  <c r="O223" i="48"/>
  <c r="O228" i="48" s="1"/>
  <c r="O220" i="48"/>
  <c r="O225" i="48" s="1"/>
  <c r="O221" i="48"/>
  <c r="O226" i="48" s="1"/>
  <c r="O222" i="48"/>
  <c r="O227" i="48" s="1"/>
  <c r="K166" i="28"/>
  <c r="K167" i="28"/>
  <c r="K164" i="28"/>
  <c r="K165" i="28"/>
  <c r="P247" i="48"/>
  <c r="P252" i="48" s="1"/>
  <c r="P249" i="48"/>
  <c r="P254" i="48" s="1"/>
  <c r="P251" i="48"/>
  <c r="P250" i="48"/>
  <c r="P255" i="48" s="1"/>
  <c r="P248" i="48"/>
  <c r="P253" i="48" s="1"/>
  <c r="L307" i="38"/>
  <c r="L306" i="38"/>
  <c r="L318" i="38" s="1"/>
  <c r="M217" i="28"/>
  <c r="L151" i="28"/>
  <c r="J163" i="29"/>
  <c r="J164" i="29"/>
  <c r="J166" i="29"/>
  <c r="AQ63" i="55" s="1"/>
  <c r="J165" i="29"/>
  <c r="AQ62" i="55" s="1"/>
  <c r="J168" i="29"/>
  <c r="AQ65" i="55" s="1"/>
  <c r="J167" i="29"/>
  <c r="AQ64" i="55" s="1"/>
  <c r="O249" i="38"/>
  <c r="O104" i="38"/>
  <c r="O72" i="38"/>
  <c r="O73" i="38" s="1"/>
  <c r="O80" i="38"/>
  <c r="O47" i="38"/>
  <c r="O291" i="38" s="1"/>
  <c r="O96" i="38"/>
  <c r="J305" i="38"/>
  <c r="J304" i="38"/>
  <c r="J308" i="38" s="1"/>
  <c r="P154" i="38"/>
  <c r="P158" i="38" s="1"/>
  <c r="P156" i="38"/>
  <c r="P160" i="38" s="1"/>
  <c r="P157" i="38"/>
  <c r="Q79" i="36" s="1"/>
  <c r="AW79" i="36" s="1"/>
  <c r="P155" i="38"/>
  <c r="P159" i="38" s="1"/>
  <c r="P19" i="53"/>
  <c r="P27" i="53"/>
  <c r="P32" i="53" s="1"/>
  <c r="F204" i="28"/>
  <c r="Q224" i="38"/>
  <c r="Q228" i="38" s="1"/>
  <c r="Q225" i="38"/>
  <c r="Q229" i="38" s="1"/>
  <c r="Q223" i="38"/>
  <c r="Q227" i="38" s="1"/>
  <c r="N67" i="15"/>
  <c r="N46" i="15"/>
  <c r="N67" i="16"/>
  <c r="N46" i="16"/>
  <c r="AN126" i="36"/>
  <c r="AN39" i="58" s="1"/>
  <c r="G346" i="42"/>
  <c r="AN127" i="36" s="1"/>
  <c r="P32" i="29"/>
  <c r="P45" i="29"/>
  <c r="H183" i="29"/>
  <c r="H192" i="29" s="1"/>
  <c r="I70" i="16" s="1"/>
  <c r="P201" i="38"/>
  <c r="P205" i="38" s="1"/>
  <c r="P203" i="38"/>
  <c r="Q101" i="36" s="1"/>
  <c r="AW101" i="36" s="1"/>
  <c r="P202" i="38"/>
  <c r="P206" i="38" s="1"/>
  <c r="P200" i="38"/>
  <c r="P204" i="38" s="1"/>
  <c r="K174" i="29"/>
  <c r="K177" i="29" s="1"/>
  <c r="P19" i="28"/>
  <c r="P118" i="28" s="1"/>
  <c r="P27" i="28"/>
  <c r="P19" i="54"/>
  <c r="P27" i="54"/>
  <c r="P32" i="54" s="1"/>
  <c r="M294" i="42"/>
  <c r="E208" i="28"/>
  <c r="N76" i="42"/>
  <c r="N73" i="42"/>
  <c r="N77" i="42" s="1"/>
  <c r="N74" i="42"/>
  <c r="N78" i="42" s="1"/>
  <c r="N75" i="42"/>
  <c r="N79" i="42" s="1"/>
  <c r="M152" i="29"/>
  <c r="M151" i="29"/>
  <c r="M153" i="29"/>
  <c r="M150" i="29"/>
  <c r="M299" i="38"/>
  <c r="M298" i="38"/>
  <c r="M297" i="38"/>
  <c r="M296" i="38"/>
  <c r="Q19" i="19"/>
  <c r="Q27" i="19"/>
  <c r="L306" i="42"/>
  <c r="L307" i="42"/>
  <c r="R14" i="29"/>
  <c r="R16" i="29"/>
  <c r="R29" i="29" s="1"/>
  <c r="R47" i="29" s="1"/>
  <c r="R17" i="29"/>
  <c r="R30" i="29" s="1"/>
  <c r="R15" i="29"/>
  <c r="R28" i="29" s="1"/>
  <c r="R46" i="29" s="1"/>
  <c r="R18" i="29"/>
  <c r="R31" i="29" s="1"/>
  <c r="S5" i="29"/>
  <c r="R17" i="48"/>
  <c r="R30" i="48" s="1"/>
  <c r="R45" i="48" s="1"/>
  <c r="R15" i="48"/>
  <c r="R28" i="48" s="1"/>
  <c r="R43" i="48" s="1"/>
  <c r="R14" i="48"/>
  <c r="R18" i="48"/>
  <c r="R31" i="48" s="1"/>
  <c r="R16" i="48"/>
  <c r="R29" i="48" s="1"/>
  <c r="R44" i="48" s="1"/>
  <c r="S5" i="48"/>
  <c r="P61" i="15"/>
  <c r="O88" i="29"/>
  <c r="P140" i="38"/>
  <c r="P138" i="38"/>
  <c r="P139" i="38"/>
  <c r="Q199" i="38"/>
  <c r="Q191" i="38"/>
  <c r="Q207" i="38"/>
  <c r="N65" i="16"/>
  <c r="N139" i="16" s="1"/>
  <c r="L154" i="29"/>
  <c r="L155" i="29"/>
  <c r="O197" i="53"/>
  <c r="O34" i="53"/>
  <c r="J304" i="42"/>
  <c r="J308" i="42" s="1"/>
  <c r="J305" i="42"/>
  <c r="K238" i="19"/>
  <c r="K237" i="19"/>
  <c r="K241" i="19" s="1"/>
  <c r="R5" i="28"/>
  <c r="Q18" i="28"/>
  <c r="Q31" i="28" s="1"/>
  <c r="Q17" i="28"/>
  <c r="Q30" i="28" s="1"/>
  <c r="Q16" i="28"/>
  <c r="Q29" i="28" s="1"/>
  <c r="Q47" i="28" s="1"/>
  <c r="Q14" i="28"/>
  <c r="Q15" i="28"/>
  <c r="Q28" i="28" s="1"/>
  <c r="Q46" i="28" s="1"/>
  <c r="Q15" i="54"/>
  <c r="Q28" i="54" s="1"/>
  <c r="R5" i="54"/>
  <c r="Q18" i="54"/>
  <c r="Q31" i="54" s="1"/>
  <c r="Q17" i="54"/>
  <c r="Q30" i="54" s="1"/>
  <c r="Q14" i="54"/>
  <c r="Q16" i="54"/>
  <c r="Q29" i="54" s="1"/>
  <c r="Q44" i="54" s="1"/>
  <c r="Q150" i="54" s="1"/>
  <c r="Q151" i="54" s="1"/>
  <c r="M297" i="42"/>
  <c r="M296" i="42"/>
  <c r="M299" i="42"/>
  <c r="M298" i="42"/>
  <c r="N295" i="38"/>
  <c r="N292" i="38"/>
  <c r="D150" i="19"/>
  <c r="E137" i="14" s="1"/>
  <c r="E137" i="12"/>
  <c r="D138" i="19"/>
  <c r="E113" i="14" s="1"/>
  <c r="E113" i="12"/>
  <c r="D139" i="12"/>
  <c r="C73" i="19"/>
  <c r="D114" i="14" s="1"/>
  <c r="D115" i="14" s="1"/>
  <c r="D229" i="14" s="1"/>
  <c r="D114" i="12"/>
  <c r="D115" i="12" s="1"/>
  <c r="C123" i="19"/>
  <c r="C114" i="19"/>
  <c r="D124" i="19"/>
  <c r="E138" i="14" s="1"/>
  <c r="E138" i="12"/>
  <c r="C107" i="19"/>
  <c r="C125" i="19"/>
  <c r="C111" i="19"/>
  <c r="D106" i="19"/>
  <c r="E103" i="14" s="1"/>
  <c r="E103" i="12"/>
  <c r="C126" i="19"/>
  <c r="D147" i="14"/>
  <c r="D95" i="14"/>
  <c r="E174" i="19"/>
  <c r="D174" i="19"/>
  <c r="C145" i="19"/>
  <c r="C151" i="19"/>
  <c r="C147" i="19"/>
  <c r="C142" i="19"/>
  <c r="D98" i="19"/>
  <c r="D176" i="19"/>
  <c r="C154" i="19"/>
  <c r="E176" i="19"/>
  <c r="C148" i="19"/>
  <c r="E164" i="19"/>
  <c r="E166" i="19"/>
  <c r="E165" i="19"/>
  <c r="E163" i="19"/>
  <c r="C141" i="19"/>
  <c r="C153" i="19"/>
  <c r="C143" i="19"/>
  <c r="C155" i="19"/>
  <c r="C139" i="19"/>
  <c r="C119" i="19"/>
  <c r="C109" i="19"/>
  <c r="D118" i="19"/>
  <c r="E94" i="14" s="1"/>
  <c r="D105" i="12"/>
  <c r="C108" i="19"/>
  <c r="C79" i="19"/>
  <c r="D104" i="14" s="1"/>
  <c r="D105" i="14" s="1"/>
  <c r="D228" i="14" s="1"/>
  <c r="C120" i="19"/>
  <c r="C129" i="19"/>
  <c r="C180" i="19"/>
  <c r="C288" i="19" s="1"/>
  <c r="C221" i="20"/>
  <c r="C318" i="20"/>
  <c r="F172" i="19"/>
  <c r="G135" i="14" s="1"/>
  <c r="C223" i="20"/>
  <c r="C91" i="19"/>
  <c r="D136" i="14" s="1"/>
  <c r="D131" i="19"/>
  <c r="F216" i="20"/>
  <c r="F218" i="20"/>
  <c r="F215" i="20"/>
  <c r="F173" i="19" s="1"/>
  <c r="F217" i="20"/>
  <c r="F175" i="19" s="1"/>
  <c r="F219" i="20"/>
  <c r="F177" i="19" s="1"/>
  <c r="D183" i="20"/>
  <c r="D187" i="20"/>
  <c r="D149" i="19" s="1"/>
  <c r="D184" i="20"/>
  <c r="D146" i="19" s="1"/>
  <c r="D185" i="20"/>
  <c r="D186" i="20"/>
  <c r="D181" i="20"/>
  <c r="D177" i="20"/>
  <c r="D180" i="20"/>
  <c r="D179" i="20"/>
  <c r="D178" i="20"/>
  <c r="D140" i="19" s="1"/>
  <c r="F202" i="20"/>
  <c r="F204" i="20"/>
  <c r="F206" i="20"/>
  <c r="F167" i="19" s="1"/>
  <c r="F203" i="20"/>
  <c r="F205" i="20"/>
  <c r="D190" i="20"/>
  <c r="D152" i="19" s="1"/>
  <c r="D193" i="20"/>
  <c r="D191" i="20"/>
  <c r="D189" i="20"/>
  <c r="D192" i="20"/>
  <c r="D137" i="20"/>
  <c r="D138" i="20"/>
  <c r="D141" i="20"/>
  <c r="D117" i="19" s="1"/>
  <c r="D139" i="20"/>
  <c r="D115" i="19" s="1"/>
  <c r="D140" i="20"/>
  <c r="D116" i="19" s="1"/>
  <c r="D132" i="20"/>
  <c r="D135" i="20"/>
  <c r="D133" i="20"/>
  <c r="D134" i="20"/>
  <c r="D110" i="19" s="1"/>
  <c r="D131" i="20"/>
  <c r="D107" i="19" s="1"/>
  <c r="D143" i="20"/>
  <c r="D144" i="20"/>
  <c r="D145" i="20"/>
  <c r="D121" i="19" s="1"/>
  <c r="D146" i="20"/>
  <c r="D122" i="19" s="1"/>
  <c r="D147" i="20"/>
  <c r="E130" i="20"/>
  <c r="E136" i="20"/>
  <c r="E112" i="19" s="1"/>
  <c r="F126" i="14" s="1"/>
  <c r="E148" i="20"/>
  <c r="E142" i="20"/>
  <c r="D152" i="20"/>
  <c r="D128" i="19" s="1"/>
  <c r="D151" i="20"/>
  <c r="D127" i="19" s="1"/>
  <c r="D150" i="20"/>
  <c r="D126" i="19" s="1"/>
  <c r="D149" i="20"/>
  <c r="D125" i="19" s="1"/>
  <c r="D153" i="20"/>
  <c r="C95" i="20"/>
  <c r="C87" i="19" s="1"/>
  <c r="C94" i="20"/>
  <c r="D128" i="12" s="1"/>
  <c r="C98" i="20"/>
  <c r="C96" i="20"/>
  <c r="C97" i="20"/>
  <c r="D133" i="12" s="1"/>
  <c r="D129" i="12" s="1"/>
  <c r="D75" i="20"/>
  <c r="D67" i="19" s="1"/>
  <c r="E93" i="14" s="1"/>
  <c r="D99" i="20"/>
  <c r="D87" i="20"/>
  <c r="E104" i="12" s="1"/>
  <c r="D81" i="20"/>
  <c r="D93" i="20"/>
  <c r="D85" i="19" s="1"/>
  <c r="E124" i="14" s="1"/>
  <c r="C92" i="20"/>
  <c r="C84" i="19" s="1"/>
  <c r="C88" i="20"/>
  <c r="D106" i="12" s="1"/>
  <c r="C89" i="20"/>
  <c r="C81" i="19" s="1"/>
  <c r="C90" i="20"/>
  <c r="C82" i="19" s="1"/>
  <c r="C91" i="20"/>
  <c r="C102" i="20"/>
  <c r="C104" i="20"/>
  <c r="C96" i="19" s="1"/>
  <c r="C100" i="20"/>
  <c r="D140" i="12" s="1"/>
  <c r="C101" i="20"/>
  <c r="C103" i="20"/>
  <c r="C95" i="19" s="1"/>
  <c r="D145" i="14" s="1"/>
  <c r="D141" i="14" s="1"/>
  <c r="C84" i="20"/>
  <c r="C76" i="19" s="1"/>
  <c r="C86" i="20"/>
  <c r="C78" i="19" s="1"/>
  <c r="C83" i="20"/>
  <c r="C85" i="20"/>
  <c r="C82" i="20"/>
  <c r="C80" i="20"/>
  <c r="C72" i="19" s="1"/>
  <c r="C79" i="20"/>
  <c r="D101" i="12" s="1"/>
  <c r="D97" i="12" s="1"/>
  <c r="C78" i="20"/>
  <c r="D100" i="12" s="1"/>
  <c r="D98" i="12" s="1"/>
  <c r="C77" i="20"/>
  <c r="C69" i="19" s="1"/>
  <c r="C76" i="20"/>
  <c r="D96" i="12" s="1"/>
  <c r="F19" i="20"/>
  <c r="F222" i="20" s="1"/>
  <c r="F28" i="20"/>
  <c r="F46" i="20" s="1"/>
  <c r="G94" i="12" s="1"/>
  <c r="D256" i="20"/>
  <c r="D34" i="20"/>
  <c r="D55" i="19"/>
  <c r="D52" i="19" s="1"/>
  <c r="D60" i="19"/>
  <c r="D62" i="19"/>
  <c r="E93" i="12"/>
  <c r="E95" i="12" s="1"/>
  <c r="D50" i="20"/>
  <c r="D63" i="19"/>
  <c r="D58" i="19"/>
  <c r="D64" i="19"/>
  <c r="D65" i="19"/>
  <c r="D54" i="19"/>
  <c r="D53" i="19"/>
  <c r="D57" i="19"/>
  <c r="D56" i="19"/>
  <c r="D61" i="19"/>
  <c r="E124" i="12"/>
  <c r="C287" i="19"/>
  <c r="M286" i="19" s="1"/>
  <c r="C37" i="20"/>
  <c r="C36" i="20"/>
  <c r="E45" i="20"/>
  <c r="E32" i="20"/>
  <c r="BR4" i="55" s="1"/>
  <c r="CX4" i="55" s="1"/>
  <c r="E169" i="19"/>
  <c r="C267" i="20"/>
  <c r="C266" i="20"/>
  <c r="C270" i="20"/>
  <c r="G123" i="12"/>
  <c r="F158" i="19"/>
  <c r="F160" i="19"/>
  <c r="F27" i="20"/>
  <c r="C291" i="20"/>
  <c r="C292" i="20" s="1"/>
  <c r="C225" i="20"/>
  <c r="C268" i="20"/>
  <c r="G31" i="20"/>
  <c r="G49" i="20" s="1"/>
  <c r="G214" i="20" s="1"/>
  <c r="H135" i="12" s="1"/>
  <c r="G29" i="20"/>
  <c r="G47" i="20" s="1"/>
  <c r="G201" i="20" s="1"/>
  <c r="G162" i="19" s="1"/>
  <c r="H123" i="14" s="1"/>
  <c r="F30" i="20"/>
  <c r="F48" i="20" s="1"/>
  <c r="E99" i="19"/>
  <c r="E103" i="19"/>
  <c r="E100" i="19"/>
  <c r="E102" i="19"/>
  <c r="F126" i="12"/>
  <c r="E104" i="19"/>
  <c r="E101" i="19"/>
  <c r="C179" i="19"/>
  <c r="E157" i="19"/>
  <c r="F170" i="19"/>
  <c r="E133" i="19"/>
  <c r="E136" i="19"/>
  <c r="E135" i="19"/>
  <c r="E132" i="19"/>
  <c r="E134" i="19"/>
  <c r="F125" i="12"/>
  <c r="AN58" i="55" l="1"/>
  <c r="AN61" i="55"/>
  <c r="G199" i="29"/>
  <c r="Q61" i="15"/>
  <c r="P88" i="29"/>
  <c r="K321" i="42"/>
  <c r="K322" i="42" s="1"/>
  <c r="N294" i="38"/>
  <c r="M312" i="38"/>
  <c r="N86" i="55" s="1"/>
  <c r="M309" i="38"/>
  <c r="M311" i="38"/>
  <c r="N85" i="55" s="1"/>
  <c r="M310" i="38"/>
  <c r="M314" i="38"/>
  <c r="N88" i="55" s="1"/>
  <c r="M313" i="38"/>
  <c r="N87" i="55" s="1"/>
  <c r="K324" i="42"/>
  <c r="H69" i="16"/>
  <c r="H71" i="16" s="1"/>
  <c r="AN33" i="58" s="1"/>
  <c r="CZ58" i="55"/>
  <c r="O65" i="15"/>
  <c r="O139" i="15" s="1"/>
  <c r="D146" i="14"/>
  <c r="M141" i="16"/>
  <c r="M142" i="16" s="1"/>
  <c r="R49" i="29"/>
  <c r="G204" i="28"/>
  <c r="Q49" i="28"/>
  <c r="O246" i="42"/>
  <c r="L173" i="29"/>
  <c r="M141" i="15"/>
  <c r="M142" i="15" s="1"/>
  <c r="K182" i="29"/>
  <c r="Q27" i="28"/>
  <c r="Q19" i="28"/>
  <c r="Q118" i="28" s="1"/>
  <c r="Q194" i="38"/>
  <c r="Q198" i="38" s="1"/>
  <c r="Q193" i="38"/>
  <c r="Q197" i="38" s="1"/>
  <c r="Q192" i="38"/>
  <c r="Q196" i="38" s="1"/>
  <c r="T5" i="48"/>
  <c r="S14" i="48"/>
  <c r="S16" i="48"/>
  <c r="S29" i="48" s="1"/>
  <c r="S44" i="48" s="1"/>
  <c r="S15" i="48"/>
  <c r="S28" i="48" s="1"/>
  <c r="S43" i="48" s="1"/>
  <c r="S17" i="48"/>
  <c r="S30" i="48" s="1"/>
  <c r="S45" i="48" s="1"/>
  <c r="S18" i="48"/>
  <c r="S31" i="48" s="1"/>
  <c r="M154" i="29"/>
  <c r="M155" i="29"/>
  <c r="P34" i="54"/>
  <c r="P197" i="54"/>
  <c r="N77" i="16"/>
  <c r="N133" i="16" a="1"/>
  <c r="N141" i="16" s="1"/>
  <c r="N142" i="16" s="1"/>
  <c r="N134" i="16"/>
  <c r="N140" i="16" s="1"/>
  <c r="N68" i="16"/>
  <c r="P197" i="53"/>
  <c r="P34" i="53"/>
  <c r="K174" i="28"/>
  <c r="K175" i="28"/>
  <c r="K164" i="29"/>
  <c r="K166" i="29"/>
  <c r="AR63" i="55" s="1"/>
  <c r="K168" i="29"/>
  <c r="AR65" i="55" s="1"/>
  <c r="K163" i="29"/>
  <c r="K165" i="29"/>
  <c r="AR62" i="55" s="1"/>
  <c r="K167" i="29"/>
  <c r="AR64" i="55" s="1"/>
  <c r="O99" i="42"/>
  <c r="O103" i="42" s="1"/>
  <c r="O98" i="42"/>
  <c r="O102" i="42" s="1"/>
  <c r="O100" i="42"/>
  <c r="O97" i="42"/>
  <c r="O101" i="42" s="1"/>
  <c r="P224" i="48"/>
  <c r="P220" i="48"/>
  <c r="P225" i="48" s="1"/>
  <c r="P223" i="48"/>
  <c r="P228" i="48" s="1"/>
  <c r="P221" i="48"/>
  <c r="P226" i="48" s="1"/>
  <c r="P222" i="48"/>
  <c r="P227" i="48" s="1"/>
  <c r="R223" i="38"/>
  <c r="R227" i="38" s="1"/>
  <c r="R225" i="38"/>
  <c r="R229" i="38" s="1"/>
  <c r="R224" i="38"/>
  <c r="R228" i="38" s="1"/>
  <c r="N239" i="19"/>
  <c r="N251" i="19" s="1"/>
  <c r="N240" i="19"/>
  <c r="R241" i="42"/>
  <c r="R238" i="42"/>
  <c r="R242" i="42" s="1"/>
  <c r="R239" i="42"/>
  <c r="R243" i="42" s="1"/>
  <c r="R240" i="42"/>
  <c r="R244" i="42" s="1"/>
  <c r="L238" i="19"/>
  <c r="L237" i="19"/>
  <c r="L241" i="19" s="1"/>
  <c r="Q34" i="46"/>
  <c r="Q309" i="46"/>
  <c r="O46" i="16"/>
  <c r="O67" i="16"/>
  <c r="O67" i="15"/>
  <c r="O46" i="15"/>
  <c r="L164" i="28"/>
  <c r="L166" i="28"/>
  <c r="L167" i="28"/>
  <c r="L165" i="28"/>
  <c r="Q214" i="46"/>
  <c r="R89" i="45" s="1"/>
  <c r="Q209" i="48"/>
  <c r="Q211" i="46"/>
  <c r="Q216" i="46" s="1"/>
  <c r="Q212" i="46"/>
  <c r="Q217" i="46" s="1"/>
  <c r="Q213" i="46"/>
  <c r="Q218" i="46" s="1"/>
  <c r="Q210" i="46"/>
  <c r="Q215" i="46" s="1"/>
  <c r="P281" i="38"/>
  <c r="P34" i="38"/>
  <c r="Q34" i="48"/>
  <c r="Q309" i="48"/>
  <c r="Q163" i="42"/>
  <c r="Q167" i="42" s="1"/>
  <c r="Q162" i="42"/>
  <c r="Q166" i="42" s="1"/>
  <c r="Q164" i="42"/>
  <c r="Q168" i="42" s="1"/>
  <c r="Q165" i="42"/>
  <c r="H340" i="42"/>
  <c r="R147" i="46"/>
  <c r="R167" i="46"/>
  <c r="R177" i="46"/>
  <c r="R157" i="46"/>
  <c r="O146" i="29"/>
  <c r="O149" i="29"/>
  <c r="R55" i="15"/>
  <c r="Q85" i="29"/>
  <c r="R55" i="16" s="1"/>
  <c r="Q203" i="38"/>
  <c r="R101" i="36" s="1"/>
  <c r="AX101" i="36" s="1"/>
  <c r="Q200" i="38"/>
  <c r="Q204" i="38" s="1"/>
  <c r="Q201" i="38"/>
  <c r="Q205" i="38" s="1"/>
  <c r="Q202" i="38"/>
  <c r="Q206" i="38" s="1"/>
  <c r="O246" i="38"/>
  <c r="K168" i="28"/>
  <c r="K169" i="28"/>
  <c r="Q180" i="46"/>
  <c r="Q185" i="46" s="1"/>
  <c r="Q178" i="46"/>
  <c r="Q183" i="46" s="1"/>
  <c r="Q181" i="46"/>
  <c r="Q186" i="46" s="1"/>
  <c r="Q182" i="46"/>
  <c r="R107" i="45" s="1"/>
  <c r="AX107" i="45" s="1"/>
  <c r="Q177" i="48"/>
  <c r="Q179" i="46"/>
  <c r="Q184" i="46" s="1"/>
  <c r="O75" i="42"/>
  <c r="O79" i="42" s="1"/>
  <c r="O76" i="42"/>
  <c r="O74" i="42"/>
  <c r="O78" i="42" s="1"/>
  <c r="O73" i="42"/>
  <c r="O77" i="42" s="1"/>
  <c r="R240" i="38"/>
  <c r="R244" i="38" s="1"/>
  <c r="R239" i="38"/>
  <c r="R243" i="38" s="1"/>
  <c r="R238" i="38"/>
  <c r="R242" i="38" s="1"/>
  <c r="L303" i="38"/>
  <c r="L302" i="38"/>
  <c r="K158" i="29"/>
  <c r="K162" i="29" s="1"/>
  <c r="K159" i="29"/>
  <c r="Q248" i="48"/>
  <c r="Q253" i="48" s="1"/>
  <c r="Q251" i="48"/>
  <c r="Q250" i="48"/>
  <c r="Q255" i="48" s="1"/>
  <c r="Q247" i="48"/>
  <c r="Q252" i="48" s="1"/>
  <c r="Q249" i="48"/>
  <c r="Q254" i="48" s="1"/>
  <c r="S15" i="42"/>
  <c r="S28" i="42" s="1"/>
  <c r="S43" i="42" s="1"/>
  <c r="S16" i="42"/>
  <c r="S29" i="42" s="1"/>
  <c r="S44" i="42" s="1"/>
  <c r="S222" i="42" s="1"/>
  <c r="T5" i="42"/>
  <c r="S17" i="42"/>
  <c r="S30" i="42" s="1"/>
  <c r="S45" i="42" s="1"/>
  <c r="S14" i="42"/>
  <c r="S18" i="42"/>
  <c r="S31" i="42" s="1"/>
  <c r="S46" i="42" s="1"/>
  <c r="S237" i="42" s="1"/>
  <c r="P276" i="19"/>
  <c r="P275" i="19"/>
  <c r="P225" i="19"/>
  <c r="P224" i="19"/>
  <c r="P228" i="19"/>
  <c r="N103" i="29"/>
  <c r="N91" i="29"/>
  <c r="Q148" i="38"/>
  <c r="Q152" i="38" s="1"/>
  <c r="Q149" i="38"/>
  <c r="R100" i="36" s="1"/>
  <c r="AX100" i="36" s="1"/>
  <c r="Q147" i="38"/>
  <c r="Q151" i="38" s="1"/>
  <c r="Q146" i="38"/>
  <c r="Q150" i="38" s="1"/>
  <c r="P34" i="42"/>
  <c r="P281" i="42"/>
  <c r="P249" i="38"/>
  <c r="P47" i="38"/>
  <c r="P291" i="38" s="1"/>
  <c r="P96" i="38"/>
  <c r="P80" i="38"/>
  <c r="P72" i="38"/>
  <c r="P73" i="38" s="1"/>
  <c r="P104" i="38"/>
  <c r="Q156" i="42"/>
  <c r="Q160" i="42" s="1"/>
  <c r="Q155" i="42"/>
  <c r="Q159" i="42" s="1"/>
  <c r="Q157" i="42"/>
  <c r="Q154" i="42"/>
  <c r="Q158" i="42" s="1"/>
  <c r="AO84" i="55"/>
  <c r="S16" i="46"/>
  <c r="S29" i="46" s="1"/>
  <c r="S44" i="46" s="1"/>
  <c r="S246" i="46" s="1"/>
  <c r="S15" i="46"/>
  <c r="S28" i="46" s="1"/>
  <c r="S43" i="46" s="1"/>
  <c r="S14" i="46"/>
  <c r="S18" i="46"/>
  <c r="S31" i="46" s="1"/>
  <c r="T5" i="46"/>
  <c r="S17" i="46"/>
  <c r="S30" i="46" s="1"/>
  <c r="S45" i="46" s="1"/>
  <c r="Q19" i="54"/>
  <c r="Q27" i="54"/>
  <c r="Q32" i="54" s="1"/>
  <c r="P32" i="28"/>
  <c r="P45" i="28"/>
  <c r="H190" i="29"/>
  <c r="N133" i="15" a="1"/>
  <c r="N68" i="15"/>
  <c r="N77" i="15" s="1"/>
  <c r="N134" i="15"/>
  <c r="N140" i="15" s="1"/>
  <c r="Q161" i="46"/>
  <c r="Q166" i="46" s="1"/>
  <c r="Q160" i="46"/>
  <c r="Q165" i="46" s="1"/>
  <c r="Q159" i="46"/>
  <c r="Q164" i="46" s="1"/>
  <c r="Q158" i="46"/>
  <c r="Q163" i="46" s="1"/>
  <c r="Q157" i="48"/>
  <c r="Q162" i="46"/>
  <c r="R98" i="45" s="1"/>
  <c r="AX98" i="45" s="1"/>
  <c r="O82" i="42"/>
  <c r="O86" i="42" s="1"/>
  <c r="O84" i="42"/>
  <c r="O83" i="42"/>
  <c r="O87" i="42" s="1"/>
  <c r="O81" i="42"/>
  <c r="O85" i="42" s="1"/>
  <c r="N150" i="29"/>
  <c r="N152" i="29"/>
  <c r="N153" i="29"/>
  <c r="N151" i="29"/>
  <c r="N37" i="28"/>
  <c r="N36" i="28"/>
  <c r="R19" i="19"/>
  <c r="R27" i="19"/>
  <c r="R137" i="42"/>
  <c r="R153" i="42"/>
  <c r="R145" i="42"/>
  <c r="R161" i="42"/>
  <c r="P34" i="19"/>
  <c r="P214" i="19"/>
  <c r="N211" i="28"/>
  <c r="N210" i="28"/>
  <c r="N159" i="28"/>
  <c r="P178" i="48"/>
  <c r="P183" i="48" s="1"/>
  <c r="P181" i="48"/>
  <c r="P186" i="48" s="1"/>
  <c r="P182" i="48"/>
  <c r="P180" i="48"/>
  <c r="P185" i="48" s="1"/>
  <c r="P179" i="48"/>
  <c r="P184" i="48" s="1"/>
  <c r="K305" i="38"/>
  <c r="K304" i="38"/>
  <c r="K308" i="38" s="1"/>
  <c r="O231" i="19"/>
  <c r="O229" i="19"/>
  <c r="O230" i="19"/>
  <c r="O232" i="19"/>
  <c r="Q155" i="38"/>
  <c r="Q159" i="38" s="1"/>
  <c r="Q154" i="38"/>
  <c r="Q158" i="38" s="1"/>
  <c r="Q156" i="38"/>
  <c r="Q160" i="38" s="1"/>
  <c r="Q157" i="38"/>
  <c r="R79" i="36" s="1"/>
  <c r="AX79" i="36" s="1"/>
  <c r="P249" i="42"/>
  <c r="P96" i="42"/>
  <c r="P47" i="42"/>
  <c r="P291" i="42" s="1"/>
  <c r="P72" i="42"/>
  <c r="P104" i="42"/>
  <c r="P80" i="42"/>
  <c r="Q148" i="42"/>
  <c r="Q152" i="42" s="1"/>
  <c r="Q149" i="42"/>
  <c r="Q147" i="42"/>
  <c r="Q151" i="42" s="1"/>
  <c r="Q146" i="42"/>
  <c r="Q150" i="42" s="1"/>
  <c r="AO81" i="55"/>
  <c r="DE57" i="55"/>
  <c r="AS57" i="55"/>
  <c r="L148" i="29"/>
  <c r="R19" i="46"/>
  <c r="R275" i="46" s="1"/>
  <c r="R27" i="46"/>
  <c r="R32" i="46" s="1"/>
  <c r="R19" i="48"/>
  <c r="R275" i="48" s="1"/>
  <c r="R27" i="48"/>
  <c r="R32" i="48" s="1"/>
  <c r="R19" i="29"/>
  <c r="R27" i="29"/>
  <c r="M301" i="38"/>
  <c r="M300" i="38"/>
  <c r="O295" i="38"/>
  <c r="O292" i="38"/>
  <c r="Q167" i="48"/>
  <c r="Q171" i="46"/>
  <c r="Q176" i="46" s="1"/>
  <c r="Q169" i="46"/>
  <c r="Q174" i="46" s="1"/>
  <c r="Q170" i="46"/>
  <c r="Q175" i="46" s="1"/>
  <c r="Q168" i="46"/>
  <c r="Q173" i="46" s="1"/>
  <c r="Q172" i="46"/>
  <c r="R77" i="45" s="1"/>
  <c r="AX77" i="45" s="1"/>
  <c r="O106" i="42"/>
  <c r="O110" i="42" s="1"/>
  <c r="O108" i="42"/>
  <c r="O105" i="42"/>
  <c r="O109" i="42" s="1"/>
  <c r="O107" i="42"/>
  <c r="O111" i="42" s="1"/>
  <c r="K156" i="28"/>
  <c r="BX63" i="55" s="1"/>
  <c r="K157" i="28"/>
  <c r="BX64" i="55" s="1"/>
  <c r="K154" i="28"/>
  <c r="BX61" i="55" s="1"/>
  <c r="K155" i="28"/>
  <c r="BX62" i="55" s="1"/>
  <c r="K153" i="28"/>
  <c r="K158" i="28"/>
  <c r="BX65" i="55" s="1"/>
  <c r="Q208" i="42"/>
  <c r="Q212" i="42" s="1"/>
  <c r="Q211" i="42"/>
  <c r="Q209" i="42"/>
  <c r="Q213" i="42" s="1"/>
  <c r="Q210" i="42"/>
  <c r="Q214" i="42" s="1"/>
  <c r="F72" i="15"/>
  <c r="F34" i="58" s="1"/>
  <c r="E214" i="28"/>
  <c r="F73" i="15" s="1"/>
  <c r="M170" i="29"/>
  <c r="M171" i="29" s="1"/>
  <c r="M147" i="29"/>
  <c r="K329" i="42"/>
  <c r="K336" i="42" s="1"/>
  <c r="M236" i="19"/>
  <c r="M235" i="19"/>
  <c r="J182" i="29"/>
  <c r="J183" i="29" s="1"/>
  <c r="J192" i="29" s="1"/>
  <c r="K70" i="16" s="1"/>
  <c r="R19" i="42"/>
  <c r="R247" i="42" s="1"/>
  <c r="R27" i="42"/>
  <c r="K175" i="29"/>
  <c r="K176" i="29" s="1"/>
  <c r="K178" i="29" s="1"/>
  <c r="M283" i="42"/>
  <c r="M284" i="42" s="1"/>
  <c r="N250" i="42"/>
  <c r="N92" i="29"/>
  <c r="Q165" i="38"/>
  <c r="R109" i="36" s="1"/>
  <c r="AX109" i="36" s="1"/>
  <c r="Q162" i="38"/>
  <c r="Q166" i="38" s="1"/>
  <c r="Q163" i="38"/>
  <c r="Q167" i="38" s="1"/>
  <c r="Q164" i="38"/>
  <c r="Q168" i="38" s="1"/>
  <c r="S15" i="20"/>
  <c r="S16" i="20"/>
  <c r="S14" i="20"/>
  <c r="S18" i="20"/>
  <c r="S17" i="20"/>
  <c r="T5" i="20"/>
  <c r="Q139" i="42"/>
  <c r="Q143" i="42" s="1"/>
  <c r="Q141" i="42"/>
  <c r="Q138" i="42"/>
  <c r="Q142" i="42" s="1"/>
  <c r="Q140" i="42"/>
  <c r="Q144" i="42" s="1"/>
  <c r="DA81" i="55"/>
  <c r="L174" i="29"/>
  <c r="L177" i="29" s="1"/>
  <c r="Q42" i="42"/>
  <c r="Q32" i="42"/>
  <c r="N297" i="38"/>
  <c r="N298" i="38"/>
  <c r="N296" i="38"/>
  <c r="N299" i="38"/>
  <c r="S5" i="28"/>
  <c r="R15" i="28"/>
  <c r="R28" i="28" s="1"/>
  <c r="R46" i="28" s="1"/>
  <c r="R16" i="28"/>
  <c r="R29" i="28" s="1"/>
  <c r="R47" i="28" s="1"/>
  <c r="R17" i="28"/>
  <c r="R30" i="28" s="1"/>
  <c r="R14" i="28"/>
  <c r="R18" i="28"/>
  <c r="R31" i="28" s="1"/>
  <c r="L157" i="29"/>
  <c r="L156" i="29"/>
  <c r="M307" i="38"/>
  <c r="M306" i="38"/>
  <c r="M318" i="38" s="1"/>
  <c r="P50" i="29"/>
  <c r="P145" i="29" s="1"/>
  <c r="Q148" i="46"/>
  <c r="Q153" i="46" s="1"/>
  <c r="Q152" i="46"/>
  <c r="R83" i="45" s="1"/>
  <c r="Q147" i="48"/>
  <c r="Q149" i="46"/>
  <c r="Q154" i="46" s="1"/>
  <c r="Q151" i="46"/>
  <c r="Q156" i="46" s="1"/>
  <c r="Q150" i="46"/>
  <c r="Q155" i="46" s="1"/>
  <c r="Q42" i="38"/>
  <c r="Q32" i="38"/>
  <c r="O316" i="42"/>
  <c r="O317" i="42" s="1"/>
  <c r="O293" i="42"/>
  <c r="Q32" i="29"/>
  <c r="Q45" i="29"/>
  <c r="Q201" i="42"/>
  <c r="Q205" i="42" s="1"/>
  <c r="Q200" i="42"/>
  <c r="Q204" i="42" s="1"/>
  <c r="Q202" i="42"/>
  <c r="Q206" i="42" s="1"/>
  <c r="Q203" i="42"/>
  <c r="S15" i="38"/>
  <c r="S28" i="38" s="1"/>
  <c r="S43" i="38" s="1"/>
  <c r="S17" i="38"/>
  <c r="S30" i="38" s="1"/>
  <c r="S45" i="38" s="1"/>
  <c r="S14" i="38"/>
  <c r="S18" i="38"/>
  <c r="S31" i="38" s="1"/>
  <c r="S46" i="38" s="1"/>
  <c r="S237" i="38" s="1"/>
  <c r="S16" i="38"/>
  <c r="S29" i="38" s="1"/>
  <c r="S44" i="38" s="1"/>
  <c r="S222" i="38" s="1"/>
  <c r="T5" i="38"/>
  <c r="P233" i="48"/>
  <c r="P238" i="48" s="1"/>
  <c r="P232" i="48"/>
  <c r="P237" i="48" s="1"/>
  <c r="P234" i="48"/>
  <c r="P230" i="48"/>
  <c r="P235" i="48" s="1"/>
  <c r="P231" i="48"/>
  <c r="P236" i="48" s="1"/>
  <c r="AO126" i="36"/>
  <c r="AO39" i="58" s="1"/>
  <c r="H346" i="42"/>
  <c r="AO127" i="36" s="1"/>
  <c r="Q83" i="29"/>
  <c r="Q82" i="29" s="1"/>
  <c r="R207" i="42"/>
  <c r="R191" i="42"/>
  <c r="R199" i="42"/>
  <c r="L288" i="42"/>
  <c r="L285" i="42"/>
  <c r="L287" i="42"/>
  <c r="L289" i="42"/>
  <c r="L286" i="42"/>
  <c r="L290" i="42"/>
  <c r="Q138" i="38"/>
  <c r="Q139" i="38"/>
  <c r="Q140" i="38"/>
  <c r="O36" i="29"/>
  <c r="O37" i="29"/>
  <c r="P169" i="48"/>
  <c r="P174" i="48" s="1"/>
  <c r="P171" i="48"/>
  <c r="P176" i="48" s="1"/>
  <c r="P170" i="48"/>
  <c r="P175" i="48" s="1"/>
  <c r="P172" i="48"/>
  <c r="P168" i="48"/>
  <c r="P173" i="48" s="1"/>
  <c r="M300" i="42"/>
  <c r="M301" i="42"/>
  <c r="R14" i="54"/>
  <c r="S5" i="54"/>
  <c r="R16" i="54"/>
  <c r="R29" i="54" s="1"/>
  <c r="R44" i="54" s="1"/>
  <c r="R150" i="54" s="1"/>
  <c r="R151" i="54" s="1"/>
  <c r="R18" i="54"/>
  <c r="R31" i="54" s="1"/>
  <c r="R15" i="54"/>
  <c r="R28" i="54" s="1"/>
  <c r="R17" i="54"/>
  <c r="R30" i="54" s="1"/>
  <c r="P135" i="29"/>
  <c r="P34" i="29"/>
  <c r="P214" i="48"/>
  <c r="P212" i="48"/>
  <c r="P217" i="48" s="1"/>
  <c r="P213" i="48"/>
  <c r="P218" i="48" s="1"/>
  <c r="P211" i="48"/>
  <c r="P216" i="48" s="1"/>
  <c r="P210" i="48"/>
  <c r="P215" i="48" s="1"/>
  <c r="Q193" i="42"/>
  <c r="Q197" i="42" s="1"/>
  <c r="Q195" i="42"/>
  <c r="Q192" i="42"/>
  <c r="Q196" i="42" s="1"/>
  <c r="Q194" i="42"/>
  <c r="Q198" i="42" s="1"/>
  <c r="R137" i="38"/>
  <c r="R153" i="38"/>
  <c r="R161" i="38"/>
  <c r="R145" i="38"/>
  <c r="J186" i="28"/>
  <c r="J187" i="28" s="1"/>
  <c r="J188" i="28"/>
  <c r="J191" i="28" s="1"/>
  <c r="DB58" i="55"/>
  <c r="AP58" i="55"/>
  <c r="J69" i="16"/>
  <c r="J71" i="16" s="1"/>
  <c r="AP33" i="58" s="1"/>
  <c r="I199" i="29"/>
  <c r="P149" i="48"/>
  <c r="P154" i="48" s="1"/>
  <c r="P151" i="48"/>
  <c r="P156" i="48" s="1"/>
  <c r="P150" i="48"/>
  <c r="P155" i="48" s="1"/>
  <c r="P152" i="48"/>
  <c r="P148" i="48"/>
  <c r="P153" i="48" s="1"/>
  <c r="O65" i="16"/>
  <c r="O139" i="16" s="1"/>
  <c r="N184" i="28"/>
  <c r="N185" i="28" s="1"/>
  <c r="N161" i="28"/>
  <c r="Q19" i="53"/>
  <c r="Q27" i="53"/>
  <c r="Q32" i="53" s="1"/>
  <c r="M306" i="42"/>
  <c r="M307" i="42"/>
  <c r="P61" i="16"/>
  <c r="O87" i="29"/>
  <c r="S15" i="29"/>
  <c r="S28" i="29" s="1"/>
  <c r="S46" i="29" s="1"/>
  <c r="S16" i="29"/>
  <c r="S29" i="29" s="1"/>
  <c r="S47" i="29" s="1"/>
  <c r="S17" i="29"/>
  <c r="S30" i="29" s="1"/>
  <c r="T5" i="29"/>
  <c r="S18" i="29"/>
  <c r="S31" i="29" s="1"/>
  <c r="S14" i="29"/>
  <c r="L318" i="42"/>
  <c r="L319" i="42" s="1"/>
  <c r="L320" i="42"/>
  <c r="L323" i="42" s="1"/>
  <c r="M160" i="29"/>
  <c r="M172" i="29" s="1"/>
  <c r="M161" i="29"/>
  <c r="BY57" i="55"/>
  <c r="L152" i="28"/>
  <c r="R19" i="38"/>
  <c r="R247" i="38" s="1"/>
  <c r="R27" i="38"/>
  <c r="H196" i="28"/>
  <c r="H197" i="28" s="1"/>
  <c r="H206" i="28" s="1"/>
  <c r="I70" i="15" s="1"/>
  <c r="I189" i="28"/>
  <c r="I190" i="28" s="1"/>
  <c r="I192" i="28" s="1"/>
  <c r="I191" i="28"/>
  <c r="I172" i="28"/>
  <c r="I176" i="28" s="1"/>
  <c r="I173" i="28"/>
  <c r="O216" i="28"/>
  <c r="O63" i="29"/>
  <c r="P56" i="16" s="1"/>
  <c r="O53" i="29"/>
  <c r="P62" i="15"/>
  <c r="O62" i="29"/>
  <c r="P62" i="16" s="1"/>
  <c r="P44" i="15"/>
  <c r="O55" i="29"/>
  <c r="O52" i="29" s="1"/>
  <c r="O57" i="29"/>
  <c r="P56" i="15"/>
  <c r="O54" i="29"/>
  <c r="O60" i="29"/>
  <c r="O56" i="29"/>
  <c r="O59" i="29"/>
  <c r="P44" i="16" s="1"/>
  <c r="O61" i="29"/>
  <c r="O50" i="28"/>
  <c r="O117" i="28" s="1"/>
  <c r="N233" i="19"/>
  <c r="N234" i="19"/>
  <c r="T5" i="19"/>
  <c r="S17" i="19"/>
  <c r="S30" i="19" s="1"/>
  <c r="S48" i="19" s="1"/>
  <c r="S16" i="19"/>
  <c r="S29" i="19" s="1"/>
  <c r="S47" i="19" s="1"/>
  <c r="S18" i="19"/>
  <c r="S31" i="19" s="1"/>
  <c r="S49" i="19" s="1"/>
  <c r="S15" i="19"/>
  <c r="S28" i="19" s="1"/>
  <c r="S46" i="19" s="1"/>
  <c r="S14" i="19"/>
  <c r="DG80" i="55"/>
  <c r="AU80" i="55"/>
  <c r="O37" i="19"/>
  <c r="O36" i="19"/>
  <c r="M163" i="28"/>
  <c r="M162" i="28"/>
  <c r="M160" i="28"/>
  <c r="N196" i="29"/>
  <c r="N197" i="29"/>
  <c r="N117" i="28"/>
  <c r="O66" i="16"/>
  <c r="O59" i="16"/>
  <c r="O135" i="16" s="1"/>
  <c r="N294" i="42"/>
  <c r="Q219" i="48"/>
  <c r="Q221" i="46"/>
  <c r="Q226" i="46" s="1"/>
  <c r="Q220" i="46"/>
  <c r="Q225" i="46" s="1"/>
  <c r="Q223" i="46"/>
  <c r="Q228" i="46" s="1"/>
  <c r="Q222" i="46"/>
  <c r="Q227" i="46" s="1"/>
  <c r="Q224" i="46"/>
  <c r="R99" i="45" s="1"/>
  <c r="AX99" i="45" s="1"/>
  <c r="K142" i="29"/>
  <c r="K144" i="29"/>
  <c r="K139" i="29"/>
  <c r="K141" i="29"/>
  <c r="K143" i="29"/>
  <c r="K140" i="29"/>
  <c r="R246" i="48"/>
  <c r="R248" i="46"/>
  <c r="R253" i="46" s="1"/>
  <c r="R249" i="46"/>
  <c r="R254" i="46" s="1"/>
  <c r="R251" i="46"/>
  <c r="S96" i="45" s="1"/>
  <c r="R250" i="46"/>
  <c r="R255" i="46" s="1"/>
  <c r="R247" i="46"/>
  <c r="R252" i="46" s="1"/>
  <c r="R16" i="53"/>
  <c r="R29" i="53" s="1"/>
  <c r="R44" i="53" s="1"/>
  <c r="R150" i="53" s="1"/>
  <c r="R151" i="53" s="1"/>
  <c r="S60" i="51" s="1"/>
  <c r="AY60" i="51" s="1"/>
  <c r="R15" i="53"/>
  <c r="R28" i="53" s="1"/>
  <c r="S5" i="53"/>
  <c r="R17" i="53"/>
  <c r="R30" i="53" s="1"/>
  <c r="R18" i="53"/>
  <c r="R31" i="53" s="1"/>
  <c r="R14" i="53"/>
  <c r="K305" i="42"/>
  <c r="K304" i="42"/>
  <c r="K308" i="42" s="1"/>
  <c r="R64" i="15"/>
  <c r="R48" i="15"/>
  <c r="R49" i="15" s="1"/>
  <c r="R136" i="15" s="1"/>
  <c r="R45" i="15"/>
  <c r="R58" i="15"/>
  <c r="Q76" i="29"/>
  <c r="R58" i="16" s="1"/>
  <c r="Q75" i="29"/>
  <c r="Q73" i="29"/>
  <c r="Q70" i="29"/>
  <c r="Q77" i="29"/>
  <c r="R45" i="16" s="1"/>
  <c r="Q69" i="29"/>
  <c r="Q66" i="29"/>
  <c r="Q65" i="29" s="1"/>
  <c r="Q67" i="29"/>
  <c r="Q71" i="29"/>
  <c r="Q78" i="29"/>
  <c r="R64" i="16" s="1"/>
  <c r="Q68" i="29"/>
  <c r="Q74" i="29"/>
  <c r="R48" i="16" s="1"/>
  <c r="R49" i="16" s="1"/>
  <c r="R136" i="16" s="1"/>
  <c r="Q209" i="38"/>
  <c r="Q213" i="38" s="1"/>
  <c r="Q210" i="38"/>
  <c r="Q214" i="38" s="1"/>
  <c r="Q211" i="38"/>
  <c r="Q208" i="38"/>
  <c r="Q212" i="38" s="1"/>
  <c r="Q32" i="19"/>
  <c r="Q45" i="19"/>
  <c r="Q50" i="19" s="1"/>
  <c r="M314" i="42"/>
  <c r="AT88" i="55" s="1"/>
  <c r="M312" i="42"/>
  <c r="AT86" i="55" s="1"/>
  <c r="M313" i="42"/>
  <c r="AT87" i="55" s="1"/>
  <c r="M309" i="42"/>
  <c r="M310" i="42"/>
  <c r="M311" i="42"/>
  <c r="AT85" i="55" s="1"/>
  <c r="G69" i="15"/>
  <c r="G71" i="15" s="1"/>
  <c r="G33" i="58" s="1"/>
  <c r="G58" i="55"/>
  <c r="F208" i="28"/>
  <c r="G61" i="55"/>
  <c r="F213" i="28"/>
  <c r="O293" i="38"/>
  <c r="P80" i="55" s="1"/>
  <c r="O316" i="38"/>
  <c r="N217" i="28"/>
  <c r="M151" i="28"/>
  <c r="DB81" i="55"/>
  <c r="AP81" i="55"/>
  <c r="AP84" i="55"/>
  <c r="I340" i="42"/>
  <c r="I345" i="42"/>
  <c r="O295" i="42"/>
  <c r="O292" i="42"/>
  <c r="J338" i="42"/>
  <c r="L302" i="42"/>
  <c r="L303" i="42"/>
  <c r="R207" i="38"/>
  <c r="R191" i="38"/>
  <c r="R199" i="38"/>
  <c r="O149" i="28"/>
  <c r="O34" i="28"/>
  <c r="AW85" i="45"/>
  <c r="Q86" i="45"/>
  <c r="Q87" i="45"/>
  <c r="AW86" i="45"/>
  <c r="Q85" i="45"/>
  <c r="AW87" i="45"/>
  <c r="R225" i="42"/>
  <c r="R229" i="42" s="1"/>
  <c r="R224" i="42"/>
  <c r="R228" i="42" s="1"/>
  <c r="R226" i="42"/>
  <c r="R223" i="42"/>
  <c r="R227" i="42" s="1"/>
  <c r="O66" i="15"/>
  <c r="O59" i="15"/>
  <c r="O135" i="15" s="1"/>
  <c r="L181" i="28"/>
  <c r="M64" i="55" s="1"/>
  <c r="L182" i="28"/>
  <c r="M65" i="55" s="1"/>
  <c r="L179" i="28"/>
  <c r="M62" i="55" s="1"/>
  <c r="L177" i="28"/>
  <c r="L180" i="28"/>
  <c r="M63" i="55" s="1"/>
  <c r="L178" i="28"/>
  <c r="J170" i="28"/>
  <c r="J171" i="28"/>
  <c r="N296" i="42"/>
  <c r="N297" i="42"/>
  <c r="N298" i="42"/>
  <c r="N299" i="42"/>
  <c r="Q229" i="48"/>
  <c r="Q232" i="46"/>
  <c r="Q237" i="46" s="1"/>
  <c r="Q231" i="46"/>
  <c r="Q236" i="46" s="1"/>
  <c r="Q233" i="46"/>
  <c r="Q238" i="46" s="1"/>
  <c r="Q234" i="46"/>
  <c r="R108" i="45" s="1"/>
  <c r="AX108" i="45" s="1"/>
  <c r="Q230" i="46"/>
  <c r="Q235" i="46" s="1"/>
  <c r="N57" i="55"/>
  <c r="L137" i="29"/>
  <c r="L138" i="29" s="1"/>
  <c r="M104" i="29"/>
  <c r="P158" i="48"/>
  <c r="P163" i="48" s="1"/>
  <c r="P160" i="48"/>
  <c r="P165" i="48" s="1"/>
  <c r="P161" i="48"/>
  <c r="P166" i="48" s="1"/>
  <c r="P162" i="48"/>
  <c r="P159" i="48"/>
  <c r="P164" i="48" s="1"/>
  <c r="R229" i="46"/>
  <c r="R219" i="46"/>
  <c r="R209" i="46"/>
  <c r="C269" i="20"/>
  <c r="D34" i="55"/>
  <c r="D146" i="12"/>
  <c r="D120" i="14"/>
  <c r="D118" i="14" s="1"/>
  <c r="E147" i="14"/>
  <c r="D143" i="12"/>
  <c r="D139" i="14"/>
  <c r="D231" i="14" s="1"/>
  <c r="C74" i="19"/>
  <c r="D116" i="14" s="1"/>
  <c r="D116" i="12"/>
  <c r="D73" i="19"/>
  <c r="E114" i="14" s="1"/>
  <c r="E115" i="14" s="1"/>
  <c r="E114" i="12"/>
  <c r="E115" i="12" s="1"/>
  <c r="E229" i="12" s="1"/>
  <c r="D110" i="14"/>
  <c r="D108" i="14" s="1"/>
  <c r="D99" i="12"/>
  <c r="D229" i="12"/>
  <c r="C339" i="20"/>
  <c r="D231" i="12"/>
  <c r="C340" i="20"/>
  <c r="C75" i="19"/>
  <c r="D119" i="14" s="1"/>
  <c r="D119" i="12"/>
  <c r="D91" i="19"/>
  <c r="E136" i="14" s="1"/>
  <c r="E139" i="14" s="1"/>
  <c r="E136" i="12"/>
  <c r="E139" i="12" s="1"/>
  <c r="E231" i="12" s="1"/>
  <c r="D99" i="14"/>
  <c r="D109" i="12"/>
  <c r="D131" i="12"/>
  <c r="D127" i="12" s="1"/>
  <c r="C337" i="20" s="1"/>
  <c r="D109" i="14"/>
  <c r="E105" i="12"/>
  <c r="E228" i="12" s="1"/>
  <c r="D113" i="19"/>
  <c r="E106" i="19"/>
  <c r="F103" i="14" s="1"/>
  <c r="F103" i="12"/>
  <c r="D123" i="19"/>
  <c r="D111" i="19"/>
  <c r="D226" i="14"/>
  <c r="E124" i="19"/>
  <c r="F138" i="14" s="1"/>
  <c r="F138" i="12"/>
  <c r="D114" i="19"/>
  <c r="E95" i="14"/>
  <c r="F174" i="19"/>
  <c r="D141" i="19"/>
  <c r="D148" i="19"/>
  <c r="D145" i="19"/>
  <c r="D154" i="19"/>
  <c r="D147" i="19"/>
  <c r="D151" i="19"/>
  <c r="D139" i="19"/>
  <c r="E98" i="19"/>
  <c r="D145" i="12"/>
  <c r="D141" i="12" s="1"/>
  <c r="C94" i="19"/>
  <c r="D144" i="14" s="1"/>
  <c r="D142" i="14" s="1"/>
  <c r="D144" i="12"/>
  <c r="D142" i="12" s="1"/>
  <c r="C88" i="19"/>
  <c r="D132" i="14" s="1"/>
  <c r="D130" i="14" s="1"/>
  <c r="D132" i="12"/>
  <c r="D130" i="12" s="1"/>
  <c r="C92" i="19"/>
  <c r="D140" i="14" s="1"/>
  <c r="F176" i="19"/>
  <c r="F165" i="19"/>
  <c r="F166" i="19"/>
  <c r="F163" i="19"/>
  <c r="F164" i="19"/>
  <c r="D180" i="19"/>
  <c r="D121" i="12"/>
  <c r="D117" i="12" s="1"/>
  <c r="C89" i="19"/>
  <c r="D133" i="14" s="1"/>
  <c r="D129" i="14" s="1"/>
  <c r="D155" i="19"/>
  <c r="D153" i="19"/>
  <c r="D120" i="12"/>
  <c r="D118" i="12" s="1"/>
  <c r="C86" i="19"/>
  <c r="D128" i="14" s="1"/>
  <c r="D110" i="12"/>
  <c r="D108" i="12" s="1"/>
  <c r="D143" i="19"/>
  <c r="D142" i="19"/>
  <c r="D120" i="19"/>
  <c r="D109" i="19"/>
  <c r="C93" i="19"/>
  <c r="D143" i="14" s="1"/>
  <c r="C83" i="19"/>
  <c r="D111" i="14" s="1"/>
  <c r="D107" i="14" s="1"/>
  <c r="D111" i="12"/>
  <c r="D107" i="12" s="1"/>
  <c r="C90" i="19"/>
  <c r="D131" i="14" s="1"/>
  <c r="D127" i="14" s="1"/>
  <c r="E118" i="19"/>
  <c r="F94" i="14" s="1"/>
  <c r="D119" i="19"/>
  <c r="D108" i="19"/>
  <c r="C182" i="19"/>
  <c r="D228" i="12"/>
  <c r="C338" i="20"/>
  <c r="C71" i="19"/>
  <c r="D101" i="14" s="1"/>
  <c r="C70" i="19"/>
  <c r="D100" i="14" s="1"/>
  <c r="D98" i="14" s="1"/>
  <c r="C77" i="19"/>
  <c r="D121" i="14" s="1"/>
  <c r="D117" i="14" s="1"/>
  <c r="C80" i="19"/>
  <c r="D106" i="14" s="1"/>
  <c r="D79" i="19"/>
  <c r="D129" i="19"/>
  <c r="C68" i="19"/>
  <c r="D96" i="14" s="1"/>
  <c r="G172" i="19"/>
  <c r="H135" i="14" s="1"/>
  <c r="D223" i="20"/>
  <c r="E131" i="19"/>
  <c r="G216" i="20"/>
  <c r="G218" i="20"/>
  <c r="G219" i="20"/>
  <c r="G177" i="19" s="1"/>
  <c r="G215" i="20"/>
  <c r="G173" i="19" s="1"/>
  <c r="G217" i="20"/>
  <c r="G175" i="19" s="1"/>
  <c r="G202" i="20"/>
  <c r="G204" i="20"/>
  <c r="G206" i="20"/>
  <c r="G167" i="19" s="1"/>
  <c r="G203" i="20"/>
  <c r="G205" i="20"/>
  <c r="E143" i="20"/>
  <c r="E146" i="20"/>
  <c r="E122" i="19" s="1"/>
  <c r="E147" i="20"/>
  <c r="E144" i="20"/>
  <c r="E145" i="20"/>
  <c r="E121" i="19" s="1"/>
  <c r="E131" i="20"/>
  <c r="E107" i="19" s="1"/>
  <c r="E133" i="20"/>
  <c r="E134" i="20"/>
  <c r="E110" i="19" s="1"/>
  <c r="E135" i="20"/>
  <c r="E132" i="20"/>
  <c r="E152" i="20"/>
  <c r="E128" i="19" s="1"/>
  <c r="E153" i="20"/>
  <c r="E151" i="20"/>
  <c r="E127" i="19" s="1"/>
  <c r="E150" i="20"/>
  <c r="E149" i="20"/>
  <c r="E125" i="19" s="1"/>
  <c r="F148" i="20"/>
  <c r="F136" i="20"/>
  <c r="F112" i="19" s="1"/>
  <c r="G126" i="14" s="1"/>
  <c r="F130" i="20"/>
  <c r="F142" i="20"/>
  <c r="E138" i="20"/>
  <c r="E141" i="20"/>
  <c r="E117" i="19" s="1"/>
  <c r="E140" i="20"/>
  <c r="E116" i="19" s="1"/>
  <c r="E137" i="20"/>
  <c r="E139" i="20"/>
  <c r="E115" i="19" s="1"/>
  <c r="D100" i="20"/>
  <c r="D104" i="20"/>
  <c r="D96" i="19" s="1"/>
  <c r="D103" i="20"/>
  <c r="D95" i="19" s="1"/>
  <c r="D101" i="20"/>
  <c r="D102" i="20"/>
  <c r="D95" i="20"/>
  <c r="D94" i="20"/>
  <c r="E128" i="12" s="1"/>
  <c r="D96" i="20"/>
  <c r="D98" i="20"/>
  <c r="D97" i="20"/>
  <c r="E133" i="12" s="1"/>
  <c r="E129" i="12" s="1"/>
  <c r="D79" i="20"/>
  <c r="E101" i="12" s="1"/>
  <c r="E97" i="12" s="1"/>
  <c r="D76" i="20"/>
  <c r="E96" i="12" s="1"/>
  <c r="D77" i="20"/>
  <c r="D80" i="20"/>
  <c r="D72" i="19" s="1"/>
  <c r="D78" i="20"/>
  <c r="E100" i="12" s="1"/>
  <c r="E98" i="12" s="1"/>
  <c r="D82" i="20"/>
  <c r="E116" i="12" s="1"/>
  <c r="D85" i="20"/>
  <c r="E121" i="12" s="1"/>
  <c r="E117" i="12" s="1"/>
  <c r="D84" i="20"/>
  <c r="D83" i="20"/>
  <c r="D86" i="20"/>
  <c r="D78" i="19" s="1"/>
  <c r="E75" i="20"/>
  <c r="E67" i="19" s="1"/>
  <c r="F93" i="14" s="1"/>
  <c r="E93" i="20"/>
  <c r="E85" i="19" s="1"/>
  <c r="F124" i="14" s="1"/>
  <c r="E99" i="20"/>
  <c r="E87" i="20"/>
  <c r="F104" i="12" s="1"/>
  <c r="E81" i="20"/>
  <c r="D88" i="20"/>
  <c r="E106" i="12" s="1"/>
  <c r="D91" i="20"/>
  <c r="D89" i="20"/>
  <c r="D81" i="19" s="1"/>
  <c r="D92" i="20"/>
  <c r="D84" i="19" s="1"/>
  <c r="D90" i="20"/>
  <c r="D82" i="19" s="1"/>
  <c r="G19" i="20"/>
  <c r="G222" i="20" s="1"/>
  <c r="M283" i="19"/>
  <c r="N169" i="14" s="1"/>
  <c r="G30" i="20"/>
  <c r="G48" i="20" s="1"/>
  <c r="D179" i="19"/>
  <c r="F169" i="19"/>
  <c r="F133" i="19"/>
  <c r="F135" i="19"/>
  <c r="F132" i="19"/>
  <c r="F134" i="19"/>
  <c r="G125" i="12"/>
  <c r="F136" i="19"/>
  <c r="H19" i="20"/>
  <c r="G27" i="20"/>
  <c r="F157" i="19"/>
  <c r="D266" i="20"/>
  <c r="D318" i="20"/>
  <c r="D270" i="20"/>
  <c r="D317" i="20"/>
  <c r="D267" i="20"/>
  <c r="G28" i="20"/>
  <c r="G46" i="20" s="1"/>
  <c r="H94" i="12" s="1"/>
  <c r="H29" i="20"/>
  <c r="H47" i="20" s="1"/>
  <c r="H201" i="20" s="1"/>
  <c r="H162" i="19" s="1"/>
  <c r="I123" i="14" s="1"/>
  <c r="H31" i="20"/>
  <c r="H49" i="20" s="1"/>
  <c r="H214" i="20" s="1"/>
  <c r="I135" i="12" s="1"/>
  <c r="C273" i="20"/>
  <c r="C274" i="20"/>
  <c r="C271" i="20"/>
  <c r="C272" i="20"/>
  <c r="E256" i="20"/>
  <c r="E34" i="20"/>
  <c r="D291" i="20"/>
  <c r="D292" i="20" s="1"/>
  <c r="D268" i="20"/>
  <c r="F99" i="19"/>
  <c r="G126" i="12"/>
  <c r="F101" i="19"/>
  <c r="F103" i="19"/>
  <c r="F100" i="19"/>
  <c r="F104" i="19"/>
  <c r="F102" i="19"/>
  <c r="H123" i="12"/>
  <c r="G160" i="19"/>
  <c r="G158" i="19"/>
  <c r="G170" i="19"/>
  <c r="C258" i="20"/>
  <c r="BP34" i="55" s="1"/>
  <c r="D225" i="20"/>
  <c r="F45" i="20"/>
  <c r="F32" i="20"/>
  <c r="BS4" i="55" s="1"/>
  <c r="CY4" i="55" s="1"/>
  <c r="M285" i="19"/>
  <c r="E55" i="19"/>
  <c r="E52" i="19" s="1"/>
  <c r="E60" i="19"/>
  <c r="E62" i="19"/>
  <c r="F93" i="12"/>
  <c r="E50" i="20"/>
  <c r="E221" i="20" s="1"/>
  <c r="E58" i="19"/>
  <c r="E65" i="19"/>
  <c r="E57" i="19"/>
  <c r="E63" i="19"/>
  <c r="F124" i="12"/>
  <c r="E56" i="19"/>
  <c r="E53" i="19"/>
  <c r="E64" i="19"/>
  <c r="E54" i="19"/>
  <c r="E61" i="19"/>
  <c r="M282" i="19"/>
  <c r="N168" i="14" s="1"/>
  <c r="D221" i="20"/>
  <c r="E147" i="12"/>
  <c r="D37" i="20"/>
  <c r="D36" i="20"/>
  <c r="M284" i="19"/>
  <c r="G200" i="29" l="1"/>
  <c r="H73" i="16" s="1"/>
  <c r="H72" i="16"/>
  <c r="AN34" i="58" s="1"/>
  <c r="G208" i="28"/>
  <c r="H61" i="55"/>
  <c r="G213" i="28"/>
  <c r="Q61" i="16"/>
  <c r="P87" i="29"/>
  <c r="R61" i="15"/>
  <c r="Q88" i="29"/>
  <c r="P65" i="16"/>
  <c r="P139" i="16" s="1"/>
  <c r="N314" i="38"/>
  <c r="O88" i="55" s="1"/>
  <c r="N312" i="38"/>
  <c r="O86" i="55" s="1"/>
  <c r="N311" i="38"/>
  <c r="O85" i="55" s="1"/>
  <c r="N309" i="38"/>
  <c r="N310" i="38"/>
  <c r="N313" i="38"/>
  <c r="O87" i="55" s="1"/>
  <c r="O294" i="42"/>
  <c r="H69" i="15"/>
  <c r="H71" i="15" s="1"/>
  <c r="H33" i="58" s="1"/>
  <c r="H58" i="55"/>
  <c r="L175" i="29"/>
  <c r="L176" i="29" s="1"/>
  <c r="L178" i="29" s="1"/>
  <c r="M173" i="29"/>
  <c r="P65" i="15"/>
  <c r="P139" i="15" s="1"/>
  <c r="O57" i="55"/>
  <c r="N141" i="15"/>
  <c r="N142" i="15" s="1"/>
  <c r="P246" i="38"/>
  <c r="L321" i="42"/>
  <c r="L322" i="42" s="1"/>
  <c r="S49" i="29"/>
  <c r="K338" i="42"/>
  <c r="K345" i="42" s="1"/>
  <c r="O92" i="29"/>
  <c r="R49" i="28"/>
  <c r="S61" i="15" s="1"/>
  <c r="P246" i="42"/>
  <c r="J173" i="28"/>
  <c r="J172" i="28"/>
  <c r="J176" i="28" s="1"/>
  <c r="R210" i="38"/>
  <c r="R214" i="38" s="1"/>
  <c r="R209" i="38"/>
  <c r="R213" i="38" s="1"/>
  <c r="R211" i="38"/>
  <c r="R208" i="38"/>
  <c r="R212" i="38" s="1"/>
  <c r="AP126" i="36"/>
  <c r="AP39" i="58" s="1"/>
  <c r="I346" i="42"/>
  <c r="AP127" i="36" s="1"/>
  <c r="T5" i="53"/>
  <c r="S16" i="53"/>
  <c r="S29" i="53" s="1"/>
  <c r="S44" i="53" s="1"/>
  <c r="S150" i="53" s="1"/>
  <c r="S151" i="53" s="1"/>
  <c r="T60" i="51" s="1"/>
  <c r="AZ60" i="51" s="1"/>
  <c r="S18" i="53"/>
  <c r="S31" i="53" s="1"/>
  <c r="S14" i="53"/>
  <c r="S17" i="53"/>
  <c r="S30" i="53" s="1"/>
  <c r="S15" i="53"/>
  <c r="S28" i="53" s="1"/>
  <c r="R248" i="48"/>
  <c r="R253" i="48" s="1"/>
  <c r="R251" i="48"/>
  <c r="R250" i="48"/>
  <c r="R255" i="48" s="1"/>
  <c r="R247" i="48"/>
  <c r="R252" i="48" s="1"/>
  <c r="R249" i="48"/>
  <c r="R254" i="48" s="1"/>
  <c r="N236" i="19"/>
  <c r="N235" i="19"/>
  <c r="P59" i="16"/>
  <c r="P135" i="16" s="1"/>
  <c r="P66" i="16"/>
  <c r="S19" i="29"/>
  <c r="S27" i="29"/>
  <c r="J196" i="28"/>
  <c r="J197" i="28" s="1"/>
  <c r="J206" i="28" s="1"/>
  <c r="K70" i="15" s="1"/>
  <c r="R19" i="54"/>
  <c r="R27" i="54"/>
  <c r="R32" i="54" s="1"/>
  <c r="S224" i="38"/>
  <c r="S228" i="38" s="1"/>
  <c r="S223" i="38"/>
  <c r="S227" i="38" s="1"/>
  <c r="S225" i="38"/>
  <c r="S229" i="38" s="1"/>
  <c r="P149" i="29"/>
  <c r="P146" i="29"/>
  <c r="R85" i="29"/>
  <c r="S55" i="16" s="1"/>
  <c r="S55" i="15"/>
  <c r="Q249" i="42"/>
  <c r="Q47" i="42"/>
  <c r="Q291" i="42" s="1"/>
  <c r="Q80" i="42"/>
  <c r="Q104" i="42"/>
  <c r="Q96" i="42"/>
  <c r="Q72" i="42"/>
  <c r="Q246" i="42"/>
  <c r="M174" i="29"/>
  <c r="M177" i="29" s="1"/>
  <c r="R309" i="46"/>
  <c r="R34" i="46"/>
  <c r="P293" i="42"/>
  <c r="P316" i="42"/>
  <c r="P317" i="42" s="1"/>
  <c r="O233" i="19"/>
  <c r="O234" i="19"/>
  <c r="N163" i="28"/>
  <c r="N160" i="28"/>
  <c r="N162" i="28"/>
  <c r="R156" i="42"/>
  <c r="R160" i="42" s="1"/>
  <c r="R154" i="42"/>
  <c r="R158" i="42" s="1"/>
  <c r="R155" i="42"/>
  <c r="R159" i="42" s="1"/>
  <c r="R157" i="42"/>
  <c r="N154" i="29"/>
  <c r="N155" i="29"/>
  <c r="Q158" i="48"/>
  <c r="Q163" i="48" s="1"/>
  <c r="Q162" i="48"/>
  <c r="Q160" i="48"/>
  <c r="Q165" i="48" s="1"/>
  <c r="Q159" i="48"/>
  <c r="Q164" i="48" s="1"/>
  <c r="Q161" i="48"/>
  <c r="Q166" i="48" s="1"/>
  <c r="T14" i="46"/>
  <c r="U5" i="46"/>
  <c r="T17" i="46"/>
  <c r="T30" i="46" s="1"/>
  <c r="T45" i="46" s="1"/>
  <c r="T16" i="46"/>
  <c r="T29" i="46" s="1"/>
  <c r="T44" i="46" s="1"/>
  <c r="T246" i="46" s="1"/>
  <c r="T18" i="46"/>
  <c r="T31" i="46" s="1"/>
  <c r="T15" i="46"/>
  <c r="T28" i="46" s="1"/>
  <c r="T43" i="46" s="1"/>
  <c r="P293" i="38"/>
  <c r="Q80" i="55" s="1"/>
  <c r="P316" i="38"/>
  <c r="N170" i="29"/>
  <c r="N171" i="29" s="1"/>
  <c r="N147" i="29"/>
  <c r="S19" i="42"/>
  <c r="S247" i="42" s="1"/>
  <c r="S27" i="42"/>
  <c r="Q182" i="48"/>
  <c r="Q179" i="48"/>
  <c r="Q184" i="48" s="1"/>
  <c r="Q180" i="48"/>
  <c r="Q185" i="48" s="1"/>
  <c r="Q178" i="48"/>
  <c r="Q183" i="48" s="1"/>
  <c r="Q181" i="48"/>
  <c r="Q186" i="48" s="1"/>
  <c r="O152" i="29"/>
  <c r="O153" i="29"/>
  <c r="O151" i="29"/>
  <c r="O150" i="29"/>
  <c r="L175" i="28"/>
  <c r="L174" i="28"/>
  <c r="G72" i="15"/>
  <c r="G34" i="58" s="1"/>
  <c r="F214" i="28"/>
  <c r="G73" i="15" s="1"/>
  <c r="P66" i="15"/>
  <c r="P59" i="15"/>
  <c r="P135" i="15" s="1"/>
  <c r="O184" i="28"/>
  <c r="O185" i="28" s="1"/>
  <c r="O161" i="28"/>
  <c r="H204" i="28"/>
  <c r="M318" i="42"/>
  <c r="M319" i="42" s="1"/>
  <c r="M320" i="42"/>
  <c r="M323" i="42" s="1"/>
  <c r="M302" i="42"/>
  <c r="M303" i="42"/>
  <c r="S238" i="38"/>
  <c r="S242" i="38" s="1"/>
  <c r="S239" i="38"/>
  <c r="S243" i="38" s="1"/>
  <c r="S240" i="38"/>
  <c r="S244" i="38" s="1"/>
  <c r="Q50" i="29"/>
  <c r="Q145" i="29" s="1"/>
  <c r="S64" i="15"/>
  <c r="S48" i="15"/>
  <c r="S49" i="15" s="1"/>
  <c r="S136" i="15" s="1"/>
  <c r="S45" i="15"/>
  <c r="S58" i="15"/>
  <c r="R74" i="29"/>
  <c r="S48" i="16" s="1"/>
  <c r="S49" i="16" s="1"/>
  <c r="S136" i="16" s="1"/>
  <c r="R78" i="29"/>
  <c r="S64" i="16" s="1"/>
  <c r="R73" i="29"/>
  <c r="R76" i="29"/>
  <c r="S58" i="16" s="1"/>
  <c r="R71" i="29"/>
  <c r="R69" i="29"/>
  <c r="R66" i="29"/>
  <c r="R65" i="29" s="1"/>
  <c r="R67" i="29"/>
  <c r="R70" i="29"/>
  <c r="R77" i="29"/>
  <c r="S45" i="16" s="1"/>
  <c r="R68" i="29"/>
  <c r="L182" i="29"/>
  <c r="J190" i="29"/>
  <c r="O299" i="38"/>
  <c r="O297" i="38"/>
  <c r="O296" i="38"/>
  <c r="O298" i="38"/>
  <c r="R141" i="42"/>
  <c r="R140" i="42"/>
  <c r="R144" i="42" s="1"/>
  <c r="R138" i="42"/>
  <c r="R142" i="42" s="1"/>
  <c r="R139" i="42"/>
  <c r="R143" i="42" s="1"/>
  <c r="DA58" i="55"/>
  <c r="I69" i="16"/>
  <c r="I71" i="16" s="1"/>
  <c r="AO33" i="58" s="1"/>
  <c r="AO58" i="55"/>
  <c r="H199" i="29"/>
  <c r="AO61" i="55"/>
  <c r="P229" i="19"/>
  <c r="P230" i="19"/>
  <c r="P231" i="19"/>
  <c r="P232" i="19"/>
  <c r="S199" i="42"/>
  <c r="S207" i="42"/>
  <c r="S191" i="42"/>
  <c r="L168" i="28"/>
  <c r="L169" i="28"/>
  <c r="R75" i="29"/>
  <c r="R209" i="48"/>
  <c r="R214" i="46"/>
  <c r="S89" i="45" s="1"/>
  <c r="R212" i="46"/>
  <c r="R217" i="46" s="1"/>
  <c r="R211" i="46"/>
  <c r="R216" i="46" s="1"/>
  <c r="R213" i="46"/>
  <c r="R218" i="46" s="1"/>
  <c r="R210" i="46"/>
  <c r="R215" i="46" s="1"/>
  <c r="N104" i="29"/>
  <c r="M137" i="29"/>
  <c r="M138" i="29" s="1"/>
  <c r="Q234" i="48"/>
  <c r="Q233" i="48"/>
  <c r="Q238" i="48" s="1"/>
  <c r="Q231" i="48"/>
  <c r="Q236" i="48" s="1"/>
  <c r="Q232" i="48"/>
  <c r="Q237" i="48" s="1"/>
  <c r="Q230" i="48"/>
  <c r="Q235" i="48" s="1"/>
  <c r="L304" i="42"/>
  <c r="L308" i="42" s="1"/>
  <c r="L305" i="42"/>
  <c r="S19" i="19"/>
  <c r="S27" i="19"/>
  <c r="R42" i="38"/>
  <c r="R32" i="38"/>
  <c r="L155" i="28"/>
  <c r="BY62" i="55" s="1"/>
  <c r="L153" i="28"/>
  <c r="L154" i="28"/>
  <c r="BY61" i="55" s="1"/>
  <c r="L157" i="28"/>
  <c r="BY64" i="55" s="1"/>
  <c r="L158" i="28"/>
  <c r="BY65" i="55" s="1"/>
  <c r="L156" i="28"/>
  <c r="BY63" i="55" s="1"/>
  <c r="T18" i="29"/>
  <c r="T31" i="29" s="1"/>
  <c r="T14" i="29"/>
  <c r="U5" i="29"/>
  <c r="T15" i="29"/>
  <c r="T28" i="29" s="1"/>
  <c r="T46" i="29" s="1"/>
  <c r="T16" i="29"/>
  <c r="T29" i="29" s="1"/>
  <c r="T47" i="29" s="1"/>
  <c r="T17" i="29"/>
  <c r="T30" i="29" s="1"/>
  <c r="Q34" i="53"/>
  <c r="Q197" i="53"/>
  <c r="R147" i="38"/>
  <c r="R151" i="38" s="1"/>
  <c r="R148" i="38"/>
  <c r="R152" i="38" s="1"/>
  <c r="R146" i="38"/>
  <c r="R150" i="38" s="1"/>
  <c r="R149" i="38"/>
  <c r="S100" i="36" s="1"/>
  <c r="AY100" i="36" s="1"/>
  <c r="O196" i="29"/>
  <c r="O197" i="29"/>
  <c r="S19" i="38"/>
  <c r="S247" i="38" s="1"/>
  <c r="S27" i="38"/>
  <c r="Q135" i="29"/>
  <c r="Q34" i="29"/>
  <c r="Q151" i="48"/>
  <c r="Q156" i="48" s="1"/>
  <c r="Q148" i="48"/>
  <c r="Q153" i="48" s="1"/>
  <c r="Q149" i="48"/>
  <c r="Q154" i="48" s="1"/>
  <c r="Q150" i="48"/>
  <c r="Q155" i="48" s="1"/>
  <c r="Q152" i="48"/>
  <c r="T5" i="28"/>
  <c r="S14" i="28"/>
  <c r="S18" i="28"/>
  <c r="S31" i="28" s="1"/>
  <c r="S17" i="28"/>
  <c r="S30" i="28" s="1"/>
  <c r="S15" i="28"/>
  <c r="S28" i="28" s="1"/>
  <c r="S46" i="28" s="1"/>
  <c r="S16" i="28"/>
  <c r="S29" i="28" s="1"/>
  <c r="S47" i="28" s="1"/>
  <c r="S83" i="29" s="1"/>
  <c r="S82" i="29" s="1"/>
  <c r="N283" i="42"/>
  <c r="N284" i="42" s="1"/>
  <c r="O250" i="42"/>
  <c r="L163" i="29"/>
  <c r="L165" i="29"/>
  <c r="AS62" i="55" s="1"/>
  <c r="L167" i="29"/>
  <c r="AS64" i="55" s="1"/>
  <c r="L164" i="29"/>
  <c r="L166" i="29"/>
  <c r="AS63" i="55" s="1"/>
  <c r="L168" i="29"/>
  <c r="AS65" i="55" s="1"/>
  <c r="R32" i="19"/>
  <c r="R45" i="19"/>
  <c r="R50" i="19" s="1"/>
  <c r="P216" i="28"/>
  <c r="P61" i="29"/>
  <c r="Q62" i="15"/>
  <c r="Q65" i="15" s="1"/>
  <c r="Q139" i="15" s="1"/>
  <c r="P53" i="29"/>
  <c r="Q44" i="15"/>
  <c r="P57" i="29"/>
  <c r="P63" i="29"/>
  <c r="Q56" i="16" s="1"/>
  <c r="Q56" i="15"/>
  <c r="P55" i="29"/>
  <c r="P52" i="29" s="1"/>
  <c r="P62" i="29"/>
  <c r="Q62" i="16" s="1"/>
  <c r="P54" i="29"/>
  <c r="P50" i="28"/>
  <c r="P117" i="28" s="1"/>
  <c r="P56" i="29"/>
  <c r="P59" i="29"/>
  <c r="Q44" i="16" s="1"/>
  <c r="P60" i="29"/>
  <c r="S19" i="46"/>
  <c r="S275" i="46" s="1"/>
  <c r="S27" i="46"/>
  <c r="S32" i="46" s="1"/>
  <c r="T18" i="42"/>
  <c r="T31" i="42" s="1"/>
  <c r="T46" i="42" s="1"/>
  <c r="T237" i="42" s="1"/>
  <c r="T16" i="42"/>
  <c r="T29" i="42" s="1"/>
  <c r="T44" i="42" s="1"/>
  <c r="T222" i="42" s="1"/>
  <c r="T17" i="42"/>
  <c r="T30" i="42" s="1"/>
  <c r="T45" i="42" s="1"/>
  <c r="U5" i="42"/>
  <c r="T14" i="42"/>
  <c r="T15" i="42"/>
  <c r="T28" i="42" s="1"/>
  <c r="T43" i="42" s="1"/>
  <c r="R157" i="48"/>
  <c r="R161" i="46"/>
  <c r="R166" i="46" s="1"/>
  <c r="R159" i="46"/>
  <c r="R164" i="46" s="1"/>
  <c r="R160" i="46"/>
  <c r="R165" i="46" s="1"/>
  <c r="R162" i="46"/>
  <c r="S98" i="45" s="1"/>
  <c r="AY98" i="45" s="1"/>
  <c r="R158" i="46"/>
  <c r="R163" i="46" s="1"/>
  <c r="R221" i="46"/>
  <c r="R226" i="46" s="1"/>
  <c r="R220" i="46"/>
  <c r="R225" i="46" s="1"/>
  <c r="R222" i="46"/>
  <c r="R227" i="46" s="1"/>
  <c r="R219" i="48"/>
  <c r="R223" i="46"/>
  <c r="R228" i="46" s="1"/>
  <c r="R224" i="46"/>
  <c r="S99" i="45" s="1"/>
  <c r="AY99" i="45" s="1"/>
  <c r="L143" i="29"/>
  <c r="L140" i="29"/>
  <c r="L142" i="29"/>
  <c r="L144" i="29"/>
  <c r="L139" i="29"/>
  <c r="L141" i="29"/>
  <c r="N307" i="42"/>
  <c r="N306" i="42"/>
  <c r="O36" i="28"/>
  <c r="O37" i="28"/>
  <c r="J340" i="42"/>
  <c r="J345" i="42"/>
  <c r="O159" i="28"/>
  <c r="O211" i="28"/>
  <c r="O210" i="28"/>
  <c r="R162" i="38"/>
  <c r="R166" i="38" s="1"/>
  <c r="R164" i="38"/>
  <c r="R168" i="38" s="1"/>
  <c r="R163" i="38"/>
  <c r="R167" i="38" s="1"/>
  <c r="R165" i="38"/>
  <c r="S109" i="36" s="1"/>
  <c r="AY109" i="36" s="1"/>
  <c r="S191" i="38"/>
  <c r="S199" i="38"/>
  <c r="S207" i="38"/>
  <c r="DH80" i="55"/>
  <c r="AV80" i="55"/>
  <c r="L159" i="29"/>
  <c r="L158" i="29"/>
  <c r="L162" i="29" s="1"/>
  <c r="N306" i="38"/>
  <c r="N318" i="38" s="1"/>
  <c r="N307" i="38"/>
  <c r="M288" i="42"/>
  <c r="M285" i="42"/>
  <c r="M290" i="42"/>
  <c r="M287" i="42"/>
  <c r="M289" i="42"/>
  <c r="M286" i="42"/>
  <c r="M238" i="19"/>
  <c r="M237" i="19"/>
  <c r="M241" i="19" s="1"/>
  <c r="M303" i="38"/>
  <c r="M302" i="38"/>
  <c r="P81" i="42"/>
  <c r="P85" i="42" s="1"/>
  <c r="P83" i="42"/>
  <c r="P87" i="42" s="1"/>
  <c r="P82" i="42"/>
  <c r="P86" i="42" s="1"/>
  <c r="P84" i="42"/>
  <c r="P149" i="28"/>
  <c r="P34" i="28"/>
  <c r="S147" i="46"/>
  <c r="S157" i="46"/>
  <c r="S167" i="46"/>
  <c r="S177" i="46"/>
  <c r="S225" i="42"/>
  <c r="S229" i="42" s="1"/>
  <c r="S226" i="42"/>
  <c r="S224" i="42"/>
  <c r="S228" i="42" s="1"/>
  <c r="S223" i="42"/>
  <c r="S227" i="42" s="1"/>
  <c r="R179" i="46"/>
  <c r="R184" i="46" s="1"/>
  <c r="R181" i="46"/>
  <c r="R186" i="46" s="1"/>
  <c r="R178" i="46"/>
  <c r="R183" i="46" s="1"/>
  <c r="R182" i="46"/>
  <c r="S107" i="45" s="1"/>
  <c r="AY107" i="45" s="1"/>
  <c r="R177" i="48"/>
  <c r="R180" i="46"/>
  <c r="R185" i="46" s="1"/>
  <c r="O68" i="15"/>
  <c r="O133" i="15" a="1"/>
  <c r="O134" i="15"/>
  <c r="O140" i="15" s="1"/>
  <c r="R229" i="48"/>
  <c r="R232" i="46"/>
  <c r="R237" i="46" s="1"/>
  <c r="R231" i="46"/>
  <c r="R236" i="46" s="1"/>
  <c r="R230" i="46"/>
  <c r="R235" i="46" s="1"/>
  <c r="R233" i="46"/>
  <c r="R238" i="46" s="1"/>
  <c r="R234" i="46"/>
  <c r="S108" i="45" s="1"/>
  <c r="AY108" i="45" s="1"/>
  <c r="N301" i="42"/>
  <c r="N300" i="42"/>
  <c r="O314" i="42"/>
  <c r="AV88" i="55" s="1"/>
  <c r="O310" i="42"/>
  <c r="O309" i="42"/>
  <c r="O311" i="42"/>
  <c r="AV85" i="55" s="1"/>
  <c r="O313" i="42"/>
  <c r="AV87" i="55" s="1"/>
  <c r="O312" i="42"/>
  <c r="AV86" i="55" s="1"/>
  <c r="Q275" i="19"/>
  <c r="Q228" i="19"/>
  <c r="Q224" i="19"/>
  <c r="Q225" i="19"/>
  <c r="Q276" i="19"/>
  <c r="Q220" i="48"/>
  <c r="Q225" i="48" s="1"/>
  <c r="Q223" i="48"/>
  <c r="Q228" i="48" s="1"/>
  <c r="Q222" i="48"/>
  <c r="Q227" i="48" s="1"/>
  <c r="Q221" i="48"/>
  <c r="Q226" i="48" s="1"/>
  <c r="Q224" i="48"/>
  <c r="M181" i="28"/>
  <c r="N64" i="55" s="1"/>
  <c r="M179" i="28"/>
  <c r="N62" i="55" s="1"/>
  <c r="M180" i="28"/>
  <c r="N63" i="55" s="1"/>
  <c r="M182" i="28"/>
  <c r="N65" i="55" s="1"/>
  <c r="M178" i="28"/>
  <c r="M177" i="28"/>
  <c r="O103" i="29"/>
  <c r="O91" i="29"/>
  <c r="P67" i="15"/>
  <c r="P46" i="15"/>
  <c r="L324" i="42"/>
  <c r="I200" i="29"/>
  <c r="J73" i="16" s="1"/>
  <c r="J72" i="16"/>
  <c r="AP34" i="58" s="1"/>
  <c r="R156" i="38"/>
  <c r="R160" i="38" s="1"/>
  <c r="R155" i="38"/>
  <c r="R159" i="38" s="1"/>
  <c r="R157" i="38"/>
  <c r="S79" i="36" s="1"/>
  <c r="AY79" i="36" s="1"/>
  <c r="R154" i="38"/>
  <c r="R158" i="38" s="1"/>
  <c r="R201" i="42"/>
  <c r="R205" i="42" s="1"/>
  <c r="R202" i="42"/>
  <c r="R206" i="42" s="1"/>
  <c r="R200" i="42"/>
  <c r="R204" i="42" s="1"/>
  <c r="R203" i="42"/>
  <c r="S137" i="38"/>
  <c r="S145" i="38"/>
  <c r="S153" i="38"/>
  <c r="S161" i="38"/>
  <c r="R87" i="45"/>
  <c r="AX87" i="45"/>
  <c r="R86" i="45"/>
  <c r="AX85" i="45"/>
  <c r="R85" i="45"/>
  <c r="AX86" i="45"/>
  <c r="R32" i="29"/>
  <c r="R45" i="29"/>
  <c r="P108" i="42"/>
  <c r="P107" i="42"/>
  <c r="P111" i="42" s="1"/>
  <c r="P105" i="42"/>
  <c r="P109" i="42" s="1"/>
  <c r="P106" i="42"/>
  <c r="P110" i="42" s="1"/>
  <c r="P37" i="19"/>
  <c r="P36" i="19"/>
  <c r="R83" i="29"/>
  <c r="R82" i="29" s="1"/>
  <c r="S250" i="46"/>
  <c r="S255" i="46" s="1"/>
  <c r="S251" i="46"/>
  <c r="T96" i="45" s="1"/>
  <c r="S246" i="48"/>
  <c r="S249" i="46"/>
  <c r="S254" i="46" s="1"/>
  <c r="S248" i="46"/>
  <c r="S253" i="46" s="1"/>
  <c r="S247" i="46"/>
  <c r="S252" i="46" s="1"/>
  <c r="S137" i="42"/>
  <c r="S161" i="42"/>
  <c r="S145" i="42"/>
  <c r="S153" i="42"/>
  <c r="R170" i="46"/>
  <c r="R175" i="46" s="1"/>
  <c r="R168" i="46"/>
  <c r="R173" i="46" s="1"/>
  <c r="R167" i="48"/>
  <c r="R172" i="46"/>
  <c r="S77" i="45" s="1"/>
  <c r="AY77" i="45" s="1"/>
  <c r="R171" i="46"/>
  <c r="R176" i="46" s="1"/>
  <c r="R169" i="46"/>
  <c r="R174" i="46" s="1"/>
  <c r="Q212" i="48"/>
  <c r="Q217" i="48" s="1"/>
  <c r="Q213" i="48"/>
  <c r="Q218" i="48" s="1"/>
  <c r="Q214" i="48"/>
  <c r="Q210" i="48"/>
  <c r="Q215" i="48" s="1"/>
  <c r="Q211" i="48"/>
  <c r="Q216" i="48" s="1"/>
  <c r="Q32" i="28"/>
  <c r="Q45" i="28"/>
  <c r="BZ57" i="55"/>
  <c r="M152" i="28"/>
  <c r="Q34" i="19"/>
  <c r="Q214" i="19"/>
  <c r="R19" i="53"/>
  <c r="R27" i="53"/>
  <c r="R32" i="53" s="1"/>
  <c r="N311" i="42"/>
  <c r="AU85" i="55" s="1"/>
  <c r="N312" i="42"/>
  <c r="AU86" i="55" s="1"/>
  <c r="N309" i="42"/>
  <c r="N310" i="42"/>
  <c r="N314" i="42"/>
  <c r="AU88" i="55" s="1"/>
  <c r="N313" i="42"/>
  <c r="AU87" i="55" s="1"/>
  <c r="M166" i="28"/>
  <c r="M164" i="28"/>
  <c r="M167" i="28"/>
  <c r="M165" i="28"/>
  <c r="P67" i="16"/>
  <c r="P46" i="16"/>
  <c r="I196" i="28"/>
  <c r="I197" i="28" s="1"/>
  <c r="I206" i="28" s="1"/>
  <c r="J70" i="15" s="1"/>
  <c r="AQ84" i="55"/>
  <c r="R139" i="38"/>
  <c r="R140" i="38"/>
  <c r="R138" i="38"/>
  <c r="R195" i="42"/>
  <c r="R192" i="42"/>
  <c r="R196" i="42" s="1"/>
  <c r="R193" i="42"/>
  <c r="R197" i="42" s="1"/>
  <c r="R194" i="42"/>
  <c r="R198" i="42" s="1"/>
  <c r="Q281" i="38"/>
  <c r="Q34" i="38"/>
  <c r="N301" i="38"/>
  <c r="N300" i="38"/>
  <c r="R42" i="42"/>
  <c r="R32" i="42"/>
  <c r="P76" i="42"/>
  <c r="P74" i="42"/>
  <c r="P78" i="42" s="1"/>
  <c r="P75" i="42"/>
  <c r="P79" i="42" s="1"/>
  <c r="P73" i="42"/>
  <c r="P77" i="42" s="1"/>
  <c r="O240" i="19"/>
  <c r="O239" i="19"/>
  <c r="O251" i="19" s="1"/>
  <c r="Q197" i="54"/>
  <c r="Q34" i="54"/>
  <c r="L304" i="38"/>
  <c r="L308" i="38" s="1"/>
  <c r="L305" i="38"/>
  <c r="K171" i="28"/>
  <c r="K170" i="28"/>
  <c r="R147" i="48"/>
  <c r="R152" i="46"/>
  <c r="S83" i="45" s="1"/>
  <c r="R149" i="46"/>
  <c r="R154" i="46" s="1"/>
  <c r="R150" i="46"/>
  <c r="R155" i="46" s="1"/>
  <c r="R151" i="46"/>
  <c r="R156" i="46" s="1"/>
  <c r="R148" i="46"/>
  <c r="R153" i="46" s="1"/>
  <c r="R201" i="38"/>
  <c r="R205" i="38" s="1"/>
  <c r="R203" i="38"/>
  <c r="S101" i="36" s="1"/>
  <c r="AY101" i="36" s="1"/>
  <c r="R200" i="38"/>
  <c r="R204" i="38" s="1"/>
  <c r="R202" i="38"/>
  <c r="R206" i="38" s="1"/>
  <c r="O298" i="42"/>
  <c r="O296" i="42"/>
  <c r="O297" i="42"/>
  <c r="O299" i="42"/>
  <c r="O217" i="28"/>
  <c r="N151" i="28"/>
  <c r="DC81" i="55"/>
  <c r="L328" i="42"/>
  <c r="R210" i="42"/>
  <c r="R214" i="42" s="1"/>
  <c r="R208" i="42"/>
  <c r="R212" i="42" s="1"/>
  <c r="R211" i="42"/>
  <c r="R209" i="42"/>
  <c r="R213" i="42" s="1"/>
  <c r="Q249" i="38"/>
  <c r="Q47" i="38"/>
  <c r="Q291" i="38" s="1"/>
  <c r="Q96" i="38"/>
  <c r="Q72" i="38"/>
  <c r="Q73" i="38" s="1"/>
  <c r="Q80" i="38"/>
  <c r="Q104" i="38"/>
  <c r="R27" i="28"/>
  <c r="R19" i="28"/>
  <c r="R118" i="28" s="1"/>
  <c r="Q172" i="48"/>
  <c r="Q169" i="48"/>
  <c r="Q174" i="48" s="1"/>
  <c r="Q171" i="48"/>
  <c r="Q176" i="48" s="1"/>
  <c r="Q168" i="48"/>
  <c r="Q173" i="48" s="1"/>
  <c r="Q170" i="48"/>
  <c r="Q175" i="48" s="1"/>
  <c r="R34" i="48"/>
  <c r="R309" i="48"/>
  <c r="P295" i="42"/>
  <c r="P292" i="42"/>
  <c r="R165" i="42"/>
  <c r="R162" i="42"/>
  <c r="R166" i="42" s="1"/>
  <c r="R164" i="42"/>
  <c r="R168" i="42" s="1"/>
  <c r="R163" i="42"/>
  <c r="R167" i="42" s="1"/>
  <c r="J189" i="28"/>
  <c r="J190" i="28" s="1"/>
  <c r="J192" i="28" s="1"/>
  <c r="O68" i="16"/>
  <c r="O77" i="16"/>
  <c r="O134" i="16"/>
  <c r="O140" i="16" s="1"/>
  <c r="O133" i="16" a="1"/>
  <c r="K186" i="28"/>
  <c r="K187" i="28" s="1"/>
  <c r="K188" i="28"/>
  <c r="K191" i="28" s="1"/>
  <c r="S19" i="48"/>
  <c r="S275" i="48" s="1"/>
  <c r="S27" i="48"/>
  <c r="S32" i="48" s="1"/>
  <c r="R194" i="38"/>
  <c r="R198" i="38" s="1"/>
  <c r="R193" i="38"/>
  <c r="R197" i="38" s="1"/>
  <c r="R192" i="38"/>
  <c r="R196" i="38" s="1"/>
  <c r="U5" i="19"/>
  <c r="T18" i="19"/>
  <c r="T31" i="19" s="1"/>
  <c r="T49" i="19" s="1"/>
  <c r="T14" i="19"/>
  <c r="T17" i="19"/>
  <c r="T30" i="19" s="1"/>
  <c r="T48" i="19" s="1"/>
  <c r="T15" i="19"/>
  <c r="T28" i="19" s="1"/>
  <c r="T46" i="19" s="1"/>
  <c r="T16" i="19"/>
  <c r="T29" i="19" s="1"/>
  <c r="T47" i="19" s="1"/>
  <c r="AQ81" i="55"/>
  <c r="P37" i="29"/>
  <c r="P36" i="29"/>
  <c r="S14" i="54"/>
  <c r="T5" i="54"/>
  <c r="S18" i="54"/>
  <c r="S31" i="54" s="1"/>
  <c r="S16" i="54"/>
  <c r="S29" i="54" s="1"/>
  <c r="S44" i="54" s="1"/>
  <c r="S150" i="54" s="1"/>
  <c r="S151" i="54" s="1"/>
  <c r="S17" i="54"/>
  <c r="S30" i="54" s="1"/>
  <c r="S15" i="54"/>
  <c r="S28" i="54" s="1"/>
  <c r="T14" i="38"/>
  <c r="T18" i="38"/>
  <c r="T31" i="38" s="1"/>
  <c r="T46" i="38" s="1"/>
  <c r="T237" i="38" s="1"/>
  <c r="T16" i="38"/>
  <c r="T29" i="38" s="1"/>
  <c r="T44" i="38" s="1"/>
  <c r="T222" i="38" s="1"/>
  <c r="T15" i="38"/>
  <c r="T28" i="38" s="1"/>
  <c r="T43" i="38" s="1"/>
  <c r="T17" i="38"/>
  <c r="T30" i="38" s="1"/>
  <c r="T45" i="38" s="1"/>
  <c r="U5" i="38"/>
  <c r="Q34" i="42"/>
  <c r="Q281" i="42"/>
  <c r="U5" i="20"/>
  <c r="T15" i="20"/>
  <c r="T16" i="20"/>
  <c r="T14" i="20"/>
  <c r="T17" i="20"/>
  <c r="T18" i="20"/>
  <c r="DF57" i="55"/>
  <c r="AT57" i="55"/>
  <c r="M148" i="29"/>
  <c r="O294" i="38"/>
  <c r="P100" i="42"/>
  <c r="P98" i="42"/>
  <c r="P102" i="42" s="1"/>
  <c r="P99" i="42"/>
  <c r="P103" i="42" s="1"/>
  <c r="P97" i="42"/>
  <c r="P101" i="42" s="1"/>
  <c r="R149" i="42"/>
  <c r="R148" i="42"/>
  <c r="R152" i="42" s="1"/>
  <c r="R146" i="42"/>
  <c r="R150" i="42" s="1"/>
  <c r="R147" i="42"/>
  <c r="R151" i="42" s="1"/>
  <c r="N160" i="29"/>
  <c r="N172" i="29" s="1"/>
  <c r="N161" i="29"/>
  <c r="S229" i="46"/>
  <c r="S219" i="46"/>
  <c r="S209" i="46"/>
  <c r="P295" i="38"/>
  <c r="P292" i="38"/>
  <c r="S241" i="42"/>
  <c r="S239" i="42"/>
  <c r="S243" i="42" s="1"/>
  <c r="S240" i="42"/>
  <c r="S244" i="42" s="1"/>
  <c r="S238" i="42"/>
  <c r="S242" i="42" s="1"/>
  <c r="M156" i="29"/>
  <c r="M157" i="29"/>
  <c r="U5" i="48"/>
  <c r="T14" i="48"/>
  <c r="T18" i="48"/>
  <c r="T31" i="48" s="1"/>
  <c r="T16" i="48"/>
  <c r="T29" i="48" s="1"/>
  <c r="T44" i="48" s="1"/>
  <c r="T17" i="48"/>
  <c r="T30" i="48" s="1"/>
  <c r="T45" i="48" s="1"/>
  <c r="T15" i="48"/>
  <c r="T28" i="48" s="1"/>
  <c r="T43" i="48" s="1"/>
  <c r="K183" i="29"/>
  <c r="K192" i="29" s="1"/>
  <c r="L70" i="16" s="1"/>
  <c r="E34" i="55"/>
  <c r="C259" i="20"/>
  <c r="D225" i="12" a="1"/>
  <c r="D148" i="12"/>
  <c r="C341" i="20" s="1"/>
  <c r="E146" i="12"/>
  <c r="E145" i="14"/>
  <c r="E141" i="14" s="1"/>
  <c r="D152" i="12"/>
  <c r="E143" i="12"/>
  <c r="D152" i="14"/>
  <c r="D150" i="12"/>
  <c r="D149" i="14"/>
  <c r="D227" i="12"/>
  <c r="D232" i="12" s="1"/>
  <c r="D151" i="14"/>
  <c r="E131" i="12"/>
  <c r="E127" i="12" s="1"/>
  <c r="E227" i="12" s="1"/>
  <c r="D227" i="14"/>
  <c r="D232" i="14" s="1"/>
  <c r="D148" i="14"/>
  <c r="D225" i="14" a="1"/>
  <c r="E110" i="14"/>
  <c r="E108" i="14" s="1"/>
  <c r="E73" i="19"/>
  <c r="F114" i="14" s="1"/>
  <c r="F114" i="12"/>
  <c r="D182" i="19"/>
  <c r="D249" i="19" s="1"/>
  <c r="D250" i="19" s="1"/>
  <c r="D253" i="19" s="1"/>
  <c r="E104" i="14"/>
  <c r="D153" i="14"/>
  <c r="E99" i="12"/>
  <c r="D97" i="14"/>
  <c r="D150" i="14" s="1"/>
  <c r="D154" i="14"/>
  <c r="E91" i="19"/>
  <c r="F136" i="14" s="1"/>
  <c r="F136" i="12"/>
  <c r="D75" i="19"/>
  <c r="E119" i="14" s="1"/>
  <c r="E119" i="12"/>
  <c r="E109" i="12"/>
  <c r="F105" i="12"/>
  <c r="F228" i="12" s="1"/>
  <c r="E109" i="14"/>
  <c r="F124" i="19"/>
  <c r="G138" i="14" s="1"/>
  <c r="G138" i="12"/>
  <c r="E113" i="19"/>
  <c r="E123" i="19"/>
  <c r="F95" i="14"/>
  <c r="E114" i="19"/>
  <c r="F106" i="19"/>
  <c r="G103" i="14" s="1"/>
  <c r="G103" i="12"/>
  <c r="E126" i="19"/>
  <c r="E111" i="19"/>
  <c r="D269" i="20"/>
  <c r="G174" i="19"/>
  <c r="C226" i="19"/>
  <c r="CV34" i="55" s="1"/>
  <c r="F98" i="19"/>
  <c r="E231" i="14"/>
  <c r="E229" i="14"/>
  <c r="D151" i="12"/>
  <c r="D153" i="12"/>
  <c r="D154" i="12"/>
  <c r="D149" i="12"/>
  <c r="D94" i="19"/>
  <c r="E144" i="14" s="1"/>
  <c r="E142" i="14" s="1"/>
  <c r="E144" i="12"/>
  <c r="E142" i="12" s="1"/>
  <c r="D92" i="19"/>
  <c r="E140" i="14" s="1"/>
  <c r="E140" i="12"/>
  <c r="G176" i="19"/>
  <c r="E145" i="12"/>
  <c r="E141" i="12" s="1"/>
  <c r="D88" i="19"/>
  <c r="E132" i="14" s="1"/>
  <c r="E130" i="14" s="1"/>
  <c r="E132" i="12"/>
  <c r="E130" i="12" s="1"/>
  <c r="D87" i="19"/>
  <c r="G166" i="19"/>
  <c r="G163" i="19"/>
  <c r="G164" i="19"/>
  <c r="G165" i="19"/>
  <c r="D89" i="19"/>
  <c r="E133" i="14" s="1"/>
  <c r="E129" i="14" s="1"/>
  <c r="D86" i="19"/>
  <c r="E128" i="14" s="1"/>
  <c r="C183" i="19"/>
  <c r="D76" i="19"/>
  <c r="E120" i="14" s="1"/>
  <c r="E118" i="14" s="1"/>
  <c r="E120" i="12"/>
  <c r="E118" i="12" s="1"/>
  <c r="D74" i="19"/>
  <c r="E116" i="14" s="1"/>
  <c r="C249" i="19"/>
  <c r="C250" i="19" s="1"/>
  <c r="C252" i="19" s="1"/>
  <c r="C253" i="19" s="1"/>
  <c r="E108" i="19"/>
  <c r="E110" i="12"/>
  <c r="E108" i="12" s="1"/>
  <c r="D90" i="19"/>
  <c r="E119" i="19"/>
  <c r="D93" i="19"/>
  <c r="E143" i="14" s="1"/>
  <c r="E120" i="19"/>
  <c r="D83" i="19"/>
  <c r="E111" i="14" s="1"/>
  <c r="E107" i="14" s="1"/>
  <c r="E111" i="12"/>
  <c r="E107" i="12" s="1"/>
  <c r="F118" i="19"/>
  <c r="G94" i="14" s="1"/>
  <c r="E109" i="19"/>
  <c r="E129" i="19"/>
  <c r="D80" i="19"/>
  <c r="E106" i="14" s="1"/>
  <c r="E79" i="19"/>
  <c r="F104" i="14" s="1"/>
  <c r="D77" i="19"/>
  <c r="E121" i="14" s="1"/>
  <c r="E117" i="14" s="1"/>
  <c r="D69" i="19"/>
  <c r="E99" i="14" s="1"/>
  <c r="D68" i="19"/>
  <c r="E96" i="14" s="1"/>
  <c r="D70" i="19"/>
  <c r="E100" i="14" s="1"/>
  <c r="E98" i="14" s="1"/>
  <c r="D71" i="19"/>
  <c r="E101" i="14" s="1"/>
  <c r="E97" i="14" s="1"/>
  <c r="H172" i="19"/>
  <c r="I135" i="14" s="1"/>
  <c r="E180" i="19"/>
  <c r="F131" i="19"/>
  <c r="H215" i="20"/>
  <c r="H173" i="19" s="1"/>
  <c r="H217" i="20"/>
  <c r="H175" i="19" s="1"/>
  <c r="H219" i="20"/>
  <c r="H177" i="19" s="1"/>
  <c r="H216" i="20"/>
  <c r="H218" i="20"/>
  <c r="H203" i="20"/>
  <c r="H205" i="20"/>
  <c r="H202" i="20"/>
  <c r="H204" i="20"/>
  <c r="H206" i="20"/>
  <c r="H167" i="19" s="1"/>
  <c r="G148" i="20"/>
  <c r="G136" i="20"/>
  <c r="G112" i="19" s="1"/>
  <c r="H126" i="14" s="1"/>
  <c r="G142" i="20"/>
  <c r="G130" i="20"/>
  <c r="F149" i="20"/>
  <c r="F125" i="19" s="1"/>
  <c r="F152" i="20"/>
  <c r="F128" i="19" s="1"/>
  <c r="F151" i="20"/>
  <c r="F127" i="19" s="1"/>
  <c r="F153" i="20"/>
  <c r="F150" i="20"/>
  <c r="F144" i="20"/>
  <c r="F147" i="20"/>
  <c r="F145" i="20"/>
  <c r="F121" i="19" s="1"/>
  <c r="F146" i="20"/>
  <c r="F122" i="19" s="1"/>
  <c r="F143" i="20"/>
  <c r="F132" i="20"/>
  <c r="F134" i="20"/>
  <c r="F110" i="19" s="1"/>
  <c r="F135" i="20"/>
  <c r="F131" i="20"/>
  <c r="F107" i="19" s="1"/>
  <c r="F133" i="20"/>
  <c r="F137" i="20"/>
  <c r="F138" i="20"/>
  <c r="F140" i="20"/>
  <c r="F116" i="19" s="1"/>
  <c r="F139" i="20"/>
  <c r="F115" i="19" s="1"/>
  <c r="F141" i="20"/>
  <c r="F117" i="19" s="1"/>
  <c r="E98" i="20"/>
  <c r="E95" i="20"/>
  <c r="E94" i="20"/>
  <c r="E96" i="20"/>
  <c r="E97" i="20"/>
  <c r="F75" i="20"/>
  <c r="F67" i="19" s="1"/>
  <c r="G93" i="14" s="1"/>
  <c r="F81" i="20"/>
  <c r="F99" i="20"/>
  <c r="F87" i="20"/>
  <c r="G104" i="12" s="1"/>
  <c r="F93" i="20"/>
  <c r="F85" i="19" s="1"/>
  <c r="G124" i="14" s="1"/>
  <c r="E83" i="20"/>
  <c r="E86" i="20"/>
  <c r="E78" i="19" s="1"/>
  <c r="E82" i="20"/>
  <c r="E84" i="20"/>
  <c r="E85" i="20"/>
  <c r="E76" i="20"/>
  <c r="F96" i="12" s="1"/>
  <c r="E78" i="20"/>
  <c r="F100" i="12" s="1"/>
  <c r="F98" i="12" s="1"/>
  <c r="E80" i="20"/>
  <c r="E72" i="19" s="1"/>
  <c r="E77" i="20"/>
  <c r="E79" i="20"/>
  <c r="F101" i="12" s="1"/>
  <c r="F97" i="12" s="1"/>
  <c r="E101" i="20"/>
  <c r="E100" i="20"/>
  <c r="E103" i="20"/>
  <c r="E95" i="19" s="1"/>
  <c r="E102" i="20"/>
  <c r="E104" i="20"/>
  <c r="E96" i="19" s="1"/>
  <c r="E89" i="20"/>
  <c r="E81" i="19" s="1"/>
  <c r="E91" i="20"/>
  <c r="E88" i="20"/>
  <c r="F106" i="12" s="1"/>
  <c r="E92" i="20"/>
  <c r="E84" i="19" s="1"/>
  <c r="E90" i="20"/>
  <c r="E82" i="19" s="1"/>
  <c r="F95" i="12"/>
  <c r="I123" i="12"/>
  <c r="H158" i="19"/>
  <c r="H160" i="19"/>
  <c r="D274" i="20"/>
  <c r="D273" i="20"/>
  <c r="D271" i="20"/>
  <c r="D272" i="20"/>
  <c r="C284" i="20"/>
  <c r="C286" i="20"/>
  <c r="D39" i="55" s="1"/>
  <c r="C289" i="20"/>
  <c r="D42" i="55" s="1"/>
  <c r="C287" i="20"/>
  <c r="D40" i="55" s="1"/>
  <c r="C285" i="20"/>
  <c r="C288" i="20"/>
  <c r="D41" i="55" s="1"/>
  <c r="H30" i="20"/>
  <c r="H48" i="20" s="1"/>
  <c r="E179" i="19"/>
  <c r="F256" i="20"/>
  <c r="F34" i="20"/>
  <c r="G169" i="19"/>
  <c r="I31" i="20"/>
  <c r="I49" i="20" s="1"/>
  <c r="I214" i="20" s="1"/>
  <c r="J135" i="12" s="1"/>
  <c r="E226" i="14"/>
  <c r="E226" i="12"/>
  <c r="E266" i="20"/>
  <c r="E318" i="20"/>
  <c r="E270" i="20"/>
  <c r="E317" i="20"/>
  <c r="E267" i="20"/>
  <c r="G93" i="12"/>
  <c r="F55" i="19"/>
  <c r="F52" i="19" s="1"/>
  <c r="F60" i="19"/>
  <c r="F62" i="19"/>
  <c r="F50" i="20"/>
  <c r="F221" i="20" s="1"/>
  <c r="F65" i="19"/>
  <c r="F56" i="19"/>
  <c r="F63" i="19"/>
  <c r="F58" i="19"/>
  <c r="F54" i="19"/>
  <c r="G124" i="12"/>
  <c r="F53" i="19"/>
  <c r="F64" i="19"/>
  <c r="F57" i="19"/>
  <c r="F61" i="19"/>
  <c r="E36" i="20"/>
  <c r="E37" i="20"/>
  <c r="C281" i="20"/>
  <c r="C293" i="20" s="1"/>
  <c r="C294" i="20" s="1"/>
  <c r="C295" i="20" s="1"/>
  <c r="C282" i="20"/>
  <c r="H170" i="19"/>
  <c r="G103" i="19"/>
  <c r="G104" i="19"/>
  <c r="H126" i="12"/>
  <c r="G102" i="19"/>
  <c r="G101" i="19"/>
  <c r="G100" i="19"/>
  <c r="G99" i="19"/>
  <c r="G45" i="20"/>
  <c r="G32" i="20"/>
  <c r="BT4" i="55" s="1"/>
  <c r="CZ4" i="55" s="1"/>
  <c r="E225" i="20"/>
  <c r="D258" i="20"/>
  <c r="G157" i="19"/>
  <c r="C276" i="20"/>
  <c r="C275" i="20"/>
  <c r="I29" i="20"/>
  <c r="I47" i="20" s="1"/>
  <c r="I201" i="20" s="1"/>
  <c r="I162" i="19" s="1"/>
  <c r="J123" i="14" s="1"/>
  <c r="H28" i="20"/>
  <c r="H46" i="20" s="1"/>
  <c r="I94" i="12" s="1"/>
  <c r="H222" i="20"/>
  <c r="H27" i="20"/>
  <c r="I19" i="20"/>
  <c r="G133" i="19"/>
  <c r="G134" i="19"/>
  <c r="G132" i="19"/>
  <c r="G135" i="19"/>
  <c r="G136" i="19"/>
  <c r="H125" i="12"/>
  <c r="H72" i="15" l="1"/>
  <c r="H34" i="58" s="1"/>
  <c r="G214" i="28"/>
  <c r="H73" i="15" s="1"/>
  <c r="C261" i="20"/>
  <c r="BP38" i="55" s="1"/>
  <c r="C264" i="20"/>
  <c r="BP41" i="55" s="1"/>
  <c r="C263" i="20"/>
  <c r="BP40" i="55" s="1"/>
  <c r="C262" i="20"/>
  <c r="BP39" i="55" s="1"/>
  <c r="C265" i="20"/>
  <c r="BP42" i="55" s="1"/>
  <c r="C260" i="20"/>
  <c r="R61" i="16"/>
  <c r="Q87" i="29"/>
  <c r="P92" i="29"/>
  <c r="Q65" i="16"/>
  <c r="Q139" i="16" s="1"/>
  <c r="N173" i="29"/>
  <c r="M321" i="42"/>
  <c r="M322" i="42" s="1"/>
  <c r="AR81" i="55"/>
  <c r="DD81" i="55"/>
  <c r="AR84" i="55"/>
  <c r="K340" i="42"/>
  <c r="P294" i="42"/>
  <c r="P294" i="38"/>
  <c r="M175" i="29"/>
  <c r="M176" i="29" s="1"/>
  <c r="R88" i="29"/>
  <c r="T49" i="29"/>
  <c r="O141" i="16"/>
  <c r="O142" i="16" s="1"/>
  <c r="K190" i="29"/>
  <c r="S49" i="28"/>
  <c r="O141" i="15"/>
  <c r="O142" i="15" s="1"/>
  <c r="AR126" i="36"/>
  <c r="AR39" i="58" s="1"/>
  <c r="K346" i="42"/>
  <c r="AR127" i="36" s="1"/>
  <c r="M182" i="29"/>
  <c r="T27" i="48"/>
  <c r="T32" i="48" s="1"/>
  <c r="T19" i="48"/>
  <c r="T275" i="48" s="1"/>
  <c r="T224" i="38"/>
  <c r="T228" i="38" s="1"/>
  <c r="T223" i="38"/>
  <c r="T227" i="38" s="1"/>
  <c r="T225" i="38"/>
  <c r="T229" i="38" s="1"/>
  <c r="S19" i="54"/>
  <c r="S27" i="54"/>
  <c r="S32" i="54" s="1"/>
  <c r="K196" i="28"/>
  <c r="K197" i="28" s="1"/>
  <c r="K206" i="28" s="1"/>
  <c r="L70" i="15" s="1"/>
  <c r="L329" i="42"/>
  <c r="L338" i="42" s="1"/>
  <c r="R249" i="42"/>
  <c r="R96" i="42"/>
  <c r="R47" i="42"/>
  <c r="R291" i="42" s="1"/>
  <c r="R104" i="42"/>
  <c r="R72" i="42"/>
  <c r="R80" i="42"/>
  <c r="R170" i="48"/>
  <c r="R175" i="48" s="1"/>
  <c r="R169" i="48"/>
  <c r="R174" i="48" s="1"/>
  <c r="R172" i="48"/>
  <c r="R171" i="48"/>
  <c r="R176" i="48" s="1"/>
  <c r="R168" i="48"/>
  <c r="R173" i="48" s="1"/>
  <c r="S165" i="38"/>
  <c r="T109" i="36" s="1"/>
  <c r="AZ109" i="36" s="1"/>
  <c r="S164" i="38"/>
  <c r="S168" i="38" s="1"/>
  <c r="S162" i="38"/>
  <c r="S166" i="38" s="1"/>
  <c r="S163" i="38"/>
  <c r="S167" i="38" s="1"/>
  <c r="T137" i="42"/>
  <c r="T161" i="42"/>
  <c r="T153" i="42"/>
  <c r="T145" i="42"/>
  <c r="Q66" i="15"/>
  <c r="Q59" i="15"/>
  <c r="Q135" i="15" s="1"/>
  <c r="R224" i="19"/>
  <c r="R225" i="19"/>
  <c r="R275" i="19"/>
  <c r="R276" i="19"/>
  <c r="R228" i="19"/>
  <c r="O283" i="42"/>
  <c r="O284" i="42" s="1"/>
  <c r="P250" i="42"/>
  <c r="T19" i="29"/>
  <c r="T27" i="29"/>
  <c r="R34" i="38"/>
  <c r="R281" i="38"/>
  <c r="S208" i="42"/>
  <c r="S212" i="42" s="1"/>
  <c r="S210" i="42"/>
  <c r="S214" i="42" s="1"/>
  <c r="S209" i="42"/>
  <c r="S213" i="42" s="1"/>
  <c r="S211" i="42"/>
  <c r="I72" i="16"/>
  <c r="AO34" i="58" s="1"/>
  <c r="H200" i="29"/>
  <c r="I73" i="16" s="1"/>
  <c r="N174" i="29"/>
  <c r="N177" i="29" s="1"/>
  <c r="T19" i="46"/>
  <c r="T275" i="46" s="1"/>
  <c r="T27" i="46"/>
  <c r="T32" i="46" s="1"/>
  <c r="R34" i="54"/>
  <c r="R197" i="54"/>
  <c r="U17" i="48"/>
  <c r="U30" i="48" s="1"/>
  <c r="U45" i="48" s="1"/>
  <c r="U15" i="48"/>
  <c r="U28" i="48" s="1"/>
  <c r="U43" i="48" s="1"/>
  <c r="U18" i="48"/>
  <c r="U31" i="48" s="1"/>
  <c r="U16" i="48"/>
  <c r="U29" i="48" s="1"/>
  <c r="U44" i="48" s="1"/>
  <c r="U14" i="48"/>
  <c r="V5" i="48"/>
  <c r="O310" i="38"/>
  <c r="O311" i="38"/>
  <c r="P85" i="55" s="1"/>
  <c r="O309" i="38"/>
  <c r="O314" i="38"/>
  <c r="P88" i="55" s="1"/>
  <c r="O312" i="38"/>
  <c r="P86" i="55" s="1"/>
  <c r="O313" i="38"/>
  <c r="P87" i="55" s="1"/>
  <c r="T240" i="38"/>
  <c r="T244" i="38" s="1"/>
  <c r="T239" i="38"/>
  <c r="T243" i="38" s="1"/>
  <c r="T238" i="38"/>
  <c r="T242" i="38" s="1"/>
  <c r="P196" i="29"/>
  <c r="P197" i="29"/>
  <c r="V5" i="19"/>
  <c r="U15" i="19"/>
  <c r="U28" i="19" s="1"/>
  <c r="U46" i="19" s="1"/>
  <c r="U18" i="19"/>
  <c r="U31" i="19" s="1"/>
  <c r="U49" i="19" s="1"/>
  <c r="U14" i="19"/>
  <c r="U16" i="19"/>
  <c r="U29" i="19" s="1"/>
  <c r="U47" i="19" s="1"/>
  <c r="U17" i="19"/>
  <c r="U30" i="19" s="1"/>
  <c r="U48" i="19" s="1"/>
  <c r="Q292" i="38"/>
  <c r="Q295" i="38"/>
  <c r="R151" i="48"/>
  <c r="R156" i="48" s="1"/>
  <c r="R149" i="48"/>
  <c r="R154" i="48" s="1"/>
  <c r="R150" i="48"/>
  <c r="R155" i="48" s="1"/>
  <c r="R152" i="48"/>
  <c r="R148" i="48"/>
  <c r="R153" i="48" s="1"/>
  <c r="I204" i="28"/>
  <c r="Q37" i="19"/>
  <c r="Q36" i="19"/>
  <c r="S155" i="38"/>
  <c r="S159" i="38" s="1"/>
  <c r="S154" i="38"/>
  <c r="S158" i="38" s="1"/>
  <c r="S156" i="38"/>
  <c r="S160" i="38" s="1"/>
  <c r="S157" i="38"/>
  <c r="T79" i="36" s="1"/>
  <c r="AZ79" i="36" s="1"/>
  <c r="T19" i="42"/>
  <c r="T247" i="42" s="1"/>
  <c r="T27" i="42"/>
  <c r="Q66" i="16"/>
  <c r="Q59" i="16"/>
  <c r="Q135" i="16" s="1"/>
  <c r="R214" i="19"/>
  <c r="R34" i="19"/>
  <c r="N289" i="42"/>
  <c r="N287" i="42"/>
  <c r="N288" i="42"/>
  <c r="N285" i="42"/>
  <c r="N286" i="42"/>
  <c r="N290" i="42"/>
  <c r="R249" i="38"/>
  <c r="R96" i="38"/>
  <c r="R47" i="38"/>
  <c r="R291" i="38" s="1"/>
  <c r="R80" i="38"/>
  <c r="R104" i="38"/>
  <c r="R72" i="38"/>
  <c r="R73" i="38" s="1"/>
  <c r="S201" i="42"/>
  <c r="S205" i="42" s="1"/>
  <c r="S200" i="42"/>
  <c r="S204" i="42" s="1"/>
  <c r="S202" i="42"/>
  <c r="S206" i="42" s="1"/>
  <c r="S203" i="42"/>
  <c r="O300" i="38"/>
  <c r="O301" i="38"/>
  <c r="Q149" i="29"/>
  <c r="Q146" i="29"/>
  <c r="I69" i="15"/>
  <c r="I71" i="15" s="1"/>
  <c r="I33" i="58" s="1"/>
  <c r="I58" i="55"/>
  <c r="H208" i="28"/>
  <c r="I61" i="55"/>
  <c r="H213" i="28"/>
  <c r="N238" i="19"/>
  <c r="N237" i="19"/>
  <c r="N241" i="19" s="1"/>
  <c r="P296" i="38"/>
  <c r="P297" i="38"/>
  <c r="P298" i="38"/>
  <c r="P299" i="38"/>
  <c r="M164" i="29"/>
  <c r="M168" i="29"/>
  <c r="AT65" i="55" s="1"/>
  <c r="M165" i="29"/>
  <c r="AT62" i="55" s="1"/>
  <c r="M163" i="29"/>
  <c r="M166" i="29"/>
  <c r="AT63" i="55" s="1"/>
  <c r="M167" i="29"/>
  <c r="AT64" i="55" s="1"/>
  <c r="V5" i="20"/>
  <c r="U16" i="20"/>
  <c r="U15" i="20"/>
  <c r="U14" i="20"/>
  <c r="U17" i="20"/>
  <c r="U18" i="20"/>
  <c r="T19" i="38"/>
  <c r="T247" i="38" s="1"/>
  <c r="T27" i="38"/>
  <c r="Q293" i="38"/>
  <c r="R80" i="55" s="1"/>
  <c r="Q316" i="38"/>
  <c r="CA57" i="55"/>
  <c r="N152" i="28"/>
  <c r="N302" i="38"/>
  <c r="N303" i="38"/>
  <c r="P77" i="16"/>
  <c r="P68" i="16"/>
  <c r="P133" i="16" a="1"/>
  <c r="P134" i="16"/>
  <c r="P140" i="16" s="1"/>
  <c r="M155" i="28"/>
  <c r="BZ62" i="55" s="1"/>
  <c r="M153" i="28"/>
  <c r="M154" i="28"/>
  <c r="BZ61" i="55" s="1"/>
  <c r="M157" i="28"/>
  <c r="BZ64" i="55" s="1"/>
  <c r="M158" i="28"/>
  <c r="BZ65" i="55" s="1"/>
  <c r="M156" i="28"/>
  <c r="BZ63" i="55" s="1"/>
  <c r="S149" i="38"/>
  <c r="T100" i="36" s="1"/>
  <c r="AZ100" i="36" s="1"/>
  <c r="S148" i="38"/>
  <c r="S152" i="38" s="1"/>
  <c r="S146" i="38"/>
  <c r="S150" i="38" s="1"/>
  <c r="S147" i="38"/>
  <c r="S151" i="38" s="1"/>
  <c r="P133" i="15" a="1"/>
  <c r="P134" i="15"/>
  <c r="P140" i="15" s="1"/>
  <c r="P68" i="15"/>
  <c r="P77" i="15" s="1"/>
  <c r="R181" i="48"/>
  <c r="R186" i="48" s="1"/>
  <c r="R179" i="48"/>
  <c r="R184" i="48" s="1"/>
  <c r="R180" i="48"/>
  <c r="R185" i="48" s="1"/>
  <c r="R182" i="48"/>
  <c r="R178" i="48"/>
  <c r="R183" i="48" s="1"/>
  <c r="U16" i="42"/>
  <c r="U29" i="42" s="1"/>
  <c r="U44" i="42" s="1"/>
  <c r="U222" i="42" s="1"/>
  <c r="U18" i="42"/>
  <c r="U31" i="42" s="1"/>
  <c r="U46" i="42" s="1"/>
  <c r="U237" i="42" s="1"/>
  <c r="U17" i="42"/>
  <c r="U30" i="42" s="1"/>
  <c r="U45" i="42" s="1"/>
  <c r="U14" i="42"/>
  <c r="U15" i="42"/>
  <c r="U28" i="42" s="1"/>
  <c r="U43" i="42" s="1"/>
  <c r="V5" i="42"/>
  <c r="Q46" i="16"/>
  <c r="Q67" i="16"/>
  <c r="S85" i="29"/>
  <c r="T55" i="16" s="1"/>
  <c r="T55" i="15"/>
  <c r="S32" i="19"/>
  <c r="S45" i="19"/>
  <c r="S50" i="19" s="1"/>
  <c r="P240" i="19"/>
  <c r="P239" i="19"/>
  <c r="P251" i="19" s="1"/>
  <c r="P57" i="55"/>
  <c r="L186" i="28"/>
  <c r="L187" i="28" s="1"/>
  <c r="L188" i="28"/>
  <c r="L191" i="28" s="1"/>
  <c r="DI80" i="55"/>
  <c r="AW80" i="55"/>
  <c r="Q75" i="42"/>
  <c r="Q79" i="42" s="1"/>
  <c r="Q74" i="42"/>
  <c r="Q78" i="42" s="1"/>
  <c r="Q73" i="42"/>
  <c r="Q77" i="42" s="1"/>
  <c r="Q76" i="42"/>
  <c r="S19" i="53"/>
  <c r="S27" i="53"/>
  <c r="S32" i="53" s="1"/>
  <c r="M158" i="29"/>
  <c r="M162" i="29" s="1"/>
  <c r="M159" i="29"/>
  <c r="S209" i="48"/>
  <c r="S213" i="46"/>
  <c r="S218" i="46" s="1"/>
  <c r="S214" i="46"/>
  <c r="T89" i="45" s="1"/>
  <c r="S212" i="46"/>
  <c r="S217" i="46" s="1"/>
  <c r="S211" i="46"/>
  <c r="S216" i="46" s="1"/>
  <c r="S210" i="46"/>
  <c r="S215" i="46" s="1"/>
  <c r="R32" i="28"/>
  <c r="R45" i="28"/>
  <c r="P217" i="28"/>
  <c r="O151" i="28"/>
  <c r="K172" i="28"/>
  <c r="K176" i="28" s="1"/>
  <c r="K173" i="28"/>
  <c r="S248" i="48"/>
  <c r="S253" i="48" s="1"/>
  <c r="S247" i="48"/>
  <c r="S252" i="48" s="1"/>
  <c r="S249" i="48"/>
  <c r="S254" i="48" s="1"/>
  <c r="S250" i="48"/>
  <c r="S255" i="48" s="1"/>
  <c r="S251" i="48"/>
  <c r="S139" i="38"/>
  <c r="S138" i="38"/>
  <c r="S140" i="38"/>
  <c r="S177" i="48"/>
  <c r="S178" i="46"/>
  <c r="S183" i="46" s="1"/>
  <c r="S181" i="46"/>
  <c r="S186" i="46" s="1"/>
  <c r="S179" i="46"/>
  <c r="S184" i="46" s="1"/>
  <c r="S182" i="46"/>
  <c r="T107" i="45" s="1"/>
  <c r="AZ107" i="45" s="1"/>
  <c r="S180" i="46"/>
  <c r="S185" i="46" s="1"/>
  <c r="T191" i="42"/>
  <c r="T199" i="42"/>
  <c r="T207" i="42"/>
  <c r="Q67" i="15"/>
  <c r="Q46" i="15"/>
  <c r="S69" i="29"/>
  <c r="S67" i="29"/>
  <c r="T58" i="15"/>
  <c r="S71" i="29"/>
  <c r="S73" i="29"/>
  <c r="T64" i="15"/>
  <c r="S68" i="29"/>
  <c r="T48" i="15"/>
  <c r="T49" i="15" s="1"/>
  <c r="T136" i="15" s="1"/>
  <c r="S70" i="29"/>
  <c r="T45" i="15"/>
  <c r="S66" i="29"/>
  <c r="S65" i="29" s="1"/>
  <c r="S77" i="29"/>
  <c r="T45" i="16" s="1"/>
  <c r="S76" i="29"/>
  <c r="T58" i="16" s="1"/>
  <c r="S75" i="29"/>
  <c r="S78" i="29"/>
  <c r="T64" i="16" s="1"/>
  <c r="S74" i="29"/>
  <c r="T48" i="16" s="1"/>
  <c r="T49" i="16" s="1"/>
  <c r="T136" i="16" s="1"/>
  <c r="R214" i="48"/>
  <c r="R213" i="48"/>
  <c r="R218" i="48" s="1"/>
  <c r="R211" i="48"/>
  <c r="R216" i="48" s="1"/>
  <c r="R210" i="48"/>
  <c r="R215" i="48" s="1"/>
  <c r="R212" i="48"/>
  <c r="R217" i="48" s="1"/>
  <c r="P233" i="19"/>
  <c r="P234" i="19"/>
  <c r="T147" i="46"/>
  <c r="T167" i="46"/>
  <c r="T157" i="46"/>
  <c r="T177" i="46"/>
  <c r="Q100" i="42"/>
  <c r="Q98" i="42"/>
  <c r="Q102" i="42" s="1"/>
  <c r="Q99" i="42"/>
  <c r="Q103" i="42" s="1"/>
  <c r="Q97" i="42"/>
  <c r="Q101" i="42" s="1"/>
  <c r="S221" i="46"/>
  <c r="S226" i="46" s="1"/>
  <c r="S223" i="46"/>
  <c r="S228" i="46" s="1"/>
  <c r="S219" i="48"/>
  <c r="S222" i="46"/>
  <c r="S227" i="46" s="1"/>
  <c r="S220" i="46"/>
  <c r="S225" i="46" s="1"/>
  <c r="S224" i="46"/>
  <c r="T99" i="45" s="1"/>
  <c r="AZ99" i="45" s="1"/>
  <c r="Q246" i="38"/>
  <c r="O306" i="42"/>
  <c r="O307" i="42"/>
  <c r="AY85" i="45"/>
  <c r="S85" i="45"/>
  <c r="S86" i="45"/>
  <c r="AY87" i="45"/>
  <c r="AY86" i="45"/>
  <c r="S87" i="45"/>
  <c r="S156" i="42"/>
  <c r="S160" i="42" s="1"/>
  <c r="S154" i="42"/>
  <c r="S158" i="42" s="1"/>
  <c r="S155" i="42"/>
  <c r="S159" i="42" s="1"/>
  <c r="S157" i="42"/>
  <c r="Q232" i="19"/>
  <c r="Q230" i="19"/>
  <c r="Q229" i="19"/>
  <c r="Q231" i="19"/>
  <c r="R234" i="48"/>
  <c r="R232" i="48"/>
  <c r="R237" i="48" s="1"/>
  <c r="R231" i="48"/>
  <c r="R236" i="48" s="1"/>
  <c r="R230" i="48"/>
  <c r="R235" i="48" s="1"/>
  <c r="R233" i="48"/>
  <c r="R238" i="48" s="1"/>
  <c r="S169" i="46"/>
  <c r="S174" i="46" s="1"/>
  <c r="S170" i="46"/>
  <c r="S175" i="46" s="1"/>
  <c r="S168" i="46"/>
  <c r="S173" i="46" s="1"/>
  <c r="S172" i="46"/>
  <c r="T77" i="45" s="1"/>
  <c r="AZ77" i="45" s="1"/>
  <c r="S167" i="48"/>
  <c r="S171" i="46"/>
  <c r="S176" i="46" s="1"/>
  <c r="N318" i="42"/>
  <c r="N319" i="42" s="1"/>
  <c r="N320" i="42"/>
  <c r="N323" i="42" s="1"/>
  <c r="T224" i="42"/>
  <c r="T228" i="42" s="1"/>
  <c r="T226" i="42"/>
  <c r="T225" i="42"/>
  <c r="T229" i="42" s="1"/>
  <c r="T223" i="42"/>
  <c r="T227" i="42" s="1"/>
  <c r="P210" i="28"/>
  <c r="P211" i="28"/>
  <c r="P159" i="28"/>
  <c r="M141" i="29"/>
  <c r="M143" i="29"/>
  <c r="M140" i="29"/>
  <c r="M142" i="29"/>
  <c r="M144" i="29"/>
  <c r="M139" i="29"/>
  <c r="O307" i="38"/>
  <c r="O306" i="38"/>
  <c r="O318" i="38" s="1"/>
  <c r="N179" i="28"/>
  <c r="O62" i="55" s="1"/>
  <c r="N182" i="28"/>
  <c r="O65" i="55" s="1"/>
  <c r="N178" i="28"/>
  <c r="N180" i="28"/>
  <c r="O63" i="55" s="1"/>
  <c r="N177" i="28"/>
  <c r="N181" i="28"/>
  <c r="O64" i="55" s="1"/>
  <c r="Q107" i="42"/>
  <c r="Q111" i="42" s="1"/>
  <c r="Q108" i="42"/>
  <c r="Q106" i="42"/>
  <c r="Q110" i="42" s="1"/>
  <c r="Q105" i="42"/>
  <c r="Q109" i="42" s="1"/>
  <c r="P150" i="29"/>
  <c r="P153" i="29"/>
  <c r="P151" i="29"/>
  <c r="P152" i="29"/>
  <c r="J204" i="28"/>
  <c r="S230" i="46"/>
  <c r="S235" i="46" s="1"/>
  <c r="S233" i="46"/>
  <c r="S238" i="46" s="1"/>
  <c r="S231" i="46"/>
  <c r="S236" i="46" s="1"/>
  <c r="S229" i="48"/>
  <c r="S234" i="46"/>
  <c r="T108" i="45" s="1"/>
  <c r="AZ108" i="45" s="1"/>
  <c r="S232" i="46"/>
  <c r="S237" i="46" s="1"/>
  <c r="U17" i="38"/>
  <c r="U30" i="38" s="1"/>
  <c r="U45" i="38" s="1"/>
  <c r="U18" i="38"/>
  <c r="U31" i="38" s="1"/>
  <c r="U46" i="38" s="1"/>
  <c r="U237" i="38" s="1"/>
  <c r="U15" i="38"/>
  <c r="U28" i="38" s="1"/>
  <c r="U43" i="38" s="1"/>
  <c r="U16" i="38"/>
  <c r="U29" i="38" s="1"/>
  <c r="U44" i="38" s="1"/>
  <c r="U222" i="38" s="1"/>
  <c r="U14" i="38"/>
  <c r="V5" i="38"/>
  <c r="M175" i="28"/>
  <c r="M174" i="28"/>
  <c r="Q216" i="28"/>
  <c r="Q60" i="29"/>
  <c r="Q62" i="29"/>
  <c r="R62" i="16" s="1"/>
  <c r="Q55" i="29"/>
  <c r="Q52" i="29" s="1"/>
  <c r="Q56" i="29"/>
  <c r="R56" i="15"/>
  <c r="Q54" i="29"/>
  <c r="R62" i="15"/>
  <c r="R65" i="15" s="1"/>
  <c r="R139" i="15" s="1"/>
  <c r="Q61" i="29"/>
  <c r="R44" i="15"/>
  <c r="Q53" i="29"/>
  <c r="Q63" i="29"/>
  <c r="R56" i="16" s="1"/>
  <c r="Q57" i="29"/>
  <c r="Q59" i="29"/>
  <c r="R44" i="16" s="1"/>
  <c r="Q50" i="28"/>
  <c r="Q117" i="28" s="1"/>
  <c r="S149" i="42"/>
  <c r="S147" i="42"/>
  <c r="S151" i="42" s="1"/>
  <c r="S148" i="42"/>
  <c r="S152" i="42" s="1"/>
  <c r="S146" i="42"/>
  <c r="S150" i="42" s="1"/>
  <c r="R50" i="29"/>
  <c r="R145" i="29" s="1"/>
  <c r="O170" i="29"/>
  <c r="O171" i="29" s="1"/>
  <c r="O147" i="29"/>
  <c r="N321" i="42"/>
  <c r="N322" i="42" s="1"/>
  <c r="O77" i="15"/>
  <c r="S158" i="46"/>
  <c r="S163" i="46" s="1"/>
  <c r="S157" i="48"/>
  <c r="S160" i="46"/>
  <c r="S165" i="46" s="1"/>
  <c r="S159" i="46"/>
  <c r="S164" i="46" s="1"/>
  <c r="S161" i="46"/>
  <c r="S166" i="46" s="1"/>
  <c r="S162" i="46"/>
  <c r="T98" i="45" s="1"/>
  <c r="AZ98" i="45" s="1"/>
  <c r="M304" i="38"/>
  <c r="M308" i="38" s="1"/>
  <c r="M305" i="38"/>
  <c r="S208" i="38"/>
  <c r="S212" i="38" s="1"/>
  <c r="S209" i="38"/>
  <c r="S213" i="38" s="1"/>
  <c r="S211" i="38"/>
  <c r="S210" i="38"/>
  <c r="S214" i="38" s="1"/>
  <c r="T241" i="42"/>
  <c r="T240" i="42"/>
  <c r="T244" i="42" s="1"/>
  <c r="T238" i="42"/>
  <c r="T242" i="42" s="1"/>
  <c r="T239" i="42"/>
  <c r="T243" i="42" s="1"/>
  <c r="Q37" i="29"/>
  <c r="Q36" i="29"/>
  <c r="O104" i="29"/>
  <c r="N137" i="29"/>
  <c r="N138" i="29" s="1"/>
  <c r="L170" i="28"/>
  <c r="L171" i="28"/>
  <c r="DC58" i="55"/>
  <c r="K69" i="16"/>
  <c r="K71" i="16" s="1"/>
  <c r="AQ33" i="58" s="1"/>
  <c r="AQ58" i="55"/>
  <c r="J199" i="29"/>
  <c r="AQ61" i="55"/>
  <c r="S32" i="42"/>
  <c r="S42" i="42"/>
  <c r="T250" i="46"/>
  <c r="T255" i="46" s="1"/>
  <c r="T251" i="46"/>
  <c r="U96" i="45" s="1"/>
  <c r="T246" i="48"/>
  <c r="T249" i="46"/>
  <c r="T254" i="46" s="1"/>
  <c r="T247" i="46"/>
  <c r="T252" i="46" s="1"/>
  <c r="T248" i="46"/>
  <c r="T253" i="46" s="1"/>
  <c r="Q82" i="42"/>
  <c r="Q86" i="42" s="1"/>
  <c r="Q81" i="42"/>
  <c r="Q85" i="42" s="1"/>
  <c r="Q84" i="42"/>
  <c r="Q83" i="42"/>
  <c r="Q87" i="42" s="1"/>
  <c r="S32" i="29"/>
  <c r="S45" i="29"/>
  <c r="T18" i="53"/>
  <c r="T31" i="53" s="1"/>
  <c r="T14" i="53"/>
  <c r="T15" i="53"/>
  <c r="T28" i="53" s="1"/>
  <c r="T16" i="53"/>
  <c r="T29" i="53" s="1"/>
  <c r="T44" i="53" s="1"/>
  <c r="T150" i="53" s="1"/>
  <c r="T151" i="53" s="1"/>
  <c r="U60" i="51" s="1"/>
  <c r="BA60" i="51" s="1"/>
  <c r="U5" i="53"/>
  <c r="T17" i="53"/>
  <c r="T30" i="53" s="1"/>
  <c r="T191" i="38"/>
  <c r="T207" i="38"/>
  <c r="T199" i="38"/>
  <c r="S309" i="48"/>
  <c r="S34" i="48"/>
  <c r="P297" i="42"/>
  <c r="P298" i="42"/>
  <c r="P299" i="42"/>
  <c r="P296" i="42"/>
  <c r="R197" i="53"/>
  <c r="R34" i="53"/>
  <c r="Q34" i="28"/>
  <c r="Q149" i="28"/>
  <c r="S162" i="42"/>
  <c r="S166" i="42" s="1"/>
  <c r="S165" i="42"/>
  <c r="S163" i="42"/>
  <c r="S167" i="42" s="1"/>
  <c r="S164" i="42"/>
  <c r="S168" i="42" s="1"/>
  <c r="R34" i="29"/>
  <c r="R135" i="29"/>
  <c r="N302" i="42"/>
  <c r="N303" i="42"/>
  <c r="S149" i="46"/>
  <c r="S154" i="46" s="1"/>
  <c r="S148" i="46"/>
  <c r="S153" i="46" s="1"/>
  <c r="S152" i="46"/>
  <c r="T83" i="45" s="1"/>
  <c r="S147" i="48"/>
  <c r="S151" i="46"/>
  <c r="S156" i="46" s="1"/>
  <c r="S150" i="46"/>
  <c r="S155" i="46" s="1"/>
  <c r="S201" i="38"/>
  <c r="S205" i="38" s="1"/>
  <c r="S202" i="38"/>
  <c r="S206" i="38" s="1"/>
  <c r="S200" i="38"/>
  <c r="S204" i="38" s="1"/>
  <c r="S203" i="38"/>
  <c r="T101" i="36" s="1"/>
  <c r="AZ101" i="36" s="1"/>
  <c r="O163" i="28"/>
  <c r="O162" i="28"/>
  <c r="O160" i="28"/>
  <c r="R221" i="48"/>
  <c r="R226" i="48" s="1"/>
  <c r="R223" i="48"/>
  <c r="R228" i="48" s="1"/>
  <c r="R222" i="48"/>
  <c r="R227" i="48" s="1"/>
  <c r="R224" i="48"/>
  <c r="R220" i="48"/>
  <c r="R225" i="48" s="1"/>
  <c r="S309" i="46"/>
  <c r="S34" i="46"/>
  <c r="P91" i="29"/>
  <c r="P103" i="29"/>
  <c r="S19" i="28"/>
  <c r="S118" i="28" s="1"/>
  <c r="S27" i="28"/>
  <c r="M305" i="42"/>
  <c r="M304" i="42"/>
  <c r="M308" i="42" s="1"/>
  <c r="O161" i="29"/>
  <c r="O160" i="29"/>
  <c r="O172" i="29" s="1"/>
  <c r="T219" i="46"/>
  <c r="T209" i="46"/>
  <c r="T229" i="46"/>
  <c r="N156" i="29"/>
  <c r="N157" i="29"/>
  <c r="N165" i="28"/>
  <c r="N167" i="28"/>
  <c r="N166" i="28"/>
  <c r="N164" i="28"/>
  <c r="Q295" i="42"/>
  <c r="Q292" i="42"/>
  <c r="T137" i="38"/>
  <c r="T153" i="38"/>
  <c r="T145" i="38"/>
  <c r="T161" i="38"/>
  <c r="T15" i="54"/>
  <c r="T28" i="54" s="1"/>
  <c r="T17" i="54"/>
  <c r="T30" i="54" s="1"/>
  <c r="T14" i="54"/>
  <c r="U5" i="54"/>
  <c r="T16" i="54"/>
  <c r="T29" i="54" s="1"/>
  <c r="T44" i="54" s="1"/>
  <c r="T150" i="54" s="1"/>
  <c r="T151" i="54" s="1"/>
  <c r="T18" i="54"/>
  <c r="T31" i="54" s="1"/>
  <c r="T19" i="19"/>
  <c r="T27" i="19"/>
  <c r="K189" i="28"/>
  <c r="K190" i="28" s="1"/>
  <c r="K192" i="28" s="1"/>
  <c r="O301" i="42"/>
  <c r="O300" i="42"/>
  <c r="R34" i="42"/>
  <c r="R281" i="42"/>
  <c r="M168" i="28"/>
  <c r="M169" i="28"/>
  <c r="S141" i="42"/>
  <c r="S140" i="42"/>
  <c r="S144" i="42" s="1"/>
  <c r="S138" i="42"/>
  <c r="S142" i="42" s="1"/>
  <c r="S139" i="42"/>
  <c r="S143" i="42" s="1"/>
  <c r="P36" i="28"/>
  <c r="P37" i="28"/>
  <c r="S193" i="38"/>
  <c r="S197" i="38" s="1"/>
  <c r="S194" i="38"/>
  <c r="S198" i="38" s="1"/>
  <c r="S192" i="38"/>
  <c r="S196" i="38" s="1"/>
  <c r="AQ126" i="36"/>
  <c r="AQ39" i="58" s="1"/>
  <c r="J346" i="42"/>
  <c r="AQ127" i="36" s="1"/>
  <c r="R161" i="48"/>
  <c r="R166" i="48" s="1"/>
  <c r="R160" i="48"/>
  <c r="R165" i="48" s="1"/>
  <c r="R158" i="48"/>
  <c r="R163" i="48" s="1"/>
  <c r="R159" i="48"/>
  <c r="R164" i="48" s="1"/>
  <c r="R162" i="48"/>
  <c r="P161" i="28"/>
  <c r="P184" i="28"/>
  <c r="P185" i="28" s="1"/>
  <c r="T17" i="28"/>
  <c r="T30" i="28" s="1"/>
  <c r="T14" i="28"/>
  <c r="T18" i="28"/>
  <c r="T31" i="28" s="1"/>
  <c r="U5" i="28"/>
  <c r="T15" i="28"/>
  <c r="T28" i="28" s="1"/>
  <c r="T46" i="28" s="1"/>
  <c r="T73" i="29" s="1"/>
  <c r="T16" i="28"/>
  <c r="T29" i="28" s="1"/>
  <c r="T47" i="28" s="1"/>
  <c r="T83" i="29" s="1"/>
  <c r="T82" i="29" s="1"/>
  <c r="S42" i="38"/>
  <c r="S32" i="38"/>
  <c r="V5" i="29"/>
  <c r="U17" i="29"/>
  <c r="U30" i="29" s="1"/>
  <c r="U18" i="29"/>
  <c r="U31" i="29" s="1"/>
  <c r="U16" i="29"/>
  <c r="U29" i="29" s="1"/>
  <c r="U47" i="29" s="1"/>
  <c r="U14" i="29"/>
  <c r="U15" i="29"/>
  <c r="U28" i="29" s="1"/>
  <c r="U46" i="29" s="1"/>
  <c r="S194" i="42"/>
  <c r="S198" i="42" s="1"/>
  <c r="S193" i="42"/>
  <c r="S197" i="42" s="1"/>
  <c r="S195" i="42"/>
  <c r="S192" i="42"/>
  <c r="S196" i="42" s="1"/>
  <c r="L183" i="29"/>
  <c r="L192" i="29" s="1"/>
  <c r="M70" i="16" s="1"/>
  <c r="M328" i="42"/>
  <c r="O154" i="29"/>
  <c r="O155" i="29"/>
  <c r="DG57" i="55"/>
  <c r="AU57" i="55"/>
  <c r="N148" i="29"/>
  <c r="V5" i="46"/>
  <c r="U14" i="46"/>
  <c r="U15" i="46"/>
  <c r="U28" i="46" s="1"/>
  <c r="U43" i="46" s="1"/>
  <c r="U16" i="46"/>
  <c r="U29" i="46" s="1"/>
  <c r="U44" i="46" s="1"/>
  <c r="U246" i="46" s="1"/>
  <c r="U18" i="46"/>
  <c r="U31" i="46" s="1"/>
  <c r="U17" i="46"/>
  <c r="U30" i="46" s="1"/>
  <c r="U45" i="46" s="1"/>
  <c r="O235" i="19"/>
  <c r="O236" i="19"/>
  <c r="Q293" i="42"/>
  <c r="Q294" i="42" s="1"/>
  <c r="Q316" i="42"/>
  <c r="Q317" i="42" s="1"/>
  <c r="D259" i="20"/>
  <c r="D261" i="20" s="1"/>
  <c r="BQ38" i="55" s="1"/>
  <c r="BQ34" i="55"/>
  <c r="AJ34" i="55"/>
  <c r="C227" i="19"/>
  <c r="C247" i="19" s="1"/>
  <c r="AJ42" i="55" s="1"/>
  <c r="D169" i="12"/>
  <c r="D183" i="19"/>
  <c r="C216" i="19"/>
  <c r="C217" i="19" s="1"/>
  <c r="E232" i="12"/>
  <c r="D233" i="12"/>
  <c r="D234" i="12" s="1"/>
  <c r="D233" i="14"/>
  <c r="D234" i="14" s="1"/>
  <c r="E152" i="12"/>
  <c r="E148" i="12"/>
  <c r="E169" i="12" s="1"/>
  <c r="E225" i="12" a="1"/>
  <c r="E233" i="12" s="1"/>
  <c r="E234" i="12" s="1"/>
  <c r="E131" i="14"/>
  <c r="E127" i="14" s="1"/>
  <c r="E227" i="14" s="1"/>
  <c r="D226" i="19"/>
  <c r="CW34" i="55" s="1"/>
  <c r="E149" i="14"/>
  <c r="F105" i="14"/>
  <c r="F228" i="14" s="1"/>
  <c r="F91" i="19"/>
  <c r="G136" i="14" s="1"/>
  <c r="G136" i="12"/>
  <c r="F109" i="14"/>
  <c r="F109" i="12"/>
  <c r="E75" i="19"/>
  <c r="F73" i="19"/>
  <c r="G114" i="14" s="1"/>
  <c r="G114" i="12"/>
  <c r="E153" i="14"/>
  <c r="E151" i="14"/>
  <c r="E150" i="14"/>
  <c r="F110" i="14"/>
  <c r="F108" i="14" s="1"/>
  <c r="F99" i="12"/>
  <c r="E105" i="14"/>
  <c r="E146" i="14"/>
  <c r="E154" i="14"/>
  <c r="D252" i="19"/>
  <c r="G105" i="12"/>
  <c r="G228" i="12" s="1"/>
  <c r="G124" i="19"/>
  <c r="H138" i="14" s="1"/>
  <c r="H138" i="12"/>
  <c r="F113" i="19"/>
  <c r="G106" i="19"/>
  <c r="H103" i="14" s="1"/>
  <c r="H103" i="12"/>
  <c r="F123" i="19"/>
  <c r="G95" i="14"/>
  <c r="F114" i="19"/>
  <c r="F111" i="19"/>
  <c r="F126" i="19"/>
  <c r="H174" i="19"/>
  <c r="G98" i="19"/>
  <c r="E149" i="12"/>
  <c r="E150" i="12"/>
  <c r="E92" i="19"/>
  <c r="E153" i="12"/>
  <c r="E94" i="19"/>
  <c r="H176" i="19"/>
  <c r="E154" i="12"/>
  <c r="E151" i="12"/>
  <c r="E88" i="19"/>
  <c r="E87" i="19"/>
  <c r="H163" i="19"/>
  <c r="H166" i="19"/>
  <c r="H164" i="19"/>
  <c r="H165" i="19"/>
  <c r="E86" i="19"/>
  <c r="E89" i="19"/>
  <c r="E76" i="19"/>
  <c r="E74" i="19"/>
  <c r="F119" i="19"/>
  <c r="E93" i="19"/>
  <c r="E90" i="19"/>
  <c r="F110" i="12"/>
  <c r="F108" i="12" s="1"/>
  <c r="F120" i="19"/>
  <c r="E83" i="19"/>
  <c r="F111" i="14" s="1"/>
  <c r="F107" i="14" s="1"/>
  <c r="F111" i="12"/>
  <c r="F107" i="12" s="1"/>
  <c r="F109" i="19"/>
  <c r="F108" i="19"/>
  <c r="G118" i="19"/>
  <c r="H94" i="14" s="1"/>
  <c r="F79" i="19"/>
  <c r="G104" i="14" s="1"/>
  <c r="G105" i="14" s="1"/>
  <c r="G228" i="14" s="1"/>
  <c r="E80" i="19"/>
  <c r="F106" i="14" s="1"/>
  <c r="F129" i="19"/>
  <c r="E77" i="19"/>
  <c r="E70" i="19"/>
  <c r="F100" i="14" s="1"/>
  <c r="F98" i="14" s="1"/>
  <c r="E71" i="19"/>
  <c r="F101" i="14" s="1"/>
  <c r="E68" i="19"/>
  <c r="F96" i="14" s="1"/>
  <c r="E69" i="19"/>
  <c r="F99" i="14" s="1"/>
  <c r="F180" i="19"/>
  <c r="C296" i="20"/>
  <c r="C297" i="20" s="1"/>
  <c r="C298" i="20"/>
  <c r="D254" i="19"/>
  <c r="D255" i="19" s="1"/>
  <c r="D257" i="19" s="1"/>
  <c r="C254" i="19"/>
  <c r="C255" i="19" s="1"/>
  <c r="C257" i="19" s="1"/>
  <c r="D256" i="19"/>
  <c r="C256" i="19"/>
  <c r="I172" i="19"/>
  <c r="J135" i="14" s="1"/>
  <c r="G131" i="19"/>
  <c r="I216" i="20"/>
  <c r="I218" i="20"/>
  <c r="I215" i="20"/>
  <c r="I173" i="19" s="1"/>
  <c r="I217" i="20"/>
  <c r="I175" i="19" s="1"/>
  <c r="I219" i="20"/>
  <c r="I177" i="19" s="1"/>
  <c r="I202" i="20"/>
  <c r="I203" i="20"/>
  <c r="I205" i="20"/>
  <c r="I204" i="20"/>
  <c r="I206" i="20"/>
  <c r="I167" i="19" s="1"/>
  <c r="H148" i="20"/>
  <c r="H142" i="20"/>
  <c r="H136" i="20"/>
  <c r="H112" i="19" s="1"/>
  <c r="I126" i="14" s="1"/>
  <c r="H130" i="20"/>
  <c r="G145" i="20"/>
  <c r="G121" i="19" s="1"/>
  <c r="G143" i="20"/>
  <c r="G144" i="20"/>
  <c r="G146" i="20"/>
  <c r="G122" i="19" s="1"/>
  <c r="G147" i="20"/>
  <c r="G134" i="20"/>
  <c r="G110" i="19" s="1"/>
  <c r="G135" i="20"/>
  <c r="G132" i="20"/>
  <c r="G133" i="20"/>
  <c r="G131" i="20"/>
  <c r="G107" i="19" s="1"/>
  <c r="G137" i="20"/>
  <c r="G140" i="20"/>
  <c r="G116" i="19" s="1"/>
  <c r="G138" i="20"/>
  <c r="G139" i="20"/>
  <c r="G115" i="19" s="1"/>
  <c r="G141" i="20"/>
  <c r="G117" i="19" s="1"/>
  <c r="G149" i="20"/>
  <c r="G125" i="19" s="1"/>
  <c r="G151" i="20"/>
  <c r="G127" i="19" s="1"/>
  <c r="G152" i="20"/>
  <c r="G128" i="19" s="1"/>
  <c r="G150" i="20"/>
  <c r="G153" i="20"/>
  <c r="F86" i="20"/>
  <c r="F78" i="19" s="1"/>
  <c r="F82" i="20"/>
  <c r="F84" i="20"/>
  <c r="F83" i="20"/>
  <c r="F85" i="20"/>
  <c r="F96" i="20"/>
  <c r="F94" i="20"/>
  <c r="F97" i="20"/>
  <c r="F98" i="20"/>
  <c r="F95" i="20"/>
  <c r="F77" i="20"/>
  <c r="F79" i="20"/>
  <c r="G101" i="12" s="1"/>
  <c r="G97" i="12" s="1"/>
  <c r="F76" i="20"/>
  <c r="G96" i="12" s="1"/>
  <c r="F80" i="20"/>
  <c r="F72" i="19" s="1"/>
  <c r="F78" i="20"/>
  <c r="G100" i="12" s="1"/>
  <c r="G98" i="12" s="1"/>
  <c r="G75" i="20"/>
  <c r="G67" i="19" s="1"/>
  <c r="H93" i="14" s="1"/>
  <c r="G93" i="20"/>
  <c r="G85" i="19" s="1"/>
  <c r="H124" i="14" s="1"/>
  <c r="G81" i="20"/>
  <c r="G87" i="20"/>
  <c r="H104" i="12" s="1"/>
  <c r="G99" i="20"/>
  <c r="F88" i="20"/>
  <c r="G106" i="12" s="1"/>
  <c r="F90" i="20"/>
  <c r="F82" i="19" s="1"/>
  <c r="F89" i="20"/>
  <c r="F81" i="19" s="1"/>
  <c r="F92" i="20"/>
  <c r="F84" i="19" s="1"/>
  <c r="F91" i="20"/>
  <c r="F102" i="20"/>
  <c r="F100" i="20"/>
  <c r="F103" i="20"/>
  <c r="F95" i="19" s="1"/>
  <c r="F101" i="20"/>
  <c r="F104" i="20"/>
  <c r="F96" i="19" s="1"/>
  <c r="J123" i="12"/>
  <c r="I160" i="19"/>
  <c r="I158" i="19"/>
  <c r="F266" i="20"/>
  <c r="F267" i="20"/>
  <c r="F270" i="20"/>
  <c r="F318" i="20"/>
  <c r="F317" i="20"/>
  <c r="I170" i="19"/>
  <c r="H133" i="19"/>
  <c r="H132" i="19"/>
  <c r="H136" i="19"/>
  <c r="I125" i="12"/>
  <c r="H135" i="19"/>
  <c r="H134" i="19"/>
  <c r="D281" i="20"/>
  <c r="D282" i="20"/>
  <c r="H45" i="20"/>
  <c r="H32" i="20"/>
  <c r="BU4" i="55" s="1"/>
  <c r="DA4" i="55" s="1"/>
  <c r="I126" i="12"/>
  <c r="H101" i="19"/>
  <c r="H103" i="19"/>
  <c r="H100" i="19"/>
  <c r="H102" i="19"/>
  <c r="H104" i="19"/>
  <c r="H99" i="19"/>
  <c r="F225" i="20"/>
  <c r="E258" i="20"/>
  <c r="H93" i="12"/>
  <c r="G55" i="19"/>
  <c r="G52" i="19" s="1"/>
  <c r="G62" i="19"/>
  <c r="G50" i="20"/>
  <c r="G221" i="20" s="1"/>
  <c r="G53" i="19"/>
  <c r="G63" i="19"/>
  <c r="G65" i="19"/>
  <c r="G56" i="19"/>
  <c r="G54" i="19"/>
  <c r="G60" i="19"/>
  <c r="G58" i="19"/>
  <c r="G57" i="19"/>
  <c r="H124" i="12"/>
  <c r="G64" i="19"/>
  <c r="G61" i="19"/>
  <c r="H169" i="19"/>
  <c r="I27" i="20"/>
  <c r="I222" i="20"/>
  <c r="I28" i="20"/>
  <c r="I46" i="20" s="1"/>
  <c r="J94" i="12" s="1"/>
  <c r="C277" i="20"/>
  <c r="C278" i="20"/>
  <c r="D284" i="20"/>
  <c r="D289" i="20"/>
  <c r="E42" i="55" s="1"/>
  <c r="D288" i="20"/>
  <c r="E41" i="55" s="1"/>
  <c r="D287" i="20"/>
  <c r="E40" i="55" s="1"/>
  <c r="D285" i="20"/>
  <c r="D286" i="20"/>
  <c r="E39" i="55" s="1"/>
  <c r="G95" i="12"/>
  <c r="F179" i="19"/>
  <c r="E273" i="20"/>
  <c r="E274" i="20"/>
  <c r="E272" i="20"/>
  <c r="E271" i="20"/>
  <c r="H157" i="19"/>
  <c r="J29" i="20"/>
  <c r="J47" i="20" s="1"/>
  <c r="J201" i="20" s="1"/>
  <c r="J162" i="19" s="1"/>
  <c r="K123" i="14" s="1"/>
  <c r="G256" i="20"/>
  <c r="G34" i="20"/>
  <c r="F226" i="14"/>
  <c r="J31" i="20"/>
  <c r="J49" i="20" s="1"/>
  <c r="J214" i="20" s="1"/>
  <c r="K135" i="12" s="1"/>
  <c r="F36" i="20"/>
  <c r="F37" i="20"/>
  <c r="I30" i="20"/>
  <c r="I48" i="20" s="1"/>
  <c r="D276" i="20"/>
  <c r="D275" i="20"/>
  <c r="F226" i="12"/>
  <c r="M178" i="29" l="1"/>
  <c r="L69" i="16"/>
  <c r="L71" i="16" s="1"/>
  <c r="AR33" i="58" s="1"/>
  <c r="AR58" i="55"/>
  <c r="K199" i="29"/>
  <c r="DD58" i="55"/>
  <c r="S61" i="16"/>
  <c r="R87" i="29"/>
  <c r="R65" i="16"/>
  <c r="R139" i="16" s="1"/>
  <c r="Q92" i="29"/>
  <c r="S88" i="29"/>
  <c r="T61" i="15"/>
  <c r="AR61" i="55"/>
  <c r="P310" i="38"/>
  <c r="P314" i="38"/>
  <c r="Q88" i="55" s="1"/>
  <c r="P312" i="38"/>
  <c r="Q86" i="55" s="1"/>
  <c r="P313" i="38"/>
  <c r="Q87" i="55" s="1"/>
  <c r="P311" i="38"/>
  <c r="Q85" i="55" s="1"/>
  <c r="P309" i="38"/>
  <c r="P313" i="42"/>
  <c r="AW87" i="55" s="1"/>
  <c r="P310" i="42"/>
  <c r="P312" i="42"/>
  <c r="AW86" i="55" s="1"/>
  <c r="P314" i="42"/>
  <c r="AW88" i="55" s="1"/>
  <c r="P309" i="42"/>
  <c r="P311" i="42"/>
  <c r="AW85" i="55" s="1"/>
  <c r="M324" i="42"/>
  <c r="N324" i="42"/>
  <c r="P141" i="16"/>
  <c r="P142" i="16" s="1"/>
  <c r="P141" i="15"/>
  <c r="P142" i="15" s="1"/>
  <c r="L189" i="28"/>
  <c r="L190" i="28" s="1"/>
  <c r="L192" i="28" s="1"/>
  <c r="O173" i="29"/>
  <c r="N175" i="29"/>
  <c r="N176" i="29" s="1"/>
  <c r="N178" i="29" s="1"/>
  <c r="Q57" i="55"/>
  <c r="D265" i="20"/>
  <c r="BQ42" i="55" s="1"/>
  <c r="D264" i="20"/>
  <c r="BQ41" i="55" s="1"/>
  <c r="D263" i="20"/>
  <c r="BQ40" i="55" s="1"/>
  <c r="D260" i="20"/>
  <c r="D262" i="20"/>
  <c r="BQ39" i="55" s="1"/>
  <c r="R246" i="42"/>
  <c r="R246" i="38"/>
  <c r="L190" i="29"/>
  <c r="DE58" i="55" s="1"/>
  <c r="C246" i="19"/>
  <c r="AJ41" i="55" s="1"/>
  <c r="Q312" i="42"/>
  <c r="AX86" i="55" s="1"/>
  <c r="Q314" i="42"/>
  <c r="AX88" i="55" s="1"/>
  <c r="Q311" i="42"/>
  <c r="AX85" i="55" s="1"/>
  <c r="Q310" i="42"/>
  <c r="Q313" i="42"/>
  <c r="AX87" i="55" s="1"/>
  <c r="Q309" i="42"/>
  <c r="N182" i="29"/>
  <c r="N183" i="29" s="1"/>
  <c r="N190" i="29" s="1"/>
  <c r="U219" i="46"/>
  <c r="U209" i="46"/>
  <c r="U229" i="46"/>
  <c r="T27" i="28"/>
  <c r="T19" i="28"/>
  <c r="T118" i="28" s="1"/>
  <c r="T139" i="38"/>
  <c r="T140" i="38"/>
  <c r="T138" i="38"/>
  <c r="O164" i="28"/>
  <c r="O167" i="28"/>
  <c r="O166" i="28"/>
  <c r="O165" i="28"/>
  <c r="T211" i="38"/>
  <c r="T210" i="38"/>
  <c r="T214" i="38" s="1"/>
  <c r="T209" i="38"/>
  <c r="T213" i="38" s="1"/>
  <c r="T208" i="38"/>
  <c r="T212" i="38" s="1"/>
  <c r="S50" i="29"/>
  <c r="S145" i="29" s="1"/>
  <c r="K72" i="16"/>
  <c r="AQ34" i="58" s="1"/>
  <c r="J200" i="29"/>
  <c r="K73" i="16" s="1"/>
  <c r="O174" i="29"/>
  <c r="O177" i="29" s="1"/>
  <c r="M186" i="28"/>
  <c r="M187" i="28" s="1"/>
  <c r="M188" i="28"/>
  <c r="M191" i="28" s="1"/>
  <c r="T147" i="48"/>
  <c r="T149" i="46"/>
  <c r="T154" i="46" s="1"/>
  <c r="T150" i="46"/>
  <c r="T155" i="46" s="1"/>
  <c r="T151" i="46"/>
  <c r="T156" i="46" s="1"/>
  <c r="T148" i="46"/>
  <c r="T153" i="46" s="1"/>
  <c r="T152" i="46"/>
  <c r="U83" i="45" s="1"/>
  <c r="V16" i="42"/>
  <c r="V29" i="42" s="1"/>
  <c r="V44" i="42" s="1"/>
  <c r="V222" i="42" s="1"/>
  <c r="V14" i="42"/>
  <c r="V18" i="42"/>
  <c r="V31" i="42" s="1"/>
  <c r="V46" i="42" s="1"/>
  <c r="V237" i="42" s="1"/>
  <c r="V15" i="42"/>
  <c r="V28" i="42" s="1"/>
  <c r="V43" i="42" s="1"/>
  <c r="V17" i="42"/>
  <c r="V30" i="42" s="1"/>
  <c r="V45" i="42" s="1"/>
  <c r="W5" i="42"/>
  <c r="N304" i="38"/>
  <c r="N308" i="38" s="1"/>
  <c r="N305" i="38"/>
  <c r="Q150" i="29"/>
  <c r="Q152" i="29"/>
  <c r="Q153" i="29"/>
  <c r="Q151" i="29"/>
  <c r="R99" i="42"/>
  <c r="R103" i="42" s="1"/>
  <c r="R100" i="42"/>
  <c r="R97" i="42"/>
  <c r="R101" i="42" s="1"/>
  <c r="R98" i="42"/>
  <c r="R102" i="42" s="1"/>
  <c r="O157" i="29"/>
  <c r="O156" i="29"/>
  <c r="V17" i="29"/>
  <c r="V30" i="29" s="1"/>
  <c r="V14" i="29"/>
  <c r="W5" i="29"/>
  <c r="V15" i="29"/>
  <c r="V28" i="29" s="1"/>
  <c r="V46" i="29" s="1"/>
  <c r="V16" i="29"/>
  <c r="V29" i="29" s="1"/>
  <c r="V47" i="29" s="1"/>
  <c r="V18" i="29"/>
  <c r="V31" i="29" s="1"/>
  <c r="U17" i="54"/>
  <c r="U30" i="54" s="1"/>
  <c r="U14" i="54"/>
  <c r="V5" i="54"/>
  <c r="U16" i="54"/>
  <c r="U29" i="54" s="1"/>
  <c r="U44" i="54" s="1"/>
  <c r="U150" i="54" s="1"/>
  <c r="U151" i="54" s="1"/>
  <c r="U18" i="54"/>
  <c r="U31" i="54" s="1"/>
  <c r="U15" i="54"/>
  <c r="U28" i="54" s="1"/>
  <c r="N159" i="29"/>
  <c r="N158" i="29"/>
  <c r="N162" i="29" s="1"/>
  <c r="T87" i="45"/>
  <c r="AZ85" i="45"/>
  <c r="T86" i="45"/>
  <c r="AZ87" i="45"/>
  <c r="AZ86" i="45"/>
  <c r="T85" i="45"/>
  <c r="P306" i="42"/>
  <c r="P307" i="42"/>
  <c r="T192" i="38"/>
  <c r="T196" i="38" s="1"/>
  <c r="T194" i="38"/>
  <c r="T198" i="38" s="1"/>
  <c r="T193" i="38"/>
  <c r="T197" i="38" s="1"/>
  <c r="S34" i="29"/>
  <c r="S135" i="29"/>
  <c r="T247" i="48"/>
  <c r="T252" i="48" s="1"/>
  <c r="T251" i="48"/>
  <c r="T248" i="48"/>
  <c r="T253" i="48" s="1"/>
  <c r="T250" i="48"/>
  <c r="T255" i="48" s="1"/>
  <c r="T249" i="48"/>
  <c r="T254" i="48" s="1"/>
  <c r="Q196" i="29"/>
  <c r="Q197" i="29"/>
  <c r="Q210" i="28"/>
  <c r="Q159" i="28"/>
  <c r="Q211" i="28"/>
  <c r="P161" i="29"/>
  <c r="P160" i="29"/>
  <c r="P172" i="29" s="1"/>
  <c r="S169" i="48"/>
  <c r="S174" i="48" s="1"/>
  <c r="S168" i="48"/>
  <c r="S173" i="48" s="1"/>
  <c r="S171" i="48"/>
  <c r="S176" i="48" s="1"/>
  <c r="S170" i="48"/>
  <c r="S175" i="48" s="1"/>
  <c r="S172" i="48"/>
  <c r="Q133" i="15" a="1"/>
  <c r="Q134" i="15"/>
  <c r="Q140" i="15" s="1"/>
  <c r="Q68" i="15"/>
  <c r="Q77" i="15" s="1"/>
  <c r="CB57" i="55"/>
  <c r="O152" i="28"/>
  <c r="U137" i="42"/>
  <c r="U161" i="42"/>
  <c r="U145" i="42"/>
  <c r="U153" i="42"/>
  <c r="N153" i="28"/>
  <c r="N156" i="28"/>
  <c r="CA63" i="55" s="1"/>
  <c r="N157" i="28"/>
  <c r="CA64" i="55" s="1"/>
  <c r="N154" i="28"/>
  <c r="CA61" i="55" s="1"/>
  <c r="N155" i="28"/>
  <c r="CA62" i="55" s="1"/>
  <c r="N158" i="28"/>
  <c r="CA65" i="55" s="1"/>
  <c r="I72" i="15"/>
  <c r="I34" i="58" s="1"/>
  <c r="H214" i="28"/>
  <c r="I73" i="15" s="1"/>
  <c r="T42" i="42"/>
  <c r="T32" i="42"/>
  <c r="Q299" i="38"/>
  <c r="Q297" i="38"/>
  <c r="Q298" i="38"/>
  <c r="Q296" i="38"/>
  <c r="T32" i="29"/>
  <c r="T45" i="29"/>
  <c r="R293" i="42"/>
  <c r="DK80" i="55" s="1"/>
  <c r="R316" i="42"/>
  <c r="R317" i="42" s="1"/>
  <c r="U250" i="46"/>
  <c r="U255" i="46" s="1"/>
  <c r="U248" i="46"/>
  <c r="U253" i="46" s="1"/>
  <c r="U247" i="46"/>
  <c r="U252" i="46" s="1"/>
  <c r="U246" i="48"/>
  <c r="U249" i="46"/>
  <c r="U254" i="46" s="1"/>
  <c r="U251" i="46"/>
  <c r="V96" i="45" s="1"/>
  <c r="S281" i="38"/>
  <c r="S34" i="38"/>
  <c r="T19" i="54"/>
  <c r="T27" i="54"/>
  <c r="T32" i="54" s="1"/>
  <c r="T229" i="48"/>
  <c r="T232" i="46"/>
  <c r="T237" i="46" s="1"/>
  <c r="T231" i="46"/>
  <c r="T236" i="46" s="1"/>
  <c r="T234" i="46"/>
  <c r="U108" i="45" s="1"/>
  <c r="BA108" i="45" s="1"/>
  <c r="T230" i="46"/>
  <c r="T235" i="46" s="1"/>
  <c r="T233" i="46"/>
  <c r="T238" i="46" s="1"/>
  <c r="P300" i="42"/>
  <c r="P301" i="42"/>
  <c r="R67" i="16"/>
  <c r="R46" i="16"/>
  <c r="R66" i="15"/>
  <c r="R59" i="15"/>
  <c r="R135" i="15" s="1"/>
  <c r="V14" i="38"/>
  <c r="V18" i="38"/>
  <c r="V31" i="38" s="1"/>
  <c r="V46" i="38" s="1"/>
  <c r="V237" i="38" s="1"/>
  <c r="V17" i="38"/>
  <c r="V30" i="38" s="1"/>
  <c r="V45" i="38" s="1"/>
  <c r="V16" i="38"/>
  <c r="V29" i="38" s="1"/>
  <c r="V44" i="38" s="1"/>
  <c r="V222" i="38" s="1"/>
  <c r="V15" i="38"/>
  <c r="V28" i="38" s="1"/>
  <c r="V43" i="38" s="1"/>
  <c r="W5" i="38"/>
  <c r="S232" i="48"/>
  <c r="S237" i="48" s="1"/>
  <c r="S231" i="48"/>
  <c r="S236" i="48" s="1"/>
  <c r="S233" i="48"/>
  <c r="S238" i="48" s="1"/>
  <c r="S234" i="48"/>
  <c r="S230" i="48"/>
  <c r="S235" i="48" s="1"/>
  <c r="P236" i="19"/>
  <c r="P235" i="19"/>
  <c r="P151" i="28"/>
  <c r="Q217" i="28"/>
  <c r="S210" i="48"/>
  <c r="S215" i="48" s="1"/>
  <c r="S214" i="48"/>
  <c r="S213" i="48"/>
  <c r="S218" i="48" s="1"/>
  <c r="S211" i="48"/>
  <c r="S216" i="48" s="1"/>
  <c r="S212" i="48"/>
  <c r="S217" i="48" s="1"/>
  <c r="S228" i="19"/>
  <c r="S224" i="19"/>
  <c r="S225" i="19"/>
  <c r="S276" i="19"/>
  <c r="S275" i="19"/>
  <c r="U19" i="42"/>
  <c r="U247" i="42" s="1"/>
  <c r="U27" i="42"/>
  <c r="O302" i="38"/>
  <c r="O303" i="38"/>
  <c r="W5" i="19"/>
  <c r="V17" i="19"/>
  <c r="V30" i="19" s="1"/>
  <c r="V48" i="19" s="1"/>
  <c r="V18" i="19"/>
  <c r="V31" i="19" s="1"/>
  <c r="V49" i="19" s="1"/>
  <c r="V14" i="19"/>
  <c r="V15" i="19"/>
  <c r="V28" i="19" s="1"/>
  <c r="V46" i="19" s="1"/>
  <c r="V16" i="19"/>
  <c r="V29" i="19" s="1"/>
  <c r="V47" i="19" s="1"/>
  <c r="L336" i="42"/>
  <c r="U147" i="46"/>
  <c r="U177" i="46"/>
  <c r="U157" i="46"/>
  <c r="U167" i="46"/>
  <c r="S249" i="38"/>
  <c r="S96" i="38"/>
  <c r="S47" i="38"/>
  <c r="S291" i="38" s="1"/>
  <c r="S80" i="38"/>
  <c r="S72" i="38"/>
  <c r="S73" i="38" s="1"/>
  <c r="S104" i="38"/>
  <c r="O302" i="42"/>
  <c r="O303" i="42"/>
  <c r="Q296" i="42"/>
  <c r="Q297" i="42"/>
  <c r="Q299" i="42"/>
  <c r="Q298" i="42"/>
  <c r="T209" i="48"/>
  <c r="T212" i="46"/>
  <c r="T217" i="46" s="1"/>
  <c r="T214" i="46"/>
  <c r="U89" i="45" s="1"/>
  <c r="T211" i="46"/>
  <c r="T216" i="46" s="1"/>
  <c r="T213" i="46"/>
  <c r="T218" i="46" s="1"/>
  <c r="T210" i="46"/>
  <c r="T215" i="46" s="1"/>
  <c r="S32" i="28"/>
  <c r="S45" i="28"/>
  <c r="V5" i="53"/>
  <c r="U15" i="53"/>
  <c r="U28" i="53" s="1"/>
  <c r="U14" i="53"/>
  <c r="U18" i="53"/>
  <c r="U31" i="53" s="1"/>
  <c r="U17" i="53"/>
  <c r="U30" i="53" s="1"/>
  <c r="U16" i="53"/>
  <c r="U29" i="53" s="1"/>
  <c r="U44" i="53" s="1"/>
  <c r="U150" i="53" s="1"/>
  <c r="U151" i="53" s="1"/>
  <c r="V60" i="51" s="1"/>
  <c r="BB60" i="51" s="1"/>
  <c r="S162" i="48"/>
  <c r="S160" i="48"/>
  <c r="S165" i="48" s="1"/>
  <c r="S161" i="48"/>
  <c r="S166" i="48" s="1"/>
  <c r="S158" i="48"/>
  <c r="S163" i="48" s="1"/>
  <c r="S159" i="48"/>
  <c r="S164" i="48" s="1"/>
  <c r="R146" i="29"/>
  <c r="R149" i="29"/>
  <c r="U19" i="38"/>
  <c r="U247" i="38" s="1"/>
  <c r="U27" i="38"/>
  <c r="Q234" i="19"/>
  <c r="Q233" i="19"/>
  <c r="O318" i="42"/>
  <c r="O319" i="42" s="1"/>
  <c r="O320" i="42"/>
  <c r="O323" i="42" s="1"/>
  <c r="T208" i="42"/>
  <c r="T212" i="42" s="1"/>
  <c r="T211" i="42"/>
  <c r="T209" i="42"/>
  <c r="T213" i="42" s="1"/>
  <c r="T210" i="42"/>
  <c r="T214" i="42" s="1"/>
  <c r="S181" i="48"/>
  <c r="S186" i="48" s="1"/>
  <c r="S179" i="48"/>
  <c r="S184" i="48" s="1"/>
  <c r="S182" i="48"/>
  <c r="S178" i="48"/>
  <c r="S183" i="48" s="1"/>
  <c r="S180" i="48"/>
  <c r="S185" i="48" s="1"/>
  <c r="R216" i="28"/>
  <c r="R59" i="29"/>
  <c r="S44" i="16" s="1"/>
  <c r="S44" i="15"/>
  <c r="R53" i="29"/>
  <c r="S62" i="15"/>
  <c r="S65" i="15" s="1"/>
  <c r="S139" i="15" s="1"/>
  <c r="R60" i="29"/>
  <c r="R57" i="29"/>
  <c r="R62" i="29"/>
  <c r="S62" i="16" s="1"/>
  <c r="R61" i="29"/>
  <c r="R54" i="29"/>
  <c r="R55" i="29"/>
  <c r="R52" i="29" s="1"/>
  <c r="R50" i="28"/>
  <c r="R56" i="29"/>
  <c r="R63" i="29"/>
  <c r="S56" i="16" s="1"/>
  <c r="S56" i="15"/>
  <c r="S34" i="19"/>
  <c r="S214" i="19"/>
  <c r="U191" i="42"/>
  <c r="U199" i="42"/>
  <c r="U207" i="42"/>
  <c r="P306" i="38"/>
  <c r="P318" i="38" s="1"/>
  <c r="P307" i="38"/>
  <c r="J69" i="15"/>
  <c r="J71" i="15" s="1"/>
  <c r="J33" i="58" s="1"/>
  <c r="J58" i="55"/>
  <c r="I208" i="28"/>
  <c r="J61" i="55"/>
  <c r="I213" i="28"/>
  <c r="Q294" i="38"/>
  <c r="P283" i="42"/>
  <c r="P284" i="42" s="1"/>
  <c r="Q250" i="42"/>
  <c r="DJ80" i="55"/>
  <c r="AX80" i="55"/>
  <c r="U19" i="46"/>
  <c r="U275" i="46" s="1"/>
  <c r="U27" i="46"/>
  <c r="U32" i="46" s="1"/>
  <c r="M329" i="42"/>
  <c r="M336" i="42" s="1"/>
  <c r="T85" i="29"/>
  <c r="U55" i="16" s="1"/>
  <c r="U55" i="15"/>
  <c r="T220" i="46"/>
  <c r="T225" i="46" s="1"/>
  <c r="T219" i="48"/>
  <c r="T221" i="46"/>
  <c r="T226" i="46" s="1"/>
  <c r="T224" i="46"/>
  <c r="U99" i="45" s="1"/>
  <c r="BA99" i="45" s="1"/>
  <c r="T223" i="46"/>
  <c r="T228" i="46" s="1"/>
  <c r="T222" i="46"/>
  <c r="T227" i="46" s="1"/>
  <c r="N304" i="42"/>
  <c r="N308" i="42" s="1"/>
  <c r="N305" i="42"/>
  <c r="S249" i="42"/>
  <c r="S96" i="42"/>
  <c r="S72" i="42"/>
  <c r="S104" i="42"/>
  <c r="S47" i="42"/>
  <c r="S291" i="42" s="1"/>
  <c r="S80" i="42"/>
  <c r="R66" i="16"/>
  <c r="R59" i="16"/>
  <c r="R135" i="16" s="1"/>
  <c r="U223" i="38"/>
  <c r="U227" i="38" s="1"/>
  <c r="U224" i="38"/>
  <c r="U228" i="38" s="1"/>
  <c r="U225" i="38"/>
  <c r="U229" i="38" s="1"/>
  <c r="T201" i="42"/>
  <c r="T205" i="42" s="1"/>
  <c r="T202" i="42"/>
  <c r="T206" i="42" s="1"/>
  <c r="T203" i="42"/>
  <c r="T200" i="42"/>
  <c r="T204" i="42" s="1"/>
  <c r="R34" i="28"/>
  <c r="R149" i="28"/>
  <c r="U238" i="42"/>
  <c r="U242" i="42" s="1"/>
  <c r="U241" i="42"/>
  <c r="U239" i="42"/>
  <c r="U243" i="42" s="1"/>
  <c r="U240" i="42"/>
  <c r="U244" i="42" s="1"/>
  <c r="W5" i="20"/>
  <c r="V16" i="20"/>
  <c r="V15" i="20"/>
  <c r="V14" i="20"/>
  <c r="V18" i="20"/>
  <c r="V17" i="20"/>
  <c r="P301" i="38"/>
  <c r="P300" i="38"/>
  <c r="R295" i="38"/>
  <c r="R292" i="38"/>
  <c r="V14" i="48"/>
  <c r="V17" i="48"/>
  <c r="V30" i="48" s="1"/>
  <c r="V45" i="48" s="1"/>
  <c r="W5" i="48"/>
  <c r="V16" i="48"/>
  <c r="V29" i="48" s="1"/>
  <c r="V44" i="48" s="1"/>
  <c r="V18" i="48"/>
  <c r="V31" i="48" s="1"/>
  <c r="V15" i="48"/>
  <c r="V28" i="48" s="1"/>
  <c r="V43" i="48" s="1"/>
  <c r="O287" i="42"/>
  <c r="O286" i="42"/>
  <c r="O290" i="42"/>
  <c r="O288" i="42"/>
  <c r="O289" i="42"/>
  <c r="O285" i="42"/>
  <c r="T146" i="42"/>
  <c r="T150" i="42" s="1"/>
  <c r="T147" i="42"/>
  <c r="T151" i="42" s="1"/>
  <c r="T148" i="42"/>
  <c r="T152" i="42" s="1"/>
  <c r="T149" i="42"/>
  <c r="R84" i="42"/>
  <c r="R82" i="42"/>
  <c r="R86" i="42" s="1"/>
  <c r="R81" i="42"/>
  <c r="R85" i="42" s="1"/>
  <c r="R83" i="42"/>
  <c r="R87" i="42" s="1"/>
  <c r="V16" i="46"/>
  <c r="V29" i="46" s="1"/>
  <c r="V44" i="46" s="1"/>
  <c r="V246" i="46" s="1"/>
  <c r="V15" i="46"/>
  <c r="V28" i="46" s="1"/>
  <c r="V43" i="46" s="1"/>
  <c r="V17" i="46"/>
  <c r="V30" i="46" s="1"/>
  <c r="V45" i="46" s="1"/>
  <c r="V18" i="46"/>
  <c r="V31" i="46" s="1"/>
  <c r="W5" i="46"/>
  <c r="V14" i="46"/>
  <c r="U19" i="29"/>
  <c r="U27" i="29"/>
  <c r="U45" i="15"/>
  <c r="U58" i="15"/>
  <c r="U64" i="15"/>
  <c r="U48" i="15"/>
  <c r="U49" i="15" s="1"/>
  <c r="U136" i="15" s="1"/>
  <c r="T77" i="29"/>
  <c r="U45" i="16" s="1"/>
  <c r="T74" i="29"/>
  <c r="U48" i="16" s="1"/>
  <c r="U49" i="16" s="1"/>
  <c r="U136" i="16" s="1"/>
  <c r="T67" i="29"/>
  <c r="T71" i="29"/>
  <c r="T70" i="29"/>
  <c r="T76" i="29"/>
  <c r="U58" i="16" s="1"/>
  <c r="T78" i="29"/>
  <c r="U64" i="16" s="1"/>
  <c r="T69" i="29"/>
  <c r="T75" i="29"/>
  <c r="T68" i="29"/>
  <c r="T66" i="29"/>
  <c r="T65" i="29" s="1"/>
  <c r="T32" i="19"/>
  <c r="T45" i="19"/>
  <c r="T50" i="19" s="1"/>
  <c r="T162" i="38"/>
  <c r="T166" i="38" s="1"/>
  <c r="T165" i="38"/>
  <c r="U109" i="36" s="1"/>
  <c r="BA109" i="36" s="1"/>
  <c r="T164" i="38"/>
  <c r="T168" i="38" s="1"/>
  <c r="T163" i="38"/>
  <c r="T167" i="38" s="1"/>
  <c r="N169" i="28"/>
  <c r="N168" i="28"/>
  <c r="P170" i="29"/>
  <c r="P171" i="29" s="1"/>
  <c r="P147" i="29"/>
  <c r="Q36" i="28"/>
  <c r="Q37" i="28"/>
  <c r="S34" i="42"/>
  <c r="S281" i="42"/>
  <c r="L173" i="28"/>
  <c r="L172" i="28"/>
  <c r="L176" i="28" s="1"/>
  <c r="U137" i="38"/>
  <c r="U153" i="38"/>
  <c r="U161" i="38"/>
  <c r="U145" i="38"/>
  <c r="T181" i="46"/>
  <c r="T186" i="46" s="1"/>
  <c r="T180" i="46"/>
  <c r="T185" i="46" s="1"/>
  <c r="T177" i="48"/>
  <c r="T179" i="46"/>
  <c r="T184" i="46" s="1"/>
  <c r="T182" i="46"/>
  <c r="U107" i="45" s="1"/>
  <c r="BA107" i="45" s="1"/>
  <c r="T178" i="46"/>
  <c r="T183" i="46" s="1"/>
  <c r="T194" i="42"/>
  <c r="T198" i="42" s="1"/>
  <c r="T195" i="42"/>
  <c r="T192" i="42"/>
  <c r="T196" i="42" s="1"/>
  <c r="T193" i="42"/>
  <c r="T197" i="42" s="1"/>
  <c r="S197" i="53"/>
  <c r="S34" i="53"/>
  <c r="L196" i="28"/>
  <c r="U226" i="42"/>
  <c r="U223" i="42"/>
  <c r="U227" i="42" s="1"/>
  <c r="U224" i="42"/>
  <c r="U228" i="42" s="1"/>
  <c r="U225" i="42"/>
  <c r="U229" i="42" s="1"/>
  <c r="T42" i="38"/>
  <c r="T32" i="38"/>
  <c r="R37" i="19"/>
  <c r="R36" i="19"/>
  <c r="U19" i="48"/>
  <c r="U275" i="48" s="1"/>
  <c r="U27" i="48"/>
  <c r="U32" i="48" s="1"/>
  <c r="T34" i="46"/>
  <c r="T309" i="46"/>
  <c r="R231" i="19"/>
  <c r="R230" i="19"/>
  <c r="R232" i="19"/>
  <c r="R229" i="19"/>
  <c r="T155" i="42"/>
  <c r="T159" i="42" s="1"/>
  <c r="T156" i="42"/>
  <c r="T160" i="42" s="1"/>
  <c r="T157" i="42"/>
  <c r="T154" i="42"/>
  <c r="T158" i="42" s="1"/>
  <c r="R73" i="42"/>
  <c r="R77" i="42" s="1"/>
  <c r="R76" i="42"/>
  <c r="R74" i="42"/>
  <c r="R78" i="42" s="1"/>
  <c r="R75" i="42"/>
  <c r="R79" i="42" s="1"/>
  <c r="T34" i="48"/>
  <c r="T309" i="48"/>
  <c r="O237" i="19"/>
  <c r="O241" i="19" s="1"/>
  <c r="O238" i="19"/>
  <c r="N167" i="29"/>
  <c r="AU64" i="55" s="1"/>
  <c r="N165" i="29"/>
  <c r="AU62" i="55" s="1"/>
  <c r="N168" i="29"/>
  <c r="AU65" i="55" s="1"/>
  <c r="N164" i="29"/>
  <c r="N166" i="29"/>
  <c r="AU63" i="55" s="1"/>
  <c r="N163" i="29"/>
  <c r="V5" i="28"/>
  <c r="U14" i="28"/>
  <c r="U17" i="28"/>
  <c r="U30" i="28" s="1"/>
  <c r="U18" i="28"/>
  <c r="U31" i="28" s="1"/>
  <c r="U16" i="28"/>
  <c r="U29" i="28" s="1"/>
  <c r="U47" i="28" s="1"/>
  <c r="U15" i="28"/>
  <c r="U28" i="28" s="1"/>
  <c r="U46" i="28" s="1"/>
  <c r="M171" i="28"/>
  <c r="M170" i="28"/>
  <c r="T148" i="38"/>
  <c r="T152" i="38" s="1"/>
  <c r="T149" i="38"/>
  <c r="U100" i="36" s="1"/>
  <c r="BA100" i="36" s="1"/>
  <c r="T147" i="38"/>
  <c r="T151" i="38" s="1"/>
  <c r="T146" i="38"/>
  <c r="T150" i="38" s="1"/>
  <c r="N175" i="28"/>
  <c r="N174" i="28"/>
  <c r="T19" i="53"/>
  <c r="T27" i="53"/>
  <c r="T32" i="53" s="1"/>
  <c r="N140" i="29"/>
  <c r="N142" i="29"/>
  <c r="N144" i="29"/>
  <c r="N139" i="29"/>
  <c r="N141" i="29"/>
  <c r="N143" i="29"/>
  <c r="R67" i="15"/>
  <c r="R46" i="15"/>
  <c r="U239" i="38"/>
  <c r="U243" i="38" s="1"/>
  <c r="U238" i="38"/>
  <c r="U242" i="38" s="1"/>
  <c r="U240" i="38"/>
  <c r="U244" i="38" s="1"/>
  <c r="K58" i="55"/>
  <c r="K69" i="15"/>
  <c r="K71" i="15" s="1"/>
  <c r="K33" i="58" s="1"/>
  <c r="J208" i="28"/>
  <c r="K61" i="55"/>
  <c r="J213" i="28"/>
  <c r="N328" i="42"/>
  <c r="N329" i="42" s="1"/>
  <c r="N338" i="42" s="1"/>
  <c r="Q240" i="19"/>
  <c r="Q239" i="19"/>
  <c r="Q251" i="19" s="1"/>
  <c r="S222" i="48"/>
  <c r="S227" i="48" s="1"/>
  <c r="S221" i="48"/>
  <c r="S226" i="48" s="1"/>
  <c r="S224" i="48"/>
  <c r="S223" i="48"/>
  <c r="S228" i="48" s="1"/>
  <c r="S220" i="48"/>
  <c r="S225" i="48" s="1"/>
  <c r="T160" i="46"/>
  <c r="T165" i="46" s="1"/>
  <c r="T159" i="46"/>
  <c r="T164" i="46" s="1"/>
  <c r="T161" i="46"/>
  <c r="T166" i="46" s="1"/>
  <c r="T162" i="46"/>
  <c r="U98" i="45" s="1"/>
  <c r="BA98" i="45" s="1"/>
  <c r="T158" i="46"/>
  <c r="T163" i="46" s="1"/>
  <c r="T157" i="48"/>
  <c r="R293" i="38"/>
  <c r="S80" i="55" s="1"/>
  <c r="R316" i="38"/>
  <c r="T165" i="42"/>
  <c r="T162" i="42"/>
  <c r="T166" i="42" s="1"/>
  <c r="T163" i="42"/>
  <c r="T167" i="42" s="1"/>
  <c r="T164" i="42"/>
  <c r="T168" i="42" s="1"/>
  <c r="R107" i="42"/>
  <c r="R111" i="42" s="1"/>
  <c r="R105" i="42"/>
  <c r="R109" i="42" s="1"/>
  <c r="R106" i="42"/>
  <c r="R110" i="42" s="1"/>
  <c r="R108" i="42"/>
  <c r="K204" i="28"/>
  <c r="U49" i="29"/>
  <c r="T49" i="28"/>
  <c r="T155" i="38"/>
  <c r="T159" i="38" s="1"/>
  <c r="T156" i="38"/>
  <c r="T160" i="38" s="1"/>
  <c r="T154" i="38"/>
  <c r="T158" i="38" s="1"/>
  <c r="T157" i="38"/>
  <c r="U79" i="36" s="1"/>
  <c r="BA79" i="36" s="1"/>
  <c r="O180" i="28"/>
  <c r="P63" i="55" s="1"/>
  <c r="O178" i="28"/>
  <c r="O182" i="28"/>
  <c r="P65" i="55" s="1"/>
  <c r="O179" i="28"/>
  <c r="P62" i="55" s="1"/>
  <c r="O181" i="28"/>
  <c r="P64" i="55" s="1"/>
  <c r="O177" i="28"/>
  <c r="S152" i="48"/>
  <c r="S150" i="48"/>
  <c r="S155" i="48" s="1"/>
  <c r="S151" i="48"/>
  <c r="S156" i="48" s="1"/>
  <c r="S148" i="48"/>
  <c r="S153" i="48" s="1"/>
  <c r="S149" i="48"/>
  <c r="S154" i="48" s="1"/>
  <c r="R36" i="29"/>
  <c r="R37" i="29"/>
  <c r="T202" i="38"/>
  <c r="T206" i="38" s="1"/>
  <c r="T203" i="38"/>
  <c r="U101" i="36" s="1"/>
  <c r="BA101" i="36" s="1"/>
  <c r="T200" i="38"/>
  <c r="T204" i="38" s="1"/>
  <c r="T201" i="38"/>
  <c r="T205" i="38" s="1"/>
  <c r="P104" i="29"/>
  <c r="O137" i="29"/>
  <c r="O138" i="29" s="1"/>
  <c r="DH57" i="55"/>
  <c r="AV57" i="55"/>
  <c r="O148" i="29"/>
  <c r="Q91" i="29"/>
  <c r="Q103" i="29"/>
  <c r="Q184" i="28"/>
  <c r="Q185" i="28" s="1"/>
  <c r="Q161" i="28"/>
  <c r="U199" i="38"/>
  <c r="U191" i="38"/>
  <c r="U207" i="38"/>
  <c r="P154" i="29"/>
  <c r="P155" i="29"/>
  <c r="P163" i="28"/>
  <c r="P162" i="28"/>
  <c r="P160" i="28"/>
  <c r="T170" i="46"/>
  <c r="T175" i="46" s="1"/>
  <c r="T169" i="46"/>
  <c r="T174" i="46" s="1"/>
  <c r="T168" i="46"/>
  <c r="T173" i="46" s="1"/>
  <c r="T167" i="48"/>
  <c r="T171" i="46"/>
  <c r="T176" i="46" s="1"/>
  <c r="T172" i="46"/>
  <c r="U77" i="45" s="1"/>
  <c r="BA77" i="45" s="1"/>
  <c r="Q134" i="16"/>
  <c r="Q140" i="16" s="1"/>
  <c r="Q133" i="16" a="1"/>
  <c r="Q77" i="16"/>
  <c r="Q68" i="16"/>
  <c r="U19" i="19"/>
  <c r="U27" i="19"/>
  <c r="T139" i="42"/>
  <c r="T143" i="42" s="1"/>
  <c r="T140" i="42"/>
  <c r="T144" i="42" s="1"/>
  <c r="T141" i="42"/>
  <c r="T138" i="42"/>
  <c r="T142" i="42" s="1"/>
  <c r="R295" i="42"/>
  <c r="R292" i="42"/>
  <c r="S197" i="54"/>
  <c r="S34" i="54"/>
  <c r="M183" i="29"/>
  <c r="M192" i="29" s="1"/>
  <c r="N70" i="16" s="1"/>
  <c r="C242" i="19"/>
  <c r="C243" i="19"/>
  <c r="C245" i="19"/>
  <c r="AJ40" i="55" s="1"/>
  <c r="C244" i="19"/>
  <c r="AJ39" i="55" s="1"/>
  <c r="E259" i="20"/>
  <c r="BR34" i="55"/>
  <c r="AK34" i="55"/>
  <c r="D227" i="19"/>
  <c r="D247" i="19" s="1"/>
  <c r="AK42" i="55" s="1"/>
  <c r="E183" i="19"/>
  <c r="D216" i="19"/>
  <c r="D217" i="19" s="1"/>
  <c r="D220" i="19" s="1"/>
  <c r="C220" i="19"/>
  <c r="C219" i="19"/>
  <c r="C223" i="19"/>
  <c r="C222" i="19"/>
  <c r="C218" i="19"/>
  <c r="C221" i="19"/>
  <c r="E152" i="14"/>
  <c r="G99" i="12"/>
  <c r="G109" i="12"/>
  <c r="F97" i="14"/>
  <c r="G91" i="19"/>
  <c r="H136" i="14" s="1"/>
  <c r="H136" i="12"/>
  <c r="F75" i="19"/>
  <c r="E228" i="14"/>
  <c r="E232" i="14" s="1"/>
  <c r="E225" i="14" a="1"/>
  <c r="E148" i="14"/>
  <c r="G73" i="19"/>
  <c r="H114" i="14" s="1"/>
  <c r="H114" i="12"/>
  <c r="G110" i="14"/>
  <c r="G108" i="14" s="1"/>
  <c r="G109" i="14"/>
  <c r="G114" i="19"/>
  <c r="H106" i="19"/>
  <c r="I103" i="14" s="1"/>
  <c r="I103" i="12"/>
  <c r="H95" i="14"/>
  <c r="G123" i="19"/>
  <c r="H124" i="19"/>
  <c r="I138" i="14" s="1"/>
  <c r="I138" i="12"/>
  <c r="H105" i="12"/>
  <c r="H228" i="12" s="1"/>
  <c r="G126" i="19"/>
  <c r="G113" i="19"/>
  <c r="G111" i="19"/>
  <c r="I174" i="19"/>
  <c r="C299" i="20"/>
  <c r="H98" i="19"/>
  <c r="I176" i="19"/>
  <c r="F92" i="19"/>
  <c r="F94" i="19"/>
  <c r="F88" i="19"/>
  <c r="F87" i="19"/>
  <c r="I165" i="19"/>
  <c r="I166" i="19"/>
  <c r="I164" i="19"/>
  <c r="I163" i="19"/>
  <c r="F86" i="19"/>
  <c r="F89" i="19"/>
  <c r="F76" i="19"/>
  <c r="F74" i="19"/>
  <c r="G119" i="19"/>
  <c r="H118" i="19"/>
  <c r="I94" i="14" s="1"/>
  <c r="G120" i="19"/>
  <c r="F93" i="19"/>
  <c r="F83" i="19"/>
  <c r="G111" i="14" s="1"/>
  <c r="G107" i="14" s="1"/>
  <c r="G111" i="12"/>
  <c r="G107" i="12" s="1"/>
  <c r="F90" i="19"/>
  <c r="G109" i="19"/>
  <c r="G110" i="12"/>
  <c r="G108" i="12" s="1"/>
  <c r="G108" i="19"/>
  <c r="G79" i="19"/>
  <c r="H104" i="14" s="1"/>
  <c r="G129" i="19"/>
  <c r="F80" i="19"/>
  <c r="G106" i="14" s="1"/>
  <c r="F77" i="19"/>
  <c r="F70" i="19"/>
  <c r="G100" i="14" s="1"/>
  <c r="G98" i="14" s="1"/>
  <c r="F69" i="19"/>
  <c r="G99" i="14" s="1"/>
  <c r="F68" i="19"/>
  <c r="G96" i="14" s="1"/>
  <c r="F71" i="19"/>
  <c r="G101" i="14" s="1"/>
  <c r="D261" i="19"/>
  <c r="C303" i="20"/>
  <c r="C304" i="20" s="1"/>
  <c r="C311" i="20" s="1"/>
  <c r="C261" i="19"/>
  <c r="C262" i="19" s="1"/>
  <c r="C271" i="19" s="1"/>
  <c r="D156" i="14" s="1"/>
  <c r="D162" i="14" s="1"/>
  <c r="D293" i="20"/>
  <c r="D294" i="20" s="1"/>
  <c r="D295" i="20"/>
  <c r="G180" i="19"/>
  <c r="J172" i="19"/>
  <c r="K135" i="14" s="1"/>
  <c r="H131" i="19"/>
  <c r="J216" i="20"/>
  <c r="J218" i="20"/>
  <c r="J215" i="20"/>
  <c r="J173" i="19" s="1"/>
  <c r="J217" i="20"/>
  <c r="J175" i="19" s="1"/>
  <c r="J219" i="20"/>
  <c r="J177" i="19" s="1"/>
  <c r="J202" i="20"/>
  <c r="J204" i="20"/>
  <c r="J206" i="20"/>
  <c r="J167" i="19" s="1"/>
  <c r="J203" i="20"/>
  <c r="J205" i="20"/>
  <c r="I148" i="20"/>
  <c r="I142" i="20"/>
  <c r="I136" i="20"/>
  <c r="I112" i="19" s="1"/>
  <c r="J126" i="14" s="1"/>
  <c r="I130" i="20"/>
  <c r="H131" i="20"/>
  <c r="H107" i="19" s="1"/>
  <c r="H133" i="20"/>
  <c r="H134" i="20"/>
  <c r="H110" i="19" s="1"/>
  <c r="H135" i="20"/>
  <c r="H132" i="20"/>
  <c r="H138" i="20"/>
  <c r="H140" i="20"/>
  <c r="H116" i="19" s="1"/>
  <c r="H139" i="20"/>
  <c r="H115" i="19" s="1"/>
  <c r="H141" i="20"/>
  <c r="H117" i="19" s="1"/>
  <c r="H137" i="20"/>
  <c r="H144" i="20"/>
  <c r="H145" i="20"/>
  <c r="H121" i="19" s="1"/>
  <c r="H143" i="20"/>
  <c r="H146" i="20"/>
  <c r="H122" i="19" s="1"/>
  <c r="H147" i="20"/>
  <c r="H150" i="20"/>
  <c r="H149" i="20"/>
  <c r="H125" i="19" s="1"/>
  <c r="H152" i="20"/>
  <c r="H128" i="19" s="1"/>
  <c r="H151" i="20"/>
  <c r="H127" i="19" s="1"/>
  <c r="H153" i="20"/>
  <c r="G97" i="20"/>
  <c r="G95" i="20"/>
  <c r="G98" i="20"/>
  <c r="G94" i="20"/>
  <c r="G96" i="20"/>
  <c r="G91" i="20"/>
  <c r="G89" i="20"/>
  <c r="G81" i="19" s="1"/>
  <c r="G88" i="20"/>
  <c r="H106" i="12" s="1"/>
  <c r="G90" i="20"/>
  <c r="G82" i="19" s="1"/>
  <c r="G92" i="20"/>
  <c r="G84" i="19" s="1"/>
  <c r="G100" i="20"/>
  <c r="G104" i="20"/>
  <c r="G96" i="19" s="1"/>
  <c r="G101" i="20"/>
  <c r="G103" i="20"/>
  <c r="G95" i="19" s="1"/>
  <c r="G102" i="20"/>
  <c r="G79" i="20"/>
  <c r="H101" i="12" s="1"/>
  <c r="H97" i="12" s="1"/>
  <c r="G76" i="20"/>
  <c r="H96" i="12" s="1"/>
  <c r="G80" i="20"/>
  <c r="G72" i="19" s="1"/>
  <c r="G77" i="20"/>
  <c r="G78" i="20"/>
  <c r="H100" i="12" s="1"/>
  <c r="H98" i="12" s="1"/>
  <c r="H75" i="20"/>
  <c r="H67" i="19" s="1"/>
  <c r="I93" i="14" s="1"/>
  <c r="H87" i="20"/>
  <c r="I104" i="12" s="1"/>
  <c r="H93" i="20"/>
  <c r="H85" i="19" s="1"/>
  <c r="I124" i="14" s="1"/>
  <c r="H81" i="20"/>
  <c r="H99" i="20"/>
  <c r="G83" i="20"/>
  <c r="G84" i="20"/>
  <c r="G82" i="20"/>
  <c r="G86" i="20"/>
  <c r="G78" i="19" s="1"/>
  <c r="G85" i="20"/>
  <c r="J19" i="20"/>
  <c r="J222" i="20" s="1"/>
  <c r="G226" i="12"/>
  <c r="I99" i="19"/>
  <c r="I100" i="19"/>
  <c r="I104" i="19"/>
  <c r="I101" i="19"/>
  <c r="J126" i="12"/>
  <c r="I103" i="19"/>
  <c r="I102" i="19"/>
  <c r="I45" i="20"/>
  <c r="I32" i="20"/>
  <c r="BV4" i="55" s="1"/>
  <c r="DB4" i="55" s="1"/>
  <c r="G267" i="20"/>
  <c r="G266" i="20"/>
  <c r="G317" i="20"/>
  <c r="G270" i="20"/>
  <c r="G318" i="20"/>
  <c r="H256" i="20"/>
  <c r="H34" i="20"/>
  <c r="G36" i="20"/>
  <c r="G37" i="20"/>
  <c r="J30" i="20"/>
  <c r="J48" i="20" s="1"/>
  <c r="J170" i="19"/>
  <c r="J28" i="20"/>
  <c r="J46" i="20" s="1"/>
  <c r="K94" i="12" s="1"/>
  <c r="G179" i="19"/>
  <c r="G225" i="20"/>
  <c r="F258" i="20"/>
  <c r="H60" i="19"/>
  <c r="I93" i="12"/>
  <c r="H55" i="19"/>
  <c r="H52" i="19" s="1"/>
  <c r="H62" i="19"/>
  <c r="H50" i="20"/>
  <c r="H221" i="20" s="1"/>
  <c r="H65" i="19"/>
  <c r="H56" i="19"/>
  <c r="H64" i="19"/>
  <c r="H63" i="19"/>
  <c r="H58" i="19"/>
  <c r="H57" i="19"/>
  <c r="H61" i="19"/>
  <c r="I124" i="12"/>
  <c r="H53" i="19"/>
  <c r="H54" i="19"/>
  <c r="F274" i="20"/>
  <c r="F273" i="20"/>
  <c r="F272" i="20"/>
  <c r="F271" i="20"/>
  <c r="I157" i="19"/>
  <c r="D278" i="20"/>
  <c r="D277" i="20"/>
  <c r="G226" i="14"/>
  <c r="K29" i="20"/>
  <c r="K47" i="20" s="1"/>
  <c r="K201" i="20" s="1"/>
  <c r="K162" i="19" s="1"/>
  <c r="L123" i="14" s="1"/>
  <c r="E281" i="20"/>
  <c r="E282" i="20"/>
  <c r="I169" i="19"/>
  <c r="I133" i="19"/>
  <c r="I135" i="19"/>
  <c r="I136" i="19"/>
  <c r="J125" i="12"/>
  <c r="I134" i="19"/>
  <c r="I132" i="19"/>
  <c r="K31" i="20"/>
  <c r="K49" i="20" s="1"/>
  <c r="K214" i="20" s="1"/>
  <c r="L135" i="12" s="1"/>
  <c r="J158" i="19"/>
  <c r="K123" i="12"/>
  <c r="J160" i="19"/>
  <c r="E276" i="20"/>
  <c r="E275" i="20"/>
  <c r="C279" i="20"/>
  <c r="C283" i="20" s="1"/>
  <c r="C280" i="20"/>
  <c r="J27" i="20"/>
  <c r="K19" i="20"/>
  <c r="H95" i="12"/>
  <c r="E265" i="20" l="1"/>
  <c r="BR42" i="55" s="1"/>
  <c r="E261" i="20"/>
  <c r="BR38" i="55" s="1"/>
  <c r="E264" i="20"/>
  <c r="BR41" i="55" s="1"/>
  <c r="E260" i="20"/>
  <c r="E263" i="20"/>
  <c r="BR40" i="55" s="1"/>
  <c r="E262" i="20"/>
  <c r="BR39" i="55" s="1"/>
  <c r="S65" i="16"/>
  <c r="S139" i="16" s="1"/>
  <c r="R92" i="29"/>
  <c r="T61" i="16"/>
  <c r="S87" i="29"/>
  <c r="L72" i="16"/>
  <c r="AR34" i="58" s="1"/>
  <c r="K200" i="29"/>
  <c r="L73" i="16" s="1"/>
  <c r="R57" i="55"/>
  <c r="R117" i="28"/>
  <c r="AY80" i="55"/>
  <c r="R294" i="42"/>
  <c r="O175" i="29"/>
  <c r="O176" i="29" s="1"/>
  <c r="O178" i="29" s="1"/>
  <c r="M189" i="28"/>
  <c r="M190" i="28" s="1"/>
  <c r="M192" i="28" s="1"/>
  <c r="P174" i="29"/>
  <c r="P175" i="29" s="1"/>
  <c r="P176" i="29" s="1"/>
  <c r="Q141" i="16"/>
  <c r="Q142" i="16" s="1"/>
  <c r="S246" i="42"/>
  <c r="M338" i="42"/>
  <c r="AT81" i="55" s="1"/>
  <c r="L199" i="29"/>
  <c r="AS58" i="55"/>
  <c r="M69" i="16"/>
  <c r="M71" i="16" s="1"/>
  <c r="AS33" i="58" s="1"/>
  <c r="AS61" i="55"/>
  <c r="U49" i="28"/>
  <c r="V61" i="15" s="1"/>
  <c r="O182" i="29"/>
  <c r="O183" i="29" s="1"/>
  <c r="O192" i="29" s="1"/>
  <c r="P70" i="16" s="1"/>
  <c r="R298" i="42"/>
  <c r="R299" i="42"/>
  <c r="R297" i="42"/>
  <c r="R296" i="42"/>
  <c r="P167" i="28"/>
  <c r="P164" i="28"/>
  <c r="P166" i="28"/>
  <c r="P165" i="28"/>
  <c r="Q170" i="29"/>
  <c r="Q171" i="29" s="1"/>
  <c r="Q147" i="29"/>
  <c r="L69" i="15"/>
  <c r="L71" i="15" s="1"/>
  <c r="L33" i="58" s="1"/>
  <c r="L58" i="55"/>
  <c r="K208" i="28"/>
  <c r="L61" i="55"/>
  <c r="K213" i="28"/>
  <c r="N186" i="28"/>
  <c r="N187" i="28" s="1"/>
  <c r="N188" i="28"/>
  <c r="N191" i="28" s="1"/>
  <c r="U76" i="29"/>
  <c r="V58" i="16" s="1"/>
  <c r="U78" i="29"/>
  <c r="V64" i="16" s="1"/>
  <c r="U67" i="29"/>
  <c r="U70" i="29"/>
  <c r="V58" i="15"/>
  <c r="U71" i="29"/>
  <c r="V64" i="15"/>
  <c r="U66" i="29"/>
  <c r="U65" i="29" s="1"/>
  <c r="V48" i="15"/>
  <c r="V49" i="15" s="1"/>
  <c r="V136" i="15" s="1"/>
  <c r="U73" i="29"/>
  <c r="V45" i="15"/>
  <c r="U69" i="29"/>
  <c r="U77" i="29"/>
  <c r="V45" i="16" s="1"/>
  <c r="U74" i="29"/>
  <c r="V48" i="16" s="1"/>
  <c r="V49" i="16" s="1"/>
  <c r="V136" i="16" s="1"/>
  <c r="U68" i="29"/>
  <c r="U75" i="29"/>
  <c r="P302" i="38"/>
  <c r="P303" i="38"/>
  <c r="S37" i="19"/>
  <c r="S36" i="19"/>
  <c r="R103" i="29"/>
  <c r="R91" i="29"/>
  <c r="R184" i="28"/>
  <c r="R185" i="28" s="1"/>
  <c r="R161" i="28"/>
  <c r="S216" i="28"/>
  <c r="S61" i="29"/>
  <c r="S63" i="29"/>
  <c r="T56" i="16" s="1"/>
  <c r="S53" i="29"/>
  <c r="S57" i="29"/>
  <c r="S55" i="29"/>
  <c r="S52" i="29" s="1"/>
  <c r="S60" i="29"/>
  <c r="T44" i="15"/>
  <c r="S54" i="29"/>
  <c r="S62" i="29"/>
  <c r="T62" i="16" s="1"/>
  <c r="T56" i="15"/>
  <c r="S56" i="29"/>
  <c r="T62" i="15"/>
  <c r="T65" i="15" s="1"/>
  <c r="T139" i="15" s="1"/>
  <c r="S59" i="29"/>
  <c r="T44" i="16" s="1"/>
  <c r="S50" i="28"/>
  <c r="Q300" i="42"/>
  <c r="Q301" i="42"/>
  <c r="U147" i="48"/>
  <c r="U149" i="46"/>
  <c r="U154" i="46" s="1"/>
  <c r="U151" i="46"/>
  <c r="U156" i="46" s="1"/>
  <c r="U152" i="46"/>
  <c r="V83" i="45" s="1"/>
  <c r="U150" i="46"/>
  <c r="U155" i="46" s="1"/>
  <c r="U148" i="46"/>
  <c r="U153" i="46" s="1"/>
  <c r="X5" i="19"/>
  <c r="W17" i="19"/>
  <c r="W30" i="19" s="1"/>
  <c r="W48" i="19" s="1"/>
  <c r="W14" i="19"/>
  <c r="W18" i="19"/>
  <c r="W31" i="19" s="1"/>
  <c r="W49" i="19" s="1"/>
  <c r="W15" i="19"/>
  <c r="W28" i="19" s="1"/>
  <c r="W46" i="19" s="1"/>
  <c r="W16" i="19"/>
  <c r="W29" i="19" s="1"/>
  <c r="W47" i="19" s="1"/>
  <c r="V27" i="38"/>
  <c r="V19" i="38"/>
  <c r="V247" i="38" s="1"/>
  <c r="Q301" i="38"/>
  <c r="Q300" i="38"/>
  <c r="U141" i="42"/>
  <c r="U140" i="42"/>
  <c r="U144" i="42" s="1"/>
  <c r="U138" i="42"/>
  <c r="U142" i="42" s="1"/>
  <c r="U139" i="42"/>
  <c r="U143" i="42" s="1"/>
  <c r="Q163" i="28"/>
  <c r="Q162" i="28"/>
  <c r="Q160" i="28"/>
  <c r="O69" i="16"/>
  <c r="P156" i="29"/>
  <c r="P157" i="29"/>
  <c r="V55" i="15"/>
  <c r="U83" i="29"/>
  <c r="U82" i="29" s="1"/>
  <c r="U147" i="38"/>
  <c r="U151" i="38" s="1"/>
  <c r="U148" i="38"/>
  <c r="U152" i="38" s="1"/>
  <c r="U149" i="38"/>
  <c r="V100" i="36" s="1"/>
  <c r="BB100" i="36" s="1"/>
  <c r="U146" i="38"/>
  <c r="U150" i="38" s="1"/>
  <c r="W14" i="48"/>
  <c r="W17" i="48"/>
  <c r="W30" i="48" s="1"/>
  <c r="W45" i="48" s="1"/>
  <c r="W18" i="48"/>
  <c r="W31" i="48" s="1"/>
  <c r="W16" i="48"/>
  <c r="W29" i="48" s="1"/>
  <c r="W44" i="48" s="1"/>
  <c r="X5" i="48"/>
  <c r="W15" i="48"/>
  <c r="W28" i="48" s="1"/>
  <c r="W43" i="48" s="1"/>
  <c r="R152" i="29"/>
  <c r="R151" i="29"/>
  <c r="R153" i="29"/>
  <c r="R150" i="29"/>
  <c r="S149" i="28"/>
  <c r="S34" i="28"/>
  <c r="Q307" i="42"/>
  <c r="Q306" i="42"/>
  <c r="R217" i="28"/>
  <c r="Q151" i="28"/>
  <c r="O158" i="28"/>
  <c r="CB65" i="55" s="1"/>
  <c r="O156" i="28"/>
  <c r="CB63" i="55" s="1"/>
  <c r="O154" i="28"/>
  <c r="CB61" i="55" s="1"/>
  <c r="O153" i="28"/>
  <c r="O157" i="28"/>
  <c r="CB64" i="55" s="1"/>
  <c r="O155" i="28"/>
  <c r="CB62" i="55" s="1"/>
  <c r="U86" i="45"/>
  <c r="U87" i="45"/>
  <c r="BA87" i="45"/>
  <c r="U85" i="45"/>
  <c r="BA85" i="45"/>
  <c r="BA86" i="45"/>
  <c r="N192" i="29"/>
  <c r="DG58" i="55" s="1"/>
  <c r="T170" i="48"/>
  <c r="T175" i="48" s="1"/>
  <c r="T168" i="48"/>
  <c r="T173" i="48" s="1"/>
  <c r="T169" i="48"/>
  <c r="T174" i="48" s="1"/>
  <c r="T172" i="48"/>
  <c r="T171" i="48"/>
  <c r="T176" i="48" s="1"/>
  <c r="O163" i="29"/>
  <c r="O166" i="29"/>
  <c r="AV63" i="55" s="1"/>
  <c r="O168" i="29"/>
  <c r="AV65" i="55" s="1"/>
  <c r="O167" i="29"/>
  <c r="AV64" i="55" s="1"/>
  <c r="O165" i="29"/>
  <c r="AV62" i="55" s="1"/>
  <c r="O164" i="29"/>
  <c r="R239" i="19"/>
  <c r="R251" i="19" s="1"/>
  <c r="R240" i="19"/>
  <c r="U164" i="38"/>
  <c r="U168" i="38" s="1"/>
  <c r="U165" i="38"/>
  <c r="V109" i="36" s="1"/>
  <c r="BB109" i="36" s="1"/>
  <c r="U163" i="38"/>
  <c r="U167" i="38" s="1"/>
  <c r="U162" i="38"/>
  <c r="U166" i="38" s="1"/>
  <c r="V19" i="46"/>
  <c r="V275" i="46" s="1"/>
  <c r="V27" i="46"/>
  <c r="V32" i="46" s="1"/>
  <c r="S81" i="42"/>
  <c r="S85" i="42" s="1"/>
  <c r="S82" i="42"/>
  <c r="S86" i="42" s="1"/>
  <c r="S84" i="42"/>
  <c r="S83" i="42"/>
  <c r="S87" i="42" s="1"/>
  <c r="Q283" i="42"/>
  <c r="Q284" i="42" s="1"/>
  <c r="R250" i="42"/>
  <c r="S66" i="15"/>
  <c r="S59" i="15"/>
  <c r="S135" i="15" s="1"/>
  <c r="O328" i="42"/>
  <c r="O329" i="42" s="1"/>
  <c r="O336" i="42" s="1"/>
  <c r="S295" i="38"/>
  <c r="S292" i="38"/>
  <c r="DE81" i="55"/>
  <c r="AS81" i="55"/>
  <c r="AS84" i="55"/>
  <c r="L340" i="42"/>
  <c r="L345" i="42"/>
  <c r="O305" i="38"/>
  <c r="O304" i="38"/>
  <c r="O308" i="38" s="1"/>
  <c r="CC57" i="55"/>
  <c r="P152" i="28"/>
  <c r="Q307" i="38"/>
  <c r="Q306" i="38"/>
  <c r="Q318" i="38" s="1"/>
  <c r="S36" i="29"/>
  <c r="S37" i="29"/>
  <c r="W15" i="29"/>
  <c r="W28" i="29" s="1"/>
  <c r="W46" i="29" s="1"/>
  <c r="W14" i="29"/>
  <c r="W16" i="29"/>
  <c r="W29" i="29" s="1"/>
  <c r="W47" i="29" s="1"/>
  <c r="W18" i="29"/>
  <c r="W31" i="29" s="1"/>
  <c r="W17" i="29"/>
  <c r="W30" i="29" s="1"/>
  <c r="X5" i="29"/>
  <c r="X5" i="42"/>
  <c r="W15" i="42"/>
  <c r="W28" i="42" s="1"/>
  <c r="W43" i="42" s="1"/>
  <c r="W16" i="42"/>
  <c r="W29" i="42" s="1"/>
  <c r="W44" i="42" s="1"/>
  <c r="W222" i="42" s="1"/>
  <c r="W14" i="42"/>
  <c r="W17" i="42"/>
  <c r="W30" i="42" s="1"/>
  <c r="W45" i="42" s="1"/>
  <c r="W18" i="42"/>
  <c r="W31" i="42" s="1"/>
  <c r="W46" i="42" s="1"/>
  <c r="W237" i="42" s="1"/>
  <c r="M190" i="29"/>
  <c r="U210" i="38"/>
  <c r="U214" i="38" s="1"/>
  <c r="U209" i="38"/>
  <c r="U213" i="38" s="1"/>
  <c r="U208" i="38"/>
  <c r="U212" i="38" s="1"/>
  <c r="U211" i="38"/>
  <c r="T160" i="48"/>
  <c r="T165" i="48" s="1"/>
  <c r="T162" i="48"/>
  <c r="T159" i="48"/>
  <c r="T164" i="48" s="1"/>
  <c r="T161" i="48"/>
  <c r="T166" i="48" s="1"/>
  <c r="T158" i="48"/>
  <c r="T163" i="48" s="1"/>
  <c r="N336" i="42"/>
  <c r="T34" i="38"/>
  <c r="T281" i="38"/>
  <c r="L197" i="28"/>
  <c r="L206" i="28" s="1"/>
  <c r="M70" i="15" s="1"/>
  <c r="U156" i="38"/>
  <c r="U160" i="38" s="1"/>
  <c r="U154" i="38"/>
  <c r="U158" i="38" s="1"/>
  <c r="U155" i="38"/>
  <c r="U159" i="38" s="1"/>
  <c r="U157" i="38"/>
  <c r="V79" i="36" s="1"/>
  <c r="BB79" i="36" s="1"/>
  <c r="DI57" i="55"/>
  <c r="AW57" i="55"/>
  <c r="P148" i="29"/>
  <c r="T275" i="19"/>
  <c r="T224" i="19"/>
  <c r="T225" i="19"/>
  <c r="T228" i="19"/>
  <c r="T276" i="19"/>
  <c r="X5" i="46"/>
  <c r="W15" i="46"/>
  <c r="W28" i="46" s="1"/>
  <c r="W43" i="46" s="1"/>
  <c r="W14" i="46"/>
  <c r="W17" i="46"/>
  <c r="W30" i="46" s="1"/>
  <c r="W45" i="46" s="1"/>
  <c r="W18" i="46"/>
  <c r="W31" i="46" s="1"/>
  <c r="W16" i="46"/>
  <c r="W29" i="46" s="1"/>
  <c r="W44" i="46" s="1"/>
  <c r="W246" i="46" s="1"/>
  <c r="V19" i="48"/>
  <c r="V275" i="48" s="1"/>
  <c r="V27" i="48"/>
  <c r="V32" i="48" s="1"/>
  <c r="S295" i="42"/>
  <c r="S292" i="42"/>
  <c r="P287" i="42"/>
  <c r="P285" i="42"/>
  <c r="P288" i="42"/>
  <c r="P289" i="42"/>
  <c r="P290" i="42"/>
  <c r="P286" i="42"/>
  <c r="S59" i="16"/>
  <c r="S135" i="16" s="1"/>
  <c r="S66" i="16"/>
  <c r="S232" i="19"/>
  <c r="S231" i="19"/>
  <c r="S229" i="19"/>
  <c r="S230" i="19"/>
  <c r="P238" i="19"/>
  <c r="P237" i="19"/>
  <c r="P241" i="19" s="1"/>
  <c r="W17" i="38"/>
  <c r="W30" i="38" s="1"/>
  <c r="W45" i="38" s="1"/>
  <c r="W15" i="38"/>
  <c r="W28" i="38" s="1"/>
  <c r="W43" i="38" s="1"/>
  <c r="W16" i="38"/>
  <c r="W29" i="38" s="1"/>
  <c r="W44" i="38" s="1"/>
  <c r="W222" i="38" s="1"/>
  <c r="W14" i="38"/>
  <c r="W18" i="38"/>
  <c r="W31" i="38" s="1"/>
  <c r="W46" i="38" s="1"/>
  <c r="W237" i="38" s="1"/>
  <c r="X5" i="38"/>
  <c r="R68" i="16"/>
  <c r="R134" i="16"/>
  <c r="R140" i="16" s="1"/>
  <c r="R133" i="16" a="1"/>
  <c r="R77" i="16"/>
  <c r="T34" i="42"/>
  <c r="T281" i="42"/>
  <c r="V19" i="29"/>
  <c r="V27" i="29"/>
  <c r="V207" i="42"/>
  <c r="V191" i="42"/>
  <c r="V199" i="42"/>
  <c r="T32" i="28"/>
  <c r="T45" i="28"/>
  <c r="U193" i="38"/>
  <c r="U197" i="38" s="1"/>
  <c r="U192" i="38"/>
  <c r="U196" i="38" s="1"/>
  <c r="U194" i="38"/>
  <c r="U198" i="38" s="1"/>
  <c r="R196" i="29"/>
  <c r="R197" i="29"/>
  <c r="U19" i="28"/>
  <c r="U118" i="28" s="1"/>
  <c r="U27" i="28"/>
  <c r="R233" i="19"/>
  <c r="R234" i="19"/>
  <c r="T249" i="38"/>
  <c r="T47" i="38"/>
  <c r="T291" i="38" s="1"/>
  <c r="T80" i="38"/>
  <c r="T72" i="38"/>
  <c r="T73" i="38" s="1"/>
  <c r="T96" i="38"/>
  <c r="T104" i="38"/>
  <c r="U139" i="38"/>
  <c r="U140" i="38"/>
  <c r="U138" i="38"/>
  <c r="T34" i="19"/>
  <c r="T214" i="19"/>
  <c r="U32" i="29"/>
  <c r="U45" i="29"/>
  <c r="S108" i="42"/>
  <c r="S107" i="42"/>
  <c r="S111" i="42" s="1"/>
  <c r="S106" i="42"/>
  <c r="S110" i="42" s="1"/>
  <c r="S105" i="42"/>
  <c r="S109" i="42" s="1"/>
  <c r="Q314" i="38"/>
  <c r="R88" i="55" s="1"/>
  <c r="Q313" i="38"/>
  <c r="R87" i="55" s="1"/>
  <c r="Q312" i="38"/>
  <c r="R86" i="55" s="1"/>
  <c r="Q311" i="38"/>
  <c r="R85" i="55" s="1"/>
  <c r="Q310" i="38"/>
  <c r="Q309" i="38"/>
  <c r="U208" i="42"/>
  <c r="U212" i="42" s="1"/>
  <c r="U210" i="42"/>
  <c r="U214" i="42" s="1"/>
  <c r="U211" i="42"/>
  <c r="U209" i="42"/>
  <c r="U213" i="42" s="1"/>
  <c r="U19" i="53"/>
  <c r="U27" i="53"/>
  <c r="U32" i="53" s="1"/>
  <c r="S293" i="38"/>
  <c r="T80" i="55" s="1"/>
  <c r="S316" i="38"/>
  <c r="U42" i="42"/>
  <c r="U32" i="42"/>
  <c r="V137" i="38"/>
  <c r="V161" i="38"/>
  <c r="V145" i="38"/>
  <c r="V153" i="38"/>
  <c r="T232" i="48"/>
  <c r="T237" i="48" s="1"/>
  <c r="T230" i="48"/>
  <c r="T235" i="48" s="1"/>
  <c r="T234" i="48"/>
  <c r="T231" i="48"/>
  <c r="T236" i="48" s="1"/>
  <c r="T233" i="48"/>
  <c r="T238" i="48" s="1"/>
  <c r="T249" i="42"/>
  <c r="T47" i="42"/>
  <c r="T291" i="42" s="1"/>
  <c r="T80" i="42"/>
  <c r="T104" i="42"/>
  <c r="T72" i="42"/>
  <c r="T96" i="42"/>
  <c r="V17" i="54"/>
  <c r="V30" i="54" s="1"/>
  <c r="V14" i="54"/>
  <c r="W5" i="54"/>
  <c r="V16" i="54"/>
  <c r="V29" i="54" s="1"/>
  <c r="V44" i="54" s="1"/>
  <c r="V150" i="54" s="1"/>
  <c r="V151" i="54" s="1"/>
  <c r="V18" i="54"/>
  <c r="V31" i="54" s="1"/>
  <c r="V15" i="54"/>
  <c r="V28" i="54" s="1"/>
  <c r="Q160" i="29"/>
  <c r="Q172" i="29" s="1"/>
  <c r="Q161" i="29"/>
  <c r="V137" i="42"/>
  <c r="V161" i="42"/>
  <c r="V153" i="42"/>
  <c r="V145" i="42"/>
  <c r="O168" i="28"/>
  <c r="O169" i="28"/>
  <c r="U233" i="46"/>
  <c r="U238" i="46" s="1"/>
  <c r="U229" i="48"/>
  <c r="U232" i="46"/>
  <c r="U237" i="46" s="1"/>
  <c r="U234" i="46"/>
  <c r="V108" i="45" s="1"/>
  <c r="BB108" i="45" s="1"/>
  <c r="U231" i="46"/>
  <c r="U236" i="46" s="1"/>
  <c r="U230" i="46"/>
  <c r="U235" i="46" s="1"/>
  <c r="U200" i="38"/>
  <c r="U204" i="38" s="1"/>
  <c r="U203" i="38"/>
  <c r="V101" i="36" s="1"/>
  <c r="BB101" i="36" s="1"/>
  <c r="U201" i="38"/>
  <c r="U205" i="38" s="1"/>
  <c r="U202" i="38"/>
  <c r="U206" i="38" s="1"/>
  <c r="O139" i="29"/>
  <c r="O141" i="29"/>
  <c r="O143" i="29"/>
  <c r="O140" i="29"/>
  <c r="O142" i="29"/>
  <c r="O144" i="29"/>
  <c r="U61" i="15"/>
  <c r="T88" i="29"/>
  <c r="K72" i="15"/>
  <c r="K34" i="58" s="1"/>
  <c r="J214" i="28"/>
  <c r="K73" i="15" s="1"/>
  <c r="R134" i="15"/>
  <c r="R140" i="15" s="1"/>
  <c r="R68" i="15"/>
  <c r="R77" i="15" s="1"/>
  <c r="R133" i="15" a="1"/>
  <c r="W5" i="28"/>
  <c r="V15" i="28"/>
  <c r="V28" i="28" s="1"/>
  <c r="V46" i="28" s="1"/>
  <c r="V18" i="28"/>
  <c r="V31" i="28" s="1"/>
  <c r="V14" i="28"/>
  <c r="V16" i="28"/>
  <c r="V29" i="28" s="1"/>
  <c r="V47" i="28" s="1"/>
  <c r="V83" i="29" s="1"/>
  <c r="V82" i="29" s="1"/>
  <c r="V17" i="28"/>
  <c r="V30" i="28" s="1"/>
  <c r="V229" i="46"/>
  <c r="V219" i="46"/>
  <c r="V209" i="46"/>
  <c r="R294" i="38"/>
  <c r="R37" i="28"/>
  <c r="R36" i="28"/>
  <c r="S76" i="42"/>
  <c r="S73" i="42"/>
  <c r="S77" i="42" s="1"/>
  <c r="S74" i="42"/>
  <c r="S78" i="42" s="1"/>
  <c r="S75" i="42"/>
  <c r="S79" i="42" s="1"/>
  <c r="J72" i="15"/>
  <c r="J34" i="58" s="1"/>
  <c r="I214" i="28"/>
  <c r="J73" i="15" s="1"/>
  <c r="U200" i="42"/>
  <c r="U204" i="42" s="1"/>
  <c r="U201" i="42"/>
  <c r="U205" i="42" s="1"/>
  <c r="U202" i="42"/>
  <c r="U206" i="42" s="1"/>
  <c r="U203" i="42"/>
  <c r="R159" i="28"/>
  <c r="R211" i="28"/>
  <c r="R210" i="28"/>
  <c r="Q236" i="19"/>
  <c r="Q235" i="19"/>
  <c r="O304" i="42"/>
  <c r="O308" i="42" s="1"/>
  <c r="O305" i="42"/>
  <c r="U167" i="48"/>
  <c r="U171" i="46"/>
  <c r="U176" i="46" s="1"/>
  <c r="U172" i="46"/>
  <c r="V77" i="45" s="1"/>
  <c r="BB77" i="45" s="1"/>
  <c r="U169" i="46"/>
  <c r="U174" i="46" s="1"/>
  <c r="U170" i="46"/>
  <c r="U175" i="46" s="1"/>
  <c r="U168" i="46"/>
  <c r="U173" i="46" s="1"/>
  <c r="V19" i="19"/>
  <c r="V27" i="19"/>
  <c r="V225" i="38"/>
  <c r="V229" i="38" s="1"/>
  <c r="V223" i="38"/>
  <c r="V227" i="38" s="1"/>
  <c r="V224" i="38"/>
  <c r="V228" i="38" s="1"/>
  <c r="P302" i="42"/>
  <c r="P303" i="42"/>
  <c r="T34" i="54"/>
  <c r="T197" i="54"/>
  <c r="T50" i="29"/>
  <c r="T145" i="29" s="1"/>
  <c r="U157" i="42"/>
  <c r="U156" i="42"/>
  <c r="U160" i="42" s="1"/>
  <c r="U154" i="42"/>
  <c r="U158" i="42" s="1"/>
  <c r="U155" i="42"/>
  <c r="U159" i="42" s="1"/>
  <c r="P173" i="29"/>
  <c r="U19" i="54"/>
  <c r="U27" i="54"/>
  <c r="U32" i="54" s="1"/>
  <c r="O158" i="29"/>
  <c r="O162" i="29" s="1"/>
  <c r="O159" i="29"/>
  <c r="Q155" i="29"/>
  <c r="Q154" i="29"/>
  <c r="V239" i="42"/>
  <c r="V243" i="42" s="1"/>
  <c r="V240" i="42"/>
  <c r="V244" i="42" s="1"/>
  <c r="V238" i="42"/>
  <c r="V242" i="42" s="1"/>
  <c r="V241" i="42"/>
  <c r="T148" i="48"/>
  <c r="T153" i="48" s="1"/>
  <c r="T151" i="48"/>
  <c r="T156" i="48" s="1"/>
  <c r="T150" i="48"/>
  <c r="T155" i="48" s="1"/>
  <c r="T149" i="48"/>
  <c r="T154" i="48" s="1"/>
  <c r="T152" i="48"/>
  <c r="O175" i="28"/>
  <c r="O174" i="28"/>
  <c r="U209" i="48"/>
  <c r="U213" i="46"/>
  <c r="U218" i="46" s="1"/>
  <c r="U212" i="46"/>
  <c r="U217" i="46" s="1"/>
  <c r="U211" i="46"/>
  <c r="U216" i="46" s="1"/>
  <c r="U214" i="46"/>
  <c r="V89" i="45" s="1"/>
  <c r="U210" i="46"/>
  <c r="U215" i="46" s="1"/>
  <c r="P137" i="29"/>
  <c r="P138" i="29" s="1"/>
  <c r="Q104" i="29"/>
  <c r="T34" i="53"/>
  <c r="T197" i="53"/>
  <c r="M172" i="28"/>
  <c r="M176" i="28" s="1"/>
  <c r="M173" i="28"/>
  <c r="U85" i="29"/>
  <c r="V55" i="16" s="1"/>
  <c r="T180" i="48"/>
  <c r="T185" i="48" s="1"/>
  <c r="T179" i="48"/>
  <c r="T184" i="48" s="1"/>
  <c r="T178" i="48"/>
  <c r="T183" i="48" s="1"/>
  <c r="T181" i="48"/>
  <c r="T186" i="48" s="1"/>
  <c r="T182" i="48"/>
  <c r="N170" i="28"/>
  <c r="N171" i="28"/>
  <c r="V147" i="46"/>
  <c r="V167" i="46"/>
  <c r="V157" i="46"/>
  <c r="V177" i="46"/>
  <c r="R298" i="38"/>
  <c r="R299" i="38"/>
  <c r="R296" i="38"/>
  <c r="R297" i="38"/>
  <c r="X5" i="20"/>
  <c r="W16" i="20"/>
  <c r="W15" i="20"/>
  <c r="W14" i="20"/>
  <c r="W17" i="20"/>
  <c r="W18" i="20"/>
  <c r="S98" i="42"/>
  <c r="S102" i="42" s="1"/>
  <c r="S100" i="42"/>
  <c r="S97" i="42"/>
  <c r="S101" i="42" s="1"/>
  <c r="S99" i="42"/>
  <c r="S103" i="42" s="1"/>
  <c r="U34" i="46"/>
  <c r="U309" i="46"/>
  <c r="U192" i="42"/>
  <c r="U196" i="42" s="1"/>
  <c r="U194" i="42"/>
  <c r="U198" i="42" s="1"/>
  <c r="U193" i="42"/>
  <c r="U197" i="42" s="1"/>
  <c r="U195" i="42"/>
  <c r="S67" i="15"/>
  <c r="S46" i="15"/>
  <c r="U42" i="38"/>
  <c r="U32" i="38"/>
  <c r="V18" i="53"/>
  <c r="V31" i="53" s="1"/>
  <c r="W5" i="53"/>
  <c r="V14" i="53"/>
  <c r="V15" i="53"/>
  <c r="V28" i="53" s="1"/>
  <c r="V16" i="53"/>
  <c r="V29" i="53" s="1"/>
  <c r="V44" i="53" s="1"/>
  <c r="V150" i="53" s="1"/>
  <c r="V151" i="53" s="1"/>
  <c r="W60" i="51" s="1"/>
  <c r="BC60" i="51" s="1"/>
  <c r="V17" i="53"/>
  <c r="V30" i="53" s="1"/>
  <c r="S246" i="38"/>
  <c r="U160" i="46"/>
  <c r="U165" i="46" s="1"/>
  <c r="U158" i="46"/>
  <c r="U163" i="46" s="1"/>
  <c r="U162" i="46"/>
  <c r="V98" i="45" s="1"/>
  <c r="BB98" i="45" s="1"/>
  <c r="U157" i="48"/>
  <c r="U159" i="46"/>
  <c r="U164" i="46" s="1"/>
  <c r="U161" i="46"/>
  <c r="U166" i="46" s="1"/>
  <c r="V207" i="38"/>
  <c r="V191" i="38"/>
  <c r="V199" i="38"/>
  <c r="T34" i="29"/>
  <c r="T135" i="29"/>
  <c r="U146" i="42"/>
  <c r="U150" i="42" s="1"/>
  <c r="U149" i="42"/>
  <c r="U147" i="42"/>
  <c r="U151" i="42" s="1"/>
  <c r="U148" i="42"/>
  <c r="U152" i="42" s="1"/>
  <c r="Q141" i="15"/>
  <c r="Q142" i="15" s="1"/>
  <c r="V19" i="42"/>
  <c r="V247" i="42" s="1"/>
  <c r="V27" i="42"/>
  <c r="S149" i="29"/>
  <c r="S146" i="29"/>
  <c r="U223" i="46"/>
  <c r="U228" i="46" s="1"/>
  <c r="U219" i="48"/>
  <c r="U224" i="46"/>
  <c r="V99" i="45" s="1"/>
  <c r="BB99" i="45" s="1"/>
  <c r="U221" i="46"/>
  <c r="U226" i="46" s="1"/>
  <c r="U222" i="46"/>
  <c r="U227" i="46" s="1"/>
  <c r="U220" i="46"/>
  <c r="U225" i="46" s="1"/>
  <c r="U32" i="19"/>
  <c r="U45" i="19"/>
  <c r="U50" i="19" s="1"/>
  <c r="P179" i="28"/>
  <c r="Q62" i="55" s="1"/>
  <c r="P180" i="28"/>
  <c r="Q63" i="55" s="1"/>
  <c r="P178" i="28"/>
  <c r="P182" i="28"/>
  <c r="Q65" i="55" s="1"/>
  <c r="P181" i="28"/>
  <c r="Q64" i="55" s="1"/>
  <c r="P177" i="28"/>
  <c r="U309" i="48"/>
  <c r="U34" i="48"/>
  <c r="V247" i="46"/>
  <c r="V252" i="46" s="1"/>
  <c r="V249" i="46"/>
  <c r="V254" i="46" s="1"/>
  <c r="V248" i="46"/>
  <c r="V253" i="46" s="1"/>
  <c r="V251" i="46"/>
  <c r="W96" i="45" s="1"/>
  <c r="V246" i="48"/>
  <c r="V250" i="46"/>
  <c r="V255" i="46" s="1"/>
  <c r="S293" i="42"/>
  <c r="S294" i="42" s="1"/>
  <c r="S316" i="42"/>
  <c r="S317" i="42" s="1"/>
  <c r="T221" i="48"/>
  <c r="T226" i="48" s="1"/>
  <c r="T220" i="48"/>
  <c r="T225" i="48" s="1"/>
  <c r="T222" i="48"/>
  <c r="T227" i="48" s="1"/>
  <c r="T223" i="48"/>
  <c r="T228" i="48" s="1"/>
  <c r="T224" i="48"/>
  <c r="S67" i="16"/>
  <c r="S46" i="16"/>
  <c r="T212" i="48"/>
  <c r="T217" i="48" s="1"/>
  <c r="T213" i="48"/>
  <c r="T218" i="48" s="1"/>
  <c r="T210" i="48"/>
  <c r="T215" i="48" s="1"/>
  <c r="T211" i="48"/>
  <c r="T216" i="48" s="1"/>
  <c r="T214" i="48"/>
  <c r="U179" i="46"/>
  <c r="U184" i="46" s="1"/>
  <c r="U182" i="46"/>
  <c r="V107" i="45" s="1"/>
  <c r="BB107" i="45" s="1"/>
  <c r="U180" i="46"/>
  <c r="U185" i="46" s="1"/>
  <c r="U178" i="46"/>
  <c r="U183" i="46" s="1"/>
  <c r="U181" i="46"/>
  <c r="U186" i="46" s="1"/>
  <c r="U177" i="48"/>
  <c r="V239" i="38"/>
  <c r="V243" i="38" s="1"/>
  <c r="V240" i="38"/>
  <c r="V244" i="38" s="1"/>
  <c r="V238" i="38"/>
  <c r="V242" i="38" s="1"/>
  <c r="O321" i="42"/>
  <c r="O322" i="42" s="1"/>
  <c r="O324" i="42" s="1"/>
  <c r="U251" i="48"/>
  <c r="U247" i="48"/>
  <c r="U252" i="48" s="1"/>
  <c r="U249" i="48"/>
  <c r="U254" i="48" s="1"/>
  <c r="U250" i="48"/>
  <c r="U255" i="48" s="1"/>
  <c r="U248" i="48"/>
  <c r="U253" i="48" s="1"/>
  <c r="U164" i="42"/>
  <c r="U168" i="42" s="1"/>
  <c r="U165" i="42"/>
  <c r="U163" i="42"/>
  <c r="U167" i="42" s="1"/>
  <c r="U162" i="42"/>
  <c r="U166" i="42" s="1"/>
  <c r="P318" i="42"/>
  <c r="P319" i="42" s="1"/>
  <c r="P320" i="42"/>
  <c r="P323" i="42" s="1"/>
  <c r="V49" i="29"/>
  <c r="V226" i="42"/>
  <c r="V224" i="42"/>
  <c r="V228" i="42" s="1"/>
  <c r="V225" i="42"/>
  <c r="V229" i="42" s="1"/>
  <c r="V223" i="42"/>
  <c r="V227" i="42" s="1"/>
  <c r="M196" i="28"/>
  <c r="D246" i="19"/>
  <c r="AK41" i="55" s="1"/>
  <c r="D243" i="19"/>
  <c r="D242" i="19"/>
  <c r="D244" i="19"/>
  <c r="AK39" i="55" s="1"/>
  <c r="D245" i="19"/>
  <c r="AK40" i="55" s="1"/>
  <c r="F259" i="20"/>
  <c r="F264" i="20" s="1"/>
  <c r="BS41" i="55" s="1"/>
  <c r="BS34" i="55"/>
  <c r="D218" i="19"/>
  <c r="D223" i="19"/>
  <c r="D221" i="19"/>
  <c r="D219" i="19"/>
  <c r="D222" i="19"/>
  <c r="F183" i="19"/>
  <c r="E216" i="19"/>
  <c r="E233" i="14"/>
  <c r="E234" i="14" s="1"/>
  <c r="H73" i="19"/>
  <c r="I114" i="14" s="1"/>
  <c r="I114" i="12"/>
  <c r="H110" i="14"/>
  <c r="H108" i="14" s="1"/>
  <c r="H109" i="12"/>
  <c r="H105" i="14"/>
  <c r="H228" i="14" s="1"/>
  <c r="G75" i="19"/>
  <c r="G97" i="14"/>
  <c r="H99" i="12"/>
  <c r="H91" i="19"/>
  <c r="I136" i="14" s="1"/>
  <c r="I136" i="12"/>
  <c r="I105" i="12"/>
  <c r="I228" i="12" s="1"/>
  <c r="H109" i="14"/>
  <c r="H126" i="19"/>
  <c r="H123" i="19"/>
  <c r="I106" i="19"/>
  <c r="J103" i="14" s="1"/>
  <c r="J103" i="12"/>
  <c r="H113" i="19"/>
  <c r="H114" i="19"/>
  <c r="H111" i="19"/>
  <c r="I124" i="19"/>
  <c r="J138" i="14" s="1"/>
  <c r="J138" i="12"/>
  <c r="I95" i="14"/>
  <c r="J174" i="19"/>
  <c r="D160" i="14"/>
  <c r="D155" i="12"/>
  <c r="D158" i="14"/>
  <c r="I98" i="19"/>
  <c r="J176" i="19"/>
  <c r="G94" i="19"/>
  <c r="G92" i="19"/>
  <c r="G88" i="19"/>
  <c r="G87" i="19"/>
  <c r="J166" i="19"/>
  <c r="J163" i="19"/>
  <c r="J164" i="19"/>
  <c r="J165" i="19"/>
  <c r="G86" i="19"/>
  <c r="G89" i="19"/>
  <c r="G74" i="19"/>
  <c r="G76" i="19"/>
  <c r="H119" i="19"/>
  <c r="H108" i="19"/>
  <c r="H110" i="12"/>
  <c r="H108" i="12" s="1"/>
  <c r="G93" i="19"/>
  <c r="G90" i="19"/>
  <c r="H120" i="19"/>
  <c r="G83" i="19"/>
  <c r="H111" i="14" s="1"/>
  <c r="H107" i="14" s="1"/>
  <c r="H111" i="12"/>
  <c r="H107" i="12" s="1"/>
  <c r="H109" i="19"/>
  <c r="I118" i="19"/>
  <c r="J94" i="14" s="1"/>
  <c r="G77" i="19"/>
  <c r="H79" i="19"/>
  <c r="I104" i="14" s="1"/>
  <c r="I105" i="14" s="1"/>
  <c r="I228" i="14" s="1"/>
  <c r="G80" i="19"/>
  <c r="H106" i="14" s="1"/>
  <c r="H129" i="19"/>
  <c r="G68" i="19"/>
  <c r="H96" i="14" s="1"/>
  <c r="G70" i="19"/>
  <c r="H100" i="14" s="1"/>
  <c r="H98" i="14" s="1"/>
  <c r="G71" i="19"/>
  <c r="H101" i="14" s="1"/>
  <c r="G69" i="19"/>
  <c r="H99" i="14" s="1"/>
  <c r="C269" i="19"/>
  <c r="D262" i="19"/>
  <c r="D271" i="19" s="1"/>
  <c r="E156" i="14" s="1"/>
  <c r="E162" i="14" s="1"/>
  <c r="E160" i="14" s="1"/>
  <c r="E293" i="20"/>
  <c r="D298" i="20"/>
  <c r="D296" i="20"/>
  <c r="D297" i="20" s="1"/>
  <c r="D299" i="20" s="1"/>
  <c r="H180" i="19"/>
  <c r="K172" i="19"/>
  <c r="L135" i="14" s="1"/>
  <c r="I131" i="19"/>
  <c r="K215" i="20"/>
  <c r="K173" i="19" s="1"/>
  <c r="K217" i="20"/>
  <c r="K175" i="19" s="1"/>
  <c r="K216" i="20"/>
  <c r="K218" i="20"/>
  <c r="K219" i="20"/>
  <c r="K177" i="19" s="1"/>
  <c r="K203" i="20"/>
  <c r="K202" i="20"/>
  <c r="K204" i="20"/>
  <c r="K206" i="20"/>
  <c r="K167" i="19" s="1"/>
  <c r="K205" i="20"/>
  <c r="J148" i="20"/>
  <c r="J142" i="20"/>
  <c r="J136" i="20"/>
  <c r="J112" i="19" s="1"/>
  <c r="K126" i="14" s="1"/>
  <c r="J130" i="20"/>
  <c r="I137" i="20"/>
  <c r="I141" i="20"/>
  <c r="I117" i="19" s="1"/>
  <c r="I138" i="20"/>
  <c r="I139" i="20"/>
  <c r="I115" i="19" s="1"/>
  <c r="I140" i="20"/>
  <c r="I116" i="19" s="1"/>
  <c r="I131" i="20"/>
  <c r="I107" i="19" s="1"/>
  <c r="I133" i="20"/>
  <c r="I132" i="20"/>
  <c r="I134" i="20"/>
  <c r="I110" i="19" s="1"/>
  <c r="I135" i="20"/>
  <c r="I144" i="20"/>
  <c r="I145" i="20"/>
  <c r="I121" i="19" s="1"/>
  <c r="I143" i="20"/>
  <c r="I146" i="20"/>
  <c r="I122" i="19" s="1"/>
  <c r="I147" i="20"/>
  <c r="I151" i="20"/>
  <c r="I127" i="19" s="1"/>
  <c r="I152" i="20"/>
  <c r="I128" i="19" s="1"/>
  <c r="I149" i="20"/>
  <c r="I125" i="19" s="1"/>
  <c r="I150" i="20"/>
  <c r="I153" i="20"/>
  <c r="I75" i="20"/>
  <c r="I67" i="19" s="1"/>
  <c r="J93" i="14" s="1"/>
  <c r="I99" i="20"/>
  <c r="I81" i="20"/>
  <c r="I93" i="20"/>
  <c r="I85" i="19" s="1"/>
  <c r="J124" i="14" s="1"/>
  <c r="I87" i="20"/>
  <c r="J104" i="12" s="1"/>
  <c r="H94" i="20"/>
  <c r="H95" i="20"/>
  <c r="H97" i="20"/>
  <c r="H98" i="20"/>
  <c r="H96" i="20"/>
  <c r="H90" i="20"/>
  <c r="H82" i="19" s="1"/>
  <c r="H91" i="20"/>
  <c r="H88" i="20"/>
  <c r="I106" i="12" s="1"/>
  <c r="H89" i="20"/>
  <c r="H81" i="19" s="1"/>
  <c r="H92" i="20"/>
  <c r="H84" i="19" s="1"/>
  <c r="H84" i="20"/>
  <c r="H85" i="20"/>
  <c r="H83" i="20"/>
  <c r="H86" i="20"/>
  <c r="H78" i="19" s="1"/>
  <c r="H82" i="20"/>
  <c r="H103" i="20"/>
  <c r="H95" i="19" s="1"/>
  <c r="H102" i="20"/>
  <c r="H100" i="20"/>
  <c r="H101" i="20"/>
  <c r="H104" i="20"/>
  <c r="H96" i="19" s="1"/>
  <c r="H78" i="20"/>
  <c r="I100" i="12" s="1"/>
  <c r="I98" i="12" s="1"/>
  <c r="H77" i="20"/>
  <c r="H79" i="20"/>
  <c r="I101" i="12" s="1"/>
  <c r="I97" i="12" s="1"/>
  <c r="H80" i="20"/>
  <c r="H72" i="19" s="1"/>
  <c r="H76" i="20"/>
  <c r="I96" i="12" s="1"/>
  <c r="L29" i="20"/>
  <c r="L47" i="20" s="1"/>
  <c r="L201" i="20" s="1"/>
  <c r="L162" i="19" s="1"/>
  <c r="M123" i="14" s="1"/>
  <c r="J32" i="20"/>
  <c r="BW4" i="55" s="1"/>
  <c r="DC4" i="55" s="1"/>
  <c r="J45" i="20"/>
  <c r="E278" i="20"/>
  <c r="E277" i="20"/>
  <c r="L31" i="20"/>
  <c r="L49" i="20" s="1"/>
  <c r="L214" i="20" s="1"/>
  <c r="M135" i="12" s="1"/>
  <c r="D279" i="20"/>
  <c r="D283" i="20" s="1"/>
  <c r="D280" i="20"/>
  <c r="H179" i="19"/>
  <c r="J103" i="19"/>
  <c r="J100" i="19"/>
  <c r="J99" i="19"/>
  <c r="K126" i="12"/>
  <c r="J102" i="19"/>
  <c r="J104" i="19"/>
  <c r="J101" i="19"/>
  <c r="J169" i="19"/>
  <c r="G273" i="20"/>
  <c r="G274" i="20"/>
  <c r="G271" i="20"/>
  <c r="G272" i="20"/>
  <c r="H226" i="14"/>
  <c r="I62" i="19"/>
  <c r="I55" i="19"/>
  <c r="I52" i="19" s="1"/>
  <c r="J93" i="12"/>
  <c r="I50" i="20"/>
  <c r="I63" i="19"/>
  <c r="I54" i="19"/>
  <c r="I58" i="19"/>
  <c r="I57" i="19"/>
  <c r="I65" i="19"/>
  <c r="J124" i="12"/>
  <c r="I56" i="19"/>
  <c r="I60" i="19"/>
  <c r="I53" i="19"/>
  <c r="I64" i="19"/>
  <c r="I61" i="19"/>
  <c r="H226" i="12"/>
  <c r="K27" i="20"/>
  <c r="K222" i="20"/>
  <c r="C313" i="20"/>
  <c r="D35" i="55" s="1"/>
  <c r="K170" i="19"/>
  <c r="H225" i="20"/>
  <c r="G258" i="20"/>
  <c r="K28" i="20"/>
  <c r="K46" i="20" s="1"/>
  <c r="L94" i="12" s="1"/>
  <c r="K160" i="19"/>
  <c r="K158" i="19"/>
  <c r="L123" i="12"/>
  <c r="F276" i="20"/>
  <c r="F275" i="20"/>
  <c r="H318" i="20"/>
  <c r="H266" i="20"/>
  <c r="H317" i="20"/>
  <c r="H267" i="20"/>
  <c r="H270" i="20"/>
  <c r="I95" i="12"/>
  <c r="J134" i="19"/>
  <c r="J133" i="19"/>
  <c r="J136" i="19"/>
  <c r="K125" i="12"/>
  <c r="J135" i="19"/>
  <c r="J132" i="19"/>
  <c r="H37" i="20"/>
  <c r="H36" i="20"/>
  <c r="J157" i="19"/>
  <c r="F281" i="20"/>
  <c r="F282" i="20"/>
  <c r="K30" i="20"/>
  <c r="K48" i="20" s="1"/>
  <c r="I256" i="20"/>
  <c r="I34" i="20"/>
  <c r="S117" i="28" l="1"/>
  <c r="S92" i="29"/>
  <c r="T65" i="16"/>
  <c r="T139" i="16" s="1"/>
  <c r="R312" i="42"/>
  <c r="AY86" i="55" s="1"/>
  <c r="R311" i="42"/>
  <c r="AY85" i="55" s="1"/>
  <c r="R314" i="42"/>
  <c r="AY88" i="55" s="1"/>
  <c r="R313" i="42"/>
  <c r="AY87" i="55" s="1"/>
  <c r="R310" i="42"/>
  <c r="R309" i="42"/>
  <c r="DF81" i="55"/>
  <c r="M340" i="42"/>
  <c r="AT84" i="55"/>
  <c r="M345" i="42"/>
  <c r="P178" i="29"/>
  <c r="P177" i="29"/>
  <c r="Q173" i="29"/>
  <c r="M72" i="16"/>
  <c r="AS34" i="58" s="1"/>
  <c r="L200" i="29"/>
  <c r="M73" i="16" s="1"/>
  <c r="N189" i="28"/>
  <c r="N190" i="28" s="1"/>
  <c r="N199" i="29"/>
  <c r="U88" i="29"/>
  <c r="F263" i="20"/>
  <c r="BS40" i="55" s="1"/>
  <c r="F260" i="20"/>
  <c r="F262" i="20"/>
  <c r="BS39" i="55" s="1"/>
  <c r="R141" i="15"/>
  <c r="R142" i="15" s="1"/>
  <c r="R141" i="16"/>
  <c r="R142" i="16" s="1"/>
  <c r="T246" i="42"/>
  <c r="S314" i="42"/>
  <c r="AZ88" i="55" s="1"/>
  <c r="S310" i="42"/>
  <c r="S311" i="42"/>
  <c r="AZ85" i="55" s="1"/>
  <c r="S312" i="42"/>
  <c r="AZ86" i="55" s="1"/>
  <c r="S309" i="42"/>
  <c r="S313" i="42"/>
  <c r="AZ87" i="55" s="1"/>
  <c r="V251" i="48"/>
  <c r="V250" i="48"/>
  <c r="V255" i="48" s="1"/>
  <c r="V247" i="48"/>
  <c r="V252" i="48" s="1"/>
  <c r="V249" i="48"/>
  <c r="V254" i="48" s="1"/>
  <c r="V248" i="48"/>
  <c r="V253" i="48" s="1"/>
  <c r="V211" i="38"/>
  <c r="V210" i="38"/>
  <c r="V214" i="38" s="1"/>
  <c r="V209" i="38"/>
  <c r="V213" i="38" s="1"/>
  <c r="V208" i="38"/>
  <c r="V212" i="38" s="1"/>
  <c r="S133" i="15" a="1"/>
  <c r="S134" i="15"/>
  <c r="S140" i="15" s="1"/>
  <c r="S68" i="15"/>
  <c r="S77" i="15" s="1"/>
  <c r="V167" i="48"/>
  <c r="V171" i="46"/>
  <c r="V176" i="46" s="1"/>
  <c r="V170" i="46"/>
  <c r="V175" i="46" s="1"/>
  <c r="V169" i="46"/>
  <c r="V174" i="46" s="1"/>
  <c r="V168" i="46"/>
  <c r="V173" i="46" s="1"/>
  <c r="V172" i="46"/>
  <c r="W77" i="45" s="1"/>
  <c r="BC77" i="45" s="1"/>
  <c r="U211" i="48"/>
  <c r="U216" i="48" s="1"/>
  <c r="U213" i="48"/>
  <c r="U218" i="48" s="1"/>
  <c r="U214" i="48"/>
  <c r="U212" i="48"/>
  <c r="U217" i="48" s="1"/>
  <c r="U210" i="48"/>
  <c r="U215" i="48" s="1"/>
  <c r="U34" i="54"/>
  <c r="U197" i="54"/>
  <c r="T149" i="29"/>
  <c r="T146" i="29"/>
  <c r="V32" i="19"/>
  <c r="V45" i="19"/>
  <c r="V50" i="19" s="1"/>
  <c r="V210" i="46"/>
  <c r="V215" i="46" s="1"/>
  <c r="V209" i="48"/>
  <c r="V214" i="46"/>
  <c r="W89" i="45" s="1"/>
  <c r="V212" i="46"/>
  <c r="V217" i="46" s="1"/>
  <c r="V213" i="46"/>
  <c r="V218" i="46" s="1"/>
  <c r="V211" i="46"/>
  <c r="V216" i="46" s="1"/>
  <c r="W45" i="15"/>
  <c r="W58" i="15"/>
  <c r="W64" i="15"/>
  <c r="W48" i="15"/>
  <c r="W49" i="15" s="1"/>
  <c r="W136" i="15" s="1"/>
  <c r="V71" i="29"/>
  <c r="V75" i="29"/>
  <c r="V74" i="29"/>
  <c r="W48" i="16" s="1"/>
  <c r="W49" i="16" s="1"/>
  <c r="W136" i="16" s="1"/>
  <c r="V66" i="29"/>
  <c r="V65" i="29" s="1"/>
  <c r="V73" i="29"/>
  <c r="V78" i="29"/>
  <c r="W64" i="16" s="1"/>
  <c r="V76" i="29"/>
  <c r="W58" i="16" s="1"/>
  <c r="V70" i="29"/>
  <c r="V69" i="29"/>
  <c r="V67" i="29"/>
  <c r="V77" i="29"/>
  <c r="W45" i="16" s="1"/>
  <c r="U61" i="16"/>
  <c r="T87" i="29"/>
  <c r="V141" i="42"/>
  <c r="V138" i="42"/>
  <c r="V142" i="42" s="1"/>
  <c r="V140" i="42"/>
  <c r="V144" i="42" s="1"/>
  <c r="V139" i="42"/>
  <c r="V143" i="42" s="1"/>
  <c r="V162" i="38"/>
  <c r="V166" i="38" s="1"/>
  <c r="V164" i="38"/>
  <c r="V168" i="38" s="1"/>
  <c r="V165" i="38"/>
  <c r="W109" i="36" s="1"/>
  <c r="BC109" i="36" s="1"/>
  <c r="V163" i="38"/>
  <c r="V167" i="38" s="1"/>
  <c r="U135" i="29"/>
  <c r="U34" i="29"/>
  <c r="U32" i="28"/>
  <c r="U45" i="28"/>
  <c r="T216" i="28"/>
  <c r="T59" i="29"/>
  <c r="U44" i="16" s="1"/>
  <c r="U44" i="15"/>
  <c r="T50" i="28"/>
  <c r="T117" i="28" s="1"/>
  <c r="T54" i="29"/>
  <c r="U56" i="15"/>
  <c r="T56" i="29"/>
  <c r="T53" i="29"/>
  <c r="T63" i="29"/>
  <c r="U56" i="16" s="1"/>
  <c r="T60" i="29"/>
  <c r="T57" i="29"/>
  <c r="T62" i="29"/>
  <c r="U62" i="16" s="1"/>
  <c r="T55" i="29"/>
  <c r="T52" i="29" s="1"/>
  <c r="T61" i="29"/>
  <c r="U62" i="15"/>
  <c r="W239" i="38"/>
  <c r="W243" i="38" s="1"/>
  <c r="W240" i="38"/>
  <c r="W244" i="38" s="1"/>
  <c r="W238" i="38"/>
  <c r="W242" i="38" s="1"/>
  <c r="W223" i="42"/>
  <c r="W227" i="42" s="1"/>
  <c r="W224" i="42"/>
  <c r="W228" i="42" s="1"/>
  <c r="W225" i="42"/>
  <c r="W229" i="42" s="1"/>
  <c r="W226" i="42"/>
  <c r="S297" i="38"/>
  <c r="S299" i="38"/>
  <c r="S298" i="38"/>
  <c r="S296" i="38"/>
  <c r="R161" i="29"/>
  <c r="R160" i="29"/>
  <c r="R172" i="29" s="1"/>
  <c r="W19" i="48"/>
  <c r="W275" i="48" s="1"/>
  <c r="W27" i="48"/>
  <c r="W32" i="48" s="1"/>
  <c r="P175" i="28"/>
  <c r="P174" i="28"/>
  <c r="U276" i="19"/>
  <c r="U275" i="19"/>
  <c r="U225" i="19"/>
  <c r="U228" i="19"/>
  <c r="U224" i="19"/>
  <c r="X14" i="20"/>
  <c r="X17" i="20"/>
  <c r="X18" i="20"/>
  <c r="Y5" i="20"/>
  <c r="X16" i="20"/>
  <c r="X15" i="20"/>
  <c r="V151" i="46"/>
  <c r="V156" i="46" s="1"/>
  <c r="V149" i="46"/>
  <c r="V154" i="46" s="1"/>
  <c r="V152" i="46"/>
  <c r="W83" i="45" s="1"/>
  <c r="V147" i="48"/>
  <c r="V150" i="46"/>
  <c r="V155" i="46" s="1"/>
  <c r="V148" i="46"/>
  <c r="V153" i="46" s="1"/>
  <c r="R104" i="29"/>
  <c r="Q137" i="29"/>
  <c r="Q138" i="29" s="1"/>
  <c r="O186" i="28"/>
  <c r="O187" i="28" s="1"/>
  <c r="O188" i="28"/>
  <c r="O191" i="28" s="1"/>
  <c r="V222" i="46"/>
  <c r="V227" i="46" s="1"/>
  <c r="V224" i="46"/>
  <c r="W99" i="45" s="1"/>
  <c r="BC99" i="45" s="1"/>
  <c r="V220" i="46"/>
  <c r="V225" i="46" s="1"/>
  <c r="V223" i="46"/>
  <c r="V228" i="46" s="1"/>
  <c r="V221" i="46"/>
  <c r="V226" i="46" s="1"/>
  <c r="V219" i="48"/>
  <c r="W15" i="28"/>
  <c r="W28" i="28" s="1"/>
  <c r="W46" i="28" s="1"/>
  <c r="W66" i="29" s="1"/>
  <c r="W65" i="29" s="1"/>
  <c r="W17" i="28"/>
  <c r="W30" i="28" s="1"/>
  <c r="W16" i="28"/>
  <c r="W29" i="28" s="1"/>
  <c r="W47" i="28" s="1"/>
  <c r="X5" i="28"/>
  <c r="W18" i="28"/>
  <c r="W31" i="28" s="1"/>
  <c r="W14" i="28"/>
  <c r="U232" i="48"/>
  <c r="U237" i="48" s="1"/>
  <c r="U230" i="48"/>
  <c r="U235" i="48" s="1"/>
  <c r="U234" i="48"/>
  <c r="U233" i="48"/>
  <c r="U238" i="48" s="1"/>
  <c r="U231" i="48"/>
  <c r="U236" i="48" s="1"/>
  <c r="V138" i="38"/>
  <c r="V140" i="38"/>
  <c r="V139" i="38"/>
  <c r="T34" i="28"/>
  <c r="T149" i="28"/>
  <c r="W19" i="38"/>
  <c r="W247" i="38" s="1"/>
  <c r="W27" i="38"/>
  <c r="S233" i="19"/>
  <c r="S234" i="19"/>
  <c r="W248" i="46"/>
  <c r="W253" i="46" s="1"/>
  <c r="W247" i="46"/>
  <c r="W252" i="46" s="1"/>
  <c r="W251" i="46"/>
  <c r="X96" i="45" s="1"/>
  <c r="W246" i="48"/>
  <c r="W249" i="46"/>
  <c r="W254" i="46" s="1"/>
  <c r="W250" i="46"/>
  <c r="W255" i="46" s="1"/>
  <c r="T230" i="19"/>
  <c r="T232" i="19"/>
  <c r="T231" i="19"/>
  <c r="T229" i="19"/>
  <c r="DG81" i="55"/>
  <c r="AU81" i="55"/>
  <c r="N340" i="42"/>
  <c r="AU84" i="55"/>
  <c r="N345" i="42"/>
  <c r="W137" i="42"/>
  <c r="W161" i="42"/>
  <c r="W145" i="42"/>
  <c r="W153" i="42"/>
  <c r="AS126" i="36"/>
  <c r="AS39" i="58" s="1"/>
  <c r="L346" i="42"/>
  <c r="AS127" i="36" s="1"/>
  <c r="CD57" i="55"/>
  <c r="Q152" i="28"/>
  <c r="P158" i="29"/>
  <c r="P162" i="29" s="1"/>
  <c r="P159" i="29"/>
  <c r="W19" i="19"/>
  <c r="W27" i="19"/>
  <c r="U148" i="48"/>
  <c r="U153" i="48" s="1"/>
  <c r="U150" i="48"/>
  <c r="U155" i="48" s="1"/>
  <c r="U149" i="48"/>
  <c r="U154" i="48" s="1"/>
  <c r="U152" i="48"/>
  <c r="U151" i="48"/>
  <c r="U156" i="48" s="1"/>
  <c r="T66" i="15"/>
  <c r="T59" i="15"/>
  <c r="T135" i="15" s="1"/>
  <c r="T66" i="16"/>
  <c r="T59" i="16"/>
  <c r="T135" i="16" s="1"/>
  <c r="U34" i="19"/>
  <c r="U214" i="19"/>
  <c r="P140" i="29"/>
  <c r="P142" i="29"/>
  <c r="P144" i="29"/>
  <c r="P139" i="29"/>
  <c r="P141" i="29"/>
  <c r="P143" i="29"/>
  <c r="Q238" i="19"/>
  <c r="Q237" i="19"/>
  <c r="Q241" i="19" s="1"/>
  <c r="V229" i="48"/>
  <c r="V232" i="46"/>
  <c r="V237" i="46" s="1"/>
  <c r="V230" i="46"/>
  <c r="V235" i="46" s="1"/>
  <c r="V233" i="46"/>
  <c r="V238" i="46" s="1"/>
  <c r="V231" i="46"/>
  <c r="V236" i="46" s="1"/>
  <c r="V234" i="46"/>
  <c r="W108" i="45" s="1"/>
  <c r="BC108" i="45" s="1"/>
  <c r="T99" i="42"/>
  <c r="T103" i="42" s="1"/>
  <c r="T98" i="42"/>
  <c r="T102" i="42" s="1"/>
  <c r="T100" i="42"/>
  <c r="T97" i="42"/>
  <c r="T101" i="42" s="1"/>
  <c r="U281" i="42"/>
  <c r="U34" i="42"/>
  <c r="T37" i="19"/>
  <c r="T36" i="19"/>
  <c r="V201" i="42"/>
  <c r="V205" i="42" s="1"/>
  <c r="V203" i="42"/>
  <c r="V200" i="42"/>
  <c r="V204" i="42" s="1"/>
  <c r="V202" i="42"/>
  <c r="V206" i="42" s="1"/>
  <c r="W225" i="38"/>
  <c r="W229" i="38" s="1"/>
  <c r="W223" i="38"/>
  <c r="W227" i="38" s="1"/>
  <c r="W224" i="38"/>
  <c r="W228" i="38" s="1"/>
  <c r="S239" i="19"/>
  <c r="S251" i="19" s="1"/>
  <c r="S240" i="19"/>
  <c r="Y5" i="42"/>
  <c r="X17" i="42"/>
  <c r="X30" i="42" s="1"/>
  <c r="X45" i="42" s="1"/>
  <c r="X15" i="42"/>
  <c r="X28" i="42" s="1"/>
  <c r="X43" i="42" s="1"/>
  <c r="X18" i="42"/>
  <c r="X31" i="42" s="1"/>
  <c r="X46" i="42" s="1"/>
  <c r="X237" i="42" s="1"/>
  <c r="X16" i="42"/>
  <c r="X29" i="42" s="1"/>
  <c r="X44" i="42" s="1"/>
  <c r="X222" i="42" s="1"/>
  <c r="X14" i="42"/>
  <c r="S196" i="29"/>
  <c r="S197" i="29"/>
  <c r="O338" i="42"/>
  <c r="O345" i="42" s="1"/>
  <c r="AV126" i="36" s="1"/>
  <c r="AV39" i="58" s="1"/>
  <c r="V68" i="29"/>
  <c r="S217" i="28"/>
  <c r="R151" i="28"/>
  <c r="R154" i="29"/>
  <c r="R155" i="29"/>
  <c r="Q302" i="42"/>
  <c r="Q303" i="42"/>
  <c r="S103" i="29"/>
  <c r="S91" i="29"/>
  <c r="U180" i="48"/>
  <c r="U185" i="48" s="1"/>
  <c r="U179" i="48"/>
  <c r="U184" i="48" s="1"/>
  <c r="U182" i="48"/>
  <c r="U178" i="48"/>
  <c r="U183" i="48" s="1"/>
  <c r="U181" i="48"/>
  <c r="U186" i="48" s="1"/>
  <c r="S150" i="29"/>
  <c r="S153" i="29"/>
  <c r="S151" i="29"/>
  <c r="S152" i="29"/>
  <c r="U162" i="48"/>
  <c r="U161" i="48"/>
  <c r="U166" i="48" s="1"/>
  <c r="U158" i="48"/>
  <c r="U163" i="48" s="1"/>
  <c r="U160" i="48"/>
  <c r="U165" i="48" s="1"/>
  <c r="U159" i="48"/>
  <c r="U164" i="48" s="1"/>
  <c r="V19" i="53"/>
  <c r="V27" i="53"/>
  <c r="V32" i="53" s="1"/>
  <c r="O171" i="28"/>
  <c r="O170" i="28"/>
  <c r="T73" i="42"/>
  <c r="T77" i="42" s="1"/>
  <c r="T75" i="42"/>
  <c r="T79" i="42" s="1"/>
  <c r="T76" i="42"/>
  <c r="T74" i="42"/>
  <c r="T78" i="42" s="1"/>
  <c r="U47" i="42"/>
  <c r="U291" i="42" s="1"/>
  <c r="U96" i="42"/>
  <c r="U104" i="42"/>
  <c r="U80" i="42"/>
  <c r="U72" i="42"/>
  <c r="U249" i="42"/>
  <c r="V193" i="42"/>
  <c r="V197" i="42" s="1"/>
  <c r="V192" i="42"/>
  <c r="V196" i="42" s="1"/>
  <c r="V194" i="42"/>
  <c r="V198" i="42" s="1"/>
  <c r="V195" i="42"/>
  <c r="W137" i="38"/>
  <c r="W145" i="38"/>
  <c r="W161" i="38"/>
  <c r="W153" i="38"/>
  <c r="W219" i="46"/>
  <c r="W209" i="46"/>
  <c r="W229" i="46"/>
  <c r="DF58" i="55"/>
  <c r="N69" i="16"/>
  <c r="N71" i="16" s="1"/>
  <c r="AT33" i="58" s="1"/>
  <c r="AT58" i="55"/>
  <c r="M199" i="29"/>
  <c r="AT61" i="55"/>
  <c r="Y5" i="29"/>
  <c r="X17" i="29"/>
  <c r="X30" i="29" s="1"/>
  <c r="X18" i="29"/>
  <c r="X31" i="29" s="1"/>
  <c r="X15" i="29"/>
  <c r="X28" i="29" s="1"/>
  <c r="X46" i="29" s="1"/>
  <c r="X14" i="29"/>
  <c r="X16" i="29"/>
  <c r="X29" i="29" s="1"/>
  <c r="X47" i="29" s="1"/>
  <c r="AU58" i="55"/>
  <c r="O70" i="16"/>
  <c r="O71" i="16" s="1"/>
  <c r="AU33" i="58" s="1"/>
  <c r="Q318" i="42"/>
  <c r="Q319" i="42" s="1"/>
  <c r="Q320" i="42"/>
  <c r="Q323" i="42" s="1"/>
  <c r="Q303" i="38"/>
  <c r="Q302" i="38"/>
  <c r="Y5" i="19"/>
  <c r="X18" i="19"/>
  <c r="X31" i="19" s="1"/>
  <c r="X49" i="19" s="1"/>
  <c r="X15" i="19"/>
  <c r="X28" i="19" s="1"/>
  <c r="X46" i="19" s="1"/>
  <c r="X14" i="19"/>
  <c r="X16" i="19"/>
  <c r="X29" i="19" s="1"/>
  <c r="X47" i="19" s="1"/>
  <c r="X17" i="19"/>
  <c r="X30" i="19" s="1"/>
  <c r="X48" i="19" s="1"/>
  <c r="S184" i="28"/>
  <c r="S185" i="28" s="1"/>
  <c r="S161" i="28"/>
  <c r="P304" i="38"/>
  <c r="P308" i="38" s="1"/>
  <c r="P305" i="38"/>
  <c r="DJ57" i="55"/>
  <c r="AX57" i="55"/>
  <c r="Q148" i="29"/>
  <c r="R306" i="42"/>
  <c r="R307" i="42"/>
  <c r="P328" i="42"/>
  <c r="P329" i="42" s="1"/>
  <c r="P336" i="42" s="1"/>
  <c r="V42" i="42"/>
  <c r="V32" i="42"/>
  <c r="T36" i="29"/>
  <c r="T37" i="29"/>
  <c r="W17" i="53"/>
  <c r="W30" i="53" s="1"/>
  <c r="W14" i="53"/>
  <c r="X5" i="53"/>
  <c r="W16" i="53"/>
  <c r="W29" i="53" s="1"/>
  <c r="W44" i="53" s="1"/>
  <c r="W150" i="53" s="1"/>
  <c r="W151" i="53" s="1"/>
  <c r="X60" i="51" s="1"/>
  <c r="BD60" i="51" s="1"/>
  <c r="W15" i="53"/>
  <c r="W28" i="53" s="1"/>
  <c r="W18" i="53"/>
  <c r="W31" i="53" s="1"/>
  <c r="R307" i="38"/>
  <c r="R306" i="38"/>
  <c r="R318" i="38" s="1"/>
  <c r="P305" i="42"/>
  <c r="P304" i="42"/>
  <c r="P308" i="42" s="1"/>
  <c r="T105" i="42"/>
  <c r="T109" i="42" s="1"/>
  <c r="T107" i="42"/>
  <c r="T111" i="42" s="1"/>
  <c r="T106" i="42"/>
  <c r="T110" i="42" s="1"/>
  <c r="T108" i="42"/>
  <c r="T292" i="38"/>
  <c r="T295" i="38"/>
  <c r="V211" i="42"/>
  <c r="V209" i="42"/>
  <c r="V213" i="42" s="1"/>
  <c r="V208" i="42"/>
  <c r="V212" i="42" s="1"/>
  <c r="V210" i="42"/>
  <c r="V214" i="42" s="1"/>
  <c r="W207" i="38"/>
  <c r="W199" i="38"/>
  <c r="W191" i="38"/>
  <c r="W19" i="46"/>
  <c r="W275" i="46" s="1"/>
  <c r="W27" i="46"/>
  <c r="W32" i="46" s="1"/>
  <c r="L204" i="28"/>
  <c r="V309" i="46"/>
  <c r="V34" i="46"/>
  <c r="X17" i="48"/>
  <c r="X30" i="48" s="1"/>
  <c r="X45" i="48" s="1"/>
  <c r="X18" i="48"/>
  <c r="X31" i="48" s="1"/>
  <c r="X16" i="48"/>
  <c r="X29" i="48" s="1"/>
  <c r="X44" i="48" s="1"/>
  <c r="X14" i="48"/>
  <c r="X15" i="48"/>
  <c r="X28" i="48" s="1"/>
  <c r="X43" i="48" s="1"/>
  <c r="Y5" i="48"/>
  <c r="Q181" i="28"/>
  <c r="R64" i="55" s="1"/>
  <c r="Q179" i="28"/>
  <c r="R62" i="55" s="1"/>
  <c r="Q178" i="28"/>
  <c r="Q182" i="28"/>
  <c r="R65" i="55" s="1"/>
  <c r="Q180" i="28"/>
  <c r="R63" i="55" s="1"/>
  <c r="Q177" i="28"/>
  <c r="V87" i="45"/>
  <c r="V85" i="45"/>
  <c r="BB85" i="45"/>
  <c r="BB87" i="45"/>
  <c r="V86" i="45"/>
  <c r="BB86" i="45"/>
  <c r="T67" i="15"/>
  <c r="T46" i="15"/>
  <c r="S57" i="55"/>
  <c r="N196" i="28"/>
  <c r="Q174" i="29"/>
  <c r="Q177" i="29" s="1"/>
  <c r="R300" i="42"/>
  <c r="R301" i="42"/>
  <c r="P321" i="42"/>
  <c r="P322" i="42" s="1"/>
  <c r="P324" i="42" s="1"/>
  <c r="R301" i="38"/>
  <c r="R300" i="38"/>
  <c r="N172" i="28"/>
  <c r="N176" i="28" s="1"/>
  <c r="N173" i="28"/>
  <c r="Q156" i="29"/>
  <c r="Q157" i="29"/>
  <c r="V85" i="29"/>
  <c r="W55" i="16" s="1"/>
  <c r="W55" i="15"/>
  <c r="V147" i="42"/>
  <c r="V151" i="42" s="1"/>
  <c r="V149" i="42"/>
  <c r="V148" i="42"/>
  <c r="V152" i="42" s="1"/>
  <c r="V146" i="42"/>
  <c r="V150" i="42" s="1"/>
  <c r="T83" i="42"/>
  <c r="T87" i="42" s="1"/>
  <c r="T84" i="42"/>
  <c r="T82" i="42"/>
  <c r="T86" i="42" s="1"/>
  <c r="T81" i="42"/>
  <c r="T85" i="42" s="1"/>
  <c r="T293" i="38"/>
  <c r="T294" i="38" s="1"/>
  <c r="T316" i="38"/>
  <c r="V32" i="29"/>
  <c r="V45" i="29"/>
  <c r="W147" i="46"/>
  <c r="W167" i="46"/>
  <c r="W177" i="46"/>
  <c r="W157" i="46"/>
  <c r="P166" i="29"/>
  <c r="AW63" i="55" s="1"/>
  <c r="P163" i="29"/>
  <c r="P165" i="29"/>
  <c r="AW62" i="55" s="1"/>
  <c r="P167" i="29"/>
  <c r="AW64" i="55" s="1"/>
  <c r="P164" i="29"/>
  <c r="P168" i="29"/>
  <c r="AW65" i="55" s="1"/>
  <c r="W240" i="42"/>
  <c r="W244" i="42" s="1"/>
  <c r="W241" i="42"/>
  <c r="W239" i="42"/>
  <c r="W243" i="42" s="1"/>
  <c r="W238" i="42"/>
  <c r="W242" i="42" s="1"/>
  <c r="W49" i="29"/>
  <c r="P156" i="28"/>
  <c r="CC63" i="55" s="1"/>
  <c r="P155" i="28"/>
  <c r="CC62" i="55" s="1"/>
  <c r="P154" i="28"/>
  <c r="CC61" i="55" s="1"/>
  <c r="P158" i="28"/>
  <c r="CC65" i="55" s="1"/>
  <c r="P153" i="28"/>
  <c r="P157" i="28"/>
  <c r="CC64" i="55" s="1"/>
  <c r="R283" i="42"/>
  <c r="R284" i="42" s="1"/>
  <c r="S250" i="42"/>
  <c r="S37" i="28"/>
  <c r="S36" i="28"/>
  <c r="AU61" i="55"/>
  <c r="Q167" i="28"/>
  <c r="Q164" i="28"/>
  <c r="Q165" i="28"/>
  <c r="Q166" i="28"/>
  <c r="V42" i="38"/>
  <c r="V32" i="38"/>
  <c r="S210" i="28"/>
  <c r="S211" i="28"/>
  <c r="S159" i="28"/>
  <c r="M197" i="28"/>
  <c r="M206" i="28" s="1"/>
  <c r="N70" i="15" s="1"/>
  <c r="S68" i="16"/>
  <c r="S77" i="16"/>
  <c r="S134" i="16"/>
  <c r="S140" i="16" s="1"/>
  <c r="S133" i="16" a="1"/>
  <c r="DL80" i="55"/>
  <c r="AZ80" i="55"/>
  <c r="V203" i="38"/>
  <c r="W101" i="36" s="1"/>
  <c r="BC101" i="36" s="1"/>
  <c r="V200" i="38"/>
  <c r="V204" i="38" s="1"/>
  <c r="V201" i="38"/>
  <c r="V205" i="38" s="1"/>
  <c r="V202" i="38"/>
  <c r="V206" i="38" s="1"/>
  <c r="U281" i="38"/>
  <c r="U34" i="38"/>
  <c r="V178" i="46"/>
  <c r="V183" i="46" s="1"/>
  <c r="V180" i="46"/>
  <c r="V185" i="46" s="1"/>
  <c r="V181" i="46"/>
  <c r="V186" i="46" s="1"/>
  <c r="V179" i="46"/>
  <c r="V184" i="46" s="1"/>
  <c r="V182" i="46"/>
  <c r="W107" i="45" s="1"/>
  <c r="BC107" i="45" s="1"/>
  <c r="V177" i="48"/>
  <c r="R163" i="28"/>
  <c r="R160" i="28"/>
  <c r="R162" i="28"/>
  <c r="V19" i="28"/>
  <c r="V118" i="28" s="1"/>
  <c r="V27" i="28"/>
  <c r="V157" i="42"/>
  <c r="V155" i="42"/>
  <c r="V159" i="42" s="1"/>
  <c r="V156" i="42"/>
  <c r="V160" i="42" s="1"/>
  <c r="V154" i="42"/>
  <c r="V158" i="42" s="1"/>
  <c r="X5" i="54"/>
  <c r="W16" i="54"/>
  <c r="W29" i="54" s="1"/>
  <c r="W44" i="54" s="1"/>
  <c r="W150" i="54" s="1"/>
  <c r="W151" i="54" s="1"/>
  <c r="W18" i="54"/>
  <c r="W31" i="54" s="1"/>
  <c r="W15" i="54"/>
  <c r="W28" i="54" s="1"/>
  <c r="W17" i="54"/>
  <c r="W30" i="54" s="1"/>
  <c r="W14" i="54"/>
  <c r="T295" i="42"/>
  <c r="T292" i="42"/>
  <c r="V154" i="38"/>
  <c r="V158" i="38" s="1"/>
  <c r="V155" i="38"/>
  <c r="V159" i="38" s="1"/>
  <c r="V157" i="38"/>
  <c r="W79" i="36" s="1"/>
  <c r="BC79" i="36" s="1"/>
  <c r="V156" i="38"/>
  <c r="V160" i="38" s="1"/>
  <c r="U197" i="53"/>
  <c r="U34" i="53"/>
  <c r="R236" i="19"/>
  <c r="R235" i="19"/>
  <c r="S296" i="42"/>
  <c r="S297" i="42"/>
  <c r="S299" i="42"/>
  <c r="S298" i="42"/>
  <c r="X15" i="46"/>
  <c r="X28" i="46" s="1"/>
  <c r="X43" i="46" s="1"/>
  <c r="X18" i="46"/>
  <c r="X31" i="46" s="1"/>
  <c r="X17" i="46"/>
  <c r="X30" i="46" s="1"/>
  <c r="X45" i="46" s="1"/>
  <c r="X16" i="46"/>
  <c r="X29" i="46" s="1"/>
  <c r="X44" i="46" s="1"/>
  <c r="X246" i="46" s="1"/>
  <c r="Y5" i="46"/>
  <c r="X14" i="46"/>
  <c r="W207" i="42"/>
  <c r="W199" i="42"/>
  <c r="W191" i="42"/>
  <c r="W83" i="29"/>
  <c r="W82" i="29" s="1"/>
  <c r="Q286" i="42"/>
  <c r="Q290" i="42"/>
  <c r="Q288" i="42"/>
  <c r="Q285" i="42"/>
  <c r="Q287" i="42"/>
  <c r="Q289" i="42"/>
  <c r="T67" i="16"/>
  <c r="T46" i="16"/>
  <c r="L72" i="15"/>
  <c r="L34" i="58" s="1"/>
  <c r="K214" i="28"/>
  <c r="L73" i="15" s="1"/>
  <c r="P169" i="28"/>
  <c r="P168" i="28"/>
  <c r="U223" i="48"/>
  <c r="U228" i="48" s="1"/>
  <c r="U220" i="48"/>
  <c r="U225" i="48" s="1"/>
  <c r="U221" i="48"/>
  <c r="U226" i="48" s="1"/>
  <c r="U224" i="48"/>
  <c r="U222" i="48"/>
  <c r="U227" i="48" s="1"/>
  <c r="V192" i="38"/>
  <c r="V196" i="38" s="1"/>
  <c r="V194" i="38"/>
  <c r="V198" i="38" s="1"/>
  <c r="V193" i="38"/>
  <c r="V197" i="38" s="1"/>
  <c r="U249" i="38"/>
  <c r="U80" i="38"/>
  <c r="U47" i="38"/>
  <c r="U291" i="38" s="1"/>
  <c r="U104" i="38"/>
  <c r="U72" i="38"/>
  <c r="U73" i="38" s="1"/>
  <c r="U96" i="38"/>
  <c r="V157" i="48"/>
  <c r="V160" i="46"/>
  <c r="V165" i="46" s="1"/>
  <c r="V161" i="46"/>
  <c r="V166" i="46" s="1"/>
  <c r="V162" i="46"/>
  <c r="W98" i="45" s="1"/>
  <c r="BC98" i="45" s="1"/>
  <c r="V159" i="46"/>
  <c r="V164" i="46" s="1"/>
  <c r="V158" i="46"/>
  <c r="V163" i="46" s="1"/>
  <c r="U172" i="48"/>
  <c r="U168" i="48"/>
  <c r="U173" i="48" s="1"/>
  <c r="U171" i="48"/>
  <c r="U176" i="48" s="1"/>
  <c r="U169" i="48"/>
  <c r="U174" i="48" s="1"/>
  <c r="U170" i="48"/>
  <c r="U175" i="48" s="1"/>
  <c r="R311" i="38"/>
  <c r="S85" i="55" s="1"/>
  <c r="R312" i="38"/>
  <c r="S86" i="55" s="1"/>
  <c r="R314" i="38"/>
  <c r="S88" i="55" s="1"/>
  <c r="R309" i="38"/>
  <c r="R313" i="38"/>
  <c r="S87" i="55" s="1"/>
  <c r="R310" i="38"/>
  <c r="V49" i="28"/>
  <c r="V165" i="42"/>
  <c r="V163" i="42"/>
  <c r="V167" i="42" s="1"/>
  <c r="V164" i="42"/>
  <c r="V168" i="42" s="1"/>
  <c r="V162" i="42"/>
  <c r="V166" i="42" s="1"/>
  <c r="V19" i="54"/>
  <c r="V27" i="54"/>
  <c r="V32" i="54" s="1"/>
  <c r="T316" i="42"/>
  <c r="T317" i="42" s="1"/>
  <c r="T293" i="42"/>
  <c r="T294" i="42" s="1"/>
  <c r="V148" i="38"/>
  <c r="V152" i="38" s="1"/>
  <c r="V146" i="38"/>
  <c r="V150" i="38" s="1"/>
  <c r="V147" i="38"/>
  <c r="V151" i="38" s="1"/>
  <c r="V149" i="38"/>
  <c r="W100" i="36" s="1"/>
  <c r="BC100" i="36" s="1"/>
  <c r="U50" i="29"/>
  <c r="U145" i="29" s="1"/>
  <c r="T246" i="38"/>
  <c r="X16" i="38"/>
  <c r="X29" i="38" s="1"/>
  <c r="X44" i="38" s="1"/>
  <c r="X222" i="38" s="1"/>
  <c r="X17" i="38"/>
  <c r="X30" i="38" s="1"/>
  <c r="X45" i="38" s="1"/>
  <c r="X14" i="38"/>
  <c r="X15" i="38"/>
  <c r="X28" i="38" s="1"/>
  <c r="X43" i="38" s="1"/>
  <c r="Y5" i="38"/>
  <c r="X18" i="38"/>
  <c r="X31" i="38" s="1"/>
  <c r="X46" i="38" s="1"/>
  <c r="X237" i="38" s="1"/>
  <c r="V309" i="48"/>
  <c r="V34" i="48"/>
  <c r="W19" i="42"/>
  <c r="W247" i="42" s="1"/>
  <c r="W27" i="42"/>
  <c r="W19" i="29"/>
  <c r="W27" i="29"/>
  <c r="S294" i="38"/>
  <c r="R170" i="29"/>
  <c r="R171" i="29" s="1"/>
  <c r="R147" i="29"/>
  <c r="O190" i="29"/>
  <c r="F265" i="20"/>
  <c r="BS42" i="55" s="1"/>
  <c r="F261" i="20"/>
  <c r="BS38" i="55" s="1"/>
  <c r="CV35" i="55"/>
  <c r="AJ35" i="55"/>
  <c r="AJ38" i="55"/>
  <c r="G259" i="20"/>
  <c r="BT34" i="55"/>
  <c r="D38" i="55"/>
  <c r="D155" i="14"/>
  <c r="D157" i="14" s="1"/>
  <c r="AJ28" i="58" s="1"/>
  <c r="C278" i="19"/>
  <c r="D164" i="14" s="1"/>
  <c r="AJ29" i="58" s="1"/>
  <c r="G183" i="19"/>
  <c r="F216" i="19"/>
  <c r="I110" i="14"/>
  <c r="I108" i="14" s="1"/>
  <c r="H75" i="19"/>
  <c r="H97" i="14"/>
  <c r="I91" i="19"/>
  <c r="J136" i="14" s="1"/>
  <c r="J136" i="12"/>
  <c r="I109" i="12"/>
  <c r="I99" i="12"/>
  <c r="I73" i="19"/>
  <c r="J114" i="14" s="1"/>
  <c r="J114" i="12"/>
  <c r="J105" i="12"/>
  <c r="J228" i="12" s="1"/>
  <c r="I126" i="19"/>
  <c r="I123" i="19"/>
  <c r="I114" i="19"/>
  <c r="I111" i="19"/>
  <c r="J95" i="14"/>
  <c r="J106" i="19"/>
  <c r="K103" i="14" s="1"/>
  <c r="K103" i="12"/>
  <c r="I113" i="19"/>
  <c r="J124" i="19"/>
  <c r="K138" i="14" s="1"/>
  <c r="K138" i="12"/>
  <c r="I109" i="14"/>
  <c r="K174" i="19"/>
  <c r="E158" i="14"/>
  <c r="D156" i="12"/>
  <c r="D157" i="12" s="1"/>
  <c r="D28" i="58" s="1"/>
  <c r="J98" i="19"/>
  <c r="H94" i="19"/>
  <c r="K176" i="19"/>
  <c r="H92" i="19"/>
  <c r="H88" i="19"/>
  <c r="H87" i="19"/>
  <c r="K163" i="19"/>
  <c r="K166" i="19"/>
  <c r="K164" i="19"/>
  <c r="K165" i="19"/>
  <c r="H89" i="19"/>
  <c r="H86" i="19"/>
  <c r="H74" i="19"/>
  <c r="H76" i="19"/>
  <c r="I120" i="19"/>
  <c r="I110" i="12"/>
  <c r="I108" i="12" s="1"/>
  <c r="J118" i="19"/>
  <c r="K94" i="14" s="1"/>
  <c r="H90" i="19"/>
  <c r="I119" i="19"/>
  <c r="I109" i="19"/>
  <c r="H93" i="19"/>
  <c r="H83" i="19"/>
  <c r="I111" i="14" s="1"/>
  <c r="I107" i="14" s="1"/>
  <c r="I111" i="12"/>
  <c r="I107" i="12" s="1"/>
  <c r="I108" i="19"/>
  <c r="H77" i="19"/>
  <c r="H80" i="19"/>
  <c r="I106" i="14" s="1"/>
  <c r="I79" i="19"/>
  <c r="J104" i="14" s="1"/>
  <c r="J105" i="14" s="1"/>
  <c r="J228" i="14" s="1"/>
  <c r="I129" i="19"/>
  <c r="H70" i="19"/>
  <c r="I100" i="14" s="1"/>
  <c r="I98" i="14" s="1"/>
  <c r="H68" i="19"/>
  <c r="I96" i="14" s="1"/>
  <c r="H71" i="19"/>
  <c r="I101" i="14" s="1"/>
  <c r="H69" i="19"/>
  <c r="I99" i="14" s="1"/>
  <c r="I180" i="19"/>
  <c r="D269" i="19"/>
  <c r="CW35" i="55" s="1"/>
  <c r="C273" i="19"/>
  <c r="D303" i="20"/>
  <c r="D304" i="20" s="1"/>
  <c r="F293" i="20"/>
  <c r="C315" i="20"/>
  <c r="C320" i="20"/>
  <c r="L172" i="19"/>
  <c r="M135" i="14" s="1"/>
  <c r="J131" i="19"/>
  <c r="L215" i="20"/>
  <c r="L173" i="19" s="1"/>
  <c r="L217" i="20"/>
  <c r="L175" i="19" s="1"/>
  <c r="L219" i="20"/>
  <c r="L177" i="19" s="1"/>
  <c r="L216" i="20"/>
  <c r="L218" i="20"/>
  <c r="L203" i="20"/>
  <c r="L205" i="20"/>
  <c r="L202" i="20"/>
  <c r="L204" i="20"/>
  <c r="L206" i="20"/>
  <c r="L167" i="19" s="1"/>
  <c r="J131" i="20"/>
  <c r="J107" i="19" s="1"/>
  <c r="J133" i="20"/>
  <c r="J132" i="20"/>
  <c r="J134" i="20"/>
  <c r="J110" i="19" s="1"/>
  <c r="J135" i="20"/>
  <c r="J137" i="20"/>
  <c r="J138" i="20"/>
  <c r="J139" i="20"/>
  <c r="J115" i="19" s="1"/>
  <c r="J141" i="20"/>
  <c r="J117" i="19" s="1"/>
  <c r="J140" i="20"/>
  <c r="J116" i="19" s="1"/>
  <c r="J143" i="20"/>
  <c r="J145" i="20"/>
  <c r="J121" i="19" s="1"/>
  <c r="J144" i="20"/>
  <c r="J147" i="20"/>
  <c r="J146" i="20"/>
  <c r="J122" i="19" s="1"/>
  <c r="K148" i="20"/>
  <c r="K142" i="20"/>
  <c r="K136" i="20"/>
  <c r="K112" i="19" s="1"/>
  <c r="L126" i="14" s="1"/>
  <c r="K130" i="20"/>
  <c r="J151" i="20"/>
  <c r="J127" i="19" s="1"/>
  <c r="J150" i="20"/>
  <c r="J153" i="20"/>
  <c r="J149" i="20"/>
  <c r="J125" i="19" s="1"/>
  <c r="J152" i="20"/>
  <c r="J128" i="19" s="1"/>
  <c r="I100" i="20"/>
  <c r="I104" i="20"/>
  <c r="I96" i="19" s="1"/>
  <c r="I101" i="20"/>
  <c r="I103" i="20"/>
  <c r="I95" i="19" s="1"/>
  <c r="I102" i="20"/>
  <c r="I82" i="20"/>
  <c r="I83" i="20"/>
  <c r="I85" i="20"/>
  <c r="I84" i="20"/>
  <c r="I86" i="20"/>
  <c r="I78" i="19" s="1"/>
  <c r="I88" i="20"/>
  <c r="J106" i="12" s="1"/>
  <c r="I89" i="20"/>
  <c r="I81" i="19" s="1"/>
  <c r="I92" i="20"/>
  <c r="I84" i="19" s="1"/>
  <c r="I90" i="20"/>
  <c r="I82" i="19" s="1"/>
  <c r="I91" i="20"/>
  <c r="I79" i="20"/>
  <c r="J101" i="12" s="1"/>
  <c r="J97" i="12" s="1"/>
  <c r="I76" i="20"/>
  <c r="J96" i="12" s="1"/>
  <c r="I78" i="20"/>
  <c r="J100" i="12" s="1"/>
  <c r="J98" i="12" s="1"/>
  <c r="I80" i="20"/>
  <c r="I72" i="19" s="1"/>
  <c r="I77" i="20"/>
  <c r="J75" i="20"/>
  <c r="J67" i="19" s="1"/>
  <c r="K93" i="14" s="1"/>
  <c r="J99" i="20"/>
  <c r="J93" i="20"/>
  <c r="J85" i="19" s="1"/>
  <c r="K124" i="14" s="1"/>
  <c r="J81" i="20"/>
  <c r="J87" i="20"/>
  <c r="K104" i="12" s="1"/>
  <c r="I96" i="20"/>
  <c r="I95" i="20"/>
  <c r="I97" i="20"/>
  <c r="I94" i="20"/>
  <c r="I98" i="20"/>
  <c r="L19" i="20"/>
  <c r="L222" i="20" s="1"/>
  <c r="L30" i="20"/>
  <c r="L48" i="20" s="1"/>
  <c r="I36" i="20"/>
  <c r="I37" i="20"/>
  <c r="F278" i="20"/>
  <c r="F277" i="20"/>
  <c r="I225" i="20"/>
  <c r="H258" i="20"/>
  <c r="I266" i="20"/>
  <c r="I270" i="20"/>
  <c r="I317" i="20"/>
  <c r="I267" i="20"/>
  <c r="I318" i="20"/>
  <c r="I179" i="19"/>
  <c r="G276" i="20"/>
  <c r="G275" i="20"/>
  <c r="K132" i="19"/>
  <c r="K136" i="19"/>
  <c r="K133" i="19"/>
  <c r="L125" i="12"/>
  <c r="K135" i="19"/>
  <c r="K134" i="19"/>
  <c r="I226" i="12"/>
  <c r="K102" i="19"/>
  <c r="K101" i="19"/>
  <c r="K104" i="19"/>
  <c r="L126" i="12"/>
  <c r="K100" i="19"/>
  <c r="K103" i="19"/>
  <c r="K99" i="19"/>
  <c r="K169" i="19"/>
  <c r="L27" i="20"/>
  <c r="M31" i="20"/>
  <c r="M49" i="20" s="1"/>
  <c r="M214" i="20" s="1"/>
  <c r="N135" i="12" s="1"/>
  <c r="J55" i="19"/>
  <c r="J52" i="19" s="1"/>
  <c r="J60" i="19"/>
  <c r="J50" i="20"/>
  <c r="J221" i="20" s="1"/>
  <c r="J62" i="19"/>
  <c r="K93" i="12"/>
  <c r="J63" i="19"/>
  <c r="J54" i="19"/>
  <c r="J53" i="19"/>
  <c r="J61" i="19"/>
  <c r="K124" i="12"/>
  <c r="J65" i="19"/>
  <c r="J57" i="19"/>
  <c r="J56" i="19"/>
  <c r="J58" i="19"/>
  <c r="J64" i="19"/>
  <c r="L158" i="19"/>
  <c r="L160" i="19"/>
  <c r="M123" i="12"/>
  <c r="H273" i="20"/>
  <c r="H274" i="20"/>
  <c r="H271" i="20"/>
  <c r="H272" i="20"/>
  <c r="K157" i="19"/>
  <c r="L28" i="20"/>
  <c r="L46" i="20" s="1"/>
  <c r="M94" i="12" s="1"/>
  <c r="K45" i="20"/>
  <c r="K32" i="20"/>
  <c r="BX4" i="55" s="1"/>
  <c r="DD4" i="55" s="1"/>
  <c r="I221" i="20"/>
  <c r="J95" i="12"/>
  <c r="L170" i="19"/>
  <c r="J256" i="20"/>
  <c r="J34" i="20"/>
  <c r="M29" i="20"/>
  <c r="M47" i="20" s="1"/>
  <c r="M201" i="20" s="1"/>
  <c r="M162" i="19" s="1"/>
  <c r="N123" i="14" s="1"/>
  <c r="I226" i="14"/>
  <c r="G282" i="20"/>
  <c r="G281" i="20"/>
  <c r="E279" i="20"/>
  <c r="E283" i="20" s="1"/>
  <c r="E280" i="20"/>
  <c r="O72" i="16" l="1"/>
  <c r="AU34" i="58" s="1"/>
  <c r="V61" i="16"/>
  <c r="N200" i="29"/>
  <c r="O73" i="16" s="1"/>
  <c r="U87" i="29"/>
  <c r="G263" i="20"/>
  <c r="BT40" i="55" s="1"/>
  <c r="G260" i="20"/>
  <c r="G262" i="20"/>
  <c r="BT39" i="55" s="1"/>
  <c r="G265" i="20"/>
  <c r="BT42" i="55" s="1"/>
  <c r="G261" i="20"/>
  <c r="BT38" i="55" s="1"/>
  <c r="G264" i="20"/>
  <c r="BT41" i="55" s="1"/>
  <c r="AT126" i="36"/>
  <c r="AT39" i="58" s="1"/>
  <c r="M346" i="42"/>
  <c r="AT127" i="36" s="1"/>
  <c r="O346" i="42"/>
  <c r="AV127" i="36" s="1"/>
  <c r="P182" i="29"/>
  <c r="U65" i="15"/>
  <c r="U139" i="15" s="1"/>
  <c r="N192" i="28"/>
  <c r="O189" i="28"/>
  <c r="O190" i="28" s="1"/>
  <c r="S141" i="15"/>
  <c r="S142" i="15" s="1"/>
  <c r="T92" i="29"/>
  <c r="U246" i="42"/>
  <c r="U65" i="16"/>
  <c r="U139" i="16" s="1"/>
  <c r="O192" i="28"/>
  <c r="S141" i="16"/>
  <c r="S142" i="16" s="1"/>
  <c r="Q321" i="42"/>
  <c r="Q322" i="42" s="1"/>
  <c r="Q324" i="42" s="1"/>
  <c r="T310" i="38"/>
  <c r="T314" i="38"/>
  <c r="U88" i="55" s="1"/>
  <c r="T312" i="38"/>
  <c r="U86" i="55" s="1"/>
  <c r="T311" i="38"/>
  <c r="U85" i="55" s="1"/>
  <c r="T309" i="38"/>
  <c r="T313" i="38"/>
  <c r="U87" i="55" s="1"/>
  <c r="T310" i="42"/>
  <c r="T314" i="42"/>
  <c r="BA88" i="55" s="1"/>
  <c r="T309" i="42"/>
  <c r="T311" i="42"/>
  <c r="BA85" i="55" s="1"/>
  <c r="T312" i="42"/>
  <c r="BA86" i="55" s="1"/>
  <c r="T313" i="42"/>
  <c r="BA87" i="55" s="1"/>
  <c r="DH58" i="55"/>
  <c r="AV58" i="55"/>
  <c r="P69" i="16"/>
  <c r="P71" i="16" s="1"/>
  <c r="AV33" i="58" s="1"/>
  <c r="O199" i="29"/>
  <c r="X19" i="38"/>
  <c r="X247" i="38" s="1"/>
  <c r="X27" i="38"/>
  <c r="U295" i="38"/>
  <c r="U292" i="38"/>
  <c r="T68" i="16"/>
  <c r="T133" i="16" a="1"/>
  <c r="T77" i="16"/>
  <c r="T134" i="16"/>
  <c r="T140" i="16" s="1"/>
  <c r="X209" i="46"/>
  <c r="X229" i="46"/>
  <c r="X219" i="46"/>
  <c r="R167" i="28"/>
  <c r="R164" i="28"/>
  <c r="R166" i="28"/>
  <c r="R165" i="28"/>
  <c r="R290" i="42"/>
  <c r="R289" i="42"/>
  <c r="R288" i="42"/>
  <c r="R285" i="42"/>
  <c r="R287" i="42"/>
  <c r="R286" i="42"/>
  <c r="Q182" i="29"/>
  <c r="Q183" i="29" s="1"/>
  <c r="Q192" i="29" s="1"/>
  <c r="R70" i="16" s="1"/>
  <c r="W200" i="38"/>
  <c r="W204" i="38" s="1"/>
  <c r="W201" i="38"/>
  <c r="W205" i="38" s="1"/>
  <c r="W203" i="38"/>
  <c r="X101" i="36" s="1"/>
  <c r="BD101" i="36" s="1"/>
  <c r="W202" i="38"/>
  <c r="W206" i="38" s="1"/>
  <c r="W19" i="53"/>
  <c r="W27" i="53"/>
  <c r="W32" i="53" s="1"/>
  <c r="N72" i="16"/>
  <c r="AT34" i="58" s="1"/>
  <c r="M200" i="29"/>
  <c r="N73" i="16" s="1"/>
  <c r="W163" i="38"/>
  <c r="W167" i="38" s="1"/>
  <c r="W162" i="38"/>
  <c r="W166" i="38" s="1"/>
  <c r="W165" i="38"/>
  <c r="X109" i="36" s="1"/>
  <c r="BD109" i="36" s="1"/>
  <c r="W164" i="38"/>
  <c r="W168" i="38" s="1"/>
  <c r="V197" i="53"/>
  <c r="V34" i="53"/>
  <c r="CE57" i="55"/>
  <c r="R152" i="28"/>
  <c r="X239" i="42"/>
  <c r="X243" i="42" s="1"/>
  <c r="X241" i="42"/>
  <c r="X240" i="42"/>
  <c r="X244" i="42" s="1"/>
  <c r="X238" i="42"/>
  <c r="X242" i="42" s="1"/>
  <c r="AV81" i="55"/>
  <c r="W42" i="38"/>
  <c r="W32" i="38"/>
  <c r="W85" i="29"/>
  <c r="X55" i="16" s="1"/>
  <c r="X55" i="15"/>
  <c r="W34" i="48"/>
  <c r="W309" i="48"/>
  <c r="U216" i="28"/>
  <c r="U57" i="29"/>
  <c r="U63" i="29"/>
  <c r="V56" i="16" s="1"/>
  <c r="U60" i="29"/>
  <c r="V56" i="15"/>
  <c r="U62" i="29"/>
  <c r="V62" i="16" s="1"/>
  <c r="V62" i="15"/>
  <c r="V65" i="15" s="1"/>
  <c r="V139" i="15" s="1"/>
  <c r="U55" i="29"/>
  <c r="U52" i="29" s="1"/>
  <c r="V44" i="15"/>
  <c r="U54" i="29"/>
  <c r="U59" i="29"/>
  <c r="V44" i="16" s="1"/>
  <c r="U50" i="28"/>
  <c r="U117" i="28" s="1"/>
  <c r="U61" i="29"/>
  <c r="U53" i="29"/>
  <c r="U56" i="29"/>
  <c r="W42" i="42"/>
  <c r="W32" i="42"/>
  <c r="X199" i="38"/>
  <c r="X207" i="38"/>
  <c r="X191" i="38"/>
  <c r="T297" i="42"/>
  <c r="T296" i="42"/>
  <c r="T299" i="42"/>
  <c r="T298" i="42"/>
  <c r="V182" i="48"/>
  <c r="V181" i="48"/>
  <c r="V186" i="48" s="1"/>
  <c r="V178" i="48"/>
  <c r="V183" i="48" s="1"/>
  <c r="V179" i="48"/>
  <c r="V184" i="48" s="1"/>
  <c r="V180" i="48"/>
  <c r="V185" i="48" s="1"/>
  <c r="S163" i="28"/>
  <c r="S162" i="28"/>
  <c r="S160" i="28"/>
  <c r="Q174" i="28"/>
  <c r="Q175" i="28"/>
  <c r="W208" i="38"/>
  <c r="W212" i="38" s="1"/>
  <c r="W209" i="38"/>
  <c r="W213" i="38" s="1"/>
  <c r="W211" i="38"/>
  <c r="W210" i="38"/>
  <c r="W214" i="38" s="1"/>
  <c r="U80" i="55"/>
  <c r="Q175" i="29"/>
  <c r="Q176" i="29" s="1"/>
  <c r="Q178" i="29" s="1"/>
  <c r="T57" i="55"/>
  <c r="Z5" i="19"/>
  <c r="Y15" i="19"/>
  <c r="Y28" i="19" s="1"/>
  <c r="Y46" i="19" s="1"/>
  <c r="Y14" i="19"/>
  <c r="Y16" i="19"/>
  <c r="Y29" i="19" s="1"/>
  <c r="Y47" i="19" s="1"/>
  <c r="Y17" i="19"/>
  <c r="Y30" i="19" s="1"/>
  <c r="Y48" i="19" s="1"/>
  <c r="Y18" i="19"/>
  <c r="Y31" i="19" s="1"/>
  <c r="Y49" i="19" s="1"/>
  <c r="W146" i="38"/>
  <c r="W150" i="38" s="1"/>
  <c r="W149" i="38"/>
  <c r="X100" i="36" s="1"/>
  <c r="BD100" i="36" s="1"/>
  <c r="W147" i="38"/>
  <c r="W151" i="38" s="1"/>
  <c r="W148" i="38"/>
  <c r="W152" i="38" s="1"/>
  <c r="S160" i="29"/>
  <c r="S172" i="29" s="1"/>
  <c r="S161" i="29"/>
  <c r="T217" i="28"/>
  <c r="S151" i="28"/>
  <c r="X137" i="42"/>
  <c r="X153" i="42"/>
  <c r="X145" i="42"/>
  <c r="X161" i="42"/>
  <c r="O196" i="28"/>
  <c r="O197" i="28" s="1"/>
  <c r="O204" i="28" s="1"/>
  <c r="U149" i="28"/>
  <c r="U34" i="28"/>
  <c r="V213" i="48"/>
  <c r="V218" i="48" s="1"/>
  <c r="V210" i="48"/>
  <c r="V215" i="48" s="1"/>
  <c r="V214" i="48"/>
  <c r="V211" i="48"/>
  <c r="V216" i="48" s="1"/>
  <c r="V212" i="48"/>
  <c r="V217" i="48" s="1"/>
  <c r="DK57" i="55"/>
  <c r="AY57" i="55"/>
  <c r="R148" i="29"/>
  <c r="X225" i="38"/>
  <c r="X229" i="38" s="1"/>
  <c r="X224" i="38"/>
  <c r="X228" i="38" s="1"/>
  <c r="X223" i="38"/>
  <c r="X227" i="38" s="1"/>
  <c r="DM80" i="55"/>
  <c r="BA80" i="55"/>
  <c r="W61" i="15"/>
  <c r="V88" i="29"/>
  <c r="U293" i="38"/>
  <c r="V80" i="55" s="1"/>
  <c r="U316" i="38"/>
  <c r="W194" i="42"/>
  <c r="W198" i="42" s="1"/>
  <c r="W192" i="42"/>
  <c r="W196" i="42" s="1"/>
  <c r="W195" i="42"/>
  <c r="W193" i="42"/>
  <c r="W197" i="42" s="1"/>
  <c r="X147" i="46"/>
  <c r="X167" i="46"/>
  <c r="X177" i="46"/>
  <c r="X157" i="46"/>
  <c r="W19" i="54"/>
  <c r="W27" i="54"/>
  <c r="W32" i="54" s="1"/>
  <c r="W161" i="46"/>
  <c r="W166" i="46" s="1"/>
  <c r="W160" i="46"/>
  <c r="W165" i="46" s="1"/>
  <c r="W159" i="46"/>
  <c r="W164" i="46" s="1"/>
  <c r="W158" i="46"/>
  <c r="W163" i="46" s="1"/>
  <c r="W162" i="46"/>
  <c r="X98" i="45" s="1"/>
  <c r="BD98" i="45" s="1"/>
  <c r="W157" i="48"/>
  <c r="N197" i="28"/>
  <c r="N206" i="28" s="1"/>
  <c r="O70" i="15" s="1"/>
  <c r="Y15" i="48"/>
  <c r="Y28" i="48" s="1"/>
  <c r="Y43" i="48" s="1"/>
  <c r="Y16" i="48"/>
  <c r="Y29" i="48" s="1"/>
  <c r="Y44" i="48" s="1"/>
  <c r="Y14" i="48"/>
  <c r="Z5" i="48"/>
  <c r="Y18" i="48"/>
  <c r="Y31" i="48" s="1"/>
  <c r="Y17" i="48"/>
  <c r="Y30" i="48" s="1"/>
  <c r="Y45" i="48" s="1"/>
  <c r="Q305" i="38"/>
  <c r="Q304" i="38"/>
  <c r="Q308" i="38" s="1"/>
  <c r="X19" i="29"/>
  <c r="X27" i="29"/>
  <c r="W140" i="38"/>
  <c r="W138" i="38"/>
  <c r="W139" i="38"/>
  <c r="U293" i="42"/>
  <c r="U316" i="42"/>
  <c r="U317" i="42" s="1"/>
  <c r="S170" i="29"/>
  <c r="S171" i="29" s="1"/>
  <c r="S147" i="29"/>
  <c r="X207" i="42"/>
  <c r="X199" i="42"/>
  <c r="X191" i="42"/>
  <c r="V232" i="48"/>
  <c r="V237" i="48" s="1"/>
  <c r="V233" i="48"/>
  <c r="V238" i="48" s="1"/>
  <c r="V231" i="48"/>
  <c r="V236" i="48" s="1"/>
  <c r="V230" i="48"/>
  <c r="V235" i="48" s="1"/>
  <c r="V234" i="48"/>
  <c r="W247" i="48"/>
  <c r="W252" i="48" s="1"/>
  <c r="W249" i="48"/>
  <c r="W254" i="48" s="1"/>
  <c r="W251" i="48"/>
  <c r="W248" i="48"/>
  <c r="W253" i="48" s="1"/>
  <c r="W250" i="48"/>
  <c r="W255" i="48" s="1"/>
  <c r="X58" i="15"/>
  <c r="X64" i="15"/>
  <c r="X48" i="15"/>
  <c r="X49" i="15" s="1"/>
  <c r="X136" i="15" s="1"/>
  <c r="X45" i="15"/>
  <c r="W77" i="29"/>
  <c r="X45" i="16" s="1"/>
  <c r="W67" i="29"/>
  <c r="W76" i="29"/>
  <c r="X58" i="16" s="1"/>
  <c r="W68" i="29"/>
  <c r="W75" i="29"/>
  <c r="W69" i="29"/>
  <c r="W73" i="29"/>
  <c r="W78" i="29"/>
  <c r="X64" i="16" s="1"/>
  <c r="W71" i="29"/>
  <c r="W74" i="29"/>
  <c r="X48" i="16" s="1"/>
  <c r="X49" i="16" s="1"/>
  <c r="X136" i="16" s="1"/>
  <c r="W70" i="29"/>
  <c r="U230" i="19"/>
  <c r="U231" i="19"/>
  <c r="U229" i="19"/>
  <c r="U232" i="19"/>
  <c r="R173" i="29"/>
  <c r="T103" i="29"/>
  <c r="T91" i="29"/>
  <c r="U59" i="15"/>
  <c r="U135" i="15" s="1"/>
  <c r="U66" i="15"/>
  <c r="U37" i="29"/>
  <c r="U36" i="29"/>
  <c r="R174" i="29"/>
  <c r="R175" i="29" s="1"/>
  <c r="R176" i="29" s="1"/>
  <c r="V158" i="48"/>
  <c r="V163" i="48" s="1"/>
  <c r="V161" i="48"/>
  <c r="V166" i="48" s="1"/>
  <c r="V162" i="48"/>
  <c r="V159" i="48"/>
  <c r="V164" i="48" s="1"/>
  <c r="V160" i="48"/>
  <c r="V165" i="48" s="1"/>
  <c r="W201" i="42"/>
  <c r="W205" i="42" s="1"/>
  <c r="W200" i="42"/>
  <c r="W204" i="42" s="1"/>
  <c r="W202" i="42"/>
  <c r="W206" i="42" s="1"/>
  <c r="W203" i="42"/>
  <c r="S300" i="42"/>
  <c r="S301" i="42"/>
  <c r="W181" i="46"/>
  <c r="W186" i="46" s="1"/>
  <c r="W179" i="46"/>
  <c r="W184" i="46" s="1"/>
  <c r="W180" i="46"/>
  <c r="W185" i="46" s="1"/>
  <c r="W182" i="46"/>
  <c r="X107" i="45" s="1"/>
  <c r="BD107" i="45" s="1"/>
  <c r="W177" i="48"/>
  <c r="W178" i="46"/>
  <c r="W183" i="46" s="1"/>
  <c r="R302" i="38"/>
  <c r="R303" i="38"/>
  <c r="T197" i="29"/>
  <c r="T196" i="29"/>
  <c r="R318" i="42"/>
  <c r="R319" i="42" s="1"/>
  <c r="R320" i="42"/>
  <c r="R323" i="42" s="1"/>
  <c r="U75" i="42"/>
  <c r="U79" i="42" s="1"/>
  <c r="U76" i="42"/>
  <c r="U74" i="42"/>
  <c r="U78" i="42" s="1"/>
  <c r="U73" i="42"/>
  <c r="U77" i="42" s="1"/>
  <c r="Z5" i="42"/>
  <c r="Y14" i="42"/>
  <c r="Y18" i="42"/>
  <c r="Y31" i="42" s="1"/>
  <c r="Y46" i="42" s="1"/>
  <c r="Y237" i="42" s="1"/>
  <c r="Y17" i="42"/>
  <c r="Y30" i="42" s="1"/>
  <c r="Y45" i="42" s="1"/>
  <c r="Y16" i="42"/>
  <c r="Y29" i="42" s="1"/>
  <c r="Y44" i="42" s="1"/>
  <c r="Y222" i="42" s="1"/>
  <c r="Y15" i="42"/>
  <c r="Y28" i="42" s="1"/>
  <c r="Y43" i="42" s="1"/>
  <c r="Q153" i="28"/>
  <c r="Q157" i="28"/>
  <c r="CD64" i="55" s="1"/>
  <c r="Q155" i="28"/>
  <c r="CD62" i="55" s="1"/>
  <c r="Q154" i="28"/>
  <c r="CD61" i="55" s="1"/>
  <c r="Q156" i="28"/>
  <c r="CD63" i="55" s="1"/>
  <c r="Q158" i="28"/>
  <c r="CD65" i="55" s="1"/>
  <c r="W157" i="42"/>
  <c r="W154" i="42"/>
  <c r="W158" i="42" s="1"/>
  <c r="W155" i="42"/>
  <c r="W159" i="42" s="1"/>
  <c r="W156" i="42"/>
  <c r="W160" i="42" s="1"/>
  <c r="T36" i="28"/>
  <c r="T37" i="28"/>
  <c r="V221" i="48"/>
  <c r="V226" i="48" s="1"/>
  <c r="V223" i="48"/>
  <c r="V228" i="48" s="1"/>
  <c r="V222" i="48"/>
  <c r="V227" i="48" s="1"/>
  <c r="V224" i="48"/>
  <c r="V220" i="48"/>
  <c r="V225" i="48" s="1"/>
  <c r="Q143" i="29"/>
  <c r="Q140" i="29"/>
  <c r="Q142" i="29"/>
  <c r="Q144" i="29"/>
  <c r="Q139" i="29"/>
  <c r="Q141" i="29"/>
  <c r="V224" i="19"/>
  <c r="V228" i="19"/>
  <c r="V225" i="19"/>
  <c r="V275" i="19"/>
  <c r="V276" i="19"/>
  <c r="V34" i="54"/>
  <c r="V197" i="54"/>
  <c r="U246" i="38"/>
  <c r="W209" i="42"/>
  <c r="W213" i="42" s="1"/>
  <c r="W211" i="42"/>
  <c r="W210" i="42"/>
  <c r="W214" i="42" s="1"/>
  <c r="W208" i="42"/>
  <c r="W212" i="42" s="1"/>
  <c r="S307" i="42"/>
  <c r="S306" i="42"/>
  <c r="V32" i="28"/>
  <c r="V45" i="28"/>
  <c r="M204" i="28"/>
  <c r="V281" i="38"/>
  <c r="V34" i="38"/>
  <c r="W172" i="46"/>
  <c r="X77" i="45" s="1"/>
  <c r="BD77" i="45" s="1"/>
  <c r="W167" i="48"/>
  <c r="W171" i="46"/>
  <c r="W176" i="46" s="1"/>
  <c r="W170" i="46"/>
  <c r="W175" i="46" s="1"/>
  <c r="W169" i="46"/>
  <c r="W174" i="46" s="1"/>
  <c r="W168" i="46"/>
  <c r="W173" i="46" s="1"/>
  <c r="T133" i="15" a="1"/>
  <c r="T68" i="15"/>
  <c r="T77" i="15" s="1"/>
  <c r="T134" i="15"/>
  <c r="T140" i="15" s="1"/>
  <c r="X19" i="48"/>
  <c r="X275" i="48" s="1"/>
  <c r="X27" i="48"/>
  <c r="X32" i="48" s="1"/>
  <c r="M69" i="15"/>
  <c r="M71" i="15" s="1"/>
  <c r="M33" i="58" s="1"/>
  <c r="M58" i="55"/>
  <c r="L208" i="28"/>
  <c r="M61" i="55"/>
  <c r="L213" i="28"/>
  <c r="V34" i="42"/>
  <c r="V281" i="42"/>
  <c r="Q165" i="29"/>
  <c r="AX62" i="55" s="1"/>
  <c r="Q164" i="29"/>
  <c r="Q166" i="29"/>
  <c r="AX63" i="55" s="1"/>
  <c r="Q168" i="29"/>
  <c r="AX65" i="55" s="1"/>
  <c r="Q167" i="29"/>
  <c r="AX64" i="55" s="1"/>
  <c r="Q163" i="29"/>
  <c r="X49" i="29"/>
  <c r="W229" i="48"/>
  <c r="W232" i="46"/>
  <c r="W237" i="46" s="1"/>
  <c r="W231" i="46"/>
  <c r="W236" i="46" s="1"/>
  <c r="W233" i="46"/>
  <c r="W238" i="46" s="1"/>
  <c r="W234" i="46"/>
  <c r="X108" i="45" s="1"/>
  <c r="BD108" i="45" s="1"/>
  <c r="W230" i="46"/>
  <c r="W235" i="46" s="1"/>
  <c r="U81" i="42"/>
  <c r="U85" i="42" s="1"/>
  <c r="U84" i="42"/>
  <c r="U83" i="42"/>
  <c r="U87" i="42" s="1"/>
  <c r="U82" i="42"/>
  <c r="U86" i="42" s="1"/>
  <c r="O172" i="28"/>
  <c r="O176" i="28" s="1"/>
  <c r="O173" i="28"/>
  <c r="Q304" i="42"/>
  <c r="Q308" i="42" s="1"/>
  <c r="Q305" i="42"/>
  <c r="U36" i="19"/>
  <c r="U37" i="19"/>
  <c r="W148" i="42"/>
  <c r="W152" i="42" s="1"/>
  <c r="W146" i="42"/>
  <c r="W150" i="42" s="1"/>
  <c r="W149" i="42"/>
  <c r="W147" i="42"/>
  <c r="W151" i="42" s="1"/>
  <c r="S104" i="29"/>
  <c r="R137" i="29"/>
  <c r="R138" i="29" s="1"/>
  <c r="T210" i="28"/>
  <c r="T159" i="28"/>
  <c r="T211" i="28"/>
  <c r="V34" i="19"/>
  <c r="V214" i="19"/>
  <c r="V168" i="48"/>
  <c r="V173" i="48" s="1"/>
  <c r="V172" i="48"/>
  <c r="V170" i="48"/>
  <c r="V175" i="48" s="1"/>
  <c r="V169" i="48"/>
  <c r="V174" i="48" s="1"/>
  <c r="V171" i="48"/>
  <c r="V176" i="48" s="1"/>
  <c r="AV61" i="55"/>
  <c r="X240" i="38"/>
  <c r="X244" i="38" s="1"/>
  <c r="X239" i="38"/>
  <c r="X243" i="38" s="1"/>
  <c r="X238" i="38"/>
  <c r="X242" i="38" s="1"/>
  <c r="U149" i="29"/>
  <c r="U146" i="29"/>
  <c r="P170" i="28"/>
  <c r="P171" i="28"/>
  <c r="X19" i="46"/>
  <c r="X275" i="46" s="1"/>
  <c r="X27" i="46"/>
  <c r="X32" i="46" s="1"/>
  <c r="V249" i="38"/>
  <c r="V47" i="38"/>
  <c r="V291" i="38" s="1"/>
  <c r="V104" i="38"/>
  <c r="V72" i="38"/>
  <c r="V73" i="38" s="1"/>
  <c r="V96" i="38"/>
  <c r="V80" i="38"/>
  <c r="W147" i="48"/>
  <c r="W152" i="46"/>
  <c r="X83" i="45" s="1"/>
  <c r="W151" i="46"/>
  <c r="W156" i="46" s="1"/>
  <c r="W150" i="46"/>
  <c r="W155" i="46" s="1"/>
  <c r="W149" i="46"/>
  <c r="W154" i="46" s="1"/>
  <c r="W148" i="46"/>
  <c r="W153" i="46" s="1"/>
  <c r="W309" i="46"/>
  <c r="W34" i="46"/>
  <c r="V249" i="42"/>
  <c r="V104" i="42"/>
  <c r="V72" i="42"/>
  <c r="V47" i="42"/>
  <c r="V291" i="42" s="1"/>
  <c r="V80" i="42"/>
  <c r="V96" i="42"/>
  <c r="Q328" i="42"/>
  <c r="W210" i="46"/>
  <c r="W215" i="46" s="1"/>
  <c r="W214" i="46"/>
  <c r="X89" i="45" s="1"/>
  <c r="W209" i="48"/>
  <c r="W213" i="46"/>
  <c r="W218" i="46" s="1"/>
  <c r="W212" i="46"/>
  <c r="W217" i="46" s="1"/>
  <c r="W211" i="46"/>
  <c r="W216" i="46" s="1"/>
  <c r="U108" i="42"/>
  <c r="U105" i="42"/>
  <c r="U109" i="42" s="1"/>
  <c r="U107" i="42"/>
  <c r="U111" i="42" s="1"/>
  <c r="U106" i="42"/>
  <c r="U110" i="42" s="1"/>
  <c r="AV84" i="55"/>
  <c r="W162" i="42"/>
  <c r="W166" i="42" s="1"/>
  <c r="W164" i="42"/>
  <c r="W168" i="42" s="1"/>
  <c r="W165" i="42"/>
  <c r="W163" i="42"/>
  <c r="W167" i="42" s="1"/>
  <c r="T233" i="19"/>
  <c r="T234" i="19"/>
  <c r="W27" i="28"/>
  <c r="W19" i="28"/>
  <c r="W118" i="28" s="1"/>
  <c r="W87" i="45"/>
  <c r="W85" i="45"/>
  <c r="W86" i="45"/>
  <c r="BC86" i="45"/>
  <c r="BC87" i="45"/>
  <c r="BC85" i="45"/>
  <c r="Z5" i="20"/>
  <c r="Y15" i="20"/>
  <c r="Y16" i="20"/>
  <c r="Y14" i="20"/>
  <c r="Y18" i="20"/>
  <c r="Y17" i="20"/>
  <c r="S301" i="38"/>
  <c r="S300" i="38"/>
  <c r="U67" i="15"/>
  <c r="U46" i="15"/>
  <c r="S309" i="38"/>
  <c r="S311" i="38"/>
  <c r="T85" i="55" s="1"/>
  <c r="S313" i="38"/>
  <c r="T87" i="55" s="1"/>
  <c r="S314" i="38"/>
  <c r="T88" i="55" s="1"/>
  <c r="S312" i="38"/>
  <c r="T86" i="55" s="1"/>
  <c r="S310" i="38"/>
  <c r="Y18" i="38"/>
  <c r="Y31" i="38" s="1"/>
  <c r="Y46" i="38" s="1"/>
  <c r="Y237" i="38" s="1"/>
  <c r="Y16" i="38"/>
  <c r="Y29" i="38" s="1"/>
  <c r="Y44" i="38" s="1"/>
  <c r="Y222" i="38" s="1"/>
  <c r="Z5" i="38"/>
  <c r="Y15" i="38"/>
  <c r="Y28" i="38" s="1"/>
  <c r="Y43" i="38" s="1"/>
  <c r="Y17" i="38"/>
  <c r="Y30" i="38" s="1"/>
  <c r="Y45" i="38" s="1"/>
  <c r="Y14" i="38"/>
  <c r="Y16" i="46"/>
  <c r="Y29" i="46" s="1"/>
  <c r="Y44" i="46" s="1"/>
  <c r="Y246" i="46" s="1"/>
  <c r="Y18" i="46"/>
  <c r="Y31" i="46" s="1"/>
  <c r="Z5" i="46"/>
  <c r="Y14" i="46"/>
  <c r="Y17" i="46"/>
  <c r="Y30" i="46" s="1"/>
  <c r="Y45" i="46" s="1"/>
  <c r="Y15" i="46"/>
  <c r="Y28" i="46" s="1"/>
  <c r="Y43" i="46" s="1"/>
  <c r="R177" i="28"/>
  <c r="R182" i="28"/>
  <c r="S65" i="55" s="1"/>
  <c r="R181" i="28"/>
  <c r="S64" i="55" s="1"/>
  <c r="R178" i="28"/>
  <c r="R180" i="28"/>
  <c r="S63" i="55" s="1"/>
  <c r="R179" i="28"/>
  <c r="S62" i="55" s="1"/>
  <c r="Q168" i="28"/>
  <c r="Q169" i="28"/>
  <c r="V50" i="29"/>
  <c r="V145" i="29" s="1"/>
  <c r="R303" i="42"/>
  <c r="R302" i="42"/>
  <c r="X19" i="19"/>
  <c r="X27" i="19"/>
  <c r="Y18" i="29"/>
  <c r="Y31" i="29" s="1"/>
  <c r="Y16" i="29"/>
  <c r="Y29" i="29" s="1"/>
  <c r="Y47" i="29" s="1"/>
  <c r="Z5" i="29"/>
  <c r="Y14" i="29"/>
  <c r="Y15" i="29"/>
  <c r="Y28" i="29" s="1"/>
  <c r="Y46" i="29" s="1"/>
  <c r="Y17" i="29"/>
  <c r="Y30" i="29" s="1"/>
  <c r="W220" i="46"/>
  <c r="W225" i="46" s="1"/>
  <c r="W222" i="46"/>
  <c r="W227" i="46" s="1"/>
  <c r="W221" i="46"/>
  <c r="W226" i="46" s="1"/>
  <c r="W224" i="46"/>
  <c r="X99" i="45" s="1"/>
  <c r="BD99" i="45" s="1"/>
  <c r="W219" i="48"/>
  <c r="W223" i="46"/>
  <c r="W228" i="46" s="1"/>
  <c r="U99" i="42"/>
  <c r="U103" i="42" s="1"/>
  <c r="U98" i="42"/>
  <c r="U102" i="42" s="1"/>
  <c r="U100" i="42"/>
  <c r="U97" i="42"/>
  <c r="U101" i="42" s="1"/>
  <c r="R157" i="29"/>
  <c r="R156" i="29"/>
  <c r="X27" i="42"/>
  <c r="X19" i="42"/>
  <c r="X247" i="42" s="1"/>
  <c r="O340" i="42"/>
  <c r="W141" i="42"/>
  <c r="W139" i="42"/>
  <c r="W143" i="42" s="1"/>
  <c r="W140" i="42"/>
  <c r="W144" i="42" s="1"/>
  <c r="W138" i="42"/>
  <c r="W142" i="42" s="1"/>
  <c r="T240" i="19"/>
  <c r="T239" i="19"/>
  <c r="T251" i="19" s="1"/>
  <c r="S236" i="19"/>
  <c r="S235" i="19"/>
  <c r="W49" i="28"/>
  <c r="P186" i="28"/>
  <c r="P187" i="28" s="1"/>
  <c r="P188" i="28"/>
  <c r="S307" i="38"/>
  <c r="S306" i="38"/>
  <c r="S318" i="38" s="1"/>
  <c r="U67" i="16"/>
  <c r="U46" i="16"/>
  <c r="W32" i="29"/>
  <c r="W45" i="29"/>
  <c r="X137" i="38"/>
  <c r="X145" i="38"/>
  <c r="X161" i="38"/>
  <c r="X153" i="38"/>
  <c r="X246" i="48"/>
  <c r="X249" i="46"/>
  <c r="X254" i="46" s="1"/>
  <c r="X250" i="46"/>
  <c r="X255" i="46" s="1"/>
  <c r="X247" i="46"/>
  <c r="X252" i="46" s="1"/>
  <c r="X248" i="46"/>
  <c r="X253" i="46" s="1"/>
  <c r="X251" i="46"/>
  <c r="Y96" i="45" s="1"/>
  <c r="R238" i="19"/>
  <c r="R237" i="19"/>
  <c r="R241" i="19" s="1"/>
  <c r="X15" i="54"/>
  <c r="X28" i="54" s="1"/>
  <c r="X17" i="54"/>
  <c r="X30" i="54" s="1"/>
  <c r="Y5" i="54"/>
  <c r="X14" i="54"/>
  <c r="X16" i="54"/>
  <c r="X29" i="54" s="1"/>
  <c r="X44" i="54" s="1"/>
  <c r="X150" i="54" s="1"/>
  <c r="X151" i="54" s="1"/>
  <c r="X18" i="54"/>
  <c r="X31" i="54" s="1"/>
  <c r="T250" i="42"/>
  <c r="S283" i="42"/>
  <c r="S284" i="42" s="1"/>
  <c r="V34" i="29"/>
  <c r="V135" i="29"/>
  <c r="Q158" i="29"/>
  <c r="Q162" i="29" s="1"/>
  <c r="Q159" i="29"/>
  <c r="W192" i="38"/>
  <c r="W196" i="38" s="1"/>
  <c r="W193" i="38"/>
  <c r="W197" i="38" s="1"/>
  <c r="W194" i="38"/>
  <c r="W198" i="38" s="1"/>
  <c r="T297" i="38"/>
  <c r="T299" i="38"/>
  <c r="T296" i="38"/>
  <c r="T298" i="38"/>
  <c r="X16" i="53"/>
  <c r="X29" i="53" s="1"/>
  <c r="X44" i="53" s="1"/>
  <c r="X150" i="53" s="1"/>
  <c r="X151" i="53" s="1"/>
  <c r="Y60" i="51" s="1"/>
  <c r="BE60" i="51" s="1"/>
  <c r="X17" i="53"/>
  <c r="X30" i="53" s="1"/>
  <c r="X14" i="53"/>
  <c r="X18" i="53"/>
  <c r="X31" i="53" s="1"/>
  <c r="X15" i="53"/>
  <c r="X28" i="53" s="1"/>
  <c r="Y5" i="53"/>
  <c r="P338" i="42"/>
  <c r="P345" i="42" s="1"/>
  <c r="W155" i="38"/>
  <c r="W159" i="38" s="1"/>
  <c r="W156" i="38"/>
  <c r="W160" i="38" s="1"/>
  <c r="W154" i="38"/>
  <c r="W158" i="38" s="1"/>
  <c r="W157" i="38"/>
  <c r="X79" i="36" s="1"/>
  <c r="BD79" i="36" s="1"/>
  <c r="U295" i="42"/>
  <c r="U292" i="42"/>
  <c r="S154" i="29"/>
  <c r="S155" i="29"/>
  <c r="X224" i="42"/>
  <c r="X228" i="42" s="1"/>
  <c r="X225" i="42"/>
  <c r="X229" i="42" s="1"/>
  <c r="X223" i="42"/>
  <c r="X227" i="42" s="1"/>
  <c r="X226" i="42"/>
  <c r="W32" i="19"/>
  <c r="W45" i="19"/>
  <c r="W50" i="19" s="1"/>
  <c r="DH81" i="55"/>
  <c r="AU126" i="36"/>
  <c r="AU39" i="58" s="1"/>
  <c r="N346" i="42"/>
  <c r="AU127" i="36" s="1"/>
  <c r="Y5" i="28"/>
  <c r="X16" i="28"/>
  <c r="X29" i="28" s="1"/>
  <c r="X47" i="28" s="1"/>
  <c r="X15" i="28"/>
  <c r="X28" i="28" s="1"/>
  <c r="X46" i="28" s="1"/>
  <c r="X74" i="29" s="1"/>
  <c r="Y48" i="16" s="1"/>
  <c r="Y49" i="16" s="1"/>
  <c r="Y136" i="16" s="1"/>
  <c r="X18" i="28"/>
  <c r="X31" i="28" s="1"/>
  <c r="X17" i="28"/>
  <c r="X30" i="28" s="1"/>
  <c r="X14" i="28"/>
  <c r="V152" i="48"/>
  <c r="V149" i="48"/>
  <c r="V154" i="48" s="1"/>
  <c r="V148" i="48"/>
  <c r="V153" i="48" s="1"/>
  <c r="V150" i="48"/>
  <c r="V155" i="48" s="1"/>
  <c r="V151" i="48"/>
  <c r="V156" i="48" s="1"/>
  <c r="U66" i="16"/>
  <c r="U59" i="16"/>
  <c r="U135" i="16" s="1"/>
  <c r="T161" i="28"/>
  <c r="T184" i="28"/>
  <c r="T185" i="28" s="1"/>
  <c r="T153" i="29"/>
  <c r="T150" i="29"/>
  <c r="T151" i="29"/>
  <c r="T152" i="29"/>
  <c r="CV38" i="55"/>
  <c r="CV87" i="55"/>
  <c r="CV63" i="55"/>
  <c r="CV88" i="55"/>
  <c r="CV61" i="55"/>
  <c r="CV85" i="55"/>
  <c r="CV86" i="55"/>
  <c r="CV84" i="55"/>
  <c r="CV62" i="55"/>
  <c r="CV64" i="55"/>
  <c r="CV65" i="55"/>
  <c r="CV40" i="55"/>
  <c r="CV41" i="55"/>
  <c r="CV42" i="55"/>
  <c r="CV39" i="55"/>
  <c r="AK35" i="55"/>
  <c r="CW84" i="55" s="1"/>
  <c r="AK38" i="55"/>
  <c r="H259" i="20"/>
  <c r="BU34" i="55"/>
  <c r="K105" i="12"/>
  <c r="K228" i="12" s="1"/>
  <c r="D163" i="14"/>
  <c r="D159" i="14" s="1"/>
  <c r="D161" i="14" s="1"/>
  <c r="H183" i="19"/>
  <c r="G216" i="19"/>
  <c r="I75" i="19"/>
  <c r="I97" i="14"/>
  <c r="J109" i="14"/>
  <c r="J110" i="14"/>
  <c r="J108" i="14" s="1"/>
  <c r="J109" i="12"/>
  <c r="J91" i="19"/>
  <c r="K136" i="14" s="1"/>
  <c r="K136" i="12"/>
  <c r="J99" i="12"/>
  <c r="J73" i="19"/>
  <c r="K114" i="14" s="1"/>
  <c r="K114" i="12"/>
  <c r="D162" i="12"/>
  <c r="J126" i="19"/>
  <c r="J111" i="19"/>
  <c r="J123" i="19"/>
  <c r="K124" i="19"/>
  <c r="L138" i="14" s="1"/>
  <c r="L138" i="12"/>
  <c r="K95" i="14"/>
  <c r="J113" i="19"/>
  <c r="K106" i="19"/>
  <c r="L103" i="14" s="1"/>
  <c r="L103" i="12"/>
  <c r="J114" i="19"/>
  <c r="D163" i="12"/>
  <c r="D159" i="12" s="1"/>
  <c r="D158" i="12"/>
  <c r="L174" i="19"/>
  <c r="C279" i="19"/>
  <c r="D165" i="14" s="1"/>
  <c r="D278" i="19"/>
  <c r="E155" i="14"/>
  <c r="K98" i="19"/>
  <c r="J180" i="19"/>
  <c r="C321" i="20"/>
  <c r="D164" i="12"/>
  <c r="D29" i="58" s="1"/>
  <c r="I94" i="19"/>
  <c r="I92" i="19"/>
  <c r="L176" i="19"/>
  <c r="I88" i="19"/>
  <c r="I87" i="19"/>
  <c r="L165" i="19"/>
  <c r="L163" i="19"/>
  <c r="L166" i="19"/>
  <c r="L164" i="19"/>
  <c r="I86" i="19"/>
  <c r="I89" i="19"/>
  <c r="I74" i="19"/>
  <c r="I76" i="19"/>
  <c r="J119" i="19"/>
  <c r="J109" i="19"/>
  <c r="I83" i="19"/>
  <c r="J111" i="14" s="1"/>
  <c r="J107" i="14" s="1"/>
  <c r="J111" i="12"/>
  <c r="J107" i="12" s="1"/>
  <c r="K118" i="19"/>
  <c r="L94" i="14" s="1"/>
  <c r="J120" i="19"/>
  <c r="I93" i="19"/>
  <c r="J108" i="19"/>
  <c r="I90" i="19"/>
  <c r="J110" i="12"/>
  <c r="J108" i="12" s="1"/>
  <c r="I80" i="19"/>
  <c r="J106" i="14" s="1"/>
  <c r="J79" i="19"/>
  <c r="K104" i="14" s="1"/>
  <c r="I77" i="19"/>
  <c r="J129" i="19"/>
  <c r="D273" i="19"/>
  <c r="I70" i="19"/>
  <c r="J100" i="14" s="1"/>
  <c r="J98" i="14" s="1"/>
  <c r="I68" i="19"/>
  <c r="J96" i="14" s="1"/>
  <c r="I69" i="19"/>
  <c r="J99" i="14" s="1"/>
  <c r="I71" i="19"/>
  <c r="J101" i="14" s="1"/>
  <c r="G293" i="20"/>
  <c r="M172" i="19"/>
  <c r="N135" i="14" s="1"/>
  <c r="K131" i="19"/>
  <c r="M215" i="20"/>
  <c r="M173" i="19" s="1"/>
  <c r="M217" i="20"/>
  <c r="M175" i="19" s="1"/>
  <c r="M219" i="20"/>
  <c r="M177" i="19" s="1"/>
  <c r="M218" i="20"/>
  <c r="M216" i="20"/>
  <c r="M203" i="20"/>
  <c r="M205" i="20"/>
  <c r="M202" i="20"/>
  <c r="M206" i="20"/>
  <c r="M167" i="19" s="1"/>
  <c r="M204" i="20"/>
  <c r="K149" i="20"/>
  <c r="K125" i="19" s="1"/>
  <c r="K152" i="20"/>
  <c r="K128" i="19" s="1"/>
  <c r="K150" i="20"/>
  <c r="K153" i="20"/>
  <c r="K151" i="20"/>
  <c r="K127" i="19" s="1"/>
  <c r="K132" i="20"/>
  <c r="K134" i="20"/>
  <c r="K110" i="19" s="1"/>
  <c r="K133" i="20"/>
  <c r="K131" i="20"/>
  <c r="K107" i="19" s="1"/>
  <c r="K135" i="20"/>
  <c r="K137" i="20"/>
  <c r="K138" i="20"/>
  <c r="K140" i="20"/>
  <c r="K116" i="19" s="1"/>
  <c r="K141" i="20"/>
  <c r="K117" i="19" s="1"/>
  <c r="K139" i="20"/>
  <c r="K115" i="19" s="1"/>
  <c r="L148" i="20"/>
  <c r="L136" i="20"/>
  <c r="L112" i="19" s="1"/>
  <c r="M126" i="14" s="1"/>
  <c r="L142" i="20"/>
  <c r="L130" i="20"/>
  <c r="K146" i="20"/>
  <c r="K122" i="19" s="1"/>
  <c r="K145" i="20"/>
  <c r="K121" i="19" s="1"/>
  <c r="K143" i="20"/>
  <c r="K147" i="20"/>
  <c r="K144" i="20"/>
  <c r="J98" i="20"/>
  <c r="J94" i="20"/>
  <c r="J96" i="20"/>
  <c r="J97" i="20"/>
  <c r="J95" i="20"/>
  <c r="J86" i="20"/>
  <c r="J78" i="19" s="1"/>
  <c r="J82" i="20"/>
  <c r="J84" i="20"/>
  <c r="J85" i="20"/>
  <c r="J83" i="20"/>
  <c r="J101" i="20"/>
  <c r="J104" i="20"/>
  <c r="J96" i="19" s="1"/>
  <c r="J102" i="20"/>
  <c r="J100" i="20"/>
  <c r="J103" i="20"/>
  <c r="J95" i="19" s="1"/>
  <c r="K75" i="20"/>
  <c r="K67" i="19" s="1"/>
  <c r="L93" i="14" s="1"/>
  <c r="K93" i="20"/>
  <c r="K85" i="19" s="1"/>
  <c r="L124" i="14" s="1"/>
  <c r="K81" i="20"/>
  <c r="K87" i="20"/>
  <c r="L104" i="12" s="1"/>
  <c r="K99" i="20"/>
  <c r="J89" i="20"/>
  <c r="J81" i="19" s="1"/>
  <c r="J91" i="20"/>
  <c r="J90" i="20"/>
  <c r="J82" i="19" s="1"/>
  <c r="J92" i="20"/>
  <c r="J84" i="19" s="1"/>
  <c r="J88" i="20"/>
  <c r="K106" i="12" s="1"/>
  <c r="J76" i="20"/>
  <c r="K96" i="12" s="1"/>
  <c r="J79" i="20"/>
  <c r="K101" i="12" s="1"/>
  <c r="K97" i="12" s="1"/>
  <c r="J80" i="20"/>
  <c r="J72" i="19" s="1"/>
  <c r="J77" i="20"/>
  <c r="J78" i="20"/>
  <c r="K100" i="12" s="1"/>
  <c r="K98" i="12" s="1"/>
  <c r="M19" i="20"/>
  <c r="M222" i="20" s="1"/>
  <c r="J36" i="20"/>
  <c r="J37" i="20"/>
  <c r="H281" i="20"/>
  <c r="H282" i="20"/>
  <c r="K95" i="12"/>
  <c r="L45" i="20"/>
  <c r="L32" i="20"/>
  <c r="BY4" i="55" s="1"/>
  <c r="DE4" i="55" s="1"/>
  <c r="I258" i="20"/>
  <c r="J225" i="20"/>
  <c r="L132" i="19"/>
  <c r="L135" i="19"/>
  <c r="M125" i="12"/>
  <c r="L134" i="19"/>
  <c r="L133" i="19"/>
  <c r="L136" i="19"/>
  <c r="K256" i="20"/>
  <c r="K34" i="20"/>
  <c r="H276" i="20"/>
  <c r="H275" i="20"/>
  <c r="L157" i="19"/>
  <c r="J179" i="19"/>
  <c r="N31" i="20"/>
  <c r="N49" i="20" s="1"/>
  <c r="N214" i="20" s="1"/>
  <c r="O135" i="12" s="1"/>
  <c r="I273" i="20"/>
  <c r="I274" i="20"/>
  <c r="I272" i="20"/>
  <c r="I271" i="20"/>
  <c r="F280" i="20"/>
  <c r="F279" i="20"/>
  <c r="F283" i="20" s="1"/>
  <c r="M30" i="20"/>
  <c r="M48" i="20" s="1"/>
  <c r="D311" i="20"/>
  <c r="D313" i="20"/>
  <c r="N123" i="12"/>
  <c r="M158" i="19"/>
  <c r="M160" i="19"/>
  <c r="L169" i="19"/>
  <c r="K55" i="19"/>
  <c r="K52" i="19" s="1"/>
  <c r="K62" i="19"/>
  <c r="K50" i="20"/>
  <c r="K221" i="20" s="1"/>
  <c r="K60" i="19"/>
  <c r="K53" i="19"/>
  <c r="K65" i="19"/>
  <c r="K58" i="19"/>
  <c r="K63" i="19"/>
  <c r="K64" i="19"/>
  <c r="L124" i="12"/>
  <c r="K57" i="19"/>
  <c r="L93" i="12"/>
  <c r="K56" i="19"/>
  <c r="K61" i="19"/>
  <c r="K54" i="19"/>
  <c r="M28" i="20"/>
  <c r="M46" i="20" s="1"/>
  <c r="N94" i="12" s="1"/>
  <c r="J266" i="20"/>
  <c r="J318" i="20"/>
  <c r="J267" i="20"/>
  <c r="J270" i="20"/>
  <c r="J317" i="20"/>
  <c r="M170" i="19"/>
  <c r="J226" i="14"/>
  <c r="N29" i="20"/>
  <c r="N47" i="20" s="1"/>
  <c r="N201" i="20" s="1"/>
  <c r="N162" i="19" s="1"/>
  <c r="O123" i="14" s="1"/>
  <c r="J226" i="12"/>
  <c r="L103" i="19"/>
  <c r="L104" i="19"/>
  <c r="L102" i="19"/>
  <c r="L99" i="19"/>
  <c r="L100" i="19"/>
  <c r="L101" i="19"/>
  <c r="M126" i="12"/>
  <c r="M27" i="20"/>
  <c r="N19" i="20"/>
  <c r="G278" i="20"/>
  <c r="G277" i="20"/>
  <c r="P183" i="29" l="1"/>
  <c r="P190" i="29" s="1"/>
  <c r="V65" i="16"/>
  <c r="V139" i="16" s="1"/>
  <c r="U92" i="29"/>
  <c r="H260" i="20"/>
  <c r="H261" i="20"/>
  <c r="BU38" i="55" s="1"/>
  <c r="H264" i="20"/>
  <c r="BU41" i="55" s="1"/>
  <c r="H265" i="20"/>
  <c r="BU42" i="55" s="1"/>
  <c r="H263" i="20"/>
  <c r="BU40" i="55" s="1"/>
  <c r="H262" i="20"/>
  <c r="BU39" i="55" s="1"/>
  <c r="U294" i="42"/>
  <c r="R321" i="42"/>
  <c r="R322" i="42" s="1"/>
  <c r="S174" i="29"/>
  <c r="S175" i="29" s="1"/>
  <c r="S176" i="29" s="1"/>
  <c r="T141" i="15"/>
  <c r="T142" i="15" s="1"/>
  <c r="U57" i="55"/>
  <c r="R178" i="29"/>
  <c r="V246" i="38"/>
  <c r="T141" i="16"/>
  <c r="T142" i="16" s="1"/>
  <c r="CW38" i="55"/>
  <c r="N204" i="28"/>
  <c r="P192" i="29"/>
  <c r="P69" i="15"/>
  <c r="W275" i="19"/>
  <c r="W276" i="19"/>
  <c r="W228" i="19"/>
  <c r="W224" i="19"/>
  <c r="W225" i="19"/>
  <c r="U311" i="42"/>
  <c r="BB85" i="55" s="1"/>
  <c r="U310" i="42"/>
  <c r="U313" i="42"/>
  <c r="BB87" i="55" s="1"/>
  <c r="U309" i="42"/>
  <c r="U314" i="42"/>
  <c r="BB88" i="55" s="1"/>
  <c r="U312" i="42"/>
  <c r="BB86" i="55" s="1"/>
  <c r="Y14" i="53"/>
  <c r="Y16" i="53"/>
  <c r="Y29" i="53" s="1"/>
  <c r="Y44" i="53" s="1"/>
  <c r="Y150" i="53" s="1"/>
  <c r="Y151" i="53" s="1"/>
  <c r="Z60" i="51" s="1"/>
  <c r="BF60" i="51" s="1"/>
  <c r="Y18" i="53"/>
  <c r="Y31" i="53" s="1"/>
  <c r="Z5" i="53"/>
  <c r="Y17" i="53"/>
  <c r="Y30" i="53" s="1"/>
  <c r="Y15" i="53"/>
  <c r="Y28" i="53" s="1"/>
  <c r="T307" i="38"/>
  <c r="T306" i="38"/>
  <c r="T318" i="38" s="1"/>
  <c r="Y15" i="54"/>
  <c r="Y28" i="54" s="1"/>
  <c r="Z5" i="54"/>
  <c r="Y16" i="54"/>
  <c r="Y29" i="54" s="1"/>
  <c r="Y44" i="54" s="1"/>
  <c r="Y150" i="54" s="1"/>
  <c r="Y151" i="54" s="1"/>
  <c r="Y18" i="54"/>
  <c r="Y31" i="54" s="1"/>
  <c r="Y17" i="54"/>
  <c r="Y30" i="54" s="1"/>
  <c r="Y14" i="54"/>
  <c r="W34" i="29"/>
  <c r="W135" i="29"/>
  <c r="X32" i="19"/>
  <c r="X45" i="19"/>
  <c r="X50" i="19" s="1"/>
  <c r="Y209" i="46"/>
  <c r="Y229" i="46"/>
  <c r="Y219" i="46"/>
  <c r="Z17" i="38"/>
  <c r="Z30" i="38" s="1"/>
  <c r="Z45" i="38" s="1"/>
  <c r="Z14" i="38"/>
  <c r="Z18" i="38"/>
  <c r="Z31" i="38" s="1"/>
  <c r="Z46" i="38" s="1"/>
  <c r="Z237" i="38" s="1"/>
  <c r="AA5" i="38"/>
  <c r="Z16" i="38"/>
  <c r="Z29" i="38" s="1"/>
  <c r="Z44" i="38" s="1"/>
  <c r="Z222" i="38" s="1"/>
  <c r="Z15" i="38"/>
  <c r="Z28" i="38" s="1"/>
  <c r="Z43" i="38" s="1"/>
  <c r="V81" i="42"/>
  <c r="V85" i="42" s="1"/>
  <c r="V84" i="42"/>
  <c r="V82" i="42"/>
  <c r="V86" i="42" s="1"/>
  <c r="V83" i="42"/>
  <c r="V87" i="42" s="1"/>
  <c r="T163" i="28"/>
  <c r="T162" i="28"/>
  <c r="T160" i="28"/>
  <c r="S318" i="42"/>
  <c r="S319" i="42" s="1"/>
  <c r="S320" i="42"/>
  <c r="S323" i="42" s="1"/>
  <c r="S328" i="42" s="1"/>
  <c r="Y207" i="42"/>
  <c r="Y191" i="42"/>
  <c r="Y199" i="42"/>
  <c r="S303" i="42"/>
  <c r="S302" i="42"/>
  <c r="X224" i="46"/>
  <c r="Y99" i="45" s="1"/>
  <c r="BE99" i="45" s="1"/>
  <c r="X219" i="48"/>
  <c r="X220" i="46"/>
  <c r="X225" i="46" s="1"/>
  <c r="X221" i="46"/>
  <c r="X226" i="46" s="1"/>
  <c r="X223" i="46"/>
  <c r="X228" i="46" s="1"/>
  <c r="X222" i="46"/>
  <c r="X227" i="46" s="1"/>
  <c r="DI81" i="55"/>
  <c r="X49" i="28"/>
  <c r="W34" i="19"/>
  <c r="W214" i="19"/>
  <c r="X61" i="15"/>
  <c r="W88" i="29"/>
  <c r="Y19" i="46"/>
  <c r="Y275" i="46" s="1"/>
  <c r="Y27" i="46"/>
  <c r="Y32" i="46" s="1"/>
  <c r="Y223" i="38"/>
  <c r="Y227" i="38" s="1"/>
  <c r="Y225" i="38"/>
  <c r="Y229" i="38" s="1"/>
  <c r="Y224" i="38"/>
  <c r="Y228" i="38" s="1"/>
  <c r="U68" i="15"/>
  <c r="U77" i="15" s="1"/>
  <c r="U134" i="15"/>
  <c r="U140" i="15" s="1"/>
  <c r="U133" i="15" a="1"/>
  <c r="U141" i="15" s="1"/>
  <c r="U142" i="15" s="1"/>
  <c r="W212" i="48"/>
  <c r="W217" i="48" s="1"/>
  <c r="W214" i="48"/>
  <c r="W213" i="48"/>
  <c r="W218" i="48" s="1"/>
  <c r="W210" i="48"/>
  <c r="W215" i="48" s="1"/>
  <c r="W211" i="48"/>
  <c r="W216" i="48" s="1"/>
  <c r="V295" i="42"/>
  <c r="V292" i="42"/>
  <c r="M72" i="15"/>
  <c r="M34" i="58" s="1"/>
  <c r="L214" i="28"/>
  <c r="M73" i="15" s="1"/>
  <c r="W172" i="48"/>
  <c r="W169" i="48"/>
  <c r="W174" i="48" s="1"/>
  <c r="W168" i="48"/>
  <c r="W173" i="48" s="1"/>
  <c r="W171" i="48"/>
  <c r="W176" i="48" s="1"/>
  <c r="W170" i="48"/>
  <c r="W175" i="48" s="1"/>
  <c r="Y240" i="42"/>
  <c r="Y244" i="42" s="1"/>
  <c r="Y239" i="42"/>
  <c r="Y243" i="42" s="1"/>
  <c r="Y238" i="42"/>
  <c r="Y242" i="42" s="1"/>
  <c r="Y241" i="42"/>
  <c r="DN80" i="55"/>
  <c r="BB80" i="55"/>
  <c r="O206" i="28"/>
  <c r="O213" i="28" s="1"/>
  <c r="S173" i="29"/>
  <c r="Y19" i="19"/>
  <c r="Y27" i="19"/>
  <c r="X193" i="38"/>
  <c r="X197" i="38" s="1"/>
  <c r="X192" i="38"/>
  <c r="X196" i="38" s="1"/>
  <c r="X194" i="38"/>
  <c r="X198" i="38" s="1"/>
  <c r="U103" i="29"/>
  <c r="U91" i="29"/>
  <c r="V66" i="15"/>
  <c r="V59" i="15"/>
  <c r="V135" i="15" s="1"/>
  <c r="R155" i="28"/>
  <c r="CE62" i="55" s="1"/>
  <c r="R154" i="28"/>
  <c r="CE61" i="55" s="1"/>
  <c r="R157" i="28"/>
  <c r="CE64" i="55" s="1"/>
  <c r="R153" i="28"/>
  <c r="R156" i="28"/>
  <c r="CE63" i="55" s="1"/>
  <c r="R158" i="28"/>
  <c r="CE65" i="55" s="1"/>
  <c r="X229" i="48"/>
  <c r="X232" i="46"/>
  <c r="X237" i="46" s="1"/>
  <c r="X231" i="46"/>
  <c r="X236" i="46" s="1"/>
  <c r="X233" i="46"/>
  <c r="X238" i="46" s="1"/>
  <c r="X234" i="46"/>
  <c r="Y108" i="45" s="1"/>
  <c r="BE108" i="45" s="1"/>
  <c r="X230" i="46"/>
  <c r="X235" i="46" s="1"/>
  <c r="U297" i="38"/>
  <c r="U296" i="38"/>
  <c r="U299" i="38"/>
  <c r="U298" i="38"/>
  <c r="AW81" i="55"/>
  <c r="T154" i="29"/>
  <c r="T155" i="29"/>
  <c r="Y64" i="15"/>
  <c r="Y48" i="15"/>
  <c r="Y49" i="15" s="1"/>
  <c r="Y136" i="15" s="1"/>
  <c r="Y45" i="15"/>
  <c r="Y58" i="15"/>
  <c r="X67" i="29"/>
  <c r="X77" i="29"/>
  <c r="Y45" i="16" s="1"/>
  <c r="X71" i="29"/>
  <c r="X75" i="29"/>
  <c r="X70" i="29"/>
  <c r="X68" i="29"/>
  <c r="X78" i="29"/>
  <c r="Y64" i="16" s="1"/>
  <c r="X66" i="29"/>
  <c r="X65" i="29" s="1"/>
  <c r="X76" i="29"/>
  <c r="Y58" i="16" s="1"/>
  <c r="X73" i="29"/>
  <c r="X69" i="29"/>
  <c r="U299" i="42"/>
  <c r="U297" i="42"/>
  <c r="U296" i="42"/>
  <c r="U298" i="42"/>
  <c r="V36" i="29"/>
  <c r="V37" i="29"/>
  <c r="X250" i="48"/>
  <c r="X255" i="48" s="1"/>
  <c r="X249" i="48"/>
  <c r="X254" i="48" s="1"/>
  <c r="X247" i="48"/>
  <c r="X252" i="48" s="1"/>
  <c r="X251" i="48"/>
  <c r="X248" i="48"/>
  <c r="X253" i="48" s="1"/>
  <c r="S237" i="19"/>
  <c r="S241" i="19" s="1"/>
  <c r="S238" i="19"/>
  <c r="Z15" i="46"/>
  <c r="Z28" i="46" s="1"/>
  <c r="Z43" i="46" s="1"/>
  <c r="Z17" i="46"/>
  <c r="Z30" i="46" s="1"/>
  <c r="Z45" i="46" s="1"/>
  <c r="AA5" i="46"/>
  <c r="Z14" i="46"/>
  <c r="Z18" i="46"/>
  <c r="Z31" i="46" s="1"/>
  <c r="Z16" i="46"/>
  <c r="Z29" i="46" s="1"/>
  <c r="Z44" i="46" s="1"/>
  <c r="Z246" i="46" s="1"/>
  <c r="Y240" i="38"/>
  <c r="Y244" i="38" s="1"/>
  <c r="Y238" i="38"/>
  <c r="Y242" i="38" s="1"/>
  <c r="Y239" i="38"/>
  <c r="Y243" i="38" s="1"/>
  <c r="AA5" i="20"/>
  <c r="Z15" i="20"/>
  <c r="Z16" i="20"/>
  <c r="Z14" i="20"/>
  <c r="Z17" i="20"/>
  <c r="Z18" i="20"/>
  <c r="W32" i="28"/>
  <c r="W45" i="28"/>
  <c r="V74" i="42"/>
  <c r="V78" i="42" s="1"/>
  <c r="V76" i="42"/>
  <c r="V73" i="42"/>
  <c r="V77" i="42" s="1"/>
  <c r="V75" i="42"/>
  <c r="V79" i="42" s="1"/>
  <c r="V295" i="38"/>
  <c r="V292" i="38"/>
  <c r="U153" i="29"/>
  <c r="U151" i="29"/>
  <c r="U152" i="29"/>
  <c r="U150" i="29"/>
  <c r="R143" i="29"/>
  <c r="R140" i="29"/>
  <c r="R142" i="29"/>
  <c r="R144" i="29"/>
  <c r="R139" i="29"/>
  <c r="R141" i="29"/>
  <c r="Y19" i="42"/>
  <c r="Y247" i="42" s="1"/>
  <c r="Y27" i="42"/>
  <c r="R328" i="42"/>
  <c r="R329" i="42" s="1"/>
  <c r="R336" i="42" s="1"/>
  <c r="W181" i="48"/>
  <c r="W186" i="48" s="1"/>
  <c r="W182" i="48"/>
  <c r="W179" i="48"/>
  <c r="W184" i="48" s="1"/>
  <c r="W178" i="48"/>
  <c r="W183" i="48" s="1"/>
  <c r="W180" i="48"/>
  <c r="W185" i="48" s="1"/>
  <c r="W197" i="54"/>
  <c r="W34" i="54"/>
  <c r="X162" i="42"/>
  <c r="X166" i="42" s="1"/>
  <c r="X163" i="42"/>
  <c r="X167" i="42" s="1"/>
  <c r="X164" i="42"/>
  <c r="X168" i="42" s="1"/>
  <c r="X165" i="42"/>
  <c r="X211" i="38"/>
  <c r="X210" i="38"/>
  <c r="X214" i="38" s="1"/>
  <c r="X208" i="38"/>
  <c r="X212" i="38" s="1"/>
  <c r="X209" i="38"/>
  <c r="X213" i="38" s="1"/>
  <c r="U159" i="28"/>
  <c r="U211" i="28"/>
  <c r="U210" i="28"/>
  <c r="W281" i="38"/>
  <c r="W34" i="38"/>
  <c r="X211" i="46"/>
  <c r="X216" i="46" s="1"/>
  <c r="X213" i="46"/>
  <c r="X218" i="46" s="1"/>
  <c r="X210" i="46"/>
  <c r="X215" i="46" s="1"/>
  <c r="X214" i="46"/>
  <c r="Y89" i="45" s="1"/>
  <c r="X209" i="48"/>
  <c r="X212" i="46"/>
  <c r="X217" i="46" s="1"/>
  <c r="X42" i="38"/>
  <c r="X32" i="38"/>
  <c r="Y55" i="15"/>
  <c r="X85" i="29"/>
  <c r="Y55" i="16" s="1"/>
  <c r="X83" i="29"/>
  <c r="X82" i="29" s="1"/>
  <c r="X19" i="53"/>
  <c r="X27" i="53"/>
  <c r="X32" i="53" s="1"/>
  <c r="S289" i="42"/>
  <c r="S286" i="42"/>
  <c r="S288" i="42"/>
  <c r="S285" i="42"/>
  <c r="S287" i="42"/>
  <c r="S290" i="42"/>
  <c r="X156" i="38"/>
  <c r="X160" i="38" s="1"/>
  <c r="X157" i="38"/>
  <c r="Y79" i="36" s="1"/>
  <c r="BE79" i="36" s="1"/>
  <c r="X155" i="38"/>
  <c r="X159" i="38" s="1"/>
  <c r="X154" i="38"/>
  <c r="X158" i="38" s="1"/>
  <c r="U68" i="16"/>
  <c r="U77" i="16"/>
  <c r="U133" i="16" a="1"/>
  <c r="U134" i="16"/>
  <c r="U140" i="16" s="1"/>
  <c r="R304" i="42"/>
  <c r="R308" i="42" s="1"/>
  <c r="R305" i="42"/>
  <c r="T235" i="19"/>
  <c r="T236" i="19"/>
  <c r="V106" i="42"/>
  <c r="V110" i="42" s="1"/>
  <c r="V107" i="42"/>
  <c r="V111" i="42" s="1"/>
  <c r="V105" i="42"/>
  <c r="V109" i="42" s="1"/>
  <c r="V108" i="42"/>
  <c r="V293" i="38"/>
  <c r="W80" i="55" s="1"/>
  <c r="V316" i="38"/>
  <c r="T104" i="29"/>
  <c r="S137" i="29"/>
  <c r="S138" i="29" s="1"/>
  <c r="Z14" i="42"/>
  <c r="Z17" i="42"/>
  <c r="Z30" i="42" s="1"/>
  <c r="Z45" i="42" s="1"/>
  <c r="Z16" i="42"/>
  <c r="Z29" i="42" s="1"/>
  <c r="Z44" i="42" s="1"/>
  <c r="Z222" i="42" s="1"/>
  <c r="AA5" i="42"/>
  <c r="Z15" i="42"/>
  <c r="Z28" i="42" s="1"/>
  <c r="Z43" i="42" s="1"/>
  <c r="Z18" i="42"/>
  <c r="Z31" i="42" s="1"/>
  <c r="Z46" i="42" s="1"/>
  <c r="Z237" i="42" s="1"/>
  <c r="T170" i="29"/>
  <c r="T171" i="29" s="1"/>
  <c r="T147" i="29"/>
  <c r="X195" i="42"/>
  <c r="X192" i="42"/>
  <c r="X196" i="42" s="1"/>
  <c r="X194" i="42"/>
  <c r="X198" i="42" s="1"/>
  <c r="X193" i="42"/>
  <c r="X197" i="42" s="1"/>
  <c r="X147" i="42"/>
  <c r="X151" i="42" s="1"/>
  <c r="X148" i="42"/>
  <c r="X152" i="42" s="1"/>
  <c r="X146" i="42"/>
  <c r="X150" i="42" s="1"/>
  <c r="X149" i="42"/>
  <c r="AA5" i="19"/>
  <c r="Z17" i="19"/>
  <c r="Z30" i="19" s="1"/>
  <c r="Z48" i="19" s="1"/>
  <c r="Z18" i="19"/>
  <c r="Z31" i="19" s="1"/>
  <c r="Z49" i="19" s="1"/>
  <c r="Z15" i="19"/>
  <c r="Z28" i="19" s="1"/>
  <c r="Z46" i="19" s="1"/>
  <c r="Z14" i="19"/>
  <c r="Z16" i="19"/>
  <c r="Z29" i="19" s="1"/>
  <c r="Z47" i="19" s="1"/>
  <c r="X200" i="38"/>
  <c r="X204" i="38" s="1"/>
  <c r="X201" i="38"/>
  <c r="X205" i="38" s="1"/>
  <c r="X202" i="38"/>
  <c r="X206" i="38" s="1"/>
  <c r="X203" i="38"/>
  <c r="Y101" i="36" s="1"/>
  <c r="BE101" i="36" s="1"/>
  <c r="V46" i="16"/>
  <c r="V67" i="16"/>
  <c r="V59" i="16"/>
  <c r="V135" i="16" s="1"/>
  <c r="V66" i="16"/>
  <c r="W249" i="38"/>
  <c r="W47" i="38"/>
  <c r="W291" i="38" s="1"/>
  <c r="W96" i="38"/>
  <c r="W72" i="38"/>
  <c r="W73" i="38" s="1"/>
  <c r="W80" i="38"/>
  <c r="W104" i="38"/>
  <c r="Y16" i="28"/>
  <c r="Y29" i="28" s="1"/>
  <c r="Y47" i="28" s="1"/>
  <c r="Y14" i="28"/>
  <c r="Y15" i="28"/>
  <c r="Y28" i="28" s="1"/>
  <c r="Y46" i="28" s="1"/>
  <c r="Y71" i="29" s="1"/>
  <c r="Z5" i="28"/>
  <c r="Y17" i="28"/>
  <c r="Y30" i="28" s="1"/>
  <c r="Y18" i="28"/>
  <c r="Y31" i="28" s="1"/>
  <c r="U250" i="42"/>
  <c r="T283" i="42"/>
  <c r="T284" i="42" s="1"/>
  <c r="X165" i="38"/>
  <c r="Y109" i="36" s="1"/>
  <c r="BE109" i="36" s="1"/>
  <c r="X163" i="38"/>
  <c r="X167" i="38" s="1"/>
  <c r="X164" i="38"/>
  <c r="X168" i="38" s="1"/>
  <c r="X162" i="38"/>
  <c r="X166" i="38" s="1"/>
  <c r="X42" i="42"/>
  <c r="X32" i="42"/>
  <c r="Y19" i="29"/>
  <c r="Y27" i="29"/>
  <c r="Y249" i="46"/>
  <c r="Y254" i="46" s="1"/>
  <c r="Y247" i="46"/>
  <c r="Y252" i="46" s="1"/>
  <c r="Y250" i="46"/>
  <c r="Y255" i="46" s="1"/>
  <c r="Y248" i="46"/>
  <c r="Y253" i="46" s="1"/>
  <c r="Y251" i="46"/>
  <c r="Z96" i="45" s="1"/>
  <c r="Y246" i="48"/>
  <c r="S303" i="38"/>
  <c r="S302" i="38"/>
  <c r="V293" i="42"/>
  <c r="V316" i="42"/>
  <c r="V317" i="42" s="1"/>
  <c r="W150" i="48"/>
  <c r="W155" i="48" s="1"/>
  <c r="W149" i="48"/>
  <c r="W154" i="48" s="1"/>
  <c r="W148" i="48"/>
  <c r="W153" i="48" s="1"/>
  <c r="W151" i="48"/>
  <c r="W156" i="48" s="1"/>
  <c r="W152" i="48"/>
  <c r="X34" i="46"/>
  <c r="X309" i="46"/>
  <c r="R177" i="29"/>
  <c r="X203" i="42"/>
  <c r="X200" i="42"/>
  <c r="X204" i="42" s="1"/>
  <c r="X202" i="42"/>
  <c r="X206" i="42" s="1"/>
  <c r="X201" i="42"/>
  <c r="X205" i="42" s="1"/>
  <c r="Z17" i="48"/>
  <c r="Z30" i="48" s="1"/>
  <c r="Z45" i="48" s="1"/>
  <c r="Z16" i="48"/>
  <c r="Z29" i="48" s="1"/>
  <c r="Z44" i="48" s="1"/>
  <c r="Z18" i="48"/>
  <c r="Z31" i="48" s="1"/>
  <c r="Z14" i="48"/>
  <c r="AA5" i="48"/>
  <c r="Z15" i="48"/>
  <c r="Z28" i="48" s="1"/>
  <c r="Z43" i="48" s="1"/>
  <c r="W161" i="48"/>
  <c r="W166" i="48" s="1"/>
  <c r="W159" i="48"/>
  <c r="W164" i="48" s="1"/>
  <c r="W160" i="48"/>
  <c r="W165" i="48" s="1"/>
  <c r="W162" i="48"/>
  <c r="W158" i="48"/>
  <c r="W163" i="48" s="1"/>
  <c r="X159" i="46"/>
  <c r="X164" i="46" s="1"/>
  <c r="X161" i="46"/>
  <c r="X166" i="46" s="1"/>
  <c r="X158" i="46"/>
  <c r="X163" i="46" s="1"/>
  <c r="X162" i="46"/>
  <c r="Y98" i="45" s="1"/>
  <c r="BE98" i="45" s="1"/>
  <c r="X157" i="48"/>
  <c r="X160" i="46"/>
  <c r="X165" i="46" s="1"/>
  <c r="X154" i="42"/>
  <c r="X158" i="42" s="1"/>
  <c r="X156" i="42"/>
  <c r="X160" i="42" s="1"/>
  <c r="X155" i="42"/>
  <c r="X159" i="42" s="1"/>
  <c r="X157" i="42"/>
  <c r="Q186" i="28"/>
  <c r="Q187" i="28" s="1"/>
  <c r="Q188" i="28"/>
  <c r="W34" i="42"/>
  <c r="W281" i="42"/>
  <c r="P72" i="16"/>
  <c r="AV34" i="58" s="1"/>
  <c r="O200" i="29"/>
  <c r="P73" i="16" s="1"/>
  <c r="T161" i="29"/>
  <c r="T160" i="29"/>
  <c r="T172" i="29" s="1"/>
  <c r="X146" i="38"/>
  <c r="X150" i="38" s="1"/>
  <c r="X148" i="38"/>
  <c r="X152" i="38" s="1"/>
  <c r="X149" i="38"/>
  <c r="Y100" i="36" s="1"/>
  <c r="BE100" i="36" s="1"/>
  <c r="X147" i="38"/>
  <c r="X151" i="38" s="1"/>
  <c r="R159" i="29"/>
  <c r="R158" i="29"/>
  <c r="R162" i="29" s="1"/>
  <c r="W221" i="48"/>
  <c r="W226" i="48" s="1"/>
  <c r="W222" i="48"/>
  <c r="W227" i="48" s="1"/>
  <c r="W224" i="48"/>
  <c r="W223" i="48"/>
  <c r="W228" i="48" s="1"/>
  <c r="W220" i="48"/>
  <c r="W225" i="48" s="1"/>
  <c r="AA5" i="29"/>
  <c r="Z16" i="29"/>
  <c r="Z29" i="29" s="1"/>
  <c r="Z47" i="29" s="1"/>
  <c r="Z18" i="29"/>
  <c r="Z31" i="29" s="1"/>
  <c r="Z14" i="29"/>
  <c r="Z17" i="29"/>
  <c r="Z30" i="29" s="1"/>
  <c r="Z15" i="29"/>
  <c r="Z28" i="29" s="1"/>
  <c r="Z46" i="29" s="1"/>
  <c r="Y19" i="38"/>
  <c r="Y247" i="38" s="1"/>
  <c r="Y27" i="38"/>
  <c r="Q329" i="42"/>
  <c r="Q338" i="42" s="1"/>
  <c r="V36" i="19"/>
  <c r="V37" i="19"/>
  <c r="N69" i="15"/>
  <c r="N71" i="15" s="1"/>
  <c r="N33" i="58" s="1"/>
  <c r="N58" i="55"/>
  <c r="M208" i="28"/>
  <c r="N61" i="55"/>
  <c r="M213" i="28"/>
  <c r="V232" i="19"/>
  <c r="V231" i="19"/>
  <c r="V230" i="19"/>
  <c r="V229" i="19"/>
  <c r="U240" i="19"/>
  <c r="U239" i="19"/>
  <c r="U251" i="19" s="1"/>
  <c r="X211" i="42"/>
  <c r="X210" i="42"/>
  <c r="X214" i="42" s="1"/>
  <c r="X209" i="42"/>
  <c r="X213" i="42" s="1"/>
  <c r="X208" i="42"/>
  <c r="X212" i="42" s="1"/>
  <c r="X32" i="29"/>
  <c r="X45" i="29"/>
  <c r="Y19" i="48"/>
  <c r="Y275" i="48" s="1"/>
  <c r="Y27" i="48"/>
  <c r="Y32" i="48" s="1"/>
  <c r="X177" i="48"/>
  <c r="X179" i="46"/>
  <c r="X184" i="46" s="1"/>
  <c r="X182" i="46"/>
  <c r="Y107" i="45" s="1"/>
  <c r="BE107" i="45" s="1"/>
  <c r="X181" i="46"/>
  <c r="X186" i="46" s="1"/>
  <c r="X180" i="46"/>
  <c r="X185" i="46" s="1"/>
  <c r="X178" i="46"/>
  <c r="X183" i="46" s="1"/>
  <c r="R163" i="29"/>
  <c r="R164" i="29"/>
  <c r="R166" i="29"/>
  <c r="AY63" i="55" s="1"/>
  <c r="R168" i="29"/>
  <c r="AY65" i="55" s="1"/>
  <c r="R167" i="29"/>
  <c r="AY64" i="55" s="1"/>
  <c r="R165" i="29"/>
  <c r="AY62" i="55" s="1"/>
  <c r="U37" i="28"/>
  <c r="U36" i="28"/>
  <c r="X138" i="42"/>
  <c r="X142" i="42" s="1"/>
  <c r="X141" i="42"/>
  <c r="X139" i="42"/>
  <c r="X143" i="42" s="1"/>
  <c r="X140" i="42"/>
  <c r="X144" i="42" s="1"/>
  <c r="T301" i="42"/>
  <c r="T300" i="42"/>
  <c r="W249" i="42"/>
  <c r="W47" i="42"/>
  <c r="W291" i="42" s="1"/>
  <c r="W72" i="42"/>
  <c r="W104" i="42"/>
  <c r="W80" i="42"/>
  <c r="W96" i="42"/>
  <c r="V67" i="15"/>
  <c r="V46" i="15"/>
  <c r="U184" i="28"/>
  <c r="U185" i="28" s="1"/>
  <c r="U161" i="28"/>
  <c r="W34" i="53"/>
  <c r="W197" i="53"/>
  <c r="Q190" i="29"/>
  <c r="R169" i="28"/>
  <c r="R168" i="28"/>
  <c r="S157" i="29"/>
  <c r="S156" i="29"/>
  <c r="T301" i="38"/>
  <c r="T300" i="38"/>
  <c r="X140" i="38"/>
  <c r="X138" i="38"/>
  <c r="X139" i="38"/>
  <c r="Y83" i="29"/>
  <c r="Y82" i="29" s="1"/>
  <c r="V149" i="29"/>
  <c r="V146" i="29"/>
  <c r="Y207" i="38"/>
  <c r="Y199" i="38"/>
  <c r="Y191" i="38"/>
  <c r="V246" i="42"/>
  <c r="X309" i="48"/>
  <c r="X34" i="48"/>
  <c r="V216" i="28"/>
  <c r="V54" i="29"/>
  <c r="V62" i="29"/>
  <c r="W62" i="16" s="1"/>
  <c r="V56" i="29"/>
  <c r="V61" i="29"/>
  <c r="V59" i="29"/>
  <c r="W44" i="16" s="1"/>
  <c r="V53" i="29"/>
  <c r="V50" i="28"/>
  <c r="V57" i="29"/>
  <c r="V60" i="29"/>
  <c r="W62" i="15"/>
  <c r="V55" i="29"/>
  <c r="V52" i="29" s="1"/>
  <c r="W44" i="15"/>
  <c r="V63" i="29"/>
  <c r="W56" i="16" s="1"/>
  <c r="W56" i="15"/>
  <c r="Y137" i="42"/>
  <c r="Y145" i="42"/>
  <c r="Y153" i="42"/>
  <c r="Y161" i="42"/>
  <c r="U197" i="29"/>
  <c r="U196" i="29"/>
  <c r="DL57" i="55"/>
  <c r="AZ57" i="55"/>
  <c r="S148" i="29"/>
  <c r="X169" i="46"/>
  <c r="X174" i="46" s="1"/>
  <c r="X168" i="46"/>
  <c r="X173" i="46" s="1"/>
  <c r="X167" i="48"/>
  <c r="X172" i="46"/>
  <c r="Y77" i="45" s="1"/>
  <c r="BE77" i="45" s="1"/>
  <c r="X171" i="46"/>
  <c r="X176" i="46" s="1"/>
  <c r="X170" i="46"/>
  <c r="X175" i="46" s="1"/>
  <c r="W61" i="16"/>
  <c r="V87" i="29"/>
  <c r="CF57" i="55"/>
  <c r="S152" i="28"/>
  <c r="S182" i="28"/>
  <c r="T65" i="55" s="1"/>
  <c r="S179" i="28"/>
  <c r="T62" i="55" s="1"/>
  <c r="S181" i="28"/>
  <c r="T64" i="55" s="1"/>
  <c r="S180" i="28"/>
  <c r="T63" i="55" s="1"/>
  <c r="S178" i="28"/>
  <c r="S177" i="28"/>
  <c r="T306" i="42"/>
  <c r="T307" i="42"/>
  <c r="P340" i="42"/>
  <c r="X19" i="28"/>
  <c r="X118" i="28" s="1"/>
  <c r="X27" i="28"/>
  <c r="P346" i="42"/>
  <c r="AW127" i="36" s="1"/>
  <c r="AW126" i="36"/>
  <c r="AW39" i="58" s="1"/>
  <c r="X19" i="54"/>
  <c r="X27" i="54"/>
  <c r="X32" i="54" s="1"/>
  <c r="W50" i="29"/>
  <c r="W145" i="29" s="1"/>
  <c r="P189" i="28"/>
  <c r="P190" i="28" s="1"/>
  <c r="P192" i="28" s="1"/>
  <c r="P191" i="28"/>
  <c r="Y49" i="29"/>
  <c r="Q170" i="28"/>
  <c r="Q171" i="28"/>
  <c r="Y147" i="46"/>
  <c r="Y167" i="46"/>
  <c r="Y157" i="46"/>
  <c r="Y177" i="46"/>
  <c r="Y137" i="38"/>
  <c r="Y153" i="38"/>
  <c r="Y145" i="38"/>
  <c r="Y161" i="38"/>
  <c r="V99" i="42"/>
  <c r="V103" i="42" s="1"/>
  <c r="V100" i="42"/>
  <c r="V98" i="42"/>
  <c r="V102" i="42" s="1"/>
  <c r="V97" i="42"/>
  <c r="V101" i="42" s="1"/>
  <c r="X87" i="45"/>
  <c r="X85" i="45"/>
  <c r="BD87" i="45"/>
  <c r="BD86" i="45"/>
  <c r="BD85" i="45"/>
  <c r="X86" i="45"/>
  <c r="P173" i="28"/>
  <c r="P172" i="28"/>
  <c r="P176" i="28" s="1"/>
  <c r="W230" i="48"/>
  <c r="W235" i="48" s="1"/>
  <c r="W233" i="48"/>
  <c r="W238" i="48" s="1"/>
  <c r="W232" i="48"/>
  <c r="W237" i="48" s="1"/>
  <c r="W231" i="48"/>
  <c r="W236" i="48" s="1"/>
  <c r="W234" i="48"/>
  <c r="V34" i="28"/>
  <c r="V149" i="28"/>
  <c r="Y225" i="42"/>
  <c r="Y229" i="42" s="1"/>
  <c r="Y226" i="42"/>
  <c r="Y224" i="42"/>
  <c r="Y228" i="42" s="1"/>
  <c r="Y223" i="42"/>
  <c r="Y227" i="42" s="1"/>
  <c r="R305" i="38"/>
  <c r="R304" i="38"/>
  <c r="R308" i="38" s="1"/>
  <c r="U234" i="19"/>
  <c r="U233" i="19"/>
  <c r="X148" i="46"/>
  <c r="X153" i="46" s="1"/>
  <c r="X152" i="46"/>
  <c r="Y83" i="45" s="1"/>
  <c r="X147" i="48"/>
  <c r="X149" i="46"/>
  <c r="X154" i="46" s="1"/>
  <c r="X150" i="46"/>
  <c r="X155" i="46" s="1"/>
  <c r="X151" i="46"/>
  <c r="X156" i="46" s="1"/>
  <c r="T151" i="28"/>
  <c r="U217" i="28"/>
  <c r="S165" i="28"/>
  <c r="S167" i="28"/>
  <c r="S164" i="28"/>
  <c r="S166" i="28"/>
  <c r="R175" i="28"/>
  <c r="R174" i="28"/>
  <c r="U294" i="38"/>
  <c r="AW84" i="55"/>
  <c r="D160" i="12"/>
  <c r="D161" i="12" s="1"/>
  <c r="CW61" i="55"/>
  <c r="CW85" i="55"/>
  <c r="CW42" i="55"/>
  <c r="CW63" i="55"/>
  <c r="CW40" i="55"/>
  <c r="CW87" i="55"/>
  <c r="CW39" i="55"/>
  <c r="CW64" i="55"/>
  <c r="CW41" i="55"/>
  <c r="CW65" i="55"/>
  <c r="CW88" i="55"/>
  <c r="CW62" i="55"/>
  <c r="CW86" i="55"/>
  <c r="I259" i="20"/>
  <c r="I265" i="20" s="1"/>
  <c r="BV42" i="55" s="1"/>
  <c r="BV34" i="55"/>
  <c r="E35" i="55"/>
  <c r="E38" i="55"/>
  <c r="I183" i="19"/>
  <c r="H216" i="19"/>
  <c r="J97" i="14"/>
  <c r="K105" i="14"/>
  <c r="K228" i="14" s="1"/>
  <c r="K73" i="19"/>
  <c r="L114" i="14" s="1"/>
  <c r="L114" i="12"/>
  <c r="J75" i="19"/>
  <c r="K110" i="14"/>
  <c r="K108" i="14" s="1"/>
  <c r="K99" i="12"/>
  <c r="K109" i="12"/>
  <c r="K91" i="19"/>
  <c r="L136" i="14" s="1"/>
  <c r="L136" i="12"/>
  <c r="L105" i="12"/>
  <c r="L228" i="12" s="1"/>
  <c r="L95" i="14"/>
  <c r="K111" i="19"/>
  <c r="L124" i="19"/>
  <c r="M138" i="14" s="1"/>
  <c r="M138" i="12"/>
  <c r="K114" i="19"/>
  <c r="K109" i="14"/>
  <c r="K123" i="19"/>
  <c r="L106" i="19"/>
  <c r="M103" i="14" s="1"/>
  <c r="M103" i="12"/>
  <c r="K113" i="19"/>
  <c r="K126" i="19"/>
  <c r="M174" i="19"/>
  <c r="E156" i="12"/>
  <c r="E158" i="12" s="1"/>
  <c r="E155" i="12"/>
  <c r="E157" i="14"/>
  <c r="AK28" i="58" s="1"/>
  <c r="E163" i="14"/>
  <c r="E159" i="14" s="1"/>
  <c r="D165" i="12"/>
  <c r="D279" i="19"/>
  <c r="E165" i="14" s="1"/>
  <c r="E164" i="14"/>
  <c r="AK29" i="58" s="1"/>
  <c r="L98" i="19"/>
  <c r="J92" i="19"/>
  <c r="M176" i="19"/>
  <c r="J88" i="19"/>
  <c r="J87" i="19"/>
  <c r="M166" i="19"/>
  <c r="M165" i="19"/>
  <c r="M164" i="19"/>
  <c r="M163" i="19"/>
  <c r="J86" i="19"/>
  <c r="J89" i="19"/>
  <c r="J74" i="19"/>
  <c r="J76" i="19"/>
  <c r="J93" i="19"/>
  <c r="K109" i="19"/>
  <c r="J83" i="19"/>
  <c r="K111" i="14" s="1"/>
  <c r="K107" i="14" s="1"/>
  <c r="K111" i="12"/>
  <c r="K107" i="12" s="1"/>
  <c r="K119" i="19"/>
  <c r="L118" i="19"/>
  <c r="M94" i="14" s="1"/>
  <c r="K108" i="19"/>
  <c r="K110" i="12"/>
  <c r="K108" i="12" s="1"/>
  <c r="K120" i="19"/>
  <c r="J94" i="19"/>
  <c r="J90" i="19"/>
  <c r="K129" i="19"/>
  <c r="J80" i="19"/>
  <c r="K106" i="14" s="1"/>
  <c r="J77" i="19"/>
  <c r="K79" i="19"/>
  <c r="L104" i="14" s="1"/>
  <c r="L105" i="14" s="1"/>
  <c r="L228" i="14" s="1"/>
  <c r="J71" i="19"/>
  <c r="K101" i="14" s="1"/>
  <c r="J70" i="19"/>
  <c r="K100" i="14" s="1"/>
  <c r="K98" i="14" s="1"/>
  <c r="J68" i="19"/>
  <c r="K96" i="14" s="1"/>
  <c r="J69" i="19"/>
  <c r="K99" i="14" s="1"/>
  <c r="K180" i="19"/>
  <c r="H293" i="20"/>
  <c r="N172" i="19"/>
  <c r="O135" i="14" s="1"/>
  <c r="L131" i="19"/>
  <c r="N216" i="20"/>
  <c r="N218" i="20"/>
  <c r="N215" i="20"/>
  <c r="N173" i="19" s="1"/>
  <c r="N217" i="20"/>
  <c r="N175" i="19" s="1"/>
  <c r="N219" i="20"/>
  <c r="N177" i="19" s="1"/>
  <c r="N202" i="20"/>
  <c r="N204" i="20"/>
  <c r="N206" i="20"/>
  <c r="N167" i="19" s="1"/>
  <c r="N203" i="20"/>
  <c r="N205" i="20"/>
  <c r="L132" i="20"/>
  <c r="L131" i="20"/>
  <c r="L107" i="19" s="1"/>
  <c r="L134" i="20"/>
  <c r="L110" i="19" s="1"/>
  <c r="L133" i="20"/>
  <c r="L135" i="20"/>
  <c r="L147" i="20"/>
  <c r="L145" i="20"/>
  <c r="L121" i="19" s="1"/>
  <c r="L146" i="20"/>
  <c r="L122" i="19" s="1"/>
  <c r="L144" i="20"/>
  <c r="L143" i="20"/>
  <c r="L152" i="20"/>
  <c r="L128" i="19" s="1"/>
  <c r="L151" i="20"/>
  <c r="L127" i="19" s="1"/>
  <c r="L150" i="20"/>
  <c r="L149" i="20"/>
  <c r="L125" i="19" s="1"/>
  <c r="L153" i="20"/>
  <c r="M142" i="20"/>
  <c r="M148" i="20"/>
  <c r="M136" i="20"/>
  <c r="M112" i="19" s="1"/>
  <c r="N126" i="14" s="1"/>
  <c r="M130" i="20"/>
  <c r="L137" i="20"/>
  <c r="L140" i="20"/>
  <c r="L116" i="19" s="1"/>
  <c r="L138" i="20"/>
  <c r="L139" i="20"/>
  <c r="L115" i="19" s="1"/>
  <c r="L141" i="20"/>
  <c r="L117" i="19" s="1"/>
  <c r="K76" i="20"/>
  <c r="L96" i="12" s="1"/>
  <c r="K79" i="20"/>
  <c r="L101" i="12" s="1"/>
  <c r="L97" i="12" s="1"/>
  <c r="K78" i="20"/>
  <c r="L100" i="12" s="1"/>
  <c r="L98" i="12" s="1"/>
  <c r="K77" i="20"/>
  <c r="K80" i="20"/>
  <c r="K72" i="19" s="1"/>
  <c r="K89" i="20"/>
  <c r="K81" i="19" s="1"/>
  <c r="K91" i="20"/>
  <c r="K92" i="20"/>
  <c r="K84" i="19" s="1"/>
  <c r="K88" i="20"/>
  <c r="L106" i="12" s="1"/>
  <c r="K90" i="20"/>
  <c r="K82" i="19" s="1"/>
  <c r="K83" i="20"/>
  <c r="K82" i="20"/>
  <c r="K84" i="20"/>
  <c r="K86" i="20"/>
  <c r="K78" i="19" s="1"/>
  <c r="K85" i="20"/>
  <c r="K100" i="20"/>
  <c r="K104" i="20"/>
  <c r="K96" i="19" s="1"/>
  <c r="K103" i="20"/>
  <c r="K95" i="19" s="1"/>
  <c r="K101" i="20"/>
  <c r="K102" i="20"/>
  <c r="L75" i="20"/>
  <c r="L67" i="19" s="1"/>
  <c r="M93" i="14" s="1"/>
  <c r="L81" i="20"/>
  <c r="L99" i="20"/>
  <c r="L93" i="20"/>
  <c r="L85" i="19" s="1"/>
  <c r="M124" i="14" s="1"/>
  <c r="L87" i="20"/>
  <c r="M104" i="12" s="1"/>
  <c r="K97" i="20"/>
  <c r="K95" i="20"/>
  <c r="K96" i="20"/>
  <c r="K98" i="20"/>
  <c r="K94" i="20"/>
  <c r="J273" i="20"/>
  <c r="J274" i="20"/>
  <c r="J272" i="20"/>
  <c r="J271" i="20"/>
  <c r="N28" i="20"/>
  <c r="N46" i="20" s="1"/>
  <c r="O94" i="12" s="1"/>
  <c r="M157" i="19"/>
  <c r="M132" i="19"/>
  <c r="M133" i="19"/>
  <c r="M135" i="19"/>
  <c r="M136" i="19"/>
  <c r="N125" i="12"/>
  <c r="M134" i="19"/>
  <c r="N170" i="19"/>
  <c r="K37" i="20"/>
  <c r="K36" i="20"/>
  <c r="N27" i="20"/>
  <c r="N222" i="20"/>
  <c r="M45" i="20"/>
  <c r="M32" i="20"/>
  <c r="BZ4" i="55" s="1"/>
  <c r="DF4" i="55" s="1"/>
  <c r="M169" i="19"/>
  <c r="M103" i="19"/>
  <c r="M99" i="19"/>
  <c r="M101" i="19"/>
  <c r="M100" i="19"/>
  <c r="M104" i="19"/>
  <c r="M102" i="19"/>
  <c r="N126" i="12"/>
  <c r="L95" i="12"/>
  <c r="N30" i="20"/>
  <c r="N48" i="20" s="1"/>
  <c r="L256" i="20"/>
  <c r="L34" i="20"/>
  <c r="G279" i="20"/>
  <c r="G283" i="20" s="1"/>
  <c r="G280" i="20"/>
  <c r="N158" i="19"/>
  <c r="N160" i="19"/>
  <c r="O123" i="12"/>
  <c r="K266" i="20"/>
  <c r="K267" i="20"/>
  <c r="K318" i="20"/>
  <c r="K270" i="20"/>
  <c r="K317" i="20"/>
  <c r="I281" i="20"/>
  <c r="I282" i="20"/>
  <c r="H278" i="20"/>
  <c r="H277" i="20"/>
  <c r="J258" i="20"/>
  <c r="K225" i="20"/>
  <c r="L55" i="19"/>
  <c r="L52" i="19" s="1"/>
  <c r="L60" i="19"/>
  <c r="L62" i="19"/>
  <c r="M93" i="12"/>
  <c r="L50" i="20"/>
  <c r="L58" i="19"/>
  <c r="L64" i="19"/>
  <c r="L56" i="19"/>
  <c r="L65" i="19"/>
  <c r="L61" i="19"/>
  <c r="M124" i="12"/>
  <c r="L53" i="19"/>
  <c r="L63" i="19"/>
  <c r="L54" i="19"/>
  <c r="L57" i="19"/>
  <c r="K226" i="14"/>
  <c r="O29" i="20"/>
  <c r="O47" i="20" s="1"/>
  <c r="O201" i="20" s="1"/>
  <c r="O162" i="19" s="1"/>
  <c r="P123" i="14" s="1"/>
  <c r="K179" i="19"/>
  <c r="D315" i="20"/>
  <c r="D320" i="20"/>
  <c r="I276" i="20"/>
  <c r="I275" i="20"/>
  <c r="O31" i="20"/>
  <c r="O49" i="20" s="1"/>
  <c r="O214" i="20" s="1"/>
  <c r="P135" i="12" s="1"/>
  <c r="K226" i="12"/>
  <c r="Q69" i="16" l="1"/>
  <c r="O69" i="15"/>
  <c r="O71" i="15" s="1"/>
  <c r="O33" i="58" s="1"/>
  <c r="I262" i="20"/>
  <c r="BV39" i="55" s="1"/>
  <c r="V57" i="55"/>
  <c r="S321" i="42"/>
  <c r="S322" i="42" s="1"/>
  <c r="S324" i="42" s="1"/>
  <c r="R324" i="42"/>
  <c r="O58" i="55"/>
  <c r="U141" i="16"/>
  <c r="U142" i="16" s="1"/>
  <c r="T173" i="29"/>
  <c r="V117" i="28"/>
  <c r="W65" i="15"/>
  <c r="W139" i="15" s="1"/>
  <c r="N208" i="28"/>
  <c r="O61" i="55"/>
  <c r="N213" i="28"/>
  <c r="P199" i="29"/>
  <c r="DI58" i="55"/>
  <c r="AW61" i="55"/>
  <c r="Q70" i="16"/>
  <c r="S178" i="29"/>
  <c r="AW58" i="55"/>
  <c r="S177" i="29"/>
  <c r="I264" i="20"/>
  <c r="BV41" i="55" s="1"/>
  <c r="I263" i="20"/>
  <c r="BV40" i="55" s="1"/>
  <c r="I260" i="20"/>
  <c r="I261" i="20"/>
  <c r="BV38" i="55" s="1"/>
  <c r="Y49" i="28"/>
  <c r="W65" i="16"/>
  <c r="W139" i="16" s="1"/>
  <c r="P72" i="15"/>
  <c r="P34" i="58" s="1"/>
  <c r="O214" i="28"/>
  <c r="P73" i="15" s="1"/>
  <c r="V217" i="28"/>
  <c r="U151" i="28"/>
  <c r="Y85" i="45"/>
  <c r="BE87" i="45"/>
  <c r="BE85" i="45"/>
  <c r="Y86" i="45"/>
  <c r="BE86" i="45"/>
  <c r="Y87" i="45"/>
  <c r="Y139" i="38"/>
  <c r="Y138" i="38"/>
  <c r="Y140" i="38"/>
  <c r="P196" i="28"/>
  <c r="P197" i="28" s="1"/>
  <c r="P206" i="28" s="1"/>
  <c r="Q70" i="15" s="1"/>
  <c r="S158" i="28"/>
  <c r="CF65" i="55" s="1"/>
  <c r="S154" i="28"/>
  <c r="CF61" i="55" s="1"/>
  <c r="S155" i="28"/>
  <c r="CF62" i="55" s="1"/>
  <c r="S153" i="28"/>
  <c r="S157" i="28"/>
  <c r="CF64" i="55" s="1"/>
  <c r="S156" i="28"/>
  <c r="CF63" i="55" s="1"/>
  <c r="X168" i="48"/>
  <c r="X173" i="48" s="1"/>
  <c r="X169" i="48"/>
  <c r="X174" i="48" s="1"/>
  <c r="X172" i="48"/>
  <c r="X171" i="48"/>
  <c r="X176" i="48" s="1"/>
  <c r="X170" i="48"/>
  <c r="X175" i="48" s="1"/>
  <c r="Y163" i="42"/>
  <c r="Y167" i="42" s="1"/>
  <c r="Y164" i="42"/>
  <c r="Y168" i="42" s="1"/>
  <c r="Y162" i="42"/>
  <c r="Y166" i="42" s="1"/>
  <c r="Y165" i="42"/>
  <c r="V92" i="29"/>
  <c r="Y194" i="38"/>
  <c r="Y198" i="38" s="1"/>
  <c r="Y193" i="38"/>
  <c r="Y197" i="38" s="1"/>
  <c r="Y192" i="38"/>
  <c r="Y196" i="38" s="1"/>
  <c r="Q71" i="16"/>
  <c r="AW33" i="58" s="1"/>
  <c r="W83" i="42"/>
  <c r="W87" i="42" s="1"/>
  <c r="W81" i="42"/>
  <c r="W85" i="42" s="1"/>
  <c r="W84" i="42"/>
  <c r="W82" i="42"/>
  <c r="W86" i="42" s="1"/>
  <c r="N72" i="15"/>
  <c r="N34" i="58" s="1"/>
  <c r="M214" i="28"/>
  <c r="N73" i="15" s="1"/>
  <c r="Q336" i="42"/>
  <c r="DO80" i="55"/>
  <c r="BC80" i="55"/>
  <c r="Z55" i="15"/>
  <c r="Y85" i="29"/>
  <c r="Z55" i="16" s="1"/>
  <c r="W293" i="38"/>
  <c r="X80" i="55" s="1"/>
  <c r="W316" i="38"/>
  <c r="DM57" i="55"/>
  <c r="BA57" i="55"/>
  <c r="T148" i="29"/>
  <c r="S142" i="29"/>
  <c r="S144" i="29"/>
  <c r="S139" i="29"/>
  <c r="S141" i="29"/>
  <c r="S143" i="29"/>
  <c r="S140" i="29"/>
  <c r="U155" i="29"/>
  <c r="U154" i="29"/>
  <c r="AA18" i="46"/>
  <c r="AA31" i="46" s="1"/>
  <c r="AA14" i="46"/>
  <c r="AA15" i="46"/>
  <c r="AA28" i="46" s="1"/>
  <c r="AA43" i="46" s="1"/>
  <c r="AA17" i="46"/>
  <c r="AA30" i="46" s="1"/>
  <c r="AA45" i="46" s="1"/>
  <c r="AA16" i="46"/>
  <c r="AA29" i="46" s="1"/>
  <c r="AA44" i="46" s="1"/>
  <c r="AA246" i="46" s="1"/>
  <c r="AB5" i="46"/>
  <c r="W37" i="19"/>
  <c r="W36" i="19"/>
  <c r="S305" i="42"/>
  <c r="S304" i="42"/>
  <c r="S308" i="42" s="1"/>
  <c r="T179" i="28"/>
  <c r="U62" i="55" s="1"/>
  <c r="T177" i="28"/>
  <c r="T180" i="28"/>
  <c r="U63" i="55" s="1"/>
  <c r="T178" i="28"/>
  <c r="T181" i="28"/>
  <c r="U64" i="55" s="1"/>
  <c r="T182" i="28"/>
  <c r="U65" i="55" s="1"/>
  <c r="AA14" i="38"/>
  <c r="AA18" i="38"/>
  <c r="AA31" i="38" s="1"/>
  <c r="AA46" i="38" s="1"/>
  <c r="AA237" i="38" s="1"/>
  <c r="AA17" i="38"/>
  <c r="AA30" i="38" s="1"/>
  <c r="AA45" i="38" s="1"/>
  <c r="AA16" i="38"/>
  <c r="AA29" i="38" s="1"/>
  <c r="AA44" i="38" s="1"/>
  <c r="AA222" i="38" s="1"/>
  <c r="AB5" i="38"/>
  <c r="AA15" i="38"/>
  <c r="AA28" i="38" s="1"/>
  <c r="AA43" i="38" s="1"/>
  <c r="X34" i="19"/>
  <c r="X214" i="19"/>
  <c r="Y19" i="53"/>
  <c r="Y27" i="53"/>
  <c r="Y32" i="53" s="1"/>
  <c r="U310" i="38"/>
  <c r="U309" i="38"/>
  <c r="U312" i="38"/>
  <c r="V86" i="55" s="1"/>
  <c r="U313" i="38"/>
  <c r="V87" i="55" s="1"/>
  <c r="U314" i="38"/>
  <c r="V88" i="55" s="1"/>
  <c r="U311" i="38"/>
  <c r="V85" i="55" s="1"/>
  <c r="CG57" i="55"/>
  <c r="T152" i="28"/>
  <c r="Y179" i="46"/>
  <c r="Y184" i="46" s="1"/>
  <c r="Y181" i="46"/>
  <c r="Y186" i="46" s="1"/>
  <c r="Y182" i="46"/>
  <c r="Z107" i="45" s="1"/>
  <c r="BF107" i="45" s="1"/>
  <c r="Y177" i="48"/>
  <c r="Y180" i="46"/>
  <c r="Y185" i="46" s="1"/>
  <c r="Y178" i="46"/>
  <c r="Y183" i="46" s="1"/>
  <c r="X32" i="28"/>
  <c r="X45" i="28"/>
  <c r="T318" i="42"/>
  <c r="T319" i="42" s="1"/>
  <c r="T320" i="42"/>
  <c r="T323" i="42" s="1"/>
  <c r="Y157" i="42"/>
  <c r="Y155" i="42"/>
  <c r="Y159" i="42" s="1"/>
  <c r="Y154" i="42"/>
  <c r="Y158" i="42" s="1"/>
  <c r="Y156" i="42"/>
  <c r="Y160" i="42" s="1"/>
  <c r="Y201" i="38"/>
  <c r="Y205" i="38" s="1"/>
  <c r="Y202" i="38"/>
  <c r="Y206" i="38" s="1"/>
  <c r="Y203" i="38"/>
  <c r="Z101" i="36" s="1"/>
  <c r="BF101" i="36" s="1"/>
  <c r="Y200" i="38"/>
  <c r="Y204" i="38" s="1"/>
  <c r="W106" i="42"/>
  <c r="W110" i="42" s="1"/>
  <c r="W108" i="42"/>
  <c r="W105" i="42"/>
  <c r="W109" i="42" s="1"/>
  <c r="W107" i="42"/>
  <c r="W111" i="42" s="1"/>
  <c r="X178" i="48"/>
  <c r="X183" i="48" s="1"/>
  <c r="X181" i="48"/>
  <c r="X186" i="48" s="1"/>
  <c r="X182" i="48"/>
  <c r="X180" i="48"/>
  <c r="X185" i="48" s="1"/>
  <c r="X179" i="48"/>
  <c r="X184" i="48" s="1"/>
  <c r="AB5" i="29"/>
  <c r="AA15" i="29"/>
  <c r="AA28" i="29" s="1"/>
  <c r="AA46" i="29" s="1"/>
  <c r="AA18" i="29"/>
  <c r="AA31" i="29" s="1"/>
  <c r="AA16" i="29"/>
  <c r="AA29" i="29" s="1"/>
  <c r="AA47" i="29" s="1"/>
  <c r="AA17" i="29"/>
  <c r="AA30" i="29" s="1"/>
  <c r="AA14" i="29"/>
  <c r="S304" i="38"/>
  <c r="S308" i="38" s="1"/>
  <c r="S305" i="38"/>
  <c r="Y32" i="29"/>
  <c r="Y45" i="29"/>
  <c r="T288" i="42"/>
  <c r="T285" i="42"/>
  <c r="T287" i="42"/>
  <c r="T289" i="42"/>
  <c r="T286" i="42"/>
  <c r="T290" i="42"/>
  <c r="T174" i="29"/>
  <c r="T177" i="29" s="1"/>
  <c r="U104" i="29"/>
  <c r="T137" i="29"/>
  <c r="T138" i="29" s="1"/>
  <c r="T237" i="19"/>
  <c r="T241" i="19" s="1"/>
  <c r="T238" i="19"/>
  <c r="X34" i="38"/>
  <c r="X281" i="38"/>
  <c r="AA16" i="20"/>
  <c r="AA14" i="20"/>
  <c r="AA17" i="20"/>
  <c r="AA18" i="20"/>
  <c r="AB5" i="20"/>
  <c r="AA15" i="20"/>
  <c r="Z229" i="46"/>
  <c r="Z219" i="46"/>
  <c r="Z209" i="46"/>
  <c r="Y61" i="15"/>
  <c r="X88" i="29"/>
  <c r="T165" i="28"/>
  <c r="T164" i="28"/>
  <c r="T167" i="28"/>
  <c r="T166" i="28"/>
  <c r="Z239" i="38"/>
  <c r="Z243" i="38" s="1"/>
  <c r="Z238" i="38"/>
  <c r="Z242" i="38" s="1"/>
  <c r="Z240" i="38"/>
  <c r="Z244" i="38" s="1"/>
  <c r="W230" i="19"/>
  <c r="W231" i="19"/>
  <c r="W229" i="19"/>
  <c r="W232" i="19"/>
  <c r="R186" i="28"/>
  <c r="R187" i="28" s="1"/>
  <c r="R188" i="28"/>
  <c r="Y157" i="48"/>
  <c r="Y162" i="46"/>
  <c r="Z98" i="45" s="1"/>
  <c r="BF98" i="45" s="1"/>
  <c r="Y161" i="46"/>
  <c r="Y166" i="46" s="1"/>
  <c r="Y160" i="46"/>
  <c r="Y165" i="46" s="1"/>
  <c r="Y159" i="46"/>
  <c r="Y164" i="46" s="1"/>
  <c r="Y158" i="46"/>
  <c r="Y163" i="46" s="1"/>
  <c r="Y148" i="42"/>
  <c r="Y152" i="42" s="1"/>
  <c r="Y147" i="42"/>
  <c r="Y151" i="42" s="1"/>
  <c r="Y149" i="42"/>
  <c r="Y146" i="42"/>
  <c r="Y150" i="42" s="1"/>
  <c r="Y210" i="38"/>
  <c r="Y214" i="38" s="1"/>
  <c r="Y211" i="38"/>
  <c r="Y208" i="38"/>
  <c r="Y212" i="38" s="1"/>
  <c r="Y209" i="38"/>
  <c r="Y213" i="38" s="1"/>
  <c r="W75" i="42"/>
  <c r="W79" i="42" s="1"/>
  <c r="W76" i="42"/>
  <c r="W73" i="42"/>
  <c r="W77" i="42" s="1"/>
  <c r="W74" i="42"/>
  <c r="W78" i="42" s="1"/>
  <c r="Y309" i="48"/>
  <c r="Y34" i="48"/>
  <c r="Y42" i="38"/>
  <c r="Y32" i="38"/>
  <c r="X160" i="48"/>
  <c r="X165" i="48" s="1"/>
  <c r="X162" i="48"/>
  <c r="X159" i="48"/>
  <c r="X164" i="48" s="1"/>
  <c r="X158" i="48"/>
  <c r="X163" i="48" s="1"/>
  <c r="X161" i="48"/>
  <c r="X166" i="48" s="1"/>
  <c r="V250" i="42"/>
  <c r="U283" i="42"/>
  <c r="U284" i="42" s="1"/>
  <c r="W246" i="38"/>
  <c r="Z19" i="19"/>
  <c r="Z27" i="19"/>
  <c r="Z240" i="42"/>
  <c r="Z244" i="42" s="1"/>
  <c r="Z241" i="42"/>
  <c r="Z238" i="42"/>
  <c r="Z242" i="42" s="1"/>
  <c r="Z239" i="42"/>
  <c r="Z243" i="42" s="1"/>
  <c r="X249" i="38"/>
  <c r="X80" i="38"/>
  <c r="X96" i="38"/>
  <c r="X47" i="38"/>
  <c r="X291" i="38" s="1"/>
  <c r="X104" i="38"/>
  <c r="X72" i="38"/>
  <c r="X73" i="38" s="1"/>
  <c r="U160" i="29"/>
  <c r="U172" i="29" s="1"/>
  <c r="U161" i="29"/>
  <c r="W216" i="28"/>
  <c r="W62" i="29"/>
  <c r="X62" i="16" s="1"/>
  <c r="W55" i="29"/>
  <c r="W52" i="29" s="1"/>
  <c r="W60" i="29"/>
  <c r="X56" i="15"/>
  <c r="W54" i="29"/>
  <c r="W57" i="29"/>
  <c r="X44" i="15"/>
  <c r="W56" i="29"/>
  <c r="X62" i="15"/>
  <c r="W50" i="28"/>
  <c r="W59" i="29"/>
  <c r="X44" i="16" s="1"/>
  <c r="W61" i="29"/>
  <c r="W63" i="29"/>
  <c r="X56" i="16" s="1"/>
  <c r="W53" i="29"/>
  <c r="Z147" i="46"/>
  <c r="Z157" i="46"/>
  <c r="Z177" i="46"/>
  <c r="Z167" i="46"/>
  <c r="U300" i="38"/>
  <c r="U301" i="38"/>
  <c r="Y32" i="19"/>
  <c r="Y45" i="19"/>
  <c r="Y50" i="19" s="1"/>
  <c r="Y201" i="42"/>
  <c r="Y205" i="42" s="1"/>
  <c r="Y202" i="42"/>
  <c r="Y206" i="42" s="1"/>
  <c r="Y203" i="42"/>
  <c r="Y200" i="42"/>
  <c r="Y204" i="42" s="1"/>
  <c r="Z19" i="38"/>
  <c r="Z247" i="38" s="1"/>
  <c r="Z27" i="38"/>
  <c r="W37" i="29"/>
  <c r="W36" i="29"/>
  <c r="U235" i="19"/>
  <c r="U236" i="19"/>
  <c r="V37" i="28"/>
  <c r="V36" i="28"/>
  <c r="Y171" i="46"/>
  <c r="Y176" i="46" s="1"/>
  <c r="Y172" i="46"/>
  <c r="Z77" i="45" s="1"/>
  <c r="BF77" i="45" s="1"/>
  <c r="Y169" i="46"/>
  <c r="Y174" i="46" s="1"/>
  <c r="Y170" i="46"/>
  <c r="Y175" i="46" s="1"/>
  <c r="Y168" i="46"/>
  <c r="Y173" i="46" s="1"/>
  <c r="Y167" i="48"/>
  <c r="W149" i="29"/>
  <c r="W146" i="29"/>
  <c r="S165" i="29"/>
  <c r="AZ62" i="55" s="1"/>
  <c r="S167" i="29"/>
  <c r="AZ64" i="55" s="1"/>
  <c r="S164" i="29"/>
  <c r="S166" i="29"/>
  <c r="AZ63" i="55" s="1"/>
  <c r="S168" i="29"/>
  <c r="AZ65" i="55" s="1"/>
  <c r="S163" i="29"/>
  <c r="Y140" i="42"/>
  <c r="Y144" i="42" s="1"/>
  <c r="Y139" i="42"/>
  <c r="Y143" i="42" s="1"/>
  <c r="Y141" i="42"/>
  <c r="Y138" i="42"/>
  <c r="Y142" i="42" s="1"/>
  <c r="V184" i="28"/>
  <c r="V185" i="28" s="1"/>
  <c r="V161" i="28"/>
  <c r="W295" i="42"/>
  <c r="W292" i="42"/>
  <c r="Q189" i="28"/>
  <c r="Q190" i="28" s="1"/>
  <c r="Q191" i="28"/>
  <c r="Y250" i="48"/>
  <c r="Y255" i="48" s="1"/>
  <c r="Y247" i="48"/>
  <c r="Y252" i="48" s="1"/>
  <c r="Y249" i="48"/>
  <c r="Y254" i="48" s="1"/>
  <c r="Y251" i="48"/>
  <c r="Y248" i="48"/>
  <c r="Y253" i="48" s="1"/>
  <c r="X34" i="42"/>
  <c r="X281" i="42"/>
  <c r="Z137" i="42"/>
  <c r="Z153" i="42"/>
  <c r="Z161" i="42"/>
  <c r="Z145" i="42"/>
  <c r="W34" i="28"/>
  <c r="W149" i="28"/>
  <c r="V196" i="29"/>
  <c r="V197" i="29"/>
  <c r="U307" i="38"/>
  <c r="U306" i="38"/>
  <c r="U318" i="38" s="1"/>
  <c r="X231" i="48"/>
  <c r="X236" i="48" s="1"/>
  <c r="X233" i="48"/>
  <c r="X238" i="48" s="1"/>
  <c r="X232" i="48"/>
  <c r="X237" i="48" s="1"/>
  <c r="X234" i="48"/>
  <c r="X230" i="48"/>
  <c r="X235" i="48" s="1"/>
  <c r="Y309" i="46"/>
  <c r="Y34" i="46"/>
  <c r="Y193" i="42"/>
  <c r="Y197" i="42" s="1"/>
  <c r="Y194" i="42"/>
  <c r="Y198" i="42" s="1"/>
  <c r="Y195" i="42"/>
  <c r="Y192" i="42"/>
  <c r="Y196" i="42" s="1"/>
  <c r="Z207" i="38"/>
  <c r="Z191" i="38"/>
  <c r="Z199" i="38"/>
  <c r="Y19" i="54"/>
  <c r="Y27" i="54"/>
  <c r="Y32" i="54" s="1"/>
  <c r="S168" i="28"/>
  <c r="S169" i="28"/>
  <c r="Y147" i="48"/>
  <c r="Y151" i="46"/>
  <c r="Y156" i="46" s="1"/>
  <c r="Y150" i="46"/>
  <c r="Y155" i="46" s="1"/>
  <c r="Y149" i="46"/>
  <c r="Y154" i="46" s="1"/>
  <c r="Y148" i="46"/>
  <c r="Y153" i="46" s="1"/>
  <c r="Y152" i="46"/>
  <c r="Z83" i="45" s="1"/>
  <c r="X197" i="54"/>
  <c r="X34" i="54"/>
  <c r="V211" i="28"/>
  <c r="V210" i="28"/>
  <c r="V159" i="28"/>
  <c r="R170" i="28"/>
  <c r="R171" i="28"/>
  <c r="V134" i="15"/>
  <c r="V140" i="15" s="1"/>
  <c r="V133" i="15" a="1"/>
  <c r="V68" i="15"/>
  <c r="V77" i="15" s="1"/>
  <c r="W293" i="42"/>
  <c r="W294" i="42" s="1"/>
  <c r="W316" i="42"/>
  <c r="W317" i="42" s="1"/>
  <c r="X50" i="29"/>
  <c r="X145" i="29" s="1"/>
  <c r="X249" i="42"/>
  <c r="X72" i="42"/>
  <c r="X47" i="42"/>
  <c r="X291" i="42" s="1"/>
  <c r="X96" i="42"/>
  <c r="X104" i="42"/>
  <c r="X80" i="42"/>
  <c r="V134" i="16"/>
  <c r="V140" i="16" s="1"/>
  <c r="V133" i="16" a="1"/>
  <c r="V68" i="16"/>
  <c r="V77" i="16"/>
  <c r="AB5" i="42"/>
  <c r="AA17" i="42"/>
  <c r="AA30" i="42" s="1"/>
  <c r="AA45" i="42" s="1"/>
  <c r="AA16" i="42"/>
  <c r="AA29" i="42" s="1"/>
  <c r="AA44" i="42" s="1"/>
  <c r="AA222" i="42" s="1"/>
  <c r="AA18" i="42"/>
  <c r="AA31" i="42" s="1"/>
  <c r="AA46" i="42" s="1"/>
  <c r="AA237" i="42" s="1"/>
  <c r="AA15" i="42"/>
  <c r="AA28" i="42" s="1"/>
  <c r="AA43" i="42" s="1"/>
  <c r="AA14" i="42"/>
  <c r="X197" i="53"/>
  <c r="X34" i="53"/>
  <c r="X211" i="48"/>
  <c r="X216" i="48" s="1"/>
  <c r="X212" i="48"/>
  <c r="X217" i="48" s="1"/>
  <c r="X214" i="48"/>
  <c r="X210" i="48"/>
  <c r="X215" i="48" s="1"/>
  <c r="X213" i="48"/>
  <c r="X218" i="48" s="1"/>
  <c r="V294" i="38"/>
  <c r="U301" i="42"/>
  <c r="U300" i="42"/>
  <c r="V294" i="42"/>
  <c r="Y211" i="42"/>
  <c r="Y209" i="42"/>
  <c r="Y213" i="42" s="1"/>
  <c r="Y210" i="42"/>
  <c r="Y214" i="42" s="1"/>
  <c r="Y208" i="42"/>
  <c r="Y212" i="42" s="1"/>
  <c r="Y223" i="46"/>
  <c r="Y228" i="46" s="1"/>
  <c r="Y219" i="48"/>
  <c r="Y222" i="46"/>
  <c r="Y227" i="46" s="1"/>
  <c r="Y221" i="46"/>
  <c r="Y226" i="46" s="1"/>
  <c r="Y224" i="46"/>
  <c r="Z99" i="45" s="1"/>
  <c r="BF99" i="45" s="1"/>
  <c r="Y220" i="46"/>
  <c r="Y225" i="46" s="1"/>
  <c r="Y163" i="38"/>
  <c r="Y167" i="38" s="1"/>
  <c r="Y164" i="38"/>
  <c r="Y168" i="38" s="1"/>
  <c r="Y165" i="38"/>
  <c r="Z109" i="36" s="1"/>
  <c r="BF109" i="36" s="1"/>
  <c r="Y162" i="38"/>
  <c r="Y166" i="38" s="1"/>
  <c r="W66" i="15"/>
  <c r="W59" i="15"/>
  <c r="W135" i="15" s="1"/>
  <c r="DJ58" i="55"/>
  <c r="AX58" i="55"/>
  <c r="R69" i="16"/>
  <c r="R71" i="16" s="1"/>
  <c r="AX33" i="58" s="1"/>
  <c r="Q199" i="29"/>
  <c r="X135" i="29"/>
  <c r="X34" i="29"/>
  <c r="AX61" i="55"/>
  <c r="AA17" i="48"/>
  <c r="AA30" i="48" s="1"/>
  <c r="AA45" i="48" s="1"/>
  <c r="AA14" i="48"/>
  <c r="AA15" i="48"/>
  <c r="AA28" i="48" s="1"/>
  <c r="AA43" i="48" s="1"/>
  <c r="AB5" i="48"/>
  <c r="AA16" i="48"/>
  <c r="AA29" i="48" s="1"/>
  <c r="AA44" i="48" s="1"/>
  <c r="AA18" i="48"/>
  <c r="AA31" i="48" s="1"/>
  <c r="Z18" i="28"/>
  <c r="Z31" i="28" s="1"/>
  <c r="Z15" i="28"/>
  <c r="Z28" i="28" s="1"/>
  <c r="Z46" i="28" s="1"/>
  <c r="AA5" i="28"/>
  <c r="Z16" i="28"/>
  <c r="Z29" i="28" s="1"/>
  <c r="Z47" i="28" s="1"/>
  <c r="Z83" i="29" s="1"/>
  <c r="Z82" i="29" s="1"/>
  <c r="Z14" i="28"/>
  <c r="Z17" i="28"/>
  <c r="Z30" i="28" s="1"/>
  <c r="Z224" i="42"/>
  <c r="Z228" i="42" s="1"/>
  <c r="Z225" i="42"/>
  <c r="Z229" i="42" s="1"/>
  <c r="Z223" i="42"/>
  <c r="Z227" i="42" s="1"/>
  <c r="Z226" i="42"/>
  <c r="U163" i="28"/>
  <c r="U162" i="28"/>
  <c r="U160" i="28"/>
  <c r="V299" i="38"/>
  <c r="V297" i="38"/>
  <c r="V296" i="38"/>
  <c r="V298" i="38"/>
  <c r="Z246" i="48"/>
  <c r="Z249" i="46"/>
  <c r="Z254" i="46" s="1"/>
  <c r="Z251" i="46"/>
  <c r="AA96" i="45" s="1"/>
  <c r="Z247" i="46"/>
  <c r="Z252" i="46" s="1"/>
  <c r="Z250" i="46"/>
  <c r="Z255" i="46" s="1"/>
  <c r="Z248" i="46"/>
  <c r="Z253" i="46" s="1"/>
  <c r="P58" i="55"/>
  <c r="P70" i="15"/>
  <c r="P71" i="15" s="1"/>
  <c r="P33" i="58" s="1"/>
  <c r="X61" i="16"/>
  <c r="W87" i="29"/>
  <c r="S329" i="42"/>
  <c r="S336" i="42" s="1"/>
  <c r="Y229" i="48"/>
  <c r="Y232" i="46"/>
  <c r="Y237" i="46" s="1"/>
  <c r="Y234" i="46"/>
  <c r="Z108" i="45" s="1"/>
  <c r="BF108" i="45" s="1"/>
  <c r="Y230" i="46"/>
  <c r="Y235" i="46" s="1"/>
  <c r="Y233" i="46"/>
  <c r="Y238" i="46" s="1"/>
  <c r="Y231" i="46"/>
  <c r="Y236" i="46" s="1"/>
  <c r="Z16" i="53"/>
  <c r="Z29" i="53" s="1"/>
  <c r="Z44" i="53" s="1"/>
  <c r="Z150" i="53" s="1"/>
  <c r="Z151" i="53" s="1"/>
  <c r="AA60" i="51" s="1"/>
  <c r="BG60" i="51" s="1"/>
  <c r="Z14" i="53"/>
  <c r="Z18" i="53"/>
  <c r="Z31" i="53" s="1"/>
  <c r="AA5" i="53"/>
  <c r="Z15" i="53"/>
  <c r="Z28" i="53" s="1"/>
  <c r="Z17" i="53"/>
  <c r="Z30" i="53" s="1"/>
  <c r="P61" i="55"/>
  <c r="S174" i="28"/>
  <c r="S175" i="28"/>
  <c r="X152" i="48"/>
  <c r="X150" i="48"/>
  <c r="X155" i="48" s="1"/>
  <c r="X148" i="48"/>
  <c r="X153" i="48" s="1"/>
  <c r="X151" i="48"/>
  <c r="X156" i="48" s="1"/>
  <c r="X149" i="48"/>
  <c r="X154" i="48" s="1"/>
  <c r="Y146" i="38"/>
  <c r="Y150" i="38" s="1"/>
  <c r="Y149" i="38"/>
  <c r="Z100" i="36" s="1"/>
  <c r="BF100" i="36" s="1"/>
  <c r="Y148" i="38"/>
  <c r="Y152" i="38" s="1"/>
  <c r="Y147" i="38"/>
  <c r="Y151" i="38" s="1"/>
  <c r="Q172" i="28"/>
  <c r="Q176" i="28" s="1"/>
  <c r="Q173" i="28"/>
  <c r="W66" i="16"/>
  <c r="W59" i="16"/>
  <c r="W135" i="16" s="1"/>
  <c r="W67" i="16"/>
  <c r="W46" i="16"/>
  <c r="V152" i="29"/>
  <c r="V150" i="29"/>
  <c r="V153" i="29"/>
  <c r="V151" i="29"/>
  <c r="T303" i="38"/>
  <c r="T302" i="38"/>
  <c r="W246" i="42"/>
  <c r="T302" i="42"/>
  <c r="T303" i="42"/>
  <c r="V233" i="19"/>
  <c r="V234" i="19"/>
  <c r="Z19" i="29"/>
  <c r="Z27" i="29"/>
  <c r="Z19" i="48"/>
  <c r="Z275" i="48" s="1"/>
  <c r="Z27" i="48"/>
  <c r="Z32" i="48" s="1"/>
  <c r="Z48" i="15"/>
  <c r="Z49" i="15" s="1"/>
  <c r="Z136" i="15" s="1"/>
  <c r="Z58" i="15"/>
  <c r="Z45" i="15"/>
  <c r="Z64" i="15"/>
  <c r="Y77" i="29"/>
  <c r="Z45" i="16" s="1"/>
  <c r="Y74" i="29"/>
  <c r="Z48" i="16" s="1"/>
  <c r="Z49" i="16" s="1"/>
  <c r="Z136" i="16" s="1"/>
  <c r="Y68" i="29"/>
  <c r="Y75" i="29"/>
  <c r="Y67" i="29"/>
  <c r="Y69" i="29"/>
  <c r="Y78" i="29"/>
  <c r="Z64" i="16" s="1"/>
  <c r="Y70" i="29"/>
  <c r="Y66" i="29"/>
  <c r="Y65" i="29" s="1"/>
  <c r="Y76" i="29"/>
  <c r="Z58" i="16" s="1"/>
  <c r="Y73" i="29"/>
  <c r="AB5" i="19"/>
  <c r="AA15" i="19"/>
  <c r="AA28" i="19" s="1"/>
  <c r="AA46" i="19" s="1"/>
  <c r="AA18" i="19"/>
  <c r="AA31" i="19" s="1"/>
  <c r="AA49" i="19" s="1"/>
  <c r="AA17" i="19"/>
  <c r="AA30" i="19" s="1"/>
  <c r="AA48" i="19" s="1"/>
  <c r="AA14" i="19"/>
  <c r="AA16" i="19"/>
  <c r="AA29" i="19" s="1"/>
  <c r="AA47" i="19" s="1"/>
  <c r="Z191" i="42"/>
  <c r="Z207" i="42"/>
  <c r="Z199" i="42"/>
  <c r="R338" i="42"/>
  <c r="R345" i="42" s="1"/>
  <c r="AY126" i="36" s="1"/>
  <c r="AY39" i="58" s="1"/>
  <c r="U170" i="29"/>
  <c r="U171" i="29" s="1"/>
  <c r="U147" i="29"/>
  <c r="V299" i="42"/>
  <c r="V296" i="42"/>
  <c r="V297" i="42"/>
  <c r="V298" i="42"/>
  <c r="Z137" i="38"/>
  <c r="Z161" i="38"/>
  <c r="Z145" i="38"/>
  <c r="Z153" i="38"/>
  <c r="Y214" i="46"/>
  <c r="Z89" i="45" s="1"/>
  <c r="Y209" i="48"/>
  <c r="Y211" i="46"/>
  <c r="Y216" i="46" s="1"/>
  <c r="Y212" i="46"/>
  <c r="Y217" i="46" s="1"/>
  <c r="Y213" i="46"/>
  <c r="Y218" i="46" s="1"/>
  <c r="Y210" i="46"/>
  <c r="Y215" i="46" s="1"/>
  <c r="O208" i="28"/>
  <c r="Y155" i="38"/>
  <c r="Y159" i="38" s="1"/>
  <c r="Y154" i="38"/>
  <c r="Y158" i="38" s="1"/>
  <c r="Y157" i="38"/>
  <c r="Z79" i="36" s="1"/>
  <c r="BF79" i="36" s="1"/>
  <c r="Y156" i="38"/>
  <c r="Y160" i="38" s="1"/>
  <c r="W67" i="15"/>
  <c r="W46" i="15"/>
  <c r="V103" i="29"/>
  <c r="V91" i="29"/>
  <c r="S158" i="29"/>
  <c r="S162" i="29" s="1"/>
  <c r="S159" i="29"/>
  <c r="W98" i="42"/>
  <c r="W102" i="42" s="1"/>
  <c r="W99" i="42"/>
  <c r="W103" i="42" s="1"/>
  <c r="W97" i="42"/>
  <c r="W101" i="42" s="1"/>
  <c r="W100" i="42"/>
  <c r="V240" i="19"/>
  <c r="V239" i="19"/>
  <c r="V251" i="19" s="1"/>
  <c r="Z49" i="29"/>
  <c r="R182" i="29"/>
  <c r="Y19" i="28"/>
  <c r="Y118" i="28" s="1"/>
  <c r="Y27" i="28"/>
  <c r="W295" i="38"/>
  <c r="W292" i="38"/>
  <c r="Z27" i="42"/>
  <c r="Z19" i="42"/>
  <c r="Z247" i="42" s="1"/>
  <c r="Y42" i="42"/>
  <c r="Y32" i="42"/>
  <c r="Z27" i="46"/>
  <c r="Z32" i="46" s="1"/>
  <c r="Z19" i="46"/>
  <c r="Z275" i="46" s="1"/>
  <c r="U307" i="42"/>
  <c r="U306" i="42"/>
  <c r="T157" i="29"/>
  <c r="T156" i="29"/>
  <c r="X223" i="48"/>
  <c r="X228" i="48" s="1"/>
  <c r="X224" i="48"/>
  <c r="X222" i="48"/>
  <c r="X227" i="48" s="1"/>
  <c r="X221" i="48"/>
  <c r="X226" i="48" s="1"/>
  <c r="X220" i="48"/>
  <c r="X225" i="48" s="1"/>
  <c r="Z224" i="38"/>
  <c r="Z228" i="38" s="1"/>
  <c r="Z223" i="38"/>
  <c r="Z227" i="38" s="1"/>
  <c r="Z225" i="38"/>
  <c r="Z229" i="38" s="1"/>
  <c r="X225" i="19"/>
  <c r="X276" i="19"/>
  <c r="X275" i="19"/>
  <c r="X228" i="19"/>
  <c r="X224" i="19"/>
  <c r="Z16" i="54"/>
  <c r="Z29" i="54" s="1"/>
  <c r="Z44" i="54" s="1"/>
  <c r="Z150" i="54" s="1"/>
  <c r="Z151" i="54" s="1"/>
  <c r="Z18" i="54"/>
  <c r="Z31" i="54" s="1"/>
  <c r="Z15" i="54"/>
  <c r="Z28" i="54" s="1"/>
  <c r="AA5" i="54"/>
  <c r="Z17" i="54"/>
  <c r="Z30" i="54" s="1"/>
  <c r="Z14" i="54"/>
  <c r="J259" i="20"/>
  <c r="J265" i="20" s="1"/>
  <c r="BW42" i="55" s="1"/>
  <c r="BW34" i="55"/>
  <c r="J183" i="19"/>
  <c r="I216" i="19"/>
  <c r="L110" i="14"/>
  <c r="L108" i="14" s="1"/>
  <c r="L99" i="12"/>
  <c r="L91" i="19"/>
  <c r="M136" i="14" s="1"/>
  <c r="M136" i="12"/>
  <c r="K75" i="19"/>
  <c r="K97" i="14"/>
  <c r="L109" i="12"/>
  <c r="L73" i="19"/>
  <c r="M114" i="14" s="1"/>
  <c r="M114" i="12"/>
  <c r="M105" i="12"/>
  <c r="M228" i="12" s="1"/>
  <c r="M124" i="19"/>
  <c r="N138" i="14" s="1"/>
  <c r="N138" i="12"/>
  <c r="M95" i="14"/>
  <c r="L113" i="19"/>
  <c r="L126" i="19"/>
  <c r="L111" i="19"/>
  <c r="M106" i="19"/>
  <c r="N103" i="14" s="1"/>
  <c r="N103" i="12"/>
  <c r="L114" i="19"/>
  <c r="L123" i="19"/>
  <c r="L109" i="14"/>
  <c r="E162" i="12"/>
  <c r="E160" i="12" s="1"/>
  <c r="E157" i="12"/>
  <c r="E28" i="58" s="1"/>
  <c r="E163" i="12"/>
  <c r="E159" i="12" s="1"/>
  <c r="N174" i="19"/>
  <c r="E161" i="14"/>
  <c r="L180" i="19"/>
  <c r="M98" i="19"/>
  <c r="D321" i="20"/>
  <c r="E164" i="12"/>
  <c r="E29" i="58" s="1"/>
  <c r="K94" i="19"/>
  <c r="K92" i="19"/>
  <c r="N176" i="19"/>
  <c r="K88" i="19"/>
  <c r="K87" i="19"/>
  <c r="N166" i="19"/>
  <c r="N163" i="19"/>
  <c r="N164" i="19"/>
  <c r="N165" i="19"/>
  <c r="K86" i="19"/>
  <c r="K89" i="19"/>
  <c r="K74" i="19"/>
  <c r="K76" i="19"/>
  <c r="K83" i="19"/>
  <c r="L111" i="14" s="1"/>
  <c r="L107" i="14" s="1"/>
  <c r="L111" i="12"/>
  <c r="L107" i="12" s="1"/>
  <c r="L119" i="19"/>
  <c r="K93" i="19"/>
  <c r="K90" i="19"/>
  <c r="L120" i="19"/>
  <c r="L108" i="19"/>
  <c r="L110" i="12"/>
  <c r="L108" i="12" s="1"/>
  <c r="M118" i="19"/>
  <c r="N94" i="14" s="1"/>
  <c r="L109" i="19"/>
  <c r="L79" i="19"/>
  <c r="M104" i="14" s="1"/>
  <c r="K80" i="19"/>
  <c r="L106" i="14" s="1"/>
  <c r="K77" i="19"/>
  <c r="L129" i="19"/>
  <c r="K71" i="19"/>
  <c r="L101" i="14" s="1"/>
  <c r="K68" i="19"/>
  <c r="L96" i="14" s="1"/>
  <c r="K69" i="19"/>
  <c r="L99" i="14" s="1"/>
  <c r="K70" i="19"/>
  <c r="L100" i="14" s="1"/>
  <c r="L98" i="14" s="1"/>
  <c r="I293" i="20"/>
  <c r="O172" i="19"/>
  <c r="P135" i="14" s="1"/>
  <c r="M131" i="19"/>
  <c r="O219" i="20"/>
  <c r="O177" i="19" s="1"/>
  <c r="O216" i="20"/>
  <c r="O218" i="20"/>
  <c r="O215" i="20"/>
  <c r="O173" i="19" s="1"/>
  <c r="O217" i="20"/>
  <c r="O175" i="19" s="1"/>
  <c r="O202" i="20"/>
  <c r="O204" i="20"/>
  <c r="O206" i="20"/>
  <c r="O167" i="19" s="1"/>
  <c r="O203" i="20"/>
  <c r="O205" i="20"/>
  <c r="M143" i="20"/>
  <c r="M146" i="20"/>
  <c r="M122" i="19" s="1"/>
  <c r="M147" i="20"/>
  <c r="M145" i="20"/>
  <c r="M121" i="19" s="1"/>
  <c r="M144" i="20"/>
  <c r="M133" i="20"/>
  <c r="M131" i="20"/>
  <c r="M107" i="19" s="1"/>
  <c r="M132" i="20"/>
  <c r="M134" i="20"/>
  <c r="M110" i="19" s="1"/>
  <c r="M135" i="20"/>
  <c r="N148" i="20"/>
  <c r="N130" i="20"/>
  <c r="N136" i="20"/>
  <c r="N112" i="19" s="1"/>
  <c r="O126" i="14" s="1"/>
  <c r="N142" i="20"/>
  <c r="M138" i="20"/>
  <c r="M137" i="20"/>
  <c r="M141" i="20"/>
  <c r="M117" i="19" s="1"/>
  <c r="M140" i="20"/>
  <c r="M116" i="19" s="1"/>
  <c r="M139" i="20"/>
  <c r="M115" i="19" s="1"/>
  <c r="M151" i="20"/>
  <c r="M127" i="19" s="1"/>
  <c r="M152" i="20"/>
  <c r="M128" i="19" s="1"/>
  <c r="M149" i="20"/>
  <c r="M125" i="19" s="1"/>
  <c r="M153" i="20"/>
  <c r="M150" i="20"/>
  <c r="L102" i="20"/>
  <c r="L100" i="20"/>
  <c r="L103" i="20"/>
  <c r="L95" i="19" s="1"/>
  <c r="L101" i="20"/>
  <c r="L104" i="20"/>
  <c r="L96" i="19" s="1"/>
  <c r="L83" i="20"/>
  <c r="L84" i="20"/>
  <c r="L82" i="20"/>
  <c r="L85" i="20"/>
  <c r="L86" i="20"/>
  <c r="L78" i="19" s="1"/>
  <c r="M75" i="20"/>
  <c r="M67" i="19" s="1"/>
  <c r="N93" i="14" s="1"/>
  <c r="M81" i="20"/>
  <c r="M93" i="20"/>
  <c r="M85" i="19" s="1"/>
  <c r="N124" i="14" s="1"/>
  <c r="M99" i="20"/>
  <c r="M87" i="20"/>
  <c r="N104" i="12" s="1"/>
  <c r="L91" i="20"/>
  <c r="L89" i="20"/>
  <c r="L81" i="19" s="1"/>
  <c r="L90" i="20"/>
  <c r="L82" i="19" s="1"/>
  <c r="L92" i="20"/>
  <c r="L84" i="19" s="1"/>
  <c r="L88" i="20"/>
  <c r="M106" i="12" s="1"/>
  <c r="L77" i="20"/>
  <c r="L78" i="20"/>
  <c r="M100" i="12" s="1"/>
  <c r="M98" i="12" s="1"/>
  <c r="L80" i="20"/>
  <c r="L72" i="19" s="1"/>
  <c r="L76" i="20"/>
  <c r="M96" i="12" s="1"/>
  <c r="L79" i="20"/>
  <c r="M101" i="12" s="1"/>
  <c r="M97" i="12" s="1"/>
  <c r="L95" i="20"/>
  <c r="L96" i="20"/>
  <c r="L98" i="20"/>
  <c r="L94" i="20"/>
  <c r="L97" i="20"/>
  <c r="O19" i="20"/>
  <c r="O222" i="20" s="1"/>
  <c r="L266" i="20"/>
  <c r="L318" i="20"/>
  <c r="L267" i="20"/>
  <c r="L317" i="20"/>
  <c r="L270" i="20"/>
  <c r="O30" i="20"/>
  <c r="O48" i="20" s="1"/>
  <c r="L226" i="12"/>
  <c r="O28" i="20"/>
  <c r="O46" i="20" s="1"/>
  <c r="P94" i="12" s="1"/>
  <c r="J276" i="20"/>
  <c r="J275" i="20"/>
  <c r="M95" i="12"/>
  <c r="L225" i="20"/>
  <c r="K258" i="20"/>
  <c r="K274" i="20"/>
  <c r="K273" i="20"/>
  <c r="K272" i="20"/>
  <c r="K271" i="20"/>
  <c r="N157" i="19"/>
  <c r="M256" i="20"/>
  <c r="M34" i="20"/>
  <c r="L226" i="14"/>
  <c r="P31" i="20"/>
  <c r="P49" i="20" s="1"/>
  <c r="P214" i="20" s="1"/>
  <c r="Q135" i="12" s="1"/>
  <c r="P29" i="20"/>
  <c r="P47" i="20" s="1"/>
  <c r="P201" i="20" s="1"/>
  <c r="P162" i="19" s="1"/>
  <c r="Q123" i="14" s="1"/>
  <c r="O170" i="19"/>
  <c r="L221" i="20"/>
  <c r="L179" i="19"/>
  <c r="M62" i="19"/>
  <c r="M55" i="19"/>
  <c r="M52" i="19" s="1"/>
  <c r="N93" i="12"/>
  <c r="M50" i="20"/>
  <c r="M221" i="20" s="1"/>
  <c r="M60" i="19"/>
  <c r="M54" i="19"/>
  <c r="M63" i="19"/>
  <c r="M65" i="19"/>
  <c r="M56" i="19"/>
  <c r="M57" i="19"/>
  <c r="M61" i="19"/>
  <c r="M58" i="19"/>
  <c r="M64" i="19"/>
  <c r="M53" i="19"/>
  <c r="N124" i="12"/>
  <c r="P19" i="20"/>
  <c r="O27" i="20"/>
  <c r="N169" i="19"/>
  <c r="I278" i="20"/>
  <c r="I277" i="20"/>
  <c r="P123" i="12"/>
  <c r="O160" i="19"/>
  <c r="O158" i="19"/>
  <c r="H279" i="20"/>
  <c r="H283" i="20" s="1"/>
  <c r="H280" i="20"/>
  <c r="L36" i="20"/>
  <c r="L37" i="20"/>
  <c r="O125" i="12"/>
  <c r="N135" i="19"/>
  <c r="N134" i="19"/>
  <c r="N133" i="19"/>
  <c r="N132" i="19"/>
  <c r="N136" i="19"/>
  <c r="N45" i="20"/>
  <c r="N32" i="20"/>
  <c r="CA4" i="55" s="1"/>
  <c r="DG4" i="55" s="1"/>
  <c r="N103" i="19"/>
  <c r="N104" i="19"/>
  <c r="N101" i="19"/>
  <c r="O126" i="12"/>
  <c r="N99" i="19"/>
  <c r="N102" i="19"/>
  <c r="N100" i="19"/>
  <c r="J281" i="20"/>
  <c r="J282" i="20"/>
  <c r="O72" i="15" l="1"/>
  <c r="O34" i="58" s="1"/>
  <c r="N214" i="28"/>
  <c r="O73" i="15" s="1"/>
  <c r="J260" i="20"/>
  <c r="Z61" i="15"/>
  <c r="Y88" i="29"/>
  <c r="T321" i="42"/>
  <c r="T322" i="42" s="1"/>
  <c r="Q192" i="28"/>
  <c r="X65" i="15"/>
  <c r="X139" i="15" s="1"/>
  <c r="S182" i="29"/>
  <c r="Q72" i="16"/>
  <c r="AW34" i="58" s="1"/>
  <c r="P200" i="29"/>
  <c r="Q73" i="16" s="1"/>
  <c r="V141" i="16"/>
  <c r="V142" i="16" s="1"/>
  <c r="J262" i="20"/>
  <c r="BW39" i="55" s="1"/>
  <c r="J261" i="20"/>
  <c r="BW38" i="55" s="1"/>
  <c r="J263" i="20"/>
  <c r="BW40" i="55" s="1"/>
  <c r="J264" i="20"/>
  <c r="BW41" i="55" s="1"/>
  <c r="W294" i="38"/>
  <c r="W311" i="38" s="1"/>
  <c r="X85" i="55" s="1"/>
  <c r="V141" i="15"/>
  <c r="V142" i="15" s="1"/>
  <c r="S338" i="42"/>
  <c r="S345" i="42" s="1"/>
  <c r="AZ126" i="36" s="1"/>
  <c r="AZ39" i="58" s="1"/>
  <c r="X246" i="38"/>
  <c r="Z49" i="28"/>
  <c r="W309" i="42"/>
  <c r="W312" i="42"/>
  <c r="BD86" i="55" s="1"/>
  <c r="W313" i="42"/>
  <c r="BD87" i="55" s="1"/>
  <c r="W310" i="42"/>
  <c r="W311" i="42"/>
  <c r="BD85" i="55" s="1"/>
  <c r="W314" i="42"/>
  <c r="BD88" i="55" s="1"/>
  <c r="X229" i="19"/>
  <c r="X231" i="19"/>
  <c r="X232" i="19"/>
  <c r="X230" i="19"/>
  <c r="W314" i="38"/>
  <c r="X88" i="55" s="1"/>
  <c r="W312" i="38"/>
  <c r="X86" i="55" s="1"/>
  <c r="W309" i="38"/>
  <c r="W310" i="38"/>
  <c r="Z148" i="38"/>
  <c r="Z152" i="38" s="1"/>
  <c r="Z146" i="38"/>
  <c r="Z150" i="38" s="1"/>
  <c r="Z147" i="38"/>
  <c r="Z151" i="38" s="1"/>
  <c r="Z149" i="38"/>
  <c r="AA100" i="36" s="1"/>
  <c r="BG100" i="36" s="1"/>
  <c r="DN57" i="55"/>
  <c r="BB57" i="55"/>
  <c r="U148" i="29"/>
  <c r="Y231" i="48"/>
  <c r="Y236" i="48" s="1"/>
  <c r="Y234" i="48"/>
  <c r="Y233" i="48"/>
  <c r="Y238" i="48" s="1"/>
  <c r="Y230" i="48"/>
  <c r="Y235" i="48" s="1"/>
  <c r="Y232" i="48"/>
  <c r="Y237" i="48" s="1"/>
  <c r="V306" i="38"/>
  <c r="V318" i="38" s="1"/>
  <c r="V307" i="38"/>
  <c r="AA64" i="15"/>
  <c r="AA48" i="15"/>
  <c r="AA49" i="15" s="1"/>
  <c r="AA136" i="15" s="1"/>
  <c r="AA45" i="15"/>
  <c r="AA58" i="15"/>
  <c r="Z69" i="29"/>
  <c r="Z75" i="29"/>
  <c r="Z67" i="29"/>
  <c r="Z66" i="29"/>
  <c r="Z65" i="29" s="1"/>
  <c r="Z74" i="29"/>
  <c r="AA48" i="16" s="1"/>
  <c r="AA49" i="16" s="1"/>
  <c r="AA136" i="16" s="1"/>
  <c r="Z73" i="29"/>
  <c r="Z70" i="29"/>
  <c r="Z68" i="29"/>
  <c r="Z78" i="29"/>
  <c r="AA64" i="16" s="1"/>
  <c r="Z77" i="29"/>
  <c r="AA45" i="16" s="1"/>
  <c r="Z71" i="29"/>
  <c r="AA223" i="42"/>
  <c r="AA227" i="42" s="1"/>
  <c r="AA224" i="42"/>
  <c r="AA228" i="42" s="1"/>
  <c r="AA226" i="42"/>
  <c r="AA225" i="42"/>
  <c r="AA229" i="42" s="1"/>
  <c r="X81" i="42"/>
  <c r="X85" i="42" s="1"/>
  <c r="X83" i="42"/>
  <c r="X87" i="42" s="1"/>
  <c r="X82" i="42"/>
  <c r="X86" i="42" s="1"/>
  <c r="X84" i="42"/>
  <c r="X149" i="29"/>
  <c r="X146" i="29"/>
  <c r="R172" i="28"/>
  <c r="R176" i="28" s="1"/>
  <c r="R173" i="28"/>
  <c r="Z146" i="42"/>
  <c r="Z150" i="42" s="1"/>
  <c r="Z147" i="42"/>
  <c r="Z151" i="42" s="1"/>
  <c r="Z149" i="42"/>
  <c r="Z148" i="42"/>
  <c r="Z152" i="42" s="1"/>
  <c r="Y34" i="19"/>
  <c r="Y214" i="19"/>
  <c r="U173" i="29"/>
  <c r="V283" i="42"/>
  <c r="V284" i="42" s="1"/>
  <c r="W250" i="42"/>
  <c r="T169" i="28"/>
  <c r="T168" i="28"/>
  <c r="Z229" i="48"/>
  <c r="Z232" i="46"/>
  <c r="Z237" i="46" s="1"/>
  <c r="Z231" i="46"/>
  <c r="Z236" i="46" s="1"/>
  <c r="Z230" i="46"/>
  <c r="Z235" i="46" s="1"/>
  <c r="Z233" i="46"/>
  <c r="Z238" i="46" s="1"/>
  <c r="Z234" i="46"/>
  <c r="AA108" i="45" s="1"/>
  <c r="BG108" i="45" s="1"/>
  <c r="AA19" i="29"/>
  <c r="AA27" i="29"/>
  <c r="AA137" i="38"/>
  <c r="AA161" i="38"/>
  <c r="AA153" i="38"/>
  <c r="AA145" i="38"/>
  <c r="Z19" i="54"/>
  <c r="Z27" i="54"/>
  <c r="Z32" i="54" s="1"/>
  <c r="Z34" i="46"/>
  <c r="Z309" i="46"/>
  <c r="W299" i="38"/>
  <c r="W298" i="38"/>
  <c r="W297" i="38"/>
  <c r="W296" i="38"/>
  <c r="V170" i="29"/>
  <c r="V171" i="29" s="1"/>
  <c r="V147" i="29"/>
  <c r="Z165" i="38"/>
  <c r="AA109" i="36" s="1"/>
  <c r="BG109" i="36" s="1"/>
  <c r="Z162" i="38"/>
  <c r="Z166" i="38" s="1"/>
  <c r="Z164" i="38"/>
  <c r="Z168" i="38" s="1"/>
  <c r="Z163" i="38"/>
  <c r="Z167" i="38" s="1"/>
  <c r="U174" i="29"/>
  <c r="U175" i="29" s="1"/>
  <c r="U176" i="29" s="1"/>
  <c r="V155" i="29"/>
  <c r="V154" i="29"/>
  <c r="Z19" i="53"/>
  <c r="Z27" i="53"/>
  <c r="Z32" i="53" s="1"/>
  <c r="AY84" i="55"/>
  <c r="X36" i="29"/>
  <c r="X37" i="29"/>
  <c r="V313" i="42"/>
  <c r="BC87" i="55" s="1"/>
  <c r="V311" i="42"/>
  <c r="BC85" i="55" s="1"/>
  <c r="V310" i="42"/>
  <c r="V314" i="42"/>
  <c r="BC88" i="55" s="1"/>
  <c r="V312" i="42"/>
  <c r="BC86" i="55" s="1"/>
  <c r="V309" i="42"/>
  <c r="AA199" i="42"/>
  <c r="AA207" i="42"/>
  <c r="AA191" i="42"/>
  <c r="X106" i="42"/>
  <c r="X110" i="42" s="1"/>
  <c r="X105" i="42"/>
  <c r="X109" i="42" s="1"/>
  <c r="X108" i="42"/>
  <c r="X107" i="42"/>
  <c r="X111" i="42" s="1"/>
  <c r="R346" i="42"/>
  <c r="AY127" i="36" s="1"/>
  <c r="Z162" i="42"/>
  <c r="Z166" i="42" s="1"/>
  <c r="Z163" i="42"/>
  <c r="Z167" i="42" s="1"/>
  <c r="Z164" i="42"/>
  <c r="Z168" i="42" s="1"/>
  <c r="Z165" i="42"/>
  <c r="W297" i="42"/>
  <c r="W298" i="42"/>
  <c r="W299" i="42"/>
  <c r="W296" i="42"/>
  <c r="U302" i="38"/>
  <c r="U303" i="38"/>
  <c r="X66" i="16"/>
  <c r="X59" i="16"/>
  <c r="X135" i="16" s="1"/>
  <c r="W240" i="19"/>
  <c r="W239" i="19"/>
  <c r="W251" i="19" s="1"/>
  <c r="T174" i="28"/>
  <c r="T175" i="28"/>
  <c r="X216" i="28"/>
  <c r="X55" i="29"/>
  <c r="X52" i="29" s="1"/>
  <c r="X61" i="29"/>
  <c r="X54" i="29"/>
  <c r="X56" i="29"/>
  <c r="X50" i="28"/>
  <c r="X117" i="28" s="1"/>
  <c r="X59" i="29"/>
  <c r="Y44" i="16" s="1"/>
  <c r="X60" i="29"/>
  <c r="Y62" i="15"/>
  <c r="Y65" i="15" s="1"/>
  <c r="Y139" i="15" s="1"/>
  <c r="X63" i="29"/>
  <c r="Y56" i="16" s="1"/>
  <c r="Y59" i="16" s="1"/>
  <c r="Y135" i="16" s="1"/>
  <c r="Y56" i="15"/>
  <c r="X53" i="29"/>
  <c r="Y44" i="15"/>
  <c r="X57" i="29"/>
  <c r="X62" i="29"/>
  <c r="Y62" i="16" s="1"/>
  <c r="AC5" i="38"/>
  <c r="AB15" i="38"/>
  <c r="AB28" i="38" s="1"/>
  <c r="AB43" i="38" s="1"/>
  <c r="AB17" i="38"/>
  <c r="AB30" i="38" s="1"/>
  <c r="AB45" i="38" s="1"/>
  <c r="AB14" i="38"/>
  <c r="AB16" i="38"/>
  <c r="AB29" i="38" s="1"/>
  <c r="AB44" i="38" s="1"/>
  <c r="AB222" i="38" s="1"/>
  <c r="AB18" i="38"/>
  <c r="AB31" i="38" s="1"/>
  <c r="AB46" i="38" s="1"/>
  <c r="AB237" i="38" s="1"/>
  <c r="T175" i="29"/>
  <c r="T176" i="29" s="1"/>
  <c r="T178" i="29" s="1"/>
  <c r="U156" i="29"/>
  <c r="U157" i="29"/>
  <c r="T164" i="29"/>
  <c r="T163" i="29"/>
  <c r="T165" i="29"/>
  <c r="BA62" i="55" s="1"/>
  <c r="T168" i="29"/>
  <c r="BA65" i="55" s="1"/>
  <c r="T167" i="29"/>
  <c r="BA64" i="55" s="1"/>
  <c r="T166" i="29"/>
  <c r="BA63" i="55" s="1"/>
  <c r="P204" i="28"/>
  <c r="Y281" i="42"/>
  <c r="Y34" i="42"/>
  <c r="Y32" i="28"/>
  <c r="Y45" i="28"/>
  <c r="W68" i="15"/>
  <c r="W77" i="15" s="1"/>
  <c r="W133" i="15" a="1"/>
  <c r="W134" i="15"/>
  <c r="W140" i="15" s="1"/>
  <c r="Z138" i="38"/>
  <c r="Z140" i="38"/>
  <c r="Z139" i="38"/>
  <c r="T305" i="42"/>
  <c r="T304" i="42"/>
  <c r="T308" i="42" s="1"/>
  <c r="W68" i="16"/>
  <c r="W77" i="16"/>
  <c r="W134" i="16"/>
  <c r="W140" i="16" s="1"/>
  <c r="W133" i="16" a="1"/>
  <c r="W141" i="16" s="1"/>
  <c r="W142" i="16" s="1"/>
  <c r="S186" i="28"/>
  <c r="S187" i="28" s="1"/>
  <c r="S188" i="28"/>
  <c r="S191" i="28" s="1"/>
  <c r="R340" i="42"/>
  <c r="AB15" i="42"/>
  <c r="AB28" i="42" s="1"/>
  <c r="AB43" i="42" s="1"/>
  <c r="AB14" i="42"/>
  <c r="AB16" i="42"/>
  <c r="AB29" i="42" s="1"/>
  <c r="AB44" i="42" s="1"/>
  <c r="AB222" i="42" s="1"/>
  <c r="AC5" i="42"/>
  <c r="AB18" i="42"/>
  <c r="AB31" i="42" s="1"/>
  <c r="AB46" i="42" s="1"/>
  <c r="AB237" i="42" s="1"/>
  <c r="AB17" i="42"/>
  <c r="AB30" i="42" s="1"/>
  <c r="AB45" i="42" s="1"/>
  <c r="X97" i="42"/>
  <c r="X101" i="42" s="1"/>
  <c r="X99" i="42"/>
  <c r="X103" i="42" s="1"/>
  <c r="X98" i="42"/>
  <c r="X102" i="42" s="1"/>
  <c r="X100" i="42"/>
  <c r="DP80" i="55"/>
  <c r="BD80" i="55"/>
  <c r="V163" i="28"/>
  <c r="V162" i="28"/>
  <c r="V160" i="28"/>
  <c r="Z86" i="45"/>
  <c r="Z85" i="45"/>
  <c r="Z87" i="45"/>
  <c r="BF87" i="45"/>
  <c r="BF85" i="45"/>
  <c r="BF86" i="45"/>
  <c r="Y197" i="54"/>
  <c r="Y34" i="54"/>
  <c r="Z154" i="42"/>
  <c r="Z158" i="42" s="1"/>
  <c r="Z156" i="42"/>
  <c r="Z160" i="42" s="1"/>
  <c r="Z157" i="42"/>
  <c r="Z155" i="42"/>
  <c r="Z159" i="42" s="1"/>
  <c r="W153" i="29"/>
  <c r="W151" i="29"/>
  <c r="W152" i="29"/>
  <c r="W150" i="29"/>
  <c r="W103" i="29"/>
  <c r="W91" i="29"/>
  <c r="X66" i="15"/>
  <c r="X59" i="15"/>
  <c r="X135" i="15" s="1"/>
  <c r="AC5" i="20"/>
  <c r="AB16" i="20"/>
  <c r="AB15" i="20"/>
  <c r="AB14" i="20"/>
  <c r="AB18" i="20"/>
  <c r="AB17" i="20"/>
  <c r="X149" i="28"/>
  <c r="X34" i="28"/>
  <c r="AA225" i="38"/>
  <c r="AA229" i="38" s="1"/>
  <c r="AA224" i="38"/>
  <c r="AA228" i="38" s="1"/>
  <c r="AA223" i="38"/>
  <c r="AA227" i="38" s="1"/>
  <c r="AB16" i="46"/>
  <c r="AB29" i="46" s="1"/>
  <c r="AB44" i="46" s="1"/>
  <c r="AB246" i="46" s="1"/>
  <c r="AB17" i="46"/>
  <c r="AB30" i="46" s="1"/>
  <c r="AB45" i="46" s="1"/>
  <c r="AB14" i="46"/>
  <c r="AC5" i="46"/>
  <c r="AB15" i="46"/>
  <c r="AB28" i="46" s="1"/>
  <c r="AB43" i="46" s="1"/>
  <c r="AB18" i="46"/>
  <c r="AB31" i="46" s="1"/>
  <c r="AA14" i="54"/>
  <c r="AB5" i="54"/>
  <c r="AA16" i="54"/>
  <c r="AA29" i="54" s="1"/>
  <c r="AA44" i="54" s="1"/>
  <c r="AA150" i="54" s="1"/>
  <c r="AA151" i="54" s="1"/>
  <c r="AA17" i="54"/>
  <c r="AA30" i="54" s="1"/>
  <c r="AA18" i="54"/>
  <c r="AA31" i="54" s="1"/>
  <c r="AA15" i="54"/>
  <c r="AA28" i="54" s="1"/>
  <c r="Y249" i="42"/>
  <c r="Y47" i="42"/>
  <c r="Y291" i="42" s="1"/>
  <c r="Y104" i="42"/>
  <c r="Y96" i="42"/>
  <c r="Y80" i="42"/>
  <c r="Y72" i="42"/>
  <c r="Z202" i="42"/>
  <c r="Z206" i="42" s="1"/>
  <c r="Z200" i="42"/>
  <c r="Z204" i="42" s="1"/>
  <c r="Z201" i="42"/>
  <c r="Z205" i="42" s="1"/>
  <c r="Z203" i="42"/>
  <c r="AC5" i="19"/>
  <c r="AB17" i="19"/>
  <c r="AB30" i="19" s="1"/>
  <c r="AB48" i="19" s="1"/>
  <c r="AB16" i="19"/>
  <c r="AB29" i="19" s="1"/>
  <c r="AB47" i="19" s="1"/>
  <c r="AB14" i="19"/>
  <c r="AB18" i="19"/>
  <c r="AB31" i="19" s="1"/>
  <c r="AB49" i="19" s="1"/>
  <c r="AB15" i="19"/>
  <c r="AB28" i="19" s="1"/>
  <c r="AB46" i="19" s="1"/>
  <c r="Z34" i="48"/>
  <c r="Z309" i="48"/>
  <c r="AY81" i="55"/>
  <c r="Y223" i="48"/>
  <c r="Y228" i="48" s="1"/>
  <c r="Y224" i="48"/>
  <c r="Y220" i="48"/>
  <c r="Y225" i="48" s="1"/>
  <c r="Y222" i="48"/>
  <c r="Y227" i="48" s="1"/>
  <c r="Y221" i="48"/>
  <c r="Y226" i="48" s="1"/>
  <c r="X295" i="42"/>
  <c r="X292" i="42"/>
  <c r="Z141" i="42"/>
  <c r="Z140" i="42"/>
  <c r="Z144" i="42" s="1"/>
  <c r="Z138" i="42"/>
  <c r="Z142" i="42" s="1"/>
  <c r="Z139" i="42"/>
  <c r="Z143" i="42" s="1"/>
  <c r="W57" i="55"/>
  <c r="Y169" i="48"/>
  <c r="Y174" i="48" s="1"/>
  <c r="Y168" i="48"/>
  <c r="Y173" i="48" s="1"/>
  <c r="Y170" i="48"/>
  <c r="Y175" i="48" s="1"/>
  <c r="Y171" i="48"/>
  <c r="Y176" i="48" s="1"/>
  <c r="Y172" i="48"/>
  <c r="Z172" i="46"/>
  <c r="AA77" i="45" s="1"/>
  <c r="BG77" i="45" s="1"/>
  <c r="Z167" i="48"/>
  <c r="Z171" i="46"/>
  <c r="Z176" i="46" s="1"/>
  <c r="Z169" i="46"/>
  <c r="Z174" i="46" s="1"/>
  <c r="Z170" i="46"/>
  <c r="Z175" i="46" s="1"/>
  <c r="Z168" i="46"/>
  <c r="Z173" i="46" s="1"/>
  <c r="X67" i="16"/>
  <c r="X46" i="16"/>
  <c r="W233" i="19"/>
  <c r="W234" i="19"/>
  <c r="T143" i="29"/>
  <c r="T140" i="29"/>
  <c r="T142" i="29"/>
  <c r="T144" i="29"/>
  <c r="T139" i="29"/>
  <c r="T141" i="29"/>
  <c r="AA49" i="29"/>
  <c r="AA191" i="38"/>
  <c r="AA199" i="38"/>
  <c r="AA207" i="38"/>
  <c r="AA248" i="46"/>
  <c r="AA253" i="46" s="1"/>
  <c r="AA247" i="46"/>
  <c r="AA252" i="46" s="1"/>
  <c r="AA250" i="46"/>
  <c r="AA255" i="46" s="1"/>
  <c r="AA251" i="46"/>
  <c r="AB96" i="45" s="1"/>
  <c r="AA246" i="48"/>
  <c r="AA249" i="46"/>
  <c r="AA254" i="46" s="1"/>
  <c r="DJ81" i="55"/>
  <c r="AX81" i="55"/>
  <c r="Q340" i="42"/>
  <c r="AX84" i="55"/>
  <c r="Q345" i="42"/>
  <c r="CH57" i="55"/>
  <c r="U152" i="28"/>
  <c r="T158" i="29"/>
  <c r="T162" i="29" s="1"/>
  <c r="T159" i="29"/>
  <c r="V300" i="42"/>
  <c r="V301" i="42"/>
  <c r="Z210" i="42"/>
  <c r="Z214" i="42" s="1"/>
  <c r="Z208" i="42"/>
  <c r="Z212" i="42" s="1"/>
  <c r="Z209" i="42"/>
  <c r="Z213" i="42" s="1"/>
  <c r="Z211" i="42"/>
  <c r="T304" i="38"/>
  <c r="T308" i="38" s="1"/>
  <c r="T305" i="38"/>
  <c r="Z251" i="48"/>
  <c r="Z249" i="48"/>
  <c r="Z254" i="48" s="1"/>
  <c r="Z250" i="48"/>
  <c r="Z255" i="48" s="1"/>
  <c r="Z248" i="48"/>
  <c r="Z253" i="48" s="1"/>
  <c r="Z247" i="48"/>
  <c r="Z252" i="48" s="1"/>
  <c r="DK81" i="55"/>
  <c r="AB17" i="48"/>
  <c r="AB30" i="48" s="1"/>
  <c r="AB45" i="48" s="1"/>
  <c r="AB16" i="48"/>
  <c r="AB29" i="48" s="1"/>
  <c r="AB44" i="48" s="1"/>
  <c r="AB14" i="48"/>
  <c r="AB18" i="48"/>
  <c r="AB31" i="48" s="1"/>
  <c r="AC5" i="48"/>
  <c r="AB15" i="48"/>
  <c r="AB28" i="48" s="1"/>
  <c r="AB43" i="48" s="1"/>
  <c r="R72" i="16"/>
  <c r="AX34" i="58" s="1"/>
  <c r="Q200" i="29"/>
  <c r="R73" i="16" s="1"/>
  <c r="U302" i="42"/>
  <c r="U303" i="42"/>
  <c r="X75" i="42"/>
  <c r="X79" i="42" s="1"/>
  <c r="X74" i="42"/>
  <c r="X78" i="42" s="1"/>
  <c r="X76" i="42"/>
  <c r="X73" i="42"/>
  <c r="X77" i="42" s="1"/>
  <c r="Z200" i="38"/>
  <c r="Z204" i="38" s="1"/>
  <c r="Z202" i="38"/>
  <c r="Z206" i="38" s="1"/>
  <c r="Z201" i="38"/>
  <c r="Z205" i="38" s="1"/>
  <c r="Z203" i="38"/>
  <c r="AA101" i="36" s="1"/>
  <c r="BG101" i="36" s="1"/>
  <c r="U238" i="19"/>
  <c r="U237" i="19"/>
  <c r="U241" i="19" s="1"/>
  <c r="Z178" i="46"/>
  <c r="Z183" i="46" s="1"/>
  <c r="Z177" i="48"/>
  <c r="Z182" i="46"/>
  <c r="AA107" i="45" s="1"/>
  <c r="BG107" i="45" s="1"/>
  <c r="Z180" i="46"/>
  <c r="Z185" i="46" s="1"/>
  <c r="Z179" i="46"/>
  <c r="Z184" i="46" s="1"/>
  <c r="Z181" i="46"/>
  <c r="Z186" i="46" s="1"/>
  <c r="W211" i="28"/>
  <c r="W159" i="28"/>
  <c r="W210" i="28"/>
  <c r="W92" i="29"/>
  <c r="X295" i="38"/>
  <c r="X292" i="38"/>
  <c r="Z32" i="19"/>
  <c r="Z45" i="19"/>
  <c r="Z50" i="19" s="1"/>
  <c r="X87" i="29"/>
  <c r="Y61" i="16"/>
  <c r="V104" i="29"/>
  <c r="U137" i="29"/>
  <c r="U138" i="29" s="1"/>
  <c r="Y50" i="29"/>
  <c r="Y145" i="29" s="1"/>
  <c r="T153" i="28"/>
  <c r="T157" i="28"/>
  <c r="CG64" i="55" s="1"/>
  <c r="T155" i="28"/>
  <c r="CG62" i="55" s="1"/>
  <c r="T154" i="28"/>
  <c r="CG61" i="55" s="1"/>
  <c r="T156" i="28"/>
  <c r="CG63" i="55" s="1"/>
  <c r="T158" i="28"/>
  <c r="CG65" i="55" s="1"/>
  <c r="Y197" i="53"/>
  <c r="Y34" i="53"/>
  <c r="AA238" i="38"/>
  <c r="AA242" i="38" s="1"/>
  <c r="AA239" i="38"/>
  <c r="AA243" i="38" s="1"/>
  <c r="AA240" i="38"/>
  <c r="AA244" i="38" s="1"/>
  <c r="AA229" i="46"/>
  <c r="AA209" i="46"/>
  <c r="AA219" i="46"/>
  <c r="W217" i="28"/>
  <c r="V151" i="28"/>
  <c r="Y211" i="48"/>
  <c r="Y216" i="48" s="1"/>
  <c r="Y214" i="48"/>
  <c r="Y212" i="48"/>
  <c r="Y217" i="48" s="1"/>
  <c r="Y210" i="48"/>
  <c r="Y215" i="48" s="1"/>
  <c r="Y213" i="48"/>
  <c r="Y218" i="48" s="1"/>
  <c r="Z194" i="42"/>
  <c r="Z198" i="42" s="1"/>
  <c r="Z195" i="42"/>
  <c r="Z193" i="42"/>
  <c r="Z197" i="42" s="1"/>
  <c r="Z192" i="42"/>
  <c r="Z196" i="42" s="1"/>
  <c r="Z32" i="29"/>
  <c r="Z45" i="29"/>
  <c r="V300" i="38"/>
  <c r="V301" i="38"/>
  <c r="Z19" i="28"/>
  <c r="Z118" i="28" s="1"/>
  <c r="Z27" i="28"/>
  <c r="V311" i="38"/>
  <c r="W85" i="55" s="1"/>
  <c r="V312" i="38"/>
  <c r="W86" i="55" s="1"/>
  <c r="V309" i="38"/>
  <c r="V314" i="38"/>
  <c r="W88" i="55" s="1"/>
  <c r="V313" i="38"/>
  <c r="W87" i="55" s="1"/>
  <c r="V310" i="38"/>
  <c r="AA19" i="42"/>
  <c r="AA247" i="42" s="1"/>
  <c r="AA27" i="42"/>
  <c r="X316" i="42"/>
  <c r="X317" i="42" s="1"/>
  <c r="X293" i="42"/>
  <c r="X294" i="42" s="1"/>
  <c r="Z192" i="38"/>
  <c r="Z196" i="38" s="1"/>
  <c r="Z193" i="38"/>
  <c r="Z197" i="38" s="1"/>
  <c r="Z194" i="38"/>
  <c r="Z198" i="38" s="1"/>
  <c r="Q196" i="28"/>
  <c r="Q197" i="28" s="1"/>
  <c r="Q206" i="28" s="1"/>
  <c r="R70" i="15" s="1"/>
  <c r="W196" i="29"/>
  <c r="W197" i="29"/>
  <c r="Z161" i="46"/>
  <c r="Z166" i="46" s="1"/>
  <c r="Z162" i="46"/>
  <c r="AA98" i="45" s="1"/>
  <c r="BG98" i="45" s="1"/>
  <c r="Z159" i="46"/>
  <c r="Z164" i="46" s="1"/>
  <c r="Z160" i="46"/>
  <c r="Z165" i="46" s="1"/>
  <c r="Z158" i="46"/>
  <c r="Z163" i="46" s="1"/>
  <c r="Z157" i="48"/>
  <c r="X65" i="16"/>
  <c r="X139" i="16" s="1"/>
  <c r="Y158" i="48"/>
  <c r="Y163" i="48" s="1"/>
  <c r="Y160" i="48"/>
  <c r="Y165" i="48" s="1"/>
  <c r="Y159" i="48"/>
  <c r="Y164" i="48" s="1"/>
  <c r="Y161" i="48"/>
  <c r="Y166" i="48" s="1"/>
  <c r="Y162" i="48"/>
  <c r="T182" i="29"/>
  <c r="T183" i="29" s="1"/>
  <c r="T192" i="29" s="1"/>
  <c r="U70" i="16" s="1"/>
  <c r="Y135" i="29"/>
  <c r="Y34" i="29"/>
  <c r="AB15" i="29"/>
  <c r="AB28" i="29" s="1"/>
  <c r="AB46" i="29" s="1"/>
  <c r="AB14" i="29"/>
  <c r="AB18" i="29"/>
  <c r="AB31" i="29" s="1"/>
  <c r="AB17" i="29"/>
  <c r="AB30" i="29" s="1"/>
  <c r="AC5" i="29"/>
  <c r="AB16" i="29"/>
  <c r="AB29" i="29" s="1"/>
  <c r="AB47" i="29" s="1"/>
  <c r="Y181" i="48"/>
  <c r="Y186" i="48" s="1"/>
  <c r="Y180" i="48"/>
  <c r="Y185" i="48" s="1"/>
  <c r="Y182" i="48"/>
  <c r="Y178" i="48"/>
  <c r="Y183" i="48" s="1"/>
  <c r="Y179" i="48"/>
  <c r="Y184" i="48" s="1"/>
  <c r="AA19" i="38"/>
  <c r="AA247" i="38" s="1"/>
  <c r="AA27" i="38"/>
  <c r="AA147" i="46"/>
  <c r="AA157" i="46"/>
  <c r="AA167" i="46"/>
  <c r="AA177" i="46"/>
  <c r="U318" i="42"/>
  <c r="U319" i="42" s="1"/>
  <c r="U320" i="42"/>
  <c r="U323" i="42" s="1"/>
  <c r="Z42" i="42"/>
  <c r="Z32" i="42"/>
  <c r="R183" i="29"/>
  <c r="R190" i="29" s="1"/>
  <c r="U182" i="28"/>
  <c r="V65" i="55" s="1"/>
  <c r="U178" i="28"/>
  <c r="U177" i="28"/>
  <c r="U181" i="28"/>
  <c r="V64" i="55" s="1"/>
  <c r="U179" i="28"/>
  <c r="V62" i="55" s="1"/>
  <c r="U180" i="28"/>
  <c r="V63" i="55" s="1"/>
  <c r="Z85" i="29"/>
  <c r="AA55" i="16" s="1"/>
  <c r="AA55" i="15"/>
  <c r="AA19" i="48"/>
  <c r="AA275" i="48" s="1"/>
  <c r="AA27" i="48"/>
  <c r="AA32" i="48" s="1"/>
  <c r="AA137" i="42"/>
  <c r="AA161" i="42"/>
  <c r="AA153" i="42"/>
  <c r="AA145" i="42"/>
  <c r="Z76" i="29"/>
  <c r="AA58" i="16" s="1"/>
  <c r="Y148" i="48"/>
  <c r="Y153" i="48" s="1"/>
  <c r="Y149" i="48"/>
  <c r="Y154" i="48" s="1"/>
  <c r="Y150" i="48"/>
  <c r="Y155" i="48" s="1"/>
  <c r="Y152" i="48"/>
  <c r="Y151" i="48"/>
  <c r="Y156" i="48" s="1"/>
  <c r="Z208" i="38"/>
  <c r="Z212" i="38" s="1"/>
  <c r="Z209" i="38"/>
  <c r="Z213" i="38" s="1"/>
  <c r="Z210" i="38"/>
  <c r="Z214" i="38" s="1"/>
  <c r="Z211" i="38"/>
  <c r="Z147" i="48"/>
  <c r="Z152" i="46"/>
  <c r="AA83" i="45" s="1"/>
  <c r="Z149" i="46"/>
  <c r="Z154" i="46" s="1"/>
  <c r="Z151" i="46"/>
  <c r="Z156" i="46" s="1"/>
  <c r="Z150" i="46"/>
  <c r="Z155" i="46" s="1"/>
  <c r="Z148" i="46"/>
  <c r="Z153" i="46" s="1"/>
  <c r="W184" i="28"/>
  <c r="W185" i="28" s="1"/>
  <c r="W161" i="28"/>
  <c r="Y34" i="38"/>
  <c r="Y281" i="38"/>
  <c r="Z213" i="46"/>
  <c r="Z218" i="46" s="1"/>
  <c r="Z212" i="46"/>
  <c r="Z217" i="46" s="1"/>
  <c r="Z211" i="46"/>
  <c r="Z216" i="46" s="1"/>
  <c r="Z210" i="46"/>
  <c r="Z215" i="46" s="1"/>
  <c r="Z214" i="46"/>
  <c r="AA89" i="45" s="1"/>
  <c r="Z209" i="48"/>
  <c r="AA19" i="46"/>
  <c r="AA275" i="46" s="1"/>
  <c r="AA27" i="46"/>
  <c r="AA32" i="46" s="1"/>
  <c r="Z155" i="38"/>
  <c r="Z159" i="38" s="1"/>
  <c r="Z154" i="38"/>
  <c r="Z158" i="38" s="1"/>
  <c r="Z156" i="38"/>
  <c r="Z160" i="38" s="1"/>
  <c r="Z157" i="38"/>
  <c r="AA79" i="36" s="1"/>
  <c r="BG79" i="36" s="1"/>
  <c r="V306" i="42"/>
  <c r="V307" i="42"/>
  <c r="AA19" i="19"/>
  <c r="AA27" i="19"/>
  <c r="V235" i="19"/>
  <c r="V236" i="19"/>
  <c r="V160" i="29"/>
  <c r="V172" i="29" s="1"/>
  <c r="V161" i="29"/>
  <c r="AB5" i="53"/>
  <c r="AA18" i="53"/>
  <c r="AA31" i="53" s="1"/>
  <c r="AA16" i="53"/>
  <c r="AA29" i="53" s="1"/>
  <c r="AA44" i="53" s="1"/>
  <c r="AA150" i="53" s="1"/>
  <c r="AA151" i="53" s="1"/>
  <c r="AB60" i="51" s="1"/>
  <c r="BH60" i="51" s="1"/>
  <c r="AA17" i="53"/>
  <c r="AA30" i="53" s="1"/>
  <c r="AA14" i="53"/>
  <c r="AA15" i="53"/>
  <c r="AA28" i="53" s="1"/>
  <c r="U164" i="28"/>
  <c r="U166" i="28"/>
  <c r="U167" i="28"/>
  <c r="U165" i="28"/>
  <c r="AB5" i="28"/>
  <c r="AA15" i="28"/>
  <c r="AA28" i="28" s="1"/>
  <c r="AA46" i="28" s="1"/>
  <c r="AA16" i="28"/>
  <c r="AA29" i="28" s="1"/>
  <c r="AA47" i="28" s="1"/>
  <c r="AA14" i="28"/>
  <c r="AA18" i="28"/>
  <c r="AA31" i="28" s="1"/>
  <c r="AA17" i="28"/>
  <c r="AA30" i="28" s="1"/>
  <c r="AA239" i="42"/>
  <c r="AA243" i="42" s="1"/>
  <c r="AA241" i="42"/>
  <c r="AA238" i="42"/>
  <c r="AA242" i="42" s="1"/>
  <c r="AA240" i="42"/>
  <c r="AA244" i="42" s="1"/>
  <c r="X246" i="42"/>
  <c r="S170" i="28"/>
  <c r="S171" i="28"/>
  <c r="W36" i="28"/>
  <c r="W37" i="28"/>
  <c r="Z42" i="38"/>
  <c r="Z32" i="38"/>
  <c r="Y276" i="19"/>
  <c r="Y275" i="19"/>
  <c r="Y225" i="19"/>
  <c r="Y224" i="19"/>
  <c r="Y228" i="19"/>
  <c r="W117" i="28"/>
  <c r="X67" i="15"/>
  <c r="X46" i="15"/>
  <c r="X316" i="38"/>
  <c r="X293" i="38"/>
  <c r="Y80" i="55" s="1"/>
  <c r="U287" i="42"/>
  <c r="U290" i="42"/>
  <c r="U289" i="42"/>
  <c r="U288" i="42"/>
  <c r="U285" i="42"/>
  <c r="U286" i="42"/>
  <c r="Y249" i="38"/>
  <c r="Y80" i="38"/>
  <c r="Y47" i="38"/>
  <c r="Y291" i="38" s="1"/>
  <c r="Y104" i="38"/>
  <c r="Y72" i="38"/>
  <c r="Y73" i="38" s="1"/>
  <c r="Y96" i="38"/>
  <c r="R189" i="28"/>
  <c r="R190" i="28" s="1"/>
  <c r="R192" i="28" s="1"/>
  <c r="R191" i="28"/>
  <c r="Z223" i="46"/>
  <c r="Z228" i="46" s="1"/>
  <c r="Z220" i="46"/>
  <c r="Z225" i="46" s="1"/>
  <c r="Z224" i="46"/>
  <c r="AA99" i="45" s="1"/>
  <c r="BG99" i="45" s="1"/>
  <c r="Z219" i="48"/>
  <c r="Z221" i="46"/>
  <c r="Z226" i="46" s="1"/>
  <c r="Z222" i="46"/>
  <c r="Z227" i="46" s="1"/>
  <c r="T328" i="42"/>
  <c r="X37" i="19"/>
  <c r="X36" i="19"/>
  <c r="K259" i="20"/>
  <c r="BX34" i="55"/>
  <c r="K183" i="19"/>
  <c r="J216" i="19"/>
  <c r="M109" i="14"/>
  <c r="M110" i="14"/>
  <c r="M108" i="14" s="1"/>
  <c r="M73" i="19"/>
  <c r="N114" i="14" s="1"/>
  <c r="N114" i="12"/>
  <c r="L97" i="14"/>
  <c r="M105" i="14"/>
  <c r="M228" i="14" s="1"/>
  <c r="M91" i="19"/>
  <c r="N136" i="14" s="1"/>
  <c r="N136" i="12"/>
  <c r="L75" i="19"/>
  <c r="M109" i="12"/>
  <c r="M99" i="12"/>
  <c r="E161" i="12"/>
  <c r="N105" i="12"/>
  <c r="N228" i="12" s="1"/>
  <c r="N95" i="14"/>
  <c r="M111" i="19"/>
  <c r="M126" i="19"/>
  <c r="M113" i="19"/>
  <c r="N106" i="19"/>
  <c r="O103" i="14" s="1"/>
  <c r="O103" i="12"/>
  <c r="M114" i="19"/>
  <c r="N124" i="19"/>
  <c r="O138" i="14" s="1"/>
  <c r="O138" i="12"/>
  <c r="M123" i="19"/>
  <c r="O174" i="19"/>
  <c r="E165" i="12"/>
  <c r="N98" i="19"/>
  <c r="L94" i="19"/>
  <c r="O176" i="19"/>
  <c r="L92" i="19"/>
  <c r="L88" i="19"/>
  <c r="L87" i="19"/>
  <c r="O165" i="19"/>
  <c r="O166" i="19"/>
  <c r="O163" i="19"/>
  <c r="O164" i="19"/>
  <c r="L89" i="19"/>
  <c r="L86" i="19"/>
  <c r="L74" i="19"/>
  <c r="L76" i="19"/>
  <c r="N118" i="19"/>
  <c r="O94" i="14" s="1"/>
  <c r="M109" i="19"/>
  <c r="M120" i="19"/>
  <c r="M119" i="19"/>
  <c r="M110" i="12"/>
  <c r="M108" i="12" s="1"/>
  <c r="L90" i="19"/>
  <c r="L83" i="19"/>
  <c r="M111" i="14" s="1"/>
  <c r="M107" i="14" s="1"/>
  <c r="M111" i="12"/>
  <c r="M107" i="12" s="1"/>
  <c r="L93" i="19"/>
  <c r="M108" i="19"/>
  <c r="L77" i="19"/>
  <c r="L80" i="19"/>
  <c r="M106" i="14" s="1"/>
  <c r="M79" i="19"/>
  <c r="N104" i="14" s="1"/>
  <c r="N105" i="14" s="1"/>
  <c r="N228" i="14" s="1"/>
  <c r="M129" i="19"/>
  <c r="L70" i="19"/>
  <c r="M100" i="14" s="1"/>
  <c r="M98" i="14" s="1"/>
  <c r="L69" i="19"/>
  <c r="M99" i="14" s="1"/>
  <c r="L71" i="19"/>
  <c r="M101" i="14" s="1"/>
  <c r="L68" i="19"/>
  <c r="M96" i="14" s="1"/>
  <c r="M180" i="19"/>
  <c r="J293" i="20"/>
  <c r="P172" i="19"/>
  <c r="Q135" i="14" s="1"/>
  <c r="N131" i="19"/>
  <c r="P215" i="20"/>
  <c r="P173" i="19" s="1"/>
  <c r="P217" i="20"/>
  <c r="P175" i="19" s="1"/>
  <c r="P219" i="20"/>
  <c r="P177" i="19" s="1"/>
  <c r="P216" i="20"/>
  <c r="P218" i="20"/>
  <c r="P203" i="20"/>
  <c r="P205" i="20"/>
  <c r="P202" i="20"/>
  <c r="P204" i="20"/>
  <c r="P206" i="20"/>
  <c r="P167" i="19" s="1"/>
  <c r="N131" i="20"/>
  <c r="N107" i="19" s="1"/>
  <c r="N132" i="20"/>
  <c r="N134" i="20"/>
  <c r="N110" i="19" s="1"/>
  <c r="N135" i="20"/>
  <c r="N133" i="20"/>
  <c r="N149" i="20"/>
  <c r="N125" i="19" s="1"/>
  <c r="N152" i="20"/>
  <c r="N128" i="19" s="1"/>
  <c r="N151" i="20"/>
  <c r="N127" i="19" s="1"/>
  <c r="N153" i="20"/>
  <c r="N150" i="20"/>
  <c r="N144" i="20"/>
  <c r="N143" i="20"/>
  <c r="N146" i="20"/>
  <c r="N122" i="19" s="1"/>
  <c r="N145" i="20"/>
  <c r="N121" i="19" s="1"/>
  <c r="N147" i="20"/>
  <c r="O148" i="20"/>
  <c r="O136" i="20"/>
  <c r="O112" i="19" s="1"/>
  <c r="P126" i="14" s="1"/>
  <c r="O142" i="20"/>
  <c r="O130" i="20"/>
  <c r="N137" i="20"/>
  <c r="N140" i="20"/>
  <c r="N116" i="19" s="1"/>
  <c r="N139" i="20"/>
  <c r="N115" i="19" s="1"/>
  <c r="N141" i="20"/>
  <c r="N117" i="19" s="1"/>
  <c r="N138" i="20"/>
  <c r="M103" i="20"/>
  <c r="M95" i="19" s="1"/>
  <c r="M101" i="20"/>
  <c r="M104" i="20"/>
  <c r="M96" i="19" s="1"/>
  <c r="M100" i="20"/>
  <c r="M102" i="20"/>
  <c r="N75" i="20"/>
  <c r="N67" i="19" s="1"/>
  <c r="O93" i="14" s="1"/>
  <c r="N99" i="20"/>
  <c r="N81" i="20"/>
  <c r="N93" i="20"/>
  <c r="N85" i="19" s="1"/>
  <c r="O124" i="14" s="1"/>
  <c r="N87" i="20"/>
  <c r="O104" i="12" s="1"/>
  <c r="M94" i="20"/>
  <c r="M95" i="20"/>
  <c r="M97" i="20"/>
  <c r="M96" i="20"/>
  <c r="M98" i="20"/>
  <c r="M83" i="20"/>
  <c r="M84" i="20"/>
  <c r="M86" i="20"/>
  <c r="M78" i="19" s="1"/>
  <c r="M82" i="20"/>
  <c r="M85" i="20"/>
  <c r="M89" i="20"/>
  <c r="M81" i="19" s="1"/>
  <c r="M90" i="20"/>
  <c r="M82" i="19" s="1"/>
  <c r="M88" i="20"/>
  <c r="N106" i="12" s="1"/>
  <c r="M92" i="20"/>
  <c r="M84" i="19" s="1"/>
  <c r="M91" i="20"/>
  <c r="M78" i="20"/>
  <c r="N100" i="12" s="1"/>
  <c r="N98" i="12" s="1"/>
  <c r="M76" i="20"/>
  <c r="N96" i="12" s="1"/>
  <c r="M77" i="20"/>
  <c r="M79" i="20"/>
  <c r="N101" i="12" s="1"/>
  <c r="N97" i="12" s="1"/>
  <c r="M80" i="20"/>
  <c r="M72" i="19" s="1"/>
  <c r="N55" i="19"/>
  <c r="N52" i="19" s="1"/>
  <c r="N62" i="19"/>
  <c r="O93" i="12"/>
  <c r="N60" i="19"/>
  <c r="N50" i="20"/>
  <c r="N58" i="19"/>
  <c r="N63" i="19"/>
  <c r="N65" i="19"/>
  <c r="N54" i="19"/>
  <c r="N57" i="19"/>
  <c r="O124" i="12"/>
  <c r="N53" i="19"/>
  <c r="N64" i="19"/>
  <c r="N61" i="19"/>
  <c r="N56" i="19"/>
  <c r="Q123" i="12"/>
  <c r="P158" i="19"/>
  <c r="P160" i="19"/>
  <c r="Q31" i="20"/>
  <c r="Q49" i="20" s="1"/>
  <c r="Q214" i="20" s="1"/>
  <c r="R135" i="12" s="1"/>
  <c r="K281" i="20"/>
  <c r="K282" i="20"/>
  <c r="M226" i="12"/>
  <c r="O103" i="19"/>
  <c r="P126" i="12"/>
  <c r="O100" i="19"/>
  <c r="O104" i="19"/>
  <c r="O102" i="19"/>
  <c r="O101" i="19"/>
  <c r="O99" i="19"/>
  <c r="O45" i="20"/>
  <c r="O32" i="20"/>
  <c r="CB4" i="55" s="1"/>
  <c r="DH4" i="55" s="1"/>
  <c r="M266" i="20"/>
  <c r="M317" i="20"/>
  <c r="M270" i="20"/>
  <c r="M267" i="20"/>
  <c r="M318" i="20"/>
  <c r="M179" i="19"/>
  <c r="Q29" i="20"/>
  <c r="Q47" i="20" s="1"/>
  <c r="Q201" i="20" s="1"/>
  <c r="Q162" i="19" s="1"/>
  <c r="R123" i="14" s="1"/>
  <c r="P170" i="19"/>
  <c r="M37" i="20"/>
  <c r="M36" i="20"/>
  <c r="P28" i="20"/>
  <c r="P46" i="20" s="1"/>
  <c r="Q94" i="12" s="1"/>
  <c r="P30" i="20"/>
  <c r="P48" i="20" s="1"/>
  <c r="I279" i="20"/>
  <c r="I283" i="20" s="1"/>
  <c r="I280" i="20"/>
  <c r="P27" i="20"/>
  <c r="Q19" i="20"/>
  <c r="P222" i="20"/>
  <c r="O169" i="19"/>
  <c r="L258" i="20"/>
  <c r="M225" i="20"/>
  <c r="O133" i="19"/>
  <c r="O135" i="19"/>
  <c r="O136" i="19"/>
  <c r="O134" i="19"/>
  <c r="O132" i="19"/>
  <c r="P125" i="12"/>
  <c r="N256" i="20"/>
  <c r="N34" i="20"/>
  <c r="M226" i="14"/>
  <c r="O157" i="19"/>
  <c r="N95" i="12"/>
  <c r="K276" i="20"/>
  <c r="K275" i="20"/>
  <c r="J278" i="20"/>
  <c r="J277" i="20"/>
  <c r="L273" i="20"/>
  <c r="L271" i="20"/>
  <c r="L274" i="20"/>
  <c r="L272" i="20"/>
  <c r="K260" i="20" l="1"/>
  <c r="AA61" i="15"/>
  <c r="Z88" i="29"/>
  <c r="K263" i="20"/>
  <c r="BX40" i="55" s="1"/>
  <c r="K262" i="20"/>
  <c r="BX39" i="55" s="1"/>
  <c r="K264" i="20"/>
  <c r="BX41" i="55" s="1"/>
  <c r="K265" i="20"/>
  <c r="BX42" i="55" s="1"/>
  <c r="K261" i="20"/>
  <c r="BX38" i="55" s="1"/>
  <c r="Z61" i="16"/>
  <c r="Y87" i="29"/>
  <c r="S183" i="29"/>
  <c r="S192" i="29" s="1"/>
  <c r="T70" i="16" s="1"/>
  <c r="W141" i="15"/>
  <c r="W142" i="15" s="1"/>
  <c r="T324" i="42"/>
  <c r="Y246" i="38"/>
  <c r="Y65" i="16"/>
  <c r="Y139" i="16" s="1"/>
  <c r="V173" i="29"/>
  <c r="S190" i="29"/>
  <c r="AZ61" i="55" s="1"/>
  <c r="X57" i="55"/>
  <c r="AZ84" i="55"/>
  <c r="S340" i="42"/>
  <c r="DL81" i="55"/>
  <c r="AZ81" i="55"/>
  <c r="S346" i="42"/>
  <c r="AZ127" i="36" s="1"/>
  <c r="W313" i="38"/>
  <c r="X87" i="55" s="1"/>
  <c r="U178" i="29"/>
  <c r="Y66" i="16"/>
  <c r="S69" i="16"/>
  <c r="X314" i="42"/>
  <c r="BE88" i="55" s="1"/>
  <c r="X310" i="42"/>
  <c r="X309" i="42"/>
  <c r="X312" i="42"/>
  <c r="BE86" i="55" s="1"/>
  <c r="X311" i="42"/>
  <c r="BE85" i="55" s="1"/>
  <c r="X313" i="42"/>
  <c r="BE87" i="55" s="1"/>
  <c r="U168" i="28"/>
  <c r="U169" i="28"/>
  <c r="AA182" i="46"/>
  <c r="AB107" i="45" s="1"/>
  <c r="BH107" i="45" s="1"/>
  <c r="AA177" i="48"/>
  <c r="AA178" i="46"/>
  <c r="AA183" i="46" s="1"/>
  <c r="AA181" i="46"/>
  <c r="AA186" i="46" s="1"/>
  <c r="AA179" i="46"/>
  <c r="AA184" i="46" s="1"/>
  <c r="AA180" i="46"/>
  <c r="AA185" i="46" s="1"/>
  <c r="V303" i="38"/>
  <c r="V302" i="38"/>
  <c r="AA212" i="46"/>
  <c r="AA217" i="46" s="1"/>
  <c r="AA214" i="46"/>
  <c r="AB89" i="45" s="1"/>
  <c r="AA210" i="46"/>
  <c r="AA215" i="46" s="1"/>
  <c r="AA209" i="48"/>
  <c r="AA211" i="46"/>
  <c r="AA216" i="46" s="1"/>
  <c r="AA213" i="46"/>
  <c r="AA218" i="46" s="1"/>
  <c r="W104" i="29"/>
  <c r="V137" i="29"/>
  <c r="V138" i="29" s="1"/>
  <c r="Z179" i="48"/>
  <c r="Z184" i="48" s="1"/>
  <c r="Z178" i="48"/>
  <c r="Z183" i="48" s="1"/>
  <c r="Z180" i="48"/>
  <c r="Z185" i="48" s="1"/>
  <c r="Z182" i="48"/>
  <c r="Z181" i="48"/>
  <c r="Z186" i="48" s="1"/>
  <c r="AB19" i="48"/>
  <c r="AB275" i="48" s="1"/>
  <c r="AB27" i="48"/>
  <c r="AB32" i="48" s="1"/>
  <c r="AA208" i="38"/>
  <c r="AA212" i="38" s="1"/>
  <c r="AA211" i="38"/>
  <c r="AA209" i="38"/>
  <c r="AA213" i="38" s="1"/>
  <c r="AA210" i="38"/>
  <c r="AA214" i="38" s="1"/>
  <c r="Y84" i="42"/>
  <c r="Y81" i="42"/>
  <c r="Y85" i="42" s="1"/>
  <c r="Y82" i="42"/>
  <c r="Y86" i="42" s="1"/>
  <c r="Y83" i="42"/>
  <c r="Y87" i="42" s="1"/>
  <c r="AB246" i="48"/>
  <c r="AB249" i="46"/>
  <c r="AB254" i="46" s="1"/>
  <c r="AB250" i="46"/>
  <c r="AB255" i="46" s="1"/>
  <c r="AB247" i="46"/>
  <c r="AB252" i="46" s="1"/>
  <c r="AB251" i="46"/>
  <c r="AC96" i="45" s="1"/>
  <c r="AB248" i="46"/>
  <c r="AB253" i="46" s="1"/>
  <c r="AB137" i="42"/>
  <c r="AB161" i="42"/>
  <c r="AB153" i="42"/>
  <c r="AB145" i="42"/>
  <c r="AB137" i="38"/>
  <c r="AB153" i="38"/>
  <c r="AB161" i="38"/>
  <c r="AB145" i="38"/>
  <c r="X92" i="29"/>
  <c r="AA195" i="42"/>
  <c r="AA194" i="42"/>
  <c r="AA198" i="42" s="1"/>
  <c r="AA192" i="42"/>
  <c r="AA196" i="42" s="1"/>
  <c r="AA193" i="42"/>
  <c r="AA197" i="42" s="1"/>
  <c r="DO57" i="55"/>
  <c r="BC57" i="55"/>
  <c r="V148" i="29"/>
  <c r="Z197" i="54"/>
  <c r="Z34" i="54"/>
  <c r="AA140" i="38"/>
  <c r="AA139" i="38"/>
  <c r="AA138" i="38"/>
  <c r="Z232" i="48"/>
  <c r="Z237" i="48" s="1"/>
  <c r="Z233" i="48"/>
  <c r="Z238" i="48" s="1"/>
  <c r="Z234" i="48"/>
  <c r="Z231" i="48"/>
  <c r="Z236" i="48" s="1"/>
  <c r="Z230" i="48"/>
  <c r="Z235" i="48" s="1"/>
  <c r="X234" i="19"/>
  <c r="X233" i="19"/>
  <c r="Y292" i="38"/>
  <c r="Y295" i="38"/>
  <c r="S173" i="28"/>
  <c r="S172" i="28"/>
  <c r="S176" i="28" s="1"/>
  <c r="AA49" i="28"/>
  <c r="AA87" i="45"/>
  <c r="AA85" i="45"/>
  <c r="AA86" i="45"/>
  <c r="BG86" i="45"/>
  <c r="BG87" i="45"/>
  <c r="BG85" i="45"/>
  <c r="R192" i="29"/>
  <c r="S70" i="16" s="1"/>
  <c r="AA167" i="48"/>
  <c r="AA171" i="46"/>
  <c r="AA176" i="46" s="1"/>
  <c r="AA170" i="46"/>
  <c r="AA175" i="46" s="1"/>
  <c r="AA169" i="46"/>
  <c r="AA174" i="46" s="1"/>
  <c r="AA168" i="46"/>
  <c r="AA173" i="46" s="1"/>
  <c r="AA172" i="46"/>
  <c r="AB77" i="45" s="1"/>
  <c r="BH77" i="45" s="1"/>
  <c r="Y36" i="29"/>
  <c r="Y37" i="29"/>
  <c r="AA232" i="46"/>
  <c r="AA237" i="46" s="1"/>
  <c r="AA231" i="46"/>
  <c r="AA236" i="46" s="1"/>
  <c r="AA233" i="46"/>
  <c r="AA238" i="46" s="1"/>
  <c r="AA230" i="46"/>
  <c r="AA235" i="46" s="1"/>
  <c r="AA234" i="46"/>
  <c r="AB108" i="45" s="1"/>
  <c r="BH108" i="45" s="1"/>
  <c r="AA229" i="48"/>
  <c r="AA202" i="38"/>
  <c r="AA206" i="38" s="1"/>
  <c r="AA200" i="38"/>
  <c r="AA204" i="38" s="1"/>
  <c r="AA201" i="38"/>
  <c r="AA205" i="38" s="1"/>
  <c r="AA203" i="38"/>
  <c r="AB101" i="36" s="1"/>
  <c r="BH101" i="36" s="1"/>
  <c r="X299" i="42"/>
  <c r="X296" i="42"/>
  <c r="X298" i="42"/>
  <c r="X297" i="42"/>
  <c r="AD5" i="19"/>
  <c r="AC14" i="19"/>
  <c r="AC17" i="19"/>
  <c r="AC30" i="19" s="1"/>
  <c r="AC48" i="19" s="1"/>
  <c r="AC15" i="19"/>
  <c r="AC28" i="19" s="1"/>
  <c r="AC46" i="19" s="1"/>
  <c r="AC18" i="19"/>
  <c r="AC31" i="19" s="1"/>
  <c r="AC49" i="19" s="1"/>
  <c r="AC16" i="19"/>
  <c r="AC29" i="19" s="1"/>
  <c r="AC47" i="19" s="1"/>
  <c r="Y99" i="42"/>
  <c r="Y103" i="42" s="1"/>
  <c r="Y100" i="42"/>
  <c r="Y97" i="42"/>
  <c r="Y101" i="42" s="1"/>
  <c r="Y98" i="42"/>
  <c r="Y102" i="42" s="1"/>
  <c r="AB16" i="54"/>
  <c r="AB29" i="54" s="1"/>
  <c r="AB44" i="54" s="1"/>
  <c r="AB150" i="54" s="1"/>
  <c r="AB151" i="54" s="1"/>
  <c r="AB17" i="54"/>
  <c r="AB30" i="54" s="1"/>
  <c r="AB18" i="54"/>
  <c r="AB31" i="54" s="1"/>
  <c r="AB15" i="54"/>
  <c r="AB28" i="54" s="1"/>
  <c r="AB14" i="54"/>
  <c r="AC5" i="54"/>
  <c r="W170" i="29"/>
  <c r="W171" i="29" s="1"/>
  <c r="W147" i="29"/>
  <c r="AD5" i="38"/>
  <c r="AC14" i="38"/>
  <c r="AC17" i="38"/>
  <c r="AC30" i="38" s="1"/>
  <c r="AC45" i="38" s="1"/>
  <c r="AC16" i="38"/>
  <c r="AC29" i="38" s="1"/>
  <c r="AC44" i="38" s="1"/>
  <c r="AC222" i="38" s="1"/>
  <c r="AC18" i="38"/>
  <c r="AC31" i="38" s="1"/>
  <c r="AC46" i="38" s="1"/>
  <c r="AC237" i="38" s="1"/>
  <c r="AC15" i="38"/>
  <c r="AC28" i="38" s="1"/>
  <c r="AC43" i="38" s="1"/>
  <c r="X184" i="28"/>
  <c r="X185" i="28" s="1"/>
  <c r="X161" i="28"/>
  <c r="U305" i="38"/>
  <c r="U304" i="38"/>
  <c r="U308" i="38" s="1"/>
  <c r="AA208" i="42"/>
  <c r="AA212" i="42" s="1"/>
  <c r="AA210" i="42"/>
  <c r="AA214" i="42" s="1"/>
  <c r="AA211" i="42"/>
  <c r="AA209" i="42"/>
  <c r="AA213" i="42" s="1"/>
  <c r="V157" i="29"/>
  <c r="V156" i="29"/>
  <c r="V174" i="29"/>
  <c r="V175" i="29" s="1"/>
  <c r="V176" i="29" s="1"/>
  <c r="AA32" i="29"/>
  <c r="AA45" i="29"/>
  <c r="X151" i="29"/>
  <c r="X150" i="29"/>
  <c r="X152" i="29"/>
  <c r="X153" i="29"/>
  <c r="U166" i="29"/>
  <c r="BB63" i="55" s="1"/>
  <c r="U164" i="29"/>
  <c r="U168" i="29"/>
  <c r="BB65" i="55" s="1"/>
  <c r="U165" i="29"/>
  <c r="BB62" i="55" s="1"/>
  <c r="U167" i="29"/>
  <c r="BB64" i="55" s="1"/>
  <c r="U163" i="29"/>
  <c r="AA19" i="28"/>
  <c r="AA118" i="28" s="1"/>
  <c r="AA27" i="28"/>
  <c r="AA148" i="42"/>
  <c r="AA152" i="42" s="1"/>
  <c r="AA149" i="42"/>
  <c r="AA146" i="42"/>
  <c r="AA150" i="42" s="1"/>
  <c r="AA147" i="42"/>
  <c r="AA151" i="42" s="1"/>
  <c r="AA161" i="46"/>
  <c r="AA166" i="46" s="1"/>
  <c r="AA160" i="46"/>
  <c r="AA165" i="46" s="1"/>
  <c r="AA159" i="46"/>
  <c r="AA164" i="46" s="1"/>
  <c r="AA158" i="46"/>
  <c r="AA163" i="46" s="1"/>
  <c r="AA162" i="46"/>
  <c r="AB98" i="45" s="1"/>
  <c r="BH98" i="45" s="1"/>
  <c r="AA157" i="48"/>
  <c r="Z50" i="29"/>
  <c r="Z145" i="29" s="1"/>
  <c r="W163" i="28"/>
  <c r="W162" i="28"/>
  <c r="W160" i="28"/>
  <c r="U305" i="42"/>
  <c r="U304" i="42"/>
  <c r="U308" i="42" s="1"/>
  <c r="AA192" i="38"/>
  <c r="AA196" i="38" s="1"/>
  <c r="AA194" i="38"/>
  <c r="AA198" i="38" s="1"/>
  <c r="AA193" i="38"/>
  <c r="AA197" i="38" s="1"/>
  <c r="U321" i="42"/>
  <c r="U322" i="42" s="1"/>
  <c r="U324" i="42" s="1"/>
  <c r="Y107" i="42"/>
  <c r="Y111" i="42" s="1"/>
  <c r="Y108" i="42"/>
  <c r="Y106" i="42"/>
  <c r="Y110" i="42" s="1"/>
  <c r="Y105" i="42"/>
  <c r="Y109" i="42" s="1"/>
  <c r="AA19" i="54"/>
  <c r="AA27" i="54"/>
  <c r="AA32" i="54" s="1"/>
  <c r="Q69" i="15"/>
  <c r="Q71" i="15" s="1"/>
  <c r="Q33" i="58" s="1"/>
  <c r="Q58" i="55"/>
  <c r="Q61" i="55"/>
  <c r="P208" i="28"/>
  <c r="P213" i="28"/>
  <c r="U159" i="29"/>
  <c r="U158" i="29"/>
  <c r="U162" i="29" s="1"/>
  <c r="AA201" i="42"/>
  <c r="AA205" i="42" s="1"/>
  <c r="AA200" i="42"/>
  <c r="AA204" i="42" s="1"/>
  <c r="AA202" i="42"/>
  <c r="AA206" i="42" s="1"/>
  <c r="AA203" i="42"/>
  <c r="X196" i="29"/>
  <c r="X197" i="29"/>
  <c r="U177" i="29"/>
  <c r="T171" i="28"/>
  <c r="T170" i="28"/>
  <c r="R196" i="28"/>
  <c r="Y293" i="38"/>
  <c r="Z80" i="55" s="1"/>
  <c r="Y316" i="38"/>
  <c r="AB55" i="15"/>
  <c r="AA85" i="29"/>
  <c r="AB55" i="16" s="1"/>
  <c r="AA19" i="53"/>
  <c r="AA27" i="53"/>
  <c r="AA32" i="53" s="1"/>
  <c r="V237" i="19"/>
  <c r="V241" i="19" s="1"/>
  <c r="V238" i="19"/>
  <c r="AA156" i="42"/>
  <c r="AA160" i="42" s="1"/>
  <c r="AA157" i="42"/>
  <c r="AA155" i="42"/>
  <c r="AA159" i="42" s="1"/>
  <c r="AA154" i="42"/>
  <c r="AA158" i="42" s="1"/>
  <c r="AA148" i="46"/>
  <c r="AA153" i="46" s="1"/>
  <c r="AA152" i="46"/>
  <c r="AB83" i="45" s="1"/>
  <c r="AA147" i="48"/>
  <c r="AA150" i="46"/>
  <c r="AA155" i="46" s="1"/>
  <c r="AA149" i="46"/>
  <c r="AA154" i="46" s="1"/>
  <c r="AA151" i="46"/>
  <c r="AA156" i="46" s="1"/>
  <c r="Z34" i="29"/>
  <c r="Z135" i="29"/>
  <c r="Z275" i="19"/>
  <c r="Z276" i="19"/>
  <c r="Z224" i="19"/>
  <c r="Z228" i="19"/>
  <c r="Z225" i="19"/>
  <c r="U158" i="28"/>
  <c r="CH65" i="55" s="1"/>
  <c r="U156" i="28"/>
  <c r="CH63" i="55" s="1"/>
  <c r="U153" i="28"/>
  <c r="U157" i="28"/>
  <c r="CH64" i="55" s="1"/>
  <c r="U155" i="28"/>
  <c r="CH62" i="55" s="1"/>
  <c r="U154" i="28"/>
  <c r="CH61" i="55" s="1"/>
  <c r="AA250" i="48"/>
  <c r="AA255" i="48" s="1"/>
  <c r="AA251" i="48"/>
  <c r="AA248" i="48"/>
  <c r="AA253" i="48" s="1"/>
  <c r="AA249" i="48"/>
  <c r="AA254" i="48" s="1"/>
  <c r="AA247" i="48"/>
  <c r="AA252" i="48" s="1"/>
  <c r="W235" i="19"/>
  <c r="W236" i="19"/>
  <c r="Z172" i="48"/>
  <c r="Z170" i="48"/>
  <c r="Z175" i="48" s="1"/>
  <c r="Z169" i="48"/>
  <c r="Z174" i="48" s="1"/>
  <c r="Z168" i="48"/>
  <c r="Z173" i="48" s="1"/>
  <c r="Z171" i="48"/>
  <c r="Z176" i="48" s="1"/>
  <c r="Y295" i="42"/>
  <c r="Y292" i="42"/>
  <c r="W155" i="29"/>
  <c r="W154" i="29"/>
  <c r="V177" i="28"/>
  <c r="V181" i="28"/>
  <c r="W64" i="55" s="1"/>
  <c r="V179" i="28"/>
  <c r="W62" i="55" s="1"/>
  <c r="V182" i="28"/>
  <c r="W65" i="55" s="1"/>
  <c r="V178" i="28"/>
  <c r="V180" i="28"/>
  <c r="W63" i="55" s="1"/>
  <c r="AB207" i="42"/>
  <c r="AB191" i="42"/>
  <c r="AB199" i="42"/>
  <c r="Y67" i="16"/>
  <c r="Y46" i="16"/>
  <c r="T186" i="28"/>
  <c r="T187" i="28" s="1"/>
  <c r="T188" i="28"/>
  <c r="T191" i="28" s="1"/>
  <c r="W306" i="42"/>
  <c r="W307" i="42"/>
  <c r="W283" i="42"/>
  <c r="W284" i="42" s="1"/>
  <c r="X250" i="42"/>
  <c r="T329" i="42"/>
  <c r="T338" i="42" s="1"/>
  <c r="X68" i="15"/>
  <c r="X77" i="15" s="1"/>
  <c r="X134" i="15"/>
  <c r="X140" i="15" s="1"/>
  <c r="X133" i="15" a="1"/>
  <c r="X141" i="15" s="1"/>
  <c r="X142" i="15" s="1"/>
  <c r="Z34" i="38"/>
  <c r="Z281" i="38"/>
  <c r="AB48" i="15"/>
  <c r="AB49" i="15" s="1"/>
  <c r="AB136" i="15" s="1"/>
  <c r="AA78" i="29"/>
  <c r="AB64" i="16" s="1"/>
  <c r="AA73" i="29"/>
  <c r="AA75" i="29"/>
  <c r="AA76" i="29"/>
  <c r="AB58" i="16" s="1"/>
  <c r="AA67" i="29"/>
  <c r="AA70" i="29"/>
  <c r="AA66" i="29"/>
  <c r="AA65" i="29" s="1"/>
  <c r="AA77" i="29"/>
  <c r="AB45" i="16" s="1"/>
  <c r="AA69" i="29"/>
  <c r="AB58" i="15"/>
  <c r="AA71" i="29"/>
  <c r="AB45" i="15"/>
  <c r="AA74" i="29"/>
  <c r="AB48" i="16" s="1"/>
  <c r="AB49" i="16" s="1"/>
  <c r="AB136" i="16" s="1"/>
  <c r="AB64" i="15"/>
  <c r="AA68" i="29"/>
  <c r="AA32" i="19"/>
  <c r="AA45" i="19"/>
  <c r="AA50" i="19" s="1"/>
  <c r="AA163" i="42"/>
  <c r="AA167" i="42" s="1"/>
  <c r="AA164" i="42"/>
  <c r="AA168" i="42" s="1"/>
  <c r="AA165" i="42"/>
  <c r="AA162" i="42"/>
  <c r="AA166" i="42" s="1"/>
  <c r="Z34" i="42"/>
  <c r="Z281" i="42"/>
  <c r="AA32" i="38"/>
  <c r="AA42" i="38"/>
  <c r="AD5" i="29"/>
  <c r="AC14" i="29"/>
  <c r="AC18" i="29"/>
  <c r="AC31" i="29" s="1"/>
  <c r="AC15" i="29"/>
  <c r="AC28" i="29" s="1"/>
  <c r="AC46" i="29" s="1"/>
  <c r="AC16" i="29"/>
  <c r="AC29" i="29" s="1"/>
  <c r="AC47" i="29" s="1"/>
  <c r="AC17" i="29"/>
  <c r="AC30" i="29" s="1"/>
  <c r="DQ80" i="55"/>
  <c r="BE80" i="55"/>
  <c r="Z34" i="19"/>
  <c r="Z214" i="19"/>
  <c r="Y316" i="42"/>
  <c r="Y317" i="42" s="1"/>
  <c r="Y293" i="42"/>
  <c r="DR80" i="55" s="1"/>
  <c r="AB147" i="46"/>
  <c r="AB177" i="46"/>
  <c r="AB157" i="46"/>
  <c r="AB167" i="46"/>
  <c r="V165" i="28"/>
  <c r="V167" i="28"/>
  <c r="V164" i="28"/>
  <c r="V166" i="28"/>
  <c r="AB238" i="42"/>
  <c r="AB242" i="42" s="1"/>
  <c r="AB241" i="42"/>
  <c r="AB239" i="42"/>
  <c r="AB243" i="42" s="1"/>
  <c r="AB240" i="42"/>
  <c r="AB244" i="42" s="1"/>
  <c r="AB239" i="38"/>
  <c r="AB243" i="38" s="1"/>
  <c r="AB240" i="38"/>
  <c r="AB244" i="38" s="1"/>
  <c r="AB238" i="38"/>
  <c r="AB242" i="38" s="1"/>
  <c r="X159" i="28"/>
  <c r="X210" i="28"/>
  <c r="X211" i="28"/>
  <c r="W300" i="42"/>
  <c r="W301" i="42"/>
  <c r="W300" i="38"/>
  <c r="W301" i="38"/>
  <c r="V286" i="42"/>
  <c r="V290" i="42"/>
  <c r="V287" i="42"/>
  <c r="V289" i="42"/>
  <c r="V288" i="42"/>
  <c r="V285" i="42"/>
  <c r="S189" i="28"/>
  <c r="S190" i="28" s="1"/>
  <c r="S192" i="28" s="1"/>
  <c r="Z47" i="38"/>
  <c r="Z291" i="38" s="1"/>
  <c r="Z96" i="38"/>
  <c r="Z80" i="38"/>
  <c r="Z104" i="38"/>
  <c r="Z72" i="38"/>
  <c r="Z73" i="38" s="1"/>
  <c r="Z249" i="38"/>
  <c r="AB14" i="28"/>
  <c r="AC5" i="28"/>
  <c r="AB17" i="28"/>
  <c r="AB30" i="28" s="1"/>
  <c r="AB16" i="28"/>
  <c r="AB29" i="28" s="1"/>
  <c r="AB47" i="28" s="1"/>
  <c r="AB15" i="28"/>
  <c r="AB28" i="28" s="1"/>
  <c r="AB46" i="28" s="1"/>
  <c r="AB18" i="28"/>
  <c r="AB31" i="28" s="1"/>
  <c r="AA309" i="46"/>
  <c r="AA34" i="46"/>
  <c r="AA140" i="42"/>
  <c r="AA144" i="42" s="1"/>
  <c r="AA139" i="42"/>
  <c r="AA143" i="42" s="1"/>
  <c r="AA141" i="42"/>
  <c r="AA138" i="42"/>
  <c r="AA142" i="42" s="1"/>
  <c r="Z249" i="42"/>
  <c r="Z104" i="42"/>
  <c r="Z72" i="42"/>
  <c r="Z47" i="42"/>
  <c r="Z291" i="42" s="1"/>
  <c r="Z96" i="42"/>
  <c r="Z80" i="42"/>
  <c r="T190" i="29"/>
  <c r="Z161" i="48"/>
  <c r="Z166" i="48" s="1"/>
  <c r="Z160" i="48"/>
  <c r="Z165" i="48" s="1"/>
  <c r="Z162" i="48"/>
  <c r="Z158" i="48"/>
  <c r="Z163" i="48" s="1"/>
  <c r="Z159" i="48"/>
  <c r="Z164" i="48" s="1"/>
  <c r="CI57" i="55"/>
  <c r="V152" i="28"/>
  <c r="AX126" i="36"/>
  <c r="AX39" i="58" s="1"/>
  <c r="Q346" i="42"/>
  <c r="AX127" i="36" s="1"/>
  <c r="X133" i="16" a="1"/>
  <c r="X68" i="16"/>
  <c r="X134" i="16"/>
  <c r="X140" i="16" s="1"/>
  <c r="X77" i="16"/>
  <c r="AC14" i="46"/>
  <c r="AC17" i="46"/>
  <c r="AC30" i="46" s="1"/>
  <c r="AC45" i="46" s="1"/>
  <c r="AD5" i="46"/>
  <c r="AC16" i="46"/>
  <c r="AC29" i="46" s="1"/>
  <c r="AC44" i="46" s="1"/>
  <c r="AC246" i="46" s="1"/>
  <c r="AC18" i="46"/>
  <c r="AC31" i="46" s="1"/>
  <c r="AC15" i="46"/>
  <c r="AC28" i="46" s="1"/>
  <c r="AC43" i="46" s="1"/>
  <c r="X36" i="28"/>
  <c r="X37" i="28"/>
  <c r="AC14" i="20"/>
  <c r="AC17" i="20"/>
  <c r="AC18" i="20"/>
  <c r="AD5" i="20"/>
  <c r="AC16" i="20"/>
  <c r="AC15" i="20"/>
  <c r="W160" i="29"/>
  <c r="W172" i="29" s="1"/>
  <c r="W161" i="29"/>
  <c r="AC18" i="42"/>
  <c r="AC31" i="42" s="1"/>
  <c r="AC46" i="42" s="1"/>
  <c r="AC237" i="42" s="1"/>
  <c r="AC16" i="42"/>
  <c r="AC29" i="42" s="1"/>
  <c r="AC44" i="42" s="1"/>
  <c r="AC222" i="42" s="1"/>
  <c r="AD5" i="42"/>
  <c r="AC14" i="42"/>
  <c r="AC17" i="42"/>
  <c r="AC30" i="42" s="1"/>
  <c r="AC45" i="42" s="1"/>
  <c r="AC15" i="42"/>
  <c r="AC28" i="42" s="1"/>
  <c r="AC43" i="42" s="1"/>
  <c r="AB224" i="38"/>
  <c r="AB228" i="38" s="1"/>
  <c r="AB225" i="38"/>
  <c r="AB229" i="38" s="1"/>
  <c r="AB223" i="38"/>
  <c r="AB227" i="38" s="1"/>
  <c r="Y67" i="15"/>
  <c r="Y46" i="15"/>
  <c r="W307" i="38"/>
  <c r="W306" i="38"/>
  <c r="W318" i="38" s="1"/>
  <c r="AA147" i="38"/>
  <c r="AA151" i="38" s="1"/>
  <c r="AA146" i="38"/>
  <c r="AA150" i="38" s="1"/>
  <c r="AA148" i="38"/>
  <c r="AA152" i="38" s="1"/>
  <c r="AA149" i="38"/>
  <c r="AB100" i="36" s="1"/>
  <c r="BH100" i="36" s="1"/>
  <c r="Z151" i="48"/>
  <c r="Z156" i="48" s="1"/>
  <c r="Z152" i="48"/>
  <c r="Z149" i="48"/>
  <c r="Z154" i="48" s="1"/>
  <c r="Z150" i="48"/>
  <c r="Z155" i="48" s="1"/>
  <c r="Z148" i="48"/>
  <c r="Z153" i="48" s="1"/>
  <c r="AA34" i="48"/>
  <c r="AA309" i="48"/>
  <c r="U328" i="42"/>
  <c r="AB49" i="29"/>
  <c r="AA42" i="42"/>
  <c r="AA32" i="42"/>
  <c r="Z32" i="28"/>
  <c r="Z45" i="28"/>
  <c r="X217" i="28"/>
  <c r="W151" i="28"/>
  <c r="Y149" i="29"/>
  <c r="Y146" i="29"/>
  <c r="X294" i="38"/>
  <c r="AC14" i="48"/>
  <c r="AC17" i="48"/>
  <c r="AC30" i="48" s="1"/>
  <c r="AC45" i="48" s="1"/>
  <c r="AC18" i="48"/>
  <c r="AC31" i="48" s="1"/>
  <c r="AC15" i="48"/>
  <c r="AC28" i="48" s="1"/>
  <c r="AC43" i="48" s="1"/>
  <c r="AC16" i="48"/>
  <c r="AC29" i="48" s="1"/>
  <c r="AC44" i="48" s="1"/>
  <c r="AD5" i="48"/>
  <c r="AB19" i="19"/>
  <c r="AB27" i="19"/>
  <c r="Y246" i="42"/>
  <c r="AB19" i="46"/>
  <c r="AB275" i="46" s="1"/>
  <c r="AB27" i="46"/>
  <c r="AB32" i="46" s="1"/>
  <c r="AB223" i="42"/>
  <c r="AB227" i="42" s="1"/>
  <c r="AB226" i="42"/>
  <c r="AB224" i="42"/>
  <c r="AB228" i="42" s="1"/>
  <c r="AB225" i="42"/>
  <c r="AB229" i="42" s="1"/>
  <c r="Y216" i="28"/>
  <c r="Y59" i="29"/>
  <c r="Z44" i="16" s="1"/>
  <c r="Z62" i="15"/>
  <c r="Z65" i="15" s="1"/>
  <c r="Z139" i="15" s="1"/>
  <c r="Y53" i="29"/>
  <c r="Y56" i="29"/>
  <c r="Y57" i="29"/>
  <c r="Y61" i="29"/>
  <c r="Y60" i="29"/>
  <c r="Y62" i="29"/>
  <c r="Z62" i="16" s="1"/>
  <c r="Y50" i="28"/>
  <c r="Y55" i="29"/>
  <c r="Y52" i="29" s="1"/>
  <c r="Y63" i="29"/>
  <c r="Z56" i="16" s="1"/>
  <c r="Z56" i="15"/>
  <c r="Y54" i="29"/>
  <c r="Z44" i="15"/>
  <c r="AB19" i="38"/>
  <c r="AB247" i="38" s="1"/>
  <c r="AB27" i="38"/>
  <c r="Z197" i="53"/>
  <c r="Z34" i="53"/>
  <c r="AA155" i="38"/>
  <c r="AA159" i="38" s="1"/>
  <c r="AA156" i="38"/>
  <c r="AA160" i="38" s="1"/>
  <c r="AA154" i="38"/>
  <c r="AA158" i="38" s="1"/>
  <c r="AA157" i="38"/>
  <c r="AB79" i="36" s="1"/>
  <c r="BH79" i="36" s="1"/>
  <c r="Z221" i="48"/>
  <c r="Z226" i="48" s="1"/>
  <c r="Z223" i="48"/>
  <c r="Z228" i="48" s="1"/>
  <c r="Z222" i="48"/>
  <c r="Z227" i="48" s="1"/>
  <c r="Z224" i="48"/>
  <c r="Z220" i="48"/>
  <c r="Z225" i="48" s="1"/>
  <c r="Y229" i="19"/>
  <c r="Y230" i="19"/>
  <c r="Y231" i="19"/>
  <c r="Y232" i="19"/>
  <c r="U174" i="28"/>
  <c r="U175" i="28"/>
  <c r="AB14" i="53"/>
  <c r="AB17" i="53"/>
  <c r="AB30" i="53" s="1"/>
  <c r="AB18" i="53"/>
  <c r="AB31" i="53" s="1"/>
  <c r="AC5" i="53"/>
  <c r="AB15" i="53"/>
  <c r="AB28" i="53" s="1"/>
  <c r="AB16" i="53"/>
  <c r="AB29" i="53" s="1"/>
  <c r="AB44" i="53" s="1"/>
  <c r="AB150" i="53" s="1"/>
  <c r="AB151" i="53" s="1"/>
  <c r="AC60" i="51" s="1"/>
  <c r="BI60" i="51" s="1"/>
  <c r="V318" i="42"/>
  <c r="V319" i="42" s="1"/>
  <c r="V320" i="42"/>
  <c r="V323" i="42" s="1"/>
  <c r="Z211" i="48"/>
  <c r="Z216" i="48" s="1"/>
  <c r="Z214" i="48"/>
  <c r="Z210" i="48"/>
  <c r="Z215" i="48" s="1"/>
  <c r="Z212" i="48"/>
  <c r="Z217" i="48" s="1"/>
  <c r="Z213" i="48"/>
  <c r="Z218" i="48" s="1"/>
  <c r="AB27" i="29"/>
  <c r="AB19" i="29"/>
  <c r="Q204" i="28"/>
  <c r="AA222" i="46"/>
  <c r="AA227" i="46" s="1"/>
  <c r="AA221" i="46"/>
  <c r="AA226" i="46" s="1"/>
  <c r="AA219" i="48"/>
  <c r="AA220" i="46"/>
  <c r="AA225" i="46" s="1"/>
  <c r="AA224" i="46"/>
  <c r="AB99" i="45" s="1"/>
  <c r="BH99" i="45" s="1"/>
  <c r="AA223" i="46"/>
  <c r="AA228" i="46" s="1"/>
  <c r="U140" i="29"/>
  <c r="U142" i="29"/>
  <c r="U144" i="29"/>
  <c r="U139" i="29"/>
  <c r="U141" i="29"/>
  <c r="U143" i="29"/>
  <c r="X299" i="38"/>
  <c r="X296" i="38"/>
  <c r="X297" i="38"/>
  <c r="X298" i="38"/>
  <c r="V302" i="42"/>
  <c r="V303" i="42"/>
  <c r="Y74" i="42"/>
  <c r="Y78" i="42" s="1"/>
  <c r="Y75" i="42"/>
  <c r="Y79" i="42" s="1"/>
  <c r="Y73" i="42"/>
  <c r="Y77" i="42" s="1"/>
  <c r="Y76" i="42"/>
  <c r="AB229" i="46"/>
  <c r="AB219" i="46"/>
  <c r="AB209" i="46"/>
  <c r="AA83" i="29"/>
  <c r="AA82" i="29" s="1"/>
  <c r="AB19" i="42"/>
  <c r="AB247" i="42" s="1"/>
  <c r="AB27" i="42"/>
  <c r="S196" i="28"/>
  <c r="Y149" i="28"/>
  <c r="Y34" i="28"/>
  <c r="AB191" i="38"/>
  <c r="AB207" i="38"/>
  <c r="AB199" i="38"/>
  <c r="Y59" i="15"/>
  <c r="Y135" i="15" s="1"/>
  <c r="Y66" i="15"/>
  <c r="X103" i="29"/>
  <c r="X91" i="29"/>
  <c r="AA163" i="38"/>
  <c r="AA167" i="38" s="1"/>
  <c r="AA164" i="38"/>
  <c r="AA168" i="38" s="1"/>
  <c r="AA165" i="38"/>
  <c r="AB109" i="36" s="1"/>
  <c r="BH109" i="36" s="1"/>
  <c r="AA162" i="38"/>
  <c r="AA166" i="38" s="1"/>
  <c r="Y36" i="19"/>
  <c r="Y37" i="19"/>
  <c r="X240" i="19"/>
  <c r="X239" i="19"/>
  <c r="X251" i="19" s="1"/>
  <c r="L259" i="20"/>
  <c r="L264" i="20" s="1"/>
  <c r="BY41" i="55" s="1"/>
  <c r="BY34" i="55"/>
  <c r="L183" i="19"/>
  <c r="K216" i="19"/>
  <c r="M97" i="14"/>
  <c r="N110" i="14"/>
  <c r="N108" i="14" s="1"/>
  <c r="N109" i="12"/>
  <c r="M75" i="19"/>
  <c r="N73" i="19"/>
  <c r="O114" i="14" s="1"/>
  <c r="O114" i="12"/>
  <c r="N91" i="19"/>
  <c r="O136" i="14" s="1"/>
  <c r="O136" i="12"/>
  <c r="N99" i="12"/>
  <c r="N109" i="14"/>
  <c r="O105" i="12"/>
  <c r="O228" i="12" s="1"/>
  <c r="N114" i="19"/>
  <c r="N113" i="19"/>
  <c r="O124" i="19"/>
  <c r="P138" i="14" s="1"/>
  <c r="P138" i="12"/>
  <c r="N111" i="19"/>
  <c r="O95" i="14"/>
  <c r="O106" i="19"/>
  <c r="P103" i="14" s="1"/>
  <c r="P103" i="12"/>
  <c r="N123" i="19"/>
  <c r="N126" i="19"/>
  <c r="P174" i="19"/>
  <c r="O98" i="19"/>
  <c r="N180" i="19"/>
  <c r="M92" i="19"/>
  <c r="P176" i="19"/>
  <c r="M88" i="19"/>
  <c r="M87" i="19"/>
  <c r="P166" i="19"/>
  <c r="P164" i="19"/>
  <c r="P165" i="19"/>
  <c r="P163" i="19"/>
  <c r="N110" i="12"/>
  <c r="N108" i="12" s="1"/>
  <c r="M86" i="19"/>
  <c r="M89" i="19"/>
  <c r="M74" i="19"/>
  <c r="M76" i="19"/>
  <c r="N120" i="19"/>
  <c r="M93" i="19"/>
  <c r="O118" i="19"/>
  <c r="P94" i="14" s="1"/>
  <c r="N108" i="19"/>
  <c r="M90" i="19"/>
  <c r="M83" i="19"/>
  <c r="N111" i="14" s="1"/>
  <c r="N107" i="14" s="1"/>
  <c r="N111" i="12"/>
  <c r="N107" i="12" s="1"/>
  <c r="M94" i="19"/>
  <c r="N109" i="19"/>
  <c r="N119" i="19"/>
  <c r="M80" i="19"/>
  <c r="N106" i="14" s="1"/>
  <c r="N129" i="19"/>
  <c r="M77" i="19"/>
  <c r="N79" i="19"/>
  <c r="O104" i="14" s="1"/>
  <c r="O105" i="14" s="1"/>
  <c r="O228" i="14" s="1"/>
  <c r="M70" i="19"/>
  <c r="N100" i="14" s="1"/>
  <c r="N98" i="14" s="1"/>
  <c r="M71" i="19"/>
  <c r="N101" i="14" s="1"/>
  <c r="M69" i="19"/>
  <c r="N99" i="14" s="1"/>
  <c r="M68" i="19"/>
  <c r="N96" i="14" s="1"/>
  <c r="K293" i="20"/>
  <c r="Q172" i="19"/>
  <c r="R135" i="14" s="1"/>
  <c r="O131" i="19"/>
  <c r="Q215" i="20"/>
  <c r="Q173" i="19" s="1"/>
  <c r="Q217" i="20"/>
  <c r="Q175" i="19" s="1"/>
  <c r="Q219" i="20"/>
  <c r="Q177" i="19" s="1"/>
  <c r="Q216" i="20"/>
  <c r="Q218" i="20"/>
  <c r="Q202" i="20"/>
  <c r="Q203" i="20"/>
  <c r="Q205" i="20"/>
  <c r="Q204" i="20"/>
  <c r="Q206" i="20"/>
  <c r="Q167" i="19" s="1"/>
  <c r="O133" i="20"/>
  <c r="O131" i="20"/>
  <c r="O107" i="19" s="1"/>
  <c r="O135" i="20"/>
  <c r="O134" i="20"/>
  <c r="O110" i="19" s="1"/>
  <c r="O132" i="20"/>
  <c r="O149" i="20"/>
  <c r="O125" i="19" s="1"/>
  <c r="O151" i="20"/>
  <c r="O127" i="19" s="1"/>
  <c r="O152" i="20"/>
  <c r="O128" i="19" s="1"/>
  <c r="O153" i="20"/>
  <c r="O150" i="20"/>
  <c r="O146" i="20"/>
  <c r="O122" i="19" s="1"/>
  <c r="O145" i="20"/>
  <c r="O121" i="19" s="1"/>
  <c r="O144" i="20"/>
  <c r="O147" i="20"/>
  <c r="O143" i="20"/>
  <c r="P148" i="20"/>
  <c r="P130" i="20"/>
  <c r="P142" i="20"/>
  <c r="P136" i="20"/>
  <c r="P112" i="19" s="1"/>
  <c r="Q126" i="14" s="1"/>
  <c r="O137" i="20"/>
  <c r="O138" i="20"/>
  <c r="O140" i="20"/>
  <c r="O116" i="19" s="1"/>
  <c r="O139" i="20"/>
  <c r="O115" i="19" s="1"/>
  <c r="O141" i="20"/>
  <c r="O117" i="19" s="1"/>
  <c r="N88" i="20"/>
  <c r="O106" i="12" s="1"/>
  <c r="N90" i="20"/>
  <c r="N82" i="19" s="1"/>
  <c r="N92" i="20"/>
  <c r="N84" i="19" s="1"/>
  <c r="N91" i="20"/>
  <c r="N89" i="20"/>
  <c r="N81" i="19" s="1"/>
  <c r="N79" i="20"/>
  <c r="O101" i="12" s="1"/>
  <c r="O97" i="12" s="1"/>
  <c r="N77" i="20"/>
  <c r="N76" i="20"/>
  <c r="O96" i="12" s="1"/>
  <c r="N78" i="20"/>
  <c r="O100" i="12" s="1"/>
  <c r="O98" i="12" s="1"/>
  <c r="N80" i="20"/>
  <c r="N72" i="19" s="1"/>
  <c r="N96" i="20"/>
  <c r="N95" i="20"/>
  <c r="N97" i="20"/>
  <c r="N94" i="20"/>
  <c r="N98" i="20"/>
  <c r="N100" i="20"/>
  <c r="N104" i="20"/>
  <c r="N96" i="19" s="1"/>
  <c r="N102" i="20"/>
  <c r="N101" i="20"/>
  <c r="N103" i="20"/>
  <c r="N95" i="19" s="1"/>
  <c r="O75" i="20"/>
  <c r="O67" i="19" s="1"/>
  <c r="P93" i="14" s="1"/>
  <c r="O81" i="20"/>
  <c r="O99" i="20"/>
  <c r="O93" i="20"/>
  <c r="O85" i="19" s="1"/>
  <c r="P124" i="14" s="1"/>
  <c r="O87" i="20"/>
  <c r="P104" i="12" s="1"/>
  <c r="N82" i="20"/>
  <c r="N85" i="20"/>
  <c r="N83" i="20"/>
  <c r="N86" i="20"/>
  <c r="N78" i="19" s="1"/>
  <c r="N84" i="20"/>
  <c r="P45" i="20"/>
  <c r="P32" i="20"/>
  <c r="CC4" i="55" s="1"/>
  <c r="DI4" i="55" s="1"/>
  <c r="P133" i="19"/>
  <c r="Q125" i="12"/>
  <c r="P135" i="19"/>
  <c r="P134" i="19"/>
  <c r="P132" i="19"/>
  <c r="P136" i="19"/>
  <c r="R31" i="20"/>
  <c r="R49" i="20" s="1"/>
  <c r="R214" i="20" s="1"/>
  <c r="S135" i="12" s="1"/>
  <c r="N266" i="20"/>
  <c r="N317" i="20"/>
  <c r="N270" i="20"/>
  <c r="N318" i="20"/>
  <c r="N267" i="20"/>
  <c r="N179" i="19"/>
  <c r="J279" i="20"/>
  <c r="J283" i="20" s="1"/>
  <c r="J280" i="20"/>
  <c r="L276" i="20"/>
  <c r="L275" i="20"/>
  <c r="Q30" i="20"/>
  <c r="Q48" i="20" s="1"/>
  <c r="R29" i="20"/>
  <c r="R47" i="20" s="1"/>
  <c r="R201" i="20" s="1"/>
  <c r="R162" i="19" s="1"/>
  <c r="S123" i="14" s="1"/>
  <c r="Q170" i="19"/>
  <c r="N226" i="14"/>
  <c r="N36" i="20"/>
  <c r="N37" i="20"/>
  <c r="N225" i="20"/>
  <c r="M258" i="20"/>
  <c r="L281" i="20"/>
  <c r="L282" i="20"/>
  <c r="K278" i="20"/>
  <c r="K277" i="20"/>
  <c r="N226" i="12"/>
  <c r="P103" i="19"/>
  <c r="P99" i="19"/>
  <c r="P104" i="19"/>
  <c r="Q126" i="12"/>
  <c r="P102" i="19"/>
  <c r="P100" i="19"/>
  <c r="P101" i="19"/>
  <c r="R123" i="12"/>
  <c r="Q160" i="19"/>
  <c r="Q158" i="19"/>
  <c r="O256" i="20"/>
  <c r="O34" i="20"/>
  <c r="N221" i="20"/>
  <c r="Q222" i="20"/>
  <c r="Q27" i="20"/>
  <c r="Q28" i="20"/>
  <c r="Q46" i="20" s="1"/>
  <c r="R94" i="12" s="1"/>
  <c r="P169" i="19"/>
  <c r="M274" i="20"/>
  <c r="M273" i="20"/>
  <c r="M272" i="20"/>
  <c r="M271" i="20"/>
  <c r="O55" i="19"/>
  <c r="O52" i="19" s="1"/>
  <c r="O50" i="20"/>
  <c r="O221" i="20" s="1"/>
  <c r="O62" i="19"/>
  <c r="O60" i="19"/>
  <c r="O56" i="19"/>
  <c r="O65" i="19"/>
  <c r="O57" i="19"/>
  <c r="O64" i="19"/>
  <c r="O61" i="19"/>
  <c r="O58" i="19"/>
  <c r="O54" i="19"/>
  <c r="O63" i="19"/>
  <c r="O53" i="19"/>
  <c r="P93" i="12"/>
  <c r="P124" i="12"/>
  <c r="P157" i="19"/>
  <c r="O95" i="12"/>
  <c r="AA61" i="16" l="1"/>
  <c r="Z87" i="29"/>
  <c r="Z65" i="16"/>
  <c r="Z139" i="16" s="1"/>
  <c r="Y92" i="29"/>
  <c r="DL58" i="55"/>
  <c r="T69" i="16"/>
  <c r="T71" i="16" s="1"/>
  <c r="AZ33" i="58" s="1"/>
  <c r="AZ58" i="55"/>
  <c r="S199" i="29"/>
  <c r="X141" i="16"/>
  <c r="X142" i="16" s="1"/>
  <c r="W173" i="29"/>
  <c r="L263" i="20"/>
  <c r="BY40" i="55" s="1"/>
  <c r="L265" i="20"/>
  <c r="BY42" i="55" s="1"/>
  <c r="L262" i="20"/>
  <c r="BY39" i="55" s="1"/>
  <c r="L261" i="20"/>
  <c r="BY38" i="55" s="1"/>
  <c r="L260" i="20"/>
  <c r="T336" i="42"/>
  <c r="AC49" i="29"/>
  <c r="AB49" i="28"/>
  <c r="AC61" i="15" s="1"/>
  <c r="V178" i="29"/>
  <c r="AB233" i="46"/>
  <c r="AB238" i="46" s="1"/>
  <c r="AB231" i="46"/>
  <c r="AB236" i="46" s="1"/>
  <c r="AB230" i="46"/>
  <c r="AB235" i="46" s="1"/>
  <c r="AB234" i="46"/>
  <c r="AC108" i="45" s="1"/>
  <c r="BI108" i="45" s="1"/>
  <c r="AB229" i="48"/>
  <c r="AB232" i="46"/>
  <c r="AB237" i="46" s="1"/>
  <c r="U186" i="28"/>
  <c r="U187" i="28" s="1"/>
  <c r="U188" i="28"/>
  <c r="U191" i="28" s="1"/>
  <c r="Z59" i="16"/>
  <c r="Z135" i="16" s="1"/>
  <c r="Z66" i="16"/>
  <c r="CJ57" i="55"/>
  <c r="W152" i="28"/>
  <c r="U329" i="42"/>
  <c r="U338" i="42" s="1"/>
  <c r="AD16" i="42"/>
  <c r="AD29" i="42" s="1"/>
  <c r="AD44" i="42" s="1"/>
  <c r="AD222" i="42" s="1"/>
  <c r="AD15" i="42"/>
  <c r="AD28" i="42" s="1"/>
  <c r="AD43" i="42" s="1"/>
  <c r="AD18" i="42"/>
  <c r="AD31" i="42" s="1"/>
  <c r="AD46" i="42" s="1"/>
  <c r="AD237" i="42" s="1"/>
  <c r="AE5" i="42"/>
  <c r="AD14" i="42"/>
  <c r="AD17" i="42"/>
  <c r="AD30" i="42" s="1"/>
  <c r="AD45" i="42" s="1"/>
  <c r="AD16" i="46"/>
  <c r="AD29" i="46" s="1"/>
  <c r="AD44" i="46" s="1"/>
  <c r="AD246" i="46" s="1"/>
  <c r="AD14" i="46"/>
  <c r="AD17" i="46"/>
  <c r="AD30" i="46" s="1"/>
  <c r="AD45" i="46" s="1"/>
  <c r="AD18" i="46"/>
  <c r="AD31" i="46" s="1"/>
  <c r="AE5" i="46"/>
  <c r="AD15" i="46"/>
  <c r="AD28" i="46" s="1"/>
  <c r="AD43" i="46" s="1"/>
  <c r="Z293" i="42"/>
  <c r="Z316" i="42"/>
  <c r="Z317" i="42" s="1"/>
  <c r="W302" i="42"/>
  <c r="W303" i="42"/>
  <c r="AB171" i="46"/>
  <c r="AB176" i="46" s="1"/>
  <c r="AB170" i="46"/>
  <c r="AB175" i="46" s="1"/>
  <c r="AB169" i="46"/>
  <c r="AB174" i="46" s="1"/>
  <c r="AB168" i="46"/>
  <c r="AB173" i="46" s="1"/>
  <c r="AB167" i="48"/>
  <c r="AB172" i="46"/>
  <c r="AC77" i="45" s="1"/>
  <c r="BI77" i="45" s="1"/>
  <c r="AA249" i="38"/>
  <c r="AA47" i="38"/>
  <c r="AA291" i="38" s="1"/>
  <c r="AA72" i="38"/>
  <c r="AA73" i="38" s="1"/>
  <c r="AA96" i="38"/>
  <c r="AA80" i="38"/>
  <c r="AA104" i="38"/>
  <c r="AA275" i="19"/>
  <c r="AA276" i="19"/>
  <c r="AA228" i="19"/>
  <c r="AA224" i="19"/>
  <c r="AA225" i="19"/>
  <c r="AB194" i="42"/>
  <c r="AB198" i="42" s="1"/>
  <c r="AB195" i="42"/>
  <c r="AB193" i="42"/>
  <c r="AB197" i="42" s="1"/>
  <c r="AB192" i="42"/>
  <c r="AB196" i="42" s="1"/>
  <c r="AA197" i="53"/>
  <c r="AA34" i="53"/>
  <c r="T172" i="28"/>
  <c r="T176" i="28" s="1"/>
  <c r="T173" i="28"/>
  <c r="AA34" i="54"/>
  <c r="AA197" i="54"/>
  <c r="Z149" i="29"/>
  <c r="Z146" i="29"/>
  <c r="AA50" i="29"/>
  <c r="AA145" i="29" s="1"/>
  <c r="AC223" i="38"/>
  <c r="AC227" i="38" s="1"/>
  <c r="AC225" i="38"/>
  <c r="AC229" i="38" s="1"/>
  <c r="AC224" i="38"/>
  <c r="AC228" i="38" s="1"/>
  <c r="AB147" i="38"/>
  <c r="AB151" i="38" s="1"/>
  <c r="AB146" i="38"/>
  <c r="AB150" i="38" s="1"/>
  <c r="AB148" i="38"/>
  <c r="AB152" i="38" s="1"/>
  <c r="AB149" i="38"/>
  <c r="AC100" i="36" s="1"/>
  <c r="BI100" i="36" s="1"/>
  <c r="AB141" i="42"/>
  <c r="AB138" i="42"/>
  <c r="AB142" i="42" s="1"/>
  <c r="AB139" i="42"/>
  <c r="AB143" i="42" s="1"/>
  <c r="AB140" i="42"/>
  <c r="AB144" i="42" s="1"/>
  <c r="V321" i="42"/>
  <c r="V322" i="42" s="1"/>
  <c r="V324" i="42" s="1"/>
  <c r="V142" i="29"/>
  <c r="V144" i="29"/>
  <c r="V139" i="29"/>
  <c r="V141" i="29"/>
  <c r="V143" i="29"/>
  <c r="V140" i="29"/>
  <c r="V305" i="38"/>
  <c r="V304" i="38"/>
  <c r="V308" i="38" s="1"/>
  <c r="X170" i="29"/>
  <c r="X171" i="29" s="1"/>
  <c r="X147" i="29"/>
  <c r="AB32" i="29"/>
  <c r="AB45" i="29"/>
  <c r="Y239" i="19"/>
  <c r="Y251" i="19" s="1"/>
  <c r="Y240" i="19"/>
  <c r="AB34" i="46"/>
  <c r="AB309" i="46"/>
  <c r="Y217" i="28"/>
  <c r="X151" i="28"/>
  <c r="AC226" i="42"/>
  <c r="AC223" i="42"/>
  <c r="AC227" i="42" s="1"/>
  <c r="AC225" i="42"/>
  <c r="AC229" i="42" s="1"/>
  <c r="AC224" i="42"/>
  <c r="AC228" i="42" s="1"/>
  <c r="AC209" i="46"/>
  <c r="AC219" i="46"/>
  <c r="AC229" i="46"/>
  <c r="V155" i="28"/>
  <c r="CI62" i="55" s="1"/>
  <c r="V157" i="28"/>
  <c r="CI64" i="55" s="1"/>
  <c r="V156" i="28"/>
  <c r="CI63" i="55" s="1"/>
  <c r="V154" i="28"/>
  <c r="CI61" i="55" s="1"/>
  <c r="V153" i="28"/>
  <c r="V158" i="28"/>
  <c r="CI65" i="55" s="1"/>
  <c r="DM58" i="55"/>
  <c r="BA58" i="55"/>
  <c r="U69" i="16"/>
  <c r="U71" i="16" s="1"/>
  <c r="BA33" i="58" s="1"/>
  <c r="T199" i="29"/>
  <c r="AC45" i="15"/>
  <c r="AB74" i="29"/>
  <c r="AC48" i="16" s="1"/>
  <c r="AC49" i="16" s="1"/>
  <c r="AC136" i="16" s="1"/>
  <c r="AC58" i="15"/>
  <c r="AB68" i="29"/>
  <c r="AB77" i="29"/>
  <c r="AC45" i="16" s="1"/>
  <c r="AB76" i="29"/>
  <c r="AC58" i="16" s="1"/>
  <c r="AB73" i="29"/>
  <c r="AB70" i="29"/>
  <c r="AB69" i="29"/>
  <c r="AB78" i="29"/>
  <c r="AC64" i="16" s="1"/>
  <c r="AC64" i="15"/>
  <c r="AB66" i="29"/>
  <c r="AB65" i="29" s="1"/>
  <c r="AB67" i="29"/>
  <c r="AC48" i="15"/>
  <c r="AC49" i="15" s="1"/>
  <c r="AC136" i="15" s="1"/>
  <c r="AB75" i="29"/>
  <c r="AB71" i="29"/>
  <c r="AB157" i="48"/>
  <c r="AB159" i="46"/>
  <c r="AB164" i="46" s="1"/>
  <c r="AB161" i="46"/>
  <c r="AB166" i="46" s="1"/>
  <c r="AB162" i="46"/>
  <c r="AC98" i="45" s="1"/>
  <c r="BI98" i="45" s="1"/>
  <c r="AB160" i="46"/>
  <c r="AB165" i="46" s="1"/>
  <c r="AB158" i="46"/>
  <c r="AB163" i="46" s="1"/>
  <c r="AA34" i="38"/>
  <c r="AA281" i="38"/>
  <c r="AA34" i="19"/>
  <c r="AA214" i="19"/>
  <c r="W318" i="42"/>
  <c r="W319" i="42" s="1"/>
  <c r="W320" i="42"/>
  <c r="W323" i="42" s="1"/>
  <c r="AB210" i="42"/>
  <c r="AB214" i="42" s="1"/>
  <c r="AB211" i="42"/>
  <c r="AB209" i="42"/>
  <c r="AB213" i="42" s="1"/>
  <c r="AB208" i="42"/>
  <c r="AB212" i="42" s="1"/>
  <c r="W157" i="29"/>
  <c r="W156" i="29"/>
  <c r="AB86" i="45"/>
  <c r="BH85" i="45"/>
  <c r="BH87" i="45"/>
  <c r="AB85" i="45"/>
  <c r="BH86" i="45"/>
  <c r="AB87" i="45"/>
  <c r="AA160" i="48"/>
  <c r="AA165" i="48" s="1"/>
  <c r="AA159" i="48"/>
  <c r="AA164" i="48" s="1"/>
  <c r="AA162" i="48"/>
  <c r="AA161" i="48"/>
  <c r="AA166" i="48" s="1"/>
  <c r="AA158" i="48"/>
  <c r="AA163" i="48" s="1"/>
  <c r="AA135" i="29"/>
  <c r="AA34" i="29"/>
  <c r="AC207" i="38"/>
  <c r="AC199" i="38"/>
  <c r="AC191" i="38"/>
  <c r="X307" i="42"/>
  <c r="X306" i="42"/>
  <c r="Y294" i="38"/>
  <c r="AB164" i="38"/>
  <c r="AB168" i="38" s="1"/>
  <c r="AB165" i="38"/>
  <c r="AC109" i="36" s="1"/>
  <c r="BI109" i="36" s="1"/>
  <c r="AB162" i="38"/>
  <c r="AB166" i="38" s="1"/>
  <c r="AB163" i="38"/>
  <c r="AB167" i="38" s="1"/>
  <c r="AB309" i="48"/>
  <c r="AB34" i="48"/>
  <c r="X104" i="29"/>
  <c r="W137" i="29"/>
  <c r="W138" i="29" s="1"/>
  <c r="S197" i="28"/>
  <c r="S206" i="28" s="1"/>
  <c r="T70" i="15" s="1"/>
  <c r="X307" i="38"/>
  <c r="X306" i="38"/>
  <c r="X318" i="38" s="1"/>
  <c r="Y234" i="19"/>
  <c r="Y233" i="19"/>
  <c r="AB32" i="38"/>
  <c r="AB42" i="38"/>
  <c r="Y210" i="28"/>
  <c r="Y211" i="28"/>
  <c r="Y159" i="28"/>
  <c r="Z46" i="16"/>
  <c r="Z67" i="16"/>
  <c r="Z216" i="28"/>
  <c r="Z53" i="29"/>
  <c r="Z57" i="29"/>
  <c r="Z61" i="29"/>
  <c r="Z59" i="29"/>
  <c r="AA44" i="16" s="1"/>
  <c r="AA62" i="15"/>
  <c r="AA65" i="15" s="1"/>
  <c r="AA139" i="15" s="1"/>
  <c r="Z55" i="29"/>
  <c r="Z52" i="29" s="1"/>
  <c r="AA44" i="15"/>
  <c r="Z60" i="29"/>
  <c r="AA56" i="15"/>
  <c r="Z54" i="29"/>
  <c r="Z63" i="29"/>
  <c r="AA56" i="16" s="1"/>
  <c r="Z56" i="29"/>
  <c r="Z62" i="29"/>
  <c r="AA62" i="16" s="1"/>
  <c r="Z50" i="28"/>
  <c r="Z117" i="28" s="1"/>
  <c r="AC238" i="42"/>
  <c r="AC242" i="42" s="1"/>
  <c r="AC239" i="42"/>
  <c r="AC243" i="42" s="1"/>
  <c r="AC240" i="42"/>
  <c r="AC244" i="42" s="1"/>
  <c r="AC241" i="42"/>
  <c r="AC19" i="46"/>
  <c r="AC275" i="46" s="1"/>
  <c r="AC27" i="46"/>
  <c r="AC32" i="46" s="1"/>
  <c r="Z246" i="42"/>
  <c r="AC55" i="15"/>
  <c r="AB85" i="29"/>
  <c r="AC55" i="16" s="1"/>
  <c r="AB179" i="46"/>
  <c r="AB184" i="46" s="1"/>
  <c r="AB178" i="46"/>
  <c r="AB183" i="46" s="1"/>
  <c r="AB177" i="48"/>
  <c r="AB181" i="46"/>
  <c r="AB186" i="46" s="1"/>
  <c r="AB180" i="46"/>
  <c r="AB185" i="46" s="1"/>
  <c r="AB182" i="46"/>
  <c r="AC107" i="45" s="1"/>
  <c r="BI107" i="45" s="1"/>
  <c r="T196" i="28"/>
  <c r="T197" i="28" s="1"/>
  <c r="T206" i="28" s="1"/>
  <c r="U70" i="15" s="1"/>
  <c r="Z36" i="29"/>
  <c r="Z37" i="29"/>
  <c r="U182" i="29"/>
  <c r="V177" i="29"/>
  <c r="AC19" i="38"/>
  <c r="AC247" i="38" s="1"/>
  <c r="AC27" i="38"/>
  <c r="AB155" i="38"/>
  <c r="AB159" i="38" s="1"/>
  <c r="AB156" i="38"/>
  <c r="AB160" i="38" s="1"/>
  <c r="AB154" i="38"/>
  <c r="AB158" i="38" s="1"/>
  <c r="AB157" i="38"/>
  <c r="AC79" i="36" s="1"/>
  <c r="BI79" i="36" s="1"/>
  <c r="U171" i="28"/>
  <c r="U170" i="28"/>
  <c r="AY61" i="55"/>
  <c r="AB42" i="42"/>
  <c r="AB32" i="42"/>
  <c r="AC15" i="53"/>
  <c r="AC28" i="53" s="1"/>
  <c r="AC18" i="53"/>
  <c r="AC31" i="53" s="1"/>
  <c r="AC14" i="53"/>
  <c r="AC17" i="53"/>
  <c r="AC30" i="53" s="1"/>
  <c r="AD5" i="53"/>
  <c r="AC16" i="53"/>
  <c r="AC29" i="53" s="1"/>
  <c r="AC44" i="53" s="1"/>
  <c r="AC150" i="53" s="1"/>
  <c r="AC151" i="53" s="1"/>
  <c r="AD60" i="51" s="1"/>
  <c r="BJ60" i="51" s="1"/>
  <c r="Y184" i="28"/>
  <c r="Y185" i="28" s="1"/>
  <c r="Y161" i="28"/>
  <c r="AC19" i="48"/>
  <c r="AC275" i="48" s="1"/>
  <c r="AC27" i="48"/>
  <c r="AC32" i="48" s="1"/>
  <c r="Z34" i="28"/>
  <c r="Z149" i="28"/>
  <c r="Z82" i="42"/>
  <c r="Z86" i="42" s="1"/>
  <c r="Z81" i="42"/>
  <c r="Z85" i="42" s="1"/>
  <c r="Z84" i="42"/>
  <c r="Z83" i="42"/>
  <c r="Z87" i="42" s="1"/>
  <c r="AB147" i="48"/>
  <c r="AB149" i="46"/>
  <c r="AB154" i="46" s="1"/>
  <c r="AB150" i="46"/>
  <c r="AB155" i="46" s="1"/>
  <c r="AB151" i="46"/>
  <c r="AB156" i="46" s="1"/>
  <c r="AB148" i="46"/>
  <c r="AB153" i="46" s="1"/>
  <c r="AB152" i="46"/>
  <c r="AC83" i="45" s="1"/>
  <c r="X283" i="42"/>
  <c r="X284" i="42" s="1"/>
  <c r="Y250" i="42"/>
  <c r="Y298" i="42"/>
  <c r="Y296" i="42"/>
  <c r="Y297" i="42"/>
  <c r="Y299" i="42"/>
  <c r="AB83" i="29"/>
  <c r="AB82" i="29" s="1"/>
  <c r="Q72" i="15"/>
  <c r="Q34" i="58" s="1"/>
  <c r="P214" i="28"/>
  <c r="Q73" i="15" s="1"/>
  <c r="AA32" i="28"/>
  <c r="AA45" i="28"/>
  <c r="X161" i="29"/>
  <c r="X160" i="29"/>
  <c r="X172" i="29" s="1"/>
  <c r="AD17" i="38"/>
  <c r="AD30" i="38" s="1"/>
  <c r="AD45" i="38" s="1"/>
  <c r="AD14" i="38"/>
  <c r="AD15" i="38"/>
  <c r="AD28" i="38" s="1"/>
  <c r="AD43" i="38" s="1"/>
  <c r="AD16" i="38"/>
  <c r="AD29" i="38" s="1"/>
  <c r="AD44" i="38" s="1"/>
  <c r="AD222" i="38" s="1"/>
  <c r="AD18" i="38"/>
  <c r="AD31" i="38" s="1"/>
  <c r="AD46" i="38" s="1"/>
  <c r="AD237" i="38" s="1"/>
  <c r="AE5" i="38"/>
  <c r="AA171" i="48"/>
  <c r="AA176" i="48" s="1"/>
  <c r="AA172" i="48"/>
  <c r="AA170" i="48"/>
  <c r="AA175" i="48" s="1"/>
  <c r="AA168" i="48"/>
  <c r="AA173" i="48" s="1"/>
  <c r="AA169" i="48"/>
  <c r="AA174" i="48" s="1"/>
  <c r="AB140" i="38"/>
  <c r="AB138" i="38"/>
  <c r="AB139" i="38"/>
  <c r="R199" i="29"/>
  <c r="AB200" i="38"/>
  <c r="AB204" i="38" s="1"/>
  <c r="AB201" i="38"/>
  <c r="AB205" i="38" s="1"/>
  <c r="AB203" i="38"/>
  <c r="AC101" i="36" s="1"/>
  <c r="BI101" i="36" s="1"/>
  <c r="AB202" i="38"/>
  <c r="AB206" i="38" s="1"/>
  <c r="AA221" i="48"/>
  <c r="AA226" i="48" s="1"/>
  <c r="AA224" i="48"/>
  <c r="AA223" i="48"/>
  <c r="AA228" i="48" s="1"/>
  <c r="AA220" i="48"/>
  <c r="AA225" i="48" s="1"/>
  <c r="AA222" i="48"/>
  <c r="AA227" i="48" s="1"/>
  <c r="Y117" i="28"/>
  <c r="AB32" i="19"/>
  <c r="AB45" i="19"/>
  <c r="AB50" i="19" s="1"/>
  <c r="X310" i="38"/>
  <c r="X311" i="38"/>
  <c r="Y85" i="55" s="1"/>
  <c r="X313" i="38"/>
  <c r="Y87" i="55" s="1"/>
  <c r="X312" i="38"/>
  <c r="Y86" i="55" s="1"/>
  <c r="X309" i="38"/>
  <c r="X314" i="38"/>
  <c r="Y88" i="55" s="1"/>
  <c r="AA281" i="42"/>
  <c r="AA34" i="42"/>
  <c r="Z100" i="42"/>
  <c r="Z97" i="42"/>
  <c r="Z101" i="42" s="1"/>
  <c r="Z99" i="42"/>
  <c r="Z103" i="42" s="1"/>
  <c r="Z98" i="42"/>
  <c r="Z102" i="42" s="1"/>
  <c r="AC18" i="28"/>
  <c r="AC31" i="28" s="1"/>
  <c r="AC15" i="28"/>
  <c r="AC28" i="28" s="1"/>
  <c r="AC46" i="28" s="1"/>
  <c r="AC14" i="28"/>
  <c r="AD5" i="28"/>
  <c r="AC16" i="28"/>
  <c r="AC29" i="28" s="1"/>
  <c r="AC47" i="28" s="1"/>
  <c r="AC85" i="29" s="1"/>
  <c r="AD55" i="16" s="1"/>
  <c r="AC17" i="28"/>
  <c r="AC30" i="28" s="1"/>
  <c r="Z295" i="38"/>
  <c r="Z292" i="38"/>
  <c r="X163" i="28"/>
  <c r="X162" i="28"/>
  <c r="X160" i="28"/>
  <c r="V169" i="28"/>
  <c r="V168" i="28"/>
  <c r="W285" i="42"/>
  <c r="W289" i="42"/>
  <c r="W287" i="42"/>
  <c r="W286" i="42"/>
  <c r="W290" i="42"/>
  <c r="W288" i="42"/>
  <c r="Y68" i="16"/>
  <c r="Y134" i="16"/>
  <c r="Y140" i="16" s="1"/>
  <c r="Y133" i="16" a="1"/>
  <c r="Y77" i="16"/>
  <c r="Y294" i="42"/>
  <c r="W237" i="19"/>
  <c r="W241" i="19" s="1"/>
  <c r="W238" i="19"/>
  <c r="X155" i="29"/>
  <c r="X154" i="29"/>
  <c r="V159" i="29"/>
  <c r="V158" i="29"/>
  <c r="V162" i="29" s="1"/>
  <c r="Y57" i="55"/>
  <c r="DP57" i="55"/>
  <c r="BD57" i="55"/>
  <c r="W148" i="29"/>
  <c r="AC27" i="19"/>
  <c r="AC19" i="19"/>
  <c r="AB61" i="15"/>
  <c r="AA88" i="29"/>
  <c r="X235" i="19"/>
  <c r="X236" i="19"/>
  <c r="BA61" i="55"/>
  <c r="AA214" i="48"/>
  <c r="AA212" i="48"/>
  <c r="AA217" i="48" s="1"/>
  <c r="AA213" i="48"/>
  <c r="AA218" i="48" s="1"/>
  <c r="AA210" i="48"/>
  <c r="AA215" i="48" s="1"/>
  <c r="AA211" i="48"/>
  <c r="AA216" i="48" s="1"/>
  <c r="AY58" i="55"/>
  <c r="AB208" i="38"/>
  <c r="AB212" i="38" s="1"/>
  <c r="AB209" i="38"/>
  <c r="AB213" i="38" s="1"/>
  <c r="AB211" i="38"/>
  <c r="AB210" i="38"/>
  <c r="AB214" i="38" s="1"/>
  <c r="Z67" i="15"/>
  <c r="Z46" i="15"/>
  <c r="Y103" i="29"/>
  <c r="Y91" i="29"/>
  <c r="AA104" i="42"/>
  <c r="AA80" i="42"/>
  <c r="AA249" i="42"/>
  <c r="AA47" i="42"/>
  <c r="AA291" i="42" s="1"/>
  <c r="AA96" i="42"/>
  <c r="AA72" i="42"/>
  <c r="AC137" i="42"/>
  <c r="AC145" i="42"/>
  <c r="AC153" i="42"/>
  <c r="AC161" i="42"/>
  <c r="AC147" i="46"/>
  <c r="AC167" i="46"/>
  <c r="AC177" i="46"/>
  <c r="AC157" i="46"/>
  <c r="Z295" i="42"/>
  <c r="Z292" i="42"/>
  <c r="AB19" i="28"/>
  <c r="AB118" i="28" s="1"/>
  <c r="AB27" i="28"/>
  <c r="W302" i="38"/>
  <c r="W303" i="38"/>
  <c r="BF80" i="55"/>
  <c r="Z229" i="19"/>
  <c r="Z230" i="19"/>
  <c r="Z231" i="19"/>
  <c r="Z232" i="19"/>
  <c r="W179" i="28"/>
  <c r="X62" i="55" s="1"/>
  <c r="W181" i="28"/>
  <c r="X64" i="55" s="1"/>
  <c r="W177" i="28"/>
  <c r="W180" i="28"/>
  <c r="X63" i="55" s="1"/>
  <c r="W178" i="28"/>
  <c r="W182" i="28"/>
  <c r="X65" i="55" s="1"/>
  <c r="W174" i="29"/>
  <c r="W175" i="29" s="1"/>
  <c r="W176" i="29" s="1"/>
  <c r="AE5" i="19"/>
  <c r="AD15" i="19"/>
  <c r="AD28" i="19" s="1"/>
  <c r="AD46" i="19" s="1"/>
  <c r="AD18" i="19"/>
  <c r="AD31" i="19" s="1"/>
  <c r="AD49" i="19" s="1"/>
  <c r="AD14" i="19"/>
  <c r="AD16" i="19"/>
  <c r="AD29" i="19" s="1"/>
  <c r="AD47" i="19" s="1"/>
  <c r="AD17" i="19"/>
  <c r="AD30" i="19" s="1"/>
  <c r="AD48" i="19" s="1"/>
  <c r="Y196" i="29"/>
  <c r="Y197" i="29"/>
  <c r="AB149" i="42"/>
  <c r="AB148" i="42"/>
  <c r="AB152" i="42" s="1"/>
  <c r="AB146" i="42"/>
  <c r="AB150" i="42" s="1"/>
  <c r="AB147" i="42"/>
  <c r="AB151" i="42" s="1"/>
  <c r="S71" i="16"/>
  <c r="AY33" i="58" s="1"/>
  <c r="AB194" i="38"/>
  <c r="AB198" i="38" s="1"/>
  <c r="AB192" i="38"/>
  <c r="AB196" i="38" s="1"/>
  <c r="AB193" i="38"/>
  <c r="AB197" i="38" s="1"/>
  <c r="AB209" i="48"/>
  <c r="AB214" i="46"/>
  <c r="AC89" i="45" s="1"/>
  <c r="AB212" i="46"/>
  <c r="AB217" i="46" s="1"/>
  <c r="AB213" i="46"/>
  <c r="AB218" i="46" s="1"/>
  <c r="AB211" i="46"/>
  <c r="AB216" i="46" s="1"/>
  <c r="AB210" i="46"/>
  <c r="AB215" i="46" s="1"/>
  <c r="V304" i="42"/>
  <c r="V308" i="42" s="1"/>
  <c r="V305" i="42"/>
  <c r="AB19" i="53"/>
  <c r="AB27" i="53"/>
  <c r="AB32" i="53" s="1"/>
  <c r="AD16" i="48"/>
  <c r="AD29" i="48" s="1"/>
  <c r="AD44" i="48" s="1"/>
  <c r="AD14" i="48"/>
  <c r="AE5" i="48"/>
  <c r="AD15" i="48"/>
  <c r="AD28" i="48" s="1"/>
  <c r="AD43" i="48" s="1"/>
  <c r="AD18" i="48"/>
  <c r="AD31" i="48" s="1"/>
  <c r="AD17" i="48"/>
  <c r="AD30" i="48" s="1"/>
  <c r="AD45" i="48" s="1"/>
  <c r="AC191" i="42"/>
  <c r="AC199" i="42"/>
  <c r="AC207" i="42"/>
  <c r="Z75" i="42"/>
  <c r="Z79" i="42" s="1"/>
  <c r="Z74" i="42"/>
  <c r="Z78" i="42" s="1"/>
  <c r="Z76" i="42"/>
  <c r="Z73" i="42"/>
  <c r="Z77" i="42" s="1"/>
  <c r="Z246" i="38"/>
  <c r="V175" i="28"/>
  <c r="V174" i="28"/>
  <c r="AC19" i="29"/>
  <c r="AC27" i="29"/>
  <c r="W167" i="28"/>
  <c r="W166" i="28"/>
  <c r="W164" i="28"/>
  <c r="W165" i="28"/>
  <c r="AC137" i="38"/>
  <c r="AC145" i="38"/>
  <c r="AC153" i="38"/>
  <c r="AC161" i="38"/>
  <c r="AC15" i="54"/>
  <c r="AC28" i="54" s="1"/>
  <c r="AC17" i="54"/>
  <c r="AC30" i="54" s="1"/>
  <c r="AD5" i="54"/>
  <c r="AC14" i="54"/>
  <c r="AC18" i="54"/>
  <c r="AC31" i="54" s="1"/>
  <c r="AC16" i="54"/>
  <c r="AC29" i="54" s="1"/>
  <c r="AC44" i="54" s="1"/>
  <c r="AC150" i="54" s="1"/>
  <c r="AC151" i="54" s="1"/>
  <c r="AA233" i="48"/>
  <c r="AA238" i="48" s="1"/>
  <c r="AA232" i="48"/>
  <c r="AA237" i="48" s="1"/>
  <c r="AA234" i="48"/>
  <c r="AA230" i="48"/>
  <c r="AA235" i="48" s="1"/>
  <c r="AA231" i="48"/>
  <c r="AA236" i="48" s="1"/>
  <c r="AB157" i="42"/>
  <c r="AB156" i="42"/>
  <c r="AB160" i="42" s="1"/>
  <c r="AB155" i="42"/>
  <c r="AB159" i="42" s="1"/>
  <c r="AB154" i="42"/>
  <c r="AB158" i="42" s="1"/>
  <c r="AB251" i="48"/>
  <c r="AB250" i="48"/>
  <c r="AB255" i="48" s="1"/>
  <c r="AB249" i="48"/>
  <c r="AB254" i="48" s="1"/>
  <c r="AB247" i="48"/>
  <c r="AB252" i="48" s="1"/>
  <c r="AB248" i="48"/>
  <c r="AB253" i="48" s="1"/>
  <c r="AA180" i="48"/>
  <c r="AA185" i="48" s="1"/>
  <c r="AA181" i="48"/>
  <c r="AA186" i="48" s="1"/>
  <c r="AA182" i="48"/>
  <c r="AA179" i="48"/>
  <c r="AA184" i="48" s="1"/>
  <c r="AA178" i="48"/>
  <c r="AA183" i="48" s="1"/>
  <c r="DK58" i="55"/>
  <c r="Y36" i="28"/>
  <c r="Y37" i="28"/>
  <c r="AB219" i="48"/>
  <c r="AB224" i="46"/>
  <c r="AC99" i="45" s="1"/>
  <c r="BI99" i="45" s="1"/>
  <c r="AB222" i="46"/>
  <c r="AB227" i="46" s="1"/>
  <c r="AB221" i="46"/>
  <c r="AB226" i="46" s="1"/>
  <c r="AB223" i="46"/>
  <c r="AB228" i="46" s="1"/>
  <c r="AB220" i="46"/>
  <c r="AB225" i="46" s="1"/>
  <c r="X300" i="38"/>
  <c r="X301" i="38"/>
  <c r="R69" i="15"/>
  <c r="R71" i="15" s="1"/>
  <c r="R33" i="58" s="1"/>
  <c r="R58" i="55"/>
  <c r="R61" i="55"/>
  <c r="Q208" i="28"/>
  <c r="Q213" i="28"/>
  <c r="V328" i="42"/>
  <c r="Z66" i="15"/>
  <c r="Z59" i="15"/>
  <c r="Z135" i="15" s="1"/>
  <c r="Y151" i="29"/>
  <c r="Y152" i="29"/>
  <c r="Y153" i="29"/>
  <c r="Y150" i="29"/>
  <c r="Y134" i="15"/>
  <c r="Y140" i="15" s="1"/>
  <c r="Y68" i="15"/>
  <c r="Y77" i="15" s="1"/>
  <c r="Y133" i="15" a="1"/>
  <c r="AC19" i="42"/>
  <c r="AC247" i="42" s="1"/>
  <c r="AC27" i="42"/>
  <c r="AE5" i="20"/>
  <c r="AD15" i="20"/>
  <c r="AD16" i="20"/>
  <c r="AD14" i="20"/>
  <c r="AD17" i="20"/>
  <c r="AD18" i="20"/>
  <c r="AC246" i="48"/>
  <c r="AC249" i="46"/>
  <c r="AC254" i="46" s="1"/>
  <c r="AC250" i="46"/>
  <c r="AC255" i="46" s="1"/>
  <c r="AC248" i="46"/>
  <c r="AC253" i="46" s="1"/>
  <c r="AC251" i="46"/>
  <c r="AD96" i="45" s="1"/>
  <c r="AC247" i="46"/>
  <c r="AC252" i="46" s="1"/>
  <c r="Z107" i="42"/>
  <c r="Z111" i="42" s="1"/>
  <c r="Z105" i="42"/>
  <c r="Z109" i="42" s="1"/>
  <c r="Z106" i="42"/>
  <c r="Z110" i="42" s="1"/>
  <c r="Z108" i="42"/>
  <c r="Z293" i="38"/>
  <c r="AA80" i="55" s="1"/>
  <c r="Z316" i="38"/>
  <c r="Z37" i="19"/>
  <c r="Z36" i="19"/>
  <c r="AE5" i="29"/>
  <c r="AD14" i="29"/>
  <c r="AD16" i="29"/>
  <c r="AD29" i="29" s="1"/>
  <c r="AD47" i="29" s="1"/>
  <c r="AD15" i="29"/>
  <c r="AD28" i="29" s="1"/>
  <c r="AD46" i="29" s="1"/>
  <c r="AD18" i="29"/>
  <c r="AD31" i="29" s="1"/>
  <c r="AD17" i="29"/>
  <c r="AD30" i="29" s="1"/>
  <c r="AB201" i="42"/>
  <c r="AB205" i="42" s="1"/>
  <c r="AB200" i="42"/>
  <c r="AB204" i="42" s="1"/>
  <c r="AB203" i="42"/>
  <c r="AB202" i="42"/>
  <c r="AB206" i="42" s="1"/>
  <c r="AA148" i="48"/>
  <c r="AA153" i="48" s="1"/>
  <c r="AA150" i="48"/>
  <c r="AA155" i="48" s="1"/>
  <c r="AA149" i="48"/>
  <c r="AA154" i="48" s="1"/>
  <c r="AA151" i="48"/>
  <c r="AA156" i="48" s="1"/>
  <c r="AA152" i="48"/>
  <c r="R197" i="28"/>
  <c r="R206" i="28" s="1"/>
  <c r="S70" i="15" s="1"/>
  <c r="T189" i="28"/>
  <c r="T190" i="28" s="1"/>
  <c r="T192" i="28" s="1"/>
  <c r="AC240" i="38"/>
  <c r="AC244" i="38" s="1"/>
  <c r="AC238" i="38"/>
  <c r="AC242" i="38" s="1"/>
  <c r="AC239" i="38"/>
  <c r="AC243" i="38" s="1"/>
  <c r="AB19" i="54"/>
  <c r="AB27" i="54"/>
  <c r="AB32" i="54" s="1"/>
  <c r="X301" i="42"/>
  <c r="X300" i="42"/>
  <c r="Y297" i="38"/>
  <c r="Y296" i="38"/>
  <c r="Y298" i="38"/>
  <c r="Y299" i="38"/>
  <c r="V167" i="29"/>
  <c r="BC64" i="55" s="1"/>
  <c r="V165" i="29"/>
  <c r="BC62" i="55" s="1"/>
  <c r="V163" i="29"/>
  <c r="V166" i="29"/>
  <c r="BC63" i="55" s="1"/>
  <c r="V164" i="29"/>
  <c r="V168" i="29"/>
  <c r="BC65" i="55" s="1"/>
  <c r="AB163" i="42"/>
  <c r="AB167" i="42" s="1"/>
  <c r="AB164" i="42"/>
  <c r="AB168" i="42" s="1"/>
  <c r="AB165" i="42"/>
  <c r="AB162" i="42"/>
  <c r="AB166" i="42" s="1"/>
  <c r="M259" i="20"/>
  <c r="BZ34" i="55"/>
  <c r="M183" i="19"/>
  <c r="L216" i="19"/>
  <c r="N97" i="14"/>
  <c r="O109" i="12"/>
  <c r="N75" i="19"/>
  <c r="O99" i="12"/>
  <c r="O91" i="19"/>
  <c r="P136" i="14" s="1"/>
  <c r="P136" i="12"/>
  <c r="O73" i="19"/>
  <c r="P114" i="14" s="1"/>
  <c r="P114" i="12"/>
  <c r="O110" i="14"/>
  <c r="O108" i="14" s="1"/>
  <c r="O109" i="14"/>
  <c r="P105" i="12"/>
  <c r="P228" i="12" s="1"/>
  <c r="O114" i="19"/>
  <c r="O113" i="19"/>
  <c r="P95" i="14"/>
  <c r="O111" i="19"/>
  <c r="P106" i="19"/>
  <c r="Q103" i="14" s="1"/>
  <c r="Q103" i="12"/>
  <c r="P124" i="19"/>
  <c r="Q138" i="14" s="1"/>
  <c r="Q138" i="12"/>
  <c r="O123" i="19"/>
  <c r="O126" i="19"/>
  <c r="Q174" i="19"/>
  <c r="P98" i="19"/>
  <c r="N92" i="19"/>
  <c r="Q176" i="19"/>
  <c r="N94" i="19"/>
  <c r="N88" i="19"/>
  <c r="N87" i="19"/>
  <c r="Q164" i="19"/>
  <c r="Q163" i="19"/>
  <c r="Q165" i="19"/>
  <c r="Q166" i="19"/>
  <c r="N86" i="19"/>
  <c r="N89" i="19"/>
  <c r="N76" i="19"/>
  <c r="N74" i="19"/>
  <c r="N93" i="19"/>
  <c r="N90" i="19"/>
  <c r="O119" i="19"/>
  <c r="N83" i="19"/>
  <c r="O111" i="14" s="1"/>
  <c r="O107" i="14" s="1"/>
  <c r="O111" i="12"/>
  <c r="O107" i="12" s="1"/>
  <c r="P118" i="19"/>
  <c r="Q94" i="14" s="1"/>
  <c r="O120" i="19"/>
  <c r="O108" i="19"/>
  <c r="O109" i="19"/>
  <c r="O110" i="12"/>
  <c r="O108" i="12" s="1"/>
  <c r="O79" i="19"/>
  <c r="P104" i="14" s="1"/>
  <c r="P105" i="14" s="1"/>
  <c r="P228" i="14" s="1"/>
  <c r="N80" i="19"/>
  <c r="O106" i="14" s="1"/>
  <c r="O129" i="19"/>
  <c r="N77" i="19"/>
  <c r="N69" i="19"/>
  <c r="O99" i="14" s="1"/>
  <c r="N71" i="19"/>
  <c r="O101" i="14" s="1"/>
  <c r="N70" i="19"/>
  <c r="O100" i="14" s="1"/>
  <c r="O98" i="14" s="1"/>
  <c r="N68" i="19"/>
  <c r="O96" i="14" s="1"/>
  <c r="O180" i="19"/>
  <c r="L293" i="20"/>
  <c r="R172" i="19"/>
  <c r="S135" i="14" s="1"/>
  <c r="P131" i="19"/>
  <c r="R216" i="20"/>
  <c r="R218" i="20"/>
  <c r="R215" i="20"/>
  <c r="R173" i="19" s="1"/>
  <c r="R217" i="20"/>
  <c r="R175" i="19" s="1"/>
  <c r="R219" i="20"/>
  <c r="R177" i="19" s="1"/>
  <c r="R202" i="20"/>
  <c r="R204" i="20"/>
  <c r="R206" i="20"/>
  <c r="R167" i="19" s="1"/>
  <c r="R203" i="20"/>
  <c r="R205" i="20"/>
  <c r="P150" i="20"/>
  <c r="P149" i="20"/>
  <c r="P125" i="19" s="1"/>
  <c r="P153" i="20"/>
  <c r="P152" i="20"/>
  <c r="P128" i="19" s="1"/>
  <c r="P151" i="20"/>
  <c r="P127" i="19" s="1"/>
  <c r="P137" i="20"/>
  <c r="P138" i="20"/>
  <c r="P139" i="20"/>
  <c r="P115" i="19" s="1"/>
  <c r="P141" i="20"/>
  <c r="P117" i="19" s="1"/>
  <c r="P140" i="20"/>
  <c r="P116" i="19" s="1"/>
  <c r="Q136" i="20"/>
  <c r="Q112" i="19" s="1"/>
  <c r="R126" i="14" s="1"/>
  <c r="Q148" i="20"/>
  <c r="Q130" i="20"/>
  <c r="Q142" i="20"/>
  <c r="P144" i="20"/>
  <c r="P145" i="20"/>
  <c r="P121" i="19" s="1"/>
  <c r="P146" i="20"/>
  <c r="P122" i="19" s="1"/>
  <c r="P143" i="20"/>
  <c r="P147" i="20"/>
  <c r="P132" i="20"/>
  <c r="P133" i="20"/>
  <c r="P134" i="20"/>
  <c r="P110" i="19" s="1"/>
  <c r="P131" i="20"/>
  <c r="P107" i="19" s="1"/>
  <c r="P135" i="20"/>
  <c r="O100" i="20"/>
  <c r="O101" i="20"/>
  <c r="O103" i="20"/>
  <c r="O95" i="19" s="1"/>
  <c r="O102" i="20"/>
  <c r="O104" i="20"/>
  <c r="O96" i="19" s="1"/>
  <c r="O97" i="20"/>
  <c r="O95" i="20"/>
  <c r="O94" i="20"/>
  <c r="O98" i="20"/>
  <c r="O96" i="20"/>
  <c r="P75" i="20"/>
  <c r="P67" i="19" s="1"/>
  <c r="Q93" i="14" s="1"/>
  <c r="P93" i="20"/>
  <c r="P85" i="19" s="1"/>
  <c r="Q124" i="14" s="1"/>
  <c r="P99" i="20"/>
  <c r="P87" i="20"/>
  <c r="Q104" i="12" s="1"/>
  <c r="P81" i="20"/>
  <c r="O83" i="20"/>
  <c r="O82" i="20"/>
  <c r="O84" i="20"/>
  <c r="O85" i="20"/>
  <c r="O86" i="20"/>
  <c r="O78" i="19" s="1"/>
  <c r="O89" i="20"/>
  <c r="O81" i="19" s="1"/>
  <c r="O91" i="20"/>
  <c r="O90" i="20"/>
  <c r="O82" i="19" s="1"/>
  <c r="O92" i="20"/>
  <c r="O84" i="19" s="1"/>
  <c r="O88" i="20"/>
  <c r="P106" i="12" s="1"/>
  <c r="O79" i="20"/>
  <c r="P101" i="12" s="1"/>
  <c r="P97" i="12" s="1"/>
  <c r="O77" i="20"/>
  <c r="O76" i="20"/>
  <c r="P96" i="12" s="1"/>
  <c r="O78" i="20"/>
  <c r="P100" i="12" s="1"/>
  <c r="P98" i="12" s="1"/>
  <c r="O80" i="20"/>
  <c r="O72" i="19" s="1"/>
  <c r="R19" i="20"/>
  <c r="R222" i="20" s="1"/>
  <c r="O266" i="20"/>
  <c r="O317" i="20"/>
  <c r="O267" i="20"/>
  <c r="O270" i="20"/>
  <c r="O318" i="20"/>
  <c r="M276" i="20"/>
  <c r="M275" i="20"/>
  <c r="R27" i="20"/>
  <c r="O226" i="14"/>
  <c r="Q157" i="19"/>
  <c r="Q169" i="19"/>
  <c r="S29" i="20"/>
  <c r="S47" i="20" s="1"/>
  <c r="S201" i="20" s="1"/>
  <c r="S162" i="19" s="1"/>
  <c r="T123" i="14" s="1"/>
  <c r="P95" i="12"/>
  <c r="M281" i="20"/>
  <c r="M282" i="20"/>
  <c r="Q45" i="20"/>
  <c r="Q32" i="20"/>
  <c r="CD4" i="55" s="1"/>
  <c r="DJ4" i="55" s="1"/>
  <c r="S123" i="12"/>
  <c r="R158" i="19"/>
  <c r="R160" i="19"/>
  <c r="L278" i="20"/>
  <c r="L277" i="20"/>
  <c r="O226" i="12"/>
  <c r="Q103" i="19"/>
  <c r="Q102" i="19"/>
  <c r="Q101" i="19"/>
  <c r="Q100" i="19"/>
  <c r="R126" i="12"/>
  <c r="Q99" i="19"/>
  <c r="Q104" i="19"/>
  <c r="O37" i="20"/>
  <c r="O36" i="20"/>
  <c r="N258" i="20"/>
  <c r="O225" i="20"/>
  <c r="R30" i="20"/>
  <c r="R48" i="20" s="1"/>
  <c r="N273" i="20"/>
  <c r="N274" i="20"/>
  <c r="N272" i="20"/>
  <c r="N271" i="20"/>
  <c r="S31" i="20"/>
  <c r="S49" i="20" s="1"/>
  <c r="S214" i="20" s="1"/>
  <c r="T135" i="12" s="1"/>
  <c r="P256" i="20"/>
  <c r="P34" i="20"/>
  <c r="O179" i="19"/>
  <c r="R28" i="20"/>
  <c r="R46" i="20" s="1"/>
  <c r="S94" i="12" s="1"/>
  <c r="K279" i="20"/>
  <c r="K283" i="20" s="1"/>
  <c r="K280" i="20"/>
  <c r="Q133" i="19"/>
  <c r="Q132" i="19"/>
  <c r="Q136" i="19"/>
  <c r="R125" i="12"/>
  <c r="Q134" i="19"/>
  <c r="Q135" i="19"/>
  <c r="R170" i="19"/>
  <c r="P55" i="19"/>
  <c r="P52" i="19" s="1"/>
  <c r="P60" i="19"/>
  <c r="Q93" i="12"/>
  <c r="P50" i="20"/>
  <c r="P221" i="20" s="1"/>
  <c r="P62" i="19"/>
  <c r="P63" i="19"/>
  <c r="Q124" i="12"/>
  <c r="P53" i="19"/>
  <c r="P54" i="19"/>
  <c r="P64" i="19"/>
  <c r="P65" i="19"/>
  <c r="P61" i="19"/>
  <c r="P56" i="19"/>
  <c r="P58" i="19"/>
  <c r="P57" i="19"/>
  <c r="M265" i="20" l="1"/>
  <c r="BZ42" i="55" s="1"/>
  <c r="M262" i="20"/>
  <c r="BZ39" i="55" s="1"/>
  <c r="M260" i="20"/>
  <c r="M264" i="20"/>
  <c r="BZ41" i="55" s="1"/>
  <c r="M261" i="20"/>
  <c r="BZ38" i="55" s="1"/>
  <c r="M263" i="20"/>
  <c r="BZ40" i="55" s="1"/>
  <c r="W178" i="29"/>
  <c r="Z92" i="29"/>
  <c r="AA65" i="16"/>
  <c r="AA139" i="16" s="1"/>
  <c r="T72" i="16"/>
  <c r="AZ34" i="58" s="1"/>
  <c r="S200" i="29"/>
  <c r="T73" i="16" s="1"/>
  <c r="DM81" i="55"/>
  <c r="T340" i="42"/>
  <c r="T345" i="42"/>
  <c r="Z294" i="42"/>
  <c r="BA81" i="55"/>
  <c r="BA84" i="55"/>
  <c r="Z57" i="55"/>
  <c r="X173" i="29"/>
  <c r="U189" i="28"/>
  <c r="U190" i="28" s="1"/>
  <c r="U192" i="28" s="1"/>
  <c r="AB88" i="29"/>
  <c r="AA246" i="38"/>
  <c r="Y141" i="15"/>
  <c r="Y142" i="15" s="1"/>
  <c r="U336" i="42"/>
  <c r="AA246" i="42"/>
  <c r="Y141" i="16"/>
  <c r="Y142" i="16" s="1"/>
  <c r="W177" i="29"/>
  <c r="W182" i="29" s="1"/>
  <c r="W183" i="29" s="1"/>
  <c r="W192" i="29" s="1"/>
  <c r="X70" i="16" s="1"/>
  <c r="S204" i="28"/>
  <c r="S208" i="28" s="1"/>
  <c r="Y300" i="38"/>
  <c r="Y301" i="38"/>
  <c r="AC148" i="42"/>
  <c r="AC152" i="42" s="1"/>
  <c r="AC149" i="42"/>
  <c r="AC146" i="42"/>
  <c r="AC150" i="42" s="1"/>
  <c r="AC147" i="42"/>
  <c r="AC151" i="42" s="1"/>
  <c r="AA105" i="42"/>
  <c r="AA109" i="42" s="1"/>
  <c r="AA107" i="42"/>
  <c r="AA111" i="42" s="1"/>
  <c r="AA106" i="42"/>
  <c r="AA110" i="42" s="1"/>
  <c r="AA108" i="42"/>
  <c r="Y314" i="42"/>
  <c r="BF88" i="55" s="1"/>
  <c r="Y310" i="42"/>
  <c r="Y313" i="42"/>
  <c r="BF87" i="55" s="1"/>
  <c r="Y312" i="42"/>
  <c r="BF86" i="55" s="1"/>
  <c r="Y311" i="42"/>
  <c r="BF85" i="55" s="1"/>
  <c r="Y309" i="42"/>
  <c r="Z294" i="38"/>
  <c r="AC49" i="28"/>
  <c r="AD191" i="38"/>
  <c r="AD199" i="38"/>
  <c r="AD207" i="38"/>
  <c r="AB47" i="42"/>
  <c r="AB291" i="42" s="1"/>
  <c r="AB249" i="42"/>
  <c r="AB96" i="42"/>
  <c r="AB72" i="42"/>
  <c r="AB80" i="42"/>
  <c r="AB104" i="42"/>
  <c r="AC42" i="38"/>
  <c r="AC32" i="38"/>
  <c r="AA66" i="15"/>
  <c r="AA59" i="15"/>
  <c r="AA135" i="15" s="1"/>
  <c r="AB281" i="38"/>
  <c r="AB34" i="38"/>
  <c r="W144" i="29"/>
  <c r="W139" i="29"/>
  <c r="W141" i="29"/>
  <c r="W143" i="29"/>
  <c r="W140" i="29"/>
  <c r="W142" i="29"/>
  <c r="Y313" i="38"/>
  <c r="Z87" i="55" s="1"/>
  <c r="Y312" i="38"/>
  <c r="Z86" i="55" s="1"/>
  <c r="Y310" i="38"/>
  <c r="Y314" i="38"/>
  <c r="Z88" i="55" s="1"/>
  <c r="Y311" i="38"/>
  <c r="Z85" i="55" s="1"/>
  <c r="Y309" i="38"/>
  <c r="CK57" i="55"/>
  <c r="X152" i="28"/>
  <c r="DQ57" i="55"/>
  <c r="BE57" i="55"/>
  <c r="X148" i="29"/>
  <c r="AA149" i="29"/>
  <c r="AA146" i="29"/>
  <c r="AD19" i="46"/>
  <c r="AD275" i="46" s="1"/>
  <c r="AD27" i="46"/>
  <c r="AD32" i="46" s="1"/>
  <c r="DN81" i="55"/>
  <c r="BB81" i="55"/>
  <c r="BB84" i="55"/>
  <c r="U340" i="42"/>
  <c r="U345" i="42"/>
  <c r="W168" i="28"/>
  <c r="W169" i="28"/>
  <c r="AD49" i="29"/>
  <c r="AE16" i="20"/>
  <c r="AE15" i="20"/>
  <c r="AE14" i="20"/>
  <c r="AE17" i="20"/>
  <c r="AE18" i="20"/>
  <c r="AF5" i="20"/>
  <c r="Y160" i="29"/>
  <c r="Y172" i="29" s="1"/>
  <c r="Y161" i="29"/>
  <c r="R72" i="15"/>
  <c r="R34" i="58" s="1"/>
  <c r="Q214" i="28"/>
  <c r="R73" i="15" s="1"/>
  <c r="W174" i="28"/>
  <c r="W175" i="28"/>
  <c r="Z239" i="19"/>
  <c r="Z251" i="19" s="1"/>
  <c r="Z240" i="19"/>
  <c r="Z299" i="42"/>
  <c r="Z298" i="42"/>
  <c r="Z297" i="42"/>
  <c r="Z296" i="42"/>
  <c r="AC141" i="42"/>
  <c r="AC138" i="42"/>
  <c r="AC142" i="42" s="1"/>
  <c r="AC139" i="42"/>
  <c r="AC143" i="42" s="1"/>
  <c r="AC140" i="42"/>
  <c r="AC144" i="42" s="1"/>
  <c r="X237" i="19"/>
  <c r="X241" i="19" s="1"/>
  <c r="X238" i="19"/>
  <c r="S72" i="16"/>
  <c r="AY34" i="58" s="1"/>
  <c r="R200" i="29"/>
  <c r="S73" i="16" s="1"/>
  <c r="Y306" i="42"/>
  <c r="Y307" i="42"/>
  <c r="Z184" i="28"/>
  <c r="Z185" i="28" s="1"/>
  <c r="Z161" i="28"/>
  <c r="Y104" i="29"/>
  <c r="X137" i="29"/>
  <c r="X138" i="29" s="1"/>
  <c r="X318" i="42"/>
  <c r="X319" i="42" s="1"/>
  <c r="X320" i="42"/>
  <c r="X323" i="42" s="1"/>
  <c r="AC233" i="46"/>
  <c r="AC238" i="46" s="1"/>
  <c r="AC234" i="46"/>
  <c r="AD108" i="45" s="1"/>
  <c r="BJ108" i="45" s="1"/>
  <c r="AC229" i="48"/>
  <c r="AC232" i="46"/>
  <c r="AC237" i="46" s="1"/>
  <c r="AC230" i="46"/>
  <c r="AC235" i="46" s="1"/>
  <c r="AC231" i="46"/>
  <c r="AC236" i="46" s="1"/>
  <c r="Z217" i="28"/>
  <c r="Y151" i="28"/>
  <c r="X174" i="29"/>
  <c r="X175" i="29" s="1"/>
  <c r="X176" i="29" s="1"/>
  <c r="AB171" i="48"/>
  <c r="AB176" i="48" s="1"/>
  <c r="AB168" i="48"/>
  <c r="AB173" i="48" s="1"/>
  <c r="AB169" i="48"/>
  <c r="AB174" i="48" s="1"/>
  <c r="AB170" i="48"/>
  <c r="AB175" i="48" s="1"/>
  <c r="AB172" i="48"/>
  <c r="AD249" i="46"/>
  <c r="AD254" i="46" s="1"/>
  <c r="AD250" i="46"/>
  <c r="AD255" i="46" s="1"/>
  <c r="AD247" i="46"/>
  <c r="AD252" i="46" s="1"/>
  <c r="AD248" i="46"/>
  <c r="AD253" i="46" s="1"/>
  <c r="AD251" i="46"/>
  <c r="AE96" i="45" s="1"/>
  <c r="AD246" i="48"/>
  <c r="AB233" i="48"/>
  <c r="AB238" i="48" s="1"/>
  <c r="AB232" i="48"/>
  <c r="AB237" i="48" s="1"/>
  <c r="AB234" i="48"/>
  <c r="AB230" i="48"/>
  <c r="AB235" i="48" s="1"/>
  <c r="AB231" i="48"/>
  <c r="AB236" i="48" s="1"/>
  <c r="AC42" i="42"/>
  <c r="AC32" i="42"/>
  <c r="Y155" i="29"/>
  <c r="Y154" i="29"/>
  <c r="AC162" i="38"/>
  <c r="AC166" i="38" s="1"/>
  <c r="AC165" i="38"/>
  <c r="AD109" i="36" s="1"/>
  <c r="BJ109" i="36" s="1"/>
  <c r="AC163" i="38"/>
  <c r="AC167" i="38" s="1"/>
  <c r="AC164" i="38"/>
  <c r="AC168" i="38" s="1"/>
  <c r="Z234" i="19"/>
  <c r="Z233" i="19"/>
  <c r="AC158" i="46"/>
  <c r="AC163" i="46" s="1"/>
  <c r="AC162" i="46"/>
  <c r="AD98" i="45" s="1"/>
  <c r="BJ98" i="45" s="1"/>
  <c r="AC157" i="48"/>
  <c r="AC159" i="46"/>
  <c r="AC164" i="46" s="1"/>
  <c r="AC161" i="46"/>
  <c r="AC166" i="46" s="1"/>
  <c r="AC160" i="46"/>
  <c r="AC165" i="46" s="1"/>
  <c r="Y170" i="29"/>
  <c r="Y171" i="29" s="1"/>
  <c r="Y147" i="29"/>
  <c r="AB61" i="16"/>
  <c r="AA87" i="29"/>
  <c r="Z297" i="38"/>
  <c r="Z298" i="38"/>
  <c r="Z299" i="38"/>
  <c r="Z296" i="38"/>
  <c r="AC87" i="45"/>
  <c r="AC85" i="45"/>
  <c r="BI87" i="45"/>
  <c r="BI85" i="45"/>
  <c r="BI86" i="45"/>
  <c r="AC86" i="45"/>
  <c r="AD16" i="53"/>
  <c r="AD29" i="53" s="1"/>
  <c r="AD44" i="53" s="1"/>
  <c r="AD150" i="53" s="1"/>
  <c r="AD151" i="53" s="1"/>
  <c r="AE60" i="51" s="1"/>
  <c r="BK60" i="51" s="1"/>
  <c r="AE5" i="53"/>
  <c r="AD15" i="53"/>
  <c r="AD28" i="53" s="1"/>
  <c r="AD17" i="53"/>
  <c r="AD30" i="53" s="1"/>
  <c r="AD18" i="53"/>
  <c r="AD31" i="53" s="1"/>
  <c r="AD14" i="53"/>
  <c r="U172" i="28"/>
  <c r="U176" i="28" s="1"/>
  <c r="U173" i="28"/>
  <c r="V182" i="29"/>
  <c r="T204" i="28"/>
  <c r="AA67" i="15"/>
  <c r="AA46" i="15"/>
  <c r="Y236" i="19"/>
  <c r="Y235" i="19"/>
  <c r="W328" i="42"/>
  <c r="AC221" i="46"/>
  <c r="AC226" i="46" s="1"/>
  <c r="AC220" i="46"/>
  <c r="AC225" i="46" s="1"/>
  <c r="AC222" i="46"/>
  <c r="AC227" i="46" s="1"/>
  <c r="AC223" i="46"/>
  <c r="AC228" i="46" s="1"/>
  <c r="AC224" i="46"/>
  <c r="AD99" i="45" s="1"/>
  <c r="BJ99" i="45" s="1"/>
  <c r="AC219" i="48"/>
  <c r="AD191" i="42"/>
  <c r="AD207" i="42"/>
  <c r="AD199" i="42"/>
  <c r="W156" i="28"/>
  <c r="CJ63" i="55" s="1"/>
  <c r="W153" i="28"/>
  <c r="W154" i="28"/>
  <c r="CJ61" i="55" s="1"/>
  <c r="W157" i="28"/>
  <c r="CJ64" i="55" s="1"/>
  <c r="W158" i="28"/>
  <c r="CJ65" i="55" s="1"/>
  <c r="W155" i="28"/>
  <c r="CJ62" i="55" s="1"/>
  <c r="R204" i="28"/>
  <c r="AC250" i="48"/>
  <c r="AC255" i="48" s="1"/>
  <c r="AC249" i="48"/>
  <c r="AC254" i="48" s="1"/>
  <c r="AC247" i="48"/>
  <c r="AC252" i="48" s="1"/>
  <c r="AC248" i="48"/>
  <c r="AC253" i="48" s="1"/>
  <c r="AC251" i="48"/>
  <c r="AC157" i="38"/>
  <c r="AD79" i="36" s="1"/>
  <c r="BJ79" i="36" s="1"/>
  <c r="AC154" i="38"/>
  <c r="AC158" i="38" s="1"/>
  <c r="AC155" i="38"/>
  <c r="AC159" i="38" s="1"/>
  <c r="AC156" i="38"/>
  <c r="AC160" i="38" s="1"/>
  <c r="AC32" i="29"/>
  <c r="AC45" i="29"/>
  <c r="AE16" i="48"/>
  <c r="AE29" i="48" s="1"/>
  <c r="AE44" i="48" s="1"/>
  <c r="AE14" i="48"/>
  <c r="AE17" i="48"/>
  <c r="AE30" i="48" s="1"/>
  <c r="AE45" i="48" s="1"/>
  <c r="AE18" i="48"/>
  <c r="AE31" i="48" s="1"/>
  <c r="AF5" i="48"/>
  <c r="AE15" i="48"/>
  <c r="AE28" i="48" s="1"/>
  <c r="AE43" i="48" s="1"/>
  <c r="AC177" i="48"/>
  <c r="AC178" i="46"/>
  <c r="AC183" i="46" s="1"/>
  <c r="AC179" i="46"/>
  <c r="AC184" i="46" s="1"/>
  <c r="AC180" i="46"/>
  <c r="AC185" i="46" s="1"/>
  <c r="AC181" i="46"/>
  <c r="AC186" i="46" s="1"/>
  <c r="AC182" i="46"/>
  <c r="AD107" i="45" s="1"/>
  <c r="BJ107" i="45" s="1"/>
  <c r="AA75" i="42"/>
  <c r="AA79" i="42" s="1"/>
  <c r="AA73" i="42"/>
  <c r="AA77" i="42" s="1"/>
  <c r="AA74" i="42"/>
  <c r="AA78" i="42" s="1"/>
  <c r="AA76" i="42"/>
  <c r="Z134" i="15"/>
  <c r="Z140" i="15" s="1"/>
  <c r="Z133" i="15" a="1"/>
  <c r="Z68" i="15"/>
  <c r="Z77" i="15" s="1"/>
  <c r="AF5" i="38"/>
  <c r="AE16" i="38"/>
  <c r="AE29" i="38" s="1"/>
  <c r="AE44" i="38" s="1"/>
  <c r="AE222" i="38" s="1"/>
  <c r="AE15" i="38"/>
  <c r="AE28" i="38" s="1"/>
  <c r="AE43" i="38" s="1"/>
  <c r="AE17" i="38"/>
  <c r="AE30" i="38" s="1"/>
  <c r="AE45" i="38" s="1"/>
  <c r="AE14" i="38"/>
  <c r="AE18" i="38"/>
  <c r="AE31" i="38" s="1"/>
  <c r="AE46" i="38" s="1"/>
  <c r="AE237" i="38" s="1"/>
  <c r="AA216" i="28"/>
  <c r="AA56" i="29"/>
  <c r="AA50" i="28"/>
  <c r="AA59" i="29"/>
  <c r="AB44" i="16" s="1"/>
  <c r="AA61" i="29"/>
  <c r="AB44" i="15"/>
  <c r="AA63" i="29"/>
  <c r="AB56" i="16" s="1"/>
  <c r="AB59" i="16" s="1"/>
  <c r="AB135" i="16" s="1"/>
  <c r="AB62" i="15"/>
  <c r="AB65" i="15" s="1"/>
  <c r="AB139" i="15" s="1"/>
  <c r="AA53" i="29"/>
  <c r="AB56" i="15"/>
  <c r="AA57" i="29"/>
  <c r="AA55" i="29"/>
  <c r="AA52" i="29" s="1"/>
  <c r="AA60" i="29"/>
  <c r="AA54" i="29"/>
  <c r="AA62" i="29"/>
  <c r="AB62" i="16" s="1"/>
  <c r="AB66" i="16" s="1"/>
  <c r="Z211" i="28"/>
  <c r="Z210" i="28"/>
  <c r="Z159" i="28"/>
  <c r="Z77" i="16"/>
  <c r="Z68" i="16"/>
  <c r="Z134" i="16"/>
  <c r="Z140" i="16" s="1"/>
  <c r="Z133" i="16" a="1"/>
  <c r="AC194" i="38"/>
  <c r="AC198" i="38" s="1"/>
  <c r="AC193" i="38"/>
  <c r="AC197" i="38" s="1"/>
  <c r="AC192" i="38"/>
  <c r="AC196" i="38" s="1"/>
  <c r="AC212" i="46"/>
  <c r="AC217" i="46" s="1"/>
  <c r="AC211" i="46"/>
  <c r="AC216" i="46" s="1"/>
  <c r="AC210" i="46"/>
  <c r="AC215" i="46" s="1"/>
  <c r="AC214" i="46"/>
  <c r="AD89" i="45" s="1"/>
  <c r="AC209" i="48"/>
  <c r="AC213" i="46"/>
  <c r="AC218" i="46" s="1"/>
  <c r="Z153" i="29"/>
  <c r="Z150" i="29"/>
  <c r="Z151" i="29"/>
  <c r="Z152" i="29"/>
  <c r="DS80" i="55"/>
  <c r="BG80" i="55"/>
  <c r="AD27" i="42"/>
  <c r="AD19" i="42"/>
  <c r="AD247" i="42" s="1"/>
  <c r="X302" i="42"/>
  <c r="X303" i="42"/>
  <c r="AD19" i="29"/>
  <c r="AD27" i="29"/>
  <c r="AC146" i="38"/>
  <c r="AC150" i="38" s="1"/>
  <c r="AC147" i="38"/>
  <c r="AC151" i="38" s="1"/>
  <c r="AC149" i="38"/>
  <c r="AD100" i="36" s="1"/>
  <c r="BJ100" i="36" s="1"/>
  <c r="AC148" i="38"/>
  <c r="AC152" i="38" s="1"/>
  <c r="AD19" i="48"/>
  <c r="AD275" i="48" s="1"/>
  <c r="AD27" i="48"/>
  <c r="AD32" i="48" s="1"/>
  <c r="AD19" i="19"/>
  <c r="AD27" i="19"/>
  <c r="W305" i="38"/>
  <c r="W304" i="38"/>
  <c r="W308" i="38" s="1"/>
  <c r="AC172" i="46"/>
  <c r="AD77" i="45" s="1"/>
  <c r="BJ77" i="45" s="1"/>
  <c r="AC167" i="48"/>
  <c r="AC171" i="46"/>
  <c r="AC176" i="46" s="1"/>
  <c r="AC170" i="46"/>
  <c r="AC175" i="46" s="1"/>
  <c r="AC169" i="46"/>
  <c r="AC174" i="46" s="1"/>
  <c r="AC168" i="46"/>
  <c r="AC173" i="46" s="1"/>
  <c r="AA97" i="42"/>
  <c r="AA101" i="42" s="1"/>
  <c r="AA99" i="42"/>
  <c r="AA103" i="42" s="1"/>
  <c r="AA100" i="42"/>
  <c r="AA98" i="42"/>
  <c r="AA102" i="42" s="1"/>
  <c r="V170" i="28"/>
  <c r="V171" i="28"/>
  <c r="AD55" i="15"/>
  <c r="AC83" i="29"/>
  <c r="AC82" i="29" s="1"/>
  <c r="AD239" i="38"/>
  <c r="AD243" i="38" s="1"/>
  <c r="AD240" i="38"/>
  <c r="AD244" i="38" s="1"/>
  <c r="AD238" i="38"/>
  <c r="AD242" i="38" s="1"/>
  <c r="AA34" i="28"/>
  <c r="AA149" i="28"/>
  <c r="Y301" i="42"/>
  <c r="Y300" i="42"/>
  <c r="Z37" i="28"/>
  <c r="Z36" i="28"/>
  <c r="AC19" i="53"/>
  <c r="AC27" i="53"/>
  <c r="AC32" i="53" s="1"/>
  <c r="U183" i="29"/>
  <c r="U190" i="29" s="1"/>
  <c r="AC34" i="46"/>
  <c r="AC309" i="46"/>
  <c r="Y163" i="28"/>
  <c r="Y162" i="28"/>
  <c r="Y160" i="28"/>
  <c r="AC201" i="38"/>
  <c r="AC205" i="38" s="1"/>
  <c r="AC202" i="38"/>
  <c r="AC206" i="38" s="1"/>
  <c r="AC203" i="38"/>
  <c r="AD101" i="36" s="1"/>
  <c r="BJ101" i="36" s="1"/>
  <c r="AC200" i="38"/>
  <c r="AC204" i="38" s="1"/>
  <c r="W158" i="29"/>
  <c r="W162" i="29" s="1"/>
  <c r="W159" i="29"/>
  <c r="AD147" i="46"/>
  <c r="AD167" i="46"/>
  <c r="AD157" i="46"/>
  <c r="AD177" i="46"/>
  <c r="AE15" i="42"/>
  <c r="AE28" i="42" s="1"/>
  <c r="AE43" i="42" s="1"/>
  <c r="AE16" i="42"/>
  <c r="AE29" i="42" s="1"/>
  <c r="AE44" i="42" s="1"/>
  <c r="AE222" i="42" s="1"/>
  <c r="AE18" i="42"/>
  <c r="AE31" i="42" s="1"/>
  <c r="AE46" i="42" s="1"/>
  <c r="AE237" i="42" s="1"/>
  <c r="AE14" i="42"/>
  <c r="AE17" i="42"/>
  <c r="AE30" i="42" s="1"/>
  <c r="AE45" i="42" s="1"/>
  <c r="AF5" i="42"/>
  <c r="AB197" i="54"/>
  <c r="AB34" i="54"/>
  <c r="AF5" i="29"/>
  <c r="AE17" i="29"/>
  <c r="AE30" i="29" s="1"/>
  <c r="AE14" i="29"/>
  <c r="AE16" i="29"/>
  <c r="AE29" i="29" s="1"/>
  <c r="AE47" i="29" s="1"/>
  <c r="AE15" i="29"/>
  <c r="AE28" i="29" s="1"/>
  <c r="AE46" i="29" s="1"/>
  <c r="AE18" i="29"/>
  <c r="AE31" i="29" s="1"/>
  <c r="AB221" i="48"/>
  <c r="AB226" i="48" s="1"/>
  <c r="AB220" i="48"/>
  <c r="AB225" i="48" s="1"/>
  <c r="AB223" i="48"/>
  <c r="AB228" i="48" s="1"/>
  <c r="AB222" i="48"/>
  <c r="AB227" i="48" s="1"/>
  <c r="AB224" i="48"/>
  <c r="AC139" i="38"/>
  <c r="AC138" i="38"/>
  <c r="AC140" i="38"/>
  <c r="V186" i="28"/>
  <c r="V187" i="28" s="1"/>
  <c r="V188" i="28"/>
  <c r="AC211" i="42"/>
  <c r="AC208" i="42"/>
  <c r="AC212" i="42" s="1"/>
  <c r="AC209" i="42"/>
  <c r="AC213" i="42" s="1"/>
  <c r="AC210" i="42"/>
  <c r="AC214" i="42" s="1"/>
  <c r="AB32" i="28"/>
  <c r="AB45" i="28"/>
  <c r="AC147" i="48"/>
  <c r="AC152" i="46"/>
  <c r="AD83" i="45" s="1"/>
  <c r="AC149" i="46"/>
  <c r="AC154" i="46" s="1"/>
  <c r="AC151" i="46"/>
  <c r="AC156" i="46" s="1"/>
  <c r="AC150" i="46"/>
  <c r="AC155" i="46" s="1"/>
  <c r="AC148" i="46"/>
  <c r="AC153" i="46" s="1"/>
  <c r="AA295" i="42"/>
  <c r="AA292" i="42"/>
  <c r="AC32" i="19"/>
  <c r="AC45" i="19"/>
  <c r="AC50" i="19" s="1"/>
  <c r="X156" i="29"/>
  <c r="X157" i="29"/>
  <c r="AE5" i="28"/>
  <c r="AD17" i="28"/>
  <c r="AD30" i="28" s="1"/>
  <c r="AD16" i="28"/>
  <c r="AD29" i="28" s="1"/>
  <c r="AD47" i="28" s="1"/>
  <c r="AD14" i="28"/>
  <c r="AD18" i="28"/>
  <c r="AD31" i="28" s="1"/>
  <c r="AD15" i="28"/>
  <c r="AD28" i="28" s="1"/>
  <c r="AD46" i="28" s="1"/>
  <c r="AB276" i="19"/>
  <c r="AB228" i="19"/>
  <c r="AB275" i="19"/>
  <c r="AB225" i="19"/>
  <c r="AB224" i="19"/>
  <c r="AD225" i="38"/>
  <c r="AD229" i="38" s="1"/>
  <c r="AD224" i="38"/>
  <c r="AD228" i="38" s="1"/>
  <c r="AD223" i="38"/>
  <c r="AD227" i="38" s="1"/>
  <c r="AC34" i="48"/>
  <c r="AC309" i="48"/>
  <c r="AA67" i="16"/>
  <c r="AA46" i="16"/>
  <c r="AC211" i="38"/>
  <c r="AC208" i="38"/>
  <c r="AC212" i="38" s="1"/>
  <c r="AC209" i="38"/>
  <c r="AC213" i="38" s="1"/>
  <c r="AC210" i="38"/>
  <c r="AC214" i="38" s="1"/>
  <c r="AA36" i="19"/>
  <c r="AA37" i="19"/>
  <c r="AB160" i="48"/>
  <c r="AB165" i="48" s="1"/>
  <c r="AB159" i="48"/>
  <c r="AB164" i="48" s="1"/>
  <c r="AB161" i="48"/>
  <c r="AB166" i="48" s="1"/>
  <c r="AB158" i="48"/>
  <c r="AB163" i="48" s="1"/>
  <c r="AB162" i="48"/>
  <c r="AE17" i="46"/>
  <c r="AE30" i="46" s="1"/>
  <c r="AE45" i="46" s="1"/>
  <c r="AE18" i="46"/>
  <c r="AE31" i="46" s="1"/>
  <c r="AF5" i="46"/>
  <c r="AE16" i="46"/>
  <c r="AE29" i="46" s="1"/>
  <c r="AE44" i="46" s="1"/>
  <c r="AE246" i="46" s="1"/>
  <c r="AE14" i="46"/>
  <c r="AE15" i="46"/>
  <c r="AE28" i="46" s="1"/>
  <c r="AE43" i="46" s="1"/>
  <c r="AD241" i="42"/>
  <c r="AD239" i="42"/>
  <c r="AD243" i="42" s="1"/>
  <c r="AD240" i="42"/>
  <c r="AD244" i="42" s="1"/>
  <c r="AD238" i="42"/>
  <c r="AD242" i="42" s="1"/>
  <c r="X303" i="38"/>
  <c r="X302" i="38"/>
  <c r="AC19" i="54"/>
  <c r="AC27" i="54"/>
  <c r="AC32" i="54" s="1"/>
  <c r="AC203" i="42"/>
  <c r="AC201" i="42"/>
  <c r="AC205" i="42" s="1"/>
  <c r="AC202" i="42"/>
  <c r="AC206" i="42" s="1"/>
  <c r="AC200" i="42"/>
  <c r="AC204" i="42" s="1"/>
  <c r="AB197" i="53"/>
  <c r="AB34" i="53"/>
  <c r="AC165" i="42"/>
  <c r="AC164" i="42"/>
  <c r="AC168" i="42" s="1"/>
  <c r="AC162" i="42"/>
  <c r="AC166" i="42" s="1"/>
  <c r="AC163" i="42"/>
  <c r="AC167" i="42" s="1"/>
  <c r="AA293" i="42"/>
  <c r="AA316" i="42"/>
  <c r="AA317" i="42" s="1"/>
  <c r="W168" i="29"/>
  <c r="BD65" i="55" s="1"/>
  <c r="W166" i="29"/>
  <c r="BD63" i="55" s="1"/>
  <c r="W165" i="29"/>
  <c r="BD62" i="55" s="1"/>
  <c r="W163" i="29"/>
  <c r="W164" i="29"/>
  <c r="W167" i="29"/>
  <c r="BD64" i="55" s="1"/>
  <c r="X180" i="28"/>
  <c r="Y63" i="55" s="1"/>
  <c r="X178" i="28"/>
  <c r="X182" i="28"/>
  <c r="Y65" i="55" s="1"/>
  <c r="X181" i="28"/>
  <c r="Y64" i="55" s="1"/>
  <c r="X177" i="28"/>
  <c r="X179" i="28"/>
  <c r="Y62" i="55" s="1"/>
  <c r="AC19" i="28"/>
  <c r="AC118" i="28" s="1"/>
  <c r="AC27" i="28"/>
  <c r="AB34" i="19"/>
  <c r="AB214" i="19"/>
  <c r="AD137" i="38"/>
  <c r="AD161" i="38"/>
  <c r="AD145" i="38"/>
  <c r="AD153" i="38"/>
  <c r="Z250" i="42"/>
  <c r="Y283" i="42"/>
  <c r="Y284" i="42" s="1"/>
  <c r="AB148" i="48"/>
  <c r="AB153" i="48" s="1"/>
  <c r="AB152" i="48"/>
  <c r="AB149" i="48"/>
  <c r="AB154" i="48" s="1"/>
  <c r="AB151" i="48"/>
  <c r="AB156" i="48" s="1"/>
  <c r="AB150" i="48"/>
  <c r="AB155" i="48" s="1"/>
  <c r="AB180" i="48"/>
  <c r="AB185" i="48" s="1"/>
  <c r="AB179" i="48"/>
  <c r="AB184" i="48" s="1"/>
  <c r="AB182" i="48"/>
  <c r="AB181" i="48"/>
  <c r="AB186" i="48" s="1"/>
  <c r="AB178" i="48"/>
  <c r="AB183" i="48" s="1"/>
  <c r="AA59" i="16"/>
  <c r="AA135" i="16" s="1"/>
  <c r="AA66" i="16"/>
  <c r="Z103" i="29"/>
  <c r="Z91" i="29"/>
  <c r="AA36" i="29"/>
  <c r="AA37" i="29"/>
  <c r="W321" i="42"/>
  <c r="W322" i="42" s="1"/>
  <c r="W324" i="42" s="1"/>
  <c r="AB50" i="29"/>
  <c r="AB145" i="29" s="1"/>
  <c r="AA231" i="19"/>
  <c r="AA232" i="19"/>
  <c r="AA229" i="19"/>
  <c r="AA230" i="19"/>
  <c r="AA295" i="38"/>
  <c r="AA292" i="38"/>
  <c r="AD137" i="42"/>
  <c r="AD145" i="42"/>
  <c r="AD161" i="42"/>
  <c r="AD153" i="42"/>
  <c r="U196" i="28"/>
  <c r="Y306" i="38"/>
  <c r="Y318" i="38" s="1"/>
  <c r="Y307" i="38"/>
  <c r="V329" i="42"/>
  <c r="V338" i="42" s="1"/>
  <c r="AD14" i="54"/>
  <c r="AE5" i="54"/>
  <c r="AD16" i="54"/>
  <c r="AD29" i="54" s="1"/>
  <c r="AD44" i="54" s="1"/>
  <c r="AD150" i="54" s="1"/>
  <c r="AD151" i="54" s="1"/>
  <c r="AD18" i="54"/>
  <c r="AD31" i="54" s="1"/>
  <c r="AD15" i="54"/>
  <c r="AD28" i="54" s="1"/>
  <c r="AD17" i="54"/>
  <c r="AD30" i="54" s="1"/>
  <c r="AC194" i="42"/>
  <c r="AC198" i="42" s="1"/>
  <c r="AC192" i="42"/>
  <c r="AC196" i="42" s="1"/>
  <c r="AC193" i="42"/>
  <c r="AC197" i="42" s="1"/>
  <c r="AC195" i="42"/>
  <c r="AB214" i="48"/>
  <c r="AB212" i="48"/>
  <c r="AB217" i="48" s="1"/>
  <c r="AB211" i="48"/>
  <c r="AB216" i="48" s="1"/>
  <c r="AB210" i="48"/>
  <c r="AB215" i="48" s="1"/>
  <c r="AB213" i="48"/>
  <c r="AB218" i="48" s="1"/>
  <c r="AF5" i="19"/>
  <c r="AE18" i="19"/>
  <c r="AE31" i="19" s="1"/>
  <c r="AE49" i="19" s="1"/>
  <c r="AE14" i="19"/>
  <c r="AE16" i="19"/>
  <c r="AE29" i="19" s="1"/>
  <c r="AE47" i="19" s="1"/>
  <c r="AE17" i="19"/>
  <c r="AE30" i="19" s="1"/>
  <c r="AE48" i="19" s="1"/>
  <c r="AE15" i="19"/>
  <c r="AE28" i="19" s="1"/>
  <c r="AE46" i="19" s="1"/>
  <c r="AC156" i="42"/>
  <c r="AC160" i="42" s="1"/>
  <c r="AC155" i="42"/>
  <c r="AC159" i="42" s="1"/>
  <c r="AC157" i="42"/>
  <c r="AC154" i="42"/>
  <c r="AC158" i="42" s="1"/>
  <c r="AA82" i="42"/>
  <c r="AA86" i="42" s="1"/>
  <c r="AA84" i="42"/>
  <c r="AA81" i="42"/>
  <c r="AA85" i="42" s="1"/>
  <c r="AA83" i="42"/>
  <c r="AA87" i="42" s="1"/>
  <c r="X165" i="28"/>
  <c r="X167" i="28"/>
  <c r="X164" i="28"/>
  <c r="X166" i="28"/>
  <c r="AC78" i="29"/>
  <c r="AD64" i="16" s="1"/>
  <c r="AC69" i="29"/>
  <c r="AC77" i="29"/>
  <c r="AD45" i="16" s="1"/>
  <c r="AC71" i="29"/>
  <c r="AC66" i="29"/>
  <c r="AC65" i="29" s="1"/>
  <c r="AC68" i="29"/>
  <c r="AD64" i="15"/>
  <c r="AC67" i="29"/>
  <c r="AD48" i="15"/>
  <c r="AD49" i="15" s="1"/>
  <c r="AD136" i="15" s="1"/>
  <c r="AC74" i="29"/>
  <c r="AD48" i="16" s="1"/>
  <c r="AD49" i="16" s="1"/>
  <c r="AD136" i="16" s="1"/>
  <c r="AD58" i="15"/>
  <c r="AC75" i="29"/>
  <c r="AC70" i="29"/>
  <c r="AD45" i="15"/>
  <c r="AC76" i="29"/>
  <c r="AD58" i="16" s="1"/>
  <c r="AC73" i="29"/>
  <c r="AD19" i="38"/>
  <c r="AD247" i="38" s="1"/>
  <c r="AD27" i="38"/>
  <c r="X288" i="42"/>
  <c r="X285" i="42"/>
  <c r="X289" i="42"/>
  <c r="X287" i="42"/>
  <c r="X286" i="42"/>
  <c r="X290" i="42"/>
  <c r="AB281" i="42"/>
  <c r="AB34" i="42"/>
  <c r="Z197" i="29"/>
  <c r="Z196" i="29"/>
  <c r="AB249" i="38"/>
  <c r="AB47" i="38"/>
  <c r="AB291" i="38" s="1"/>
  <c r="AB72" i="38"/>
  <c r="AB73" i="38" s="1"/>
  <c r="AB104" i="38"/>
  <c r="AB80" i="38"/>
  <c r="AB96" i="38"/>
  <c r="U72" i="16"/>
  <c r="BA34" i="58" s="1"/>
  <c r="T200" i="29"/>
  <c r="U73" i="16" s="1"/>
  <c r="AB34" i="29"/>
  <c r="AB135" i="29"/>
  <c r="AA293" i="38"/>
  <c r="AB80" i="55" s="1"/>
  <c r="AA316" i="38"/>
  <c r="W304" i="42"/>
  <c r="W308" i="42" s="1"/>
  <c r="W305" i="42"/>
  <c r="AD209" i="46"/>
  <c r="AD229" i="46"/>
  <c r="AD219" i="46"/>
  <c r="AD224" i="42"/>
  <c r="AD228" i="42" s="1"/>
  <c r="AD226" i="42"/>
  <c r="AD225" i="42"/>
  <c r="AD229" i="42" s="1"/>
  <c r="AD223" i="42"/>
  <c r="AD227" i="42" s="1"/>
  <c r="N259" i="20"/>
  <c r="N265" i="20" s="1"/>
  <c r="CA42" i="55" s="1"/>
  <c r="CA34" i="55"/>
  <c r="N183" i="19"/>
  <c r="M216" i="19"/>
  <c r="O75" i="19"/>
  <c r="P109" i="12"/>
  <c r="P73" i="19"/>
  <c r="Q114" i="14" s="1"/>
  <c r="Q114" i="12"/>
  <c r="P99" i="12"/>
  <c r="O97" i="14"/>
  <c r="P91" i="19"/>
  <c r="Q136" i="14" s="1"/>
  <c r="Q136" i="12"/>
  <c r="P110" i="14"/>
  <c r="P108" i="14" s="1"/>
  <c r="Q105" i="12"/>
  <c r="Q228" i="12" s="1"/>
  <c r="P109" i="14"/>
  <c r="Q106" i="19"/>
  <c r="R103" i="14" s="1"/>
  <c r="R103" i="12"/>
  <c r="P126" i="19"/>
  <c r="P123" i="19"/>
  <c r="P114" i="19"/>
  <c r="P113" i="19"/>
  <c r="Q95" i="14"/>
  <c r="P111" i="19"/>
  <c r="Q124" i="19"/>
  <c r="R138" i="14" s="1"/>
  <c r="R138" i="12"/>
  <c r="R174" i="19"/>
  <c r="P180" i="19"/>
  <c r="Q98" i="19"/>
  <c r="O94" i="19"/>
  <c r="R176" i="19"/>
  <c r="O92" i="19"/>
  <c r="O88" i="19"/>
  <c r="O87" i="19"/>
  <c r="R165" i="19"/>
  <c r="R166" i="19"/>
  <c r="R163" i="19"/>
  <c r="R164" i="19"/>
  <c r="O86" i="19"/>
  <c r="O89" i="19"/>
  <c r="O76" i="19"/>
  <c r="O74" i="19"/>
  <c r="Q118" i="19"/>
  <c r="R94" i="14" s="1"/>
  <c r="O90" i="19"/>
  <c r="P109" i="19"/>
  <c r="O83" i="19"/>
  <c r="P111" i="14" s="1"/>
  <c r="P107" i="14" s="1"/>
  <c r="P111" i="12"/>
  <c r="P107" i="12" s="1"/>
  <c r="O93" i="19"/>
  <c r="P108" i="19"/>
  <c r="P110" i="12"/>
  <c r="P108" i="12" s="1"/>
  <c r="P119" i="19"/>
  <c r="P120" i="19"/>
  <c r="O80" i="19"/>
  <c r="P106" i="14" s="1"/>
  <c r="P79" i="19"/>
  <c r="Q104" i="14" s="1"/>
  <c r="Q105" i="14" s="1"/>
  <c r="Q228" i="14" s="1"/>
  <c r="O77" i="19"/>
  <c r="P129" i="19"/>
  <c r="O71" i="19"/>
  <c r="P101" i="14" s="1"/>
  <c r="O70" i="19"/>
  <c r="P100" i="14" s="1"/>
  <c r="P98" i="14" s="1"/>
  <c r="O68" i="19"/>
  <c r="P96" i="14" s="1"/>
  <c r="O69" i="19"/>
  <c r="P99" i="14" s="1"/>
  <c r="M293" i="20"/>
  <c r="S172" i="19"/>
  <c r="T135" i="14" s="1"/>
  <c r="Q131" i="19"/>
  <c r="S215" i="20"/>
  <c r="S173" i="19" s="1"/>
  <c r="S217" i="20"/>
  <c r="S175" i="19" s="1"/>
  <c r="S216" i="20"/>
  <c r="S218" i="20"/>
  <c r="S219" i="20"/>
  <c r="S177" i="19" s="1"/>
  <c r="S203" i="20"/>
  <c r="S202" i="20"/>
  <c r="S204" i="20"/>
  <c r="S206" i="20"/>
  <c r="S167" i="19" s="1"/>
  <c r="S205" i="20"/>
  <c r="Q138" i="20"/>
  <c r="Q139" i="20"/>
  <c r="Q115" i="19" s="1"/>
  <c r="Q137" i="20"/>
  <c r="Q141" i="20"/>
  <c r="Q117" i="19" s="1"/>
  <c r="Q140" i="20"/>
  <c r="Q116" i="19" s="1"/>
  <c r="Q150" i="20"/>
  <c r="Q149" i="20"/>
  <c r="Q125" i="19" s="1"/>
  <c r="Q153" i="20"/>
  <c r="Q152" i="20"/>
  <c r="Q128" i="19" s="1"/>
  <c r="Q151" i="20"/>
  <c r="Q127" i="19" s="1"/>
  <c r="R148" i="20"/>
  <c r="R130" i="20"/>
  <c r="R142" i="20"/>
  <c r="R136" i="20"/>
  <c r="R112" i="19" s="1"/>
  <c r="S126" i="14" s="1"/>
  <c r="Q143" i="20"/>
  <c r="Q144" i="20"/>
  <c r="Q145" i="20"/>
  <c r="Q121" i="19" s="1"/>
  <c r="Q146" i="20"/>
  <c r="Q122" i="19" s="1"/>
  <c r="Q147" i="20"/>
  <c r="Q131" i="20"/>
  <c r="Q107" i="19" s="1"/>
  <c r="Q132" i="20"/>
  <c r="Q133" i="20"/>
  <c r="Q134" i="20"/>
  <c r="Q110" i="19" s="1"/>
  <c r="Q135" i="20"/>
  <c r="P101" i="20"/>
  <c r="P100" i="20"/>
  <c r="P104" i="20"/>
  <c r="P96" i="19" s="1"/>
  <c r="P102" i="20"/>
  <c r="P103" i="20"/>
  <c r="P95" i="19" s="1"/>
  <c r="P95" i="20"/>
  <c r="P98" i="20"/>
  <c r="P94" i="20"/>
  <c r="P97" i="20"/>
  <c r="P96" i="20"/>
  <c r="Q75" i="20"/>
  <c r="Q67" i="19" s="1"/>
  <c r="R93" i="14" s="1"/>
  <c r="Q99" i="20"/>
  <c r="Q93" i="20"/>
  <c r="Q85" i="19" s="1"/>
  <c r="R124" i="14" s="1"/>
  <c r="Q81" i="20"/>
  <c r="Q87" i="20"/>
  <c r="R104" i="12" s="1"/>
  <c r="P91" i="20"/>
  <c r="P88" i="20"/>
  <c r="Q106" i="12" s="1"/>
  <c r="P90" i="20"/>
  <c r="P82" i="19" s="1"/>
  <c r="P92" i="20"/>
  <c r="P84" i="19" s="1"/>
  <c r="P89" i="20"/>
  <c r="P81" i="19" s="1"/>
  <c r="P86" i="20"/>
  <c r="P78" i="19" s="1"/>
  <c r="P85" i="20"/>
  <c r="P84" i="20"/>
  <c r="P83" i="20"/>
  <c r="P82" i="20"/>
  <c r="P76" i="20"/>
  <c r="Q96" i="12" s="1"/>
  <c r="P80" i="20"/>
  <c r="P72" i="19" s="1"/>
  <c r="P79" i="20"/>
  <c r="Q101" i="12" s="1"/>
  <c r="Q97" i="12" s="1"/>
  <c r="P78" i="20"/>
  <c r="Q100" i="12" s="1"/>
  <c r="Q98" i="12" s="1"/>
  <c r="P77" i="20"/>
  <c r="S19" i="20"/>
  <c r="S222" i="20" s="1"/>
  <c r="R103" i="19"/>
  <c r="R100" i="19"/>
  <c r="R101" i="19"/>
  <c r="R104" i="19"/>
  <c r="S126" i="12"/>
  <c r="R99" i="19"/>
  <c r="R102" i="19"/>
  <c r="P179" i="19"/>
  <c r="P266" i="20"/>
  <c r="P318" i="20"/>
  <c r="P317" i="20"/>
  <c r="P267" i="20"/>
  <c r="P270" i="20"/>
  <c r="R169" i="19"/>
  <c r="R133" i="19"/>
  <c r="S125" i="12"/>
  <c r="R136" i="19"/>
  <c r="R132" i="19"/>
  <c r="R134" i="19"/>
  <c r="R135" i="19"/>
  <c r="Q55" i="19"/>
  <c r="Q52" i="19" s="1"/>
  <c r="Q62" i="19"/>
  <c r="Q50" i="20"/>
  <c r="Q221" i="20" s="1"/>
  <c r="R93" i="12"/>
  <c r="Q65" i="19"/>
  <c r="Q53" i="19"/>
  <c r="Q63" i="19"/>
  <c r="Q57" i="19"/>
  <c r="Q54" i="19"/>
  <c r="Q61" i="19"/>
  <c r="Q56" i="19"/>
  <c r="R124" i="12"/>
  <c r="Q60" i="19"/>
  <c r="Q58" i="19"/>
  <c r="Q64" i="19"/>
  <c r="T29" i="20"/>
  <c r="T47" i="20" s="1"/>
  <c r="T201" i="20" s="1"/>
  <c r="T162" i="19" s="1"/>
  <c r="U123" i="14" s="1"/>
  <c r="M278" i="20"/>
  <c r="M277" i="20"/>
  <c r="Q95" i="12"/>
  <c r="S170" i="19"/>
  <c r="N282" i="20"/>
  <c r="N281" i="20"/>
  <c r="P225" i="20"/>
  <c r="O258" i="20"/>
  <c r="P226" i="12"/>
  <c r="T31" i="20"/>
  <c r="T49" i="20" s="1"/>
  <c r="T214" i="20" s="1"/>
  <c r="U135" i="12" s="1"/>
  <c r="N276" i="20"/>
  <c r="N275" i="20"/>
  <c r="R157" i="19"/>
  <c r="R45" i="20"/>
  <c r="R32" i="20"/>
  <c r="CE4" i="55" s="1"/>
  <c r="DK4" i="55" s="1"/>
  <c r="O273" i="20"/>
  <c r="O274" i="20"/>
  <c r="O271" i="20"/>
  <c r="O272" i="20"/>
  <c r="S28" i="20"/>
  <c r="S46" i="20" s="1"/>
  <c r="T94" i="12" s="1"/>
  <c r="P37" i="20"/>
  <c r="P36" i="20"/>
  <c r="S30" i="20"/>
  <c r="S48" i="20" s="1"/>
  <c r="L279" i="20"/>
  <c r="L283" i="20" s="1"/>
  <c r="L280" i="20"/>
  <c r="Q256" i="20"/>
  <c r="Q34" i="20"/>
  <c r="P226" i="14"/>
  <c r="T123" i="12"/>
  <c r="S158" i="19"/>
  <c r="S160" i="19"/>
  <c r="T19" i="20"/>
  <c r="S27" i="20"/>
  <c r="AC61" i="16" l="1"/>
  <c r="AB87" i="29"/>
  <c r="N264" i="20"/>
  <c r="CA41" i="55" s="1"/>
  <c r="Z312" i="42"/>
  <c r="BG86" i="55" s="1"/>
  <c r="Z314" i="42"/>
  <c r="BG88" i="55" s="1"/>
  <c r="Z310" i="42"/>
  <c r="Z309" i="42"/>
  <c r="Z313" i="42"/>
  <c r="BG87" i="55" s="1"/>
  <c r="Z311" i="42"/>
  <c r="BG85" i="55" s="1"/>
  <c r="BA126" i="36"/>
  <c r="BA39" i="58" s="1"/>
  <c r="T346" i="42"/>
  <c r="BA127" i="36" s="1"/>
  <c r="T58" i="55"/>
  <c r="T69" i="15"/>
  <c r="T71" i="15" s="1"/>
  <c r="T33" i="58" s="1"/>
  <c r="S213" i="28"/>
  <c r="T61" i="55"/>
  <c r="N260" i="20"/>
  <c r="X321" i="42"/>
  <c r="X322" i="42" s="1"/>
  <c r="N261" i="20"/>
  <c r="CA38" i="55" s="1"/>
  <c r="N263" i="20"/>
  <c r="CA40" i="55" s="1"/>
  <c r="N262" i="20"/>
  <c r="CA39" i="55" s="1"/>
  <c r="AB246" i="38"/>
  <c r="AE49" i="29"/>
  <c r="X178" i="29"/>
  <c r="Z141" i="15"/>
  <c r="Z142" i="15" s="1"/>
  <c r="AD164" i="42"/>
  <c r="AD168" i="42" s="1"/>
  <c r="AD165" i="42"/>
  <c r="AD162" i="42"/>
  <c r="AD166" i="42" s="1"/>
  <c r="AD163" i="42"/>
  <c r="AD167" i="42" s="1"/>
  <c r="Z283" i="42"/>
  <c r="Z284" i="42" s="1"/>
  <c r="AA250" i="42"/>
  <c r="AA298" i="42"/>
  <c r="AA296" i="42"/>
  <c r="AA299" i="42"/>
  <c r="AA297" i="42"/>
  <c r="Y178" i="28"/>
  <c r="Y182" i="28"/>
  <c r="Z65" i="55" s="1"/>
  <c r="Y180" i="28"/>
  <c r="Z63" i="55" s="1"/>
  <c r="Y177" i="28"/>
  <c r="Y181" i="28"/>
  <c r="Z64" i="55" s="1"/>
  <c r="Y179" i="28"/>
  <c r="Z62" i="55" s="1"/>
  <c r="AD200" i="42"/>
  <c r="AD204" i="42" s="1"/>
  <c r="AD203" i="42"/>
  <c r="AD202" i="42"/>
  <c r="AD206" i="42" s="1"/>
  <c r="AD201" i="42"/>
  <c r="AD205" i="42" s="1"/>
  <c r="AB293" i="38"/>
  <c r="AB294" i="38" s="1"/>
  <c r="AB316" i="38"/>
  <c r="U197" i="28"/>
  <c r="U204" i="28" s="1"/>
  <c r="AB37" i="19"/>
  <c r="AB36" i="19"/>
  <c r="DT80" i="55"/>
  <c r="BH80" i="55"/>
  <c r="AD19" i="28"/>
  <c r="AD118" i="28" s="1"/>
  <c r="AD27" i="28"/>
  <c r="AA294" i="42"/>
  <c r="AC149" i="48"/>
  <c r="AC154" i="48" s="1"/>
  <c r="AC150" i="48"/>
  <c r="AC155" i="48" s="1"/>
  <c r="AC152" i="48"/>
  <c r="AC151" i="48"/>
  <c r="AC156" i="48" s="1"/>
  <c r="AC148" i="48"/>
  <c r="AC153" i="48" s="1"/>
  <c r="AD157" i="48"/>
  <c r="AD161" i="46"/>
  <c r="AD166" i="46" s="1"/>
  <c r="AD160" i="46"/>
  <c r="AD165" i="46" s="1"/>
  <c r="AD162" i="46"/>
  <c r="AE98" i="45" s="1"/>
  <c r="BK98" i="45" s="1"/>
  <c r="AD159" i="46"/>
  <c r="AD164" i="46" s="1"/>
  <c r="AD158" i="46"/>
  <c r="AD163" i="46" s="1"/>
  <c r="AC197" i="53"/>
  <c r="AC34" i="53"/>
  <c r="AC172" i="48"/>
  <c r="AC169" i="48"/>
  <c r="AC174" i="48" s="1"/>
  <c r="AC168" i="48"/>
  <c r="AC173" i="48" s="1"/>
  <c r="AC170" i="48"/>
  <c r="AC175" i="48" s="1"/>
  <c r="AC171" i="48"/>
  <c r="AC176" i="48" s="1"/>
  <c r="X304" i="42"/>
  <c r="X308" i="42" s="1"/>
  <c r="X305" i="42"/>
  <c r="Z160" i="29"/>
  <c r="Z172" i="29" s="1"/>
  <c r="Z161" i="29"/>
  <c r="AA211" i="28"/>
  <c r="AA210" i="28"/>
  <c r="AA159" i="28"/>
  <c r="AF17" i="38"/>
  <c r="AF30" i="38" s="1"/>
  <c r="AF45" i="38" s="1"/>
  <c r="AF18" i="38"/>
  <c r="AF31" i="38" s="1"/>
  <c r="AF46" i="38" s="1"/>
  <c r="AF237" i="38" s="1"/>
  <c r="AF14" i="38"/>
  <c r="AF16" i="38"/>
  <c r="AF29" i="38" s="1"/>
  <c r="AF44" i="38" s="1"/>
  <c r="AF222" i="38" s="1"/>
  <c r="AF15" i="38"/>
  <c r="AF28" i="38" s="1"/>
  <c r="AF43" i="38" s="1"/>
  <c r="AG5" i="38"/>
  <c r="Z300" i="38"/>
  <c r="Z301" i="38"/>
  <c r="AC232" i="48"/>
  <c r="AC237" i="48" s="1"/>
  <c r="AC234" i="48"/>
  <c r="AC233" i="48"/>
  <c r="AC238" i="48" s="1"/>
  <c r="AC230" i="48"/>
  <c r="AC235" i="48" s="1"/>
  <c r="AC231" i="48"/>
  <c r="AC236" i="48" s="1"/>
  <c r="AF16" i="20"/>
  <c r="AF18" i="20"/>
  <c r="AF17" i="20"/>
  <c r="AF14" i="20"/>
  <c r="AF15" i="20"/>
  <c r="AG5" i="20"/>
  <c r="X153" i="28"/>
  <c r="X156" i="28"/>
  <c r="CK63" i="55" s="1"/>
  <c r="X154" i="28"/>
  <c r="CK61" i="55" s="1"/>
  <c r="X157" i="28"/>
  <c r="CK64" i="55" s="1"/>
  <c r="X155" i="28"/>
  <c r="CK62" i="55" s="1"/>
  <c r="X158" i="28"/>
  <c r="CK65" i="55" s="1"/>
  <c r="AB99" i="42"/>
  <c r="AB103" i="42" s="1"/>
  <c r="AB98" i="42"/>
  <c r="AB102" i="42" s="1"/>
  <c r="AB100" i="42"/>
  <c r="AB97" i="42"/>
  <c r="AB101" i="42" s="1"/>
  <c r="AD61" i="15"/>
  <c r="AC88" i="29"/>
  <c r="AE19" i="19"/>
  <c r="AE27" i="19"/>
  <c r="AD157" i="42"/>
  <c r="AD154" i="42"/>
  <c r="AD158" i="42" s="1"/>
  <c r="AD156" i="42"/>
  <c r="AD160" i="42" s="1"/>
  <c r="AD155" i="42"/>
  <c r="AD159" i="42" s="1"/>
  <c r="Y287" i="42"/>
  <c r="Y289" i="42"/>
  <c r="Y286" i="42"/>
  <c r="Y288" i="42"/>
  <c r="Y285" i="42"/>
  <c r="Y290" i="42"/>
  <c r="AC32" i="28"/>
  <c r="AC45" i="28"/>
  <c r="AE209" i="46"/>
  <c r="AE219" i="46"/>
  <c r="AE229" i="46"/>
  <c r="AE55" i="15"/>
  <c r="AD85" i="29"/>
  <c r="AE55" i="16" s="1"/>
  <c r="AB216" i="28"/>
  <c r="AB57" i="29"/>
  <c r="AB63" i="29"/>
  <c r="AC56" i="16" s="1"/>
  <c r="AB55" i="29"/>
  <c r="AB52" i="29" s="1"/>
  <c r="AB60" i="29"/>
  <c r="AB59" i="29"/>
  <c r="AC44" i="16" s="1"/>
  <c r="AC62" i="15"/>
  <c r="AC65" i="15" s="1"/>
  <c r="AC139" i="15" s="1"/>
  <c r="AB54" i="29"/>
  <c r="AC56" i="15"/>
  <c r="AB56" i="29"/>
  <c r="AC44" i="15"/>
  <c r="AB62" i="29"/>
  <c r="AC62" i="16" s="1"/>
  <c r="AB53" i="29"/>
  <c r="AB61" i="29"/>
  <c r="AB50" i="28"/>
  <c r="AB117" i="28" s="1"/>
  <c r="AF15" i="42"/>
  <c r="AF28" i="42" s="1"/>
  <c r="AF43" i="42" s="1"/>
  <c r="AF16" i="42"/>
  <c r="AF29" i="42" s="1"/>
  <c r="AF44" i="42" s="1"/>
  <c r="AF222" i="42" s="1"/>
  <c r="AG5" i="42"/>
  <c r="AF14" i="42"/>
  <c r="AF18" i="42"/>
  <c r="AF31" i="42" s="1"/>
  <c r="AF46" i="42" s="1"/>
  <c r="AF237" i="42" s="1"/>
  <c r="AF17" i="42"/>
  <c r="AF30" i="42" s="1"/>
  <c r="AF45" i="42" s="1"/>
  <c r="AD167" i="48"/>
  <c r="AD171" i="46"/>
  <c r="AD176" i="46" s="1"/>
  <c r="AD169" i="46"/>
  <c r="AD174" i="46" s="1"/>
  <c r="AD170" i="46"/>
  <c r="AD175" i="46" s="1"/>
  <c r="AD168" i="46"/>
  <c r="AD173" i="46" s="1"/>
  <c r="AD172" i="46"/>
  <c r="AE77" i="45" s="1"/>
  <c r="BK77" i="45" s="1"/>
  <c r="AB59" i="15"/>
  <c r="AB135" i="15" s="1"/>
  <c r="AB66" i="15"/>
  <c r="AG5" i="48"/>
  <c r="AF14" i="48"/>
  <c r="AF16" i="48"/>
  <c r="AF29" i="48" s="1"/>
  <c r="AF44" i="48" s="1"/>
  <c r="AF17" i="48"/>
  <c r="AF30" i="48" s="1"/>
  <c r="AF45" i="48" s="1"/>
  <c r="AF15" i="48"/>
  <c r="AF28" i="48" s="1"/>
  <c r="AF43" i="48" s="1"/>
  <c r="AF18" i="48"/>
  <c r="AF31" i="48" s="1"/>
  <c r="AD83" i="29"/>
  <c r="AD82" i="29" s="1"/>
  <c r="AA68" i="15"/>
  <c r="AA77" i="15" s="1"/>
  <c r="AA133" i="15" a="1"/>
  <c r="AA134" i="15"/>
  <c r="AA140" i="15" s="1"/>
  <c r="AD19" i="53"/>
  <c r="AD27" i="53"/>
  <c r="AD32" i="53" s="1"/>
  <c r="AC161" i="48"/>
  <c r="AC166" i="48" s="1"/>
  <c r="AC162" i="48"/>
  <c r="AC158" i="48"/>
  <c r="AC163" i="48" s="1"/>
  <c r="AC160" i="48"/>
  <c r="AC165" i="48" s="1"/>
  <c r="AC159" i="48"/>
  <c r="AC164" i="48" s="1"/>
  <c r="X177" i="29"/>
  <c r="BB126" i="36"/>
  <c r="BB39" i="58" s="1"/>
  <c r="U346" i="42"/>
  <c r="BB127" i="36" s="1"/>
  <c r="AB316" i="42"/>
  <c r="AB317" i="42" s="1"/>
  <c r="AB293" i="42"/>
  <c r="AB294" i="42" s="1"/>
  <c r="Z309" i="38"/>
  <c r="Z314" i="38"/>
  <c r="AA88" i="55" s="1"/>
  <c r="Z313" i="38"/>
  <c r="AA87" i="55" s="1"/>
  <c r="Z312" i="38"/>
  <c r="AA86" i="55" s="1"/>
  <c r="Z311" i="38"/>
  <c r="AA85" i="55" s="1"/>
  <c r="Z310" i="38"/>
  <c r="AB34" i="28"/>
  <c r="AB149" i="28"/>
  <c r="AA184" i="28"/>
  <c r="AA185" i="28" s="1"/>
  <c r="AA161" i="28"/>
  <c r="S69" i="15"/>
  <c r="S71" i="15" s="1"/>
  <c r="S33" i="58" s="1"/>
  <c r="S58" i="55"/>
  <c r="R208" i="28"/>
  <c r="S61" i="55"/>
  <c r="R213" i="28"/>
  <c r="W190" i="29"/>
  <c r="BD61" i="55" s="1"/>
  <c r="AD42" i="38"/>
  <c r="AD32" i="38"/>
  <c r="AD19" i="54"/>
  <c r="AD27" i="54"/>
  <c r="AD32" i="54" s="1"/>
  <c r="AD146" i="42"/>
  <c r="AD150" i="42" s="1"/>
  <c r="AD147" i="42"/>
  <c r="AD151" i="42" s="1"/>
  <c r="AD148" i="42"/>
  <c r="AD152" i="42" s="1"/>
  <c r="AD149" i="42"/>
  <c r="AA233" i="19"/>
  <c r="AA234" i="19"/>
  <c r="AD156" i="38"/>
  <c r="AD160" i="38" s="1"/>
  <c r="AD157" i="38"/>
  <c r="AE79" i="36" s="1"/>
  <c r="BK79" i="36" s="1"/>
  <c r="AD154" i="38"/>
  <c r="AD158" i="38" s="1"/>
  <c r="AD155" i="38"/>
  <c r="AD159" i="38" s="1"/>
  <c r="AF5" i="28"/>
  <c r="AE18" i="28"/>
  <c r="AE31" i="28" s="1"/>
  <c r="AE16" i="28"/>
  <c r="AE29" i="28" s="1"/>
  <c r="AE47" i="28" s="1"/>
  <c r="AE83" i="29" s="1"/>
  <c r="AE82" i="29" s="1"/>
  <c r="AE14" i="28"/>
  <c r="AE17" i="28"/>
  <c r="AE30" i="28" s="1"/>
  <c r="AE15" i="28"/>
  <c r="AE28" i="28" s="1"/>
  <c r="AE46" i="28" s="1"/>
  <c r="AD86" i="45"/>
  <c r="AD87" i="45"/>
  <c r="AD85" i="45"/>
  <c r="BJ85" i="45"/>
  <c r="BJ87" i="45"/>
  <c r="BJ86" i="45"/>
  <c r="AE19" i="42"/>
  <c r="AE247" i="42" s="1"/>
  <c r="AE27" i="42"/>
  <c r="Y165" i="28"/>
  <c r="Y164" i="28"/>
  <c r="Y167" i="28"/>
  <c r="Y166" i="28"/>
  <c r="AC212" i="48"/>
  <c r="AC217" i="48" s="1"/>
  <c r="AC210" i="48"/>
  <c r="AC215" i="48" s="1"/>
  <c r="AC211" i="48"/>
  <c r="AC216" i="48" s="1"/>
  <c r="AC214" i="48"/>
  <c r="AC213" i="48"/>
  <c r="AC218" i="48" s="1"/>
  <c r="Z141" i="16"/>
  <c r="Z142" i="16" s="1"/>
  <c r="AA117" i="28"/>
  <c r="AE239" i="38"/>
  <c r="AE243" i="38" s="1"/>
  <c r="AE240" i="38"/>
  <c r="AE244" i="38" s="1"/>
  <c r="AE238" i="38"/>
  <c r="AE242" i="38" s="1"/>
  <c r="AD211" i="42"/>
  <c r="AD210" i="42"/>
  <c r="AD214" i="42" s="1"/>
  <c r="AD209" i="42"/>
  <c r="AD213" i="42" s="1"/>
  <c r="AD208" i="42"/>
  <c r="AD212" i="42" s="1"/>
  <c r="AB65" i="16"/>
  <c r="AB139" i="16" s="1"/>
  <c r="Y156" i="29"/>
  <c r="Y157" i="29"/>
  <c r="CL57" i="55"/>
  <c r="Y152" i="28"/>
  <c r="X328" i="42"/>
  <c r="X329" i="42" s="1"/>
  <c r="X338" i="42" s="1"/>
  <c r="Y318" i="42"/>
  <c r="Y319" i="42" s="1"/>
  <c r="Y320" i="42"/>
  <c r="Y323" i="42" s="1"/>
  <c r="W186" i="28"/>
  <c r="W187" i="28" s="1"/>
  <c r="W188" i="28"/>
  <c r="W191" i="28" s="1"/>
  <c r="AC249" i="38"/>
  <c r="AC47" i="38"/>
  <c r="AC291" i="38" s="1"/>
  <c r="AC80" i="38"/>
  <c r="AC96" i="38"/>
  <c r="AC104" i="38"/>
  <c r="AC72" i="38"/>
  <c r="AC73" i="38" s="1"/>
  <c r="V336" i="42"/>
  <c r="AA134" i="16"/>
  <c r="AA140" i="16" s="1"/>
  <c r="AA68" i="16"/>
  <c r="AA133" i="16" a="1"/>
  <c r="AA141" i="16" s="1"/>
  <c r="AA142" i="16" s="1"/>
  <c r="AA77" i="16"/>
  <c r="AG5" i="19"/>
  <c r="AF18" i="19"/>
  <c r="AF31" i="19" s="1"/>
  <c r="AF49" i="19" s="1"/>
  <c r="AF16" i="19"/>
  <c r="AF29" i="19" s="1"/>
  <c r="AF47" i="19" s="1"/>
  <c r="AF14" i="19"/>
  <c r="AF15" i="19"/>
  <c r="AF28" i="19" s="1"/>
  <c r="AF46" i="19" s="1"/>
  <c r="AF17" i="19"/>
  <c r="AF30" i="19" s="1"/>
  <c r="AF48" i="19" s="1"/>
  <c r="AD141" i="42"/>
  <c r="AD140" i="42"/>
  <c r="AD144" i="42" s="1"/>
  <c r="AD138" i="42"/>
  <c r="AD142" i="42" s="1"/>
  <c r="AD139" i="42"/>
  <c r="AD143" i="42" s="1"/>
  <c r="Z170" i="29"/>
  <c r="Z171" i="29" s="1"/>
  <c r="Z147" i="29"/>
  <c r="AD147" i="38"/>
  <c r="AD151" i="38" s="1"/>
  <c r="AD148" i="38"/>
  <c r="AD152" i="38" s="1"/>
  <c r="AD149" i="38"/>
  <c r="AE100" i="36" s="1"/>
  <c r="BK100" i="36" s="1"/>
  <c r="AD146" i="38"/>
  <c r="AD150" i="38" s="1"/>
  <c r="AC197" i="54"/>
  <c r="AC34" i="54"/>
  <c r="AE147" i="46"/>
  <c r="AE157" i="46"/>
  <c r="AE167" i="46"/>
  <c r="AE177" i="46"/>
  <c r="AB232" i="19"/>
  <c r="AB231" i="19"/>
  <c r="AB229" i="19"/>
  <c r="AB230" i="19"/>
  <c r="AE19" i="29"/>
  <c r="AE27" i="29"/>
  <c r="AE241" i="42"/>
  <c r="AE240" i="42"/>
  <c r="AE244" i="42" s="1"/>
  <c r="AE239" i="42"/>
  <c r="AE243" i="42" s="1"/>
  <c r="AE238" i="42"/>
  <c r="AE242" i="42" s="1"/>
  <c r="AE19" i="38"/>
  <c r="AE247" i="38" s="1"/>
  <c r="AE27" i="38"/>
  <c r="AE19" i="48"/>
  <c r="AE275" i="48" s="1"/>
  <c r="AE27" i="48"/>
  <c r="AE32" i="48" s="1"/>
  <c r="AD193" i="42"/>
  <c r="AD197" i="42" s="1"/>
  <c r="AD194" i="42"/>
  <c r="AD198" i="42" s="1"/>
  <c r="AD195" i="42"/>
  <c r="AD192" i="42"/>
  <c r="AD196" i="42" s="1"/>
  <c r="U69" i="15"/>
  <c r="U71" i="15" s="1"/>
  <c r="U33" i="58" s="1"/>
  <c r="U58" i="55"/>
  <c r="U61" i="55"/>
  <c r="T208" i="28"/>
  <c r="T213" i="28"/>
  <c r="DR57" i="55"/>
  <c r="BF57" i="55"/>
  <c r="Y148" i="29"/>
  <c r="AC34" i="42"/>
  <c r="AC281" i="42"/>
  <c r="AA217" i="28"/>
  <c r="Z151" i="28"/>
  <c r="AA151" i="29"/>
  <c r="AA153" i="29"/>
  <c r="AA152" i="29"/>
  <c r="AA150" i="29"/>
  <c r="AB246" i="42"/>
  <c r="Y303" i="38"/>
  <c r="Y302" i="38"/>
  <c r="AA239" i="19"/>
  <c r="AA251" i="19" s="1"/>
  <c r="AA240" i="19"/>
  <c r="AE199" i="42"/>
  <c r="AE191" i="42"/>
  <c r="AE207" i="42"/>
  <c r="AC281" i="38"/>
  <c r="AC34" i="38"/>
  <c r="AD222" i="46"/>
  <c r="AD227" i="46" s="1"/>
  <c r="AD221" i="46"/>
  <c r="AD226" i="46" s="1"/>
  <c r="AD219" i="48"/>
  <c r="AD224" i="46"/>
  <c r="AE99" i="45" s="1"/>
  <c r="BK99" i="45" s="1"/>
  <c r="AD220" i="46"/>
  <c r="AD225" i="46" s="1"/>
  <c r="AD223" i="46"/>
  <c r="AD228" i="46" s="1"/>
  <c r="X169" i="28"/>
  <c r="X168" i="28"/>
  <c r="AD162" i="38"/>
  <c r="AD166" i="38" s="1"/>
  <c r="AD163" i="38"/>
  <c r="AD167" i="38" s="1"/>
  <c r="AD164" i="38"/>
  <c r="AD168" i="38" s="1"/>
  <c r="AD165" i="38"/>
  <c r="AE109" i="36" s="1"/>
  <c r="BK109" i="36" s="1"/>
  <c r="AE19" i="46"/>
  <c r="AE275" i="46" s="1"/>
  <c r="AE27" i="46"/>
  <c r="AE32" i="46" s="1"/>
  <c r="X158" i="29"/>
  <c r="X162" i="29" s="1"/>
  <c r="X159" i="29"/>
  <c r="AE223" i="42"/>
  <c r="AE227" i="42" s="1"/>
  <c r="AE224" i="42"/>
  <c r="AE228" i="42" s="1"/>
  <c r="AE225" i="42"/>
  <c r="AE229" i="42" s="1"/>
  <c r="AE226" i="42"/>
  <c r="Y303" i="42"/>
  <c r="Y302" i="42"/>
  <c r="AD32" i="19"/>
  <c r="AD45" i="19"/>
  <c r="AD50" i="19" s="1"/>
  <c r="AD32" i="29"/>
  <c r="AD45" i="29"/>
  <c r="Z154" i="29"/>
  <c r="Z155" i="29"/>
  <c r="AB67" i="15"/>
  <c r="AB46" i="15"/>
  <c r="AE191" i="38"/>
  <c r="AE207" i="38"/>
  <c r="AE199" i="38"/>
  <c r="AF5" i="53"/>
  <c r="AE16" i="53"/>
  <c r="AE29" i="53" s="1"/>
  <c r="AE44" i="53" s="1"/>
  <c r="AE150" i="53" s="1"/>
  <c r="AE151" i="53" s="1"/>
  <c r="AF60" i="51" s="1"/>
  <c r="BL60" i="51" s="1"/>
  <c r="AE14" i="53"/>
  <c r="AE17" i="53"/>
  <c r="AE30" i="53" s="1"/>
  <c r="AE15" i="53"/>
  <c r="AE28" i="53" s="1"/>
  <c r="AE18" i="53"/>
  <c r="AE31" i="53" s="1"/>
  <c r="Y174" i="29"/>
  <c r="Y175" i="29" s="1"/>
  <c r="Y176" i="29" s="1"/>
  <c r="Z236" i="19"/>
  <c r="Z235" i="19"/>
  <c r="AC249" i="42"/>
  <c r="AC72" i="42"/>
  <c r="AC96" i="42"/>
  <c r="AC80" i="42"/>
  <c r="AC47" i="42"/>
  <c r="AC291" i="42" s="1"/>
  <c r="AC104" i="42"/>
  <c r="AD250" i="48"/>
  <c r="AD255" i="48" s="1"/>
  <c r="AD247" i="48"/>
  <c r="AD252" i="48" s="1"/>
  <c r="AD248" i="48"/>
  <c r="AD253" i="48" s="1"/>
  <c r="AD251" i="48"/>
  <c r="AD249" i="48"/>
  <c r="AD254" i="48" s="1"/>
  <c r="X141" i="29"/>
  <c r="X143" i="29"/>
  <c r="X140" i="29"/>
  <c r="X142" i="29"/>
  <c r="X144" i="29"/>
  <c r="X139" i="29"/>
  <c r="X166" i="29"/>
  <c r="BE63" i="55" s="1"/>
  <c r="X168" i="29"/>
  <c r="BE65" i="55" s="1"/>
  <c r="X163" i="29"/>
  <c r="X165" i="29"/>
  <c r="BE62" i="55" s="1"/>
  <c r="X167" i="29"/>
  <c r="BE64" i="55" s="1"/>
  <c r="X164" i="29"/>
  <c r="AB106" i="42"/>
  <c r="AB110" i="42" s="1"/>
  <c r="AB108" i="42"/>
  <c r="AB107" i="42"/>
  <c r="AB111" i="42" s="1"/>
  <c r="AB105" i="42"/>
  <c r="AB109" i="42" s="1"/>
  <c r="AD211" i="38"/>
  <c r="AD208" i="38"/>
  <c r="AD212" i="38" s="1"/>
  <c r="AD209" i="38"/>
  <c r="AD213" i="38" s="1"/>
  <c r="AD210" i="38"/>
  <c r="AD214" i="38" s="1"/>
  <c r="AA196" i="29"/>
  <c r="AA197" i="29"/>
  <c r="AD229" i="48"/>
  <c r="AD232" i="46"/>
  <c r="AD237" i="46" s="1"/>
  <c r="AD233" i="46"/>
  <c r="AD238" i="46" s="1"/>
  <c r="AD230" i="46"/>
  <c r="AD235" i="46" s="1"/>
  <c r="AD231" i="46"/>
  <c r="AD236" i="46" s="1"/>
  <c r="AD234" i="46"/>
  <c r="AE108" i="45" s="1"/>
  <c r="BK108" i="45" s="1"/>
  <c r="AA294" i="38"/>
  <c r="AB149" i="29"/>
  <c r="AB146" i="29"/>
  <c r="AD140" i="38"/>
  <c r="AD139" i="38"/>
  <c r="AD138" i="38"/>
  <c r="X304" i="38"/>
  <c r="X308" i="38" s="1"/>
  <c r="X305" i="38"/>
  <c r="AE246" i="48"/>
  <c r="AE250" i="46"/>
  <c r="AE255" i="46" s="1"/>
  <c r="AE251" i="46"/>
  <c r="AF96" i="45" s="1"/>
  <c r="AE248" i="46"/>
  <c r="AE253" i="46" s="1"/>
  <c r="AE247" i="46"/>
  <c r="AE252" i="46" s="1"/>
  <c r="AE249" i="46"/>
  <c r="AE254" i="46" s="1"/>
  <c r="AE64" i="15"/>
  <c r="AE48" i="15"/>
  <c r="AE49" i="15" s="1"/>
  <c r="AE136" i="15" s="1"/>
  <c r="AE58" i="15"/>
  <c r="AE45" i="15"/>
  <c r="AD69" i="29"/>
  <c r="AD67" i="29"/>
  <c r="AD76" i="29"/>
  <c r="AE58" i="16" s="1"/>
  <c r="AD68" i="29"/>
  <c r="AD75" i="29"/>
  <c r="AD74" i="29"/>
  <c r="AE48" i="16" s="1"/>
  <c r="AE49" i="16" s="1"/>
  <c r="AE136" i="16" s="1"/>
  <c r="AD77" i="29"/>
  <c r="AE45" i="16" s="1"/>
  <c r="AD78" i="29"/>
  <c r="AE64" i="16" s="1"/>
  <c r="AD73" i="29"/>
  <c r="AD66" i="29"/>
  <c r="AD65" i="29" s="1"/>
  <c r="AD70" i="29"/>
  <c r="AD71" i="29"/>
  <c r="AC225" i="19"/>
  <c r="AC224" i="19"/>
  <c r="AC275" i="19"/>
  <c r="AC276" i="19"/>
  <c r="AC228" i="19"/>
  <c r="AF15" i="29"/>
  <c r="AF28" i="29" s="1"/>
  <c r="AF46" i="29" s="1"/>
  <c r="AF17" i="29"/>
  <c r="AF30" i="29" s="1"/>
  <c r="AF14" i="29"/>
  <c r="AF18" i="29"/>
  <c r="AF31" i="29" s="1"/>
  <c r="AF16" i="29"/>
  <c r="AF29" i="29" s="1"/>
  <c r="AF47" i="29" s="1"/>
  <c r="AG5" i="29"/>
  <c r="AE137" i="42"/>
  <c r="AE145" i="42"/>
  <c r="AE161" i="42"/>
  <c r="AE153" i="42"/>
  <c r="U192" i="29"/>
  <c r="DN58" i="55" s="1"/>
  <c r="V172" i="28"/>
  <c r="V176" i="28" s="1"/>
  <c r="V173" i="28"/>
  <c r="AA103" i="29"/>
  <c r="AA91" i="29"/>
  <c r="AE137" i="38"/>
  <c r="AE145" i="38"/>
  <c r="AE161" i="38"/>
  <c r="AE153" i="38"/>
  <c r="AC50" i="29"/>
  <c r="AC145" i="29" s="1"/>
  <c r="AC220" i="48"/>
  <c r="AC225" i="48" s="1"/>
  <c r="AC222" i="48"/>
  <c r="AC227" i="48" s="1"/>
  <c r="AC223" i="48"/>
  <c r="AC228" i="48" s="1"/>
  <c r="AC221" i="48"/>
  <c r="AC226" i="48" s="1"/>
  <c r="AC224" i="48"/>
  <c r="W329" i="42"/>
  <c r="W336" i="42" s="1"/>
  <c r="V183" i="29"/>
  <c r="V192" i="29" s="1"/>
  <c r="W70" i="16" s="1"/>
  <c r="Z104" i="29"/>
  <c r="Y137" i="29"/>
  <c r="Y138" i="29" s="1"/>
  <c r="Z300" i="42"/>
  <c r="Z301" i="42"/>
  <c r="AD309" i="46"/>
  <c r="AD34" i="46"/>
  <c r="AB82" i="42"/>
  <c r="AB86" i="42" s="1"/>
  <c r="AB83" i="42"/>
  <c r="AB87" i="42" s="1"/>
  <c r="AB84" i="42"/>
  <c r="AB81" i="42"/>
  <c r="AB85" i="42" s="1"/>
  <c r="AD203" i="38"/>
  <c r="AE101" i="36" s="1"/>
  <c r="BK101" i="36" s="1"/>
  <c r="AD200" i="38"/>
  <c r="AD204" i="38" s="1"/>
  <c r="AD201" i="38"/>
  <c r="AD205" i="38" s="1"/>
  <c r="AD202" i="38"/>
  <c r="AD206" i="38" s="1"/>
  <c r="AF5" i="54"/>
  <c r="AE16" i="54"/>
  <c r="AE29" i="54" s="1"/>
  <c r="AE44" i="54" s="1"/>
  <c r="AE150" i="54" s="1"/>
  <c r="AE151" i="54" s="1"/>
  <c r="AE18" i="54"/>
  <c r="AE31" i="54" s="1"/>
  <c r="AE15" i="54"/>
  <c r="AE28" i="54" s="1"/>
  <c r="AE17" i="54"/>
  <c r="AE30" i="54" s="1"/>
  <c r="AE14" i="54"/>
  <c r="AD151" i="46"/>
  <c r="AD156" i="46" s="1"/>
  <c r="AD149" i="46"/>
  <c r="AD154" i="46" s="1"/>
  <c r="AD152" i="46"/>
  <c r="AE83" i="45" s="1"/>
  <c r="AD148" i="46"/>
  <c r="AD153" i="46" s="1"/>
  <c r="AD147" i="48"/>
  <c r="AD150" i="46"/>
  <c r="AD155" i="46" s="1"/>
  <c r="AD42" i="42"/>
  <c r="AD32" i="42"/>
  <c r="AB295" i="42"/>
  <c r="AB292" i="42"/>
  <c r="AD209" i="48"/>
  <c r="AD214" i="46"/>
  <c r="AE89" i="45" s="1"/>
  <c r="AD211" i="46"/>
  <c r="AD216" i="46" s="1"/>
  <c r="AD212" i="46"/>
  <c r="AD217" i="46" s="1"/>
  <c r="AD213" i="46"/>
  <c r="AD218" i="46" s="1"/>
  <c r="AD210" i="46"/>
  <c r="AD215" i="46" s="1"/>
  <c r="AB37" i="29"/>
  <c r="AB36" i="29"/>
  <c r="AB292" i="38"/>
  <c r="AB295" i="38"/>
  <c r="X174" i="28"/>
  <c r="X175" i="28"/>
  <c r="AA297" i="38"/>
  <c r="AA299" i="38"/>
  <c r="AA298" i="38"/>
  <c r="AA296" i="38"/>
  <c r="AF17" i="46"/>
  <c r="AF30" i="46" s="1"/>
  <c r="AF45" i="46" s="1"/>
  <c r="AF18" i="46"/>
  <c r="AF31" i="46" s="1"/>
  <c r="AF15" i="46"/>
  <c r="AF28" i="46" s="1"/>
  <c r="AF43" i="46" s="1"/>
  <c r="AF14" i="46"/>
  <c r="AF16" i="46"/>
  <c r="AF29" i="46" s="1"/>
  <c r="AF44" i="46" s="1"/>
  <c r="AF246" i="46" s="1"/>
  <c r="AG5" i="46"/>
  <c r="AD49" i="28"/>
  <c r="AC34" i="19"/>
  <c r="AC214" i="19"/>
  <c r="V189" i="28"/>
  <c r="V190" i="28" s="1"/>
  <c r="V192" i="28" s="1"/>
  <c r="V191" i="28"/>
  <c r="AD181" i="46"/>
  <c r="AD186" i="46" s="1"/>
  <c r="AD182" i="46"/>
  <c r="AE107" i="45" s="1"/>
  <c r="BK107" i="45" s="1"/>
  <c r="AD178" i="46"/>
  <c r="AD183" i="46" s="1"/>
  <c r="AD179" i="46"/>
  <c r="AD184" i="46" s="1"/>
  <c r="AD177" i="48"/>
  <c r="AD180" i="46"/>
  <c r="AD185" i="46" s="1"/>
  <c r="V69" i="16"/>
  <c r="AA37" i="28"/>
  <c r="AA36" i="28"/>
  <c r="AD34" i="48"/>
  <c r="AD309" i="48"/>
  <c r="Z163" i="28"/>
  <c r="Z160" i="28"/>
  <c r="Z162" i="28"/>
  <c r="AA92" i="29"/>
  <c r="AB67" i="16"/>
  <c r="AB46" i="16"/>
  <c r="AE224" i="38"/>
  <c r="AE228" i="38" s="1"/>
  <c r="AE225" i="38"/>
  <c r="AE229" i="38" s="1"/>
  <c r="AE223" i="38"/>
  <c r="AE227" i="38" s="1"/>
  <c r="AC178" i="48"/>
  <c r="AC183" i="48" s="1"/>
  <c r="AC179" i="48"/>
  <c r="AC184" i="48" s="1"/>
  <c r="AC181" i="48"/>
  <c r="AC186" i="48" s="1"/>
  <c r="AC180" i="48"/>
  <c r="AC185" i="48" s="1"/>
  <c r="AC182" i="48"/>
  <c r="AC135" i="29"/>
  <c r="AC34" i="29"/>
  <c r="Y237" i="19"/>
  <c r="Y241" i="19" s="1"/>
  <c r="Y238" i="19"/>
  <c r="Z307" i="38"/>
  <c r="Z306" i="38"/>
  <c r="Z318" i="38" s="1"/>
  <c r="AA57" i="55"/>
  <c r="Z306" i="42"/>
  <c r="Z307" i="42"/>
  <c r="Y173" i="29"/>
  <c r="W170" i="28"/>
  <c r="W171" i="28"/>
  <c r="AB73" i="42"/>
  <c r="AB77" i="42" s="1"/>
  <c r="AB76" i="42"/>
  <c r="AB75" i="42"/>
  <c r="AB79" i="42" s="1"/>
  <c r="AB74" i="42"/>
  <c r="AB78" i="42" s="1"/>
  <c r="AD192" i="38"/>
  <c r="AD196" i="38" s="1"/>
  <c r="AD194" i="38"/>
  <c r="AD198" i="38" s="1"/>
  <c r="AD193" i="38"/>
  <c r="AD197" i="38" s="1"/>
  <c r="O259" i="20"/>
  <c r="O260" i="20" s="1"/>
  <c r="CB34" i="55"/>
  <c r="O183" i="19"/>
  <c r="N216" i="19"/>
  <c r="P75" i="19"/>
  <c r="P97" i="14"/>
  <c r="Q109" i="14"/>
  <c r="Q110" i="14"/>
  <c r="Q108" i="14" s="1"/>
  <c r="Q91" i="19"/>
  <c r="R136" i="14" s="1"/>
  <c r="R136" i="12"/>
  <c r="Q109" i="12"/>
  <c r="Q73" i="19"/>
  <c r="R114" i="14" s="1"/>
  <c r="R114" i="12"/>
  <c r="Q99" i="12"/>
  <c r="Q114" i="19"/>
  <c r="R95" i="14"/>
  <c r="Q111" i="19"/>
  <c r="R106" i="19"/>
  <c r="S103" i="14" s="1"/>
  <c r="S103" i="12"/>
  <c r="Q126" i="19"/>
  <c r="R105" i="12"/>
  <c r="R228" i="12" s="1"/>
  <c r="Q123" i="19"/>
  <c r="R124" i="19"/>
  <c r="S138" i="14" s="1"/>
  <c r="S138" i="12"/>
  <c r="Q113" i="19"/>
  <c r="S174" i="19"/>
  <c r="R98" i="19"/>
  <c r="P92" i="19"/>
  <c r="P94" i="19"/>
  <c r="S176" i="19"/>
  <c r="P88" i="19"/>
  <c r="P87" i="19"/>
  <c r="S163" i="19"/>
  <c r="S166" i="19"/>
  <c r="S164" i="19"/>
  <c r="S165" i="19"/>
  <c r="P89" i="19"/>
  <c r="P86" i="19"/>
  <c r="Q180" i="19"/>
  <c r="P76" i="19"/>
  <c r="P74" i="19"/>
  <c r="P93" i="19"/>
  <c r="Q108" i="19"/>
  <c r="R118" i="19"/>
  <c r="S94" i="14" s="1"/>
  <c r="Q110" i="12"/>
  <c r="Q108" i="12" s="1"/>
  <c r="Q109" i="19"/>
  <c r="P83" i="19"/>
  <c r="Q111" i="14" s="1"/>
  <c r="Q107" i="14" s="1"/>
  <c r="Q111" i="12"/>
  <c r="Q107" i="12" s="1"/>
  <c r="Q120" i="19"/>
  <c r="P90" i="19"/>
  <c r="Q119" i="19"/>
  <c r="Q129" i="19"/>
  <c r="P80" i="19"/>
  <c r="Q106" i="14" s="1"/>
  <c r="Q79" i="19"/>
  <c r="R104" i="14" s="1"/>
  <c r="R105" i="14" s="1"/>
  <c r="R228" i="14" s="1"/>
  <c r="P77" i="19"/>
  <c r="P69" i="19"/>
  <c r="Q99" i="14" s="1"/>
  <c r="P68" i="19"/>
  <c r="Q96" i="14" s="1"/>
  <c r="P70" i="19"/>
  <c r="Q100" i="14" s="1"/>
  <c r="Q98" i="14" s="1"/>
  <c r="P71" i="19"/>
  <c r="Q101" i="14" s="1"/>
  <c r="N293" i="20"/>
  <c r="T172" i="19"/>
  <c r="U135" i="14" s="1"/>
  <c r="R131" i="19"/>
  <c r="T215" i="20"/>
  <c r="T173" i="19" s="1"/>
  <c r="T217" i="20"/>
  <c r="T175" i="19" s="1"/>
  <c r="T219" i="20"/>
  <c r="T177" i="19" s="1"/>
  <c r="T216" i="20"/>
  <c r="T218" i="20"/>
  <c r="T203" i="20"/>
  <c r="T205" i="20"/>
  <c r="T202" i="20"/>
  <c r="T204" i="20"/>
  <c r="T206" i="20"/>
  <c r="T167" i="19" s="1"/>
  <c r="R131" i="20"/>
  <c r="R107" i="19" s="1"/>
  <c r="R132" i="20"/>
  <c r="R133" i="20"/>
  <c r="R134" i="20"/>
  <c r="R110" i="19" s="1"/>
  <c r="R135" i="20"/>
  <c r="R151" i="20"/>
  <c r="R127" i="19" s="1"/>
  <c r="R150" i="20"/>
  <c r="R149" i="20"/>
  <c r="R125" i="19" s="1"/>
  <c r="R153" i="20"/>
  <c r="R152" i="20"/>
  <c r="R128" i="19" s="1"/>
  <c r="S148" i="20"/>
  <c r="S136" i="20"/>
  <c r="S112" i="19" s="1"/>
  <c r="T126" i="14" s="1"/>
  <c r="S142" i="20"/>
  <c r="S130" i="20"/>
  <c r="R137" i="20"/>
  <c r="R140" i="20"/>
  <c r="R116" i="19" s="1"/>
  <c r="R141" i="20"/>
  <c r="R117" i="19" s="1"/>
  <c r="R138" i="20"/>
  <c r="R139" i="20"/>
  <c r="R115" i="19" s="1"/>
  <c r="R144" i="20"/>
  <c r="R145" i="20"/>
  <c r="R121" i="19" s="1"/>
  <c r="R146" i="20"/>
  <c r="R122" i="19" s="1"/>
  <c r="R143" i="20"/>
  <c r="R147" i="20"/>
  <c r="Q96" i="20"/>
  <c r="Q94" i="20"/>
  <c r="Q97" i="20"/>
  <c r="Q98" i="20"/>
  <c r="Q95" i="20"/>
  <c r="Q83" i="20"/>
  <c r="Q82" i="20"/>
  <c r="Q84" i="20"/>
  <c r="Q85" i="20"/>
  <c r="Q86" i="20"/>
  <c r="Q78" i="19" s="1"/>
  <c r="Q102" i="20"/>
  <c r="Q101" i="20"/>
  <c r="Q104" i="20"/>
  <c r="Q96" i="19" s="1"/>
  <c r="Q103" i="20"/>
  <c r="Q95" i="19" s="1"/>
  <c r="Q100" i="20"/>
  <c r="R75" i="20"/>
  <c r="R67" i="19" s="1"/>
  <c r="S93" i="14" s="1"/>
  <c r="R99" i="20"/>
  <c r="R87" i="20"/>
  <c r="S104" i="12" s="1"/>
  <c r="R93" i="20"/>
  <c r="R85" i="19" s="1"/>
  <c r="S124" i="14" s="1"/>
  <c r="R81" i="20"/>
  <c r="Q89" i="20"/>
  <c r="Q81" i="19" s="1"/>
  <c r="Q92" i="20"/>
  <c r="Q84" i="19" s="1"/>
  <c r="Q88" i="20"/>
  <c r="R106" i="12" s="1"/>
  <c r="Q91" i="20"/>
  <c r="Q90" i="20"/>
  <c r="Q82" i="19" s="1"/>
  <c r="Q77" i="20"/>
  <c r="Q76" i="20"/>
  <c r="R96" i="12" s="1"/>
  <c r="Q79" i="20"/>
  <c r="R101" i="12" s="1"/>
  <c r="R97" i="12" s="1"/>
  <c r="Q78" i="20"/>
  <c r="R100" i="12" s="1"/>
  <c r="R98" i="12" s="1"/>
  <c r="Q80" i="20"/>
  <c r="Q72" i="19" s="1"/>
  <c r="T27" i="20"/>
  <c r="T222" i="20"/>
  <c r="R256" i="20"/>
  <c r="R34" i="20"/>
  <c r="T170" i="19"/>
  <c r="Q179" i="19"/>
  <c r="P273" i="20"/>
  <c r="P274" i="20"/>
  <c r="P272" i="20"/>
  <c r="P271" i="20"/>
  <c r="S157" i="19"/>
  <c r="S45" i="20"/>
  <c r="S32" i="20"/>
  <c r="CF4" i="55" s="1"/>
  <c r="DL4" i="55" s="1"/>
  <c r="R53" i="19"/>
  <c r="S124" i="12"/>
  <c r="R56" i="19"/>
  <c r="R54" i="19"/>
  <c r="R61" i="19"/>
  <c r="R58" i="19"/>
  <c r="R65" i="19"/>
  <c r="R57" i="19"/>
  <c r="R55" i="19"/>
  <c r="R52" i="19" s="1"/>
  <c r="R62" i="19"/>
  <c r="S93" i="12"/>
  <c r="R60" i="19"/>
  <c r="R50" i="20"/>
  <c r="R221" i="20" s="1"/>
  <c r="R63" i="19"/>
  <c r="R64" i="19"/>
  <c r="S169" i="19"/>
  <c r="U29" i="20"/>
  <c r="U47" i="20" s="1"/>
  <c r="U201" i="20" s="1"/>
  <c r="U162" i="19" s="1"/>
  <c r="V123" i="14" s="1"/>
  <c r="R95" i="12"/>
  <c r="T28" i="20"/>
  <c r="T46" i="20" s="1"/>
  <c r="U94" i="12" s="1"/>
  <c r="O281" i="20"/>
  <c r="O282" i="20"/>
  <c r="N278" i="20"/>
  <c r="N277" i="20"/>
  <c r="P258" i="20"/>
  <c r="Q225" i="20"/>
  <c r="Q226" i="12"/>
  <c r="U123" i="12"/>
  <c r="T160" i="19"/>
  <c r="T158" i="19"/>
  <c r="T30" i="20"/>
  <c r="T48" i="20" s="1"/>
  <c r="Q37" i="20"/>
  <c r="Q36" i="20"/>
  <c r="S133" i="19"/>
  <c r="S132" i="19"/>
  <c r="T125" i="12"/>
  <c r="S136" i="19"/>
  <c r="S135" i="19"/>
  <c r="S134" i="19"/>
  <c r="S100" i="19"/>
  <c r="S103" i="19"/>
  <c r="S99" i="19"/>
  <c r="S102" i="19"/>
  <c r="S104" i="19"/>
  <c r="S101" i="19"/>
  <c r="T126" i="12"/>
  <c r="O276" i="20"/>
  <c r="O275" i="20"/>
  <c r="U31" i="20"/>
  <c r="U49" i="20" s="1"/>
  <c r="U214" i="20" s="1"/>
  <c r="V135" i="12" s="1"/>
  <c r="M279" i="20"/>
  <c r="M283" i="20" s="1"/>
  <c r="M280" i="20"/>
  <c r="Q266" i="20"/>
  <c r="Q267" i="20"/>
  <c r="Q270" i="20"/>
  <c r="Q317" i="20"/>
  <c r="Q318" i="20"/>
  <c r="Q226" i="14"/>
  <c r="AB92" i="29" l="1"/>
  <c r="AC65" i="16"/>
  <c r="AC139" i="16" s="1"/>
  <c r="O265" i="20"/>
  <c r="CB42" i="55" s="1"/>
  <c r="O262" i="20"/>
  <c r="CB39" i="55" s="1"/>
  <c r="O263" i="20"/>
  <c r="CB40" i="55" s="1"/>
  <c r="X324" i="42"/>
  <c r="T72" i="15"/>
  <c r="T34" i="58" s="1"/>
  <c r="S214" i="28"/>
  <c r="T73" i="15" s="1"/>
  <c r="AC80" i="55"/>
  <c r="AC246" i="42"/>
  <c r="AA141" i="15"/>
  <c r="AA142" i="15" s="1"/>
  <c r="O264" i="20"/>
  <c r="CB41" i="55" s="1"/>
  <c r="W338" i="42"/>
  <c r="BD81" i="55" s="1"/>
  <c r="Y177" i="29"/>
  <c r="O261" i="20"/>
  <c r="CB38" i="55" s="1"/>
  <c r="BB61" i="55"/>
  <c r="Y178" i="29"/>
  <c r="AB57" i="55"/>
  <c r="U199" i="29"/>
  <c r="Y321" i="42"/>
  <c r="Y322" i="42" s="1"/>
  <c r="V190" i="29"/>
  <c r="DO58" i="55" s="1"/>
  <c r="V69" i="15"/>
  <c r="W172" i="28"/>
  <c r="W176" i="28" s="1"/>
  <c r="W173" i="28"/>
  <c r="Z167" i="28"/>
  <c r="Z164" i="28"/>
  <c r="Z166" i="28"/>
  <c r="Z165" i="28"/>
  <c r="AB196" i="29"/>
  <c r="AB197" i="29"/>
  <c r="AB311" i="42"/>
  <c r="BI85" i="55" s="1"/>
  <c r="AB313" i="42"/>
  <c r="BI87" i="55" s="1"/>
  <c r="AB314" i="42"/>
  <c r="BI88" i="55" s="1"/>
  <c r="AB310" i="42"/>
  <c r="AB312" i="42"/>
  <c r="BI86" i="55" s="1"/>
  <c r="AB309" i="42"/>
  <c r="AF14" i="54"/>
  <c r="AG5" i="54"/>
  <c r="AF17" i="54"/>
  <c r="AF30" i="54" s="1"/>
  <c r="AF16" i="54"/>
  <c r="AF29" i="54" s="1"/>
  <c r="AF44" i="54" s="1"/>
  <c r="AF150" i="54" s="1"/>
  <c r="AF151" i="54" s="1"/>
  <c r="AF18" i="54"/>
  <c r="AF31" i="54" s="1"/>
  <c r="AF15" i="54"/>
  <c r="AF28" i="54" s="1"/>
  <c r="W69" i="16"/>
  <c r="W71" i="16" s="1"/>
  <c r="BC33" i="58" s="1"/>
  <c r="BC61" i="55"/>
  <c r="V199" i="29"/>
  <c r="AA170" i="29"/>
  <c r="AA171" i="29" s="1"/>
  <c r="AA147" i="29"/>
  <c r="AE141" i="42"/>
  <c r="AE139" i="42"/>
  <c r="AE143" i="42" s="1"/>
  <c r="AE138" i="42"/>
  <c r="AE142" i="42" s="1"/>
  <c r="AE140" i="42"/>
  <c r="AE144" i="42" s="1"/>
  <c r="AD233" i="48"/>
  <c r="AD238" i="48" s="1"/>
  <c r="AD234" i="48"/>
  <c r="AD231" i="48"/>
  <c r="AD236" i="48" s="1"/>
  <c r="AD230" i="48"/>
  <c r="AD235" i="48" s="1"/>
  <c r="AD232" i="48"/>
  <c r="AD237" i="48" s="1"/>
  <c r="AC97" i="42"/>
  <c r="AC101" i="42" s="1"/>
  <c r="AC100" i="42"/>
  <c r="AC98" i="42"/>
  <c r="AC102" i="42" s="1"/>
  <c r="AC99" i="42"/>
  <c r="AC103" i="42" s="1"/>
  <c r="AB133" i="15" a="1"/>
  <c r="AB134" i="15"/>
  <c r="AB140" i="15" s="1"/>
  <c r="AB68" i="15"/>
  <c r="AB77" i="15" s="1"/>
  <c r="Y305" i="38"/>
  <c r="Y304" i="38"/>
  <c r="Y308" i="38" s="1"/>
  <c r="AA151" i="28"/>
  <c r="AB217" i="28"/>
  <c r="AE177" i="48"/>
  <c r="AE178" i="46"/>
  <c r="AE183" i="46" s="1"/>
  <c r="AE182" i="46"/>
  <c r="AF107" i="45" s="1"/>
  <c r="BL107" i="45" s="1"/>
  <c r="AE180" i="46"/>
  <c r="AE185" i="46" s="1"/>
  <c r="AE179" i="46"/>
  <c r="AE184" i="46" s="1"/>
  <c r="AE181" i="46"/>
  <c r="AE186" i="46" s="1"/>
  <c r="AF14" i="28"/>
  <c r="AF15" i="28"/>
  <c r="AF28" i="28" s="1"/>
  <c r="AF46" i="28" s="1"/>
  <c r="AF18" i="28"/>
  <c r="AF31" i="28" s="1"/>
  <c r="AF17" i="28"/>
  <c r="AF30" i="28" s="1"/>
  <c r="AG5" i="28"/>
  <c r="AF16" i="28"/>
  <c r="AF29" i="28" s="1"/>
  <c r="AF47" i="28" s="1"/>
  <c r="R214" i="28"/>
  <c r="S73" i="15" s="1"/>
  <c r="S72" i="15"/>
  <c r="S34" i="58" s="1"/>
  <c r="AB37" i="28"/>
  <c r="AB36" i="28"/>
  <c r="AF19" i="42"/>
  <c r="AF247" i="42" s="1"/>
  <c r="AF27" i="42"/>
  <c r="AE211" i="46"/>
  <c r="AE216" i="46" s="1"/>
  <c r="AE210" i="46"/>
  <c r="AE215" i="46" s="1"/>
  <c r="AE214" i="46"/>
  <c r="AF89" i="45" s="1"/>
  <c r="AE209" i="48"/>
  <c r="AE212" i="46"/>
  <c r="AE217" i="46" s="1"/>
  <c r="AE213" i="46"/>
  <c r="AE218" i="46" s="1"/>
  <c r="AG16" i="20"/>
  <c r="AG14" i="20"/>
  <c r="AG17" i="20"/>
  <c r="AG18" i="20"/>
  <c r="AI5" i="20"/>
  <c r="AG15" i="20"/>
  <c r="AF137" i="38"/>
  <c r="AF145" i="38"/>
  <c r="AF161" i="38"/>
  <c r="AF153" i="38"/>
  <c r="AD162" i="48"/>
  <c r="AD158" i="48"/>
  <c r="AD163" i="48" s="1"/>
  <c r="AD161" i="48"/>
  <c r="AD166" i="48" s="1"/>
  <c r="AD160" i="48"/>
  <c r="AD165" i="48" s="1"/>
  <c r="AD159" i="48"/>
  <c r="AD164" i="48" s="1"/>
  <c r="AA301" i="42"/>
  <c r="AA300" i="42"/>
  <c r="AC37" i="29"/>
  <c r="AC36" i="29"/>
  <c r="AF219" i="46"/>
  <c r="AF229" i="46"/>
  <c r="AF209" i="46"/>
  <c r="AG15" i="29"/>
  <c r="AG28" i="29" s="1"/>
  <c r="AG46" i="29" s="1"/>
  <c r="AG18" i="29"/>
  <c r="AG31" i="29" s="1"/>
  <c r="AG16" i="29"/>
  <c r="AG29" i="29" s="1"/>
  <c r="AG47" i="29" s="1"/>
  <c r="AG17" i="29"/>
  <c r="AG30" i="29" s="1"/>
  <c r="AG14" i="29"/>
  <c r="AE249" i="48"/>
  <c r="AE254" i="48" s="1"/>
  <c r="AE247" i="48"/>
  <c r="AE252" i="48" s="1"/>
  <c r="AE251" i="48"/>
  <c r="AE248" i="48"/>
  <c r="AE253" i="48" s="1"/>
  <c r="AE250" i="48"/>
  <c r="AE255" i="48" s="1"/>
  <c r="AB151" i="29"/>
  <c r="AB150" i="29"/>
  <c r="AB152" i="29"/>
  <c r="AB153" i="29"/>
  <c r="AC76" i="42"/>
  <c r="AC74" i="42"/>
  <c r="AC78" i="42" s="1"/>
  <c r="AC75" i="42"/>
  <c r="AC79" i="42" s="1"/>
  <c r="AC73" i="42"/>
  <c r="AC77" i="42" s="1"/>
  <c r="Y305" i="42"/>
  <c r="Y304" i="42"/>
  <c r="Y308" i="42" s="1"/>
  <c r="AE171" i="46"/>
  <c r="AE176" i="46" s="1"/>
  <c r="AE169" i="46"/>
  <c r="AE174" i="46" s="1"/>
  <c r="AE170" i="46"/>
  <c r="AE175" i="46" s="1"/>
  <c r="AE168" i="46"/>
  <c r="AE173" i="46" s="1"/>
  <c r="AE167" i="48"/>
  <c r="AE172" i="46"/>
  <c r="AF77" i="45" s="1"/>
  <c r="BL77" i="45" s="1"/>
  <c r="AC295" i="38"/>
  <c r="AC292" i="38"/>
  <c r="X336" i="42"/>
  <c r="AD34" i="53"/>
  <c r="AD197" i="53"/>
  <c r="AG18" i="42"/>
  <c r="AG31" i="42" s="1"/>
  <c r="AG46" i="42" s="1"/>
  <c r="AG237" i="42" s="1"/>
  <c r="AG17" i="42"/>
  <c r="AG30" i="42" s="1"/>
  <c r="AG45" i="42" s="1"/>
  <c r="AG14" i="42"/>
  <c r="AG15" i="42"/>
  <c r="AG28" i="42" s="1"/>
  <c r="AG43" i="42" s="1"/>
  <c r="AG16" i="42"/>
  <c r="AG29" i="42" s="1"/>
  <c r="AG44" i="42" s="1"/>
  <c r="AG222" i="42" s="1"/>
  <c r="AC46" i="15"/>
  <c r="AC67" i="15"/>
  <c r="AC66" i="16"/>
  <c r="AC59" i="16"/>
  <c r="AC135" i="16" s="1"/>
  <c r="AC216" i="28"/>
  <c r="AC61" i="29"/>
  <c r="AC56" i="29"/>
  <c r="AD56" i="15"/>
  <c r="AC60" i="29"/>
  <c r="AC59" i="29"/>
  <c r="AD44" i="16" s="1"/>
  <c r="AD62" i="15"/>
  <c r="AC53" i="29"/>
  <c r="AC54" i="29"/>
  <c r="AD44" i="15"/>
  <c r="AC57" i="29"/>
  <c r="AC63" i="29"/>
  <c r="AD56" i="16" s="1"/>
  <c r="AD59" i="16" s="1"/>
  <c r="AD135" i="16" s="1"/>
  <c r="AC62" i="29"/>
  <c r="AD62" i="16" s="1"/>
  <c r="AC50" i="28"/>
  <c r="AC117" i="28" s="1"/>
  <c r="AC55" i="29"/>
  <c r="AC52" i="29" s="1"/>
  <c r="AE32" i="19"/>
  <c r="AE45" i="19"/>
  <c r="AE50" i="19" s="1"/>
  <c r="AF225" i="38"/>
  <c r="AF229" i="38" s="1"/>
  <c r="AF223" i="38"/>
  <c r="AF227" i="38" s="1"/>
  <c r="AF224" i="38"/>
  <c r="AF228" i="38" s="1"/>
  <c r="Z173" i="29"/>
  <c r="AB250" i="42"/>
  <c r="AA283" i="42"/>
  <c r="AA284" i="42" s="1"/>
  <c r="AD180" i="48"/>
  <c r="AD185" i="48" s="1"/>
  <c r="AD179" i="48"/>
  <c r="AD184" i="48" s="1"/>
  <c r="AD182" i="48"/>
  <c r="AD181" i="48"/>
  <c r="AD186" i="48" s="1"/>
  <c r="AD178" i="48"/>
  <c r="AD183" i="48" s="1"/>
  <c r="AC36" i="19"/>
  <c r="AC37" i="19"/>
  <c r="X186" i="28"/>
  <c r="X187" i="28" s="1"/>
  <c r="X188" i="28"/>
  <c r="X191" i="28" s="1"/>
  <c r="AB298" i="42"/>
  <c r="AB297" i="42"/>
  <c r="AB299" i="42"/>
  <c r="AB296" i="42"/>
  <c r="AC149" i="29"/>
  <c r="AC146" i="29"/>
  <c r="AA314" i="38"/>
  <c r="AB88" i="55" s="1"/>
  <c r="AA309" i="38"/>
  <c r="AA312" i="38"/>
  <c r="AB86" i="55" s="1"/>
  <c r="AA310" i="38"/>
  <c r="AA313" i="38"/>
  <c r="AB87" i="55" s="1"/>
  <c r="AA311" i="38"/>
  <c r="AB85" i="55" s="1"/>
  <c r="AC293" i="42"/>
  <c r="AC294" i="42" s="1"/>
  <c r="AC316" i="42"/>
  <c r="AC317" i="42" s="1"/>
  <c r="AE19" i="53"/>
  <c r="AE27" i="53"/>
  <c r="AE32" i="53" s="1"/>
  <c r="Z157" i="29"/>
  <c r="Z156" i="29"/>
  <c r="X170" i="28"/>
  <c r="X171" i="28"/>
  <c r="AE42" i="38"/>
  <c r="AE32" i="38"/>
  <c r="AE32" i="29"/>
  <c r="AE45" i="29"/>
  <c r="AE158" i="46"/>
  <c r="AE163" i="46" s="1"/>
  <c r="AE162" i="46"/>
  <c r="AF98" i="45" s="1"/>
  <c r="BL98" i="45" s="1"/>
  <c r="AE157" i="48"/>
  <c r="AE160" i="46"/>
  <c r="AE165" i="46" s="1"/>
  <c r="AE159" i="46"/>
  <c r="AE164" i="46" s="1"/>
  <c r="AE161" i="46"/>
  <c r="AE166" i="46" s="1"/>
  <c r="AC316" i="38"/>
  <c r="AC293" i="38"/>
  <c r="AD80" i="55" s="1"/>
  <c r="Y156" i="28"/>
  <c r="CL63" i="55" s="1"/>
  <c r="Y155" i="28"/>
  <c r="CL62" i="55" s="1"/>
  <c r="Y153" i="28"/>
  <c r="Y154" i="28"/>
  <c r="CL61" i="55" s="1"/>
  <c r="Y157" i="28"/>
  <c r="CL64" i="55" s="1"/>
  <c r="Y158" i="28"/>
  <c r="CL65" i="55" s="1"/>
  <c r="AE42" i="42"/>
  <c r="AE32" i="42"/>
  <c r="AF224" i="42"/>
  <c r="AF228" i="42" s="1"/>
  <c r="AF226" i="42"/>
  <c r="AF225" i="42"/>
  <c r="AF229" i="42" s="1"/>
  <c r="AF223" i="42"/>
  <c r="AF227" i="42" s="1"/>
  <c r="AC34" i="28"/>
  <c r="AC149" i="28"/>
  <c r="AF19" i="38"/>
  <c r="AF247" i="38" s="1"/>
  <c r="AF27" i="38"/>
  <c r="Z290" i="42"/>
  <c r="Z289" i="42"/>
  <c r="Z287" i="42"/>
  <c r="Z288" i="42"/>
  <c r="Z285" i="42"/>
  <c r="Z286" i="42"/>
  <c r="Z318" i="42"/>
  <c r="Z319" i="42" s="1"/>
  <c r="Z320" i="42"/>
  <c r="Z323" i="42" s="1"/>
  <c r="AB68" i="16"/>
  <c r="AB134" i="16"/>
  <c r="AB140" i="16" s="1"/>
  <c r="AB133" i="16" a="1"/>
  <c r="AB141" i="16" s="1"/>
  <c r="AB142" i="16" s="1"/>
  <c r="AB77" i="16"/>
  <c r="AE61" i="15"/>
  <c r="AD88" i="29"/>
  <c r="AD281" i="42"/>
  <c r="AD34" i="42"/>
  <c r="AE19" i="54"/>
  <c r="AE27" i="54"/>
  <c r="AE32" i="54" s="1"/>
  <c r="AE156" i="38"/>
  <c r="AE160" i="38" s="1"/>
  <c r="AE154" i="38"/>
  <c r="AE158" i="38" s="1"/>
  <c r="AE157" i="38"/>
  <c r="AF79" i="36" s="1"/>
  <c r="BL79" i="36" s="1"/>
  <c r="AE155" i="38"/>
  <c r="AE159" i="38" s="1"/>
  <c r="AF49" i="29"/>
  <c r="Z237" i="19"/>
  <c r="Z241" i="19" s="1"/>
  <c r="Z238" i="19"/>
  <c r="AE309" i="46"/>
  <c r="AE34" i="46"/>
  <c r="AE208" i="42"/>
  <c r="AE212" i="42" s="1"/>
  <c r="AE209" i="42"/>
  <c r="AE213" i="42" s="1"/>
  <c r="AE211" i="42"/>
  <c r="AE210" i="42"/>
  <c r="AE214" i="42" s="1"/>
  <c r="Y164" i="29"/>
  <c r="Y167" i="29"/>
  <c r="BF64" i="55" s="1"/>
  <c r="Y168" i="29"/>
  <c r="BF65" i="55" s="1"/>
  <c r="Y165" i="29"/>
  <c r="BF62" i="55" s="1"/>
  <c r="Y163" i="29"/>
  <c r="Y166" i="29"/>
  <c r="BF63" i="55" s="1"/>
  <c r="AE147" i="48"/>
  <c r="AE149" i="46"/>
  <c r="AE154" i="46" s="1"/>
  <c r="AE150" i="46"/>
  <c r="AE155" i="46" s="1"/>
  <c r="AE152" i="46"/>
  <c r="AF83" i="45" s="1"/>
  <c r="AE151" i="46"/>
  <c r="AE156" i="46" s="1"/>
  <c r="AE148" i="46"/>
  <c r="AE153" i="46" s="1"/>
  <c r="DS57" i="55"/>
  <c r="BG57" i="55"/>
  <c r="Z148" i="29"/>
  <c r="AF27" i="19"/>
  <c r="AF19" i="19"/>
  <c r="DO81" i="55"/>
  <c r="BC81" i="55"/>
  <c r="V340" i="42"/>
  <c r="BC84" i="55"/>
  <c r="V345" i="42"/>
  <c r="W196" i="28"/>
  <c r="AF58" i="15"/>
  <c r="AF45" i="15"/>
  <c r="AF64" i="15"/>
  <c r="AF48" i="15"/>
  <c r="AF49" i="15" s="1"/>
  <c r="AF136" i="15" s="1"/>
  <c r="AE73" i="29"/>
  <c r="AE71" i="29"/>
  <c r="AE74" i="29"/>
  <c r="AF48" i="16" s="1"/>
  <c r="AF49" i="16" s="1"/>
  <c r="AF136" i="16" s="1"/>
  <c r="AE69" i="29"/>
  <c r="AE78" i="29"/>
  <c r="AF64" i="16" s="1"/>
  <c r="AE67" i="29"/>
  <c r="AE76" i="29"/>
  <c r="AF58" i="16" s="1"/>
  <c r="AE77" i="29"/>
  <c r="AF45" i="16" s="1"/>
  <c r="AE75" i="29"/>
  <c r="AE66" i="29"/>
  <c r="AE65" i="29" s="1"/>
  <c r="AE68" i="29"/>
  <c r="AD34" i="54"/>
  <c r="AD197" i="54"/>
  <c r="X182" i="29"/>
  <c r="AF137" i="42"/>
  <c r="AF161" i="42"/>
  <c r="AF145" i="42"/>
  <c r="AF153" i="42"/>
  <c r="AC66" i="15"/>
  <c r="AC59" i="15"/>
  <c r="AC135" i="15" s="1"/>
  <c r="AB184" i="28"/>
  <c r="AB185" i="28" s="1"/>
  <c r="AB161" i="28"/>
  <c r="AD61" i="16"/>
  <c r="AC87" i="29"/>
  <c r="AF239" i="38"/>
  <c r="AF243" i="38" s="1"/>
  <c r="AF240" i="38"/>
  <c r="AF244" i="38" s="1"/>
  <c r="AF238" i="38"/>
  <c r="AF242" i="38" s="1"/>
  <c r="AG18" i="46"/>
  <c r="AG31" i="46" s="1"/>
  <c r="AG15" i="46"/>
  <c r="AG28" i="46" s="1"/>
  <c r="AG43" i="46" s="1"/>
  <c r="AG16" i="46"/>
  <c r="AG29" i="46" s="1"/>
  <c r="AG44" i="46" s="1"/>
  <c r="AG246" i="46" s="1"/>
  <c r="AG14" i="46"/>
  <c r="AG17" i="46"/>
  <c r="AG30" i="46" s="1"/>
  <c r="AG45" i="46" s="1"/>
  <c r="AB297" i="38"/>
  <c r="AB298" i="38"/>
  <c r="AB299" i="38"/>
  <c r="AB296" i="38"/>
  <c r="AD249" i="42"/>
  <c r="AD80" i="42"/>
  <c r="AD104" i="42"/>
  <c r="AD72" i="42"/>
  <c r="AD96" i="42"/>
  <c r="AD47" i="42"/>
  <c r="AD291" i="42" s="1"/>
  <c r="Z303" i="42"/>
  <c r="Z302" i="42"/>
  <c r="AE162" i="38"/>
  <c r="AE166" i="38" s="1"/>
  <c r="AE165" i="38"/>
  <c r="AF109" i="36" s="1"/>
  <c r="BL109" i="36" s="1"/>
  <c r="AE163" i="38"/>
  <c r="AE167" i="38" s="1"/>
  <c r="AE164" i="38"/>
  <c r="AE168" i="38" s="1"/>
  <c r="BB58" i="55"/>
  <c r="V70" i="16"/>
  <c r="V71" i="16" s="1"/>
  <c r="BB33" i="58" s="1"/>
  <c r="AF19" i="29"/>
  <c r="AF27" i="29"/>
  <c r="AF18" i="53"/>
  <c r="AF31" i="53" s="1"/>
  <c r="AF14" i="53"/>
  <c r="AF15" i="53"/>
  <c r="AF28" i="53" s="1"/>
  <c r="AG5" i="53"/>
  <c r="AF17" i="53"/>
  <c r="AF30" i="53" s="1"/>
  <c r="AF16" i="53"/>
  <c r="AF29" i="53" s="1"/>
  <c r="AF44" i="53" s="1"/>
  <c r="AF150" i="53" s="1"/>
  <c r="AF151" i="53" s="1"/>
  <c r="AG60" i="51" s="1"/>
  <c r="BM60" i="51" s="1"/>
  <c r="AD50" i="29"/>
  <c r="AD145" i="29" s="1"/>
  <c r="AE193" i="42"/>
  <c r="AE197" i="42" s="1"/>
  <c r="AE194" i="42"/>
  <c r="AE198" i="42" s="1"/>
  <c r="AE192" i="42"/>
  <c r="AE196" i="42" s="1"/>
  <c r="AE195" i="42"/>
  <c r="AA154" i="29"/>
  <c r="AA155" i="29"/>
  <c r="Z174" i="29"/>
  <c r="Z175" i="29" s="1"/>
  <c r="Z176" i="29" s="1"/>
  <c r="AC246" i="38"/>
  <c r="AF19" i="48"/>
  <c r="AF275" i="48" s="1"/>
  <c r="AF27" i="48"/>
  <c r="AF32" i="48" s="1"/>
  <c r="AF207" i="38"/>
  <c r="AF191" i="38"/>
  <c r="AF199" i="38"/>
  <c r="AF248" i="46"/>
  <c r="AF253" i="46" s="1"/>
  <c r="AF251" i="46"/>
  <c r="AG96" i="45" s="1"/>
  <c r="AF250" i="46"/>
  <c r="AF255" i="46" s="1"/>
  <c r="AF246" i="48"/>
  <c r="AF247" i="46"/>
  <c r="AF252" i="46" s="1"/>
  <c r="AF249" i="46"/>
  <c r="AF254" i="46" s="1"/>
  <c r="AE146" i="38"/>
  <c r="AE150" i="38" s="1"/>
  <c r="AE147" i="38"/>
  <c r="AE151" i="38" s="1"/>
  <c r="AE149" i="38"/>
  <c r="AF100" i="36" s="1"/>
  <c r="BL100" i="36" s="1"/>
  <c r="AE148" i="38"/>
  <c r="AE152" i="38" s="1"/>
  <c r="AE156" i="42"/>
  <c r="AE160" i="42" s="1"/>
  <c r="AE155" i="42"/>
  <c r="AE159" i="42" s="1"/>
  <c r="AE154" i="42"/>
  <c r="AE158" i="42" s="1"/>
  <c r="AE157" i="42"/>
  <c r="AC105" i="42"/>
  <c r="AC109" i="42" s="1"/>
  <c r="AC107" i="42"/>
  <c r="AC111" i="42" s="1"/>
  <c r="AC106" i="42"/>
  <c r="AC110" i="42" s="1"/>
  <c r="AC108" i="42"/>
  <c r="AE200" i="38"/>
  <c r="AE204" i="38" s="1"/>
  <c r="AE201" i="38"/>
  <c r="AE205" i="38" s="1"/>
  <c r="AE203" i="38"/>
  <c r="AF101" i="36" s="1"/>
  <c r="BL101" i="36" s="1"/>
  <c r="AE202" i="38"/>
  <c r="AE206" i="38" s="1"/>
  <c r="AD135" i="29"/>
  <c r="AD34" i="29"/>
  <c r="AE200" i="42"/>
  <c r="AE204" i="42" s="1"/>
  <c r="AE201" i="42"/>
  <c r="AE205" i="42" s="1"/>
  <c r="AE203" i="42"/>
  <c r="AE202" i="42"/>
  <c r="AE206" i="42" s="1"/>
  <c r="AA161" i="29"/>
  <c r="AA160" i="29"/>
  <c r="AA172" i="29" s="1"/>
  <c r="Y328" i="42"/>
  <c r="Y159" i="29"/>
  <c r="Y158" i="29"/>
  <c r="Y162" i="29" s="1"/>
  <c r="AE19" i="28"/>
  <c r="AE118" i="28" s="1"/>
  <c r="AE27" i="28"/>
  <c r="AA236" i="19"/>
  <c r="AA235" i="19"/>
  <c r="AD281" i="38"/>
  <c r="AD34" i="38"/>
  <c r="AG16" i="48"/>
  <c r="AG29" i="48" s="1"/>
  <c r="AG44" i="48" s="1"/>
  <c r="AG15" i="48"/>
  <c r="AG28" i="48" s="1"/>
  <c r="AG43" i="48" s="1"/>
  <c r="AG17" i="48"/>
  <c r="AG30" i="48" s="1"/>
  <c r="AG45" i="48" s="1"/>
  <c r="AG18" i="48"/>
  <c r="AG31" i="48" s="1"/>
  <c r="AG14" i="48"/>
  <c r="AD172" i="48"/>
  <c r="AD168" i="48"/>
  <c r="AD173" i="48" s="1"/>
  <c r="AD170" i="48"/>
  <c r="AD175" i="48" s="1"/>
  <c r="AD169" i="48"/>
  <c r="AD174" i="48" s="1"/>
  <c r="AD171" i="48"/>
  <c r="AD176" i="48" s="1"/>
  <c r="AB210" i="28"/>
  <c r="AB159" i="28"/>
  <c r="AB211" i="28"/>
  <c r="Z302" i="38"/>
  <c r="Z303" i="38"/>
  <c r="AA163" i="28"/>
  <c r="AA162" i="28"/>
  <c r="AA160" i="28"/>
  <c r="Z177" i="28"/>
  <c r="Z178" i="28"/>
  <c r="Z180" i="28"/>
  <c r="AA63" i="55" s="1"/>
  <c r="Z179" i="28"/>
  <c r="AA62" i="55" s="1"/>
  <c r="Z182" i="28"/>
  <c r="AA65" i="55" s="1"/>
  <c r="Z181" i="28"/>
  <c r="AA64" i="55" s="1"/>
  <c r="AF19" i="46"/>
  <c r="AF275" i="46" s="1"/>
  <c r="AF27" i="46"/>
  <c r="AF32" i="46" s="1"/>
  <c r="AA301" i="38"/>
  <c r="AA300" i="38"/>
  <c r="AB312" i="38"/>
  <c r="AC86" i="55" s="1"/>
  <c r="AB310" i="38"/>
  <c r="AB314" i="38"/>
  <c r="AC88" i="55" s="1"/>
  <c r="AB313" i="38"/>
  <c r="AC87" i="55" s="1"/>
  <c r="AB311" i="38"/>
  <c r="AC85" i="55" s="1"/>
  <c r="AB309" i="38"/>
  <c r="AD150" i="48"/>
  <c r="AD155" i="48" s="1"/>
  <c r="AD149" i="48"/>
  <c r="AD154" i="48" s="1"/>
  <c r="AD151" i="48"/>
  <c r="AD156" i="48" s="1"/>
  <c r="AD152" i="48"/>
  <c r="AD148" i="48"/>
  <c r="AD153" i="48" s="1"/>
  <c r="Y142" i="29"/>
  <c r="Y144" i="29"/>
  <c r="Y139" i="29"/>
  <c r="Y141" i="29"/>
  <c r="Y143" i="29"/>
  <c r="Y140" i="29"/>
  <c r="AE139" i="38"/>
  <c r="AE140" i="38"/>
  <c r="AE138" i="38"/>
  <c r="AE162" i="42"/>
  <c r="AE166" i="42" s="1"/>
  <c r="AE165" i="42"/>
  <c r="AE163" i="42"/>
  <c r="AE167" i="42" s="1"/>
  <c r="AE164" i="42"/>
  <c r="AE168" i="42" s="1"/>
  <c r="AC295" i="42"/>
  <c r="AC292" i="42"/>
  <c r="AE208" i="38"/>
  <c r="AE212" i="38" s="1"/>
  <c r="AE209" i="38"/>
  <c r="AE213" i="38" s="1"/>
  <c r="AE211" i="38"/>
  <c r="AE210" i="38"/>
  <c r="AE214" i="38" s="1"/>
  <c r="AD275" i="19"/>
  <c r="AD276" i="19"/>
  <c r="AD224" i="19"/>
  <c r="AD228" i="19"/>
  <c r="AD225" i="19"/>
  <c r="AD221" i="48"/>
  <c r="AD226" i="48" s="1"/>
  <c r="AD223" i="48"/>
  <c r="AD228" i="48" s="1"/>
  <c r="AD222" i="48"/>
  <c r="AD227" i="48" s="1"/>
  <c r="AD224" i="48"/>
  <c r="AD220" i="48"/>
  <c r="AD225" i="48" s="1"/>
  <c r="U72" i="15"/>
  <c r="U34" i="58" s="1"/>
  <c r="T214" i="28"/>
  <c r="U73" i="15" s="1"/>
  <c r="AB233" i="19"/>
  <c r="AB234" i="19"/>
  <c r="AI5" i="19"/>
  <c r="AG18" i="19"/>
  <c r="AG31" i="19" s="1"/>
  <c r="AG49" i="19" s="1"/>
  <c r="AG17" i="19"/>
  <c r="AG30" i="19" s="1"/>
  <c r="AG48" i="19" s="1"/>
  <c r="AG16" i="19"/>
  <c r="AG29" i="19" s="1"/>
  <c r="AG47" i="19" s="1"/>
  <c r="AG14" i="19"/>
  <c r="AG15" i="19"/>
  <c r="AG28" i="19" s="1"/>
  <c r="AG46" i="19" s="1"/>
  <c r="Y168" i="28"/>
  <c r="Y169" i="28"/>
  <c r="AE85" i="29"/>
  <c r="AF55" i="16" s="1"/>
  <c r="AF55" i="15"/>
  <c r="AD249" i="38"/>
  <c r="AD47" i="38"/>
  <c r="AD291" i="38" s="1"/>
  <c r="AD72" i="38"/>
  <c r="AD73" i="38" s="1"/>
  <c r="AD80" i="38"/>
  <c r="AD96" i="38"/>
  <c r="AD104" i="38"/>
  <c r="AF207" i="42"/>
  <c r="AF199" i="42"/>
  <c r="AF191" i="42"/>
  <c r="AB103" i="29"/>
  <c r="AB91" i="29"/>
  <c r="AC46" i="16"/>
  <c r="AC67" i="16"/>
  <c r="AE234" i="46"/>
  <c r="AF108" i="45" s="1"/>
  <c r="BL108" i="45" s="1"/>
  <c r="AE229" i="48"/>
  <c r="AE232" i="46"/>
  <c r="AE237" i="46" s="1"/>
  <c r="AE230" i="46"/>
  <c r="AE235" i="46" s="1"/>
  <c r="AE231" i="46"/>
  <c r="AE236" i="46" s="1"/>
  <c r="AE233" i="46"/>
  <c r="AE238" i="46" s="1"/>
  <c r="AA311" i="42"/>
  <c r="BH85" i="55" s="1"/>
  <c r="AA314" i="42"/>
  <c r="BH88" i="55" s="1"/>
  <c r="AA310" i="42"/>
  <c r="AA313" i="42"/>
  <c r="BH87" i="55" s="1"/>
  <c r="AA309" i="42"/>
  <c r="AA312" i="42"/>
  <c r="BH86" i="55" s="1"/>
  <c r="U206" i="28"/>
  <c r="V70" i="15" s="1"/>
  <c r="AA306" i="42"/>
  <c r="AA307" i="42"/>
  <c r="V196" i="28"/>
  <c r="AF147" i="46"/>
  <c r="AF157" i="46"/>
  <c r="AF167" i="46"/>
  <c r="AF177" i="46"/>
  <c r="AA306" i="38"/>
  <c r="AA318" i="38" s="1"/>
  <c r="AA307" i="38"/>
  <c r="AD211" i="48"/>
  <c r="AD216" i="48" s="1"/>
  <c r="AD212" i="48"/>
  <c r="AD217" i="48" s="1"/>
  <c r="AD213" i="48"/>
  <c r="AD218" i="48" s="1"/>
  <c r="AD214" i="48"/>
  <c r="AD210" i="48"/>
  <c r="AD215" i="48" s="1"/>
  <c r="AE86" i="45"/>
  <c r="BK86" i="45"/>
  <c r="AE87" i="45"/>
  <c r="BK85" i="45"/>
  <c r="BK87" i="45"/>
  <c r="AE85" i="45"/>
  <c r="AA104" i="29"/>
  <c r="Z137" i="29"/>
  <c r="Z138" i="29" s="1"/>
  <c r="AE149" i="42"/>
  <c r="AE148" i="42"/>
  <c r="AE152" i="42" s="1"/>
  <c r="AE146" i="42"/>
  <c r="AE150" i="42" s="1"/>
  <c r="AE147" i="42"/>
  <c r="AE151" i="42" s="1"/>
  <c r="AC229" i="19"/>
  <c r="AC232" i="19"/>
  <c r="AC230" i="19"/>
  <c r="AC231" i="19"/>
  <c r="AC83" i="42"/>
  <c r="AC87" i="42" s="1"/>
  <c r="AC82" i="42"/>
  <c r="AC86" i="42" s="1"/>
  <c r="AC81" i="42"/>
  <c r="AC85" i="42" s="1"/>
  <c r="AC84" i="42"/>
  <c r="AE193" i="38"/>
  <c r="AE197" i="38" s="1"/>
  <c r="AE194" i="38"/>
  <c r="AE198" i="38" s="1"/>
  <c r="AE192" i="38"/>
  <c r="AE196" i="38" s="1"/>
  <c r="AD214" i="19"/>
  <c r="AD34" i="19"/>
  <c r="CM57" i="55"/>
  <c r="Z152" i="28"/>
  <c r="AE34" i="48"/>
  <c r="AE309" i="48"/>
  <c r="AB239" i="19"/>
  <c r="AB251" i="19" s="1"/>
  <c r="AB240" i="19"/>
  <c r="Y174" i="28"/>
  <c r="Y175" i="28"/>
  <c r="AE49" i="28"/>
  <c r="DP58" i="55"/>
  <c r="X69" i="16"/>
  <c r="X71" i="16" s="1"/>
  <c r="BD33" i="58" s="1"/>
  <c r="BD58" i="55"/>
  <c r="W199" i="29"/>
  <c r="DU80" i="55"/>
  <c r="BI80" i="55"/>
  <c r="AF238" i="42"/>
  <c r="AF242" i="42" s="1"/>
  <c r="AF241" i="42"/>
  <c r="AF240" i="42"/>
  <c r="AF244" i="42" s="1"/>
  <c r="AF239" i="42"/>
  <c r="AF243" i="42" s="1"/>
  <c r="AE223" i="46"/>
  <c r="AE228" i="46" s="1"/>
  <c r="AE221" i="46"/>
  <c r="AE226" i="46" s="1"/>
  <c r="AE222" i="46"/>
  <c r="AE227" i="46" s="1"/>
  <c r="AE219" i="48"/>
  <c r="AE224" i="46"/>
  <c r="AF99" i="45" s="1"/>
  <c r="BL99" i="45" s="1"/>
  <c r="AE220" i="46"/>
  <c r="AE225" i="46" s="1"/>
  <c r="AE70" i="29"/>
  <c r="W189" i="28"/>
  <c r="W190" i="28" s="1"/>
  <c r="W192" i="28" s="1"/>
  <c r="AG16" i="38"/>
  <c r="AG29" i="38" s="1"/>
  <c r="AG44" i="38" s="1"/>
  <c r="AG222" i="38" s="1"/>
  <c r="AG14" i="38"/>
  <c r="AG17" i="38"/>
  <c r="AG30" i="38" s="1"/>
  <c r="AG45" i="38" s="1"/>
  <c r="AG18" i="38"/>
  <c r="AG31" i="38" s="1"/>
  <c r="AG46" i="38" s="1"/>
  <c r="AG237" i="38" s="1"/>
  <c r="AG15" i="38"/>
  <c r="AG28" i="38" s="1"/>
  <c r="AG43" i="38" s="1"/>
  <c r="AD32" i="28"/>
  <c r="AD45" i="28"/>
  <c r="P259" i="20"/>
  <c r="CC34" i="55"/>
  <c r="P183" i="19"/>
  <c r="O216" i="19"/>
  <c r="R110" i="14"/>
  <c r="R108" i="14" s="1"/>
  <c r="Q97" i="14"/>
  <c r="R99" i="12"/>
  <c r="Q75" i="19"/>
  <c r="R109" i="14"/>
  <c r="R91" i="19"/>
  <c r="S136" i="14" s="1"/>
  <c r="S136" i="12"/>
  <c r="R109" i="12"/>
  <c r="R73" i="19"/>
  <c r="S114" i="14" s="1"/>
  <c r="S114" i="12"/>
  <c r="S105" i="12"/>
  <c r="S228" i="12" s="1"/>
  <c r="R111" i="19"/>
  <c r="R113" i="19"/>
  <c r="S124" i="19"/>
  <c r="T138" i="14" s="1"/>
  <c r="T138" i="12"/>
  <c r="R126" i="19"/>
  <c r="S95" i="14"/>
  <c r="R123" i="19"/>
  <c r="R114" i="19"/>
  <c r="S106" i="19"/>
  <c r="T103" i="14" s="1"/>
  <c r="T103" i="12"/>
  <c r="T174" i="19"/>
  <c r="S98" i="19"/>
  <c r="Q94" i="19"/>
  <c r="T176" i="19"/>
  <c r="Q92" i="19"/>
  <c r="Q88" i="19"/>
  <c r="Q87" i="19"/>
  <c r="T165" i="19"/>
  <c r="T163" i="19"/>
  <c r="T166" i="19"/>
  <c r="T164" i="19"/>
  <c r="Q86" i="19"/>
  <c r="Q89" i="19"/>
  <c r="Q76" i="19"/>
  <c r="Q74" i="19"/>
  <c r="Q83" i="19"/>
  <c r="R111" i="14" s="1"/>
  <c r="R107" i="14" s="1"/>
  <c r="R111" i="12"/>
  <c r="R107" i="12" s="1"/>
  <c r="Q93" i="19"/>
  <c r="Q90" i="19"/>
  <c r="R120" i="19"/>
  <c r="R110" i="12"/>
  <c r="R108" i="12" s="1"/>
  <c r="R119" i="19"/>
  <c r="R109" i="19"/>
  <c r="S118" i="19"/>
  <c r="T94" i="14" s="1"/>
  <c r="R108" i="19"/>
  <c r="Q77" i="19"/>
  <c r="R129" i="19"/>
  <c r="Q80" i="19"/>
  <c r="R106" i="14" s="1"/>
  <c r="R79" i="19"/>
  <c r="S104" i="14" s="1"/>
  <c r="Q69" i="19"/>
  <c r="R99" i="14" s="1"/>
  <c r="Q70" i="19"/>
  <c r="R100" i="14" s="1"/>
  <c r="R98" i="14" s="1"/>
  <c r="Q71" i="19"/>
  <c r="R101" i="14" s="1"/>
  <c r="Q68" i="19"/>
  <c r="R96" i="14" s="1"/>
  <c r="O293" i="20"/>
  <c r="U172" i="19"/>
  <c r="V135" i="14" s="1"/>
  <c r="R180" i="19"/>
  <c r="S131" i="19"/>
  <c r="U216" i="20"/>
  <c r="U218" i="20"/>
  <c r="U215" i="20"/>
  <c r="U173" i="19" s="1"/>
  <c r="U217" i="20"/>
  <c r="U175" i="19" s="1"/>
  <c r="U219" i="20"/>
  <c r="U177" i="19" s="1"/>
  <c r="U203" i="20"/>
  <c r="U205" i="20"/>
  <c r="U202" i="20"/>
  <c r="U206" i="20"/>
  <c r="U167" i="19" s="1"/>
  <c r="U204" i="20"/>
  <c r="S137" i="20"/>
  <c r="S140" i="20"/>
  <c r="S116" i="19" s="1"/>
  <c r="S138" i="20"/>
  <c r="S139" i="20"/>
  <c r="S115" i="19" s="1"/>
  <c r="S141" i="20"/>
  <c r="S117" i="19" s="1"/>
  <c r="S149" i="20"/>
  <c r="S125" i="19" s="1"/>
  <c r="S152" i="20"/>
  <c r="S128" i="19" s="1"/>
  <c r="S150" i="20"/>
  <c r="S153" i="20"/>
  <c r="S151" i="20"/>
  <c r="S127" i="19" s="1"/>
  <c r="S131" i="20"/>
  <c r="S107" i="19" s="1"/>
  <c r="S135" i="20"/>
  <c r="S134" i="20"/>
  <c r="S110" i="19" s="1"/>
  <c r="S132" i="20"/>
  <c r="S133" i="20"/>
  <c r="T148" i="20"/>
  <c r="T130" i="20"/>
  <c r="T136" i="20"/>
  <c r="T112" i="19" s="1"/>
  <c r="U126" i="14" s="1"/>
  <c r="T142" i="20"/>
  <c r="S144" i="20"/>
  <c r="S147" i="20"/>
  <c r="S146" i="20"/>
  <c r="S122" i="19" s="1"/>
  <c r="S143" i="20"/>
  <c r="S145" i="20"/>
  <c r="S121" i="19" s="1"/>
  <c r="R84" i="20"/>
  <c r="R83" i="20"/>
  <c r="R82" i="20"/>
  <c r="R85" i="20"/>
  <c r="R86" i="20"/>
  <c r="R78" i="19" s="1"/>
  <c r="R94" i="20"/>
  <c r="R95" i="20"/>
  <c r="R96" i="20"/>
  <c r="R97" i="20"/>
  <c r="R98" i="20"/>
  <c r="S75" i="20"/>
  <c r="S67" i="19" s="1"/>
  <c r="T93" i="14" s="1"/>
  <c r="S93" i="20"/>
  <c r="S85" i="19" s="1"/>
  <c r="T124" i="14" s="1"/>
  <c r="S99" i="20"/>
  <c r="S81" i="20"/>
  <c r="S87" i="20"/>
  <c r="T104" i="12" s="1"/>
  <c r="R78" i="20"/>
  <c r="S100" i="12" s="1"/>
  <c r="S98" i="12" s="1"/>
  <c r="R79" i="20"/>
  <c r="S101" i="12" s="1"/>
  <c r="S97" i="12" s="1"/>
  <c r="R80" i="20"/>
  <c r="R72" i="19" s="1"/>
  <c r="R76" i="20"/>
  <c r="S96" i="12" s="1"/>
  <c r="R77" i="20"/>
  <c r="R90" i="20"/>
  <c r="R82" i="19" s="1"/>
  <c r="R89" i="20"/>
  <c r="R81" i="19" s="1"/>
  <c r="R91" i="20"/>
  <c r="R92" i="20"/>
  <c r="R84" i="19" s="1"/>
  <c r="R88" i="20"/>
  <c r="S106" i="12" s="1"/>
  <c r="R103" i="20"/>
  <c r="R95" i="19" s="1"/>
  <c r="R100" i="20"/>
  <c r="R101" i="20"/>
  <c r="R104" i="20"/>
  <c r="R96" i="19" s="1"/>
  <c r="R102" i="20"/>
  <c r="U19" i="20"/>
  <c r="U222" i="20" s="1"/>
  <c r="O278" i="20"/>
  <c r="O277" i="20"/>
  <c r="N279" i="20"/>
  <c r="N283" i="20" s="1"/>
  <c r="N280" i="20"/>
  <c r="T103" i="19"/>
  <c r="T100" i="19"/>
  <c r="T99" i="19"/>
  <c r="T101" i="19"/>
  <c r="U126" i="12"/>
  <c r="T104" i="19"/>
  <c r="T102" i="19"/>
  <c r="S95" i="12"/>
  <c r="T45" i="20"/>
  <c r="T32" i="20"/>
  <c r="CG4" i="55" s="1"/>
  <c r="DM4" i="55" s="1"/>
  <c r="Q273" i="20"/>
  <c r="Q274" i="20"/>
  <c r="Q272" i="20"/>
  <c r="Q271" i="20"/>
  <c r="U170" i="19"/>
  <c r="T133" i="19"/>
  <c r="U125" i="12"/>
  <c r="T135" i="19"/>
  <c r="T136" i="19"/>
  <c r="T132" i="19"/>
  <c r="T134" i="19"/>
  <c r="U28" i="20"/>
  <c r="U46" i="20" s="1"/>
  <c r="V94" i="12" s="1"/>
  <c r="R226" i="12"/>
  <c r="V123" i="12"/>
  <c r="U158" i="19"/>
  <c r="U160" i="19"/>
  <c r="R179" i="19"/>
  <c r="V31" i="20"/>
  <c r="V49" i="20" s="1"/>
  <c r="V214" i="20" s="1"/>
  <c r="W135" i="12" s="1"/>
  <c r="U30" i="20"/>
  <c r="U48" i="20" s="1"/>
  <c r="T157" i="19"/>
  <c r="R225" i="20"/>
  <c r="Q258" i="20"/>
  <c r="V29" i="20"/>
  <c r="V47" i="20" s="1"/>
  <c r="V201" i="20" s="1"/>
  <c r="V162" i="19" s="1"/>
  <c r="W123" i="14" s="1"/>
  <c r="R317" i="20"/>
  <c r="R270" i="20"/>
  <c r="R318" i="20"/>
  <c r="R266" i="20"/>
  <c r="R267" i="20"/>
  <c r="S256" i="20"/>
  <c r="S34" i="20"/>
  <c r="P281" i="20"/>
  <c r="P282" i="20"/>
  <c r="R226" i="14"/>
  <c r="S60" i="19"/>
  <c r="T93" i="12"/>
  <c r="S62" i="19"/>
  <c r="S50" i="20"/>
  <c r="S221" i="20" s="1"/>
  <c r="S61" i="19"/>
  <c r="S53" i="19"/>
  <c r="T124" i="12"/>
  <c r="S58" i="19"/>
  <c r="S64" i="19"/>
  <c r="S56" i="19"/>
  <c r="S54" i="19"/>
  <c r="S65" i="19"/>
  <c r="S55" i="19"/>
  <c r="S52" i="19" s="1"/>
  <c r="S63" i="19"/>
  <c r="S57" i="19"/>
  <c r="P276" i="20"/>
  <c r="P275" i="20"/>
  <c r="T169" i="19"/>
  <c r="R37" i="20"/>
  <c r="R36" i="20"/>
  <c r="U27" i="20"/>
  <c r="V19" i="20"/>
  <c r="P261" i="20" l="1"/>
  <c r="CC38" i="55" s="1"/>
  <c r="P263" i="20"/>
  <c r="CC40" i="55" s="1"/>
  <c r="P264" i="20"/>
  <c r="CC41" i="55" s="1"/>
  <c r="P262" i="20"/>
  <c r="CC39" i="55" s="1"/>
  <c r="P265" i="20"/>
  <c r="CC42" i="55" s="1"/>
  <c r="P260" i="20"/>
  <c r="DP81" i="55"/>
  <c r="W340" i="42"/>
  <c r="BD84" i="55"/>
  <c r="W345" i="42"/>
  <c r="Z321" i="42"/>
  <c r="Z322" i="42" s="1"/>
  <c r="Y324" i="42"/>
  <c r="V72" i="16"/>
  <c r="BB34" i="58" s="1"/>
  <c r="U200" i="29"/>
  <c r="V73" i="16" s="1"/>
  <c r="Z178" i="29"/>
  <c r="AD65" i="15"/>
  <c r="AD139" i="15" s="1"/>
  <c r="Y182" i="29"/>
  <c r="Y183" i="29" s="1"/>
  <c r="Y192" i="29" s="1"/>
  <c r="Z70" i="16" s="1"/>
  <c r="BC58" i="55"/>
  <c r="AB141" i="15"/>
  <c r="AB142" i="15" s="1"/>
  <c r="AA173" i="29"/>
  <c r="AD65" i="16"/>
  <c r="AD139" i="16" s="1"/>
  <c r="AD246" i="38"/>
  <c r="AF49" i="28"/>
  <c r="AD66" i="16"/>
  <c r="AD34" i="28"/>
  <c r="AD149" i="28"/>
  <c r="Z157" i="28"/>
  <c r="CM64" i="55" s="1"/>
  <c r="Z154" i="28"/>
  <c r="CM61" i="55" s="1"/>
  <c r="Z156" i="28"/>
  <c r="CM63" i="55" s="1"/>
  <c r="Z158" i="28"/>
  <c r="CM65" i="55" s="1"/>
  <c r="Z153" i="28"/>
  <c r="Z155" i="28"/>
  <c r="CM62" i="55" s="1"/>
  <c r="AC133" i="16" a="1"/>
  <c r="AC77" i="16"/>
  <c r="AC134" i="16"/>
  <c r="AC140" i="16" s="1"/>
  <c r="AC68" i="16"/>
  <c r="Y171" i="28"/>
  <c r="Y170" i="28"/>
  <c r="AB236" i="19"/>
  <c r="AB235" i="19"/>
  <c r="AB163" i="28"/>
  <c r="AB160" i="28"/>
  <c r="AB162" i="28"/>
  <c r="AE32" i="28"/>
  <c r="AE45" i="28"/>
  <c r="AF19" i="53"/>
  <c r="AF27" i="53"/>
  <c r="AF32" i="53" s="1"/>
  <c r="AD108" i="42"/>
  <c r="AD106" i="42"/>
  <c r="AD110" i="42" s="1"/>
  <c r="AD105" i="42"/>
  <c r="AD109" i="42" s="1"/>
  <c r="AD107" i="42"/>
  <c r="AD111" i="42" s="1"/>
  <c r="AG19" i="46"/>
  <c r="AG275" i="46" s="1"/>
  <c r="AG27" i="46"/>
  <c r="AG32" i="46" s="1"/>
  <c r="AF139" i="42"/>
  <c r="AF143" i="42" s="1"/>
  <c r="AF141" i="42"/>
  <c r="AF140" i="42"/>
  <c r="AF144" i="42" s="1"/>
  <c r="AF138" i="42"/>
  <c r="AF142" i="42" s="1"/>
  <c r="AE197" i="54"/>
  <c r="AE34" i="54"/>
  <c r="Z158" i="29"/>
  <c r="Z162" i="29" s="1"/>
  <c r="Z159" i="29"/>
  <c r="AB307" i="42"/>
  <c r="AB306" i="42"/>
  <c r="AC134" i="15"/>
  <c r="AC140" i="15" s="1"/>
  <c r="AC133" i="15" a="1"/>
  <c r="AC68" i="15"/>
  <c r="AC77" i="15" s="1"/>
  <c r="DQ81" i="55"/>
  <c r="BE81" i="55"/>
  <c r="X340" i="42"/>
  <c r="BE84" i="55"/>
  <c r="X345" i="42"/>
  <c r="AF209" i="48"/>
  <c r="AF212" i="46"/>
  <c r="AF217" i="46" s="1"/>
  <c r="AF211" i="46"/>
  <c r="AF216" i="46" s="1"/>
  <c r="AF213" i="46"/>
  <c r="AF218" i="46" s="1"/>
  <c r="AF214" i="46"/>
  <c r="AG89" i="45" s="1"/>
  <c r="AF210" i="46"/>
  <c r="AF215" i="46" s="1"/>
  <c r="AE210" i="48"/>
  <c r="AE215" i="48" s="1"/>
  <c r="AE213" i="48"/>
  <c r="AE218" i="48" s="1"/>
  <c r="AE212" i="48"/>
  <c r="AE217" i="48" s="1"/>
  <c r="AE211" i="48"/>
  <c r="AE216" i="48" s="1"/>
  <c r="AE214" i="48"/>
  <c r="AF66" i="29"/>
  <c r="AF65" i="29" s="1"/>
  <c r="AF71" i="29"/>
  <c r="AF70" i="29"/>
  <c r="AF77" i="29"/>
  <c r="AG45" i="16" s="1"/>
  <c r="AG58" i="15"/>
  <c r="AF78" i="29"/>
  <c r="AG64" i="16" s="1"/>
  <c r="AG64" i="15"/>
  <c r="AF75" i="29"/>
  <c r="AG48" i="15"/>
  <c r="AG49" i="15" s="1"/>
  <c r="AG136" i="15" s="1"/>
  <c r="AF74" i="29"/>
  <c r="AG48" i="16" s="1"/>
  <c r="AG49" i="16" s="1"/>
  <c r="AG136" i="16" s="1"/>
  <c r="AG45" i="15"/>
  <c r="AF68" i="29"/>
  <c r="AF73" i="29"/>
  <c r="AF76" i="29"/>
  <c r="AG58" i="16" s="1"/>
  <c r="AF69" i="29"/>
  <c r="AF67" i="29"/>
  <c r="AC217" i="28"/>
  <c r="AB151" i="28"/>
  <c r="W72" i="16"/>
  <c r="BC34" i="58" s="1"/>
  <c r="V200" i="29"/>
  <c r="W73" i="16" s="1"/>
  <c r="AG145" i="38"/>
  <c r="AG161" i="38"/>
  <c r="AG153" i="38"/>
  <c r="AG137" i="38"/>
  <c r="AF61" i="15"/>
  <c r="AE88" i="29"/>
  <c r="AA318" i="42"/>
  <c r="AA319" i="42" s="1"/>
  <c r="AA320" i="42"/>
  <c r="AA323" i="42" s="1"/>
  <c r="AD82" i="42"/>
  <c r="AD86" i="42" s="1"/>
  <c r="AD83" i="42"/>
  <c r="AD87" i="42" s="1"/>
  <c r="AD81" i="42"/>
  <c r="AD85" i="42" s="1"/>
  <c r="AD84" i="42"/>
  <c r="AG249" i="46"/>
  <c r="AG254" i="46" s="1"/>
  <c r="AG246" i="48"/>
  <c r="AG247" i="46"/>
  <c r="AG252" i="46" s="1"/>
  <c r="AG250" i="46"/>
  <c r="AG255" i="46" s="1"/>
  <c r="AG251" i="46"/>
  <c r="AH96" i="45" s="1"/>
  <c r="AG248" i="46"/>
  <c r="AG253" i="46" s="1"/>
  <c r="AC57" i="55"/>
  <c r="AF87" i="45"/>
  <c r="BL85" i="45"/>
  <c r="AF86" i="45"/>
  <c r="BL87" i="45"/>
  <c r="AF85" i="45"/>
  <c r="BL86" i="45"/>
  <c r="AD59" i="15"/>
  <c r="AD135" i="15" s="1"/>
  <c r="AD66" i="15"/>
  <c r="AG225" i="42"/>
  <c r="AG229" i="42" s="1"/>
  <c r="AG223" i="42"/>
  <c r="AG227" i="42" s="1"/>
  <c r="AG224" i="42"/>
  <c r="AG228" i="42" s="1"/>
  <c r="AG226" i="42"/>
  <c r="AB161" i="29"/>
  <c r="AB160" i="29"/>
  <c r="AB172" i="29" s="1"/>
  <c r="AF232" i="46"/>
  <c r="AF237" i="46" s="1"/>
  <c r="AF230" i="46"/>
  <c r="AF235" i="46" s="1"/>
  <c r="AF233" i="46"/>
  <c r="AF238" i="46" s="1"/>
  <c r="AF231" i="46"/>
  <c r="AF236" i="46" s="1"/>
  <c r="AF229" i="48"/>
  <c r="AF234" i="46"/>
  <c r="AG108" i="45" s="1"/>
  <c r="BM108" i="45" s="1"/>
  <c r="AF19" i="28"/>
  <c r="AF118" i="28" s="1"/>
  <c r="AF27" i="28"/>
  <c r="CN57" i="55"/>
  <c r="AA152" i="28"/>
  <c r="AG16" i="54"/>
  <c r="AG29" i="54" s="1"/>
  <c r="AG44" i="54" s="1"/>
  <c r="AG150" i="54" s="1"/>
  <c r="AG151" i="54" s="1"/>
  <c r="AG15" i="54"/>
  <c r="AG28" i="54" s="1"/>
  <c r="AG14" i="54"/>
  <c r="AG18" i="54"/>
  <c r="AG31" i="54" s="1"/>
  <c r="AG17" i="54"/>
  <c r="AG30" i="54" s="1"/>
  <c r="AG238" i="38"/>
  <c r="AG242" i="38" s="1"/>
  <c r="AG239" i="38"/>
  <c r="AG243" i="38" s="1"/>
  <c r="AG240" i="38"/>
  <c r="AG244" i="38" s="1"/>
  <c r="AE221" i="48"/>
  <c r="AE226" i="48" s="1"/>
  <c r="AE222" i="48"/>
  <c r="AE227" i="48" s="1"/>
  <c r="AE224" i="48"/>
  <c r="AE223" i="48"/>
  <c r="AE228" i="48" s="1"/>
  <c r="AE220" i="48"/>
  <c r="AE225" i="48" s="1"/>
  <c r="AD36" i="19"/>
  <c r="AD37" i="19"/>
  <c r="AF179" i="46"/>
  <c r="AF184" i="46" s="1"/>
  <c r="AF178" i="46"/>
  <c r="AF183" i="46" s="1"/>
  <c r="AF181" i="46"/>
  <c r="AF186" i="46" s="1"/>
  <c r="AF180" i="46"/>
  <c r="AF185" i="46" s="1"/>
  <c r="AF182" i="46"/>
  <c r="AG107" i="45" s="1"/>
  <c r="BM107" i="45" s="1"/>
  <c r="AF177" i="48"/>
  <c r="AB170" i="29"/>
  <c r="AB171" i="29" s="1"/>
  <c r="AB147" i="29"/>
  <c r="AD229" i="19"/>
  <c r="AD230" i="19"/>
  <c r="AD231" i="19"/>
  <c r="AD232" i="19"/>
  <c r="AC314" i="42"/>
  <c r="BJ88" i="55" s="1"/>
  <c r="AC313" i="42"/>
  <c r="BJ87" i="55" s="1"/>
  <c r="AC311" i="42"/>
  <c r="BJ85" i="55" s="1"/>
  <c r="AC312" i="42"/>
  <c r="BJ86" i="55" s="1"/>
  <c r="AC310" i="42"/>
  <c r="AC309" i="42"/>
  <c r="AA181" i="28"/>
  <c r="AB64" i="55" s="1"/>
  <c r="AA180" i="28"/>
  <c r="AB63" i="55" s="1"/>
  <c r="AA178" i="28"/>
  <c r="AA177" i="28"/>
  <c r="AA182" i="28"/>
  <c r="AB65" i="55" s="1"/>
  <c r="AA179" i="28"/>
  <c r="AB62" i="55" s="1"/>
  <c r="AF201" i="38"/>
  <c r="AF205" i="38" s="1"/>
  <c r="AF202" i="38"/>
  <c r="AF206" i="38" s="1"/>
  <c r="AF200" i="38"/>
  <c r="AF204" i="38" s="1"/>
  <c r="AF203" i="38"/>
  <c r="AG101" i="36" s="1"/>
  <c r="BM101" i="36" s="1"/>
  <c r="Z177" i="29"/>
  <c r="AF32" i="29"/>
  <c r="AF45" i="29"/>
  <c r="Z305" i="42"/>
  <c r="Z304" i="42"/>
  <c r="Z308" i="42" s="1"/>
  <c r="AD293" i="42"/>
  <c r="AD316" i="42"/>
  <c r="AD317" i="42" s="1"/>
  <c r="AG177" i="46"/>
  <c r="AG167" i="46"/>
  <c r="AG157" i="46"/>
  <c r="AG147" i="46"/>
  <c r="X183" i="29"/>
  <c r="X190" i="29" s="1"/>
  <c r="Z328" i="42"/>
  <c r="AF42" i="38"/>
  <c r="AF32" i="38"/>
  <c r="AE281" i="42"/>
  <c r="AE34" i="42"/>
  <c r="AE50" i="29"/>
  <c r="AE145" i="29" s="1"/>
  <c r="AE197" i="53"/>
  <c r="AE34" i="53"/>
  <c r="AB300" i="42"/>
  <c r="AB301" i="42"/>
  <c r="AG145" i="42"/>
  <c r="AG161" i="42"/>
  <c r="AG153" i="42"/>
  <c r="AG137" i="42"/>
  <c r="AC294" i="38"/>
  <c r="X189" i="28"/>
  <c r="X190" i="28" s="1"/>
  <c r="X192" i="28" s="1"/>
  <c r="AB154" i="29"/>
  <c r="AB155" i="29"/>
  <c r="AF219" i="48"/>
  <c r="AF223" i="46"/>
  <c r="AF228" i="46" s="1"/>
  <c r="AF222" i="46"/>
  <c r="AF227" i="46" s="1"/>
  <c r="AF220" i="46"/>
  <c r="AF225" i="46" s="1"/>
  <c r="AF221" i="46"/>
  <c r="AF226" i="46" s="1"/>
  <c r="AF224" i="46"/>
  <c r="AG99" i="45" s="1"/>
  <c r="BM99" i="45" s="1"/>
  <c r="AF19" i="54"/>
  <c r="AF27" i="54"/>
  <c r="AF32" i="54" s="1"/>
  <c r="U213" i="28"/>
  <c r="AG199" i="38"/>
  <c r="AG207" i="38"/>
  <c r="AG191" i="38"/>
  <c r="Y186" i="28"/>
  <c r="Y187" i="28" s="1"/>
  <c r="Y188" i="28"/>
  <c r="AC234" i="19"/>
  <c r="AC233" i="19"/>
  <c r="Z143" i="29"/>
  <c r="Z140" i="29"/>
  <c r="Z142" i="29"/>
  <c r="Z144" i="29"/>
  <c r="Z139" i="29"/>
  <c r="Z141" i="29"/>
  <c r="AF170" i="46"/>
  <c r="AF175" i="46" s="1"/>
  <c r="AF172" i="46"/>
  <c r="AG77" i="45" s="1"/>
  <c r="BM77" i="45" s="1"/>
  <c r="AF167" i="48"/>
  <c r="AF171" i="46"/>
  <c r="AF176" i="46" s="1"/>
  <c r="AF169" i="46"/>
  <c r="AF174" i="46" s="1"/>
  <c r="AF168" i="46"/>
  <c r="AF173" i="46" s="1"/>
  <c r="AF193" i="42"/>
  <c r="AF197" i="42" s="1"/>
  <c r="AF194" i="42"/>
  <c r="AF198" i="42" s="1"/>
  <c r="AF195" i="42"/>
  <c r="AF192" i="42"/>
  <c r="AF196" i="42" s="1"/>
  <c r="AG27" i="19"/>
  <c r="AG19" i="19"/>
  <c r="AA167" i="28"/>
  <c r="AA166" i="28"/>
  <c r="AA164" i="28"/>
  <c r="AA165" i="28"/>
  <c r="AF193" i="38"/>
  <c r="AF197" i="38" s="1"/>
  <c r="AF192" i="38"/>
  <c r="AF196" i="38" s="1"/>
  <c r="AF194" i="38"/>
  <c r="AF198" i="38" s="1"/>
  <c r="AD149" i="29"/>
  <c r="AD146" i="29"/>
  <c r="AE249" i="42"/>
  <c r="AE47" i="42"/>
  <c r="AE291" i="42" s="1"/>
  <c r="AE80" i="42"/>
  <c r="AE96" i="42"/>
  <c r="AE104" i="42"/>
  <c r="AE72" i="42"/>
  <c r="AE135" i="29"/>
  <c r="AE34" i="29"/>
  <c r="X196" i="28"/>
  <c r="X197" i="28" s="1"/>
  <c r="X206" i="28" s="1"/>
  <c r="Y70" i="15" s="1"/>
  <c r="AE275" i="19"/>
  <c r="AE228" i="19"/>
  <c r="AE276" i="19"/>
  <c r="AE224" i="19"/>
  <c r="AE225" i="19"/>
  <c r="AD67" i="15"/>
  <c r="AD46" i="15"/>
  <c r="AC103" i="29"/>
  <c r="AC91" i="29"/>
  <c r="AG19" i="42"/>
  <c r="AG247" i="42" s="1"/>
  <c r="AG27" i="42"/>
  <c r="AC296" i="38"/>
  <c r="AC298" i="38"/>
  <c r="AC299" i="38"/>
  <c r="AC297" i="38"/>
  <c r="AG19" i="29"/>
  <c r="AG27" i="29"/>
  <c r="AC197" i="29"/>
  <c r="AC196" i="29"/>
  <c r="V61" i="55"/>
  <c r="AG19" i="38"/>
  <c r="AG247" i="38" s="1"/>
  <c r="AG27" i="38"/>
  <c r="AA137" i="29"/>
  <c r="AA138" i="29" s="1"/>
  <c r="AB104" i="29"/>
  <c r="AF161" i="46"/>
  <c r="AF166" i="46" s="1"/>
  <c r="AF160" i="46"/>
  <c r="AF165" i="46" s="1"/>
  <c r="AF158" i="46"/>
  <c r="AF163" i="46" s="1"/>
  <c r="AF162" i="46"/>
  <c r="AG98" i="45" s="1"/>
  <c r="BM98" i="45" s="1"/>
  <c r="AF157" i="48"/>
  <c r="AF159" i="46"/>
  <c r="AF164" i="46" s="1"/>
  <c r="AF203" i="42"/>
  <c r="AF200" i="42"/>
  <c r="AF204" i="42" s="1"/>
  <c r="AF202" i="42"/>
  <c r="AF206" i="42" s="1"/>
  <c r="AF201" i="42"/>
  <c r="AF205" i="42" s="1"/>
  <c r="AD295" i="38"/>
  <c r="AD292" i="38"/>
  <c r="AC296" i="42"/>
  <c r="AC297" i="42"/>
  <c r="AC299" i="42"/>
  <c r="AC298" i="42"/>
  <c r="AF208" i="38"/>
  <c r="AF212" i="38" s="1"/>
  <c r="AF209" i="38"/>
  <c r="AF213" i="38" s="1"/>
  <c r="AF210" i="38"/>
  <c r="AF214" i="38" s="1"/>
  <c r="AF211" i="38"/>
  <c r="AA156" i="29"/>
  <c r="AA157" i="29"/>
  <c r="AD246" i="42"/>
  <c r="AB306" i="38"/>
  <c r="AB318" i="38" s="1"/>
  <c r="AB307" i="38"/>
  <c r="AE61" i="16"/>
  <c r="AD87" i="29"/>
  <c r="AE281" i="38"/>
  <c r="AE34" i="38"/>
  <c r="AA288" i="42"/>
  <c r="AA285" i="42"/>
  <c r="AA287" i="42"/>
  <c r="AA286" i="42"/>
  <c r="AA290" i="42"/>
  <c r="AA289" i="42"/>
  <c r="AE34" i="19"/>
  <c r="AE214" i="19"/>
  <c r="AC184" i="28"/>
  <c r="AC185" i="28" s="1"/>
  <c r="AC161" i="28"/>
  <c r="AG207" i="42"/>
  <c r="AG199" i="42"/>
  <c r="AG191" i="42"/>
  <c r="AF154" i="38"/>
  <c r="AF158" i="38" s="1"/>
  <c r="AF157" i="38"/>
  <c r="AG79" i="36" s="1"/>
  <c r="BM79" i="36" s="1"/>
  <c r="AF155" i="38"/>
  <c r="AF159" i="38" s="1"/>
  <c r="AF156" i="38"/>
  <c r="AF160" i="38" s="1"/>
  <c r="AF42" i="42"/>
  <c r="AF32" i="42"/>
  <c r="AG55" i="15"/>
  <c r="AF83" i="29"/>
  <c r="AF82" i="29" s="1"/>
  <c r="AF85" i="29"/>
  <c r="AG55" i="16" s="1"/>
  <c r="Z169" i="28"/>
  <c r="Z168" i="28"/>
  <c r="U208" i="28"/>
  <c r="AG225" i="38"/>
  <c r="AG229" i="38" s="1"/>
  <c r="AG223" i="38"/>
  <c r="AG227" i="38" s="1"/>
  <c r="AG224" i="38"/>
  <c r="AG228" i="38" s="1"/>
  <c r="X72" i="16"/>
  <c r="BD34" i="58" s="1"/>
  <c r="W200" i="29"/>
  <c r="X73" i="16" s="1"/>
  <c r="AC239" i="19"/>
  <c r="AC251" i="19" s="1"/>
  <c r="AC240" i="19"/>
  <c r="AF148" i="46"/>
  <c r="AF153" i="46" s="1"/>
  <c r="AF149" i="46"/>
  <c r="AF154" i="46" s="1"/>
  <c r="AF152" i="46"/>
  <c r="AG83" i="45" s="1"/>
  <c r="AF147" i="48"/>
  <c r="AF150" i="46"/>
  <c r="AF155" i="46" s="1"/>
  <c r="AF151" i="46"/>
  <c r="AF156" i="46" s="1"/>
  <c r="AE230" i="48"/>
  <c r="AE235" i="48" s="1"/>
  <c r="AE232" i="48"/>
  <c r="AE237" i="48" s="1"/>
  <c r="AE233" i="48"/>
  <c r="AE238" i="48" s="1"/>
  <c r="AE234" i="48"/>
  <c r="AE231" i="48"/>
  <c r="AE236" i="48" s="1"/>
  <c r="AF211" i="42"/>
  <c r="AF208" i="42"/>
  <c r="AF212" i="42" s="1"/>
  <c r="AF209" i="42"/>
  <c r="AF213" i="42" s="1"/>
  <c r="AF210" i="42"/>
  <c r="AF214" i="42" s="1"/>
  <c r="AD293" i="38"/>
  <c r="AE80" i="55" s="1"/>
  <c r="AD316" i="38"/>
  <c r="Z304" i="38"/>
  <c r="Z308" i="38" s="1"/>
  <c r="Z305" i="38"/>
  <c r="Y329" i="42"/>
  <c r="Y336" i="42" s="1"/>
  <c r="AD37" i="29"/>
  <c r="AD36" i="29"/>
  <c r="AF248" i="48"/>
  <c r="AF253" i="48" s="1"/>
  <c r="AF247" i="48"/>
  <c r="AF252" i="48" s="1"/>
  <c r="AF249" i="48"/>
  <c r="AF254" i="48" s="1"/>
  <c r="AF251" i="48"/>
  <c r="AF250" i="48"/>
  <c r="AF255" i="48" s="1"/>
  <c r="AD295" i="42"/>
  <c r="AD292" i="42"/>
  <c r="AB300" i="38"/>
  <c r="AB301" i="38"/>
  <c r="AF156" i="42"/>
  <c r="AF160" i="42" s="1"/>
  <c r="AF154" i="42"/>
  <c r="AF158" i="42" s="1"/>
  <c r="AF157" i="42"/>
  <c r="AF155" i="42"/>
  <c r="AF159" i="42" s="1"/>
  <c r="AF32" i="19"/>
  <c r="AF45" i="19"/>
  <c r="AF50" i="19" s="1"/>
  <c r="AC37" i="28"/>
  <c r="AC36" i="28"/>
  <c r="AE249" i="38"/>
  <c r="AE72" i="38"/>
  <c r="AE73" i="38" s="1"/>
  <c r="AE104" i="38"/>
  <c r="AE47" i="38"/>
  <c r="AE291" i="38" s="1"/>
  <c r="AE80" i="38"/>
  <c r="AE96" i="38"/>
  <c r="DV80" i="55"/>
  <c r="BJ80" i="55"/>
  <c r="AB283" i="42"/>
  <c r="AB284" i="42" s="1"/>
  <c r="AC250" i="42"/>
  <c r="AG238" i="42"/>
  <c r="AG242" i="42" s="1"/>
  <c r="AG241" i="42"/>
  <c r="AG240" i="42"/>
  <c r="AG244" i="42" s="1"/>
  <c r="AG239" i="42"/>
  <c r="AG243" i="42" s="1"/>
  <c r="AE170" i="48"/>
  <c r="AE175" i="48" s="1"/>
  <c r="AE172" i="48"/>
  <c r="AE168" i="48"/>
  <c r="AE173" i="48" s="1"/>
  <c r="AE169" i="48"/>
  <c r="AE174" i="48" s="1"/>
  <c r="AE171" i="48"/>
  <c r="AE176" i="48" s="1"/>
  <c r="AF162" i="38"/>
  <c r="AF166" i="38" s="1"/>
  <c r="AF165" i="38"/>
  <c r="AG109" i="36" s="1"/>
  <c r="BM109" i="36" s="1"/>
  <c r="AF164" i="38"/>
  <c r="AF168" i="38" s="1"/>
  <c r="AF163" i="38"/>
  <c r="AF167" i="38" s="1"/>
  <c r="AG17" i="28"/>
  <c r="AG30" i="28" s="1"/>
  <c r="AG14" i="28"/>
  <c r="AG18" i="28"/>
  <c r="AG31" i="28" s="1"/>
  <c r="AI5" i="28"/>
  <c r="AG16" i="28"/>
  <c r="AG29" i="28" s="1"/>
  <c r="AG47" i="28" s="1"/>
  <c r="AG15" i="28"/>
  <c r="AG28" i="28" s="1"/>
  <c r="AG46" i="28" s="1"/>
  <c r="V58" i="55"/>
  <c r="AA302" i="38"/>
  <c r="AA303" i="38"/>
  <c r="AA237" i="19"/>
  <c r="AA241" i="19" s="1"/>
  <c r="AA238" i="19"/>
  <c r="AG17" i="53"/>
  <c r="AG30" i="53" s="1"/>
  <c r="AG14" i="53"/>
  <c r="AG16" i="53"/>
  <c r="AG29" i="53" s="1"/>
  <c r="AG44" i="53" s="1"/>
  <c r="AG150" i="53" s="1"/>
  <c r="AG151" i="53" s="1"/>
  <c r="AH60" i="51" s="1"/>
  <c r="BN60" i="51" s="1"/>
  <c r="AG15" i="53"/>
  <c r="AG28" i="53" s="1"/>
  <c r="AG18" i="53"/>
  <c r="AG31" i="53" s="1"/>
  <c r="AD98" i="42"/>
  <c r="AD102" i="42" s="1"/>
  <c r="AD100" i="42"/>
  <c r="AD99" i="42"/>
  <c r="AD103" i="42" s="1"/>
  <c r="AD97" i="42"/>
  <c r="AD101" i="42" s="1"/>
  <c r="AF146" i="42"/>
  <c r="AF150" i="42" s="1"/>
  <c r="AF149" i="42"/>
  <c r="AF147" i="42"/>
  <c r="AF151" i="42" s="1"/>
  <c r="AF148" i="42"/>
  <c r="AF152" i="42" s="1"/>
  <c r="W197" i="28"/>
  <c r="W206" i="28" s="1"/>
  <c r="X70" i="15" s="1"/>
  <c r="Z164" i="29"/>
  <c r="Z167" i="29"/>
  <c r="BG64" i="55" s="1"/>
  <c r="Z168" i="29"/>
  <c r="BG65" i="55" s="1"/>
  <c r="Z165" i="29"/>
  <c r="BG62" i="55" s="1"/>
  <c r="Z163" i="29"/>
  <c r="Z166" i="29"/>
  <c r="BG63" i="55" s="1"/>
  <c r="AE150" i="48"/>
  <c r="AE155" i="48" s="1"/>
  <c r="AE149" i="48"/>
  <c r="AE154" i="48" s="1"/>
  <c r="AE151" i="48"/>
  <c r="AE156" i="48" s="1"/>
  <c r="AE148" i="48"/>
  <c r="AE153" i="48" s="1"/>
  <c r="AE152" i="48"/>
  <c r="AC151" i="29"/>
  <c r="AC152" i="29"/>
  <c r="AC150" i="29"/>
  <c r="AC153" i="29"/>
  <c r="AC92" i="29"/>
  <c r="AG49" i="29"/>
  <c r="AA303" i="42"/>
  <c r="AA302" i="42"/>
  <c r="AF149" i="38"/>
  <c r="AG100" i="36" s="1"/>
  <c r="BM100" i="36" s="1"/>
  <c r="AF148" i="38"/>
  <c r="AF152" i="38" s="1"/>
  <c r="AF146" i="38"/>
  <c r="AF150" i="38" s="1"/>
  <c r="AF147" i="38"/>
  <c r="AF151" i="38" s="1"/>
  <c r="DT57" i="55"/>
  <c r="BH57" i="55"/>
  <c r="AA148" i="29"/>
  <c r="Z175" i="28"/>
  <c r="Z174" i="28"/>
  <c r="V71" i="15"/>
  <c r="V33" i="58" s="1"/>
  <c r="AD216" i="28"/>
  <c r="AD53" i="29"/>
  <c r="AE44" i="15"/>
  <c r="AD57" i="29"/>
  <c r="AD59" i="29"/>
  <c r="AE44" i="16" s="1"/>
  <c r="AD60" i="29"/>
  <c r="AD50" i="28"/>
  <c r="AD117" i="28" s="1"/>
  <c r="AD63" i="29"/>
  <c r="AE56" i="16" s="1"/>
  <c r="AD61" i="29"/>
  <c r="AD54" i="29"/>
  <c r="AD62" i="29"/>
  <c r="AE62" i="16" s="1"/>
  <c r="AE56" i="15"/>
  <c r="AD56" i="29"/>
  <c r="AD55" i="29"/>
  <c r="AD52" i="29" s="1"/>
  <c r="AE62" i="15"/>
  <c r="AE65" i="15" s="1"/>
  <c r="AE139" i="15" s="1"/>
  <c r="V197" i="28"/>
  <c r="V204" i="28" s="1"/>
  <c r="AF34" i="46"/>
  <c r="AF309" i="46"/>
  <c r="AG19" i="48"/>
  <c r="AG275" i="48" s="1"/>
  <c r="AG27" i="48"/>
  <c r="AG32" i="48" s="1"/>
  <c r="AF34" i="48"/>
  <c r="AF309" i="48"/>
  <c r="AD76" i="42"/>
  <c r="AD73" i="42"/>
  <c r="AD77" i="42" s="1"/>
  <c r="AD75" i="42"/>
  <c r="AD79" i="42" s="1"/>
  <c r="AD74" i="42"/>
  <c r="AD78" i="42" s="1"/>
  <c r="AG229" i="46"/>
  <c r="AG219" i="46"/>
  <c r="AG209" i="46"/>
  <c r="AF164" i="42"/>
  <c r="AF168" i="42" s="1"/>
  <c r="AF162" i="42"/>
  <c r="AF166" i="42" s="1"/>
  <c r="AF163" i="42"/>
  <c r="AF167" i="42" s="1"/>
  <c r="AF165" i="42"/>
  <c r="BC126" i="36"/>
  <c r="BC39" i="58" s="1"/>
  <c r="V346" i="42"/>
  <c r="BC127" i="36" s="1"/>
  <c r="AE158" i="48"/>
  <c r="AE163" i="48" s="1"/>
  <c r="AE161" i="48"/>
  <c r="AE166" i="48" s="1"/>
  <c r="AE159" i="48"/>
  <c r="AE164" i="48" s="1"/>
  <c r="AE162" i="48"/>
  <c r="AE160" i="48"/>
  <c r="AE165" i="48" s="1"/>
  <c r="X173" i="28"/>
  <c r="X172" i="28"/>
  <c r="X176" i="28" s="1"/>
  <c r="AC211" i="28"/>
  <c r="AC159" i="28"/>
  <c r="AC210" i="28"/>
  <c r="AD67" i="16"/>
  <c r="AD46" i="16"/>
  <c r="AF138" i="38"/>
  <c r="AF139" i="38"/>
  <c r="AF140" i="38"/>
  <c r="AE181" i="48"/>
  <c r="AE186" i="48" s="1"/>
  <c r="AE182" i="48"/>
  <c r="AE180" i="48"/>
  <c r="AE185" i="48" s="1"/>
  <c r="AE179" i="48"/>
  <c r="AE184" i="48" s="1"/>
  <c r="AE178" i="48"/>
  <c r="AE183" i="48" s="1"/>
  <c r="AA174" i="29"/>
  <c r="AA177" i="29" s="1"/>
  <c r="Q259" i="20"/>
  <c r="Q260" i="20" s="1"/>
  <c r="CD34" i="55"/>
  <c r="T105" i="12"/>
  <c r="T228" i="12" s="1"/>
  <c r="Q183" i="19"/>
  <c r="P216" i="19"/>
  <c r="S110" i="14"/>
  <c r="S108" i="14" s="1"/>
  <c r="S105" i="14"/>
  <c r="S228" i="14" s="1"/>
  <c r="S73" i="19"/>
  <c r="T114" i="14" s="1"/>
  <c r="T114" i="12"/>
  <c r="R75" i="19"/>
  <c r="S99" i="12"/>
  <c r="S91" i="19"/>
  <c r="T136" i="14" s="1"/>
  <c r="T136" i="12"/>
  <c r="R97" i="14"/>
  <c r="S109" i="12"/>
  <c r="S180" i="19"/>
  <c r="S109" i="14"/>
  <c r="T124" i="19"/>
  <c r="U138" i="14" s="1"/>
  <c r="U138" i="12"/>
  <c r="S111" i="19"/>
  <c r="S126" i="19"/>
  <c r="S123" i="19"/>
  <c r="T106" i="19"/>
  <c r="U103" i="14" s="1"/>
  <c r="U103" i="12"/>
  <c r="S113" i="19"/>
  <c r="T95" i="14"/>
  <c r="S114" i="19"/>
  <c r="U174" i="19"/>
  <c r="T98" i="19"/>
  <c r="U176" i="19"/>
  <c r="R92" i="19"/>
  <c r="R94" i="19"/>
  <c r="R88" i="19"/>
  <c r="R87" i="19"/>
  <c r="U166" i="19"/>
  <c r="U165" i="19"/>
  <c r="U164" i="19"/>
  <c r="U163" i="19"/>
  <c r="R89" i="19"/>
  <c r="R86" i="19"/>
  <c r="R76" i="19"/>
  <c r="R74" i="19"/>
  <c r="S110" i="12"/>
  <c r="S108" i="12" s="1"/>
  <c r="R93" i="19"/>
  <c r="S120" i="19"/>
  <c r="R83" i="19"/>
  <c r="S111" i="14" s="1"/>
  <c r="S107" i="14" s="1"/>
  <c r="S111" i="12"/>
  <c r="S107" i="12" s="1"/>
  <c r="S119" i="19"/>
  <c r="T118" i="19"/>
  <c r="U94" i="14" s="1"/>
  <c r="S109" i="19"/>
  <c r="R90" i="19"/>
  <c r="S108" i="19"/>
  <c r="R77" i="19"/>
  <c r="S79" i="19"/>
  <c r="T104" i="14" s="1"/>
  <c r="T105" i="14" s="1"/>
  <c r="T228" i="14" s="1"/>
  <c r="R80" i="19"/>
  <c r="S106" i="14" s="1"/>
  <c r="S129" i="19"/>
  <c r="R71" i="19"/>
  <c r="S101" i="14" s="1"/>
  <c r="R69" i="19"/>
  <c r="S99" i="14" s="1"/>
  <c r="R70" i="19"/>
  <c r="S100" i="14" s="1"/>
  <c r="S98" i="14" s="1"/>
  <c r="R68" i="19"/>
  <c r="S96" i="14" s="1"/>
  <c r="P293" i="20"/>
  <c r="V172" i="19"/>
  <c r="W135" i="14" s="1"/>
  <c r="T131" i="19"/>
  <c r="V216" i="20"/>
  <c r="V218" i="20"/>
  <c r="V215" i="20"/>
  <c r="V173" i="19" s="1"/>
  <c r="V217" i="20"/>
  <c r="V175" i="19" s="1"/>
  <c r="V219" i="20"/>
  <c r="V177" i="19" s="1"/>
  <c r="V202" i="20"/>
  <c r="V204" i="20"/>
  <c r="V206" i="20"/>
  <c r="V167" i="19" s="1"/>
  <c r="V203" i="20"/>
  <c r="V205" i="20"/>
  <c r="T147" i="20"/>
  <c r="T144" i="20"/>
  <c r="T143" i="20"/>
  <c r="T145" i="20"/>
  <c r="T121" i="19" s="1"/>
  <c r="T146" i="20"/>
  <c r="T122" i="19" s="1"/>
  <c r="T137" i="20"/>
  <c r="T141" i="20"/>
  <c r="T117" i="19" s="1"/>
  <c r="T140" i="20"/>
  <c r="T116" i="19" s="1"/>
  <c r="T138" i="20"/>
  <c r="T139" i="20"/>
  <c r="T115" i="19" s="1"/>
  <c r="U130" i="20"/>
  <c r="U136" i="20"/>
  <c r="U112" i="19" s="1"/>
  <c r="V126" i="14" s="1"/>
  <c r="U148" i="20"/>
  <c r="U142" i="20"/>
  <c r="T152" i="20"/>
  <c r="T128" i="19" s="1"/>
  <c r="T151" i="20"/>
  <c r="T127" i="19" s="1"/>
  <c r="T150" i="20"/>
  <c r="T149" i="20"/>
  <c r="T125" i="19" s="1"/>
  <c r="T153" i="20"/>
  <c r="T132" i="20"/>
  <c r="T135" i="20"/>
  <c r="T134" i="20"/>
  <c r="T110" i="19" s="1"/>
  <c r="T131" i="20"/>
  <c r="T107" i="19" s="1"/>
  <c r="T133" i="20"/>
  <c r="S100" i="20"/>
  <c r="S103" i="20"/>
  <c r="S95" i="19" s="1"/>
  <c r="S101" i="20"/>
  <c r="S102" i="20"/>
  <c r="S104" i="20"/>
  <c r="S96" i="19" s="1"/>
  <c r="T75" i="20"/>
  <c r="T67" i="19" s="1"/>
  <c r="U93" i="14" s="1"/>
  <c r="T99" i="20"/>
  <c r="T81" i="20"/>
  <c r="T87" i="20"/>
  <c r="U104" i="12" s="1"/>
  <c r="T93" i="20"/>
  <c r="T85" i="19" s="1"/>
  <c r="U124" i="14" s="1"/>
  <c r="S97" i="20"/>
  <c r="S95" i="20"/>
  <c r="S98" i="20"/>
  <c r="S94" i="20"/>
  <c r="S96" i="20"/>
  <c r="S83" i="20"/>
  <c r="S85" i="20"/>
  <c r="S84" i="20"/>
  <c r="S86" i="20"/>
  <c r="S78" i="19" s="1"/>
  <c r="S82" i="20"/>
  <c r="S89" i="20"/>
  <c r="S81" i="19" s="1"/>
  <c r="S91" i="20"/>
  <c r="S88" i="20"/>
  <c r="T106" i="12" s="1"/>
  <c r="S90" i="20"/>
  <c r="S82" i="19" s="1"/>
  <c r="S92" i="20"/>
  <c r="S84" i="19" s="1"/>
  <c r="S77" i="20"/>
  <c r="S76" i="20"/>
  <c r="T96" i="12" s="1"/>
  <c r="S79" i="20"/>
  <c r="T101" i="12" s="1"/>
  <c r="T97" i="12" s="1"/>
  <c r="S78" i="20"/>
  <c r="T100" i="12" s="1"/>
  <c r="T98" i="12" s="1"/>
  <c r="S80" i="20"/>
  <c r="S72" i="19" s="1"/>
  <c r="U45" i="20"/>
  <c r="U32" i="20"/>
  <c r="CH4" i="55" s="1"/>
  <c r="DN4" i="55" s="1"/>
  <c r="S266" i="20"/>
  <c r="S267" i="20"/>
  <c r="S317" i="20"/>
  <c r="S270" i="20"/>
  <c r="S318" i="20"/>
  <c r="S226" i="14"/>
  <c r="R273" i="20"/>
  <c r="R271" i="20"/>
  <c r="R274" i="20"/>
  <c r="R272" i="20"/>
  <c r="V30" i="20"/>
  <c r="V48" i="20" s="1"/>
  <c r="U157" i="19"/>
  <c r="T60" i="19"/>
  <c r="T50" i="20"/>
  <c r="T221" i="20" s="1"/>
  <c r="T53" i="19"/>
  <c r="T62" i="19"/>
  <c r="T54" i="19"/>
  <c r="T63" i="19"/>
  <c r="T64" i="19"/>
  <c r="U124" i="12"/>
  <c r="U93" i="12"/>
  <c r="T55" i="19"/>
  <c r="T52" i="19" s="1"/>
  <c r="T58" i="19"/>
  <c r="T56" i="19"/>
  <c r="T61" i="19"/>
  <c r="T65" i="19"/>
  <c r="T57" i="19"/>
  <c r="S179" i="19"/>
  <c r="S37" i="20"/>
  <c r="S36" i="20"/>
  <c r="R258" i="20"/>
  <c r="S225" i="20"/>
  <c r="U133" i="19"/>
  <c r="U132" i="19"/>
  <c r="U136" i="19"/>
  <c r="U134" i="19"/>
  <c r="V125" i="12"/>
  <c r="U135" i="19"/>
  <c r="V170" i="19"/>
  <c r="U169" i="19"/>
  <c r="Q281" i="20"/>
  <c r="Q282" i="20"/>
  <c r="O280" i="20"/>
  <c r="O279" i="20"/>
  <c r="O283" i="20" s="1"/>
  <c r="V222" i="20"/>
  <c r="V27" i="20"/>
  <c r="P278" i="20"/>
  <c r="P277" i="20"/>
  <c r="T95" i="12"/>
  <c r="W29" i="20"/>
  <c r="W47" i="20" s="1"/>
  <c r="W201" i="20" s="1"/>
  <c r="W162" i="19" s="1"/>
  <c r="X123" i="14" s="1"/>
  <c r="W31" i="20"/>
  <c r="W49" i="20" s="1"/>
  <c r="W214" i="20" s="1"/>
  <c r="X135" i="12" s="1"/>
  <c r="U103" i="19"/>
  <c r="U100" i="19"/>
  <c r="U104" i="19"/>
  <c r="U99" i="19"/>
  <c r="U102" i="19"/>
  <c r="U101" i="19"/>
  <c r="V126" i="12"/>
  <c r="Q275" i="20"/>
  <c r="Q276" i="20"/>
  <c r="W123" i="12"/>
  <c r="V158" i="19"/>
  <c r="V160" i="19"/>
  <c r="V28" i="20"/>
  <c r="V46" i="20" s="1"/>
  <c r="W94" i="12" s="1"/>
  <c r="T256" i="20"/>
  <c r="T34" i="20"/>
  <c r="S226" i="12"/>
  <c r="AE65" i="16" l="1"/>
  <c r="AE139" i="16" s="1"/>
  <c r="AD92" i="29"/>
  <c r="AG61" i="15"/>
  <c r="AF88" i="29"/>
  <c r="Z324" i="42"/>
  <c r="AD294" i="42"/>
  <c r="BD126" i="36"/>
  <c r="BD39" i="58" s="1"/>
  <c r="AA321" i="42"/>
  <c r="AA322" i="42" s="1"/>
  <c r="W346" i="42"/>
  <c r="BD127" i="36" s="1"/>
  <c r="Y190" i="29"/>
  <c r="AC141" i="16"/>
  <c r="AC142" i="16" s="1"/>
  <c r="Q261" i="20"/>
  <c r="CD38" i="55" s="1"/>
  <c r="AC141" i="15"/>
  <c r="AC142" i="15" s="1"/>
  <c r="Q265" i="20"/>
  <c r="CD42" i="55" s="1"/>
  <c r="Q263" i="20"/>
  <c r="CD40" i="55" s="1"/>
  <c r="Q262" i="20"/>
  <c r="CD39" i="55" s="1"/>
  <c r="Q264" i="20"/>
  <c r="CD41" i="55" s="1"/>
  <c r="AE246" i="42"/>
  <c r="Y338" i="42"/>
  <c r="Y340" i="42" s="1"/>
  <c r="AG49" i="28"/>
  <c r="W204" i="28"/>
  <c r="X69" i="15" s="1"/>
  <c r="X71" i="15" s="1"/>
  <c r="X33" i="58" s="1"/>
  <c r="AA182" i="29"/>
  <c r="W69" i="15"/>
  <c r="AD68" i="16"/>
  <c r="AD133" i="16" a="1"/>
  <c r="AD77" i="16"/>
  <c r="AD134" i="16"/>
  <c r="AD140" i="16" s="1"/>
  <c r="AE59" i="15"/>
  <c r="AE135" i="15" s="1"/>
  <c r="AE66" i="15"/>
  <c r="AG19" i="53"/>
  <c r="AG27" i="53"/>
  <c r="AG32" i="53" s="1"/>
  <c r="AG27" i="28"/>
  <c r="AG19" i="28"/>
  <c r="AG118" i="28" s="1"/>
  <c r="AE295" i="38"/>
  <c r="AE292" i="38"/>
  <c r="AF34" i="19"/>
  <c r="AF214" i="19"/>
  <c r="AD313" i="42"/>
  <c r="BK87" i="55" s="1"/>
  <c r="AD314" i="42"/>
  <c r="BK88" i="55" s="1"/>
  <c r="AD311" i="42"/>
  <c r="BK85" i="55" s="1"/>
  <c r="AD312" i="42"/>
  <c r="BK86" i="55" s="1"/>
  <c r="AD309" i="42"/>
  <c r="AD310" i="42"/>
  <c r="DR58" i="55"/>
  <c r="BF58" i="55"/>
  <c r="Z69" i="16"/>
  <c r="Z71" i="16" s="1"/>
  <c r="BF33" i="58" s="1"/>
  <c r="Y199" i="29"/>
  <c r="AC301" i="38"/>
  <c r="AC300" i="38"/>
  <c r="AE37" i="29"/>
  <c r="AE36" i="29"/>
  <c r="AE293" i="42"/>
  <c r="AE316" i="42"/>
  <c r="AE317" i="42" s="1"/>
  <c r="AC310" i="38"/>
  <c r="AC309" i="38"/>
  <c r="AC313" i="38"/>
  <c r="AD87" i="55" s="1"/>
  <c r="AC314" i="38"/>
  <c r="AD88" i="55" s="1"/>
  <c r="AC312" i="38"/>
  <c r="AD86" i="55" s="1"/>
  <c r="AC311" i="38"/>
  <c r="AD85" i="55" s="1"/>
  <c r="Z329" i="42"/>
  <c r="Z338" i="42" s="1"/>
  <c r="AG180" i="46"/>
  <c r="AG185" i="46" s="1"/>
  <c r="AG178" i="46"/>
  <c r="AG183" i="46" s="1"/>
  <c r="AG182" i="46"/>
  <c r="AH107" i="45" s="1"/>
  <c r="BN107" i="45" s="1"/>
  <c r="AG177" i="48"/>
  <c r="AG181" i="46"/>
  <c r="AG186" i="46" s="1"/>
  <c r="AG179" i="46"/>
  <c r="AG184" i="46" s="1"/>
  <c r="V206" i="28"/>
  <c r="W70" i="15" s="1"/>
  <c r="AE67" i="15"/>
  <c r="AE46" i="15"/>
  <c r="AD250" i="42"/>
  <c r="AC283" i="42"/>
  <c r="AC284" i="42" s="1"/>
  <c r="AD296" i="42"/>
  <c r="AD299" i="42"/>
  <c r="AD298" i="42"/>
  <c r="AD297" i="42"/>
  <c r="AD197" i="29"/>
  <c r="AD196" i="29"/>
  <c r="Z170" i="28"/>
  <c r="Z171" i="28"/>
  <c r="AE37" i="19"/>
  <c r="AE36" i="19"/>
  <c r="AD299" i="38"/>
  <c r="AD298" i="38"/>
  <c r="AD297" i="38"/>
  <c r="AD296" i="38"/>
  <c r="AA168" i="28"/>
  <c r="AA169" i="28"/>
  <c r="AG193" i="38"/>
  <c r="AG197" i="38" s="1"/>
  <c r="AG192" i="38"/>
  <c r="AG196" i="38" s="1"/>
  <c r="AG194" i="38"/>
  <c r="AG198" i="38" s="1"/>
  <c r="AG138" i="42"/>
  <c r="AG142" i="42" s="1"/>
  <c r="AG140" i="42"/>
  <c r="AG144" i="42" s="1"/>
  <c r="AG141" i="42"/>
  <c r="AG139" i="42"/>
  <c r="AG143" i="42" s="1"/>
  <c r="AD239" i="19"/>
  <c r="AD251" i="19" s="1"/>
  <c r="AD240" i="19"/>
  <c r="AG19" i="54"/>
  <c r="AG27" i="54"/>
  <c r="AG32" i="54" s="1"/>
  <c r="AF233" i="48"/>
  <c r="AF238" i="48" s="1"/>
  <c r="AF231" i="48"/>
  <c r="AF236" i="48" s="1"/>
  <c r="AF234" i="48"/>
  <c r="AF232" i="48"/>
  <c r="AF237" i="48" s="1"/>
  <c r="AF230" i="48"/>
  <c r="AF235" i="48" s="1"/>
  <c r="AG248" i="48"/>
  <c r="AG253" i="48" s="1"/>
  <c r="AG251" i="48"/>
  <c r="AG249" i="48"/>
  <c r="AG254" i="48" s="1"/>
  <c r="AG250" i="48"/>
  <c r="AG255" i="48" s="1"/>
  <c r="AG247" i="48"/>
  <c r="AG252" i="48" s="1"/>
  <c r="AF61" i="16"/>
  <c r="AE87" i="29"/>
  <c r="CO57" i="55"/>
  <c r="AB152" i="28"/>
  <c r="AG309" i="46"/>
  <c r="AG34" i="46"/>
  <c r="AE216" i="28"/>
  <c r="AE54" i="29"/>
  <c r="AE60" i="29"/>
  <c r="AE56" i="29"/>
  <c r="AE59" i="29"/>
  <c r="AF44" i="16" s="1"/>
  <c r="AE53" i="29"/>
  <c r="AE61" i="29"/>
  <c r="AE63" i="29"/>
  <c r="AF56" i="16" s="1"/>
  <c r="AF59" i="16" s="1"/>
  <c r="AF135" i="16" s="1"/>
  <c r="AE50" i="28"/>
  <c r="AE117" i="28" s="1"/>
  <c r="AE62" i="29"/>
  <c r="AF62" i="16" s="1"/>
  <c r="AF44" i="15"/>
  <c r="AE55" i="29"/>
  <c r="AE52" i="29" s="1"/>
  <c r="AE57" i="29"/>
  <c r="AF56" i="15"/>
  <c r="AF62" i="15"/>
  <c r="AF65" i="15" s="1"/>
  <c r="AF139" i="15" s="1"/>
  <c r="Y172" i="28"/>
  <c r="Y176" i="28" s="1"/>
  <c r="Y173" i="28"/>
  <c r="AG214" i="46"/>
  <c r="AH89" i="45" s="1"/>
  <c r="AG212" i="46"/>
  <c r="AG217" i="46" s="1"/>
  <c r="AG211" i="46"/>
  <c r="AG216" i="46" s="1"/>
  <c r="AG209" i="48"/>
  <c r="AG210" i="46"/>
  <c r="AG215" i="46" s="1"/>
  <c r="AG213" i="46"/>
  <c r="AG218" i="46" s="1"/>
  <c r="AC161" i="29"/>
  <c r="AC160" i="29"/>
  <c r="AC172" i="29" s="1"/>
  <c r="AB289" i="42"/>
  <c r="AB288" i="42"/>
  <c r="AB285" i="42"/>
  <c r="AB287" i="42"/>
  <c r="AB286" i="42"/>
  <c r="AB290" i="42"/>
  <c r="AA175" i="29"/>
  <c r="AA176" i="29" s="1"/>
  <c r="AA178" i="29" s="1"/>
  <c r="AG42" i="42"/>
  <c r="AG32" i="42"/>
  <c r="AA174" i="28"/>
  <c r="AA175" i="28"/>
  <c r="AG211" i="38"/>
  <c r="AG209" i="38"/>
  <c r="AG213" i="38" s="1"/>
  <c r="AG208" i="38"/>
  <c r="AG212" i="38" s="1"/>
  <c r="AG210" i="38"/>
  <c r="AG214" i="38" s="1"/>
  <c r="AG156" i="42"/>
  <c r="AG160" i="42" s="1"/>
  <c r="AG157" i="42"/>
  <c r="AG154" i="42"/>
  <c r="AG158" i="42" s="1"/>
  <c r="AG155" i="42"/>
  <c r="AG159" i="42" s="1"/>
  <c r="AE149" i="29"/>
  <c r="AE146" i="29"/>
  <c r="X192" i="29"/>
  <c r="Y70" i="16" s="1"/>
  <c r="DW80" i="55"/>
  <c r="BK80" i="55"/>
  <c r="AD233" i="19"/>
  <c r="AD234" i="19"/>
  <c r="AD217" i="28"/>
  <c r="AC151" i="28"/>
  <c r="AE149" i="28"/>
  <c r="AE34" i="28"/>
  <c r="AC163" i="28"/>
  <c r="AC162" i="28"/>
  <c r="AC160" i="28"/>
  <c r="AG219" i="48"/>
  <c r="AG220" i="46"/>
  <c r="AG225" i="46" s="1"/>
  <c r="AG221" i="46"/>
  <c r="AG226" i="46" s="1"/>
  <c r="AG223" i="46"/>
  <c r="AG228" i="46" s="1"/>
  <c r="AG222" i="46"/>
  <c r="AG227" i="46" s="1"/>
  <c r="AG224" i="46"/>
  <c r="AH99" i="45" s="1"/>
  <c r="BN99" i="45" s="1"/>
  <c r="AG34" i="48"/>
  <c r="AG309" i="48"/>
  <c r="AD103" i="29"/>
  <c r="AD91" i="29"/>
  <c r="AD184" i="28"/>
  <c r="AD185" i="28" s="1"/>
  <c r="AD161" i="28"/>
  <c r="AE316" i="38"/>
  <c r="AE293" i="38"/>
  <c r="AF80" i="55" s="1"/>
  <c r="AG195" i="42"/>
  <c r="AG192" i="42"/>
  <c r="AG196" i="42" s="1"/>
  <c r="AG193" i="42"/>
  <c r="AG197" i="42" s="1"/>
  <c r="AG194" i="42"/>
  <c r="AG198" i="42" s="1"/>
  <c r="AC301" i="42"/>
  <c r="AC300" i="42"/>
  <c r="AE229" i="19"/>
  <c r="AE230" i="19"/>
  <c r="AE232" i="19"/>
  <c r="AE231" i="19"/>
  <c r="AE73" i="42"/>
  <c r="AE77" i="42" s="1"/>
  <c r="AE74" i="42"/>
  <c r="AE78" i="42" s="1"/>
  <c r="AE76" i="42"/>
  <c r="AE75" i="42"/>
  <c r="AE79" i="42" s="1"/>
  <c r="AD150" i="29"/>
  <c r="AD152" i="29"/>
  <c r="AD151" i="29"/>
  <c r="AD153" i="29"/>
  <c r="AG201" i="38"/>
  <c r="AG205" i="38" s="1"/>
  <c r="AG203" i="38"/>
  <c r="AH101" i="36" s="1"/>
  <c r="BN101" i="36" s="1"/>
  <c r="AG200" i="38"/>
  <c r="AG204" i="38" s="1"/>
  <c r="AG202" i="38"/>
  <c r="AG206" i="38" s="1"/>
  <c r="AG164" i="42"/>
  <c r="AG168" i="42" s="1"/>
  <c r="AG163" i="42"/>
  <c r="AG167" i="42" s="1"/>
  <c r="AG165" i="42"/>
  <c r="AG162" i="42"/>
  <c r="AG166" i="42" s="1"/>
  <c r="Y69" i="16"/>
  <c r="AG138" i="38"/>
  <c r="AG139" i="38"/>
  <c r="AG140" i="38"/>
  <c r="AB182" i="28"/>
  <c r="AC65" i="55" s="1"/>
  <c r="AB179" i="28"/>
  <c r="AC62" i="55" s="1"/>
  <c r="AB177" i="28"/>
  <c r="AB178" i="28"/>
  <c r="AB181" i="28"/>
  <c r="AC64" i="55" s="1"/>
  <c r="AB180" i="28"/>
  <c r="AC63" i="55" s="1"/>
  <c r="AG231" i="46"/>
  <c r="AG236" i="46" s="1"/>
  <c r="AG229" i="48"/>
  <c r="AG233" i="46"/>
  <c r="AG238" i="46" s="1"/>
  <c r="AG234" i="46"/>
  <c r="AH108" i="45" s="1"/>
  <c r="BN108" i="45" s="1"/>
  <c r="AG230" i="46"/>
  <c r="AG235" i="46" s="1"/>
  <c r="AG232" i="46"/>
  <c r="AG237" i="46" s="1"/>
  <c r="AE59" i="16"/>
  <c r="AE135" i="16" s="1"/>
  <c r="AE66" i="16"/>
  <c r="AC155" i="29"/>
  <c r="AC154" i="29"/>
  <c r="AG69" i="29"/>
  <c r="AH64" i="15"/>
  <c r="AR123" i="15" s="1"/>
  <c r="AG66" i="29"/>
  <c r="AG65" i="29" s="1"/>
  <c r="AG71" i="29"/>
  <c r="AH48" i="15"/>
  <c r="AG75" i="29"/>
  <c r="M7" i="31"/>
  <c r="AH45" i="15"/>
  <c r="AG78" i="29"/>
  <c r="AH64" i="16" s="1"/>
  <c r="AG223" i="28"/>
  <c r="AH58" i="15"/>
  <c r="AR114" i="15" s="1"/>
  <c r="AG70" i="29"/>
  <c r="AG74" i="29"/>
  <c r="AH48" i="16" s="1"/>
  <c r="AH49" i="16" s="1"/>
  <c r="AG67" i="29"/>
  <c r="AG77" i="29"/>
  <c r="AH45" i="16" s="1"/>
  <c r="AG76" i="29"/>
  <c r="AH58" i="16" s="1"/>
  <c r="AG68" i="29"/>
  <c r="AG73" i="29"/>
  <c r="AF148" i="48"/>
  <c r="AF153" i="48" s="1"/>
  <c r="AF149" i="48"/>
  <c r="AF154" i="48" s="1"/>
  <c r="AF152" i="48"/>
  <c r="AF151" i="48"/>
  <c r="AF156" i="48" s="1"/>
  <c r="AF150" i="48"/>
  <c r="AF155" i="48" s="1"/>
  <c r="AG202" i="42"/>
  <c r="AG206" i="42" s="1"/>
  <c r="AG200" i="42"/>
  <c r="AG204" i="42" s="1"/>
  <c r="AG203" i="42"/>
  <c r="AG201" i="42"/>
  <c r="AG205" i="42" s="1"/>
  <c r="AC306" i="42"/>
  <c r="AC307" i="42"/>
  <c r="AC104" i="29"/>
  <c r="AB137" i="29"/>
  <c r="AB138" i="29" s="1"/>
  <c r="AG32" i="29"/>
  <c r="AG45" i="29"/>
  <c r="AE105" i="42"/>
  <c r="AE109" i="42" s="1"/>
  <c r="AE106" i="42"/>
  <c r="AE110" i="42" s="1"/>
  <c r="AE108" i="42"/>
  <c r="AE107" i="42"/>
  <c r="AE111" i="42" s="1"/>
  <c r="AG32" i="19"/>
  <c r="AG45" i="19"/>
  <c r="AG50" i="19" s="1"/>
  <c r="AF168" i="48"/>
  <c r="AF173" i="48" s="1"/>
  <c r="AF169" i="48"/>
  <c r="AF174" i="48" s="1"/>
  <c r="AF172" i="48"/>
  <c r="AF170" i="48"/>
  <c r="AF175" i="48" s="1"/>
  <c r="AF171" i="48"/>
  <c r="AF176" i="48" s="1"/>
  <c r="V72" i="15"/>
  <c r="V34" i="58" s="1"/>
  <c r="U214" i="28"/>
  <c r="V73" i="15" s="1"/>
  <c r="AF223" i="48"/>
  <c r="AF228" i="48" s="1"/>
  <c r="AF222" i="48"/>
  <c r="AF227" i="48" s="1"/>
  <c r="AF224" i="48"/>
  <c r="AF221" i="48"/>
  <c r="AF226" i="48" s="1"/>
  <c r="AF220" i="48"/>
  <c r="AF225" i="48" s="1"/>
  <c r="AG147" i="42"/>
  <c r="AG151" i="42" s="1"/>
  <c r="AG146" i="42"/>
  <c r="AG150" i="42" s="1"/>
  <c r="AG148" i="42"/>
  <c r="AG152" i="42" s="1"/>
  <c r="AG149" i="42"/>
  <c r="AA154" i="28"/>
  <c r="CN61" i="55" s="1"/>
  <c r="AA157" i="28"/>
  <c r="CN64" i="55" s="1"/>
  <c r="AA155" i="28"/>
  <c r="CN62" i="55" s="1"/>
  <c r="AA153" i="28"/>
  <c r="AA158" i="28"/>
  <c r="CN65" i="55" s="1"/>
  <c r="AA156" i="28"/>
  <c r="CN63" i="55" s="1"/>
  <c r="AG156" i="38"/>
  <c r="AG160" i="38" s="1"/>
  <c r="AG155" i="38"/>
  <c r="AG159" i="38" s="1"/>
  <c r="AG157" i="38"/>
  <c r="AH79" i="36" s="1"/>
  <c r="BN79" i="36" s="1"/>
  <c r="AG154" i="38"/>
  <c r="AG158" i="38" s="1"/>
  <c r="AD211" i="28"/>
  <c r="AD210" i="28"/>
  <c r="AD159" i="28"/>
  <c r="Z186" i="28"/>
  <c r="Z187" i="28" s="1"/>
  <c r="Z188" i="28"/>
  <c r="AA305" i="38"/>
  <c r="AA304" i="38"/>
  <c r="AA308" i="38" s="1"/>
  <c r="M8" i="31"/>
  <c r="M18" i="31"/>
  <c r="M9" i="31"/>
  <c r="M10" i="31"/>
  <c r="AG85" i="29"/>
  <c r="AH55" i="16" s="1"/>
  <c r="AH55" i="15"/>
  <c r="AE246" i="38"/>
  <c r="AB302" i="38"/>
  <c r="AB303" i="38"/>
  <c r="AF281" i="42"/>
  <c r="AF34" i="42"/>
  <c r="AG209" i="42"/>
  <c r="AG213" i="42" s="1"/>
  <c r="AG210" i="42"/>
  <c r="AG214" i="42" s="1"/>
  <c r="AG211" i="42"/>
  <c r="AG208" i="42"/>
  <c r="AG212" i="42" s="1"/>
  <c r="AA140" i="29"/>
  <c r="AA139" i="29"/>
  <c r="AA142" i="29"/>
  <c r="AA144" i="29"/>
  <c r="AA141" i="29"/>
  <c r="AA143" i="29"/>
  <c r="AC170" i="29"/>
  <c r="AC171" i="29" s="1"/>
  <c r="AC147" i="29"/>
  <c r="AE99" i="42"/>
  <c r="AE103" i="42" s="1"/>
  <c r="AE100" i="42"/>
  <c r="AE98" i="42"/>
  <c r="AE102" i="42" s="1"/>
  <c r="AE97" i="42"/>
  <c r="AE101" i="42" s="1"/>
  <c r="AF197" i="54"/>
  <c r="AF34" i="54"/>
  <c r="AB156" i="29"/>
  <c r="AB157" i="29"/>
  <c r="AB303" i="42"/>
  <c r="AB302" i="42"/>
  <c r="AF34" i="38"/>
  <c r="AF281" i="38"/>
  <c r="AG147" i="48"/>
  <c r="AG148" i="46"/>
  <c r="AG153" i="46" s="1"/>
  <c r="AG150" i="46"/>
  <c r="AG155" i="46" s="1"/>
  <c r="AG152" i="46"/>
  <c r="AH83" i="45" s="1"/>
  <c r="AG151" i="46"/>
  <c r="AG156" i="46" s="1"/>
  <c r="AG149" i="46"/>
  <c r="AG154" i="46" s="1"/>
  <c r="AF50" i="29"/>
  <c r="AF145" i="29" s="1"/>
  <c r="DU57" i="55"/>
  <c r="BI57" i="55"/>
  <c r="AB148" i="29"/>
  <c r="AG165" i="38"/>
  <c r="AH109" i="36" s="1"/>
  <c r="BN109" i="36" s="1"/>
  <c r="AG163" i="38"/>
  <c r="AG167" i="38" s="1"/>
  <c r="AG162" i="38"/>
  <c r="AG166" i="38" s="1"/>
  <c r="AG164" i="38"/>
  <c r="AG168" i="38" s="1"/>
  <c r="AF212" i="48"/>
  <c r="AF217" i="48" s="1"/>
  <c r="AF213" i="48"/>
  <c r="AF218" i="48" s="1"/>
  <c r="AF211" i="48"/>
  <c r="AF216" i="48" s="1"/>
  <c r="AF214" i="48"/>
  <c r="AF210" i="48"/>
  <c r="AF215" i="48" s="1"/>
  <c r="AB164" i="28"/>
  <c r="AB165" i="28"/>
  <c r="AB167" i="28"/>
  <c r="AB166" i="28"/>
  <c r="AA304" i="42"/>
  <c r="AA308" i="42" s="1"/>
  <c r="AA305" i="42"/>
  <c r="AF249" i="42"/>
  <c r="AF47" i="42"/>
  <c r="AF291" i="42" s="1"/>
  <c r="AF72" i="42"/>
  <c r="AF80" i="42"/>
  <c r="AF96" i="42"/>
  <c r="AF104" i="42"/>
  <c r="AD57" i="55"/>
  <c r="AA159" i="29"/>
  <c r="AA158" i="29"/>
  <c r="AA162" i="29" s="1"/>
  <c r="AG42" i="38"/>
  <c r="AG32" i="38"/>
  <c r="AD133" i="15" a="1"/>
  <c r="AD68" i="15"/>
  <c r="AD77" i="15" s="1"/>
  <c r="AD134" i="15"/>
  <c r="AD140" i="15" s="1"/>
  <c r="AE84" i="42"/>
  <c r="AE83" i="42"/>
  <c r="AE87" i="42" s="1"/>
  <c r="AE81" i="42"/>
  <c r="AE85" i="42" s="1"/>
  <c r="AE82" i="42"/>
  <c r="AE86" i="42" s="1"/>
  <c r="AC236" i="19"/>
  <c r="AC235" i="19"/>
  <c r="AF249" i="38"/>
  <c r="AF104" i="38"/>
  <c r="AF47" i="38"/>
  <c r="AF291" i="38" s="1"/>
  <c r="AF80" i="38"/>
  <c r="AF72" i="38"/>
  <c r="AF73" i="38" s="1"/>
  <c r="AF96" i="38"/>
  <c r="AG160" i="46"/>
  <c r="AG165" i="46" s="1"/>
  <c r="AG159" i="46"/>
  <c r="AG164" i="46" s="1"/>
  <c r="AG162" i="46"/>
  <c r="AH98" i="45" s="1"/>
  <c r="BN98" i="45" s="1"/>
  <c r="AG157" i="48"/>
  <c r="AG158" i="46"/>
  <c r="AG163" i="46" s="1"/>
  <c r="AG161" i="46"/>
  <c r="AG166" i="46" s="1"/>
  <c r="AF34" i="29"/>
  <c r="AF135" i="29"/>
  <c r="AB174" i="29"/>
  <c r="AB175" i="29" s="1"/>
  <c r="AB176" i="29" s="1"/>
  <c r="AF32" i="28"/>
  <c r="AF45" i="28"/>
  <c r="AB173" i="29"/>
  <c r="AG148" i="38"/>
  <c r="AG152" i="38" s="1"/>
  <c r="AG147" i="38"/>
  <c r="AG151" i="38" s="1"/>
  <c r="AG146" i="38"/>
  <c r="AG150" i="38" s="1"/>
  <c r="AG149" i="38"/>
  <c r="AH100" i="36" s="1"/>
  <c r="BN100" i="36" s="1"/>
  <c r="BE126" i="36"/>
  <c r="BE39" i="58" s="1"/>
  <c r="X346" i="42"/>
  <c r="BE127" i="36" s="1"/>
  <c r="AD37" i="28"/>
  <c r="AD36" i="28"/>
  <c r="AE67" i="16"/>
  <c r="AE46" i="16"/>
  <c r="AA163" i="29"/>
  <c r="AA168" i="29"/>
  <c r="BH65" i="55" s="1"/>
  <c r="AA165" i="29"/>
  <c r="BH62" i="55" s="1"/>
  <c r="AA167" i="29"/>
  <c r="BH64" i="55" s="1"/>
  <c r="AA164" i="29"/>
  <c r="AA166" i="29"/>
  <c r="BH63" i="55" s="1"/>
  <c r="AG83" i="29"/>
  <c r="AG82" i="29" s="1"/>
  <c r="AF224" i="19"/>
  <c r="AF276" i="19"/>
  <c r="AF225" i="19"/>
  <c r="AF275" i="19"/>
  <c r="AF228" i="19"/>
  <c r="AG85" i="45"/>
  <c r="AG86" i="45"/>
  <c r="AG87" i="45"/>
  <c r="BM87" i="45"/>
  <c r="BM86" i="45"/>
  <c r="BM85" i="45"/>
  <c r="AD294" i="38"/>
  <c r="AF159" i="48"/>
  <c r="AF164" i="48" s="1"/>
  <c r="AF158" i="48"/>
  <c r="AF163" i="48" s="1"/>
  <c r="AF162" i="48"/>
  <c r="AF160" i="48"/>
  <c r="AF165" i="48" s="1"/>
  <c r="AF161" i="48"/>
  <c r="AF166" i="48" s="1"/>
  <c r="AC306" i="38"/>
  <c r="AC318" i="38" s="1"/>
  <c r="AC307" i="38"/>
  <c r="X204" i="28"/>
  <c r="AE295" i="42"/>
  <c r="AE292" i="42"/>
  <c r="Y189" i="28"/>
  <c r="Y190" i="28" s="1"/>
  <c r="Y192" i="28" s="1"/>
  <c r="Y191" i="28"/>
  <c r="AG169" i="46"/>
  <c r="AG174" i="46" s="1"/>
  <c r="AG170" i="46"/>
  <c r="AG175" i="46" s="1"/>
  <c r="AG167" i="48"/>
  <c r="AG168" i="46"/>
  <c r="AG173" i="46" s="1"/>
  <c r="AG172" i="46"/>
  <c r="AH77" i="45" s="1"/>
  <c r="BN77" i="45" s="1"/>
  <c r="AG171" i="46"/>
  <c r="AG176" i="46" s="1"/>
  <c r="Z182" i="29"/>
  <c r="Z183" i="29" s="1"/>
  <c r="Z192" i="29" s="1"/>
  <c r="AA70" i="16" s="1"/>
  <c r="AF179" i="48"/>
  <c r="AF184" i="48" s="1"/>
  <c r="AF182" i="48"/>
  <c r="AF181" i="48"/>
  <c r="AF186" i="48" s="1"/>
  <c r="AF178" i="48"/>
  <c r="AF183" i="48" s="1"/>
  <c r="AF180" i="48"/>
  <c r="AF185" i="48" s="1"/>
  <c r="AA328" i="42"/>
  <c r="AB318" i="42"/>
  <c r="AB319" i="42" s="1"/>
  <c r="AB320" i="42"/>
  <c r="AB323" i="42" s="1"/>
  <c r="AF197" i="53"/>
  <c r="AF34" i="53"/>
  <c r="AB237" i="19"/>
  <c r="AB241" i="19" s="1"/>
  <c r="AB238" i="19"/>
  <c r="R259" i="20"/>
  <c r="R261" i="20" s="1"/>
  <c r="CE38" i="55" s="1"/>
  <c r="CE34" i="55"/>
  <c r="R183" i="19"/>
  <c r="Q216" i="19"/>
  <c r="T110" i="14"/>
  <c r="T108" i="14" s="1"/>
  <c r="S75" i="19"/>
  <c r="T73" i="19"/>
  <c r="U114" i="14" s="1"/>
  <c r="U114" i="12"/>
  <c r="S97" i="14"/>
  <c r="T99" i="12"/>
  <c r="T109" i="12"/>
  <c r="T91" i="19"/>
  <c r="U136" i="14" s="1"/>
  <c r="U136" i="12"/>
  <c r="T109" i="14"/>
  <c r="U105" i="12"/>
  <c r="U228" i="12" s="1"/>
  <c r="U95" i="14"/>
  <c r="U106" i="19"/>
  <c r="V103" i="14" s="1"/>
  <c r="V103" i="12"/>
  <c r="T113" i="19"/>
  <c r="T111" i="19"/>
  <c r="T126" i="19"/>
  <c r="U124" i="19"/>
  <c r="V138" i="14" s="1"/>
  <c r="V138" i="12"/>
  <c r="T114" i="19"/>
  <c r="T123" i="19"/>
  <c r="V174" i="19"/>
  <c r="U98" i="19"/>
  <c r="S92" i="19"/>
  <c r="S94" i="19"/>
  <c r="V176" i="19"/>
  <c r="S88" i="19"/>
  <c r="S87" i="19"/>
  <c r="V165" i="19"/>
  <c r="V166" i="19"/>
  <c r="V163" i="19"/>
  <c r="V164" i="19"/>
  <c r="S89" i="19"/>
  <c r="S86" i="19"/>
  <c r="S76" i="19"/>
  <c r="S74" i="19"/>
  <c r="S83" i="19"/>
  <c r="T111" i="14" s="1"/>
  <c r="T107" i="14" s="1"/>
  <c r="T111" i="12"/>
  <c r="T107" i="12" s="1"/>
  <c r="U118" i="19"/>
  <c r="V94" i="14" s="1"/>
  <c r="T120" i="19"/>
  <c r="T119" i="19"/>
  <c r="T180" i="19"/>
  <c r="S90" i="19"/>
  <c r="T110" i="12"/>
  <c r="T108" i="12" s="1"/>
  <c r="S93" i="19"/>
  <c r="T109" i="19"/>
  <c r="T108" i="19"/>
  <c r="S77" i="19"/>
  <c r="T79" i="19"/>
  <c r="U104" i="14" s="1"/>
  <c r="U105" i="14" s="1"/>
  <c r="U228" i="14" s="1"/>
  <c r="S80" i="19"/>
  <c r="T106" i="14" s="1"/>
  <c r="T129" i="19"/>
  <c r="S68" i="19"/>
  <c r="T96" i="14" s="1"/>
  <c r="S69" i="19"/>
  <c r="T99" i="14" s="1"/>
  <c r="S70" i="19"/>
  <c r="T100" i="14" s="1"/>
  <c r="T98" i="14" s="1"/>
  <c r="S71" i="19"/>
  <c r="T101" i="14" s="1"/>
  <c r="Q293" i="20"/>
  <c r="W172" i="19"/>
  <c r="X135" i="14" s="1"/>
  <c r="U131" i="19"/>
  <c r="W219" i="20"/>
  <c r="W177" i="19" s="1"/>
  <c r="W216" i="20"/>
  <c r="W218" i="20"/>
  <c r="W217" i="20"/>
  <c r="W175" i="19" s="1"/>
  <c r="W215" i="20"/>
  <c r="W173" i="19" s="1"/>
  <c r="W202" i="20"/>
  <c r="W204" i="20"/>
  <c r="W206" i="20"/>
  <c r="W167" i="19" s="1"/>
  <c r="W203" i="20"/>
  <c r="W205" i="20"/>
  <c r="U138" i="20"/>
  <c r="U141" i="20"/>
  <c r="U117" i="19" s="1"/>
  <c r="U140" i="20"/>
  <c r="U116" i="19" s="1"/>
  <c r="U137" i="20"/>
  <c r="U139" i="20"/>
  <c r="U115" i="19" s="1"/>
  <c r="U135" i="20"/>
  <c r="U131" i="20"/>
  <c r="U107" i="19" s="1"/>
  <c r="U132" i="20"/>
  <c r="U133" i="20"/>
  <c r="U134" i="20"/>
  <c r="U110" i="19" s="1"/>
  <c r="V148" i="20"/>
  <c r="V130" i="20"/>
  <c r="V142" i="20"/>
  <c r="V136" i="20"/>
  <c r="V112" i="19" s="1"/>
  <c r="W126" i="14" s="1"/>
  <c r="U143" i="20"/>
  <c r="U145" i="20"/>
  <c r="U121" i="19" s="1"/>
  <c r="U146" i="20"/>
  <c r="U122" i="19" s="1"/>
  <c r="U147" i="20"/>
  <c r="U144" i="20"/>
  <c r="U150" i="20"/>
  <c r="U153" i="20"/>
  <c r="U149" i="20"/>
  <c r="U125" i="19" s="1"/>
  <c r="U151" i="20"/>
  <c r="U127" i="19" s="1"/>
  <c r="U152" i="20"/>
  <c r="U128" i="19" s="1"/>
  <c r="T100" i="20"/>
  <c r="T104" i="20"/>
  <c r="T96" i="19" s="1"/>
  <c r="T103" i="20"/>
  <c r="T95" i="19" s="1"/>
  <c r="T102" i="20"/>
  <c r="T101" i="20"/>
  <c r="T95" i="20"/>
  <c r="T94" i="20"/>
  <c r="T96" i="20"/>
  <c r="T97" i="20"/>
  <c r="T98" i="20"/>
  <c r="T79" i="20"/>
  <c r="U101" i="12" s="1"/>
  <c r="U97" i="12" s="1"/>
  <c r="T78" i="20"/>
  <c r="U100" i="12" s="1"/>
  <c r="U98" i="12" s="1"/>
  <c r="T77" i="20"/>
  <c r="T80" i="20"/>
  <c r="T72" i="19" s="1"/>
  <c r="T76" i="20"/>
  <c r="U96" i="12" s="1"/>
  <c r="U75" i="20"/>
  <c r="U67" i="19" s="1"/>
  <c r="V93" i="14" s="1"/>
  <c r="U99" i="20"/>
  <c r="U87" i="20"/>
  <c r="V104" i="12" s="1"/>
  <c r="V105" i="12" s="1"/>
  <c r="U81" i="20"/>
  <c r="U93" i="20"/>
  <c r="U85" i="19" s="1"/>
  <c r="V124" i="14" s="1"/>
  <c r="T88" i="20"/>
  <c r="U106" i="12" s="1"/>
  <c r="T91" i="20"/>
  <c r="T89" i="20"/>
  <c r="T81" i="19" s="1"/>
  <c r="T92" i="20"/>
  <c r="T84" i="19" s="1"/>
  <c r="T90" i="20"/>
  <c r="T82" i="19" s="1"/>
  <c r="T82" i="20"/>
  <c r="T85" i="20"/>
  <c r="T86" i="20"/>
  <c r="T78" i="19" s="1"/>
  <c r="T84" i="20"/>
  <c r="T83" i="20"/>
  <c r="W19" i="20"/>
  <c r="W222" i="20" s="1"/>
  <c r="W28" i="20"/>
  <c r="W46" i="20" s="1"/>
  <c r="X94" i="12" s="1"/>
  <c r="T226" i="14"/>
  <c r="X31" i="20"/>
  <c r="X49" i="20" s="1"/>
  <c r="X214" i="20" s="1"/>
  <c r="Y135" i="12" s="1"/>
  <c r="V169" i="19"/>
  <c r="W30" i="20"/>
  <c r="W48" i="20" s="1"/>
  <c r="T36" i="20"/>
  <c r="T37" i="20"/>
  <c r="V103" i="19"/>
  <c r="V100" i="19"/>
  <c r="W126" i="12"/>
  <c r="V104" i="19"/>
  <c r="V99" i="19"/>
  <c r="V102" i="19"/>
  <c r="V101" i="19"/>
  <c r="V157" i="19"/>
  <c r="X123" i="12"/>
  <c r="W160" i="19"/>
  <c r="W158" i="19"/>
  <c r="V45" i="20"/>
  <c r="V32" i="20"/>
  <c r="CI4" i="55" s="1"/>
  <c r="DO4" i="55" s="1"/>
  <c r="V133" i="19"/>
  <c r="V135" i="19"/>
  <c r="V132" i="19"/>
  <c r="V134" i="19"/>
  <c r="V136" i="19"/>
  <c r="W125" i="12"/>
  <c r="R281" i="20"/>
  <c r="R282" i="20"/>
  <c r="S274" i="20"/>
  <c r="S271" i="20"/>
  <c r="S273" i="20"/>
  <c r="S272" i="20"/>
  <c r="U256" i="20"/>
  <c r="U34" i="20"/>
  <c r="X29" i="20"/>
  <c r="X47" i="20" s="1"/>
  <c r="X201" i="20" s="1"/>
  <c r="X162" i="19" s="1"/>
  <c r="Y123" i="14" s="1"/>
  <c r="T226" i="12"/>
  <c r="T225" i="20"/>
  <c r="S258" i="20"/>
  <c r="U95" i="12"/>
  <c r="U55" i="19"/>
  <c r="U52" i="19" s="1"/>
  <c r="U62" i="19"/>
  <c r="U60" i="19"/>
  <c r="V93" i="12"/>
  <c r="U58" i="19"/>
  <c r="U64" i="19"/>
  <c r="U53" i="19"/>
  <c r="U65" i="19"/>
  <c r="U54" i="19"/>
  <c r="U57" i="19"/>
  <c r="U63" i="19"/>
  <c r="U61" i="19"/>
  <c r="U50" i="20"/>
  <c r="U221" i="20" s="1"/>
  <c r="U56" i="19"/>
  <c r="V124" i="12"/>
  <c r="Q278" i="20"/>
  <c r="Q277" i="20"/>
  <c r="W170" i="19"/>
  <c r="P280" i="20"/>
  <c r="P279" i="20"/>
  <c r="P283" i="20" s="1"/>
  <c r="X19" i="20"/>
  <c r="W27" i="20"/>
  <c r="T179" i="19"/>
  <c r="T266" i="20"/>
  <c r="T318" i="20"/>
  <c r="T270" i="20"/>
  <c r="T267" i="20"/>
  <c r="T317" i="20"/>
  <c r="R276" i="20"/>
  <c r="R275" i="20"/>
  <c r="AF87" i="29" l="1"/>
  <c r="AG61" i="16"/>
  <c r="R263" i="20"/>
  <c r="CE40" i="55" s="1"/>
  <c r="AE92" i="29"/>
  <c r="AG88" i="29"/>
  <c r="AH61" i="15"/>
  <c r="M16" i="31"/>
  <c r="Z336" i="42"/>
  <c r="AA324" i="42"/>
  <c r="AE294" i="42"/>
  <c r="BF61" i="55"/>
  <c r="Y345" i="42"/>
  <c r="AD141" i="15"/>
  <c r="AD142" i="15" s="1"/>
  <c r="BF84" i="55"/>
  <c r="BE58" i="55"/>
  <c r="BF81" i="55"/>
  <c r="AD141" i="16"/>
  <c r="AD142" i="16" s="1"/>
  <c r="DR81" i="55"/>
  <c r="Z340" i="42"/>
  <c r="W213" i="28"/>
  <c r="R262" i="20"/>
  <c r="CE39" i="55" s="1"/>
  <c r="R260" i="20"/>
  <c r="X61" i="55"/>
  <c r="W208" i="28"/>
  <c r="R264" i="20"/>
  <c r="CE41" i="55" s="1"/>
  <c r="R265" i="20"/>
  <c r="CE42" i="55" s="1"/>
  <c r="AF246" i="38"/>
  <c r="X58" i="55"/>
  <c r="DQ58" i="55"/>
  <c r="BE61" i="55"/>
  <c r="X199" i="29"/>
  <c r="AF66" i="16"/>
  <c r="AE311" i="42"/>
  <c r="BL85" i="55" s="1"/>
  <c r="AE309" i="42"/>
  <c r="AE312" i="42"/>
  <c r="BL86" i="55" s="1"/>
  <c r="AE314" i="42"/>
  <c r="BL88" i="55" s="1"/>
  <c r="AE310" i="42"/>
  <c r="AE313" i="42"/>
  <c r="BL87" i="55" s="1"/>
  <c r="AC237" i="19"/>
  <c r="AC241" i="19" s="1"/>
  <c r="AC238" i="19"/>
  <c r="AF108" i="42"/>
  <c r="AF105" i="42"/>
  <c r="AF109" i="42" s="1"/>
  <c r="AF107" i="42"/>
  <c r="AF111" i="42" s="1"/>
  <c r="AF106" i="42"/>
  <c r="AF110" i="42" s="1"/>
  <c r="AB165" i="29"/>
  <c r="BI62" i="55" s="1"/>
  <c r="AB166" i="29"/>
  <c r="BI63" i="55" s="1"/>
  <c r="AB168" i="29"/>
  <c r="BI65" i="55" s="1"/>
  <c r="AB163" i="29"/>
  <c r="AB164" i="29"/>
  <c r="AB167" i="29"/>
  <c r="BI64" i="55" s="1"/>
  <c r="AB178" i="29"/>
  <c r="DV57" i="55"/>
  <c r="BJ57" i="55"/>
  <c r="AC148" i="29"/>
  <c r="AG50" i="29"/>
  <c r="AG145" i="29" s="1"/>
  <c r="AD160" i="29"/>
  <c r="AD172" i="29" s="1"/>
  <c r="AD161" i="29"/>
  <c r="AE233" i="19"/>
  <c r="AE234" i="19"/>
  <c r="CP57" i="55"/>
  <c r="AC152" i="28"/>
  <c r="AG213" i="48"/>
  <c r="AG218" i="48" s="1"/>
  <c r="AG210" i="48"/>
  <c r="AG215" i="48" s="1"/>
  <c r="AG212" i="48"/>
  <c r="AG217" i="48" s="1"/>
  <c r="AG211" i="48"/>
  <c r="AG216" i="48" s="1"/>
  <c r="AG214" i="48"/>
  <c r="AF59" i="15"/>
  <c r="AF135" i="15" s="1"/>
  <c r="AF66" i="15"/>
  <c r="AB156" i="28"/>
  <c r="CO63" i="55" s="1"/>
  <c r="AB158" i="28"/>
  <c r="CO65" i="55" s="1"/>
  <c r="AB157" i="28"/>
  <c r="CO64" i="55" s="1"/>
  <c r="AB153" i="28"/>
  <c r="AB155" i="28"/>
  <c r="CO62" i="55" s="1"/>
  <c r="AB154" i="28"/>
  <c r="CO61" i="55" s="1"/>
  <c r="AD300" i="42"/>
  <c r="AD301" i="42"/>
  <c r="Z72" i="16"/>
  <c r="BF34" i="58" s="1"/>
  <c r="Y200" i="29"/>
  <c r="Z73" i="16" s="1"/>
  <c r="AG32" i="28"/>
  <c r="AG45" i="28"/>
  <c r="AB328" i="42"/>
  <c r="AB329" i="42" s="1"/>
  <c r="AB338" i="42" s="1"/>
  <c r="AE299" i="42"/>
  <c r="AE297" i="42"/>
  <c r="AE298" i="42"/>
  <c r="AE296" i="42"/>
  <c r="AP123" i="15"/>
  <c r="AE68" i="16"/>
  <c r="AE77" i="16"/>
  <c r="AE133" i="16" a="1"/>
  <c r="AE134" i="16"/>
  <c r="AE140" i="16" s="1"/>
  <c r="AF37" i="29"/>
  <c r="AF36" i="29"/>
  <c r="AF98" i="42"/>
  <c r="AF102" i="42" s="1"/>
  <c r="AF97" i="42"/>
  <c r="AF101" i="42" s="1"/>
  <c r="AF100" i="42"/>
  <c r="AF99" i="42"/>
  <c r="AF103" i="42" s="1"/>
  <c r="AB159" i="29"/>
  <c r="AB158" i="29"/>
  <c r="AB162" i="29" s="1"/>
  <c r="AC174" i="29"/>
  <c r="AC177" i="29" s="1"/>
  <c r="AG34" i="29"/>
  <c r="AG135" i="29"/>
  <c r="AR106" i="16"/>
  <c r="X82" i="16"/>
  <c r="AH136" i="16"/>
  <c r="AP117" i="15"/>
  <c r="AH49" i="15"/>
  <c r="AE240" i="19"/>
  <c r="AE239" i="19"/>
  <c r="AE251" i="19" s="1"/>
  <c r="AC178" i="28"/>
  <c r="AC179" i="28"/>
  <c r="AD62" i="55" s="1"/>
  <c r="AC177" i="28"/>
  <c r="AC181" i="28"/>
  <c r="AD64" i="55" s="1"/>
  <c r="AC180" i="28"/>
  <c r="AD63" i="55" s="1"/>
  <c r="AC182" i="28"/>
  <c r="AD65" i="55" s="1"/>
  <c r="AD151" i="28"/>
  <c r="AE217" i="28"/>
  <c r="AF46" i="16"/>
  <c r="AF67" i="16"/>
  <c r="AD307" i="42"/>
  <c r="AD306" i="42"/>
  <c r="AG197" i="53"/>
  <c r="AG34" i="53"/>
  <c r="V213" i="28"/>
  <c r="AG172" i="48"/>
  <c r="AG171" i="48"/>
  <c r="AG176" i="48" s="1"/>
  <c r="AG170" i="48"/>
  <c r="AG175" i="48" s="1"/>
  <c r="AG169" i="48"/>
  <c r="AG174" i="48" s="1"/>
  <c r="AG168" i="48"/>
  <c r="AG173" i="48" s="1"/>
  <c r="Y69" i="15"/>
  <c r="Y71" i="15" s="1"/>
  <c r="Y33" i="58" s="1"/>
  <c r="Y58" i="55"/>
  <c r="X208" i="28"/>
  <c r="Y61" i="55"/>
  <c r="X213" i="28"/>
  <c r="AD312" i="38"/>
  <c r="AE86" i="55" s="1"/>
  <c r="AD314" i="38"/>
  <c r="AE88" i="55" s="1"/>
  <c r="AD313" i="38"/>
  <c r="AE87" i="55" s="1"/>
  <c r="AD309" i="38"/>
  <c r="AD311" i="38"/>
  <c r="AE85" i="55" s="1"/>
  <c r="AD310" i="38"/>
  <c r="AF230" i="19"/>
  <c r="AF232" i="19"/>
  <c r="AF229" i="19"/>
  <c r="AF231" i="19"/>
  <c r="AG281" i="38"/>
  <c r="AG34" i="38"/>
  <c r="AF81" i="42"/>
  <c r="AF85" i="42" s="1"/>
  <c r="AF82" i="42"/>
  <c r="AF86" i="42" s="1"/>
  <c r="AF83" i="42"/>
  <c r="AF87" i="42" s="1"/>
  <c r="AF84" i="42"/>
  <c r="AH85" i="45"/>
  <c r="AH86" i="45"/>
  <c r="AH87" i="45"/>
  <c r="BN86" i="45"/>
  <c r="BN85" i="45"/>
  <c r="BN87" i="45"/>
  <c r="AP114" i="15"/>
  <c r="Z189" i="28"/>
  <c r="Z190" i="28" s="1"/>
  <c r="Z191" i="28"/>
  <c r="AG228" i="19"/>
  <c r="AG276" i="19"/>
  <c r="AG275" i="19"/>
  <c r="AG225" i="19"/>
  <c r="AG224" i="19"/>
  <c r="AB142" i="29"/>
  <c r="AB144" i="29"/>
  <c r="AB139" i="29"/>
  <c r="AB141" i="29"/>
  <c r="AB143" i="29"/>
  <c r="AB140" i="29"/>
  <c r="AD155" i="29"/>
  <c r="AD154" i="29"/>
  <c r="AC167" i="28"/>
  <c r="AC165" i="28"/>
  <c r="AC164" i="28"/>
  <c r="AC166" i="28"/>
  <c r="AE153" i="29"/>
  <c r="AE152" i="29"/>
  <c r="AE150" i="29"/>
  <c r="AE151" i="29"/>
  <c r="AA170" i="28"/>
  <c r="AA171" i="28"/>
  <c r="V208" i="28"/>
  <c r="AG96" i="38"/>
  <c r="AG72" i="38"/>
  <c r="AG73" i="38" s="1"/>
  <c r="AG104" i="38"/>
  <c r="AG80" i="38"/>
  <c r="AG47" i="38"/>
  <c r="AG291" i="38" s="1"/>
  <c r="AG249" i="38"/>
  <c r="AF76" i="42"/>
  <c r="AF73" i="42"/>
  <c r="AF77" i="42" s="1"/>
  <c r="AF74" i="42"/>
  <c r="AF78" i="42" s="1"/>
  <c r="AF75" i="42"/>
  <c r="AF79" i="42" s="1"/>
  <c r="AB169" i="28"/>
  <c r="AB168" i="28"/>
  <c r="AG150" i="48"/>
  <c r="AG155" i="48" s="1"/>
  <c r="AG151" i="48"/>
  <c r="AG156" i="48" s="1"/>
  <c r="AG149" i="48"/>
  <c r="AG154" i="48" s="1"/>
  <c r="AG148" i="48"/>
  <c r="AG153" i="48" s="1"/>
  <c r="AG152" i="48"/>
  <c r="AG214" i="19"/>
  <c r="AG34" i="19"/>
  <c r="AD104" i="29"/>
  <c r="AC137" i="29"/>
  <c r="AC138" i="29" s="1"/>
  <c r="AD236" i="19"/>
  <c r="AD235" i="19"/>
  <c r="AF67" i="15"/>
  <c r="AF46" i="15"/>
  <c r="AF65" i="16"/>
  <c r="AF139" i="16" s="1"/>
  <c r="AC290" i="42"/>
  <c r="AC288" i="42"/>
  <c r="AC285" i="42"/>
  <c r="AC286" i="42"/>
  <c r="AC287" i="42"/>
  <c r="AC289" i="42"/>
  <c r="DX80" i="55"/>
  <c r="BL80" i="55"/>
  <c r="AF37" i="19"/>
  <c r="AF36" i="19"/>
  <c r="W61" i="55"/>
  <c r="AF216" i="28"/>
  <c r="AF55" i="29"/>
  <c r="AF52" i="29" s="1"/>
  <c r="AF92" i="29" s="1"/>
  <c r="AF53" i="29"/>
  <c r="AF50" i="28"/>
  <c r="AF117" i="28" s="1"/>
  <c r="AF54" i="29"/>
  <c r="AG62" i="15"/>
  <c r="AG65" i="15" s="1"/>
  <c r="AG139" i="15" s="1"/>
  <c r="AF56" i="29"/>
  <c r="AF59" i="29"/>
  <c r="AG44" i="16" s="1"/>
  <c r="AF60" i="29"/>
  <c r="AF61" i="29"/>
  <c r="AF62" i="29"/>
  <c r="AG62" i="16" s="1"/>
  <c r="AG65" i="16" s="1"/>
  <c r="AG139" i="16" s="1"/>
  <c r="AG44" i="15"/>
  <c r="AF57" i="29"/>
  <c r="AF63" i="29"/>
  <c r="AG56" i="16" s="1"/>
  <c r="AG56" i="15"/>
  <c r="AG160" i="48"/>
  <c r="AG165" i="48" s="1"/>
  <c r="AG162" i="48"/>
  <c r="AG158" i="48"/>
  <c r="AG163" i="48" s="1"/>
  <c r="AG161" i="48"/>
  <c r="AG166" i="48" s="1"/>
  <c r="AG159" i="48"/>
  <c r="AG164" i="48" s="1"/>
  <c r="AF295" i="38"/>
  <c r="AF292" i="38"/>
  <c r="AF295" i="42"/>
  <c r="AF292" i="42"/>
  <c r="AB174" i="28"/>
  <c r="AB175" i="28"/>
  <c r="AD163" i="28"/>
  <c r="AD162" i="28"/>
  <c r="AD160" i="28"/>
  <c r="AE57" i="55"/>
  <c r="AA186" i="28"/>
  <c r="AA187" i="28" s="1"/>
  <c r="AA188" i="28"/>
  <c r="AA191" i="28" s="1"/>
  <c r="AC173" i="29"/>
  <c r="Z172" i="28"/>
  <c r="Z176" i="28" s="1"/>
  <c r="Z173" i="28"/>
  <c r="AE250" i="42"/>
  <c r="AD283" i="42"/>
  <c r="AD284" i="42" s="1"/>
  <c r="AE196" i="29"/>
  <c r="AE197" i="29"/>
  <c r="W58" i="55"/>
  <c r="AA329" i="42"/>
  <c r="AA338" i="42" s="1"/>
  <c r="Y196" i="28"/>
  <c r="AF34" i="28"/>
  <c r="AF149" i="28"/>
  <c r="AF316" i="42"/>
  <c r="AF317" i="42" s="1"/>
  <c r="AF293" i="42"/>
  <c r="AF294" i="42" s="1"/>
  <c r="AF146" i="29"/>
  <c r="AF149" i="29"/>
  <c r="AC318" i="42"/>
  <c r="AC319" i="42" s="1"/>
  <c r="AC320" i="42"/>
  <c r="AC323" i="42" s="1"/>
  <c r="AC303" i="42"/>
  <c r="AC302" i="42"/>
  <c r="AG34" i="42"/>
  <c r="AG281" i="42"/>
  <c r="AE210" i="28"/>
  <c r="AE211" i="28"/>
  <c r="AE159" i="28"/>
  <c r="AE184" i="28"/>
  <c r="AE185" i="28" s="1"/>
  <c r="AE161" i="28"/>
  <c r="AG179" i="48"/>
  <c r="AG184" i="48" s="1"/>
  <c r="AG182" i="48"/>
  <c r="AG181" i="48"/>
  <c r="AG186" i="48" s="1"/>
  <c r="AG180" i="48"/>
  <c r="AG185" i="48" s="1"/>
  <c r="AG178" i="48"/>
  <c r="AG183" i="48" s="1"/>
  <c r="AE294" i="38"/>
  <c r="W71" i="15"/>
  <c r="W33" i="58" s="1"/>
  <c r="Z190" i="29"/>
  <c r="AB177" i="29"/>
  <c r="AF293" i="38"/>
  <c r="AG80" i="55" s="1"/>
  <c r="AF316" i="38"/>
  <c r="AB305" i="42"/>
  <c r="AB304" i="42"/>
  <c r="AB308" i="42" s="1"/>
  <c r="AQ110" i="15"/>
  <c r="AG232" i="48"/>
  <c r="AG237" i="48" s="1"/>
  <c r="AG234" i="48"/>
  <c r="AG230" i="48"/>
  <c r="AG235" i="48" s="1"/>
  <c r="AG231" i="48"/>
  <c r="AG236" i="48" s="1"/>
  <c r="AG233" i="48"/>
  <c r="AG238" i="48" s="1"/>
  <c r="AE37" i="28"/>
  <c r="AE36" i="28"/>
  <c r="AG249" i="42"/>
  <c r="AG72" i="42"/>
  <c r="AG96" i="42"/>
  <c r="AG104" i="42"/>
  <c r="AG47" i="42"/>
  <c r="AG291" i="42" s="1"/>
  <c r="AG80" i="42"/>
  <c r="AG197" i="54"/>
  <c r="AG34" i="54"/>
  <c r="AD301" i="38"/>
  <c r="AD300" i="38"/>
  <c r="AE133" i="15" a="1"/>
  <c r="AE68" i="15"/>
  <c r="AE77" i="15" s="1"/>
  <c r="AE134" i="15"/>
  <c r="AE140" i="15" s="1"/>
  <c r="AE299" i="38"/>
  <c r="AE296" i="38"/>
  <c r="AE298" i="38"/>
  <c r="AE297" i="38"/>
  <c r="AB321" i="42"/>
  <c r="AB322" i="42" s="1"/>
  <c r="AB324" i="42" s="1"/>
  <c r="AF246" i="42"/>
  <c r="AB304" i="38"/>
  <c r="AB308" i="38" s="1"/>
  <c r="AB305" i="38"/>
  <c r="AC156" i="29"/>
  <c r="AC157" i="29"/>
  <c r="AD170" i="29"/>
  <c r="AD171" i="29" s="1"/>
  <c r="AD147" i="29"/>
  <c r="AG223" i="48"/>
  <c r="AG228" i="48" s="1"/>
  <c r="AG224" i="48"/>
  <c r="AG221" i="48"/>
  <c r="AG226" i="48" s="1"/>
  <c r="AG222" i="48"/>
  <c r="AG227" i="48" s="1"/>
  <c r="AG220" i="48"/>
  <c r="AG225" i="48" s="1"/>
  <c r="Y71" i="16"/>
  <c r="BE33" i="58" s="1"/>
  <c r="AE103" i="29"/>
  <c r="AE91" i="29"/>
  <c r="AD306" i="38"/>
  <c r="AD318" i="38" s="1"/>
  <c r="AD307" i="38"/>
  <c r="AC302" i="38"/>
  <c r="AC303" i="38"/>
  <c r="AA183" i="29"/>
  <c r="AA190" i="29" s="1"/>
  <c r="S259" i="20"/>
  <c r="CF34" i="55"/>
  <c r="S183" i="19"/>
  <c r="R216" i="19"/>
  <c r="U73" i="19"/>
  <c r="V114" i="14" s="1"/>
  <c r="V114" i="12"/>
  <c r="T75" i="19"/>
  <c r="T97" i="14"/>
  <c r="U110" i="14"/>
  <c r="U108" i="14" s="1"/>
  <c r="U91" i="19"/>
  <c r="V136" i="14" s="1"/>
  <c r="V136" i="12"/>
  <c r="U99" i="12"/>
  <c r="U109" i="12"/>
  <c r="U109" i="14"/>
  <c r="U126" i="19"/>
  <c r="V106" i="19"/>
  <c r="W103" i="14" s="1"/>
  <c r="W103" i="12"/>
  <c r="V124" i="19"/>
  <c r="W138" i="14" s="1"/>
  <c r="W138" i="12"/>
  <c r="U113" i="19"/>
  <c r="U123" i="19"/>
  <c r="U111" i="19"/>
  <c r="V95" i="14"/>
  <c r="U114" i="19"/>
  <c r="W174" i="19"/>
  <c r="V98" i="19"/>
  <c r="T92" i="19"/>
  <c r="W176" i="19"/>
  <c r="T94" i="19"/>
  <c r="V228" i="12"/>
  <c r="T88" i="19"/>
  <c r="T87" i="19"/>
  <c r="W166" i="19"/>
  <c r="W163" i="19"/>
  <c r="W164" i="19"/>
  <c r="W165" i="19"/>
  <c r="T89" i="19"/>
  <c r="T86" i="19"/>
  <c r="T76" i="19"/>
  <c r="T74" i="19"/>
  <c r="U180" i="19"/>
  <c r="U108" i="19"/>
  <c r="V118" i="19"/>
  <c r="W94" i="14" s="1"/>
  <c r="U120" i="19"/>
  <c r="U119" i="19"/>
  <c r="U110" i="12"/>
  <c r="U108" i="12" s="1"/>
  <c r="T93" i="19"/>
  <c r="U109" i="19"/>
  <c r="T83" i="19"/>
  <c r="U111" i="14" s="1"/>
  <c r="U107" i="14" s="1"/>
  <c r="U111" i="12"/>
  <c r="U107" i="12" s="1"/>
  <c r="T90" i="19"/>
  <c r="T80" i="19"/>
  <c r="U106" i="14" s="1"/>
  <c r="U129" i="19"/>
  <c r="T77" i="19"/>
  <c r="U79" i="19"/>
  <c r="V104" i="14" s="1"/>
  <c r="V105" i="14" s="1"/>
  <c r="V228" i="14" s="1"/>
  <c r="T69" i="19"/>
  <c r="U99" i="14" s="1"/>
  <c r="T70" i="19"/>
  <c r="U100" i="14" s="1"/>
  <c r="U98" i="14" s="1"/>
  <c r="T68" i="19"/>
  <c r="U96" i="14" s="1"/>
  <c r="T71" i="19"/>
  <c r="U101" i="14" s="1"/>
  <c r="R293" i="20"/>
  <c r="X172" i="19"/>
  <c r="Y135" i="14" s="1"/>
  <c r="V131" i="19"/>
  <c r="X215" i="20"/>
  <c r="X173" i="19" s="1"/>
  <c r="X217" i="20"/>
  <c r="X175" i="19" s="1"/>
  <c r="X219" i="20"/>
  <c r="X177" i="19" s="1"/>
  <c r="X216" i="20"/>
  <c r="X218" i="20"/>
  <c r="X203" i="20"/>
  <c r="X205" i="20"/>
  <c r="X202" i="20"/>
  <c r="X204" i="20"/>
  <c r="X206" i="20"/>
  <c r="X167" i="19" s="1"/>
  <c r="W148" i="20"/>
  <c r="W136" i="20"/>
  <c r="W112" i="19" s="1"/>
  <c r="X126" i="14" s="1"/>
  <c r="W130" i="20"/>
  <c r="W142" i="20"/>
  <c r="V149" i="20"/>
  <c r="V125" i="19" s="1"/>
  <c r="V152" i="20"/>
  <c r="V128" i="19" s="1"/>
  <c r="V151" i="20"/>
  <c r="V127" i="19" s="1"/>
  <c r="V150" i="20"/>
  <c r="V153" i="20"/>
  <c r="V131" i="20"/>
  <c r="V107" i="19" s="1"/>
  <c r="V132" i="20"/>
  <c r="V133" i="20"/>
  <c r="V134" i="20"/>
  <c r="V110" i="19" s="1"/>
  <c r="V135" i="20"/>
  <c r="V137" i="20"/>
  <c r="V138" i="20"/>
  <c r="V140" i="20"/>
  <c r="V116" i="19" s="1"/>
  <c r="V139" i="20"/>
  <c r="V115" i="19" s="1"/>
  <c r="V141" i="20"/>
  <c r="V117" i="19" s="1"/>
  <c r="V144" i="20"/>
  <c r="V147" i="20"/>
  <c r="V145" i="20"/>
  <c r="V121" i="19" s="1"/>
  <c r="V146" i="20"/>
  <c r="V122" i="19" s="1"/>
  <c r="V143" i="20"/>
  <c r="U83" i="20"/>
  <c r="U86" i="20"/>
  <c r="U78" i="19" s="1"/>
  <c r="U82" i="20"/>
  <c r="U84" i="20"/>
  <c r="U85" i="20"/>
  <c r="V75" i="20"/>
  <c r="V67" i="19" s="1"/>
  <c r="W93" i="14" s="1"/>
  <c r="V93" i="20"/>
  <c r="V85" i="19" s="1"/>
  <c r="W124" i="14" s="1"/>
  <c r="V87" i="20"/>
  <c r="W104" i="12" s="1"/>
  <c r="V81" i="20"/>
  <c r="V99" i="20"/>
  <c r="U98" i="20"/>
  <c r="U94" i="20"/>
  <c r="U95" i="20"/>
  <c r="U96" i="20"/>
  <c r="U97" i="20"/>
  <c r="U89" i="20"/>
  <c r="U81" i="19" s="1"/>
  <c r="U88" i="20"/>
  <c r="V106" i="12" s="1"/>
  <c r="U90" i="20"/>
  <c r="U82" i="19" s="1"/>
  <c r="U91" i="20"/>
  <c r="U92" i="20"/>
  <c r="U84" i="19" s="1"/>
  <c r="U76" i="20"/>
  <c r="V96" i="12" s="1"/>
  <c r="U77" i="20"/>
  <c r="U80" i="20"/>
  <c r="U72" i="19" s="1"/>
  <c r="U78" i="20"/>
  <c r="V100" i="12" s="1"/>
  <c r="V98" i="12" s="1"/>
  <c r="U79" i="20"/>
  <c r="V101" i="12" s="1"/>
  <c r="V97" i="12" s="1"/>
  <c r="U101" i="20"/>
  <c r="U102" i="20"/>
  <c r="U100" i="20"/>
  <c r="U103" i="20"/>
  <c r="U95" i="19" s="1"/>
  <c r="U104" i="20"/>
  <c r="U96" i="19" s="1"/>
  <c r="W45" i="20"/>
  <c r="W32" i="20"/>
  <c r="CJ4" i="55" s="1"/>
  <c r="DP4" i="55" s="1"/>
  <c r="V95" i="12"/>
  <c r="T258" i="20"/>
  <c r="U225" i="20"/>
  <c r="S276" i="20"/>
  <c r="S275" i="20"/>
  <c r="V60" i="19"/>
  <c r="W93" i="12"/>
  <c r="V50" i="20"/>
  <c r="V221" i="20" s="1"/>
  <c r="V63" i="19"/>
  <c r="V65" i="19"/>
  <c r="V54" i="19"/>
  <c r="V53" i="19"/>
  <c r="V62" i="19"/>
  <c r="V58" i="19"/>
  <c r="V57" i="19"/>
  <c r="V64" i="19"/>
  <c r="W124" i="12"/>
  <c r="V55" i="19"/>
  <c r="V52" i="19" s="1"/>
  <c r="V61" i="19"/>
  <c r="V56" i="19"/>
  <c r="X30" i="20"/>
  <c r="X48" i="20" s="1"/>
  <c r="Y31" i="20"/>
  <c r="Y49" i="20" s="1"/>
  <c r="Y214" i="20" s="1"/>
  <c r="Z135" i="12" s="1"/>
  <c r="T273" i="20"/>
  <c r="T274" i="20"/>
  <c r="T272" i="20"/>
  <c r="T271" i="20"/>
  <c r="U226" i="12"/>
  <c r="U37" i="20"/>
  <c r="U36" i="20"/>
  <c r="W157" i="19"/>
  <c r="U226" i="14"/>
  <c r="R277" i="20"/>
  <c r="R278" i="20"/>
  <c r="Y19" i="20"/>
  <c r="X27" i="20"/>
  <c r="X222" i="20"/>
  <c r="Q279" i="20"/>
  <c r="Q283" i="20" s="1"/>
  <c r="Q280" i="20"/>
  <c r="U317" i="20"/>
  <c r="U267" i="20"/>
  <c r="U266" i="20"/>
  <c r="U318" i="20"/>
  <c r="U270" i="20"/>
  <c r="W169" i="19"/>
  <c r="Y123" i="12"/>
  <c r="X158" i="19"/>
  <c r="X160" i="19"/>
  <c r="S281" i="20"/>
  <c r="S282" i="20"/>
  <c r="X28" i="20"/>
  <c r="X46" i="20" s="1"/>
  <c r="Y94" i="12" s="1"/>
  <c r="U179" i="19"/>
  <c r="Y29" i="20"/>
  <c r="Y47" i="20" s="1"/>
  <c r="Y201" i="20" s="1"/>
  <c r="Y162" i="19" s="1"/>
  <c r="Z123" i="14" s="1"/>
  <c r="V256" i="20"/>
  <c r="V34" i="20"/>
  <c r="W133" i="19"/>
  <c r="W136" i="19"/>
  <c r="W132" i="19"/>
  <c r="W134" i="19"/>
  <c r="W135" i="19"/>
  <c r="X125" i="12"/>
  <c r="X170" i="19"/>
  <c r="W103" i="19"/>
  <c r="W100" i="19"/>
  <c r="W99" i="19"/>
  <c r="W104" i="19"/>
  <c r="W101" i="19"/>
  <c r="X126" i="12"/>
  <c r="W102" i="19"/>
  <c r="AH61" i="16" l="1"/>
  <c r="AG87" i="29"/>
  <c r="S262" i="20"/>
  <c r="CF39" i="55" s="1"/>
  <c r="S263" i="20"/>
  <c r="CF40" i="55" s="1"/>
  <c r="S261" i="20"/>
  <c r="CF38" i="55" s="1"/>
  <c r="S260" i="20"/>
  <c r="S265" i="20"/>
  <c r="CF42" i="55" s="1"/>
  <c r="S264" i="20"/>
  <c r="CF41" i="55" s="1"/>
  <c r="Y346" i="42"/>
  <c r="BF127" i="36" s="1"/>
  <c r="BG81" i="55"/>
  <c r="DS81" i="55"/>
  <c r="BG84" i="55"/>
  <c r="Z345" i="42"/>
  <c r="BF126" i="36"/>
  <c r="BF39" i="58" s="1"/>
  <c r="W214" i="28"/>
  <c r="X73" i="15" s="1"/>
  <c r="X72" i="15"/>
  <c r="X34" i="58" s="1"/>
  <c r="Y72" i="16"/>
  <c r="BE34" i="58" s="1"/>
  <c r="X200" i="29"/>
  <c r="Y73" i="16" s="1"/>
  <c r="Z192" i="28"/>
  <c r="AE141" i="15"/>
  <c r="AE142" i="15" s="1"/>
  <c r="AE141" i="16"/>
  <c r="AE142" i="16" s="1"/>
  <c r="AC175" i="29"/>
  <c r="AC176" i="29" s="1"/>
  <c r="AA336" i="42"/>
  <c r="AF313" i="42"/>
  <c r="BM87" i="55" s="1"/>
  <c r="AF309" i="42"/>
  <c r="AF311" i="42"/>
  <c r="BM85" i="55" s="1"/>
  <c r="AF310" i="42"/>
  <c r="AF314" i="42"/>
  <c r="BM88" i="55" s="1"/>
  <c r="AF312" i="42"/>
  <c r="BM86" i="55" s="1"/>
  <c r="AC182" i="29"/>
  <c r="AE170" i="29"/>
  <c r="AE171" i="29" s="1"/>
  <c r="AE147" i="29"/>
  <c r="AG81" i="42"/>
  <c r="AG85" i="42" s="1"/>
  <c r="AG84" i="42"/>
  <c r="AG82" i="42"/>
  <c r="AG86" i="42" s="1"/>
  <c r="AG83" i="42"/>
  <c r="AG87" i="42" s="1"/>
  <c r="AE310" i="38"/>
  <c r="AE314" i="38"/>
  <c r="AF88" i="55" s="1"/>
  <c r="AE313" i="38"/>
  <c r="AF87" i="55" s="1"/>
  <c r="AE311" i="38"/>
  <c r="AF85" i="55" s="1"/>
  <c r="AE309" i="38"/>
  <c r="AE312" i="38"/>
  <c r="AF86" i="55" s="1"/>
  <c r="AE163" i="28"/>
  <c r="AE162" i="28"/>
  <c r="AE160" i="28"/>
  <c r="AC328" i="42"/>
  <c r="AF37" i="28"/>
  <c r="AF36" i="28"/>
  <c r="AA189" i="28"/>
  <c r="AA190" i="28" s="1"/>
  <c r="AA192" i="28" s="1"/>
  <c r="AG149" i="29"/>
  <c r="AG146" i="29"/>
  <c r="AA192" i="29"/>
  <c r="DT58" i="55" s="1"/>
  <c r="AG295" i="42"/>
  <c r="AG292" i="42"/>
  <c r="AD288" i="42"/>
  <c r="AD285" i="42"/>
  <c r="AD286" i="42"/>
  <c r="AD290" i="42"/>
  <c r="AD287" i="42"/>
  <c r="AD289" i="42"/>
  <c r="AC321" i="42"/>
  <c r="AC322" i="42" s="1"/>
  <c r="AC324" i="42" s="1"/>
  <c r="AF91" i="29"/>
  <c r="AF103" i="29"/>
  <c r="AC140" i="29"/>
  <c r="AC142" i="29"/>
  <c r="AC144" i="29"/>
  <c r="AC141" i="29"/>
  <c r="AC143" i="29"/>
  <c r="AC139" i="29"/>
  <c r="AG246" i="38"/>
  <c r="AD157" i="29"/>
  <c r="AD156" i="29"/>
  <c r="AF240" i="19"/>
  <c r="AF239" i="19"/>
  <c r="AF251" i="19" s="1"/>
  <c r="Y72" i="15"/>
  <c r="Y34" i="58" s="1"/>
  <c r="X214" i="28"/>
  <c r="Y73" i="15" s="1"/>
  <c r="AF134" i="16"/>
  <c r="AF140" i="16" s="1"/>
  <c r="AF77" i="16"/>
  <c r="AF133" i="16" a="1"/>
  <c r="AF68" i="16"/>
  <c r="AE235" i="19"/>
  <c r="AE236" i="19"/>
  <c r="AC164" i="29"/>
  <c r="AC167" i="29"/>
  <c r="BJ64" i="55" s="1"/>
  <c r="AC166" i="29"/>
  <c r="BJ63" i="55" s="1"/>
  <c r="AC168" i="29"/>
  <c r="BJ65" i="55" s="1"/>
  <c r="AC163" i="29"/>
  <c r="AC165" i="29"/>
  <c r="BJ62" i="55" s="1"/>
  <c r="AB69" i="16"/>
  <c r="DW57" i="55"/>
  <c r="BK57" i="55"/>
  <c r="AD148" i="29"/>
  <c r="AG105" i="42"/>
  <c r="AG109" i="42" s="1"/>
  <c r="AG108" i="42"/>
  <c r="AG107" i="42"/>
  <c r="AG111" i="42" s="1"/>
  <c r="AG106" i="42"/>
  <c r="AG110" i="42" s="1"/>
  <c r="Y197" i="28"/>
  <c r="Y206" i="28" s="1"/>
  <c r="Z70" i="15" s="1"/>
  <c r="AF250" i="42"/>
  <c r="AE283" i="42"/>
  <c r="AE284" i="42" s="1"/>
  <c r="AF298" i="42"/>
  <c r="AF296" i="42"/>
  <c r="AF299" i="42"/>
  <c r="AF297" i="42"/>
  <c r="AF184" i="28"/>
  <c r="AF185" i="28" s="1"/>
  <c r="AF161" i="28"/>
  <c r="AF134" i="15"/>
  <c r="AF140" i="15" s="1"/>
  <c r="AF133" i="15" a="1"/>
  <c r="AF68" i="15"/>
  <c r="AF77" i="15" s="1"/>
  <c r="AD137" i="29"/>
  <c r="AD138" i="29" s="1"/>
  <c r="AE104" i="29"/>
  <c r="AG316" i="38"/>
  <c r="AG293" i="38"/>
  <c r="AH80" i="55" s="1"/>
  <c r="BG126" i="36"/>
  <c r="BG39" i="58" s="1"/>
  <c r="Z346" i="42"/>
  <c r="BG127" i="36" s="1"/>
  <c r="AE154" i="29"/>
  <c r="AE155" i="29"/>
  <c r="AF217" i="28"/>
  <c r="AE151" i="28"/>
  <c r="AB336" i="42"/>
  <c r="AD174" i="29"/>
  <c r="AD175" i="29" s="1"/>
  <c r="AD176" i="29" s="1"/>
  <c r="AG98" i="42"/>
  <c r="AG102" i="42" s="1"/>
  <c r="AG100" i="42"/>
  <c r="AG97" i="42"/>
  <c r="AG101" i="42" s="1"/>
  <c r="AG99" i="42"/>
  <c r="AG103" i="42" s="1"/>
  <c r="AF153" i="29"/>
  <c r="AF151" i="29"/>
  <c r="AF150" i="29"/>
  <c r="AF152" i="29"/>
  <c r="AG67" i="16"/>
  <c r="AG46" i="16"/>
  <c r="AG36" i="19"/>
  <c r="AG37" i="19"/>
  <c r="AG295" i="38"/>
  <c r="AG292" i="38"/>
  <c r="AE161" i="29"/>
  <c r="AE160" i="29"/>
  <c r="AE172" i="29" s="1"/>
  <c r="W72" i="15"/>
  <c r="W34" i="58" s="1"/>
  <c r="V214" i="28"/>
  <c r="W73" i="15" s="1"/>
  <c r="CQ57" i="55"/>
  <c r="AD152" i="28"/>
  <c r="AG36" i="29"/>
  <c r="AG37" i="29"/>
  <c r="AG225" i="28"/>
  <c r="M2" i="31"/>
  <c r="AG53" i="29"/>
  <c r="AG59" i="29"/>
  <c r="AH44" i="16" s="1"/>
  <c r="M3" i="31"/>
  <c r="AG57" i="29"/>
  <c r="AG61" i="29"/>
  <c r="AH56" i="15"/>
  <c r="AG216" i="28"/>
  <c r="AG60" i="29"/>
  <c r="AH62" i="15"/>
  <c r="M5" i="31"/>
  <c r="AG62" i="29"/>
  <c r="AH62" i="16" s="1"/>
  <c r="AH65" i="16" s="1"/>
  <c r="AH44" i="15"/>
  <c r="AG56" i="29"/>
  <c r="AG55" i="29"/>
  <c r="AG52" i="29" s="1"/>
  <c r="AG92" i="29" s="1"/>
  <c r="AG50" i="28"/>
  <c r="AG117" i="28" s="1"/>
  <c r="AG63" i="29"/>
  <c r="AH56" i="16" s="1"/>
  <c r="AG54" i="29"/>
  <c r="AG222" i="28"/>
  <c r="AC305" i="38"/>
  <c r="AC304" i="38"/>
  <c r="AC308" i="38" s="1"/>
  <c r="AE300" i="38"/>
  <c r="AE301" i="38"/>
  <c r="AD302" i="38"/>
  <c r="AD303" i="38"/>
  <c r="AG74" i="42"/>
  <c r="AG78" i="42" s="1"/>
  <c r="AG73" i="42"/>
  <c r="AG77" i="42" s="1"/>
  <c r="AG76" i="42"/>
  <c r="AG75" i="42"/>
  <c r="AG79" i="42" s="1"/>
  <c r="AD177" i="28"/>
  <c r="AD181" i="28"/>
  <c r="AE64" i="55" s="1"/>
  <c r="AD179" i="28"/>
  <c r="AE62" i="55" s="1"/>
  <c r="AD182" i="28"/>
  <c r="AE65" i="55" s="1"/>
  <c r="AD178" i="28"/>
  <c r="AD180" i="28"/>
  <c r="AE63" i="55" s="1"/>
  <c r="AF294" i="38"/>
  <c r="AG59" i="15"/>
  <c r="AG135" i="15" s="1"/>
  <c r="AG66" i="15"/>
  <c r="AD237" i="19"/>
  <c r="AD241" i="19" s="1"/>
  <c r="AD238" i="19"/>
  <c r="AB171" i="28"/>
  <c r="AB170" i="28"/>
  <c r="AC168" i="28"/>
  <c r="AC169" i="28"/>
  <c r="AG231" i="19"/>
  <c r="AG230" i="19"/>
  <c r="AG232" i="19"/>
  <c r="AG229" i="19"/>
  <c r="AH136" i="15"/>
  <c r="AR106" i="15"/>
  <c r="X82" i="15"/>
  <c r="AF197" i="29"/>
  <c r="AF196" i="29"/>
  <c r="AG34" i="28"/>
  <c r="AG149" i="28"/>
  <c r="AD173" i="29"/>
  <c r="AC159" i="29"/>
  <c r="AC158" i="29"/>
  <c r="AC162" i="29" s="1"/>
  <c r="AG316" i="42"/>
  <c r="AG317" i="42" s="1"/>
  <c r="AG293" i="42"/>
  <c r="AI249" i="42"/>
  <c r="AB182" i="29"/>
  <c r="AB183" i="29" s="1"/>
  <c r="AB192" i="29" s="1"/>
  <c r="AC70" i="16" s="1"/>
  <c r="DY80" i="55"/>
  <c r="BM80" i="55"/>
  <c r="AD166" i="28"/>
  <c r="AD164" i="28"/>
  <c r="AD167" i="28"/>
  <c r="AD165" i="28"/>
  <c r="AF296" i="38"/>
  <c r="AF299" i="38"/>
  <c r="AF298" i="38"/>
  <c r="AF297" i="38"/>
  <c r="AG59" i="16"/>
  <c r="AG135" i="16" s="1"/>
  <c r="AG66" i="16"/>
  <c r="Z196" i="28"/>
  <c r="AE300" i="42"/>
  <c r="AE301" i="42"/>
  <c r="AE307" i="38"/>
  <c r="AE306" i="38"/>
  <c r="AE318" i="38" s="1"/>
  <c r="DS58" i="55"/>
  <c r="AA69" i="16"/>
  <c r="AA71" i="16" s="1"/>
  <c r="BG33" i="58" s="1"/>
  <c r="BG58" i="55"/>
  <c r="BG61" i="55"/>
  <c r="Z199" i="29"/>
  <c r="AF57" i="55"/>
  <c r="AC304" i="42"/>
  <c r="AC308" i="42" s="1"/>
  <c r="AC305" i="42"/>
  <c r="AA196" i="28"/>
  <c r="AD318" i="42"/>
  <c r="AD319" i="42" s="1"/>
  <c r="AD320" i="42"/>
  <c r="AD323" i="42" s="1"/>
  <c r="AG246" i="42"/>
  <c r="AB186" i="28"/>
  <c r="AB187" i="28" s="1"/>
  <c r="AB188" i="28"/>
  <c r="AB191" i="28" s="1"/>
  <c r="AG46" i="15"/>
  <c r="AG67" i="15"/>
  <c r="AF210" i="28"/>
  <c r="AF211" i="28"/>
  <c r="AF159" i="28"/>
  <c r="AA172" i="28"/>
  <c r="AA176" i="28" s="1"/>
  <c r="AA173" i="28"/>
  <c r="AC174" i="28"/>
  <c r="AC175" i="28"/>
  <c r="AF233" i="19"/>
  <c r="AF234" i="19"/>
  <c r="AE307" i="42"/>
  <c r="AE306" i="42"/>
  <c r="AD302" i="42"/>
  <c r="AD303" i="42"/>
  <c r="AC156" i="28"/>
  <c r="CP63" i="55" s="1"/>
  <c r="AC153" i="28"/>
  <c r="AC155" i="28"/>
  <c r="CP62" i="55" s="1"/>
  <c r="AC158" i="28"/>
  <c r="CP65" i="55" s="1"/>
  <c r="AC154" i="28"/>
  <c r="CP61" i="55" s="1"/>
  <c r="AC157" i="28"/>
  <c r="CP64" i="55" s="1"/>
  <c r="T259" i="20"/>
  <c r="T261" i="20" s="1"/>
  <c r="CG38" i="55" s="1"/>
  <c r="CG34" i="55"/>
  <c r="T183" i="19"/>
  <c r="S216" i="19"/>
  <c r="V109" i="12"/>
  <c r="V110" i="14"/>
  <c r="V108" i="14" s="1"/>
  <c r="V99" i="12"/>
  <c r="V73" i="19"/>
  <c r="W114" i="14" s="1"/>
  <c r="W114" i="12"/>
  <c r="U75" i="19"/>
  <c r="V91" i="19"/>
  <c r="W136" i="14" s="1"/>
  <c r="W136" i="12"/>
  <c r="U97" i="14"/>
  <c r="W105" i="12"/>
  <c r="W228" i="12" s="1"/>
  <c r="V111" i="19"/>
  <c r="W95" i="14"/>
  <c r="V123" i="19"/>
  <c r="W124" i="19"/>
  <c r="X138" i="14" s="1"/>
  <c r="X138" i="12"/>
  <c r="V109" i="14"/>
  <c r="V113" i="19"/>
  <c r="W106" i="19"/>
  <c r="X103" i="14" s="1"/>
  <c r="X103" i="12"/>
  <c r="V114" i="19"/>
  <c r="V126" i="19"/>
  <c r="X174" i="19"/>
  <c r="W98" i="19"/>
  <c r="U94" i="19"/>
  <c r="X176" i="19"/>
  <c r="U92" i="19"/>
  <c r="U88" i="19"/>
  <c r="U87" i="19"/>
  <c r="X163" i="19"/>
  <c r="X166" i="19"/>
  <c r="X164" i="19"/>
  <c r="X165" i="19"/>
  <c r="U89" i="19"/>
  <c r="U86" i="19"/>
  <c r="U76" i="19"/>
  <c r="U74" i="19"/>
  <c r="V180" i="19"/>
  <c r="V119" i="19"/>
  <c r="V120" i="19"/>
  <c r="V109" i="19"/>
  <c r="W118" i="19"/>
  <c r="X94" i="14" s="1"/>
  <c r="U93" i="19"/>
  <c r="V110" i="12"/>
  <c r="V108" i="12" s="1"/>
  <c r="U83" i="19"/>
  <c r="V111" i="14" s="1"/>
  <c r="V107" i="14" s="1"/>
  <c r="V111" i="12"/>
  <c r="V107" i="12" s="1"/>
  <c r="U90" i="19"/>
  <c r="V108" i="19"/>
  <c r="V129" i="19"/>
  <c r="V79" i="19"/>
  <c r="W104" i="14" s="1"/>
  <c r="W105" i="14" s="1"/>
  <c r="W228" i="14" s="1"/>
  <c r="U80" i="19"/>
  <c r="V106" i="14" s="1"/>
  <c r="U77" i="19"/>
  <c r="U68" i="19"/>
  <c r="V96" i="14" s="1"/>
  <c r="U71" i="19"/>
  <c r="V101" i="14" s="1"/>
  <c r="U70" i="19"/>
  <c r="V100" i="14" s="1"/>
  <c r="V98" i="14" s="1"/>
  <c r="U69" i="19"/>
  <c r="V99" i="14" s="1"/>
  <c r="S293" i="20"/>
  <c r="Y172" i="19"/>
  <c r="Z135" i="14" s="1"/>
  <c r="W131" i="19"/>
  <c r="Y215" i="20"/>
  <c r="Y173" i="19" s="1"/>
  <c r="Y217" i="20"/>
  <c r="Y175" i="19" s="1"/>
  <c r="Y219" i="20"/>
  <c r="Y177" i="19" s="1"/>
  <c r="Y218" i="20"/>
  <c r="Y216" i="20"/>
  <c r="Y203" i="20"/>
  <c r="Y205" i="20"/>
  <c r="Y202" i="20"/>
  <c r="Y204" i="20"/>
  <c r="Y206" i="20"/>
  <c r="Y167" i="19" s="1"/>
  <c r="W134" i="20"/>
  <c r="W110" i="19" s="1"/>
  <c r="W133" i="20"/>
  <c r="W132" i="20"/>
  <c r="W131" i="20"/>
  <c r="W107" i="19" s="1"/>
  <c r="W135" i="20"/>
  <c r="W137" i="20"/>
  <c r="W140" i="20"/>
  <c r="W116" i="19" s="1"/>
  <c r="W138" i="20"/>
  <c r="W139" i="20"/>
  <c r="W115" i="19" s="1"/>
  <c r="W141" i="20"/>
  <c r="W117" i="19" s="1"/>
  <c r="W146" i="20"/>
  <c r="W122" i="19" s="1"/>
  <c r="W144" i="20"/>
  <c r="W147" i="20"/>
  <c r="W143" i="20"/>
  <c r="W145" i="20"/>
  <c r="W121" i="19" s="1"/>
  <c r="X148" i="20"/>
  <c r="X142" i="20"/>
  <c r="X136" i="20"/>
  <c r="X112" i="19" s="1"/>
  <c r="Y126" i="14" s="1"/>
  <c r="X130" i="20"/>
  <c r="W149" i="20"/>
  <c r="W125" i="19" s="1"/>
  <c r="W151" i="20"/>
  <c r="W127" i="19" s="1"/>
  <c r="W152" i="20"/>
  <c r="W128" i="19" s="1"/>
  <c r="W150" i="20"/>
  <c r="W153" i="20"/>
  <c r="V102" i="20"/>
  <c r="V100" i="20"/>
  <c r="V103" i="20"/>
  <c r="V95" i="19" s="1"/>
  <c r="V101" i="20"/>
  <c r="V104" i="20"/>
  <c r="V96" i="19" s="1"/>
  <c r="V77" i="20"/>
  <c r="V76" i="20"/>
  <c r="W96" i="12" s="1"/>
  <c r="V79" i="20"/>
  <c r="W101" i="12" s="1"/>
  <c r="W97" i="12" s="1"/>
  <c r="V80" i="20"/>
  <c r="V72" i="19" s="1"/>
  <c r="V78" i="20"/>
  <c r="W100" i="12" s="1"/>
  <c r="W98" i="12" s="1"/>
  <c r="V96" i="20"/>
  <c r="V98" i="20"/>
  <c r="V95" i="20"/>
  <c r="V94" i="20"/>
  <c r="V97" i="20"/>
  <c r="W75" i="20"/>
  <c r="W67" i="19" s="1"/>
  <c r="X93" i="14" s="1"/>
  <c r="W87" i="20"/>
  <c r="X104" i="12" s="1"/>
  <c r="W93" i="20"/>
  <c r="W85" i="19" s="1"/>
  <c r="X124" i="14" s="1"/>
  <c r="W99" i="20"/>
  <c r="W81" i="20"/>
  <c r="V85" i="20"/>
  <c r="V86" i="20"/>
  <c r="V78" i="19" s="1"/>
  <c r="V83" i="20"/>
  <c r="V82" i="20"/>
  <c r="V84" i="20"/>
  <c r="V91" i="20"/>
  <c r="V90" i="20"/>
  <c r="V82" i="19" s="1"/>
  <c r="V89" i="20"/>
  <c r="V81" i="19" s="1"/>
  <c r="V88" i="20"/>
  <c r="W106" i="12" s="1"/>
  <c r="V92" i="20"/>
  <c r="V84" i="19" s="1"/>
  <c r="T276" i="20"/>
  <c r="T275" i="20"/>
  <c r="X133" i="19"/>
  <c r="X132" i="19"/>
  <c r="X136" i="19"/>
  <c r="Y125" i="12"/>
  <c r="X134" i="19"/>
  <c r="X135" i="19"/>
  <c r="V179" i="19"/>
  <c r="W95" i="12"/>
  <c r="X103" i="19"/>
  <c r="X100" i="19"/>
  <c r="X99" i="19"/>
  <c r="X102" i="19"/>
  <c r="X101" i="19"/>
  <c r="Y126" i="12"/>
  <c r="X104" i="19"/>
  <c r="R280" i="20"/>
  <c r="R279" i="20"/>
  <c r="R283" i="20" s="1"/>
  <c r="Y170" i="19"/>
  <c r="Y30" i="20"/>
  <c r="Y48" i="20" s="1"/>
  <c r="V226" i="12"/>
  <c r="W256" i="20"/>
  <c r="W34" i="20"/>
  <c r="Y28" i="20"/>
  <c r="Y46" i="20" s="1"/>
  <c r="Z94" i="12" s="1"/>
  <c r="X157" i="19"/>
  <c r="U273" i="20"/>
  <c r="U274" i="20"/>
  <c r="U272" i="20"/>
  <c r="U271" i="20"/>
  <c r="X45" i="20"/>
  <c r="X32" i="20"/>
  <c r="CK4" i="55" s="1"/>
  <c r="DQ4" i="55" s="1"/>
  <c r="V226" i="14"/>
  <c r="Z31" i="20"/>
  <c r="Z49" i="20" s="1"/>
  <c r="Z214" i="20" s="1"/>
  <c r="AA135" i="12" s="1"/>
  <c r="V318" i="20"/>
  <c r="V270" i="20"/>
  <c r="V266" i="20"/>
  <c r="V267" i="20"/>
  <c r="V317" i="20"/>
  <c r="S278" i="20"/>
  <c r="S277" i="20"/>
  <c r="W60" i="19"/>
  <c r="X93" i="12"/>
  <c r="W58" i="19"/>
  <c r="W53" i="19"/>
  <c r="W50" i="20"/>
  <c r="W221" i="20" s="1"/>
  <c r="X124" i="12"/>
  <c r="W61" i="19"/>
  <c r="W57" i="19"/>
  <c r="W64" i="19"/>
  <c r="W62" i="19"/>
  <c r="W56" i="19"/>
  <c r="W55" i="19"/>
  <c r="W52" i="19" s="1"/>
  <c r="W54" i="19"/>
  <c r="W63" i="19"/>
  <c r="W65" i="19"/>
  <c r="Z123" i="12"/>
  <c r="Y158" i="19"/>
  <c r="Y160" i="19"/>
  <c r="X169" i="19"/>
  <c r="V37" i="20"/>
  <c r="V36" i="20"/>
  <c r="Z29" i="20"/>
  <c r="Z47" i="20" s="1"/>
  <c r="Z201" i="20" s="1"/>
  <c r="Z162" i="19" s="1"/>
  <c r="AA123" i="14" s="1"/>
  <c r="Y27" i="20"/>
  <c r="Y222" i="20"/>
  <c r="Z19" i="20"/>
  <c r="T281" i="20"/>
  <c r="T282" i="20"/>
  <c r="V225" i="20"/>
  <c r="U258" i="20"/>
  <c r="T263" i="20" l="1"/>
  <c r="CG40" i="55" s="1"/>
  <c r="AC178" i="29"/>
  <c r="AA340" i="42"/>
  <c r="BH81" i="55"/>
  <c r="DT81" i="55"/>
  <c r="BH84" i="55"/>
  <c r="AA345" i="42"/>
  <c r="AD178" i="29"/>
  <c r="AE173" i="29"/>
  <c r="BH61" i="55"/>
  <c r="Y204" i="28"/>
  <c r="T264" i="20"/>
  <c r="CG41" i="55" s="1"/>
  <c r="T265" i="20"/>
  <c r="CG42" i="55" s="1"/>
  <c r="AF141" i="15"/>
  <c r="AF142" i="15" s="1"/>
  <c r="AD177" i="29"/>
  <c r="T260" i="20"/>
  <c r="T262" i="20"/>
  <c r="CG39" i="55" s="1"/>
  <c r="AA199" i="29"/>
  <c r="AB72" i="16" s="1"/>
  <c r="BH34" i="58" s="1"/>
  <c r="AB190" i="29"/>
  <c r="AF141" i="16"/>
  <c r="AF142" i="16" s="1"/>
  <c r="AD169" i="28"/>
  <c r="AD168" i="28"/>
  <c r="DZ80" i="55"/>
  <c r="BN80" i="55"/>
  <c r="AG233" i="19"/>
  <c r="AG234" i="19"/>
  <c r="AQ114" i="15"/>
  <c r="AS114" i="15" s="1"/>
  <c r="AH59" i="15"/>
  <c r="AH66" i="15"/>
  <c r="AG294" i="38"/>
  <c r="AG250" i="42"/>
  <c r="AG283" i="42" s="1"/>
  <c r="AG284" i="42" s="1"/>
  <c r="AF283" i="42"/>
  <c r="AF284" i="42" s="1"/>
  <c r="AD158" i="29"/>
  <c r="AD162" i="29" s="1"/>
  <c r="AD159" i="29"/>
  <c r="AG150" i="29"/>
  <c r="AG153" i="29"/>
  <c r="AG151" i="29"/>
  <c r="AG152" i="29"/>
  <c r="AC170" i="28"/>
  <c r="AC171" i="28"/>
  <c r="AF311" i="38"/>
  <c r="AG85" i="55" s="1"/>
  <c r="AF312" i="38"/>
  <c r="AG86" i="55" s="1"/>
  <c r="AF313" i="38"/>
  <c r="AG87" i="55" s="1"/>
  <c r="AF314" i="38"/>
  <c r="AG88" i="55" s="1"/>
  <c r="AF310" i="38"/>
  <c r="AF309" i="38"/>
  <c r="AG103" i="29"/>
  <c r="AG91" i="29"/>
  <c r="AG196" i="29"/>
  <c r="AG197" i="29"/>
  <c r="AF161" i="29"/>
  <c r="AF160" i="29"/>
  <c r="AF172" i="29" s="1"/>
  <c r="AG57" i="55"/>
  <c r="AD164" i="29"/>
  <c r="AD165" i="29"/>
  <c r="BK62" i="55" s="1"/>
  <c r="AD168" i="29"/>
  <c r="BK65" i="55" s="1"/>
  <c r="AD167" i="29"/>
  <c r="BK64" i="55" s="1"/>
  <c r="AD163" i="29"/>
  <c r="AD166" i="29"/>
  <c r="BK63" i="55" s="1"/>
  <c r="AF170" i="29"/>
  <c r="AF171" i="29" s="1"/>
  <c r="AF174" i="29" s="1"/>
  <c r="AF147" i="29"/>
  <c r="AD321" i="42"/>
  <c r="AD322" i="42" s="1"/>
  <c r="AD324" i="42" s="1"/>
  <c r="AC183" i="29"/>
  <c r="AC192" i="29" s="1"/>
  <c r="AD70" i="16" s="1"/>
  <c r="AD305" i="42"/>
  <c r="AD304" i="42"/>
  <c r="AD308" i="42" s="1"/>
  <c r="AC186" i="28"/>
  <c r="AC187" i="28" s="1"/>
  <c r="AC188" i="28"/>
  <c r="AC191" i="28" s="1"/>
  <c r="AG133" i="15" a="1"/>
  <c r="AG68" i="15"/>
  <c r="AG134" i="15"/>
  <c r="AG140" i="15" s="1"/>
  <c r="AD328" i="42"/>
  <c r="AD329" i="42" s="1"/>
  <c r="AD336" i="42" s="1"/>
  <c r="AF300" i="38"/>
  <c r="AF301" i="38"/>
  <c r="AP110" i="15"/>
  <c r="AR110" i="15" s="1"/>
  <c r="AH67" i="15"/>
  <c r="AH46" i="15"/>
  <c r="AD157" i="28"/>
  <c r="CQ64" i="55" s="1"/>
  <c r="AD158" i="28"/>
  <c r="CQ65" i="55" s="1"/>
  <c r="AD154" i="28"/>
  <c r="CQ61" i="55" s="1"/>
  <c r="AD155" i="28"/>
  <c r="CQ62" i="55" s="1"/>
  <c r="AD153" i="28"/>
  <c r="AD156" i="28"/>
  <c r="CQ63" i="55" s="1"/>
  <c r="AG298" i="38"/>
  <c r="AG299" i="38"/>
  <c r="AG296" i="38"/>
  <c r="AG297" i="38"/>
  <c r="BI81" i="55"/>
  <c r="DU81" i="55"/>
  <c r="BI84" i="55"/>
  <c r="AB340" i="42"/>
  <c r="AB345" i="42"/>
  <c r="AG294" i="42"/>
  <c r="AE179" i="28"/>
  <c r="AF62" i="55" s="1"/>
  <c r="AE181" i="28"/>
  <c r="AF64" i="55" s="1"/>
  <c r="AE177" i="28"/>
  <c r="AE180" i="28"/>
  <c r="AF63" i="55" s="1"/>
  <c r="AE178" i="28"/>
  <c r="AE182" i="28"/>
  <c r="AF65" i="55" s="1"/>
  <c r="AE318" i="42"/>
  <c r="AE319" i="42" s="1"/>
  <c r="AE320" i="42"/>
  <c r="AE323" i="42" s="1"/>
  <c r="AB196" i="28"/>
  <c r="AB197" i="28" s="1"/>
  <c r="AB206" i="28" s="1"/>
  <c r="AC70" i="15" s="1"/>
  <c r="AA72" i="16"/>
  <c r="BG34" i="58" s="1"/>
  <c r="Z200" i="29"/>
  <c r="AA73" i="16" s="1"/>
  <c r="AE303" i="42"/>
  <c r="AE302" i="42"/>
  <c r="AF307" i="38"/>
  <c r="AF306" i="38"/>
  <c r="AF318" i="38" s="1"/>
  <c r="AB172" i="28"/>
  <c r="AB176" i="28" s="1"/>
  <c r="AB173" i="28"/>
  <c r="AH139" i="16"/>
  <c r="AS106" i="16"/>
  <c r="X83" i="16"/>
  <c r="X87" i="16"/>
  <c r="X85" i="16"/>
  <c r="AB189" i="28"/>
  <c r="AB190" i="28" s="1"/>
  <c r="AB192" i="28" s="1"/>
  <c r="CR57" i="55"/>
  <c r="AE152" i="28"/>
  <c r="AF104" i="29"/>
  <c r="AE137" i="29"/>
  <c r="AE138" i="29" s="1"/>
  <c r="AE167" i="28"/>
  <c r="AE164" i="28"/>
  <c r="AE166" i="28"/>
  <c r="AE165" i="28"/>
  <c r="AH67" i="16"/>
  <c r="AH46" i="16"/>
  <c r="AG217" i="28"/>
  <c r="AG151" i="28" s="1"/>
  <c r="CT57" i="55" s="1"/>
  <c r="AF151" i="28"/>
  <c r="AD139" i="29"/>
  <c r="AD141" i="29"/>
  <c r="AD140" i="29"/>
  <c r="AD143" i="29"/>
  <c r="AD142" i="29"/>
  <c r="AD144" i="29"/>
  <c r="AF306" i="42"/>
  <c r="AF307" i="42"/>
  <c r="AG296" i="42"/>
  <c r="AG299" i="42"/>
  <c r="AG297" i="42"/>
  <c r="AG298" i="42"/>
  <c r="AA197" i="28"/>
  <c r="AA206" i="28" s="1"/>
  <c r="AB70" i="15" s="1"/>
  <c r="AD305" i="38"/>
  <c r="AD304" i="38"/>
  <c r="AD308" i="38" s="1"/>
  <c r="AQ123" i="15"/>
  <c r="AS123" i="15" s="1"/>
  <c r="AH65" i="15"/>
  <c r="AE156" i="29"/>
  <c r="AE157" i="29"/>
  <c r="BH58" i="55"/>
  <c r="AB70" i="16"/>
  <c r="AB71" i="16" s="1"/>
  <c r="BH33" i="58" s="1"/>
  <c r="AF163" i="28"/>
  <c r="AF160" i="28"/>
  <c r="AF162" i="28"/>
  <c r="Z197" i="28"/>
  <c r="Z206" i="28" s="1"/>
  <c r="AA70" i="15" s="1"/>
  <c r="AD174" i="28"/>
  <c r="AD175" i="28"/>
  <c r="AG239" i="19"/>
  <c r="AG251" i="19" s="1"/>
  <c r="AG240" i="19"/>
  <c r="AE302" i="38"/>
  <c r="AE303" i="38"/>
  <c r="AH66" i="16"/>
  <c r="AH59" i="16"/>
  <c r="AF155" i="29"/>
  <c r="AF154" i="29"/>
  <c r="AF300" i="42"/>
  <c r="AF301" i="42"/>
  <c r="AE237" i="19"/>
  <c r="AE241" i="19" s="1"/>
  <c r="AE238" i="19"/>
  <c r="DX57" i="55"/>
  <c r="BL57" i="55"/>
  <c r="AE148" i="29"/>
  <c r="AF235" i="19"/>
  <c r="AF236" i="19"/>
  <c r="AG36" i="28"/>
  <c r="AG37" i="28"/>
  <c r="AG210" i="28"/>
  <c r="AH222" i="28"/>
  <c r="AG159" i="28"/>
  <c r="AL272" i="12"/>
  <c r="AG211" i="28"/>
  <c r="AG184" i="28"/>
  <c r="AG161" i="28"/>
  <c r="AI216" i="28"/>
  <c r="AG68" i="16"/>
  <c r="AG134" i="16"/>
  <c r="AG140" i="16" s="1"/>
  <c r="AG133" i="16" a="1"/>
  <c r="AG141" i="16" s="1"/>
  <c r="AG142" i="16" s="1"/>
  <c r="AG77" i="16"/>
  <c r="AE288" i="42"/>
  <c r="AE285" i="42"/>
  <c r="AE286" i="42"/>
  <c r="AE290" i="42"/>
  <c r="AE289" i="42"/>
  <c r="AE287" i="42"/>
  <c r="AC329" i="42"/>
  <c r="AC338" i="42" s="1"/>
  <c r="AE174" i="29"/>
  <c r="AE175" i="29" s="1"/>
  <c r="AE176" i="29" s="1"/>
  <c r="U259" i="20"/>
  <c r="CH34" i="55"/>
  <c r="U183" i="19"/>
  <c r="T216" i="19"/>
  <c r="W73" i="19"/>
  <c r="X114" i="14" s="1"/>
  <c r="X114" i="12"/>
  <c r="W109" i="12"/>
  <c r="V75" i="19"/>
  <c r="W91" i="19"/>
  <c r="X136" i="14" s="1"/>
  <c r="X136" i="12"/>
  <c r="W110" i="14"/>
  <c r="W108" i="14" s="1"/>
  <c r="V97" i="14"/>
  <c r="W109" i="14"/>
  <c r="W99" i="12"/>
  <c r="X105" i="12"/>
  <c r="X228" i="12" s="1"/>
  <c r="W113" i="19"/>
  <c r="W126" i="19"/>
  <c r="W123" i="19"/>
  <c r="W111" i="19"/>
  <c r="X106" i="19"/>
  <c r="Y103" i="14" s="1"/>
  <c r="Y103" i="12"/>
  <c r="X124" i="19"/>
  <c r="Y138" i="14" s="1"/>
  <c r="Y138" i="12"/>
  <c r="W114" i="19"/>
  <c r="X95" i="14"/>
  <c r="Y174" i="19"/>
  <c r="X98" i="19"/>
  <c r="V92" i="19"/>
  <c r="V94" i="19"/>
  <c r="Y176" i="19"/>
  <c r="V88" i="19"/>
  <c r="V87" i="19"/>
  <c r="Y166" i="19"/>
  <c r="Y164" i="19"/>
  <c r="Y165" i="19"/>
  <c r="Y163" i="19"/>
  <c r="V89" i="19"/>
  <c r="V86" i="19"/>
  <c r="V76" i="19"/>
  <c r="V74" i="19"/>
  <c r="W180" i="19"/>
  <c r="V90" i="19"/>
  <c r="V93" i="19"/>
  <c r="W120" i="19"/>
  <c r="W110" i="12"/>
  <c r="W108" i="12" s="1"/>
  <c r="W108" i="19"/>
  <c r="X118" i="19"/>
  <c r="Y94" i="14" s="1"/>
  <c r="V83" i="19"/>
  <c r="W111" i="14" s="1"/>
  <c r="W107" i="14" s="1"/>
  <c r="W111" i="12"/>
  <c r="W107" i="12" s="1"/>
  <c r="W119" i="19"/>
  <c r="W109" i="19"/>
  <c r="V80" i="19"/>
  <c r="W106" i="14" s="1"/>
  <c r="V77" i="19"/>
  <c r="W79" i="19"/>
  <c r="X104" i="14" s="1"/>
  <c r="X105" i="14" s="1"/>
  <c r="X228" i="14" s="1"/>
  <c r="W129" i="19"/>
  <c r="V70" i="19"/>
  <c r="W100" i="14" s="1"/>
  <c r="W98" i="14" s="1"/>
  <c r="V69" i="19"/>
  <c r="W99" i="14" s="1"/>
  <c r="V68" i="19"/>
  <c r="W96" i="14" s="1"/>
  <c r="V71" i="19"/>
  <c r="W101" i="14" s="1"/>
  <c r="T293" i="20"/>
  <c r="Z172" i="19"/>
  <c r="AA135" i="14" s="1"/>
  <c r="X131" i="19"/>
  <c r="Z216" i="20"/>
  <c r="Z218" i="20"/>
  <c r="Z215" i="20"/>
  <c r="Z173" i="19" s="1"/>
  <c r="Z217" i="20"/>
  <c r="Z175" i="19" s="1"/>
  <c r="Z219" i="20"/>
  <c r="Z177" i="19" s="1"/>
  <c r="Z202" i="20"/>
  <c r="Z204" i="20"/>
  <c r="Z206" i="20"/>
  <c r="Z167" i="19" s="1"/>
  <c r="Z203" i="20"/>
  <c r="Z205" i="20"/>
  <c r="X131" i="20"/>
  <c r="X107" i="19" s="1"/>
  <c r="X135" i="20"/>
  <c r="X134" i="20"/>
  <c r="X110" i="19" s="1"/>
  <c r="X132" i="20"/>
  <c r="X133" i="20"/>
  <c r="X150" i="20"/>
  <c r="X149" i="20"/>
  <c r="X125" i="19" s="1"/>
  <c r="X152" i="20"/>
  <c r="X128" i="19" s="1"/>
  <c r="X151" i="20"/>
  <c r="X127" i="19" s="1"/>
  <c r="X153" i="20"/>
  <c r="X139" i="20"/>
  <c r="X115" i="19" s="1"/>
  <c r="X141" i="20"/>
  <c r="X117" i="19" s="1"/>
  <c r="X137" i="20"/>
  <c r="X140" i="20"/>
  <c r="X116" i="19" s="1"/>
  <c r="X138" i="20"/>
  <c r="Y130" i="20"/>
  <c r="Y136" i="20"/>
  <c r="Y112" i="19" s="1"/>
  <c r="Z126" i="14" s="1"/>
  <c r="Y148" i="20"/>
  <c r="Y142" i="20"/>
  <c r="X143" i="20"/>
  <c r="X144" i="20"/>
  <c r="X145" i="20"/>
  <c r="X121" i="19" s="1"/>
  <c r="X146" i="20"/>
  <c r="X122" i="19" s="1"/>
  <c r="X147" i="20"/>
  <c r="W83" i="20"/>
  <c r="W84" i="20"/>
  <c r="W85" i="20"/>
  <c r="W82" i="20"/>
  <c r="W86" i="20"/>
  <c r="W78" i="19" s="1"/>
  <c r="W79" i="20"/>
  <c r="X101" i="12" s="1"/>
  <c r="X97" i="12" s="1"/>
  <c r="W80" i="20"/>
  <c r="W72" i="19" s="1"/>
  <c r="W78" i="20"/>
  <c r="X100" i="12" s="1"/>
  <c r="X98" i="12" s="1"/>
  <c r="W76" i="20"/>
  <c r="X96" i="12" s="1"/>
  <c r="W77" i="20"/>
  <c r="X75" i="20"/>
  <c r="X67" i="19" s="1"/>
  <c r="Y93" i="14" s="1"/>
  <c r="X99" i="20"/>
  <c r="X93" i="20"/>
  <c r="X85" i="19" s="1"/>
  <c r="Y124" i="14" s="1"/>
  <c r="X81" i="20"/>
  <c r="X87" i="20"/>
  <c r="Y104" i="12" s="1"/>
  <c r="W100" i="20"/>
  <c r="W103" i="20"/>
  <c r="W95" i="19" s="1"/>
  <c r="W104" i="20"/>
  <c r="W96" i="19" s="1"/>
  <c r="W101" i="20"/>
  <c r="W102" i="20"/>
  <c r="W89" i="20"/>
  <c r="W81" i="19" s="1"/>
  <c r="W91" i="20"/>
  <c r="W88" i="20"/>
  <c r="X106" i="12" s="1"/>
  <c r="W90" i="20"/>
  <c r="W82" i="19" s="1"/>
  <c r="W92" i="20"/>
  <c r="W84" i="19" s="1"/>
  <c r="W97" i="20"/>
  <c r="W95" i="20"/>
  <c r="W98" i="20"/>
  <c r="W94" i="20"/>
  <c r="W96" i="20"/>
  <c r="S280" i="20"/>
  <c r="S279" i="20"/>
  <c r="S283" i="20" s="1"/>
  <c r="Z28" i="20"/>
  <c r="Z46" i="20" s="1"/>
  <c r="AA94" i="12" s="1"/>
  <c r="W226" i="14"/>
  <c r="AA31" i="20"/>
  <c r="AA49" i="20" s="1"/>
  <c r="AA214" i="20" s="1"/>
  <c r="AB135" i="12" s="1"/>
  <c r="V258" i="20"/>
  <c r="W225" i="20"/>
  <c r="Y45" i="20"/>
  <c r="Y32" i="20"/>
  <c r="CL4" i="55" s="1"/>
  <c r="DR4" i="55" s="1"/>
  <c r="Y157" i="19"/>
  <c r="V273" i="20"/>
  <c r="V272" i="20"/>
  <c r="V274" i="20"/>
  <c r="V271" i="20"/>
  <c r="X256" i="20"/>
  <c r="X34" i="20"/>
  <c r="U281" i="20"/>
  <c r="U282" i="20"/>
  <c r="W36" i="20"/>
  <c r="W37" i="20"/>
  <c r="Z30" i="20"/>
  <c r="Z48" i="20" s="1"/>
  <c r="W317" i="20"/>
  <c r="W318" i="20"/>
  <c r="W266" i="20"/>
  <c r="W267" i="20"/>
  <c r="W270" i="20"/>
  <c r="U276" i="20"/>
  <c r="U275" i="20"/>
  <c r="Y133" i="19"/>
  <c r="Y135" i="19"/>
  <c r="Y132" i="19"/>
  <c r="Y134" i="19"/>
  <c r="Z125" i="12"/>
  <c r="Y136" i="19"/>
  <c r="AA29" i="20"/>
  <c r="AA47" i="20" s="1"/>
  <c r="AA201" i="20" s="1"/>
  <c r="AA162" i="19" s="1"/>
  <c r="AB123" i="14" s="1"/>
  <c r="X95" i="12"/>
  <c r="X60" i="19"/>
  <c r="Y93" i="12"/>
  <c r="X65" i="19"/>
  <c r="X57" i="19"/>
  <c r="X61" i="19"/>
  <c r="X50" i="20"/>
  <c r="X221" i="20" s="1"/>
  <c r="X58" i="19"/>
  <c r="X63" i="19"/>
  <c r="X56" i="19"/>
  <c r="X62" i="19"/>
  <c r="X64" i="19"/>
  <c r="X54" i="19"/>
  <c r="X55" i="19"/>
  <c r="X52" i="19" s="1"/>
  <c r="X53" i="19"/>
  <c r="Y124" i="12"/>
  <c r="Z222" i="20"/>
  <c r="AA19" i="20"/>
  <c r="Z27" i="20"/>
  <c r="AA123" i="12"/>
  <c r="Z160" i="19"/>
  <c r="Z158" i="19"/>
  <c r="W179" i="19"/>
  <c r="Z170" i="19"/>
  <c r="Y103" i="19"/>
  <c r="Y100" i="19"/>
  <c r="Y101" i="19"/>
  <c r="Z126" i="12"/>
  <c r="Y99" i="19"/>
  <c r="Y102" i="19"/>
  <c r="Y104" i="19"/>
  <c r="Y169" i="19"/>
  <c r="W226" i="12"/>
  <c r="T278" i="20"/>
  <c r="T277" i="20"/>
  <c r="U264" i="20" l="1"/>
  <c r="CH41" i="55" s="1"/>
  <c r="U265" i="20"/>
  <c r="CH42" i="55" s="1"/>
  <c r="U260" i="20"/>
  <c r="U262" i="20"/>
  <c r="CH39" i="55" s="1"/>
  <c r="U261" i="20"/>
  <c r="CH38" i="55" s="1"/>
  <c r="U263" i="20"/>
  <c r="CH40" i="55" s="1"/>
  <c r="AC190" i="29"/>
  <c r="AG77" i="15"/>
  <c r="AD182" i="29"/>
  <c r="AD183" i="29" s="1"/>
  <c r="AD190" i="29" s="1"/>
  <c r="AF175" i="29"/>
  <c r="AF176" i="29" s="1"/>
  <c r="BH126" i="36"/>
  <c r="BH39" i="58" s="1"/>
  <c r="AA346" i="42"/>
  <c r="BH127" i="36" s="1"/>
  <c r="AE321" i="42"/>
  <c r="AE322" i="42" s="1"/>
  <c r="AG141" i="15"/>
  <c r="AG142" i="15" s="1"/>
  <c r="DU58" i="55"/>
  <c r="BI58" i="55"/>
  <c r="AC69" i="16"/>
  <c r="AC71" i="16" s="1"/>
  <c r="BI33" i="58" s="1"/>
  <c r="BJ61" i="55"/>
  <c r="Z69" i="15"/>
  <c r="Z71" i="15" s="1"/>
  <c r="Z33" i="58" s="1"/>
  <c r="Z58" i="55"/>
  <c r="Y208" i="28"/>
  <c r="Z61" i="55"/>
  <c r="Y213" i="28"/>
  <c r="AC189" i="28"/>
  <c r="AC190" i="28" s="1"/>
  <c r="AC192" i="28" s="1"/>
  <c r="AE178" i="29"/>
  <c r="AG152" i="28"/>
  <c r="AA200" i="29"/>
  <c r="AB73" i="16" s="1"/>
  <c r="AE177" i="29"/>
  <c r="Z204" i="28"/>
  <c r="AA204" i="28"/>
  <c r="BI61" i="55"/>
  <c r="AB199" i="29"/>
  <c r="AH57" i="55"/>
  <c r="X81" i="16"/>
  <c r="AH135" i="16"/>
  <c r="AQ106" i="16"/>
  <c r="AD186" i="28"/>
  <c r="AD187" i="28" s="1"/>
  <c r="AD188" i="28"/>
  <c r="AD191" i="28" s="1"/>
  <c r="AG306" i="42"/>
  <c r="AG307" i="42"/>
  <c r="AE139" i="29"/>
  <c r="AE140" i="29"/>
  <c r="AE142" i="29"/>
  <c r="AE144" i="29"/>
  <c r="AE141" i="29"/>
  <c r="AE143" i="29"/>
  <c r="AG306" i="38"/>
  <c r="AG318" i="38" s="1"/>
  <c r="AG307" i="38"/>
  <c r="AP106" i="15"/>
  <c r="AH134" i="15"/>
  <c r="X80" i="15"/>
  <c r="AH133" i="15" a="1"/>
  <c r="X84" i="15"/>
  <c r="AH68" i="15"/>
  <c r="AG221" i="28"/>
  <c r="AL276" i="12"/>
  <c r="AG185" i="28"/>
  <c r="AG104" i="29"/>
  <c r="AG137" i="29" s="1"/>
  <c r="AG138" i="29" s="1"/>
  <c r="AF137" i="29"/>
  <c r="AF138" i="29" s="1"/>
  <c r="BI126" i="36"/>
  <c r="BI39" i="58" s="1"/>
  <c r="AB346" i="42"/>
  <c r="BI127" i="36" s="1"/>
  <c r="AG301" i="38"/>
  <c r="AG300" i="38"/>
  <c r="AD338" i="42"/>
  <c r="AD340" i="42" s="1"/>
  <c r="AG236" i="19"/>
  <c r="AG235" i="19"/>
  <c r="AF303" i="42"/>
  <c r="AF302" i="42"/>
  <c r="AE158" i="29"/>
  <c r="AE162" i="29" s="1"/>
  <c r="AE159" i="29"/>
  <c r="AE154" i="28"/>
  <c r="CR61" i="55" s="1"/>
  <c r="AE156" i="28"/>
  <c r="CR63" i="55" s="1"/>
  <c r="AE155" i="28"/>
  <c r="CR62" i="55" s="1"/>
  <c r="AE157" i="28"/>
  <c r="CR64" i="55" s="1"/>
  <c r="AE158" i="28"/>
  <c r="CR65" i="55" s="1"/>
  <c r="AE153" i="28"/>
  <c r="AD69" i="16"/>
  <c r="AD71" i="16" s="1"/>
  <c r="BJ33" i="58" s="1"/>
  <c r="AC199" i="29"/>
  <c r="AG170" i="29"/>
  <c r="AG171" i="29" s="1"/>
  <c r="AI103" i="29"/>
  <c r="AG147" i="29"/>
  <c r="AC172" i="28"/>
  <c r="AC176" i="28" s="1"/>
  <c r="AC173" i="28"/>
  <c r="AF238" i="19"/>
  <c r="AF237" i="19"/>
  <c r="AF241" i="19" s="1"/>
  <c r="AE305" i="38"/>
  <c r="AE304" i="38"/>
  <c r="AE308" i="38" s="1"/>
  <c r="AH139" i="15"/>
  <c r="AS106" i="15"/>
  <c r="X85" i="15"/>
  <c r="X83" i="15"/>
  <c r="X87" i="15"/>
  <c r="AF173" i="29"/>
  <c r="AF289" i="42"/>
  <c r="AF286" i="42"/>
  <c r="AF290" i="42"/>
  <c r="AF288" i="42"/>
  <c r="AF285" i="42"/>
  <c r="AF287" i="42"/>
  <c r="AG163" i="28"/>
  <c r="AG162" i="28"/>
  <c r="AG160" i="28"/>
  <c r="AF180" i="28"/>
  <c r="AG63" i="55" s="1"/>
  <c r="AF178" i="28"/>
  <c r="AF182" i="28"/>
  <c r="AG65" i="55" s="1"/>
  <c r="AF179" i="28"/>
  <c r="AG62" i="55" s="1"/>
  <c r="AF177" i="28"/>
  <c r="AF181" i="28"/>
  <c r="AG64" i="55" s="1"/>
  <c r="AE169" i="28"/>
  <c r="AE168" i="28"/>
  <c r="AC336" i="42"/>
  <c r="AG288" i="42"/>
  <c r="AG289" i="42"/>
  <c r="AG285" i="42"/>
  <c r="AG286" i="42"/>
  <c r="AG290" i="42"/>
  <c r="AG287" i="42"/>
  <c r="AE165" i="29"/>
  <c r="BL62" i="55" s="1"/>
  <c r="AE163" i="29"/>
  <c r="AE166" i="29"/>
  <c r="BL63" i="55" s="1"/>
  <c r="AE168" i="29"/>
  <c r="BL65" i="55" s="1"/>
  <c r="AE164" i="29"/>
  <c r="AE167" i="29"/>
  <c r="BL64" i="55" s="1"/>
  <c r="CS57" i="55"/>
  <c r="AF152" i="28"/>
  <c r="AB204" i="28"/>
  <c r="AF303" i="38"/>
  <c r="AF302" i="38"/>
  <c r="DY57" i="55"/>
  <c r="BM57" i="55"/>
  <c r="AF148" i="29"/>
  <c r="AG154" i="29"/>
  <c r="AG155" i="29"/>
  <c r="AG311" i="38"/>
  <c r="AH85" i="55" s="1"/>
  <c r="AG309" i="38"/>
  <c r="AG312" i="38"/>
  <c r="AH86" i="55" s="1"/>
  <c r="AG313" i="38"/>
  <c r="AH87" i="55" s="1"/>
  <c r="AG314" i="38"/>
  <c r="AH88" i="55" s="1"/>
  <c r="AG310" i="38"/>
  <c r="AF167" i="28"/>
  <c r="AF164" i="28"/>
  <c r="AF166" i="28"/>
  <c r="AF165" i="28"/>
  <c r="AG301" i="42"/>
  <c r="AG300" i="42"/>
  <c r="AF318" i="42"/>
  <c r="AF319" i="42" s="1"/>
  <c r="AF320" i="42"/>
  <c r="AF323" i="42" s="1"/>
  <c r="AE175" i="28"/>
  <c r="AE174" i="28"/>
  <c r="AE328" i="42"/>
  <c r="AE329" i="42" s="1"/>
  <c r="AE336" i="42" s="1"/>
  <c r="AG309" i="42"/>
  <c r="AG310" i="42"/>
  <c r="AG312" i="42"/>
  <c r="BN86" i="55" s="1"/>
  <c r="AG314" i="42"/>
  <c r="BN88" i="55" s="1"/>
  <c r="AG313" i="42"/>
  <c r="BN87" i="55" s="1"/>
  <c r="AG311" i="42"/>
  <c r="BN85" i="55" s="1"/>
  <c r="AC196" i="28"/>
  <c r="AC197" i="28" s="1"/>
  <c r="AC206" i="28" s="1"/>
  <c r="AD70" i="15" s="1"/>
  <c r="AF177" i="29"/>
  <c r="AQ126" i="15"/>
  <c r="AD170" i="28"/>
  <c r="AD171" i="28"/>
  <c r="AF157" i="29"/>
  <c r="AF156" i="29"/>
  <c r="X80" i="16"/>
  <c r="X84" i="16"/>
  <c r="AH134" i="16"/>
  <c r="AP106" i="16"/>
  <c r="AH77" i="16"/>
  <c r="AH68" i="16"/>
  <c r="AH133" i="16" a="1"/>
  <c r="AE304" i="42"/>
  <c r="AE308" i="42" s="1"/>
  <c r="AE305" i="42"/>
  <c r="AG161" i="29"/>
  <c r="AG160" i="29"/>
  <c r="AG172" i="29" s="1"/>
  <c r="AH135" i="15"/>
  <c r="AQ106" i="15"/>
  <c r="X81" i="15"/>
  <c r="V259" i="20"/>
  <c r="CI34" i="55"/>
  <c r="V183" i="19"/>
  <c r="U216" i="19"/>
  <c r="Y105" i="12"/>
  <c r="Y228" i="12" s="1"/>
  <c r="X110" i="14"/>
  <c r="X108" i="14" s="1"/>
  <c r="X109" i="12"/>
  <c r="X73" i="19"/>
  <c r="Y114" i="14" s="1"/>
  <c r="Y114" i="12"/>
  <c r="W75" i="19"/>
  <c r="X99" i="12"/>
  <c r="W97" i="14"/>
  <c r="X91" i="19"/>
  <c r="Y136" i="14" s="1"/>
  <c r="Y136" i="12"/>
  <c r="X123" i="19"/>
  <c r="Y106" i="19"/>
  <c r="Z103" i="14" s="1"/>
  <c r="Z103" i="12"/>
  <c r="X113" i="19"/>
  <c r="X114" i="19"/>
  <c r="Y95" i="14"/>
  <c r="Y124" i="19"/>
  <c r="Z138" i="14" s="1"/>
  <c r="Z138" i="12"/>
  <c r="X126" i="19"/>
  <c r="X111" i="19"/>
  <c r="X109" i="14"/>
  <c r="Z174" i="19"/>
  <c r="Y98" i="19"/>
  <c r="W94" i="19"/>
  <c r="W92" i="19"/>
  <c r="Z176" i="19"/>
  <c r="W88" i="19"/>
  <c r="W87" i="19"/>
  <c r="Z165" i="19"/>
  <c r="Z166" i="19"/>
  <c r="Z163" i="19"/>
  <c r="Z164" i="19"/>
  <c r="W86" i="19"/>
  <c r="W89" i="19"/>
  <c r="W74" i="19"/>
  <c r="W76" i="19"/>
  <c r="W83" i="19"/>
  <c r="X111" i="14" s="1"/>
  <c r="X107" i="14" s="1"/>
  <c r="X111" i="12"/>
  <c r="X107" i="12" s="1"/>
  <c r="X120" i="19"/>
  <c r="X109" i="19"/>
  <c r="X110" i="12"/>
  <c r="X108" i="12" s="1"/>
  <c r="W90" i="19"/>
  <c r="X119" i="19"/>
  <c r="X108" i="19"/>
  <c r="W93" i="19"/>
  <c r="Y118" i="19"/>
  <c r="Z94" i="14" s="1"/>
  <c r="X129" i="19"/>
  <c r="W80" i="19"/>
  <c r="X106" i="14" s="1"/>
  <c r="X79" i="19"/>
  <c r="Y104" i="14" s="1"/>
  <c r="Y105" i="14" s="1"/>
  <c r="Y228" i="14" s="1"/>
  <c r="W77" i="19"/>
  <c r="W69" i="19"/>
  <c r="X99" i="14" s="1"/>
  <c r="W71" i="19"/>
  <c r="X101" i="14" s="1"/>
  <c r="W68" i="19"/>
  <c r="X96" i="14" s="1"/>
  <c r="W70" i="19"/>
  <c r="X100" i="14" s="1"/>
  <c r="X98" i="14" s="1"/>
  <c r="X180" i="19"/>
  <c r="U293" i="20"/>
  <c r="AA172" i="19"/>
  <c r="AB135" i="14" s="1"/>
  <c r="Y131" i="19"/>
  <c r="AA215" i="20"/>
  <c r="AA173" i="19" s="1"/>
  <c r="AA216" i="20"/>
  <c r="AA218" i="20"/>
  <c r="AA217" i="20"/>
  <c r="AA175" i="19" s="1"/>
  <c r="AA219" i="20"/>
  <c r="AA177" i="19" s="1"/>
  <c r="AA202" i="20"/>
  <c r="AA204" i="20"/>
  <c r="AA206" i="20"/>
  <c r="AA167" i="19" s="1"/>
  <c r="AA203" i="20"/>
  <c r="AA205" i="20"/>
  <c r="Y131" i="20"/>
  <c r="Y107" i="19" s="1"/>
  <c r="Y132" i="20"/>
  <c r="Y133" i="20"/>
  <c r="Y134" i="20"/>
  <c r="Y110" i="19" s="1"/>
  <c r="Y135" i="20"/>
  <c r="Y147" i="20"/>
  <c r="Y143" i="20"/>
  <c r="Y144" i="20"/>
  <c r="Y146" i="20"/>
  <c r="Y122" i="19" s="1"/>
  <c r="Y145" i="20"/>
  <c r="Y121" i="19" s="1"/>
  <c r="Y149" i="20"/>
  <c r="Y125" i="19" s="1"/>
  <c r="Y153" i="20"/>
  <c r="Y150" i="20"/>
  <c r="Y151" i="20"/>
  <c r="Y127" i="19" s="1"/>
  <c r="Y152" i="20"/>
  <c r="Y128" i="19" s="1"/>
  <c r="Z148" i="20"/>
  <c r="Z142" i="20"/>
  <c r="Z136" i="20"/>
  <c r="Z112" i="19" s="1"/>
  <c r="AA126" i="14" s="1"/>
  <c r="Z130" i="20"/>
  <c r="Y137" i="20"/>
  <c r="Y140" i="20"/>
  <c r="Y116" i="19" s="1"/>
  <c r="Y138" i="20"/>
  <c r="Y139" i="20"/>
  <c r="Y115" i="19" s="1"/>
  <c r="Y141" i="20"/>
  <c r="Y117" i="19" s="1"/>
  <c r="Y75" i="20"/>
  <c r="Y67" i="19" s="1"/>
  <c r="Z93" i="14" s="1"/>
  <c r="Y99" i="20"/>
  <c r="Y81" i="20"/>
  <c r="Y87" i="20"/>
  <c r="Z104" i="12" s="1"/>
  <c r="Y93" i="20"/>
  <c r="Y85" i="19" s="1"/>
  <c r="Z124" i="14" s="1"/>
  <c r="X103" i="20"/>
  <c r="X95" i="19" s="1"/>
  <c r="X101" i="20"/>
  <c r="X104" i="20"/>
  <c r="X96" i="19" s="1"/>
  <c r="X102" i="20"/>
  <c r="X100" i="20"/>
  <c r="X94" i="20"/>
  <c r="X95" i="20"/>
  <c r="X97" i="20"/>
  <c r="X96" i="20"/>
  <c r="X98" i="20"/>
  <c r="X90" i="20"/>
  <c r="X82" i="19" s="1"/>
  <c r="X91" i="20"/>
  <c r="X88" i="20"/>
  <c r="Y106" i="12" s="1"/>
  <c r="X89" i="20"/>
  <c r="X81" i="19" s="1"/>
  <c r="X92" i="20"/>
  <c r="X84" i="19" s="1"/>
  <c r="X78" i="20"/>
  <c r="Y100" i="12" s="1"/>
  <c r="Y98" i="12" s="1"/>
  <c r="X76" i="20"/>
  <c r="Y96" i="12" s="1"/>
  <c r="X79" i="20"/>
  <c r="Y101" i="12" s="1"/>
  <c r="Y97" i="12" s="1"/>
  <c r="X80" i="20"/>
  <c r="X72" i="19" s="1"/>
  <c r="X77" i="20"/>
  <c r="X84" i="20"/>
  <c r="X82" i="20"/>
  <c r="X83" i="20"/>
  <c r="X85" i="20"/>
  <c r="X86" i="20"/>
  <c r="X78" i="19" s="1"/>
  <c r="T279" i="20"/>
  <c r="T283" i="20" s="1"/>
  <c r="T280" i="20"/>
  <c r="X179" i="19"/>
  <c r="X267" i="20"/>
  <c r="X318" i="20"/>
  <c r="X270" i="20"/>
  <c r="X266" i="20"/>
  <c r="X317" i="20"/>
  <c r="X226" i="12"/>
  <c r="V276" i="20"/>
  <c r="V275" i="20"/>
  <c r="Y256" i="20"/>
  <c r="Y34" i="20"/>
  <c r="AA170" i="19"/>
  <c r="Z100" i="19"/>
  <c r="Z103" i="19"/>
  <c r="Z99" i="19"/>
  <c r="Z102" i="19"/>
  <c r="Z104" i="19"/>
  <c r="Z101" i="19"/>
  <c r="AA126" i="12"/>
  <c r="X226" i="14"/>
  <c r="Z45" i="20"/>
  <c r="Z32" i="20"/>
  <c r="CM4" i="55" s="1"/>
  <c r="DS4" i="55" s="1"/>
  <c r="Y95" i="12"/>
  <c r="AB29" i="20"/>
  <c r="AB47" i="20" s="1"/>
  <c r="AB201" i="20" s="1"/>
  <c r="AB162" i="19" s="1"/>
  <c r="AC123" i="14" s="1"/>
  <c r="AA30" i="20"/>
  <c r="AA48" i="20" s="1"/>
  <c r="Y60" i="19"/>
  <c r="Z93" i="12"/>
  <c r="Y58" i="19"/>
  <c r="Y55" i="19"/>
  <c r="Y52" i="19" s="1"/>
  <c r="Y61" i="19"/>
  <c r="Y57" i="19"/>
  <c r="Y53" i="19"/>
  <c r="Y63" i="19"/>
  <c r="Y62" i="19"/>
  <c r="Y50" i="20"/>
  <c r="Z124" i="12"/>
  <c r="Y65" i="19"/>
  <c r="Y56" i="19"/>
  <c r="Y54" i="19"/>
  <c r="Y64" i="19"/>
  <c r="AB31" i="20"/>
  <c r="AB49" i="20" s="1"/>
  <c r="AB214" i="20" s="1"/>
  <c r="AC135" i="12" s="1"/>
  <c r="AA28" i="20"/>
  <c r="AA46" i="20" s="1"/>
  <c r="AB94" i="12" s="1"/>
  <c r="Z169" i="19"/>
  <c r="Z157" i="19"/>
  <c r="AA27" i="20"/>
  <c r="AA222" i="20"/>
  <c r="AB123" i="12"/>
  <c r="AA160" i="19"/>
  <c r="AA158" i="19"/>
  <c r="U278" i="20"/>
  <c r="U277" i="20"/>
  <c r="Z133" i="19"/>
  <c r="AA125" i="12"/>
  <c r="Z135" i="19"/>
  <c r="Z136" i="19"/>
  <c r="Z134" i="19"/>
  <c r="Z132" i="19"/>
  <c r="V282" i="20"/>
  <c r="V281" i="20"/>
  <c r="X225" i="20"/>
  <c r="W258" i="20"/>
  <c r="W272" i="20"/>
  <c r="W273" i="20"/>
  <c r="W274" i="20"/>
  <c r="W271" i="20"/>
  <c r="X37" i="20"/>
  <c r="X36" i="20"/>
  <c r="AD192" i="29" l="1"/>
  <c r="AD199" i="29" s="1"/>
  <c r="AE69" i="16"/>
  <c r="AG158" i="28"/>
  <c r="CT65" i="55" s="1"/>
  <c r="AG157" i="28"/>
  <c r="CT64" i="55" s="1"/>
  <c r="AG156" i="28"/>
  <c r="CT63" i="55" s="1"/>
  <c r="AG153" i="28"/>
  <c r="AG155" i="28"/>
  <c r="CT62" i="55" s="1"/>
  <c r="AG154" i="28"/>
  <c r="CT61" i="55" s="1"/>
  <c r="V260" i="20"/>
  <c r="V263" i="20"/>
  <c r="CI40" i="55" s="1"/>
  <c r="V261" i="20"/>
  <c r="CI38" i="55" s="1"/>
  <c r="V265" i="20"/>
  <c r="CI42" i="55" s="1"/>
  <c r="V264" i="20"/>
  <c r="CI41" i="55" s="1"/>
  <c r="V262" i="20"/>
  <c r="CI39" i="55" s="1"/>
  <c r="DV58" i="55"/>
  <c r="BJ58" i="55"/>
  <c r="AF178" i="29"/>
  <c r="Z72" i="15"/>
  <c r="Z34" i="58" s="1"/>
  <c r="Y214" i="28"/>
  <c r="Z73" i="15" s="1"/>
  <c r="AE324" i="42"/>
  <c r="AE182" i="29"/>
  <c r="AH140" i="16"/>
  <c r="AG173" i="29"/>
  <c r="AA58" i="55"/>
  <c r="AA69" i="15"/>
  <c r="AA71" i="15" s="1"/>
  <c r="AA33" i="58" s="1"/>
  <c r="Z208" i="28"/>
  <c r="AA61" i="55"/>
  <c r="Z213" i="28"/>
  <c r="AB58" i="55"/>
  <c r="AB69" i="15"/>
  <c r="AB71" i="15" s="1"/>
  <c r="AB33" i="58" s="1"/>
  <c r="AA208" i="28"/>
  <c r="AB61" i="55"/>
  <c r="AA213" i="28"/>
  <c r="AD189" i="28"/>
  <c r="AD190" i="28" s="1"/>
  <c r="BK61" i="55"/>
  <c r="AD345" i="42"/>
  <c r="AC72" i="16"/>
  <c r="BI34" i="58" s="1"/>
  <c r="AB200" i="29"/>
  <c r="AC73" i="16" s="1"/>
  <c r="AH141" i="16"/>
  <c r="AH142" i="16" s="1"/>
  <c r="AF158" i="29"/>
  <c r="AF162" i="29" s="1"/>
  <c r="AF159" i="29"/>
  <c r="AG303" i="42"/>
  <c r="AG302" i="42"/>
  <c r="AF156" i="28"/>
  <c r="CS63" i="55" s="1"/>
  <c r="AF155" i="28"/>
  <c r="CS62" i="55" s="1"/>
  <c r="AF153" i="28"/>
  <c r="AF158" i="28"/>
  <c r="CS65" i="55" s="1"/>
  <c r="AF154" i="28"/>
  <c r="CS61" i="55" s="1"/>
  <c r="AF157" i="28"/>
  <c r="CS64" i="55" s="1"/>
  <c r="AL275" i="12"/>
  <c r="AI68" i="15"/>
  <c r="AG226" i="28"/>
  <c r="AD196" i="28"/>
  <c r="AC204" i="28"/>
  <c r="AE338" i="42"/>
  <c r="AE345" i="42" s="1"/>
  <c r="AF164" i="29"/>
  <c r="AF165" i="29"/>
  <c r="BM62" i="55" s="1"/>
  <c r="AF163" i="29"/>
  <c r="AF167" i="29"/>
  <c r="BM64" i="55" s="1"/>
  <c r="AF168" i="29"/>
  <c r="BM65" i="55" s="1"/>
  <c r="AF166" i="29"/>
  <c r="BM63" i="55" s="1"/>
  <c r="AL277" i="12"/>
  <c r="AL278" i="12"/>
  <c r="AI68" i="16"/>
  <c r="AE72" i="16"/>
  <c r="BK34" i="58" s="1"/>
  <c r="AD200" i="29"/>
  <c r="AE73" i="16" s="1"/>
  <c r="AF169" i="28"/>
  <c r="AF168" i="28"/>
  <c r="DZ57" i="55"/>
  <c r="BN57" i="55"/>
  <c r="AG148" i="29"/>
  <c r="AG302" i="38"/>
  <c r="AG303" i="38"/>
  <c r="BK58" i="55"/>
  <c r="AE70" i="16"/>
  <c r="AE71" i="16" s="1"/>
  <c r="BK33" i="58" s="1"/>
  <c r="AH141" i="15"/>
  <c r="AH142" i="15" s="1"/>
  <c r="AE186" i="28"/>
  <c r="AE187" i="28" s="1"/>
  <c r="AE188" i="28"/>
  <c r="AE191" i="28" s="1"/>
  <c r="AE170" i="28"/>
  <c r="AE171" i="28"/>
  <c r="AG177" i="28"/>
  <c r="AG180" i="28"/>
  <c r="AH63" i="55" s="1"/>
  <c r="AG181" i="28"/>
  <c r="AH64" i="55" s="1"/>
  <c r="AG178" i="28"/>
  <c r="AG182" i="28"/>
  <c r="AH65" i="55" s="1"/>
  <c r="AG179" i="28"/>
  <c r="AH62" i="55" s="1"/>
  <c r="BK84" i="55"/>
  <c r="X88" i="15"/>
  <c r="N80" i="15" s="1"/>
  <c r="AD172" i="28"/>
  <c r="AD176" i="28" s="1"/>
  <c r="AD173" i="28"/>
  <c r="AF174" i="28"/>
  <c r="AF175" i="28"/>
  <c r="AF304" i="38"/>
  <c r="AF308" i="38" s="1"/>
  <c r="AF305" i="38"/>
  <c r="AL273" i="12"/>
  <c r="AG167" i="28"/>
  <c r="AG165" i="28"/>
  <c r="AG164" i="28"/>
  <c r="AG166" i="28"/>
  <c r="AG174" i="29"/>
  <c r="AG177" i="29" s="1"/>
  <c r="AF305" i="42"/>
  <c r="AF304" i="42"/>
  <c r="AF308" i="42" s="1"/>
  <c r="BK81" i="55"/>
  <c r="AH140" i="15"/>
  <c r="AF328" i="42"/>
  <c r="AG157" i="29"/>
  <c r="AG156" i="29"/>
  <c r="AF321" i="42"/>
  <c r="AF322" i="42" s="1"/>
  <c r="AF324" i="42" s="1"/>
  <c r="AD72" i="16"/>
  <c r="BJ34" i="58" s="1"/>
  <c r="AC200" i="29"/>
  <c r="AD73" i="16" s="1"/>
  <c r="DW81" i="55"/>
  <c r="AF182" i="29"/>
  <c r="AC58" i="55"/>
  <c r="AC69" i="15"/>
  <c r="AC71" i="15" s="1"/>
  <c r="AC33" i="58" s="1"/>
  <c r="AB208" i="28"/>
  <c r="AC61" i="55"/>
  <c r="AB213" i="28"/>
  <c r="AG238" i="19"/>
  <c r="AG237" i="19"/>
  <c r="AG241" i="19" s="1"/>
  <c r="AF144" i="29"/>
  <c r="AF139" i="29"/>
  <c r="AF141" i="29"/>
  <c r="AF143" i="29"/>
  <c r="AF140" i="29"/>
  <c r="AF142" i="29"/>
  <c r="DW58" i="55"/>
  <c r="X88" i="16"/>
  <c r="DV81" i="55"/>
  <c r="BJ81" i="55"/>
  <c r="AC340" i="42"/>
  <c r="BJ84" i="55"/>
  <c r="AC345" i="42"/>
  <c r="AG142" i="29"/>
  <c r="AG144" i="29"/>
  <c r="AG141" i="29"/>
  <c r="AG139" i="29"/>
  <c r="AG143" i="29"/>
  <c r="AG140" i="29"/>
  <c r="AH77" i="15"/>
  <c r="AG318" i="42"/>
  <c r="AG319" i="42" s="1"/>
  <c r="AG320" i="42"/>
  <c r="AG323" i="42" s="1"/>
  <c r="W259" i="20"/>
  <c r="CJ34" i="55"/>
  <c r="Z105" i="12"/>
  <c r="Z228" i="12" s="1"/>
  <c r="W183" i="19"/>
  <c r="V216" i="19"/>
  <c r="X75" i="19"/>
  <c r="X97" i="14"/>
  <c r="Y73" i="19"/>
  <c r="Z114" i="14" s="1"/>
  <c r="Z114" i="12"/>
  <c r="Y91" i="19"/>
  <c r="Z136" i="14" s="1"/>
  <c r="Z136" i="12"/>
  <c r="Y109" i="12"/>
  <c r="Y110" i="14"/>
  <c r="Y108" i="14" s="1"/>
  <c r="Y99" i="12"/>
  <c r="Y109" i="14"/>
  <c r="Y113" i="19"/>
  <c r="Z106" i="19"/>
  <c r="AA103" i="14" s="1"/>
  <c r="AA103" i="12"/>
  <c r="Y114" i="19"/>
  <c r="Y123" i="19"/>
  <c r="Z95" i="14"/>
  <c r="Z124" i="19"/>
  <c r="AA138" i="14" s="1"/>
  <c r="AA138" i="12"/>
  <c r="Y126" i="19"/>
  <c r="Y111" i="19"/>
  <c r="AA174" i="19"/>
  <c r="Z98" i="19"/>
  <c r="AA176" i="19"/>
  <c r="X94" i="19"/>
  <c r="X92" i="19"/>
  <c r="X88" i="19"/>
  <c r="X87" i="19"/>
  <c r="AA165" i="19"/>
  <c r="AA166" i="19"/>
  <c r="AA163" i="19"/>
  <c r="AA164" i="19"/>
  <c r="X86" i="19"/>
  <c r="X89" i="19"/>
  <c r="X76" i="19"/>
  <c r="X74" i="19"/>
  <c r="X93" i="19"/>
  <c r="Y109" i="19"/>
  <c r="Y119" i="19"/>
  <c r="Y108" i="19"/>
  <c r="Y180" i="19"/>
  <c r="X83" i="19"/>
  <c r="Y111" i="14" s="1"/>
  <c r="Y107" i="14" s="1"/>
  <c r="Y111" i="12"/>
  <c r="Y107" i="12" s="1"/>
  <c r="Z118" i="19"/>
  <c r="AA94" i="14" s="1"/>
  <c r="Y110" i="12"/>
  <c r="Y108" i="12" s="1"/>
  <c r="X90" i="19"/>
  <c r="Y120" i="19"/>
  <c r="X77" i="19"/>
  <c r="Y79" i="19"/>
  <c r="Z104" i="14" s="1"/>
  <c r="Z105" i="14" s="1"/>
  <c r="Z228" i="14" s="1"/>
  <c r="Y129" i="19"/>
  <c r="X80" i="19"/>
  <c r="Y106" i="14" s="1"/>
  <c r="X69" i="19"/>
  <c r="Y99" i="14" s="1"/>
  <c r="X70" i="19"/>
  <c r="Y100" i="14" s="1"/>
  <c r="Y98" i="14" s="1"/>
  <c r="X68" i="19"/>
  <c r="Y96" i="14" s="1"/>
  <c r="X71" i="19"/>
  <c r="Y101" i="14" s="1"/>
  <c r="V293" i="20"/>
  <c r="AB172" i="19"/>
  <c r="AC135" i="14" s="1"/>
  <c r="Z131" i="19"/>
  <c r="AB215" i="20"/>
  <c r="AB173" i="19" s="1"/>
  <c r="AB217" i="20"/>
  <c r="AB175" i="19" s="1"/>
  <c r="AB219" i="20"/>
  <c r="AB177" i="19" s="1"/>
  <c r="AB216" i="20"/>
  <c r="AB218" i="20"/>
  <c r="AB203" i="20"/>
  <c r="AB205" i="20"/>
  <c r="AB202" i="20"/>
  <c r="AB204" i="20"/>
  <c r="AB206" i="20"/>
  <c r="AB167" i="19" s="1"/>
  <c r="Z151" i="20"/>
  <c r="Z127" i="19" s="1"/>
  <c r="Z150" i="20"/>
  <c r="Z153" i="20"/>
  <c r="Z152" i="20"/>
  <c r="Z128" i="19" s="1"/>
  <c r="Z149" i="20"/>
  <c r="Z125" i="19" s="1"/>
  <c r="AA148" i="20"/>
  <c r="AA130" i="20"/>
  <c r="AA136" i="20"/>
  <c r="AA112" i="19" s="1"/>
  <c r="AB126" i="14" s="1"/>
  <c r="AA142" i="20"/>
  <c r="Z131" i="20"/>
  <c r="Z107" i="19" s="1"/>
  <c r="Z132" i="20"/>
  <c r="Z133" i="20"/>
  <c r="Z134" i="20"/>
  <c r="Z110" i="19" s="1"/>
  <c r="Z135" i="20"/>
  <c r="Z137" i="20"/>
  <c r="Z139" i="20"/>
  <c r="Z115" i="19" s="1"/>
  <c r="Z141" i="20"/>
  <c r="Z117" i="19" s="1"/>
  <c r="Z140" i="20"/>
  <c r="Z116" i="19" s="1"/>
  <c r="Z138" i="20"/>
  <c r="Z143" i="20"/>
  <c r="Z146" i="20"/>
  <c r="Z122" i="19" s="1"/>
  <c r="Z144" i="20"/>
  <c r="Z147" i="20"/>
  <c r="Z145" i="20"/>
  <c r="Z121" i="19" s="1"/>
  <c r="Y88" i="20"/>
  <c r="Z106" i="12" s="1"/>
  <c r="Y89" i="20"/>
  <c r="Y81" i="19" s="1"/>
  <c r="Y92" i="20"/>
  <c r="Y84" i="19" s="1"/>
  <c r="Y90" i="20"/>
  <c r="Y82" i="19" s="1"/>
  <c r="Y91" i="20"/>
  <c r="Z75" i="20"/>
  <c r="Z67" i="19" s="1"/>
  <c r="AA93" i="14" s="1"/>
  <c r="Z87" i="20"/>
  <c r="AA104" i="12" s="1"/>
  <c r="Z93" i="20"/>
  <c r="Z85" i="19" s="1"/>
  <c r="AA124" i="14" s="1"/>
  <c r="Z81" i="20"/>
  <c r="Z99" i="20"/>
  <c r="Y82" i="20"/>
  <c r="Y83" i="20"/>
  <c r="Y85" i="20"/>
  <c r="Y84" i="20"/>
  <c r="Y86" i="20"/>
  <c r="Y78" i="19" s="1"/>
  <c r="Y100" i="20"/>
  <c r="Y104" i="20"/>
  <c r="Y96" i="19" s="1"/>
  <c r="Y102" i="20"/>
  <c r="Y101" i="20"/>
  <c r="Y103" i="20"/>
  <c r="Y95" i="19" s="1"/>
  <c r="Y94" i="20"/>
  <c r="Y96" i="20"/>
  <c r="Y98" i="20"/>
  <c r="Y95" i="20"/>
  <c r="Y97" i="20"/>
  <c r="Y79" i="20"/>
  <c r="Z101" i="12" s="1"/>
  <c r="Z97" i="12" s="1"/>
  <c r="Y76" i="20"/>
  <c r="Z96" i="12" s="1"/>
  <c r="Y80" i="20"/>
  <c r="Y72" i="19" s="1"/>
  <c r="Y77" i="20"/>
  <c r="Y78" i="20"/>
  <c r="Z100" i="12" s="1"/>
  <c r="Z98" i="12" s="1"/>
  <c r="AB19" i="20"/>
  <c r="AB222" i="20" s="1"/>
  <c r="W276" i="20"/>
  <c r="W275" i="20"/>
  <c r="AA103" i="19"/>
  <c r="AA100" i="19"/>
  <c r="AA99" i="19"/>
  <c r="AA104" i="19"/>
  <c r="AA101" i="19"/>
  <c r="AB126" i="12"/>
  <c r="AA102" i="19"/>
  <c r="AB170" i="19"/>
  <c r="Z256" i="20"/>
  <c r="Z34" i="20"/>
  <c r="AA45" i="20"/>
  <c r="AA32" i="20"/>
  <c r="CN4" i="55" s="1"/>
  <c r="DT4" i="55" s="1"/>
  <c r="AB28" i="20"/>
  <c r="AB46" i="20" s="1"/>
  <c r="AC94" i="12" s="1"/>
  <c r="AC31" i="20"/>
  <c r="AC49" i="20" s="1"/>
  <c r="AC214" i="20" s="1"/>
  <c r="AD135" i="12" s="1"/>
  <c r="Y318" i="20"/>
  <c r="Y266" i="20"/>
  <c r="Y317" i="20"/>
  <c r="Y267" i="20"/>
  <c r="Y270" i="20"/>
  <c r="Y221" i="20"/>
  <c r="Y226" i="12"/>
  <c r="AA93" i="12"/>
  <c r="Z60" i="19"/>
  <c r="Z57" i="19"/>
  <c r="Z61" i="19"/>
  <c r="Z58" i="19"/>
  <c r="Z55" i="19"/>
  <c r="Z52" i="19" s="1"/>
  <c r="Z54" i="19"/>
  <c r="Z56" i="19"/>
  <c r="Z62" i="19"/>
  <c r="Z50" i="20"/>
  <c r="Z65" i="19"/>
  <c r="Z53" i="19"/>
  <c r="Z64" i="19"/>
  <c r="AA124" i="12"/>
  <c r="Z63" i="19"/>
  <c r="AA169" i="19"/>
  <c r="X258" i="20"/>
  <c r="Y225" i="20"/>
  <c r="AA157" i="19"/>
  <c r="Y226" i="14"/>
  <c r="Y179" i="19"/>
  <c r="AA133" i="19"/>
  <c r="AA132" i="19"/>
  <c r="AA134" i="19"/>
  <c r="AA136" i="19"/>
  <c r="AB125" i="12"/>
  <c r="AA135" i="19"/>
  <c r="AC29" i="20"/>
  <c r="AC47" i="20" s="1"/>
  <c r="AC201" i="20" s="1"/>
  <c r="AC162" i="19" s="1"/>
  <c r="AD123" i="14" s="1"/>
  <c r="V278" i="20"/>
  <c r="V277" i="20"/>
  <c r="X272" i="20"/>
  <c r="X274" i="20"/>
  <c r="X273" i="20"/>
  <c r="X271" i="20"/>
  <c r="W281" i="20"/>
  <c r="W282" i="20"/>
  <c r="U279" i="20"/>
  <c r="U283" i="20" s="1"/>
  <c r="U280" i="20"/>
  <c r="AC19" i="20"/>
  <c r="AB27" i="20"/>
  <c r="Z95" i="12"/>
  <c r="AB30" i="20"/>
  <c r="AB48" i="20" s="1"/>
  <c r="AC123" i="12"/>
  <c r="AB160" i="19"/>
  <c r="AB158" i="19"/>
  <c r="Y37" i="20"/>
  <c r="Y36" i="20"/>
  <c r="AD197" i="28" l="1"/>
  <c r="AD204" i="28" s="1"/>
  <c r="W264" i="20"/>
  <c r="CJ41" i="55" s="1"/>
  <c r="W263" i="20"/>
  <c r="CJ40" i="55" s="1"/>
  <c r="W261" i="20"/>
  <c r="CJ38" i="55" s="1"/>
  <c r="W262" i="20"/>
  <c r="CJ39" i="55" s="1"/>
  <c r="W260" i="20"/>
  <c r="W265" i="20"/>
  <c r="CJ42" i="55" s="1"/>
  <c r="AD346" i="42"/>
  <c r="BK127" i="36" s="1"/>
  <c r="BK126" i="36"/>
  <c r="BK39" i="58" s="1"/>
  <c r="AE183" i="29"/>
  <c r="AE192" i="29" s="1"/>
  <c r="AF70" i="16" s="1"/>
  <c r="AD192" i="28"/>
  <c r="AB72" i="15"/>
  <c r="AB34" i="58" s="1"/>
  <c r="AA214" i="28"/>
  <c r="AB73" i="15" s="1"/>
  <c r="AA72" i="15"/>
  <c r="AA34" i="58" s="1"/>
  <c r="Z214" i="28"/>
  <c r="AA73" i="15" s="1"/>
  <c r="N83" i="15"/>
  <c r="D94" i="15" s="1"/>
  <c r="N103" i="15" s="1"/>
  <c r="N87" i="15"/>
  <c r="D96" i="15" s="1"/>
  <c r="N101" i="15" s="1"/>
  <c r="AG175" i="29"/>
  <c r="AG176" i="29" s="1"/>
  <c r="AG178" i="29" s="1"/>
  <c r="N84" i="15"/>
  <c r="AG182" i="29"/>
  <c r="AG183" i="29" s="1"/>
  <c r="AG190" i="29" s="1"/>
  <c r="N80" i="16"/>
  <c r="N86" i="16"/>
  <c r="N82" i="16"/>
  <c r="D92" i="16" s="1"/>
  <c r="N105" i="16" s="1"/>
  <c r="N85" i="16"/>
  <c r="N87" i="16"/>
  <c r="D96" i="16" s="1"/>
  <c r="N101" i="16" s="1"/>
  <c r="N83" i="16"/>
  <c r="D94" i="16" s="1"/>
  <c r="N103" i="16" s="1"/>
  <c r="AF329" i="42"/>
  <c r="AF338" i="42" s="1"/>
  <c r="AE172" i="28"/>
  <c r="AE176" i="28" s="1"/>
  <c r="AE173" i="28"/>
  <c r="AG164" i="29"/>
  <c r="AG166" i="29"/>
  <c r="BN63" i="55" s="1"/>
  <c r="AG163" i="29"/>
  <c r="AG165" i="29"/>
  <c r="BN62" i="55" s="1"/>
  <c r="AG167" i="29"/>
  <c r="BN64" i="55" s="1"/>
  <c r="AG168" i="29"/>
  <c r="BN65" i="55" s="1"/>
  <c r="AE196" i="28"/>
  <c r="BL84" i="55"/>
  <c r="AC346" i="42"/>
  <c r="BJ127" i="36" s="1"/>
  <c r="BJ126" i="36"/>
  <c r="BJ39" i="58" s="1"/>
  <c r="AG168" i="28"/>
  <c r="AG169" i="28"/>
  <c r="AE340" i="42"/>
  <c r="AC72" i="15"/>
  <c r="AC34" i="58" s="1"/>
  <c r="AB214" i="28"/>
  <c r="AC73" i="15" s="1"/>
  <c r="AG158" i="29"/>
  <c r="AG162" i="29" s="1"/>
  <c r="AG159" i="29"/>
  <c r="N81" i="16"/>
  <c r="D93" i="16" s="1"/>
  <c r="N104" i="16" s="1"/>
  <c r="AF186" i="28"/>
  <c r="AF187" i="28" s="1"/>
  <c r="AF188" i="28"/>
  <c r="AE189" i="28"/>
  <c r="AE190" i="28" s="1"/>
  <c r="AE192" i="28" s="1"/>
  <c r="BL126" i="36"/>
  <c r="BL39" i="58" s="1"/>
  <c r="AE346" i="42"/>
  <c r="BL127" i="36" s="1"/>
  <c r="DX81" i="55"/>
  <c r="AF183" i="29"/>
  <c r="AF192" i="29" s="1"/>
  <c r="AG70" i="16" s="1"/>
  <c r="AD69" i="15"/>
  <c r="AD71" i="15" s="1"/>
  <c r="AD33" i="58" s="1"/>
  <c r="AD58" i="55"/>
  <c r="AD61" i="55"/>
  <c r="AC208" i="28"/>
  <c r="AC213" i="28"/>
  <c r="BL81" i="55"/>
  <c r="N84" i="16"/>
  <c r="AG175" i="28"/>
  <c r="AG174" i="28"/>
  <c r="AF170" i="28"/>
  <c r="AF171" i="28"/>
  <c r="AG328" i="42"/>
  <c r="AE69" i="15"/>
  <c r="AG321" i="42"/>
  <c r="AG322" i="42" s="1"/>
  <c r="AG324" i="42" s="1"/>
  <c r="N81" i="15"/>
  <c r="D93" i="15" s="1"/>
  <c r="N104" i="15" s="1"/>
  <c r="N86" i="15"/>
  <c r="N82" i="15"/>
  <c r="D92" i="15" s="1"/>
  <c r="N105" i="15" s="1"/>
  <c r="AG305" i="38"/>
  <c r="AG304" i="38"/>
  <c r="AG308" i="38" s="1"/>
  <c r="AD206" i="28"/>
  <c r="AD208" i="28" s="1"/>
  <c r="N85" i="15"/>
  <c r="AG305" i="42"/>
  <c r="AG304" i="42"/>
  <c r="AG308" i="42" s="1"/>
  <c r="X259" i="20"/>
  <c r="X263" i="20" s="1"/>
  <c r="CK40" i="55" s="1"/>
  <c r="CK34" i="55"/>
  <c r="X183" i="19"/>
  <c r="W216" i="19"/>
  <c r="Z91" i="19"/>
  <c r="AA136" i="14" s="1"/>
  <c r="AA136" i="12"/>
  <c r="Z73" i="19"/>
  <c r="AA114" i="14" s="1"/>
  <c r="AA114" i="12"/>
  <c r="Z110" i="14"/>
  <c r="Z108" i="14" s="1"/>
  <c r="Z109" i="12"/>
  <c r="Z99" i="12"/>
  <c r="Y75" i="19"/>
  <c r="Y97" i="14"/>
  <c r="Z109" i="14"/>
  <c r="AA105" i="12"/>
  <c r="AA228" i="12" s="1"/>
  <c r="Z123" i="19"/>
  <c r="Z114" i="19"/>
  <c r="Z113" i="19"/>
  <c r="AA106" i="19"/>
  <c r="AB103" i="14" s="1"/>
  <c r="AB103" i="12"/>
  <c r="AA95" i="14"/>
  <c r="Z111" i="19"/>
  <c r="AA124" i="19"/>
  <c r="AB138" i="14" s="1"/>
  <c r="AB138" i="12"/>
  <c r="Z126" i="19"/>
  <c r="AB174" i="19"/>
  <c r="AA98" i="19"/>
  <c r="Y94" i="19"/>
  <c r="Y92" i="19"/>
  <c r="AB176" i="19"/>
  <c r="Y88" i="19"/>
  <c r="Y87" i="19"/>
  <c r="AB166" i="19"/>
  <c r="AB164" i="19"/>
  <c r="AB165" i="19"/>
  <c r="AB163" i="19"/>
  <c r="Y86" i="19"/>
  <c r="Z110" i="12"/>
  <c r="Z108" i="12" s="1"/>
  <c r="Y89" i="19"/>
  <c r="Y74" i="19"/>
  <c r="Y76" i="19"/>
  <c r="Z120" i="19"/>
  <c r="Y90" i="19"/>
  <c r="Z108" i="19"/>
  <c r="Y83" i="19"/>
  <c r="Z111" i="14" s="1"/>
  <c r="Z107" i="14" s="1"/>
  <c r="Z111" i="12"/>
  <c r="Z107" i="12" s="1"/>
  <c r="AA118" i="19"/>
  <c r="AB94" i="14" s="1"/>
  <c r="Y93" i="19"/>
  <c r="Z119" i="19"/>
  <c r="Z109" i="19"/>
  <c r="Y77" i="19"/>
  <c r="Y80" i="19"/>
  <c r="Z106" i="14" s="1"/>
  <c r="Z180" i="19"/>
  <c r="Z79" i="19"/>
  <c r="AA104" i="14" s="1"/>
  <c r="AA105" i="14" s="1"/>
  <c r="AA228" i="14" s="1"/>
  <c r="Z129" i="19"/>
  <c r="Y68" i="19"/>
  <c r="Z96" i="14" s="1"/>
  <c r="Y70" i="19"/>
  <c r="Z100" i="14" s="1"/>
  <c r="Z98" i="14" s="1"/>
  <c r="Y71" i="19"/>
  <c r="Z101" i="14" s="1"/>
  <c r="Y69" i="19"/>
  <c r="Z99" i="14" s="1"/>
  <c r="W293" i="20"/>
  <c r="AC172" i="19"/>
  <c r="AD135" i="14" s="1"/>
  <c r="AA131" i="19"/>
  <c r="AC216" i="20"/>
  <c r="AC215" i="20"/>
  <c r="AC173" i="19" s="1"/>
  <c r="AC217" i="20"/>
  <c r="AC175" i="19" s="1"/>
  <c r="AC219" i="20"/>
  <c r="AC177" i="19" s="1"/>
  <c r="AC218" i="20"/>
  <c r="AC202" i="20"/>
  <c r="AC203" i="20"/>
  <c r="AC205" i="20"/>
  <c r="AC206" i="20"/>
  <c r="AC167" i="19" s="1"/>
  <c r="AC204" i="20"/>
  <c r="AA134" i="20"/>
  <c r="AA110" i="19" s="1"/>
  <c r="AA132" i="20"/>
  <c r="AA131" i="20"/>
  <c r="AA107" i="19" s="1"/>
  <c r="AA133" i="20"/>
  <c r="AA135" i="20"/>
  <c r="AA137" i="20"/>
  <c r="AA138" i="20"/>
  <c r="AA140" i="20"/>
  <c r="AA116" i="19" s="1"/>
  <c r="AA141" i="20"/>
  <c r="AA117" i="19" s="1"/>
  <c r="AA139" i="20"/>
  <c r="AA115" i="19" s="1"/>
  <c r="AB148" i="20"/>
  <c r="AB136" i="20"/>
  <c r="AB112" i="19" s="1"/>
  <c r="AC126" i="14" s="1"/>
  <c r="AB142" i="20"/>
  <c r="AB130" i="20"/>
  <c r="AA149" i="20"/>
  <c r="AA125" i="19" s="1"/>
  <c r="AA152" i="20"/>
  <c r="AA128" i="19" s="1"/>
  <c r="AA150" i="20"/>
  <c r="AA153" i="20"/>
  <c r="AA151" i="20"/>
  <c r="AA127" i="19" s="1"/>
  <c r="AA144" i="20"/>
  <c r="AA146" i="20"/>
  <c r="AA122" i="19" s="1"/>
  <c r="AA145" i="20"/>
  <c r="AA121" i="19" s="1"/>
  <c r="AA147" i="20"/>
  <c r="AA143" i="20"/>
  <c r="Z86" i="20"/>
  <c r="Z78" i="19" s="1"/>
  <c r="Z82" i="20"/>
  <c r="Z84" i="20"/>
  <c r="Z83" i="20"/>
  <c r="Z85" i="20"/>
  <c r="Z76" i="20"/>
  <c r="AA96" i="12" s="1"/>
  <c r="Z78" i="20"/>
  <c r="AA100" i="12" s="1"/>
  <c r="AA98" i="12" s="1"/>
  <c r="Z80" i="20"/>
  <c r="Z72" i="19" s="1"/>
  <c r="Z79" i="20"/>
  <c r="AA101" i="12" s="1"/>
  <c r="AA97" i="12" s="1"/>
  <c r="Z77" i="20"/>
  <c r="AA75" i="20"/>
  <c r="AA67" i="19" s="1"/>
  <c r="AB93" i="14" s="1"/>
  <c r="AA99" i="20"/>
  <c r="AA87" i="20"/>
  <c r="AB104" i="12" s="1"/>
  <c r="AA81" i="20"/>
  <c r="AA93" i="20"/>
  <c r="AA85" i="19" s="1"/>
  <c r="AB124" i="14" s="1"/>
  <c r="Z98" i="20"/>
  <c r="Z97" i="20"/>
  <c r="Z94" i="20"/>
  <c r="Z96" i="20"/>
  <c r="Z95" i="20"/>
  <c r="Z101" i="20"/>
  <c r="Z100" i="20"/>
  <c r="Z103" i="20"/>
  <c r="Z95" i="19" s="1"/>
  <c r="Z104" i="20"/>
  <c r="Z96" i="19" s="1"/>
  <c r="Z102" i="20"/>
  <c r="Z89" i="20"/>
  <c r="Z81" i="19" s="1"/>
  <c r="Z91" i="20"/>
  <c r="Z90" i="20"/>
  <c r="Z82" i="19" s="1"/>
  <c r="Z88" i="20"/>
  <c r="AA106" i="12" s="1"/>
  <c r="Z92" i="20"/>
  <c r="Z84" i="19" s="1"/>
  <c r="AC27" i="20"/>
  <c r="AC222" i="20"/>
  <c r="Z266" i="20"/>
  <c r="Z317" i="20"/>
  <c r="Z267" i="20"/>
  <c r="Z318" i="20"/>
  <c r="Z270" i="20"/>
  <c r="AB103" i="19"/>
  <c r="AB100" i="19"/>
  <c r="AB104" i="19"/>
  <c r="AB102" i="19"/>
  <c r="AB99" i="19"/>
  <c r="AC126" i="12"/>
  <c r="AB101" i="19"/>
  <c r="AB157" i="19"/>
  <c r="Z226" i="12"/>
  <c r="AD123" i="12"/>
  <c r="AC158" i="19"/>
  <c r="AC160" i="19"/>
  <c r="Y272" i="20"/>
  <c r="Y271" i="20"/>
  <c r="Y274" i="20"/>
  <c r="Y273" i="20"/>
  <c r="AC28" i="20"/>
  <c r="AC46" i="20" s="1"/>
  <c r="AD94" i="12" s="1"/>
  <c r="AA256" i="20"/>
  <c r="AA34" i="20"/>
  <c r="Z36" i="20"/>
  <c r="Z37" i="20"/>
  <c r="Z226" i="14"/>
  <c r="W278" i="20"/>
  <c r="W277" i="20"/>
  <c r="V280" i="20"/>
  <c r="V279" i="20"/>
  <c r="V283" i="20" s="1"/>
  <c r="AD29" i="20"/>
  <c r="AD47" i="20" s="1"/>
  <c r="AD201" i="20" s="1"/>
  <c r="AD162" i="19" s="1"/>
  <c r="AE123" i="14" s="1"/>
  <c r="Z179" i="19"/>
  <c r="AC170" i="19"/>
  <c r="AB93" i="12"/>
  <c r="AA60" i="19"/>
  <c r="AA58" i="19"/>
  <c r="AA56" i="19"/>
  <c r="AA61" i="19"/>
  <c r="AB124" i="12"/>
  <c r="AA55" i="19"/>
  <c r="AA52" i="19" s="1"/>
  <c r="AA50" i="20"/>
  <c r="AA62" i="19"/>
  <c r="AA64" i="19"/>
  <c r="AA63" i="19"/>
  <c r="AA65" i="19"/>
  <c r="AA54" i="19"/>
  <c r="AA53" i="19"/>
  <c r="AA57" i="19"/>
  <c r="AB169" i="19"/>
  <c r="AB133" i="19"/>
  <c r="AB135" i="19"/>
  <c r="AB132" i="19"/>
  <c r="AC125" i="12"/>
  <c r="AB136" i="19"/>
  <c r="AB134" i="19"/>
  <c r="X275" i="20"/>
  <c r="X276" i="20"/>
  <c r="AC30" i="20"/>
  <c r="AC48" i="20" s="1"/>
  <c r="AB45" i="20"/>
  <c r="AB32" i="20"/>
  <c r="CO4" i="55" s="1"/>
  <c r="DU4" i="55" s="1"/>
  <c r="X281" i="20"/>
  <c r="X282" i="20"/>
  <c r="Z225" i="20"/>
  <c r="Y258" i="20"/>
  <c r="Z221" i="20"/>
  <c r="AA95" i="12"/>
  <c r="AD31" i="20"/>
  <c r="AD49" i="20" s="1"/>
  <c r="AD214" i="20" s="1"/>
  <c r="AE135" i="12" s="1"/>
  <c r="AE190" i="29" l="1"/>
  <c r="X261" i="20"/>
  <c r="CK38" i="55" s="1"/>
  <c r="AG329" i="42"/>
  <c r="AG336" i="42" s="1"/>
  <c r="DX58" i="55"/>
  <c r="BL58" i="55"/>
  <c r="AF69" i="16"/>
  <c r="AF71" i="16" s="1"/>
  <c r="BL33" i="58" s="1"/>
  <c r="AE199" i="29"/>
  <c r="D91" i="16"/>
  <c r="D91" i="15"/>
  <c r="AF336" i="42"/>
  <c r="BL61" i="55"/>
  <c r="X260" i="20"/>
  <c r="D95" i="15"/>
  <c r="N102" i="15" s="1"/>
  <c r="X262" i="20"/>
  <c r="CK39" i="55" s="1"/>
  <c r="X265" i="20"/>
  <c r="CK42" i="55" s="1"/>
  <c r="X264" i="20"/>
  <c r="CK41" i="55" s="1"/>
  <c r="AH69" i="16"/>
  <c r="N88" i="15"/>
  <c r="AF72" i="16"/>
  <c r="BL34" i="58" s="1"/>
  <c r="AE200" i="29"/>
  <c r="AF73" i="16" s="1"/>
  <c r="D95" i="16"/>
  <c r="N102" i="16" s="1"/>
  <c r="AF189" i="28"/>
  <c r="AF190" i="28" s="1"/>
  <c r="AF192" i="28" s="1"/>
  <c r="AF191" i="28"/>
  <c r="AE197" i="28"/>
  <c r="AE206" i="28" s="1"/>
  <c r="AF70" i="15" s="1"/>
  <c r="AE58" i="55"/>
  <c r="AE70" i="15"/>
  <c r="AE71" i="15" s="1"/>
  <c r="AE33" i="58" s="1"/>
  <c r="AD213" i="28"/>
  <c r="AE61" i="55"/>
  <c r="AF190" i="29"/>
  <c r="AG170" i="28"/>
  <c r="AG171" i="28"/>
  <c r="N88" i="16"/>
  <c r="AF172" i="28"/>
  <c r="AF176" i="28" s="1"/>
  <c r="AF173" i="28"/>
  <c r="AG186" i="28"/>
  <c r="AG187" i="28" s="1"/>
  <c r="AG188" i="28"/>
  <c r="AD72" i="15"/>
  <c r="AD34" i="58" s="1"/>
  <c r="AC214" i="28"/>
  <c r="AD73" i="15" s="1"/>
  <c r="AG192" i="29"/>
  <c r="AH70" i="16" s="1"/>
  <c r="Y259" i="20"/>
  <c r="CL34" i="55"/>
  <c r="Y183" i="19"/>
  <c r="X216" i="19"/>
  <c r="AB105" i="12"/>
  <c r="AB228" i="12" s="1"/>
  <c r="AA109" i="12"/>
  <c r="AA73" i="19"/>
  <c r="AB114" i="14" s="1"/>
  <c r="AB114" i="12"/>
  <c r="Z97" i="14"/>
  <c r="AA110" i="14"/>
  <c r="AA108" i="14" s="1"/>
  <c r="AA91" i="19"/>
  <c r="AB136" i="14" s="1"/>
  <c r="AB136" i="12"/>
  <c r="Z75" i="19"/>
  <c r="AA99" i="12"/>
  <c r="AA109" i="14"/>
  <c r="AA123" i="19"/>
  <c r="AB95" i="14"/>
  <c r="AB124" i="19"/>
  <c r="AC138" i="14" s="1"/>
  <c r="AC138" i="12"/>
  <c r="AA113" i="19"/>
  <c r="AA114" i="19"/>
  <c r="AB106" i="19"/>
  <c r="AC103" i="14" s="1"/>
  <c r="AC103" i="12"/>
  <c r="AA126" i="19"/>
  <c r="AA111" i="19"/>
  <c r="AC174" i="19"/>
  <c r="AB98" i="19"/>
  <c r="Z92" i="19"/>
  <c r="AC176" i="19"/>
  <c r="Z88" i="19"/>
  <c r="Z87" i="19"/>
  <c r="AC164" i="19"/>
  <c r="AC165" i="19"/>
  <c r="AC163" i="19"/>
  <c r="AC166" i="19"/>
  <c r="Z89" i="19"/>
  <c r="Z86" i="19"/>
  <c r="Z76" i="19"/>
  <c r="Z74" i="19"/>
  <c r="AA180" i="19"/>
  <c r="Z83" i="19"/>
  <c r="AA111" i="14" s="1"/>
  <c r="AA107" i="14" s="1"/>
  <c r="AA111" i="12"/>
  <c r="AA107" i="12" s="1"/>
  <c r="AA108" i="19"/>
  <c r="Z94" i="19"/>
  <c r="Z93" i="19"/>
  <c r="AB118" i="19"/>
  <c r="AC94" i="14" s="1"/>
  <c r="AA110" i="12"/>
  <c r="AA108" i="12" s="1"/>
  <c r="Z90" i="19"/>
  <c r="AA119" i="19"/>
  <c r="AA120" i="19"/>
  <c r="AA109" i="19"/>
  <c r="Z80" i="19"/>
  <c r="AA106" i="14" s="1"/>
  <c r="AA79" i="19"/>
  <c r="AB104" i="14" s="1"/>
  <c r="Z77" i="19"/>
  <c r="AA129" i="19"/>
  <c r="Z70" i="19"/>
  <c r="AA100" i="14" s="1"/>
  <c r="AA98" i="14" s="1"/>
  <c r="Z69" i="19"/>
  <c r="AA99" i="14" s="1"/>
  <c r="Z68" i="19"/>
  <c r="AA96" i="14" s="1"/>
  <c r="Z71" i="19"/>
  <c r="AA101" i="14" s="1"/>
  <c r="X293" i="20"/>
  <c r="AD172" i="19"/>
  <c r="AE135" i="14" s="1"/>
  <c r="AB131" i="19"/>
  <c r="AD216" i="20"/>
  <c r="AD218" i="20"/>
  <c r="AD215" i="20"/>
  <c r="AD173" i="19" s="1"/>
  <c r="AD217" i="20"/>
  <c r="AD175" i="19" s="1"/>
  <c r="AD219" i="20"/>
  <c r="AD177" i="19" s="1"/>
  <c r="AD202" i="20"/>
  <c r="AD204" i="20"/>
  <c r="AD206" i="20"/>
  <c r="AD167" i="19" s="1"/>
  <c r="AD203" i="20"/>
  <c r="AD205" i="20"/>
  <c r="AB137" i="20"/>
  <c r="AB140" i="20"/>
  <c r="AB116" i="19" s="1"/>
  <c r="AB138" i="20"/>
  <c r="AB139" i="20"/>
  <c r="AB115" i="19" s="1"/>
  <c r="AB141" i="20"/>
  <c r="AB117" i="19" s="1"/>
  <c r="AB151" i="20"/>
  <c r="AB127" i="19" s="1"/>
  <c r="AB153" i="20"/>
  <c r="AB150" i="20"/>
  <c r="AB152" i="20"/>
  <c r="AB128" i="19" s="1"/>
  <c r="AB149" i="20"/>
  <c r="AB125" i="19" s="1"/>
  <c r="AB132" i="20"/>
  <c r="AB131" i="20"/>
  <c r="AB107" i="19" s="1"/>
  <c r="AB134" i="20"/>
  <c r="AB110" i="19" s="1"/>
  <c r="AB135" i="20"/>
  <c r="AB133" i="20"/>
  <c r="AC148" i="20"/>
  <c r="AC136" i="20"/>
  <c r="AC112" i="19" s="1"/>
  <c r="AD126" i="14" s="1"/>
  <c r="AC130" i="20"/>
  <c r="AC142" i="20"/>
  <c r="AB147" i="20"/>
  <c r="AB143" i="20"/>
  <c r="AB144" i="20"/>
  <c r="AB145" i="20"/>
  <c r="AB121" i="19" s="1"/>
  <c r="AB146" i="20"/>
  <c r="AB122" i="19" s="1"/>
  <c r="AA89" i="20"/>
  <c r="AA81" i="19" s="1"/>
  <c r="AA91" i="20"/>
  <c r="AA92" i="20"/>
  <c r="AA84" i="19" s="1"/>
  <c r="AA88" i="20"/>
  <c r="AB106" i="12" s="1"/>
  <c r="AA90" i="20"/>
  <c r="AA82" i="19" s="1"/>
  <c r="AB75" i="20"/>
  <c r="AB67" i="19" s="1"/>
  <c r="AC93" i="14" s="1"/>
  <c r="AB93" i="20"/>
  <c r="AB85" i="19" s="1"/>
  <c r="AC124" i="14" s="1"/>
  <c r="AB99" i="20"/>
  <c r="AB81" i="20"/>
  <c r="AB87" i="20"/>
  <c r="AC104" i="12" s="1"/>
  <c r="AA100" i="20"/>
  <c r="AA102" i="20"/>
  <c r="AA103" i="20"/>
  <c r="AA95" i="19" s="1"/>
  <c r="AA101" i="20"/>
  <c r="AA104" i="20"/>
  <c r="AA96" i="19" s="1"/>
  <c r="AA97" i="20"/>
  <c r="AA95" i="20"/>
  <c r="AA96" i="20"/>
  <c r="AA94" i="20"/>
  <c r="AA98" i="20"/>
  <c r="AA80" i="20"/>
  <c r="AA72" i="19" s="1"/>
  <c r="AA79" i="20"/>
  <c r="AB101" i="12" s="1"/>
  <c r="AB97" i="12" s="1"/>
  <c r="AA76" i="20"/>
  <c r="AB96" i="12" s="1"/>
  <c r="AA78" i="20"/>
  <c r="AB100" i="12" s="1"/>
  <c r="AB98" i="12" s="1"/>
  <c r="AA77" i="20"/>
  <c r="AA83" i="20"/>
  <c r="AA86" i="20"/>
  <c r="AA78" i="19" s="1"/>
  <c r="AA85" i="20"/>
  <c r="AA82" i="20"/>
  <c r="AA84" i="20"/>
  <c r="AD19" i="20"/>
  <c r="AD222" i="20" s="1"/>
  <c r="AB256" i="20"/>
  <c r="AB34" i="20"/>
  <c r="AA266" i="20"/>
  <c r="AA317" i="20"/>
  <c r="AA267" i="20"/>
  <c r="AA318" i="20"/>
  <c r="AA270" i="20"/>
  <c r="AA226" i="14"/>
  <c r="AE123" i="12"/>
  <c r="AD158" i="19"/>
  <c r="AD160" i="19"/>
  <c r="W280" i="20"/>
  <c r="W279" i="20"/>
  <c r="W283" i="20" s="1"/>
  <c r="AD28" i="20"/>
  <c r="AD46" i="20" s="1"/>
  <c r="AE94" i="12" s="1"/>
  <c r="AC157" i="19"/>
  <c r="AA226" i="12"/>
  <c r="Z258" i="20"/>
  <c r="AA225" i="20"/>
  <c r="AB55" i="19"/>
  <c r="AB52" i="19" s="1"/>
  <c r="AC93" i="12"/>
  <c r="AB60" i="19"/>
  <c r="AB62" i="19"/>
  <c r="AB50" i="20"/>
  <c r="AB221" i="20" s="1"/>
  <c r="AB61" i="19"/>
  <c r="AB58" i="19"/>
  <c r="AB53" i="19"/>
  <c r="AC124" i="12"/>
  <c r="AB63" i="19"/>
  <c r="AB56" i="19"/>
  <c r="AB65" i="19"/>
  <c r="AB54" i="19"/>
  <c r="AB64" i="19"/>
  <c r="AB57" i="19"/>
  <c r="X277" i="20"/>
  <c r="X278" i="20"/>
  <c r="AC169" i="19"/>
  <c r="AE29" i="20"/>
  <c r="AE47" i="20" s="1"/>
  <c r="AE201" i="20" s="1"/>
  <c r="AE162" i="19" s="1"/>
  <c r="AF123" i="14" s="1"/>
  <c r="AA36" i="20"/>
  <c r="AA37" i="20"/>
  <c r="Y276" i="20"/>
  <c r="Y275" i="20"/>
  <c r="AD27" i="20"/>
  <c r="AD30" i="20"/>
  <c r="AD48" i="20" s="1"/>
  <c r="Y282" i="20"/>
  <c r="Y281" i="20"/>
  <c r="AC45" i="20"/>
  <c r="AC32" i="20"/>
  <c r="CP4" i="55" s="1"/>
  <c r="DV4" i="55" s="1"/>
  <c r="AD170" i="19"/>
  <c r="AE31" i="20"/>
  <c r="AE49" i="20" s="1"/>
  <c r="AE214" i="20" s="1"/>
  <c r="AF135" i="12" s="1"/>
  <c r="AC133" i="19"/>
  <c r="AC134" i="19"/>
  <c r="AC135" i="19"/>
  <c r="AC136" i="19"/>
  <c r="AC132" i="19"/>
  <c r="AD125" i="12"/>
  <c r="AA179" i="19"/>
  <c r="AA221" i="20"/>
  <c r="AB95" i="12"/>
  <c r="AC103" i="19"/>
  <c r="AC100" i="19"/>
  <c r="AC101" i="19"/>
  <c r="AC99" i="19"/>
  <c r="AC104" i="19"/>
  <c r="AC102" i="19"/>
  <c r="AD126" i="12"/>
  <c r="Z272" i="20"/>
  <c r="Z271" i="20"/>
  <c r="Z273" i="20"/>
  <c r="Z274" i="20"/>
  <c r="N106" i="15" l="1"/>
  <c r="Y261" i="20"/>
  <c r="CL38" i="55" s="1"/>
  <c r="Y262" i="20"/>
  <c r="CL39" i="55" s="1"/>
  <c r="Y260" i="20"/>
  <c r="Y265" i="20"/>
  <c r="CL42" i="55" s="1"/>
  <c r="Y263" i="20"/>
  <c r="CL40" i="55" s="1"/>
  <c r="Y264" i="20"/>
  <c r="CL41" i="55" s="1"/>
  <c r="AG338" i="42"/>
  <c r="AG340" i="42" s="1"/>
  <c r="N106" i="16"/>
  <c r="DY81" i="55"/>
  <c r="BM81" i="55"/>
  <c r="BM84" i="55"/>
  <c r="AF340" i="42"/>
  <c r="AF345" i="42"/>
  <c r="D97" i="16"/>
  <c r="N107" i="15"/>
  <c r="D97" i="15"/>
  <c r="AE204" i="28"/>
  <c r="BN84" i="55"/>
  <c r="DZ81" i="55"/>
  <c r="BN81" i="55"/>
  <c r="AG199" i="29"/>
  <c r="BN61" i="55"/>
  <c r="DZ58" i="55"/>
  <c r="AG173" i="28"/>
  <c r="AG172" i="28"/>
  <c r="AG176" i="28" s="1"/>
  <c r="BN58" i="55"/>
  <c r="AL274" i="12"/>
  <c r="AG191" i="28"/>
  <c r="DY58" i="55"/>
  <c r="AG69" i="16"/>
  <c r="AG71" i="16" s="1"/>
  <c r="BM33" i="58" s="1"/>
  <c r="BM58" i="55"/>
  <c r="AF199" i="29"/>
  <c r="BM61" i="55"/>
  <c r="N8" i="60"/>
  <c r="AH71" i="16"/>
  <c r="BN33" i="58" s="1"/>
  <c r="AE72" i="15"/>
  <c r="AE34" i="58" s="1"/>
  <c r="AD214" i="28"/>
  <c r="AE73" i="15" s="1"/>
  <c r="AG189" i="28"/>
  <c r="AG190" i="28" s="1"/>
  <c r="AG192" i="28" s="1"/>
  <c r="AF196" i="28"/>
  <c r="AG345" i="42"/>
  <c r="Z259" i="20"/>
  <c r="CM34" i="55"/>
  <c r="Z183" i="19"/>
  <c r="Y216" i="19"/>
  <c r="AB110" i="14"/>
  <c r="AB108" i="14" s="1"/>
  <c r="AB105" i="14"/>
  <c r="AB228" i="14" s="1"/>
  <c r="AA75" i="19"/>
  <c r="AB109" i="14"/>
  <c r="AB73" i="19"/>
  <c r="AC114" i="14" s="1"/>
  <c r="AC114" i="12"/>
  <c r="AA97" i="14"/>
  <c r="AB109" i="12"/>
  <c r="AB91" i="19"/>
  <c r="AC136" i="14" s="1"/>
  <c r="AC136" i="12"/>
  <c r="AB99" i="12"/>
  <c r="AB123" i="19"/>
  <c r="AC124" i="19"/>
  <c r="AD138" i="14" s="1"/>
  <c r="AD138" i="12"/>
  <c r="AB126" i="19"/>
  <c r="AB114" i="19"/>
  <c r="AC105" i="12"/>
  <c r="AC228" i="12" s="1"/>
  <c r="AC106" i="19"/>
  <c r="AD103" i="14" s="1"/>
  <c r="AD103" i="12"/>
  <c r="AB111" i="19"/>
  <c r="AC95" i="14"/>
  <c r="AB113" i="19"/>
  <c r="AD174" i="19"/>
  <c r="AC98" i="19"/>
  <c r="AA92" i="19"/>
  <c r="AA94" i="19"/>
  <c r="AD176" i="19"/>
  <c r="AA88" i="19"/>
  <c r="AA87" i="19"/>
  <c r="AD166" i="19"/>
  <c r="AD163" i="19"/>
  <c r="AD164" i="19"/>
  <c r="AD165" i="19"/>
  <c r="AA89" i="19"/>
  <c r="AA86" i="19"/>
  <c r="AA74" i="19"/>
  <c r="AA76" i="19"/>
  <c r="AA93" i="19"/>
  <c r="AB120" i="19"/>
  <c r="AB119" i="19"/>
  <c r="AA83" i="19"/>
  <c r="AB111" i="14" s="1"/>
  <c r="AB107" i="14" s="1"/>
  <c r="AB111" i="12"/>
  <c r="AB107" i="12" s="1"/>
  <c r="AA90" i="19"/>
  <c r="AC118" i="19"/>
  <c r="AD94" i="14" s="1"/>
  <c r="AB109" i="19"/>
  <c r="AB108" i="19"/>
  <c r="AB110" i="12"/>
  <c r="AB108" i="12" s="1"/>
  <c r="AB79" i="19"/>
  <c r="AC104" i="14" s="1"/>
  <c r="AC105" i="14" s="1"/>
  <c r="AC228" i="14" s="1"/>
  <c r="AA77" i="19"/>
  <c r="AA80" i="19"/>
  <c r="AB106" i="14" s="1"/>
  <c r="AB129" i="19"/>
  <c r="AA68" i="19"/>
  <c r="AB96" i="14" s="1"/>
  <c r="AA71" i="19"/>
  <c r="AB101" i="14" s="1"/>
  <c r="AA69" i="19"/>
  <c r="AB99" i="14" s="1"/>
  <c r="AA70" i="19"/>
  <c r="AB100" i="14" s="1"/>
  <c r="AB98" i="14" s="1"/>
  <c r="AB180" i="19"/>
  <c r="Y293" i="20"/>
  <c r="AE172" i="19"/>
  <c r="AF135" i="14" s="1"/>
  <c r="AC131" i="19"/>
  <c r="AE217" i="20"/>
  <c r="AE175" i="19" s="1"/>
  <c r="AE216" i="20"/>
  <c r="AE218" i="20"/>
  <c r="AE215" i="20"/>
  <c r="AE173" i="19" s="1"/>
  <c r="AE219" i="20"/>
  <c r="AE177" i="19" s="1"/>
  <c r="AE203" i="20"/>
  <c r="AE202" i="20"/>
  <c r="AE204" i="20"/>
  <c r="AE206" i="20"/>
  <c r="AE167" i="19" s="1"/>
  <c r="AE205" i="20"/>
  <c r="AC145" i="20"/>
  <c r="AC121" i="19" s="1"/>
  <c r="AC146" i="20"/>
  <c r="AC122" i="19" s="1"/>
  <c r="AC147" i="20"/>
  <c r="AC143" i="20"/>
  <c r="AC144" i="20"/>
  <c r="AC152" i="20"/>
  <c r="AC128" i="19" s="1"/>
  <c r="AC153" i="20"/>
  <c r="AC151" i="20"/>
  <c r="AC127" i="19" s="1"/>
  <c r="AC149" i="20"/>
  <c r="AC125" i="19" s="1"/>
  <c r="AC150" i="20"/>
  <c r="AC131" i="20"/>
  <c r="AC107" i="19" s="1"/>
  <c r="AC135" i="20"/>
  <c r="AC132" i="20"/>
  <c r="AC134" i="20"/>
  <c r="AC110" i="19" s="1"/>
  <c r="AC133" i="20"/>
  <c r="AD148" i="20"/>
  <c r="AD136" i="20"/>
  <c r="AD112" i="19" s="1"/>
  <c r="AE126" i="14" s="1"/>
  <c r="AD142" i="20"/>
  <c r="AD130" i="20"/>
  <c r="AC138" i="20"/>
  <c r="AC137" i="20"/>
  <c r="AC140" i="20"/>
  <c r="AC116" i="19" s="1"/>
  <c r="AC139" i="20"/>
  <c r="AC115" i="19" s="1"/>
  <c r="AC141" i="20"/>
  <c r="AC117" i="19" s="1"/>
  <c r="AB95" i="20"/>
  <c r="AB96" i="20"/>
  <c r="AB98" i="20"/>
  <c r="AB94" i="20"/>
  <c r="AB97" i="20"/>
  <c r="AB88" i="20"/>
  <c r="AC106" i="12" s="1"/>
  <c r="AB90" i="20"/>
  <c r="AB82" i="19" s="1"/>
  <c r="AB91" i="20"/>
  <c r="AB89" i="20"/>
  <c r="AB81" i="19" s="1"/>
  <c r="AB92" i="20"/>
  <c r="AB84" i="19" s="1"/>
  <c r="AB77" i="20"/>
  <c r="AB78" i="20"/>
  <c r="AC100" i="12" s="1"/>
  <c r="AC98" i="12" s="1"/>
  <c r="AB79" i="20"/>
  <c r="AC101" i="12" s="1"/>
  <c r="AC97" i="12" s="1"/>
  <c r="AB76" i="20"/>
  <c r="AC96" i="12" s="1"/>
  <c r="AB80" i="20"/>
  <c r="AB72" i="19" s="1"/>
  <c r="AB83" i="20"/>
  <c r="AB86" i="20"/>
  <c r="AB78" i="19" s="1"/>
  <c r="AB84" i="20"/>
  <c r="AB82" i="20"/>
  <c r="AB85" i="20"/>
  <c r="AC75" i="20"/>
  <c r="AC67" i="19" s="1"/>
  <c r="AD93" i="14" s="1"/>
  <c r="AC99" i="20"/>
  <c r="AC81" i="20"/>
  <c r="AC87" i="20"/>
  <c r="AD104" i="12" s="1"/>
  <c r="AC93" i="20"/>
  <c r="AC85" i="19" s="1"/>
  <c r="AD124" i="14" s="1"/>
  <c r="AB102" i="20"/>
  <c r="AB101" i="20"/>
  <c r="AB104" i="20"/>
  <c r="AB96" i="19" s="1"/>
  <c r="AB100" i="20"/>
  <c r="AB103" i="20"/>
  <c r="AB95" i="19" s="1"/>
  <c r="AE19" i="20"/>
  <c r="AE222" i="20" s="1"/>
  <c r="AB226" i="14"/>
  <c r="AE170" i="19"/>
  <c r="AD93" i="12"/>
  <c r="AC60" i="19"/>
  <c r="AC62" i="19"/>
  <c r="AC50" i="20"/>
  <c r="AC221" i="20" s="1"/>
  <c r="AC58" i="19"/>
  <c r="AC61" i="19"/>
  <c r="AC53" i="19"/>
  <c r="AC54" i="19"/>
  <c r="AC55" i="19"/>
  <c r="AC52" i="19" s="1"/>
  <c r="AC65" i="19"/>
  <c r="AC64" i="19"/>
  <c r="AC57" i="19"/>
  <c r="AD124" i="12"/>
  <c r="AC63" i="19"/>
  <c r="AC56" i="19"/>
  <c r="AD133" i="19"/>
  <c r="AD132" i="19"/>
  <c r="AD136" i="19"/>
  <c r="AD134" i="19"/>
  <c r="AE125" i="12"/>
  <c r="AD135" i="19"/>
  <c r="AD45" i="20"/>
  <c r="AD32" i="20"/>
  <c r="CQ4" i="55" s="1"/>
  <c r="DW4" i="55" s="1"/>
  <c r="X279" i="20"/>
  <c r="X283" i="20" s="1"/>
  <c r="X280" i="20"/>
  <c r="AA273" i="20"/>
  <c r="AA274" i="20"/>
  <c r="AA271" i="20"/>
  <c r="AA272" i="20"/>
  <c r="AF31" i="20"/>
  <c r="AF49" i="20" s="1"/>
  <c r="AF214" i="20" s="1"/>
  <c r="AG135" i="12" s="1"/>
  <c r="AG31" i="20"/>
  <c r="AG49" i="20" s="1"/>
  <c r="AG214" i="20" s="1"/>
  <c r="AH135" i="12" s="1"/>
  <c r="AD169" i="19"/>
  <c r="AE30" i="20"/>
  <c r="AE48" i="20" s="1"/>
  <c r="AD103" i="19"/>
  <c r="AD100" i="19"/>
  <c r="AD102" i="19"/>
  <c r="AD99" i="19"/>
  <c r="AD101" i="19"/>
  <c r="AD104" i="19"/>
  <c r="AE126" i="12"/>
  <c r="Z281" i="20"/>
  <c r="Z282" i="20"/>
  <c r="AB226" i="12"/>
  <c r="AE27" i="20"/>
  <c r="Y277" i="20"/>
  <c r="Y278" i="20"/>
  <c r="AF123" i="12"/>
  <c r="AE158" i="19"/>
  <c r="AE160" i="19"/>
  <c r="AB270" i="20"/>
  <c r="AB318" i="20"/>
  <c r="AB317" i="20"/>
  <c r="AB266" i="20"/>
  <c r="AB267" i="20"/>
  <c r="AC95" i="12"/>
  <c r="AB225" i="20"/>
  <c r="AA258" i="20"/>
  <c r="AE28" i="20"/>
  <c r="AE46" i="20" s="1"/>
  <c r="AF94" i="12" s="1"/>
  <c r="AD157" i="19"/>
  <c r="AB37" i="20"/>
  <c r="AB36" i="20"/>
  <c r="Z276" i="20"/>
  <c r="Z275" i="20"/>
  <c r="AC256" i="20"/>
  <c r="AC34" i="20"/>
  <c r="AG29" i="20"/>
  <c r="AG47" i="20" s="1"/>
  <c r="AG201" i="20" s="1"/>
  <c r="AG162" i="19" s="1"/>
  <c r="AH123" i="14" s="1"/>
  <c r="AF29" i="20"/>
  <c r="AF47" i="20" s="1"/>
  <c r="AF201" i="20" s="1"/>
  <c r="AF162" i="19" s="1"/>
  <c r="AG123" i="14" s="1"/>
  <c r="AB179" i="19"/>
  <c r="AF69" i="15" l="1"/>
  <c r="AF71" i="15" s="1"/>
  <c r="AF33" i="58" s="1"/>
  <c r="AF58" i="55"/>
  <c r="AF61" i="55"/>
  <c r="AE208" i="28"/>
  <c r="AE213" i="28"/>
  <c r="Z265" i="20"/>
  <c r="CM42" i="55" s="1"/>
  <c r="Z260" i="20"/>
  <c r="Z262" i="20"/>
  <c r="CM39" i="55" s="1"/>
  <c r="Z261" i="20"/>
  <c r="CM38" i="55" s="1"/>
  <c r="Z264" i="20"/>
  <c r="CM41" i="55" s="1"/>
  <c r="Z263" i="20"/>
  <c r="CM40" i="55" s="1"/>
  <c r="N107" i="16"/>
  <c r="BM126" i="36"/>
  <c r="BM39" i="58" s="1"/>
  <c r="AF346" i="42"/>
  <c r="BM127" i="36" s="1"/>
  <c r="AF197" i="28"/>
  <c r="AF206" i="28" s="1"/>
  <c r="AG70" i="15" s="1"/>
  <c r="BN126" i="36"/>
  <c r="BN39" i="58" s="1"/>
  <c r="AG346" i="42"/>
  <c r="BN127" i="36" s="1"/>
  <c r="N9" i="60"/>
  <c r="K20" i="60"/>
  <c r="E24" i="61" s="1"/>
  <c r="DA20" i="58"/>
  <c r="AG196" i="28"/>
  <c r="AG197" i="28" s="1"/>
  <c r="AG204" i="28" s="1"/>
  <c r="AG72" i="16"/>
  <c r="BM34" i="58" s="1"/>
  <c r="AF200" i="29"/>
  <c r="AG73" i="16" s="1"/>
  <c r="AG200" i="29"/>
  <c r="AH73" i="16" s="1"/>
  <c r="AH72" i="16"/>
  <c r="BN34" i="58" s="1"/>
  <c r="AA259" i="20"/>
  <c r="CN34" i="55"/>
  <c r="AA183" i="19"/>
  <c r="Z216" i="19"/>
  <c r="AC109" i="12"/>
  <c r="AC91" i="19"/>
  <c r="AD136" i="14" s="1"/>
  <c r="AD136" i="12"/>
  <c r="AB75" i="19"/>
  <c r="AB97" i="14"/>
  <c r="AC110" i="14"/>
  <c r="AC108" i="14" s="1"/>
  <c r="AC99" i="12"/>
  <c r="AC73" i="19"/>
  <c r="AD114" i="14" s="1"/>
  <c r="AD114" i="12"/>
  <c r="AC109" i="14"/>
  <c r="AC126" i="19"/>
  <c r="AC113" i="19"/>
  <c r="AD105" i="12"/>
  <c r="AD228" i="12" s="1"/>
  <c r="AD124" i="19"/>
  <c r="AE138" i="14" s="1"/>
  <c r="AE138" i="12"/>
  <c r="AC114" i="19"/>
  <c r="AC111" i="19"/>
  <c r="AD106" i="19"/>
  <c r="AE103" i="14" s="1"/>
  <c r="AE103" i="12"/>
  <c r="AC123" i="19"/>
  <c r="AD95" i="14"/>
  <c r="AE174" i="19"/>
  <c r="AD98" i="19"/>
  <c r="AB92" i="19"/>
  <c r="AE176" i="19"/>
  <c r="AB88" i="19"/>
  <c r="AB87" i="19"/>
  <c r="AE165" i="19"/>
  <c r="AE163" i="19"/>
  <c r="AE166" i="19"/>
  <c r="AE164" i="19"/>
  <c r="AG172" i="19"/>
  <c r="AH135" i="14" s="1"/>
  <c r="AB86" i="19"/>
  <c r="AB89" i="19"/>
  <c r="AB74" i="19"/>
  <c r="AB76" i="19"/>
  <c r="AD118" i="19"/>
  <c r="AE94" i="14" s="1"/>
  <c r="AC108" i="19"/>
  <c r="AC120" i="19"/>
  <c r="AC110" i="12"/>
  <c r="AC108" i="12" s="1"/>
  <c r="AB94" i="19"/>
  <c r="AB83" i="19"/>
  <c r="AC111" i="14" s="1"/>
  <c r="AC107" i="14" s="1"/>
  <c r="AC111" i="12"/>
  <c r="AC107" i="12" s="1"/>
  <c r="AC119" i="19"/>
  <c r="AB93" i="19"/>
  <c r="AB90" i="19"/>
  <c r="AC109" i="19"/>
  <c r="AC79" i="19"/>
  <c r="AD104" i="14" s="1"/>
  <c r="AD105" i="14" s="1"/>
  <c r="AD228" i="14" s="1"/>
  <c r="AB77" i="19"/>
  <c r="AC129" i="19"/>
  <c r="AB80" i="19"/>
  <c r="AC106" i="14" s="1"/>
  <c r="AB68" i="19"/>
  <c r="AC96" i="14" s="1"/>
  <c r="AB71" i="19"/>
  <c r="AC101" i="14" s="1"/>
  <c r="AB70" i="19"/>
  <c r="AC100" i="14" s="1"/>
  <c r="AC98" i="14" s="1"/>
  <c r="AB69" i="19"/>
  <c r="AC99" i="14" s="1"/>
  <c r="Z293" i="20"/>
  <c r="AF172" i="19"/>
  <c r="AG135" i="14" s="1"/>
  <c r="AC180" i="19"/>
  <c r="AD131" i="19"/>
  <c r="AG218" i="20"/>
  <c r="AG215" i="20"/>
  <c r="AG173" i="19" s="1"/>
  <c r="AG217" i="20"/>
  <c r="AG175" i="19" s="1"/>
  <c r="AG219" i="20"/>
  <c r="AG177" i="19" s="1"/>
  <c r="AG216" i="20"/>
  <c r="AF215" i="20"/>
  <c r="AF173" i="19" s="1"/>
  <c r="AF217" i="20"/>
  <c r="AF175" i="19" s="1"/>
  <c r="AF219" i="20"/>
  <c r="AF177" i="19" s="1"/>
  <c r="AF216" i="20"/>
  <c r="AF218" i="20"/>
  <c r="AF203" i="20"/>
  <c r="AF205" i="20"/>
  <c r="AF202" i="20"/>
  <c r="AF204" i="20"/>
  <c r="AF206" i="20"/>
  <c r="AF167" i="19" s="1"/>
  <c r="AG203" i="20"/>
  <c r="AG205" i="20"/>
  <c r="AG202" i="20"/>
  <c r="AG204" i="20"/>
  <c r="AG206" i="20"/>
  <c r="AG167" i="19" s="1"/>
  <c r="AD132" i="20"/>
  <c r="AD133" i="20"/>
  <c r="AD134" i="20"/>
  <c r="AD110" i="19" s="1"/>
  <c r="AD131" i="20"/>
  <c r="AD107" i="19" s="1"/>
  <c r="AD135" i="20"/>
  <c r="AD144" i="20"/>
  <c r="AD143" i="20"/>
  <c r="AD146" i="20"/>
  <c r="AD122" i="19" s="1"/>
  <c r="AD145" i="20"/>
  <c r="AD121" i="19" s="1"/>
  <c r="AD147" i="20"/>
  <c r="AD149" i="20"/>
  <c r="AD125" i="19" s="1"/>
  <c r="AD151" i="20"/>
  <c r="AD127" i="19" s="1"/>
  <c r="AD150" i="20"/>
  <c r="AD152" i="20"/>
  <c r="AD128" i="19" s="1"/>
  <c r="AD153" i="20"/>
  <c r="AE148" i="20"/>
  <c r="AE130" i="20"/>
  <c r="AE142" i="20"/>
  <c r="AE136" i="20"/>
  <c r="AE112" i="19" s="1"/>
  <c r="AF126" i="14" s="1"/>
  <c r="AD140" i="20"/>
  <c r="AD116" i="19" s="1"/>
  <c r="AD137" i="20"/>
  <c r="AD138" i="20"/>
  <c r="AD139" i="20"/>
  <c r="AD115" i="19" s="1"/>
  <c r="AD141" i="20"/>
  <c r="AD117" i="19" s="1"/>
  <c r="AC83" i="20"/>
  <c r="AC84" i="20"/>
  <c r="AC85" i="20"/>
  <c r="AC86" i="20"/>
  <c r="AC78" i="19" s="1"/>
  <c r="AC82" i="20"/>
  <c r="AC103" i="20"/>
  <c r="AC95" i="19" s="1"/>
  <c r="AC102" i="20"/>
  <c r="AC100" i="20"/>
  <c r="AC104" i="20"/>
  <c r="AC96" i="19" s="1"/>
  <c r="AC101" i="20"/>
  <c r="AD75" i="20"/>
  <c r="AD67" i="19" s="1"/>
  <c r="AE93" i="14" s="1"/>
  <c r="AD87" i="20"/>
  <c r="AE104" i="12" s="1"/>
  <c r="AD81" i="20"/>
  <c r="AD99" i="20"/>
  <c r="AD93" i="20"/>
  <c r="AD85" i="19" s="1"/>
  <c r="AE124" i="14" s="1"/>
  <c r="AC94" i="20"/>
  <c r="AC95" i="20"/>
  <c r="AC97" i="20"/>
  <c r="AC96" i="20"/>
  <c r="AC98" i="20"/>
  <c r="AC78" i="20"/>
  <c r="AD100" i="12" s="1"/>
  <c r="AD98" i="12" s="1"/>
  <c r="AC77" i="20"/>
  <c r="AC79" i="20"/>
  <c r="AD101" i="12" s="1"/>
  <c r="AD97" i="12" s="1"/>
  <c r="AC76" i="20"/>
  <c r="AD96" i="12" s="1"/>
  <c r="AC80" i="20"/>
  <c r="AC72" i="19" s="1"/>
  <c r="AC89" i="20"/>
  <c r="AC81" i="19" s="1"/>
  <c r="AC90" i="20"/>
  <c r="AC82" i="19" s="1"/>
  <c r="AC88" i="20"/>
  <c r="AD106" i="12" s="1"/>
  <c r="AC91" i="20"/>
  <c r="AC92" i="20"/>
  <c r="AC84" i="19" s="1"/>
  <c r="AF19" i="20"/>
  <c r="AF222" i="20" s="1"/>
  <c r="AF28" i="20"/>
  <c r="AF46" i="20" s="1"/>
  <c r="AG94" i="12" s="1"/>
  <c r="AG28" i="20"/>
  <c r="AG46" i="20" s="1"/>
  <c r="AH94" i="12" s="1"/>
  <c r="AE45" i="20"/>
  <c r="AE32" i="20"/>
  <c r="CR4" i="55" s="1"/>
  <c r="DX4" i="55" s="1"/>
  <c r="AE133" i="19"/>
  <c r="AE134" i="19"/>
  <c r="AE135" i="19"/>
  <c r="AF125" i="12"/>
  <c r="AE136" i="19"/>
  <c r="AE132" i="19"/>
  <c r="AC179" i="19"/>
  <c r="AG123" i="12"/>
  <c r="AF158" i="19"/>
  <c r="AF160" i="19"/>
  <c r="AB273" i="20"/>
  <c r="AB271" i="20"/>
  <c r="AB272" i="20"/>
  <c r="AB274" i="20"/>
  <c r="AF27" i="20"/>
  <c r="AC226" i="14"/>
  <c r="AG30" i="20"/>
  <c r="AG48" i="20" s="1"/>
  <c r="AF30" i="20"/>
  <c r="AF48" i="20" s="1"/>
  <c r="AG170" i="19"/>
  <c r="J16" i="31"/>
  <c r="P16" i="31" s="1"/>
  <c r="AA281" i="20"/>
  <c r="AA282" i="20"/>
  <c r="AH123" i="12"/>
  <c r="AG160" i="19"/>
  <c r="AG158" i="19"/>
  <c r="J10" i="31"/>
  <c r="P10" i="31" s="1"/>
  <c r="J9" i="31"/>
  <c r="P9" i="31" s="1"/>
  <c r="J8" i="31"/>
  <c r="P8" i="31" s="1"/>
  <c r="J18" i="31"/>
  <c r="P18" i="31" s="1"/>
  <c r="Z278" i="20"/>
  <c r="Z277" i="20"/>
  <c r="AB258" i="20"/>
  <c r="AC225" i="20"/>
  <c r="Y279" i="20"/>
  <c r="Y283" i="20" s="1"/>
  <c r="Y280" i="20"/>
  <c r="AF170" i="19"/>
  <c r="AA276" i="20"/>
  <c r="AA275" i="20"/>
  <c r="AD256" i="20"/>
  <c r="AD34" i="20"/>
  <c r="AC266" i="20"/>
  <c r="AC318" i="20"/>
  <c r="AC270" i="20"/>
  <c r="AC267" i="20"/>
  <c r="AC317" i="20"/>
  <c r="AD95" i="12"/>
  <c r="AC37" i="20"/>
  <c r="AC36" i="20"/>
  <c r="AE103" i="19"/>
  <c r="AE100" i="19"/>
  <c r="AE104" i="19"/>
  <c r="AE102" i="19"/>
  <c r="AF126" i="12"/>
  <c r="AE99" i="19"/>
  <c r="AE101" i="19"/>
  <c r="AC226" i="12"/>
  <c r="AE157" i="19"/>
  <c r="AD55" i="19"/>
  <c r="AD52" i="19" s="1"/>
  <c r="AD62" i="19"/>
  <c r="AD56" i="19"/>
  <c r="AD60" i="19"/>
  <c r="AD50" i="20"/>
  <c r="AD221" i="20" s="1"/>
  <c r="AD63" i="19"/>
  <c r="AE93" i="12"/>
  <c r="AD58" i="19"/>
  <c r="AD54" i="19"/>
  <c r="AE124" i="12"/>
  <c r="AD64" i="19"/>
  <c r="AD65" i="19"/>
  <c r="AD61" i="19"/>
  <c r="AD57" i="19"/>
  <c r="AD53" i="19"/>
  <c r="AE169" i="19"/>
  <c r="AF204" i="28" l="1"/>
  <c r="AF72" i="15"/>
  <c r="AF34" i="58" s="1"/>
  <c r="AE214" i="28"/>
  <c r="AF73" i="15" s="1"/>
  <c r="AA262" i="20"/>
  <c r="CN39" i="55" s="1"/>
  <c r="AA263" i="20"/>
  <c r="CN40" i="55" s="1"/>
  <c r="AA261" i="20"/>
  <c r="CN38" i="55" s="1"/>
  <c r="AA264" i="20"/>
  <c r="CN41" i="55" s="1"/>
  <c r="AA260" i="20"/>
  <c r="AA265" i="20"/>
  <c r="CN42" i="55" s="1"/>
  <c r="AH69" i="15"/>
  <c r="AG206" i="28"/>
  <c r="AH70" i="15" s="1"/>
  <c r="AG69" i="15"/>
  <c r="AG71" i="15" s="1"/>
  <c r="AG33" i="58" s="1"/>
  <c r="AG58" i="55"/>
  <c r="AF208" i="28"/>
  <c r="AG61" i="55"/>
  <c r="AF213" i="28"/>
  <c r="AB259" i="20"/>
  <c r="AB263" i="20" s="1"/>
  <c r="CO40" i="55" s="1"/>
  <c r="CO34" i="55"/>
  <c r="AB183" i="19"/>
  <c r="AA216" i="19"/>
  <c r="AD99" i="12"/>
  <c r="AD109" i="12"/>
  <c r="AD110" i="14"/>
  <c r="AD108" i="14" s="1"/>
  <c r="AD91" i="19"/>
  <c r="AE136" i="14" s="1"/>
  <c r="AE136" i="12"/>
  <c r="AC97" i="14"/>
  <c r="AD73" i="19"/>
  <c r="AE114" i="14" s="1"/>
  <c r="AE114" i="12"/>
  <c r="AC75" i="19"/>
  <c r="AD114" i="19"/>
  <c r="AD109" i="14"/>
  <c r="AD113" i="19"/>
  <c r="AE106" i="19"/>
  <c r="AF103" i="14" s="1"/>
  <c r="AF103" i="12"/>
  <c r="AD126" i="19"/>
  <c r="AD111" i="19"/>
  <c r="AE95" i="14"/>
  <c r="AD123" i="19"/>
  <c r="AE105" i="12"/>
  <c r="AE228" i="12" s="1"/>
  <c r="AE124" i="19"/>
  <c r="AF138" i="14" s="1"/>
  <c r="AF138" i="12"/>
  <c r="AF174" i="19"/>
  <c r="AG174" i="19"/>
  <c r="AD180" i="19"/>
  <c r="AE98" i="19"/>
  <c r="AF176" i="19"/>
  <c r="AG176" i="19"/>
  <c r="AC92" i="19"/>
  <c r="AC94" i="19"/>
  <c r="AC88" i="19"/>
  <c r="AC87" i="19"/>
  <c r="AG164" i="19"/>
  <c r="AF166" i="19"/>
  <c r="AG165" i="19"/>
  <c r="AF164" i="19"/>
  <c r="AG163" i="19"/>
  <c r="AF165" i="19"/>
  <c r="AG166" i="19"/>
  <c r="AF163" i="19"/>
  <c r="AC89" i="19"/>
  <c r="AC86" i="19"/>
  <c r="AC76" i="19"/>
  <c r="AC74" i="19"/>
  <c r="AD109" i="19"/>
  <c r="AC83" i="19"/>
  <c r="AD111" i="14" s="1"/>
  <c r="AD107" i="14" s="1"/>
  <c r="AD111" i="12"/>
  <c r="AD107" i="12" s="1"/>
  <c r="AD108" i="19"/>
  <c r="AD110" i="12"/>
  <c r="AD108" i="12" s="1"/>
  <c r="AC93" i="19"/>
  <c r="AE118" i="19"/>
  <c r="AF94" i="14" s="1"/>
  <c r="AD120" i="19"/>
  <c r="AC90" i="19"/>
  <c r="AD119" i="19"/>
  <c r="AC77" i="19"/>
  <c r="AD129" i="19"/>
  <c r="AC80" i="19"/>
  <c r="AD106" i="14" s="1"/>
  <c r="AD79" i="19"/>
  <c r="AE104" i="14" s="1"/>
  <c r="AE105" i="14" s="1"/>
  <c r="AE228" i="14" s="1"/>
  <c r="AC68" i="19"/>
  <c r="AD96" i="14" s="1"/>
  <c r="AC71" i="19"/>
  <c r="AD101" i="14" s="1"/>
  <c r="AC69" i="19"/>
  <c r="AD99" i="14" s="1"/>
  <c r="AC70" i="19"/>
  <c r="AD100" i="14" s="1"/>
  <c r="AD98" i="14" s="1"/>
  <c r="AA293" i="20"/>
  <c r="AE131" i="19"/>
  <c r="AG182" i="20"/>
  <c r="AG144" i="19" s="1"/>
  <c r="AH125" i="14" s="1"/>
  <c r="AG188" i="20"/>
  <c r="AG176" i="20"/>
  <c r="AE149" i="20"/>
  <c r="AE125" i="19" s="1"/>
  <c r="AE150" i="20"/>
  <c r="AE151" i="20"/>
  <c r="AE127" i="19" s="1"/>
  <c r="AE152" i="20"/>
  <c r="AE128" i="19" s="1"/>
  <c r="AE153" i="20"/>
  <c r="AE137" i="20"/>
  <c r="AE140" i="20"/>
  <c r="AE116" i="19" s="1"/>
  <c r="AE138" i="20"/>
  <c r="AE141" i="20"/>
  <c r="AE117" i="19" s="1"/>
  <c r="AE139" i="20"/>
  <c r="AE115" i="19" s="1"/>
  <c r="AF148" i="20"/>
  <c r="AF130" i="20"/>
  <c r="AF136" i="20"/>
  <c r="AF112" i="19" s="1"/>
  <c r="AG126" i="14" s="1"/>
  <c r="AF142" i="20"/>
  <c r="AE143" i="20"/>
  <c r="AE145" i="20"/>
  <c r="AE121" i="19" s="1"/>
  <c r="AE144" i="20"/>
  <c r="AE147" i="20"/>
  <c r="AE146" i="20"/>
  <c r="AE122" i="19" s="1"/>
  <c r="AG130" i="20"/>
  <c r="AG148" i="20"/>
  <c r="AG142" i="20"/>
  <c r="AG136" i="20"/>
  <c r="AG112" i="19" s="1"/>
  <c r="AH126" i="14" s="1"/>
  <c r="AE131" i="20"/>
  <c r="AE107" i="19" s="1"/>
  <c r="AE133" i="20"/>
  <c r="AE134" i="20"/>
  <c r="AE110" i="19" s="1"/>
  <c r="AE135" i="20"/>
  <c r="AE132" i="20"/>
  <c r="AE75" i="20"/>
  <c r="AE67" i="19" s="1"/>
  <c r="AF93" i="14" s="1"/>
  <c r="AE87" i="20"/>
  <c r="AF104" i="12" s="1"/>
  <c r="AE99" i="20"/>
  <c r="AE81" i="20"/>
  <c r="AE93" i="20"/>
  <c r="AE85" i="19" s="1"/>
  <c r="AF124" i="14" s="1"/>
  <c r="AD82" i="20"/>
  <c r="AD85" i="20"/>
  <c r="AD83" i="20"/>
  <c r="AD86" i="20"/>
  <c r="AD78" i="19" s="1"/>
  <c r="AD84" i="20"/>
  <c r="AD100" i="20"/>
  <c r="AD104" i="20"/>
  <c r="AD96" i="19" s="1"/>
  <c r="AD101" i="20"/>
  <c r="AD103" i="20"/>
  <c r="AD95" i="19" s="1"/>
  <c r="AD102" i="20"/>
  <c r="AD88" i="20"/>
  <c r="AE106" i="12" s="1"/>
  <c r="AD91" i="20"/>
  <c r="AD92" i="20"/>
  <c r="AD84" i="19" s="1"/>
  <c r="AD90" i="20"/>
  <c r="AD82" i="19" s="1"/>
  <c r="AD89" i="20"/>
  <c r="AD81" i="19" s="1"/>
  <c r="AD94" i="20"/>
  <c r="AD98" i="20"/>
  <c r="AD95" i="20"/>
  <c r="AD97" i="20"/>
  <c r="AD96" i="20"/>
  <c r="AD76" i="20"/>
  <c r="AE96" i="12" s="1"/>
  <c r="AD79" i="20"/>
  <c r="AE101" i="12" s="1"/>
  <c r="AE97" i="12" s="1"/>
  <c r="AD77" i="20"/>
  <c r="AD80" i="20"/>
  <c r="AD72" i="19" s="1"/>
  <c r="AD78" i="20"/>
  <c r="AE100" i="12" s="1"/>
  <c r="AE98" i="12" s="1"/>
  <c r="AG19" i="20"/>
  <c r="AG222" i="20" s="1"/>
  <c r="AP206" i="12"/>
  <c r="AP215" i="12"/>
  <c r="AG27" i="20"/>
  <c r="AB282" i="20"/>
  <c r="AB281" i="20"/>
  <c r="AE95" i="12"/>
  <c r="AD318" i="20"/>
  <c r="AD266" i="20"/>
  <c r="AD267" i="20"/>
  <c r="AD270" i="20"/>
  <c r="AD317" i="20"/>
  <c r="AA278" i="20"/>
  <c r="AA277" i="20"/>
  <c r="AD226" i="14"/>
  <c r="AF45" i="20"/>
  <c r="AF32" i="20"/>
  <c r="CS4" i="55" s="1"/>
  <c r="DY4" i="55" s="1"/>
  <c r="AG103" i="19"/>
  <c r="AG100" i="19"/>
  <c r="AG104" i="19"/>
  <c r="AG101" i="19"/>
  <c r="AG99" i="19"/>
  <c r="AG102" i="19"/>
  <c r="AH126" i="12"/>
  <c r="J7" i="31"/>
  <c r="P7" i="31" s="1"/>
  <c r="AD226" i="12"/>
  <c r="AC274" i="20"/>
  <c r="AC273" i="20"/>
  <c r="AC272" i="20"/>
  <c r="AC271" i="20"/>
  <c r="AD36" i="20"/>
  <c r="AD37" i="20"/>
  <c r="AF169" i="19"/>
  <c r="Z279" i="20"/>
  <c r="Z283" i="20" s="1"/>
  <c r="Z280" i="20"/>
  <c r="AG157" i="19"/>
  <c r="AG292" i="19" s="1"/>
  <c r="AF133" i="19"/>
  <c r="AG125" i="12"/>
  <c r="AF132" i="19"/>
  <c r="AF134" i="19"/>
  <c r="AF136" i="19"/>
  <c r="AF135" i="19"/>
  <c r="AE256" i="20"/>
  <c r="AE34" i="20"/>
  <c r="AF103" i="19"/>
  <c r="AF100" i="19"/>
  <c r="AF102" i="19"/>
  <c r="AF104" i="19"/>
  <c r="AF99" i="19"/>
  <c r="AG126" i="12"/>
  <c r="AF101" i="19"/>
  <c r="AD179" i="19"/>
  <c r="AD225" i="20"/>
  <c r="AC258" i="20"/>
  <c r="AG169" i="19"/>
  <c r="AG295" i="19" s="1"/>
  <c r="AG133" i="19"/>
  <c r="J13" i="31"/>
  <c r="P13" i="31" s="1"/>
  <c r="AG136" i="19"/>
  <c r="AG135" i="19"/>
  <c r="J12" i="31"/>
  <c r="P12" i="31" s="1"/>
  <c r="AG134" i="19"/>
  <c r="J14" i="31"/>
  <c r="P14" i="31" s="1"/>
  <c r="AG132" i="19"/>
  <c r="AH125" i="12"/>
  <c r="AB276" i="20"/>
  <c r="AB275" i="20"/>
  <c r="AF157" i="19"/>
  <c r="AE60" i="19"/>
  <c r="AF93" i="12"/>
  <c r="AE50" i="20"/>
  <c r="AE221" i="20" s="1"/>
  <c r="AE56" i="19"/>
  <c r="AF124" i="12"/>
  <c r="AE63" i="19"/>
  <c r="AE64" i="19"/>
  <c r="AE61" i="19"/>
  <c r="AE62" i="19"/>
  <c r="AE58" i="19"/>
  <c r="AE65" i="19"/>
  <c r="AE57" i="19"/>
  <c r="AE54" i="19"/>
  <c r="AE53" i="19"/>
  <c r="AE55" i="19"/>
  <c r="AE52" i="19" s="1"/>
  <c r="AH71" i="15" l="1"/>
  <c r="AH33" i="58" s="1"/>
  <c r="P20" i="60" s="1"/>
  <c r="AB265" i="20"/>
  <c r="CO42" i="55" s="1"/>
  <c r="AB261" i="20"/>
  <c r="CO38" i="55" s="1"/>
  <c r="AB260" i="20"/>
  <c r="AB264" i="20"/>
  <c r="CO41" i="55" s="1"/>
  <c r="AB262" i="20"/>
  <c r="CO39" i="55" s="1"/>
  <c r="AH61" i="55"/>
  <c r="AG208" i="28"/>
  <c r="AG72" i="15"/>
  <c r="AG34" i="58" s="1"/>
  <c r="AF214" i="28"/>
  <c r="AG73" i="15" s="1"/>
  <c r="AH58" i="55"/>
  <c r="AG213" i="28"/>
  <c r="AS206" i="12"/>
  <c r="AC259" i="20"/>
  <c r="CP34" i="55"/>
  <c r="AC183" i="19"/>
  <c r="AB216" i="19"/>
  <c r="AG150" i="19"/>
  <c r="AH137" i="14" s="1"/>
  <c r="AH137" i="12"/>
  <c r="AS215" i="12" s="1"/>
  <c r="AG138" i="19"/>
  <c r="AH113" i="14" s="1"/>
  <c r="AH113" i="12"/>
  <c r="AH176" i="20"/>
  <c r="AE91" i="19"/>
  <c r="AF136" i="14" s="1"/>
  <c r="AF136" i="12"/>
  <c r="AD97" i="14"/>
  <c r="AD75" i="19"/>
  <c r="AE73" i="19"/>
  <c r="AF114" i="14" s="1"/>
  <c r="AF114" i="12"/>
  <c r="AE109" i="12"/>
  <c r="AE110" i="14"/>
  <c r="AE108" i="14" s="1"/>
  <c r="AE99" i="12"/>
  <c r="AF105" i="12"/>
  <c r="AF228" i="12" s="1"/>
  <c r="AE109" i="14"/>
  <c r="AE114" i="19"/>
  <c r="AF124" i="19"/>
  <c r="AG138" i="14" s="1"/>
  <c r="AG138" i="12"/>
  <c r="AR206" i="12"/>
  <c r="AF106" i="19"/>
  <c r="AG103" i="14" s="1"/>
  <c r="AG103" i="12"/>
  <c r="AE111" i="19"/>
  <c r="AE123" i="19"/>
  <c r="AE113" i="19"/>
  <c r="AE126" i="19"/>
  <c r="AG106" i="19"/>
  <c r="AH103" i="14" s="1"/>
  <c r="AH103" i="12"/>
  <c r="AH130" i="20"/>
  <c r="AF95" i="14"/>
  <c r="AG124" i="19"/>
  <c r="AH138" i="14" s="1"/>
  <c r="AH138" i="12"/>
  <c r="AR215" i="12" s="1"/>
  <c r="AF98" i="19"/>
  <c r="AG98" i="19"/>
  <c r="AG294" i="19" s="1"/>
  <c r="AD94" i="19"/>
  <c r="AD92" i="19"/>
  <c r="AD88" i="19"/>
  <c r="AD87" i="19"/>
  <c r="AD86" i="19"/>
  <c r="AD89" i="19"/>
  <c r="AD76" i="19"/>
  <c r="AD74" i="19"/>
  <c r="AE119" i="19"/>
  <c r="AE110" i="12"/>
  <c r="AE108" i="12" s="1"/>
  <c r="AE108" i="19"/>
  <c r="AD90" i="19"/>
  <c r="AG118" i="19"/>
  <c r="AH94" i="14" s="1"/>
  <c r="AF118" i="19"/>
  <c r="AG94" i="14" s="1"/>
  <c r="AD83" i="19"/>
  <c r="AE111" i="14" s="1"/>
  <c r="AE107" i="14" s="1"/>
  <c r="AE111" i="12"/>
  <c r="AE107" i="12" s="1"/>
  <c r="AD93" i="19"/>
  <c r="AE109" i="19"/>
  <c r="AE120" i="19"/>
  <c r="AE129" i="19"/>
  <c r="AD80" i="19"/>
  <c r="AE106" i="14" s="1"/>
  <c r="AE79" i="19"/>
  <c r="AF104" i="14" s="1"/>
  <c r="AF105" i="14" s="1"/>
  <c r="AF228" i="14" s="1"/>
  <c r="AD77" i="19"/>
  <c r="AD71" i="19"/>
  <c r="AE101" i="14" s="1"/>
  <c r="AD70" i="19"/>
  <c r="AE100" i="14" s="1"/>
  <c r="AE98" i="14" s="1"/>
  <c r="AD68" i="19"/>
  <c r="AE96" i="14" s="1"/>
  <c r="AD69" i="19"/>
  <c r="AE99" i="14" s="1"/>
  <c r="AE180" i="19"/>
  <c r="AB293" i="20"/>
  <c r="AG131" i="19"/>
  <c r="AG293" i="19" s="1"/>
  <c r="AF131" i="19"/>
  <c r="AG179" i="20"/>
  <c r="AH179" i="20" s="1"/>
  <c r="AG180" i="20"/>
  <c r="AH180" i="20" s="1"/>
  <c r="AG177" i="20"/>
  <c r="AH177" i="20" s="1"/>
  <c r="AG181" i="20"/>
  <c r="AH181" i="20" s="1"/>
  <c r="AG178" i="20"/>
  <c r="AG189" i="20"/>
  <c r="AG192" i="20"/>
  <c r="AG193" i="20"/>
  <c r="AG190" i="20"/>
  <c r="AG152" i="19" s="1"/>
  <c r="AG191" i="20"/>
  <c r="AG183" i="20"/>
  <c r="AG184" i="20"/>
  <c r="AG146" i="19" s="1"/>
  <c r="AG186" i="20"/>
  <c r="AG187" i="20"/>
  <c r="AG149" i="19" s="1"/>
  <c r="AG185" i="20"/>
  <c r="E171" i="20"/>
  <c r="E173" i="20"/>
  <c r="E182" i="20" s="1"/>
  <c r="E144" i="19" s="1"/>
  <c r="F125" i="14" s="1"/>
  <c r="E170" i="20"/>
  <c r="E176" i="20" s="1"/>
  <c r="E172" i="20"/>
  <c r="E224" i="20" s="1"/>
  <c r="E174" i="20"/>
  <c r="E188" i="20" s="1"/>
  <c r="F137" i="12" s="1"/>
  <c r="AF132" i="20"/>
  <c r="AF133" i="20"/>
  <c r="AF131" i="20"/>
  <c r="AF107" i="19" s="1"/>
  <c r="AF135" i="20"/>
  <c r="AF134" i="20"/>
  <c r="AF110" i="19" s="1"/>
  <c r="AG138" i="20"/>
  <c r="AG139" i="20"/>
  <c r="AG115" i="19" s="1"/>
  <c r="AG137" i="20"/>
  <c r="AG140" i="20"/>
  <c r="AG116" i="19" s="1"/>
  <c r="AG141" i="20"/>
  <c r="AG117" i="19" s="1"/>
  <c r="AF150" i="20"/>
  <c r="AF149" i="20"/>
  <c r="AF125" i="19" s="1"/>
  <c r="AF152" i="20"/>
  <c r="AF128" i="19" s="1"/>
  <c r="AF151" i="20"/>
  <c r="AF127" i="19" s="1"/>
  <c r="AF153" i="20"/>
  <c r="AG132" i="20"/>
  <c r="AH132" i="20" s="1"/>
  <c r="AG134" i="20"/>
  <c r="AG131" i="20"/>
  <c r="AG133" i="20"/>
  <c r="AH133" i="20" s="1"/>
  <c r="AG135" i="20"/>
  <c r="AG143" i="20"/>
  <c r="AG147" i="20"/>
  <c r="AG144" i="20"/>
  <c r="AG145" i="20"/>
  <c r="AG121" i="19" s="1"/>
  <c r="AG146" i="20"/>
  <c r="AG122" i="19" s="1"/>
  <c r="AF144" i="20"/>
  <c r="AF143" i="20"/>
  <c r="AF145" i="20"/>
  <c r="AF121" i="19" s="1"/>
  <c r="AF146" i="20"/>
  <c r="AF122" i="19" s="1"/>
  <c r="AF147" i="20"/>
  <c r="AG149" i="20"/>
  <c r="AG125" i="19" s="1"/>
  <c r="AG153" i="20"/>
  <c r="AG150" i="20"/>
  <c r="AG151" i="20"/>
  <c r="AG127" i="19" s="1"/>
  <c r="AG152" i="20"/>
  <c r="AG128" i="19" s="1"/>
  <c r="AF137" i="20"/>
  <c r="AF138" i="20"/>
  <c r="AF139" i="20"/>
  <c r="AF115" i="19" s="1"/>
  <c r="AF141" i="20"/>
  <c r="AF117" i="19" s="1"/>
  <c r="AF140" i="20"/>
  <c r="AF116" i="19" s="1"/>
  <c r="AF75" i="20"/>
  <c r="AF67" i="19" s="1"/>
  <c r="AG93" i="14" s="1"/>
  <c r="AF81" i="20"/>
  <c r="AF99" i="20"/>
  <c r="AF93" i="20"/>
  <c r="AF85" i="19" s="1"/>
  <c r="AG124" i="14" s="1"/>
  <c r="AF87" i="20"/>
  <c r="AG104" i="12" s="1"/>
  <c r="AE83" i="20"/>
  <c r="AE84" i="20"/>
  <c r="AE82" i="20"/>
  <c r="AE86" i="20"/>
  <c r="AE78" i="19" s="1"/>
  <c r="AE85" i="20"/>
  <c r="AE100" i="20"/>
  <c r="AE104" i="20"/>
  <c r="AE96" i="19" s="1"/>
  <c r="AE102" i="20"/>
  <c r="AE101" i="20"/>
  <c r="AE103" i="20"/>
  <c r="AE95" i="19" s="1"/>
  <c r="AE89" i="20"/>
  <c r="AE81" i="19" s="1"/>
  <c r="AE91" i="20"/>
  <c r="AE90" i="20"/>
  <c r="AE82" i="19" s="1"/>
  <c r="AE92" i="20"/>
  <c r="AE84" i="19" s="1"/>
  <c r="AE88" i="20"/>
  <c r="AF106" i="12" s="1"/>
  <c r="AE97" i="20"/>
  <c r="AE95" i="20"/>
  <c r="AE94" i="20"/>
  <c r="AE96" i="20"/>
  <c r="AE98" i="20"/>
  <c r="AE79" i="20"/>
  <c r="AF101" i="12" s="1"/>
  <c r="AF97" i="12" s="1"/>
  <c r="AE78" i="20"/>
  <c r="AF100" i="12" s="1"/>
  <c r="AF98" i="12" s="1"/>
  <c r="AE77" i="20"/>
  <c r="AE80" i="20"/>
  <c r="AE72" i="19" s="1"/>
  <c r="AE76" i="20"/>
  <c r="AF96" i="12" s="1"/>
  <c r="AF95" i="12"/>
  <c r="AC281" i="20"/>
  <c r="AC282" i="20"/>
  <c r="AE226" i="12"/>
  <c r="AE36" i="20"/>
  <c r="AE37" i="20"/>
  <c r="AE226" i="14"/>
  <c r="AB277" i="20"/>
  <c r="AB278" i="20"/>
  <c r="AD258" i="20"/>
  <c r="AE225" i="20"/>
  <c r="AQ202" i="12"/>
  <c r="AF256" i="20"/>
  <c r="AF34" i="20"/>
  <c r="AA279" i="20"/>
  <c r="AA283" i="20" s="1"/>
  <c r="AA280" i="20"/>
  <c r="AE179" i="19"/>
  <c r="AE267" i="20"/>
  <c r="AE270" i="20"/>
  <c r="AE318" i="20"/>
  <c r="AE266" i="20"/>
  <c r="AE317" i="20"/>
  <c r="AC276" i="20"/>
  <c r="AC275" i="20"/>
  <c r="AG93" i="12"/>
  <c r="AF62" i="19"/>
  <c r="AF58" i="19"/>
  <c r="AF56" i="19"/>
  <c r="AF55" i="19"/>
  <c r="AF52" i="19" s="1"/>
  <c r="AF50" i="20"/>
  <c r="AF221" i="20" s="1"/>
  <c r="AF64" i="19"/>
  <c r="AF63" i="19"/>
  <c r="AF57" i="19"/>
  <c r="AG124" i="12"/>
  <c r="AF53" i="19"/>
  <c r="AF60" i="19"/>
  <c r="AF65" i="19"/>
  <c r="AF54" i="19"/>
  <c r="AF61" i="19"/>
  <c r="AD271" i="20"/>
  <c r="AD273" i="20"/>
  <c r="AD274" i="20"/>
  <c r="AD272" i="20"/>
  <c r="AG45" i="20"/>
  <c r="AG224" i="20" s="1"/>
  <c r="AG32" i="20"/>
  <c r="CT4" i="55" s="1"/>
  <c r="DZ4" i="55" s="1"/>
  <c r="AC261" i="20" l="1"/>
  <c r="CP38" i="55" s="1"/>
  <c r="AC265" i="20"/>
  <c r="CP42" i="55" s="1"/>
  <c r="AC260" i="20"/>
  <c r="AC264" i="20"/>
  <c r="CP41" i="55" s="1"/>
  <c r="AC263" i="20"/>
  <c r="CP40" i="55" s="1"/>
  <c r="AC262" i="20"/>
  <c r="CP39" i="55" s="1"/>
  <c r="AP212" i="12"/>
  <c r="AH72" i="15"/>
  <c r="AH34" i="58" s="1"/>
  <c r="AG214" i="28"/>
  <c r="AH73" i="15" s="1"/>
  <c r="AD259" i="20"/>
  <c r="CQ34" i="55"/>
  <c r="AP209" i="12"/>
  <c r="AD183" i="19"/>
  <c r="AC216" i="19"/>
  <c r="E138" i="19"/>
  <c r="F113" i="14" s="1"/>
  <c r="F113" i="12"/>
  <c r="AG140" i="19"/>
  <c r="AH178" i="20"/>
  <c r="F146" i="12"/>
  <c r="F139" i="12"/>
  <c r="F231" i="12" s="1"/>
  <c r="AF109" i="12"/>
  <c r="AE75" i="19"/>
  <c r="AF110" i="14"/>
  <c r="AF108" i="14" s="1"/>
  <c r="AF73" i="19"/>
  <c r="AG114" i="14" s="1"/>
  <c r="AG114" i="12"/>
  <c r="AE97" i="14"/>
  <c r="AF91" i="19"/>
  <c r="AG136" i="14" s="1"/>
  <c r="AG136" i="12"/>
  <c r="AF99" i="12"/>
  <c r="AF109" i="14"/>
  <c r="AG105" i="12"/>
  <c r="AG228" i="12" s="1"/>
  <c r="AF126" i="19"/>
  <c r="AF123" i="19"/>
  <c r="AG123" i="19"/>
  <c r="AG107" i="19"/>
  <c r="AH131" i="20"/>
  <c r="AG114" i="19"/>
  <c r="AF114" i="19"/>
  <c r="AG126" i="19"/>
  <c r="AG110" i="19"/>
  <c r="AH134" i="20"/>
  <c r="AG95" i="14"/>
  <c r="AF113" i="19"/>
  <c r="AG111" i="19"/>
  <c r="AH135" i="20"/>
  <c r="AG113" i="19"/>
  <c r="AF111" i="19"/>
  <c r="AG147" i="19"/>
  <c r="AG145" i="19"/>
  <c r="AG139" i="19"/>
  <c r="AG151" i="19"/>
  <c r="AG148" i="19"/>
  <c r="AG141" i="19"/>
  <c r="AG154" i="19"/>
  <c r="AE94" i="19"/>
  <c r="AE92" i="19"/>
  <c r="AE88" i="19"/>
  <c r="AE87" i="19"/>
  <c r="AE89" i="19"/>
  <c r="AG155" i="19"/>
  <c r="AE86" i="19"/>
  <c r="AG153" i="19"/>
  <c r="AE74" i="19"/>
  <c r="AE76" i="19"/>
  <c r="AG143" i="19"/>
  <c r="AG142" i="19"/>
  <c r="AG120" i="19"/>
  <c r="AE93" i="19"/>
  <c r="AF120" i="19"/>
  <c r="AF109" i="19"/>
  <c r="AF119" i="19"/>
  <c r="AG109" i="19"/>
  <c r="AE90" i="19"/>
  <c r="AE83" i="19"/>
  <c r="AF111" i="14" s="1"/>
  <c r="AF107" i="14" s="1"/>
  <c r="AF111" i="12"/>
  <c r="AF107" i="12" s="1"/>
  <c r="AG119" i="19"/>
  <c r="AF108" i="19"/>
  <c r="AG108" i="19"/>
  <c r="AF110" i="12"/>
  <c r="AF108" i="12" s="1"/>
  <c r="AE77" i="19"/>
  <c r="AF79" i="19"/>
  <c r="AG104" i="14" s="1"/>
  <c r="AG105" i="14" s="1"/>
  <c r="AG228" i="14" s="1"/>
  <c r="AF129" i="19"/>
  <c r="AE80" i="19"/>
  <c r="AF106" i="14" s="1"/>
  <c r="AG129" i="19"/>
  <c r="AE70" i="19"/>
  <c r="AF100" i="14" s="1"/>
  <c r="AF98" i="14" s="1"/>
  <c r="AE68" i="19"/>
  <c r="AF96" i="14" s="1"/>
  <c r="AE71" i="19"/>
  <c r="AF101" i="14" s="1"/>
  <c r="AE69" i="19"/>
  <c r="AF99" i="14" s="1"/>
  <c r="AC293" i="20"/>
  <c r="E150" i="19"/>
  <c r="F137" i="14" s="1"/>
  <c r="F139" i="14" s="1"/>
  <c r="F231" i="14" s="1"/>
  <c r="E223" i="20"/>
  <c r="E268" i="20"/>
  <c r="E291" i="20"/>
  <c r="E292" i="20" s="1"/>
  <c r="AF180" i="19"/>
  <c r="E181" i="20"/>
  <c r="E179" i="20"/>
  <c r="E180" i="20"/>
  <c r="E177" i="20"/>
  <c r="F116" i="12" s="1"/>
  <c r="E178" i="20"/>
  <c r="F171" i="20"/>
  <c r="F173" i="20"/>
  <c r="F182" i="20" s="1"/>
  <c r="F144" i="19" s="1"/>
  <c r="G125" i="14" s="1"/>
  <c r="F170" i="20"/>
  <c r="F176" i="20" s="1"/>
  <c r="F172" i="20"/>
  <c r="F224" i="20" s="1"/>
  <c r="F174" i="20"/>
  <c r="F188" i="20" s="1"/>
  <c r="G137" i="12" s="1"/>
  <c r="E183" i="20"/>
  <c r="F128" i="12" s="1"/>
  <c r="E184" i="20"/>
  <c r="E185" i="20"/>
  <c r="E186" i="20"/>
  <c r="E187" i="20"/>
  <c r="E149" i="19" s="1"/>
  <c r="E191" i="20"/>
  <c r="E192" i="20"/>
  <c r="E190" i="20"/>
  <c r="E189" i="20"/>
  <c r="E193" i="20"/>
  <c r="AF95" i="20"/>
  <c r="AF98" i="20"/>
  <c r="AF94" i="20"/>
  <c r="AF96" i="20"/>
  <c r="AF97" i="20"/>
  <c r="AF101" i="20"/>
  <c r="AF104" i="20"/>
  <c r="AF96" i="19" s="1"/>
  <c r="AF100" i="20"/>
  <c r="AF103" i="20"/>
  <c r="AF95" i="19" s="1"/>
  <c r="AF102" i="20"/>
  <c r="AF86" i="20"/>
  <c r="AF78" i="19" s="1"/>
  <c r="AF82" i="20"/>
  <c r="AF84" i="20"/>
  <c r="AF85" i="20"/>
  <c r="AF83" i="20"/>
  <c r="AG75" i="20"/>
  <c r="AG81" i="20"/>
  <c r="AG93" i="20"/>
  <c r="AG85" i="19" s="1"/>
  <c r="AH124" i="14" s="1"/>
  <c r="AG99" i="20"/>
  <c r="AH136" i="12" s="1"/>
  <c r="AQ263" i="12" s="1"/>
  <c r="AG87" i="20"/>
  <c r="AF89" i="20"/>
  <c r="AF81" i="19" s="1"/>
  <c r="AF92" i="20"/>
  <c r="AF84" i="19" s="1"/>
  <c r="AF88" i="20"/>
  <c r="AG106" i="12" s="1"/>
  <c r="AF91" i="20"/>
  <c r="AF90" i="20"/>
  <c r="AF82" i="19" s="1"/>
  <c r="AF76" i="20"/>
  <c r="AG96" i="12" s="1"/>
  <c r="AF80" i="20"/>
  <c r="AF72" i="19" s="1"/>
  <c r="AF77" i="20"/>
  <c r="AF78" i="20"/>
  <c r="AG100" i="12" s="1"/>
  <c r="AG98" i="12" s="1"/>
  <c r="AF79" i="20"/>
  <c r="AG101" i="12" s="1"/>
  <c r="AG97" i="12" s="1"/>
  <c r="AD281" i="20"/>
  <c r="AD282" i="20"/>
  <c r="AF36" i="20"/>
  <c r="AF37" i="20"/>
  <c r="AG256" i="20"/>
  <c r="AG34" i="20"/>
  <c r="AD276" i="20"/>
  <c r="AD275" i="20"/>
  <c r="AF266" i="20"/>
  <c r="AF317" i="20"/>
  <c r="AF267" i="20"/>
  <c r="AF270" i="20"/>
  <c r="AF318" i="20"/>
  <c r="AF179" i="19"/>
  <c r="AE274" i="20"/>
  <c r="AE271" i="20"/>
  <c r="AE273" i="20"/>
  <c r="AE272" i="20"/>
  <c r="AB279" i="20"/>
  <c r="AB283" i="20" s="1"/>
  <c r="AB280" i="20"/>
  <c r="AF226" i="12"/>
  <c r="AC278" i="20"/>
  <c r="AC277" i="20"/>
  <c r="AG50" i="20"/>
  <c r="AG55" i="19"/>
  <c r="AG52" i="19" s="1"/>
  <c r="AG56" i="19"/>
  <c r="AH124" i="12"/>
  <c r="AG53" i="19"/>
  <c r="J5" i="31"/>
  <c r="P5" i="31" s="1"/>
  <c r="J4" i="31"/>
  <c r="P4" i="31" s="1"/>
  <c r="AG60" i="19"/>
  <c r="AG58" i="19"/>
  <c r="AG61" i="19"/>
  <c r="J2" i="31"/>
  <c r="P2" i="31" s="1"/>
  <c r="AG62" i="19"/>
  <c r="J3" i="31"/>
  <c r="P3" i="31" s="1"/>
  <c r="AG63" i="19"/>
  <c r="AG65" i="19"/>
  <c r="AH93" i="12"/>
  <c r="AG54" i="19"/>
  <c r="AG64" i="19"/>
  <c r="AG57" i="19"/>
  <c r="AH337" i="20"/>
  <c r="AG95" i="12"/>
  <c r="AF225" i="20"/>
  <c r="AE258" i="20"/>
  <c r="AF226" i="14"/>
  <c r="AD260" i="20" l="1"/>
  <c r="AD264" i="20"/>
  <c r="CQ41" i="55" s="1"/>
  <c r="AD265" i="20"/>
  <c r="CQ42" i="55" s="1"/>
  <c r="AD262" i="20"/>
  <c r="CQ39" i="55" s="1"/>
  <c r="AD263" i="20"/>
  <c r="CQ40" i="55" s="1"/>
  <c r="AD261" i="20"/>
  <c r="CQ38" i="55" s="1"/>
  <c r="AQ259" i="12"/>
  <c r="AH95" i="12"/>
  <c r="AQ260" i="12"/>
  <c r="AH127" i="12"/>
  <c r="AE259" i="20"/>
  <c r="CR34" i="55"/>
  <c r="E269" i="20"/>
  <c r="E284" i="20" s="1"/>
  <c r="F34" i="55"/>
  <c r="AG270" i="20"/>
  <c r="AK273" i="12" s="1"/>
  <c r="AM273" i="12" s="1"/>
  <c r="AK272" i="12"/>
  <c r="AE183" i="19"/>
  <c r="AD216" i="19"/>
  <c r="F146" i="14"/>
  <c r="E146" i="19"/>
  <c r="F131" i="14" s="1"/>
  <c r="F127" i="14" s="1"/>
  <c r="F131" i="12"/>
  <c r="F127" i="12" s="1"/>
  <c r="F227" i="12" s="1"/>
  <c r="F138" i="19"/>
  <c r="G113" i="14" s="1"/>
  <c r="G113" i="12"/>
  <c r="E140" i="19"/>
  <c r="F119" i="12"/>
  <c r="F147" i="12"/>
  <c r="F115" i="12"/>
  <c r="E152" i="19"/>
  <c r="F143" i="12"/>
  <c r="G139" i="12"/>
  <c r="G231" i="12" s="1"/>
  <c r="G146" i="12"/>
  <c r="F147" i="14"/>
  <c r="F115" i="14"/>
  <c r="AG110" i="14"/>
  <c r="AG108" i="14" s="1"/>
  <c r="AF75" i="19"/>
  <c r="AG99" i="12"/>
  <c r="AF97" i="14"/>
  <c r="AG73" i="19"/>
  <c r="AH114" i="14" s="1"/>
  <c r="AH115" i="14" s="1"/>
  <c r="AH114" i="12"/>
  <c r="AH81" i="20"/>
  <c r="AH104" i="12"/>
  <c r="AH105" i="12" s="1"/>
  <c r="AH87" i="20"/>
  <c r="AG67" i="19"/>
  <c r="AH93" i="14" s="1"/>
  <c r="AH75" i="20"/>
  <c r="AG109" i="12"/>
  <c r="AG109" i="14"/>
  <c r="F145" i="12"/>
  <c r="F141" i="12" s="1"/>
  <c r="E182" i="19"/>
  <c r="E249" i="19" s="1"/>
  <c r="E250" i="19" s="1"/>
  <c r="F144" i="12"/>
  <c r="F142" i="12" s="1"/>
  <c r="F140" i="12"/>
  <c r="E145" i="19"/>
  <c r="F128" i="14" s="1"/>
  <c r="AF94" i="19"/>
  <c r="E148" i="19"/>
  <c r="F133" i="14" s="1"/>
  <c r="F129" i="14" s="1"/>
  <c r="F133" i="12"/>
  <c r="F129" i="12" s="1"/>
  <c r="E147" i="19"/>
  <c r="F132" i="14" s="1"/>
  <c r="F130" i="14" s="1"/>
  <c r="F132" i="12"/>
  <c r="F130" i="12" s="1"/>
  <c r="AF92" i="19"/>
  <c r="AF88" i="19"/>
  <c r="AF87" i="19"/>
  <c r="AF86" i="19"/>
  <c r="E141" i="19"/>
  <c r="F120" i="14" s="1"/>
  <c r="F120" i="12"/>
  <c r="F118" i="12" s="1"/>
  <c r="E151" i="19"/>
  <c r="F140" i="14" s="1"/>
  <c r="AF89" i="19"/>
  <c r="E154" i="19"/>
  <c r="F145" i="14" s="1"/>
  <c r="F141" i="14" s="1"/>
  <c r="E155" i="19"/>
  <c r="E153" i="19"/>
  <c r="F144" i="14" s="1"/>
  <c r="F142" i="14" s="1"/>
  <c r="E139" i="19"/>
  <c r="F116" i="14" s="1"/>
  <c r="AF74" i="19"/>
  <c r="AF76" i="19"/>
  <c r="E143" i="19"/>
  <c r="E142" i="19"/>
  <c r="F121" i="14" s="1"/>
  <c r="F121" i="12"/>
  <c r="F117" i="12" s="1"/>
  <c r="AF83" i="19"/>
  <c r="AG111" i="14" s="1"/>
  <c r="AG107" i="14" s="1"/>
  <c r="AG111" i="12"/>
  <c r="AG107" i="12" s="1"/>
  <c r="AF93" i="19"/>
  <c r="AF90" i="19"/>
  <c r="AG110" i="12"/>
  <c r="AG108" i="12" s="1"/>
  <c r="AF80" i="19"/>
  <c r="AG106" i="14" s="1"/>
  <c r="AF77" i="19"/>
  <c r="AG79" i="19"/>
  <c r="AH104" i="14" s="1"/>
  <c r="AH105" i="14" s="1"/>
  <c r="AH228" i="14" s="1"/>
  <c r="AF71" i="19"/>
  <c r="AG101" i="14" s="1"/>
  <c r="AF68" i="19"/>
  <c r="AG96" i="14" s="1"/>
  <c r="AF70" i="19"/>
  <c r="AG100" i="14" s="1"/>
  <c r="AG98" i="14" s="1"/>
  <c r="AF69" i="19"/>
  <c r="AG99" i="14" s="1"/>
  <c r="AG221" i="20"/>
  <c r="AG317" i="20"/>
  <c r="E295" i="20"/>
  <c r="E296" i="20" s="1"/>
  <c r="E297" i="20" s="1"/>
  <c r="E299" i="20" s="1"/>
  <c r="E294" i="20"/>
  <c r="AD293" i="20"/>
  <c r="F150" i="19"/>
  <c r="G137" i="14" s="1"/>
  <c r="G139" i="14" s="1"/>
  <c r="G231" i="14" s="1"/>
  <c r="F223" i="20"/>
  <c r="F291" i="20"/>
  <c r="F292" i="20" s="1"/>
  <c r="F268" i="20"/>
  <c r="AG223" i="20"/>
  <c r="AG91" i="19"/>
  <c r="G170" i="20"/>
  <c r="G176" i="20" s="1"/>
  <c r="G172" i="20"/>
  <c r="G224" i="20" s="1"/>
  <c r="G174" i="20"/>
  <c r="G188" i="20" s="1"/>
  <c r="H137" i="12" s="1"/>
  <c r="G171" i="20"/>
  <c r="G173" i="20"/>
  <c r="G182" i="20" s="1"/>
  <c r="G144" i="19" s="1"/>
  <c r="H125" i="14" s="1"/>
  <c r="F189" i="20"/>
  <c r="F190" i="20"/>
  <c r="F192" i="20"/>
  <c r="F191" i="20"/>
  <c r="F193" i="20"/>
  <c r="F177" i="20"/>
  <c r="G116" i="12" s="1"/>
  <c r="F178" i="20"/>
  <c r="F180" i="20"/>
  <c r="F179" i="20"/>
  <c r="F181" i="20"/>
  <c r="F183" i="20"/>
  <c r="G128" i="12" s="1"/>
  <c r="F184" i="20"/>
  <c r="F186" i="20"/>
  <c r="F185" i="20"/>
  <c r="F187" i="20"/>
  <c r="F149" i="19" s="1"/>
  <c r="AG89" i="20"/>
  <c r="AH89" i="20" s="1"/>
  <c r="AG88" i="20"/>
  <c r="AG91" i="20"/>
  <c r="AH91" i="20" s="1"/>
  <c r="AG90" i="20"/>
  <c r="AH90" i="20" s="1"/>
  <c r="AG92" i="20"/>
  <c r="AG102" i="20"/>
  <c r="AG100" i="20"/>
  <c r="AH140" i="12" s="1"/>
  <c r="AG103" i="20"/>
  <c r="AG101" i="20"/>
  <c r="AG104" i="20"/>
  <c r="AG96" i="19" s="1"/>
  <c r="AG96" i="20"/>
  <c r="AH132" i="12" s="1"/>
  <c r="AH130" i="12" s="1"/>
  <c r="AG98" i="20"/>
  <c r="AG97" i="20"/>
  <c r="AH133" i="12" s="1"/>
  <c r="AH129" i="12" s="1"/>
  <c r="AG94" i="20"/>
  <c r="AH128" i="12" s="1"/>
  <c r="AG95" i="20"/>
  <c r="AG77" i="20"/>
  <c r="AH77" i="20" s="1"/>
  <c r="AG78" i="20"/>
  <c r="AG76" i="20"/>
  <c r="AG79" i="20"/>
  <c r="AG80" i="20"/>
  <c r="AG83" i="20"/>
  <c r="AG82" i="20"/>
  <c r="AG84" i="20"/>
  <c r="AH84" i="20" s="1"/>
  <c r="AG85" i="20"/>
  <c r="AG86" i="20"/>
  <c r="AH86" i="20" s="1"/>
  <c r="AG179" i="19"/>
  <c r="AQ215" i="12"/>
  <c r="AT215" i="12" s="1"/>
  <c r="AH139" i="12"/>
  <c r="AC280" i="20"/>
  <c r="AC279" i="20"/>
  <c r="AC283" i="20" s="1"/>
  <c r="AE275" i="20"/>
  <c r="AE276" i="20"/>
  <c r="AG226" i="14"/>
  <c r="AG291" i="19"/>
  <c r="AG180" i="19"/>
  <c r="AG226" i="12"/>
  <c r="AP202" i="12"/>
  <c r="AR202" i="12" s="1"/>
  <c r="AH147" i="12"/>
  <c r="AQ206" i="12"/>
  <c r="AT206" i="12" s="1"/>
  <c r="AG266" i="20"/>
  <c r="AG267" i="20"/>
  <c r="AG318" i="20"/>
  <c r="AE281" i="20"/>
  <c r="AE282" i="20"/>
  <c r="AD278" i="20"/>
  <c r="AD277" i="20"/>
  <c r="AG225" i="20"/>
  <c r="AG258" i="20" s="1"/>
  <c r="AF258" i="20"/>
  <c r="AG291" i="20"/>
  <c r="AI224" i="20"/>
  <c r="B335" i="20"/>
  <c r="AG268" i="20"/>
  <c r="AH34" i="55" s="1"/>
  <c r="AF271" i="20"/>
  <c r="AF273" i="20"/>
  <c r="AF274" i="20"/>
  <c r="AF272" i="20"/>
  <c r="AG37" i="20"/>
  <c r="AG36" i="20"/>
  <c r="AE265" i="20" l="1"/>
  <c r="CR42" i="55" s="1"/>
  <c r="AE262" i="20"/>
  <c r="CR39" i="55" s="1"/>
  <c r="AE263" i="20"/>
  <c r="CR40" i="55" s="1"/>
  <c r="AE261" i="20"/>
  <c r="CR38" i="55" s="1"/>
  <c r="AE260" i="20"/>
  <c r="AE264" i="20"/>
  <c r="CR41" i="55" s="1"/>
  <c r="E285" i="20"/>
  <c r="E289" i="20"/>
  <c r="F42" i="55" s="1"/>
  <c r="E286" i="20"/>
  <c r="F39" i="55" s="1"/>
  <c r="E288" i="20"/>
  <c r="F41" i="55" s="1"/>
  <c r="E287" i="20"/>
  <c r="F40" i="55" s="1"/>
  <c r="AH115" i="12"/>
  <c r="AH148" i="12" s="1"/>
  <c r="AI148" i="12" s="1"/>
  <c r="AH146" i="12"/>
  <c r="AI147" i="12" s="1"/>
  <c r="AF259" i="20"/>
  <c r="AF261" i="20" s="1"/>
  <c r="CS38" i="55" s="1"/>
  <c r="CS34" i="55"/>
  <c r="AG259" i="20"/>
  <c r="CT34" i="55"/>
  <c r="F269" i="20"/>
  <c r="G34" i="55"/>
  <c r="AM272" i="12"/>
  <c r="AN272" i="12" s="1"/>
  <c r="AG292" i="20"/>
  <c r="AK275" i="12" s="1"/>
  <c r="AM275" i="12" s="1"/>
  <c r="AK276" i="12"/>
  <c r="AQ262" i="12"/>
  <c r="AR198" i="12"/>
  <c r="AQ261" i="12"/>
  <c r="AF183" i="19"/>
  <c r="AE216" i="19"/>
  <c r="AQ212" i="12"/>
  <c r="AR212" i="12" s="1"/>
  <c r="G146" i="14"/>
  <c r="F119" i="14"/>
  <c r="G138" i="19"/>
  <c r="H113" i="14" s="1"/>
  <c r="H113" i="12"/>
  <c r="F229" i="14"/>
  <c r="F148" i="14"/>
  <c r="F229" i="12"/>
  <c r="F232" i="12" s="1"/>
  <c r="F225" i="12" a="1"/>
  <c r="F148" i="12"/>
  <c r="F169" i="12" s="1"/>
  <c r="F225" i="14" a="1"/>
  <c r="F227" i="14"/>
  <c r="F146" i="19"/>
  <c r="G131" i="14" s="1"/>
  <c r="G127" i="14" s="1"/>
  <c r="G131" i="12"/>
  <c r="G127" i="12" s="1"/>
  <c r="G227" i="12" s="1"/>
  <c r="F140" i="19"/>
  <c r="G119" i="12"/>
  <c r="F118" i="14"/>
  <c r="F151" i="14" s="1"/>
  <c r="F153" i="14"/>
  <c r="F143" i="14"/>
  <c r="G147" i="12"/>
  <c r="G115" i="12"/>
  <c r="F152" i="19"/>
  <c r="G143" i="12"/>
  <c r="H139" i="12"/>
  <c r="H231" i="12" s="1"/>
  <c r="H146" i="12"/>
  <c r="F117" i="14"/>
  <c r="F150" i="14" s="1"/>
  <c r="F154" i="14"/>
  <c r="F149" i="14"/>
  <c r="F152" i="12"/>
  <c r="G147" i="14"/>
  <c r="G115" i="14"/>
  <c r="X174" i="14"/>
  <c r="AR198" i="14"/>
  <c r="AH143" i="12"/>
  <c r="AG75" i="19"/>
  <c r="AH119" i="12"/>
  <c r="AH83" i="20"/>
  <c r="AH121" i="12"/>
  <c r="AH117" i="12" s="1"/>
  <c r="AH85" i="20"/>
  <c r="AG182" i="19"/>
  <c r="AH136" i="14"/>
  <c r="AH139" i="14" s="1"/>
  <c r="AT198" i="14" s="1"/>
  <c r="AG97" i="14"/>
  <c r="AH147" i="14"/>
  <c r="AH95" i="14"/>
  <c r="X172" i="14" s="1"/>
  <c r="AH101" i="12"/>
  <c r="AH97" i="12" s="1"/>
  <c r="AH79" i="20"/>
  <c r="AH131" i="12"/>
  <c r="AH100" i="12"/>
  <c r="AH98" i="12" s="1"/>
  <c r="AH78" i="20"/>
  <c r="AG84" i="19"/>
  <c r="AH92" i="20"/>
  <c r="AH109" i="12"/>
  <c r="AG72" i="19"/>
  <c r="AH80" i="20"/>
  <c r="AH99" i="12"/>
  <c r="AH82" i="20"/>
  <c r="AH116" i="12"/>
  <c r="AH96" i="12"/>
  <c r="AH76" i="20"/>
  <c r="AH106" i="12"/>
  <c r="AH88" i="20"/>
  <c r="AG269" i="20"/>
  <c r="E217" i="19"/>
  <c r="E226" i="19"/>
  <c r="CX34" i="55" s="1"/>
  <c r="G140" i="12"/>
  <c r="F182" i="19"/>
  <c r="G144" i="12"/>
  <c r="G142" i="12" s="1"/>
  <c r="G145" i="12"/>
  <c r="G141" i="12" s="1"/>
  <c r="AG94" i="19"/>
  <c r="AH144" i="14" s="1"/>
  <c r="AH142" i="14" s="1"/>
  <c r="AH144" i="12"/>
  <c r="AH142" i="12" s="1"/>
  <c r="F148" i="19"/>
  <c r="G133" i="14" s="1"/>
  <c r="G129" i="14" s="1"/>
  <c r="G133" i="12"/>
  <c r="G129" i="12" s="1"/>
  <c r="F154" i="12"/>
  <c r="F150" i="12"/>
  <c r="AG95" i="19"/>
  <c r="AH145" i="14" s="1"/>
  <c r="AH141" i="14" s="1"/>
  <c r="AH145" i="12"/>
  <c r="AH141" i="12" s="1"/>
  <c r="F145" i="19"/>
  <c r="G128" i="14" s="1"/>
  <c r="F149" i="12"/>
  <c r="F151" i="12"/>
  <c r="F153" i="12"/>
  <c r="F147" i="19"/>
  <c r="G132" i="14" s="1"/>
  <c r="G130" i="14" s="1"/>
  <c r="G132" i="12"/>
  <c r="G130" i="12" s="1"/>
  <c r="AG87" i="19"/>
  <c r="AG88" i="19"/>
  <c r="AH132" i="14" s="1"/>
  <c r="AH130" i="14" s="1"/>
  <c r="F141" i="19"/>
  <c r="G120" i="14" s="1"/>
  <c r="G120" i="12"/>
  <c r="G118" i="12" s="1"/>
  <c r="F155" i="19"/>
  <c r="F151" i="19"/>
  <c r="G140" i="14" s="1"/>
  <c r="AG86" i="19"/>
  <c r="AH128" i="14" s="1"/>
  <c r="AG89" i="19"/>
  <c r="AH133" i="14" s="1"/>
  <c r="AH129" i="14" s="1"/>
  <c r="F153" i="19"/>
  <c r="G144" i="14" s="1"/>
  <c r="G142" i="14" s="1"/>
  <c r="F139" i="19"/>
  <c r="G116" i="14" s="1"/>
  <c r="F154" i="19"/>
  <c r="G145" i="14" s="1"/>
  <c r="G141" i="14" s="1"/>
  <c r="AG76" i="19"/>
  <c r="AH120" i="14" s="1"/>
  <c r="AH118" i="14" s="1"/>
  <c r="AH120" i="12"/>
  <c r="AH118" i="12" s="1"/>
  <c r="AG74" i="19"/>
  <c r="AH116" i="14" s="1"/>
  <c r="F143" i="19"/>
  <c r="F142" i="19"/>
  <c r="G121" i="14" s="1"/>
  <c r="G121" i="12"/>
  <c r="G117" i="12" s="1"/>
  <c r="AG82" i="19"/>
  <c r="AH110" i="14" s="1"/>
  <c r="AH108" i="14" s="1"/>
  <c r="AH110" i="12"/>
  <c r="AH108" i="12" s="1"/>
  <c r="AG92" i="19"/>
  <c r="AH140" i="14" s="1"/>
  <c r="AG83" i="19"/>
  <c r="AH111" i="14" s="1"/>
  <c r="AH107" i="14" s="1"/>
  <c r="AH111" i="12"/>
  <c r="AH107" i="12" s="1"/>
  <c r="AG90" i="19"/>
  <c r="AG93" i="19"/>
  <c r="AH143" i="14" s="1"/>
  <c r="AG81" i="19"/>
  <c r="AG78" i="19"/>
  <c r="AG77" i="19"/>
  <c r="AH121" i="14" s="1"/>
  <c r="AH117" i="14" s="1"/>
  <c r="AG80" i="19"/>
  <c r="AH106" i="14" s="1"/>
  <c r="AG69" i="19"/>
  <c r="AG71" i="19"/>
  <c r="AH101" i="14" s="1"/>
  <c r="AG68" i="19"/>
  <c r="AH96" i="14" s="1"/>
  <c r="AG70" i="19"/>
  <c r="AH100" i="14" s="1"/>
  <c r="E298" i="20"/>
  <c r="E303" i="20" s="1"/>
  <c r="E304" i="20" s="1"/>
  <c r="E253" i="19"/>
  <c r="E252" i="19"/>
  <c r="F295" i="20"/>
  <c r="F296" i="20" s="1"/>
  <c r="F297" i="20" s="1"/>
  <c r="F299" i="20" s="1"/>
  <c r="F294" i="20"/>
  <c r="AE293" i="20"/>
  <c r="G150" i="19"/>
  <c r="H137" i="14" s="1"/>
  <c r="H139" i="14" s="1"/>
  <c r="H231" i="14" s="1"/>
  <c r="G223" i="20"/>
  <c r="G291" i="20"/>
  <c r="G292" i="20" s="1"/>
  <c r="G268" i="20"/>
  <c r="AG290" i="19"/>
  <c r="G189" i="20"/>
  <c r="G192" i="20"/>
  <c r="G190" i="20"/>
  <c r="G191" i="20"/>
  <c r="G193" i="20"/>
  <c r="H170" i="20"/>
  <c r="H176" i="20" s="1"/>
  <c r="H172" i="20"/>
  <c r="H224" i="20" s="1"/>
  <c r="H174" i="20"/>
  <c r="H188" i="20" s="1"/>
  <c r="I137" i="12" s="1"/>
  <c r="H171" i="20"/>
  <c r="H173" i="20"/>
  <c r="H182" i="20" s="1"/>
  <c r="H144" i="19" s="1"/>
  <c r="I125" i="14" s="1"/>
  <c r="G186" i="20"/>
  <c r="G185" i="20"/>
  <c r="G183" i="20"/>
  <c r="H128" i="12" s="1"/>
  <c r="G187" i="20"/>
  <c r="G149" i="19" s="1"/>
  <c r="G184" i="20"/>
  <c r="G180" i="20"/>
  <c r="G178" i="20"/>
  <c r="G177" i="20"/>
  <c r="H116" i="12" s="1"/>
  <c r="G179" i="20"/>
  <c r="G181" i="20"/>
  <c r="AF276" i="20"/>
  <c r="AF275" i="20"/>
  <c r="AF281" i="20"/>
  <c r="AF282" i="20"/>
  <c r="X176" i="12"/>
  <c r="X172" i="12"/>
  <c r="AH226" i="12"/>
  <c r="AP198" i="12"/>
  <c r="AG336" i="20"/>
  <c r="X179" i="12"/>
  <c r="X177" i="12"/>
  <c r="X175" i="12"/>
  <c r="AT198" i="12"/>
  <c r="AH231" i="12"/>
  <c r="AG340" i="20"/>
  <c r="AG273" i="20"/>
  <c r="AG274" i="20"/>
  <c r="AG272" i="20"/>
  <c r="AG271" i="20"/>
  <c r="AD279" i="20"/>
  <c r="AD283" i="20" s="1"/>
  <c r="AD280" i="20"/>
  <c r="AE278" i="20"/>
  <c r="AE277" i="20"/>
  <c r="AG263" i="20" l="1"/>
  <c r="CT40" i="55" s="1"/>
  <c r="AG260" i="20"/>
  <c r="AG264" i="20"/>
  <c r="CT41" i="55" s="1"/>
  <c r="AG262" i="20"/>
  <c r="CT39" i="55" s="1"/>
  <c r="AG261" i="20"/>
  <c r="CT38" i="55" s="1"/>
  <c r="AG265" i="20"/>
  <c r="CT42" i="55" s="1"/>
  <c r="F285" i="20"/>
  <c r="F284" i="20"/>
  <c r="F287" i="20"/>
  <c r="G40" i="55" s="1"/>
  <c r="F289" i="20"/>
  <c r="G42" i="55" s="1"/>
  <c r="F286" i="20"/>
  <c r="G39" i="55" s="1"/>
  <c r="F288" i="20"/>
  <c r="G41" i="55" s="1"/>
  <c r="AF263" i="20"/>
  <c r="CS40" i="55" s="1"/>
  <c r="AG226" i="19"/>
  <c r="DZ34" i="55" s="1"/>
  <c r="AF260" i="20"/>
  <c r="AF265" i="20"/>
  <c r="CS42" i="55" s="1"/>
  <c r="AH229" i="12"/>
  <c r="X178" i="12"/>
  <c r="AF264" i="20"/>
  <c r="CS41" i="55" s="1"/>
  <c r="AF262" i="20"/>
  <c r="CS39" i="55" s="1"/>
  <c r="AS198" i="12"/>
  <c r="AL34" i="55"/>
  <c r="E227" i="19"/>
  <c r="E246" i="19" s="1"/>
  <c r="AL41" i="55" s="1"/>
  <c r="AH152" i="12"/>
  <c r="G269" i="20"/>
  <c r="G286" i="20" s="1"/>
  <c r="H39" i="55" s="1"/>
  <c r="H34" i="55"/>
  <c r="X174" i="12"/>
  <c r="AG339" i="20"/>
  <c r="AN273" i="12"/>
  <c r="AG338" i="20"/>
  <c r="AK278" i="12"/>
  <c r="AM276" i="12"/>
  <c r="AK277" i="12"/>
  <c r="AH228" i="12"/>
  <c r="AQ218" i="12"/>
  <c r="AQ254" i="12"/>
  <c r="AG183" i="19"/>
  <c r="AF216" i="19"/>
  <c r="E219" i="19"/>
  <c r="E221" i="19"/>
  <c r="E223" i="19"/>
  <c r="E220" i="19"/>
  <c r="E218" i="19"/>
  <c r="E222" i="19"/>
  <c r="AG337" i="20"/>
  <c r="F233" i="12"/>
  <c r="F234" i="12" s="1"/>
  <c r="AP198" i="14"/>
  <c r="AG249" i="19"/>
  <c r="AG250" i="19" s="1"/>
  <c r="AG252" i="19" s="1"/>
  <c r="AI182" i="19"/>
  <c r="F232" i="14"/>
  <c r="X176" i="14"/>
  <c r="X175" i="14"/>
  <c r="X177" i="14"/>
  <c r="AH149" i="12"/>
  <c r="F152" i="14"/>
  <c r="H138" i="19"/>
  <c r="I113" i="14" s="1"/>
  <c r="I113" i="12"/>
  <c r="G118" i="14"/>
  <c r="G151" i="14" s="1"/>
  <c r="G153" i="14"/>
  <c r="H147" i="14"/>
  <c r="H115" i="14"/>
  <c r="G140" i="19"/>
  <c r="H119" i="12"/>
  <c r="G148" i="14"/>
  <c r="G227" i="14"/>
  <c r="AH226" i="14"/>
  <c r="I146" i="12"/>
  <c r="I139" i="12"/>
  <c r="I231" i="12" s="1"/>
  <c r="AH99" i="14"/>
  <c r="AH109" i="14"/>
  <c r="AH231" i="14"/>
  <c r="X179" i="14"/>
  <c r="G143" i="14"/>
  <c r="F233" i="14"/>
  <c r="F234" i="14" s="1"/>
  <c r="G152" i="12"/>
  <c r="G229" i="12"/>
  <c r="G232" i="12" s="1"/>
  <c r="G225" i="12" a="1"/>
  <c r="G148" i="12"/>
  <c r="G169" i="12" s="1"/>
  <c r="G119" i="14"/>
  <c r="G146" i="19"/>
  <c r="H131" i="14" s="1"/>
  <c r="H127" i="14" s="1"/>
  <c r="H227" i="14" s="1"/>
  <c r="H131" i="12"/>
  <c r="H127" i="12" s="1"/>
  <c r="H227" i="12" s="1"/>
  <c r="G152" i="19"/>
  <c r="H143" i="12"/>
  <c r="G117" i="14"/>
  <c r="G150" i="14" s="1"/>
  <c r="G154" i="14"/>
  <c r="G149" i="14"/>
  <c r="AH131" i="14"/>
  <c r="AH127" i="14" s="1"/>
  <c r="AH146" i="14"/>
  <c r="G229" i="14"/>
  <c r="G225" i="14" a="1"/>
  <c r="H146" i="14"/>
  <c r="H147" i="12"/>
  <c r="H115" i="12"/>
  <c r="AH98" i="14"/>
  <c r="AH151" i="14" s="1"/>
  <c r="AH153" i="14"/>
  <c r="AH97" i="14"/>
  <c r="AH150" i="14" s="1"/>
  <c r="AH154" i="14"/>
  <c r="AH119" i="14"/>
  <c r="AH149" i="14"/>
  <c r="F217" i="19"/>
  <c r="F249" i="19"/>
  <c r="F250" i="19" s="1"/>
  <c r="F253" i="19" s="1"/>
  <c r="F226" i="19"/>
  <c r="CY34" i="55" s="1"/>
  <c r="G182" i="19"/>
  <c r="G226" i="19" s="1"/>
  <c r="CZ34" i="55" s="1"/>
  <c r="H145" i="12"/>
  <c r="H141" i="12" s="1"/>
  <c r="H140" i="12"/>
  <c r="H144" i="12"/>
  <c r="H142" i="12" s="1"/>
  <c r="G150" i="12"/>
  <c r="G154" i="12"/>
  <c r="AH154" i="12"/>
  <c r="G145" i="19"/>
  <c r="H128" i="14" s="1"/>
  <c r="G149" i="12"/>
  <c r="AH153" i="12"/>
  <c r="G148" i="19"/>
  <c r="H133" i="14" s="1"/>
  <c r="H129" i="14" s="1"/>
  <c r="H133" i="12"/>
  <c r="H129" i="12" s="1"/>
  <c r="G147" i="19"/>
  <c r="H132" i="14" s="1"/>
  <c r="H130" i="14" s="1"/>
  <c r="H132" i="12"/>
  <c r="H130" i="12" s="1"/>
  <c r="G151" i="12"/>
  <c r="G153" i="12"/>
  <c r="AH151" i="12"/>
  <c r="G139" i="19"/>
  <c r="H116" i="14" s="1"/>
  <c r="G154" i="19"/>
  <c r="H145" i="14" s="1"/>
  <c r="H141" i="14" s="1"/>
  <c r="G155" i="19"/>
  <c r="G151" i="19"/>
  <c r="H140" i="14" s="1"/>
  <c r="G141" i="19"/>
  <c r="H120" i="14" s="1"/>
  <c r="H120" i="12"/>
  <c r="H118" i="12" s="1"/>
  <c r="G153" i="19"/>
  <c r="H144" i="14" s="1"/>
  <c r="H142" i="14" s="1"/>
  <c r="G143" i="19"/>
  <c r="G142" i="19"/>
  <c r="H121" i="14" s="1"/>
  <c r="H121" i="12"/>
  <c r="H117" i="12" s="1"/>
  <c r="AH229" i="14"/>
  <c r="AS198" i="14"/>
  <c r="X178" i="14"/>
  <c r="G295" i="20"/>
  <c r="G296" i="20" s="1"/>
  <c r="G297" i="20" s="1"/>
  <c r="G299" i="20" s="1"/>
  <c r="G294" i="20"/>
  <c r="F298" i="20"/>
  <c r="F303" i="20" s="1"/>
  <c r="F304" i="20" s="1"/>
  <c r="E254" i="19"/>
  <c r="E255" i="19" s="1"/>
  <c r="E257" i="19" s="1"/>
  <c r="E256" i="19"/>
  <c r="AF293" i="20"/>
  <c r="H268" i="20"/>
  <c r="H291" i="20"/>
  <c r="H292" i="20" s="1"/>
  <c r="E311" i="20"/>
  <c r="H150" i="19"/>
  <c r="I137" i="14" s="1"/>
  <c r="I139" i="14" s="1"/>
  <c r="I231" i="14" s="1"/>
  <c r="H223" i="20"/>
  <c r="I171" i="20"/>
  <c r="I173" i="20"/>
  <c r="I182" i="20" s="1"/>
  <c r="I144" i="19" s="1"/>
  <c r="J125" i="14" s="1"/>
  <c r="I170" i="20"/>
  <c r="I176" i="20" s="1"/>
  <c r="I172" i="20"/>
  <c r="I224" i="20" s="1"/>
  <c r="I174" i="20"/>
  <c r="I188" i="20" s="1"/>
  <c r="J137" i="12" s="1"/>
  <c r="H189" i="20"/>
  <c r="H193" i="20"/>
  <c r="H191" i="20"/>
  <c r="H192" i="20"/>
  <c r="H190" i="20"/>
  <c r="H187" i="20"/>
  <c r="H149" i="19" s="1"/>
  <c r="H183" i="20"/>
  <c r="I128" i="12" s="1"/>
  <c r="H186" i="20"/>
  <c r="H185" i="20"/>
  <c r="H184" i="20"/>
  <c r="H179" i="20"/>
  <c r="H177" i="20"/>
  <c r="I116" i="12" s="1"/>
  <c r="H178" i="20"/>
  <c r="H180" i="20"/>
  <c r="H181" i="20"/>
  <c r="AF278" i="20"/>
  <c r="AF277" i="20"/>
  <c r="AG276" i="20"/>
  <c r="AG275" i="20"/>
  <c r="AE279" i="20"/>
  <c r="AE283" i="20" s="1"/>
  <c r="AE280" i="20"/>
  <c r="AG284" i="20"/>
  <c r="AG287" i="20"/>
  <c r="AH40" i="55" s="1"/>
  <c r="AG286" i="20"/>
  <c r="AH39" i="55" s="1"/>
  <c r="AG288" i="20"/>
  <c r="AH41" i="55" s="1"/>
  <c r="AG289" i="20"/>
  <c r="AH42" i="55" s="1"/>
  <c r="AG285" i="20"/>
  <c r="AG282" i="20"/>
  <c r="AG281" i="20"/>
  <c r="E242" i="19" l="1"/>
  <c r="G287" i="20"/>
  <c r="H40" i="55" s="1"/>
  <c r="E245" i="19"/>
  <c r="AL40" i="55" s="1"/>
  <c r="BN34" i="55"/>
  <c r="AG227" i="19"/>
  <c r="G285" i="20"/>
  <c r="AG242" i="19"/>
  <c r="G284" i="20"/>
  <c r="G289" i="20"/>
  <c r="H42" i="55" s="1"/>
  <c r="AG247" i="19"/>
  <c r="BN42" i="55" s="1"/>
  <c r="G288" i="20"/>
  <c r="H41" i="55" s="1"/>
  <c r="AQ254" i="14"/>
  <c r="E244" i="19"/>
  <c r="AL39" i="55" s="1"/>
  <c r="AN34" i="55"/>
  <c r="G227" i="19"/>
  <c r="AH152" i="14"/>
  <c r="H269" i="20"/>
  <c r="H289" i="20" s="1"/>
  <c r="I42" i="55" s="1"/>
  <c r="I34" i="55"/>
  <c r="E247" i="19"/>
  <c r="AL42" i="55" s="1"/>
  <c r="AM34" i="55"/>
  <c r="F227" i="19"/>
  <c r="F243" i="19" s="1"/>
  <c r="AJ224" i="14" a="1"/>
  <c r="AH148" i="14"/>
  <c r="AI148" i="14" s="1"/>
  <c r="E243" i="19"/>
  <c r="AG216" i="19"/>
  <c r="AG217" i="19" s="1"/>
  <c r="AM278" i="12"/>
  <c r="AN276" i="12"/>
  <c r="AM277" i="12"/>
  <c r="AG341" i="20"/>
  <c r="AH227" i="12"/>
  <c r="AH232" i="12" s="1"/>
  <c r="AG253" i="19"/>
  <c r="AG254" i="19" s="1"/>
  <c r="AG255" i="19" s="1"/>
  <c r="AG257" i="19" s="1"/>
  <c r="X173" i="12"/>
  <c r="X180" i="12" s="1"/>
  <c r="N174" i="12" s="1"/>
  <c r="D185" i="12" s="1"/>
  <c r="N197" i="12" s="1"/>
  <c r="AH225" i="12" a="1"/>
  <c r="F220" i="19"/>
  <c r="F219" i="19"/>
  <c r="F221" i="19"/>
  <c r="F223" i="19"/>
  <c r="F222" i="19"/>
  <c r="F218" i="19"/>
  <c r="AQ198" i="12"/>
  <c r="G217" i="19"/>
  <c r="G233" i="12"/>
  <c r="G234" i="12" s="1"/>
  <c r="AH225" i="14" a="1"/>
  <c r="F252" i="19"/>
  <c r="H149" i="14"/>
  <c r="G232" i="14"/>
  <c r="G233" i="14"/>
  <c r="G234" i="14" s="1"/>
  <c r="H143" i="14"/>
  <c r="G152" i="14"/>
  <c r="H146" i="19"/>
  <c r="I131" i="14" s="1"/>
  <c r="I127" i="14" s="1"/>
  <c r="I227" i="14" s="1"/>
  <c r="I131" i="12"/>
  <c r="I127" i="12" s="1"/>
  <c r="I227" i="12" s="1"/>
  <c r="I138" i="19"/>
  <c r="J113" i="14" s="1"/>
  <c r="J113" i="12"/>
  <c r="H117" i="14"/>
  <c r="H150" i="14" s="1"/>
  <c r="H154" i="14"/>
  <c r="H118" i="14"/>
  <c r="H151" i="14" s="1"/>
  <c r="H153" i="14"/>
  <c r="H229" i="14"/>
  <c r="H232" i="14" s="1"/>
  <c r="H148" i="14"/>
  <c r="H225" i="14" a="1"/>
  <c r="H140" i="19"/>
  <c r="I119" i="12"/>
  <c r="H152" i="19"/>
  <c r="I143" i="12"/>
  <c r="H229" i="12"/>
  <c r="H232" i="12" s="1"/>
  <c r="H148" i="12"/>
  <c r="H169" i="12" s="1"/>
  <c r="H225" i="12" a="1"/>
  <c r="I147" i="12"/>
  <c r="I115" i="12"/>
  <c r="J146" i="12"/>
  <c r="J139" i="12"/>
  <c r="J231" i="12" s="1"/>
  <c r="H152" i="12"/>
  <c r="I147" i="14"/>
  <c r="I115" i="14"/>
  <c r="X173" i="14"/>
  <c r="X180" i="14" s="1"/>
  <c r="AH227" i="14"/>
  <c r="AH232" i="14" s="1"/>
  <c r="AQ198" i="14"/>
  <c r="H119" i="14"/>
  <c r="I146" i="14"/>
  <c r="G249" i="19"/>
  <c r="G250" i="19" s="1"/>
  <c r="G252" i="19" s="1"/>
  <c r="I140" i="12"/>
  <c r="I145" i="12"/>
  <c r="I141" i="12" s="1"/>
  <c r="H182" i="19"/>
  <c r="H217" i="19" s="1"/>
  <c r="I144" i="12"/>
  <c r="I142" i="12" s="1"/>
  <c r="F155" i="12"/>
  <c r="F313" i="20"/>
  <c r="AH150" i="12"/>
  <c r="H150" i="12"/>
  <c r="H154" i="12"/>
  <c r="H151" i="12"/>
  <c r="H153" i="12"/>
  <c r="H149" i="12"/>
  <c r="H145" i="19"/>
  <c r="I128" i="14" s="1"/>
  <c r="H147" i="19"/>
  <c r="I132" i="14" s="1"/>
  <c r="I130" i="14" s="1"/>
  <c r="I132" i="12"/>
  <c r="I130" i="12" s="1"/>
  <c r="H148" i="19"/>
  <c r="I133" i="14" s="1"/>
  <c r="I129" i="14" s="1"/>
  <c r="I133" i="12"/>
  <c r="I129" i="12" s="1"/>
  <c r="H151" i="19"/>
  <c r="I140" i="14" s="1"/>
  <c r="H139" i="19"/>
  <c r="I116" i="14" s="1"/>
  <c r="H154" i="19"/>
  <c r="I145" i="14" s="1"/>
  <c r="I141" i="14" s="1"/>
  <c r="H155" i="19"/>
  <c r="H141" i="19"/>
  <c r="I120" i="14" s="1"/>
  <c r="I120" i="12"/>
  <c r="I118" i="12" s="1"/>
  <c r="H153" i="19"/>
  <c r="I144" i="14" s="1"/>
  <c r="I142" i="14" s="1"/>
  <c r="H143" i="19"/>
  <c r="H142" i="19"/>
  <c r="I121" i="14" s="1"/>
  <c r="I121" i="12"/>
  <c r="I117" i="12" s="1"/>
  <c r="H295" i="20"/>
  <c r="H296" i="20" s="1"/>
  <c r="H297" i="20" s="1"/>
  <c r="H299" i="20" s="1"/>
  <c r="H294" i="20"/>
  <c r="F254" i="19"/>
  <c r="F255" i="19" s="1"/>
  <c r="F257" i="19" s="1"/>
  <c r="F256" i="19"/>
  <c r="E261" i="19"/>
  <c r="G298" i="20"/>
  <c r="G303" i="20" s="1"/>
  <c r="G304" i="20" s="1"/>
  <c r="AG293" i="20"/>
  <c r="AG294" i="20" s="1"/>
  <c r="AG295" i="20"/>
  <c r="E313" i="20"/>
  <c r="F35" i="55" s="1"/>
  <c r="I150" i="19"/>
  <c r="J137" i="14" s="1"/>
  <c r="J139" i="14" s="1"/>
  <c r="J231" i="14" s="1"/>
  <c r="I223" i="20"/>
  <c r="F311" i="20"/>
  <c r="I268" i="20"/>
  <c r="I291" i="20"/>
  <c r="I292" i="20" s="1"/>
  <c r="J171" i="20"/>
  <c r="J173" i="20"/>
  <c r="J182" i="20" s="1"/>
  <c r="J144" i="19" s="1"/>
  <c r="K125" i="14" s="1"/>
  <c r="J170" i="20"/>
  <c r="J176" i="20" s="1"/>
  <c r="J172" i="20"/>
  <c r="J224" i="20" s="1"/>
  <c r="J174" i="20"/>
  <c r="J188" i="20" s="1"/>
  <c r="K137" i="12" s="1"/>
  <c r="I180" i="20"/>
  <c r="I177" i="20"/>
  <c r="J116" i="12" s="1"/>
  <c r="I178" i="20"/>
  <c r="I181" i="20"/>
  <c r="I179" i="20"/>
  <c r="I184" i="20"/>
  <c r="I185" i="20"/>
  <c r="I187" i="20"/>
  <c r="I149" i="19" s="1"/>
  <c r="I186" i="20"/>
  <c r="I183" i="20"/>
  <c r="J128" i="12" s="1"/>
  <c r="I190" i="20"/>
  <c r="I192" i="20"/>
  <c r="I191" i="20"/>
  <c r="I193" i="20"/>
  <c r="I189" i="20"/>
  <c r="AG278" i="20"/>
  <c r="AG277" i="20"/>
  <c r="AF279" i="20"/>
  <c r="AF283" i="20" s="1"/>
  <c r="AF280" i="20"/>
  <c r="AG244" i="19" l="1"/>
  <c r="BN39" i="55" s="1"/>
  <c r="AG245" i="19"/>
  <c r="BN40" i="55" s="1"/>
  <c r="AG246" i="19"/>
  <c r="BN41" i="55" s="1"/>
  <c r="AG243" i="19"/>
  <c r="H284" i="20"/>
  <c r="G243" i="19"/>
  <c r="G245" i="19"/>
  <c r="AN40" i="55" s="1"/>
  <c r="G247" i="19"/>
  <c r="AN42" i="55" s="1"/>
  <c r="G244" i="19"/>
  <c r="AN39" i="55" s="1"/>
  <c r="G242" i="19"/>
  <c r="G246" i="19"/>
  <c r="AN41" i="55" s="1"/>
  <c r="H286" i="20"/>
  <c r="I39" i="55" s="1"/>
  <c r="H288" i="20"/>
  <c r="I41" i="55" s="1"/>
  <c r="F242" i="19"/>
  <c r="F247" i="19"/>
  <c r="AM42" i="55" s="1"/>
  <c r="F245" i="19"/>
  <c r="AM40" i="55" s="1"/>
  <c r="F246" i="19"/>
  <c r="AM41" i="55" s="1"/>
  <c r="F244" i="19"/>
  <c r="AM39" i="55" s="1"/>
  <c r="AG219" i="19"/>
  <c r="AG223" i="19"/>
  <c r="H285" i="20"/>
  <c r="AG218" i="19"/>
  <c r="H287" i="20"/>
  <c r="I40" i="55" s="1"/>
  <c r="AG220" i="19"/>
  <c r="AG222" i="19"/>
  <c r="I269" i="20"/>
  <c r="I285" i="20" s="1"/>
  <c r="J34" i="55"/>
  <c r="AG221" i="19"/>
  <c r="F38" i="55"/>
  <c r="G35" i="55"/>
  <c r="G38" i="55"/>
  <c r="AK274" i="12"/>
  <c r="AM274" i="12" s="1"/>
  <c r="N176" i="12"/>
  <c r="N172" i="12"/>
  <c r="N173" i="12"/>
  <c r="D184" i="12" s="1"/>
  <c r="N198" i="12" s="1"/>
  <c r="AH169" i="12"/>
  <c r="N178" i="12"/>
  <c r="AH233" i="12"/>
  <c r="AG256" i="19"/>
  <c r="N177" i="12"/>
  <c r="N179" i="12"/>
  <c r="D189" i="12" s="1"/>
  <c r="N193" i="12" s="1"/>
  <c r="N175" i="12"/>
  <c r="D187" i="12" s="1"/>
  <c r="N195" i="12" s="1"/>
  <c r="H221" i="19"/>
  <c r="H220" i="19"/>
  <c r="H222" i="19"/>
  <c r="H218" i="19"/>
  <c r="H219" i="19"/>
  <c r="H223" i="19"/>
  <c r="G220" i="19"/>
  <c r="G222" i="19"/>
  <c r="G218" i="19"/>
  <c r="G221" i="19"/>
  <c r="G219" i="19"/>
  <c r="G223" i="19"/>
  <c r="G253" i="19"/>
  <c r="G256" i="19" s="1"/>
  <c r="H152" i="14"/>
  <c r="H233" i="12"/>
  <c r="H234" i="12" s="1"/>
  <c r="H233" i="14"/>
  <c r="H234" i="14" s="1"/>
  <c r="AH233" i="14"/>
  <c r="N176" i="14"/>
  <c r="N178" i="14"/>
  <c r="N172" i="14"/>
  <c r="N179" i="14"/>
  <c r="D189" i="14" s="1"/>
  <c r="N193" i="14" s="1"/>
  <c r="N174" i="14"/>
  <c r="D185" i="14" s="1"/>
  <c r="N197" i="14" s="1"/>
  <c r="N175" i="14"/>
  <c r="D187" i="14" s="1"/>
  <c r="N195" i="14" s="1"/>
  <c r="N177" i="14"/>
  <c r="J147" i="12"/>
  <c r="J115" i="12"/>
  <c r="I146" i="19"/>
  <c r="J131" i="14" s="1"/>
  <c r="J127" i="14" s="1"/>
  <c r="J227" i="14" s="1"/>
  <c r="J131" i="12"/>
  <c r="J127" i="12" s="1"/>
  <c r="J227" i="12" s="1"/>
  <c r="J138" i="19"/>
  <c r="K113" i="14" s="1"/>
  <c r="K113" i="12"/>
  <c r="I229" i="14"/>
  <c r="I148" i="14"/>
  <c r="I225" i="14" a="1"/>
  <c r="I143" i="14"/>
  <c r="J147" i="14"/>
  <c r="J115" i="14"/>
  <c r="I152" i="19"/>
  <c r="J143" i="12"/>
  <c r="I140" i="19"/>
  <c r="J119" i="12"/>
  <c r="I149" i="14"/>
  <c r="I152" i="12"/>
  <c r="I229" i="12"/>
  <c r="I232" i="12" s="1"/>
  <c r="I148" i="12"/>
  <c r="I169" i="12" s="1"/>
  <c r="I225" i="12" a="1"/>
  <c r="N173" i="14"/>
  <c r="D184" i="14" s="1"/>
  <c r="N198" i="14" s="1"/>
  <c r="K146" i="12"/>
  <c r="K139" i="12"/>
  <c r="K231" i="12" s="1"/>
  <c r="I117" i="14"/>
  <c r="I150" i="14" s="1"/>
  <c r="I154" i="14"/>
  <c r="I118" i="14"/>
  <c r="I151" i="14" s="1"/>
  <c r="I153" i="14"/>
  <c r="J146" i="14"/>
  <c r="I119" i="14"/>
  <c r="H226" i="19"/>
  <c r="DA34" i="55" s="1"/>
  <c r="H249" i="19"/>
  <c r="H250" i="19" s="1"/>
  <c r="H253" i="19" s="1"/>
  <c r="J145" i="12"/>
  <c r="J141" i="12" s="1"/>
  <c r="J140" i="12"/>
  <c r="G155" i="12"/>
  <c r="G156" i="12"/>
  <c r="G162" i="12" s="1"/>
  <c r="G160" i="12" s="1"/>
  <c r="J144" i="12"/>
  <c r="J142" i="12" s="1"/>
  <c r="I182" i="19"/>
  <c r="I217" i="19" s="1"/>
  <c r="I147" i="19"/>
  <c r="J132" i="14" s="1"/>
  <c r="J130" i="14" s="1"/>
  <c r="J132" i="12"/>
  <c r="J130" i="12" s="1"/>
  <c r="E315" i="20"/>
  <c r="F156" i="12"/>
  <c r="I145" i="19"/>
  <c r="J128" i="14" s="1"/>
  <c r="I150" i="12"/>
  <c r="I154" i="12"/>
  <c r="I151" i="12"/>
  <c r="I153" i="12"/>
  <c r="I149" i="12"/>
  <c r="I148" i="19"/>
  <c r="J133" i="14" s="1"/>
  <c r="J129" i="14" s="1"/>
  <c r="J133" i="12"/>
  <c r="J129" i="12" s="1"/>
  <c r="I155" i="19"/>
  <c r="I139" i="19"/>
  <c r="J116" i="14" s="1"/>
  <c r="I153" i="19"/>
  <c r="J144" i="14" s="1"/>
  <c r="J142" i="14" s="1"/>
  <c r="I141" i="19"/>
  <c r="J120" i="14" s="1"/>
  <c r="J120" i="12"/>
  <c r="J118" i="12" s="1"/>
  <c r="I154" i="19"/>
  <c r="J145" i="14" s="1"/>
  <c r="J141" i="14" s="1"/>
  <c r="I151" i="19"/>
  <c r="J140" i="14" s="1"/>
  <c r="I143" i="19"/>
  <c r="I142" i="19"/>
  <c r="J121" i="14" s="1"/>
  <c r="J121" i="12"/>
  <c r="J117" i="12" s="1"/>
  <c r="I295" i="20"/>
  <c r="I296" i="20" s="1"/>
  <c r="I297" i="20" s="1"/>
  <c r="I299" i="20" s="1"/>
  <c r="I294" i="20"/>
  <c r="E262" i="19"/>
  <c r="E269" i="19" s="1"/>
  <c r="F261" i="19"/>
  <c r="F262" i="19" s="1"/>
  <c r="F269" i="19" s="1"/>
  <c r="H298" i="20"/>
  <c r="E320" i="20"/>
  <c r="AG298" i="20"/>
  <c r="AG303" i="20" s="1"/>
  <c r="AG304" i="20" s="1"/>
  <c r="AG296" i="20"/>
  <c r="AG297" i="20" s="1"/>
  <c r="AG299" i="20" s="1"/>
  <c r="J268" i="20"/>
  <c r="J291" i="20"/>
  <c r="J292" i="20" s="1"/>
  <c r="F320" i="20"/>
  <c r="F315" i="20"/>
  <c r="G311" i="20"/>
  <c r="G313" i="20"/>
  <c r="J150" i="19"/>
  <c r="K137" i="14" s="1"/>
  <c r="K139" i="14" s="1"/>
  <c r="K231" i="14" s="1"/>
  <c r="J223" i="20"/>
  <c r="K170" i="20"/>
  <c r="K176" i="20" s="1"/>
  <c r="K172" i="20"/>
  <c r="K224" i="20" s="1"/>
  <c r="K174" i="20"/>
  <c r="K188" i="20" s="1"/>
  <c r="L137" i="12" s="1"/>
  <c r="K171" i="20"/>
  <c r="K173" i="20"/>
  <c r="K182" i="20" s="1"/>
  <c r="K144" i="19" s="1"/>
  <c r="L125" i="14" s="1"/>
  <c r="J177" i="20"/>
  <c r="K116" i="12" s="1"/>
  <c r="J180" i="20"/>
  <c r="J178" i="20"/>
  <c r="J181" i="20"/>
  <c r="J179" i="20"/>
  <c r="J183" i="20"/>
  <c r="K128" i="12" s="1"/>
  <c r="J184" i="20"/>
  <c r="J186" i="20"/>
  <c r="J185" i="20"/>
  <c r="J187" i="20"/>
  <c r="J149" i="19" s="1"/>
  <c r="J189" i="20"/>
  <c r="J190" i="20"/>
  <c r="J192" i="20"/>
  <c r="J193" i="20"/>
  <c r="J191" i="20"/>
  <c r="AG279" i="20"/>
  <c r="AG283" i="20" s="1"/>
  <c r="AG280" i="20"/>
  <c r="I152" i="14" l="1"/>
  <c r="I232" i="14"/>
  <c r="I288" i="20"/>
  <c r="J41" i="55" s="1"/>
  <c r="I287" i="20"/>
  <c r="J40" i="55" s="1"/>
  <c r="I289" i="20"/>
  <c r="J42" i="55" s="1"/>
  <c r="I284" i="20"/>
  <c r="I286" i="20"/>
  <c r="J39" i="55" s="1"/>
  <c r="H35" i="55"/>
  <c r="H38" i="55"/>
  <c r="AH234" i="14"/>
  <c r="AJ232" i="14"/>
  <c r="AK232" i="14" s="1"/>
  <c r="F155" i="14"/>
  <c r="AO34" i="55"/>
  <c r="H227" i="19"/>
  <c r="H247" i="19" s="1"/>
  <c r="AO42" i="55" s="1"/>
  <c r="G155" i="14"/>
  <c r="J269" i="20"/>
  <c r="J285" i="20" s="1"/>
  <c r="K34" i="55"/>
  <c r="AH234" i="12"/>
  <c r="AJ232" i="12"/>
  <c r="AK232" i="12" s="1"/>
  <c r="D183" i="12"/>
  <c r="AN274" i="12"/>
  <c r="AN275" i="12"/>
  <c r="D186" i="12"/>
  <c r="N196" i="12" s="1"/>
  <c r="AG261" i="19"/>
  <c r="N180" i="12"/>
  <c r="G254" i="19"/>
  <c r="G255" i="19" s="1"/>
  <c r="G257" i="19" s="1"/>
  <c r="I219" i="19"/>
  <c r="I221" i="19"/>
  <c r="I223" i="19"/>
  <c r="I222" i="19"/>
  <c r="I220" i="19"/>
  <c r="I218" i="19"/>
  <c r="D186" i="14"/>
  <c r="N196" i="14" s="1"/>
  <c r="J152" i="12"/>
  <c r="I233" i="14"/>
  <c r="I234" i="14" s="1"/>
  <c r="D183" i="14"/>
  <c r="N199" i="14" s="1"/>
  <c r="H252" i="19"/>
  <c r="J143" i="14"/>
  <c r="N180" i="14"/>
  <c r="J149" i="14"/>
  <c r="J229" i="14"/>
  <c r="J232" i="14" s="1"/>
  <c r="J148" i="14"/>
  <c r="J225" i="14" a="1"/>
  <c r="J152" i="19"/>
  <c r="K143" i="12"/>
  <c r="K146" i="14"/>
  <c r="K147" i="14"/>
  <c r="K115" i="14"/>
  <c r="J140" i="19"/>
  <c r="K119" i="12"/>
  <c r="L146" i="12"/>
  <c r="L139" i="12"/>
  <c r="L231" i="12" s="1"/>
  <c r="J117" i="14"/>
  <c r="J150" i="14" s="1"/>
  <c r="J154" i="14"/>
  <c r="I233" i="12"/>
  <c r="I234" i="12" s="1"/>
  <c r="J119" i="14"/>
  <c r="K138" i="19"/>
  <c r="L113" i="14" s="1"/>
  <c r="L113" i="12"/>
  <c r="J146" i="19"/>
  <c r="K131" i="14" s="1"/>
  <c r="K127" i="14" s="1"/>
  <c r="K227" i="14" s="1"/>
  <c r="K131" i="12"/>
  <c r="K127" i="12" s="1"/>
  <c r="K227" i="12" s="1"/>
  <c r="J118" i="14"/>
  <c r="J151" i="14" s="1"/>
  <c r="J153" i="14"/>
  <c r="K147" i="12"/>
  <c r="K115" i="12"/>
  <c r="J229" i="12"/>
  <c r="J232" i="12" s="1"/>
  <c r="J225" i="12" a="1"/>
  <c r="J148" i="12"/>
  <c r="J169" i="12" s="1"/>
  <c r="G158" i="12"/>
  <c r="I226" i="19"/>
  <c r="DB34" i="55" s="1"/>
  <c r="I249" i="19"/>
  <c r="I250" i="19" s="1"/>
  <c r="I252" i="19" s="1"/>
  <c r="G157" i="12"/>
  <c r="G28" i="58" s="1"/>
  <c r="G163" i="12"/>
  <c r="G159" i="12" s="1"/>
  <c r="K145" i="12"/>
  <c r="K141" i="12" s="1"/>
  <c r="J182" i="19"/>
  <c r="J226" i="19" s="1"/>
  <c r="DC34" i="55" s="1"/>
  <c r="K144" i="12"/>
  <c r="K142" i="12" s="1"/>
  <c r="K140" i="12"/>
  <c r="H156" i="12"/>
  <c r="H158" i="12" s="1"/>
  <c r="H155" i="12"/>
  <c r="F321" i="20"/>
  <c r="G164" i="12"/>
  <c r="G29" i="58" s="1"/>
  <c r="E321" i="20"/>
  <c r="F164" i="12"/>
  <c r="F29" i="58" s="1"/>
  <c r="J151" i="12"/>
  <c r="J153" i="12"/>
  <c r="J147" i="19"/>
  <c r="K132" i="14" s="1"/>
  <c r="K130" i="14" s="1"/>
  <c r="K132" i="12"/>
  <c r="K130" i="12" s="1"/>
  <c r="J145" i="19"/>
  <c r="K128" i="14" s="1"/>
  <c r="J148" i="19"/>
  <c r="K133" i="14" s="1"/>
  <c r="K129" i="14" s="1"/>
  <c r="K133" i="12"/>
  <c r="K129" i="12" s="1"/>
  <c r="F162" i="12"/>
  <c r="F160" i="12" s="1"/>
  <c r="F158" i="12"/>
  <c r="F163" i="12"/>
  <c r="F159" i="12" s="1"/>
  <c r="F157" i="12"/>
  <c r="F28" i="58" s="1"/>
  <c r="J150" i="12"/>
  <c r="J154" i="12"/>
  <c r="J149" i="12"/>
  <c r="J151" i="19"/>
  <c r="K140" i="14" s="1"/>
  <c r="J155" i="19"/>
  <c r="J141" i="19"/>
  <c r="K120" i="14" s="1"/>
  <c r="K120" i="12"/>
  <c r="K118" i="12" s="1"/>
  <c r="J139" i="19"/>
  <c r="K116" i="14" s="1"/>
  <c r="J153" i="19"/>
  <c r="K144" i="14" s="1"/>
  <c r="K142" i="14" s="1"/>
  <c r="J154" i="19"/>
  <c r="K145" i="14" s="1"/>
  <c r="K141" i="14" s="1"/>
  <c r="J143" i="19"/>
  <c r="J142" i="19"/>
  <c r="K121" i="14" s="1"/>
  <c r="K121" i="12"/>
  <c r="K117" i="12" s="1"/>
  <c r="I298" i="20"/>
  <c r="I303" i="20" s="1"/>
  <c r="I304" i="20" s="1"/>
  <c r="H254" i="19"/>
  <c r="H255" i="19" s="1"/>
  <c r="H257" i="19" s="1"/>
  <c r="F271" i="19"/>
  <c r="AM38" i="55" s="1"/>
  <c r="H256" i="19"/>
  <c r="E271" i="19"/>
  <c r="AL38" i="55" s="1"/>
  <c r="J295" i="20"/>
  <c r="J296" i="20" s="1"/>
  <c r="J297" i="20" s="1"/>
  <c r="J299" i="20" s="1"/>
  <c r="J294" i="20"/>
  <c r="H303" i="20"/>
  <c r="H304" i="20" s="1"/>
  <c r="H311" i="20" s="1"/>
  <c r="G261" i="19"/>
  <c r="G262" i="19" s="1"/>
  <c r="G271" i="19" s="1"/>
  <c r="H156" i="14" s="1"/>
  <c r="H158" i="14" s="1"/>
  <c r="K150" i="19"/>
  <c r="L137" i="14" s="1"/>
  <c r="L139" i="14" s="1"/>
  <c r="L231" i="14" s="1"/>
  <c r="K223" i="20"/>
  <c r="K291" i="20"/>
  <c r="K292" i="20" s="1"/>
  <c r="K268" i="20"/>
  <c r="G315" i="20"/>
  <c r="G320" i="20"/>
  <c r="L170" i="20"/>
  <c r="L176" i="20" s="1"/>
  <c r="L172" i="20"/>
  <c r="L224" i="20" s="1"/>
  <c r="L174" i="20"/>
  <c r="L188" i="20" s="1"/>
  <c r="M137" i="12" s="1"/>
  <c r="L171" i="20"/>
  <c r="L173" i="20"/>
  <c r="L182" i="20" s="1"/>
  <c r="L144" i="19" s="1"/>
  <c r="M125" i="14" s="1"/>
  <c r="K190" i="20"/>
  <c r="K192" i="20"/>
  <c r="K189" i="20"/>
  <c r="K191" i="20"/>
  <c r="K193" i="20"/>
  <c r="K186" i="20"/>
  <c r="K187" i="20"/>
  <c r="K149" i="19" s="1"/>
  <c r="K185" i="20"/>
  <c r="K183" i="20"/>
  <c r="L128" i="12" s="1"/>
  <c r="K184" i="20"/>
  <c r="K178" i="20"/>
  <c r="K177" i="20"/>
  <c r="L116" i="12" s="1"/>
  <c r="K180" i="20"/>
  <c r="K179" i="20"/>
  <c r="K181" i="20"/>
  <c r="H242" i="19" l="1"/>
  <c r="H246" i="19"/>
  <c r="AO41" i="55" s="1"/>
  <c r="H243" i="19"/>
  <c r="H244" i="19"/>
  <c r="AO39" i="55" s="1"/>
  <c r="J288" i="20"/>
  <c r="K41" i="55" s="1"/>
  <c r="J289" i="20"/>
  <c r="K42" i="55" s="1"/>
  <c r="N199" i="12"/>
  <c r="J286" i="20"/>
  <c r="K39" i="55" s="1"/>
  <c r="J287" i="20"/>
  <c r="K40" i="55" s="1"/>
  <c r="J284" i="20"/>
  <c r="CX35" i="55"/>
  <c r="H245" i="19"/>
  <c r="AO40" i="55" s="1"/>
  <c r="CY35" i="55"/>
  <c r="AL35" i="55"/>
  <c r="AQ34" i="55"/>
  <c r="J227" i="19"/>
  <c r="AM35" i="55"/>
  <c r="K269" i="20"/>
  <c r="K288" i="20" s="1"/>
  <c r="L41" i="55" s="1"/>
  <c r="L34" i="55"/>
  <c r="AP34" i="55"/>
  <c r="I227" i="19"/>
  <c r="I242" i="19" s="1"/>
  <c r="D188" i="12"/>
  <c r="N194" i="12" s="1"/>
  <c r="AG262" i="19"/>
  <c r="AG269" i="19" s="1"/>
  <c r="J217" i="19"/>
  <c r="D188" i="14"/>
  <c r="N194" i="14" s="1"/>
  <c r="N200" i="14" s="1"/>
  <c r="J233" i="14"/>
  <c r="J234" i="14" s="1"/>
  <c r="J233" i="12"/>
  <c r="J234" i="12" s="1"/>
  <c r="J152" i="14"/>
  <c r="K149" i="14"/>
  <c r="K119" i="14"/>
  <c r="K146" i="19"/>
  <c r="L131" i="14" s="1"/>
  <c r="L127" i="14" s="1"/>
  <c r="L131" i="12"/>
  <c r="L127" i="12" s="1"/>
  <c r="L227" i="12" s="1"/>
  <c r="L147" i="12"/>
  <c r="L115" i="12"/>
  <c r="K229" i="14"/>
  <c r="K232" i="14" s="1"/>
  <c r="K148" i="14"/>
  <c r="K225" i="14" a="1"/>
  <c r="K143" i="14"/>
  <c r="K152" i="19"/>
  <c r="L143" i="12"/>
  <c r="L138" i="19"/>
  <c r="M113" i="14" s="1"/>
  <c r="M113" i="12"/>
  <c r="L147" i="14"/>
  <c r="L115" i="14"/>
  <c r="M139" i="12"/>
  <c r="M231" i="12" s="1"/>
  <c r="M146" i="12"/>
  <c r="K117" i="14"/>
  <c r="K150" i="14" s="1"/>
  <c r="K154" i="14"/>
  <c r="K140" i="19"/>
  <c r="L119" i="12"/>
  <c r="I253" i="19"/>
  <c r="I254" i="19" s="1"/>
  <c r="I255" i="19" s="1"/>
  <c r="I257" i="19" s="1"/>
  <c r="J249" i="19"/>
  <c r="J250" i="19" s="1"/>
  <c r="J252" i="19" s="1"/>
  <c r="K118" i="14"/>
  <c r="K151" i="14" s="1"/>
  <c r="K153" i="14"/>
  <c r="K225" i="12" a="1"/>
  <c r="K148" i="12"/>
  <c r="K169" i="12" s="1"/>
  <c r="K229" i="12"/>
  <c r="K232" i="12" s="1"/>
  <c r="L146" i="14"/>
  <c r="K152" i="12"/>
  <c r="G161" i="12"/>
  <c r="H163" i="12"/>
  <c r="H159" i="12" s="1"/>
  <c r="H162" i="12"/>
  <c r="H160" i="12" s="1"/>
  <c r="H157" i="12"/>
  <c r="H28" i="58" s="1"/>
  <c r="L145" i="12"/>
  <c r="L141" i="12" s="1"/>
  <c r="E273" i="19"/>
  <c r="F156" i="14"/>
  <c r="F165" i="12"/>
  <c r="H162" i="14"/>
  <c r="H160" i="14" s="1"/>
  <c r="F278" i="19"/>
  <c r="G156" i="14"/>
  <c r="L144" i="12"/>
  <c r="L142" i="12" s="1"/>
  <c r="K182" i="19"/>
  <c r="K249" i="19" s="1"/>
  <c r="K250" i="19" s="1"/>
  <c r="I155" i="12"/>
  <c r="L140" i="12"/>
  <c r="G165" i="12"/>
  <c r="G321" i="20"/>
  <c r="H164" i="12"/>
  <c r="H29" i="58" s="1"/>
  <c r="K151" i="12"/>
  <c r="K153" i="12"/>
  <c r="K148" i="19"/>
  <c r="L133" i="14" s="1"/>
  <c r="L129" i="14" s="1"/>
  <c r="L133" i="12"/>
  <c r="L129" i="12" s="1"/>
  <c r="K150" i="12"/>
  <c r="K154" i="12"/>
  <c r="K149" i="12"/>
  <c r="F161" i="12"/>
  <c r="K145" i="19"/>
  <c r="L128" i="14" s="1"/>
  <c r="K147" i="19"/>
  <c r="L132" i="14" s="1"/>
  <c r="L130" i="14" s="1"/>
  <c r="L132" i="12"/>
  <c r="L130" i="12" s="1"/>
  <c r="K141" i="19"/>
  <c r="L120" i="14" s="1"/>
  <c r="L120" i="12"/>
  <c r="L118" i="12" s="1"/>
  <c r="K155" i="19"/>
  <c r="K154" i="19"/>
  <c r="L145" i="14" s="1"/>
  <c r="L141" i="14" s="1"/>
  <c r="K139" i="19"/>
  <c r="L116" i="14" s="1"/>
  <c r="K153" i="19"/>
  <c r="L144" i="14" s="1"/>
  <c r="L142" i="14" s="1"/>
  <c r="K151" i="19"/>
  <c r="L140" i="14" s="1"/>
  <c r="K143" i="19"/>
  <c r="K142" i="19"/>
  <c r="L121" i="14" s="1"/>
  <c r="L121" i="12"/>
  <c r="L117" i="12" s="1"/>
  <c r="J298" i="20"/>
  <c r="J303" i="20" s="1"/>
  <c r="J304" i="20" s="1"/>
  <c r="H261" i="19"/>
  <c r="E278" i="19"/>
  <c r="K295" i="20"/>
  <c r="K296" i="20" s="1"/>
  <c r="K297" i="20" s="1"/>
  <c r="K299" i="20" s="1"/>
  <c r="K294" i="20"/>
  <c r="G269" i="19"/>
  <c r="CZ35" i="55" s="1"/>
  <c r="F273" i="19"/>
  <c r="H313" i="20"/>
  <c r="I35" i="55" s="1"/>
  <c r="L150" i="19"/>
  <c r="M137" i="14" s="1"/>
  <c r="M139" i="14" s="1"/>
  <c r="M231" i="14" s="1"/>
  <c r="L223" i="20"/>
  <c r="L268" i="20"/>
  <c r="L291" i="20"/>
  <c r="L292" i="20" s="1"/>
  <c r="M171" i="20"/>
  <c r="M173" i="20"/>
  <c r="M182" i="20" s="1"/>
  <c r="M144" i="19" s="1"/>
  <c r="N125" i="14" s="1"/>
  <c r="M170" i="20"/>
  <c r="M176" i="20" s="1"/>
  <c r="M172" i="20"/>
  <c r="M224" i="20" s="1"/>
  <c r="M174" i="20"/>
  <c r="M188" i="20" s="1"/>
  <c r="N137" i="12" s="1"/>
  <c r="L189" i="20"/>
  <c r="L190" i="20"/>
  <c r="L193" i="20"/>
  <c r="L191" i="20"/>
  <c r="L192" i="20"/>
  <c r="L185" i="20"/>
  <c r="L186" i="20"/>
  <c r="L184" i="20"/>
  <c r="L187" i="20"/>
  <c r="L149" i="19" s="1"/>
  <c r="L183" i="20"/>
  <c r="M128" i="12" s="1"/>
  <c r="L181" i="20"/>
  <c r="L178" i="20"/>
  <c r="L180" i="20"/>
  <c r="L177" i="20"/>
  <c r="M116" i="12" s="1"/>
  <c r="L179" i="20"/>
  <c r="AG311" i="20"/>
  <c r="AG313" i="20"/>
  <c r="I246" i="19" l="1"/>
  <c r="AP41" i="55" s="1"/>
  <c r="I244" i="19"/>
  <c r="AP39" i="55" s="1"/>
  <c r="J242" i="19"/>
  <c r="J244" i="19"/>
  <c r="AQ39" i="55" s="1"/>
  <c r="J246" i="19"/>
  <c r="AQ41" i="55" s="1"/>
  <c r="J245" i="19"/>
  <c r="AQ40" i="55" s="1"/>
  <c r="J243" i="19"/>
  <c r="J247" i="19"/>
  <c r="AQ42" i="55" s="1"/>
  <c r="N200" i="12"/>
  <c r="I243" i="19"/>
  <c r="K285" i="20"/>
  <c r="K289" i="20"/>
  <c r="L42" i="55" s="1"/>
  <c r="K284" i="20"/>
  <c r="CX38" i="55"/>
  <c r="K286" i="20"/>
  <c r="L39" i="55" s="1"/>
  <c r="K287" i="20"/>
  <c r="L40" i="55" s="1"/>
  <c r="I247" i="19"/>
  <c r="AP42" i="55" s="1"/>
  <c r="CX85" i="55"/>
  <c r="CX63" i="55"/>
  <c r="CX86" i="55"/>
  <c r="CX61" i="55"/>
  <c r="CX88" i="55"/>
  <c r="CX87" i="55"/>
  <c r="CX84" i="55"/>
  <c r="CX62" i="55"/>
  <c r="CX64" i="55"/>
  <c r="CX65" i="55"/>
  <c r="CX40" i="55"/>
  <c r="CX41" i="55"/>
  <c r="CX42" i="55"/>
  <c r="CX39" i="55"/>
  <c r="CY88" i="55"/>
  <c r="CY61" i="55"/>
  <c r="CY85" i="55"/>
  <c r="CY87" i="55"/>
  <c r="CY84" i="55"/>
  <c r="CY63" i="55"/>
  <c r="CY64" i="55"/>
  <c r="CY62" i="55"/>
  <c r="CY86" i="55"/>
  <c r="CY65" i="55"/>
  <c r="CY39" i="55"/>
  <c r="CY42" i="55"/>
  <c r="CY40" i="55"/>
  <c r="CY41" i="55"/>
  <c r="CY38" i="55"/>
  <c r="L269" i="20"/>
  <c r="M34" i="55"/>
  <c r="AH155" i="14"/>
  <c r="I38" i="55"/>
  <c r="H155" i="14"/>
  <c r="AN35" i="55"/>
  <c r="CZ86" i="55" s="1"/>
  <c r="AN38" i="55"/>
  <c r="I245" i="19"/>
  <c r="AP40" i="55" s="1"/>
  <c r="AH35" i="55"/>
  <c r="AH38" i="55"/>
  <c r="D190" i="12"/>
  <c r="J253" i="19"/>
  <c r="J256" i="19" s="1"/>
  <c r="AG271" i="19"/>
  <c r="BN35" i="55" s="1"/>
  <c r="K152" i="14"/>
  <c r="J222" i="19"/>
  <c r="J219" i="19"/>
  <c r="J221" i="19"/>
  <c r="J223" i="19"/>
  <c r="J220" i="19"/>
  <c r="J218" i="19"/>
  <c r="I256" i="19"/>
  <c r="I261" i="19" s="1"/>
  <c r="D190" i="14"/>
  <c r="L152" i="12"/>
  <c r="M146" i="14"/>
  <c r="K233" i="14"/>
  <c r="K234" i="14" s="1"/>
  <c r="L119" i="14"/>
  <c r="L229" i="12"/>
  <c r="L232" i="12" s="1"/>
  <c r="L225" i="12" a="1"/>
  <c r="L148" i="12"/>
  <c r="L169" i="12" s="1"/>
  <c r="L152" i="19"/>
  <c r="M143" i="12"/>
  <c r="K233" i="12"/>
  <c r="K234" i="12" s="1"/>
  <c r="M147" i="12"/>
  <c r="M115" i="12"/>
  <c r="L143" i="14"/>
  <c r="M138" i="19"/>
  <c r="N113" i="14" s="1"/>
  <c r="N113" i="12"/>
  <c r="L140" i="19"/>
  <c r="M119" i="12"/>
  <c r="L146" i="19"/>
  <c r="M131" i="14" s="1"/>
  <c r="M127" i="14" s="1"/>
  <c r="M227" i="14" s="1"/>
  <c r="M131" i="12"/>
  <c r="M127" i="12" s="1"/>
  <c r="M227" i="12" s="1"/>
  <c r="N146" i="12"/>
  <c r="N139" i="12"/>
  <c r="N231" i="12" s="1"/>
  <c r="L117" i="14"/>
  <c r="L150" i="14" s="1"/>
  <c r="L154" i="14"/>
  <c r="L149" i="14"/>
  <c r="L118" i="14"/>
  <c r="L151" i="14" s="1"/>
  <c r="L153" i="14"/>
  <c r="L229" i="14"/>
  <c r="L225" i="14" a="1"/>
  <c r="M147" i="14"/>
  <c r="M115" i="14"/>
  <c r="L148" i="14"/>
  <c r="L227" i="14"/>
  <c r="H161" i="12"/>
  <c r="K226" i="19"/>
  <c r="DD34" i="55" s="1"/>
  <c r="K217" i="19"/>
  <c r="L182" i="19"/>
  <c r="L226" i="19" s="1"/>
  <c r="DE34" i="55" s="1"/>
  <c r="G158" i="14"/>
  <c r="G162" i="14"/>
  <c r="G160" i="14" s="1"/>
  <c r="G157" i="14"/>
  <c r="AM28" i="58" s="1"/>
  <c r="G163" i="14"/>
  <c r="G159" i="14" s="1"/>
  <c r="AH156" i="12"/>
  <c r="AH162" i="12" s="1"/>
  <c r="AH160" i="12" s="1"/>
  <c r="AH155" i="12"/>
  <c r="AG315" i="20"/>
  <c r="M145" i="12"/>
  <c r="M141" i="12" s="1"/>
  <c r="F279" i="19"/>
  <c r="G165" i="14" s="1"/>
  <c r="G164" i="14"/>
  <c r="AM29" i="58" s="1"/>
  <c r="M140" i="12"/>
  <c r="M144" i="12"/>
  <c r="M142" i="12" s="1"/>
  <c r="E279" i="19"/>
  <c r="F165" i="14" s="1"/>
  <c r="F164" i="14"/>
  <c r="AL29" i="58" s="1"/>
  <c r="H165" i="12"/>
  <c r="F158" i="14"/>
  <c r="F162" i="14"/>
  <c r="F160" i="14" s="1"/>
  <c r="F163" i="14"/>
  <c r="F159" i="14" s="1"/>
  <c r="F157" i="14"/>
  <c r="AL28" i="58" s="1"/>
  <c r="L145" i="19"/>
  <c r="M128" i="14" s="1"/>
  <c r="L147" i="19"/>
  <c r="M132" i="14" s="1"/>
  <c r="M130" i="14" s="1"/>
  <c r="M132" i="12"/>
  <c r="M130" i="12" s="1"/>
  <c r="L150" i="12"/>
  <c r="L154" i="12"/>
  <c r="H315" i="20"/>
  <c r="I156" i="12"/>
  <c r="L149" i="12"/>
  <c r="L151" i="12"/>
  <c r="L153" i="12"/>
  <c r="L148" i="19"/>
  <c r="M133" i="14" s="1"/>
  <c r="M129" i="14" s="1"/>
  <c r="M133" i="12"/>
  <c r="M129" i="12" s="1"/>
  <c r="L154" i="19"/>
  <c r="M145" i="14" s="1"/>
  <c r="M141" i="14" s="1"/>
  <c r="L151" i="19"/>
  <c r="M140" i="14" s="1"/>
  <c r="L153" i="19"/>
  <c r="M144" i="14" s="1"/>
  <c r="M142" i="14" s="1"/>
  <c r="L139" i="19"/>
  <c r="M116" i="14" s="1"/>
  <c r="L141" i="19"/>
  <c r="M120" i="14" s="1"/>
  <c r="M120" i="12"/>
  <c r="M118" i="12" s="1"/>
  <c r="L155" i="19"/>
  <c r="L143" i="19"/>
  <c r="L142" i="19"/>
  <c r="M121" i="14" s="1"/>
  <c r="M121" i="12"/>
  <c r="M117" i="12" s="1"/>
  <c r="J311" i="20"/>
  <c r="L217" i="19"/>
  <c r="L295" i="20"/>
  <c r="L296" i="20" s="1"/>
  <c r="L297" i="20" s="1"/>
  <c r="L299" i="20" s="1"/>
  <c r="L294" i="20"/>
  <c r="K253" i="19"/>
  <c r="K252" i="19"/>
  <c r="K298" i="20"/>
  <c r="K303" i="20" s="1"/>
  <c r="K304" i="20" s="1"/>
  <c r="G273" i="19"/>
  <c r="G278" i="19"/>
  <c r="H262" i="19"/>
  <c r="H269" i="19" s="1"/>
  <c r="H320" i="20"/>
  <c r="M291" i="20"/>
  <c r="M292" i="20" s="1"/>
  <c r="M268" i="20"/>
  <c r="J313" i="20"/>
  <c r="M150" i="19"/>
  <c r="N137" i="14" s="1"/>
  <c r="N139" i="14" s="1"/>
  <c r="N231" i="14" s="1"/>
  <c r="M223" i="20"/>
  <c r="I311" i="20"/>
  <c r="M179" i="20"/>
  <c r="M177" i="20"/>
  <c r="N116" i="12" s="1"/>
  <c r="M180" i="20"/>
  <c r="M178" i="20"/>
  <c r="M181" i="20"/>
  <c r="N171" i="20"/>
  <c r="N173" i="20"/>
  <c r="N182" i="20" s="1"/>
  <c r="N144" i="19" s="1"/>
  <c r="O125" i="14" s="1"/>
  <c r="N170" i="20"/>
  <c r="N176" i="20" s="1"/>
  <c r="N172" i="20"/>
  <c r="N224" i="20" s="1"/>
  <c r="N174" i="20"/>
  <c r="N188" i="20" s="1"/>
  <c r="O137" i="12" s="1"/>
  <c r="M187" i="20"/>
  <c r="M149" i="19" s="1"/>
  <c r="M183" i="20"/>
  <c r="N128" i="12" s="1"/>
  <c r="M186" i="20"/>
  <c r="M184" i="20"/>
  <c r="M185" i="20"/>
  <c r="M192" i="20"/>
  <c r="M190" i="20"/>
  <c r="M191" i="20"/>
  <c r="M193" i="20"/>
  <c r="M189" i="20"/>
  <c r="AG320" i="20"/>
  <c r="H157" i="14" l="1"/>
  <c r="AN28" i="58" s="1"/>
  <c r="H163" i="14"/>
  <c r="H159" i="14" s="1"/>
  <c r="L284" i="20"/>
  <c r="L287" i="20"/>
  <c r="M40" i="55" s="1"/>
  <c r="L286" i="20"/>
  <c r="M39" i="55" s="1"/>
  <c r="L288" i="20"/>
  <c r="M41" i="55" s="1"/>
  <c r="L285" i="20"/>
  <c r="L289" i="20"/>
  <c r="M42" i="55" s="1"/>
  <c r="BN38" i="55"/>
  <c r="CZ88" i="55"/>
  <c r="CZ62" i="55"/>
  <c r="CZ40" i="55"/>
  <c r="CZ87" i="55"/>
  <c r="CZ65" i="55"/>
  <c r="CZ64" i="55"/>
  <c r="CZ38" i="55"/>
  <c r="CZ42" i="55"/>
  <c r="DZ35" i="55"/>
  <c r="CZ84" i="55"/>
  <c r="CZ61" i="55"/>
  <c r="CZ85" i="55"/>
  <c r="CZ39" i="55"/>
  <c r="CZ63" i="55"/>
  <c r="CZ41" i="55"/>
  <c r="AS34" i="55"/>
  <c r="L227" i="19"/>
  <c r="M269" i="20"/>
  <c r="N34" i="55"/>
  <c r="AR34" i="55"/>
  <c r="K227" i="19"/>
  <c r="K247" i="19" s="1"/>
  <c r="AR42" i="55" s="1"/>
  <c r="I155" i="14"/>
  <c r="K35" i="55"/>
  <c r="K38" i="55"/>
  <c r="J254" i="19"/>
  <c r="J255" i="19" s="1"/>
  <c r="J257" i="19" s="1"/>
  <c r="AQ255" i="12"/>
  <c r="AQ264" i="12" s="1"/>
  <c r="AH156" i="14"/>
  <c r="M8" i="60" s="1"/>
  <c r="AG273" i="19"/>
  <c r="AG278" i="19"/>
  <c r="K220" i="19"/>
  <c r="K222" i="19"/>
  <c r="K218" i="19"/>
  <c r="K219" i="19"/>
  <c r="K223" i="19"/>
  <c r="K221" i="19"/>
  <c r="L219" i="19"/>
  <c r="L223" i="19"/>
  <c r="L220" i="19"/>
  <c r="L222" i="19"/>
  <c r="L218" i="19"/>
  <c r="L221" i="19"/>
  <c r="L232" i="14"/>
  <c r="L233" i="12"/>
  <c r="L234" i="12" s="1"/>
  <c r="M149" i="14"/>
  <c r="L233" i="14"/>
  <c r="L234" i="14" s="1"/>
  <c r="N146" i="14"/>
  <c r="M146" i="19"/>
  <c r="N131" i="14" s="1"/>
  <c r="N127" i="14" s="1"/>
  <c r="N131" i="12"/>
  <c r="N127" i="12" s="1"/>
  <c r="N227" i="12" s="1"/>
  <c r="N138" i="19"/>
  <c r="O113" i="14" s="1"/>
  <c r="O113" i="12"/>
  <c r="M140" i="19"/>
  <c r="N119" i="12"/>
  <c r="M229" i="14"/>
  <c r="M232" i="14" s="1"/>
  <c r="M225" i="14" a="1"/>
  <c r="M148" i="14"/>
  <c r="N147" i="12"/>
  <c r="N115" i="12"/>
  <c r="M229" i="12"/>
  <c r="M232" i="12" s="1"/>
  <c r="M225" i="12" a="1"/>
  <c r="M148" i="12"/>
  <c r="M169" i="12" s="1"/>
  <c r="M143" i="14"/>
  <c r="O139" i="12"/>
  <c r="O231" i="12" s="1"/>
  <c r="O146" i="12"/>
  <c r="M119" i="14"/>
  <c r="M152" i="19"/>
  <c r="N143" i="12"/>
  <c r="M117" i="14"/>
  <c r="M150" i="14" s="1"/>
  <c r="M154" i="14"/>
  <c r="M118" i="14"/>
  <c r="M151" i="14" s="1"/>
  <c r="M153" i="14"/>
  <c r="M152" i="12"/>
  <c r="N147" i="14"/>
  <c r="N115" i="14"/>
  <c r="L152" i="14"/>
  <c r="L249" i="19"/>
  <c r="L250" i="19" s="1"/>
  <c r="L253" i="19" s="1"/>
  <c r="AH157" i="12"/>
  <c r="AH28" i="58" s="1"/>
  <c r="P21" i="60" s="1"/>
  <c r="AH158" i="12"/>
  <c r="AH163" i="12"/>
  <c r="AH159" i="12" s="1"/>
  <c r="AG321" i="20"/>
  <c r="AH165" i="12" s="1"/>
  <c r="N140" i="12"/>
  <c r="N145" i="12"/>
  <c r="N141" i="12" s="1"/>
  <c r="J155" i="12"/>
  <c r="F161" i="14"/>
  <c r="K155" i="12"/>
  <c r="N144" i="12"/>
  <c r="N142" i="12" s="1"/>
  <c r="M182" i="19"/>
  <c r="M217" i="19" s="1"/>
  <c r="G279" i="19"/>
  <c r="H165" i="14" s="1"/>
  <c r="H164" i="14"/>
  <c r="AN29" i="58" s="1"/>
  <c r="G161" i="14"/>
  <c r="AH164" i="12"/>
  <c r="AH29" i="58" s="1"/>
  <c r="H321" i="20"/>
  <c r="I164" i="12"/>
  <c r="I29" i="58" s="1"/>
  <c r="M150" i="12"/>
  <c r="M154" i="12"/>
  <c r="I162" i="12"/>
  <c r="I160" i="12" s="1"/>
  <c r="I158" i="12"/>
  <c r="I163" i="12"/>
  <c r="I159" i="12" s="1"/>
  <c r="I157" i="12"/>
  <c r="I28" i="58" s="1"/>
  <c r="J315" i="20"/>
  <c r="K156" i="12"/>
  <c r="M145" i="19"/>
  <c r="N128" i="14" s="1"/>
  <c r="M149" i="12"/>
  <c r="M151" i="12"/>
  <c r="M153" i="12"/>
  <c r="M148" i="19"/>
  <c r="N133" i="14" s="1"/>
  <c r="N129" i="14" s="1"/>
  <c r="N133" i="12"/>
  <c r="N129" i="12" s="1"/>
  <c r="M147" i="19"/>
  <c r="N132" i="14" s="1"/>
  <c r="N130" i="14" s="1"/>
  <c r="N132" i="12"/>
  <c r="N130" i="12" s="1"/>
  <c r="M141" i="19"/>
  <c r="N120" i="14" s="1"/>
  <c r="N120" i="12"/>
  <c r="N118" i="12" s="1"/>
  <c r="M139" i="19"/>
  <c r="N116" i="14" s="1"/>
  <c r="M151" i="19"/>
  <c r="N140" i="14" s="1"/>
  <c r="M154" i="19"/>
  <c r="N145" i="14" s="1"/>
  <c r="N141" i="14" s="1"/>
  <c r="M153" i="19"/>
  <c r="N144" i="14" s="1"/>
  <c r="N142" i="14" s="1"/>
  <c r="M155" i="19"/>
  <c r="M143" i="19"/>
  <c r="M142" i="19"/>
  <c r="N121" i="14" s="1"/>
  <c r="N121" i="12"/>
  <c r="N117" i="12" s="1"/>
  <c r="L298" i="20"/>
  <c r="L303" i="20" s="1"/>
  <c r="L304" i="20" s="1"/>
  <c r="H271" i="19"/>
  <c r="AO35" i="55" s="1"/>
  <c r="M295" i="20"/>
  <c r="M296" i="20" s="1"/>
  <c r="M297" i="20" s="1"/>
  <c r="M299" i="20" s="1"/>
  <c r="M294" i="20"/>
  <c r="K254" i="19"/>
  <c r="K255" i="19" s="1"/>
  <c r="K257" i="19" s="1"/>
  <c r="K256" i="19"/>
  <c r="I262" i="19"/>
  <c r="I269" i="19" s="1"/>
  <c r="J261" i="19"/>
  <c r="K313" i="20"/>
  <c r="N150" i="19"/>
  <c r="O137" i="14" s="1"/>
  <c r="O139" i="14" s="1"/>
  <c r="O231" i="14" s="1"/>
  <c r="N223" i="20"/>
  <c r="N268" i="20"/>
  <c r="N291" i="20"/>
  <c r="N292" i="20" s="1"/>
  <c r="I313" i="20"/>
  <c r="J35" i="55" s="1"/>
  <c r="J320" i="20"/>
  <c r="N189" i="20"/>
  <c r="N190" i="20"/>
  <c r="N192" i="20"/>
  <c r="N193" i="20"/>
  <c r="N191" i="20"/>
  <c r="O170" i="20"/>
  <c r="O176" i="20" s="1"/>
  <c r="O172" i="20"/>
  <c r="O224" i="20" s="1"/>
  <c r="O174" i="20"/>
  <c r="O188" i="20" s="1"/>
  <c r="P137" i="12" s="1"/>
  <c r="O171" i="20"/>
  <c r="O173" i="20"/>
  <c r="O182" i="20" s="1"/>
  <c r="O144" i="19" s="1"/>
  <c r="P125" i="14" s="1"/>
  <c r="N177" i="20"/>
  <c r="O116" i="12" s="1"/>
  <c r="N178" i="20"/>
  <c r="N180" i="20"/>
  <c r="N181" i="20"/>
  <c r="N179" i="20"/>
  <c r="N183" i="20"/>
  <c r="O128" i="12" s="1"/>
  <c r="N186" i="20"/>
  <c r="N184" i="20"/>
  <c r="N185" i="20"/>
  <c r="N187" i="20"/>
  <c r="N149" i="19" s="1"/>
  <c r="H161" i="14" l="1"/>
  <c r="K245" i="19"/>
  <c r="AR40" i="55" s="1"/>
  <c r="L243" i="19"/>
  <c r="L245" i="19"/>
  <c r="AS40" i="55" s="1"/>
  <c r="L247" i="19"/>
  <c r="AS42" i="55" s="1"/>
  <c r="L242" i="19"/>
  <c r="L246" i="19"/>
  <c r="AS41" i="55" s="1"/>
  <c r="L244" i="19"/>
  <c r="AS39" i="55" s="1"/>
  <c r="M286" i="20"/>
  <c r="N39" i="55" s="1"/>
  <c r="M287" i="20"/>
  <c r="N40" i="55" s="1"/>
  <c r="M284" i="20"/>
  <c r="M288" i="20"/>
  <c r="N41" i="55" s="1"/>
  <c r="M285" i="20"/>
  <c r="M289" i="20"/>
  <c r="N42" i="55" s="1"/>
  <c r="K243" i="19"/>
  <c r="K244" i="19"/>
  <c r="AR39" i="55" s="1"/>
  <c r="DA35" i="55"/>
  <c r="DZ64" i="55"/>
  <c r="DZ63" i="55"/>
  <c r="DZ87" i="55"/>
  <c r="DZ65" i="55"/>
  <c r="DZ86" i="55"/>
  <c r="DZ61" i="55"/>
  <c r="DZ88" i="55"/>
  <c r="DZ85" i="55"/>
  <c r="DZ84" i="55"/>
  <c r="DZ62" i="55"/>
  <c r="DZ39" i="55"/>
  <c r="DZ42" i="55"/>
  <c r="DZ40" i="55"/>
  <c r="DZ41" i="55"/>
  <c r="DZ38" i="55"/>
  <c r="J38" i="55"/>
  <c r="K242" i="19"/>
  <c r="AO38" i="55"/>
  <c r="K246" i="19"/>
  <c r="AR41" i="55" s="1"/>
  <c r="J155" i="14"/>
  <c r="N269" i="20"/>
  <c r="N284" i="20" s="1"/>
  <c r="O34" i="55"/>
  <c r="AG279" i="19"/>
  <c r="AH165" i="14" s="1"/>
  <c r="AH164" i="14"/>
  <c r="BN29" i="58" s="1"/>
  <c r="AQ255" i="14"/>
  <c r="AH157" i="14"/>
  <c r="BN28" i="58" s="1"/>
  <c r="M9" i="60" s="1"/>
  <c r="AH158" i="14"/>
  <c r="AH163" i="14"/>
  <c r="AH159" i="14" s="1"/>
  <c r="AH162" i="14"/>
  <c r="AH160" i="14" s="1"/>
  <c r="M233" i="14"/>
  <c r="M234" i="14" s="1"/>
  <c r="M219" i="19"/>
  <c r="M221" i="19"/>
  <c r="M223" i="19"/>
  <c r="M220" i="19"/>
  <c r="M218" i="19"/>
  <c r="M222" i="19"/>
  <c r="N152" i="12"/>
  <c r="L252" i="19"/>
  <c r="M233" i="12"/>
  <c r="M234" i="12" s="1"/>
  <c r="N143" i="14"/>
  <c r="N119" i="14"/>
  <c r="N152" i="19"/>
  <c r="O143" i="12"/>
  <c r="N148" i="14"/>
  <c r="N227" i="14"/>
  <c r="M152" i="14"/>
  <c r="N229" i="12"/>
  <c r="N232" i="12" s="1"/>
  <c r="N225" i="12" a="1"/>
  <c r="N148" i="12"/>
  <c r="N169" i="12" s="1"/>
  <c r="O147" i="12"/>
  <c r="O115" i="12"/>
  <c r="N229" i="14"/>
  <c r="N225" i="14" a="1"/>
  <c r="N146" i="19"/>
  <c r="O131" i="14" s="1"/>
  <c r="O127" i="14" s="1"/>
  <c r="O131" i="12"/>
  <c r="O127" i="12" s="1"/>
  <c r="O227" i="12" s="1"/>
  <c r="O138" i="19"/>
  <c r="P113" i="14" s="1"/>
  <c r="P113" i="12"/>
  <c r="N117" i="14"/>
  <c r="N150" i="14" s="1"/>
  <c r="N154" i="14"/>
  <c r="N118" i="14"/>
  <c r="N151" i="14" s="1"/>
  <c r="N153" i="14"/>
  <c r="N140" i="19"/>
  <c r="O119" i="12"/>
  <c r="P146" i="12"/>
  <c r="P139" i="12"/>
  <c r="P231" i="12" s="1"/>
  <c r="N149" i="14"/>
  <c r="O146" i="14"/>
  <c r="O147" i="14"/>
  <c r="O115" i="14"/>
  <c r="AH161" i="12"/>
  <c r="M226" i="19"/>
  <c r="DF34" i="55" s="1"/>
  <c r="M249" i="19"/>
  <c r="M250" i="19" s="1"/>
  <c r="M252" i="19" s="1"/>
  <c r="K157" i="12"/>
  <c r="K28" i="58" s="1"/>
  <c r="O145" i="12"/>
  <c r="O141" i="12" s="1"/>
  <c r="I165" i="12"/>
  <c r="H278" i="19"/>
  <c r="I156" i="14"/>
  <c r="O144" i="12"/>
  <c r="O142" i="12" s="1"/>
  <c r="O140" i="12"/>
  <c r="N182" i="19"/>
  <c r="N217" i="19" s="1"/>
  <c r="L156" i="12"/>
  <c r="L158" i="12" s="1"/>
  <c r="J321" i="20"/>
  <c r="K164" i="12"/>
  <c r="K29" i="58" s="1"/>
  <c r="I161" i="12"/>
  <c r="K162" i="12"/>
  <c r="K160" i="12" s="1"/>
  <c r="K158" i="12"/>
  <c r="N147" i="19"/>
  <c r="O132" i="14" s="1"/>
  <c r="O130" i="14" s="1"/>
  <c r="O132" i="12"/>
  <c r="O130" i="12" s="1"/>
  <c r="I315" i="20"/>
  <c r="J156" i="12"/>
  <c r="N149" i="12"/>
  <c r="N151" i="12"/>
  <c r="N153" i="12"/>
  <c r="N148" i="19"/>
  <c r="O133" i="14" s="1"/>
  <c r="O129" i="14" s="1"/>
  <c r="O133" i="12"/>
  <c r="O129" i="12" s="1"/>
  <c r="N145" i="19"/>
  <c r="O128" i="14" s="1"/>
  <c r="N150" i="12"/>
  <c r="N154" i="12"/>
  <c r="K163" i="12"/>
  <c r="K159" i="12" s="1"/>
  <c r="N155" i="19"/>
  <c r="N141" i="19"/>
  <c r="O120" i="14" s="1"/>
  <c r="O120" i="12"/>
  <c r="O118" i="12" s="1"/>
  <c r="N139" i="19"/>
  <c r="O116" i="14" s="1"/>
  <c r="N154" i="19"/>
  <c r="O145" i="14" s="1"/>
  <c r="O141" i="14" s="1"/>
  <c r="N153" i="19"/>
  <c r="O144" i="14" s="1"/>
  <c r="O142" i="14" s="1"/>
  <c r="N151" i="19"/>
  <c r="O140" i="14" s="1"/>
  <c r="N143" i="19"/>
  <c r="N142" i="19"/>
  <c r="O121" i="14" s="1"/>
  <c r="O121" i="12"/>
  <c r="O117" i="12" s="1"/>
  <c r="H273" i="19"/>
  <c r="M298" i="20"/>
  <c r="M303" i="20" s="1"/>
  <c r="M304" i="20" s="1"/>
  <c r="N295" i="20"/>
  <c r="N296" i="20" s="1"/>
  <c r="N297" i="20" s="1"/>
  <c r="N299" i="20" s="1"/>
  <c r="N294" i="20"/>
  <c r="J262" i="19"/>
  <c r="J271" i="19" s="1"/>
  <c r="K156" i="14" s="1"/>
  <c r="L254" i="19"/>
  <c r="L255" i="19" s="1"/>
  <c r="L257" i="19" s="1"/>
  <c r="I271" i="19"/>
  <c r="AP35" i="55" s="1"/>
  <c r="L256" i="19"/>
  <c r="K261" i="19"/>
  <c r="O150" i="19"/>
  <c r="P137" i="14" s="1"/>
  <c r="P139" i="14" s="1"/>
  <c r="P231" i="14" s="1"/>
  <c r="O223" i="20"/>
  <c r="K311" i="20"/>
  <c r="I320" i="20"/>
  <c r="O291" i="20"/>
  <c r="O292" i="20" s="1"/>
  <c r="O268" i="20"/>
  <c r="O191" i="20"/>
  <c r="O192" i="20"/>
  <c r="O190" i="20"/>
  <c r="O193" i="20"/>
  <c r="O189" i="20"/>
  <c r="O186" i="20"/>
  <c r="O184" i="20"/>
  <c r="O187" i="20"/>
  <c r="O149" i="19" s="1"/>
  <c r="O183" i="20"/>
  <c r="P128" i="12" s="1"/>
  <c r="O185" i="20"/>
  <c r="O177" i="20"/>
  <c r="P116" i="12" s="1"/>
  <c r="O178" i="20"/>
  <c r="O179" i="20"/>
  <c r="O180" i="20"/>
  <c r="O181" i="20"/>
  <c r="P170" i="20"/>
  <c r="P176" i="20" s="1"/>
  <c r="P172" i="20"/>
  <c r="P224" i="20" s="1"/>
  <c r="P174" i="20"/>
  <c r="P188" i="20" s="1"/>
  <c r="Q137" i="12" s="1"/>
  <c r="P171" i="20"/>
  <c r="P173" i="20"/>
  <c r="P182" i="20" s="1"/>
  <c r="P144" i="19" s="1"/>
  <c r="Q125" i="14" s="1"/>
  <c r="N286" i="20" l="1"/>
  <c r="O39" i="55" s="1"/>
  <c r="N289" i="20"/>
  <c r="O42" i="55" s="1"/>
  <c r="N288" i="20"/>
  <c r="O41" i="55" s="1"/>
  <c r="N287" i="20"/>
  <c r="O40" i="55" s="1"/>
  <c r="N285" i="20"/>
  <c r="DA38" i="55"/>
  <c r="DA64" i="55"/>
  <c r="DA85" i="55"/>
  <c r="DA62" i="55"/>
  <c r="DA88" i="55"/>
  <c r="DA61" i="55"/>
  <c r="DA87" i="55"/>
  <c r="DA86" i="55"/>
  <c r="DA84" i="55"/>
  <c r="DA65" i="55"/>
  <c r="DA63" i="55"/>
  <c r="DA42" i="55"/>
  <c r="DA39" i="55"/>
  <c r="DA41" i="55"/>
  <c r="DA40" i="55"/>
  <c r="DB35" i="55"/>
  <c r="AT34" i="55"/>
  <c r="M227" i="19"/>
  <c r="M244" i="19" s="1"/>
  <c r="AT39" i="55" s="1"/>
  <c r="AP38" i="55"/>
  <c r="L35" i="55"/>
  <c r="L38" i="55"/>
  <c r="O269" i="20"/>
  <c r="P34" i="55"/>
  <c r="K21" i="60"/>
  <c r="E25" i="61" s="1"/>
  <c r="CZ20" i="58"/>
  <c r="M242" i="19"/>
  <c r="AH161" i="14"/>
  <c r="N220" i="19"/>
  <c r="N219" i="19"/>
  <c r="N221" i="19"/>
  <c r="N223" i="19"/>
  <c r="N222" i="19"/>
  <c r="N218" i="19"/>
  <c r="N152" i="14"/>
  <c r="N233" i="12"/>
  <c r="N234" i="12" s="1"/>
  <c r="N233" i="14"/>
  <c r="N234" i="14" s="1"/>
  <c r="O118" i="14"/>
  <c r="O151" i="14" s="1"/>
  <c r="O153" i="14"/>
  <c r="P138" i="19"/>
  <c r="Q113" i="14" s="1"/>
  <c r="Q113" i="12"/>
  <c r="O140" i="19"/>
  <c r="P119" i="12"/>
  <c r="O117" i="14"/>
  <c r="O150" i="14" s="1"/>
  <c r="O154" i="14"/>
  <c r="P147" i="12"/>
  <c r="P115" i="12"/>
  <c r="O149" i="14"/>
  <c r="O152" i="12"/>
  <c r="P147" i="14"/>
  <c r="P115" i="14"/>
  <c r="O143" i="14"/>
  <c r="O229" i="14"/>
  <c r="O148" i="14"/>
  <c r="O225" i="14" a="1"/>
  <c r="O227" i="14"/>
  <c r="O229" i="12"/>
  <c r="O232" i="12" s="1"/>
  <c r="O225" i="12" a="1"/>
  <c r="O148" i="12"/>
  <c r="O169" i="12" s="1"/>
  <c r="O146" i="19"/>
  <c r="P131" i="14" s="1"/>
  <c r="P127" i="14" s="1"/>
  <c r="P227" i="14" s="1"/>
  <c r="P131" i="12"/>
  <c r="P127" i="12" s="1"/>
  <c r="P227" i="12" s="1"/>
  <c r="O152" i="19"/>
  <c r="P143" i="12"/>
  <c r="Q139" i="12"/>
  <c r="Q231" i="12" s="1"/>
  <c r="Q146" i="12"/>
  <c r="O119" i="14"/>
  <c r="N232" i="14"/>
  <c r="P146" i="14"/>
  <c r="M253" i="19"/>
  <c r="M256" i="19" s="1"/>
  <c r="M261" i="19" s="1"/>
  <c r="M262" i="19" s="1"/>
  <c r="M269" i="19" s="1"/>
  <c r="N249" i="19"/>
  <c r="N250" i="19" s="1"/>
  <c r="N252" i="19" s="1"/>
  <c r="N226" i="19"/>
  <c r="DG34" i="55" s="1"/>
  <c r="P140" i="12"/>
  <c r="P144" i="12"/>
  <c r="P142" i="12" s="1"/>
  <c r="L155" i="12"/>
  <c r="L157" i="12" s="1"/>
  <c r="L28" i="58" s="1"/>
  <c r="K158" i="14"/>
  <c r="K162" i="14"/>
  <c r="K160" i="14" s="1"/>
  <c r="I158" i="14"/>
  <c r="I162" i="14"/>
  <c r="I160" i="14" s="1"/>
  <c r="I163" i="14"/>
  <c r="I159" i="14" s="1"/>
  <c r="I157" i="14"/>
  <c r="AO28" i="58" s="1"/>
  <c r="I273" i="19"/>
  <c r="J156" i="14"/>
  <c r="H279" i="19"/>
  <c r="I165" i="14" s="1"/>
  <c r="I164" i="14"/>
  <c r="AO29" i="58" s="1"/>
  <c r="O182" i="19"/>
  <c r="O217" i="19" s="1"/>
  <c r="L162" i="12"/>
  <c r="L160" i="12" s="1"/>
  <c r="K165" i="12"/>
  <c r="P145" i="12"/>
  <c r="P141" i="12" s="1"/>
  <c r="I321" i="20"/>
  <c r="J164" i="12"/>
  <c r="J29" i="58" s="1"/>
  <c r="K161" i="12"/>
  <c r="O147" i="19"/>
  <c r="P132" i="14" s="1"/>
  <c r="P130" i="14" s="1"/>
  <c r="P132" i="12"/>
  <c r="P130" i="12" s="1"/>
  <c r="O148" i="19"/>
  <c r="P133" i="14" s="1"/>
  <c r="P129" i="14" s="1"/>
  <c r="P133" i="12"/>
  <c r="P129" i="12" s="1"/>
  <c r="O149" i="12"/>
  <c r="O145" i="19"/>
  <c r="P128" i="14" s="1"/>
  <c r="O150" i="12"/>
  <c r="O154" i="12"/>
  <c r="O151" i="12"/>
  <c r="O153" i="12"/>
  <c r="J158" i="12"/>
  <c r="J162" i="12"/>
  <c r="J160" i="12" s="1"/>
  <c r="J157" i="12"/>
  <c r="J28" i="58" s="1"/>
  <c r="J163" i="12"/>
  <c r="J159" i="12" s="1"/>
  <c r="O139" i="19"/>
  <c r="P116" i="14" s="1"/>
  <c r="O154" i="19"/>
  <c r="P145" i="14" s="1"/>
  <c r="P141" i="14" s="1"/>
  <c r="O155" i="19"/>
  <c r="O141" i="19"/>
  <c r="P120" i="14" s="1"/>
  <c r="P120" i="12"/>
  <c r="P118" i="12" s="1"/>
  <c r="O151" i="19"/>
  <c r="P140" i="14" s="1"/>
  <c r="O153" i="19"/>
  <c r="P144" i="14" s="1"/>
  <c r="P142" i="14" s="1"/>
  <c r="O143" i="19"/>
  <c r="O142" i="19"/>
  <c r="P121" i="14" s="1"/>
  <c r="P121" i="12"/>
  <c r="P117" i="12" s="1"/>
  <c r="J269" i="19"/>
  <c r="DC35" i="55" s="1"/>
  <c r="O295" i="20"/>
  <c r="O296" i="20" s="1"/>
  <c r="O297" i="20" s="1"/>
  <c r="O299" i="20" s="1"/>
  <c r="O294" i="20"/>
  <c r="I278" i="19"/>
  <c r="L261" i="19"/>
  <c r="K262" i="19"/>
  <c r="K271" i="19" s="1"/>
  <c r="L156" i="14" s="1"/>
  <c r="N298" i="20"/>
  <c r="N303" i="20" s="1"/>
  <c r="N304" i="20" s="1"/>
  <c r="L313" i="20"/>
  <c r="P150" i="19"/>
  <c r="Q137" i="14" s="1"/>
  <c r="Q139" i="14" s="1"/>
  <c r="Q231" i="14" s="1"/>
  <c r="P223" i="20"/>
  <c r="K320" i="20"/>
  <c r="K315" i="20"/>
  <c r="M311" i="20"/>
  <c r="P268" i="20"/>
  <c r="P291" i="20"/>
  <c r="P292" i="20" s="1"/>
  <c r="P189" i="20"/>
  <c r="P191" i="20"/>
  <c r="P190" i="20"/>
  <c r="P192" i="20"/>
  <c r="P193" i="20"/>
  <c r="Q171" i="20"/>
  <c r="Q173" i="20"/>
  <c r="Q182" i="20" s="1"/>
  <c r="Q144" i="19" s="1"/>
  <c r="R125" i="14" s="1"/>
  <c r="Q170" i="20"/>
  <c r="Q176" i="20" s="1"/>
  <c r="Q172" i="20"/>
  <c r="Q224" i="20" s="1"/>
  <c r="Q174" i="20"/>
  <c r="Q188" i="20" s="1"/>
  <c r="R137" i="12" s="1"/>
  <c r="P185" i="20"/>
  <c r="P183" i="20"/>
  <c r="Q128" i="12" s="1"/>
  <c r="P184" i="20"/>
  <c r="P186" i="20"/>
  <c r="P187" i="20"/>
  <c r="P149" i="19" s="1"/>
  <c r="P178" i="20"/>
  <c r="P177" i="20"/>
  <c r="Q116" i="12" s="1"/>
  <c r="P180" i="20"/>
  <c r="P181" i="20"/>
  <c r="P179" i="20"/>
  <c r="M247" i="19" l="1"/>
  <c r="AT42" i="55" s="1"/>
  <c r="O284" i="20"/>
  <c r="O285" i="20"/>
  <c r="O286" i="20"/>
  <c r="P39" i="55" s="1"/>
  <c r="O287" i="20"/>
  <c r="P40" i="55" s="1"/>
  <c r="O288" i="20"/>
  <c r="P41" i="55" s="1"/>
  <c r="O289" i="20"/>
  <c r="P42" i="55" s="1"/>
  <c r="M245" i="19"/>
  <c r="AT40" i="55" s="1"/>
  <c r="M246" i="19"/>
  <c r="AT41" i="55" s="1"/>
  <c r="M243" i="19"/>
  <c r="DB38" i="55"/>
  <c r="DB62" i="55"/>
  <c r="DB88" i="55"/>
  <c r="DB63" i="55"/>
  <c r="DB86" i="55"/>
  <c r="DB61" i="55"/>
  <c r="DB87" i="55"/>
  <c r="DB85" i="55"/>
  <c r="DB84" i="55"/>
  <c r="DB65" i="55"/>
  <c r="DB64" i="55"/>
  <c r="DB39" i="55"/>
  <c r="DB41" i="55"/>
  <c r="DB42" i="55"/>
  <c r="DB40" i="55"/>
  <c r="P269" i="20"/>
  <c r="Q34" i="55"/>
  <c r="AU34" i="55"/>
  <c r="N227" i="19"/>
  <c r="N242" i="19" s="1"/>
  <c r="N155" i="14"/>
  <c r="AQ35" i="55"/>
  <c r="DC63" i="55" s="1"/>
  <c r="AQ38" i="55"/>
  <c r="O220" i="19"/>
  <c r="O222" i="19"/>
  <c r="O218" i="19"/>
  <c r="O221" i="19"/>
  <c r="O219" i="19"/>
  <c r="O223" i="19"/>
  <c r="M254" i="19"/>
  <c r="M255" i="19" s="1"/>
  <c r="M257" i="19" s="1"/>
  <c r="N253" i="19"/>
  <c r="N254" i="19" s="1"/>
  <c r="N255" i="19" s="1"/>
  <c r="N257" i="19" s="1"/>
  <c r="P143" i="14"/>
  <c r="P149" i="14"/>
  <c r="O152" i="14"/>
  <c r="P140" i="19"/>
  <c r="Q119" i="12"/>
  <c r="Q138" i="19"/>
  <c r="R113" i="14" s="1"/>
  <c r="R113" i="12"/>
  <c r="Q147" i="12"/>
  <c r="Q115" i="12"/>
  <c r="P152" i="19"/>
  <c r="Q143" i="12"/>
  <c r="P118" i="14"/>
  <c r="P151" i="14" s="1"/>
  <c r="P153" i="14"/>
  <c r="Q147" i="14"/>
  <c r="Q115" i="14"/>
  <c r="R146" i="12"/>
  <c r="R139" i="12"/>
  <c r="R231" i="12" s="1"/>
  <c r="O233" i="14"/>
  <c r="O234" i="14" s="1"/>
  <c r="P148" i="14"/>
  <c r="P225" i="14" a="1"/>
  <c r="P229" i="14"/>
  <c r="P232" i="14" s="1"/>
  <c r="P229" i="12"/>
  <c r="P232" i="12" s="1"/>
  <c r="P148" i="12"/>
  <c r="P169" i="12" s="1"/>
  <c r="P225" i="12" a="1"/>
  <c r="P152" i="12"/>
  <c r="P117" i="14"/>
  <c r="P150" i="14" s="1"/>
  <c r="P154" i="14"/>
  <c r="Q146" i="14"/>
  <c r="O232" i="14"/>
  <c r="P146" i="19"/>
  <c r="Q131" i="14" s="1"/>
  <c r="Q127" i="14" s="1"/>
  <c r="Q131" i="12"/>
  <c r="Q127" i="12" s="1"/>
  <c r="Q227" i="12" s="1"/>
  <c r="O233" i="12"/>
  <c r="O234" i="12" s="1"/>
  <c r="P119" i="14"/>
  <c r="L163" i="12"/>
  <c r="L159" i="12" s="1"/>
  <c r="L161" i="12" s="1"/>
  <c r="O249" i="19"/>
  <c r="O250" i="19" s="1"/>
  <c r="O253" i="19" s="1"/>
  <c r="O256" i="19" s="1"/>
  <c r="O226" i="19"/>
  <c r="DH34" i="55" s="1"/>
  <c r="M156" i="12"/>
  <c r="M158" i="12" s="1"/>
  <c r="J273" i="19"/>
  <c r="K155" i="14"/>
  <c r="Q144" i="12"/>
  <c r="Q142" i="12" s="1"/>
  <c r="I279" i="19"/>
  <c r="J165" i="14" s="1"/>
  <c r="J164" i="14"/>
  <c r="AP29" i="58" s="1"/>
  <c r="Q140" i="12"/>
  <c r="J165" i="12"/>
  <c r="Q145" i="12"/>
  <c r="Q141" i="12" s="1"/>
  <c r="N155" i="12"/>
  <c r="P182" i="19"/>
  <c r="P217" i="19" s="1"/>
  <c r="L158" i="14"/>
  <c r="L162" i="14"/>
  <c r="L160" i="14" s="1"/>
  <c r="J158" i="14"/>
  <c r="J162" i="14"/>
  <c r="J160" i="14" s="1"/>
  <c r="J157" i="14"/>
  <c r="AP28" i="58" s="1"/>
  <c r="J163" i="14"/>
  <c r="J159" i="14" s="1"/>
  <c r="I161" i="14"/>
  <c r="J278" i="19"/>
  <c r="K321" i="20"/>
  <c r="L164" i="12"/>
  <c r="L29" i="58" s="1"/>
  <c r="J161" i="12"/>
  <c r="P147" i="19"/>
  <c r="Q132" i="14" s="1"/>
  <c r="Q130" i="14" s="1"/>
  <c r="Q132" i="12"/>
  <c r="Q130" i="12" s="1"/>
  <c r="P151" i="12"/>
  <c r="P153" i="12"/>
  <c r="P149" i="12"/>
  <c r="P145" i="19"/>
  <c r="Q128" i="14" s="1"/>
  <c r="P150" i="12"/>
  <c r="P154" i="12"/>
  <c r="P148" i="19"/>
  <c r="Q133" i="14" s="1"/>
  <c r="Q129" i="14" s="1"/>
  <c r="Q133" i="12"/>
  <c r="Q129" i="12" s="1"/>
  <c r="P141" i="19"/>
  <c r="Q120" i="14" s="1"/>
  <c r="Q120" i="12"/>
  <c r="Q118" i="12" s="1"/>
  <c r="P154" i="19"/>
  <c r="Q145" i="14" s="1"/>
  <c r="Q141" i="14" s="1"/>
  <c r="P153" i="19"/>
  <c r="Q144" i="14" s="1"/>
  <c r="Q142" i="14" s="1"/>
  <c r="P139" i="19"/>
  <c r="Q116" i="14" s="1"/>
  <c r="P155" i="19"/>
  <c r="P151" i="19"/>
  <c r="Q140" i="14" s="1"/>
  <c r="P143" i="19"/>
  <c r="P142" i="19"/>
  <c r="Q121" i="14" s="1"/>
  <c r="Q121" i="12"/>
  <c r="Q117" i="12" s="1"/>
  <c r="O298" i="20"/>
  <c r="O303" i="20" s="1"/>
  <c r="O304" i="20" s="1"/>
  <c r="N311" i="20"/>
  <c r="L262" i="19"/>
  <c r="L271" i="19" s="1"/>
  <c r="M156" i="14" s="1"/>
  <c r="M271" i="19"/>
  <c r="K269" i="19"/>
  <c r="DD35" i="55" s="1"/>
  <c r="P295" i="20"/>
  <c r="P294" i="20"/>
  <c r="M313" i="20"/>
  <c r="N35" i="55" s="1"/>
  <c r="N313" i="20"/>
  <c r="Q150" i="19"/>
  <c r="R137" i="14" s="1"/>
  <c r="R139" i="14" s="1"/>
  <c r="R231" i="14" s="1"/>
  <c r="Q223" i="20"/>
  <c r="L311" i="20"/>
  <c r="Q268" i="20"/>
  <c r="Q291" i="20"/>
  <c r="Q292" i="20" s="1"/>
  <c r="R171" i="20"/>
  <c r="R173" i="20"/>
  <c r="R182" i="20" s="1"/>
  <c r="R144" i="19" s="1"/>
  <c r="S125" i="14" s="1"/>
  <c r="R170" i="20"/>
  <c r="R176" i="20" s="1"/>
  <c r="R172" i="20"/>
  <c r="R224" i="20" s="1"/>
  <c r="R174" i="20"/>
  <c r="R188" i="20" s="1"/>
  <c r="S137" i="12" s="1"/>
  <c r="Q177" i="20"/>
  <c r="R116" i="12" s="1"/>
  <c r="Q180" i="20"/>
  <c r="Q181" i="20"/>
  <c r="Q178" i="20"/>
  <c r="Q179" i="20"/>
  <c r="Q189" i="20"/>
  <c r="Q192" i="20"/>
  <c r="Q190" i="20"/>
  <c r="Q193" i="20"/>
  <c r="Q191" i="20"/>
  <c r="Q185" i="20"/>
  <c r="Q186" i="20"/>
  <c r="Q187" i="20"/>
  <c r="Q149" i="19" s="1"/>
  <c r="Q184" i="20"/>
  <c r="Q183" i="20"/>
  <c r="R128" i="12" s="1"/>
  <c r="AT38" i="55" l="1"/>
  <c r="P286" i="20"/>
  <c r="Q39" i="55" s="1"/>
  <c r="P285" i="20"/>
  <c r="P289" i="20"/>
  <c r="Q42" i="55" s="1"/>
  <c r="P284" i="20"/>
  <c r="P287" i="20"/>
  <c r="Q40" i="55" s="1"/>
  <c r="P288" i="20"/>
  <c r="Q41" i="55" s="1"/>
  <c r="P152" i="14"/>
  <c r="DC38" i="55"/>
  <c r="DC85" i="55"/>
  <c r="DC61" i="55"/>
  <c r="DC42" i="55"/>
  <c r="DC88" i="55"/>
  <c r="N247" i="19"/>
  <c r="AU42" i="55" s="1"/>
  <c r="DC87" i="55"/>
  <c r="N244" i="19"/>
  <c r="AU39" i="55" s="1"/>
  <c r="DC64" i="55"/>
  <c r="N245" i="19"/>
  <c r="AU40" i="55" s="1"/>
  <c r="DC62" i="55"/>
  <c r="DC39" i="55"/>
  <c r="DC84" i="55"/>
  <c r="DF35" i="55"/>
  <c r="N246" i="19"/>
  <c r="AU41" i="55" s="1"/>
  <c r="N243" i="19"/>
  <c r="DC65" i="55"/>
  <c r="DC41" i="55"/>
  <c r="DC86" i="55"/>
  <c r="DC40" i="55"/>
  <c r="AV34" i="55"/>
  <c r="O227" i="19"/>
  <c r="O244" i="19" s="1"/>
  <c r="AV39" i="55" s="1"/>
  <c r="M35" i="55"/>
  <c r="M38" i="55"/>
  <c r="N38" i="55"/>
  <c r="Q269" i="20"/>
  <c r="R34" i="55"/>
  <c r="L155" i="14"/>
  <c r="L163" i="14" s="1"/>
  <c r="L159" i="14" s="1"/>
  <c r="AR35" i="55"/>
  <c r="DD62" i="55" s="1"/>
  <c r="AR38" i="55"/>
  <c r="DD38" i="55" s="1"/>
  <c r="O35" i="55"/>
  <c r="O38" i="55"/>
  <c r="AT35" i="55"/>
  <c r="N256" i="19"/>
  <c r="N261" i="19" s="1"/>
  <c r="N262" i="19" s="1"/>
  <c r="N271" i="19" s="1"/>
  <c r="O156" i="14" s="1"/>
  <c r="O158" i="14" s="1"/>
  <c r="P221" i="19"/>
  <c r="P220" i="19"/>
  <c r="P222" i="19"/>
  <c r="P218" i="19"/>
  <c r="P219" i="19"/>
  <c r="P223" i="19"/>
  <c r="O252" i="19"/>
  <c r="Q149" i="14"/>
  <c r="R146" i="14"/>
  <c r="Q143" i="14"/>
  <c r="Q146" i="19"/>
  <c r="R131" i="14" s="1"/>
  <c r="R127" i="14" s="1"/>
  <c r="R131" i="12"/>
  <c r="R127" i="12" s="1"/>
  <c r="R227" i="12" s="1"/>
  <c r="R138" i="19"/>
  <c r="S113" i="14" s="1"/>
  <c r="S113" i="12"/>
  <c r="Q229" i="14"/>
  <c r="Q225" i="14" a="1"/>
  <c r="R147" i="12"/>
  <c r="R115" i="12"/>
  <c r="R147" i="14"/>
  <c r="R115" i="14"/>
  <c r="S139" i="12"/>
  <c r="S231" i="12" s="1"/>
  <c r="S146" i="12"/>
  <c r="Q148" i="14"/>
  <c r="Q227" i="14"/>
  <c r="P233" i="12"/>
  <c r="P234" i="12" s="1"/>
  <c r="P233" i="14"/>
  <c r="P234" i="14" s="1"/>
  <c r="Q229" i="12"/>
  <c r="Q148" i="12"/>
  <c r="Q169" i="12" s="1"/>
  <c r="Q225" i="12" a="1"/>
  <c r="Q152" i="12"/>
  <c r="Q117" i="14"/>
  <c r="Q150" i="14" s="1"/>
  <c r="Q154" i="14"/>
  <c r="Q118" i="14"/>
  <c r="Q151" i="14" s="1"/>
  <c r="Q153" i="14"/>
  <c r="Q232" i="12"/>
  <c r="Q152" i="19"/>
  <c r="R143" i="12"/>
  <c r="Q140" i="19"/>
  <c r="R119" i="12"/>
  <c r="Q119" i="14"/>
  <c r="M162" i="12"/>
  <c r="M160" i="12" s="1"/>
  <c r="P249" i="19"/>
  <c r="P250" i="19" s="1"/>
  <c r="P252" i="19" s="1"/>
  <c r="P226" i="19"/>
  <c r="DI34" i="55" s="1"/>
  <c r="J161" i="14"/>
  <c r="R145" i="12"/>
  <c r="R141" i="12" s="1"/>
  <c r="J279" i="19"/>
  <c r="K165" i="14" s="1"/>
  <c r="K164" i="14"/>
  <c r="AQ29" i="58" s="1"/>
  <c r="R144" i="12"/>
  <c r="R142" i="12" s="1"/>
  <c r="R140" i="12"/>
  <c r="M278" i="19"/>
  <c r="N156" i="14"/>
  <c r="M155" i="12"/>
  <c r="M157" i="12" s="1"/>
  <c r="M28" i="58" s="1"/>
  <c r="Q182" i="19"/>
  <c r="Q226" i="19" s="1"/>
  <c r="DJ34" i="55" s="1"/>
  <c r="M158" i="14"/>
  <c r="M162" i="14"/>
  <c r="M160" i="14" s="1"/>
  <c r="O156" i="12"/>
  <c r="O158" i="12" s="1"/>
  <c r="O155" i="12"/>
  <c r="L165" i="12"/>
  <c r="K157" i="14"/>
  <c r="AQ28" i="58" s="1"/>
  <c r="K163" i="14"/>
  <c r="K159" i="14" s="1"/>
  <c r="Q149" i="12"/>
  <c r="Q145" i="19"/>
  <c r="R128" i="14" s="1"/>
  <c r="M315" i="20"/>
  <c r="N156" i="12"/>
  <c r="Q148" i="19"/>
  <c r="R133" i="14" s="1"/>
  <c r="R129" i="14" s="1"/>
  <c r="R133" i="12"/>
  <c r="R129" i="12" s="1"/>
  <c r="Q147" i="19"/>
  <c r="R132" i="14" s="1"/>
  <c r="R130" i="14" s="1"/>
  <c r="R132" i="12"/>
  <c r="R130" i="12" s="1"/>
  <c r="Q151" i="12"/>
  <c r="Q153" i="12"/>
  <c r="Q150" i="12"/>
  <c r="Q154" i="12"/>
  <c r="Q155" i="19"/>
  <c r="Q141" i="19"/>
  <c r="R120" i="14" s="1"/>
  <c r="R120" i="12"/>
  <c r="R118" i="12" s="1"/>
  <c r="Q154" i="19"/>
  <c r="R145" i="14" s="1"/>
  <c r="R141" i="14" s="1"/>
  <c r="Q139" i="19"/>
  <c r="R116" i="14" s="1"/>
  <c r="Q153" i="19"/>
  <c r="R144" i="14" s="1"/>
  <c r="R142" i="14" s="1"/>
  <c r="Q151" i="19"/>
  <c r="R140" i="14" s="1"/>
  <c r="Q143" i="19"/>
  <c r="Q142" i="19"/>
  <c r="R121" i="14" s="1"/>
  <c r="R121" i="12"/>
  <c r="R117" i="12" s="1"/>
  <c r="N315" i="20"/>
  <c r="M320" i="20"/>
  <c r="L269" i="19"/>
  <c r="DE35" i="55" s="1"/>
  <c r="O311" i="20"/>
  <c r="P296" i="20"/>
  <c r="P297" i="20" s="1"/>
  <c r="P299" i="20" s="1"/>
  <c r="O261" i="19"/>
  <c r="O262" i="19" s="1"/>
  <c r="O269" i="19" s="1"/>
  <c r="Q295" i="20"/>
  <c r="Q294" i="20"/>
  <c r="P298" i="20"/>
  <c r="O254" i="19"/>
  <c r="O255" i="19" s="1"/>
  <c r="O257" i="19" s="1"/>
  <c r="K273" i="19"/>
  <c r="K278" i="19"/>
  <c r="M273" i="19"/>
  <c r="O313" i="20"/>
  <c r="R150" i="19"/>
  <c r="S137" i="14" s="1"/>
  <c r="S139" i="14" s="1"/>
  <c r="S231" i="14" s="1"/>
  <c r="R223" i="20"/>
  <c r="R291" i="20"/>
  <c r="R292" i="20" s="1"/>
  <c r="R268" i="20"/>
  <c r="L315" i="20"/>
  <c r="L320" i="20"/>
  <c r="N320" i="20"/>
  <c r="R177" i="20"/>
  <c r="S116" i="12" s="1"/>
  <c r="R180" i="20"/>
  <c r="R178" i="20"/>
  <c r="R179" i="20"/>
  <c r="R181" i="20"/>
  <c r="S170" i="20"/>
  <c r="S176" i="20" s="1"/>
  <c r="S172" i="20"/>
  <c r="S224" i="20" s="1"/>
  <c r="S174" i="20"/>
  <c r="S188" i="20" s="1"/>
  <c r="T137" i="12" s="1"/>
  <c r="S171" i="20"/>
  <c r="S173" i="20"/>
  <c r="S182" i="20" s="1"/>
  <c r="S144" i="19" s="1"/>
  <c r="T125" i="14" s="1"/>
  <c r="R183" i="20"/>
  <c r="S128" i="12" s="1"/>
  <c r="R184" i="20"/>
  <c r="R186" i="20"/>
  <c r="R187" i="20"/>
  <c r="R149" i="19" s="1"/>
  <c r="R185" i="20"/>
  <c r="R189" i="20"/>
  <c r="R190" i="20"/>
  <c r="R192" i="20"/>
  <c r="R191" i="20"/>
  <c r="R193" i="20"/>
  <c r="O245" i="19" l="1"/>
  <c r="AV40" i="55" s="1"/>
  <c r="O243" i="19"/>
  <c r="L157" i="14"/>
  <c r="AR28" i="58" s="1"/>
  <c r="Q284" i="20"/>
  <c r="Q285" i="20"/>
  <c r="Q289" i="20"/>
  <c r="R42" i="55" s="1"/>
  <c r="Q288" i="20"/>
  <c r="R41" i="55" s="1"/>
  <c r="Q286" i="20"/>
  <c r="R39" i="55" s="1"/>
  <c r="Q287" i="20"/>
  <c r="R40" i="55" s="1"/>
  <c r="DF38" i="55"/>
  <c r="DD42" i="55"/>
  <c r="O242" i="19"/>
  <c r="DD85" i="55"/>
  <c r="O247" i="19"/>
  <c r="AV42" i="55" s="1"/>
  <c r="DD65" i="55"/>
  <c r="DD63" i="55"/>
  <c r="DD39" i="55"/>
  <c r="DD88" i="55"/>
  <c r="DD40" i="55"/>
  <c r="DD64" i="55"/>
  <c r="DD86" i="55"/>
  <c r="DD84" i="55"/>
  <c r="DD61" i="55"/>
  <c r="DF87" i="55"/>
  <c r="DF63" i="55"/>
  <c r="DF86" i="55"/>
  <c r="DF61" i="55"/>
  <c r="DF88" i="55"/>
  <c r="DF85" i="55"/>
  <c r="DF84" i="55"/>
  <c r="DF65" i="55"/>
  <c r="DF64" i="55"/>
  <c r="DF62" i="55"/>
  <c r="DF40" i="55"/>
  <c r="DF41" i="55"/>
  <c r="DF42" i="55"/>
  <c r="DF39" i="55"/>
  <c r="DD87" i="55"/>
  <c r="DD41" i="55"/>
  <c r="P35" i="55"/>
  <c r="P38" i="55"/>
  <c r="M155" i="14"/>
  <c r="AS35" i="55"/>
  <c r="DE87" i="55" s="1"/>
  <c r="AS38" i="55"/>
  <c r="AX34" i="55"/>
  <c r="Q227" i="19"/>
  <c r="Q246" i="19" s="1"/>
  <c r="AX41" i="55" s="1"/>
  <c r="R269" i="20"/>
  <c r="S34" i="55"/>
  <c r="AW34" i="55"/>
  <c r="P227" i="19"/>
  <c r="P244" i="19" s="1"/>
  <c r="AW39" i="55" s="1"/>
  <c r="P155" i="14"/>
  <c r="O246" i="19"/>
  <c r="AV41" i="55" s="1"/>
  <c r="Q152" i="14"/>
  <c r="Q232" i="14"/>
  <c r="R143" i="14"/>
  <c r="R152" i="12"/>
  <c r="R152" i="19"/>
  <c r="S143" i="12"/>
  <c r="S147" i="12"/>
  <c r="S115" i="12"/>
  <c r="R146" i="19"/>
  <c r="S131" i="14" s="1"/>
  <c r="S127" i="14" s="1"/>
  <c r="S227" i="14" s="1"/>
  <c r="S131" i="12"/>
  <c r="S127" i="12" s="1"/>
  <c r="S227" i="12" s="1"/>
  <c r="R117" i="14"/>
  <c r="R150" i="14" s="1"/>
  <c r="R154" i="14"/>
  <c r="R229" i="14"/>
  <c r="R148" i="14"/>
  <c r="S147" i="14"/>
  <c r="S115" i="14"/>
  <c r="R140" i="19"/>
  <c r="S119" i="12"/>
  <c r="R119" i="14"/>
  <c r="Q233" i="14"/>
  <c r="Q234" i="14" s="1"/>
  <c r="R118" i="14"/>
  <c r="R151" i="14" s="1"/>
  <c r="R153" i="14"/>
  <c r="R229" i="12"/>
  <c r="R232" i="12" s="1"/>
  <c r="R225" i="12" a="1"/>
  <c r="R148" i="12"/>
  <c r="R169" i="12" s="1"/>
  <c r="T139" i="12"/>
  <c r="T231" i="12" s="1"/>
  <c r="T146" i="12"/>
  <c r="R149" i="14"/>
  <c r="S138" i="19"/>
  <c r="T113" i="14" s="1"/>
  <c r="T113" i="12"/>
  <c r="Q233" i="12"/>
  <c r="Q234" i="12" s="1"/>
  <c r="S146" i="14"/>
  <c r="R225" i="14" a="1"/>
  <c r="R227" i="14"/>
  <c r="P253" i="19"/>
  <c r="P256" i="19" s="1"/>
  <c r="P261" i="19" s="1"/>
  <c r="M163" i="12"/>
  <c r="M159" i="12" s="1"/>
  <c r="M161" i="12" s="1"/>
  <c r="O157" i="12"/>
  <c r="O28" i="58" s="1"/>
  <c r="K279" i="19"/>
  <c r="L165" i="14" s="1"/>
  <c r="L164" i="14"/>
  <c r="AR29" i="58" s="1"/>
  <c r="O162" i="14"/>
  <c r="O160" i="14" s="1"/>
  <c r="Q249" i="19"/>
  <c r="Q250" i="19" s="1"/>
  <c r="Q252" i="19" s="1"/>
  <c r="P155" i="12"/>
  <c r="N158" i="14"/>
  <c r="N162" i="14"/>
  <c r="N160" i="14" s="1"/>
  <c r="N157" i="14"/>
  <c r="AT28" i="58" s="1"/>
  <c r="N163" i="14"/>
  <c r="N159" i="14" s="1"/>
  <c r="S140" i="12"/>
  <c r="R182" i="19"/>
  <c r="R249" i="19" s="1"/>
  <c r="R250" i="19" s="1"/>
  <c r="O163" i="12"/>
  <c r="O159" i="12" s="1"/>
  <c r="S144" i="12"/>
  <c r="S142" i="12" s="1"/>
  <c r="S145" i="12"/>
  <c r="S141" i="12" s="1"/>
  <c r="O162" i="12"/>
  <c r="O160" i="12" s="1"/>
  <c r="K161" i="14"/>
  <c r="M279" i="19"/>
  <c r="N165" i="14" s="1"/>
  <c r="N164" i="14"/>
  <c r="AT29" i="58" s="1"/>
  <c r="R150" i="12"/>
  <c r="N321" i="20"/>
  <c r="O164" i="12"/>
  <c r="O29" i="58" s="1"/>
  <c r="L321" i="20"/>
  <c r="M164" i="12"/>
  <c r="M29" i="58" s="1"/>
  <c r="M321" i="20"/>
  <c r="N164" i="12"/>
  <c r="N29" i="58" s="1"/>
  <c r="O315" i="20"/>
  <c r="P156" i="12"/>
  <c r="R145" i="19"/>
  <c r="S128" i="14" s="1"/>
  <c r="R148" i="19"/>
  <c r="S133" i="14" s="1"/>
  <c r="S129" i="14" s="1"/>
  <c r="S133" i="12"/>
  <c r="S129" i="12" s="1"/>
  <c r="R151" i="12"/>
  <c r="R153" i="12"/>
  <c r="R154" i="12"/>
  <c r="R147" i="19"/>
  <c r="S132" i="14" s="1"/>
  <c r="S130" i="14" s="1"/>
  <c r="S132" i="12"/>
  <c r="S130" i="12" s="1"/>
  <c r="R149" i="12"/>
  <c r="N158" i="12"/>
  <c r="N162" i="12"/>
  <c r="N160" i="12" s="1"/>
  <c r="N157" i="12"/>
  <c r="N28" i="58" s="1"/>
  <c r="N163" i="12"/>
  <c r="N159" i="12" s="1"/>
  <c r="R139" i="19"/>
  <c r="S116" i="14" s="1"/>
  <c r="R155" i="19"/>
  <c r="R141" i="19"/>
  <c r="S120" i="14" s="1"/>
  <c r="S120" i="12"/>
  <c r="S118" i="12" s="1"/>
  <c r="R151" i="19"/>
  <c r="S140" i="14" s="1"/>
  <c r="R153" i="19"/>
  <c r="S144" i="14" s="1"/>
  <c r="S142" i="14" s="1"/>
  <c r="R154" i="19"/>
  <c r="S145" i="14" s="1"/>
  <c r="S141" i="14" s="1"/>
  <c r="R143" i="19"/>
  <c r="R142" i="19"/>
  <c r="S121" i="14" s="1"/>
  <c r="S121" i="12"/>
  <c r="S117" i="12" s="1"/>
  <c r="L273" i="19"/>
  <c r="L278" i="19"/>
  <c r="R295" i="20"/>
  <c r="R296" i="20" s="1"/>
  <c r="R297" i="20" s="1"/>
  <c r="R299" i="20" s="1"/>
  <c r="R294" i="20"/>
  <c r="Q296" i="20"/>
  <c r="Q297" i="20" s="1"/>
  <c r="Q299" i="20" s="1"/>
  <c r="N269" i="19"/>
  <c r="DG35" i="55" s="1"/>
  <c r="Q298" i="20"/>
  <c r="Q303" i="20" s="1"/>
  <c r="Q304" i="20" s="1"/>
  <c r="O271" i="19"/>
  <c r="P156" i="14" s="1"/>
  <c r="P158" i="14" s="1"/>
  <c r="P303" i="20"/>
  <c r="P304" i="20" s="1"/>
  <c r="P311" i="20" s="1"/>
  <c r="S291" i="20"/>
  <c r="S292" i="20" s="1"/>
  <c r="S268" i="20"/>
  <c r="S150" i="19"/>
  <c r="T137" i="14" s="1"/>
  <c r="T139" i="14" s="1"/>
  <c r="T231" i="14" s="1"/>
  <c r="S223" i="20"/>
  <c r="O320" i="20"/>
  <c r="S183" i="20"/>
  <c r="T128" i="12" s="1"/>
  <c r="S185" i="20"/>
  <c r="S184" i="20"/>
  <c r="S187" i="20"/>
  <c r="S149" i="19" s="1"/>
  <c r="S186" i="20"/>
  <c r="S189" i="20"/>
  <c r="S190" i="20"/>
  <c r="S193" i="20"/>
  <c r="S191" i="20"/>
  <c r="S192" i="20"/>
  <c r="S177" i="20"/>
  <c r="T116" i="12" s="1"/>
  <c r="S181" i="20"/>
  <c r="S179" i="20"/>
  <c r="S180" i="20"/>
  <c r="S178" i="20"/>
  <c r="T170" i="20"/>
  <c r="T176" i="20" s="1"/>
  <c r="T172" i="20"/>
  <c r="T224" i="20" s="1"/>
  <c r="T174" i="20"/>
  <c r="T188" i="20" s="1"/>
  <c r="U137" i="12" s="1"/>
  <c r="T171" i="20"/>
  <c r="T173" i="20"/>
  <c r="T182" i="20" s="1"/>
  <c r="T144" i="19" s="1"/>
  <c r="U125" i="14" s="1"/>
  <c r="DE38" i="55" l="1"/>
  <c r="L161" i="14"/>
  <c r="M157" i="14"/>
  <c r="AS28" i="58" s="1"/>
  <c r="M163" i="14"/>
  <c r="M159" i="14" s="1"/>
  <c r="P246" i="19"/>
  <c r="AW41" i="55" s="1"/>
  <c r="P242" i="19"/>
  <c r="P247" i="19"/>
  <c r="AW42" i="55" s="1"/>
  <c r="P245" i="19"/>
  <c r="AW40" i="55" s="1"/>
  <c r="Q244" i="19"/>
  <c r="AX39" i="55" s="1"/>
  <c r="R284" i="20"/>
  <c r="R285" i="20"/>
  <c r="R289" i="20"/>
  <c r="S42" i="55" s="1"/>
  <c r="R287" i="20"/>
  <c r="S40" i="55" s="1"/>
  <c r="R286" i="20"/>
  <c r="S39" i="55" s="1"/>
  <c r="R288" i="20"/>
  <c r="S41" i="55" s="1"/>
  <c r="P243" i="19"/>
  <c r="DE42" i="55"/>
  <c r="Q242" i="19"/>
  <c r="Q247" i="19"/>
  <c r="AX42" i="55" s="1"/>
  <c r="DE85" i="55"/>
  <c r="DE41" i="55"/>
  <c r="Q243" i="19"/>
  <c r="DE61" i="55"/>
  <c r="Q245" i="19"/>
  <c r="AX40" i="55" s="1"/>
  <c r="DE88" i="55"/>
  <c r="DE39" i="55"/>
  <c r="DE63" i="55"/>
  <c r="DH35" i="55"/>
  <c r="DE40" i="55"/>
  <c r="DE86" i="55"/>
  <c r="DE64" i="55"/>
  <c r="DE65" i="55"/>
  <c r="DE84" i="55"/>
  <c r="DE62" i="55"/>
  <c r="O155" i="14"/>
  <c r="O157" i="14" s="1"/>
  <c r="AU28" i="58" s="1"/>
  <c r="AU35" i="55"/>
  <c r="DG88" i="55" s="1"/>
  <c r="AU38" i="55"/>
  <c r="DG38" i="55" s="1"/>
  <c r="AV38" i="55"/>
  <c r="S269" i="20"/>
  <c r="S286" i="20" s="1"/>
  <c r="T39" i="55" s="1"/>
  <c r="T34" i="55"/>
  <c r="AV35" i="55"/>
  <c r="R233" i="12"/>
  <c r="R234" i="12" s="1"/>
  <c r="P254" i="19"/>
  <c r="P255" i="19" s="1"/>
  <c r="P257" i="19" s="1"/>
  <c r="R217" i="19"/>
  <c r="Q253" i="19"/>
  <c r="Q256" i="19" s="1"/>
  <c r="R232" i="14"/>
  <c r="R152" i="14"/>
  <c r="S152" i="12"/>
  <c r="R233" i="14"/>
  <c r="R234" i="14" s="1"/>
  <c r="T146" i="14"/>
  <c r="S229" i="14"/>
  <c r="S232" i="14" s="1"/>
  <c r="S225" i="14" a="1"/>
  <c r="S148" i="14"/>
  <c r="S229" i="12"/>
  <c r="S232" i="12" s="1"/>
  <c r="S225" i="12" a="1"/>
  <c r="S148" i="12"/>
  <c r="S169" i="12" s="1"/>
  <c r="S140" i="19"/>
  <c r="T119" i="12"/>
  <c r="S152" i="19"/>
  <c r="T143" i="12"/>
  <c r="S146" i="19"/>
  <c r="T131" i="14" s="1"/>
  <c r="T127" i="14" s="1"/>
  <c r="T227" i="14" s="1"/>
  <c r="T131" i="12"/>
  <c r="T127" i="12" s="1"/>
  <c r="T227" i="12" s="1"/>
  <c r="S118" i="14"/>
  <c r="S151" i="14" s="1"/>
  <c r="S153" i="14"/>
  <c r="T138" i="19"/>
  <c r="U113" i="14" s="1"/>
  <c r="U113" i="12"/>
  <c r="U139" i="12"/>
  <c r="U231" i="12" s="1"/>
  <c r="U146" i="12"/>
  <c r="T147" i="12"/>
  <c r="T115" i="12"/>
  <c r="S117" i="14"/>
  <c r="S150" i="14" s="1"/>
  <c r="S154" i="14"/>
  <c r="S149" i="14"/>
  <c r="T147" i="14"/>
  <c r="T115" i="14"/>
  <c r="S119" i="14"/>
  <c r="S143" i="14"/>
  <c r="R226" i="19"/>
  <c r="DK34" i="55" s="1"/>
  <c r="P157" i="12"/>
  <c r="P28" i="58" s="1"/>
  <c r="O161" i="12"/>
  <c r="P162" i="14"/>
  <c r="P160" i="14" s="1"/>
  <c r="P163" i="14"/>
  <c r="P159" i="14" s="1"/>
  <c r="Q155" i="12"/>
  <c r="M165" i="12"/>
  <c r="T145" i="12"/>
  <c r="T141" i="12" s="1"/>
  <c r="T140" i="12"/>
  <c r="S182" i="19"/>
  <c r="S226" i="19" s="1"/>
  <c r="DL34" i="55" s="1"/>
  <c r="T144" i="12"/>
  <c r="T142" i="12" s="1"/>
  <c r="L279" i="19"/>
  <c r="M165" i="14" s="1"/>
  <c r="M164" i="14"/>
  <c r="AS29" i="58" s="1"/>
  <c r="N165" i="12"/>
  <c r="O165" i="12"/>
  <c r="Q217" i="19"/>
  <c r="N161" i="14"/>
  <c r="P157" i="14"/>
  <c r="AV28" i="58" s="1"/>
  <c r="O321" i="20"/>
  <c r="P164" i="12"/>
  <c r="P29" i="58" s="1"/>
  <c r="N161" i="12"/>
  <c r="S151" i="12"/>
  <c r="S153" i="12"/>
  <c r="P162" i="12"/>
  <c r="P160" i="12" s="1"/>
  <c r="P158" i="12"/>
  <c r="S148" i="19"/>
  <c r="T133" i="14" s="1"/>
  <c r="T129" i="14" s="1"/>
  <c r="T133" i="12"/>
  <c r="T129" i="12" s="1"/>
  <c r="S150" i="12"/>
  <c r="S154" i="12"/>
  <c r="S145" i="19"/>
  <c r="T128" i="14" s="1"/>
  <c r="S147" i="19"/>
  <c r="T132" i="14" s="1"/>
  <c r="T130" i="14" s="1"/>
  <c r="T132" i="12"/>
  <c r="T130" i="12" s="1"/>
  <c r="S149" i="12"/>
  <c r="P163" i="12"/>
  <c r="P159" i="12" s="1"/>
  <c r="S139" i="19"/>
  <c r="T116" i="14" s="1"/>
  <c r="S151" i="19"/>
  <c r="T140" i="14" s="1"/>
  <c r="S141" i="19"/>
  <c r="T120" i="14" s="1"/>
  <c r="T120" i="12"/>
  <c r="T118" i="12" s="1"/>
  <c r="S154" i="19"/>
  <c r="T145" i="14" s="1"/>
  <c r="T141" i="14" s="1"/>
  <c r="S153" i="19"/>
  <c r="T144" i="14" s="1"/>
  <c r="T142" i="14" s="1"/>
  <c r="S155" i="19"/>
  <c r="S143" i="19"/>
  <c r="S142" i="19"/>
  <c r="T121" i="14" s="1"/>
  <c r="T121" i="12"/>
  <c r="T117" i="12" s="1"/>
  <c r="R298" i="20"/>
  <c r="R303" i="20" s="1"/>
  <c r="R304" i="20" s="1"/>
  <c r="O273" i="19"/>
  <c r="O278" i="19"/>
  <c r="N273" i="19"/>
  <c r="N278" i="19"/>
  <c r="R253" i="19"/>
  <c r="R252" i="19"/>
  <c r="S295" i="20"/>
  <c r="S296" i="20" s="1"/>
  <c r="S297" i="20" s="1"/>
  <c r="S299" i="20" s="1"/>
  <c r="S294" i="20"/>
  <c r="P262" i="19"/>
  <c r="P271" i="19" s="1"/>
  <c r="Q156" i="14" s="1"/>
  <c r="Q158" i="14" s="1"/>
  <c r="P313" i="20"/>
  <c r="Q35" i="55" s="1"/>
  <c r="T291" i="20"/>
  <c r="T292" i="20" s="1"/>
  <c r="T268" i="20"/>
  <c r="T150" i="19"/>
  <c r="U137" i="14" s="1"/>
  <c r="U139" i="14" s="1"/>
  <c r="U231" i="14" s="1"/>
  <c r="T223" i="20"/>
  <c r="Q311" i="20"/>
  <c r="U171" i="20"/>
  <c r="U173" i="20"/>
  <c r="U182" i="20" s="1"/>
  <c r="U144" i="19" s="1"/>
  <c r="V125" i="14" s="1"/>
  <c r="U170" i="20"/>
  <c r="U176" i="20" s="1"/>
  <c r="U172" i="20"/>
  <c r="U224" i="20" s="1"/>
  <c r="U174" i="20"/>
  <c r="U188" i="20" s="1"/>
  <c r="V137" i="12" s="1"/>
  <c r="T183" i="20"/>
  <c r="U128" i="12" s="1"/>
  <c r="T187" i="20"/>
  <c r="T149" i="19" s="1"/>
  <c r="T184" i="20"/>
  <c r="T186" i="20"/>
  <c r="T185" i="20"/>
  <c r="T178" i="20"/>
  <c r="T177" i="20"/>
  <c r="U116" i="12" s="1"/>
  <c r="T181" i="20"/>
  <c r="T180" i="20"/>
  <c r="T179" i="20"/>
  <c r="T189" i="20"/>
  <c r="T190" i="20"/>
  <c r="T191" i="20"/>
  <c r="T192" i="20"/>
  <c r="T193" i="20"/>
  <c r="O163" i="14" l="1"/>
  <c r="O159" i="14" s="1"/>
  <c r="M161" i="14"/>
  <c r="S285" i="20"/>
  <c r="S287" i="20"/>
  <c r="T40" i="55" s="1"/>
  <c r="S289" i="20"/>
  <c r="T42" i="55" s="1"/>
  <c r="S284" i="20"/>
  <c r="S288" i="20"/>
  <c r="T41" i="55" s="1"/>
  <c r="DH41" i="55"/>
  <c r="DG61" i="55"/>
  <c r="DH38" i="55"/>
  <c r="DG87" i="55"/>
  <c r="DG40" i="55"/>
  <c r="DG86" i="55"/>
  <c r="DG39" i="55"/>
  <c r="DG65" i="55"/>
  <c r="DH85" i="55"/>
  <c r="DH84" i="55"/>
  <c r="DH65" i="55"/>
  <c r="DH63" i="55"/>
  <c r="DH62" i="55"/>
  <c r="DH88" i="55"/>
  <c r="DH64" i="55"/>
  <c r="DH86" i="55"/>
  <c r="DH61" i="55"/>
  <c r="DH87" i="55"/>
  <c r="DH40" i="55"/>
  <c r="DH42" i="55"/>
  <c r="DH39" i="55"/>
  <c r="DG42" i="55"/>
  <c r="DG85" i="55"/>
  <c r="DG64" i="55"/>
  <c r="DG63" i="55"/>
  <c r="DG84" i="55"/>
  <c r="DG62" i="55"/>
  <c r="DG41" i="55"/>
  <c r="T269" i="20"/>
  <c r="T284" i="20" s="1"/>
  <c r="U34" i="55"/>
  <c r="AZ34" i="55"/>
  <c r="S227" i="19"/>
  <c r="S243" i="19" s="1"/>
  <c r="Q38" i="55"/>
  <c r="AY34" i="55"/>
  <c r="R227" i="19"/>
  <c r="R245" i="19" s="1"/>
  <c r="AY40" i="55" s="1"/>
  <c r="Q254" i="19"/>
  <c r="Q255" i="19" s="1"/>
  <c r="Q257" i="19" s="1"/>
  <c r="Q219" i="19"/>
  <c r="Q221" i="19"/>
  <c r="Q223" i="19"/>
  <c r="Q222" i="19"/>
  <c r="Q220" i="19"/>
  <c r="Q218" i="19"/>
  <c r="R222" i="19"/>
  <c r="R219" i="19"/>
  <c r="R221" i="19"/>
  <c r="R223" i="19"/>
  <c r="R220" i="19"/>
  <c r="R218" i="19"/>
  <c r="S233" i="12"/>
  <c r="S234" i="12" s="1"/>
  <c r="S233" i="14"/>
  <c r="S234" i="14" s="1"/>
  <c r="T140" i="19"/>
  <c r="U119" i="12"/>
  <c r="U138" i="19"/>
  <c r="V113" i="14" s="1"/>
  <c r="V113" i="12"/>
  <c r="T118" i="14"/>
  <c r="T151" i="14" s="1"/>
  <c r="T153" i="14"/>
  <c r="T143" i="14"/>
  <c r="T229" i="12"/>
  <c r="T232" i="12" s="1"/>
  <c r="T148" i="12"/>
  <c r="T169" i="12" s="1"/>
  <c r="T225" i="12" a="1"/>
  <c r="U147" i="12"/>
  <c r="U115" i="12"/>
  <c r="T152" i="12"/>
  <c r="T152" i="19"/>
  <c r="U143" i="12"/>
  <c r="V146" i="12"/>
  <c r="V139" i="12"/>
  <c r="V231" i="12" s="1"/>
  <c r="T117" i="14"/>
  <c r="T150" i="14" s="1"/>
  <c r="T154" i="14"/>
  <c r="T149" i="14"/>
  <c r="S152" i="14"/>
  <c r="U147" i="14"/>
  <c r="U115" i="14"/>
  <c r="T119" i="14"/>
  <c r="T146" i="19"/>
  <c r="U131" i="14" s="1"/>
  <c r="U127" i="14" s="1"/>
  <c r="U227" i="14" s="1"/>
  <c r="U131" i="12"/>
  <c r="U127" i="12" s="1"/>
  <c r="U227" i="12" s="1"/>
  <c r="T148" i="14"/>
  <c r="T229" i="14"/>
  <c r="T232" i="14" s="1"/>
  <c r="T225" i="14" a="1"/>
  <c r="U146" i="14"/>
  <c r="S249" i="19"/>
  <c r="S250" i="19" s="1"/>
  <c r="S253" i="19" s="1"/>
  <c r="S256" i="19" s="1"/>
  <c r="S217" i="19"/>
  <c r="P161" i="14"/>
  <c r="P165" i="12"/>
  <c r="R155" i="12"/>
  <c r="U145" i="12"/>
  <c r="U141" i="12" s="1"/>
  <c r="Q162" i="14"/>
  <c r="Q160" i="14" s="1"/>
  <c r="U140" i="12"/>
  <c r="O279" i="19"/>
  <c r="P165" i="14" s="1"/>
  <c r="P164" i="14"/>
  <c r="AV29" i="58" s="1"/>
  <c r="U144" i="12"/>
  <c r="U142" i="12" s="1"/>
  <c r="T182" i="19"/>
  <c r="T217" i="19" s="1"/>
  <c r="N279" i="19"/>
  <c r="O165" i="14" s="1"/>
  <c r="O164" i="14"/>
  <c r="AU29" i="58" s="1"/>
  <c r="P161" i="12"/>
  <c r="T148" i="19"/>
  <c r="U133" i="14" s="1"/>
  <c r="U129" i="14" s="1"/>
  <c r="U133" i="12"/>
  <c r="U129" i="12" s="1"/>
  <c r="P315" i="20"/>
  <c r="Q156" i="12"/>
  <c r="T150" i="12"/>
  <c r="T154" i="12"/>
  <c r="T151" i="12"/>
  <c r="T153" i="12"/>
  <c r="T147" i="19"/>
  <c r="U132" i="14" s="1"/>
  <c r="U130" i="14" s="1"/>
  <c r="U132" i="12"/>
  <c r="U130" i="12" s="1"/>
  <c r="T145" i="19"/>
  <c r="U128" i="14" s="1"/>
  <c r="T149" i="12"/>
  <c r="T154" i="19"/>
  <c r="U145" i="14" s="1"/>
  <c r="U141" i="14" s="1"/>
  <c r="T141" i="19"/>
  <c r="U120" i="14" s="1"/>
  <c r="U120" i="12"/>
  <c r="U118" i="12" s="1"/>
  <c r="T153" i="19"/>
  <c r="U144" i="14" s="1"/>
  <c r="U142" i="14" s="1"/>
  <c r="T155" i="19"/>
  <c r="T151" i="19"/>
  <c r="U140" i="14" s="1"/>
  <c r="T139" i="19"/>
  <c r="U116" i="14" s="1"/>
  <c r="T143" i="19"/>
  <c r="T142" i="19"/>
  <c r="U121" i="14" s="1"/>
  <c r="U121" i="12"/>
  <c r="U117" i="12" s="1"/>
  <c r="P269" i="19"/>
  <c r="DI35" i="55" s="1"/>
  <c r="R311" i="20"/>
  <c r="P320" i="20"/>
  <c r="Q261" i="19"/>
  <c r="Q262" i="19" s="1"/>
  <c r="Q269" i="19" s="1"/>
  <c r="R254" i="19"/>
  <c r="R255" i="19" s="1"/>
  <c r="R257" i="19" s="1"/>
  <c r="T295" i="20"/>
  <c r="T296" i="20" s="1"/>
  <c r="T297" i="20" s="1"/>
  <c r="T299" i="20" s="1"/>
  <c r="T294" i="20"/>
  <c r="S298" i="20"/>
  <c r="R256" i="19"/>
  <c r="U150" i="19"/>
  <c r="V137" i="14" s="1"/>
  <c r="V139" i="14" s="1"/>
  <c r="V231" i="14" s="1"/>
  <c r="U223" i="20"/>
  <c r="U268" i="20"/>
  <c r="U291" i="20"/>
  <c r="U292" i="20" s="1"/>
  <c r="R313" i="20"/>
  <c r="Q313" i="20"/>
  <c r="R35" i="55" s="1"/>
  <c r="U177" i="20"/>
  <c r="V116" i="12" s="1"/>
  <c r="U181" i="20"/>
  <c r="U179" i="20"/>
  <c r="U180" i="20"/>
  <c r="U178" i="20"/>
  <c r="U184" i="20"/>
  <c r="U185" i="20"/>
  <c r="U186" i="20"/>
  <c r="U183" i="20"/>
  <c r="V128" i="12" s="1"/>
  <c r="U187" i="20"/>
  <c r="U149" i="19" s="1"/>
  <c r="V171" i="20"/>
  <c r="V173" i="20"/>
  <c r="V182" i="20" s="1"/>
  <c r="V144" i="19" s="1"/>
  <c r="W125" i="14" s="1"/>
  <c r="V170" i="20"/>
  <c r="V176" i="20" s="1"/>
  <c r="V172" i="20"/>
  <c r="V224" i="20" s="1"/>
  <c r="V174" i="20"/>
  <c r="V188" i="20" s="1"/>
  <c r="W137" i="12" s="1"/>
  <c r="U191" i="20"/>
  <c r="U192" i="20"/>
  <c r="U189" i="20"/>
  <c r="U190" i="20"/>
  <c r="U193" i="20"/>
  <c r="O161" i="14" l="1"/>
  <c r="T285" i="20"/>
  <c r="T286" i="20"/>
  <c r="U39" i="55" s="1"/>
  <c r="S246" i="19"/>
  <c r="AZ41" i="55" s="1"/>
  <c r="R244" i="19"/>
  <c r="AY39" i="55" s="1"/>
  <c r="R242" i="19"/>
  <c r="R243" i="19"/>
  <c r="S244" i="19"/>
  <c r="AZ39" i="55" s="1"/>
  <c r="T288" i="20"/>
  <c r="U41" i="55" s="1"/>
  <c r="S242" i="19"/>
  <c r="S247" i="19"/>
  <c r="AZ42" i="55" s="1"/>
  <c r="T289" i="20"/>
  <c r="U42" i="55" s="1"/>
  <c r="S245" i="19"/>
  <c r="AZ40" i="55" s="1"/>
  <c r="T287" i="20"/>
  <c r="U40" i="55" s="1"/>
  <c r="R247" i="19"/>
  <c r="AY42" i="55" s="1"/>
  <c r="R246" i="19"/>
  <c r="AY41" i="55" s="1"/>
  <c r="R155" i="14"/>
  <c r="U269" i="20"/>
  <c r="U284" i="20" s="1"/>
  <c r="V34" i="55"/>
  <c r="S35" i="55"/>
  <c r="S38" i="55"/>
  <c r="AW35" i="55"/>
  <c r="DI85" i="55" s="1"/>
  <c r="AW38" i="55"/>
  <c r="DI38" i="55" s="1"/>
  <c r="R38" i="55"/>
  <c r="S220" i="19"/>
  <c r="S222" i="19"/>
  <c r="S218" i="19"/>
  <c r="S219" i="19"/>
  <c r="S223" i="19"/>
  <c r="S221" i="19"/>
  <c r="T219" i="19"/>
  <c r="T223" i="19"/>
  <c r="T220" i="19"/>
  <c r="T222" i="19"/>
  <c r="T218" i="19"/>
  <c r="T221" i="19"/>
  <c r="T226" i="19"/>
  <c r="DM34" i="55" s="1"/>
  <c r="S252" i="19"/>
  <c r="T249" i="19"/>
  <c r="T250" i="19" s="1"/>
  <c r="T253" i="19" s="1"/>
  <c r="T256" i="19" s="1"/>
  <c r="T152" i="14"/>
  <c r="U140" i="19"/>
  <c r="V119" i="12"/>
  <c r="V146" i="14"/>
  <c r="V147" i="12"/>
  <c r="V115" i="12"/>
  <c r="U152" i="19"/>
  <c r="V143" i="12"/>
  <c r="W139" i="12"/>
  <c r="W231" i="12" s="1"/>
  <c r="W146" i="12"/>
  <c r="U117" i="14"/>
  <c r="U150" i="14" s="1"/>
  <c r="U154" i="14"/>
  <c r="V147" i="14"/>
  <c r="V115" i="14"/>
  <c r="V138" i="19"/>
  <c r="W113" i="14" s="1"/>
  <c r="W113" i="12"/>
  <c r="U118" i="14"/>
  <c r="U151" i="14" s="1"/>
  <c r="U153" i="14"/>
  <c r="U146" i="19"/>
  <c r="V131" i="14" s="1"/>
  <c r="V127" i="14" s="1"/>
  <c r="V227" i="14" s="1"/>
  <c r="V131" i="12"/>
  <c r="V127" i="12" s="1"/>
  <c r="V227" i="12" s="1"/>
  <c r="U229" i="14"/>
  <c r="U232" i="14" s="1"/>
  <c r="U225" i="14" a="1"/>
  <c r="U148" i="14"/>
  <c r="T233" i="12"/>
  <c r="T234" i="12" s="1"/>
  <c r="U152" i="12"/>
  <c r="U149" i="14"/>
  <c r="T233" i="14"/>
  <c r="T234" i="14" s="1"/>
  <c r="U143" i="14"/>
  <c r="U229" i="12"/>
  <c r="U232" i="12" s="1"/>
  <c r="U225" i="12" a="1"/>
  <c r="U148" i="12"/>
  <c r="U169" i="12" s="1"/>
  <c r="U119" i="14"/>
  <c r="V144" i="12"/>
  <c r="V142" i="12" s="1"/>
  <c r="V145" i="12"/>
  <c r="V141" i="12" s="1"/>
  <c r="S156" i="12"/>
  <c r="S158" i="12" s="1"/>
  <c r="U182" i="19"/>
  <c r="U226" i="19" s="1"/>
  <c r="DN34" i="55" s="1"/>
  <c r="P273" i="19"/>
  <c r="Q155" i="14"/>
  <c r="V140" i="12"/>
  <c r="S155" i="12"/>
  <c r="P278" i="19"/>
  <c r="U150" i="12"/>
  <c r="P321" i="20"/>
  <c r="Q164" i="12"/>
  <c r="Q29" i="58" s="1"/>
  <c r="Q158" i="12"/>
  <c r="Q162" i="12"/>
  <c r="Q160" i="12" s="1"/>
  <c r="Q163" i="12"/>
  <c r="Q159" i="12" s="1"/>
  <c r="Q157" i="12"/>
  <c r="Q28" i="58" s="1"/>
  <c r="U151" i="12"/>
  <c r="U153" i="12"/>
  <c r="U147" i="19"/>
  <c r="V132" i="14" s="1"/>
  <c r="V130" i="14" s="1"/>
  <c r="V132" i="12"/>
  <c r="V130" i="12" s="1"/>
  <c r="U145" i="19"/>
  <c r="V128" i="14" s="1"/>
  <c r="U149" i="12"/>
  <c r="Q315" i="20"/>
  <c r="R156" i="12"/>
  <c r="U148" i="19"/>
  <c r="V133" i="14" s="1"/>
  <c r="V129" i="14" s="1"/>
  <c r="V133" i="12"/>
  <c r="V129" i="12" s="1"/>
  <c r="U154" i="12"/>
  <c r="U139" i="19"/>
  <c r="V116" i="14" s="1"/>
  <c r="U151" i="19"/>
  <c r="V140" i="14" s="1"/>
  <c r="U154" i="19"/>
  <c r="V145" i="14" s="1"/>
  <c r="V141" i="14" s="1"/>
  <c r="U153" i="19"/>
  <c r="V144" i="14" s="1"/>
  <c r="V142" i="14" s="1"/>
  <c r="U155" i="19"/>
  <c r="U141" i="19"/>
  <c r="V120" i="14" s="1"/>
  <c r="V120" i="12"/>
  <c r="V118" i="12" s="1"/>
  <c r="U143" i="19"/>
  <c r="U142" i="19"/>
  <c r="V121" i="14" s="1"/>
  <c r="V121" i="12"/>
  <c r="V117" i="12" s="1"/>
  <c r="R315" i="20"/>
  <c r="T298" i="20"/>
  <c r="T303" i="20" s="1"/>
  <c r="T304" i="20" s="1"/>
  <c r="R261" i="19"/>
  <c r="R262" i="19" s="1"/>
  <c r="R269" i="19" s="1"/>
  <c r="S254" i="19"/>
  <c r="S255" i="19" s="1"/>
  <c r="S257" i="19" s="1"/>
  <c r="S261" i="19"/>
  <c r="U295" i="20"/>
  <c r="U296" i="20" s="1"/>
  <c r="U297" i="20" s="1"/>
  <c r="U299" i="20" s="1"/>
  <c r="U294" i="20"/>
  <c r="S303" i="20"/>
  <c r="Q271" i="19"/>
  <c r="AX35" i="55" s="1"/>
  <c r="V150" i="19"/>
  <c r="W137" i="14" s="1"/>
  <c r="W139" i="14" s="1"/>
  <c r="W231" i="14" s="1"/>
  <c r="V223" i="20"/>
  <c r="V268" i="20"/>
  <c r="V291" i="20"/>
  <c r="V292" i="20" s="1"/>
  <c r="Q320" i="20"/>
  <c r="R320" i="20"/>
  <c r="W170" i="20"/>
  <c r="W176" i="20" s="1"/>
  <c r="W172" i="20"/>
  <c r="W224" i="20" s="1"/>
  <c r="W174" i="20"/>
  <c r="W188" i="20" s="1"/>
  <c r="X137" i="12" s="1"/>
  <c r="W171" i="20"/>
  <c r="W173" i="20"/>
  <c r="W182" i="20" s="1"/>
  <c r="W144" i="19" s="1"/>
  <c r="X125" i="14" s="1"/>
  <c r="V177" i="20"/>
  <c r="W116" i="12" s="1"/>
  <c r="V178" i="20"/>
  <c r="V180" i="20"/>
  <c r="V179" i="20"/>
  <c r="V181" i="20"/>
  <c r="V183" i="20"/>
  <c r="W128" i="12" s="1"/>
  <c r="V186" i="20"/>
  <c r="V184" i="20"/>
  <c r="V187" i="20"/>
  <c r="V149" i="19" s="1"/>
  <c r="V185" i="20"/>
  <c r="V189" i="20"/>
  <c r="V192" i="20"/>
  <c r="V190" i="20"/>
  <c r="V191" i="20"/>
  <c r="V193" i="20"/>
  <c r="U288" i="20" l="1"/>
  <c r="V41" i="55" s="1"/>
  <c r="U285" i="20"/>
  <c r="U289" i="20"/>
  <c r="V42" i="55" s="1"/>
  <c r="U287" i="20"/>
  <c r="V40" i="55" s="1"/>
  <c r="U286" i="20"/>
  <c r="V39" i="55" s="1"/>
  <c r="DI42" i="55"/>
  <c r="DI86" i="55"/>
  <c r="DJ35" i="55"/>
  <c r="DI41" i="55"/>
  <c r="DI61" i="55"/>
  <c r="DI40" i="55"/>
  <c r="DI88" i="55"/>
  <c r="DI62" i="55"/>
  <c r="DI65" i="55"/>
  <c r="DI64" i="55"/>
  <c r="DI87" i="55"/>
  <c r="DI63" i="55"/>
  <c r="DI84" i="55"/>
  <c r="DI39" i="55"/>
  <c r="V269" i="20"/>
  <c r="V287" i="20" s="1"/>
  <c r="W40" i="55" s="1"/>
  <c r="W34" i="55"/>
  <c r="S155" i="14"/>
  <c r="BA34" i="55"/>
  <c r="T227" i="19"/>
  <c r="T245" i="19" s="1"/>
  <c r="BA40" i="55" s="1"/>
  <c r="AX38" i="55"/>
  <c r="BB34" i="55"/>
  <c r="U227" i="19"/>
  <c r="T252" i="19"/>
  <c r="U233" i="12"/>
  <c r="U234" i="12" s="1"/>
  <c r="U233" i="14"/>
  <c r="U234" i="14" s="1"/>
  <c r="W146" i="14"/>
  <c r="S157" i="12"/>
  <c r="S28" i="58" s="1"/>
  <c r="U152" i="14"/>
  <c r="V140" i="19"/>
  <c r="W119" i="12"/>
  <c r="V118" i="14"/>
  <c r="V151" i="14" s="1"/>
  <c r="V153" i="14"/>
  <c r="V149" i="14"/>
  <c r="W147" i="12"/>
  <c r="W115" i="12"/>
  <c r="V146" i="19"/>
  <c r="W131" i="14" s="1"/>
  <c r="W127" i="14" s="1"/>
  <c r="W227" i="14" s="1"/>
  <c r="W131" i="12"/>
  <c r="W127" i="12" s="1"/>
  <c r="W227" i="12" s="1"/>
  <c r="W147" i="14"/>
  <c r="W115" i="14"/>
  <c r="V143" i="14"/>
  <c r="V152" i="12"/>
  <c r="X146" i="12"/>
  <c r="X139" i="12"/>
  <c r="X231" i="12" s="1"/>
  <c r="V152" i="19"/>
  <c r="W143" i="12"/>
  <c r="V117" i="14"/>
  <c r="V150" i="14" s="1"/>
  <c r="V154" i="14"/>
  <c r="W138" i="19"/>
  <c r="X113" i="14" s="1"/>
  <c r="X113" i="12"/>
  <c r="V229" i="14"/>
  <c r="V232" i="14" s="1"/>
  <c r="V225" i="14" a="1"/>
  <c r="V148" i="14"/>
  <c r="V229" i="12"/>
  <c r="V232" i="12" s="1"/>
  <c r="V148" i="12"/>
  <c r="V169" i="12" s="1"/>
  <c r="V225" i="12" a="1"/>
  <c r="V119" i="14"/>
  <c r="U249" i="19"/>
  <c r="U250" i="19" s="1"/>
  <c r="U252" i="19" s="1"/>
  <c r="U217" i="19"/>
  <c r="S163" i="12"/>
  <c r="S159" i="12" s="1"/>
  <c r="S162" i="12"/>
  <c r="S160" i="12" s="1"/>
  <c r="Q278" i="19"/>
  <c r="R156" i="14"/>
  <c r="P279" i="19"/>
  <c r="Q165" i="14" s="1"/>
  <c r="Q164" i="14"/>
  <c r="AW29" i="58" s="1"/>
  <c r="W140" i="12"/>
  <c r="Q165" i="12"/>
  <c r="Q157" i="14"/>
  <c r="AW28" i="58" s="1"/>
  <c r="Q163" i="14"/>
  <c r="Q159" i="14" s="1"/>
  <c r="W144" i="12"/>
  <c r="W142" i="12" s="1"/>
  <c r="W145" i="12"/>
  <c r="W141" i="12" s="1"/>
  <c r="V182" i="19"/>
  <c r="V249" i="19" s="1"/>
  <c r="V250" i="19" s="1"/>
  <c r="R321" i="20"/>
  <c r="S164" i="12"/>
  <c r="S29" i="58" s="1"/>
  <c r="Q321" i="20"/>
  <c r="R164" i="12"/>
  <c r="R29" i="58" s="1"/>
  <c r="Q161" i="12"/>
  <c r="V145" i="19"/>
  <c r="W128" i="14" s="1"/>
  <c r="V147" i="19"/>
  <c r="W132" i="14" s="1"/>
  <c r="W130" i="14" s="1"/>
  <c r="W132" i="12"/>
  <c r="W130" i="12" s="1"/>
  <c r="V149" i="12"/>
  <c r="V151" i="12"/>
  <c r="V153" i="12"/>
  <c r="V148" i="19"/>
  <c r="W133" i="14" s="1"/>
  <c r="W129" i="14" s="1"/>
  <c r="W133" i="12"/>
  <c r="W129" i="12" s="1"/>
  <c r="V150" i="12"/>
  <c r="V154" i="12"/>
  <c r="R162" i="12"/>
  <c r="R160" i="12" s="1"/>
  <c r="R158" i="12"/>
  <c r="R157" i="12"/>
  <c r="R28" i="58" s="1"/>
  <c r="R163" i="12"/>
  <c r="R159" i="12" s="1"/>
  <c r="V155" i="19"/>
  <c r="V151" i="19"/>
  <c r="W140" i="14" s="1"/>
  <c r="V153" i="19"/>
  <c r="W144" i="14" s="1"/>
  <c r="W142" i="14" s="1"/>
  <c r="V139" i="19"/>
  <c r="W116" i="14" s="1"/>
  <c r="V154" i="19"/>
  <c r="W145" i="14" s="1"/>
  <c r="W141" i="14" s="1"/>
  <c r="V141" i="19"/>
  <c r="W120" i="14" s="1"/>
  <c r="W120" i="12"/>
  <c r="W118" i="12" s="1"/>
  <c r="V143" i="19"/>
  <c r="V142" i="19"/>
  <c r="W121" i="14" s="1"/>
  <c r="W121" i="12"/>
  <c r="W117" i="12" s="1"/>
  <c r="T261" i="19"/>
  <c r="T262" i="19" s="1"/>
  <c r="T271" i="19" s="1"/>
  <c r="U156" i="14" s="1"/>
  <c r="U158" i="14" s="1"/>
  <c r="V295" i="20"/>
  <c r="V298" i="20" s="1"/>
  <c r="V303" i="20" s="1"/>
  <c r="V304" i="20" s="1"/>
  <c r="V294" i="20"/>
  <c r="S304" i="20"/>
  <c r="S313" i="20" s="1"/>
  <c r="Q273" i="19"/>
  <c r="V217" i="19"/>
  <c r="U298" i="20"/>
  <c r="U303" i="20" s="1"/>
  <c r="U304" i="20" s="1"/>
  <c r="S262" i="19"/>
  <c r="S271" i="19" s="1"/>
  <c r="T156" i="14" s="1"/>
  <c r="T158" i="14" s="1"/>
  <c r="T254" i="19"/>
  <c r="T255" i="19" s="1"/>
  <c r="T257" i="19" s="1"/>
  <c r="R271" i="19"/>
  <c r="AY35" i="55" s="1"/>
  <c r="T311" i="20"/>
  <c r="W150" i="19"/>
  <c r="X137" i="14" s="1"/>
  <c r="X139" i="14" s="1"/>
  <c r="X231" i="14" s="1"/>
  <c r="W223" i="20"/>
  <c r="W291" i="20"/>
  <c r="W292" i="20" s="1"/>
  <c r="W268" i="20"/>
  <c r="W193" i="20"/>
  <c r="W189" i="20"/>
  <c r="W190" i="20"/>
  <c r="W192" i="20"/>
  <c r="W191" i="20"/>
  <c r="X170" i="20"/>
  <c r="X176" i="20" s="1"/>
  <c r="X172" i="20"/>
  <c r="X224" i="20" s="1"/>
  <c r="X174" i="20"/>
  <c r="X188" i="20" s="1"/>
  <c r="Y137" i="12" s="1"/>
  <c r="X171" i="20"/>
  <c r="X173" i="20"/>
  <c r="X182" i="20" s="1"/>
  <c r="X144" i="19" s="1"/>
  <c r="Y125" i="14" s="1"/>
  <c r="W186" i="20"/>
  <c r="W185" i="20"/>
  <c r="W183" i="20"/>
  <c r="X128" i="12" s="1"/>
  <c r="W187" i="20"/>
  <c r="W149" i="19" s="1"/>
  <c r="W184" i="20"/>
  <c r="W180" i="20"/>
  <c r="W177" i="20"/>
  <c r="X116" i="12" s="1"/>
  <c r="W181" i="20"/>
  <c r="W178" i="20"/>
  <c r="W179" i="20"/>
  <c r="DJ38" i="55" l="1"/>
  <c r="U242" i="19"/>
  <c r="U244" i="19"/>
  <c r="BB39" i="55" s="1"/>
  <c r="U246" i="19"/>
  <c r="BB41" i="55" s="1"/>
  <c r="U247" i="19"/>
  <c r="BB42" i="55" s="1"/>
  <c r="U245" i="19"/>
  <c r="BB40" i="55" s="1"/>
  <c r="U243" i="19"/>
  <c r="V288" i="20"/>
  <c r="W41" i="55" s="1"/>
  <c r="AY38" i="55"/>
  <c r="DK35" i="55"/>
  <c r="DJ85" i="55"/>
  <c r="DJ61" i="55"/>
  <c r="DJ88" i="55"/>
  <c r="DJ86" i="55"/>
  <c r="DJ84" i="55"/>
  <c r="DJ62" i="55"/>
  <c r="DJ63" i="55"/>
  <c r="DJ65" i="55"/>
  <c r="DJ87" i="55"/>
  <c r="DJ64" i="55"/>
  <c r="DJ41" i="55"/>
  <c r="DJ39" i="55"/>
  <c r="DJ40" i="55"/>
  <c r="DJ42" i="55"/>
  <c r="T246" i="19"/>
  <c r="BA41" i="55" s="1"/>
  <c r="T244" i="19"/>
  <c r="BA39" i="55" s="1"/>
  <c r="V286" i="20"/>
  <c r="W39" i="55" s="1"/>
  <c r="T247" i="19"/>
  <c r="BA42" i="55" s="1"/>
  <c r="V284" i="20"/>
  <c r="V289" i="20"/>
  <c r="W42" i="55" s="1"/>
  <c r="T242" i="19"/>
  <c r="T243" i="19"/>
  <c r="V285" i="20"/>
  <c r="W269" i="20"/>
  <c r="W286" i="20" s="1"/>
  <c r="X39" i="55" s="1"/>
  <c r="X34" i="55"/>
  <c r="U253" i="19"/>
  <c r="U256" i="19" s="1"/>
  <c r="U261" i="19" s="1"/>
  <c r="V152" i="14"/>
  <c r="U219" i="19"/>
  <c r="U221" i="19"/>
  <c r="U223" i="19"/>
  <c r="U220" i="19"/>
  <c r="U218" i="19"/>
  <c r="U222" i="19"/>
  <c r="V220" i="19"/>
  <c r="V219" i="19"/>
  <c r="V221" i="19"/>
  <c r="V223" i="19"/>
  <c r="V222" i="19"/>
  <c r="V218" i="19"/>
  <c r="V233" i="14"/>
  <c r="V234" i="14" s="1"/>
  <c r="W140" i="19"/>
  <c r="X119" i="12"/>
  <c r="W146" i="19"/>
  <c r="X131" i="14" s="1"/>
  <c r="X127" i="14" s="1"/>
  <c r="X227" i="14" s="1"/>
  <c r="X131" i="12"/>
  <c r="X127" i="12" s="1"/>
  <c r="X227" i="12" s="1"/>
  <c r="W118" i="14"/>
  <c r="W151" i="14" s="1"/>
  <c r="W153" i="14"/>
  <c r="X147" i="12"/>
  <c r="X115" i="12"/>
  <c r="X138" i="19"/>
  <c r="Y113" i="14" s="1"/>
  <c r="Y113" i="12"/>
  <c r="W117" i="14"/>
  <c r="W150" i="14" s="1"/>
  <c r="W154" i="14"/>
  <c r="X147" i="14"/>
  <c r="X115" i="14"/>
  <c r="W152" i="12"/>
  <c r="X146" i="14"/>
  <c r="W143" i="14"/>
  <c r="W119" i="14"/>
  <c r="W152" i="19"/>
  <c r="X143" i="12"/>
  <c r="W149" i="14"/>
  <c r="V233" i="12"/>
  <c r="V234" i="12" s="1"/>
  <c r="Y146" i="12"/>
  <c r="Y139" i="12"/>
  <c r="Y231" i="12" s="1"/>
  <c r="W229" i="14"/>
  <c r="W232" i="14" s="1"/>
  <c r="W148" i="14"/>
  <c r="W225" i="14" a="1"/>
  <c r="W229" i="12"/>
  <c r="W232" i="12" s="1"/>
  <c r="W225" i="12" a="1"/>
  <c r="W148" i="12"/>
  <c r="W169" i="12" s="1"/>
  <c r="V226" i="19"/>
  <c r="DO34" i="55" s="1"/>
  <c r="S161" i="12"/>
  <c r="Q161" i="14"/>
  <c r="W182" i="19"/>
  <c r="W217" i="19" s="1"/>
  <c r="T156" i="12"/>
  <c r="T162" i="12" s="1"/>
  <c r="T160" i="12" s="1"/>
  <c r="R158" i="14"/>
  <c r="R157" i="14"/>
  <c r="AX28" i="58" s="1"/>
  <c r="R162" i="14"/>
  <c r="R160" i="14" s="1"/>
  <c r="R163" i="14"/>
  <c r="R159" i="14" s="1"/>
  <c r="X140" i="12"/>
  <c r="U155" i="12"/>
  <c r="R165" i="12"/>
  <c r="Q279" i="19"/>
  <c r="R165" i="14" s="1"/>
  <c r="R164" i="14"/>
  <c r="AX29" i="58" s="1"/>
  <c r="X144" i="12"/>
  <c r="X142" i="12" s="1"/>
  <c r="R273" i="19"/>
  <c r="S156" i="14"/>
  <c r="U162" i="14"/>
  <c r="U160" i="14" s="1"/>
  <c r="X145" i="12"/>
  <c r="X141" i="12" s="1"/>
  <c r="S165" i="12"/>
  <c r="T162" i="14"/>
  <c r="T160" i="14" s="1"/>
  <c r="R161" i="12"/>
  <c r="W148" i="19"/>
  <c r="X133" i="14" s="1"/>
  <c r="X129" i="14" s="1"/>
  <c r="X133" i="12"/>
  <c r="X129" i="12" s="1"/>
  <c r="W147" i="19"/>
  <c r="X132" i="14" s="1"/>
  <c r="X130" i="14" s="1"/>
  <c r="X132" i="12"/>
  <c r="X130" i="12" s="1"/>
  <c r="W149" i="12"/>
  <c r="W150" i="12"/>
  <c r="W154" i="12"/>
  <c r="W145" i="19"/>
  <c r="X128" i="14" s="1"/>
  <c r="W151" i="12"/>
  <c r="W153" i="12"/>
  <c r="W141" i="19"/>
  <c r="X120" i="14" s="1"/>
  <c r="X120" i="12"/>
  <c r="X118" i="12" s="1"/>
  <c r="W154" i="19"/>
  <c r="X145" i="14" s="1"/>
  <c r="X141" i="14" s="1"/>
  <c r="W151" i="19"/>
  <c r="X140" i="14" s="1"/>
  <c r="W139" i="19"/>
  <c r="X116" i="14" s="1"/>
  <c r="W153" i="19"/>
  <c r="X144" i="14" s="1"/>
  <c r="X142" i="14" s="1"/>
  <c r="W155" i="19"/>
  <c r="W143" i="19"/>
  <c r="W142" i="19"/>
  <c r="X121" i="14" s="1"/>
  <c r="X121" i="12"/>
  <c r="X117" i="12" s="1"/>
  <c r="T269" i="19"/>
  <c r="S269" i="19"/>
  <c r="DL35" i="55" s="1"/>
  <c r="W295" i="20"/>
  <c r="W296" i="20" s="1"/>
  <c r="W297" i="20" s="1"/>
  <c r="W299" i="20" s="1"/>
  <c r="W294" i="20"/>
  <c r="V253" i="19"/>
  <c r="V256" i="19" s="1"/>
  <c r="V252" i="19"/>
  <c r="R278" i="19"/>
  <c r="V296" i="20"/>
  <c r="V297" i="20" s="1"/>
  <c r="V299" i="20" s="1"/>
  <c r="S311" i="20"/>
  <c r="T313" i="20"/>
  <c r="U35" i="55" s="1"/>
  <c r="V313" i="20"/>
  <c r="X291" i="20"/>
  <c r="X292" i="20" s="1"/>
  <c r="X268" i="20"/>
  <c r="U313" i="20"/>
  <c r="X150" i="19"/>
  <c r="Y137" i="14" s="1"/>
  <c r="Y139" i="14" s="1"/>
  <c r="Y231" i="14" s="1"/>
  <c r="X223" i="20"/>
  <c r="X189" i="20"/>
  <c r="X192" i="20"/>
  <c r="X193" i="20"/>
  <c r="X191" i="20"/>
  <c r="X190" i="20"/>
  <c r="Y171" i="20"/>
  <c r="Y173" i="20"/>
  <c r="Y182" i="20" s="1"/>
  <c r="Y144" i="19" s="1"/>
  <c r="Z125" i="14" s="1"/>
  <c r="Y170" i="20"/>
  <c r="Y176" i="20" s="1"/>
  <c r="Y172" i="20"/>
  <c r="Y224" i="20" s="1"/>
  <c r="Y174" i="20"/>
  <c r="Y188" i="20" s="1"/>
  <c r="Z137" i="12" s="1"/>
  <c r="X184" i="20"/>
  <c r="X186" i="20"/>
  <c r="X183" i="20"/>
  <c r="Y128" i="12" s="1"/>
  <c r="X187" i="20"/>
  <c r="X149" i="19" s="1"/>
  <c r="X185" i="20"/>
  <c r="X178" i="20"/>
  <c r="X177" i="20"/>
  <c r="Y116" i="12" s="1"/>
  <c r="X181" i="20"/>
  <c r="X180" i="20"/>
  <c r="X179" i="20"/>
  <c r="W289" i="20" l="1"/>
  <c r="X42" i="55" s="1"/>
  <c r="U254" i="19"/>
  <c r="U255" i="19" s="1"/>
  <c r="U257" i="19" s="1"/>
  <c r="W284" i="20"/>
  <c r="W285" i="20"/>
  <c r="W287" i="20"/>
  <c r="X40" i="55" s="1"/>
  <c r="W288" i="20"/>
  <c r="X41" i="55" s="1"/>
  <c r="BA35" i="55"/>
  <c r="DM35" i="55"/>
  <c r="DM41" i="55" s="1"/>
  <c r="DK86" i="55"/>
  <c r="DK84" i="55"/>
  <c r="DK65" i="55"/>
  <c r="DK64" i="55"/>
  <c r="DK63" i="55"/>
  <c r="DK87" i="55"/>
  <c r="DK62" i="55"/>
  <c r="DK88" i="55"/>
  <c r="DK61" i="55"/>
  <c r="DK85" i="55"/>
  <c r="DK40" i="55"/>
  <c r="DK39" i="55"/>
  <c r="DK41" i="55"/>
  <c r="DK42" i="55"/>
  <c r="DK38" i="55"/>
  <c r="BA38" i="55"/>
  <c r="S273" i="19"/>
  <c r="AZ35" i="55"/>
  <c r="DL61" i="55" s="1"/>
  <c r="AZ38" i="55"/>
  <c r="T35" i="55"/>
  <c r="T38" i="55"/>
  <c r="U38" i="55"/>
  <c r="X269" i="20"/>
  <c r="Y34" i="55"/>
  <c r="BC34" i="55"/>
  <c r="V227" i="19"/>
  <c r="V245" i="19" s="1"/>
  <c r="BC40" i="55" s="1"/>
  <c r="T158" i="12"/>
  <c r="W233" i="12"/>
  <c r="W234" i="12" s="1"/>
  <c r="W220" i="19"/>
  <c r="W222" i="19"/>
  <c r="W218" i="19"/>
  <c r="W221" i="19"/>
  <c r="W219" i="19"/>
  <c r="W223" i="19"/>
  <c r="X149" i="14"/>
  <c r="X118" i="14"/>
  <c r="X151" i="14" s="1"/>
  <c r="X153" i="14"/>
  <c r="X140" i="19"/>
  <c r="Y119" i="12"/>
  <c r="Y138" i="19"/>
  <c r="Z113" i="14" s="1"/>
  <c r="Z113" i="12"/>
  <c r="X229" i="14"/>
  <c r="X232" i="14" s="1"/>
  <c r="X225" i="14" a="1"/>
  <c r="X148" i="14"/>
  <c r="Y115" i="12"/>
  <c r="Y147" i="12"/>
  <c r="Z146" i="12"/>
  <c r="Z139" i="12"/>
  <c r="Z231" i="12" s="1"/>
  <c r="X152" i="19"/>
  <c r="Y143" i="12"/>
  <c r="X117" i="14"/>
  <c r="X150" i="14" s="1"/>
  <c r="X154" i="14"/>
  <c r="X229" i="12"/>
  <c r="X232" i="12" s="1"/>
  <c r="X225" i="12" a="1"/>
  <c r="X148" i="12"/>
  <c r="X169" i="12" s="1"/>
  <c r="X146" i="19"/>
  <c r="Y131" i="14" s="1"/>
  <c r="Y127" i="14" s="1"/>
  <c r="Y227" i="14" s="1"/>
  <c r="Y131" i="12"/>
  <c r="Y127" i="12" s="1"/>
  <c r="Y227" i="12" s="1"/>
  <c r="W233" i="14"/>
  <c r="W234" i="14" s="1"/>
  <c r="X143" i="14"/>
  <c r="Y147" i="14"/>
  <c r="Y115" i="14"/>
  <c r="X152" i="12"/>
  <c r="W152" i="14"/>
  <c r="Y146" i="14"/>
  <c r="X119" i="14"/>
  <c r="W249" i="19"/>
  <c r="W250" i="19" s="1"/>
  <c r="W253" i="19" s="1"/>
  <c r="W226" i="19"/>
  <c r="DP34" i="55" s="1"/>
  <c r="Y144" i="12"/>
  <c r="Y142" i="12" s="1"/>
  <c r="V156" i="12"/>
  <c r="V158" i="12" s="1"/>
  <c r="T155" i="12"/>
  <c r="T157" i="12" s="1"/>
  <c r="T28" i="58" s="1"/>
  <c r="T278" i="19"/>
  <c r="U155" i="14"/>
  <c r="R279" i="19"/>
  <c r="S165" i="14" s="1"/>
  <c r="S164" i="14"/>
  <c r="AY29" i="58" s="1"/>
  <c r="Y145" i="12"/>
  <c r="Y141" i="12" s="1"/>
  <c r="R161" i="14"/>
  <c r="S278" i="19"/>
  <c r="T155" i="14"/>
  <c r="S162" i="14"/>
  <c r="S160" i="14" s="1"/>
  <c r="S158" i="14"/>
  <c r="S163" i="14"/>
  <c r="S159" i="14" s="1"/>
  <c r="S157" i="14"/>
  <c r="AY28" i="58" s="1"/>
  <c r="Y140" i="12"/>
  <c r="X182" i="19"/>
  <c r="X249" i="19" s="1"/>
  <c r="X250" i="19" s="1"/>
  <c r="W156" i="12"/>
  <c r="W158" i="12" s="1"/>
  <c r="T315" i="20"/>
  <c r="U156" i="12"/>
  <c r="X147" i="19"/>
  <c r="Y132" i="14" s="1"/>
  <c r="Y130" i="14" s="1"/>
  <c r="Y132" i="12"/>
  <c r="Y130" i="12" s="1"/>
  <c r="X148" i="19"/>
  <c r="Y133" i="14" s="1"/>
  <c r="Y129" i="14" s="1"/>
  <c r="Y133" i="12"/>
  <c r="Y129" i="12" s="1"/>
  <c r="X150" i="12"/>
  <c r="X154" i="12"/>
  <c r="X145" i="19"/>
  <c r="Y128" i="14" s="1"/>
  <c r="X149" i="12"/>
  <c r="X151" i="12"/>
  <c r="X153" i="12"/>
  <c r="X154" i="19"/>
  <c r="Y145" i="14" s="1"/>
  <c r="Y141" i="14" s="1"/>
  <c r="X151" i="19"/>
  <c r="Y140" i="14" s="1"/>
  <c r="X141" i="19"/>
  <c r="Y120" i="14" s="1"/>
  <c r="Y120" i="12"/>
  <c r="Y118" i="12" s="1"/>
  <c r="X153" i="19"/>
  <c r="Y144" i="14" s="1"/>
  <c r="Y142" i="14" s="1"/>
  <c r="X139" i="19"/>
  <c r="Y116" i="14" s="1"/>
  <c r="X155" i="19"/>
  <c r="X143" i="19"/>
  <c r="X142" i="19"/>
  <c r="Y121" i="14" s="1"/>
  <c r="Y121" i="12"/>
  <c r="Y117" i="12" s="1"/>
  <c r="T273" i="19"/>
  <c r="W298" i="20"/>
  <c r="W303" i="20" s="1"/>
  <c r="W304" i="20" s="1"/>
  <c r="S315" i="20"/>
  <c r="S320" i="20"/>
  <c r="V261" i="19"/>
  <c r="V262" i="19" s="1"/>
  <c r="V271" i="19" s="1"/>
  <c r="W156" i="14" s="1"/>
  <c r="W162" i="14" s="1"/>
  <c r="W160" i="14" s="1"/>
  <c r="X295" i="20"/>
  <c r="X296" i="20" s="1"/>
  <c r="X297" i="20" s="1"/>
  <c r="X299" i="20" s="1"/>
  <c r="X294" i="20"/>
  <c r="V254" i="19"/>
  <c r="V255" i="19" s="1"/>
  <c r="V257" i="19" s="1"/>
  <c r="U262" i="19"/>
  <c r="U269" i="19" s="1"/>
  <c r="T320" i="20"/>
  <c r="V311" i="20"/>
  <c r="W35" i="55" s="1"/>
  <c r="Y150" i="19"/>
  <c r="Z137" i="14" s="1"/>
  <c r="Z139" i="14" s="1"/>
  <c r="Z231" i="14" s="1"/>
  <c r="Y223" i="20"/>
  <c r="Y291" i="20"/>
  <c r="Y292" i="20" s="1"/>
  <c r="Y268" i="20"/>
  <c r="U311" i="20"/>
  <c r="Y185" i="20"/>
  <c r="Y183" i="20"/>
  <c r="Z128" i="12" s="1"/>
  <c r="Y184" i="20"/>
  <c r="Y186" i="20"/>
  <c r="Y187" i="20"/>
  <c r="Y149" i="19" s="1"/>
  <c r="Y193" i="20"/>
  <c r="Y191" i="20"/>
  <c r="Y190" i="20"/>
  <c r="Y189" i="20"/>
  <c r="Y192" i="20"/>
  <c r="Y180" i="20"/>
  <c r="Y178" i="20"/>
  <c r="Y181" i="20"/>
  <c r="Y177" i="20"/>
  <c r="Z116" i="12" s="1"/>
  <c r="Y179" i="20"/>
  <c r="Z171" i="20"/>
  <c r="Z173" i="20"/>
  <c r="Z182" i="20" s="1"/>
  <c r="Z144" i="19" s="1"/>
  <c r="AA125" i="14" s="1"/>
  <c r="Z170" i="20"/>
  <c r="Z176" i="20" s="1"/>
  <c r="Z172" i="20"/>
  <c r="Z224" i="20" s="1"/>
  <c r="Z174" i="20"/>
  <c r="Z188" i="20" s="1"/>
  <c r="AA137" i="12" s="1"/>
  <c r="X288" i="20" l="1"/>
  <c r="Y41" i="55" s="1"/>
  <c r="X289" i="20"/>
  <c r="Y42" i="55" s="1"/>
  <c r="X285" i="20"/>
  <c r="X284" i="20"/>
  <c r="X286" i="20"/>
  <c r="Y39" i="55" s="1"/>
  <c r="X287" i="20"/>
  <c r="Y40" i="55" s="1"/>
  <c r="DM39" i="55"/>
  <c r="V246" i="19"/>
  <c r="BC41" i="55" s="1"/>
  <c r="DL38" i="55"/>
  <c r="DM42" i="55"/>
  <c r="DM38" i="55"/>
  <c r="DL40" i="55"/>
  <c r="DL86" i="55"/>
  <c r="DL42" i="55"/>
  <c r="DL65" i="55"/>
  <c r="DL64" i="55"/>
  <c r="DL87" i="55"/>
  <c r="DL63" i="55"/>
  <c r="DL62" i="55"/>
  <c r="DL84" i="55"/>
  <c r="DL88" i="55"/>
  <c r="V247" i="19"/>
  <c r="BC42" i="55" s="1"/>
  <c r="DL41" i="55"/>
  <c r="DL85" i="55"/>
  <c r="DM64" i="55"/>
  <c r="DM65" i="55"/>
  <c r="DM63" i="55"/>
  <c r="DM88" i="55"/>
  <c r="DM62" i="55"/>
  <c r="DM87" i="55"/>
  <c r="DM61" i="55"/>
  <c r="DM86" i="55"/>
  <c r="DM85" i="55"/>
  <c r="DM84" i="55"/>
  <c r="DM40" i="55"/>
  <c r="V244" i="19"/>
  <c r="BC39" i="55" s="1"/>
  <c r="DL39" i="55"/>
  <c r="W38" i="55"/>
  <c r="V155" i="14"/>
  <c r="BD34" i="55"/>
  <c r="W227" i="19"/>
  <c r="W243" i="19" s="1"/>
  <c r="V242" i="19"/>
  <c r="V243" i="19"/>
  <c r="V35" i="55"/>
  <c r="V38" i="55"/>
  <c r="Y269" i="20"/>
  <c r="Y289" i="20" s="1"/>
  <c r="Z42" i="55" s="1"/>
  <c r="Z34" i="55"/>
  <c r="X217" i="19"/>
  <c r="W252" i="19"/>
  <c r="Y119" i="14"/>
  <c r="Y143" i="14"/>
  <c r="Y149" i="14"/>
  <c r="W244" i="19"/>
  <c r="BD39" i="55" s="1"/>
  <c r="AA139" i="12"/>
  <c r="AA231" i="12" s="1"/>
  <c r="AA146" i="12"/>
  <c r="Y140" i="19"/>
  <c r="Z119" i="12"/>
  <c r="Y152" i="19"/>
  <c r="Z143" i="12"/>
  <c r="Y117" i="14"/>
  <c r="Y150" i="14" s="1"/>
  <c r="Y154" i="14"/>
  <c r="Y148" i="12"/>
  <c r="Y169" i="12" s="1"/>
  <c r="Y225" i="12" a="1"/>
  <c r="Y229" i="12"/>
  <c r="Y232" i="12" s="1"/>
  <c r="Z147" i="12"/>
  <c r="Z115" i="12"/>
  <c r="Y146" i="19"/>
  <c r="Z131" i="14" s="1"/>
  <c r="Z127" i="14" s="1"/>
  <c r="Z131" i="12"/>
  <c r="Z127" i="12" s="1"/>
  <c r="Z227" i="12" s="1"/>
  <c r="X152" i="14"/>
  <c r="Y229" i="14"/>
  <c r="Y232" i="14" s="1"/>
  <c r="Y225" i="14" a="1"/>
  <c r="Y148" i="14"/>
  <c r="Z146" i="14"/>
  <c r="Z147" i="14"/>
  <c r="Z115" i="14"/>
  <c r="Z138" i="19"/>
  <c r="AA113" i="14" s="1"/>
  <c r="AA113" i="12"/>
  <c r="Y118" i="14"/>
  <c r="Y151" i="14" s="1"/>
  <c r="Y153" i="14"/>
  <c r="X233" i="12"/>
  <c r="X234" i="12" s="1"/>
  <c r="X233" i="14"/>
  <c r="X234" i="14" s="1"/>
  <c r="Y152" i="12"/>
  <c r="X226" i="19"/>
  <c r="DQ34" i="55" s="1"/>
  <c r="V162" i="12"/>
  <c r="V160" i="12" s="1"/>
  <c r="T163" i="12"/>
  <c r="T159" i="12" s="1"/>
  <c r="T161" i="12" s="1"/>
  <c r="W162" i="12"/>
  <c r="W160" i="12" s="1"/>
  <c r="S279" i="19"/>
  <c r="T165" i="14" s="1"/>
  <c r="T164" i="14"/>
  <c r="AZ29" i="58" s="1"/>
  <c r="Z144" i="12"/>
  <c r="Z142" i="12" s="1"/>
  <c r="T279" i="19"/>
  <c r="U165" i="14" s="1"/>
  <c r="U164" i="14"/>
  <c r="BA29" i="58" s="1"/>
  <c r="V155" i="12"/>
  <c r="V163" i="12" s="1"/>
  <c r="V159" i="12" s="1"/>
  <c r="U157" i="14"/>
  <c r="BA28" i="58" s="1"/>
  <c r="U163" i="14"/>
  <c r="U159" i="14" s="1"/>
  <c r="Z145" i="12"/>
  <c r="Z141" i="12" s="1"/>
  <c r="Y182" i="19"/>
  <c r="Y226" i="19" s="1"/>
  <c r="DR34" i="55" s="1"/>
  <c r="W158" i="14"/>
  <c r="Z140" i="12"/>
  <c r="W155" i="12"/>
  <c r="W157" i="12" s="1"/>
  <c r="W28" i="58" s="1"/>
  <c r="S161" i="14"/>
  <c r="T157" i="14"/>
  <c r="AZ28" i="58" s="1"/>
  <c r="T163" i="14"/>
  <c r="T159" i="14" s="1"/>
  <c r="T321" i="20"/>
  <c r="U164" i="12"/>
  <c r="U29" i="58" s="1"/>
  <c r="S321" i="20"/>
  <c r="T164" i="12"/>
  <c r="T29" i="58" s="1"/>
  <c r="Y150" i="12"/>
  <c r="Y149" i="12"/>
  <c r="Y154" i="12"/>
  <c r="Y148" i="19"/>
  <c r="Z133" i="14" s="1"/>
  <c r="Z129" i="14" s="1"/>
  <c r="Z133" i="12"/>
  <c r="Z129" i="12" s="1"/>
  <c r="Y151" i="12"/>
  <c r="Y153" i="12"/>
  <c r="Y145" i="19"/>
  <c r="Z128" i="14" s="1"/>
  <c r="U158" i="12"/>
  <c r="U162" i="12"/>
  <c r="U160" i="12" s="1"/>
  <c r="U157" i="12"/>
  <c r="U28" i="58" s="1"/>
  <c r="U163" i="12"/>
  <c r="U159" i="12" s="1"/>
  <c r="Y147" i="19"/>
  <c r="Z132" i="14" s="1"/>
  <c r="Z130" i="14" s="1"/>
  <c r="Z132" i="12"/>
  <c r="Z130" i="12" s="1"/>
  <c r="Y154" i="19"/>
  <c r="Z145" i="14" s="1"/>
  <c r="Z141" i="14" s="1"/>
  <c r="Y141" i="19"/>
  <c r="Z120" i="14" s="1"/>
  <c r="Z120" i="12"/>
  <c r="Z118" i="12" s="1"/>
  <c r="Y153" i="19"/>
  <c r="Z144" i="14" s="1"/>
  <c r="Z142" i="14" s="1"/>
  <c r="Y155" i="19"/>
  <c r="Y139" i="19"/>
  <c r="Z116" i="14" s="1"/>
  <c r="Y151" i="19"/>
  <c r="Z140" i="14" s="1"/>
  <c r="Y143" i="19"/>
  <c r="Y142" i="19"/>
  <c r="Z121" i="14" s="1"/>
  <c r="Z121" i="12"/>
  <c r="Z117" i="12" s="1"/>
  <c r="W313" i="20"/>
  <c r="U271" i="19"/>
  <c r="BB35" i="55" s="1"/>
  <c r="X253" i="19"/>
  <c r="X256" i="19" s="1"/>
  <c r="X252" i="19"/>
  <c r="W254" i="19"/>
  <c r="W255" i="19" s="1"/>
  <c r="W257" i="19" s="1"/>
  <c r="W256" i="19"/>
  <c r="Y295" i="20"/>
  <c r="Y296" i="20" s="1"/>
  <c r="Y297" i="20" s="1"/>
  <c r="Y299" i="20" s="1"/>
  <c r="Y294" i="20"/>
  <c r="X298" i="20"/>
  <c r="X303" i="20" s="1"/>
  <c r="X304" i="20" s="1"/>
  <c r="V269" i="19"/>
  <c r="DO35" i="55" s="1"/>
  <c r="U315" i="20"/>
  <c r="U320" i="20"/>
  <c r="V320" i="20"/>
  <c r="V315" i="20"/>
  <c r="Z150" i="19"/>
  <c r="AA137" i="14" s="1"/>
  <c r="AA139" i="14" s="1"/>
  <c r="AA231" i="14" s="1"/>
  <c r="Z223" i="20"/>
  <c r="Z291" i="20"/>
  <c r="Z292" i="20" s="1"/>
  <c r="Z268" i="20"/>
  <c r="W311" i="20"/>
  <c r="AA170" i="20"/>
  <c r="AA176" i="20" s="1"/>
  <c r="AA172" i="20"/>
  <c r="AA224" i="20" s="1"/>
  <c r="AA174" i="20"/>
  <c r="AA188" i="20" s="1"/>
  <c r="AB137" i="12" s="1"/>
  <c r="AA171" i="20"/>
  <c r="AA173" i="20"/>
  <c r="AA182" i="20" s="1"/>
  <c r="AA144" i="19" s="1"/>
  <c r="AB125" i="14" s="1"/>
  <c r="Z177" i="20"/>
  <c r="AA116" i="12" s="1"/>
  <c r="Z180" i="20"/>
  <c r="Z178" i="20"/>
  <c r="Z181" i="20"/>
  <c r="Z179" i="20"/>
  <c r="Z183" i="20"/>
  <c r="AA128" i="12" s="1"/>
  <c r="Z184" i="20"/>
  <c r="Z186" i="20"/>
  <c r="Z185" i="20"/>
  <c r="Z187" i="20"/>
  <c r="Z149" i="19" s="1"/>
  <c r="Z189" i="20"/>
  <c r="Z190" i="20"/>
  <c r="Z192" i="20"/>
  <c r="Z193" i="20"/>
  <c r="Z191" i="20"/>
  <c r="W247" i="19" l="1"/>
  <c r="BD42" i="55" s="1"/>
  <c r="W246" i="19"/>
  <c r="BD41" i="55" s="1"/>
  <c r="W245" i="19"/>
  <c r="BD40" i="55" s="1"/>
  <c r="W242" i="19"/>
  <c r="Y287" i="20"/>
  <c r="Z40" i="55" s="1"/>
  <c r="Y288" i="20"/>
  <c r="Z41" i="55" s="1"/>
  <c r="Y286" i="20"/>
  <c r="Z39" i="55" s="1"/>
  <c r="Y284" i="20"/>
  <c r="Y285" i="20"/>
  <c r="DN35" i="55"/>
  <c r="W155" i="14"/>
  <c r="BC35" i="55"/>
  <c r="DO40" i="55" s="1"/>
  <c r="X35" i="55"/>
  <c r="X38" i="55"/>
  <c r="BE34" i="55"/>
  <c r="X227" i="19"/>
  <c r="X245" i="19" s="1"/>
  <c r="BE40" i="55" s="1"/>
  <c r="Z269" i="20"/>
  <c r="Z288" i="20" s="1"/>
  <c r="AA41" i="55" s="1"/>
  <c r="AA34" i="55"/>
  <c r="BB38" i="55"/>
  <c r="BF34" i="55"/>
  <c r="Y227" i="19"/>
  <c r="BC38" i="55"/>
  <c r="X221" i="19"/>
  <c r="X220" i="19"/>
  <c r="X222" i="19"/>
  <c r="X218" i="19"/>
  <c r="X219" i="19"/>
  <c r="X223" i="19"/>
  <c r="Y152" i="14"/>
  <c r="V157" i="12"/>
  <c r="W163" i="12"/>
  <c r="W159" i="12" s="1"/>
  <c r="W161" i="12" s="1"/>
  <c r="Y233" i="14"/>
  <c r="Y234" i="14" s="1"/>
  <c r="Z149" i="14"/>
  <c r="Z146" i="19"/>
  <c r="AA131" i="14" s="1"/>
  <c r="AA127" i="14" s="1"/>
  <c r="AA227" i="14" s="1"/>
  <c r="AA131" i="12"/>
  <c r="AA127" i="12" s="1"/>
  <c r="AA227" i="12" s="1"/>
  <c r="Z140" i="19"/>
  <c r="AA119" i="12"/>
  <c r="Z117" i="14"/>
  <c r="Z150" i="14" s="1"/>
  <c r="Z154" i="14"/>
  <c r="AA147" i="12"/>
  <c r="AA115" i="12"/>
  <c r="Z143" i="14"/>
  <c r="Z118" i="14"/>
  <c r="Z151" i="14" s="1"/>
  <c r="Z153" i="14"/>
  <c r="Z229" i="14"/>
  <c r="Z225" i="14" a="1"/>
  <c r="AA147" i="14"/>
  <c r="AA115" i="14"/>
  <c r="Z148" i="14"/>
  <c r="Z227" i="14"/>
  <c r="Z152" i="12"/>
  <c r="Z152" i="19"/>
  <c r="AA143" i="12"/>
  <c r="AA138" i="19"/>
  <c r="AB113" i="14" s="1"/>
  <c r="AB113" i="12"/>
  <c r="AB139" i="12"/>
  <c r="AB231" i="12" s="1"/>
  <c r="AB146" i="12"/>
  <c r="AA146" i="14"/>
  <c r="Z229" i="12"/>
  <c r="Z232" i="12" s="1"/>
  <c r="Z225" i="12" a="1"/>
  <c r="Z148" i="12"/>
  <c r="Z169" i="12" s="1"/>
  <c r="Y233" i="12"/>
  <c r="Y234" i="12" s="1"/>
  <c r="Z119" i="14"/>
  <c r="Y249" i="19"/>
  <c r="Y250" i="19" s="1"/>
  <c r="Y252" i="19" s="1"/>
  <c r="U273" i="19"/>
  <c r="V156" i="14"/>
  <c r="U161" i="14"/>
  <c r="U165" i="12"/>
  <c r="X155" i="12"/>
  <c r="X156" i="12"/>
  <c r="X158" i="12" s="1"/>
  <c r="T165" i="12"/>
  <c r="T161" i="14"/>
  <c r="AA144" i="12"/>
  <c r="AA142" i="12" s="1"/>
  <c r="AA140" i="12"/>
  <c r="AA145" i="12"/>
  <c r="AA141" i="12" s="1"/>
  <c r="Z182" i="19"/>
  <c r="Z226" i="19" s="1"/>
  <c r="DS34" i="55" s="1"/>
  <c r="V321" i="20"/>
  <c r="W164" i="12"/>
  <c r="W29" i="58" s="1"/>
  <c r="U321" i="20"/>
  <c r="V164" i="12"/>
  <c r="V29" i="58" s="1"/>
  <c r="Z145" i="19"/>
  <c r="AA128" i="14" s="1"/>
  <c r="Z147" i="19"/>
  <c r="AA132" i="14" s="1"/>
  <c r="AA130" i="14" s="1"/>
  <c r="AA132" i="12"/>
  <c r="AA130" i="12" s="1"/>
  <c r="Z150" i="12"/>
  <c r="Z149" i="12"/>
  <c r="Z151" i="12"/>
  <c r="Z153" i="12"/>
  <c r="U161" i="12"/>
  <c r="Z154" i="12"/>
  <c r="Z148" i="19"/>
  <c r="AA133" i="14" s="1"/>
  <c r="AA129" i="14" s="1"/>
  <c r="AA133" i="12"/>
  <c r="AA129" i="12" s="1"/>
  <c r="Z139" i="19"/>
  <c r="AA116" i="14" s="1"/>
  <c r="Z153" i="19"/>
  <c r="AA144" i="14" s="1"/>
  <c r="AA142" i="14" s="1"/>
  <c r="Z151" i="19"/>
  <c r="AA140" i="14" s="1"/>
  <c r="Z154" i="19"/>
  <c r="AA145" i="14" s="1"/>
  <c r="AA141" i="14" s="1"/>
  <c r="Z141" i="19"/>
  <c r="AA120" i="14" s="1"/>
  <c r="AA120" i="12"/>
  <c r="AA118" i="12" s="1"/>
  <c r="Z155" i="19"/>
  <c r="Z143" i="19"/>
  <c r="Z142" i="19"/>
  <c r="AA121" i="14" s="1"/>
  <c r="AA121" i="12"/>
  <c r="AA117" i="12" s="1"/>
  <c r="V278" i="19"/>
  <c r="V273" i="19"/>
  <c r="X261" i="19"/>
  <c r="W261" i="19"/>
  <c r="U278" i="19"/>
  <c r="Z295" i="20"/>
  <c r="Z296" i="20" s="1"/>
  <c r="Z297" i="20" s="1"/>
  <c r="Z299" i="20" s="1"/>
  <c r="Z294" i="20"/>
  <c r="Y298" i="20"/>
  <c r="Y303" i="20" s="1"/>
  <c r="Y304" i="20" s="1"/>
  <c r="X254" i="19"/>
  <c r="X255" i="19" s="1"/>
  <c r="X257" i="19" s="1"/>
  <c r="W320" i="20"/>
  <c r="W315" i="20"/>
  <c r="X311" i="20"/>
  <c r="AA150" i="19"/>
  <c r="AB137" i="14" s="1"/>
  <c r="AB139" i="14" s="1"/>
  <c r="AB231" i="14" s="1"/>
  <c r="AA223" i="20"/>
  <c r="AA268" i="20"/>
  <c r="AA291" i="20"/>
  <c r="AA292" i="20" s="1"/>
  <c r="AB170" i="20"/>
  <c r="AB176" i="20" s="1"/>
  <c r="AB172" i="20"/>
  <c r="AB224" i="20" s="1"/>
  <c r="AB174" i="20"/>
  <c r="AB188" i="20" s="1"/>
  <c r="AC137" i="12" s="1"/>
  <c r="AB171" i="20"/>
  <c r="AB173" i="20"/>
  <c r="AB182" i="20" s="1"/>
  <c r="AB144" i="19" s="1"/>
  <c r="AC125" i="14" s="1"/>
  <c r="AA190" i="20"/>
  <c r="AA191" i="20"/>
  <c r="AA189" i="20"/>
  <c r="AA193" i="20"/>
  <c r="AA192" i="20"/>
  <c r="AA186" i="20"/>
  <c r="AA184" i="20"/>
  <c r="AA187" i="20"/>
  <c r="AA149" i="19" s="1"/>
  <c r="AA183" i="20"/>
  <c r="AB128" i="12" s="1"/>
  <c r="AA185" i="20"/>
  <c r="AA177" i="20"/>
  <c r="AB116" i="12" s="1"/>
  <c r="AA179" i="20"/>
  <c r="AA180" i="20"/>
  <c r="AA181" i="20"/>
  <c r="AA178" i="20"/>
  <c r="DN38" i="55" l="1"/>
  <c r="X247" i="19"/>
  <c r="BE42" i="55" s="1"/>
  <c r="W157" i="14"/>
  <c r="BC28" i="58" s="1"/>
  <c r="W163" i="14"/>
  <c r="W159" i="14" s="1"/>
  <c r="Y242" i="19"/>
  <c r="Y244" i="19"/>
  <c r="BF39" i="55" s="1"/>
  <c r="Y246" i="19"/>
  <c r="BF41" i="55" s="1"/>
  <c r="Y245" i="19"/>
  <c r="BF40" i="55" s="1"/>
  <c r="Y243" i="19"/>
  <c r="Y247" i="19"/>
  <c r="BF42" i="55" s="1"/>
  <c r="DO61" i="55"/>
  <c r="DO88" i="55"/>
  <c r="DO63" i="55"/>
  <c r="DO38" i="55"/>
  <c r="Z289" i="20"/>
  <c r="AA42" i="55" s="1"/>
  <c r="Z286" i="20"/>
  <c r="AA39" i="55" s="1"/>
  <c r="DO84" i="55"/>
  <c r="Z284" i="20"/>
  <c r="Z287" i="20"/>
  <c r="AA40" i="55" s="1"/>
  <c r="Z285" i="20"/>
  <c r="DO86" i="55"/>
  <c r="DO65" i="55"/>
  <c r="X243" i="19"/>
  <c r="X242" i="19"/>
  <c r="DO41" i="55"/>
  <c r="DO39" i="55"/>
  <c r="X244" i="19"/>
  <c r="BE39" i="55" s="1"/>
  <c r="DO62" i="55"/>
  <c r="DO42" i="55"/>
  <c r="X246" i="19"/>
  <c r="BE41" i="55" s="1"/>
  <c r="DO87" i="55"/>
  <c r="DO64" i="55"/>
  <c r="DO85" i="55"/>
  <c r="DN64" i="55"/>
  <c r="DN88" i="55"/>
  <c r="DN62" i="55"/>
  <c r="DN85" i="55"/>
  <c r="DN61" i="55"/>
  <c r="DN87" i="55"/>
  <c r="DN86" i="55"/>
  <c r="DN84" i="55"/>
  <c r="DN63" i="55"/>
  <c r="DN65" i="55"/>
  <c r="DN40" i="55"/>
  <c r="DN42" i="55"/>
  <c r="DN39" i="55"/>
  <c r="DN41" i="55"/>
  <c r="BG34" i="55"/>
  <c r="Z227" i="19"/>
  <c r="AA269" i="20"/>
  <c r="AA287" i="20" s="1"/>
  <c r="AB40" i="55" s="1"/>
  <c r="AB34" i="55"/>
  <c r="V161" i="12"/>
  <c r="V28" i="58"/>
  <c r="X157" i="12"/>
  <c r="X28" i="58" s="1"/>
  <c r="X163" i="12"/>
  <c r="X159" i="12" s="1"/>
  <c r="Z249" i="19"/>
  <c r="Z250" i="19" s="1"/>
  <c r="Z252" i="19" s="1"/>
  <c r="Z232" i="14"/>
  <c r="X162" i="12"/>
  <c r="X160" i="12" s="1"/>
  <c r="Z152" i="14"/>
  <c r="AA119" i="14"/>
  <c r="AB147" i="12"/>
  <c r="AB115" i="12"/>
  <c r="AA152" i="19"/>
  <c r="AB143" i="12"/>
  <c r="AB147" i="14"/>
  <c r="AB115" i="14"/>
  <c r="Z233" i="14"/>
  <c r="Z234" i="14" s="1"/>
  <c r="AC146" i="12"/>
  <c r="AC139" i="12"/>
  <c r="AC231" i="12" s="1"/>
  <c r="AA117" i="14"/>
  <c r="AA150" i="14" s="1"/>
  <c r="AA154" i="14"/>
  <c r="AA118" i="14"/>
  <c r="AA151" i="14" s="1"/>
  <c r="AA153" i="14"/>
  <c r="AA149" i="14"/>
  <c r="AB138" i="19"/>
  <c r="AC113" i="14" s="1"/>
  <c r="AC113" i="12"/>
  <c r="AA140" i="19"/>
  <c r="AB119" i="12"/>
  <c r="AA146" i="19"/>
  <c r="AB131" i="14" s="1"/>
  <c r="AB127" i="14" s="1"/>
  <c r="AB131" i="12"/>
  <c r="AB127" i="12" s="1"/>
  <c r="AB227" i="12" s="1"/>
  <c r="Z233" i="12"/>
  <c r="Z234" i="12" s="1"/>
  <c r="AA143" i="14"/>
  <c r="AA229" i="14"/>
  <c r="AA232" i="14" s="1"/>
  <c r="AA225" i="14" a="1"/>
  <c r="AA148" i="14"/>
  <c r="AA229" i="12"/>
  <c r="AA232" i="12" s="1"/>
  <c r="AA225" i="12" a="1"/>
  <c r="AA148" i="12"/>
  <c r="AA169" i="12" s="1"/>
  <c r="AA152" i="12"/>
  <c r="AB146" i="14"/>
  <c r="Y253" i="19"/>
  <c r="Y256" i="19" s="1"/>
  <c r="Z217" i="19"/>
  <c r="U279" i="19"/>
  <c r="V165" i="14" s="1"/>
  <c r="V164" i="14"/>
  <c r="BB29" i="58" s="1"/>
  <c r="V279" i="19"/>
  <c r="W165" i="14" s="1"/>
  <c r="W164" i="14"/>
  <c r="BC29" i="58" s="1"/>
  <c r="AB144" i="12"/>
  <c r="AB142" i="12" s="1"/>
  <c r="AB145" i="12"/>
  <c r="AB141" i="12" s="1"/>
  <c r="V165" i="12"/>
  <c r="Y217" i="19"/>
  <c r="AB140" i="12"/>
  <c r="Y155" i="12"/>
  <c r="W165" i="12"/>
  <c r="V158" i="14"/>
  <c r="V162" i="14"/>
  <c r="V160" i="14" s="1"/>
  <c r="V157" i="14"/>
  <c r="BB28" i="58" s="1"/>
  <c r="V163" i="14"/>
  <c r="V159" i="14" s="1"/>
  <c r="AA182" i="19"/>
  <c r="AA249" i="19" s="1"/>
  <c r="AA250" i="19" s="1"/>
  <c r="W321" i="20"/>
  <c r="X164" i="12"/>
  <c r="X29" i="58" s="1"/>
  <c r="AA150" i="12"/>
  <c r="AA154" i="12"/>
  <c r="AA151" i="12"/>
  <c r="AA153" i="12"/>
  <c r="AA147" i="19"/>
  <c r="AB132" i="14" s="1"/>
  <c r="AB130" i="14" s="1"/>
  <c r="AB132" i="12"/>
  <c r="AB130" i="12" s="1"/>
  <c r="AA148" i="19"/>
  <c r="AB133" i="14" s="1"/>
  <c r="AB129" i="14" s="1"/>
  <c r="AB133" i="12"/>
  <c r="AB129" i="12" s="1"/>
  <c r="AA145" i="19"/>
  <c r="AB128" i="14" s="1"/>
  <c r="AA149" i="12"/>
  <c r="AA153" i="19"/>
  <c r="AB144" i="14" s="1"/>
  <c r="AB142" i="14" s="1"/>
  <c r="AA154" i="19"/>
  <c r="AB145" i="14" s="1"/>
  <c r="AB141" i="14" s="1"/>
  <c r="AA141" i="19"/>
  <c r="AB120" i="14" s="1"/>
  <c r="AB120" i="12"/>
  <c r="AB118" i="12" s="1"/>
  <c r="AA155" i="19"/>
  <c r="AA139" i="19"/>
  <c r="AB116" i="14" s="1"/>
  <c r="AA151" i="19"/>
  <c r="AB140" i="14" s="1"/>
  <c r="AA143" i="19"/>
  <c r="AA142" i="19"/>
  <c r="AB121" i="14" s="1"/>
  <c r="AB121" i="12"/>
  <c r="AB117" i="12" s="1"/>
  <c r="Z298" i="20"/>
  <c r="Z303" i="20" s="1"/>
  <c r="Z304" i="20" s="1"/>
  <c r="AA295" i="20"/>
  <c r="AA296" i="20" s="1"/>
  <c r="AA297" i="20" s="1"/>
  <c r="AA299" i="20" s="1"/>
  <c r="AA294" i="20"/>
  <c r="W262" i="19"/>
  <c r="W271" i="19" s="1"/>
  <c r="X156" i="14" s="1"/>
  <c r="X262" i="19"/>
  <c r="X269" i="19" s="1"/>
  <c r="AB150" i="19"/>
  <c r="AC137" i="14" s="1"/>
  <c r="AC139" i="14" s="1"/>
  <c r="AC231" i="14" s="1"/>
  <c r="AB223" i="20"/>
  <c r="AB291" i="20"/>
  <c r="AB292" i="20" s="1"/>
  <c r="AB268" i="20"/>
  <c r="X313" i="20"/>
  <c r="Y35" i="55" s="1"/>
  <c r="AC171" i="20"/>
  <c r="AC173" i="20"/>
  <c r="AC182" i="20" s="1"/>
  <c r="AC144" i="19" s="1"/>
  <c r="AD125" i="14" s="1"/>
  <c r="AC170" i="20"/>
  <c r="AC176" i="20" s="1"/>
  <c r="AC172" i="20"/>
  <c r="AC224" i="20" s="1"/>
  <c r="AC174" i="20"/>
  <c r="AC188" i="20" s="1"/>
  <c r="AD137" i="12" s="1"/>
  <c r="AB189" i="20"/>
  <c r="AB190" i="20"/>
  <c r="AB192" i="20"/>
  <c r="AB193" i="20"/>
  <c r="AB191" i="20"/>
  <c r="AB185" i="20"/>
  <c r="AB183" i="20"/>
  <c r="AC128" i="12" s="1"/>
  <c r="AB184" i="20"/>
  <c r="AB187" i="20"/>
  <c r="AB149" i="19" s="1"/>
  <c r="AB186" i="20"/>
  <c r="AB178" i="20"/>
  <c r="AB179" i="20"/>
  <c r="AB180" i="20"/>
  <c r="AB177" i="20"/>
  <c r="AC116" i="12" s="1"/>
  <c r="AB181" i="20"/>
  <c r="Z247" i="19" l="1"/>
  <c r="BG42" i="55" s="1"/>
  <c r="Z246" i="19"/>
  <c r="BG41" i="55" s="1"/>
  <c r="Z245" i="19"/>
  <c r="BG40" i="55" s="1"/>
  <c r="Z243" i="19"/>
  <c r="W161" i="14"/>
  <c r="Z242" i="19"/>
  <c r="Z244" i="19"/>
  <c r="BG39" i="55" s="1"/>
  <c r="AA284" i="20"/>
  <c r="AA289" i="20"/>
  <c r="AB42" i="55" s="1"/>
  <c r="AA288" i="20"/>
  <c r="AB41" i="55" s="1"/>
  <c r="AA285" i="20"/>
  <c r="AA286" i="20"/>
  <c r="AB39" i="55" s="1"/>
  <c r="AB269" i="20"/>
  <c r="AC34" i="55"/>
  <c r="Y155" i="14"/>
  <c r="Y38" i="55"/>
  <c r="Z253" i="19"/>
  <c r="Z254" i="19" s="1"/>
  <c r="Z255" i="19" s="1"/>
  <c r="Z257" i="19" s="1"/>
  <c r="AA152" i="14"/>
  <c r="Y219" i="19"/>
  <c r="Y221" i="19"/>
  <c r="Y223" i="19"/>
  <c r="Y222" i="19"/>
  <c r="Y220" i="19"/>
  <c r="Y218" i="19"/>
  <c r="Z222" i="19"/>
  <c r="Z219" i="19"/>
  <c r="Z221" i="19"/>
  <c r="Z223" i="19"/>
  <c r="Z220" i="19"/>
  <c r="Z218" i="19"/>
  <c r="Y254" i="19"/>
  <c r="Y255" i="19" s="1"/>
  <c r="Y257" i="19" s="1"/>
  <c r="AA217" i="19"/>
  <c r="X161" i="12"/>
  <c r="AA233" i="12"/>
  <c r="AA234" i="12" s="1"/>
  <c r="AA233" i="14"/>
  <c r="AA234" i="14" s="1"/>
  <c r="AB140" i="19"/>
  <c r="AC119" i="12"/>
  <c r="AB225" i="14" a="1"/>
  <c r="AB227" i="14"/>
  <c r="AC147" i="14"/>
  <c r="AC115" i="14"/>
  <c r="AC146" i="14"/>
  <c r="AB143" i="14"/>
  <c r="AB117" i="14"/>
  <c r="AB150" i="14" s="1"/>
  <c r="AB154" i="14"/>
  <c r="AC147" i="12"/>
  <c r="AC115" i="12"/>
  <c r="AB118" i="14"/>
  <c r="AB151" i="14" s="1"/>
  <c r="AB153" i="14"/>
  <c r="AB152" i="12"/>
  <c r="AB229" i="14"/>
  <c r="AB148" i="14"/>
  <c r="AB229" i="12"/>
  <c r="AB232" i="12" s="1"/>
  <c r="AB148" i="12"/>
  <c r="AB169" i="12" s="1"/>
  <c r="AB225" i="12" a="1"/>
  <c r="AB152" i="19"/>
  <c r="AC143" i="12"/>
  <c r="AC138" i="19"/>
  <c r="AD113" i="14" s="1"/>
  <c r="AD113" i="12"/>
  <c r="AB146" i="19"/>
  <c r="AC131" i="14" s="1"/>
  <c r="AC127" i="14" s="1"/>
  <c r="AC227" i="14" s="1"/>
  <c r="AC131" i="12"/>
  <c r="AC127" i="12" s="1"/>
  <c r="AC227" i="12" s="1"/>
  <c r="AD146" i="12"/>
  <c r="AD139" i="12"/>
  <c r="AD231" i="12" s="1"/>
  <c r="AB149" i="14"/>
  <c r="AB119" i="14"/>
  <c r="AA226" i="19"/>
  <c r="DT34" i="55" s="1"/>
  <c r="AC145" i="12"/>
  <c r="AC141" i="12" s="1"/>
  <c r="AC140" i="12"/>
  <c r="AB182" i="19"/>
  <c r="AB217" i="19" s="1"/>
  <c r="V161" i="14"/>
  <c r="Y156" i="12"/>
  <c r="Y163" i="12" s="1"/>
  <c r="Y159" i="12" s="1"/>
  <c r="AC144" i="12"/>
  <c r="AC142" i="12" s="1"/>
  <c r="X162" i="14"/>
  <c r="X160" i="14" s="1"/>
  <c r="X158" i="14"/>
  <c r="X165" i="12"/>
  <c r="AB145" i="19"/>
  <c r="AC128" i="14" s="1"/>
  <c r="AB151" i="12"/>
  <c r="AB153" i="12"/>
  <c r="AB148" i="19"/>
  <c r="AC133" i="14" s="1"/>
  <c r="AC129" i="14" s="1"/>
  <c r="AC133" i="12"/>
  <c r="AC129" i="12" s="1"/>
  <c r="AB147" i="19"/>
  <c r="AC132" i="14" s="1"/>
  <c r="AC130" i="14" s="1"/>
  <c r="AC132" i="12"/>
  <c r="AC130" i="12" s="1"/>
  <c r="AB150" i="12"/>
  <c r="AB154" i="12"/>
  <c r="AB149" i="12"/>
  <c r="AB139" i="19"/>
  <c r="AC116" i="14" s="1"/>
  <c r="AB141" i="19"/>
  <c r="AC120" i="14" s="1"/>
  <c r="AC120" i="12"/>
  <c r="AC118" i="12" s="1"/>
  <c r="AB155" i="19"/>
  <c r="AB153" i="19"/>
  <c r="AC144" i="14" s="1"/>
  <c r="AC142" i="14" s="1"/>
  <c r="AB151" i="19"/>
  <c r="AC140" i="14" s="1"/>
  <c r="AB154" i="19"/>
  <c r="AC145" i="14" s="1"/>
  <c r="AC141" i="14" s="1"/>
  <c r="AB143" i="19"/>
  <c r="AB142" i="19"/>
  <c r="AC121" i="14" s="1"/>
  <c r="AC121" i="12"/>
  <c r="AC117" i="12" s="1"/>
  <c r="W269" i="19"/>
  <c r="DP35" i="55" s="1"/>
  <c r="AA298" i="20"/>
  <c r="AA303" i="20" s="1"/>
  <c r="AA304" i="20" s="1"/>
  <c r="X271" i="19"/>
  <c r="BE38" i="55" s="1"/>
  <c r="AB295" i="20"/>
  <c r="AB296" i="20" s="1"/>
  <c r="AB297" i="20" s="1"/>
  <c r="AB299" i="20" s="1"/>
  <c r="AB294" i="20"/>
  <c r="AA253" i="19"/>
  <c r="AA252" i="19"/>
  <c r="Y261" i="19"/>
  <c r="Y262" i="19" s="1"/>
  <c r="Y269" i="19" s="1"/>
  <c r="AC150" i="19"/>
  <c r="AD137" i="14" s="1"/>
  <c r="AD139" i="14" s="1"/>
  <c r="AD231" i="14" s="1"/>
  <c r="AC223" i="20"/>
  <c r="AC291" i="20"/>
  <c r="AC292" i="20" s="1"/>
  <c r="AC268" i="20"/>
  <c r="X315" i="20"/>
  <c r="X320" i="20"/>
  <c r="Z311" i="20"/>
  <c r="Y311" i="20"/>
  <c r="AD171" i="20"/>
  <c r="AD173" i="20"/>
  <c r="AD182" i="20" s="1"/>
  <c r="AD144" i="19" s="1"/>
  <c r="AE125" i="14" s="1"/>
  <c r="AD170" i="20"/>
  <c r="AD176" i="20" s="1"/>
  <c r="AD172" i="20"/>
  <c r="AD224" i="20" s="1"/>
  <c r="AD174" i="20"/>
  <c r="AD188" i="20" s="1"/>
  <c r="AE137" i="12" s="1"/>
  <c r="AC177" i="20"/>
  <c r="AD116" i="12" s="1"/>
  <c r="AC179" i="20"/>
  <c r="AC180" i="20"/>
  <c r="AC178" i="20"/>
  <c r="AC181" i="20"/>
  <c r="AC184" i="20"/>
  <c r="AC187" i="20"/>
  <c r="AC149" i="19" s="1"/>
  <c r="AC185" i="20"/>
  <c r="AC186" i="20"/>
  <c r="AC183" i="20"/>
  <c r="AD128" i="12" s="1"/>
  <c r="AC191" i="20"/>
  <c r="AC192" i="20"/>
  <c r="AC193" i="20"/>
  <c r="AC189" i="20"/>
  <c r="AC190" i="20"/>
  <c r="AB286" i="20" l="1"/>
  <c r="AC39" i="55" s="1"/>
  <c r="AB284" i="20"/>
  <c r="AB287" i="20"/>
  <c r="AC40" i="55" s="1"/>
  <c r="AB285" i="20"/>
  <c r="AB288" i="20"/>
  <c r="AC41" i="55" s="1"/>
  <c r="AB289" i="20"/>
  <c r="AC42" i="55" s="1"/>
  <c r="DQ35" i="55"/>
  <c r="BE35" i="55"/>
  <c r="BH34" i="55"/>
  <c r="AA227" i="19"/>
  <c r="AA246" i="19" s="1"/>
  <c r="BH41" i="55" s="1"/>
  <c r="AC269" i="20"/>
  <c r="AD34" i="55"/>
  <c r="W273" i="19"/>
  <c r="BD35" i="55"/>
  <c r="DP86" i="55" s="1"/>
  <c r="BD38" i="55"/>
  <c r="Z155" i="14"/>
  <c r="Z256" i="19"/>
  <c r="Z261" i="19" s="1"/>
  <c r="Z262" i="19" s="1"/>
  <c r="Z269" i="19" s="1"/>
  <c r="AA220" i="19"/>
  <c r="AA222" i="19"/>
  <c r="AA218" i="19"/>
  <c r="AA219" i="19"/>
  <c r="AA223" i="19"/>
  <c r="AA221" i="19"/>
  <c r="AB219" i="19"/>
  <c r="AB220" i="19"/>
  <c r="AB222" i="19"/>
  <c r="AB218" i="19"/>
  <c r="AB221" i="19"/>
  <c r="AB223" i="19"/>
  <c r="Y157" i="12"/>
  <c r="Y28" i="58" s="1"/>
  <c r="AB232" i="14"/>
  <c r="AC143" i="14"/>
  <c r="AC149" i="14"/>
  <c r="AC152" i="19"/>
  <c r="AD143" i="12"/>
  <c r="AC117" i="14"/>
  <c r="AC150" i="14" s="1"/>
  <c r="AC154" i="14"/>
  <c r="AD138" i="19"/>
  <c r="AE113" i="14" s="1"/>
  <c r="AE113" i="12"/>
  <c r="AD147" i="12"/>
  <c r="AD115" i="12"/>
  <c r="AB233" i="14"/>
  <c r="AB234" i="14" s="1"/>
  <c r="AC229" i="12"/>
  <c r="AC232" i="12" s="1"/>
  <c r="AC148" i="12"/>
  <c r="AC169" i="12" s="1"/>
  <c r="AC225" i="12" a="1"/>
  <c r="AC146" i="19"/>
  <c r="AD131" i="14" s="1"/>
  <c r="AD127" i="14" s="1"/>
  <c r="AD131" i="12"/>
  <c r="AD127" i="12" s="1"/>
  <c r="AD227" i="12" s="1"/>
  <c r="AD147" i="14"/>
  <c r="AD115" i="14"/>
  <c r="AC229" i="14"/>
  <c r="AC232" i="14" s="1"/>
  <c r="AC148" i="14"/>
  <c r="AC225" i="14" a="1"/>
  <c r="AC152" i="12"/>
  <c r="AC140" i="19"/>
  <c r="AD119" i="12"/>
  <c r="AE139" i="12"/>
  <c r="AE231" i="12" s="1"/>
  <c r="AE146" i="12"/>
  <c r="AC118" i="14"/>
  <c r="AC151" i="14" s="1"/>
  <c r="AC153" i="14"/>
  <c r="Y162" i="12"/>
  <c r="Y160" i="12" s="1"/>
  <c r="AB152" i="14"/>
  <c r="AB233" i="12"/>
  <c r="AB234" i="12" s="1"/>
  <c r="AD146" i="14"/>
  <c r="AC119" i="14"/>
  <c r="AB226" i="19"/>
  <c r="DU34" i="55" s="1"/>
  <c r="AB249" i="19"/>
  <c r="AB250" i="19" s="1"/>
  <c r="AB253" i="19" s="1"/>
  <c r="Y158" i="12"/>
  <c r="AD145" i="12"/>
  <c r="AD141" i="12" s="1"/>
  <c r="X278" i="19"/>
  <c r="Y156" i="14"/>
  <c r="Z155" i="12"/>
  <c r="AD144" i="12"/>
  <c r="AD142" i="12" s="1"/>
  <c r="AD140" i="12"/>
  <c r="AA155" i="12"/>
  <c r="AC182" i="19"/>
  <c r="AC217" i="19" s="1"/>
  <c r="W278" i="19"/>
  <c r="X155" i="14"/>
  <c r="X321" i="20"/>
  <c r="Y164" i="12"/>
  <c r="Y29" i="58" s="1"/>
  <c r="AC145" i="19"/>
  <c r="AD128" i="14" s="1"/>
  <c r="AC151" i="12"/>
  <c r="AC153" i="12"/>
  <c r="AC154" i="12"/>
  <c r="AC150" i="12"/>
  <c r="AC148" i="19"/>
  <c r="AD133" i="14" s="1"/>
  <c r="AD129" i="14" s="1"/>
  <c r="AD133" i="12"/>
  <c r="AD129" i="12" s="1"/>
  <c r="AC147" i="19"/>
  <c r="AD132" i="14" s="1"/>
  <c r="AD130" i="14" s="1"/>
  <c r="AD132" i="12"/>
  <c r="AD130" i="12" s="1"/>
  <c r="AC149" i="12"/>
  <c r="AC155" i="19"/>
  <c r="AC139" i="19"/>
  <c r="AD116" i="14" s="1"/>
  <c r="AC154" i="19"/>
  <c r="AD145" i="14" s="1"/>
  <c r="AD141" i="14" s="1"/>
  <c r="AC153" i="19"/>
  <c r="AD144" i="14" s="1"/>
  <c r="AD142" i="14" s="1"/>
  <c r="AC151" i="19"/>
  <c r="AD140" i="14" s="1"/>
  <c r="AC141" i="19"/>
  <c r="AD120" i="14" s="1"/>
  <c r="AD120" i="12"/>
  <c r="AD118" i="12" s="1"/>
  <c r="AC143" i="19"/>
  <c r="AC142" i="19"/>
  <c r="AD121" i="14" s="1"/>
  <c r="AD121" i="12"/>
  <c r="AD117" i="12" s="1"/>
  <c r="X273" i="19"/>
  <c r="AA254" i="19"/>
  <c r="AA255" i="19" s="1"/>
  <c r="AA257" i="19" s="1"/>
  <c r="AA256" i="19"/>
  <c r="AC295" i="20"/>
  <c r="AC296" i="20" s="1"/>
  <c r="AC297" i="20" s="1"/>
  <c r="AC299" i="20" s="1"/>
  <c r="AC294" i="20"/>
  <c r="Y271" i="19"/>
  <c r="BF38" i="55" s="1"/>
  <c r="AB298" i="20"/>
  <c r="AB303" i="20" s="1"/>
  <c r="AB304" i="20" s="1"/>
  <c r="AD150" i="19"/>
  <c r="AE137" i="14" s="1"/>
  <c r="AE139" i="14" s="1"/>
  <c r="AE231" i="14" s="1"/>
  <c r="AD223" i="20"/>
  <c r="AD291" i="20"/>
  <c r="AD292" i="20" s="1"/>
  <c r="AD268" i="20"/>
  <c r="Y313" i="20"/>
  <c r="Z35" i="55" s="1"/>
  <c r="Z313" i="20"/>
  <c r="AA35" i="55" s="1"/>
  <c r="AD177" i="20"/>
  <c r="AE116" i="12" s="1"/>
  <c r="AD178" i="20"/>
  <c r="AD180" i="20"/>
  <c r="AD179" i="20"/>
  <c r="AD181" i="20"/>
  <c r="AE170" i="20"/>
  <c r="AE176" i="20" s="1"/>
  <c r="AE172" i="20"/>
  <c r="AE224" i="20" s="1"/>
  <c r="AE174" i="20"/>
  <c r="AE188" i="20" s="1"/>
  <c r="AF137" i="12" s="1"/>
  <c r="AE171" i="20"/>
  <c r="AE173" i="20"/>
  <c r="AE182" i="20" s="1"/>
  <c r="AE144" i="19" s="1"/>
  <c r="AF125" i="14" s="1"/>
  <c r="AD183" i="20"/>
  <c r="AE128" i="12" s="1"/>
  <c r="AD186" i="20"/>
  <c r="AD184" i="20"/>
  <c r="AD185" i="20"/>
  <c r="AD187" i="20"/>
  <c r="AD149" i="19" s="1"/>
  <c r="AD189" i="20"/>
  <c r="AD192" i="20"/>
  <c r="AD190" i="20"/>
  <c r="AD191" i="20"/>
  <c r="AD193" i="20"/>
  <c r="AA243" i="19" l="1"/>
  <c r="AA244" i="19"/>
  <c r="BH39" i="55" s="1"/>
  <c r="AA245" i="19"/>
  <c r="BH40" i="55" s="1"/>
  <c r="AA242" i="19"/>
  <c r="AC286" i="20"/>
  <c r="AD39" i="55" s="1"/>
  <c r="AC287" i="20"/>
  <c r="AD40" i="55" s="1"/>
  <c r="AC284" i="20"/>
  <c r="AC285" i="20"/>
  <c r="AC288" i="20"/>
  <c r="AD41" i="55" s="1"/>
  <c r="AC289" i="20"/>
  <c r="AD42" i="55" s="1"/>
  <c r="DP38" i="55"/>
  <c r="DP39" i="55"/>
  <c r="DP87" i="55"/>
  <c r="DP85" i="55"/>
  <c r="DP41" i="55"/>
  <c r="DP62" i="55"/>
  <c r="DP63" i="55"/>
  <c r="DP65" i="55"/>
  <c r="AA247" i="19"/>
  <c r="BH42" i="55" s="1"/>
  <c r="DP84" i="55"/>
  <c r="DP61" i="55"/>
  <c r="DQ63" i="55"/>
  <c r="DQ65" i="55"/>
  <c r="DQ64" i="55"/>
  <c r="DQ85" i="55"/>
  <c r="DQ62" i="55"/>
  <c r="DQ86" i="55"/>
  <c r="DQ61" i="55"/>
  <c r="DQ87" i="55"/>
  <c r="DQ88" i="55"/>
  <c r="DQ84" i="55"/>
  <c r="DQ40" i="55"/>
  <c r="DQ42" i="55"/>
  <c r="DQ39" i="55"/>
  <c r="DQ41" i="55"/>
  <c r="DR35" i="55"/>
  <c r="DP88" i="55"/>
  <c r="DP42" i="55"/>
  <c r="DP64" i="55"/>
  <c r="DP40" i="55"/>
  <c r="DQ38" i="55"/>
  <c r="BI34" i="55"/>
  <c r="AB227" i="19"/>
  <c r="AB245" i="19" s="1"/>
  <c r="BI40" i="55" s="1"/>
  <c r="BF35" i="55"/>
  <c r="AD269" i="20"/>
  <c r="AE34" i="55"/>
  <c r="AA38" i="55"/>
  <c r="AA155" i="14"/>
  <c r="Z38" i="55"/>
  <c r="AC152" i="14"/>
  <c r="AC219" i="19"/>
  <c r="AC221" i="19"/>
  <c r="AC223" i="19"/>
  <c r="AC220" i="19"/>
  <c r="AC218" i="19"/>
  <c r="AC222" i="19"/>
  <c r="AD152" i="12"/>
  <c r="Y161" i="12"/>
  <c r="AC233" i="14"/>
  <c r="AC234" i="14" s="1"/>
  <c r="AC233" i="12"/>
  <c r="AC234" i="12" s="1"/>
  <c r="AD119" i="14"/>
  <c r="AD152" i="19"/>
  <c r="AE143" i="12"/>
  <c r="AD229" i="12"/>
  <c r="AD232" i="12" s="1"/>
  <c r="AD148" i="12"/>
  <c r="AD169" i="12" s="1"/>
  <c r="AD225" i="12" a="1"/>
  <c r="AF146" i="12"/>
  <c r="AF139" i="12"/>
  <c r="AF231" i="12" s="1"/>
  <c r="AB252" i="19"/>
  <c r="AD146" i="19"/>
  <c r="AE131" i="14" s="1"/>
  <c r="AE127" i="14" s="1"/>
  <c r="AE131" i="12"/>
  <c r="AE127" i="12" s="1"/>
  <c r="AE227" i="12" s="1"/>
  <c r="AD117" i="14"/>
  <c r="AD150" i="14" s="1"/>
  <c r="AD154" i="14"/>
  <c r="AE146" i="14"/>
  <c r="AD229" i="14"/>
  <c r="AD225" i="14" a="1"/>
  <c r="AD148" i="14"/>
  <c r="AD227" i="14"/>
  <c r="AE115" i="12"/>
  <c r="AE147" i="12"/>
  <c r="AE138" i="19"/>
  <c r="AF113" i="14" s="1"/>
  <c r="AF113" i="12"/>
  <c r="AD140" i="19"/>
  <c r="AE119" i="12"/>
  <c r="AD118" i="14"/>
  <c r="AD151" i="14" s="1"/>
  <c r="AD153" i="14"/>
  <c r="AD149" i="14"/>
  <c r="AE147" i="14"/>
  <c r="AE115" i="14"/>
  <c r="AD143" i="14"/>
  <c r="AC249" i="19"/>
  <c r="AC250" i="19" s="1"/>
  <c r="AC253" i="19" s="1"/>
  <c r="AC226" i="19"/>
  <c r="DV34" i="55" s="1"/>
  <c r="AD182" i="19"/>
  <c r="AD217" i="19" s="1"/>
  <c r="AE140" i="12"/>
  <c r="Y273" i="19"/>
  <c r="Z156" i="14"/>
  <c r="Y158" i="14"/>
  <c r="Y162" i="14"/>
  <c r="Y160" i="14" s="1"/>
  <c r="Y163" i="14"/>
  <c r="Y159" i="14" s="1"/>
  <c r="Y157" i="14"/>
  <c r="BE28" i="58" s="1"/>
  <c r="Y165" i="12"/>
  <c r="AE144" i="12"/>
  <c r="AE142" i="12" s="1"/>
  <c r="X157" i="14"/>
  <c r="BD28" i="58" s="1"/>
  <c r="X163" i="14"/>
  <c r="X159" i="14" s="1"/>
  <c r="X279" i="19"/>
  <c r="Y165" i="14" s="1"/>
  <c r="Y164" i="14"/>
  <c r="BE29" i="58" s="1"/>
  <c r="AE145" i="12"/>
  <c r="AE141" i="12" s="1"/>
  <c r="W279" i="19"/>
  <c r="X165" i="14" s="1"/>
  <c r="X164" i="14"/>
  <c r="BD29" i="58" s="1"/>
  <c r="AD150" i="12"/>
  <c r="Y315" i="20"/>
  <c r="Z156" i="12"/>
  <c r="AD148" i="19"/>
  <c r="AE133" i="14" s="1"/>
  <c r="AE129" i="14" s="1"/>
  <c r="AE133" i="12"/>
  <c r="AE129" i="12" s="1"/>
  <c r="AD149" i="12"/>
  <c r="AD145" i="19"/>
  <c r="AE128" i="14" s="1"/>
  <c r="AD147" i="19"/>
  <c r="AE132" i="14" s="1"/>
  <c r="AE130" i="14" s="1"/>
  <c r="AE132" i="12"/>
  <c r="AE130" i="12" s="1"/>
  <c r="Z315" i="20"/>
  <c r="AA156" i="12"/>
  <c r="AD151" i="12"/>
  <c r="AD153" i="12"/>
  <c r="AD154" i="12"/>
  <c r="AD154" i="19"/>
  <c r="AE145" i="14" s="1"/>
  <c r="AE141" i="14" s="1"/>
  <c r="AD139" i="19"/>
  <c r="AE116" i="14" s="1"/>
  <c r="AD155" i="19"/>
  <c r="AD151" i="19"/>
  <c r="AE140" i="14" s="1"/>
  <c r="AD141" i="19"/>
  <c r="AE120" i="14" s="1"/>
  <c r="AE120" i="12"/>
  <c r="AE118" i="12" s="1"/>
  <c r="AD153" i="19"/>
  <c r="AE144" i="14" s="1"/>
  <c r="AE142" i="14" s="1"/>
  <c r="AD143" i="19"/>
  <c r="AD142" i="19"/>
  <c r="AE121" i="14" s="1"/>
  <c r="AE121" i="12"/>
  <c r="AE117" i="12" s="1"/>
  <c r="AC298" i="20"/>
  <c r="AC303" i="20" s="1"/>
  <c r="AC304" i="20" s="1"/>
  <c r="AD295" i="20"/>
  <c r="AD296" i="20" s="1"/>
  <c r="AD297" i="20" s="1"/>
  <c r="AD299" i="20" s="1"/>
  <c r="AD294" i="20"/>
  <c r="Z271" i="19"/>
  <c r="BG35" i="55" s="1"/>
  <c r="AA261" i="19"/>
  <c r="AB254" i="19"/>
  <c r="AB255" i="19" s="1"/>
  <c r="AB257" i="19" s="1"/>
  <c r="AB256" i="19"/>
  <c r="Y278" i="19"/>
  <c r="AE150" i="19"/>
  <c r="AF137" i="14" s="1"/>
  <c r="AF139" i="14" s="1"/>
  <c r="AF231" i="14" s="1"/>
  <c r="AE223" i="20"/>
  <c r="Y320" i="20"/>
  <c r="AE291" i="20"/>
  <c r="AE292" i="20" s="1"/>
  <c r="AE268" i="20"/>
  <c r="AA313" i="20"/>
  <c r="AA311" i="20"/>
  <c r="Z320" i="20"/>
  <c r="AB311" i="20"/>
  <c r="AE178" i="20"/>
  <c r="AE179" i="20"/>
  <c r="AE181" i="20"/>
  <c r="AE177" i="20"/>
  <c r="AF116" i="12" s="1"/>
  <c r="AE180" i="20"/>
  <c r="AE186" i="20"/>
  <c r="AE183" i="20"/>
  <c r="AF128" i="12" s="1"/>
  <c r="AE184" i="20"/>
  <c r="AE185" i="20"/>
  <c r="AE187" i="20"/>
  <c r="AE149" i="19" s="1"/>
  <c r="AF170" i="20"/>
  <c r="AF176" i="20" s="1"/>
  <c r="AF172" i="20"/>
  <c r="AF224" i="20" s="1"/>
  <c r="AF174" i="20"/>
  <c r="AF188" i="20" s="1"/>
  <c r="AG137" i="12" s="1"/>
  <c r="AF171" i="20"/>
  <c r="AF173" i="20"/>
  <c r="AF182" i="20" s="1"/>
  <c r="AF144" i="19" s="1"/>
  <c r="AG125" i="14" s="1"/>
  <c r="AE190" i="20"/>
  <c r="AE192" i="20"/>
  <c r="AE191" i="20"/>
  <c r="AE193" i="20"/>
  <c r="AE189" i="20"/>
  <c r="AB246" i="19" l="1"/>
  <c r="BI41" i="55" s="1"/>
  <c r="AB242" i="19"/>
  <c r="AB243" i="19"/>
  <c r="AB247" i="19"/>
  <c r="BI42" i="55" s="1"/>
  <c r="AD287" i="20"/>
  <c r="AE40" i="55" s="1"/>
  <c r="AD289" i="20"/>
  <c r="AE42" i="55" s="1"/>
  <c r="AD284" i="20"/>
  <c r="AD286" i="20"/>
  <c r="AE39" i="55" s="1"/>
  <c r="AD288" i="20"/>
  <c r="AE41" i="55" s="1"/>
  <c r="AD285" i="20"/>
  <c r="DR38" i="55"/>
  <c r="DS35" i="55"/>
  <c r="AB244" i="19"/>
  <c r="BI39" i="55" s="1"/>
  <c r="DR84" i="55"/>
  <c r="DR65" i="55"/>
  <c r="DR64" i="55"/>
  <c r="DR62" i="55"/>
  <c r="DR85" i="55"/>
  <c r="DR63" i="55"/>
  <c r="DR88" i="55"/>
  <c r="DR61" i="55"/>
  <c r="DR86" i="55"/>
  <c r="DR87" i="55"/>
  <c r="DR42" i="55"/>
  <c r="DR40" i="55"/>
  <c r="DR41" i="55"/>
  <c r="DR39" i="55"/>
  <c r="BJ34" i="55"/>
  <c r="AC227" i="19"/>
  <c r="AC242" i="19" s="1"/>
  <c r="AB35" i="55"/>
  <c r="AB38" i="55"/>
  <c r="BG38" i="55"/>
  <c r="AE269" i="20"/>
  <c r="AE288" i="20" s="1"/>
  <c r="AF41" i="55" s="1"/>
  <c r="AF34" i="55"/>
  <c r="AD220" i="19"/>
  <c r="AD219" i="19"/>
  <c r="AD221" i="19"/>
  <c r="AD223" i="19"/>
  <c r="AD222" i="19"/>
  <c r="AD218" i="19"/>
  <c r="AC252" i="19"/>
  <c r="AD232" i="14"/>
  <c r="AD152" i="14"/>
  <c r="AD233" i="12"/>
  <c r="AD234" i="12" s="1"/>
  <c r="AE149" i="14"/>
  <c r="AE140" i="19"/>
  <c r="AF119" i="12"/>
  <c r="AE146" i="19"/>
  <c r="AF131" i="14" s="1"/>
  <c r="AF127" i="14" s="1"/>
  <c r="AF131" i="12"/>
  <c r="AF127" i="12" s="1"/>
  <c r="AF227" i="12" s="1"/>
  <c r="AE117" i="14"/>
  <c r="AE150" i="14" s="1"/>
  <c r="AE154" i="14"/>
  <c r="AE118" i="14"/>
  <c r="AE151" i="14" s="1"/>
  <c r="AE153" i="14"/>
  <c r="AE152" i="12"/>
  <c r="AF146" i="14"/>
  <c r="AE225" i="14" a="1"/>
  <c r="AE227" i="14"/>
  <c r="AG146" i="12"/>
  <c r="AG139" i="12"/>
  <c r="AG231" i="12" s="1"/>
  <c r="AE229" i="14"/>
  <c r="AE148" i="14"/>
  <c r="AF147" i="14"/>
  <c r="AF115" i="14"/>
  <c r="AE152" i="19"/>
  <c r="AF143" i="12"/>
  <c r="AF138" i="19"/>
  <c r="AG113" i="14" s="1"/>
  <c r="AG113" i="12"/>
  <c r="AE119" i="14"/>
  <c r="AD233" i="14"/>
  <c r="AD234" i="14" s="1"/>
  <c r="AF147" i="12"/>
  <c r="AF115" i="12"/>
  <c r="AE229" i="12"/>
  <c r="AE232" i="12" s="1"/>
  <c r="AE225" i="12" a="1"/>
  <c r="AE148" i="12"/>
  <c r="AE169" i="12" s="1"/>
  <c r="AE143" i="14"/>
  <c r="AD226" i="19"/>
  <c r="DW34" i="55" s="1"/>
  <c r="AD249" i="19"/>
  <c r="AD250" i="19" s="1"/>
  <c r="AD253" i="19" s="1"/>
  <c r="AF145" i="12"/>
  <c r="AF141" i="12" s="1"/>
  <c r="AF140" i="12"/>
  <c r="AC155" i="12"/>
  <c r="Y161" i="14"/>
  <c r="Z158" i="14"/>
  <c r="Z157" i="14"/>
  <c r="BF28" i="58" s="1"/>
  <c r="Z162" i="14"/>
  <c r="Z160" i="14" s="1"/>
  <c r="Z163" i="14"/>
  <c r="Z159" i="14" s="1"/>
  <c r="AB156" i="12"/>
  <c r="AB158" i="12" s="1"/>
  <c r="Y279" i="19"/>
  <c r="Z165" i="14" s="1"/>
  <c r="Z164" i="14"/>
  <c r="BF29" i="58" s="1"/>
  <c r="AF144" i="12"/>
  <c r="AF142" i="12" s="1"/>
  <c r="AB155" i="12"/>
  <c r="AE182" i="19"/>
  <c r="AE217" i="19" s="1"/>
  <c r="Z273" i="19"/>
  <c r="AA156" i="14"/>
  <c r="X161" i="14"/>
  <c r="Y321" i="20"/>
  <c r="Z164" i="12"/>
  <c r="Z29" i="58" s="1"/>
  <c r="Z321" i="20"/>
  <c r="AA164" i="12"/>
  <c r="AA29" i="58" s="1"/>
  <c r="AE149" i="12"/>
  <c r="AE147" i="19"/>
  <c r="AF132" i="14" s="1"/>
  <c r="AF130" i="14" s="1"/>
  <c r="AF132" i="12"/>
  <c r="AF130" i="12" s="1"/>
  <c r="AE150" i="12"/>
  <c r="AE154" i="12"/>
  <c r="Z162" i="12"/>
  <c r="Z160" i="12" s="1"/>
  <c r="Z158" i="12"/>
  <c r="Z157" i="12"/>
  <c r="Z28" i="58" s="1"/>
  <c r="Z163" i="12"/>
  <c r="Z159" i="12" s="1"/>
  <c r="AE148" i="19"/>
  <c r="AF133" i="14" s="1"/>
  <c r="AF129" i="14" s="1"/>
  <c r="AF133" i="12"/>
  <c r="AF129" i="12" s="1"/>
  <c r="AE151" i="12"/>
  <c r="AE153" i="12"/>
  <c r="AE145" i="19"/>
  <c r="AF128" i="14" s="1"/>
  <c r="AA158" i="12"/>
  <c r="AA162" i="12"/>
  <c r="AA160" i="12" s="1"/>
  <c r="AA157" i="12"/>
  <c r="AA28" i="58" s="1"/>
  <c r="AA163" i="12"/>
  <c r="AA159" i="12" s="1"/>
  <c r="AE153" i="19"/>
  <c r="AF144" i="14" s="1"/>
  <c r="AF142" i="14" s="1"/>
  <c r="AE141" i="19"/>
  <c r="AF120" i="14" s="1"/>
  <c r="AF120" i="12"/>
  <c r="AF118" i="12" s="1"/>
  <c r="AE139" i="19"/>
  <c r="AF116" i="14" s="1"/>
  <c r="AE154" i="19"/>
  <c r="AF145" i="14" s="1"/>
  <c r="AF141" i="14" s="1"/>
  <c r="AE151" i="19"/>
  <c r="AF140" i="14" s="1"/>
  <c r="AE155" i="19"/>
  <c r="AE143" i="19"/>
  <c r="AE142" i="19"/>
  <c r="AF121" i="14" s="1"/>
  <c r="AF121" i="12"/>
  <c r="AF117" i="12" s="1"/>
  <c r="AB261" i="19"/>
  <c r="AD298" i="20"/>
  <c r="AD303" i="20" s="1"/>
  <c r="AD304" i="20" s="1"/>
  <c r="AC254" i="19"/>
  <c r="AC255" i="19" s="1"/>
  <c r="AC257" i="19" s="1"/>
  <c r="AA262" i="19"/>
  <c r="AA271" i="19" s="1"/>
  <c r="AB156" i="14" s="1"/>
  <c r="AE295" i="20"/>
  <c r="AE296" i="20" s="1"/>
  <c r="AE297" i="20" s="1"/>
  <c r="AE299" i="20" s="1"/>
  <c r="AE294" i="20"/>
  <c r="AC256" i="19"/>
  <c r="Z278" i="19"/>
  <c r="AF150" i="19"/>
  <c r="AG137" i="14" s="1"/>
  <c r="AG139" i="14" s="1"/>
  <c r="AG231" i="14" s="1"/>
  <c r="AF223" i="20"/>
  <c r="AF268" i="20"/>
  <c r="AF291" i="20"/>
  <c r="AF292" i="20" s="1"/>
  <c r="AB313" i="20"/>
  <c r="AC35" i="55" s="1"/>
  <c r="AA315" i="20"/>
  <c r="AA320" i="20"/>
  <c r="AF189" i="20"/>
  <c r="AF191" i="20"/>
  <c r="AF192" i="20"/>
  <c r="AF193" i="20"/>
  <c r="AF190" i="20"/>
  <c r="AF184" i="20"/>
  <c r="AF185" i="20"/>
  <c r="AF186" i="20"/>
  <c r="AF183" i="20"/>
  <c r="AG128" i="12" s="1"/>
  <c r="AF187" i="20"/>
  <c r="AF149" i="19" s="1"/>
  <c r="AF178" i="20"/>
  <c r="AF177" i="20"/>
  <c r="AG116" i="12" s="1"/>
  <c r="AF181" i="20"/>
  <c r="AF180" i="20"/>
  <c r="AF179" i="20"/>
  <c r="AC247" i="19" l="1"/>
  <c r="BJ42" i="55" s="1"/>
  <c r="AE287" i="20"/>
  <c r="AF40" i="55" s="1"/>
  <c r="AE284" i="20"/>
  <c r="AE289" i="20"/>
  <c r="AF42" i="55" s="1"/>
  <c r="AE286" i="20"/>
  <c r="AF39" i="55" s="1"/>
  <c r="AE285" i="20"/>
  <c r="DS84" i="55"/>
  <c r="DS65" i="55"/>
  <c r="DS64" i="55"/>
  <c r="DS62" i="55"/>
  <c r="DS88" i="55"/>
  <c r="DS63" i="55"/>
  <c r="DS87" i="55"/>
  <c r="DS61" i="55"/>
  <c r="DS85" i="55"/>
  <c r="DS86" i="55"/>
  <c r="DS40" i="55"/>
  <c r="DS41" i="55"/>
  <c r="DS39" i="55"/>
  <c r="DS42" i="55"/>
  <c r="AC245" i="19"/>
  <c r="BJ40" i="55" s="1"/>
  <c r="DS38" i="55"/>
  <c r="AC246" i="19"/>
  <c r="BJ41" i="55" s="1"/>
  <c r="AC243" i="19"/>
  <c r="AC38" i="55"/>
  <c r="BK34" i="55"/>
  <c r="AD227" i="19"/>
  <c r="AD242" i="19" s="1"/>
  <c r="AF269" i="20"/>
  <c r="AG34" i="55"/>
  <c r="AC244" i="19"/>
  <c r="BJ39" i="55" s="1"/>
  <c r="AE220" i="19"/>
  <c r="AE222" i="19"/>
  <c r="AE218" i="19"/>
  <c r="AE221" i="19"/>
  <c r="AE219" i="19"/>
  <c r="AE223" i="19"/>
  <c r="AE249" i="19"/>
  <c r="AE250" i="19" s="1"/>
  <c r="AE253" i="19" s="1"/>
  <c r="AB157" i="12"/>
  <c r="AB28" i="58" s="1"/>
  <c r="AF143" i="14"/>
  <c r="AD252" i="19"/>
  <c r="AE152" i="14"/>
  <c r="AE226" i="19"/>
  <c r="DX34" i="55" s="1"/>
  <c r="AE233" i="14"/>
  <c r="AE234" i="14" s="1"/>
  <c r="AG147" i="12"/>
  <c r="AG115" i="12"/>
  <c r="AF229" i="14"/>
  <c r="AF148" i="14"/>
  <c r="AF118" i="14"/>
  <c r="AF151" i="14" s="1"/>
  <c r="AF153" i="14"/>
  <c r="AF229" i="12"/>
  <c r="AF232" i="12" s="1"/>
  <c r="AF225" i="12" a="1"/>
  <c r="AF148" i="12"/>
  <c r="AF169" i="12" s="1"/>
  <c r="AF117" i="14"/>
  <c r="AF150" i="14" s="1"/>
  <c r="AF154" i="14"/>
  <c r="AF146" i="19"/>
  <c r="AG131" i="14" s="1"/>
  <c r="AG127" i="14" s="1"/>
  <c r="AG227" i="14" s="1"/>
  <c r="AG131" i="12"/>
  <c r="AG127" i="12" s="1"/>
  <c r="AG227" i="12" s="1"/>
  <c r="AF149" i="14"/>
  <c r="AE233" i="12"/>
  <c r="AE234" i="12" s="1"/>
  <c r="AG146" i="14"/>
  <c r="AG147" i="14"/>
  <c r="AG115" i="14"/>
  <c r="AF152" i="12"/>
  <c r="AF225" i="14" a="1"/>
  <c r="AF227" i="14"/>
  <c r="AF140" i="19"/>
  <c r="AG119" i="12"/>
  <c r="AF152" i="19"/>
  <c r="AG143" i="12"/>
  <c r="AE232" i="14"/>
  <c r="AF119" i="14"/>
  <c r="AB162" i="12"/>
  <c r="AB160" i="12" s="1"/>
  <c r="AB163" i="12"/>
  <c r="AB159" i="12" s="1"/>
  <c r="AG140" i="12"/>
  <c r="Z161" i="14"/>
  <c r="AG144" i="12"/>
  <c r="AG142" i="12" s="1"/>
  <c r="AF182" i="19"/>
  <c r="AF249" i="19" s="1"/>
  <c r="AF250" i="19" s="1"/>
  <c r="AB158" i="14"/>
  <c r="AB162" i="14"/>
  <c r="AB160" i="14" s="1"/>
  <c r="Z165" i="12"/>
  <c r="AA165" i="12"/>
  <c r="AA158" i="14"/>
  <c r="AA162" i="14"/>
  <c r="AA160" i="14" s="1"/>
  <c r="AA157" i="14"/>
  <c r="BG28" i="58" s="1"/>
  <c r="AA163" i="14"/>
  <c r="AA159" i="14" s="1"/>
  <c r="AG145" i="12"/>
  <c r="AG141" i="12" s="1"/>
  <c r="Z279" i="19"/>
  <c r="AA165" i="14" s="1"/>
  <c r="AA164" i="14"/>
  <c r="BG29" i="58" s="1"/>
  <c r="AA321" i="20"/>
  <c r="AB164" i="12"/>
  <c r="AB29" i="58" s="1"/>
  <c r="AF148" i="19"/>
  <c r="AG133" i="14" s="1"/>
  <c r="AG129" i="14" s="1"/>
  <c r="AG133" i="12"/>
  <c r="AG129" i="12" s="1"/>
  <c r="AF150" i="12"/>
  <c r="AF154" i="12"/>
  <c r="AF147" i="19"/>
  <c r="AG132" i="14" s="1"/>
  <c r="AG130" i="14" s="1"/>
  <c r="AG132" i="12"/>
  <c r="AG130" i="12" s="1"/>
  <c r="AF151" i="12"/>
  <c r="AF153" i="12"/>
  <c r="AF149" i="12"/>
  <c r="AA161" i="12"/>
  <c r="Z161" i="12"/>
  <c r="AB320" i="20"/>
  <c r="AC156" i="12"/>
  <c r="AF145" i="19"/>
  <c r="AG128" i="14" s="1"/>
  <c r="AF155" i="19"/>
  <c r="AF139" i="19"/>
  <c r="AG116" i="14" s="1"/>
  <c r="AF141" i="19"/>
  <c r="AG120" i="14" s="1"/>
  <c r="AG120" i="12"/>
  <c r="AG118" i="12" s="1"/>
  <c r="AF154" i="19"/>
  <c r="AG145" i="14" s="1"/>
  <c r="AG141" i="14" s="1"/>
  <c r="AF153" i="19"/>
  <c r="AG144" i="14" s="1"/>
  <c r="AG142" i="14" s="1"/>
  <c r="AF151" i="19"/>
  <c r="AG140" i="14" s="1"/>
  <c r="AF143" i="19"/>
  <c r="AF142" i="19"/>
  <c r="AG121" i="14" s="1"/>
  <c r="AG121" i="12"/>
  <c r="AG117" i="12" s="1"/>
  <c r="AF295" i="20"/>
  <c r="AF296" i="20" s="1"/>
  <c r="AF297" i="20" s="1"/>
  <c r="AF299" i="20" s="1"/>
  <c r="AF294" i="20"/>
  <c r="AA269" i="19"/>
  <c r="DT35" i="55" s="1"/>
  <c r="AD254" i="19"/>
  <c r="AD255" i="19" s="1"/>
  <c r="AD257" i="19" s="1"/>
  <c r="AC261" i="19"/>
  <c r="AE298" i="20"/>
  <c r="AE303" i="20" s="1"/>
  <c r="AE304" i="20" s="1"/>
  <c r="AD256" i="19"/>
  <c r="AB262" i="19"/>
  <c r="AB271" i="19" s="1"/>
  <c r="AC156" i="14" s="1"/>
  <c r="AB315" i="20"/>
  <c r="AC313" i="20"/>
  <c r="AC311" i="20"/>
  <c r="AD243" i="19" l="1"/>
  <c r="AD246" i="19"/>
  <c r="BK41" i="55" s="1"/>
  <c r="AF285" i="20"/>
  <c r="AF287" i="20"/>
  <c r="AG40" i="55" s="1"/>
  <c r="AF284" i="20"/>
  <c r="AF286" i="20"/>
  <c r="AG39" i="55" s="1"/>
  <c r="AF289" i="20"/>
  <c r="AG42" i="55" s="1"/>
  <c r="AF288" i="20"/>
  <c r="AG41" i="55" s="1"/>
  <c r="AD245" i="19"/>
  <c r="BK40" i="55" s="1"/>
  <c r="AD247" i="19"/>
  <c r="BK42" i="55" s="1"/>
  <c r="AB155" i="14"/>
  <c r="BH35" i="55"/>
  <c r="DT86" i="55" s="1"/>
  <c r="BH38" i="55"/>
  <c r="AD35" i="55"/>
  <c r="AD38" i="55"/>
  <c r="AD244" i="19"/>
  <c r="BK39" i="55" s="1"/>
  <c r="BL34" i="55"/>
  <c r="AE227" i="19"/>
  <c r="AE245" i="19" s="1"/>
  <c r="BL40" i="55" s="1"/>
  <c r="AE252" i="19"/>
  <c r="AF152" i="14"/>
  <c r="AB161" i="12"/>
  <c r="AF233" i="12"/>
  <c r="AF234" i="12" s="1"/>
  <c r="AF232" i="14"/>
  <c r="AF233" i="14"/>
  <c r="AF234" i="14" s="1"/>
  <c r="AG149" i="14"/>
  <c r="AG152" i="12"/>
  <c r="AG119" i="14"/>
  <c r="AG229" i="14"/>
  <c r="AG232" i="14" s="1"/>
  <c r="AG225" i="14" a="1"/>
  <c r="AG148" i="14"/>
  <c r="AG118" i="14"/>
  <c r="AG151" i="14" s="1"/>
  <c r="AG153" i="14"/>
  <c r="AG229" i="12"/>
  <c r="AG232" i="12" s="1"/>
  <c r="AG148" i="12"/>
  <c r="AG169" i="12" s="1"/>
  <c r="AG225" i="12" a="1"/>
  <c r="AG117" i="14"/>
  <c r="AG150" i="14" s="1"/>
  <c r="AG154" i="14"/>
  <c r="AG143" i="14"/>
  <c r="AF226" i="19"/>
  <c r="DY34" i="55" s="1"/>
  <c r="AF217" i="19"/>
  <c r="AD155" i="12"/>
  <c r="AA161" i="14"/>
  <c r="AB165" i="12"/>
  <c r="AD156" i="12"/>
  <c r="AD158" i="12" s="1"/>
  <c r="AC158" i="14"/>
  <c r="AC162" i="14"/>
  <c r="AC160" i="14" s="1"/>
  <c r="AG150" i="12"/>
  <c r="AB321" i="20"/>
  <c r="AC164" i="12"/>
  <c r="AC29" i="58" s="1"/>
  <c r="AG149" i="12"/>
  <c r="AG154" i="12"/>
  <c r="AG151" i="12"/>
  <c r="AG153" i="12"/>
  <c r="AC158" i="12"/>
  <c r="AC162" i="12"/>
  <c r="AC160" i="12" s="1"/>
  <c r="AC163" i="12"/>
  <c r="AC159" i="12" s="1"/>
  <c r="AC157" i="12"/>
  <c r="AC28" i="58" s="1"/>
  <c r="AB269" i="19"/>
  <c r="DU35" i="55" s="1"/>
  <c r="AF298" i="20"/>
  <c r="AF303" i="20" s="1"/>
  <c r="AF304" i="20" s="1"/>
  <c r="AC262" i="19"/>
  <c r="AC271" i="19" s="1"/>
  <c r="AD156" i="14" s="1"/>
  <c r="AD261" i="19"/>
  <c r="AE254" i="19"/>
  <c r="AE255" i="19" s="1"/>
  <c r="AE257" i="19" s="1"/>
  <c r="AA273" i="19"/>
  <c r="AA278" i="19"/>
  <c r="AF253" i="19"/>
  <c r="AF252" i="19"/>
  <c r="AE256" i="19"/>
  <c r="AC315" i="20"/>
  <c r="AC320" i="20"/>
  <c r="AD313" i="20"/>
  <c r="AD311" i="20"/>
  <c r="AE311" i="20"/>
  <c r="AB157" i="14" l="1"/>
  <c r="BH28" i="58" s="1"/>
  <c r="AB163" i="14"/>
  <c r="AB159" i="14" s="1"/>
  <c r="AE244" i="19"/>
  <c r="BL39" i="55" s="1"/>
  <c r="DT42" i="55"/>
  <c r="DT88" i="55"/>
  <c r="DT39" i="55"/>
  <c r="DT61" i="55"/>
  <c r="DT40" i="55"/>
  <c r="DT87" i="55"/>
  <c r="DT41" i="55"/>
  <c r="DT65" i="55"/>
  <c r="DT63" i="55"/>
  <c r="DT85" i="55"/>
  <c r="DT64" i="55"/>
  <c r="DT62" i="55"/>
  <c r="DT84" i="55"/>
  <c r="AE247" i="19"/>
  <c r="BL42" i="55" s="1"/>
  <c r="DT38" i="55"/>
  <c r="AE35" i="55"/>
  <c r="AE38" i="55"/>
  <c r="BM34" i="55"/>
  <c r="AF227" i="19"/>
  <c r="AF243" i="19" s="1"/>
  <c r="BI35" i="55"/>
  <c r="DU65" i="55" s="1"/>
  <c r="BI38" i="55"/>
  <c r="DU38" i="55" s="1"/>
  <c r="AE242" i="19"/>
  <c r="AE246" i="19"/>
  <c r="BL41" i="55" s="1"/>
  <c r="AE243" i="19"/>
  <c r="AG233" i="14"/>
  <c r="AG234" i="14" s="1"/>
  <c r="AF221" i="19"/>
  <c r="AF220" i="19"/>
  <c r="AF222" i="19"/>
  <c r="AF218" i="19"/>
  <c r="AF219" i="19"/>
  <c r="AF223" i="19"/>
  <c r="AG233" i="12"/>
  <c r="AG234" i="12" s="1"/>
  <c r="AG152" i="14"/>
  <c r="AD162" i="12"/>
  <c r="AD160" i="12" s="1"/>
  <c r="AD163" i="12"/>
  <c r="AD159" i="12" s="1"/>
  <c r="AD157" i="12"/>
  <c r="AD28" i="58" s="1"/>
  <c r="AE155" i="12"/>
  <c r="AC165" i="12"/>
  <c r="AE156" i="12"/>
  <c r="AE162" i="12" s="1"/>
  <c r="AE160" i="12" s="1"/>
  <c r="AD158" i="14"/>
  <c r="AD162" i="14"/>
  <c r="AD160" i="14" s="1"/>
  <c r="AF155" i="12"/>
  <c r="AA279" i="19"/>
  <c r="AB165" i="14" s="1"/>
  <c r="AB164" i="14"/>
  <c r="BH29" i="58" s="1"/>
  <c r="AB273" i="19"/>
  <c r="AC155" i="14"/>
  <c r="AC321" i="20"/>
  <c r="AD164" i="12"/>
  <c r="AD29" i="58" s="1"/>
  <c r="AC161" i="12"/>
  <c r="AB278" i="19"/>
  <c r="AC269" i="19"/>
  <c r="DV35" i="55" s="1"/>
  <c r="AF254" i="19"/>
  <c r="AF255" i="19" s="1"/>
  <c r="AF257" i="19" s="1"/>
  <c r="AD262" i="19"/>
  <c r="AD269" i="19" s="1"/>
  <c r="AF256" i="19"/>
  <c r="AE261" i="19"/>
  <c r="AE262" i="19" s="1"/>
  <c r="AE269" i="19" s="1"/>
  <c r="AD315" i="20"/>
  <c r="AD320" i="20"/>
  <c r="AF311" i="20"/>
  <c r="AE313" i="20"/>
  <c r="AF35" i="55" s="1"/>
  <c r="AB161" i="14" l="1"/>
  <c r="AF247" i="19"/>
  <c r="BM42" i="55" s="1"/>
  <c r="AF246" i="19"/>
  <c r="BM41" i="55" s="1"/>
  <c r="AF242" i="19"/>
  <c r="DU62" i="55"/>
  <c r="DU39" i="55"/>
  <c r="DU63" i="55"/>
  <c r="DU41" i="55"/>
  <c r="DU84" i="55"/>
  <c r="AF245" i="19"/>
  <c r="BM40" i="55" s="1"/>
  <c r="DU42" i="55"/>
  <c r="DU88" i="55"/>
  <c r="DU40" i="55"/>
  <c r="DU85" i="55"/>
  <c r="AF244" i="19"/>
  <c r="BM39" i="55" s="1"/>
  <c r="DU64" i="55"/>
  <c r="DU61" i="55"/>
  <c r="DU87" i="55"/>
  <c r="DU86" i="55"/>
  <c r="AE155" i="14"/>
  <c r="AC273" i="19"/>
  <c r="BJ35" i="55"/>
  <c r="DV61" i="55" s="1"/>
  <c r="BJ38" i="55"/>
  <c r="AF38" i="55"/>
  <c r="AF155" i="14"/>
  <c r="AE157" i="12"/>
  <c r="AE28" i="58" s="1"/>
  <c r="AD161" i="12"/>
  <c r="AE163" i="12"/>
  <c r="AE159" i="12" s="1"/>
  <c r="AG155" i="12"/>
  <c r="AC157" i="14"/>
  <c r="BI28" i="58" s="1"/>
  <c r="AC163" i="14"/>
  <c r="AC159" i="14" s="1"/>
  <c r="AB279" i="19"/>
  <c r="AC165" i="14" s="1"/>
  <c r="AC164" i="14"/>
  <c r="BI29" i="58" s="1"/>
  <c r="AE158" i="12"/>
  <c r="AD165" i="12"/>
  <c r="AC278" i="19"/>
  <c r="AD155" i="14"/>
  <c r="AD321" i="20"/>
  <c r="AE164" i="12"/>
  <c r="AE29" i="58" s="1"/>
  <c r="AE315" i="20"/>
  <c r="AF156" i="12"/>
  <c r="AF261" i="19"/>
  <c r="AF262" i="19" s="1"/>
  <c r="AF269" i="19" s="1"/>
  <c r="AE271" i="19"/>
  <c r="BL38" i="55" s="1"/>
  <c r="AD271" i="19"/>
  <c r="BK38" i="55" s="1"/>
  <c r="AE320" i="20"/>
  <c r="AF313" i="20"/>
  <c r="AG35" i="55" s="1"/>
  <c r="DV38" i="55" l="1"/>
  <c r="DV41" i="55"/>
  <c r="DV88" i="55"/>
  <c r="DW35" i="55"/>
  <c r="DV42" i="55"/>
  <c r="DV63" i="55"/>
  <c r="DV65" i="55"/>
  <c r="DV85" i="55"/>
  <c r="BK35" i="55"/>
  <c r="DV64" i="55"/>
  <c r="DV62" i="55"/>
  <c r="DV84" i="55"/>
  <c r="DV86" i="55"/>
  <c r="DV40" i="55"/>
  <c r="DV87" i="55"/>
  <c r="DV39" i="55"/>
  <c r="DX35" i="55"/>
  <c r="BL35" i="55"/>
  <c r="AG155" i="14"/>
  <c r="AG38" i="55"/>
  <c r="AE161" i="12"/>
  <c r="AC161" i="14"/>
  <c r="AC279" i="19"/>
  <c r="AD165" i="14" s="1"/>
  <c r="AD164" i="14"/>
  <c r="BJ29" i="58" s="1"/>
  <c r="AD273" i="19"/>
  <c r="AE156" i="14"/>
  <c r="AE278" i="19"/>
  <c r="AF156" i="14"/>
  <c r="AD157" i="14"/>
  <c r="BJ28" i="58" s="1"/>
  <c r="AD163" i="14"/>
  <c r="AD159" i="14" s="1"/>
  <c r="AE165" i="12"/>
  <c r="AE321" i="20"/>
  <c r="AF164" i="12"/>
  <c r="AF29" i="58" s="1"/>
  <c r="AF162" i="12"/>
  <c r="AF160" i="12" s="1"/>
  <c r="AF163" i="12"/>
  <c r="AF159" i="12" s="1"/>
  <c r="AF158" i="12"/>
  <c r="AF157" i="12"/>
  <c r="AF28" i="58" s="1"/>
  <c r="AF315" i="20"/>
  <c r="AG156" i="12"/>
  <c r="AE273" i="19"/>
  <c r="AF271" i="19"/>
  <c r="BM35" i="55" s="1"/>
  <c r="AD278" i="19"/>
  <c r="AF320" i="20"/>
  <c r="DW38" i="55" l="1"/>
  <c r="DY35" i="55"/>
  <c r="DX84" i="55"/>
  <c r="DX62" i="55"/>
  <c r="DX65" i="55"/>
  <c r="DX63" i="55"/>
  <c r="DX86" i="55"/>
  <c r="DX64" i="55"/>
  <c r="DX85" i="55"/>
  <c r="DX61" i="55"/>
  <c r="DX87" i="55"/>
  <c r="DX88" i="55"/>
  <c r="DX39" i="55"/>
  <c r="DX40" i="55"/>
  <c r="DX41" i="55"/>
  <c r="DX42" i="55"/>
  <c r="DW87" i="55"/>
  <c r="DW63" i="55"/>
  <c r="DW88" i="55"/>
  <c r="DW61" i="55"/>
  <c r="DW86" i="55"/>
  <c r="DW85" i="55"/>
  <c r="DW84" i="55"/>
  <c r="DW62" i="55"/>
  <c r="DW65" i="55"/>
  <c r="DW64" i="55"/>
  <c r="DW40" i="55"/>
  <c r="DW42" i="55"/>
  <c r="DW41" i="55"/>
  <c r="DW39" i="55"/>
  <c r="DX38" i="55"/>
  <c r="BM38" i="55"/>
  <c r="AD161" i="14"/>
  <c r="AF158" i="14"/>
  <c r="AF162" i="14"/>
  <c r="AF160" i="14" s="1"/>
  <c r="AF157" i="14"/>
  <c r="BL28" i="58" s="1"/>
  <c r="AF163" i="14"/>
  <c r="AF159" i="14" s="1"/>
  <c r="AD279" i="19"/>
  <c r="AE165" i="14" s="1"/>
  <c r="AE164" i="14"/>
  <c r="BK29" i="58" s="1"/>
  <c r="AE279" i="19"/>
  <c r="AF165" i="14" s="1"/>
  <c r="AF164" i="14"/>
  <c r="BL29" i="58" s="1"/>
  <c r="AF165" i="12"/>
  <c r="AF278" i="19"/>
  <c r="AG156" i="14"/>
  <c r="AE158" i="14"/>
  <c r="AE162" i="14"/>
  <c r="AE160" i="14" s="1"/>
  <c r="AE157" i="14"/>
  <c r="BK28" i="58" s="1"/>
  <c r="AE163" i="14"/>
  <c r="AE159" i="14" s="1"/>
  <c r="AF321" i="20"/>
  <c r="AG164" i="12"/>
  <c r="AG29" i="58" s="1"/>
  <c r="AF161" i="12"/>
  <c r="AG158" i="12"/>
  <c r="AG162" i="12"/>
  <c r="AG160" i="12" s="1"/>
  <c r="AG157" i="12"/>
  <c r="AG28" i="58" s="1"/>
  <c r="AG163" i="12"/>
  <c r="AG159" i="12" s="1"/>
  <c r="AF273" i="19"/>
  <c r="DY38" i="55" l="1"/>
  <c r="DY87" i="55"/>
  <c r="DY63" i="55"/>
  <c r="DY85" i="55"/>
  <c r="DY61" i="55"/>
  <c r="DY86" i="55"/>
  <c r="DY88" i="55"/>
  <c r="DY84" i="55"/>
  <c r="DY62" i="55"/>
  <c r="DY65" i="55"/>
  <c r="DY64" i="55"/>
  <c r="DY41" i="55"/>
  <c r="DY42" i="55"/>
  <c r="DY39" i="55"/>
  <c r="DY40" i="55"/>
  <c r="AF279" i="19"/>
  <c r="AG165" i="14" s="1"/>
  <c r="AG164" i="14"/>
  <c r="BM29" i="58" s="1"/>
  <c r="AE161" i="14"/>
  <c r="AG162" i="14"/>
  <c r="AG160" i="14" s="1"/>
  <c r="AG158" i="14"/>
  <c r="AG157" i="14"/>
  <c r="BM28" i="58" s="1"/>
  <c r="AG163" i="14"/>
  <c r="AG159" i="14" s="1"/>
  <c r="AF161" i="14"/>
  <c r="AG165" i="12"/>
  <c r="AG161" i="12"/>
  <c r="AG161" i="14" l="1"/>
  <c r="AG107" i="38"/>
  <c r="AG75" i="38"/>
  <c r="AG74" i="38"/>
  <c r="AF98" i="38"/>
  <c r="AF99" i="38"/>
  <c r="AF97" i="38"/>
  <c r="AF74" i="38"/>
  <c r="AF75" i="38"/>
  <c r="AE98" i="38"/>
  <c r="AD105" i="38"/>
  <c r="AE75" i="38"/>
  <c r="AE74" i="38"/>
  <c r="AD98" i="38"/>
  <c r="AD81" i="38"/>
  <c r="AD74" i="38"/>
  <c r="AD75" i="38"/>
  <c r="AC74" i="38"/>
  <c r="AC75" i="38"/>
  <c r="AB82" i="38"/>
  <c r="AB105" i="38"/>
  <c r="AA105" i="38"/>
  <c r="AB74" i="38"/>
  <c r="AB75" i="38"/>
  <c r="AA75" i="38"/>
  <c r="AA74" i="38"/>
  <c r="Z75" i="38"/>
  <c r="Z74" i="38"/>
  <c r="Y97" i="38"/>
  <c r="Y99" i="38"/>
  <c r="Y105" i="38"/>
  <c r="Y82" i="38"/>
  <c r="Y74" i="38"/>
  <c r="Y75" i="38"/>
  <c r="X105" i="38"/>
  <c r="X82" i="38"/>
  <c r="W105" i="38"/>
  <c r="X74" i="38"/>
  <c r="X75" i="38"/>
  <c r="W98" i="38"/>
  <c r="W75" i="38"/>
  <c r="W74" i="38"/>
  <c r="V105" i="38"/>
  <c r="V99" i="38"/>
  <c r="V74" i="38"/>
  <c r="V75" i="38"/>
  <c r="U97" i="38"/>
  <c r="U105" i="38"/>
  <c r="U83" i="38"/>
  <c r="U75" i="38"/>
  <c r="U74" i="38"/>
  <c r="T75" i="38"/>
  <c r="T74" i="38"/>
  <c r="S74" i="38"/>
  <c r="S75" i="38"/>
  <c r="R99" i="38"/>
  <c r="R105" i="38"/>
  <c r="R82" i="38"/>
  <c r="R74" i="38"/>
  <c r="R75" i="38"/>
  <c r="Q99" i="38"/>
  <c r="Q107" i="38"/>
  <c r="Q83" i="38"/>
  <c r="Q75" i="38"/>
  <c r="Q74" i="38"/>
  <c r="P105" i="38"/>
  <c r="P98" i="38"/>
  <c r="P81" i="38"/>
  <c r="P74" i="38"/>
  <c r="P75" i="38"/>
  <c r="O99" i="38"/>
  <c r="O97" i="38"/>
  <c r="O105" i="38"/>
  <c r="O81" i="38"/>
  <c r="O75" i="38"/>
  <c r="O74" i="38"/>
  <c r="N106" i="38"/>
  <c r="N105" i="38"/>
  <c r="N97" i="38"/>
  <c r="N75" i="38"/>
  <c r="N74" i="38"/>
  <c r="M81" i="38"/>
  <c r="M74" i="38"/>
  <c r="M75" i="38"/>
  <c r="L82" i="38"/>
  <c r="L98" i="38"/>
  <c r="L97" i="38"/>
  <c r="L74" i="38"/>
  <c r="L75" i="38"/>
  <c r="K97" i="38"/>
  <c r="K107" i="38"/>
  <c r="J81" i="38"/>
  <c r="K74" i="38"/>
  <c r="K75" i="38"/>
  <c r="J106" i="38"/>
  <c r="J83" i="38"/>
  <c r="J74" i="38"/>
  <c r="J75" i="38"/>
  <c r="I75" i="38"/>
  <c r="I74" i="38"/>
  <c r="H99" i="38"/>
  <c r="H74" i="38"/>
  <c r="H75" i="38"/>
  <c r="G74" i="38"/>
  <c r="G75" i="38"/>
  <c r="F74" i="38"/>
  <c r="F75" i="38"/>
  <c r="E108" i="38"/>
  <c r="E75" i="38"/>
  <c r="E74" i="38"/>
  <c r="D97" i="38"/>
  <c r="D105" i="38"/>
  <c r="D75" i="38"/>
  <c r="D74" i="38"/>
  <c r="C105" i="38"/>
  <c r="C93" i="38"/>
  <c r="F99" i="36" l="1"/>
  <c r="AL99" i="36" s="1"/>
  <c r="H84" i="38"/>
  <c r="C100" i="38"/>
  <c r="D106" i="38"/>
  <c r="R81" i="38"/>
  <c r="T106" i="38"/>
  <c r="T99" i="38"/>
  <c r="W107" i="38"/>
  <c r="AF82" i="38"/>
  <c r="AG83" i="38"/>
  <c r="AD106" i="38"/>
  <c r="U98" i="38"/>
  <c r="C83" i="38"/>
  <c r="C87" i="38" s="1"/>
  <c r="C99" i="38"/>
  <c r="Q103" i="38" s="1"/>
  <c r="D83" i="38"/>
  <c r="E100" i="38"/>
  <c r="J82" i="38"/>
  <c r="T83" i="38"/>
  <c r="U107" i="38"/>
  <c r="AF93" i="38"/>
  <c r="E81" i="38"/>
  <c r="G82" i="38"/>
  <c r="G108" i="38"/>
  <c r="G99" i="38"/>
  <c r="H81" i="38"/>
  <c r="G105" i="38"/>
  <c r="G109" i="38" s="1"/>
  <c r="H107" i="38"/>
  <c r="H105" i="38"/>
  <c r="H109" i="38" s="1"/>
  <c r="I107" i="38"/>
  <c r="J107" i="38"/>
  <c r="I105" i="38"/>
  <c r="I109" i="38" s="1"/>
  <c r="K98" i="38"/>
  <c r="L93" i="38"/>
  <c r="L107" i="38"/>
  <c r="P83" i="38"/>
  <c r="P82" i="38"/>
  <c r="Q81" i="38"/>
  <c r="R98" i="38"/>
  <c r="S99" i="38"/>
  <c r="W99" i="38"/>
  <c r="H82" i="38"/>
  <c r="F84" i="38"/>
  <c r="F81" i="38"/>
  <c r="F107" i="38"/>
  <c r="G83" i="38"/>
  <c r="G81" i="38"/>
  <c r="H93" i="38"/>
  <c r="H106" i="38"/>
  <c r="I106" i="38"/>
  <c r="J93" i="38"/>
  <c r="J100" i="38"/>
  <c r="J105" i="38"/>
  <c r="J109" i="38" s="1"/>
  <c r="M82" i="38"/>
  <c r="M83" i="38"/>
  <c r="N107" i="38"/>
  <c r="O83" i="38"/>
  <c r="O100" i="38"/>
  <c r="P107" i="38"/>
  <c r="P97" i="38"/>
  <c r="Q106" i="38"/>
  <c r="R93" i="38"/>
  <c r="R97" i="38"/>
  <c r="S98" i="38"/>
  <c r="X81" i="38"/>
  <c r="AA107" i="38"/>
  <c r="H83" i="38"/>
  <c r="S81" i="38"/>
  <c r="Y106" i="38"/>
  <c r="D82" i="38"/>
  <c r="D107" i="38"/>
  <c r="E93" i="38"/>
  <c r="E83" i="38"/>
  <c r="F106" i="38"/>
  <c r="G93" i="38"/>
  <c r="F105" i="38"/>
  <c r="F109" i="38" s="1"/>
  <c r="K82" i="38"/>
  <c r="L99" i="38"/>
  <c r="L103" i="38" s="1"/>
  <c r="L81" i="38"/>
  <c r="L106" i="38"/>
  <c r="M93" i="38"/>
  <c r="L105" i="38"/>
  <c r="L109" i="38" s="1"/>
  <c r="O82" i="38"/>
  <c r="O93" i="38"/>
  <c r="O106" i="38"/>
  <c r="P93" i="38"/>
  <c r="R106" i="38"/>
  <c r="S93" i="38"/>
  <c r="S107" i="38"/>
  <c r="T107" i="38"/>
  <c r="U99" i="38"/>
  <c r="V106" i="38"/>
  <c r="X83" i="38"/>
  <c r="Y107" i="38"/>
  <c r="AD99" i="38"/>
  <c r="AD107" i="38"/>
  <c r="AE106" i="38"/>
  <c r="F93" i="38"/>
  <c r="K93" i="38"/>
  <c r="U109" i="38"/>
  <c r="C109" i="38"/>
  <c r="D109" i="38"/>
  <c r="I93" i="38"/>
  <c r="N84" i="38"/>
  <c r="N83" i="38"/>
  <c r="R109" i="38"/>
  <c r="C81" i="38"/>
  <c r="O85" i="38" s="1"/>
  <c r="C151" i="38"/>
  <c r="C108" i="38"/>
  <c r="C168" i="38"/>
  <c r="AC100" i="38"/>
  <c r="Z100" i="38"/>
  <c r="U100" i="38"/>
  <c r="P100" i="38"/>
  <c r="AB100" i="38"/>
  <c r="C98" i="38"/>
  <c r="L102" i="38" s="1"/>
  <c r="C160" i="38"/>
  <c r="D93" i="38"/>
  <c r="D84" i="38"/>
  <c r="D108" i="38"/>
  <c r="D100" i="38"/>
  <c r="D81" i="38"/>
  <c r="E82" i="38"/>
  <c r="E98" i="38"/>
  <c r="E107" i="38"/>
  <c r="E106" i="38"/>
  <c r="F83" i="38"/>
  <c r="F98" i="38"/>
  <c r="F97" i="38"/>
  <c r="F100" i="38"/>
  <c r="F108" i="38"/>
  <c r="G84" i="38"/>
  <c r="H100" i="38"/>
  <c r="I81" i="38"/>
  <c r="I83" i="38"/>
  <c r="I82" i="38"/>
  <c r="I84" i="38"/>
  <c r="I108" i="38"/>
  <c r="J84" i="38"/>
  <c r="K84" i="38"/>
  <c r="K105" i="38"/>
  <c r="K109" i="38" s="1"/>
  <c r="K108" i="38"/>
  <c r="M84" i="38"/>
  <c r="M99" i="38"/>
  <c r="M97" i="38"/>
  <c r="M98" i="38"/>
  <c r="M100" i="38"/>
  <c r="N81" i="38"/>
  <c r="O84" i="38"/>
  <c r="AE81" i="38"/>
  <c r="AE82" i="38"/>
  <c r="AE93" i="38"/>
  <c r="AE83" i="38"/>
  <c r="AE84" i="38"/>
  <c r="M106" i="38"/>
  <c r="M107" i="38"/>
  <c r="M108" i="38"/>
  <c r="N82" i="38"/>
  <c r="M105" i="38"/>
  <c r="M109" i="38" s="1"/>
  <c r="C241" i="38"/>
  <c r="C107" i="38"/>
  <c r="C106" i="38"/>
  <c r="D99" i="38"/>
  <c r="E97" i="38"/>
  <c r="E99" i="38"/>
  <c r="F241" i="38"/>
  <c r="F82" i="38"/>
  <c r="F99" i="38"/>
  <c r="E105" i="38"/>
  <c r="E109" i="38" s="1"/>
  <c r="G107" i="38"/>
  <c r="G100" i="38"/>
  <c r="H108" i="38"/>
  <c r="I100" i="38"/>
  <c r="I97" i="38"/>
  <c r="I98" i="38"/>
  <c r="I99" i="38"/>
  <c r="J108" i="38"/>
  <c r="K106" i="38"/>
  <c r="K100" i="38"/>
  <c r="N109" i="38"/>
  <c r="O109" i="38"/>
  <c r="U84" i="38"/>
  <c r="AF84" i="38"/>
  <c r="AB84" i="38"/>
  <c r="Z84" i="38"/>
  <c r="V84" i="38"/>
  <c r="W84" i="38"/>
  <c r="AD84" i="38"/>
  <c r="C82" i="38"/>
  <c r="R86" i="38" s="1"/>
  <c r="C84" i="38"/>
  <c r="AE108" i="38"/>
  <c r="AB108" i="38"/>
  <c r="X108" i="38"/>
  <c r="V108" i="38"/>
  <c r="U108" i="38"/>
  <c r="T108" i="38"/>
  <c r="S108" i="38"/>
  <c r="R108" i="38"/>
  <c r="D98" i="38"/>
  <c r="E84" i="38"/>
  <c r="G106" i="38"/>
  <c r="G97" i="38"/>
  <c r="G98" i="38"/>
  <c r="H98" i="38"/>
  <c r="H97" i="38"/>
  <c r="J99" i="38"/>
  <c r="J97" i="38"/>
  <c r="J98" i="38"/>
  <c r="K241" i="38"/>
  <c r="K83" i="38"/>
  <c r="K81" i="38"/>
  <c r="L84" i="38"/>
  <c r="L108" i="38"/>
  <c r="N93" i="38"/>
  <c r="N100" i="38"/>
  <c r="N98" i="38"/>
  <c r="N99" i="38"/>
  <c r="O108" i="38"/>
  <c r="R100" i="38"/>
  <c r="S100" i="38"/>
  <c r="T93" i="38"/>
  <c r="AA109" i="38"/>
  <c r="J241" i="38"/>
  <c r="K99" i="38"/>
  <c r="L100" i="38"/>
  <c r="L83" i="38"/>
  <c r="N108" i="38"/>
  <c r="P84" i="38"/>
  <c r="P109" i="38"/>
  <c r="R84" i="38"/>
  <c r="T84" i="38"/>
  <c r="Y93" i="38"/>
  <c r="AF100" i="38"/>
  <c r="AF105" i="38"/>
  <c r="AF109" i="38" s="1"/>
  <c r="AF107" i="38"/>
  <c r="AF108" i="38"/>
  <c r="AF106" i="38"/>
  <c r="P108" i="38"/>
  <c r="T100" i="38"/>
  <c r="AA97" i="38"/>
  <c r="AA100" i="38"/>
  <c r="AA99" i="38"/>
  <c r="AA98" i="38"/>
  <c r="M241" i="38"/>
  <c r="O107" i="38"/>
  <c r="O98" i="38"/>
  <c r="Q93" i="38"/>
  <c r="Q84" i="38"/>
  <c r="Q108" i="38"/>
  <c r="Q100" i="38"/>
  <c r="S83" i="38"/>
  <c r="S84" i="38"/>
  <c r="U82" i="38"/>
  <c r="W241" i="38"/>
  <c r="W82" i="38"/>
  <c r="W93" i="38"/>
  <c r="W83" i="38"/>
  <c r="V109" i="38"/>
  <c r="Y84" i="38"/>
  <c r="Y109" i="38"/>
  <c r="Z105" i="38"/>
  <c r="Z109" i="38" s="1"/>
  <c r="Z106" i="38"/>
  <c r="Z107" i="38"/>
  <c r="Z108" i="38"/>
  <c r="AA93" i="38"/>
  <c r="AA241" i="38"/>
  <c r="AA84" i="38"/>
  <c r="AA83" i="38"/>
  <c r="AB109" i="38"/>
  <c r="AC108" i="38"/>
  <c r="AC105" i="38"/>
  <c r="AC109" i="38" s="1"/>
  <c r="Q105" i="38"/>
  <c r="Q109" i="38" s="1"/>
  <c r="S106" i="38"/>
  <c r="S97" i="38"/>
  <c r="T82" i="38"/>
  <c r="T241" i="38"/>
  <c r="S105" i="38"/>
  <c r="S109" i="38" s="1"/>
  <c r="T98" i="38"/>
  <c r="T97" i="38"/>
  <c r="T81" i="38"/>
  <c r="U81" i="38"/>
  <c r="T105" i="38"/>
  <c r="T109" i="38" s="1"/>
  <c r="V98" i="38"/>
  <c r="V100" i="38"/>
  <c r="V107" i="38"/>
  <c r="W81" i="38"/>
  <c r="W109" i="38"/>
  <c r="X98" i="38"/>
  <c r="X99" i="38"/>
  <c r="X97" i="38"/>
  <c r="X109" i="38"/>
  <c r="AC241" i="38"/>
  <c r="AC84" i="38"/>
  <c r="AC83" i="38"/>
  <c r="AC93" i="38"/>
  <c r="AC82" i="38"/>
  <c r="AC107" i="38"/>
  <c r="P99" i="38"/>
  <c r="P106" i="38"/>
  <c r="Q82" i="38"/>
  <c r="Q98" i="38"/>
  <c r="Q97" i="38"/>
  <c r="R83" i="38"/>
  <c r="R107" i="38"/>
  <c r="S241" i="38"/>
  <c r="S82" i="38"/>
  <c r="U93" i="38"/>
  <c r="U106" i="38"/>
  <c r="V82" i="38"/>
  <c r="V93" i="38"/>
  <c r="V241" i="38"/>
  <c r="V81" i="38"/>
  <c r="V83" i="38"/>
  <c r="V97" i="38"/>
  <c r="W97" i="38"/>
  <c r="W100" i="38"/>
  <c r="X100" i="38"/>
  <c r="Y100" i="38"/>
  <c r="AA82" i="38"/>
  <c r="AA81" i="38"/>
  <c r="AB97" i="38"/>
  <c r="AB99" i="38"/>
  <c r="AB98" i="38"/>
  <c r="AC81" i="38"/>
  <c r="AC97" i="38"/>
  <c r="AC98" i="38"/>
  <c r="AC99" i="38"/>
  <c r="AC106" i="38"/>
  <c r="W108" i="38"/>
  <c r="X107" i="38"/>
  <c r="Y81" i="38"/>
  <c r="Y83" i="38"/>
  <c r="Y98" i="38"/>
  <c r="Z241" i="38"/>
  <c r="Z82" i="38"/>
  <c r="Z99" i="38"/>
  <c r="Z97" i="38"/>
  <c r="AA106" i="38"/>
  <c r="AB107" i="38"/>
  <c r="AB106" i="38"/>
  <c r="AB83" i="38"/>
  <c r="AB93" i="38"/>
  <c r="AD93" i="38"/>
  <c r="AD83" i="38"/>
  <c r="AD97" i="38"/>
  <c r="AE99" i="38"/>
  <c r="AG97" i="38"/>
  <c r="AG99" i="38"/>
  <c r="AG98" i="38"/>
  <c r="X93" i="38"/>
  <c r="X84" i="38"/>
  <c r="X106" i="38"/>
  <c r="Z83" i="38"/>
  <c r="Z98" i="38"/>
  <c r="AB81" i="38"/>
  <c r="AD82" i="38"/>
  <c r="AD100" i="38"/>
  <c r="AE97" i="38"/>
  <c r="AE100" i="38"/>
  <c r="AG106" i="38"/>
  <c r="AG105" i="38"/>
  <c r="AG109" i="38" s="1"/>
  <c r="AG108" i="38"/>
  <c r="AG100" i="38"/>
  <c r="W106" i="38"/>
  <c r="X241" i="38"/>
  <c r="Y108" i="38"/>
  <c r="Z81" i="38"/>
  <c r="Z93" i="38"/>
  <c r="AA108" i="38"/>
  <c r="AD109" i="38"/>
  <c r="AD108" i="38"/>
  <c r="AG241" i="38"/>
  <c r="AG82" i="38"/>
  <c r="AG93" i="38"/>
  <c r="AG81" i="38"/>
  <c r="AG84" i="38"/>
  <c r="AF81" i="38"/>
  <c r="AE105" i="38"/>
  <c r="AE109" i="38" s="1"/>
  <c r="AE107" i="38"/>
  <c r="AF83" i="38"/>
  <c r="H103" i="38" l="1"/>
  <c r="AA86" i="38"/>
  <c r="AH108" i="36"/>
  <c r="BN108" i="36" s="1"/>
  <c r="X99" i="36"/>
  <c r="BD99" i="36" s="1"/>
  <c r="W108" i="36"/>
  <c r="BC108" i="36" s="1"/>
  <c r="AD99" i="36"/>
  <c r="BJ99" i="36" s="1"/>
  <c r="N107" i="36"/>
  <c r="AG99" i="36"/>
  <c r="BM99" i="36" s="1"/>
  <c r="Q92" i="36"/>
  <c r="AW92" i="36" s="1"/>
  <c r="L107" i="36"/>
  <c r="W99" i="36"/>
  <c r="BC99" i="36" s="1"/>
  <c r="W92" i="36"/>
  <c r="BC92" i="36" s="1"/>
  <c r="I108" i="36"/>
  <c r="AO108" i="36" s="1"/>
  <c r="AC108" i="36"/>
  <c r="BI108" i="36" s="1"/>
  <c r="AD108" i="36"/>
  <c r="BJ108" i="36" s="1"/>
  <c r="I92" i="36"/>
  <c r="AO92" i="36" s="1"/>
  <c r="Z99" i="36"/>
  <c r="BF99" i="36" s="1"/>
  <c r="AH99" i="36"/>
  <c r="AA107" i="36"/>
  <c r="X108" i="36"/>
  <c r="BD108" i="36" s="1"/>
  <c r="T107" i="36"/>
  <c r="AD92" i="36"/>
  <c r="BJ92" i="36" s="1"/>
  <c r="U107" i="36"/>
  <c r="R108" i="36"/>
  <c r="AX108" i="36" s="1"/>
  <c r="U108" i="36"/>
  <c r="BA108" i="36" s="1"/>
  <c r="U92" i="36"/>
  <c r="BA92" i="36" s="1"/>
  <c r="O99" i="36"/>
  <c r="AU99" i="36" s="1"/>
  <c r="T108" i="36"/>
  <c r="AZ108" i="36" s="1"/>
  <c r="M92" i="36"/>
  <c r="AS92" i="36" s="1"/>
  <c r="T99" i="36"/>
  <c r="AZ99" i="36" s="1"/>
  <c r="Y99" i="36"/>
  <c r="BE99" i="36" s="1"/>
  <c r="AA92" i="36"/>
  <c r="BG92" i="36" s="1"/>
  <c r="K99" i="36"/>
  <c r="AQ99" i="36" s="1"/>
  <c r="J108" i="36"/>
  <c r="AP108" i="36" s="1"/>
  <c r="G107" i="36"/>
  <c r="P92" i="36"/>
  <c r="AV92" i="36" s="1"/>
  <c r="L99" i="36"/>
  <c r="AR99" i="36" s="1"/>
  <c r="K92" i="36"/>
  <c r="AQ92" i="36" s="1"/>
  <c r="H92" i="36"/>
  <c r="AN92" i="36" s="1"/>
  <c r="E108" i="36"/>
  <c r="AK108" i="36" s="1"/>
  <c r="Q108" i="36"/>
  <c r="AW108" i="36" s="1"/>
  <c r="O92" i="36"/>
  <c r="AU92" i="36" s="1"/>
  <c r="G92" i="36"/>
  <c r="AM92" i="36" s="1"/>
  <c r="H99" i="36"/>
  <c r="AN99" i="36" s="1"/>
  <c r="F108" i="36"/>
  <c r="AL108" i="36" s="1"/>
  <c r="AF108" i="36"/>
  <c r="BL108" i="36" s="1"/>
  <c r="Y92" i="36"/>
  <c r="BE92" i="36" s="1"/>
  <c r="Y108" i="36"/>
  <c r="BE108" i="36" s="1"/>
  <c r="AB107" i="36"/>
  <c r="X107" i="36"/>
  <c r="M108" i="36"/>
  <c r="AS108" i="36" s="1"/>
  <c r="M99" i="36"/>
  <c r="AS99" i="36" s="1"/>
  <c r="S99" i="36"/>
  <c r="AY99" i="36" s="1"/>
  <c r="D92" i="36"/>
  <c r="AJ92" i="36" s="1"/>
  <c r="V92" i="36"/>
  <c r="BB92" i="36" s="1"/>
  <c r="N108" i="36"/>
  <c r="AT108" i="36" s="1"/>
  <c r="G108" i="36"/>
  <c r="AM108" i="36" s="1"/>
  <c r="P108" i="36"/>
  <c r="AV108" i="36" s="1"/>
  <c r="AH92" i="36"/>
  <c r="BN92" i="36" s="1"/>
  <c r="AH107" i="36"/>
  <c r="AB99" i="36"/>
  <c r="BH99" i="36" s="1"/>
  <c r="Y107" i="36"/>
  <c r="AE108" i="36"/>
  <c r="BK108" i="36" s="1"/>
  <c r="Z87" i="38"/>
  <c r="AB87" i="38"/>
  <c r="W107" i="36"/>
  <c r="AD107" i="36"/>
  <c r="AA99" i="36"/>
  <c r="BG99" i="36" s="1"/>
  <c r="R99" i="36"/>
  <c r="AX99" i="36" s="1"/>
  <c r="Q99" i="36"/>
  <c r="S92" i="36"/>
  <c r="AY92" i="36" s="1"/>
  <c r="K107" i="36"/>
  <c r="S108" i="36"/>
  <c r="AY108" i="36" s="1"/>
  <c r="O108" i="36"/>
  <c r="AU108" i="36" s="1"/>
  <c r="F92" i="36"/>
  <c r="AL92" i="36" s="1"/>
  <c r="U99" i="36"/>
  <c r="AC99" i="36"/>
  <c r="BI99" i="36" s="1"/>
  <c r="AE92" i="36"/>
  <c r="BK92" i="36" s="1"/>
  <c r="AC92" i="36"/>
  <c r="BI92" i="36" s="1"/>
  <c r="I99" i="36"/>
  <c r="AO99" i="36" s="1"/>
  <c r="AF92" i="36"/>
  <c r="BL92" i="36" s="1"/>
  <c r="J99" i="36"/>
  <c r="AP99" i="36" s="1"/>
  <c r="E99" i="36"/>
  <c r="AK99" i="36" s="1"/>
  <c r="V108" i="36"/>
  <c r="BB108" i="36" s="1"/>
  <c r="D99" i="36"/>
  <c r="AJ99" i="36" s="1"/>
  <c r="D107" i="36"/>
  <c r="AJ107" i="36" s="1"/>
  <c r="N92" i="36"/>
  <c r="AT92" i="36" s="1"/>
  <c r="AE99" i="36"/>
  <c r="BK99" i="36" s="1"/>
  <c r="Z108" i="36"/>
  <c r="BF108" i="36" s="1"/>
  <c r="AB92" i="36"/>
  <c r="BH92" i="36" s="1"/>
  <c r="Z92" i="36"/>
  <c r="BF92" i="36" s="1"/>
  <c r="T92" i="36"/>
  <c r="AZ92" i="36" s="1"/>
  <c r="R92" i="36"/>
  <c r="AX92" i="36" s="1"/>
  <c r="AB108" i="36"/>
  <c r="BH108" i="36" s="1"/>
  <c r="AG108" i="36"/>
  <c r="BM108" i="36" s="1"/>
  <c r="P99" i="36"/>
  <c r="AV99" i="36" s="1"/>
  <c r="V99" i="36"/>
  <c r="AF99" i="36"/>
  <c r="BL99" i="36" s="1"/>
  <c r="X92" i="36"/>
  <c r="BD92" i="36" s="1"/>
  <c r="AG92" i="36"/>
  <c r="BM92" i="36" s="1"/>
  <c r="L108" i="36"/>
  <c r="AR108" i="36" s="1"/>
  <c r="H108" i="36"/>
  <c r="AN108" i="36" s="1"/>
  <c r="N99" i="36"/>
  <c r="AT99" i="36" s="1"/>
  <c r="L92" i="36"/>
  <c r="AR92" i="36" s="1"/>
  <c r="J92" i="36"/>
  <c r="AP92" i="36" s="1"/>
  <c r="G99" i="36"/>
  <c r="AM99" i="36" s="1"/>
  <c r="E92" i="36"/>
  <c r="AK92" i="36" s="1"/>
  <c r="AA108" i="36"/>
  <c r="BG108" i="36" s="1"/>
  <c r="K108" i="36"/>
  <c r="AQ108" i="36" s="1"/>
  <c r="D108" i="36"/>
  <c r="AJ108" i="36" s="1"/>
  <c r="X110" i="38"/>
  <c r="AB110" i="38"/>
  <c r="P110" i="38"/>
  <c r="Y102" i="38"/>
  <c r="AC102" i="38"/>
  <c r="D102" i="38"/>
  <c r="AD102" i="38"/>
  <c r="AF102" i="38"/>
  <c r="R110" i="38"/>
  <c r="AF87" i="38"/>
  <c r="U87" i="38"/>
  <c r="I87" i="38"/>
  <c r="O87" i="38"/>
  <c r="P87" i="38"/>
  <c r="W87" i="38"/>
  <c r="AD85" i="38"/>
  <c r="AE87" i="38"/>
  <c r="J87" i="38"/>
  <c r="M87" i="38"/>
  <c r="P86" i="38"/>
  <c r="T87" i="38"/>
  <c r="S87" i="38"/>
  <c r="L87" i="38"/>
  <c r="N87" i="38"/>
  <c r="X87" i="38"/>
  <c r="H87" i="38"/>
  <c r="Q87" i="38"/>
  <c r="AD87" i="38"/>
  <c r="R87" i="38"/>
  <c r="U241" i="38"/>
  <c r="AA87" i="38"/>
  <c r="K87" i="38"/>
  <c r="AE241" i="38"/>
  <c r="Q241" i="38"/>
  <c r="AB241" i="38"/>
  <c r="G241" i="38"/>
  <c r="H241" i="38"/>
  <c r="L241" i="38"/>
  <c r="O241" i="38"/>
  <c r="E241" i="38"/>
  <c r="AD241" i="38"/>
  <c r="I241" i="38"/>
  <c r="N241" i="38"/>
  <c r="R241" i="38"/>
  <c r="Y241" i="38"/>
  <c r="D241" i="38"/>
  <c r="AF241" i="38"/>
  <c r="P241" i="38"/>
  <c r="AF103" i="38"/>
  <c r="AG103" i="38"/>
  <c r="Z103" i="38"/>
  <c r="AB103" i="38"/>
  <c r="S86" i="38"/>
  <c r="X103" i="38"/>
  <c r="U86" i="38"/>
  <c r="U103" i="38"/>
  <c r="AB86" i="38"/>
  <c r="I103" i="38"/>
  <c r="E103" i="38"/>
  <c r="C103" i="38"/>
  <c r="M103" i="38"/>
  <c r="Y87" i="38"/>
  <c r="V87" i="38"/>
  <c r="P103" i="38"/>
  <c r="AC87" i="38"/>
  <c r="N103" i="38"/>
  <c r="J103" i="38"/>
  <c r="F103" i="38"/>
  <c r="AM107" i="36" s="1"/>
  <c r="F87" i="38"/>
  <c r="E87" i="38"/>
  <c r="G87" i="38"/>
  <c r="Y95" i="38"/>
  <c r="D87" i="38"/>
  <c r="Q110" i="38"/>
  <c r="AG87" i="38"/>
  <c r="AB85" i="38"/>
  <c r="AG85" i="38"/>
  <c r="AE103" i="38"/>
  <c r="AA110" i="38"/>
  <c r="U110" i="38"/>
  <c r="Z110" i="38"/>
  <c r="R103" i="38"/>
  <c r="N110" i="38"/>
  <c r="T103" i="38"/>
  <c r="K85" i="38"/>
  <c r="J110" i="38"/>
  <c r="D103" i="38"/>
  <c r="K95" i="38"/>
  <c r="S103" i="38"/>
  <c r="P85" i="38"/>
  <c r="P95" i="38"/>
  <c r="W110" i="38"/>
  <c r="AF110" i="38"/>
  <c r="G110" i="38"/>
  <c r="N101" i="38"/>
  <c r="C195" i="38"/>
  <c r="C203" i="38"/>
  <c r="C211" i="38"/>
  <c r="Y94" i="38"/>
  <c r="U102" i="38"/>
  <c r="AD110" i="38"/>
  <c r="V110" i="38"/>
  <c r="Y110" i="38"/>
  <c r="D85" i="38"/>
  <c r="G103" i="38"/>
  <c r="AC95" i="38"/>
  <c r="AF95" i="38"/>
  <c r="AG86" i="38"/>
  <c r="AG110" i="38"/>
  <c r="AD86" i="38"/>
  <c r="Z86" i="38"/>
  <c r="X95" i="38"/>
  <c r="AC110" i="38"/>
  <c r="V86" i="38"/>
  <c r="S94" i="38"/>
  <c r="AA95" i="38"/>
  <c r="V102" i="38"/>
  <c r="T102" i="38"/>
  <c r="T94" i="38"/>
  <c r="W86" i="38"/>
  <c r="R95" i="38"/>
  <c r="AE95" i="38"/>
  <c r="I95" i="38"/>
  <c r="AF86" i="38"/>
  <c r="N95" i="38"/>
  <c r="Q86" i="38"/>
  <c r="AC86" i="38"/>
  <c r="Y86" i="38"/>
  <c r="T86" i="38"/>
  <c r="S110" i="38"/>
  <c r="O102" i="38"/>
  <c r="T110" i="38"/>
  <c r="X86" i="38"/>
  <c r="L95" i="38"/>
  <c r="K110" i="38"/>
  <c r="Z102" i="38"/>
  <c r="Q102" i="38"/>
  <c r="W102" i="38"/>
  <c r="O111" i="38"/>
  <c r="AA102" i="38"/>
  <c r="R102" i="38"/>
  <c r="N102" i="38"/>
  <c r="J102" i="38"/>
  <c r="G102" i="38"/>
  <c r="I102" i="38"/>
  <c r="AC111" i="38"/>
  <c r="D94" i="38"/>
  <c r="AG102" i="38"/>
  <c r="AB102" i="38"/>
  <c r="X102" i="38"/>
  <c r="AE102" i="38"/>
  <c r="S102" i="38"/>
  <c r="H102" i="38"/>
  <c r="M102" i="38"/>
  <c r="F102" i="38"/>
  <c r="E102" i="38"/>
  <c r="C159" i="38"/>
  <c r="L111" i="38"/>
  <c r="AE111" i="38"/>
  <c r="AB111" i="38"/>
  <c r="R111" i="38"/>
  <c r="Z111" i="38"/>
  <c r="AF111" i="38"/>
  <c r="G111" i="38"/>
  <c r="T111" i="38"/>
  <c r="V111" i="38"/>
  <c r="AG111" i="38"/>
  <c r="X111" i="38"/>
  <c r="AA111" i="38"/>
  <c r="AD111" i="38"/>
  <c r="AE110" i="38"/>
  <c r="Y111" i="38"/>
  <c r="U111" i="38"/>
  <c r="AD101" i="38"/>
  <c r="AB101" i="38"/>
  <c r="Y101" i="38"/>
  <c r="R101" i="38"/>
  <c r="AG101" i="38"/>
  <c r="J101" i="38"/>
  <c r="T101" i="38"/>
  <c r="S101" i="38"/>
  <c r="R85" i="38"/>
  <c r="Q95" i="38"/>
  <c r="AE101" i="38"/>
  <c r="V101" i="38"/>
  <c r="H85" i="38"/>
  <c r="H95" i="38"/>
  <c r="AD95" i="38"/>
  <c r="X94" i="38"/>
  <c r="AG95" i="38"/>
  <c r="Y85" i="38"/>
  <c r="AC103" i="38"/>
  <c r="AC85" i="38"/>
  <c r="W101" i="38"/>
  <c r="Y103" i="38"/>
  <c r="U85" i="38"/>
  <c r="V103" i="38"/>
  <c r="O95" i="38"/>
  <c r="AA101" i="38"/>
  <c r="O101" i="38"/>
  <c r="M85" i="38"/>
  <c r="L101" i="38"/>
  <c r="H101" i="38"/>
  <c r="AD103" i="38"/>
  <c r="G95" i="38"/>
  <c r="AE85" i="38"/>
  <c r="N85" i="38"/>
  <c r="D95" i="38"/>
  <c r="O103" i="38"/>
  <c r="AF85" i="38"/>
  <c r="Z85" i="38"/>
  <c r="AF101" i="38"/>
  <c r="Z101" i="38"/>
  <c r="AC101" i="38"/>
  <c r="AA85" i="38"/>
  <c r="E101" i="38"/>
  <c r="Z95" i="38"/>
  <c r="X85" i="38"/>
  <c r="V85" i="38"/>
  <c r="S95" i="38"/>
  <c r="Q101" i="38"/>
  <c r="AB95" i="38"/>
  <c r="X101" i="38"/>
  <c r="W85" i="38"/>
  <c r="T85" i="38"/>
  <c r="T95" i="38"/>
  <c r="W95" i="38"/>
  <c r="AA103" i="38"/>
  <c r="U95" i="38"/>
  <c r="W103" i="38"/>
  <c r="K103" i="38"/>
  <c r="S85" i="38"/>
  <c r="G101" i="38"/>
  <c r="H86" i="38"/>
  <c r="I101" i="38"/>
  <c r="Z94" i="38"/>
  <c r="V94" i="38"/>
  <c r="AD94" i="38"/>
  <c r="AC94" i="38"/>
  <c r="M94" i="38"/>
  <c r="C167" i="38"/>
  <c r="J94" i="38"/>
  <c r="K94" i="38"/>
  <c r="J85" i="38"/>
  <c r="Q85" i="38"/>
  <c r="AG94" i="38"/>
  <c r="U94" i="38"/>
  <c r="AB94" i="38"/>
  <c r="AA94" i="38"/>
  <c r="W94" i="38"/>
  <c r="I85" i="38"/>
  <c r="C158" i="38"/>
  <c r="AG141" i="38"/>
  <c r="T141" i="38"/>
  <c r="S141" i="38"/>
  <c r="AF141" i="38"/>
  <c r="C150" i="38"/>
  <c r="O141" i="38"/>
  <c r="F94" i="38"/>
  <c r="C110" i="38"/>
  <c r="L110" i="38"/>
  <c r="I110" i="38"/>
  <c r="H110" i="38"/>
  <c r="M111" i="38"/>
  <c r="L86" i="38"/>
  <c r="S111" i="38"/>
  <c r="F101" i="38"/>
  <c r="E111" i="38"/>
  <c r="D111" i="38"/>
  <c r="L94" i="38"/>
  <c r="J95" i="38"/>
  <c r="E95" i="38"/>
  <c r="X141" i="38"/>
  <c r="W141" i="38"/>
  <c r="Q141" i="38"/>
  <c r="AA141" i="38"/>
  <c r="O86" i="38"/>
  <c r="M86" i="38"/>
  <c r="J86" i="38"/>
  <c r="G86" i="38"/>
  <c r="C86" i="38"/>
  <c r="D86" i="38"/>
  <c r="N141" i="38"/>
  <c r="E141" i="38"/>
  <c r="Q111" i="38"/>
  <c r="C111" i="38"/>
  <c r="J111" i="38"/>
  <c r="F111" i="38"/>
  <c r="P111" i="38"/>
  <c r="N111" i="38"/>
  <c r="K111" i="38"/>
  <c r="W111" i="38"/>
  <c r="M141" i="38"/>
  <c r="M110" i="38"/>
  <c r="K86" i="38"/>
  <c r="O110" i="38"/>
  <c r="M101" i="38"/>
  <c r="K101" i="38"/>
  <c r="G94" i="38"/>
  <c r="C85" i="38"/>
  <c r="L85" i="38"/>
  <c r="G85" i="38"/>
  <c r="F110" i="38"/>
  <c r="D141" i="38"/>
  <c r="J141" i="38"/>
  <c r="I111" i="38"/>
  <c r="E85" i="38"/>
  <c r="D110" i="38"/>
  <c r="AD141" i="38"/>
  <c r="AB141" i="38"/>
  <c r="Y141" i="38"/>
  <c r="V141" i="38"/>
  <c r="I141" i="38"/>
  <c r="H141" i="38"/>
  <c r="F86" i="38"/>
  <c r="P101" i="38"/>
  <c r="C101" i="38"/>
  <c r="C166" i="38"/>
  <c r="U101" i="38"/>
  <c r="N86" i="38"/>
  <c r="H94" i="38"/>
  <c r="AE86" i="38"/>
  <c r="K141" i="38"/>
  <c r="K102" i="38"/>
  <c r="P102" i="38"/>
  <c r="C102" i="38"/>
  <c r="V95" i="38"/>
  <c r="C95" i="38"/>
  <c r="M95" i="38"/>
  <c r="R141" i="38"/>
  <c r="N94" i="38"/>
  <c r="G141" i="38"/>
  <c r="F95" i="38"/>
  <c r="I94" i="38"/>
  <c r="D101" i="38"/>
  <c r="AE141" i="38"/>
  <c r="AC141" i="38"/>
  <c r="Z141" i="38"/>
  <c r="P141" i="38"/>
  <c r="AF94" i="38"/>
  <c r="R94" i="38"/>
  <c r="Q94" i="38"/>
  <c r="O94" i="38"/>
  <c r="E94" i="38"/>
  <c r="C94" i="38"/>
  <c r="AE94" i="38"/>
  <c r="P94" i="38"/>
  <c r="L141" i="38"/>
  <c r="I86" i="38"/>
  <c r="E110" i="38"/>
  <c r="E86" i="38"/>
  <c r="C152" i="38"/>
  <c r="F141" i="38"/>
  <c r="U141" i="38"/>
  <c r="F85" i="38"/>
  <c r="H111" i="38"/>
  <c r="AD76" i="38"/>
  <c r="AC76" i="38"/>
  <c r="K76" i="38"/>
  <c r="C76" i="38"/>
  <c r="O76" i="38"/>
  <c r="BN99" i="36" l="1"/>
  <c r="BA99" i="36"/>
  <c r="BA107" i="36"/>
  <c r="BH107" i="36"/>
  <c r="BA110" i="36"/>
  <c r="BA113" i="36" s="1"/>
  <c r="Q114" i="36"/>
  <c r="AH110" i="36"/>
  <c r="AM114" i="36"/>
  <c r="AD114" i="36"/>
  <c r="BH110" i="36"/>
  <c r="BH111" i="36" s="1"/>
  <c r="AB114" i="36"/>
  <c r="AJ110" i="36"/>
  <c r="AJ112" i="36" s="1"/>
  <c r="AR114" i="36"/>
  <c r="AW99" i="36"/>
  <c r="AW114" i="36" s="1"/>
  <c r="AK114" i="36"/>
  <c r="AL114" i="36"/>
  <c r="AS114" i="36"/>
  <c r="T114" i="36"/>
  <c r="BD114" i="36"/>
  <c r="R114" i="36"/>
  <c r="BI114" i="36"/>
  <c r="BJ114" i="36"/>
  <c r="AY114" i="36"/>
  <c r="BD107" i="36"/>
  <c r="BD110" i="36" s="1"/>
  <c r="BD112" i="36" s="1"/>
  <c r="I114" i="36"/>
  <c r="H114" i="36"/>
  <c r="AU114" i="36"/>
  <c r="AF114" i="36"/>
  <c r="AC114" i="36"/>
  <c r="BL114" i="36"/>
  <c r="P114" i="36"/>
  <c r="AO114" i="36"/>
  <c r="AG114" i="36"/>
  <c r="W114" i="36"/>
  <c r="U114" i="36"/>
  <c r="BJ107" i="36"/>
  <c r="BJ110" i="36" s="1"/>
  <c r="BJ112" i="36" s="1"/>
  <c r="AV114" i="36"/>
  <c r="S114" i="36"/>
  <c r="BC114" i="36"/>
  <c r="AT114" i="36"/>
  <c r="AQ114" i="36"/>
  <c r="J114" i="36"/>
  <c r="AA114" i="36"/>
  <c r="Y114" i="36"/>
  <c r="V114" i="36"/>
  <c r="F114" i="36"/>
  <c r="M114" i="36"/>
  <c r="AH114" i="36"/>
  <c r="BF114" i="36"/>
  <c r="O114" i="36"/>
  <c r="N114" i="36"/>
  <c r="BB99" i="36"/>
  <c r="BB114" i="36" s="1"/>
  <c r="BK114" i="36"/>
  <c r="BE114" i="36"/>
  <c r="G114" i="36"/>
  <c r="AE114" i="36"/>
  <c r="D110" i="36"/>
  <c r="D112" i="36" s="1"/>
  <c r="AX114" i="36"/>
  <c r="AZ114" i="36"/>
  <c r="BH114" i="36"/>
  <c r="BM114" i="36"/>
  <c r="L114" i="36"/>
  <c r="AP114" i="36"/>
  <c r="BG114" i="36"/>
  <c r="X114" i="36"/>
  <c r="AN114" i="36"/>
  <c r="Z114" i="36"/>
  <c r="E114" i="36"/>
  <c r="K114" i="36"/>
  <c r="L78" i="36"/>
  <c r="AR78" i="36" s="1"/>
  <c r="AR80" i="36" s="1"/>
  <c r="AR83" i="36" s="1"/>
  <c r="Q85" i="36"/>
  <c r="AW85" i="36" s="1"/>
  <c r="R85" i="36"/>
  <c r="AX85" i="36" s="1"/>
  <c r="AC107" i="36"/>
  <c r="AD78" i="36"/>
  <c r="BJ78" i="36" s="1"/>
  <c r="BJ80" i="36" s="1"/>
  <c r="BJ83" i="36" s="1"/>
  <c r="AC85" i="36"/>
  <c r="BI85" i="36" s="1"/>
  <c r="U85" i="36"/>
  <c r="BA85" i="36" s="1"/>
  <c r="E107" i="36"/>
  <c r="AK107" i="36" s="1"/>
  <c r="AK110" i="36" s="1"/>
  <c r="J107" i="36"/>
  <c r="AP107" i="36" s="1"/>
  <c r="AP110" i="36" s="1"/>
  <c r="M107" i="36"/>
  <c r="M110" i="36" s="1"/>
  <c r="R107" i="36"/>
  <c r="V107" i="36"/>
  <c r="L85" i="36"/>
  <c r="AR85" i="36" s="1"/>
  <c r="O85" i="36"/>
  <c r="AU85" i="36" s="1"/>
  <c r="P107" i="36"/>
  <c r="AV107" i="36" s="1"/>
  <c r="AV110" i="36" s="1"/>
  <c r="V85" i="36"/>
  <c r="V86" i="36" s="1"/>
  <c r="V89" i="36" s="1"/>
  <c r="I85" i="36"/>
  <c r="AO85" i="36" s="1"/>
  <c r="X85" i="36"/>
  <c r="X86" i="36" s="1"/>
  <c r="X89" i="36" s="1"/>
  <c r="P78" i="36"/>
  <c r="AV78" i="36" s="1"/>
  <c r="AE78" i="36"/>
  <c r="BK78" i="36" s="1"/>
  <c r="G85" i="36"/>
  <c r="G86" i="36" s="1"/>
  <c r="G89" i="36" s="1"/>
  <c r="AD85" i="36"/>
  <c r="AD86" i="36" s="1"/>
  <c r="AD89" i="36" s="1"/>
  <c r="J85" i="36"/>
  <c r="J86" i="36" s="1"/>
  <c r="J89" i="36" s="1"/>
  <c r="AE85" i="36"/>
  <c r="AE86" i="36" s="1"/>
  <c r="AE89" i="36" s="1"/>
  <c r="K85" i="36"/>
  <c r="K86" i="36" s="1"/>
  <c r="K89" i="36" s="1"/>
  <c r="N85" i="36"/>
  <c r="N86" i="36" s="1"/>
  <c r="N89" i="36" s="1"/>
  <c r="Y85" i="36"/>
  <c r="BE85" i="36" s="1"/>
  <c r="AH85" i="36"/>
  <c r="AH86" i="36" s="1"/>
  <c r="AH89" i="36" s="1"/>
  <c r="D101" i="36"/>
  <c r="AJ101" i="36" s="1"/>
  <c r="AJ114" i="36" s="1"/>
  <c r="AJ99" i="45"/>
  <c r="Z107" i="36"/>
  <c r="BF107" i="36" s="1"/>
  <c r="BF110" i="36" s="1"/>
  <c r="AE107" i="36"/>
  <c r="AE110" i="36" s="1"/>
  <c r="I107" i="36"/>
  <c r="AO107" i="36" s="1"/>
  <c r="AO110" i="36" s="1"/>
  <c r="AF107" i="36"/>
  <c r="BL107" i="36" s="1"/>
  <c r="BL110" i="36" s="1"/>
  <c r="Z85" i="36"/>
  <c r="Z86" i="36" s="1"/>
  <c r="Z89" i="36" s="1"/>
  <c r="T85" i="36"/>
  <c r="T86" i="36" s="1"/>
  <c r="T89" i="36" s="1"/>
  <c r="AG107" i="36"/>
  <c r="O107" i="36"/>
  <c r="AU107" i="36" s="1"/>
  <c r="AU110" i="36" s="1"/>
  <c r="AA85" i="36"/>
  <c r="BG85" i="36" s="1"/>
  <c r="S85" i="36"/>
  <c r="AY85" i="36" s="1"/>
  <c r="P85" i="36"/>
  <c r="P86" i="36" s="1"/>
  <c r="P89" i="36" s="1"/>
  <c r="D78" i="36"/>
  <c r="D80" i="36" s="1"/>
  <c r="D83" i="36" s="1"/>
  <c r="M85" i="36"/>
  <c r="AS85" i="36" s="1"/>
  <c r="AF85" i="36"/>
  <c r="BL85" i="36" s="1"/>
  <c r="H85" i="36"/>
  <c r="AN85" i="36" s="1"/>
  <c r="W85" i="36"/>
  <c r="BC85" i="36" s="1"/>
  <c r="E85" i="36"/>
  <c r="AK85" i="36" s="1"/>
  <c r="F85" i="36"/>
  <c r="AL85" i="36" s="1"/>
  <c r="AB85" i="36"/>
  <c r="BH85" i="36" s="1"/>
  <c r="AG85" i="36"/>
  <c r="BM85" i="36" s="1"/>
  <c r="D91" i="36"/>
  <c r="AJ91" i="36" s="1"/>
  <c r="Q107" i="36"/>
  <c r="AW107" i="36" s="1"/>
  <c r="AW110" i="36" s="1"/>
  <c r="S107" i="36"/>
  <c r="AY107" i="36" s="1"/>
  <c r="AY110" i="36" s="1"/>
  <c r="F107" i="36"/>
  <c r="AL107" i="36" s="1"/>
  <c r="AL110" i="36" s="1"/>
  <c r="H107" i="36"/>
  <c r="AN107" i="36" s="1"/>
  <c r="AN110" i="36" s="1"/>
  <c r="BC107" i="36"/>
  <c r="BC110" i="36" s="1"/>
  <c r="AZ107" i="36"/>
  <c r="AZ110" i="36" s="1"/>
  <c r="AR107" i="36"/>
  <c r="AR110" i="36" s="1"/>
  <c r="AQ107" i="36"/>
  <c r="AQ110" i="36" s="1"/>
  <c r="AT107" i="36"/>
  <c r="AT110" i="36" s="1"/>
  <c r="BE107" i="36"/>
  <c r="BE110" i="36" s="1"/>
  <c r="BN107" i="36"/>
  <c r="BN110" i="36" s="1"/>
  <c r="AM85" i="36"/>
  <c r="AT85" i="36"/>
  <c r="AM110" i="36"/>
  <c r="L86" i="36"/>
  <c r="L89" i="36" s="1"/>
  <c r="O86" i="36"/>
  <c r="O89" i="36" s="1"/>
  <c r="Y110" i="36"/>
  <c r="W110" i="36"/>
  <c r="T110" i="36"/>
  <c r="X110" i="36"/>
  <c r="AB110" i="36"/>
  <c r="AD110" i="36"/>
  <c r="U110" i="36"/>
  <c r="G110" i="36"/>
  <c r="K110" i="36"/>
  <c r="C92" i="38"/>
  <c r="C226" i="38"/>
  <c r="K226" i="38"/>
  <c r="K195" i="38"/>
  <c r="M195" i="38"/>
  <c r="H195" i="38"/>
  <c r="Q195" i="38"/>
  <c r="AB195" i="38"/>
  <c r="Y195" i="38"/>
  <c r="E195" i="38"/>
  <c r="F195" i="38"/>
  <c r="P195" i="38"/>
  <c r="G195" i="38"/>
  <c r="AA195" i="38"/>
  <c r="N195" i="38"/>
  <c r="L195" i="38"/>
  <c r="I195" i="38"/>
  <c r="X195" i="38"/>
  <c r="T195" i="38"/>
  <c r="Z195" i="38"/>
  <c r="AD195" i="38"/>
  <c r="AF195" i="38"/>
  <c r="AG195" i="38"/>
  <c r="V195" i="38"/>
  <c r="U195" i="38"/>
  <c r="O195" i="38"/>
  <c r="W195" i="38"/>
  <c r="D195" i="38"/>
  <c r="S195" i="38"/>
  <c r="J195" i="38"/>
  <c r="R195" i="38"/>
  <c r="AE195" i="38"/>
  <c r="AC195" i="38"/>
  <c r="K92" i="38"/>
  <c r="AD92" i="38"/>
  <c r="Z76" i="38"/>
  <c r="F76" i="38"/>
  <c r="O92" i="38"/>
  <c r="AC92" i="38"/>
  <c r="AE76" i="38"/>
  <c r="Q76" i="38"/>
  <c r="S76" i="38"/>
  <c r="V76" i="38"/>
  <c r="P76" i="38"/>
  <c r="D76" i="38"/>
  <c r="T76" i="38"/>
  <c r="L76" i="38"/>
  <c r="I76" i="38"/>
  <c r="J76" i="38"/>
  <c r="M76" i="38"/>
  <c r="AF76" i="38"/>
  <c r="E76" i="38"/>
  <c r="Y76" i="38"/>
  <c r="R76" i="38"/>
  <c r="C74" i="38"/>
  <c r="H76" i="38"/>
  <c r="AA76" i="38"/>
  <c r="G76" i="38"/>
  <c r="AB76" i="38"/>
  <c r="U76" i="38"/>
  <c r="X76" i="38"/>
  <c r="N76" i="38"/>
  <c r="C75" i="38"/>
  <c r="W76" i="38"/>
  <c r="AG76" i="38"/>
  <c r="C73" i="38"/>
  <c r="Q86" i="36" l="1"/>
  <c r="Q89" i="36" s="1"/>
  <c r="BD85" i="36"/>
  <c r="BJ85" i="36"/>
  <c r="BA114" i="36"/>
  <c r="BN114" i="36"/>
  <c r="BA112" i="36"/>
  <c r="BA111" i="36"/>
  <c r="AQ85" i="36"/>
  <c r="I86" i="36"/>
  <c r="I89" i="36" s="1"/>
  <c r="J110" i="36"/>
  <c r="AS107" i="36"/>
  <c r="AS110" i="36" s="1"/>
  <c r="R86" i="36"/>
  <c r="R89" i="36" s="1"/>
  <c r="BH113" i="36"/>
  <c r="BF85" i="36"/>
  <c r="AP85" i="36"/>
  <c r="AP86" i="36" s="1"/>
  <c r="AP89" i="36" s="1"/>
  <c r="Y86" i="36"/>
  <c r="Y89" i="36" s="1"/>
  <c r="BK85" i="36"/>
  <c r="BH112" i="36"/>
  <c r="BN85" i="36"/>
  <c r="BN86" i="36" s="1"/>
  <c r="BN89" i="36" s="1"/>
  <c r="BK107" i="36"/>
  <c r="BK110" i="36" s="1"/>
  <c r="BK111" i="36" s="1"/>
  <c r="P110" i="36"/>
  <c r="U86" i="36"/>
  <c r="U89" i="36" s="1"/>
  <c r="D114" i="36"/>
  <c r="AJ111" i="36"/>
  <c r="BD111" i="36"/>
  <c r="AJ113" i="36"/>
  <c r="AG86" i="36"/>
  <c r="AG89" i="36" s="1"/>
  <c r="AF86" i="36"/>
  <c r="AF89" i="36" s="1"/>
  <c r="BJ113" i="36"/>
  <c r="D113" i="36"/>
  <c r="BJ111" i="36"/>
  <c r="BD113" i="36"/>
  <c r="BB85" i="36"/>
  <c r="F86" i="36"/>
  <c r="F89" i="36" s="1"/>
  <c r="AC86" i="36"/>
  <c r="AC89" i="36" s="1"/>
  <c r="S86" i="36"/>
  <c r="S89" i="36" s="1"/>
  <c r="Q110" i="36"/>
  <c r="Q113" i="36" s="1"/>
  <c r="W86" i="36"/>
  <c r="W89" i="36" s="1"/>
  <c r="AJ78" i="36"/>
  <c r="AJ80" i="36" s="1"/>
  <c r="AJ83" i="36" s="1"/>
  <c r="S110" i="36"/>
  <c r="S113" i="36" s="1"/>
  <c r="AV85" i="36"/>
  <c r="H110" i="36"/>
  <c r="H112" i="36" s="1"/>
  <c r="AZ85" i="36"/>
  <c r="AZ86" i="36" s="1"/>
  <c r="AZ89" i="36" s="1"/>
  <c r="D111" i="36"/>
  <c r="AW113" i="36"/>
  <c r="AW112" i="36"/>
  <c r="AW111" i="36"/>
  <c r="X78" i="36"/>
  <c r="BD78" i="36" s="1"/>
  <c r="F78" i="36"/>
  <c r="AL78" i="36" s="1"/>
  <c r="AL80" i="36" s="1"/>
  <c r="AL83" i="36" s="1"/>
  <c r="AF78" i="36"/>
  <c r="BL78" i="36" s="1"/>
  <c r="BL80" i="36" s="1"/>
  <c r="BL83" i="36" s="1"/>
  <c r="W91" i="36"/>
  <c r="BC91" i="36" s="1"/>
  <c r="AC91" i="36"/>
  <c r="BI91" i="36" s="1"/>
  <c r="BN83" i="45"/>
  <c r="BN84" i="45" s="1"/>
  <c r="AH84" i="45"/>
  <c r="O91" i="36"/>
  <c r="AU91" i="36" s="1"/>
  <c r="M86" i="36"/>
  <c r="M89" i="36" s="1"/>
  <c r="AA86" i="36"/>
  <c r="AA89" i="36" s="1"/>
  <c r="D93" i="36"/>
  <c r="D96" i="36" s="1"/>
  <c r="BM83" i="45"/>
  <c r="BM84" i="45" s="1"/>
  <c r="AG84" i="45"/>
  <c r="AL83" i="45"/>
  <c r="AL84" i="45" s="1"/>
  <c r="F84" i="45"/>
  <c r="BC83" i="45"/>
  <c r="BC84" i="45" s="1"/>
  <c r="W84" i="45"/>
  <c r="BL83" i="45"/>
  <c r="BL84" i="45" s="1"/>
  <c r="AF84" i="45"/>
  <c r="AY83" i="45"/>
  <c r="AY84" i="45" s="1"/>
  <c r="S84" i="45"/>
  <c r="BF83" i="45"/>
  <c r="BF84" i="45" s="1"/>
  <c r="Z84" i="45"/>
  <c r="V78" i="36"/>
  <c r="BB78" i="36" s="1"/>
  <c r="J78" i="36"/>
  <c r="AP78" i="36" s="1"/>
  <c r="AP80" i="36" s="1"/>
  <c r="AP83" i="36" s="1"/>
  <c r="AF91" i="36"/>
  <c r="AA91" i="36"/>
  <c r="AA93" i="36" s="1"/>
  <c r="AA96" i="36" s="1"/>
  <c r="Q91" i="36"/>
  <c r="Q93" i="36" s="1"/>
  <c r="Q96" i="36" s="1"/>
  <c r="AT83" i="45"/>
  <c r="AT84" i="45" s="1"/>
  <c r="N84" i="45"/>
  <c r="BJ83" i="45"/>
  <c r="BJ84" i="45" s="1"/>
  <c r="AD84" i="45"/>
  <c r="BD83" i="45"/>
  <c r="BD84" i="45" s="1"/>
  <c r="X84" i="45"/>
  <c r="BB83" i="45"/>
  <c r="BB84" i="45" s="1"/>
  <c r="V84" i="45"/>
  <c r="AU83" i="45"/>
  <c r="AU84" i="45" s="1"/>
  <c r="O84" i="45"/>
  <c r="BI83" i="45"/>
  <c r="BI84" i="45" s="1"/>
  <c r="AC84" i="45"/>
  <c r="M78" i="36"/>
  <c r="X91" i="36"/>
  <c r="BD91" i="36" s="1"/>
  <c r="U91" i="36"/>
  <c r="U93" i="36" s="1"/>
  <c r="U96" i="36" s="1"/>
  <c r="G91" i="36"/>
  <c r="G93" i="36" s="1"/>
  <c r="G96" i="36" s="1"/>
  <c r="L98" i="36"/>
  <c r="AR98" i="36" s="1"/>
  <c r="O78" i="36"/>
  <c r="AU78" i="36" s="1"/>
  <c r="AU80" i="36" s="1"/>
  <c r="AU83" i="36" s="1"/>
  <c r="H78" i="36"/>
  <c r="S78" i="36"/>
  <c r="AY78" i="36" s="1"/>
  <c r="AY80" i="36" s="1"/>
  <c r="AY83" i="36" s="1"/>
  <c r="N78" i="36"/>
  <c r="AT78" i="36" s="1"/>
  <c r="AT80" i="36" s="1"/>
  <c r="AT83" i="36" s="1"/>
  <c r="U78" i="36"/>
  <c r="BA78" i="36" s="1"/>
  <c r="T78" i="36"/>
  <c r="AZ78" i="36" s="1"/>
  <c r="AZ80" i="36" s="1"/>
  <c r="AZ83" i="36" s="1"/>
  <c r="K91" i="36"/>
  <c r="AQ91" i="36" s="1"/>
  <c r="P91" i="36"/>
  <c r="AV91" i="36" s="1"/>
  <c r="AG91" i="36"/>
  <c r="AG93" i="36" s="1"/>
  <c r="AG96" i="36" s="1"/>
  <c r="Y91" i="36"/>
  <c r="Y93" i="36" s="1"/>
  <c r="Y96" i="36" s="1"/>
  <c r="AB91" i="36"/>
  <c r="AB93" i="36" s="1"/>
  <c r="AB96" i="36" s="1"/>
  <c r="F91" i="36"/>
  <c r="AL91" i="36" s="1"/>
  <c r="I91" i="36"/>
  <c r="I93" i="36" s="1"/>
  <c r="I96" i="36" s="1"/>
  <c r="D98" i="36"/>
  <c r="AJ98" i="36" s="1"/>
  <c r="AB86" i="36"/>
  <c r="AB89" i="36" s="1"/>
  <c r="E86" i="36"/>
  <c r="E89" i="36" s="1"/>
  <c r="H86" i="36"/>
  <c r="H89" i="36" s="1"/>
  <c r="BE83" i="45"/>
  <c r="BE84" i="45" s="1"/>
  <c r="Y84" i="45"/>
  <c r="AQ83" i="45"/>
  <c r="AQ84" i="45" s="1"/>
  <c r="K84" i="45"/>
  <c r="AP83" i="45"/>
  <c r="AP84" i="45" s="1"/>
  <c r="J84" i="45"/>
  <c r="AM83" i="45"/>
  <c r="AM84" i="45" s="1"/>
  <c r="G84" i="45"/>
  <c r="AO83" i="45"/>
  <c r="AO84" i="45" s="1"/>
  <c r="I84" i="45"/>
  <c r="AR83" i="45"/>
  <c r="AR84" i="45" s="1"/>
  <c r="L84" i="45"/>
  <c r="BA83" i="45"/>
  <c r="BA84" i="45" s="1"/>
  <c r="U84" i="45"/>
  <c r="AX83" i="45"/>
  <c r="AX84" i="45" s="1"/>
  <c r="R84" i="45"/>
  <c r="I78" i="36"/>
  <c r="AO78" i="36" s="1"/>
  <c r="AO80" i="36" s="1"/>
  <c r="AO83" i="36" s="1"/>
  <c r="Q78" i="36"/>
  <c r="AW78" i="36" s="1"/>
  <c r="AA78" i="36"/>
  <c r="BG78" i="36" s="1"/>
  <c r="BG80" i="36" s="1"/>
  <c r="BG83" i="36" s="1"/>
  <c r="E91" i="36"/>
  <c r="AK91" i="36" s="1"/>
  <c r="M91" i="36"/>
  <c r="AS91" i="36" s="1"/>
  <c r="L91" i="36"/>
  <c r="L93" i="36" s="1"/>
  <c r="BK83" i="45"/>
  <c r="BK84" i="45" s="1"/>
  <c r="AE84" i="45"/>
  <c r="AW83" i="45"/>
  <c r="AW84" i="45" s="1"/>
  <c r="Q84" i="45"/>
  <c r="AC78" i="36"/>
  <c r="BI78" i="36" s="1"/>
  <c r="AG78" i="36"/>
  <c r="BM78" i="36" s="1"/>
  <c r="W78" i="36"/>
  <c r="BC78" i="36" s="1"/>
  <c r="S91" i="36"/>
  <c r="AY91" i="36" s="1"/>
  <c r="AH91" i="36"/>
  <c r="AH93" i="36" s="1"/>
  <c r="AH96" i="36" s="1"/>
  <c r="R91" i="36"/>
  <c r="AX91" i="36" s="1"/>
  <c r="AH78" i="36"/>
  <c r="AH80" i="36" s="1"/>
  <c r="AH83" i="36" s="1"/>
  <c r="Y78" i="36"/>
  <c r="BE78" i="36" s="1"/>
  <c r="BE80" i="36" s="1"/>
  <c r="BE83" i="36" s="1"/>
  <c r="AB78" i="36"/>
  <c r="BH78" i="36" s="1"/>
  <c r="BH80" i="36" s="1"/>
  <c r="BH83" i="36" s="1"/>
  <c r="Z78" i="36"/>
  <c r="BF78" i="36" s="1"/>
  <c r="BF80" i="36" s="1"/>
  <c r="BF83" i="36" s="1"/>
  <c r="K78" i="36"/>
  <c r="E78" i="36"/>
  <c r="AK78" i="36" s="1"/>
  <c r="AK80" i="36" s="1"/>
  <c r="AK83" i="36" s="1"/>
  <c r="R78" i="36"/>
  <c r="AX78" i="36" s="1"/>
  <c r="AX80" i="36" s="1"/>
  <c r="AX83" i="36" s="1"/>
  <c r="G78" i="36"/>
  <c r="AM78" i="36" s="1"/>
  <c r="AD91" i="36"/>
  <c r="AD93" i="36" s="1"/>
  <c r="T91" i="36"/>
  <c r="T93" i="36" s="1"/>
  <c r="T96" i="36" s="1"/>
  <c r="V91" i="36"/>
  <c r="AE91" i="36"/>
  <c r="AE93" i="36" s="1"/>
  <c r="J91" i="36"/>
  <c r="AP91" i="36" s="1"/>
  <c r="H91" i="36"/>
  <c r="H93" i="36" s="1"/>
  <c r="H96" i="36" s="1"/>
  <c r="Z91" i="36"/>
  <c r="Z93" i="36" s="1"/>
  <c r="Z96" i="36" s="1"/>
  <c r="N91" i="36"/>
  <c r="N93" i="36" s="1"/>
  <c r="N96" i="36" s="1"/>
  <c r="AJ89" i="45"/>
  <c r="BH83" i="45"/>
  <c r="BH84" i="45" s="1"/>
  <c r="AB84" i="45"/>
  <c r="AK83" i="45"/>
  <c r="AK84" i="45" s="1"/>
  <c r="E84" i="45"/>
  <c r="AN83" i="45"/>
  <c r="AN84" i="45" s="1"/>
  <c r="H84" i="45"/>
  <c r="AS83" i="45"/>
  <c r="AS84" i="45" s="1"/>
  <c r="M84" i="45"/>
  <c r="AV83" i="45"/>
  <c r="AV84" i="45" s="1"/>
  <c r="P84" i="45"/>
  <c r="BG83" i="45"/>
  <c r="BG84" i="45" s="1"/>
  <c r="AA84" i="45"/>
  <c r="AZ83" i="45"/>
  <c r="AZ84" i="45" s="1"/>
  <c r="T84" i="45"/>
  <c r="AV80" i="36"/>
  <c r="AV83" i="36" s="1"/>
  <c r="BC112" i="36"/>
  <c r="BC113" i="36"/>
  <c r="BC111" i="36"/>
  <c r="AU112" i="36"/>
  <c r="AU113" i="36"/>
  <c r="AU111" i="36"/>
  <c r="BF111" i="36"/>
  <c r="BF112" i="36"/>
  <c r="BF113" i="36"/>
  <c r="BN111" i="36"/>
  <c r="BN112" i="36"/>
  <c r="BN113" i="36"/>
  <c r="AL111" i="36"/>
  <c r="AL112" i="36"/>
  <c r="AL113" i="36"/>
  <c r="BL113" i="36"/>
  <c r="BL111" i="36"/>
  <c r="BL112" i="36"/>
  <c r="AR113" i="36"/>
  <c r="AR111" i="36"/>
  <c r="AR112" i="36"/>
  <c r="AV113" i="36"/>
  <c r="AV111" i="36"/>
  <c r="AV112" i="36"/>
  <c r="BE111" i="36"/>
  <c r="BE112" i="36"/>
  <c r="BE113" i="36"/>
  <c r="AP111" i="36"/>
  <c r="AP112" i="36"/>
  <c r="AP113" i="36"/>
  <c r="AQ112" i="36"/>
  <c r="AQ113" i="36"/>
  <c r="AQ111" i="36"/>
  <c r="AZ113" i="36"/>
  <c r="AZ111" i="36"/>
  <c r="AZ112" i="36"/>
  <c r="AY112" i="36"/>
  <c r="AY113" i="36"/>
  <c r="AY111" i="36"/>
  <c r="AS111" i="36"/>
  <c r="AS112" i="36"/>
  <c r="AS113" i="36"/>
  <c r="AO111" i="36"/>
  <c r="AO112" i="36"/>
  <c r="AO113" i="36"/>
  <c r="AM112" i="36"/>
  <c r="AM113" i="36"/>
  <c r="AM111" i="36"/>
  <c r="AT111" i="36"/>
  <c r="AT112" i="36"/>
  <c r="AT113" i="36"/>
  <c r="AK111" i="36"/>
  <c r="AK112" i="36"/>
  <c r="AK113" i="36"/>
  <c r="AN113" i="36"/>
  <c r="AN111" i="36"/>
  <c r="AN112" i="36"/>
  <c r="U111" i="36"/>
  <c r="U113" i="36"/>
  <c r="U112" i="36"/>
  <c r="W112" i="36"/>
  <c r="W111" i="36"/>
  <c r="W113" i="36"/>
  <c r="AD111" i="36"/>
  <c r="AD113" i="36"/>
  <c r="AD112" i="36"/>
  <c r="X113" i="36"/>
  <c r="X111" i="36"/>
  <c r="X112" i="36"/>
  <c r="P113" i="36"/>
  <c r="P111" i="36"/>
  <c r="P112" i="36"/>
  <c r="J112" i="36"/>
  <c r="J111" i="36"/>
  <c r="J113" i="36"/>
  <c r="AH112" i="36"/>
  <c r="AH111" i="36"/>
  <c r="AH113" i="36"/>
  <c r="M111" i="36"/>
  <c r="M113" i="36"/>
  <c r="M112" i="36"/>
  <c r="AE112" i="36"/>
  <c r="AE111" i="36"/>
  <c r="AE113" i="36"/>
  <c r="T111" i="36"/>
  <c r="T113" i="36"/>
  <c r="T112" i="36"/>
  <c r="Y111" i="36"/>
  <c r="Y113" i="36"/>
  <c r="Y112" i="36"/>
  <c r="K112" i="36"/>
  <c r="K111" i="36"/>
  <c r="K113" i="36"/>
  <c r="G112" i="36"/>
  <c r="G111" i="36"/>
  <c r="G113" i="36"/>
  <c r="AB111" i="36"/>
  <c r="AB113" i="36"/>
  <c r="AB112" i="36"/>
  <c r="AQ78" i="36"/>
  <c r="AN78" i="36"/>
  <c r="AN80" i="36" s="1"/>
  <c r="AN83" i="36" s="1"/>
  <c r="AS78" i="36"/>
  <c r="BK80" i="36"/>
  <c r="BK83" i="36" s="1"/>
  <c r="AJ93" i="36"/>
  <c r="AJ96" i="36" s="1"/>
  <c r="AU86" i="36"/>
  <c r="AU89" i="36" s="1"/>
  <c r="AR86" i="36"/>
  <c r="AR89" i="36" s="1"/>
  <c r="BH86" i="36"/>
  <c r="BH89" i="36" s="1"/>
  <c r="AK86" i="36"/>
  <c r="AK89" i="36" s="1"/>
  <c r="AN86" i="36"/>
  <c r="AN89" i="36" s="1"/>
  <c r="BE86" i="36"/>
  <c r="BE89" i="36" s="1"/>
  <c r="AQ86" i="36"/>
  <c r="AQ89" i="36" s="1"/>
  <c r="AM86" i="36"/>
  <c r="AM89" i="36" s="1"/>
  <c r="BD86" i="36"/>
  <c r="BD89" i="36" s="1"/>
  <c r="AO86" i="36"/>
  <c r="AO89" i="36" s="1"/>
  <c r="BG86" i="36"/>
  <c r="BG89" i="36" s="1"/>
  <c r="AX86" i="36"/>
  <c r="AX89" i="36" s="1"/>
  <c r="AL86" i="36"/>
  <c r="AL89" i="36" s="1"/>
  <c r="BC86" i="36"/>
  <c r="BC89" i="36" s="1"/>
  <c r="BL86" i="36"/>
  <c r="BL89" i="36" s="1"/>
  <c r="AT86" i="36"/>
  <c r="AT89" i="36" s="1"/>
  <c r="BJ86" i="36"/>
  <c r="BJ89" i="36" s="1"/>
  <c r="AV86" i="36"/>
  <c r="AV89" i="36" s="1"/>
  <c r="AY86" i="36"/>
  <c r="AY89" i="36" s="1"/>
  <c r="Z110" i="36"/>
  <c r="O110" i="36"/>
  <c r="F110" i="36"/>
  <c r="L110" i="36"/>
  <c r="E110" i="36"/>
  <c r="AF110" i="36"/>
  <c r="I110" i="36"/>
  <c r="N110" i="36"/>
  <c r="AJ102" i="36"/>
  <c r="BI107" i="36"/>
  <c r="BI110" i="36" s="1"/>
  <c r="BA86" i="36"/>
  <c r="BA89" i="36" s="1"/>
  <c r="BB107" i="36"/>
  <c r="BB110" i="36" s="1"/>
  <c r="AS86" i="36"/>
  <c r="AS89" i="36" s="1"/>
  <c r="BL91" i="36"/>
  <c r="AW91" i="36"/>
  <c r="AX107" i="36"/>
  <c r="AX110" i="36" s="1"/>
  <c r="BM107" i="36"/>
  <c r="BM110" i="36" s="1"/>
  <c r="BM86" i="36"/>
  <c r="BM89" i="36" s="1"/>
  <c r="BI86" i="36"/>
  <c r="BI89" i="36" s="1"/>
  <c r="AW86" i="36"/>
  <c r="AW89" i="36" s="1"/>
  <c r="BA91" i="36"/>
  <c r="K317" i="38"/>
  <c r="K319" i="38" s="1"/>
  <c r="BG107" i="36"/>
  <c r="BG110" i="36" s="1"/>
  <c r="AG110" i="36"/>
  <c r="R110" i="36"/>
  <c r="AA110" i="36"/>
  <c r="AC110" i="36"/>
  <c r="V110" i="36"/>
  <c r="AC226" i="38"/>
  <c r="AD226" i="38"/>
  <c r="O226" i="38"/>
  <c r="AG92" i="38"/>
  <c r="AG226" i="38"/>
  <c r="J92" i="38"/>
  <c r="J226" i="38"/>
  <c r="E92" i="38"/>
  <c r="E226" i="38"/>
  <c r="Z92" i="38"/>
  <c r="Z226" i="38"/>
  <c r="X92" i="38"/>
  <c r="X226" i="38"/>
  <c r="Y92" i="38"/>
  <c r="Y226" i="38"/>
  <c r="Q92" i="38"/>
  <c r="Q226" i="38"/>
  <c r="W92" i="38"/>
  <c r="W226" i="38"/>
  <c r="H92" i="38"/>
  <c r="H226" i="38"/>
  <c r="P92" i="38"/>
  <c r="P226" i="38"/>
  <c r="AB92" i="38"/>
  <c r="AB226" i="38"/>
  <c r="AF92" i="38"/>
  <c r="AF226" i="38"/>
  <c r="L92" i="38"/>
  <c r="L226" i="38"/>
  <c r="V92" i="38"/>
  <c r="V226" i="38"/>
  <c r="AA92" i="38"/>
  <c r="AA226" i="38"/>
  <c r="D92" i="38"/>
  <c r="D226" i="38"/>
  <c r="F92" i="38"/>
  <c r="F226" i="38"/>
  <c r="U92" i="38"/>
  <c r="U226" i="38"/>
  <c r="I92" i="38"/>
  <c r="I226" i="38"/>
  <c r="AE92" i="38"/>
  <c r="AE226" i="38"/>
  <c r="N92" i="38"/>
  <c r="N226" i="38"/>
  <c r="G92" i="38"/>
  <c r="G226" i="38"/>
  <c r="R92" i="38"/>
  <c r="R226" i="38"/>
  <c r="M92" i="38"/>
  <c r="M226" i="38"/>
  <c r="T92" i="38"/>
  <c r="T226" i="38"/>
  <c r="S92" i="38"/>
  <c r="S226" i="38"/>
  <c r="J143" i="38"/>
  <c r="G143" i="38"/>
  <c r="Y143" i="38"/>
  <c r="AG143" i="38"/>
  <c r="AF143" i="38"/>
  <c r="Q143" i="38"/>
  <c r="AB143" i="38"/>
  <c r="R143" i="38"/>
  <c r="X143" i="38"/>
  <c r="H143" i="38"/>
  <c r="N143" i="38"/>
  <c r="AC143" i="38"/>
  <c r="V143" i="38"/>
  <c r="T143" i="38"/>
  <c r="M143" i="38"/>
  <c r="AA143" i="38"/>
  <c r="K143" i="38"/>
  <c r="Z143" i="38"/>
  <c r="AD143" i="38"/>
  <c r="L143" i="38"/>
  <c r="W143" i="38"/>
  <c r="U143" i="38"/>
  <c r="F143" i="38"/>
  <c r="I143" i="38"/>
  <c r="C143" i="38"/>
  <c r="P143" i="38"/>
  <c r="S143" i="38"/>
  <c r="D143" i="38"/>
  <c r="O143" i="38"/>
  <c r="AE143" i="38"/>
  <c r="E143" i="38"/>
  <c r="R144" i="38"/>
  <c r="AE144" i="38"/>
  <c r="X144" i="38"/>
  <c r="G144" i="38"/>
  <c r="K144" i="38"/>
  <c r="Y144" i="38"/>
  <c r="W144" i="38"/>
  <c r="T144" i="38"/>
  <c r="F144" i="38"/>
  <c r="P144" i="38"/>
  <c r="AB144" i="38"/>
  <c r="D144" i="38"/>
  <c r="E144" i="38"/>
  <c r="AD144" i="38"/>
  <c r="AC144" i="38"/>
  <c r="Z144" i="38"/>
  <c r="O144" i="38"/>
  <c r="M144" i="38"/>
  <c r="V144" i="38"/>
  <c r="S144" i="38"/>
  <c r="H144" i="38"/>
  <c r="AG144" i="38"/>
  <c r="AF144" i="38"/>
  <c r="I144" i="38"/>
  <c r="C144" i="38"/>
  <c r="AA144" i="38"/>
  <c r="N144" i="38"/>
  <c r="Q144" i="38"/>
  <c r="L144" i="38"/>
  <c r="J144" i="38"/>
  <c r="U144" i="38"/>
  <c r="I77" i="38"/>
  <c r="G77" i="38"/>
  <c r="T77" i="38"/>
  <c r="AD77" i="38"/>
  <c r="AC77" i="38"/>
  <c r="X77" i="38"/>
  <c r="P77" i="38"/>
  <c r="C77" i="38"/>
  <c r="Y77" i="38"/>
  <c r="W77" i="38"/>
  <c r="S77" i="38"/>
  <c r="AE77" i="38"/>
  <c r="H77" i="38"/>
  <c r="F77" i="38"/>
  <c r="R77" i="38"/>
  <c r="O77" i="38"/>
  <c r="Q77" i="38"/>
  <c r="N77" i="38"/>
  <c r="D77" i="38"/>
  <c r="U77" i="38"/>
  <c r="Z77" i="38"/>
  <c r="V77" i="38"/>
  <c r="AA77" i="38"/>
  <c r="K77" i="38"/>
  <c r="E77" i="38"/>
  <c r="L77" i="38"/>
  <c r="M77" i="38"/>
  <c r="J77" i="38"/>
  <c r="AF77" i="38"/>
  <c r="AG77" i="38"/>
  <c r="AB77" i="38"/>
  <c r="J142" i="38"/>
  <c r="W142" i="38"/>
  <c r="V142" i="38"/>
  <c r="K142" i="38"/>
  <c r="X142" i="38"/>
  <c r="S142" i="38"/>
  <c r="AA142" i="38"/>
  <c r="N142" i="38"/>
  <c r="P142" i="38"/>
  <c r="U142" i="38"/>
  <c r="AE142" i="38"/>
  <c r="T142" i="38"/>
  <c r="L142" i="38"/>
  <c r="AB142" i="38"/>
  <c r="F142" i="38"/>
  <c r="O142" i="38"/>
  <c r="Z142" i="38"/>
  <c r="AG142" i="38"/>
  <c r="M142" i="38"/>
  <c r="G142" i="38"/>
  <c r="R142" i="38"/>
  <c r="Q142" i="38"/>
  <c r="Y142" i="38"/>
  <c r="D142" i="38"/>
  <c r="E142" i="38"/>
  <c r="AD142" i="38"/>
  <c r="I142" i="38"/>
  <c r="H142" i="38"/>
  <c r="AF142" i="38"/>
  <c r="AC142" i="38"/>
  <c r="N79" i="38"/>
  <c r="AD79" i="38"/>
  <c r="W79" i="38"/>
  <c r="C79" i="38"/>
  <c r="AG79" i="38"/>
  <c r="AC79" i="38"/>
  <c r="J79" i="38"/>
  <c r="V79" i="38"/>
  <c r="K79" i="38"/>
  <c r="G79" i="38"/>
  <c r="O79" i="38"/>
  <c r="H79" i="38"/>
  <c r="E79" i="38"/>
  <c r="R79" i="38"/>
  <c r="F79" i="38"/>
  <c r="S79" i="38"/>
  <c r="AA79" i="38"/>
  <c r="Q79" i="38"/>
  <c r="AB79" i="38"/>
  <c r="AF79" i="38"/>
  <c r="M79" i="38"/>
  <c r="Y79" i="38"/>
  <c r="U79" i="38"/>
  <c r="AE79" i="38"/>
  <c r="D79" i="38"/>
  <c r="L79" i="38"/>
  <c r="P79" i="38"/>
  <c r="I79" i="38"/>
  <c r="T79" i="38"/>
  <c r="X79" i="38"/>
  <c r="Z79" i="38"/>
  <c r="AA78" i="38"/>
  <c r="X78" i="38"/>
  <c r="AF78" i="38"/>
  <c r="E78" i="38"/>
  <c r="AG78" i="38"/>
  <c r="Z78" i="38"/>
  <c r="AD78" i="38"/>
  <c r="Q78" i="38"/>
  <c r="J78" i="38"/>
  <c r="N78" i="38"/>
  <c r="S78" i="38"/>
  <c r="AB78" i="38"/>
  <c r="T78" i="38"/>
  <c r="U78" i="38"/>
  <c r="R78" i="38"/>
  <c r="K78" i="38"/>
  <c r="F78" i="38"/>
  <c r="D78" i="38"/>
  <c r="P78" i="38"/>
  <c r="AC78" i="38"/>
  <c r="L78" i="38"/>
  <c r="V78" i="38"/>
  <c r="G78" i="38"/>
  <c r="O78" i="38"/>
  <c r="Y78" i="38"/>
  <c r="W78" i="38"/>
  <c r="M78" i="38"/>
  <c r="C78" i="38"/>
  <c r="I78" i="38"/>
  <c r="AE78" i="38"/>
  <c r="H78" i="38"/>
  <c r="C66" i="38"/>
  <c r="C249" i="38" s="1"/>
  <c r="BB91" i="36" l="1"/>
  <c r="BF91" i="36"/>
  <c r="F93" i="36"/>
  <c r="F96" i="36" s="1"/>
  <c r="V93" i="36"/>
  <c r="V96" i="36" s="1"/>
  <c r="AF93" i="36"/>
  <c r="AF96" i="36" s="1"/>
  <c r="BM91" i="36"/>
  <c r="Q111" i="36"/>
  <c r="BF86" i="36"/>
  <c r="BF89" i="36" s="1"/>
  <c r="BK86" i="36"/>
  <c r="BK89" i="36" s="1"/>
  <c r="BB86" i="36"/>
  <c r="BB89" i="36" s="1"/>
  <c r="BK113" i="36"/>
  <c r="P93" i="36"/>
  <c r="BN91" i="36"/>
  <c r="BJ91" i="36"/>
  <c r="BJ93" i="36" s="1"/>
  <c r="BE91" i="36"/>
  <c r="BE93" i="36" s="1"/>
  <c r="BE96" i="36" s="1"/>
  <c r="J93" i="36"/>
  <c r="J96" i="36" s="1"/>
  <c r="BK112" i="36"/>
  <c r="W93" i="36"/>
  <c r="W96" i="36" s="1"/>
  <c r="K93" i="36"/>
  <c r="K96" i="36" s="1"/>
  <c r="H111" i="36"/>
  <c r="AR91" i="36"/>
  <c r="AR93" i="36" s="1"/>
  <c r="D102" i="36"/>
  <c r="D105" i="36" s="1"/>
  <c r="D119" i="36" s="1"/>
  <c r="M93" i="36"/>
  <c r="M96" i="36" s="1"/>
  <c r="O93" i="36"/>
  <c r="O96" i="36" s="1"/>
  <c r="Q112" i="36"/>
  <c r="S111" i="36"/>
  <c r="S112" i="36"/>
  <c r="H113" i="36"/>
  <c r="BN78" i="36"/>
  <c r="BN80" i="36" s="1"/>
  <c r="BN83" i="36" s="1"/>
  <c r="AZ91" i="36"/>
  <c r="AZ93" i="36" s="1"/>
  <c r="AZ96" i="36" s="1"/>
  <c r="AN91" i="36"/>
  <c r="AN93" i="36" s="1"/>
  <c r="AN96" i="36" s="1"/>
  <c r="X93" i="36"/>
  <c r="X96" i="36" s="1"/>
  <c r="D115" i="36"/>
  <c r="D116" i="36" s="1"/>
  <c r="D128" i="36" s="1"/>
  <c r="S98" i="36"/>
  <c r="AY98" i="36" s="1"/>
  <c r="M98" i="36"/>
  <c r="AS98" i="36" s="1"/>
  <c r="R98" i="36"/>
  <c r="AX98" i="36" s="1"/>
  <c r="AH98" i="36"/>
  <c r="AH102" i="36" s="1"/>
  <c r="AK89" i="45"/>
  <c r="AO91" i="36"/>
  <c r="AO93" i="36" s="1"/>
  <c r="AO96" i="36" s="1"/>
  <c r="R93" i="36"/>
  <c r="R96" i="36" s="1"/>
  <c r="BF89" i="45"/>
  <c r="AP89" i="45"/>
  <c r="BB89" i="45"/>
  <c r="BJ89" i="45"/>
  <c r="BN89" i="45"/>
  <c r="AJ96" i="45"/>
  <c r="AL89" i="45"/>
  <c r="BE89" i="45"/>
  <c r="AV89" i="45"/>
  <c r="AR96" i="45"/>
  <c r="BA89" i="45"/>
  <c r="AW89" i="45"/>
  <c r="BL89" i="45"/>
  <c r="BC89" i="45"/>
  <c r="O98" i="36"/>
  <c r="AU98" i="36" s="1"/>
  <c r="G98" i="36"/>
  <c r="AM98" i="36" s="1"/>
  <c r="AC98" i="36"/>
  <c r="BI98" i="36" s="1"/>
  <c r="T98" i="36"/>
  <c r="AZ98" i="36" s="1"/>
  <c r="N98" i="36"/>
  <c r="AT98" i="36" s="1"/>
  <c r="H98" i="36"/>
  <c r="AN98" i="36" s="1"/>
  <c r="AF98" i="36"/>
  <c r="BL98" i="36" s="1"/>
  <c r="V98" i="36"/>
  <c r="BB98" i="36" s="1"/>
  <c r="E98" i="36"/>
  <c r="AK98" i="36" s="1"/>
  <c r="W98" i="36"/>
  <c r="BC98" i="36" s="1"/>
  <c r="AG98" i="36"/>
  <c r="BM98" i="36" s="1"/>
  <c r="Q98" i="36"/>
  <c r="AW98" i="36" s="1"/>
  <c r="X98" i="36"/>
  <c r="BD98" i="36" s="1"/>
  <c r="Z98" i="36"/>
  <c r="BF98" i="36" s="1"/>
  <c r="AA98" i="36"/>
  <c r="BG98" i="36" s="1"/>
  <c r="K98" i="36"/>
  <c r="AQ98" i="36" s="1"/>
  <c r="P98" i="36"/>
  <c r="AV98" i="36" s="1"/>
  <c r="AM91" i="36"/>
  <c r="AM93" i="36" s="1"/>
  <c r="AM96" i="36" s="1"/>
  <c r="BG91" i="36"/>
  <c r="BG93" i="36" s="1"/>
  <c r="BG96" i="36" s="1"/>
  <c r="AT91" i="36"/>
  <c r="AT93" i="36" s="1"/>
  <c r="AT96" i="36" s="1"/>
  <c r="BK91" i="36"/>
  <c r="BK93" i="36" s="1"/>
  <c r="BH91" i="36"/>
  <c r="BH93" i="36" s="1"/>
  <c r="BH96" i="36" s="1"/>
  <c r="AC93" i="36"/>
  <c r="AC96" i="36" s="1"/>
  <c r="AS89" i="45"/>
  <c r="AU89" i="45"/>
  <c r="U98" i="36"/>
  <c r="BA98" i="36" s="1"/>
  <c r="J98" i="36"/>
  <c r="AP98" i="36" s="1"/>
  <c r="AB98" i="36"/>
  <c r="BH98" i="36" s="1"/>
  <c r="I98" i="36"/>
  <c r="AO98" i="36" s="1"/>
  <c r="Y98" i="36"/>
  <c r="BE98" i="36" s="1"/>
  <c r="F98" i="36"/>
  <c r="AL98" i="36" s="1"/>
  <c r="AD98" i="36"/>
  <c r="BJ98" i="36" s="1"/>
  <c r="AR89" i="45"/>
  <c r="S93" i="36"/>
  <c r="S96" i="36" s="1"/>
  <c r="AE98" i="36"/>
  <c r="BK98" i="36" s="1"/>
  <c r="E93" i="36"/>
  <c r="E96" i="36" s="1"/>
  <c r="AT89" i="45"/>
  <c r="AN89" i="45"/>
  <c r="BK89" i="45"/>
  <c r="AZ89" i="45"/>
  <c r="AX89" i="45"/>
  <c r="AY89" i="45"/>
  <c r="AO89" i="45"/>
  <c r="BH89" i="45"/>
  <c r="BM89" i="45"/>
  <c r="AQ89" i="45"/>
  <c r="AM89" i="45"/>
  <c r="BD89" i="45"/>
  <c r="BG89" i="45"/>
  <c r="BI89" i="45"/>
  <c r="L96" i="36"/>
  <c r="L115" i="36"/>
  <c r="L116" i="36" s="1"/>
  <c r="L128" i="36" s="1"/>
  <c r="AE96" i="36"/>
  <c r="AJ115" i="36"/>
  <c r="AJ116" i="36" s="1"/>
  <c r="AJ128" i="36" s="1"/>
  <c r="AJ105" i="36"/>
  <c r="AJ119" i="36" s="1"/>
  <c r="AJ103" i="36"/>
  <c r="AJ117" i="36" s="1"/>
  <c r="AJ123" i="36" s="1"/>
  <c r="BD80" i="36"/>
  <c r="BD83" i="36" s="1"/>
  <c r="BB80" i="36"/>
  <c r="BB83" i="36" s="1"/>
  <c r="AD96" i="36"/>
  <c r="N115" i="36"/>
  <c r="BM111" i="36"/>
  <c r="BM112" i="36"/>
  <c r="BM113" i="36"/>
  <c r="BB111" i="36"/>
  <c r="BB112" i="36"/>
  <c r="BB113" i="36"/>
  <c r="BI111" i="36"/>
  <c r="BI112" i="36"/>
  <c r="BI113" i="36"/>
  <c r="AX111" i="36"/>
  <c r="AX112" i="36"/>
  <c r="AX113" i="36"/>
  <c r="BG112" i="36"/>
  <c r="BG113" i="36"/>
  <c r="BG111" i="36"/>
  <c r="AF111" i="36"/>
  <c r="AF113" i="36"/>
  <c r="AF112" i="36"/>
  <c r="V112" i="36"/>
  <c r="V111" i="36"/>
  <c r="V113" i="36"/>
  <c r="AG111" i="36"/>
  <c r="AG113" i="36"/>
  <c r="AG112" i="36"/>
  <c r="E111" i="36"/>
  <c r="E113" i="36"/>
  <c r="E112" i="36"/>
  <c r="Z111" i="36"/>
  <c r="Z113" i="36"/>
  <c r="Z112" i="36"/>
  <c r="AC111" i="36"/>
  <c r="AC113" i="36"/>
  <c r="AC112" i="36"/>
  <c r="N111" i="36"/>
  <c r="N113" i="36"/>
  <c r="N112" i="36"/>
  <c r="L111" i="36"/>
  <c r="L113" i="36"/>
  <c r="L112" i="36"/>
  <c r="R111" i="36"/>
  <c r="R113" i="36"/>
  <c r="R112" i="36"/>
  <c r="O112" i="36"/>
  <c r="O111" i="36"/>
  <c r="O113" i="36"/>
  <c r="AA112" i="36"/>
  <c r="AA111" i="36"/>
  <c r="AA113" i="36"/>
  <c r="I111" i="36"/>
  <c r="I113" i="36"/>
  <c r="I112" i="36"/>
  <c r="F111" i="36"/>
  <c r="F113" i="36"/>
  <c r="F112" i="36"/>
  <c r="BC80" i="36"/>
  <c r="BC83" i="36" s="1"/>
  <c r="BM80" i="36"/>
  <c r="BM83" i="36" s="1"/>
  <c r="BA80" i="36"/>
  <c r="BA83" i="36" s="1"/>
  <c r="AQ80" i="36"/>
  <c r="AQ83" i="36" s="1"/>
  <c r="AS80" i="36"/>
  <c r="AS83" i="36" s="1"/>
  <c r="AW80" i="36"/>
  <c r="AW83" i="36" s="1"/>
  <c r="AM80" i="36"/>
  <c r="AM83" i="36" s="1"/>
  <c r="BI80" i="36"/>
  <c r="BI83" i="36" s="1"/>
  <c r="AY93" i="36"/>
  <c r="AY96" i="36" s="1"/>
  <c r="BA93" i="36"/>
  <c r="BA96" i="36" s="1"/>
  <c r="AX93" i="36"/>
  <c r="AX96" i="36" s="1"/>
  <c r="AW93" i="36"/>
  <c r="AW96" i="36" s="1"/>
  <c r="AK93" i="36"/>
  <c r="AK96" i="36" s="1"/>
  <c r="AP93" i="36"/>
  <c r="AP96" i="36" s="1"/>
  <c r="AL93" i="36"/>
  <c r="AL96" i="36" s="1"/>
  <c r="AV93" i="36"/>
  <c r="BI93" i="36"/>
  <c r="BI96" i="36" s="1"/>
  <c r="BC93" i="36"/>
  <c r="BC96" i="36" s="1"/>
  <c r="BD93" i="36"/>
  <c r="BD96" i="36" s="1"/>
  <c r="AS93" i="36"/>
  <c r="AS96" i="36" s="1"/>
  <c r="BL93" i="36"/>
  <c r="BL96" i="36" s="1"/>
  <c r="AQ93" i="36"/>
  <c r="AQ96" i="36" s="1"/>
  <c r="AU93" i="36"/>
  <c r="AU96" i="36" s="1"/>
  <c r="K320" i="38"/>
  <c r="K323" i="38" s="1"/>
  <c r="S317" i="38"/>
  <c r="S320" i="38" s="1"/>
  <c r="M317" i="38"/>
  <c r="M320" i="38" s="1"/>
  <c r="G317" i="38"/>
  <c r="G320" i="38" s="1"/>
  <c r="AE317" i="38"/>
  <c r="AE320" i="38" s="1"/>
  <c r="U317" i="38"/>
  <c r="U320" i="38" s="1"/>
  <c r="D317" i="38"/>
  <c r="D320" i="38" s="1"/>
  <c r="D323" i="38" s="1"/>
  <c r="V317" i="38"/>
  <c r="V319" i="38" s="1"/>
  <c r="AF317" i="38"/>
  <c r="AF320" i="38" s="1"/>
  <c r="P317" i="38"/>
  <c r="P320" i="38" s="1"/>
  <c r="W317" i="38"/>
  <c r="W319" i="38" s="1"/>
  <c r="Y317" i="38"/>
  <c r="Y320" i="38" s="1"/>
  <c r="Z317" i="38"/>
  <c r="Z320" i="38" s="1"/>
  <c r="Z323" i="38" s="1"/>
  <c r="J317" i="38"/>
  <c r="J319" i="38" s="1"/>
  <c r="O317" i="38"/>
  <c r="O320" i="38" s="1"/>
  <c r="AD317" i="38"/>
  <c r="AD319" i="38" s="1"/>
  <c r="L102" i="36"/>
  <c r="C246" i="38"/>
  <c r="AJ249" i="38"/>
  <c r="T317" i="38"/>
  <c r="T320" i="38" s="1"/>
  <c r="R317" i="38"/>
  <c r="R320" i="38" s="1"/>
  <c r="N317" i="38"/>
  <c r="N320" i="38" s="1"/>
  <c r="N321" i="38" s="1"/>
  <c r="N322" i="38" s="1"/>
  <c r="N324" i="38" s="1"/>
  <c r="I317" i="38"/>
  <c r="I319" i="38" s="1"/>
  <c r="F317" i="38"/>
  <c r="F319" i="38" s="1"/>
  <c r="AA317" i="38"/>
  <c r="AA320" i="38" s="1"/>
  <c r="L317" i="38"/>
  <c r="L320" i="38" s="1"/>
  <c r="L323" i="38" s="1"/>
  <c r="AB317" i="38"/>
  <c r="AB319" i="38" s="1"/>
  <c r="H317" i="38"/>
  <c r="H320" i="38" s="1"/>
  <c r="Q317" i="38"/>
  <c r="Q320" i="38" s="1"/>
  <c r="X317" i="38"/>
  <c r="X320" i="38" s="1"/>
  <c r="E317" i="38"/>
  <c r="E319" i="38" s="1"/>
  <c r="AC317" i="38"/>
  <c r="AC320" i="38" s="1"/>
  <c r="AC323" i="38" s="1"/>
  <c r="AA80" i="36"/>
  <c r="AA83" i="36" s="1"/>
  <c r="V80" i="36"/>
  <c r="V83" i="36" s="1"/>
  <c r="G80" i="36"/>
  <c r="G83" i="36" s="1"/>
  <c r="K80" i="36"/>
  <c r="K83" i="36" s="1"/>
  <c r="M80" i="36"/>
  <c r="M83" i="36" s="1"/>
  <c r="R80" i="36"/>
  <c r="R83" i="36" s="1"/>
  <c r="H80" i="36"/>
  <c r="H83" i="36" s="1"/>
  <c r="AE80" i="36"/>
  <c r="AE83" i="36" s="1"/>
  <c r="U80" i="36"/>
  <c r="U83" i="36" s="1"/>
  <c r="E80" i="36"/>
  <c r="E83" i="36" s="1"/>
  <c r="N80" i="36"/>
  <c r="N83" i="36" s="1"/>
  <c r="AB80" i="36"/>
  <c r="AB83" i="36" s="1"/>
  <c r="F80" i="36"/>
  <c r="F83" i="36" s="1"/>
  <c r="L80" i="36"/>
  <c r="L83" i="36" s="1"/>
  <c r="O80" i="36"/>
  <c r="O83" i="36" s="1"/>
  <c r="Q80" i="36"/>
  <c r="Q83" i="36" s="1"/>
  <c r="AC80" i="36"/>
  <c r="AC83" i="36" s="1"/>
  <c r="P80" i="36"/>
  <c r="P83" i="36" s="1"/>
  <c r="X80" i="36"/>
  <c r="X83" i="36" s="1"/>
  <c r="Y80" i="36"/>
  <c r="Y83" i="36" s="1"/>
  <c r="Z80" i="36"/>
  <c r="Z83" i="36" s="1"/>
  <c r="S80" i="36"/>
  <c r="S83" i="36" s="1"/>
  <c r="AD80" i="36"/>
  <c r="AD83" i="36" s="1"/>
  <c r="J80" i="36"/>
  <c r="J83" i="36" s="1"/>
  <c r="AF80" i="36"/>
  <c r="AF83" i="36" s="1"/>
  <c r="AG80" i="36"/>
  <c r="AG83" i="36" s="1"/>
  <c r="T80" i="36"/>
  <c r="T83" i="36" s="1"/>
  <c r="I80" i="36"/>
  <c r="I83" i="36" s="1"/>
  <c r="W80" i="36"/>
  <c r="W83" i="36" s="1"/>
  <c r="AG317" i="38"/>
  <c r="BB93" i="36" l="1"/>
  <c r="BB96" i="36" s="1"/>
  <c r="BF93" i="36"/>
  <c r="BF96" i="36" s="1"/>
  <c r="BN93" i="36"/>
  <c r="BN96" i="36" s="1"/>
  <c r="BM93" i="36"/>
  <c r="BM96" i="36" s="1"/>
  <c r="P96" i="36"/>
  <c r="U319" i="38"/>
  <c r="D103" i="36"/>
  <c r="D117" i="36" s="1"/>
  <c r="D123" i="36" s="1"/>
  <c r="AE115" i="36"/>
  <c r="AF115" i="36"/>
  <c r="K115" i="36"/>
  <c r="K116" i="36" s="1"/>
  <c r="K128" i="36" s="1"/>
  <c r="AA115" i="36"/>
  <c r="AA116" i="36" s="1"/>
  <c r="AA128" i="36" s="1"/>
  <c r="AG115" i="36"/>
  <c r="AG116" i="36" s="1"/>
  <c r="AG128" i="36" s="1"/>
  <c r="S115" i="36"/>
  <c r="S116" i="36" s="1"/>
  <c r="S128" i="36" s="1"/>
  <c r="P115" i="36"/>
  <c r="P116" i="36" s="1"/>
  <c r="P128" i="36" s="1"/>
  <c r="O115" i="36"/>
  <c r="O116" i="36" s="1"/>
  <c r="O128" i="36" s="1"/>
  <c r="X115" i="36"/>
  <c r="X116" i="36" s="1"/>
  <c r="X128" i="36" s="1"/>
  <c r="G115" i="36"/>
  <c r="G116" i="36" s="1"/>
  <c r="G128" i="36" s="1"/>
  <c r="BN98" i="36"/>
  <c r="BN102" i="36" s="1"/>
  <c r="H115" i="36"/>
  <c r="H116" i="36" s="1"/>
  <c r="H128" i="36" s="1"/>
  <c r="Q115" i="36"/>
  <c r="Q116" i="36" s="1"/>
  <c r="Q128" i="36" s="1"/>
  <c r="P319" i="38"/>
  <c r="E115" i="36"/>
  <c r="E116" i="36" s="1"/>
  <c r="E128" i="36" s="1"/>
  <c r="U115" i="36"/>
  <c r="U116" i="36" s="1"/>
  <c r="U128" i="36" s="1"/>
  <c r="AD115" i="36"/>
  <c r="AD116" i="36" s="1"/>
  <c r="AD128" i="36" s="1"/>
  <c r="R115" i="36"/>
  <c r="R116" i="36" s="1"/>
  <c r="R128" i="36" s="1"/>
  <c r="AB115" i="36"/>
  <c r="AB116" i="36" s="1"/>
  <c r="AB128" i="36" s="1"/>
  <c r="F115" i="36"/>
  <c r="F116" i="36" s="1"/>
  <c r="F128" i="36" s="1"/>
  <c r="AH115" i="36"/>
  <c r="M115" i="36"/>
  <c r="M116" i="36" s="1"/>
  <c r="M128" i="36" s="1"/>
  <c r="I115" i="36"/>
  <c r="I116" i="36" s="1"/>
  <c r="I128" i="36" s="1"/>
  <c r="Y319" i="38"/>
  <c r="J115" i="36"/>
  <c r="J116" i="36" s="1"/>
  <c r="J128" i="36" s="1"/>
  <c r="AC115" i="36"/>
  <c r="AC116" i="36" s="1"/>
  <c r="AC128" i="36" s="1"/>
  <c r="Y115" i="36"/>
  <c r="Y116" i="36" s="1"/>
  <c r="Y128" i="36" s="1"/>
  <c r="T115" i="36"/>
  <c r="T116" i="36" s="1"/>
  <c r="T128" i="36" s="1"/>
  <c r="BK96" i="45"/>
  <c r="AV96" i="45"/>
  <c r="BG96" i="45"/>
  <c r="BD96" i="45"/>
  <c r="BM96" i="45"/>
  <c r="AK96" i="45"/>
  <c r="BL96" i="45"/>
  <c r="AT96" i="45"/>
  <c r="BJ96" i="45"/>
  <c r="BH96" i="45"/>
  <c r="AS96" i="45"/>
  <c r="AL96" i="45"/>
  <c r="AO96" i="45"/>
  <c r="AP96" i="45"/>
  <c r="AM96" i="45"/>
  <c r="AX96" i="45"/>
  <c r="AY96" i="45"/>
  <c r="BE96" i="45"/>
  <c r="BA96" i="45"/>
  <c r="BI96" i="45"/>
  <c r="AU96" i="45"/>
  <c r="BN96" i="45"/>
  <c r="V115" i="36"/>
  <c r="V116" i="36" s="1"/>
  <c r="V128" i="36" s="1"/>
  <c r="Z115" i="36"/>
  <c r="Z116" i="36" s="1"/>
  <c r="Z128" i="36" s="1"/>
  <c r="W115" i="36"/>
  <c r="W116" i="36" s="1"/>
  <c r="W128" i="36" s="1"/>
  <c r="AQ96" i="45"/>
  <c r="BF96" i="45"/>
  <c r="AW96" i="45"/>
  <c r="BC96" i="45"/>
  <c r="BB96" i="45"/>
  <c r="AN96" i="45"/>
  <c r="AZ96" i="45"/>
  <c r="J320" i="38"/>
  <c r="J321" i="38" s="1"/>
  <c r="J322" i="38" s="1"/>
  <c r="J324" i="38" s="1"/>
  <c r="S319" i="38"/>
  <c r="Q319" i="38"/>
  <c r="AD320" i="38"/>
  <c r="AD323" i="38" s="1"/>
  <c r="G319" i="38"/>
  <c r="V320" i="38"/>
  <c r="V321" i="38" s="1"/>
  <c r="V322" i="38" s="1"/>
  <c r="V324" i="38" s="1"/>
  <c r="AZ115" i="36"/>
  <c r="AZ116" i="36" s="1"/>
  <c r="AZ128" i="36" s="1"/>
  <c r="AT115" i="36"/>
  <c r="AT116" i="36" s="1"/>
  <c r="AT128" i="36" s="1"/>
  <c r="BC115" i="36"/>
  <c r="BC116" i="36" s="1"/>
  <c r="BC128" i="36" s="1"/>
  <c r="BI115" i="36"/>
  <c r="BI116" i="36" s="1"/>
  <c r="BI128" i="36" s="1"/>
  <c r="AH105" i="36"/>
  <c r="AH119" i="36" s="1"/>
  <c r="AH103" i="36"/>
  <c r="AH117" i="36" s="1"/>
  <c r="AH123" i="36" s="1"/>
  <c r="BJ96" i="36"/>
  <c r="BJ115" i="36"/>
  <c r="BJ116" i="36" s="1"/>
  <c r="BJ128" i="36" s="1"/>
  <c r="AV96" i="36"/>
  <c r="AV115" i="36"/>
  <c r="AV116" i="36" s="1"/>
  <c r="AV128" i="36" s="1"/>
  <c r="AX115" i="36"/>
  <c r="AX116" i="36" s="1"/>
  <c r="AX128" i="36" s="1"/>
  <c r="AW115" i="36"/>
  <c r="AW116" i="36" s="1"/>
  <c r="AW128" i="36" s="1"/>
  <c r="W320" i="38"/>
  <c r="W321" i="38" s="1"/>
  <c r="W322" i="38" s="1"/>
  <c r="W324" i="38" s="1"/>
  <c r="AO115" i="36"/>
  <c r="AO116" i="36" s="1"/>
  <c r="AO128" i="36" s="1"/>
  <c r="AU115" i="36"/>
  <c r="AU116" i="36" s="1"/>
  <c r="AU128" i="36" s="1"/>
  <c r="AR96" i="36"/>
  <c r="AR115" i="36"/>
  <c r="AR116" i="36" s="1"/>
  <c r="AR128" i="36" s="1"/>
  <c r="AM115" i="36"/>
  <c r="AM116" i="36" s="1"/>
  <c r="AM128" i="36" s="1"/>
  <c r="AP115" i="36"/>
  <c r="AP116" i="36" s="1"/>
  <c r="AP128" i="36" s="1"/>
  <c r="AL115" i="36"/>
  <c r="AL116" i="36" s="1"/>
  <c r="AL128" i="36" s="1"/>
  <c r="AQ115" i="36"/>
  <c r="AQ116" i="36" s="1"/>
  <c r="AQ128" i="36" s="1"/>
  <c r="BA115" i="36"/>
  <c r="BA116" i="36" s="1"/>
  <c r="BA128" i="36" s="1"/>
  <c r="T319" i="38"/>
  <c r="BK96" i="36"/>
  <c r="BK115" i="36"/>
  <c r="BK116" i="36" s="1"/>
  <c r="BK128" i="36" s="1"/>
  <c r="AK115" i="36"/>
  <c r="AK116" i="36" s="1"/>
  <c r="AK128" i="36" s="1"/>
  <c r="BH115" i="36"/>
  <c r="BH116" i="36" s="1"/>
  <c r="BH128" i="36" s="1"/>
  <c r="BG115" i="36"/>
  <c r="BG116" i="36" s="1"/>
  <c r="BG128" i="36" s="1"/>
  <c r="L105" i="36"/>
  <c r="L119" i="36" s="1"/>
  <c r="L103" i="36"/>
  <c r="L117" i="36" s="1"/>
  <c r="L123" i="36" s="1"/>
  <c r="BE115" i="36"/>
  <c r="BE116" i="36" s="1"/>
  <c r="BE128" i="36" s="1"/>
  <c r="AY115" i="36"/>
  <c r="AY116" i="36" s="1"/>
  <c r="AY128" i="36" s="1"/>
  <c r="AS115" i="36"/>
  <c r="AS116" i="36" s="1"/>
  <c r="AS128" i="36" s="1"/>
  <c r="BD115" i="36"/>
  <c r="BD116" i="36" s="1"/>
  <c r="BD128" i="36" s="1"/>
  <c r="AN115" i="36"/>
  <c r="AN116" i="36" s="1"/>
  <c r="AN128" i="36" s="1"/>
  <c r="BL115" i="36"/>
  <c r="BL116" i="36" s="1"/>
  <c r="BL128" i="36" s="1"/>
  <c r="R319" i="38"/>
  <c r="AE319" i="38"/>
  <c r="AC319" i="38"/>
  <c r="Z319" i="38"/>
  <c r="K321" i="38"/>
  <c r="K322" i="38" s="1"/>
  <c r="K324" i="38" s="1"/>
  <c r="AA319" i="38"/>
  <c r="F320" i="38"/>
  <c r="F321" i="38" s="1"/>
  <c r="F322" i="38" s="1"/>
  <c r="F324" i="38" s="1"/>
  <c r="E320" i="38"/>
  <c r="E323" i="38" s="1"/>
  <c r="I320" i="38"/>
  <c r="I321" i="38" s="1"/>
  <c r="I322" i="38" s="1"/>
  <c r="I324" i="38" s="1"/>
  <c r="AB320" i="38"/>
  <c r="AB321" i="38" s="1"/>
  <c r="AB322" i="38" s="1"/>
  <c r="AB324" i="38" s="1"/>
  <c r="AF319" i="38"/>
  <c r="M319" i="38"/>
  <c r="O319" i="38"/>
  <c r="D319" i="38"/>
  <c r="L319" i="38"/>
  <c r="X319" i="38"/>
  <c r="H319" i="38"/>
  <c r="N319" i="38"/>
  <c r="P102" i="36"/>
  <c r="AA102" i="36"/>
  <c r="X102" i="36"/>
  <c r="AG102" i="36"/>
  <c r="E102" i="36"/>
  <c r="AF102" i="36"/>
  <c r="N102" i="36"/>
  <c r="N116" i="36"/>
  <c r="N128" i="36" s="1"/>
  <c r="AD102" i="36"/>
  <c r="F102" i="36"/>
  <c r="R102" i="36"/>
  <c r="AC102" i="36"/>
  <c r="AB102" i="36"/>
  <c r="J102" i="36"/>
  <c r="S102" i="36"/>
  <c r="C293" i="38"/>
  <c r="C316" i="38"/>
  <c r="C317" i="38" s="1"/>
  <c r="C319" i="38" s="1"/>
  <c r="C320" i="38" s="1"/>
  <c r="C323" i="38" s="1"/>
  <c r="C328" i="38" s="1"/>
  <c r="C250" i="38"/>
  <c r="AI249" i="38"/>
  <c r="AR102" i="36"/>
  <c r="AE102" i="36"/>
  <c r="K102" i="36"/>
  <c r="Z102" i="36"/>
  <c r="Q102" i="36"/>
  <c r="W102" i="36"/>
  <c r="V102" i="36"/>
  <c r="H102" i="36"/>
  <c r="T102" i="36"/>
  <c r="Y102" i="36"/>
  <c r="I102" i="36"/>
  <c r="M102" i="36"/>
  <c r="G102" i="36"/>
  <c r="O102" i="36"/>
  <c r="U102" i="36"/>
  <c r="N323" i="38"/>
  <c r="N328" i="38" s="1"/>
  <c r="N329" i="38" s="1"/>
  <c r="N336" i="38" s="1"/>
  <c r="D328" i="38"/>
  <c r="D329" i="38" s="1"/>
  <c r="D336" i="38" s="1"/>
  <c r="AC328" i="38"/>
  <c r="AC329" i="38" s="1"/>
  <c r="AC338" i="38" s="1"/>
  <c r="Z328" i="38"/>
  <c r="Z329" i="38" s="1"/>
  <c r="Z338" i="38" s="1"/>
  <c r="AF323" i="38"/>
  <c r="AF321" i="38"/>
  <c r="AF322" i="38" s="1"/>
  <c r="AF324" i="38" s="1"/>
  <c r="K328" i="38"/>
  <c r="O323" i="38"/>
  <c r="O321" i="38"/>
  <c r="O322" i="38" s="1"/>
  <c r="O324" i="38" s="1"/>
  <c r="AG320" i="38"/>
  <c r="AG319" i="38"/>
  <c r="X323" i="38"/>
  <c r="X321" i="38"/>
  <c r="X322" i="38" s="1"/>
  <c r="X324" i="38" s="1"/>
  <c r="H323" i="38"/>
  <c r="H321" i="38"/>
  <c r="H322" i="38" s="1"/>
  <c r="H324" i="38" s="1"/>
  <c r="T323" i="38"/>
  <c r="T321" i="38"/>
  <c r="T322" i="38" s="1"/>
  <c r="T324" i="38" s="1"/>
  <c r="U323" i="38"/>
  <c r="U321" i="38"/>
  <c r="U322" i="38" s="1"/>
  <c r="U324" i="38" s="1"/>
  <c r="S323" i="38"/>
  <c r="S321" i="38"/>
  <c r="S322" i="38" s="1"/>
  <c r="S324" i="38" s="1"/>
  <c r="Z321" i="38"/>
  <c r="Z322" i="38" s="1"/>
  <c r="Z324" i="38" s="1"/>
  <c r="P323" i="38"/>
  <c r="P321" i="38"/>
  <c r="P322" i="38" s="1"/>
  <c r="P324" i="38" s="1"/>
  <c r="L321" i="38"/>
  <c r="L322" i="38" s="1"/>
  <c r="L324" i="38" s="1"/>
  <c r="R323" i="38"/>
  <c r="R321" i="38"/>
  <c r="R322" i="38" s="1"/>
  <c r="R324" i="38" s="1"/>
  <c r="AA323" i="38"/>
  <c r="AA321" i="38"/>
  <c r="AA322" i="38" s="1"/>
  <c r="AA324" i="38" s="1"/>
  <c r="Y323" i="38"/>
  <c r="Y321" i="38"/>
  <c r="Y322" i="38" s="1"/>
  <c r="Y324" i="38" s="1"/>
  <c r="L328" i="38"/>
  <c r="L329" i="38" s="1"/>
  <c r="L338" i="38" s="1"/>
  <c r="AE323" i="38"/>
  <c r="AE321" i="38"/>
  <c r="AE322" i="38" s="1"/>
  <c r="AE324" i="38" s="1"/>
  <c r="D321" i="38"/>
  <c r="D322" i="38" s="1"/>
  <c r="D324" i="38" s="1"/>
  <c r="M323" i="38"/>
  <c r="M321" i="38"/>
  <c r="M322" i="38" s="1"/>
  <c r="M324" i="38" s="1"/>
  <c r="AC321" i="38"/>
  <c r="AC322" i="38" s="1"/>
  <c r="AC324" i="38" s="1"/>
  <c r="Q323" i="38"/>
  <c r="Q321" i="38"/>
  <c r="Q322" i="38" s="1"/>
  <c r="Q324" i="38" s="1"/>
  <c r="G323" i="38"/>
  <c r="G321" i="38"/>
  <c r="G322" i="38" s="1"/>
  <c r="G324" i="38" s="1"/>
  <c r="BB115" i="36" l="1"/>
  <c r="BB116" i="36" s="1"/>
  <c r="BB128" i="36" s="1"/>
  <c r="BF115" i="36"/>
  <c r="BF116" i="36" s="1"/>
  <c r="BF128" i="36" s="1"/>
  <c r="BM115" i="36"/>
  <c r="BM116" i="36" s="1"/>
  <c r="BM128" i="36" s="1"/>
  <c r="AF116" i="36"/>
  <c r="AF128" i="36" s="1"/>
  <c r="AE116" i="36"/>
  <c r="AE128" i="36" s="1"/>
  <c r="C294" i="38"/>
  <c r="D80" i="55"/>
  <c r="AI115" i="36"/>
  <c r="AH116" i="36"/>
  <c r="AI116" i="36" s="1"/>
  <c r="BN115" i="36"/>
  <c r="J323" i="38"/>
  <c r="J328" i="38" s="1"/>
  <c r="J329" i="38" s="1"/>
  <c r="F323" i="38"/>
  <c r="F328" i="38" s="1"/>
  <c r="CG21" i="36"/>
  <c r="W323" i="38"/>
  <c r="W328" i="38" s="1"/>
  <c r="W329" i="38" s="1"/>
  <c r="W338" i="38" s="1"/>
  <c r="AD321" i="38"/>
  <c r="AD322" i="38" s="1"/>
  <c r="AD324" i="38" s="1"/>
  <c r="V323" i="38"/>
  <c r="V328" i="38" s="1"/>
  <c r="AA121" i="36"/>
  <c r="BG121" i="36" s="1"/>
  <c r="AD121" i="36"/>
  <c r="BJ121" i="36" s="1"/>
  <c r="M121" i="36"/>
  <c r="AS121" i="36" s="1"/>
  <c r="E120" i="36"/>
  <c r="AK120" i="36" s="1"/>
  <c r="O120" i="36"/>
  <c r="AU120" i="36" s="1"/>
  <c r="U103" i="36"/>
  <c r="U117" i="36" s="1"/>
  <c r="U123" i="36" s="1"/>
  <c r="U105" i="36"/>
  <c r="U119" i="36" s="1"/>
  <c r="I105" i="36"/>
  <c r="I119" i="36" s="1"/>
  <c r="I103" i="36"/>
  <c r="I117" i="36" s="1"/>
  <c r="I123" i="36" s="1"/>
  <c r="V105" i="36"/>
  <c r="V119" i="36" s="1"/>
  <c r="V103" i="36"/>
  <c r="V117" i="36" s="1"/>
  <c r="V123" i="36" s="1"/>
  <c r="K105" i="36"/>
  <c r="K119" i="36" s="1"/>
  <c r="K103" i="36"/>
  <c r="K117" i="36" s="1"/>
  <c r="K123" i="36" s="1"/>
  <c r="AC103" i="36"/>
  <c r="AC117" i="36" s="1"/>
  <c r="AC123" i="36" s="1"/>
  <c r="AC105" i="36"/>
  <c r="AC119" i="36" s="1"/>
  <c r="N105" i="36"/>
  <c r="N119" i="36" s="1"/>
  <c r="N103" i="36"/>
  <c r="N117" i="36" s="1"/>
  <c r="N123" i="36" s="1"/>
  <c r="X103" i="36"/>
  <c r="X117" i="36" s="1"/>
  <c r="X123" i="36" s="1"/>
  <c r="X105" i="36"/>
  <c r="X119" i="36" s="1"/>
  <c r="H103" i="36"/>
  <c r="H117" i="36" s="1"/>
  <c r="H123" i="36" s="1"/>
  <c r="H105" i="36"/>
  <c r="H119" i="36" s="1"/>
  <c r="BN105" i="36"/>
  <c r="BN119" i="36" s="1"/>
  <c r="BN103" i="36"/>
  <c r="BN117" i="36" s="1"/>
  <c r="BN123" i="36" s="1"/>
  <c r="AB323" i="38"/>
  <c r="AB328" i="38" s="1"/>
  <c r="M103" i="36"/>
  <c r="M117" i="36" s="1"/>
  <c r="M123" i="36" s="1"/>
  <c r="M105" i="36"/>
  <c r="M119" i="36" s="1"/>
  <c r="AD105" i="36"/>
  <c r="AD119" i="36" s="1"/>
  <c r="AD103" i="36"/>
  <c r="AD117" i="36" s="1"/>
  <c r="AD123" i="36" s="1"/>
  <c r="O103" i="36"/>
  <c r="O117" i="36" s="1"/>
  <c r="O123" i="36" s="1"/>
  <c r="O105" i="36"/>
  <c r="O119" i="36" s="1"/>
  <c r="Y105" i="36"/>
  <c r="Y119" i="36" s="1"/>
  <c r="Y103" i="36"/>
  <c r="Y117" i="36" s="1"/>
  <c r="Y123" i="36" s="1"/>
  <c r="W105" i="36"/>
  <c r="W119" i="36" s="1"/>
  <c r="W103" i="36"/>
  <c r="W117" i="36" s="1"/>
  <c r="W123" i="36" s="1"/>
  <c r="AE105" i="36"/>
  <c r="AE119" i="36" s="1"/>
  <c r="AE103" i="36"/>
  <c r="AE117" i="36" s="1"/>
  <c r="AE123" i="36" s="1"/>
  <c r="S103" i="36"/>
  <c r="S117" i="36" s="1"/>
  <c r="S123" i="36" s="1"/>
  <c r="S105" i="36"/>
  <c r="S119" i="36" s="1"/>
  <c r="R105" i="36"/>
  <c r="R119" i="36" s="1"/>
  <c r="R103" i="36"/>
  <c r="R117" i="36" s="1"/>
  <c r="R123" i="36" s="1"/>
  <c r="AF103" i="36"/>
  <c r="AF117" i="36" s="1"/>
  <c r="AF123" i="36" s="1"/>
  <c r="AF105" i="36"/>
  <c r="AF119" i="36" s="1"/>
  <c r="AA105" i="36"/>
  <c r="AA119" i="36" s="1"/>
  <c r="AA103" i="36"/>
  <c r="AA117" i="36" s="1"/>
  <c r="AA123" i="36" s="1"/>
  <c r="AB105" i="36"/>
  <c r="AB119" i="36" s="1"/>
  <c r="AB103" i="36"/>
  <c r="AB117" i="36" s="1"/>
  <c r="AB123" i="36" s="1"/>
  <c r="Z103" i="36"/>
  <c r="Z117" i="36" s="1"/>
  <c r="Z123" i="36" s="1"/>
  <c r="Z105" i="36"/>
  <c r="Z119" i="36" s="1"/>
  <c r="AG105" i="36"/>
  <c r="AG119" i="36" s="1"/>
  <c r="AG103" i="36"/>
  <c r="AG117" i="36" s="1"/>
  <c r="AG123" i="36" s="1"/>
  <c r="G105" i="36"/>
  <c r="G119" i="36" s="1"/>
  <c r="G103" i="36"/>
  <c r="G117" i="36" s="1"/>
  <c r="G123" i="36" s="1"/>
  <c r="T103" i="36"/>
  <c r="T117" i="36" s="1"/>
  <c r="T123" i="36" s="1"/>
  <c r="T105" i="36"/>
  <c r="T119" i="36" s="1"/>
  <c r="Q103" i="36"/>
  <c r="Q117" i="36" s="1"/>
  <c r="Q123" i="36" s="1"/>
  <c r="Q105" i="36"/>
  <c r="Q119" i="36" s="1"/>
  <c r="AR105" i="36"/>
  <c r="AR119" i="36" s="1"/>
  <c r="AR103" i="36"/>
  <c r="AR117" i="36" s="1"/>
  <c r="AR123" i="36" s="1"/>
  <c r="J103" i="36"/>
  <c r="J117" i="36" s="1"/>
  <c r="J123" i="36" s="1"/>
  <c r="J105" i="36"/>
  <c r="J119" i="36" s="1"/>
  <c r="F103" i="36"/>
  <c r="F117" i="36" s="1"/>
  <c r="F123" i="36" s="1"/>
  <c r="F105" i="36"/>
  <c r="F119" i="36" s="1"/>
  <c r="E105" i="36"/>
  <c r="E119" i="36" s="1"/>
  <c r="E103" i="36"/>
  <c r="E117" i="36" s="1"/>
  <c r="E123" i="36" s="1"/>
  <c r="P103" i="36"/>
  <c r="P117" i="36" s="1"/>
  <c r="P123" i="36" s="1"/>
  <c r="P105" i="36"/>
  <c r="P119" i="36" s="1"/>
  <c r="C321" i="38"/>
  <c r="C322" i="38" s="1"/>
  <c r="C324" i="38" s="1"/>
  <c r="E321" i="38"/>
  <c r="E322" i="38" s="1"/>
  <c r="E324" i="38" s="1"/>
  <c r="I323" i="38"/>
  <c r="I328" i="38" s="1"/>
  <c r="AM102" i="36"/>
  <c r="AZ102" i="36"/>
  <c r="AW102" i="36"/>
  <c r="BH102" i="36"/>
  <c r="BJ102" i="36"/>
  <c r="BM102" i="36"/>
  <c r="AU102" i="36"/>
  <c r="BE102" i="36"/>
  <c r="BC102" i="36"/>
  <c r="BK102" i="36"/>
  <c r="D250" i="38"/>
  <c r="C283" i="38"/>
  <c r="BP80" i="55" s="1"/>
  <c r="AP102" i="36"/>
  <c r="AL102" i="36"/>
  <c r="AK102" i="36"/>
  <c r="AV102" i="36"/>
  <c r="BA102" i="36"/>
  <c r="AO102" i="36"/>
  <c r="BB102" i="36"/>
  <c r="AQ102" i="36"/>
  <c r="AY102" i="36"/>
  <c r="AX102" i="36"/>
  <c r="BL102" i="36"/>
  <c r="BG102" i="36"/>
  <c r="AS102" i="36"/>
  <c r="AN102" i="36"/>
  <c r="BF102" i="36"/>
  <c r="BI102" i="36"/>
  <c r="AT102" i="36"/>
  <c r="BD102" i="36"/>
  <c r="C329" i="38"/>
  <c r="C336" i="38" s="1"/>
  <c r="Y328" i="38"/>
  <c r="Y329" i="38" s="1"/>
  <c r="Y336" i="38" s="1"/>
  <c r="AG323" i="38"/>
  <c r="AG321" i="38"/>
  <c r="AG322" i="38" s="1"/>
  <c r="AG324" i="38" s="1"/>
  <c r="AF328" i="38"/>
  <c r="AF329" i="38" s="1"/>
  <c r="AF338" i="38" s="1"/>
  <c r="G328" i="38"/>
  <c r="E328" i="38"/>
  <c r="E329" i="38" s="1"/>
  <c r="E336" i="38" s="1"/>
  <c r="P328" i="38"/>
  <c r="S328" i="38"/>
  <c r="S329" i="38" s="1"/>
  <c r="S338" i="38" s="1"/>
  <c r="AC336" i="38"/>
  <c r="Q328" i="38"/>
  <c r="T328" i="38"/>
  <c r="T329" i="38" s="1"/>
  <c r="T336" i="38" s="1"/>
  <c r="H328" i="38"/>
  <c r="AD328" i="38"/>
  <c r="AD329" i="38" s="1"/>
  <c r="M328" i="38"/>
  <c r="AE328" i="38"/>
  <c r="AE329" i="38" s="1"/>
  <c r="AE338" i="38" s="1"/>
  <c r="R328" i="38"/>
  <c r="L336" i="38"/>
  <c r="AA328" i="38"/>
  <c r="N338" i="38"/>
  <c r="O84" i="55" s="1"/>
  <c r="X328" i="38"/>
  <c r="O328" i="38"/>
  <c r="O329" i="38" s="1"/>
  <c r="O338" i="38" s="1"/>
  <c r="K329" i="38"/>
  <c r="K338" i="38" s="1"/>
  <c r="U328" i="38"/>
  <c r="U329" i="38" s="1"/>
  <c r="U336" i="38" s="1"/>
  <c r="Z336" i="38"/>
  <c r="D338" i="38"/>
  <c r="E81" i="55" s="1"/>
  <c r="C310" i="38" l="1"/>
  <c r="C312" i="38"/>
  <c r="D86" i="55" s="1"/>
  <c r="C314" i="38"/>
  <c r="D88" i="55" s="1"/>
  <c r="C313" i="38"/>
  <c r="D87" i="55" s="1"/>
  <c r="C309" i="38"/>
  <c r="C311" i="38"/>
  <c r="D85" i="55" s="1"/>
  <c r="BN116" i="36"/>
  <c r="BN128" i="36" s="1"/>
  <c r="O81" i="55"/>
  <c r="AH128" i="36"/>
  <c r="M81" i="55"/>
  <c r="M84" i="55"/>
  <c r="AD81" i="55"/>
  <c r="AD84" i="55"/>
  <c r="E84" i="55"/>
  <c r="AA81" i="55"/>
  <c r="AA84" i="55"/>
  <c r="C284" i="38"/>
  <c r="C288" i="38" s="1"/>
  <c r="BP86" i="55" s="1"/>
  <c r="C338" i="38"/>
  <c r="D121" i="36" s="1"/>
  <c r="AJ121" i="36" s="1"/>
  <c r="T121" i="36"/>
  <c r="AZ121" i="36" s="1"/>
  <c r="X121" i="36"/>
  <c r="BD121" i="36" s="1"/>
  <c r="AF121" i="36"/>
  <c r="BL121" i="36" s="1"/>
  <c r="Z120" i="36"/>
  <c r="BF120" i="36" s="1"/>
  <c r="AA120" i="36"/>
  <c r="BG120" i="36" s="1"/>
  <c r="BG122" i="36" s="1"/>
  <c r="AG121" i="36"/>
  <c r="BM121" i="36" s="1"/>
  <c r="F120" i="36"/>
  <c r="AL120" i="36" s="1"/>
  <c r="U120" i="36"/>
  <c r="BA120" i="36" s="1"/>
  <c r="L121" i="36"/>
  <c r="AR121" i="36" s="1"/>
  <c r="M329" i="38"/>
  <c r="M338" i="38" s="1"/>
  <c r="V120" i="36"/>
  <c r="BB120" i="36" s="1"/>
  <c r="P121" i="36"/>
  <c r="AV121" i="36" s="1"/>
  <c r="M120" i="36"/>
  <c r="AS120" i="36" s="1"/>
  <c r="AS122" i="36" s="1"/>
  <c r="AD120" i="36"/>
  <c r="BJ120" i="36" s="1"/>
  <c r="BJ122" i="36" s="1"/>
  <c r="D120" i="36"/>
  <c r="AJ120" i="36" s="1"/>
  <c r="BE105" i="36"/>
  <c r="BE119" i="36" s="1"/>
  <c r="BE103" i="36"/>
  <c r="BE117" i="36" s="1"/>
  <c r="BE123" i="36" s="1"/>
  <c r="AP103" i="36"/>
  <c r="AP117" i="36" s="1"/>
  <c r="AP123" i="36" s="1"/>
  <c r="AP105" i="36"/>
  <c r="AP119" i="36" s="1"/>
  <c r="BG105" i="36"/>
  <c r="BG119" i="36" s="1"/>
  <c r="BG103" i="36"/>
  <c r="BG117" i="36" s="1"/>
  <c r="BG123" i="36" s="1"/>
  <c r="AT103" i="36"/>
  <c r="AT117" i="36" s="1"/>
  <c r="AT123" i="36" s="1"/>
  <c r="AT105" i="36"/>
  <c r="AT119" i="36" s="1"/>
  <c r="BI103" i="36"/>
  <c r="BI117" i="36" s="1"/>
  <c r="BI123" i="36" s="1"/>
  <c r="BI105" i="36"/>
  <c r="BI119" i="36" s="1"/>
  <c r="BF103" i="36"/>
  <c r="BF117" i="36" s="1"/>
  <c r="BF123" i="36" s="1"/>
  <c r="BF105" i="36"/>
  <c r="BF119" i="36" s="1"/>
  <c r="BL105" i="36"/>
  <c r="BL119" i="36" s="1"/>
  <c r="BL103" i="36"/>
  <c r="BL117" i="36" s="1"/>
  <c r="BL123" i="36" s="1"/>
  <c r="BB103" i="36"/>
  <c r="BB117" i="36" s="1"/>
  <c r="BB123" i="36" s="1"/>
  <c r="BB105" i="36"/>
  <c r="BB119" i="36" s="1"/>
  <c r="AK105" i="36"/>
  <c r="AK119" i="36" s="1"/>
  <c r="AK103" i="36"/>
  <c r="AK117" i="36" s="1"/>
  <c r="AK123" i="36" s="1"/>
  <c r="BK103" i="36"/>
  <c r="BK117" i="36" s="1"/>
  <c r="BK123" i="36" s="1"/>
  <c r="BK105" i="36"/>
  <c r="BK119" i="36" s="1"/>
  <c r="BM105" i="36"/>
  <c r="BM119" i="36" s="1"/>
  <c r="BM103" i="36"/>
  <c r="BM117" i="36" s="1"/>
  <c r="BM123" i="36" s="1"/>
  <c r="AZ103" i="36"/>
  <c r="AZ117" i="36" s="1"/>
  <c r="AZ123" i="36" s="1"/>
  <c r="AZ105" i="36"/>
  <c r="AZ119" i="36" s="1"/>
  <c r="BD103" i="36"/>
  <c r="BD117" i="36" s="1"/>
  <c r="BD123" i="36" s="1"/>
  <c r="BD105" i="36"/>
  <c r="BD119" i="36" s="1"/>
  <c r="AY103" i="36"/>
  <c r="AY117" i="36" s="1"/>
  <c r="AY123" i="36" s="1"/>
  <c r="AY105" i="36"/>
  <c r="AY119" i="36" s="1"/>
  <c r="BH103" i="36"/>
  <c r="BH117" i="36" s="1"/>
  <c r="BH123" i="36" s="1"/>
  <c r="BH105" i="36"/>
  <c r="BH119" i="36" s="1"/>
  <c r="AQ105" i="36"/>
  <c r="AQ119" i="36" s="1"/>
  <c r="AQ103" i="36"/>
  <c r="AQ117" i="36" s="1"/>
  <c r="AQ123" i="36" s="1"/>
  <c r="AW105" i="36"/>
  <c r="AW119" i="36" s="1"/>
  <c r="AW103" i="36"/>
  <c r="AW117" i="36" s="1"/>
  <c r="AW123" i="36" s="1"/>
  <c r="AS105" i="36"/>
  <c r="AS119" i="36" s="1"/>
  <c r="AS103" i="36"/>
  <c r="AS117" i="36" s="1"/>
  <c r="AS123" i="36" s="1"/>
  <c r="AV105" i="36"/>
  <c r="AV119" i="36" s="1"/>
  <c r="AV103" i="36"/>
  <c r="AV117" i="36" s="1"/>
  <c r="AV123" i="36" s="1"/>
  <c r="AU105" i="36"/>
  <c r="AU119" i="36" s="1"/>
  <c r="AU103" i="36"/>
  <c r="AU117" i="36" s="1"/>
  <c r="AU123" i="36" s="1"/>
  <c r="D340" i="38"/>
  <c r="E121" i="36"/>
  <c r="E125" i="36" s="1"/>
  <c r="AN103" i="36"/>
  <c r="AN117" i="36" s="1"/>
  <c r="AN123" i="36" s="1"/>
  <c r="AN105" i="36"/>
  <c r="AN119" i="36" s="1"/>
  <c r="AX103" i="36"/>
  <c r="AX117" i="36" s="1"/>
  <c r="AX123" i="36" s="1"/>
  <c r="AX105" i="36"/>
  <c r="AX119" i="36" s="1"/>
  <c r="AO103" i="36"/>
  <c r="AO117" i="36" s="1"/>
  <c r="AO123" i="36" s="1"/>
  <c r="AO105" i="36"/>
  <c r="AO119" i="36" s="1"/>
  <c r="AL103" i="36"/>
  <c r="AL117" i="36" s="1"/>
  <c r="AL123" i="36" s="1"/>
  <c r="AL105" i="36"/>
  <c r="AL119" i="36" s="1"/>
  <c r="BC105" i="36"/>
  <c r="BC119" i="36" s="1"/>
  <c r="BC103" i="36"/>
  <c r="BC117" i="36" s="1"/>
  <c r="BC123" i="36" s="1"/>
  <c r="BJ103" i="36"/>
  <c r="BJ117" i="36" s="1"/>
  <c r="BJ123" i="36" s="1"/>
  <c r="BJ105" i="36"/>
  <c r="BJ119" i="36" s="1"/>
  <c r="AM103" i="36"/>
  <c r="AM117" i="36" s="1"/>
  <c r="AM123" i="36" s="1"/>
  <c r="AM105" i="36"/>
  <c r="AM119" i="36" s="1"/>
  <c r="BA105" i="36"/>
  <c r="BA119" i="36" s="1"/>
  <c r="BA103" i="36"/>
  <c r="BA117" i="36" s="1"/>
  <c r="BA123" i="36" s="1"/>
  <c r="N345" i="38"/>
  <c r="O121" i="36"/>
  <c r="O125" i="36" s="1"/>
  <c r="E250" i="38"/>
  <c r="D283" i="38"/>
  <c r="Y338" i="38"/>
  <c r="Z81" i="55" s="1"/>
  <c r="X329" i="38"/>
  <c r="X338" i="38" s="1"/>
  <c r="L340" i="38"/>
  <c r="L345" i="38"/>
  <c r="AD338" i="38"/>
  <c r="AD336" i="38"/>
  <c r="AC340" i="38"/>
  <c r="AC345" i="38"/>
  <c r="S336" i="38"/>
  <c r="AG328" i="38"/>
  <c r="AG329" i="38" s="1"/>
  <c r="AG336" i="38" s="1"/>
  <c r="AB329" i="38"/>
  <c r="AB338" i="38" s="1"/>
  <c r="K336" i="38"/>
  <c r="O336" i="38"/>
  <c r="H329" i="38"/>
  <c r="H338" i="38" s="1"/>
  <c r="W336" i="38"/>
  <c r="E338" i="38"/>
  <c r="F81" i="55" s="1"/>
  <c r="F329" i="38"/>
  <c r="F338" i="38" s="1"/>
  <c r="Z340" i="38"/>
  <c r="Z345" i="38"/>
  <c r="T338" i="38"/>
  <c r="U81" i="55" s="1"/>
  <c r="U338" i="38"/>
  <c r="V81" i="55" s="1"/>
  <c r="V329" i="38"/>
  <c r="V338" i="38" s="1"/>
  <c r="AA329" i="38"/>
  <c r="AA336" i="38" s="1"/>
  <c r="R329" i="38"/>
  <c r="R336" i="38" s="1"/>
  <c r="AE336" i="38"/>
  <c r="I329" i="38"/>
  <c r="I338" i="38" s="1"/>
  <c r="Q329" i="38"/>
  <c r="Q338" i="38" s="1"/>
  <c r="N340" i="38"/>
  <c r="P329" i="38"/>
  <c r="P336" i="38" s="1"/>
  <c r="J338" i="38"/>
  <c r="J336" i="38"/>
  <c r="G329" i="38"/>
  <c r="G336" i="38" s="1"/>
  <c r="AF336" i="38"/>
  <c r="D345" i="38"/>
  <c r="C289" i="38" l="1"/>
  <c r="BP87" i="55" s="1"/>
  <c r="C290" i="38"/>
  <c r="BP88" i="55" s="1"/>
  <c r="C285" i="38"/>
  <c r="BJ38" i="58"/>
  <c r="AS38" i="58"/>
  <c r="BG38" i="58"/>
  <c r="D81" i="55"/>
  <c r="X81" i="55"/>
  <c r="X84" i="55"/>
  <c r="AE81" i="55"/>
  <c r="AE84" i="55"/>
  <c r="V84" i="55"/>
  <c r="L81" i="55"/>
  <c r="L84" i="55"/>
  <c r="C287" i="38"/>
  <c r="BP85" i="55" s="1"/>
  <c r="D84" i="55"/>
  <c r="U84" i="55"/>
  <c r="AG81" i="55"/>
  <c r="AG84" i="55"/>
  <c r="AF81" i="55"/>
  <c r="AF84" i="55"/>
  <c r="T81" i="55"/>
  <c r="T84" i="55"/>
  <c r="C286" i="38"/>
  <c r="BP84" i="55" s="1"/>
  <c r="F84" i="55"/>
  <c r="Z84" i="55"/>
  <c r="K81" i="55"/>
  <c r="K84" i="55"/>
  <c r="P81" i="55"/>
  <c r="P84" i="55"/>
  <c r="D284" i="38"/>
  <c r="D288" i="38" s="1"/>
  <c r="BQ86" i="55" s="1"/>
  <c r="BQ80" i="55"/>
  <c r="AA125" i="36"/>
  <c r="C340" i="38"/>
  <c r="AS125" i="36"/>
  <c r="C345" i="38"/>
  <c r="D126" i="36" s="1"/>
  <c r="BJ125" i="36"/>
  <c r="AD122" i="36"/>
  <c r="BG125" i="36"/>
  <c r="AD125" i="36"/>
  <c r="AA122" i="36"/>
  <c r="M336" i="38"/>
  <c r="M125" i="36"/>
  <c r="R121" i="36"/>
  <c r="AX121" i="36" s="1"/>
  <c r="P120" i="36"/>
  <c r="P122" i="36" s="1"/>
  <c r="AE121" i="36"/>
  <c r="BK121" i="36" s="1"/>
  <c r="K121" i="36"/>
  <c r="AQ121" i="36" s="1"/>
  <c r="W121" i="36"/>
  <c r="BC121" i="36" s="1"/>
  <c r="Q120" i="36"/>
  <c r="AW120" i="36" s="1"/>
  <c r="G121" i="36"/>
  <c r="AM121" i="36" s="1"/>
  <c r="I121" i="36"/>
  <c r="AO121" i="36" s="1"/>
  <c r="AC121" i="36"/>
  <c r="BI121" i="36" s="1"/>
  <c r="D122" i="36"/>
  <c r="K120" i="36"/>
  <c r="AQ120" i="36" s="1"/>
  <c r="X120" i="36"/>
  <c r="X125" i="36" s="1"/>
  <c r="T120" i="36"/>
  <c r="T125" i="36" s="1"/>
  <c r="J121" i="36"/>
  <c r="AP121" i="36" s="1"/>
  <c r="L120" i="36"/>
  <c r="AR120" i="36" s="1"/>
  <c r="AG120" i="36"/>
  <c r="AG122" i="36" s="1"/>
  <c r="AF120" i="36"/>
  <c r="BL120" i="36" s="1"/>
  <c r="BL122" i="36" s="1"/>
  <c r="H120" i="36"/>
  <c r="AN120" i="36" s="1"/>
  <c r="S120" i="36"/>
  <c r="AY120" i="36" s="1"/>
  <c r="F121" i="36"/>
  <c r="AL121" i="36" s="1"/>
  <c r="AL122" i="36" s="1"/>
  <c r="AH120" i="36"/>
  <c r="BN120" i="36" s="1"/>
  <c r="AE120" i="36"/>
  <c r="BK120" i="36" s="1"/>
  <c r="Y121" i="36"/>
  <c r="BE121" i="36" s="1"/>
  <c r="D125" i="36"/>
  <c r="M122" i="36"/>
  <c r="AB120" i="36"/>
  <c r="BH120" i="36" s="1"/>
  <c r="N121" i="36"/>
  <c r="AT121" i="36" s="1"/>
  <c r="U340" i="38"/>
  <c r="V121" i="36"/>
  <c r="AJ122" i="36"/>
  <c r="AJ125" i="36"/>
  <c r="T340" i="38"/>
  <c r="U121" i="36"/>
  <c r="Z346" i="38"/>
  <c r="AA126" i="36"/>
  <c r="D346" i="38"/>
  <c r="E126" i="36"/>
  <c r="L346" i="38"/>
  <c r="M126" i="36"/>
  <c r="AC346" i="38"/>
  <c r="AD126" i="36"/>
  <c r="AU121" i="36"/>
  <c r="AU122" i="36" s="1"/>
  <c r="O122" i="36"/>
  <c r="AK121" i="36"/>
  <c r="AK122" i="36" s="1"/>
  <c r="E122" i="36"/>
  <c r="Y345" i="38"/>
  <c r="Z121" i="36"/>
  <c r="N346" i="38"/>
  <c r="O126" i="36"/>
  <c r="Y340" i="38"/>
  <c r="F250" i="38"/>
  <c r="E283" i="38"/>
  <c r="H336" i="38"/>
  <c r="AB336" i="38"/>
  <c r="R338" i="38"/>
  <c r="S84" i="55" s="1"/>
  <c r="J340" i="38"/>
  <c r="J345" i="38"/>
  <c r="F336" i="38"/>
  <c r="W340" i="38"/>
  <c r="W345" i="38"/>
  <c r="V336" i="38"/>
  <c r="S340" i="38"/>
  <c r="S345" i="38"/>
  <c r="Q336" i="38"/>
  <c r="X336" i="38"/>
  <c r="T345" i="38"/>
  <c r="AF340" i="38"/>
  <c r="AF345" i="38"/>
  <c r="AE340" i="38"/>
  <c r="AE345" i="38"/>
  <c r="O340" i="38"/>
  <c r="O345" i="38"/>
  <c r="I336" i="38"/>
  <c r="P338" i="38"/>
  <c r="Q81" i="55" s="1"/>
  <c r="E340" i="38"/>
  <c r="E345" i="38"/>
  <c r="K340" i="38"/>
  <c r="K345" i="38"/>
  <c r="AA338" i="38"/>
  <c r="AB81" i="55" s="1"/>
  <c r="AG338" i="38"/>
  <c r="AH81" i="55" s="1"/>
  <c r="AD340" i="38"/>
  <c r="AD345" i="38"/>
  <c r="G338" i="38"/>
  <c r="H81" i="55" s="1"/>
  <c r="U345" i="38"/>
  <c r="D285" i="38" l="1"/>
  <c r="D287" i="38"/>
  <c r="BQ85" i="55" s="1"/>
  <c r="C346" i="38"/>
  <c r="D289" i="38"/>
  <c r="BQ87" i="55" s="1"/>
  <c r="E38" i="58"/>
  <c r="AJ38" i="58"/>
  <c r="AA38" i="58"/>
  <c r="AK38" i="58"/>
  <c r="E39" i="58"/>
  <c r="O38" i="58"/>
  <c r="AL38" i="58"/>
  <c r="D290" i="38"/>
  <c r="BQ88" i="55" s="1"/>
  <c r="AU38" i="58"/>
  <c r="AA39" i="58"/>
  <c r="AD38" i="58"/>
  <c r="D286" i="38"/>
  <c r="BQ84" i="55" s="1"/>
  <c r="O39" i="58"/>
  <c r="D38" i="58"/>
  <c r="P38" i="58"/>
  <c r="AD39" i="58"/>
  <c r="M38" i="58"/>
  <c r="BL38" i="58"/>
  <c r="D39" i="58"/>
  <c r="M39" i="58"/>
  <c r="AG38" i="58"/>
  <c r="AL125" i="36"/>
  <c r="G81" i="55"/>
  <c r="G84" i="55"/>
  <c r="S81" i="55"/>
  <c r="H84" i="55"/>
  <c r="J81" i="55"/>
  <c r="J84" i="55"/>
  <c r="R81" i="55"/>
  <c r="R84" i="55"/>
  <c r="AH84" i="55"/>
  <c r="Y81" i="55"/>
  <c r="Y84" i="55"/>
  <c r="AC81" i="55"/>
  <c r="AC84" i="55"/>
  <c r="W81" i="55"/>
  <c r="W84" i="55"/>
  <c r="I81" i="55"/>
  <c r="I84" i="55"/>
  <c r="N81" i="55"/>
  <c r="N84" i="55"/>
  <c r="Q84" i="55"/>
  <c r="AB84" i="55"/>
  <c r="E284" i="38"/>
  <c r="E287" i="38" s="1"/>
  <c r="BR85" i="55" s="1"/>
  <c r="BR80" i="55"/>
  <c r="K125" i="36"/>
  <c r="T122" i="36"/>
  <c r="AG125" i="36"/>
  <c r="BM120" i="36"/>
  <c r="BM122" i="36" s="1"/>
  <c r="L122" i="36"/>
  <c r="AQ122" i="36"/>
  <c r="AV120" i="36"/>
  <c r="AV122" i="36" s="1"/>
  <c r="F125" i="36"/>
  <c r="F122" i="36"/>
  <c r="L125" i="36"/>
  <c r="AZ120" i="36"/>
  <c r="AZ122" i="36" s="1"/>
  <c r="X122" i="36"/>
  <c r="AF122" i="36"/>
  <c r="BD120" i="36"/>
  <c r="BD122" i="36" s="1"/>
  <c r="AF125" i="36"/>
  <c r="AE125" i="36"/>
  <c r="N120" i="36"/>
  <c r="M345" i="38"/>
  <c r="AE122" i="36"/>
  <c r="M340" i="38"/>
  <c r="BK122" i="36"/>
  <c r="M127" i="36"/>
  <c r="J120" i="36"/>
  <c r="J122" i="36" s="1"/>
  <c r="Y120" i="36"/>
  <c r="BE120" i="36" s="1"/>
  <c r="D127" i="36"/>
  <c r="AD127" i="36"/>
  <c r="E127" i="36"/>
  <c r="R120" i="36"/>
  <c r="R125" i="36" s="1"/>
  <c r="G120" i="36"/>
  <c r="AM120" i="36" s="1"/>
  <c r="P125" i="36"/>
  <c r="W120" i="36"/>
  <c r="W122" i="36" s="1"/>
  <c r="O127" i="36"/>
  <c r="K122" i="36"/>
  <c r="AA127" i="36"/>
  <c r="AU125" i="36"/>
  <c r="AQ125" i="36"/>
  <c r="S346" i="38"/>
  <c r="T126" i="36"/>
  <c r="AR122" i="36"/>
  <c r="AR125" i="36"/>
  <c r="U346" i="38"/>
  <c r="V126" i="36"/>
  <c r="E346" i="38"/>
  <c r="F126" i="36"/>
  <c r="AF346" i="38"/>
  <c r="AG126" i="36"/>
  <c r="AB340" i="38"/>
  <c r="AC120" i="36"/>
  <c r="BK125" i="36"/>
  <c r="BL125" i="36"/>
  <c r="P340" i="38"/>
  <c r="Q121" i="36"/>
  <c r="T346" i="38"/>
  <c r="U126" i="36"/>
  <c r="W346" i="38"/>
  <c r="X126" i="36"/>
  <c r="K346" i="38"/>
  <c r="L126" i="36"/>
  <c r="R345" i="38"/>
  <c r="S121" i="36"/>
  <c r="AD346" i="38"/>
  <c r="AE126" i="36"/>
  <c r="AG340" i="38"/>
  <c r="AH121" i="36"/>
  <c r="CG22" i="36" s="1"/>
  <c r="O346" i="38"/>
  <c r="P126" i="36"/>
  <c r="BF121" i="36"/>
  <c r="Z125" i="36"/>
  <c r="Z122" i="36"/>
  <c r="AE346" i="38"/>
  <c r="AF126" i="36"/>
  <c r="G345" i="38"/>
  <c r="H121" i="36"/>
  <c r="H340" i="38"/>
  <c r="I120" i="36"/>
  <c r="AA340" i="38"/>
  <c r="AB121" i="36"/>
  <c r="J346" i="38"/>
  <c r="K126" i="36"/>
  <c r="AK125" i="36"/>
  <c r="Y346" i="38"/>
  <c r="Z126" i="36"/>
  <c r="BA121" i="36"/>
  <c r="U125" i="36"/>
  <c r="U122" i="36"/>
  <c r="BB121" i="36"/>
  <c r="V122" i="36"/>
  <c r="V125" i="36"/>
  <c r="F283" i="38"/>
  <c r="G250" i="38"/>
  <c r="AB345" i="38"/>
  <c r="R340" i="38"/>
  <c r="H345" i="38"/>
  <c r="P345" i="38"/>
  <c r="X340" i="38"/>
  <c r="X345" i="38"/>
  <c r="AA345" i="38"/>
  <c r="I340" i="38"/>
  <c r="I345" i="38"/>
  <c r="V340" i="38"/>
  <c r="V345" i="38"/>
  <c r="G340" i="38"/>
  <c r="Q340" i="38"/>
  <c r="Q345" i="38"/>
  <c r="F340" i="38"/>
  <c r="F345" i="38"/>
  <c r="AG345" i="38"/>
  <c r="Z39" i="58" l="1"/>
  <c r="X39" i="58"/>
  <c r="V38" i="58"/>
  <c r="K39" i="58"/>
  <c r="AF39" i="58"/>
  <c r="AR38" i="58"/>
  <c r="W38" i="58"/>
  <c r="J38" i="58"/>
  <c r="AV38" i="58"/>
  <c r="AG39" i="58"/>
  <c r="BD38" i="58"/>
  <c r="AQ38" i="58"/>
  <c r="AE39" i="58"/>
  <c r="U39" i="58"/>
  <c r="T39" i="58"/>
  <c r="U38" i="58"/>
  <c r="Z38" i="58"/>
  <c r="BK38" i="58"/>
  <c r="AF38" i="58"/>
  <c r="L38" i="58"/>
  <c r="F39" i="58"/>
  <c r="X38" i="58"/>
  <c r="BM38" i="58"/>
  <c r="AE38" i="58"/>
  <c r="AZ38" i="58"/>
  <c r="P39" i="58"/>
  <c r="L39" i="58"/>
  <c r="V39" i="58"/>
  <c r="T38" i="58"/>
  <c r="K38" i="58"/>
  <c r="F38" i="58"/>
  <c r="E290" i="38"/>
  <c r="BR88" i="55" s="1"/>
  <c r="E289" i="38"/>
  <c r="BR87" i="55" s="1"/>
  <c r="F284" i="38"/>
  <c r="F290" i="38" s="1"/>
  <c r="BS88" i="55" s="1"/>
  <c r="BS80" i="55"/>
  <c r="E288" i="38"/>
  <c r="BR86" i="55" s="1"/>
  <c r="E285" i="38"/>
  <c r="E286" i="38"/>
  <c r="BR84" i="55" s="1"/>
  <c r="W125" i="36"/>
  <c r="G125" i="36"/>
  <c r="BD125" i="36"/>
  <c r="F288" i="38"/>
  <c r="BS86" i="55" s="1"/>
  <c r="N126" i="36"/>
  <c r="BC120" i="36"/>
  <c r="BC122" i="36" s="1"/>
  <c r="G122" i="36"/>
  <c r="R122" i="36"/>
  <c r="M346" i="38"/>
  <c r="N127" i="36" s="1"/>
  <c r="AV125" i="36"/>
  <c r="AZ125" i="36"/>
  <c r="BM125" i="36"/>
  <c r="AX120" i="36"/>
  <c r="AX125" i="36" s="1"/>
  <c r="AP120" i="36"/>
  <c r="AP122" i="36" s="1"/>
  <c r="Y125" i="36"/>
  <c r="Y122" i="36"/>
  <c r="N122" i="36"/>
  <c r="AT120" i="36"/>
  <c r="N125" i="36"/>
  <c r="T127" i="36"/>
  <c r="U127" i="36"/>
  <c r="V127" i="36"/>
  <c r="Z127" i="36"/>
  <c r="J125" i="36"/>
  <c r="X127" i="36"/>
  <c r="F127" i="36"/>
  <c r="L127" i="36"/>
  <c r="AG127" i="36"/>
  <c r="K127" i="36"/>
  <c r="AF127" i="36"/>
  <c r="P127" i="36"/>
  <c r="AE127" i="36"/>
  <c r="Q346" i="38"/>
  <c r="R126" i="36"/>
  <c r="X346" i="38"/>
  <c r="Y126" i="36"/>
  <c r="AN121" i="36"/>
  <c r="H125" i="36"/>
  <c r="H122" i="36"/>
  <c r="AY121" i="36"/>
  <c r="S125" i="36"/>
  <c r="S122" i="36"/>
  <c r="AW121" i="36"/>
  <c r="Q122" i="36"/>
  <c r="Q125" i="36"/>
  <c r="H346" i="38"/>
  <c r="I126" i="36"/>
  <c r="AM122" i="36"/>
  <c r="AM125" i="36"/>
  <c r="V346" i="38"/>
  <c r="W126" i="36"/>
  <c r="BB122" i="36"/>
  <c r="BB125" i="36"/>
  <c r="BH121" i="36"/>
  <c r="AB125" i="36"/>
  <c r="AB122" i="36"/>
  <c r="BE122" i="36"/>
  <c r="BE125" i="36"/>
  <c r="G346" i="38"/>
  <c r="H126" i="36"/>
  <c r="BI120" i="36"/>
  <c r="AC122" i="36"/>
  <c r="AC125" i="36"/>
  <c r="I346" i="38"/>
  <c r="J126" i="36"/>
  <c r="AA346" i="38"/>
  <c r="AB126" i="36"/>
  <c r="R346" i="38"/>
  <c r="S126" i="36"/>
  <c r="P346" i="38"/>
  <c r="Q126" i="36"/>
  <c r="AG346" i="38"/>
  <c r="AH126" i="36"/>
  <c r="AB346" i="38"/>
  <c r="AC126" i="36"/>
  <c r="F346" i="38"/>
  <c r="G126" i="36"/>
  <c r="BA122" i="36"/>
  <c r="BA125" i="36"/>
  <c r="AO120" i="36"/>
  <c r="I122" i="36"/>
  <c r="I125" i="36"/>
  <c r="BF122" i="36"/>
  <c r="BF125" i="36"/>
  <c r="BN121" i="36"/>
  <c r="G49" i="60" s="1"/>
  <c r="H48" i="60" s="1"/>
  <c r="AH125" i="36"/>
  <c r="AH122" i="36"/>
  <c r="G283" i="38"/>
  <c r="H250" i="38"/>
  <c r="F286" i="38" l="1"/>
  <c r="BS84" i="55" s="1"/>
  <c r="F287" i="38"/>
  <c r="BS85" i="55" s="1"/>
  <c r="F285" i="38"/>
  <c r="BC125" i="36"/>
  <c r="S38" i="58"/>
  <c r="N38" i="58"/>
  <c r="I38" i="58"/>
  <c r="AH39" i="58"/>
  <c r="AM38" i="58"/>
  <c r="AC38" i="58"/>
  <c r="I39" i="58"/>
  <c r="H38" i="58"/>
  <c r="G38" i="58"/>
  <c r="AB38" i="58"/>
  <c r="R38" i="58"/>
  <c r="AP38" i="58"/>
  <c r="BC38" i="58"/>
  <c r="Y38" i="58"/>
  <c r="BA38" i="58"/>
  <c r="BE38" i="58"/>
  <c r="Q39" i="58"/>
  <c r="S39" i="58"/>
  <c r="H39" i="58"/>
  <c r="N39" i="58"/>
  <c r="AC39" i="58"/>
  <c r="Q38" i="58"/>
  <c r="F289" i="38"/>
  <c r="BS87" i="55" s="1"/>
  <c r="J39" i="58"/>
  <c r="R39" i="58"/>
  <c r="AH38" i="58"/>
  <c r="P22" i="60" s="1"/>
  <c r="G39" i="58"/>
  <c r="BF38" i="58"/>
  <c r="AB39" i="58"/>
  <c r="BB38" i="58"/>
  <c r="Y39" i="58"/>
  <c r="W39" i="58"/>
  <c r="G284" i="38"/>
  <c r="G286" i="38" s="1"/>
  <c r="BT84" i="55" s="1"/>
  <c r="BT80" i="55"/>
  <c r="AX122" i="36"/>
  <c r="AP125" i="36"/>
  <c r="AT122" i="36"/>
  <c r="AT125" i="36"/>
  <c r="G127" i="36"/>
  <c r="AH127" i="36"/>
  <c r="S127" i="36"/>
  <c r="J127" i="36"/>
  <c r="W127" i="36"/>
  <c r="I127" i="36"/>
  <c r="Y127" i="36"/>
  <c r="H127" i="36"/>
  <c r="R127" i="36"/>
  <c r="AC127" i="36"/>
  <c r="Q127" i="36"/>
  <c r="AB127" i="36"/>
  <c r="AW125" i="36"/>
  <c r="AW122" i="36"/>
  <c r="AY125" i="36"/>
  <c r="AY122" i="36"/>
  <c r="BI122" i="36"/>
  <c r="BI125" i="36"/>
  <c r="BN122" i="36"/>
  <c r="BN125" i="36"/>
  <c r="BH122" i="36"/>
  <c r="BH125" i="36"/>
  <c r="AO122" i="36"/>
  <c r="AO125" i="36"/>
  <c r="AN122" i="36"/>
  <c r="AN125" i="36"/>
  <c r="H283" i="38"/>
  <c r="I250" i="38"/>
  <c r="AY38" i="58" l="1"/>
  <c r="AN38" i="58"/>
  <c r="AW38" i="58"/>
  <c r="BN38" i="58"/>
  <c r="K22" i="60" s="1"/>
  <c r="AO38" i="58"/>
  <c r="AT38" i="58"/>
  <c r="BH38" i="58"/>
  <c r="BI38" i="58"/>
  <c r="AX38" i="58"/>
  <c r="G285" i="38"/>
  <c r="G290" i="38"/>
  <c r="BT88" i="55" s="1"/>
  <c r="G287" i="38"/>
  <c r="BT85" i="55" s="1"/>
  <c r="G288" i="38"/>
  <c r="BT86" i="55" s="1"/>
  <c r="G289" i="38"/>
  <c r="BT87" i="55" s="1"/>
  <c r="H284" i="38"/>
  <c r="H287" i="38" s="1"/>
  <c r="BU85" i="55" s="1"/>
  <c r="BU80" i="55"/>
  <c r="J250" i="38"/>
  <c r="I283" i="38"/>
  <c r="E26" i="61" l="1"/>
  <c r="DB20" i="58"/>
  <c r="H288" i="38"/>
  <c r="BU86" i="55" s="1"/>
  <c r="H285" i="38"/>
  <c r="H290" i="38"/>
  <c r="BU88" i="55" s="1"/>
  <c r="H289" i="38"/>
  <c r="BU87" i="55" s="1"/>
  <c r="H286" i="38"/>
  <c r="BU84" i="55" s="1"/>
  <c r="I284" i="38"/>
  <c r="I289" i="38" s="1"/>
  <c r="BV87" i="55" s="1"/>
  <c r="BV80" i="55"/>
  <c r="K250" i="38"/>
  <c r="J283" i="38"/>
  <c r="I287" i="38" l="1"/>
  <c r="BV85" i="55" s="1"/>
  <c r="I286" i="38"/>
  <c r="BV84" i="55" s="1"/>
  <c r="I290" i="38"/>
  <c r="BV88" i="55" s="1"/>
  <c r="I288" i="38"/>
  <c r="BV86" i="55" s="1"/>
  <c r="I285" i="38"/>
  <c r="J284" i="38"/>
  <c r="J289" i="38" s="1"/>
  <c r="BW87" i="55" s="1"/>
  <c r="BW80" i="55"/>
  <c r="L250" i="38"/>
  <c r="K283" i="38"/>
  <c r="J288" i="38" l="1"/>
  <c r="BW86" i="55" s="1"/>
  <c r="J285" i="38"/>
  <c r="J290" i="38"/>
  <c r="BW88" i="55" s="1"/>
  <c r="J287" i="38"/>
  <c r="BW85" i="55" s="1"/>
  <c r="J286" i="38"/>
  <c r="BW84" i="55" s="1"/>
  <c r="K284" i="38"/>
  <c r="K286" i="38" s="1"/>
  <c r="BX84" i="55" s="1"/>
  <c r="BX80" i="55"/>
  <c r="L283" i="38"/>
  <c r="M250" i="38"/>
  <c r="K287" i="38" l="1"/>
  <c r="BX85" i="55" s="1"/>
  <c r="K285" i="38"/>
  <c r="K289" i="38"/>
  <c r="BX87" i="55" s="1"/>
  <c r="K290" i="38"/>
  <c r="BX88" i="55" s="1"/>
  <c r="K288" i="38"/>
  <c r="BX86" i="55" s="1"/>
  <c r="L284" i="38"/>
  <c r="L290" i="38" s="1"/>
  <c r="BY88" i="55" s="1"/>
  <c r="BY80" i="55"/>
  <c r="N250" i="38"/>
  <c r="M283" i="38"/>
  <c r="L288" i="38" l="1"/>
  <c r="BY86" i="55" s="1"/>
  <c r="L285" i="38"/>
  <c r="L287" i="38"/>
  <c r="BY85" i="55" s="1"/>
  <c r="L286" i="38"/>
  <c r="BY84" i="55" s="1"/>
  <c r="L289" i="38"/>
  <c r="BY87" i="55" s="1"/>
  <c r="M284" i="38"/>
  <c r="M289" i="38" s="1"/>
  <c r="BZ87" i="55" s="1"/>
  <c r="BZ80" i="55"/>
  <c r="O250" i="38"/>
  <c r="N283" i="38"/>
  <c r="M290" i="38" l="1"/>
  <c r="BZ88" i="55" s="1"/>
  <c r="M287" i="38"/>
  <c r="BZ85" i="55" s="1"/>
  <c r="M288" i="38"/>
  <c r="BZ86" i="55" s="1"/>
  <c r="M286" i="38"/>
  <c r="BZ84" i="55" s="1"/>
  <c r="M285" i="38"/>
  <c r="N284" i="38"/>
  <c r="N285" i="38" s="1"/>
  <c r="CA80" i="55"/>
  <c r="P250" i="38"/>
  <c r="O283" i="38"/>
  <c r="N288" i="38" l="1"/>
  <c r="CA86" i="55" s="1"/>
  <c r="N287" i="38"/>
  <c r="CA85" i="55" s="1"/>
  <c r="N289" i="38"/>
  <c r="CA87" i="55" s="1"/>
  <c r="N286" i="38"/>
  <c r="CA84" i="55" s="1"/>
  <c r="N290" i="38"/>
  <c r="CA88" i="55" s="1"/>
  <c r="O284" i="38"/>
  <c r="O290" i="38" s="1"/>
  <c r="CB88" i="55" s="1"/>
  <c r="CB80" i="55"/>
  <c r="Q250" i="38"/>
  <c r="P283" i="38"/>
  <c r="O289" i="38" l="1"/>
  <c r="CB87" i="55" s="1"/>
  <c r="O286" i="38"/>
  <c r="CB84" i="55" s="1"/>
  <c r="O287" i="38"/>
  <c r="CB85" i="55" s="1"/>
  <c r="O285" i="38"/>
  <c r="O288" i="38"/>
  <c r="CB86" i="55" s="1"/>
  <c r="P284" i="38"/>
  <c r="P285" i="38" s="1"/>
  <c r="CC80" i="55"/>
  <c r="R250" i="38"/>
  <c r="Q283" i="38"/>
  <c r="P290" i="38" l="1"/>
  <c r="CC88" i="55" s="1"/>
  <c r="P287" i="38"/>
  <c r="CC85" i="55" s="1"/>
  <c r="P286" i="38"/>
  <c r="CC84" i="55" s="1"/>
  <c r="P289" i="38"/>
  <c r="CC87" i="55" s="1"/>
  <c r="P288" i="38"/>
  <c r="CC86" i="55" s="1"/>
  <c r="Q284" i="38"/>
  <c r="Q285" i="38" s="1"/>
  <c r="CD80" i="55"/>
  <c r="S250" i="38"/>
  <c r="R283" i="38"/>
  <c r="Q287" i="38" l="1"/>
  <c r="CD85" i="55" s="1"/>
  <c r="Q289" i="38"/>
  <c r="CD87" i="55" s="1"/>
  <c r="Q286" i="38"/>
  <c r="CD84" i="55" s="1"/>
  <c r="Q288" i="38"/>
  <c r="CD86" i="55" s="1"/>
  <c r="Q290" i="38"/>
  <c r="CD88" i="55" s="1"/>
  <c r="R284" i="38"/>
  <c r="R288" i="38" s="1"/>
  <c r="CE86" i="55" s="1"/>
  <c r="CE80" i="55"/>
  <c r="T250" i="38"/>
  <c r="S283" i="38"/>
  <c r="R287" i="38" l="1"/>
  <c r="CE85" i="55" s="1"/>
  <c r="R289" i="38"/>
  <c r="CE87" i="55" s="1"/>
  <c r="R286" i="38"/>
  <c r="CE84" i="55" s="1"/>
  <c r="R290" i="38"/>
  <c r="CE88" i="55" s="1"/>
  <c r="R285" i="38"/>
  <c r="S284" i="38"/>
  <c r="S285" i="38" s="1"/>
  <c r="CF80" i="55"/>
  <c r="U250" i="38"/>
  <c r="T283" i="38"/>
  <c r="S288" i="38" l="1"/>
  <c r="CF86" i="55" s="1"/>
  <c r="S287" i="38"/>
  <c r="CF85" i="55" s="1"/>
  <c r="S286" i="38"/>
  <c r="CF84" i="55" s="1"/>
  <c r="S289" i="38"/>
  <c r="CF87" i="55" s="1"/>
  <c r="S290" i="38"/>
  <c r="CF88" i="55" s="1"/>
  <c r="T284" i="38"/>
  <c r="T286" i="38" s="1"/>
  <c r="CG84" i="55" s="1"/>
  <c r="CG80" i="55"/>
  <c r="V250" i="38"/>
  <c r="U283" i="38"/>
  <c r="T288" i="38" l="1"/>
  <c r="CG86" i="55" s="1"/>
  <c r="T285" i="38"/>
  <c r="T287" i="38"/>
  <c r="CG85" i="55" s="1"/>
  <c r="T290" i="38"/>
  <c r="CG88" i="55" s="1"/>
  <c r="T289" i="38"/>
  <c r="CG87" i="55" s="1"/>
  <c r="U284" i="38"/>
  <c r="U287" i="38" s="1"/>
  <c r="CH85" i="55" s="1"/>
  <c r="CH80" i="55"/>
  <c r="W250" i="38"/>
  <c r="V283" i="38"/>
  <c r="U286" i="38" l="1"/>
  <c r="CH84" i="55" s="1"/>
  <c r="U285" i="38"/>
  <c r="U289" i="38"/>
  <c r="CH87" i="55" s="1"/>
  <c r="U290" i="38"/>
  <c r="CH88" i="55" s="1"/>
  <c r="U288" i="38"/>
  <c r="CH86" i="55" s="1"/>
  <c r="V284" i="38"/>
  <c r="V286" i="38" s="1"/>
  <c r="CI84" i="55" s="1"/>
  <c r="CI80" i="55"/>
  <c r="X250" i="38"/>
  <c r="W283" i="38"/>
  <c r="V287" i="38" l="1"/>
  <c r="CI85" i="55" s="1"/>
  <c r="V285" i="38"/>
  <c r="V288" i="38"/>
  <c r="CI86" i="55" s="1"/>
  <c r="V289" i="38"/>
  <c r="CI87" i="55" s="1"/>
  <c r="V290" i="38"/>
  <c r="CI88" i="55" s="1"/>
  <c r="W284" i="38"/>
  <c r="W290" i="38" s="1"/>
  <c r="CJ88" i="55" s="1"/>
  <c r="CJ80" i="55"/>
  <c r="Y250" i="38"/>
  <c r="X283" i="38"/>
  <c r="W289" i="38" l="1"/>
  <c r="CJ87" i="55" s="1"/>
  <c r="W288" i="38"/>
  <c r="CJ86" i="55" s="1"/>
  <c r="W286" i="38"/>
  <c r="CJ84" i="55" s="1"/>
  <c r="W287" i="38"/>
  <c r="CJ85" i="55" s="1"/>
  <c r="W285" i="38"/>
  <c r="X284" i="38"/>
  <c r="X286" i="38" s="1"/>
  <c r="CK84" i="55" s="1"/>
  <c r="CK80" i="55"/>
  <c r="Z250" i="38"/>
  <c r="Y283" i="38"/>
  <c r="X289" i="38" l="1"/>
  <c r="CK87" i="55" s="1"/>
  <c r="X288" i="38"/>
  <c r="CK86" i="55" s="1"/>
  <c r="X285" i="38"/>
  <c r="X287" i="38"/>
  <c r="CK85" i="55" s="1"/>
  <c r="X290" i="38"/>
  <c r="CK88" i="55" s="1"/>
  <c r="Y284" i="38"/>
  <c r="Y287" i="38" s="1"/>
  <c r="CL85" i="55" s="1"/>
  <c r="CL80" i="55"/>
  <c r="AA250" i="38"/>
  <c r="Z283" i="38"/>
  <c r="Y285" i="38" l="1"/>
  <c r="Y288" i="38"/>
  <c r="CL86" i="55" s="1"/>
  <c r="Y286" i="38"/>
  <c r="CL84" i="55" s="1"/>
  <c r="Y289" i="38"/>
  <c r="CL87" i="55" s="1"/>
  <c r="Y290" i="38"/>
  <c r="CL88" i="55" s="1"/>
  <c r="Z284" i="38"/>
  <c r="Z288" i="38" s="1"/>
  <c r="CM86" i="55" s="1"/>
  <c r="CM80" i="55"/>
  <c r="AB250" i="38"/>
  <c r="AA283" i="38"/>
  <c r="Z285" i="38" l="1"/>
  <c r="Z287" i="38"/>
  <c r="CM85" i="55" s="1"/>
  <c r="Z290" i="38"/>
  <c r="CM88" i="55" s="1"/>
  <c r="Z289" i="38"/>
  <c r="CM87" i="55" s="1"/>
  <c r="Z286" i="38"/>
  <c r="CM84" i="55" s="1"/>
  <c r="AA284" i="38"/>
  <c r="AA285" i="38" s="1"/>
  <c r="CN80" i="55"/>
  <c r="AC250" i="38"/>
  <c r="AB283" i="38"/>
  <c r="AA289" i="38" l="1"/>
  <c r="CN87" i="55" s="1"/>
  <c r="AA287" i="38"/>
  <c r="CN85" i="55" s="1"/>
  <c r="AA290" i="38"/>
  <c r="CN88" i="55" s="1"/>
  <c r="AA288" i="38"/>
  <c r="CN86" i="55" s="1"/>
  <c r="AA286" i="38"/>
  <c r="CN84" i="55" s="1"/>
  <c r="AB284" i="38"/>
  <c r="AB287" i="38" s="1"/>
  <c r="CO85" i="55" s="1"/>
  <c r="CO80" i="55"/>
  <c r="AD250" i="38"/>
  <c r="AC283" i="38"/>
  <c r="AB286" i="38" l="1"/>
  <c r="CO84" i="55" s="1"/>
  <c r="AB288" i="38"/>
  <c r="CO86" i="55" s="1"/>
  <c r="AB290" i="38"/>
  <c r="CO88" i="55" s="1"/>
  <c r="AB289" i="38"/>
  <c r="CO87" i="55" s="1"/>
  <c r="AB285" i="38"/>
  <c r="AC284" i="38"/>
  <c r="AC287" i="38" s="1"/>
  <c r="CP85" i="55" s="1"/>
  <c r="CP80" i="55"/>
  <c r="AD283" i="38"/>
  <c r="AE250" i="38"/>
  <c r="AC288" i="38" l="1"/>
  <c r="CP86" i="55" s="1"/>
  <c r="AC289" i="38"/>
  <c r="CP87" i="55" s="1"/>
  <c r="AC286" i="38"/>
  <c r="CP84" i="55" s="1"/>
  <c r="AC285" i="38"/>
  <c r="AC290" i="38"/>
  <c r="CP88" i="55" s="1"/>
  <c r="AD284" i="38"/>
  <c r="AD290" i="38" s="1"/>
  <c r="CQ88" i="55" s="1"/>
  <c r="CQ80" i="55"/>
  <c r="AF250" i="38"/>
  <c r="AE283" i="38"/>
  <c r="AD285" i="38" l="1"/>
  <c r="AD288" i="38"/>
  <c r="CQ86" i="55" s="1"/>
  <c r="AD289" i="38"/>
  <c r="CQ87" i="55" s="1"/>
  <c r="AD287" i="38"/>
  <c r="CQ85" i="55" s="1"/>
  <c r="AD286" i="38"/>
  <c r="CQ84" i="55" s="1"/>
  <c r="AE284" i="38"/>
  <c r="AE290" i="38" s="1"/>
  <c r="CR88" i="55" s="1"/>
  <c r="CR80" i="55"/>
  <c r="AG250" i="38"/>
  <c r="AG283" i="38" s="1"/>
  <c r="AF283" i="38"/>
  <c r="AE286" i="38" l="1"/>
  <c r="CR84" i="55" s="1"/>
  <c r="AE289" i="38"/>
  <c r="CR87" i="55" s="1"/>
  <c r="AE287" i="38"/>
  <c r="CR85" i="55" s="1"/>
  <c r="AE288" i="38"/>
  <c r="CR86" i="55" s="1"/>
  <c r="AE285" i="38"/>
  <c r="AF284" i="38"/>
  <c r="AF285" i="38" s="1"/>
  <c r="CS80" i="55"/>
  <c r="AG284" i="38"/>
  <c r="AG289" i="38" s="1"/>
  <c r="CT87" i="55" s="1"/>
  <c r="CT80" i="55"/>
  <c r="C194" i="29"/>
  <c r="G194" i="29"/>
  <c r="V194" i="29"/>
  <c r="AD194" i="29"/>
  <c r="Y194" i="29"/>
  <c r="D194" i="29"/>
  <c r="I194" i="29"/>
  <c r="M194" i="29"/>
  <c r="Q194" i="29"/>
  <c r="AF194" i="29"/>
  <c r="J194" i="29"/>
  <c r="AC194" i="29"/>
  <c r="K194" i="29"/>
  <c r="T194" i="29"/>
  <c r="R194" i="29"/>
  <c r="H194" i="29"/>
  <c r="E194" i="29"/>
  <c r="AA194" i="29"/>
  <c r="AB194" i="29"/>
  <c r="X194" i="29"/>
  <c r="AE194" i="29"/>
  <c r="W194" i="29"/>
  <c r="N194" i="29"/>
  <c r="L194" i="29"/>
  <c r="P194" i="29"/>
  <c r="S194" i="29"/>
  <c r="U194" i="29"/>
  <c r="AG194" i="29"/>
  <c r="O194" i="29"/>
  <c r="F194" i="29"/>
  <c r="Z194" i="29"/>
  <c r="AG288" i="38" l="1"/>
  <c r="CT86" i="55" s="1"/>
  <c r="AG287" i="38"/>
  <c r="CT85" i="55" s="1"/>
  <c r="AF289" i="38"/>
  <c r="CS87" i="55" s="1"/>
  <c r="AF288" i="38"/>
  <c r="CS86" i="55" s="1"/>
  <c r="AF287" i="38"/>
  <c r="CS85" i="55" s="1"/>
  <c r="AG285" i="38"/>
  <c r="AF290" i="38"/>
  <c r="CS88" i="55" s="1"/>
  <c r="AG290" i="38"/>
  <c r="CT88" i="55" s="1"/>
  <c r="AF286" i="38"/>
  <c r="CS84" i="55" s="1"/>
  <c r="AG286" i="38"/>
  <c r="CT84" i="55" s="1"/>
  <c r="D3" i="44"/>
  <c r="D7" i="44" l="1"/>
  <c r="E7" i="44" s="1"/>
  <c r="D8" i="44" l="1"/>
  <c r="AA16" i="44"/>
  <c r="U11" i="44"/>
  <c r="E59" i="44" s="1"/>
  <c r="H59" i="44" s="1"/>
  <c r="B7" i="61" l="1"/>
  <c r="E65" i="44"/>
  <c r="E62" i="44"/>
  <c r="H62" i="44" s="1"/>
  <c r="H63" i="44" s="1"/>
  <c r="E63" i="44" l="1"/>
  <c r="J72" i="44" s="1"/>
  <c r="K72" i="44" s="1"/>
  <c r="M72" i="44" s="1"/>
  <c r="E66" i="44"/>
  <c r="J76" i="44" s="1"/>
  <c r="K76" i="44" s="1"/>
  <c r="M76" i="44" s="1"/>
  <c r="J74" i="44"/>
  <c r="K74" i="44" s="1"/>
  <c r="M74" i="44" l="1"/>
  <c r="J77" i="44"/>
  <c r="J71" i="44"/>
  <c r="K71" i="44" s="1"/>
  <c r="M71" i="44" s="1"/>
  <c r="M78" i="44" l="1"/>
  <c r="K77" i="44"/>
  <c r="M77" i="44" s="1"/>
  <c r="N75" i="44" l="1"/>
  <c r="N70" i="44"/>
  <c r="N72" i="44"/>
  <c r="N74" i="44"/>
  <c r="N71" i="44" l="1"/>
  <c r="N97" i="44" l="1"/>
  <c r="N73" i="44"/>
  <c r="N76" i="44"/>
  <c r="N77" i="44" l="1"/>
  <c r="M85" i="44" l="1"/>
  <c r="M80" i="44"/>
  <c r="M4" i="8"/>
  <c r="M5" i="8" l="1"/>
  <c r="M6" i="8" s="1"/>
  <c r="D27" i="45"/>
  <c r="AJ27" i="45" l="1"/>
  <c r="D35" i="45"/>
  <c r="AJ37" i="45"/>
  <c r="AJ36" i="45"/>
  <c r="AJ35" i="45"/>
  <c r="AJ34" i="45"/>
  <c r="C36" i="48" s="1"/>
  <c r="C42" i="48" s="1"/>
  <c r="AJ54" i="45"/>
  <c r="AJ57" i="45" s="1"/>
  <c r="C40" i="48" s="1"/>
  <c r="M9" i="8"/>
  <c r="M10" i="8"/>
  <c r="M7" i="8"/>
  <c r="M8" i="8"/>
  <c r="D34" i="45"/>
  <c r="D37" i="45"/>
  <c r="D36" i="45"/>
  <c r="D54" i="45"/>
  <c r="D57" i="45" s="1"/>
  <c r="E27" i="45"/>
  <c r="AK27" i="45" s="1"/>
  <c r="M11" i="8" l="1"/>
  <c r="AJ58" i="45"/>
  <c r="AJ59" i="45"/>
  <c r="AJ72" i="45" s="1"/>
  <c r="D59" i="45"/>
  <c r="D72" i="45" s="1"/>
  <c r="AJ60" i="45"/>
  <c r="AJ73" i="45" s="1"/>
  <c r="AK28" i="45"/>
  <c r="AK29" i="45"/>
  <c r="AK31" i="45"/>
  <c r="AK36" i="45" s="1"/>
  <c r="AK54" i="45"/>
  <c r="D75" i="45"/>
  <c r="C36" i="46"/>
  <c r="C42" i="46" s="1"/>
  <c r="D104" i="45"/>
  <c r="C40" i="46"/>
  <c r="C46" i="48"/>
  <c r="C47" i="48" s="1"/>
  <c r="D46" i="48"/>
  <c r="E46" i="48"/>
  <c r="F46" i="48"/>
  <c r="G46" i="48"/>
  <c r="H46" i="48"/>
  <c r="D58" i="45"/>
  <c r="D60" i="45"/>
  <c r="F27" i="45"/>
  <c r="AL27" i="45" s="1"/>
  <c r="E29" i="45"/>
  <c r="E31" i="45"/>
  <c r="E35" i="45" s="1"/>
  <c r="E28" i="45"/>
  <c r="E54" i="45"/>
  <c r="C319" i="48" l="1"/>
  <c r="AK37" i="45"/>
  <c r="AJ71" i="45"/>
  <c r="AK35" i="45"/>
  <c r="D73" i="45"/>
  <c r="D71" i="45"/>
  <c r="AK30" i="45"/>
  <c r="C46" i="46"/>
  <c r="C263" i="46" s="1"/>
  <c r="C264" i="46" s="1"/>
  <c r="D46" i="46"/>
  <c r="D263" i="46" s="1"/>
  <c r="E46" i="46"/>
  <c r="E263" i="46" s="1"/>
  <c r="F46" i="46"/>
  <c r="F263" i="46" s="1"/>
  <c r="G46" i="46"/>
  <c r="G263" i="46" s="1"/>
  <c r="H46" i="46"/>
  <c r="H263" i="46" s="1"/>
  <c r="E36" i="45"/>
  <c r="AL32" i="45"/>
  <c r="AL29" i="45"/>
  <c r="AL31" i="45"/>
  <c r="AL35" i="45" s="1"/>
  <c r="AL28" i="45"/>
  <c r="AL54" i="45"/>
  <c r="AK55" i="45"/>
  <c r="AK56" i="45"/>
  <c r="C274" i="48"/>
  <c r="C102" i="46"/>
  <c r="C82" i="46"/>
  <c r="C72" i="46"/>
  <c r="C112" i="46"/>
  <c r="E30" i="45"/>
  <c r="AK32" i="45"/>
  <c r="AK33" i="45" s="1"/>
  <c r="E37" i="45"/>
  <c r="E55" i="45"/>
  <c r="E56" i="45"/>
  <c r="G27" i="45"/>
  <c r="AM27" i="45" s="1"/>
  <c r="F28" i="45"/>
  <c r="F29" i="45"/>
  <c r="F31" i="45"/>
  <c r="F36" i="45" s="1"/>
  <c r="F32" i="45"/>
  <c r="F54" i="45"/>
  <c r="AJ104" i="45"/>
  <c r="AJ75" i="45"/>
  <c r="E32" i="45"/>
  <c r="E33" i="45" s="1"/>
  <c r="C323" i="48" l="1"/>
  <c r="C320" i="48"/>
  <c r="F37" i="45"/>
  <c r="E68" i="45"/>
  <c r="F35" i="45"/>
  <c r="E57" i="45"/>
  <c r="AL36" i="45"/>
  <c r="AL37" i="45"/>
  <c r="AK68" i="45"/>
  <c r="C47" i="46"/>
  <c r="AK57" i="45"/>
  <c r="D40" i="48" s="1"/>
  <c r="I46" i="48" s="1"/>
  <c r="AL30" i="45"/>
  <c r="F264" i="46"/>
  <c r="F269" i="46" s="1"/>
  <c r="F263" i="48"/>
  <c r="F267" i="46"/>
  <c r="F268" i="46"/>
  <c r="F266" i="46"/>
  <c r="F265" i="46"/>
  <c r="C114" i="46"/>
  <c r="C119" i="46" s="1"/>
  <c r="C113" i="46"/>
  <c r="C118" i="46" s="1"/>
  <c r="C117" i="46"/>
  <c r="C112" i="48"/>
  <c r="C116" i="46"/>
  <c r="C121" i="46" s="1"/>
  <c r="C115" i="46"/>
  <c r="C120" i="46" s="1"/>
  <c r="E266" i="46"/>
  <c r="E268" i="46"/>
  <c r="E267" i="46"/>
  <c r="E263" i="48"/>
  <c r="E264" i="46"/>
  <c r="E265" i="46"/>
  <c r="AK67" i="45"/>
  <c r="AK34" i="45"/>
  <c r="D36" i="48" s="1"/>
  <c r="D42" i="48" s="1"/>
  <c r="AM31" i="45"/>
  <c r="AM32" i="45"/>
  <c r="AM29" i="45"/>
  <c r="AM28" i="45"/>
  <c r="AM54" i="45"/>
  <c r="C105" i="46"/>
  <c r="C110" i="46" s="1"/>
  <c r="C102" i="48"/>
  <c r="C103" i="46"/>
  <c r="C108" i="46" s="1"/>
  <c r="C104" i="46"/>
  <c r="C109" i="46" s="1"/>
  <c r="C107" i="46"/>
  <c r="C106" i="46"/>
  <c r="C111" i="46" s="1"/>
  <c r="AL56" i="45"/>
  <c r="AL55" i="45"/>
  <c r="E67" i="45"/>
  <c r="C72" i="48"/>
  <c r="C73" i="46"/>
  <c r="C78" i="46" s="1"/>
  <c r="C76" i="46"/>
  <c r="C81" i="46" s="1"/>
  <c r="C77" i="46"/>
  <c r="C75" i="46"/>
  <c r="C80" i="46" s="1"/>
  <c r="C74" i="46"/>
  <c r="C79" i="46" s="1"/>
  <c r="AL33" i="45"/>
  <c r="H266" i="46"/>
  <c r="H264" i="46"/>
  <c r="H263" i="48"/>
  <c r="H267" i="46"/>
  <c r="H268" i="46"/>
  <c r="H265" i="46"/>
  <c r="D267" i="46"/>
  <c r="D263" i="48"/>
  <c r="D264" i="46"/>
  <c r="D268" i="46"/>
  <c r="D265" i="46"/>
  <c r="D266" i="46"/>
  <c r="C82" i="48"/>
  <c r="C83" i="46"/>
  <c r="C88" i="46" s="1"/>
  <c r="C84" i="46"/>
  <c r="C89" i="46" s="1"/>
  <c r="C86" i="46"/>
  <c r="C91" i="46" s="1"/>
  <c r="C87" i="46"/>
  <c r="C85" i="46"/>
  <c r="C90" i="46" s="1"/>
  <c r="G263" i="48"/>
  <c r="G266" i="46"/>
  <c r="G267" i="46"/>
  <c r="G264" i="46"/>
  <c r="G265" i="46"/>
  <c r="G268" i="46"/>
  <c r="C269" i="46"/>
  <c r="C268" i="46"/>
  <c r="C265" i="46"/>
  <c r="C270" i="46" s="1"/>
  <c r="C263" i="48"/>
  <c r="C266" i="46"/>
  <c r="C271" i="46" s="1"/>
  <c r="C267" i="46"/>
  <c r="C272" i="46" s="1"/>
  <c r="C277" i="46"/>
  <c r="F30" i="45"/>
  <c r="H27" i="45"/>
  <c r="AN27" i="45" s="1"/>
  <c r="G28" i="45"/>
  <c r="G29" i="45"/>
  <c r="G31" i="45"/>
  <c r="G37" i="45" s="1"/>
  <c r="G32" i="45"/>
  <c r="G54" i="45"/>
  <c r="E34" i="45"/>
  <c r="F33" i="45"/>
  <c r="F55" i="45"/>
  <c r="F56" i="45"/>
  <c r="C327" i="48" l="1"/>
  <c r="C326" i="48"/>
  <c r="C324" i="48"/>
  <c r="C325" i="48"/>
  <c r="E70" i="45"/>
  <c r="D40" i="46"/>
  <c r="I46" i="46" s="1"/>
  <c r="I263" i="46" s="1"/>
  <c r="I263" i="48" s="1"/>
  <c r="I105" i="45"/>
  <c r="AO105" i="45" s="1"/>
  <c r="D76" i="45"/>
  <c r="AJ76" i="45" s="1"/>
  <c r="F105" i="45"/>
  <c r="AL105" i="45" s="1"/>
  <c r="H105" i="45"/>
  <c r="AN105" i="45" s="1"/>
  <c r="G105" i="45"/>
  <c r="AM105" i="45" s="1"/>
  <c r="D90" i="45"/>
  <c r="AJ90" i="45" s="1"/>
  <c r="AJ91" i="45" s="1"/>
  <c r="D106" i="45"/>
  <c r="AJ106" i="45" s="1"/>
  <c r="D97" i="45"/>
  <c r="D105" i="45"/>
  <c r="E105" i="45"/>
  <c r="AK105" i="45" s="1"/>
  <c r="AM30" i="45"/>
  <c r="E104" i="45"/>
  <c r="E60" i="45"/>
  <c r="E73" i="45" s="1"/>
  <c r="E58" i="45"/>
  <c r="E71" i="45" s="1"/>
  <c r="F67" i="45"/>
  <c r="H270" i="46"/>
  <c r="E59" i="45"/>
  <c r="E72" i="45" s="1"/>
  <c r="G35" i="45"/>
  <c r="F34" i="45"/>
  <c r="E36" i="46" s="1"/>
  <c r="E42" i="46" s="1"/>
  <c r="AJ110" i="45"/>
  <c r="AJ112" i="45"/>
  <c r="D111" i="45"/>
  <c r="AJ111" i="45"/>
  <c r="D110" i="45"/>
  <c r="D112" i="45"/>
  <c r="D79" i="45"/>
  <c r="AJ80" i="45"/>
  <c r="D81" i="45"/>
  <c r="AJ79" i="45"/>
  <c r="AJ81" i="45"/>
  <c r="D80" i="45"/>
  <c r="AK70" i="45"/>
  <c r="G270" i="46"/>
  <c r="AL68" i="45"/>
  <c r="E270" i="46"/>
  <c r="AK60" i="45"/>
  <c r="AK58" i="45"/>
  <c r="AK59" i="45"/>
  <c r="D94" i="45"/>
  <c r="AJ93" i="45"/>
  <c r="D93" i="45"/>
  <c r="AJ94" i="45"/>
  <c r="D270" i="46"/>
  <c r="AL57" i="45"/>
  <c r="E40" i="48" s="1"/>
  <c r="J46" i="48" s="1"/>
  <c r="AM33" i="45"/>
  <c r="D101" i="45"/>
  <c r="AJ101" i="45"/>
  <c r="AJ103" i="45"/>
  <c r="D103" i="45"/>
  <c r="AJ102" i="45"/>
  <c r="D102" i="45"/>
  <c r="F271" i="46"/>
  <c r="C319" i="46"/>
  <c r="C274" i="46"/>
  <c r="E75" i="45"/>
  <c r="D36" i="46"/>
  <c r="D42" i="46" s="1"/>
  <c r="AL67" i="45"/>
  <c r="H272" i="46"/>
  <c r="AM56" i="45"/>
  <c r="AM55" i="45"/>
  <c r="D78" i="45"/>
  <c r="C266" i="48"/>
  <c r="C271" i="48" s="1"/>
  <c r="C265" i="48"/>
  <c r="C270" i="48" s="1"/>
  <c r="C264" i="48"/>
  <c r="C269" i="48" s="1"/>
  <c r="C268" i="48"/>
  <c r="C267" i="48"/>
  <c r="C272" i="48" s="1"/>
  <c r="C277" i="48"/>
  <c r="G272" i="46"/>
  <c r="D269" i="46"/>
  <c r="H269" i="46"/>
  <c r="C105" i="48"/>
  <c r="C110" i="48" s="1"/>
  <c r="C104" i="48"/>
  <c r="C109" i="48" s="1"/>
  <c r="C107" i="48"/>
  <c r="C106" i="48"/>
  <c r="C111" i="48" s="1"/>
  <c r="C103" i="48"/>
  <c r="C108" i="48" s="1"/>
  <c r="D47" i="48"/>
  <c r="E269" i="46"/>
  <c r="E271" i="46"/>
  <c r="AL34" i="45"/>
  <c r="E36" i="48" s="1"/>
  <c r="E42" i="48" s="1"/>
  <c r="F272" i="46"/>
  <c r="G264" i="48"/>
  <c r="G267" i="48"/>
  <c r="G265" i="48"/>
  <c r="G266" i="48"/>
  <c r="G268" i="48"/>
  <c r="D272" i="46"/>
  <c r="C76" i="48"/>
  <c r="C81" i="48" s="1"/>
  <c r="C73" i="48"/>
  <c r="C78" i="48" s="1"/>
  <c r="C77" i="48"/>
  <c r="C75" i="48"/>
  <c r="C80" i="48" s="1"/>
  <c r="C74" i="48"/>
  <c r="C79" i="48" s="1"/>
  <c r="AM37" i="45"/>
  <c r="E272" i="46"/>
  <c r="AJ97" i="45"/>
  <c r="D100" i="45"/>
  <c r="AN28" i="45"/>
  <c r="AN31" i="45"/>
  <c r="AN36" i="45" s="1"/>
  <c r="AN32" i="45"/>
  <c r="AN29" i="45"/>
  <c r="AN54" i="45"/>
  <c r="G269" i="46"/>
  <c r="H264" i="48"/>
  <c r="H265" i="48"/>
  <c r="H267" i="48"/>
  <c r="H268" i="48"/>
  <c r="H266" i="48"/>
  <c r="AM35" i="45"/>
  <c r="C321" i="46"/>
  <c r="C344" i="46"/>
  <c r="C345" i="46" s="1"/>
  <c r="C278" i="46"/>
  <c r="C18" i="52" s="1"/>
  <c r="G271" i="46"/>
  <c r="D91" i="45"/>
  <c r="C86" i="48"/>
  <c r="C91" i="48" s="1"/>
  <c r="C85" i="48"/>
  <c r="C90" i="48" s="1"/>
  <c r="C87" i="48"/>
  <c r="C83" i="48"/>
  <c r="C88" i="48" s="1"/>
  <c r="C84" i="48"/>
  <c r="C89" i="48" s="1"/>
  <c r="D271" i="46"/>
  <c r="D264" i="48"/>
  <c r="D266" i="48"/>
  <c r="D268" i="48"/>
  <c r="D267" i="48"/>
  <c r="D265" i="48"/>
  <c r="H271" i="46"/>
  <c r="AM36" i="45"/>
  <c r="E267" i="48"/>
  <c r="E266" i="48"/>
  <c r="E264" i="48"/>
  <c r="E268" i="48"/>
  <c r="E265" i="48"/>
  <c r="C114" i="48"/>
  <c r="C119" i="48" s="1"/>
  <c r="C113" i="48"/>
  <c r="C118" i="48" s="1"/>
  <c r="C116" i="48"/>
  <c r="C121" i="48" s="1"/>
  <c r="C115" i="48"/>
  <c r="C120" i="48" s="1"/>
  <c r="C117" i="48"/>
  <c r="F270" i="46"/>
  <c r="F268" i="48"/>
  <c r="F265" i="48"/>
  <c r="F264" i="48"/>
  <c r="F267" i="48"/>
  <c r="F266" i="48"/>
  <c r="G30" i="45"/>
  <c r="G33" i="45"/>
  <c r="F57" i="45"/>
  <c r="F68" i="45"/>
  <c r="G55" i="45"/>
  <c r="G56" i="45"/>
  <c r="G36" i="45"/>
  <c r="AK104" i="45"/>
  <c r="H32" i="45"/>
  <c r="I27" i="45"/>
  <c r="AO27" i="45" s="1"/>
  <c r="H29" i="45"/>
  <c r="H31" i="45"/>
  <c r="H36" i="45" s="1"/>
  <c r="H54" i="45"/>
  <c r="H28" i="45"/>
  <c r="C335" i="48" l="1"/>
  <c r="C334" i="48"/>
  <c r="C346" i="48" s="1"/>
  <c r="C329" i="48"/>
  <c r="C328" i="48"/>
  <c r="I266" i="46"/>
  <c r="I271" i="46" s="1"/>
  <c r="I268" i="46"/>
  <c r="I264" i="46"/>
  <c r="I269" i="46" s="1"/>
  <c r="I267" i="46"/>
  <c r="I272" i="46" s="1"/>
  <c r="AJ105" i="45"/>
  <c r="D114" i="45"/>
  <c r="I265" i="46"/>
  <c r="I270" i="46" s="1"/>
  <c r="AM34" i="45"/>
  <c r="F36" i="48" s="1"/>
  <c r="F42" i="48" s="1"/>
  <c r="I266" i="48"/>
  <c r="I264" i="48"/>
  <c r="I267" i="48"/>
  <c r="I268" i="48"/>
  <c r="D103" i="55"/>
  <c r="D126" i="55" s="1"/>
  <c r="D149" i="55" s="1"/>
  <c r="AJ117" i="45"/>
  <c r="G67" i="45"/>
  <c r="D117" i="45"/>
  <c r="F70" i="45"/>
  <c r="D319" i="48"/>
  <c r="G68" i="45"/>
  <c r="C322" i="46"/>
  <c r="C338" i="46" s="1"/>
  <c r="D113" i="45"/>
  <c r="D109" i="45"/>
  <c r="F75" i="45"/>
  <c r="I265" i="48"/>
  <c r="I270" i="48" s="1"/>
  <c r="F270" i="48"/>
  <c r="E270" i="48"/>
  <c r="H270" i="48"/>
  <c r="H37" i="45"/>
  <c r="H35" i="45"/>
  <c r="E269" i="48"/>
  <c r="AJ118" i="45"/>
  <c r="AJ116" i="45"/>
  <c r="F269" i="48"/>
  <c r="D270" i="48"/>
  <c r="D269" i="48"/>
  <c r="G270" i="48"/>
  <c r="D274" i="48"/>
  <c r="AM57" i="45"/>
  <c r="AM58" i="45" s="1"/>
  <c r="AM71" i="45" s="1"/>
  <c r="AL70" i="45"/>
  <c r="AK72" i="45"/>
  <c r="C323" i="46"/>
  <c r="C320" i="46"/>
  <c r="AK71" i="45"/>
  <c r="D116" i="45"/>
  <c r="E40" i="46"/>
  <c r="J46" i="46" s="1"/>
  <c r="J263" i="46" s="1"/>
  <c r="J263" i="48" s="1"/>
  <c r="F58" i="45"/>
  <c r="F71" i="45" s="1"/>
  <c r="F59" i="45"/>
  <c r="F60" i="45"/>
  <c r="E272" i="48"/>
  <c r="AJ113" i="45"/>
  <c r="G272" i="48"/>
  <c r="AL60" i="45"/>
  <c r="AL58" i="45"/>
  <c r="AL59" i="45"/>
  <c r="AK73" i="45"/>
  <c r="F271" i="48"/>
  <c r="H271" i="48"/>
  <c r="H269" i="48"/>
  <c r="AN30" i="45"/>
  <c r="G269" i="48"/>
  <c r="AM68" i="45"/>
  <c r="D118" i="45"/>
  <c r="AN55" i="45"/>
  <c r="AN56" i="45"/>
  <c r="F272" i="48"/>
  <c r="D272" i="48"/>
  <c r="E47" i="48"/>
  <c r="AN37" i="45"/>
  <c r="AN33" i="45"/>
  <c r="H33" i="45"/>
  <c r="D278" i="46"/>
  <c r="D18" i="52" s="1"/>
  <c r="C311" i="46"/>
  <c r="BP103" i="55" s="1"/>
  <c r="H272" i="48"/>
  <c r="AN35" i="45"/>
  <c r="G271" i="48"/>
  <c r="AM67" i="45"/>
  <c r="AJ78" i="45"/>
  <c r="E47" i="46"/>
  <c r="E72" i="46"/>
  <c r="E102" i="46"/>
  <c r="E82" i="46"/>
  <c r="E112" i="46"/>
  <c r="AO32" i="45"/>
  <c r="AO29" i="45"/>
  <c r="AO31" i="45"/>
  <c r="AO35" i="45" s="1"/>
  <c r="AO28" i="45"/>
  <c r="AO54" i="45"/>
  <c r="E271" i="48"/>
  <c r="D271" i="48"/>
  <c r="AJ100" i="45"/>
  <c r="C344" i="48"/>
  <c r="C345" i="48" s="1"/>
  <c r="C321" i="48"/>
  <c r="C278" i="48"/>
  <c r="D47" i="46"/>
  <c r="D82" i="46"/>
  <c r="D72" i="46"/>
  <c r="D102" i="46"/>
  <c r="D112" i="46"/>
  <c r="G57" i="45"/>
  <c r="G34" i="45"/>
  <c r="H30" i="45"/>
  <c r="AK75" i="45"/>
  <c r="H55" i="45"/>
  <c r="H56" i="45"/>
  <c r="I28" i="45"/>
  <c r="I32" i="45"/>
  <c r="J27" i="45"/>
  <c r="AP27" i="45" s="1"/>
  <c r="I31" i="45"/>
  <c r="I36" i="45" s="1"/>
  <c r="I29" i="45"/>
  <c r="I54" i="45"/>
  <c r="F104" i="45"/>
  <c r="C347" i="48" l="1"/>
  <c r="C348" i="48" s="1"/>
  <c r="C331" i="48"/>
  <c r="C330" i="48"/>
  <c r="C351" i="48"/>
  <c r="D115" i="45"/>
  <c r="AJ109" i="45"/>
  <c r="J105" i="45"/>
  <c r="AP105" i="45" s="1"/>
  <c r="I269" i="48"/>
  <c r="I271" i="48"/>
  <c r="AJ114" i="45"/>
  <c r="I272" i="48"/>
  <c r="C337" i="46"/>
  <c r="C342" i="46"/>
  <c r="D111" i="55" s="1"/>
  <c r="D134" i="55" s="1"/>
  <c r="D157" i="55" s="1"/>
  <c r="D323" i="48"/>
  <c r="D320" i="48"/>
  <c r="F47" i="48"/>
  <c r="G70" i="45"/>
  <c r="C339" i="46"/>
  <c r="D108" i="55" s="1"/>
  <c r="D131" i="55" s="1"/>
  <c r="D154" i="55" s="1"/>
  <c r="C341" i="46"/>
  <c r="D110" i="55" s="1"/>
  <c r="D133" i="55" s="1"/>
  <c r="D156" i="55" s="1"/>
  <c r="C340" i="46"/>
  <c r="D109" i="55" s="1"/>
  <c r="D132" i="55" s="1"/>
  <c r="D155" i="55" s="1"/>
  <c r="CV103" i="55"/>
  <c r="CV126" i="55" s="1"/>
  <c r="CV149" i="55" s="1"/>
  <c r="AJ103" i="55"/>
  <c r="AJ126" i="55" s="1"/>
  <c r="AJ149" i="55" s="1"/>
  <c r="C312" i="46"/>
  <c r="BP126" i="55"/>
  <c r="BP149" i="55" s="1"/>
  <c r="C322" i="48"/>
  <c r="C340" i="48" s="1"/>
  <c r="AJ109" i="55" s="1"/>
  <c r="E319" i="46"/>
  <c r="E323" i="46" s="1"/>
  <c r="E319" i="48"/>
  <c r="I35" i="45"/>
  <c r="D319" i="46"/>
  <c r="G104" i="45"/>
  <c r="F40" i="48"/>
  <c r="K46" i="48" s="1"/>
  <c r="AM70" i="45"/>
  <c r="AM59" i="45"/>
  <c r="AM72" i="45" s="1"/>
  <c r="J265" i="46"/>
  <c r="J270" i="46" s="1"/>
  <c r="AM60" i="45"/>
  <c r="AM73" i="45" s="1"/>
  <c r="AN68" i="45"/>
  <c r="J264" i="46"/>
  <c r="J269" i="46" s="1"/>
  <c r="J267" i="46"/>
  <c r="J272" i="46" s="1"/>
  <c r="J268" i="46"/>
  <c r="J266" i="46"/>
  <c r="J271" i="46" s="1"/>
  <c r="AO36" i="45"/>
  <c r="H68" i="45"/>
  <c r="AL72" i="45"/>
  <c r="F73" i="45"/>
  <c r="AL71" i="45"/>
  <c r="F72" i="45"/>
  <c r="C326" i="46"/>
  <c r="C325" i="46"/>
  <c r="C327" i="46"/>
  <c r="C324" i="46"/>
  <c r="G58" i="45"/>
  <c r="G60" i="45"/>
  <c r="G59" i="45"/>
  <c r="AO30" i="45"/>
  <c r="AL73" i="45"/>
  <c r="C349" i="48"/>
  <c r="C350" i="48" s="1"/>
  <c r="C352" i="48" s="1"/>
  <c r="AN57" i="45"/>
  <c r="AO55" i="45"/>
  <c r="AO56" i="45"/>
  <c r="E112" i="48"/>
  <c r="E113" i="46"/>
  <c r="E118" i="46" s="1"/>
  <c r="E115" i="46"/>
  <c r="E120" i="46" s="1"/>
  <c r="E114" i="46"/>
  <c r="E119" i="46" s="1"/>
  <c r="E116" i="46"/>
  <c r="E121" i="46" s="1"/>
  <c r="E117" i="46"/>
  <c r="E277" i="46"/>
  <c r="E278" i="46"/>
  <c r="E18" i="52" s="1"/>
  <c r="D311" i="46"/>
  <c r="D274" i="46"/>
  <c r="D82" i="48"/>
  <c r="D83" i="46"/>
  <c r="D88" i="46" s="1"/>
  <c r="D87" i="46"/>
  <c r="D85" i="46"/>
  <c r="D90" i="46" s="1"/>
  <c r="D86" i="46"/>
  <c r="D91" i="46" s="1"/>
  <c r="D84" i="46"/>
  <c r="D89" i="46" s="1"/>
  <c r="AN67" i="45"/>
  <c r="AO37" i="45"/>
  <c r="AO33" i="45"/>
  <c r="E82" i="48"/>
  <c r="E83" i="46"/>
  <c r="E88" i="46" s="1"/>
  <c r="E87" i="46"/>
  <c r="E86" i="46"/>
  <c r="E91" i="46" s="1"/>
  <c r="E85" i="46"/>
  <c r="E90" i="46" s="1"/>
  <c r="E84" i="46"/>
  <c r="E89" i="46" s="1"/>
  <c r="E274" i="48"/>
  <c r="J268" i="48"/>
  <c r="J265" i="48"/>
  <c r="J270" i="48" s="1"/>
  <c r="J266" i="48"/>
  <c r="J271" i="48" s="1"/>
  <c r="J267" i="48"/>
  <c r="J272" i="48" s="1"/>
  <c r="J264" i="48"/>
  <c r="J269" i="48" s="1"/>
  <c r="AN34" i="45"/>
  <c r="G36" i="48" s="1"/>
  <c r="G42" i="48" s="1"/>
  <c r="C311" i="48"/>
  <c r="C312" i="48" s="1"/>
  <c r="D278" i="48"/>
  <c r="G75" i="45"/>
  <c r="F36" i="46"/>
  <c r="F42" i="46" s="1"/>
  <c r="D114" i="46"/>
  <c r="D119" i="46" s="1"/>
  <c r="D112" i="48"/>
  <c r="D115" i="46"/>
  <c r="D120" i="46" s="1"/>
  <c r="D113" i="46"/>
  <c r="D118" i="46" s="1"/>
  <c r="D116" i="46"/>
  <c r="D121" i="46" s="1"/>
  <c r="D117" i="46"/>
  <c r="D277" i="46"/>
  <c r="E106" i="46"/>
  <c r="E111" i="46" s="1"/>
  <c r="E102" i="48"/>
  <c r="E103" i="46"/>
  <c r="E108" i="46" s="1"/>
  <c r="E107" i="46"/>
  <c r="E104" i="46"/>
  <c r="E109" i="46" s="1"/>
  <c r="E105" i="46"/>
  <c r="E110" i="46" s="1"/>
  <c r="D72" i="48"/>
  <c r="D75" i="46"/>
  <c r="D80" i="46" s="1"/>
  <c r="D77" i="46"/>
  <c r="D74" i="46"/>
  <c r="D79" i="46" s="1"/>
  <c r="D73" i="46"/>
  <c r="D78" i="46" s="1"/>
  <c r="D76" i="46"/>
  <c r="D81" i="46" s="1"/>
  <c r="AP32" i="45"/>
  <c r="AP29" i="45"/>
  <c r="AP31" i="45"/>
  <c r="AP37" i="45" s="1"/>
  <c r="AP28" i="45"/>
  <c r="AP54" i="45"/>
  <c r="F40" i="46"/>
  <c r="K46" i="46" s="1"/>
  <c r="K263" i="46" s="1"/>
  <c r="D106" i="46"/>
  <c r="D111" i="46" s="1"/>
  <c r="D105" i="46"/>
  <c r="D110" i="46" s="1"/>
  <c r="D107" i="46"/>
  <c r="D102" i="48"/>
  <c r="D103" i="46"/>
  <c r="D108" i="46" s="1"/>
  <c r="D104" i="46"/>
  <c r="D109" i="46" s="1"/>
  <c r="E274" i="46"/>
  <c r="E72" i="48"/>
  <c r="E74" i="46"/>
  <c r="E79" i="46" s="1"/>
  <c r="E77" i="46"/>
  <c r="E76" i="46"/>
  <c r="E81" i="46" s="1"/>
  <c r="E73" i="46"/>
  <c r="E78" i="46" s="1"/>
  <c r="E75" i="46"/>
  <c r="E80" i="46" s="1"/>
  <c r="I30" i="45"/>
  <c r="H57" i="45"/>
  <c r="I33" i="45"/>
  <c r="AL75" i="45"/>
  <c r="K27" i="45"/>
  <c r="AQ27" i="45" s="1"/>
  <c r="J28" i="45"/>
  <c r="J29" i="45"/>
  <c r="J31" i="45"/>
  <c r="J37" i="45" s="1"/>
  <c r="J54" i="45"/>
  <c r="J32" i="45"/>
  <c r="H67" i="45"/>
  <c r="H34" i="45"/>
  <c r="AM75" i="45"/>
  <c r="I55" i="45"/>
  <c r="I56" i="45"/>
  <c r="I37" i="45"/>
  <c r="AL104" i="45"/>
  <c r="AJ115" i="45" l="1"/>
  <c r="C356" i="48"/>
  <c r="C357" i="48" s="1"/>
  <c r="C366" i="48" s="1"/>
  <c r="C333" i="48"/>
  <c r="C332" i="48"/>
  <c r="C336" i="48" s="1"/>
  <c r="C317" i="46"/>
  <c r="BP110" i="55" s="1"/>
  <c r="BP133" i="55" s="1"/>
  <c r="BP156" i="55" s="1"/>
  <c r="C313" i="46"/>
  <c r="C316" i="46"/>
  <c r="BP109" i="55" s="1"/>
  <c r="BP132" i="55" s="1"/>
  <c r="BP155" i="55" s="1"/>
  <c r="C314" i="46"/>
  <c r="BP107" i="55" s="1"/>
  <c r="BP130" i="55" s="1"/>
  <c r="BP153" i="55" s="1"/>
  <c r="C315" i="46"/>
  <c r="BP108" i="55" s="1"/>
  <c r="BP131" i="55" s="1"/>
  <c r="BP154" i="55" s="1"/>
  <c r="C318" i="46"/>
  <c r="BP111" i="55" s="1"/>
  <c r="BP134" i="55" s="1"/>
  <c r="BP157" i="55" s="1"/>
  <c r="F319" i="48"/>
  <c r="F323" i="48" s="1"/>
  <c r="D324" i="48"/>
  <c r="D325" i="48"/>
  <c r="D326" i="48"/>
  <c r="F274" i="48"/>
  <c r="D327" i="48"/>
  <c r="E323" i="48"/>
  <c r="D323" i="46"/>
  <c r="D320" i="46"/>
  <c r="E320" i="48"/>
  <c r="C342" i="48"/>
  <c r="AJ111" i="55" s="1"/>
  <c r="C339" i="48"/>
  <c r="AJ108" i="55" s="1"/>
  <c r="C341" i="48"/>
  <c r="AJ110" i="55" s="1"/>
  <c r="C338" i="48"/>
  <c r="C337" i="48"/>
  <c r="AO68" i="45"/>
  <c r="AJ132" i="55"/>
  <c r="CV109" i="55"/>
  <c r="AJ134" i="55"/>
  <c r="CV111" i="55"/>
  <c r="AJ131" i="55"/>
  <c r="CV108" i="55"/>
  <c r="D312" i="46"/>
  <c r="D317" i="46" s="1"/>
  <c r="BQ110" i="55" s="1"/>
  <c r="BQ133" i="55" s="1"/>
  <c r="BQ156" i="55" s="1"/>
  <c r="BQ103" i="55"/>
  <c r="BQ126" i="55" s="1"/>
  <c r="BQ149" i="55" s="1"/>
  <c r="E320" i="46"/>
  <c r="K105" i="45"/>
  <c r="AQ105" i="45" s="1"/>
  <c r="E106" i="45"/>
  <c r="E109" i="45" s="1"/>
  <c r="E76" i="45"/>
  <c r="F106" i="45"/>
  <c r="AL106" i="45" s="1"/>
  <c r="AL109" i="45" s="1"/>
  <c r="F76" i="45"/>
  <c r="F97" i="45"/>
  <c r="AL97" i="45" s="1"/>
  <c r="E90" i="45"/>
  <c r="E97" i="45"/>
  <c r="F90" i="45"/>
  <c r="F91" i="45" s="1"/>
  <c r="AO57" i="45"/>
  <c r="AN70" i="45"/>
  <c r="H70" i="45"/>
  <c r="AO67" i="45"/>
  <c r="I34" i="45"/>
  <c r="AL111" i="45"/>
  <c r="G40" i="46"/>
  <c r="L46" i="46" s="1"/>
  <c r="L263" i="46" s="1"/>
  <c r="L263" i="48" s="1"/>
  <c r="H58" i="45"/>
  <c r="H59" i="45"/>
  <c r="H60" i="45"/>
  <c r="H73" i="45" s="1"/>
  <c r="AK101" i="45"/>
  <c r="AK103" i="45"/>
  <c r="AK102" i="45"/>
  <c r="E101" i="45"/>
  <c r="E103" i="45"/>
  <c r="E102" i="45"/>
  <c r="AL93" i="45"/>
  <c r="AL94" i="45"/>
  <c r="F93" i="45"/>
  <c r="F94" i="45"/>
  <c r="F112" i="45"/>
  <c r="H104" i="45"/>
  <c r="AK110" i="45"/>
  <c r="E112" i="45"/>
  <c r="E111" i="45"/>
  <c r="AK112" i="45"/>
  <c r="AK111" i="45"/>
  <c r="E110" i="45"/>
  <c r="AP35" i="45"/>
  <c r="AK80" i="45"/>
  <c r="E79" i="45"/>
  <c r="AK81" i="45"/>
  <c r="AK79" i="45"/>
  <c r="E80" i="45"/>
  <c r="E81" i="45"/>
  <c r="AN59" i="45"/>
  <c r="AN58" i="45"/>
  <c r="AN60" i="45"/>
  <c r="C334" i="46"/>
  <c r="C346" i="46" s="1"/>
  <c r="C347" i="46" s="1"/>
  <c r="C348" i="46" s="1"/>
  <c r="C335" i="46"/>
  <c r="AL110" i="45"/>
  <c r="AP36" i="45"/>
  <c r="AL102" i="45"/>
  <c r="AL103" i="45"/>
  <c r="AL101" i="45"/>
  <c r="F101" i="45"/>
  <c r="F103" i="45"/>
  <c r="F102" i="45"/>
  <c r="G40" i="48"/>
  <c r="L46" i="48" s="1"/>
  <c r="AL112" i="45"/>
  <c r="G71" i="45"/>
  <c r="F111" i="45"/>
  <c r="AL79" i="45"/>
  <c r="F81" i="45"/>
  <c r="F79" i="45"/>
  <c r="F80" i="45"/>
  <c r="AL80" i="45"/>
  <c r="AL81" i="45"/>
  <c r="G73" i="45"/>
  <c r="AP30" i="45"/>
  <c r="E94" i="45"/>
  <c r="AK93" i="45"/>
  <c r="AK94" i="45"/>
  <c r="E93" i="45"/>
  <c r="F110" i="45"/>
  <c r="G72" i="45"/>
  <c r="C328" i="46"/>
  <c r="C329" i="46"/>
  <c r="F109" i="45"/>
  <c r="E84" i="48"/>
  <c r="E89" i="48" s="1"/>
  <c r="E87" i="48"/>
  <c r="E85" i="48"/>
  <c r="E90" i="48" s="1"/>
  <c r="E83" i="48"/>
  <c r="E88" i="48" s="1"/>
  <c r="E86" i="48"/>
  <c r="E91" i="48" s="1"/>
  <c r="D84" i="48"/>
  <c r="D89" i="48" s="1"/>
  <c r="D86" i="48"/>
  <c r="D91" i="48" s="1"/>
  <c r="D83" i="48"/>
  <c r="D88" i="48" s="1"/>
  <c r="D87" i="48"/>
  <c r="D85" i="48"/>
  <c r="D90" i="48" s="1"/>
  <c r="E325" i="46"/>
  <c r="E326" i="46"/>
  <c r="E324" i="46"/>
  <c r="E327" i="46"/>
  <c r="AQ31" i="45"/>
  <c r="AQ32" i="45"/>
  <c r="AQ29" i="45"/>
  <c r="AQ28" i="45"/>
  <c r="AQ54" i="45"/>
  <c r="AP56" i="45"/>
  <c r="AP55" i="45"/>
  <c r="E105" i="48"/>
  <c r="E110" i="48" s="1"/>
  <c r="E103" i="48"/>
  <c r="E108" i="48" s="1"/>
  <c r="E107" i="48"/>
  <c r="E104" i="48"/>
  <c r="E109" i="48" s="1"/>
  <c r="E106" i="48"/>
  <c r="E111" i="48" s="1"/>
  <c r="F47" i="46"/>
  <c r="F112" i="46"/>
  <c r="F102" i="46"/>
  <c r="F82" i="46"/>
  <c r="F72" i="46"/>
  <c r="C314" i="48"/>
  <c r="C318" i="48"/>
  <c r="C317" i="48"/>
  <c r="C316" i="48"/>
  <c r="C313" i="48"/>
  <c r="C315" i="48"/>
  <c r="F278" i="46"/>
  <c r="F18" i="52" s="1"/>
  <c r="E311" i="46"/>
  <c r="E344" i="46"/>
  <c r="E345" i="46" s="1"/>
  <c r="E321" i="46"/>
  <c r="E74" i="48"/>
  <c r="E79" i="48" s="1"/>
  <c r="E77" i="48"/>
  <c r="E73" i="48"/>
  <c r="E78" i="48" s="1"/>
  <c r="E76" i="48"/>
  <c r="E81" i="48" s="1"/>
  <c r="E75" i="48"/>
  <c r="E80" i="48" s="1"/>
  <c r="D76" i="48"/>
  <c r="D81" i="48" s="1"/>
  <c r="D74" i="48"/>
  <c r="D79" i="48" s="1"/>
  <c r="D75" i="48"/>
  <c r="D80" i="48" s="1"/>
  <c r="D77" i="48"/>
  <c r="D73" i="48"/>
  <c r="D78" i="48" s="1"/>
  <c r="E278" i="48"/>
  <c r="D311" i="48"/>
  <c r="D312" i="48" s="1"/>
  <c r="I68" i="45"/>
  <c r="AP33" i="45"/>
  <c r="D321" i="46"/>
  <c r="D344" i="46"/>
  <c r="D345" i="46" s="1"/>
  <c r="G47" i="48"/>
  <c r="H75" i="45"/>
  <c r="G36" i="46"/>
  <c r="G42" i="46" s="1"/>
  <c r="D104" i="48"/>
  <c r="D109" i="48" s="1"/>
  <c r="D106" i="48"/>
  <c r="D111" i="48" s="1"/>
  <c r="D105" i="48"/>
  <c r="D110" i="48" s="1"/>
  <c r="D103" i="48"/>
  <c r="D108" i="48" s="1"/>
  <c r="D107" i="48"/>
  <c r="K267" i="46"/>
  <c r="K272" i="46" s="1"/>
  <c r="K268" i="46"/>
  <c r="K263" i="48"/>
  <c r="K264" i="46"/>
  <c r="K269" i="46" s="1"/>
  <c r="K265" i="46"/>
  <c r="K270" i="46" s="1"/>
  <c r="K266" i="46"/>
  <c r="K271" i="46" s="1"/>
  <c r="D117" i="48"/>
  <c r="D115" i="48"/>
  <c r="D120" i="48" s="1"/>
  <c r="D114" i="48"/>
  <c r="D119" i="48" s="1"/>
  <c r="D113" i="48"/>
  <c r="D118" i="48" s="1"/>
  <c r="D116" i="48"/>
  <c r="D121" i="48" s="1"/>
  <c r="D277" i="48"/>
  <c r="AO34" i="45"/>
  <c r="H36" i="48" s="1"/>
  <c r="H42" i="48" s="1"/>
  <c r="E115" i="48"/>
  <c r="E120" i="48" s="1"/>
  <c r="E114" i="48"/>
  <c r="E119" i="48" s="1"/>
  <c r="E117" i="48"/>
  <c r="E116" i="48"/>
  <c r="E121" i="48" s="1"/>
  <c r="E113" i="48"/>
  <c r="E118" i="48" s="1"/>
  <c r="E277" i="48"/>
  <c r="J30" i="45"/>
  <c r="I67" i="45"/>
  <c r="J33" i="45"/>
  <c r="AN104" i="45"/>
  <c r="I57" i="45"/>
  <c r="J35" i="45"/>
  <c r="J36" i="45"/>
  <c r="J55" i="45"/>
  <c r="J56" i="45"/>
  <c r="L27" i="45"/>
  <c r="AR27" i="45" s="1"/>
  <c r="K28" i="45"/>
  <c r="K29" i="45"/>
  <c r="K31" i="45"/>
  <c r="K35" i="45" s="1"/>
  <c r="K32" i="45"/>
  <c r="K54" i="45"/>
  <c r="AM104" i="45"/>
  <c r="AJ133" i="55" l="1"/>
  <c r="CV110" i="55"/>
  <c r="AJ120" i="45"/>
  <c r="AJ122" i="45" s="1"/>
  <c r="C364" i="48"/>
  <c r="AO59" i="45"/>
  <c r="AO58" i="45"/>
  <c r="AO60" i="45"/>
  <c r="H40" i="48"/>
  <c r="M46" i="48" s="1"/>
  <c r="AO73" i="45"/>
  <c r="F320" i="48"/>
  <c r="AO70" i="45"/>
  <c r="D325" i="46"/>
  <c r="D324" i="46"/>
  <c r="D327" i="46"/>
  <c r="D326" i="46"/>
  <c r="D335" i="48"/>
  <c r="D334" i="48"/>
  <c r="D346" i="48" s="1"/>
  <c r="E100" i="45"/>
  <c r="D328" i="48"/>
  <c r="D329" i="48"/>
  <c r="AL76" i="45"/>
  <c r="F78" i="45"/>
  <c r="E325" i="48"/>
  <c r="E326" i="48"/>
  <c r="E327" i="48"/>
  <c r="AK90" i="45"/>
  <c r="AK91" i="45" s="1"/>
  <c r="F324" i="48"/>
  <c r="AK97" i="45"/>
  <c r="AK76" i="45"/>
  <c r="E78" i="45"/>
  <c r="E324" i="48"/>
  <c r="E91" i="45"/>
  <c r="E114" i="45" s="1"/>
  <c r="F326" i="48"/>
  <c r="F325" i="48"/>
  <c r="F327" i="48"/>
  <c r="D313" i="46"/>
  <c r="D314" i="46"/>
  <c r="BQ107" i="55" s="1"/>
  <c r="BQ130" i="55" s="1"/>
  <c r="BQ153" i="55" s="1"/>
  <c r="D315" i="46"/>
  <c r="BQ108" i="55" s="1"/>
  <c r="BQ131" i="55" s="1"/>
  <c r="BQ154" i="55" s="1"/>
  <c r="D318" i="46"/>
  <c r="BQ111" i="55" s="1"/>
  <c r="BQ134" i="55" s="1"/>
  <c r="BQ157" i="55" s="1"/>
  <c r="D316" i="46"/>
  <c r="BQ109" i="55" s="1"/>
  <c r="BQ132" i="55" s="1"/>
  <c r="BQ155" i="55" s="1"/>
  <c r="AK106" i="45"/>
  <c r="AK109" i="45" s="1"/>
  <c r="AJ156" i="55"/>
  <c r="CV156" i="55" s="1"/>
  <c r="CV133" i="55"/>
  <c r="F114" i="45"/>
  <c r="AJ104" i="55"/>
  <c r="AJ127" i="55" s="1"/>
  <c r="AJ150" i="55" s="1"/>
  <c r="CV104" i="55"/>
  <c r="CV127" i="55" s="1"/>
  <c r="CV150" i="55" s="1"/>
  <c r="AJ157" i="55"/>
  <c r="CV157" i="55" s="1"/>
  <c r="CV134" i="55"/>
  <c r="AJ154" i="55"/>
  <c r="CV154" i="55" s="1"/>
  <c r="CV131" i="55"/>
  <c r="AJ155" i="55"/>
  <c r="CV155" i="55" s="1"/>
  <c r="CV132" i="55"/>
  <c r="AK117" i="45"/>
  <c r="E117" i="45"/>
  <c r="F117" i="45"/>
  <c r="AL117" i="45"/>
  <c r="D322" i="46"/>
  <c r="E103" i="55"/>
  <c r="E126" i="55" s="1"/>
  <c r="E149" i="55" s="1"/>
  <c r="E322" i="46"/>
  <c r="E342" i="46" s="1"/>
  <c r="F111" i="55" s="1"/>
  <c r="F134" i="55" s="1"/>
  <c r="F157" i="55" s="1"/>
  <c r="F103" i="55"/>
  <c r="F126" i="55" s="1"/>
  <c r="F149" i="55" s="1"/>
  <c r="E312" i="46"/>
  <c r="E315" i="46" s="1"/>
  <c r="BR108" i="55" s="1"/>
  <c r="BR131" i="55" s="1"/>
  <c r="BR154" i="55" s="1"/>
  <c r="BR103" i="55"/>
  <c r="BR126" i="55" s="1"/>
  <c r="BR149" i="55" s="1"/>
  <c r="F319" i="46"/>
  <c r="F323" i="46" s="1"/>
  <c r="G319" i="48"/>
  <c r="AL90" i="45"/>
  <c r="AL91" i="45" s="1"/>
  <c r="F100" i="45"/>
  <c r="F113" i="45"/>
  <c r="C349" i="46"/>
  <c r="C350" i="46" s="1"/>
  <c r="E113" i="45"/>
  <c r="I75" i="45"/>
  <c r="L105" i="45"/>
  <c r="AR105" i="45" s="1"/>
  <c r="H36" i="46"/>
  <c r="H42" i="46" s="1"/>
  <c r="AP57" i="45"/>
  <c r="AP60" i="45" s="1"/>
  <c r="AP68" i="45"/>
  <c r="AL116" i="45"/>
  <c r="AQ33" i="45"/>
  <c r="L268" i="46"/>
  <c r="L267" i="46"/>
  <c r="L272" i="46" s="1"/>
  <c r="L264" i="46"/>
  <c r="L269" i="46" s="1"/>
  <c r="L265" i="46"/>
  <c r="L270" i="46" s="1"/>
  <c r="L266" i="46"/>
  <c r="L271" i="46" s="1"/>
  <c r="AK116" i="45"/>
  <c r="K36" i="45"/>
  <c r="F274" i="46"/>
  <c r="AP67" i="45"/>
  <c r="C331" i="46"/>
  <c r="C330" i="46"/>
  <c r="H72" i="45"/>
  <c r="J67" i="45"/>
  <c r="H40" i="46"/>
  <c r="M46" i="46" s="1"/>
  <c r="M263" i="46" s="1"/>
  <c r="M268" i="46" s="1"/>
  <c r="I58" i="45"/>
  <c r="I71" i="45" s="1"/>
  <c r="I60" i="45"/>
  <c r="I59" i="45"/>
  <c r="AN73" i="45"/>
  <c r="H71" i="45"/>
  <c r="K37" i="45"/>
  <c r="AK118" i="45"/>
  <c r="F116" i="45"/>
  <c r="AN71" i="45"/>
  <c r="AO75" i="45"/>
  <c r="C373" i="48"/>
  <c r="AJ119" i="45"/>
  <c r="G274" i="48"/>
  <c r="AL118" i="45"/>
  <c r="F118" i="45"/>
  <c r="C351" i="46"/>
  <c r="AN72" i="45"/>
  <c r="E118" i="45"/>
  <c r="E116" i="45"/>
  <c r="F278" i="48"/>
  <c r="E311" i="48"/>
  <c r="E312" i="48" s="1"/>
  <c r="AQ35" i="45"/>
  <c r="AP34" i="45"/>
  <c r="I36" i="48" s="1"/>
  <c r="I42" i="48" s="1"/>
  <c r="E328" i="46"/>
  <c r="E329" i="46"/>
  <c r="E344" i="48"/>
  <c r="E345" i="48" s="1"/>
  <c r="E321" i="48"/>
  <c r="CX103" i="55" s="1"/>
  <c r="CX126" i="55" s="1"/>
  <c r="CX149" i="55" s="1"/>
  <c r="D344" i="48"/>
  <c r="D345" i="48" s="1"/>
  <c r="D321" i="48"/>
  <c r="CW103" i="55" s="1"/>
  <c r="CW126" i="55" s="1"/>
  <c r="CW149" i="55" s="1"/>
  <c r="K267" i="48"/>
  <c r="K272" i="48" s="1"/>
  <c r="K264" i="48"/>
  <c r="K269" i="48" s="1"/>
  <c r="K266" i="48"/>
  <c r="K271" i="48" s="1"/>
  <c r="K268" i="48"/>
  <c r="K265" i="48"/>
  <c r="K270" i="48" s="1"/>
  <c r="L268" i="48"/>
  <c r="L265" i="48"/>
  <c r="L270" i="48" s="1"/>
  <c r="L266" i="48"/>
  <c r="L271" i="48" s="1"/>
  <c r="L267" i="48"/>
  <c r="L272" i="48" s="1"/>
  <c r="L264" i="48"/>
  <c r="L269" i="48" s="1"/>
  <c r="G47" i="46"/>
  <c r="G102" i="46"/>
  <c r="G82" i="46"/>
  <c r="G72" i="46"/>
  <c r="G112" i="46"/>
  <c r="F72" i="48"/>
  <c r="F75" i="46"/>
  <c r="F80" i="46" s="1"/>
  <c r="F76" i="46"/>
  <c r="F81" i="46" s="1"/>
  <c r="F74" i="46"/>
  <c r="F79" i="46" s="1"/>
  <c r="F73" i="46"/>
  <c r="F78" i="46" s="1"/>
  <c r="F77" i="46"/>
  <c r="AQ36" i="45"/>
  <c r="F102" i="48"/>
  <c r="F104" i="46"/>
  <c r="F109" i="46" s="1"/>
  <c r="F106" i="46"/>
  <c r="F111" i="46" s="1"/>
  <c r="F107" i="46"/>
  <c r="F105" i="46"/>
  <c r="F110" i="46" s="1"/>
  <c r="F103" i="46"/>
  <c r="F108" i="46" s="1"/>
  <c r="H47" i="48"/>
  <c r="F115" i="46"/>
  <c r="F120" i="46" s="1"/>
  <c r="F117" i="46"/>
  <c r="F116" i="46"/>
  <c r="F121" i="46" s="1"/>
  <c r="F114" i="46"/>
  <c r="F119" i="46" s="1"/>
  <c r="F113" i="46"/>
  <c r="F118" i="46" s="1"/>
  <c r="F112" i="48"/>
  <c r="F277" i="46"/>
  <c r="AQ56" i="45"/>
  <c r="AQ55" i="45"/>
  <c r="AR28" i="45"/>
  <c r="AR31" i="45"/>
  <c r="AR32" i="45"/>
  <c r="AR29" i="45"/>
  <c r="AR54" i="45"/>
  <c r="J68" i="45"/>
  <c r="I70" i="45"/>
  <c r="AL100" i="45"/>
  <c r="D316" i="48"/>
  <c r="D314" i="48"/>
  <c r="D313" i="48"/>
  <c r="D315" i="48"/>
  <c r="D317" i="48"/>
  <c r="D318" i="48"/>
  <c r="F311" i="46"/>
  <c r="G278" i="46"/>
  <c r="G18" i="52" s="1"/>
  <c r="F82" i="48"/>
  <c r="F85" i="46"/>
  <c r="F90" i="46" s="1"/>
  <c r="F84" i="46"/>
  <c r="F89" i="46" s="1"/>
  <c r="F86" i="46"/>
  <c r="F91" i="46" s="1"/>
  <c r="F87" i="46"/>
  <c r="F83" i="46"/>
  <c r="F88" i="46" s="1"/>
  <c r="AQ30" i="45"/>
  <c r="AQ37" i="45"/>
  <c r="E334" i="46"/>
  <c r="E346" i="46" s="1"/>
  <c r="E347" i="46" s="1"/>
  <c r="E335" i="46"/>
  <c r="J57" i="45"/>
  <c r="J34" i="45"/>
  <c r="AO104" i="45"/>
  <c r="K55" i="45"/>
  <c r="K56" i="45"/>
  <c r="K30" i="45"/>
  <c r="I104" i="45"/>
  <c r="L32" i="45"/>
  <c r="L28" i="45"/>
  <c r="M27" i="45"/>
  <c r="AS27" i="45" s="1"/>
  <c r="L31" i="45"/>
  <c r="L29" i="45"/>
  <c r="L54" i="45"/>
  <c r="AN75" i="45"/>
  <c r="K33" i="45"/>
  <c r="C368" i="48" l="1"/>
  <c r="AJ107" i="55"/>
  <c r="AO72" i="45"/>
  <c r="AO71" i="45"/>
  <c r="E316" i="46"/>
  <c r="BR109" i="55" s="1"/>
  <c r="BR132" i="55" s="1"/>
  <c r="BR155" i="55" s="1"/>
  <c r="E314" i="46"/>
  <c r="BR107" i="55" s="1"/>
  <c r="BR130" i="55" s="1"/>
  <c r="BR153" i="55" s="1"/>
  <c r="E313" i="46"/>
  <c r="E115" i="45"/>
  <c r="AK113" i="45"/>
  <c r="AL114" i="45"/>
  <c r="D334" i="46"/>
  <c r="D346" i="46" s="1"/>
  <c r="D347" i="46" s="1"/>
  <c r="D335" i="46"/>
  <c r="AL78" i="45"/>
  <c r="AK100" i="45"/>
  <c r="F335" i="48"/>
  <c r="E328" i="48"/>
  <c r="AK114" i="45"/>
  <c r="G323" i="48"/>
  <c r="G320" i="48"/>
  <c r="E335" i="48"/>
  <c r="E334" i="48"/>
  <c r="E346" i="48" s="1"/>
  <c r="D341" i="46"/>
  <c r="E110" i="55" s="1"/>
  <c r="E133" i="55" s="1"/>
  <c r="E156" i="55" s="1"/>
  <c r="D339" i="46"/>
  <c r="E108" i="55" s="1"/>
  <c r="E131" i="55" s="1"/>
  <c r="E154" i="55" s="1"/>
  <c r="D337" i="46"/>
  <c r="D340" i="46"/>
  <c r="E109" i="55" s="1"/>
  <c r="E132" i="55" s="1"/>
  <c r="E155" i="55" s="1"/>
  <c r="F329" i="48"/>
  <c r="D330" i="48"/>
  <c r="F334" i="48"/>
  <c r="F346" i="48" s="1"/>
  <c r="E329" i="48"/>
  <c r="AK78" i="45"/>
  <c r="D328" i="46"/>
  <c r="H47" i="46"/>
  <c r="H112" i="46"/>
  <c r="H82" i="46"/>
  <c r="H72" i="46"/>
  <c r="H102" i="46"/>
  <c r="D338" i="46"/>
  <c r="D342" i="46"/>
  <c r="E111" i="55" s="1"/>
  <c r="E134" i="55" s="1"/>
  <c r="E157" i="55" s="1"/>
  <c r="F328" i="48"/>
  <c r="D329" i="46"/>
  <c r="D331" i="48"/>
  <c r="E338" i="46"/>
  <c r="E341" i="46"/>
  <c r="F110" i="55" s="1"/>
  <c r="F133" i="55" s="1"/>
  <c r="F156" i="55" s="1"/>
  <c r="E337" i="46"/>
  <c r="E339" i="46"/>
  <c r="F108" i="55" s="1"/>
  <c r="F131" i="55" s="1"/>
  <c r="F154" i="55" s="1"/>
  <c r="E340" i="46"/>
  <c r="F109" i="55" s="1"/>
  <c r="F132" i="55" s="1"/>
  <c r="F155" i="55" s="1"/>
  <c r="F115" i="45"/>
  <c r="E317" i="46"/>
  <c r="BR110" i="55" s="1"/>
  <c r="BR133" i="55" s="1"/>
  <c r="BR156" i="55" s="1"/>
  <c r="F320" i="46"/>
  <c r="E318" i="46"/>
  <c r="BR111" i="55" s="1"/>
  <c r="BR134" i="55" s="1"/>
  <c r="BR157" i="55" s="1"/>
  <c r="AJ130" i="55"/>
  <c r="CV107" i="55"/>
  <c r="AQ68" i="45"/>
  <c r="D322" i="48"/>
  <c r="D342" i="48" s="1"/>
  <c r="AK111" i="55" s="1"/>
  <c r="AK103" i="55"/>
  <c r="AK126" i="55" s="1"/>
  <c r="AK149" i="55" s="1"/>
  <c r="C352" i="46"/>
  <c r="F312" i="46"/>
  <c r="F313" i="46" s="1"/>
  <c r="BS103" i="55"/>
  <c r="BS126" i="55" s="1"/>
  <c r="BS149" i="55" s="1"/>
  <c r="E322" i="48"/>
  <c r="AL103" i="55"/>
  <c r="AL126" i="55" s="1"/>
  <c r="AL149" i="55" s="1"/>
  <c r="AL113" i="45"/>
  <c r="AP70" i="45"/>
  <c r="H319" i="48"/>
  <c r="H323" i="48" s="1"/>
  <c r="G319" i="46"/>
  <c r="G323" i="46" s="1"/>
  <c r="I40" i="48"/>
  <c r="N46" i="48" s="1"/>
  <c r="AP59" i="45"/>
  <c r="AP58" i="45"/>
  <c r="AP71" i="45" s="1"/>
  <c r="G90" i="45"/>
  <c r="G106" i="45"/>
  <c r="AM106" i="45" s="1"/>
  <c r="AM109" i="45" s="1"/>
  <c r="G76" i="45"/>
  <c r="G78" i="45" s="1"/>
  <c r="N105" i="45"/>
  <c r="AT105" i="45" s="1"/>
  <c r="M105" i="45"/>
  <c r="AS105" i="45" s="1"/>
  <c r="G97" i="45"/>
  <c r="AM97" i="45" s="1"/>
  <c r="J70" i="45"/>
  <c r="AQ57" i="45"/>
  <c r="AQ60" i="45" s="1"/>
  <c r="AQ73" i="45" s="1"/>
  <c r="M263" i="48"/>
  <c r="M265" i="48" s="1"/>
  <c r="M270" i="48" s="1"/>
  <c r="M266" i="46"/>
  <c r="M271" i="46" s="1"/>
  <c r="G274" i="46"/>
  <c r="K68" i="45"/>
  <c r="M267" i="46"/>
  <c r="M272" i="46" s="1"/>
  <c r="M265" i="46"/>
  <c r="M270" i="46" s="1"/>
  <c r="K57" i="45"/>
  <c r="M264" i="46"/>
  <c r="M269" i="46" s="1"/>
  <c r="J59" i="45"/>
  <c r="J58" i="45"/>
  <c r="J60" i="45"/>
  <c r="AJ124" i="45"/>
  <c r="AJ123" i="45"/>
  <c r="C332" i="46"/>
  <c r="C336" i="46" s="1"/>
  <c r="C333" i="46"/>
  <c r="I73" i="45"/>
  <c r="C374" i="48"/>
  <c r="AJ125" i="45"/>
  <c r="AM102" i="45"/>
  <c r="AM101" i="45"/>
  <c r="AM103" i="45"/>
  <c r="G103" i="45"/>
  <c r="G101" i="45"/>
  <c r="G102" i="45"/>
  <c r="AM112" i="45"/>
  <c r="AM111" i="45"/>
  <c r="AM110" i="45"/>
  <c r="G112" i="45"/>
  <c r="G111" i="45"/>
  <c r="G110" i="45"/>
  <c r="AP72" i="45"/>
  <c r="L33" i="45"/>
  <c r="AM93" i="45"/>
  <c r="AM94" i="45"/>
  <c r="G94" i="45"/>
  <c r="G93" i="45"/>
  <c r="G79" i="45"/>
  <c r="G81" i="45"/>
  <c r="AM81" i="45"/>
  <c r="AM79" i="45"/>
  <c r="AM80" i="45"/>
  <c r="G80" i="45"/>
  <c r="AP73" i="45"/>
  <c r="C356" i="46"/>
  <c r="I72" i="45"/>
  <c r="G311" i="46"/>
  <c r="H278" i="46"/>
  <c r="H18" i="52" s="1"/>
  <c r="AR37" i="45"/>
  <c r="AR33" i="45"/>
  <c r="H104" i="46"/>
  <c r="H109" i="46" s="1"/>
  <c r="H102" i="48"/>
  <c r="H103" i="46"/>
  <c r="H108" i="46" s="1"/>
  <c r="H105" i="46"/>
  <c r="H110" i="46" s="1"/>
  <c r="H107" i="46"/>
  <c r="H106" i="46"/>
  <c r="H111" i="46" s="1"/>
  <c r="AM76" i="45"/>
  <c r="G106" i="46"/>
  <c r="G111" i="46" s="1"/>
  <c r="G107" i="46"/>
  <c r="G102" i="48"/>
  <c r="G105" i="46"/>
  <c r="G110" i="46" s="1"/>
  <c r="G104" i="46"/>
  <c r="G109" i="46" s="1"/>
  <c r="G103" i="46"/>
  <c r="G108" i="46" s="1"/>
  <c r="D347" i="48"/>
  <c r="D348" i="48"/>
  <c r="D349" i="48" s="1"/>
  <c r="D350" i="48" s="1"/>
  <c r="E331" i="46"/>
  <c r="E330" i="46"/>
  <c r="AR36" i="45"/>
  <c r="F113" i="48"/>
  <c r="F118" i="48" s="1"/>
  <c r="F117" i="48"/>
  <c r="F115" i="48"/>
  <c r="F120" i="48" s="1"/>
  <c r="F114" i="48"/>
  <c r="F119" i="48" s="1"/>
  <c r="F116" i="48"/>
  <c r="F121" i="48" s="1"/>
  <c r="F277" i="48"/>
  <c r="E348" i="46"/>
  <c r="E351" i="46" s="1"/>
  <c r="H72" i="48"/>
  <c r="H75" i="46"/>
  <c r="H80" i="46" s="1"/>
  <c r="H73" i="46"/>
  <c r="H78" i="46" s="1"/>
  <c r="H76" i="46"/>
  <c r="H81" i="46" s="1"/>
  <c r="H77" i="46"/>
  <c r="H74" i="46"/>
  <c r="H79" i="46" s="1"/>
  <c r="G114" i="46"/>
  <c r="G119" i="46" s="1"/>
  <c r="G113" i="46"/>
  <c r="G118" i="46" s="1"/>
  <c r="G117" i="46"/>
  <c r="G115" i="46"/>
  <c r="G120" i="46" s="1"/>
  <c r="G112" i="48"/>
  <c r="G116" i="46"/>
  <c r="G121" i="46" s="1"/>
  <c r="G277" i="46"/>
  <c r="L36" i="45"/>
  <c r="AR30" i="45"/>
  <c r="H274" i="48"/>
  <c r="F105" i="48"/>
  <c r="F110" i="48" s="1"/>
  <c r="F104" i="48"/>
  <c r="F109" i="48" s="1"/>
  <c r="F106" i="48"/>
  <c r="F111" i="48" s="1"/>
  <c r="F107" i="48"/>
  <c r="F103" i="48"/>
  <c r="F108" i="48" s="1"/>
  <c r="H86" i="46"/>
  <c r="H91" i="46" s="1"/>
  <c r="H85" i="46"/>
  <c r="H90" i="46" s="1"/>
  <c r="H82" i="48"/>
  <c r="H84" i="46"/>
  <c r="H89" i="46" s="1"/>
  <c r="H87" i="46"/>
  <c r="H83" i="46"/>
  <c r="H88" i="46" s="1"/>
  <c r="G72" i="48"/>
  <c r="G74" i="46"/>
  <c r="G79" i="46" s="1"/>
  <c r="G77" i="46"/>
  <c r="G76" i="46"/>
  <c r="G81" i="46" s="1"/>
  <c r="G75" i="46"/>
  <c r="G80" i="46" s="1"/>
  <c r="G73" i="46"/>
  <c r="G78" i="46" s="1"/>
  <c r="I47" i="48"/>
  <c r="E313" i="48"/>
  <c r="E315" i="48"/>
  <c r="E314" i="48"/>
  <c r="E317" i="48"/>
  <c r="E318" i="48"/>
  <c r="E316" i="48"/>
  <c r="AS32" i="45"/>
  <c r="AS29" i="45"/>
  <c r="AS28" i="45"/>
  <c r="AS31" i="45"/>
  <c r="AS37" i="45" s="1"/>
  <c r="AS54" i="45"/>
  <c r="F321" i="46"/>
  <c r="F344" i="46"/>
  <c r="F345" i="46" s="1"/>
  <c r="J75" i="45"/>
  <c r="I36" i="46"/>
  <c r="I42" i="46" s="1"/>
  <c r="AR35" i="45"/>
  <c r="F77" i="48"/>
  <c r="F75" i="48"/>
  <c r="F80" i="48" s="1"/>
  <c r="F73" i="48"/>
  <c r="F78" i="48" s="1"/>
  <c r="F74" i="48"/>
  <c r="F79" i="48" s="1"/>
  <c r="F76" i="48"/>
  <c r="F81" i="48" s="1"/>
  <c r="J104" i="45"/>
  <c r="I40" i="46"/>
  <c r="N46" i="46" s="1"/>
  <c r="N263" i="46" s="1"/>
  <c r="AQ34" i="45"/>
  <c r="J36" i="48" s="1"/>
  <c r="J42" i="48" s="1"/>
  <c r="AQ67" i="45"/>
  <c r="AM90" i="45"/>
  <c r="AM91" i="45" s="1"/>
  <c r="G91" i="45"/>
  <c r="F83" i="48"/>
  <c r="F88" i="48" s="1"/>
  <c r="F87" i="48"/>
  <c r="F85" i="48"/>
  <c r="F90" i="48" s="1"/>
  <c r="F84" i="48"/>
  <c r="F89" i="48" s="1"/>
  <c r="F86" i="48"/>
  <c r="F91" i="48" s="1"/>
  <c r="AR55" i="45"/>
  <c r="AR56" i="45"/>
  <c r="H116" i="46"/>
  <c r="H121" i="46" s="1"/>
  <c r="H117" i="46"/>
  <c r="H115" i="46"/>
  <c r="H120" i="46" s="1"/>
  <c r="H112" i="48"/>
  <c r="H114" i="46"/>
  <c r="H119" i="46" s="1"/>
  <c r="H113" i="46"/>
  <c r="H118" i="46" s="1"/>
  <c r="H277" i="46"/>
  <c r="F327" i="46"/>
  <c r="F324" i="46"/>
  <c r="F326" i="46"/>
  <c r="F325" i="46"/>
  <c r="G82" i="48"/>
  <c r="G83" i="46"/>
  <c r="G88" i="46" s="1"/>
  <c r="G85" i="46"/>
  <c r="G90" i="46" s="1"/>
  <c r="G84" i="46"/>
  <c r="G89" i="46" s="1"/>
  <c r="G86" i="46"/>
  <c r="G91" i="46" s="1"/>
  <c r="G87" i="46"/>
  <c r="F311" i="48"/>
  <c r="F312" i="48" s="1"/>
  <c r="G278" i="48"/>
  <c r="L30" i="45"/>
  <c r="AP104" i="45"/>
  <c r="L37" i="45"/>
  <c r="K67" i="45"/>
  <c r="K34" i="45"/>
  <c r="AP75" i="45"/>
  <c r="L55" i="45"/>
  <c r="L56" i="45"/>
  <c r="L35" i="45"/>
  <c r="N27" i="45"/>
  <c r="AT27" i="45" s="1"/>
  <c r="M29" i="45"/>
  <c r="M31" i="45"/>
  <c r="M32" i="45"/>
  <c r="M28" i="45"/>
  <c r="M54" i="45"/>
  <c r="J40" i="48" l="1"/>
  <c r="O46" i="48" s="1"/>
  <c r="M266" i="48"/>
  <c r="M271" i="48" s="1"/>
  <c r="H319" i="46"/>
  <c r="D352" i="48"/>
  <c r="D331" i="46"/>
  <c r="D330" i="46"/>
  <c r="F316" i="46"/>
  <c r="BS109" i="55" s="1"/>
  <c r="BS132" i="55" s="1"/>
  <c r="BS155" i="55" s="1"/>
  <c r="F330" i="48"/>
  <c r="F331" i="48"/>
  <c r="H274" i="46"/>
  <c r="D339" i="48"/>
  <c r="AK108" i="55" s="1"/>
  <c r="AL115" i="45"/>
  <c r="H320" i="46"/>
  <c r="E342" i="48"/>
  <c r="AL111" i="55" s="1"/>
  <c r="E341" i="48"/>
  <c r="AL110" i="55" s="1"/>
  <c r="E337" i="48"/>
  <c r="E338" i="48"/>
  <c r="E339" i="48"/>
  <c r="AL108" i="55" s="1"/>
  <c r="E340" i="48"/>
  <c r="AL109" i="55" s="1"/>
  <c r="H323" i="46"/>
  <c r="AQ70" i="45"/>
  <c r="G325" i="48"/>
  <c r="G326" i="48"/>
  <c r="G327" i="48"/>
  <c r="G324" i="48"/>
  <c r="D348" i="46"/>
  <c r="D351" i="46" s="1"/>
  <c r="D333" i="48"/>
  <c r="E347" i="48"/>
  <c r="E348" i="48"/>
  <c r="E349" i="48" s="1"/>
  <c r="E350" i="48" s="1"/>
  <c r="AK115" i="45"/>
  <c r="E331" i="48"/>
  <c r="E330" i="48"/>
  <c r="D332" i="48"/>
  <c r="D336" i="48" s="1"/>
  <c r="F317" i="46"/>
  <c r="BS110" i="55" s="1"/>
  <c r="BS133" i="55" s="1"/>
  <c r="BS156" i="55" s="1"/>
  <c r="F318" i="46"/>
  <c r="BS111" i="55" s="1"/>
  <c r="BS134" i="55" s="1"/>
  <c r="BS157" i="55" s="1"/>
  <c r="F315" i="46"/>
  <c r="BS108" i="55" s="1"/>
  <c r="BS131" i="55" s="1"/>
  <c r="BS154" i="55" s="1"/>
  <c r="F314" i="46"/>
  <c r="BS107" i="55" s="1"/>
  <c r="BS130" i="55" s="1"/>
  <c r="BS153" i="55" s="1"/>
  <c r="D341" i="48"/>
  <c r="AK110" i="55" s="1"/>
  <c r="D340" i="48"/>
  <c r="AK109" i="55" s="1"/>
  <c r="CW109" i="55" s="1"/>
  <c r="D338" i="48"/>
  <c r="D337" i="48"/>
  <c r="H320" i="48"/>
  <c r="AK134" i="55"/>
  <c r="CW111" i="55"/>
  <c r="AJ153" i="55"/>
  <c r="CV153" i="55" s="1"/>
  <c r="CV130" i="55"/>
  <c r="G117" i="45"/>
  <c r="AM117" i="45"/>
  <c r="G312" i="46"/>
  <c r="BT103" i="55"/>
  <c r="BT126" i="55" s="1"/>
  <c r="BT149" i="55" s="1"/>
  <c r="F322" i="46"/>
  <c r="G103" i="55"/>
  <c r="G126" i="55" s="1"/>
  <c r="G149" i="55" s="1"/>
  <c r="AQ58" i="45"/>
  <c r="AQ71" i="45" s="1"/>
  <c r="I319" i="48"/>
  <c r="G320" i="46"/>
  <c r="G113" i="45"/>
  <c r="G109" i="45"/>
  <c r="G100" i="45"/>
  <c r="G114" i="45"/>
  <c r="J40" i="46"/>
  <c r="O46" i="46" s="1"/>
  <c r="O263" i="46" s="1"/>
  <c r="O265" i="46" s="1"/>
  <c r="O270" i="46" s="1"/>
  <c r="H90" i="45"/>
  <c r="AN90" i="45" s="1"/>
  <c r="AN91" i="45" s="1"/>
  <c r="H106" i="45"/>
  <c r="AN106" i="45" s="1"/>
  <c r="AN109" i="45" s="1"/>
  <c r="AJ126" i="45"/>
  <c r="I106" i="45"/>
  <c r="AO106" i="45" s="1"/>
  <c r="AO109" i="45" s="1"/>
  <c r="I97" i="45"/>
  <c r="H76" i="45"/>
  <c r="AN76" i="45" s="1"/>
  <c r="I90" i="45"/>
  <c r="AO90" i="45" s="1"/>
  <c r="AO91" i="45" s="1"/>
  <c r="H97" i="45"/>
  <c r="AN97" i="45" s="1"/>
  <c r="I76" i="45"/>
  <c r="AO76" i="45" s="1"/>
  <c r="M268" i="48"/>
  <c r="AQ59" i="45"/>
  <c r="AQ72" i="45" s="1"/>
  <c r="M264" i="48"/>
  <c r="M269" i="48" s="1"/>
  <c r="M267" i="48"/>
  <c r="M272" i="48" s="1"/>
  <c r="K70" i="45"/>
  <c r="K59" i="45"/>
  <c r="K72" i="45" s="1"/>
  <c r="G116" i="45"/>
  <c r="K60" i="45"/>
  <c r="K73" i="45" s="1"/>
  <c r="AS30" i="45"/>
  <c r="AS36" i="45"/>
  <c r="K58" i="45"/>
  <c r="K71" i="45" s="1"/>
  <c r="AM113" i="45"/>
  <c r="K104" i="45"/>
  <c r="AR57" i="45"/>
  <c r="AR58" i="45" s="1"/>
  <c r="AR71" i="45" s="1"/>
  <c r="D351" i="48"/>
  <c r="D356" i="48" s="1"/>
  <c r="D357" i="48" s="1"/>
  <c r="D366" i="48" s="1"/>
  <c r="AO102" i="45"/>
  <c r="I103" i="45"/>
  <c r="AO101" i="45"/>
  <c r="I102" i="45"/>
  <c r="I101" i="45"/>
  <c r="AO103" i="45"/>
  <c r="I79" i="45"/>
  <c r="I80" i="45"/>
  <c r="AO80" i="45"/>
  <c r="AO79" i="45"/>
  <c r="I81" i="45"/>
  <c r="AO81" i="45"/>
  <c r="AO110" i="45"/>
  <c r="AO111" i="45"/>
  <c r="AO112" i="45"/>
  <c r="I112" i="45"/>
  <c r="L68" i="45"/>
  <c r="H94" i="45"/>
  <c r="H93" i="45"/>
  <c r="AN93" i="45"/>
  <c r="AN94" i="45"/>
  <c r="H80" i="45"/>
  <c r="H79" i="45"/>
  <c r="AN80" i="45"/>
  <c r="H81" i="45"/>
  <c r="AN79" i="45"/>
  <c r="AN81" i="45"/>
  <c r="AN110" i="45"/>
  <c r="AN111" i="45"/>
  <c r="H112" i="45"/>
  <c r="AN112" i="45"/>
  <c r="H110" i="45"/>
  <c r="H111" i="45"/>
  <c r="I111" i="45"/>
  <c r="AM116" i="45"/>
  <c r="J71" i="45"/>
  <c r="E349" i="46"/>
  <c r="E350" i="46" s="1"/>
  <c r="E352" i="46" s="1"/>
  <c r="AM118" i="45"/>
  <c r="I110" i="45"/>
  <c r="J72" i="45"/>
  <c r="L34" i="45"/>
  <c r="K36" i="46" s="1"/>
  <c r="K42" i="46" s="1"/>
  <c r="I274" i="48"/>
  <c r="I94" i="45"/>
  <c r="AO93" i="45"/>
  <c r="I93" i="45"/>
  <c r="AO94" i="45"/>
  <c r="H103" i="45"/>
  <c r="AN102" i="45"/>
  <c r="H102" i="45"/>
  <c r="H101" i="45"/>
  <c r="AN103" i="45"/>
  <c r="AN101" i="45"/>
  <c r="C357" i="46"/>
  <c r="C364" i="46" s="1"/>
  <c r="G118" i="45"/>
  <c r="J73" i="45"/>
  <c r="H85" i="48"/>
  <c r="H90" i="48" s="1"/>
  <c r="H83" i="48"/>
  <c r="H88" i="48" s="1"/>
  <c r="H84" i="48"/>
  <c r="H89" i="48" s="1"/>
  <c r="H87" i="48"/>
  <c r="H86" i="48"/>
  <c r="H91" i="48" s="1"/>
  <c r="H103" i="48"/>
  <c r="H108" i="48" s="1"/>
  <c r="H105" i="48"/>
  <c r="H110" i="48" s="1"/>
  <c r="H107" i="48"/>
  <c r="H106" i="48"/>
  <c r="H111" i="48" s="1"/>
  <c r="H104" i="48"/>
  <c r="H109" i="48" s="1"/>
  <c r="K75" i="45"/>
  <c r="J36" i="46"/>
  <c r="J42" i="46" s="1"/>
  <c r="H344" i="46"/>
  <c r="H345" i="46" s="1"/>
  <c r="H321" i="46"/>
  <c r="AM100" i="45"/>
  <c r="AS55" i="45"/>
  <c r="AS56" i="45"/>
  <c r="G114" i="48"/>
  <c r="G119" i="48" s="1"/>
  <c r="G116" i="48"/>
  <c r="G121" i="48" s="1"/>
  <c r="G115" i="48"/>
  <c r="G120" i="48" s="1"/>
  <c r="G113" i="48"/>
  <c r="G118" i="48" s="1"/>
  <c r="G117" i="48"/>
  <c r="G277" i="48"/>
  <c r="AT32" i="45"/>
  <c r="AT29" i="45"/>
  <c r="AT31" i="45"/>
  <c r="AT37" i="45" s="1"/>
  <c r="AT28" i="45"/>
  <c r="AT54" i="45"/>
  <c r="L67" i="45"/>
  <c r="G311" i="48"/>
  <c r="G312" i="48" s="1"/>
  <c r="H278" i="48"/>
  <c r="F328" i="46"/>
  <c r="F329" i="46"/>
  <c r="AO97" i="45"/>
  <c r="I100" i="45"/>
  <c r="H325" i="48"/>
  <c r="H326" i="48"/>
  <c r="H324" i="48"/>
  <c r="H327" i="48"/>
  <c r="N267" i="46"/>
  <c r="N272" i="46" s="1"/>
  <c r="N263" i="48"/>
  <c r="N265" i="46"/>
  <c r="N270" i="46" s="1"/>
  <c r="N266" i="46"/>
  <c r="N271" i="46" s="1"/>
  <c r="N268" i="46"/>
  <c r="N264" i="46"/>
  <c r="N269" i="46" s="1"/>
  <c r="AJ121" i="45"/>
  <c r="AJ128" i="45" s="1"/>
  <c r="E356" i="46"/>
  <c r="E333" i="46"/>
  <c r="E332" i="46"/>
  <c r="E336" i="46" s="1"/>
  <c r="G107" i="48"/>
  <c r="G104" i="48"/>
  <c r="G109" i="48" s="1"/>
  <c r="G103" i="48"/>
  <c r="G108" i="48" s="1"/>
  <c r="G106" i="48"/>
  <c r="G111" i="48" s="1"/>
  <c r="G105" i="48"/>
  <c r="G110" i="48" s="1"/>
  <c r="AR68" i="45"/>
  <c r="I278" i="46"/>
  <c r="I18" i="52" s="1"/>
  <c r="H311" i="46"/>
  <c r="G87" i="48"/>
  <c r="G84" i="48"/>
  <c r="G89" i="48" s="1"/>
  <c r="G83" i="48"/>
  <c r="G88" i="48" s="1"/>
  <c r="G85" i="48"/>
  <c r="G90" i="48" s="1"/>
  <c r="G86" i="48"/>
  <c r="G91" i="48" s="1"/>
  <c r="F335" i="46"/>
  <c r="F334" i="46"/>
  <c r="F346" i="46" s="1"/>
  <c r="F347" i="46" s="1"/>
  <c r="H115" i="48"/>
  <c r="H120" i="48" s="1"/>
  <c r="H114" i="48"/>
  <c r="H119" i="48" s="1"/>
  <c r="H117" i="48"/>
  <c r="H113" i="48"/>
  <c r="H118" i="48" s="1"/>
  <c r="H116" i="48"/>
  <c r="H121" i="48" s="1"/>
  <c r="H277" i="48"/>
  <c r="G324" i="46"/>
  <c r="G327" i="46"/>
  <c r="G325" i="46"/>
  <c r="G326" i="46"/>
  <c r="I47" i="46"/>
  <c r="I72" i="46"/>
  <c r="I112" i="46"/>
  <c r="I82" i="46"/>
  <c r="I102" i="46"/>
  <c r="G77" i="48"/>
  <c r="G75" i="48"/>
  <c r="G80" i="48" s="1"/>
  <c r="G73" i="48"/>
  <c r="G78" i="48" s="1"/>
  <c r="G76" i="48"/>
  <c r="G81" i="48" s="1"/>
  <c r="G74" i="48"/>
  <c r="G79" i="48" s="1"/>
  <c r="AR67" i="45"/>
  <c r="AR34" i="45"/>
  <c r="K36" i="48" s="1"/>
  <c r="K42" i="48" s="1"/>
  <c r="J47" i="48"/>
  <c r="F313" i="48"/>
  <c r="F316" i="48"/>
  <c r="F315" i="48"/>
  <c r="F317" i="48"/>
  <c r="F318" i="48"/>
  <c r="F314" i="48"/>
  <c r="AS35" i="45"/>
  <c r="AS33" i="45"/>
  <c r="G321" i="46"/>
  <c r="G344" i="46"/>
  <c r="G345" i="46" s="1"/>
  <c r="H73" i="48"/>
  <c r="H78" i="48" s="1"/>
  <c r="H74" i="48"/>
  <c r="H79" i="48" s="1"/>
  <c r="H75" i="48"/>
  <c r="H80" i="48" s="1"/>
  <c r="H76" i="48"/>
  <c r="H81" i="48" s="1"/>
  <c r="H77" i="48"/>
  <c r="F344" i="48"/>
  <c r="F345" i="48" s="1"/>
  <c r="F321" i="48"/>
  <c r="CY103" i="55" s="1"/>
  <c r="CY126" i="55" s="1"/>
  <c r="CY149" i="55" s="1"/>
  <c r="AM114" i="45"/>
  <c r="AM78" i="45"/>
  <c r="M33" i="45"/>
  <c r="M35" i="45"/>
  <c r="M30" i="45"/>
  <c r="M55" i="45"/>
  <c r="M56" i="45"/>
  <c r="AQ104" i="45"/>
  <c r="M36" i="45"/>
  <c r="O27" i="45"/>
  <c r="AU27" i="45" s="1"/>
  <c r="N28" i="45"/>
  <c r="N29" i="45"/>
  <c r="N31" i="45"/>
  <c r="N35" i="45" s="1"/>
  <c r="N32" i="45"/>
  <c r="N54" i="45"/>
  <c r="L57" i="45"/>
  <c r="M37" i="45"/>
  <c r="AL131" i="55" l="1"/>
  <c r="CX108" i="55"/>
  <c r="AL133" i="55"/>
  <c r="CX110" i="55"/>
  <c r="AL134" i="55"/>
  <c r="CX111" i="55"/>
  <c r="AK131" i="55"/>
  <c r="CW108" i="55"/>
  <c r="AK133" i="55"/>
  <c r="CW110" i="55"/>
  <c r="AL132" i="55"/>
  <c r="CX109" i="55"/>
  <c r="F342" i="46"/>
  <c r="G111" i="55" s="1"/>
  <c r="G134" i="55" s="1"/>
  <c r="G157" i="55" s="1"/>
  <c r="F340" i="46"/>
  <c r="G109" i="55" s="1"/>
  <c r="G132" i="55" s="1"/>
  <c r="G155" i="55" s="1"/>
  <c r="F337" i="46"/>
  <c r="H325" i="46"/>
  <c r="H326" i="46"/>
  <c r="D333" i="46"/>
  <c r="D332" i="46"/>
  <c r="D336" i="46" s="1"/>
  <c r="F332" i="48"/>
  <c r="F336" i="48" s="1"/>
  <c r="F333" i="48"/>
  <c r="H324" i="46"/>
  <c r="H327" i="46"/>
  <c r="F341" i="46"/>
  <c r="G110" i="55" s="1"/>
  <c r="G133" i="55" s="1"/>
  <c r="G156" i="55" s="1"/>
  <c r="F338" i="46"/>
  <c r="F339" i="46"/>
  <c r="G108" i="55" s="1"/>
  <c r="G131" i="55" s="1"/>
  <c r="G154" i="55" s="1"/>
  <c r="E352" i="48"/>
  <c r="G313" i="46"/>
  <c r="D349" i="46"/>
  <c r="D350" i="46" s="1"/>
  <c r="D352" i="46" s="1"/>
  <c r="G328" i="48"/>
  <c r="G329" i="48"/>
  <c r="G315" i="46"/>
  <c r="BT108" i="55" s="1"/>
  <c r="BT131" i="55" s="1"/>
  <c r="BT154" i="55" s="1"/>
  <c r="G316" i="46"/>
  <c r="BT109" i="55" s="1"/>
  <c r="BT132" i="55" s="1"/>
  <c r="BT155" i="55" s="1"/>
  <c r="G314" i="46"/>
  <c r="BT107" i="55" s="1"/>
  <c r="BT130" i="55" s="1"/>
  <c r="BT153" i="55" s="1"/>
  <c r="G318" i="46"/>
  <c r="BT111" i="55" s="1"/>
  <c r="BT134" i="55" s="1"/>
  <c r="BT157" i="55" s="1"/>
  <c r="G317" i="46"/>
  <c r="BT110" i="55" s="1"/>
  <c r="BT133" i="55" s="1"/>
  <c r="BT156" i="55" s="1"/>
  <c r="E351" i="48"/>
  <c r="E356" i="48" s="1"/>
  <c r="I320" i="48"/>
  <c r="I323" i="48"/>
  <c r="G334" i="48"/>
  <c r="G346" i="48" s="1"/>
  <c r="G335" i="48"/>
  <c r="D356" i="46"/>
  <c r="E332" i="48"/>
  <c r="E336" i="48" s="1"/>
  <c r="E333" i="48"/>
  <c r="H100" i="45"/>
  <c r="G115" i="45"/>
  <c r="AK132" i="55"/>
  <c r="I109" i="45"/>
  <c r="O266" i="46"/>
  <c r="O271" i="46" s="1"/>
  <c r="H91" i="45"/>
  <c r="O268" i="46"/>
  <c r="AS67" i="45"/>
  <c r="AK157" i="55"/>
  <c r="CW157" i="55" s="1"/>
  <c r="CW134" i="55"/>
  <c r="O264" i="46"/>
  <c r="O269" i="46" s="1"/>
  <c r="O263" i="48"/>
  <c r="AJ131" i="45"/>
  <c r="AJ53" i="58" s="1"/>
  <c r="AJ129" i="45"/>
  <c r="AJ43" i="58" s="1"/>
  <c r="AJ130" i="45"/>
  <c r="AJ48" i="58" s="1"/>
  <c r="I117" i="45"/>
  <c r="H117" i="45"/>
  <c r="AO117" i="45"/>
  <c r="AN117" i="45"/>
  <c r="H322" i="46"/>
  <c r="I103" i="55"/>
  <c r="I126" i="55" s="1"/>
  <c r="I149" i="55" s="1"/>
  <c r="F322" i="48"/>
  <c r="F341" i="48" s="1"/>
  <c r="AM110" i="55" s="1"/>
  <c r="AM103" i="55"/>
  <c r="AM126" i="55" s="1"/>
  <c r="AM149" i="55" s="1"/>
  <c r="G322" i="46"/>
  <c r="H103" i="55"/>
  <c r="H126" i="55" s="1"/>
  <c r="H149" i="55" s="1"/>
  <c r="H312" i="46"/>
  <c r="H315" i="46" s="1"/>
  <c r="BU108" i="55" s="1"/>
  <c r="BU131" i="55" s="1"/>
  <c r="BU154" i="55" s="1"/>
  <c r="BU103" i="55"/>
  <c r="BU126" i="55" s="1"/>
  <c r="BU149" i="55" s="1"/>
  <c r="I319" i="46"/>
  <c r="I323" i="46" s="1"/>
  <c r="J319" i="48"/>
  <c r="J320" i="48" s="1"/>
  <c r="O267" i="46"/>
  <c r="O272" i="46" s="1"/>
  <c r="H109" i="45"/>
  <c r="H113" i="45"/>
  <c r="H78" i="45"/>
  <c r="M68" i="45"/>
  <c r="L75" i="45"/>
  <c r="I91" i="45"/>
  <c r="I114" i="45" s="1"/>
  <c r="I113" i="45"/>
  <c r="I78" i="45"/>
  <c r="AK120" i="45"/>
  <c r="AK122" i="45" s="1"/>
  <c r="O105" i="45"/>
  <c r="AU105" i="45" s="1"/>
  <c r="AT30" i="45"/>
  <c r="AR60" i="45"/>
  <c r="AR73" i="45" s="1"/>
  <c r="AR70" i="45"/>
  <c r="AS57" i="45"/>
  <c r="AS60" i="45" s="1"/>
  <c r="AO113" i="45"/>
  <c r="AN116" i="45"/>
  <c r="I116" i="45"/>
  <c r="AN113" i="45"/>
  <c r="AO116" i="45"/>
  <c r="AR59" i="45"/>
  <c r="AR72" i="45" s="1"/>
  <c r="K40" i="48"/>
  <c r="P46" i="48" s="1"/>
  <c r="J274" i="48"/>
  <c r="K40" i="46"/>
  <c r="P46" i="46" s="1"/>
  <c r="P263" i="46" s="1"/>
  <c r="P265" i="46" s="1"/>
  <c r="P270" i="46" s="1"/>
  <c r="L59" i="45"/>
  <c r="L58" i="45"/>
  <c r="L60" i="45"/>
  <c r="L73" i="45" s="1"/>
  <c r="I118" i="45"/>
  <c r="L70" i="45"/>
  <c r="AT33" i="45"/>
  <c r="AO118" i="45"/>
  <c r="AT36" i="45"/>
  <c r="D119" i="45"/>
  <c r="C366" i="46"/>
  <c r="D104" i="55" s="1"/>
  <c r="D127" i="55" s="1"/>
  <c r="D150" i="55" s="1"/>
  <c r="M34" i="45"/>
  <c r="I274" i="46"/>
  <c r="AN118" i="45"/>
  <c r="H116" i="45"/>
  <c r="H118" i="45"/>
  <c r="K47" i="48"/>
  <c r="J278" i="46"/>
  <c r="J18" i="52" s="1"/>
  <c r="I311" i="46"/>
  <c r="H311" i="48"/>
  <c r="H312" i="48" s="1"/>
  <c r="I278" i="48"/>
  <c r="J47" i="46"/>
  <c r="J112" i="46"/>
  <c r="J102" i="46"/>
  <c r="J82" i="46"/>
  <c r="J72" i="46"/>
  <c r="F347" i="48"/>
  <c r="F348" i="48"/>
  <c r="F349" i="48" s="1"/>
  <c r="F350" i="48" s="1"/>
  <c r="F352" i="48" s="1"/>
  <c r="AS34" i="45"/>
  <c r="L36" i="48" s="1"/>
  <c r="L42" i="48" s="1"/>
  <c r="AS68" i="45"/>
  <c r="G328" i="46"/>
  <c r="G329" i="46"/>
  <c r="N265" i="48"/>
  <c r="N270" i="48" s="1"/>
  <c r="N268" i="48"/>
  <c r="N267" i="48"/>
  <c r="N272" i="48" s="1"/>
  <c r="N266" i="48"/>
  <c r="N271" i="48" s="1"/>
  <c r="N264" i="48"/>
  <c r="N269" i="48" s="1"/>
  <c r="H328" i="48"/>
  <c r="H329" i="48"/>
  <c r="AO100" i="45"/>
  <c r="G316" i="48"/>
  <c r="G317" i="48"/>
  <c r="G313" i="48"/>
  <c r="G318" i="48"/>
  <c r="G315" i="48"/>
  <c r="G314" i="48"/>
  <c r="D364" i="48"/>
  <c r="CW104" i="55" s="1"/>
  <c r="CW127" i="55" s="1"/>
  <c r="CW150" i="55" s="1"/>
  <c r="M67" i="45"/>
  <c r="I102" i="48"/>
  <c r="I106" i="46"/>
  <c r="I111" i="46" s="1"/>
  <c r="I103" i="46"/>
  <c r="I108" i="46" s="1"/>
  <c r="I104" i="46"/>
  <c r="I109" i="46" s="1"/>
  <c r="I107" i="46"/>
  <c r="I105" i="46"/>
  <c r="I110" i="46" s="1"/>
  <c r="AN114" i="45"/>
  <c r="AN78" i="45"/>
  <c r="F331" i="46"/>
  <c r="F330" i="46"/>
  <c r="G344" i="48"/>
  <c r="G345" i="48" s="1"/>
  <c r="G321" i="48"/>
  <c r="CZ103" i="55" s="1"/>
  <c r="CZ126" i="55" s="1"/>
  <c r="CZ149" i="55" s="1"/>
  <c r="K47" i="46"/>
  <c r="K82" i="46"/>
  <c r="K72" i="46"/>
  <c r="K112" i="46"/>
  <c r="K102" i="46"/>
  <c r="AU31" i="45"/>
  <c r="AU32" i="45"/>
  <c r="AU29" i="45"/>
  <c r="AU28" i="45"/>
  <c r="AU35" i="45"/>
  <c r="AU36" i="45"/>
  <c r="AU37" i="45"/>
  <c r="AU54" i="45"/>
  <c r="AN100" i="45"/>
  <c r="I114" i="46"/>
  <c r="I119" i="46" s="1"/>
  <c r="I117" i="46"/>
  <c r="I116" i="46"/>
  <c r="I121" i="46" s="1"/>
  <c r="I113" i="46"/>
  <c r="I118" i="46" s="1"/>
  <c r="I112" i="48"/>
  <c r="I115" i="46"/>
  <c r="I120" i="46" s="1"/>
  <c r="I277" i="46"/>
  <c r="AO114" i="45"/>
  <c r="AO78" i="45"/>
  <c r="I72" i="48"/>
  <c r="I76" i="46"/>
  <c r="I81" i="46" s="1"/>
  <c r="I77" i="46"/>
  <c r="I75" i="46"/>
  <c r="I80" i="46" s="1"/>
  <c r="I74" i="46"/>
  <c r="I79" i="46" s="1"/>
  <c r="I73" i="46"/>
  <c r="I78" i="46" s="1"/>
  <c r="F348" i="46"/>
  <c r="F351" i="46" s="1"/>
  <c r="I83" i="46"/>
  <c r="I88" i="46" s="1"/>
  <c r="I86" i="46"/>
  <c r="I91" i="46" s="1"/>
  <c r="I87" i="46"/>
  <c r="I84" i="46"/>
  <c r="I89" i="46" s="1"/>
  <c r="I82" i="48"/>
  <c r="I85" i="46"/>
  <c r="I90" i="46" s="1"/>
  <c r="G335" i="46"/>
  <c r="G334" i="46"/>
  <c r="G346" i="46" s="1"/>
  <c r="G347" i="46" s="1"/>
  <c r="H344" i="48"/>
  <c r="H345" i="48" s="1"/>
  <c r="H321" i="48"/>
  <c r="DA103" i="55" s="1"/>
  <c r="DA126" i="55" s="1"/>
  <c r="DA149" i="55" s="1"/>
  <c r="E357" i="46"/>
  <c r="E364" i="46" s="1"/>
  <c r="H335" i="48"/>
  <c r="H334" i="48"/>
  <c r="H346" i="48" s="1"/>
  <c r="AT56" i="45"/>
  <c r="AT55" i="45"/>
  <c r="AT35" i="45"/>
  <c r="AM115" i="45"/>
  <c r="N33" i="45"/>
  <c r="N37" i="45"/>
  <c r="AQ75" i="45"/>
  <c r="L104" i="45"/>
  <c r="N36" i="45"/>
  <c r="N30" i="45"/>
  <c r="N55" i="45"/>
  <c r="N56" i="45"/>
  <c r="P27" i="45"/>
  <c r="AV27" i="45" s="1"/>
  <c r="O28" i="45"/>
  <c r="O29" i="45"/>
  <c r="O31" i="45"/>
  <c r="O36" i="45"/>
  <c r="O32" i="45"/>
  <c r="O35" i="45"/>
  <c r="O37" i="45"/>
  <c r="O54" i="45"/>
  <c r="M57" i="45"/>
  <c r="AL156" i="55" l="1"/>
  <c r="CX156" i="55" s="1"/>
  <c r="CX133" i="55"/>
  <c r="AL157" i="55"/>
  <c r="CX157" i="55" s="1"/>
  <c r="CX134" i="55"/>
  <c r="AL154" i="55"/>
  <c r="CX154" i="55" s="1"/>
  <c r="CX131" i="55"/>
  <c r="P105" i="45"/>
  <c r="AV105" i="45" s="1"/>
  <c r="O266" i="48"/>
  <c r="O271" i="48" s="1"/>
  <c r="O267" i="48"/>
  <c r="O272" i="48" s="1"/>
  <c r="AL155" i="55"/>
  <c r="CX155" i="55" s="1"/>
  <c r="CX132" i="55"/>
  <c r="AK156" i="55"/>
  <c r="CW156" i="55" s="1"/>
  <c r="CW133" i="55"/>
  <c r="AK154" i="55"/>
  <c r="CW154" i="55" s="1"/>
  <c r="CW131" i="55"/>
  <c r="H328" i="46"/>
  <c r="H329" i="46"/>
  <c r="G330" i="48"/>
  <c r="H334" i="46"/>
  <c r="H346" i="46" s="1"/>
  <c r="H347" i="46" s="1"/>
  <c r="H335" i="46"/>
  <c r="G338" i="46"/>
  <c r="G341" i="46"/>
  <c r="H110" i="55" s="1"/>
  <c r="H133" i="55" s="1"/>
  <c r="H156" i="55" s="1"/>
  <c r="G340" i="46"/>
  <c r="H109" i="55" s="1"/>
  <c r="H132" i="55" s="1"/>
  <c r="H155" i="55" s="1"/>
  <c r="G337" i="46"/>
  <c r="G342" i="46"/>
  <c r="H111" i="55" s="1"/>
  <c r="H134" i="55" s="1"/>
  <c r="H157" i="55" s="1"/>
  <c r="G339" i="46"/>
  <c r="H108" i="55" s="1"/>
  <c r="H131" i="55" s="1"/>
  <c r="H154" i="55" s="1"/>
  <c r="I320" i="46"/>
  <c r="G331" i="48"/>
  <c r="AK155" i="55"/>
  <c r="CW155" i="55" s="1"/>
  <c r="CW132" i="55"/>
  <c r="H114" i="45"/>
  <c r="E357" i="48"/>
  <c r="E364" i="48" s="1"/>
  <c r="M70" i="45"/>
  <c r="D357" i="46"/>
  <c r="D366" i="46" s="1"/>
  <c r="H337" i="46"/>
  <c r="H341" i="46"/>
  <c r="I110" i="55" s="1"/>
  <c r="I133" i="55" s="1"/>
  <c r="I156" i="55" s="1"/>
  <c r="H339" i="46"/>
  <c r="I108" i="55" s="1"/>
  <c r="I131" i="55" s="1"/>
  <c r="I154" i="55" s="1"/>
  <c r="H338" i="46"/>
  <c r="H342" i="46"/>
  <c r="I111" i="55" s="1"/>
  <c r="I134" i="55" s="1"/>
  <c r="I157" i="55" s="1"/>
  <c r="H340" i="46"/>
  <c r="I109" i="55" s="1"/>
  <c r="I132" i="55" s="1"/>
  <c r="I155" i="55" s="1"/>
  <c r="L36" i="46"/>
  <c r="L42" i="46" s="1"/>
  <c r="I326" i="48"/>
  <c r="I327" i="48"/>
  <c r="I325" i="48"/>
  <c r="I324" i="48"/>
  <c r="H317" i="46"/>
  <c r="BU110" i="55" s="1"/>
  <c r="BU133" i="55" s="1"/>
  <c r="BU156" i="55" s="1"/>
  <c r="H318" i="46"/>
  <c r="BU111" i="55" s="1"/>
  <c r="BU134" i="55" s="1"/>
  <c r="BU157" i="55" s="1"/>
  <c r="H316" i="46"/>
  <c r="BU109" i="55" s="1"/>
  <c r="BU132" i="55" s="1"/>
  <c r="BU155" i="55" s="1"/>
  <c r="AS70" i="45"/>
  <c r="H313" i="46"/>
  <c r="H314" i="46"/>
  <c r="BU107" i="55" s="1"/>
  <c r="BU130" i="55" s="1"/>
  <c r="BU153" i="55" s="1"/>
  <c r="J323" i="48"/>
  <c r="F340" i="48"/>
  <c r="AM109" i="55" s="1"/>
  <c r="AM132" i="55" s="1"/>
  <c r="F342" i="48"/>
  <c r="AM111" i="55" s="1"/>
  <c r="CY111" i="55" s="1"/>
  <c r="F339" i="48"/>
  <c r="AM108" i="55" s="1"/>
  <c r="CY108" i="55" s="1"/>
  <c r="F337" i="48"/>
  <c r="AJ49" i="58"/>
  <c r="F338" i="48"/>
  <c r="AM131" i="55"/>
  <c r="AM133" i="55"/>
  <c r="CY110" i="55"/>
  <c r="O265" i="48"/>
  <c r="O270" i="48" s="1"/>
  <c r="O264" i="48"/>
  <c r="O269" i="48" s="1"/>
  <c r="O268" i="48"/>
  <c r="AJ44" i="58"/>
  <c r="AJ54" i="58"/>
  <c r="H322" i="48"/>
  <c r="H342" i="48" s="1"/>
  <c r="AO111" i="55" s="1"/>
  <c r="AO103" i="55"/>
  <c r="AO126" i="55" s="1"/>
  <c r="AO149" i="55" s="1"/>
  <c r="I312" i="46"/>
  <c r="BV103" i="55"/>
  <c r="BV126" i="55" s="1"/>
  <c r="BV149" i="55" s="1"/>
  <c r="D107" i="55"/>
  <c r="D130" i="55" s="1"/>
  <c r="D153" i="55" s="1"/>
  <c r="G322" i="48"/>
  <c r="G341" i="48" s="1"/>
  <c r="AN110" i="55" s="1"/>
  <c r="AN103" i="55"/>
  <c r="AN126" i="55" s="1"/>
  <c r="AN149" i="55" s="1"/>
  <c r="AK104" i="55"/>
  <c r="AK127" i="55" s="1"/>
  <c r="AK150" i="55" s="1"/>
  <c r="AK107" i="55"/>
  <c r="K319" i="46"/>
  <c r="J319" i="46"/>
  <c r="I115" i="45"/>
  <c r="K319" i="48"/>
  <c r="K323" i="48" s="1"/>
  <c r="AT34" i="45"/>
  <c r="M36" i="48" s="1"/>
  <c r="M42" i="48" s="1"/>
  <c r="M75" i="45"/>
  <c r="J76" i="45"/>
  <c r="J78" i="45" s="1"/>
  <c r="J97" i="45"/>
  <c r="J106" i="45"/>
  <c r="D120" i="45"/>
  <c r="D122" i="45" s="1"/>
  <c r="J90" i="45"/>
  <c r="AP90" i="45" s="1"/>
  <c r="AP91" i="45" s="1"/>
  <c r="AK119" i="45"/>
  <c r="AK124" i="45" s="1"/>
  <c r="AO115" i="45"/>
  <c r="L40" i="48"/>
  <c r="Q46" i="48" s="1"/>
  <c r="AS58" i="45"/>
  <c r="AS71" i="45" s="1"/>
  <c r="AS59" i="45"/>
  <c r="P264" i="46"/>
  <c r="P269" i="46" s="1"/>
  <c r="P266" i="46"/>
  <c r="P271" i="46" s="1"/>
  <c r="J274" i="46"/>
  <c r="AN115" i="45"/>
  <c r="AT68" i="45"/>
  <c r="P263" i="48"/>
  <c r="P267" i="48" s="1"/>
  <c r="P272" i="48" s="1"/>
  <c r="P268" i="46"/>
  <c r="P267" i="46"/>
  <c r="P272" i="46" s="1"/>
  <c r="J81" i="45"/>
  <c r="AP81" i="45"/>
  <c r="J80" i="45"/>
  <c r="AP79" i="45"/>
  <c r="J79" i="45"/>
  <c r="AP80" i="45"/>
  <c r="L40" i="46"/>
  <c r="Q46" i="46" s="1"/>
  <c r="Q263" i="46" s="1"/>
  <c r="Q268" i="46" s="1"/>
  <c r="M58" i="45"/>
  <c r="M60" i="45"/>
  <c r="M59" i="45"/>
  <c r="AP106" i="45"/>
  <c r="AP109" i="45" s="1"/>
  <c r="J109" i="45"/>
  <c r="AU33" i="45"/>
  <c r="AS73" i="45"/>
  <c r="C368" i="46"/>
  <c r="L72" i="45"/>
  <c r="L71" i="45"/>
  <c r="AT57" i="45"/>
  <c r="M40" i="48" s="1"/>
  <c r="R46" i="48" s="1"/>
  <c r="J94" i="45"/>
  <c r="AP93" i="45"/>
  <c r="J93" i="45"/>
  <c r="AP94" i="45"/>
  <c r="AP102" i="45"/>
  <c r="J103" i="45"/>
  <c r="AP101" i="45"/>
  <c r="J102" i="45"/>
  <c r="AP103" i="45"/>
  <c r="J101" i="45"/>
  <c r="AU30" i="45"/>
  <c r="AU34" i="45" s="1"/>
  <c r="N36" i="48" s="1"/>
  <c r="N42" i="48" s="1"/>
  <c r="K274" i="46"/>
  <c r="AP110" i="45"/>
  <c r="AP111" i="45"/>
  <c r="AP112" i="45"/>
  <c r="J112" i="45"/>
  <c r="J111" i="45"/>
  <c r="J110" i="45"/>
  <c r="C373" i="46"/>
  <c r="AS72" i="45"/>
  <c r="F119" i="45"/>
  <c r="H348" i="48"/>
  <c r="H349" i="48" s="1"/>
  <c r="H350" i="48" s="1"/>
  <c r="H347" i="48"/>
  <c r="I86" i="48"/>
  <c r="I91" i="48" s="1"/>
  <c r="I83" i="48"/>
  <c r="I88" i="48" s="1"/>
  <c r="I85" i="48"/>
  <c r="I90" i="48" s="1"/>
  <c r="I87" i="48"/>
  <c r="I84" i="48"/>
  <c r="I89" i="48" s="1"/>
  <c r="I77" i="48"/>
  <c r="I73" i="48"/>
  <c r="I78" i="48" s="1"/>
  <c r="I74" i="48"/>
  <c r="I79" i="48" s="1"/>
  <c r="I76" i="48"/>
  <c r="I81" i="48" s="1"/>
  <c r="I75" i="48"/>
  <c r="I80" i="48" s="1"/>
  <c r="F356" i="46"/>
  <c r="AU56" i="45"/>
  <c r="AU55" i="45"/>
  <c r="K72" i="48"/>
  <c r="K73" i="46"/>
  <c r="K78" i="46" s="1"/>
  <c r="K76" i="46"/>
  <c r="K81" i="46" s="1"/>
  <c r="K75" i="46"/>
  <c r="K80" i="46" s="1"/>
  <c r="K77" i="46"/>
  <c r="K74" i="46"/>
  <c r="K79" i="46" s="1"/>
  <c r="F332" i="46"/>
  <c r="F336" i="46" s="1"/>
  <c r="F333" i="46"/>
  <c r="H331" i="48"/>
  <c r="H330" i="48"/>
  <c r="G330" i="46"/>
  <c r="G331" i="46"/>
  <c r="M47" i="48"/>
  <c r="F349" i="46"/>
  <c r="F350" i="46" s="1"/>
  <c r="F352" i="46" s="1"/>
  <c r="I344" i="46"/>
  <c r="I345" i="46" s="1"/>
  <c r="I321" i="46"/>
  <c r="K84" i="46"/>
  <c r="K89" i="46" s="1"/>
  <c r="K82" i="48"/>
  <c r="K85" i="46"/>
  <c r="K90" i="46" s="1"/>
  <c r="K87" i="46"/>
  <c r="K86" i="46"/>
  <c r="K91" i="46" s="1"/>
  <c r="K83" i="46"/>
  <c r="K88" i="46" s="1"/>
  <c r="I105" i="48"/>
  <c r="I110" i="48" s="1"/>
  <c r="I103" i="48"/>
  <c r="I108" i="48" s="1"/>
  <c r="I104" i="48"/>
  <c r="I109" i="48" s="1"/>
  <c r="I107" i="48"/>
  <c r="I106" i="48"/>
  <c r="I111" i="48" s="1"/>
  <c r="D368" i="48"/>
  <c r="D373" i="48"/>
  <c r="J115" i="46"/>
  <c r="J120" i="46" s="1"/>
  <c r="J116" i="46"/>
  <c r="J121" i="46" s="1"/>
  <c r="J114" i="46"/>
  <c r="J119" i="46" s="1"/>
  <c r="J117" i="46"/>
  <c r="J112" i="48"/>
  <c r="J113" i="46"/>
  <c r="J118" i="46" s="1"/>
  <c r="J277" i="46"/>
  <c r="I311" i="48"/>
  <c r="I312" i="48" s="1"/>
  <c r="J278" i="48"/>
  <c r="I114" i="48"/>
  <c r="I119" i="48" s="1"/>
  <c r="I117" i="48"/>
  <c r="I113" i="48"/>
  <c r="I118" i="48" s="1"/>
  <c r="I116" i="48"/>
  <c r="I121" i="48" s="1"/>
  <c r="I115" i="48"/>
  <c r="I120" i="48" s="1"/>
  <c r="I277" i="48"/>
  <c r="K116" i="46"/>
  <c r="K121" i="46" s="1"/>
  <c r="K115" i="46"/>
  <c r="K120" i="46" s="1"/>
  <c r="K113" i="46"/>
  <c r="K118" i="46" s="1"/>
  <c r="K112" i="48"/>
  <c r="K114" i="46"/>
  <c r="K119" i="46" s="1"/>
  <c r="K117" i="46"/>
  <c r="K277" i="46"/>
  <c r="I326" i="46"/>
  <c r="I327" i="46"/>
  <c r="I325" i="46"/>
  <c r="I324" i="46"/>
  <c r="L47" i="48"/>
  <c r="J82" i="48"/>
  <c r="J84" i="46"/>
  <c r="J89" i="46" s="1"/>
  <c r="J86" i="46"/>
  <c r="J91" i="46" s="1"/>
  <c r="J83" i="46"/>
  <c r="J88" i="46" s="1"/>
  <c r="J87" i="46"/>
  <c r="J85" i="46"/>
  <c r="J90" i="46" s="1"/>
  <c r="AT67" i="45"/>
  <c r="AV28" i="45"/>
  <c r="AV37" i="45"/>
  <c r="AV36" i="45"/>
  <c r="AV31" i="45"/>
  <c r="AV32" i="45"/>
  <c r="AV29" i="45"/>
  <c r="AV35" i="45"/>
  <c r="AV54" i="45"/>
  <c r="G348" i="46"/>
  <c r="G351" i="46" s="1"/>
  <c r="J104" i="46"/>
  <c r="J109" i="46" s="1"/>
  <c r="J105" i="46"/>
  <c r="J110" i="46" s="1"/>
  <c r="J103" i="46"/>
  <c r="J108" i="46" s="1"/>
  <c r="J102" i="48"/>
  <c r="J106" i="46"/>
  <c r="J111" i="46" s="1"/>
  <c r="J107" i="46"/>
  <c r="K274" i="48"/>
  <c r="O33" i="45"/>
  <c r="N68" i="45"/>
  <c r="E366" i="46"/>
  <c r="F104" i="55" s="1"/>
  <c r="F127" i="55" s="1"/>
  <c r="F150" i="55" s="1"/>
  <c r="L47" i="46"/>
  <c r="L102" i="46"/>
  <c r="L112" i="46"/>
  <c r="L72" i="46"/>
  <c r="L82" i="46"/>
  <c r="AP97" i="45"/>
  <c r="J100" i="45"/>
  <c r="K103" i="46"/>
  <c r="K108" i="46" s="1"/>
  <c r="K107" i="46"/>
  <c r="K102" i="48"/>
  <c r="K104" i="46"/>
  <c r="K109" i="46" s="1"/>
  <c r="K106" i="46"/>
  <c r="K111" i="46" s="1"/>
  <c r="K105" i="46"/>
  <c r="K110" i="46" s="1"/>
  <c r="G347" i="48"/>
  <c r="G348" i="48"/>
  <c r="G349" i="48" s="1"/>
  <c r="G350" i="48" s="1"/>
  <c r="F351" i="48"/>
  <c r="J72" i="48"/>
  <c r="J75" i="46"/>
  <c r="J80" i="46" s="1"/>
  <c r="J77" i="46"/>
  <c r="J74" i="46"/>
  <c r="J79" i="46" s="1"/>
  <c r="J73" i="46"/>
  <c r="J78" i="46" s="1"/>
  <c r="J76" i="46"/>
  <c r="J81" i="46" s="1"/>
  <c r="H316" i="48"/>
  <c r="H313" i="48"/>
  <c r="H317" i="48"/>
  <c r="H315" i="48"/>
  <c r="H318" i="48"/>
  <c r="H314" i="48"/>
  <c r="K278" i="46"/>
  <c r="K18" i="52" s="1"/>
  <c r="J311" i="46"/>
  <c r="N57" i="45"/>
  <c r="O30" i="45"/>
  <c r="AS104" i="45"/>
  <c r="P32" i="45"/>
  <c r="Q27" i="45"/>
  <c r="AW27" i="45" s="1"/>
  <c r="P29" i="45"/>
  <c r="P31" i="45"/>
  <c r="P37" i="45"/>
  <c r="P28" i="45"/>
  <c r="P36" i="45"/>
  <c r="P35" i="45"/>
  <c r="P54" i="45"/>
  <c r="N67" i="45"/>
  <c r="N34" i="45"/>
  <c r="O55" i="45"/>
  <c r="O56" i="45"/>
  <c r="AR75" i="45"/>
  <c r="M104" i="45"/>
  <c r="AR104" i="45"/>
  <c r="H348" i="46" l="1"/>
  <c r="H349" i="46" s="1"/>
  <c r="H350" i="46" s="1"/>
  <c r="H331" i="46"/>
  <c r="H330" i="46"/>
  <c r="G333" i="48"/>
  <c r="G332" i="48"/>
  <c r="G336" i="48" s="1"/>
  <c r="G352" i="48"/>
  <c r="E120" i="45"/>
  <c r="E122" i="45" s="1"/>
  <c r="AL119" i="45"/>
  <c r="E366" i="48"/>
  <c r="AL104" i="55" s="1"/>
  <c r="AL127" i="55" s="1"/>
  <c r="AL150" i="55" s="1"/>
  <c r="D364" i="46"/>
  <c r="D368" i="46" s="1"/>
  <c r="G342" i="48"/>
  <c r="AN111" i="55" s="1"/>
  <c r="I317" i="46"/>
  <c r="BV110" i="55" s="1"/>
  <c r="BV133" i="55" s="1"/>
  <c r="BV156" i="55" s="1"/>
  <c r="I318" i="46"/>
  <c r="BV111" i="55" s="1"/>
  <c r="BV134" i="55" s="1"/>
  <c r="BV157" i="55" s="1"/>
  <c r="I316" i="46"/>
  <c r="BV109" i="55" s="1"/>
  <c r="BV132" i="55" s="1"/>
  <c r="BV155" i="55" s="1"/>
  <c r="I314" i="46"/>
  <c r="BV107" i="55" s="1"/>
  <c r="BV130" i="55" s="1"/>
  <c r="BV153" i="55" s="1"/>
  <c r="I315" i="46"/>
  <c r="BV108" i="55" s="1"/>
  <c r="BV131" i="55" s="1"/>
  <c r="BV154" i="55" s="1"/>
  <c r="I313" i="46"/>
  <c r="I335" i="48"/>
  <c r="I334" i="48"/>
  <c r="I346" i="48" s="1"/>
  <c r="H337" i="48"/>
  <c r="K323" i="46"/>
  <c r="K320" i="46"/>
  <c r="J327" i="48"/>
  <c r="J324" i="48"/>
  <c r="J326" i="48"/>
  <c r="J325" i="48"/>
  <c r="J323" i="46"/>
  <c r="J320" i="46"/>
  <c r="H115" i="45"/>
  <c r="I329" i="48"/>
  <c r="I328" i="48"/>
  <c r="H340" i="48"/>
  <c r="AO109" i="55" s="1"/>
  <c r="CY109" i="55"/>
  <c r="H338" i="48"/>
  <c r="H341" i="48"/>
  <c r="AO110" i="55" s="1"/>
  <c r="DA110" i="55" s="1"/>
  <c r="H339" i="48"/>
  <c r="AO108" i="55" s="1"/>
  <c r="AM134" i="55"/>
  <c r="G337" i="48"/>
  <c r="G340" i="48"/>
  <c r="AN109" i="55" s="1"/>
  <c r="AN132" i="55" s="1"/>
  <c r="G339" i="48"/>
  <c r="AN108" i="55" s="1"/>
  <c r="AN131" i="55" s="1"/>
  <c r="J117" i="45"/>
  <c r="G338" i="48"/>
  <c r="D121" i="45"/>
  <c r="D128" i="45" s="1"/>
  <c r="D129" i="45" s="1"/>
  <c r="D43" i="58" s="1"/>
  <c r="K320" i="48"/>
  <c r="AP117" i="45"/>
  <c r="AM156" i="55"/>
  <c r="CY156" i="55" s="1"/>
  <c r="CY133" i="55"/>
  <c r="AO134" i="55"/>
  <c r="DA111" i="55"/>
  <c r="AN133" i="55"/>
  <c r="CZ110" i="55"/>
  <c r="AK130" i="55"/>
  <c r="CW107" i="55"/>
  <c r="AM155" i="55"/>
  <c r="CY155" i="55" s="1"/>
  <c r="CY132" i="55"/>
  <c r="AM154" i="55"/>
  <c r="CY154" i="55" s="1"/>
  <c r="CY131" i="55"/>
  <c r="AK123" i="45"/>
  <c r="F107" i="55"/>
  <c r="F130" i="55" s="1"/>
  <c r="F153" i="55" s="1"/>
  <c r="J312" i="46"/>
  <c r="BW103" i="55"/>
  <c r="BW126" i="55" s="1"/>
  <c r="BW149" i="55" s="1"/>
  <c r="I322" i="46"/>
  <c r="I338" i="46" s="1"/>
  <c r="J103" i="55"/>
  <c r="J126" i="55" s="1"/>
  <c r="J149" i="55" s="1"/>
  <c r="D123" i="45"/>
  <c r="L319" i="46"/>
  <c r="L320" i="46" s="1"/>
  <c r="M319" i="48"/>
  <c r="L319" i="48"/>
  <c r="AP76" i="45"/>
  <c r="J91" i="45"/>
  <c r="J114" i="45" s="1"/>
  <c r="J113" i="45"/>
  <c r="D124" i="45"/>
  <c r="K106" i="45"/>
  <c r="L90" i="45"/>
  <c r="L91" i="45" s="1"/>
  <c r="R105" i="45"/>
  <c r="AX105" i="45" s="1"/>
  <c r="Q105" i="45"/>
  <c r="AW105" i="45" s="1"/>
  <c r="K76" i="45"/>
  <c r="AQ76" i="45" s="1"/>
  <c r="L106" i="45"/>
  <c r="AR106" i="45" s="1"/>
  <c r="AR109" i="45" s="1"/>
  <c r="K97" i="45"/>
  <c r="AQ97" i="45" s="1"/>
  <c r="L76" i="45"/>
  <c r="AR76" i="45" s="1"/>
  <c r="K90" i="45"/>
  <c r="AQ90" i="45" s="1"/>
  <c r="AQ91" i="45" s="1"/>
  <c r="L97" i="45"/>
  <c r="P266" i="48"/>
  <c r="P271" i="48" s="1"/>
  <c r="P265" i="48"/>
  <c r="P270" i="48" s="1"/>
  <c r="P268" i="48"/>
  <c r="P264" i="48"/>
  <c r="P269" i="48" s="1"/>
  <c r="N70" i="45"/>
  <c r="AT70" i="45"/>
  <c r="AU57" i="45"/>
  <c r="N40" i="48" s="1"/>
  <c r="S46" i="48" s="1"/>
  <c r="Q264" i="46"/>
  <c r="Q269" i="46" s="1"/>
  <c r="L111" i="45"/>
  <c r="AP116" i="45"/>
  <c r="O67" i="45"/>
  <c r="Q263" i="48"/>
  <c r="Q268" i="48" s="1"/>
  <c r="O68" i="45"/>
  <c r="Q267" i="46"/>
  <c r="Q272" i="46" s="1"/>
  <c r="AU68" i="45"/>
  <c r="Q266" i="46"/>
  <c r="Q271" i="46" s="1"/>
  <c r="Q265" i="46"/>
  <c r="Q270" i="46" s="1"/>
  <c r="D374" i="48"/>
  <c r="AK125" i="45"/>
  <c r="AR81" i="45"/>
  <c r="AR79" i="45"/>
  <c r="L80" i="45"/>
  <c r="L81" i="45"/>
  <c r="L79" i="45"/>
  <c r="AR80" i="45"/>
  <c r="L110" i="45"/>
  <c r="P30" i="45"/>
  <c r="K112" i="45"/>
  <c r="AQ112" i="45"/>
  <c r="K111" i="45"/>
  <c r="AQ110" i="45"/>
  <c r="K110" i="45"/>
  <c r="AQ111" i="45"/>
  <c r="AV30" i="45"/>
  <c r="K94" i="45"/>
  <c r="K93" i="45"/>
  <c r="AQ93" i="45"/>
  <c r="AQ94" i="45"/>
  <c r="K103" i="45"/>
  <c r="K102" i="45"/>
  <c r="AQ101" i="45"/>
  <c r="AQ102" i="45"/>
  <c r="AQ103" i="45"/>
  <c r="K101" i="45"/>
  <c r="L94" i="45"/>
  <c r="AR93" i="45"/>
  <c r="L93" i="45"/>
  <c r="AR94" i="45"/>
  <c r="M71" i="45"/>
  <c r="AP113" i="45"/>
  <c r="AU67" i="45"/>
  <c r="AV33" i="45"/>
  <c r="AT60" i="45"/>
  <c r="AT59" i="45"/>
  <c r="AT58" i="45"/>
  <c r="AP118" i="45"/>
  <c r="M73" i="45"/>
  <c r="N104" i="45"/>
  <c r="N58" i="45"/>
  <c r="N60" i="45"/>
  <c r="N73" i="45" s="1"/>
  <c r="N59" i="45"/>
  <c r="K79" i="45"/>
  <c r="K80" i="45"/>
  <c r="AQ79" i="45"/>
  <c r="AQ81" i="45"/>
  <c r="K81" i="45"/>
  <c r="AQ80" i="45"/>
  <c r="AR112" i="45"/>
  <c r="AR111" i="45"/>
  <c r="AR110" i="45"/>
  <c r="L102" i="45"/>
  <c r="AR102" i="45"/>
  <c r="L103" i="45"/>
  <c r="AR103" i="45"/>
  <c r="L101" i="45"/>
  <c r="AR101" i="45"/>
  <c r="G349" i="46"/>
  <c r="G350" i="46" s="1"/>
  <c r="G352" i="46" s="1"/>
  <c r="H352" i="48"/>
  <c r="C374" i="46"/>
  <c r="D125" i="45"/>
  <c r="M72" i="45"/>
  <c r="L109" i="45"/>
  <c r="L112" i="45"/>
  <c r="J116" i="45"/>
  <c r="J118" i="45"/>
  <c r="N47" i="48"/>
  <c r="G332" i="46"/>
  <c r="G336" i="46" s="1"/>
  <c r="G333" i="46"/>
  <c r="N75" i="45"/>
  <c r="M36" i="46"/>
  <c r="M42" i="46" s="1"/>
  <c r="J76" i="48"/>
  <c r="J81" i="48" s="1"/>
  <c r="J74" i="48"/>
  <c r="J79" i="48" s="1"/>
  <c r="J73" i="48"/>
  <c r="J78" i="48" s="1"/>
  <c r="J77" i="48"/>
  <c r="J75" i="48"/>
  <c r="J80" i="48" s="1"/>
  <c r="L112" i="48"/>
  <c r="L114" i="46"/>
  <c r="L119" i="46" s="1"/>
  <c r="L115" i="46"/>
  <c r="L120" i="46" s="1"/>
  <c r="L117" i="46"/>
  <c r="L116" i="46"/>
  <c r="L121" i="46" s="1"/>
  <c r="L113" i="46"/>
  <c r="L118" i="46" s="1"/>
  <c r="L277" i="46"/>
  <c r="J84" i="48"/>
  <c r="J89" i="48" s="1"/>
  <c r="J86" i="48"/>
  <c r="J91" i="48" s="1"/>
  <c r="J87" i="48"/>
  <c r="J85" i="48"/>
  <c r="J90" i="48" s="1"/>
  <c r="J83" i="48"/>
  <c r="J88" i="48" s="1"/>
  <c r="I329" i="46"/>
  <c r="I328" i="46"/>
  <c r="K115" i="48"/>
  <c r="K120" i="48" s="1"/>
  <c r="K113" i="48"/>
  <c r="K118" i="48" s="1"/>
  <c r="K117" i="48"/>
  <c r="K114" i="48"/>
  <c r="K119" i="48" s="1"/>
  <c r="K116" i="48"/>
  <c r="K121" i="48" s="1"/>
  <c r="K277" i="48"/>
  <c r="J344" i="46"/>
  <c r="J345" i="46" s="1"/>
  <c r="J321" i="46"/>
  <c r="M274" i="48"/>
  <c r="H332" i="48"/>
  <c r="H336" i="48" s="1"/>
  <c r="H333" i="48"/>
  <c r="AP100" i="45"/>
  <c r="L72" i="48"/>
  <c r="L76" i="46"/>
  <c r="L81" i="46" s="1"/>
  <c r="L75" i="46"/>
  <c r="L80" i="46" s="1"/>
  <c r="L77" i="46"/>
  <c r="L74" i="46"/>
  <c r="L79" i="46" s="1"/>
  <c r="L73" i="46"/>
  <c r="L78" i="46" s="1"/>
  <c r="J106" i="48"/>
  <c r="J111" i="48" s="1"/>
  <c r="J107" i="48"/>
  <c r="J103" i="48"/>
  <c r="J108" i="48" s="1"/>
  <c r="J104" i="48"/>
  <c r="J109" i="48" s="1"/>
  <c r="J105" i="48"/>
  <c r="J110" i="48" s="1"/>
  <c r="K324" i="48"/>
  <c r="K326" i="48"/>
  <c r="K325" i="48"/>
  <c r="K327" i="48"/>
  <c r="I335" i="46"/>
  <c r="I334" i="46"/>
  <c r="I346" i="46" s="1"/>
  <c r="I347" i="46" s="1"/>
  <c r="I314" i="48"/>
  <c r="I318" i="48"/>
  <c r="I316" i="48"/>
  <c r="I315" i="48"/>
  <c r="I317" i="48"/>
  <c r="I313" i="48"/>
  <c r="K77" i="48"/>
  <c r="K74" i="48"/>
  <c r="K79" i="48" s="1"/>
  <c r="K76" i="48"/>
  <c r="K81" i="48" s="1"/>
  <c r="K75" i="48"/>
  <c r="K80" i="48" s="1"/>
  <c r="K73" i="48"/>
  <c r="K78" i="48" s="1"/>
  <c r="F357" i="46"/>
  <c r="F364" i="46" s="1"/>
  <c r="AW37" i="45"/>
  <c r="AW32" i="45"/>
  <c r="AW29" i="45"/>
  <c r="AW31" i="45"/>
  <c r="AW36" i="45"/>
  <c r="AW28" i="45"/>
  <c r="AW35" i="45"/>
  <c r="AW54" i="45"/>
  <c r="O34" i="45"/>
  <c r="F356" i="48"/>
  <c r="F357" i="48" s="1"/>
  <c r="F364" i="48" s="1"/>
  <c r="L274" i="46"/>
  <c r="L103" i="46"/>
  <c r="L108" i="46" s="1"/>
  <c r="L104" i="46"/>
  <c r="L109" i="46" s="1"/>
  <c r="L106" i="46"/>
  <c r="L111" i="46" s="1"/>
  <c r="L107" i="46"/>
  <c r="L102" i="48"/>
  <c r="L105" i="46"/>
  <c r="L110" i="46" s="1"/>
  <c r="E368" i="46"/>
  <c r="F120" i="45"/>
  <c r="F122" i="45" s="1"/>
  <c r="G356" i="46"/>
  <c r="G357" i="46" s="1"/>
  <c r="G364" i="46" s="1"/>
  <c r="L274" i="48"/>
  <c r="K321" i="46"/>
  <c r="K344" i="46"/>
  <c r="K345" i="46" s="1"/>
  <c r="K84" i="48"/>
  <c r="K89" i="48" s="1"/>
  <c r="K83" i="48"/>
  <c r="K88" i="48" s="1"/>
  <c r="K87" i="48"/>
  <c r="K86" i="48"/>
  <c r="K91" i="48" s="1"/>
  <c r="K85" i="48"/>
  <c r="K90" i="48" s="1"/>
  <c r="H351" i="48"/>
  <c r="E373" i="46"/>
  <c r="M40" i="46"/>
  <c r="R46" i="46" s="1"/>
  <c r="R263" i="46" s="1"/>
  <c r="K311" i="46"/>
  <c r="L278" i="46"/>
  <c r="L18" i="52" s="1"/>
  <c r="G351" i="48"/>
  <c r="K104" i="48"/>
  <c r="K109" i="48" s="1"/>
  <c r="K107" i="48"/>
  <c r="K106" i="48"/>
  <c r="K111" i="48" s="1"/>
  <c r="K103" i="48"/>
  <c r="K108" i="48" s="1"/>
  <c r="K105" i="48"/>
  <c r="K110" i="48" s="1"/>
  <c r="L86" i="46"/>
  <c r="L91" i="46" s="1"/>
  <c r="L83" i="46"/>
  <c r="L88" i="46" s="1"/>
  <c r="L85" i="46"/>
  <c r="L90" i="46" s="1"/>
  <c r="L84" i="46"/>
  <c r="L89" i="46" s="1"/>
  <c r="L87" i="46"/>
  <c r="L82" i="48"/>
  <c r="AV55" i="45"/>
  <c r="AV56" i="45"/>
  <c r="I321" i="48"/>
  <c r="DB103" i="55" s="1"/>
  <c r="DB126" i="55" s="1"/>
  <c r="DB149" i="55" s="1"/>
  <c r="I344" i="48"/>
  <c r="I345" i="48" s="1"/>
  <c r="K278" i="48"/>
  <c r="J311" i="48"/>
  <c r="J312" i="48" s="1"/>
  <c r="J113" i="48"/>
  <c r="J118" i="48" s="1"/>
  <c r="J116" i="48"/>
  <c r="J121" i="48" s="1"/>
  <c r="J114" i="48"/>
  <c r="J119" i="48" s="1"/>
  <c r="J115" i="48"/>
  <c r="J120" i="48" s="1"/>
  <c r="J117" i="48"/>
  <c r="J277" i="48"/>
  <c r="O57" i="45"/>
  <c r="AT104" i="45"/>
  <c r="AS75" i="45"/>
  <c r="P55" i="45"/>
  <c r="P56" i="45"/>
  <c r="Q28" i="45"/>
  <c r="Q32" i="45"/>
  <c r="Q29" i="45"/>
  <c r="Q35" i="45"/>
  <c r="Q37" i="45"/>
  <c r="R27" i="45"/>
  <c r="AX27" i="45" s="1"/>
  <c r="Q31" i="45"/>
  <c r="Q36" i="45"/>
  <c r="Q54" i="45"/>
  <c r="AT75" i="45"/>
  <c r="P33" i="45"/>
  <c r="CX104" i="55" l="1"/>
  <c r="CX127" i="55" s="1"/>
  <c r="CX150" i="55" s="1"/>
  <c r="AO133" i="55"/>
  <c r="H351" i="46"/>
  <c r="H356" i="46" s="1"/>
  <c r="H352" i="46"/>
  <c r="H333" i="46"/>
  <c r="H332" i="46"/>
  <c r="H336" i="46" s="1"/>
  <c r="AO131" i="55"/>
  <c r="DA108" i="55"/>
  <c r="E104" i="55"/>
  <c r="E127" i="55" s="1"/>
  <c r="E150" i="55" s="1"/>
  <c r="E107" i="55"/>
  <c r="E130" i="55" s="1"/>
  <c r="E153" i="55" s="1"/>
  <c r="AL107" i="55"/>
  <c r="J335" i="48"/>
  <c r="J334" i="48"/>
  <c r="J346" i="48" s="1"/>
  <c r="AO132" i="55"/>
  <c r="DA109" i="55"/>
  <c r="AM157" i="55"/>
  <c r="CY157" i="55" s="1"/>
  <c r="CY134" i="55"/>
  <c r="AN134" i="55"/>
  <c r="CZ111" i="55"/>
  <c r="AL120" i="45"/>
  <c r="AL122" i="45" s="1"/>
  <c r="D373" i="46"/>
  <c r="E368" i="48"/>
  <c r="E373" i="48"/>
  <c r="AL125" i="45" s="1"/>
  <c r="E119" i="45"/>
  <c r="E121" i="45" s="1"/>
  <c r="E128" i="45" s="1"/>
  <c r="J329" i="48"/>
  <c r="K326" i="46"/>
  <c r="K327" i="46"/>
  <c r="J324" i="46"/>
  <c r="J325" i="46"/>
  <c r="J326" i="46"/>
  <c r="J327" i="46"/>
  <c r="J328" i="48"/>
  <c r="K324" i="46"/>
  <c r="K325" i="46"/>
  <c r="J316" i="46"/>
  <c r="BW109" i="55" s="1"/>
  <c r="BW132" i="55" s="1"/>
  <c r="BW155" i="55" s="1"/>
  <c r="J314" i="46"/>
  <c r="BW107" i="55" s="1"/>
  <c r="BW130" i="55" s="1"/>
  <c r="BW153" i="55" s="1"/>
  <c r="J315" i="46"/>
  <c r="BW108" i="55" s="1"/>
  <c r="BW131" i="55" s="1"/>
  <c r="BW154" i="55" s="1"/>
  <c r="J318" i="46"/>
  <c r="BW111" i="55" s="1"/>
  <c r="BW134" i="55" s="1"/>
  <c r="BW157" i="55" s="1"/>
  <c r="J313" i="46"/>
  <c r="J317" i="46"/>
  <c r="BW110" i="55" s="1"/>
  <c r="BW133" i="55" s="1"/>
  <c r="BW156" i="55" s="1"/>
  <c r="AQ106" i="45"/>
  <c r="AQ109" i="45" s="1"/>
  <c r="K109" i="45"/>
  <c r="AR90" i="45"/>
  <c r="AR91" i="45" s="1"/>
  <c r="AP114" i="45"/>
  <c r="AP78" i="45"/>
  <c r="M320" i="48"/>
  <c r="M323" i="48"/>
  <c r="L323" i="46"/>
  <c r="L320" i="48"/>
  <c r="L323" i="48"/>
  <c r="AR97" i="45"/>
  <c r="L100" i="45"/>
  <c r="I331" i="48"/>
  <c r="I330" i="48"/>
  <c r="I337" i="46"/>
  <c r="AU58" i="45"/>
  <c r="AU71" i="45" s="1"/>
  <c r="D130" i="45"/>
  <c r="D48" i="58" s="1"/>
  <c r="D131" i="45"/>
  <c r="D53" i="58" s="1"/>
  <c r="CZ109" i="55"/>
  <c r="J115" i="45"/>
  <c r="I342" i="46"/>
  <c r="J111" i="55" s="1"/>
  <c r="J134" i="55" s="1"/>
  <c r="J157" i="55" s="1"/>
  <c r="K100" i="45"/>
  <c r="I340" i="46"/>
  <c r="J109" i="55" s="1"/>
  <c r="J132" i="55" s="1"/>
  <c r="J155" i="55" s="1"/>
  <c r="I341" i="46"/>
  <c r="J110" i="55" s="1"/>
  <c r="J133" i="55" s="1"/>
  <c r="J156" i="55" s="1"/>
  <c r="I339" i="46"/>
  <c r="J108" i="55" s="1"/>
  <c r="J131" i="55" s="1"/>
  <c r="J154" i="55" s="1"/>
  <c r="CZ108" i="55"/>
  <c r="AR117" i="45"/>
  <c r="AK153" i="55"/>
  <c r="CW153" i="55" s="1"/>
  <c r="CW130" i="55"/>
  <c r="AN154" i="55"/>
  <c r="CZ154" i="55" s="1"/>
  <c r="CZ131" i="55"/>
  <c r="AN156" i="55"/>
  <c r="CZ156" i="55" s="1"/>
  <c r="CZ133" i="55"/>
  <c r="AO157" i="55"/>
  <c r="DA157" i="55" s="1"/>
  <c r="DA134" i="55"/>
  <c r="AN155" i="55"/>
  <c r="CZ155" i="55" s="1"/>
  <c r="CZ132" i="55"/>
  <c r="K117" i="45"/>
  <c r="AQ117" i="45"/>
  <c r="L117" i="45"/>
  <c r="I322" i="48"/>
  <c r="AP103" i="55"/>
  <c r="AP126" i="55" s="1"/>
  <c r="AP149" i="55" s="1"/>
  <c r="K312" i="46"/>
  <c r="K316" i="46" s="1"/>
  <c r="BX109" i="55" s="1"/>
  <c r="BX132" i="55" s="1"/>
  <c r="BX155" i="55" s="1"/>
  <c r="BX103" i="55"/>
  <c r="BX126" i="55" s="1"/>
  <c r="BX149" i="55" s="1"/>
  <c r="J322" i="46"/>
  <c r="K103" i="55"/>
  <c r="K126" i="55" s="1"/>
  <c r="K149" i="55" s="1"/>
  <c r="K322" i="46"/>
  <c r="L103" i="55"/>
  <c r="L126" i="55" s="1"/>
  <c r="L149" i="55" s="1"/>
  <c r="K113" i="45"/>
  <c r="K91" i="45"/>
  <c r="K114" i="45" s="1"/>
  <c r="K115" i="45" s="1"/>
  <c r="N319" i="48"/>
  <c r="N320" i="48" s="1"/>
  <c r="L113" i="45"/>
  <c r="L78" i="45"/>
  <c r="K78" i="45"/>
  <c r="L114" i="45"/>
  <c r="L115" i="45" s="1"/>
  <c r="O70" i="45"/>
  <c r="H119" i="45"/>
  <c r="D126" i="45"/>
  <c r="M90" i="45"/>
  <c r="AS90" i="45" s="1"/>
  <c r="AS91" i="45" s="1"/>
  <c r="M106" i="45"/>
  <c r="AS106" i="45" s="1"/>
  <c r="AS109" i="45" s="1"/>
  <c r="AK126" i="45"/>
  <c r="AM119" i="45"/>
  <c r="M76" i="45"/>
  <c r="AS76" i="45" s="1"/>
  <c r="M97" i="45"/>
  <c r="Q266" i="48"/>
  <c r="Q271" i="48" s="1"/>
  <c r="AU60" i="45"/>
  <c r="AU73" i="45" s="1"/>
  <c r="AU59" i="45"/>
  <c r="AU72" i="45" s="1"/>
  <c r="AV34" i="45"/>
  <c r="O36" i="48" s="1"/>
  <c r="O42" i="48" s="1"/>
  <c r="O47" i="48" s="1"/>
  <c r="I348" i="46"/>
  <c r="I351" i="46" s="1"/>
  <c r="I356" i="46" s="1"/>
  <c r="Q264" i="48"/>
  <c r="Q269" i="48" s="1"/>
  <c r="AU70" i="45"/>
  <c r="AW30" i="45"/>
  <c r="Q265" i="48"/>
  <c r="Q270" i="48" s="1"/>
  <c r="M111" i="45"/>
  <c r="Q267" i="48"/>
  <c r="Q272" i="48" s="1"/>
  <c r="K116" i="45"/>
  <c r="N274" i="48"/>
  <c r="N71" i="45"/>
  <c r="AT73" i="45"/>
  <c r="K118" i="45"/>
  <c r="M109" i="45"/>
  <c r="F124" i="45"/>
  <c r="O58" i="45"/>
  <c r="O60" i="45"/>
  <c r="O73" i="45" s="1"/>
  <c r="O59" i="45"/>
  <c r="AS94" i="45"/>
  <c r="M93" i="45"/>
  <c r="M94" i="45"/>
  <c r="AS93" i="45"/>
  <c r="AV68" i="45"/>
  <c r="AS103" i="45"/>
  <c r="M101" i="45"/>
  <c r="M103" i="45"/>
  <c r="AS102" i="45"/>
  <c r="M102" i="45"/>
  <c r="AS101" i="45"/>
  <c r="F123" i="45"/>
  <c r="P68" i="45"/>
  <c r="AV57" i="45"/>
  <c r="O40" i="48" s="1"/>
  <c r="T46" i="48" s="1"/>
  <c r="AQ118" i="45"/>
  <c r="N72" i="45"/>
  <c r="AT71" i="45"/>
  <c r="L118" i="45"/>
  <c r="AR116" i="45"/>
  <c r="F121" i="45"/>
  <c r="F128" i="45" s="1"/>
  <c r="AS111" i="45"/>
  <c r="AS112" i="45"/>
  <c r="AS110" i="45"/>
  <c r="AS81" i="45"/>
  <c r="AS80" i="45"/>
  <c r="AS79" i="45"/>
  <c r="M80" i="45"/>
  <c r="M79" i="45"/>
  <c r="M81" i="45"/>
  <c r="AQ116" i="45"/>
  <c r="AT72" i="45"/>
  <c r="M110" i="45"/>
  <c r="M112" i="45"/>
  <c r="L116" i="45"/>
  <c r="AR118" i="45"/>
  <c r="G119" i="45"/>
  <c r="AX37" i="45"/>
  <c r="AX32" i="45"/>
  <c r="AX29" i="45"/>
  <c r="AX36" i="45"/>
  <c r="AX35" i="45"/>
  <c r="AX31" i="45"/>
  <c r="AX28" i="45"/>
  <c r="AX54" i="45"/>
  <c r="J317" i="48"/>
  <c r="J314" i="48"/>
  <c r="J318" i="48"/>
  <c r="J315" i="48"/>
  <c r="J313" i="48"/>
  <c r="J316" i="48"/>
  <c r="O75" i="45"/>
  <c r="N36" i="46"/>
  <c r="N42" i="46" s="1"/>
  <c r="L116" i="48"/>
  <c r="L121" i="48" s="1"/>
  <c r="L113" i="48"/>
  <c r="L118" i="48" s="1"/>
  <c r="L115" i="48"/>
  <c r="L120" i="48" s="1"/>
  <c r="L117" i="48"/>
  <c r="L114" i="48"/>
  <c r="L119" i="48" s="1"/>
  <c r="L277" i="48"/>
  <c r="M47" i="46"/>
  <c r="M82" i="46"/>
  <c r="M102" i="46"/>
  <c r="M72" i="46"/>
  <c r="M112" i="46"/>
  <c r="Q30" i="45"/>
  <c r="K311" i="48"/>
  <c r="K312" i="48" s="1"/>
  <c r="L278" i="48"/>
  <c r="AV67" i="45"/>
  <c r="L311" i="46"/>
  <c r="M278" i="46"/>
  <c r="M18" i="52" s="1"/>
  <c r="H356" i="48"/>
  <c r="F366" i="48"/>
  <c r="AM104" i="55" s="1"/>
  <c r="AM127" i="55" s="1"/>
  <c r="AM150" i="55" s="1"/>
  <c r="AW55" i="45"/>
  <c r="AW56" i="45"/>
  <c r="O104" i="45"/>
  <c r="N40" i="46"/>
  <c r="S46" i="46" s="1"/>
  <c r="S263" i="46" s="1"/>
  <c r="AQ114" i="45"/>
  <c r="AQ78" i="45"/>
  <c r="E374" i="46"/>
  <c r="F125" i="45"/>
  <c r="K334" i="48"/>
  <c r="K346" i="48" s="1"/>
  <c r="K335" i="48"/>
  <c r="K321" i="48"/>
  <c r="DD103" i="55" s="1"/>
  <c r="DD126" i="55" s="1"/>
  <c r="DD149" i="55" s="1"/>
  <c r="K344" i="48"/>
  <c r="K345" i="48" s="1"/>
  <c r="J344" i="48"/>
  <c r="J345" i="48" s="1"/>
  <c r="J321" i="48"/>
  <c r="DC103" i="55" s="1"/>
  <c r="DC126" i="55" s="1"/>
  <c r="DC149" i="55" s="1"/>
  <c r="I347" i="48"/>
  <c r="I348" i="48"/>
  <c r="I349" i="48" s="1"/>
  <c r="I350" i="48" s="1"/>
  <c r="G366" i="46"/>
  <c r="H104" i="55" s="1"/>
  <c r="H127" i="55" s="1"/>
  <c r="H150" i="55" s="1"/>
  <c r="L103" i="48"/>
  <c r="L108" i="48" s="1"/>
  <c r="L105" i="48"/>
  <c r="L110" i="48" s="1"/>
  <c r="L107" i="48"/>
  <c r="L104" i="48"/>
  <c r="L109" i="48" s="1"/>
  <c r="L106" i="48"/>
  <c r="L111" i="48" s="1"/>
  <c r="AW33" i="45"/>
  <c r="AW34" i="45" s="1"/>
  <c r="P36" i="48" s="1"/>
  <c r="P42" i="48" s="1"/>
  <c r="F366" i="46"/>
  <c r="G104" i="55" s="1"/>
  <c r="G127" i="55" s="1"/>
  <c r="G150" i="55" s="1"/>
  <c r="K329" i="48"/>
  <c r="K328" i="48"/>
  <c r="AR78" i="45"/>
  <c r="L321" i="46"/>
  <c r="L344" i="46"/>
  <c r="L345" i="46" s="1"/>
  <c r="Q33" i="45"/>
  <c r="L87" i="48"/>
  <c r="L84" i="48"/>
  <c r="L89" i="48" s="1"/>
  <c r="L86" i="48"/>
  <c r="L91" i="48" s="1"/>
  <c r="L83" i="48"/>
  <c r="L88" i="48" s="1"/>
  <c r="L85" i="48"/>
  <c r="L90" i="48" s="1"/>
  <c r="G356" i="48"/>
  <c r="G357" i="48" s="1"/>
  <c r="G366" i="48" s="1"/>
  <c r="R264" i="46"/>
  <c r="R269" i="46" s="1"/>
  <c r="R268" i="46"/>
  <c r="R263" i="48"/>
  <c r="R267" i="46"/>
  <c r="R272" i="46" s="1"/>
  <c r="R265" i="46"/>
  <c r="R270" i="46" s="1"/>
  <c r="R266" i="46"/>
  <c r="R271" i="46" s="1"/>
  <c r="AK121" i="45"/>
  <c r="AK128" i="45" s="1"/>
  <c r="AQ100" i="45"/>
  <c r="L77" i="48"/>
  <c r="L74" i="48"/>
  <c r="L79" i="48" s="1"/>
  <c r="L73" i="48"/>
  <c r="L78" i="48" s="1"/>
  <c r="L75" i="48"/>
  <c r="L80" i="48" s="1"/>
  <c r="L76" i="48"/>
  <c r="L81" i="48" s="1"/>
  <c r="I330" i="46"/>
  <c r="I331" i="46"/>
  <c r="P34" i="45"/>
  <c r="P57" i="45"/>
  <c r="AU75" i="45"/>
  <c r="P67" i="45"/>
  <c r="AU104" i="45"/>
  <c r="AV75" i="45"/>
  <c r="Q55" i="45"/>
  <c r="Q56" i="45"/>
  <c r="S27" i="45"/>
  <c r="AY27" i="45" s="1"/>
  <c r="R28" i="45"/>
  <c r="R29" i="45"/>
  <c r="R31" i="45"/>
  <c r="R35" i="45"/>
  <c r="R32" i="45"/>
  <c r="R37" i="45"/>
  <c r="R54" i="45"/>
  <c r="R36" i="45"/>
  <c r="K334" i="46" l="1"/>
  <c r="K346" i="46" s="1"/>
  <c r="K347" i="46" s="1"/>
  <c r="K335" i="46"/>
  <c r="K329" i="46"/>
  <c r="K328" i="46"/>
  <c r="J329" i="46"/>
  <c r="J328" i="46"/>
  <c r="AN157" i="55"/>
  <c r="CZ157" i="55" s="1"/>
  <c r="AO156" i="55"/>
  <c r="DA156" i="55" s="1"/>
  <c r="DA133" i="55"/>
  <c r="H357" i="46"/>
  <c r="H366" i="46" s="1"/>
  <c r="AL121" i="45"/>
  <c r="AL128" i="45" s="1"/>
  <c r="CZ134" i="55"/>
  <c r="AO154" i="55"/>
  <c r="DA154" i="55" s="1"/>
  <c r="DA131" i="55"/>
  <c r="AL130" i="55"/>
  <c r="CX107" i="55"/>
  <c r="AO155" i="55"/>
  <c r="DA155" i="55" s="1"/>
  <c r="DA132" i="55"/>
  <c r="E125" i="45"/>
  <c r="D374" i="46"/>
  <c r="E126" i="45" s="1"/>
  <c r="AL124" i="45"/>
  <c r="AL123" i="45"/>
  <c r="E374" i="48"/>
  <c r="J331" i="48"/>
  <c r="J330" i="48"/>
  <c r="J334" i="46"/>
  <c r="J346" i="46" s="1"/>
  <c r="J347" i="46" s="1"/>
  <c r="J335" i="46"/>
  <c r="E131" i="45"/>
  <c r="E53" i="58" s="1"/>
  <c r="E130" i="45"/>
  <c r="E48" i="58" s="1"/>
  <c r="E129" i="45"/>
  <c r="E43" i="58" s="1"/>
  <c r="D49" i="58"/>
  <c r="D54" i="58"/>
  <c r="D44" i="58"/>
  <c r="E124" i="45"/>
  <c r="E123" i="45"/>
  <c r="K340" i="46"/>
  <c r="L109" i="55" s="1"/>
  <c r="L132" i="55" s="1"/>
  <c r="L155" i="55" s="1"/>
  <c r="J342" i="46"/>
  <c r="K111" i="55" s="1"/>
  <c r="K134" i="55" s="1"/>
  <c r="K157" i="55" s="1"/>
  <c r="K314" i="46"/>
  <c r="BX107" i="55" s="1"/>
  <c r="BX130" i="55" s="1"/>
  <c r="BX153" i="55" s="1"/>
  <c r="K337" i="46"/>
  <c r="K339" i="46"/>
  <c r="L108" i="55" s="1"/>
  <c r="L131" i="55" s="1"/>
  <c r="L154" i="55" s="1"/>
  <c r="K341" i="46"/>
  <c r="L110" i="55" s="1"/>
  <c r="L133" i="55" s="1"/>
  <c r="L156" i="55" s="1"/>
  <c r="K342" i="46"/>
  <c r="L111" i="55" s="1"/>
  <c r="L134" i="55" s="1"/>
  <c r="L157" i="55" s="1"/>
  <c r="K338" i="46"/>
  <c r="J341" i="46"/>
  <c r="K110" i="55" s="1"/>
  <c r="K133" i="55" s="1"/>
  <c r="K156" i="55" s="1"/>
  <c r="J340" i="46"/>
  <c r="K109" i="55" s="1"/>
  <c r="K132" i="55" s="1"/>
  <c r="K155" i="55" s="1"/>
  <c r="J339" i="46"/>
  <c r="K108" i="55" s="1"/>
  <c r="K131" i="55" s="1"/>
  <c r="K154" i="55" s="1"/>
  <c r="J338" i="46"/>
  <c r="J337" i="46"/>
  <c r="I338" i="48"/>
  <c r="I342" i="48"/>
  <c r="AP111" i="55" s="1"/>
  <c r="I339" i="48"/>
  <c r="AP108" i="55" s="1"/>
  <c r="I337" i="48"/>
  <c r="I341" i="48"/>
  <c r="AP110" i="55" s="1"/>
  <c r="I340" i="48"/>
  <c r="AP109" i="55" s="1"/>
  <c r="AR113" i="45"/>
  <c r="AR114" i="45"/>
  <c r="AQ113" i="45"/>
  <c r="AP115" i="45"/>
  <c r="L325" i="46"/>
  <c r="L327" i="46"/>
  <c r="L324" i="46"/>
  <c r="L326" i="46"/>
  <c r="I352" i="48"/>
  <c r="AR100" i="45"/>
  <c r="M327" i="48"/>
  <c r="M324" i="48"/>
  <c r="M326" i="48"/>
  <c r="M325" i="48"/>
  <c r="I332" i="48"/>
  <c r="I336" i="48" s="1"/>
  <c r="I333" i="48"/>
  <c r="L326" i="48"/>
  <c r="L324" i="48"/>
  <c r="L325" i="48"/>
  <c r="L327" i="48"/>
  <c r="K313" i="46"/>
  <c r="N323" i="48"/>
  <c r="K315" i="46"/>
  <c r="BX108" i="55" s="1"/>
  <c r="BX131" i="55" s="1"/>
  <c r="BX154" i="55" s="1"/>
  <c r="M91" i="45"/>
  <c r="K317" i="46"/>
  <c r="BX110" i="55" s="1"/>
  <c r="BX133" i="55" s="1"/>
  <c r="BX156" i="55" s="1"/>
  <c r="K318" i="46"/>
  <c r="BX111" i="55" s="1"/>
  <c r="BX134" i="55" s="1"/>
  <c r="BX157" i="55" s="1"/>
  <c r="CY104" i="55"/>
  <c r="CY127" i="55" s="1"/>
  <c r="CY150" i="55" s="1"/>
  <c r="AW67" i="45"/>
  <c r="AK131" i="45"/>
  <c r="AK53" i="58" s="1"/>
  <c r="AK129" i="45"/>
  <c r="AK43" i="58" s="1"/>
  <c r="AK130" i="45"/>
  <c r="AK48" i="58" s="1"/>
  <c r="F131" i="45"/>
  <c r="F53" i="58" s="1"/>
  <c r="F129" i="45"/>
  <c r="F43" i="58" s="1"/>
  <c r="F130" i="45"/>
  <c r="F48" i="58" s="1"/>
  <c r="M113" i="45"/>
  <c r="AS117" i="45"/>
  <c r="M117" i="45"/>
  <c r="H107" i="55"/>
  <c r="H130" i="55" s="1"/>
  <c r="H153" i="55" s="1"/>
  <c r="AM107" i="55"/>
  <c r="K322" i="48"/>
  <c r="K339" i="48" s="1"/>
  <c r="AR108" i="55" s="1"/>
  <c r="AR103" i="55"/>
  <c r="AR126" i="55" s="1"/>
  <c r="AR149" i="55" s="1"/>
  <c r="L312" i="46"/>
  <c r="BY103" i="55"/>
  <c r="BY126" i="55" s="1"/>
  <c r="BY149" i="55" s="1"/>
  <c r="L322" i="46"/>
  <c r="L340" i="46" s="1"/>
  <c r="M109" i="55" s="1"/>
  <c r="M132" i="55" s="1"/>
  <c r="M155" i="55" s="1"/>
  <c r="M103" i="55"/>
  <c r="M126" i="55" s="1"/>
  <c r="M149" i="55" s="1"/>
  <c r="G107" i="55"/>
  <c r="G130" i="55" s="1"/>
  <c r="G153" i="55" s="1"/>
  <c r="J322" i="48"/>
  <c r="AQ103" i="55"/>
  <c r="AQ126" i="55" s="1"/>
  <c r="AQ149" i="55" s="1"/>
  <c r="O319" i="48"/>
  <c r="O320" i="48" s="1"/>
  <c r="M100" i="45"/>
  <c r="AS97" i="45"/>
  <c r="AS100" i="45" s="1"/>
  <c r="M319" i="46"/>
  <c r="M323" i="46" s="1"/>
  <c r="M78" i="45"/>
  <c r="F373" i="48"/>
  <c r="G120" i="45"/>
  <c r="G122" i="45" s="1"/>
  <c r="AX33" i="45"/>
  <c r="S105" i="45"/>
  <c r="AY105" i="45" s="1"/>
  <c r="AN120" i="45"/>
  <c r="AN122" i="45" s="1"/>
  <c r="F126" i="45"/>
  <c r="O274" i="48"/>
  <c r="I349" i="46"/>
  <c r="I350" i="46" s="1"/>
  <c r="I352" i="46" s="1"/>
  <c r="M274" i="46"/>
  <c r="AS116" i="45"/>
  <c r="AS114" i="45"/>
  <c r="AW57" i="45"/>
  <c r="AW59" i="45" s="1"/>
  <c r="M116" i="45"/>
  <c r="P70" i="45"/>
  <c r="AW60" i="45"/>
  <c r="AW73" i="45" s="1"/>
  <c r="AV59" i="45"/>
  <c r="AV60" i="45"/>
  <c r="AV58" i="45"/>
  <c r="O71" i="45"/>
  <c r="Q57" i="45"/>
  <c r="O72" i="45"/>
  <c r="AX30" i="45"/>
  <c r="P59" i="45"/>
  <c r="P58" i="45"/>
  <c r="P60" i="45"/>
  <c r="P73" i="45" s="1"/>
  <c r="AS118" i="45"/>
  <c r="P104" i="45"/>
  <c r="AV70" i="45"/>
  <c r="M118" i="45"/>
  <c r="F368" i="48"/>
  <c r="AM120" i="45"/>
  <c r="P40" i="48"/>
  <c r="U46" i="48" s="1"/>
  <c r="AY31" i="45"/>
  <c r="AY37" i="45"/>
  <c r="AY36" i="45"/>
  <c r="AY28" i="45"/>
  <c r="AY35" i="45"/>
  <c r="AY32" i="45"/>
  <c r="AY29" i="45"/>
  <c r="AY54" i="45"/>
  <c r="P47" i="48"/>
  <c r="H357" i="48"/>
  <c r="H366" i="48" s="1"/>
  <c r="M105" i="46"/>
  <c r="M110" i="46" s="1"/>
  <c r="M102" i="48"/>
  <c r="M104" i="46"/>
  <c r="M109" i="46" s="1"/>
  <c r="M106" i="46"/>
  <c r="M111" i="46" s="1"/>
  <c r="M103" i="46"/>
  <c r="M108" i="46" s="1"/>
  <c r="M107" i="46"/>
  <c r="AX56" i="45"/>
  <c r="AX55" i="45"/>
  <c r="Q68" i="45"/>
  <c r="O40" i="46"/>
  <c r="T46" i="46" s="1"/>
  <c r="T263" i="46" s="1"/>
  <c r="I333" i="46"/>
  <c r="I332" i="46"/>
  <c r="I336" i="46" s="1"/>
  <c r="G364" i="48"/>
  <c r="CZ104" i="55" s="1"/>
  <c r="CZ127" i="55" s="1"/>
  <c r="CZ150" i="55" s="1"/>
  <c r="S265" i="46"/>
  <c r="S270" i="46" s="1"/>
  <c r="S268" i="46"/>
  <c r="S266" i="46"/>
  <c r="S271" i="46" s="1"/>
  <c r="S263" i="48"/>
  <c r="S264" i="46"/>
  <c r="S269" i="46" s="1"/>
  <c r="S267" i="46"/>
  <c r="S272" i="46" s="1"/>
  <c r="M311" i="46"/>
  <c r="N278" i="46"/>
  <c r="N18" i="52" s="1"/>
  <c r="AS78" i="45"/>
  <c r="M83" i="46"/>
  <c r="M88" i="46" s="1"/>
  <c r="M82" i="48"/>
  <c r="M85" i="46"/>
  <c r="M90" i="46" s="1"/>
  <c r="M84" i="46"/>
  <c r="M89" i="46" s="1"/>
  <c r="M87" i="46"/>
  <c r="M86" i="46"/>
  <c r="M91" i="46" s="1"/>
  <c r="L321" i="48"/>
  <c r="DE103" i="55" s="1"/>
  <c r="DE126" i="55" s="1"/>
  <c r="DE149" i="55" s="1"/>
  <c r="L344" i="48"/>
  <c r="L345" i="48" s="1"/>
  <c r="N47" i="46"/>
  <c r="N112" i="46"/>
  <c r="N82" i="46"/>
  <c r="N102" i="46"/>
  <c r="N72" i="46"/>
  <c r="F373" i="46"/>
  <c r="K330" i="48"/>
  <c r="K331" i="48"/>
  <c r="G368" i="46"/>
  <c r="H120" i="45"/>
  <c r="G373" i="46"/>
  <c r="I351" i="48"/>
  <c r="J347" i="48"/>
  <c r="J348" i="48"/>
  <c r="J349" i="48" s="1"/>
  <c r="J350" i="48" s="1"/>
  <c r="I357" i="46"/>
  <c r="I364" i="46" s="1"/>
  <c r="M278" i="48"/>
  <c r="L311" i="48"/>
  <c r="L312" i="48" s="1"/>
  <c r="Q34" i="45"/>
  <c r="M116" i="46"/>
  <c r="M121" i="46" s="1"/>
  <c r="M117" i="46"/>
  <c r="M115" i="46"/>
  <c r="M120" i="46" s="1"/>
  <c r="M112" i="48"/>
  <c r="M114" i="46"/>
  <c r="M119" i="46" s="1"/>
  <c r="M113" i="46"/>
  <c r="M118" i="46" s="1"/>
  <c r="M277" i="46"/>
  <c r="F368" i="46"/>
  <c r="R264" i="48"/>
  <c r="R269" i="48" s="1"/>
  <c r="R268" i="48"/>
  <c r="R267" i="48"/>
  <c r="R272" i="48" s="1"/>
  <c r="R265" i="48"/>
  <c r="R270" i="48" s="1"/>
  <c r="R266" i="48"/>
  <c r="R271" i="48" s="1"/>
  <c r="P75" i="45"/>
  <c r="O36" i="46"/>
  <c r="O42" i="46" s="1"/>
  <c r="AW68" i="45"/>
  <c r="K347" i="48"/>
  <c r="K348" i="48"/>
  <c r="K349" i="48" s="1"/>
  <c r="K350" i="48" s="1"/>
  <c r="K314" i="48"/>
  <c r="K313" i="48"/>
  <c r="K318" i="48"/>
  <c r="K316" i="48"/>
  <c r="K315" i="48"/>
  <c r="K317" i="48"/>
  <c r="M72" i="48"/>
  <c r="M76" i="46"/>
  <c r="M81" i="46" s="1"/>
  <c r="M75" i="46"/>
  <c r="M80" i="46" s="1"/>
  <c r="M73" i="46"/>
  <c r="M78" i="46" s="1"/>
  <c r="M77" i="46"/>
  <c r="M74" i="46"/>
  <c r="M79" i="46" s="1"/>
  <c r="AV104" i="45"/>
  <c r="T27" i="45"/>
  <c r="AZ27" i="45" s="1"/>
  <c r="S28" i="45"/>
  <c r="S29" i="45"/>
  <c r="S31" i="45"/>
  <c r="S36" i="45"/>
  <c r="S35" i="45"/>
  <c r="S32" i="45"/>
  <c r="S54" i="45"/>
  <c r="S37" i="45"/>
  <c r="R30" i="45"/>
  <c r="Q67" i="45"/>
  <c r="R55" i="45"/>
  <c r="R56" i="45"/>
  <c r="R33" i="45"/>
  <c r="J331" i="46" l="1"/>
  <c r="J330" i="46"/>
  <c r="AL153" i="55"/>
  <c r="CX153" i="55" s="1"/>
  <c r="CX130" i="55"/>
  <c r="AL131" i="45"/>
  <c r="AL53" i="58" s="1"/>
  <c r="AL129" i="45"/>
  <c r="AL43" i="58" s="1"/>
  <c r="AL130" i="45"/>
  <c r="AL48" i="58" s="1"/>
  <c r="I120" i="45"/>
  <c r="I122" i="45" s="1"/>
  <c r="J333" i="48"/>
  <c r="J332" i="48"/>
  <c r="J336" i="48" s="1"/>
  <c r="J352" i="48"/>
  <c r="K331" i="46"/>
  <c r="K330" i="46"/>
  <c r="K348" i="46"/>
  <c r="K351" i="46" s="1"/>
  <c r="H364" i="46"/>
  <c r="AL126" i="45"/>
  <c r="J348" i="46"/>
  <c r="E44" i="58"/>
  <c r="E49" i="58"/>
  <c r="E54" i="58"/>
  <c r="O323" i="48"/>
  <c r="O325" i="48" s="1"/>
  <c r="AP133" i="55"/>
  <c r="DB110" i="55"/>
  <c r="AP131" i="55"/>
  <c r="DB108" i="55"/>
  <c r="AP134" i="55"/>
  <c r="DB111" i="55"/>
  <c r="AP132" i="55"/>
  <c r="DB109" i="55"/>
  <c r="L315" i="46"/>
  <c r="BY108" i="55" s="1"/>
  <c r="BY131" i="55" s="1"/>
  <c r="BY154" i="55" s="1"/>
  <c r="L318" i="46"/>
  <c r="BY111" i="55" s="1"/>
  <c r="BY134" i="55" s="1"/>
  <c r="BY157" i="55" s="1"/>
  <c r="L317" i="46"/>
  <c r="BY110" i="55" s="1"/>
  <c r="BY133" i="55" s="1"/>
  <c r="BY156" i="55" s="1"/>
  <c r="L314" i="46"/>
  <c r="BY107" i="55" s="1"/>
  <c r="BY130" i="55" s="1"/>
  <c r="BY153" i="55" s="1"/>
  <c r="L316" i="46"/>
  <c r="BY109" i="55" s="1"/>
  <c r="BY132" i="55" s="1"/>
  <c r="BY155" i="55" s="1"/>
  <c r="L313" i="46"/>
  <c r="F49" i="58"/>
  <c r="AQ115" i="45"/>
  <c r="AR115" i="45"/>
  <c r="M114" i="45"/>
  <c r="M115" i="45" s="1"/>
  <c r="M335" i="48"/>
  <c r="M334" i="48"/>
  <c r="M346" i="48" s="1"/>
  <c r="K340" i="48"/>
  <c r="AR109" i="55" s="1"/>
  <c r="J337" i="48"/>
  <c r="J342" i="48"/>
  <c r="AQ111" i="55" s="1"/>
  <c r="J338" i="48"/>
  <c r="J339" i="48"/>
  <c r="AQ108" i="55" s="1"/>
  <c r="J340" i="48"/>
  <c r="AQ109" i="55" s="1"/>
  <c r="J341" i="48"/>
  <c r="AQ110" i="55" s="1"/>
  <c r="L335" i="46"/>
  <c r="L334" i="46"/>
  <c r="L346" i="46" s="1"/>
  <c r="L347" i="46" s="1"/>
  <c r="L328" i="48"/>
  <c r="L329" i="48"/>
  <c r="N327" i="48"/>
  <c r="N324" i="48"/>
  <c r="N325" i="48"/>
  <c r="N326" i="48"/>
  <c r="M328" i="48"/>
  <c r="M329" i="48"/>
  <c r="L335" i="48"/>
  <c r="L334" i="48"/>
  <c r="L346" i="48" s="1"/>
  <c r="AW70" i="45"/>
  <c r="L329" i="46"/>
  <c r="L328" i="46"/>
  <c r="L341" i="46"/>
  <c r="M110" i="55" s="1"/>
  <c r="M133" i="55" s="1"/>
  <c r="M156" i="55" s="1"/>
  <c r="L338" i="46"/>
  <c r="L337" i="46"/>
  <c r="L339" i="46"/>
  <c r="M108" i="55" s="1"/>
  <c r="M131" i="55" s="1"/>
  <c r="M154" i="55" s="1"/>
  <c r="L342" i="46"/>
  <c r="M111" i="55" s="1"/>
  <c r="M134" i="55" s="1"/>
  <c r="M157" i="55" s="1"/>
  <c r="AX67" i="45"/>
  <c r="F44" i="58"/>
  <c r="AR131" i="55"/>
  <c r="DD108" i="55"/>
  <c r="AM130" i="55"/>
  <c r="CY107" i="55"/>
  <c r="F54" i="58"/>
  <c r="AK49" i="58"/>
  <c r="AK44" i="58"/>
  <c r="AK54" i="58"/>
  <c r="M312" i="46"/>
  <c r="BZ103" i="55"/>
  <c r="BZ126" i="55" s="1"/>
  <c r="BZ149" i="55" s="1"/>
  <c r="AN104" i="55"/>
  <c r="AN127" i="55" s="1"/>
  <c r="AN150" i="55" s="1"/>
  <c r="AN107" i="55"/>
  <c r="K341" i="48"/>
  <c r="AR110" i="55" s="1"/>
  <c r="M320" i="46"/>
  <c r="K342" i="48"/>
  <c r="AR111" i="55" s="1"/>
  <c r="L322" i="48"/>
  <c r="L337" i="48" s="1"/>
  <c r="AS103" i="55"/>
  <c r="AS126" i="55" s="1"/>
  <c r="AS149" i="55" s="1"/>
  <c r="K338" i="48"/>
  <c r="K337" i="48"/>
  <c r="AS113" i="45"/>
  <c r="AS115" i="45" s="1"/>
  <c r="N319" i="46"/>
  <c r="P319" i="48"/>
  <c r="P323" i="48" s="1"/>
  <c r="G123" i="45"/>
  <c r="G121" i="45"/>
  <c r="G128" i="45" s="1"/>
  <c r="AM125" i="45"/>
  <c r="F374" i="48"/>
  <c r="G124" i="45"/>
  <c r="AX68" i="45"/>
  <c r="N76" i="45"/>
  <c r="AT76" i="45" s="1"/>
  <c r="N90" i="45"/>
  <c r="AT90" i="45" s="1"/>
  <c r="AT91" i="45" s="1"/>
  <c r="N106" i="45"/>
  <c r="N97" i="45"/>
  <c r="AX34" i="45"/>
  <c r="Q36" i="48" s="1"/>
  <c r="Q42" i="48" s="1"/>
  <c r="Q47" i="48" s="1"/>
  <c r="T105" i="45"/>
  <c r="AZ105" i="45" s="1"/>
  <c r="AN119" i="45"/>
  <c r="AN124" i="45" s="1"/>
  <c r="AO120" i="45"/>
  <c r="AO122" i="45" s="1"/>
  <c r="AW58" i="45"/>
  <c r="AW71" i="45" s="1"/>
  <c r="J351" i="48"/>
  <c r="P274" i="48"/>
  <c r="K351" i="48"/>
  <c r="K356" i="48" s="1"/>
  <c r="AX57" i="45"/>
  <c r="Q40" i="48" s="1"/>
  <c r="V46" i="48" s="1"/>
  <c r="Q70" i="45"/>
  <c r="N274" i="46"/>
  <c r="P71" i="45"/>
  <c r="H122" i="45"/>
  <c r="H124" i="45"/>
  <c r="H123" i="45"/>
  <c r="N94" i="45"/>
  <c r="AT93" i="45"/>
  <c r="N93" i="45"/>
  <c r="AT94" i="45"/>
  <c r="P72" i="45"/>
  <c r="P40" i="46"/>
  <c r="U46" i="46" s="1"/>
  <c r="U263" i="46" s="1"/>
  <c r="Q59" i="45"/>
  <c r="Q58" i="45"/>
  <c r="Q60" i="45"/>
  <c r="K352" i="48"/>
  <c r="AV72" i="45"/>
  <c r="AW72" i="45"/>
  <c r="AT81" i="45"/>
  <c r="N79" i="45"/>
  <c r="N80" i="45"/>
  <c r="AT79" i="45"/>
  <c r="AT80" i="45"/>
  <c r="N81" i="45"/>
  <c r="N110" i="45"/>
  <c r="N111" i="45"/>
  <c r="N112" i="45"/>
  <c r="AT112" i="45"/>
  <c r="AT111" i="45"/>
  <c r="AT110" i="45"/>
  <c r="AV71" i="45"/>
  <c r="AV73" i="45"/>
  <c r="R57" i="45"/>
  <c r="Q104" i="45"/>
  <c r="N103" i="45"/>
  <c r="N102" i="45"/>
  <c r="AT101" i="45"/>
  <c r="N101" i="45"/>
  <c r="AT103" i="45"/>
  <c r="AT102" i="45"/>
  <c r="AT106" i="45"/>
  <c r="AT109" i="45" s="1"/>
  <c r="N109" i="45"/>
  <c r="AM122" i="45"/>
  <c r="AM123" i="45"/>
  <c r="AM124" i="45"/>
  <c r="H121" i="45"/>
  <c r="H128" i="45" s="1"/>
  <c r="O47" i="46"/>
  <c r="O112" i="46"/>
  <c r="O72" i="46"/>
  <c r="O102" i="46"/>
  <c r="O82" i="46"/>
  <c r="M325" i="46"/>
  <c r="M324" i="46"/>
  <c r="M326" i="46"/>
  <c r="M327" i="46"/>
  <c r="M114" i="48"/>
  <c r="M119" i="48" s="1"/>
  <c r="M116" i="48"/>
  <c r="M121" i="48" s="1"/>
  <c r="M113" i="48"/>
  <c r="M118" i="48" s="1"/>
  <c r="M117" i="48"/>
  <c r="M115" i="48"/>
  <c r="M120" i="48" s="1"/>
  <c r="M277" i="48"/>
  <c r="Q75" i="45"/>
  <c r="P36" i="46"/>
  <c r="P42" i="46" s="1"/>
  <c r="N112" i="48"/>
  <c r="N116" i="46"/>
  <c r="N121" i="46" s="1"/>
  <c r="N113" i="46"/>
  <c r="N118" i="46" s="1"/>
  <c r="N115" i="46"/>
  <c r="N120" i="46" s="1"/>
  <c r="N117" i="46"/>
  <c r="N114" i="46"/>
  <c r="N119" i="46" s="1"/>
  <c r="N277" i="46"/>
  <c r="M83" i="48"/>
  <c r="M88" i="48" s="1"/>
  <c r="M85" i="48"/>
  <c r="M90" i="48" s="1"/>
  <c r="M87" i="48"/>
  <c r="M84" i="48"/>
  <c r="M89" i="48" s="1"/>
  <c r="M86" i="48"/>
  <c r="M91" i="48" s="1"/>
  <c r="G368" i="48"/>
  <c r="G373" i="48"/>
  <c r="M106" i="48"/>
  <c r="M111" i="48" s="1"/>
  <c r="M103" i="48"/>
  <c r="M108" i="48" s="1"/>
  <c r="M105" i="48"/>
  <c r="M110" i="48" s="1"/>
  <c r="M104" i="48"/>
  <c r="M109" i="48" s="1"/>
  <c r="M107" i="48"/>
  <c r="AY33" i="45"/>
  <c r="N86" i="46"/>
  <c r="N91" i="46" s="1"/>
  <c r="N85" i="46"/>
  <c r="N90" i="46" s="1"/>
  <c r="N87" i="46"/>
  <c r="N83" i="46"/>
  <c r="N88" i="46" s="1"/>
  <c r="N84" i="46"/>
  <c r="N89" i="46" s="1"/>
  <c r="N82" i="48"/>
  <c r="R68" i="45"/>
  <c r="AM121" i="45"/>
  <c r="AM128" i="45" s="1"/>
  <c r="M74" i="48"/>
  <c r="M79" i="48" s="1"/>
  <c r="M77" i="48"/>
  <c r="M75" i="48"/>
  <c r="M80" i="48" s="1"/>
  <c r="M73" i="48"/>
  <c r="M78" i="48" s="1"/>
  <c r="M76" i="48"/>
  <c r="M81" i="48" s="1"/>
  <c r="M344" i="46"/>
  <c r="M345" i="46" s="1"/>
  <c r="M321" i="46"/>
  <c r="L316" i="48"/>
  <c r="L317" i="48"/>
  <c r="L315" i="48"/>
  <c r="L313" i="48"/>
  <c r="L314" i="48"/>
  <c r="L318" i="48"/>
  <c r="I366" i="46"/>
  <c r="J104" i="55" s="1"/>
  <c r="J127" i="55" s="1"/>
  <c r="J150" i="55" s="1"/>
  <c r="F374" i="46"/>
  <c r="G125" i="45"/>
  <c r="N72" i="48"/>
  <c r="N73" i="46"/>
  <c r="N78" i="46" s="1"/>
  <c r="N77" i="46"/>
  <c r="N74" i="46"/>
  <c r="N79" i="46" s="1"/>
  <c r="N76" i="46"/>
  <c r="N81" i="46" s="1"/>
  <c r="N75" i="46"/>
  <c r="N80" i="46" s="1"/>
  <c r="O278" i="46"/>
  <c r="O18" i="52" s="1"/>
  <c r="N311" i="46"/>
  <c r="S266" i="48"/>
  <c r="S271" i="48" s="1"/>
  <c r="S264" i="48"/>
  <c r="S269" i="48" s="1"/>
  <c r="S265" i="48"/>
  <c r="S270" i="48" s="1"/>
  <c r="S267" i="48"/>
  <c r="S272" i="48" s="1"/>
  <c r="S268" i="48"/>
  <c r="AY56" i="45"/>
  <c r="AY55" i="45"/>
  <c r="AY30" i="45"/>
  <c r="T265" i="46"/>
  <c r="T270" i="46" s="1"/>
  <c r="T266" i="46"/>
  <c r="T271" i="46" s="1"/>
  <c r="T263" i="48"/>
  <c r="T264" i="46"/>
  <c r="T269" i="46" s="1"/>
  <c r="T268" i="46"/>
  <c r="T267" i="46"/>
  <c r="T272" i="46" s="1"/>
  <c r="AZ28" i="45"/>
  <c r="AZ31" i="45"/>
  <c r="AZ35" i="45"/>
  <c r="AZ32" i="45"/>
  <c r="AZ29" i="45"/>
  <c r="AZ37" i="45"/>
  <c r="AZ36" i="45"/>
  <c r="AZ54" i="45"/>
  <c r="AT97" i="45"/>
  <c r="N100" i="45"/>
  <c r="M311" i="48"/>
  <c r="M312" i="48" s="1"/>
  <c r="N278" i="48"/>
  <c r="J119" i="45"/>
  <c r="I356" i="48"/>
  <c r="G374" i="46"/>
  <c r="H125" i="45"/>
  <c r="K332" i="48"/>
  <c r="K336" i="48" s="1"/>
  <c r="K333" i="48"/>
  <c r="N102" i="48"/>
  <c r="N104" i="46"/>
  <c r="N109" i="46" s="1"/>
  <c r="N106" i="46"/>
  <c r="N111" i="46" s="1"/>
  <c r="N105" i="46"/>
  <c r="N110" i="46" s="1"/>
  <c r="N103" i="46"/>
  <c r="N108" i="46" s="1"/>
  <c r="N107" i="46"/>
  <c r="H364" i="48"/>
  <c r="DA104" i="55" s="1"/>
  <c r="DA127" i="55" s="1"/>
  <c r="DA150" i="55" s="1"/>
  <c r="S30" i="45"/>
  <c r="AW104" i="45"/>
  <c r="S55" i="45"/>
  <c r="S56" i="45"/>
  <c r="T32" i="45"/>
  <c r="T28" i="45"/>
  <c r="T37" i="45"/>
  <c r="T29" i="45"/>
  <c r="T36" i="45"/>
  <c r="T31" i="45"/>
  <c r="U27" i="45"/>
  <c r="BA27" i="45" s="1"/>
  <c r="T54" i="45"/>
  <c r="T35" i="45"/>
  <c r="R67" i="45"/>
  <c r="R34" i="45"/>
  <c r="S33" i="45"/>
  <c r="H368" i="46" l="1"/>
  <c r="H373" i="46"/>
  <c r="J333" i="46"/>
  <c r="J332" i="46"/>
  <c r="J336" i="46" s="1"/>
  <c r="I119" i="45"/>
  <c r="O326" i="48"/>
  <c r="O327" i="48"/>
  <c r="AL49" i="58"/>
  <c r="AP154" i="55"/>
  <c r="DB154" i="55" s="1"/>
  <c r="AL44" i="58"/>
  <c r="AL54" i="58"/>
  <c r="I107" i="55"/>
  <c r="I130" i="55" s="1"/>
  <c r="I153" i="55" s="1"/>
  <c r="AP156" i="55"/>
  <c r="DB156" i="55" s="1"/>
  <c r="DB133" i="55"/>
  <c r="AP157" i="55"/>
  <c r="DB157" i="55" s="1"/>
  <c r="DB134" i="55"/>
  <c r="DB131" i="55"/>
  <c r="I104" i="55"/>
  <c r="I127" i="55" s="1"/>
  <c r="I150" i="55" s="1"/>
  <c r="K349" i="46"/>
  <c r="K350" i="46" s="1"/>
  <c r="K352" i="46" s="1"/>
  <c r="K356" i="46"/>
  <c r="K357" i="46" s="1"/>
  <c r="K366" i="46" s="1"/>
  <c r="K333" i="46"/>
  <c r="K332" i="46"/>
  <c r="K336" i="46" s="1"/>
  <c r="J349" i="46"/>
  <c r="J350" i="46" s="1"/>
  <c r="J352" i="46" s="1"/>
  <c r="J351" i="46"/>
  <c r="O324" i="48"/>
  <c r="J356" i="48"/>
  <c r="AQ131" i="55"/>
  <c r="DC108" i="55"/>
  <c r="AP155" i="55"/>
  <c r="DB155" i="55" s="1"/>
  <c r="DB132" i="55"/>
  <c r="AQ134" i="55"/>
  <c r="DC111" i="55"/>
  <c r="AR132" i="55"/>
  <c r="DD109" i="55"/>
  <c r="AQ133" i="55"/>
  <c r="DC110" i="55"/>
  <c r="M313" i="46"/>
  <c r="M314" i="46"/>
  <c r="BZ107" i="55" s="1"/>
  <c r="BZ130" i="55" s="1"/>
  <c r="BZ153" i="55" s="1"/>
  <c r="M315" i="46"/>
  <c r="BZ108" i="55" s="1"/>
  <c r="BZ131" i="55" s="1"/>
  <c r="BZ154" i="55" s="1"/>
  <c r="M317" i="46"/>
  <c r="BZ110" i="55" s="1"/>
  <c r="BZ133" i="55" s="1"/>
  <c r="BZ156" i="55" s="1"/>
  <c r="M318" i="46"/>
  <c r="BZ111" i="55" s="1"/>
  <c r="BZ134" i="55" s="1"/>
  <c r="BZ157" i="55" s="1"/>
  <c r="M316" i="46"/>
  <c r="BZ109" i="55" s="1"/>
  <c r="BZ132" i="55" s="1"/>
  <c r="BZ155" i="55" s="1"/>
  <c r="AX70" i="45"/>
  <c r="AQ132" i="55"/>
  <c r="DC109" i="55"/>
  <c r="L339" i="48"/>
  <c r="AS108" i="55" s="1"/>
  <c r="L340" i="48"/>
  <c r="AS109" i="55" s="1"/>
  <c r="M330" i="48"/>
  <c r="M331" i="48"/>
  <c r="L330" i="46"/>
  <c r="L331" i="46"/>
  <c r="N334" i="48"/>
  <c r="N346" i="48" s="1"/>
  <c r="N335" i="48"/>
  <c r="N329" i="48"/>
  <c r="L330" i="48"/>
  <c r="L348" i="48"/>
  <c r="L349" i="48" s="1"/>
  <c r="L350" i="48" s="1"/>
  <c r="N323" i="46"/>
  <c r="N320" i="46"/>
  <c r="L348" i="46"/>
  <c r="N328" i="48"/>
  <c r="L331" i="48"/>
  <c r="L347" i="48"/>
  <c r="P320" i="48"/>
  <c r="L342" i="48"/>
  <c r="AS111" i="55" s="1"/>
  <c r="AS134" i="55" s="1"/>
  <c r="L341" i="48"/>
  <c r="AS110" i="55" s="1"/>
  <c r="AS133" i="55" s="1"/>
  <c r="L338" i="48"/>
  <c r="R70" i="45"/>
  <c r="AN130" i="55"/>
  <c r="CZ107" i="55"/>
  <c r="AR154" i="55"/>
  <c r="DD154" i="55" s="1"/>
  <c r="DD131" i="55"/>
  <c r="AR134" i="55"/>
  <c r="DD111" i="55"/>
  <c r="AM153" i="55"/>
  <c r="CY153" i="55" s="1"/>
  <c r="CY130" i="55"/>
  <c r="AR133" i="55"/>
  <c r="DD110" i="55"/>
  <c r="AM131" i="45"/>
  <c r="AM53" i="58" s="1"/>
  <c r="AM129" i="45"/>
  <c r="AM43" i="58" s="1"/>
  <c r="AM130" i="45"/>
  <c r="AM48" i="58" s="1"/>
  <c r="H131" i="45"/>
  <c r="H53" i="58" s="1"/>
  <c r="H129" i="45"/>
  <c r="H43" i="58" s="1"/>
  <c r="H130" i="45"/>
  <c r="H48" i="58" s="1"/>
  <c r="G131" i="45"/>
  <c r="G53" i="58" s="1"/>
  <c r="G129" i="45"/>
  <c r="G43" i="58" s="1"/>
  <c r="G130" i="45"/>
  <c r="G48" i="58" s="1"/>
  <c r="N113" i="45"/>
  <c r="N91" i="45"/>
  <c r="N114" i="45" s="1"/>
  <c r="N117" i="45"/>
  <c r="AT117" i="45"/>
  <c r="J107" i="55"/>
  <c r="J130" i="55" s="1"/>
  <c r="J153" i="55" s="1"/>
  <c r="AO104" i="55"/>
  <c r="AO127" i="55" s="1"/>
  <c r="AO150" i="55" s="1"/>
  <c r="AO107" i="55"/>
  <c r="M322" i="46"/>
  <c r="N103" i="55"/>
  <c r="N126" i="55" s="1"/>
  <c r="N149" i="55" s="1"/>
  <c r="N312" i="46"/>
  <c r="N318" i="46" s="1"/>
  <c r="CA111" i="55" s="1"/>
  <c r="CA134" i="55" s="1"/>
  <c r="CA157" i="55" s="1"/>
  <c r="CA103" i="55"/>
  <c r="CA126" i="55" s="1"/>
  <c r="CA149" i="55" s="1"/>
  <c r="Q319" i="48"/>
  <c r="Q323" i="48" s="1"/>
  <c r="Q327" i="48" s="1"/>
  <c r="O319" i="46"/>
  <c r="AM126" i="45"/>
  <c r="AN123" i="45"/>
  <c r="N78" i="45"/>
  <c r="Q274" i="48"/>
  <c r="R104" i="45"/>
  <c r="H126" i="45"/>
  <c r="O90" i="45"/>
  <c r="AU90" i="45" s="1"/>
  <c r="AU91" i="45" s="1"/>
  <c r="AO119" i="45"/>
  <c r="AO123" i="45" s="1"/>
  <c r="U105" i="45"/>
  <c r="BA105" i="45" s="1"/>
  <c r="J120" i="45"/>
  <c r="J122" i="45" s="1"/>
  <c r="O97" i="45"/>
  <c r="AU97" i="45" s="1"/>
  <c r="O106" i="45"/>
  <c r="AU106" i="45" s="1"/>
  <c r="AU109" i="45" s="1"/>
  <c r="O76" i="45"/>
  <c r="G126" i="45"/>
  <c r="AY68" i="45"/>
  <c r="S67" i="45"/>
  <c r="AX59" i="45"/>
  <c r="AX58" i="45"/>
  <c r="AX71" i="45" s="1"/>
  <c r="I373" i="46"/>
  <c r="I374" i="46" s="1"/>
  <c r="AX60" i="45"/>
  <c r="AX73" i="45" s="1"/>
  <c r="I368" i="46"/>
  <c r="AZ33" i="45"/>
  <c r="N116" i="45"/>
  <c r="O80" i="45"/>
  <c r="O81" i="45"/>
  <c r="AU81" i="45"/>
  <c r="AU79" i="45"/>
  <c r="AU80" i="45"/>
  <c r="O79" i="45"/>
  <c r="AU101" i="45"/>
  <c r="O101" i="45"/>
  <c r="AU103" i="45"/>
  <c r="O103" i="45"/>
  <c r="AU102" i="45"/>
  <c r="O102" i="45"/>
  <c r="I124" i="45"/>
  <c r="I123" i="45"/>
  <c r="U267" i="46"/>
  <c r="U272" i="46" s="1"/>
  <c r="U265" i="46"/>
  <c r="U270" i="46" s="1"/>
  <c r="U264" i="46"/>
  <c r="U269" i="46" s="1"/>
  <c r="U266" i="46"/>
  <c r="U271" i="46" s="1"/>
  <c r="U263" i="48"/>
  <c r="U268" i="46"/>
  <c r="AU111" i="45"/>
  <c r="AU110" i="45"/>
  <c r="AU112" i="45"/>
  <c r="O111" i="45"/>
  <c r="O110" i="45"/>
  <c r="O112" i="45"/>
  <c r="AT113" i="45"/>
  <c r="O94" i="45"/>
  <c r="O93" i="45"/>
  <c r="AU94" i="45"/>
  <c r="AU93" i="45"/>
  <c r="G374" i="48"/>
  <c r="AN125" i="45"/>
  <c r="N118" i="45"/>
  <c r="Q73" i="45"/>
  <c r="AY57" i="45"/>
  <c r="R40" i="48" s="1"/>
  <c r="W46" i="48" s="1"/>
  <c r="O274" i="46"/>
  <c r="AT118" i="45"/>
  <c r="Q71" i="45"/>
  <c r="Q40" i="46"/>
  <c r="V46" i="46" s="1"/>
  <c r="V263" i="46" s="1"/>
  <c r="R58" i="45"/>
  <c r="R60" i="45"/>
  <c r="R59" i="45"/>
  <c r="AT116" i="45"/>
  <c r="Q72" i="45"/>
  <c r="O278" i="48"/>
  <c r="N311" i="48"/>
  <c r="N312" i="48" s="1"/>
  <c r="AY34" i="45"/>
  <c r="R36" i="48" s="1"/>
  <c r="R42" i="48" s="1"/>
  <c r="AY67" i="45"/>
  <c r="O72" i="48"/>
  <c r="O76" i="46"/>
  <c r="O81" i="46" s="1"/>
  <c r="O77" i="46"/>
  <c r="O75" i="46"/>
  <c r="O80" i="46" s="1"/>
  <c r="O74" i="46"/>
  <c r="O79" i="46" s="1"/>
  <c r="O73" i="46"/>
  <c r="O78" i="46" s="1"/>
  <c r="R75" i="45"/>
  <c r="Q36" i="46"/>
  <c r="Q42" i="46" s="1"/>
  <c r="H368" i="48"/>
  <c r="H373" i="48"/>
  <c r="N106" i="48"/>
  <c r="N111" i="48" s="1"/>
  <c r="N105" i="48"/>
  <c r="N110" i="48" s="1"/>
  <c r="N104" i="48"/>
  <c r="N109" i="48" s="1"/>
  <c r="N107" i="48"/>
  <c r="N103" i="48"/>
  <c r="N108" i="48" s="1"/>
  <c r="M313" i="48"/>
  <c r="M317" i="48"/>
  <c r="M316" i="48"/>
  <c r="M318" i="48"/>
  <c r="M315" i="48"/>
  <c r="M314" i="48"/>
  <c r="AZ30" i="45"/>
  <c r="O311" i="46"/>
  <c r="P278" i="46"/>
  <c r="P18" i="52" s="1"/>
  <c r="AU76" i="45"/>
  <c r="O78" i="45"/>
  <c r="N344" i="46"/>
  <c r="N345" i="46" s="1"/>
  <c r="N321" i="46"/>
  <c r="P47" i="46"/>
  <c r="P82" i="46"/>
  <c r="P112" i="46"/>
  <c r="P102" i="46"/>
  <c r="P72" i="46"/>
  <c r="M335" i="46"/>
  <c r="M334" i="46"/>
  <c r="M346" i="46" s="1"/>
  <c r="M347" i="46" s="1"/>
  <c r="O116" i="46"/>
  <c r="O121" i="46" s="1"/>
  <c r="O117" i="46"/>
  <c r="O113" i="46"/>
  <c r="O118" i="46" s="1"/>
  <c r="O112" i="48"/>
  <c r="O115" i="46"/>
  <c r="O120" i="46" s="1"/>
  <c r="O114" i="46"/>
  <c r="O119" i="46" s="1"/>
  <c r="O277" i="46"/>
  <c r="AN121" i="45"/>
  <c r="AN128" i="45" s="1"/>
  <c r="I357" i="48"/>
  <c r="I366" i="48" s="1"/>
  <c r="BA37" i="45"/>
  <c r="BA32" i="45"/>
  <c r="BA29" i="45"/>
  <c r="BA28" i="45"/>
  <c r="BA31" i="45"/>
  <c r="BA35" i="45"/>
  <c r="BA36" i="45"/>
  <c r="BA54" i="45"/>
  <c r="AZ55" i="45"/>
  <c r="AZ56" i="45"/>
  <c r="T268" i="48"/>
  <c r="T266" i="48"/>
  <c r="T271" i="48" s="1"/>
  <c r="T264" i="48"/>
  <c r="T269" i="48" s="1"/>
  <c r="T267" i="48"/>
  <c r="T272" i="48" s="1"/>
  <c r="T265" i="48"/>
  <c r="T270" i="48" s="1"/>
  <c r="N86" i="48"/>
  <c r="N91" i="48" s="1"/>
  <c r="N87" i="48"/>
  <c r="N85" i="48"/>
  <c r="N90" i="48" s="1"/>
  <c r="N84" i="48"/>
  <c r="N89" i="48" s="1"/>
  <c r="N83" i="48"/>
  <c r="N88" i="48" s="1"/>
  <c r="M328" i="46"/>
  <c r="M329" i="46"/>
  <c r="O85" i="46"/>
  <c r="O90" i="46" s="1"/>
  <c r="O86" i="46"/>
  <c r="O91" i="46" s="1"/>
  <c r="O83" i="46"/>
  <c r="O88" i="46" s="1"/>
  <c r="O87" i="46"/>
  <c r="O82" i="48"/>
  <c r="O84" i="46"/>
  <c r="O89" i="46" s="1"/>
  <c r="AT100" i="45"/>
  <c r="N76" i="48"/>
  <c r="N81" i="48" s="1"/>
  <c r="N75" i="48"/>
  <c r="N80" i="48" s="1"/>
  <c r="N77" i="48"/>
  <c r="N74" i="48"/>
  <c r="N79" i="48" s="1"/>
  <c r="N73" i="48"/>
  <c r="N78" i="48" s="1"/>
  <c r="AT114" i="45"/>
  <c r="AT78" i="45"/>
  <c r="K357" i="48"/>
  <c r="K366" i="48" s="1"/>
  <c r="P324" i="48"/>
  <c r="P325" i="48"/>
  <c r="P327" i="48"/>
  <c r="P326" i="48"/>
  <c r="N115" i="48"/>
  <c r="N120" i="48" s="1"/>
  <c r="N114" i="48"/>
  <c r="N119" i="48" s="1"/>
  <c r="N116" i="48"/>
  <c r="N121" i="48" s="1"/>
  <c r="N117" i="48"/>
  <c r="N113" i="48"/>
  <c r="N118" i="48" s="1"/>
  <c r="N277" i="48"/>
  <c r="M321" i="48"/>
  <c r="DF103" i="55" s="1"/>
  <c r="DF126" i="55" s="1"/>
  <c r="DF149" i="55" s="1"/>
  <c r="M344" i="48"/>
  <c r="M345" i="48" s="1"/>
  <c r="O104" i="46"/>
  <c r="O109" i="46" s="1"/>
  <c r="O102" i="48"/>
  <c r="O105" i="46"/>
  <c r="O110" i="46" s="1"/>
  <c r="O106" i="46"/>
  <c r="O111" i="46" s="1"/>
  <c r="O107" i="46"/>
  <c r="O103" i="46"/>
  <c r="O108" i="46" s="1"/>
  <c r="S57" i="45"/>
  <c r="T30" i="45"/>
  <c r="AX104" i="45"/>
  <c r="T55" i="45"/>
  <c r="T56" i="45"/>
  <c r="S68" i="45"/>
  <c r="S34" i="45"/>
  <c r="V27" i="45"/>
  <c r="BB27" i="45" s="1"/>
  <c r="U29" i="45"/>
  <c r="U31" i="45"/>
  <c r="U32" i="45"/>
  <c r="U35" i="45"/>
  <c r="U37" i="45"/>
  <c r="U28" i="45"/>
  <c r="U36" i="45"/>
  <c r="U54" i="45"/>
  <c r="AW75" i="45"/>
  <c r="T33" i="45"/>
  <c r="H374" i="46" l="1"/>
  <c r="I125" i="45"/>
  <c r="K364" i="46"/>
  <c r="J357" i="48"/>
  <c r="J366" i="48" s="1"/>
  <c r="O334" i="48"/>
  <c r="O346" i="48" s="1"/>
  <c r="O335" i="48"/>
  <c r="O329" i="48"/>
  <c r="O328" i="48"/>
  <c r="AX72" i="45"/>
  <c r="J356" i="46"/>
  <c r="J357" i="46" s="1"/>
  <c r="J366" i="46" s="1"/>
  <c r="I121" i="45"/>
  <c r="I128" i="45" s="1"/>
  <c r="L120" i="45"/>
  <c r="L122" i="45" s="1"/>
  <c r="J123" i="45"/>
  <c r="J121" i="45"/>
  <c r="J128" i="45" s="1"/>
  <c r="AQ156" i="55"/>
  <c r="DC156" i="55" s="1"/>
  <c r="DC133" i="55"/>
  <c r="AR155" i="55"/>
  <c r="DD155" i="55" s="1"/>
  <c r="DD132" i="55"/>
  <c r="AQ157" i="55"/>
  <c r="DC157" i="55" s="1"/>
  <c r="DC134" i="55"/>
  <c r="AQ154" i="55"/>
  <c r="DC154" i="55" s="1"/>
  <c r="DC131" i="55"/>
  <c r="L352" i="48"/>
  <c r="O331" i="48"/>
  <c r="O330" i="48"/>
  <c r="AQ155" i="55"/>
  <c r="DC155" i="55" s="1"/>
  <c r="DC132" i="55"/>
  <c r="AS132" i="55"/>
  <c r="DE109" i="55"/>
  <c r="AS131" i="55"/>
  <c r="DE108" i="55"/>
  <c r="S70" i="45"/>
  <c r="L351" i="48"/>
  <c r="O320" i="46"/>
  <c r="N331" i="48"/>
  <c r="L349" i="46"/>
  <c r="L350" i="46" s="1"/>
  <c r="L352" i="46" s="1"/>
  <c r="L333" i="48"/>
  <c r="L332" i="48"/>
  <c r="L336" i="48" s="1"/>
  <c r="N325" i="46"/>
  <c r="N324" i="46"/>
  <c r="N326" i="46"/>
  <c r="N327" i="46"/>
  <c r="M337" i="46"/>
  <c r="M339" i="46"/>
  <c r="N108" i="55" s="1"/>
  <c r="N131" i="55" s="1"/>
  <c r="N154" i="55" s="1"/>
  <c r="M340" i="46"/>
  <c r="N109" i="55" s="1"/>
  <c r="N132" i="55" s="1"/>
  <c r="N155" i="55" s="1"/>
  <c r="M342" i="46"/>
  <c r="N111" i="55" s="1"/>
  <c r="N134" i="55" s="1"/>
  <c r="N157" i="55" s="1"/>
  <c r="M338" i="46"/>
  <c r="M341" i="46"/>
  <c r="N110" i="55" s="1"/>
  <c r="N133" i="55" s="1"/>
  <c r="N156" i="55" s="1"/>
  <c r="M333" i="48"/>
  <c r="N330" i="48"/>
  <c r="Q325" i="48"/>
  <c r="L333" i="46"/>
  <c r="M332" i="48"/>
  <c r="M336" i="48" s="1"/>
  <c r="O323" i="46"/>
  <c r="L351" i="46"/>
  <c r="L332" i="46"/>
  <c r="L336" i="46" s="1"/>
  <c r="N313" i="46"/>
  <c r="AM49" i="58"/>
  <c r="G54" i="58"/>
  <c r="DE111" i="55"/>
  <c r="AM54" i="58"/>
  <c r="Q324" i="48"/>
  <c r="AM44" i="58"/>
  <c r="Q320" i="48"/>
  <c r="DE110" i="55"/>
  <c r="Q326" i="48"/>
  <c r="N115" i="45"/>
  <c r="N314" i="46"/>
  <c r="CA107" i="55" s="1"/>
  <c r="CA130" i="55" s="1"/>
  <c r="CA153" i="55" s="1"/>
  <c r="G49" i="58"/>
  <c r="H44" i="58"/>
  <c r="O100" i="45"/>
  <c r="N317" i="46"/>
  <c r="CA110" i="55" s="1"/>
  <c r="CA133" i="55" s="1"/>
  <c r="CA156" i="55" s="1"/>
  <c r="O113" i="45"/>
  <c r="AO130" i="55"/>
  <c r="DA107" i="55"/>
  <c r="N315" i="46"/>
  <c r="CA108" i="55" s="1"/>
  <c r="CA131" i="55" s="1"/>
  <c r="CA154" i="55" s="1"/>
  <c r="N316" i="46"/>
  <c r="CA109" i="55" s="1"/>
  <c r="CA132" i="55" s="1"/>
  <c r="CA155" i="55" s="1"/>
  <c r="AY70" i="45"/>
  <c r="AR156" i="55"/>
  <c r="DD156" i="55" s="1"/>
  <c r="DD133" i="55"/>
  <c r="AS156" i="55"/>
  <c r="DE156" i="55" s="1"/>
  <c r="DE133" i="55"/>
  <c r="AZ68" i="45"/>
  <c r="J124" i="45"/>
  <c r="AR157" i="55"/>
  <c r="DD157" i="55" s="1"/>
  <c r="DD134" i="55"/>
  <c r="AS157" i="55"/>
  <c r="DE157" i="55" s="1"/>
  <c r="DE134" i="55"/>
  <c r="AN153" i="55"/>
  <c r="CZ153" i="55" s="1"/>
  <c r="CZ130" i="55"/>
  <c r="H54" i="58"/>
  <c r="AN131" i="45"/>
  <c r="AN53" i="58" s="1"/>
  <c r="AN130" i="45"/>
  <c r="AN48" i="58" s="1"/>
  <c r="AN129" i="45"/>
  <c r="AN43" i="58" s="1"/>
  <c r="G44" i="58"/>
  <c r="H49" i="58"/>
  <c r="I131" i="45"/>
  <c r="I53" i="58" s="1"/>
  <c r="I130" i="45"/>
  <c r="I48" i="58" s="1"/>
  <c r="I129" i="45"/>
  <c r="I43" i="58" s="1"/>
  <c r="O91" i="45"/>
  <c r="O114" i="45" s="1"/>
  <c r="O115" i="45" s="1"/>
  <c r="AO124" i="45"/>
  <c r="O117" i="45"/>
  <c r="AU117" i="45"/>
  <c r="N322" i="46"/>
  <c r="N337" i="46" s="1"/>
  <c r="O103" i="55"/>
  <c r="O126" i="55" s="1"/>
  <c r="O149" i="55" s="1"/>
  <c r="O312" i="46"/>
  <c r="CB103" i="55"/>
  <c r="CB126" i="55" s="1"/>
  <c r="CB149" i="55" s="1"/>
  <c r="M322" i="48"/>
  <c r="AT103" i="55"/>
  <c r="AT126" i="55" s="1"/>
  <c r="AT149" i="55" s="1"/>
  <c r="P319" i="46"/>
  <c r="P323" i="46" s="1"/>
  <c r="O109" i="45"/>
  <c r="S104" i="45"/>
  <c r="J126" i="45"/>
  <c r="AN126" i="45"/>
  <c r="P106" i="45"/>
  <c r="AV106" i="45" s="1"/>
  <c r="AV109" i="45" s="1"/>
  <c r="J125" i="45"/>
  <c r="AR120" i="45"/>
  <c r="AR122" i="45" s="1"/>
  <c r="P97" i="45"/>
  <c r="P76" i="45"/>
  <c r="AV76" i="45" s="1"/>
  <c r="P90" i="45"/>
  <c r="P91" i="45" s="1"/>
  <c r="AP120" i="45"/>
  <c r="AP122" i="45" s="1"/>
  <c r="V105" i="45"/>
  <c r="BB105" i="45" s="1"/>
  <c r="AU113" i="45"/>
  <c r="T67" i="45"/>
  <c r="O118" i="45"/>
  <c r="AZ57" i="45"/>
  <c r="AZ60" i="45" s="1"/>
  <c r="AZ73" i="45" s="1"/>
  <c r="BA33" i="45"/>
  <c r="BA30" i="45"/>
  <c r="AU116" i="45"/>
  <c r="U30" i="45"/>
  <c r="AV102" i="45"/>
  <c r="P101" i="45"/>
  <c r="AV101" i="45"/>
  <c r="P102" i="45"/>
  <c r="AV103" i="45"/>
  <c r="P103" i="45"/>
  <c r="R71" i="45"/>
  <c r="U265" i="48"/>
  <c r="U270" i="48" s="1"/>
  <c r="U267" i="48"/>
  <c r="U272" i="48" s="1"/>
  <c r="U264" i="48"/>
  <c r="U269" i="48" s="1"/>
  <c r="U266" i="48"/>
  <c r="U271" i="48" s="1"/>
  <c r="U268" i="48"/>
  <c r="AU118" i="45"/>
  <c r="R40" i="46"/>
  <c r="W46" i="46" s="1"/>
  <c r="W263" i="46" s="1"/>
  <c r="W266" i="46" s="1"/>
  <c r="W271" i="46" s="1"/>
  <c r="S58" i="45"/>
  <c r="S71" i="45" s="1"/>
  <c r="S60" i="45"/>
  <c r="S73" i="45" s="1"/>
  <c r="S59" i="45"/>
  <c r="K364" i="48"/>
  <c r="DD104" i="55" s="1"/>
  <c r="DD127" i="55" s="1"/>
  <c r="DD150" i="55" s="1"/>
  <c r="V268" i="46"/>
  <c r="V265" i="46"/>
  <c r="V270" i="46" s="1"/>
  <c r="V267" i="46"/>
  <c r="V272" i="46" s="1"/>
  <c r="V263" i="48"/>
  <c r="V266" i="46"/>
  <c r="V271" i="46" s="1"/>
  <c r="V264" i="46"/>
  <c r="V269" i="46" s="1"/>
  <c r="O116" i="45"/>
  <c r="R73" i="45"/>
  <c r="AY58" i="45"/>
  <c r="AY59" i="45"/>
  <c r="AY60" i="45"/>
  <c r="H374" i="48"/>
  <c r="AO125" i="45"/>
  <c r="T68" i="45"/>
  <c r="P111" i="45"/>
  <c r="AV111" i="45"/>
  <c r="AV112" i="45"/>
  <c r="P112" i="45"/>
  <c r="P110" i="45"/>
  <c r="AV110" i="45"/>
  <c r="AV94" i="45"/>
  <c r="AV93" i="45"/>
  <c r="P94" i="45"/>
  <c r="P93" i="45"/>
  <c r="AV80" i="45"/>
  <c r="AV81" i="45"/>
  <c r="P79" i="45"/>
  <c r="P81" i="45"/>
  <c r="P80" i="45"/>
  <c r="AV79" i="45"/>
  <c r="R72" i="45"/>
  <c r="M347" i="48"/>
  <c r="M348" i="48"/>
  <c r="M349" i="48" s="1"/>
  <c r="M350" i="48" s="1"/>
  <c r="M352" i="48" s="1"/>
  <c r="T57" i="45"/>
  <c r="O117" i="48"/>
  <c r="O113" i="48"/>
  <c r="O118" i="48" s="1"/>
  <c r="O114" i="48"/>
  <c r="O119" i="48" s="1"/>
  <c r="O116" i="48"/>
  <c r="O121" i="48" s="1"/>
  <c r="O115" i="48"/>
  <c r="O120" i="48" s="1"/>
  <c r="O277" i="48"/>
  <c r="S75" i="45"/>
  <c r="R36" i="46"/>
  <c r="R42" i="46" s="1"/>
  <c r="O104" i="48"/>
  <c r="O109" i="48" s="1"/>
  <c r="O105" i="48"/>
  <c r="O110" i="48" s="1"/>
  <c r="O103" i="48"/>
  <c r="O108" i="48" s="1"/>
  <c r="O106" i="48"/>
  <c r="O111" i="48" s="1"/>
  <c r="O107" i="48"/>
  <c r="N321" i="48"/>
  <c r="DG103" i="55" s="1"/>
  <c r="DG126" i="55" s="1"/>
  <c r="DG149" i="55" s="1"/>
  <c r="N344" i="48"/>
  <c r="N345" i="48" s="1"/>
  <c r="AU100" i="45"/>
  <c r="Q335" i="48"/>
  <c r="Q334" i="48"/>
  <c r="Q346" i="48" s="1"/>
  <c r="AO121" i="45"/>
  <c r="AO128" i="45" s="1"/>
  <c r="O86" i="48"/>
  <c r="O91" i="48" s="1"/>
  <c r="O84" i="48"/>
  <c r="O89" i="48" s="1"/>
  <c r="O83" i="48"/>
  <c r="O88" i="48" s="1"/>
  <c r="O85" i="48"/>
  <c r="O90" i="48" s="1"/>
  <c r="O87" i="48"/>
  <c r="O321" i="46"/>
  <c r="O344" i="46"/>
  <c r="O345" i="46" s="1"/>
  <c r="P112" i="48"/>
  <c r="P113" i="46"/>
  <c r="P118" i="46" s="1"/>
  <c r="P114" i="46"/>
  <c r="P119" i="46" s="1"/>
  <c r="P117" i="46"/>
  <c r="P115" i="46"/>
  <c r="P120" i="46" s="1"/>
  <c r="P116" i="46"/>
  <c r="P121" i="46" s="1"/>
  <c r="P277" i="46"/>
  <c r="AU114" i="45"/>
  <c r="AU78" i="45"/>
  <c r="O76" i="48"/>
  <c r="O81" i="48" s="1"/>
  <c r="O75" i="48"/>
  <c r="O80" i="48" s="1"/>
  <c r="O73" i="48"/>
  <c r="O78" i="48" s="1"/>
  <c r="O74" i="48"/>
  <c r="O79" i="48" s="1"/>
  <c r="O77" i="48"/>
  <c r="N317" i="48"/>
  <c r="N314" i="48"/>
  <c r="N316" i="48"/>
  <c r="N318" i="48"/>
  <c r="N313" i="48"/>
  <c r="N315" i="48"/>
  <c r="P334" i="48"/>
  <c r="P346" i="48" s="1"/>
  <c r="P335" i="48"/>
  <c r="P102" i="48"/>
  <c r="P103" i="46"/>
  <c r="P108" i="46" s="1"/>
  <c r="P104" i="46"/>
  <c r="P109" i="46" s="1"/>
  <c r="P107" i="46"/>
  <c r="P105" i="46"/>
  <c r="P110" i="46" s="1"/>
  <c r="P106" i="46"/>
  <c r="P111" i="46" s="1"/>
  <c r="AZ34" i="45"/>
  <c r="S36" i="48" s="1"/>
  <c r="S42" i="48" s="1"/>
  <c r="AZ67" i="45"/>
  <c r="Q47" i="46"/>
  <c r="Q72" i="46"/>
  <c r="Q112" i="46"/>
  <c r="Q82" i="46"/>
  <c r="Q102" i="46"/>
  <c r="BB37" i="45"/>
  <c r="BB32" i="45"/>
  <c r="BB29" i="45"/>
  <c r="BB36" i="45"/>
  <c r="BB35" i="45"/>
  <c r="BB31" i="45"/>
  <c r="BB28" i="45"/>
  <c r="BB54" i="45"/>
  <c r="P329" i="48"/>
  <c r="P328" i="48"/>
  <c r="AT115" i="45"/>
  <c r="AV90" i="45"/>
  <c r="AV91" i="45" s="1"/>
  <c r="M331" i="46"/>
  <c r="M330" i="46"/>
  <c r="M348" i="46"/>
  <c r="M351" i="46" s="1"/>
  <c r="I364" i="48"/>
  <c r="DB104" i="55" s="1"/>
  <c r="DB127" i="55" s="1"/>
  <c r="DB150" i="55" s="1"/>
  <c r="AV97" i="45"/>
  <c r="P100" i="45"/>
  <c r="P274" i="46"/>
  <c r="P86" i="46"/>
  <c r="P91" i="46" s="1"/>
  <c r="P87" i="46"/>
  <c r="P83" i="46"/>
  <c r="P88" i="46" s="1"/>
  <c r="P85" i="46"/>
  <c r="P90" i="46" s="1"/>
  <c r="P84" i="46"/>
  <c r="P89" i="46" s="1"/>
  <c r="P82" i="48"/>
  <c r="P311" i="46"/>
  <c r="Q278" i="46"/>
  <c r="Q18" i="52" s="1"/>
  <c r="O311" i="48"/>
  <c r="O312" i="48" s="1"/>
  <c r="P278" i="48"/>
  <c r="BA55" i="45"/>
  <c r="BA56" i="45"/>
  <c r="P72" i="48"/>
  <c r="P75" i="46"/>
  <c r="P80" i="46" s="1"/>
  <c r="P74" i="46"/>
  <c r="P79" i="46" s="1"/>
  <c r="P77" i="46"/>
  <c r="P73" i="46"/>
  <c r="P78" i="46" s="1"/>
  <c r="P76" i="46"/>
  <c r="P81" i="46" s="1"/>
  <c r="R47" i="48"/>
  <c r="U33" i="45"/>
  <c r="AY75" i="45"/>
  <c r="W27" i="45"/>
  <c r="BC27" i="45" s="1"/>
  <c r="V28" i="45"/>
  <c r="V29" i="45"/>
  <c r="V31" i="45"/>
  <c r="V32" i="45"/>
  <c r="V35" i="45"/>
  <c r="V37" i="45"/>
  <c r="V54" i="45"/>
  <c r="V36" i="45"/>
  <c r="T34" i="45"/>
  <c r="U55" i="45"/>
  <c r="U56" i="45"/>
  <c r="AX75" i="45"/>
  <c r="I126" i="45" l="1"/>
  <c r="AQ120" i="45"/>
  <c r="AQ122" i="45" s="1"/>
  <c r="L119" i="45"/>
  <c r="K368" i="46"/>
  <c r="K373" i="46"/>
  <c r="L104" i="55"/>
  <c r="L127" i="55" s="1"/>
  <c r="L150" i="55" s="1"/>
  <c r="L107" i="55"/>
  <c r="L130" i="55" s="1"/>
  <c r="L153" i="55" s="1"/>
  <c r="K120" i="45"/>
  <c r="K122" i="45" s="1"/>
  <c r="J364" i="48"/>
  <c r="DC104" i="55" s="1"/>
  <c r="DC127" i="55" s="1"/>
  <c r="DC150" i="55" s="1"/>
  <c r="AZ59" i="45"/>
  <c r="J364" i="46"/>
  <c r="J131" i="45"/>
  <c r="J53" i="58" s="1"/>
  <c r="J130" i="45"/>
  <c r="J48" i="58" s="1"/>
  <c r="J129" i="45"/>
  <c r="J43" i="58" s="1"/>
  <c r="O332" i="48"/>
  <c r="O336" i="48" s="1"/>
  <c r="N335" i="46"/>
  <c r="O333" i="48"/>
  <c r="AS155" i="55"/>
  <c r="DE155" i="55" s="1"/>
  <c r="DE132" i="55"/>
  <c r="AS154" i="55"/>
  <c r="DE154" i="55" s="1"/>
  <c r="DE131" i="55"/>
  <c r="M340" i="48"/>
  <c r="AT109" i="55" s="1"/>
  <c r="M337" i="48"/>
  <c r="M339" i="48"/>
  <c r="AT108" i="55" s="1"/>
  <c r="M342" i="48"/>
  <c r="AT111" i="55" s="1"/>
  <c r="M338" i="48"/>
  <c r="M341" i="48"/>
  <c r="AT110" i="55" s="1"/>
  <c r="N334" i="46"/>
  <c r="N346" i="46" s="1"/>
  <c r="N347" i="46" s="1"/>
  <c r="N329" i="46"/>
  <c r="N328" i="46"/>
  <c r="O315" i="46"/>
  <c r="CB108" i="55" s="1"/>
  <c r="CB131" i="55" s="1"/>
  <c r="CB154" i="55" s="1"/>
  <c r="O313" i="46"/>
  <c r="O314" i="46"/>
  <c r="CB107" i="55" s="1"/>
  <c r="CB130" i="55" s="1"/>
  <c r="CB153" i="55" s="1"/>
  <c r="O316" i="46"/>
  <c r="CB109" i="55" s="1"/>
  <c r="CB132" i="55" s="1"/>
  <c r="CB155" i="55" s="1"/>
  <c r="O318" i="46"/>
  <c r="CB111" i="55" s="1"/>
  <c r="CB134" i="55" s="1"/>
  <c r="CB157" i="55" s="1"/>
  <c r="O317" i="46"/>
  <c r="CB110" i="55" s="1"/>
  <c r="CB133" i="55" s="1"/>
  <c r="CB156" i="55" s="1"/>
  <c r="AZ70" i="45"/>
  <c r="Q329" i="48"/>
  <c r="O325" i="46"/>
  <c r="O327" i="46"/>
  <c r="Q328" i="48"/>
  <c r="L356" i="48"/>
  <c r="N341" i="46"/>
  <c r="O110" i="55" s="1"/>
  <c r="O133" i="55" s="1"/>
  <c r="O156" i="55" s="1"/>
  <c r="O326" i="46"/>
  <c r="L356" i="46"/>
  <c r="L357" i="46" s="1"/>
  <c r="L366" i="46" s="1"/>
  <c r="N332" i="48"/>
  <c r="N336" i="48" s="1"/>
  <c r="O324" i="46"/>
  <c r="N333" i="48"/>
  <c r="BA34" i="45"/>
  <c r="T36" i="48" s="1"/>
  <c r="T42" i="48" s="1"/>
  <c r="P320" i="46"/>
  <c r="N342" i="46"/>
  <c r="O111" i="55" s="1"/>
  <c r="O134" i="55" s="1"/>
  <c r="O157" i="55" s="1"/>
  <c r="N340" i="46"/>
  <c r="O109" i="55" s="1"/>
  <c r="O132" i="55" s="1"/>
  <c r="O155" i="55" s="1"/>
  <c r="N338" i="46"/>
  <c r="N339" i="46"/>
  <c r="O108" i="55" s="1"/>
  <c r="O131" i="55" s="1"/>
  <c r="O154" i="55" s="1"/>
  <c r="AN44" i="58"/>
  <c r="AN49" i="58"/>
  <c r="BA68" i="45"/>
  <c r="AO153" i="55"/>
  <c r="DA153" i="55" s="1"/>
  <c r="DA130" i="55"/>
  <c r="I54" i="58"/>
  <c r="AN54" i="58"/>
  <c r="I49" i="58"/>
  <c r="AO131" i="45"/>
  <c r="AO53" i="58" s="1"/>
  <c r="AO130" i="45"/>
  <c r="AO48" i="58" s="1"/>
  <c r="AO129" i="45"/>
  <c r="AO43" i="58" s="1"/>
  <c r="I44" i="58"/>
  <c r="P109" i="45"/>
  <c r="AV117" i="45"/>
  <c r="P117" i="45"/>
  <c r="P312" i="46"/>
  <c r="P318" i="46" s="1"/>
  <c r="CC111" i="55" s="1"/>
  <c r="CC134" i="55" s="1"/>
  <c r="CC157" i="55" s="1"/>
  <c r="CC103" i="55"/>
  <c r="CC126" i="55" s="1"/>
  <c r="CC149" i="55" s="1"/>
  <c r="N322" i="48"/>
  <c r="AU103" i="55"/>
  <c r="AU126" i="55" s="1"/>
  <c r="AU149" i="55" s="1"/>
  <c r="AP104" i="55"/>
  <c r="AP127" i="55" s="1"/>
  <c r="AP150" i="55" s="1"/>
  <c r="AP107" i="55"/>
  <c r="AR104" i="55"/>
  <c r="AR127" i="55" s="1"/>
  <c r="AR150" i="55" s="1"/>
  <c r="AR107" i="55"/>
  <c r="O322" i="46"/>
  <c r="O339" i="46" s="1"/>
  <c r="P108" i="55" s="1"/>
  <c r="P131" i="55" s="1"/>
  <c r="P154" i="55" s="1"/>
  <c r="P103" i="55"/>
  <c r="P126" i="55" s="1"/>
  <c r="P149" i="55" s="1"/>
  <c r="Q319" i="46"/>
  <c r="Q320" i="46" s="1"/>
  <c r="R319" i="48"/>
  <c r="R323" i="48" s="1"/>
  <c r="P78" i="45"/>
  <c r="P114" i="45"/>
  <c r="P113" i="45"/>
  <c r="BB30" i="45"/>
  <c r="T104" i="45"/>
  <c r="Q97" i="45"/>
  <c r="AW97" i="45" s="1"/>
  <c r="W105" i="45"/>
  <c r="BC105" i="45" s="1"/>
  <c r="Q90" i="45"/>
  <c r="AW90" i="45" s="1"/>
  <c r="AW91" i="45" s="1"/>
  <c r="AR119" i="45"/>
  <c r="AR124" i="45" s="1"/>
  <c r="Q76" i="45"/>
  <c r="AW76" i="45" s="1"/>
  <c r="AP119" i="45"/>
  <c r="AP121" i="45" s="1"/>
  <c r="AP128" i="45" s="1"/>
  <c r="AO126" i="45"/>
  <c r="Q106" i="45"/>
  <c r="Q109" i="45" s="1"/>
  <c r="T70" i="45"/>
  <c r="U67" i="45"/>
  <c r="K368" i="48"/>
  <c r="K373" i="48"/>
  <c r="AZ58" i="45"/>
  <c r="AZ71" i="45" s="1"/>
  <c r="U34" i="45"/>
  <c r="U75" i="45" s="1"/>
  <c r="W265" i="46"/>
  <c r="W270" i="46" s="1"/>
  <c r="S40" i="48"/>
  <c r="X46" i="48" s="1"/>
  <c r="M351" i="48"/>
  <c r="M356" i="48" s="1"/>
  <c r="M357" i="48" s="1"/>
  <c r="M364" i="48" s="1"/>
  <c r="BB33" i="45"/>
  <c r="AV118" i="45"/>
  <c r="BA57" i="45"/>
  <c r="BA59" i="45" s="1"/>
  <c r="Q274" i="46"/>
  <c r="R274" i="48"/>
  <c r="P118" i="45"/>
  <c r="P116" i="45"/>
  <c r="U68" i="45"/>
  <c r="Q80" i="45"/>
  <c r="AW80" i="45"/>
  <c r="Q81" i="45"/>
  <c r="AW79" i="45"/>
  <c r="Q79" i="45"/>
  <c r="AW81" i="45"/>
  <c r="AV113" i="45"/>
  <c r="W263" i="48"/>
  <c r="W264" i="48" s="1"/>
  <c r="W269" i="48" s="1"/>
  <c r="W264" i="46"/>
  <c r="W269" i="46" s="1"/>
  <c r="AY72" i="45"/>
  <c r="BA67" i="45"/>
  <c r="Q94" i="45"/>
  <c r="AW94" i="45"/>
  <c r="Q93" i="45"/>
  <c r="AW93" i="45"/>
  <c r="Q103" i="45"/>
  <c r="AW103" i="45"/>
  <c r="AW101" i="45"/>
  <c r="Q101" i="45"/>
  <c r="AW102" i="45"/>
  <c r="Q102" i="45"/>
  <c r="W267" i="46"/>
  <c r="W272" i="46" s="1"/>
  <c r="W268" i="46"/>
  <c r="AV116" i="45"/>
  <c r="AY73" i="45"/>
  <c r="V267" i="48"/>
  <c r="V272" i="48" s="1"/>
  <c r="V266" i="48"/>
  <c r="V271" i="48" s="1"/>
  <c r="V264" i="48"/>
  <c r="V269" i="48" s="1"/>
  <c r="V265" i="48"/>
  <c r="V270" i="48" s="1"/>
  <c r="V268" i="48"/>
  <c r="S72" i="45"/>
  <c r="AW110" i="45"/>
  <c r="AW112" i="45"/>
  <c r="AW111" i="45"/>
  <c r="Q111" i="45"/>
  <c r="Q112" i="45"/>
  <c r="Q110" i="45"/>
  <c r="S40" i="46"/>
  <c r="X46" i="46" s="1"/>
  <c r="X263" i="46" s="1"/>
  <c r="X268" i="46" s="1"/>
  <c r="T59" i="45"/>
  <c r="T60" i="45"/>
  <c r="T73" i="45" s="1"/>
  <c r="T58" i="45"/>
  <c r="T71" i="45" s="1"/>
  <c r="AY71" i="45"/>
  <c r="BC31" i="45"/>
  <c r="BC32" i="45"/>
  <c r="BC29" i="45"/>
  <c r="BC36" i="45"/>
  <c r="BC37" i="45"/>
  <c r="BC35" i="45"/>
  <c r="BC28" i="45"/>
  <c r="BC54" i="45"/>
  <c r="P76" i="48"/>
  <c r="P81" i="48" s="1"/>
  <c r="P77" i="48"/>
  <c r="P73" i="48"/>
  <c r="P78" i="48" s="1"/>
  <c r="P75" i="48"/>
  <c r="P80" i="48" s="1"/>
  <c r="P74" i="48"/>
  <c r="P79" i="48" s="1"/>
  <c r="Q72" i="48"/>
  <c r="Q76" i="46"/>
  <c r="Q81" i="46" s="1"/>
  <c r="Q75" i="46"/>
  <c r="Q80" i="46" s="1"/>
  <c r="Q77" i="46"/>
  <c r="Q73" i="46"/>
  <c r="Q78" i="46" s="1"/>
  <c r="Q74" i="46"/>
  <c r="Q79" i="46" s="1"/>
  <c r="Q78" i="45"/>
  <c r="T75" i="45"/>
  <c r="S36" i="46"/>
  <c r="S42" i="46" s="1"/>
  <c r="P327" i="46"/>
  <c r="P324" i="46"/>
  <c r="P326" i="46"/>
  <c r="P325" i="46"/>
  <c r="M349" i="46"/>
  <c r="M350" i="46" s="1"/>
  <c r="M352" i="46" s="1"/>
  <c r="O316" i="48"/>
  <c r="O313" i="48"/>
  <c r="O318" i="48"/>
  <c r="O315" i="48"/>
  <c r="O314" i="48"/>
  <c r="O317" i="48"/>
  <c r="I368" i="48"/>
  <c r="I373" i="48"/>
  <c r="M333" i="46"/>
  <c r="M332" i="46"/>
  <c r="M336" i="46" s="1"/>
  <c r="Q86" i="46"/>
  <c r="Q91" i="46" s="1"/>
  <c r="Q87" i="46"/>
  <c r="Q84" i="46"/>
  <c r="Q89" i="46" s="1"/>
  <c r="Q82" i="48"/>
  <c r="Q85" i="46"/>
  <c r="Q90" i="46" s="1"/>
  <c r="Q83" i="46"/>
  <c r="Q88" i="46" s="1"/>
  <c r="P114" i="48"/>
  <c r="P119" i="48" s="1"/>
  <c r="P113" i="48"/>
  <c r="P118" i="48" s="1"/>
  <c r="P117" i="48"/>
  <c r="P116" i="48"/>
  <c r="P121" i="48" s="1"/>
  <c r="P115" i="48"/>
  <c r="P120" i="48" s="1"/>
  <c r="P277" i="48"/>
  <c r="N347" i="48"/>
  <c r="N348" i="48"/>
  <c r="R47" i="46"/>
  <c r="R72" i="46"/>
  <c r="R82" i="46"/>
  <c r="R102" i="46"/>
  <c r="R112" i="46"/>
  <c r="O321" i="48"/>
  <c r="DH103" i="55" s="1"/>
  <c r="DH126" i="55" s="1"/>
  <c r="DH149" i="55" s="1"/>
  <c r="O344" i="48"/>
  <c r="O345" i="48" s="1"/>
  <c r="P85" i="48"/>
  <c r="P90" i="48" s="1"/>
  <c r="P87" i="48"/>
  <c r="P86" i="48"/>
  <c r="P91" i="48" s="1"/>
  <c r="P84" i="48"/>
  <c r="P89" i="48" s="1"/>
  <c r="P83" i="48"/>
  <c r="P88" i="48" s="1"/>
  <c r="AV100" i="45"/>
  <c r="P330" i="48"/>
  <c r="P331" i="48"/>
  <c r="P321" i="46"/>
  <c r="P344" i="46"/>
  <c r="P345" i="46" s="1"/>
  <c r="AV114" i="45"/>
  <c r="AV78" i="45"/>
  <c r="Q278" i="48"/>
  <c r="P311" i="48"/>
  <c r="P312" i="48" s="1"/>
  <c r="M356" i="46"/>
  <c r="M357" i="46" s="1"/>
  <c r="M364" i="46" s="1"/>
  <c r="Q102" i="48"/>
  <c r="Q104" i="46"/>
  <c r="Q109" i="46" s="1"/>
  <c r="Q105" i="46"/>
  <c r="Q110" i="46" s="1"/>
  <c r="Q107" i="46"/>
  <c r="Q106" i="46"/>
  <c r="Q111" i="46" s="1"/>
  <c r="Q103" i="46"/>
  <c r="Q108" i="46" s="1"/>
  <c r="AU115" i="45"/>
  <c r="R278" i="46"/>
  <c r="R18" i="52" s="1"/>
  <c r="Q311" i="46"/>
  <c r="BB56" i="45"/>
  <c r="BB55" i="45"/>
  <c r="Q115" i="46"/>
  <c r="Q120" i="46" s="1"/>
  <c r="Q117" i="46"/>
  <c r="Q113" i="46"/>
  <c r="Q118" i="46" s="1"/>
  <c r="Q116" i="46"/>
  <c r="Q121" i="46" s="1"/>
  <c r="Q112" i="48"/>
  <c r="Q114" i="46"/>
  <c r="Q119" i="46" s="1"/>
  <c r="Q277" i="46"/>
  <c r="S47" i="48"/>
  <c r="P104" i="48"/>
  <c r="P109" i="48" s="1"/>
  <c r="P103" i="48"/>
  <c r="P108" i="48" s="1"/>
  <c r="P106" i="48"/>
  <c r="P111" i="48" s="1"/>
  <c r="P107" i="48"/>
  <c r="P105" i="48"/>
  <c r="P110" i="48" s="1"/>
  <c r="V30" i="45"/>
  <c r="V55" i="45"/>
  <c r="V56" i="45"/>
  <c r="X27" i="45"/>
  <c r="BD27" i="45" s="1"/>
  <c r="W28" i="45"/>
  <c r="W29" i="45"/>
  <c r="W31" i="45"/>
  <c r="W36" i="45"/>
  <c r="W32" i="45"/>
  <c r="W35" i="45"/>
  <c r="W54" i="45"/>
  <c r="W37" i="45"/>
  <c r="V33" i="45"/>
  <c r="AZ75" i="45"/>
  <c r="AY104" i="45"/>
  <c r="U57" i="45"/>
  <c r="L124" i="45" l="1"/>
  <c r="L123" i="45"/>
  <c r="L121" i="45"/>
  <c r="L128" i="45" s="1"/>
  <c r="K374" i="46"/>
  <c r="L125" i="45"/>
  <c r="AQ104" i="55"/>
  <c r="AQ127" i="55" s="1"/>
  <c r="AQ150" i="55" s="1"/>
  <c r="AQ107" i="55"/>
  <c r="K104" i="55"/>
  <c r="K127" i="55" s="1"/>
  <c r="K150" i="55" s="1"/>
  <c r="K107" i="55"/>
  <c r="K130" i="55" s="1"/>
  <c r="K153" i="55" s="1"/>
  <c r="AZ72" i="45"/>
  <c r="AQ119" i="45"/>
  <c r="AQ124" i="45" s="1"/>
  <c r="K119" i="45"/>
  <c r="J368" i="46"/>
  <c r="J373" i="46"/>
  <c r="J368" i="48"/>
  <c r="J373" i="48"/>
  <c r="Q331" i="48"/>
  <c r="Q330" i="48"/>
  <c r="J44" i="58"/>
  <c r="J54" i="58"/>
  <c r="J49" i="58"/>
  <c r="X266" i="46"/>
  <c r="X271" i="46" s="1"/>
  <c r="AT133" i="55"/>
  <c r="DF110" i="55"/>
  <c r="AT134" i="55"/>
  <c r="DF111" i="55"/>
  <c r="AT131" i="55"/>
  <c r="DF108" i="55"/>
  <c r="AT132" i="55"/>
  <c r="DF109" i="55"/>
  <c r="N348" i="46"/>
  <c r="P315" i="46"/>
  <c r="CC108" i="55" s="1"/>
  <c r="CC131" i="55" s="1"/>
  <c r="CC154" i="55" s="1"/>
  <c r="N331" i="46"/>
  <c r="N330" i="46"/>
  <c r="P316" i="46"/>
  <c r="CC109" i="55" s="1"/>
  <c r="CC132" i="55" s="1"/>
  <c r="CC155" i="55" s="1"/>
  <c r="P313" i="46"/>
  <c r="N340" i="48"/>
  <c r="AU109" i="55" s="1"/>
  <c r="N338" i="48"/>
  <c r="N339" i="48"/>
  <c r="AU108" i="55" s="1"/>
  <c r="N341" i="48"/>
  <c r="AU110" i="55" s="1"/>
  <c r="N342" i="48"/>
  <c r="AU111" i="55" s="1"/>
  <c r="N337" i="48"/>
  <c r="BA70" i="45"/>
  <c r="M120" i="45"/>
  <c r="M122" i="45" s="1"/>
  <c r="T47" i="48"/>
  <c r="O341" i="46"/>
  <c r="P110" i="55" s="1"/>
  <c r="P133" i="55" s="1"/>
  <c r="P156" i="55" s="1"/>
  <c r="O334" i="46"/>
  <c r="O346" i="46" s="1"/>
  <c r="O347" i="46" s="1"/>
  <c r="O335" i="46"/>
  <c r="P115" i="45"/>
  <c r="Q323" i="46"/>
  <c r="O328" i="46"/>
  <c r="L364" i="46"/>
  <c r="L357" i="48"/>
  <c r="L364" i="48" s="1"/>
  <c r="O329" i="46"/>
  <c r="AP124" i="45"/>
  <c r="T36" i="46"/>
  <c r="T42" i="46" s="1"/>
  <c r="T47" i="46" s="1"/>
  <c r="P314" i="46"/>
  <c r="CC107" i="55" s="1"/>
  <c r="CC130" i="55" s="1"/>
  <c r="CC153" i="55" s="1"/>
  <c r="O337" i="46"/>
  <c r="AO49" i="58"/>
  <c r="P317" i="46"/>
  <c r="CC110" i="55" s="1"/>
  <c r="CC133" i="55" s="1"/>
  <c r="CC156" i="55" s="1"/>
  <c r="O342" i="46"/>
  <c r="P111" i="55" s="1"/>
  <c r="P134" i="55" s="1"/>
  <c r="P157" i="55" s="1"/>
  <c r="O340" i="46"/>
  <c r="P109" i="55" s="1"/>
  <c r="P132" i="55" s="1"/>
  <c r="P155" i="55" s="1"/>
  <c r="Q117" i="45"/>
  <c r="O338" i="46"/>
  <c r="AW117" i="45"/>
  <c r="BB67" i="45"/>
  <c r="BB68" i="45"/>
  <c r="AR130" i="55"/>
  <c r="DD107" i="55"/>
  <c r="AP130" i="55"/>
  <c r="DB107" i="55"/>
  <c r="AO54" i="58"/>
  <c r="AO44" i="58"/>
  <c r="L131" i="45"/>
  <c r="L53" i="58" s="1"/>
  <c r="L129" i="45"/>
  <c r="L43" i="58" s="1"/>
  <c r="AP131" i="45"/>
  <c r="AP53" i="58" s="1"/>
  <c r="AP129" i="45"/>
  <c r="AP43" i="58" s="1"/>
  <c r="AP130" i="45"/>
  <c r="AP48" i="58" s="1"/>
  <c r="Q312" i="46"/>
  <c r="CD103" i="55"/>
  <c r="CD126" i="55" s="1"/>
  <c r="CD149" i="55" s="1"/>
  <c r="R320" i="48"/>
  <c r="O322" i="48"/>
  <c r="O341" i="48" s="1"/>
  <c r="AV110" i="55" s="1"/>
  <c r="AV103" i="55"/>
  <c r="AV126" i="55" s="1"/>
  <c r="AV149" i="55" s="1"/>
  <c r="P322" i="46"/>
  <c r="P339" i="46" s="1"/>
  <c r="Q108" i="55" s="1"/>
  <c r="Q131" i="55" s="1"/>
  <c r="Q154" i="55" s="1"/>
  <c r="Q103" i="55"/>
  <c r="Q126" i="55" s="1"/>
  <c r="Q149" i="55" s="1"/>
  <c r="BB34" i="45"/>
  <c r="U36" i="48" s="1"/>
  <c r="U42" i="48" s="1"/>
  <c r="U47" i="48" s="1"/>
  <c r="U319" i="48" s="1"/>
  <c r="AW106" i="45"/>
  <c r="AW109" i="45" s="1"/>
  <c r="R319" i="46"/>
  <c r="R323" i="46" s="1"/>
  <c r="Q91" i="45"/>
  <c r="Q114" i="45" s="1"/>
  <c r="S319" i="48"/>
  <c r="Q113" i="45"/>
  <c r="U70" i="45"/>
  <c r="AP123" i="45"/>
  <c r="Q100" i="45"/>
  <c r="AR123" i="45"/>
  <c r="BC30" i="45"/>
  <c r="Y105" i="45"/>
  <c r="BE105" i="45" s="1"/>
  <c r="AT119" i="45"/>
  <c r="K374" i="48"/>
  <c r="R106" i="45"/>
  <c r="R109" i="45" s="1"/>
  <c r="N119" i="45"/>
  <c r="X105" i="45"/>
  <c r="BD105" i="45" s="1"/>
  <c r="R97" i="45"/>
  <c r="R90" i="45"/>
  <c r="AX90" i="45" s="1"/>
  <c r="AX91" i="45" s="1"/>
  <c r="L126" i="45"/>
  <c r="R76" i="45"/>
  <c r="BA60" i="45"/>
  <c r="BA73" i="45" s="1"/>
  <c r="AR125" i="45"/>
  <c r="T40" i="48"/>
  <c r="Y46" i="48" s="1"/>
  <c r="W267" i="48"/>
  <c r="W272" i="48" s="1"/>
  <c r="W265" i="48"/>
  <c r="W270" i="48" s="1"/>
  <c r="W266" i="48"/>
  <c r="W271" i="48" s="1"/>
  <c r="BA58" i="45"/>
  <c r="BA71" i="45" s="1"/>
  <c r="X267" i="46"/>
  <c r="X272" i="46" s="1"/>
  <c r="BB57" i="45"/>
  <c r="BB58" i="45" s="1"/>
  <c r="Q118" i="45"/>
  <c r="T40" i="46"/>
  <c r="Y46" i="46" s="1"/>
  <c r="Y263" i="46" s="1"/>
  <c r="Y263" i="48" s="1"/>
  <c r="U58" i="45"/>
  <c r="U71" i="45" s="1"/>
  <c r="U59" i="45"/>
  <c r="U60" i="45"/>
  <c r="U73" i="45" s="1"/>
  <c r="AX101" i="45"/>
  <c r="R103" i="45"/>
  <c r="AX103" i="45"/>
  <c r="R102" i="45"/>
  <c r="AX102" i="45"/>
  <c r="R101" i="45"/>
  <c r="X264" i="46"/>
  <c r="X269" i="46" s="1"/>
  <c r="V57" i="45"/>
  <c r="W268" i="48"/>
  <c r="AX106" i="45"/>
  <c r="AX109" i="45" s="1"/>
  <c r="X265" i="46"/>
  <c r="X270" i="46" s="1"/>
  <c r="AX94" i="45"/>
  <c r="R93" i="45"/>
  <c r="R94" i="45"/>
  <c r="AX93" i="45"/>
  <c r="AW118" i="45"/>
  <c r="BA72" i="45"/>
  <c r="Q116" i="45"/>
  <c r="AX112" i="45"/>
  <c r="AX110" i="45"/>
  <c r="AX111" i="45"/>
  <c r="R111" i="45"/>
  <c r="R112" i="45"/>
  <c r="R110" i="45"/>
  <c r="X263" i="48"/>
  <c r="X265" i="48" s="1"/>
  <c r="X270" i="48" s="1"/>
  <c r="V68" i="45"/>
  <c r="W30" i="45"/>
  <c r="V67" i="45"/>
  <c r="S274" i="48"/>
  <c r="I374" i="48"/>
  <c r="AP125" i="45"/>
  <c r="R79" i="45"/>
  <c r="AX79" i="45"/>
  <c r="R80" i="45"/>
  <c r="R81" i="45"/>
  <c r="AX81" i="45"/>
  <c r="AX80" i="45"/>
  <c r="T72" i="45"/>
  <c r="AW116" i="45"/>
  <c r="BD28" i="45"/>
  <c r="BD36" i="45"/>
  <c r="BD37" i="45"/>
  <c r="BD35" i="45"/>
  <c r="BD31" i="45"/>
  <c r="BD32" i="45"/>
  <c r="BD29" i="45"/>
  <c r="BD54" i="45"/>
  <c r="S278" i="46"/>
  <c r="S18" i="52" s="1"/>
  <c r="R311" i="46"/>
  <c r="T72" i="46"/>
  <c r="R105" i="46"/>
  <c r="R110" i="46" s="1"/>
  <c r="R107" i="46"/>
  <c r="R102" i="48"/>
  <c r="R106" i="46"/>
  <c r="R111" i="46" s="1"/>
  <c r="R104" i="46"/>
  <c r="R109" i="46" s="1"/>
  <c r="R103" i="46"/>
  <c r="R108" i="46" s="1"/>
  <c r="Q77" i="48"/>
  <c r="Q73" i="48"/>
  <c r="Q78" i="48" s="1"/>
  <c r="Q74" i="48"/>
  <c r="Q79" i="48" s="1"/>
  <c r="Q76" i="48"/>
  <c r="Q81" i="48" s="1"/>
  <c r="Q75" i="48"/>
  <c r="Q80" i="48" s="1"/>
  <c r="Q117" i="48"/>
  <c r="Q114" i="48"/>
  <c r="Q119" i="48" s="1"/>
  <c r="Q115" i="48"/>
  <c r="Q120" i="48" s="1"/>
  <c r="Q116" i="48"/>
  <c r="Q121" i="48" s="1"/>
  <c r="Q113" i="48"/>
  <c r="Q118" i="48" s="1"/>
  <c r="Q277" i="48"/>
  <c r="M366" i="46"/>
  <c r="N104" i="55" s="1"/>
  <c r="N127" i="55" s="1"/>
  <c r="N150" i="55" s="1"/>
  <c r="P333" i="48"/>
  <c r="P332" i="48"/>
  <c r="P336" i="48" s="1"/>
  <c r="R85" i="46"/>
  <c r="R90" i="46" s="1"/>
  <c r="R83" i="46"/>
  <c r="R88" i="46" s="1"/>
  <c r="R86" i="46"/>
  <c r="R91" i="46" s="1"/>
  <c r="R87" i="46"/>
  <c r="R82" i="48"/>
  <c r="R84" i="46"/>
  <c r="R89" i="46" s="1"/>
  <c r="P328" i="46"/>
  <c r="P329" i="46"/>
  <c r="AW114" i="45"/>
  <c r="AW78" i="45"/>
  <c r="BC56" i="45"/>
  <c r="BC55" i="45"/>
  <c r="BC33" i="45"/>
  <c r="O348" i="48"/>
  <c r="O349" i="48" s="1"/>
  <c r="O350" i="48" s="1"/>
  <c r="O352" i="48" s="1"/>
  <c r="O347" i="48"/>
  <c r="N351" i="48"/>
  <c r="N349" i="48"/>
  <c r="N350" i="48" s="1"/>
  <c r="N352" i="48" s="1"/>
  <c r="AW100" i="45"/>
  <c r="Q107" i="48"/>
  <c r="Q105" i="48"/>
  <c r="Q110" i="48" s="1"/>
  <c r="Q106" i="48"/>
  <c r="Q111" i="48" s="1"/>
  <c r="Q103" i="48"/>
  <c r="Q108" i="48" s="1"/>
  <c r="Q104" i="48"/>
  <c r="Q109" i="48" s="1"/>
  <c r="P314" i="48"/>
  <c r="P317" i="48"/>
  <c r="P316" i="48"/>
  <c r="P313" i="48"/>
  <c r="P315" i="48"/>
  <c r="P318" i="48"/>
  <c r="AV115" i="45"/>
  <c r="R274" i="46"/>
  <c r="R72" i="48"/>
  <c r="R74" i="46"/>
  <c r="R79" i="46" s="1"/>
  <c r="R77" i="46"/>
  <c r="R73" i="46"/>
  <c r="R78" i="46" s="1"/>
  <c r="R75" i="46"/>
  <c r="R80" i="46" s="1"/>
  <c r="R76" i="46"/>
  <c r="R81" i="46" s="1"/>
  <c r="P321" i="48"/>
  <c r="DI103" i="55" s="1"/>
  <c r="DI126" i="55" s="1"/>
  <c r="DI149" i="55" s="1"/>
  <c r="P344" i="48"/>
  <c r="P345" i="48" s="1"/>
  <c r="Q86" i="48"/>
  <c r="Q91" i="48" s="1"/>
  <c r="Q83" i="48"/>
  <c r="Q88" i="48" s="1"/>
  <c r="Q85" i="48"/>
  <c r="Q90" i="48" s="1"/>
  <c r="Q84" i="48"/>
  <c r="Q89" i="48" s="1"/>
  <c r="Q87" i="48"/>
  <c r="R327" i="48"/>
  <c r="R326" i="48"/>
  <c r="R324" i="48"/>
  <c r="R325" i="48"/>
  <c r="S47" i="46"/>
  <c r="S102" i="46"/>
  <c r="S112" i="46"/>
  <c r="S72" i="46"/>
  <c r="S82" i="46"/>
  <c r="Q321" i="46"/>
  <c r="Q344" i="46"/>
  <c r="Q345" i="46" s="1"/>
  <c r="Q311" i="48"/>
  <c r="Q312" i="48" s="1"/>
  <c r="R278" i="48"/>
  <c r="R112" i="48"/>
  <c r="R115" i="46"/>
  <c r="R120" i="46" s="1"/>
  <c r="R116" i="46"/>
  <c r="R121" i="46" s="1"/>
  <c r="R114" i="46"/>
  <c r="R119" i="46" s="1"/>
  <c r="R117" i="46"/>
  <c r="R113" i="46"/>
  <c r="R118" i="46" s="1"/>
  <c r="R277" i="46"/>
  <c r="AR121" i="45"/>
  <c r="AR128" i="45" s="1"/>
  <c r="P334" i="46"/>
  <c r="P346" i="46" s="1"/>
  <c r="P347" i="46" s="1"/>
  <c r="P335" i="46"/>
  <c r="M366" i="48"/>
  <c r="AT104" i="55" s="1"/>
  <c r="AT127" i="55" s="1"/>
  <c r="AT150" i="55" s="1"/>
  <c r="W33" i="45"/>
  <c r="W34" i="45" s="1"/>
  <c r="V34" i="45"/>
  <c r="U104" i="45"/>
  <c r="W55" i="45"/>
  <c r="W56" i="45"/>
  <c r="X32" i="45"/>
  <c r="Y27" i="45"/>
  <c r="BE27" i="45" s="1"/>
  <c r="X29" i="45"/>
  <c r="X31" i="45"/>
  <c r="X37" i="45"/>
  <c r="X36" i="45"/>
  <c r="X35" i="45"/>
  <c r="X28" i="45"/>
  <c r="X54" i="45"/>
  <c r="AZ104" i="45"/>
  <c r="L130" i="45" l="1"/>
  <c r="L48" i="58" s="1"/>
  <c r="DC107" i="55"/>
  <c r="AT156" i="55"/>
  <c r="DF156" i="55" s="1"/>
  <c r="DF133" i="55"/>
  <c r="AQ130" i="55"/>
  <c r="AQ123" i="45"/>
  <c r="K123" i="45"/>
  <c r="L366" i="48"/>
  <c r="AS107" i="55" s="1"/>
  <c r="K125" i="45"/>
  <c r="K124" i="45"/>
  <c r="AQ125" i="45"/>
  <c r="K121" i="45"/>
  <c r="K128" i="45" s="1"/>
  <c r="J374" i="48"/>
  <c r="J374" i="46"/>
  <c r="AU132" i="55"/>
  <c r="DG109" i="55"/>
  <c r="AU134" i="55"/>
  <c r="DG111" i="55"/>
  <c r="AU133" i="55"/>
  <c r="DG110" i="55"/>
  <c r="AT157" i="55"/>
  <c r="DF157" i="55" s="1"/>
  <c r="DF134" i="55"/>
  <c r="AU131" i="55"/>
  <c r="DG108" i="55"/>
  <c r="AT155" i="55"/>
  <c r="DF155" i="55" s="1"/>
  <c r="DF132" i="55"/>
  <c r="AT154" i="55"/>
  <c r="DF154" i="55" s="1"/>
  <c r="DF131" i="55"/>
  <c r="Q333" i="48"/>
  <c r="Q332" i="48"/>
  <c r="Q336" i="48" s="1"/>
  <c r="O348" i="46"/>
  <c r="O351" i="46" s="1"/>
  <c r="O356" i="46" s="1"/>
  <c r="N333" i="46"/>
  <c r="N349" i="46"/>
  <c r="N350" i="46" s="1"/>
  <c r="N352" i="46" s="1"/>
  <c r="N351" i="46"/>
  <c r="M104" i="55"/>
  <c r="M127" i="55" s="1"/>
  <c r="M150" i="55" s="1"/>
  <c r="M107" i="55"/>
  <c r="M130" i="55" s="1"/>
  <c r="M153" i="55" s="1"/>
  <c r="AS119" i="45"/>
  <c r="N332" i="46"/>
  <c r="N336" i="46" s="1"/>
  <c r="L368" i="46"/>
  <c r="M119" i="45"/>
  <c r="L373" i="46"/>
  <c r="O330" i="46"/>
  <c r="O331" i="46"/>
  <c r="Q313" i="46"/>
  <c r="Q315" i="46"/>
  <c r="CD108" i="55" s="1"/>
  <c r="CD131" i="55" s="1"/>
  <c r="CD154" i="55" s="1"/>
  <c r="Q316" i="46"/>
  <c r="CD109" i="55" s="1"/>
  <c r="CD132" i="55" s="1"/>
  <c r="CD155" i="55" s="1"/>
  <c r="Q317" i="46"/>
  <c r="CD110" i="55" s="1"/>
  <c r="CD133" i="55" s="1"/>
  <c r="CD156" i="55" s="1"/>
  <c r="Q314" i="46"/>
  <c r="CD107" i="55" s="1"/>
  <c r="CD130" i="55" s="1"/>
  <c r="CD153" i="55" s="1"/>
  <c r="Q318" i="46"/>
  <c r="CD111" i="55" s="1"/>
  <c r="CD134" i="55" s="1"/>
  <c r="CD157" i="55" s="1"/>
  <c r="T274" i="48"/>
  <c r="T319" i="48"/>
  <c r="P341" i="46"/>
  <c r="Q110" i="55" s="1"/>
  <c r="Q133" i="55" s="1"/>
  <c r="Q156" i="55" s="1"/>
  <c r="Q324" i="46"/>
  <c r="Q326" i="46"/>
  <c r="Q327" i="46"/>
  <c r="Q325" i="46"/>
  <c r="BB70" i="45"/>
  <c r="AX76" i="45"/>
  <c r="R78" i="45"/>
  <c r="AX97" i="45"/>
  <c r="R100" i="45"/>
  <c r="S323" i="48"/>
  <c r="S320" i="48"/>
  <c r="P340" i="46"/>
  <c r="Q109" i="55" s="1"/>
  <c r="Q132" i="55" s="1"/>
  <c r="Q155" i="55" s="1"/>
  <c r="P337" i="46"/>
  <c r="P338" i="46"/>
  <c r="U274" i="48"/>
  <c r="P342" i="46"/>
  <c r="Q111" i="55" s="1"/>
  <c r="Q134" i="55" s="1"/>
  <c r="Q157" i="55" s="1"/>
  <c r="T102" i="46"/>
  <c r="R320" i="46"/>
  <c r="T82" i="46"/>
  <c r="T112" i="46"/>
  <c r="L54" i="58"/>
  <c r="AW113" i="45"/>
  <c r="AW115" i="45" s="1"/>
  <c r="DF104" i="55"/>
  <c r="DF127" i="55" s="1"/>
  <c r="DF150" i="55" s="1"/>
  <c r="AV133" i="55"/>
  <c r="DH110" i="55"/>
  <c r="AR153" i="55"/>
  <c r="DD153" i="55" s="1"/>
  <c r="DD130" i="55"/>
  <c r="AP153" i="55"/>
  <c r="DB153" i="55" s="1"/>
  <c r="DB130" i="55"/>
  <c r="L44" i="58"/>
  <c r="AR131" i="45"/>
  <c r="AR53" i="58" s="1"/>
  <c r="AR129" i="45"/>
  <c r="AR43" i="58" s="1"/>
  <c r="AR130" i="45"/>
  <c r="AR48" i="58" s="1"/>
  <c r="L49" i="58"/>
  <c r="AP54" i="58"/>
  <c r="AP49" i="58"/>
  <c r="AP44" i="58"/>
  <c r="O338" i="48"/>
  <c r="O339" i="48"/>
  <c r="AV108" i="55" s="1"/>
  <c r="O340" i="48"/>
  <c r="AV109" i="55" s="1"/>
  <c r="O342" i="48"/>
  <c r="AV111" i="55" s="1"/>
  <c r="O337" i="48"/>
  <c r="R117" i="45"/>
  <c r="AX117" i="45"/>
  <c r="Q115" i="45"/>
  <c r="U323" i="48"/>
  <c r="U325" i="48" s="1"/>
  <c r="U320" i="48"/>
  <c r="N107" i="55"/>
  <c r="N130" i="55" s="1"/>
  <c r="N153" i="55" s="1"/>
  <c r="R312" i="46"/>
  <c r="CE103" i="55"/>
  <c r="CE126" i="55" s="1"/>
  <c r="CE149" i="55" s="1"/>
  <c r="Q322" i="46"/>
  <c r="R103" i="55"/>
  <c r="R126" i="55" s="1"/>
  <c r="R149" i="55" s="1"/>
  <c r="AT107" i="55"/>
  <c r="P322" i="48"/>
  <c r="P338" i="48" s="1"/>
  <c r="AW103" i="55"/>
  <c r="AW126" i="55" s="1"/>
  <c r="AW149" i="55" s="1"/>
  <c r="T319" i="46"/>
  <c r="T320" i="46" s="1"/>
  <c r="S319" i="46"/>
  <c r="R91" i="45"/>
  <c r="R114" i="45" s="1"/>
  <c r="Y265" i="46"/>
  <c r="Y270" i="46" s="1"/>
  <c r="Y266" i="46"/>
  <c r="Y271" i="46" s="1"/>
  <c r="Y267" i="46"/>
  <c r="Y272" i="46" s="1"/>
  <c r="R113" i="45"/>
  <c r="V104" i="45"/>
  <c r="S90" i="45"/>
  <c r="AY90" i="45" s="1"/>
  <c r="AY91" i="45" s="1"/>
  <c r="S76" i="45"/>
  <c r="AY76" i="45" s="1"/>
  <c r="AP126" i="45"/>
  <c r="S97" i="45"/>
  <c r="AY97" i="45" s="1"/>
  <c r="M373" i="46"/>
  <c r="M374" i="46" s="1"/>
  <c r="S106" i="45"/>
  <c r="S109" i="45" s="1"/>
  <c r="AR126" i="45"/>
  <c r="BB59" i="45"/>
  <c r="BB72" i="45" s="1"/>
  <c r="Y268" i="46"/>
  <c r="BB60" i="45"/>
  <c r="BB73" i="45" s="1"/>
  <c r="X264" i="48"/>
  <c r="X269" i="48" s="1"/>
  <c r="U40" i="48"/>
  <c r="Z46" i="48" s="1"/>
  <c r="Y264" i="46"/>
  <c r="Y269" i="46" s="1"/>
  <c r="V70" i="45"/>
  <c r="BC68" i="45"/>
  <c r="AX116" i="45"/>
  <c r="AY103" i="45"/>
  <c r="S103" i="45"/>
  <c r="AY101" i="45"/>
  <c r="S101" i="45"/>
  <c r="AY102" i="45"/>
  <c r="S102" i="45"/>
  <c r="X266" i="48"/>
  <c r="X271" i="48" s="1"/>
  <c r="U72" i="45"/>
  <c r="S80" i="45"/>
  <c r="AY81" i="45"/>
  <c r="S79" i="45"/>
  <c r="AY80" i="45"/>
  <c r="AY79" i="45"/>
  <c r="S81" i="45"/>
  <c r="X268" i="48"/>
  <c r="BC57" i="45"/>
  <c r="V40" i="48" s="1"/>
  <c r="AA46" i="48" s="1"/>
  <c r="AY94" i="45"/>
  <c r="S94" i="45"/>
  <c r="S93" i="45"/>
  <c r="AY93" i="45"/>
  <c r="P348" i="46"/>
  <c r="P349" i="46" s="1"/>
  <c r="P350" i="46" s="1"/>
  <c r="T274" i="46"/>
  <c r="BB71" i="45"/>
  <c r="AX118" i="45"/>
  <c r="R116" i="45"/>
  <c r="AY111" i="45"/>
  <c r="AY112" i="45"/>
  <c r="S111" i="45"/>
  <c r="S112" i="45"/>
  <c r="S110" i="45"/>
  <c r="AY110" i="45"/>
  <c r="W68" i="45"/>
  <c r="X267" i="48"/>
  <c r="X272" i="48" s="1"/>
  <c r="AX113" i="45"/>
  <c r="R118" i="45"/>
  <c r="U40" i="46"/>
  <c r="Z46" i="46" s="1"/>
  <c r="Z263" i="46" s="1"/>
  <c r="V58" i="45"/>
  <c r="V59" i="45"/>
  <c r="V60" i="45"/>
  <c r="M368" i="48"/>
  <c r="AT120" i="45"/>
  <c r="R311" i="48"/>
  <c r="R312" i="48" s="1"/>
  <c r="S278" i="48"/>
  <c r="AX114" i="45"/>
  <c r="AX78" i="45"/>
  <c r="BE37" i="45"/>
  <c r="BE32" i="45"/>
  <c r="BE29" i="45"/>
  <c r="BE35" i="45"/>
  <c r="BE31" i="45"/>
  <c r="BE28" i="45"/>
  <c r="BE36" i="45"/>
  <c r="BE54" i="45"/>
  <c r="BC67" i="45"/>
  <c r="R116" i="48"/>
  <c r="R121" i="48" s="1"/>
  <c r="R113" i="48"/>
  <c r="R118" i="48" s="1"/>
  <c r="R117" i="48"/>
  <c r="R115" i="48"/>
  <c r="R120" i="48" s="1"/>
  <c r="R114" i="48"/>
  <c r="R119" i="48" s="1"/>
  <c r="R277" i="48"/>
  <c r="Q316" i="48"/>
  <c r="Q315" i="48"/>
  <c r="Q313" i="48"/>
  <c r="Q318" i="48"/>
  <c r="Q314" i="48"/>
  <c r="Q317" i="48"/>
  <c r="S114" i="46"/>
  <c r="S119" i="46" s="1"/>
  <c r="S112" i="48"/>
  <c r="S115" i="46"/>
  <c r="S120" i="46" s="1"/>
  <c r="S117" i="46"/>
  <c r="S116" i="46"/>
  <c r="S121" i="46" s="1"/>
  <c r="S113" i="46"/>
  <c r="S118" i="46" s="1"/>
  <c r="S277" i="46"/>
  <c r="P348" i="48"/>
  <c r="P349" i="48" s="1"/>
  <c r="P350" i="48" s="1"/>
  <c r="P352" i="48" s="1"/>
  <c r="P347" i="48"/>
  <c r="N356" i="48"/>
  <c r="AX100" i="45"/>
  <c r="T116" i="46"/>
  <c r="T121" i="46" s="1"/>
  <c r="T113" i="46"/>
  <c r="T118" i="46" s="1"/>
  <c r="BD55" i="45"/>
  <c r="BD56" i="45"/>
  <c r="BD33" i="45"/>
  <c r="BD30" i="45"/>
  <c r="S72" i="48"/>
  <c r="S76" i="46"/>
  <c r="S81" i="46" s="1"/>
  <c r="S75" i="46"/>
  <c r="S80" i="46" s="1"/>
  <c r="S77" i="46"/>
  <c r="S74" i="46"/>
  <c r="S79" i="46" s="1"/>
  <c r="S73" i="46"/>
  <c r="S78" i="46" s="1"/>
  <c r="R74" i="48"/>
  <c r="R79" i="48" s="1"/>
  <c r="R73" i="48"/>
  <c r="R78" i="48" s="1"/>
  <c r="R77" i="48"/>
  <c r="R75" i="48"/>
  <c r="R80" i="48" s="1"/>
  <c r="R76" i="48"/>
  <c r="R81" i="48" s="1"/>
  <c r="T85" i="46"/>
  <c r="T90" i="46" s="1"/>
  <c r="T82" i="48"/>
  <c r="T84" i="46"/>
  <c r="T89" i="46" s="1"/>
  <c r="T87" i="46"/>
  <c r="T86" i="46"/>
  <c r="T91" i="46" s="1"/>
  <c r="T83" i="46"/>
  <c r="T88" i="46" s="1"/>
  <c r="V75" i="45"/>
  <c r="U36" i="46"/>
  <c r="U42" i="46" s="1"/>
  <c r="R324" i="46"/>
  <c r="R325" i="46"/>
  <c r="R326" i="46"/>
  <c r="R327" i="46"/>
  <c r="S274" i="46"/>
  <c r="S102" i="48"/>
  <c r="S104" i="46"/>
  <c r="S109" i="46" s="1"/>
  <c r="S105" i="46"/>
  <c r="S110" i="46" s="1"/>
  <c r="S103" i="46"/>
  <c r="S108" i="46" s="1"/>
  <c r="S107" i="46"/>
  <c r="S106" i="46"/>
  <c r="S111" i="46" s="1"/>
  <c r="R328" i="48"/>
  <c r="R329" i="48"/>
  <c r="O351" i="48"/>
  <c r="R84" i="48"/>
  <c r="R89" i="48" s="1"/>
  <c r="R85" i="48"/>
  <c r="R90" i="48" s="1"/>
  <c r="R83" i="48"/>
  <c r="R88" i="48" s="1"/>
  <c r="R87" i="48"/>
  <c r="R86" i="48"/>
  <c r="R91" i="48" s="1"/>
  <c r="M368" i="46"/>
  <c r="N120" i="45"/>
  <c r="R104" i="48"/>
  <c r="R109" i="48" s="1"/>
  <c r="R107" i="48"/>
  <c r="R103" i="48"/>
  <c r="R108" i="48" s="1"/>
  <c r="R105" i="48"/>
  <c r="R110" i="48" s="1"/>
  <c r="R106" i="48"/>
  <c r="R111" i="48" s="1"/>
  <c r="T72" i="48"/>
  <c r="T75" i="46"/>
  <c r="T80" i="46" s="1"/>
  <c r="T74" i="46"/>
  <c r="T79" i="46" s="1"/>
  <c r="T77" i="46"/>
  <c r="T73" i="46"/>
  <c r="T78" i="46" s="1"/>
  <c r="T76" i="46"/>
  <c r="T81" i="46" s="1"/>
  <c r="Y264" i="48"/>
  <c r="Y269" i="48" s="1"/>
  <c r="Y266" i="48"/>
  <c r="Y271" i="48" s="1"/>
  <c r="Y267" i="48"/>
  <c r="Y272" i="48" s="1"/>
  <c r="Y268" i="48"/>
  <c r="Y265" i="48"/>
  <c r="Y270" i="48" s="1"/>
  <c r="M373" i="48"/>
  <c r="W75" i="45"/>
  <c r="V36" i="46"/>
  <c r="V42" i="46" s="1"/>
  <c r="R344" i="46"/>
  <c r="R345" i="46" s="1"/>
  <c r="R321" i="46"/>
  <c r="S85" i="46"/>
  <c r="S90" i="46" s="1"/>
  <c r="S83" i="46"/>
  <c r="S88" i="46" s="1"/>
  <c r="S82" i="48"/>
  <c r="S84" i="46"/>
  <c r="S89" i="46" s="1"/>
  <c r="S87" i="46"/>
  <c r="S86" i="46"/>
  <c r="S91" i="46" s="1"/>
  <c r="R335" i="48"/>
  <c r="R334" i="48"/>
  <c r="R346" i="48" s="1"/>
  <c r="AQ121" i="45"/>
  <c r="AQ128" i="45" s="1"/>
  <c r="P331" i="46"/>
  <c r="P330" i="46"/>
  <c r="Q321" i="48"/>
  <c r="DJ103" i="55" s="1"/>
  <c r="DJ126" i="55" s="1"/>
  <c r="DJ149" i="55" s="1"/>
  <c r="Q344" i="48"/>
  <c r="Q345" i="48" s="1"/>
  <c r="T102" i="48"/>
  <c r="T105" i="46"/>
  <c r="T110" i="46" s="1"/>
  <c r="T103" i="46"/>
  <c r="T108" i="46" s="1"/>
  <c r="T106" i="46"/>
  <c r="T111" i="46" s="1"/>
  <c r="T107" i="46"/>
  <c r="T104" i="46"/>
  <c r="T109" i="46" s="1"/>
  <c r="S311" i="46"/>
  <c r="T278" i="46"/>
  <c r="T18" i="52" s="1"/>
  <c r="BC34" i="45"/>
  <c r="V36" i="48" s="1"/>
  <c r="V42" i="48" s="1"/>
  <c r="W57" i="45"/>
  <c r="X30" i="45"/>
  <c r="X33" i="45"/>
  <c r="W67" i="45"/>
  <c r="BB75" i="45"/>
  <c r="X55" i="45"/>
  <c r="X56" i="45"/>
  <c r="Y28" i="45"/>
  <c r="Y32" i="45"/>
  <c r="Z27" i="45"/>
  <c r="BF27" i="45" s="1"/>
  <c r="Y31" i="45"/>
  <c r="Y35" i="45"/>
  <c r="Y37" i="45"/>
  <c r="Y29" i="45"/>
  <c r="Y36" i="45"/>
  <c r="Y54" i="45"/>
  <c r="BA104" i="45"/>
  <c r="BA75" i="45"/>
  <c r="BB104" i="45"/>
  <c r="T323" i="48" l="1"/>
  <c r="T320" i="48"/>
  <c r="DC130" i="55"/>
  <c r="AQ153" i="55"/>
  <c r="DC153" i="55" s="1"/>
  <c r="Q329" i="46"/>
  <c r="AS130" i="55"/>
  <c r="DE107" i="55"/>
  <c r="DE104" i="55"/>
  <c r="DE127" i="55" s="1"/>
  <c r="DE150" i="55" s="1"/>
  <c r="K131" i="45"/>
  <c r="K53" i="58" s="1"/>
  <c r="K130" i="45"/>
  <c r="K48" i="58" s="1"/>
  <c r="K129" i="45"/>
  <c r="K43" i="58" s="1"/>
  <c r="AS104" i="55"/>
  <c r="AS127" i="55" s="1"/>
  <c r="AS150" i="55" s="1"/>
  <c r="K126" i="45"/>
  <c r="L368" i="48"/>
  <c r="AQ126" i="45"/>
  <c r="L373" i="48"/>
  <c r="AS120" i="45"/>
  <c r="Q328" i="46"/>
  <c r="AU156" i="55"/>
  <c r="DG156" i="55" s="1"/>
  <c r="DG133" i="55"/>
  <c r="AU157" i="55"/>
  <c r="DG157" i="55" s="1"/>
  <c r="DG134" i="55"/>
  <c r="AU154" i="55"/>
  <c r="DG154" i="55" s="1"/>
  <c r="DG131" i="55"/>
  <c r="AU155" i="55"/>
  <c r="DG155" i="55" s="1"/>
  <c r="DG132" i="55"/>
  <c r="O349" i="46"/>
  <c r="O350" i="46" s="1"/>
  <c r="M123" i="45"/>
  <c r="M124" i="45"/>
  <c r="N356" i="46"/>
  <c r="O357" i="46"/>
  <c r="O364" i="46" s="1"/>
  <c r="M121" i="45"/>
  <c r="M128" i="45" s="1"/>
  <c r="L374" i="46"/>
  <c r="M125" i="45"/>
  <c r="T325" i="48"/>
  <c r="T326" i="48"/>
  <c r="T327" i="48"/>
  <c r="T324" i="48"/>
  <c r="O332" i="46"/>
  <c r="O336" i="46" s="1"/>
  <c r="O333" i="46"/>
  <c r="R317" i="46"/>
  <c r="CE110" i="55" s="1"/>
  <c r="CE133" i="55" s="1"/>
  <c r="CE156" i="55" s="1"/>
  <c r="R316" i="46"/>
  <c r="CE109" i="55" s="1"/>
  <c r="CE132" i="55" s="1"/>
  <c r="CE155" i="55" s="1"/>
  <c r="R318" i="46"/>
  <c r="CE111" i="55" s="1"/>
  <c r="CE134" i="55" s="1"/>
  <c r="CE157" i="55" s="1"/>
  <c r="R314" i="46"/>
  <c r="CE107" i="55" s="1"/>
  <c r="CE130" i="55" s="1"/>
  <c r="CE153" i="55" s="1"/>
  <c r="R315" i="46"/>
  <c r="CE108" i="55" s="1"/>
  <c r="CE131" i="55" s="1"/>
  <c r="CE154" i="55" s="1"/>
  <c r="R313" i="46"/>
  <c r="S325" i="48"/>
  <c r="S327" i="48"/>
  <c r="Q335" i="46"/>
  <c r="Q334" i="46"/>
  <c r="Q346" i="46" s="1"/>
  <c r="Q347" i="46" s="1"/>
  <c r="AY117" i="45"/>
  <c r="S324" i="48"/>
  <c r="S326" i="48"/>
  <c r="Q337" i="46"/>
  <c r="Q341" i="46"/>
  <c r="R110" i="55" s="1"/>
  <c r="R133" i="55" s="1"/>
  <c r="R156" i="55" s="1"/>
  <c r="Q339" i="46"/>
  <c r="R108" i="55" s="1"/>
  <c r="R131" i="55" s="1"/>
  <c r="R154" i="55" s="1"/>
  <c r="Q338" i="46"/>
  <c r="Q340" i="46"/>
  <c r="R109" i="55" s="1"/>
  <c r="R132" i="55" s="1"/>
  <c r="R155" i="55" s="1"/>
  <c r="Q342" i="46"/>
  <c r="R111" i="55" s="1"/>
  <c r="R134" i="55" s="1"/>
  <c r="R157" i="55" s="1"/>
  <c r="P337" i="48"/>
  <c r="S323" i="46"/>
  <c r="S320" i="46"/>
  <c r="T117" i="46"/>
  <c r="T112" i="48"/>
  <c r="T114" i="46"/>
  <c r="T119" i="46" s="1"/>
  <c r="T115" i="46"/>
  <c r="T120" i="46" s="1"/>
  <c r="T277" i="46"/>
  <c r="U327" i="48"/>
  <c r="S100" i="45"/>
  <c r="U324" i="48"/>
  <c r="U326" i="48"/>
  <c r="P339" i="48"/>
  <c r="AW108" i="55" s="1"/>
  <c r="P342" i="48"/>
  <c r="AW111" i="55" s="1"/>
  <c r="DI111" i="55" s="1"/>
  <c r="P341" i="48"/>
  <c r="AW110" i="55" s="1"/>
  <c r="P340" i="48"/>
  <c r="AW109" i="55" s="1"/>
  <c r="AW132" i="55" s="1"/>
  <c r="N125" i="45"/>
  <c r="AR54" i="58"/>
  <c r="AR44" i="58"/>
  <c r="AR49" i="58"/>
  <c r="AV156" i="55"/>
  <c r="DH156" i="55" s="1"/>
  <c r="DH133" i="55"/>
  <c r="AV134" i="55"/>
  <c r="DH111" i="55"/>
  <c r="AV132" i="55"/>
  <c r="DH109" i="55"/>
  <c r="AV131" i="55"/>
  <c r="DH108" i="55"/>
  <c r="AT130" i="55"/>
  <c r="DF107" i="55"/>
  <c r="T323" i="46"/>
  <c r="T327" i="46" s="1"/>
  <c r="AQ131" i="45"/>
  <c r="AQ53" i="58" s="1"/>
  <c r="AQ129" i="45"/>
  <c r="AQ43" i="58" s="1"/>
  <c r="AQ130" i="45"/>
  <c r="AQ48" i="58" s="1"/>
  <c r="S117" i="45"/>
  <c r="S91" i="45"/>
  <c r="S114" i="45" s="1"/>
  <c r="S312" i="46"/>
  <c r="CF103" i="55"/>
  <c r="CF126" i="55" s="1"/>
  <c r="CF149" i="55" s="1"/>
  <c r="Q322" i="48"/>
  <c r="AX103" i="55"/>
  <c r="AX126" i="55" s="1"/>
  <c r="AX149" i="55" s="1"/>
  <c r="R322" i="46"/>
  <c r="S103" i="55"/>
  <c r="S126" i="55" s="1"/>
  <c r="S149" i="55" s="1"/>
  <c r="R115" i="45"/>
  <c r="S78" i="45"/>
  <c r="S113" i="45"/>
  <c r="AY106" i="45"/>
  <c r="AY109" i="45" s="1"/>
  <c r="T97" i="45"/>
  <c r="AZ97" i="45" s="1"/>
  <c r="U106" i="45"/>
  <c r="BA106" i="45" s="1"/>
  <c r="BA109" i="45" s="1"/>
  <c r="N126" i="45"/>
  <c r="T76" i="45"/>
  <c r="AZ76" i="45" s="1"/>
  <c r="T90" i="45"/>
  <c r="U90" i="45"/>
  <c r="BA90" i="45" s="1"/>
  <c r="BA91" i="45" s="1"/>
  <c r="Z105" i="45"/>
  <c r="BF105" i="45" s="1"/>
  <c r="U76" i="45"/>
  <c r="BA76" i="45" s="1"/>
  <c r="BA78" i="45" s="1"/>
  <c r="T106" i="45"/>
  <c r="U110" i="45"/>
  <c r="X34" i="45"/>
  <c r="BC70" i="45"/>
  <c r="BE33" i="45"/>
  <c r="P351" i="46"/>
  <c r="P356" i="46" s="1"/>
  <c r="AX115" i="45"/>
  <c r="S116" i="45"/>
  <c r="T93" i="45"/>
  <c r="AZ94" i="45"/>
  <c r="AZ93" i="45"/>
  <c r="T94" i="45"/>
  <c r="V73" i="45"/>
  <c r="BC58" i="45"/>
  <c r="BC60" i="45"/>
  <c r="BC59" i="45"/>
  <c r="Y30" i="45"/>
  <c r="V40" i="46"/>
  <c r="AA46" i="46" s="1"/>
  <c r="AA263" i="46" s="1"/>
  <c r="AA265" i="46" s="1"/>
  <c r="AA270" i="46" s="1"/>
  <c r="W58" i="45"/>
  <c r="W60" i="45"/>
  <c r="W59" i="45"/>
  <c r="BA110" i="45"/>
  <c r="BA111" i="45"/>
  <c r="BA112" i="45"/>
  <c r="P352" i="46"/>
  <c r="M374" i="48"/>
  <c r="AT125" i="45"/>
  <c r="AT122" i="45"/>
  <c r="AT123" i="45"/>
  <c r="AT124" i="45"/>
  <c r="V71" i="45"/>
  <c r="S118" i="45"/>
  <c r="AY118" i="45"/>
  <c r="AZ110" i="45"/>
  <c r="AZ111" i="45"/>
  <c r="AZ112" i="45"/>
  <c r="T110" i="45"/>
  <c r="T111" i="45"/>
  <c r="T112" i="45"/>
  <c r="U94" i="45"/>
  <c r="BA93" i="45"/>
  <c r="U93" i="45"/>
  <c r="BA94" i="45"/>
  <c r="BA80" i="45"/>
  <c r="U81" i="45"/>
  <c r="BA81" i="45"/>
  <c r="U80" i="45"/>
  <c r="U79" i="45"/>
  <c r="BA79" i="45"/>
  <c r="BD57" i="45"/>
  <c r="W40" i="48" s="1"/>
  <c r="AB46" i="48" s="1"/>
  <c r="V72" i="45"/>
  <c r="X68" i="45"/>
  <c r="W70" i="45"/>
  <c r="N122" i="45"/>
  <c r="N124" i="45"/>
  <c r="N123" i="45"/>
  <c r="AZ106" i="45"/>
  <c r="AZ109" i="45" s="1"/>
  <c r="T109" i="45"/>
  <c r="AZ79" i="45"/>
  <c r="T79" i="45"/>
  <c r="T80" i="45"/>
  <c r="T81" i="45"/>
  <c r="AZ80" i="45"/>
  <c r="AZ81" i="45"/>
  <c r="BD68" i="45"/>
  <c r="BA101" i="45"/>
  <c r="U103" i="45"/>
  <c r="BA102" i="45"/>
  <c r="BA103" i="45"/>
  <c r="U102" i="45"/>
  <c r="U101" i="45"/>
  <c r="AZ103" i="45"/>
  <c r="T102" i="45"/>
  <c r="T101" i="45"/>
  <c r="AZ101" i="45"/>
  <c r="T103" i="45"/>
  <c r="AZ102" i="45"/>
  <c r="Z264" i="46"/>
  <c r="Z269" i="46" s="1"/>
  <c r="Z263" i="48"/>
  <c r="Z267" i="46"/>
  <c r="Z272" i="46" s="1"/>
  <c r="Z265" i="46"/>
  <c r="Z270" i="46" s="1"/>
  <c r="Z266" i="46"/>
  <c r="Z271" i="46" s="1"/>
  <c r="Z268" i="46"/>
  <c r="AY116" i="45"/>
  <c r="U111" i="45"/>
  <c r="U112" i="45"/>
  <c r="R329" i="46"/>
  <c r="R328" i="46"/>
  <c r="AY100" i="45"/>
  <c r="Q331" i="46"/>
  <c r="Q330" i="46"/>
  <c r="BF37" i="45"/>
  <c r="BF32" i="45"/>
  <c r="BF29" i="45"/>
  <c r="BF36" i="45"/>
  <c r="BF35" i="45"/>
  <c r="BF31" i="45"/>
  <c r="BF28" i="45"/>
  <c r="BF54" i="45"/>
  <c r="W104" i="45"/>
  <c r="S84" i="48"/>
  <c r="S89" i="48" s="1"/>
  <c r="S86" i="48"/>
  <c r="S91" i="48" s="1"/>
  <c r="S85" i="48"/>
  <c r="S90" i="48" s="1"/>
  <c r="S83" i="48"/>
  <c r="S88" i="48" s="1"/>
  <c r="S87" i="48"/>
  <c r="N121" i="45"/>
  <c r="N128" i="45" s="1"/>
  <c r="O356" i="48"/>
  <c r="O357" i="48" s="1"/>
  <c r="O366" i="48" s="1"/>
  <c r="AY114" i="45"/>
  <c r="AY78" i="45"/>
  <c r="R344" i="48"/>
  <c r="R345" i="48" s="1"/>
  <c r="R321" i="48"/>
  <c r="DK103" i="55" s="1"/>
  <c r="DK126" i="55" s="1"/>
  <c r="DK149" i="55" s="1"/>
  <c r="BE30" i="45"/>
  <c r="V47" i="48"/>
  <c r="V47" i="46"/>
  <c r="V72" i="46"/>
  <c r="V112" i="46"/>
  <c r="V82" i="46"/>
  <c r="V102" i="46"/>
  <c r="R330" i="48"/>
  <c r="R331" i="48"/>
  <c r="T103" i="48"/>
  <c r="T108" i="48" s="1"/>
  <c r="T106" i="48"/>
  <c r="T111" i="48" s="1"/>
  <c r="T105" i="48"/>
  <c r="T110" i="48" s="1"/>
  <c r="T107" i="48"/>
  <c r="T104" i="48"/>
  <c r="T109" i="48" s="1"/>
  <c r="S77" i="48"/>
  <c r="S73" i="48"/>
  <c r="S78" i="48" s="1"/>
  <c r="S75" i="48"/>
  <c r="S80" i="48" s="1"/>
  <c r="S76" i="48"/>
  <c r="S81" i="48" s="1"/>
  <c r="S74" i="48"/>
  <c r="S79" i="48" s="1"/>
  <c r="N357" i="48"/>
  <c r="N366" i="48" s="1"/>
  <c r="S344" i="46"/>
  <c r="S345" i="46" s="1"/>
  <c r="S321" i="46"/>
  <c r="S311" i="48"/>
  <c r="S312" i="48" s="1"/>
  <c r="T278" i="48"/>
  <c r="X75" i="45"/>
  <c r="W36" i="46"/>
  <c r="W42" i="46" s="1"/>
  <c r="U278" i="46"/>
  <c r="U18" i="52" s="1"/>
  <c r="T311" i="46"/>
  <c r="Q348" i="48"/>
  <c r="Q349" i="48" s="1"/>
  <c r="Q350" i="48" s="1"/>
  <c r="Q352" i="48" s="1"/>
  <c r="Q347" i="48"/>
  <c r="P332" i="46"/>
  <c r="P336" i="46" s="1"/>
  <c r="P333" i="46"/>
  <c r="T77" i="48"/>
  <c r="T76" i="48"/>
  <c r="T81" i="48" s="1"/>
  <c r="T74" i="48"/>
  <c r="T79" i="48" s="1"/>
  <c r="T73" i="48"/>
  <c r="T78" i="48" s="1"/>
  <c r="T75" i="48"/>
  <c r="T80" i="48" s="1"/>
  <c r="S105" i="48"/>
  <c r="S110" i="48" s="1"/>
  <c r="S104" i="48"/>
  <c r="S109" i="48" s="1"/>
  <c r="S103" i="48"/>
  <c r="S108" i="48" s="1"/>
  <c r="S107" i="48"/>
  <c r="S106" i="48"/>
  <c r="S111" i="48" s="1"/>
  <c r="R334" i="46"/>
  <c r="R346" i="46" s="1"/>
  <c r="R347" i="46" s="1"/>
  <c r="R335" i="46"/>
  <c r="U112" i="46"/>
  <c r="U47" i="46"/>
  <c r="U72" i="46"/>
  <c r="U82" i="46"/>
  <c r="U102" i="46"/>
  <c r="T83" i="48"/>
  <c r="T88" i="48" s="1"/>
  <c r="T86" i="48"/>
  <c r="T91" i="48" s="1"/>
  <c r="T85" i="48"/>
  <c r="T90" i="48" s="1"/>
  <c r="T87" i="48"/>
  <c r="T84" i="48"/>
  <c r="T89" i="48" s="1"/>
  <c r="BD67" i="45"/>
  <c r="BD34" i="45"/>
  <c r="W36" i="48" s="1"/>
  <c r="W42" i="48" s="1"/>
  <c r="P351" i="48"/>
  <c r="S115" i="48"/>
  <c r="S120" i="48" s="1"/>
  <c r="S116" i="48"/>
  <c r="S121" i="48" s="1"/>
  <c r="S117" i="48"/>
  <c r="S114" i="48"/>
  <c r="S119" i="48" s="1"/>
  <c r="S113" i="48"/>
  <c r="S118" i="48" s="1"/>
  <c r="S277" i="48"/>
  <c r="BE55" i="45"/>
  <c r="BE56" i="45"/>
  <c r="R315" i="48"/>
  <c r="R314" i="48"/>
  <c r="R317" i="48"/>
  <c r="R313" i="48"/>
  <c r="R316" i="48"/>
  <c r="R318" i="48"/>
  <c r="Y33" i="45"/>
  <c r="X57" i="45"/>
  <c r="X67" i="45"/>
  <c r="AA27" i="45"/>
  <c r="BG27" i="45" s="1"/>
  <c r="Z28" i="45"/>
  <c r="Z29" i="45"/>
  <c r="Z31" i="45"/>
  <c r="Z35" i="45"/>
  <c r="Z32" i="45"/>
  <c r="Z37" i="45"/>
  <c r="Z36" i="45"/>
  <c r="Z54" i="45"/>
  <c r="BC104" i="45"/>
  <c r="Y55" i="45"/>
  <c r="Y56" i="45"/>
  <c r="O352" i="46" l="1"/>
  <c r="AS153" i="55"/>
  <c r="DE153" i="55" s="1"/>
  <c r="DE130" i="55"/>
  <c r="K49" i="58"/>
  <c r="K54" i="58"/>
  <c r="K44" i="58"/>
  <c r="AS121" i="45"/>
  <c r="AS128" i="45" s="1"/>
  <c r="L374" i="48"/>
  <c r="AS125" i="45"/>
  <c r="AS122" i="45"/>
  <c r="AS124" i="45"/>
  <c r="AS123" i="45"/>
  <c r="P119" i="45"/>
  <c r="O366" i="46"/>
  <c r="P104" i="55" s="1"/>
  <c r="P127" i="55" s="1"/>
  <c r="P150" i="55" s="1"/>
  <c r="N357" i="46"/>
  <c r="N366" i="46" s="1"/>
  <c r="M130" i="45"/>
  <c r="M48" i="58" s="1"/>
  <c r="M131" i="45"/>
  <c r="M53" i="58" s="1"/>
  <c r="M129" i="45"/>
  <c r="M43" i="58" s="1"/>
  <c r="M126" i="45"/>
  <c r="T334" i="48"/>
  <c r="T346" i="48" s="1"/>
  <c r="T335" i="48"/>
  <c r="AW133" i="55"/>
  <c r="DI110" i="55"/>
  <c r="S315" i="46"/>
  <c r="CF108" i="55" s="1"/>
  <c r="CF131" i="55" s="1"/>
  <c r="CF154" i="55" s="1"/>
  <c r="S316" i="46"/>
  <c r="CF109" i="55" s="1"/>
  <c r="CF132" i="55" s="1"/>
  <c r="CF155" i="55" s="1"/>
  <c r="S314" i="46"/>
  <c r="CF107" i="55" s="1"/>
  <c r="CF130" i="55" s="1"/>
  <c r="CF153" i="55" s="1"/>
  <c r="S313" i="46"/>
  <c r="S318" i="46"/>
  <c r="CF111" i="55" s="1"/>
  <c r="CF134" i="55" s="1"/>
  <c r="CF157" i="55" s="1"/>
  <c r="S317" i="46"/>
  <c r="CF110" i="55" s="1"/>
  <c r="CF133" i="55" s="1"/>
  <c r="CF156" i="55" s="1"/>
  <c r="W71" i="45"/>
  <c r="T329" i="48"/>
  <c r="T328" i="48"/>
  <c r="S334" i="48"/>
  <c r="S346" i="48" s="1"/>
  <c r="S335" i="48"/>
  <c r="Q348" i="46"/>
  <c r="Q351" i="46" s="1"/>
  <c r="S329" i="48"/>
  <c r="S328" i="48"/>
  <c r="AW131" i="55"/>
  <c r="DI108" i="55"/>
  <c r="S325" i="46"/>
  <c r="S326" i="46"/>
  <c r="S327" i="46"/>
  <c r="S324" i="46"/>
  <c r="U97" i="45"/>
  <c r="R342" i="46"/>
  <c r="S111" i="55" s="1"/>
  <c r="S134" i="55" s="1"/>
  <c r="S157" i="55" s="1"/>
  <c r="R341" i="46"/>
  <c r="S110" i="55" s="1"/>
  <c r="S133" i="55" s="1"/>
  <c r="S156" i="55" s="1"/>
  <c r="R339" i="46"/>
  <c r="S108" i="55" s="1"/>
  <c r="S131" i="55" s="1"/>
  <c r="S154" i="55" s="1"/>
  <c r="R337" i="46"/>
  <c r="R338" i="46"/>
  <c r="R340" i="46"/>
  <c r="S109" i="55" s="1"/>
  <c r="S132" i="55" s="1"/>
  <c r="S155" i="55" s="1"/>
  <c r="U78" i="45"/>
  <c r="T326" i="46"/>
  <c r="T113" i="48"/>
  <c r="T118" i="48" s="1"/>
  <c r="T115" i="48"/>
  <c r="T120" i="48" s="1"/>
  <c r="T114" i="48"/>
  <c r="T119" i="48" s="1"/>
  <c r="U335" i="48"/>
  <c r="T344" i="46"/>
  <c r="T345" i="46" s="1"/>
  <c r="Q342" i="48"/>
  <c r="AX111" i="55" s="1"/>
  <c r="Q341" i="48"/>
  <c r="AX110" i="55" s="1"/>
  <c r="T116" i="48"/>
  <c r="T121" i="48" s="1"/>
  <c r="T117" i="48"/>
  <c r="T277" i="48"/>
  <c r="T321" i="46"/>
  <c r="Q340" i="48"/>
  <c r="AX109" i="55" s="1"/>
  <c r="Q338" i="48"/>
  <c r="T100" i="45"/>
  <c r="U329" i="48"/>
  <c r="U328" i="48"/>
  <c r="U334" i="48"/>
  <c r="U346" i="48" s="1"/>
  <c r="Q337" i="48"/>
  <c r="Q339" i="48"/>
  <c r="AX108" i="55" s="1"/>
  <c r="X70" i="45"/>
  <c r="AW134" i="55"/>
  <c r="S115" i="45"/>
  <c r="DI109" i="55"/>
  <c r="T324" i="46"/>
  <c r="T325" i="46"/>
  <c r="U117" i="45"/>
  <c r="AV154" i="55"/>
  <c r="DH154" i="55" s="1"/>
  <c r="DH131" i="55"/>
  <c r="AY113" i="45"/>
  <c r="AY115" i="45" s="1"/>
  <c r="AQ54" i="58"/>
  <c r="AV155" i="55"/>
  <c r="DH155" i="55" s="1"/>
  <c r="DH132" i="55"/>
  <c r="AV157" i="55"/>
  <c r="DH157" i="55" s="1"/>
  <c r="DH134" i="55"/>
  <c r="AW155" i="55"/>
  <c r="DI155" i="55" s="1"/>
  <c r="DI132" i="55"/>
  <c r="BE68" i="45"/>
  <c r="AT153" i="55"/>
  <c r="DF153" i="55" s="1"/>
  <c r="DF130" i="55"/>
  <c r="AQ49" i="58"/>
  <c r="AQ44" i="58"/>
  <c r="N131" i="45"/>
  <c r="N53" i="58" s="1"/>
  <c r="N130" i="45"/>
  <c r="N48" i="58" s="1"/>
  <c r="N129" i="45"/>
  <c r="N43" i="58" s="1"/>
  <c r="T117" i="45"/>
  <c r="BA117" i="45"/>
  <c r="AZ117" i="45"/>
  <c r="S322" i="46"/>
  <c r="S339" i="46" s="1"/>
  <c r="T108" i="55" s="1"/>
  <c r="T131" i="55" s="1"/>
  <c r="T154" i="55" s="1"/>
  <c r="T103" i="55"/>
  <c r="T126" i="55" s="1"/>
  <c r="T149" i="55" s="1"/>
  <c r="R322" i="48"/>
  <c r="R342" i="48" s="1"/>
  <c r="AY111" i="55" s="1"/>
  <c r="AY103" i="55"/>
  <c r="AY126" i="55" s="1"/>
  <c r="AY149" i="55" s="1"/>
  <c r="T312" i="46"/>
  <c r="CG103" i="55"/>
  <c r="CG126" i="55" s="1"/>
  <c r="CG149" i="55" s="1"/>
  <c r="V319" i="46"/>
  <c r="V319" i="48"/>
  <c r="V320" i="48" s="1"/>
  <c r="U319" i="46"/>
  <c r="U320" i="46" s="1"/>
  <c r="U91" i="45"/>
  <c r="U114" i="45" s="1"/>
  <c r="T113" i="45"/>
  <c r="T91" i="45"/>
  <c r="T114" i="45" s="1"/>
  <c r="AA266" i="46"/>
  <c r="AA271" i="46" s="1"/>
  <c r="AZ90" i="45"/>
  <c r="AZ91" i="45" s="1"/>
  <c r="U109" i="45"/>
  <c r="T78" i="45"/>
  <c r="BF30" i="45"/>
  <c r="AV120" i="45"/>
  <c r="AV122" i="45" s="1"/>
  <c r="AU120" i="45"/>
  <c r="AU122" i="45" s="1"/>
  <c r="AA105" i="45"/>
  <c r="BG105" i="45" s="1"/>
  <c r="AT126" i="45"/>
  <c r="Y67" i="45"/>
  <c r="U274" i="46"/>
  <c r="Y34" i="45"/>
  <c r="Y75" i="45" s="1"/>
  <c r="BF33" i="45"/>
  <c r="U116" i="45"/>
  <c r="Q351" i="48"/>
  <c r="Q356" i="48" s="1"/>
  <c r="Q357" i="48" s="1"/>
  <c r="Q364" i="48" s="1"/>
  <c r="BE57" i="45"/>
  <c r="BE58" i="45" s="1"/>
  <c r="BE71" i="45" s="1"/>
  <c r="AA264" i="46"/>
  <c r="AA269" i="46" s="1"/>
  <c r="AZ113" i="45"/>
  <c r="U118" i="45"/>
  <c r="BA116" i="45"/>
  <c r="AA263" i="48"/>
  <c r="AA265" i="48" s="1"/>
  <c r="AA270" i="48" s="1"/>
  <c r="AA268" i="46"/>
  <c r="Z268" i="48"/>
  <c r="Z264" i="48"/>
  <c r="Z269" i="48" s="1"/>
  <c r="Z267" i="48"/>
  <c r="Z272" i="48" s="1"/>
  <c r="Z265" i="48"/>
  <c r="Z270" i="48" s="1"/>
  <c r="Z266" i="48"/>
  <c r="Z271" i="48" s="1"/>
  <c r="AZ118" i="45"/>
  <c r="T116" i="45"/>
  <c r="W72" i="45"/>
  <c r="BC73" i="45"/>
  <c r="T118" i="45"/>
  <c r="BC72" i="45"/>
  <c r="BD70" i="45"/>
  <c r="X58" i="45"/>
  <c r="X71" i="45" s="1"/>
  <c r="X59" i="45"/>
  <c r="X60" i="45"/>
  <c r="X73" i="45" s="1"/>
  <c r="AA267" i="46"/>
  <c r="AA272" i="46" s="1"/>
  <c r="V274" i="46"/>
  <c r="AZ116" i="45"/>
  <c r="BD59" i="45"/>
  <c r="BD58" i="45"/>
  <c r="BD60" i="45"/>
  <c r="BA118" i="45"/>
  <c r="W73" i="45"/>
  <c r="BC71" i="45"/>
  <c r="U72" i="48"/>
  <c r="U73" i="46"/>
  <c r="U78" i="46" s="1"/>
  <c r="U77" i="46"/>
  <c r="U76" i="46"/>
  <c r="U81" i="46" s="1"/>
  <c r="U74" i="46"/>
  <c r="U79" i="46" s="1"/>
  <c r="U75" i="46"/>
  <c r="U80" i="46" s="1"/>
  <c r="V116" i="46"/>
  <c r="V121" i="46" s="1"/>
  <c r="V114" i="46"/>
  <c r="V119" i="46" s="1"/>
  <c r="V117" i="46"/>
  <c r="V115" i="46"/>
  <c r="V120" i="46" s="1"/>
  <c r="V113" i="46"/>
  <c r="V118" i="46" s="1"/>
  <c r="V112" i="48"/>
  <c r="V277" i="46"/>
  <c r="BE34" i="45"/>
  <c r="X36" i="48" s="1"/>
  <c r="X42" i="48" s="1"/>
  <c r="BE67" i="45"/>
  <c r="R348" i="46"/>
  <c r="R351" i="46" s="1"/>
  <c r="S313" i="48"/>
  <c r="S314" i="48"/>
  <c r="S317" i="48"/>
  <c r="S315" i="48"/>
  <c r="S318" i="48"/>
  <c r="S316" i="48"/>
  <c r="V72" i="48"/>
  <c r="V74" i="46"/>
  <c r="V79" i="46" s="1"/>
  <c r="V73" i="46"/>
  <c r="V78" i="46" s="1"/>
  <c r="V76" i="46"/>
  <c r="V81" i="46" s="1"/>
  <c r="V75" i="46"/>
  <c r="V80" i="46" s="1"/>
  <c r="V77" i="46"/>
  <c r="T334" i="46"/>
  <c r="T346" i="46" s="1"/>
  <c r="T335" i="46"/>
  <c r="BA114" i="45"/>
  <c r="BG31" i="45"/>
  <c r="BG37" i="45"/>
  <c r="BG32" i="45"/>
  <c r="BG29" i="45"/>
  <c r="BG36" i="45"/>
  <c r="BG28" i="45"/>
  <c r="BG35" i="45"/>
  <c r="BG54" i="45"/>
  <c r="U278" i="48"/>
  <c r="T311" i="48"/>
  <c r="T312" i="48" s="1"/>
  <c r="Q332" i="46"/>
  <c r="Q336" i="46" s="1"/>
  <c r="Q333" i="46"/>
  <c r="R331" i="46"/>
  <c r="R330" i="46"/>
  <c r="P356" i="48"/>
  <c r="P357" i="48" s="1"/>
  <c r="P366" i="48" s="1"/>
  <c r="U103" i="46"/>
  <c r="U108" i="46" s="1"/>
  <c r="U107" i="46"/>
  <c r="U102" i="48"/>
  <c r="U105" i="46"/>
  <c r="U110" i="46" s="1"/>
  <c r="U104" i="46"/>
  <c r="U109" i="46" s="1"/>
  <c r="U106" i="46"/>
  <c r="U111" i="46" s="1"/>
  <c r="U112" i="48"/>
  <c r="U116" i="46"/>
  <c r="U121" i="46" s="1"/>
  <c r="U115" i="46"/>
  <c r="U120" i="46" s="1"/>
  <c r="U117" i="46"/>
  <c r="U113" i="46"/>
  <c r="U118" i="46" s="1"/>
  <c r="U114" i="46"/>
  <c r="U119" i="46" s="1"/>
  <c r="U277" i="46"/>
  <c r="W47" i="46"/>
  <c r="W72" i="46"/>
  <c r="W102" i="46"/>
  <c r="W82" i="46"/>
  <c r="W112" i="46"/>
  <c r="V105" i="46"/>
  <c r="V110" i="46" s="1"/>
  <c r="V102" i="48"/>
  <c r="V106" i="46"/>
  <c r="V111" i="46" s="1"/>
  <c r="V104" i="46"/>
  <c r="V109" i="46" s="1"/>
  <c r="V103" i="46"/>
  <c r="V108" i="46" s="1"/>
  <c r="V107" i="46"/>
  <c r="AZ100" i="45"/>
  <c r="N364" i="48"/>
  <c r="DG104" i="55" s="1"/>
  <c r="DG127" i="55" s="1"/>
  <c r="DG150" i="55" s="1"/>
  <c r="AT121" i="45"/>
  <c r="AT128" i="45" s="1"/>
  <c r="BF56" i="45"/>
  <c r="BF55" i="45"/>
  <c r="S321" i="48"/>
  <c r="DL103" i="55" s="1"/>
  <c r="DL126" i="55" s="1"/>
  <c r="DL149" i="55" s="1"/>
  <c r="S344" i="48"/>
  <c r="S345" i="48" s="1"/>
  <c r="X104" i="45"/>
  <c r="W40" i="46"/>
  <c r="AB46" i="46" s="1"/>
  <c r="AB263" i="46" s="1"/>
  <c r="W47" i="48"/>
  <c r="AZ78" i="45"/>
  <c r="U86" i="46"/>
  <c r="U91" i="46" s="1"/>
  <c r="U87" i="46"/>
  <c r="U84" i="46"/>
  <c r="U89" i="46" s="1"/>
  <c r="U83" i="46"/>
  <c r="U88" i="46" s="1"/>
  <c r="U85" i="46"/>
  <c r="U90" i="46" s="1"/>
  <c r="U82" i="48"/>
  <c r="U311" i="46"/>
  <c r="V278" i="46"/>
  <c r="V18" i="52" s="1"/>
  <c r="R332" i="48"/>
  <c r="R336" i="48" s="1"/>
  <c r="R333" i="48"/>
  <c r="V85" i="46"/>
  <c r="V90" i="46" s="1"/>
  <c r="V83" i="46"/>
  <c r="V88" i="46" s="1"/>
  <c r="V86" i="46"/>
  <c r="V91" i="46" s="1"/>
  <c r="V82" i="48"/>
  <c r="V84" i="46"/>
  <c r="V89" i="46" s="1"/>
  <c r="V87" i="46"/>
  <c r="V274" i="48"/>
  <c r="R348" i="48"/>
  <c r="R347" i="48"/>
  <c r="O364" i="48"/>
  <c r="DH104" i="55" s="1"/>
  <c r="DH127" i="55" s="1"/>
  <c r="DH150" i="55" s="1"/>
  <c r="P357" i="46"/>
  <c r="P364" i="46" s="1"/>
  <c r="Y57" i="45"/>
  <c r="BC75" i="45"/>
  <c r="BD104" i="45"/>
  <c r="Z30" i="45"/>
  <c r="Y68" i="45"/>
  <c r="Z55" i="45"/>
  <c r="Z56" i="45"/>
  <c r="AB27" i="45"/>
  <c r="BH27" i="45" s="1"/>
  <c r="AA28" i="45"/>
  <c r="AA29" i="45"/>
  <c r="AA31" i="45"/>
  <c r="AA36" i="45"/>
  <c r="AA35" i="45"/>
  <c r="AA37" i="45"/>
  <c r="AA54" i="45"/>
  <c r="AA32" i="45"/>
  <c r="BD75" i="45"/>
  <c r="Z33" i="45"/>
  <c r="DJ108" i="55" l="1"/>
  <c r="AS131" i="45"/>
  <c r="AS53" i="58" s="1"/>
  <c r="AS129" i="45"/>
  <c r="AS43" i="58" s="1"/>
  <c r="AS130" i="45"/>
  <c r="AS48" i="58" s="1"/>
  <c r="P107" i="55"/>
  <c r="P130" i="55" s="1"/>
  <c r="P153" i="55" s="1"/>
  <c r="AS126" i="45"/>
  <c r="N364" i="46"/>
  <c r="P120" i="45"/>
  <c r="P122" i="45" s="1"/>
  <c r="O373" i="46"/>
  <c r="O368" i="46"/>
  <c r="AW157" i="55"/>
  <c r="DI157" i="55" s="1"/>
  <c r="DI134" i="55"/>
  <c r="M44" i="58"/>
  <c r="M54" i="58"/>
  <c r="M49" i="58"/>
  <c r="O120" i="45"/>
  <c r="O122" i="45" s="1"/>
  <c r="AW156" i="55"/>
  <c r="DI156" i="55" s="1"/>
  <c r="DI133" i="55"/>
  <c r="T317" i="46"/>
  <c r="CG110" i="55" s="1"/>
  <c r="CG133" i="55" s="1"/>
  <c r="CG156" i="55" s="1"/>
  <c r="T331" i="48"/>
  <c r="T314" i="46"/>
  <c r="CG107" i="55" s="1"/>
  <c r="CG130" i="55" s="1"/>
  <c r="CG153" i="55" s="1"/>
  <c r="T316" i="46"/>
  <c r="CG109" i="55" s="1"/>
  <c r="CG132" i="55" s="1"/>
  <c r="CG155" i="55" s="1"/>
  <c r="T318" i="46"/>
  <c r="CG111" i="55" s="1"/>
  <c r="CG134" i="55" s="1"/>
  <c r="CG157" i="55" s="1"/>
  <c r="T313" i="46"/>
  <c r="T315" i="46"/>
  <c r="CG108" i="55" s="1"/>
  <c r="CG131" i="55" s="1"/>
  <c r="CG154" i="55" s="1"/>
  <c r="T330" i="48"/>
  <c r="AW154" i="55"/>
  <c r="DI154" i="55" s="1"/>
  <c r="DI131" i="55"/>
  <c r="S330" i="48"/>
  <c r="S331" i="48"/>
  <c r="AX131" i="55"/>
  <c r="U331" i="48"/>
  <c r="U330" i="48"/>
  <c r="Q349" i="46"/>
  <c r="Q350" i="46" s="1"/>
  <c r="Q352" i="46" s="1"/>
  <c r="S328" i="46"/>
  <c r="S329" i="46"/>
  <c r="S335" i="46"/>
  <c r="Q356" i="46"/>
  <c r="S334" i="46"/>
  <c r="S346" i="46" s="1"/>
  <c r="S347" i="46" s="1"/>
  <c r="BA97" i="45"/>
  <c r="U100" i="45"/>
  <c r="AX134" i="55"/>
  <c r="DJ111" i="55"/>
  <c r="AX133" i="55"/>
  <c r="DJ110" i="55"/>
  <c r="U103" i="55"/>
  <c r="U126" i="55" s="1"/>
  <c r="U149" i="55" s="1"/>
  <c r="AX132" i="55"/>
  <c r="DJ109" i="55"/>
  <c r="T322" i="46"/>
  <c r="U113" i="45"/>
  <c r="T344" i="48"/>
  <c r="T345" i="48" s="1"/>
  <c r="T321" i="48"/>
  <c r="DM103" i="55" s="1"/>
  <c r="DM126" i="55" s="1"/>
  <c r="DM149" i="55" s="1"/>
  <c r="T347" i="46"/>
  <c r="S340" i="46"/>
  <c r="T109" i="55" s="1"/>
  <c r="T132" i="55" s="1"/>
  <c r="T155" i="55" s="1"/>
  <c r="V323" i="46"/>
  <c r="V320" i="46"/>
  <c r="AZ114" i="45"/>
  <c r="T328" i="46"/>
  <c r="T329" i="46"/>
  <c r="U323" i="46"/>
  <c r="R341" i="48"/>
  <c r="AY110" i="55" s="1"/>
  <c r="R340" i="48"/>
  <c r="AY109" i="55" s="1"/>
  <c r="Y70" i="45"/>
  <c r="R338" i="48"/>
  <c r="R339" i="48"/>
  <c r="AY108" i="55" s="1"/>
  <c r="AY131" i="55" s="1"/>
  <c r="N44" i="58"/>
  <c r="R337" i="48"/>
  <c r="BE70" i="45"/>
  <c r="AY134" i="55"/>
  <c r="DK111" i="55"/>
  <c r="AX154" i="55"/>
  <c r="DJ154" i="55" s="1"/>
  <c r="DJ131" i="55"/>
  <c r="N49" i="58"/>
  <c r="N54" i="58"/>
  <c r="AT131" i="45"/>
  <c r="AT53" i="58" s="1"/>
  <c r="AT129" i="45"/>
  <c r="AT43" i="58" s="1"/>
  <c r="AT130" i="45"/>
  <c r="AT48" i="58" s="1"/>
  <c r="S342" i="46"/>
  <c r="T111" i="55" s="1"/>
  <c r="T134" i="55" s="1"/>
  <c r="T157" i="55" s="1"/>
  <c r="S337" i="46"/>
  <c r="S338" i="46"/>
  <c r="S341" i="46"/>
  <c r="T110" i="55" s="1"/>
  <c r="T133" i="55" s="1"/>
  <c r="T156" i="55" s="1"/>
  <c r="AU104" i="55"/>
  <c r="AU127" i="55" s="1"/>
  <c r="AU150" i="55" s="1"/>
  <c r="AU107" i="55"/>
  <c r="U312" i="46"/>
  <c r="CH103" i="55"/>
  <c r="CH126" i="55" s="1"/>
  <c r="CH149" i="55" s="1"/>
  <c r="AV104" i="55"/>
  <c r="AV127" i="55" s="1"/>
  <c r="AV150" i="55" s="1"/>
  <c r="AV107" i="55"/>
  <c r="S322" i="48"/>
  <c r="AZ103" i="55"/>
  <c r="AZ126" i="55" s="1"/>
  <c r="AZ149" i="55" s="1"/>
  <c r="V323" i="48"/>
  <c r="V327" i="48" s="1"/>
  <c r="W319" i="46"/>
  <c r="W323" i="46" s="1"/>
  <c r="X36" i="46"/>
  <c r="X42" i="46" s="1"/>
  <c r="W319" i="48"/>
  <c r="W323" i="48" s="1"/>
  <c r="BF34" i="45"/>
  <c r="Y36" i="48" s="1"/>
  <c r="Y42" i="48" s="1"/>
  <c r="Y47" i="48" s="1"/>
  <c r="T115" i="45"/>
  <c r="AA267" i="48"/>
  <c r="AA272" i="48" s="1"/>
  <c r="Y104" i="45"/>
  <c r="AV119" i="45"/>
  <c r="AV124" i="45" s="1"/>
  <c r="W106" i="45"/>
  <c r="BC106" i="45" s="1"/>
  <c r="BC109" i="45" s="1"/>
  <c r="V97" i="45"/>
  <c r="BB97" i="45" s="1"/>
  <c r="V106" i="45"/>
  <c r="BB106" i="45" s="1"/>
  <c r="BB109" i="45" s="1"/>
  <c r="V90" i="45"/>
  <c r="V91" i="45" s="1"/>
  <c r="AB105" i="45"/>
  <c r="BH105" i="45" s="1"/>
  <c r="AX119" i="45"/>
  <c r="AU119" i="45"/>
  <c r="AU124" i="45" s="1"/>
  <c r="AW120" i="45"/>
  <c r="AW122" i="45" s="1"/>
  <c r="W76" i="45"/>
  <c r="W78" i="45" s="1"/>
  <c r="V76" i="45"/>
  <c r="BB76" i="45" s="1"/>
  <c r="W90" i="45"/>
  <c r="BC90" i="45" s="1"/>
  <c r="BC91" i="45" s="1"/>
  <c r="W97" i="45"/>
  <c r="W100" i="45" s="1"/>
  <c r="BF57" i="45"/>
  <c r="BF60" i="45" s="1"/>
  <c r="BF73" i="45" s="1"/>
  <c r="BF68" i="45"/>
  <c r="BE59" i="45"/>
  <c r="BE72" i="45" s="1"/>
  <c r="AA264" i="48"/>
  <c r="AA269" i="48" s="1"/>
  <c r="AA266" i="48"/>
  <c r="AA271" i="48" s="1"/>
  <c r="AA268" i="48"/>
  <c r="BC110" i="45"/>
  <c r="W274" i="46"/>
  <c r="X40" i="48"/>
  <c r="AC46" i="48" s="1"/>
  <c r="BE60" i="45"/>
  <c r="BE73" i="45" s="1"/>
  <c r="P366" i="46"/>
  <c r="Q107" i="55" s="1"/>
  <c r="Q130" i="55" s="1"/>
  <c r="Q153" i="55" s="1"/>
  <c r="W102" i="45"/>
  <c r="W103" i="45"/>
  <c r="BC101" i="45"/>
  <c r="W101" i="45"/>
  <c r="BC103" i="45"/>
  <c r="BC102" i="45"/>
  <c r="Z68" i="45"/>
  <c r="Z57" i="45"/>
  <c r="W94" i="45"/>
  <c r="BC94" i="45"/>
  <c r="W93" i="45"/>
  <c r="BC93" i="45"/>
  <c r="BB94" i="45"/>
  <c r="V93" i="45"/>
  <c r="V94" i="45"/>
  <c r="BB93" i="45"/>
  <c r="BB111" i="45"/>
  <c r="BB110" i="45"/>
  <c r="BB112" i="45"/>
  <c r="V110" i="45"/>
  <c r="V111" i="45"/>
  <c r="V112" i="45"/>
  <c r="BD71" i="45"/>
  <c r="BC111" i="45"/>
  <c r="BC112" i="45"/>
  <c r="X40" i="46"/>
  <c r="AC46" i="46" s="1"/>
  <c r="AC263" i="46" s="1"/>
  <c r="AC266" i="46" s="1"/>
  <c r="AC271" i="46" s="1"/>
  <c r="Y60" i="45"/>
  <c r="Y58" i="45"/>
  <c r="Y59" i="45"/>
  <c r="T348" i="46"/>
  <c r="W81" i="45"/>
  <c r="BC79" i="45"/>
  <c r="BC80" i="45"/>
  <c r="BC81" i="45"/>
  <c r="W79" i="45"/>
  <c r="W80" i="45"/>
  <c r="V81" i="45"/>
  <c r="BB79" i="45"/>
  <c r="V80" i="45"/>
  <c r="BB81" i="45"/>
  <c r="V79" i="45"/>
  <c r="BB80" i="45"/>
  <c r="W112" i="45"/>
  <c r="BD72" i="45"/>
  <c r="R349" i="46"/>
  <c r="R350" i="46" s="1"/>
  <c r="R352" i="46" s="1"/>
  <c r="W274" i="48"/>
  <c r="V102" i="45"/>
  <c r="BB101" i="45"/>
  <c r="V101" i="45"/>
  <c r="BB103" i="45"/>
  <c r="V103" i="45"/>
  <c r="BB102" i="45"/>
  <c r="X72" i="45"/>
  <c r="W110" i="45"/>
  <c r="W111" i="45"/>
  <c r="BD73" i="45"/>
  <c r="O368" i="48"/>
  <c r="O373" i="48"/>
  <c r="N368" i="48"/>
  <c r="N373" i="48"/>
  <c r="Q119" i="45"/>
  <c r="U86" i="48"/>
  <c r="U91" i="48" s="1"/>
  <c r="U85" i="48"/>
  <c r="U90" i="48" s="1"/>
  <c r="U87" i="48"/>
  <c r="U84" i="48"/>
  <c r="U89" i="48" s="1"/>
  <c r="U83" i="48"/>
  <c r="U88" i="48" s="1"/>
  <c r="AB263" i="48"/>
  <c r="AB264" i="46"/>
  <c r="AB269" i="46" s="1"/>
  <c r="AB268" i="46"/>
  <c r="AB266" i="46"/>
  <c r="AB271" i="46" s="1"/>
  <c r="AB265" i="46"/>
  <c r="AB270" i="46" s="1"/>
  <c r="AB267" i="46"/>
  <c r="AB272" i="46" s="1"/>
  <c r="S347" i="48"/>
  <c r="S348" i="48"/>
  <c r="S349" i="48" s="1"/>
  <c r="S350" i="48" s="1"/>
  <c r="W72" i="48"/>
  <c r="W73" i="46"/>
  <c r="W78" i="46" s="1"/>
  <c r="W74" i="46"/>
  <c r="W79" i="46" s="1"/>
  <c r="W75" i="46"/>
  <c r="W80" i="46" s="1"/>
  <c r="W77" i="46"/>
  <c r="W76" i="46"/>
  <c r="W81" i="46" s="1"/>
  <c r="U344" i="46"/>
  <c r="U345" i="46" s="1"/>
  <c r="U321" i="46"/>
  <c r="P364" i="48"/>
  <c r="DI104" i="55" s="1"/>
  <c r="DI127" i="55" s="1"/>
  <c r="DI150" i="55" s="1"/>
  <c r="R333" i="46"/>
  <c r="R332" i="46"/>
  <c r="R336" i="46" s="1"/>
  <c r="T314" i="48"/>
  <c r="T315" i="48"/>
  <c r="T318" i="48"/>
  <c r="T313" i="48"/>
  <c r="T317" i="48"/>
  <c r="T316" i="48"/>
  <c r="BG30" i="45"/>
  <c r="BF67" i="45"/>
  <c r="U74" i="48"/>
  <c r="U79" i="48" s="1"/>
  <c r="U76" i="48"/>
  <c r="U81" i="48" s="1"/>
  <c r="U77" i="48"/>
  <c r="U73" i="48"/>
  <c r="U78" i="48" s="1"/>
  <c r="U75" i="48"/>
  <c r="U80" i="48" s="1"/>
  <c r="R351" i="48"/>
  <c r="R349" i="48"/>
  <c r="R350" i="48" s="1"/>
  <c r="R352" i="48" s="1"/>
  <c r="W106" i="46"/>
  <c r="W111" i="46" s="1"/>
  <c r="W105" i="46"/>
  <c r="W110" i="46" s="1"/>
  <c r="W107" i="46"/>
  <c r="W103" i="46"/>
  <c r="W108" i="46" s="1"/>
  <c r="W102" i="48"/>
  <c r="W104" i="46"/>
  <c r="W109" i="46" s="1"/>
  <c r="V115" i="48"/>
  <c r="V120" i="48" s="1"/>
  <c r="V114" i="48"/>
  <c r="V119" i="48" s="1"/>
  <c r="V116" i="48"/>
  <c r="V121" i="48" s="1"/>
  <c r="V117" i="48"/>
  <c r="V113" i="48"/>
  <c r="V118" i="48" s="1"/>
  <c r="V277" i="48"/>
  <c r="BH28" i="45"/>
  <c r="BH31" i="45"/>
  <c r="BH32" i="45"/>
  <c r="BH29" i="45"/>
  <c r="BH36" i="45"/>
  <c r="BH35" i="45"/>
  <c r="BH37" i="45"/>
  <c r="BH54" i="45"/>
  <c r="V84" i="48"/>
  <c r="V89" i="48" s="1"/>
  <c r="V87" i="48"/>
  <c r="V83" i="48"/>
  <c r="V88" i="48" s="1"/>
  <c r="V86" i="48"/>
  <c r="V91" i="48" s="1"/>
  <c r="V85" i="48"/>
  <c r="V90" i="48" s="1"/>
  <c r="W112" i="48"/>
  <c r="W113" i="46"/>
  <c r="W118" i="46" s="1"/>
  <c r="W116" i="46"/>
  <c r="W121" i="46" s="1"/>
  <c r="W114" i="46"/>
  <c r="W119" i="46" s="1"/>
  <c r="W117" i="46"/>
  <c r="W115" i="46"/>
  <c r="W120" i="46" s="1"/>
  <c r="W277" i="46"/>
  <c r="V278" i="48"/>
  <c r="U311" i="48"/>
  <c r="U312" i="48" s="1"/>
  <c r="BG33" i="45"/>
  <c r="V76" i="48"/>
  <c r="V81" i="48" s="1"/>
  <c r="V77" i="48"/>
  <c r="V74" i="48"/>
  <c r="V79" i="48" s="1"/>
  <c r="V75" i="48"/>
  <c r="V80" i="48" s="1"/>
  <c r="V73" i="48"/>
  <c r="V78" i="48" s="1"/>
  <c r="R356" i="46"/>
  <c r="R357" i="46" s="1"/>
  <c r="R366" i="46" s="1"/>
  <c r="X47" i="48"/>
  <c r="V311" i="46"/>
  <c r="W278" i="46"/>
  <c r="W18" i="52" s="1"/>
  <c r="Q366" i="48"/>
  <c r="AX107" i="55" s="1"/>
  <c r="V104" i="48"/>
  <c r="V109" i="48" s="1"/>
  <c r="V106" i="48"/>
  <c r="V111" i="48" s="1"/>
  <c r="V103" i="48"/>
  <c r="V108" i="48" s="1"/>
  <c r="V107" i="48"/>
  <c r="V105" i="48"/>
  <c r="V110" i="48" s="1"/>
  <c r="W83" i="46"/>
  <c r="W88" i="46" s="1"/>
  <c r="W87" i="46"/>
  <c r="W84" i="46"/>
  <c r="W89" i="46" s="1"/>
  <c r="W82" i="48"/>
  <c r="W85" i="46"/>
  <c r="W90" i="46" s="1"/>
  <c r="W86" i="46"/>
  <c r="W91" i="46" s="1"/>
  <c r="U117" i="48"/>
  <c r="U113" i="48"/>
  <c r="U118" i="48" s="1"/>
  <c r="U114" i="48"/>
  <c r="U119" i="48" s="1"/>
  <c r="U116" i="48"/>
  <c r="U121" i="48" s="1"/>
  <c r="U115" i="48"/>
  <c r="U120" i="48" s="1"/>
  <c r="U277" i="48"/>
  <c r="U104" i="48"/>
  <c r="U109" i="48" s="1"/>
  <c r="U103" i="48"/>
  <c r="U108" i="48" s="1"/>
  <c r="U107" i="48"/>
  <c r="U105" i="48"/>
  <c r="U110" i="48" s="1"/>
  <c r="U106" i="48"/>
  <c r="U111" i="48" s="1"/>
  <c r="BG56" i="45"/>
  <c r="BG55" i="45"/>
  <c r="V321" i="46"/>
  <c r="V344" i="46"/>
  <c r="V345" i="46" s="1"/>
  <c r="AA33" i="45"/>
  <c r="BE104" i="45"/>
  <c r="AA30" i="45"/>
  <c r="Z67" i="45"/>
  <c r="Z34" i="45"/>
  <c r="AA55" i="45"/>
  <c r="AA56" i="45"/>
  <c r="AB32" i="45"/>
  <c r="AB28" i="45"/>
  <c r="AB37" i="45"/>
  <c r="AC27" i="45"/>
  <c r="BI27" i="45" s="1"/>
  <c r="AB31" i="45"/>
  <c r="AB36" i="45"/>
  <c r="AB29" i="45"/>
  <c r="AB35" i="45"/>
  <c r="AB54" i="45"/>
  <c r="AS54" i="58" l="1"/>
  <c r="AS49" i="58"/>
  <c r="AS44" i="58"/>
  <c r="P121" i="45"/>
  <c r="P128" i="45" s="1"/>
  <c r="O104" i="55"/>
  <c r="O127" i="55" s="1"/>
  <c r="O150" i="55" s="1"/>
  <c r="O107" i="55"/>
  <c r="O130" i="55" s="1"/>
  <c r="O153" i="55" s="1"/>
  <c r="O374" i="46"/>
  <c r="P124" i="45"/>
  <c r="P123" i="45"/>
  <c r="P125" i="45"/>
  <c r="O119" i="45"/>
  <c r="N373" i="46"/>
  <c r="N368" i="46"/>
  <c r="Y40" i="48"/>
  <c r="AD46" i="48" s="1"/>
  <c r="U317" i="46"/>
  <c r="CH110" i="55" s="1"/>
  <c r="CH133" i="55" s="1"/>
  <c r="CH156" i="55" s="1"/>
  <c r="U316" i="46"/>
  <c r="CH109" i="55" s="1"/>
  <c r="CH132" i="55" s="1"/>
  <c r="CH155" i="55" s="1"/>
  <c r="U314" i="46"/>
  <c r="CH107" i="55" s="1"/>
  <c r="CH130" i="55" s="1"/>
  <c r="CH153" i="55" s="1"/>
  <c r="U318" i="46"/>
  <c r="CH111" i="55" s="1"/>
  <c r="CH134" i="55" s="1"/>
  <c r="CH157" i="55" s="1"/>
  <c r="U313" i="46"/>
  <c r="U315" i="46"/>
  <c r="CH108" i="55" s="1"/>
  <c r="CH131" i="55" s="1"/>
  <c r="CH154" i="55" s="1"/>
  <c r="AV121" i="45"/>
  <c r="AV128" i="45" s="1"/>
  <c r="S333" i="48"/>
  <c r="U326" i="46"/>
  <c r="U324" i="46"/>
  <c r="U325" i="46"/>
  <c r="S348" i="46"/>
  <c r="S351" i="46" s="1"/>
  <c r="S332" i="48"/>
  <c r="S336" i="48" s="1"/>
  <c r="T351" i="46"/>
  <c r="U327" i="46"/>
  <c r="V326" i="48"/>
  <c r="T333" i="48"/>
  <c r="T332" i="48"/>
  <c r="T336" i="48" s="1"/>
  <c r="S352" i="48"/>
  <c r="T338" i="46"/>
  <c r="AX155" i="55"/>
  <c r="DJ155" i="55" s="1"/>
  <c r="DJ132" i="55"/>
  <c r="T322" i="48"/>
  <c r="BA103" i="55"/>
  <c r="BA126" i="55" s="1"/>
  <c r="BA149" i="55" s="1"/>
  <c r="S331" i="46"/>
  <c r="S330" i="46"/>
  <c r="U333" i="48"/>
  <c r="Q357" i="46"/>
  <c r="Q364" i="46" s="1"/>
  <c r="U332" i="48"/>
  <c r="U336" i="48" s="1"/>
  <c r="AX157" i="55"/>
  <c r="DJ157" i="55" s="1"/>
  <c r="DJ134" i="55"/>
  <c r="T342" i="46"/>
  <c r="U111" i="55" s="1"/>
  <c r="U134" i="55" s="1"/>
  <c r="U157" i="55" s="1"/>
  <c r="T340" i="46"/>
  <c r="U109" i="55" s="1"/>
  <c r="U132" i="55" s="1"/>
  <c r="U155" i="55" s="1"/>
  <c r="AX156" i="55"/>
  <c r="DJ156" i="55" s="1"/>
  <c r="DJ133" i="55"/>
  <c r="AY132" i="55"/>
  <c r="DK109" i="55"/>
  <c r="U115" i="45"/>
  <c r="T330" i="46"/>
  <c r="T331" i="46"/>
  <c r="S340" i="48"/>
  <c r="AZ109" i="55" s="1"/>
  <c r="S337" i="48"/>
  <c r="S342" i="48"/>
  <c r="AZ111" i="55" s="1"/>
  <c r="S338" i="48"/>
  <c r="S339" i="48"/>
  <c r="AZ108" i="55" s="1"/>
  <c r="S341" i="48"/>
  <c r="AZ110" i="55" s="1"/>
  <c r="AZ115" i="45"/>
  <c r="V327" i="46"/>
  <c r="V324" i="46"/>
  <c r="V326" i="46"/>
  <c r="V325" i="46"/>
  <c r="W320" i="46"/>
  <c r="BA100" i="45"/>
  <c r="BA113" i="45"/>
  <c r="BA115" i="45" s="1"/>
  <c r="T337" i="46"/>
  <c r="T341" i="46"/>
  <c r="U110" i="55" s="1"/>
  <c r="U133" i="55" s="1"/>
  <c r="U156" i="55" s="1"/>
  <c r="T339" i="46"/>
  <c r="U108" i="55" s="1"/>
  <c r="U131" i="55" s="1"/>
  <c r="U154" i="55" s="1"/>
  <c r="AY133" i="55"/>
  <c r="DK110" i="55"/>
  <c r="BC76" i="45"/>
  <c r="BF70" i="45"/>
  <c r="T348" i="48"/>
  <c r="T349" i="48" s="1"/>
  <c r="T350" i="48" s="1"/>
  <c r="T352" i="48" s="1"/>
  <c r="T347" i="48"/>
  <c r="X47" i="46"/>
  <c r="X102" i="46"/>
  <c r="X72" i="46"/>
  <c r="X82" i="46"/>
  <c r="X112" i="46"/>
  <c r="W91" i="45"/>
  <c r="W320" i="48"/>
  <c r="V324" i="48"/>
  <c r="V325" i="48"/>
  <c r="DK108" i="55"/>
  <c r="V100" i="45"/>
  <c r="W114" i="45"/>
  <c r="AV130" i="55"/>
  <c r="DH107" i="55"/>
  <c r="AY157" i="55"/>
  <c r="DK157" i="55" s="1"/>
  <c r="DK134" i="55"/>
  <c r="AX130" i="55"/>
  <c r="DJ107" i="55"/>
  <c r="BF58" i="45"/>
  <c r="BF71" i="45" s="1"/>
  <c r="BF59" i="45"/>
  <c r="AU130" i="55"/>
  <c r="DG107" i="55"/>
  <c r="AY154" i="55"/>
  <c r="DK154" i="55" s="1"/>
  <c r="DK131" i="55"/>
  <c r="DJ104" i="55"/>
  <c r="DJ127" i="55" s="1"/>
  <c r="DJ150" i="55" s="1"/>
  <c r="AT44" i="58"/>
  <c r="AT54" i="58"/>
  <c r="AT49" i="58"/>
  <c r="W117" i="45"/>
  <c r="BC117" i="45"/>
  <c r="AU123" i="45"/>
  <c r="BB117" i="45"/>
  <c r="Q104" i="55"/>
  <c r="Q127" i="55" s="1"/>
  <c r="Q150" i="55" s="1"/>
  <c r="V117" i="45"/>
  <c r="V312" i="46"/>
  <c r="V313" i="46" s="1"/>
  <c r="CI103" i="55"/>
  <c r="CI126" i="55" s="1"/>
  <c r="CI149" i="55" s="1"/>
  <c r="BC97" i="45"/>
  <c r="BC100" i="45" s="1"/>
  <c r="AW104" i="55"/>
  <c r="AW127" i="55" s="1"/>
  <c r="AW150" i="55" s="1"/>
  <c r="AW107" i="55"/>
  <c r="U322" i="46"/>
  <c r="U342" i="46" s="1"/>
  <c r="V111" i="55" s="1"/>
  <c r="V134" i="55" s="1"/>
  <c r="V157" i="55" s="1"/>
  <c r="V103" i="55"/>
  <c r="V126" i="55" s="1"/>
  <c r="V149" i="55" s="1"/>
  <c r="BB90" i="45"/>
  <c r="BB91" i="45" s="1"/>
  <c r="V322" i="46"/>
  <c r="V338" i="46" s="1"/>
  <c r="W103" i="55"/>
  <c r="W126" i="55" s="1"/>
  <c r="W149" i="55" s="1"/>
  <c r="W113" i="45"/>
  <c r="AX104" i="55"/>
  <c r="AX127" i="55" s="1"/>
  <c r="AX150" i="55" s="1"/>
  <c r="Y319" i="48"/>
  <c r="Y323" i="48" s="1"/>
  <c r="X319" i="48"/>
  <c r="X323" i="48" s="1"/>
  <c r="V114" i="45"/>
  <c r="AV123" i="45"/>
  <c r="W109" i="45"/>
  <c r="V78" i="45"/>
  <c r="V113" i="45"/>
  <c r="V109" i="45"/>
  <c r="Z104" i="45"/>
  <c r="X90" i="45"/>
  <c r="BD90" i="45" s="1"/>
  <c r="BD91" i="45" s="1"/>
  <c r="X106" i="45"/>
  <c r="BD106" i="45" s="1"/>
  <c r="BD109" i="45" s="1"/>
  <c r="Q120" i="45"/>
  <c r="Q122" i="45" s="1"/>
  <c r="X97" i="45"/>
  <c r="AC105" i="45"/>
  <c r="BI105" i="45" s="1"/>
  <c r="S120" i="45"/>
  <c r="S122" i="45" s="1"/>
  <c r="AW119" i="45"/>
  <c r="AW124" i="45" s="1"/>
  <c r="X76" i="45"/>
  <c r="BD76" i="45" s="1"/>
  <c r="AC265" i="46"/>
  <c r="AC270" i="46" s="1"/>
  <c r="P368" i="46"/>
  <c r="Y274" i="48"/>
  <c r="AB33" i="45"/>
  <c r="AC264" i="46"/>
  <c r="AC269" i="46" s="1"/>
  <c r="P373" i="46"/>
  <c r="Q125" i="45" s="1"/>
  <c r="BC116" i="45"/>
  <c r="BG57" i="45"/>
  <c r="BG60" i="45" s="1"/>
  <c r="X111" i="45"/>
  <c r="BH30" i="45"/>
  <c r="AA57" i="45"/>
  <c r="AC267" i="46"/>
  <c r="AC272" i="46" s="1"/>
  <c r="AC268" i="46"/>
  <c r="BD111" i="45"/>
  <c r="X112" i="45"/>
  <c r="AC263" i="48"/>
  <c r="AC267" i="48" s="1"/>
  <c r="AC272" i="48" s="1"/>
  <c r="BH33" i="45"/>
  <c r="BC114" i="45"/>
  <c r="X110" i="45"/>
  <c r="V116" i="45"/>
  <c r="X93" i="45"/>
  <c r="BD94" i="45"/>
  <c r="BD93" i="45"/>
  <c r="X94" i="45"/>
  <c r="BB113" i="45"/>
  <c r="O374" i="48"/>
  <c r="AV125" i="45"/>
  <c r="Y71" i="45"/>
  <c r="T349" i="46"/>
  <c r="T350" i="46" s="1"/>
  <c r="BD103" i="45"/>
  <c r="X102" i="45"/>
  <c r="BD102" i="45"/>
  <c r="X101" i="45"/>
  <c r="BD101" i="45"/>
  <c r="X103" i="45"/>
  <c r="X80" i="45"/>
  <c r="BD80" i="45"/>
  <c r="X79" i="45"/>
  <c r="BD81" i="45"/>
  <c r="X81" i="45"/>
  <c r="BD79" i="45"/>
  <c r="N374" i="48"/>
  <c r="AU125" i="45"/>
  <c r="BB116" i="45"/>
  <c r="W116" i="45"/>
  <c r="Y73" i="45"/>
  <c r="BD110" i="45"/>
  <c r="Z70" i="45"/>
  <c r="V118" i="45"/>
  <c r="BC118" i="45"/>
  <c r="Y40" i="46"/>
  <c r="AD46" i="46" s="1"/>
  <c r="AD263" i="46" s="1"/>
  <c r="Z59" i="45"/>
  <c r="Z58" i="45"/>
  <c r="Z60" i="45"/>
  <c r="AA68" i="45"/>
  <c r="BD112" i="45"/>
  <c r="BB118" i="45"/>
  <c r="Y72" i="45"/>
  <c r="W118" i="45"/>
  <c r="Q368" i="48"/>
  <c r="AX120" i="45"/>
  <c r="W311" i="46"/>
  <c r="X278" i="46"/>
  <c r="X18" i="52" s="1"/>
  <c r="Q373" i="48"/>
  <c r="U321" i="48"/>
  <c r="DN103" i="55" s="1"/>
  <c r="DN126" i="55" s="1"/>
  <c r="DN149" i="55" s="1"/>
  <c r="U344" i="48"/>
  <c r="U345" i="48" s="1"/>
  <c r="W85" i="48"/>
  <c r="W90" i="48" s="1"/>
  <c r="W86" i="48"/>
  <c r="W91" i="48" s="1"/>
  <c r="W83" i="48"/>
  <c r="W88" i="48" s="1"/>
  <c r="W84" i="48"/>
  <c r="W89" i="48" s="1"/>
  <c r="W87" i="48"/>
  <c r="X83" i="46"/>
  <c r="X88" i="46" s="1"/>
  <c r="X87" i="46"/>
  <c r="X85" i="46"/>
  <c r="X90" i="46" s="1"/>
  <c r="X86" i="46"/>
  <c r="X91" i="46" s="1"/>
  <c r="X82" i="48"/>
  <c r="X84" i="46"/>
  <c r="X89" i="46" s="1"/>
  <c r="W114" i="48"/>
  <c r="W119" i="48" s="1"/>
  <c r="W113" i="48"/>
  <c r="W118" i="48" s="1"/>
  <c r="W117" i="48"/>
  <c r="W116" i="48"/>
  <c r="W121" i="48" s="1"/>
  <c r="W115" i="48"/>
  <c r="W120" i="48" s="1"/>
  <c r="W277" i="48"/>
  <c r="R356" i="48"/>
  <c r="R357" i="48" s="1"/>
  <c r="R364" i="48" s="1"/>
  <c r="P368" i="48"/>
  <c r="P373" i="48"/>
  <c r="W77" i="48"/>
  <c r="W76" i="48"/>
  <c r="W81" i="48" s="1"/>
  <c r="W75" i="48"/>
  <c r="W80" i="48" s="1"/>
  <c r="W74" i="48"/>
  <c r="W79" i="48" s="1"/>
  <c r="W73" i="48"/>
  <c r="W78" i="48" s="1"/>
  <c r="Z75" i="45"/>
  <c r="Y36" i="46"/>
  <c r="Y42" i="46" s="1"/>
  <c r="X116" i="46"/>
  <c r="X121" i="46" s="1"/>
  <c r="X117" i="46"/>
  <c r="X115" i="46"/>
  <c r="X120" i="46" s="1"/>
  <c r="X113" i="46"/>
  <c r="X118" i="46" s="1"/>
  <c r="X114" i="46"/>
  <c r="X119" i="46" s="1"/>
  <c r="X112" i="48"/>
  <c r="X277" i="46"/>
  <c r="BH55" i="45"/>
  <c r="BH56" i="45"/>
  <c r="V334" i="48"/>
  <c r="V346" i="48" s="1"/>
  <c r="V335" i="48"/>
  <c r="BI37" i="45"/>
  <c r="BI32" i="45"/>
  <c r="BI29" i="45"/>
  <c r="BI36" i="45"/>
  <c r="BI35" i="45"/>
  <c r="BI28" i="45"/>
  <c r="BI31" i="45"/>
  <c r="BI54" i="45"/>
  <c r="BB78" i="45"/>
  <c r="X274" i="48"/>
  <c r="R364" i="46"/>
  <c r="X72" i="48"/>
  <c r="X76" i="46"/>
  <c r="X81" i="46" s="1"/>
  <c r="X75" i="46"/>
  <c r="X80" i="46" s="1"/>
  <c r="X73" i="46"/>
  <c r="X78" i="46" s="1"/>
  <c r="X74" i="46"/>
  <c r="X79" i="46" s="1"/>
  <c r="X77" i="46"/>
  <c r="U315" i="48"/>
  <c r="U318" i="48"/>
  <c r="U316" i="48"/>
  <c r="U314" i="48"/>
  <c r="U317" i="48"/>
  <c r="U313" i="48"/>
  <c r="W324" i="46"/>
  <c r="W325" i="46"/>
  <c r="W326" i="46"/>
  <c r="W327" i="46"/>
  <c r="W324" i="48"/>
  <c r="W327" i="48"/>
  <c r="W326" i="48"/>
  <c r="W325" i="48"/>
  <c r="V344" i="48"/>
  <c r="V345" i="48" s="1"/>
  <c r="V321" i="48"/>
  <c r="DO103" i="55" s="1"/>
  <c r="DO126" i="55" s="1"/>
  <c r="DO149" i="55" s="1"/>
  <c r="S351" i="48"/>
  <c r="BB100" i="45"/>
  <c r="X104" i="46"/>
  <c r="X109" i="46" s="1"/>
  <c r="X107" i="46"/>
  <c r="X102" i="48"/>
  <c r="X105" i="46"/>
  <c r="X110" i="46" s="1"/>
  <c r="X103" i="46"/>
  <c r="X108" i="46" s="1"/>
  <c r="X106" i="46"/>
  <c r="X111" i="46" s="1"/>
  <c r="BG34" i="45"/>
  <c r="Z36" i="48" s="1"/>
  <c r="Z42" i="48" s="1"/>
  <c r="BG68" i="45"/>
  <c r="V311" i="48"/>
  <c r="V312" i="48" s="1"/>
  <c r="W278" i="48"/>
  <c r="W344" i="46"/>
  <c r="W345" i="46" s="1"/>
  <c r="W321" i="46"/>
  <c r="BC78" i="45"/>
  <c r="W105" i="48"/>
  <c r="W110" i="48" s="1"/>
  <c r="W106" i="48"/>
  <c r="W111" i="48" s="1"/>
  <c r="W104" i="48"/>
  <c r="W109" i="48" s="1"/>
  <c r="W103" i="48"/>
  <c r="W108" i="48" s="1"/>
  <c r="W107" i="48"/>
  <c r="BG67" i="45"/>
  <c r="AB268" i="48"/>
  <c r="AB266" i="48"/>
  <c r="AB271" i="48" s="1"/>
  <c r="AB264" i="48"/>
  <c r="AB269" i="48" s="1"/>
  <c r="AB265" i="48"/>
  <c r="AB270" i="48" s="1"/>
  <c r="AB267" i="48"/>
  <c r="AB272" i="48" s="1"/>
  <c r="AB55" i="45"/>
  <c r="AB56" i="45"/>
  <c r="AB30" i="45"/>
  <c r="BF75" i="45"/>
  <c r="AD27" i="45"/>
  <c r="BJ27" i="45" s="1"/>
  <c r="AC29" i="45"/>
  <c r="AC31" i="45"/>
  <c r="AC32" i="45"/>
  <c r="AC28" i="45"/>
  <c r="AC35" i="45"/>
  <c r="AC37" i="45"/>
  <c r="AC36" i="45"/>
  <c r="AC54" i="45"/>
  <c r="AA67" i="45"/>
  <c r="AA34" i="45"/>
  <c r="BF104" i="45"/>
  <c r="BE75" i="45"/>
  <c r="P131" i="45" l="1"/>
  <c r="P53" i="58" s="1"/>
  <c r="P129" i="45"/>
  <c r="P43" i="58" s="1"/>
  <c r="P130" i="45"/>
  <c r="P48" i="58" s="1"/>
  <c r="P126" i="45"/>
  <c r="O124" i="45"/>
  <c r="O123" i="45"/>
  <c r="O121" i="45"/>
  <c r="O128" i="45" s="1"/>
  <c r="N374" i="46"/>
  <c r="O125" i="45"/>
  <c r="BF72" i="45"/>
  <c r="S349" i="46"/>
  <c r="S350" i="46" s="1"/>
  <c r="S352" i="46" s="1"/>
  <c r="AA104" i="45"/>
  <c r="AV131" i="45"/>
  <c r="AV53" i="58" s="1"/>
  <c r="AV130" i="45"/>
  <c r="AV48" i="58" s="1"/>
  <c r="AV129" i="45"/>
  <c r="AV43" i="58" s="1"/>
  <c r="T352" i="46"/>
  <c r="T342" i="48"/>
  <c r="BA111" i="55" s="1"/>
  <c r="T341" i="48"/>
  <c r="BA110" i="55" s="1"/>
  <c r="T340" i="48"/>
  <c r="BA109" i="55" s="1"/>
  <c r="T338" i="48"/>
  <c r="U334" i="46"/>
  <c r="U346" i="46" s="1"/>
  <c r="U347" i="46" s="1"/>
  <c r="U335" i="46"/>
  <c r="T356" i="46"/>
  <c r="BB114" i="45"/>
  <c r="U328" i="46"/>
  <c r="U329" i="46"/>
  <c r="V328" i="48"/>
  <c r="V329" i="48"/>
  <c r="S356" i="46"/>
  <c r="T337" i="48"/>
  <c r="T339" i="48"/>
  <c r="BA108" i="55" s="1"/>
  <c r="AZ133" i="55"/>
  <c r="T351" i="48"/>
  <c r="T356" i="48" s="1"/>
  <c r="T357" i="48" s="1"/>
  <c r="T364" i="48" s="1"/>
  <c r="DL110" i="55"/>
  <c r="AY155" i="55"/>
  <c r="DK155" i="55" s="1"/>
  <c r="DK132" i="55"/>
  <c r="AZ131" i="55"/>
  <c r="DL108" i="55"/>
  <c r="AZ134" i="55"/>
  <c r="DL111" i="55"/>
  <c r="AZ132" i="55"/>
  <c r="DL109" i="55"/>
  <c r="AY156" i="55"/>
  <c r="DK156" i="55" s="1"/>
  <c r="DK133" i="55"/>
  <c r="AW123" i="45"/>
  <c r="Q366" i="46"/>
  <c r="R104" i="55" s="1"/>
  <c r="R127" i="55" s="1"/>
  <c r="R150" i="55" s="1"/>
  <c r="R119" i="45"/>
  <c r="S332" i="46"/>
  <c r="S336" i="46" s="1"/>
  <c r="S333" i="46"/>
  <c r="X319" i="46"/>
  <c r="X320" i="46" s="1"/>
  <c r="V335" i="46"/>
  <c r="V334" i="46"/>
  <c r="V346" i="46" s="1"/>
  <c r="V347" i="46" s="1"/>
  <c r="X274" i="46"/>
  <c r="V329" i="46"/>
  <c r="V328" i="46"/>
  <c r="T332" i="46"/>
  <c r="T336" i="46" s="1"/>
  <c r="T333" i="46"/>
  <c r="W115" i="45"/>
  <c r="BD97" i="45"/>
  <c r="X100" i="45"/>
  <c r="AA70" i="45"/>
  <c r="V339" i="46"/>
  <c r="W108" i="55" s="1"/>
  <c r="W131" i="55" s="1"/>
  <c r="W154" i="55" s="1"/>
  <c r="X320" i="48"/>
  <c r="X78" i="45"/>
  <c r="V318" i="46"/>
  <c r="CI111" i="55" s="1"/>
  <c r="CI134" i="55" s="1"/>
  <c r="CI157" i="55" s="1"/>
  <c r="V340" i="46"/>
  <c r="W109" i="55" s="1"/>
  <c r="W132" i="55" s="1"/>
  <c r="W155" i="55" s="1"/>
  <c r="V315" i="46"/>
  <c r="CI108" i="55" s="1"/>
  <c r="CI131" i="55" s="1"/>
  <c r="CI154" i="55" s="1"/>
  <c r="BH34" i="45"/>
  <c r="AA36" i="48" s="1"/>
  <c r="AA42" i="48" s="1"/>
  <c r="AA47" i="48" s="1"/>
  <c r="V342" i="46"/>
  <c r="W111" i="55" s="1"/>
  <c r="W134" i="55" s="1"/>
  <c r="W157" i="55" s="1"/>
  <c r="V314" i="46"/>
  <c r="CI107" i="55" s="1"/>
  <c r="CI130" i="55" s="1"/>
  <c r="CI153" i="55" s="1"/>
  <c r="V341" i="46"/>
  <c r="W110" i="55" s="1"/>
  <c r="W133" i="55" s="1"/>
  <c r="W156" i="55" s="1"/>
  <c r="V317" i="46"/>
  <c r="CI110" i="55" s="1"/>
  <c r="CI133" i="55" s="1"/>
  <c r="CI156" i="55" s="1"/>
  <c r="V316" i="46"/>
  <c r="CI109" i="55" s="1"/>
  <c r="CI132" i="55" s="1"/>
  <c r="CI155" i="55" s="1"/>
  <c r="V337" i="46"/>
  <c r="BC113" i="45"/>
  <c r="BC115" i="45" s="1"/>
  <c r="AW130" i="55"/>
  <c r="DI107" i="55"/>
  <c r="AX153" i="55"/>
  <c r="DJ153" i="55" s="1"/>
  <c r="DJ130" i="55"/>
  <c r="AV153" i="55"/>
  <c r="DH153" i="55" s="1"/>
  <c r="DH130" i="55"/>
  <c r="U341" i="46"/>
  <c r="V110" i="55" s="1"/>
  <c r="V133" i="55" s="1"/>
  <c r="V156" i="55" s="1"/>
  <c r="U337" i="46"/>
  <c r="Y320" i="48"/>
  <c r="U340" i="46"/>
  <c r="V109" i="55" s="1"/>
  <c r="V132" i="55" s="1"/>
  <c r="V155" i="55" s="1"/>
  <c r="U338" i="46"/>
  <c r="AU153" i="55"/>
  <c r="DG153" i="55" s="1"/>
  <c r="DG130" i="55"/>
  <c r="U339" i="46"/>
  <c r="V108" i="55" s="1"/>
  <c r="V131" i="55" s="1"/>
  <c r="V154" i="55" s="1"/>
  <c r="BH67" i="45"/>
  <c r="P44" i="58"/>
  <c r="P54" i="58"/>
  <c r="X117" i="45"/>
  <c r="BD117" i="45"/>
  <c r="U322" i="48"/>
  <c r="BB103" i="55"/>
  <c r="BB126" i="55" s="1"/>
  <c r="BB149" i="55" s="1"/>
  <c r="W322" i="46"/>
  <c r="W340" i="46" s="1"/>
  <c r="X109" i="55" s="1"/>
  <c r="X132" i="55" s="1"/>
  <c r="X155" i="55" s="1"/>
  <c r="X103" i="55"/>
  <c r="X126" i="55" s="1"/>
  <c r="X149" i="55" s="1"/>
  <c r="S104" i="55"/>
  <c r="S127" i="55" s="1"/>
  <c r="S150" i="55" s="1"/>
  <c r="S107" i="55"/>
  <c r="S130" i="55" s="1"/>
  <c r="S153" i="55" s="1"/>
  <c r="V322" i="48"/>
  <c r="BC103" i="55"/>
  <c r="BC126" i="55" s="1"/>
  <c r="BC149" i="55" s="1"/>
  <c r="W312" i="46"/>
  <c r="W318" i="46" s="1"/>
  <c r="CJ111" i="55" s="1"/>
  <c r="CJ134" i="55" s="1"/>
  <c r="CJ157" i="55" s="1"/>
  <c r="CJ103" i="55"/>
  <c r="CJ126" i="55" s="1"/>
  <c r="CJ149" i="55" s="1"/>
  <c r="V115" i="45"/>
  <c r="X91" i="45"/>
  <c r="X114" i="45" s="1"/>
  <c r="X109" i="45"/>
  <c r="X113" i="45"/>
  <c r="Q121" i="45"/>
  <c r="Q128" i="45" s="1"/>
  <c r="Q123" i="45"/>
  <c r="Q124" i="45"/>
  <c r="AC268" i="48"/>
  <c r="AA58" i="45"/>
  <c r="BG75" i="45"/>
  <c r="AY119" i="45"/>
  <c r="AV126" i="45"/>
  <c r="AD105" i="45"/>
  <c r="BJ105" i="45" s="1"/>
  <c r="P374" i="46"/>
  <c r="Y106" i="45"/>
  <c r="Y109" i="45" s="1"/>
  <c r="Y76" i="45"/>
  <c r="BE76" i="45" s="1"/>
  <c r="Y97" i="45"/>
  <c r="BE97" i="45" s="1"/>
  <c r="Y90" i="45"/>
  <c r="AU126" i="45"/>
  <c r="Z40" i="46"/>
  <c r="AE46" i="46" s="1"/>
  <c r="AE263" i="46" s="1"/>
  <c r="AE265" i="46" s="1"/>
  <c r="AE270" i="46" s="1"/>
  <c r="AA59" i="45"/>
  <c r="AB68" i="45"/>
  <c r="BG58" i="45"/>
  <c r="AA60" i="45"/>
  <c r="AA73" i="45" s="1"/>
  <c r="BG70" i="45"/>
  <c r="Z40" i="48"/>
  <c r="AE46" i="48" s="1"/>
  <c r="BG59" i="45"/>
  <c r="BG72" i="45" s="1"/>
  <c r="AC265" i="48"/>
  <c r="AC270" i="48" s="1"/>
  <c r="BH57" i="45"/>
  <c r="BH59" i="45" s="1"/>
  <c r="BD118" i="45"/>
  <c r="AC264" i="48"/>
  <c r="AC269" i="48" s="1"/>
  <c r="AC266" i="48"/>
  <c r="AC271" i="48" s="1"/>
  <c r="BE112" i="45"/>
  <c r="BE110" i="45"/>
  <c r="BE111" i="45"/>
  <c r="Y93" i="45"/>
  <c r="Y94" i="45"/>
  <c r="BE94" i="45"/>
  <c r="BE93" i="45"/>
  <c r="Q374" i="48"/>
  <c r="AX125" i="45"/>
  <c r="AX122" i="45"/>
  <c r="AX123" i="45"/>
  <c r="AX124" i="45"/>
  <c r="Y111" i="45"/>
  <c r="Z71" i="45"/>
  <c r="AC30" i="45"/>
  <c r="BE79" i="45"/>
  <c r="BE80" i="45"/>
  <c r="Y79" i="45"/>
  <c r="Y80" i="45"/>
  <c r="Y81" i="45"/>
  <c r="BE81" i="45"/>
  <c r="BI30" i="45"/>
  <c r="BE103" i="45"/>
  <c r="Y102" i="45"/>
  <c r="Y101" i="45"/>
  <c r="BE102" i="45"/>
  <c r="BE101" i="45"/>
  <c r="Y103" i="45"/>
  <c r="BG73" i="45"/>
  <c r="Z72" i="45"/>
  <c r="X116" i="45"/>
  <c r="Y110" i="45"/>
  <c r="P374" i="48"/>
  <c r="AW125" i="45"/>
  <c r="AD268" i="46"/>
  <c r="AD263" i="48"/>
  <c r="AD267" i="46"/>
  <c r="AD272" i="46" s="1"/>
  <c r="AD264" i="46"/>
  <c r="AD269" i="46" s="1"/>
  <c r="AD266" i="46"/>
  <c r="AD271" i="46" s="1"/>
  <c r="AD265" i="46"/>
  <c r="AD270" i="46" s="1"/>
  <c r="BD116" i="45"/>
  <c r="AC33" i="45"/>
  <c r="Z73" i="45"/>
  <c r="Y112" i="45"/>
  <c r="X118" i="45"/>
  <c r="BJ37" i="45"/>
  <c r="BJ32" i="45"/>
  <c r="BJ29" i="45"/>
  <c r="BJ36" i="45"/>
  <c r="BJ35" i="45"/>
  <c r="BJ31" i="45"/>
  <c r="BJ28" i="45"/>
  <c r="BJ54" i="45"/>
  <c r="X325" i="48"/>
  <c r="X324" i="48"/>
  <c r="X326" i="48"/>
  <c r="X327" i="48"/>
  <c r="S356" i="48"/>
  <c r="S357" i="48" s="1"/>
  <c r="S364" i="48" s="1"/>
  <c r="W328" i="48"/>
  <c r="W329" i="48"/>
  <c r="X74" i="48"/>
  <c r="X79" i="48" s="1"/>
  <c r="X77" i="48"/>
  <c r="X73" i="48"/>
  <c r="X78" i="48" s="1"/>
  <c r="X75" i="48"/>
  <c r="X80" i="48" s="1"/>
  <c r="X76" i="48"/>
  <c r="X81" i="48" s="1"/>
  <c r="BI55" i="45"/>
  <c r="BI56" i="45"/>
  <c r="AB57" i="45"/>
  <c r="V318" i="48"/>
  <c r="V317" i="48"/>
  <c r="V314" i="48"/>
  <c r="V315" i="48"/>
  <c r="V313" i="48"/>
  <c r="V316" i="48"/>
  <c r="V348" i="48"/>
  <c r="V347" i="48"/>
  <c r="W335" i="48"/>
  <c r="W334" i="48"/>
  <c r="W346" i="48" s="1"/>
  <c r="W334" i="46"/>
  <c r="W346" i="46" s="1"/>
  <c r="W347" i="46" s="1"/>
  <c r="W335" i="46"/>
  <c r="S119" i="45"/>
  <c r="R368" i="46"/>
  <c r="R373" i="46"/>
  <c r="W311" i="48"/>
  <c r="W312" i="48" s="1"/>
  <c r="X278" i="48"/>
  <c r="Y47" i="46"/>
  <c r="Y112" i="46"/>
  <c r="Y72" i="46"/>
  <c r="Y102" i="46"/>
  <c r="Y82" i="46"/>
  <c r="R366" i="48"/>
  <c r="AY104" i="55" s="1"/>
  <c r="AY127" i="55" s="1"/>
  <c r="AY150" i="55" s="1"/>
  <c r="AA75" i="45"/>
  <c r="Z36" i="46"/>
  <c r="Z42" i="46" s="1"/>
  <c r="BH68" i="45"/>
  <c r="W328" i="46"/>
  <c r="W329" i="46"/>
  <c r="BI33" i="45"/>
  <c r="X321" i="46"/>
  <c r="X344" i="46"/>
  <c r="X345" i="46" s="1"/>
  <c r="AW121" i="45"/>
  <c r="AW128" i="45" s="1"/>
  <c r="BD114" i="45"/>
  <c r="BD78" i="45"/>
  <c r="BE90" i="45"/>
  <c r="BE91" i="45" s="1"/>
  <c r="Y91" i="45"/>
  <c r="AU121" i="45"/>
  <c r="AU128" i="45" s="1"/>
  <c r="U347" i="48"/>
  <c r="U348" i="48"/>
  <c r="U349" i="48" s="1"/>
  <c r="U350" i="48" s="1"/>
  <c r="U352" i="48" s="1"/>
  <c r="Z47" i="48"/>
  <c r="X107" i="48"/>
  <c r="X106" i="48"/>
  <c r="X111" i="48" s="1"/>
  <c r="X105" i="48"/>
  <c r="X110" i="48" s="1"/>
  <c r="X104" i="48"/>
  <c r="X109" i="48" s="1"/>
  <c r="X103" i="48"/>
  <c r="X108" i="48" s="1"/>
  <c r="Y327" i="48"/>
  <c r="Y324" i="48"/>
  <c r="Y325" i="48"/>
  <c r="Y326" i="48"/>
  <c r="Y78" i="45"/>
  <c r="X117" i="48"/>
  <c r="X116" i="48"/>
  <c r="X121" i="48" s="1"/>
  <c r="X115" i="48"/>
  <c r="X120" i="48" s="1"/>
  <c r="X113" i="48"/>
  <c r="X118" i="48" s="1"/>
  <c r="X114" i="48"/>
  <c r="X119" i="48" s="1"/>
  <c r="X277" i="48"/>
  <c r="W321" i="48"/>
  <c r="DP103" i="55" s="1"/>
  <c r="DP126" i="55" s="1"/>
  <c r="DP149" i="55" s="1"/>
  <c r="W344" i="48"/>
  <c r="W345" i="48" s="1"/>
  <c r="X84" i="48"/>
  <c r="X89" i="48" s="1"/>
  <c r="X85" i="48"/>
  <c r="X90" i="48" s="1"/>
  <c r="X86" i="48"/>
  <c r="X91" i="48" s="1"/>
  <c r="X87" i="48"/>
  <c r="X83" i="48"/>
  <c r="X88" i="48" s="1"/>
  <c r="Y278" i="46"/>
  <c r="Y18" i="52" s="1"/>
  <c r="X311" i="46"/>
  <c r="AC55" i="45"/>
  <c r="AC56" i="45"/>
  <c r="AB67" i="45"/>
  <c r="AB34" i="45"/>
  <c r="AE27" i="45"/>
  <c r="BK27" i="45" s="1"/>
  <c r="AD28" i="45"/>
  <c r="AD29" i="45"/>
  <c r="AD31" i="45"/>
  <c r="AD32" i="45"/>
  <c r="AD35" i="45"/>
  <c r="AD37" i="45"/>
  <c r="AD54" i="45"/>
  <c r="AD36" i="45"/>
  <c r="P49" i="58" l="1"/>
  <c r="O131" i="45"/>
  <c r="O53" i="58" s="1"/>
  <c r="O129" i="45"/>
  <c r="O43" i="58" s="1"/>
  <c r="O130" i="45"/>
  <c r="O48" i="58" s="1"/>
  <c r="O126" i="45"/>
  <c r="BA134" i="55"/>
  <c r="DM111" i="55"/>
  <c r="BA131" i="55"/>
  <c r="DM108" i="55"/>
  <c r="BA132" i="55"/>
  <c r="DM109" i="55"/>
  <c r="BA157" i="55"/>
  <c r="DM157" i="55" s="1"/>
  <c r="DM134" i="55"/>
  <c r="AV49" i="58"/>
  <c r="AV44" i="58"/>
  <c r="AV54" i="58"/>
  <c r="BA133" i="55"/>
  <c r="DM110" i="55"/>
  <c r="AZ156" i="55"/>
  <c r="DL156" i="55" s="1"/>
  <c r="DL133" i="55"/>
  <c r="AZ157" i="55"/>
  <c r="DL157" i="55" s="1"/>
  <c r="DL134" i="55"/>
  <c r="AZ154" i="55"/>
  <c r="DL154" i="55" s="1"/>
  <c r="DL131" i="55"/>
  <c r="AA319" i="48"/>
  <c r="AA320" i="48" s="1"/>
  <c r="BG71" i="45"/>
  <c r="AA71" i="45"/>
  <c r="AA72" i="45"/>
  <c r="R107" i="55"/>
  <c r="R130" i="55" s="1"/>
  <c r="R153" i="55" s="1"/>
  <c r="Q373" i="46"/>
  <c r="U348" i="46"/>
  <c r="U349" i="46" s="1"/>
  <c r="U350" i="46" s="1"/>
  <c r="V330" i="48"/>
  <c r="V331" i="48"/>
  <c r="BB115" i="45"/>
  <c r="V349" i="48"/>
  <c r="V350" i="48" s="1"/>
  <c r="T357" i="46"/>
  <c r="T366" i="46" s="1"/>
  <c r="U330" i="46"/>
  <c r="U331" i="46"/>
  <c r="T366" i="48"/>
  <c r="BA107" i="55" s="1"/>
  <c r="S357" i="46"/>
  <c r="S364" i="46" s="1"/>
  <c r="BA119" i="45"/>
  <c r="V348" i="46"/>
  <c r="V351" i="46" s="1"/>
  <c r="V356" i="46" s="1"/>
  <c r="AB70" i="45"/>
  <c r="X323" i="46"/>
  <c r="AZ155" i="55"/>
  <c r="DL155" i="55" s="1"/>
  <c r="DL132" i="55"/>
  <c r="V331" i="46"/>
  <c r="V330" i="46"/>
  <c r="Q368" i="46"/>
  <c r="R120" i="45"/>
  <c r="R122" i="45" s="1"/>
  <c r="X115" i="45"/>
  <c r="V337" i="48"/>
  <c r="V342" i="48"/>
  <c r="BC111" i="55" s="1"/>
  <c r="V339" i="48"/>
  <c r="BC108" i="55" s="1"/>
  <c r="V340" i="48"/>
  <c r="BC109" i="55" s="1"/>
  <c r="BD113" i="45"/>
  <c r="V338" i="48"/>
  <c r="V341" i="48"/>
  <c r="BC110" i="55" s="1"/>
  <c r="BH70" i="45"/>
  <c r="W339" i="46"/>
  <c r="X108" i="55" s="1"/>
  <c r="X131" i="55" s="1"/>
  <c r="X154" i="55" s="1"/>
  <c r="BD100" i="45"/>
  <c r="U340" i="48"/>
  <c r="BB109" i="55" s="1"/>
  <c r="U342" i="48"/>
  <c r="BB111" i="55" s="1"/>
  <c r="U341" i="48"/>
  <c r="BB110" i="55" s="1"/>
  <c r="U339" i="48"/>
  <c r="BB108" i="55" s="1"/>
  <c r="U337" i="48"/>
  <c r="U338" i="48"/>
  <c r="AA274" i="48"/>
  <c r="W313" i="46"/>
  <c r="W316" i="46"/>
  <c r="CJ109" i="55" s="1"/>
  <c r="CJ132" i="55" s="1"/>
  <c r="CJ155" i="55" s="1"/>
  <c r="W315" i="46"/>
  <c r="CJ108" i="55" s="1"/>
  <c r="CJ131" i="55" s="1"/>
  <c r="CJ154" i="55" s="1"/>
  <c r="W317" i="46"/>
  <c r="CJ110" i="55" s="1"/>
  <c r="CJ133" i="55" s="1"/>
  <c r="CJ156" i="55" s="1"/>
  <c r="W341" i="46"/>
  <c r="X110" i="55" s="1"/>
  <c r="X133" i="55" s="1"/>
  <c r="X156" i="55" s="1"/>
  <c r="W337" i="46"/>
  <c r="W338" i="46"/>
  <c r="W342" i="46"/>
  <c r="X111" i="55" s="1"/>
  <c r="X134" i="55" s="1"/>
  <c r="X157" i="55" s="1"/>
  <c r="Y114" i="45"/>
  <c r="DK104" i="55"/>
  <c r="DK127" i="55" s="1"/>
  <c r="DK150" i="55" s="1"/>
  <c r="AC68" i="45"/>
  <c r="AW153" i="55"/>
  <c r="DI153" i="55" s="1"/>
  <c r="DI130" i="55"/>
  <c r="AW131" i="45"/>
  <c r="AW53" i="58" s="1"/>
  <c r="AW130" i="45"/>
  <c r="AW48" i="58" s="1"/>
  <c r="AW129" i="45"/>
  <c r="AW43" i="58" s="1"/>
  <c r="AU131" i="45"/>
  <c r="AU53" i="58" s="1"/>
  <c r="AU129" i="45"/>
  <c r="AU43" i="58" s="1"/>
  <c r="AU130" i="45"/>
  <c r="AU48" i="58" s="1"/>
  <c r="W314" i="46"/>
  <c r="CJ107" i="55" s="1"/>
  <c r="CJ130" i="55" s="1"/>
  <c r="CJ153" i="55" s="1"/>
  <c r="Q131" i="45"/>
  <c r="Q53" i="58" s="1"/>
  <c r="Q130" i="45"/>
  <c r="Q48" i="58" s="1"/>
  <c r="Q129" i="45"/>
  <c r="Q43" i="58" s="1"/>
  <c r="Y117" i="45"/>
  <c r="BE117" i="45"/>
  <c r="W322" i="48"/>
  <c r="BD103" i="55"/>
  <c r="BD126" i="55" s="1"/>
  <c r="BD149" i="55" s="1"/>
  <c r="X312" i="46"/>
  <c r="X314" i="46" s="1"/>
  <c r="CK107" i="55" s="1"/>
  <c r="CK130" i="55" s="1"/>
  <c r="CK153" i="55" s="1"/>
  <c r="CK103" i="55"/>
  <c r="CK126" i="55" s="1"/>
  <c r="CK149" i="55" s="1"/>
  <c r="AY107" i="55"/>
  <c r="X322" i="46"/>
  <c r="Y103" i="55"/>
  <c r="Y126" i="55" s="1"/>
  <c r="Y149" i="55" s="1"/>
  <c r="BE106" i="45"/>
  <c r="BE109" i="45" s="1"/>
  <c r="Y319" i="46"/>
  <c r="Z319" i="48"/>
  <c r="Y113" i="45"/>
  <c r="Y100" i="45"/>
  <c r="BJ33" i="45"/>
  <c r="BH60" i="45"/>
  <c r="BH73" i="45" s="1"/>
  <c r="AE264" i="46"/>
  <c r="AE269" i="46" s="1"/>
  <c r="AE266" i="46"/>
  <c r="AE271" i="46" s="1"/>
  <c r="AW126" i="45"/>
  <c r="AZ119" i="45"/>
  <c r="AE105" i="45"/>
  <c r="BK105" i="45" s="1"/>
  <c r="AX126" i="45"/>
  <c r="AE263" i="48"/>
  <c r="AE268" i="48" s="1"/>
  <c r="AE268" i="46"/>
  <c r="AE267" i="46"/>
  <c r="AE272" i="46" s="1"/>
  <c r="Q126" i="45"/>
  <c r="BI67" i="45"/>
  <c r="AA40" i="48"/>
  <c r="AF46" i="48" s="1"/>
  <c r="BH58" i="45"/>
  <c r="BH71" i="45" s="1"/>
  <c r="BJ30" i="45"/>
  <c r="V351" i="48"/>
  <c r="V356" i="48" s="1"/>
  <c r="V357" i="48" s="1"/>
  <c r="V366" i="48" s="1"/>
  <c r="AC34" i="45"/>
  <c r="AC67" i="45"/>
  <c r="BE114" i="45"/>
  <c r="BE116" i="45"/>
  <c r="AA40" i="46"/>
  <c r="AF46" i="46" s="1"/>
  <c r="AF263" i="46" s="1"/>
  <c r="AF265" i="46" s="1"/>
  <c r="AF270" i="46" s="1"/>
  <c r="AB59" i="45"/>
  <c r="AB58" i="45"/>
  <c r="AB60" i="45"/>
  <c r="Z274" i="48"/>
  <c r="Y118" i="45"/>
  <c r="AB104" i="45"/>
  <c r="W348" i="46"/>
  <c r="W351" i="46" s="1"/>
  <c r="S124" i="45"/>
  <c r="S123" i="45"/>
  <c r="BE118" i="45"/>
  <c r="BI57" i="45"/>
  <c r="AB40" i="48" s="1"/>
  <c r="AG46" i="48" s="1"/>
  <c r="AD267" i="48"/>
  <c r="AD272" i="48" s="1"/>
  <c r="AD268" i="48"/>
  <c r="AD266" i="48"/>
  <c r="AD271" i="48" s="1"/>
  <c r="AD265" i="48"/>
  <c r="AD270" i="48" s="1"/>
  <c r="AD264" i="48"/>
  <c r="AD269" i="48" s="1"/>
  <c r="Y116" i="45"/>
  <c r="BH72" i="45"/>
  <c r="R368" i="48"/>
  <c r="AY120" i="45"/>
  <c r="AB75" i="45"/>
  <c r="AA36" i="46"/>
  <c r="AA42" i="46" s="1"/>
  <c r="X329" i="48"/>
  <c r="X328" i="48"/>
  <c r="BK31" i="45"/>
  <c r="BK32" i="45"/>
  <c r="BK29" i="45"/>
  <c r="BK28" i="45"/>
  <c r="BK35" i="45"/>
  <c r="BK37" i="45"/>
  <c r="BK36" i="45"/>
  <c r="BK54" i="45"/>
  <c r="W347" i="48"/>
  <c r="W348" i="48"/>
  <c r="W349" i="48" s="1"/>
  <c r="W350" i="48" s="1"/>
  <c r="BE100" i="45"/>
  <c r="Y335" i="48"/>
  <c r="Y334" i="48"/>
  <c r="Y346" i="48" s="1"/>
  <c r="BE78" i="45"/>
  <c r="Y72" i="48"/>
  <c r="Y75" i="46"/>
  <c r="Y80" i="46" s="1"/>
  <c r="Y74" i="46"/>
  <c r="Y79" i="46" s="1"/>
  <c r="Y73" i="46"/>
  <c r="Y78" i="46" s="1"/>
  <c r="Y77" i="46"/>
  <c r="Y76" i="46"/>
  <c r="Y81" i="46" s="1"/>
  <c r="Y278" i="48"/>
  <c r="X311" i="48"/>
  <c r="X312" i="48" s="1"/>
  <c r="R374" i="46"/>
  <c r="S125" i="45"/>
  <c r="BJ56" i="45"/>
  <c r="BJ55" i="45"/>
  <c r="W330" i="46"/>
  <c r="W331" i="46"/>
  <c r="Y106" i="46"/>
  <c r="Y111" i="46" s="1"/>
  <c r="Y104" i="46"/>
  <c r="Y109" i="46" s="1"/>
  <c r="Y102" i="48"/>
  <c r="Y105" i="46"/>
  <c r="Y110" i="46" s="1"/>
  <c r="Y107" i="46"/>
  <c r="Y103" i="46"/>
  <c r="Y108" i="46" s="1"/>
  <c r="Y328" i="48"/>
  <c r="Y329" i="48"/>
  <c r="U351" i="48"/>
  <c r="AX121" i="45"/>
  <c r="AX128" i="45" s="1"/>
  <c r="BI68" i="45"/>
  <c r="Y274" i="46"/>
  <c r="Y114" i="46"/>
  <c r="Y119" i="46" s="1"/>
  <c r="Y117" i="46"/>
  <c r="Y116" i="46"/>
  <c r="Y121" i="46" s="1"/>
  <c r="Y113" i="46"/>
  <c r="Y118" i="46" s="1"/>
  <c r="Y112" i="48"/>
  <c r="Y115" i="46"/>
  <c r="Y120" i="46" s="1"/>
  <c r="Y277" i="46"/>
  <c r="W315" i="48"/>
  <c r="W316" i="48"/>
  <c r="W317" i="48"/>
  <c r="W314" i="48"/>
  <c r="W313" i="48"/>
  <c r="W318" i="48"/>
  <c r="S366" i="48"/>
  <c r="AZ104" i="55" s="1"/>
  <c r="AZ127" i="55" s="1"/>
  <c r="AZ150" i="55" s="1"/>
  <c r="R373" i="48"/>
  <c r="Y311" i="46"/>
  <c r="Z278" i="46"/>
  <c r="Z18" i="52" s="1"/>
  <c r="X344" i="48"/>
  <c r="X345" i="48" s="1"/>
  <c r="X321" i="48"/>
  <c r="DQ103" i="55" s="1"/>
  <c r="DQ126" i="55" s="1"/>
  <c r="DQ149" i="55" s="1"/>
  <c r="Z47" i="46"/>
  <c r="Z72" i="46"/>
  <c r="Z82" i="46"/>
  <c r="Z102" i="46"/>
  <c r="Z112" i="46"/>
  <c r="Y85" i="46"/>
  <c r="Y90" i="46" s="1"/>
  <c r="Y86" i="46"/>
  <c r="Y91" i="46" s="1"/>
  <c r="Y87" i="46"/>
  <c r="Y84" i="46"/>
  <c r="Y89" i="46" s="1"/>
  <c r="Y82" i="48"/>
  <c r="Y83" i="46"/>
  <c r="Y88" i="46" s="1"/>
  <c r="S121" i="45"/>
  <c r="S128" i="45" s="1"/>
  <c r="W330" i="48"/>
  <c r="W331" i="48"/>
  <c r="X335" i="48"/>
  <c r="X334" i="48"/>
  <c r="X346" i="48" s="1"/>
  <c r="BI34" i="45"/>
  <c r="AB36" i="48" s="1"/>
  <c r="AB42" i="48" s="1"/>
  <c r="BG104" i="45"/>
  <c r="AC57" i="45"/>
  <c r="AD55" i="45"/>
  <c r="AD56" i="45"/>
  <c r="BH104" i="45"/>
  <c r="AF27" i="45"/>
  <c r="BL27" i="45" s="1"/>
  <c r="AE28" i="45"/>
  <c r="AE29" i="45"/>
  <c r="AE31" i="45"/>
  <c r="AE36" i="45"/>
  <c r="AE32" i="45"/>
  <c r="AE35" i="45"/>
  <c r="AE37" i="45"/>
  <c r="AE54" i="45"/>
  <c r="AD33" i="45"/>
  <c r="AD30" i="45"/>
  <c r="BH75" i="45"/>
  <c r="O44" i="58" l="1"/>
  <c r="O49" i="58"/>
  <c r="O54" i="58"/>
  <c r="BA155" i="55"/>
  <c r="DM155" i="55" s="1"/>
  <c r="DM132" i="55"/>
  <c r="BA154" i="55"/>
  <c r="DM154" i="55" s="1"/>
  <c r="DM131" i="55"/>
  <c r="BA156" i="55"/>
  <c r="DM156" i="55" s="1"/>
  <c r="DM133" i="55"/>
  <c r="U352" i="46"/>
  <c r="U351" i="46"/>
  <c r="U356" i="46" s="1"/>
  <c r="X327" i="46"/>
  <c r="X325" i="46"/>
  <c r="T364" i="46"/>
  <c r="V352" i="48"/>
  <c r="BA104" i="55"/>
  <c r="BA127" i="55" s="1"/>
  <c r="BA150" i="55" s="1"/>
  <c r="X326" i="46"/>
  <c r="AA323" i="48"/>
  <c r="R125" i="45"/>
  <c r="Q374" i="46"/>
  <c r="R126" i="45" s="1"/>
  <c r="U120" i="45"/>
  <c r="U122" i="45" s="1"/>
  <c r="V349" i="46"/>
  <c r="V350" i="46" s="1"/>
  <c r="DM104" i="55"/>
  <c r="DM127" i="55" s="1"/>
  <c r="DM150" i="55" s="1"/>
  <c r="BA130" i="55"/>
  <c r="DM107" i="55"/>
  <c r="R124" i="45"/>
  <c r="T368" i="48"/>
  <c r="BA120" i="45"/>
  <c r="T119" i="45"/>
  <c r="U332" i="46"/>
  <c r="U336" i="46" s="1"/>
  <c r="U333" i="46"/>
  <c r="V332" i="48"/>
  <c r="V336" i="48" s="1"/>
  <c r="V333" i="48"/>
  <c r="T373" i="48"/>
  <c r="X318" i="46"/>
  <c r="CK111" i="55" s="1"/>
  <c r="CK134" i="55" s="1"/>
  <c r="CK157" i="55" s="1"/>
  <c r="X315" i="46"/>
  <c r="CK108" i="55" s="1"/>
  <c r="CK131" i="55" s="1"/>
  <c r="CK154" i="55" s="1"/>
  <c r="X313" i="46"/>
  <c r="X317" i="46"/>
  <c r="CK110" i="55" s="1"/>
  <c r="CK133" i="55" s="1"/>
  <c r="CK156" i="55" s="1"/>
  <c r="S366" i="46"/>
  <c r="T104" i="55" s="1"/>
  <c r="T127" i="55" s="1"/>
  <c r="T150" i="55" s="1"/>
  <c r="X324" i="46"/>
  <c r="V357" i="46"/>
  <c r="V364" i="46" s="1"/>
  <c r="AC70" i="45"/>
  <c r="BC132" i="55"/>
  <c r="DO109" i="55"/>
  <c r="BC131" i="55"/>
  <c r="DO108" i="55"/>
  <c r="BC134" i="55"/>
  <c r="R121" i="45"/>
  <c r="R128" i="45" s="1"/>
  <c r="R123" i="45"/>
  <c r="X341" i="46"/>
  <c r="Y110" i="55" s="1"/>
  <c r="Y133" i="55" s="1"/>
  <c r="Y156" i="55" s="1"/>
  <c r="V332" i="46"/>
  <c r="V336" i="46" s="1"/>
  <c r="V333" i="46"/>
  <c r="DO111" i="55"/>
  <c r="BD115" i="45"/>
  <c r="BC133" i="55"/>
  <c r="DO110" i="55"/>
  <c r="BB133" i="55"/>
  <c r="DN110" i="55"/>
  <c r="BB134" i="55"/>
  <c r="DN111" i="55"/>
  <c r="BB131" i="55"/>
  <c r="DN108" i="55"/>
  <c r="BB132" i="55"/>
  <c r="DN109" i="55"/>
  <c r="X340" i="46"/>
  <c r="Y109" i="55" s="1"/>
  <c r="Y132" i="55" s="1"/>
  <c r="Y155" i="55" s="1"/>
  <c r="X339" i="46"/>
  <c r="Y108" i="55" s="1"/>
  <c r="Y131" i="55" s="1"/>
  <c r="Y154" i="55" s="1"/>
  <c r="X338" i="46"/>
  <c r="X337" i="46"/>
  <c r="X342" i="46"/>
  <c r="Y111" i="55" s="1"/>
  <c r="Y134" i="55" s="1"/>
  <c r="Y157" i="55" s="1"/>
  <c r="W337" i="48"/>
  <c r="W342" i="48"/>
  <c r="BD111" i="55" s="1"/>
  <c r="W339" i="48"/>
  <c r="BD108" i="55" s="1"/>
  <c r="W340" i="48"/>
  <c r="BD109" i="55" s="1"/>
  <c r="W341" i="48"/>
  <c r="BD110" i="55" s="1"/>
  <c r="Y115" i="45"/>
  <c r="W338" i="48"/>
  <c r="Z320" i="48"/>
  <c r="Z323" i="48"/>
  <c r="Y323" i="46"/>
  <c r="Y320" i="46"/>
  <c r="X316" i="46"/>
  <c r="CK109" i="55" s="1"/>
  <c r="CK132" i="55" s="1"/>
  <c r="CK155" i="55" s="1"/>
  <c r="BI70" i="45"/>
  <c r="AW44" i="58"/>
  <c r="AY130" i="55"/>
  <c r="DK107" i="55"/>
  <c r="DL104" i="55"/>
  <c r="DL127" i="55" s="1"/>
  <c r="DL150" i="55" s="1"/>
  <c r="BJ68" i="45"/>
  <c r="AU54" i="58"/>
  <c r="AW49" i="58"/>
  <c r="AX131" i="45"/>
  <c r="AX53" i="58" s="1"/>
  <c r="AX129" i="45"/>
  <c r="AX43" i="58" s="1"/>
  <c r="AX130" i="45"/>
  <c r="AX48" i="58" s="1"/>
  <c r="AW54" i="58"/>
  <c r="AU49" i="58"/>
  <c r="S131" i="45"/>
  <c r="S53" i="58" s="1"/>
  <c r="S130" i="45"/>
  <c r="S48" i="58" s="1"/>
  <c r="S129" i="45"/>
  <c r="S43" i="58" s="1"/>
  <c r="AU44" i="58"/>
  <c r="Q54" i="58"/>
  <c r="Q44" i="58"/>
  <c r="Q49" i="58"/>
  <c r="Y312" i="46"/>
  <c r="Y316" i="46" s="1"/>
  <c r="CL109" i="55" s="1"/>
  <c r="CL132" i="55" s="1"/>
  <c r="CL155" i="55" s="1"/>
  <c r="CL103" i="55"/>
  <c r="CL126" i="55" s="1"/>
  <c r="CL149" i="55" s="1"/>
  <c r="AZ107" i="55"/>
  <c r="X322" i="48"/>
  <c r="BE103" i="55"/>
  <c r="BE126" i="55" s="1"/>
  <c r="BE149" i="55" s="1"/>
  <c r="BJ34" i="45"/>
  <c r="AC36" i="48" s="1"/>
  <c r="AC42" i="48" s="1"/>
  <c r="AC47" i="48" s="1"/>
  <c r="AC319" i="48" s="1"/>
  <c r="BE113" i="45"/>
  <c r="BE115" i="45" s="1"/>
  <c r="Z319" i="46"/>
  <c r="Z323" i="46" s="1"/>
  <c r="AE266" i="48"/>
  <c r="AE271" i="48" s="1"/>
  <c r="W349" i="46"/>
  <c r="W350" i="46" s="1"/>
  <c r="W352" i="46" s="1"/>
  <c r="AC104" i="45"/>
  <c r="AB36" i="46"/>
  <c r="AB42" i="46" s="1"/>
  <c r="AB102" i="46" s="1"/>
  <c r="AE265" i="48"/>
  <c r="AE270" i="48" s="1"/>
  <c r="AE267" i="48"/>
  <c r="AE272" i="48" s="1"/>
  <c r="AE264" i="48"/>
  <c r="AE269" i="48" s="1"/>
  <c r="S126" i="45"/>
  <c r="Z76" i="45"/>
  <c r="Z78" i="45" s="1"/>
  <c r="BC120" i="45"/>
  <c r="BC122" i="45" s="1"/>
  <c r="AF105" i="45"/>
  <c r="BL105" i="45" s="1"/>
  <c r="Z90" i="45"/>
  <c r="Z97" i="45"/>
  <c r="Z106" i="45"/>
  <c r="BF106" i="45" s="1"/>
  <c r="BF109" i="45" s="1"/>
  <c r="AC75" i="45"/>
  <c r="AF267" i="46"/>
  <c r="AF272" i="46" s="1"/>
  <c r="BF94" i="45"/>
  <c r="Z94" i="45"/>
  <c r="BF93" i="45"/>
  <c r="Z93" i="45"/>
  <c r="W352" i="48"/>
  <c r="AD68" i="45"/>
  <c r="AD57" i="45"/>
  <c r="AF263" i="48"/>
  <c r="AF266" i="48" s="1"/>
  <c r="AF271" i="48" s="1"/>
  <c r="BF101" i="45"/>
  <c r="Z103" i="45"/>
  <c r="Z101" i="45"/>
  <c r="BF103" i="45"/>
  <c r="Z102" i="45"/>
  <c r="BF102" i="45"/>
  <c r="AB73" i="45"/>
  <c r="AC58" i="45"/>
  <c r="AC71" i="45" s="1"/>
  <c r="AC60" i="45"/>
  <c r="AC59" i="45"/>
  <c r="AF268" i="46"/>
  <c r="AF264" i="46"/>
  <c r="AF269" i="46" s="1"/>
  <c r="AY122" i="45"/>
  <c r="AY124" i="45"/>
  <c r="AY123" i="45"/>
  <c r="AB71" i="45"/>
  <c r="BI75" i="45"/>
  <c r="R374" i="48"/>
  <c r="AY125" i="45"/>
  <c r="AF266" i="46"/>
  <c r="AF271" i="46" s="1"/>
  <c r="BF111" i="45"/>
  <c r="BF110" i="45"/>
  <c r="BF112" i="45"/>
  <c r="Z110" i="45"/>
  <c r="Z111" i="45"/>
  <c r="Z112" i="45"/>
  <c r="BJ57" i="45"/>
  <c r="AC40" i="48" s="1"/>
  <c r="Z80" i="45"/>
  <c r="Z81" i="45"/>
  <c r="Z79" i="45"/>
  <c r="BF79" i="45"/>
  <c r="BF80" i="45"/>
  <c r="BF81" i="45"/>
  <c r="W351" i="48"/>
  <c r="W356" i="48" s="1"/>
  <c r="BI58" i="45"/>
  <c r="BI59" i="45"/>
  <c r="BI60" i="45"/>
  <c r="AB72" i="45"/>
  <c r="S373" i="48"/>
  <c r="AZ120" i="45"/>
  <c r="Z116" i="46"/>
  <c r="Z121" i="46" s="1"/>
  <c r="Z113" i="46"/>
  <c r="Z118" i="46" s="1"/>
  <c r="Z114" i="46"/>
  <c r="Z119" i="46" s="1"/>
  <c r="Z115" i="46"/>
  <c r="Z120" i="46" s="1"/>
  <c r="Z112" i="48"/>
  <c r="Z117" i="46"/>
  <c r="Z277" i="46"/>
  <c r="AE30" i="45"/>
  <c r="AB47" i="48"/>
  <c r="AY121" i="45"/>
  <c r="AY128" i="45" s="1"/>
  <c r="Y83" i="48"/>
  <c r="Y88" i="48" s="1"/>
  <c r="Y87" i="48"/>
  <c r="Y86" i="48"/>
  <c r="Y91" i="48" s="1"/>
  <c r="Y84" i="48"/>
  <c r="Y89" i="48" s="1"/>
  <c r="Y85" i="48"/>
  <c r="Y90" i="48" s="1"/>
  <c r="Z105" i="46"/>
  <c r="Z110" i="46" s="1"/>
  <c r="Z107" i="46"/>
  <c r="Z106" i="46"/>
  <c r="Z111" i="46" s="1"/>
  <c r="Z104" i="46"/>
  <c r="Z109" i="46" s="1"/>
  <c r="Z102" i="48"/>
  <c r="Z103" i="46"/>
  <c r="Z108" i="46" s="1"/>
  <c r="X348" i="48"/>
  <c r="X351" i="48" s="1"/>
  <c r="X347" i="48"/>
  <c r="Y321" i="46"/>
  <c r="Y344" i="46"/>
  <c r="Y345" i="46" s="1"/>
  <c r="V364" i="48"/>
  <c r="DO104" i="55" s="1"/>
  <c r="DO127" i="55" s="1"/>
  <c r="DO150" i="55" s="1"/>
  <c r="Y73" i="48"/>
  <c r="Y78" i="48" s="1"/>
  <c r="Y75" i="48"/>
  <c r="Y80" i="48" s="1"/>
  <c r="Y76" i="48"/>
  <c r="Y81" i="48" s="1"/>
  <c r="Y74" i="48"/>
  <c r="Y79" i="48" s="1"/>
  <c r="Y77" i="48"/>
  <c r="Z311" i="46"/>
  <c r="AA278" i="46"/>
  <c r="AA18" i="52" s="1"/>
  <c r="U356" i="48"/>
  <c r="U357" i="48" s="1"/>
  <c r="U366" i="48" s="1"/>
  <c r="BL28" i="45"/>
  <c r="BL37" i="45"/>
  <c r="BL35" i="45"/>
  <c r="BL31" i="45"/>
  <c r="BL36" i="45"/>
  <c r="BL32" i="45"/>
  <c r="BL29" i="45"/>
  <c r="BL54" i="45"/>
  <c r="AB40" i="46"/>
  <c r="AG46" i="46" s="1"/>
  <c r="AG263" i="46" s="1"/>
  <c r="BJ67" i="45"/>
  <c r="W333" i="48"/>
  <c r="W332" i="48"/>
  <c r="W336" i="48" s="1"/>
  <c r="Z85" i="46"/>
  <c r="Z90" i="46" s="1"/>
  <c r="Z82" i="48"/>
  <c r="Z83" i="46"/>
  <c r="Z88" i="46" s="1"/>
  <c r="Z86" i="46"/>
  <c r="Z91" i="46" s="1"/>
  <c r="Z87" i="46"/>
  <c r="Z84" i="46"/>
  <c r="Z89" i="46" s="1"/>
  <c r="Y107" i="48"/>
  <c r="Y103" i="48"/>
  <c r="Y108" i="48" s="1"/>
  <c r="Y106" i="48"/>
  <c r="Y111" i="48" s="1"/>
  <c r="Y105" i="48"/>
  <c r="Y110" i="48" s="1"/>
  <c r="Y104" i="48"/>
  <c r="Y109" i="48" s="1"/>
  <c r="W333" i="46"/>
  <c r="W332" i="46"/>
  <c r="W336" i="46" s="1"/>
  <c r="S368" i="48"/>
  <c r="X315" i="48"/>
  <c r="X316" i="48"/>
  <c r="X318" i="48"/>
  <c r="X317" i="48"/>
  <c r="X314" i="48"/>
  <c r="X313" i="48"/>
  <c r="W356" i="46"/>
  <c r="BK33" i="45"/>
  <c r="X330" i="48"/>
  <c r="X331" i="48"/>
  <c r="AA47" i="46"/>
  <c r="AA112" i="46"/>
  <c r="AA102" i="46"/>
  <c r="AA72" i="46"/>
  <c r="AA82" i="46"/>
  <c r="Z274" i="46"/>
  <c r="Z72" i="48"/>
  <c r="Z76" i="46"/>
  <c r="Z81" i="46" s="1"/>
  <c r="Z77" i="46"/>
  <c r="Z73" i="46"/>
  <c r="Z78" i="46" s="1"/>
  <c r="Z75" i="46"/>
  <c r="Z80" i="46" s="1"/>
  <c r="Z74" i="46"/>
  <c r="Z79" i="46" s="1"/>
  <c r="Y116" i="48"/>
  <c r="Y121" i="48" s="1"/>
  <c r="Y113" i="48"/>
  <c r="Y118" i="48" s="1"/>
  <c r="Y117" i="48"/>
  <c r="Y115" i="48"/>
  <c r="Y120" i="48" s="1"/>
  <c r="Y114" i="48"/>
  <c r="Y119" i="48" s="1"/>
  <c r="Y277" i="48"/>
  <c r="Y330" i="48"/>
  <c r="Y331" i="48"/>
  <c r="Y311" i="48"/>
  <c r="Y312" i="48" s="1"/>
  <c r="Z278" i="48"/>
  <c r="BK56" i="45"/>
  <c r="BK55" i="45"/>
  <c r="BK30" i="45"/>
  <c r="AE33" i="45"/>
  <c r="BI104" i="45"/>
  <c r="AD67" i="45"/>
  <c r="AD34" i="45"/>
  <c r="AE55" i="45"/>
  <c r="AE56" i="45"/>
  <c r="AF32" i="45"/>
  <c r="AG27" i="45"/>
  <c r="BM27" i="45" s="1"/>
  <c r="AF29" i="45"/>
  <c r="AF31" i="45"/>
  <c r="AF37" i="45"/>
  <c r="AF28" i="45"/>
  <c r="AF36" i="45"/>
  <c r="AF35" i="45"/>
  <c r="AF54" i="45"/>
  <c r="U357" i="46" l="1"/>
  <c r="U366" i="46" s="1"/>
  <c r="X335" i="46"/>
  <c r="X329" i="46"/>
  <c r="X328" i="46"/>
  <c r="AA326" i="48"/>
  <c r="AA325" i="48"/>
  <c r="U104" i="55"/>
  <c r="U127" i="55" s="1"/>
  <c r="U150" i="55" s="1"/>
  <c r="X334" i="46"/>
  <c r="X346" i="46" s="1"/>
  <c r="X347" i="46" s="1"/>
  <c r="AA324" i="48"/>
  <c r="AA327" i="48"/>
  <c r="BA153" i="55"/>
  <c r="DM153" i="55" s="1"/>
  <c r="DM130" i="55"/>
  <c r="U107" i="55"/>
  <c r="U130" i="55" s="1"/>
  <c r="U153" i="55" s="1"/>
  <c r="T107" i="55"/>
  <c r="T130" i="55" s="1"/>
  <c r="T153" i="55" s="1"/>
  <c r="T373" i="46"/>
  <c r="T374" i="46" s="1"/>
  <c r="T368" i="46"/>
  <c r="U119" i="45"/>
  <c r="U121" i="45" s="1"/>
  <c r="U128" i="45" s="1"/>
  <c r="BA122" i="45"/>
  <c r="BA123" i="45"/>
  <c r="BA124" i="45"/>
  <c r="W119" i="45"/>
  <c r="T374" i="48"/>
  <c r="BA125" i="45"/>
  <c r="AF265" i="48"/>
  <c r="AF270" i="48" s="1"/>
  <c r="AF267" i="48"/>
  <c r="AF272" i="48" s="1"/>
  <c r="AF268" i="48"/>
  <c r="V352" i="46"/>
  <c r="BC154" i="55"/>
  <c r="DO154" i="55" s="1"/>
  <c r="DO131" i="55"/>
  <c r="DO132" i="55"/>
  <c r="R130" i="45"/>
  <c r="R48" i="58" s="1"/>
  <c r="R129" i="45"/>
  <c r="R43" i="58" s="1"/>
  <c r="S368" i="46"/>
  <c r="T120" i="45"/>
  <c r="T122" i="45" s="1"/>
  <c r="Y315" i="46"/>
  <c r="CL108" i="55" s="1"/>
  <c r="CL131" i="55" s="1"/>
  <c r="CL154" i="55" s="1"/>
  <c r="Y318" i="46"/>
  <c r="CL111" i="55" s="1"/>
  <c r="CL134" i="55" s="1"/>
  <c r="CL157" i="55" s="1"/>
  <c r="S373" i="46"/>
  <c r="V366" i="46"/>
  <c r="W104" i="55" s="1"/>
  <c r="W127" i="55" s="1"/>
  <c r="W150" i="55" s="1"/>
  <c r="BD133" i="55"/>
  <c r="DP110" i="55"/>
  <c r="BD132" i="55"/>
  <c r="DP109" i="55"/>
  <c r="BB155" i="55"/>
  <c r="DN155" i="55" s="1"/>
  <c r="DN132" i="55"/>
  <c r="BD131" i="55"/>
  <c r="DP108" i="55"/>
  <c r="BD134" i="55"/>
  <c r="DP111" i="55"/>
  <c r="BB154" i="55"/>
  <c r="DN154" i="55" s="1"/>
  <c r="DN131" i="55"/>
  <c r="BC157" i="55"/>
  <c r="DO157" i="55" s="1"/>
  <c r="DO134" i="55"/>
  <c r="BB157" i="55"/>
  <c r="DN157" i="55" s="1"/>
  <c r="DN134" i="55"/>
  <c r="BB156" i="55"/>
  <c r="DN156" i="55" s="1"/>
  <c r="DN133" i="55"/>
  <c r="BC155" i="55"/>
  <c r="DO155" i="55" s="1"/>
  <c r="BC156" i="55"/>
  <c r="DO156" i="55" s="1"/>
  <c r="DO133" i="55"/>
  <c r="R131" i="45"/>
  <c r="R53" i="58" s="1"/>
  <c r="X340" i="48"/>
  <c r="BE109" i="55" s="1"/>
  <c r="X338" i="48"/>
  <c r="X342" i="48"/>
  <c r="BE111" i="55" s="1"/>
  <c r="X339" i="48"/>
  <c r="BE108" i="55" s="1"/>
  <c r="X341" i="48"/>
  <c r="BE110" i="55" s="1"/>
  <c r="X337" i="48"/>
  <c r="BJ70" i="45"/>
  <c r="Z325" i="48"/>
  <c r="Z327" i="48"/>
  <c r="Z324" i="48"/>
  <c r="Z326" i="48"/>
  <c r="Y326" i="46"/>
  <c r="Y327" i="46"/>
  <c r="Y325" i="46"/>
  <c r="Y324" i="46"/>
  <c r="BF90" i="45"/>
  <c r="BF91" i="45" s="1"/>
  <c r="Z91" i="45"/>
  <c r="AC274" i="48"/>
  <c r="Y313" i="46"/>
  <c r="Y314" i="46"/>
  <c r="CL107" i="55" s="1"/>
  <c r="CL130" i="55" s="1"/>
  <c r="CL153" i="55" s="1"/>
  <c r="Y317" i="46"/>
  <c r="CL110" i="55" s="1"/>
  <c r="CL133" i="55" s="1"/>
  <c r="CL156" i="55" s="1"/>
  <c r="Z320" i="46"/>
  <c r="Z117" i="45"/>
  <c r="AY153" i="55"/>
  <c r="DK153" i="55" s="1"/>
  <c r="DK130" i="55"/>
  <c r="AZ130" i="55"/>
  <c r="DL107" i="55"/>
  <c r="S49" i="58"/>
  <c r="S54" i="58"/>
  <c r="AX54" i="58"/>
  <c r="AY131" i="45"/>
  <c r="AY53" i="58" s="1"/>
  <c r="AY129" i="45"/>
  <c r="AY43" i="58" s="1"/>
  <c r="AY130" i="45"/>
  <c r="AY48" i="58" s="1"/>
  <c r="AX49" i="58"/>
  <c r="AX44" i="58"/>
  <c r="S44" i="58"/>
  <c r="BF117" i="45"/>
  <c r="Y322" i="46"/>
  <c r="Z103" i="55"/>
  <c r="Z126" i="55" s="1"/>
  <c r="Z149" i="55" s="1"/>
  <c r="BC104" i="55"/>
  <c r="BC127" i="55" s="1"/>
  <c r="BC150" i="55" s="1"/>
  <c r="BC107" i="55"/>
  <c r="Z312" i="46"/>
  <c r="Z315" i="46" s="1"/>
  <c r="CM108" i="55" s="1"/>
  <c r="CM131" i="55" s="1"/>
  <c r="CM154" i="55" s="1"/>
  <c r="CM103" i="55"/>
  <c r="CM126" i="55" s="1"/>
  <c r="CM149" i="55" s="1"/>
  <c r="AC323" i="48"/>
  <c r="AC325" i="48" s="1"/>
  <c r="AC320" i="48"/>
  <c r="AB47" i="46"/>
  <c r="AB274" i="46" s="1"/>
  <c r="Z113" i="45"/>
  <c r="AB319" i="48"/>
  <c r="AB323" i="48" s="1"/>
  <c r="AA319" i="46"/>
  <c r="AA320" i="46" s="1"/>
  <c r="AB72" i="46"/>
  <c r="AB75" i="46" s="1"/>
  <c r="AB80" i="46" s="1"/>
  <c r="AB102" i="48"/>
  <c r="AB104" i="48" s="1"/>
  <c r="AB109" i="48" s="1"/>
  <c r="AB105" i="46"/>
  <c r="AB110" i="46" s="1"/>
  <c r="AB103" i="46"/>
  <c r="AB108" i="46" s="1"/>
  <c r="AB107" i="46"/>
  <c r="AC106" i="45" s="1"/>
  <c r="BI106" i="45" s="1"/>
  <c r="BI109" i="45" s="1"/>
  <c r="AB106" i="46"/>
  <c r="AB111" i="46" s="1"/>
  <c r="AB104" i="46"/>
  <c r="AB109" i="46" s="1"/>
  <c r="BF76" i="45"/>
  <c r="BF114" i="45" s="1"/>
  <c r="Z114" i="45"/>
  <c r="Z100" i="45"/>
  <c r="BF97" i="45"/>
  <c r="BF113" i="45" s="1"/>
  <c r="Z109" i="45"/>
  <c r="AB112" i="46"/>
  <c r="AB82" i="46"/>
  <c r="AD104" i="45"/>
  <c r="BB120" i="45"/>
  <c r="BB122" i="45" s="1"/>
  <c r="AA106" i="45"/>
  <c r="BG106" i="45" s="1"/>
  <c r="BG109" i="45" s="1"/>
  <c r="AG105" i="45"/>
  <c r="BM105" i="45" s="1"/>
  <c r="AY126" i="45"/>
  <c r="AA76" i="45"/>
  <c r="AA78" i="45" s="1"/>
  <c r="AA90" i="45"/>
  <c r="BG90" i="45" s="1"/>
  <c r="BG91" i="45" s="1"/>
  <c r="BC119" i="45"/>
  <c r="BC123" i="45" s="1"/>
  <c r="AA97" i="45"/>
  <c r="X349" i="48"/>
  <c r="X350" i="48" s="1"/>
  <c r="X352" i="48" s="1"/>
  <c r="BK57" i="45"/>
  <c r="BK58" i="45" s="1"/>
  <c r="BK71" i="45" s="1"/>
  <c r="AF30" i="45"/>
  <c r="AD70" i="45"/>
  <c r="Z116" i="45"/>
  <c r="AE67" i="45"/>
  <c r="BF118" i="45"/>
  <c r="AA102" i="45"/>
  <c r="BG103" i="45"/>
  <c r="BG101" i="45"/>
  <c r="AA101" i="45"/>
  <c r="AA103" i="45"/>
  <c r="BG102" i="45"/>
  <c r="BI71" i="45"/>
  <c r="AC72" i="45"/>
  <c r="AE57" i="45"/>
  <c r="AZ122" i="45"/>
  <c r="AZ124" i="45"/>
  <c r="AZ123" i="45"/>
  <c r="T124" i="45"/>
  <c r="Z118" i="45"/>
  <c r="AC73" i="45"/>
  <c r="AF33" i="45"/>
  <c r="AE34" i="45"/>
  <c r="AF264" i="48"/>
  <c r="AF269" i="48" s="1"/>
  <c r="BL33" i="45"/>
  <c r="AA112" i="45"/>
  <c r="BG110" i="45"/>
  <c r="AA110" i="45"/>
  <c r="BG111" i="45"/>
  <c r="BG112" i="45"/>
  <c r="AA111" i="45"/>
  <c r="S374" i="48"/>
  <c r="AZ125" i="45"/>
  <c r="BI73" i="45"/>
  <c r="AC40" i="46"/>
  <c r="AD58" i="45"/>
  <c r="AD60" i="45"/>
  <c r="AD59" i="45"/>
  <c r="AA81" i="45"/>
  <c r="BG79" i="45"/>
  <c r="AA79" i="45"/>
  <c r="BG80" i="45"/>
  <c r="BG81" i="45"/>
  <c r="AA80" i="45"/>
  <c r="BG93" i="45"/>
  <c r="AA93" i="45"/>
  <c r="AA94" i="45"/>
  <c r="BG94" i="45"/>
  <c r="AB274" i="48"/>
  <c r="BI72" i="45"/>
  <c r="BF116" i="45"/>
  <c r="BJ60" i="45"/>
  <c r="BJ59" i="45"/>
  <c r="BJ58" i="45"/>
  <c r="AD75" i="45"/>
  <c r="AC36" i="46"/>
  <c r="AC42" i="46" s="1"/>
  <c r="AZ121" i="45"/>
  <c r="AZ128" i="45" s="1"/>
  <c r="AA103" i="46"/>
  <c r="AA108" i="46" s="1"/>
  <c r="AA105" i="46"/>
  <c r="AA110" i="46" s="1"/>
  <c r="AA106" i="46"/>
  <c r="AA111" i="46" s="1"/>
  <c r="AA102" i="48"/>
  <c r="AA104" i="46"/>
  <c r="AA109" i="46" s="1"/>
  <c r="AA107" i="46"/>
  <c r="AG266" i="46"/>
  <c r="AG271" i="46" s="1"/>
  <c r="AG267" i="46"/>
  <c r="AG272" i="46" s="1"/>
  <c r="AG264" i="46"/>
  <c r="AG269" i="46" s="1"/>
  <c r="AG265" i="46"/>
  <c r="AG270" i="46" s="1"/>
  <c r="AG268" i="46"/>
  <c r="AG263" i="48"/>
  <c r="BK34" i="45"/>
  <c r="AD36" i="48" s="1"/>
  <c r="AD42" i="48" s="1"/>
  <c r="BK67" i="45"/>
  <c r="Y317" i="48"/>
  <c r="Y315" i="48"/>
  <c r="Y313" i="48"/>
  <c r="Y316" i="48"/>
  <c r="Y314" i="48"/>
  <c r="Y318" i="48"/>
  <c r="Y333" i="48"/>
  <c r="Y332" i="48"/>
  <c r="Y336" i="48" s="1"/>
  <c r="AA274" i="46"/>
  <c r="AA113" i="46"/>
  <c r="AA118" i="46" s="1"/>
  <c r="AA112" i="48"/>
  <c r="AA115" i="46"/>
  <c r="AA120" i="46" s="1"/>
  <c r="AA114" i="46"/>
  <c r="AA119" i="46" s="1"/>
  <c r="AA116" i="46"/>
  <c r="AA121" i="46" s="1"/>
  <c r="AA117" i="46"/>
  <c r="AA277" i="46"/>
  <c r="X333" i="48"/>
  <c r="X332" i="48"/>
  <c r="X336" i="48" s="1"/>
  <c r="U364" i="48"/>
  <c r="DN104" i="55" s="1"/>
  <c r="DN127" i="55" s="1"/>
  <c r="DN150" i="55" s="1"/>
  <c r="V368" i="48"/>
  <c r="V373" i="48"/>
  <c r="Z311" i="48"/>
  <c r="Z312" i="48" s="1"/>
  <c r="AA278" i="48"/>
  <c r="BA121" i="45"/>
  <c r="BA128" i="45" s="1"/>
  <c r="Z86" i="48"/>
  <c r="Z91" i="48" s="1"/>
  <c r="Z83" i="48"/>
  <c r="Z88" i="48" s="1"/>
  <c r="Z87" i="48"/>
  <c r="Z85" i="48"/>
  <c r="Z90" i="48" s="1"/>
  <c r="Z84" i="48"/>
  <c r="Z89" i="48" s="1"/>
  <c r="X356" i="48"/>
  <c r="Z116" i="48"/>
  <c r="Z121" i="48" s="1"/>
  <c r="Z117" i="48"/>
  <c r="Z114" i="48"/>
  <c r="Z119" i="48" s="1"/>
  <c r="Z115" i="48"/>
  <c r="Z120" i="48" s="1"/>
  <c r="Z113" i="48"/>
  <c r="Z118" i="48" s="1"/>
  <c r="Z277" i="48"/>
  <c r="BM37" i="45"/>
  <c r="BM32" i="45"/>
  <c r="BM29" i="45"/>
  <c r="BM31" i="45"/>
  <c r="BM36" i="45"/>
  <c r="BM35" i="45"/>
  <c r="BM28" i="45"/>
  <c r="BM54" i="45"/>
  <c r="AE68" i="45"/>
  <c r="Y344" i="48"/>
  <c r="Y345" i="48" s="1"/>
  <c r="Y321" i="48"/>
  <c r="DR103" i="55" s="1"/>
  <c r="DR126" i="55" s="1"/>
  <c r="DR149" i="55" s="1"/>
  <c r="AA82" i="48"/>
  <c r="AA83" i="46"/>
  <c r="AA88" i="46" s="1"/>
  <c r="AA87" i="46"/>
  <c r="AA86" i="46"/>
  <c r="AA91" i="46" s="1"/>
  <c r="AA85" i="46"/>
  <c r="AA90" i="46" s="1"/>
  <c r="AA84" i="46"/>
  <c r="AA89" i="46" s="1"/>
  <c r="BK68" i="45"/>
  <c r="BL55" i="45"/>
  <c r="BL56" i="45"/>
  <c r="BL30" i="45"/>
  <c r="AA311" i="46"/>
  <c r="AB278" i="46"/>
  <c r="AB18" i="52" s="1"/>
  <c r="Z107" i="48"/>
  <c r="Z104" i="48"/>
  <c r="Z109" i="48" s="1"/>
  <c r="Z106" i="48"/>
  <c r="Z111" i="48" s="1"/>
  <c r="Z103" i="48"/>
  <c r="Z108" i="48" s="1"/>
  <c r="Z105" i="48"/>
  <c r="Z110" i="48" s="1"/>
  <c r="W357" i="48"/>
  <c r="W364" i="48" s="1"/>
  <c r="Z344" i="46"/>
  <c r="Z345" i="46" s="1"/>
  <c r="Z321" i="46"/>
  <c r="Z76" i="48"/>
  <c r="Z81" i="48" s="1"/>
  <c r="Z73" i="48"/>
  <c r="Z78" i="48" s="1"/>
  <c r="Z77" i="48"/>
  <c r="Z75" i="48"/>
  <c r="Z80" i="48" s="1"/>
  <c r="Z74" i="48"/>
  <c r="Z79" i="48" s="1"/>
  <c r="AA72" i="48"/>
  <c r="AA75" i="46"/>
  <c r="AA80" i="46" s="1"/>
  <c r="AA74" i="46"/>
  <c r="AA79" i="46" s="1"/>
  <c r="AA73" i="46"/>
  <c r="AA78" i="46" s="1"/>
  <c r="AA77" i="46"/>
  <c r="AA76" i="46"/>
  <c r="AA81" i="46" s="1"/>
  <c r="W357" i="46"/>
  <c r="W364" i="46" s="1"/>
  <c r="Z327" i="46"/>
  <c r="Z326" i="46"/>
  <c r="Z324" i="46"/>
  <c r="Z325" i="46"/>
  <c r="BJ104" i="45"/>
  <c r="AF55" i="45"/>
  <c r="AF56" i="45"/>
  <c r="AG28" i="45"/>
  <c r="AG32" i="45"/>
  <c r="AG29" i="45"/>
  <c r="AG35" i="45"/>
  <c r="AG37" i="45"/>
  <c r="AH27" i="45"/>
  <c r="BN27" i="45" s="1"/>
  <c r="AG31" i="45"/>
  <c r="AG36" i="45"/>
  <c r="AG54" i="45"/>
  <c r="V368" i="46" l="1"/>
  <c r="V120" i="45"/>
  <c r="V122" i="45" s="1"/>
  <c r="U364" i="46"/>
  <c r="AA329" i="48"/>
  <c r="AA328" i="48"/>
  <c r="AA334" i="48"/>
  <c r="AA346" i="48" s="1"/>
  <c r="AA335" i="48"/>
  <c r="T121" i="45"/>
  <c r="T128" i="45" s="1"/>
  <c r="X348" i="46"/>
  <c r="X351" i="46" s="1"/>
  <c r="X356" i="46" s="1"/>
  <c r="X331" i="46"/>
  <c r="X330" i="46"/>
  <c r="U125" i="45"/>
  <c r="U124" i="45"/>
  <c r="U123" i="45"/>
  <c r="U126" i="45"/>
  <c r="U131" i="45"/>
  <c r="U53" i="58" s="1"/>
  <c r="U130" i="45"/>
  <c r="U48" i="58" s="1"/>
  <c r="U129" i="45"/>
  <c r="U43" i="58" s="1"/>
  <c r="BA126" i="45"/>
  <c r="AE104" i="45"/>
  <c r="W107" i="55"/>
  <c r="W130" i="55" s="1"/>
  <c r="W153" i="55" s="1"/>
  <c r="W120" i="45"/>
  <c r="W122" i="45" s="1"/>
  <c r="DP133" i="55"/>
  <c r="X349" i="46"/>
  <c r="X350" i="46" s="1"/>
  <c r="X352" i="46" s="1"/>
  <c r="X357" i="46"/>
  <c r="X366" i="46" s="1"/>
  <c r="T123" i="45"/>
  <c r="V373" i="46"/>
  <c r="S374" i="46"/>
  <c r="T125" i="45"/>
  <c r="Z317" i="46"/>
  <c r="CM110" i="55" s="1"/>
  <c r="CM133" i="55" s="1"/>
  <c r="CM156" i="55" s="1"/>
  <c r="Z314" i="46"/>
  <c r="CM107" i="55" s="1"/>
  <c r="CM130" i="55" s="1"/>
  <c r="CM153" i="55" s="1"/>
  <c r="BD155" i="55"/>
  <c r="DP155" i="55" s="1"/>
  <c r="DP132" i="55"/>
  <c r="BD157" i="55"/>
  <c r="DP157" i="55" s="1"/>
  <c r="DP134" i="55"/>
  <c r="BE133" i="55"/>
  <c r="DQ110" i="55"/>
  <c r="BE131" i="55"/>
  <c r="DQ108" i="55"/>
  <c r="BE134" i="55"/>
  <c r="DQ111" i="55"/>
  <c r="BD156" i="55"/>
  <c r="DP156" i="55" s="1"/>
  <c r="BD154" i="55"/>
  <c r="DP154" i="55" s="1"/>
  <c r="DP131" i="55"/>
  <c r="BE132" i="55"/>
  <c r="DQ109" i="55"/>
  <c r="R54" i="58"/>
  <c r="R44" i="58"/>
  <c r="R49" i="58"/>
  <c r="Z115" i="45"/>
  <c r="BI111" i="45"/>
  <c r="AE75" i="45"/>
  <c r="BG76" i="45"/>
  <c r="Y334" i="46"/>
  <c r="Y346" i="46" s="1"/>
  <c r="Y347" i="46" s="1"/>
  <c r="Y335" i="46"/>
  <c r="Y342" i="46"/>
  <c r="Z111" i="55" s="1"/>
  <c r="Z134" i="55" s="1"/>
  <c r="Z157" i="55" s="1"/>
  <c r="Y337" i="46"/>
  <c r="Y338" i="46"/>
  <c r="Y341" i="46"/>
  <c r="Z110" i="55" s="1"/>
  <c r="Z133" i="55" s="1"/>
  <c r="Z156" i="55" s="1"/>
  <c r="Z329" i="48"/>
  <c r="Y329" i="46"/>
  <c r="AB107" i="48"/>
  <c r="Y340" i="46"/>
  <c r="Z109" i="55" s="1"/>
  <c r="Z132" i="55" s="1"/>
  <c r="Z155" i="55" s="1"/>
  <c r="Y339" i="46"/>
  <c r="Z108" i="55" s="1"/>
  <c r="Z131" i="55" s="1"/>
  <c r="Z154" i="55" s="1"/>
  <c r="Z328" i="48"/>
  <c r="AA323" i="46"/>
  <c r="BF78" i="45"/>
  <c r="Y328" i="46"/>
  <c r="AB320" i="48"/>
  <c r="Z334" i="48"/>
  <c r="Z346" i="48" s="1"/>
  <c r="Z335" i="48"/>
  <c r="AC327" i="48"/>
  <c r="BG97" i="45"/>
  <c r="AA100" i="45"/>
  <c r="Z313" i="46"/>
  <c r="AB73" i="46"/>
  <c r="AB78" i="46" s="1"/>
  <c r="AB77" i="46"/>
  <c r="Z316" i="46"/>
  <c r="CM109" i="55" s="1"/>
  <c r="CM132" i="55" s="1"/>
  <c r="CM155" i="55" s="1"/>
  <c r="AB103" i="48"/>
  <c r="AB108" i="48" s="1"/>
  <c r="AB74" i="46"/>
  <c r="AB79" i="46" s="1"/>
  <c r="AB105" i="48"/>
  <c r="AB110" i="48" s="1"/>
  <c r="AB106" i="48"/>
  <c r="AB111" i="48" s="1"/>
  <c r="AC324" i="48"/>
  <c r="Z318" i="46"/>
  <c r="CM111" i="55" s="1"/>
  <c r="CM134" i="55" s="1"/>
  <c r="CM157" i="55" s="1"/>
  <c r="AB76" i="46"/>
  <c r="AB81" i="46" s="1"/>
  <c r="AB72" i="48"/>
  <c r="AC326" i="48"/>
  <c r="AC328" i="48" s="1"/>
  <c r="BC130" i="55"/>
  <c r="DO107" i="55"/>
  <c r="AZ153" i="55"/>
  <c r="DL153" i="55" s="1"/>
  <c r="DL130" i="55"/>
  <c r="AY44" i="58"/>
  <c r="AY54" i="58"/>
  <c r="AY49" i="58"/>
  <c r="AZ131" i="45"/>
  <c r="AZ53" i="58" s="1"/>
  <c r="AZ129" i="45"/>
  <c r="AZ43" i="58" s="1"/>
  <c r="AZ130" i="45"/>
  <c r="AZ48" i="58" s="1"/>
  <c r="BA131" i="45"/>
  <c r="BA53" i="58" s="1"/>
  <c r="BA129" i="45"/>
  <c r="BA43" i="58" s="1"/>
  <c r="BA130" i="45"/>
  <c r="BA48" i="58" s="1"/>
  <c r="AC111" i="45"/>
  <c r="AA117" i="45"/>
  <c r="BG117" i="45"/>
  <c r="AB319" i="46"/>
  <c r="AD40" i="48"/>
  <c r="AA312" i="46"/>
  <c r="CN103" i="55"/>
  <c r="CN126" i="55" s="1"/>
  <c r="CN149" i="55" s="1"/>
  <c r="Z322" i="46"/>
  <c r="Z339" i="46" s="1"/>
  <c r="AA108" i="55" s="1"/>
  <c r="AA131" i="55" s="1"/>
  <c r="AA154" i="55" s="1"/>
  <c r="AA103" i="55"/>
  <c r="AA126" i="55" s="1"/>
  <c r="AA149" i="55" s="1"/>
  <c r="Y322" i="48"/>
  <c r="Y341" i="48" s="1"/>
  <c r="BF110" i="55" s="1"/>
  <c r="BF103" i="55"/>
  <c r="BF126" i="55" s="1"/>
  <c r="BF149" i="55" s="1"/>
  <c r="BB104" i="55"/>
  <c r="BB127" i="55" s="1"/>
  <c r="BB150" i="55" s="1"/>
  <c r="BB107" i="55"/>
  <c r="BI112" i="45"/>
  <c r="BF100" i="45"/>
  <c r="BI110" i="45"/>
  <c r="BC124" i="45"/>
  <c r="AC110" i="45"/>
  <c r="AC112" i="45"/>
  <c r="AB277" i="46"/>
  <c r="AA113" i="45"/>
  <c r="AA91" i="45"/>
  <c r="AA114" i="45" s="1"/>
  <c r="AB114" i="46"/>
  <c r="AB119" i="46" s="1"/>
  <c r="AB115" i="46"/>
  <c r="AB120" i="46" s="1"/>
  <c r="AB116" i="46"/>
  <c r="AB121" i="46" s="1"/>
  <c r="AB112" i="48"/>
  <c r="AB113" i="46"/>
  <c r="AB118" i="46" s="1"/>
  <c r="AB117" i="46"/>
  <c r="AD36" i="46"/>
  <c r="AD42" i="46" s="1"/>
  <c r="AD82" i="46" s="1"/>
  <c r="AB86" i="46"/>
  <c r="AB91" i="46" s="1"/>
  <c r="AB83" i="46"/>
  <c r="AB88" i="46" s="1"/>
  <c r="AB84" i="46"/>
  <c r="AB89" i="46" s="1"/>
  <c r="AB82" i="48"/>
  <c r="AB85" i="46"/>
  <c r="AB90" i="46" s="1"/>
  <c r="AB87" i="46"/>
  <c r="AF67" i="45"/>
  <c r="AA109" i="45"/>
  <c r="AF34" i="45"/>
  <c r="AC109" i="45"/>
  <c r="AB76" i="45"/>
  <c r="BH76" i="45" s="1"/>
  <c r="AB90" i="45"/>
  <c r="BH90" i="45" s="1"/>
  <c r="BH91" i="45" s="1"/>
  <c r="AZ126" i="45"/>
  <c r="AC76" i="45"/>
  <c r="AB97" i="45"/>
  <c r="AB100" i="45" s="1"/>
  <c r="AH105" i="45"/>
  <c r="BN105" i="45" s="1"/>
  <c r="BD119" i="45"/>
  <c r="BB119" i="45"/>
  <c r="BB123" i="45" s="1"/>
  <c r="AB106" i="45"/>
  <c r="BH106" i="45" s="1"/>
  <c r="BH109" i="45" s="1"/>
  <c r="AG33" i="45"/>
  <c r="AE70" i="45"/>
  <c r="BG116" i="45"/>
  <c r="BK59" i="45"/>
  <c r="BK72" i="45" s="1"/>
  <c r="BK60" i="45"/>
  <c r="BK73" i="45" s="1"/>
  <c r="BL68" i="45"/>
  <c r="AA118" i="45"/>
  <c r="BF115" i="45"/>
  <c r="BM30" i="45"/>
  <c r="AF68" i="45"/>
  <c r="BM33" i="45"/>
  <c r="BJ71" i="45"/>
  <c r="AD71" i="45"/>
  <c r="BH94" i="45"/>
  <c r="AB94" i="45"/>
  <c r="BH93" i="45"/>
  <c r="AB93" i="45"/>
  <c r="BH111" i="45"/>
  <c r="BH112" i="45"/>
  <c r="BH110" i="45"/>
  <c r="AB112" i="45"/>
  <c r="AB110" i="45"/>
  <c r="AB111" i="45"/>
  <c r="BJ72" i="45"/>
  <c r="BG118" i="45"/>
  <c r="V374" i="48"/>
  <c r="BC125" i="45"/>
  <c r="BJ73" i="45"/>
  <c r="AD72" i="45"/>
  <c r="AB81" i="45"/>
  <c r="BH81" i="45"/>
  <c r="AB80" i="45"/>
  <c r="BH80" i="45"/>
  <c r="AB79" i="45"/>
  <c r="BH79" i="45"/>
  <c r="BL57" i="45"/>
  <c r="AE40" i="48" s="1"/>
  <c r="BH102" i="45"/>
  <c r="AB103" i="45"/>
  <c r="BH103" i="45"/>
  <c r="BH101" i="45"/>
  <c r="AB102" i="45"/>
  <c r="AB101" i="45"/>
  <c r="AA116" i="45"/>
  <c r="AD73" i="45"/>
  <c r="AD40" i="46"/>
  <c r="AE60" i="45"/>
  <c r="AE59" i="45"/>
  <c r="AE58" i="45"/>
  <c r="AF75" i="45"/>
  <c r="AE36" i="46"/>
  <c r="AE42" i="46" s="1"/>
  <c r="Z334" i="46"/>
  <c r="Z346" i="46" s="1"/>
  <c r="Z347" i="46" s="1"/>
  <c r="Z335" i="46"/>
  <c r="AA84" i="48"/>
  <c r="AA89" i="48" s="1"/>
  <c r="AA86" i="48"/>
  <c r="AA91" i="48" s="1"/>
  <c r="AA83" i="48"/>
  <c r="AA88" i="48" s="1"/>
  <c r="AA87" i="48"/>
  <c r="AA85" i="48"/>
  <c r="AA90" i="48" s="1"/>
  <c r="Y347" i="48"/>
  <c r="Y348" i="48"/>
  <c r="Y349" i="48" s="1"/>
  <c r="Y350" i="48" s="1"/>
  <c r="Y352" i="48" s="1"/>
  <c r="Z321" i="48"/>
  <c r="DS103" i="55" s="1"/>
  <c r="DS126" i="55" s="1"/>
  <c r="DS149" i="55" s="1"/>
  <c r="Z344" i="48"/>
  <c r="Z345" i="48" s="1"/>
  <c r="BN37" i="45"/>
  <c r="BN32" i="45"/>
  <c r="BN29" i="45"/>
  <c r="BN36" i="45"/>
  <c r="BN35" i="45"/>
  <c r="BN31" i="45"/>
  <c r="BN28" i="45"/>
  <c r="BN54" i="45"/>
  <c r="AB325" i="48"/>
  <c r="AB327" i="48"/>
  <c r="AB324" i="48"/>
  <c r="AB326" i="48"/>
  <c r="AC278" i="46"/>
  <c r="AC18" i="52" s="1"/>
  <c r="AB311" i="46"/>
  <c r="AA311" i="48"/>
  <c r="AA312" i="48" s="1"/>
  <c r="AB278" i="48"/>
  <c r="AA115" i="48"/>
  <c r="AA120" i="48" s="1"/>
  <c r="AA113" i="48"/>
  <c r="AA118" i="48" s="1"/>
  <c r="AA116" i="48"/>
  <c r="AA121" i="48" s="1"/>
  <c r="AA117" i="48"/>
  <c r="AA114" i="48"/>
  <c r="AA119" i="48" s="1"/>
  <c r="AA277" i="48"/>
  <c r="BK70" i="45"/>
  <c r="AG267" i="48"/>
  <c r="AG272" i="48" s="1"/>
  <c r="AG264" i="48"/>
  <c r="AG269" i="48" s="1"/>
  <c r="AG265" i="48"/>
  <c r="AG270" i="48" s="1"/>
  <c r="AG268" i="48"/>
  <c r="AG266" i="48"/>
  <c r="AG271" i="48" s="1"/>
  <c r="AD47" i="46"/>
  <c r="AD112" i="46"/>
  <c r="AD72" i="46"/>
  <c r="AD102" i="46"/>
  <c r="AA321" i="46"/>
  <c r="AA344" i="46"/>
  <c r="AA345" i="46" s="1"/>
  <c r="BC121" i="45"/>
  <c r="BC128" i="45" s="1"/>
  <c r="Z313" i="48"/>
  <c r="Z316" i="48"/>
  <c r="Z314" i="48"/>
  <c r="Z318" i="48"/>
  <c r="Z315" i="48"/>
  <c r="Z317" i="48"/>
  <c r="AD47" i="48"/>
  <c r="AA103" i="48"/>
  <c r="AA108" i="48" s="1"/>
  <c r="AA106" i="48"/>
  <c r="AA111" i="48" s="1"/>
  <c r="AA107" i="48"/>
  <c r="AA104" i="48"/>
  <c r="AA109" i="48" s="1"/>
  <c r="AA105" i="48"/>
  <c r="AA110" i="48" s="1"/>
  <c r="Z328" i="46"/>
  <c r="Z329" i="46"/>
  <c r="X119" i="45"/>
  <c r="AA76" i="48"/>
  <c r="AA81" i="48" s="1"/>
  <c r="AA77" i="48"/>
  <c r="AA75" i="48"/>
  <c r="AA80" i="48" s="1"/>
  <c r="AA73" i="48"/>
  <c r="AA78" i="48" s="1"/>
  <c r="AA74" i="48"/>
  <c r="AA79" i="48" s="1"/>
  <c r="W366" i="48"/>
  <c r="BD104" i="55" s="1"/>
  <c r="BD127" i="55" s="1"/>
  <c r="BD150" i="55" s="1"/>
  <c r="BL67" i="45"/>
  <c r="BL34" i="45"/>
  <c r="AE36" i="48" s="1"/>
  <c r="AE42" i="48" s="1"/>
  <c r="BM55" i="45"/>
  <c r="BM56" i="45"/>
  <c r="X357" i="48"/>
  <c r="X364" i="48" s="1"/>
  <c r="U368" i="48"/>
  <c r="U373" i="48"/>
  <c r="W366" i="46"/>
  <c r="X104" i="55" s="1"/>
  <c r="X127" i="55" s="1"/>
  <c r="X150" i="55" s="1"/>
  <c r="AC47" i="46"/>
  <c r="AC102" i="46"/>
  <c r="AC72" i="46"/>
  <c r="AC82" i="46"/>
  <c r="AC112" i="46"/>
  <c r="AF57" i="45"/>
  <c r="BJ75" i="45"/>
  <c r="BK104" i="45"/>
  <c r="AG55" i="45"/>
  <c r="AG56" i="45"/>
  <c r="AH29" i="45"/>
  <c r="AH31" i="45"/>
  <c r="AH35" i="45"/>
  <c r="AH32" i="45"/>
  <c r="AH37" i="45"/>
  <c r="AH54" i="45"/>
  <c r="AH36" i="45"/>
  <c r="AG30" i="45"/>
  <c r="V119" i="45" l="1"/>
  <c r="U368" i="46"/>
  <c r="U373" i="46"/>
  <c r="V104" i="55"/>
  <c r="V127" i="55" s="1"/>
  <c r="V150" i="55" s="1"/>
  <c r="V107" i="55"/>
  <c r="V130" i="55" s="1"/>
  <c r="V153" i="55" s="1"/>
  <c r="X333" i="46"/>
  <c r="X332" i="46"/>
  <c r="X336" i="46" s="1"/>
  <c r="AA331" i="48"/>
  <c r="AA330" i="48"/>
  <c r="T130" i="45"/>
  <c r="T48" i="58" s="1"/>
  <c r="T129" i="45"/>
  <c r="T43" i="58" s="1"/>
  <c r="T131" i="45"/>
  <c r="T53" i="58" s="1"/>
  <c r="W121" i="45"/>
  <c r="W128" i="45" s="1"/>
  <c r="U44" i="58"/>
  <c r="U54" i="58"/>
  <c r="W123" i="45"/>
  <c r="W124" i="45"/>
  <c r="U49" i="58"/>
  <c r="X364" i="46"/>
  <c r="Y120" i="45"/>
  <c r="Y122" i="45" s="1"/>
  <c r="T126" i="45"/>
  <c r="AA115" i="45"/>
  <c r="W125" i="45"/>
  <c r="AA318" i="46"/>
  <c r="CN111" i="55" s="1"/>
  <c r="CN134" i="55" s="1"/>
  <c r="CN157" i="55" s="1"/>
  <c r="AA317" i="46"/>
  <c r="CN110" i="55" s="1"/>
  <c r="CN133" i="55" s="1"/>
  <c r="CN156" i="55" s="1"/>
  <c r="V374" i="46"/>
  <c r="AA315" i="46"/>
  <c r="CN108" i="55" s="1"/>
  <c r="CN131" i="55" s="1"/>
  <c r="CN154" i="55" s="1"/>
  <c r="AA313" i="46"/>
  <c r="AA314" i="46"/>
  <c r="CN107" i="55" s="1"/>
  <c r="CN130" i="55" s="1"/>
  <c r="CN153" i="55" s="1"/>
  <c r="AA316" i="46"/>
  <c r="CN109" i="55" s="1"/>
  <c r="CN132" i="55" s="1"/>
  <c r="CN155" i="55" s="1"/>
  <c r="BE157" i="55"/>
  <c r="DQ157" i="55" s="1"/>
  <c r="DQ134" i="55"/>
  <c r="BE154" i="55"/>
  <c r="DQ154" i="55" s="1"/>
  <c r="DQ131" i="55"/>
  <c r="BE156" i="55"/>
  <c r="DQ156" i="55" s="1"/>
  <c r="DQ133" i="55"/>
  <c r="BE155" i="55"/>
  <c r="DQ155" i="55" s="1"/>
  <c r="DQ132" i="55"/>
  <c r="BG113" i="45"/>
  <c r="BG114" i="45"/>
  <c r="BG78" i="45"/>
  <c r="Y330" i="46"/>
  <c r="Y331" i="46"/>
  <c r="Z330" i="48"/>
  <c r="Z331" i="48"/>
  <c r="AC334" i="48"/>
  <c r="AC346" i="48" s="1"/>
  <c r="AC335" i="48"/>
  <c r="BG100" i="45"/>
  <c r="AA324" i="46"/>
  <c r="AA325" i="46"/>
  <c r="AA327" i="46"/>
  <c r="AA326" i="46"/>
  <c r="Y348" i="46"/>
  <c r="Y351" i="46" s="1"/>
  <c r="Z342" i="46"/>
  <c r="AA111" i="55" s="1"/>
  <c r="AA134" i="55" s="1"/>
  <c r="AA157" i="55" s="1"/>
  <c r="Z338" i="46"/>
  <c r="Z340" i="46"/>
  <c r="AA109" i="55" s="1"/>
  <c r="AA132" i="55" s="1"/>
  <c r="AA155" i="55" s="1"/>
  <c r="Z337" i="46"/>
  <c r="Z341" i="46"/>
  <c r="AA110" i="55" s="1"/>
  <c r="AA133" i="55" s="1"/>
  <c r="AA156" i="55" s="1"/>
  <c r="Y338" i="48"/>
  <c r="Y339" i="48"/>
  <c r="BF108" i="55" s="1"/>
  <c r="Y337" i="48"/>
  <c r="Y342" i="48"/>
  <c r="BF111" i="55" s="1"/>
  <c r="Y340" i="48"/>
  <c r="BF109" i="55" s="1"/>
  <c r="AC329" i="48"/>
  <c r="AC80" i="45"/>
  <c r="AC79" i="45"/>
  <c r="BI80" i="45"/>
  <c r="AB77" i="48"/>
  <c r="AB74" i="48"/>
  <c r="AB79" i="48" s="1"/>
  <c r="AB76" i="48"/>
  <c r="AB81" i="48" s="1"/>
  <c r="AB75" i="48"/>
  <c r="AB80" i="48" s="1"/>
  <c r="AB73" i="48"/>
  <c r="AB78" i="48" s="1"/>
  <c r="AC81" i="45"/>
  <c r="BI81" i="45"/>
  <c r="BI79" i="45"/>
  <c r="DP104" i="55"/>
  <c r="DP127" i="55" s="1"/>
  <c r="DP150" i="55" s="1"/>
  <c r="AZ44" i="58"/>
  <c r="BF133" i="55"/>
  <c r="DR110" i="55"/>
  <c r="AG68" i="45"/>
  <c r="BB130" i="55"/>
  <c r="DN107" i="55"/>
  <c r="BA49" i="58"/>
  <c r="BC153" i="55"/>
  <c r="DO153" i="55" s="1"/>
  <c r="DO130" i="55"/>
  <c r="AZ49" i="58"/>
  <c r="AZ54" i="58"/>
  <c r="BA44" i="58"/>
  <c r="BC131" i="45"/>
  <c r="BC53" i="58" s="1"/>
  <c r="BC129" i="45"/>
  <c r="BC43" i="58" s="1"/>
  <c r="BC130" i="45"/>
  <c r="BC48" i="58" s="1"/>
  <c r="BA54" i="58"/>
  <c r="BH117" i="45"/>
  <c r="AB117" i="45"/>
  <c r="AB323" i="46"/>
  <c r="AB320" i="46"/>
  <c r="Z322" i="48"/>
  <c r="BG103" i="55"/>
  <c r="BG126" i="55" s="1"/>
  <c r="BG149" i="55" s="1"/>
  <c r="X107" i="55"/>
  <c r="X130" i="55" s="1"/>
  <c r="X153" i="55" s="1"/>
  <c r="AA322" i="46"/>
  <c r="AA339" i="46" s="1"/>
  <c r="AB108" i="55" s="1"/>
  <c r="AB131" i="55" s="1"/>
  <c r="AB154" i="55" s="1"/>
  <c r="AB103" i="55"/>
  <c r="AB126" i="55" s="1"/>
  <c r="AB149" i="55" s="1"/>
  <c r="BD107" i="55"/>
  <c r="AB312" i="46"/>
  <c r="CO103" i="55"/>
  <c r="CO126" i="55" s="1"/>
  <c r="CO149" i="55" s="1"/>
  <c r="AD319" i="48"/>
  <c r="AD323" i="48" s="1"/>
  <c r="AD319" i="46"/>
  <c r="AD323" i="46" s="1"/>
  <c r="AB321" i="46"/>
  <c r="AC319" i="46"/>
  <c r="AC320" i="46" s="1"/>
  <c r="AB78" i="45"/>
  <c r="AB344" i="46"/>
  <c r="AB345" i="46" s="1"/>
  <c r="AB109" i="45"/>
  <c r="BB124" i="45"/>
  <c r="AC90" i="45"/>
  <c r="AB87" i="48"/>
  <c r="AB84" i="48"/>
  <c r="AB89" i="48" s="1"/>
  <c r="AB86" i="48"/>
  <c r="AB91" i="48" s="1"/>
  <c r="AB85" i="48"/>
  <c r="AB90" i="48" s="1"/>
  <c r="AB83" i="48"/>
  <c r="AB88" i="48" s="1"/>
  <c r="AC97" i="45"/>
  <c r="BN33" i="45"/>
  <c r="BI94" i="45"/>
  <c r="AC93" i="45"/>
  <c r="AC94" i="45"/>
  <c r="BI93" i="45"/>
  <c r="AC102" i="45"/>
  <c r="BI102" i="45"/>
  <c r="BI101" i="45"/>
  <c r="BI103" i="45"/>
  <c r="AC101" i="45"/>
  <c r="AC103" i="45"/>
  <c r="AB113" i="48"/>
  <c r="AB118" i="48" s="1"/>
  <c r="AB277" i="48"/>
  <c r="AB117" i="48"/>
  <c r="AB116" i="48"/>
  <c r="AB121" i="48" s="1"/>
  <c r="AB115" i="48"/>
  <c r="AB120" i="48" s="1"/>
  <c r="AB114" i="48"/>
  <c r="AB119" i="48" s="1"/>
  <c r="AB113" i="45"/>
  <c r="BL70" i="45"/>
  <c r="BH97" i="45"/>
  <c r="BH113" i="45" s="1"/>
  <c r="BM67" i="45"/>
  <c r="AB91" i="45"/>
  <c r="AB114" i="45" s="1"/>
  <c r="AF70" i="45"/>
  <c r="BC126" i="45"/>
  <c r="BI76" i="45"/>
  <c r="AC78" i="45"/>
  <c r="BE119" i="45"/>
  <c r="BN30" i="45"/>
  <c r="BM34" i="45"/>
  <c r="AF36" i="48" s="1"/>
  <c r="AF42" i="48" s="1"/>
  <c r="AF47" i="48" s="1"/>
  <c r="BH116" i="45"/>
  <c r="BM68" i="45"/>
  <c r="AD274" i="46"/>
  <c r="AE73" i="45"/>
  <c r="BH118" i="45"/>
  <c r="AE40" i="46"/>
  <c r="AF59" i="45"/>
  <c r="AF60" i="45"/>
  <c r="AF58" i="45"/>
  <c r="AF71" i="45" s="1"/>
  <c r="AB116" i="45"/>
  <c r="AB118" i="45"/>
  <c r="AG57" i="45"/>
  <c r="AG104" i="45" s="1"/>
  <c r="AE71" i="45"/>
  <c r="U374" i="48"/>
  <c r="BB125" i="45"/>
  <c r="X366" i="48"/>
  <c r="BE104" i="55" s="1"/>
  <c r="BE127" i="55" s="1"/>
  <c r="BE150" i="55" s="1"/>
  <c r="AE72" i="45"/>
  <c r="BL59" i="45"/>
  <c r="BL60" i="45"/>
  <c r="BL58" i="45"/>
  <c r="W368" i="48"/>
  <c r="BD120" i="45"/>
  <c r="AC113" i="46"/>
  <c r="AC118" i="46" s="1"/>
  <c r="AC116" i="46"/>
  <c r="AC121" i="46" s="1"/>
  <c r="AC115" i="46"/>
  <c r="AC120" i="46" s="1"/>
  <c r="AC112" i="48"/>
  <c r="AC117" i="46"/>
  <c r="AC114" i="46"/>
  <c r="AC119" i="46" s="1"/>
  <c r="AC277" i="46"/>
  <c r="Z348" i="48"/>
  <c r="Z347" i="48"/>
  <c r="AF104" i="45"/>
  <c r="AC85" i="46"/>
  <c r="AC90" i="46" s="1"/>
  <c r="AC84" i="46"/>
  <c r="AC89" i="46" s="1"/>
  <c r="AC82" i="48"/>
  <c r="AC83" i="46"/>
  <c r="AC88" i="46" s="1"/>
  <c r="AC87" i="46"/>
  <c r="AC86" i="46"/>
  <c r="AC91" i="46" s="1"/>
  <c r="BH114" i="45"/>
  <c r="BH78" i="45"/>
  <c r="AD104" i="46"/>
  <c r="AD109" i="46" s="1"/>
  <c r="AD106" i="46"/>
  <c r="AD111" i="46" s="1"/>
  <c r="AD102" i="48"/>
  <c r="AD105" i="46"/>
  <c r="AD110" i="46" s="1"/>
  <c r="AD107" i="46"/>
  <c r="AD103" i="46"/>
  <c r="AD108" i="46" s="1"/>
  <c r="AA321" i="48"/>
  <c r="DT103" i="55" s="1"/>
  <c r="DT126" i="55" s="1"/>
  <c r="DT149" i="55" s="1"/>
  <c r="AA344" i="48"/>
  <c r="AA345" i="48" s="1"/>
  <c r="AD85" i="46"/>
  <c r="AD90" i="46" s="1"/>
  <c r="AD82" i="48"/>
  <c r="AD83" i="46"/>
  <c r="AD88" i="46" s="1"/>
  <c r="AD86" i="46"/>
  <c r="AD91" i="46" s="1"/>
  <c r="AD87" i="46"/>
  <c r="AD84" i="46"/>
  <c r="AD89" i="46" s="1"/>
  <c r="AB335" i="48"/>
  <c r="AB334" i="48"/>
  <c r="AB346" i="48" s="1"/>
  <c r="AC72" i="48"/>
  <c r="AC76" i="46"/>
  <c r="AC81" i="46" s="1"/>
  <c r="AC75" i="46"/>
  <c r="AC80" i="46" s="1"/>
  <c r="AC74" i="46"/>
  <c r="AC79" i="46" s="1"/>
  <c r="AC73" i="46"/>
  <c r="AC78" i="46" s="1"/>
  <c r="AC77" i="46"/>
  <c r="W368" i="46"/>
  <c r="X120" i="45"/>
  <c r="X122" i="45" s="1"/>
  <c r="BM57" i="45"/>
  <c r="W373" i="46"/>
  <c r="Z331" i="46"/>
  <c r="Z330" i="46"/>
  <c r="AD72" i="48"/>
  <c r="AD73" i="46"/>
  <c r="AD78" i="46" s="1"/>
  <c r="AD76" i="46"/>
  <c r="AD81" i="46" s="1"/>
  <c r="AD74" i="46"/>
  <c r="AD79" i="46" s="1"/>
  <c r="AD75" i="46"/>
  <c r="AD80" i="46" s="1"/>
  <c r="AD77" i="46"/>
  <c r="AB311" i="48"/>
  <c r="AB312" i="48" s="1"/>
  <c r="AC278" i="48"/>
  <c r="AB328" i="48"/>
  <c r="AB329" i="48"/>
  <c r="Y351" i="48"/>
  <c r="AE47" i="46"/>
  <c r="AE72" i="46"/>
  <c r="AE112" i="46"/>
  <c r="AE82" i="46"/>
  <c r="AE102" i="46"/>
  <c r="AC274" i="46"/>
  <c r="AC106" i="46"/>
  <c r="AC111" i="46" s="1"/>
  <c r="AC105" i="46"/>
  <c r="AC110" i="46" s="1"/>
  <c r="AC104" i="46"/>
  <c r="AC109" i="46" s="1"/>
  <c r="AC102" i="48"/>
  <c r="AC103" i="46"/>
  <c r="AC108" i="46" s="1"/>
  <c r="AC107" i="46"/>
  <c r="AE47" i="48"/>
  <c r="AD274" i="48"/>
  <c r="W373" i="48"/>
  <c r="AD115" i="46"/>
  <c r="AD120" i="46" s="1"/>
  <c r="AD117" i="46"/>
  <c r="AD113" i="46"/>
  <c r="AD118" i="46" s="1"/>
  <c r="AD112" i="48"/>
  <c r="AD114" i="46"/>
  <c r="AD119" i="46" s="1"/>
  <c r="AD116" i="46"/>
  <c r="AD121" i="46" s="1"/>
  <c r="AD277" i="46"/>
  <c r="AA314" i="48"/>
  <c r="AA315" i="48"/>
  <c r="AA317" i="48"/>
  <c r="AA318" i="48"/>
  <c r="AA313" i="48"/>
  <c r="AA316" i="48"/>
  <c r="AC311" i="46"/>
  <c r="AD278" i="46"/>
  <c r="AD18" i="52" s="1"/>
  <c r="BN56" i="45"/>
  <c r="BN55" i="45"/>
  <c r="Z348" i="46"/>
  <c r="AH30" i="45"/>
  <c r="BL104" i="45"/>
  <c r="BK75" i="45"/>
  <c r="AG67" i="45"/>
  <c r="AG34" i="45"/>
  <c r="AH55" i="45"/>
  <c r="AH56" i="45"/>
  <c r="AH33" i="45"/>
  <c r="V124" i="45" l="1"/>
  <c r="V123" i="45"/>
  <c r="V121" i="45"/>
  <c r="V128" i="45" s="1"/>
  <c r="U374" i="46"/>
  <c r="V125" i="45"/>
  <c r="T49" i="58"/>
  <c r="AA332" i="48"/>
  <c r="AA336" i="48" s="1"/>
  <c r="AA333" i="48"/>
  <c r="T54" i="58"/>
  <c r="T44" i="58"/>
  <c r="W130" i="45"/>
  <c r="W48" i="58" s="1"/>
  <c r="W131" i="45"/>
  <c r="W53" i="58" s="1"/>
  <c r="W129" i="45"/>
  <c r="W43" i="58" s="1"/>
  <c r="W126" i="45"/>
  <c r="BF131" i="55"/>
  <c r="Y104" i="55"/>
  <c r="Y127" i="55" s="1"/>
  <c r="Y150" i="55" s="1"/>
  <c r="Y107" i="55"/>
  <c r="Y130" i="55" s="1"/>
  <c r="Y153" i="55" s="1"/>
  <c r="Y119" i="45"/>
  <c r="X368" i="46"/>
  <c r="X373" i="46"/>
  <c r="X374" i="46" s="1"/>
  <c r="DR108" i="55"/>
  <c r="BF134" i="55"/>
  <c r="DR111" i="55"/>
  <c r="BF132" i="55"/>
  <c r="DR109" i="55"/>
  <c r="Y124" i="45"/>
  <c r="AB315" i="46"/>
  <c r="CO108" i="55" s="1"/>
  <c r="CO131" i="55" s="1"/>
  <c r="CO154" i="55" s="1"/>
  <c r="AB313" i="46"/>
  <c r="AB314" i="46"/>
  <c r="CO107" i="55" s="1"/>
  <c r="CO130" i="55" s="1"/>
  <c r="CO153" i="55" s="1"/>
  <c r="AB317" i="46"/>
  <c r="CO110" i="55" s="1"/>
  <c r="CO133" i="55" s="1"/>
  <c r="CO156" i="55" s="1"/>
  <c r="AB316" i="46"/>
  <c r="CO109" i="55" s="1"/>
  <c r="CO132" i="55" s="1"/>
  <c r="CO155" i="55" s="1"/>
  <c r="AB318" i="46"/>
  <c r="CO111" i="55" s="1"/>
  <c r="CO134" i="55" s="1"/>
  <c r="CO157" i="55" s="1"/>
  <c r="BG115" i="45"/>
  <c r="Y349" i="46"/>
  <c r="Y350" i="46" s="1"/>
  <c r="Y352" i="46" s="1"/>
  <c r="BI116" i="45"/>
  <c r="AA334" i="46"/>
  <c r="AA346" i="46" s="1"/>
  <c r="AA347" i="46" s="1"/>
  <c r="AA335" i="46"/>
  <c r="Z332" i="48"/>
  <c r="Z336" i="48" s="1"/>
  <c r="Z333" i="48"/>
  <c r="Y333" i="46"/>
  <c r="Y332" i="46"/>
  <c r="Y336" i="46" s="1"/>
  <c r="Y356" i="46"/>
  <c r="AA329" i="46"/>
  <c r="AA328" i="46"/>
  <c r="BH100" i="45"/>
  <c r="Z342" i="48"/>
  <c r="BG111" i="55" s="1"/>
  <c r="Z340" i="48"/>
  <c r="BG109" i="55" s="1"/>
  <c r="Z338" i="48"/>
  <c r="Z337" i="48"/>
  <c r="Z341" i="48"/>
  <c r="BG110" i="55" s="1"/>
  <c r="Z339" i="48"/>
  <c r="BG108" i="55" s="1"/>
  <c r="AC330" i="48"/>
  <c r="AC331" i="48"/>
  <c r="AC116" i="45"/>
  <c r="AA338" i="46"/>
  <c r="AA342" i="46"/>
  <c r="AB111" i="55" s="1"/>
  <c r="AB134" i="55" s="1"/>
  <c r="AB157" i="55" s="1"/>
  <c r="AG70" i="45"/>
  <c r="AA337" i="46"/>
  <c r="AA340" i="46"/>
  <c r="AB109" i="55" s="1"/>
  <c r="AB132" i="55" s="1"/>
  <c r="AB155" i="55" s="1"/>
  <c r="AA341" i="46"/>
  <c r="AB110" i="55" s="1"/>
  <c r="AB133" i="55" s="1"/>
  <c r="AB156" i="55" s="1"/>
  <c r="AD320" i="46"/>
  <c r="BC54" i="58"/>
  <c r="AC323" i="46"/>
  <c r="AC324" i="46" s="1"/>
  <c r="BN34" i="45"/>
  <c r="AG36" i="48" s="1"/>
  <c r="AG42" i="48" s="1"/>
  <c r="AG47" i="48" s="1"/>
  <c r="AG319" i="48" s="1"/>
  <c r="AG323" i="48" s="1"/>
  <c r="CH8" i="45"/>
  <c r="BD130" i="55"/>
  <c r="DP107" i="55"/>
  <c r="BB153" i="55"/>
  <c r="DN153" i="55" s="1"/>
  <c r="DN130" i="55"/>
  <c r="BF156" i="55"/>
  <c r="DR156" i="55" s="1"/>
  <c r="DR133" i="55"/>
  <c r="CH9" i="45"/>
  <c r="DQ104" i="55"/>
  <c r="DQ127" i="55" s="1"/>
  <c r="DQ150" i="55" s="1"/>
  <c r="BC49" i="58"/>
  <c r="BC44" i="58"/>
  <c r="AC117" i="45"/>
  <c r="BI117" i="45"/>
  <c r="AB327" i="46"/>
  <c r="AB326" i="46"/>
  <c r="AB324" i="46"/>
  <c r="AB325" i="46"/>
  <c r="AA322" i="48"/>
  <c r="AA341" i="48" s="1"/>
  <c r="BH110" i="55" s="1"/>
  <c r="BH103" i="55"/>
  <c r="BH126" i="55" s="1"/>
  <c r="BH149" i="55" s="1"/>
  <c r="BE107" i="55"/>
  <c r="AC312" i="46"/>
  <c r="AC318" i="46" s="1"/>
  <c r="CP111" i="55" s="1"/>
  <c r="CP134" i="55" s="1"/>
  <c r="CP157" i="55" s="1"/>
  <c r="CP103" i="55"/>
  <c r="CP126" i="55" s="1"/>
  <c r="CP149" i="55" s="1"/>
  <c r="AB322" i="46"/>
  <c r="AB340" i="46" s="1"/>
  <c r="AC109" i="55" s="1"/>
  <c r="AC132" i="55" s="1"/>
  <c r="AC155" i="55" s="1"/>
  <c r="AC103" i="55"/>
  <c r="AC126" i="55" s="1"/>
  <c r="AC149" i="55" s="1"/>
  <c r="AF319" i="48"/>
  <c r="AF323" i="48" s="1"/>
  <c r="AF327" i="48" s="1"/>
  <c r="BN67" i="45"/>
  <c r="AD320" i="48"/>
  <c r="BN68" i="45"/>
  <c r="AE319" i="48"/>
  <c r="AE320" i="48" s="1"/>
  <c r="AE319" i="46"/>
  <c r="AB115" i="45"/>
  <c r="AC118" i="45"/>
  <c r="BM70" i="45"/>
  <c r="BI118" i="45"/>
  <c r="BI90" i="45"/>
  <c r="BI91" i="45" s="1"/>
  <c r="BI114" i="45" s="1"/>
  <c r="AC91" i="45"/>
  <c r="AC114" i="45" s="1"/>
  <c r="AB321" i="48"/>
  <c r="DU103" i="55" s="1"/>
  <c r="DU126" i="55" s="1"/>
  <c r="DU149" i="55" s="1"/>
  <c r="AB344" i="48"/>
  <c r="AB345" i="48" s="1"/>
  <c r="AB347" i="48" s="1"/>
  <c r="BI97" i="45"/>
  <c r="AC100" i="45"/>
  <c r="AC113" i="45"/>
  <c r="BH115" i="45"/>
  <c r="AE90" i="45"/>
  <c r="BK90" i="45" s="1"/>
  <c r="BK91" i="45" s="1"/>
  <c r="AE106" i="45"/>
  <c r="AD90" i="45"/>
  <c r="BE120" i="45"/>
  <c r="BE122" i="45" s="1"/>
  <c r="BB126" i="45"/>
  <c r="AE76" i="45"/>
  <c r="BK76" i="45" s="1"/>
  <c r="BK78" i="45" s="1"/>
  <c r="BI78" i="45"/>
  <c r="AE97" i="45"/>
  <c r="BK97" i="45" s="1"/>
  <c r="AD97" i="45"/>
  <c r="BJ97" i="45" s="1"/>
  <c r="AD106" i="45"/>
  <c r="AD76" i="45"/>
  <c r="BJ76" i="45" s="1"/>
  <c r="AF274" i="48"/>
  <c r="X368" i="48"/>
  <c r="AE274" i="48"/>
  <c r="AE274" i="46"/>
  <c r="AE110" i="45"/>
  <c r="W374" i="48"/>
  <c r="BD125" i="45"/>
  <c r="BJ110" i="45"/>
  <c r="BJ111" i="45"/>
  <c r="AD110" i="45"/>
  <c r="BJ112" i="45"/>
  <c r="AD111" i="45"/>
  <c r="AD112" i="45"/>
  <c r="AE94" i="45"/>
  <c r="AE93" i="45"/>
  <c r="BK93" i="45"/>
  <c r="BK94" i="45"/>
  <c r="AD93" i="45"/>
  <c r="AD94" i="45"/>
  <c r="BJ94" i="45"/>
  <c r="BJ93" i="45"/>
  <c r="BK103" i="45"/>
  <c r="BK101" i="45"/>
  <c r="BK102" i="45"/>
  <c r="AE101" i="45"/>
  <c r="AE103" i="45"/>
  <c r="AE102" i="45"/>
  <c r="AE79" i="45"/>
  <c r="AE80" i="45"/>
  <c r="BK80" i="45"/>
  <c r="BK81" i="45"/>
  <c r="BK79" i="45"/>
  <c r="AE81" i="45"/>
  <c r="BD122" i="45"/>
  <c r="BD123" i="45"/>
  <c r="BD124" i="45"/>
  <c r="BL71" i="45"/>
  <c r="X123" i="45"/>
  <c r="AF40" i="46"/>
  <c r="AG58" i="45"/>
  <c r="AG59" i="45"/>
  <c r="AG60" i="45"/>
  <c r="AF73" i="45"/>
  <c r="BM60" i="45"/>
  <c r="BM73" i="45" s="1"/>
  <c r="BM59" i="45"/>
  <c r="BM58" i="45"/>
  <c r="BM71" i="45" s="1"/>
  <c r="BK112" i="45"/>
  <c r="BK110" i="45"/>
  <c r="BK111" i="45"/>
  <c r="BL73" i="45"/>
  <c r="AE111" i="45"/>
  <c r="X124" i="45"/>
  <c r="AF72" i="45"/>
  <c r="X121" i="45"/>
  <c r="X128" i="45" s="1"/>
  <c r="BJ106" i="45"/>
  <c r="BJ109" i="45" s="1"/>
  <c r="AD109" i="45"/>
  <c r="X373" i="48"/>
  <c r="BJ79" i="45"/>
  <c r="BJ81" i="45"/>
  <c r="BJ80" i="45"/>
  <c r="AD79" i="45"/>
  <c r="AD80" i="45"/>
  <c r="AD81" i="45"/>
  <c r="BK106" i="45"/>
  <c r="BK109" i="45" s="1"/>
  <c r="AE109" i="45"/>
  <c r="BJ102" i="45"/>
  <c r="BJ101" i="45"/>
  <c r="AD102" i="45"/>
  <c r="AD101" i="45"/>
  <c r="AD103" i="45"/>
  <c r="BJ103" i="45"/>
  <c r="BL72" i="45"/>
  <c r="AE112" i="45"/>
  <c r="AC314" i="46"/>
  <c r="CP107" i="55" s="1"/>
  <c r="CP130" i="55" s="1"/>
  <c r="CP153" i="55" s="1"/>
  <c r="AC317" i="46"/>
  <c r="CP110" i="55" s="1"/>
  <c r="CP133" i="55" s="1"/>
  <c r="CP156" i="55" s="1"/>
  <c r="AD113" i="48"/>
  <c r="AD118" i="48" s="1"/>
  <c r="AD117" i="48"/>
  <c r="AD114" i="48"/>
  <c r="AD119" i="48" s="1"/>
  <c r="AD116" i="48"/>
  <c r="AD121" i="48" s="1"/>
  <c r="AD115" i="48"/>
  <c r="AD120" i="48" s="1"/>
  <c r="AD277" i="48"/>
  <c r="AE72" i="48"/>
  <c r="AE76" i="46"/>
  <c r="AE81" i="46" s="1"/>
  <c r="AE77" i="46"/>
  <c r="AE75" i="46"/>
  <c r="AE80" i="46" s="1"/>
  <c r="AE73" i="46"/>
  <c r="AE78" i="46" s="1"/>
  <c r="AE74" i="46"/>
  <c r="AE79" i="46" s="1"/>
  <c r="AB316" i="48"/>
  <c r="AB315" i="48"/>
  <c r="AB318" i="48"/>
  <c r="AB314" i="48"/>
  <c r="AB313" i="48"/>
  <c r="AB317" i="48"/>
  <c r="AC87" i="48"/>
  <c r="AC84" i="48"/>
  <c r="AC89" i="48" s="1"/>
  <c r="AC83" i="48"/>
  <c r="AC88" i="48" s="1"/>
  <c r="AC86" i="48"/>
  <c r="AC91" i="48" s="1"/>
  <c r="AC85" i="48"/>
  <c r="AC90" i="48" s="1"/>
  <c r="BN57" i="45"/>
  <c r="AD344" i="46"/>
  <c r="AD345" i="46" s="1"/>
  <c r="AD321" i="46"/>
  <c r="AE105" i="46"/>
  <c r="AE110" i="46" s="1"/>
  <c r="AE102" i="48"/>
  <c r="AE103" i="46"/>
  <c r="AE108" i="46" s="1"/>
  <c r="AE107" i="46"/>
  <c r="AE106" i="46"/>
  <c r="AE111" i="46" s="1"/>
  <c r="AE104" i="46"/>
  <c r="AE109" i="46" s="1"/>
  <c r="Z332" i="46"/>
  <c r="Z336" i="46" s="1"/>
  <c r="Z333" i="46"/>
  <c r="AC77" i="48"/>
  <c r="AC76" i="48"/>
  <c r="AC81" i="48" s="1"/>
  <c r="AC75" i="48"/>
  <c r="AC80" i="48" s="1"/>
  <c r="AC74" i="48"/>
  <c r="AC79" i="48" s="1"/>
  <c r="AC73" i="48"/>
  <c r="AC78" i="48" s="1"/>
  <c r="AD83" i="48"/>
  <c r="AD88" i="48" s="1"/>
  <c r="AD85" i="48"/>
  <c r="AD90" i="48" s="1"/>
  <c r="AD84" i="48"/>
  <c r="AD89" i="48" s="1"/>
  <c r="AD86" i="48"/>
  <c r="AD91" i="48" s="1"/>
  <c r="AD87" i="48"/>
  <c r="AD324" i="46"/>
  <c r="AD325" i="46"/>
  <c r="AD327" i="46"/>
  <c r="AD326" i="46"/>
  <c r="AD104" i="48"/>
  <c r="AD109" i="48" s="1"/>
  <c r="AD107" i="48"/>
  <c r="AD105" i="48"/>
  <c r="AD110" i="48" s="1"/>
  <c r="AD103" i="48"/>
  <c r="AD108" i="48" s="1"/>
  <c r="AD106" i="48"/>
  <c r="AD111" i="48" s="1"/>
  <c r="AG75" i="45"/>
  <c r="AF36" i="46"/>
  <c r="AF42" i="46" s="1"/>
  <c r="AF40" i="48"/>
  <c r="Z349" i="46"/>
  <c r="Z350" i="46" s="1"/>
  <c r="Z352" i="46" s="1"/>
  <c r="Z351" i="46"/>
  <c r="BD121" i="45"/>
  <c r="BD128" i="45" s="1"/>
  <c r="AE85" i="46"/>
  <c r="AE90" i="46" s="1"/>
  <c r="AE82" i="48"/>
  <c r="AE84" i="46"/>
  <c r="AE89" i="46" s="1"/>
  <c r="AE87" i="46"/>
  <c r="AE86" i="46"/>
  <c r="AE91" i="46" s="1"/>
  <c r="AE83" i="46"/>
  <c r="AE88" i="46" s="1"/>
  <c r="Y356" i="48"/>
  <c r="AD76" i="48"/>
  <c r="AD81" i="48" s="1"/>
  <c r="AD74" i="48"/>
  <c r="AD79" i="48" s="1"/>
  <c r="AD75" i="48"/>
  <c r="AD80" i="48" s="1"/>
  <c r="AD73" i="48"/>
  <c r="AD78" i="48" s="1"/>
  <c r="AD77" i="48"/>
  <c r="AD327" i="48"/>
  <c r="AD325" i="48"/>
  <c r="AD324" i="48"/>
  <c r="AD326" i="48"/>
  <c r="AA347" i="48"/>
  <c r="AA348" i="48"/>
  <c r="AA349" i="48" s="1"/>
  <c r="AA350" i="48" s="1"/>
  <c r="AA352" i="48" s="1"/>
  <c r="BB121" i="45"/>
  <c r="BB128" i="45" s="1"/>
  <c r="AC115" i="48"/>
  <c r="AC120" i="48" s="1"/>
  <c r="AC117" i="48"/>
  <c r="AC113" i="48"/>
  <c r="AC118" i="48" s="1"/>
  <c r="AC114" i="48"/>
  <c r="AC119" i="48" s="1"/>
  <c r="AC116" i="48"/>
  <c r="AC121" i="48" s="1"/>
  <c r="AC277" i="48"/>
  <c r="AD311" i="46"/>
  <c r="AE278" i="46"/>
  <c r="AE18" i="52" s="1"/>
  <c r="AC103" i="48"/>
  <c r="AC108" i="48" s="1"/>
  <c r="AC107" i="48"/>
  <c r="AC104" i="48"/>
  <c r="AC109" i="48" s="1"/>
  <c r="AC105" i="48"/>
  <c r="AC110" i="48" s="1"/>
  <c r="AC106" i="48"/>
  <c r="AC111" i="48" s="1"/>
  <c r="AE116" i="46"/>
  <c r="AE121" i="46" s="1"/>
  <c r="AE114" i="46"/>
  <c r="AE119" i="46" s="1"/>
  <c r="AE115" i="46"/>
  <c r="AE120" i="46" s="1"/>
  <c r="AE112" i="48"/>
  <c r="AE113" i="46"/>
  <c r="AE118" i="46" s="1"/>
  <c r="AE117" i="46"/>
  <c r="AE277" i="46"/>
  <c r="AB331" i="48"/>
  <c r="AB330" i="48"/>
  <c r="AD278" i="48"/>
  <c r="AC311" i="48"/>
  <c r="AC312" i="48" s="1"/>
  <c r="W374" i="46"/>
  <c r="X125" i="45"/>
  <c r="Z351" i="48"/>
  <c r="Z349" i="48"/>
  <c r="Z350" i="48" s="1"/>
  <c r="Z352" i="48" s="1"/>
  <c r="AC321" i="46"/>
  <c r="AC344" i="46"/>
  <c r="AC345" i="46" s="1"/>
  <c r="BM104" i="45"/>
  <c r="CF9" i="45"/>
  <c r="AH68" i="45"/>
  <c r="CE18" i="45" s="1"/>
  <c r="BL75" i="45"/>
  <c r="CF8" i="45"/>
  <c r="AH67" i="45"/>
  <c r="CD17" i="45" s="1"/>
  <c r="AH34" i="45"/>
  <c r="AH57" i="45"/>
  <c r="BM75" i="45"/>
  <c r="V131" i="45" l="1"/>
  <c r="V53" i="58" s="1"/>
  <c r="V129" i="45"/>
  <c r="V43" i="58" s="1"/>
  <c r="V130" i="45"/>
  <c r="V48" i="58" s="1"/>
  <c r="V126" i="45"/>
  <c r="W54" i="58"/>
  <c r="W49" i="58"/>
  <c r="W44" i="58"/>
  <c r="BF154" i="55"/>
  <c r="DR154" i="55" s="1"/>
  <c r="DR131" i="55"/>
  <c r="Y123" i="45"/>
  <c r="Y125" i="45"/>
  <c r="Y121" i="45"/>
  <c r="Y128" i="45" s="1"/>
  <c r="Y126" i="45"/>
  <c r="BF155" i="55"/>
  <c r="DR155" i="55" s="1"/>
  <c r="DR132" i="55"/>
  <c r="BF157" i="55"/>
  <c r="DR157" i="55" s="1"/>
  <c r="DR134" i="55"/>
  <c r="AA348" i="46"/>
  <c r="AA351" i="46" s="1"/>
  <c r="AA356" i="46" s="1"/>
  <c r="AA357" i="46" s="1"/>
  <c r="AA364" i="46" s="1"/>
  <c r="AE117" i="45"/>
  <c r="AG274" i="48"/>
  <c r="BG131" i="55"/>
  <c r="DS108" i="55"/>
  <c r="BG133" i="55"/>
  <c r="DS110" i="55"/>
  <c r="BG132" i="55"/>
  <c r="DS109" i="55"/>
  <c r="BG134" i="55"/>
  <c r="DS111" i="55"/>
  <c r="Y357" i="46"/>
  <c r="Y366" i="46" s="1"/>
  <c r="AE320" i="46"/>
  <c r="AE78" i="45"/>
  <c r="AC325" i="46"/>
  <c r="AE323" i="46"/>
  <c r="AD91" i="45"/>
  <c r="AC333" i="48"/>
  <c r="AC332" i="48"/>
  <c r="AC336" i="48" s="1"/>
  <c r="AF326" i="48"/>
  <c r="BJ90" i="45"/>
  <c r="BJ91" i="45" s="1"/>
  <c r="AC327" i="46"/>
  <c r="AA339" i="48"/>
  <c r="BH108" i="55" s="1"/>
  <c r="AA330" i="46"/>
  <c r="AA331" i="46"/>
  <c r="AA340" i="48"/>
  <c r="BH109" i="55" s="1"/>
  <c r="BN70" i="45"/>
  <c r="AB338" i="46"/>
  <c r="AB342" i="46"/>
  <c r="AC111" i="55" s="1"/>
  <c r="AC134" i="55" s="1"/>
  <c r="AC157" i="55" s="1"/>
  <c r="AD100" i="45"/>
  <c r="AB348" i="48"/>
  <c r="AB351" i="48" s="1"/>
  <c r="AB356" i="48" s="1"/>
  <c r="AC326" i="46"/>
  <c r="AC328" i="46" s="1"/>
  <c r="AE323" i="48"/>
  <c r="AE327" i="48" s="1"/>
  <c r="AC315" i="46"/>
  <c r="CP108" i="55" s="1"/>
  <c r="CP131" i="55" s="1"/>
  <c r="CP154" i="55" s="1"/>
  <c r="AA338" i="48"/>
  <c r="AC313" i="46"/>
  <c r="G69" i="60"/>
  <c r="H68" i="60" s="1"/>
  <c r="AF325" i="48"/>
  <c r="AA342" i="48"/>
  <c r="BH111" i="55" s="1"/>
  <c r="BH134" i="55" s="1"/>
  <c r="AF324" i="48"/>
  <c r="AC316" i="46"/>
  <c r="CP109" i="55" s="1"/>
  <c r="CP132" i="55" s="1"/>
  <c r="CP155" i="55" s="1"/>
  <c r="BK117" i="45"/>
  <c r="AA337" i="48"/>
  <c r="AF320" i="48"/>
  <c r="BE130" i="55"/>
  <c r="DQ107" i="55"/>
  <c r="BD153" i="55"/>
  <c r="DP153" i="55" s="1"/>
  <c r="DP130" i="55"/>
  <c r="BH133" i="55"/>
  <c r="DT110" i="55"/>
  <c r="X131" i="45"/>
  <c r="X53" i="58" s="1"/>
  <c r="X129" i="45"/>
  <c r="X43" i="58" s="1"/>
  <c r="X130" i="45"/>
  <c r="X48" i="58" s="1"/>
  <c r="BD131" i="45"/>
  <c r="BD53" i="58" s="1"/>
  <c r="BD130" i="45"/>
  <c r="BD48" i="58" s="1"/>
  <c r="BD129" i="45"/>
  <c r="BD43" i="58" s="1"/>
  <c r="BB131" i="45"/>
  <c r="BB53" i="58" s="1"/>
  <c r="BB129" i="45"/>
  <c r="BB43" i="58" s="1"/>
  <c r="BB130" i="45"/>
  <c r="BB48" i="58" s="1"/>
  <c r="AB341" i="46"/>
  <c r="AC110" i="55" s="1"/>
  <c r="AC133" i="55" s="1"/>
  <c r="AC156" i="55" s="1"/>
  <c r="AD117" i="45"/>
  <c r="BJ117" i="45"/>
  <c r="AB337" i="46"/>
  <c r="AB339" i="46"/>
  <c r="AC108" i="55" s="1"/>
  <c r="AC131" i="55" s="1"/>
  <c r="AC154" i="55" s="1"/>
  <c r="AD312" i="46"/>
  <c r="CQ103" i="55"/>
  <c r="CQ126" i="55" s="1"/>
  <c r="CQ149" i="55" s="1"/>
  <c r="AD322" i="46"/>
  <c r="AD338" i="46" s="1"/>
  <c r="AE103" i="55"/>
  <c r="AE126" i="55" s="1"/>
  <c r="AE149" i="55" s="1"/>
  <c r="AC322" i="46"/>
  <c r="AC341" i="46" s="1"/>
  <c r="AD110" i="55" s="1"/>
  <c r="AD133" i="55" s="1"/>
  <c r="AD156" i="55" s="1"/>
  <c r="AD103" i="55"/>
  <c r="AD126" i="55" s="1"/>
  <c r="AD149" i="55" s="1"/>
  <c r="AB329" i="46"/>
  <c r="AB328" i="46"/>
  <c r="AB335" i="46"/>
  <c r="AB334" i="46"/>
  <c r="AB322" i="48"/>
  <c r="AB339" i="48" s="1"/>
  <c r="BI108" i="55" s="1"/>
  <c r="BI103" i="55"/>
  <c r="BI126" i="55" s="1"/>
  <c r="BI149" i="55" s="1"/>
  <c r="AG320" i="48"/>
  <c r="BE121" i="45"/>
  <c r="BE128" i="45" s="1"/>
  <c r="BE123" i="45"/>
  <c r="BE124" i="45"/>
  <c r="AD113" i="45"/>
  <c r="AE91" i="45"/>
  <c r="AE114" i="45" s="1"/>
  <c r="AE100" i="45"/>
  <c r="AD78" i="45"/>
  <c r="AE113" i="45"/>
  <c r="AC115" i="45"/>
  <c r="BI113" i="45"/>
  <c r="BI115" i="45" s="1"/>
  <c r="BI100" i="45"/>
  <c r="AF106" i="45"/>
  <c r="BL106" i="45" s="1"/>
  <c r="BL109" i="45" s="1"/>
  <c r="X126" i="45"/>
  <c r="BD126" i="45"/>
  <c r="AF97" i="45"/>
  <c r="AF90" i="45"/>
  <c r="BL90" i="45" s="1"/>
  <c r="BL91" i="45" s="1"/>
  <c r="AF76" i="45"/>
  <c r="AF78" i="45" s="1"/>
  <c r="AE116" i="45"/>
  <c r="BL110" i="45"/>
  <c r="AD116" i="45"/>
  <c r="AF110" i="45"/>
  <c r="X374" i="48"/>
  <c r="BE125" i="45"/>
  <c r="AF112" i="45"/>
  <c r="AG73" i="45"/>
  <c r="AF93" i="45"/>
  <c r="BL94" i="45"/>
  <c r="BL93" i="45"/>
  <c r="AF94" i="45"/>
  <c r="BK113" i="45"/>
  <c r="BJ113" i="45"/>
  <c r="BN60" i="45"/>
  <c r="BN58" i="45"/>
  <c r="BN59" i="45"/>
  <c r="AD118" i="45"/>
  <c r="BJ118" i="45"/>
  <c r="BL112" i="45"/>
  <c r="AG72" i="45"/>
  <c r="BL81" i="45"/>
  <c r="BL79" i="45"/>
  <c r="BL80" i="45"/>
  <c r="AF81" i="45"/>
  <c r="AF79" i="45"/>
  <c r="AF80" i="45"/>
  <c r="BM72" i="45"/>
  <c r="BK116" i="45"/>
  <c r="BL103" i="45"/>
  <c r="AF101" i="45"/>
  <c r="BL101" i="45"/>
  <c r="AF103" i="45"/>
  <c r="BL102" i="45"/>
  <c r="AF102" i="45"/>
  <c r="BK118" i="45"/>
  <c r="AG40" i="46"/>
  <c r="AH58" i="45"/>
  <c r="AH71" i="45" s="1"/>
  <c r="AH60" i="45"/>
  <c r="AH59" i="45"/>
  <c r="BL111" i="45"/>
  <c r="BJ116" i="45"/>
  <c r="AF111" i="45"/>
  <c r="AG71" i="45"/>
  <c r="AF109" i="45"/>
  <c r="AE118" i="45"/>
  <c r="AE344" i="46"/>
  <c r="AE345" i="46" s="1"/>
  <c r="AE321" i="46"/>
  <c r="AC321" i="48"/>
  <c r="DV103" i="55" s="1"/>
  <c r="DV126" i="55" s="1"/>
  <c r="DV149" i="55" s="1"/>
  <c r="AC344" i="48"/>
  <c r="AC345" i="48" s="1"/>
  <c r="AG326" i="48"/>
  <c r="AG324" i="48"/>
  <c r="AG327" i="48"/>
  <c r="AG325" i="48"/>
  <c r="AF47" i="46"/>
  <c r="AF72" i="46"/>
  <c r="AF112" i="46"/>
  <c r="AF82" i="46"/>
  <c r="AF102" i="46"/>
  <c r="AE104" i="48"/>
  <c r="AE109" i="48" s="1"/>
  <c r="AE103" i="48"/>
  <c r="AE108" i="48" s="1"/>
  <c r="AE107" i="48"/>
  <c r="AE105" i="48"/>
  <c r="AE110" i="48" s="1"/>
  <c r="AE106" i="48"/>
  <c r="AE111" i="48" s="1"/>
  <c r="AH70" i="45"/>
  <c r="AB333" i="48"/>
  <c r="AB332" i="48"/>
  <c r="AB336" i="48" s="1"/>
  <c r="BL97" i="45"/>
  <c r="AF100" i="45"/>
  <c r="AD329" i="48"/>
  <c r="AD328" i="48"/>
  <c r="AE85" i="48"/>
  <c r="AE90" i="48" s="1"/>
  <c r="AE84" i="48"/>
  <c r="AE89" i="48" s="1"/>
  <c r="AE86" i="48"/>
  <c r="AE91" i="48" s="1"/>
  <c r="AE83" i="48"/>
  <c r="AE88" i="48" s="1"/>
  <c r="AE87" i="48"/>
  <c r="AF334" i="48"/>
  <c r="AF346" i="48" s="1"/>
  <c r="AF335" i="48"/>
  <c r="BK114" i="45"/>
  <c r="BJ78" i="45"/>
  <c r="AE75" i="48"/>
  <c r="AE80" i="48" s="1"/>
  <c r="AE76" i="48"/>
  <c r="AE81" i="48" s="1"/>
  <c r="AE74" i="48"/>
  <c r="AE79" i="48" s="1"/>
  <c r="AE73" i="48"/>
  <c r="AE78" i="48" s="1"/>
  <c r="AE77" i="48"/>
  <c r="AH75" i="45"/>
  <c r="AG36" i="46"/>
  <c r="AG42" i="46" s="1"/>
  <c r="AD311" i="48"/>
  <c r="AD312" i="48" s="1"/>
  <c r="AE278" i="48"/>
  <c r="AE311" i="46"/>
  <c r="AF278" i="46"/>
  <c r="AF18" i="52" s="1"/>
  <c r="AD335" i="48"/>
  <c r="AD334" i="48"/>
  <c r="AD346" i="48" s="1"/>
  <c r="Y357" i="48"/>
  <c r="Y364" i="48" s="1"/>
  <c r="Z356" i="46"/>
  <c r="Z356" i="48"/>
  <c r="AA351" i="48"/>
  <c r="AD328" i="46"/>
  <c r="AD329" i="46"/>
  <c r="AC316" i="48"/>
  <c r="AC315" i="48"/>
  <c r="AC313" i="48"/>
  <c r="AC317" i="48"/>
  <c r="AC318" i="48"/>
  <c r="AC314" i="48"/>
  <c r="AE113" i="48"/>
  <c r="AE118" i="48" s="1"/>
  <c r="AE115" i="48"/>
  <c r="AE120" i="48" s="1"/>
  <c r="AE116" i="48"/>
  <c r="AE121" i="48" s="1"/>
  <c r="AE117" i="48"/>
  <c r="AE114" i="48"/>
  <c r="AE119" i="48" s="1"/>
  <c r="AE277" i="48"/>
  <c r="BK100" i="45"/>
  <c r="BJ100" i="45"/>
  <c r="AD335" i="46"/>
  <c r="AD334" i="46"/>
  <c r="AD346" i="46" s="1"/>
  <c r="AD347" i="46" s="1"/>
  <c r="AG40" i="48"/>
  <c r="AD321" i="48"/>
  <c r="DW103" i="55" s="1"/>
  <c r="DW126" i="55" s="1"/>
  <c r="DW149" i="55" s="1"/>
  <c r="AD344" i="48"/>
  <c r="AD345" i="48" s="1"/>
  <c r="BN104" i="45"/>
  <c r="AH104" i="45"/>
  <c r="BN75" i="45"/>
  <c r="V54" i="58" l="1"/>
  <c r="V49" i="58"/>
  <c r="V44" i="58"/>
  <c r="AB119" i="45"/>
  <c r="Y131" i="45"/>
  <c r="Y53" i="58" s="1"/>
  <c r="Y130" i="45"/>
  <c r="Y48" i="58" s="1"/>
  <c r="Y129" i="45"/>
  <c r="Y43" i="58" s="1"/>
  <c r="AA349" i="46"/>
  <c r="AA350" i="46" s="1"/>
  <c r="AA332" i="46"/>
  <c r="AA336" i="46" s="1"/>
  <c r="AA333" i="46"/>
  <c r="AD114" i="45"/>
  <c r="AD318" i="46"/>
  <c r="CQ111" i="55" s="1"/>
  <c r="CQ134" i="55" s="1"/>
  <c r="CQ157" i="55" s="1"/>
  <c r="AD316" i="46"/>
  <c r="CQ109" i="55" s="1"/>
  <c r="CQ132" i="55" s="1"/>
  <c r="CQ155" i="55" s="1"/>
  <c r="AD313" i="46"/>
  <c r="AD317" i="46"/>
  <c r="CQ110" i="55" s="1"/>
  <c r="CQ133" i="55" s="1"/>
  <c r="CQ156" i="55" s="1"/>
  <c r="AD314" i="46"/>
  <c r="CQ107" i="55" s="1"/>
  <c r="CQ130" i="55" s="1"/>
  <c r="CQ153" i="55" s="1"/>
  <c r="AA366" i="46"/>
  <c r="AB107" i="55" s="1"/>
  <c r="AB130" i="55" s="1"/>
  <c r="AB153" i="55" s="1"/>
  <c r="AD315" i="46"/>
  <c r="CQ108" i="55" s="1"/>
  <c r="CQ131" i="55" s="1"/>
  <c r="CQ154" i="55" s="1"/>
  <c r="Z120" i="45"/>
  <c r="Z122" i="45" s="1"/>
  <c r="AB357" i="48"/>
  <c r="AB364" i="48" s="1"/>
  <c r="AE325" i="48"/>
  <c r="BG157" i="55"/>
  <c r="DS157" i="55" s="1"/>
  <c r="DS134" i="55"/>
  <c r="BG154" i="55"/>
  <c r="DS154" i="55" s="1"/>
  <c r="DS131" i="55"/>
  <c r="BH131" i="55"/>
  <c r="DT108" i="55"/>
  <c r="BG155" i="55"/>
  <c r="DS155" i="55" s="1"/>
  <c r="DS132" i="55"/>
  <c r="BG156" i="55"/>
  <c r="DS156" i="55" s="1"/>
  <c r="DS133" i="55"/>
  <c r="BH132" i="55"/>
  <c r="DT109" i="55"/>
  <c r="Y364" i="46"/>
  <c r="BJ114" i="45"/>
  <c r="AD342" i="46"/>
  <c r="AE111" i="55" s="1"/>
  <c r="AE134" i="55" s="1"/>
  <c r="AE157" i="55" s="1"/>
  <c r="AD341" i="46"/>
  <c r="AE110" i="55" s="1"/>
  <c r="AE133" i="55" s="1"/>
  <c r="AE156" i="55" s="1"/>
  <c r="AC338" i="46"/>
  <c r="AC334" i="46"/>
  <c r="AC346" i="46" s="1"/>
  <c r="AC347" i="46" s="1"/>
  <c r="AC335" i="46"/>
  <c r="AF329" i="48"/>
  <c r="AF328" i="48"/>
  <c r="AE327" i="46"/>
  <c r="AE326" i="46"/>
  <c r="AE324" i="46"/>
  <c r="AE325" i="46"/>
  <c r="AC329" i="46"/>
  <c r="AC339" i="46"/>
  <c r="AD108" i="55" s="1"/>
  <c r="AD131" i="55" s="1"/>
  <c r="AD154" i="55" s="1"/>
  <c r="AC340" i="46"/>
  <c r="AD109" i="55" s="1"/>
  <c r="AD132" i="55" s="1"/>
  <c r="AD155" i="55" s="1"/>
  <c r="BL117" i="45"/>
  <c r="AC342" i="46"/>
  <c r="AD111" i="55" s="1"/>
  <c r="AD134" i="55" s="1"/>
  <c r="AD157" i="55" s="1"/>
  <c r="AC337" i="46"/>
  <c r="DT111" i="55"/>
  <c r="AB349" i="48"/>
  <c r="AB350" i="48" s="1"/>
  <c r="AB352" i="48" s="1"/>
  <c r="AE326" i="48"/>
  <c r="AD340" i="46"/>
  <c r="AE109" i="55" s="1"/>
  <c r="AE132" i="55" s="1"/>
  <c r="AE155" i="55" s="1"/>
  <c r="AE324" i="48"/>
  <c r="AD339" i="46"/>
  <c r="AE108" i="55" s="1"/>
  <c r="AE131" i="55" s="1"/>
  <c r="AE154" i="55" s="1"/>
  <c r="AF91" i="45"/>
  <c r="AD337" i="46"/>
  <c r="X49" i="58"/>
  <c r="BH156" i="55"/>
  <c r="DT156" i="55" s="1"/>
  <c r="DT133" i="55"/>
  <c r="BE153" i="55"/>
  <c r="DQ153" i="55" s="1"/>
  <c r="DQ130" i="55"/>
  <c r="BI131" i="55"/>
  <c r="DU108" i="55"/>
  <c r="BH157" i="55"/>
  <c r="DT157" i="55" s="1"/>
  <c r="DT134" i="55"/>
  <c r="BD44" i="58"/>
  <c r="BD49" i="58"/>
  <c r="BB44" i="58"/>
  <c r="X54" i="58"/>
  <c r="BD54" i="58"/>
  <c r="BE131" i="45"/>
  <c r="BE53" i="58" s="1"/>
  <c r="BE130" i="45"/>
  <c r="BE48" i="58" s="1"/>
  <c r="BE129" i="45"/>
  <c r="BE43" i="58" s="1"/>
  <c r="X44" i="58"/>
  <c r="BB49" i="58"/>
  <c r="BB54" i="58"/>
  <c r="AF117" i="45"/>
  <c r="AB340" i="48"/>
  <c r="BI109" i="55" s="1"/>
  <c r="AC322" i="48"/>
  <c r="BJ103" i="55"/>
  <c r="BJ126" i="55" s="1"/>
  <c r="BJ149" i="55" s="1"/>
  <c r="AB341" i="48"/>
  <c r="BI110" i="55" s="1"/>
  <c r="AB346" i="46"/>
  <c r="AB347" i="46" s="1"/>
  <c r="AB348" i="46"/>
  <c r="AE322" i="46"/>
  <c r="AE337" i="46" s="1"/>
  <c r="AF103" i="55"/>
  <c r="AF126" i="55" s="1"/>
  <c r="AF149" i="55" s="1"/>
  <c r="AB337" i="48"/>
  <c r="AB342" i="48"/>
  <c r="BI111" i="55" s="1"/>
  <c r="AE312" i="46"/>
  <c r="AE318" i="46" s="1"/>
  <c r="CR111" i="55" s="1"/>
  <c r="CR134" i="55" s="1"/>
  <c r="CR157" i="55" s="1"/>
  <c r="CR103" i="55"/>
  <c r="CR126" i="55" s="1"/>
  <c r="CR149" i="55" s="1"/>
  <c r="AB338" i="48"/>
  <c r="AB330" i="46"/>
  <c r="AB331" i="46"/>
  <c r="AD322" i="48"/>
  <c r="AD340" i="48" s="1"/>
  <c r="BK109" i="55" s="1"/>
  <c r="BK103" i="55"/>
  <c r="BK126" i="55" s="1"/>
  <c r="BK149" i="55" s="1"/>
  <c r="AF319" i="46"/>
  <c r="AF323" i="46" s="1"/>
  <c r="AE115" i="45"/>
  <c r="AF113" i="45"/>
  <c r="BL76" i="45"/>
  <c r="BL78" i="45" s="1"/>
  <c r="BF119" i="45"/>
  <c r="BE126" i="45"/>
  <c r="BK115" i="45"/>
  <c r="BL113" i="45"/>
  <c r="AF274" i="46"/>
  <c r="AH72" i="45"/>
  <c r="BL116" i="45"/>
  <c r="AF118" i="45"/>
  <c r="BN71" i="45"/>
  <c r="AH73" i="45"/>
  <c r="BN73" i="45"/>
  <c r="AF116" i="45"/>
  <c r="BL118" i="45"/>
  <c r="BN72" i="45"/>
  <c r="AD331" i="46"/>
  <c r="AD330" i="46"/>
  <c r="Z357" i="46"/>
  <c r="Z366" i="46" s="1"/>
  <c r="AF72" i="48"/>
  <c r="AF74" i="46"/>
  <c r="AF79" i="46" s="1"/>
  <c r="AF73" i="46"/>
  <c r="AF78" i="46" s="1"/>
  <c r="AF76" i="46"/>
  <c r="AF81" i="46" s="1"/>
  <c r="AF75" i="46"/>
  <c r="AF80" i="46" s="1"/>
  <c r="AF77" i="46"/>
  <c r="Y366" i="48"/>
  <c r="BF107" i="55" s="1"/>
  <c r="AG278" i="46"/>
  <c r="AF311" i="46"/>
  <c r="AD348" i="46"/>
  <c r="AD351" i="46" s="1"/>
  <c r="BL100" i="45"/>
  <c r="AF105" i="46"/>
  <c r="AF110" i="46" s="1"/>
  <c r="AF102" i="48"/>
  <c r="AF104" i="46"/>
  <c r="AF109" i="46" s="1"/>
  <c r="AF106" i="46"/>
  <c r="AF111" i="46" s="1"/>
  <c r="AF107" i="46"/>
  <c r="AF103" i="46"/>
  <c r="AF108" i="46" s="1"/>
  <c r="AE321" i="48"/>
  <c r="DX103" i="55" s="1"/>
  <c r="DX126" i="55" s="1"/>
  <c r="DX149" i="55" s="1"/>
  <c r="AE344" i="48"/>
  <c r="AE345" i="48" s="1"/>
  <c r="AA356" i="48"/>
  <c r="AD316" i="48"/>
  <c r="AD315" i="48"/>
  <c r="AD318" i="48"/>
  <c r="AD317" i="48"/>
  <c r="AD313" i="48"/>
  <c r="AD314" i="48"/>
  <c r="AG334" i="48"/>
  <c r="AG346" i="48" s="1"/>
  <c r="AG335" i="48"/>
  <c r="AD347" i="48"/>
  <c r="AD348" i="48"/>
  <c r="AD351" i="48" s="1"/>
  <c r="AE334" i="48"/>
  <c r="AE346" i="48" s="1"/>
  <c r="AE335" i="48"/>
  <c r="AF83" i="46"/>
  <c r="AF88" i="46" s="1"/>
  <c r="AF82" i="48"/>
  <c r="AF84" i="46"/>
  <c r="AF89" i="46" s="1"/>
  <c r="AF86" i="46"/>
  <c r="AF91" i="46" s="1"/>
  <c r="AF87" i="46"/>
  <c r="AF85" i="46"/>
  <c r="AF90" i="46" s="1"/>
  <c r="AG329" i="48"/>
  <c r="AG328" i="48"/>
  <c r="Z357" i="48"/>
  <c r="Z366" i="48" s="1"/>
  <c r="AF278" i="48"/>
  <c r="AE311" i="48"/>
  <c r="AE312" i="48" s="1"/>
  <c r="AG82" i="46"/>
  <c r="AG47" i="46"/>
  <c r="AG102" i="46"/>
  <c r="AG72" i="46"/>
  <c r="AG112" i="46"/>
  <c r="AD330" i="48"/>
  <c r="AD331" i="48"/>
  <c r="AF116" i="46"/>
  <c r="AF121" i="46" s="1"/>
  <c r="AF113" i="46"/>
  <c r="AF118" i="46" s="1"/>
  <c r="AF114" i="46"/>
  <c r="AF119" i="46" s="1"/>
  <c r="AF112" i="48"/>
  <c r="AF115" i="46"/>
  <c r="AF120" i="46" s="1"/>
  <c r="AF117" i="46"/>
  <c r="AF277" i="46"/>
  <c r="AC348" i="48"/>
  <c r="AC349" i="48" s="1"/>
  <c r="AC350" i="48" s="1"/>
  <c r="AC352" i="48" s="1"/>
  <c r="AC347" i="48"/>
  <c r="AA352" i="46" l="1"/>
  <c r="Y44" i="58"/>
  <c r="Y54" i="58"/>
  <c r="Y49" i="58"/>
  <c r="AD115" i="45"/>
  <c r="AB104" i="55"/>
  <c r="AB127" i="55" s="1"/>
  <c r="AB150" i="55" s="1"/>
  <c r="AF114" i="45"/>
  <c r="AF115" i="45" s="1"/>
  <c r="AA368" i="46"/>
  <c r="AE314" i="46"/>
  <c r="CR107" i="55" s="1"/>
  <c r="CR130" i="55" s="1"/>
  <c r="CR153" i="55" s="1"/>
  <c r="AE316" i="46"/>
  <c r="CR109" i="55" s="1"/>
  <c r="CR132" i="55" s="1"/>
  <c r="CR155" i="55" s="1"/>
  <c r="AD342" i="48"/>
  <c r="BK111" i="55" s="1"/>
  <c r="AB120" i="45"/>
  <c r="AB122" i="45" s="1"/>
  <c r="AE317" i="46"/>
  <c r="CR110" i="55" s="1"/>
  <c r="CR133" i="55" s="1"/>
  <c r="CR156" i="55" s="1"/>
  <c r="AE313" i="46"/>
  <c r="AD341" i="48"/>
  <c r="BK110" i="55" s="1"/>
  <c r="AA373" i="46"/>
  <c r="BI119" i="45"/>
  <c r="AB366" i="48"/>
  <c r="BI104" i="55" s="1"/>
  <c r="BI127" i="55" s="1"/>
  <c r="BI150" i="55" s="1"/>
  <c r="AE342" i="46"/>
  <c r="AF111" i="55" s="1"/>
  <c r="AF134" i="55" s="1"/>
  <c r="AF157" i="55" s="1"/>
  <c r="AE341" i="46"/>
  <c r="AF110" i="55" s="1"/>
  <c r="AF133" i="55" s="1"/>
  <c r="AF156" i="55" s="1"/>
  <c r="AE339" i="46"/>
  <c r="AF108" i="55" s="1"/>
  <c r="AF131" i="55" s="1"/>
  <c r="AF154" i="55" s="1"/>
  <c r="AC337" i="48"/>
  <c r="AC341" i="48"/>
  <c r="BJ110" i="55" s="1"/>
  <c r="AC338" i="48"/>
  <c r="AC342" i="48"/>
  <c r="BJ111" i="55" s="1"/>
  <c r="AC340" i="48"/>
  <c r="BJ109" i="55" s="1"/>
  <c r="AC339" i="48"/>
  <c r="BJ108" i="55" s="1"/>
  <c r="BH154" i="55"/>
  <c r="DT154" i="55" s="1"/>
  <c r="DT131" i="55"/>
  <c r="BH155" i="55"/>
  <c r="DT155" i="55" s="1"/>
  <c r="DT132" i="55"/>
  <c r="BJ115" i="45"/>
  <c r="Z119" i="45"/>
  <c r="Z124" i="45" s="1"/>
  <c r="Y373" i="46"/>
  <c r="Z104" i="55"/>
  <c r="Z127" i="55" s="1"/>
  <c r="Z150" i="55" s="1"/>
  <c r="Z107" i="55"/>
  <c r="Z130" i="55" s="1"/>
  <c r="Z153" i="55" s="1"/>
  <c r="Y368" i="46"/>
  <c r="AC348" i="46"/>
  <c r="AC349" i="46" s="1"/>
  <c r="AC350" i="46" s="1"/>
  <c r="AC330" i="46"/>
  <c r="AC331" i="46"/>
  <c r="AE329" i="46"/>
  <c r="AE328" i="46"/>
  <c r="AE334" i="46"/>
  <c r="AE346" i="46" s="1"/>
  <c r="AE347" i="46" s="1"/>
  <c r="AE335" i="46"/>
  <c r="AE329" i="48"/>
  <c r="AE328" i="48"/>
  <c r="AF331" i="48"/>
  <c r="AF330" i="48"/>
  <c r="AF320" i="46"/>
  <c r="AD337" i="48"/>
  <c r="AE315" i="46"/>
  <c r="CR108" i="55" s="1"/>
  <c r="CR131" i="55" s="1"/>
  <c r="CR154" i="55" s="1"/>
  <c r="AE340" i="46"/>
  <c r="AF109" i="55" s="1"/>
  <c r="AF132" i="55" s="1"/>
  <c r="AF155" i="55" s="1"/>
  <c r="AD339" i="48"/>
  <c r="BK108" i="55" s="1"/>
  <c r="DW108" i="55" s="1"/>
  <c r="AD338" i="48"/>
  <c r="AE338" i="46"/>
  <c r="BI154" i="55"/>
  <c r="DU154" i="55" s="1"/>
  <c r="DU131" i="55"/>
  <c r="DR104" i="55"/>
  <c r="DR127" i="55" s="1"/>
  <c r="DR150" i="55" s="1"/>
  <c r="BK132" i="55"/>
  <c r="DW109" i="55"/>
  <c r="BF130" i="55"/>
  <c r="DR107" i="55"/>
  <c r="BI133" i="55"/>
  <c r="DU110" i="55"/>
  <c r="BI134" i="55"/>
  <c r="DU111" i="55"/>
  <c r="BE49" i="58"/>
  <c r="BI132" i="55"/>
  <c r="DU109" i="55"/>
  <c r="BE54" i="58"/>
  <c r="BE44" i="58"/>
  <c r="BF104" i="55"/>
  <c r="BF127" i="55" s="1"/>
  <c r="BF150" i="55" s="1"/>
  <c r="AB333" i="46"/>
  <c r="AB332" i="46"/>
  <c r="AB336" i="46" s="1"/>
  <c r="AB349" i="46"/>
  <c r="AB350" i="46" s="1"/>
  <c r="AB352" i="46" s="1"/>
  <c r="AB351" i="46"/>
  <c r="AE322" i="48"/>
  <c r="AE338" i="48" s="1"/>
  <c r="BL103" i="55"/>
  <c r="BL126" i="55" s="1"/>
  <c r="BL149" i="55" s="1"/>
  <c r="AF312" i="46"/>
  <c r="AF318" i="46" s="1"/>
  <c r="CS111" i="55" s="1"/>
  <c r="CS134" i="55" s="1"/>
  <c r="CS157" i="55" s="1"/>
  <c r="CS103" i="55"/>
  <c r="CS126" i="55" s="1"/>
  <c r="CS149" i="55" s="1"/>
  <c r="AG319" i="46"/>
  <c r="AG320" i="46" s="1"/>
  <c r="BL114" i="45"/>
  <c r="BL115" i="45" s="1"/>
  <c r="AG274" i="46"/>
  <c r="AG311" i="46"/>
  <c r="AG18" i="52"/>
  <c r="BG120" i="45"/>
  <c r="BG122" i="45" s="1"/>
  <c r="AG97" i="45"/>
  <c r="BM97" i="45" s="1"/>
  <c r="AG90" i="45"/>
  <c r="AG106" i="45"/>
  <c r="AG76" i="45"/>
  <c r="BM76" i="45" s="1"/>
  <c r="AA120" i="45"/>
  <c r="AA122" i="45" s="1"/>
  <c r="Z364" i="46"/>
  <c r="AA119" i="45" s="1"/>
  <c r="BM102" i="45"/>
  <c r="BM101" i="45"/>
  <c r="AG103" i="45"/>
  <c r="BM103" i="45"/>
  <c r="AG101" i="45"/>
  <c r="AG102" i="45"/>
  <c r="AD349" i="46"/>
  <c r="AD350" i="46" s="1"/>
  <c r="AD352" i="46" s="1"/>
  <c r="AG79" i="45"/>
  <c r="AG81" i="45"/>
  <c r="BM79" i="45"/>
  <c r="BM80" i="45"/>
  <c r="BM81" i="45"/>
  <c r="AG80" i="45"/>
  <c r="BM110" i="45"/>
  <c r="BM111" i="45"/>
  <c r="AG112" i="45"/>
  <c r="AG111" i="45"/>
  <c r="BM112" i="45"/>
  <c r="AG110" i="45"/>
  <c r="BM93" i="45"/>
  <c r="AG94" i="45"/>
  <c r="BM94" i="45"/>
  <c r="AG93" i="45"/>
  <c r="Y368" i="48"/>
  <c r="BF120" i="45"/>
  <c r="BF121" i="45" s="1"/>
  <c r="BF128" i="45" s="1"/>
  <c r="AD356" i="48"/>
  <c r="AG102" i="48"/>
  <c r="AG104" i="46"/>
  <c r="AG109" i="46" s="1"/>
  <c r="AG105" i="46"/>
  <c r="AG110" i="46" s="1"/>
  <c r="AG106" i="46"/>
  <c r="AG111" i="46" s="1"/>
  <c r="AG103" i="46"/>
  <c r="AG108" i="46" s="1"/>
  <c r="AG107" i="46"/>
  <c r="AF311" i="48"/>
  <c r="AF312" i="48" s="1"/>
  <c r="AG278" i="48"/>
  <c r="AF326" i="46"/>
  <c r="AF325" i="46"/>
  <c r="AF327" i="46"/>
  <c r="AF324" i="46"/>
  <c r="AF344" i="46"/>
  <c r="AF345" i="46" s="1"/>
  <c r="AF321" i="46"/>
  <c r="AD349" i="48"/>
  <c r="AD350" i="48" s="1"/>
  <c r="AD352" i="48" s="1"/>
  <c r="Y373" i="48"/>
  <c r="AF105" i="48"/>
  <c r="AF110" i="48" s="1"/>
  <c r="AF104" i="48"/>
  <c r="AF109" i="48" s="1"/>
  <c r="AF103" i="48"/>
  <c r="AF108" i="48" s="1"/>
  <c r="AF106" i="48"/>
  <c r="AF111" i="48" s="1"/>
  <c r="AF107" i="48"/>
  <c r="AD356" i="46"/>
  <c r="AF115" i="48"/>
  <c r="AF120" i="48" s="1"/>
  <c r="AF116" i="48"/>
  <c r="AF121" i="48" s="1"/>
  <c r="AF113" i="48"/>
  <c r="AF118" i="48" s="1"/>
  <c r="AF114" i="48"/>
  <c r="AF119" i="48" s="1"/>
  <c r="AF117" i="48"/>
  <c r="AF277" i="48"/>
  <c r="AD332" i="48"/>
  <c r="AD336" i="48" s="1"/>
  <c r="AD333" i="48"/>
  <c r="AC351" i="48"/>
  <c r="AG100" i="45"/>
  <c r="AG116" i="46"/>
  <c r="AG121" i="46" s="1"/>
  <c r="AG112" i="48"/>
  <c r="AG113" i="46"/>
  <c r="AG118" i="46" s="1"/>
  <c r="AG114" i="46"/>
  <c r="AG119" i="46" s="1"/>
  <c r="AG115" i="46"/>
  <c r="AG120" i="46" s="1"/>
  <c r="AG117" i="46"/>
  <c r="AG277" i="46"/>
  <c r="AG82" i="48"/>
  <c r="AG84" i="46"/>
  <c r="AG89" i="46" s="1"/>
  <c r="AG86" i="46"/>
  <c r="AG91" i="46" s="1"/>
  <c r="AG85" i="46"/>
  <c r="AG90" i="46" s="1"/>
  <c r="AG83" i="46"/>
  <c r="AG88" i="46" s="1"/>
  <c r="AG87" i="46"/>
  <c r="Z364" i="48"/>
  <c r="DS104" i="55" s="1"/>
  <c r="DS127" i="55" s="1"/>
  <c r="DS150" i="55" s="1"/>
  <c r="AG331" i="48"/>
  <c r="AG330" i="48"/>
  <c r="AA357" i="48"/>
  <c r="AA364" i="48" s="1"/>
  <c r="AF75" i="48"/>
  <c r="AF80" i="48" s="1"/>
  <c r="AF74" i="48"/>
  <c r="AF79" i="48" s="1"/>
  <c r="AF76" i="48"/>
  <c r="AF81" i="48" s="1"/>
  <c r="AF73" i="48"/>
  <c r="AF78" i="48" s="1"/>
  <c r="AF77" i="48"/>
  <c r="AD332" i="46"/>
  <c r="AD336" i="46" s="1"/>
  <c r="AD333" i="46"/>
  <c r="AG72" i="48"/>
  <c r="AG75" i="46"/>
  <c r="AG80" i="46" s="1"/>
  <c r="AG74" i="46"/>
  <c r="AG79" i="46" s="1"/>
  <c r="AG77" i="46"/>
  <c r="AG76" i="46"/>
  <c r="AG81" i="46" s="1"/>
  <c r="AG73" i="46"/>
  <c r="AG78" i="46" s="1"/>
  <c r="AE316" i="48"/>
  <c r="AE314" i="48"/>
  <c r="AE315" i="48"/>
  <c r="AE317" i="48"/>
  <c r="AE313" i="48"/>
  <c r="AE318" i="48"/>
  <c r="AF83" i="48"/>
  <c r="AF88" i="48" s="1"/>
  <c r="AF85" i="48"/>
  <c r="AF90" i="48" s="1"/>
  <c r="AF86" i="48"/>
  <c r="AF91" i="48" s="1"/>
  <c r="AF84" i="48"/>
  <c r="AF89" i="48" s="1"/>
  <c r="AF87" i="48"/>
  <c r="AE348" i="48"/>
  <c r="AE347" i="48"/>
  <c r="M81" i="44"/>
  <c r="M82" i="44"/>
  <c r="M83" i="44"/>
  <c r="M84" i="44"/>
  <c r="M86" i="44"/>
  <c r="K87" i="44"/>
  <c r="J80" i="44" s="1"/>
  <c r="BJ133" i="55" l="1"/>
  <c r="DV110" i="55"/>
  <c r="BI107" i="55"/>
  <c r="AE348" i="46"/>
  <c r="AE351" i="46" s="1"/>
  <c r="AE356" i="46" s="1"/>
  <c r="AB368" i="48"/>
  <c r="BI120" i="45"/>
  <c r="AB121" i="45"/>
  <c r="AB128" i="45" s="1"/>
  <c r="BJ131" i="55"/>
  <c r="DV108" i="55"/>
  <c r="BJ132" i="55"/>
  <c r="DV109" i="55"/>
  <c r="BJ134" i="55"/>
  <c r="DV111" i="55"/>
  <c r="AB123" i="45"/>
  <c r="AB124" i="45"/>
  <c r="AA374" i="46"/>
  <c r="AB125" i="45"/>
  <c r="AF314" i="46"/>
  <c r="CS107" i="55" s="1"/>
  <c r="CS130" i="55" s="1"/>
  <c r="CS153" i="55" s="1"/>
  <c r="AF313" i="46"/>
  <c r="BK134" i="55"/>
  <c r="DW111" i="55"/>
  <c r="BK133" i="55"/>
  <c r="DW110" i="55"/>
  <c r="DU104" i="55"/>
  <c r="DU127" i="55" s="1"/>
  <c r="DU150" i="55" s="1"/>
  <c r="AB373" i="48"/>
  <c r="Y374" i="46"/>
  <c r="Z121" i="45"/>
  <c r="Z128" i="45" s="1"/>
  <c r="Z123" i="45"/>
  <c r="Z125" i="45"/>
  <c r="AC352" i="46"/>
  <c r="AC351" i="46"/>
  <c r="AC356" i="46" s="1"/>
  <c r="AC357" i="46" s="1"/>
  <c r="AC366" i="46" s="1"/>
  <c r="AE331" i="48"/>
  <c r="AE330" i="48"/>
  <c r="BM90" i="45"/>
  <c r="BM91" i="45" s="1"/>
  <c r="AG91" i="45"/>
  <c r="AE330" i="46"/>
  <c r="AE331" i="46"/>
  <c r="AC333" i="46"/>
  <c r="AF333" i="48"/>
  <c r="AF332" i="48"/>
  <c r="AF336" i="48" s="1"/>
  <c r="AE349" i="48"/>
  <c r="AE350" i="48" s="1"/>
  <c r="AC332" i="46"/>
  <c r="AC336" i="46" s="1"/>
  <c r="AF317" i="46"/>
  <c r="CS110" i="55" s="1"/>
  <c r="CS133" i="55" s="1"/>
  <c r="CS156" i="55" s="1"/>
  <c r="AF316" i="46"/>
  <c r="CS109" i="55" s="1"/>
  <c r="CS132" i="55" s="1"/>
  <c r="CS155" i="55" s="1"/>
  <c r="Z373" i="46"/>
  <c r="AG323" i="46"/>
  <c r="AF315" i="46"/>
  <c r="CS108" i="55" s="1"/>
  <c r="CS131" i="55" s="1"/>
  <c r="CS154" i="55" s="1"/>
  <c r="Z368" i="46"/>
  <c r="BK131" i="55"/>
  <c r="AE342" i="48"/>
  <c r="BL111" i="55" s="1"/>
  <c r="BM117" i="45"/>
  <c r="AE337" i="48"/>
  <c r="AE341" i="48"/>
  <c r="BL110" i="55" s="1"/>
  <c r="BL133" i="55" s="1"/>
  <c r="AE339" i="48"/>
  <c r="BL108" i="55" s="1"/>
  <c r="BL131" i="55" s="1"/>
  <c r="AE340" i="48"/>
  <c r="BL109" i="55" s="1"/>
  <c r="BL132" i="55" s="1"/>
  <c r="BI157" i="55"/>
  <c r="DU157" i="55" s="1"/>
  <c r="DU134" i="55"/>
  <c r="BK155" i="55"/>
  <c r="DW155" i="55" s="1"/>
  <c r="DW132" i="55"/>
  <c r="BI156" i="55"/>
  <c r="DU156" i="55" s="1"/>
  <c r="DU133" i="55"/>
  <c r="BI155" i="55"/>
  <c r="DU155" i="55" s="1"/>
  <c r="DU132" i="55"/>
  <c r="BF153" i="55"/>
  <c r="DR153" i="55" s="1"/>
  <c r="DR130" i="55"/>
  <c r="BF131" i="45"/>
  <c r="BF53" i="58" s="1"/>
  <c r="BF129" i="45"/>
  <c r="BF43" i="58" s="1"/>
  <c r="BF130" i="45"/>
  <c r="BF48" i="58" s="1"/>
  <c r="AG117" i="45"/>
  <c r="BG104" i="55"/>
  <c r="BG127" i="55" s="1"/>
  <c r="BG150" i="55" s="1"/>
  <c r="BG107" i="55"/>
  <c r="AF322" i="46"/>
  <c r="AG103" i="55"/>
  <c r="AG126" i="55" s="1"/>
  <c r="AG149" i="55" s="1"/>
  <c r="AA104" i="55"/>
  <c r="AA127" i="55" s="1"/>
  <c r="AA150" i="55" s="1"/>
  <c r="AA107" i="55"/>
  <c r="AA130" i="55" s="1"/>
  <c r="AA153" i="55" s="1"/>
  <c r="AG312" i="46"/>
  <c r="AG317" i="46" s="1"/>
  <c r="CT110" i="55" s="1"/>
  <c r="CT133" i="55" s="1"/>
  <c r="CT156" i="55" s="1"/>
  <c r="CT103" i="55"/>
  <c r="CT126" i="55" s="1"/>
  <c r="CT149" i="55" s="1"/>
  <c r="AB356" i="46"/>
  <c r="AB357" i="46" s="1"/>
  <c r="AB366" i="46" s="1"/>
  <c r="AC120" i="45" s="1"/>
  <c r="AC122" i="45" s="1"/>
  <c r="AG311" i="48"/>
  <c r="AG312" i="48" s="1"/>
  <c r="AG313" i="48" s="1"/>
  <c r="AG113" i="45"/>
  <c r="AG78" i="45"/>
  <c r="AG109" i="45"/>
  <c r="BM106" i="45"/>
  <c r="BM109" i="45" s="1"/>
  <c r="BH119" i="45"/>
  <c r="AH90" i="45"/>
  <c r="BN90" i="45" s="1"/>
  <c r="BN91" i="45" s="1"/>
  <c r="AH76" i="45"/>
  <c r="AH106" i="45"/>
  <c r="BG119" i="45"/>
  <c r="BG123" i="45" s="1"/>
  <c r="AH97" i="45"/>
  <c r="M88" i="44"/>
  <c r="AG118" i="45"/>
  <c r="AH93" i="45"/>
  <c r="BN93" i="45"/>
  <c r="BN94" i="45"/>
  <c r="AH94" i="45"/>
  <c r="BM116" i="45"/>
  <c r="Y374" i="48"/>
  <c r="BF125" i="45"/>
  <c r="BM118" i="45"/>
  <c r="BN79" i="45"/>
  <c r="BN81" i="45"/>
  <c r="AH80" i="45"/>
  <c r="AH79" i="45"/>
  <c r="AH81" i="45"/>
  <c r="BN80" i="45"/>
  <c r="AA124" i="45"/>
  <c r="AA123" i="45"/>
  <c r="BN106" i="45"/>
  <c r="BN109" i="45" s="1"/>
  <c r="AH109" i="45"/>
  <c r="BF122" i="45"/>
  <c r="BF123" i="45"/>
  <c r="BF124" i="45"/>
  <c r="AG116" i="45"/>
  <c r="BN103" i="45"/>
  <c r="AH103" i="45"/>
  <c r="BN102" i="45"/>
  <c r="BN101" i="45"/>
  <c r="AH101" i="45"/>
  <c r="AH102" i="45"/>
  <c r="AH111" i="45"/>
  <c r="AH112" i="45"/>
  <c r="BN112" i="45"/>
  <c r="AH110" i="45"/>
  <c r="BN111" i="45"/>
  <c r="BN110" i="45"/>
  <c r="AC356" i="48"/>
  <c r="AE351" i="48"/>
  <c r="AG86" i="48"/>
  <c r="AG91" i="48" s="1"/>
  <c r="AG83" i="48"/>
  <c r="AG88" i="48" s="1"/>
  <c r="AG84" i="48"/>
  <c r="AG89" i="48" s="1"/>
  <c r="AG85" i="48"/>
  <c r="AG90" i="48" s="1"/>
  <c r="AG87" i="48"/>
  <c r="AD357" i="48"/>
  <c r="AD364" i="48" s="1"/>
  <c r="AF328" i="46"/>
  <c r="AF329" i="46"/>
  <c r="AG104" i="48"/>
  <c r="AG109" i="48" s="1"/>
  <c r="AG103" i="48"/>
  <c r="AG108" i="48" s="1"/>
  <c r="AG105" i="48"/>
  <c r="AG110" i="48" s="1"/>
  <c r="AG106" i="48"/>
  <c r="AG111" i="48" s="1"/>
  <c r="AG107" i="48"/>
  <c r="AG76" i="48"/>
  <c r="AG81" i="48" s="1"/>
  <c r="AG74" i="48"/>
  <c r="AG79" i="48" s="1"/>
  <c r="AG75" i="48"/>
  <c r="AG80" i="48" s="1"/>
  <c r="AG73" i="48"/>
  <c r="AG78" i="48" s="1"/>
  <c r="AG77" i="48"/>
  <c r="AA366" i="48"/>
  <c r="BH104" i="55" s="1"/>
  <c r="BH127" i="55" s="1"/>
  <c r="BH150" i="55" s="1"/>
  <c r="AG321" i="46"/>
  <c r="AJ277" i="46"/>
  <c r="AG344" i="46"/>
  <c r="AG345" i="46" s="1"/>
  <c r="AI277" i="46"/>
  <c r="BM100" i="45"/>
  <c r="BM78" i="45"/>
  <c r="AF335" i="46"/>
  <c r="AF334" i="46"/>
  <c r="AF346" i="46" s="1"/>
  <c r="AF347" i="46" s="1"/>
  <c r="AF316" i="48"/>
  <c r="AF315" i="48"/>
  <c r="AF314" i="48"/>
  <c r="AF317" i="48"/>
  <c r="AF318" i="48"/>
  <c r="AF313" i="48"/>
  <c r="AG332" i="48"/>
  <c r="AG336" i="48" s="1"/>
  <c r="AG333" i="48"/>
  <c r="Z368" i="48"/>
  <c r="Z373" i="48"/>
  <c r="AG115" i="48"/>
  <c r="AG120" i="48" s="1"/>
  <c r="AG114" i="48"/>
  <c r="AG119" i="48" s="1"/>
  <c r="AG116" i="48"/>
  <c r="AG121" i="48" s="1"/>
  <c r="AG113" i="48"/>
  <c r="AG118" i="48" s="1"/>
  <c r="AG117" i="48"/>
  <c r="AG277" i="48"/>
  <c r="AA121" i="45"/>
  <c r="AA128" i="45" s="1"/>
  <c r="AF321" i="48"/>
  <c r="DY103" i="55" s="1"/>
  <c r="DY126" i="55" s="1"/>
  <c r="DY149" i="55" s="1"/>
  <c r="AF344" i="48"/>
  <c r="AF345" i="48" s="1"/>
  <c r="AD357" i="46"/>
  <c r="AD366" i="46" s="1"/>
  <c r="M87" i="44"/>
  <c r="J85" i="44"/>
  <c r="J83" i="44"/>
  <c r="J81" i="44"/>
  <c r="J86" i="44"/>
  <c r="J84" i="44"/>
  <c r="J82" i="44"/>
  <c r="BI122" i="45" l="1"/>
  <c r="BI123" i="45"/>
  <c r="AE349" i="46"/>
  <c r="AE350" i="46" s="1"/>
  <c r="BI124" i="45"/>
  <c r="BI130" i="55"/>
  <c r="DU107" i="55"/>
  <c r="BJ156" i="55"/>
  <c r="DV156" i="55" s="1"/>
  <c r="DV133" i="55"/>
  <c r="AB131" i="45"/>
  <c r="AB53" i="58" s="1"/>
  <c r="AB130" i="45"/>
  <c r="AB48" i="58" s="1"/>
  <c r="AB129" i="45"/>
  <c r="AB43" i="58" s="1"/>
  <c r="BI121" i="45"/>
  <c r="BI128" i="45" s="1"/>
  <c r="AE357" i="46"/>
  <c r="AE364" i="46" s="1"/>
  <c r="BJ155" i="55"/>
  <c r="DV155" i="55" s="1"/>
  <c r="DV134" i="55"/>
  <c r="DV131" i="55"/>
  <c r="AG114" i="45"/>
  <c r="DV132" i="55"/>
  <c r="BK156" i="55"/>
  <c r="DW156" i="55" s="1"/>
  <c r="DW133" i="55"/>
  <c r="BJ157" i="55"/>
  <c r="DV157" i="55" s="1"/>
  <c r="BK157" i="55"/>
  <c r="DW157" i="55" s="1"/>
  <c r="DW134" i="55"/>
  <c r="BJ154" i="55"/>
  <c r="DV154" i="55" s="1"/>
  <c r="Z126" i="45"/>
  <c r="AB126" i="45"/>
  <c r="AB374" i="48"/>
  <c r="BI125" i="45"/>
  <c r="Z374" i="46"/>
  <c r="AA125" i="45"/>
  <c r="BK154" i="55"/>
  <c r="DW154" i="55" s="1"/>
  <c r="DW131" i="55"/>
  <c r="AG327" i="46"/>
  <c r="AG326" i="46"/>
  <c r="AG325" i="46"/>
  <c r="BM114" i="45"/>
  <c r="BL134" i="55"/>
  <c r="DX108" i="55"/>
  <c r="Z131" i="45"/>
  <c r="Z53" i="58" s="1"/>
  <c r="Z130" i="45"/>
  <c r="Z48" i="58" s="1"/>
  <c r="Z129" i="45"/>
  <c r="Z43" i="58" s="1"/>
  <c r="DX111" i="55"/>
  <c r="AD120" i="45"/>
  <c r="AD122" i="45" s="1"/>
  <c r="AE352" i="48"/>
  <c r="AG324" i="46"/>
  <c r="AE333" i="46"/>
  <c r="AE332" i="46"/>
  <c r="AE336" i="46" s="1"/>
  <c r="AC364" i="46"/>
  <c r="AE333" i="48"/>
  <c r="AE332" i="48"/>
  <c r="AE336" i="48" s="1"/>
  <c r="AF342" i="46"/>
  <c r="AG111" i="55" s="1"/>
  <c r="AG134" i="55" s="1"/>
  <c r="AG157" i="55" s="1"/>
  <c r="AF337" i="46"/>
  <c r="AF341" i="46"/>
  <c r="AG110" i="55" s="1"/>
  <c r="AG133" i="55" s="1"/>
  <c r="AG156" i="55" s="1"/>
  <c r="AF340" i="46"/>
  <c r="AG109" i="55" s="1"/>
  <c r="AG132" i="55" s="1"/>
  <c r="AG155" i="55" s="1"/>
  <c r="AF339" i="46"/>
  <c r="AG108" i="55" s="1"/>
  <c r="AG131" i="55" s="1"/>
  <c r="AG154" i="55" s="1"/>
  <c r="AF338" i="46"/>
  <c r="BN97" i="45"/>
  <c r="AH100" i="45"/>
  <c r="AG317" i="48"/>
  <c r="BN117" i="45"/>
  <c r="DX109" i="55"/>
  <c r="DX110" i="55"/>
  <c r="AG316" i="48"/>
  <c r="AH91" i="45"/>
  <c r="AH114" i="45" s="1"/>
  <c r="AG314" i="48"/>
  <c r="AG318" i="48"/>
  <c r="AG315" i="48"/>
  <c r="BL155" i="55"/>
  <c r="DX155" i="55" s="1"/>
  <c r="DX132" i="55"/>
  <c r="BG130" i="55"/>
  <c r="DS107" i="55"/>
  <c r="BL156" i="55"/>
  <c r="DX156" i="55" s="1"/>
  <c r="DX133" i="55"/>
  <c r="BL154" i="55"/>
  <c r="DX154" i="55" s="1"/>
  <c r="DX131" i="55"/>
  <c r="DT104" i="55"/>
  <c r="DT127" i="55" s="1"/>
  <c r="DT150" i="55" s="1"/>
  <c r="BF54" i="58"/>
  <c r="BF44" i="58"/>
  <c r="BF49" i="58"/>
  <c r="AA131" i="45"/>
  <c r="AA53" i="58" s="1"/>
  <c r="AA130" i="45"/>
  <c r="AA48" i="58" s="1"/>
  <c r="AA129" i="45"/>
  <c r="AA43" i="58" s="1"/>
  <c r="AG318" i="46"/>
  <c r="CT111" i="55" s="1"/>
  <c r="CT134" i="55" s="1"/>
  <c r="CT157" i="55" s="1"/>
  <c r="AH117" i="45"/>
  <c r="AF322" i="48"/>
  <c r="AF339" i="48" s="1"/>
  <c r="BM108" i="55" s="1"/>
  <c r="BM103" i="55"/>
  <c r="BM126" i="55" s="1"/>
  <c r="BM149" i="55" s="1"/>
  <c r="AG313" i="46"/>
  <c r="AG314" i="46"/>
  <c r="CT107" i="55" s="1"/>
  <c r="CT130" i="55" s="1"/>
  <c r="CT153" i="55" s="1"/>
  <c r="BH107" i="55"/>
  <c r="AB364" i="46"/>
  <c r="BM113" i="45"/>
  <c r="AG315" i="46"/>
  <c r="CT108" i="55" s="1"/>
  <c r="CT131" i="55" s="1"/>
  <c r="CT154" i="55" s="1"/>
  <c r="AG322" i="46"/>
  <c r="AG338" i="46" s="1"/>
  <c r="AH103" i="55"/>
  <c r="AH126" i="55" s="1"/>
  <c r="AH149" i="55" s="1"/>
  <c r="AG316" i="46"/>
  <c r="CT109" i="55" s="1"/>
  <c r="CT132" i="55" s="1"/>
  <c r="CT155" i="55" s="1"/>
  <c r="BG124" i="45"/>
  <c r="AH78" i="45"/>
  <c r="BN76" i="45"/>
  <c r="AH113" i="45"/>
  <c r="BK119" i="45"/>
  <c r="AE120" i="45"/>
  <c r="AE122" i="45" s="1"/>
  <c r="BF126" i="45"/>
  <c r="AD366" i="48"/>
  <c r="BK104" i="55" s="1"/>
  <c r="BK127" i="55" s="1"/>
  <c r="BK150" i="55" s="1"/>
  <c r="BN118" i="45"/>
  <c r="BN113" i="45"/>
  <c r="AH118" i="45"/>
  <c r="BN116" i="45"/>
  <c r="J87" i="44"/>
  <c r="Z374" i="48"/>
  <c r="BG125" i="45"/>
  <c r="AH116" i="45"/>
  <c r="AA368" i="48"/>
  <c r="BH120" i="45"/>
  <c r="BG121" i="45"/>
  <c r="BG128" i="45" s="1"/>
  <c r="AF330" i="46"/>
  <c r="AF331" i="46"/>
  <c r="AD364" i="46"/>
  <c r="AF348" i="48"/>
  <c r="AF349" i="48" s="1"/>
  <c r="AF350" i="48" s="1"/>
  <c r="AF352" i="48" s="1"/>
  <c r="AF347" i="48"/>
  <c r="AA373" i="48"/>
  <c r="AE356" i="48"/>
  <c r="AG321" i="48"/>
  <c r="DZ103" i="55" s="1"/>
  <c r="DZ126" i="55" s="1"/>
  <c r="DZ149" i="55" s="1"/>
  <c r="AG344" i="48"/>
  <c r="AG345" i="48" s="1"/>
  <c r="AJ277" i="48"/>
  <c r="AI277" i="48"/>
  <c r="BN100" i="45"/>
  <c r="AF348" i="46"/>
  <c r="AF351" i="46" s="1"/>
  <c r="AC357" i="48"/>
  <c r="AC364" i="48" s="1"/>
  <c r="N81" i="44"/>
  <c r="N83" i="44"/>
  <c r="N85" i="44"/>
  <c r="N80" i="44"/>
  <c r="N82" i="44"/>
  <c r="N84" i="44"/>
  <c r="N86" i="44"/>
  <c r="AE352" i="46" l="1"/>
  <c r="BI153" i="55"/>
  <c r="DU153" i="55" s="1"/>
  <c r="DU130" i="55"/>
  <c r="BI131" i="45"/>
  <c r="BI53" i="58" s="1"/>
  <c r="AB44" i="58"/>
  <c r="BI129" i="45"/>
  <c r="BI43" i="58" s="1"/>
  <c r="AB54" i="58"/>
  <c r="AB49" i="58"/>
  <c r="BI130" i="45"/>
  <c r="BI48" i="58" s="1"/>
  <c r="AE366" i="46"/>
  <c r="AF104" i="55" s="1"/>
  <c r="AF127" i="55" s="1"/>
  <c r="AF150" i="55" s="1"/>
  <c r="AF119" i="45"/>
  <c r="BM115" i="45"/>
  <c r="AG115" i="45"/>
  <c r="AA126" i="45"/>
  <c r="BI126" i="45"/>
  <c r="AG328" i="46"/>
  <c r="AG329" i="46"/>
  <c r="AG335" i="46"/>
  <c r="AG334" i="46"/>
  <c r="AG346" i="46" s="1"/>
  <c r="AG347" i="46" s="1"/>
  <c r="BL157" i="55"/>
  <c r="DX157" i="55" s="1"/>
  <c r="DX134" i="55"/>
  <c r="AC373" i="46"/>
  <c r="AC368" i="46"/>
  <c r="Z54" i="58"/>
  <c r="Z49" i="58"/>
  <c r="Z44" i="58"/>
  <c r="AD104" i="55"/>
  <c r="AD127" i="55" s="1"/>
  <c r="AD150" i="55" s="1"/>
  <c r="AD107" i="55"/>
  <c r="AD130" i="55" s="1"/>
  <c r="AD153" i="55" s="1"/>
  <c r="AD119" i="45"/>
  <c r="AF341" i="48"/>
  <c r="BM110" i="55" s="1"/>
  <c r="AG341" i="46"/>
  <c r="AH110" i="55" s="1"/>
  <c r="AH133" i="55" s="1"/>
  <c r="AH156" i="55" s="1"/>
  <c r="AG339" i="46"/>
  <c r="AH108" i="55" s="1"/>
  <c r="AH131" i="55" s="1"/>
  <c r="AH154" i="55" s="1"/>
  <c r="AF337" i="48"/>
  <c r="AF342" i="48"/>
  <c r="BM111" i="55" s="1"/>
  <c r="AF340" i="48"/>
  <c r="BM109" i="55" s="1"/>
  <c r="DY109" i="55" s="1"/>
  <c r="AF338" i="48"/>
  <c r="AG337" i="46"/>
  <c r="BN114" i="45"/>
  <c r="AG342" i="46"/>
  <c r="AH111" i="55" s="1"/>
  <c r="AH134" i="55" s="1"/>
  <c r="AH157" i="55" s="1"/>
  <c r="AG340" i="46"/>
  <c r="AH109" i="55" s="1"/>
  <c r="AH132" i="55" s="1"/>
  <c r="AH155" i="55" s="1"/>
  <c r="BH130" i="55"/>
  <c r="DT107" i="55"/>
  <c r="BG153" i="55"/>
  <c r="DS153" i="55" s="1"/>
  <c r="DS130" i="55"/>
  <c r="DW104" i="55"/>
  <c r="DW127" i="55" s="1"/>
  <c r="DW150" i="55" s="1"/>
  <c r="BM131" i="55"/>
  <c r="DY108" i="55"/>
  <c r="AA49" i="58"/>
  <c r="AA54" i="58"/>
  <c r="AA44" i="58"/>
  <c r="BG131" i="45"/>
  <c r="BG53" i="58" s="1"/>
  <c r="BG129" i="45"/>
  <c r="BG43" i="58" s="1"/>
  <c r="BG130" i="45"/>
  <c r="BG48" i="58" s="1"/>
  <c r="AI114" i="45"/>
  <c r="AC104" i="55"/>
  <c r="AC127" i="55" s="1"/>
  <c r="AC150" i="55" s="1"/>
  <c r="AC107" i="55"/>
  <c r="AC130" i="55" s="1"/>
  <c r="AC153" i="55" s="1"/>
  <c r="AC119" i="45"/>
  <c r="AB368" i="46"/>
  <c r="AB373" i="46"/>
  <c r="BK107" i="55"/>
  <c r="AG322" i="48"/>
  <c r="AG341" i="48" s="1"/>
  <c r="BN110" i="55" s="1"/>
  <c r="BN103" i="55"/>
  <c r="BN126" i="55" s="1"/>
  <c r="BN149" i="55" s="1"/>
  <c r="AE104" i="55"/>
  <c r="AE127" i="55" s="1"/>
  <c r="AE150" i="55" s="1"/>
  <c r="AE107" i="55"/>
  <c r="AE130" i="55" s="1"/>
  <c r="AE153" i="55" s="1"/>
  <c r="BN78" i="45"/>
  <c r="CF19" i="45"/>
  <c r="AD373" i="48"/>
  <c r="BK120" i="45"/>
  <c r="BK122" i="45" s="1"/>
  <c r="AD368" i="48"/>
  <c r="BG126" i="45"/>
  <c r="BJ119" i="45"/>
  <c r="BH122" i="45"/>
  <c r="BH123" i="45"/>
  <c r="BH124" i="45"/>
  <c r="AA374" i="48"/>
  <c r="BH125" i="45"/>
  <c r="N87" i="44"/>
  <c r="AC366" i="48"/>
  <c r="BJ104" i="55" s="1"/>
  <c r="BJ127" i="55" s="1"/>
  <c r="BJ150" i="55" s="1"/>
  <c r="BH121" i="45"/>
  <c r="BH128" i="45" s="1"/>
  <c r="AE357" i="48"/>
  <c r="AE364" i="48" s="1"/>
  <c r="AF356" i="46"/>
  <c r="AF357" i="46" s="1"/>
  <c r="AF366" i="46" s="1"/>
  <c r="AF349" i="46"/>
  <c r="AF350" i="46" s="1"/>
  <c r="AF352" i="46" s="1"/>
  <c r="AH115" i="45"/>
  <c r="AI115" i="45" s="1"/>
  <c r="AD373" i="46"/>
  <c r="AE119" i="45"/>
  <c r="AD368" i="46"/>
  <c r="AG348" i="48"/>
  <c r="AG351" i="48" s="1"/>
  <c r="AG347" i="48"/>
  <c r="AF351" i="48"/>
  <c r="AF332" i="46"/>
  <c r="AF336" i="46" s="1"/>
  <c r="AF333" i="46"/>
  <c r="BI49" i="58" l="1"/>
  <c r="AF107" i="55"/>
  <c r="AF130" i="55" s="1"/>
  <c r="AF153" i="55" s="1"/>
  <c r="BI44" i="58"/>
  <c r="BI54" i="58"/>
  <c r="AF120" i="45"/>
  <c r="AF122" i="45" s="1"/>
  <c r="AE368" i="46"/>
  <c r="AE373" i="46"/>
  <c r="AG330" i="46"/>
  <c r="AG348" i="46"/>
  <c r="AG351" i="46" s="1"/>
  <c r="AG331" i="46"/>
  <c r="AD125" i="45"/>
  <c r="AC374" i="46"/>
  <c r="BN115" i="45"/>
  <c r="AD123" i="45"/>
  <c r="AD124" i="45"/>
  <c r="AD121" i="45"/>
  <c r="AD128" i="45" s="1"/>
  <c r="BM134" i="55"/>
  <c r="DY111" i="55"/>
  <c r="BM133" i="55"/>
  <c r="DY110" i="55"/>
  <c r="BK123" i="45"/>
  <c r="AG337" i="48"/>
  <c r="BM132" i="55"/>
  <c r="AG342" i="48"/>
  <c r="BN111" i="55" s="1"/>
  <c r="AG340" i="48"/>
  <c r="BN109" i="55" s="1"/>
  <c r="BN132" i="55" s="1"/>
  <c r="AG339" i="48"/>
  <c r="BN108" i="55" s="1"/>
  <c r="BN131" i="55" s="1"/>
  <c r="AG338" i="48"/>
  <c r="BK130" i="55"/>
  <c r="DW107" i="55"/>
  <c r="BH153" i="55"/>
  <c r="DT153" i="55" s="1"/>
  <c r="DT130" i="55"/>
  <c r="BM154" i="55"/>
  <c r="DY154" i="55" s="1"/>
  <c r="DY131" i="55"/>
  <c r="BN133" i="55"/>
  <c r="DZ110" i="55"/>
  <c r="DV104" i="55"/>
  <c r="DV127" i="55" s="1"/>
  <c r="DV150" i="55" s="1"/>
  <c r="BG49" i="58"/>
  <c r="BG54" i="58"/>
  <c r="BG44" i="58"/>
  <c r="BH131" i="45"/>
  <c r="BH53" i="58" s="1"/>
  <c r="BH129" i="45"/>
  <c r="BH43" i="58" s="1"/>
  <c r="BH130" i="45"/>
  <c r="BH48" i="58" s="1"/>
  <c r="AC121" i="45"/>
  <c r="AC128" i="45" s="1"/>
  <c r="AC123" i="45"/>
  <c r="AC124" i="45"/>
  <c r="BJ107" i="55"/>
  <c r="AC125" i="45"/>
  <c r="AB374" i="46"/>
  <c r="AC126" i="45" s="1"/>
  <c r="BK124" i="45"/>
  <c r="BK125" i="45"/>
  <c r="AD374" i="48"/>
  <c r="BK126" i="45" s="1"/>
  <c r="AG120" i="45"/>
  <c r="AG122" i="45" s="1"/>
  <c r="AC373" i="48"/>
  <c r="BL119" i="45"/>
  <c r="BH126" i="45"/>
  <c r="BJ120" i="45"/>
  <c r="BJ122" i="45" s="1"/>
  <c r="AC368" i="48"/>
  <c r="AE123" i="45"/>
  <c r="AE124" i="45"/>
  <c r="AE366" i="48"/>
  <c r="BL104" i="55" s="1"/>
  <c r="BL127" i="55" s="1"/>
  <c r="BL150" i="55" s="1"/>
  <c r="AF356" i="48"/>
  <c r="AF364" i="46"/>
  <c r="AG356" i="48"/>
  <c r="AG357" i="48" s="1"/>
  <c r="AG366" i="48" s="1"/>
  <c r="AD374" i="46"/>
  <c r="AE125" i="45"/>
  <c r="AG349" i="48"/>
  <c r="AG350" i="48" s="1"/>
  <c r="AG352" i="48" s="1"/>
  <c r="AE121" i="45"/>
  <c r="AE128" i="45" s="1"/>
  <c r="AF121" i="45" l="1"/>
  <c r="AF128" i="45" s="1"/>
  <c r="AF123" i="45"/>
  <c r="AF124" i="45"/>
  <c r="AE374" i="46"/>
  <c r="AF125" i="45"/>
  <c r="AG333" i="46"/>
  <c r="AG349" i="46"/>
  <c r="AG350" i="46" s="1"/>
  <c r="AG352" i="46" s="1"/>
  <c r="AG356" i="46"/>
  <c r="AG332" i="46"/>
  <c r="AG336" i="46" s="1"/>
  <c r="AD126" i="45"/>
  <c r="BM156" i="55"/>
  <c r="DY156" i="55" s="1"/>
  <c r="AD131" i="45"/>
  <c r="AD53" i="58" s="1"/>
  <c r="AD130" i="45"/>
  <c r="AD48" i="58" s="1"/>
  <c r="AD129" i="45"/>
  <c r="AD43" i="58" s="1"/>
  <c r="DY133" i="55"/>
  <c r="BN134" i="55"/>
  <c r="DZ111" i="55"/>
  <c r="BM157" i="55"/>
  <c r="DY157" i="55" s="1"/>
  <c r="DY134" i="55"/>
  <c r="BM155" i="55"/>
  <c r="DY155" i="55" s="1"/>
  <c r="DY132" i="55"/>
  <c r="DZ109" i="55"/>
  <c r="DZ108" i="55"/>
  <c r="BH49" i="58"/>
  <c r="BJ130" i="55"/>
  <c r="DV107" i="55"/>
  <c r="BH44" i="58"/>
  <c r="BN156" i="55"/>
  <c r="DZ156" i="55" s="1"/>
  <c r="DZ133" i="55"/>
  <c r="BN155" i="55"/>
  <c r="DZ155" i="55" s="1"/>
  <c r="DZ132" i="55"/>
  <c r="BN154" i="55"/>
  <c r="DZ154" i="55" s="1"/>
  <c r="DZ131" i="55"/>
  <c r="DX104" i="55"/>
  <c r="DX127" i="55" s="1"/>
  <c r="DX150" i="55" s="1"/>
  <c r="BK153" i="55"/>
  <c r="DW153" i="55" s="1"/>
  <c r="DW130" i="55"/>
  <c r="BH54" i="58"/>
  <c r="AE131" i="45"/>
  <c r="AE53" i="58" s="1"/>
  <c r="AE129" i="45"/>
  <c r="AE43" i="58" s="1"/>
  <c r="AE130" i="45"/>
  <c r="AE48" i="58" s="1"/>
  <c r="AC131" i="45"/>
  <c r="AC53" i="58" s="1"/>
  <c r="AC130" i="45"/>
  <c r="AC48" i="58" s="1"/>
  <c r="AC129" i="45"/>
  <c r="AC43" i="58" s="1"/>
  <c r="BL107" i="55"/>
  <c r="AG104" i="55"/>
  <c r="AG127" i="55" s="1"/>
  <c r="AG150" i="55" s="1"/>
  <c r="AG107" i="55"/>
  <c r="AG130" i="55" s="1"/>
  <c r="AG153" i="55" s="1"/>
  <c r="AC374" i="48"/>
  <c r="BJ126" i="45" s="1"/>
  <c r="BJ123" i="45"/>
  <c r="BJ125" i="45"/>
  <c r="AE126" i="45"/>
  <c r="BN120" i="45"/>
  <c r="BN122" i="45" s="1"/>
  <c r="AE368" i="48"/>
  <c r="BJ121" i="45"/>
  <c r="BJ128" i="45" s="1"/>
  <c r="BJ124" i="45"/>
  <c r="AE373" i="48"/>
  <c r="BL120" i="45"/>
  <c r="BK121" i="45"/>
  <c r="BK128" i="45" s="1"/>
  <c r="AF373" i="46"/>
  <c r="AG119" i="45"/>
  <c r="AF368" i="46"/>
  <c r="AG364" i="48"/>
  <c r="DZ104" i="55" s="1"/>
  <c r="DZ127" i="55" s="1"/>
  <c r="DZ150" i="55" s="1"/>
  <c r="AF357" i="48"/>
  <c r="AF366" i="48" s="1"/>
  <c r="AF131" i="45" l="1"/>
  <c r="AF53" i="58" s="1"/>
  <c r="AF130" i="45"/>
  <c r="AF48" i="58" s="1"/>
  <c r="AF126" i="45"/>
  <c r="AF129" i="45"/>
  <c r="AF43" i="58" s="1"/>
  <c r="AG357" i="46"/>
  <c r="AG366" i="46" s="1"/>
  <c r="BN157" i="55"/>
  <c r="DZ157" i="55" s="1"/>
  <c r="DZ134" i="55"/>
  <c r="AD54" i="58"/>
  <c r="AD49" i="58"/>
  <c r="AD44" i="58"/>
  <c r="AE49" i="58"/>
  <c r="AC44" i="58"/>
  <c r="AC49" i="58"/>
  <c r="AC54" i="58"/>
  <c r="AE44" i="58"/>
  <c r="BL130" i="55"/>
  <c r="DX107" i="55"/>
  <c r="BJ153" i="55"/>
  <c r="DV153" i="55" s="1"/>
  <c r="DV130" i="55"/>
  <c r="AE54" i="58"/>
  <c r="BK131" i="45"/>
  <c r="BK53" i="58" s="1"/>
  <c r="BK129" i="45"/>
  <c r="BK43" i="58" s="1"/>
  <c r="BK130" i="45"/>
  <c r="BK48" i="58" s="1"/>
  <c r="BJ131" i="45"/>
  <c r="BJ53" i="58" s="1"/>
  <c r="BJ129" i="45"/>
  <c r="BJ43" i="58" s="1"/>
  <c r="BJ130" i="45"/>
  <c r="BJ48" i="58" s="1"/>
  <c r="BN104" i="55"/>
  <c r="BN127" i="55" s="1"/>
  <c r="BN150" i="55" s="1"/>
  <c r="BN107" i="55"/>
  <c r="BN119" i="45"/>
  <c r="BN124" i="45" s="1"/>
  <c r="BM120" i="45"/>
  <c r="BM122" i="45" s="1"/>
  <c r="BL122" i="45"/>
  <c r="BL121" i="45"/>
  <c r="BL128" i="45" s="1"/>
  <c r="BL123" i="45"/>
  <c r="BL124" i="45"/>
  <c r="AG124" i="45"/>
  <c r="AG123" i="45"/>
  <c r="AE374" i="48"/>
  <c r="BL125" i="45"/>
  <c r="AG368" i="48"/>
  <c r="AG373" i="48"/>
  <c r="AG121" i="45"/>
  <c r="AG128" i="45" s="1"/>
  <c r="AF374" i="46"/>
  <c r="AG125" i="45"/>
  <c r="AF364" i="48"/>
  <c r="DY104" i="55" s="1"/>
  <c r="DY127" i="55" s="1"/>
  <c r="DY150" i="55" s="1"/>
  <c r="AF49" i="58" l="1"/>
  <c r="AF54" i="58"/>
  <c r="AF44" i="58"/>
  <c r="AG364" i="46"/>
  <c r="AH120" i="45"/>
  <c r="AH122" i="45" s="1"/>
  <c r="BJ54" i="58"/>
  <c r="BK49" i="58"/>
  <c r="BJ44" i="58"/>
  <c r="BN130" i="55"/>
  <c r="DZ107" i="55"/>
  <c r="BJ49" i="58"/>
  <c r="BL153" i="55"/>
  <c r="DX153" i="55" s="1"/>
  <c r="DX130" i="55"/>
  <c r="BK44" i="58"/>
  <c r="AG131" i="45"/>
  <c r="AG53" i="58" s="1"/>
  <c r="AG130" i="45"/>
  <c r="AG48" i="58" s="1"/>
  <c r="AG129" i="45"/>
  <c r="AG43" i="58" s="1"/>
  <c r="BK54" i="58"/>
  <c r="BL131" i="45"/>
  <c r="BL53" i="58" s="1"/>
  <c r="BL130" i="45"/>
  <c r="BL48" i="58" s="1"/>
  <c r="BL129" i="45"/>
  <c r="BL43" i="58" s="1"/>
  <c r="BM104" i="55"/>
  <c r="BM127" i="55" s="1"/>
  <c r="BM150" i="55" s="1"/>
  <c r="BM107" i="55"/>
  <c r="BN123" i="45"/>
  <c r="BL126" i="45"/>
  <c r="AG126" i="45"/>
  <c r="BM119" i="45"/>
  <c r="BM124" i="45" s="1"/>
  <c r="AG374" i="48"/>
  <c r="BN125" i="45"/>
  <c r="AF368" i="48"/>
  <c r="AF373" i="48"/>
  <c r="AH104" i="55" l="1"/>
  <c r="AH127" i="55" s="1"/>
  <c r="AH150" i="55" s="1"/>
  <c r="AH107" i="55"/>
  <c r="AH130" i="55" s="1"/>
  <c r="AH153" i="55" s="1"/>
  <c r="AH119" i="45"/>
  <c r="AG373" i="46"/>
  <c r="AG374" i="46" s="1"/>
  <c r="AG368" i="46"/>
  <c r="AG44" i="58"/>
  <c r="BM130" i="55"/>
  <c r="DY107" i="55"/>
  <c r="BN153" i="55"/>
  <c r="DZ153" i="55" s="1"/>
  <c r="DZ130" i="55"/>
  <c r="AG54" i="58"/>
  <c r="BL54" i="58"/>
  <c r="BL49" i="58"/>
  <c r="BL44" i="58"/>
  <c r="AG49" i="58"/>
  <c r="BM123" i="45"/>
  <c r="BM121" i="45"/>
  <c r="BM128" i="45" s="1"/>
  <c r="BN126" i="45"/>
  <c r="AF374" i="48"/>
  <c r="BM125" i="45"/>
  <c r="BN121" i="45"/>
  <c r="BN128" i="45" s="1"/>
  <c r="CF20" i="45" l="1"/>
  <c r="AH124" i="45"/>
  <c r="AH123" i="45"/>
  <c r="AH121" i="45"/>
  <c r="AH128" i="45" s="1"/>
  <c r="AH130" i="45" s="1"/>
  <c r="AH48" i="58" s="1"/>
  <c r="P18" i="60" s="1"/>
  <c r="AH125" i="45"/>
  <c r="AH126" i="45"/>
  <c r="BM153" i="55"/>
  <c r="DY153" i="55" s="1"/>
  <c r="DY130" i="55"/>
  <c r="BM131" i="45"/>
  <c r="BM53" i="58" s="1"/>
  <c r="BM130" i="45"/>
  <c r="BM48" i="58" s="1"/>
  <c r="BM129" i="45"/>
  <c r="BM43" i="58" s="1"/>
  <c r="BN131" i="45"/>
  <c r="BN53" i="58" s="1"/>
  <c r="BN129" i="45"/>
  <c r="BN43" i="58" s="1"/>
  <c r="BN130" i="45"/>
  <c r="BN48" i="58" s="1"/>
  <c r="BM126" i="45"/>
  <c r="E3" i="49"/>
  <c r="AH129" i="45" l="1"/>
  <c r="AH43" i="58" s="1"/>
  <c r="P19" i="60" s="1"/>
  <c r="AH131" i="45"/>
  <c r="AH53" i="58" s="1"/>
  <c r="P17" i="60" s="1"/>
  <c r="BM44" i="58"/>
  <c r="BM49" i="58"/>
  <c r="BM54" i="58"/>
  <c r="K17" i="60"/>
  <c r="E21" i="61" s="1"/>
  <c r="DE20" i="58"/>
  <c r="BN54" i="58"/>
  <c r="DC20" i="58"/>
  <c r="K19" i="60"/>
  <c r="E23" i="61" s="1"/>
  <c r="BN44" i="58"/>
  <c r="K18" i="60"/>
  <c r="E22" i="61" s="1"/>
  <c r="DD20" i="58"/>
  <c r="BN49" i="58"/>
  <c r="F18" i="49"/>
  <c r="C18" i="49"/>
  <c r="C22" i="49" s="1"/>
  <c r="I28" i="49" s="1"/>
  <c r="AH44" i="58" l="1"/>
  <c r="AH54" i="58"/>
  <c r="AH49" i="58"/>
  <c r="O10" i="24"/>
  <c r="I27" i="49"/>
  <c r="I26" i="49"/>
  <c r="O27" i="49"/>
  <c r="O28" i="49"/>
  <c r="O29" i="49"/>
  <c r="F23" i="49"/>
  <c r="G18" i="49" s="1"/>
  <c r="O26" i="49"/>
  <c r="O30" i="49"/>
  <c r="R30" i="49" s="1"/>
  <c r="L28" i="49"/>
  <c r="J4" i="3"/>
  <c r="EC9" i="59" s="1"/>
  <c r="C23" i="49"/>
  <c r="D19" i="49" s="1"/>
  <c r="I29" i="49"/>
  <c r="I30" i="49"/>
  <c r="M58" i="60" l="1"/>
  <c r="N58" i="60" s="1"/>
  <c r="O58" i="60" s="1"/>
  <c r="R29" i="49"/>
  <c r="D30" i="51"/>
  <c r="D10" i="51"/>
  <c r="R28" i="49"/>
  <c r="D20" i="49"/>
  <c r="R27" i="49"/>
  <c r="D26" i="51"/>
  <c r="D18" i="49"/>
  <c r="G19" i="49"/>
  <c r="G21" i="49"/>
  <c r="G22" i="49"/>
  <c r="M60" i="60" s="1"/>
  <c r="N60" i="60" s="1"/>
  <c r="O60" i="60" s="1"/>
  <c r="G20" i="49"/>
  <c r="M59" i="60" s="1"/>
  <c r="N59" i="60" s="1"/>
  <c r="O59" i="60" s="1"/>
  <c r="D22" i="49"/>
  <c r="D21" i="49"/>
  <c r="D18" i="51"/>
  <c r="R26" i="49"/>
  <c r="O31" i="49"/>
  <c r="P30" i="49" s="1"/>
  <c r="O4" i="8"/>
  <c r="EC7" i="59" s="1"/>
  <c r="L26" i="49"/>
  <c r="L29" i="49"/>
  <c r="J4" i="9"/>
  <c r="J5" i="3"/>
  <c r="J7" i="3" s="1"/>
  <c r="EE9" i="59" s="1"/>
  <c r="O4" i="4"/>
  <c r="EC8" i="59" s="1"/>
  <c r="L27" i="49"/>
  <c r="I31" i="49"/>
  <c r="K4" i="26"/>
  <c r="L30" i="49"/>
  <c r="E10" i="51"/>
  <c r="AJ10" i="51"/>
  <c r="D12" i="51"/>
  <c r="D17" i="51" s="1"/>
  <c r="B8" i="61" l="1"/>
  <c r="D10" i="61"/>
  <c r="D11" i="61" s="1"/>
  <c r="E10" i="61"/>
  <c r="EE18" i="59"/>
  <c r="EM18" i="59" s="1"/>
  <c r="EM9" i="59"/>
  <c r="R31" i="49"/>
  <c r="S30" i="49" s="1"/>
  <c r="O61" i="60"/>
  <c r="P26" i="49"/>
  <c r="P28" i="49"/>
  <c r="E14" i="52"/>
  <c r="E17" i="52" s="1"/>
  <c r="E20" i="52" s="1"/>
  <c r="M14" i="52"/>
  <c r="M17" i="52" s="1"/>
  <c r="M20" i="52" s="1"/>
  <c r="U14" i="52"/>
  <c r="U17" i="52" s="1"/>
  <c r="U20" i="52" s="1"/>
  <c r="AC14" i="52"/>
  <c r="AC17" i="52" s="1"/>
  <c r="AC20" i="52" s="1"/>
  <c r="F14" i="52"/>
  <c r="F17" i="52" s="1"/>
  <c r="F20" i="52" s="1"/>
  <c r="N14" i="52"/>
  <c r="N17" i="52" s="1"/>
  <c r="N20" i="52" s="1"/>
  <c r="V14" i="52"/>
  <c r="V17" i="52" s="1"/>
  <c r="V20" i="52" s="1"/>
  <c r="AD14" i="52"/>
  <c r="AD17" i="52" s="1"/>
  <c r="AD20" i="52" s="1"/>
  <c r="G14" i="52"/>
  <c r="G17" i="52" s="1"/>
  <c r="G20" i="52" s="1"/>
  <c r="O14" i="52"/>
  <c r="O17" i="52" s="1"/>
  <c r="O20" i="52" s="1"/>
  <c r="W14" i="52"/>
  <c r="W17" i="52" s="1"/>
  <c r="W20" i="52" s="1"/>
  <c r="AE14" i="52"/>
  <c r="AE17" i="52" s="1"/>
  <c r="AE20" i="52" s="1"/>
  <c r="H14" i="52"/>
  <c r="H17" i="52" s="1"/>
  <c r="H20" i="52" s="1"/>
  <c r="P14" i="52"/>
  <c r="P17" i="52" s="1"/>
  <c r="P20" i="52" s="1"/>
  <c r="X14" i="52"/>
  <c r="X17" i="52" s="1"/>
  <c r="X20" i="52" s="1"/>
  <c r="AF14" i="52"/>
  <c r="AF17" i="52" s="1"/>
  <c r="AF20" i="52" s="1"/>
  <c r="I14" i="52"/>
  <c r="I17" i="52" s="1"/>
  <c r="I20" i="52" s="1"/>
  <c r="Q14" i="52"/>
  <c r="Q17" i="52" s="1"/>
  <c r="Q20" i="52" s="1"/>
  <c r="Y14" i="52"/>
  <c r="Y17" i="52" s="1"/>
  <c r="Y20" i="52" s="1"/>
  <c r="AG14" i="52"/>
  <c r="AG17" i="52" s="1"/>
  <c r="AG20" i="52" s="1"/>
  <c r="C14" i="52"/>
  <c r="C17" i="52" s="1"/>
  <c r="J14" i="52"/>
  <c r="J17" i="52" s="1"/>
  <c r="J20" i="52" s="1"/>
  <c r="R14" i="52"/>
  <c r="R17" i="52" s="1"/>
  <c r="R20" i="52" s="1"/>
  <c r="Z14" i="52"/>
  <c r="Z17" i="52" s="1"/>
  <c r="Z20" i="52" s="1"/>
  <c r="K14" i="52"/>
  <c r="K17" i="52" s="1"/>
  <c r="K20" i="52" s="1"/>
  <c r="S14" i="52"/>
  <c r="S17" i="52" s="1"/>
  <c r="S20" i="52" s="1"/>
  <c r="AA14" i="52"/>
  <c r="AA17" i="52" s="1"/>
  <c r="AA20" i="52" s="1"/>
  <c r="D14" i="52"/>
  <c r="D17" i="52" s="1"/>
  <c r="D20" i="52" s="1"/>
  <c r="L14" i="52"/>
  <c r="L17" i="52" s="1"/>
  <c r="L20" i="52" s="1"/>
  <c r="T14" i="52"/>
  <c r="T17" i="52" s="1"/>
  <c r="T20" i="52" s="1"/>
  <c r="AB14" i="52"/>
  <c r="AB17" i="52" s="1"/>
  <c r="AB20" i="52" s="1"/>
  <c r="P29" i="49"/>
  <c r="P27" i="49"/>
  <c r="D36" i="51"/>
  <c r="D39" i="51" s="1"/>
  <c r="C40" i="53" s="1"/>
  <c r="S29" i="49"/>
  <c r="D52" i="51"/>
  <c r="C37" i="53"/>
  <c r="J12" i="3"/>
  <c r="J11" i="3"/>
  <c r="J10" i="3"/>
  <c r="F10" i="51"/>
  <c r="AK10" i="51"/>
  <c r="E12" i="51"/>
  <c r="J31" i="49"/>
  <c r="J28" i="49"/>
  <c r="J29" i="49"/>
  <c r="J26" i="49"/>
  <c r="J30" i="49"/>
  <c r="E26" i="51"/>
  <c r="D29" i="51"/>
  <c r="AJ26" i="51"/>
  <c r="AJ29" i="51" s="1"/>
  <c r="E30" i="51"/>
  <c r="AJ30" i="51"/>
  <c r="D34" i="51"/>
  <c r="D31" i="51"/>
  <c r="D16" i="59" s="1"/>
  <c r="D32" i="51"/>
  <c r="D17" i="59" s="1"/>
  <c r="E18" i="51"/>
  <c r="AJ18" i="51"/>
  <c r="AJ25" i="51" s="1"/>
  <c r="D25" i="51"/>
  <c r="L31" i="49"/>
  <c r="K5" i="26"/>
  <c r="K6" i="26" s="1"/>
  <c r="J27" i="49"/>
  <c r="O5" i="8"/>
  <c r="O6" i="8" s="1"/>
  <c r="EE7" i="59" s="1"/>
  <c r="EE16" i="59" s="1"/>
  <c r="AJ12" i="51"/>
  <c r="AJ17" i="51" s="1"/>
  <c r="O6" i="4"/>
  <c r="EE8" i="59" s="1"/>
  <c r="O5" i="4"/>
  <c r="J6" i="9"/>
  <c r="EE10" i="59" s="1"/>
  <c r="EE19" i="59" s="1"/>
  <c r="J5" i="9"/>
  <c r="S27" i="49" l="1"/>
  <c r="S28" i="49"/>
  <c r="S26" i="49"/>
  <c r="EE17" i="59"/>
  <c r="EL17" i="59" s="1"/>
  <c r="EL8" i="59"/>
  <c r="D45" i="59"/>
  <c r="D88" i="59"/>
  <c r="D115" i="59"/>
  <c r="D71" i="59"/>
  <c r="D44" i="59"/>
  <c r="D87" i="59"/>
  <c r="D114" i="59"/>
  <c r="D70" i="59"/>
  <c r="D44" i="51"/>
  <c r="D18" i="59"/>
  <c r="S36" i="52"/>
  <c r="S21" i="52"/>
  <c r="Q36" i="52"/>
  <c r="Q21" i="52"/>
  <c r="O21" i="52"/>
  <c r="M21" i="52"/>
  <c r="AA36" i="52"/>
  <c r="AA21" i="52"/>
  <c r="K36" i="52"/>
  <c r="K21" i="52"/>
  <c r="I36" i="52"/>
  <c r="I21" i="52"/>
  <c r="G36" i="52"/>
  <c r="G21" i="52"/>
  <c r="E36" i="52"/>
  <c r="E21" i="52"/>
  <c r="AF36" i="52"/>
  <c r="AF21" i="52"/>
  <c r="AD36" i="52"/>
  <c r="AD21" i="52"/>
  <c r="W21" i="52"/>
  <c r="D65" i="51"/>
  <c r="AB36" i="52"/>
  <c r="AB21" i="52"/>
  <c r="R36" i="52"/>
  <c r="R21" i="52"/>
  <c r="X36" i="52"/>
  <c r="X21" i="52"/>
  <c r="V36" i="52"/>
  <c r="V21" i="52"/>
  <c r="U36" i="52"/>
  <c r="U21" i="52"/>
  <c r="T36" i="52"/>
  <c r="T21" i="52"/>
  <c r="J36" i="52"/>
  <c r="J21" i="52"/>
  <c r="P36" i="52"/>
  <c r="P21" i="52"/>
  <c r="N36" i="52"/>
  <c r="N21" i="52"/>
  <c r="P31" i="49"/>
  <c r="Z36" i="52"/>
  <c r="Z21" i="52"/>
  <c r="L36" i="52"/>
  <c r="L21" i="52"/>
  <c r="W25" i="52"/>
  <c r="AG25" i="52" s="1"/>
  <c r="W28" i="52"/>
  <c r="AG28" i="52" s="1"/>
  <c r="W24" i="52"/>
  <c r="AG24" i="52" s="1"/>
  <c r="W27" i="52"/>
  <c r="AG27" i="52" s="1"/>
  <c r="W26" i="52"/>
  <c r="AG26" i="52" s="1"/>
  <c r="C20" i="52"/>
  <c r="H36" i="52"/>
  <c r="H21" i="52"/>
  <c r="F36" i="52"/>
  <c r="F21" i="52"/>
  <c r="Y36" i="52"/>
  <c r="Y21" i="52"/>
  <c r="D36" i="52"/>
  <c r="D21" i="52"/>
  <c r="AG21" i="52"/>
  <c r="AE36" i="52"/>
  <c r="AE21" i="52"/>
  <c r="AC36" i="52"/>
  <c r="AC21" i="52"/>
  <c r="AJ52" i="51"/>
  <c r="C37" i="54"/>
  <c r="D48" i="51"/>
  <c r="C36" i="53"/>
  <c r="C42" i="53" s="1"/>
  <c r="AJ59" i="51"/>
  <c r="C38" i="54"/>
  <c r="C43" i="53"/>
  <c r="D43" i="53"/>
  <c r="E43" i="53"/>
  <c r="F43" i="53"/>
  <c r="G43" i="53"/>
  <c r="H43" i="53"/>
  <c r="I43" i="53"/>
  <c r="J43" i="53"/>
  <c r="K43" i="53"/>
  <c r="L43" i="53"/>
  <c r="M43" i="53"/>
  <c r="N43" i="53"/>
  <c r="O43" i="53"/>
  <c r="AJ48" i="51"/>
  <c r="C36" i="54"/>
  <c r="C42" i="54" s="1"/>
  <c r="D59" i="51"/>
  <c r="C38" i="53"/>
  <c r="G46" i="53"/>
  <c r="G159" i="53" s="1"/>
  <c r="H46" i="53"/>
  <c r="H159" i="53" s="1"/>
  <c r="C46" i="53"/>
  <c r="C159" i="53" s="1"/>
  <c r="D46" i="53"/>
  <c r="D159" i="53" s="1"/>
  <c r="E46" i="53"/>
  <c r="E159" i="53" s="1"/>
  <c r="F46" i="53"/>
  <c r="F159" i="53" s="1"/>
  <c r="M30" i="49"/>
  <c r="S31" i="49"/>
  <c r="M26" i="49"/>
  <c r="E36" i="51"/>
  <c r="E37" i="51" s="1"/>
  <c r="E19" i="59" s="1"/>
  <c r="AJ36" i="51"/>
  <c r="AJ39" i="51" s="1"/>
  <c r="M29" i="49"/>
  <c r="D33" i="51"/>
  <c r="D43" i="51" s="1"/>
  <c r="J13" i="3"/>
  <c r="K7" i="26"/>
  <c r="K8" i="26"/>
  <c r="F30" i="51"/>
  <c r="AK30" i="51"/>
  <c r="E34" i="51"/>
  <c r="E18" i="59" s="1"/>
  <c r="E32" i="51"/>
  <c r="E17" i="59" s="1"/>
  <c r="E31" i="51"/>
  <c r="E16" i="59" s="1"/>
  <c r="G10" i="51"/>
  <c r="AL10" i="51"/>
  <c r="F12" i="51"/>
  <c r="J8" i="9"/>
  <c r="J10" i="9"/>
  <c r="J7" i="9"/>
  <c r="E13" i="51"/>
  <c r="E12" i="59" s="1"/>
  <c r="E14" i="51"/>
  <c r="E13" i="59" s="1"/>
  <c r="O10" i="8"/>
  <c r="O9" i="8"/>
  <c r="O7" i="8"/>
  <c r="O8" i="8"/>
  <c r="O8" i="4"/>
  <c r="O7" i="4"/>
  <c r="E23" i="51"/>
  <c r="E11" i="59" s="1"/>
  <c r="E19" i="51"/>
  <c r="E8" i="59" s="1"/>
  <c r="E22" i="51"/>
  <c r="E10" i="59" s="1"/>
  <c r="F18" i="51"/>
  <c r="E20" i="51"/>
  <c r="E9" i="59" s="1"/>
  <c r="AK18" i="51"/>
  <c r="M27" i="49"/>
  <c r="M31" i="49"/>
  <c r="M28" i="49"/>
  <c r="AJ32" i="51"/>
  <c r="AJ17" i="59" s="1"/>
  <c r="AJ31" i="51"/>
  <c r="AJ16" i="59" s="1"/>
  <c r="AJ34" i="51"/>
  <c r="F26" i="51"/>
  <c r="E28" i="51"/>
  <c r="E15" i="59" s="1"/>
  <c r="E27" i="51"/>
  <c r="E14" i="59" s="1"/>
  <c r="AK26" i="51"/>
  <c r="AK12" i="51"/>
  <c r="D35" i="51" l="1"/>
  <c r="D46" i="51"/>
  <c r="E83" i="59"/>
  <c r="E110" i="59"/>
  <c r="E40" i="59"/>
  <c r="E66" i="59"/>
  <c r="E88" i="59"/>
  <c r="E115" i="59"/>
  <c r="E45" i="59"/>
  <c r="E71" i="59"/>
  <c r="E89" i="59"/>
  <c r="E116" i="59"/>
  <c r="E46" i="59"/>
  <c r="E72" i="59"/>
  <c r="E113" i="59"/>
  <c r="E86" i="59"/>
  <c r="E69" i="59"/>
  <c r="E43" i="59"/>
  <c r="E90" i="59"/>
  <c r="E73" i="59"/>
  <c r="E47" i="59"/>
  <c r="E117" i="59"/>
  <c r="E112" i="59"/>
  <c r="E42" i="59"/>
  <c r="E85" i="59"/>
  <c r="E68" i="59"/>
  <c r="D46" i="59"/>
  <c r="D72" i="59"/>
  <c r="D89" i="59"/>
  <c r="D116" i="59"/>
  <c r="AJ44" i="51"/>
  <c r="AJ18" i="59"/>
  <c r="AJ87" i="59"/>
  <c r="AJ114" i="59"/>
  <c r="AJ44" i="59"/>
  <c r="AJ70" i="59"/>
  <c r="D75" i="59"/>
  <c r="AJ88" i="59"/>
  <c r="AJ45" i="59"/>
  <c r="AJ115" i="59"/>
  <c r="AJ71" i="59"/>
  <c r="E84" i="59"/>
  <c r="E111" i="59"/>
  <c r="E41" i="59"/>
  <c r="E67" i="59"/>
  <c r="E87" i="59"/>
  <c r="E114" i="59"/>
  <c r="E44" i="59"/>
  <c r="E70" i="59"/>
  <c r="AI20" i="52"/>
  <c r="C35" i="52"/>
  <c r="C36" i="52" s="1"/>
  <c r="E80" i="59"/>
  <c r="E107" i="59"/>
  <c r="E37" i="59"/>
  <c r="E63" i="59"/>
  <c r="E81" i="59"/>
  <c r="E108" i="59"/>
  <c r="E38" i="59"/>
  <c r="E64" i="59"/>
  <c r="E79" i="59"/>
  <c r="E36" i="59"/>
  <c r="E106" i="59"/>
  <c r="E62" i="59"/>
  <c r="E82" i="59"/>
  <c r="E109" i="59"/>
  <c r="E39" i="59"/>
  <c r="E65" i="59"/>
  <c r="M32" i="52"/>
  <c r="AG35" i="52" s="1"/>
  <c r="AG36" i="52" s="1"/>
  <c r="C21" i="52"/>
  <c r="K107" i="53"/>
  <c r="K111" i="53"/>
  <c r="K109" i="53"/>
  <c r="K113" i="53"/>
  <c r="C107" i="53"/>
  <c r="C108" i="53" s="1"/>
  <c r="D53" i="51" s="1"/>
  <c r="C109" i="53"/>
  <c r="C110" i="53" s="1"/>
  <c r="D62" i="51" s="1"/>
  <c r="AJ62" i="51" s="1"/>
  <c r="C113" i="53"/>
  <c r="C114" i="53" s="1"/>
  <c r="C111" i="53"/>
  <c r="C112" i="53" s="1"/>
  <c r="J107" i="53"/>
  <c r="J109" i="53"/>
  <c r="J111" i="53"/>
  <c r="J113" i="53"/>
  <c r="C78" i="54"/>
  <c r="C79" i="54" s="1"/>
  <c r="C72" i="54"/>
  <c r="C73" i="54" s="1"/>
  <c r="C80" i="54"/>
  <c r="C81" i="54" s="1"/>
  <c r="C74" i="54"/>
  <c r="C75" i="54" s="1"/>
  <c r="I107" i="53"/>
  <c r="I113" i="53"/>
  <c r="I109" i="53"/>
  <c r="I111" i="53"/>
  <c r="H107" i="53"/>
  <c r="H108" i="53" s="1"/>
  <c r="I53" i="51" s="1"/>
  <c r="AO53" i="51" s="1"/>
  <c r="H111" i="53"/>
  <c r="H112" i="53" s="1"/>
  <c r="H113" i="53"/>
  <c r="H114" i="53" s="1"/>
  <c r="H109" i="53"/>
  <c r="H110" i="53" s="1"/>
  <c r="I62" i="51" s="1"/>
  <c r="AO62" i="51" s="1"/>
  <c r="C74" i="53"/>
  <c r="C75" i="53" s="1"/>
  <c r="D57" i="51" s="1"/>
  <c r="AJ57" i="51" s="1"/>
  <c r="C72" i="53"/>
  <c r="C73" i="53" s="1"/>
  <c r="D49" i="51" s="1"/>
  <c r="AJ49" i="51" s="1"/>
  <c r="C78" i="53"/>
  <c r="C80" i="53"/>
  <c r="C81" i="53" s="1"/>
  <c r="D61" i="51" s="1"/>
  <c r="AJ61" i="51" s="1"/>
  <c r="AJ65" i="51"/>
  <c r="C40" i="54"/>
  <c r="O107" i="53"/>
  <c r="O109" i="53"/>
  <c r="O110" i="53" s="1"/>
  <c r="P62" i="51" s="1"/>
  <c r="AV62" i="51" s="1"/>
  <c r="O113" i="53"/>
  <c r="O114" i="53" s="1"/>
  <c r="O111" i="53"/>
  <c r="G107" i="53"/>
  <c r="G109" i="53"/>
  <c r="G111" i="53"/>
  <c r="G113" i="53"/>
  <c r="G114" i="53" s="1"/>
  <c r="N107" i="53"/>
  <c r="N113" i="53"/>
  <c r="N114" i="53" s="1"/>
  <c r="N109" i="53"/>
  <c r="N111" i="53"/>
  <c r="F107" i="53"/>
  <c r="F113" i="53"/>
  <c r="F114" i="53" s="1"/>
  <c r="F111" i="53"/>
  <c r="F109" i="53"/>
  <c r="F110" i="53" s="1"/>
  <c r="G62" i="51" s="1"/>
  <c r="AM62" i="51" s="1"/>
  <c r="M107" i="53"/>
  <c r="M113" i="53"/>
  <c r="M114" i="53" s="1"/>
  <c r="M109" i="53"/>
  <c r="M111" i="53"/>
  <c r="E107" i="53"/>
  <c r="E113" i="53"/>
  <c r="E114" i="53" s="1"/>
  <c r="E109" i="53"/>
  <c r="E111" i="53"/>
  <c r="E112" i="53" s="1"/>
  <c r="C43" i="54"/>
  <c r="D43" i="54"/>
  <c r="E43" i="54"/>
  <c r="F43" i="54"/>
  <c r="G43" i="54"/>
  <c r="H43" i="54"/>
  <c r="I43" i="54"/>
  <c r="J43" i="54"/>
  <c r="K43" i="54"/>
  <c r="L43" i="54"/>
  <c r="M43" i="54"/>
  <c r="N43" i="54"/>
  <c r="O43" i="54"/>
  <c r="L107" i="53"/>
  <c r="L111" i="53"/>
  <c r="L109" i="53"/>
  <c r="L110" i="53" s="1"/>
  <c r="M62" i="51" s="1"/>
  <c r="AS62" i="51" s="1"/>
  <c r="L113" i="53"/>
  <c r="L114" i="53" s="1"/>
  <c r="D107" i="53"/>
  <c r="D113" i="53"/>
  <c r="D114" i="53" s="1"/>
  <c r="D111" i="53"/>
  <c r="D109" i="53"/>
  <c r="F160" i="53"/>
  <c r="G66" i="51" s="1"/>
  <c r="AM66" i="51" s="1"/>
  <c r="E160" i="53"/>
  <c r="F66" i="51" s="1"/>
  <c r="AL66" i="51" s="1"/>
  <c r="D160" i="53"/>
  <c r="E66" i="51" s="1"/>
  <c r="AK66" i="51" s="1"/>
  <c r="C160" i="53"/>
  <c r="D66" i="51" s="1"/>
  <c r="H160" i="53"/>
  <c r="I66" i="51" s="1"/>
  <c r="AO66" i="51" s="1"/>
  <c r="G160" i="53"/>
  <c r="H66" i="51" s="1"/>
  <c r="AN66" i="51" s="1"/>
  <c r="E38" i="51"/>
  <c r="E29" i="51"/>
  <c r="O9" i="4"/>
  <c r="K9" i="26"/>
  <c r="E33" i="51"/>
  <c r="E35" i="51" s="1"/>
  <c r="J9" i="9"/>
  <c r="J11" i="9" s="1"/>
  <c r="E24" i="51"/>
  <c r="O11" i="8"/>
  <c r="F36" i="51"/>
  <c r="F38" i="51" s="1"/>
  <c r="F20" i="59" s="1"/>
  <c r="AL12" i="51"/>
  <c r="AK28" i="51"/>
  <c r="AK15" i="59" s="1"/>
  <c r="AK27" i="51"/>
  <c r="AK14" i="59" s="1"/>
  <c r="AK36" i="51"/>
  <c r="AK19" i="51"/>
  <c r="AK8" i="59" s="1"/>
  <c r="AK23" i="51"/>
  <c r="AK11" i="59" s="1"/>
  <c r="AK20" i="51"/>
  <c r="AK9" i="59" s="1"/>
  <c r="AK22" i="51"/>
  <c r="AK10" i="59" s="1"/>
  <c r="E21" i="51"/>
  <c r="H10" i="51"/>
  <c r="AM10" i="51"/>
  <c r="G12" i="51"/>
  <c r="AK32" i="51"/>
  <c r="AK17" i="59" s="1"/>
  <c r="AK31" i="51"/>
  <c r="AK16" i="59" s="1"/>
  <c r="AK34" i="51"/>
  <c r="AK18" i="59" s="1"/>
  <c r="AJ33" i="51"/>
  <c r="G30" i="51"/>
  <c r="AL30" i="51"/>
  <c r="F31" i="51"/>
  <c r="F16" i="59" s="1"/>
  <c r="F32" i="51"/>
  <c r="F17" i="59" s="1"/>
  <c r="F34" i="51"/>
  <c r="F18" i="59" s="1"/>
  <c r="AK13" i="51"/>
  <c r="AK12" i="59" s="1"/>
  <c r="AK14" i="51"/>
  <c r="AK13" i="59" s="1"/>
  <c r="F27" i="51"/>
  <c r="F14" i="59" s="1"/>
  <c r="G26" i="51"/>
  <c r="F28" i="51"/>
  <c r="F15" i="59" s="1"/>
  <c r="AL26" i="51"/>
  <c r="F20" i="51"/>
  <c r="F9" i="59" s="1"/>
  <c r="F19" i="51"/>
  <c r="F8" i="59" s="1"/>
  <c r="F22" i="51"/>
  <c r="F10" i="59" s="1"/>
  <c r="G18" i="51"/>
  <c r="F23" i="51"/>
  <c r="F11" i="59" s="1"/>
  <c r="AL18" i="51"/>
  <c r="E15" i="51"/>
  <c r="F14" i="51"/>
  <c r="F13" i="59" s="1"/>
  <c r="F13" i="51"/>
  <c r="F12" i="59" s="1"/>
  <c r="D55" i="51" l="1"/>
  <c r="C39" i="53"/>
  <c r="F86" i="59"/>
  <c r="F113" i="59"/>
  <c r="F43" i="59"/>
  <c r="F69" i="59"/>
  <c r="F85" i="59"/>
  <c r="F112" i="59"/>
  <c r="F42" i="59"/>
  <c r="F68" i="59"/>
  <c r="F91" i="59"/>
  <c r="F118" i="59"/>
  <c r="F48" i="59"/>
  <c r="F74" i="59"/>
  <c r="E39" i="51"/>
  <c r="E20" i="59"/>
  <c r="AK67" i="59"/>
  <c r="AK84" i="59"/>
  <c r="AK111" i="59"/>
  <c r="AK41" i="59"/>
  <c r="AK46" i="59"/>
  <c r="AK89" i="59"/>
  <c r="AK116" i="59"/>
  <c r="AK72" i="59"/>
  <c r="AJ89" i="59"/>
  <c r="AJ116" i="59"/>
  <c r="AJ46" i="59"/>
  <c r="AJ72" i="59"/>
  <c r="AK83" i="59"/>
  <c r="AK110" i="59"/>
  <c r="AK40" i="59"/>
  <c r="AK66" i="59"/>
  <c r="AK44" i="59"/>
  <c r="AK87" i="59"/>
  <c r="AK114" i="59"/>
  <c r="AK70" i="59"/>
  <c r="F89" i="59"/>
  <c r="F116" i="59"/>
  <c r="F46" i="59"/>
  <c r="F72" i="59"/>
  <c r="AK88" i="59"/>
  <c r="AK115" i="59"/>
  <c r="AK45" i="59"/>
  <c r="AK71" i="59"/>
  <c r="F45" i="59"/>
  <c r="F88" i="59"/>
  <c r="F115" i="59"/>
  <c r="F71" i="59"/>
  <c r="F83" i="59"/>
  <c r="F110" i="59"/>
  <c r="F40" i="59"/>
  <c r="F66" i="59"/>
  <c r="F87" i="59"/>
  <c r="F114" i="59"/>
  <c r="F44" i="59"/>
  <c r="F70" i="59"/>
  <c r="AK112" i="59"/>
  <c r="AK85" i="59"/>
  <c r="AK42" i="59"/>
  <c r="AK68" i="59"/>
  <c r="F84" i="59"/>
  <c r="F111" i="59"/>
  <c r="F41" i="59"/>
  <c r="F67" i="59"/>
  <c r="AK113" i="59"/>
  <c r="AK43" i="59"/>
  <c r="AK86" i="59"/>
  <c r="AK69" i="59"/>
  <c r="F79" i="59"/>
  <c r="F106" i="59"/>
  <c r="F36" i="59"/>
  <c r="F62" i="59"/>
  <c r="AK81" i="59"/>
  <c r="AK108" i="59"/>
  <c r="AK38" i="59"/>
  <c r="AK64" i="59"/>
  <c r="AK80" i="59"/>
  <c r="AK107" i="59"/>
  <c r="AK37" i="59"/>
  <c r="AK63" i="59"/>
  <c r="AK39" i="59"/>
  <c r="AK82" i="59"/>
  <c r="AK109" i="59"/>
  <c r="AK65" i="59"/>
  <c r="AK79" i="59"/>
  <c r="AK106" i="59"/>
  <c r="AK36" i="59"/>
  <c r="AK62" i="59"/>
  <c r="F80" i="59"/>
  <c r="F107" i="59"/>
  <c r="F37" i="59"/>
  <c r="F63" i="59"/>
  <c r="F81" i="59"/>
  <c r="F108" i="59"/>
  <c r="F38" i="59"/>
  <c r="F64" i="59"/>
  <c r="F82" i="59"/>
  <c r="F109" i="59"/>
  <c r="F39" i="59"/>
  <c r="F65" i="59"/>
  <c r="D108" i="53"/>
  <c r="E53" i="51" s="1"/>
  <c r="AK53" i="51" s="1"/>
  <c r="AI35" i="52"/>
  <c r="O35" i="52" s="1"/>
  <c r="O36" i="52" s="1"/>
  <c r="AI36" i="52"/>
  <c r="M35" i="52"/>
  <c r="M36" i="52" s="1"/>
  <c r="M108" i="53"/>
  <c r="N53" i="51" s="1"/>
  <c r="AT53" i="51" s="1"/>
  <c r="N108" i="53"/>
  <c r="O53" i="51" s="1"/>
  <c r="AU53" i="51" s="1"/>
  <c r="O108" i="53"/>
  <c r="P53" i="51" s="1"/>
  <c r="AV53" i="51" s="1"/>
  <c r="F112" i="53"/>
  <c r="G68" i="51" s="1"/>
  <c r="AM68" i="51" s="1"/>
  <c r="L108" i="53"/>
  <c r="M53" i="51" s="1"/>
  <c r="AS53" i="51" s="1"/>
  <c r="G110" i="53"/>
  <c r="H62" i="51" s="1"/>
  <c r="AN62" i="51" s="1"/>
  <c r="I112" i="53"/>
  <c r="J68" i="51" s="1"/>
  <c r="AP68" i="51" s="1"/>
  <c r="J114" i="53"/>
  <c r="G112" i="53"/>
  <c r="D110" i="53"/>
  <c r="E62" i="51" s="1"/>
  <c r="AK62" i="51" s="1"/>
  <c r="E108" i="53"/>
  <c r="F53" i="51" s="1"/>
  <c r="AL53" i="51" s="1"/>
  <c r="F108" i="53"/>
  <c r="G53" i="51" s="1"/>
  <c r="AM53" i="51" s="1"/>
  <c r="G108" i="53"/>
  <c r="H53" i="51" s="1"/>
  <c r="AN53" i="51" s="1"/>
  <c r="I110" i="53"/>
  <c r="J62" i="51" s="1"/>
  <c r="AP62" i="51" s="1"/>
  <c r="E110" i="53"/>
  <c r="F62" i="51" s="1"/>
  <c r="AL62" i="51" s="1"/>
  <c r="D112" i="53"/>
  <c r="E68" i="51" s="1"/>
  <c r="AK68" i="51" s="1"/>
  <c r="M112" i="53"/>
  <c r="N112" i="53"/>
  <c r="O68" i="51" s="1"/>
  <c r="AU68" i="51" s="1"/>
  <c r="O112" i="53"/>
  <c r="P50" i="51" s="1"/>
  <c r="I114" i="53"/>
  <c r="L112" i="53"/>
  <c r="M68" i="51" s="1"/>
  <c r="AS68" i="51" s="1"/>
  <c r="M110" i="53"/>
  <c r="N62" i="51" s="1"/>
  <c r="AT62" i="51" s="1"/>
  <c r="N110" i="53"/>
  <c r="O62" i="51" s="1"/>
  <c r="AU62" i="51" s="1"/>
  <c r="I108" i="53"/>
  <c r="J53" i="51" s="1"/>
  <c r="AP53" i="51" s="1"/>
  <c r="AJ66" i="51"/>
  <c r="N107" i="54"/>
  <c r="N109" i="54"/>
  <c r="N111" i="54"/>
  <c r="N113" i="54"/>
  <c r="F107" i="54"/>
  <c r="F109" i="54"/>
  <c r="F113" i="54"/>
  <c r="F111" i="54"/>
  <c r="N68" i="51"/>
  <c r="AT68" i="51" s="1"/>
  <c r="N50" i="51"/>
  <c r="D67" i="51"/>
  <c r="AJ67" i="51" s="1"/>
  <c r="C79" i="53"/>
  <c r="D68" i="51"/>
  <c r="AJ68" i="51" s="1"/>
  <c r="D50" i="51"/>
  <c r="D51" i="51" s="1"/>
  <c r="M113" i="54"/>
  <c r="M107" i="54"/>
  <c r="M111" i="54"/>
  <c r="M109" i="54"/>
  <c r="E107" i="54"/>
  <c r="E109" i="54"/>
  <c r="E111" i="54"/>
  <c r="E113" i="54"/>
  <c r="J50" i="51"/>
  <c r="L107" i="54"/>
  <c r="L111" i="54"/>
  <c r="L113" i="54"/>
  <c r="L109" i="54"/>
  <c r="D107" i="54"/>
  <c r="D109" i="54"/>
  <c r="D111" i="54"/>
  <c r="D113" i="54"/>
  <c r="K107" i="54"/>
  <c r="K109" i="54"/>
  <c r="K113" i="54"/>
  <c r="K111" i="54"/>
  <c r="C107" i="54"/>
  <c r="C108" i="54" s="1"/>
  <c r="C113" i="54"/>
  <c r="C114" i="54" s="1"/>
  <c r="C111" i="54"/>
  <c r="C112" i="54" s="1"/>
  <c r="C109" i="54"/>
  <c r="C110" i="54" s="1"/>
  <c r="AJ53" i="51"/>
  <c r="AJ54" i="51" s="1"/>
  <c r="D54" i="51"/>
  <c r="E59" i="51"/>
  <c r="D38" i="53"/>
  <c r="J107" i="54"/>
  <c r="J108" i="54" s="1"/>
  <c r="J109" i="54"/>
  <c r="J113" i="54"/>
  <c r="J114" i="54" s="1"/>
  <c r="J111" i="54"/>
  <c r="F68" i="51"/>
  <c r="AL68" i="51" s="1"/>
  <c r="F50" i="51"/>
  <c r="J112" i="53"/>
  <c r="K114" i="53"/>
  <c r="I107" i="54"/>
  <c r="I113" i="54"/>
  <c r="I114" i="54" s="1"/>
  <c r="I109" i="54"/>
  <c r="I111" i="54"/>
  <c r="C46" i="54"/>
  <c r="C159" i="54" s="1"/>
  <c r="D46" i="54"/>
  <c r="D159" i="54" s="1"/>
  <c r="E46" i="54"/>
  <c r="E159" i="54" s="1"/>
  <c r="F46" i="54"/>
  <c r="F159" i="54" s="1"/>
  <c r="G46" i="54"/>
  <c r="G159" i="54" s="1"/>
  <c r="H46" i="54"/>
  <c r="H159" i="54" s="1"/>
  <c r="I68" i="51"/>
  <c r="AO68" i="51" s="1"/>
  <c r="I50" i="51"/>
  <c r="J110" i="53"/>
  <c r="K62" i="51" s="1"/>
  <c r="AQ62" i="51" s="1"/>
  <c r="K110" i="53"/>
  <c r="L62" i="51" s="1"/>
  <c r="AR62" i="51" s="1"/>
  <c r="H107" i="54"/>
  <c r="H111" i="54"/>
  <c r="H109" i="54"/>
  <c r="H113" i="54"/>
  <c r="H114" i="54" s="1"/>
  <c r="H50" i="51"/>
  <c r="H68" i="51"/>
  <c r="AN68" i="51" s="1"/>
  <c r="J108" i="53"/>
  <c r="K53" i="51" s="1"/>
  <c r="AQ53" i="51" s="1"/>
  <c r="K112" i="53"/>
  <c r="O107" i="54"/>
  <c r="O113" i="54"/>
  <c r="O114" i="54" s="1"/>
  <c r="O111" i="54"/>
  <c r="O109" i="54"/>
  <c r="G107" i="54"/>
  <c r="G108" i="54" s="1"/>
  <c r="G111" i="54"/>
  <c r="G109" i="54"/>
  <c r="G113" i="54"/>
  <c r="K108" i="53"/>
  <c r="L53" i="51" s="1"/>
  <c r="AR53" i="51" s="1"/>
  <c r="E44" i="51"/>
  <c r="E55" i="51"/>
  <c r="D39" i="53"/>
  <c r="I45" i="53" s="1"/>
  <c r="E25" i="51"/>
  <c r="F29" i="51"/>
  <c r="F21" i="51"/>
  <c r="F37" i="51"/>
  <c r="AK21" i="51"/>
  <c r="F15" i="51"/>
  <c r="F17" i="51" s="1"/>
  <c r="AK29" i="51"/>
  <c r="AL20" i="51"/>
  <c r="AL9" i="59" s="1"/>
  <c r="AL22" i="51"/>
  <c r="AL10" i="59" s="1"/>
  <c r="AL19" i="51"/>
  <c r="AL8" i="59" s="1"/>
  <c r="AL23" i="51"/>
  <c r="AL11" i="59" s="1"/>
  <c r="G27" i="51"/>
  <c r="G14" i="59" s="1"/>
  <c r="G28" i="51"/>
  <c r="G15" i="59" s="1"/>
  <c r="H26" i="51"/>
  <c r="AM26" i="51"/>
  <c r="G36" i="51"/>
  <c r="AK15" i="51"/>
  <c r="AJ43" i="51"/>
  <c r="AJ46" i="51" s="1"/>
  <c r="AJ35" i="51"/>
  <c r="E17" i="51"/>
  <c r="E43" i="51"/>
  <c r="AL34" i="51"/>
  <c r="AL18" i="59" s="1"/>
  <c r="AL31" i="51"/>
  <c r="AL16" i="59" s="1"/>
  <c r="AL32" i="51"/>
  <c r="AL17" i="59" s="1"/>
  <c r="G14" i="51"/>
  <c r="G13" i="59" s="1"/>
  <c r="G13" i="51"/>
  <c r="G12" i="59" s="1"/>
  <c r="AK24" i="51"/>
  <c r="AK38" i="51"/>
  <c r="AK20" i="59" s="1"/>
  <c r="AK37" i="51"/>
  <c r="AK19" i="59" s="1"/>
  <c r="AL36" i="51"/>
  <c r="F33" i="51"/>
  <c r="F35" i="51" s="1"/>
  <c r="G22" i="51"/>
  <c r="G10" i="59" s="1"/>
  <c r="H18" i="51"/>
  <c r="G23" i="51"/>
  <c r="G11" i="59" s="1"/>
  <c r="G20" i="51"/>
  <c r="G9" i="59" s="1"/>
  <c r="G19" i="51"/>
  <c r="G8" i="59" s="1"/>
  <c r="AM18" i="51"/>
  <c r="F24" i="51"/>
  <c r="F25" i="51" s="1"/>
  <c r="AL28" i="51"/>
  <c r="AL15" i="59" s="1"/>
  <c r="AL27" i="51"/>
  <c r="AL14" i="59" s="1"/>
  <c r="H30" i="51"/>
  <c r="AM30" i="51"/>
  <c r="G34" i="51"/>
  <c r="G18" i="59" s="1"/>
  <c r="G31" i="51"/>
  <c r="G16" i="59" s="1"/>
  <c r="G32" i="51"/>
  <c r="G17" i="59" s="1"/>
  <c r="AK33" i="51"/>
  <c r="AK35" i="51" s="1"/>
  <c r="AM12" i="51"/>
  <c r="AL13" i="51"/>
  <c r="AL12" i="59" s="1"/>
  <c r="AL14" i="51"/>
  <c r="AL13" i="59" s="1"/>
  <c r="I10" i="51"/>
  <c r="AN10" i="51"/>
  <c r="H12" i="51"/>
  <c r="E65" i="51" l="1"/>
  <c r="D40" i="53"/>
  <c r="I46" i="53" s="1"/>
  <c r="I159" i="53" s="1"/>
  <c r="AJ75" i="59"/>
  <c r="EH47" i="59"/>
  <c r="EH50" i="59" s="1"/>
  <c r="C45" i="53"/>
  <c r="D45" i="53"/>
  <c r="E45" i="53"/>
  <c r="F45" i="53"/>
  <c r="G45" i="53"/>
  <c r="H45" i="53"/>
  <c r="AL84" i="59"/>
  <c r="AL111" i="59"/>
  <c r="AL41" i="59"/>
  <c r="AL67" i="59"/>
  <c r="G67" i="59"/>
  <c r="G84" i="59"/>
  <c r="G111" i="59"/>
  <c r="G41" i="59"/>
  <c r="AL83" i="59"/>
  <c r="AL110" i="59"/>
  <c r="AL40" i="59"/>
  <c r="AL66" i="59"/>
  <c r="AL88" i="59"/>
  <c r="AL45" i="59"/>
  <c r="AL115" i="59"/>
  <c r="AL71" i="59"/>
  <c r="AL86" i="59"/>
  <c r="AL113" i="59"/>
  <c r="AL43" i="59"/>
  <c r="AL69" i="59"/>
  <c r="AL87" i="59"/>
  <c r="AL114" i="59"/>
  <c r="AL44" i="59"/>
  <c r="AL70" i="59"/>
  <c r="E91" i="59"/>
  <c r="E118" i="59"/>
  <c r="E48" i="59"/>
  <c r="E74" i="59"/>
  <c r="E75" i="59" s="1"/>
  <c r="AL112" i="59"/>
  <c r="AL42" i="59"/>
  <c r="AL68" i="59"/>
  <c r="AL85" i="59"/>
  <c r="AL89" i="59"/>
  <c r="AL46" i="59"/>
  <c r="AL116" i="59"/>
  <c r="AL72" i="59"/>
  <c r="G45" i="59"/>
  <c r="G88" i="59"/>
  <c r="G115" i="59"/>
  <c r="G71" i="59"/>
  <c r="AK90" i="59"/>
  <c r="AK117" i="59"/>
  <c r="AK47" i="59"/>
  <c r="AK73" i="59"/>
  <c r="G113" i="59"/>
  <c r="G86" i="59"/>
  <c r="G43" i="59"/>
  <c r="G69" i="59"/>
  <c r="AK48" i="59"/>
  <c r="AK91" i="59"/>
  <c r="AK118" i="59"/>
  <c r="AK74" i="59"/>
  <c r="G42" i="59"/>
  <c r="G68" i="59"/>
  <c r="G112" i="59"/>
  <c r="G85" i="59"/>
  <c r="F39" i="51"/>
  <c r="F19" i="59"/>
  <c r="G89" i="59"/>
  <c r="G116" i="59"/>
  <c r="G46" i="59"/>
  <c r="G72" i="59"/>
  <c r="G87" i="59"/>
  <c r="G114" i="59"/>
  <c r="G44" i="59"/>
  <c r="G70" i="59"/>
  <c r="G40" i="59"/>
  <c r="G83" i="59"/>
  <c r="G110" i="59"/>
  <c r="G66" i="59"/>
  <c r="I108" i="54"/>
  <c r="O108" i="54"/>
  <c r="H108" i="54"/>
  <c r="G114" i="54"/>
  <c r="O50" i="51"/>
  <c r="AL79" i="59"/>
  <c r="AL106" i="59"/>
  <c r="AL36" i="59"/>
  <c r="AL62" i="59"/>
  <c r="AL81" i="59"/>
  <c r="AL108" i="59"/>
  <c r="AL38" i="59"/>
  <c r="AL64" i="59"/>
  <c r="G37" i="59"/>
  <c r="G80" i="59"/>
  <c r="G107" i="59"/>
  <c r="G63" i="59"/>
  <c r="AL37" i="59"/>
  <c r="AL80" i="59"/>
  <c r="AL107" i="59"/>
  <c r="AL63" i="59"/>
  <c r="G81" i="59"/>
  <c r="G108" i="59"/>
  <c r="G38" i="59"/>
  <c r="G64" i="59"/>
  <c r="G82" i="59"/>
  <c r="G109" i="59"/>
  <c r="G39" i="59"/>
  <c r="G65" i="59"/>
  <c r="G36" i="59"/>
  <c r="G79" i="59"/>
  <c r="G106" i="59"/>
  <c r="G62" i="59"/>
  <c r="AL39" i="59"/>
  <c r="AL82" i="59"/>
  <c r="AL109" i="59"/>
  <c r="AL65" i="59"/>
  <c r="P68" i="51"/>
  <c r="AV68" i="51" s="1"/>
  <c r="J112" i="54"/>
  <c r="O112" i="54"/>
  <c r="H112" i="54"/>
  <c r="G112" i="54"/>
  <c r="G50" i="51"/>
  <c r="K108" i="54"/>
  <c r="M50" i="51"/>
  <c r="W35" i="52"/>
  <c r="W36" i="52" s="1"/>
  <c r="E46" i="51"/>
  <c r="G110" i="54"/>
  <c r="J110" i="54"/>
  <c r="D108" i="54"/>
  <c r="K112" i="54"/>
  <c r="L110" i="54"/>
  <c r="E114" i="54"/>
  <c r="E50" i="51"/>
  <c r="AK50" i="51" s="1"/>
  <c r="O110" i="54"/>
  <c r="I112" i="54"/>
  <c r="K114" i="54"/>
  <c r="L114" i="54"/>
  <c r="H110" i="54"/>
  <c r="I110" i="54"/>
  <c r="K110" i="54"/>
  <c r="K68" i="51"/>
  <c r="AQ68" i="51" s="1"/>
  <c r="K50" i="51"/>
  <c r="AV50" i="51"/>
  <c r="M114" i="54"/>
  <c r="N108" i="54"/>
  <c r="E52" i="51"/>
  <c r="E54" i="51" s="1"/>
  <c r="D37" i="53"/>
  <c r="P43" i="53" s="1"/>
  <c r="H160" i="54"/>
  <c r="AJ50" i="51"/>
  <c r="F112" i="54"/>
  <c r="AJ55" i="51"/>
  <c r="C39" i="54"/>
  <c r="G160" i="54"/>
  <c r="AL50" i="51"/>
  <c r="E112" i="54"/>
  <c r="F114" i="54"/>
  <c r="F59" i="51"/>
  <c r="E38" i="53"/>
  <c r="L68" i="51"/>
  <c r="AR68" i="51" s="1"/>
  <c r="L50" i="51"/>
  <c r="F160" i="54"/>
  <c r="L112" i="54"/>
  <c r="E110" i="54"/>
  <c r="F110" i="54"/>
  <c r="E48" i="51"/>
  <c r="D36" i="53"/>
  <c r="D42" i="53" s="1"/>
  <c r="E160" i="54"/>
  <c r="L108" i="54"/>
  <c r="E108" i="54"/>
  <c r="F108" i="54"/>
  <c r="D160" i="54"/>
  <c r="AS50" i="51"/>
  <c r="D114" i="54"/>
  <c r="AP50" i="51"/>
  <c r="M110" i="54"/>
  <c r="AU50" i="51"/>
  <c r="N114" i="54"/>
  <c r="AK59" i="51"/>
  <c r="D38" i="54"/>
  <c r="C160" i="54"/>
  <c r="D112" i="54"/>
  <c r="M112" i="54"/>
  <c r="N112" i="54"/>
  <c r="AK55" i="51"/>
  <c r="D39" i="54"/>
  <c r="I45" i="54" s="1"/>
  <c r="F48" i="51"/>
  <c r="E36" i="53"/>
  <c r="E42" i="53" s="1"/>
  <c r="F52" i="51"/>
  <c r="F54" i="51" s="1"/>
  <c r="E37" i="53"/>
  <c r="Q43" i="53" s="1"/>
  <c r="AN50" i="51"/>
  <c r="AO50" i="51"/>
  <c r="AM50" i="51"/>
  <c r="D110" i="54"/>
  <c r="M108" i="54"/>
  <c r="AT50" i="51"/>
  <c r="N110" i="54"/>
  <c r="I139" i="53"/>
  <c r="I137" i="53"/>
  <c r="J56" i="51" s="1"/>
  <c r="AP56" i="51" s="1"/>
  <c r="I141" i="53"/>
  <c r="C141" i="53"/>
  <c r="C137" i="53"/>
  <c r="D56" i="51" s="1"/>
  <c r="C139" i="53"/>
  <c r="C47" i="53"/>
  <c r="H137" i="53"/>
  <c r="I56" i="51" s="1"/>
  <c r="AO56" i="51" s="1"/>
  <c r="H141" i="53"/>
  <c r="H139" i="53"/>
  <c r="G137" i="53"/>
  <c r="H56" i="51" s="1"/>
  <c r="AN56" i="51" s="1"/>
  <c r="G139" i="53"/>
  <c r="G141" i="53"/>
  <c r="F137" i="53"/>
  <c r="G56" i="51" s="1"/>
  <c r="AM56" i="51" s="1"/>
  <c r="F139" i="53"/>
  <c r="F141" i="53"/>
  <c r="F55" i="51"/>
  <c r="E39" i="53"/>
  <c r="J45" i="53" s="1"/>
  <c r="G29" i="51"/>
  <c r="AK25" i="51"/>
  <c r="AL29" i="51"/>
  <c r="AL33" i="51"/>
  <c r="AL35" i="51" s="1"/>
  <c r="AM36" i="51"/>
  <c r="AM37" i="51" s="1"/>
  <c r="AM19" i="59" s="1"/>
  <c r="AL15" i="51"/>
  <c r="AL17" i="51" s="1"/>
  <c r="F43" i="51"/>
  <c r="AK44" i="51"/>
  <c r="AK39" i="51"/>
  <c r="G15" i="51"/>
  <c r="G17" i="51" s="1"/>
  <c r="I30" i="51"/>
  <c r="AN30" i="51"/>
  <c r="H31" i="51"/>
  <c r="H16" i="59" s="1"/>
  <c r="H32" i="51"/>
  <c r="H17" i="59" s="1"/>
  <c r="H34" i="51"/>
  <c r="H18" i="59" s="1"/>
  <c r="H36" i="51"/>
  <c r="F44" i="51"/>
  <c r="AK43" i="51"/>
  <c r="AK17" i="51"/>
  <c r="H28" i="51"/>
  <c r="H15" i="59" s="1"/>
  <c r="I26" i="51"/>
  <c r="H27" i="51"/>
  <c r="H14" i="59" s="1"/>
  <c r="AN26" i="51"/>
  <c r="G33" i="51"/>
  <c r="G35" i="51" s="1"/>
  <c r="H13" i="51"/>
  <c r="H12" i="59" s="1"/>
  <c r="H14" i="51"/>
  <c r="H13" i="59" s="1"/>
  <c r="AM14" i="51"/>
  <c r="AM13" i="59" s="1"/>
  <c r="AM13" i="51"/>
  <c r="AM12" i="59" s="1"/>
  <c r="AM22" i="51"/>
  <c r="AM10" i="59" s="1"/>
  <c r="AM19" i="51"/>
  <c r="AM8" i="59" s="1"/>
  <c r="AM20" i="51"/>
  <c r="AM9" i="59" s="1"/>
  <c r="AM23" i="51"/>
  <c r="AM11" i="59" s="1"/>
  <c r="I18" i="51"/>
  <c r="H20" i="51"/>
  <c r="H9" i="59" s="1"/>
  <c r="H22" i="51"/>
  <c r="H10" i="59" s="1"/>
  <c r="H19" i="51"/>
  <c r="H8" i="59" s="1"/>
  <c r="H23" i="51"/>
  <c r="H11" i="59" s="1"/>
  <c r="AN18" i="51"/>
  <c r="AL38" i="51"/>
  <c r="AL20" i="59" s="1"/>
  <c r="AL37" i="51"/>
  <c r="AL19" i="59" s="1"/>
  <c r="G37" i="51"/>
  <c r="G19" i="59" s="1"/>
  <c r="G38" i="51"/>
  <c r="G20" i="59" s="1"/>
  <c r="AL24" i="51"/>
  <c r="AN12" i="51"/>
  <c r="AM31" i="51"/>
  <c r="AM16" i="59" s="1"/>
  <c r="AM34" i="51"/>
  <c r="AM18" i="59" s="1"/>
  <c r="AM32" i="51"/>
  <c r="AM17" i="59" s="1"/>
  <c r="G21" i="51"/>
  <c r="G24" i="51"/>
  <c r="AL21" i="51"/>
  <c r="J10" i="51"/>
  <c r="AO10" i="51"/>
  <c r="I12" i="51"/>
  <c r="AM28" i="51"/>
  <c r="AM15" i="59" s="1"/>
  <c r="AM27" i="51"/>
  <c r="AM14" i="59" s="1"/>
  <c r="AK75" i="59" l="1"/>
  <c r="I160" i="53"/>
  <c r="J66" i="51" s="1"/>
  <c r="AP66" i="51" s="1"/>
  <c r="F65" i="51"/>
  <c r="E40" i="53"/>
  <c r="J46" i="53" s="1"/>
  <c r="J159" i="53" s="1"/>
  <c r="D47" i="53"/>
  <c r="D139" i="53"/>
  <c r="D141" i="53"/>
  <c r="E47" i="53"/>
  <c r="D137" i="53"/>
  <c r="E56" i="51" s="1"/>
  <c r="AK56" i="51" s="1"/>
  <c r="E141" i="53"/>
  <c r="E139" i="53"/>
  <c r="E137" i="53"/>
  <c r="F56" i="51" s="1"/>
  <c r="AL56" i="51" s="1"/>
  <c r="AL73" i="59"/>
  <c r="AL90" i="59"/>
  <c r="AL117" i="59"/>
  <c r="AL47" i="59"/>
  <c r="AL91" i="59"/>
  <c r="AL48" i="59"/>
  <c r="AL118" i="59"/>
  <c r="AL74" i="59"/>
  <c r="AL75" i="59" s="1"/>
  <c r="H89" i="59"/>
  <c r="H46" i="59"/>
  <c r="H116" i="59"/>
  <c r="H72" i="59"/>
  <c r="AM88" i="59"/>
  <c r="AM115" i="59"/>
  <c r="AM45" i="59"/>
  <c r="AM71" i="59"/>
  <c r="H85" i="59"/>
  <c r="H112" i="59"/>
  <c r="H42" i="59"/>
  <c r="H68" i="59"/>
  <c r="H88" i="59"/>
  <c r="H45" i="59"/>
  <c r="H115" i="59"/>
  <c r="H71" i="59"/>
  <c r="AM86" i="59"/>
  <c r="AM113" i="59"/>
  <c r="AM43" i="59"/>
  <c r="AM69" i="59"/>
  <c r="H87" i="59"/>
  <c r="H114" i="59"/>
  <c r="H44" i="59"/>
  <c r="H70" i="59"/>
  <c r="AM47" i="59"/>
  <c r="AM117" i="59"/>
  <c r="AM73" i="59"/>
  <c r="AM90" i="59"/>
  <c r="AM89" i="59"/>
  <c r="AM116" i="59"/>
  <c r="AM46" i="59"/>
  <c r="AM72" i="59"/>
  <c r="AM110" i="59"/>
  <c r="AM83" i="59"/>
  <c r="AM40" i="59"/>
  <c r="AM66" i="59"/>
  <c r="H43" i="59"/>
  <c r="H113" i="59"/>
  <c r="H69" i="59"/>
  <c r="H86" i="59"/>
  <c r="AM87" i="59"/>
  <c r="AM44" i="59"/>
  <c r="AM114" i="59"/>
  <c r="AM70" i="59"/>
  <c r="AM41" i="59"/>
  <c r="AM84" i="59"/>
  <c r="AM111" i="59"/>
  <c r="AM67" i="59"/>
  <c r="G48" i="59"/>
  <c r="G91" i="59"/>
  <c r="G118" i="59"/>
  <c r="G74" i="59"/>
  <c r="H84" i="59"/>
  <c r="H111" i="59"/>
  <c r="H41" i="59"/>
  <c r="H67" i="59"/>
  <c r="F90" i="59"/>
  <c r="F47" i="59"/>
  <c r="F117" i="59"/>
  <c r="F73" i="59"/>
  <c r="F75" i="59" s="1"/>
  <c r="AM85" i="59"/>
  <c r="AM68" i="59"/>
  <c r="AM112" i="59"/>
  <c r="AM42" i="59"/>
  <c r="G90" i="59"/>
  <c r="G47" i="59"/>
  <c r="G117" i="59"/>
  <c r="G73" i="59"/>
  <c r="H40" i="59"/>
  <c r="H66" i="59"/>
  <c r="H83" i="59"/>
  <c r="H110" i="59"/>
  <c r="H80" i="59"/>
  <c r="H107" i="59"/>
  <c r="H37" i="59"/>
  <c r="H63" i="59"/>
  <c r="AM82" i="59"/>
  <c r="AM109" i="59"/>
  <c r="AM39" i="59"/>
  <c r="AM65" i="59"/>
  <c r="D162" i="53"/>
  <c r="AM80" i="59"/>
  <c r="AM107" i="59"/>
  <c r="AM37" i="59"/>
  <c r="AM63" i="59"/>
  <c r="AM79" i="59"/>
  <c r="AM106" i="59"/>
  <c r="AM36" i="59"/>
  <c r="AM62" i="59"/>
  <c r="H82" i="59"/>
  <c r="H109" i="59"/>
  <c r="H39" i="59"/>
  <c r="H65" i="59"/>
  <c r="AM38" i="59"/>
  <c r="AM81" i="59"/>
  <c r="AM108" i="59"/>
  <c r="AM64" i="59"/>
  <c r="H79" i="59"/>
  <c r="H106" i="59"/>
  <c r="H36" i="59"/>
  <c r="H62" i="59"/>
  <c r="H38" i="59"/>
  <c r="H81" i="59"/>
  <c r="H108" i="59"/>
  <c r="H64" i="59"/>
  <c r="E207" i="53"/>
  <c r="E208" i="53" s="1"/>
  <c r="F4" i="55"/>
  <c r="C207" i="53"/>
  <c r="D4" i="55"/>
  <c r="D207" i="53"/>
  <c r="D211" i="53" s="1"/>
  <c r="E4" i="55"/>
  <c r="AL52" i="51"/>
  <c r="AL54" i="51" s="1"/>
  <c r="E37" i="54"/>
  <c r="Q43" i="54" s="1"/>
  <c r="P107" i="53"/>
  <c r="P108" i="53" s="1"/>
  <c r="Q53" i="51" s="1"/>
  <c r="AW53" i="51" s="1"/>
  <c r="P111" i="53"/>
  <c r="P112" i="53" s="1"/>
  <c r="P109" i="53"/>
  <c r="P110" i="53" s="1"/>
  <c r="Q62" i="51" s="1"/>
  <c r="AW62" i="51" s="1"/>
  <c r="P113" i="53"/>
  <c r="P114" i="53" s="1"/>
  <c r="AK52" i="51"/>
  <c r="AK54" i="51" s="1"/>
  <c r="D37" i="54"/>
  <c r="P43" i="54" s="1"/>
  <c r="I139" i="54"/>
  <c r="I141" i="54"/>
  <c r="I137" i="54"/>
  <c r="AL55" i="51"/>
  <c r="E39" i="54"/>
  <c r="J45" i="54" s="1"/>
  <c r="G52" i="51"/>
  <c r="G54" i="51" s="1"/>
  <c r="F37" i="53"/>
  <c r="R43" i="53" s="1"/>
  <c r="AL59" i="51"/>
  <c r="E38" i="54"/>
  <c r="AK65" i="51"/>
  <c r="D40" i="54"/>
  <c r="I46" i="54" s="1"/>
  <c r="I159" i="54" s="1"/>
  <c r="AK48" i="51"/>
  <c r="D36" i="54"/>
  <c r="D42" i="54" s="1"/>
  <c r="D72" i="53"/>
  <c r="D73" i="53" s="1"/>
  <c r="E49" i="51" s="1"/>
  <c r="AK49" i="51" s="1"/>
  <c r="D78" i="53"/>
  <c r="D80" i="53"/>
  <c r="D81" i="53" s="1"/>
  <c r="E61" i="51" s="1"/>
  <c r="D74" i="53"/>
  <c r="D75" i="53" s="1"/>
  <c r="E57" i="51" s="1"/>
  <c r="AR50" i="51"/>
  <c r="AJ51" i="51"/>
  <c r="G59" i="51"/>
  <c r="F38" i="53"/>
  <c r="AJ56" i="51"/>
  <c r="AJ58" i="51" s="1"/>
  <c r="AJ72" i="51" s="1"/>
  <c r="D58" i="51"/>
  <c r="D72" i="51" s="1"/>
  <c r="Q107" i="53"/>
  <c r="Q108" i="53" s="1"/>
  <c r="R53" i="51" s="1"/>
  <c r="AX53" i="51" s="1"/>
  <c r="Q113" i="53"/>
  <c r="Q114" i="53" s="1"/>
  <c r="Q109" i="53"/>
  <c r="Q110" i="53" s="1"/>
  <c r="R62" i="51" s="1"/>
  <c r="AX62" i="51" s="1"/>
  <c r="Q111" i="53"/>
  <c r="Q112" i="53" s="1"/>
  <c r="C45" i="54"/>
  <c r="D45" i="54"/>
  <c r="E45" i="54"/>
  <c r="F45" i="54"/>
  <c r="G45" i="54"/>
  <c r="H45" i="54"/>
  <c r="AQ50" i="51"/>
  <c r="E80" i="53"/>
  <c r="E81" i="53" s="1"/>
  <c r="F61" i="51" s="1"/>
  <c r="E78" i="53"/>
  <c r="E72" i="53"/>
  <c r="E73" i="53" s="1"/>
  <c r="F49" i="51" s="1"/>
  <c r="AL49" i="51" s="1"/>
  <c r="E74" i="53"/>
  <c r="E75" i="53" s="1"/>
  <c r="F57" i="51" s="1"/>
  <c r="AL57" i="51" s="1"/>
  <c r="C162" i="53"/>
  <c r="E162" i="53"/>
  <c r="G55" i="51"/>
  <c r="F39" i="53"/>
  <c r="K45" i="53" s="1"/>
  <c r="J141" i="53"/>
  <c r="J137" i="53"/>
  <c r="K56" i="51" s="1"/>
  <c r="AQ56" i="51" s="1"/>
  <c r="J139" i="53"/>
  <c r="F138" i="53"/>
  <c r="H140" i="53"/>
  <c r="I63" i="51" s="1"/>
  <c r="AO63" i="51" s="1"/>
  <c r="I142" i="53"/>
  <c r="J69" i="51" s="1"/>
  <c r="AP69" i="51" s="1"/>
  <c r="H142" i="53"/>
  <c r="I69" i="51" s="1"/>
  <c r="AO69" i="51" s="1"/>
  <c r="I138" i="53"/>
  <c r="H138" i="53"/>
  <c r="I140" i="53"/>
  <c r="J63" i="51" s="1"/>
  <c r="AP63" i="51" s="1"/>
  <c r="G142" i="53"/>
  <c r="H69" i="51" s="1"/>
  <c r="AN69" i="51" s="1"/>
  <c r="C140" i="53"/>
  <c r="D63" i="51" s="1"/>
  <c r="G140" i="53"/>
  <c r="H63" i="51" s="1"/>
  <c r="AN63" i="51" s="1"/>
  <c r="C138" i="53"/>
  <c r="E138" i="53"/>
  <c r="G138" i="53"/>
  <c r="C142" i="53"/>
  <c r="D69" i="51" s="1"/>
  <c r="C165" i="53"/>
  <c r="D9" i="55" s="1"/>
  <c r="D22" i="59" s="1"/>
  <c r="D145" i="59" s="1"/>
  <c r="D142" i="53"/>
  <c r="E69" i="51" s="1"/>
  <c r="AK69" i="51" s="1"/>
  <c r="F142" i="53"/>
  <c r="G69" i="51" s="1"/>
  <c r="AM69" i="51" s="1"/>
  <c r="D138" i="53"/>
  <c r="F140" i="53"/>
  <c r="G63" i="51" s="1"/>
  <c r="AM63" i="51" s="1"/>
  <c r="D140" i="53"/>
  <c r="E63" i="51" s="1"/>
  <c r="AK63" i="51" s="1"/>
  <c r="H29" i="51"/>
  <c r="AM38" i="51"/>
  <c r="F46" i="51"/>
  <c r="AK46" i="51"/>
  <c r="AM21" i="51"/>
  <c r="H24" i="51"/>
  <c r="G44" i="51"/>
  <c r="I36" i="51"/>
  <c r="I37" i="51" s="1"/>
  <c r="I19" i="59" s="1"/>
  <c r="AL39" i="51"/>
  <c r="AM29" i="51"/>
  <c r="AL43" i="51"/>
  <c r="G39" i="51"/>
  <c r="AN13" i="51"/>
  <c r="AN12" i="59" s="1"/>
  <c r="AN14" i="51"/>
  <c r="AN13" i="59" s="1"/>
  <c r="H21" i="51"/>
  <c r="I13" i="51"/>
  <c r="I12" i="59" s="1"/>
  <c r="I14" i="51"/>
  <c r="I13" i="59" s="1"/>
  <c r="AM15" i="51"/>
  <c r="H15" i="51"/>
  <c r="AN27" i="51"/>
  <c r="AN14" i="59" s="1"/>
  <c r="AN28" i="51"/>
  <c r="AN15" i="59" s="1"/>
  <c r="H37" i="51"/>
  <c r="H19" i="59" s="1"/>
  <c r="H38" i="51"/>
  <c r="H20" i="59" s="1"/>
  <c r="H33" i="51"/>
  <c r="H35" i="51" s="1"/>
  <c r="AN32" i="51"/>
  <c r="AN17" i="59" s="1"/>
  <c r="AN34" i="51"/>
  <c r="AN18" i="59" s="1"/>
  <c r="AN31" i="51"/>
  <c r="AN16" i="59" s="1"/>
  <c r="AO12" i="51"/>
  <c r="AM33" i="51"/>
  <c r="AM35" i="51" s="1"/>
  <c r="AL25" i="51"/>
  <c r="AL44" i="51"/>
  <c r="AN23" i="51"/>
  <c r="AN11" i="59" s="1"/>
  <c r="AN22" i="51"/>
  <c r="AN10" i="59" s="1"/>
  <c r="AN19" i="51"/>
  <c r="AN8" i="59" s="1"/>
  <c r="AN20" i="51"/>
  <c r="AN9" i="59" s="1"/>
  <c r="G43" i="51"/>
  <c r="K10" i="51"/>
  <c r="AP10" i="51"/>
  <c r="J12" i="51"/>
  <c r="G25" i="51"/>
  <c r="AN36" i="51"/>
  <c r="I20" i="51"/>
  <c r="I9" i="59" s="1"/>
  <c r="I22" i="51"/>
  <c r="I10" i="59" s="1"/>
  <c r="I23" i="51"/>
  <c r="I11" i="59" s="1"/>
  <c r="AO18" i="51"/>
  <c r="J18" i="51"/>
  <c r="I19" i="51"/>
  <c r="I8" i="59" s="1"/>
  <c r="AM24" i="51"/>
  <c r="J26" i="51"/>
  <c r="I28" i="51"/>
  <c r="I15" i="59" s="1"/>
  <c r="I27" i="51"/>
  <c r="I14" i="59" s="1"/>
  <c r="AO26" i="51"/>
  <c r="J30" i="51"/>
  <c r="AO30" i="51"/>
  <c r="I34" i="51"/>
  <c r="I18" i="59" s="1"/>
  <c r="I31" i="51"/>
  <c r="I16" i="59" s="1"/>
  <c r="I32" i="51"/>
  <c r="I17" i="59" s="1"/>
  <c r="J160" i="53" l="1"/>
  <c r="K66" i="51" s="1"/>
  <c r="AQ66" i="51" s="1"/>
  <c r="G75" i="59"/>
  <c r="E140" i="53"/>
  <c r="F63" i="51" s="1"/>
  <c r="AL63" i="51" s="1"/>
  <c r="E142" i="53"/>
  <c r="F69" i="51" s="1"/>
  <c r="AL69" i="51" s="1"/>
  <c r="C208" i="53"/>
  <c r="C211" i="53"/>
  <c r="E211" i="53"/>
  <c r="I47" i="59"/>
  <c r="I90" i="59"/>
  <c r="I117" i="59"/>
  <c r="I73" i="59"/>
  <c r="I87" i="59"/>
  <c r="I114" i="59"/>
  <c r="I44" i="59"/>
  <c r="I70" i="59"/>
  <c r="H48" i="59"/>
  <c r="H91" i="59"/>
  <c r="H118" i="59"/>
  <c r="H74" i="59"/>
  <c r="I89" i="59"/>
  <c r="I116" i="59"/>
  <c r="I46" i="59"/>
  <c r="I72" i="59"/>
  <c r="H90" i="59"/>
  <c r="H117" i="59"/>
  <c r="H47" i="59"/>
  <c r="H73" i="59"/>
  <c r="H75" i="59" s="1"/>
  <c r="AN41" i="59"/>
  <c r="AN67" i="59"/>
  <c r="AN84" i="59"/>
  <c r="AN111" i="59"/>
  <c r="I88" i="59"/>
  <c r="I115" i="59"/>
  <c r="I45" i="59"/>
  <c r="I71" i="59"/>
  <c r="I110" i="59"/>
  <c r="I40" i="59"/>
  <c r="I83" i="59"/>
  <c r="I66" i="59"/>
  <c r="AN86" i="59"/>
  <c r="AN113" i="59"/>
  <c r="AN43" i="59"/>
  <c r="AN69" i="59"/>
  <c r="AN83" i="59"/>
  <c r="AN110" i="59"/>
  <c r="AN40" i="59"/>
  <c r="AN66" i="59"/>
  <c r="AN42" i="59"/>
  <c r="AN85" i="59"/>
  <c r="AN112" i="59"/>
  <c r="AN68" i="59"/>
  <c r="I112" i="59"/>
  <c r="I42" i="59"/>
  <c r="I85" i="59"/>
  <c r="I68" i="59"/>
  <c r="AN87" i="59"/>
  <c r="AN114" i="59"/>
  <c r="AN44" i="59"/>
  <c r="AN70" i="59"/>
  <c r="I69" i="59"/>
  <c r="I86" i="59"/>
  <c r="I113" i="59"/>
  <c r="I43" i="59"/>
  <c r="AN89" i="59"/>
  <c r="AN116" i="59"/>
  <c r="AN46" i="59"/>
  <c r="AN72" i="59"/>
  <c r="AM39" i="51"/>
  <c r="AM20" i="59"/>
  <c r="AN45" i="59"/>
  <c r="AN88" i="59"/>
  <c r="AN115" i="59"/>
  <c r="AN71" i="59"/>
  <c r="I111" i="59"/>
  <c r="I41" i="59"/>
  <c r="I67" i="59"/>
  <c r="I84" i="59"/>
  <c r="D208" i="53"/>
  <c r="D49" i="59"/>
  <c r="D92" i="59"/>
  <c r="R5" i="63"/>
  <c r="J5" i="63"/>
  <c r="J7" i="63" s="1"/>
  <c r="AN81" i="59"/>
  <c r="AN108" i="59"/>
  <c r="AN38" i="59"/>
  <c r="AN64" i="59"/>
  <c r="I82" i="59"/>
  <c r="I109" i="59"/>
  <c r="I39" i="59"/>
  <c r="I65" i="59"/>
  <c r="I81" i="59"/>
  <c r="I108" i="59"/>
  <c r="I38" i="59"/>
  <c r="I64" i="59"/>
  <c r="AN80" i="59"/>
  <c r="AN107" i="59"/>
  <c r="AN37" i="59"/>
  <c r="AN63" i="59"/>
  <c r="I37" i="59"/>
  <c r="I80" i="59"/>
  <c r="I107" i="59"/>
  <c r="I63" i="59"/>
  <c r="AN79" i="59"/>
  <c r="AN106" i="59"/>
  <c r="AN36" i="59"/>
  <c r="AN62" i="59"/>
  <c r="AN39" i="59"/>
  <c r="AN82" i="59"/>
  <c r="AN109" i="59"/>
  <c r="AN65" i="59"/>
  <c r="I79" i="59"/>
  <c r="I36" i="59"/>
  <c r="I106" i="59"/>
  <c r="I62" i="59"/>
  <c r="D120" i="59"/>
  <c r="AM25" i="51"/>
  <c r="D165" i="53"/>
  <c r="E9" i="55" s="1"/>
  <c r="E165" i="53"/>
  <c r="F9" i="55" s="1"/>
  <c r="AJ9" i="55"/>
  <c r="E51" i="51"/>
  <c r="AK51" i="51"/>
  <c r="AM65" i="51"/>
  <c r="F40" i="54"/>
  <c r="K46" i="54" s="1"/>
  <c r="K159" i="54" s="1"/>
  <c r="E141" i="54"/>
  <c r="E139" i="54"/>
  <c r="E137" i="54"/>
  <c r="F58" i="51"/>
  <c r="F72" i="51" s="1"/>
  <c r="AL58" i="51"/>
  <c r="AL72" i="51" s="1"/>
  <c r="F67" i="51"/>
  <c r="F71" i="51" s="1"/>
  <c r="E79" i="53"/>
  <c r="D137" i="54"/>
  <c r="D141" i="54"/>
  <c r="D139" i="54"/>
  <c r="AL61" i="51"/>
  <c r="C137" i="54"/>
  <c r="C138" i="54" s="1"/>
  <c r="C141" i="54"/>
  <c r="C139" i="54"/>
  <c r="C140" i="54" s="1"/>
  <c r="C47" i="54"/>
  <c r="D80" i="54"/>
  <c r="D81" i="54" s="1"/>
  <c r="D78" i="54"/>
  <c r="D79" i="54" s="1"/>
  <c r="D47" i="54"/>
  <c r="D74" i="54"/>
  <c r="D75" i="54" s="1"/>
  <c r="D72" i="54"/>
  <c r="D73" i="54" s="1"/>
  <c r="Q68" i="51"/>
  <c r="AW68" i="51" s="1"/>
  <c r="Q50" i="51"/>
  <c r="AM59" i="51"/>
  <c r="F38" i="54"/>
  <c r="AK57" i="51"/>
  <c r="AK58" i="51" s="1"/>
  <c r="AK72" i="51" s="1"/>
  <c r="E58" i="51"/>
  <c r="E72" i="51" s="1"/>
  <c r="R107" i="53"/>
  <c r="R108" i="53" s="1"/>
  <c r="S53" i="51" s="1"/>
  <c r="AY53" i="51" s="1"/>
  <c r="R109" i="53"/>
  <c r="R110" i="53" s="1"/>
  <c r="S62" i="51" s="1"/>
  <c r="AY62" i="51" s="1"/>
  <c r="R113" i="53"/>
  <c r="R114" i="53" s="1"/>
  <c r="R111" i="53"/>
  <c r="R112" i="53" s="1"/>
  <c r="AM48" i="51"/>
  <c r="F36" i="54"/>
  <c r="F42" i="54" s="1"/>
  <c r="G48" i="51"/>
  <c r="F36" i="53"/>
  <c r="F42" i="53" s="1"/>
  <c r="AL65" i="51"/>
  <c r="E40" i="54"/>
  <c r="J46" i="54" s="1"/>
  <c r="J159" i="54" s="1"/>
  <c r="H59" i="51"/>
  <c r="G38" i="53"/>
  <c r="AJ69" i="51"/>
  <c r="AJ70" i="51" s="1"/>
  <c r="D70" i="51"/>
  <c r="AK61" i="51"/>
  <c r="E64" i="51"/>
  <c r="I160" i="54"/>
  <c r="F51" i="51"/>
  <c r="H141" i="54"/>
  <c r="H139" i="54"/>
  <c r="H137" i="54"/>
  <c r="E67" i="51"/>
  <c r="D79" i="53"/>
  <c r="AL48" i="51"/>
  <c r="AL51" i="51" s="1"/>
  <c r="E36" i="54"/>
  <c r="E42" i="54" s="1"/>
  <c r="F64" i="51"/>
  <c r="G139" i="54"/>
  <c r="G141" i="54"/>
  <c r="G137" i="54"/>
  <c r="R68" i="51"/>
  <c r="AX68" i="51" s="1"/>
  <c r="R50" i="51"/>
  <c r="P113" i="54"/>
  <c r="P114" i="54" s="1"/>
  <c r="P109" i="54"/>
  <c r="P110" i="54" s="1"/>
  <c r="P111" i="54"/>
  <c r="P112" i="54" s="1"/>
  <c r="P107" i="54"/>
  <c r="P108" i="54" s="1"/>
  <c r="Q113" i="54"/>
  <c r="Q114" i="54" s="1"/>
  <c r="Q111" i="54"/>
  <c r="Q112" i="54" s="1"/>
  <c r="Q109" i="54"/>
  <c r="Q110" i="54" s="1"/>
  <c r="Q107" i="54"/>
  <c r="Q108" i="54" s="1"/>
  <c r="AM55" i="51"/>
  <c r="F39" i="54"/>
  <c r="K45" i="54" s="1"/>
  <c r="AJ63" i="51"/>
  <c r="D64" i="51"/>
  <c r="D71" i="51"/>
  <c r="F141" i="54"/>
  <c r="F139" i="54"/>
  <c r="F137" i="54"/>
  <c r="J137" i="54"/>
  <c r="J138" i="54" s="1"/>
  <c r="J141" i="54"/>
  <c r="J139" i="54"/>
  <c r="I38" i="51"/>
  <c r="D215" i="53"/>
  <c r="D214" i="53"/>
  <c r="D212" i="53"/>
  <c r="D213" i="53"/>
  <c r="J140" i="53"/>
  <c r="K63" i="51" s="1"/>
  <c r="AQ63" i="51" s="1"/>
  <c r="E213" i="53"/>
  <c r="E212" i="53"/>
  <c r="E215" i="53"/>
  <c r="E214" i="53"/>
  <c r="J138" i="53"/>
  <c r="J142" i="53"/>
  <c r="K69" i="51" s="1"/>
  <c r="AQ69" i="51" s="1"/>
  <c r="C232" i="53"/>
  <c r="C233" i="53" s="1"/>
  <c r="C166" i="53"/>
  <c r="C209" i="53"/>
  <c r="K141" i="53"/>
  <c r="K137" i="53"/>
  <c r="L56" i="51" s="1"/>
  <c r="AR56" i="51" s="1"/>
  <c r="K139" i="53"/>
  <c r="H55" i="51"/>
  <c r="G39" i="53"/>
  <c r="L45" i="53" s="1"/>
  <c r="G65" i="51"/>
  <c r="F40" i="53"/>
  <c r="K46" i="53" s="1"/>
  <c r="K159" i="53" s="1"/>
  <c r="H44" i="51"/>
  <c r="H25" i="51"/>
  <c r="G46" i="51"/>
  <c r="AL46" i="51"/>
  <c r="AN29" i="51"/>
  <c r="I15" i="51"/>
  <c r="I17" i="51" s="1"/>
  <c r="I29" i="51"/>
  <c r="I21" i="51"/>
  <c r="AN33" i="51"/>
  <c r="AN35" i="51" s="1"/>
  <c r="AO36" i="51"/>
  <c r="AO37" i="51" s="1"/>
  <c r="AO19" i="59" s="1"/>
  <c r="H39" i="51"/>
  <c r="I24" i="51"/>
  <c r="AN21" i="51"/>
  <c r="AN24" i="51"/>
  <c r="K30" i="51"/>
  <c r="AP30" i="51"/>
  <c r="J34" i="51"/>
  <c r="J18" i="59" s="1"/>
  <c r="J32" i="51"/>
  <c r="J17" i="59" s="1"/>
  <c r="J31" i="51"/>
  <c r="J16" i="59" s="1"/>
  <c r="H43" i="51"/>
  <c r="H17" i="51"/>
  <c r="I33" i="51"/>
  <c r="I35" i="51" s="1"/>
  <c r="AM43" i="51"/>
  <c r="AM17" i="51"/>
  <c r="AM44" i="51"/>
  <c r="AN15" i="51"/>
  <c r="J36" i="51"/>
  <c r="K26" i="51"/>
  <c r="J28" i="51"/>
  <c r="J15" i="59" s="1"/>
  <c r="J27" i="51"/>
  <c r="J14" i="59" s="1"/>
  <c r="AP26" i="51"/>
  <c r="J20" i="51"/>
  <c r="J9" i="59" s="1"/>
  <c r="K18" i="51"/>
  <c r="J19" i="51"/>
  <c r="J8" i="59" s="1"/>
  <c r="AP18" i="51"/>
  <c r="J23" i="51"/>
  <c r="J11" i="59" s="1"/>
  <c r="J22" i="51"/>
  <c r="J10" i="59" s="1"/>
  <c r="J13" i="51"/>
  <c r="J12" i="59" s="1"/>
  <c r="J14" i="51"/>
  <c r="J13" i="59" s="1"/>
  <c r="AO28" i="51"/>
  <c r="AO15" i="59" s="1"/>
  <c r="AO27" i="51"/>
  <c r="AO14" i="59" s="1"/>
  <c r="AO19" i="51"/>
  <c r="AO8" i="59" s="1"/>
  <c r="AO22" i="51"/>
  <c r="AO10" i="59" s="1"/>
  <c r="AO23" i="51"/>
  <c r="AO11" i="59" s="1"/>
  <c r="AO20" i="51"/>
  <c r="AO9" i="59" s="1"/>
  <c r="AN38" i="51"/>
  <c r="AN20" i="59" s="1"/>
  <c r="AN37" i="51"/>
  <c r="AN19" i="59" s="1"/>
  <c r="AP12" i="51"/>
  <c r="AO13" i="51"/>
  <c r="AO12" i="59" s="1"/>
  <c r="AO14" i="51"/>
  <c r="AO13" i="59" s="1"/>
  <c r="AO31" i="51"/>
  <c r="AO16" i="59" s="1"/>
  <c r="AO32" i="51"/>
  <c r="AO17" i="59" s="1"/>
  <c r="AO34" i="51"/>
  <c r="AO18" i="59" s="1"/>
  <c r="L10" i="51"/>
  <c r="AQ10" i="51"/>
  <c r="K12" i="51"/>
  <c r="C162" i="54" l="1"/>
  <c r="I142" i="54"/>
  <c r="J142" i="54"/>
  <c r="C212" i="53"/>
  <c r="C213" i="53"/>
  <c r="F138" i="54"/>
  <c r="C215" i="53"/>
  <c r="C214" i="53"/>
  <c r="AO84" i="59"/>
  <c r="AO41" i="59"/>
  <c r="AO67" i="59"/>
  <c r="AO111" i="59"/>
  <c r="J88" i="59"/>
  <c r="J115" i="59"/>
  <c r="J45" i="59"/>
  <c r="J71" i="59"/>
  <c r="AO47" i="59"/>
  <c r="AO90" i="59"/>
  <c r="AO117" i="59"/>
  <c r="AO73" i="59"/>
  <c r="AN74" i="59"/>
  <c r="AN91" i="59"/>
  <c r="AN118" i="59"/>
  <c r="AN48" i="59"/>
  <c r="AO40" i="59"/>
  <c r="AO66" i="59"/>
  <c r="AO83" i="59"/>
  <c r="AO110" i="59"/>
  <c r="AO42" i="59"/>
  <c r="AO85" i="59"/>
  <c r="AO112" i="59"/>
  <c r="AO68" i="59"/>
  <c r="J89" i="59"/>
  <c r="J46" i="59"/>
  <c r="J116" i="59"/>
  <c r="J72" i="59"/>
  <c r="AO86" i="59"/>
  <c r="AO43" i="59"/>
  <c r="AO113" i="59"/>
  <c r="AO69" i="59"/>
  <c r="AM48" i="59"/>
  <c r="AM74" i="59"/>
  <c r="AM75" i="59" s="1"/>
  <c r="AM91" i="59"/>
  <c r="AM118" i="59"/>
  <c r="AN47" i="59"/>
  <c r="AN90" i="59"/>
  <c r="AN117" i="59"/>
  <c r="AN73" i="59"/>
  <c r="AN75" i="59" s="1"/>
  <c r="J84" i="59"/>
  <c r="J111" i="59"/>
  <c r="J41" i="59"/>
  <c r="J67" i="59"/>
  <c r="I39" i="51"/>
  <c r="I20" i="59"/>
  <c r="J83" i="59"/>
  <c r="J110" i="59"/>
  <c r="J40" i="59"/>
  <c r="J66" i="59"/>
  <c r="J85" i="59"/>
  <c r="J112" i="59"/>
  <c r="J68" i="59"/>
  <c r="J42" i="59"/>
  <c r="AO89" i="59"/>
  <c r="AO116" i="59"/>
  <c r="AO46" i="59"/>
  <c r="AO72" i="59"/>
  <c r="J43" i="59"/>
  <c r="J69" i="59"/>
  <c r="J86" i="59"/>
  <c r="J113" i="59"/>
  <c r="AO88" i="59"/>
  <c r="AO45" i="59"/>
  <c r="AO115" i="59"/>
  <c r="AO71" i="59"/>
  <c r="AO87" i="59"/>
  <c r="AO44" i="59"/>
  <c r="AO114" i="59"/>
  <c r="AO70" i="59"/>
  <c r="J44" i="59"/>
  <c r="J87" i="59"/>
  <c r="J114" i="59"/>
  <c r="J70" i="59"/>
  <c r="D73" i="51"/>
  <c r="K6" i="63"/>
  <c r="N6" i="63"/>
  <c r="K7" i="63"/>
  <c r="J21" i="63"/>
  <c r="K21" i="63" s="1"/>
  <c r="AO79" i="59"/>
  <c r="AO36" i="59"/>
  <c r="AO106" i="59"/>
  <c r="AO62" i="59"/>
  <c r="AO81" i="59"/>
  <c r="AO108" i="59"/>
  <c r="AO38" i="59"/>
  <c r="AO64" i="59"/>
  <c r="J79" i="59"/>
  <c r="J106" i="59"/>
  <c r="J36" i="59"/>
  <c r="J62" i="59"/>
  <c r="J37" i="59"/>
  <c r="J80" i="59"/>
  <c r="J107" i="59"/>
  <c r="J63" i="59"/>
  <c r="AO82" i="59"/>
  <c r="AO109" i="59"/>
  <c r="AO39" i="59"/>
  <c r="AO65" i="59"/>
  <c r="J82" i="59"/>
  <c r="J39" i="59"/>
  <c r="J109" i="59"/>
  <c r="J65" i="59"/>
  <c r="AO80" i="59"/>
  <c r="AO107" i="59"/>
  <c r="AO37" i="59"/>
  <c r="AO63" i="59"/>
  <c r="J38" i="59"/>
  <c r="J81" i="59"/>
  <c r="J108" i="59"/>
  <c r="J64" i="59"/>
  <c r="AJ22" i="59"/>
  <c r="CV9" i="55"/>
  <c r="CV22" i="59" s="1"/>
  <c r="CV145" i="59" s="1"/>
  <c r="D232" i="53"/>
  <c r="D233" i="53" s="1"/>
  <c r="D209" i="53"/>
  <c r="E172" i="55" s="1"/>
  <c r="E209" i="53"/>
  <c r="E210" i="53" s="1"/>
  <c r="E232" i="53"/>
  <c r="E233" i="53" s="1"/>
  <c r="G138" i="54"/>
  <c r="H138" i="54"/>
  <c r="AL9" i="55"/>
  <c r="F22" i="59"/>
  <c r="AK9" i="55"/>
  <c r="E22" i="59"/>
  <c r="E145" i="59" s="1"/>
  <c r="F73" i="51"/>
  <c r="C210" i="53"/>
  <c r="D172" i="55"/>
  <c r="I140" i="54"/>
  <c r="H46" i="51"/>
  <c r="G140" i="54"/>
  <c r="H140" i="54"/>
  <c r="F140" i="54"/>
  <c r="J140" i="54"/>
  <c r="D138" i="54"/>
  <c r="E138" i="54"/>
  <c r="D140" i="54"/>
  <c r="I138" i="54"/>
  <c r="C207" i="54"/>
  <c r="C211" i="54" s="1"/>
  <c r="AJ4" i="55"/>
  <c r="D207" i="54"/>
  <c r="D211" i="54" s="1"/>
  <c r="AK4" i="55"/>
  <c r="D162" i="54"/>
  <c r="AM52" i="51"/>
  <c r="AM54" i="51" s="1"/>
  <c r="F37" i="54"/>
  <c r="R43" i="54" s="1"/>
  <c r="AN55" i="51"/>
  <c r="G39" i="54"/>
  <c r="L45" i="54" s="1"/>
  <c r="G142" i="54"/>
  <c r="S68" i="51"/>
  <c r="AY68" i="51" s="1"/>
  <c r="S50" i="51"/>
  <c r="AW50" i="51"/>
  <c r="AJ64" i="51"/>
  <c r="AJ71" i="51"/>
  <c r="AJ73" i="51" s="1"/>
  <c r="AK67" i="51"/>
  <c r="AK70" i="51" s="1"/>
  <c r="E70" i="51"/>
  <c r="E71" i="51"/>
  <c r="E73" i="51" s="1"/>
  <c r="J160" i="54"/>
  <c r="I59" i="51"/>
  <c r="H38" i="53"/>
  <c r="K141" i="54"/>
  <c r="K142" i="54" s="1"/>
  <c r="K139" i="54"/>
  <c r="K140" i="54" s="1"/>
  <c r="K137" i="54"/>
  <c r="K138" i="54" s="1"/>
  <c r="AL64" i="51"/>
  <c r="H52" i="51"/>
  <c r="H54" i="51" s="1"/>
  <c r="G37" i="53"/>
  <c r="S43" i="53" s="1"/>
  <c r="I52" i="51"/>
  <c r="I54" i="51" s="1"/>
  <c r="H37" i="53"/>
  <c r="T43" i="53" s="1"/>
  <c r="AK64" i="51"/>
  <c r="F78" i="53"/>
  <c r="F72" i="53"/>
  <c r="F73" i="53" s="1"/>
  <c r="G49" i="51" s="1"/>
  <c r="AM49" i="51" s="1"/>
  <c r="AM51" i="51" s="1"/>
  <c r="F74" i="53"/>
  <c r="F75" i="53" s="1"/>
  <c r="G57" i="51" s="1"/>
  <c r="F80" i="53"/>
  <c r="F47" i="53"/>
  <c r="F162" i="53" s="1"/>
  <c r="C208" i="54"/>
  <c r="AN59" i="51"/>
  <c r="G38" i="54"/>
  <c r="E78" i="54"/>
  <c r="E79" i="54" s="1"/>
  <c r="E47" i="54"/>
  <c r="E80" i="54"/>
  <c r="E81" i="54" s="1"/>
  <c r="E74" i="54"/>
  <c r="E75" i="54" s="1"/>
  <c r="E72" i="54"/>
  <c r="E73" i="54" s="1"/>
  <c r="H142" i="54"/>
  <c r="D142" i="54"/>
  <c r="D165" i="54"/>
  <c r="E140" i="54"/>
  <c r="AX50" i="51"/>
  <c r="F80" i="54"/>
  <c r="F81" i="54" s="1"/>
  <c r="F78" i="54"/>
  <c r="F79" i="54" s="1"/>
  <c r="F47" i="54"/>
  <c r="F74" i="54"/>
  <c r="F75" i="54" s="1"/>
  <c r="F72" i="54"/>
  <c r="F73" i="54" s="1"/>
  <c r="E142" i="54"/>
  <c r="F142" i="54"/>
  <c r="C142" i="54"/>
  <c r="C165" i="54"/>
  <c r="C61" i="60" s="1"/>
  <c r="K160" i="54"/>
  <c r="H48" i="51"/>
  <c r="G36" i="53"/>
  <c r="G42" i="53" s="1"/>
  <c r="AL67" i="51"/>
  <c r="AL70" i="51" s="1"/>
  <c r="F70" i="51"/>
  <c r="K160" i="53"/>
  <c r="L66" i="51" s="1"/>
  <c r="AR66" i="51" s="1"/>
  <c r="K142" i="53"/>
  <c r="L69" i="51" s="1"/>
  <c r="AR69" i="51" s="1"/>
  <c r="I55" i="51"/>
  <c r="H39" i="53"/>
  <c r="M45" i="53" s="1"/>
  <c r="C216" i="53"/>
  <c r="C217" i="53"/>
  <c r="E216" i="53"/>
  <c r="E217" i="53"/>
  <c r="E222" i="53"/>
  <c r="E234" i="53" s="1"/>
  <c r="E235" i="53" s="1"/>
  <c r="E223" i="53"/>
  <c r="L141" i="53"/>
  <c r="L137" i="53"/>
  <c r="M56" i="51" s="1"/>
  <c r="AS56" i="51" s="1"/>
  <c r="L139" i="53"/>
  <c r="H65" i="51"/>
  <c r="G40" i="53"/>
  <c r="L46" i="53" s="1"/>
  <c r="L159" i="53" s="1"/>
  <c r="D216" i="53"/>
  <c r="D217" i="53"/>
  <c r="C222" i="53"/>
  <c r="C234" i="53" s="1"/>
  <c r="C235" i="53" s="1"/>
  <c r="C236" i="53" s="1"/>
  <c r="C223" i="53"/>
  <c r="K140" i="53"/>
  <c r="L63" i="51" s="1"/>
  <c r="AR63" i="51" s="1"/>
  <c r="C225" i="53"/>
  <c r="C230" i="53"/>
  <c r="D180" i="55" s="1"/>
  <c r="C228" i="53"/>
  <c r="D178" i="55" s="1"/>
  <c r="C229" i="53"/>
  <c r="D179" i="55" s="1"/>
  <c r="C227" i="53"/>
  <c r="D177" i="55" s="1"/>
  <c r="C226" i="53"/>
  <c r="D176" i="55" s="1"/>
  <c r="D222" i="53"/>
  <c r="D234" i="53" s="1"/>
  <c r="D235" i="53" s="1"/>
  <c r="D223" i="53"/>
  <c r="K138" i="53"/>
  <c r="D166" i="53"/>
  <c r="C199" i="53"/>
  <c r="BP172" i="55" s="1"/>
  <c r="I25" i="51"/>
  <c r="I44" i="51"/>
  <c r="K36" i="51"/>
  <c r="K38" i="51" s="1"/>
  <c r="K20" i="59" s="1"/>
  <c r="AN39" i="51"/>
  <c r="AP36" i="51"/>
  <c r="AP37" i="51" s="1"/>
  <c r="AP19" i="59" s="1"/>
  <c r="AN44" i="51"/>
  <c r="AO29" i="51"/>
  <c r="AO38" i="51"/>
  <c r="J33" i="51"/>
  <c r="J35" i="51" s="1"/>
  <c r="AN25" i="51"/>
  <c r="AO24" i="51"/>
  <c r="J29" i="51"/>
  <c r="K13" i="51"/>
  <c r="K12" i="59" s="1"/>
  <c r="K14" i="51"/>
  <c r="K13" i="59" s="1"/>
  <c r="AQ12" i="51"/>
  <c r="AO33" i="51"/>
  <c r="AO35" i="51" s="1"/>
  <c r="AO15" i="51"/>
  <c r="J15" i="51"/>
  <c r="AP19" i="51"/>
  <c r="AP8" i="59" s="1"/>
  <c r="AP23" i="51"/>
  <c r="AP11" i="59" s="1"/>
  <c r="AP20" i="51"/>
  <c r="AP9" i="59" s="1"/>
  <c r="AP22" i="51"/>
  <c r="AP10" i="59" s="1"/>
  <c r="L26" i="51"/>
  <c r="K28" i="51"/>
  <c r="K15" i="59" s="1"/>
  <c r="K27" i="51"/>
  <c r="K14" i="59" s="1"/>
  <c r="AQ26" i="51"/>
  <c r="I43" i="51"/>
  <c r="AP34" i="51"/>
  <c r="AP18" i="59" s="1"/>
  <c r="AP31" i="51"/>
  <c r="AP16" i="59" s="1"/>
  <c r="AP32" i="51"/>
  <c r="AP17" i="59" s="1"/>
  <c r="M10" i="51"/>
  <c r="N10" i="51" s="1"/>
  <c r="AR10" i="51"/>
  <c r="L12" i="51"/>
  <c r="J21" i="51"/>
  <c r="AP28" i="51"/>
  <c r="AP15" i="59" s="1"/>
  <c r="AP27" i="51"/>
  <c r="AP14" i="59" s="1"/>
  <c r="J38" i="51"/>
  <c r="J20" i="59" s="1"/>
  <c r="J37" i="51"/>
  <c r="J19" i="59" s="1"/>
  <c r="AM46" i="51"/>
  <c r="L30" i="51"/>
  <c r="AQ30" i="51"/>
  <c r="K32" i="51"/>
  <c r="K17" i="59" s="1"/>
  <c r="K31" i="51"/>
  <c r="K16" i="59" s="1"/>
  <c r="K34" i="51"/>
  <c r="K18" i="59" s="1"/>
  <c r="AP14" i="51"/>
  <c r="AP13" i="59" s="1"/>
  <c r="AP13" i="51"/>
  <c r="AP12" i="59" s="1"/>
  <c r="AO21" i="51"/>
  <c r="J24" i="51"/>
  <c r="K19" i="51"/>
  <c r="K8" i="59" s="1"/>
  <c r="L18" i="51"/>
  <c r="K20" i="51"/>
  <c r="K9" i="59" s="1"/>
  <c r="K23" i="51"/>
  <c r="K11" i="59" s="1"/>
  <c r="AQ18" i="51"/>
  <c r="K22" i="51"/>
  <c r="K10" i="59" s="1"/>
  <c r="AN43" i="51"/>
  <c r="AN17" i="51"/>
  <c r="I65" i="51" l="1"/>
  <c r="H40" i="53"/>
  <c r="M46" i="53" s="1"/>
  <c r="M159" i="53" s="1"/>
  <c r="D210" i="53"/>
  <c r="D228" i="53" s="1"/>
  <c r="E178" i="55" s="1"/>
  <c r="F145" i="59"/>
  <c r="E227" i="53"/>
  <c r="F177" i="55" s="1"/>
  <c r="E226" i="53"/>
  <c r="F176" i="55" s="1"/>
  <c r="J47" i="59"/>
  <c r="J90" i="59"/>
  <c r="J117" i="59"/>
  <c r="J73" i="59"/>
  <c r="K74" i="59"/>
  <c r="K118" i="59"/>
  <c r="K48" i="59"/>
  <c r="K91" i="59"/>
  <c r="K88" i="59"/>
  <c r="K115" i="59"/>
  <c r="K45" i="59"/>
  <c r="K71" i="59"/>
  <c r="AP113" i="59"/>
  <c r="AP43" i="59"/>
  <c r="AP86" i="59"/>
  <c r="AP69" i="59"/>
  <c r="K68" i="59"/>
  <c r="K85" i="59"/>
  <c r="K112" i="59"/>
  <c r="K42" i="59"/>
  <c r="I48" i="59"/>
  <c r="I91" i="59"/>
  <c r="I118" i="59"/>
  <c r="I74" i="59"/>
  <c r="I75" i="59" s="1"/>
  <c r="K87" i="59"/>
  <c r="K44" i="59"/>
  <c r="K114" i="59"/>
  <c r="K70" i="59"/>
  <c r="K69" i="59"/>
  <c r="K86" i="59"/>
  <c r="K43" i="59"/>
  <c r="K113" i="59"/>
  <c r="AO39" i="51"/>
  <c r="AO20" i="59"/>
  <c r="AP88" i="59"/>
  <c r="AP45" i="59"/>
  <c r="AP115" i="59"/>
  <c r="AP71" i="59"/>
  <c r="K111" i="59"/>
  <c r="K84" i="59"/>
  <c r="K41" i="59"/>
  <c r="K67" i="59"/>
  <c r="AP84" i="59"/>
  <c r="AP67" i="59"/>
  <c r="AP111" i="59"/>
  <c r="AP41" i="59"/>
  <c r="J91" i="59"/>
  <c r="J118" i="59"/>
  <c r="J48" i="59"/>
  <c r="J74" i="59"/>
  <c r="AP87" i="59"/>
  <c r="AP114" i="59"/>
  <c r="AP44" i="59"/>
  <c r="AP70" i="59"/>
  <c r="K40" i="59"/>
  <c r="K83" i="59"/>
  <c r="K110" i="59"/>
  <c r="K66" i="59"/>
  <c r="AP73" i="59"/>
  <c r="AP90" i="59"/>
  <c r="AP117" i="59"/>
  <c r="AP47" i="59"/>
  <c r="F172" i="55"/>
  <c r="AJ120" i="59"/>
  <c r="AJ145" i="59"/>
  <c r="AJ92" i="59"/>
  <c r="AP83" i="59"/>
  <c r="AP110" i="59"/>
  <c r="AP40" i="59"/>
  <c r="AP66" i="59"/>
  <c r="K89" i="59"/>
  <c r="K116" i="59"/>
  <c r="K46" i="59"/>
  <c r="K72" i="59"/>
  <c r="AP68" i="59"/>
  <c r="AP85" i="59"/>
  <c r="AP112" i="59"/>
  <c r="AP42" i="59"/>
  <c r="AP46" i="59"/>
  <c r="AP89" i="59"/>
  <c r="AP116" i="59"/>
  <c r="AP72" i="59"/>
  <c r="D208" i="54"/>
  <c r="D226" i="53"/>
  <c r="E176" i="55" s="1"/>
  <c r="E230" i="53"/>
  <c r="F180" i="55" s="1"/>
  <c r="E225" i="53"/>
  <c r="E229" i="53"/>
  <c r="F179" i="55" s="1"/>
  <c r="E228" i="53"/>
  <c r="F178" i="55" s="1"/>
  <c r="E49" i="59"/>
  <c r="F49" i="59"/>
  <c r="CV49" i="59"/>
  <c r="CV92" i="59"/>
  <c r="CV120" i="59"/>
  <c r="AJ49" i="59"/>
  <c r="N7" i="63"/>
  <c r="O6" i="63" s="1"/>
  <c r="AP81" i="59"/>
  <c r="AP108" i="59"/>
  <c r="AP38" i="59"/>
  <c r="AP64" i="59"/>
  <c r="K81" i="59"/>
  <c r="K108" i="59"/>
  <c r="K38" i="59"/>
  <c r="K64" i="59"/>
  <c r="AP80" i="59"/>
  <c r="AP107" i="59"/>
  <c r="AP37" i="59"/>
  <c r="AP63" i="59"/>
  <c r="K39" i="59"/>
  <c r="K82" i="59"/>
  <c r="K109" i="59"/>
  <c r="K65" i="59"/>
  <c r="AP82" i="59"/>
  <c r="AP109" i="59"/>
  <c r="AP39" i="59"/>
  <c r="AP65" i="59"/>
  <c r="AP36" i="59"/>
  <c r="AP79" i="59"/>
  <c r="AP106" i="59"/>
  <c r="AP62" i="59"/>
  <c r="K79" i="59"/>
  <c r="K106" i="59"/>
  <c r="K36" i="59"/>
  <c r="K62" i="59"/>
  <c r="K80" i="59"/>
  <c r="K107" i="59"/>
  <c r="K37" i="59"/>
  <c r="K63" i="59"/>
  <c r="AK22" i="59"/>
  <c r="AK145" i="59" s="1"/>
  <c r="CW9" i="55"/>
  <c r="CW22" i="59" s="1"/>
  <c r="CW145" i="59" s="1"/>
  <c r="AL22" i="59"/>
  <c r="CX9" i="55"/>
  <c r="CX22" i="59" s="1"/>
  <c r="F120" i="59"/>
  <c r="E120" i="59"/>
  <c r="F92" i="59"/>
  <c r="E92" i="59"/>
  <c r="C200" i="53"/>
  <c r="C203" i="53" s="1"/>
  <c r="BP177" i="55" s="1"/>
  <c r="G51" i="51"/>
  <c r="F207" i="53"/>
  <c r="G4" i="55"/>
  <c r="AO25" i="51"/>
  <c r="E207" i="54"/>
  <c r="E211" i="54" s="1"/>
  <c r="AL4" i="55"/>
  <c r="C239" i="53"/>
  <c r="C244" i="53" s="1"/>
  <c r="F207" i="54"/>
  <c r="F211" i="54" s="1"/>
  <c r="AM4" i="55"/>
  <c r="F165" i="54"/>
  <c r="F232" i="54" s="1"/>
  <c r="F233" i="54" s="1"/>
  <c r="G80" i="53"/>
  <c r="G74" i="53"/>
  <c r="G75" i="53" s="1"/>
  <c r="H57" i="51" s="1"/>
  <c r="G78" i="53"/>
  <c r="G72" i="53"/>
  <c r="G73" i="53" s="1"/>
  <c r="H49" i="51" s="1"/>
  <c r="AN49" i="51" s="1"/>
  <c r="G47" i="53"/>
  <c r="G162" i="53" s="1"/>
  <c r="D232" i="54"/>
  <c r="D233" i="54" s="1"/>
  <c r="D209" i="54"/>
  <c r="CW172" i="55" s="1"/>
  <c r="F81" i="53"/>
  <c r="G61" i="51" s="1"/>
  <c r="F165" i="53"/>
  <c r="G9" i="55" s="1"/>
  <c r="G22" i="59" s="1"/>
  <c r="G145" i="59" s="1"/>
  <c r="T107" i="53"/>
  <c r="T108" i="53" s="1"/>
  <c r="U53" i="51" s="1"/>
  <c r="BA53" i="51" s="1"/>
  <c r="T113" i="53"/>
  <c r="T114" i="53" s="1"/>
  <c r="T109" i="53"/>
  <c r="T110" i="53" s="1"/>
  <c r="U62" i="51" s="1"/>
  <c r="BA62" i="51" s="1"/>
  <c r="T111" i="53"/>
  <c r="T112" i="53" s="1"/>
  <c r="J59" i="51"/>
  <c r="I38" i="53"/>
  <c r="AM57" i="51"/>
  <c r="AM58" i="51" s="1"/>
  <c r="AM72" i="51" s="1"/>
  <c r="G58" i="51"/>
  <c r="G72" i="51" s="1"/>
  <c r="AN65" i="51"/>
  <c r="G40" i="54"/>
  <c r="L46" i="54" s="1"/>
  <c r="L159" i="54" s="1"/>
  <c r="AN48" i="51"/>
  <c r="G36" i="54"/>
  <c r="G42" i="54" s="1"/>
  <c r="C232" i="54"/>
  <c r="C233" i="54" s="1"/>
  <c r="C209" i="54"/>
  <c r="C166" i="54"/>
  <c r="BP9" i="55" s="1"/>
  <c r="E165" i="54"/>
  <c r="S107" i="53"/>
  <c r="S108" i="53" s="1"/>
  <c r="T53" i="51" s="1"/>
  <c r="AZ53" i="51" s="1"/>
  <c r="S113" i="53"/>
  <c r="S114" i="53" s="1"/>
  <c r="S109" i="53"/>
  <c r="S110" i="53" s="1"/>
  <c r="T62" i="51" s="1"/>
  <c r="AZ62" i="51" s="1"/>
  <c r="S111" i="53"/>
  <c r="S112" i="53" s="1"/>
  <c r="L141" i="54"/>
  <c r="L142" i="54" s="1"/>
  <c r="L139" i="54"/>
  <c r="L140" i="54" s="1"/>
  <c r="L137" i="54"/>
  <c r="L138" i="54" s="1"/>
  <c r="I48" i="51"/>
  <c r="H36" i="53"/>
  <c r="H42" i="53" s="1"/>
  <c r="G67" i="51"/>
  <c r="F79" i="53"/>
  <c r="AL71" i="51"/>
  <c r="AL73" i="51" s="1"/>
  <c r="AN52" i="51"/>
  <c r="AN54" i="51" s="1"/>
  <c r="G37" i="54"/>
  <c r="S43" i="54" s="1"/>
  <c r="AO55" i="51"/>
  <c r="H39" i="54"/>
  <c r="M45" i="54" s="1"/>
  <c r="F162" i="54"/>
  <c r="E162" i="54"/>
  <c r="AK71" i="51"/>
  <c r="AK73" i="51" s="1"/>
  <c r="R111" i="54"/>
  <c r="R112" i="54" s="1"/>
  <c r="R109" i="54"/>
  <c r="R110" i="54" s="1"/>
  <c r="R107" i="54"/>
  <c r="R108" i="54" s="1"/>
  <c r="R113" i="54"/>
  <c r="R114" i="54" s="1"/>
  <c r="AO59" i="51"/>
  <c r="H38" i="54"/>
  <c r="D213" i="54"/>
  <c r="D212" i="54"/>
  <c r="D214" i="54"/>
  <c r="D215" i="54"/>
  <c r="C213" i="54"/>
  <c r="C214" i="54"/>
  <c r="C215" i="54"/>
  <c r="C212" i="54"/>
  <c r="AY50" i="51"/>
  <c r="D236" i="53"/>
  <c r="D239" i="53" s="1"/>
  <c r="D244" i="53" s="1"/>
  <c r="D245" i="53" s="1"/>
  <c r="D254" i="53" s="1"/>
  <c r="E75" i="51" s="1"/>
  <c r="E236" i="53"/>
  <c r="E239" i="53" s="1"/>
  <c r="E244" i="53" s="1"/>
  <c r="C237" i="53"/>
  <c r="C238" i="53" s="1"/>
  <c r="D218" i="53"/>
  <c r="D219" i="53"/>
  <c r="L140" i="53"/>
  <c r="M63" i="51" s="1"/>
  <c r="AS63" i="51" s="1"/>
  <c r="M139" i="53"/>
  <c r="M137" i="53"/>
  <c r="N56" i="51" s="1"/>
  <c r="AT56" i="51" s="1"/>
  <c r="M141" i="53"/>
  <c r="L138" i="53"/>
  <c r="C219" i="53"/>
  <c r="C218" i="53"/>
  <c r="L142" i="53"/>
  <c r="M69" i="51" s="1"/>
  <c r="AS69" i="51" s="1"/>
  <c r="E166" i="53"/>
  <c r="D199" i="53"/>
  <c r="L160" i="53"/>
  <c r="M66" i="51" s="1"/>
  <c r="AS66" i="51" s="1"/>
  <c r="J55" i="51"/>
  <c r="I39" i="53"/>
  <c r="N45" i="53" s="1"/>
  <c r="E218" i="53"/>
  <c r="E219" i="53"/>
  <c r="K37" i="51"/>
  <c r="AP38" i="51"/>
  <c r="I46" i="51"/>
  <c r="AN46" i="51"/>
  <c r="AO44" i="51"/>
  <c r="J39" i="51"/>
  <c r="K29" i="51"/>
  <c r="AP29" i="51"/>
  <c r="L13" i="51"/>
  <c r="L12" i="59" s="1"/>
  <c r="L14" i="51"/>
  <c r="L13" i="59" s="1"/>
  <c r="J43" i="51"/>
  <c r="J17" i="51"/>
  <c r="AQ14" i="51"/>
  <c r="AQ13" i="59" s="1"/>
  <c r="AQ13" i="51"/>
  <c r="AQ12" i="59" s="1"/>
  <c r="AQ32" i="51"/>
  <c r="AQ17" i="59" s="1"/>
  <c r="AQ31" i="51"/>
  <c r="AQ16" i="59" s="1"/>
  <c r="AQ34" i="51"/>
  <c r="AQ18" i="59" s="1"/>
  <c r="AR12" i="51"/>
  <c r="AO43" i="51"/>
  <c r="AO17" i="51"/>
  <c r="K24" i="51"/>
  <c r="K44" i="51" s="1"/>
  <c r="L22" i="51"/>
  <c r="L10" i="59" s="1"/>
  <c r="M18" i="51"/>
  <c r="AR18" i="51"/>
  <c r="L23" i="51"/>
  <c r="L11" i="59" s="1"/>
  <c r="L19" i="51"/>
  <c r="L8" i="59" s="1"/>
  <c r="L20" i="51"/>
  <c r="L9" i="59" s="1"/>
  <c r="M30" i="51"/>
  <c r="AR30" i="51"/>
  <c r="L31" i="51"/>
  <c r="L16" i="59" s="1"/>
  <c r="L32" i="51"/>
  <c r="L17" i="59" s="1"/>
  <c r="L34" i="51"/>
  <c r="L18" i="59" s="1"/>
  <c r="AS10" i="51"/>
  <c r="M12" i="51"/>
  <c r="L27" i="51"/>
  <c r="L14" i="59" s="1"/>
  <c r="M26" i="51"/>
  <c r="L28" i="51"/>
  <c r="L15" i="59" s="1"/>
  <c r="AR26" i="51"/>
  <c r="AP24" i="51"/>
  <c r="AQ19" i="51"/>
  <c r="AQ8" i="59" s="1"/>
  <c r="AQ20" i="51"/>
  <c r="AQ9" i="59" s="1"/>
  <c r="AQ23" i="51"/>
  <c r="AQ11" i="59" s="1"/>
  <c r="AQ22" i="51"/>
  <c r="AQ10" i="59" s="1"/>
  <c r="K21" i="51"/>
  <c r="AP15" i="51"/>
  <c r="K33" i="51"/>
  <c r="K35" i="51" s="1"/>
  <c r="J44" i="51"/>
  <c r="J25" i="51"/>
  <c r="L36" i="51"/>
  <c r="AP33" i="51"/>
  <c r="AP35" i="51" s="1"/>
  <c r="AQ28" i="51"/>
  <c r="AQ15" i="59" s="1"/>
  <c r="AQ27" i="51"/>
  <c r="AQ14" i="59" s="1"/>
  <c r="AP21" i="51"/>
  <c r="AQ36" i="51"/>
  <c r="K15" i="51"/>
  <c r="H40" i="54" l="1"/>
  <c r="M46" i="54" s="1"/>
  <c r="M159" i="54" s="1"/>
  <c r="AO65" i="51"/>
  <c r="M160" i="53"/>
  <c r="N66" i="51" s="1"/>
  <c r="AT66" i="51" s="1"/>
  <c r="D227" i="53"/>
  <c r="E177" i="55" s="1"/>
  <c r="D229" i="53"/>
  <c r="E179" i="55" s="1"/>
  <c r="D230" i="53"/>
  <c r="E180" i="55" s="1"/>
  <c r="D225" i="53"/>
  <c r="F211" i="53"/>
  <c r="F208" i="53"/>
  <c r="C205" i="53"/>
  <c r="BP179" i="55" s="1"/>
  <c r="AO48" i="51"/>
  <c r="H36" i="54"/>
  <c r="H42" i="54" s="1"/>
  <c r="J75" i="59"/>
  <c r="E208" i="54"/>
  <c r="L41" i="59"/>
  <c r="L111" i="59"/>
  <c r="L84" i="59"/>
  <c r="L67" i="59"/>
  <c r="AP39" i="51"/>
  <c r="AP20" i="59"/>
  <c r="AQ46" i="59"/>
  <c r="AQ89" i="59"/>
  <c r="AQ116" i="59"/>
  <c r="AQ72" i="59"/>
  <c r="L83" i="59"/>
  <c r="L40" i="59"/>
  <c r="L110" i="59"/>
  <c r="L66" i="59"/>
  <c r="K39" i="51"/>
  <c r="J40" i="53" s="1"/>
  <c r="O46" i="53" s="1"/>
  <c r="O159" i="53" s="1"/>
  <c r="K19" i="59"/>
  <c r="AQ86" i="59"/>
  <c r="AQ113" i="59"/>
  <c r="AQ43" i="59"/>
  <c r="AQ69" i="59"/>
  <c r="L46" i="59"/>
  <c r="L89" i="59"/>
  <c r="L116" i="59"/>
  <c r="L72" i="59"/>
  <c r="AQ44" i="59"/>
  <c r="AQ87" i="59"/>
  <c r="AQ114" i="59"/>
  <c r="AQ70" i="59"/>
  <c r="L45" i="59"/>
  <c r="L88" i="59"/>
  <c r="L115" i="59"/>
  <c r="L71" i="59"/>
  <c r="AQ88" i="59"/>
  <c r="AQ115" i="59"/>
  <c r="AQ45" i="59"/>
  <c r="AQ71" i="59"/>
  <c r="L87" i="59"/>
  <c r="L114" i="59"/>
  <c r="L44" i="59"/>
  <c r="L70" i="59"/>
  <c r="AQ110" i="59"/>
  <c r="AQ40" i="59"/>
  <c r="AQ83" i="59"/>
  <c r="AQ66" i="59"/>
  <c r="AO48" i="59"/>
  <c r="AO74" i="59"/>
  <c r="AO75" i="59" s="1"/>
  <c r="AO91" i="59"/>
  <c r="AO118" i="59"/>
  <c r="L69" i="59"/>
  <c r="L113" i="59"/>
  <c r="L43" i="59"/>
  <c r="L86" i="59"/>
  <c r="AQ84" i="59"/>
  <c r="AQ111" i="59"/>
  <c r="AQ41" i="59"/>
  <c r="AQ67" i="59"/>
  <c r="AQ112" i="59"/>
  <c r="AQ42" i="59"/>
  <c r="AQ68" i="59"/>
  <c r="AQ85" i="59"/>
  <c r="CX145" i="59"/>
  <c r="L85" i="59"/>
  <c r="L112" i="59"/>
  <c r="L42" i="59"/>
  <c r="L68" i="59"/>
  <c r="AK120" i="59"/>
  <c r="AL145" i="59"/>
  <c r="CX49" i="59"/>
  <c r="CX120" i="59"/>
  <c r="CX92" i="59"/>
  <c r="C201" i="53"/>
  <c r="C202" i="53"/>
  <c r="BP176" i="55" s="1"/>
  <c r="C204" i="53"/>
  <c r="BP178" i="55" s="1"/>
  <c r="C206" i="53"/>
  <c r="BP180" i="55" s="1"/>
  <c r="CW49" i="59"/>
  <c r="CW120" i="59"/>
  <c r="CW92" i="59"/>
  <c r="AL49" i="59"/>
  <c r="AK49" i="59"/>
  <c r="G49" i="59"/>
  <c r="AL92" i="59"/>
  <c r="AK92" i="59"/>
  <c r="N21" i="63"/>
  <c r="O21" i="63" s="1"/>
  <c r="O5" i="63"/>
  <c r="O7" i="63"/>
  <c r="AQ81" i="59"/>
  <c r="AQ108" i="59"/>
  <c r="AQ38" i="59"/>
  <c r="AQ64" i="59"/>
  <c r="L80" i="59"/>
  <c r="L107" i="59"/>
  <c r="L37" i="59"/>
  <c r="L63" i="59"/>
  <c r="L79" i="59"/>
  <c r="L106" i="59"/>
  <c r="L36" i="59"/>
  <c r="L62" i="59"/>
  <c r="AQ80" i="59"/>
  <c r="AQ107" i="59"/>
  <c r="AQ37" i="59"/>
  <c r="AQ63" i="59"/>
  <c r="L82" i="59"/>
  <c r="L109" i="59"/>
  <c r="L39" i="59"/>
  <c r="L65" i="59"/>
  <c r="AQ82" i="59"/>
  <c r="AQ109" i="59"/>
  <c r="AQ39" i="59"/>
  <c r="AQ65" i="59"/>
  <c r="AQ79" i="59"/>
  <c r="AQ106" i="59"/>
  <c r="AQ36" i="59"/>
  <c r="AQ62" i="59"/>
  <c r="CV172" i="55"/>
  <c r="AJ172" i="55"/>
  <c r="L81" i="59"/>
  <c r="L108" i="59"/>
  <c r="L38" i="59"/>
  <c r="L64" i="59"/>
  <c r="AL120" i="59"/>
  <c r="BP22" i="59"/>
  <c r="BP145" i="59" s="1"/>
  <c r="BP11" i="55"/>
  <c r="G120" i="59"/>
  <c r="G92" i="59"/>
  <c r="E237" i="53"/>
  <c r="E238" i="53" s="1"/>
  <c r="E240" i="53" s="1"/>
  <c r="E261" i="53" s="1"/>
  <c r="F209" i="54"/>
  <c r="C210" i="54"/>
  <c r="C230" i="54" s="1"/>
  <c r="AJ180" i="55" s="1"/>
  <c r="CV180" i="55" s="1"/>
  <c r="D200" i="53"/>
  <c r="BQ172" i="55"/>
  <c r="C245" i="53"/>
  <c r="C252" i="53" s="1"/>
  <c r="D74" i="51" s="1"/>
  <c r="D210" i="54"/>
  <c r="D230" i="54" s="1"/>
  <c r="AK180" i="55" s="1"/>
  <c r="CW180" i="55" s="1"/>
  <c r="AK172" i="55"/>
  <c r="F208" i="54"/>
  <c r="AN51" i="51"/>
  <c r="BP16" i="55"/>
  <c r="BP30" i="59" s="1"/>
  <c r="BP14" i="55"/>
  <c r="BP28" i="59" s="1"/>
  <c r="BP151" i="59" s="1"/>
  <c r="BP12" i="55"/>
  <c r="BP26" i="59" s="1"/>
  <c r="BP53" i="59" s="1"/>
  <c r="BP13" i="55"/>
  <c r="BP27" i="59" s="1"/>
  <c r="BP150" i="59" s="1"/>
  <c r="BP15" i="55"/>
  <c r="BP29" i="59" s="1"/>
  <c r="BP152" i="59" s="1"/>
  <c r="G207" i="53"/>
  <c r="H4" i="55"/>
  <c r="AM9" i="55"/>
  <c r="H51" i="51"/>
  <c r="AO52" i="51"/>
  <c r="AO54" i="51" s="1"/>
  <c r="H37" i="54"/>
  <c r="T43" i="54" s="1"/>
  <c r="J52" i="51"/>
  <c r="J54" i="51" s="1"/>
  <c r="I37" i="53"/>
  <c r="U43" i="53" s="1"/>
  <c r="C222" i="54"/>
  <c r="C234" i="54" s="1"/>
  <c r="C235" i="54" s="1"/>
  <c r="C236" i="54" s="1"/>
  <c r="C223" i="54"/>
  <c r="G47" i="54"/>
  <c r="G162" i="54" s="1"/>
  <c r="G78" i="54"/>
  <c r="G79" i="54" s="1"/>
  <c r="G74" i="54"/>
  <c r="G75" i="54" s="1"/>
  <c r="G80" i="54"/>
  <c r="G72" i="54"/>
  <c r="G73" i="54" s="1"/>
  <c r="U68" i="51"/>
  <c r="BA68" i="51" s="1"/>
  <c r="U50" i="51"/>
  <c r="C217" i="54"/>
  <c r="C216" i="54"/>
  <c r="S109" i="54"/>
  <c r="S110" i="54" s="1"/>
  <c r="S107" i="54"/>
  <c r="S108" i="54" s="1"/>
  <c r="S113" i="54"/>
  <c r="S114" i="54" s="1"/>
  <c r="S111" i="54"/>
  <c r="S112" i="54" s="1"/>
  <c r="H78" i="53"/>
  <c r="H72" i="53"/>
  <c r="H73" i="53" s="1"/>
  <c r="I49" i="51" s="1"/>
  <c r="AO49" i="51" s="1"/>
  <c r="H80" i="53"/>
  <c r="H74" i="53"/>
  <c r="H75" i="53" s="1"/>
  <c r="I57" i="51" s="1"/>
  <c r="H47" i="53"/>
  <c r="D237" i="53"/>
  <c r="D238" i="53" s="1"/>
  <c r="D240" i="53" s="1"/>
  <c r="D261" i="53" s="1"/>
  <c r="L160" i="54"/>
  <c r="F213" i="53"/>
  <c r="AP55" i="51"/>
  <c r="I39" i="54"/>
  <c r="N45" i="54" s="1"/>
  <c r="D222" i="54"/>
  <c r="D234" i="54" s="1"/>
  <c r="D235" i="54" s="1"/>
  <c r="D223" i="54"/>
  <c r="E232" i="54"/>
  <c r="E233" i="54" s="1"/>
  <c r="E209" i="54"/>
  <c r="CX172" i="55" s="1"/>
  <c r="D216" i="54"/>
  <c r="D217" i="54"/>
  <c r="C199" i="54"/>
  <c r="C200" i="54" s="1"/>
  <c r="D166" i="54"/>
  <c r="BQ9" i="55" s="1"/>
  <c r="BQ22" i="59" s="1"/>
  <c r="F209" i="53"/>
  <c r="F232" i="53"/>
  <c r="F233" i="53" s="1"/>
  <c r="J48" i="51"/>
  <c r="I36" i="53"/>
  <c r="I42" i="53" s="1"/>
  <c r="AP59" i="51"/>
  <c r="I38" i="54"/>
  <c r="AM61" i="51"/>
  <c r="G71" i="51"/>
  <c r="G73" i="51" s="1"/>
  <c r="G64" i="51"/>
  <c r="F212" i="54"/>
  <c r="F213" i="54"/>
  <c r="F215" i="54"/>
  <c r="F214" i="54"/>
  <c r="H67" i="51"/>
  <c r="G79" i="53"/>
  <c r="K59" i="51"/>
  <c r="J38" i="53"/>
  <c r="E245" i="53"/>
  <c r="E252" i="53" s="1"/>
  <c r="AM67" i="51"/>
  <c r="AM70" i="51" s="1"/>
  <c r="G70" i="51"/>
  <c r="AN57" i="51"/>
  <c r="AN58" i="51" s="1"/>
  <c r="AN72" i="51" s="1"/>
  <c r="H58" i="51"/>
  <c r="H72" i="51" s="1"/>
  <c r="M141" i="54"/>
  <c r="M142" i="54" s="1"/>
  <c r="M139" i="54"/>
  <c r="M140" i="54" s="1"/>
  <c r="M137" i="54"/>
  <c r="M138" i="54" s="1"/>
  <c r="T68" i="51"/>
  <c r="AZ68" i="51" s="1"/>
  <c r="T50" i="51"/>
  <c r="E214" i="54"/>
  <c r="E213" i="54"/>
  <c r="E212" i="54"/>
  <c r="E215" i="54"/>
  <c r="G81" i="53"/>
  <c r="H61" i="51" s="1"/>
  <c r="G165" i="53"/>
  <c r="H9" i="55" s="1"/>
  <c r="H22" i="59" s="1"/>
  <c r="H145" i="59" s="1"/>
  <c r="C240" i="53"/>
  <c r="C261" i="53" s="1"/>
  <c r="AP44" i="51"/>
  <c r="M140" i="53"/>
  <c r="N63" i="51" s="1"/>
  <c r="AT63" i="51" s="1"/>
  <c r="J65" i="51"/>
  <c r="I40" i="53"/>
  <c r="N46" i="53" s="1"/>
  <c r="N159" i="53" s="1"/>
  <c r="N141" i="53"/>
  <c r="N137" i="53"/>
  <c r="O56" i="51" s="1"/>
  <c r="AU56" i="51" s="1"/>
  <c r="N139" i="53"/>
  <c r="D221" i="53"/>
  <c r="D220" i="53"/>
  <c r="D224" i="53" s="1"/>
  <c r="D252" i="53"/>
  <c r="E220" i="53"/>
  <c r="E224" i="53" s="1"/>
  <c r="E221" i="53"/>
  <c r="C220" i="53"/>
  <c r="C224" i="53" s="1"/>
  <c r="C221" i="53"/>
  <c r="F166" i="53"/>
  <c r="E199" i="53"/>
  <c r="K55" i="51"/>
  <c r="J39" i="53"/>
  <c r="O45" i="53" s="1"/>
  <c r="M142" i="53"/>
  <c r="N69" i="51" s="1"/>
  <c r="AT69" i="51" s="1"/>
  <c r="M138" i="53"/>
  <c r="AO46" i="51"/>
  <c r="AP25" i="51"/>
  <c r="L29" i="51"/>
  <c r="AQ29" i="51"/>
  <c r="AQ15" i="51"/>
  <c r="AQ17" i="51" s="1"/>
  <c r="AQ33" i="51"/>
  <c r="AQ35" i="51" s="1"/>
  <c r="M36" i="51"/>
  <c r="M38" i="51" s="1"/>
  <c r="M20" i="59" s="1"/>
  <c r="AQ24" i="51"/>
  <c r="AQ21" i="51"/>
  <c r="K25" i="51"/>
  <c r="L15" i="51"/>
  <c r="L17" i="51" s="1"/>
  <c r="L21" i="51"/>
  <c r="K43" i="51"/>
  <c r="K46" i="51" s="1"/>
  <c r="K17" i="51"/>
  <c r="AR27" i="51"/>
  <c r="AR14" i="59" s="1"/>
  <c r="AR28" i="51"/>
  <c r="AR15" i="59" s="1"/>
  <c r="N30" i="51"/>
  <c r="AS30" i="51"/>
  <c r="M32" i="51"/>
  <c r="M17" i="59" s="1"/>
  <c r="M34" i="51"/>
  <c r="M18" i="59" s="1"/>
  <c r="M31" i="51"/>
  <c r="M16" i="59" s="1"/>
  <c r="AQ38" i="51"/>
  <c r="AQ20" i="59" s="1"/>
  <c r="AQ37" i="51"/>
  <c r="AQ19" i="59" s="1"/>
  <c r="M13" i="51"/>
  <c r="M12" i="59" s="1"/>
  <c r="M14" i="51"/>
  <c r="M13" i="59" s="1"/>
  <c r="AR20" i="51"/>
  <c r="AR9" i="59" s="1"/>
  <c r="AR19" i="51"/>
  <c r="AR8" i="59" s="1"/>
  <c r="AR22" i="51"/>
  <c r="AR10" i="59" s="1"/>
  <c r="AR23" i="51"/>
  <c r="AR11" i="59" s="1"/>
  <c r="AR36" i="51"/>
  <c r="N26" i="51"/>
  <c r="M27" i="51"/>
  <c r="M14" i="59" s="1"/>
  <c r="M28" i="51"/>
  <c r="M15" i="59" s="1"/>
  <c r="AS26" i="51"/>
  <c r="AS12" i="51"/>
  <c r="L33" i="51"/>
  <c r="L35" i="51" s="1"/>
  <c r="N18" i="51"/>
  <c r="M20" i="51"/>
  <c r="M9" i="59" s="1"/>
  <c r="M23" i="51"/>
  <c r="M11" i="59" s="1"/>
  <c r="M22" i="51"/>
  <c r="M10" i="59" s="1"/>
  <c r="M19" i="51"/>
  <c r="M8" i="59" s="1"/>
  <c r="AS18" i="51"/>
  <c r="AR14" i="51"/>
  <c r="AR13" i="59" s="1"/>
  <c r="AR13" i="51"/>
  <c r="AR12" i="59" s="1"/>
  <c r="L37" i="51"/>
  <c r="L19" i="59" s="1"/>
  <c r="L38" i="51"/>
  <c r="L20" i="59" s="1"/>
  <c r="AP43" i="51"/>
  <c r="AP17" i="51"/>
  <c r="O10" i="51"/>
  <c r="AT10" i="51"/>
  <c r="N12" i="51"/>
  <c r="AR32" i="51"/>
  <c r="AR17" i="59" s="1"/>
  <c r="AR31" i="51"/>
  <c r="AR16" i="59" s="1"/>
  <c r="AR34" i="51"/>
  <c r="AR18" i="59" s="1"/>
  <c r="L24" i="51"/>
  <c r="J46" i="51"/>
  <c r="AP65" i="51" l="1"/>
  <c r="I40" i="54"/>
  <c r="N46" i="54" s="1"/>
  <c r="N159" i="54" s="1"/>
  <c r="M160" i="54"/>
  <c r="K65" i="51"/>
  <c r="F214" i="53"/>
  <c r="F212" i="53"/>
  <c r="F215" i="53"/>
  <c r="AP46" i="51"/>
  <c r="C254" i="53"/>
  <c r="D202" i="53"/>
  <c r="BQ176" i="55" s="1"/>
  <c r="D203" i="53"/>
  <c r="BQ177" i="55" s="1"/>
  <c r="D201" i="53"/>
  <c r="D206" i="53"/>
  <c r="BQ180" i="55" s="1"/>
  <c r="D205" i="53"/>
  <c r="BQ179" i="55" s="1"/>
  <c r="D204" i="53"/>
  <c r="BQ178" i="55" s="1"/>
  <c r="D228" i="54"/>
  <c r="AK178" i="55" s="1"/>
  <c r="CW178" i="55" s="1"/>
  <c r="G211" i="53"/>
  <c r="G208" i="53"/>
  <c r="BQ145" i="59"/>
  <c r="H47" i="54"/>
  <c r="H162" i="54" s="1"/>
  <c r="H80" i="54"/>
  <c r="H78" i="54"/>
  <c r="H79" i="54" s="1"/>
  <c r="AO51" i="51"/>
  <c r="H72" i="54"/>
  <c r="H73" i="54" s="1"/>
  <c r="H74" i="54"/>
  <c r="H75" i="54" s="1"/>
  <c r="M86" i="59"/>
  <c r="M113" i="59"/>
  <c r="M43" i="59"/>
  <c r="M69" i="59"/>
  <c r="M84" i="59"/>
  <c r="M111" i="59"/>
  <c r="M41" i="59"/>
  <c r="M67" i="59"/>
  <c r="M83" i="59"/>
  <c r="M66" i="59"/>
  <c r="M110" i="59"/>
  <c r="M40" i="59"/>
  <c r="AR43" i="59"/>
  <c r="AR69" i="59"/>
  <c r="AR86" i="59"/>
  <c r="AR113" i="59"/>
  <c r="AR112" i="59"/>
  <c r="AR42" i="59"/>
  <c r="AR85" i="59"/>
  <c r="AR68" i="59"/>
  <c r="M48" i="59"/>
  <c r="M118" i="59"/>
  <c r="M91" i="59"/>
  <c r="M74" i="59"/>
  <c r="AP48" i="59"/>
  <c r="AP118" i="59"/>
  <c r="AP74" i="59"/>
  <c r="AP75" i="59" s="1"/>
  <c r="AP91" i="59"/>
  <c r="AQ74" i="59"/>
  <c r="AQ48" i="59"/>
  <c r="AQ118" i="59"/>
  <c r="AQ91" i="59"/>
  <c r="BP101" i="59"/>
  <c r="BP153" i="59"/>
  <c r="M85" i="59"/>
  <c r="M112" i="59"/>
  <c r="M42" i="59"/>
  <c r="M68" i="59"/>
  <c r="AR46" i="59"/>
  <c r="AR89" i="59"/>
  <c r="AR116" i="59"/>
  <c r="AR72" i="59"/>
  <c r="AR44" i="59"/>
  <c r="AR87" i="59"/>
  <c r="AR114" i="59"/>
  <c r="AR70" i="59"/>
  <c r="L90" i="59"/>
  <c r="L117" i="59"/>
  <c r="L47" i="59"/>
  <c r="L73" i="59"/>
  <c r="M87" i="59"/>
  <c r="M114" i="59"/>
  <c r="M44" i="59"/>
  <c r="M70" i="59"/>
  <c r="C239" i="54"/>
  <c r="C244" i="54" s="1"/>
  <c r="AQ73" i="59"/>
  <c r="AQ90" i="59"/>
  <c r="AQ47" i="59"/>
  <c r="AQ117" i="59"/>
  <c r="AR88" i="59"/>
  <c r="AR115" i="59"/>
  <c r="AR45" i="59"/>
  <c r="AR71" i="59"/>
  <c r="AR40" i="59"/>
  <c r="AR83" i="59"/>
  <c r="AR110" i="59"/>
  <c r="AR66" i="59"/>
  <c r="M46" i="59"/>
  <c r="M89" i="59"/>
  <c r="M116" i="59"/>
  <c r="M72" i="59"/>
  <c r="L91" i="59"/>
  <c r="L118" i="59"/>
  <c r="L48" i="59"/>
  <c r="L74" i="59"/>
  <c r="AR111" i="59"/>
  <c r="AR67" i="59"/>
  <c r="AR41" i="59"/>
  <c r="AR84" i="59"/>
  <c r="M45" i="59"/>
  <c r="M88" i="59"/>
  <c r="M115" i="59"/>
  <c r="M71" i="59"/>
  <c r="K47" i="59"/>
  <c r="K90" i="59"/>
  <c r="K117" i="59"/>
  <c r="K73" i="59"/>
  <c r="K75" i="59" s="1"/>
  <c r="C225" i="54"/>
  <c r="C226" i="54"/>
  <c r="AJ176" i="55" s="1"/>
  <c r="CV176" i="55" s="1"/>
  <c r="C227" i="54"/>
  <c r="AJ177" i="55" s="1"/>
  <c r="CV177" i="55" s="1"/>
  <c r="C229" i="54"/>
  <c r="AJ179" i="55" s="1"/>
  <c r="CV179" i="55" s="1"/>
  <c r="C228" i="54"/>
  <c r="AJ178" i="55" s="1"/>
  <c r="CV178" i="55" s="1"/>
  <c r="BQ120" i="59"/>
  <c r="BQ49" i="59"/>
  <c r="BQ31" i="59"/>
  <c r="BP24" i="59"/>
  <c r="BP49" i="59"/>
  <c r="BP31" i="59"/>
  <c r="BP154" i="59" s="1"/>
  <c r="H49" i="59"/>
  <c r="BP120" i="59"/>
  <c r="AR79" i="59"/>
  <c r="AR106" i="59"/>
  <c r="AR36" i="59"/>
  <c r="AR62" i="59"/>
  <c r="AR80" i="59"/>
  <c r="AR37" i="59"/>
  <c r="AR107" i="59"/>
  <c r="AR63" i="59"/>
  <c r="M81" i="59"/>
  <c r="M108" i="59"/>
  <c r="M38" i="59"/>
  <c r="M64" i="59"/>
  <c r="M82" i="59"/>
  <c r="M39" i="59"/>
  <c r="M109" i="59"/>
  <c r="M65" i="59"/>
  <c r="M80" i="59"/>
  <c r="M107" i="59"/>
  <c r="M37" i="59"/>
  <c r="M63" i="59"/>
  <c r="AR82" i="59"/>
  <c r="AR109" i="59"/>
  <c r="AR39" i="59"/>
  <c r="AR65" i="59"/>
  <c r="F210" i="54"/>
  <c r="F225" i="54" s="1"/>
  <c r="CY172" i="55"/>
  <c r="M79" i="59"/>
  <c r="M106" i="59"/>
  <c r="M36" i="59"/>
  <c r="M62" i="59"/>
  <c r="AR81" i="59"/>
  <c r="AR108" i="59"/>
  <c r="AR38" i="59"/>
  <c r="AR64" i="59"/>
  <c r="AM22" i="59"/>
  <c r="AM145" i="59" s="1"/>
  <c r="CY9" i="55"/>
  <c r="CY22" i="59" s="1"/>
  <c r="CY145" i="59" s="1"/>
  <c r="BP92" i="59"/>
  <c r="D227" i="54"/>
  <c r="AK177" i="55" s="1"/>
  <c r="CW177" i="55" s="1"/>
  <c r="D226" i="54"/>
  <c r="AK176" i="55" s="1"/>
  <c r="CW176" i="55" s="1"/>
  <c r="D229" i="54"/>
  <c r="AK179" i="55" s="1"/>
  <c r="CW179" i="55" s="1"/>
  <c r="D225" i="54"/>
  <c r="H120" i="59"/>
  <c r="BP100" i="59"/>
  <c r="BP127" i="59"/>
  <c r="BP98" i="59"/>
  <c r="BP125" i="59"/>
  <c r="BP99" i="59"/>
  <c r="BP126" i="59"/>
  <c r="BP97" i="59"/>
  <c r="BP124" i="59"/>
  <c r="H92" i="59"/>
  <c r="BQ92" i="59"/>
  <c r="BP56" i="59"/>
  <c r="BP57" i="59"/>
  <c r="BP55" i="59"/>
  <c r="BP54" i="59"/>
  <c r="BP19" i="55"/>
  <c r="BP174" i="55" s="1"/>
  <c r="BP25" i="59"/>
  <c r="BP148" i="59" s="1"/>
  <c r="AM172" i="55"/>
  <c r="E254" i="53"/>
  <c r="F10" i="55" s="1"/>
  <c r="F23" i="59" s="1"/>
  <c r="BP6" i="55"/>
  <c r="E210" i="54"/>
  <c r="E227" i="54" s="1"/>
  <c r="AL177" i="55" s="1"/>
  <c r="CX177" i="55" s="1"/>
  <c r="AL172" i="55"/>
  <c r="E200" i="53"/>
  <c r="BR172" i="55"/>
  <c r="D10" i="55"/>
  <c r="D23" i="59" s="1"/>
  <c r="D146" i="59" s="1"/>
  <c r="F210" i="53"/>
  <c r="F226" i="53" s="1"/>
  <c r="G176" i="55" s="1"/>
  <c r="G172" i="55"/>
  <c r="C262" i="53"/>
  <c r="D78" i="51" s="1"/>
  <c r="D77" i="51"/>
  <c r="D262" i="53"/>
  <c r="E78" i="51" s="1"/>
  <c r="E77" i="51"/>
  <c r="E262" i="53"/>
  <c r="F78" i="51" s="1"/>
  <c r="F77" i="51"/>
  <c r="F74" i="51"/>
  <c r="BP7" i="55"/>
  <c r="BQ13" i="55"/>
  <c r="BQ27" i="59" s="1"/>
  <c r="BQ150" i="59" s="1"/>
  <c r="BQ16" i="55"/>
  <c r="BQ30" i="59" s="1"/>
  <c r="BQ11" i="55"/>
  <c r="BQ12" i="55"/>
  <c r="BQ26" i="59" s="1"/>
  <c r="BQ53" i="59" s="1"/>
  <c r="BQ15" i="55"/>
  <c r="BQ29" i="59" s="1"/>
  <c r="BQ152" i="59" s="1"/>
  <c r="BQ14" i="55"/>
  <c r="BQ28" i="59" s="1"/>
  <c r="BQ151" i="59" s="1"/>
  <c r="AN9" i="55"/>
  <c r="H207" i="53"/>
  <c r="H208" i="53" s="1"/>
  <c r="I4" i="55"/>
  <c r="D256" i="53"/>
  <c r="E74" i="51"/>
  <c r="E76" i="51" s="1"/>
  <c r="E10" i="55"/>
  <c r="E23" i="59" s="1"/>
  <c r="G207" i="54"/>
  <c r="G208" i="54" s="1"/>
  <c r="AN4" i="55"/>
  <c r="C237" i="54"/>
  <c r="C238" i="54" s="1"/>
  <c r="K48" i="51"/>
  <c r="J36" i="53"/>
  <c r="J42" i="53" s="1"/>
  <c r="AP48" i="51"/>
  <c r="I36" i="54"/>
  <c r="I42" i="54" s="1"/>
  <c r="E217" i="54"/>
  <c r="E216" i="54"/>
  <c r="G215" i="53"/>
  <c r="G214" i="53"/>
  <c r="G213" i="53"/>
  <c r="G212" i="53"/>
  <c r="BA50" i="51"/>
  <c r="C245" i="54"/>
  <c r="C252" i="54" s="1"/>
  <c r="AM71" i="51"/>
  <c r="AM73" i="51" s="1"/>
  <c r="AM64" i="51"/>
  <c r="F217" i="53"/>
  <c r="F216" i="53"/>
  <c r="AO57" i="51"/>
  <c r="AO58" i="51" s="1"/>
  <c r="AO72" i="51" s="1"/>
  <c r="I58" i="51"/>
  <c r="I72" i="51" s="1"/>
  <c r="AP52" i="51"/>
  <c r="AP54" i="51" s="1"/>
  <c r="I37" i="54"/>
  <c r="U43" i="54" s="1"/>
  <c r="AZ50" i="51"/>
  <c r="AN67" i="51"/>
  <c r="AN70" i="51" s="1"/>
  <c r="H70" i="51"/>
  <c r="D199" i="54"/>
  <c r="D200" i="54" s="1"/>
  <c r="E166" i="54"/>
  <c r="BR9" i="55" s="1"/>
  <c r="BR22" i="59" s="1"/>
  <c r="BR145" i="59" s="1"/>
  <c r="H81" i="53"/>
  <c r="I61" i="51" s="1"/>
  <c r="H165" i="53"/>
  <c r="I9" i="55" s="1"/>
  <c r="I22" i="59" s="1"/>
  <c r="I145" i="59" s="1"/>
  <c r="F216" i="54"/>
  <c r="F217" i="54"/>
  <c r="C201" i="54"/>
  <c r="C206" i="54"/>
  <c r="C202" i="54"/>
  <c r="C205" i="54"/>
  <c r="C203" i="54"/>
  <c r="C204" i="54"/>
  <c r="C219" i="54"/>
  <c r="C218" i="54"/>
  <c r="U107" i="53"/>
  <c r="U108" i="53" s="1"/>
  <c r="V53" i="51" s="1"/>
  <c r="BB53" i="51" s="1"/>
  <c r="U113" i="53"/>
  <c r="U114" i="53" s="1"/>
  <c r="U109" i="53"/>
  <c r="U110" i="53" s="1"/>
  <c r="V62" i="51" s="1"/>
  <c r="BB62" i="51" s="1"/>
  <c r="U111" i="53"/>
  <c r="U112" i="53" s="1"/>
  <c r="K52" i="51"/>
  <c r="K54" i="51" s="1"/>
  <c r="J37" i="53"/>
  <c r="V43" i="53" s="1"/>
  <c r="AQ55" i="51"/>
  <c r="J39" i="54"/>
  <c r="O45" i="54" s="1"/>
  <c r="F222" i="54"/>
  <c r="F223" i="54"/>
  <c r="I78" i="53"/>
  <c r="I74" i="53"/>
  <c r="I75" i="53" s="1"/>
  <c r="J57" i="51" s="1"/>
  <c r="I72" i="53"/>
  <c r="I73" i="53" s="1"/>
  <c r="J49" i="51" s="1"/>
  <c r="AP49" i="51" s="1"/>
  <c r="I80" i="53"/>
  <c r="I47" i="53"/>
  <c r="N139" i="54"/>
  <c r="N140" i="54" s="1"/>
  <c r="N137" i="54"/>
  <c r="N138" i="54" s="1"/>
  <c r="N141" i="54"/>
  <c r="N142" i="54" s="1"/>
  <c r="I51" i="51"/>
  <c r="I67" i="51"/>
  <c r="H79" i="53"/>
  <c r="G81" i="54"/>
  <c r="G165" i="54"/>
  <c r="AQ52" i="51"/>
  <c r="AQ54" i="51" s="1"/>
  <c r="J37" i="54"/>
  <c r="V43" i="54" s="1"/>
  <c r="G209" i="53"/>
  <c r="G232" i="53"/>
  <c r="G233" i="53" s="1"/>
  <c r="E223" i="54"/>
  <c r="E222" i="54"/>
  <c r="E234" i="54" s="1"/>
  <c r="E235" i="54" s="1"/>
  <c r="D219" i="54"/>
  <c r="D218" i="54"/>
  <c r="T111" i="54"/>
  <c r="T112" i="54" s="1"/>
  <c r="T109" i="54"/>
  <c r="T110" i="54" s="1"/>
  <c r="T113" i="54"/>
  <c r="T114" i="54" s="1"/>
  <c r="T107" i="54"/>
  <c r="T108" i="54" s="1"/>
  <c r="AQ59" i="51"/>
  <c r="J38" i="54"/>
  <c r="AN61" i="51"/>
  <c r="H71" i="51"/>
  <c r="H73" i="51" s="1"/>
  <c r="H64" i="51"/>
  <c r="F222" i="53"/>
  <c r="F234" i="53" s="1"/>
  <c r="F235" i="53" s="1"/>
  <c r="F223" i="53"/>
  <c r="L52" i="51"/>
  <c r="L54" i="51" s="1"/>
  <c r="K37" i="53"/>
  <c r="W43" i="53" s="1"/>
  <c r="L59" i="51"/>
  <c r="K38" i="53"/>
  <c r="D236" i="54"/>
  <c r="H162" i="53"/>
  <c r="N140" i="53"/>
  <c r="O63" i="51" s="1"/>
  <c r="AU63" i="51" s="1"/>
  <c r="N138" i="53"/>
  <c r="G166" i="53"/>
  <c r="F199" i="53"/>
  <c r="N142" i="53"/>
  <c r="O69" i="51" s="1"/>
  <c r="AU69" i="51" s="1"/>
  <c r="L55" i="51"/>
  <c r="K39" i="53"/>
  <c r="P45" i="53" s="1"/>
  <c r="O137" i="53"/>
  <c r="P56" i="51" s="1"/>
  <c r="AV56" i="51" s="1"/>
  <c r="O141" i="53"/>
  <c r="O139" i="53"/>
  <c r="O160" i="53"/>
  <c r="P66" i="51" s="1"/>
  <c r="AV66" i="51" s="1"/>
  <c r="N160" i="53"/>
  <c r="O66" i="51" s="1"/>
  <c r="AU66" i="51" s="1"/>
  <c r="L25" i="51"/>
  <c r="AR33" i="51"/>
  <c r="N36" i="51"/>
  <c r="N38" i="51" s="1"/>
  <c r="N20" i="59" s="1"/>
  <c r="M37" i="51"/>
  <c r="L43" i="51"/>
  <c r="AQ44" i="51"/>
  <c r="AQ43" i="51"/>
  <c r="M29" i="51"/>
  <c r="AQ25" i="51"/>
  <c r="M21" i="51"/>
  <c r="M24" i="51"/>
  <c r="M44" i="51" s="1"/>
  <c r="L39" i="51"/>
  <c r="AR24" i="51"/>
  <c r="AR29" i="51"/>
  <c r="AR15" i="51"/>
  <c r="AR17" i="51" s="1"/>
  <c r="AR21" i="51"/>
  <c r="AQ39" i="51"/>
  <c r="AS28" i="51"/>
  <c r="AS15" i="59" s="1"/>
  <c r="AS27" i="51"/>
  <c r="AS14" i="59" s="1"/>
  <c r="N14" i="51"/>
  <c r="N13" i="59" s="1"/>
  <c r="N13" i="51"/>
  <c r="N12" i="59" s="1"/>
  <c r="AS36" i="51"/>
  <c r="AR37" i="51"/>
  <c r="AR19" i="59" s="1"/>
  <c r="AR38" i="51"/>
  <c r="AR20" i="59" s="1"/>
  <c r="M15" i="51"/>
  <c r="AS31" i="51"/>
  <c r="AS16" i="59" s="1"/>
  <c r="AS32" i="51"/>
  <c r="AS17" i="59" s="1"/>
  <c r="AS34" i="51"/>
  <c r="AS18" i="59" s="1"/>
  <c r="AT12" i="51"/>
  <c r="P10" i="51"/>
  <c r="AU10" i="51"/>
  <c r="O12" i="51"/>
  <c r="L44" i="51"/>
  <c r="AS23" i="51"/>
  <c r="AS11" i="59" s="1"/>
  <c r="AS22" i="51"/>
  <c r="AS10" i="59" s="1"/>
  <c r="AS20" i="51"/>
  <c r="AS9" i="59" s="1"/>
  <c r="AS19" i="51"/>
  <c r="AS8" i="59" s="1"/>
  <c r="AS14" i="51"/>
  <c r="AS13" i="59" s="1"/>
  <c r="AS13" i="51"/>
  <c r="AS12" i="59" s="1"/>
  <c r="M33" i="51"/>
  <c r="M35" i="51" s="1"/>
  <c r="O30" i="51"/>
  <c r="AT30" i="51"/>
  <c r="N34" i="51"/>
  <c r="N18" i="59" s="1"/>
  <c r="N32" i="51"/>
  <c r="N17" i="59" s="1"/>
  <c r="N31" i="51"/>
  <c r="N16" i="59" s="1"/>
  <c r="N20" i="51"/>
  <c r="N9" i="59" s="1"/>
  <c r="AT18" i="51"/>
  <c r="N19" i="51"/>
  <c r="N8" i="59" s="1"/>
  <c r="O18" i="51"/>
  <c r="N22" i="51"/>
  <c r="N10" i="59" s="1"/>
  <c r="N23" i="51"/>
  <c r="N11" i="59" s="1"/>
  <c r="O26" i="51"/>
  <c r="N27" i="51"/>
  <c r="N14" i="59" s="1"/>
  <c r="N28" i="51"/>
  <c r="N15" i="59" s="1"/>
  <c r="AT26" i="51"/>
  <c r="AQ75" i="59" l="1"/>
  <c r="N160" i="54"/>
  <c r="L75" i="59"/>
  <c r="C256" i="53"/>
  <c r="D75" i="51"/>
  <c r="D76" i="51" s="1"/>
  <c r="E146" i="59"/>
  <c r="E226" i="54"/>
  <c r="AL176" i="55" s="1"/>
  <c r="CX176" i="55" s="1"/>
  <c r="F229" i="53"/>
  <c r="G179" i="55" s="1"/>
  <c r="E201" i="53"/>
  <c r="E203" i="53"/>
  <c r="BR177" i="55" s="1"/>
  <c r="E206" i="53"/>
  <c r="BR180" i="55" s="1"/>
  <c r="E204" i="53"/>
  <c r="BR178" i="55" s="1"/>
  <c r="E202" i="53"/>
  <c r="BR176" i="55" s="1"/>
  <c r="E205" i="53"/>
  <c r="BR179" i="55" s="1"/>
  <c r="AR35" i="51"/>
  <c r="E256" i="53"/>
  <c r="H207" i="54"/>
  <c r="AO4" i="55"/>
  <c r="H81" i="54"/>
  <c r="H165" i="54"/>
  <c r="N69" i="59"/>
  <c r="N86" i="59"/>
  <c r="N113" i="59"/>
  <c r="N43" i="59"/>
  <c r="AS111" i="59"/>
  <c r="AS41" i="59"/>
  <c r="AS84" i="59"/>
  <c r="AS67" i="59"/>
  <c r="AR90" i="59"/>
  <c r="AR47" i="59"/>
  <c r="AR117" i="59"/>
  <c r="AR73" i="59"/>
  <c r="N85" i="59"/>
  <c r="N68" i="59"/>
  <c r="N112" i="59"/>
  <c r="N42" i="59"/>
  <c r="F146" i="59"/>
  <c r="N88" i="59"/>
  <c r="N115" i="59"/>
  <c r="N45" i="59"/>
  <c r="N71" i="59"/>
  <c r="N84" i="59"/>
  <c r="N41" i="59"/>
  <c r="N111" i="59"/>
  <c r="N67" i="59"/>
  <c r="M39" i="51"/>
  <c r="M19" i="59"/>
  <c r="BP51" i="59"/>
  <c r="BP147" i="59"/>
  <c r="BP94" i="59"/>
  <c r="N87" i="59"/>
  <c r="N114" i="59"/>
  <c r="N44" i="59"/>
  <c r="N70" i="59"/>
  <c r="AS88" i="59"/>
  <c r="AS115" i="59"/>
  <c r="AS45" i="59"/>
  <c r="AS71" i="59"/>
  <c r="AS42" i="59"/>
  <c r="AS68" i="59"/>
  <c r="AS85" i="59"/>
  <c r="AS112" i="59"/>
  <c r="N118" i="59"/>
  <c r="N48" i="59"/>
  <c r="N91" i="59"/>
  <c r="N74" i="59"/>
  <c r="BQ24" i="59"/>
  <c r="BQ154" i="59"/>
  <c r="AS44" i="59"/>
  <c r="AS87" i="59"/>
  <c r="AS114" i="59"/>
  <c r="AS70" i="59"/>
  <c r="AS113" i="59"/>
  <c r="AS43" i="59"/>
  <c r="AS69" i="59"/>
  <c r="AS86" i="59"/>
  <c r="BQ101" i="59"/>
  <c r="BQ153" i="59"/>
  <c r="N89" i="59"/>
  <c r="N116" i="59"/>
  <c r="N46" i="59"/>
  <c r="N72" i="59"/>
  <c r="N83" i="59"/>
  <c r="N110" i="59"/>
  <c r="N66" i="59"/>
  <c r="N40" i="59"/>
  <c r="AS89" i="59"/>
  <c r="AS116" i="59"/>
  <c r="AS46" i="59"/>
  <c r="AS72" i="59"/>
  <c r="AS83" i="59"/>
  <c r="AS110" i="59"/>
  <c r="AS40" i="59"/>
  <c r="AS66" i="59"/>
  <c r="AR118" i="59"/>
  <c r="AR48" i="59"/>
  <c r="AR91" i="59"/>
  <c r="AR74" i="59"/>
  <c r="F230" i="53"/>
  <c r="G180" i="55" s="1"/>
  <c r="F226" i="54"/>
  <c r="AM176" i="55" s="1"/>
  <c r="CY176" i="55" s="1"/>
  <c r="F228" i="53"/>
  <c r="G178" i="55" s="1"/>
  <c r="F227" i="54"/>
  <c r="AM177" i="55" s="1"/>
  <c r="CY177" i="55" s="1"/>
  <c r="F225" i="53"/>
  <c r="F228" i="54"/>
  <c r="AM178" i="55" s="1"/>
  <c r="CY178" i="55" s="1"/>
  <c r="CY49" i="59"/>
  <c r="CY120" i="59"/>
  <c r="CY92" i="59"/>
  <c r="F230" i="54"/>
  <c r="AM180" i="55" s="1"/>
  <c r="CY180" i="55" s="1"/>
  <c r="F229" i="54"/>
  <c r="AM179" i="55" s="1"/>
  <c r="CY179" i="55" s="1"/>
  <c r="F227" i="53"/>
  <c r="G177" i="55" s="1"/>
  <c r="E50" i="59"/>
  <c r="E31" i="59"/>
  <c r="D50" i="59"/>
  <c r="D31" i="59"/>
  <c r="D154" i="59" s="1"/>
  <c r="I49" i="59"/>
  <c r="BR120" i="59"/>
  <c r="BR49" i="59"/>
  <c r="BR31" i="59"/>
  <c r="BR154" i="59" s="1"/>
  <c r="AM49" i="59"/>
  <c r="F50" i="59"/>
  <c r="F31" i="59"/>
  <c r="BP96" i="59"/>
  <c r="BP52" i="59"/>
  <c r="AM92" i="59"/>
  <c r="AM120" i="59"/>
  <c r="N80" i="59"/>
  <c r="N107" i="59"/>
  <c r="N37" i="59"/>
  <c r="N63" i="59"/>
  <c r="N82" i="59"/>
  <c r="N109" i="59"/>
  <c r="N39" i="59"/>
  <c r="N65" i="59"/>
  <c r="AS81" i="59"/>
  <c r="AS108" i="59"/>
  <c r="AS38" i="59"/>
  <c r="AS64" i="59"/>
  <c r="AS82" i="59"/>
  <c r="AS109" i="59"/>
  <c r="AS39" i="59"/>
  <c r="AS65" i="59"/>
  <c r="AS37" i="59"/>
  <c r="AS80" i="59"/>
  <c r="AS107" i="59"/>
  <c r="AS63" i="59"/>
  <c r="N81" i="59"/>
  <c r="N108" i="59"/>
  <c r="N38" i="59"/>
  <c r="N64" i="59"/>
  <c r="N36" i="59"/>
  <c r="N79" i="59"/>
  <c r="N106" i="59"/>
  <c r="N62" i="59"/>
  <c r="AS79" i="59"/>
  <c r="AS106" i="59"/>
  <c r="AS36" i="59"/>
  <c r="AS62" i="59"/>
  <c r="AN22" i="59"/>
  <c r="AN145" i="59" s="1"/>
  <c r="CZ9" i="55"/>
  <c r="CZ22" i="59" s="1"/>
  <c r="CZ145" i="59" s="1"/>
  <c r="E229" i="54"/>
  <c r="AL179" i="55" s="1"/>
  <c r="CX179" i="55" s="1"/>
  <c r="G211" i="54"/>
  <c r="G213" i="54" s="1"/>
  <c r="E230" i="54"/>
  <c r="AL180" i="55" s="1"/>
  <c r="CX180" i="55" s="1"/>
  <c r="E225" i="54"/>
  <c r="E228" i="54"/>
  <c r="AL178" i="55" s="1"/>
  <c r="CX178" i="55" s="1"/>
  <c r="BP36" i="55"/>
  <c r="BP37" i="55"/>
  <c r="BP59" i="55"/>
  <c r="BP175" i="55"/>
  <c r="BP106" i="55"/>
  <c r="BP16" i="57" s="1"/>
  <c r="BP83" i="55"/>
  <c r="BP82" i="55"/>
  <c r="BP60" i="55"/>
  <c r="BP14" i="57" s="1"/>
  <c r="F121" i="59"/>
  <c r="I120" i="59"/>
  <c r="BP105" i="55"/>
  <c r="E121" i="59"/>
  <c r="BQ97" i="59"/>
  <c r="BQ124" i="59"/>
  <c r="BP95" i="59"/>
  <c r="BP123" i="59"/>
  <c r="BQ98" i="59"/>
  <c r="BQ125" i="59"/>
  <c r="D121" i="59"/>
  <c r="BQ99" i="59"/>
  <c r="BQ126" i="59"/>
  <c r="BQ100" i="59"/>
  <c r="BQ127" i="59"/>
  <c r="BP122" i="59"/>
  <c r="F93" i="59"/>
  <c r="D93" i="59"/>
  <c r="E93" i="59"/>
  <c r="BR92" i="59"/>
  <c r="I92" i="59"/>
  <c r="BQ57" i="59"/>
  <c r="BQ54" i="59"/>
  <c r="BQ56" i="59"/>
  <c r="BQ55" i="59"/>
  <c r="F75" i="51"/>
  <c r="F76" i="51" s="1"/>
  <c r="BQ19" i="55"/>
  <c r="BQ174" i="55" s="1"/>
  <c r="BQ25" i="59"/>
  <c r="BQ148" i="59" s="1"/>
  <c r="D58" i="58"/>
  <c r="E58" i="58"/>
  <c r="E5" i="58" s="1"/>
  <c r="F59" i="58"/>
  <c r="D59" i="58"/>
  <c r="E59" i="58"/>
  <c r="H211" i="53"/>
  <c r="H213" i="53" s="1"/>
  <c r="C240" i="54"/>
  <c r="C261" i="54" s="1"/>
  <c r="C262" i="54" s="1"/>
  <c r="AJ78" i="51" s="1"/>
  <c r="N37" i="51"/>
  <c r="N19" i="59" s="1"/>
  <c r="G210" i="53"/>
  <c r="G230" i="53" s="1"/>
  <c r="H180" i="55" s="1"/>
  <c r="H172" i="55"/>
  <c r="AR44" i="51"/>
  <c r="F200" i="53"/>
  <c r="F204" i="53" s="1"/>
  <c r="BS178" i="55" s="1"/>
  <c r="BS172" i="55"/>
  <c r="C254" i="54"/>
  <c r="AJ75" i="51" s="1"/>
  <c r="AJ74" i="51"/>
  <c r="I207" i="53"/>
  <c r="I211" i="53" s="1"/>
  <c r="J4" i="55"/>
  <c r="J51" i="51"/>
  <c r="BQ6" i="55"/>
  <c r="AO9" i="55"/>
  <c r="D14" i="55"/>
  <c r="D28" i="59" s="1"/>
  <c r="D11" i="55"/>
  <c r="D12" i="55"/>
  <c r="D26" i="59" s="1"/>
  <c r="D16" i="55"/>
  <c r="D30" i="59" s="1"/>
  <c r="D13" i="55"/>
  <c r="D27" i="59" s="1"/>
  <c r="D150" i="59" s="1"/>
  <c r="D15" i="55"/>
  <c r="D29" i="59" s="1"/>
  <c r="D152" i="59" s="1"/>
  <c r="F11" i="55"/>
  <c r="F15" i="55"/>
  <c r="F29" i="59" s="1"/>
  <c r="F14" i="55"/>
  <c r="F28" i="59" s="1"/>
  <c r="F12" i="55"/>
  <c r="F26" i="59" s="1"/>
  <c r="F53" i="59" s="1"/>
  <c r="F16" i="55"/>
  <c r="F30" i="59" s="1"/>
  <c r="F13" i="55"/>
  <c r="F27" i="59" s="1"/>
  <c r="BR13" i="55"/>
  <c r="BR27" i="59" s="1"/>
  <c r="BR150" i="59" s="1"/>
  <c r="BR16" i="55"/>
  <c r="BR30" i="59" s="1"/>
  <c r="BR11" i="55"/>
  <c r="BR15" i="55"/>
  <c r="BR29" i="59" s="1"/>
  <c r="BR152" i="59" s="1"/>
  <c r="BR14" i="55"/>
  <c r="BR28" i="59" s="1"/>
  <c r="BR151" i="59" s="1"/>
  <c r="BR12" i="55"/>
  <c r="BR26" i="59" s="1"/>
  <c r="BR53" i="59" s="1"/>
  <c r="E16" i="55"/>
  <c r="E30" i="59" s="1"/>
  <c r="E14" i="55"/>
  <c r="E28" i="59" s="1"/>
  <c r="E13" i="55"/>
  <c r="E27" i="59" s="1"/>
  <c r="E150" i="59" s="1"/>
  <c r="E11" i="55"/>
  <c r="E12" i="55"/>
  <c r="E26" i="59" s="1"/>
  <c r="E53" i="59" s="1"/>
  <c r="E15" i="55"/>
  <c r="E29" i="59" s="1"/>
  <c r="BQ7" i="55"/>
  <c r="AR59" i="51"/>
  <c r="K38" i="54"/>
  <c r="F234" i="54"/>
  <c r="F235" i="54" s="1"/>
  <c r="F236" i="54"/>
  <c r="G232" i="54"/>
  <c r="G233" i="54" s="1"/>
  <c r="G209" i="54"/>
  <c r="CZ172" i="55" s="1"/>
  <c r="H209" i="53"/>
  <c r="H232" i="53"/>
  <c r="H233" i="53" s="1"/>
  <c r="F219" i="53"/>
  <c r="F218" i="53"/>
  <c r="I162" i="53"/>
  <c r="O137" i="54"/>
  <c r="O138" i="54" s="1"/>
  <c r="O139" i="54"/>
  <c r="O140" i="54" s="1"/>
  <c r="O141" i="54"/>
  <c r="O142" i="54" s="1"/>
  <c r="AO61" i="51"/>
  <c r="I71" i="51"/>
  <c r="I73" i="51" s="1"/>
  <c r="I64" i="51"/>
  <c r="E236" i="54"/>
  <c r="E219" i="54"/>
  <c r="E218" i="54"/>
  <c r="D237" i="54"/>
  <c r="D238" i="54" s="1"/>
  <c r="D240" i="54" s="1"/>
  <c r="D239" i="54"/>
  <c r="I81" i="53"/>
  <c r="J61" i="51" s="1"/>
  <c r="I165" i="53"/>
  <c r="J9" i="55" s="1"/>
  <c r="J22" i="59" s="1"/>
  <c r="J145" i="59" s="1"/>
  <c r="C221" i="54"/>
  <c r="C220" i="54"/>
  <c r="C224" i="54" s="1"/>
  <c r="I80" i="54"/>
  <c r="I72" i="54"/>
  <c r="I73" i="54" s="1"/>
  <c r="I74" i="54"/>
  <c r="I75" i="54" s="1"/>
  <c r="I78" i="54"/>
  <c r="I79" i="54" s="1"/>
  <c r="I47" i="54"/>
  <c r="AO67" i="51"/>
  <c r="AO70" i="51" s="1"/>
  <c r="I70" i="51"/>
  <c r="V107" i="53"/>
  <c r="V108" i="53" s="1"/>
  <c r="W53" i="51" s="1"/>
  <c r="BC53" i="51" s="1"/>
  <c r="V109" i="53"/>
  <c r="V110" i="53" s="1"/>
  <c r="W62" i="51" s="1"/>
  <c r="BC62" i="51" s="1"/>
  <c r="V111" i="53"/>
  <c r="V112" i="53" s="1"/>
  <c r="V113" i="53"/>
  <c r="V114" i="53" s="1"/>
  <c r="U113" i="54"/>
  <c r="U114" i="54" s="1"/>
  <c r="U111" i="54"/>
  <c r="U112" i="54" s="1"/>
  <c r="U109" i="54"/>
  <c r="U110" i="54" s="1"/>
  <c r="U107" i="54"/>
  <c r="U108" i="54" s="1"/>
  <c r="G216" i="53"/>
  <c r="G217" i="53"/>
  <c r="AP51" i="51"/>
  <c r="AQ65" i="51"/>
  <c r="J40" i="54"/>
  <c r="O46" i="54" s="1"/>
  <c r="O159" i="54" s="1"/>
  <c r="AQ48" i="51"/>
  <c r="J36" i="54"/>
  <c r="J42" i="54" s="1"/>
  <c r="L48" i="51"/>
  <c r="K36" i="53"/>
  <c r="K42" i="53" s="1"/>
  <c r="AP57" i="51"/>
  <c r="AP58" i="51" s="1"/>
  <c r="AP72" i="51" s="1"/>
  <c r="J58" i="51"/>
  <c r="J72" i="51" s="1"/>
  <c r="E199" i="54"/>
  <c r="E200" i="54" s="1"/>
  <c r="F166" i="54"/>
  <c r="BS9" i="55" s="1"/>
  <c r="BS22" i="59" s="1"/>
  <c r="BS145" i="59" s="1"/>
  <c r="G223" i="53"/>
  <c r="G222" i="53"/>
  <c r="G234" i="53" s="1"/>
  <c r="G235" i="53" s="1"/>
  <c r="J72" i="53"/>
  <c r="J73" i="53" s="1"/>
  <c r="K49" i="51" s="1"/>
  <c r="AQ49" i="51" s="1"/>
  <c r="J74" i="53"/>
  <c r="J75" i="53" s="1"/>
  <c r="K57" i="51" s="1"/>
  <c r="J80" i="53"/>
  <c r="J78" i="53"/>
  <c r="J47" i="53"/>
  <c r="J162" i="53" s="1"/>
  <c r="M59" i="51"/>
  <c r="L38" i="53"/>
  <c r="W107" i="53"/>
  <c r="W108" i="53" s="1"/>
  <c r="X53" i="51" s="1"/>
  <c r="BD53" i="51" s="1"/>
  <c r="W113" i="53"/>
  <c r="W114" i="53" s="1"/>
  <c r="W111" i="53"/>
  <c r="W112" i="53" s="1"/>
  <c r="W109" i="53"/>
  <c r="W110" i="53" s="1"/>
  <c r="X62" i="51" s="1"/>
  <c r="BD62" i="51" s="1"/>
  <c r="AN71" i="51"/>
  <c r="AN73" i="51" s="1"/>
  <c r="AN64" i="51"/>
  <c r="D221" i="54"/>
  <c r="D220" i="54"/>
  <c r="D224" i="54" s="1"/>
  <c r="V113" i="54"/>
  <c r="V114" i="54" s="1"/>
  <c r="V107" i="54"/>
  <c r="V108" i="54" s="1"/>
  <c r="V109" i="54"/>
  <c r="V110" i="54" s="1"/>
  <c r="V111" i="54"/>
  <c r="V112" i="54" s="1"/>
  <c r="J67" i="51"/>
  <c r="I79" i="53"/>
  <c r="D203" i="54"/>
  <c r="D201" i="54"/>
  <c r="D204" i="54"/>
  <c r="D206" i="54"/>
  <c r="D205" i="54"/>
  <c r="D202" i="54"/>
  <c r="F236" i="53"/>
  <c r="F239" i="53" s="1"/>
  <c r="AR52" i="51"/>
  <c r="AR54" i="51" s="1"/>
  <c r="K37" i="54"/>
  <c r="W43" i="54" s="1"/>
  <c r="V68" i="51"/>
  <c r="BB68" i="51" s="1"/>
  <c r="V50" i="51"/>
  <c r="F219" i="54"/>
  <c r="F218" i="54"/>
  <c r="M55" i="51"/>
  <c r="L39" i="53"/>
  <c r="Q45" i="53" s="1"/>
  <c r="O140" i="53"/>
  <c r="P63" i="51" s="1"/>
  <c r="AV63" i="51" s="1"/>
  <c r="O142" i="53"/>
  <c r="P69" i="51" s="1"/>
  <c r="AV69" i="51" s="1"/>
  <c r="O138" i="53"/>
  <c r="P137" i="53"/>
  <c r="Q56" i="51" s="1"/>
  <c r="AW56" i="51" s="1"/>
  <c r="P139" i="53"/>
  <c r="P141" i="53"/>
  <c r="L65" i="51"/>
  <c r="K40" i="53"/>
  <c r="P46" i="53" s="1"/>
  <c r="P159" i="53" s="1"/>
  <c r="M65" i="51"/>
  <c r="L40" i="53"/>
  <c r="Q46" i="53" s="1"/>
  <c r="Q159" i="53" s="1"/>
  <c r="H166" i="53"/>
  <c r="G199" i="53"/>
  <c r="AQ46" i="51"/>
  <c r="L46" i="51"/>
  <c r="N15" i="51"/>
  <c r="N17" i="51" s="1"/>
  <c r="M25" i="51"/>
  <c r="AR43" i="51"/>
  <c r="AS29" i="51"/>
  <c r="N29" i="51"/>
  <c r="N39" i="51"/>
  <c r="AS21" i="51"/>
  <c r="AR39" i="51"/>
  <c r="N21" i="51"/>
  <c r="AR25" i="51"/>
  <c r="AT28" i="51"/>
  <c r="AT15" i="59" s="1"/>
  <c r="AT27" i="51"/>
  <c r="AT14" i="59" s="1"/>
  <c r="N33" i="51"/>
  <c r="N35" i="51" s="1"/>
  <c r="P30" i="51"/>
  <c r="AU30" i="51"/>
  <c r="O32" i="51"/>
  <c r="O17" i="59" s="1"/>
  <c r="O31" i="51"/>
  <c r="O16" i="59" s="1"/>
  <c r="O34" i="51"/>
  <c r="O18" i="59" s="1"/>
  <c r="AS24" i="51"/>
  <c r="O14" i="51"/>
  <c r="O13" i="59" s="1"/>
  <c r="O13" i="51"/>
  <c r="O12" i="59" s="1"/>
  <c r="AT14" i="51"/>
  <c r="AT13" i="59" s="1"/>
  <c r="AT13" i="51"/>
  <c r="AT12" i="59" s="1"/>
  <c r="AU12" i="51"/>
  <c r="AS33" i="51"/>
  <c r="AS35" i="51" s="1"/>
  <c r="AT22" i="51"/>
  <c r="AT10" i="59" s="1"/>
  <c r="AT19" i="51"/>
  <c r="AT8" i="59" s="1"/>
  <c r="AT20" i="51"/>
  <c r="AT9" i="59" s="1"/>
  <c r="AT23" i="51"/>
  <c r="AT11" i="59" s="1"/>
  <c r="N24" i="51"/>
  <c r="Q10" i="51"/>
  <c r="AV10" i="51"/>
  <c r="P12" i="51"/>
  <c r="O28" i="51"/>
  <c r="O15" i="59" s="1"/>
  <c r="P26" i="51"/>
  <c r="O27" i="51"/>
  <c r="O14" i="59" s="1"/>
  <c r="AU26" i="51"/>
  <c r="O20" i="51"/>
  <c r="O9" i="59" s="1"/>
  <c r="O22" i="51"/>
  <c r="O10" i="59" s="1"/>
  <c r="P18" i="51"/>
  <c r="O19" i="51"/>
  <c r="O8" i="59" s="1"/>
  <c r="O23" i="51"/>
  <c r="O11" i="59" s="1"/>
  <c r="AU18" i="51"/>
  <c r="AT34" i="51"/>
  <c r="AT18" i="59" s="1"/>
  <c r="AT31" i="51"/>
  <c r="AT16" i="59" s="1"/>
  <c r="AT32" i="51"/>
  <c r="AT17" i="59" s="1"/>
  <c r="AS15" i="51"/>
  <c r="O36" i="51"/>
  <c r="AT36" i="51"/>
  <c r="M43" i="51"/>
  <c r="M46" i="51" s="1"/>
  <c r="M17" i="51"/>
  <c r="AS38" i="51"/>
  <c r="AS20" i="59" s="1"/>
  <c r="AS37" i="51"/>
  <c r="AS19" i="59" s="1"/>
  <c r="BP66" i="55" l="1"/>
  <c r="BP35" i="57" s="1"/>
  <c r="BP128" i="55"/>
  <c r="AR75" i="59"/>
  <c r="E152" i="59"/>
  <c r="C60" i="60"/>
  <c r="E151" i="59"/>
  <c r="AR55" i="51"/>
  <c r="K39" i="54"/>
  <c r="P45" i="54" s="1"/>
  <c r="H212" i="53"/>
  <c r="G226" i="53"/>
  <c r="H176" i="55" s="1"/>
  <c r="G212" i="54"/>
  <c r="G215" i="54"/>
  <c r="G214" i="54"/>
  <c r="H211" i="54"/>
  <c r="H208" i="54"/>
  <c r="H209" i="54"/>
  <c r="DA172" i="55" s="1"/>
  <c r="H232" i="54"/>
  <c r="H233" i="54" s="1"/>
  <c r="I208" i="53"/>
  <c r="AR46" i="51"/>
  <c r="G227" i="53"/>
  <c r="H177" i="55" s="1"/>
  <c r="F206" i="53"/>
  <c r="BS180" i="55" s="1"/>
  <c r="E24" i="59"/>
  <c r="E51" i="59" s="1"/>
  <c r="O44" i="59"/>
  <c r="O87" i="59"/>
  <c r="O114" i="59"/>
  <c r="O70" i="59"/>
  <c r="O88" i="59"/>
  <c r="O115" i="59"/>
  <c r="O45" i="59"/>
  <c r="O71" i="59"/>
  <c r="F150" i="59"/>
  <c r="D101" i="59"/>
  <c r="D153" i="59"/>
  <c r="AT83" i="59"/>
  <c r="AT110" i="59"/>
  <c r="AT40" i="59"/>
  <c r="AT66" i="59"/>
  <c r="E101" i="59"/>
  <c r="E153" i="59"/>
  <c r="F101" i="59"/>
  <c r="F153" i="59"/>
  <c r="N47" i="59"/>
  <c r="N73" i="59"/>
  <c r="N75" i="59" s="1"/>
  <c r="N90" i="59"/>
  <c r="N117" i="59"/>
  <c r="M47" i="59"/>
  <c r="M73" i="59"/>
  <c r="M75" i="59" s="1"/>
  <c r="M90" i="59"/>
  <c r="M117" i="59"/>
  <c r="AT41" i="59"/>
  <c r="AT84" i="59"/>
  <c r="AT67" i="59"/>
  <c r="AT111" i="59"/>
  <c r="AS90" i="59"/>
  <c r="AS73" i="59"/>
  <c r="AS117" i="59"/>
  <c r="AS47" i="59"/>
  <c r="O83" i="59"/>
  <c r="O110" i="59"/>
  <c r="O40" i="59"/>
  <c r="O66" i="59"/>
  <c r="F151" i="59"/>
  <c r="R9" i="63"/>
  <c r="D151" i="59"/>
  <c r="AT87" i="59"/>
  <c r="AT44" i="59"/>
  <c r="AT114" i="59"/>
  <c r="AT70" i="59"/>
  <c r="AT89" i="59"/>
  <c r="AT116" i="59"/>
  <c r="AT46" i="59"/>
  <c r="AT72" i="59"/>
  <c r="O41" i="59"/>
  <c r="O84" i="59"/>
  <c r="O67" i="59"/>
  <c r="O111" i="59"/>
  <c r="AT85" i="59"/>
  <c r="AT112" i="59"/>
  <c r="AT42" i="59"/>
  <c r="AT68" i="59"/>
  <c r="F152" i="59"/>
  <c r="E154" i="59"/>
  <c r="BQ51" i="59"/>
  <c r="BQ147" i="59"/>
  <c r="AS48" i="59"/>
  <c r="AS74" i="59"/>
  <c r="AS91" i="59"/>
  <c r="AS118" i="59"/>
  <c r="O112" i="59"/>
  <c r="O42" i="59"/>
  <c r="O68" i="59"/>
  <c r="O85" i="59"/>
  <c r="AT69" i="59"/>
  <c r="AT86" i="59"/>
  <c r="AT113" i="59"/>
  <c r="AT43" i="59"/>
  <c r="F24" i="59"/>
  <c r="AT88" i="59"/>
  <c r="AT115" i="59"/>
  <c r="AT45" i="59"/>
  <c r="AT71" i="59"/>
  <c r="O69" i="59"/>
  <c r="O43" i="59"/>
  <c r="O113" i="59"/>
  <c r="O86" i="59"/>
  <c r="O89" i="59"/>
  <c r="O116" i="59"/>
  <c r="O46" i="59"/>
  <c r="O72" i="59"/>
  <c r="BR101" i="59"/>
  <c r="BR153" i="59"/>
  <c r="F154" i="59"/>
  <c r="BP29" i="57"/>
  <c r="BP19" i="57"/>
  <c r="BP181" i="55"/>
  <c r="BP40" i="57" s="1"/>
  <c r="D11" i="58"/>
  <c r="D6" i="58"/>
  <c r="BP43" i="55"/>
  <c r="BP34" i="57" s="1"/>
  <c r="BP13" i="57"/>
  <c r="BR24" i="59"/>
  <c r="H214" i="53"/>
  <c r="F11" i="58"/>
  <c r="F6" i="58"/>
  <c r="BP25" i="57"/>
  <c r="BP15" i="57"/>
  <c r="E11" i="58"/>
  <c r="E6" i="58"/>
  <c r="CZ49" i="59"/>
  <c r="CZ120" i="59"/>
  <c r="CZ92" i="59"/>
  <c r="R12" i="63"/>
  <c r="BQ96" i="59"/>
  <c r="BQ52" i="59"/>
  <c r="BS120" i="59"/>
  <c r="BS49" i="59"/>
  <c r="BS31" i="59"/>
  <c r="BS154" i="59" s="1"/>
  <c r="J49" i="59"/>
  <c r="AN120" i="59"/>
  <c r="AN49" i="59"/>
  <c r="D20" i="55"/>
  <c r="D24" i="59"/>
  <c r="R11" i="63"/>
  <c r="D53" i="59"/>
  <c r="AT81" i="59"/>
  <c r="AT108" i="59"/>
  <c r="AT38" i="59"/>
  <c r="AT64" i="59"/>
  <c r="O82" i="59"/>
  <c r="O109" i="59"/>
  <c r="O39" i="59"/>
  <c r="O65" i="59"/>
  <c r="AT80" i="59"/>
  <c r="AT107" i="59"/>
  <c r="AT37" i="59"/>
  <c r="AT63" i="59"/>
  <c r="O79" i="59"/>
  <c r="O106" i="59"/>
  <c r="O36" i="59"/>
  <c r="O62" i="59"/>
  <c r="O81" i="59"/>
  <c r="O108" i="59"/>
  <c r="O38" i="59"/>
  <c r="O64" i="59"/>
  <c r="O80" i="59"/>
  <c r="O107" i="59"/>
  <c r="O37" i="59"/>
  <c r="O63" i="59"/>
  <c r="AT39" i="59"/>
  <c r="AT82" i="59"/>
  <c r="AT109" i="59"/>
  <c r="AT65" i="59"/>
  <c r="AT79" i="59"/>
  <c r="AT106" i="59"/>
  <c r="AT36" i="59"/>
  <c r="AT62" i="59"/>
  <c r="AN92" i="59"/>
  <c r="BP129" i="55"/>
  <c r="BP26" i="57"/>
  <c r="AO22" i="59"/>
  <c r="AO145" i="59" s="1"/>
  <c r="DA9" i="55"/>
  <c r="DA22" i="59" s="1"/>
  <c r="DA145" i="59" s="1"/>
  <c r="BP128" i="59"/>
  <c r="BP24" i="57"/>
  <c r="H215" i="53"/>
  <c r="BP23" i="57"/>
  <c r="G228" i="53"/>
  <c r="H178" i="55" s="1"/>
  <c r="D10" i="58"/>
  <c r="D32" i="59" s="1"/>
  <c r="D5" i="58"/>
  <c r="G225" i="53"/>
  <c r="G229" i="53"/>
  <c r="H179" i="55" s="1"/>
  <c r="BQ106" i="55"/>
  <c r="BQ37" i="55"/>
  <c r="BQ13" i="57" s="1"/>
  <c r="BQ82" i="55"/>
  <c r="BQ59" i="55"/>
  <c r="BQ83" i="55"/>
  <c r="BQ15" i="57" s="1"/>
  <c r="BP89" i="55"/>
  <c r="BP36" i="57" s="1"/>
  <c r="BP112" i="55"/>
  <c r="BP37" i="57" s="1"/>
  <c r="BQ105" i="55"/>
  <c r="J120" i="59"/>
  <c r="E98" i="59"/>
  <c r="E125" i="59"/>
  <c r="BR98" i="59"/>
  <c r="BR125" i="59"/>
  <c r="D100" i="59"/>
  <c r="D127" i="59"/>
  <c r="E99" i="59"/>
  <c r="E126" i="59"/>
  <c r="D98" i="59"/>
  <c r="D125" i="59"/>
  <c r="BR99" i="59"/>
  <c r="BR126" i="59"/>
  <c r="F97" i="59"/>
  <c r="F124" i="59"/>
  <c r="BQ94" i="59"/>
  <c r="BQ122" i="59"/>
  <c r="E100" i="59"/>
  <c r="E127" i="59"/>
  <c r="BR100" i="59"/>
  <c r="BR127" i="59"/>
  <c r="F99" i="59"/>
  <c r="F126" i="59"/>
  <c r="D99" i="59"/>
  <c r="D126" i="59"/>
  <c r="F98" i="59"/>
  <c r="F125" i="59"/>
  <c r="BR97" i="59"/>
  <c r="BR124" i="59"/>
  <c r="D97" i="59"/>
  <c r="D124" i="59"/>
  <c r="BQ95" i="59"/>
  <c r="BQ123" i="59"/>
  <c r="E97" i="59"/>
  <c r="E124" i="59"/>
  <c r="F100" i="59"/>
  <c r="F127" i="59"/>
  <c r="E10" i="58"/>
  <c r="J92" i="59"/>
  <c r="BS92" i="59"/>
  <c r="BP102" i="59"/>
  <c r="BP58" i="59"/>
  <c r="E57" i="59"/>
  <c r="BR57" i="59"/>
  <c r="F56" i="59"/>
  <c r="D56" i="59"/>
  <c r="E54" i="59"/>
  <c r="F57" i="59"/>
  <c r="E56" i="59"/>
  <c r="D55" i="59"/>
  <c r="F55" i="59"/>
  <c r="E55" i="59"/>
  <c r="BR55" i="59"/>
  <c r="BR54" i="59"/>
  <c r="D54" i="59"/>
  <c r="D57" i="59"/>
  <c r="BR56" i="59"/>
  <c r="F54" i="59"/>
  <c r="AJ77" i="51"/>
  <c r="AJ59" i="58" s="1"/>
  <c r="D25" i="59"/>
  <c r="D148" i="59" s="1"/>
  <c r="BR19" i="55"/>
  <c r="BR105" i="55" s="1"/>
  <c r="BR25" i="59"/>
  <c r="BR148" i="59" s="1"/>
  <c r="E25" i="59"/>
  <c r="F25" i="59"/>
  <c r="BQ36" i="55"/>
  <c r="BQ60" i="55"/>
  <c r="BQ175" i="55"/>
  <c r="BQ19" i="57" s="1"/>
  <c r="F201" i="53"/>
  <c r="F203" i="53"/>
  <c r="BS177" i="55" s="1"/>
  <c r="F205" i="53"/>
  <c r="BS179" i="55" s="1"/>
  <c r="F58" i="58"/>
  <c r="F5" i="58" s="1"/>
  <c r="F202" i="53"/>
  <c r="BS176" i="55" s="1"/>
  <c r="AJ76" i="51"/>
  <c r="C256" i="54"/>
  <c r="AJ10" i="55"/>
  <c r="H210" i="53"/>
  <c r="H225" i="53" s="1"/>
  <c r="I172" i="55"/>
  <c r="G210" i="54"/>
  <c r="G226" i="54" s="1"/>
  <c r="AN176" i="55" s="1"/>
  <c r="CZ176" i="55" s="1"/>
  <c r="AN172" i="55"/>
  <c r="G200" i="53"/>
  <c r="G205" i="53" s="1"/>
  <c r="BT179" i="55" s="1"/>
  <c r="BT172" i="55"/>
  <c r="F6" i="55"/>
  <c r="F7" i="55"/>
  <c r="D6" i="55"/>
  <c r="E6" i="55"/>
  <c r="F20" i="55"/>
  <c r="F19" i="55"/>
  <c r="BS14" i="55"/>
  <c r="BS28" i="59" s="1"/>
  <c r="BS151" i="59" s="1"/>
  <c r="BS12" i="55"/>
  <c r="BS26" i="59" s="1"/>
  <c r="BS53" i="59" s="1"/>
  <c r="BS16" i="55"/>
  <c r="BS30" i="59" s="1"/>
  <c r="BS11" i="55"/>
  <c r="BS13" i="55"/>
  <c r="BS27" i="59" s="1"/>
  <c r="BS150" i="59" s="1"/>
  <c r="BS15" i="55"/>
  <c r="BS29" i="59" s="1"/>
  <c r="BS152" i="59" s="1"/>
  <c r="I207" i="54"/>
  <c r="I211" i="54" s="1"/>
  <c r="AP4" i="55"/>
  <c r="J207" i="53"/>
  <c r="J208" i="53" s="1"/>
  <c r="K4" i="55"/>
  <c r="BR7" i="55"/>
  <c r="D7" i="55"/>
  <c r="E19" i="55"/>
  <c r="E20" i="55"/>
  <c r="E7" i="55"/>
  <c r="BR6" i="55"/>
  <c r="I162" i="54"/>
  <c r="AP9" i="55"/>
  <c r="D19" i="55"/>
  <c r="AS59" i="51"/>
  <c r="L38" i="54"/>
  <c r="F244" i="53"/>
  <c r="F245" i="53" s="1"/>
  <c r="F254" i="53" s="1"/>
  <c r="G75" i="51" s="1"/>
  <c r="AP67" i="51"/>
  <c r="AP70" i="51" s="1"/>
  <c r="J70" i="51"/>
  <c r="K78" i="53"/>
  <c r="K80" i="53"/>
  <c r="K74" i="53"/>
  <c r="K75" i="53" s="1"/>
  <c r="L57" i="51" s="1"/>
  <c r="K72" i="53"/>
  <c r="K73" i="53" s="1"/>
  <c r="L49" i="51" s="1"/>
  <c r="AR49" i="51" s="1"/>
  <c r="K47" i="53"/>
  <c r="K162" i="53" s="1"/>
  <c r="F220" i="54"/>
  <c r="F224" i="54" s="1"/>
  <c r="F221" i="54"/>
  <c r="E220" i="54"/>
  <c r="E224" i="54" s="1"/>
  <c r="E221" i="54"/>
  <c r="I214" i="53"/>
  <c r="I212" i="53"/>
  <c r="I213" i="53"/>
  <c r="I215" i="53"/>
  <c r="F237" i="53"/>
  <c r="F238" i="53" s="1"/>
  <c r="F240" i="53" s="1"/>
  <c r="F261" i="53" s="1"/>
  <c r="AR48" i="51"/>
  <c r="K36" i="54"/>
  <c r="K42" i="54" s="1"/>
  <c r="M48" i="51"/>
  <c r="L36" i="53"/>
  <c r="L42" i="53" s="1"/>
  <c r="X50" i="51"/>
  <c r="X68" i="51"/>
  <c r="BD68" i="51" s="1"/>
  <c r="J72" i="54"/>
  <c r="J73" i="54" s="1"/>
  <c r="J74" i="54"/>
  <c r="J75" i="54" s="1"/>
  <c r="J80" i="54"/>
  <c r="J47" i="54"/>
  <c r="J78" i="54"/>
  <c r="J79" i="54" s="1"/>
  <c r="F237" i="54"/>
  <c r="F238" i="54" s="1"/>
  <c r="F240" i="54" s="1"/>
  <c r="F239" i="54"/>
  <c r="AS55" i="51"/>
  <c r="L39" i="54"/>
  <c r="Q45" i="54" s="1"/>
  <c r="N52" i="51"/>
  <c r="N54" i="51" s="1"/>
  <c r="M37" i="53"/>
  <c r="Y43" i="53" s="1"/>
  <c r="BB50" i="51"/>
  <c r="F199" i="54"/>
  <c r="F200" i="54" s="1"/>
  <c r="G166" i="54"/>
  <c r="BT9" i="55" s="1"/>
  <c r="BT22" i="59" s="1"/>
  <c r="BT145" i="59" s="1"/>
  <c r="AQ51" i="51"/>
  <c r="I232" i="53"/>
  <c r="I233" i="53" s="1"/>
  <c r="I209" i="53"/>
  <c r="AO71" i="51"/>
  <c r="AO73" i="51" s="1"/>
  <c r="AO64" i="51"/>
  <c r="AR65" i="51"/>
  <c r="K40" i="54"/>
  <c r="P46" i="54" s="1"/>
  <c r="P159" i="54" s="1"/>
  <c r="E201" i="54"/>
  <c r="E205" i="54"/>
  <c r="E202" i="54"/>
  <c r="E204" i="54"/>
  <c r="E206" i="54"/>
  <c r="E203" i="54"/>
  <c r="O160" i="54"/>
  <c r="AP61" i="51"/>
  <c r="J71" i="51"/>
  <c r="J73" i="51" s="1"/>
  <c r="J64" i="51"/>
  <c r="W113" i="54"/>
  <c r="W114" i="54" s="1"/>
  <c r="W109" i="54"/>
  <c r="W110" i="54" s="1"/>
  <c r="W107" i="54"/>
  <c r="W108" i="54" s="1"/>
  <c r="W111" i="54"/>
  <c r="W112" i="54" s="1"/>
  <c r="K67" i="51"/>
  <c r="J79" i="53"/>
  <c r="G236" i="53"/>
  <c r="G239" i="53" s="1"/>
  <c r="G244" i="53" s="1"/>
  <c r="F220" i="53"/>
  <c r="F224" i="53" s="1"/>
  <c r="F221" i="53"/>
  <c r="M52" i="51"/>
  <c r="M54" i="51" s="1"/>
  <c r="L37" i="53"/>
  <c r="X43" i="53" s="1"/>
  <c r="J81" i="53"/>
  <c r="K61" i="51" s="1"/>
  <c r="J165" i="53"/>
  <c r="K9" i="55" s="1"/>
  <c r="W68" i="51"/>
  <c r="BC68" i="51" s="1"/>
  <c r="W50" i="51"/>
  <c r="I81" i="54"/>
  <c r="I165" i="54"/>
  <c r="D261" i="54"/>
  <c r="D244" i="54"/>
  <c r="N59" i="51"/>
  <c r="M38" i="53"/>
  <c r="K51" i="51"/>
  <c r="AQ57" i="51"/>
  <c r="AQ58" i="51" s="1"/>
  <c r="AQ72" i="51" s="1"/>
  <c r="K58" i="51"/>
  <c r="K72" i="51" s="1"/>
  <c r="G218" i="53"/>
  <c r="G219" i="53"/>
  <c r="E237" i="54"/>
  <c r="E238" i="54" s="1"/>
  <c r="E240" i="54" s="1"/>
  <c r="E239" i="54"/>
  <c r="P160" i="53"/>
  <c r="Q66" i="51" s="1"/>
  <c r="AW66" i="51" s="1"/>
  <c r="N55" i="51"/>
  <c r="M39" i="53"/>
  <c r="R45" i="53" s="1"/>
  <c r="P142" i="53"/>
  <c r="Q69" i="51" s="1"/>
  <c r="AW69" i="51" s="1"/>
  <c r="N65" i="51"/>
  <c r="M40" i="53"/>
  <c r="R46" i="53" s="1"/>
  <c r="R159" i="53" s="1"/>
  <c r="I166" i="53"/>
  <c r="H199" i="53"/>
  <c r="P140" i="53"/>
  <c r="Q63" i="51" s="1"/>
  <c r="AW63" i="51" s="1"/>
  <c r="P138" i="53"/>
  <c r="Q160" i="53"/>
  <c r="R66" i="51" s="1"/>
  <c r="AX66" i="51" s="1"/>
  <c r="Q141" i="53"/>
  <c r="Q137" i="53"/>
  <c r="R56" i="51" s="1"/>
  <c r="AX56" i="51" s="1"/>
  <c r="Q139" i="53"/>
  <c r="O33" i="51"/>
  <c r="O35" i="51" s="1"/>
  <c r="AT15" i="51"/>
  <c r="AT17" i="51" s="1"/>
  <c r="O15" i="51"/>
  <c r="O17" i="51" s="1"/>
  <c r="AS44" i="51"/>
  <c r="N25" i="51"/>
  <c r="AS25" i="51"/>
  <c r="N43" i="51"/>
  <c r="AS39" i="51"/>
  <c r="AT29" i="51"/>
  <c r="O24" i="51"/>
  <c r="P36" i="51"/>
  <c r="P37" i="51" s="1"/>
  <c r="P19" i="59" s="1"/>
  <c r="O29" i="51"/>
  <c r="AU23" i="51"/>
  <c r="AU11" i="59" s="1"/>
  <c r="AU22" i="51"/>
  <c r="AU10" i="59" s="1"/>
  <c r="AU19" i="51"/>
  <c r="AU8" i="59" s="1"/>
  <c r="AU20" i="51"/>
  <c r="AU9" i="59" s="1"/>
  <c r="AV12" i="51"/>
  <c r="AT33" i="51"/>
  <c r="AT35" i="51" s="1"/>
  <c r="Q26" i="51"/>
  <c r="P28" i="51"/>
  <c r="P15" i="59" s="1"/>
  <c r="P27" i="51"/>
  <c r="P14" i="59" s="1"/>
  <c r="AV26" i="51"/>
  <c r="R10" i="51"/>
  <c r="AW10" i="51"/>
  <c r="Q12" i="51"/>
  <c r="AU36" i="51"/>
  <c r="AT38" i="51"/>
  <c r="AT20" i="59" s="1"/>
  <c r="AT37" i="51"/>
  <c r="AT19" i="59" s="1"/>
  <c r="O38" i="51"/>
  <c r="O20" i="59" s="1"/>
  <c r="O37" i="51"/>
  <c r="O19" i="59" s="1"/>
  <c r="O21" i="51"/>
  <c r="AT21" i="51"/>
  <c r="AU13" i="51"/>
  <c r="AU12" i="59" s="1"/>
  <c r="AU14" i="51"/>
  <c r="AU13" i="59" s="1"/>
  <c r="AU31" i="51"/>
  <c r="AU16" i="59" s="1"/>
  <c r="AU34" i="51"/>
  <c r="AU18" i="59" s="1"/>
  <c r="AU32" i="51"/>
  <c r="AU17" i="59" s="1"/>
  <c r="AS43" i="51"/>
  <c r="AS17" i="51"/>
  <c r="P19" i="51"/>
  <c r="P8" i="59" s="1"/>
  <c r="P20" i="51"/>
  <c r="P9" i="59" s="1"/>
  <c r="P22" i="51"/>
  <c r="P10" i="59" s="1"/>
  <c r="Q18" i="51"/>
  <c r="P23" i="51"/>
  <c r="P11" i="59" s="1"/>
  <c r="AV18" i="51"/>
  <c r="AU27" i="51"/>
  <c r="AU14" i="59" s="1"/>
  <c r="AU28" i="51"/>
  <c r="AU15" i="59" s="1"/>
  <c r="P13" i="51"/>
  <c r="P12" i="59" s="1"/>
  <c r="P14" i="51"/>
  <c r="P13" i="59" s="1"/>
  <c r="AT24" i="51"/>
  <c r="N44" i="51"/>
  <c r="Q30" i="51"/>
  <c r="AV30" i="51"/>
  <c r="P32" i="51"/>
  <c r="P17" i="59" s="1"/>
  <c r="P34" i="51"/>
  <c r="P18" i="59" s="1"/>
  <c r="P31" i="51"/>
  <c r="P16" i="59" s="1"/>
  <c r="BQ26" i="57" l="1"/>
  <c r="BP151" i="55"/>
  <c r="BP5" i="57"/>
  <c r="BP152" i="55"/>
  <c r="BP18" i="57" s="1"/>
  <c r="AS75" i="59"/>
  <c r="P137" i="54"/>
  <c r="P138" i="54" s="1"/>
  <c r="G217" i="54"/>
  <c r="G216" i="54"/>
  <c r="G222" i="54"/>
  <c r="G234" i="54" s="1"/>
  <c r="G235" i="54" s="1"/>
  <c r="G223" i="54"/>
  <c r="P141" i="54"/>
  <c r="P142" i="54" s="1"/>
  <c r="P139" i="54"/>
  <c r="P140" i="54" s="1"/>
  <c r="H227" i="53"/>
  <c r="I177" i="55" s="1"/>
  <c r="G228" i="54"/>
  <c r="AN178" i="55" s="1"/>
  <c r="CZ178" i="55" s="1"/>
  <c r="H216" i="53"/>
  <c r="H217" i="53"/>
  <c r="H222" i="53"/>
  <c r="H234" i="53" s="1"/>
  <c r="H235" i="53" s="1"/>
  <c r="H223" i="53"/>
  <c r="G201" i="53"/>
  <c r="H212" i="54"/>
  <c r="H214" i="54"/>
  <c r="H215" i="54"/>
  <c r="H213" i="54"/>
  <c r="H210" i="54"/>
  <c r="AO172" i="55"/>
  <c r="G203" i="53"/>
  <c r="BT177" i="55" s="1"/>
  <c r="G206" i="53"/>
  <c r="BT180" i="55" s="1"/>
  <c r="G202" i="53"/>
  <c r="BT176" i="55" s="1"/>
  <c r="G204" i="53"/>
  <c r="BT178" i="55" s="1"/>
  <c r="BS24" i="59"/>
  <c r="H227" i="54"/>
  <c r="AO177" i="55" s="1"/>
  <c r="DA177" i="55" s="1"/>
  <c r="H229" i="54"/>
  <c r="AO179" i="55" s="1"/>
  <c r="DA179" i="55" s="1"/>
  <c r="BQ89" i="55"/>
  <c r="BQ6" i="57" s="1"/>
  <c r="H230" i="54"/>
  <c r="AO180" i="55" s="1"/>
  <c r="DA180" i="55" s="1"/>
  <c r="BP10" i="57"/>
  <c r="H226" i="54"/>
  <c r="AO176" i="55" s="1"/>
  <c r="DA176" i="55" s="1"/>
  <c r="BQ112" i="55"/>
  <c r="BQ128" i="55"/>
  <c r="AU45" i="59"/>
  <c r="AU88" i="59"/>
  <c r="AU115" i="59"/>
  <c r="AU71" i="59"/>
  <c r="P43" i="59"/>
  <c r="P69" i="59"/>
  <c r="P86" i="59"/>
  <c r="P113" i="59"/>
  <c r="D51" i="59"/>
  <c r="D147" i="59"/>
  <c r="AT117" i="59"/>
  <c r="AT90" i="59"/>
  <c r="AT73" i="59"/>
  <c r="AT47" i="59"/>
  <c r="AT118" i="59"/>
  <c r="AT91" i="59"/>
  <c r="AT48" i="59"/>
  <c r="AT74" i="59"/>
  <c r="P47" i="59"/>
  <c r="P117" i="59"/>
  <c r="P90" i="59"/>
  <c r="P73" i="59"/>
  <c r="AU87" i="59"/>
  <c r="AU114" i="59"/>
  <c r="AU44" i="59"/>
  <c r="AU70" i="59"/>
  <c r="AU84" i="59"/>
  <c r="AU111" i="59"/>
  <c r="AU41" i="59"/>
  <c r="AU67" i="59"/>
  <c r="AU89" i="59"/>
  <c r="AU116" i="59"/>
  <c r="AU46" i="59"/>
  <c r="AU72" i="59"/>
  <c r="P41" i="59"/>
  <c r="P67" i="59"/>
  <c r="P111" i="59"/>
  <c r="P84" i="59"/>
  <c r="AU66" i="59"/>
  <c r="AU83" i="59"/>
  <c r="AU110" i="59"/>
  <c r="AU40" i="59"/>
  <c r="BS101" i="59"/>
  <c r="BS153" i="59"/>
  <c r="F148" i="59"/>
  <c r="P85" i="59"/>
  <c r="P112" i="59"/>
  <c r="P42" i="59"/>
  <c r="P68" i="59"/>
  <c r="E148" i="59"/>
  <c r="P87" i="59"/>
  <c r="P114" i="59"/>
  <c r="P44" i="59"/>
  <c r="P70" i="59"/>
  <c r="P89" i="59"/>
  <c r="P116" i="59"/>
  <c r="P46" i="59"/>
  <c r="P72" i="59"/>
  <c r="AU113" i="59"/>
  <c r="AU43" i="59"/>
  <c r="AU86" i="59"/>
  <c r="AU69" i="59"/>
  <c r="BR51" i="59"/>
  <c r="BR147" i="59"/>
  <c r="E147" i="59"/>
  <c r="O118" i="59"/>
  <c r="O48" i="59"/>
  <c r="O91" i="59"/>
  <c r="O74" i="59"/>
  <c r="P83" i="59"/>
  <c r="P110" i="59"/>
  <c r="P40" i="59"/>
  <c r="P66" i="59"/>
  <c r="P88" i="59"/>
  <c r="P115" i="59"/>
  <c r="P45" i="59"/>
  <c r="P71" i="59"/>
  <c r="AU112" i="59"/>
  <c r="AU42" i="59"/>
  <c r="AU68" i="59"/>
  <c r="AU85" i="59"/>
  <c r="O90" i="59"/>
  <c r="O73" i="59"/>
  <c r="O47" i="59"/>
  <c r="O117" i="59"/>
  <c r="F51" i="59"/>
  <c r="F147" i="59"/>
  <c r="BP27" i="57"/>
  <c r="BP17" i="57"/>
  <c r="G227" i="54"/>
  <c r="AN177" i="55" s="1"/>
  <c r="CZ177" i="55" s="1"/>
  <c r="G225" i="54"/>
  <c r="E261" i="54"/>
  <c r="BQ129" i="55"/>
  <c r="BQ17" i="57" s="1"/>
  <c r="BQ16" i="57"/>
  <c r="I208" i="54"/>
  <c r="BP135" i="55"/>
  <c r="BP38" i="57" s="1"/>
  <c r="AJ11" i="58"/>
  <c r="AJ6" i="58"/>
  <c r="DA49" i="59"/>
  <c r="DA92" i="59"/>
  <c r="DA120" i="59"/>
  <c r="G230" i="54"/>
  <c r="AN180" i="55" s="1"/>
  <c r="CZ180" i="55" s="1"/>
  <c r="BQ24" i="57"/>
  <c r="BQ14" i="57"/>
  <c r="G229" i="54"/>
  <c r="AN179" i="55" s="1"/>
  <c r="CZ179" i="55" s="1"/>
  <c r="BP4" i="57"/>
  <c r="F96" i="59"/>
  <c r="F52" i="59"/>
  <c r="BT120" i="59"/>
  <c r="BT49" i="59"/>
  <c r="BT31" i="59"/>
  <c r="BT154" i="59" s="1"/>
  <c r="E96" i="59"/>
  <c r="E52" i="59"/>
  <c r="BR96" i="59"/>
  <c r="BR52" i="59"/>
  <c r="D52" i="59"/>
  <c r="AO120" i="59"/>
  <c r="AO49" i="59"/>
  <c r="D96" i="59"/>
  <c r="AU37" i="59"/>
  <c r="AU80" i="59"/>
  <c r="AU107" i="59"/>
  <c r="AU63" i="59"/>
  <c r="P81" i="59"/>
  <c r="P108" i="59"/>
  <c r="P38" i="59"/>
  <c r="P64" i="59"/>
  <c r="P80" i="59"/>
  <c r="P107" i="59"/>
  <c r="P37" i="59"/>
  <c r="P63" i="59"/>
  <c r="AU36" i="59"/>
  <c r="AU79" i="59"/>
  <c r="AU106" i="59"/>
  <c r="AU62" i="59"/>
  <c r="AU38" i="59"/>
  <c r="AU81" i="59"/>
  <c r="AU108" i="59"/>
  <c r="AU64" i="59"/>
  <c r="AU82" i="59"/>
  <c r="AU39" i="59"/>
  <c r="AU109" i="59"/>
  <c r="AU65" i="59"/>
  <c r="P79" i="59"/>
  <c r="P106" i="59"/>
  <c r="P36" i="59"/>
  <c r="P62" i="59"/>
  <c r="P82" i="59"/>
  <c r="P39" i="59"/>
  <c r="P109" i="59"/>
  <c r="P65" i="59"/>
  <c r="AO92" i="59"/>
  <c r="AP22" i="59"/>
  <c r="AP145" i="59" s="1"/>
  <c r="DB9" i="55"/>
  <c r="DB22" i="59" s="1"/>
  <c r="DB145" i="59" s="1"/>
  <c r="BR60" i="55"/>
  <c r="BR14" i="57" s="1"/>
  <c r="BQ43" i="55"/>
  <c r="BQ34" i="57" s="1"/>
  <c r="AJ23" i="59"/>
  <c r="AJ146" i="59" s="1"/>
  <c r="CV10" i="55"/>
  <c r="CV23" i="59" s="1"/>
  <c r="CV146" i="59" s="1"/>
  <c r="AJ11" i="55"/>
  <c r="AJ25" i="59" s="1"/>
  <c r="AJ148" i="59" s="1"/>
  <c r="BQ25" i="57"/>
  <c r="AJ15" i="55"/>
  <c r="AJ29" i="59" s="1"/>
  <c r="H228" i="53"/>
  <c r="I178" i="55" s="1"/>
  <c r="H229" i="53"/>
  <c r="I179" i="55" s="1"/>
  <c r="H230" i="53"/>
  <c r="I180" i="55" s="1"/>
  <c r="H226" i="53"/>
  <c r="I176" i="55" s="1"/>
  <c r="AJ13" i="55"/>
  <c r="AJ27" i="59" s="1"/>
  <c r="BP7" i="57"/>
  <c r="AJ16" i="55"/>
  <c r="AJ30" i="59" s="1"/>
  <c r="AJ12" i="55"/>
  <c r="AJ26" i="59" s="1"/>
  <c r="BQ66" i="55"/>
  <c r="BQ35" i="57" s="1"/>
  <c r="AJ14" i="55"/>
  <c r="AJ28" i="59" s="1"/>
  <c r="BR36" i="55"/>
  <c r="BP6" i="57"/>
  <c r="E32" i="59"/>
  <c r="BR59" i="55"/>
  <c r="BR175" i="55"/>
  <c r="BR19" i="57" s="1"/>
  <c r="BR82" i="55"/>
  <c r="BR174" i="55"/>
  <c r="BR37" i="55"/>
  <c r="BQ181" i="55"/>
  <c r="BQ29" i="57"/>
  <c r="BQ23" i="57"/>
  <c r="BP28" i="57"/>
  <c r="BR83" i="55"/>
  <c r="BR15" i="57" s="1"/>
  <c r="BR106" i="55"/>
  <c r="BR16" i="57" s="1"/>
  <c r="BQ128" i="59"/>
  <c r="F94" i="59"/>
  <c r="F122" i="59"/>
  <c r="BS100" i="59"/>
  <c r="BS127" i="59"/>
  <c r="F95" i="59"/>
  <c r="F123" i="59"/>
  <c r="E94" i="59"/>
  <c r="E122" i="59"/>
  <c r="D94" i="59"/>
  <c r="D122" i="59"/>
  <c r="BS97" i="59"/>
  <c r="BS124" i="59"/>
  <c r="E95" i="59"/>
  <c r="E123" i="59"/>
  <c r="BS98" i="59"/>
  <c r="BS125" i="59"/>
  <c r="D95" i="59"/>
  <c r="D123" i="59"/>
  <c r="BS99" i="59"/>
  <c r="BS126" i="59"/>
  <c r="BR94" i="59"/>
  <c r="BR122" i="59"/>
  <c r="BR95" i="59"/>
  <c r="BR123" i="59"/>
  <c r="F10" i="58"/>
  <c r="BT92" i="59"/>
  <c r="BS56" i="59"/>
  <c r="BQ102" i="59"/>
  <c r="BQ58" i="59"/>
  <c r="BS57" i="59"/>
  <c r="BS54" i="59"/>
  <c r="BS55" i="59"/>
  <c r="L51" i="51"/>
  <c r="AQ9" i="55"/>
  <c r="K22" i="59"/>
  <c r="K145" i="59" s="1"/>
  <c r="BS19" i="55"/>
  <c r="BS106" i="55" s="1"/>
  <c r="BS16" i="57" s="1"/>
  <c r="BS25" i="59"/>
  <c r="BS148" i="59" s="1"/>
  <c r="AJ58" i="58"/>
  <c r="AJ5" i="58" s="1"/>
  <c r="J211" i="53"/>
  <c r="J214" i="53" s="1"/>
  <c r="H200" i="53"/>
  <c r="H201" i="53" s="1"/>
  <c r="BU172" i="55"/>
  <c r="I210" i="53"/>
  <c r="I229" i="53" s="1"/>
  <c r="J179" i="55" s="1"/>
  <c r="J172" i="55"/>
  <c r="F105" i="55"/>
  <c r="F128" i="55" s="1"/>
  <c r="F82" i="55"/>
  <c r="F174" i="55"/>
  <c r="F106" i="55"/>
  <c r="F83" i="55"/>
  <c r="F175" i="55"/>
  <c r="E106" i="55"/>
  <c r="E83" i="55"/>
  <c r="E175" i="55"/>
  <c r="E105" i="55"/>
  <c r="E128" i="55" s="1"/>
  <c r="E82" i="55"/>
  <c r="E174" i="55"/>
  <c r="BR128" i="55"/>
  <c r="D83" i="55"/>
  <c r="D15" i="57" s="1"/>
  <c r="D175" i="55"/>
  <c r="D19" i="57" s="1"/>
  <c r="D106" i="55"/>
  <c r="D16" i="57" s="1"/>
  <c r="D105" i="55"/>
  <c r="D128" i="55" s="1"/>
  <c r="D82" i="55"/>
  <c r="D174" i="55"/>
  <c r="E37" i="55"/>
  <c r="E60" i="55"/>
  <c r="F60" i="55"/>
  <c r="F37" i="55"/>
  <c r="E36" i="55"/>
  <c r="E59" i="55"/>
  <c r="D60" i="55"/>
  <c r="D14" i="57" s="1"/>
  <c r="D37" i="55"/>
  <c r="D13" i="57" s="1"/>
  <c r="D36" i="55"/>
  <c r="D59" i="55"/>
  <c r="F59" i="55"/>
  <c r="F36" i="55"/>
  <c r="F262" i="53"/>
  <c r="G78" i="51" s="1"/>
  <c r="G77" i="51"/>
  <c r="D262" i="54"/>
  <c r="AK78" i="51" s="1"/>
  <c r="AK77" i="51"/>
  <c r="BT13" i="55"/>
  <c r="BT27" i="59" s="1"/>
  <c r="BT150" i="59" s="1"/>
  <c r="BT14" i="55"/>
  <c r="BT28" i="59" s="1"/>
  <c r="BT151" i="59" s="1"/>
  <c r="BT12" i="55"/>
  <c r="BT26" i="59" s="1"/>
  <c r="BT53" i="59" s="1"/>
  <c r="BT16" i="55"/>
  <c r="BT30" i="59" s="1"/>
  <c r="BT11" i="55"/>
  <c r="BT15" i="55"/>
  <c r="BT29" i="59" s="1"/>
  <c r="BT152" i="59" s="1"/>
  <c r="BS7" i="55"/>
  <c r="K207" i="53"/>
  <c r="K211" i="53" s="1"/>
  <c r="L4" i="55"/>
  <c r="J207" i="54"/>
  <c r="J211" i="54" s="1"/>
  <c r="AQ4" i="55"/>
  <c r="AR51" i="51"/>
  <c r="BS6" i="55"/>
  <c r="AS52" i="51"/>
  <c r="AS54" i="51" s="1"/>
  <c r="L37" i="54"/>
  <c r="X43" i="54" s="1"/>
  <c r="AT59" i="51"/>
  <c r="M38" i="54"/>
  <c r="AQ61" i="51"/>
  <c r="K71" i="51"/>
  <c r="K73" i="51" s="1"/>
  <c r="K64" i="51"/>
  <c r="L80" i="53"/>
  <c r="L72" i="53"/>
  <c r="L73" i="53" s="1"/>
  <c r="M49" i="51" s="1"/>
  <c r="AS49" i="51" s="1"/>
  <c r="L78" i="53"/>
  <c r="L74" i="53"/>
  <c r="L75" i="53" s="1"/>
  <c r="M57" i="51" s="1"/>
  <c r="L47" i="53"/>
  <c r="L162" i="53" s="1"/>
  <c r="L67" i="51"/>
  <c r="K79" i="53"/>
  <c r="O52" i="51"/>
  <c r="O54" i="51" s="1"/>
  <c r="N37" i="53"/>
  <c r="Z43" i="53" s="1"/>
  <c r="AS65" i="51"/>
  <c r="L40" i="54"/>
  <c r="Q46" i="54" s="1"/>
  <c r="Q159" i="54" s="1"/>
  <c r="D245" i="54"/>
  <c r="D252" i="54" s="1"/>
  <c r="P160" i="54"/>
  <c r="I217" i="53"/>
  <c r="I216" i="53"/>
  <c r="AQ67" i="51"/>
  <c r="AQ70" i="51" s="1"/>
  <c r="K70" i="51"/>
  <c r="J81" i="54"/>
  <c r="J165" i="54"/>
  <c r="K80" i="54"/>
  <c r="K74" i="54"/>
  <c r="K75" i="54" s="1"/>
  <c r="K78" i="54"/>
  <c r="K79" i="54" s="1"/>
  <c r="K72" i="54"/>
  <c r="K73" i="54" s="1"/>
  <c r="K47" i="54"/>
  <c r="G237" i="53"/>
  <c r="G238" i="53" s="1"/>
  <c r="G240" i="53" s="1"/>
  <c r="G261" i="53" s="1"/>
  <c r="AS48" i="51"/>
  <c r="L36" i="54"/>
  <c r="L42" i="54" s="1"/>
  <c r="E244" i="54"/>
  <c r="E245" i="54" s="1"/>
  <c r="E254" i="54" s="1"/>
  <c r="AL75" i="51" s="1"/>
  <c r="I209" i="54"/>
  <c r="DB172" i="55" s="1"/>
  <c r="I232" i="54"/>
  <c r="I233" i="54" s="1"/>
  <c r="X107" i="53"/>
  <c r="X108" i="53" s="1"/>
  <c r="Y53" i="51" s="1"/>
  <c r="BE53" i="51" s="1"/>
  <c r="X109" i="53"/>
  <c r="X110" i="53" s="1"/>
  <c r="Y62" i="51" s="1"/>
  <c r="BE62" i="51" s="1"/>
  <c r="X111" i="53"/>
  <c r="X112" i="53" s="1"/>
  <c r="X113" i="53"/>
  <c r="X114" i="53" s="1"/>
  <c r="Y107" i="53"/>
  <c r="Y108" i="53" s="1"/>
  <c r="Z53" i="51" s="1"/>
  <c r="BF53" i="51" s="1"/>
  <c r="Y111" i="53"/>
  <c r="Y112" i="53" s="1"/>
  <c r="Y113" i="53"/>
  <c r="Y114" i="53" s="1"/>
  <c r="Y109" i="53"/>
  <c r="Y110" i="53" s="1"/>
  <c r="Z62" i="51" s="1"/>
  <c r="BF62" i="51" s="1"/>
  <c r="O59" i="51"/>
  <c r="N38" i="53"/>
  <c r="N48" i="51"/>
  <c r="M36" i="53"/>
  <c r="M42" i="53" s="1"/>
  <c r="F252" i="53"/>
  <c r="BC50" i="51"/>
  <c r="AP71" i="51"/>
  <c r="AP73" i="51" s="1"/>
  <c r="AP64" i="51"/>
  <c r="Q139" i="54"/>
  <c r="Q140" i="54" s="1"/>
  <c r="Q141" i="54"/>
  <c r="Q142" i="54" s="1"/>
  <c r="Q137" i="54"/>
  <c r="Q138" i="54" s="1"/>
  <c r="AT55" i="51"/>
  <c r="M39" i="54"/>
  <c r="R45" i="54" s="1"/>
  <c r="G220" i="53"/>
  <c r="G224" i="53" s="1"/>
  <c r="G221" i="53"/>
  <c r="G199" i="54"/>
  <c r="G200" i="54" s="1"/>
  <c r="H166" i="54"/>
  <c r="BU9" i="55" s="1"/>
  <c r="BU22" i="59" s="1"/>
  <c r="BU145" i="59" s="1"/>
  <c r="I212" i="54"/>
  <c r="I213" i="54"/>
  <c r="I215" i="54"/>
  <c r="I214" i="54"/>
  <c r="I222" i="53"/>
  <c r="I234" i="53" s="1"/>
  <c r="I235" i="53" s="1"/>
  <c r="I223" i="53"/>
  <c r="AR57" i="51"/>
  <c r="AR58" i="51" s="1"/>
  <c r="AR72" i="51" s="1"/>
  <c r="L58" i="51"/>
  <c r="L72" i="51" s="1"/>
  <c r="AT52" i="51"/>
  <c r="AT54" i="51" s="1"/>
  <c r="M37" i="54"/>
  <c r="Y43" i="54" s="1"/>
  <c r="J209" i="53"/>
  <c r="J232" i="53"/>
  <c r="J233" i="53" s="1"/>
  <c r="G245" i="53"/>
  <c r="G254" i="53" s="1"/>
  <c r="H75" i="51" s="1"/>
  <c r="F205" i="54"/>
  <c r="F201" i="54"/>
  <c r="F202" i="54"/>
  <c r="F203" i="54"/>
  <c r="F206" i="54"/>
  <c r="F204" i="54"/>
  <c r="F261" i="54"/>
  <c r="F244" i="54"/>
  <c r="F245" i="54" s="1"/>
  <c r="F254" i="54" s="1"/>
  <c r="AM75" i="51" s="1"/>
  <c r="J162" i="54"/>
  <c r="BD50" i="51"/>
  <c r="K81" i="53"/>
  <c r="L61" i="51" s="1"/>
  <c r="K165" i="53"/>
  <c r="L9" i="55" s="1"/>
  <c r="L22" i="59" s="1"/>
  <c r="Q140" i="53"/>
  <c r="R63" i="51" s="1"/>
  <c r="AX63" i="51" s="1"/>
  <c r="Q138" i="53"/>
  <c r="I199" i="53"/>
  <c r="J166" i="53"/>
  <c r="R137" i="53"/>
  <c r="S56" i="51" s="1"/>
  <c r="AY56" i="51" s="1"/>
  <c r="R139" i="53"/>
  <c r="R141" i="53"/>
  <c r="Q142" i="53"/>
  <c r="R69" i="51" s="1"/>
  <c r="AX69" i="51" s="1"/>
  <c r="R160" i="53"/>
  <c r="S66" i="51" s="1"/>
  <c r="AY66" i="51" s="1"/>
  <c r="O55" i="51"/>
  <c r="N39" i="53"/>
  <c r="S45" i="53" s="1"/>
  <c r="AS46" i="51"/>
  <c r="N46" i="51"/>
  <c r="P29" i="51"/>
  <c r="O25" i="51"/>
  <c r="O44" i="51"/>
  <c r="P33" i="51"/>
  <c r="P35" i="51" s="1"/>
  <c r="O39" i="51"/>
  <c r="P38" i="51"/>
  <c r="AU29" i="51"/>
  <c r="AT43" i="51"/>
  <c r="AU21" i="51"/>
  <c r="AV34" i="51"/>
  <c r="AV18" i="59" s="1"/>
  <c r="AV32" i="51"/>
  <c r="AV17" i="59" s="1"/>
  <c r="AV31" i="51"/>
  <c r="AV16" i="59" s="1"/>
  <c r="P24" i="51"/>
  <c r="AT39" i="51"/>
  <c r="Q13" i="51"/>
  <c r="Q12" i="59" s="1"/>
  <c r="Q14" i="51"/>
  <c r="Q13" i="59" s="1"/>
  <c r="AV28" i="51"/>
  <c r="AV15" i="59" s="1"/>
  <c r="AV27" i="51"/>
  <c r="AV14" i="59" s="1"/>
  <c r="R30" i="51"/>
  <c r="AW30" i="51"/>
  <c r="Q31" i="51"/>
  <c r="Q16" i="59" s="1"/>
  <c r="Q32" i="51"/>
  <c r="Q17" i="59" s="1"/>
  <c r="Q34" i="51"/>
  <c r="Q18" i="59" s="1"/>
  <c r="AV22" i="51"/>
  <c r="AV10" i="59" s="1"/>
  <c r="AV20" i="51"/>
  <c r="AV9" i="59" s="1"/>
  <c r="AV19" i="51"/>
  <c r="AV8" i="59" s="1"/>
  <c r="AV23" i="51"/>
  <c r="AV11" i="59" s="1"/>
  <c r="AW12" i="51"/>
  <c r="AV36" i="51"/>
  <c r="P21" i="51"/>
  <c r="AU15" i="51"/>
  <c r="AT44" i="51"/>
  <c r="AU38" i="51"/>
  <c r="AU20" i="59" s="1"/>
  <c r="AU37" i="51"/>
  <c r="AU19" i="59" s="1"/>
  <c r="S10" i="51"/>
  <c r="AX10" i="51"/>
  <c r="R12" i="51"/>
  <c r="AV13" i="51"/>
  <c r="AV12" i="59" s="1"/>
  <c r="AV14" i="51"/>
  <c r="AV13" i="59" s="1"/>
  <c r="P15" i="51"/>
  <c r="Q20" i="51"/>
  <c r="Q9" i="59" s="1"/>
  <c r="Q23" i="51"/>
  <c r="Q11" i="59" s="1"/>
  <c r="R18" i="51"/>
  <c r="Q19" i="51"/>
  <c r="Q8" i="59" s="1"/>
  <c r="Q22" i="51"/>
  <c r="Q10" i="59" s="1"/>
  <c r="AW18" i="51"/>
  <c r="AU33" i="51"/>
  <c r="AU35" i="51" s="1"/>
  <c r="AT25" i="51"/>
  <c r="Q36" i="51"/>
  <c r="Q27" i="51"/>
  <c r="Q14" i="59" s="1"/>
  <c r="Q28" i="51"/>
  <c r="Q15" i="59" s="1"/>
  <c r="R26" i="51"/>
  <c r="AW26" i="51"/>
  <c r="O43" i="51"/>
  <c r="AU24" i="51"/>
  <c r="BP20" i="57" l="1"/>
  <c r="BP149" i="59" s="1"/>
  <c r="BP155" i="59" s="1"/>
  <c r="BP158" i="55"/>
  <c r="BP39" i="57" s="1"/>
  <c r="O75" i="59"/>
  <c r="AT75" i="59"/>
  <c r="BS51" i="59"/>
  <c r="BS147" i="59"/>
  <c r="H206" i="53"/>
  <c r="BU180" i="55" s="1"/>
  <c r="H202" i="53"/>
  <c r="BU176" i="55" s="1"/>
  <c r="H203" i="53"/>
  <c r="BU177" i="55" s="1"/>
  <c r="BQ4" i="57"/>
  <c r="BP30" i="57"/>
  <c r="BQ7" i="57"/>
  <c r="BQ37" i="57"/>
  <c r="H236" i="53"/>
  <c r="H239" i="53" s="1"/>
  <c r="H244" i="53" s="1"/>
  <c r="BQ151" i="55"/>
  <c r="G236" i="54"/>
  <c r="G239" i="54" s="1"/>
  <c r="G244" i="54" s="1"/>
  <c r="G219" i="54"/>
  <c r="G218" i="54"/>
  <c r="H218" i="53"/>
  <c r="H219" i="53"/>
  <c r="BR112" i="55"/>
  <c r="E262" i="54"/>
  <c r="AL78" i="51" s="1"/>
  <c r="AL77" i="51"/>
  <c r="AJ20" i="55"/>
  <c r="H216" i="54"/>
  <c r="H217" i="54"/>
  <c r="H223" i="54"/>
  <c r="H222" i="54"/>
  <c r="H225" i="54"/>
  <c r="H228" i="54"/>
  <c r="AO178" i="55" s="1"/>
  <c r="DA178" i="55" s="1"/>
  <c r="L145" i="59"/>
  <c r="J215" i="53"/>
  <c r="J213" i="53"/>
  <c r="J212" i="53"/>
  <c r="BP8" i="57"/>
  <c r="BQ36" i="57"/>
  <c r="BR181" i="55"/>
  <c r="BR10" i="57" s="1"/>
  <c r="AV85" i="59"/>
  <c r="AV112" i="59"/>
  <c r="AV42" i="59"/>
  <c r="AV68" i="59"/>
  <c r="AV46" i="59"/>
  <c r="AV89" i="59"/>
  <c r="AV116" i="59"/>
  <c r="AV72" i="59"/>
  <c r="AJ125" i="59"/>
  <c r="AJ150" i="59"/>
  <c r="AV86" i="59"/>
  <c r="AV113" i="59"/>
  <c r="AV43" i="59"/>
  <c r="AV69" i="59"/>
  <c r="AU47" i="59"/>
  <c r="AU90" i="59"/>
  <c r="AU73" i="59"/>
  <c r="AU117" i="59"/>
  <c r="AV84" i="59"/>
  <c r="AV111" i="59"/>
  <c r="AV41" i="59"/>
  <c r="AV67" i="59"/>
  <c r="Q89" i="59"/>
  <c r="Q116" i="59"/>
  <c r="Q46" i="59"/>
  <c r="Q72" i="59"/>
  <c r="Q110" i="59"/>
  <c r="Q40" i="59"/>
  <c r="Q83" i="59"/>
  <c r="Q66" i="59"/>
  <c r="AJ99" i="59"/>
  <c r="AJ151" i="59"/>
  <c r="Q42" i="59"/>
  <c r="Q85" i="59"/>
  <c r="Q112" i="59"/>
  <c r="Q68" i="59"/>
  <c r="Q84" i="59"/>
  <c r="Q111" i="59"/>
  <c r="Q41" i="59"/>
  <c r="Q67" i="59"/>
  <c r="AV110" i="59"/>
  <c r="AV83" i="59"/>
  <c r="AV40" i="59"/>
  <c r="AV66" i="59"/>
  <c r="Q88" i="59"/>
  <c r="Q115" i="59"/>
  <c r="Q45" i="59"/>
  <c r="Q71" i="59"/>
  <c r="P39" i="51"/>
  <c r="P20" i="59"/>
  <c r="AU48" i="59"/>
  <c r="AU91" i="59"/>
  <c r="AU118" i="59"/>
  <c r="AU74" i="59"/>
  <c r="Q44" i="59"/>
  <c r="Q87" i="59"/>
  <c r="Q114" i="59"/>
  <c r="Q70" i="59"/>
  <c r="BT24" i="59"/>
  <c r="AJ57" i="59"/>
  <c r="AJ152" i="59"/>
  <c r="AV87" i="59"/>
  <c r="AV114" i="59"/>
  <c r="AV44" i="59"/>
  <c r="AV70" i="59"/>
  <c r="BT101" i="59"/>
  <c r="BT153" i="59"/>
  <c r="AJ101" i="59"/>
  <c r="AJ153" i="59"/>
  <c r="Q113" i="59"/>
  <c r="Q86" i="59"/>
  <c r="Q43" i="59"/>
  <c r="Q69" i="59"/>
  <c r="AV88" i="59"/>
  <c r="AV45" i="59"/>
  <c r="AV115" i="59"/>
  <c r="AV71" i="59"/>
  <c r="D89" i="55"/>
  <c r="H237" i="53"/>
  <c r="H238" i="53" s="1"/>
  <c r="BR23" i="57"/>
  <c r="BR13" i="57"/>
  <c r="DB49" i="59"/>
  <c r="DB92" i="59"/>
  <c r="DB120" i="59"/>
  <c r="BQ27" i="57"/>
  <c r="BQ152" i="55"/>
  <c r="BQ18" i="57" s="1"/>
  <c r="BQ20" i="57" s="1"/>
  <c r="BR24" i="57"/>
  <c r="H204" i="53"/>
  <c r="BU178" i="55" s="1"/>
  <c r="H205" i="53"/>
  <c r="BU179" i="55" s="1"/>
  <c r="CV50" i="59"/>
  <c r="CV93" i="59"/>
  <c r="CV121" i="59"/>
  <c r="CV31" i="59"/>
  <c r="CV154" i="59" s="1"/>
  <c r="H245" i="53"/>
  <c r="H252" i="53" s="1"/>
  <c r="I74" i="51" s="1"/>
  <c r="BQ135" i="55"/>
  <c r="BQ8" i="57" s="1"/>
  <c r="AP92" i="59"/>
  <c r="AP49" i="59"/>
  <c r="BS96" i="59"/>
  <c r="BS52" i="59"/>
  <c r="K49" i="59"/>
  <c r="L49" i="59"/>
  <c r="BU120" i="59"/>
  <c r="BU49" i="59"/>
  <c r="BU31" i="59"/>
  <c r="BU154" i="59" s="1"/>
  <c r="AJ121" i="59"/>
  <c r="AJ50" i="59"/>
  <c r="EH45" i="59" s="1"/>
  <c r="AJ31" i="59"/>
  <c r="AJ154" i="59" s="1"/>
  <c r="AJ52" i="59"/>
  <c r="AJ97" i="59"/>
  <c r="AJ53" i="59"/>
  <c r="AJ19" i="55"/>
  <c r="AJ24" i="59"/>
  <c r="AJ127" i="59"/>
  <c r="AP120" i="59"/>
  <c r="Q81" i="59"/>
  <c r="Q38" i="59"/>
  <c r="Q108" i="59"/>
  <c r="Q64" i="59"/>
  <c r="Q79" i="59"/>
  <c r="Q36" i="59"/>
  <c r="Q106" i="59"/>
  <c r="Q62" i="59"/>
  <c r="AV82" i="59"/>
  <c r="AV109" i="59"/>
  <c r="AV39" i="59"/>
  <c r="AV65" i="59"/>
  <c r="Q82" i="59"/>
  <c r="Q109" i="59"/>
  <c r="Q39" i="59"/>
  <c r="Q65" i="59"/>
  <c r="AV79" i="59"/>
  <c r="AV106" i="59"/>
  <c r="AV36" i="59"/>
  <c r="AV62" i="59"/>
  <c r="Q80" i="59"/>
  <c r="Q107" i="59"/>
  <c r="Q37" i="59"/>
  <c r="Q63" i="59"/>
  <c r="AV37" i="59"/>
  <c r="AV80" i="59"/>
  <c r="AV107" i="59"/>
  <c r="AV63" i="59"/>
  <c r="AV38" i="59"/>
  <c r="AV81" i="59"/>
  <c r="AV108" i="59"/>
  <c r="AV64" i="59"/>
  <c r="AJ98" i="59"/>
  <c r="AJ55" i="59"/>
  <c r="AJ93" i="59"/>
  <c r="AJ100" i="59"/>
  <c r="AQ22" i="59"/>
  <c r="AQ145" i="59" s="1"/>
  <c r="DC9" i="55"/>
  <c r="DC22" i="59" s="1"/>
  <c r="DC145" i="59" s="1"/>
  <c r="CV11" i="55"/>
  <c r="CV16" i="55"/>
  <c r="CV30" i="59" s="1"/>
  <c r="CV13" i="55"/>
  <c r="CV27" i="59" s="1"/>
  <c r="CV150" i="59" s="1"/>
  <c r="CV12" i="55"/>
  <c r="CV15" i="55"/>
  <c r="CV29" i="59" s="1"/>
  <c r="CV152" i="59" s="1"/>
  <c r="CV14" i="55"/>
  <c r="CV28" i="59" s="1"/>
  <c r="CV151" i="59" s="1"/>
  <c r="AJ124" i="59"/>
  <c r="AJ6" i="55"/>
  <c r="AJ54" i="59"/>
  <c r="BR102" i="59"/>
  <c r="I225" i="53"/>
  <c r="BR89" i="55"/>
  <c r="AJ56" i="59"/>
  <c r="BQ5" i="57"/>
  <c r="BP41" i="57"/>
  <c r="AJ7" i="55"/>
  <c r="BR25" i="57"/>
  <c r="BS36" i="55"/>
  <c r="BS60" i="55"/>
  <c r="BS14" i="57" s="1"/>
  <c r="BS175" i="55"/>
  <c r="BS37" i="55"/>
  <c r="BS13" i="57" s="1"/>
  <c r="BS59" i="55"/>
  <c r="BS174" i="55"/>
  <c r="AJ126" i="59"/>
  <c r="F32" i="59"/>
  <c r="BR43" i="55"/>
  <c r="BR29" i="57"/>
  <c r="E129" i="55"/>
  <c r="E135" i="55" s="1"/>
  <c r="E26" i="57"/>
  <c r="E16" i="57"/>
  <c r="BR129" i="55"/>
  <c r="BR17" i="57" s="1"/>
  <c r="BR26" i="57"/>
  <c r="F29" i="57"/>
  <c r="F19" i="57"/>
  <c r="BQ10" i="57"/>
  <c r="BQ40" i="57"/>
  <c r="L120" i="59"/>
  <c r="F25" i="57"/>
  <c r="F15" i="57"/>
  <c r="F13" i="57"/>
  <c r="F23" i="57"/>
  <c r="D129" i="55"/>
  <c r="D17" i="57" s="1"/>
  <c r="D26" i="57"/>
  <c r="F129" i="55"/>
  <c r="F135" i="55" s="1"/>
  <c r="F26" i="57"/>
  <c r="F16" i="57"/>
  <c r="F14" i="57"/>
  <c r="F24" i="57"/>
  <c r="D29" i="57"/>
  <c r="BS129" i="55"/>
  <c r="BS17" i="57" s="1"/>
  <c r="F128" i="59"/>
  <c r="D23" i="57"/>
  <c r="E66" i="55"/>
  <c r="E14" i="57"/>
  <c r="E24" i="57"/>
  <c r="D25" i="57"/>
  <c r="D24" i="57"/>
  <c r="E23" i="57"/>
  <c r="E13" i="57"/>
  <c r="BR7" i="57"/>
  <c r="BR37" i="57"/>
  <c r="E29" i="57"/>
  <c r="E19" i="57"/>
  <c r="K120" i="59"/>
  <c r="E128" i="59"/>
  <c r="E25" i="57"/>
  <c r="E15" i="57"/>
  <c r="BR58" i="59"/>
  <c r="AJ95" i="59"/>
  <c r="AJ123" i="59"/>
  <c r="BT100" i="59"/>
  <c r="BT127" i="59"/>
  <c r="BS94" i="59"/>
  <c r="BS122" i="59"/>
  <c r="BS95" i="59"/>
  <c r="BS123" i="59"/>
  <c r="BT97" i="59"/>
  <c r="BT124" i="59"/>
  <c r="BT99" i="59"/>
  <c r="BT126" i="59"/>
  <c r="D128" i="59"/>
  <c r="BR128" i="59"/>
  <c r="BT98" i="59"/>
  <c r="BT125" i="59"/>
  <c r="AJ10" i="58"/>
  <c r="BU92" i="59"/>
  <c r="K92" i="59"/>
  <c r="L92" i="59"/>
  <c r="F102" i="59"/>
  <c r="F58" i="59"/>
  <c r="BT56" i="59"/>
  <c r="D102" i="59"/>
  <c r="BT57" i="59"/>
  <c r="BT55" i="59"/>
  <c r="D58" i="59"/>
  <c r="E102" i="59"/>
  <c r="BT54" i="59"/>
  <c r="E58" i="59"/>
  <c r="E89" i="55"/>
  <c r="BS82" i="55"/>
  <c r="BS83" i="55"/>
  <c r="BS15" i="57" s="1"/>
  <c r="BS105" i="55"/>
  <c r="BS26" i="57" s="1"/>
  <c r="BT19" i="55"/>
  <c r="BT106" i="55" s="1"/>
  <c r="BT16" i="57" s="1"/>
  <c r="BT25" i="59"/>
  <c r="BT148" i="59" s="1"/>
  <c r="AK59" i="58"/>
  <c r="G59" i="58"/>
  <c r="D43" i="55"/>
  <c r="D181" i="55"/>
  <c r="F66" i="55"/>
  <c r="E43" i="55"/>
  <c r="I228" i="53"/>
  <c r="J178" i="55" s="1"/>
  <c r="I226" i="53"/>
  <c r="J176" i="55" s="1"/>
  <c r="M51" i="51"/>
  <c r="J208" i="54"/>
  <c r="I227" i="53"/>
  <c r="J177" i="55" s="1"/>
  <c r="I230" i="53"/>
  <c r="J180" i="55" s="1"/>
  <c r="K208" i="53"/>
  <c r="D254" i="54"/>
  <c r="AK75" i="51" s="1"/>
  <c r="I200" i="53"/>
  <c r="BV172" i="55"/>
  <c r="I210" i="54"/>
  <c r="I230" i="54" s="1"/>
  <c r="AP180" i="55" s="1"/>
  <c r="DB180" i="55" s="1"/>
  <c r="AP172" i="55"/>
  <c r="BR151" i="55"/>
  <c r="F151" i="55"/>
  <c r="F112" i="55"/>
  <c r="E151" i="55"/>
  <c r="J210" i="53"/>
  <c r="J226" i="53" s="1"/>
  <c r="K176" i="55" s="1"/>
  <c r="K172" i="55"/>
  <c r="E181" i="55"/>
  <c r="F181" i="55"/>
  <c r="D151" i="55"/>
  <c r="F43" i="55"/>
  <c r="D112" i="55"/>
  <c r="D66" i="55"/>
  <c r="E112" i="55"/>
  <c r="F89" i="55"/>
  <c r="BR66" i="55"/>
  <c r="G262" i="53"/>
  <c r="H78" i="51" s="1"/>
  <c r="H77" i="51"/>
  <c r="F262" i="54"/>
  <c r="AM78" i="51" s="1"/>
  <c r="AM77" i="51"/>
  <c r="G237" i="54"/>
  <c r="G238" i="54" s="1"/>
  <c r="G240" i="54" s="1"/>
  <c r="G261" i="54" s="1"/>
  <c r="BT6" i="55"/>
  <c r="AS51" i="51"/>
  <c r="AK74" i="51"/>
  <c r="L207" i="53"/>
  <c r="L211" i="53" s="1"/>
  <c r="M4" i="55"/>
  <c r="BU14" i="55"/>
  <c r="BU28" i="59" s="1"/>
  <c r="BU151" i="59" s="1"/>
  <c r="BU16" i="55"/>
  <c r="BU30" i="59" s="1"/>
  <c r="BU11" i="55"/>
  <c r="BU15" i="55"/>
  <c r="BU29" i="59" s="1"/>
  <c r="BU152" i="59" s="1"/>
  <c r="BU13" i="55"/>
  <c r="BU27" i="59" s="1"/>
  <c r="BU150" i="59" s="1"/>
  <c r="BU12" i="55"/>
  <c r="BU26" i="59" s="1"/>
  <c r="BU53" i="59" s="1"/>
  <c r="F256" i="53"/>
  <c r="G74" i="51"/>
  <c r="G76" i="51" s="1"/>
  <c r="G10" i="55"/>
  <c r="G23" i="59" s="1"/>
  <c r="G146" i="59" s="1"/>
  <c r="K207" i="54"/>
  <c r="K211" i="54" s="1"/>
  <c r="AR4" i="55"/>
  <c r="AR9" i="55"/>
  <c r="BT7" i="55"/>
  <c r="AR61" i="51"/>
  <c r="L71" i="51"/>
  <c r="L73" i="51" s="1"/>
  <c r="L64" i="51"/>
  <c r="J209" i="54"/>
  <c r="DC172" i="55" s="1"/>
  <c r="J232" i="54"/>
  <c r="J233" i="54" s="1"/>
  <c r="AR67" i="51"/>
  <c r="AR70" i="51" s="1"/>
  <c r="L70" i="51"/>
  <c r="O48" i="51"/>
  <c r="N36" i="53"/>
  <c r="N42" i="53" s="1"/>
  <c r="H199" i="54"/>
  <c r="H200" i="54" s="1"/>
  <c r="I166" i="54"/>
  <c r="BV9" i="55" s="1"/>
  <c r="BV22" i="59" s="1"/>
  <c r="BV145" i="59" s="1"/>
  <c r="K212" i="53"/>
  <c r="K215" i="53"/>
  <c r="K214" i="53"/>
  <c r="K213" i="53"/>
  <c r="I218" i="53"/>
  <c r="I219" i="53"/>
  <c r="AQ71" i="51"/>
  <c r="AQ73" i="51" s="1"/>
  <c r="AQ64" i="51"/>
  <c r="P59" i="51"/>
  <c r="O38" i="53"/>
  <c r="G252" i="53"/>
  <c r="G202" i="54"/>
  <c r="G201" i="54"/>
  <c r="G203" i="54"/>
  <c r="G205" i="54"/>
  <c r="G204" i="54"/>
  <c r="G206" i="54"/>
  <c r="I236" i="53"/>
  <c r="I239" i="53" s="1"/>
  <c r="I244" i="53" s="1"/>
  <c r="K162" i="54"/>
  <c r="G220" i="54"/>
  <c r="G224" i="54" s="1"/>
  <c r="G221" i="54"/>
  <c r="G245" i="54"/>
  <c r="G254" i="54" s="1"/>
  <c r="AN75" i="51" s="1"/>
  <c r="Q160" i="54"/>
  <c r="AS57" i="51"/>
  <c r="AS58" i="51" s="1"/>
  <c r="AS72" i="51" s="1"/>
  <c r="M58" i="51"/>
  <c r="M72" i="51" s="1"/>
  <c r="AU55" i="51"/>
  <c r="N39" i="54"/>
  <c r="S45" i="54" s="1"/>
  <c r="AU59" i="51"/>
  <c r="N38" i="54"/>
  <c r="I216" i="54"/>
  <c r="I217" i="54"/>
  <c r="J212" i="54"/>
  <c r="J213" i="54"/>
  <c r="J215" i="54"/>
  <c r="J214" i="54"/>
  <c r="M67" i="51"/>
  <c r="L79" i="53"/>
  <c r="X109" i="54"/>
  <c r="X110" i="54" s="1"/>
  <c r="X111" i="54"/>
  <c r="X112" i="54" s="1"/>
  <c r="X107" i="54"/>
  <c r="X108" i="54" s="1"/>
  <c r="X113" i="54"/>
  <c r="X114" i="54" s="1"/>
  <c r="AT48" i="51"/>
  <c r="M36" i="54"/>
  <c r="M42" i="54" s="1"/>
  <c r="F252" i="54"/>
  <c r="I222" i="54"/>
  <c r="I234" i="54" s="1"/>
  <c r="I235" i="54" s="1"/>
  <c r="I223" i="54"/>
  <c r="M78" i="53"/>
  <c r="M72" i="53"/>
  <c r="M73" i="53" s="1"/>
  <c r="N49" i="51" s="1"/>
  <c r="AT49" i="51" s="1"/>
  <c r="M74" i="53"/>
  <c r="M75" i="53" s="1"/>
  <c r="N57" i="51" s="1"/>
  <c r="M80" i="53"/>
  <c r="M47" i="53"/>
  <c r="Z68" i="51"/>
  <c r="BF68" i="51" s="1"/>
  <c r="Z50" i="51"/>
  <c r="Z107" i="53"/>
  <c r="Z108" i="53" s="1"/>
  <c r="AA53" i="51" s="1"/>
  <c r="BG53" i="51" s="1"/>
  <c r="Z113" i="53"/>
  <c r="Z114" i="53" s="1"/>
  <c r="Z109" i="53"/>
  <c r="Z110" i="53" s="1"/>
  <c r="AA62" i="51" s="1"/>
  <c r="BG62" i="51" s="1"/>
  <c r="Z111" i="53"/>
  <c r="Z112" i="53" s="1"/>
  <c r="J217" i="53"/>
  <c r="J216" i="53"/>
  <c r="Y113" i="54"/>
  <c r="Y114" i="54" s="1"/>
  <c r="Y111" i="54"/>
  <c r="Y112" i="54" s="1"/>
  <c r="Y109" i="54"/>
  <c r="Y110" i="54" s="1"/>
  <c r="Y107" i="54"/>
  <c r="Y108" i="54" s="1"/>
  <c r="E252" i="54"/>
  <c r="L81" i="53"/>
  <c r="M61" i="51" s="1"/>
  <c r="L165" i="53"/>
  <c r="M9" i="55" s="1"/>
  <c r="M22" i="59" s="1"/>
  <c r="M145" i="59" s="1"/>
  <c r="AT65" i="51"/>
  <c r="M40" i="54"/>
  <c r="R46" i="54" s="1"/>
  <c r="R159" i="54" s="1"/>
  <c r="K232" i="53"/>
  <c r="K233" i="53" s="1"/>
  <c r="K209" i="53"/>
  <c r="R141" i="54"/>
  <c r="R142" i="54" s="1"/>
  <c r="R139" i="54"/>
  <c r="R140" i="54" s="1"/>
  <c r="R137" i="54"/>
  <c r="R138" i="54" s="1"/>
  <c r="H221" i="53"/>
  <c r="H220" i="53"/>
  <c r="H224" i="53" s="1"/>
  <c r="Y68" i="51"/>
  <c r="BE68" i="51" s="1"/>
  <c r="Y50" i="51"/>
  <c r="L74" i="54"/>
  <c r="L75" i="54" s="1"/>
  <c r="L72" i="54"/>
  <c r="L73" i="54" s="1"/>
  <c r="L47" i="54"/>
  <c r="L162" i="54" s="1"/>
  <c r="L80" i="54"/>
  <c r="L78" i="54"/>
  <c r="L79" i="54" s="1"/>
  <c r="K81" i="54"/>
  <c r="K165" i="54"/>
  <c r="R140" i="53"/>
  <c r="S63" i="51" s="1"/>
  <c r="AY63" i="51" s="1"/>
  <c r="R138" i="53"/>
  <c r="P65" i="51"/>
  <c r="O40" i="53"/>
  <c r="T46" i="53" s="1"/>
  <c r="T159" i="53" s="1"/>
  <c r="K166" i="53"/>
  <c r="J199" i="53"/>
  <c r="O65" i="51"/>
  <c r="N40" i="53"/>
  <c r="S46" i="53" s="1"/>
  <c r="S159" i="53" s="1"/>
  <c r="P55" i="51"/>
  <c r="O39" i="53"/>
  <c r="T45" i="53" s="1"/>
  <c r="S139" i="53"/>
  <c r="S141" i="53"/>
  <c r="S137" i="53"/>
  <c r="T56" i="51" s="1"/>
  <c r="AZ56" i="51" s="1"/>
  <c r="R142" i="53"/>
  <c r="S69" i="51" s="1"/>
  <c r="AY69" i="51" s="1"/>
  <c r="O46" i="51"/>
  <c r="AT46" i="51"/>
  <c r="P25" i="51"/>
  <c r="P44" i="51"/>
  <c r="AU25" i="51"/>
  <c r="AV29" i="51"/>
  <c r="Q33" i="51"/>
  <c r="Q35" i="51" s="1"/>
  <c r="AV24" i="51"/>
  <c r="AU39" i="51"/>
  <c r="Q29" i="51"/>
  <c r="Q21" i="51"/>
  <c r="AV15" i="51"/>
  <c r="AV17" i="51" s="1"/>
  <c r="S18" i="51"/>
  <c r="R19" i="51"/>
  <c r="R8" i="59" s="1"/>
  <c r="R23" i="51"/>
  <c r="R11" i="59" s="1"/>
  <c r="R20" i="51"/>
  <c r="R9" i="59" s="1"/>
  <c r="R22" i="51"/>
  <c r="R10" i="59" s="1"/>
  <c r="AX18" i="51"/>
  <c r="AU43" i="51"/>
  <c r="AU17" i="51"/>
  <c r="AW14" i="51"/>
  <c r="AW13" i="59" s="1"/>
  <c r="AW13" i="51"/>
  <c r="AW12" i="59" s="1"/>
  <c r="AW28" i="51"/>
  <c r="AW15" i="59" s="1"/>
  <c r="AW27" i="51"/>
  <c r="AW14" i="59" s="1"/>
  <c r="Q37" i="51"/>
  <c r="Q19" i="59" s="1"/>
  <c r="Q38" i="51"/>
  <c r="Q20" i="59" s="1"/>
  <c r="AW22" i="51"/>
  <c r="AW10" i="59" s="1"/>
  <c r="AW19" i="51"/>
  <c r="AW8" i="59" s="1"/>
  <c r="AW23" i="51"/>
  <c r="AW11" i="59" s="1"/>
  <c r="AW20" i="51"/>
  <c r="AW9" i="59" s="1"/>
  <c r="R14" i="51"/>
  <c r="R13" i="59" s="1"/>
  <c r="R13" i="51"/>
  <c r="R12" i="59" s="1"/>
  <c r="AW32" i="51"/>
  <c r="AW17" i="59" s="1"/>
  <c r="AW31" i="51"/>
  <c r="AW16" i="59" s="1"/>
  <c r="AW34" i="51"/>
  <c r="AW18" i="59" s="1"/>
  <c r="R36" i="51"/>
  <c r="R27" i="51"/>
  <c r="R14" i="59" s="1"/>
  <c r="S26" i="51"/>
  <c r="R28" i="51"/>
  <c r="R15" i="59" s="1"/>
  <c r="AX26" i="51"/>
  <c r="Q24" i="51"/>
  <c r="AX12" i="51"/>
  <c r="AU44" i="51"/>
  <c r="AV38" i="51"/>
  <c r="AV20" i="59" s="1"/>
  <c r="AV37" i="51"/>
  <c r="AV19" i="59" s="1"/>
  <c r="S30" i="51"/>
  <c r="AX30" i="51"/>
  <c r="R31" i="51"/>
  <c r="R16" i="59" s="1"/>
  <c r="R34" i="51"/>
  <c r="R18" i="59" s="1"/>
  <c r="R32" i="51"/>
  <c r="R17" i="59" s="1"/>
  <c r="P43" i="51"/>
  <c r="P17" i="51"/>
  <c r="T10" i="51"/>
  <c r="AY10" i="51"/>
  <c r="S12" i="51"/>
  <c r="AW36" i="51"/>
  <c r="AV21" i="51"/>
  <c r="Q15" i="51"/>
  <c r="AV33" i="51"/>
  <c r="AV35" i="51" s="1"/>
  <c r="BP9" i="57" l="1"/>
  <c r="BQ149" i="59"/>
  <c r="BQ155" i="59" s="1"/>
  <c r="AJ96" i="59"/>
  <c r="AJ37" i="55"/>
  <c r="AJ36" i="55"/>
  <c r="CV36" i="55" s="1"/>
  <c r="BR6" i="57"/>
  <c r="BR36" i="57"/>
  <c r="I205" i="53"/>
  <c r="BV179" i="55" s="1"/>
  <c r="I203" i="53"/>
  <c r="BV177" i="55" s="1"/>
  <c r="I206" i="53"/>
  <c r="BV180" i="55" s="1"/>
  <c r="I201" i="53"/>
  <c r="I204" i="53"/>
  <c r="BV178" i="55" s="1"/>
  <c r="BQ158" i="55"/>
  <c r="BQ9" i="57" s="1"/>
  <c r="BR40" i="57"/>
  <c r="BQ38" i="57"/>
  <c r="AL59" i="58"/>
  <c r="AJ105" i="55"/>
  <c r="AJ82" i="55"/>
  <c r="CV82" i="55" s="1"/>
  <c r="AJ174" i="55"/>
  <c r="CV174" i="55" s="1"/>
  <c r="AJ106" i="55"/>
  <c r="CV106" i="55" s="1"/>
  <c r="AJ83" i="55"/>
  <c r="CV83" i="55" s="1"/>
  <c r="AJ175" i="55"/>
  <c r="CV175" i="55" s="1"/>
  <c r="D135" i="55"/>
  <c r="AJ60" i="55"/>
  <c r="AJ59" i="55"/>
  <c r="CV59" i="55" s="1"/>
  <c r="I202" i="53"/>
  <c r="BV176" i="55" s="1"/>
  <c r="H240" i="53"/>
  <c r="H261" i="53" s="1"/>
  <c r="H218" i="54"/>
  <c r="H219" i="54"/>
  <c r="H236" i="54"/>
  <c r="H239" i="54" s="1"/>
  <c r="H234" i="54"/>
  <c r="H235" i="54" s="1"/>
  <c r="H237" i="54"/>
  <c r="H238" i="54" s="1"/>
  <c r="H240" i="54" s="1"/>
  <c r="H261" i="54" s="1"/>
  <c r="H262" i="54" s="1"/>
  <c r="AO78" i="51" s="1"/>
  <c r="J222" i="53"/>
  <c r="J234" i="53" s="1"/>
  <c r="J235" i="53" s="1"/>
  <c r="J223" i="53"/>
  <c r="AU75" i="59"/>
  <c r="L208" i="53"/>
  <c r="BR135" i="55"/>
  <c r="BQ28" i="57"/>
  <c r="BQ30" i="57" s="1"/>
  <c r="H254" i="53"/>
  <c r="R87" i="59"/>
  <c r="R114" i="59"/>
  <c r="R44" i="59"/>
  <c r="R70" i="59"/>
  <c r="R110" i="59"/>
  <c r="R83" i="59"/>
  <c r="R40" i="59"/>
  <c r="R66" i="59"/>
  <c r="AW85" i="59"/>
  <c r="AW68" i="59"/>
  <c r="AW112" i="59"/>
  <c r="AW42" i="59"/>
  <c r="BS89" i="55"/>
  <c r="R113" i="59"/>
  <c r="R43" i="59"/>
  <c r="R69" i="59"/>
  <c r="R86" i="59"/>
  <c r="AW43" i="59"/>
  <c r="AW69" i="59"/>
  <c r="AW86" i="59"/>
  <c r="AW113" i="59"/>
  <c r="CV101" i="59"/>
  <c r="CV153" i="59"/>
  <c r="AW88" i="59"/>
  <c r="AW115" i="59"/>
  <c r="AW45" i="59"/>
  <c r="AW71" i="59"/>
  <c r="R84" i="59"/>
  <c r="R111" i="59"/>
  <c r="R41" i="59"/>
  <c r="R67" i="59"/>
  <c r="AW83" i="59"/>
  <c r="AW110" i="59"/>
  <c r="AW40" i="59"/>
  <c r="AW66" i="59"/>
  <c r="AV47" i="59"/>
  <c r="AV73" i="59"/>
  <c r="AV90" i="59"/>
  <c r="AV117" i="59"/>
  <c r="R85" i="59"/>
  <c r="R42" i="59"/>
  <c r="R112" i="59"/>
  <c r="R68" i="59"/>
  <c r="AW41" i="59"/>
  <c r="AW67" i="59"/>
  <c r="AW111" i="59"/>
  <c r="AW84" i="59"/>
  <c r="Q47" i="59"/>
  <c r="Q117" i="59"/>
  <c r="Q90" i="59"/>
  <c r="Q73" i="59"/>
  <c r="AV91" i="59"/>
  <c r="AV74" i="59"/>
  <c r="AV48" i="59"/>
  <c r="AV118" i="59"/>
  <c r="AJ51" i="59"/>
  <c r="AJ147" i="59"/>
  <c r="R89" i="59"/>
  <c r="R116" i="59"/>
  <c r="R46" i="59"/>
  <c r="R72" i="59"/>
  <c r="AW89" i="59"/>
  <c r="AW116" i="59"/>
  <c r="AW46" i="59"/>
  <c r="AW72" i="59"/>
  <c r="BT51" i="59"/>
  <c r="BT147" i="59"/>
  <c r="R45" i="59"/>
  <c r="R88" i="59"/>
  <c r="R115" i="59"/>
  <c r="R71" i="59"/>
  <c r="AW87" i="59"/>
  <c r="AW114" i="59"/>
  <c r="AW44" i="59"/>
  <c r="AW70" i="59"/>
  <c r="Q48" i="59"/>
  <c r="Q91" i="59"/>
  <c r="Q118" i="59"/>
  <c r="Q74" i="59"/>
  <c r="BU101" i="59"/>
  <c r="BU153" i="59"/>
  <c r="P91" i="59"/>
  <c r="P74" i="59"/>
  <c r="P75" i="59" s="1"/>
  <c r="P118" i="59"/>
  <c r="P48" i="59"/>
  <c r="BU24" i="59"/>
  <c r="G11" i="58"/>
  <c r="G6" i="58"/>
  <c r="AK11" i="58"/>
  <c r="AK6" i="58"/>
  <c r="BS181" i="55"/>
  <c r="BS19" i="57"/>
  <c r="I226" i="54"/>
  <c r="AP176" i="55" s="1"/>
  <c r="DB176" i="55" s="1"/>
  <c r="DC49" i="59"/>
  <c r="DC120" i="59"/>
  <c r="DC92" i="59"/>
  <c r="BT96" i="59"/>
  <c r="BT52" i="59"/>
  <c r="BV120" i="59"/>
  <c r="BV49" i="59"/>
  <c r="BV31" i="59"/>
  <c r="BV154" i="59" s="1"/>
  <c r="G50" i="59"/>
  <c r="G31" i="59"/>
  <c r="G154" i="59" s="1"/>
  <c r="AQ92" i="59"/>
  <c r="AQ49" i="59"/>
  <c r="M49" i="59"/>
  <c r="CV24" i="59"/>
  <c r="CV147" i="59" s="1"/>
  <c r="CV25" i="59"/>
  <c r="CV148" i="59" s="1"/>
  <c r="CV99" i="59"/>
  <c r="CV56" i="59"/>
  <c r="CV126" i="59"/>
  <c r="CV127" i="59"/>
  <c r="CV100" i="59"/>
  <c r="CV57" i="59"/>
  <c r="CV6" i="55"/>
  <c r="CV26" i="59"/>
  <c r="CV125" i="59"/>
  <c r="CV98" i="59"/>
  <c r="CV55" i="59"/>
  <c r="R81" i="59"/>
  <c r="R108" i="59"/>
  <c r="R38" i="59"/>
  <c r="R64" i="59"/>
  <c r="R82" i="59"/>
  <c r="R109" i="59"/>
  <c r="R39" i="59"/>
  <c r="R65" i="59"/>
  <c r="R80" i="59"/>
  <c r="R107" i="59"/>
  <c r="R37" i="59"/>
  <c r="R63" i="59"/>
  <c r="AW80" i="59"/>
  <c r="AW107" i="59"/>
  <c r="AW37" i="59"/>
  <c r="AW63" i="59"/>
  <c r="R79" i="59"/>
  <c r="R106" i="59"/>
  <c r="R36" i="59"/>
  <c r="R62" i="59"/>
  <c r="AW39" i="59"/>
  <c r="AW82" i="59"/>
  <c r="AW109" i="59"/>
  <c r="AW65" i="59"/>
  <c r="AW36" i="59"/>
  <c r="AW79" i="59"/>
  <c r="AW106" i="59"/>
  <c r="AW62" i="59"/>
  <c r="AW38" i="59"/>
  <c r="AW81" i="59"/>
  <c r="AW108" i="59"/>
  <c r="AW64" i="59"/>
  <c r="AQ120" i="59"/>
  <c r="CV7" i="55"/>
  <c r="CV19" i="55"/>
  <c r="CV20" i="55"/>
  <c r="AR22" i="59"/>
  <c r="AR145" i="59" s="1"/>
  <c r="DD9" i="55"/>
  <c r="DD22" i="59" s="1"/>
  <c r="DD145" i="59" s="1"/>
  <c r="AJ122" i="59"/>
  <c r="AJ128" i="59" s="1"/>
  <c r="AJ94" i="59"/>
  <c r="BS29" i="57"/>
  <c r="BS24" i="57"/>
  <c r="J230" i="53"/>
  <c r="K180" i="55" s="1"/>
  <c r="BS23" i="57"/>
  <c r="BS43" i="55"/>
  <c r="BS4" i="57" s="1"/>
  <c r="BT175" i="55"/>
  <c r="BT19" i="57" s="1"/>
  <c r="BT174" i="55"/>
  <c r="BT181" i="55" s="1"/>
  <c r="BT59" i="55"/>
  <c r="BT82" i="55"/>
  <c r="BT60" i="55"/>
  <c r="BT14" i="57" s="1"/>
  <c r="BT83" i="55"/>
  <c r="BT15" i="57" s="1"/>
  <c r="BT37" i="55"/>
  <c r="BS112" i="55"/>
  <c r="BS7" i="57" s="1"/>
  <c r="BT105" i="55"/>
  <c r="BT26" i="57" s="1"/>
  <c r="BT36" i="55"/>
  <c r="BS128" i="55"/>
  <c r="BS135" i="55" s="1"/>
  <c r="AJ32" i="59"/>
  <c r="BS128" i="59"/>
  <c r="BR4" i="57"/>
  <c r="BR34" i="57"/>
  <c r="E7" i="57"/>
  <c r="E37" i="57"/>
  <c r="E10" i="57"/>
  <c r="E40" i="57"/>
  <c r="D10" i="57"/>
  <c r="D40" i="57"/>
  <c r="D152" i="55"/>
  <c r="D18" i="57" s="1"/>
  <c r="D27" i="57"/>
  <c r="D6" i="57"/>
  <c r="D36" i="57"/>
  <c r="F7" i="57"/>
  <c r="F37" i="57"/>
  <c r="D4" i="57"/>
  <c r="D34" i="57"/>
  <c r="E5" i="57"/>
  <c r="E35" i="57"/>
  <c r="BR152" i="55"/>
  <c r="BR27" i="57"/>
  <c r="M120" i="59"/>
  <c r="D5" i="57"/>
  <c r="D35" i="57"/>
  <c r="BS25" i="57"/>
  <c r="G121" i="59"/>
  <c r="D7" i="57"/>
  <c r="D37" i="57"/>
  <c r="F6" i="57"/>
  <c r="F36" i="57"/>
  <c r="F4" i="57"/>
  <c r="F34" i="57"/>
  <c r="E8" i="57"/>
  <c r="E38" i="57"/>
  <c r="E6" i="57"/>
  <c r="E36" i="57"/>
  <c r="E152" i="55"/>
  <c r="E27" i="57"/>
  <c r="E17" i="57"/>
  <c r="BT129" i="55"/>
  <c r="BT17" i="57" s="1"/>
  <c r="F152" i="55"/>
  <c r="F27" i="57"/>
  <c r="F17" i="57"/>
  <c r="BR5" i="57"/>
  <c r="BR35" i="57"/>
  <c r="F10" i="57"/>
  <c r="F40" i="57"/>
  <c r="F8" i="57"/>
  <c r="F38" i="57"/>
  <c r="E4" i="57"/>
  <c r="E34" i="57"/>
  <c r="BS152" i="55"/>
  <c r="BS18" i="57" s="1"/>
  <c r="F5" i="57"/>
  <c r="F35" i="57"/>
  <c r="BT94" i="59"/>
  <c r="BT122" i="59"/>
  <c r="BU99" i="59"/>
  <c r="BU126" i="59"/>
  <c r="BT95" i="59"/>
  <c r="BT123" i="59"/>
  <c r="BU97" i="59"/>
  <c r="BU124" i="59"/>
  <c r="BU98" i="59"/>
  <c r="BU125" i="59"/>
  <c r="BU100" i="59"/>
  <c r="BU127" i="59"/>
  <c r="M92" i="59"/>
  <c r="BV92" i="59"/>
  <c r="G93" i="59"/>
  <c r="BU56" i="59"/>
  <c r="BU54" i="59"/>
  <c r="BU55" i="59"/>
  <c r="BU57" i="59"/>
  <c r="BS58" i="59"/>
  <c r="BS102" i="59"/>
  <c r="BU19" i="55"/>
  <c r="BU106" i="55" s="1"/>
  <c r="BU16" i="57" s="1"/>
  <c r="BU25" i="59"/>
  <c r="BU148" i="59" s="1"/>
  <c r="H59" i="58"/>
  <c r="G58" i="58"/>
  <c r="G5" i="58" s="1"/>
  <c r="AM59" i="58"/>
  <c r="K208" i="54"/>
  <c r="Q25" i="51"/>
  <c r="AK10" i="55"/>
  <c r="AK12" i="55" s="1"/>
  <c r="AK26" i="59" s="1"/>
  <c r="AK53" i="59" s="1"/>
  <c r="AK76" i="51"/>
  <c r="D256" i="54"/>
  <c r="AV44" i="51"/>
  <c r="J229" i="53"/>
  <c r="K179" i="55" s="1"/>
  <c r="I227" i="54"/>
  <c r="AP177" i="55" s="1"/>
  <c r="DB177" i="55" s="1"/>
  <c r="J200" i="53"/>
  <c r="J202" i="53" s="1"/>
  <c r="BW176" i="55" s="1"/>
  <c r="BW172" i="55"/>
  <c r="K210" i="53"/>
  <c r="K230" i="53" s="1"/>
  <c r="L180" i="55" s="1"/>
  <c r="L172" i="55"/>
  <c r="J228" i="53"/>
  <c r="K178" i="55" s="1"/>
  <c r="J210" i="54"/>
  <c r="J229" i="54" s="1"/>
  <c r="AQ179" i="55" s="1"/>
  <c r="DC179" i="55" s="1"/>
  <c r="AQ172" i="55"/>
  <c r="I225" i="54"/>
  <c r="J225" i="53"/>
  <c r="I229" i="54"/>
  <c r="AP179" i="55" s="1"/>
  <c r="DB179" i="55" s="1"/>
  <c r="J227" i="53"/>
  <c r="K177" i="55" s="1"/>
  <c r="I228" i="54"/>
  <c r="AP178" i="55" s="1"/>
  <c r="DB178" i="55" s="1"/>
  <c r="BU6" i="55"/>
  <c r="BS66" i="55"/>
  <c r="G262" i="54"/>
  <c r="AN78" i="51" s="1"/>
  <c r="AN77" i="51"/>
  <c r="F256" i="54"/>
  <c r="AM74" i="51"/>
  <c r="AM76" i="51" s="1"/>
  <c r="AM10" i="55"/>
  <c r="CY10" i="55" s="1"/>
  <c r="CY23" i="59" s="1"/>
  <c r="BV14" i="55"/>
  <c r="BV28" i="59" s="1"/>
  <c r="BV151" i="59" s="1"/>
  <c r="BV16" i="55"/>
  <c r="BV30" i="59" s="1"/>
  <c r="BV13" i="55"/>
  <c r="BV27" i="59" s="1"/>
  <c r="BV150" i="59" s="1"/>
  <c r="BV15" i="55"/>
  <c r="BV29" i="59" s="1"/>
  <c r="BV152" i="59" s="1"/>
  <c r="BV12" i="55"/>
  <c r="BV26" i="59" s="1"/>
  <c r="BV53" i="59" s="1"/>
  <c r="BV11" i="55"/>
  <c r="G13" i="55"/>
  <c r="G27" i="59" s="1"/>
  <c r="G150" i="59" s="1"/>
  <c r="G11" i="55"/>
  <c r="G16" i="55"/>
  <c r="G30" i="59" s="1"/>
  <c r="G15" i="55"/>
  <c r="G29" i="59" s="1"/>
  <c r="G152" i="59" s="1"/>
  <c r="G12" i="55"/>
  <c r="G26" i="59" s="1"/>
  <c r="G53" i="59" s="1"/>
  <c r="G14" i="55"/>
  <c r="G28" i="59" s="1"/>
  <c r="G151" i="59" s="1"/>
  <c r="L207" i="54"/>
  <c r="L208" i="54" s="1"/>
  <c r="AS4" i="55"/>
  <c r="AS9" i="55"/>
  <c r="M207" i="53"/>
  <c r="M208" i="53" s="1"/>
  <c r="N4" i="55"/>
  <c r="G256" i="53"/>
  <c r="H74" i="51"/>
  <c r="H76" i="51" s="1"/>
  <c r="H10" i="55"/>
  <c r="H23" i="59" s="1"/>
  <c r="H146" i="59" s="1"/>
  <c r="BU7" i="55"/>
  <c r="E256" i="54"/>
  <c r="AL74" i="51"/>
  <c r="AL76" i="51" s="1"/>
  <c r="AL10" i="55"/>
  <c r="Q48" i="51"/>
  <c r="P36" i="53"/>
  <c r="P42" i="53" s="1"/>
  <c r="AU65" i="51"/>
  <c r="N40" i="54"/>
  <c r="S46" i="54" s="1"/>
  <c r="S159" i="54" s="1"/>
  <c r="AS61" i="51"/>
  <c r="M71" i="51"/>
  <c r="M73" i="51" s="1"/>
  <c r="M64" i="51"/>
  <c r="M162" i="53"/>
  <c r="M80" i="54"/>
  <c r="M78" i="54"/>
  <c r="M79" i="54" s="1"/>
  <c r="M74" i="54"/>
  <c r="M75" i="54" s="1"/>
  <c r="M72" i="54"/>
  <c r="M73" i="54" s="1"/>
  <c r="M47" i="54"/>
  <c r="L214" i="53"/>
  <c r="L212" i="53"/>
  <c r="L215" i="53"/>
  <c r="L213" i="53"/>
  <c r="K222" i="53"/>
  <c r="K234" i="53" s="1"/>
  <c r="K235" i="53" s="1"/>
  <c r="K223" i="53"/>
  <c r="I237" i="53"/>
  <c r="I238" i="53" s="1"/>
  <c r="I240" i="53" s="1"/>
  <c r="I261" i="53" s="1"/>
  <c r="K209" i="54"/>
  <c r="DD172" i="55" s="1"/>
  <c r="K232" i="54"/>
  <c r="K233" i="54" s="1"/>
  <c r="BE50" i="51"/>
  <c r="J218" i="53"/>
  <c r="J219" i="53"/>
  <c r="AT51" i="51"/>
  <c r="J216" i="54"/>
  <c r="J217" i="54"/>
  <c r="N51" i="51"/>
  <c r="AA68" i="51"/>
  <c r="BG68" i="51" s="1"/>
  <c r="AA50" i="51"/>
  <c r="M81" i="53"/>
  <c r="N61" i="51" s="1"/>
  <c r="M165" i="53"/>
  <c r="N9" i="55" s="1"/>
  <c r="N22" i="59" s="1"/>
  <c r="J222" i="54"/>
  <c r="J234" i="54" s="1"/>
  <c r="J235" i="54" s="1"/>
  <c r="J223" i="54"/>
  <c r="S141" i="54"/>
  <c r="S142" i="54" s="1"/>
  <c r="S139" i="54"/>
  <c r="S140" i="54" s="1"/>
  <c r="S137" i="54"/>
  <c r="S138" i="54" s="1"/>
  <c r="G252" i="54"/>
  <c r="I199" i="54"/>
  <c r="I200" i="54" s="1"/>
  <c r="J166" i="54"/>
  <c r="BW9" i="55" s="1"/>
  <c r="BW22" i="59" s="1"/>
  <c r="BW145" i="59" s="1"/>
  <c r="AV59" i="51"/>
  <c r="O38" i="54"/>
  <c r="AT57" i="51"/>
  <c r="AT58" i="51" s="1"/>
  <c r="AT72" i="51" s="1"/>
  <c r="N58" i="51"/>
  <c r="N72" i="51" s="1"/>
  <c r="I236" i="54"/>
  <c r="I239" i="54" s="1"/>
  <c r="I220" i="53"/>
  <c r="I224" i="53" s="1"/>
  <c r="I221" i="53"/>
  <c r="H205" i="54"/>
  <c r="H203" i="54"/>
  <c r="H202" i="54"/>
  <c r="H206" i="54"/>
  <c r="H204" i="54"/>
  <c r="H201" i="54"/>
  <c r="AU48" i="51"/>
  <c r="N36" i="54"/>
  <c r="N42" i="54" s="1"/>
  <c r="I245" i="53"/>
  <c r="I254" i="53" s="1"/>
  <c r="J75" i="51" s="1"/>
  <c r="N78" i="53"/>
  <c r="N72" i="53"/>
  <c r="N73" i="53" s="1"/>
  <c r="O49" i="51" s="1"/>
  <c r="AU49" i="51" s="1"/>
  <c r="N74" i="53"/>
  <c r="N75" i="53" s="1"/>
  <c r="O57" i="51" s="1"/>
  <c r="N80" i="53"/>
  <c r="N47" i="53"/>
  <c r="N162" i="53" s="1"/>
  <c r="P52" i="51"/>
  <c r="P54" i="51" s="1"/>
  <c r="O37" i="53"/>
  <c r="AA43" i="53" s="1"/>
  <c r="AU52" i="51"/>
  <c r="AU54" i="51" s="1"/>
  <c r="N37" i="54"/>
  <c r="Z43" i="54" s="1"/>
  <c r="AV52" i="51"/>
  <c r="AV54" i="51" s="1"/>
  <c r="O37" i="54"/>
  <c r="AA43" i="54" s="1"/>
  <c r="L81" i="54"/>
  <c r="L165" i="54"/>
  <c r="R160" i="54"/>
  <c r="N67" i="51"/>
  <c r="M79" i="53"/>
  <c r="I219" i="54"/>
  <c r="I218" i="54"/>
  <c r="K212" i="54"/>
  <c r="K213" i="54"/>
  <c r="K215" i="54"/>
  <c r="K214" i="54"/>
  <c r="AV55" i="51"/>
  <c r="O39" i="54"/>
  <c r="T45" i="54" s="1"/>
  <c r="P48" i="51"/>
  <c r="O36" i="53"/>
  <c r="O42" i="53" s="1"/>
  <c r="BF50" i="51"/>
  <c r="Q59" i="51"/>
  <c r="P38" i="53"/>
  <c r="L232" i="53"/>
  <c r="L233" i="53" s="1"/>
  <c r="L209" i="53"/>
  <c r="AS67" i="51"/>
  <c r="AS70" i="51" s="1"/>
  <c r="M70" i="51"/>
  <c r="K216" i="53"/>
  <c r="K217" i="53"/>
  <c r="AR71" i="51"/>
  <c r="AR73" i="51" s="1"/>
  <c r="AR64" i="51"/>
  <c r="S140" i="53"/>
  <c r="T63" i="51" s="1"/>
  <c r="AZ63" i="51" s="1"/>
  <c r="T160" i="53"/>
  <c r="U66" i="51" s="1"/>
  <c r="BA66" i="51" s="1"/>
  <c r="S160" i="53"/>
  <c r="T66" i="51" s="1"/>
  <c r="AZ66" i="51" s="1"/>
  <c r="T141" i="53"/>
  <c r="T137" i="53"/>
  <c r="U56" i="51" s="1"/>
  <c r="BA56" i="51" s="1"/>
  <c r="T139" i="53"/>
  <c r="K199" i="53"/>
  <c r="L166" i="53"/>
  <c r="S138" i="53"/>
  <c r="P46" i="51"/>
  <c r="Q55" i="51"/>
  <c r="P39" i="53"/>
  <c r="U45" i="53" s="1"/>
  <c r="S142" i="53"/>
  <c r="T69" i="51" s="1"/>
  <c r="AZ69" i="51" s="1"/>
  <c r="R15" i="51"/>
  <c r="R17" i="51" s="1"/>
  <c r="AV25" i="51"/>
  <c r="R29" i="51"/>
  <c r="AW33" i="51"/>
  <c r="AW35" i="51" s="1"/>
  <c r="Q39" i="51"/>
  <c r="R21" i="51"/>
  <c r="R24" i="51"/>
  <c r="AW29" i="51"/>
  <c r="AX31" i="51"/>
  <c r="AX16" i="59" s="1"/>
  <c r="AX32" i="51"/>
  <c r="AX17" i="59" s="1"/>
  <c r="AX34" i="51"/>
  <c r="AX18" i="59" s="1"/>
  <c r="T26" i="51"/>
  <c r="S28" i="51"/>
  <c r="S15" i="59" s="1"/>
  <c r="S27" i="51"/>
  <c r="S14" i="59" s="1"/>
  <c r="AY26" i="51"/>
  <c r="AX19" i="51"/>
  <c r="AX8" i="59" s="1"/>
  <c r="AX23" i="51"/>
  <c r="AX11" i="59" s="1"/>
  <c r="AX20" i="51"/>
  <c r="AX9" i="59" s="1"/>
  <c r="AX22" i="51"/>
  <c r="AX10" i="59" s="1"/>
  <c r="AY12" i="51"/>
  <c r="U10" i="51"/>
  <c r="AZ10" i="51"/>
  <c r="T12" i="51"/>
  <c r="T30" i="51"/>
  <c r="AY30" i="51"/>
  <c r="S31" i="51"/>
  <c r="S16" i="59" s="1"/>
  <c r="S34" i="51"/>
  <c r="S18" i="59" s="1"/>
  <c r="S32" i="51"/>
  <c r="S17" i="59" s="1"/>
  <c r="Q44" i="51"/>
  <c r="S20" i="51"/>
  <c r="S9" i="59" s="1"/>
  <c r="T18" i="51"/>
  <c r="S19" i="51"/>
  <c r="S8" i="59" s="1"/>
  <c r="AY18" i="51"/>
  <c r="S23" i="51"/>
  <c r="S11" i="59" s="1"/>
  <c r="S22" i="51"/>
  <c r="S10" i="59" s="1"/>
  <c r="AW37" i="51"/>
  <c r="AW19" i="59" s="1"/>
  <c r="AW38" i="51"/>
  <c r="AW20" i="59" s="1"/>
  <c r="S36" i="51"/>
  <c r="AV43" i="51"/>
  <c r="AV39" i="51"/>
  <c r="AX36" i="51"/>
  <c r="AX28" i="51"/>
  <c r="AX15" i="59" s="1"/>
  <c r="AX27" i="51"/>
  <c r="AX14" i="59" s="1"/>
  <c r="R38" i="51"/>
  <c r="R20" i="59" s="1"/>
  <c r="R37" i="51"/>
  <c r="R19" i="59" s="1"/>
  <c r="AW21" i="51"/>
  <c r="AU46" i="51"/>
  <c r="Q43" i="51"/>
  <c r="Q17" i="51"/>
  <c r="S14" i="51"/>
  <c r="S13" i="59" s="1"/>
  <c r="S13" i="51"/>
  <c r="S12" i="59" s="1"/>
  <c r="R33" i="51"/>
  <c r="R35" i="51" s="1"/>
  <c r="AX14" i="51"/>
  <c r="AX13" i="59" s="1"/>
  <c r="AX13" i="51"/>
  <c r="AX12" i="59" s="1"/>
  <c r="AW24" i="51"/>
  <c r="AW15" i="51"/>
  <c r="AJ102" i="59" l="1"/>
  <c r="AV75" i="59"/>
  <c r="EH46" i="59"/>
  <c r="EH49" i="59" s="1"/>
  <c r="BS6" i="57"/>
  <c r="BS36" i="57"/>
  <c r="CV37" i="55"/>
  <c r="CV43" i="55" s="1"/>
  <c r="CV4" i="57" s="1"/>
  <c r="AJ13" i="57"/>
  <c r="AJ23" i="57"/>
  <c r="AJ43" i="55"/>
  <c r="Q75" i="59"/>
  <c r="N145" i="59"/>
  <c r="AL11" i="58"/>
  <c r="AL6" i="58"/>
  <c r="CV181" i="55"/>
  <c r="CV40" i="57" s="1"/>
  <c r="CV89" i="55"/>
  <c r="CV6" i="57" s="1"/>
  <c r="AJ129" i="55"/>
  <c r="CV129" i="55" s="1"/>
  <c r="AJ16" i="57"/>
  <c r="AJ66" i="55"/>
  <c r="D38" i="57"/>
  <c r="AJ26" i="57"/>
  <c r="D8" i="57"/>
  <c r="AJ181" i="55"/>
  <c r="CV60" i="55"/>
  <c r="CV66" i="55" s="1"/>
  <c r="AJ14" i="57"/>
  <c r="AJ19" i="57"/>
  <c r="AJ29" i="57"/>
  <c r="BR8" i="57"/>
  <c r="BR38" i="57"/>
  <c r="AJ89" i="55"/>
  <c r="AJ25" i="57"/>
  <c r="AJ15" i="57"/>
  <c r="BS10" i="57"/>
  <c r="BS40" i="57"/>
  <c r="BQ39" i="57"/>
  <c r="BQ41" i="57" s="1"/>
  <c r="CV16" i="57"/>
  <c r="CV13" i="57"/>
  <c r="CV23" i="57"/>
  <c r="AJ128" i="55"/>
  <c r="CV105" i="55"/>
  <c r="CV112" i="55" s="1"/>
  <c r="CV24" i="57"/>
  <c r="CV14" i="57"/>
  <c r="CV19" i="57"/>
  <c r="CV29" i="57"/>
  <c r="CV25" i="57"/>
  <c r="CV15" i="57"/>
  <c r="BS20" i="57"/>
  <c r="AJ24" i="57"/>
  <c r="AJ58" i="59"/>
  <c r="BT89" i="55"/>
  <c r="AJ112" i="55"/>
  <c r="H262" i="53"/>
  <c r="I78" i="51" s="1"/>
  <c r="I77" i="51"/>
  <c r="J201" i="53"/>
  <c r="L211" i="54"/>
  <c r="J205" i="53"/>
  <c r="BW179" i="55" s="1"/>
  <c r="J203" i="53"/>
  <c r="BW177" i="55" s="1"/>
  <c r="J206" i="53"/>
  <c r="BW180" i="55" s="1"/>
  <c r="J204" i="53"/>
  <c r="BW178" i="55" s="1"/>
  <c r="AV46" i="51"/>
  <c r="H221" i="54"/>
  <c r="H220" i="54"/>
  <c r="H224" i="54" s="1"/>
  <c r="H244" i="54"/>
  <c r="AO77" i="51"/>
  <c r="AO59" i="58" s="1"/>
  <c r="H256" i="53"/>
  <c r="I75" i="51"/>
  <c r="I76" i="51" s="1"/>
  <c r="I10" i="55"/>
  <c r="I23" i="59" s="1"/>
  <c r="J236" i="53"/>
  <c r="J239" i="53" s="1"/>
  <c r="K228" i="53"/>
  <c r="L178" i="55" s="1"/>
  <c r="D158" i="55"/>
  <c r="S88" i="59"/>
  <c r="S115" i="59"/>
  <c r="S45" i="59"/>
  <c r="S71" i="59"/>
  <c r="S110" i="59"/>
  <c r="S40" i="59"/>
  <c r="S66" i="59"/>
  <c r="S83" i="59"/>
  <c r="AX42" i="59"/>
  <c r="AX68" i="59"/>
  <c r="AX85" i="59"/>
  <c r="AX112" i="59"/>
  <c r="S46" i="59"/>
  <c r="S89" i="59"/>
  <c r="S116" i="59"/>
  <c r="S72" i="59"/>
  <c r="AX89" i="59"/>
  <c r="AX116" i="59"/>
  <c r="AX46" i="59"/>
  <c r="AX72" i="59"/>
  <c r="R118" i="59"/>
  <c r="R48" i="59"/>
  <c r="R91" i="59"/>
  <c r="R74" i="59"/>
  <c r="S111" i="59"/>
  <c r="S41" i="59"/>
  <c r="S84" i="59"/>
  <c r="S67" i="59"/>
  <c r="AX86" i="59"/>
  <c r="AX113" i="59"/>
  <c r="AX43" i="59"/>
  <c r="AX69" i="59"/>
  <c r="S87" i="59"/>
  <c r="S114" i="59"/>
  <c r="S44" i="59"/>
  <c r="S70" i="59"/>
  <c r="AX88" i="59"/>
  <c r="AX115" i="59"/>
  <c r="AX45" i="59"/>
  <c r="AX71" i="59"/>
  <c r="BV101" i="59"/>
  <c r="BV153" i="59"/>
  <c r="BU51" i="59"/>
  <c r="BU147" i="59"/>
  <c r="AW90" i="59"/>
  <c r="AW73" i="59"/>
  <c r="AW47" i="59"/>
  <c r="AW117" i="59"/>
  <c r="AX44" i="59"/>
  <c r="AX87" i="59"/>
  <c r="AX114" i="59"/>
  <c r="AX70" i="59"/>
  <c r="G101" i="59"/>
  <c r="G153" i="59"/>
  <c r="G24" i="59"/>
  <c r="AX83" i="59"/>
  <c r="AX110" i="59"/>
  <c r="AX40" i="59"/>
  <c r="AX66" i="59"/>
  <c r="S112" i="59"/>
  <c r="S85" i="59"/>
  <c r="S42" i="59"/>
  <c r="S68" i="59"/>
  <c r="BV24" i="59"/>
  <c r="AX84" i="59"/>
  <c r="AX111" i="59"/>
  <c r="AX41" i="59"/>
  <c r="AX67" i="59"/>
  <c r="R47" i="59"/>
  <c r="R117" i="59"/>
  <c r="R90" i="59"/>
  <c r="R73" i="59"/>
  <c r="AW74" i="59"/>
  <c r="AW91" i="59"/>
  <c r="AW48" i="59"/>
  <c r="AW118" i="59"/>
  <c r="S86" i="59"/>
  <c r="S43" i="59"/>
  <c r="S69" i="59"/>
  <c r="S113" i="59"/>
  <c r="BT112" i="55"/>
  <c r="BT7" i="57" s="1"/>
  <c r="CY50" i="59"/>
  <c r="CY93" i="59"/>
  <c r="CY121" i="59"/>
  <c r="CY31" i="59"/>
  <c r="BT128" i="55"/>
  <c r="BT151" i="55" s="1"/>
  <c r="H11" i="58"/>
  <c r="H6" i="58"/>
  <c r="BR28" i="57"/>
  <c r="BR18" i="57"/>
  <c r="BR20" i="57" s="1"/>
  <c r="BR149" i="59" s="1"/>
  <c r="BR155" i="59" s="1"/>
  <c r="AM11" i="58"/>
  <c r="AM6" i="58"/>
  <c r="BT43" i="55"/>
  <c r="BT13" i="57"/>
  <c r="DD49" i="59"/>
  <c r="DD92" i="59"/>
  <c r="DD120" i="59"/>
  <c r="BW120" i="59"/>
  <c r="BW49" i="59"/>
  <c r="BW31" i="59"/>
  <c r="BW154" i="59" s="1"/>
  <c r="AR120" i="59"/>
  <c r="AR49" i="59"/>
  <c r="N49" i="59"/>
  <c r="H50" i="59"/>
  <c r="H31" i="59"/>
  <c r="H154" i="59" s="1"/>
  <c r="BU96" i="59"/>
  <c r="BU52" i="59"/>
  <c r="CV53" i="59"/>
  <c r="CV54" i="59"/>
  <c r="CV97" i="59"/>
  <c r="CV124" i="59"/>
  <c r="CV52" i="59"/>
  <c r="CV96" i="59"/>
  <c r="CV123" i="59"/>
  <c r="CV95" i="59"/>
  <c r="CV51" i="59"/>
  <c r="CV122" i="59"/>
  <c r="CV94" i="59"/>
  <c r="S36" i="59"/>
  <c r="S79" i="59"/>
  <c r="S106" i="59"/>
  <c r="S62" i="59"/>
  <c r="AX39" i="59"/>
  <c r="AX82" i="59"/>
  <c r="AX109" i="59"/>
  <c r="AX65" i="59"/>
  <c r="S37" i="59"/>
  <c r="S80" i="59"/>
  <c r="S107" i="59"/>
  <c r="S63" i="59"/>
  <c r="AX80" i="59"/>
  <c r="AX107" i="59"/>
  <c r="AX37" i="59"/>
  <c r="AX63" i="59"/>
  <c r="S39" i="59"/>
  <c r="S82" i="59"/>
  <c r="S109" i="59"/>
  <c r="S65" i="59"/>
  <c r="AX36" i="59"/>
  <c r="AX79" i="59"/>
  <c r="AX106" i="59"/>
  <c r="AX62" i="59"/>
  <c r="M211" i="53"/>
  <c r="S38" i="59"/>
  <c r="S81" i="59"/>
  <c r="S108" i="59"/>
  <c r="S64" i="59"/>
  <c r="AX81" i="59"/>
  <c r="AX108" i="59"/>
  <c r="AX38" i="59"/>
  <c r="AX64" i="59"/>
  <c r="AR92" i="59"/>
  <c r="AK23" i="59"/>
  <c r="AK146" i="59" s="1"/>
  <c r="CW10" i="55"/>
  <c r="CW23" i="59" s="1"/>
  <c r="CW146" i="59" s="1"/>
  <c r="AL23" i="59"/>
  <c r="CX10" i="55"/>
  <c r="CX23" i="59" s="1"/>
  <c r="CX146" i="59" s="1"/>
  <c r="AS22" i="59"/>
  <c r="AS145" i="59" s="1"/>
  <c r="DE9" i="55"/>
  <c r="DE22" i="59" s="1"/>
  <c r="DE145" i="59" s="1"/>
  <c r="CY15" i="55"/>
  <c r="CY29" i="59" s="1"/>
  <c r="CY14" i="55"/>
  <c r="CY28" i="59" s="1"/>
  <c r="CY13" i="55"/>
  <c r="CY27" i="59" s="1"/>
  <c r="CY12" i="55"/>
  <c r="CY26" i="59" s="1"/>
  <c r="CY11" i="55"/>
  <c r="CY16" i="55"/>
  <c r="CY30" i="59" s="1"/>
  <c r="BS34" i="57"/>
  <c r="BU82" i="55"/>
  <c r="BT66" i="55"/>
  <c r="BT35" i="57" s="1"/>
  <c r="K229" i="53"/>
  <c r="L179" i="55" s="1"/>
  <c r="K225" i="53"/>
  <c r="BS151" i="55"/>
  <c r="BS158" i="55" s="1"/>
  <c r="BS9" i="57" s="1"/>
  <c r="BT24" i="57"/>
  <c r="K226" i="53"/>
  <c r="L176" i="55" s="1"/>
  <c r="BS27" i="57"/>
  <c r="AK11" i="55"/>
  <c r="AK6" i="55" s="1"/>
  <c r="AK15" i="55"/>
  <c r="AK29" i="59" s="1"/>
  <c r="K227" i="53"/>
  <c r="L177" i="55" s="1"/>
  <c r="AK13" i="55"/>
  <c r="AK27" i="59" s="1"/>
  <c r="AK14" i="55"/>
  <c r="AK28" i="59" s="1"/>
  <c r="AK151" i="59" s="1"/>
  <c r="BT23" i="57"/>
  <c r="AK16" i="55"/>
  <c r="AK30" i="59" s="1"/>
  <c r="BT25" i="57"/>
  <c r="BT102" i="59"/>
  <c r="BS37" i="57"/>
  <c r="BT29" i="57"/>
  <c r="BU37" i="55"/>
  <c r="BU13" i="57" s="1"/>
  <c r="BU174" i="55"/>
  <c r="BU36" i="55"/>
  <c r="BU175" i="55"/>
  <c r="BU19" i="57" s="1"/>
  <c r="BU83" i="55"/>
  <c r="BU15" i="57" s="1"/>
  <c r="BU59" i="55"/>
  <c r="BU105" i="55"/>
  <c r="BU26" i="57" s="1"/>
  <c r="BU60" i="55"/>
  <c r="BU14" i="57" s="1"/>
  <c r="BU129" i="55"/>
  <c r="BU17" i="57" s="1"/>
  <c r="BS5" i="57"/>
  <c r="BS35" i="57"/>
  <c r="F18" i="57"/>
  <c r="F20" i="57" s="1"/>
  <c r="F28" i="57"/>
  <c r="F30" i="57" s="1"/>
  <c r="BT10" i="57"/>
  <c r="BT40" i="57"/>
  <c r="BT152" i="55"/>
  <c r="BT18" i="57" s="1"/>
  <c r="E18" i="57"/>
  <c r="E20" i="57" s="1"/>
  <c r="E28" i="57"/>
  <c r="E30" i="57" s="1"/>
  <c r="N120" i="59"/>
  <c r="E158" i="55"/>
  <c r="D28" i="57"/>
  <c r="D30" i="57" s="1"/>
  <c r="D20" i="57"/>
  <c r="F158" i="55"/>
  <c r="AM23" i="59"/>
  <c r="AM14" i="55"/>
  <c r="AM28" i="59" s="1"/>
  <c r="AM13" i="55"/>
  <c r="AM27" i="59" s="1"/>
  <c r="AM12" i="55"/>
  <c r="AM15" i="55"/>
  <c r="AM29" i="59" s="1"/>
  <c r="AM16" i="55"/>
  <c r="AM30" i="59" s="1"/>
  <c r="AM11" i="55"/>
  <c r="H121" i="59"/>
  <c r="BS8" i="57"/>
  <c r="BS38" i="57"/>
  <c r="BR158" i="55"/>
  <c r="BU95" i="59"/>
  <c r="BU123" i="59"/>
  <c r="BU94" i="59"/>
  <c r="BU122" i="59"/>
  <c r="BV97" i="59"/>
  <c r="BV124" i="59"/>
  <c r="G98" i="59"/>
  <c r="G125" i="59"/>
  <c r="G99" i="59"/>
  <c r="G126" i="59"/>
  <c r="BV100" i="59"/>
  <c r="BV127" i="59"/>
  <c r="G97" i="59"/>
  <c r="G124" i="59"/>
  <c r="BV98" i="59"/>
  <c r="BV125" i="59"/>
  <c r="BT128" i="59"/>
  <c r="AK97" i="59"/>
  <c r="AK124" i="59"/>
  <c r="G100" i="59"/>
  <c r="G127" i="59"/>
  <c r="BV99" i="59"/>
  <c r="BV126" i="59"/>
  <c r="G10" i="58"/>
  <c r="BW92" i="59"/>
  <c r="N92" i="59"/>
  <c r="H93" i="59"/>
  <c r="BT58" i="59"/>
  <c r="BV54" i="59"/>
  <c r="AK54" i="59"/>
  <c r="G57" i="59"/>
  <c r="G56" i="59"/>
  <c r="G54" i="59"/>
  <c r="BV55" i="59"/>
  <c r="BV56" i="59"/>
  <c r="BV57" i="59"/>
  <c r="G55" i="59"/>
  <c r="G25" i="59"/>
  <c r="G148" i="59" s="1"/>
  <c r="BV19" i="55"/>
  <c r="BV105" i="55" s="1"/>
  <c r="BV25" i="59"/>
  <c r="BV148" i="59" s="1"/>
  <c r="AL58" i="58"/>
  <c r="AN59" i="58"/>
  <c r="AK58" i="58"/>
  <c r="AM58" i="58"/>
  <c r="H58" i="58"/>
  <c r="H5" i="58" s="1"/>
  <c r="J228" i="54"/>
  <c r="AQ178" i="55" s="1"/>
  <c r="DC178" i="55" s="1"/>
  <c r="K236" i="53"/>
  <c r="K237" i="53" s="1"/>
  <c r="K238" i="53" s="1"/>
  <c r="I252" i="53"/>
  <c r="J74" i="51" s="1"/>
  <c r="J76" i="51" s="1"/>
  <c r="J227" i="54"/>
  <c r="AQ177" i="55" s="1"/>
  <c r="DC177" i="55" s="1"/>
  <c r="K210" i="54"/>
  <c r="K226" i="54" s="1"/>
  <c r="AR176" i="55" s="1"/>
  <c r="DD176" i="55" s="1"/>
  <c r="AR172" i="55"/>
  <c r="J230" i="54"/>
  <c r="AQ180" i="55" s="1"/>
  <c r="DC180" i="55" s="1"/>
  <c r="L210" i="53"/>
  <c r="L225" i="53" s="1"/>
  <c r="M172" i="55"/>
  <c r="J226" i="54"/>
  <c r="AQ176" i="55" s="1"/>
  <c r="DC176" i="55" s="1"/>
  <c r="J225" i="54"/>
  <c r="K200" i="53"/>
  <c r="K201" i="53" s="1"/>
  <c r="BX172" i="55"/>
  <c r="I262" i="53"/>
  <c r="J78" i="51" s="1"/>
  <c r="J77" i="51"/>
  <c r="BV6" i="55"/>
  <c r="M207" i="54"/>
  <c r="M211" i="54" s="1"/>
  <c r="AT4" i="55"/>
  <c r="G20" i="55"/>
  <c r="G19" i="55"/>
  <c r="BV7" i="55"/>
  <c r="H16" i="55"/>
  <c r="H30" i="59" s="1"/>
  <c r="H15" i="55"/>
  <c r="H29" i="59" s="1"/>
  <c r="H152" i="59" s="1"/>
  <c r="H14" i="55"/>
  <c r="H28" i="59" s="1"/>
  <c r="H151" i="59" s="1"/>
  <c r="H11" i="55"/>
  <c r="H13" i="55"/>
  <c r="H27" i="59" s="1"/>
  <c r="H150" i="59" s="1"/>
  <c r="H12" i="55"/>
  <c r="H26" i="59" s="1"/>
  <c r="H53" i="59" s="1"/>
  <c r="G7" i="55"/>
  <c r="BW14" i="55"/>
  <c r="BW28" i="59" s="1"/>
  <c r="BW151" i="59" s="1"/>
  <c r="BW11" i="55"/>
  <c r="BW13" i="55"/>
  <c r="BW27" i="59" s="1"/>
  <c r="BW150" i="59" s="1"/>
  <c r="BW12" i="55"/>
  <c r="BW26" i="59" s="1"/>
  <c r="BW53" i="59" s="1"/>
  <c r="BW16" i="55"/>
  <c r="BW30" i="59" s="1"/>
  <c r="BW15" i="55"/>
  <c r="BW29" i="59" s="1"/>
  <c r="BW152" i="59" s="1"/>
  <c r="AT9" i="55"/>
  <c r="G6" i="55"/>
  <c r="I237" i="54"/>
  <c r="I238" i="54" s="1"/>
  <c r="I240" i="54" s="1"/>
  <c r="I261" i="54" s="1"/>
  <c r="AL11" i="55"/>
  <c r="AL13" i="55"/>
  <c r="AL27" i="59" s="1"/>
  <c r="AL16" i="55"/>
  <c r="AL30" i="59" s="1"/>
  <c r="AL15" i="55"/>
  <c r="AL29" i="59" s="1"/>
  <c r="AL14" i="55"/>
  <c r="AL28" i="59" s="1"/>
  <c r="AL12" i="55"/>
  <c r="AL26" i="59" s="1"/>
  <c r="AL53" i="59" s="1"/>
  <c r="G256" i="54"/>
  <c r="AN74" i="51"/>
  <c r="AN76" i="51" s="1"/>
  <c r="AN10" i="55"/>
  <c r="N207" i="53"/>
  <c r="N208" i="53" s="1"/>
  <c r="O4" i="55"/>
  <c r="J236" i="54"/>
  <c r="J239" i="54" s="1"/>
  <c r="J244" i="54" s="1"/>
  <c r="I220" i="54"/>
  <c r="I224" i="54" s="1"/>
  <c r="I221" i="54"/>
  <c r="AA113" i="54"/>
  <c r="AA114" i="54" s="1"/>
  <c r="AA111" i="54"/>
  <c r="AA112" i="54" s="1"/>
  <c r="AA109" i="54"/>
  <c r="AA110" i="54" s="1"/>
  <c r="AA107" i="54"/>
  <c r="AA108" i="54" s="1"/>
  <c r="N81" i="53"/>
  <c r="O61" i="51" s="1"/>
  <c r="N165" i="53"/>
  <c r="O9" i="55" s="1"/>
  <c r="I244" i="54"/>
  <c r="I245" i="54" s="1"/>
  <c r="I254" i="54" s="1"/>
  <c r="AP75" i="51" s="1"/>
  <c r="BG50" i="51"/>
  <c r="M162" i="54"/>
  <c r="T139" i="54"/>
  <c r="T140" i="54" s="1"/>
  <c r="T137" i="54"/>
  <c r="T138" i="54" s="1"/>
  <c r="T141" i="54"/>
  <c r="T142" i="54" s="1"/>
  <c r="AU57" i="51"/>
  <c r="AU58" i="51" s="1"/>
  <c r="AU72" i="51" s="1"/>
  <c r="O58" i="51"/>
  <c r="O72" i="51" s="1"/>
  <c r="Z107" i="54"/>
  <c r="Z108" i="54" s="1"/>
  <c r="Z113" i="54"/>
  <c r="Z114" i="54" s="1"/>
  <c r="Z111" i="54"/>
  <c r="Z112" i="54" s="1"/>
  <c r="Z109" i="54"/>
  <c r="Z110" i="54" s="1"/>
  <c r="AS71" i="51"/>
  <c r="AS73" i="51" s="1"/>
  <c r="AS64" i="51"/>
  <c r="AW55" i="51"/>
  <c r="P39" i="54"/>
  <c r="U45" i="54" s="1"/>
  <c r="O51" i="51"/>
  <c r="AT67" i="51"/>
  <c r="AT70" i="51" s="1"/>
  <c r="N70" i="51"/>
  <c r="O67" i="51"/>
  <c r="N79" i="53"/>
  <c r="J220" i="53"/>
  <c r="J224" i="53" s="1"/>
  <c r="J221" i="53"/>
  <c r="R59" i="51"/>
  <c r="Q38" i="53"/>
  <c r="K217" i="54"/>
  <c r="K216" i="54"/>
  <c r="AA107" i="53"/>
  <c r="AA108" i="53" s="1"/>
  <c r="AB53" i="51" s="1"/>
  <c r="BH53" i="51" s="1"/>
  <c r="AA113" i="53"/>
  <c r="AA114" i="53" s="1"/>
  <c r="AA109" i="53"/>
  <c r="AA110" i="53" s="1"/>
  <c r="AB62" i="51" s="1"/>
  <c r="BH62" i="51" s="1"/>
  <c r="AA111" i="53"/>
  <c r="AA112" i="53" s="1"/>
  <c r="S160" i="54"/>
  <c r="AV48" i="51"/>
  <c r="O36" i="54"/>
  <c r="O42" i="54" s="1"/>
  <c r="K222" i="54"/>
  <c r="K234" i="54" s="1"/>
  <c r="K235" i="54" s="1"/>
  <c r="K223" i="54"/>
  <c r="J219" i="54"/>
  <c r="J218" i="54"/>
  <c r="L222" i="53"/>
  <c r="L234" i="53" s="1"/>
  <c r="L235" i="53" s="1"/>
  <c r="L223" i="53"/>
  <c r="M81" i="54"/>
  <c r="M165" i="54"/>
  <c r="Q52" i="51"/>
  <c r="Q54" i="51" s="1"/>
  <c r="P37" i="53"/>
  <c r="AB43" i="53" s="1"/>
  <c r="R52" i="51"/>
  <c r="R54" i="51" s="1"/>
  <c r="Q37" i="53"/>
  <c r="AC43" i="53" s="1"/>
  <c r="K218" i="53"/>
  <c r="K219" i="53"/>
  <c r="L232" i="54"/>
  <c r="L233" i="54" s="1"/>
  <c r="L209" i="54"/>
  <c r="DE172" i="55" s="1"/>
  <c r="N80" i="54"/>
  <c r="N78" i="54"/>
  <c r="N79" i="54" s="1"/>
  <c r="N72" i="54"/>
  <c r="N73" i="54" s="1"/>
  <c r="N74" i="54"/>
  <c r="N75" i="54" s="1"/>
  <c r="N47" i="54"/>
  <c r="J199" i="54"/>
  <c r="J200" i="54" s="1"/>
  <c r="K166" i="54"/>
  <c r="BX9" i="55" s="1"/>
  <c r="BX22" i="59" s="1"/>
  <c r="BX145" i="59" s="1"/>
  <c r="M232" i="53"/>
  <c r="M233" i="53" s="1"/>
  <c r="M209" i="53"/>
  <c r="P78" i="53"/>
  <c r="P74" i="53"/>
  <c r="P75" i="53" s="1"/>
  <c r="Q57" i="51" s="1"/>
  <c r="AW57" i="51" s="1"/>
  <c r="P80" i="53"/>
  <c r="P72" i="53"/>
  <c r="P73" i="53" s="1"/>
  <c r="Q49" i="51" s="1"/>
  <c r="AW49" i="51" s="1"/>
  <c r="P47" i="53"/>
  <c r="AV65" i="51"/>
  <c r="O40" i="54"/>
  <c r="T46" i="54" s="1"/>
  <c r="T159" i="54" s="1"/>
  <c r="AW59" i="51"/>
  <c r="P38" i="54"/>
  <c r="O72" i="53"/>
  <c r="O73" i="53" s="1"/>
  <c r="P49" i="51" s="1"/>
  <c r="AV49" i="51" s="1"/>
  <c r="O80" i="53"/>
  <c r="O74" i="53"/>
  <c r="O75" i="53" s="1"/>
  <c r="P57" i="51" s="1"/>
  <c r="O78" i="53"/>
  <c r="O47" i="53"/>
  <c r="AU51" i="51"/>
  <c r="I202" i="54"/>
  <c r="I205" i="54"/>
  <c r="I201" i="54"/>
  <c r="I203" i="54"/>
  <c r="I206" i="54"/>
  <c r="I204" i="54"/>
  <c r="AT61" i="51"/>
  <c r="N71" i="51"/>
  <c r="N73" i="51" s="1"/>
  <c r="N64" i="51"/>
  <c r="L217" i="53"/>
  <c r="L216" i="53"/>
  <c r="Q65" i="51"/>
  <c r="P40" i="53"/>
  <c r="U46" i="53" s="1"/>
  <c r="U159" i="53" s="1"/>
  <c r="L199" i="53"/>
  <c r="M166" i="53"/>
  <c r="U141" i="53"/>
  <c r="U137" i="53"/>
  <c r="V56" i="51" s="1"/>
  <c r="BB56" i="51" s="1"/>
  <c r="U139" i="53"/>
  <c r="T140" i="53"/>
  <c r="U63" i="51" s="1"/>
  <c r="BA63" i="51" s="1"/>
  <c r="T138" i="53"/>
  <c r="R55" i="51"/>
  <c r="Q39" i="53"/>
  <c r="V45" i="53" s="1"/>
  <c r="T142" i="53"/>
  <c r="U69" i="51" s="1"/>
  <c r="BA69" i="51" s="1"/>
  <c r="R44" i="51"/>
  <c r="S33" i="51"/>
  <c r="S35" i="51" s="1"/>
  <c r="Q46" i="51"/>
  <c r="S29" i="51"/>
  <c r="R25" i="51"/>
  <c r="R39" i="51"/>
  <c r="AW39" i="51"/>
  <c r="AX29" i="51"/>
  <c r="S15" i="51"/>
  <c r="S17" i="51" s="1"/>
  <c r="S21" i="51"/>
  <c r="AX21" i="51"/>
  <c r="AY19" i="51"/>
  <c r="AY8" i="59" s="1"/>
  <c r="AY20" i="51"/>
  <c r="AY9" i="59" s="1"/>
  <c r="AY22" i="51"/>
  <c r="AY10" i="59" s="1"/>
  <c r="AY23" i="51"/>
  <c r="AY11" i="59" s="1"/>
  <c r="T13" i="51"/>
  <c r="T12" i="59" s="1"/>
  <c r="T14" i="51"/>
  <c r="T13" i="59" s="1"/>
  <c r="AY14" i="51"/>
  <c r="AY13" i="59" s="1"/>
  <c r="AY13" i="51"/>
  <c r="AY12" i="59" s="1"/>
  <c r="S38" i="51"/>
  <c r="S20" i="59" s="1"/>
  <c r="S37" i="51"/>
  <c r="S19" i="59" s="1"/>
  <c r="R43" i="51"/>
  <c r="AY34" i="51"/>
  <c r="AY18" i="59" s="1"/>
  <c r="AY32" i="51"/>
  <c r="AY17" i="59" s="1"/>
  <c r="AY31" i="51"/>
  <c r="AY16" i="59" s="1"/>
  <c r="AZ12" i="51"/>
  <c r="AX33" i="51"/>
  <c r="AX35" i="51" s="1"/>
  <c r="AX15" i="51"/>
  <c r="AW25" i="51"/>
  <c r="AX38" i="51"/>
  <c r="AX20" i="59" s="1"/>
  <c r="AX37" i="51"/>
  <c r="AX19" i="59" s="1"/>
  <c r="S24" i="51"/>
  <c r="T23" i="51"/>
  <c r="T11" i="59" s="1"/>
  <c r="T19" i="51"/>
  <c r="T8" i="59" s="1"/>
  <c r="AZ18" i="51"/>
  <c r="U18" i="51"/>
  <c r="T20" i="51"/>
  <c r="T9" i="59" s="1"/>
  <c r="T22" i="51"/>
  <c r="T10" i="59" s="1"/>
  <c r="U30" i="51"/>
  <c r="AZ30" i="51"/>
  <c r="T31" i="51"/>
  <c r="T16" i="59" s="1"/>
  <c r="T32" i="51"/>
  <c r="T17" i="59" s="1"/>
  <c r="T34" i="51"/>
  <c r="T18" i="59" s="1"/>
  <c r="V10" i="51"/>
  <c r="BA10" i="51"/>
  <c r="U12" i="51"/>
  <c r="AX24" i="51"/>
  <c r="U26" i="51"/>
  <c r="T28" i="51"/>
  <c r="T15" i="59" s="1"/>
  <c r="T27" i="51"/>
  <c r="T14" i="59" s="1"/>
  <c r="AZ26" i="51"/>
  <c r="AW43" i="51"/>
  <c r="AW17" i="51"/>
  <c r="AW44" i="51"/>
  <c r="T36" i="51"/>
  <c r="AY36" i="51"/>
  <c r="AY27" i="51"/>
  <c r="AY14" i="59" s="1"/>
  <c r="AY28" i="51"/>
  <c r="AY15" i="59" s="1"/>
  <c r="AJ4" i="57" l="1"/>
  <c r="AJ152" i="55"/>
  <c r="AJ34" i="57"/>
  <c r="CV34" i="57"/>
  <c r="AJ17" i="57"/>
  <c r="AJ10" i="57"/>
  <c r="AJ40" i="57"/>
  <c r="R75" i="59"/>
  <c r="CV17" i="57"/>
  <c r="CV10" i="57"/>
  <c r="AJ5" i="57"/>
  <c r="AJ35" i="57"/>
  <c r="AW75" i="59"/>
  <c r="CV35" i="57"/>
  <c r="CV5" i="57"/>
  <c r="CV36" i="57"/>
  <c r="BR30" i="57"/>
  <c r="BT4" i="57"/>
  <c r="BT34" i="57"/>
  <c r="K205" i="53"/>
  <c r="BX179" i="55" s="1"/>
  <c r="K202" i="53"/>
  <c r="BX176" i="55" s="1"/>
  <c r="CV26" i="57"/>
  <c r="CV37" i="57"/>
  <c r="CV7" i="57"/>
  <c r="D9" i="57"/>
  <c r="D39" i="57"/>
  <c r="D41" i="57" s="1"/>
  <c r="AJ27" i="57"/>
  <c r="AJ7" i="57"/>
  <c r="AJ37" i="57"/>
  <c r="BT6" i="57"/>
  <c r="BT36" i="57"/>
  <c r="AJ6" i="57"/>
  <c r="AJ36" i="57"/>
  <c r="AJ135" i="55"/>
  <c r="AJ151" i="55"/>
  <c r="CV151" i="55" s="1"/>
  <c r="CV128" i="55"/>
  <c r="I59" i="58"/>
  <c r="K239" i="53"/>
  <c r="K244" i="53" s="1"/>
  <c r="L213" i="54"/>
  <c r="L212" i="54"/>
  <c r="L215" i="54"/>
  <c r="L214" i="54"/>
  <c r="K227" i="54"/>
  <c r="AR177" i="55" s="1"/>
  <c r="DD177" i="55" s="1"/>
  <c r="H245" i="54"/>
  <c r="I146" i="59"/>
  <c r="AO11" i="58"/>
  <c r="AO6" i="58"/>
  <c r="I50" i="59"/>
  <c r="I31" i="59"/>
  <c r="I121" i="59"/>
  <c r="I93" i="59"/>
  <c r="I58" i="58"/>
  <c r="I5" i="58" s="1"/>
  <c r="I15" i="55"/>
  <c r="I29" i="59" s="1"/>
  <c r="I13" i="55"/>
  <c r="I27" i="59" s="1"/>
  <c r="I14" i="55"/>
  <c r="I28" i="59" s="1"/>
  <c r="I16" i="55"/>
  <c r="I30" i="59" s="1"/>
  <c r="I12" i="55"/>
  <c r="I26" i="59" s="1"/>
  <c r="I53" i="59" s="1"/>
  <c r="I11" i="55"/>
  <c r="AL150" i="59"/>
  <c r="AL152" i="59"/>
  <c r="J237" i="53"/>
  <c r="J238" i="53" s="1"/>
  <c r="J240" i="53" s="1"/>
  <c r="J261" i="53" s="1"/>
  <c r="M212" i="53"/>
  <c r="M215" i="53"/>
  <c r="M214" i="53"/>
  <c r="M213" i="53"/>
  <c r="J244" i="53"/>
  <c r="J245" i="53" s="1"/>
  <c r="J254" i="53" s="1"/>
  <c r="K75" i="51" s="1"/>
  <c r="H24" i="59"/>
  <c r="AM26" i="59"/>
  <c r="E149" i="59"/>
  <c r="E155" i="59" s="1"/>
  <c r="K225" i="54"/>
  <c r="BV106" i="55"/>
  <c r="BV16" i="57" s="1"/>
  <c r="AK126" i="59"/>
  <c r="AM146" i="59"/>
  <c r="BS28" i="57"/>
  <c r="K228" i="54"/>
  <c r="AR178" i="55" s="1"/>
  <c r="DD178" i="55" s="1"/>
  <c r="AK56" i="59"/>
  <c r="AK99" i="59"/>
  <c r="K204" i="53"/>
  <c r="BX178" i="55" s="1"/>
  <c r="K229" i="54"/>
  <c r="AR179" i="55" s="1"/>
  <c r="DD179" i="55" s="1"/>
  <c r="K203" i="53"/>
  <c r="BX177" i="55" s="1"/>
  <c r="K230" i="54"/>
  <c r="AR180" i="55" s="1"/>
  <c r="DD180" i="55" s="1"/>
  <c r="AL151" i="59"/>
  <c r="BT37" i="57"/>
  <c r="BT27" i="57"/>
  <c r="K206" i="53"/>
  <c r="BX180" i="55" s="1"/>
  <c r="BT135" i="55"/>
  <c r="AK93" i="59"/>
  <c r="BS39" i="57"/>
  <c r="AL146" i="59"/>
  <c r="T110" i="59"/>
  <c r="T40" i="59"/>
  <c r="T66" i="59"/>
  <c r="T83" i="59"/>
  <c r="T46" i="59"/>
  <c r="T89" i="59"/>
  <c r="T116" i="59"/>
  <c r="T72" i="59"/>
  <c r="AY83" i="59"/>
  <c r="AY110" i="59"/>
  <c r="AY66" i="59"/>
  <c r="AY40" i="59"/>
  <c r="AM126" i="59"/>
  <c r="AM151" i="59"/>
  <c r="AK98" i="59"/>
  <c r="AK150" i="59"/>
  <c r="BS149" i="59"/>
  <c r="BS155" i="59" s="1"/>
  <c r="AY88" i="59"/>
  <c r="AY115" i="59"/>
  <c r="AY45" i="59"/>
  <c r="AY71" i="59"/>
  <c r="AY69" i="59"/>
  <c r="AY86" i="59"/>
  <c r="AY113" i="59"/>
  <c r="AY43" i="59"/>
  <c r="T85" i="59"/>
  <c r="T112" i="59"/>
  <c r="T42" i="59"/>
  <c r="T68" i="59"/>
  <c r="T45" i="59"/>
  <c r="T88" i="59"/>
  <c r="T115" i="59"/>
  <c r="T71" i="59"/>
  <c r="AY111" i="59"/>
  <c r="AY41" i="59"/>
  <c r="AY84" i="59"/>
  <c r="AY67" i="59"/>
  <c r="CY146" i="59"/>
  <c r="T87" i="59"/>
  <c r="T114" i="59"/>
  <c r="T44" i="59"/>
  <c r="T70" i="59"/>
  <c r="AY87" i="59"/>
  <c r="AY44" i="59"/>
  <c r="AY114" i="59"/>
  <c r="AY70" i="59"/>
  <c r="T84" i="59"/>
  <c r="T111" i="59"/>
  <c r="T41" i="59"/>
  <c r="T67" i="59"/>
  <c r="AM125" i="59"/>
  <c r="AM150" i="59"/>
  <c r="AK57" i="59"/>
  <c r="AK152" i="59"/>
  <c r="G51" i="59"/>
  <c r="G147" i="59"/>
  <c r="BW101" i="59"/>
  <c r="BW153" i="59"/>
  <c r="BU66" i="55"/>
  <c r="BV51" i="59"/>
  <c r="BV147" i="59"/>
  <c r="T69" i="59"/>
  <c r="T86" i="59"/>
  <c r="T113" i="59"/>
  <c r="T43" i="59"/>
  <c r="AY89" i="59"/>
  <c r="AY116" i="59"/>
  <c r="AY46" i="59"/>
  <c r="AY72" i="59"/>
  <c r="AM101" i="59"/>
  <c r="AM153" i="59"/>
  <c r="F149" i="59"/>
  <c r="F155" i="59" s="1"/>
  <c r="AM127" i="59"/>
  <c r="AM152" i="59"/>
  <c r="AK101" i="59"/>
  <c r="AK153" i="59"/>
  <c r="AX73" i="59"/>
  <c r="AX117" i="59"/>
  <c r="AX47" i="59"/>
  <c r="AX90" i="59"/>
  <c r="S47" i="59"/>
  <c r="S117" i="59"/>
  <c r="S90" i="59"/>
  <c r="S73" i="59"/>
  <c r="AL101" i="59"/>
  <c r="AL153" i="59"/>
  <c r="BW24" i="59"/>
  <c r="H101" i="59"/>
  <c r="H153" i="59"/>
  <c r="D149" i="59"/>
  <c r="D155" i="59" s="1"/>
  <c r="BU23" i="57"/>
  <c r="CY101" i="59"/>
  <c r="AY68" i="59"/>
  <c r="AY112" i="59"/>
  <c r="AY85" i="59"/>
  <c r="AY42" i="59"/>
  <c r="AX74" i="59"/>
  <c r="AX118" i="59"/>
  <c r="AX48" i="59"/>
  <c r="AX91" i="59"/>
  <c r="S48" i="59"/>
  <c r="S91" i="59"/>
  <c r="S118" i="59"/>
  <c r="S74" i="59"/>
  <c r="CY99" i="59"/>
  <c r="CY56" i="59"/>
  <c r="CY126" i="59"/>
  <c r="CY53" i="59"/>
  <c r="CY54" i="59"/>
  <c r="CY97" i="59"/>
  <c r="CY124" i="59"/>
  <c r="DE49" i="59"/>
  <c r="DE120" i="59"/>
  <c r="DE92" i="59"/>
  <c r="L228" i="53"/>
  <c r="M178" i="55" s="1"/>
  <c r="AN11" i="58"/>
  <c r="AN6" i="58"/>
  <c r="CY125" i="59"/>
  <c r="CY98" i="59"/>
  <c r="CY55" i="59"/>
  <c r="BT5" i="57"/>
  <c r="CX50" i="59"/>
  <c r="CX93" i="59"/>
  <c r="CX121" i="59"/>
  <c r="CX31" i="59"/>
  <c r="BT20" i="57"/>
  <c r="BT149" i="59" s="1"/>
  <c r="BT155" i="59" s="1"/>
  <c r="CY57" i="59"/>
  <c r="CY127" i="59"/>
  <c r="CY100" i="59"/>
  <c r="BU24" i="57"/>
  <c r="CW50" i="59"/>
  <c r="CW93" i="59"/>
  <c r="CW121" i="59"/>
  <c r="CW31" i="59"/>
  <c r="CW154" i="59" s="1"/>
  <c r="CY6" i="55"/>
  <c r="CY25" i="59"/>
  <c r="CY24" i="59"/>
  <c r="AK121" i="59"/>
  <c r="AK50" i="59"/>
  <c r="AK24" i="59"/>
  <c r="AK31" i="59"/>
  <c r="AK154" i="59" s="1"/>
  <c r="BV96" i="59"/>
  <c r="BV52" i="59"/>
  <c r="AM93" i="59"/>
  <c r="AM50" i="59"/>
  <c r="AM31" i="59"/>
  <c r="AM24" i="59"/>
  <c r="BX120" i="59"/>
  <c r="BX49" i="59"/>
  <c r="BX31" i="59"/>
  <c r="BX154" i="59" s="1"/>
  <c r="AS49" i="59"/>
  <c r="G96" i="59"/>
  <c r="G52" i="59"/>
  <c r="AK55" i="59"/>
  <c r="AL50" i="59"/>
  <c r="AL24" i="59"/>
  <c r="AL31" i="59"/>
  <c r="CV102" i="59"/>
  <c r="CV128" i="59"/>
  <c r="CV58" i="59"/>
  <c r="AY82" i="59"/>
  <c r="AY109" i="59"/>
  <c r="AY39" i="59"/>
  <c r="AY65" i="59"/>
  <c r="T38" i="59"/>
  <c r="T81" i="59"/>
  <c r="T108" i="59"/>
  <c r="T64" i="59"/>
  <c r="AY81" i="59"/>
  <c r="AY108" i="59"/>
  <c r="AY38" i="59"/>
  <c r="AY64" i="59"/>
  <c r="AY80" i="59"/>
  <c r="AY107" i="59"/>
  <c r="AY37" i="59"/>
  <c r="AY63" i="59"/>
  <c r="AY36" i="59"/>
  <c r="AY79" i="59"/>
  <c r="AY106" i="59"/>
  <c r="AY62" i="59"/>
  <c r="CY7" i="55"/>
  <c r="T80" i="59"/>
  <c r="T107" i="59"/>
  <c r="T37" i="59"/>
  <c r="T63" i="59"/>
  <c r="T79" i="59"/>
  <c r="T106" i="59"/>
  <c r="T36" i="59"/>
  <c r="T62" i="59"/>
  <c r="T82" i="59"/>
  <c r="T39" i="59"/>
  <c r="T109" i="59"/>
  <c r="T65" i="59"/>
  <c r="J237" i="54"/>
  <c r="J238" i="54" s="1"/>
  <c r="AL121" i="59"/>
  <c r="AL93" i="59"/>
  <c r="AK125" i="59"/>
  <c r="AS120" i="59"/>
  <c r="BU25" i="57"/>
  <c r="AS92" i="59"/>
  <c r="AN23" i="59"/>
  <c r="AN146" i="59" s="1"/>
  <c r="CZ10" i="55"/>
  <c r="CZ23" i="59" s="1"/>
  <c r="CZ146" i="59" s="1"/>
  <c r="CX14" i="55"/>
  <c r="CX28" i="59" s="1"/>
  <c r="CX13" i="55"/>
  <c r="CX27" i="59" s="1"/>
  <c r="CX12" i="55"/>
  <c r="CX26" i="59" s="1"/>
  <c r="CX11" i="55"/>
  <c r="CX15" i="55"/>
  <c r="CX29" i="59" s="1"/>
  <c r="CX16" i="55"/>
  <c r="CX30" i="59" s="1"/>
  <c r="CY19" i="55"/>
  <c r="CY20" i="55"/>
  <c r="CW13" i="55"/>
  <c r="CW27" i="59" s="1"/>
  <c r="CW150" i="59" s="1"/>
  <c r="CW12" i="55"/>
  <c r="CW26" i="59" s="1"/>
  <c r="CW15" i="55"/>
  <c r="CW29" i="59" s="1"/>
  <c r="CW152" i="59" s="1"/>
  <c r="CW14" i="55"/>
  <c r="CW28" i="59" s="1"/>
  <c r="CW151" i="59" s="1"/>
  <c r="CW11" i="55"/>
  <c r="CW16" i="55"/>
  <c r="CW30" i="59" s="1"/>
  <c r="AT22" i="59"/>
  <c r="AT145" i="59" s="1"/>
  <c r="DF9" i="55"/>
  <c r="DF22" i="59" s="1"/>
  <c r="DF145" i="59" s="1"/>
  <c r="AK25" i="59"/>
  <c r="AK127" i="59"/>
  <c r="AK20" i="55"/>
  <c r="BT158" i="55"/>
  <c r="AK19" i="55"/>
  <c r="AK100" i="59"/>
  <c r="BU112" i="55"/>
  <c r="BU7" i="57" s="1"/>
  <c r="BU128" i="55"/>
  <c r="BU151" i="55" s="1"/>
  <c r="BV60" i="55"/>
  <c r="BV14" i="57" s="1"/>
  <c r="I256" i="53"/>
  <c r="BV37" i="55"/>
  <c r="BV13" i="57" s="1"/>
  <c r="AK7" i="55"/>
  <c r="M208" i="54"/>
  <c r="BU181" i="55"/>
  <c r="BU10" i="57" s="1"/>
  <c r="BU89" i="55"/>
  <c r="BU6" i="57" s="1"/>
  <c r="J10" i="55"/>
  <c r="J23" i="59" s="1"/>
  <c r="J146" i="59" s="1"/>
  <c r="BV175" i="55"/>
  <c r="BV19" i="57" s="1"/>
  <c r="BV59" i="55"/>
  <c r="BV174" i="55"/>
  <c r="BV82" i="55"/>
  <c r="BV83" i="55"/>
  <c r="BV15" i="57" s="1"/>
  <c r="BV36" i="55"/>
  <c r="BU128" i="59"/>
  <c r="BU29" i="57"/>
  <c r="BU43" i="55"/>
  <c r="BU4" i="57" s="1"/>
  <c r="G32" i="59"/>
  <c r="AM121" i="59"/>
  <c r="E9" i="57"/>
  <c r="E39" i="57"/>
  <c r="E41" i="57" s="1"/>
  <c r="AM20" i="55"/>
  <c r="AM19" i="55"/>
  <c r="BU152" i="55"/>
  <c r="BU18" i="57" s="1"/>
  <c r="BU20" i="57" s="1"/>
  <c r="BR9" i="57"/>
  <c r="BR39" i="57"/>
  <c r="BR41" i="57" s="1"/>
  <c r="F9" i="57"/>
  <c r="F39" i="57"/>
  <c r="F41" i="57" s="1"/>
  <c r="AM6" i="55"/>
  <c r="AM7" i="55"/>
  <c r="BT28" i="57"/>
  <c r="BW100" i="59"/>
  <c r="BW127" i="59"/>
  <c r="G95" i="59"/>
  <c r="G123" i="59"/>
  <c r="AL97" i="59"/>
  <c r="AL124" i="59"/>
  <c r="G94" i="59"/>
  <c r="G122" i="59"/>
  <c r="H100" i="59"/>
  <c r="H127" i="59"/>
  <c r="AL99" i="59"/>
  <c r="AL126" i="59"/>
  <c r="BW97" i="59"/>
  <c r="BW124" i="59"/>
  <c r="BV94" i="59"/>
  <c r="BV122" i="59"/>
  <c r="H97" i="59"/>
  <c r="H124" i="59"/>
  <c r="AL100" i="59"/>
  <c r="AL127" i="59"/>
  <c r="BW98" i="59"/>
  <c r="BW125" i="59"/>
  <c r="H98" i="59"/>
  <c r="H125" i="59"/>
  <c r="BV95" i="59"/>
  <c r="BV123" i="59"/>
  <c r="AL98" i="59"/>
  <c r="AL125" i="59"/>
  <c r="BW99" i="59"/>
  <c r="BW126" i="59"/>
  <c r="H99" i="59"/>
  <c r="H126" i="59"/>
  <c r="H10" i="58"/>
  <c r="AM56" i="59"/>
  <c r="AM99" i="59"/>
  <c r="BX92" i="59"/>
  <c r="AM57" i="59"/>
  <c r="AM100" i="59"/>
  <c r="AM55" i="59"/>
  <c r="AM98" i="59"/>
  <c r="AL57" i="59"/>
  <c r="BW55" i="59"/>
  <c r="H55" i="59"/>
  <c r="BW56" i="59"/>
  <c r="BU102" i="59"/>
  <c r="BW57" i="59"/>
  <c r="BU58" i="59"/>
  <c r="H57" i="59"/>
  <c r="AL54" i="59"/>
  <c r="AL55" i="59"/>
  <c r="H56" i="59"/>
  <c r="AL56" i="59"/>
  <c r="BW54" i="59"/>
  <c r="H54" i="59"/>
  <c r="AM25" i="59"/>
  <c r="AL25" i="59"/>
  <c r="AU9" i="55"/>
  <c r="O22" i="59"/>
  <c r="O145" i="59" s="1"/>
  <c r="BW19" i="55"/>
  <c r="BW175" i="55" s="1"/>
  <c r="BW19" i="57" s="1"/>
  <c r="BW25" i="59"/>
  <c r="BW148" i="59" s="1"/>
  <c r="H25" i="59"/>
  <c r="H148" i="59" s="1"/>
  <c r="AN58" i="58"/>
  <c r="J59" i="58"/>
  <c r="J58" i="58"/>
  <c r="J5" i="58" s="1"/>
  <c r="K240" i="53"/>
  <c r="Q51" i="51"/>
  <c r="L227" i="53"/>
  <c r="M177" i="55" s="1"/>
  <c r="G105" i="55"/>
  <c r="G128" i="55" s="1"/>
  <c r="G82" i="55"/>
  <c r="G174" i="55"/>
  <c r="G106" i="55"/>
  <c r="G83" i="55"/>
  <c r="G175" i="55"/>
  <c r="N211" i="53"/>
  <c r="N213" i="53" s="1"/>
  <c r="L226" i="53"/>
  <c r="M176" i="55" s="1"/>
  <c r="M210" i="53"/>
  <c r="M228" i="53" s="1"/>
  <c r="N178" i="55" s="1"/>
  <c r="N172" i="55"/>
  <c r="L210" i="54"/>
  <c r="L230" i="54" s="1"/>
  <c r="AS180" i="55" s="1"/>
  <c r="DE180" i="55" s="1"/>
  <c r="AS172" i="55"/>
  <c r="L229" i="53"/>
  <c r="M179" i="55" s="1"/>
  <c r="BV128" i="55"/>
  <c r="L200" i="53"/>
  <c r="L201" i="53" s="1"/>
  <c r="BY172" i="55"/>
  <c r="L230" i="53"/>
  <c r="M180" i="55" s="1"/>
  <c r="G59" i="55"/>
  <c r="G36" i="55"/>
  <c r="G60" i="55"/>
  <c r="G37" i="55"/>
  <c r="H6" i="55"/>
  <c r="I262" i="54"/>
  <c r="AP78" i="51" s="1"/>
  <c r="AP77" i="51"/>
  <c r="BW6" i="55"/>
  <c r="AL6" i="55"/>
  <c r="P207" i="53"/>
  <c r="P208" i="53" s="1"/>
  <c r="Q4" i="55"/>
  <c r="BX15" i="55"/>
  <c r="BX29" i="59" s="1"/>
  <c r="BX152" i="59" s="1"/>
  <c r="BX12" i="55"/>
  <c r="BX26" i="59" s="1"/>
  <c r="BX53" i="59" s="1"/>
  <c r="BX16" i="55"/>
  <c r="BX30" i="59" s="1"/>
  <c r="BX14" i="55"/>
  <c r="BX28" i="59" s="1"/>
  <c r="BX151" i="59" s="1"/>
  <c r="BX11" i="55"/>
  <c r="BX13" i="55"/>
  <c r="BX27" i="59" s="1"/>
  <c r="BX150" i="59" s="1"/>
  <c r="AL7" i="55"/>
  <c r="AL20" i="55"/>
  <c r="AL19" i="55"/>
  <c r="O207" i="53"/>
  <c r="O211" i="53" s="1"/>
  <c r="P4" i="55"/>
  <c r="N207" i="54"/>
  <c r="N211" i="54" s="1"/>
  <c r="AU4" i="55"/>
  <c r="AN14" i="55"/>
  <c r="AN28" i="59" s="1"/>
  <c r="AN151" i="59" s="1"/>
  <c r="AN12" i="55"/>
  <c r="AN26" i="59" s="1"/>
  <c r="AN53" i="59" s="1"/>
  <c r="AN13" i="55"/>
  <c r="AN27" i="59" s="1"/>
  <c r="AN150" i="59" s="1"/>
  <c r="AN11" i="55"/>
  <c r="AN15" i="55"/>
  <c r="AN29" i="59" s="1"/>
  <c r="AN152" i="59" s="1"/>
  <c r="AN16" i="55"/>
  <c r="AN30" i="59" s="1"/>
  <c r="BW7" i="55"/>
  <c r="H7" i="55"/>
  <c r="H19" i="55"/>
  <c r="H20" i="55"/>
  <c r="S25" i="51"/>
  <c r="R36" i="53" s="1"/>
  <c r="R42" i="53" s="1"/>
  <c r="O162" i="53"/>
  <c r="K236" i="54"/>
  <c r="K239" i="54" s="1"/>
  <c r="K244" i="54" s="1"/>
  <c r="P81" i="53"/>
  <c r="Q61" i="51" s="1"/>
  <c r="P165" i="53"/>
  <c r="Q9" i="55" s="1"/>
  <c r="N162" i="54"/>
  <c r="AB107" i="53"/>
  <c r="AB108" i="53" s="1"/>
  <c r="AC53" i="51" s="1"/>
  <c r="BI53" i="51" s="1"/>
  <c r="AB113" i="53"/>
  <c r="AB114" i="53" s="1"/>
  <c r="AB109" i="53"/>
  <c r="AB110" i="53" s="1"/>
  <c r="AC62" i="51" s="1"/>
  <c r="BI62" i="51" s="1"/>
  <c r="AB111" i="53"/>
  <c r="AB112" i="53" s="1"/>
  <c r="J220" i="54"/>
  <c r="J224" i="54" s="1"/>
  <c r="J221" i="54"/>
  <c r="K219" i="54"/>
  <c r="K218" i="54"/>
  <c r="Q58" i="51"/>
  <c r="Q72" i="51" s="1"/>
  <c r="I252" i="54"/>
  <c r="S52" i="51"/>
  <c r="S54" i="51" s="1"/>
  <c r="R37" i="53"/>
  <c r="AD43" i="53" s="1"/>
  <c r="Q67" i="51"/>
  <c r="AW67" i="51" s="1"/>
  <c r="P79" i="53"/>
  <c r="N232" i="53"/>
  <c r="N233" i="53" s="1"/>
  <c r="N209" i="53"/>
  <c r="P51" i="51"/>
  <c r="AW52" i="51"/>
  <c r="AW54" i="51" s="1"/>
  <c r="P37" i="54"/>
  <c r="AB43" i="54" s="1"/>
  <c r="AW48" i="51"/>
  <c r="AW51" i="51" s="1"/>
  <c r="P36" i="54"/>
  <c r="P42" i="54" s="1"/>
  <c r="AX59" i="51"/>
  <c r="Q38" i="54"/>
  <c r="T160" i="54"/>
  <c r="M232" i="54"/>
  <c r="M233" i="54" s="1"/>
  <c r="M209" i="54"/>
  <c r="DF172" i="55" s="1"/>
  <c r="AB68" i="51"/>
  <c r="BH68" i="51" s="1"/>
  <c r="AB50" i="51"/>
  <c r="U141" i="54"/>
  <c r="U142" i="54" s="1"/>
  <c r="U139" i="54"/>
  <c r="U140" i="54" s="1"/>
  <c r="U137" i="54"/>
  <c r="U138" i="54" s="1"/>
  <c r="AU61" i="51"/>
  <c r="O71" i="51"/>
  <c r="O73" i="51" s="1"/>
  <c r="O64" i="51"/>
  <c r="AW65" i="51"/>
  <c r="P40" i="54"/>
  <c r="U46" i="54" s="1"/>
  <c r="U159" i="54" s="1"/>
  <c r="P67" i="51"/>
  <c r="O79" i="53"/>
  <c r="AW58" i="51"/>
  <c r="AW72" i="51" s="1"/>
  <c r="AX55" i="51"/>
  <c r="Q39" i="54"/>
  <c r="V45" i="54" s="1"/>
  <c r="AV57" i="51"/>
  <c r="AV58" i="51" s="1"/>
  <c r="AV72" i="51" s="1"/>
  <c r="P58" i="51"/>
  <c r="P72" i="51" s="1"/>
  <c r="P162" i="53"/>
  <c r="N81" i="54"/>
  <c r="N165" i="54"/>
  <c r="K221" i="53"/>
  <c r="K220" i="53"/>
  <c r="K224" i="53" s="1"/>
  <c r="L236" i="53"/>
  <c r="L239" i="53" s="1"/>
  <c r="R48" i="51"/>
  <c r="Q36" i="53"/>
  <c r="Q42" i="53" s="1"/>
  <c r="Q70" i="51"/>
  <c r="L219" i="53"/>
  <c r="L218" i="53"/>
  <c r="O81" i="53"/>
  <c r="P61" i="51" s="1"/>
  <c r="O165" i="53"/>
  <c r="P9" i="55" s="1"/>
  <c r="P22" i="59" s="1"/>
  <c r="K199" i="54"/>
  <c r="K200" i="54" s="1"/>
  <c r="L166" i="54"/>
  <c r="BY9" i="55" s="1"/>
  <c r="BY22" i="59" s="1"/>
  <c r="BY145" i="59" s="1"/>
  <c r="AC107" i="53"/>
  <c r="AC108" i="53" s="1"/>
  <c r="AD53" i="51" s="1"/>
  <c r="BJ53" i="51" s="1"/>
  <c r="AC113" i="53"/>
  <c r="AC114" i="53" s="1"/>
  <c r="AC109" i="53"/>
  <c r="AC110" i="53" s="1"/>
  <c r="AD62" i="51" s="1"/>
  <c r="BJ62" i="51" s="1"/>
  <c r="AC111" i="53"/>
  <c r="AC112" i="53" s="1"/>
  <c r="O80" i="54"/>
  <c r="O72" i="54"/>
  <c r="O73" i="54" s="1"/>
  <c r="O78" i="54"/>
  <c r="O79" i="54" s="1"/>
  <c r="O74" i="54"/>
  <c r="O75" i="54" s="1"/>
  <c r="O47" i="54"/>
  <c r="AU67" i="51"/>
  <c r="AU70" i="51" s="1"/>
  <c r="O70" i="51"/>
  <c r="J245" i="54"/>
  <c r="J252" i="54" s="1"/>
  <c r="S59" i="51"/>
  <c r="R38" i="53"/>
  <c r="AT71" i="51"/>
  <c r="AT73" i="51" s="1"/>
  <c r="AT64" i="51"/>
  <c r="J202" i="54"/>
  <c r="J203" i="54"/>
  <c r="J201" i="54"/>
  <c r="J205" i="54"/>
  <c r="J206" i="54"/>
  <c r="J204" i="54"/>
  <c r="AV51" i="51"/>
  <c r="M214" i="54"/>
  <c r="M212" i="54"/>
  <c r="M213" i="54"/>
  <c r="M215" i="54"/>
  <c r="R46" i="51"/>
  <c r="V137" i="53"/>
  <c r="W56" i="51" s="1"/>
  <c r="BC56" i="51" s="1"/>
  <c r="V139" i="53"/>
  <c r="V141" i="53"/>
  <c r="R65" i="51"/>
  <c r="Q40" i="53"/>
  <c r="V46" i="53" s="1"/>
  <c r="V159" i="53" s="1"/>
  <c r="M199" i="53"/>
  <c r="N166" i="53"/>
  <c r="S55" i="51"/>
  <c r="R39" i="53"/>
  <c r="W45" i="53" s="1"/>
  <c r="U140" i="53"/>
  <c r="V63" i="51" s="1"/>
  <c r="BB63" i="51" s="1"/>
  <c r="U138" i="53"/>
  <c r="U160" i="53"/>
  <c r="V66" i="51" s="1"/>
  <c r="BB66" i="51" s="1"/>
  <c r="U142" i="53"/>
  <c r="V69" i="51" s="1"/>
  <c r="BB69" i="51" s="1"/>
  <c r="T24" i="51"/>
  <c r="AZ36" i="51"/>
  <c r="AZ38" i="51" s="1"/>
  <c r="AZ20" i="59" s="1"/>
  <c r="AY15" i="51"/>
  <c r="AY17" i="51" s="1"/>
  <c r="AX25" i="51"/>
  <c r="T29" i="51"/>
  <c r="AY29" i="51"/>
  <c r="T33" i="51"/>
  <c r="T35" i="51" s="1"/>
  <c r="AX39" i="51"/>
  <c r="AY24" i="51"/>
  <c r="S44" i="51"/>
  <c r="T21" i="51"/>
  <c r="S39" i="51"/>
  <c r="BA12" i="51"/>
  <c r="S43" i="51"/>
  <c r="U27" i="51"/>
  <c r="U14" i="59" s="1"/>
  <c r="V26" i="51"/>
  <c r="U28" i="51"/>
  <c r="U15" i="59" s="1"/>
  <c r="BA26" i="51"/>
  <c r="W10" i="51"/>
  <c r="BB10" i="51"/>
  <c r="V12" i="51"/>
  <c r="AZ31" i="51"/>
  <c r="AZ16" i="59" s="1"/>
  <c r="AZ32" i="51"/>
  <c r="AZ17" i="59" s="1"/>
  <c r="AZ34" i="51"/>
  <c r="AZ18" i="59" s="1"/>
  <c r="AX44" i="51"/>
  <c r="AY21" i="51"/>
  <c r="T37" i="51"/>
  <c r="T19" i="59" s="1"/>
  <c r="T38" i="51"/>
  <c r="AZ28" i="51"/>
  <c r="AZ15" i="59" s="1"/>
  <c r="AZ27" i="51"/>
  <c r="AZ14" i="59" s="1"/>
  <c r="U36" i="51"/>
  <c r="V30" i="51"/>
  <c r="BA30" i="51"/>
  <c r="U34" i="51"/>
  <c r="U18" i="59" s="1"/>
  <c r="U31" i="51"/>
  <c r="U16" i="59" s="1"/>
  <c r="U32" i="51"/>
  <c r="U17" i="59" s="1"/>
  <c r="U19" i="51"/>
  <c r="U8" i="59" s="1"/>
  <c r="BA18" i="51"/>
  <c r="U22" i="51"/>
  <c r="U10" i="59" s="1"/>
  <c r="U23" i="51"/>
  <c r="U11" i="59" s="1"/>
  <c r="V18" i="51"/>
  <c r="U20" i="51"/>
  <c r="U9" i="59" s="1"/>
  <c r="AZ13" i="51"/>
  <c r="AZ12" i="59" s="1"/>
  <c r="AZ14" i="51"/>
  <c r="AZ13" i="59" s="1"/>
  <c r="AY37" i="51"/>
  <c r="AY19" i="59" s="1"/>
  <c r="AY38" i="51"/>
  <c r="AY20" i="59" s="1"/>
  <c r="AW46" i="51"/>
  <c r="U13" i="51"/>
  <c r="U12" i="59" s="1"/>
  <c r="U14" i="51"/>
  <c r="U13" i="59" s="1"/>
  <c r="AZ20" i="51"/>
  <c r="AZ9" i="59" s="1"/>
  <c r="AZ23" i="51"/>
  <c r="AZ11" i="59" s="1"/>
  <c r="AZ22" i="51"/>
  <c r="AZ10" i="59" s="1"/>
  <c r="AZ19" i="51"/>
  <c r="AZ8" i="59" s="1"/>
  <c r="AX43" i="51"/>
  <c r="AX17" i="51"/>
  <c r="AY33" i="51"/>
  <c r="AY35" i="51" s="1"/>
  <c r="T15" i="51"/>
  <c r="CV152" i="55" l="1"/>
  <c r="S75" i="59"/>
  <c r="AJ18" i="57"/>
  <c r="AJ20" i="57" s="1"/>
  <c r="AJ149" i="59" s="1"/>
  <c r="AJ155" i="59" s="1"/>
  <c r="BU149" i="59"/>
  <c r="BU155" i="59" s="1"/>
  <c r="I151" i="59"/>
  <c r="BV24" i="57"/>
  <c r="L222" i="54"/>
  <c r="L234" i="54" s="1"/>
  <c r="L235" i="54" s="1"/>
  <c r="K261" i="53"/>
  <c r="L216" i="54"/>
  <c r="L217" i="54"/>
  <c r="L223" i="54"/>
  <c r="AX75" i="59"/>
  <c r="I11" i="58"/>
  <c r="I6" i="58"/>
  <c r="BT8" i="57"/>
  <c r="BT38" i="57"/>
  <c r="H51" i="59"/>
  <c r="H147" i="59"/>
  <c r="AJ158" i="55"/>
  <c r="AJ9" i="57" s="1"/>
  <c r="BS30" i="57"/>
  <c r="BS41" i="57"/>
  <c r="AJ8" i="57"/>
  <c r="AJ38" i="57"/>
  <c r="CV135" i="55"/>
  <c r="CV27" i="57"/>
  <c r="BT9" i="57"/>
  <c r="BT39" i="57"/>
  <c r="AJ28" i="57"/>
  <c r="AJ30" i="57" s="1"/>
  <c r="BU5" i="57"/>
  <c r="BU35" i="57"/>
  <c r="BV129" i="55"/>
  <c r="BV17" i="57" s="1"/>
  <c r="BV26" i="57"/>
  <c r="BT30" i="57"/>
  <c r="AK105" i="55"/>
  <c r="BV66" i="55"/>
  <c r="BU135" i="55"/>
  <c r="BV112" i="55"/>
  <c r="K245" i="53"/>
  <c r="K254" i="53" s="1"/>
  <c r="L75" i="51" s="1"/>
  <c r="J240" i="54"/>
  <c r="J261" i="54" s="1"/>
  <c r="M226" i="53"/>
  <c r="N176" i="55" s="1"/>
  <c r="L226" i="54"/>
  <c r="AS176" i="55" s="1"/>
  <c r="DE176" i="55" s="1"/>
  <c r="H252" i="54"/>
  <c r="H254" i="54"/>
  <c r="AO75" i="51" s="1"/>
  <c r="I24" i="59"/>
  <c r="I101" i="59"/>
  <c r="I153" i="59"/>
  <c r="I154" i="59"/>
  <c r="I150" i="59"/>
  <c r="I152" i="59"/>
  <c r="AM124" i="59"/>
  <c r="AM53" i="59"/>
  <c r="J262" i="53"/>
  <c r="K78" i="51" s="1"/>
  <c r="M216" i="53"/>
  <c r="M222" i="53"/>
  <c r="M234" i="53" s="1"/>
  <c r="M235" i="53" s="1"/>
  <c r="K77" i="51"/>
  <c r="I7" i="55"/>
  <c r="I20" i="55"/>
  <c r="M223" i="53"/>
  <c r="J252" i="53"/>
  <c r="I98" i="59"/>
  <c r="I125" i="59"/>
  <c r="I100" i="59"/>
  <c r="I127" i="59"/>
  <c r="I99" i="59"/>
  <c r="I126" i="59"/>
  <c r="I97" i="59"/>
  <c r="I124" i="59"/>
  <c r="I10" i="58"/>
  <c r="AM54" i="59"/>
  <c r="AM97" i="59"/>
  <c r="I54" i="59"/>
  <c r="I56" i="59"/>
  <c r="I55" i="59"/>
  <c r="I57" i="59"/>
  <c r="I6" i="55"/>
  <c r="I19" i="55"/>
  <c r="I25" i="59"/>
  <c r="M217" i="53"/>
  <c r="AK94" i="59"/>
  <c r="AK122" i="59"/>
  <c r="AM122" i="59"/>
  <c r="AL148" i="59"/>
  <c r="AK95" i="59"/>
  <c r="J15" i="55"/>
  <c r="J29" i="59" s="1"/>
  <c r="J152" i="59" s="1"/>
  <c r="J12" i="55"/>
  <c r="J26" i="59" s="1"/>
  <c r="J53" i="59" s="1"/>
  <c r="J11" i="55"/>
  <c r="P145" i="59"/>
  <c r="L236" i="54"/>
  <c r="BU27" i="57"/>
  <c r="CX150" i="59"/>
  <c r="AZ83" i="59"/>
  <c r="AZ110" i="59"/>
  <c r="AZ40" i="59"/>
  <c r="AZ66" i="59"/>
  <c r="U44" i="59"/>
  <c r="U87" i="59"/>
  <c r="U114" i="59"/>
  <c r="U70" i="59"/>
  <c r="T47" i="59"/>
  <c r="T117" i="59"/>
  <c r="T90" i="59"/>
  <c r="T73" i="59"/>
  <c r="U89" i="59"/>
  <c r="U46" i="59"/>
  <c r="U116" i="59"/>
  <c r="U72" i="59"/>
  <c r="AZ118" i="59"/>
  <c r="AZ48" i="59"/>
  <c r="AZ74" i="59"/>
  <c r="AZ91" i="59"/>
  <c r="CW101" i="59"/>
  <c r="CW153" i="59"/>
  <c r="CX101" i="59"/>
  <c r="CX153" i="59"/>
  <c r="AL51" i="59"/>
  <c r="AL147" i="59"/>
  <c r="U111" i="59"/>
  <c r="U41" i="59"/>
  <c r="U84" i="59"/>
  <c r="U67" i="59"/>
  <c r="U113" i="59"/>
  <c r="U43" i="59"/>
  <c r="U69" i="59"/>
  <c r="U86" i="59"/>
  <c r="CX152" i="59"/>
  <c r="CY153" i="59"/>
  <c r="BW51" i="59"/>
  <c r="BW147" i="59"/>
  <c r="U40" i="59"/>
  <c r="U83" i="59"/>
  <c r="U110" i="59"/>
  <c r="U66" i="59"/>
  <c r="AZ116" i="59"/>
  <c r="AZ46" i="59"/>
  <c r="AZ89" i="59"/>
  <c r="AZ72" i="59"/>
  <c r="CY150" i="59"/>
  <c r="AZ88" i="59"/>
  <c r="AZ115" i="59"/>
  <c r="AZ45" i="59"/>
  <c r="AZ71" i="59"/>
  <c r="U42" i="59"/>
  <c r="U68" i="59"/>
  <c r="U85" i="59"/>
  <c r="U112" i="59"/>
  <c r="AN101" i="59"/>
  <c r="AN153" i="59"/>
  <c r="AY48" i="59"/>
  <c r="AY118" i="59"/>
  <c r="AY91" i="59"/>
  <c r="AY74" i="59"/>
  <c r="AZ85" i="59"/>
  <c r="AZ112" i="59"/>
  <c r="AZ42" i="59"/>
  <c r="AZ68" i="59"/>
  <c r="AZ87" i="59"/>
  <c r="AZ44" i="59"/>
  <c r="AZ114" i="59"/>
  <c r="AZ70" i="59"/>
  <c r="AM51" i="59"/>
  <c r="AM147" i="59"/>
  <c r="AK51" i="59"/>
  <c r="AK147" i="59"/>
  <c r="AY117" i="59"/>
  <c r="AY47" i="59"/>
  <c r="AY73" i="59"/>
  <c r="AY90" i="59"/>
  <c r="AZ43" i="59"/>
  <c r="AZ69" i="59"/>
  <c r="AZ113" i="59"/>
  <c r="AZ86" i="59"/>
  <c r="AM52" i="59"/>
  <c r="AM148" i="59"/>
  <c r="AK52" i="59"/>
  <c r="AK148" i="59"/>
  <c r="CX151" i="59"/>
  <c r="AZ84" i="59"/>
  <c r="AZ111" i="59"/>
  <c r="AZ41" i="59"/>
  <c r="AZ67" i="59"/>
  <c r="U88" i="59"/>
  <c r="U115" i="59"/>
  <c r="U45" i="59"/>
  <c r="U71" i="59"/>
  <c r="T44" i="51"/>
  <c r="T20" i="59"/>
  <c r="BX101" i="59"/>
  <c r="BX153" i="59"/>
  <c r="CY152" i="59"/>
  <c r="CY151" i="59"/>
  <c r="AM154" i="59"/>
  <c r="AL154" i="59"/>
  <c r="CX154" i="59"/>
  <c r="CY154" i="59"/>
  <c r="CW53" i="59"/>
  <c r="CW54" i="59"/>
  <c r="CW97" i="59"/>
  <c r="CW124" i="59"/>
  <c r="J11" i="58"/>
  <c r="J6" i="58"/>
  <c r="CW25" i="59"/>
  <c r="CW148" i="59" s="1"/>
  <c r="CW24" i="59"/>
  <c r="CW147" i="59" s="1"/>
  <c r="CX127" i="59"/>
  <c r="CX100" i="59"/>
  <c r="CX57" i="59"/>
  <c r="CW57" i="59"/>
  <c r="CW127" i="59"/>
  <c r="CW100" i="59"/>
  <c r="CX125" i="59"/>
  <c r="CX55" i="59"/>
  <c r="CX98" i="59"/>
  <c r="BV29" i="57"/>
  <c r="CW56" i="59"/>
  <c r="CW99" i="59"/>
  <c r="CW126" i="59"/>
  <c r="CX25" i="59"/>
  <c r="CX24" i="59"/>
  <c r="CY51" i="59"/>
  <c r="CY122" i="59"/>
  <c r="CY94" i="59"/>
  <c r="CX53" i="59"/>
  <c r="CX124" i="59"/>
  <c r="CX54" i="59"/>
  <c r="CX97" i="59"/>
  <c r="BV181" i="55"/>
  <c r="CW55" i="59"/>
  <c r="CW125" i="59"/>
  <c r="CW98" i="59"/>
  <c r="CX56" i="59"/>
  <c r="CX126" i="59"/>
  <c r="CX99" i="59"/>
  <c r="DF49" i="59"/>
  <c r="DF120" i="59"/>
  <c r="DF92" i="59"/>
  <c r="CZ50" i="59"/>
  <c r="CZ93" i="59"/>
  <c r="CZ121" i="59"/>
  <c r="CZ31" i="59"/>
  <c r="CZ154" i="59" s="1"/>
  <c r="BX24" i="59"/>
  <c r="BV23" i="57"/>
  <c r="CY52" i="59"/>
  <c r="CY123" i="59"/>
  <c r="CY96" i="59"/>
  <c r="CY95" i="59"/>
  <c r="P49" i="59"/>
  <c r="J50" i="59"/>
  <c r="J31" i="59"/>
  <c r="J154" i="59" s="1"/>
  <c r="AT120" i="59"/>
  <c r="AT49" i="59"/>
  <c r="AN121" i="59"/>
  <c r="AN50" i="59"/>
  <c r="AN24" i="59"/>
  <c r="AN31" i="59"/>
  <c r="AN154" i="59" s="1"/>
  <c r="O49" i="59"/>
  <c r="AL96" i="59"/>
  <c r="AL52" i="59"/>
  <c r="H96" i="59"/>
  <c r="H52" i="59"/>
  <c r="BY120" i="59"/>
  <c r="BY49" i="59"/>
  <c r="BY31" i="59"/>
  <c r="BY154" i="59" s="1"/>
  <c r="BW96" i="59"/>
  <c r="BW52" i="59"/>
  <c r="AM123" i="59"/>
  <c r="AM96" i="59"/>
  <c r="AK123" i="59"/>
  <c r="AK96" i="59"/>
  <c r="U39" i="59"/>
  <c r="U82" i="59"/>
  <c r="U109" i="59"/>
  <c r="U65" i="59"/>
  <c r="AK174" i="55"/>
  <c r="CW174" i="55" s="1"/>
  <c r="AZ80" i="59"/>
  <c r="AZ107" i="59"/>
  <c r="AZ37" i="59"/>
  <c r="AZ63" i="59"/>
  <c r="U81" i="59"/>
  <c r="U108" i="59"/>
  <c r="U38" i="59"/>
  <c r="U64" i="59"/>
  <c r="U37" i="59"/>
  <c r="U80" i="59"/>
  <c r="U107" i="59"/>
  <c r="U63" i="59"/>
  <c r="AY75" i="59"/>
  <c r="AZ36" i="59"/>
  <c r="AZ79" i="59"/>
  <c r="AZ106" i="59"/>
  <c r="AZ62" i="59"/>
  <c r="U79" i="59"/>
  <c r="U106" i="59"/>
  <c r="U36" i="59"/>
  <c r="U62" i="59"/>
  <c r="AZ81" i="59"/>
  <c r="AZ108" i="59"/>
  <c r="AZ38" i="59"/>
  <c r="AZ64" i="59"/>
  <c r="AZ82" i="59"/>
  <c r="AZ109" i="59"/>
  <c r="AZ39" i="59"/>
  <c r="AZ65" i="59"/>
  <c r="AT92" i="59"/>
  <c r="AN93" i="59"/>
  <c r="AK175" i="55"/>
  <c r="CW175" i="55" s="1"/>
  <c r="AK83" i="55"/>
  <c r="CW83" i="55" s="1"/>
  <c r="CX19" i="55"/>
  <c r="CX20" i="55"/>
  <c r="AK37" i="55"/>
  <c r="CW37" i="55" s="1"/>
  <c r="AK59" i="55"/>
  <c r="CW59" i="55" s="1"/>
  <c r="AK106" i="55"/>
  <c r="CW106" i="55" s="1"/>
  <c r="CW7" i="55"/>
  <c r="CX7" i="55"/>
  <c r="CW19" i="55"/>
  <c r="CW20" i="55"/>
  <c r="AK36" i="55"/>
  <c r="CW36" i="55" s="1"/>
  <c r="AU22" i="59"/>
  <c r="AU145" i="59" s="1"/>
  <c r="DG9" i="55"/>
  <c r="DG22" i="59" s="1"/>
  <c r="DG145" i="59" s="1"/>
  <c r="BU158" i="55"/>
  <c r="AK60" i="55"/>
  <c r="CW60" i="55" s="1"/>
  <c r="CZ13" i="55"/>
  <c r="CZ27" i="59" s="1"/>
  <c r="CZ150" i="59" s="1"/>
  <c r="CZ12" i="55"/>
  <c r="CZ26" i="59" s="1"/>
  <c r="CZ16" i="55"/>
  <c r="CZ30" i="59" s="1"/>
  <c r="CZ11" i="55"/>
  <c r="CZ14" i="55"/>
  <c r="CZ28" i="59" s="1"/>
  <c r="CZ151" i="59" s="1"/>
  <c r="CZ15" i="55"/>
  <c r="CZ29" i="59" s="1"/>
  <c r="CZ152" i="59" s="1"/>
  <c r="AK82" i="55"/>
  <c r="CW82" i="55" s="1"/>
  <c r="BV89" i="55"/>
  <c r="BV6" i="57" s="1"/>
  <c r="CW6" i="55"/>
  <c r="CX6" i="55"/>
  <c r="BU34" i="57"/>
  <c r="BU37" i="57"/>
  <c r="J121" i="59"/>
  <c r="J93" i="59"/>
  <c r="BU40" i="57"/>
  <c r="BW174" i="55"/>
  <c r="BW181" i="55" s="1"/>
  <c r="BW10" i="57" s="1"/>
  <c r="J13" i="55"/>
  <c r="J27" i="59" s="1"/>
  <c r="J14" i="55"/>
  <c r="J28" i="59" s="1"/>
  <c r="J16" i="55"/>
  <c r="J30" i="59" s="1"/>
  <c r="G128" i="59"/>
  <c r="N214" i="53"/>
  <c r="N215" i="53"/>
  <c r="N222" i="53" s="1"/>
  <c r="BV25" i="57"/>
  <c r="O208" i="53"/>
  <c r="N212" i="53"/>
  <c r="BV43" i="55"/>
  <c r="BV4" i="57" s="1"/>
  <c r="BU36" i="57"/>
  <c r="BW36" i="55"/>
  <c r="BW37" i="55"/>
  <c r="BW13" i="57" s="1"/>
  <c r="BW59" i="55"/>
  <c r="BW83" i="55"/>
  <c r="BW15" i="57" s="1"/>
  <c r="BW60" i="55"/>
  <c r="BW14" i="57" s="1"/>
  <c r="BW82" i="55"/>
  <c r="BW105" i="55"/>
  <c r="BW106" i="55"/>
  <c r="H32" i="59"/>
  <c r="O120" i="59"/>
  <c r="G23" i="57"/>
  <c r="G13" i="57"/>
  <c r="G19" i="57"/>
  <c r="G29" i="57"/>
  <c r="G24" i="57"/>
  <c r="G14" i="57"/>
  <c r="G15" i="57"/>
  <c r="G25" i="57"/>
  <c r="AM174" i="55"/>
  <c r="CY174" i="55" s="1"/>
  <c r="AM59" i="55"/>
  <c r="CY59" i="55" s="1"/>
  <c r="AM105" i="55"/>
  <c r="CY105" i="55" s="1"/>
  <c r="AM36" i="55"/>
  <c r="CY36" i="55" s="1"/>
  <c r="AM82" i="55"/>
  <c r="CY82" i="55" s="1"/>
  <c r="G129" i="55"/>
  <c r="G26" i="57"/>
  <c r="G16" i="57"/>
  <c r="AM60" i="55"/>
  <c r="CY60" i="55" s="1"/>
  <c r="AM37" i="55"/>
  <c r="CY37" i="55" s="1"/>
  <c r="AM175" i="55"/>
  <c r="CY175" i="55" s="1"/>
  <c r="AM106" i="55"/>
  <c r="CY106" i="55" s="1"/>
  <c r="AM83" i="55"/>
  <c r="CY83" i="55" s="1"/>
  <c r="P120" i="59"/>
  <c r="BU28" i="57"/>
  <c r="AL95" i="59"/>
  <c r="AL123" i="59"/>
  <c r="H95" i="59"/>
  <c r="H123" i="59"/>
  <c r="BW94" i="59"/>
  <c r="BW122" i="59"/>
  <c r="BX99" i="59"/>
  <c r="BX126" i="59"/>
  <c r="BW95" i="59"/>
  <c r="BW123" i="59"/>
  <c r="AN98" i="59"/>
  <c r="AN125" i="59"/>
  <c r="BX98" i="59"/>
  <c r="BX125" i="59"/>
  <c r="AN100" i="59"/>
  <c r="AN127" i="59"/>
  <c r="AN97" i="59"/>
  <c r="AN124" i="59"/>
  <c r="BX97" i="59"/>
  <c r="BX124" i="59"/>
  <c r="BV128" i="59"/>
  <c r="H94" i="59"/>
  <c r="H122" i="59"/>
  <c r="AN99" i="59"/>
  <c r="AN126" i="59"/>
  <c r="BX100" i="59"/>
  <c r="BX127" i="59"/>
  <c r="AL94" i="59"/>
  <c r="AL122" i="59"/>
  <c r="J10" i="58"/>
  <c r="O92" i="59"/>
  <c r="AM95" i="59"/>
  <c r="BY92" i="59"/>
  <c r="AM94" i="59"/>
  <c r="P92" i="59"/>
  <c r="BX54" i="59"/>
  <c r="G102" i="59"/>
  <c r="AN54" i="59"/>
  <c r="AN56" i="59"/>
  <c r="BX55" i="59"/>
  <c r="AN57" i="59"/>
  <c r="BV102" i="59"/>
  <c r="AN55" i="59"/>
  <c r="BX57" i="59"/>
  <c r="BX56" i="59"/>
  <c r="G58" i="59"/>
  <c r="BV58" i="59"/>
  <c r="G181" i="55"/>
  <c r="AW9" i="55"/>
  <c r="Q22" i="59"/>
  <c r="Q145" i="59" s="1"/>
  <c r="AN25" i="59"/>
  <c r="AN148" i="59" s="1"/>
  <c r="BX19" i="55"/>
  <c r="BX105" i="55" s="1"/>
  <c r="BX25" i="59"/>
  <c r="BX148" i="59" s="1"/>
  <c r="AP59" i="58"/>
  <c r="AY44" i="51"/>
  <c r="S48" i="51"/>
  <c r="G66" i="55"/>
  <c r="L229" i="54"/>
  <c r="AS179" i="55" s="1"/>
  <c r="DE179" i="55" s="1"/>
  <c r="K237" i="54"/>
  <c r="K238" i="54" s="1"/>
  <c r="L225" i="54"/>
  <c r="L227" i="54"/>
  <c r="AS177" i="55" s="1"/>
  <c r="DE177" i="55" s="1"/>
  <c r="L228" i="54"/>
  <c r="AS178" i="55" s="1"/>
  <c r="DE178" i="55" s="1"/>
  <c r="J254" i="54"/>
  <c r="AQ75" i="51" s="1"/>
  <c r="M227" i="53"/>
  <c r="N177" i="55" s="1"/>
  <c r="N210" i="53"/>
  <c r="O172" i="55"/>
  <c r="H105" i="55"/>
  <c r="H128" i="55" s="1"/>
  <c r="H82" i="55"/>
  <c r="H174" i="55"/>
  <c r="L206" i="53"/>
  <c r="BY180" i="55" s="1"/>
  <c r="P211" i="53"/>
  <c r="P215" i="53" s="1"/>
  <c r="M230" i="53"/>
  <c r="N180" i="55" s="1"/>
  <c r="BV151" i="55"/>
  <c r="G151" i="55"/>
  <c r="M229" i="53"/>
  <c r="N179" i="55" s="1"/>
  <c r="AL105" i="55"/>
  <c r="AL82" i="55"/>
  <c r="CX82" i="55" s="1"/>
  <c r="AL174" i="55"/>
  <c r="CX174" i="55" s="1"/>
  <c r="L203" i="53"/>
  <c r="BY177" i="55" s="1"/>
  <c r="AY25" i="51"/>
  <c r="L202" i="53"/>
  <c r="BY176" i="55" s="1"/>
  <c r="M200" i="53"/>
  <c r="M201" i="53" s="1"/>
  <c r="BZ172" i="55"/>
  <c r="M225" i="53"/>
  <c r="AL106" i="55"/>
  <c r="CX106" i="55" s="1"/>
  <c r="AL83" i="55"/>
  <c r="CX83" i="55" s="1"/>
  <c r="AL175" i="55"/>
  <c r="CX175" i="55" s="1"/>
  <c r="H106" i="55"/>
  <c r="H83" i="55"/>
  <c r="H175" i="55"/>
  <c r="M210" i="54"/>
  <c r="M230" i="54" s="1"/>
  <c r="AT180" i="55" s="1"/>
  <c r="DF180" i="55" s="1"/>
  <c r="AT172" i="55"/>
  <c r="L204" i="53"/>
  <c r="BY178" i="55" s="1"/>
  <c r="L205" i="53"/>
  <c r="BY179" i="55" s="1"/>
  <c r="G112" i="55"/>
  <c r="H60" i="55"/>
  <c r="H37" i="55"/>
  <c r="G89" i="55"/>
  <c r="AL59" i="55"/>
  <c r="CX59" i="55" s="1"/>
  <c r="AL60" i="55"/>
  <c r="CX60" i="55" s="1"/>
  <c r="H59" i="55"/>
  <c r="H36" i="55"/>
  <c r="G43" i="55"/>
  <c r="AL36" i="55"/>
  <c r="CX36" i="55" s="1"/>
  <c r="AL37" i="55"/>
  <c r="CX37" i="55" s="1"/>
  <c r="AW70" i="51"/>
  <c r="AN6" i="55"/>
  <c r="K262" i="53"/>
  <c r="L78" i="51" s="1"/>
  <c r="L77" i="51"/>
  <c r="BX6" i="55"/>
  <c r="I256" i="54"/>
  <c r="AP74" i="51"/>
  <c r="AP76" i="51" s="1"/>
  <c r="AP10" i="55"/>
  <c r="O207" i="54"/>
  <c r="O208" i="54" s="1"/>
  <c r="AV4" i="55"/>
  <c r="AV9" i="55"/>
  <c r="N208" i="54"/>
  <c r="AN19" i="55"/>
  <c r="AN20" i="55"/>
  <c r="AQ74" i="51"/>
  <c r="AN7" i="55"/>
  <c r="BX7" i="55"/>
  <c r="BY13" i="55"/>
  <c r="BY27" i="59" s="1"/>
  <c r="BY150" i="59" s="1"/>
  <c r="BY16" i="55"/>
  <c r="BY30" i="59" s="1"/>
  <c r="BY12" i="55"/>
  <c r="BY26" i="59" s="1"/>
  <c r="BY53" i="59" s="1"/>
  <c r="BY15" i="55"/>
  <c r="BY29" i="59" s="1"/>
  <c r="BY152" i="59" s="1"/>
  <c r="BY11" i="55"/>
  <c r="BY14" i="55"/>
  <c r="BY28" i="59" s="1"/>
  <c r="BY151" i="59" s="1"/>
  <c r="M216" i="54"/>
  <c r="M217" i="54"/>
  <c r="L244" i="53"/>
  <c r="L245" i="53" s="1"/>
  <c r="L254" i="53" s="1"/>
  <c r="M75" i="51" s="1"/>
  <c r="U160" i="54"/>
  <c r="AC68" i="51"/>
  <c r="BI68" i="51" s="1"/>
  <c r="AC50" i="51"/>
  <c r="AW61" i="51"/>
  <c r="Q71" i="51"/>
  <c r="Q73" i="51" s="1"/>
  <c r="Q64" i="51"/>
  <c r="AY55" i="51"/>
  <c r="R39" i="54"/>
  <c r="W45" i="54" s="1"/>
  <c r="AX52" i="51"/>
  <c r="AX54" i="51" s="1"/>
  <c r="Q37" i="54"/>
  <c r="AC43" i="54" s="1"/>
  <c r="O81" i="54"/>
  <c r="O165" i="54"/>
  <c r="O232" i="53"/>
  <c r="O233" i="53" s="1"/>
  <c r="O209" i="53"/>
  <c r="L237" i="53"/>
  <c r="L238" i="53" s="1"/>
  <c r="L240" i="53" s="1"/>
  <c r="L261" i="53" s="1"/>
  <c r="AB109" i="54"/>
  <c r="AB110" i="54" s="1"/>
  <c r="AB113" i="54"/>
  <c r="AB114" i="54" s="1"/>
  <c r="AB107" i="54"/>
  <c r="AB108" i="54" s="1"/>
  <c r="AB111" i="54"/>
  <c r="AB112" i="54" s="1"/>
  <c r="N212" i="54"/>
  <c r="N213" i="54"/>
  <c r="N215" i="54"/>
  <c r="N214" i="54"/>
  <c r="AX65" i="51"/>
  <c r="Q40" i="54"/>
  <c r="V46" i="54" s="1"/>
  <c r="V159" i="54" s="1"/>
  <c r="AD68" i="51"/>
  <c r="BJ68" i="51" s="1"/>
  <c r="AD50" i="51"/>
  <c r="AV61" i="51"/>
  <c r="P71" i="51"/>
  <c r="P73" i="51" s="1"/>
  <c r="P64" i="51"/>
  <c r="V139" i="54"/>
  <c r="V140" i="54" s="1"/>
  <c r="V137" i="54"/>
  <c r="V138" i="54" s="1"/>
  <c r="V141" i="54"/>
  <c r="V142" i="54" s="1"/>
  <c r="AY52" i="51"/>
  <c r="AY54" i="51" s="1"/>
  <c r="R37" i="54"/>
  <c r="AD43" i="54" s="1"/>
  <c r="L220" i="53"/>
  <c r="L224" i="53" s="1"/>
  <c r="L221" i="53"/>
  <c r="N232" i="54"/>
  <c r="N233" i="54" s="1"/>
  <c r="N209" i="54"/>
  <c r="DG172" i="55" s="1"/>
  <c r="BH50" i="51"/>
  <c r="AD107" i="53"/>
  <c r="AD108" i="53" s="1"/>
  <c r="AE53" i="51" s="1"/>
  <c r="BK53" i="51" s="1"/>
  <c r="AD113" i="53"/>
  <c r="AD114" i="53" s="1"/>
  <c r="AD109" i="53"/>
  <c r="AD110" i="53" s="1"/>
  <c r="AE62" i="51" s="1"/>
  <c r="BK62" i="51" s="1"/>
  <c r="AD111" i="53"/>
  <c r="AD112" i="53" s="1"/>
  <c r="AY59" i="51"/>
  <c r="R38" i="54"/>
  <c r="O162" i="54"/>
  <c r="L199" i="54"/>
  <c r="L200" i="54" s="1"/>
  <c r="M166" i="54"/>
  <c r="BZ9" i="55" s="1"/>
  <c r="BZ22" i="59" s="1"/>
  <c r="BZ145" i="59" s="1"/>
  <c r="AU71" i="51"/>
  <c r="AU73" i="51" s="1"/>
  <c r="AU64" i="51"/>
  <c r="O213" i="53"/>
  <c r="O214" i="53"/>
  <c r="O215" i="53"/>
  <c r="O212" i="53"/>
  <c r="N228" i="53"/>
  <c r="O178" i="55" s="1"/>
  <c r="N229" i="53"/>
  <c r="O179" i="55" s="1"/>
  <c r="N226" i="53"/>
  <c r="O176" i="55" s="1"/>
  <c r="N230" i="53"/>
  <c r="O180" i="55" s="1"/>
  <c r="N227" i="53"/>
  <c r="O177" i="55" s="1"/>
  <c r="N225" i="53"/>
  <c r="K220" i="54"/>
  <c r="K224" i="54" s="1"/>
  <c r="K221" i="54"/>
  <c r="L219" i="54"/>
  <c r="L218" i="54"/>
  <c r="T59" i="51"/>
  <c r="S38" i="53"/>
  <c r="M223" i="54"/>
  <c r="M222" i="54"/>
  <c r="M234" i="54" s="1"/>
  <c r="M235" i="54" s="1"/>
  <c r="K206" i="54"/>
  <c r="K204" i="54"/>
  <c r="K202" i="54"/>
  <c r="K203" i="54"/>
  <c r="K201" i="54"/>
  <c r="K205" i="54"/>
  <c r="AX48" i="51"/>
  <c r="Q36" i="54"/>
  <c r="Q42" i="54" s="1"/>
  <c r="Q78" i="53"/>
  <c r="Q80" i="53"/>
  <c r="Q74" i="53"/>
  <c r="Q75" i="53" s="1"/>
  <c r="R57" i="51" s="1"/>
  <c r="Q72" i="53"/>
  <c r="Q73" i="53" s="1"/>
  <c r="R49" i="51" s="1"/>
  <c r="AX49" i="51" s="1"/>
  <c r="Q47" i="53"/>
  <c r="Q162" i="53" s="1"/>
  <c r="R80" i="53"/>
  <c r="R74" i="53"/>
  <c r="R75" i="53" s="1"/>
  <c r="S57" i="51" s="1"/>
  <c r="AY57" i="51" s="1"/>
  <c r="R78" i="53"/>
  <c r="R72" i="53"/>
  <c r="R73" i="53" s="1"/>
  <c r="S49" i="51" s="1"/>
  <c r="AY49" i="51" s="1"/>
  <c r="R47" i="53"/>
  <c r="R162" i="53" s="1"/>
  <c r="AY48" i="51"/>
  <c r="R36" i="54"/>
  <c r="R42" i="54" s="1"/>
  <c r="T25" i="51"/>
  <c r="AV67" i="51"/>
  <c r="AV70" i="51" s="1"/>
  <c r="P70" i="51"/>
  <c r="K245" i="54"/>
  <c r="K254" i="54" s="1"/>
  <c r="AR75" i="51" s="1"/>
  <c r="P47" i="54"/>
  <c r="P78" i="54"/>
  <c r="P79" i="54" s="1"/>
  <c r="P74" i="54"/>
  <c r="P75" i="54" s="1"/>
  <c r="P80" i="54"/>
  <c r="P72" i="54"/>
  <c r="P73" i="54" s="1"/>
  <c r="P232" i="53"/>
  <c r="P233" i="53" s="1"/>
  <c r="P209" i="53"/>
  <c r="V142" i="53"/>
  <c r="W69" i="51" s="1"/>
  <c r="BC69" i="51" s="1"/>
  <c r="W137" i="53"/>
  <c r="X56" i="51" s="1"/>
  <c r="BD56" i="51" s="1"/>
  <c r="W141" i="53"/>
  <c r="W139" i="53"/>
  <c r="V160" i="53"/>
  <c r="W66" i="51" s="1"/>
  <c r="BC66" i="51" s="1"/>
  <c r="V140" i="53"/>
  <c r="W63" i="51" s="1"/>
  <c r="BC63" i="51" s="1"/>
  <c r="V138" i="53"/>
  <c r="O166" i="53"/>
  <c r="N199" i="53"/>
  <c r="T55" i="51"/>
  <c r="S39" i="53"/>
  <c r="X45" i="53" s="1"/>
  <c r="AZ37" i="51"/>
  <c r="S65" i="51"/>
  <c r="R40" i="53"/>
  <c r="W46" i="53" s="1"/>
  <c r="W159" i="53" s="1"/>
  <c r="AZ15" i="51"/>
  <c r="AZ17" i="51" s="1"/>
  <c r="U29" i="51"/>
  <c r="S46" i="51"/>
  <c r="U21" i="51"/>
  <c r="AZ21" i="51"/>
  <c r="T39" i="51"/>
  <c r="AX46" i="51"/>
  <c r="AY39" i="51"/>
  <c r="AZ24" i="51"/>
  <c r="AZ44" i="51" s="1"/>
  <c r="AZ29" i="51"/>
  <c r="BA23" i="51"/>
  <c r="BA11" i="59" s="1"/>
  <c r="BA22" i="51"/>
  <c r="BA10" i="59" s="1"/>
  <c r="BA20" i="51"/>
  <c r="BA9" i="59" s="1"/>
  <c r="BA19" i="51"/>
  <c r="BA8" i="59" s="1"/>
  <c r="V13" i="51"/>
  <c r="V12" i="59" s="1"/>
  <c r="V14" i="51"/>
  <c r="V13" i="59" s="1"/>
  <c r="BA28" i="51"/>
  <c r="BA15" i="59" s="1"/>
  <c r="BA27" i="51"/>
  <c r="BA14" i="59" s="1"/>
  <c r="AY43" i="51"/>
  <c r="BA13" i="51"/>
  <c r="BA12" i="59" s="1"/>
  <c r="BA14" i="51"/>
  <c r="BA13" i="59" s="1"/>
  <c r="W18" i="51"/>
  <c r="V19" i="51"/>
  <c r="V8" i="59" s="1"/>
  <c r="BB18" i="51"/>
  <c r="V23" i="51"/>
  <c r="V11" i="59" s="1"/>
  <c r="V20" i="51"/>
  <c r="V9" i="59" s="1"/>
  <c r="V22" i="51"/>
  <c r="V10" i="59" s="1"/>
  <c r="BA31" i="51"/>
  <c r="BA16" i="59" s="1"/>
  <c r="BA32" i="51"/>
  <c r="BA17" i="59" s="1"/>
  <c r="BA34" i="51"/>
  <c r="BA18" i="59" s="1"/>
  <c r="BB12" i="51"/>
  <c r="W30" i="51"/>
  <c r="BB30" i="51"/>
  <c r="V32" i="51"/>
  <c r="V17" i="59" s="1"/>
  <c r="V34" i="51"/>
  <c r="V18" i="59" s="1"/>
  <c r="V31" i="51"/>
  <c r="V16" i="59" s="1"/>
  <c r="AZ33" i="51"/>
  <c r="AZ35" i="51" s="1"/>
  <c r="X10" i="51"/>
  <c r="BC10" i="51"/>
  <c r="W12" i="51"/>
  <c r="V27" i="51"/>
  <c r="V14" i="59" s="1"/>
  <c r="W26" i="51"/>
  <c r="V28" i="51"/>
  <c r="V15" i="59" s="1"/>
  <c r="BB26" i="51"/>
  <c r="U15" i="51"/>
  <c r="T43" i="51"/>
  <c r="T17" i="51"/>
  <c r="U24" i="51"/>
  <c r="U33" i="51"/>
  <c r="U35" i="51" s="1"/>
  <c r="U38" i="51"/>
  <c r="U20" i="59" s="1"/>
  <c r="U37" i="51"/>
  <c r="U19" i="59" s="1"/>
  <c r="V36" i="51"/>
  <c r="BA36" i="51"/>
  <c r="CV18" i="57" l="1"/>
  <c r="CV20" i="57" s="1"/>
  <c r="CV149" i="59" s="1"/>
  <c r="CV155" i="59" s="1"/>
  <c r="CV28" i="57"/>
  <c r="CV158" i="55"/>
  <c r="I51" i="59"/>
  <c r="I147" i="59"/>
  <c r="AJ39" i="57"/>
  <c r="CV30" i="57"/>
  <c r="AK128" i="55"/>
  <c r="CW128" i="55" s="1"/>
  <c r="CW105" i="55"/>
  <c r="BV36" i="57"/>
  <c r="BV5" i="57"/>
  <c r="BV35" i="57"/>
  <c r="T46" i="51"/>
  <c r="I148" i="59"/>
  <c r="I96" i="59"/>
  <c r="I52" i="59"/>
  <c r="CV8" i="57"/>
  <c r="CV38" i="57"/>
  <c r="BT41" i="57"/>
  <c r="BV10" i="57"/>
  <c r="BV40" i="57"/>
  <c r="AK19" i="57"/>
  <c r="BU8" i="57"/>
  <c r="BU38" i="57"/>
  <c r="BV152" i="55"/>
  <c r="BV27" i="57"/>
  <c r="BU30" i="57"/>
  <c r="BV7" i="57"/>
  <c r="BV37" i="57"/>
  <c r="AK15" i="57"/>
  <c r="BU9" i="57"/>
  <c r="BU39" i="57"/>
  <c r="I95" i="59"/>
  <c r="I123" i="59"/>
  <c r="I94" i="59"/>
  <c r="I122" i="59"/>
  <c r="J100" i="59"/>
  <c r="J127" i="59"/>
  <c r="J54" i="59"/>
  <c r="J57" i="59"/>
  <c r="J25" i="59"/>
  <c r="J148" i="59" s="1"/>
  <c r="K59" i="58"/>
  <c r="BV135" i="55"/>
  <c r="I83" i="55"/>
  <c r="I106" i="55"/>
  <c r="I175" i="55"/>
  <c r="BX175" i="55"/>
  <c r="BX19" i="57" s="1"/>
  <c r="I105" i="55"/>
  <c r="I128" i="55" s="1"/>
  <c r="I82" i="55"/>
  <c r="I174" i="55"/>
  <c r="I59" i="55"/>
  <c r="I36" i="55"/>
  <c r="I60" i="55"/>
  <c r="I37" i="55"/>
  <c r="BW43" i="55"/>
  <c r="J262" i="54"/>
  <c r="AQ78" i="51" s="1"/>
  <c r="AQ77" i="51"/>
  <c r="J20" i="55"/>
  <c r="J19" i="55"/>
  <c r="J256" i="53"/>
  <c r="K74" i="51"/>
  <c r="K76" i="51" s="1"/>
  <c r="K10" i="55"/>
  <c r="K23" i="59" s="1"/>
  <c r="K146" i="59" s="1"/>
  <c r="M236" i="53"/>
  <c r="M239" i="53" s="1"/>
  <c r="M244" i="53" s="1"/>
  <c r="N216" i="53"/>
  <c r="N217" i="53"/>
  <c r="M219" i="53"/>
  <c r="M218" i="53"/>
  <c r="L237" i="54"/>
  <c r="L238" i="54" s="1"/>
  <c r="K252" i="53"/>
  <c r="I32" i="59"/>
  <c r="AO10" i="55"/>
  <c r="AO74" i="51"/>
  <c r="AO76" i="51" s="1"/>
  <c r="AO58" i="58" s="1"/>
  <c r="H256" i="54"/>
  <c r="CX148" i="59"/>
  <c r="L239" i="54"/>
  <c r="L244" i="54" s="1"/>
  <c r="L245" i="54" s="1"/>
  <c r="L254" i="54" s="1"/>
  <c r="AS75" i="51" s="1"/>
  <c r="K240" i="54"/>
  <c r="K261" i="54" s="1"/>
  <c r="AY46" i="51"/>
  <c r="CW181" i="55"/>
  <c r="AK29" i="57"/>
  <c r="AK89" i="55"/>
  <c r="AK102" i="59"/>
  <c r="J97" i="59"/>
  <c r="J124" i="59"/>
  <c r="J6" i="55"/>
  <c r="AK181" i="55"/>
  <c r="AK112" i="55"/>
  <c r="AK129" i="55"/>
  <c r="AK26" i="57"/>
  <c r="AK16" i="57"/>
  <c r="AK66" i="55"/>
  <c r="AK24" i="57"/>
  <c r="AK14" i="57"/>
  <c r="G135" i="55"/>
  <c r="M206" i="53"/>
  <c r="BZ180" i="55" s="1"/>
  <c r="M204" i="53"/>
  <c r="BZ178" i="55" s="1"/>
  <c r="CY181" i="55"/>
  <c r="CX43" i="55"/>
  <c r="BA45" i="59"/>
  <c r="BA88" i="59"/>
  <c r="BA115" i="59"/>
  <c r="BA71" i="59"/>
  <c r="V83" i="59"/>
  <c r="V110" i="59"/>
  <c r="V40" i="59"/>
  <c r="V66" i="59"/>
  <c r="J125" i="59"/>
  <c r="J150" i="59"/>
  <c r="CY58" i="59"/>
  <c r="AN51" i="59"/>
  <c r="AN147" i="59"/>
  <c r="CY147" i="59"/>
  <c r="BA111" i="59"/>
  <c r="BA84" i="59"/>
  <c r="BA41" i="59"/>
  <c r="BA67" i="59"/>
  <c r="BY101" i="59"/>
  <c r="BY153" i="59"/>
  <c r="V87" i="59"/>
  <c r="V114" i="59"/>
  <c r="V44" i="59"/>
  <c r="V70" i="59"/>
  <c r="BA110" i="59"/>
  <c r="BA40" i="59"/>
  <c r="BA83" i="59"/>
  <c r="BA66" i="59"/>
  <c r="AZ39" i="51"/>
  <c r="AZ19" i="59"/>
  <c r="BW66" i="55"/>
  <c r="CX147" i="59"/>
  <c r="CY148" i="59"/>
  <c r="U47" i="59"/>
  <c r="U90" i="59"/>
  <c r="U117" i="59"/>
  <c r="U73" i="59"/>
  <c r="BA89" i="59"/>
  <c r="BA116" i="59"/>
  <c r="BA46" i="59"/>
  <c r="BA72" i="59"/>
  <c r="V113" i="59"/>
  <c r="V86" i="59"/>
  <c r="V43" i="59"/>
  <c r="V69" i="59"/>
  <c r="BA85" i="59"/>
  <c r="BA112" i="59"/>
  <c r="BA42" i="59"/>
  <c r="BA68" i="59"/>
  <c r="V89" i="59"/>
  <c r="V116" i="59"/>
  <c r="V46" i="59"/>
  <c r="V72" i="59"/>
  <c r="BA86" i="59"/>
  <c r="BA113" i="59"/>
  <c r="BA43" i="59"/>
  <c r="BA69" i="59"/>
  <c r="BW29" i="57"/>
  <c r="J101" i="59"/>
  <c r="J153" i="59"/>
  <c r="BX51" i="59"/>
  <c r="BX147" i="59"/>
  <c r="BA87" i="59"/>
  <c r="BA114" i="59"/>
  <c r="BA44" i="59"/>
  <c r="BA70" i="59"/>
  <c r="U74" i="59"/>
  <c r="U48" i="59"/>
  <c r="U91" i="59"/>
  <c r="U118" i="59"/>
  <c r="V45" i="59"/>
  <c r="V88" i="59"/>
  <c r="V115" i="59"/>
  <c r="V71" i="59"/>
  <c r="V112" i="59"/>
  <c r="V42" i="59"/>
  <c r="V68" i="59"/>
  <c r="V85" i="59"/>
  <c r="V84" i="59"/>
  <c r="V111" i="59"/>
  <c r="V41" i="59"/>
  <c r="V67" i="59"/>
  <c r="BY24" i="59"/>
  <c r="J99" i="59"/>
  <c r="J151" i="59"/>
  <c r="CZ101" i="59"/>
  <c r="CZ153" i="59"/>
  <c r="CY128" i="59"/>
  <c r="T118" i="59"/>
  <c r="T91" i="59"/>
  <c r="T48" i="59"/>
  <c r="T74" i="59"/>
  <c r="T75" i="59" s="1"/>
  <c r="N234" i="53"/>
  <c r="N235" i="53" s="1"/>
  <c r="N236" i="53"/>
  <c r="CZ100" i="59"/>
  <c r="CZ127" i="59"/>
  <c r="CZ57" i="59"/>
  <c r="N223" i="53"/>
  <c r="DG49" i="59"/>
  <c r="DG120" i="59"/>
  <c r="DG92" i="59"/>
  <c r="BW129" i="55"/>
  <c r="BW17" i="57" s="1"/>
  <c r="BW16" i="57"/>
  <c r="CZ25" i="59"/>
  <c r="CZ148" i="59" s="1"/>
  <c r="CZ24" i="59"/>
  <c r="CZ147" i="59" s="1"/>
  <c r="AP11" i="58"/>
  <c r="AP6" i="58"/>
  <c r="CX51" i="59"/>
  <c r="CX122" i="59"/>
  <c r="CX94" i="59"/>
  <c r="CY43" i="55"/>
  <c r="M203" i="53"/>
  <c r="BZ177" i="55" s="1"/>
  <c r="CZ124" i="59"/>
  <c r="CZ53" i="59"/>
  <c r="CZ54" i="59"/>
  <c r="CZ97" i="59"/>
  <c r="CX52" i="59"/>
  <c r="CX95" i="59"/>
  <c r="CX123" i="59"/>
  <c r="CX96" i="59"/>
  <c r="M202" i="53"/>
  <c r="BZ176" i="55" s="1"/>
  <c r="CX181" i="55"/>
  <c r="CZ98" i="59"/>
  <c r="CZ55" i="59"/>
  <c r="CZ125" i="59"/>
  <c r="CW51" i="59"/>
  <c r="CW122" i="59"/>
  <c r="CW94" i="59"/>
  <c r="CZ56" i="59"/>
  <c r="CZ126" i="59"/>
  <c r="CZ99" i="59"/>
  <c r="M205" i="53"/>
  <c r="BZ179" i="55" s="1"/>
  <c r="CX89" i="55"/>
  <c r="CX36" i="57" s="1"/>
  <c r="J24" i="59"/>
  <c r="CY102" i="59"/>
  <c r="CW52" i="59"/>
  <c r="CW96" i="59"/>
  <c r="CW123" i="59"/>
  <c r="CW95" i="59"/>
  <c r="BZ120" i="59"/>
  <c r="BZ49" i="59"/>
  <c r="BZ31" i="59"/>
  <c r="BZ154" i="59" s="1"/>
  <c r="AU92" i="59"/>
  <c r="AU49" i="59"/>
  <c r="BX96" i="59"/>
  <c r="BX52" i="59"/>
  <c r="AN96" i="59"/>
  <c r="AN52" i="59"/>
  <c r="Q49" i="59"/>
  <c r="V82" i="59"/>
  <c r="V109" i="59"/>
  <c r="V39" i="59"/>
  <c r="V65" i="59"/>
  <c r="CZ7" i="55"/>
  <c r="BA81" i="59"/>
  <c r="BA108" i="59"/>
  <c r="BA38" i="59"/>
  <c r="BA64" i="59"/>
  <c r="V36" i="59"/>
  <c r="V79" i="59"/>
  <c r="V106" i="59"/>
  <c r="V62" i="59"/>
  <c r="BA79" i="59"/>
  <c r="BA106" i="59"/>
  <c r="BA36" i="59"/>
  <c r="BA62" i="59"/>
  <c r="CY66" i="55"/>
  <c r="CY5" i="57" s="1"/>
  <c r="BA82" i="59"/>
  <c r="BA39" i="59"/>
  <c r="BA109" i="59"/>
  <c r="BA65" i="59"/>
  <c r="BA80" i="59"/>
  <c r="BA107" i="59"/>
  <c r="BA37" i="59"/>
  <c r="BA63" i="59"/>
  <c r="V81" i="59"/>
  <c r="V108" i="59"/>
  <c r="V38" i="59"/>
  <c r="V64" i="59"/>
  <c r="V37" i="59"/>
  <c r="V80" i="59"/>
  <c r="V107" i="59"/>
  <c r="V63" i="59"/>
  <c r="CZ6" i="55"/>
  <c r="J55" i="59"/>
  <c r="J98" i="59"/>
  <c r="J56" i="59"/>
  <c r="AU120" i="59"/>
  <c r="J126" i="59"/>
  <c r="AP23" i="59"/>
  <c r="DB10" i="55"/>
  <c r="DB23" i="59" s="1"/>
  <c r="CW23" i="57"/>
  <c r="CW13" i="57"/>
  <c r="CX23" i="57"/>
  <c r="CX13" i="57"/>
  <c r="CX24" i="57"/>
  <c r="CX14" i="57"/>
  <c r="CX19" i="57"/>
  <c r="CX29" i="57"/>
  <c r="CW24" i="57"/>
  <c r="CW14" i="57"/>
  <c r="CX15" i="57"/>
  <c r="CX25" i="57"/>
  <c r="CY25" i="57"/>
  <c r="CY15" i="57"/>
  <c r="CY89" i="55"/>
  <c r="CX16" i="57"/>
  <c r="CY16" i="57"/>
  <c r="CY26" i="57"/>
  <c r="AL128" i="55"/>
  <c r="CX128" i="55" s="1"/>
  <c r="CX105" i="55"/>
  <c r="CX112" i="55" s="1"/>
  <c r="BX37" i="55"/>
  <c r="BX13" i="57" s="1"/>
  <c r="CX66" i="55"/>
  <c r="AW22" i="59"/>
  <c r="DI9" i="55"/>
  <c r="DI22" i="59" s="1"/>
  <c r="CY29" i="57"/>
  <c r="CY19" i="57"/>
  <c r="AV22" i="59"/>
  <c r="AV145" i="59" s="1"/>
  <c r="DH9" i="55"/>
  <c r="DH22" i="59" s="1"/>
  <c r="DH145" i="59" s="1"/>
  <c r="BX36" i="55"/>
  <c r="BX43" i="55" s="1"/>
  <c r="BX60" i="55"/>
  <c r="BX14" i="57" s="1"/>
  <c r="CY13" i="57"/>
  <c r="CY23" i="57"/>
  <c r="BW89" i="55"/>
  <c r="CZ19" i="55"/>
  <c r="CZ20" i="55"/>
  <c r="BX59" i="55"/>
  <c r="AK43" i="55"/>
  <c r="AK34" i="57" s="1"/>
  <c r="BX106" i="55"/>
  <c r="CY24" i="57"/>
  <c r="CY14" i="57"/>
  <c r="AK13" i="57"/>
  <c r="BW24" i="57"/>
  <c r="CW43" i="55"/>
  <c r="CW16" i="57"/>
  <c r="CW15" i="57"/>
  <c r="CW25" i="57"/>
  <c r="CW89" i="55"/>
  <c r="AK25" i="57"/>
  <c r="CY112" i="55"/>
  <c r="AK23" i="57"/>
  <c r="CW66" i="55"/>
  <c r="CW19" i="57"/>
  <c r="CW29" i="57"/>
  <c r="BW112" i="55"/>
  <c r="BW7" i="57" s="1"/>
  <c r="J7" i="55"/>
  <c r="BW40" i="57"/>
  <c r="BX174" i="55"/>
  <c r="AQ76" i="51"/>
  <c r="AQ58" i="58" s="1"/>
  <c r="BW128" i="55"/>
  <c r="J256" i="54"/>
  <c r="AL102" i="59"/>
  <c r="BV34" i="57"/>
  <c r="AQ10" i="55"/>
  <c r="BW23" i="57"/>
  <c r="BX82" i="55"/>
  <c r="BW128" i="59"/>
  <c r="AM43" i="55"/>
  <c r="AM34" i="57" s="1"/>
  <c r="BW25" i="57"/>
  <c r="BW26" i="57"/>
  <c r="AM181" i="55"/>
  <c r="AM40" i="57" s="1"/>
  <c r="J32" i="59"/>
  <c r="H66" i="55"/>
  <c r="H35" i="57" s="1"/>
  <c r="AL24" i="57"/>
  <c r="AL14" i="57"/>
  <c r="H24" i="57"/>
  <c r="H14" i="57"/>
  <c r="AM29" i="57"/>
  <c r="AM19" i="57"/>
  <c r="G4" i="57"/>
  <c r="G34" i="57"/>
  <c r="BX83" i="55"/>
  <c r="Q120" i="59"/>
  <c r="AM23" i="57"/>
  <c r="AM13" i="57"/>
  <c r="AM66" i="55"/>
  <c r="AM35" i="57" s="1"/>
  <c r="AM24" i="57"/>
  <c r="AM14" i="57"/>
  <c r="AL29" i="57"/>
  <c r="AL19" i="57"/>
  <c r="AM128" i="55"/>
  <c r="CY128" i="55" s="1"/>
  <c r="AM112" i="55"/>
  <c r="AM37" i="57" s="1"/>
  <c r="G7" i="57"/>
  <c r="G37" i="57"/>
  <c r="AL25" i="57"/>
  <c r="AL15" i="57"/>
  <c r="G10" i="57"/>
  <c r="G40" i="57"/>
  <c r="H19" i="57"/>
  <c r="H29" i="57"/>
  <c r="AL129" i="55"/>
  <c r="AL26" i="57"/>
  <c r="AL16" i="57"/>
  <c r="G5" i="57"/>
  <c r="G35" i="57"/>
  <c r="G6" i="57"/>
  <c r="G36" i="57"/>
  <c r="H15" i="57"/>
  <c r="H25" i="57"/>
  <c r="H128" i="59"/>
  <c r="AM25" i="57"/>
  <c r="AM15" i="57"/>
  <c r="AM89" i="55"/>
  <c r="AM36" i="57" s="1"/>
  <c r="G152" i="55"/>
  <c r="G27" i="57"/>
  <c r="G17" i="57"/>
  <c r="AL23" i="57"/>
  <c r="AL13" i="57"/>
  <c r="H23" i="57"/>
  <c r="H13" i="57"/>
  <c r="H129" i="55"/>
  <c r="H26" i="57"/>
  <c r="H16" i="57"/>
  <c r="I16" i="57"/>
  <c r="BV8" i="57"/>
  <c r="BV38" i="57"/>
  <c r="BV28" i="57"/>
  <c r="BV30" i="57" s="1"/>
  <c r="AM129" i="55"/>
  <c r="CY129" i="55" s="1"/>
  <c r="AM26" i="57"/>
  <c r="AM16" i="57"/>
  <c r="AN94" i="59"/>
  <c r="AN122" i="59"/>
  <c r="BY99" i="59"/>
  <c r="BY126" i="59"/>
  <c r="AN95" i="59"/>
  <c r="AN123" i="59"/>
  <c r="BY98" i="59"/>
  <c r="BY125" i="59"/>
  <c r="BX95" i="59"/>
  <c r="BX123" i="59"/>
  <c r="BY100" i="59"/>
  <c r="BY127" i="59"/>
  <c r="BY97" i="59"/>
  <c r="BY124" i="59"/>
  <c r="BX94" i="59"/>
  <c r="BX122" i="59"/>
  <c r="BZ92" i="59"/>
  <c r="Q92" i="59"/>
  <c r="H58" i="59"/>
  <c r="BW58" i="59"/>
  <c r="BW102" i="59"/>
  <c r="BY55" i="59"/>
  <c r="H102" i="59"/>
  <c r="BY54" i="59"/>
  <c r="BY56" i="59"/>
  <c r="BY57" i="59"/>
  <c r="AM102" i="59"/>
  <c r="BY19" i="55"/>
  <c r="BY175" i="55" s="1"/>
  <c r="BY19" i="57" s="1"/>
  <c r="BY25" i="59"/>
  <c r="BY148" i="59" s="1"/>
  <c r="M226" i="54"/>
  <c r="AT176" i="55" s="1"/>
  <c r="DF176" i="55" s="1"/>
  <c r="AP58" i="58"/>
  <c r="P212" i="53"/>
  <c r="L59" i="58"/>
  <c r="H43" i="55"/>
  <c r="H112" i="55"/>
  <c r="R51" i="51"/>
  <c r="P213" i="53"/>
  <c r="M225" i="54"/>
  <c r="P214" i="53"/>
  <c r="P217" i="53" s="1"/>
  <c r="M227" i="54"/>
  <c r="AT177" i="55" s="1"/>
  <c r="DF177" i="55" s="1"/>
  <c r="M229" i="54"/>
  <c r="AT179" i="55" s="1"/>
  <c r="DF179" i="55" s="1"/>
  <c r="M228" i="54"/>
  <c r="AT178" i="55" s="1"/>
  <c r="DF178" i="55" s="1"/>
  <c r="O211" i="54"/>
  <c r="O212" i="54" s="1"/>
  <c r="BX128" i="55"/>
  <c r="H181" i="55"/>
  <c r="N210" i="54"/>
  <c r="N229" i="54" s="1"/>
  <c r="AU179" i="55" s="1"/>
  <c r="DG179" i="55" s="1"/>
  <c r="AU172" i="55"/>
  <c r="H151" i="55"/>
  <c r="N200" i="53"/>
  <c r="CA172" i="55"/>
  <c r="AN106" i="55"/>
  <c r="CZ106" i="55" s="1"/>
  <c r="AN83" i="55"/>
  <c r="CZ83" i="55" s="1"/>
  <c r="AN175" i="55"/>
  <c r="CZ175" i="55" s="1"/>
  <c r="AL181" i="55"/>
  <c r="P210" i="53"/>
  <c r="P228" i="53" s="1"/>
  <c r="Q178" i="55" s="1"/>
  <c r="Q172" i="55"/>
  <c r="O210" i="53"/>
  <c r="O227" i="53" s="1"/>
  <c r="P177" i="55" s="1"/>
  <c r="P172" i="55"/>
  <c r="AN105" i="55"/>
  <c r="AN82" i="55"/>
  <c r="CZ82" i="55" s="1"/>
  <c r="AN174" i="55"/>
  <c r="CZ174" i="55" s="1"/>
  <c r="H89" i="55"/>
  <c r="AL89" i="55"/>
  <c r="AL66" i="55"/>
  <c r="AN60" i="55"/>
  <c r="CZ60" i="55" s="1"/>
  <c r="AN59" i="55"/>
  <c r="CZ59" i="55" s="1"/>
  <c r="AL112" i="55"/>
  <c r="AL43" i="55"/>
  <c r="AN37" i="55"/>
  <c r="CZ37" i="55" s="1"/>
  <c r="AN36" i="55"/>
  <c r="CZ36" i="55" s="1"/>
  <c r="L262" i="53"/>
  <c r="M78" i="51" s="1"/>
  <c r="M77" i="51"/>
  <c r="BY6" i="55"/>
  <c r="P207" i="54"/>
  <c r="P211" i="54" s="1"/>
  <c r="AW4" i="55"/>
  <c r="BY7" i="55"/>
  <c r="AP11" i="55"/>
  <c r="AP14" i="55"/>
  <c r="AP28" i="59" s="1"/>
  <c r="AP15" i="55"/>
  <c r="AP29" i="59" s="1"/>
  <c r="AP12" i="55"/>
  <c r="AP26" i="59" s="1"/>
  <c r="AP53" i="59" s="1"/>
  <c r="AP13" i="55"/>
  <c r="AP27" i="59" s="1"/>
  <c r="AP16" i="55"/>
  <c r="AP30" i="59" s="1"/>
  <c r="R207" i="53"/>
  <c r="R211" i="53" s="1"/>
  <c r="S4" i="55"/>
  <c r="Q207" i="53"/>
  <c r="Q208" i="53" s="1"/>
  <c r="R4" i="55"/>
  <c r="BZ11" i="55"/>
  <c r="BZ14" i="55"/>
  <c r="BZ28" i="59" s="1"/>
  <c r="BZ151" i="59" s="1"/>
  <c r="BZ13" i="55"/>
  <c r="BZ27" i="59" s="1"/>
  <c r="BZ150" i="59" s="1"/>
  <c r="BZ12" i="55"/>
  <c r="BZ26" i="59" s="1"/>
  <c r="BZ53" i="59" s="1"/>
  <c r="BZ16" i="55"/>
  <c r="BZ30" i="59" s="1"/>
  <c r="BZ15" i="55"/>
  <c r="BZ29" i="59" s="1"/>
  <c r="BZ152" i="59" s="1"/>
  <c r="AX51" i="51"/>
  <c r="P81" i="54"/>
  <c r="P165" i="54"/>
  <c r="P223" i="53"/>
  <c r="P222" i="53"/>
  <c r="P234" i="53" s="1"/>
  <c r="P235" i="53" s="1"/>
  <c r="M236" i="54"/>
  <c r="L202" i="54"/>
  <c r="L205" i="54"/>
  <c r="L203" i="54"/>
  <c r="L201" i="54"/>
  <c r="L206" i="54"/>
  <c r="L204" i="54"/>
  <c r="N222" i="54"/>
  <c r="N234" i="54" s="1"/>
  <c r="N235" i="54" s="1"/>
  <c r="N223" i="54"/>
  <c r="AY58" i="51"/>
  <c r="AY72" i="51" s="1"/>
  <c r="Q80" i="54"/>
  <c r="Q72" i="54"/>
  <c r="Q73" i="54" s="1"/>
  <c r="Q74" i="54"/>
  <c r="Q75" i="54" s="1"/>
  <c r="Q78" i="54"/>
  <c r="Q79" i="54" s="1"/>
  <c r="Q47" i="54"/>
  <c r="Q162" i="54" s="1"/>
  <c r="AZ59" i="51"/>
  <c r="S38" i="54"/>
  <c r="S67" i="51"/>
  <c r="AY67" i="51" s="1"/>
  <c r="R79" i="53"/>
  <c r="O222" i="53"/>
  <c r="O234" i="53" s="1"/>
  <c r="O235" i="53" s="1"/>
  <c r="O223" i="53"/>
  <c r="AV71" i="51"/>
  <c r="AV73" i="51" s="1"/>
  <c r="AV64" i="51"/>
  <c r="O232" i="54"/>
  <c r="O233" i="54" s="1"/>
  <c r="O209" i="54"/>
  <c r="DH172" i="55" s="1"/>
  <c r="L252" i="53"/>
  <c r="U59" i="51"/>
  <c r="T38" i="53"/>
  <c r="S51" i="51"/>
  <c r="O216" i="53"/>
  <c r="O217" i="53"/>
  <c r="AD113" i="54"/>
  <c r="AD114" i="54" s="1"/>
  <c r="AD109" i="54"/>
  <c r="AD110" i="54" s="1"/>
  <c r="AD111" i="54"/>
  <c r="AD112" i="54" s="1"/>
  <c r="AD107" i="54"/>
  <c r="AD108" i="54" s="1"/>
  <c r="BJ50" i="51"/>
  <c r="AW71" i="51"/>
  <c r="AW73" i="51" s="1"/>
  <c r="AW64" i="51"/>
  <c r="M219" i="54"/>
  <c r="M218" i="54"/>
  <c r="AY65" i="51"/>
  <c r="R40" i="54"/>
  <c r="W46" i="54" s="1"/>
  <c r="W159" i="54" s="1"/>
  <c r="AZ52" i="51"/>
  <c r="AZ54" i="51" s="1"/>
  <c r="S37" i="54"/>
  <c r="AE43" i="54" s="1"/>
  <c r="T48" i="51"/>
  <c r="S36" i="53"/>
  <c r="S42" i="53" s="1"/>
  <c r="R81" i="53"/>
  <c r="S61" i="51" s="1"/>
  <c r="R165" i="53"/>
  <c r="S9" i="55" s="1"/>
  <c r="S22" i="59" s="1"/>
  <c r="BI50" i="51"/>
  <c r="T52" i="51"/>
  <c r="T54" i="51" s="1"/>
  <c r="S37" i="53"/>
  <c r="AE43" i="53" s="1"/>
  <c r="R80" i="54"/>
  <c r="R47" i="54"/>
  <c r="R162" i="54" s="1"/>
  <c r="R78" i="54"/>
  <c r="R79" i="54" s="1"/>
  <c r="R74" i="54"/>
  <c r="R75" i="54" s="1"/>
  <c r="R72" i="54"/>
  <c r="R73" i="54" s="1"/>
  <c r="AX57" i="51"/>
  <c r="AX58" i="51" s="1"/>
  <c r="AX72" i="51" s="1"/>
  <c r="R58" i="51"/>
  <c r="R72" i="51" s="1"/>
  <c r="V160" i="54"/>
  <c r="AC113" i="54"/>
  <c r="AC114" i="54" s="1"/>
  <c r="AC111" i="54"/>
  <c r="AC112" i="54" s="1"/>
  <c r="AC109" i="54"/>
  <c r="AC110" i="54" s="1"/>
  <c r="AC107" i="54"/>
  <c r="AC108" i="54" s="1"/>
  <c r="P162" i="54"/>
  <c r="AY51" i="51"/>
  <c r="Q81" i="53"/>
  <c r="R61" i="51" s="1"/>
  <c r="Q165" i="53"/>
  <c r="R9" i="55" s="1"/>
  <c r="AE68" i="51"/>
  <c r="BK68" i="51" s="1"/>
  <c r="AE50" i="51"/>
  <c r="K252" i="54"/>
  <c r="AZ55" i="51"/>
  <c r="S39" i="54"/>
  <c r="X45" i="54" s="1"/>
  <c r="R67" i="51"/>
  <c r="Q79" i="53"/>
  <c r="L220" i="54"/>
  <c r="L224" i="54" s="1"/>
  <c r="L221" i="54"/>
  <c r="M199" i="54"/>
  <c r="M200" i="54" s="1"/>
  <c r="N166" i="54"/>
  <c r="CA9" i="55" s="1"/>
  <c r="CA22" i="59" s="1"/>
  <c r="CA145" i="59" s="1"/>
  <c r="N216" i="54"/>
  <c r="N217" i="54"/>
  <c r="W139" i="54"/>
  <c r="W140" i="54" s="1"/>
  <c r="W141" i="54"/>
  <c r="W142" i="54" s="1"/>
  <c r="W137" i="54"/>
  <c r="W138" i="54" s="1"/>
  <c r="S58" i="51"/>
  <c r="S72" i="51" s="1"/>
  <c r="U55" i="51"/>
  <c r="T39" i="53"/>
  <c r="Y45" i="53" s="1"/>
  <c r="W140" i="53"/>
  <c r="X63" i="51" s="1"/>
  <c r="BD63" i="51" s="1"/>
  <c r="W160" i="53"/>
  <c r="X66" i="51" s="1"/>
  <c r="BD66" i="51" s="1"/>
  <c r="P166" i="53"/>
  <c r="O199" i="53"/>
  <c r="W142" i="53"/>
  <c r="X69" i="51" s="1"/>
  <c r="BD69" i="51" s="1"/>
  <c r="W138" i="53"/>
  <c r="T65" i="51"/>
  <c r="S40" i="53"/>
  <c r="X46" i="53" s="1"/>
  <c r="X159" i="53" s="1"/>
  <c r="X141" i="53"/>
  <c r="X137" i="53"/>
  <c r="Y56" i="51" s="1"/>
  <c r="BE56" i="51" s="1"/>
  <c r="X139" i="53"/>
  <c r="BA24" i="51"/>
  <c r="BA29" i="51"/>
  <c r="U39" i="51"/>
  <c r="U25" i="51"/>
  <c r="V29" i="51"/>
  <c r="V24" i="51"/>
  <c r="V15" i="51"/>
  <c r="AZ25" i="51"/>
  <c r="V38" i="51"/>
  <c r="V20" i="59" s="1"/>
  <c r="V37" i="51"/>
  <c r="V19" i="59" s="1"/>
  <c r="W28" i="51"/>
  <c r="W15" i="59" s="1"/>
  <c r="X26" i="51"/>
  <c r="W27" i="51"/>
  <c r="W14" i="59" s="1"/>
  <c r="BC26" i="51"/>
  <c r="BC12" i="51"/>
  <c r="V21" i="51"/>
  <c r="Y10" i="51"/>
  <c r="BD10" i="51"/>
  <c r="X12" i="51"/>
  <c r="W23" i="51"/>
  <c r="W11" i="59" s="1"/>
  <c r="X18" i="51"/>
  <c r="W20" i="51"/>
  <c r="W9" i="59" s="1"/>
  <c r="W22" i="51"/>
  <c r="W10" i="59" s="1"/>
  <c r="W19" i="51"/>
  <c r="W8" i="59" s="1"/>
  <c r="BC18" i="51"/>
  <c r="U43" i="51"/>
  <c r="U17" i="51"/>
  <c r="BB28" i="51"/>
  <c r="BB15" i="59" s="1"/>
  <c r="BB27" i="51"/>
  <c r="BB14" i="59" s="1"/>
  <c r="W36" i="51"/>
  <c r="BB34" i="51"/>
  <c r="BB18" i="59" s="1"/>
  <c r="BB31" i="51"/>
  <c r="BB16" i="59" s="1"/>
  <c r="BB32" i="51"/>
  <c r="BB17" i="59" s="1"/>
  <c r="BB36" i="51"/>
  <c r="BA33" i="51"/>
  <c r="BA35" i="51" s="1"/>
  <c r="AZ43" i="51"/>
  <c r="AZ46" i="51" s="1"/>
  <c r="BA15" i="51"/>
  <c r="BA38" i="51"/>
  <c r="BA20" i="59" s="1"/>
  <c r="BA37" i="51"/>
  <c r="BA19" i="59" s="1"/>
  <c r="U44" i="51"/>
  <c r="W14" i="51"/>
  <c r="W13" i="59" s="1"/>
  <c r="W13" i="51"/>
  <c r="W12" i="59" s="1"/>
  <c r="V33" i="51"/>
  <c r="V35" i="51" s="1"/>
  <c r="X30" i="51"/>
  <c r="BC30" i="51"/>
  <c r="W32" i="51"/>
  <c r="W17" i="59" s="1"/>
  <c r="W34" i="51"/>
  <c r="W18" i="59" s="1"/>
  <c r="W31" i="51"/>
  <c r="W16" i="59" s="1"/>
  <c r="BB14" i="51"/>
  <c r="BB13" i="59" s="1"/>
  <c r="BB13" i="51"/>
  <c r="BB12" i="59" s="1"/>
  <c r="BB23" i="51"/>
  <c r="BB11" i="59" s="1"/>
  <c r="BB19" i="51"/>
  <c r="BB8" i="59" s="1"/>
  <c r="BB20" i="51"/>
  <c r="BB9" i="59" s="1"/>
  <c r="BB22" i="51"/>
  <c r="BB10" i="59" s="1"/>
  <c r="V17" i="51"/>
  <c r="BA21" i="51"/>
  <c r="AK151" i="55" l="1"/>
  <c r="CW151" i="55" s="1"/>
  <c r="CW26" i="57"/>
  <c r="CV39" i="57"/>
  <c r="CV9" i="57"/>
  <c r="BX29" i="57"/>
  <c r="I128" i="59"/>
  <c r="BU41" i="57"/>
  <c r="I25" i="57"/>
  <c r="I15" i="57"/>
  <c r="I43" i="55"/>
  <c r="I23" i="57"/>
  <c r="I13" i="57"/>
  <c r="CZ181" i="55"/>
  <c r="I58" i="59"/>
  <c r="I102" i="59"/>
  <c r="K16" i="55"/>
  <c r="K30" i="59" s="1"/>
  <c r="K13" i="55"/>
  <c r="K27" i="59" s="1"/>
  <c r="K150" i="59" s="1"/>
  <c r="K12" i="55"/>
  <c r="K26" i="59" s="1"/>
  <c r="K53" i="59" s="1"/>
  <c r="K11" i="55"/>
  <c r="K14" i="55"/>
  <c r="K28" i="59" s="1"/>
  <c r="K151" i="59" s="1"/>
  <c r="AZ65" i="51"/>
  <c r="S40" i="54"/>
  <c r="X46" i="54" s="1"/>
  <c r="X159" i="54" s="1"/>
  <c r="K15" i="55"/>
  <c r="K29" i="59" s="1"/>
  <c r="K152" i="59" s="1"/>
  <c r="J52" i="59"/>
  <c r="U75" i="59"/>
  <c r="J95" i="59"/>
  <c r="J123" i="59"/>
  <c r="CW112" i="55"/>
  <c r="N237" i="53"/>
  <c r="N238" i="53" s="1"/>
  <c r="M237" i="53"/>
  <c r="M238" i="53" s="1"/>
  <c r="K11" i="58"/>
  <c r="K6" i="58"/>
  <c r="J96" i="59"/>
  <c r="K50" i="59"/>
  <c r="K31" i="59"/>
  <c r="K154" i="59" s="1"/>
  <c r="I89" i="55"/>
  <c r="I112" i="55"/>
  <c r="J60" i="55"/>
  <c r="J37" i="55"/>
  <c r="BY59" i="55"/>
  <c r="J36" i="55"/>
  <c r="J59" i="55"/>
  <c r="K262" i="54"/>
  <c r="AR78" i="51" s="1"/>
  <c r="AR77" i="51"/>
  <c r="K256" i="53"/>
  <c r="L74" i="51"/>
  <c r="L76" i="51" s="1"/>
  <c r="L10" i="55"/>
  <c r="L23" i="59" s="1"/>
  <c r="L146" i="59" s="1"/>
  <c r="BW37" i="57"/>
  <c r="I66" i="55"/>
  <c r="I24" i="57"/>
  <c r="I14" i="57"/>
  <c r="BW6" i="57"/>
  <c r="BW36" i="57"/>
  <c r="BX112" i="55"/>
  <c r="I151" i="55"/>
  <c r="L252" i="54"/>
  <c r="N219" i="53"/>
  <c r="N218" i="53"/>
  <c r="M220" i="53"/>
  <c r="M224" i="53" s="1"/>
  <c r="M221" i="53"/>
  <c r="M245" i="53"/>
  <c r="M252" i="53" s="1"/>
  <c r="N202" i="53"/>
  <c r="CA176" i="55" s="1"/>
  <c r="N203" i="53"/>
  <c r="CA177" i="55" s="1"/>
  <c r="N201" i="53"/>
  <c r="N206" i="53"/>
  <c r="CA180" i="55" s="1"/>
  <c r="N204" i="53"/>
  <c r="CA178" i="55" s="1"/>
  <c r="N205" i="53"/>
  <c r="CA179" i="55" s="1"/>
  <c r="BV158" i="55"/>
  <c r="BV18" i="57"/>
  <c r="BV20" i="57" s="1"/>
  <c r="BV149" i="59" s="1"/>
  <c r="BV155" i="59" s="1"/>
  <c r="CW40" i="57"/>
  <c r="CW10" i="57"/>
  <c r="BW35" i="57"/>
  <c r="BW152" i="55"/>
  <c r="BW18" i="57" s="1"/>
  <c r="AK135" i="55"/>
  <c r="AK8" i="57" s="1"/>
  <c r="CW129" i="55"/>
  <c r="BW27" i="57"/>
  <c r="BW5" i="57"/>
  <c r="AK7" i="57"/>
  <c r="AK37" i="57"/>
  <c r="AK152" i="55"/>
  <c r="CW152" i="55" s="1"/>
  <c r="CW158" i="55" s="1"/>
  <c r="AK27" i="57"/>
  <c r="AK17" i="57"/>
  <c r="BW4" i="57"/>
  <c r="BW34" i="57"/>
  <c r="K121" i="59"/>
  <c r="I29" i="57"/>
  <c r="I19" i="57"/>
  <c r="I129" i="55"/>
  <c r="I135" i="55" s="1"/>
  <c r="I26" i="57"/>
  <c r="K93" i="59"/>
  <c r="AQ59" i="58"/>
  <c r="K58" i="58"/>
  <c r="K5" i="58" s="1"/>
  <c r="I181" i="55"/>
  <c r="BX181" i="55"/>
  <c r="J105" i="55"/>
  <c r="J128" i="55" s="1"/>
  <c r="J82" i="55"/>
  <c r="J174" i="55"/>
  <c r="BW151" i="55"/>
  <c r="J83" i="55"/>
  <c r="J106" i="55"/>
  <c r="J175" i="55"/>
  <c r="L240" i="54"/>
  <c r="L261" i="54" s="1"/>
  <c r="AS77" i="51" s="1"/>
  <c r="AO15" i="55"/>
  <c r="AO29" i="59" s="1"/>
  <c r="AO13" i="55"/>
  <c r="AO12" i="55"/>
  <c r="AO26" i="59" s="1"/>
  <c r="AO11" i="55"/>
  <c r="AO14" i="55"/>
  <c r="AO28" i="59" s="1"/>
  <c r="AO16" i="55"/>
  <c r="AO30" i="59" s="1"/>
  <c r="DA10" i="55"/>
  <c r="AO23" i="59"/>
  <c r="CY40" i="57"/>
  <c r="CY10" i="57"/>
  <c r="CW37" i="57"/>
  <c r="CW7" i="57"/>
  <c r="CX10" i="57"/>
  <c r="CX40" i="57"/>
  <c r="CY34" i="57"/>
  <c r="CY4" i="57"/>
  <c r="J122" i="59"/>
  <c r="O230" i="53"/>
  <c r="P180" i="55" s="1"/>
  <c r="O226" i="53"/>
  <c r="P176" i="55" s="1"/>
  <c r="O228" i="53"/>
  <c r="P178" i="55" s="1"/>
  <c r="P216" i="53"/>
  <c r="P226" i="53"/>
  <c r="Q176" i="55" s="1"/>
  <c r="P236" i="53"/>
  <c r="N230" i="54"/>
  <c r="AU180" i="55" s="1"/>
  <c r="DG180" i="55" s="1"/>
  <c r="N239" i="53"/>
  <c r="CX34" i="57"/>
  <c r="CX4" i="57"/>
  <c r="G8" i="57"/>
  <c r="G38" i="57"/>
  <c r="AK6" i="57"/>
  <c r="AK36" i="57"/>
  <c r="AK10" i="57"/>
  <c r="AK40" i="57"/>
  <c r="AK5" i="57"/>
  <c r="AK35" i="57"/>
  <c r="J94" i="59"/>
  <c r="AV120" i="59"/>
  <c r="AQ13" i="55"/>
  <c r="AQ27" i="59" s="1"/>
  <c r="AQ12" i="55"/>
  <c r="AQ26" i="59" s="1"/>
  <c r="AQ53" i="59" s="1"/>
  <c r="AQ14" i="55"/>
  <c r="AQ28" i="59" s="1"/>
  <c r="AQ16" i="55"/>
  <c r="AQ30" i="59" s="1"/>
  <c r="AQ11" i="55"/>
  <c r="AQ15" i="55"/>
  <c r="AQ29" i="59" s="1"/>
  <c r="CW58" i="59"/>
  <c r="H135" i="55"/>
  <c r="CZ66" i="55"/>
  <c r="DI145" i="59"/>
  <c r="N226" i="54"/>
  <c r="AU176" i="55" s="1"/>
  <c r="DG176" i="55" s="1"/>
  <c r="L262" i="54"/>
  <c r="AS78" i="51" s="1"/>
  <c r="AL151" i="55"/>
  <c r="CX151" i="55" s="1"/>
  <c r="BX24" i="57"/>
  <c r="CX6" i="57"/>
  <c r="N225" i="54"/>
  <c r="N228" i="54"/>
  <c r="AU178" i="55" s="1"/>
  <c r="DG178" i="55" s="1"/>
  <c r="CY35" i="57"/>
  <c r="BB83" i="59"/>
  <c r="BB110" i="59"/>
  <c r="BB40" i="59"/>
  <c r="BB66" i="59"/>
  <c r="W40" i="59"/>
  <c r="W83" i="59"/>
  <c r="W66" i="59"/>
  <c r="W110" i="59"/>
  <c r="V73" i="59"/>
  <c r="V117" i="59"/>
  <c r="V47" i="59"/>
  <c r="V90" i="59"/>
  <c r="BZ101" i="59"/>
  <c r="BZ153" i="59"/>
  <c r="BY51" i="59"/>
  <c r="BY147" i="59"/>
  <c r="AZ117" i="59"/>
  <c r="AZ47" i="59"/>
  <c r="AZ90" i="59"/>
  <c r="AZ73" i="59"/>
  <c r="AZ75" i="59" s="1"/>
  <c r="BB84" i="59"/>
  <c r="BB41" i="59"/>
  <c r="BB67" i="59"/>
  <c r="BB111" i="59"/>
  <c r="BB45" i="59"/>
  <c r="BB88" i="59"/>
  <c r="BB115" i="59"/>
  <c r="BB71" i="59"/>
  <c r="V74" i="59"/>
  <c r="V91" i="59"/>
  <c r="V48" i="59"/>
  <c r="V118" i="59"/>
  <c r="W84" i="59"/>
  <c r="W111" i="59"/>
  <c r="W41" i="59"/>
  <c r="W67" i="59"/>
  <c r="W44" i="59"/>
  <c r="W87" i="59"/>
  <c r="W114" i="59"/>
  <c r="W70" i="59"/>
  <c r="BB87" i="59"/>
  <c r="BB114" i="59"/>
  <c r="BB44" i="59"/>
  <c r="BB70" i="59"/>
  <c r="CX58" i="59"/>
  <c r="W89" i="59"/>
  <c r="W116" i="59"/>
  <c r="W46" i="59"/>
  <c r="W72" i="59"/>
  <c r="BA117" i="59"/>
  <c r="BA47" i="59"/>
  <c r="BA73" i="59"/>
  <c r="BA90" i="59"/>
  <c r="BB46" i="59"/>
  <c r="BB89" i="59"/>
  <c r="BB116" i="59"/>
  <c r="BB72" i="59"/>
  <c r="W88" i="59"/>
  <c r="W115" i="59"/>
  <c r="W45" i="59"/>
  <c r="W71" i="59"/>
  <c r="BZ24" i="59"/>
  <c r="J51" i="59"/>
  <c r="J147" i="59"/>
  <c r="BA74" i="59"/>
  <c r="BA48" i="59"/>
  <c r="BA91" i="59"/>
  <c r="BA118" i="59"/>
  <c r="BB85" i="59"/>
  <c r="BB42" i="59"/>
  <c r="BB68" i="59"/>
  <c r="BB112" i="59"/>
  <c r="W85" i="59"/>
  <c r="W112" i="59"/>
  <c r="W42" i="59"/>
  <c r="W68" i="59"/>
  <c r="BB113" i="59"/>
  <c r="BB43" i="59"/>
  <c r="BB69" i="59"/>
  <c r="BB86" i="59"/>
  <c r="AW145" i="59"/>
  <c r="W86" i="59"/>
  <c r="W113" i="59"/>
  <c r="W43" i="59"/>
  <c r="W69" i="59"/>
  <c r="AP101" i="59"/>
  <c r="P230" i="53"/>
  <c r="Q180" i="55" s="1"/>
  <c r="CW128" i="59"/>
  <c r="P227" i="53"/>
  <c r="Q177" i="55" s="1"/>
  <c r="O229" i="53"/>
  <c r="P179" i="55" s="1"/>
  <c r="L11" i="58"/>
  <c r="L6" i="58"/>
  <c r="P229" i="53"/>
  <c r="Q179" i="55" s="1"/>
  <c r="O225" i="53"/>
  <c r="BW135" i="55"/>
  <c r="BX25" i="57"/>
  <c r="BX15" i="57"/>
  <c r="DB50" i="59"/>
  <c r="DB93" i="59"/>
  <c r="DB121" i="59"/>
  <c r="DB31" i="59"/>
  <c r="DI49" i="59"/>
  <c r="DI92" i="59"/>
  <c r="DI120" i="59"/>
  <c r="N227" i="54"/>
  <c r="AU177" i="55" s="1"/>
  <c r="DG177" i="55" s="1"/>
  <c r="P225" i="53"/>
  <c r="CX102" i="59"/>
  <c r="CZ51" i="59"/>
  <c r="CZ122" i="59"/>
  <c r="CZ94" i="59"/>
  <c r="DH49" i="59"/>
  <c r="DH92" i="59"/>
  <c r="DH120" i="59"/>
  <c r="AK4" i="57"/>
  <c r="BX23" i="57"/>
  <c r="BX129" i="55"/>
  <c r="BX17" i="57" s="1"/>
  <c r="BX16" i="57"/>
  <c r="CX128" i="59"/>
  <c r="CZ52" i="59"/>
  <c r="CZ123" i="59"/>
  <c r="CZ95" i="59"/>
  <c r="CZ96" i="59"/>
  <c r="CW102" i="59"/>
  <c r="AV92" i="59"/>
  <c r="AV49" i="59"/>
  <c r="BY96" i="59"/>
  <c r="BY52" i="59"/>
  <c r="S49" i="59"/>
  <c r="AP50" i="59"/>
  <c r="AP24" i="59"/>
  <c r="AP31" i="59"/>
  <c r="CA120" i="59"/>
  <c r="CA49" i="59"/>
  <c r="CA31" i="59"/>
  <c r="CA154" i="59" s="1"/>
  <c r="AW49" i="59"/>
  <c r="W80" i="59"/>
  <c r="W107" i="59"/>
  <c r="W37" i="59"/>
  <c r="W63" i="59"/>
  <c r="BB80" i="59"/>
  <c r="BB107" i="59"/>
  <c r="BB37" i="59"/>
  <c r="BB63" i="59"/>
  <c r="W82" i="59"/>
  <c r="W109" i="59"/>
  <c r="W39" i="59"/>
  <c r="W65" i="59"/>
  <c r="BB82" i="59"/>
  <c r="BB109" i="59"/>
  <c r="BB39" i="59"/>
  <c r="BB65" i="59"/>
  <c r="BB81" i="59"/>
  <c r="BB108" i="59"/>
  <c r="BB38" i="59"/>
  <c r="BB64" i="59"/>
  <c r="CZ89" i="55"/>
  <c r="BB79" i="59"/>
  <c r="BB106" i="59"/>
  <c r="BB36" i="59"/>
  <c r="BB62" i="59"/>
  <c r="W79" i="59"/>
  <c r="W36" i="59"/>
  <c r="W106" i="59"/>
  <c r="W62" i="59"/>
  <c r="W81" i="59"/>
  <c r="W108" i="59"/>
  <c r="W38" i="59"/>
  <c r="W64" i="59"/>
  <c r="AW92" i="59"/>
  <c r="AW120" i="59"/>
  <c r="AP93" i="59"/>
  <c r="AP121" i="59"/>
  <c r="CY17" i="57"/>
  <c r="CY27" i="57"/>
  <c r="BX26" i="57"/>
  <c r="CW34" i="57"/>
  <c r="CW4" i="57"/>
  <c r="CX26" i="57"/>
  <c r="CW35" i="57"/>
  <c r="CW5" i="57"/>
  <c r="CZ13" i="57"/>
  <c r="CZ23" i="57"/>
  <c r="AQ23" i="59"/>
  <c r="DC10" i="55"/>
  <c r="DC23" i="59" s="1"/>
  <c r="CX37" i="57"/>
  <c r="CX7" i="57"/>
  <c r="CX35" i="57"/>
  <c r="CX5" i="57"/>
  <c r="CW36" i="57"/>
  <c r="CW6" i="57"/>
  <c r="CZ24" i="57"/>
  <c r="CZ14" i="57"/>
  <c r="AN128" i="55"/>
  <c r="CZ128" i="55" s="1"/>
  <c r="CZ105" i="55"/>
  <c r="CZ112" i="55" s="1"/>
  <c r="CZ29" i="57"/>
  <c r="CZ19" i="57"/>
  <c r="CY36" i="57"/>
  <c r="CY6" i="57"/>
  <c r="CZ25" i="57"/>
  <c r="CZ15" i="57"/>
  <c r="AL135" i="55"/>
  <c r="AL8" i="57" s="1"/>
  <c r="CX129" i="55"/>
  <c r="CX135" i="55" s="1"/>
  <c r="CY135" i="55"/>
  <c r="CY37" i="57"/>
  <c r="CY7" i="57"/>
  <c r="DB16" i="55"/>
  <c r="DB30" i="59" s="1"/>
  <c r="DB15" i="55"/>
  <c r="DB29" i="59" s="1"/>
  <c r="DB11" i="55"/>
  <c r="DB14" i="55"/>
  <c r="DB28" i="59" s="1"/>
  <c r="DB13" i="55"/>
  <c r="DB27" i="59" s="1"/>
  <c r="DB12" i="55"/>
  <c r="DB26" i="59" s="1"/>
  <c r="CZ43" i="55"/>
  <c r="CZ16" i="57"/>
  <c r="H5" i="57"/>
  <c r="O213" i="54"/>
  <c r="R208" i="53"/>
  <c r="AM5" i="57"/>
  <c r="P208" i="54"/>
  <c r="BY36" i="55"/>
  <c r="O214" i="54"/>
  <c r="O216" i="54" s="1"/>
  <c r="BY83" i="55"/>
  <c r="O215" i="54"/>
  <c r="AM4" i="57"/>
  <c r="BY174" i="55"/>
  <c r="BY29" i="57" s="1"/>
  <c r="BY37" i="55"/>
  <c r="BY13" i="57" s="1"/>
  <c r="BY60" i="55"/>
  <c r="BY82" i="55"/>
  <c r="BY106" i="55"/>
  <c r="BY16" i="57" s="1"/>
  <c r="BX89" i="55"/>
  <c r="BX36" i="57" s="1"/>
  <c r="AN89" i="55"/>
  <c r="AN36" i="57" s="1"/>
  <c r="AM10" i="57"/>
  <c r="BY105" i="55"/>
  <c r="AM6" i="57"/>
  <c r="AM7" i="57"/>
  <c r="S120" i="59"/>
  <c r="BX4" i="57"/>
  <c r="BX34" i="57"/>
  <c r="AL5" i="57"/>
  <c r="AL35" i="57"/>
  <c r="AN129" i="55"/>
  <c r="CZ129" i="55" s="1"/>
  <c r="AN26" i="57"/>
  <c r="AN16" i="57"/>
  <c r="H4" i="57"/>
  <c r="H34" i="57"/>
  <c r="AL4" i="57"/>
  <c r="AL34" i="57"/>
  <c r="AL6" i="57"/>
  <c r="AL36" i="57"/>
  <c r="H6" i="57"/>
  <c r="H36" i="57"/>
  <c r="H152" i="55"/>
  <c r="H158" i="55" s="1"/>
  <c r="H27" i="57"/>
  <c r="H17" i="57"/>
  <c r="G18" i="57"/>
  <c r="G20" i="57" s="1"/>
  <c r="G149" i="59" s="1"/>
  <c r="G155" i="59" s="1"/>
  <c r="G28" i="57"/>
  <c r="G30" i="57" s="1"/>
  <c r="AL7" i="57"/>
  <c r="AL37" i="57"/>
  <c r="I4" i="57"/>
  <c r="I34" i="57"/>
  <c r="AL10" i="57"/>
  <c r="AL40" i="57"/>
  <c r="H10" i="57"/>
  <c r="H40" i="57"/>
  <c r="H7" i="57"/>
  <c r="H37" i="57"/>
  <c r="AM151" i="55"/>
  <c r="CY151" i="55" s="1"/>
  <c r="AM135" i="55"/>
  <c r="AN29" i="57"/>
  <c r="AN19" i="57"/>
  <c r="AN13" i="57"/>
  <c r="AN23" i="57"/>
  <c r="AN24" i="57"/>
  <c r="AN14" i="57"/>
  <c r="AN25" i="57"/>
  <c r="AN15" i="57"/>
  <c r="AM152" i="55"/>
  <c r="CY152" i="55" s="1"/>
  <c r="AM17" i="57"/>
  <c r="AM27" i="57"/>
  <c r="G158" i="55"/>
  <c r="AL152" i="55"/>
  <c r="AL27" i="57"/>
  <c r="AL17" i="57"/>
  <c r="BZ98" i="59"/>
  <c r="BZ125" i="59"/>
  <c r="BZ99" i="59"/>
  <c r="BZ126" i="59"/>
  <c r="AP99" i="59"/>
  <c r="AP126" i="59"/>
  <c r="BY94" i="59"/>
  <c r="BY122" i="59"/>
  <c r="BX128" i="59"/>
  <c r="BZ100" i="59"/>
  <c r="BZ127" i="59"/>
  <c r="AP100" i="59"/>
  <c r="AP127" i="59"/>
  <c r="K125" i="59"/>
  <c r="AP98" i="59"/>
  <c r="AP125" i="59"/>
  <c r="BY95" i="59"/>
  <c r="BY123" i="59"/>
  <c r="BZ97" i="59"/>
  <c r="BZ124" i="59"/>
  <c r="AP97" i="59"/>
  <c r="AP124" i="59"/>
  <c r="S92" i="59"/>
  <c r="CA92" i="59"/>
  <c r="BX58" i="59"/>
  <c r="BZ57" i="59"/>
  <c r="BZ54" i="59"/>
  <c r="AP54" i="59"/>
  <c r="BZ55" i="59"/>
  <c r="AP57" i="59"/>
  <c r="AP55" i="59"/>
  <c r="BZ56" i="59"/>
  <c r="AP56" i="59"/>
  <c r="BX102" i="59"/>
  <c r="AN102" i="59"/>
  <c r="AX9" i="55"/>
  <c r="R22" i="59"/>
  <c r="R145" i="59" s="1"/>
  <c r="BZ19" i="55"/>
  <c r="BZ105" i="55" s="1"/>
  <c r="BZ25" i="59"/>
  <c r="BZ148" i="59" s="1"/>
  <c r="AP25" i="59"/>
  <c r="M59" i="58"/>
  <c r="AN181" i="55"/>
  <c r="Q211" i="53"/>
  <c r="Q212" i="53" s="1"/>
  <c r="AN112" i="55"/>
  <c r="O210" i="54"/>
  <c r="O226" i="54" s="1"/>
  <c r="AV176" i="55" s="1"/>
  <c r="DH176" i="55" s="1"/>
  <c r="AV172" i="55"/>
  <c r="BX151" i="55"/>
  <c r="O200" i="53"/>
  <c r="O206" i="53" s="1"/>
  <c r="CB180" i="55" s="1"/>
  <c r="CB172" i="55"/>
  <c r="AN43" i="55"/>
  <c r="AN66" i="55"/>
  <c r="BX66" i="55"/>
  <c r="BZ6" i="55"/>
  <c r="AY70" i="51"/>
  <c r="BA25" i="51"/>
  <c r="N236" i="54"/>
  <c r="N239" i="54" s="1"/>
  <c r="AP19" i="55"/>
  <c r="AP20" i="55"/>
  <c r="BA44" i="51"/>
  <c r="CA13" i="55"/>
  <c r="CA27" i="59" s="1"/>
  <c r="CA150" i="59" s="1"/>
  <c r="CA15" i="55"/>
  <c r="CA29" i="59" s="1"/>
  <c r="CA152" i="59" s="1"/>
  <c r="CA12" i="55"/>
  <c r="CA26" i="59" s="1"/>
  <c r="CA53" i="59" s="1"/>
  <c r="CA16" i="55"/>
  <c r="CA30" i="59" s="1"/>
  <c r="CA11" i="55"/>
  <c r="CA14" i="55"/>
  <c r="CA28" i="59" s="1"/>
  <c r="CA151" i="59" s="1"/>
  <c r="Q207" i="54"/>
  <c r="Q211" i="54" s="1"/>
  <c r="AX4" i="55"/>
  <c r="R207" i="54"/>
  <c r="R211" i="54" s="1"/>
  <c r="AY4" i="55"/>
  <c r="AY9" i="55"/>
  <c r="BZ7" i="55"/>
  <c r="AP7" i="55"/>
  <c r="K256" i="54"/>
  <c r="AR74" i="51"/>
  <c r="AR76" i="51" s="1"/>
  <c r="AR10" i="55"/>
  <c r="L256" i="53"/>
  <c r="M74" i="51"/>
  <c r="M76" i="51" s="1"/>
  <c r="M10" i="55"/>
  <c r="M23" i="59" s="1"/>
  <c r="AP6" i="55"/>
  <c r="V59" i="51"/>
  <c r="U38" i="53"/>
  <c r="N219" i="54"/>
  <c r="N218" i="54"/>
  <c r="M220" i="54"/>
  <c r="M224" i="54" s="1"/>
  <c r="M221" i="54"/>
  <c r="BA55" i="51"/>
  <c r="T39" i="54"/>
  <c r="Y45" i="54" s="1"/>
  <c r="U52" i="51"/>
  <c r="U54" i="51" s="1"/>
  <c r="T37" i="53"/>
  <c r="AF43" i="53" s="1"/>
  <c r="U48" i="51"/>
  <c r="T36" i="53"/>
  <c r="T42" i="53" s="1"/>
  <c r="P219" i="53"/>
  <c r="P218" i="53"/>
  <c r="R212" i="53"/>
  <c r="R215" i="53"/>
  <c r="R214" i="53"/>
  <c r="R213" i="53"/>
  <c r="O166" i="54"/>
  <c r="CB9" i="55" s="1"/>
  <c r="CB22" i="59" s="1"/>
  <c r="CB145" i="59" s="1"/>
  <c r="N199" i="54"/>
  <c r="N200" i="54" s="1"/>
  <c r="R209" i="53"/>
  <c r="R232" i="53"/>
  <c r="R233" i="53" s="1"/>
  <c r="M201" i="54"/>
  <c r="M204" i="54"/>
  <c r="M206" i="54"/>
  <c r="M203" i="54"/>
  <c r="M202" i="54"/>
  <c r="M205" i="54"/>
  <c r="BK50" i="51"/>
  <c r="AE107" i="53"/>
  <c r="AE108" i="53" s="1"/>
  <c r="AF53" i="51" s="1"/>
  <c r="BL53" i="51" s="1"/>
  <c r="AE113" i="53"/>
  <c r="AE114" i="53" s="1"/>
  <c r="AE109" i="53"/>
  <c r="AE110" i="53" s="1"/>
  <c r="AF62" i="51" s="1"/>
  <c r="BL62" i="51" s="1"/>
  <c r="AE111" i="53"/>
  <c r="AE112" i="53" s="1"/>
  <c r="AY61" i="51"/>
  <c r="S71" i="51"/>
  <c r="S73" i="51" s="1"/>
  <c r="S64" i="51"/>
  <c r="P213" i="54"/>
  <c r="P212" i="54"/>
  <c r="P215" i="54"/>
  <c r="P214" i="54"/>
  <c r="S70" i="51"/>
  <c r="BA59" i="51"/>
  <c r="T38" i="54"/>
  <c r="AX67" i="51"/>
  <c r="AX70" i="51" s="1"/>
  <c r="R70" i="51"/>
  <c r="S78" i="53"/>
  <c r="S80" i="53"/>
  <c r="S74" i="53"/>
  <c r="S75" i="53" s="1"/>
  <c r="T57" i="51" s="1"/>
  <c r="S72" i="53"/>
  <c r="S73" i="53" s="1"/>
  <c r="T49" i="51" s="1"/>
  <c r="AZ49" i="51" s="1"/>
  <c r="S47" i="53"/>
  <c r="AE109" i="54"/>
  <c r="AE110" i="54" s="1"/>
  <c r="AE107" i="54"/>
  <c r="AE108" i="54" s="1"/>
  <c r="AE111" i="54"/>
  <c r="AE112" i="54" s="1"/>
  <c r="AE113" i="54"/>
  <c r="AE114" i="54" s="1"/>
  <c r="O219" i="53"/>
  <c r="O218" i="53"/>
  <c r="P232" i="54"/>
  <c r="P233" i="54" s="1"/>
  <c r="P209" i="54"/>
  <c r="DI172" i="55" s="1"/>
  <c r="AZ48" i="51"/>
  <c r="S36" i="54"/>
  <c r="S42" i="54" s="1"/>
  <c r="X141" i="54"/>
  <c r="X142" i="54" s="1"/>
  <c r="X139" i="54"/>
  <c r="X140" i="54" s="1"/>
  <c r="X137" i="54"/>
  <c r="X138" i="54" s="1"/>
  <c r="Q81" i="54"/>
  <c r="Q165" i="54"/>
  <c r="V52" i="51"/>
  <c r="V54" i="51" s="1"/>
  <c r="U37" i="53"/>
  <c r="AG43" i="53" s="1"/>
  <c r="Q209" i="53"/>
  <c r="Q232" i="53"/>
  <c r="Q233" i="53" s="1"/>
  <c r="W160" i="54"/>
  <c r="O236" i="53"/>
  <c r="O239" i="53" s="1"/>
  <c r="X160" i="54"/>
  <c r="AX61" i="51"/>
  <c r="R71" i="51"/>
  <c r="R73" i="51" s="1"/>
  <c r="R64" i="51"/>
  <c r="R81" i="54"/>
  <c r="R165" i="54"/>
  <c r="M237" i="54"/>
  <c r="M238" i="54" s="1"/>
  <c r="M240" i="54" s="1"/>
  <c r="M239" i="54"/>
  <c r="V39" i="51"/>
  <c r="V65" i="51" s="1"/>
  <c r="U65" i="51"/>
  <c r="T40" i="53"/>
  <c r="Y46" i="53" s="1"/>
  <c r="Y159" i="53" s="1"/>
  <c r="X140" i="53"/>
  <c r="Y63" i="51" s="1"/>
  <c r="BE63" i="51" s="1"/>
  <c r="P199" i="53"/>
  <c r="Q166" i="53"/>
  <c r="X138" i="53"/>
  <c r="X142" i="53"/>
  <c r="Y69" i="51" s="1"/>
  <c r="BE69" i="51" s="1"/>
  <c r="X160" i="53"/>
  <c r="Y66" i="51" s="1"/>
  <c r="BE66" i="51" s="1"/>
  <c r="Y137" i="53"/>
  <c r="Z56" i="51" s="1"/>
  <c r="BF56" i="51" s="1"/>
  <c r="Y139" i="53"/>
  <c r="Y141" i="53"/>
  <c r="V55" i="51"/>
  <c r="U39" i="53"/>
  <c r="Z45" i="53" s="1"/>
  <c r="V25" i="51"/>
  <c r="BB29" i="51"/>
  <c r="BB15" i="51"/>
  <c r="BB17" i="51" s="1"/>
  <c r="W33" i="51"/>
  <c r="W35" i="51" s="1"/>
  <c r="BA39" i="51"/>
  <c r="W29" i="51"/>
  <c r="V44" i="51"/>
  <c r="W24" i="51"/>
  <c r="Y30" i="51"/>
  <c r="BD30" i="51"/>
  <c r="X32" i="51"/>
  <c r="X17" i="59" s="1"/>
  <c r="X34" i="51"/>
  <c r="X18" i="59" s="1"/>
  <c r="X31" i="51"/>
  <c r="X16" i="59" s="1"/>
  <c r="BA43" i="51"/>
  <c r="BA17" i="51"/>
  <c r="U46" i="51"/>
  <c r="V43" i="51"/>
  <c r="X36" i="51"/>
  <c r="BB33" i="51"/>
  <c r="BB35" i="51" s="1"/>
  <c r="X14" i="51"/>
  <c r="X13" i="59" s="1"/>
  <c r="X13" i="51"/>
  <c r="X12" i="59" s="1"/>
  <c r="BC27" i="51"/>
  <c r="BC14" i="59" s="1"/>
  <c r="BC28" i="51"/>
  <c r="BC15" i="59" s="1"/>
  <c r="BB24" i="51"/>
  <c r="W15" i="51"/>
  <c r="BC23" i="51"/>
  <c r="BC11" i="59" s="1"/>
  <c r="BC22" i="51"/>
  <c r="BC10" i="59" s="1"/>
  <c r="BC20" i="51"/>
  <c r="BC9" i="59" s="1"/>
  <c r="BC19" i="51"/>
  <c r="BC8" i="59" s="1"/>
  <c r="X20" i="51"/>
  <c r="X9" i="59" s="1"/>
  <c r="X23" i="51"/>
  <c r="X11" i="59" s="1"/>
  <c r="X22" i="51"/>
  <c r="X10" i="59" s="1"/>
  <c r="X19" i="51"/>
  <c r="X8" i="59" s="1"/>
  <c r="BD18" i="51"/>
  <c r="Y18" i="51"/>
  <c r="BD12" i="51"/>
  <c r="BC36" i="51"/>
  <c r="BB21" i="51"/>
  <c r="BC34" i="51"/>
  <c r="BC18" i="59" s="1"/>
  <c r="BC32" i="51"/>
  <c r="BC17" i="59" s="1"/>
  <c r="BC31" i="51"/>
  <c r="BC16" i="59" s="1"/>
  <c r="BB37" i="51"/>
  <c r="BB19" i="59" s="1"/>
  <c r="BB38" i="51"/>
  <c r="BB20" i="59" s="1"/>
  <c r="W37" i="51"/>
  <c r="W19" i="59" s="1"/>
  <c r="W38" i="51"/>
  <c r="W20" i="59" s="1"/>
  <c r="W21" i="51"/>
  <c r="Z10" i="51"/>
  <c r="BE10" i="51"/>
  <c r="Y12" i="51"/>
  <c r="BC13" i="51"/>
  <c r="BC12" i="59" s="1"/>
  <c r="BC14" i="51"/>
  <c r="BC13" i="59" s="1"/>
  <c r="Y26" i="51"/>
  <c r="X28" i="51"/>
  <c r="X15" i="59" s="1"/>
  <c r="X27" i="51"/>
  <c r="X14" i="59" s="1"/>
  <c r="BD26" i="51"/>
  <c r="CZ10" i="57" l="1"/>
  <c r="CZ40" i="57"/>
  <c r="V75" i="59"/>
  <c r="I7" i="57"/>
  <c r="I37" i="57"/>
  <c r="K24" i="59"/>
  <c r="CW39" i="57"/>
  <c r="CW9" i="57"/>
  <c r="I6" i="57"/>
  <c r="I36" i="57"/>
  <c r="I5" i="57"/>
  <c r="I35" i="57"/>
  <c r="K99" i="59"/>
  <c r="K126" i="59"/>
  <c r="K97" i="59"/>
  <c r="K124" i="59"/>
  <c r="K98" i="59"/>
  <c r="K100" i="59"/>
  <c r="K127" i="59"/>
  <c r="K57" i="59"/>
  <c r="K55" i="59"/>
  <c r="K56" i="59"/>
  <c r="K54" i="59"/>
  <c r="K25" i="59"/>
  <c r="K148" i="59" s="1"/>
  <c r="K20" i="55"/>
  <c r="K19" i="55"/>
  <c r="K6" i="55"/>
  <c r="K7" i="55"/>
  <c r="L13" i="55"/>
  <c r="L27" i="59" s="1"/>
  <c r="L150" i="59" s="1"/>
  <c r="K101" i="59"/>
  <c r="K153" i="59"/>
  <c r="AQ11" i="58"/>
  <c r="L16" i="55"/>
  <c r="L30" i="59" s="1"/>
  <c r="AQ6" i="58"/>
  <c r="L14" i="55"/>
  <c r="L28" i="59" s="1"/>
  <c r="L151" i="59" s="1"/>
  <c r="L12" i="55"/>
  <c r="L26" i="59" s="1"/>
  <c r="L53" i="59" s="1"/>
  <c r="L15" i="55"/>
  <c r="L29" i="59" s="1"/>
  <c r="L152" i="59" s="1"/>
  <c r="L11" i="55"/>
  <c r="L50" i="59"/>
  <c r="L31" i="59"/>
  <c r="L154" i="59" s="1"/>
  <c r="BA75" i="59"/>
  <c r="L121" i="59"/>
  <c r="J23" i="57"/>
  <c r="J13" i="57"/>
  <c r="J24" i="57"/>
  <c r="J14" i="57"/>
  <c r="L93" i="59"/>
  <c r="AQ152" i="59"/>
  <c r="AQ151" i="59"/>
  <c r="AQ101" i="59"/>
  <c r="AQ153" i="59"/>
  <c r="M240" i="53"/>
  <c r="M261" i="53" s="1"/>
  <c r="N240" i="53"/>
  <c r="AK38" i="57"/>
  <c r="BW20" i="57"/>
  <c r="BW149" i="59" s="1"/>
  <c r="BW155" i="59" s="1"/>
  <c r="AK158" i="55"/>
  <c r="J43" i="55"/>
  <c r="L58" i="58"/>
  <c r="L5" i="58" s="1"/>
  <c r="AR59" i="58"/>
  <c r="J66" i="55"/>
  <c r="N74" i="51"/>
  <c r="L256" i="54"/>
  <c r="AS74" i="51"/>
  <c r="AS76" i="51" s="1"/>
  <c r="AS10" i="55"/>
  <c r="M146" i="59"/>
  <c r="M254" i="53"/>
  <c r="N221" i="53"/>
  <c r="N220" i="53"/>
  <c r="N224" i="53" s="1"/>
  <c r="I8" i="57"/>
  <c r="I38" i="57"/>
  <c r="J129" i="55"/>
  <c r="J16" i="57"/>
  <c r="J26" i="57"/>
  <c r="BX7" i="57"/>
  <c r="BX37" i="57"/>
  <c r="I10" i="57"/>
  <c r="I40" i="57"/>
  <c r="J181" i="55"/>
  <c r="J151" i="55"/>
  <c r="J89" i="55"/>
  <c r="J112" i="55"/>
  <c r="BV39" i="57"/>
  <c r="BV41" i="57" s="1"/>
  <c r="BV9" i="57"/>
  <c r="N77" i="51"/>
  <c r="N59" i="58" s="1"/>
  <c r="M262" i="53"/>
  <c r="N78" i="51" s="1"/>
  <c r="AQ146" i="59"/>
  <c r="CW27" i="57"/>
  <c r="CW17" i="57"/>
  <c r="CW28" i="57"/>
  <c r="CW18" i="57"/>
  <c r="CW135" i="55"/>
  <c r="BW158" i="55"/>
  <c r="BW9" i="57" s="1"/>
  <c r="BX10" i="57"/>
  <c r="BX40" i="57"/>
  <c r="AK28" i="57"/>
  <c r="AK30" i="57" s="1"/>
  <c r="AK18" i="57"/>
  <c r="AK20" i="57" s="1"/>
  <c r="AK149" i="59" s="1"/>
  <c r="AK155" i="59" s="1"/>
  <c r="BW8" i="57"/>
  <c r="BW38" i="57"/>
  <c r="BW28" i="57"/>
  <c r="BW30" i="57" s="1"/>
  <c r="BX6" i="57"/>
  <c r="J29" i="57"/>
  <c r="J19" i="57"/>
  <c r="J15" i="57"/>
  <c r="J25" i="57"/>
  <c r="J128" i="59"/>
  <c r="I152" i="55"/>
  <c r="I27" i="57"/>
  <c r="I17" i="57"/>
  <c r="AQ99" i="59"/>
  <c r="AQ126" i="59"/>
  <c r="AQ97" i="59"/>
  <c r="AQ124" i="59"/>
  <c r="K10" i="58"/>
  <c r="AS59" i="58"/>
  <c r="N244" i="54"/>
  <c r="N245" i="54" s="1"/>
  <c r="N254" i="54" s="1"/>
  <c r="AU75" i="51" s="1"/>
  <c r="P239" i="53"/>
  <c r="P244" i="53" s="1"/>
  <c r="AP152" i="59"/>
  <c r="AO152" i="59"/>
  <c r="AO57" i="59"/>
  <c r="AO127" i="59"/>
  <c r="AO100" i="59"/>
  <c r="AO7" i="55"/>
  <c r="AO27" i="59"/>
  <c r="AO54" i="59"/>
  <c r="AO124" i="59"/>
  <c r="AO97" i="59"/>
  <c r="AO53" i="59"/>
  <c r="AO25" i="59"/>
  <c r="AO19" i="55"/>
  <c r="AO20" i="55"/>
  <c r="AO24" i="59"/>
  <c r="AP151" i="59"/>
  <c r="AO151" i="59"/>
  <c r="AO56" i="59"/>
  <c r="AO126" i="59"/>
  <c r="AO99" i="59"/>
  <c r="AO153" i="59"/>
  <c r="AO101" i="59"/>
  <c r="DA13" i="55"/>
  <c r="DA12" i="55"/>
  <c r="DA26" i="59" s="1"/>
  <c r="DA14" i="55"/>
  <c r="DA28" i="59" s="1"/>
  <c r="DA15" i="55"/>
  <c r="DA29" i="59" s="1"/>
  <c r="DA16" i="55"/>
  <c r="DA30" i="59" s="1"/>
  <c r="DA11" i="55"/>
  <c r="DA23" i="59"/>
  <c r="AP146" i="59"/>
  <c r="AO146" i="59"/>
  <c r="AO31" i="59"/>
  <c r="AO50" i="59"/>
  <c r="AO93" i="59"/>
  <c r="AO121" i="59"/>
  <c r="AO6" i="55"/>
  <c r="AP153" i="59"/>
  <c r="P237" i="53"/>
  <c r="P238" i="53" s="1"/>
  <c r="BA48" i="51"/>
  <c r="T36" i="54"/>
  <c r="T42" i="54" s="1"/>
  <c r="N244" i="53"/>
  <c r="N245" i="53" s="1"/>
  <c r="N252" i="53" s="1"/>
  <c r="O217" i="54"/>
  <c r="O222" i="54"/>
  <c r="O234" i="54" s="1"/>
  <c r="O235" i="54" s="1"/>
  <c r="O223" i="54"/>
  <c r="Q215" i="53"/>
  <c r="BA46" i="51"/>
  <c r="CZ35" i="57"/>
  <c r="CZ5" i="57"/>
  <c r="CZ36" i="57"/>
  <c r="CZ6" i="57"/>
  <c r="J102" i="59"/>
  <c r="AQ98" i="59"/>
  <c r="AQ6" i="55"/>
  <c r="AQ7" i="55"/>
  <c r="H8" i="57"/>
  <c r="H38" i="57"/>
  <c r="AQ125" i="59"/>
  <c r="AQ100" i="59"/>
  <c r="AQ127" i="59"/>
  <c r="AQ57" i="59"/>
  <c r="AQ56" i="59"/>
  <c r="AQ54" i="59"/>
  <c r="AQ55" i="59"/>
  <c r="AQ25" i="59"/>
  <c r="AQ20" i="55"/>
  <c r="AQ19" i="55"/>
  <c r="J58" i="59"/>
  <c r="CA24" i="59"/>
  <c r="BC43" i="59"/>
  <c r="BC113" i="59"/>
  <c r="BC86" i="59"/>
  <c r="BC69" i="59"/>
  <c r="BC112" i="59"/>
  <c r="BC68" i="59"/>
  <c r="BC42" i="59"/>
  <c r="BC85" i="59"/>
  <c r="CZ58" i="59"/>
  <c r="X86" i="59"/>
  <c r="X113" i="59"/>
  <c r="X43" i="59"/>
  <c r="X69" i="59"/>
  <c r="X83" i="59"/>
  <c r="X110" i="59"/>
  <c r="X40" i="59"/>
  <c r="X66" i="59"/>
  <c r="X87" i="59"/>
  <c r="X114" i="59"/>
  <c r="X44" i="59"/>
  <c r="X70" i="59"/>
  <c r="BC46" i="59"/>
  <c r="BC89" i="59"/>
  <c r="BC116" i="59"/>
  <c r="BC72" i="59"/>
  <c r="W47" i="59"/>
  <c r="W73" i="59"/>
  <c r="W90" i="59"/>
  <c r="W117" i="59"/>
  <c r="X111" i="59"/>
  <c r="X84" i="59"/>
  <c r="X41" i="59"/>
  <c r="X67" i="59"/>
  <c r="X89" i="59"/>
  <c r="X116" i="59"/>
  <c r="X46" i="59"/>
  <c r="X72" i="59"/>
  <c r="N237" i="54"/>
  <c r="N238" i="54" s="1"/>
  <c r="BY89" i="55"/>
  <c r="W48" i="59"/>
  <c r="W74" i="59"/>
  <c r="W91" i="59"/>
  <c r="W118" i="59"/>
  <c r="X68" i="59"/>
  <c r="X112" i="59"/>
  <c r="X85" i="59"/>
  <c r="X42" i="59"/>
  <c r="BB48" i="59"/>
  <c r="BB91" i="59"/>
  <c r="BB118" i="59"/>
  <c r="BB74" i="59"/>
  <c r="BC40" i="59"/>
  <c r="BC66" i="59"/>
  <c r="BC83" i="59"/>
  <c r="BC110" i="59"/>
  <c r="DB101" i="59"/>
  <c r="X45" i="59"/>
  <c r="X88" i="59"/>
  <c r="X115" i="59"/>
  <c r="X71" i="59"/>
  <c r="BB117" i="59"/>
  <c r="BB90" i="59"/>
  <c r="BB73" i="59"/>
  <c r="BB47" i="59"/>
  <c r="BC87" i="59"/>
  <c r="BC114" i="59"/>
  <c r="BC44" i="59"/>
  <c r="BC70" i="59"/>
  <c r="CA101" i="59"/>
  <c r="CA153" i="59"/>
  <c r="AP51" i="59"/>
  <c r="BZ51" i="59"/>
  <c r="BZ147" i="59"/>
  <c r="BC41" i="59"/>
  <c r="BC67" i="59"/>
  <c r="BC84" i="59"/>
  <c r="BC111" i="59"/>
  <c r="BC88" i="59"/>
  <c r="BC45" i="59"/>
  <c r="BC115" i="59"/>
  <c r="BC71" i="59"/>
  <c r="S145" i="59"/>
  <c r="BY129" i="55"/>
  <c r="BY17" i="57" s="1"/>
  <c r="DB56" i="59"/>
  <c r="DB126" i="59"/>
  <c r="DB99" i="59"/>
  <c r="BX135" i="55"/>
  <c r="BX8" i="57" s="1"/>
  <c r="BY24" i="57"/>
  <c r="BY14" i="57"/>
  <c r="DB6" i="55"/>
  <c r="DB25" i="59"/>
  <c r="DB24" i="59"/>
  <c r="CZ102" i="59"/>
  <c r="DB98" i="59"/>
  <c r="DB125" i="59"/>
  <c r="DB55" i="59"/>
  <c r="Q214" i="53"/>
  <c r="Q216" i="53" s="1"/>
  <c r="DB100" i="59"/>
  <c r="DB57" i="59"/>
  <c r="DB127" i="59"/>
  <c r="DC50" i="59"/>
  <c r="DC93" i="59"/>
  <c r="DC121" i="59"/>
  <c r="DC31" i="59"/>
  <c r="CZ128" i="59"/>
  <c r="BY26" i="57"/>
  <c r="Q213" i="53"/>
  <c r="M11" i="58"/>
  <c r="M6" i="58"/>
  <c r="BX27" i="57"/>
  <c r="CZ26" i="57"/>
  <c r="O201" i="53"/>
  <c r="BX152" i="55"/>
  <c r="BX18" i="57" s="1"/>
  <c r="BX20" i="57" s="1"/>
  <c r="R208" i="54"/>
  <c r="O202" i="53"/>
  <c r="CB176" i="55" s="1"/>
  <c r="BY25" i="57"/>
  <c r="BY15" i="57"/>
  <c r="DB53" i="59"/>
  <c r="DB124" i="59"/>
  <c r="DB97" i="59"/>
  <c r="DB54" i="59"/>
  <c r="AP96" i="59"/>
  <c r="AP52" i="59"/>
  <c r="BZ96" i="59"/>
  <c r="BZ52" i="59"/>
  <c r="AQ50" i="59"/>
  <c r="AQ24" i="59"/>
  <c r="AQ31" i="59"/>
  <c r="M50" i="59"/>
  <c r="M31" i="59"/>
  <c r="CB120" i="59"/>
  <c r="CB49" i="59"/>
  <c r="CB31" i="59"/>
  <c r="CB154" i="59" s="1"/>
  <c r="R49" i="59"/>
  <c r="CZ135" i="55"/>
  <c r="CZ38" i="57" s="1"/>
  <c r="BC82" i="59"/>
  <c r="BC109" i="59"/>
  <c r="BC39" i="59"/>
  <c r="BC65" i="59"/>
  <c r="X36" i="59"/>
  <c r="X79" i="59"/>
  <c r="X106" i="59"/>
  <c r="X62" i="59"/>
  <c r="X38" i="59"/>
  <c r="X81" i="59"/>
  <c r="X108" i="59"/>
  <c r="X64" i="59"/>
  <c r="AL38" i="57"/>
  <c r="X82" i="59"/>
  <c r="X109" i="59"/>
  <c r="X39" i="59"/>
  <c r="X65" i="59"/>
  <c r="X80" i="59"/>
  <c r="X107" i="59"/>
  <c r="X37" i="59"/>
  <c r="X63" i="59"/>
  <c r="BC81" i="59"/>
  <c r="BC38" i="59"/>
  <c r="BC108" i="59"/>
  <c r="BC64" i="59"/>
  <c r="BC79" i="59"/>
  <c r="BC106" i="59"/>
  <c r="BC36" i="59"/>
  <c r="BC62" i="59"/>
  <c r="BC37" i="59"/>
  <c r="BC80" i="59"/>
  <c r="BC107" i="59"/>
  <c r="BC63" i="59"/>
  <c r="BY112" i="55"/>
  <c r="DB19" i="55"/>
  <c r="DB20" i="55"/>
  <c r="AY22" i="59"/>
  <c r="DK9" i="55"/>
  <c r="DK22" i="59" s="1"/>
  <c r="AX22" i="59"/>
  <c r="AX145" i="59" s="1"/>
  <c r="DJ9" i="55"/>
  <c r="DJ22" i="59" s="1"/>
  <c r="DJ145" i="59" s="1"/>
  <c r="CY28" i="57"/>
  <c r="CY30" i="57" s="1"/>
  <c r="CY18" i="57"/>
  <c r="CY20" i="57" s="1"/>
  <c r="CZ34" i="57"/>
  <c r="CZ4" i="57"/>
  <c r="CX38" i="57"/>
  <c r="CX8" i="57"/>
  <c r="AL158" i="55"/>
  <c r="AL9" i="57" s="1"/>
  <c r="CX152" i="55"/>
  <c r="CY158" i="55"/>
  <c r="CZ17" i="57"/>
  <c r="CZ27" i="57"/>
  <c r="DC15" i="55"/>
  <c r="DC29" i="59" s="1"/>
  <c r="DC14" i="55"/>
  <c r="DC28" i="59" s="1"/>
  <c r="DC13" i="55"/>
  <c r="DC27" i="59" s="1"/>
  <c r="DC11" i="55"/>
  <c r="DC16" i="55"/>
  <c r="DC30" i="59" s="1"/>
  <c r="DC12" i="55"/>
  <c r="DC26" i="59" s="1"/>
  <c r="AR23" i="59"/>
  <c r="AR146" i="59" s="1"/>
  <c r="DD10" i="55"/>
  <c r="DD23" i="59" s="1"/>
  <c r="AN135" i="55"/>
  <c r="AN8" i="57" s="1"/>
  <c r="DB7" i="55"/>
  <c r="CY38" i="57"/>
  <c r="CY8" i="57"/>
  <c r="AQ121" i="59"/>
  <c r="AQ93" i="59"/>
  <c r="BY181" i="55"/>
  <c r="BY40" i="57" s="1"/>
  <c r="AN151" i="55"/>
  <c r="CZ151" i="55" s="1"/>
  <c r="CX27" i="57"/>
  <c r="CX17" i="57"/>
  <c r="CZ37" i="57"/>
  <c r="CZ7" i="57"/>
  <c r="BY23" i="57"/>
  <c r="BZ174" i="55"/>
  <c r="BY66" i="55"/>
  <c r="BY5" i="57" s="1"/>
  <c r="BZ60" i="55"/>
  <c r="BZ14" i="57" s="1"/>
  <c r="BZ36" i="55"/>
  <c r="BZ37" i="55"/>
  <c r="BZ13" i="57" s="1"/>
  <c r="BZ82" i="55"/>
  <c r="BZ83" i="55"/>
  <c r="BZ15" i="57" s="1"/>
  <c r="BZ175" i="55"/>
  <c r="BZ19" i="57" s="1"/>
  <c r="BZ106" i="55"/>
  <c r="BZ16" i="57" s="1"/>
  <c r="BZ59" i="55"/>
  <c r="BY128" i="55"/>
  <c r="BY43" i="55"/>
  <c r="BY4" i="57" s="1"/>
  <c r="AN6" i="57"/>
  <c r="AM158" i="55"/>
  <c r="H9" i="57"/>
  <c r="H39" i="57"/>
  <c r="BX5" i="57"/>
  <c r="BX35" i="57"/>
  <c r="AN10" i="57"/>
  <c r="AN40" i="57"/>
  <c r="M121" i="59"/>
  <c r="AN5" i="57"/>
  <c r="AN35" i="57"/>
  <c r="AN4" i="57"/>
  <c r="AN34" i="57"/>
  <c r="AN152" i="55"/>
  <c r="CZ152" i="55" s="1"/>
  <c r="AN27" i="57"/>
  <c r="AN17" i="57"/>
  <c r="AM28" i="57"/>
  <c r="AM30" i="57" s="1"/>
  <c r="AM18" i="57"/>
  <c r="AM20" i="57" s="1"/>
  <c r="AL28" i="57"/>
  <c r="AL30" i="57" s="1"/>
  <c r="AL18" i="57"/>
  <c r="AL20" i="57" s="1"/>
  <c r="G9" i="57"/>
  <c r="G39" i="57"/>
  <c r="G41" i="57" s="1"/>
  <c r="H28" i="57"/>
  <c r="H30" i="57" s="1"/>
  <c r="H18" i="57"/>
  <c r="H20" i="57" s="1"/>
  <c r="H149" i="59" s="1"/>
  <c r="H155" i="59" s="1"/>
  <c r="AN7" i="57"/>
  <c r="AN37" i="57"/>
  <c r="R120" i="59"/>
  <c r="AM38" i="57"/>
  <c r="AM8" i="57"/>
  <c r="CA97" i="59"/>
  <c r="CA124" i="59"/>
  <c r="CA100" i="59"/>
  <c r="CA127" i="59"/>
  <c r="BY128" i="59"/>
  <c r="CA98" i="59"/>
  <c r="CA125" i="59"/>
  <c r="AP94" i="59"/>
  <c r="AP122" i="59"/>
  <c r="BZ94" i="59"/>
  <c r="BZ122" i="59"/>
  <c r="AP95" i="59"/>
  <c r="AP123" i="59"/>
  <c r="CA99" i="59"/>
  <c r="CA126" i="59"/>
  <c r="BZ95" i="59"/>
  <c r="BZ123" i="59"/>
  <c r="M93" i="59"/>
  <c r="CB92" i="59"/>
  <c r="R92" i="59"/>
  <c r="BY58" i="59"/>
  <c r="CA56" i="59"/>
  <c r="CA54" i="59"/>
  <c r="CA57" i="59"/>
  <c r="CA55" i="59"/>
  <c r="BY102" i="59"/>
  <c r="CA19" i="55"/>
  <c r="CA175" i="55" s="1"/>
  <c r="CA19" i="57" s="1"/>
  <c r="CA25" i="59"/>
  <c r="CA148" i="59" s="1"/>
  <c r="Q208" i="54"/>
  <c r="W25" i="51"/>
  <c r="AR58" i="58"/>
  <c r="O203" i="53"/>
  <c r="CB177" i="55" s="1"/>
  <c r="O205" i="53"/>
  <c r="CB179" i="55" s="1"/>
  <c r="O204" i="53"/>
  <c r="CB178" i="55" s="1"/>
  <c r="U40" i="53"/>
  <c r="Z46" i="53" s="1"/>
  <c r="Z159" i="53" s="1"/>
  <c r="Z160" i="53" s="1"/>
  <c r="AA66" i="51" s="1"/>
  <c r="BG66" i="51" s="1"/>
  <c r="O225" i="54"/>
  <c r="M58" i="58"/>
  <c r="M5" i="58" s="1"/>
  <c r="AP106" i="55"/>
  <c r="DB106" i="55" s="1"/>
  <c r="AP83" i="55"/>
  <c r="DB83" i="55" s="1"/>
  <c r="AP175" i="55"/>
  <c r="DB175" i="55" s="1"/>
  <c r="AP105" i="55"/>
  <c r="AP82" i="55"/>
  <c r="DB82" i="55" s="1"/>
  <c r="AP174" i="55"/>
  <c r="DB174" i="55" s="1"/>
  <c r="O227" i="54"/>
  <c r="AV177" i="55" s="1"/>
  <c r="DH177" i="55" s="1"/>
  <c r="R210" i="53"/>
  <c r="S172" i="55"/>
  <c r="P200" i="53"/>
  <c r="P201" i="53" s="1"/>
  <c r="CC172" i="55"/>
  <c r="P210" i="54"/>
  <c r="P226" i="54" s="1"/>
  <c r="AW176" i="55" s="1"/>
  <c r="DI176" i="55" s="1"/>
  <c r="AW172" i="55"/>
  <c r="O228" i="54"/>
  <c r="AV178" i="55" s="1"/>
  <c r="DH178" i="55" s="1"/>
  <c r="O229" i="54"/>
  <c r="AV179" i="55" s="1"/>
  <c r="DH179" i="55" s="1"/>
  <c r="Q210" i="53"/>
  <c r="Q226" i="53" s="1"/>
  <c r="R176" i="55" s="1"/>
  <c r="R172" i="55"/>
  <c r="O230" i="54"/>
  <c r="AV180" i="55" s="1"/>
  <c r="DH180" i="55" s="1"/>
  <c r="BZ128" i="55"/>
  <c r="AP60" i="55"/>
  <c r="DB60" i="55" s="1"/>
  <c r="AP59" i="55"/>
  <c r="DB59" i="55" s="1"/>
  <c r="AP37" i="55"/>
  <c r="DB37" i="55" s="1"/>
  <c r="AP36" i="55"/>
  <c r="DB36" i="55" s="1"/>
  <c r="CA6" i="55"/>
  <c r="AR12" i="55"/>
  <c r="AR26" i="59" s="1"/>
  <c r="AR53" i="59" s="1"/>
  <c r="AR16" i="55"/>
  <c r="AR30" i="59" s="1"/>
  <c r="AR13" i="55"/>
  <c r="AR27" i="59" s="1"/>
  <c r="AR11" i="55"/>
  <c r="AR15" i="55"/>
  <c r="AR29" i="59" s="1"/>
  <c r="AR152" i="59" s="1"/>
  <c r="AR14" i="55"/>
  <c r="AR28" i="59" s="1"/>
  <c r="AR151" i="59" s="1"/>
  <c r="S207" i="53"/>
  <c r="S211" i="53" s="1"/>
  <c r="T4" i="55"/>
  <c r="CB13" i="55"/>
  <c r="CB27" i="59" s="1"/>
  <c r="CB150" i="59" s="1"/>
  <c r="CB14" i="55"/>
  <c r="CB28" i="59" s="1"/>
  <c r="CB151" i="59" s="1"/>
  <c r="CB16" i="55"/>
  <c r="CB30" i="59" s="1"/>
  <c r="CB12" i="55"/>
  <c r="CB26" i="59" s="1"/>
  <c r="CB53" i="59" s="1"/>
  <c r="CB11" i="55"/>
  <c r="CB15" i="55"/>
  <c r="CB29" i="59" s="1"/>
  <c r="CB152" i="59" s="1"/>
  <c r="M11" i="55"/>
  <c r="M16" i="55"/>
  <c r="M30" i="59" s="1"/>
  <c r="M14" i="55"/>
  <c r="M28" i="59" s="1"/>
  <c r="M15" i="55"/>
  <c r="M29" i="59" s="1"/>
  <c r="M13" i="55"/>
  <c r="M27" i="59" s="1"/>
  <c r="M12" i="55"/>
  <c r="M26" i="59" s="1"/>
  <c r="M53" i="59" s="1"/>
  <c r="CA7" i="55"/>
  <c r="BB52" i="51"/>
  <c r="BB54" i="51" s="1"/>
  <c r="U37" i="54"/>
  <c r="AG43" i="54" s="1"/>
  <c r="AX71" i="51"/>
  <c r="AX73" i="51" s="1"/>
  <c r="AX64" i="51"/>
  <c r="AG113" i="53"/>
  <c r="AG114" i="53" s="1"/>
  <c r="AG107" i="53"/>
  <c r="AG108" i="53" s="1"/>
  <c r="AH53" i="51" s="1"/>
  <c r="AG109" i="53"/>
  <c r="AG110" i="53" s="1"/>
  <c r="AH62" i="51" s="1"/>
  <c r="BN62" i="51" s="1"/>
  <c r="AG111" i="53"/>
  <c r="AG112" i="53" s="1"/>
  <c r="R216" i="53"/>
  <c r="R217" i="53"/>
  <c r="N220" i="54"/>
  <c r="N224" i="54" s="1"/>
  <c r="N221" i="54"/>
  <c r="BB59" i="51"/>
  <c r="U38" i="54"/>
  <c r="O220" i="53"/>
  <c r="O224" i="53" s="1"/>
  <c r="O221" i="53"/>
  <c r="R223" i="53"/>
  <c r="R222" i="53"/>
  <c r="R234" i="53" s="1"/>
  <c r="R235" i="53" s="1"/>
  <c r="AF107" i="53"/>
  <c r="AF108" i="53" s="1"/>
  <c r="AG53" i="51" s="1"/>
  <c r="BM53" i="51" s="1"/>
  <c r="AF111" i="53"/>
  <c r="AF112" i="53" s="1"/>
  <c r="AF113" i="53"/>
  <c r="AF114" i="53" s="1"/>
  <c r="AF109" i="53"/>
  <c r="AF110" i="53" s="1"/>
  <c r="AG62" i="51" s="1"/>
  <c r="BM62" i="51" s="1"/>
  <c r="V48" i="51"/>
  <c r="U36" i="53"/>
  <c r="U42" i="53" s="1"/>
  <c r="M261" i="54"/>
  <c r="M244" i="54"/>
  <c r="M245" i="54" s="1"/>
  <c r="M254" i="54" s="1"/>
  <c r="AT75" i="51" s="1"/>
  <c r="R213" i="54"/>
  <c r="R215" i="54"/>
  <c r="R214" i="54"/>
  <c r="R212" i="54"/>
  <c r="Q232" i="54"/>
  <c r="Q233" i="54" s="1"/>
  <c r="Q209" i="54"/>
  <c r="DJ172" i="55" s="1"/>
  <c r="AZ57" i="51"/>
  <c r="AZ58" i="51" s="1"/>
  <c r="AZ72" i="51" s="1"/>
  <c r="T58" i="51"/>
  <c r="T72" i="51" s="1"/>
  <c r="T47" i="54"/>
  <c r="T74" i="54"/>
  <c r="T75" i="54" s="1"/>
  <c r="T72" i="54"/>
  <c r="T73" i="54" s="1"/>
  <c r="S81" i="53"/>
  <c r="T61" i="51" s="1"/>
  <c r="S165" i="53"/>
  <c r="T9" i="55" s="1"/>
  <c r="T22" i="59" s="1"/>
  <c r="T145" i="59" s="1"/>
  <c r="Y137" i="54"/>
  <c r="Y138" i="54" s="1"/>
  <c r="Y139" i="54"/>
  <c r="Y140" i="54" s="1"/>
  <c r="Y141" i="54"/>
  <c r="Y142" i="54" s="1"/>
  <c r="BA52" i="51"/>
  <c r="BA54" i="51" s="1"/>
  <c r="T37" i="54"/>
  <c r="AF43" i="54" s="1"/>
  <c r="R232" i="54"/>
  <c r="R233" i="54" s="1"/>
  <c r="R209" i="54"/>
  <c r="DK172" i="55" s="1"/>
  <c r="T67" i="51"/>
  <c r="S79" i="53"/>
  <c r="AY71" i="51"/>
  <c r="AY73" i="51" s="1"/>
  <c r="AY64" i="51"/>
  <c r="Q213" i="54"/>
  <c r="Q212" i="54"/>
  <c r="Q215" i="54"/>
  <c r="Q214" i="54"/>
  <c r="W59" i="51"/>
  <c r="V38" i="53"/>
  <c r="O237" i="53"/>
  <c r="O238" i="53" s="1"/>
  <c r="O240" i="53" s="1"/>
  <c r="O261" i="53" s="1"/>
  <c r="S80" i="54"/>
  <c r="S74" i="54"/>
  <c r="S75" i="54" s="1"/>
  <c r="S78" i="54"/>
  <c r="S79" i="54" s="1"/>
  <c r="S72" i="54"/>
  <c r="S73" i="54" s="1"/>
  <c r="S47" i="54"/>
  <c r="AF50" i="51"/>
  <c r="AF68" i="51"/>
  <c r="BL68" i="51" s="1"/>
  <c r="N202" i="54"/>
  <c r="N205" i="54"/>
  <c r="N201" i="54"/>
  <c r="N203" i="54"/>
  <c r="N206" i="54"/>
  <c r="N204" i="54"/>
  <c r="P220" i="53"/>
  <c r="P224" i="53" s="1"/>
  <c r="P221" i="53"/>
  <c r="BA65" i="51"/>
  <c r="T40" i="54"/>
  <c r="Y46" i="54" s="1"/>
  <c r="Y159" i="54" s="1"/>
  <c r="O244" i="53"/>
  <c r="AZ51" i="51"/>
  <c r="P217" i="54"/>
  <c r="P216" i="54"/>
  <c r="O199" i="54"/>
  <c r="O200" i="54" s="1"/>
  <c r="P166" i="54"/>
  <c r="CC9" i="55" s="1"/>
  <c r="CC22" i="59" s="1"/>
  <c r="CC145" i="59" s="1"/>
  <c r="BB55" i="51"/>
  <c r="U39" i="54"/>
  <c r="Z45" i="54" s="1"/>
  <c r="T51" i="51"/>
  <c r="S162" i="53"/>
  <c r="P223" i="54"/>
  <c r="P222" i="54"/>
  <c r="P234" i="54" s="1"/>
  <c r="P235" i="54" s="1"/>
  <c r="T78" i="53"/>
  <c r="T80" i="53"/>
  <c r="T74" i="53"/>
  <c r="T75" i="53" s="1"/>
  <c r="U57" i="51" s="1"/>
  <c r="T72" i="53"/>
  <c r="T73" i="53" s="1"/>
  <c r="U49" i="51" s="1"/>
  <c r="BA49" i="51" s="1"/>
  <c r="BA51" i="51" s="1"/>
  <c r="T47" i="53"/>
  <c r="Y36" i="51"/>
  <c r="Y38" i="51" s="1"/>
  <c r="Y20" i="59" s="1"/>
  <c r="W55" i="51"/>
  <c r="V39" i="53"/>
  <c r="AA45" i="53" s="1"/>
  <c r="Y142" i="53"/>
  <c r="Z69" i="51" s="1"/>
  <c r="BF69" i="51" s="1"/>
  <c r="Y160" i="53"/>
  <c r="Z66" i="51" s="1"/>
  <c r="BF66" i="51" s="1"/>
  <c r="Y140" i="53"/>
  <c r="Z63" i="51" s="1"/>
  <c r="BF63" i="51" s="1"/>
  <c r="Q199" i="53"/>
  <c r="R166" i="53"/>
  <c r="Y138" i="53"/>
  <c r="Z139" i="53"/>
  <c r="Z137" i="53"/>
  <c r="AA56" i="51" s="1"/>
  <c r="BG56" i="51" s="1"/>
  <c r="Z141" i="53"/>
  <c r="W44" i="51"/>
  <c r="X21" i="51"/>
  <c r="BD36" i="51"/>
  <c r="BD37" i="51" s="1"/>
  <c r="BD19" i="59" s="1"/>
  <c r="V46" i="51"/>
  <c r="X29" i="51"/>
  <c r="BB44" i="51"/>
  <c r="BC33" i="51"/>
  <c r="BC35" i="51" s="1"/>
  <c r="X15" i="51"/>
  <c r="X17" i="51" s="1"/>
  <c r="BC15" i="51"/>
  <c r="BC17" i="51" s="1"/>
  <c r="BC29" i="51"/>
  <c r="W39" i="51"/>
  <c r="BB39" i="51"/>
  <c r="BB25" i="51"/>
  <c r="BC24" i="51"/>
  <c r="BD20" i="51"/>
  <c r="BD9" i="59" s="1"/>
  <c r="BD22" i="51"/>
  <c r="BD10" i="59" s="1"/>
  <c r="BD19" i="51"/>
  <c r="BD8" i="59" s="1"/>
  <c r="BD23" i="51"/>
  <c r="BD11" i="59" s="1"/>
  <c r="BD13" i="51"/>
  <c r="BD12" i="59" s="1"/>
  <c r="BD14" i="51"/>
  <c r="BD13" i="59" s="1"/>
  <c r="Y13" i="51"/>
  <c r="Y12" i="59" s="1"/>
  <c r="Y14" i="51"/>
  <c r="Y13" i="59" s="1"/>
  <c r="BD27" i="51"/>
  <c r="BD14" i="59" s="1"/>
  <c r="BD28" i="51"/>
  <c r="BD15" i="59" s="1"/>
  <c r="BE12" i="51"/>
  <c r="X24" i="51"/>
  <c r="X25" i="51" s="1"/>
  <c r="BC21" i="51"/>
  <c r="W17" i="51"/>
  <c r="W43" i="51"/>
  <c r="X37" i="51"/>
  <c r="X19" i="59" s="1"/>
  <c r="X38" i="51"/>
  <c r="X20" i="59" s="1"/>
  <c r="BD34" i="51"/>
  <c r="BD18" i="59" s="1"/>
  <c r="BD32" i="51"/>
  <c r="BD17" i="59" s="1"/>
  <c r="BD31" i="51"/>
  <c r="BD16" i="59" s="1"/>
  <c r="Y27" i="51"/>
  <c r="Y14" i="59" s="1"/>
  <c r="Z26" i="51"/>
  <c r="Y28" i="51"/>
  <c r="Y15" i="59" s="1"/>
  <c r="BE26" i="51"/>
  <c r="AA10" i="51"/>
  <c r="BF10" i="51"/>
  <c r="Z12" i="51"/>
  <c r="BC38" i="51"/>
  <c r="BC20" i="59" s="1"/>
  <c r="BC37" i="51"/>
  <c r="BC19" i="59" s="1"/>
  <c r="Z18" i="51"/>
  <c r="Y19" i="51"/>
  <c r="Y8" i="59" s="1"/>
  <c r="Y20" i="51"/>
  <c r="Y9" i="59" s="1"/>
  <c r="Y22" i="51"/>
  <c r="Y10" i="59" s="1"/>
  <c r="Y23" i="51"/>
  <c r="Y11" i="59" s="1"/>
  <c r="BE18" i="51"/>
  <c r="BB43" i="51"/>
  <c r="X33" i="51"/>
  <c r="X35" i="51" s="1"/>
  <c r="Z30" i="51"/>
  <c r="BE30" i="51"/>
  <c r="Y31" i="51"/>
  <c r="Y16" i="59" s="1"/>
  <c r="Y34" i="51"/>
  <c r="Y18" i="59" s="1"/>
  <c r="Y32" i="51"/>
  <c r="Y17" i="59" s="1"/>
  <c r="K94" i="59" l="1"/>
  <c r="K122" i="59"/>
  <c r="M150" i="59"/>
  <c r="K51" i="59"/>
  <c r="K147" i="59"/>
  <c r="AQ148" i="59"/>
  <c r="K96" i="59"/>
  <c r="K52" i="59"/>
  <c r="BX149" i="59"/>
  <c r="BX155" i="59" s="1"/>
  <c r="BW39" i="57"/>
  <c r="BW41" i="57" s="1"/>
  <c r="CW30" i="57"/>
  <c r="DB153" i="59"/>
  <c r="AP147" i="59"/>
  <c r="CW38" i="57"/>
  <c r="CW8" i="57"/>
  <c r="DC152" i="59"/>
  <c r="DC151" i="59"/>
  <c r="DD146" i="59"/>
  <c r="K95" i="59"/>
  <c r="K123" i="59"/>
  <c r="L98" i="59"/>
  <c r="L125" i="59"/>
  <c r="L55" i="59"/>
  <c r="K105" i="55"/>
  <c r="K128" i="55" s="1"/>
  <c r="K82" i="55"/>
  <c r="K174" i="55"/>
  <c r="K106" i="55"/>
  <c r="K83" i="55"/>
  <c r="K175" i="55"/>
  <c r="K36" i="55"/>
  <c r="K59" i="55"/>
  <c r="K60" i="55"/>
  <c r="K37" i="55"/>
  <c r="L101" i="59"/>
  <c r="L153" i="59"/>
  <c r="L24" i="59"/>
  <c r="AR11" i="58"/>
  <c r="AR6" i="58"/>
  <c r="AS11" i="58"/>
  <c r="AS6" i="58"/>
  <c r="N11" i="58"/>
  <c r="N6" i="58"/>
  <c r="M154" i="59"/>
  <c r="L127" i="59"/>
  <c r="L7" i="55"/>
  <c r="L6" i="55"/>
  <c r="M152" i="59"/>
  <c r="L100" i="59"/>
  <c r="L99" i="59"/>
  <c r="L126" i="59"/>
  <c r="L97" i="59"/>
  <c r="L124" i="59"/>
  <c r="L54" i="59"/>
  <c r="L56" i="59"/>
  <c r="L57" i="59"/>
  <c r="L25" i="59"/>
  <c r="L148" i="59" s="1"/>
  <c r="L19" i="55"/>
  <c r="L20" i="55"/>
  <c r="M151" i="59"/>
  <c r="W75" i="59"/>
  <c r="AS23" i="59"/>
  <c r="DE10" i="55"/>
  <c r="DE23" i="59" s="1"/>
  <c r="BB75" i="59"/>
  <c r="N261" i="53"/>
  <c r="J135" i="55"/>
  <c r="CW20" i="57"/>
  <c r="CW149" i="59" s="1"/>
  <c r="CW155" i="59" s="1"/>
  <c r="BY27" i="57"/>
  <c r="K32" i="59"/>
  <c r="J10" i="57"/>
  <c r="J40" i="57"/>
  <c r="BY152" i="55"/>
  <c r="BY18" i="57" s="1"/>
  <c r="J5" i="57"/>
  <c r="J35" i="57"/>
  <c r="I28" i="57"/>
  <c r="I30" i="57" s="1"/>
  <c r="I18" i="57"/>
  <c r="I20" i="57" s="1"/>
  <c r="J152" i="55"/>
  <c r="J27" i="57"/>
  <c r="J17" i="57"/>
  <c r="AK9" i="57"/>
  <c r="AK39" i="57"/>
  <c r="J7" i="57"/>
  <c r="J37" i="57"/>
  <c r="J4" i="57"/>
  <c r="J34" i="57"/>
  <c r="AL149" i="59"/>
  <c r="AL155" i="59" s="1"/>
  <c r="J6" i="57"/>
  <c r="J36" i="57"/>
  <c r="L10" i="58"/>
  <c r="AS58" i="58"/>
  <c r="N75" i="51"/>
  <c r="N76" i="51" s="1"/>
  <c r="N10" i="55"/>
  <c r="N23" i="59" s="1"/>
  <c r="AS11" i="55"/>
  <c r="AS14" i="55"/>
  <c r="AS28" i="59" s="1"/>
  <c r="AS12" i="55"/>
  <c r="AS26" i="59" s="1"/>
  <c r="AS53" i="59" s="1"/>
  <c r="AS16" i="55"/>
  <c r="AS30" i="59" s="1"/>
  <c r="AS13" i="55"/>
  <c r="AS27" i="59" s="1"/>
  <c r="AS15" i="55"/>
  <c r="AS29" i="59" s="1"/>
  <c r="M256" i="53"/>
  <c r="BY7" i="57"/>
  <c r="BY37" i="57"/>
  <c r="N252" i="54"/>
  <c r="CA51" i="59"/>
  <c r="CA147" i="59"/>
  <c r="I158" i="55"/>
  <c r="BY6" i="57"/>
  <c r="BY36" i="57"/>
  <c r="BZ29" i="57"/>
  <c r="BZ129" i="55"/>
  <c r="BZ17" i="57" s="1"/>
  <c r="BZ26" i="57"/>
  <c r="AQ60" i="55"/>
  <c r="DC60" i="55" s="1"/>
  <c r="BZ181" i="55"/>
  <c r="N240" i="54"/>
  <c r="N261" i="54" s="1"/>
  <c r="BY135" i="55"/>
  <c r="BZ112" i="55"/>
  <c r="AQ59" i="55"/>
  <c r="DC59" i="55" s="1"/>
  <c r="AQ36" i="55"/>
  <c r="DC36" i="55" s="1"/>
  <c r="AQ37" i="55"/>
  <c r="DC37" i="55" s="1"/>
  <c r="AR150" i="59"/>
  <c r="O74" i="51"/>
  <c r="N254" i="53"/>
  <c r="CZ8" i="57"/>
  <c r="P245" i="53"/>
  <c r="P254" i="53" s="1"/>
  <c r="Q75" i="51" s="1"/>
  <c r="AQ154" i="59"/>
  <c r="P240" i="53"/>
  <c r="P261" i="53" s="1"/>
  <c r="H41" i="57"/>
  <c r="AQ150" i="59"/>
  <c r="AP150" i="59"/>
  <c r="AO150" i="59"/>
  <c r="AO55" i="59"/>
  <c r="AO125" i="59"/>
  <c r="AO98" i="59"/>
  <c r="AP148" i="59"/>
  <c r="AO148" i="59"/>
  <c r="AO123" i="59"/>
  <c r="AO95" i="59"/>
  <c r="AO96" i="59"/>
  <c r="AO52" i="59"/>
  <c r="AO59" i="55"/>
  <c r="AO36" i="55"/>
  <c r="AO174" i="55"/>
  <c r="AO82" i="55"/>
  <c r="AO105" i="55"/>
  <c r="AO37" i="55"/>
  <c r="AO60" i="55"/>
  <c r="AO175" i="55"/>
  <c r="AO83" i="55"/>
  <c r="AO106" i="55"/>
  <c r="AO147" i="59"/>
  <c r="AO122" i="59"/>
  <c r="AO94" i="59"/>
  <c r="AO51" i="59"/>
  <c r="DA7" i="55"/>
  <c r="DA27" i="59"/>
  <c r="DA53" i="59"/>
  <c r="DA97" i="59"/>
  <c r="DA54" i="59"/>
  <c r="DA124" i="59"/>
  <c r="DB151" i="59"/>
  <c r="DA151" i="59"/>
  <c r="DA99" i="59"/>
  <c r="DA126" i="59"/>
  <c r="DA56" i="59"/>
  <c r="DB152" i="59"/>
  <c r="DA152" i="59"/>
  <c r="DA57" i="59"/>
  <c r="DA100" i="59"/>
  <c r="DA127" i="59"/>
  <c r="DA153" i="59"/>
  <c r="DA101" i="59"/>
  <c r="DA19" i="55"/>
  <c r="DA24" i="59"/>
  <c r="DA25" i="59"/>
  <c r="DA20" i="55"/>
  <c r="DC146" i="59"/>
  <c r="DB146" i="59"/>
  <c r="DA146" i="59"/>
  <c r="DA31" i="59"/>
  <c r="DA121" i="59"/>
  <c r="DA93" i="59"/>
  <c r="DA50" i="59"/>
  <c r="AP154" i="59"/>
  <c r="AO154" i="59"/>
  <c r="DA6" i="55"/>
  <c r="AQ95" i="59"/>
  <c r="AQ123" i="59"/>
  <c r="T80" i="54"/>
  <c r="T78" i="54"/>
  <c r="T79" i="54" s="1"/>
  <c r="R225" i="53"/>
  <c r="R228" i="53"/>
  <c r="S178" i="55" s="1"/>
  <c r="R229" i="53"/>
  <c r="S179" i="55" s="1"/>
  <c r="R230" i="53"/>
  <c r="S180" i="55" s="1"/>
  <c r="R227" i="53"/>
  <c r="S177" i="55" s="1"/>
  <c r="R226" i="53"/>
  <c r="S176" i="55" s="1"/>
  <c r="W48" i="51"/>
  <c r="V36" i="53"/>
  <c r="V42" i="53" s="1"/>
  <c r="Q225" i="53"/>
  <c r="O236" i="54"/>
  <c r="O239" i="54" s="1"/>
  <c r="Q217" i="53"/>
  <c r="Q222" i="53"/>
  <c r="Q234" i="53" s="1"/>
  <c r="Q235" i="53" s="1"/>
  <c r="Q223" i="53"/>
  <c r="O218" i="54"/>
  <c r="O219" i="54"/>
  <c r="P225" i="54"/>
  <c r="AQ96" i="59"/>
  <c r="AQ52" i="59"/>
  <c r="AQ105" i="55"/>
  <c r="AQ82" i="55"/>
  <c r="DC82" i="55" s="1"/>
  <c r="AQ174" i="55"/>
  <c r="DC174" i="55" s="1"/>
  <c r="AQ106" i="55"/>
  <c r="DC106" i="55" s="1"/>
  <c r="AQ83" i="55"/>
  <c r="DC83" i="55" s="1"/>
  <c r="AQ175" i="55"/>
  <c r="DC175" i="55" s="1"/>
  <c r="BY151" i="55"/>
  <c r="AY145" i="59"/>
  <c r="BZ24" i="57"/>
  <c r="AY92" i="59"/>
  <c r="BX38" i="57"/>
  <c r="AY120" i="59"/>
  <c r="AM149" i="59"/>
  <c r="AM155" i="59" s="1"/>
  <c r="CB24" i="59"/>
  <c r="BX158" i="55"/>
  <c r="Y46" i="59"/>
  <c r="Y89" i="59"/>
  <c r="Y116" i="59"/>
  <c r="Y72" i="59"/>
  <c r="Y44" i="59"/>
  <c r="Y87" i="59"/>
  <c r="Y114" i="59"/>
  <c r="Y70" i="59"/>
  <c r="X90" i="59"/>
  <c r="X73" i="59"/>
  <c r="X47" i="59"/>
  <c r="X117" i="59"/>
  <c r="Y67" i="59"/>
  <c r="Y84" i="59"/>
  <c r="Y111" i="59"/>
  <c r="Y41" i="59"/>
  <c r="Q230" i="53"/>
  <c r="R180" i="55" s="1"/>
  <c r="DC101" i="59"/>
  <c r="DC153" i="59"/>
  <c r="Y113" i="59"/>
  <c r="Y43" i="59"/>
  <c r="Y86" i="59"/>
  <c r="Y69" i="59"/>
  <c r="Y110" i="59"/>
  <c r="Y40" i="59"/>
  <c r="Y66" i="59"/>
  <c r="Y83" i="59"/>
  <c r="Y48" i="59"/>
  <c r="Y74" i="59"/>
  <c r="Y91" i="59"/>
  <c r="Y118" i="59"/>
  <c r="BY35" i="57"/>
  <c r="BD111" i="59"/>
  <c r="BD84" i="59"/>
  <c r="BD41" i="59"/>
  <c r="BD67" i="59"/>
  <c r="AR101" i="59"/>
  <c r="AR153" i="59"/>
  <c r="CB101" i="59"/>
  <c r="CB153" i="59"/>
  <c r="BD110" i="59"/>
  <c r="BD83" i="59"/>
  <c r="BD66" i="59"/>
  <c r="BD40" i="59"/>
  <c r="BD42" i="59"/>
  <c r="BD85" i="59"/>
  <c r="BD112" i="59"/>
  <c r="BD68" i="59"/>
  <c r="BC90" i="59"/>
  <c r="BC117" i="59"/>
  <c r="BC73" i="59"/>
  <c r="BC47" i="59"/>
  <c r="BD47" i="59"/>
  <c r="BD117" i="59"/>
  <c r="BD73" i="59"/>
  <c r="BD90" i="59"/>
  <c r="BC91" i="59"/>
  <c r="BC118" i="59"/>
  <c r="BC48" i="59"/>
  <c r="BC74" i="59"/>
  <c r="BD44" i="59"/>
  <c r="BD87" i="59"/>
  <c r="BD114" i="59"/>
  <c r="BD70" i="59"/>
  <c r="M101" i="59"/>
  <c r="M153" i="59"/>
  <c r="DK145" i="59"/>
  <c r="AQ51" i="59"/>
  <c r="AQ147" i="59"/>
  <c r="X48" i="59"/>
  <c r="X91" i="59"/>
  <c r="X118" i="59"/>
  <c r="X74" i="59"/>
  <c r="Y42" i="59"/>
  <c r="Y85" i="59"/>
  <c r="Y112" i="59"/>
  <c r="Y68" i="59"/>
  <c r="BD115" i="59"/>
  <c r="BD45" i="59"/>
  <c r="BD88" i="59"/>
  <c r="BD71" i="59"/>
  <c r="Y45" i="59"/>
  <c r="Y88" i="59"/>
  <c r="Y115" i="59"/>
  <c r="Y71" i="59"/>
  <c r="BD46" i="59"/>
  <c r="BD89" i="59"/>
  <c r="BD116" i="59"/>
  <c r="BD72" i="59"/>
  <c r="BD86" i="59"/>
  <c r="BD113" i="59"/>
  <c r="BD69" i="59"/>
  <c r="BD43" i="59"/>
  <c r="Q229" i="53"/>
  <c r="R179" i="55" s="1"/>
  <c r="BZ66" i="55"/>
  <c r="DC55" i="59"/>
  <c r="DC98" i="59"/>
  <c r="DC125" i="59"/>
  <c r="DC126" i="59"/>
  <c r="DC99" i="59"/>
  <c r="DC56" i="59"/>
  <c r="DB51" i="59"/>
  <c r="DB122" i="59"/>
  <c r="DB94" i="59"/>
  <c r="DC57" i="59"/>
  <c r="DC100" i="59"/>
  <c r="DC127" i="59"/>
  <c r="AN38" i="57"/>
  <c r="DD50" i="59"/>
  <c r="DD93" i="59"/>
  <c r="DD121" i="59"/>
  <c r="DD31" i="59"/>
  <c r="DK49" i="59"/>
  <c r="DK92" i="59"/>
  <c r="DK120" i="59"/>
  <c r="P206" i="53"/>
  <c r="CC180" i="55" s="1"/>
  <c r="P202" i="53"/>
  <c r="CC176" i="55" s="1"/>
  <c r="BN53" i="51"/>
  <c r="EI18" i="59"/>
  <c r="BX28" i="57"/>
  <c r="BX30" i="57" s="1"/>
  <c r="DB52" i="59"/>
  <c r="DB123" i="59"/>
  <c r="DB95" i="59"/>
  <c r="DB96" i="59"/>
  <c r="P204" i="53"/>
  <c r="CC178" i="55" s="1"/>
  <c r="DC53" i="59"/>
  <c r="DC54" i="59"/>
  <c r="DC124" i="59"/>
  <c r="DC97" i="59"/>
  <c r="P203" i="53"/>
  <c r="CC177" i="55" s="1"/>
  <c r="P205" i="53"/>
  <c r="CC179" i="55" s="1"/>
  <c r="AN158" i="55"/>
  <c r="BY10" i="57"/>
  <c r="DJ49" i="59"/>
  <c r="DJ92" i="59"/>
  <c r="DJ120" i="59"/>
  <c r="M24" i="59"/>
  <c r="DC6" i="55"/>
  <c r="DC25" i="59"/>
  <c r="DC24" i="59"/>
  <c r="AQ122" i="59"/>
  <c r="AQ94" i="59"/>
  <c r="AX120" i="59"/>
  <c r="AX49" i="59"/>
  <c r="AY49" i="59"/>
  <c r="AR93" i="59"/>
  <c r="AR50" i="59"/>
  <c r="AR31" i="59"/>
  <c r="AR154" i="59" s="1"/>
  <c r="AR24" i="59"/>
  <c r="CA96" i="59"/>
  <c r="CA52" i="59"/>
  <c r="CC120" i="59"/>
  <c r="CC49" i="59"/>
  <c r="CC31" i="59"/>
  <c r="CC154" i="59" s="1"/>
  <c r="T49" i="59"/>
  <c r="Y81" i="59"/>
  <c r="Y108" i="59"/>
  <c r="Y38" i="59"/>
  <c r="Y64" i="59"/>
  <c r="Y79" i="59"/>
  <c r="Y36" i="59"/>
  <c r="Y106" i="59"/>
  <c r="Y62" i="59"/>
  <c r="BD82" i="59"/>
  <c r="BD109" i="59"/>
  <c r="BD39" i="59"/>
  <c r="BD65" i="59"/>
  <c r="BD79" i="59"/>
  <c r="BD106" i="59"/>
  <c r="BD36" i="59"/>
  <c r="BD62" i="59"/>
  <c r="Y82" i="59"/>
  <c r="Y109" i="59"/>
  <c r="Y39" i="59"/>
  <c r="Y65" i="59"/>
  <c r="BD38" i="59"/>
  <c r="BD81" i="59"/>
  <c r="BD108" i="59"/>
  <c r="BD64" i="59"/>
  <c r="BD37" i="59"/>
  <c r="BD80" i="59"/>
  <c r="BD107" i="59"/>
  <c r="BD63" i="59"/>
  <c r="Y80" i="59"/>
  <c r="Y107" i="59"/>
  <c r="Y37" i="59"/>
  <c r="Y63" i="59"/>
  <c r="DB43" i="55"/>
  <c r="DB34" i="57" s="1"/>
  <c r="BZ23" i="57"/>
  <c r="AR121" i="59"/>
  <c r="AX92" i="59"/>
  <c r="DB14" i="57"/>
  <c r="DB24" i="57"/>
  <c r="CX28" i="57"/>
  <c r="CX30" i="57" s="1"/>
  <c r="CX18" i="57"/>
  <c r="CX20" i="57" s="1"/>
  <c r="CX158" i="55"/>
  <c r="DB25" i="57"/>
  <c r="DB15" i="57"/>
  <c r="DB29" i="57"/>
  <c r="DB19" i="57"/>
  <c r="DB16" i="57"/>
  <c r="DD12" i="55"/>
  <c r="DD26" i="59" s="1"/>
  <c r="DD15" i="55"/>
  <c r="DD29" i="59" s="1"/>
  <c r="DD152" i="59" s="1"/>
  <c r="DD14" i="55"/>
  <c r="DD28" i="59" s="1"/>
  <c r="DD151" i="59" s="1"/>
  <c r="DD11" i="55"/>
  <c r="DD16" i="55"/>
  <c r="DD30" i="59" s="1"/>
  <c r="DD13" i="55"/>
  <c r="DD27" i="59" s="1"/>
  <c r="AL39" i="57"/>
  <c r="DB181" i="55"/>
  <c r="BZ43" i="55"/>
  <c r="BZ4" i="57" s="1"/>
  <c r="DB13" i="57"/>
  <c r="DB23" i="57"/>
  <c r="DB89" i="55"/>
  <c r="BZ25" i="57"/>
  <c r="CZ158" i="55"/>
  <c r="DC19" i="55"/>
  <c r="DC20" i="55"/>
  <c r="DB66" i="55"/>
  <c r="AP128" i="55"/>
  <c r="DB128" i="55" s="1"/>
  <c r="DB105" i="55"/>
  <c r="DB112" i="55" s="1"/>
  <c r="CZ28" i="57"/>
  <c r="CZ30" i="57" s="1"/>
  <c r="CZ18" i="57"/>
  <c r="CZ20" i="57" s="1"/>
  <c r="CZ149" i="59" s="1"/>
  <c r="CZ155" i="59" s="1"/>
  <c r="DC7" i="55"/>
  <c r="CY39" i="57"/>
  <c r="CY9" i="57"/>
  <c r="BY34" i="57"/>
  <c r="BZ89" i="55"/>
  <c r="BZ6" i="57" s="1"/>
  <c r="Q228" i="53"/>
  <c r="R178" i="55" s="1"/>
  <c r="Q227" i="53"/>
  <c r="R177" i="55" s="1"/>
  <c r="CA82" i="55"/>
  <c r="AP102" i="59"/>
  <c r="CA83" i="55"/>
  <c r="CA15" i="57" s="1"/>
  <c r="CA36" i="55"/>
  <c r="CA105" i="55"/>
  <c r="CA128" i="55" s="1"/>
  <c r="CA37" i="55"/>
  <c r="CA13" i="57" s="1"/>
  <c r="CA59" i="55"/>
  <c r="CA106" i="55"/>
  <c r="CA16" i="57" s="1"/>
  <c r="CA60" i="55"/>
  <c r="CA14" i="57" s="1"/>
  <c r="CA174" i="55"/>
  <c r="CA181" i="55" s="1"/>
  <c r="CA40" i="57" s="1"/>
  <c r="AP29" i="57"/>
  <c r="AP19" i="57"/>
  <c r="AP24" i="57"/>
  <c r="AP14" i="57"/>
  <c r="AP15" i="57"/>
  <c r="AP25" i="57"/>
  <c r="AP129" i="55"/>
  <c r="DB129" i="55" s="1"/>
  <c r="AP26" i="57"/>
  <c r="AP16" i="57"/>
  <c r="AM39" i="57"/>
  <c r="AM9" i="57"/>
  <c r="T120" i="59"/>
  <c r="AP13" i="57"/>
  <c r="AP23" i="57"/>
  <c r="AN18" i="57"/>
  <c r="AN20" i="57" s="1"/>
  <c r="AN149" i="59" s="1"/>
  <c r="AN155" i="59" s="1"/>
  <c r="AN28" i="57"/>
  <c r="AN30" i="57" s="1"/>
  <c r="CB98" i="59"/>
  <c r="CB125" i="59"/>
  <c r="M98" i="59"/>
  <c r="M125" i="59"/>
  <c r="M99" i="59"/>
  <c r="M126" i="59"/>
  <c r="BZ128" i="59"/>
  <c r="AR98" i="59"/>
  <c r="AR125" i="59"/>
  <c r="M100" i="59"/>
  <c r="M127" i="59"/>
  <c r="AR97" i="59"/>
  <c r="AR124" i="59"/>
  <c r="CB100" i="59"/>
  <c r="CB127" i="59"/>
  <c r="CA94" i="59"/>
  <c r="CA122" i="59"/>
  <c r="CA95" i="59"/>
  <c r="CA123" i="59"/>
  <c r="CB97" i="59"/>
  <c r="CB124" i="59"/>
  <c r="AR99" i="59"/>
  <c r="AR126" i="59"/>
  <c r="AR100" i="59"/>
  <c r="AR127" i="59"/>
  <c r="M97" i="59"/>
  <c r="M124" i="59"/>
  <c r="CB99" i="59"/>
  <c r="CB126" i="59"/>
  <c r="M10" i="58"/>
  <c r="CC92" i="59"/>
  <c r="T92" i="59"/>
  <c r="AR57" i="59"/>
  <c r="CB54" i="59"/>
  <c r="M54" i="59"/>
  <c r="CB56" i="59"/>
  <c r="M55" i="59"/>
  <c r="CB55" i="59"/>
  <c r="M57" i="59"/>
  <c r="M56" i="59"/>
  <c r="AR54" i="59"/>
  <c r="BZ58" i="59"/>
  <c r="BZ102" i="59"/>
  <c r="CB57" i="59"/>
  <c r="AR56" i="59"/>
  <c r="AR55" i="59"/>
  <c r="AP181" i="55"/>
  <c r="AR25" i="59"/>
  <c r="AR148" i="59" s="1"/>
  <c r="M25" i="59"/>
  <c r="CB19" i="55"/>
  <c r="CB175" i="55" s="1"/>
  <c r="CB19" i="57" s="1"/>
  <c r="CB25" i="59"/>
  <c r="CB148" i="59" s="1"/>
  <c r="S208" i="53"/>
  <c r="BB46" i="51"/>
  <c r="W46" i="51"/>
  <c r="Y37" i="51"/>
  <c r="Y19" i="59" s="1"/>
  <c r="P228" i="54"/>
  <c r="AW178" i="55" s="1"/>
  <c r="DI178" i="55" s="1"/>
  <c r="P227" i="54"/>
  <c r="AW177" i="55" s="1"/>
  <c r="DI177" i="55" s="1"/>
  <c r="P229" i="54"/>
  <c r="AW179" i="55" s="1"/>
  <c r="DI179" i="55" s="1"/>
  <c r="P230" i="54"/>
  <c r="AW180" i="55" s="1"/>
  <c r="DI180" i="55" s="1"/>
  <c r="R210" i="54"/>
  <c r="R230" i="54" s="1"/>
  <c r="AY180" i="55" s="1"/>
  <c r="DK180" i="55" s="1"/>
  <c r="AY172" i="55"/>
  <c r="Q210" i="54"/>
  <c r="AX172" i="55"/>
  <c r="Q200" i="53"/>
  <c r="Q201" i="53" s="1"/>
  <c r="CD172" i="55"/>
  <c r="BZ151" i="55"/>
  <c r="AP89" i="55"/>
  <c r="AP112" i="55"/>
  <c r="AP66" i="55"/>
  <c r="AP43" i="55"/>
  <c r="O262" i="53"/>
  <c r="P78" i="51" s="1"/>
  <c r="P77" i="51"/>
  <c r="M262" i="54"/>
  <c r="AT78" i="51" s="1"/>
  <c r="AT77" i="51"/>
  <c r="M7" i="55"/>
  <c r="AR7" i="55"/>
  <c r="CB7" i="55"/>
  <c r="T207" i="54"/>
  <c r="T208" i="54" s="1"/>
  <c r="BA4" i="55"/>
  <c r="AR6" i="55"/>
  <c r="AR20" i="55"/>
  <c r="AR19" i="55"/>
  <c r="CC11" i="55"/>
  <c r="CC15" i="55"/>
  <c r="CC29" i="59" s="1"/>
  <c r="CC152" i="59" s="1"/>
  <c r="CC14" i="55"/>
  <c r="CC28" i="59" s="1"/>
  <c r="CC151" i="59" s="1"/>
  <c r="CC16" i="55"/>
  <c r="CC30" i="59" s="1"/>
  <c r="CC12" i="55"/>
  <c r="CC26" i="59" s="1"/>
  <c r="CC53" i="59" s="1"/>
  <c r="CC13" i="55"/>
  <c r="CC27" i="59" s="1"/>
  <c r="CC150" i="59" s="1"/>
  <c r="T207" i="53"/>
  <c r="T211" i="53" s="1"/>
  <c r="U4" i="55"/>
  <c r="M19" i="55"/>
  <c r="M20" i="55"/>
  <c r="AZ9" i="55"/>
  <c r="CB6" i="55"/>
  <c r="S207" i="54"/>
  <c r="S208" i="54" s="1"/>
  <c r="AZ4" i="55"/>
  <c r="M6" i="55"/>
  <c r="M252" i="54"/>
  <c r="BB65" i="51"/>
  <c r="U40" i="54"/>
  <c r="Z46" i="54" s="1"/>
  <c r="Z159" i="54" s="1"/>
  <c r="T162" i="53"/>
  <c r="O205" i="54"/>
  <c r="O202" i="54"/>
  <c r="O201" i="54"/>
  <c r="O204" i="54"/>
  <c r="O206" i="54"/>
  <c r="O203" i="54"/>
  <c r="AZ67" i="51"/>
  <c r="AZ70" i="51" s="1"/>
  <c r="T70" i="51"/>
  <c r="AH68" i="51"/>
  <c r="BN68" i="51" s="1"/>
  <c r="AH50" i="51"/>
  <c r="Y160" i="54"/>
  <c r="Q216" i="54"/>
  <c r="Q217" i="54"/>
  <c r="R217" i="54"/>
  <c r="R216" i="54"/>
  <c r="U51" i="51"/>
  <c r="BC59" i="51"/>
  <c r="V38" i="54"/>
  <c r="P219" i="54"/>
  <c r="P218" i="54"/>
  <c r="Q223" i="54"/>
  <c r="Q222" i="54"/>
  <c r="Q234" i="54" s="1"/>
  <c r="Q235" i="54" s="1"/>
  <c r="AF113" i="54"/>
  <c r="AF114" i="54" s="1"/>
  <c r="AF111" i="54"/>
  <c r="AF112" i="54" s="1"/>
  <c r="AF107" i="54"/>
  <c r="AF108" i="54" s="1"/>
  <c r="AF109" i="54"/>
  <c r="AF110" i="54" s="1"/>
  <c r="R222" i="54"/>
  <c r="R234" i="54" s="1"/>
  <c r="R235" i="54" s="1"/>
  <c r="R223" i="54"/>
  <c r="R219" i="53"/>
  <c r="R218" i="53"/>
  <c r="BC52" i="51"/>
  <c r="BC54" i="51" s="1"/>
  <c r="V37" i="54"/>
  <c r="BA57" i="51"/>
  <c r="BA58" i="51" s="1"/>
  <c r="BA72" i="51" s="1"/>
  <c r="U58" i="51"/>
  <c r="U72" i="51" s="1"/>
  <c r="S81" i="54"/>
  <c r="S165" i="54"/>
  <c r="S232" i="53"/>
  <c r="S233" i="53" s="1"/>
  <c r="S209" i="53"/>
  <c r="AG68" i="51"/>
  <c r="BM68" i="51" s="1"/>
  <c r="AG50" i="51"/>
  <c r="X52" i="51"/>
  <c r="X54" i="51" s="1"/>
  <c r="W37" i="53"/>
  <c r="T81" i="53"/>
  <c r="U61" i="51" s="1"/>
  <c r="T165" i="53"/>
  <c r="U9" i="55" s="1"/>
  <c r="BL50" i="51"/>
  <c r="AZ61" i="51"/>
  <c r="T71" i="51"/>
  <c r="T73" i="51" s="1"/>
  <c r="T64" i="51"/>
  <c r="BC55" i="51"/>
  <c r="V39" i="54"/>
  <c r="AA45" i="54" s="1"/>
  <c r="U67" i="51"/>
  <c r="T79" i="53"/>
  <c r="Z139" i="54"/>
  <c r="Z140" i="54" s="1"/>
  <c r="Z141" i="54"/>
  <c r="Z142" i="54" s="1"/>
  <c r="Z137" i="54"/>
  <c r="Z138" i="54" s="1"/>
  <c r="O245" i="53"/>
  <c r="O254" i="53" s="1"/>
  <c r="P75" i="51" s="1"/>
  <c r="S215" i="53"/>
  <c r="S214" i="53"/>
  <c r="S213" i="53"/>
  <c r="S212" i="53"/>
  <c r="S162" i="54"/>
  <c r="T162" i="54"/>
  <c r="P236" i="54"/>
  <c r="P239" i="54" s="1"/>
  <c r="AG111" i="54"/>
  <c r="AG112" i="54" s="1"/>
  <c r="AG109" i="54"/>
  <c r="AG110" i="54" s="1"/>
  <c r="AG113" i="54"/>
  <c r="AG114" i="54" s="1"/>
  <c r="AG107" i="54"/>
  <c r="AG108" i="54" s="1"/>
  <c r="W52" i="51"/>
  <c r="W54" i="51" s="1"/>
  <c r="V37" i="53"/>
  <c r="X48" i="51"/>
  <c r="W36" i="53"/>
  <c r="W42" i="53" s="1"/>
  <c r="BB48" i="51"/>
  <c r="U36" i="54"/>
  <c r="U42" i="54" s="1"/>
  <c r="X59" i="51"/>
  <c r="W38" i="53"/>
  <c r="Q166" i="54"/>
  <c r="CD9" i="55" s="1"/>
  <c r="CD22" i="59" s="1"/>
  <c r="CD145" i="59" s="1"/>
  <c r="P199" i="54"/>
  <c r="P200" i="54" s="1"/>
  <c r="U78" i="53"/>
  <c r="U72" i="53"/>
  <c r="U73" i="53" s="1"/>
  <c r="V49" i="51" s="1"/>
  <c r="BB49" i="51" s="1"/>
  <c r="U80" i="53"/>
  <c r="U74" i="53"/>
  <c r="U75" i="53" s="1"/>
  <c r="V57" i="51" s="1"/>
  <c r="U47" i="53"/>
  <c r="U162" i="53" s="1"/>
  <c r="R236" i="53"/>
  <c r="R239" i="53" s="1"/>
  <c r="R199" i="53"/>
  <c r="S166" i="53"/>
  <c r="W65" i="51"/>
  <c r="V40" i="53"/>
  <c r="AA46" i="53" s="1"/>
  <c r="AA159" i="53" s="1"/>
  <c r="Z142" i="53"/>
  <c r="AA69" i="51" s="1"/>
  <c r="BG69" i="51" s="1"/>
  <c r="X55" i="51"/>
  <c r="W39" i="53"/>
  <c r="AB45" i="53" s="1"/>
  <c r="Z138" i="53"/>
  <c r="Z140" i="53"/>
  <c r="AA63" i="51" s="1"/>
  <c r="BG63" i="51" s="1"/>
  <c r="AA139" i="53"/>
  <c r="AA141" i="53"/>
  <c r="AA137" i="53"/>
  <c r="AB56" i="51" s="1"/>
  <c r="BH56" i="51" s="1"/>
  <c r="BC25" i="51"/>
  <c r="BD38" i="51"/>
  <c r="Y29" i="51"/>
  <c r="X44" i="51"/>
  <c r="BD29" i="51"/>
  <c r="Z36" i="51"/>
  <c r="Z38" i="51" s="1"/>
  <c r="Z20" i="59" s="1"/>
  <c r="BC43" i="51"/>
  <c r="BC44" i="51"/>
  <c r="Y15" i="51"/>
  <c r="Y17" i="51" s="1"/>
  <c r="AA30" i="51"/>
  <c r="BF30" i="51"/>
  <c r="Z34" i="51"/>
  <c r="Z18" i="59" s="1"/>
  <c r="Z32" i="51"/>
  <c r="Z17" i="59" s="1"/>
  <c r="Z31" i="51"/>
  <c r="Z16" i="59" s="1"/>
  <c r="BC39" i="51"/>
  <c r="X39" i="51"/>
  <c r="BE14" i="51"/>
  <c r="BE13" i="59" s="1"/>
  <c r="BE13" i="51"/>
  <c r="BE12" i="59" s="1"/>
  <c r="Z13" i="51"/>
  <c r="Z12" i="59" s="1"/>
  <c r="Z14" i="51"/>
  <c r="Z13" i="59" s="1"/>
  <c r="AA26" i="51"/>
  <c r="Z28" i="51"/>
  <c r="Z15" i="59" s="1"/>
  <c r="Z27" i="51"/>
  <c r="Z14" i="59" s="1"/>
  <c r="BF26" i="51"/>
  <c r="BD15" i="51"/>
  <c r="Y33" i="51"/>
  <c r="Y35" i="51" s="1"/>
  <c r="BE23" i="51"/>
  <c r="BE11" i="59" s="1"/>
  <c r="BE20" i="51"/>
  <c r="BE9" i="59" s="1"/>
  <c r="BE22" i="51"/>
  <c r="BE10" i="59" s="1"/>
  <c r="BE19" i="51"/>
  <c r="BE8" i="59" s="1"/>
  <c r="Y21" i="51"/>
  <c r="BF12" i="51"/>
  <c r="X43" i="51"/>
  <c r="BD21" i="51"/>
  <c r="BE34" i="51"/>
  <c r="BE18" i="59" s="1"/>
  <c r="BE32" i="51"/>
  <c r="BE17" i="59" s="1"/>
  <c r="BE31" i="51"/>
  <c r="BE16" i="59" s="1"/>
  <c r="Y24" i="51"/>
  <c r="Y44" i="51" s="1"/>
  <c r="Z22" i="51"/>
  <c r="Z10" i="59" s="1"/>
  <c r="AA18" i="51"/>
  <c r="Z19" i="51"/>
  <c r="Z8" i="59" s="1"/>
  <c r="BF18" i="51"/>
  <c r="Z23" i="51"/>
  <c r="Z11" i="59" s="1"/>
  <c r="Z20" i="51"/>
  <c r="Z9" i="59" s="1"/>
  <c r="AB10" i="51"/>
  <c r="BG10" i="51"/>
  <c r="AA12" i="51"/>
  <c r="BE28" i="51"/>
  <c r="BE15" i="59" s="1"/>
  <c r="BE27" i="51"/>
  <c r="BE14" i="59" s="1"/>
  <c r="BD33" i="51"/>
  <c r="BD35" i="51" s="1"/>
  <c r="BE36" i="51"/>
  <c r="BD24" i="51"/>
  <c r="AO102" i="59" l="1"/>
  <c r="BC75" i="59"/>
  <c r="K58" i="59"/>
  <c r="DC43" i="55"/>
  <c r="BY20" i="57"/>
  <c r="BY149" i="59" s="1"/>
  <c r="BY155" i="59" s="1"/>
  <c r="CX149" i="59"/>
  <c r="CX155" i="59" s="1"/>
  <c r="K128" i="59"/>
  <c r="K29" i="57"/>
  <c r="K19" i="57"/>
  <c r="K13" i="57"/>
  <c r="K23" i="57"/>
  <c r="K25" i="57"/>
  <c r="K15" i="57"/>
  <c r="K24" i="57"/>
  <c r="K14" i="57"/>
  <c r="K129" i="55"/>
  <c r="K135" i="55" s="1"/>
  <c r="K26" i="57"/>
  <c r="K16" i="57"/>
  <c r="K102" i="59"/>
  <c r="K181" i="55"/>
  <c r="K151" i="55"/>
  <c r="K43" i="55"/>
  <c r="K112" i="55"/>
  <c r="K89" i="55"/>
  <c r="K66" i="55"/>
  <c r="N146" i="59"/>
  <c r="N31" i="59"/>
  <c r="N262" i="53"/>
  <c r="O78" i="51" s="1"/>
  <c r="O77" i="51"/>
  <c r="J8" i="57"/>
  <c r="J38" i="57"/>
  <c r="AS151" i="59"/>
  <c r="AS150" i="59"/>
  <c r="DE146" i="59"/>
  <c r="I149" i="59"/>
  <c r="I155" i="59" s="1"/>
  <c r="AS146" i="59"/>
  <c r="AS101" i="59"/>
  <c r="AS153" i="59"/>
  <c r="L51" i="59"/>
  <c r="L147" i="59"/>
  <c r="AS152" i="59"/>
  <c r="AS31" i="59"/>
  <c r="L96" i="59"/>
  <c r="L52" i="59"/>
  <c r="L32" i="59"/>
  <c r="AS125" i="59"/>
  <c r="L122" i="59"/>
  <c r="N256" i="54"/>
  <c r="DE50" i="59"/>
  <c r="DE93" i="59"/>
  <c r="DE121" i="59"/>
  <c r="DE31" i="59"/>
  <c r="N50" i="59"/>
  <c r="AS50" i="59"/>
  <c r="AS24" i="59"/>
  <c r="J18" i="57"/>
  <c r="J20" i="57" s="1"/>
  <c r="J149" i="59" s="1"/>
  <c r="J155" i="59" s="1"/>
  <c r="J158" i="55"/>
  <c r="X75" i="59"/>
  <c r="AS93" i="59"/>
  <c r="AS121" i="59"/>
  <c r="DE11" i="55"/>
  <c r="DE14" i="55"/>
  <c r="DE28" i="59" s="1"/>
  <c r="DE16" i="55"/>
  <c r="DE30" i="59" s="1"/>
  <c r="DE13" i="55"/>
  <c r="DE27" i="59" s="1"/>
  <c r="DE12" i="55"/>
  <c r="DE15" i="55"/>
  <c r="DE29" i="59" s="1"/>
  <c r="N121" i="59"/>
  <c r="J28" i="57"/>
  <c r="J30" i="57" s="1"/>
  <c r="L95" i="59"/>
  <c r="L123" i="59"/>
  <c r="AS98" i="59"/>
  <c r="L94" i="59"/>
  <c r="AU10" i="55"/>
  <c r="N93" i="59"/>
  <c r="AS55" i="59"/>
  <c r="AS56" i="59"/>
  <c r="AS57" i="59"/>
  <c r="AS54" i="59"/>
  <c r="AS25" i="59"/>
  <c r="M148" i="59"/>
  <c r="N58" i="58"/>
  <c r="N5" i="58" s="1"/>
  <c r="L105" i="55"/>
  <c r="L128" i="55" s="1"/>
  <c r="L82" i="55"/>
  <c r="L174" i="55"/>
  <c r="L106" i="55"/>
  <c r="L83" i="55"/>
  <c r="L175" i="55"/>
  <c r="L37" i="55"/>
  <c r="L60" i="55"/>
  <c r="L59" i="55"/>
  <c r="L36" i="55"/>
  <c r="AS6" i="55"/>
  <c r="AU74" i="51"/>
  <c r="AU76" i="51" s="1"/>
  <c r="BZ152" i="55"/>
  <c r="BZ18" i="57" s="1"/>
  <c r="BZ20" i="57" s="1"/>
  <c r="BZ27" i="57"/>
  <c r="AS97" i="59"/>
  <c r="AS124" i="59"/>
  <c r="AS99" i="59"/>
  <c r="AS126" i="59"/>
  <c r="AS100" i="59"/>
  <c r="AS127" i="59"/>
  <c r="N12" i="55"/>
  <c r="N26" i="59" s="1"/>
  <c r="N53" i="59" s="1"/>
  <c r="N16" i="55"/>
  <c r="N30" i="59" s="1"/>
  <c r="N11" i="55"/>
  <c r="N13" i="55"/>
  <c r="N27" i="59" s="1"/>
  <c r="N150" i="59" s="1"/>
  <c r="N15" i="55"/>
  <c r="N29" i="59" s="1"/>
  <c r="N152" i="59" s="1"/>
  <c r="N14" i="55"/>
  <c r="N28" i="59" s="1"/>
  <c r="N151" i="59" s="1"/>
  <c r="AS19" i="55"/>
  <c r="AS20" i="55"/>
  <c r="AS7" i="55"/>
  <c r="Q206" i="53"/>
  <c r="CD180" i="55" s="1"/>
  <c r="Q202" i="53"/>
  <c r="CD176" i="55" s="1"/>
  <c r="DC66" i="55"/>
  <c r="AU77" i="51"/>
  <c r="AU59" i="58" s="1"/>
  <c r="N262" i="54"/>
  <c r="AU78" i="51" s="1"/>
  <c r="CB51" i="59"/>
  <c r="CB147" i="59"/>
  <c r="DC14" i="57"/>
  <c r="DC24" i="57"/>
  <c r="DC23" i="57"/>
  <c r="DC13" i="57"/>
  <c r="DD150" i="59"/>
  <c r="BY158" i="55"/>
  <c r="BY39" i="57" s="1"/>
  <c r="AQ23" i="57"/>
  <c r="AQ13" i="57"/>
  <c r="BY28" i="57"/>
  <c r="BY30" i="57" s="1"/>
  <c r="AQ14" i="57"/>
  <c r="AQ24" i="57"/>
  <c r="BZ7" i="57"/>
  <c r="BZ37" i="57"/>
  <c r="BZ5" i="57"/>
  <c r="BZ35" i="57"/>
  <c r="BZ10" i="57"/>
  <c r="BZ40" i="57"/>
  <c r="BY8" i="57"/>
  <c r="BY38" i="57"/>
  <c r="I9" i="57"/>
  <c r="I39" i="57"/>
  <c r="I41" i="57" s="1"/>
  <c r="O59" i="58"/>
  <c r="AQ66" i="55"/>
  <c r="O75" i="51"/>
  <c r="O76" i="51" s="1"/>
  <c r="AQ43" i="55"/>
  <c r="BZ135" i="55"/>
  <c r="N256" i="53"/>
  <c r="O10" i="55"/>
  <c r="O23" i="59" s="1"/>
  <c r="O146" i="59" s="1"/>
  <c r="P262" i="53"/>
  <c r="Q78" i="51" s="1"/>
  <c r="Q77" i="51"/>
  <c r="P252" i="53"/>
  <c r="Q74" i="51" s="1"/>
  <c r="Q76" i="51" s="1"/>
  <c r="Q236" i="54"/>
  <c r="AO66" i="55"/>
  <c r="DA59" i="55"/>
  <c r="AO43" i="55"/>
  <c r="DA36" i="55"/>
  <c r="AO181" i="55"/>
  <c r="DA174" i="55"/>
  <c r="AO89" i="55"/>
  <c r="DA82" i="55"/>
  <c r="AO112" i="55"/>
  <c r="DA105" i="55"/>
  <c r="AO128" i="55"/>
  <c r="AO13" i="57"/>
  <c r="AO23" i="57"/>
  <c r="DA37" i="55"/>
  <c r="AO14" i="57"/>
  <c r="AO24" i="57"/>
  <c r="DA60" i="55"/>
  <c r="AO29" i="57"/>
  <c r="AO19" i="57"/>
  <c r="DA175" i="55"/>
  <c r="AO15" i="57"/>
  <c r="AO25" i="57"/>
  <c r="DA83" i="55"/>
  <c r="AO16" i="57"/>
  <c r="AO26" i="57"/>
  <c r="AO129" i="55"/>
  <c r="DA106" i="55"/>
  <c r="DC150" i="59"/>
  <c r="DB150" i="59"/>
  <c r="DA150" i="59"/>
  <c r="DA98" i="59"/>
  <c r="DA125" i="59"/>
  <c r="DA55" i="59"/>
  <c r="DB147" i="59"/>
  <c r="DA147" i="59"/>
  <c r="DA122" i="59"/>
  <c r="DA51" i="59"/>
  <c r="DA94" i="59"/>
  <c r="DB148" i="59"/>
  <c r="DA148" i="59"/>
  <c r="DA96" i="59"/>
  <c r="DA123" i="59"/>
  <c r="DA95" i="59"/>
  <c r="DA52" i="59"/>
  <c r="DC154" i="59"/>
  <c r="DB154" i="59"/>
  <c r="DA154" i="59"/>
  <c r="DD154" i="59"/>
  <c r="DC148" i="59"/>
  <c r="DC147" i="59"/>
  <c r="O237" i="54"/>
  <c r="O238" i="54" s="1"/>
  <c r="O240" i="54" s="1"/>
  <c r="O261" i="54" s="1"/>
  <c r="Q218" i="53"/>
  <c r="Q219" i="53"/>
  <c r="O220" i="54"/>
  <c r="O224" i="54" s="1"/>
  <c r="O221" i="54"/>
  <c r="T81" i="54"/>
  <c r="T165" i="54"/>
  <c r="V72" i="53"/>
  <c r="V73" i="53" s="1"/>
  <c r="W49" i="51" s="1"/>
  <c r="BC49" i="51" s="1"/>
  <c r="V74" i="53"/>
  <c r="V75" i="53" s="1"/>
  <c r="W57" i="51" s="1"/>
  <c r="BC57" i="51" s="1"/>
  <c r="V80" i="53"/>
  <c r="V78" i="53"/>
  <c r="V47" i="53"/>
  <c r="V162" i="53" s="1"/>
  <c r="O244" i="54"/>
  <c r="O245" i="54" s="1"/>
  <c r="O254" i="54" s="1"/>
  <c r="AV75" i="51" s="1"/>
  <c r="Q236" i="53"/>
  <c r="Q239" i="53" s="1"/>
  <c r="Q228" i="54"/>
  <c r="AX178" i="55" s="1"/>
  <c r="DJ178" i="55" s="1"/>
  <c r="Q229" i="54"/>
  <c r="AX179" i="55" s="1"/>
  <c r="DJ179" i="55" s="1"/>
  <c r="Q226" i="54"/>
  <c r="AX176" i="55" s="1"/>
  <c r="DJ176" i="55" s="1"/>
  <c r="Q230" i="54"/>
  <c r="AX180" i="55" s="1"/>
  <c r="DJ180" i="55" s="1"/>
  <c r="Q225" i="54"/>
  <c r="Q227" i="54"/>
  <c r="AX177" i="55" s="1"/>
  <c r="DJ177" i="55" s="1"/>
  <c r="R225" i="54"/>
  <c r="DC89" i="55"/>
  <c r="DC15" i="57"/>
  <c r="DC181" i="55"/>
  <c r="AQ29" i="57"/>
  <c r="AQ19" i="57"/>
  <c r="AQ25" i="57"/>
  <c r="AQ128" i="55"/>
  <c r="DC128" i="55" s="1"/>
  <c r="DC105" i="55"/>
  <c r="DC112" i="55" s="1"/>
  <c r="DC25" i="57"/>
  <c r="DC16" i="57"/>
  <c r="AQ15" i="57"/>
  <c r="AQ89" i="55"/>
  <c r="AQ102" i="59"/>
  <c r="DC29" i="57"/>
  <c r="DC19" i="57"/>
  <c r="AQ129" i="55"/>
  <c r="DC129" i="55" s="1"/>
  <c r="AQ26" i="57"/>
  <c r="AQ16" i="57"/>
  <c r="AQ112" i="55"/>
  <c r="AN9" i="57"/>
  <c r="AN39" i="57"/>
  <c r="AQ181" i="55"/>
  <c r="Y39" i="51"/>
  <c r="CA23" i="57"/>
  <c r="BX39" i="57"/>
  <c r="BX41" i="57" s="1"/>
  <c r="BX9" i="57"/>
  <c r="CY149" i="59"/>
  <c r="CY155" i="59" s="1"/>
  <c r="Z43" i="59"/>
  <c r="Z86" i="59"/>
  <c r="Z113" i="59"/>
  <c r="Z69" i="59"/>
  <c r="Z87" i="59"/>
  <c r="Z114" i="59"/>
  <c r="Z44" i="59"/>
  <c r="Z70" i="59"/>
  <c r="M51" i="59"/>
  <c r="M147" i="59"/>
  <c r="BE44" i="59"/>
  <c r="BE87" i="59"/>
  <c r="BE114" i="59"/>
  <c r="BE70" i="59"/>
  <c r="Z45" i="59"/>
  <c r="Z88" i="59"/>
  <c r="Z115" i="59"/>
  <c r="Z71" i="59"/>
  <c r="Z118" i="59"/>
  <c r="Z74" i="59"/>
  <c r="Z48" i="59"/>
  <c r="Z91" i="59"/>
  <c r="DB58" i="59"/>
  <c r="Z111" i="59"/>
  <c r="Z41" i="59"/>
  <c r="Z84" i="59"/>
  <c r="Z67" i="59"/>
  <c r="Z40" i="59"/>
  <c r="Z83" i="59"/>
  <c r="Z110" i="59"/>
  <c r="Z66" i="59"/>
  <c r="BE45" i="59"/>
  <c r="BE88" i="59"/>
  <c r="BE115" i="59"/>
  <c r="BE71" i="59"/>
  <c r="BE116" i="59"/>
  <c r="BE46" i="59"/>
  <c r="BE89" i="59"/>
  <c r="BE72" i="59"/>
  <c r="BE40" i="59"/>
  <c r="BE66" i="59"/>
  <c r="BE83" i="59"/>
  <c r="BE110" i="59"/>
  <c r="CA112" i="55"/>
  <c r="DD101" i="59"/>
  <c r="DD153" i="59"/>
  <c r="BE42" i="59"/>
  <c r="BE68" i="59"/>
  <c r="BE85" i="59"/>
  <c r="BE112" i="59"/>
  <c r="BD39" i="51"/>
  <c r="BD20" i="59"/>
  <c r="AR51" i="59"/>
  <c r="AR147" i="59"/>
  <c r="Z46" i="59"/>
  <c r="Z89" i="59"/>
  <c r="Z116" i="59"/>
  <c r="Z72" i="59"/>
  <c r="BE84" i="59"/>
  <c r="BE111" i="59"/>
  <c r="BE41" i="59"/>
  <c r="BE67" i="59"/>
  <c r="BE86" i="59"/>
  <c r="BE113" i="59"/>
  <c r="BE43" i="59"/>
  <c r="BE69" i="59"/>
  <c r="Z112" i="59"/>
  <c r="Z68" i="59"/>
  <c r="Z42" i="59"/>
  <c r="Z85" i="59"/>
  <c r="CC101" i="59"/>
  <c r="CC153" i="59"/>
  <c r="Y73" i="59"/>
  <c r="Y90" i="59"/>
  <c r="Y47" i="59"/>
  <c r="Y117" i="59"/>
  <c r="DB4" i="57"/>
  <c r="CC24" i="59"/>
  <c r="Q204" i="53"/>
  <c r="CD178" i="55" s="1"/>
  <c r="AP151" i="55"/>
  <c r="DB151" i="55" s="1"/>
  <c r="BZ36" i="57"/>
  <c r="DD98" i="59"/>
  <c r="DD125" i="59"/>
  <c r="DD55" i="59"/>
  <c r="Q203" i="53"/>
  <c r="CD177" i="55" s="1"/>
  <c r="CB36" i="55"/>
  <c r="DD25" i="59"/>
  <c r="DD148" i="59" s="1"/>
  <c r="DD24" i="59"/>
  <c r="DD147" i="59" s="1"/>
  <c r="DD53" i="59"/>
  <c r="DD124" i="59"/>
  <c r="DD54" i="59"/>
  <c r="DD97" i="59"/>
  <c r="Q205" i="53"/>
  <c r="CD179" i="55" s="1"/>
  <c r="CB37" i="55"/>
  <c r="CB13" i="57" s="1"/>
  <c r="CA26" i="57"/>
  <c r="DD56" i="59"/>
  <c r="DD126" i="59"/>
  <c r="DD99" i="59"/>
  <c r="DC51" i="59"/>
  <c r="DC122" i="59"/>
  <c r="DC94" i="59"/>
  <c r="DB102" i="59"/>
  <c r="AP135" i="55"/>
  <c r="EI9" i="59"/>
  <c r="EN18" i="59"/>
  <c r="CA129" i="55"/>
  <c r="CA17" i="57" s="1"/>
  <c r="DD127" i="59"/>
  <c r="DD100" i="59"/>
  <c r="DD57" i="59"/>
  <c r="DC52" i="59"/>
  <c r="DC95" i="59"/>
  <c r="DC123" i="59"/>
  <c r="DC96" i="59"/>
  <c r="DB128" i="59"/>
  <c r="AR96" i="59"/>
  <c r="AR52" i="59"/>
  <c r="CB96" i="59"/>
  <c r="CB52" i="59"/>
  <c r="CD120" i="59"/>
  <c r="CD49" i="59"/>
  <c r="CD31" i="59"/>
  <c r="CD154" i="59" s="1"/>
  <c r="M96" i="59"/>
  <c r="M52" i="59"/>
  <c r="Z79" i="59"/>
  <c r="Z106" i="59"/>
  <c r="Z36" i="59"/>
  <c r="Z62" i="59"/>
  <c r="Z81" i="59"/>
  <c r="Z108" i="59"/>
  <c r="Z38" i="59"/>
  <c r="Z64" i="59"/>
  <c r="BE79" i="59"/>
  <c r="BE106" i="59"/>
  <c r="BE36" i="59"/>
  <c r="BE62" i="59"/>
  <c r="BE38" i="59"/>
  <c r="BE81" i="59"/>
  <c r="BE108" i="59"/>
  <c r="BE64" i="59"/>
  <c r="BE80" i="59"/>
  <c r="BE107" i="59"/>
  <c r="BE37" i="59"/>
  <c r="BE63" i="59"/>
  <c r="Z37" i="59"/>
  <c r="Z80" i="59"/>
  <c r="Z107" i="59"/>
  <c r="Z63" i="59"/>
  <c r="Z82" i="59"/>
  <c r="Z39" i="59"/>
  <c r="Z109" i="59"/>
  <c r="Z65" i="59"/>
  <c r="BE39" i="59"/>
  <c r="BE82" i="59"/>
  <c r="BE109" i="59"/>
  <c r="BE65" i="59"/>
  <c r="DD6" i="55"/>
  <c r="DB35" i="57"/>
  <c r="DB5" i="57"/>
  <c r="DB40" i="57"/>
  <c r="DB10" i="57"/>
  <c r="DB26" i="57"/>
  <c r="DD7" i="55"/>
  <c r="CX39" i="57"/>
  <c r="CX9" i="57"/>
  <c r="CZ39" i="57"/>
  <c r="CZ9" i="57"/>
  <c r="BZ34" i="57"/>
  <c r="DB17" i="57"/>
  <c r="DB27" i="57"/>
  <c r="DD20" i="55"/>
  <c r="DD19" i="55"/>
  <c r="DB37" i="57"/>
  <c r="DB7" i="57"/>
  <c r="DB36" i="57"/>
  <c r="DB6" i="57"/>
  <c r="AZ22" i="59"/>
  <c r="AZ145" i="59" s="1"/>
  <c r="DL9" i="55"/>
  <c r="DL22" i="59" s="1"/>
  <c r="DL145" i="59" s="1"/>
  <c r="DB135" i="55"/>
  <c r="CA25" i="57"/>
  <c r="CA89" i="55"/>
  <c r="CA6" i="57" s="1"/>
  <c r="CA43" i="55"/>
  <c r="CA4" i="57" s="1"/>
  <c r="S211" i="54"/>
  <c r="S214" i="54" s="1"/>
  <c r="R227" i="54"/>
  <c r="AY177" i="55" s="1"/>
  <c r="DK177" i="55" s="1"/>
  <c r="T211" i="54"/>
  <c r="T214" i="54" s="1"/>
  <c r="CA10" i="57"/>
  <c r="CA29" i="57"/>
  <c r="R229" i="54"/>
  <c r="AY179" i="55" s="1"/>
  <c r="DK179" i="55" s="1"/>
  <c r="R226" i="54"/>
  <c r="AY176" i="55" s="1"/>
  <c r="DK176" i="55" s="1"/>
  <c r="R228" i="54"/>
  <c r="AY178" i="55" s="1"/>
  <c r="DK178" i="55" s="1"/>
  <c r="CB83" i="55"/>
  <c r="CB15" i="57" s="1"/>
  <c r="CA24" i="57"/>
  <c r="CA128" i="59"/>
  <c r="M32" i="59"/>
  <c r="AP10" i="57"/>
  <c r="AP40" i="57"/>
  <c r="AP7" i="57"/>
  <c r="AP37" i="57"/>
  <c r="AP6" i="57"/>
  <c r="AP36" i="57"/>
  <c r="CB82" i="55"/>
  <c r="CB89" i="55" s="1"/>
  <c r="CB59" i="55"/>
  <c r="CB174" i="55"/>
  <c r="CB181" i="55" s="1"/>
  <c r="CB105" i="55"/>
  <c r="CB128" i="55" s="1"/>
  <c r="AP4" i="57"/>
  <c r="AP34" i="57"/>
  <c r="CB60" i="55"/>
  <c r="CB106" i="55"/>
  <c r="AP5" i="57"/>
  <c r="AP35" i="57"/>
  <c r="AP152" i="55"/>
  <c r="AP17" i="57"/>
  <c r="AP27" i="57"/>
  <c r="M95" i="59"/>
  <c r="M123" i="59"/>
  <c r="CC98" i="59"/>
  <c r="CC125" i="59"/>
  <c r="CB94" i="59"/>
  <c r="CB122" i="59"/>
  <c r="AR94" i="59"/>
  <c r="AR122" i="59"/>
  <c r="CC97" i="59"/>
  <c r="CC124" i="59"/>
  <c r="CB95" i="59"/>
  <c r="CB123" i="59"/>
  <c r="AR95" i="59"/>
  <c r="AR123" i="59"/>
  <c r="CC99" i="59"/>
  <c r="CC126" i="59"/>
  <c r="CC100" i="59"/>
  <c r="CC127" i="59"/>
  <c r="M94" i="59"/>
  <c r="M122" i="59"/>
  <c r="CD92" i="59"/>
  <c r="CA102" i="59"/>
  <c r="CA58" i="59"/>
  <c r="CC57" i="59"/>
  <c r="CC55" i="59"/>
  <c r="CC54" i="59"/>
  <c r="CC56" i="59"/>
  <c r="BA9" i="55"/>
  <c r="U22" i="59"/>
  <c r="U145" i="59" s="1"/>
  <c r="CC19" i="55"/>
  <c r="CC174" i="55" s="1"/>
  <c r="CC25" i="59"/>
  <c r="CC148" i="59" s="1"/>
  <c r="AT59" i="58"/>
  <c r="P59" i="58"/>
  <c r="T208" i="53"/>
  <c r="AR105" i="55"/>
  <c r="AR82" i="55"/>
  <c r="DD82" i="55" s="1"/>
  <c r="AR174" i="55"/>
  <c r="DD174" i="55" s="1"/>
  <c r="AR106" i="55"/>
  <c r="DD106" i="55" s="1"/>
  <c r="AR83" i="55"/>
  <c r="DD83" i="55" s="1"/>
  <c r="AR175" i="55"/>
  <c r="DD175" i="55" s="1"/>
  <c r="M105" i="55"/>
  <c r="M128" i="55" s="1"/>
  <c r="M82" i="55"/>
  <c r="M174" i="55"/>
  <c r="R200" i="53"/>
  <c r="R201" i="53" s="1"/>
  <c r="CE172" i="55"/>
  <c r="S210" i="53"/>
  <c r="S227" i="53" s="1"/>
  <c r="T177" i="55" s="1"/>
  <c r="T172" i="55"/>
  <c r="CA151" i="55"/>
  <c r="M106" i="55"/>
  <c r="M83" i="55"/>
  <c r="M175" i="55"/>
  <c r="AR59" i="55"/>
  <c r="DD59" i="55" s="1"/>
  <c r="AR60" i="55"/>
  <c r="DD60" i="55" s="1"/>
  <c r="M37" i="55"/>
  <c r="M60" i="55"/>
  <c r="M59" i="55"/>
  <c r="M36" i="55"/>
  <c r="AR37" i="55"/>
  <c r="DD37" i="55" s="1"/>
  <c r="CA66" i="55"/>
  <c r="AR36" i="55"/>
  <c r="DD36" i="55" s="1"/>
  <c r="CC7" i="55"/>
  <c r="CD16" i="55"/>
  <c r="CD30" i="59" s="1"/>
  <c r="CD11" i="55"/>
  <c r="CD15" i="55"/>
  <c r="CD29" i="59" s="1"/>
  <c r="CD152" i="59" s="1"/>
  <c r="CD13" i="55"/>
  <c r="CD27" i="59" s="1"/>
  <c r="CD150" i="59" s="1"/>
  <c r="CD12" i="55"/>
  <c r="CD26" i="59" s="1"/>
  <c r="CD53" i="59" s="1"/>
  <c r="CD14" i="55"/>
  <c r="CD28" i="59" s="1"/>
  <c r="CD151" i="59" s="1"/>
  <c r="M256" i="54"/>
  <c r="AT74" i="51"/>
  <c r="AT76" i="51" s="1"/>
  <c r="AT10" i="55"/>
  <c r="U207" i="53"/>
  <c r="U211" i="53" s="1"/>
  <c r="V4" i="55"/>
  <c r="CC6" i="55"/>
  <c r="Y59" i="51"/>
  <c r="X38" i="53"/>
  <c r="U81" i="53"/>
  <c r="V61" i="51" s="1"/>
  <c r="U165" i="53"/>
  <c r="V9" i="55" s="1"/>
  <c r="V22" i="59" s="1"/>
  <c r="O252" i="53"/>
  <c r="AA137" i="54"/>
  <c r="AA138" i="54" s="1"/>
  <c r="AA141" i="54"/>
  <c r="AA142" i="54" s="1"/>
  <c r="AA139" i="54"/>
  <c r="AA140" i="54" s="1"/>
  <c r="R221" i="53"/>
  <c r="R220" i="53"/>
  <c r="R224" i="53" s="1"/>
  <c r="P237" i="54"/>
  <c r="P238" i="54" s="1"/>
  <c r="P240" i="54" s="1"/>
  <c r="P261" i="54" s="1"/>
  <c r="BC65" i="51"/>
  <c r="V40" i="54"/>
  <c r="AA46" i="54" s="1"/>
  <c r="AA159" i="54" s="1"/>
  <c r="BD65" i="51"/>
  <c r="W40" i="54"/>
  <c r="AB46" i="54" s="1"/>
  <c r="AB159" i="54" s="1"/>
  <c r="U72" i="54"/>
  <c r="U73" i="54" s="1"/>
  <c r="U47" i="54"/>
  <c r="U162" i="54" s="1"/>
  <c r="U80" i="54"/>
  <c r="U78" i="54"/>
  <c r="U79" i="54" s="1"/>
  <c r="U74" i="54"/>
  <c r="U75" i="54" s="1"/>
  <c r="R219" i="54"/>
  <c r="R218" i="54"/>
  <c r="R236" i="54"/>
  <c r="V67" i="51"/>
  <c r="U79" i="53"/>
  <c r="BB51" i="51"/>
  <c r="S216" i="53"/>
  <c r="S217" i="53"/>
  <c r="S209" i="54"/>
  <c r="DL172" i="55" s="1"/>
  <c r="S232" i="54"/>
  <c r="S233" i="54" s="1"/>
  <c r="BC48" i="51"/>
  <c r="V36" i="54"/>
  <c r="V42" i="54" s="1"/>
  <c r="W80" i="53"/>
  <c r="W74" i="53"/>
  <c r="W75" i="53" s="1"/>
  <c r="X57" i="51" s="1"/>
  <c r="BD57" i="51" s="1"/>
  <c r="W78" i="53"/>
  <c r="W72" i="53"/>
  <c r="W73" i="53" s="1"/>
  <c r="X49" i="51" s="1"/>
  <c r="BD49" i="51" s="1"/>
  <c r="W47" i="53"/>
  <c r="P244" i="54"/>
  <c r="P245" i="54" s="1"/>
  <c r="P254" i="54" s="1"/>
  <c r="AW75" i="51" s="1"/>
  <c r="S223" i="53"/>
  <c r="S222" i="53"/>
  <c r="S234" i="53" s="1"/>
  <c r="S235" i="53" s="1"/>
  <c r="R237" i="53"/>
  <c r="R238" i="53" s="1"/>
  <c r="R240" i="53" s="1"/>
  <c r="R261" i="53" s="1"/>
  <c r="P220" i="54"/>
  <c r="P224" i="54" s="1"/>
  <c r="P221" i="54"/>
  <c r="R244" i="53"/>
  <c r="R245" i="53" s="1"/>
  <c r="R252" i="53" s="1"/>
  <c r="AZ71" i="51"/>
  <c r="AZ73" i="51" s="1"/>
  <c r="AZ64" i="51"/>
  <c r="BM50" i="51"/>
  <c r="Q219" i="54"/>
  <c r="Q218" i="54"/>
  <c r="T215" i="53"/>
  <c r="T214" i="53"/>
  <c r="T213" i="53"/>
  <c r="T212" i="53"/>
  <c r="Y52" i="51"/>
  <c r="Y54" i="51" s="1"/>
  <c r="X37" i="53"/>
  <c r="P201" i="54"/>
  <c r="P204" i="54"/>
  <c r="P206" i="54"/>
  <c r="P203" i="54"/>
  <c r="P202" i="54"/>
  <c r="P205" i="54"/>
  <c r="BN50" i="51"/>
  <c r="BD55" i="51"/>
  <c r="W39" i="54"/>
  <c r="AB45" i="54" s="1"/>
  <c r="BD59" i="51"/>
  <c r="W38" i="54"/>
  <c r="Q199" i="54"/>
  <c r="Q200" i="54" s="1"/>
  <c r="R166" i="54"/>
  <c r="CE9" i="55" s="1"/>
  <c r="CE22" i="59" s="1"/>
  <c r="CE145" i="59" s="1"/>
  <c r="BA67" i="51"/>
  <c r="BA70" i="51" s="1"/>
  <c r="U70" i="51"/>
  <c r="T232" i="53"/>
  <c r="T233" i="53" s="1"/>
  <c r="T209" i="53"/>
  <c r="Z160" i="54"/>
  <c r="BB57" i="51"/>
  <c r="BB58" i="51" s="1"/>
  <c r="BB72" i="51" s="1"/>
  <c r="V58" i="51"/>
  <c r="V72" i="51" s="1"/>
  <c r="BA61" i="51"/>
  <c r="U71" i="51"/>
  <c r="U73" i="51" s="1"/>
  <c r="U64" i="51"/>
  <c r="V51" i="51"/>
  <c r="BD44" i="51"/>
  <c r="AA138" i="53"/>
  <c r="Y55" i="51"/>
  <c r="X39" i="53"/>
  <c r="AC45" i="53" s="1"/>
  <c r="X65" i="51"/>
  <c r="W40" i="53"/>
  <c r="AB46" i="53" s="1"/>
  <c r="AB159" i="53" s="1"/>
  <c r="AA142" i="53"/>
  <c r="AB69" i="51" s="1"/>
  <c r="BH69" i="51" s="1"/>
  <c r="AA140" i="53"/>
  <c r="AB63" i="51" s="1"/>
  <c r="BH63" i="51" s="1"/>
  <c r="T166" i="53"/>
  <c r="S199" i="53"/>
  <c r="AB137" i="53"/>
  <c r="AC56" i="51" s="1"/>
  <c r="BI56" i="51" s="1"/>
  <c r="AB139" i="53"/>
  <c r="AB141" i="53"/>
  <c r="AA160" i="53"/>
  <c r="AB66" i="51" s="1"/>
  <c r="BH66" i="51" s="1"/>
  <c r="X46" i="51"/>
  <c r="Z37" i="51"/>
  <c r="BE33" i="51"/>
  <c r="BE35" i="51" s="1"/>
  <c r="AA36" i="51"/>
  <c r="AA38" i="51" s="1"/>
  <c r="AA20" i="59" s="1"/>
  <c r="BC46" i="51"/>
  <c r="Z29" i="51"/>
  <c r="Z15" i="51"/>
  <c r="Z17" i="51" s="1"/>
  <c r="BE29" i="51"/>
  <c r="BE21" i="51"/>
  <c r="Z21" i="51"/>
  <c r="BE24" i="51"/>
  <c r="BE15" i="51"/>
  <c r="BE17" i="51" s="1"/>
  <c r="AC10" i="51"/>
  <c r="BH10" i="51"/>
  <c r="AB12" i="51"/>
  <c r="BF20" i="51"/>
  <c r="BF9" i="59" s="1"/>
  <c r="BF23" i="51"/>
  <c r="BF11" i="59" s="1"/>
  <c r="BF22" i="51"/>
  <c r="BF10" i="59" s="1"/>
  <c r="BF19" i="51"/>
  <c r="BF8" i="59" s="1"/>
  <c r="BF13" i="51"/>
  <c r="BF12" i="59" s="1"/>
  <c r="BF14" i="51"/>
  <c r="BF13" i="59" s="1"/>
  <c r="BD43" i="51"/>
  <c r="BD17" i="51"/>
  <c r="BG12" i="51"/>
  <c r="BD25" i="51"/>
  <c r="Y25" i="51"/>
  <c r="AB26" i="51"/>
  <c r="AA28" i="51"/>
  <c r="AA15" i="59" s="1"/>
  <c r="AA27" i="51"/>
  <c r="AA14" i="59" s="1"/>
  <c r="BG26" i="51"/>
  <c r="Y43" i="51"/>
  <c r="Y46" i="51" s="1"/>
  <c r="BF31" i="51"/>
  <c r="BF16" i="59" s="1"/>
  <c r="BF34" i="51"/>
  <c r="BF18" i="59" s="1"/>
  <c r="BF32" i="51"/>
  <c r="BF17" i="59" s="1"/>
  <c r="BE38" i="51"/>
  <c r="BE20" i="59" s="1"/>
  <c r="BE37" i="51"/>
  <c r="BE19" i="59" s="1"/>
  <c r="AA13" i="51"/>
  <c r="AA12" i="59" s="1"/>
  <c r="AA14" i="51"/>
  <c r="AA13" i="59" s="1"/>
  <c r="AA23" i="51"/>
  <c r="AA11" i="59" s="1"/>
  <c r="BG18" i="51"/>
  <c r="AA20" i="51"/>
  <c r="AA9" i="59" s="1"/>
  <c r="AB18" i="51"/>
  <c r="AA22" i="51"/>
  <c r="AA10" i="59" s="1"/>
  <c r="AA19" i="51"/>
  <c r="AA8" i="59" s="1"/>
  <c r="BF28" i="51"/>
  <c r="BF15" i="59" s="1"/>
  <c r="BF27" i="51"/>
  <c r="BF14" i="59" s="1"/>
  <c r="Z33" i="51"/>
  <c r="Z35" i="51" s="1"/>
  <c r="AB30" i="51"/>
  <c r="BG30" i="51"/>
  <c r="AA31" i="51"/>
  <c r="AA16" i="59" s="1"/>
  <c r="AA34" i="51"/>
  <c r="AA18" i="59" s="1"/>
  <c r="AA32" i="51"/>
  <c r="AA17" i="59" s="1"/>
  <c r="Z24" i="51"/>
  <c r="BF36" i="51"/>
  <c r="N154" i="59" l="1"/>
  <c r="DC34" i="57"/>
  <c r="DC4" i="57"/>
  <c r="BZ149" i="59"/>
  <c r="BZ155" i="59" s="1"/>
  <c r="AS52" i="59"/>
  <c r="L29" i="57"/>
  <c r="L25" i="57"/>
  <c r="L26" i="57"/>
  <c r="L24" i="57"/>
  <c r="K152" i="55"/>
  <c r="K158" i="55" s="1"/>
  <c r="K17" i="57"/>
  <c r="K27" i="57"/>
  <c r="L23" i="57"/>
  <c r="L13" i="57"/>
  <c r="K34" i="57"/>
  <c r="K35" i="57"/>
  <c r="K6" i="57"/>
  <c r="K36" i="57"/>
  <c r="K10" i="57"/>
  <c r="L19" i="57"/>
  <c r="L15" i="57"/>
  <c r="L129" i="55"/>
  <c r="L135" i="55" s="1"/>
  <c r="L16" i="57"/>
  <c r="L14" i="57"/>
  <c r="K4" i="57"/>
  <c r="K5" i="57"/>
  <c r="K8" i="57"/>
  <c r="K38" i="57"/>
  <c r="K40" i="57"/>
  <c r="AS95" i="59"/>
  <c r="AS123" i="59"/>
  <c r="DE151" i="59"/>
  <c r="DE150" i="59"/>
  <c r="DE101" i="59"/>
  <c r="DE153" i="59"/>
  <c r="AS51" i="59"/>
  <c r="AS147" i="59"/>
  <c r="DE152" i="59"/>
  <c r="DE25" i="59"/>
  <c r="DE24" i="59"/>
  <c r="DE99" i="59"/>
  <c r="DE126" i="59"/>
  <c r="DE56" i="59"/>
  <c r="DE57" i="59"/>
  <c r="DE127" i="59"/>
  <c r="DE100" i="59"/>
  <c r="DE6" i="55"/>
  <c r="DE26" i="59"/>
  <c r="BZ158" i="55"/>
  <c r="DE55" i="59"/>
  <c r="DE125" i="59"/>
  <c r="DE98" i="59"/>
  <c r="Y75" i="59"/>
  <c r="DE19" i="55"/>
  <c r="DE20" i="55"/>
  <c r="AU23" i="59"/>
  <c r="DG10" i="55"/>
  <c r="DG23" i="59" s="1"/>
  <c r="DE7" i="55"/>
  <c r="L128" i="59"/>
  <c r="K7" i="57"/>
  <c r="K37" i="57"/>
  <c r="J9" i="57"/>
  <c r="J39" i="57"/>
  <c r="AS94" i="59"/>
  <c r="AS122" i="59"/>
  <c r="AU15" i="55"/>
  <c r="AU29" i="59" s="1"/>
  <c r="AU14" i="55"/>
  <c r="AU28" i="59" s="1"/>
  <c r="AU12" i="55"/>
  <c r="AU26" i="59" s="1"/>
  <c r="AU53" i="59" s="1"/>
  <c r="AU11" i="55"/>
  <c r="AU16" i="55"/>
  <c r="AU30" i="59" s="1"/>
  <c r="AU13" i="55"/>
  <c r="AU27" i="59" s="1"/>
  <c r="AS154" i="59"/>
  <c r="DE154" i="59"/>
  <c r="L43" i="55"/>
  <c r="AS148" i="59"/>
  <c r="N10" i="58"/>
  <c r="L58" i="59"/>
  <c r="L102" i="59"/>
  <c r="AU58" i="58"/>
  <c r="L181" i="55"/>
  <c r="L112" i="55"/>
  <c r="L151" i="55"/>
  <c r="L66" i="55"/>
  <c r="L89" i="55"/>
  <c r="Y65" i="51"/>
  <c r="X40" i="53"/>
  <c r="AC46" i="53" s="1"/>
  <c r="AC159" i="53" s="1"/>
  <c r="AS96" i="59"/>
  <c r="N24" i="59"/>
  <c r="N101" i="59"/>
  <c r="N153" i="59"/>
  <c r="DC35" i="57"/>
  <c r="DC5" i="57"/>
  <c r="BZ28" i="57"/>
  <c r="BZ30" i="57" s="1"/>
  <c r="N20" i="55"/>
  <c r="O12" i="55"/>
  <c r="O26" i="59" s="1"/>
  <c r="O53" i="59" s="1"/>
  <c r="O15" i="55"/>
  <c r="O29" i="59" s="1"/>
  <c r="O152" i="59" s="1"/>
  <c r="N6" i="55"/>
  <c r="N99" i="59"/>
  <c r="N126" i="59"/>
  <c r="N97" i="59"/>
  <c r="N124" i="59"/>
  <c r="N100" i="59"/>
  <c r="N127" i="59"/>
  <c r="N98" i="59"/>
  <c r="N125" i="59"/>
  <c r="O93" i="59"/>
  <c r="N54" i="59"/>
  <c r="N55" i="59"/>
  <c r="N56" i="59"/>
  <c r="N57" i="59"/>
  <c r="N25" i="59"/>
  <c r="N148" i="59" s="1"/>
  <c r="O58" i="58"/>
  <c r="O5" i="58" s="1"/>
  <c r="Q59" i="58"/>
  <c r="AS105" i="55"/>
  <c r="AS82" i="55"/>
  <c r="DE82" i="55" s="1"/>
  <c r="AS174" i="55"/>
  <c r="DE174" i="55" s="1"/>
  <c r="AS36" i="55"/>
  <c r="DE36" i="55" s="1"/>
  <c r="O13" i="55"/>
  <c r="O27" i="59" s="1"/>
  <c r="O150" i="59" s="1"/>
  <c r="O11" i="55"/>
  <c r="AS106" i="55"/>
  <c r="DE106" i="55" s="1"/>
  <c r="AS83" i="55"/>
  <c r="DE83" i="55" s="1"/>
  <c r="AS175" i="55"/>
  <c r="DE175" i="55" s="1"/>
  <c r="AS59" i="55"/>
  <c r="DE59" i="55" s="1"/>
  <c r="AS60" i="55"/>
  <c r="DE60" i="55" s="1"/>
  <c r="AS37" i="55"/>
  <c r="DE37" i="55" s="1"/>
  <c r="CB66" i="55"/>
  <c r="N7" i="55"/>
  <c r="N19" i="55"/>
  <c r="O16" i="55"/>
  <c r="O30" i="59" s="1"/>
  <c r="O14" i="55"/>
  <c r="O28" i="59" s="1"/>
  <c r="O151" i="59" s="1"/>
  <c r="CA27" i="57"/>
  <c r="CA152" i="55"/>
  <c r="CA18" i="57" s="1"/>
  <c r="CA135" i="55"/>
  <c r="AQ151" i="55"/>
  <c r="DC151" i="55" s="1"/>
  <c r="BY9" i="57"/>
  <c r="AU11" i="58"/>
  <c r="AU6" i="58"/>
  <c r="P256" i="53"/>
  <c r="O11" i="58"/>
  <c r="O6" i="58"/>
  <c r="O50" i="59"/>
  <c r="O31" i="59"/>
  <c r="O154" i="59" s="1"/>
  <c r="BY41" i="57"/>
  <c r="AQ4" i="57"/>
  <c r="AQ34" i="57"/>
  <c r="CA7" i="57"/>
  <c r="CA37" i="57"/>
  <c r="AQ5" i="57"/>
  <c r="AQ35" i="57"/>
  <c r="BZ8" i="57"/>
  <c r="BZ38" i="57"/>
  <c r="O121" i="59"/>
  <c r="R202" i="53"/>
  <c r="CE176" i="55" s="1"/>
  <c r="Q10" i="55"/>
  <c r="Q23" i="59" s="1"/>
  <c r="Q58" i="58"/>
  <c r="Q5" i="58" s="1"/>
  <c r="Q239" i="54"/>
  <c r="Q244" i="54"/>
  <c r="Q245" i="54" s="1"/>
  <c r="Q254" i="54" s="1"/>
  <c r="AX75" i="51" s="1"/>
  <c r="Q237" i="54"/>
  <c r="Q238" i="54" s="1"/>
  <c r="AO5" i="57"/>
  <c r="AO35" i="57"/>
  <c r="AO34" i="57"/>
  <c r="AO4" i="57"/>
  <c r="AO40" i="57"/>
  <c r="AO10" i="57"/>
  <c r="AO36" i="57"/>
  <c r="AO6" i="57"/>
  <c r="AO37" i="57"/>
  <c r="AO7" i="57"/>
  <c r="AO135" i="55"/>
  <c r="AO151" i="55"/>
  <c r="DA128" i="55"/>
  <c r="DA23" i="57"/>
  <c r="DA13" i="57"/>
  <c r="DA24" i="57"/>
  <c r="DA14" i="57"/>
  <c r="DA19" i="57"/>
  <c r="DA29" i="57"/>
  <c r="DA15" i="57"/>
  <c r="DA25" i="57"/>
  <c r="AO17" i="57"/>
  <c r="AO27" i="57"/>
  <c r="AO152" i="55"/>
  <c r="DA129" i="55"/>
  <c r="DA16" i="57"/>
  <c r="DA26" i="57"/>
  <c r="DA66" i="55"/>
  <c r="DA43" i="55"/>
  <c r="DA181" i="55"/>
  <c r="DA89" i="55"/>
  <c r="DA112" i="55"/>
  <c r="DA128" i="59"/>
  <c r="DA58" i="59"/>
  <c r="DA102" i="59"/>
  <c r="BC58" i="51"/>
  <c r="Q237" i="53"/>
  <c r="Q238" i="53" s="1"/>
  <c r="Q240" i="53" s="1"/>
  <c r="Q261" i="53" s="1"/>
  <c r="O262" i="54"/>
  <c r="AV78" i="51" s="1"/>
  <c r="AV77" i="51"/>
  <c r="V207" i="53"/>
  <c r="V208" i="53" s="1"/>
  <c r="W4" i="55"/>
  <c r="W51" i="51"/>
  <c r="BC72" i="51"/>
  <c r="V81" i="53"/>
  <c r="W61" i="51" s="1"/>
  <c r="Q244" i="53"/>
  <c r="Q245" i="53" s="1"/>
  <c r="Q254" i="53" s="1"/>
  <c r="R75" i="51" s="1"/>
  <c r="T232" i="54"/>
  <c r="T233" i="54" s="1"/>
  <c r="O252" i="54"/>
  <c r="W67" i="51"/>
  <c r="BC67" i="51" s="1"/>
  <c r="V165" i="53"/>
  <c r="W9" i="55" s="1"/>
  <c r="W22" i="59" s="1"/>
  <c r="S226" i="53"/>
  <c r="T176" i="55" s="1"/>
  <c r="BC51" i="51"/>
  <c r="S213" i="54"/>
  <c r="S215" i="54"/>
  <c r="Q220" i="53"/>
  <c r="Q224" i="53" s="1"/>
  <c r="Q221" i="53"/>
  <c r="T209" i="54"/>
  <c r="DM172" i="55" s="1"/>
  <c r="W58" i="51"/>
  <c r="W72" i="51" s="1"/>
  <c r="V79" i="53"/>
  <c r="DC26" i="57"/>
  <c r="AQ135" i="55"/>
  <c r="AQ8" i="57" s="1"/>
  <c r="DC40" i="57"/>
  <c r="DC10" i="57"/>
  <c r="AQ37" i="57"/>
  <c r="DC135" i="55"/>
  <c r="AQ36" i="57"/>
  <c r="AQ40" i="57"/>
  <c r="AQ17" i="57"/>
  <c r="DC36" i="57"/>
  <c r="DC6" i="57"/>
  <c r="DC37" i="57"/>
  <c r="DC7" i="57"/>
  <c r="AQ6" i="57"/>
  <c r="AQ7" i="57"/>
  <c r="AQ10" i="57"/>
  <c r="AQ152" i="55"/>
  <c r="DC152" i="55" s="1"/>
  <c r="AQ27" i="57"/>
  <c r="DC27" i="57"/>
  <c r="DC17" i="57"/>
  <c r="AZ92" i="59"/>
  <c r="AP8" i="57"/>
  <c r="AP38" i="57"/>
  <c r="DD181" i="55"/>
  <c r="CD24" i="59"/>
  <c r="BF86" i="59"/>
  <c r="BF113" i="59"/>
  <c r="BF43" i="59"/>
  <c r="BF69" i="59"/>
  <c r="AA83" i="59"/>
  <c r="AA110" i="59"/>
  <c r="AA40" i="59"/>
  <c r="AA66" i="59"/>
  <c r="AA112" i="59"/>
  <c r="AA68" i="59"/>
  <c r="AA42" i="59"/>
  <c r="AA85" i="59"/>
  <c r="BF67" i="59"/>
  <c r="BF84" i="59"/>
  <c r="BF111" i="59"/>
  <c r="BF41" i="59"/>
  <c r="AA89" i="59"/>
  <c r="AA46" i="59"/>
  <c r="AA116" i="59"/>
  <c r="AA72" i="59"/>
  <c r="AA115" i="59"/>
  <c r="AA45" i="59"/>
  <c r="AA88" i="59"/>
  <c r="AA71" i="59"/>
  <c r="BE47" i="59"/>
  <c r="BE73" i="59"/>
  <c r="BE90" i="59"/>
  <c r="BE117" i="59"/>
  <c r="AA86" i="59"/>
  <c r="AA113" i="59"/>
  <c r="AA43" i="59"/>
  <c r="AA69" i="59"/>
  <c r="BF110" i="59"/>
  <c r="BF40" i="59"/>
  <c r="BF83" i="59"/>
  <c r="BF66" i="59"/>
  <c r="AA74" i="59"/>
  <c r="AA91" i="59"/>
  <c r="AA48" i="59"/>
  <c r="AA118" i="59"/>
  <c r="V145" i="59"/>
  <c r="Z39" i="51"/>
  <c r="Z19" i="59"/>
  <c r="CD101" i="59"/>
  <c r="CD153" i="59"/>
  <c r="AA44" i="59"/>
  <c r="AA87" i="59"/>
  <c r="AA114" i="59"/>
  <c r="AA70" i="59"/>
  <c r="BF89" i="59"/>
  <c r="BF116" i="59"/>
  <c r="BF46" i="59"/>
  <c r="BF72" i="59"/>
  <c r="BF88" i="59"/>
  <c r="BF115" i="59"/>
  <c r="BF45" i="59"/>
  <c r="BF71" i="59"/>
  <c r="BF87" i="59"/>
  <c r="BF44" i="59"/>
  <c r="BF114" i="59"/>
  <c r="BF70" i="59"/>
  <c r="DC58" i="59"/>
  <c r="CC51" i="59"/>
  <c r="CC147" i="59"/>
  <c r="BD48" i="59"/>
  <c r="BD74" i="59"/>
  <c r="BD75" i="59" s="1"/>
  <c r="BD91" i="59"/>
  <c r="BD118" i="59"/>
  <c r="BE48" i="59"/>
  <c r="BE74" i="59"/>
  <c r="BE91" i="59"/>
  <c r="BE118" i="59"/>
  <c r="BF85" i="59"/>
  <c r="BF112" i="59"/>
  <c r="BF68" i="59"/>
  <c r="BF42" i="59"/>
  <c r="AA41" i="59"/>
  <c r="AA67" i="59"/>
  <c r="AA84" i="59"/>
  <c r="AA111" i="59"/>
  <c r="EN9" i="59"/>
  <c r="T215" i="54"/>
  <c r="S212" i="54"/>
  <c r="S225" i="53"/>
  <c r="CB43" i="55"/>
  <c r="DL49" i="59"/>
  <c r="DL92" i="59"/>
  <c r="DL120" i="59"/>
  <c r="DD51" i="59"/>
  <c r="DD122" i="59"/>
  <c r="DD94" i="59"/>
  <c r="R205" i="53"/>
  <c r="CE179" i="55" s="1"/>
  <c r="T212" i="54"/>
  <c r="CB112" i="55"/>
  <c r="CB7" i="57" s="1"/>
  <c r="CB16" i="57"/>
  <c r="DD52" i="59"/>
  <c r="DD96" i="59"/>
  <c r="DD95" i="59"/>
  <c r="DD123" i="59"/>
  <c r="S229" i="53"/>
  <c r="T179" i="55" s="1"/>
  <c r="R203" i="53"/>
  <c r="CE177" i="55" s="1"/>
  <c r="R204" i="53"/>
  <c r="CE178" i="55" s="1"/>
  <c r="T213" i="54"/>
  <c r="P11" i="58"/>
  <c r="P6" i="58"/>
  <c r="S230" i="53"/>
  <c r="T180" i="55" s="1"/>
  <c r="S228" i="53"/>
  <c r="T178" i="55" s="1"/>
  <c r="AT11" i="58"/>
  <c r="AT6" i="58"/>
  <c r="DC102" i="59"/>
  <c r="R206" i="53"/>
  <c r="CE180" i="55" s="1"/>
  <c r="U208" i="53"/>
  <c r="CB24" i="57"/>
  <c r="CB14" i="57"/>
  <c r="CB23" i="57"/>
  <c r="DC128" i="59"/>
  <c r="V49" i="59"/>
  <c r="CC96" i="59"/>
  <c r="CC52" i="59"/>
  <c r="AZ120" i="59"/>
  <c r="AZ49" i="59"/>
  <c r="U49" i="59"/>
  <c r="CE120" i="59"/>
  <c r="CE49" i="59"/>
  <c r="CE31" i="59"/>
  <c r="CE154" i="59" s="1"/>
  <c r="AA80" i="59"/>
  <c r="AA37" i="59"/>
  <c r="AA107" i="59"/>
  <c r="AA63" i="59"/>
  <c r="AA82" i="59"/>
  <c r="AA39" i="59"/>
  <c r="AA109" i="59"/>
  <c r="AA65" i="59"/>
  <c r="BF81" i="59"/>
  <c r="BF108" i="59"/>
  <c r="BF38" i="59"/>
  <c r="BF64" i="59"/>
  <c r="AA38" i="59"/>
  <c r="AA81" i="59"/>
  <c r="AA108" i="59"/>
  <c r="AA64" i="59"/>
  <c r="AA79" i="59"/>
  <c r="AA106" i="59"/>
  <c r="AA36" i="59"/>
  <c r="AA62" i="59"/>
  <c r="BF79" i="59"/>
  <c r="BF36" i="59"/>
  <c r="BF106" i="59"/>
  <c r="BF62" i="59"/>
  <c r="DD89" i="55"/>
  <c r="DD36" i="57" s="1"/>
  <c r="BF39" i="59"/>
  <c r="BF82" i="59"/>
  <c r="BF109" i="59"/>
  <c r="BF65" i="59"/>
  <c r="DD43" i="55"/>
  <c r="DD34" i="57" s="1"/>
  <c r="BF80" i="59"/>
  <c r="BF107" i="59"/>
  <c r="BF37" i="59"/>
  <c r="BF63" i="59"/>
  <c r="AT23" i="59"/>
  <c r="AT146" i="59" s="1"/>
  <c r="DF10" i="55"/>
  <c r="DF23" i="59" s="1"/>
  <c r="DF146" i="59" s="1"/>
  <c r="DD14" i="57"/>
  <c r="DD24" i="57"/>
  <c r="AP158" i="55"/>
  <c r="AP9" i="57" s="1"/>
  <c r="DB152" i="55"/>
  <c r="DB8" i="57"/>
  <c r="DB38" i="57"/>
  <c r="DD66" i="55"/>
  <c r="AR128" i="55"/>
  <c r="DD128" i="55" s="1"/>
  <c r="DD105" i="55"/>
  <c r="DD112" i="55" s="1"/>
  <c r="CA34" i="57"/>
  <c r="CC37" i="55"/>
  <c r="CC13" i="57" s="1"/>
  <c r="CA36" i="57"/>
  <c r="DD19" i="57"/>
  <c r="DD29" i="57"/>
  <c r="BA22" i="59"/>
  <c r="BA145" i="59" s="1"/>
  <c r="DM9" i="55"/>
  <c r="DM22" i="59" s="1"/>
  <c r="DM145" i="59" s="1"/>
  <c r="DD23" i="57"/>
  <c r="DD13" i="57"/>
  <c r="DD15" i="57"/>
  <c r="DD25" i="57"/>
  <c r="DD16" i="57"/>
  <c r="CC82" i="55"/>
  <c r="CC175" i="55"/>
  <c r="CC19" i="57" s="1"/>
  <c r="CC59" i="55"/>
  <c r="CB25" i="57"/>
  <c r="CC83" i="55"/>
  <c r="CC15" i="57" s="1"/>
  <c r="CC105" i="55"/>
  <c r="CC128" i="55" s="1"/>
  <c r="CC106" i="55"/>
  <c r="CC36" i="55"/>
  <c r="CC60" i="55"/>
  <c r="M128" i="59"/>
  <c r="AR102" i="59"/>
  <c r="AR23" i="57"/>
  <c r="AR13" i="57"/>
  <c r="M23" i="57"/>
  <c r="M13" i="57"/>
  <c r="AR29" i="57"/>
  <c r="AR19" i="57"/>
  <c r="CB129" i="55"/>
  <c r="CB26" i="57"/>
  <c r="M29" i="57"/>
  <c r="M19" i="57"/>
  <c r="AR25" i="57"/>
  <c r="AR15" i="57"/>
  <c r="M25" i="57"/>
  <c r="M15" i="57"/>
  <c r="AR129" i="55"/>
  <c r="AR16" i="57"/>
  <c r="AR26" i="57"/>
  <c r="U120" i="59"/>
  <c r="CB10" i="57"/>
  <c r="CB40" i="57"/>
  <c r="CB6" i="57"/>
  <c r="CB36" i="57"/>
  <c r="M129" i="55"/>
  <c r="M26" i="57"/>
  <c r="M16" i="57"/>
  <c r="V120" i="59"/>
  <c r="AR14" i="57"/>
  <c r="AR24" i="57"/>
  <c r="AP28" i="57"/>
  <c r="AP30" i="57" s="1"/>
  <c r="AP18" i="57"/>
  <c r="AP20" i="57" s="1"/>
  <c r="CA5" i="57"/>
  <c r="CA35" i="57"/>
  <c r="M14" i="57"/>
  <c r="M24" i="57"/>
  <c r="CB29" i="57"/>
  <c r="CD100" i="59"/>
  <c r="CD127" i="59"/>
  <c r="CD99" i="59"/>
  <c r="CD126" i="59"/>
  <c r="CD98" i="59"/>
  <c r="CD125" i="59"/>
  <c r="CD97" i="59"/>
  <c r="CD124" i="59"/>
  <c r="CC95" i="59"/>
  <c r="CC123" i="59"/>
  <c r="CB128" i="59"/>
  <c r="CC94" i="59"/>
  <c r="CC122" i="59"/>
  <c r="V92" i="59"/>
  <c r="U92" i="59"/>
  <c r="CE92" i="59"/>
  <c r="M102" i="59"/>
  <c r="CD57" i="59"/>
  <c r="M58" i="59"/>
  <c r="CB102" i="59"/>
  <c r="CD55" i="59"/>
  <c r="CD56" i="59"/>
  <c r="CB58" i="59"/>
  <c r="CD54" i="59"/>
  <c r="CD19" i="55"/>
  <c r="CD175" i="55" s="1"/>
  <c r="CD19" i="57" s="1"/>
  <c r="CD25" i="59"/>
  <c r="CD148" i="59" s="1"/>
  <c r="AT58" i="58"/>
  <c r="AR66" i="55"/>
  <c r="M66" i="55"/>
  <c r="BD58" i="51"/>
  <c r="BD72" i="51" s="1"/>
  <c r="S200" i="53"/>
  <c r="CF172" i="55"/>
  <c r="S210" i="54"/>
  <c r="S230" i="54" s="1"/>
  <c r="AZ180" i="55" s="1"/>
  <c r="DL180" i="55" s="1"/>
  <c r="AZ172" i="55"/>
  <c r="CB151" i="55"/>
  <c r="M151" i="55"/>
  <c r="BD46" i="51"/>
  <c r="M181" i="55"/>
  <c r="T210" i="53"/>
  <c r="T230" i="53" s="1"/>
  <c r="U180" i="55" s="1"/>
  <c r="U172" i="55"/>
  <c r="AR181" i="55"/>
  <c r="M43" i="55"/>
  <c r="AR43" i="55"/>
  <c r="M89" i="55"/>
  <c r="M112" i="55"/>
  <c r="AR89" i="55"/>
  <c r="AR112" i="55"/>
  <c r="P262" i="54"/>
  <c r="AW78" i="51" s="1"/>
  <c r="AW77" i="51"/>
  <c r="R262" i="53"/>
  <c r="S78" i="51" s="1"/>
  <c r="S77" i="51"/>
  <c r="CD6" i="55"/>
  <c r="O256" i="53"/>
  <c r="P74" i="51"/>
  <c r="P76" i="51" s="1"/>
  <c r="P10" i="55"/>
  <c r="P23" i="59" s="1"/>
  <c r="P146" i="59" s="1"/>
  <c r="BB9" i="55"/>
  <c r="AT15" i="55"/>
  <c r="AT29" i="59" s="1"/>
  <c r="AT152" i="59" s="1"/>
  <c r="AT11" i="55"/>
  <c r="AT13" i="55"/>
  <c r="AT27" i="59" s="1"/>
  <c r="AT150" i="59" s="1"/>
  <c r="AT16" i="55"/>
  <c r="AT30" i="59" s="1"/>
  <c r="AT14" i="55"/>
  <c r="AT28" i="59" s="1"/>
  <c r="AT151" i="59" s="1"/>
  <c r="AT12" i="55"/>
  <c r="AT26" i="59" s="1"/>
  <c r="AT53" i="59" s="1"/>
  <c r="U207" i="54"/>
  <c r="U211" i="54" s="1"/>
  <c r="BB4" i="55"/>
  <c r="CE13" i="55"/>
  <c r="CE27" i="59" s="1"/>
  <c r="CE150" i="59" s="1"/>
  <c r="CE16" i="55"/>
  <c r="CE30" i="59" s="1"/>
  <c r="CE12" i="55"/>
  <c r="CE26" i="59" s="1"/>
  <c r="CE53" i="59" s="1"/>
  <c r="CE15" i="55"/>
  <c r="CE29" i="59" s="1"/>
  <c r="CE152" i="59" s="1"/>
  <c r="CE14" i="55"/>
  <c r="CE28" i="59" s="1"/>
  <c r="CE151" i="59" s="1"/>
  <c r="CE11" i="55"/>
  <c r="CD7" i="55"/>
  <c r="W207" i="53"/>
  <c r="W208" i="53" s="1"/>
  <c r="X4" i="55"/>
  <c r="S74" i="51"/>
  <c r="BD52" i="51"/>
  <c r="BD54" i="51" s="1"/>
  <c r="W37" i="54"/>
  <c r="BE59" i="51"/>
  <c r="X38" i="54"/>
  <c r="X51" i="51"/>
  <c r="S216" i="54"/>
  <c r="S217" i="54"/>
  <c r="S236" i="53"/>
  <c r="S239" i="53" s="1"/>
  <c r="AB160" i="54"/>
  <c r="Z52" i="51"/>
  <c r="Z54" i="51" s="1"/>
  <c r="Y37" i="53"/>
  <c r="AB139" i="54"/>
  <c r="AB140" i="54" s="1"/>
  <c r="AB137" i="54"/>
  <c r="AB138" i="54" s="1"/>
  <c r="AB141" i="54"/>
  <c r="AB142" i="54" s="1"/>
  <c r="Z59" i="51"/>
  <c r="Y38" i="53"/>
  <c r="BA71" i="51"/>
  <c r="BA73" i="51" s="1"/>
  <c r="BA64" i="51"/>
  <c r="R199" i="54"/>
  <c r="R200" i="54" s="1"/>
  <c r="S166" i="54"/>
  <c r="CF9" i="55" s="1"/>
  <c r="CF22" i="59" s="1"/>
  <c r="CF145" i="59" s="1"/>
  <c r="R254" i="53"/>
  <c r="S10" i="55" s="1"/>
  <c r="S23" i="59" s="1"/>
  <c r="X67" i="51"/>
  <c r="BD67" i="51" s="1"/>
  <c r="BD70" i="51" s="1"/>
  <c r="W79" i="53"/>
  <c r="AA160" i="54"/>
  <c r="Q201" i="54"/>
  <c r="Q202" i="54"/>
  <c r="Q203" i="54"/>
  <c r="Q205" i="54"/>
  <c r="Q206" i="54"/>
  <c r="Q204" i="54"/>
  <c r="V47" i="54"/>
  <c r="V80" i="54"/>
  <c r="V78" i="54"/>
  <c r="V79" i="54" s="1"/>
  <c r="V74" i="54"/>
  <c r="V75" i="54" s="1"/>
  <c r="V72" i="54"/>
  <c r="V73" i="54" s="1"/>
  <c r="BB67" i="51"/>
  <c r="BB70" i="51" s="1"/>
  <c r="V70" i="51"/>
  <c r="BE52" i="51"/>
  <c r="BE54" i="51" s="1"/>
  <c r="X37" i="54"/>
  <c r="T217" i="53"/>
  <c r="T216" i="53"/>
  <c r="T216" i="54"/>
  <c r="T217" i="54"/>
  <c r="W81" i="53"/>
  <c r="X61" i="51" s="1"/>
  <c r="W165" i="53"/>
  <c r="X9" i="55" s="1"/>
  <c r="R237" i="54"/>
  <c r="R238" i="54" s="1"/>
  <c r="R240" i="54" s="1"/>
  <c r="R239" i="54"/>
  <c r="R244" i="54" s="1"/>
  <c r="U81" i="54"/>
  <c r="U165" i="54"/>
  <c r="U209" i="53"/>
  <c r="U232" i="53"/>
  <c r="U233" i="53" s="1"/>
  <c r="BE55" i="51"/>
  <c r="X39" i="54"/>
  <c r="AC45" i="54" s="1"/>
  <c r="U213" i="53"/>
  <c r="U212" i="53"/>
  <c r="U215" i="53"/>
  <c r="U214" i="53"/>
  <c r="T223" i="53"/>
  <c r="T222" i="53"/>
  <c r="T234" i="53" s="1"/>
  <c r="T235" i="53" s="1"/>
  <c r="R220" i="54"/>
  <c r="R224" i="54" s="1"/>
  <c r="R221" i="54"/>
  <c r="BB61" i="51"/>
  <c r="V71" i="51"/>
  <c r="V73" i="51" s="1"/>
  <c r="V64" i="51"/>
  <c r="Y48" i="51"/>
  <c r="X36" i="53"/>
  <c r="X42" i="53" s="1"/>
  <c r="Q220" i="54"/>
  <c r="Q224" i="54" s="1"/>
  <c r="Q221" i="54"/>
  <c r="P252" i="54"/>
  <c r="BD48" i="51"/>
  <c r="BD51" i="51" s="1"/>
  <c r="W36" i="54"/>
  <c r="W42" i="54" s="1"/>
  <c r="X70" i="51"/>
  <c r="W162" i="53"/>
  <c r="S219" i="53"/>
  <c r="S218" i="53"/>
  <c r="X58" i="51"/>
  <c r="X72" i="51" s="1"/>
  <c r="AB140" i="53"/>
  <c r="AC63" i="51" s="1"/>
  <c r="BI63" i="51" s="1"/>
  <c r="AB138" i="53"/>
  <c r="T199" i="53"/>
  <c r="U166" i="53"/>
  <c r="AB160" i="53"/>
  <c r="AC66" i="51" s="1"/>
  <c r="BI66" i="51" s="1"/>
  <c r="AC139" i="53"/>
  <c r="AC137" i="53"/>
  <c r="AD56" i="51" s="1"/>
  <c r="BJ56" i="51" s="1"/>
  <c r="AC141" i="53"/>
  <c r="Z55" i="51"/>
  <c r="Y39" i="53"/>
  <c r="AD45" i="53" s="1"/>
  <c r="AB142" i="53"/>
  <c r="AC69" i="51" s="1"/>
  <c r="BI69" i="51" s="1"/>
  <c r="AA24" i="51"/>
  <c r="AA44" i="51" s="1"/>
  <c r="AA37" i="51"/>
  <c r="AA29" i="51"/>
  <c r="BF29" i="51"/>
  <c r="BF33" i="51"/>
  <c r="BF35" i="51" s="1"/>
  <c r="BE44" i="51"/>
  <c r="AA21" i="51"/>
  <c r="BE25" i="51"/>
  <c r="BE39" i="51"/>
  <c r="Z25" i="51"/>
  <c r="BF15" i="51"/>
  <c r="BF17" i="51" s="1"/>
  <c r="BF21" i="51"/>
  <c r="BG32" i="51"/>
  <c r="BG17" i="59" s="1"/>
  <c r="BG34" i="51"/>
  <c r="BG18" i="59" s="1"/>
  <c r="BG31" i="51"/>
  <c r="BG16" i="59" s="1"/>
  <c r="AB22" i="51"/>
  <c r="AB10" i="59" s="1"/>
  <c r="AC18" i="51"/>
  <c r="AB19" i="51"/>
  <c r="AB8" i="59" s="1"/>
  <c r="AB23" i="51"/>
  <c r="AB11" i="59" s="1"/>
  <c r="BH18" i="51"/>
  <c r="AB20" i="51"/>
  <c r="AB9" i="59" s="1"/>
  <c r="BG27" i="51"/>
  <c r="BG14" i="59" s="1"/>
  <c r="BG28" i="51"/>
  <c r="BG15" i="59" s="1"/>
  <c r="BE43" i="51"/>
  <c r="AB36" i="51"/>
  <c r="AC30" i="51"/>
  <c r="BH30" i="51"/>
  <c r="AB34" i="51"/>
  <c r="AB18" i="59" s="1"/>
  <c r="AB31" i="51"/>
  <c r="AB16" i="59" s="1"/>
  <c r="AB32" i="51"/>
  <c r="AB17" i="59" s="1"/>
  <c r="Z43" i="51"/>
  <c r="AB13" i="51"/>
  <c r="AB12" i="59" s="1"/>
  <c r="AB14" i="51"/>
  <c r="AB13" i="59" s="1"/>
  <c r="BG19" i="51"/>
  <c r="BG8" i="59" s="1"/>
  <c r="BG23" i="51"/>
  <c r="BG11" i="59" s="1"/>
  <c r="BG20" i="51"/>
  <c r="BG9" i="59" s="1"/>
  <c r="BG22" i="51"/>
  <c r="BG10" i="59" s="1"/>
  <c r="AA15" i="51"/>
  <c r="Z44" i="51"/>
  <c r="BG36" i="51"/>
  <c r="BF24" i="51"/>
  <c r="BH12" i="51"/>
  <c r="BF37" i="51"/>
  <c r="BF19" i="59" s="1"/>
  <c r="BF38" i="51"/>
  <c r="BF20" i="59" s="1"/>
  <c r="AA33" i="51"/>
  <c r="AA35" i="51" s="1"/>
  <c r="AC26" i="51"/>
  <c r="AB28" i="51"/>
  <c r="AB15" i="59" s="1"/>
  <c r="AB27" i="51"/>
  <c r="AB14" i="59" s="1"/>
  <c r="BH26" i="51"/>
  <c r="BG14" i="51"/>
  <c r="BG13" i="59" s="1"/>
  <c r="BG13" i="51"/>
  <c r="BG12" i="59" s="1"/>
  <c r="AD10" i="51"/>
  <c r="BI10" i="51"/>
  <c r="AC12" i="51"/>
  <c r="AS102" i="59" l="1"/>
  <c r="CA20" i="57"/>
  <c r="CA149" i="59" s="1"/>
  <c r="CA155" i="59" s="1"/>
  <c r="CC43" i="55"/>
  <c r="J41" i="57"/>
  <c r="DE147" i="59"/>
  <c r="K28" i="57"/>
  <c r="K30" i="57" s="1"/>
  <c r="K18" i="57"/>
  <c r="K20" i="57" s="1"/>
  <c r="K149" i="59" s="1"/>
  <c r="K155" i="59" s="1"/>
  <c r="L152" i="55"/>
  <c r="L17" i="57"/>
  <c r="L27" i="57"/>
  <c r="L8" i="57"/>
  <c r="L38" i="57"/>
  <c r="K9" i="57"/>
  <c r="K39" i="57"/>
  <c r="O20" i="55"/>
  <c r="N95" i="59"/>
  <c r="N123" i="59"/>
  <c r="O19" i="55"/>
  <c r="BZ9" i="57"/>
  <c r="BZ39" i="57"/>
  <c r="L4" i="57"/>
  <c r="L34" i="57"/>
  <c r="AU101" i="59"/>
  <c r="DE148" i="59"/>
  <c r="DE51" i="59"/>
  <c r="DE122" i="59"/>
  <c r="DE94" i="59"/>
  <c r="DG50" i="59"/>
  <c r="DG93" i="59"/>
  <c r="DG121" i="59"/>
  <c r="DG31" i="59"/>
  <c r="DE52" i="59"/>
  <c r="DE95" i="59"/>
  <c r="DE123" i="59"/>
  <c r="DE96" i="59"/>
  <c r="DE53" i="59"/>
  <c r="DE97" i="59"/>
  <c r="DE124" i="59"/>
  <c r="DE54" i="59"/>
  <c r="AU121" i="59"/>
  <c r="AU50" i="59"/>
  <c r="N122" i="59"/>
  <c r="AU31" i="59"/>
  <c r="AU24" i="59"/>
  <c r="AU93" i="59"/>
  <c r="DG16" i="55"/>
  <c r="DG30" i="59" s="1"/>
  <c r="DG11" i="55"/>
  <c r="DG15" i="55"/>
  <c r="DG29" i="59" s="1"/>
  <c r="DG14" i="55"/>
  <c r="DG28" i="59" s="1"/>
  <c r="DG13" i="55"/>
  <c r="DG27" i="59" s="1"/>
  <c r="DG12" i="55"/>
  <c r="L7" i="57"/>
  <c r="L10" i="57"/>
  <c r="K41" i="57"/>
  <c r="O6" i="55"/>
  <c r="AU19" i="55"/>
  <c r="L5" i="57"/>
  <c r="L35" i="57"/>
  <c r="CA28" i="57"/>
  <c r="CA30" i="57" s="1"/>
  <c r="L158" i="55"/>
  <c r="CA8" i="57"/>
  <c r="CA38" i="57"/>
  <c r="L6" i="57"/>
  <c r="L36" i="57"/>
  <c r="L37" i="57"/>
  <c r="L40" i="57"/>
  <c r="AU98" i="59"/>
  <c r="AU125" i="59"/>
  <c r="N94" i="59"/>
  <c r="AU20" i="55"/>
  <c r="AU100" i="59"/>
  <c r="AU127" i="59"/>
  <c r="O97" i="59"/>
  <c r="O124" i="59"/>
  <c r="AU97" i="59"/>
  <c r="AU124" i="59"/>
  <c r="O100" i="59"/>
  <c r="O127" i="59"/>
  <c r="AU99" i="59"/>
  <c r="AU126" i="59"/>
  <c r="AU55" i="59"/>
  <c r="AU54" i="59"/>
  <c r="O57" i="59"/>
  <c r="AU56" i="59"/>
  <c r="AU57" i="59"/>
  <c r="AU25" i="59"/>
  <c r="AU6" i="55"/>
  <c r="AU7" i="55"/>
  <c r="O10" i="58"/>
  <c r="N32" i="59"/>
  <c r="O55" i="59"/>
  <c r="O54" i="59"/>
  <c r="O25" i="59"/>
  <c r="O148" i="59" s="1"/>
  <c r="AS181" i="55"/>
  <c r="N106" i="55"/>
  <c r="N83" i="55"/>
  <c r="N60" i="55"/>
  <c r="N37" i="55"/>
  <c r="AS112" i="55"/>
  <c r="AS89" i="55"/>
  <c r="N59" i="55"/>
  <c r="N36" i="55"/>
  <c r="AS43" i="55"/>
  <c r="O7" i="55"/>
  <c r="Z65" i="51"/>
  <c r="Y40" i="53"/>
  <c r="AD46" i="53" s="1"/>
  <c r="AD159" i="53" s="1"/>
  <c r="AC160" i="53"/>
  <c r="AD66" i="51" s="1"/>
  <c r="BJ66" i="51" s="1"/>
  <c r="N174" i="55"/>
  <c r="N52" i="59"/>
  <c r="N105" i="55"/>
  <c r="N128" i="55" s="1"/>
  <c r="AS129" i="55"/>
  <c r="AS26" i="57"/>
  <c r="AS16" i="57"/>
  <c r="N82" i="55"/>
  <c r="AS66" i="55"/>
  <c r="N175" i="55"/>
  <c r="O24" i="59"/>
  <c r="DE25" i="57"/>
  <c r="DE89" i="55"/>
  <c r="AS13" i="57"/>
  <c r="AS23" i="57"/>
  <c r="BE75" i="59"/>
  <c r="DE15" i="57"/>
  <c r="DE24" i="57"/>
  <c r="DE14" i="57"/>
  <c r="DE16" i="57"/>
  <c r="N147" i="59"/>
  <c r="N51" i="59"/>
  <c r="O101" i="59"/>
  <c r="O153" i="59"/>
  <c r="Q11" i="58"/>
  <c r="Q6" i="58"/>
  <c r="N96" i="59"/>
  <c r="DE19" i="57"/>
  <c r="DE29" i="57"/>
  <c r="DE181" i="55"/>
  <c r="AS128" i="55"/>
  <c r="DE128" i="55" s="1"/>
  <c r="DE105" i="55"/>
  <c r="DE112" i="55" s="1"/>
  <c r="DE23" i="57"/>
  <c r="DE13" i="57"/>
  <c r="DE43" i="55"/>
  <c r="DE66" i="55"/>
  <c r="CA158" i="55"/>
  <c r="CA39" i="57" s="1"/>
  <c r="CB5" i="57"/>
  <c r="CB35" i="57"/>
  <c r="AS24" i="57"/>
  <c r="AS14" i="57"/>
  <c r="AS29" i="57"/>
  <c r="AS19" i="57"/>
  <c r="AS25" i="57"/>
  <c r="AS15" i="57"/>
  <c r="O98" i="59"/>
  <c r="O125" i="59"/>
  <c r="O99" i="59"/>
  <c r="O126" i="59"/>
  <c r="O56" i="59"/>
  <c r="DD26" i="57"/>
  <c r="CB4" i="57"/>
  <c r="CB34" i="57"/>
  <c r="CB37" i="57"/>
  <c r="CD51" i="59"/>
  <c r="CD147" i="59"/>
  <c r="AQ38" i="57"/>
  <c r="DC38" i="57"/>
  <c r="Q50" i="59"/>
  <c r="Q31" i="59"/>
  <c r="DC8" i="57"/>
  <c r="CC23" i="57"/>
  <c r="S205" i="53"/>
  <c r="CF179" i="55" s="1"/>
  <c r="S204" i="53"/>
  <c r="CF178" i="55" s="1"/>
  <c r="S203" i="53"/>
  <c r="CF177" i="55" s="1"/>
  <c r="S201" i="53"/>
  <c r="S206" i="53"/>
  <c r="CF180" i="55" s="1"/>
  <c r="S202" i="53"/>
  <c r="CF176" i="55" s="1"/>
  <c r="Q11" i="55"/>
  <c r="Q15" i="55"/>
  <c r="Q29" i="59" s="1"/>
  <c r="Q57" i="59" s="1"/>
  <c r="Q13" i="55"/>
  <c r="Q27" i="59" s="1"/>
  <c r="Q12" i="55"/>
  <c r="Q26" i="59" s="1"/>
  <c r="Q53" i="59" s="1"/>
  <c r="Q14" i="55"/>
  <c r="Q28" i="59" s="1"/>
  <c r="Q16" i="55"/>
  <c r="Q30" i="59" s="1"/>
  <c r="Q121" i="59"/>
  <c r="Q10" i="58"/>
  <c r="Q93" i="59"/>
  <c r="Q252" i="54"/>
  <c r="Q240" i="54"/>
  <c r="Q261" i="54" s="1"/>
  <c r="W145" i="59"/>
  <c r="AO38" i="57"/>
  <c r="AO8" i="57"/>
  <c r="AO158" i="55"/>
  <c r="DA151" i="55"/>
  <c r="AO18" i="57"/>
  <c r="AO20" i="57" s="1"/>
  <c r="AO28" i="57"/>
  <c r="AO30" i="57" s="1"/>
  <c r="DA152" i="55"/>
  <c r="DA27" i="57"/>
  <c r="DA17" i="57"/>
  <c r="DA135" i="55"/>
  <c r="DA35" i="57"/>
  <c r="DA5" i="57"/>
  <c r="DA34" i="57"/>
  <c r="DA4" i="57"/>
  <c r="DA40" i="57"/>
  <c r="DA10" i="57"/>
  <c r="DA36" i="57"/>
  <c r="DA6" i="57"/>
  <c r="DA37" i="57"/>
  <c r="DA7" i="57"/>
  <c r="R77" i="51"/>
  <c r="R59" i="58" s="1"/>
  <c r="Q262" i="53"/>
  <c r="R78" i="51" s="1"/>
  <c r="W49" i="59"/>
  <c r="DC18" i="57"/>
  <c r="DC20" i="57" s="1"/>
  <c r="DC28" i="57"/>
  <c r="DC30" i="57" s="1"/>
  <c r="DC158" i="55"/>
  <c r="AQ28" i="57"/>
  <c r="AQ30" i="57" s="1"/>
  <c r="AQ18" i="57"/>
  <c r="AQ20" i="57" s="1"/>
  <c r="AQ158" i="55"/>
  <c r="W120" i="59"/>
  <c r="W92" i="59"/>
  <c r="AV59" i="58"/>
  <c r="V211" i="53"/>
  <c r="T210" i="54"/>
  <c r="T225" i="54" s="1"/>
  <c r="BA172" i="55"/>
  <c r="AV74" i="51"/>
  <c r="AV76" i="51" s="1"/>
  <c r="AV10" i="55"/>
  <c r="O256" i="54"/>
  <c r="BC9" i="55"/>
  <c r="W70" i="51"/>
  <c r="BC70" i="51"/>
  <c r="T222" i="54"/>
  <c r="T234" i="54" s="1"/>
  <c r="T235" i="54" s="1"/>
  <c r="T223" i="54"/>
  <c r="S222" i="54"/>
  <c r="S234" i="54" s="1"/>
  <c r="S235" i="54" s="1"/>
  <c r="S223" i="54"/>
  <c r="V232" i="53"/>
  <c r="V233" i="53" s="1"/>
  <c r="V209" i="53"/>
  <c r="BC61" i="51"/>
  <c r="W71" i="51"/>
  <c r="W73" i="51" s="1"/>
  <c r="W64" i="51"/>
  <c r="Q252" i="53"/>
  <c r="DD40" i="57"/>
  <c r="DD10" i="57"/>
  <c r="AP39" i="57"/>
  <c r="AT121" i="59"/>
  <c r="AR151" i="55"/>
  <c r="DD151" i="55" s="1"/>
  <c r="M135" i="55"/>
  <c r="CC29" i="57"/>
  <c r="CC181" i="55"/>
  <c r="DD6" i="57"/>
  <c r="CE24" i="59"/>
  <c r="Z90" i="59"/>
  <c r="Z117" i="59"/>
  <c r="Z47" i="59"/>
  <c r="Z73" i="59"/>
  <c r="Z75" i="59" s="1"/>
  <c r="AB84" i="59"/>
  <c r="AB111" i="59"/>
  <c r="AB41" i="59"/>
  <c r="AB67" i="59"/>
  <c r="AB85" i="59"/>
  <c r="AB112" i="59"/>
  <c r="AB42" i="59"/>
  <c r="AB68" i="59"/>
  <c r="AB110" i="59"/>
  <c r="AB83" i="59"/>
  <c r="AB40" i="59"/>
  <c r="AB66" i="59"/>
  <c r="BG113" i="59"/>
  <c r="BG86" i="59"/>
  <c r="BG43" i="59"/>
  <c r="BG69" i="59"/>
  <c r="BG112" i="59"/>
  <c r="BG68" i="59"/>
  <c r="BG85" i="59"/>
  <c r="BG42" i="59"/>
  <c r="BG89" i="59"/>
  <c r="BG116" i="59"/>
  <c r="BG46" i="59"/>
  <c r="BG72" i="59"/>
  <c r="BG114" i="59"/>
  <c r="BG44" i="59"/>
  <c r="BG87" i="59"/>
  <c r="BG70" i="59"/>
  <c r="Q146" i="59"/>
  <c r="AB44" i="59"/>
  <c r="AB87" i="59"/>
  <c r="AB114" i="59"/>
  <c r="AB70" i="59"/>
  <c r="BG88" i="59"/>
  <c r="BG115" i="59"/>
  <c r="BG45" i="59"/>
  <c r="BG71" i="59"/>
  <c r="AT101" i="59"/>
  <c r="AT153" i="59"/>
  <c r="BF118" i="59"/>
  <c r="BF91" i="59"/>
  <c r="BF48" i="59"/>
  <c r="BF74" i="59"/>
  <c r="AU152" i="59"/>
  <c r="AU150" i="59"/>
  <c r="AB86" i="59"/>
  <c r="AB113" i="59"/>
  <c r="AB43" i="59"/>
  <c r="AB69" i="59"/>
  <c r="AB116" i="59"/>
  <c r="AB89" i="59"/>
  <c r="AB46" i="59"/>
  <c r="AB72" i="59"/>
  <c r="BG83" i="59"/>
  <c r="BG110" i="59"/>
  <c r="BG40" i="59"/>
  <c r="BG66" i="59"/>
  <c r="BF117" i="59"/>
  <c r="BF90" i="59"/>
  <c r="BF73" i="59"/>
  <c r="BF47" i="59"/>
  <c r="CE101" i="59"/>
  <c r="CE153" i="59"/>
  <c r="CC89" i="55"/>
  <c r="DG146" i="59"/>
  <c r="AU153" i="59"/>
  <c r="AB88" i="59"/>
  <c r="AB115" i="59"/>
  <c r="AB45" i="59"/>
  <c r="AB71" i="59"/>
  <c r="BG41" i="59"/>
  <c r="BG84" i="59"/>
  <c r="BG67" i="59"/>
  <c r="BG111" i="59"/>
  <c r="AA39" i="51"/>
  <c r="AA19" i="59"/>
  <c r="DD58" i="59"/>
  <c r="AU151" i="59"/>
  <c r="AU146" i="59"/>
  <c r="DF50" i="59"/>
  <c r="DF93" i="59"/>
  <c r="DF121" i="59"/>
  <c r="DF31" i="59"/>
  <c r="DF154" i="59" s="1"/>
  <c r="S228" i="54"/>
  <c r="AZ178" i="55" s="1"/>
  <c r="DL178" i="55" s="1"/>
  <c r="DM49" i="59"/>
  <c r="DM120" i="59"/>
  <c r="DM92" i="59"/>
  <c r="S229" i="54"/>
  <c r="AZ179" i="55" s="1"/>
  <c r="DL179" i="55" s="1"/>
  <c r="CD36" i="55"/>
  <c r="CC129" i="55"/>
  <c r="CC17" i="57" s="1"/>
  <c r="CC16" i="57"/>
  <c r="U208" i="54"/>
  <c r="CC25" i="57"/>
  <c r="DD102" i="59"/>
  <c r="CB135" i="55"/>
  <c r="CB8" i="57" s="1"/>
  <c r="CB17" i="57"/>
  <c r="CD60" i="55"/>
  <c r="CD14" i="57" s="1"/>
  <c r="CC24" i="57"/>
  <c r="CC14" i="57"/>
  <c r="DD128" i="59"/>
  <c r="CD96" i="59"/>
  <c r="CD52" i="59"/>
  <c r="BA49" i="59"/>
  <c r="AT50" i="59"/>
  <c r="AT24" i="59"/>
  <c r="AT31" i="59"/>
  <c r="AT154" i="59" s="1"/>
  <c r="P50" i="59"/>
  <c r="P31" i="59"/>
  <c r="P154" i="59" s="1"/>
  <c r="S50" i="59"/>
  <c r="S31" i="59"/>
  <c r="CF120" i="59"/>
  <c r="CF49" i="59"/>
  <c r="CF31" i="59"/>
  <c r="CF154" i="59" s="1"/>
  <c r="DD4" i="57"/>
  <c r="AT93" i="59"/>
  <c r="BG81" i="59"/>
  <c r="BG108" i="59"/>
  <c r="BG38" i="59"/>
  <c r="BG64" i="59"/>
  <c r="BG37" i="59"/>
  <c r="BG80" i="59"/>
  <c r="BG107" i="59"/>
  <c r="BG63" i="59"/>
  <c r="AB80" i="59"/>
  <c r="AB107" i="59"/>
  <c r="AB37" i="59"/>
  <c r="AB63" i="59"/>
  <c r="BG82" i="59"/>
  <c r="BG109" i="59"/>
  <c r="BG39" i="59"/>
  <c r="BG65" i="59"/>
  <c r="AB39" i="59"/>
  <c r="AB82" i="59"/>
  <c r="AB109" i="59"/>
  <c r="AB65" i="59"/>
  <c r="AB79" i="59"/>
  <c r="AB106" i="59"/>
  <c r="AB36" i="59"/>
  <c r="AB62" i="59"/>
  <c r="AB38" i="59"/>
  <c r="AB81" i="59"/>
  <c r="AB108" i="59"/>
  <c r="AB64" i="59"/>
  <c r="BG36" i="59"/>
  <c r="BG79" i="59"/>
  <c r="BG106" i="59"/>
  <c r="BG62" i="59"/>
  <c r="BA120" i="59"/>
  <c r="BA92" i="59"/>
  <c r="DD5" i="57"/>
  <c r="DD35" i="57"/>
  <c r="AR135" i="55"/>
  <c r="AR38" i="57" s="1"/>
  <c r="DD129" i="55"/>
  <c r="DB18" i="57"/>
  <c r="DB20" i="57" s="1"/>
  <c r="DB28" i="57"/>
  <c r="DB30" i="57" s="1"/>
  <c r="DB158" i="55"/>
  <c r="DF11" i="55"/>
  <c r="DF16" i="55"/>
  <c r="DF30" i="59" s="1"/>
  <c r="DF14" i="55"/>
  <c r="DF28" i="59" s="1"/>
  <c r="DF151" i="59" s="1"/>
  <c r="DF13" i="55"/>
  <c r="DF27" i="59" s="1"/>
  <c r="DF150" i="59" s="1"/>
  <c r="DF15" i="55"/>
  <c r="DF29" i="59" s="1"/>
  <c r="DF152" i="59" s="1"/>
  <c r="DF12" i="55"/>
  <c r="DF26" i="59" s="1"/>
  <c r="BB22" i="59"/>
  <c r="BB145" i="59" s="1"/>
  <c r="DN9" i="55"/>
  <c r="DN22" i="59" s="1"/>
  <c r="DN145" i="59" s="1"/>
  <c r="DD37" i="57"/>
  <c r="DD7" i="57"/>
  <c r="S227" i="54"/>
  <c r="AZ177" i="55" s="1"/>
  <c r="DL177" i="55" s="1"/>
  <c r="S226" i="54"/>
  <c r="AZ176" i="55" s="1"/>
  <c r="DL176" i="55" s="1"/>
  <c r="CC66" i="55"/>
  <c r="CC35" i="57" s="1"/>
  <c r="CC26" i="57"/>
  <c r="S225" i="54"/>
  <c r="CC112" i="55"/>
  <c r="CC7" i="57" s="1"/>
  <c r="CD37" i="55"/>
  <c r="CD13" i="57" s="1"/>
  <c r="CD59" i="55"/>
  <c r="CD105" i="55"/>
  <c r="CD106" i="55"/>
  <c r="CD16" i="57" s="1"/>
  <c r="CD174" i="55"/>
  <c r="CD181" i="55" s="1"/>
  <c r="CD10" i="57" s="1"/>
  <c r="CD83" i="55"/>
  <c r="CD15" i="57" s="1"/>
  <c r="S121" i="59"/>
  <c r="M7" i="57"/>
  <c r="M37" i="57"/>
  <c r="AR152" i="55"/>
  <c r="DD152" i="55" s="1"/>
  <c r="AR27" i="57"/>
  <c r="AR17" i="57"/>
  <c r="M5" i="57"/>
  <c r="M35" i="57"/>
  <c r="P121" i="59"/>
  <c r="AR7" i="57"/>
  <c r="AR37" i="57"/>
  <c r="AR5" i="57"/>
  <c r="AR35" i="57"/>
  <c r="CB152" i="55"/>
  <c r="CB27" i="57"/>
  <c r="M6" i="57"/>
  <c r="M36" i="57"/>
  <c r="M10" i="57"/>
  <c r="M40" i="57"/>
  <c r="AR6" i="57"/>
  <c r="AR36" i="57"/>
  <c r="AR4" i="57"/>
  <c r="AR34" i="57"/>
  <c r="CD82" i="55"/>
  <c r="M152" i="55"/>
  <c r="M17" i="57"/>
  <c r="M27" i="57"/>
  <c r="M4" i="57"/>
  <c r="M34" i="57"/>
  <c r="AR10" i="57"/>
  <c r="AR40" i="57"/>
  <c r="AT97" i="59"/>
  <c r="AT124" i="59"/>
  <c r="CE97" i="59"/>
  <c r="CE124" i="59"/>
  <c r="CE100" i="59"/>
  <c r="CE127" i="59"/>
  <c r="AT99" i="59"/>
  <c r="AT126" i="59"/>
  <c r="CE98" i="59"/>
  <c r="CE125" i="59"/>
  <c r="AT98" i="59"/>
  <c r="AT125" i="59"/>
  <c r="CD95" i="59"/>
  <c r="CD123" i="59"/>
  <c r="CE99" i="59"/>
  <c r="CE126" i="59"/>
  <c r="AT100" i="59"/>
  <c r="AT127" i="59"/>
  <c r="CD94" i="59"/>
  <c r="CD122" i="59"/>
  <c r="CC128" i="59"/>
  <c r="CF92" i="59"/>
  <c r="S93" i="59"/>
  <c r="P93" i="59"/>
  <c r="CE54" i="59"/>
  <c r="AT56" i="59"/>
  <c r="CE55" i="59"/>
  <c r="AT55" i="59"/>
  <c r="CC58" i="59"/>
  <c r="AT57" i="59"/>
  <c r="CE57" i="59"/>
  <c r="CC102" i="59"/>
  <c r="AT54" i="59"/>
  <c r="CE56" i="59"/>
  <c r="BD9" i="55"/>
  <c r="X22" i="59"/>
  <c r="X145" i="59" s="1"/>
  <c r="AT25" i="59"/>
  <c r="AT148" i="59" s="1"/>
  <c r="CE19" i="55"/>
  <c r="CE105" i="55" s="1"/>
  <c r="CE25" i="59"/>
  <c r="CE148" i="59" s="1"/>
  <c r="P58" i="58"/>
  <c r="P5" i="58" s="1"/>
  <c r="T226" i="53"/>
  <c r="U176" i="55" s="1"/>
  <c r="T229" i="53"/>
  <c r="U179" i="55" s="1"/>
  <c r="T225" i="53"/>
  <c r="T228" i="53"/>
  <c r="U178" i="55" s="1"/>
  <c r="T227" i="53"/>
  <c r="U177" i="55" s="1"/>
  <c r="S59" i="58"/>
  <c r="AW59" i="58"/>
  <c r="CC151" i="55"/>
  <c r="U210" i="53"/>
  <c r="U230" i="53" s="1"/>
  <c r="V180" i="55" s="1"/>
  <c r="V172" i="55"/>
  <c r="T200" i="53"/>
  <c r="T204" i="53" s="1"/>
  <c r="CG178" i="55" s="1"/>
  <c r="CG172" i="55"/>
  <c r="W211" i="53"/>
  <c r="W212" i="53" s="1"/>
  <c r="R261" i="54"/>
  <c r="CE6" i="55"/>
  <c r="AT7" i="55"/>
  <c r="S14" i="55"/>
  <c r="S28" i="59" s="1"/>
  <c r="S16" i="55"/>
  <c r="S30" i="59" s="1"/>
  <c r="S12" i="55"/>
  <c r="S26" i="59" s="1"/>
  <c r="S53" i="59" s="1"/>
  <c r="S11" i="55"/>
  <c r="S13" i="55"/>
  <c r="S27" i="59" s="1"/>
  <c r="S15" i="55"/>
  <c r="S29" i="59" s="1"/>
  <c r="AT20" i="55"/>
  <c r="AT19" i="55"/>
  <c r="V207" i="54"/>
  <c r="BC4" i="55"/>
  <c r="P256" i="54"/>
  <c r="AW74" i="51"/>
  <c r="AW76" i="51" s="1"/>
  <c r="AW10" i="55"/>
  <c r="V162" i="54"/>
  <c r="AT6" i="55"/>
  <c r="P13" i="55"/>
  <c r="P27" i="59" s="1"/>
  <c r="P150" i="59" s="1"/>
  <c r="P16" i="55"/>
  <c r="P30" i="59" s="1"/>
  <c r="P11" i="55"/>
  <c r="P15" i="55"/>
  <c r="P29" i="59" s="1"/>
  <c r="P152" i="59" s="1"/>
  <c r="P14" i="55"/>
  <c r="P28" i="59" s="1"/>
  <c r="P151" i="59" s="1"/>
  <c r="P12" i="55"/>
  <c r="P26" i="59" s="1"/>
  <c r="P53" i="59" s="1"/>
  <c r="R256" i="53"/>
  <c r="S75" i="51"/>
  <c r="S76" i="51" s="1"/>
  <c r="CF16" i="55"/>
  <c r="CF30" i="59" s="1"/>
  <c r="CF13" i="55"/>
  <c r="CF27" i="59" s="1"/>
  <c r="CF150" i="59" s="1"/>
  <c r="CF12" i="55"/>
  <c r="CF26" i="59" s="1"/>
  <c r="CF53" i="59" s="1"/>
  <c r="CF14" i="55"/>
  <c r="CF28" i="59" s="1"/>
  <c r="CF151" i="59" s="1"/>
  <c r="CF11" i="55"/>
  <c r="CF15" i="55"/>
  <c r="CF29" i="59" s="1"/>
  <c r="CF152" i="59" s="1"/>
  <c r="CE7" i="55"/>
  <c r="S237" i="53"/>
  <c r="S238" i="53" s="1"/>
  <c r="S240" i="53" s="1"/>
  <c r="S261" i="53" s="1"/>
  <c r="BE65" i="51"/>
  <c r="X40" i="54"/>
  <c r="AC46" i="54" s="1"/>
  <c r="AC159" i="54" s="1"/>
  <c r="X80" i="53"/>
  <c r="X74" i="53"/>
  <c r="X75" i="53" s="1"/>
  <c r="Y57" i="51" s="1"/>
  <c r="X78" i="53"/>
  <c r="X72" i="53"/>
  <c r="X73" i="53" s="1"/>
  <c r="Y49" i="51" s="1"/>
  <c r="BE49" i="51" s="1"/>
  <c r="X47" i="53"/>
  <c r="U212" i="54"/>
  <c r="U213" i="54"/>
  <c r="U215" i="54"/>
  <c r="U214" i="54"/>
  <c r="T166" i="54"/>
  <c r="CG9" i="55" s="1"/>
  <c r="CG22" i="59" s="1"/>
  <c r="CG145" i="59" s="1"/>
  <c r="S199" i="54"/>
  <c r="S200" i="54" s="1"/>
  <c r="S244" i="53"/>
  <c r="BE48" i="51"/>
  <c r="X36" i="54"/>
  <c r="X42" i="54" s="1"/>
  <c r="AC141" i="54"/>
  <c r="AC142" i="54" s="1"/>
  <c r="AC139" i="54"/>
  <c r="AC140" i="54" s="1"/>
  <c r="AC137" i="54"/>
  <c r="AC138" i="54" s="1"/>
  <c r="W232" i="53"/>
  <c r="W233" i="53" s="1"/>
  <c r="W209" i="53"/>
  <c r="R202" i="54"/>
  <c r="R201" i="54"/>
  <c r="R203" i="54"/>
  <c r="R205" i="54"/>
  <c r="R206" i="54"/>
  <c r="R204" i="54"/>
  <c r="AA25" i="51"/>
  <c r="S221" i="53"/>
  <c r="S220" i="53"/>
  <c r="S224" i="53" s="1"/>
  <c r="W47" i="54"/>
  <c r="W80" i="54"/>
  <c r="W78" i="54"/>
  <c r="W79" i="54" s="1"/>
  <c r="W72" i="54"/>
  <c r="W73" i="54" s="1"/>
  <c r="W74" i="54"/>
  <c r="W75" i="54" s="1"/>
  <c r="BD61" i="51"/>
  <c r="X71" i="51"/>
  <c r="X73" i="51" s="1"/>
  <c r="X64" i="51"/>
  <c r="S219" i="54"/>
  <c r="S218" i="54"/>
  <c r="U217" i="53"/>
  <c r="U216" i="53"/>
  <c r="T219" i="54"/>
  <c r="T218" i="54"/>
  <c r="BF55" i="51"/>
  <c r="Y39" i="54"/>
  <c r="AD45" i="54" s="1"/>
  <c r="BB71" i="51"/>
  <c r="BB73" i="51" s="1"/>
  <c r="BB64" i="51"/>
  <c r="U222" i="53"/>
  <c r="U234" i="53" s="1"/>
  <c r="U235" i="53" s="1"/>
  <c r="U223" i="53"/>
  <c r="BF59" i="51"/>
  <c r="Y38" i="54"/>
  <c r="U232" i="54"/>
  <c r="U233" i="54" s="1"/>
  <c r="U209" i="54"/>
  <c r="DN172" i="55" s="1"/>
  <c r="BF52" i="51"/>
  <c r="BF54" i="51" s="1"/>
  <c r="Y37" i="54"/>
  <c r="T219" i="53"/>
  <c r="T218" i="53"/>
  <c r="V81" i="54"/>
  <c r="V165" i="54"/>
  <c r="Z48" i="51"/>
  <c r="Y36" i="53"/>
  <c r="Y42" i="53" s="1"/>
  <c r="AA59" i="51"/>
  <c r="Z38" i="53"/>
  <c r="T236" i="53"/>
  <c r="T239" i="53" s="1"/>
  <c r="R245" i="54"/>
  <c r="R254" i="54" s="1"/>
  <c r="AY75" i="51" s="1"/>
  <c r="AD139" i="53"/>
  <c r="AD141" i="53"/>
  <c r="AD137" i="53"/>
  <c r="AE56" i="51" s="1"/>
  <c r="BK56" i="51" s="1"/>
  <c r="V166" i="53"/>
  <c r="U199" i="53"/>
  <c r="AC142" i="53"/>
  <c r="AD69" i="51" s="1"/>
  <c r="BJ69" i="51" s="1"/>
  <c r="AA55" i="51"/>
  <c r="Z39" i="53"/>
  <c r="AE45" i="53" s="1"/>
  <c r="AC138" i="53"/>
  <c r="AC140" i="53"/>
  <c r="AD63" i="51" s="1"/>
  <c r="BJ63" i="51" s="1"/>
  <c r="BF44" i="51"/>
  <c r="BG15" i="51"/>
  <c r="BG17" i="51" s="1"/>
  <c r="BE46" i="51"/>
  <c r="AC36" i="51"/>
  <c r="AC38" i="51" s="1"/>
  <c r="AC20" i="59" s="1"/>
  <c r="BG33" i="51"/>
  <c r="BG35" i="51" s="1"/>
  <c r="AB33" i="51"/>
  <c r="AB35" i="51" s="1"/>
  <c r="BG24" i="51"/>
  <c r="BF43" i="51"/>
  <c r="BG29" i="51"/>
  <c r="AB29" i="51"/>
  <c r="BF39" i="51"/>
  <c r="BF25" i="51"/>
  <c r="Z46" i="51"/>
  <c r="AB38" i="51"/>
  <c r="AB20" i="59" s="1"/>
  <c r="AB37" i="51"/>
  <c r="AB19" i="59" s="1"/>
  <c r="BH13" i="51"/>
  <c r="BH12" i="59" s="1"/>
  <c r="BH14" i="51"/>
  <c r="BH13" i="59" s="1"/>
  <c r="AE10" i="51"/>
  <c r="BJ10" i="51"/>
  <c r="AD12" i="51"/>
  <c r="AC14" i="51"/>
  <c r="AC13" i="59" s="1"/>
  <c r="AC13" i="51"/>
  <c r="AC12" i="59" s="1"/>
  <c r="AC27" i="51"/>
  <c r="AC14" i="59" s="1"/>
  <c r="AD26" i="51"/>
  <c r="AC28" i="51"/>
  <c r="AC15" i="59" s="1"/>
  <c r="BI26" i="51"/>
  <c r="BG21" i="51"/>
  <c r="BH32" i="51"/>
  <c r="BH17" i="59" s="1"/>
  <c r="BH31" i="51"/>
  <c r="BH16" i="59" s="1"/>
  <c r="BH34" i="51"/>
  <c r="BH18" i="59" s="1"/>
  <c r="AB21" i="51"/>
  <c r="AC20" i="51"/>
  <c r="AC9" i="59" s="1"/>
  <c r="AD18" i="51"/>
  <c r="AC19" i="51"/>
  <c r="AC8" i="59" s="1"/>
  <c r="BI18" i="51"/>
  <c r="AC22" i="51"/>
  <c r="AC10" i="59" s="1"/>
  <c r="AC23" i="51"/>
  <c r="AC11" i="59" s="1"/>
  <c r="BI12" i="51"/>
  <c r="BH28" i="51"/>
  <c r="BH15" i="59" s="1"/>
  <c r="BH27" i="51"/>
  <c r="BH14" i="59" s="1"/>
  <c r="BH36" i="51"/>
  <c r="BG38" i="51"/>
  <c r="BG20" i="59" s="1"/>
  <c r="BG37" i="51"/>
  <c r="BG19" i="59" s="1"/>
  <c r="AA43" i="51"/>
  <c r="AA46" i="51" s="1"/>
  <c r="AA17" i="51"/>
  <c r="AB15" i="51"/>
  <c r="AD30" i="51"/>
  <c r="BI30" i="51"/>
  <c r="AC34" i="51"/>
  <c r="AC18" i="59" s="1"/>
  <c r="AC32" i="51"/>
  <c r="AC17" i="59" s="1"/>
  <c r="AC31" i="51"/>
  <c r="AC16" i="59" s="1"/>
  <c r="BH22" i="51"/>
  <c r="BH10" i="59" s="1"/>
  <c r="BH19" i="51"/>
  <c r="BH8" i="59" s="1"/>
  <c r="BH23" i="51"/>
  <c r="BH11" i="59" s="1"/>
  <c r="BH20" i="51"/>
  <c r="BH9" i="59" s="1"/>
  <c r="AB24" i="51"/>
  <c r="CC4" i="57" l="1"/>
  <c r="CC34" i="57"/>
  <c r="BZ41" i="57"/>
  <c r="DE36" i="57"/>
  <c r="DE6" i="57"/>
  <c r="AS34" i="57"/>
  <c r="L28" i="57"/>
  <c r="L30" i="57" s="1"/>
  <c r="L18" i="57"/>
  <c r="L20" i="57" s="1"/>
  <c r="L149" i="59" s="1"/>
  <c r="L155" i="59" s="1"/>
  <c r="AS5" i="57"/>
  <c r="AS35" i="57"/>
  <c r="N29" i="57"/>
  <c r="N19" i="57"/>
  <c r="AS6" i="57"/>
  <c r="AS36" i="57"/>
  <c r="AS4" i="57"/>
  <c r="O106" i="55"/>
  <c r="O83" i="55"/>
  <c r="O175" i="55"/>
  <c r="O105" i="55"/>
  <c r="O128" i="55" s="1"/>
  <c r="O82" i="55"/>
  <c r="O174" i="55"/>
  <c r="O60" i="55"/>
  <c r="O37" i="55"/>
  <c r="O59" i="55"/>
  <c r="O36" i="55"/>
  <c r="N66" i="55"/>
  <c r="AU122" i="59"/>
  <c r="AU59" i="55"/>
  <c r="DG59" i="55" s="1"/>
  <c r="DG101" i="59"/>
  <c r="AU51" i="59"/>
  <c r="DE102" i="59"/>
  <c r="DG6" i="55"/>
  <c r="DG26" i="59"/>
  <c r="DE58" i="59"/>
  <c r="DE128" i="59"/>
  <c r="DG126" i="59"/>
  <c r="DG99" i="59"/>
  <c r="DG56" i="59"/>
  <c r="DG55" i="59"/>
  <c r="DG125" i="59"/>
  <c r="DG98" i="59"/>
  <c r="DG57" i="59"/>
  <c r="DG127" i="59"/>
  <c r="DG100" i="59"/>
  <c r="DG25" i="59"/>
  <c r="DG24" i="59"/>
  <c r="AU96" i="59"/>
  <c r="AU52" i="59"/>
  <c r="O96" i="59"/>
  <c r="O52" i="59"/>
  <c r="AU95" i="59"/>
  <c r="AU105" i="55"/>
  <c r="N112" i="55"/>
  <c r="AU60" i="55"/>
  <c r="DG60" i="55" s="1"/>
  <c r="AU36" i="55"/>
  <c r="DG36" i="55" s="1"/>
  <c r="AU175" i="55"/>
  <c r="DG175" i="55" s="1"/>
  <c r="AU37" i="55"/>
  <c r="DG37" i="55" s="1"/>
  <c r="DE129" i="55"/>
  <c r="DG7" i="55"/>
  <c r="DG19" i="55"/>
  <c r="DG20" i="55"/>
  <c r="AU94" i="59"/>
  <c r="AU82" i="55"/>
  <c r="DG82" i="55" s="1"/>
  <c r="AU106" i="55"/>
  <c r="DG106" i="55" s="1"/>
  <c r="N43" i="55"/>
  <c r="N23" i="57"/>
  <c r="N13" i="57"/>
  <c r="AS10" i="57"/>
  <c r="AS40" i="57"/>
  <c r="N24" i="57"/>
  <c r="N14" i="57"/>
  <c r="L9" i="57"/>
  <c r="L39" i="57"/>
  <c r="L41" i="57" s="1"/>
  <c r="N15" i="57"/>
  <c r="AS7" i="57"/>
  <c r="AS37" i="57"/>
  <c r="N129" i="55"/>
  <c r="N16" i="57"/>
  <c r="N128" i="59"/>
  <c r="O95" i="59"/>
  <c r="O123" i="59"/>
  <c r="AU123" i="59"/>
  <c r="AU174" i="55"/>
  <c r="DG174" i="55" s="1"/>
  <c r="N89" i="55"/>
  <c r="AU83" i="55"/>
  <c r="DG83" i="55" s="1"/>
  <c r="O32" i="59"/>
  <c r="O147" i="59"/>
  <c r="O51" i="59"/>
  <c r="N181" i="55"/>
  <c r="N151" i="55"/>
  <c r="AA65" i="51"/>
  <c r="Z40" i="53"/>
  <c r="AE46" i="53" s="1"/>
  <c r="AE159" i="53" s="1"/>
  <c r="AD160" i="53"/>
  <c r="AE66" i="51" s="1"/>
  <c r="BK66" i="51" s="1"/>
  <c r="N25" i="57"/>
  <c r="N135" i="55"/>
  <c r="N26" i="57"/>
  <c r="AS152" i="55"/>
  <c r="DE152" i="55" s="1"/>
  <c r="AS17" i="57"/>
  <c r="O94" i="59"/>
  <c r="O122" i="59"/>
  <c r="AS151" i="55"/>
  <c r="DE151" i="55" s="1"/>
  <c r="DE4" i="57"/>
  <c r="CA9" i="57"/>
  <c r="AS135" i="55"/>
  <c r="DE37" i="57"/>
  <c r="DE7" i="57"/>
  <c r="DE40" i="57"/>
  <c r="DE10" i="57"/>
  <c r="DE35" i="57"/>
  <c r="DE5" i="57"/>
  <c r="DE34" i="57"/>
  <c r="DE26" i="57"/>
  <c r="CA41" i="57"/>
  <c r="AS27" i="57"/>
  <c r="N102" i="59"/>
  <c r="N58" i="59"/>
  <c r="CD24" i="57"/>
  <c r="CC6" i="57"/>
  <c r="CC36" i="57"/>
  <c r="AX74" i="51"/>
  <c r="AX76" i="51" s="1"/>
  <c r="AX10" i="55"/>
  <c r="Q262" i="54"/>
  <c r="AX78" i="51" s="1"/>
  <c r="AX77" i="51"/>
  <c r="Q256" i="54"/>
  <c r="DA158" i="55"/>
  <c r="Q6" i="55"/>
  <c r="Q97" i="59"/>
  <c r="Q124" i="59"/>
  <c r="Q20" i="55"/>
  <c r="Q19" i="55"/>
  <c r="CE51" i="59"/>
  <c r="CE147" i="59"/>
  <c r="AV11" i="58"/>
  <c r="AV6" i="58"/>
  <c r="Q55" i="59"/>
  <c r="Q125" i="59"/>
  <c r="Q99" i="59"/>
  <c r="CC10" i="57"/>
  <c r="CC40" i="57"/>
  <c r="CD128" i="55"/>
  <c r="Q7" i="55"/>
  <c r="Q56" i="59"/>
  <c r="Q32" i="59"/>
  <c r="Q54" i="59"/>
  <c r="Q25" i="59"/>
  <c r="Q127" i="59"/>
  <c r="Q100" i="59"/>
  <c r="Q126" i="59"/>
  <c r="Q101" i="59"/>
  <c r="Q98" i="59"/>
  <c r="Q24" i="59"/>
  <c r="V208" i="54"/>
  <c r="V211" i="54"/>
  <c r="AQ149" i="59"/>
  <c r="AQ155" i="59" s="1"/>
  <c r="T227" i="54"/>
  <c r="BA177" i="55" s="1"/>
  <c r="DM177" i="55" s="1"/>
  <c r="T229" i="54"/>
  <c r="BA179" i="55" s="1"/>
  <c r="DM179" i="55" s="1"/>
  <c r="R6" i="58"/>
  <c r="T230" i="54"/>
  <c r="BA180" i="55" s="1"/>
  <c r="DM180" i="55" s="1"/>
  <c r="T226" i="54"/>
  <c r="BA176" i="55" s="1"/>
  <c r="DM176" i="55" s="1"/>
  <c r="R11" i="58"/>
  <c r="T228" i="54"/>
  <c r="BA178" i="55" s="1"/>
  <c r="DM178" i="55" s="1"/>
  <c r="AO9" i="57"/>
  <c r="AO39" i="57"/>
  <c r="AP149" i="59"/>
  <c r="AP155" i="59" s="1"/>
  <c r="AO149" i="59"/>
  <c r="AO155" i="59" s="1"/>
  <c r="DA28" i="57"/>
  <c r="DA30" i="57" s="1"/>
  <c r="DA18" i="57"/>
  <c r="DA20" i="57" s="1"/>
  <c r="DA149" i="59" s="1"/>
  <c r="DA155" i="59" s="1"/>
  <c r="DA8" i="57"/>
  <c r="DA38" i="57"/>
  <c r="V212" i="53"/>
  <c r="V215" i="53"/>
  <c r="DC39" i="57"/>
  <c r="DC9" i="57"/>
  <c r="DD135" i="55"/>
  <c r="AV23" i="59"/>
  <c r="AV146" i="59" s="1"/>
  <c r="DH10" i="55"/>
  <c r="DH23" i="59" s="1"/>
  <c r="DH146" i="59" s="1"/>
  <c r="BC22" i="59"/>
  <c r="BC145" i="59" s="1"/>
  <c r="DO9" i="55"/>
  <c r="DO22" i="59" s="1"/>
  <c r="DO145" i="59" s="1"/>
  <c r="V214" i="53"/>
  <c r="V213" i="53"/>
  <c r="AQ9" i="57"/>
  <c r="AQ39" i="57"/>
  <c r="Q256" i="53"/>
  <c r="R74" i="51"/>
  <c r="R76" i="51" s="1"/>
  <c r="AV58" i="58"/>
  <c r="V210" i="53"/>
  <c r="W172" i="55"/>
  <c r="S236" i="54"/>
  <c r="R10" i="55"/>
  <c r="R23" i="59" s="1"/>
  <c r="R146" i="59" s="1"/>
  <c r="AV12" i="55"/>
  <c r="AV26" i="59" s="1"/>
  <c r="AV53" i="59" s="1"/>
  <c r="AV13" i="55"/>
  <c r="AV27" i="59" s="1"/>
  <c r="AV150" i="59" s="1"/>
  <c r="AV15" i="55"/>
  <c r="AV29" i="59" s="1"/>
  <c r="AV152" i="59" s="1"/>
  <c r="AV11" i="55"/>
  <c r="AV16" i="55"/>
  <c r="AV30" i="59" s="1"/>
  <c r="AV14" i="55"/>
  <c r="AV28" i="59" s="1"/>
  <c r="AV151" i="59" s="1"/>
  <c r="T236" i="54"/>
  <c r="BC64" i="51"/>
  <c r="BC71" i="51"/>
  <c r="BC73" i="51" s="1"/>
  <c r="M8" i="57"/>
  <c r="M38" i="57"/>
  <c r="CE106" i="55"/>
  <c r="CE16" i="57" s="1"/>
  <c r="CE59" i="55"/>
  <c r="CE36" i="55"/>
  <c r="CE60" i="55"/>
  <c r="CE14" i="57" s="1"/>
  <c r="CE175" i="55"/>
  <c r="CE19" i="57" s="1"/>
  <c r="CB38" i="57"/>
  <c r="CE37" i="55"/>
  <c r="CE13" i="57" s="1"/>
  <c r="BF75" i="59"/>
  <c r="P24" i="59"/>
  <c r="CF24" i="59"/>
  <c r="DG151" i="59"/>
  <c r="BG91" i="59"/>
  <c r="BG118" i="59"/>
  <c r="BG48" i="59"/>
  <c r="BG74" i="59"/>
  <c r="AB47" i="59"/>
  <c r="AB90" i="59"/>
  <c r="AB117" i="59"/>
  <c r="AB73" i="59"/>
  <c r="BH46" i="59"/>
  <c r="BH89" i="59"/>
  <c r="BH116" i="59"/>
  <c r="BH72" i="59"/>
  <c r="AC48" i="59"/>
  <c r="AC74" i="59"/>
  <c r="AC91" i="59"/>
  <c r="AC118" i="59"/>
  <c r="AT51" i="59"/>
  <c r="AT147" i="59"/>
  <c r="AU147" i="59"/>
  <c r="DG150" i="59"/>
  <c r="Q152" i="59"/>
  <c r="AC45" i="59"/>
  <c r="AC88" i="59"/>
  <c r="AC115" i="59"/>
  <c r="AC71" i="59"/>
  <c r="BH45" i="59"/>
  <c r="BH88" i="59"/>
  <c r="BH115" i="59"/>
  <c r="BH71" i="59"/>
  <c r="AC44" i="59"/>
  <c r="AC87" i="59"/>
  <c r="AC114" i="59"/>
  <c r="AC70" i="59"/>
  <c r="BG90" i="59"/>
  <c r="BG117" i="59"/>
  <c r="BG47" i="59"/>
  <c r="BG73" i="59"/>
  <c r="P101" i="59"/>
  <c r="P153" i="59"/>
  <c r="S24" i="59"/>
  <c r="CD89" i="55"/>
  <c r="CC37" i="57"/>
  <c r="DC149" i="59"/>
  <c r="DC155" i="59" s="1"/>
  <c r="DF101" i="59"/>
  <c r="DF153" i="59"/>
  <c r="BH41" i="59"/>
  <c r="BH111" i="59"/>
  <c r="BH84" i="59"/>
  <c r="BH67" i="59"/>
  <c r="S101" i="59"/>
  <c r="AA117" i="59"/>
  <c r="AA47" i="59"/>
  <c r="AA73" i="59"/>
  <c r="AA75" i="59" s="1"/>
  <c r="AA90" i="59"/>
  <c r="Q151" i="59"/>
  <c r="AC89" i="59"/>
  <c r="AC46" i="59"/>
  <c r="AC116" i="59"/>
  <c r="AC72" i="59"/>
  <c r="AC113" i="59"/>
  <c r="AC86" i="59"/>
  <c r="AC43" i="59"/>
  <c r="AC69" i="59"/>
  <c r="BH68" i="59"/>
  <c r="BH85" i="59"/>
  <c r="BH112" i="59"/>
  <c r="BH42" i="59"/>
  <c r="BH40" i="59"/>
  <c r="BH83" i="59"/>
  <c r="BH110" i="59"/>
  <c r="BH66" i="59"/>
  <c r="BH113" i="59"/>
  <c r="BH43" i="59"/>
  <c r="BH86" i="59"/>
  <c r="BH69" i="59"/>
  <c r="CD23" i="57"/>
  <c r="AU148" i="59"/>
  <c r="AC110" i="59"/>
  <c r="AC40" i="59"/>
  <c r="AC66" i="59"/>
  <c r="AC83" i="59"/>
  <c r="AB91" i="59"/>
  <c r="AB48" i="59"/>
  <c r="AB118" i="59"/>
  <c r="AB74" i="59"/>
  <c r="Q153" i="59"/>
  <c r="DG153" i="59"/>
  <c r="AC85" i="59"/>
  <c r="AC112" i="59"/>
  <c r="AC42" i="59"/>
  <c r="AC68" i="59"/>
  <c r="BH87" i="59"/>
  <c r="BH114" i="59"/>
  <c r="BH44" i="59"/>
  <c r="BH70" i="59"/>
  <c r="AC41" i="59"/>
  <c r="AC84" i="59"/>
  <c r="AC111" i="59"/>
  <c r="AC67" i="59"/>
  <c r="CF101" i="59"/>
  <c r="CF153" i="59"/>
  <c r="Q150" i="59"/>
  <c r="DG152" i="59"/>
  <c r="Q154" i="59"/>
  <c r="DG154" i="59"/>
  <c r="AU154" i="59"/>
  <c r="DF100" i="59"/>
  <c r="DF127" i="59"/>
  <c r="DF57" i="59"/>
  <c r="AW11" i="58"/>
  <c r="AW6" i="58"/>
  <c r="CC27" i="57"/>
  <c r="T206" i="53"/>
  <c r="CG180" i="55" s="1"/>
  <c r="CD66" i="55"/>
  <c r="CD35" i="57" s="1"/>
  <c r="S11" i="58"/>
  <c r="S6" i="58"/>
  <c r="CC152" i="55"/>
  <c r="CC18" i="57" s="1"/>
  <c r="CC20" i="57" s="1"/>
  <c r="DF126" i="59"/>
  <c r="DF56" i="59"/>
  <c r="DF99" i="59"/>
  <c r="T201" i="53"/>
  <c r="CB28" i="57"/>
  <c r="CB18" i="57"/>
  <c r="CB20" i="57" s="1"/>
  <c r="CB149" i="59" s="1"/>
  <c r="CB155" i="59" s="1"/>
  <c r="DF55" i="59"/>
  <c r="DF98" i="59"/>
  <c r="DF125" i="59"/>
  <c r="T202" i="53"/>
  <c r="CG176" i="55" s="1"/>
  <c r="W214" i="53"/>
  <c r="AR158" i="55"/>
  <c r="AR39" i="57" s="1"/>
  <c r="T203" i="53"/>
  <c r="CG177" i="55" s="1"/>
  <c r="T205" i="53"/>
  <c r="CG179" i="55" s="1"/>
  <c r="CD43" i="55"/>
  <c r="CD4" i="57" s="1"/>
  <c r="CC135" i="55"/>
  <c r="CC8" i="57" s="1"/>
  <c r="AR8" i="57"/>
  <c r="DF25" i="59"/>
  <c r="DF148" i="59" s="1"/>
  <c r="DF24" i="59"/>
  <c r="DF147" i="59" s="1"/>
  <c r="DN49" i="59"/>
  <c r="DN92" i="59"/>
  <c r="DN120" i="59"/>
  <c r="DF53" i="59"/>
  <c r="DF97" i="59"/>
  <c r="DF124" i="59"/>
  <c r="DF54" i="59"/>
  <c r="CE96" i="59"/>
  <c r="CE52" i="59"/>
  <c r="BB120" i="59"/>
  <c r="BB49" i="59"/>
  <c r="CG120" i="59"/>
  <c r="CG49" i="59"/>
  <c r="CG31" i="59"/>
  <c r="CG154" i="59" s="1"/>
  <c r="AT96" i="59"/>
  <c r="AT52" i="59"/>
  <c r="X49" i="59"/>
  <c r="BH82" i="59"/>
  <c r="BH109" i="59"/>
  <c r="BH39" i="59"/>
  <c r="BH65" i="59"/>
  <c r="BH36" i="59"/>
  <c r="BH79" i="59"/>
  <c r="BH106" i="59"/>
  <c r="BH62" i="59"/>
  <c r="AC79" i="59"/>
  <c r="AC106" i="59"/>
  <c r="AC36" i="59"/>
  <c r="AC62" i="59"/>
  <c r="AC37" i="59"/>
  <c r="AC80" i="59"/>
  <c r="AC107" i="59"/>
  <c r="AC63" i="59"/>
  <c r="BH37" i="59"/>
  <c r="BH80" i="59"/>
  <c r="BH107" i="59"/>
  <c r="BH63" i="59"/>
  <c r="AC82" i="59"/>
  <c r="AC109" i="59"/>
  <c r="AC39" i="59"/>
  <c r="AC65" i="59"/>
  <c r="DF6" i="55"/>
  <c r="BH81" i="59"/>
  <c r="BH108" i="59"/>
  <c r="BH38" i="59"/>
  <c r="BH64" i="59"/>
  <c r="AC81" i="59"/>
  <c r="AC108" i="59"/>
  <c r="AC38" i="59"/>
  <c r="AC64" i="59"/>
  <c r="BB92" i="59"/>
  <c r="BD22" i="59"/>
  <c r="DP9" i="55"/>
  <c r="DP22" i="59" s="1"/>
  <c r="DF7" i="55"/>
  <c r="DB39" i="57"/>
  <c r="DB9" i="57"/>
  <c r="DD18" i="57"/>
  <c r="DD28" i="57"/>
  <c r="DD158" i="55"/>
  <c r="AW23" i="59"/>
  <c r="DI10" i="55"/>
  <c r="DI23" i="59" s="1"/>
  <c r="CD26" i="57"/>
  <c r="DF19" i="55"/>
  <c r="DF20" i="55"/>
  <c r="DD27" i="57"/>
  <c r="DD17" i="57"/>
  <c r="CD112" i="55"/>
  <c r="CD7" i="57" s="1"/>
  <c r="CD129" i="55"/>
  <c r="CD17" i="57" s="1"/>
  <c r="CC5" i="57"/>
  <c r="CE174" i="55"/>
  <c r="CD25" i="57"/>
  <c r="CD40" i="57"/>
  <c r="CD29" i="57"/>
  <c r="M18" i="57"/>
  <c r="M20" i="57" s="1"/>
  <c r="M28" i="57"/>
  <c r="M30" i="57" s="1"/>
  <c r="CB158" i="55"/>
  <c r="M158" i="55"/>
  <c r="AR28" i="57"/>
  <c r="AR30" i="57" s="1"/>
  <c r="AR18" i="57"/>
  <c r="AR20" i="57" s="1"/>
  <c r="AR149" i="59" s="1"/>
  <c r="AR155" i="59" s="1"/>
  <c r="X120" i="59"/>
  <c r="S99" i="59"/>
  <c r="S126" i="59"/>
  <c r="CE94" i="59"/>
  <c r="CE122" i="59"/>
  <c r="S100" i="59"/>
  <c r="S127" i="59"/>
  <c r="CE95" i="59"/>
  <c r="CE123" i="59"/>
  <c r="CF98" i="59"/>
  <c r="CF125" i="59"/>
  <c r="S98" i="59"/>
  <c r="S125" i="59"/>
  <c r="AT95" i="59"/>
  <c r="AT123" i="59"/>
  <c r="P97" i="59"/>
  <c r="P124" i="59"/>
  <c r="P100" i="59"/>
  <c r="P127" i="59"/>
  <c r="CF100" i="59"/>
  <c r="CF127" i="59"/>
  <c r="P98" i="59"/>
  <c r="P125" i="59"/>
  <c r="CF99" i="59"/>
  <c r="CF126" i="59"/>
  <c r="CF97" i="59"/>
  <c r="CF124" i="59"/>
  <c r="P99" i="59"/>
  <c r="P126" i="59"/>
  <c r="S97" i="59"/>
  <c r="S124" i="59"/>
  <c r="AT94" i="59"/>
  <c r="AT122" i="59"/>
  <c r="CD128" i="59"/>
  <c r="P10" i="58"/>
  <c r="CG92" i="59"/>
  <c r="X92" i="59"/>
  <c r="CD102" i="59"/>
  <c r="S56" i="59"/>
  <c r="CF55" i="59"/>
  <c r="P57" i="59"/>
  <c r="S57" i="59"/>
  <c r="P56" i="59"/>
  <c r="S55" i="59"/>
  <c r="CF56" i="59"/>
  <c r="P54" i="59"/>
  <c r="CD58" i="59"/>
  <c r="CF54" i="59"/>
  <c r="S54" i="59"/>
  <c r="CF57" i="59"/>
  <c r="P55" i="59"/>
  <c r="CE83" i="55"/>
  <c r="CE15" i="57" s="1"/>
  <c r="CE82" i="55"/>
  <c r="CF19" i="55"/>
  <c r="CF174" i="55" s="1"/>
  <c r="CF25" i="59"/>
  <c r="CF148" i="59" s="1"/>
  <c r="P25" i="59"/>
  <c r="S25" i="59"/>
  <c r="AW58" i="58"/>
  <c r="U226" i="53"/>
  <c r="V176" i="55" s="1"/>
  <c r="U225" i="53"/>
  <c r="S58" i="58"/>
  <c r="S5" i="58" s="1"/>
  <c r="U229" i="53"/>
  <c r="V179" i="55" s="1"/>
  <c r="U228" i="53"/>
  <c r="V178" i="55" s="1"/>
  <c r="U227" i="53"/>
  <c r="V177" i="55" s="1"/>
  <c r="AT106" i="55"/>
  <c r="DF106" i="55" s="1"/>
  <c r="AT83" i="55"/>
  <c r="DF83" i="55" s="1"/>
  <c r="AT175" i="55"/>
  <c r="DF175" i="55" s="1"/>
  <c r="U200" i="53"/>
  <c r="CH172" i="55"/>
  <c r="U210" i="54"/>
  <c r="U226" i="54" s="1"/>
  <c r="BB176" i="55" s="1"/>
  <c r="DN176" i="55" s="1"/>
  <c r="BB172" i="55"/>
  <c r="CE128" i="55"/>
  <c r="W210" i="53"/>
  <c r="W227" i="53" s="1"/>
  <c r="X177" i="55" s="1"/>
  <c r="X172" i="55"/>
  <c r="W215" i="53"/>
  <c r="W222" i="53" s="1"/>
  <c r="W234" i="53" s="1"/>
  <c r="W235" i="53" s="1"/>
  <c r="W213" i="53"/>
  <c r="AT105" i="55"/>
  <c r="AT82" i="55"/>
  <c r="DF82" i="55" s="1"/>
  <c r="AT174" i="55"/>
  <c r="DF174" i="55" s="1"/>
  <c r="AT59" i="55"/>
  <c r="DF59" i="55" s="1"/>
  <c r="AT60" i="55"/>
  <c r="DF60" i="55" s="1"/>
  <c r="AT36" i="55"/>
  <c r="DF36" i="55" s="1"/>
  <c r="AT37" i="55"/>
  <c r="DF37" i="55" s="1"/>
  <c r="S262" i="53"/>
  <c r="T78" i="51" s="1"/>
  <c r="T77" i="51"/>
  <c r="R262" i="54"/>
  <c r="AY78" i="51" s="1"/>
  <c r="AY77" i="51"/>
  <c r="S7" i="55"/>
  <c r="P19" i="55"/>
  <c r="P20" i="55"/>
  <c r="CG13" i="55"/>
  <c r="CG27" i="59" s="1"/>
  <c r="CG150" i="59" s="1"/>
  <c r="CG16" i="55"/>
  <c r="CG30" i="59" s="1"/>
  <c r="CG12" i="55"/>
  <c r="CG26" i="59" s="1"/>
  <c r="CG53" i="59" s="1"/>
  <c r="CG11" i="55"/>
  <c r="CG14" i="55"/>
  <c r="CG28" i="59" s="1"/>
  <c r="CG151" i="59" s="1"/>
  <c r="CG15" i="55"/>
  <c r="CG29" i="59" s="1"/>
  <c r="CG152" i="59" s="1"/>
  <c r="S20" i="55"/>
  <c r="S19" i="55"/>
  <c r="P7" i="55"/>
  <c r="W207" i="54"/>
  <c r="W208" i="54" s="1"/>
  <c r="BD4" i="55"/>
  <c r="AW11" i="55"/>
  <c r="AW15" i="55"/>
  <c r="AW29" i="59" s="1"/>
  <c r="AW14" i="55"/>
  <c r="AW28" i="59" s="1"/>
  <c r="AW13" i="55"/>
  <c r="AW27" i="59" s="1"/>
  <c r="AW16" i="55"/>
  <c r="AW30" i="59" s="1"/>
  <c r="AW12" i="55"/>
  <c r="AW26" i="59" s="1"/>
  <c r="AW53" i="59" s="1"/>
  <c r="CF7" i="55"/>
  <c r="P6" i="55"/>
  <c r="S6" i="55"/>
  <c r="W162" i="54"/>
  <c r="X207" i="53"/>
  <c r="X208" i="53" s="1"/>
  <c r="Y4" i="55"/>
  <c r="CF6" i="55"/>
  <c r="Y51" i="51"/>
  <c r="AA52" i="51"/>
  <c r="AA54" i="51" s="1"/>
  <c r="Z37" i="53"/>
  <c r="AB59" i="51"/>
  <c r="AA38" i="53"/>
  <c r="W81" i="54"/>
  <c r="W165" i="54"/>
  <c r="X162" i="53"/>
  <c r="BG59" i="51"/>
  <c r="Z38" i="54"/>
  <c r="T244" i="53"/>
  <c r="T245" i="53" s="1"/>
  <c r="T252" i="53" s="1"/>
  <c r="T221" i="53"/>
  <c r="T220" i="53"/>
  <c r="T224" i="53" s="1"/>
  <c r="U236" i="53"/>
  <c r="U239" i="53" s="1"/>
  <c r="S202" i="54"/>
  <c r="S201" i="54"/>
  <c r="S205" i="54"/>
  <c r="S203" i="54"/>
  <c r="S204" i="54"/>
  <c r="S206" i="54"/>
  <c r="BD71" i="51"/>
  <c r="BD73" i="51" s="1"/>
  <c r="BD64" i="51"/>
  <c r="X74" i="54"/>
  <c r="X75" i="54" s="1"/>
  <c r="X80" i="54"/>
  <c r="X78" i="54"/>
  <c r="X79" i="54" s="1"/>
  <c r="X72" i="54"/>
  <c r="X73" i="54" s="1"/>
  <c r="X47" i="54"/>
  <c r="T199" i="54"/>
  <c r="T200" i="54" s="1"/>
  <c r="U166" i="54"/>
  <c r="CH9" i="55" s="1"/>
  <c r="CH22" i="59" s="1"/>
  <c r="CH145" i="59" s="1"/>
  <c r="BG52" i="51"/>
  <c r="BG54" i="51" s="1"/>
  <c r="Z37" i="54"/>
  <c r="T237" i="53"/>
  <c r="T238" i="53" s="1"/>
  <c r="T240" i="53" s="1"/>
  <c r="T261" i="53" s="1"/>
  <c r="U219" i="53"/>
  <c r="U218" i="53"/>
  <c r="BE51" i="51"/>
  <c r="Y67" i="51"/>
  <c r="X79" i="53"/>
  <c r="Y78" i="53"/>
  <c r="Y74" i="53"/>
  <c r="Y75" i="53" s="1"/>
  <c r="Z57" i="51" s="1"/>
  <c r="Y80" i="53"/>
  <c r="Y72" i="53"/>
  <c r="Y73" i="53" s="1"/>
  <c r="Z49" i="51" s="1"/>
  <c r="BF49" i="51" s="1"/>
  <c r="Y47" i="53"/>
  <c r="Y162" i="53" s="1"/>
  <c r="AA48" i="51"/>
  <c r="Z36" i="53"/>
  <c r="Z42" i="53" s="1"/>
  <c r="U216" i="54"/>
  <c r="U217" i="54"/>
  <c r="BE57" i="51"/>
  <c r="BE58" i="51" s="1"/>
  <c r="BE72" i="51" s="1"/>
  <c r="Y58" i="51"/>
  <c r="Y72" i="51" s="1"/>
  <c r="BG55" i="51"/>
  <c r="Z39" i="54"/>
  <c r="AE45" i="54" s="1"/>
  <c r="AD139" i="54"/>
  <c r="AD140" i="54" s="1"/>
  <c r="AD137" i="54"/>
  <c r="AD138" i="54" s="1"/>
  <c r="AD141" i="54"/>
  <c r="AD142" i="54" s="1"/>
  <c r="U223" i="54"/>
  <c r="U222" i="54"/>
  <c r="U234" i="54" s="1"/>
  <c r="U235" i="54" s="1"/>
  <c r="X81" i="53"/>
  <c r="Y61" i="51" s="1"/>
  <c r="X165" i="53"/>
  <c r="Y9" i="55" s="1"/>
  <c r="Y22" i="59" s="1"/>
  <c r="Y145" i="59" s="1"/>
  <c r="BF48" i="51"/>
  <c r="Y36" i="54"/>
  <c r="Y42" i="54" s="1"/>
  <c r="R252" i="54"/>
  <c r="S220" i="54"/>
  <c r="S224" i="54" s="1"/>
  <c r="S221" i="54"/>
  <c r="S245" i="53"/>
  <c r="S252" i="53" s="1"/>
  <c r="AC160" i="54"/>
  <c r="BF65" i="51"/>
  <c r="Y40" i="54"/>
  <c r="AD46" i="54" s="1"/>
  <c r="AD159" i="54" s="1"/>
  <c r="V232" i="54"/>
  <c r="V233" i="54" s="1"/>
  <c r="V209" i="54"/>
  <c r="DO172" i="55" s="1"/>
  <c r="T220" i="54"/>
  <c r="T224" i="54" s="1"/>
  <c r="T221" i="54"/>
  <c r="BF46" i="51"/>
  <c r="AE160" i="53"/>
  <c r="AF66" i="51" s="1"/>
  <c r="BL66" i="51" s="1"/>
  <c r="AE139" i="53"/>
  <c r="AE137" i="53"/>
  <c r="AF56" i="51" s="1"/>
  <c r="BL56" i="51" s="1"/>
  <c r="AE141" i="53"/>
  <c r="AD138" i="53"/>
  <c r="V199" i="53"/>
  <c r="W166" i="53"/>
  <c r="AD142" i="53"/>
  <c r="AE69" i="51" s="1"/>
  <c r="BK69" i="51" s="1"/>
  <c r="AB55" i="51"/>
  <c r="AA39" i="53"/>
  <c r="AF45" i="53" s="1"/>
  <c r="AD140" i="53"/>
  <c r="AE63" i="51" s="1"/>
  <c r="BK63" i="51" s="1"/>
  <c r="BG44" i="51"/>
  <c r="BG25" i="51"/>
  <c r="AC37" i="51"/>
  <c r="BH33" i="51"/>
  <c r="BH35" i="51" s="1"/>
  <c r="AC29" i="51"/>
  <c r="AB39" i="51"/>
  <c r="BH21" i="51"/>
  <c r="AC21" i="51"/>
  <c r="BG39" i="51"/>
  <c r="BH29" i="51"/>
  <c r="AC24" i="51"/>
  <c r="AC44" i="51" s="1"/>
  <c r="AB43" i="51"/>
  <c r="AB17" i="51"/>
  <c r="BI13" i="51"/>
  <c r="BI12" i="59" s="1"/>
  <c r="BI14" i="51"/>
  <c r="BI13" i="59" s="1"/>
  <c r="BI22" i="51"/>
  <c r="BI10" i="59" s="1"/>
  <c r="BI23" i="51"/>
  <c r="BI11" i="59" s="1"/>
  <c r="BI20" i="51"/>
  <c r="BI9" i="59" s="1"/>
  <c r="BI19" i="51"/>
  <c r="BI8" i="59" s="1"/>
  <c r="AB25" i="51"/>
  <c r="AD27" i="51"/>
  <c r="AD14" i="59" s="1"/>
  <c r="AE26" i="51"/>
  <c r="AD28" i="51"/>
  <c r="AD15" i="59" s="1"/>
  <c r="BJ26" i="51"/>
  <c r="AD13" i="51"/>
  <c r="AD12" i="59" s="1"/>
  <c r="AD14" i="51"/>
  <c r="AD13" i="59" s="1"/>
  <c r="BJ12" i="51"/>
  <c r="BH15" i="51"/>
  <c r="AB44" i="51"/>
  <c r="BH38" i="51"/>
  <c r="BH20" i="59" s="1"/>
  <c r="BH37" i="51"/>
  <c r="BH19" i="59" s="1"/>
  <c r="AD20" i="51"/>
  <c r="AD9" i="59" s="1"/>
  <c r="AD22" i="51"/>
  <c r="AD10" i="59" s="1"/>
  <c r="AD23" i="51"/>
  <c r="AD11" i="59" s="1"/>
  <c r="BJ18" i="51"/>
  <c r="AE18" i="51"/>
  <c r="AD19" i="51"/>
  <c r="AD8" i="59" s="1"/>
  <c r="BI28" i="51"/>
  <c r="BI15" i="59" s="1"/>
  <c r="BI27" i="51"/>
  <c r="BI14" i="59" s="1"/>
  <c r="AF10" i="51"/>
  <c r="BK10" i="51"/>
  <c r="AE12" i="51"/>
  <c r="BG43" i="51"/>
  <c r="BH24" i="51"/>
  <c r="BI31" i="51"/>
  <c r="BI16" i="59" s="1"/>
  <c r="BI32" i="51"/>
  <c r="BI17" i="59" s="1"/>
  <c r="BI34" i="51"/>
  <c r="BI18" i="59" s="1"/>
  <c r="AC33" i="51"/>
  <c r="AC35" i="51" s="1"/>
  <c r="AE30" i="51"/>
  <c r="BJ30" i="51"/>
  <c r="AD31" i="51"/>
  <c r="AD16" i="59" s="1"/>
  <c r="AD34" i="51"/>
  <c r="AD18" i="59" s="1"/>
  <c r="AD32" i="51"/>
  <c r="AD17" i="59" s="1"/>
  <c r="BI36" i="51"/>
  <c r="AC15" i="51"/>
  <c r="AD36" i="51"/>
  <c r="CF147" i="59" l="1"/>
  <c r="AU102" i="59"/>
  <c r="BG75" i="59"/>
  <c r="O151" i="55"/>
  <c r="O112" i="55"/>
  <c r="CF51" i="59"/>
  <c r="O58" i="59"/>
  <c r="AU89" i="55"/>
  <c r="Q52" i="59"/>
  <c r="Q96" i="59"/>
  <c r="DA9" i="57"/>
  <c r="DA39" i="57"/>
  <c r="AU43" i="55"/>
  <c r="AU66" i="55"/>
  <c r="DG51" i="59"/>
  <c r="DG122" i="59"/>
  <c r="DG94" i="59"/>
  <c r="DG52" i="59"/>
  <c r="DG95" i="59"/>
  <c r="DG123" i="59"/>
  <c r="DG96" i="59"/>
  <c r="DG53" i="59"/>
  <c r="DG97" i="59"/>
  <c r="DG124" i="59"/>
  <c r="DG54" i="59"/>
  <c r="AB75" i="59"/>
  <c r="O181" i="55"/>
  <c r="O10" i="57" s="1"/>
  <c r="O23" i="57"/>
  <c r="O13" i="57"/>
  <c r="O14" i="57"/>
  <c r="O19" i="57"/>
  <c r="O29" i="57"/>
  <c r="O15" i="57"/>
  <c r="O25" i="57"/>
  <c r="O16" i="57"/>
  <c r="O43" i="55"/>
  <c r="O24" i="57"/>
  <c r="M149" i="59"/>
  <c r="M155" i="59" s="1"/>
  <c r="AU23" i="57"/>
  <c r="AU13" i="57"/>
  <c r="O129" i="55"/>
  <c r="O135" i="55" s="1"/>
  <c r="O26" i="57"/>
  <c r="O102" i="59"/>
  <c r="AU181" i="55"/>
  <c r="O89" i="55"/>
  <c r="O66" i="55"/>
  <c r="AU112" i="55"/>
  <c r="DE135" i="55"/>
  <c r="DE158" i="55"/>
  <c r="DG89" i="55"/>
  <c r="DG43" i="55"/>
  <c r="DG13" i="57"/>
  <c r="DG23" i="57"/>
  <c r="DG29" i="57"/>
  <c r="DG19" i="57"/>
  <c r="DE27" i="57"/>
  <c r="DE17" i="57"/>
  <c r="DG25" i="57"/>
  <c r="DG15" i="57"/>
  <c r="DG66" i="55"/>
  <c r="DG16" i="57"/>
  <c r="DG181" i="55"/>
  <c r="AU128" i="55"/>
  <c r="DG128" i="55" s="1"/>
  <c r="DG105" i="55"/>
  <c r="DG112" i="55" s="1"/>
  <c r="DG24" i="57"/>
  <c r="DG14" i="57"/>
  <c r="DE28" i="57"/>
  <c r="DE18" i="57"/>
  <c r="N8" i="57"/>
  <c r="N38" i="57"/>
  <c r="N4" i="57"/>
  <c r="N34" i="57"/>
  <c r="AU24" i="57"/>
  <c r="AU14" i="57"/>
  <c r="AU29" i="57"/>
  <c r="AU19" i="57"/>
  <c r="N5" i="57"/>
  <c r="N35" i="57"/>
  <c r="AU25" i="57"/>
  <c r="AU15" i="57"/>
  <c r="N7" i="57"/>
  <c r="N37" i="57"/>
  <c r="AU129" i="55"/>
  <c r="AU26" i="57"/>
  <c r="AU16" i="57"/>
  <c r="N152" i="55"/>
  <c r="N27" i="57"/>
  <c r="N17" i="57"/>
  <c r="N6" i="57"/>
  <c r="N36" i="57"/>
  <c r="AS28" i="57"/>
  <c r="AS18" i="57"/>
  <c r="N10" i="57"/>
  <c r="N40" i="57"/>
  <c r="AS158" i="55"/>
  <c r="AS20" i="57"/>
  <c r="O128" i="59"/>
  <c r="P147" i="59"/>
  <c r="Q83" i="55"/>
  <c r="Q105" i="55"/>
  <c r="Q128" i="55" s="1"/>
  <c r="Q82" i="55"/>
  <c r="Q174" i="55"/>
  <c r="Q106" i="55"/>
  <c r="Q175" i="55"/>
  <c r="Q59" i="55"/>
  <c r="Q36" i="55"/>
  <c r="Q60" i="55"/>
  <c r="Q37" i="55"/>
  <c r="AS8" i="57"/>
  <c r="AS38" i="57"/>
  <c r="AX13" i="55"/>
  <c r="AX27" i="59" s="1"/>
  <c r="AV101" i="59"/>
  <c r="AV153" i="59"/>
  <c r="AX58" i="58"/>
  <c r="V212" i="54"/>
  <c r="V215" i="54"/>
  <c r="DH50" i="59"/>
  <c r="DH93" i="59"/>
  <c r="DH121" i="59"/>
  <c r="DH31" i="59"/>
  <c r="DH154" i="59" s="1"/>
  <c r="AX23" i="59"/>
  <c r="DJ10" i="55"/>
  <c r="DJ23" i="59" s="1"/>
  <c r="AS30" i="57"/>
  <c r="AX16" i="55"/>
  <c r="AX30" i="59" s="1"/>
  <c r="AX14" i="55"/>
  <c r="AX28" i="59" s="1"/>
  <c r="V214" i="54"/>
  <c r="AX59" i="58"/>
  <c r="AX11" i="55"/>
  <c r="AX12" i="55"/>
  <c r="AX26" i="59" s="1"/>
  <c r="AX53" i="59" s="1"/>
  <c r="AX15" i="55"/>
  <c r="AX29" i="59" s="1"/>
  <c r="V213" i="54"/>
  <c r="AV50" i="59"/>
  <c r="AV24" i="59"/>
  <c r="AV31" i="59"/>
  <c r="AV154" i="59" s="1"/>
  <c r="DE39" i="57"/>
  <c r="DE9" i="57"/>
  <c r="CE26" i="57"/>
  <c r="CC158" i="55"/>
  <c r="CC9" i="57" s="1"/>
  <c r="CB30" i="57"/>
  <c r="CE129" i="55"/>
  <c r="CE17" i="57" s="1"/>
  <c r="CC38" i="57"/>
  <c r="CD5" i="57"/>
  <c r="CC28" i="57"/>
  <c r="CC30" i="57" s="1"/>
  <c r="CE66" i="55"/>
  <c r="CD151" i="55"/>
  <c r="CE43" i="55"/>
  <c r="AW150" i="59"/>
  <c r="Q95" i="59"/>
  <c r="Q123" i="59"/>
  <c r="DB149" i="59"/>
  <c r="DB155" i="59" s="1"/>
  <c r="AV121" i="59"/>
  <c r="AV93" i="59"/>
  <c r="DD38" i="57"/>
  <c r="DD8" i="57"/>
  <c r="CE29" i="57"/>
  <c r="CE23" i="57"/>
  <c r="CE24" i="57"/>
  <c r="CD6" i="57"/>
  <c r="CD36" i="57"/>
  <c r="CF175" i="55"/>
  <c r="CF19" i="57" s="1"/>
  <c r="CE112" i="55"/>
  <c r="CF106" i="55"/>
  <c r="CF16" i="57" s="1"/>
  <c r="CF105" i="55"/>
  <c r="CF82" i="55"/>
  <c r="CF83" i="55"/>
  <c r="CF15" i="57" s="1"/>
  <c r="CF36" i="55"/>
  <c r="CF37" i="55"/>
  <c r="CF13" i="57" s="1"/>
  <c r="U203" i="53"/>
  <c r="CH177" i="55" s="1"/>
  <c r="U202" i="53"/>
  <c r="CH176" i="55" s="1"/>
  <c r="U201" i="53"/>
  <c r="U206" i="53"/>
  <c r="CH180" i="55" s="1"/>
  <c r="U204" i="53"/>
  <c r="CH178" i="55" s="1"/>
  <c r="U205" i="53"/>
  <c r="CH179" i="55" s="1"/>
  <c r="Q51" i="59"/>
  <c r="Q147" i="59"/>
  <c r="Q94" i="59"/>
  <c r="Q122" i="59"/>
  <c r="S146" i="59"/>
  <c r="DO49" i="59"/>
  <c r="DO120" i="59"/>
  <c r="DO92" i="59"/>
  <c r="R50" i="59"/>
  <c r="R31" i="59"/>
  <c r="R154" i="59" s="1"/>
  <c r="BC49" i="59"/>
  <c r="BC92" i="59"/>
  <c r="BC120" i="59"/>
  <c r="BD145" i="59"/>
  <c r="DP145" i="59"/>
  <c r="V222" i="53"/>
  <c r="V223" i="53"/>
  <c r="V217" i="53"/>
  <c r="V216" i="53"/>
  <c r="V225" i="53"/>
  <c r="V228" i="53"/>
  <c r="W178" i="55" s="1"/>
  <c r="V230" i="53"/>
  <c r="W180" i="55" s="1"/>
  <c r="V226" i="53"/>
  <c r="W176" i="55" s="1"/>
  <c r="V229" i="53"/>
  <c r="W179" i="55" s="1"/>
  <c r="V227" i="53"/>
  <c r="W177" i="55" s="1"/>
  <c r="AW146" i="59"/>
  <c r="DI146" i="59"/>
  <c r="DH14" i="55"/>
  <c r="DH28" i="59" s="1"/>
  <c r="DH151" i="59" s="1"/>
  <c r="DH13" i="55"/>
  <c r="DH27" i="59" s="1"/>
  <c r="DH150" i="59" s="1"/>
  <c r="DH12" i="55"/>
  <c r="DH26" i="59" s="1"/>
  <c r="DH16" i="55"/>
  <c r="DH30" i="59" s="1"/>
  <c r="DH15" i="55"/>
  <c r="DH29" i="59" s="1"/>
  <c r="DH152" i="59" s="1"/>
  <c r="DH11" i="55"/>
  <c r="AV100" i="59"/>
  <c r="AV127" i="59"/>
  <c r="AV125" i="59"/>
  <c r="AV124" i="59"/>
  <c r="AV99" i="59"/>
  <c r="R11" i="55"/>
  <c r="R13" i="55"/>
  <c r="R27" i="59" s="1"/>
  <c r="R150" i="59" s="1"/>
  <c r="AW152" i="59"/>
  <c r="R121" i="59"/>
  <c r="AV98" i="59"/>
  <c r="AV97" i="59"/>
  <c r="AV126" i="59"/>
  <c r="AV20" i="55"/>
  <c r="R16" i="55"/>
  <c r="R30" i="59" s="1"/>
  <c r="AW151" i="59"/>
  <c r="R93" i="59"/>
  <c r="AV55" i="59"/>
  <c r="AV54" i="59"/>
  <c r="AV57" i="59"/>
  <c r="AV56" i="59"/>
  <c r="AV25" i="59"/>
  <c r="AV148" i="59" s="1"/>
  <c r="R58" i="58"/>
  <c r="R5" i="58" s="1"/>
  <c r="AV19" i="55"/>
  <c r="R14" i="55"/>
  <c r="R28" i="59" s="1"/>
  <c r="R151" i="59" s="1"/>
  <c r="R15" i="55"/>
  <c r="R29" i="59" s="1"/>
  <c r="R152" i="59" s="1"/>
  <c r="R12" i="55"/>
  <c r="R26" i="59" s="1"/>
  <c r="R53" i="59" s="1"/>
  <c r="AV7" i="55"/>
  <c r="AV6" i="55"/>
  <c r="S237" i="54"/>
  <c r="S238" i="54" s="1"/>
  <c r="S240" i="54" s="1"/>
  <c r="S239" i="54"/>
  <c r="S244" i="54" s="1"/>
  <c r="S245" i="54" s="1"/>
  <c r="S254" i="54" s="1"/>
  <c r="AZ75" i="51" s="1"/>
  <c r="W216" i="53"/>
  <c r="W217" i="53"/>
  <c r="T237" i="54"/>
  <c r="T238" i="54" s="1"/>
  <c r="T240" i="54" s="1"/>
  <c r="T239" i="54"/>
  <c r="U229" i="54"/>
  <c r="BB179" i="55" s="1"/>
  <c r="DN179" i="55" s="1"/>
  <c r="P51" i="59"/>
  <c r="AR9" i="57"/>
  <c r="CG24" i="59"/>
  <c r="BI46" i="59"/>
  <c r="BI89" i="59"/>
  <c r="BI116" i="59"/>
  <c r="BI72" i="59"/>
  <c r="AD40" i="59"/>
  <c r="AD83" i="59"/>
  <c r="AD110" i="59"/>
  <c r="AD66" i="59"/>
  <c r="DG147" i="59"/>
  <c r="AD43" i="59"/>
  <c r="AD113" i="59"/>
  <c r="AD69" i="59"/>
  <c r="AD86" i="59"/>
  <c r="P148" i="59"/>
  <c r="Q148" i="59"/>
  <c r="S51" i="59"/>
  <c r="BI45" i="59"/>
  <c r="BI88" i="59"/>
  <c r="BI115" i="59"/>
  <c r="BI71" i="59"/>
  <c r="BI113" i="59"/>
  <c r="BI43" i="59"/>
  <c r="BI69" i="59"/>
  <c r="BI86" i="59"/>
  <c r="BH91" i="59"/>
  <c r="BH118" i="59"/>
  <c r="BH48" i="59"/>
  <c r="BH74" i="59"/>
  <c r="BI110" i="59"/>
  <c r="BI40" i="59"/>
  <c r="BI66" i="59"/>
  <c r="BI83" i="59"/>
  <c r="CD27" i="57"/>
  <c r="BI42" i="59"/>
  <c r="BI85" i="59"/>
  <c r="BI68" i="59"/>
  <c r="BI112" i="59"/>
  <c r="AD68" i="59"/>
  <c r="AD85" i="59"/>
  <c r="AD112" i="59"/>
  <c r="AD42" i="59"/>
  <c r="CD152" i="55"/>
  <c r="CD18" i="57" s="1"/>
  <c r="CD20" i="57" s="1"/>
  <c r="CD149" i="59" s="1"/>
  <c r="CD155" i="59" s="1"/>
  <c r="BH47" i="59"/>
  <c r="BH90" i="59"/>
  <c r="BH117" i="59"/>
  <c r="BH73" i="59"/>
  <c r="BI44" i="59"/>
  <c r="BI87" i="59"/>
  <c r="BI114" i="59"/>
  <c r="BI70" i="59"/>
  <c r="AD89" i="59"/>
  <c r="AD116" i="59"/>
  <c r="AD46" i="59"/>
  <c r="AD72" i="59"/>
  <c r="W226" i="53"/>
  <c r="X176" i="55" s="1"/>
  <c r="CD135" i="55"/>
  <c r="CD8" i="57" s="1"/>
  <c r="BI84" i="59"/>
  <c r="BI111" i="59"/>
  <c r="BI41" i="59"/>
  <c r="BI67" i="59"/>
  <c r="AD114" i="59"/>
  <c r="AD44" i="59"/>
  <c r="AD87" i="59"/>
  <c r="AD70" i="59"/>
  <c r="AC39" i="51"/>
  <c r="AC19" i="59"/>
  <c r="CG101" i="59"/>
  <c r="CG153" i="59"/>
  <c r="DF181" i="55"/>
  <c r="DF10" i="57" s="1"/>
  <c r="CC149" i="59"/>
  <c r="CC155" i="59" s="1"/>
  <c r="AD88" i="59"/>
  <c r="AD45" i="59"/>
  <c r="AD115" i="59"/>
  <c r="AD71" i="59"/>
  <c r="AD41" i="59"/>
  <c r="AD84" i="59"/>
  <c r="AD111" i="59"/>
  <c r="AD67" i="59"/>
  <c r="AW101" i="59"/>
  <c r="AW153" i="59"/>
  <c r="DG148" i="59"/>
  <c r="DP49" i="59"/>
  <c r="DP92" i="59"/>
  <c r="DP120" i="59"/>
  <c r="DF51" i="59"/>
  <c r="DF122" i="59"/>
  <c r="DF94" i="59"/>
  <c r="DF52" i="59"/>
  <c r="DF95" i="59"/>
  <c r="DF123" i="59"/>
  <c r="DF96" i="59"/>
  <c r="CF60" i="55"/>
  <c r="CF14" i="57" s="1"/>
  <c r="CD34" i="57"/>
  <c r="DD20" i="57"/>
  <c r="DD149" i="59" s="1"/>
  <c r="DD155" i="59" s="1"/>
  <c r="CF59" i="55"/>
  <c r="CE181" i="55"/>
  <c r="CE10" i="57" s="1"/>
  <c r="X211" i="53"/>
  <c r="DI50" i="59"/>
  <c r="DI93" i="59"/>
  <c r="DI121" i="59"/>
  <c r="DI31" i="59"/>
  <c r="Y49" i="59"/>
  <c r="S96" i="59"/>
  <c r="S52" i="59"/>
  <c r="P96" i="59"/>
  <c r="P52" i="59"/>
  <c r="CF96" i="59"/>
  <c r="CF52" i="59"/>
  <c r="AW121" i="59"/>
  <c r="AW50" i="59"/>
  <c r="AW31" i="59"/>
  <c r="AW24" i="59"/>
  <c r="CH120" i="59"/>
  <c r="CH49" i="59"/>
  <c r="CH31" i="59"/>
  <c r="CH154" i="59" s="1"/>
  <c r="BD49" i="59"/>
  <c r="AD37" i="59"/>
  <c r="AD80" i="59"/>
  <c r="AD107" i="59"/>
  <c r="AD63" i="59"/>
  <c r="BH75" i="59"/>
  <c r="AD36" i="59"/>
  <c r="AD79" i="59"/>
  <c r="AD106" i="59"/>
  <c r="AD62" i="59"/>
  <c r="AD81" i="59"/>
  <c r="AD108" i="59"/>
  <c r="AD38" i="59"/>
  <c r="AD64" i="59"/>
  <c r="BI79" i="59"/>
  <c r="BI106" i="59"/>
  <c r="BI36" i="59"/>
  <c r="BI62" i="59"/>
  <c r="AD82" i="59"/>
  <c r="AD109" i="59"/>
  <c r="AD39" i="59"/>
  <c r="AD65" i="59"/>
  <c r="BI37" i="59"/>
  <c r="BI80" i="59"/>
  <c r="BI107" i="59"/>
  <c r="BI63" i="59"/>
  <c r="BI38" i="59"/>
  <c r="BI81" i="59"/>
  <c r="BI108" i="59"/>
  <c r="BI64" i="59"/>
  <c r="BI39" i="59"/>
  <c r="BI82" i="59"/>
  <c r="BI109" i="59"/>
  <c r="BI65" i="59"/>
  <c r="BD120" i="59"/>
  <c r="BD92" i="59"/>
  <c r="AW93" i="59"/>
  <c r="DF16" i="57"/>
  <c r="DF15" i="57"/>
  <c r="DF25" i="57"/>
  <c r="DD39" i="57"/>
  <c r="DD9" i="57"/>
  <c r="DF23" i="57"/>
  <c r="DF13" i="57"/>
  <c r="DF89" i="55"/>
  <c r="CD37" i="57"/>
  <c r="DD30" i="57"/>
  <c r="DF24" i="57"/>
  <c r="DF14" i="57"/>
  <c r="DF66" i="55"/>
  <c r="AT128" i="55"/>
  <c r="DF128" i="55" s="1"/>
  <c r="DF105" i="55"/>
  <c r="DF112" i="55" s="1"/>
  <c r="DF43" i="55"/>
  <c r="DI16" i="55"/>
  <c r="DI30" i="59" s="1"/>
  <c r="DI15" i="55"/>
  <c r="DI29" i="59" s="1"/>
  <c r="DI11" i="55"/>
  <c r="DI12" i="55"/>
  <c r="DI26" i="59" s="1"/>
  <c r="DI14" i="55"/>
  <c r="DI28" i="59" s="1"/>
  <c r="DI13" i="55"/>
  <c r="DF19" i="57"/>
  <c r="DF29" i="57"/>
  <c r="U228" i="54"/>
  <c r="BB178" i="55" s="1"/>
  <c r="DN178" i="55" s="1"/>
  <c r="U227" i="54"/>
  <c r="BB177" i="55" s="1"/>
  <c r="DN177" i="55" s="1"/>
  <c r="U225" i="54"/>
  <c r="U230" i="54"/>
  <c r="BB180" i="55" s="1"/>
  <c r="DN180" i="55" s="1"/>
  <c r="CE102" i="59"/>
  <c r="CE89" i="55"/>
  <c r="CE6" i="57" s="1"/>
  <c r="P32" i="59"/>
  <c r="AT29" i="57"/>
  <c r="AT19" i="57"/>
  <c r="Y120" i="59"/>
  <c r="AT24" i="57"/>
  <c r="AT14" i="57"/>
  <c r="AT25" i="57"/>
  <c r="AT15" i="57"/>
  <c r="AT23" i="57"/>
  <c r="AT13" i="57"/>
  <c r="AT129" i="55"/>
  <c r="AT26" i="57"/>
  <c r="AT16" i="57"/>
  <c r="CE128" i="59"/>
  <c r="CE25" i="57"/>
  <c r="M9" i="57"/>
  <c r="M39" i="57"/>
  <c r="M41" i="57" s="1"/>
  <c r="CB9" i="57"/>
  <c r="CB39" i="57"/>
  <c r="CB41" i="57" s="1"/>
  <c r="AW97" i="59"/>
  <c r="AW124" i="59"/>
  <c r="CG98" i="59"/>
  <c r="CG125" i="59"/>
  <c r="P94" i="59"/>
  <c r="P122" i="59"/>
  <c r="AW98" i="59"/>
  <c r="AW125" i="59"/>
  <c r="AW99" i="59"/>
  <c r="AW126" i="59"/>
  <c r="S94" i="59"/>
  <c r="S122" i="59"/>
  <c r="P95" i="59"/>
  <c r="P123" i="59"/>
  <c r="CG97" i="59"/>
  <c r="CG124" i="59"/>
  <c r="AW100" i="59"/>
  <c r="AW127" i="59"/>
  <c r="CG100" i="59"/>
  <c r="CG127" i="59"/>
  <c r="S95" i="59"/>
  <c r="S123" i="59"/>
  <c r="CF94" i="59"/>
  <c r="CF122" i="59"/>
  <c r="CG99" i="59"/>
  <c r="CG126" i="59"/>
  <c r="CF95" i="59"/>
  <c r="CF123" i="59"/>
  <c r="S10" i="58"/>
  <c r="Y92" i="59"/>
  <c r="CH92" i="59"/>
  <c r="AT102" i="59"/>
  <c r="CG57" i="59"/>
  <c r="AW56" i="59"/>
  <c r="CG56" i="59"/>
  <c r="CG54" i="59"/>
  <c r="AW57" i="59"/>
  <c r="AW54" i="59"/>
  <c r="CE58" i="59"/>
  <c r="CG55" i="59"/>
  <c r="AW55" i="59"/>
  <c r="AW25" i="59"/>
  <c r="CG19" i="55"/>
  <c r="CG175" i="55" s="1"/>
  <c r="CG19" i="57" s="1"/>
  <c r="CG25" i="59"/>
  <c r="CG148" i="59" s="1"/>
  <c r="AY59" i="58"/>
  <c r="T59" i="58"/>
  <c r="BG46" i="51"/>
  <c r="W211" i="54"/>
  <c r="W214" i="54" s="1"/>
  <c r="BH25" i="51"/>
  <c r="V210" i="54"/>
  <c r="V226" i="54" s="1"/>
  <c r="BC176" i="55" s="1"/>
  <c r="DO176" i="55" s="1"/>
  <c r="BC172" i="55"/>
  <c r="W223" i="53"/>
  <c r="W230" i="53"/>
  <c r="X180" i="55" s="1"/>
  <c r="V200" i="53"/>
  <c r="CI172" i="55"/>
  <c r="AT181" i="55"/>
  <c r="CE151" i="55"/>
  <c r="W229" i="53"/>
  <c r="X179" i="55" s="1"/>
  <c r="W225" i="53"/>
  <c r="S105" i="55"/>
  <c r="S128" i="55" s="1"/>
  <c r="S82" i="55"/>
  <c r="S174" i="55"/>
  <c r="P106" i="55"/>
  <c r="P83" i="55"/>
  <c r="P175" i="55"/>
  <c r="W228" i="53"/>
  <c r="X178" i="55" s="1"/>
  <c r="S106" i="55"/>
  <c r="S83" i="55"/>
  <c r="S175" i="55"/>
  <c r="P82" i="55"/>
  <c r="P105" i="55"/>
  <c r="P128" i="55" s="1"/>
  <c r="P174" i="55"/>
  <c r="AT112" i="55"/>
  <c r="S36" i="55"/>
  <c r="S59" i="55"/>
  <c r="P60" i="55"/>
  <c r="P37" i="55"/>
  <c r="AT89" i="55"/>
  <c r="S60" i="55"/>
  <c r="S37" i="55"/>
  <c r="P59" i="55"/>
  <c r="P36" i="55"/>
  <c r="AT66" i="55"/>
  <c r="AT43" i="55"/>
  <c r="BF51" i="51"/>
  <c r="T262" i="53"/>
  <c r="U78" i="51" s="1"/>
  <c r="U77" i="51"/>
  <c r="CH14" i="55"/>
  <c r="CH28" i="59" s="1"/>
  <c r="CH151" i="59" s="1"/>
  <c r="CH12" i="55"/>
  <c r="CH26" i="59" s="1"/>
  <c r="CH53" i="59" s="1"/>
  <c r="CH16" i="55"/>
  <c r="CH30" i="59" s="1"/>
  <c r="CH11" i="55"/>
  <c r="CH15" i="55"/>
  <c r="CH29" i="59" s="1"/>
  <c r="CH152" i="59" s="1"/>
  <c r="CH13" i="55"/>
  <c r="CH27" i="59" s="1"/>
  <c r="CH150" i="59" s="1"/>
  <c r="AW7" i="55"/>
  <c r="X207" i="54"/>
  <c r="X211" i="54" s="1"/>
  <c r="BE4" i="55"/>
  <c r="U74" i="51"/>
  <c r="CG7" i="55"/>
  <c r="R256" i="54"/>
  <c r="AY74" i="51"/>
  <c r="AY76" i="51" s="1"/>
  <c r="AY10" i="55"/>
  <c r="Y207" i="53"/>
  <c r="Y208" i="53" s="1"/>
  <c r="Z4" i="55"/>
  <c r="CG6" i="55"/>
  <c r="AW19" i="55"/>
  <c r="AW20" i="55"/>
  <c r="AW6" i="55"/>
  <c r="T74" i="51"/>
  <c r="BE9" i="55"/>
  <c r="Z51" i="51"/>
  <c r="AB48" i="51"/>
  <c r="AA36" i="53"/>
  <c r="AA42" i="53" s="1"/>
  <c r="AC59" i="51"/>
  <c r="AB38" i="53"/>
  <c r="Y78" i="54"/>
  <c r="Y79" i="54" s="1"/>
  <c r="Y80" i="54"/>
  <c r="Y72" i="54"/>
  <c r="Y73" i="54" s="1"/>
  <c r="Y74" i="54"/>
  <c r="Y75" i="54" s="1"/>
  <c r="Y47" i="54"/>
  <c r="Y162" i="54" s="1"/>
  <c r="AE139" i="54"/>
  <c r="AE140" i="54" s="1"/>
  <c r="AE141" i="54"/>
  <c r="AE142" i="54" s="1"/>
  <c r="AE137" i="54"/>
  <c r="AE138" i="54" s="1"/>
  <c r="Y81" i="53"/>
  <c r="Z61" i="51" s="1"/>
  <c r="Y165" i="53"/>
  <c r="Z9" i="55" s="1"/>
  <c r="BE67" i="51"/>
  <c r="BE70" i="51" s="1"/>
  <c r="Y70" i="51"/>
  <c r="BH55" i="51"/>
  <c r="AA39" i="54"/>
  <c r="AF45" i="54" s="1"/>
  <c r="BF57" i="51"/>
  <c r="BF58" i="51" s="1"/>
  <c r="BF72" i="51" s="1"/>
  <c r="Z58" i="51"/>
  <c r="Z72" i="51" s="1"/>
  <c r="S254" i="53"/>
  <c r="BH59" i="51"/>
  <c r="AA38" i="54"/>
  <c r="X232" i="53"/>
  <c r="X233" i="53" s="1"/>
  <c r="X209" i="53"/>
  <c r="Z67" i="51"/>
  <c r="Y79" i="53"/>
  <c r="W232" i="54"/>
  <c r="W233" i="54" s="1"/>
  <c r="W209" i="54"/>
  <c r="DP172" i="55" s="1"/>
  <c r="BG65" i="51"/>
  <c r="Z40" i="54"/>
  <c r="AE46" i="54" s="1"/>
  <c r="AE159" i="54" s="1"/>
  <c r="BG48" i="51"/>
  <c r="Z36" i="54"/>
  <c r="Z42" i="54" s="1"/>
  <c r="BE61" i="51"/>
  <c r="Y71" i="51"/>
  <c r="Y73" i="51" s="1"/>
  <c r="Y64" i="51"/>
  <c r="X81" i="54"/>
  <c r="X165" i="54"/>
  <c r="T254" i="53"/>
  <c r="U10" i="55" s="1"/>
  <c r="U23" i="59" s="1"/>
  <c r="AD160" i="54"/>
  <c r="U219" i="54"/>
  <c r="U218" i="54"/>
  <c r="Z72" i="53"/>
  <c r="Z73" i="53" s="1"/>
  <c r="AA49" i="51" s="1"/>
  <c r="BG49" i="51" s="1"/>
  <c r="Z80" i="53"/>
  <c r="Z74" i="53"/>
  <c r="Z75" i="53" s="1"/>
  <c r="AA57" i="51" s="1"/>
  <c r="Z78" i="53"/>
  <c r="Z47" i="53"/>
  <c r="U220" i="53"/>
  <c r="U224" i="53" s="1"/>
  <c r="U221" i="53"/>
  <c r="U199" i="54"/>
  <c r="U200" i="54" s="1"/>
  <c r="V166" i="54"/>
  <c r="CI9" i="55" s="1"/>
  <c r="CI22" i="59" s="1"/>
  <c r="CI145" i="59" s="1"/>
  <c r="U244" i="53"/>
  <c r="U245" i="53" s="1"/>
  <c r="U254" i="53" s="1"/>
  <c r="V75" i="51" s="1"/>
  <c r="U236" i="54"/>
  <c r="T203" i="54"/>
  <c r="T201" i="54"/>
  <c r="T205" i="54"/>
  <c r="T206" i="54"/>
  <c r="T204" i="54"/>
  <c r="T202" i="54"/>
  <c r="AB52" i="51"/>
  <c r="AB54" i="51" s="1"/>
  <c r="AA37" i="53"/>
  <c r="W236" i="53"/>
  <c r="X162" i="54"/>
  <c r="U237" i="53"/>
  <c r="U238" i="53" s="1"/>
  <c r="U240" i="53" s="1"/>
  <c r="U261" i="53" s="1"/>
  <c r="AC55" i="51"/>
  <c r="AB39" i="53"/>
  <c r="AG45" i="53" s="1"/>
  <c r="AE138" i="53"/>
  <c r="AE140" i="53"/>
  <c r="AF63" i="51" s="1"/>
  <c r="BL63" i="51" s="1"/>
  <c r="AB65" i="51"/>
  <c r="AA40" i="53"/>
  <c r="AF46" i="53" s="1"/>
  <c r="AF159" i="53" s="1"/>
  <c r="AF139" i="53"/>
  <c r="AF141" i="53"/>
  <c r="AF137" i="53"/>
  <c r="AG56" i="51" s="1"/>
  <c r="BM56" i="51" s="1"/>
  <c r="W199" i="53"/>
  <c r="X166" i="53"/>
  <c r="AE142" i="53"/>
  <c r="AF69" i="51" s="1"/>
  <c r="BL69" i="51" s="1"/>
  <c r="AE36" i="51"/>
  <c r="AE37" i="51" s="1"/>
  <c r="AE19" i="59" s="1"/>
  <c r="AD15" i="51"/>
  <c r="AD17" i="51" s="1"/>
  <c r="BI21" i="51"/>
  <c r="BI33" i="51"/>
  <c r="BI35" i="51" s="1"/>
  <c r="AC25" i="51"/>
  <c r="AD21" i="51"/>
  <c r="BI29" i="51"/>
  <c r="AD29" i="51"/>
  <c r="BH39" i="51"/>
  <c r="BI15" i="51"/>
  <c r="BI38" i="51"/>
  <c r="BI20" i="59" s="1"/>
  <c r="BI37" i="51"/>
  <c r="BI19" i="59" s="1"/>
  <c r="BJ31" i="51"/>
  <c r="BJ16" i="59" s="1"/>
  <c r="BJ32" i="51"/>
  <c r="BJ17" i="59" s="1"/>
  <c r="BJ34" i="51"/>
  <c r="BJ18" i="59" s="1"/>
  <c r="BJ28" i="51"/>
  <c r="BJ15" i="59" s="1"/>
  <c r="BJ27" i="51"/>
  <c r="BJ14" i="59" s="1"/>
  <c r="AE13" i="51"/>
  <c r="AE12" i="59" s="1"/>
  <c r="AE14" i="51"/>
  <c r="AE13" i="59" s="1"/>
  <c r="AD24" i="51"/>
  <c r="BH44" i="51"/>
  <c r="BH17" i="51"/>
  <c r="BH43" i="51"/>
  <c r="BI24" i="51"/>
  <c r="BK12" i="51"/>
  <c r="AE23" i="51"/>
  <c r="AE11" i="59" s="1"/>
  <c r="AE20" i="51"/>
  <c r="AE9" i="59" s="1"/>
  <c r="AE22" i="51"/>
  <c r="AE10" i="59" s="1"/>
  <c r="AF18" i="51"/>
  <c r="AE19" i="51"/>
  <c r="AE8" i="59" s="1"/>
  <c r="BK18" i="51"/>
  <c r="BJ36" i="51"/>
  <c r="AE28" i="51"/>
  <c r="AE15" i="59" s="1"/>
  <c r="AF26" i="51"/>
  <c r="AE27" i="51"/>
  <c r="AE14" i="59" s="1"/>
  <c r="BK26" i="51"/>
  <c r="AB46" i="51"/>
  <c r="AF30" i="51"/>
  <c r="BK30" i="51"/>
  <c r="AE32" i="51"/>
  <c r="AE17" i="59" s="1"/>
  <c r="AE34" i="51"/>
  <c r="AE18" i="59" s="1"/>
  <c r="AE31" i="51"/>
  <c r="AE16" i="59" s="1"/>
  <c r="AD37" i="51"/>
  <c r="AD19" i="59" s="1"/>
  <c r="AD38" i="51"/>
  <c r="AC43" i="51"/>
  <c r="AC46" i="51" s="1"/>
  <c r="AC17" i="51"/>
  <c r="AD33" i="51"/>
  <c r="AD35" i="51" s="1"/>
  <c r="AG10" i="51"/>
  <c r="BL10" i="51"/>
  <c r="AF12" i="51"/>
  <c r="BJ20" i="51"/>
  <c r="BJ9" i="59" s="1"/>
  <c r="BJ22" i="51"/>
  <c r="BJ10" i="59" s="1"/>
  <c r="BJ19" i="51"/>
  <c r="BJ8" i="59" s="1"/>
  <c r="BJ23" i="51"/>
  <c r="BJ11" i="59" s="1"/>
  <c r="BJ14" i="51"/>
  <c r="BJ13" i="59" s="1"/>
  <c r="BJ13" i="51"/>
  <c r="BJ12" i="59" s="1"/>
  <c r="O37" i="57" l="1"/>
  <c r="O7" i="57"/>
  <c r="DE38" i="57"/>
  <c r="DE8" i="57"/>
  <c r="DG36" i="57"/>
  <c r="DG6" i="57"/>
  <c r="Q15" i="57"/>
  <c r="Q181" i="55"/>
  <c r="AX150" i="59"/>
  <c r="DG58" i="59"/>
  <c r="DJ146" i="59"/>
  <c r="AX101" i="59"/>
  <c r="AX153" i="59"/>
  <c r="DG102" i="59"/>
  <c r="DG128" i="59"/>
  <c r="AU151" i="55"/>
  <c r="DG151" i="55" s="1"/>
  <c r="DI154" i="59"/>
  <c r="DG129" i="55"/>
  <c r="AV122" i="59"/>
  <c r="AX126" i="59"/>
  <c r="AX124" i="59"/>
  <c r="AX121" i="59"/>
  <c r="AX50" i="59"/>
  <c r="AX31" i="59"/>
  <c r="DG26" i="57"/>
  <c r="DE20" i="57"/>
  <c r="DE30" i="57"/>
  <c r="DG37" i="57"/>
  <c r="DG7" i="57"/>
  <c r="DG35" i="57"/>
  <c r="DG5" i="57"/>
  <c r="DG34" i="57"/>
  <c r="DG4" i="57"/>
  <c r="O40" i="57"/>
  <c r="AU135" i="55"/>
  <c r="AU38" i="57" s="1"/>
  <c r="AX99" i="59"/>
  <c r="AX100" i="59"/>
  <c r="DG40" i="57"/>
  <c r="DG10" i="57"/>
  <c r="AU6" i="57"/>
  <c r="AU36" i="57"/>
  <c r="AU7" i="57"/>
  <c r="AU37" i="57"/>
  <c r="AU4" i="57"/>
  <c r="AU34" i="57"/>
  <c r="O4" i="57"/>
  <c r="O34" i="57"/>
  <c r="N158" i="55"/>
  <c r="O8" i="57"/>
  <c r="O38" i="57"/>
  <c r="AU5" i="57"/>
  <c r="AU35" i="57"/>
  <c r="O5" i="57"/>
  <c r="O35" i="57"/>
  <c r="AS9" i="57"/>
  <c r="AS39" i="57"/>
  <c r="O6" i="57"/>
  <c r="O36" i="57"/>
  <c r="AU10" i="57"/>
  <c r="AU40" i="57"/>
  <c r="O152" i="55"/>
  <c r="O27" i="57"/>
  <c r="O17" i="57"/>
  <c r="AX98" i="59"/>
  <c r="AX125" i="59"/>
  <c r="AV94" i="59"/>
  <c r="AX127" i="59"/>
  <c r="AX97" i="59"/>
  <c r="N28" i="57"/>
  <c r="N30" i="57" s="1"/>
  <c r="N18" i="57"/>
  <c r="N20" i="57" s="1"/>
  <c r="N149" i="59" s="1"/>
  <c r="N155" i="59" s="1"/>
  <c r="AU152" i="55"/>
  <c r="DG152" i="55" s="1"/>
  <c r="AU17" i="57"/>
  <c r="AU27" i="57"/>
  <c r="AS149" i="59"/>
  <c r="AS155" i="59" s="1"/>
  <c r="AC65" i="51"/>
  <c r="AB40" i="53"/>
  <c r="AG46" i="53" s="1"/>
  <c r="AG159" i="53" s="1"/>
  <c r="Q89" i="55"/>
  <c r="Q112" i="55"/>
  <c r="AX151" i="59"/>
  <c r="Q24" i="57"/>
  <c r="Q14" i="57"/>
  <c r="Q25" i="57"/>
  <c r="Q23" i="57"/>
  <c r="Q129" i="55"/>
  <c r="Q135" i="55" s="1"/>
  <c r="Q26" i="57"/>
  <c r="AX19" i="55"/>
  <c r="AX20" i="55"/>
  <c r="AX6" i="55"/>
  <c r="AX7" i="55"/>
  <c r="Q102" i="59"/>
  <c r="Q128" i="59"/>
  <c r="Q19" i="57"/>
  <c r="Q29" i="57"/>
  <c r="Q13" i="57"/>
  <c r="Q16" i="57"/>
  <c r="Q66" i="55"/>
  <c r="Q43" i="55"/>
  <c r="Q151" i="55"/>
  <c r="AX152" i="59"/>
  <c r="CG51" i="59"/>
  <c r="CG147" i="59"/>
  <c r="AX146" i="59"/>
  <c r="AV51" i="59"/>
  <c r="AV147" i="59"/>
  <c r="DJ50" i="59"/>
  <c r="DJ93" i="59"/>
  <c r="DJ121" i="59"/>
  <c r="DJ31" i="59"/>
  <c r="AX11" i="58"/>
  <c r="AX6" i="58"/>
  <c r="AX24" i="59"/>
  <c r="AX93" i="59"/>
  <c r="DJ12" i="55"/>
  <c r="DJ26" i="59" s="1"/>
  <c r="DJ11" i="55"/>
  <c r="DJ16" i="55"/>
  <c r="DJ30" i="59" s="1"/>
  <c r="DJ15" i="55"/>
  <c r="DJ29" i="59" s="1"/>
  <c r="DJ14" i="55"/>
  <c r="DJ28" i="59" s="1"/>
  <c r="DJ13" i="55"/>
  <c r="DJ27" i="59" s="1"/>
  <c r="AX57" i="59"/>
  <c r="AX55" i="59"/>
  <c r="AX54" i="59"/>
  <c r="AX56" i="59"/>
  <c r="AX25" i="59"/>
  <c r="V216" i="54"/>
  <c r="V217" i="54"/>
  <c r="V223" i="54"/>
  <c r="V222" i="54"/>
  <c r="V234" i="54" s="1"/>
  <c r="V235" i="54" s="1"/>
  <c r="DH101" i="59"/>
  <c r="DH153" i="59"/>
  <c r="DH55" i="59"/>
  <c r="DH98" i="59"/>
  <c r="DH97" i="59"/>
  <c r="DH124" i="59"/>
  <c r="DH54" i="59"/>
  <c r="DH99" i="59"/>
  <c r="DH25" i="59"/>
  <c r="DH148" i="59" s="1"/>
  <c r="DH24" i="59"/>
  <c r="DH147" i="59" s="1"/>
  <c r="DH57" i="59"/>
  <c r="DH100" i="59"/>
  <c r="DH127" i="59"/>
  <c r="DH125" i="59"/>
  <c r="DH53" i="59"/>
  <c r="DH126" i="59"/>
  <c r="DH56" i="59"/>
  <c r="AV96" i="59"/>
  <c r="AV52" i="59"/>
  <c r="AW154" i="59"/>
  <c r="CF26" i="57"/>
  <c r="CE5" i="57"/>
  <c r="CC39" i="57"/>
  <c r="CF129" i="55"/>
  <c r="CF17" i="57" s="1"/>
  <c r="CF23" i="57"/>
  <c r="CE4" i="57"/>
  <c r="CE34" i="57"/>
  <c r="CE35" i="57"/>
  <c r="CE7" i="57"/>
  <c r="CE37" i="57"/>
  <c r="CE152" i="55"/>
  <c r="CE18" i="57" s="1"/>
  <c r="CE20" i="57" s="1"/>
  <c r="CE27" i="57"/>
  <c r="CF89" i="55"/>
  <c r="CF25" i="57"/>
  <c r="CF181" i="55"/>
  <c r="CF29" i="57"/>
  <c r="CF43" i="55"/>
  <c r="CE135" i="55"/>
  <c r="CF128" i="55"/>
  <c r="CF112" i="55"/>
  <c r="DH7" i="55"/>
  <c r="V203" i="53"/>
  <c r="CI177" i="55" s="1"/>
  <c r="V206" i="53"/>
  <c r="CI180" i="55" s="1"/>
  <c r="V201" i="53"/>
  <c r="V205" i="53"/>
  <c r="CI179" i="55" s="1"/>
  <c r="V204" i="53"/>
  <c r="CI178" i="55" s="1"/>
  <c r="V202" i="53"/>
  <c r="CI176" i="55" s="1"/>
  <c r="Q58" i="59"/>
  <c r="S154" i="59"/>
  <c r="S152" i="59"/>
  <c r="S151" i="59"/>
  <c r="S150" i="59"/>
  <c r="R101" i="59"/>
  <c r="R153" i="59"/>
  <c r="S153" i="59"/>
  <c r="R24" i="59"/>
  <c r="S147" i="59" s="1"/>
  <c r="R19" i="55"/>
  <c r="R20" i="55"/>
  <c r="V236" i="53"/>
  <c r="V234" i="53"/>
  <c r="V235" i="53" s="1"/>
  <c r="V219" i="53"/>
  <c r="V218" i="53"/>
  <c r="DH19" i="55"/>
  <c r="DH20" i="55"/>
  <c r="DH6" i="55"/>
  <c r="DI152" i="59"/>
  <c r="DI151" i="59"/>
  <c r="R99" i="59"/>
  <c r="R126" i="59"/>
  <c r="R97" i="59"/>
  <c r="R124" i="59"/>
  <c r="AV95" i="59"/>
  <c r="AV123" i="59"/>
  <c r="AV59" i="55"/>
  <c r="DH59" i="55" s="1"/>
  <c r="R98" i="59"/>
  <c r="R125" i="59"/>
  <c r="R100" i="59"/>
  <c r="R127" i="59"/>
  <c r="R10" i="58"/>
  <c r="R57" i="59"/>
  <c r="R56" i="59"/>
  <c r="R54" i="59"/>
  <c r="R55" i="59"/>
  <c r="AW148" i="59"/>
  <c r="R25" i="59"/>
  <c r="R148" i="59" s="1"/>
  <c r="S252" i="54"/>
  <c r="S261" i="54"/>
  <c r="AV105" i="55"/>
  <c r="AV82" i="55"/>
  <c r="DH82" i="55" s="1"/>
  <c r="AV60" i="55"/>
  <c r="DH60" i="55" s="1"/>
  <c r="AV36" i="55"/>
  <c r="DH36" i="55" s="1"/>
  <c r="AV37" i="55"/>
  <c r="DH37" i="55" s="1"/>
  <c r="R6" i="55"/>
  <c r="AV174" i="55"/>
  <c r="DH174" i="55" s="1"/>
  <c r="AV106" i="55"/>
  <c r="DH106" i="55" s="1"/>
  <c r="AV83" i="55"/>
  <c r="DH83" i="55" s="1"/>
  <c r="AV175" i="55"/>
  <c r="DH175" i="55" s="1"/>
  <c r="R7" i="55"/>
  <c r="V227" i="54"/>
  <c r="BC177" i="55" s="1"/>
  <c r="DO177" i="55" s="1"/>
  <c r="T261" i="54"/>
  <c r="T244" i="54"/>
  <c r="T245" i="54" s="1"/>
  <c r="T254" i="54" s="1"/>
  <c r="BA75" i="51" s="1"/>
  <c r="X215" i="53"/>
  <c r="X214" i="53"/>
  <c r="X213" i="53"/>
  <c r="X212" i="53"/>
  <c r="Y211" i="53"/>
  <c r="W219" i="53"/>
  <c r="W218" i="53"/>
  <c r="BH48" i="51"/>
  <c r="AA36" i="54"/>
  <c r="AA42" i="54" s="1"/>
  <c r="AT151" i="55"/>
  <c r="DF151" i="55" s="1"/>
  <c r="CD38" i="57"/>
  <c r="CD28" i="57"/>
  <c r="CD30" i="57" s="1"/>
  <c r="DF40" i="57"/>
  <c r="CD158" i="55"/>
  <c r="CD9" i="57" s="1"/>
  <c r="CH24" i="59"/>
  <c r="CH51" i="59" s="1"/>
  <c r="BI47" i="59"/>
  <c r="BI117" i="59"/>
  <c r="BI73" i="59"/>
  <c r="BI90" i="59"/>
  <c r="BJ88" i="59"/>
  <c r="BJ115" i="59"/>
  <c r="BJ45" i="59"/>
  <c r="BJ71" i="59"/>
  <c r="AW51" i="59"/>
  <c r="AW147" i="59"/>
  <c r="BJ44" i="59"/>
  <c r="BJ87" i="59"/>
  <c r="BJ114" i="59"/>
  <c r="BJ70" i="59"/>
  <c r="AC47" i="59"/>
  <c r="AC73" i="59"/>
  <c r="AC75" i="59" s="1"/>
  <c r="AC90" i="59"/>
  <c r="AC117" i="59"/>
  <c r="AD117" i="59"/>
  <c r="AD73" i="59"/>
  <c r="AD47" i="59"/>
  <c r="AD90" i="59"/>
  <c r="AE68" i="59"/>
  <c r="AE112" i="59"/>
  <c r="AE42" i="59"/>
  <c r="AE85" i="59"/>
  <c r="AE84" i="59"/>
  <c r="AE111" i="59"/>
  <c r="AE41" i="59"/>
  <c r="AE67" i="59"/>
  <c r="BI91" i="59"/>
  <c r="BI118" i="59"/>
  <c r="BI48" i="59"/>
  <c r="BI74" i="59"/>
  <c r="W215" i="54"/>
  <c r="W222" i="54" s="1"/>
  <c r="W234" i="54" s="1"/>
  <c r="W235" i="54" s="1"/>
  <c r="CF24" i="57"/>
  <c r="CF66" i="55"/>
  <c r="AE87" i="59"/>
  <c r="AE114" i="59"/>
  <c r="AE44" i="59"/>
  <c r="AE70" i="59"/>
  <c r="AE66" i="59"/>
  <c r="AE40" i="59"/>
  <c r="AE83" i="59"/>
  <c r="AE110" i="59"/>
  <c r="W212" i="54"/>
  <c r="DI101" i="59"/>
  <c r="DI153" i="59"/>
  <c r="DF128" i="59"/>
  <c r="AE89" i="59"/>
  <c r="AE46" i="59"/>
  <c r="AE116" i="59"/>
  <c r="AE72" i="59"/>
  <c r="AE69" i="59"/>
  <c r="AE86" i="59"/>
  <c r="AE113" i="59"/>
  <c r="AE43" i="59"/>
  <c r="BJ68" i="59"/>
  <c r="BJ112" i="59"/>
  <c r="BJ42" i="59"/>
  <c r="BJ85" i="59"/>
  <c r="AE47" i="59"/>
  <c r="AE117" i="59"/>
  <c r="AE73" i="59"/>
  <c r="AE90" i="59"/>
  <c r="W213" i="54"/>
  <c r="DF58" i="59"/>
  <c r="BJ66" i="59"/>
  <c r="BJ83" i="59"/>
  <c r="BJ40" i="59"/>
  <c r="BJ110" i="59"/>
  <c r="AE45" i="59"/>
  <c r="AE88" i="59"/>
  <c r="AE115" i="59"/>
  <c r="AE71" i="59"/>
  <c r="BJ69" i="59"/>
  <c r="BJ86" i="59"/>
  <c r="BJ113" i="59"/>
  <c r="BJ43" i="59"/>
  <c r="AD44" i="51"/>
  <c r="AD20" i="59"/>
  <c r="BJ84" i="59"/>
  <c r="BJ111" i="59"/>
  <c r="BJ41" i="59"/>
  <c r="BJ67" i="59"/>
  <c r="BJ89" i="59"/>
  <c r="BJ116" i="59"/>
  <c r="BJ46" i="59"/>
  <c r="BJ72" i="59"/>
  <c r="CH101" i="59"/>
  <c r="CH153" i="59"/>
  <c r="AY11" i="58"/>
  <c r="AY6" i="58"/>
  <c r="DI57" i="59"/>
  <c r="DI100" i="59"/>
  <c r="DI127" i="59"/>
  <c r="DF102" i="59"/>
  <c r="T11" i="58"/>
  <c r="T6" i="58"/>
  <c r="DI25" i="59"/>
  <c r="DI24" i="59"/>
  <c r="DI7" i="55"/>
  <c r="DI27" i="59"/>
  <c r="DI150" i="59" s="1"/>
  <c r="W239" i="53"/>
  <c r="W244" i="53" s="1"/>
  <c r="W245" i="53" s="1"/>
  <c r="W254" i="53" s="1"/>
  <c r="X75" i="51" s="1"/>
  <c r="DI99" i="59"/>
  <c r="DI126" i="59"/>
  <c r="DI56" i="59"/>
  <c r="CE40" i="57"/>
  <c r="DI6" i="55"/>
  <c r="DI53" i="59"/>
  <c r="DI124" i="59"/>
  <c r="DI97" i="59"/>
  <c r="DI54" i="59"/>
  <c r="AW96" i="59"/>
  <c r="AW52" i="59"/>
  <c r="U50" i="59"/>
  <c r="U31" i="59"/>
  <c r="CG96" i="59"/>
  <c r="CG52" i="59"/>
  <c r="CI120" i="59"/>
  <c r="CI49" i="59"/>
  <c r="CI31" i="59"/>
  <c r="CI154" i="59" s="1"/>
  <c r="AE80" i="59"/>
  <c r="AE107" i="59"/>
  <c r="AE37" i="59"/>
  <c r="AE63" i="59"/>
  <c r="BJ38" i="59"/>
  <c r="BJ81" i="59"/>
  <c r="BJ108" i="59"/>
  <c r="BJ64" i="59"/>
  <c r="BJ80" i="59"/>
  <c r="BJ107" i="59"/>
  <c r="BJ37" i="59"/>
  <c r="BJ63" i="59"/>
  <c r="AE82" i="59"/>
  <c r="AE109" i="59"/>
  <c r="AE39" i="59"/>
  <c r="AE65" i="59"/>
  <c r="BJ39" i="59"/>
  <c r="BJ82" i="59"/>
  <c r="BJ109" i="59"/>
  <c r="BJ65" i="59"/>
  <c r="AE79" i="59"/>
  <c r="AE36" i="59"/>
  <c r="AE106" i="59"/>
  <c r="AE62" i="59"/>
  <c r="BJ79" i="59"/>
  <c r="BJ106" i="59"/>
  <c r="BJ36" i="59"/>
  <c r="BJ62" i="59"/>
  <c r="AE38" i="59"/>
  <c r="AE81" i="59"/>
  <c r="AE108" i="59"/>
  <c r="AE64" i="59"/>
  <c r="AY23" i="59"/>
  <c r="AY146" i="59" s="1"/>
  <c r="DK10" i="55"/>
  <c r="DK23" i="59" s="1"/>
  <c r="DK146" i="59" s="1"/>
  <c r="DI19" i="55"/>
  <c r="DI20" i="55"/>
  <c r="AT135" i="55"/>
  <c r="DF129" i="55"/>
  <c r="DF26" i="57"/>
  <c r="DF37" i="57"/>
  <c r="DF7" i="57"/>
  <c r="BE22" i="59"/>
  <c r="BE145" i="59" s="1"/>
  <c r="DQ9" i="55"/>
  <c r="DQ22" i="59" s="1"/>
  <c r="DQ145" i="59" s="1"/>
  <c r="DF34" i="57"/>
  <c r="DF4" i="57"/>
  <c r="DF35" i="57"/>
  <c r="DF5" i="57"/>
  <c r="DF36" i="57"/>
  <c r="DF6" i="57"/>
  <c r="V225" i="54"/>
  <c r="V229" i="54"/>
  <c r="BC179" i="55" s="1"/>
  <c r="DO179" i="55" s="1"/>
  <c r="V228" i="54"/>
  <c r="BC178" i="55" s="1"/>
  <c r="DO178" i="55" s="1"/>
  <c r="CE36" i="57"/>
  <c r="V230" i="54"/>
  <c r="BC180" i="55" s="1"/>
  <c r="DO180" i="55" s="1"/>
  <c r="P66" i="55"/>
  <c r="P5" i="57" s="1"/>
  <c r="CG37" i="55"/>
  <c r="CG13" i="57" s="1"/>
  <c r="CG36" i="55"/>
  <c r="CG60" i="55"/>
  <c r="CG14" i="57" s="1"/>
  <c r="CG59" i="55"/>
  <c r="CG174" i="55"/>
  <c r="CG181" i="55" s="1"/>
  <c r="CG10" i="57" s="1"/>
  <c r="S32" i="59"/>
  <c r="P23" i="57"/>
  <c r="P13" i="57"/>
  <c r="S25" i="57"/>
  <c r="S15" i="57"/>
  <c r="AT152" i="55"/>
  <c r="DF152" i="55" s="1"/>
  <c r="AT27" i="57"/>
  <c r="AT17" i="57"/>
  <c r="P24" i="57"/>
  <c r="P14" i="57"/>
  <c r="S129" i="55"/>
  <c r="S26" i="57"/>
  <c r="S16" i="57"/>
  <c r="P19" i="57"/>
  <c r="P29" i="57"/>
  <c r="P25" i="57"/>
  <c r="P15" i="57"/>
  <c r="AT10" i="57"/>
  <c r="AT40" i="57"/>
  <c r="S13" i="57"/>
  <c r="S23" i="57"/>
  <c r="AT7" i="57"/>
  <c r="AT37" i="57"/>
  <c r="P129" i="55"/>
  <c r="P135" i="55" s="1"/>
  <c r="P26" i="57"/>
  <c r="P16" i="57"/>
  <c r="U121" i="59"/>
  <c r="AT4" i="57"/>
  <c r="AT34" i="57"/>
  <c r="S24" i="57"/>
  <c r="S14" i="57"/>
  <c r="AT5" i="57"/>
  <c r="AT35" i="57"/>
  <c r="AT6" i="57"/>
  <c r="AT36" i="57"/>
  <c r="S29" i="57"/>
  <c r="S19" i="57"/>
  <c r="P128" i="59"/>
  <c r="CF128" i="59"/>
  <c r="S128" i="59"/>
  <c r="CH98" i="59"/>
  <c r="CH125" i="59"/>
  <c r="CH99" i="59"/>
  <c r="CH126" i="59"/>
  <c r="CH100" i="59"/>
  <c r="CH127" i="59"/>
  <c r="CG95" i="59"/>
  <c r="CG123" i="59"/>
  <c r="AW94" i="59"/>
  <c r="AW122" i="59"/>
  <c r="CH97" i="59"/>
  <c r="CH124" i="59"/>
  <c r="CG94" i="59"/>
  <c r="CG122" i="59"/>
  <c r="AW95" i="59"/>
  <c r="AW123" i="59"/>
  <c r="U93" i="59"/>
  <c r="CI92" i="59"/>
  <c r="CF58" i="59"/>
  <c r="CF102" i="59"/>
  <c r="CH55" i="59"/>
  <c r="CH57" i="59"/>
  <c r="P102" i="59"/>
  <c r="S102" i="59"/>
  <c r="CH56" i="59"/>
  <c r="CH54" i="59"/>
  <c r="P58" i="59"/>
  <c r="S58" i="59"/>
  <c r="CG106" i="55"/>
  <c r="CG16" i="57" s="1"/>
  <c r="CG105" i="55"/>
  <c r="CG128" i="55" s="1"/>
  <c r="CH19" i="55"/>
  <c r="CH175" i="55" s="1"/>
  <c r="CH19" i="57" s="1"/>
  <c r="CH25" i="59"/>
  <c r="CH148" i="59" s="1"/>
  <c r="BF9" i="55"/>
  <c r="Z22" i="59"/>
  <c r="Z145" i="59" s="1"/>
  <c r="CG82" i="55"/>
  <c r="CG83" i="55"/>
  <c r="CG15" i="57" s="1"/>
  <c r="AY58" i="58"/>
  <c r="U59" i="58"/>
  <c r="X208" i="54"/>
  <c r="S66" i="55"/>
  <c r="P112" i="55"/>
  <c r="P89" i="55"/>
  <c r="P43" i="55"/>
  <c r="S151" i="55"/>
  <c r="W200" i="53"/>
  <c r="W205" i="53" s="1"/>
  <c r="CJ179" i="55" s="1"/>
  <c r="CJ172" i="55"/>
  <c r="X210" i="53"/>
  <c r="X226" i="53" s="1"/>
  <c r="Y176" i="55" s="1"/>
  <c r="Y172" i="55"/>
  <c r="W210" i="54"/>
  <c r="W230" i="54" s="1"/>
  <c r="BD180" i="55" s="1"/>
  <c r="DP180" i="55" s="1"/>
  <c r="BD172" i="55"/>
  <c r="AW106" i="55"/>
  <c r="DI106" i="55" s="1"/>
  <c r="AW83" i="55"/>
  <c r="DI83" i="55" s="1"/>
  <c r="AW175" i="55"/>
  <c r="DI175" i="55" s="1"/>
  <c r="P181" i="55"/>
  <c r="S181" i="55"/>
  <c r="AW105" i="55"/>
  <c r="AW82" i="55"/>
  <c r="DI82" i="55" s="1"/>
  <c r="AW174" i="55"/>
  <c r="DI174" i="55" s="1"/>
  <c r="P151" i="55"/>
  <c r="S43" i="55"/>
  <c r="S89" i="55"/>
  <c r="AW60" i="55"/>
  <c r="DI60" i="55" s="1"/>
  <c r="AW59" i="55"/>
  <c r="DI59" i="55" s="1"/>
  <c r="S112" i="55"/>
  <c r="AW37" i="55"/>
  <c r="DI37" i="55" s="1"/>
  <c r="AW36" i="55"/>
  <c r="DI36" i="55" s="1"/>
  <c r="U262" i="53"/>
  <c r="V78" i="51" s="1"/>
  <c r="V77" i="51"/>
  <c r="CH6" i="55"/>
  <c r="U13" i="55"/>
  <c r="U27" i="59" s="1"/>
  <c r="U12" i="55"/>
  <c r="U26" i="59" s="1"/>
  <c r="U53" i="59" s="1"/>
  <c r="U15" i="55"/>
  <c r="U29" i="59" s="1"/>
  <c r="U11" i="55"/>
  <c r="U16" i="55"/>
  <c r="U30" i="59" s="1"/>
  <c r="U14" i="55"/>
  <c r="U28" i="59" s="1"/>
  <c r="Z207" i="53"/>
  <c r="Z211" i="53" s="1"/>
  <c r="AA4" i="55"/>
  <c r="S256" i="53"/>
  <c r="T75" i="51"/>
  <c r="T76" i="51" s="1"/>
  <c r="AY14" i="55"/>
  <c r="AY28" i="59" s="1"/>
  <c r="AY151" i="59" s="1"/>
  <c r="AY12" i="55"/>
  <c r="AY26" i="59" s="1"/>
  <c r="AY53" i="59" s="1"/>
  <c r="AY13" i="55"/>
  <c r="AY27" i="59" s="1"/>
  <c r="AY150" i="59" s="1"/>
  <c r="AY11" i="55"/>
  <c r="AY16" i="55"/>
  <c r="AY30" i="59" s="1"/>
  <c r="AY15" i="55"/>
  <c r="AY29" i="59" s="1"/>
  <c r="AY152" i="59" s="1"/>
  <c r="T256" i="53"/>
  <c r="U75" i="51"/>
  <c r="U76" i="51" s="1"/>
  <c r="Y207" i="54"/>
  <c r="Y211" i="54" s="1"/>
  <c r="BF4" i="55"/>
  <c r="CH7" i="55"/>
  <c r="CI11" i="55"/>
  <c r="CI15" i="55"/>
  <c r="CI29" i="59" s="1"/>
  <c r="CI152" i="59" s="1"/>
  <c r="CI13" i="55"/>
  <c r="CI27" i="59" s="1"/>
  <c r="CI150" i="59" s="1"/>
  <c r="CI14" i="55"/>
  <c r="CI28" i="59" s="1"/>
  <c r="CI151" i="59" s="1"/>
  <c r="CI16" i="55"/>
  <c r="CI30" i="59" s="1"/>
  <c r="CI12" i="55"/>
  <c r="CI26" i="59" s="1"/>
  <c r="CI53" i="59" s="1"/>
  <c r="T10" i="55"/>
  <c r="T23" i="59" s="1"/>
  <c r="T146" i="59" s="1"/>
  <c r="W237" i="53"/>
  <c r="W238" i="53" s="1"/>
  <c r="AC52" i="51"/>
  <c r="AC54" i="51" s="1"/>
  <c r="AB37" i="53"/>
  <c r="BH52" i="51"/>
  <c r="BH54" i="51" s="1"/>
  <c r="AA37" i="54"/>
  <c r="U237" i="54"/>
  <c r="U238" i="54" s="1"/>
  <c r="U240" i="54" s="1"/>
  <c r="U239" i="54"/>
  <c r="Z162" i="53"/>
  <c r="AE160" i="54"/>
  <c r="BF67" i="51"/>
  <c r="BF70" i="51" s="1"/>
  <c r="Z70" i="51"/>
  <c r="X213" i="54"/>
  <c r="X212" i="54"/>
  <c r="X215" i="54"/>
  <c r="X214" i="54"/>
  <c r="Y81" i="54"/>
  <c r="Y165" i="54"/>
  <c r="AC48" i="51"/>
  <c r="AB36" i="53"/>
  <c r="AB42" i="53" s="1"/>
  <c r="W217" i="54"/>
  <c r="W216" i="54"/>
  <c r="AE24" i="51"/>
  <c r="BI55" i="51"/>
  <c r="AB39" i="54"/>
  <c r="AG45" i="54" s="1"/>
  <c r="AA67" i="51"/>
  <c r="Z79" i="53"/>
  <c r="U252" i="53"/>
  <c r="BG57" i="51"/>
  <c r="BG58" i="51" s="1"/>
  <c r="BG72" i="51" s="1"/>
  <c r="AA58" i="51"/>
  <c r="AA72" i="51" s="1"/>
  <c r="AD52" i="51"/>
  <c r="AD54" i="51" s="1"/>
  <c r="AC37" i="53"/>
  <c r="V199" i="54"/>
  <c r="V200" i="54" s="1"/>
  <c r="W166" i="54"/>
  <c r="CJ9" i="55" s="1"/>
  <c r="CJ22" i="59" s="1"/>
  <c r="CJ145" i="59" s="1"/>
  <c r="Z81" i="53"/>
  <c r="AA61" i="51" s="1"/>
  <c r="Z165" i="53"/>
  <c r="AA9" i="55" s="1"/>
  <c r="AA22" i="59" s="1"/>
  <c r="BE71" i="51"/>
  <c r="BE73" i="51" s="1"/>
  <c r="BE64" i="51"/>
  <c r="BH65" i="51"/>
  <c r="AA40" i="54"/>
  <c r="AF46" i="54" s="1"/>
  <c r="AF159" i="54" s="1"/>
  <c r="U204" i="54"/>
  <c r="U206" i="54"/>
  <c r="U205" i="54"/>
  <c r="U202" i="54"/>
  <c r="U203" i="54"/>
  <c r="U201" i="54"/>
  <c r="AA78" i="53"/>
  <c r="AA80" i="53"/>
  <c r="AA74" i="53"/>
  <c r="AA75" i="53" s="1"/>
  <c r="AB57" i="51" s="1"/>
  <c r="AA72" i="53"/>
  <c r="AA73" i="53" s="1"/>
  <c r="AB49" i="51" s="1"/>
  <c r="BH49" i="51" s="1"/>
  <c r="AA47" i="53"/>
  <c r="BI25" i="51"/>
  <c r="AD59" i="51"/>
  <c r="AC38" i="53"/>
  <c r="U220" i="54"/>
  <c r="U224" i="54" s="1"/>
  <c r="U221" i="54"/>
  <c r="X232" i="54"/>
  <c r="X233" i="54" s="1"/>
  <c r="X209" i="54"/>
  <c r="DQ172" i="55" s="1"/>
  <c r="Z47" i="54"/>
  <c r="Z162" i="54" s="1"/>
  <c r="Z72" i="54"/>
  <c r="Z73" i="54" s="1"/>
  <c r="Z80" i="54"/>
  <c r="Z78" i="54"/>
  <c r="Z79" i="54" s="1"/>
  <c r="Z74" i="54"/>
  <c r="Z75" i="54" s="1"/>
  <c r="AF141" i="54"/>
  <c r="AF142" i="54" s="1"/>
  <c r="AF137" i="54"/>
  <c r="AF138" i="54" s="1"/>
  <c r="AF139" i="54"/>
  <c r="AF140" i="54" s="1"/>
  <c r="Y232" i="53"/>
  <c r="Y233" i="53" s="1"/>
  <c r="Y209" i="53"/>
  <c r="BI59" i="51"/>
  <c r="AB38" i="54"/>
  <c r="AA51" i="51"/>
  <c r="BG51" i="51"/>
  <c r="BF61" i="51"/>
  <c r="Z71" i="51"/>
  <c r="Z73" i="51" s="1"/>
  <c r="Z64" i="51"/>
  <c r="AF138" i="53"/>
  <c r="AF160" i="53"/>
  <c r="AG66" i="51" s="1"/>
  <c r="BM66" i="51" s="1"/>
  <c r="AF142" i="53"/>
  <c r="AG69" i="51" s="1"/>
  <c r="BM69" i="51" s="1"/>
  <c r="AF140" i="53"/>
  <c r="AG63" i="51" s="1"/>
  <c r="BM63" i="51" s="1"/>
  <c r="AG137" i="53"/>
  <c r="AH56" i="51" s="1"/>
  <c r="AG139" i="53"/>
  <c r="AG141" i="53"/>
  <c r="X199" i="53"/>
  <c r="Y166" i="53"/>
  <c r="AD55" i="51"/>
  <c r="AC39" i="53"/>
  <c r="AG160" i="53"/>
  <c r="AH66" i="51" s="1"/>
  <c r="BN66" i="51" s="1"/>
  <c r="AD39" i="51"/>
  <c r="AE38" i="51"/>
  <c r="BI43" i="51"/>
  <c r="BI39" i="51"/>
  <c r="BI17" i="51"/>
  <c r="BK36" i="51"/>
  <c r="BK38" i="51" s="1"/>
  <c r="BK20" i="59" s="1"/>
  <c r="AD25" i="51"/>
  <c r="BJ29" i="51"/>
  <c r="BJ33" i="51"/>
  <c r="BJ35" i="51" s="1"/>
  <c r="BJ15" i="51"/>
  <c r="AF36" i="51"/>
  <c r="AF37" i="51" s="1"/>
  <c r="AF19" i="59" s="1"/>
  <c r="AE29" i="51"/>
  <c r="BJ21" i="51"/>
  <c r="AF13" i="51"/>
  <c r="AF12" i="59" s="1"/>
  <c r="AF14" i="51"/>
  <c r="AF13" i="59" s="1"/>
  <c r="BJ37" i="51"/>
  <c r="BJ19" i="59" s="1"/>
  <c r="BJ38" i="51"/>
  <c r="BJ20" i="59" s="1"/>
  <c r="AF19" i="51"/>
  <c r="AF8" i="59" s="1"/>
  <c r="BL18" i="51"/>
  <c r="AF22" i="51"/>
  <c r="AF10" i="59" s="1"/>
  <c r="AG18" i="51"/>
  <c r="AF23" i="51"/>
  <c r="AF11" i="59" s="1"/>
  <c r="AF20" i="51"/>
  <c r="AF9" i="59" s="1"/>
  <c r="BL12" i="51"/>
  <c r="AF28" i="51"/>
  <c r="AF15" i="59" s="1"/>
  <c r="AG26" i="51"/>
  <c r="AF27" i="51"/>
  <c r="AF14" i="59" s="1"/>
  <c r="BL26" i="51"/>
  <c r="BK13" i="51"/>
  <c r="BK12" i="59" s="1"/>
  <c r="BK14" i="51"/>
  <c r="BK13" i="59" s="1"/>
  <c r="AE15" i="51"/>
  <c r="AH10" i="51"/>
  <c r="BM10" i="51"/>
  <c r="AG12" i="51"/>
  <c r="BK31" i="51"/>
  <c r="BK16" i="59" s="1"/>
  <c r="BK34" i="51"/>
  <c r="BK18" i="59" s="1"/>
  <c r="BK32" i="51"/>
  <c r="BK17" i="59" s="1"/>
  <c r="BK23" i="51"/>
  <c r="BK11" i="59" s="1"/>
  <c r="BK22" i="51"/>
  <c r="BK10" i="59" s="1"/>
  <c r="BK19" i="51"/>
  <c r="BK8" i="59" s="1"/>
  <c r="BK20" i="51"/>
  <c r="BK9" i="59" s="1"/>
  <c r="BJ17" i="51"/>
  <c r="BJ24" i="51"/>
  <c r="AE33" i="51"/>
  <c r="AE35" i="51" s="1"/>
  <c r="AG30" i="51"/>
  <c r="BL30" i="51"/>
  <c r="AF31" i="51"/>
  <c r="AF16" i="59" s="1"/>
  <c r="AF34" i="51"/>
  <c r="AF18" i="59" s="1"/>
  <c r="AF32" i="51"/>
  <c r="AF17" i="59" s="1"/>
  <c r="BK28" i="51"/>
  <c r="BK15" i="59" s="1"/>
  <c r="BK27" i="51"/>
  <c r="BK14" i="59" s="1"/>
  <c r="AD43" i="51"/>
  <c r="AE21" i="51"/>
  <c r="BH46" i="51"/>
  <c r="BI44" i="51"/>
  <c r="R37" i="55" l="1"/>
  <c r="CF151" i="55"/>
  <c r="Q6" i="57"/>
  <c r="Q36" i="57"/>
  <c r="Q10" i="57"/>
  <c r="Q40" i="57"/>
  <c r="Q152" i="55"/>
  <c r="Q27" i="57"/>
  <c r="Q17" i="57"/>
  <c r="Q7" i="57"/>
  <c r="Q37" i="57"/>
  <c r="Q8" i="57"/>
  <c r="Q38" i="57"/>
  <c r="DE149" i="59"/>
  <c r="DE155" i="59" s="1"/>
  <c r="CE149" i="59"/>
  <c r="CE155" i="59" s="1"/>
  <c r="AX148" i="59"/>
  <c r="AX51" i="59"/>
  <c r="AX147" i="59"/>
  <c r="AU28" i="57"/>
  <c r="AU30" i="57" s="1"/>
  <c r="O158" i="55"/>
  <c r="DG158" i="55"/>
  <c r="AU8" i="57"/>
  <c r="AX154" i="59"/>
  <c r="O18" i="57"/>
  <c r="O20" i="57" s="1"/>
  <c r="O149" i="59" s="1"/>
  <c r="O155" i="59" s="1"/>
  <c r="N9" i="57"/>
  <c r="N39" i="57"/>
  <c r="N41" i="57" s="1"/>
  <c r="DG17" i="57"/>
  <c r="DG27" i="57"/>
  <c r="DG28" i="57"/>
  <c r="DG18" i="57"/>
  <c r="DG135" i="55"/>
  <c r="O28" i="57"/>
  <c r="O30" i="57" s="1"/>
  <c r="AU18" i="57"/>
  <c r="AU20" i="57" s="1"/>
  <c r="CF135" i="55"/>
  <c r="AX106" i="55"/>
  <c r="DJ106" i="55" s="1"/>
  <c r="AX83" i="55"/>
  <c r="DJ83" i="55" s="1"/>
  <c r="AX175" i="55"/>
  <c r="DJ175" i="55" s="1"/>
  <c r="R83" i="55"/>
  <c r="AX60" i="55"/>
  <c r="DJ60" i="55" s="1"/>
  <c r="AX37" i="55"/>
  <c r="DJ37" i="55" s="1"/>
  <c r="AX36" i="55"/>
  <c r="DJ36" i="55" s="1"/>
  <c r="Q5" i="57"/>
  <c r="Q35" i="57"/>
  <c r="Q4" i="57"/>
  <c r="Q34" i="57"/>
  <c r="AU158" i="55"/>
  <c r="R106" i="55"/>
  <c r="R175" i="55"/>
  <c r="AX59" i="55"/>
  <c r="DJ59" i="55" s="1"/>
  <c r="R60" i="55"/>
  <c r="V219" i="54"/>
  <c r="V218" i="54"/>
  <c r="AX94" i="59"/>
  <c r="AX122" i="59"/>
  <c r="AX95" i="59"/>
  <c r="AX123" i="59"/>
  <c r="AX82" i="55"/>
  <c r="DJ82" i="55" s="1"/>
  <c r="AX174" i="55"/>
  <c r="DJ174" i="55" s="1"/>
  <c r="DJ25" i="59"/>
  <c r="DJ53" i="59"/>
  <c r="DJ124" i="59"/>
  <c r="DJ97" i="59"/>
  <c r="DJ54" i="59"/>
  <c r="AX96" i="59"/>
  <c r="AX52" i="59"/>
  <c r="BI75" i="59"/>
  <c r="DJ19" i="55"/>
  <c r="DJ20" i="55"/>
  <c r="AX105" i="55"/>
  <c r="R105" i="55"/>
  <c r="R128" i="55" s="1"/>
  <c r="R82" i="55"/>
  <c r="R174" i="55"/>
  <c r="DJ151" i="59"/>
  <c r="DJ152" i="59"/>
  <c r="DJ101" i="59"/>
  <c r="DJ153" i="59"/>
  <c r="DJ154" i="59"/>
  <c r="DJ99" i="59"/>
  <c r="DJ126" i="59"/>
  <c r="DJ56" i="59"/>
  <c r="DH51" i="59"/>
  <c r="DH122" i="59"/>
  <c r="DH94" i="59"/>
  <c r="DJ100" i="59"/>
  <c r="DJ127" i="59"/>
  <c r="DJ57" i="59"/>
  <c r="DH52" i="59"/>
  <c r="DH123" i="59"/>
  <c r="DH95" i="59"/>
  <c r="DI148" i="59"/>
  <c r="DI147" i="59"/>
  <c r="DJ125" i="59"/>
  <c r="DJ98" i="59"/>
  <c r="DJ55" i="59"/>
  <c r="DJ24" i="59"/>
  <c r="DJ7" i="55"/>
  <c r="DJ6" i="55"/>
  <c r="CF6" i="57"/>
  <c r="CF36" i="57"/>
  <c r="V236" i="54"/>
  <c r="V239" i="54" s="1"/>
  <c r="CC41" i="57"/>
  <c r="CD39" i="57"/>
  <c r="R94" i="59"/>
  <c r="CE158" i="55"/>
  <c r="CE9" i="57" s="1"/>
  <c r="CF4" i="57"/>
  <c r="CF34" i="57"/>
  <c r="CF7" i="57"/>
  <c r="CF37" i="57"/>
  <c r="CE28" i="57"/>
  <c r="CE30" i="57" s="1"/>
  <c r="CF152" i="55"/>
  <c r="CF18" i="57" s="1"/>
  <c r="CF20" i="57" s="1"/>
  <c r="CF149" i="59" s="1"/>
  <c r="CF155" i="59" s="1"/>
  <c r="CF27" i="57"/>
  <c r="CE8" i="57"/>
  <c r="CE38" i="57"/>
  <c r="CF10" i="57"/>
  <c r="CF40" i="57"/>
  <c r="R122" i="59"/>
  <c r="DH96" i="59"/>
  <c r="CF5" i="57"/>
  <c r="CF35" i="57"/>
  <c r="R36" i="55"/>
  <c r="R59" i="55"/>
  <c r="R51" i="59"/>
  <c r="R147" i="59"/>
  <c r="S148" i="59"/>
  <c r="DI181" i="55"/>
  <c r="V239" i="53"/>
  <c r="V244" i="53" s="1"/>
  <c r="V237" i="53"/>
  <c r="V238" i="53" s="1"/>
  <c r="V240" i="53" s="1"/>
  <c r="V261" i="53" s="1"/>
  <c r="V220" i="53"/>
  <c r="V224" i="53" s="1"/>
  <c r="V221" i="53"/>
  <c r="AZ74" i="51"/>
  <c r="AZ76" i="51" s="1"/>
  <c r="AZ58" i="58" s="1"/>
  <c r="AZ10" i="55"/>
  <c r="S256" i="54"/>
  <c r="AZ77" i="51"/>
  <c r="AZ59" i="58" s="1"/>
  <c r="S262" i="54"/>
  <c r="AZ78" i="51" s="1"/>
  <c r="R96" i="59"/>
  <c r="R52" i="59"/>
  <c r="DH43" i="55"/>
  <c r="DH4" i="57" s="1"/>
  <c r="DH66" i="55"/>
  <c r="DH25" i="57"/>
  <c r="DH15" i="57"/>
  <c r="DH89" i="55"/>
  <c r="DH16" i="57"/>
  <c r="DH181" i="55"/>
  <c r="AV128" i="55"/>
  <c r="DH128" i="55" s="1"/>
  <c r="DH105" i="55"/>
  <c r="DH112" i="55" s="1"/>
  <c r="DH13" i="57"/>
  <c r="DH23" i="57"/>
  <c r="DH24" i="57"/>
  <c r="DH14" i="57"/>
  <c r="AV102" i="59"/>
  <c r="DF135" i="55"/>
  <c r="DH29" i="57"/>
  <c r="DH19" i="57"/>
  <c r="R32" i="59"/>
  <c r="DF158" i="55"/>
  <c r="AV13" i="57"/>
  <c r="AV23" i="57"/>
  <c r="R95" i="59"/>
  <c r="AV66" i="55"/>
  <c r="AV112" i="55"/>
  <c r="AV24" i="57"/>
  <c r="AV14" i="57"/>
  <c r="AV29" i="57"/>
  <c r="AV19" i="57"/>
  <c r="AV25" i="57"/>
  <c r="AV15" i="57"/>
  <c r="AV129" i="55"/>
  <c r="DH129" i="55" s="1"/>
  <c r="AV26" i="57"/>
  <c r="AV16" i="57"/>
  <c r="R123" i="59"/>
  <c r="AV181" i="55"/>
  <c r="AV43" i="55"/>
  <c r="AV89" i="55"/>
  <c r="T262" i="54"/>
  <c r="BA78" i="51" s="1"/>
  <c r="BA77" i="51"/>
  <c r="BH51" i="51"/>
  <c r="W240" i="53"/>
  <c r="T252" i="54"/>
  <c r="AA80" i="54"/>
  <c r="AA74" i="54"/>
  <c r="AA75" i="54" s="1"/>
  <c r="AA78" i="54"/>
  <c r="AA79" i="54" s="1"/>
  <c r="AA72" i="54"/>
  <c r="AA73" i="54" s="1"/>
  <c r="AA47" i="54"/>
  <c r="AA162" i="54" s="1"/>
  <c r="X217" i="53"/>
  <c r="X216" i="53"/>
  <c r="W221" i="53"/>
  <c r="W220" i="53"/>
  <c r="W224" i="53" s="1"/>
  <c r="Y212" i="53"/>
  <c r="Y213" i="53"/>
  <c r="Y215" i="53"/>
  <c r="Y214" i="53"/>
  <c r="X223" i="53"/>
  <c r="X222" i="53"/>
  <c r="X234" i="53" s="1"/>
  <c r="X235" i="53" s="1"/>
  <c r="W223" i="54"/>
  <c r="AD46" i="51"/>
  <c r="S135" i="55"/>
  <c r="AT8" i="57"/>
  <c r="AT38" i="57"/>
  <c r="AT158" i="55"/>
  <c r="BE92" i="59"/>
  <c r="AY93" i="59"/>
  <c r="AA145" i="59"/>
  <c r="W226" i="54"/>
  <c r="BD176" i="55" s="1"/>
  <c r="DP176" i="55" s="1"/>
  <c r="Z208" i="53"/>
  <c r="W227" i="54"/>
  <c r="BD177" i="55" s="1"/>
  <c r="DP177" i="55" s="1"/>
  <c r="W229" i="54"/>
  <c r="BD179" i="55" s="1"/>
  <c r="DP179" i="55" s="1"/>
  <c r="W228" i="54"/>
  <c r="BD178" i="55" s="1"/>
  <c r="DP178" i="55" s="1"/>
  <c r="X230" i="53"/>
  <c r="Y180" i="55" s="1"/>
  <c r="W225" i="54"/>
  <c r="X228" i="53"/>
  <c r="Y178" i="55" s="1"/>
  <c r="X225" i="53"/>
  <c r="CH147" i="59"/>
  <c r="AF44" i="59"/>
  <c r="AF87" i="59"/>
  <c r="AF114" i="59"/>
  <c r="AF70" i="59"/>
  <c r="AF84" i="59"/>
  <c r="AF111" i="59"/>
  <c r="AF41" i="59"/>
  <c r="AF67" i="59"/>
  <c r="CI101" i="59"/>
  <c r="CI153" i="59"/>
  <c r="AD91" i="59"/>
  <c r="AD118" i="59"/>
  <c r="AD48" i="59"/>
  <c r="AD74" i="59"/>
  <c r="AD75" i="59" s="1"/>
  <c r="BK41" i="59"/>
  <c r="BK67" i="59"/>
  <c r="BK111" i="59"/>
  <c r="BK84" i="59"/>
  <c r="AF40" i="59"/>
  <c r="AF83" i="59"/>
  <c r="AF110" i="59"/>
  <c r="AF66" i="59"/>
  <c r="BK91" i="59"/>
  <c r="BK118" i="59"/>
  <c r="BK48" i="59"/>
  <c r="BK74" i="59"/>
  <c r="AY101" i="59"/>
  <c r="AY153" i="59"/>
  <c r="U146" i="59"/>
  <c r="BK83" i="59"/>
  <c r="BK110" i="59"/>
  <c r="BK40" i="59"/>
  <c r="BK66" i="59"/>
  <c r="BK46" i="59"/>
  <c r="BK89" i="59"/>
  <c r="BK116" i="59"/>
  <c r="BK72" i="59"/>
  <c r="U101" i="59"/>
  <c r="BK85" i="59"/>
  <c r="BK112" i="59"/>
  <c r="BK42" i="59"/>
  <c r="BK68" i="59"/>
  <c r="BJ25" i="51"/>
  <c r="BK44" i="59"/>
  <c r="BK87" i="59"/>
  <c r="BK114" i="59"/>
  <c r="BK70" i="59"/>
  <c r="AF85" i="59"/>
  <c r="AF42" i="59"/>
  <c r="AF112" i="59"/>
  <c r="AF68" i="59"/>
  <c r="AF90" i="59"/>
  <c r="AF117" i="59"/>
  <c r="AF73" i="59"/>
  <c r="AF47" i="59"/>
  <c r="CI24" i="59"/>
  <c r="U24" i="59"/>
  <c r="DJ150" i="59"/>
  <c r="BK88" i="59"/>
  <c r="BK115" i="59"/>
  <c r="BK45" i="59"/>
  <c r="BK71" i="59"/>
  <c r="BK113" i="59"/>
  <c r="BK43" i="59"/>
  <c r="BK69" i="59"/>
  <c r="BK86" i="59"/>
  <c r="AE39" i="51"/>
  <c r="AE65" i="51" s="1"/>
  <c r="AE20" i="59"/>
  <c r="AF88" i="59"/>
  <c r="AF115" i="59"/>
  <c r="AF45" i="59"/>
  <c r="AF71" i="59"/>
  <c r="AF113" i="59"/>
  <c r="AF43" i="59"/>
  <c r="AF69" i="59"/>
  <c r="AF86" i="59"/>
  <c r="BJ74" i="59"/>
  <c r="BJ91" i="59"/>
  <c r="BJ118" i="59"/>
  <c r="BJ48" i="59"/>
  <c r="AF46" i="59"/>
  <c r="AF89" i="59"/>
  <c r="AF116" i="59"/>
  <c r="AF72" i="59"/>
  <c r="BJ90" i="59"/>
  <c r="BJ117" i="59"/>
  <c r="BJ73" i="59"/>
  <c r="BJ47" i="59"/>
  <c r="CH36" i="55"/>
  <c r="DQ49" i="59"/>
  <c r="DQ92" i="59"/>
  <c r="DQ120" i="59"/>
  <c r="CH37" i="55"/>
  <c r="CH13" i="57" s="1"/>
  <c r="DI55" i="59"/>
  <c r="DI98" i="59"/>
  <c r="DI125" i="59"/>
  <c r="CH83" i="55"/>
  <c r="CH15" i="57" s="1"/>
  <c r="CH106" i="55"/>
  <c r="CH16" i="57" s="1"/>
  <c r="BN56" i="51"/>
  <c r="CG43" i="55"/>
  <c r="CG34" i="57" s="1"/>
  <c r="CH60" i="55"/>
  <c r="CH14" i="57" s="1"/>
  <c r="CH174" i="55"/>
  <c r="CH181" i="55" s="1"/>
  <c r="DK50" i="59"/>
  <c r="DK93" i="59"/>
  <c r="DK121" i="59"/>
  <c r="DK31" i="59"/>
  <c r="DK154" i="59" s="1"/>
  <c r="DI51" i="59"/>
  <c r="DI122" i="59"/>
  <c r="DI94" i="59"/>
  <c r="U11" i="58"/>
  <c r="U6" i="58"/>
  <c r="W206" i="53"/>
  <c r="CJ180" i="55" s="1"/>
  <c r="CG66" i="55"/>
  <c r="CG5" i="57" s="1"/>
  <c r="DI52" i="59"/>
  <c r="DI123" i="59"/>
  <c r="DI95" i="59"/>
  <c r="DI96" i="59"/>
  <c r="AA49" i="59"/>
  <c r="Z49" i="59"/>
  <c r="AY50" i="59"/>
  <c r="AY24" i="59"/>
  <c r="AY31" i="59"/>
  <c r="AY154" i="59" s="1"/>
  <c r="T50" i="59"/>
  <c r="T31" i="59"/>
  <c r="T154" i="59" s="1"/>
  <c r="CJ120" i="59"/>
  <c r="CJ49" i="59"/>
  <c r="CJ31" i="59"/>
  <c r="CJ154" i="59" s="1"/>
  <c r="CH96" i="59"/>
  <c r="CH52" i="59"/>
  <c r="BE49" i="59"/>
  <c r="DI66" i="55"/>
  <c r="DI35" i="57" s="1"/>
  <c r="AF79" i="59"/>
  <c r="AF106" i="59"/>
  <c r="AF36" i="59"/>
  <c r="AF62" i="59"/>
  <c r="BK80" i="59"/>
  <c r="BK107" i="59"/>
  <c r="BK37" i="59"/>
  <c r="BK63" i="59"/>
  <c r="BK81" i="59"/>
  <c r="BK108" i="59"/>
  <c r="BK38" i="59"/>
  <c r="BK64" i="59"/>
  <c r="BK39" i="59"/>
  <c r="BK82" i="59"/>
  <c r="BK109" i="59"/>
  <c r="BK65" i="59"/>
  <c r="AF39" i="59"/>
  <c r="AF82" i="59"/>
  <c r="AF109" i="59"/>
  <c r="AF65" i="59"/>
  <c r="BK36" i="59"/>
  <c r="BK79" i="59"/>
  <c r="BK106" i="59"/>
  <c r="BK62" i="59"/>
  <c r="AF80" i="59"/>
  <c r="AF107" i="59"/>
  <c r="AF37" i="59"/>
  <c r="AF63" i="59"/>
  <c r="AF38" i="59"/>
  <c r="AF81" i="59"/>
  <c r="AF108" i="59"/>
  <c r="AF64" i="59"/>
  <c r="BE120" i="59"/>
  <c r="AY121" i="59"/>
  <c r="DI13" i="57"/>
  <c r="DI23" i="57"/>
  <c r="CG29" i="57"/>
  <c r="DK13" i="55"/>
  <c r="DK27" i="59" s="1"/>
  <c r="DK150" i="59" s="1"/>
  <c r="DK14" i="55"/>
  <c r="DK28" i="59" s="1"/>
  <c r="DK151" i="59" s="1"/>
  <c r="DK11" i="55"/>
  <c r="DK16" i="55"/>
  <c r="DK30" i="59" s="1"/>
  <c r="DK12" i="55"/>
  <c r="DK26" i="59" s="1"/>
  <c r="DK15" i="55"/>
  <c r="DK29" i="59" s="1"/>
  <c r="DK152" i="59" s="1"/>
  <c r="DI14" i="57"/>
  <c r="DI24" i="57"/>
  <c r="DI29" i="57"/>
  <c r="DI19" i="57"/>
  <c r="DI25" i="57"/>
  <c r="DI15" i="57"/>
  <c r="DF28" i="57"/>
  <c r="DF18" i="57"/>
  <c r="CG23" i="57"/>
  <c r="DI89" i="55"/>
  <c r="DI16" i="57"/>
  <c r="DF27" i="57"/>
  <c r="DF17" i="57"/>
  <c r="DI43" i="55"/>
  <c r="AW128" i="55"/>
  <c r="DI128" i="55" s="1"/>
  <c r="DI105" i="55"/>
  <c r="DI112" i="55" s="1"/>
  <c r="BF22" i="59"/>
  <c r="BF145" i="59" s="1"/>
  <c r="DR9" i="55"/>
  <c r="DR22" i="59" s="1"/>
  <c r="DR145" i="59" s="1"/>
  <c r="CH105" i="55"/>
  <c r="CH128" i="55" s="1"/>
  <c r="CG24" i="57"/>
  <c r="CG40" i="57"/>
  <c r="W204" i="53"/>
  <c r="CJ178" i="55" s="1"/>
  <c r="W201" i="53"/>
  <c r="X229" i="53"/>
  <c r="Y179" i="55" s="1"/>
  <c r="P35" i="57"/>
  <c r="X227" i="53"/>
  <c r="Y177" i="55" s="1"/>
  <c r="W203" i="53"/>
  <c r="CJ177" i="55" s="1"/>
  <c r="W202" i="53"/>
  <c r="CJ176" i="55" s="1"/>
  <c r="CG89" i="55"/>
  <c r="CG36" i="57" s="1"/>
  <c r="CG112" i="55"/>
  <c r="CH59" i="55"/>
  <c r="CH82" i="55"/>
  <c r="AW89" i="55"/>
  <c r="AW6" i="57" s="1"/>
  <c r="CG25" i="57"/>
  <c r="CG6" i="57"/>
  <c r="P8" i="57"/>
  <c r="P38" i="57"/>
  <c r="Z120" i="59"/>
  <c r="P152" i="55"/>
  <c r="P27" i="57"/>
  <c r="P17" i="57"/>
  <c r="AW24" i="57"/>
  <c r="AW14" i="57"/>
  <c r="AT28" i="57"/>
  <c r="AT30" i="57" s="1"/>
  <c r="AT18" i="57"/>
  <c r="AT20" i="57" s="1"/>
  <c r="AT149" i="59" s="1"/>
  <c r="AT155" i="59" s="1"/>
  <c r="P4" i="57"/>
  <c r="P34" i="57"/>
  <c r="S7" i="57"/>
  <c r="S37" i="57"/>
  <c r="AW19" i="57"/>
  <c r="AW29" i="57"/>
  <c r="AA120" i="59"/>
  <c r="AW23" i="57"/>
  <c r="AW13" i="57"/>
  <c r="AW25" i="57"/>
  <c r="AW15" i="57"/>
  <c r="S10" i="57"/>
  <c r="S40" i="57"/>
  <c r="AW129" i="55"/>
  <c r="DI129" i="55" s="1"/>
  <c r="AW26" i="57"/>
  <c r="AW16" i="57"/>
  <c r="P6" i="57"/>
  <c r="P36" i="57"/>
  <c r="S152" i="55"/>
  <c r="S158" i="55" s="1"/>
  <c r="S27" i="57"/>
  <c r="S17" i="57"/>
  <c r="S6" i="57"/>
  <c r="S36" i="57"/>
  <c r="P10" i="57"/>
  <c r="P40" i="57"/>
  <c r="P7" i="57"/>
  <c r="P37" i="57"/>
  <c r="CG129" i="55"/>
  <c r="CG26" i="57"/>
  <c r="T121" i="59"/>
  <c r="S4" i="57"/>
  <c r="S34" i="57"/>
  <c r="S5" i="57"/>
  <c r="S35" i="57"/>
  <c r="U98" i="59"/>
  <c r="U125" i="59"/>
  <c r="CG128" i="59"/>
  <c r="CH94" i="59"/>
  <c r="CH122" i="59"/>
  <c r="CI97" i="59"/>
  <c r="CI124" i="59"/>
  <c r="CI99" i="59"/>
  <c r="CI126" i="59"/>
  <c r="CI98" i="59"/>
  <c r="CI125" i="59"/>
  <c r="CI100" i="59"/>
  <c r="CI127" i="59"/>
  <c r="AY98" i="59"/>
  <c r="AY125" i="59"/>
  <c r="CH95" i="59"/>
  <c r="CH123" i="59"/>
  <c r="AY97" i="59"/>
  <c r="AY124" i="59"/>
  <c r="AY99" i="59"/>
  <c r="AY126" i="59"/>
  <c r="U100" i="59"/>
  <c r="U127" i="59"/>
  <c r="AY100" i="59"/>
  <c r="AY127" i="59"/>
  <c r="U99" i="59"/>
  <c r="U126" i="59"/>
  <c r="U97" i="59"/>
  <c r="U124" i="59"/>
  <c r="CJ92" i="59"/>
  <c r="AA92" i="59"/>
  <c r="T93" i="59"/>
  <c r="Z92" i="59"/>
  <c r="CG58" i="59"/>
  <c r="CG102" i="59"/>
  <c r="U56" i="59"/>
  <c r="AY54" i="59"/>
  <c r="AW102" i="59"/>
  <c r="CI56" i="59"/>
  <c r="CI57" i="59"/>
  <c r="U54" i="59"/>
  <c r="AY56" i="59"/>
  <c r="CI54" i="59"/>
  <c r="U55" i="59"/>
  <c r="CI55" i="59"/>
  <c r="AY55" i="59"/>
  <c r="U57" i="59"/>
  <c r="AY57" i="59"/>
  <c r="AY25" i="59"/>
  <c r="AY148" i="59" s="1"/>
  <c r="AW181" i="55"/>
  <c r="CI19" i="55"/>
  <c r="CI175" i="55" s="1"/>
  <c r="CI19" i="57" s="1"/>
  <c r="CI25" i="59"/>
  <c r="CI148" i="59" s="1"/>
  <c r="U25" i="59"/>
  <c r="V59" i="58"/>
  <c r="U58" i="58"/>
  <c r="U5" i="58" s="1"/>
  <c r="T58" i="58"/>
  <c r="T5" i="58" s="1"/>
  <c r="AW112" i="55"/>
  <c r="X210" i="54"/>
  <c r="BE172" i="55"/>
  <c r="CG151" i="55"/>
  <c r="Y210" i="53"/>
  <c r="Y229" i="53" s="1"/>
  <c r="Z179" i="55" s="1"/>
  <c r="Z172" i="55"/>
  <c r="X200" i="53"/>
  <c r="X206" i="53" s="1"/>
  <c r="CK180" i="55" s="1"/>
  <c r="CK172" i="55"/>
  <c r="Y208" i="54"/>
  <c r="AE25" i="51"/>
  <c r="AW66" i="55"/>
  <c r="AW43" i="55"/>
  <c r="U256" i="53"/>
  <c r="V74" i="51"/>
  <c r="V76" i="51" s="1"/>
  <c r="V10" i="55"/>
  <c r="V23" i="59" s="1"/>
  <c r="V146" i="59" s="1"/>
  <c r="Z207" i="54"/>
  <c r="BG4" i="55"/>
  <c r="CJ13" i="55"/>
  <c r="CJ27" i="59" s="1"/>
  <c r="CJ150" i="59" s="1"/>
  <c r="CJ12" i="55"/>
  <c r="CJ26" i="59" s="1"/>
  <c r="CJ53" i="59" s="1"/>
  <c r="CJ16" i="55"/>
  <c r="CJ30" i="59" s="1"/>
  <c r="CJ14" i="55"/>
  <c r="CJ28" i="59" s="1"/>
  <c r="CJ151" i="59" s="1"/>
  <c r="CJ11" i="55"/>
  <c r="CJ15" i="55"/>
  <c r="CJ29" i="59" s="1"/>
  <c r="CJ152" i="59" s="1"/>
  <c r="AA207" i="53"/>
  <c r="AA208" i="53" s="1"/>
  <c r="AB4" i="55"/>
  <c r="CI7" i="55"/>
  <c r="AY6" i="55"/>
  <c r="AY19" i="55"/>
  <c r="AY20" i="55"/>
  <c r="U19" i="55"/>
  <c r="U20" i="55"/>
  <c r="AY7" i="55"/>
  <c r="T14" i="55"/>
  <c r="T28" i="59" s="1"/>
  <c r="T151" i="59" s="1"/>
  <c r="T13" i="55"/>
  <c r="T27" i="59" s="1"/>
  <c r="T150" i="59" s="1"/>
  <c r="T12" i="55"/>
  <c r="T26" i="59" s="1"/>
  <c r="T53" i="59" s="1"/>
  <c r="T16" i="55"/>
  <c r="T30" i="59" s="1"/>
  <c r="T11" i="55"/>
  <c r="T15" i="55"/>
  <c r="T29" i="59" s="1"/>
  <c r="T152" i="59" s="1"/>
  <c r="U6" i="55"/>
  <c r="AB51" i="51"/>
  <c r="U7" i="55"/>
  <c r="BG9" i="55"/>
  <c r="CI6" i="55"/>
  <c r="AE59" i="51"/>
  <c r="AD38" i="53"/>
  <c r="BI65" i="51"/>
  <c r="AB40" i="54"/>
  <c r="AG46" i="54" s="1"/>
  <c r="AG159" i="54" s="1"/>
  <c r="AA162" i="53"/>
  <c r="BG61" i="51"/>
  <c r="AA71" i="51"/>
  <c r="AA73" i="51" s="1"/>
  <c r="AA64" i="51"/>
  <c r="X166" i="54"/>
  <c r="CK9" i="55" s="1"/>
  <c r="CK22" i="59" s="1"/>
  <c r="CK145" i="59" s="1"/>
  <c r="W199" i="54"/>
  <c r="W200" i="54" s="1"/>
  <c r="W236" i="54"/>
  <c r="Y232" i="54"/>
  <c r="Y233" i="54" s="1"/>
  <c r="Y209" i="54"/>
  <c r="DR172" i="55" s="1"/>
  <c r="BF71" i="51"/>
  <c r="BF73" i="51" s="1"/>
  <c r="BF64" i="51"/>
  <c r="V205" i="54"/>
  <c r="V202" i="54"/>
  <c r="V203" i="54"/>
  <c r="V206" i="54"/>
  <c r="V204" i="54"/>
  <c r="V201" i="54"/>
  <c r="W219" i="54"/>
  <c r="W218" i="54"/>
  <c r="BJ52" i="51"/>
  <c r="BJ54" i="51" s="1"/>
  <c r="AC37" i="54"/>
  <c r="BJ55" i="51"/>
  <c r="AC39" i="54"/>
  <c r="Z81" i="54"/>
  <c r="Z165" i="54"/>
  <c r="BH57" i="51"/>
  <c r="BH58" i="51" s="1"/>
  <c r="BH72" i="51" s="1"/>
  <c r="AB58" i="51"/>
  <c r="AB72" i="51" s="1"/>
  <c r="X217" i="54"/>
  <c r="X216" i="54"/>
  <c r="W252" i="53"/>
  <c r="BJ59" i="51"/>
  <c r="AC38" i="54"/>
  <c r="AA81" i="53"/>
  <c r="AB61" i="51" s="1"/>
  <c r="AA165" i="53"/>
  <c r="AB9" i="55" s="1"/>
  <c r="BG67" i="51"/>
  <c r="BG70" i="51" s="1"/>
  <c r="AA70" i="51"/>
  <c r="Z213" i="53"/>
  <c r="Z215" i="53"/>
  <c r="Z214" i="53"/>
  <c r="Z212" i="53"/>
  <c r="X223" i="54"/>
  <c r="X222" i="54"/>
  <c r="X234" i="54" s="1"/>
  <c r="X235" i="54" s="1"/>
  <c r="AD48" i="51"/>
  <c r="AC36" i="53"/>
  <c r="AC42" i="53" s="1"/>
  <c r="AB67" i="51"/>
  <c r="AA79" i="53"/>
  <c r="AB80" i="53"/>
  <c r="AB74" i="53"/>
  <c r="AB75" i="53" s="1"/>
  <c r="AC57" i="51" s="1"/>
  <c r="AB78" i="53"/>
  <c r="AB72" i="53"/>
  <c r="AB73" i="53" s="1"/>
  <c r="AC49" i="51" s="1"/>
  <c r="BI49" i="51" s="1"/>
  <c r="AB47" i="53"/>
  <c r="AF160" i="54"/>
  <c r="AG139" i="54"/>
  <c r="AG140" i="54" s="1"/>
  <c r="AG141" i="54"/>
  <c r="AG142" i="54" s="1"/>
  <c r="AG137" i="54"/>
  <c r="AG138" i="54" s="1"/>
  <c r="U261" i="54"/>
  <c r="U244" i="54"/>
  <c r="BI52" i="51"/>
  <c r="BI54" i="51" s="1"/>
  <c r="AB37" i="54"/>
  <c r="BI48" i="51"/>
  <c r="AB36" i="54"/>
  <c r="AB42" i="54" s="1"/>
  <c r="Y214" i="54"/>
  <c r="Y213" i="54"/>
  <c r="Y212" i="54"/>
  <c r="Y215" i="54"/>
  <c r="Z209" i="53"/>
  <c r="Z232" i="53"/>
  <c r="Z233" i="53" s="1"/>
  <c r="AG142" i="53"/>
  <c r="AH69" i="51" s="1"/>
  <c r="BN69" i="51" s="1"/>
  <c r="AD65" i="51"/>
  <c r="AC40" i="53"/>
  <c r="AG140" i="53"/>
  <c r="AH63" i="51" s="1"/>
  <c r="BN63" i="51" s="1"/>
  <c r="AG138" i="53"/>
  <c r="AE55" i="51"/>
  <c r="AD39" i="53"/>
  <c r="Y199" i="53"/>
  <c r="Z166" i="53"/>
  <c r="AE44" i="51"/>
  <c r="AF38" i="51"/>
  <c r="BI46" i="51"/>
  <c r="BJ43" i="51"/>
  <c r="BK29" i="51"/>
  <c r="AF29" i="51"/>
  <c r="BK37" i="51"/>
  <c r="AF33" i="51"/>
  <c r="AF35" i="51" s="1"/>
  <c r="AF15" i="51"/>
  <c r="AF17" i="51" s="1"/>
  <c r="AF24" i="51"/>
  <c r="AG36" i="51"/>
  <c r="AG37" i="51" s="1"/>
  <c r="AG19" i="59" s="1"/>
  <c r="AF21" i="51"/>
  <c r="BJ39" i="51"/>
  <c r="BK21" i="51"/>
  <c r="BL13" i="51"/>
  <c r="BL12" i="59" s="1"/>
  <c r="BL14" i="51"/>
  <c r="BL13" i="59" s="1"/>
  <c r="AG20" i="51"/>
  <c r="AG9" i="59" s="1"/>
  <c r="AG23" i="51"/>
  <c r="AG11" i="59" s="1"/>
  <c r="AH18" i="51"/>
  <c r="AG19" i="51"/>
  <c r="AG8" i="59" s="1"/>
  <c r="BM18" i="51"/>
  <c r="AG22" i="51"/>
  <c r="AG10" i="59" s="1"/>
  <c r="BL32" i="51"/>
  <c r="BL17" i="59" s="1"/>
  <c r="BL34" i="51"/>
  <c r="BL18" i="59" s="1"/>
  <c r="BL31" i="51"/>
  <c r="BL16" i="59" s="1"/>
  <c r="AG14" i="51"/>
  <c r="AG13" i="59" s="1"/>
  <c r="AG13" i="51"/>
  <c r="AG12" i="59" s="1"/>
  <c r="BK15" i="51"/>
  <c r="AG28" i="51"/>
  <c r="AG15" i="59" s="1"/>
  <c r="AG27" i="51"/>
  <c r="AG14" i="59" s="1"/>
  <c r="AH26" i="51"/>
  <c r="BM26" i="51"/>
  <c r="BJ44" i="51"/>
  <c r="AH30" i="51"/>
  <c r="BM30" i="51"/>
  <c r="AG32" i="51"/>
  <c r="AG17" i="59" s="1"/>
  <c r="AG31" i="51"/>
  <c r="AG16" i="59" s="1"/>
  <c r="AG34" i="51"/>
  <c r="AG18" i="59" s="1"/>
  <c r="BM12" i="51"/>
  <c r="AE43" i="51"/>
  <c r="AE17" i="51"/>
  <c r="BL20" i="51"/>
  <c r="BL9" i="59" s="1"/>
  <c r="BL19" i="51"/>
  <c r="BL8" i="59" s="1"/>
  <c r="BL23" i="51"/>
  <c r="BL11" i="59" s="1"/>
  <c r="BL22" i="51"/>
  <c r="BL10" i="59" s="1"/>
  <c r="BK24" i="51"/>
  <c r="BK33" i="51"/>
  <c r="BK35" i="51" s="1"/>
  <c r="AH12" i="51"/>
  <c r="BN10" i="51"/>
  <c r="BL28" i="51"/>
  <c r="BL15" i="59" s="1"/>
  <c r="BL27" i="51"/>
  <c r="BL14" i="59" s="1"/>
  <c r="BL36" i="51"/>
  <c r="R13" i="57" l="1"/>
  <c r="O9" i="57"/>
  <c r="O39" i="57"/>
  <c r="O41" i="57" s="1"/>
  <c r="CH24" i="57"/>
  <c r="DG39" i="57"/>
  <c r="DG9" i="57"/>
  <c r="Q28" i="57"/>
  <c r="Q30" i="57" s="1"/>
  <c r="Q18" i="57"/>
  <c r="Q20" i="57" s="1"/>
  <c r="Q158" i="55"/>
  <c r="DJ148" i="59"/>
  <c r="DJ147" i="59"/>
  <c r="AU9" i="57"/>
  <c r="AX25" i="57"/>
  <c r="R181" i="55"/>
  <c r="DH128" i="59"/>
  <c r="AX66" i="55"/>
  <c r="CF38" i="57"/>
  <c r="R15" i="57"/>
  <c r="AX15" i="57"/>
  <c r="DJ51" i="59"/>
  <c r="DJ122" i="59"/>
  <c r="DJ94" i="59"/>
  <c r="DJ52" i="59"/>
  <c r="DJ95" i="59"/>
  <c r="DJ123" i="59"/>
  <c r="DJ96" i="59"/>
  <c r="DJ43" i="55"/>
  <c r="DJ4" i="57" s="1"/>
  <c r="DG30" i="57"/>
  <c r="DG20" i="57"/>
  <c r="DJ66" i="55"/>
  <c r="AX24" i="57"/>
  <c r="AX19" i="57"/>
  <c r="AU39" i="57"/>
  <c r="AX129" i="55"/>
  <c r="AX16" i="57"/>
  <c r="DJ181" i="55"/>
  <c r="DJ10" i="57" s="1"/>
  <c r="DJ89" i="55"/>
  <c r="DJ13" i="57"/>
  <c r="DJ23" i="57"/>
  <c r="AX128" i="55"/>
  <c r="DJ128" i="55" s="1"/>
  <c r="DJ105" i="55"/>
  <c r="DJ112" i="55" s="1"/>
  <c r="DJ29" i="57"/>
  <c r="DJ19" i="57"/>
  <c r="DJ15" i="57"/>
  <c r="DJ14" i="57"/>
  <c r="DJ24" i="57"/>
  <c r="DJ16" i="57"/>
  <c r="DG38" i="57"/>
  <c r="DG8" i="57"/>
  <c r="AX14" i="57"/>
  <c r="CF8" i="57"/>
  <c r="R25" i="57"/>
  <c r="AX29" i="57"/>
  <c r="AX26" i="57"/>
  <c r="AX23" i="57"/>
  <c r="R151" i="55"/>
  <c r="AX13" i="57"/>
  <c r="R24" i="57"/>
  <c r="R14" i="57"/>
  <c r="AX181" i="55"/>
  <c r="AX43" i="55"/>
  <c r="R112" i="55"/>
  <c r="AX89" i="55"/>
  <c r="AX112" i="55"/>
  <c r="R89" i="55"/>
  <c r="CD41" i="57"/>
  <c r="R29" i="57"/>
  <c r="R19" i="57"/>
  <c r="CF28" i="57"/>
  <c r="CF30" i="57" s="1"/>
  <c r="CH129" i="55"/>
  <c r="CH17" i="57" s="1"/>
  <c r="R129" i="55"/>
  <c r="R135" i="55" s="1"/>
  <c r="R26" i="57"/>
  <c r="R16" i="57"/>
  <c r="CH23" i="57"/>
  <c r="CH10" i="57"/>
  <c r="CH40" i="57"/>
  <c r="DJ25" i="57"/>
  <c r="V237" i="54"/>
  <c r="V238" i="54" s="1"/>
  <c r="V240" i="54" s="1"/>
  <c r="V261" i="54" s="1"/>
  <c r="V244" i="54"/>
  <c r="V245" i="54" s="1"/>
  <c r="V254" i="54" s="1"/>
  <c r="BC75" i="51" s="1"/>
  <c r="V220" i="54"/>
  <c r="V224" i="54" s="1"/>
  <c r="V221" i="54"/>
  <c r="P158" i="55"/>
  <c r="DH58" i="59"/>
  <c r="AX102" i="59"/>
  <c r="AV151" i="55"/>
  <c r="DH151" i="55" s="1"/>
  <c r="AV135" i="55"/>
  <c r="DH102" i="59"/>
  <c r="CE39" i="57"/>
  <c r="CE41" i="57" s="1"/>
  <c r="CF158" i="55"/>
  <c r="CH29" i="57"/>
  <c r="R23" i="57"/>
  <c r="CG7" i="57"/>
  <c r="CG37" i="57"/>
  <c r="CH43" i="55"/>
  <c r="X201" i="53"/>
  <c r="R43" i="55"/>
  <c r="R66" i="55"/>
  <c r="W261" i="53"/>
  <c r="AZ11" i="58"/>
  <c r="AZ6" i="58"/>
  <c r="DI40" i="57"/>
  <c r="DI10" i="57"/>
  <c r="V245" i="53"/>
  <c r="V254" i="53" s="1"/>
  <c r="W75" i="51" s="1"/>
  <c r="W77" i="51"/>
  <c r="W59" i="58" s="1"/>
  <c r="V262" i="53"/>
  <c r="W78" i="51" s="1"/>
  <c r="AZ12" i="55"/>
  <c r="AZ26" i="59" s="1"/>
  <c r="AZ15" i="55"/>
  <c r="AZ29" i="59" s="1"/>
  <c r="AZ16" i="55"/>
  <c r="AZ30" i="59" s="1"/>
  <c r="AZ13" i="55"/>
  <c r="AZ11" i="55"/>
  <c r="AZ14" i="55"/>
  <c r="AZ28" i="59" s="1"/>
  <c r="DL10" i="55"/>
  <c r="AZ23" i="59"/>
  <c r="DH34" i="57"/>
  <c r="DF38" i="57"/>
  <c r="DF8" i="57"/>
  <c r="DH135" i="55"/>
  <c r="DH36" i="57"/>
  <c r="DH6" i="57"/>
  <c r="DH10" i="57"/>
  <c r="DH26" i="57"/>
  <c r="AV7" i="57"/>
  <c r="BH4" i="55"/>
  <c r="DF39" i="57"/>
  <c r="DF9" i="57"/>
  <c r="DH17" i="57"/>
  <c r="DH27" i="57"/>
  <c r="DH35" i="57"/>
  <c r="DH5" i="57"/>
  <c r="DH37" i="57"/>
  <c r="DH7" i="57"/>
  <c r="DH40" i="57"/>
  <c r="AV10" i="57"/>
  <c r="AV37" i="57"/>
  <c r="R58" i="59"/>
  <c r="AA207" i="54"/>
  <c r="R128" i="59"/>
  <c r="AV5" i="57"/>
  <c r="AV35" i="57"/>
  <c r="AV6" i="57"/>
  <c r="AV36" i="57"/>
  <c r="AV152" i="55"/>
  <c r="AV17" i="57"/>
  <c r="AV27" i="57"/>
  <c r="AV4" i="57"/>
  <c r="AV34" i="57"/>
  <c r="AV40" i="57"/>
  <c r="S8" i="57"/>
  <c r="S38" i="57"/>
  <c r="AT9" i="57"/>
  <c r="AT39" i="57"/>
  <c r="R102" i="59"/>
  <c r="BA59" i="58"/>
  <c r="T256" i="54"/>
  <c r="BA74" i="51"/>
  <c r="BA76" i="51" s="1"/>
  <c r="BA10" i="55"/>
  <c r="BJ48" i="51"/>
  <c r="AC36" i="54"/>
  <c r="AC42" i="54" s="1"/>
  <c r="Y217" i="53"/>
  <c r="Y216" i="53"/>
  <c r="Y222" i="53"/>
  <c r="Y234" i="53" s="1"/>
  <c r="Y235" i="53" s="1"/>
  <c r="Y223" i="53"/>
  <c r="W239" i="54"/>
  <c r="AA81" i="54"/>
  <c r="AA165" i="54"/>
  <c r="X236" i="53"/>
  <c r="X239" i="53" s="1"/>
  <c r="X244" i="53" s="1"/>
  <c r="AE48" i="51"/>
  <c r="AD36" i="53"/>
  <c r="AD42" i="53" s="1"/>
  <c r="Z211" i="54"/>
  <c r="Z208" i="54"/>
  <c r="X228" i="54"/>
  <c r="BE178" i="55" s="1"/>
  <c r="DQ178" i="55" s="1"/>
  <c r="X227" i="54"/>
  <c r="BE177" i="55" s="1"/>
  <c r="DQ177" i="55" s="1"/>
  <c r="X226" i="54"/>
  <c r="BE176" i="55" s="1"/>
  <c r="DQ176" i="55" s="1"/>
  <c r="X230" i="54"/>
  <c r="BE180" i="55" s="1"/>
  <c r="DQ180" i="55" s="1"/>
  <c r="X229" i="54"/>
  <c r="BE179" i="55" s="1"/>
  <c r="DQ179" i="55" s="1"/>
  <c r="X225" i="54"/>
  <c r="X218" i="53"/>
  <c r="X219" i="53"/>
  <c r="AW151" i="55"/>
  <c r="DI151" i="55" s="1"/>
  <c r="AW135" i="55"/>
  <c r="DI58" i="59"/>
  <c r="DI5" i="57"/>
  <c r="BJ75" i="59"/>
  <c r="T24" i="59"/>
  <c r="T51" i="59" s="1"/>
  <c r="AF39" i="51"/>
  <c r="AF20" i="59"/>
  <c r="T101" i="59"/>
  <c r="T153" i="59"/>
  <c r="CJ101" i="59"/>
  <c r="CJ153" i="59"/>
  <c r="DK101" i="59"/>
  <c r="DK153" i="59"/>
  <c r="U152" i="59"/>
  <c r="BL86" i="59"/>
  <c r="BL113" i="59"/>
  <c r="BL43" i="59"/>
  <c r="BL69" i="59"/>
  <c r="AG67" i="59"/>
  <c r="AG111" i="59"/>
  <c r="AG41" i="59"/>
  <c r="AG84" i="59"/>
  <c r="BL44" i="59"/>
  <c r="BL87" i="59"/>
  <c r="BL114" i="59"/>
  <c r="BL70" i="59"/>
  <c r="AY51" i="59"/>
  <c r="AY147" i="59"/>
  <c r="AE91" i="59"/>
  <c r="AE118" i="59"/>
  <c r="AE48" i="59"/>
  <c r="AE74" i="59"/>
  <c r="AE75" i="59" s="1"/>
  <c r="U153" i="59"/>
  <c r="BL88" i="59"/>
  <c r="BL115" i="59"/>
  <c r="BL45" i="59"/>
  <c r="BL71" i="59"/>
  <c r="BL83" i="59"/>
  <c r="BL110" i="59"/>
  <c r="BL40" i="59"/>
  <c r="BL66" i="59"/>
  <c r="BK39" i="51"/>
  <c r="BK19" i="59"/>
  <c r="Y230" i="53"/>
  <c r="Z180" i="55" s="1"/>
  <c r="DI102" i="59"/>
  <c r="U151" i="59"/>
  <c r="AG46" i="59"/>
  <c r="AG89" i="59"/>
  <c r="AG116" i="59"/>
  <c r="AG72" i="59"/>
  <c r="AG85" i="59"/>
  <c r="AG112" i="59"/>
  <c r="AG42" i="59"/>
  <c r="AG68" i="59"/>
  <c r="AD40" i="53"/>
  <c r="Y226" i="53"/>
  <c r="Z176" i="55" s="1"/>
  <c r="DF30" i="57"/>
  <c r="BL84" i="59"/>
  <c r="BL111" i="59"/>
  <c r="BL41" i="59"/>
  <c r="BL67" i="59"/>
  <c r="AG86" i="59"/>
  <c r="AG43" i="59"/>
  <c r="AG113" i="59"/>
  <c r="AG69" i="59"/>
  <c r="Y225" i="53"/>
  <c r="U51" i="59"/>
  <c r="BL89" i="59"/>
  <c r="BL116" i="59"/>
  <c r="BL46" i="59"/>
  <c r="BL72" i="59"/>
  <c r="U150" i="59"/>
  <c r="AG87" i="59"/>
  <c r="AG44" i="59"/>
  <c r="AG114" i="59"/>
  <c r="AG70" i="59"/>
  <c r="AG45" i="59"/>
  <c r="AG88" i="59"/>
  <c r="AG115" i="59"/>
  <c r="AG71" i="59"/>
  <c r="Y227" i="53"/>
  <c r="Z177" i="55" s="1"/>
  <c r="CJ24" i="59"/>
  <c r="CI51" i="59"/>
  <c r="CI147" i="59"/>
  <c r="BL85" i="59"/>
  <c r="BL112" i="59"/>
  <c r="BL42" i="59"/>
  <c r="BL68" i="59"/>
  <c r="AG83" i="59"/>
  <c r="AG40" i="59"/>
  <c r="AG110" i="59"/>
  <c r="AG66" i="59"/>
  <c r="AG117" i="59"/>
  <c r="AG47" i="59"/>
  <c r="AG73" i="59"/>
  <c r="AG90" i="59"/>
  <c r="Y228" i="53"/>
  <c r="Z178" i="55" s="1"/>
  <c r="AU149" i="59"/>
  <c r="AU155" i="59" s="1"/>
  <c r="U154" i="59"/>
  <c r="CG4" i="57"/>
  <c r="DK57" i="59"/>
  <c r="DK127" i="59"/>
  <c r="DK100" i="59"/>
  <c r="DK53" i="59"/>
  <c r="DK124" i="59"/>
  <c r="DK97" i="59"/>
  <c r="DK54" i="59"/>
  <c r="DI128" i="59"/>
  <c r="DR49" i="59"/>
  <c r="DR92" i="59"/>
  <c r="DR120" i="59"/>
  <c r="DF20" i="57"/>
  <c r="DF149" i="59" s="1"/>
  <c r="DF155" i="59" s="1"/>
  <c r="DK99" i="59"/>
  <c r="DK126" i="59"/>
  <c r="DK56" i="59"/>
  <c r="CG135" i="55"/>
  <c r="CG17" i="57"/>
  <c r="CG35" i="57"/>
  <c r="DK125" i="59"/>
  <c r="DK98" i="59"/>
  <c r="DK55" i="59"/>
  <c r="V11" i="58"/>
  <c r="V6" i="58"/>
  <c r="DK6" i="55"/>
  <c r="DK25" i="59"/>
  <c r="DK148" i="59" s="1"/>
  <c r="DK24" i="59"/>
  <c r="DK147" i="59" s="1"/>
  <c r="CH25" i="57"/>
  <c r="AY96" i="59"/>
  <c r="AY52" i="59"/>
  <c r="BF120" i="59"/>
  <c r="BF49" i="59"/>
  <c r="V50" i="59"/>
  <c r="V31" i="59"/>
  <c r="V154" i="59" s="1"/>
  <c r="BF92" i="59"/>
  <c r="CK120" i="59"/>
  <c r="CK49" i="59"/>
  <c r="CK31" i="59"/>
  <c r="CK154" i="59" s="1"/>
  <c r="CI96" i="59"/>
  <c r="CI52" i="59"/>
  <c r="U96" i="59"/>
  <c r="U52" i="59"/>
  <c r="BL80" i="59"/>
  <c r="BL107" i="59"/>
  <c r="BL37" i="59"/>
  <c r="BL63" i="59"/>
  <c r="AG38" i="59"/>
  <c r="AG81" i="59"/>
  <c r="AG108" i="59"/>
  <c r="AG64" i="59"/>
  <c r="BL81" i="59"/>
  <c r="BL38" i="59"/>
  <c r="BL108" i="59"/>
  <c r="BL64" i="59"/>
  <c r="BL82" i="59"/>
  <c r="BL109" i="59"/>
  <c r="BL39" i="59"/>
  <c r="BL65" i="59"/>
  <c r="BL79" i="59"/>
  <c r="BL106" i="59"/>
  <c r="BL36" i="59"/>
  <c r="BL62" i="59"/>
  <c r="DK7" i="55"/>
  <c r="AG36" i="59"/>
  <c r="AG79" i="59"/>
  <c r="AG106" i="59"/>
  <c r="AG62" i="59"/>
  <c r="AG37" i="59"/>
  <c r="AG80" i="59"/>
  <c r="AG107" i="59"/>
  <c r="AG63" i="59"/>
  <c r="AG82" i="59"/>
  <c r="AG109" i="59"/>
  <c r="AG39" i="59"/>
  <c r="AG65" i="59"/>
  <c r="BG22" i="59"/>
  <c r="BG145" i="59" s="1"/>
  <c r="DS9" i="55"/>
  <c r="DS22" i="59" s="1"/>
  <c r="DS145" i="59" s="1"/>
  <c r="CI82" i="55"/>
  <c r="CH26" i="57"/>
  <c r="DI37" i="57"/>
  <c r="DI7" i="57"/>
  <c r="DI135" i="55"/>
  <c r="CH112" i="55"/>
  <c r="CH7" i="57" s="1"/>
  <c r="DI17" i="57"/>
  <c r="DI27" i="57"/>
  <c r="DI26" i="57"/>
  <c r="DK19" i="55"/>
  <c r="DK20" i="55"/>
  <c r="DI34" i="57"/>
  <c r="DI4" i="57"/>
  <c r="DI36" i="57"/>
  <c r="DI6" i="57"/>
  <c r="CH89" i="55"/>
  <c r="CH6" i="57" s="1"/>
  <c r="X203" i="53"/>
  <c r="CK177" i="55" s="1"/>
  <c r="X204" i="53"/>
  <c r="CK178" i="55" s="1"/>
  <c r="X205" i="53"/>
  <c r="CK179" i="55" s="1"/>
  <c r="X202" i="53"/>
  <c r="CK176" i="55" s="1"/>
  <c r="CI83" i="55"/>
  <c r="CI15" i="57" s="1"/>
  <c r="AW36" i="57"/>
  <c r="CI106" i="55"/>
  <c r="CI60" i="55"/>
  <c r="CI14" i="57" s="1"/>
  <c r="CI37" i="55"/>
  <c r="CI13" i="57" s="1"/>
  <c r="CI36" i="55"/>
  <c r="CI59" i="55"/>
  <c r="CI105" i="55"/>
  <c r="V121" i="59"/>
  <c r="AW4" i="57"/>
  <c r="AW34" i="57"/>
  <c r="AW10" i="57"/>
  <c r="AW40" i="57"/>
  <c r="AW5" i="57"/>
  <c r="AW35" i="57"/>
  <c r="CG152" i="55"/>
  <c r="CG27" i="57"/>
  <c r="AW152" i="55"/>
  <c r="DI152" i="55" s="1"/>
  <c r="AW27" i="57"/>
  <c r="AW17" i="57"/>
  <c r="CI174" i="55"/>
  <c r="CI181" i="55" s="1"/>
  <c r="P28" i="57"/>
  <c r="P30" i="57" s="1"/>
  <c r="P18" i="57"/>
  <c r="P20" i="57" s="1"/>
  <c r="AW7" i="57"/>
  <c r="AW37" i="57"/>
  <c r="S9" i="57"/>
  <c r="S39" i="57"/>
  <c r="S28" i="57"/>
  <c r="S30" i="57" s="1"/>
  <c r="S18" i="57"/>
  <c r="S20" i="57" s="1"/>
  <c r="T100" i="59"/>
  <c r="T127" i="59"/>
  <c r="CH128" i="59"/>
  <c r="CJ99" i="59"/>
  <c r="CJ126" i="59"/>
  <c r="AY95" i="59"/>
  <c r="AY123" i="59"/>
  <c r="AY94" i="59"/>
  <c r="AY122" i="59"/>
  <c r="CI95" i="59"/>
  <c r="CI123" i="59"/>
  <c r="T97" i="59"/>
  <c r="T124" i="59"/>
  <c r="CJ97" i="59"/>
  <c r="CJ124" i="59"/>
  <c r="U95" i="59"/>
  <c r="U123" i="59"/>
  <c r="CJ100" i="59"/>
  <c r="CJ127" i="59"/>
  <c r="T98" i="59"/>
  <c r="T125" i="59"/>
  <c r="CJ98" i="59"/>
  <c r="CJ125" i="59"/>
  <c r="U94" i="59"/>
  <c r="U122" i="59"/>
  <c r="T99" i="59"/>
  <c r="T126" i="59"/>
  <c r="CI94" i="59"/>
  <c r="CI122" i="59"/>
  <c r="T10" i="58"/>
  <c r="U10" i="58"/>
  <c r="CK92" i="59"/>
  <c r="V93" i="59"/>
  <c r="CH102" i="59"/>
  <c r="CJ56" i="59"/>
  <c r="T57" i="59"/>
  <c r="T54" i="59"/>
  <c r="CJ54" i="59"/>
  <c r="T55" i="59"/>
  <c r="CJ55" i="59"/>
  <c r="CH58" i="59"/>
  <c r="T56" i="59"/>
  <c r="CJ57" i="59"/>
  <c r="AC51" i="51"/>
  <c r="BH9" i="55"/>
  <c r="AB22" i="59"/>
  <c r="AB145" i="59" s="1"/>
  <c r="CJ19" i="55"/>
  <c r="CJ175" i="55" s="1"/>
  <c r="CJ19" i="57" s="1"/>
  <c r="CJ25" i="59"/>
  <c r="CJ148" i="59" s="1"/>
  <c r="T25" i="59"/>
  <c r="T148" i="59" s="1"/>
  <c r="V58" i="58"/>
  <c r="V5" i="58" s="1"/>
  <c r="X236" i="54"/>
  <c r="X237" i="54" s="1"/>
  <c r="X238" i="54" s="1"/>
  <c r="CH151" i="55"/>
  <c r="AY106" i="55"/>
  <c r="DK106" i="55" s="1"/>
  <c r="AY83" i="55"/>
  <c r="DK83" i="55" s="1"/>
  <c r="AY175" i="55"/>
  <c r="DK175" i="55" s="1"/>
  <c r="Y200" i="53"/>
  <c r="Y201" i="53" s="1"/>
  <c r="CL172" i="55"/>
  <c r="AY105" i="55"/>
  <c r="AY82" i="55"/>
  <c r="DK82" i="55" s="1"/>
  <c r="AY174" i="55"/>
  <c r="DK174" i="55" s="1"/>
  <c r="U105" i="55"/>
  <c r="U128" i="55" s="1"/>
  <c r="U82" i="55"/>
  <c r="U174" i="55"/>
  <c r="AA211" i="53"/>
  <c r="AA213" i="53" s="1"/>
  <c r="Z210" i="53"/>
  <c r="Z230" i="53" s="1"/>
  <c r="AA180" i="55" s="1"/>
  <c r="AA172" i="55"/>
  <c r="Y210" i="54"/>
  <c r="Y225" i="54" s="1"/>
  <c r="BF172" i="55"/>
  <c r="U106" i="55"/>
  <c r="U83" i="55"/>
  <c r="U175" i="55"/>
  <c r="U37" i="55"/>
  <c r="U60" i="55"/>
  <c r="U59" i="55"/>
  <c r="U36" i="55"/>
  <c r="AY60" i="55"/>
  <c r="DK60" i="55" s="1"/>
  <c r="AY59" i="55"/>
  <c r="DK59" i="55" s="1"/>
  <c r="AY36" i="55"/>
  <c r="DK36" i="55" s="1"/>
  <c r="AY37" i="55"/>
  <c r="DK37" i="55" s="1"/>
  <c r="CH66" i="55"/>
  <c r="V262" i="54"/>
  <c r="BC78" i="51" s="1"/>
  <c r="BC77" i="51"/>
  <c r="U262" i="54"/>
  <c r="BB78" i="51" s="1"/>
  <c r="BB77" i="51"/>
  <c r="T6" i="55"/>
  <c r="CJ6" i="55"/>
  <c r="T7" i="55"/>
  <c r="BI51" i="51"/>
  <c r="AB207" i="53"/>
  <c r="AC4" i="55"/>
  <c r="CK16" i="55"/>
  <c r="CK30" i="59" s="1"/>
  <c r="CK15" i="55"/>
  <c r="CK29" i="59" s="1"/>
  <c r="CK152" i="59" s="1"/>
  <c r="CK11" i="55"/>
  <c r="CK13" i="55"/>
  <c r="CK27" i="59" s="1"/>
  <c r="CK150" i="59" s="1"/>
  <c r="CK12" i="55"/>
  <c r="CK26" i="59" s="1"/>
  <c r="CK53" i="59" s="1"/>
  <c r="CK14" i="55"/>
  <c r="CK28" i="59" s="1"/>
  <c r="CK151" i="59" s="1"/>
  <c r="CJ7" i="55"/>
  <c r="V13" i="55"/>
  <c r="V27" i="59" s="1"/>
  <c r="V150" i="59" s="1"/>
  <c r="V12" i="55"/>
  <c r="V26" i="59" s="1"/>
  <c r="V53" i="59" s="1"/>
  <c r="V11" i="55"/>
  <c r="V15" i="55"/>
  <c r="V29" i="59" s="1"/>
  <c r="V152" i="59" s="1"/>
  <c r="V16" i="55"/>
  <c r="V30" i="59" s="1"/>
  <c r="V14" i="55"/>
  <c r="V28" i="59" s="1"/>
  <c r="V151" i="59" s="1"/>
  <c r="W256" i="53"/>
  <c r="X74" i="51"/>
  <c r="X76" i="51" s="1"/>
  <c r="X10" i="55"/>
  <c r="X23" i="59" s="1"/>
  <c r="T20" i="55"/>
  <c r="T19" i="55"/>
  <c r="AB162" i="53"/>
  <c r="BK55" i="51"/>
  <c r="AD39" i="54"/>
  <c r="BH61" i="51"/>
  <c r="AB71" i="51"/>
  <c r="AB73" i="51" s="1"/>
  <c r="AB64" i="51"/>
  <c r="W220" i="54"/>
  <c r="W224" i="54" s="1"/>
  <c r="W221" i="54"/>
  <c r="W237" i="54"/>
  <c r="W238" i="54" s="1"/>
  <c r="W240" i="54" s="1"/>
  <c r="Y223" i="54"/>
  <c r="Y222" i="54"/>
  <c r="Y234" i="54" s="1"/>
  <c r="Y235" i="54" s="1"/>
  <c r="AC67" i="51"/>
  <c r="AB79" i="53"/>
  <c r="AC72" i="53"/>
  <c r="AC73" i="53" s="1"/>
  <c r="AD49" i="51" s="1"/>
  <c r="BJ49" i="51" s="1"/>
  <c r="AC78" i="53"/>
  <c r="AC80" i="53"/>
  <c r="AC74" i="53"/>
  <c r="AC75" i="53" s="1"/>
  <c r="AD57" i="51" s="1"/>
  <c r="AC47" i="53"/>
  <c r="AC162" i="53" s="1"/>
  <c r="Z217" i="53"/>
  <c r="Z216" i="53"/>
  <c r="X219" i="54"/>
  <c r="X218" i="54"/>
  <c r="AF59" i="51"/>
  <c r="AE38" i="53"/>
  <c r="BI57" i="51"/>
  <c r="BI58" i="51" s="1"/>
  <c r="BI72" i="51" s="1"/>
  <c r="AC58" i="51"/>
  <c r="AC72" i="51" s="1"/>
  <c r="Z222" i="53"/>
  <c r="Z234" i="53" s="1"/>
  <c r="Z235" i="53" s="1"/>
  <c r="Z223" i="53"/>
  <c r="AG160" i="54"/>
  <c r="BJ65" i="51"/>
  <c r="AC40" i="54"/>
  <c r="BK59" i="51"/>
  <c r="AD38" i="54"/>
  <c r="U245" i="54"/>
  <c r="U254" i="54" s="1"/>
  <c r="BB75" i="51" s="1"/>
  <c r="AB81" i="53"/>
  <c r="AC61" i="51" s="1"/>
  <c r="AB165" i="53"/>
  <c r="AC9" i="55" s="1"/>
  <c r="V252" i="54"/>
  <c r="W206" i="54"/>
  <c r="W202" i="54"/>
  <c r="W201" i="54"/>
  <c r="W203" i="54"/>
  <c r="W205" i="54"/>
  <c r="W204" i="54"/>
  <c r="Y216" i="54"/>
  <c r="Y217" i="54"/>
  <c r="Z209" i="54"/>
  <c r="DS172" i="55" s="1"/>
  <c r="Z232" i="54"/>
  <c r="Z233" i="54" s="1"/>
  <c r="X199" i="54"/>
  <c r="X200" i="54" s="1"/>
  <c r="Y166" i="54"/>
  <c r="CL9" i="55" s="1"/>
  <c r="CL22" i="59" s="1"/>
  <c r="CL145" i="59" s="1"/>
  <c r="AB80" i="54"/>
  <c r="AB78" i="54"/>
  <c r="AB79" i="54" s="1"/>
  <c r="AB47" i="54"/>
  <c r="AB162" i="54" s="1"/>
  <c r="AB74" i="54"/>
  <c r="AB75" i="54" s="1"/>
  <c r="AB72" i="54"/>
  <c r="AB73" i="54" s="1"/>
  <c r="BH67" i="51"/>
  <c r="BH70" i="51" s="1"/>
  <c r="AB70" i="51"/>
  <c r="BG71" i="51"/>
  <c r="BG73" i="51" s="1"/>
  <c r="BG64" i="51"/>
  <c r="AE52" i="51"/>
  <c r="AE54" i="51" s="1"/>
  <c r="AD37" i="53"/>
  <c r="AF52" i="51"/>
  <c r="AF54" i="51" s="1"/>
  <c r="AE37" i="53"/>
  <c r="AA232" i="53"/>
  <c r="AA233" i="53" s="1"/>
  <c r="AA209" i="53"/>
  <c r="BJ46" i="51"/>
  <c r="AE46" i="51"/>
  <c r="AF55" i="51"/>
  <c r="AE39" i="53"/>
  <c r="Z199" i="53"/>
  <c r="AA166" i="53"/>
  <c r="AF65" i="51"/>
  <c r="AE40" i="53"/>
  <c r="AF44" i="51"/>
  <c r="AF43" i="51"/>
  <c r="AH36" i="51"/>
  <c r="AH37" i="51" s="1"/>
  <c r="BK25" i="51"/>
  <c r="AG38" i="51"/>
  <c r="BL33" i="51"/>
  <c r="BL35" i="51" s="1"/>
  <c r="AG15" i="51"/>
  <c r="AG17" i="51" s="1"/>
  <c r="AF25" i="51"/>
  <c r="AG21" i="51"/>
  <c r="BL15" i="51"/>
  <c r="BL17" i="51" s="1"/>
  <c r="BL29" i="51"/>
  <c r="AG29" i="51"/>
  <c r="AG24" i="51"/>
  <c r="BN30" i="51"/>
  <c r="AH34" i="51"/>
  <c r="AH18" i="59" s="1"/>
  <c r="AH32" i="51"/>
  <c r="AH17" i="59" s="1"/>
  <c r="AH31" i="51"/>
  <c r="AH16" i="59" s="1"/>
  <c r="BM28" i="51"/>
  <c r="BM15" i="59" s="1"/>
  <c r="BM27" i="51"/>
  <c r="BM14" i="59" s="1"/>
  <c r="BK43" i="51"/>
  <c r="BK17" i="51"/>
  <c r="BN12" i="51"/>
  <c r="BL21" i="51"/>
  <c r="BM36" i="51"/>
  <c r="AG33" i="51"/>
  <c r="AG35" i="51" s="1"/>
  <c r="BK44" i="51"/>
  <c r="AH28" i="51"/>
  <c r="AH27" i="51"/>
  <c r="BN26" i="51"/>
  <c r="BM19" i="51"/>
  <c r="BM8" i="59" s="1"/>
  <c r="BM23" i="51"/>
  <c r="BM11" i="59" s="1"/>
  <c r="BM20" i="51"/>
  <c r="BM9" i="59" s="1"/>
  <c r="BM22" i="51"/>
  <c r="BM10" i="59" s="1"/>
  <c r="AH13" i="51"/>
  <c r="AH12" i="59" s="1"/>
  <c r="AH14" i="51"/>
  <c r="AH13" i="59" s="1"/>
  <c r="BM14" i="51"/>
  <c r="BM13" i="59" s="1"/>
  <c r="BM13" i="51"/>
  <c r="BM12" i="59" s="1"/>
  <c r="BL37" i="51"/>
  <c r="BL19" i="59" s="1"/>
  <c r="BL38" i="51"/>
  <c r="BL20" i="59" s="1"/>
  <c r="BL24" i="51"/>
  <c r="BM31" i="51"/>
  <c r="BM16" i="59" s="1"/>
  <c r="BM34" i="51"/>
  <c r="BM18" i="59" s="1"/>
  <c r="BM32" i="51"/>
  <c r="BM17" i="59" s="1"/>
  <c r="AH19" i="51"/>
  <c r="AH8" i="59" s="1"/>
  <c r="AH23" i="51"/>
  <c r="AH11" i="59" s="1"/>
  <c r="BN18" i="51"/>
  <c r="AH22" i="51"/>
  <c r="AH10" i="59" s="1"/>
  <c r="AH20" i="51"/>
  <c r="AH9" i="59" s="1"/>
  <c r="M25" i="60" s="1"/>
  <c r="CI23" i="57" l="1"/>
  <c r="CI24" i="57"/>
  <c r="CI112" i="55"/>
  <c r="Q9" i="57"/>
  <c r="Q39" i="57"/>
  <c r="Q41" i="57" s="1"/>
  <c r="AX151" i="55"/>
  <c r="DJ151" i="55" s="1"/>
  <c r="DJ102" i="59"/>
  <c r="R37" i="57"/>
  <c r="CH152" i="55"/>
  <c r="CH18" i="57" s="1"/>
  <c r="CH20" i="57" s="1"/>
  <c r="R6" i="57"/>
  <c r="AX4" i="57"/>
  <c r="R40" i="57"/>
  <c r="DJ40" i="57"/>
  <c r="DJ128" i="59"/>
  <c r="DJ58" i="59"/>
  <c r="DJ34" i="57"/>
  <c r="AX152" i="55"/>
  <c r="DJ152" i="55" s="1"/>
  <c r="AX27" i="57"/>
  <c r="AX17" i="57"/>
  <c r="R152" i="55"/>
  <c r="R158" i="55" s="1"/>
  <c r="R17" i="57"/>
  <c r="R36" i="57"/>
  <c r="AX34" i="57"/>
  <c r="AX7" i="57"/>
  <c r="AX37" i="57"/>
  <c r="R38" i="57"/>
  <c r="AX5" i="57"/>
  <c r="CH27" i="57"/>
  <c r="R8" i="57"/>
  <c r="R10" i="57"/>
  <c r="DJ26" i="57"/>
  <c r="DJ36" i="57"/>
  <c r="DJ6" i="57"/>
  <c r="AX135" i="55"/>
  <c r="AX38" i="57" s="1"/>
  <c r="DJ129" i="55"/>
  <c r="DJ37" i="57"/>
  <c r="DJ7" i="57"/>
  <c r="DJ35" i="57"/>
  <c r="DJ5" i="57"/>
  <c r="AX6" i="57"/>
  <c r="AX36" i="57"/>
  <c r="AX10" i="57"/>
  <c r="AX40" i="57"/>
  <c r="R27" i="57"/>
  <c r="AX35" i="57"/>
  <c r="R7" i="57"/>
  <c r="CH135" i="55"/>
  <c r="AV8" i="57"/>
  <c r="AV38" i="57"/>
  <c r="P9" i="57"/>
  <c r="P39" i="57"/>
  <c r="P41" i="57" s="1"/>
  <c r="BK65" i="51"/>
  <c r="AD40" i="54"/>
  <c r="CH4" i="57"/>
  <c r="CH34" i="57"/>
  <c r="CG8" i="57"/>
  <c r="CG38" i="57"/>
  <c r="R5" i="57"/>
  <c r="R35" i="57"/>
  <c r="CF9" i="57"/>
  <c r="CF39" i="57"/>
  <c r="CF41" i="57" s="1"/>
  <c r="W262" i="53"/>
  <c r="X78" i="51" s="1"/>
  <c r="X77" i="51"/>
  <c r="R4" i="57"/>
  <c r="R34" i="57"/>
  <c r="AZ6" i="55"/>
  <c r="W11" i="58"/>
  <c r="W6" i="58"/>
  <c r="Y227" i="54"/>
  <c r="BF177" i="55" s="1"/>
  <c r="DR177" i="55" s="1"/>
  <c r="Z229" i="53"/>
  <c r="AA179" i="55" s="1"/>
  <c r="BA11" i="58"/>
  <c r="BA6" i="58"/>
  <c r="X239" i="54"/>
  <c r="X244" i="54" s="1"/>
  <c r="Z236" i="53"/>
  <c r="AB211" i="53"/>
  <c r="AB208" i="53"/>
  <c r="AZ124" i="59"/>
  <c r="AZ97" i="59"/>
  <c r="AZ54" i="59"/>
  <c r="AZ53" i="59"/>
  <c r="AZ152" i="59"/>
  <c r="AZ127" i="59"/>
  <c r="AZ100" i="59"/>
  <c r="AZ57" i="59"/>
  <c r="AZ153" i="59"/>
  <c r="AZ101" i="59"/>
  <c r="AZ7" i="55"/>
  <c r="AZ27" i="59"/>
  <c r="AZ25" i="59"/>
  <c r="AZ19" i="55"/>
  <c r="AZ20" i="55"/>
  <c r="AZ24" i="59"/>
  <c r="AZ126" i="59"/>
  <c r="AZ99" i="59"/>
  <c r="AZ151" i="59"/>
  <c r="AZ56" i="59"/>
  <c r="DL11" i="55"/>
  <c r="DL13" i="55"/>
  <c r="DL14" i="55"/>
  <c r="DL28" i="59" s="1"/>
  <c r="DL16" i="55"/>
  <c r="DL30" i="59" s="1"/>
  <c r="DL12" i="55"/>
  <c r="DL26" i="59" s="1"/>
  <c r="DL15" i="55"/>
  <c r="DL29" i="59" s="1"/>
  <c r="DL23" i="59"/>
  <c r="AZ146" i="59"/>
  <c r="AZ93" i="59"/>
  <c r="AZ121" i="59"/>
  <c r="AZ31" i="59"/>
  <c r="AZ154" i="59" s="1"/>
  <c r="AZ50" i="59"/>
  <c r="AA208" i="54"/>
  <c r="AA211" i="54"/>
  <c r="AV28" i="57"/>
  <c r="AV30" i="57" s="1"/>
  <c r="BA11" i="55"/>
  <c r="BA12" i="55"/>
  <c r="BA26" i="59" s="1"/>
  <c r="BA53" i="59" s="1"/>
  <c r="Z214" i="54"/>
  <c r="AD72" i="53"/>
  <c r="AD73" i="53" s="1"/>
  <c r="AE49" i="51" s="1"/>
  <c r="BK49" i="51" s="1"/>
  <c r="AD78" i="53"/>
  <c r="AC74" i="54"/>
  <c r="AC75" i="54" s="1"/>
  <c r="AC47" i="54"/>
  <c r="AV158" i="55"/>
  <c r="AV9" i="57" s="1"/>
  <c r="DH152" i="55"/>
  <c r="BA23" i="59"/>
  <c r="BA146" i="59" s="1"/>
  <c r="DM10" i="55"/>
  <c r="DM23" i="59" s="1"/>
  <c r="DH38" i="57"/>
  <c r="DH8" i="57"/>
  <c r="Y236" i="53"/>
  <c r="Y239" i="53" s="1"/>
  <c r="Y244" i="53" s="1"/>
  <c r="AV18" i="57"/>
  <c r="AV20" i="57" s="1"/>
  <c r="AV149" i="59" s="1"/>
  <c r="AV155" i="59" s="1"/>
  <c r="BA14" i="55"/>
  <c r="BA28" i="59" s="1"/>
  <c r="BA151" i="59" s="1"/>
  <c r="BA15" i="55"/>
  <c r="BA29" i="59" s="1"/>
  <c r="BA152" i="59" s="1"/>
  <c r="Y219" i="53"/>
  <c r="AD74" i="53"/>
  <c r="AD75" i="53" s="1"/>
  <c r="AE57" i="51" s="1"/>
  <c r="BK57" i="51" s="1"/>
  <c r="AD47" i="53"/>
  <c r="AD162" i="53" s="1"/>
  <c r="X220" i="53"/>
  <c r="X224" i="53" s="1"/>
  <c r="AW8" i="57"/>
  <c r="AW38" i="57"/>
  <c r="S41" i="57"/>
  <c r="BA16" i="55"/>
  <c r="BA30" i="59" s="1"/>
  <c r="BA13" i="55"/>
  <c r="BA27" i="59" s="1"/>
  <c r="Z212" i="54"/>
  <c r="W261" i="54"/>
  <c r="X245" i="53"/>
  <c r="X252" i="53" s="1"/>
  <c r="AC80" i="54"/>
  <c r="AC78" i="54"/>
  <c r="AC79" i="54" s="1"/>
  <c r="BA58" i="58"/>
  <c r="X59" i="58"/>
  <c r="X237" i="53"/>
  <c r="X238" i="53" s="1"/>
  <c r="Z215" i="54"/>
  <c r="Y218" i="53"/>
  <c r="BJ51" i="51"/>
  <c r="AA232" i="54"/>
  <c r="AA233" i="54" s="1"/>
  <c r="AD80" i="53"/>
  <c r="X221" i="53"/>
  <c r="V252" i="53"/>
  <c r="Z213" i="54"/>
  <c r="AA209" i="54"/>
  <c r="DT172" i="55" s="1"/>
  <c r="W244" i="54"/>
  <c r="AC72" i="54"/>
  <c r="AC73" i="54" s="1"/>
  <c r="CI128" i="55"/>
  <c r="DK181" i="55"/>
  <c r="U147" i="59"/>
  <c r="T147" i="59"/>
  <c r="V24" i="59"/>
  <c r="BL91" i="59"/>
  <c r="BL118" i="59"/>
  <c r="BL48" i="59"/>
  <c r="BL74" i="59"/>
  <c r="EH10" i="59"/>
  <c r="EM10" i="59" s="1"/>
  <c r="AH89" i="59"/>
  <c r="AH116" i="59"/>
  <c r="AH46" i="59"/>
  <c r="AH72" i="59"/>
  <c r="V101" i="59"/>
  <c r="V153" i="59"/>
  <c r="AG39" i="51"/>
  <c r="AG65" i="51" s="1"/>
  <c r="AG20" i="59"/>
  <c r="BM88" i="59"/>
  <c r="BM115" i="59"/>
  <c r="BM45" i="59"/>
  <c r="BM71" i="59"/>
  <c r="BL117" i="59"/>
  <c r="BL47" i="59"/>
  <c r="BL73" i="59"/>
  <c r="BL75" i="59" s="1"/>
  <c r="BL90" i="59"/>
  <c r="CK101" i="59"/>
  <c r="CK153" i="59"/>
  <c r="DK66" i="55"/>
  <c r="CH36" i="57"/>
  <c r="BM84" i="59"/>
  <c r="BM111" i="59"/>
  <c r="BM41" i="59"/>
  <c r="BM67" i="59"/>
  <c r="CG5" i="51"/>
  <c r="AH14" i="59"/>
  <c r="P149" i="59"/>
  <c r="P155" i="59" s="1"/>
  <c r="Q149" i="59"/>
  <c r="Q155" i="59" s="1"/>
  <c r="CJ51" i="59"/>
  <c r="CJ147" i="59"/>
  <c r="CG6" i="51"/>
  <c r="AH15" i="59"/>
  <c r="BM112" i="59"/>
  <c r="BM42" i="59"/>
  <c r="BM68" i="59"/>
  <c r="BM85" i="59"/>
  <c r="CH5" i="51"/>
  <c r="AH19" i="59"/>
  <c r="CH37" i="57"/>
  <c r="AF118" i="59"/>
  <c r="AF48" i="59"/>
  <c r="AF74" i="59"/>
  <c r="AF75" i="59" s="1"/>
  <c r="AF91" i="59"/>
  <c r="AH67" i="59"/>
  <c r="EF9" i="59"/>
  <c r="AH41" i="59"/>
  <c r="AH84" i="59"/>
  <c r="AH111" i="59"/>
  <c r="BM86" i="59"/>
  <c r="BM113" i="59"/>
  <c r="BM43" i="59"/>
  <c r="BM69" i="59"/>
  <c r="DG149" i="59"/>
  <c r="DG155" i="59" s="1"/>
  <c r="BK90" i="59"/>
  <c r="BK47" i="59"/>
  <c r="BK117" i="59"/>
  <c r="BK73" i="59"/>
  <c r="BK75" i="59" s="1"/>
  <c r="AH40" i="59"/>
  <c r="AH66" i="59"/>
  <c r="EG9" i="59"/>
  <c r="EL9" i="59" s="1"/>
  <c r="AH83" i="59"/>
  <c r="AH110" i="59"/>
  <c r="BM87" i="59"/>
  <c r="BM114" i="59"/>
  <c r="BM44" i="59"/>
  <c r="BM70" i="59"/>
  <c r="EF10" i="59"/>
  <c r="EK10" i="59" s="1"/>
  <c r="AH44" i="59"/>
  <c r="AH87" i="59"/>
  <c r="AH114" i="59"/>
  <c r="AH70" i="59"/>
  <c r="BM40" i="59"/>
  <c r="BM66" i="59"/>
  <c r="BM110" i="59"/>
  <c r="BM83" i="59"/>
  <c r="BM46" i="59"/>
  <c r="BM89" i="59"/>
  <c r="BM116" i="59"/>
  <c r="BM72" i="59"/>
  <c r="EG10" i="59"/>
  <c r="EL10" i="59" s="1"/>
  <c r="AH88" i="59"/>
  <c r="AH115" i="59"/>
  <c r="AH45" i="59"/>
  <c r="AH71" i="59"/>
  <c r="CK24" i="59"/>
  <c r="U148" i="59"/>
  <c r="DK51" i="59"/>
  <c r="DK122" i="59"/>
  <c r="DK94" i="59"/>
  <c r="DK52" i="59"/>
  <c r="DK58" i="59" s="1"/>
  <c r="DK95" i="59"/>
  <c r="DK96" i="59"/>
  <c r="DK123" i="59"/>
  <c r="CG28" i="57"/>
  <c r="CG18" i="57"/>
  <c r="CG20" i="57" s="1"/>
  <c r="CG149" i="59" s="1"/>
  <c r="CG155" i="59" s="1"/>
  <c r="CI129" i="55"/>
  <c r="CI17" i="57" s="1"/>
  <c r="CI16" i="57"/>
  <c r="DS49" i="59"/>
  <c r="DS120" i="59"/>
  <c r="DS92" i="59"/>
  <c r="CL120" i="59"/>
  <c r="CL49" i="59"/>
  <c r="CL31" i="59"/>
  <c r="CL154" i="59" s="1"/>
  <c r="X50" i="59"/>
  <c r="X31" i="59"/>
  <c r="T96" i="59"/>
  <c r="T52" i="59"/>
  <c r="CJ96" i="59"/>
  <c r="CJ52" i="59"/>
  <c r="AB49" i="59"/>
  <c r="BG120" i="59"/>
  <c r="BG49" i="59"/>
  <c r="EG7" i="59"/>
  <c r="EL7" i="59" s="1"/>
  <c r="EH7" i="59"/>
  <c r="EM7" i="59" s="1"/>
  <c r="AH81" i="59"/>
  <c r="AH108" i="59"/>
  <c r="AH38" i="59"/>
  <c r="AH64" i="59"/>
  <c r="BM39" i="59"/>
  <c r="BM82" i="59"/>
  <c r="BM109" i="59"/>
  <c r="BM65" i="59"/>
  <c r="BM36" i="59"/>
  <c r="BM79" i="59"/>
  <c r="BM106" i="59"/>
  <c r="BM62" i="59"/>
  <c r="AH37" i="59"/>
  <c r="AH80" i="59"/>
  <c r="AH107" i="59"/>
  <c r="AH63" i="59"/>
  <c r="AH39" i="59"/>
  <c r="AH82" i="59"/>
  <c r="AH109" i="59"/>
  <c r="AH65" i="59"/>
  <c r="BM80" i="59"/>
  <c r="BM107" i="59"/>
  <c r="BM37" i="59"/>
  <c r="BM63" i="59"/>
  <c r="EF7" i="59"/>
  <c r="AH79" i="59"/>
  <c r="AH106" i="59"/>
  <c r="AH36" i="59"/>
  <c r="AH62" i="59"/>
  <c r="BM81" i="59"/>
  <c r="BM38" i="59"/>
  <c r="BM108" i="59"/>
  <c r="BM64" i="59"/>
  <c r="BG92" i="59"/>
  <c r="DK14" i="57"/>
  <c r="DK24" i="57"/>
  <c r="DK19" i="57"/>
  <c r="DK29" i="57"/>
  <c r="U128" i="59"/>
  <c r="DK15" i="57"/>
  <c r="DK25" i="57"/>
  <c r="DK89" i="55"/>
  <c r="DI18" i="57"/>
  <c r="DI20" i="57" s="1"/>
  <c r="DI28" i="57"/>
  <c r="DI30" i="57" s="1"/>
  <c r="DK16" i="57"/>
  <c r="BH22" i="59"/>
  <c r="BH145" i="59" s="1"/>
  <c r="DT9" i="55"/>
  <c r="DT22" i="59" s="1"/>
  <c r="DT145" i="59" s="1"/>
  <c r="DK23" i="57"/>
  <c r="DK13" i="57"/>
  <c r="DI158" i="55"/>
  <c r="DK43" i="55"/>
  <c r="CI25" i="57"/>
  <c r="DI38" i="57"/>
  <c r="DI8" i="57"/>
  <c r="AY128" i="55"/>
  <c r="DK128" i="55" s="1"/>
  <c r="DK105" i="55"/>
  <c r="DK112" i="55" s="1"/>
  <c r="U66" i="55"/>
  <c r="U5" i="57" s="1"/>
  <c r="CJ37" i="55"/>
  <c r="CJ13" i="57" s="1"/>
  <c r="Y230" i="54"/>
  <c r="BF180" i="55" s="1"/>
  <c r="DR180" i="55" s="1"/>
  <c r="CJ106" i="55"/>
  <c r="CJ16" i="57" s="1"/>
  <c r="Y226" i="54"/>
  <c r="BF176" i="55" s="1"/>
  <c r="DR176" i="55" s="1"/>
  <c r="CJ36" i="55"/>
  <c r="Y229" i="54"/>
  <c r="BF179" i="55" s="1"/>
  <c r="DR179" i="55" s="1"/>
  <c r="CI89" i="55"/>
  <c r="CI6" i="57" s="1"/>
  <c r="CJ82" i="55"/>
  <c r="CI26" i="57"/>
  <c r="CJ83" i="55"/>
  <c r="Y228" i="54"/>
  <c r="BF178" i="55" s="1"/>
  <c r="DR178" i="55" s="1"/>
  <c r="CJ105" i="55"/>
  <c r="CI43" i="55"/>
  <c r="CI4" i="57" s="1"/>
  <c r="CI66" i="55"/>
  <c r="CI5" i="57" s="1"/>
  <c r="T32" i="59"/>
  <c r="U32" i="59"/>
  <c r="AY102" i="59"/>
  <c r="CH5" i="57"/>
  <c r="CH35" i="57"/>
  <c r="AY13" i="57"/>
  <c r="AY23" i="57"/>
  <c r="AY24" i="57"/>
  <c r="AY14" i="57"/>
  <c r="AY29" i="57"/>
  <c r="AY19" i="57"/>
  <c r="CI10" i="57"/>
  <c r="CI40" i="57"/>
  <c r="AY25" i="57"/>
  <c r="AY15" i="57"/>
  <c r="AB120" i="59"/>
  <c r="CG158" i="55"/>
  <c r="U29" i="57"/>
  <c r="U19" i="57"/>
  <c r="AY129" i="55"/>
  <c r="DK129" i="55" s="1"/>
  <c r="AY26" i="57"/>
  <c r="AY16" i="57"/>
  <c r="CI128" i="59"/>
  <c r="CI29" i="57"/>
  <c r="U14" i="57"/>
  <c r="U24" i="57"/>
  <c r="U25" i="57"/>
  <c r="U15" i="57"/>
  <c r="U23" i="57"/>
  <c r="U13" i="57"/>
  <c r="U129" i="55"/>
  <c r="U135" i="55" s="1"/>
  <c r="U26" i="57"/>
  <c r="U16" i="57"/>
  <c r="CJ59" i="55"/>
  <c r="CJ174" i="55"/>
  <c r="CJ181" i="55" s="1"/>
  <c r="AW18" i="57"/>
  <c r="AW20" i="57" s="1"/>
  <c r="AW28" i="57"/>
  <c r="AW30" i="57" s="1"/>
  <c r="AW158" i="55"/>
  <c r="X121" i="59"/>
  <c r="CJ60" i="55"/>
  <c r="CJ14" i="57" s="1"/>
  <c r="CI102" i="59"/>
  <c r="CK98" i="59"/>
  <c r="CK125" i="59"/>
  <c r="V99" i="59"/>
  <c r="V126" i="59"/>
  <c r="T95" i="59"/>
  <c r="T123" i="59"/>
  <c r="V100" i="59"/>
  <c r="V127" i="59"/>
  <c r="V97" i="59"/>
  <c r="V124" i="59"/>
  <c r="V98" i="59"/>
  <c r="V125" i="59"/>
  <c r="CK99" i="59"/>
  <c r="CK126" i="59"/>
  <c r="CJ94" i="59"/>
  <c r="CJ122" i="59"/>
  <c r="CK100" i="59"/>
  <c r="CK127" i="59"/>
  <c r="T94" i="59"/>
  <c r="T122" i="59"/>
  <c r="CK97" i="59"/>
  <c r="CK124" i="59"/>
  <c r="CJ95" i="59"/>
  <c r="CJ123" i="59"/>
  <c r="V10" i="58"/>
  <c r="X93" i="59"/>
  <c r="CL92" i="59"/>
  <c r="AB92" i="59"/>
  <c r="CK56" i="59"/>
  <c r="CK54" i="59"/>
  <c r="U58" i="59"/>
  <c r="CK55" i="59"/>
  <c r="V56" i="59"/>
  <c r="U102" i="59"/>
  <c r="CI58" i="59"/>
  <c r="CK57" i="59"/>
  <c r="V57" i="59"/>
  <c r="V54" i="59"/>
  <c r="V55" i="59"/>
  <c r="V25" i="59"/>
  <c r="V148" i="59" s="1"/>
  <c r="BI9" i="55"/>
  <c r="AC22" i="59"/>
  <c r="AC145" i="59" s="1"/>
  <c r="CK19" i="55"/>
  <c r="CK105" i="55" s="1"/>
  <c r="CK25" i="59"/>
  <c r="CK148" i="59" s="1"/>
  <c r="U112" i="55"/>
  <c r="BB59" i="58"/>
  <c r="AA214" i="53"/>
  <c r="AA217" i="53" s="1"/>
  <c r="Z228" i="53"/>
  <c r="AA178" i="55" s="1"/>
  <c r="BC59" i="58"/>
  <c r="AA212" i="53"/>
  <c r="Z227" i="53"/>
  <c r="AA177" i="55" s="1"/>
  <c r="AA215" i="53"/>
  <c r="Z225" i="53"/>
  <c r="AY89" i="55"/>
  <c r="Y236" i="54"/>
  <c r="Y237" i="54" s="1"/>
  <c r="Y238" i="54" s="1"/>
  <c r="Z226" i="53"/>
  <c r="AA176" i="55" s="1"/>
  <c r="X58" i="58"/>
  <c r="X5" i="58" s="1"/>
  <c r="AY181" i="55"/>
  <c r="AY112" i="55"/>
  <c r="Y202" i="53"/>
  <c r="CL176" i="55" s="1"/>
  <c r="Y203" i="53"/>
  <c r="CL177" i="55" s="1"/>
  <c r="Y205" i="53"/>
  <c r="CL179" i="55" s="1"/>
  <c r="Y204" i="53"/>
  <c r="CL178" i="55" s="1"/>
  <c r="Y206" i="53"/>
  <c r="CL180" i="55" s="1"/>
  <c r="U43" i="55"/>
  <c r="U181" i="55"/>
  <c r="AA210" i="53"/>
  <c r="AA227" i="53" s="1"/>
  <c r="AB177" i="55" s="1"/>
  <c r="AB172" i="55"/>
  <c r="Z210" i="54"/>
  <c r="Z227" i="54" s="1"/>
  <c r="BG177" i="55" s="1"/>
  <c r="DS177" i="55" s="1"/>
  <c r="BG172" i="55"/>
  <c r="X240" i="54"/>
  <c r="T105" i="55"/>
  <c r="T128" i="55" s="1"/>
  <c r="T82" i="55"/>
  <c r="T174" i="55"/>
  <c r="T106" i="55"/>
  <c r="T83" i="55"/>
  <c r="T175" i="55"/>
  <c r="U151" i="55"/>
  <c r="Z200" i="53"/>
  <c r="CM172" i="55"/>
  <c r="U89" i="55"/>
  <c r="T59" i="55"/>
  <c r="T36" i="55"/>
  <c r="T37" i="55"/>
  <c r="T60" i="55"/>
  <c r="AY43" i="55"/>
  <c r="AY66" i="55"/>
  <c r="V7" i="55"/>
  <c r="V20" i="55"/>
  <c r="V19" i="55"/>
  <c r="U252" i="54"/>
  <c r="U256" i="54" s="1"/>
  <c r="X14" i="55"/>
  <c r="X28" i="59" s="1"/>
  <c r="X11" i="55"/>
  <c r="X13" i="55"/>
  <c r="X27" i="59" s="1"/>
  <c r="X16" i="55"/>
  <c r="X30" i="59" s="1"/>
  <c r="X12" i="55"/>
  <c r="X26" i="59" s="1"/>
  <c r="X53" i="59" s="1"/>
  <c r="X15" i="55"/>
  <c r="X29" i="59" s="1"/>
  <c r="V256" i="54"/>
  <c r="BC74" i="51"/>
  <c r="BC76" i="51" s="1"/>
  <c r="BC10" i="55"/>
  <c r="AF46" i="51"/>
  <c r="AC207" i="53"/>
  <c r="AC211" i="53" s="1"/>
  <c r="AD4" i="55"/>
  <c r="CL16" i="55"/>
  <c r="CL30" i="59" s="1"/>
  <c r="CL12" i="55"/>
  <c r="CL26" i="59" s="1"/>
  <c r="CL53" i="59" s="1"/>
  <c r="CL14" i="55"/>
  <c r="CL28" i="59" s="1"/>
  <c r="CL151" i="59" s="1"/>
  <c r="CL15" i="55"/>
  <c r="CL29" i="59" s="1"/>
  <c r="CL152" i="59" s="1"/>
  <c r="CL13" i="55"/>
  <c r="CL27" i="59" s="1"/>
  <c r="CL150" i="59" s="1"/>
  <c r="CL11" i="55"/>
  <c r="CK7" i="55"/>
  <c r="AB207" i="54"/>
  <c r="AB208" i="54" s="1"/>
  <c r="BI4" i="55"/>
  <c r="V6" i="55"/>
  <c r="CK6" i="55"/>
  <c r="AG52" i="51"/>
  <c r="AG54" i="51" s="1"/>
  <c r="AF37" i="53"/>
  <c r="AB81" i="54"/>
  <c r="AB165" i="54"/>
  <c r="AG59" i="51"/>
  <c r="AF38" i="53"/>
  <c r="BL55" i="51"/>
  <c r="AE39" i="54"/>
  <c r="AC81" i="54"/>
  <c r="BK48" i="51"/>
  <c r="AD36" i="54"/>
  <c r="AD42" i="54" s="1"/>
  <c r="BK52" i="51"/>
  <c r="BK54" i="51" s="1"/>
  <c r="AD37" i="54"/>
  <c r="Y199" i="54"/>
  <c r="Y200" i="54" s="1"/>
  <c r="Z166" i="54"/>
  <c r="CM9" i="55" s="1"/>
  <c r="CM22" i="59" s="1"/>
  <c r="CM145" i="59" s="1"/>
  <c r="Y219" i="54"/>
  <c r="Y218" i="54"/>
  <c r="Z218" i="53"/>
  <c r="Z219" i="53"/>
  <c r="BI67" i="51"/>
  <c r="BI70" i="51" s="1"/>
  <c r="AC70" i="51"/>
  <c r="X203" i="54"/>
  <c r="X201" i="54"/>
  <c r="X205" i="54"/>
  <c r="X202" i="54"/>
  <c r="X206" i="54"/>
  <c r="X204" i="54"/>
  <c r="AB232" i="53"/>
  <c r="AB233" i="53" s="1"/>
  <c r="AB209" i="53"/>
  <c r="BL59" i="51"/>
  <c r="AE38" i="54"/>
  <c r="BI61" i="51"/>
  <c r="AC71" i="51"/>
  <c r="AC73" i="51" s="1"/>
  <c r="AC64" i="51"/>
  <c r="AD51" i="51"/>
  <c r="BL52" i="51"/>
  <c r="BL54" i="51" s="1"/>
  <c r="AE37" i="54"/>
  <c r="X220" i="54"/>
  <c r="X224" i="54" s="1"/>
  <c r="X221" i="54"/>
  <c r="BJ57" i="51"/>
  <c r="BJ58" i="51" s="1"/>
  <c r="BJ72" i="51" s="1"/>
  <c r="AD58" i="51"/>
  <c r="AD72" i="51" s="1"/>
  <c r="AC81" i="53"/>
  <c r="AD61" i="51" s="1"/>
  <c r="AC165" i="53"/>
  <c r="AD9" i="55" s="1"/>
  <c r="AD22" i="59" s="1"/>
  <c r="BH71" i="51"/>
  <c r="BH73" i="51" s="1"/>
  <c r="BH64" i="51"/>
  <c r="AF48" i="51"/>
  <c r="AE36" i="53"/>
  <c r="AE42" i="53" s="1"/>
  <c r="AD67" i="51"/>
  <c r="AC79" i="53"/>
  <c r="AA199" i="53"/>
  <c r="AB166" i="53"/>
  <c r="AG55" i="51"/>
  <c r="AF39" i="53"/>
  <c r="AH38" i="51"/>
  <c r="AG43" i="51"/>
  <c r="BM29" i="51"/>
  <c r="BL39" i="51"/>
  <c r="AH24" i="51"/>
  <c r="CF6" i="51" s="1"/>
  <c r="AG25" i="51"/>
  <c r="BN36" i="51"/>
  <c r="BN38" i="51" s="1"/>
  <c r="BN20" i="59" s="1"/>
  <c r="BM21" i="51"/>
  <c r="AH21" i="51"/>
  <c r="BM38" i="51"/>
  <c r="BM20" i="59" s="1"/>
  <c r="BM37" i="51"/>
  <c r="BM19" i="59" s="1"/>
  <c r="BL25" i="51"/>
  <c r="BN14" i="51"/>
  <c r="BN13" i="59" s="1"/>
  <c r="BN13" i="51"/>
  <c r="BN12" i="59" s="1"/>
  <c r="BN23" i="51"/>
  <c r="BN11" i="59" s="1"/>
  <c r="BN20" i="51"/>
  <c r="BN9" i="59" s="1"/>
  <c r="EG16" i="59" s="1"/>
  <c r="EL16" i="59" s="1"/>
  <c r="BN22" i="51"/>
  <c r="BN10" i="59" s="1"/>
  <c r="BN19" i="51"/>
  <c r="BN8" i="59" s="1"/>
  <c r="BL44" i="51"/>
  <c r="AH15" i="51"/>
  <c r="BM24" i="51"/>
  <c r="AH29" i="51"/>
  <c r="BN32" i="51"/>
  <c r="BN17" i="59" s="1"/>
  <c r="BN31" i="51"/>
  <c r="BN16" i="59" s="1"/>
  <c r="BN34" i="51"/>
  <c r="BN18" i="59" s="1"/>
  <c r="AG44" i="51"/>
  <c r="AG46" i="51" s="1"/>
  <c r="BM33" i="51"/>
  <c r="BM35" i="51" s="1"/>
  <c r="BM15" i="51"/>
  <c r="BN28" i="51"/>
  <c r="BN15" i="59" s="1"/>
  <c r="BN27" i="51"/>
  <c r="BN14" i="59" s="1"/>
  <c r="BK46" i="51"/>
  <c r="AH33" i="51"/>
  <c r="AH35" i="51" s="1"/>
  <c r="BL43" i="51"/>
  <c r="DJ158" i="55" l="1"/>
  <c r="CH28" i="57"/>
  <c r="CI7" i="57"/>
  <c r="CI37" i="57"/>
  <c r="R9" i="57"/>
  <c r="R39" i="57"/>
  <c r="AX28" i="57"/>
  <c r="AX30" i="57" s="1"/>
  <c r="AX18" i="57"/>
  <c r="AX20" i="57" s="1"/>
  <c r="CH8" i="57"/>
  <c r="CH38" i="57"/>
  <c r="AX158" i="55"/>
  <c r="R28" i="57"/>
  <c r="R30" i="57" s="1"/>
  <c r="R18" i="57"/>
  <c r="R20" i="57" s="1"/>
  <c r="R149" i="59" s="1"/>
  <c r="R155" i="59" s="1"/>
  <c r="CI151" i="55"/>
  <c r="CH158" i="55"/>
  <c r="CJ26" i="57"/>
  <c r="CH30" i="57"/>
  <c r="AX8" i="57"/>
  <c r="DJ18" i="57"/>
  <c r="DJ28" i="57"/>
  <c r="DJ17" i="57"/>
  <c r="DJ27" i="57"/>
  <c r="DJ135" i="55"/>
  <c r="R41" i="57"/>
  <c r="CG30" i="57"/>
  <c r="X261" i="54"/>
  <c r="CJ129" i="55"/>
  <c r="CJ17" i="57" s="1"/>
  <c r="CI152" i="55"/>
  <c r="CI27" i="57"/>
  <c r="CI135" i="55"/>
  <c r="CJ128" i="55"/>
  <c r="CJ112" i="55"/>
  <c r="Z201" i="53"/>
  <c r="Z204" i="53"/>
  <c r="CM178" i="55" s="1"/>
  <c r="Z202" i="53"/>
  <c r="CM176" i="55" s="1"/>
  <c r="Z203" i="53"/>
  <c r="CM177" i="55" s="1"/>
  <c r="Z206" i="53"/>
  <c r="CM180" i="55" s="1"/>
  <c r="Z205" i="53"/>
  <c r="CM179" i="55" s="1"/>
  <c r="DL6" i="55"/>
  <c r="DM146" i="59"/>
  <c r="BA101" i="59"/>
  <c r="BA153" i="59"/>
  <c r="BA98" i="59"/>
  <c r="BA125" i="59"/>
  <c r="BA55" i="59"/>
  <c r="X262" i="54"/>
  <c r="BE78" i="51" s="1"/>
  <c r="BE77" i="51"/>
  <c r="Z239" i="53"/>
  <c r="Z244" i="53" s="1"/>
  <c r="Y74" i="51"/>
  <c r="AB212" i="53"/>
  <c r="AB213" i="53"/>
  <c r="AB215" i="53"/>
  <c r="AB214" i="53"/>
  <c r="Z223" i="54"/>
  <c r="Z222" i="54"/>
  <c r="Z234" i="54" s="1"/>
  <c r="Z235" i="54" s="1"/>
  <c r="Z237" i="53"/>
  <c r="Z238" i="53" s="1"/>
  <c r="AA223" i="53"/>
  <c r="AA222" i="53"/>
  <c r="AA234" i="53" s="1"/>
  <c r="AA235" i="53" s="1"/>
  <c r="AA226" i="53"/>
  <c r="AB176" i="55" s="1"/>
  <c r="X245" i="54"/>
  <c r="X252" i="54" s="1"/>
  <c r="AB211" i="54"/>
  <c r="W245" i="54"/>
  <c r="W254" i="54" s="1"/>
  <c r="BD75" i="51" s="1"/>
  <c r="AD145" i="59"/>
  <c r="X240" i="53"/>
  <c r="X261" i="53" s="1"/>
  <c r="AZ125" i="59"/>
  <c r="AZ98" i="59"/>
  <c r="AZ55" i="59"/>
  <c r="AZ150" i="59"/>
  <c r="AZ148" i="59"/>
  <c r="AZ123" i="59"/>
  <c r="AZ95" i="59"/>
  <c r="AZ52" i="59"/>
  <c r="AZ96" i="59"/>
  <c r="AZ36" i="55"/>
  <c r="AZ59" i="55"/>
  <c r="AZ174" i="55"/>
  <c r="AZ105" i="55"/>
  <c r="AZ82" i="55"/>
  <c r="AZ37" i="55"/>
  <c r="AZ60" i="55"/>
  <c r="AZ83" i="55"/>
  <c r="AZ175" i="55"/>
  <c r="AZ106" i="55"/>
  <c r="AZ147" i="59"/>
  <c r="AZ122" i="59"/>
  <c r="AZ51" i="59"/>
  <c r="AZ94" i="59"/>
  <c r="DL19" i="55"/>
  <c r="DL20" i="55"/>
  <c r="DL24" i="59"/>
  <c r="DL25" i="59"/>
  <c r="DL7" i="55"/>
  <c r="DL27" i="59"/>
  <c r="DL151" i="59"/>
  <c r="DL99" i="59"/>
  <c r="DL56" i="59"/>
  <c r="DL126" i="59"/>
  <c r="DL101" i="59"/>
  <c r="DL153" i="59"/>
  <c r="DL97" i="59"/>
  <c r="DL124" i="59"/>
  <c r="DL53" i="59"/>
  <c r="DL54" i="59"/>
  <c r="DL152" i="59"/>
  <c r="DL100" i="59"/>
  <c r="DL127" i="59"/>
  <c r="DL57" i="59"/>
  <c r="DL93" i="59"/>
  <c r="DL31" i="59"/>
  <c r="DL154" i="59" s="1"/>
  <c r="DL121" i="59"/>
  <c r="DL50" i="59"/>
  <c r="DL146" i="59"/>
  <c r="AA212" i="54"/>
  <c r="AA214" i="54"/>
  <c r="AA213" i="54"/>
  <c r="AA215" i="54"/>
  <c r="W74" i="51"/>
  <c r="W76" i="51" s="1"/>
  <c r="W58" i="58" s="1"/>
  <c r="V256" i="53"/>
  <c r="W10" i="55"/>
  <c r="BA150" i="59"/>
  <c r="Y237" i="53"/>
  <c r="Y238" i="53" s="1"/>
  <c r="Y240" i="53" s="1"/>
  <c r="Y261" i="53" s="1"/>
  <c r="X11" i="58"/>
  <c r="X6" i="58"/>
  <c r="DM50" i="59"/>
  <c r="DM93" i="59"/>
  <c r="DM121" i="59"/>
  <c r="DM31" i="59"/>
  <c r="BA121" i="59"/>
  <c r="BA50" i="59"/>
  <c r="BA24" i="59"/>
  <c r="BA31" i="59"/>
  <c r="BA154" i="59" s="1"/>
  <c r="AV39" i="57"/>
  <c r="BA93" i="59"/>
  <c r="DH28" i="57"/>
  <c r="DH30" i="57" s="1"/>
  <c r="DH18" i="57"/>
  <c r="DH20" i="57" s="1"/>
  <c r="DH149" i="59" s="1"/>
  <c r="DH155" i="59" s="1"/>
  <c r="DH158" i="55"/>
  <c r="BA127" i="59"/>
  <c r="BA97" i="59"/>
  <c r="BA25" i="59"/>
  <c r="BA148" i="59" s="1"/>
  <c r="DM11" i="55"/>
  <c r="DM14" i="55"/>
  <c r="DM28" i="59" s="1"/>
  <c r="DM151" i="59" s="1"/>
  <c r="DM16" i="55"/>
  <c r="DM30" i="59" s="1"/>
  <c r="DM15" i="55"/>
  <c r="DM29" i="59" s="1"/>
  <c r="DM152" i="59" s="1"/>
  <c r="DM13" i="55"/>
  <c r="DM12" i="55"/>
  <c r="DM26" i="59" s="1"/>
  <c r="BA100" i="59"/>
  <c r="BA124" i="59"/>
  <c r="BA126" i="59"/>
  <c r="BA54" i="59"/>
  <c r="AC165" i="54"/>
  <c r="AW149" i="59"/>
  <c r="AW155" i="59" s="1"/>
  <c r="BA99" i="59"/>
  <c r="BA57" i="59"/>
  <c r="BA56" i="59"/>
  <c r="AA210" i="54"/>
  <c r="AA226" i="54" s="1"/>
  <c r="BH176" i="55" s="1"/>
  <c r="DT176" i="55" s="1"/>
  <c r="BH172" i="55"/>
  <c r="X262" i="53"/>
  <c r="Y78" i="51" s="1"/>
  <c r="Y77" i="51"/>
  <c r="W262" i="54"/>
  <c r="BD78" i="51" s="1"/>
  <c r="BD77" i="51"/>
  <c r="AE51" i="51"/>
  <c r="AD207" i="53"/>
  <c r="AE4" i="55"/>
  <c r="BA19" i="55"/>
  <c r="BA20" i="55"/>
  <c r="AE67" i="51"/>
  <c r="AD79" i="53"/>
  <c r="AC207" i="54"/>
  <c r="BJ4" i="55"/>
  <c r="BA7" i="55"/>
  <c r="BA6" i="55"/>
  <c r="BK51" i="51"/>
  <c r="X254" i="53"/>
  <c r="Y10" i="55" s="1"/>
  <c r="Y23" i="59" s="1"/>
  <c r="AC162" i="54"/>
  <c r="AE58" i="51"/>
  <c r="AE72" i="51" s="1"/>
  <c r="AD81" i="53"/>
  <c r="AE61" i="51" s="1"/>
  <c r="AD165" i="53"/>
  <c r="AE9" i="55" s="1"/>
  <c r="Y245" i="53"/>
  <c r="Y254" i="53" s="1"/>
  <c r="Z75" i="51" s="1"/>
  <c r="Y221" i="53"/>
  <c r="Y220" i="53"/>
  <c r="Y224" i="53" s="1"/>
  <c r="Z216" i="54"/>
  <c r="Z217" i="54"/>
  <c r="BK58" i="51"/>
  <c r="BK72" i="51" s="1"/>
  <c r="DK40" i="57"/>
  <c r="DK10" i="57"/>
  <c r="AY151" i="55"/>
  <c r="DK151" i="55" s="1"/>
  <c r="V51" i="59"/>
  <c r="V147" i="59"/>
  <c r="DK35" i="57"/>
  <c r="DK5" i="57"/>
  <c r="J40" i="60"/>
  <c r="AA225" i="53"/>
  <c r="AA229" i="53"/>
  <c r="AB179" i="55" s="1"/>
  <c r="AC208" i="53"/>
  <c r="AA228" i="53"/>
  <c r="AB178" i="55" s="1"/>
  <c r="AA230" i="53"/>
  <c r="AB180" i="55" s="1"/>
  <c r="CL24" i="59"/>
  <c r="BN113" i="59"/>
  <c r="BN43" i="59"/>
  <c r="BN69" i="59"/>
  <c r="EH17" i="59"/>
  <c r="EM17" i="59" s="1"/>
  <c r="BN86" i="59"/>
  <c r="CL101" i="59"/>
  <c r="CL153" i="59"/>
  <c r="AH43" i="59"/>
  <c r="AH113" i="59"/>
  <c r="AH69" i="59"/>
  <c r="EH8" i="59"/>
  <c r="EM8" i="59" s="1"/>
  <c r="AH86" i="59"/>
  <c r="BM73" i="59"/>
  <c r="BM90" i="59"/>
  <c r="BM117" i="59"/>
  <c r="BM47" i="59"/>
  <c r="EF8" i="59"/>
  <c r="EK8" i="59" s="1"/>
  <c r="AH85" i="59"/>
  <c r="AH112" i="59"/>
  <c r="AH42" i="59"/>
  <c r="AH68" i="59"/>
  <c r="AG118" i="59"/>
  <c r="AG74" i="59"/>
  <c r="AG75" i="59" s="1"/>
  <c r="AG91" i="59"/>
  <c r="AG48" i="59"/>
  <c r="CH6" i="51"/>
  <c r="AH20" i="59"/>
  <c r="Z226" i="54"/>
  <c r="BG176" i="55" s="1"/>
  <c r="DS176" i="55" s="1"/>
  <c r="BM118" i="59"/>
  <c r="BM91" i="59"/>
  <c r="BM74" i="59"/>
  <c r="BM48" i="59"/>
  <c r="AH90" i="59"/>
  <c r="AH117" i="59"/>
  <c r="EF12" i="59"/>
  <c r="AH47" i="59"/>
  <c r="AH73" i="59"/>
  <c r="EH19" i="59"/>
  <c r="EM19" i="59" s="1"/>
  <c r="BN89" i="59"/>
  <c r="BN116" i="59"/>
  <c r="BN46" i="59"/>
  <c r="BN72" i="59"/>
  <c r="EF19" i="59"/>
  <c r="EK19" i="59" s="1"/>
  <c r="BN87" i="59"/>
  <c r="BN114" i="59"/>
  <c r="BN44" i="59"/>
  <c r="BN70" i="59"/>
  <c r="AF40" i="53"/>
  <c r="X24" i="59"/>
  <c r="L24" i="60"/>
  <c r="CK51" i="59"/>
  <c r="CK147" i="59"/>
  <c r="EG19" i="59"/>
  <c r="EL19" i="59" s="1"/>
  <c r="BN45" i="59"/>
  <c r="BN88" i="59"/>
  <c r="BN115" i="59"/>
  <c r="BN71" i="59"/>
  <c r="BN118" i="59"/>
  <c r="BN48" i="59"/>
  <c r="BN74" i="59"/>
  <c r="BN91" i="59"/>
  <c r="X101" i="59"/>
  <c r="BN68" i="59"/>
  <c r="EF17" i="59"/>
  <c r="EK17" i="59" s="1"/>
  <c r="BN85" i="59"/>
  <c r="BN112" i="59"/>
  <c r="BN42" i="59"/>
  <c r="BN83" i="59"/>
  <c r="BN110" i="59"/>
  <c r="BN66" i="59"/>
  <c r="EG18" i="59"/>
  <c r="EL18" i="59" s="1"/>
  <c r="BN40" i="59"/>
  <c r="CH149" i="59"/>
  <c r="CH155" i="59" s="1"/>
  <c r="BN84" i="59"/>
  <c r="BN111" i="59"/>
  <c r="BN41" i="59"/>
  <c r="BN67" i="59"/>
  <c r="EF18" i="59"/>
  <c r="EK9" i="59"/>
  <c r="EJ9" i="59"/>
  <c r="EO9" i="59" s="1"/>
  <c r="CJ43" i="55"/>
  <c r="CJ4" i="57" s="1"/>
  <c r="BC11" i="58"/>
  <c r="BC6" i="58"/>
  <c r="CJ89" i="55"/>
  <c r="CJ15" i="57"/>
  <c r="AA216" i="53"/>
  <c r="BB11" i="58"/>
  <c r="BB6" i="58"/>
  <c r="Y239" i="54"/>
  <c r="Y244" i="54" s="1"/>
  <c r="DK102" i="59"/>
  <c r="AY135" i="55"/>
  <c r="AY8" i="57" s="1"/>
  <c r="DK128" i="59"/>
  <c r="DT49" i="59"/>
  <c r="DT92" i="59"/>
  <c r="DT120" i="59"/>
  <c r="CM120" i="59"/>
  <c r="CM49" i="59"/>
  <c r="CM31" i="59"/>
  <c r="CM154" i="59" s="1"/>
  <c r="AD49" i="59"/>
  <c r="CK96" i="59"/>
  <c r="CK52" i="59"/>
  <c r="AC49" i="59"/>
  <c r="BH120" i="59"/>
  <c r="BH49" i="59"/>
  <c r="EH16" i="59"/>
  <c r="EM16" i="59" s="1"/>
  <c r="V96" i="59"/>
  <c r="V52" i="59"/>
  <c r="EK7" i="59"/>
  <c r="BN39" i="59"/>
  <c r="BN82" i="59"/>
  <c r="BN109" i="59"/>
  <c r="BN65" i="59"/>
  <c r="BN80" i="59"/>
  <c r="H25" i="60"/>
  <c r="BN107" i="59"/>
  <c r="BN37" i="59"/>
  <c r="BN63" i="59"/>
  <c r="EF16" i="59"/>
  <c r="BN79" i="59"/>
  <c r="BN106" i="59"/>
  <c r="BN36" i="59"/>
  <c r="BN62" i="59"/>
  <c r="H40" i="60"/>
  <c r="BN81" i="59"/>
  <c r="BN108" i="59"/>
  <c r="BN38" i="59"/>
  <c r="BN64" i="59"/>
  <c r="I26" i="60"/>
  <c r="BH92" i="59"/>
  <c r="DK26" i="57"/>
  <c r="BC23" i="59"/>
  <c r="DO10" i="55"/>
  <c r="DO23" i="59" s="1"/>
  <c r="CJ25" i="57"/>
  <c r="DK37" i="57"/>
  <c r="DK7" i="57"/>
  <c r="DK36" i="57"/>
  <c r="DK6" i="57"/>
  <c r="DK135" i="55"/>
  <c r="DK34" i="57"/>
  <c r="DK4" i="57"/>
  <c r="BI22" i="59"/>
  <c r="BI145" i="59" s="1"/>
  <c r="DU9" i="55"/>
  <c r="DU22" i="59" s="1"/>
  <c r="DU145" i="59" s="1"/>
  <c r="U35" i="57"/>
  <c r="CJ23" i="57"/>
  <c r="DI39" i="57"/>
  <c r="DI9" i="57"/>
  <c r="DK27" i="57"/>
  <c r="DK17" i="57"/>
  <c r="CK36" i="55"/>
  <c r="CJ24" i="57"/>
  <c r="CI35" i="57"/>
  <c r="CI36" i="57"/>
  <c r="Z228" i="54"/>
  <c r="BG178" i="55" s="1"/>
  <c r="DS178" i="55" s="1"/>
  <c r="CK60" i="55"/>
  <c r="CK14" i="57" s="1"/>
  <c r="CK175" i="55"/>
  <c r="CK19" i="57" s="1"/>
  <c r="Z230" i="54"/>
  <c r="BG180" i="55" s="1"/>
  <c r="DS180" i="55" s="1"/>
  <c r="CK37" i="55"/>
  <c r="CK174" i="55"/>
  <c r="CI34" i="57"/>
  <c r="CK82" i="55"/>
  <c r="CK83" i="55"/>
  <c r="CK15" i="57" s="1"/>
  <c r="Z225" i="54"/>
  <c r="CK106" i="55"/>
  <c r="CK112" i="55" s="1"/>
  <c r="Z229" i="54"/>
  <c r="BG179" i="55" s="1"/>
  <c r="DS179" i="55" s="1"/>
  <c r="CK59" i="55"/>
  <c r="T128" i="59"/>
  <c r="V32" i="59"/>
  <c r="AD120" i="59"/>
  <c r="AY4" i="57"/>
  <c r="AY34" i="57"/>
  <c r="U10" i="57"/>
  <c r="U40" i="57"/>
  <c r="U152" i="55"/>
  <c r="U158" i="55" s="1"/>
  <c r="U27" i="57"/>
  <c r="U17" i="57"/>
  <c r="CG9" i="57"/>
  <c r="CG39" i="57"/>
  <c r="CG41" i="57" s="1"/>
  <c r="U8" i="57"/>
  <c r="U38" i="57"/>
  <c r="U4" i="57"/>
  <c r="U34" i="57"/>
  <c r="AY6" i="57"/>
  <c r="AY36" i="57"/>
  <c r="U6" i="57"/>
  <c r="U36" i="57"/>
  <c r="U7" i="57"/>
  <c r="U37" i="57"/>
  <c r="T29" i="57"/>
  <c r="T19" i="57"/>
  <c r="AW9" i="57"/>
  <c r="AW39" i="57"/>
  <c r="CJ29" i="57"/>
  <c r="T24" i="57"/>
  <c r="T14" i="57"/>
  <c r="T25" i="57"/>
  <c r="T15" i="57"/>
  <c r="AY7" i="57"/>
  <c r="AY37" i="57"/>
  <c r="T13" i="57"/>
  <c r="T23" i="57"/>
  <c r="T129" i="55"/>
  <c r="T26" i="57"/>
  <c r="T16" i="57"/>
  <c r="AY10" i="57"/>
  <c r="AY40" i="57"/>
  <c r="AY152" i="55"/>
  <c r="DK152" i="55" s="1"/>
  <c r="AY27" i="57"/>
  <c r="AY17" i="57"/>
  <c r="AY5" i="57"/>
  <c r="AY35" i="57"/>
  <c r="AC120" i="59"/>
  <c r="CJ10" i="57"/>
  <c r="CJ40" i="57"/>
  <c r="CL99" i="59"/>
  <c r="CL126" i="59"/>
  <c r="CK94" i="59"/>
  <c r="CK122" i="59"/>
  <c r="CL100" i="59"/>
  <c r="CL127" i="59"/>
  <c r="CK95" i="59"/>
  <c r="CK123" i="59"/>
  <c r="V95" i="59"/>
  <c r="V123" i="59"/>
  <c r="X100" i="59"/>
  <c r="X127" i="59"/>
  <c r="V94" i="59"/>
  <c r="V122" i="59"/>
  <c r="X99" i="59"/>
  <c r="X126" i="59"/>
  <c r="CL97" i="59"/>
  <c r="CL124" i="59"/>
  <c r="X97" i="59"/>
  <c r="X124" i="59"/>
  <c r="CJ128" i="59"/>
  <c r="X98" i="59"/>
  <c r="X125" i="59"/>
  <c r="CL98" i="59"/>
  <c r="CL125" i="59"/>
  <c r="X10" i="58"/>
  <c r="CM92" i="59"/>
  <c r="AD92" i="59"/>
  <c r="AC92" i="59"/>
  <c r="T102" i="59"/>
  <c r="T58" i="59"/>
  <c r="X55" i="59"/>
  <c r="CL55" i="59"/>
  <c r="CL57" i="59"/>
  <c r="X56" i="59"/>
  <c r="CL54" i="59"/>
  <c r="CL56" i="59"/>
  <c r="X57" i="59"/>
  <c r="CJ102" i="59"/>
  <c r="X54" i="59"/>
  <c r="CJ58" i="59"/>
  <c r="CL19" i="55"/>
  <c r="CL174" i="55" s="1"/>
  <c r="CL25" i="59"/>
  <c r="CL148" i="59" s="1"/>
  <c r="T181" i="55"/>
  <c r="X25" i="59"/>
  <c r="BC58" i="58"/>
  <c r="Y240" i="54"/>
  <c r="T89" i="55"/>
  <c r="AA200" i="53"/>
  <c r="AA205" i="53" s="1"/>
  <c r="CN179" i="55" s="1"/>
  <c r="CN172" i="55"/>
  <c r="AB210" i="53"/>
  <c r="AC172" i="55"/>
  <c r="V106" i="55"/>
  <c r="V83" i="55"/>
  <c r="V175" i="55"/>
  <c r="CK128" i="55"/>
  <c r="T151" i="55"/>
  <c r="V105" i="55"/>
  <c r="V128" i="55" s="1"/>
  <c r="V82" i="55"/>
  <c r="V174" i="55"/>
  <c r="T43" i="55"/>
  <c r="T112" i="55"/>
  <c r="V59" i="55"/>
  <c r="V36" i="55"/>
  <c r="V60" i="55"/>
  <c r="V37" i="55"/>
  <c r="T66" i="55"/>
  <c r="CJ66" i="55"/>
  <c r="CL6" i="55"/>
  <c r="CL7" i="55"/>
  <c r="X20" i="55"/>
  <c r="X19" i="55"/>
  <c r="BC11" i="55"/>
  <c r="BC13" i="55"/>
  <c r="BC27" i="59" s="1"/>
  <c r="BC14" i="55"/>
  <c r="BC28" i="59" s="1"/>
  <c r="BC12" i="55"/>
  <c r="BC26" i="59" s="1"/>
  <c r="BC53" i="59" s="1"/>
  <c r="BC16" i="55"/>
  <c r="BC30" i="59" s="1"/>
  <c r="BC15" i="55"/>
  <c r="BC29" i="59" s="1"/>
  <c r="BB74" i="51"/>
  <c r="BB76" i="51" s="1"/>
  <c r="BB10" i="55"/>
  <c r="BJ9" i="55"/>
  <c r="X6" i="55"/>
  <c r="CM11" i="55"/>
  <c r="CM13" i="55"/>
  <c r="CM27" i="59" s="1"/>
  <c r="CM150" i="59" s="1"/>
  <c r="CM12" i="55"/>
  <c r="CM26" i="59" s="1"/>
  <c r="CM53" i="59" s="1"/>
  <c r="CM15" i="55"/>
  <c r="CM29" i="59" s="1"/>
  <c r="CM152" i="59" s="1"/>
  <c r="CM14" i="55"/>
  <c r="CM28" i="59" s="1"/>
  <c r="CM151" i="59" s="1"/>
  <c r="CM16" i="55"/>
  <c r="CM30" i="59" s="1"/>
  <c r="X7" i="55"/>
  <c r="Z220" i="53"/>
  <c r="Z224" i="53" s="1"/>
  <c r="Z221" i="53"/>
  <c r="AH59" i="51"/>
  <c r="AG38" i="53"/>
  <c r="AG48" i="51"/>
  <c r="AF36" i="53"/>
  <c r="AF42" i="53" s="1"/>
  <c r="AE72" i="53"/>
  <c r="AE73" i="53" s="1"/>
  <c r="AF49" i="51" s="1"/>
  <c r="BL49" i="51" s="1"/>
  <c r="AE78" i="53"/>
  <c r="AE74" i="53"/>
  <c r="AE75" i="53" s="1"/>
  <c r="AF57" i="51" s="1"/>
  <c r="AE80" i="53"/>
  <c r="AE47" i="53"/>
  <c r="AE162" i="53" s="1"/>
  <c r="BI71" i="51"/>
  <c r="BI73" i="51" s="1"/>
  <c r="BI64" i="51"/>
  <c r="BL48" i="51"/>
  <c r="AE36" i="54"/>
  <c r="AE42" i="54" s="1"/>
  <c r="BL65" i="51"/>
  <c r="AE40" i="54"/>
  <c r="BJ67" i="51"/>
  <c r="BJ70" i="51" s="1"/>
  <c r="AD70" i="51"/>
  <c r="Y220" i="54"/>
  <c r="Y224" i="54" s="1"/>
  <c r="Y221" i="54"/>
  <c r="BM55" i="51"/>
  <c r="AF39" i="54"/>
  <c r="BM59" i="51"/>
  <c r="AF38" i="54"/>
  <c r="AC215" i="53"/>
  <c r="AC214" i="53"/>
  <c r="AC213" i="53"/>
  <c r="AC212" i="53"/>
  <c r="AD80" i="54"/>
  <c r="AD78" i="54"/>
  <c r="AD79" i="54" s="1"/>
  <c r="AD72" i="54"/>
  <c r="AD73" i="54" s="1"/>
  <c r="AD74" i="54"/>
  <c r="AD75" i="54" s="1"/>
  <c r="AD47" i="54"/>
  <c r="Z199" i="54"/>
  <c r="Z200" i="54" s="1"/>
  <c r="AA166" i="54"/>
  <c r="CN9" i="55" s="1"/>
  <c r="CN22" i="59" s="1"/>
  <c r="CN145" i="59" s="1"/>
  <c r="AA218" i="53"/>
  <c r="AA219" i="53"/>
  <c r="AC232" i="53"/>
  <c r="AC233" i="53" s="1"/>
  <c r="AC209" i="53"/>
  <c r="Y202" i="54"/>
  <c r="Y205" i="54"/>
  <c r="Y201" i="54"/>
  <c r="Y203" i="54"/>
  <c r="Y204" i="54"/>
  <c r="Y206" i="54"/>
  <c r="AB232" i="54"/>
  <c r="AB233" i="54" s="1"/>
  <c r="AB209" i="54"/>
  <c r="DU172" i="55" s="1"/>
  <c r="BJ61" i="51"/>
  <c r="AD71" i="51"/>
  <c r="AD73" i="51" s="1"/>
  <c r="AD64" i="51"/>
  <c r="AB199" i="53"/>
  <c r="AC166" i="53"/>
  <c r="AH55" i="51"/>
  <c r="AG39" i="53"/>
  <c r="AH39" i="51"/>
  <c r="BM25" i="51"/>
  <c r="AH44" i="51"/>
  <c r="CE12" i="51" s="1"/>
  <c r="BL46" i="51"/>
  <c r="BN29" i="51"/>
  <c r="BN37" i="51"/>
  <c r="BN24" i="51"/>
  <c r="BN44" i="51" s="1"/>
  <c r="BM39" i="51"/>
  <c r="BN15" i="51"/>
  <c r="BN17" i="51" s="1"/>
  <c r="CF5" i="51"/>
  <c r="AH25" i="51"/>
  <c r="BN21" i="51"/>
  <c r="BM43" i="51"/>
  <c r="BM17" i="51"/>
  <c r="BN33" i="51"/>
  <c r="BN35" i="51" s="1"/>
  <c r="AH17" i="51"/>
  <c r="AH43" i="51"/>
  <c r="CE5" i="51"/>
  <c r="BM44" i="51"/>
  <c r="DJ39" i="57" l="1"/>
  <c r="DJ9" i="57"/>
  <c r="S149" i="59"/>
  <c r="S155" i="59" s="1"/>
  <c r="AX149" i="59"/>
  <c r="AX155" i="59" s="1"/>
  <c r="P35" i="60"/>
  <c r="AX9" i="57"/>
  <c r="AX39" i="57"/>
  <c r="DJ30" i="57"/>
  <c r="DJ20" i="57"/>
  <c r="DJ149" i="59" s="1"/>
  <c r="DJ155" i="59" s="1"/>
  <c r="CH39" i="57"/>
  <c r="DJ38" i="57"/>
  <c r="DJ8" i="57"/>
  <c r="CH9" i="57"/>
  <c r="DM154" i="59"/>
  <c r="CH41" i="57"/>
  <c r="T135" i="55"/>
  <c r="BM75" i="59"/>
  <c r="CL51" i="59"/>
  <c r="CL147" i="59"/>
  <c r="CI158" i="55"/>
  <c r="CI18" i="57"/>
  <c r="CI20" i="57" s="1"/>
  <c r="CI149" i="59" s="1"/>
  <c r="CI155" i="59" s="1"/>
  <c r="DI149" i="59"/>
  <c r="DI155" i="59" s="1"/>
  <c r="DH39" i="57"/>
  <c r="DH9" i="57"/>
  <c r="CI28" i="57"/>
  <c r="CI30" i="57" s="1"/>
  <c r="X254" i="54"/>
  <c r="BE75" i="51" s="1"/>
  <c r="CJ6" i="57"/>
  <c r="CJ36" i="57"/>
  <c r="CI8" i="57"/>
  <c r="CI38" i="57"/>
  <c r="CJ7" i="57"/>
  <c r="CJ37" i="57"/>
  <c r="CJ152" i="55"/>
  <c r="CJ18" i="57" s="1"/>
  <c r="CJ27" i="57"/>
  <c r="CJ151" i="55"/>
  <c r="BE59" i="58"/>
  <c r="Z236" i="54"/>
  <c r="CJ135" i="55"/>
  <c r="AA229" i="54"/>
  <c r="BH179" i="55" s="1"/>
  <c r="DT179" i="55" s="1"/>
  <c r="AA236" i="53"/>
  <c r="BE74" i="51"/>
  <c r="W252" i="54"/>
  <c r="AB217" i="53"/>
  <c r="AB216" i="53"/>
  <c r="AB222" i="53"/>
  <c r="AB234" i="53" s="1"/>
  <c r="AB235" i="53" s="1"/>
  <c r="AB223" i="53"/>
  <c r="AB213" i="54"/>
  <c r="AB212" i="54"/>
  <c r="AB215" i="54"/>
  <c r="AB214" i="54"/>
  <c r="Z240" i="53"/>
  <c r="Z261" i="53" s="1"/>
  <c r="Z245" i="53"/>
  <c r="Z254" i="53" s="1"/>
  <c r="AA75" i="51" s="1"/>
  <c r="AA239" i="53"/>
  <c r="AA244" i="53" s="1"/>
  <c r="Y261" i="54"/>
  <c r="Y262" i="54" s="1"/>
  <c r="BF78" i="51" s="1"/>
  <c r="DM57" i="59"/>
  <c r="DM127" i="59"/>
  <c r="DM100" i="59"/>
  <c r="DM126" i="59"/>
  <c r="DM56" i="59"/>
  <c r="DM99" i="59"/>
  <c r="BA52" i="59"/>
  <c r="Y13" i="55"/>
  <c r="Y27" i="59" s="1"/>
  <c r="X256" i="53"/>
  <c r="AA230" i="54"/>
  <c r="BH180" i="55" s="1"/>
  <c r="DT180" i="55" s="1"/>
  <c r="BA36" i="55"/>
  <c r="DM36" i="55" s="1"/>
  <c r="Y75" i="51"/>
  <c r="Y76" i="51" s="1"/>
  <c r="Y59" i="58"/>
  <c r="BA106" i="55"/>
  <c r="DM106" i="55" s="1"/>
  <c r="BA175" i="55"/>
  <c r="DM175" i="55" s="1"/>
  <c r="AA225" i="54"/>
  <c r="BA105" i="55"/>
  <c r="BA174" i="55"/>
  <c r="DM174" i="55" s="1"/>
  <c r="AA227" i="54"/>
  <c r="BH177" i="55" s="1"/>
  <c r="DT177" i="55" s="1"/>
  <c r="AA228" i="54"/>
  <c r="BH178" i="55" s="1"/>
  <c r="DT178" i="55" s="1"/>
  <c r="BA59" i="55"/>
  <c r="DM59" i="55" s="1"/>
  <c r="Y16" i="55"/>
  <c r="Y30" i="59" s="1"/>
  <c r="Y12" i="55"/>
  <c r="Y26" i="59" s="1"/>
  <c r="Y53" i="59" s="1"/>
  <c r="Y14" i="55"/>
  <c r="Y28" i="59" s="1"/>
  <c r="Y11" i="55"/>
  <c r="BA95" i="59"/>
  <c r="BA123" i="59"/>
  <c r="BD59" i="58"/>
  <c r="BA83" i="55"/>
  <c r="DM83" i="55" s="1"/>
  <c r="BA82" i="55"/>
  <c r="DM82" i="55" s="1"/>
  <c r="BA60" i="55"/>
  <c r="DM60" i="55" s="1"/>
  <c r="BA37" i="55"/>
  <c r="DM37" i="55" s="1"/>
  <c r="Y15" i="55"/>
  <c r="Y29" i="59" s="1"/>
  <c r="AZ43" i="55"/>
  <c r="DL36" i="55"/>
  <c r="AZ66" i="55"/>
  <c r="DL59" i="55"/>
  <c r="AZ181" i="55"/>
  <c r="DL174" i="55"/>
  <c r="AZ112" i="55"/>
  <c r="DL105" i="55"/>
  <c r="AZ128" i="55"/>
  <c r="AZ89" i="55"/>
  <c r="DL82" i="55"/>
  <c r="AZ13" i="57"/>
  <c r="AZ23" i="57"/>
  <c r="DL37" i="55"/>
  <c r="AZ14" i="57"/>
  <c r="AZ24" i="57"/>
  <c r="DL60" i="55"/>
  <c r="AZ15" i="57"/>
  <c r="AZ25" i="57"/>
  <c r="DL83" i="55"/>
  <c r="AZ19" i="57"/>
  <c r="AZ29" i="57"/>
  <c r="DL175" i="55"/>
  <c r="AZ16" i="57"/>
  <c r="AZ26" i="57"/>
  <c r="AZ129" i="55"/>
  <c r="DL106" i="55"/>
  <c r="DL94" i="59"/>
  <c r="DL122" i="59"/>
  <c r="DL51" i="59"/>
  <c r="DL147" i="59"/>
  <c r="DL95" i="59"/>
  <c r="DL96" i="59"/>
  <c r="DL123" i="59"/>
  <c r="DL52" i="59"/>
  <c r="DL148" i="59"/>
  <c r="DL150" i="59"/>
  <c r="DL55" i="59"/>
  <c r="DL125" i="59"/>
  <c r="DL98" i="59"/>
  <c r="AA216" i="54"/>
  <c r="AA217" i="54"/>
  <c r="AA223" i="54"/>
  <c r="AA222" i="54"/>
  <c r="W10" i="58"/>
  <c r="W32" i="59" s="1"/>
  <c r="W5" i="58"/>
  <c r="W14" i="55"/>
  <c r="W28" i="59" s="1"/>
  <c r="W15" i="55"/>
  <c r="W29" i="59" s="1"/>
  <c r="W13" i="55"/>
  <c r="W16" i="55"/>
  <c r="W30" i="59" s="1"/>
  <c r="W11" i="55"/>
  <c r="W12" i="55"/>
  <c r="W26" i="59" s="1"/>
  <c r="W23" i="59"/>
  <c r="Z77" i="51"/>
  <c r="Z59" i="58" s="1"/>
  <c r="Y262" i="53"/>
  <c r="Z78" i="51" s="1"/>
  <c r="AD211" i="53"/>
  <c r="AD208" i="53"/>
  <c r="AC208" i="54"/>
  <c r="AC211" i="54"/>
  <c r="AZ102" i="59"/>
  <c r="DM101" i="59"/>
  <c r="DM153" i="59"/>
  <c r="BA51" i="59"/>
  <c r="BA147" i="59"/>
  <c r="DM7" i="55"/>
  <c r="DM27" i="59"/>
  <c r="DM150" i="59" s="1"/>
  <c r="DM53" i="59"/>
  <c r="DM124" i="59"/>
  <c r="DM54" i="59"/>
  <c r="DM97" i="59"/>
  <c r="BA94" i="59"/>
  <c r="DM6" i="55"/>
  <c r="DM25" i="59"/>
  <c r="DM148" i="59" s="1"/>
  <c r="DM24" i="59"/>
  <c r="DM147" i="59" s="1"/>
  <c r="Y50" i="59"/>
  <c r="Y31" i="59"/>
  <c r="BA96" i="59"/>
  <c r="BA122" i="59"/>
  <c r="DM19" i="55"/>
  <c r="DM20" i="55"/>
  <c r="Y121" i="59"/>
  <c r="Y93" i="59"/>
  <c r="BK9" i="55"/>
  <c r="AE22" i="59"/>
  <c r="AE145" i="59" s="1"/>
  <c r="Y245" i="54"/>
  <c r="Y254" i="54" s="1"/>
  <c r="BF75" i="51" s="1"/>
  <c r="AB229" i="53"/>
  <c r="AC179" i="55" s="1"/>
  <c r="AB227" i="53"/>
  <c r="AC177" i="55" s="1"/>
  <c r="AB226" i="53"/>
  <c r="AC176" i="55" s="1"/>
  <c r="AB230" i="53"/>
  <c r="AC180" i="55" s="1"/>
  <c r="AB225" i="53"/>
  <c r="AB228" i="53"/>
  <c r="AC178" i="55" s="1"/>
  <c r="AC209" i="54"/>
  <c r="DV172" i="55" s="1"/>
  <c r="AC232" i="54"/>
  <c r="AC233" i="54" s="1"/>
  <c r="Y252" i="53"/>
  <c r="AD209" i="53"/>
  <c r="AD232" i="53"/>
  <c r="AD233" i="53" s="1"/>
  <c r="BK67" i="51"/>
  <c r="BK70" i="51" s="1"/>
  <c r="AE70" i="51"/>
  <c r="Z219" i="54"/>
  <c r="Z218" i="54"/>
  <c r="BK61" i="51"/>
  <c r="AE71" i="51"/>
  <c r="AE73" i="51" s="1"/>
  <c r="AE64" i="51"/>
  <c r="DK158" i="55"/>
  <c r="L28" i="60"/>
  <c r="EF13" i="59"/>
  <c r="EP6" i="59" s="1"/>
  <c r="CL36" i="55"/>
  <c r="CL59" i="55"/>
  <c r="CL37" i="55"/>
  <c r="CL13" i="57" s="1"/>
  <c r="CL60" i="55"/>
  <c r="CL14" i="57" s="1"/>
  <c r="CJ34" i="57"/>
  <c r="BI92" i="59"/>
  <c r="AY38" i="57"/>
  <c r="BI120" i="59"/>
  <c r="G58" i="60"/>
  <c r="CM24" i="59"/>
  <c r="BC101" i="59"/>
  <c r="EK18" i="59"/>
  <c r="EJ18" i="59"/>
  <c r="EO18" i="59" s="1"/>
  <c r="X51" i="59"/>
  <c r="N26" i="60"/>
  <c r="AH118" i="59"/>
  <c r="AH48" i="59"/>
  <c r="AH74" i="59"/>
  <c r="AH75" i="59" s="1"/>
  <c r="AH91" i="59"/>
  <c r="G2" i="61"/>
  <c r="G10" i="61" s="1"/>
  <c r="G11" i="61" s="1"/>
  <c r="BN39" i="51"/>
  <c r="BN19" i="59"/>
  <c r="AA206" i="53"/>
  <c r="CN180" i="55" s="1"/>
  <c r="CM101" i="59"/>
  <c r="CM153" i="59"/>
  <c r="CK23" i="57"/>
  <c r="CK13" i="57"/>
  <c r="DO50" i="59"/>
  <c r="DO93" i="59"/>
  <c r="DO121" i="59"/>
  <c r="DO31" i="59"/>
  <c r="DU49" i="59"/>
  <c r="DU120" i="59"/>
  <c r="DU92" i="59"/>
  <c r="CK26" i="57"/>
  <c r="CK16" i="57"/>
  <c r="BC93" i="59"/>
  <c r="BC50" i="59"/>
  <c r="BC24" i="59"/>
  <c r="BC31" i="59"/>
  <c r="X96" i="59"/>
  <c r="X52" i="59"/>
  <c r="BI49" i="59"/>
  <c r="CL96" i="59"/>
  <c r="CL52" i="59"/>
  <c r="CN120" i="59"/>
  <c r="CN49" i="59"/>
  <c r="CN31" i="59"/>
  <c r="CN154" i="59" s="1"/>
  <c r="EK16" i="59"/>
  <c r="N26" i="63"/>
  <c r="N46" i="63" s="1"/>
  <c r="F40" i="63"/>
  <c r="H21" i="61"/>
  <c r="E29" i="61"/>
  <c r="H23" i="61" s="1"/>
  <c r="CK25" i="57"/>
  <c r="BC121" i="59"/>
  <c r="CK89" i="55"/>
  <c r="DO16" i="55"/>
  <c r="DO30" i="59" s="1"/>
  <c r="DO11" i="55"/>
  <c r="DO14" i="55"/>
  <c r="DO28" i="59" s="1"/>
  <c r="DO13" i="55"/>
  <c r="DO27" i="59" s="1"/>
  <c r="DO15" i="55"/>
  <c r="DO29" i="59" s="1"/>
  <c r="DO12" i="55"/>
  <c r="DO26" i="59" s="1"/>
  <c r="DK18" i="57"/>
  <c r="DK20" i="57" s="1"/>
  <c r="DK28" i="57"/>
  <c r="DK30" i="57" s="1"/>
  <c r="DK38" i="57"/>
  <c r="DK8" i="57"/>
  <c r="BJ22" i="59"/>
  <c r="BJ145" i="59" s="1"/>
  <c r="DV9" i="55"/>
  <c r="DV22" i="59" s="1"/>
  <c r="DV145" i="59" s="1"/>
  <c r="BB23" i="59"/>
  <c r="BB146" i="59" s="1"/>
  <c r="DN10" i="55"/>
  <c r="DN23" i="59" s="1"/>
  <c r="DN146" i="59" s="1"/>
  <c r="CK181" i="55"/>
  <c r="CK10" i="57" s="1"/>
  <c r="CK66" i="55"/>
  <c r="CK35" i="57" s="1"/>
  <c r="CK129" i="55"/>
  <c r="CK17" i="57" s="1"/>
  <c r="CL175" i="55"/>
  <c r="CL19" i="57" s="1"/>
  <c r="CL83" i="55"/>
  <c r="CL15" i="57" s="1"/>
  <c r="CK43" i="55"/>
  <c r="CK4" i="57" s="1"/>
  <c r="CK29" i="57"/>
  <c r="CK24" i="57"/>
  <c r="CK128" i="59"/>
  <c r="X32" i="59"/>
  <c r="V23" i="57"/>
  <c r="V13" i="57"/>
  <c r="V29" i="57"/>
  <c r="V19" i="57"/>
  <c r="V128" i="59"/>
  <c r="V14" i="57"/>
  <c r="V24" i="57"/>
  <c r="V25" i="57"/>
  <c r="V15" i="57"/>
  <c r="T10" i="57"/>
  <c r="T40" i="57"/>
  <c r="U18" i="57"/>
  <c r="U20" i="57" s="1"/>
  <c r="U28" i="57"/>
  <c r="U30" i="57" s="1"/>
  <c r="V129" i="55"/>
  <c r="V135" i="55" s="1"/>
  <c r="V26" i="57"/>
  <c r="V16" i="57"/>
  <c r="CJ5" i="57"/>
  <c r="CJ35" i="57"/>
  <c r="T7" i="57"/>
  <c r="T37" i="57"/>
  <c r="CL82" i="55"/>
  <c r="U9" i="57"/>
  <c r="U39" i="57"/>
  <c r="U41" i="57" s="1"/>
  <c r="T6" i="57"/>
  <c r="T36" i="57"/>
  <c r="AY18" i="57"/>
  <c r="AY20" i="57" s="1"/>
  <c r="AY149" i="59" s="1"/>
  <c r="AY155" i="59" s="1"/>
  <c r="AY28" i="57"/>
  <c r="AY30" i="57" s="1"/>
  <c r="AY158" i="55"/>
  <c r="T5" i="57"/>
  <c r="T35" i="57"/>
  <c r="CL105" i="55"/>
  <c r="CL128" i="55" s="1"/>
  <c r="T152" i="55"/>
  <c r="T27" i="57"/>
  <c r="T17" i="57"/>
  <c r="T4" i="57"/>
  <c r="T34" i="57"/>
  <c r="CK7" i="57"/>
  <c r="CK37" i="57"/>
  <c r="CL106" i="55"/>
  <c r="CM99" i="59"/>
  <c r="CM126" i="59"/>
  <c r="X94" i="59"/>
  <c r="X122" i="59"/>
  <c r="BC99" i="59"/>
  <c r="BC126" i="59"/>
  <c r="X95" i="59"/>
  <c r="X123" i="59"/>
  <c r="CM100" i="59"/>
  <c r="CM127" i="59"/>
  <c r="CM97" i="59"/>
  <c r="CM124" i="59"/>
  <c r="BC98" i="59"/>
  <c r="BC125" i="59"/>
  <c r="CM98" i="59"/>
  <c r="CM125" i="59"/>
  <c r="BC100" i="59"/>
  <c r="BC127" i="59"/>
  <c r="CL94" i="59"/>
  <c r="CL122" i="59"/>
  <c r="CL95" i="59"/>
  <c r="CL123" i="59"/>
  <c r="BC97" i="59"/>
  <c r="BC124" i="59"/>
  <c r="CN92" i="59"/>
  <c r="V102" i="59"/>
  <c r="CK58" i="59"/>
  <c r="CM55" i="59"/>
  <c r="BC57" i="59"/>
  <c r="BC54" i="59"/>
  <c r="V58" i="59"/>
  <c r="BC56" i="59"/>
  <c r="CM56" i="59"/>
  <c r="CK102" i="59"/>
  <c r="CM54" i="59"/>
  <c r="BC55" i="59"/>
  <c r="CM57" i="59"/>
  <c r="BC25" i="59"/>
  <c r="CM19" i="55"/>
  <c r="CM175" i="55" s="1"/>
  <c r="CM19" i="57" s="1"/>
  <c r="CM25" i="59"/>
  <c r="CM148" i="59" s="1"/>
  <c r="AA204" i="53"/>
  <c r="CN178" i="55" s="1"/>
  <c r="AA201" i="53"/>
  <c r="AA203" i="53"/>
  <c r="CN177" i="55" s="1"/>
  <c r="AA202" i="53"/>
  <c r="CN176" i="55" s="1"/>
  <c r="BB58" i="58"/>
  <c r="V181" i="55"/>
  <c r="V66" i="55"/>
  <c r="V151" i="55"/>
  <c r="X106" i="55"/>
  <c r="X83" i="55"/>
  <c r="X175" i="55"/>
  <c r="CK151" i="55"/>
  <c r="AC210" i="53"/>
  <c r="AC226" i="53" s="1"/>
  <c r="AD176" i="55" s="1"/>
  <c r="AD172" i="55"/>
  <c r="X82" i="55"/>
  <c r="X105" i="55"/>
  <c r="X128" i="55" s="1"/>
  <c r="X174" i="55"/>
  <c r="AB200" i="53"/>
  <c r="AB204" i="53" s="1"/>
  <c r="CO178" i="55" s="1"/>
  <c r="CO172" i="55"/>
  <c r="AB210" i="54"/>
  <c r="AB230" i="54" s="1"/>
  <c r="BI180" i="55" s="1"/>
  <c r="DU180" i="55" s="1"/>
  <c r="BI172" i="55"/>
  <c r="V112" i="55"/>
  <c r="V89" i="55"/>
  <c r="X59" i="55"/>
  <c r="X36" i="55"/>
  <c r="X60" i="55"/>
  <c r="X37" i="55"/>
  <c r="X13" i="57" s="1"/>
  <c r="V43" i="55"/>
  <c r="BC7" i="55"/>
  <c r="AD207" i="54"/>
  <c r="AD208" i="54" s="1"/>
  <c r="BK4" i="55"/>
  <c r="BC19" i="55"/>
  <c r="BC20" i="55"/>
  <c r="BC6" i="55"/>
  <c r="CN13" i="55"/>
  <c r="CN27" i="59" s="1"/>
  <c r="CN150" i="59" s="1"/>
  <c r="CN11" i="55"/>
  <c r="CN12" i="55"/>
  <c r="CN26" i="59" s="1"/>
  <c r="CN53" i="59" s="1"/>
  <c r="CN15" i="55"/>
  <c r="CN29" i="59" s="1"/>
  <c r="CN152" i="59" s="1"/>
  <c r="CN16" i="55"/>
  <c r="CN30" i="59" s="1"/>
  <c r="CN14" i="55"/>
  <c r="CN28" i="59" s="1"/>
  <c r="CN151" i="59" s="1"/>
  <c r="CM7" i="55"/>
  <c r="BB15" i="55"/>
  <c r="BB29" i="59" s="1"/>
  <c r="BB152" i="59" s="1"/>
  <c r="BB12" i="55"/>
  <c r="BB26" i="59" s="1"/>
  <c r="BB53" i="59" s="1"/>
  <c r="BB11" i="55"/>
  <c r="BB13" i="55"/>
  <c r="BB27" i="59" s="1"/>
  <c r="BB150" i="59" s="1"/>
  <c r="BB14" i="55"/>
  <c r="BB28" i="59" s="1"/>
  <c r="BB151" i="59" s="1"/>
  <c r="BB16" i="55"/>
  <c r="BB30" i="59" s="1"/>
  <c r="AE207" i="53"/>
  <c r="AE211" i="53" s="1"/>
  <c r="AF4" i="55"/>
  <c r="CM6" i="55"/>
  <c r="AF51" i="51"/>
  <c r="BM52" i="51"/>
  <c r="BM54" i="51" s="1"/>
  <c r="AF37" i="54"/>
  <c r="BM65" i="51"/>
  <c r="AF40" i="54"/>
  <c r="BJ71" i="51"/>
  <c r="BJ73" i="51" s="1"/>
  <c r="BJ64" i="51"/>
  <c r="AA220" i="53"/>
  <c r="AA224" i="53" s="1"/>
  <c r="AA221" i="53"/>
  <c r="AC217" i="53"/>
  <c r="AC216" i="53"/>
  <c r="AF72" i="53"/>
  <c r="AF73" i="53" s="1"/>
  <c r="AG49" i="51" s="1"/>
  <c r="BM49" i="51" s="1"/>
  <c r="AF80" i="53"/>
  <c r="AF74" i="53"/>
  <c r="AF75" i="53" s="1"/>
  <c r="AG57" i="51" s="1"/>
  <c r="AF78" i="53"/>
  <c r="AF47" i="53"/>
  <c r="AC222" i="53"/>
  <c r="AC234" i="53" s="1"/>
  <c r="AC235" i="53" s="1"/>
  <c r="AC223" i="53"/>
  <c r="BN59" i="51"/>
  <c r="AG38" i="54"/>
  <c r="AA199" i="54"/>
  <c r="AA200" i="54" s="1"/>
  <c r="AB166" i="54"/>
  <c r="CO9" i="55" s="1"/>
  <c r="CO22" i="59" s="1"/>
  <c r="CO145" i="59" s="1"/>
  <c r="AH48" i="51"/>
  <c r="AG36" i="53"/>
  <c r="AG42" i="53" s="1"/>
  <c r="BK71" i="51"/>
  <c r="BK73" i="51" s="1"/>
  <c r="BK64" i="51"/>
  <c r="Z203" i="54"/>
  <c r="Z201" i="54"/>
  <c r="Z206" i="54"/>
  <c r="Z204" i="54"/>
  <c r="Z202" i="54"/>
  <c r="Z205" i="54"/>
  <c r="AD81" i="54"/>
  <c r="AD165" i="54"/>
  <c r="AE72" i="54"/>
  <c r="AE73" i="54" s="1"/>
  <c r="AE47" i="54"/>
  <c r="AE162" i="54" s="1"/>
  <c r="AE74" i="54"/>
  <c r="AE75" i="54" s="1"/>
  <c r="AE80" i="54"/>
  <c r="AE78" i="54"/>
  <c r="AE79" i="54" s="1"/>
  <c r="AE81" i="53"/>
  <c r="AF61" i="51" s="1"/>
  <c r="AE165" i="53"/>
  <c r="AF9" i="55" s="1"/>
  <c r="AF22" i="59" s="1"/>
  <c r="AD162" i="54"/>
  <c r="BL51" i="51"/>
  <c r="BL57" i="51"/>
  <c r="BL58" i="51" s="1"/>
  <c r="BL72" i="51" s="1"/>
  <c r="AF58" i="51"/>
  <c r="AF72" i="51" s="1"/>
  <c r="AH52" i="51"/>
  <c r="AH54" i="51" s="1"/>
  <c r="AG37" i="53"/>
  <c r="BM48" i="51"/>
  <c r="AF36" i="54"/>
  <c r="AF42" i="54" s="1"/>
  <c r="BN55" i="51"/>
  <c r="AG39" i="54"/>
  <c r="BN52" i="51"/>
  <c r="BN54" i="51" s="1"/>
  <c r="AG37" i="54"/>
  <c r="AF67" i="51"/>
  <c r="AE79" i="53"/>
  <c r="AC199" i="53"/>
  <c r="AD166" i="53"/>
  <c r="AH65" i="51"/>
  <c r="AG40" i="53"/>
  <c r="BN25" i="51"/>
  <c r="CD11" i="51"/>
  <c r="AH46" i="51"/>
  <c r="BM46" i="51"/>
  <c r="BN43" i="51"/>
  <c r="BN46" i="51" s="1"/>
  <c r="DK149" i="59" l="1"/>
  <c r="DK155" i="59" s="1"/>
  <c r="CL23" i="57"/>
  <c r="CK6" i="57"/>
  <c r="CK36" i="57"/>
  <c r="CL43" i="55"/>
  <c r="CK135" i="55"/>
  <c r="T8" i="57"/>
  <c r="T38" i="57"/>
  <c r="BN65" i="51"/>
  <c r="AG40" i="54"/>
  <c r="AB206" i="53"/>
  <c r="CO180" i="55" s="1"/>
  <c r="AB205" i="53"/>
  <c r="CO179" i="55" s="1"/>
  <c r="AB203" i="53"/>
  <c r="CO177" i="55" s="1"/>
  <c r="AB202" i="53"/>
  <c r="CO176" i="55" s="1"/>
  <c r="AB201" i="53"/>
  <c r="CI39" i="57"/>
  <c r="CI9" i="57"/>
  <c r="CJ20" i="57"/>
  <c r="CJ149" i="59" s="1"/>
  <c r="CJ155" i="59" s="1"/>
  <c r="BE11" i="58"/>
  <c r="BE6" i="58"/>
  <c r="CJ158" i="55"/>
  <c r="CI41" i="57"/>
  <c r="CJ8" i="57"/>
  <c r="CJ38" i="57"/>
  <c r="CL24" i="57"/>
  <c r="CL181" i="55"/>
  <c r="CJ28" i="57"/>
  <c r="CJ30" i="57" s="1"/>
  <c r="CK152" i="55"/>
  <c r="CK18" i="57" s="1"/>
  <c r="CK27" i="57"/>
  <c r="X256" i="54"/>
  <c r="Z239" i="54"/>
  <c r="Z237" i="54"/>
  <c r="Z238" i="54" s="1"/>
  <c r="CL89" i="55"/>
  <c r="CM59" i="55"/>
  <c r="CL66" i="55"/>
  <c r="BE10" i="55"/>
  <c r="DM51" i="59"/>
  <c r="DM122" i="59"/>
  <c r="DM94" i="59"/>
  <c r="DM52" i="59"/>
  <c r="DM123" i="59"/>
  <c r="DM95" i="59"/>
  <c r="DM96" i="59"/>
  <c r="AA237" i="53"/>
  <c r="AA238" i="53" s="1"/>
  <c r="AA240" i="53" s="1"/>
  <c r="Z262" i="53"/>
  <c r="AA78" i="51" s="1"/>
  <c r="AA77" i="51"/>
  <c r="W256" i="54"/>
  <c r="BD74" i="51"/>
  <c r="BD76" i="51" s="1"/>
  <c r="BD10" i="55"/>
  <c r="BE76" i="51"/>
  <c r="AB219" i="53"/>
  <c r="AB223" i="54"/>
  <c r="AC228" i="53"/>
  <c r="AD178" i="55" s="1"/>
  <c r="AC225" i="53"/>
  <c r="AC229" i="53"/>
  <c r="AD179" i="55" s="1"/>
  <c r="Z252" i="53"/>
  <c r="AB216" i="54"/>
  <c r="AB217" i="54"/>
  <c r="AB236" i="53"/>
  <c r="AB239" i="53" s="1"/>
  <c r="AB218" i="53"/>
  <c r="AB222" i="54"/>
  <c r="AB234" i="54" s="1"/>
  <c r="AB235" i="54" s="1"/>
  <c r="DM89" i="55"/>
  <c r="AE120" i="59"/>
  <c r="AE92" i="59"/>
  <c r="BF77" i="51"/>
  <c r="BF59" i="58" s="1"/>
  <c r="AC210" i="54"/>
  <c r="BJ172" i="55"/>
  <c r="Y256" i="53"/>
  <c r="Z74" i="51"/>
  <c r="Z76" i="51" s="1"/>
  <c r="Z10" i="55"/>
  <c r="Z23" i="59" s="1"/>
  <c r="Y252" i="54"/>
  <c r="AB228" i="54"/>
  <c r="BI178" i="55" s="1"/>
  <c r="DU178" i="55" s="1"/>
  <c r="AB226" i="54"/>
  <c r="BI176" i="55" s="1"/>
  <c r="DU176" i="55" s="1"/>
  <c r="Z244" i="54"/>
  <c r="Z245" i="54" s="1"/>
  <c r="Z252" i="54" s="1"/>
  <c r="AF145" i="59"/>
  <c r="Z221" i="54"/>
  <c r="Z220" i="54"/>
  <c r="Z224" i="54" s="1"/>
  <c r="AA245" i="53"/>
  <c r="AA254" i="53" s="1"/>
  <c r="AB75" i="51" s="1"/>
  <c r="Y101" i="59"/>
  <c r="Y24" i="59"/>
  <c r="DM98" i="59"/>
  <c r="DM125" i="59"/>
  <c r="DM55" i="59"/>
  <c r="Y11" i="58"/>
  <c r="Y6" i="58"/>
  <c r="BD11" i="58"/>
  <c r="BD6" i="58"/>
  <c r="DM66" i="55"/>
  <c r="DM5" i="57" s="1"/>
  <c r="DM181" i="55"/>
  <c r="DM40" i="57" s="1"/>
  <c r="BA102" i="59"/>
  <c r="BK22" i="59"/>
  <c r="DW9" i="55"/>
  <c r="DW22" i="59" s="1"/>
  <c r="DM23" i="57"/>
  <c r="DM13" i="57"/>
  <c r="DM43" i="55"/>
  <c r="BA128" i="55"/>
  <c r="DM128" i="55" s="1"/>
  <c r="DM105" i="55"/>
  <c r="DM112" i="55" s="1"/>
  <c r="DM16" i="57"/>
  <c r="DM19" i="57"/>
  <c r="DM29" i="57"/>
  <c r="DM24" i="57"/>
  <c r="DM14" i="57"/>
  <c r="DM15" i="57"/>
  <c r="DM25" i="57"/>
  <c r="BA14" i="57"/>
  <c r="BA23" i="57"/>
  <c r="BA13" i="57"/>
  <c r="BA66" i="55"/>
  <c r="Y19" i="55"/>
  <c r="BA29" i="57"/>
  <c r="BA19" i="57"/>
  <c r="BA25" i="57"/>
  <c r="BA15" i="57"/>
  <c r="BA129" i="55"/>
  <c r="BA26" i="57"/>
  <c r="BA16" i="57"/>
  <c r="BA24" i="57"/>
  <c r="Y7" i="55"/>
  <c r="Y20" i="55"/>
  <c r="Y97" i="59"/>
  <c r="Y124" i="59"/>
  <c r="Y98" i="59"/>
  <c r="Y125" i="59"/>
  <c r="Y100" i="59"/>
  <c r="Y127" i="59"/>
  <c r="Y99" i="59"/>
  <c r="Y126" i="59"/>
  <c r="Y57" i="59"/>
  <c r="Y55" i="59"/>
  <c r="Y56" i="59"/>
  <c r="Y54" i="59"/>
  <c r="Y25" i="59"/>
  <c r="Y58" i="58"/>
  <c r="Y5" i="58" s="1"/>
  <c r="BA89" i="55"/>
  <c r="BA181" i="55"/>
  <c r="BA112" i="55"/>
  <c r="BA43" i="55"/>
  <c r="Y6" i="55"/>
  <c r="AZ4" i="57"/>
  <c r="AZ34" i="57"/>
  <c r="AZ35" i="57"/>
  <c r="AZ5" i="57"/>
  <c r="AZ40" i="57"/>
  <c r="AZ10" i="57"/>
  <c r="AZ37" i="57"/>
  <c r="AZ7" i="57"/>
  <c r="AZ151" i="55"/>
  <c r="AZ135" i="55"/>
  <c r="DL128" i="55"/>
  <c r="AZ36" i="57"/>
  <c r="AZ6" i="57"/>
  <c r="DL23" i="57"/>
  <c r="DL13" i="57"/>
  <c r="DL14" i="57"/>
  <c r="DL24" i="57"/>
  <c r="DL25" i="57"/>
  <c r="DL15" i="57"/>
  <c r="DL29" i="57"/>
  <c r="DL19" i="57"/>
  <c r="AZ17" i="57"/>
  <c r="AZ27" i="57"/>
  <c r="AZ152" i="55"/>
  <c r="DL129" i="55"/>
  <c r="DL26" i="57"/>
  <c r="DL16" i="57"/>
  <c r="AA218" i="54"/>
  <c r="AA219" i="54"/>
  <c r="AA236" i="54"/>
  <c r="AA239" i="54" s="1"/>
  <c r="AA234" i="54"/>
  <c r="AA235" i="54" s="1"/>
  <c r="Y151" i="59"/>
  <c r="X151" i="59"/>
  <c r="W56" i="59"/>
  <c r="W126" i="59"/>
  <c r="W99" i="59"/>
  <c r="W151" i="59"/>
  <c r="Y152" i="59"/>
  <c r="X152" i="59"/>
  <c r="W57" i="59"/>
  <c r="W127" i="59"/>
  <c r="W100" i="59"/>
  <c r="W152" i="59"/>
  <c r="W7" i="55"/>
  <c r="W27" i="59"/>
  <c r="X153" i="59"/>
  <c r="W153" i="59"/>
  <c r="W101" i="59"/>
  <c r="W19" i="55"/>
  <c r="W20" i="55"/>
  <c r="W25" i="59"/>
  <c r="W124" i="59"/>
  <c r="W54" i="59"/>
  <c r="W97" i="59"/>
  <c r="W53" i="59"/>
  <c r="Y146" i="59"/>
  <c r="W24" i="59"/>
  <c r="W146" i="59"/>
  <c r="X146" i="59"/>
  <c r="W93" i="59"/>
  <c r="W121" i="59"/>
  <c r="W31" i="59"/>
  <c r="W50" i="59"/>
  <c r="AD213" i="53"/>
  <c r="AD215" i="53"/>
  <c r="AD212" i="53"/>
  <c r="AD214" i="53"/>
  <c r="AC215" i="54"/>
  <c r="AC212" i="54"/>
  <c r="AC213" i="54"/>
  <c r="AC214" i="54"/>
  <c r="DL102" i="59"/>
  <c r="DL128" i="59"/>
  <c r="Y153" i="59"/>
  <c r="Z11" i="58"/>
  <c r="Z6" i="58"/>
  <c r="DL181" i="55"/>
  <c r="AE49" i="59"/>
  <c r="EP7" i="59"/>
  <c r="EP8" i="59"/>
  <c r="EP9" i="59"/>
  <c r="EP10" i="59"/>
  <c r="EP11" i="59"/>
  <c r="EP13" i="59"/>
  <c r="EP12" i="59"/>
  <c r="DK39" i="57"/>
  <c r="DK9" i="57"/>
  <c r="DL43" i="55"/>
  <c r="DL112" i="55"/>
  <c r="AD210" i="53"/>
  <c r="AE172" i="55"/>
  <c r="DL66" i="55"/>
  <c r="DL89" i="55"/>
  <c r="DL58" i="59"/>
  <c r="W6" i="55"/>
  <c r="CL29" i="57"/>
  <c r="AE208" i="53"/>
  <c r="CM82" i="55"/>
  <c r="I58" i="60"/>
  <c r="H58" i="60"/>
  <c r="AD211" i="54"/>
  <c r="BB101" i="59"/>
  <c r="BB153" i="59"/>
  <c r="CN101" i="59"/>
  <c r="CN153" i="59"/>
  <c r="CM36" i="55"/>
  <c r="DO101" i="59"/>
  <c r="BC150" i="59"/>
  <c r="CM37" i="55"/>
  <c r="CM13" i="57" s="1"/>
  <c r="CM51" i="59"/>
  <c r="CM147" i="59"/>
  <c r="BC146" i="59"/>
  <c r="CN24" i="59"/>
  <c r="BC151" i="59"/>
  <c r="DO146" i="59"/>
  <c r="EF21" i="59"/>
  <c r="EF22" i="59" s="1"/>
  <c r="EP16" i="59" s="1"/>
  <c r="BN90" i="59"/>
  <c r="BN117" i="59"/>
  <c r="BN47" i="59"/>
  <c r="BO47" i="59" s="1"/>
  <c r="EJ47" i="59" s="1"/>
  <c r="BN73" i="59"/>
  <c r="BN75" i="59" s="1"/>
  <c r="H2" i="61"/>
  <c r="H10" i="61" s="1"/>
  <c r="H11" i="61" s="1"/>
  <c r="Q35" i="60"/>
  <c r="G24" i="60"/>
  <c r="BC51" i="59"/>
  <c r="CM106" i="55"/>
  <c r="CM16" i="57" s="1"/>
  <c r="BC153" i="59"/>
  <c r="BC152" i="59"/>
  <c r="AC227" i="53"/>
  <c r="AD177" i="55" s="1"/>
  <c r="X89" i="55"/>
  <c r="X36" i="57" s="1"/>
  <c r="DO25" i="59"/>
  <c r="DO24" i="59"/>
  <c r="AC230" i="53"/>
  <c r="AD180" i="55" s="1"/>
  <c r="DV49" i="59"/>
  <c r="DV92" i="59"/>
  <c r="DV120" i="59"/>
  <c r="CL112" i="55"/>
  <c r="CL16" i="57"/>
  <c r="DO53" i="59"/>
  <c r="DO97" i="59"/>
  <c r="DO124" i="59"/>
  <c r="DO54" i="59"/>
  <c r="DO57" i="59"/>
  <c r="DO100" i="59"/>
  <c r="DO127" i="59"/>
  <c r="CK34" i="57"/>
  <c r="CL25" i="57"/>
  <c r="DO125" i="59"/>
  <c r="DO98" i="59"/>
  <c r="DO55" i="59"/>
  <c r="DN50" i="59"/>
  <c r="DN93" i="59"/>
  <c r="DN121" i="59"/>
  <c r="DN31" i="59"/>
  <c r="DN154" i="59" s="1"/>
  <c r="DO99" i="59"/>
  <c r="DO126" i="59"/>
  <c r="DO56" i="59"/>
  <c r="AF49" i="59"/>
  <c r="BB93" i="59"/>
  <c r="BB50" i="59"/>
  <c r="BB31" i="59"/>
  <c r="BB154" i="59" s="1"/>
  <c r="BB24" i="59"/>
  <c r="BJ120" i="59"/>
  <c r="BJ49" i="59"/>
  <c r="CM96" i="59"/>
  <c r="CM52" i="59"/>
  <c r="CO120" i="59"/>
  <c r="CO49" i="59"/>
  <c r="CO31" i="59"/>
  <c r="CO154" i="59" s="1"/>
  <c r="BC96" i="59"/>
  <c r="BC52" i="59"/>
  <c r="J40" i="63"/>
  <c r="F60" i="63"/>
  <c r="BM51" i="51"/>
  <c r="BJ92" i="59"/>
  <c r="DO19" i="55"/>
  <c r="DO20" i="55"/>
  <c r="CM105" i="55"/>
  <c r="CM128" i="55" s="1"/>
  <c r="CM174" i="55"/>
  <c r="CM181" i="55" s="1"/>
  <c r="CM10" i="57" s="1"/>
  <c r="CK5" i="57"/>
  <c r="BB121" i="59"/>
  <c r="CM60" i="55"/>
  <c r="CM14" i="57" s="1"/>
  <c r="DO7" i="55"/>
  <c r="CK40" i="57"/>
  <c r="CM83" i="55"/>
  <c r="CM15" i="57" s="1"/>
  <c r="DN14" i="55"/>
  <c r="DN28" i="59" s="1"/>
  <c r="DN151" i="59" s="1"/>
  <c r="DN16" i="55"/>
  <c r="DN30" i="59" s="1"/>
  <c r="DN13" i="55"/>
  <c r="DN27" i="59" s="1"/>
  <c r="DN150" i="59" s="1"/>
  <c r="DN12" i="55"/>
  <c r="DN26" i="59" s="1"/>
  <c r="DN15" i="55"/>
  <c r="DN29" i="59" s="1"/>
  <c r="DN152" i="59" s="1"/>
  <c r="DN11" i="55"/>
  <c r="DO6" i="55"/>
  <c r="AB229" i="54"/>
  <c r="BI179" i="55" s="1"/>
  <c r="DU179" i="55" s="1"/>
  <c r="AB225" i="54"/>
  <c r="AB227" i="54"/>
  <c r="BI177" i="55" s="1"/>
  <c r="DU177" i="55" s="1"/>
  <c r="X181" i="55"/>
  <c r="X10" i="57" s="1"/>
  <c r="V8" i="57"/>
  <c r="V38" i="57"/>
  <c r="CL129" i="55"/>
  <c r="CL26" i="57"/>
  <c r="T28" i="57"/>
  <c r="T30" i="57" s="1"/>
  <c r="T18" i="57"/>
  <c r="T20" i="57" s="1"/>
  <c r="T149" i="59" s="1"/>
  <c r="T155" i="59" s="1"/>
  <c r="V5" i="57"/>
  <c r="V35" i="57"/>
  <c r="V152" i="55"/>
  <c r="V158" i="55" s="1"/>
  <c r="V27" i="57"/>
  <c r="V17" i="57"/>
  <c r="V4" i="57"/>
  <c r="V34" i="57"/>
  <c r="AF120" i="59"/>
  <c r="V6" i="57"/>
  <c r="V36" i="57"/>
  <c r="X29" i="57"/>
  <c r="X19" i="57"/>
  <c r="X23" i="57"/>
  <c r="X15" i="57"/>
  <c r="X25" i="57"/>
  <c r="V10" i="57"/>
  <c r="V40" i="57"/>
  <c r="AY9" i="57"/>
  <c r="AY39" i="57"/>
  <c r="T158" i="55"/>
  <c r="X24" i="57"/>
  <c r="X14" i="57"/>
  <c r="V7" i="57"/>
  <c r="V37" i="57"/>
  <c r="X129" i="55"/>
  <c r="X26" i="57"/>
  <c r="X16" i="57"/>
  <c r="CL128" i="59"/>
  <c r="CL102" i="59"/>
  <c r="X128" i="59"/>
  <c r="CM94" i="59"/>
  <c r="CM122" i="59"/>
  <c r="BB97" i="59"/>
  <c r="BB124" i="59"/>
  <c r="CN98" i="59"/>
  <c r="CN125" i="59"/>
  <c r="CM95" i="59"/>
  <c r="CM123" i="59"/>
  <c r="CN99" i="59"/>
  <c r="CN126" i="59"/>
  <c r="BC94" i="59"/>
  <c r="BC122" i="59"/>
  <c r="BB100" i="59"/>
  <c r="BB127" i="59"/>
  <c r="BC95" i="59"/>
  <c r="BC123" i="59"/>
  <c r="BB99" i="59"/>
  <c r="BB126" i="59"/>
  <c r="CN100" i="59"/>
  <c r="CN127" i="59"/>
  <c r="BB98" i="59"/>
  <c r="BB125" i="59"/>
  <c r="CN97" i="59"/>
  <c r="CN124" i="59"/>
  <c r="CO92" i="59"/>
  <c r="AF92" i="59"/>
  <c r="X102" i="59"/>
  <c r="X58" i="59"/>
  <c r="BB56" i="59"/>
  <c r="CN57" i="59"/>
  <c r="CL58" i="59"/>
  <c r="BB55" i="59"/>
  <c r="CN54" i="59"/>
  <c r="CN55" i="59"/>
  <c r="CN56" i="59"/>
  <c r="BB54" i="59"/>
  <c r="BB57" i="59"/>
  <c r="BB25" i="59"/>
  <c r="BB148" i="59" s="1"/>
  <c r="CN19" i="55"/>
  <c r="CN174" i="55" s="1"/>
  <c r="CN25" i="59"/>
  <c r="CN148" i="59" s="1"/>
  <c r="X43" i="55"/>
  <c r="X151" i="55"/>
  <c r="AC200" i="53"/>
  <c r="AC205" i="53" s="1"/>
  <c r="CP179" i="55" s="1"/>
  <c r="CP172" i="55"/>
  <c r="BC106" i="55"/>
  <c r="DO106" i="55" s="1"/>
  <c r="BC83" i="55"/>
  <c r="DO83" i="55" s="1"/>
  <c r="BC175" i="55"/>
  <c r="DO175" i="55" s="1"/>
  <c r="X66" i="55"/>
  <c r="BC105" i="55"/>
  <c r="BC82" i="55"/>
  <c r="DO82" i="55" s="1"/>
  <c r="BC174" i="55"/>
  <c r="DO174" i="55" s="1"/>
  <c r="CL151" i="55"/>
  <c r="X112" i="55"/>
  <c r="BC60" i="55"/>
  <c r="DO60" i="55" s="1"/>
  <c r="BC59" i="55"/>
  <c r="DO59" i="55" s="1"/>
  <c r="BC37" i="55"/>
  <c r="DO37" i="55" s="1"/>
  <c r="BC36" i="55"/>
  <c r="DO36" i="55" s="1"/>
  <c r="CN7" i="55"/>
  <c r="CO11" i="55"/>
  <c r="CO15" i="55"/>
  <c r="CO29" i="59" s="1"/>
  <c r="CO152" i="59" s="1"/>
  <c r="CO14" i="55"/>
  <c r="CO28" i="59" s="1"/>
  <c r="CO151" i="59" s="1"/>
  <c r="CO13" i="55"/>
  <c r="CO27" i="59" s="1"/>
  <c r="CO150" i="59" s="1"/>
  <c r="CO16" i="55"/>
  <c r="CO30" i="59" s="1"/>
  <c r="CO12" i="55"/>
  <c r="CO26" i="59" s="1"/>
  <c r="CO53" i="59" s="1"/>
  <c r="BB20" i="55"/>
  <c r="BB19" i="55"/>
  <c r="BL9" i="55"/>
  <c r="BB6" i="55"/>
  <c r="AF207" i="53"/>
  <c r="AF211" i="53" s="1"/>
  <c r="AG4" i="55"/>
  <c r="AE207" i="54"/>
  <c r="AE211" i="54" s="1"/>
  <c r="BL4" i="55"/>
  <c r="BB7" i="55"/>
  <c r="CN6" i="55"/>
  <c r="AG51" i="51"/>
  <c r="AE81" i="54"/>
  <c r="AE165" i="54"/>
  <c r="AB199" i="54"/>
  <c r="AB200" i="54" s="1"/>
  <c r="AC166" i="54"/>
  <c r="CP9" i="55" s="1"/>
  <c r="CP22" i="59" s="1"/>
  <c r="CP145" i="59" s="1"/>
  <c r="AA204" i="54"/>
  <c r="AA206" i="54"/>
  <c r="AA201" i="54"/>
  <c r="AA202" i="54"/>
  <c r="AA205" i="54"/>
  <c r="AA203" i="54"/>
  <c r="AF162" i="53"/>
  <c r="AG80" i="53"/>
  <c r="AG74" i="53"/>
  <c r="AG75" i="53" s="1"/>
  <c r="AH57" i="51" s="1"/>
  <c r="EI19" i="59" s="1"/>
  <c r="AG78" i="53"/>
  <c r="AG72" i="53"/>
  <c r="AG73" i="53" s="1"/>
  <c r="AH49" i="51" s="1"/>
  <c r="BN49" i="51" s="1"/>
  <c r="EI16" i="59" s="1"/>
  <c r="AG47" i="53"/>
  <c r="AG67" i="51"/>
  <c r="AF79" i="53"/>
  <c r="AC236" i="53"/>
  <c r="AC239" i="53" s="1"/>
  <c r="AE215" i="53"/>
  <c r="AE214" i="53"/>
  <c r="AE212" i="53"/>
  <c r="AE213" i="53"/>
  <c r="BM57" i="51"/>
  <c r="BM58" i="51" s="1"/>
  <c r="BM72" i="51" s="1"/>
  <c r="AG58" i="51"/>
  <c r="AG72" i="51" s="1"/>
  <c r="BL67" i="51"/>
  <c r="BL70" i="51" s="1"/>
  <c r="AF70" i="51"/>
  <c r="AE232" i="53"/>
  <c r="AE233" i="53" s="1"/>
  <c r="AE209" i="53"/>
  <c r="AF81" i="53"/>
  <c r="AG61" i="51" s="1"/>
  <c r="AF165" i="53"/>
  <c r="AG9" i="55" s="1"/>
  <c r="AG22" i="59" s="1"/>
  <c r="AG145" i="59" s="1"/>
  <c r="BN48" i="51"/>
  <c r="AG36" i="54"/>
  <c r="AG42" i="54" s="1"/>
  <c r="AF78" i="54"/>
  <c r="AF79" i="54" s="1"/>
  <c r="AF72" i="54"/>
  <c r="AF73" i="54" s="1"/>
  <c r="AF74" i="54"/>
  <c r="AF75" i="54" s="1"/>
  <c r="AF80" i="54"/>
  <c r="AF47" i="54"/>
  <c r="AF162" i="54" s="1"/>
  <c r="BL61" i="51"/>
  <c r="AF71" i="51"/>
  <c r="AF73" i="51" s="1"/>
  <c r="AF64" i="51"/>
  <c r="AD232" i="54"/>
  <c r="AD233" i="54" s="1"/>
  <c r="AD209" i="54"/>
  <c r="DW172" i="55" s="1"/>
  <c r="AC218" i="53"/>
  <c r="AC219" i="53"/>
  <c r="AD199" i="53"/>
  <c r="AE166" i="53"/>
  <c r="CL4" i="57" l="1"/>
  <c r="CL34" i="57"/>
  <c r="CK8" i="57"/>
  <c r="CK38" i="57"/>
  <c r="CK28" i="57"/>
  <c r="CK30" i="57" s="1"/>
  <c r="CL6" i="57"/>
  <c r="CL36" i="57"/>
  <c r="BE15" i="55"/>
  <c r="BE29" i="59" s="1"/>
  <c r="BE14" i="55"/>
  <c r="BE28" i="59" s="1"/>
  <c r="BE13" i="55"/>
  <c r="BE27" i="59" s="1"/>
  <c r="BE11" i="55"/>
  <c r="BE16" i="55"/>
  <c r="BE30" i="59" s="1"/>
  <c r="BE12" i="55"/>
  <c r="BE26" i="59" s="1"/>
  <c r="BE53" i="59" s="1"/>
  <c r="Z240" i="54"/>
  <c r="Z261" i="54" s="1"/>
  <c r="CL7" i="57"/>
  <c r="CL37" i="57"/>
  <c r="CM43" i="55"/>
  <c r="CL10" i="57"/>
  <c r="CL40" i="57"/>
  <c r="CM129" i="55"/>
  <c r="CM17" i="57" s="1"/>
  <c r="CM29" i="57"/>
  <c r="CM25" i="57"/>
  <c r="CM89" i="55"/>
  <c r="CM66" i="55"/>
  <c r="CJ39" i="57"/>
  <c r="CJ9" i="57"/>
  <c r="CK20" i="57"/>
  <c r="CK149" i="59" s="1"/>
  <c r="CK155" i="59" s="1"/>
  <c r="BE23" i="59"/>
  <c r="DQ10" i="55"/>
  <c r="DQ23" i="59" s="1"/>
  <c r="CM23" i="57"/>
  <c r="CK158" i="55"/>
  <c r="CK9" i="57" s="1"/>
  <c r="CJ41" i="57"/>
  <c r="CL5" i="57"/>
  <c r="CL35" i="57"/>
  <c r="AC203" i="53"/>
  <c r="CP177" i="55" s="1"/>
  <c r="AA261" i="53"/>
  <c r="DM36" i="57"/>
  <c r="DM6" i="57"/>
  <c r="Z146" i="59"/>
  <c r="AC227" i="54"/>
  <c r="BJ177" i="55" s="1"/>
  <c r="DV177" i="55" s="1"/>
  <c r="AC230" i="54"/>
  <c r="BJ180" i="55" s="1"/>
  <c r="DV180" i="55" s="1"/>
  <c r="AC228" i="54"/>
  <c r="BJ178" i="55" s="1"/>
  <c r="DV178" i="55" s="1"/>
  <c r="BG77" i="51"/>
  <c r="AB77" i="51"/>
  <c r="BD16" i="55"/>
  <c r="BD30" i="59" s="1"/>
  <c r="BD11" i="55"/>
  <c r="BD15" i="55"/>
  <c r="BD29" i="59" s="1"/>
  <c r="BD152" i="59" s="1"/>
  <c r="Z11" i="55"/>
  <c r="Z256" i="53"/>
  <c r="AB221" i="53"/>
  <c r="Z254" i="54"/>
  <c r="BG10" i="55" s="1"/>
  <c r="AB218" i="54"/>
  <c r="Z50" i="59"/>
  <c r="Z31" i="59"/>
  <c r="BD23" i="59"/>
  <c r="BD146" i="59" s="1"/>
  <c r="DP10" i="55"/>
  <c r="DP23" i="59" s="1"/>
  <c r="DP146" i="59" s="1"/>
  <c r="Z121" i="59"/>
  <c r="AA262" i="53"/>
  <c r="AB78" i="51" s="1"/>
  <c r="BF10" i="55"/>
  <c r="Z15" i="55"/>
  <c r="Z29" i="59" s="1"/>
  <c r="Z152" i="59" s="1"/>
  <c r="Z12" i="55"/>
  <c r="Z26" i="59" s="1"/>
  <c r="Z53" i="59" s="1"/>
  <c r="AA10" i="55"/>
  <c r="AA23" i="59" s="1"/>
  <c r="AA146" i="59" s="1"/>
  <c r="AB244" i="53"/>
  <c r="AB245" i="53" s="1"/>
  <c r="AB254" i="53" s="1"/>
  <c r="AC75" i="51" s="1"/>
  <c r="AB220" i="53"/>
  <c r="AB224" i="53" s="1"/>
  <c r="Y256" i="54"/>
  <c r="BD13" i="55"/>
  <c r="BD27" i="59" s="1"/>
  <c r="BD150" i="59" s="1"/>
  <c r="BG74" i="51"/>
  <c r="AB236" i="54"/>
  <c r="AB219" i="54"/>
  <c r="BE58" i="58"/>
  <c r="BD58" i="58"/>
  <c r="AA59" i="58"/>
  <c r="Z58" i="58"/>
  <c r="Z5" i="58" s="1"/>
  <c r="Z262" i="54"/>
  <c r="BG78" i="51" s="1"/>
  <c r="AA252" i="53"/>
  <c r="AA256" i="53" s="1"/>
  <c r="AB237" i="53"/>
  <c r="AB238" i="53" s="1"/>
  <c r="AB240" i="53" s="1"/>
  <c r="AB261" i="53" s="1"/>
  <c r="BF74" i="51"/>
  <c r="BF76" i="51" s="1"/>
  <c r="BD14" i="55"/>
  <c r="BD28" i="59" s="1"/>
  <c r="BD151" i="59" s="1"/>
  <c r="BD12" i="55"/>
  <c r="BD26" i="59" s="1"/>
  <c r="BD53" i="59" s="1"/>
  <c r="Z13" i="55"/>
  <c r="Z27" i="59" s="1"/>
  <c r="Z14" i="55"/>
  <c r="Z28" i="59" s="1"/>
  <c r="Z151" i="59" s="1"/>
  <c r="Z16" i="55"/>
  <c r="Z30" i="59" s="1"/>
  <c r="AA74" i="51"/>
  <c r="AA76" i="51" s="1"/>
  <c r="AC226" i="54"/>
  <c r="BJ176" i="55" s="1"/>
  <c r="DV176" i="55" s="1"/>
  <c r="AC225" i="54"/>
  <c r="BF11" i="58"/>
  <c r="BF6" i="58"/>
  <c r="AC229" i="54"/>
  <c r="BJ179" i="55" s="1"/>
  <c r="DV179" i="55" s="1"/>
  <c r="AD213" i="54"/>
  <c r="AD215" i="54"/>
  <c r="BA4" i="57"/>
  <c r="BA34" i="57"/>
  <c r="BA7" i="57"/>
  <c r="BA37" i="57"/>
  <c r="AD214" i="54"/>
  <c r="Z93" i="59"/>
  <c r="AD212" i="54"/>
  <c r="Y82" i="55"/>
  <c r="Y36" i="55"/>
  <c r="BA151" i="55"/>
  <c r="DM151" i="55" s="1"/>
  <c r="DM26" i="57"/>
  <c r="DM35" i="57"/>
  <c r="BK145" i="59"/>
  <c r="DW145" i="59"/>
  <c r="DM34" i="57"/>
  <c r="Y174" i="55"/>
  <c r="Y175" i="55"/>
  <c r="BK120" i="59"/>
  <c r="DM102" i="59"/>
  <c r="Y51" i="59"/>
  <c r="DM128" i="59"/>
  <c r="DM58" i="59"/>
  <c r="DM10" i="57"/>
  <c r="BK92" i="59"/>
  <c r="BA135" i="55"/>
  <c r="BA38" i="57" s="1"/>
  <c r="DM4" i="57"/>
  <c r="DM7" i="57"/>
  <c r="Y106" i="55"/>
  <c r="Y59" i="55"/>
  <c r="Y37" i="55"/>
  <c r="DW49" i="59"/>
  <c r="DW92" i="59"/>
  <c r="DW120" i="59"/>
  <c r="Y96" i="59"/>
  <c r="Y52" i="59"/>
  <c r="BK49" i="59"/>
  <c r="DM129" i="55"/>
  <c r="DM135" i="55" s="1"/>
  <c r="DM37" i="57"/>
  <c r="AD226" i="53"/>
  <c r="AE176" i="55" s="1"/>
  <c r="AD229" i="53"/>
  <c r="AE179" i="55" s="1"/>
  <c r="BA6" i="57"/>
  <c r="BA36" i="57"/>
  <c r="BA5" i="57"/>
  <c r="BA35" i="57"/>
  <c r="BA152" i="55"/>
  <c r="DM152" i="55" s="1"/>
  <c r="BA17" i="57"/>
  <c r="BA27" i="57"/>
  <c r="Y123" i="59"/>
  <c r="Y122" i="59"/>
  <c r="Y10" i="58"/>
  <c r="Y105" i="55"/>
  <c r="Y128" i="55" s="1"/>
  <c r="Y83" i="55"/>
  <c r="Y60" i="55"/>
  <c r="BA10" i="57"/>
  <c r="BA40" i="57"/>
  <c r="Y95" i="59"/>
  <c r="Y94" i="59"/>
  <c r="AZ158" i="55"/>
  <c r="DL151" i="55"/>
  <c r="AZ38" i="57"/>
  <c r="AZ8" i="57"/>
  <c r="AZ18" i="57"/>
  <c r="AZ20" i="57" s="1"/>
  <c r="AZ149" i="59" s="1"/>
  <c r="AZ155" i="59" s="1"/>
  <c r="AZ28" i="57"/>
  <c r="AZ30" i="57" s="1"/>
  <c r="DL152" i="55"/>
  <c r="DL17" i="57"/>
  <c r="DL27" i="57"/>
  <c r="AA220" i="54"/>
  <c r="AA224" i="54" s="1"/>
  <c r="AA221" i="54"/>
  <c r="Y150" i="59"/>
  <c r="X150" i="59"/>
  <c r="W55" i="59"/>
  <c r="W125" i="59"/>
  <c r="W98" i="59"/>
  <c r="W150" i="59"/>
  <c r="W174" i="55"/>
  <c r="W36" i="55"/>
  <c r="W82" i="55"/>
  <c r="W105" i="55"/>
  <c r="W59" i="55"/>
  <c r="W60" i="55"/>
  <c r="W175" i="55"/>
  <c r="W106" i="55"/>
  <c r="W37" i="55"/>
  <c r="W83" i="55"/>
  <c r="Y148" i="59"/>
  <c r="X148" i="59"/>
  <c r="W123" i="59"/>
  <c r="W95" i="59"/>
  <c r="W52" i="59"/>
  <c r="W96" i="59"/>
  <c r="W148" i="59"/>
  <c r="X147" i="59"/>
  <c r="W122" i="59"/>
  <c r="W94" i="59"/>
  <c r="W147" i="59"/>
  <c r="W51" i="59"/>
  <c r="Y154" i="59"/>
  <c r="X154" i="59"/>
  <c r="W154" i="59"/>
  <c r="AD223" i="53"/>
  <c r="AD222" i="53"/>
  <c r="AD216" i="53"/>
  <c r="AD217" i="53"/>
  <c r="AC222" i="54"/>
  <c r="AC223" i="54"/>
  <c r="AC217" i="54"/>
  <c r="AC216" i="54"/>
  <c r="DL40" i="57"/>
  <c r="DL10" i="57"/>
  <c r="DL34" i="57"/>
  <c r="DL4" i="57"/>
  <c r="DL37" i="57"/>
  <c r="DL7" i="57"/>
  <c r="AD225" i="53"/>
  <c r="AD230" i="53"/>
  <c r="AE180" i="55" s="1"/>
  <c r="AD227" i="53"/>
  <c r="AE177" i="55" s="1"/>
  <c r="AD228" i="53"/>
  <c r="AE178" i="55" s="1"/>
  <c r="DL5" i="57"/>
  <c r="DL35" i="57"/>
  <c r="DL36" i="57"/>
  <c r="DL6" i="57"/>
  <c r="AA237" i="54"/>
  <c r="AA238" i="54" s="1"/>
  <c r="AA240" i="54" s="1"/>
  <c r="Y147" i="59"/>
  <c r="EP18" i="59"/>
  <c r="EP20" i="59"/>
  <c r="EP15" i="59"/>
  <c r="EP22" i="59"/>
  <c r="EP19" i="59"/>
  <c r="EP17" i="59"/>
  <c r="EP21" i="59"/>
  <c r="AA244" i="54"/>
  <c r="AA245" i="54" s="1"/>
  <c r="AA254" i="54" s="1"/>
  <c r="BH75" i="51" s="1"/>
  <c r="DL135" i="55"/>
  <c r="EJ50" i="59"/>
  <c r="EK47" i="59"/>
  <c r="EK50" i="59" s="1"/>
  <c r="X135" i="55"/>
  <c r="AC201" i="53"/>
  <c r="AC206" i="53"/>
  <c r="CP180" i="55" s="1"/>
  <c r="AC202" i="53"/>
  <c r="CP176" i="55" s="1"/>
  <c r="AC204" i="53"/>
  <c r="CP178" i="55" s="1"/>
  <c r="CM26" i="57"/>
  <c r="CM112" i="55"/>
  <c r="CO24" i="59"/>
  <c r="CO147" i="59" s="1"/>
  <c r="DO66" i="55"/>
  <c r="CN51" i="59"/>
  <c r="CN147" i="59"/>
  <c r="X6" i="57"/>
  <c r="DN101" i="59"/>
  <c r="DN153" i="59"/>
  <c r="DO150" i="59"/>
  <c r="BB51" i="59"/>
  <c r="BB147" i="59"/>
  <c r="DO153" i="59"/>
  <c r="E28" i="61"/>
  <c r="H22" i="61" s="1"/>
  <c r="F39" i="63"/>
  <c r="G28" i="60"/>
  <c r="DO152" i="59"/>
  <c r="DO151" i="59"/>
  <c r="CO101" i="59"/>
  <c r="CO153" i="59"/>
  <c r="U149" i="59"/>
  <c r="U155" i="59" s="1"/>
  <c r="BC147" i="59"/>
  <c r="BC148" i="59"/>
  <c r="DO154" i="59"/>
  <c r="BC154" i="59"/>
  <c r="DN56" i="59"/>
  <c r="DN99" i="59"/>
  <c r="DN126" i="59"/>
  <c r="DO51" i="59"/>
  <c r="DO122" i="59"/>
  <c r="DO94" i="59"/>
  <c r="EI7" i="59"/>
  <c r="EN16" i="59"/>
  <c r="EJ16" i="59"/>
  <c r="EO16" i="59" s="1"/>
  <c r="CL135" i="55"/>
  <c r="CL8" i="57" s="1"/>
  <c r="CL17" i="57"/>
  <c r="CM24" i="57"/>
  <c r="DO52" i="59"/>
  <c r="DO96" i="59"/>
  <c r="DO123" i="59"/>
  <c r="DO95" i="59"/>
  <c r="EI10" i="59"/>
  <c r="EN19" i="59"/>
  <c r="EJ19" i="59"/>
  <c r="EO19" i="59" s="1"/>
  <c r="DN6" i="55"/>
  <c r="DN25" i="59"/>
  <c r="DN148" i="59" s="1"/>
  <c r="DN24" i="59"/>
  <c r="DN147" i="59" s="1"/>
  <c r="DN100" i="59"/>
  <c r="DN127" i="59"/>
  <c r="DN57" i="59"/>
  <c r="DN54" i="59"/>
  <c r="DN53" i="59"/>
  <c r="DN97" i="59"/>
  <c r="DN124" i="59"/>
  <c r="DN125" i="59"/>
  <c r="DN55" i="59"/>
  <c r="DN98" i="59"/>
  <c r="CP120" i="59"/>
  <c r="CP49" i="59"/>
  <c r="CP31" i="59"/>
  <c r="CP154" i="59" s="1"/>
  <c r="CN96" i="59"/>
  <c r="CN52" i="59"/>
  <c r="AG49" i="59"/>
  <c r="BB96" i="59"/>
  <c r="BB52" i="59"/>
  <c r="N40" i="63"/>
  <c r="N60" i="63" s="1"/>
  <c r="J60" i="63"/>
  <c r="DO43" i="55"/>
  <c r="DO34" i="57" s="1"/>
  <c r="CM40" i="57"/>
  <c r="BL22" i="59"/>
  <c r="BL145" i="59" s="1"/>
  <c r="DX9" i="55"/>
  <c r="DX22" i="59" s="1"/>
  <c r="DX145" i="59" s="1"/>
  <c r="DO29" i="57"/>
  <c r="DO19" i="57"/>
  <c r="DO25" i="57"/>
  <c r="DO15" i="57"/>
  <c r="DN19" i="55"/>
  <c r="DN20" i="55"/>
  <c r="DO13" i="57"/>
  <c r="DO23" i="57"/>
  <c r="DO16" i="57"/>
  <c r="BC128" i="55"/>
  <c r="DO128" i="55" s="1"/>
  <c r="DO105" i="55"/>
  <c r="DO112" i="55" s="1"/>
  <c r="DO24" i="57"/>
  <c r="DO14" i="57"/>
  <c r="DO181" i="55"/>
  <c r="DN7" i="55"/>
  <c r="DO89" i="55"/>
  <c r="X40" i="57"/>
  <c r="CN36" i="55"/>
  <c r="CN37" i="55"/>
  <c r="CN83" i="55"/>
  <c r="CN82" i="55"/>
  <c r="CN105" i="55"/>
  <c r="CN128" i="55" s="1"/>
  <c r="CN60" i="55"/>
  <c r="CN14" i="57" s="1"/>
  <c r="CN59" i="55"/>
  <c r="CN175" i="55"/>
  <c r="CN19" i="57" s="1"/>
  <c r="V9" i="57"/>
  <c r="V39" i="57"/>
  <c r="X7" i="57"/>
  <c r="X37" i="57"/>
  <c r="X152" i="55"/>
  <c r="X27" i="57"/>
  <c r="X17" i="57"/>
  <c r="BC24" i="57"/>
  <c r="BC14" i="57"/>
  <c r="T9" i="57"/>
  <c r="T39" i="57"/>
  <c r="T41" i="57" s="1"/>
  <c r="X5" i="57"/>
  <c r="X35" i="57"/>
  <c r="CL152" i="55"/>
  <c r="CL27" i="57"/>
  <c r="BC29" i="57"/>
  <c r="BC19" i="57"/>
  <c r="X4" i="57"/>
  <c r="X34" i="57"/>
  <c r="BC25" i="57"/>
  <c r="BC15" i="57"/>
  <c r="BC23" i="57"/>
  <c r="BC13" i="57"/>
  <c r="BC129" i="55"/>
  <c r="BC26" i="57"/>
  <c r="BC16" i="57"/>
  <c r="CN106" i="55"/>
  <c r="CN16" i="57" s="1"/>
  <c r="AG120" i="59"/>
  <c r="V18" i="57"/>
  <c r="V20" i="57" s="1"/>
  <c r="V149" i="59" s="1"/>
  <c r="V155" i="59" s="1"/>
  <c r="V28" i="57"/>
  <c r="V30" i="57" s="1"/>
  <c r="CN94" i="59"/>
  <c r="CN122" i="59"/>
  <c r="CO98" i="59"/>
  <c r="CO125" i="59"/>
  <c r="CN95" i="59"/>
  <c r="CN123" i="59"/>
  <c r="CO99" i="59"/>
  <c r="CO126" i="59"/>
  <c r="CO97" i="59"/>
  <c r="CO124" i="59"/>
  <c r="CO100" i="59"/>
  <c r="CO127" i="59"/>
  <c r="BB94" i="59"/>
  <c r="BB122" i="59"/>
  <c r="CM128" i="59"/>
  <c r="BB95" i="59"/>
  <c r="BB123" i="59"/>
  <c r="CP92" i="59"/>
  <c r="AG92" i="59"/>
  <c r="CM58" i="59"/>
  <c r="CM102" i="59"/>
  <c r="CO56" i="59"/>
  <c r="CO57" i="59"/>
  <c r="CO54" i="59"/>
  <c r="BC102" i="59"/>
  <c r="CO55" i="59"/>
  <c r="CO19" i="55"/>
  <c r="CO175" i="55" s="1"/>
  <c r="CO19" i="57" s="1"/>
  <c r="CO25" i="59"/>
  <c r="CO148" i="59" s="1"/>
  <c r="BC112" i="55"/>
  <c r="BC181" i="55"/>
  <c r="AF208" i="53"/>
  <c r="AE208" i="54"/>
  <c r="AC237" i="53"/>
  <c r="AC238" i="53" s="1"/>
  <c r="AD200" i="53"/>
  <c r="CQ172" i="55"/>
  <c r="CM151" i="55"/>
  <c r="AD210" i="54"/>
  <c r="BK172" i="55"/>
  <c r="BB105" i="55"/>
  <c r="BB82" i="55"/>
  <c r="DN82" i="55" s="1"/>
  <c r="BB174" i="55"/>
  <c r="DN174" i="55" s="1"/>
  <c r="BB106" i="55"/>
  <c r="DN106" i="55" s="1"/>
  <c r="BB83" i="55"/>
  <c r="DN83" i="55" s="1"/>
  <c r="BB175" i="55"/>
  <c r="DN175" i="55" s="1"/>
  <c r="AE210" i="53"/>
  <c r="AE226" i="53" s="1"/>
  <c r="AF176" i="55" s="1"/>
  <c r="AF172" i="55"/>
  <c r="BB59" i="55"/>
  <c r="DN59" i="55" s="1"/>
  <c r="BB60" i="55"/>
  <c r="DN60" i="55" s="1"/>
  <c r="BC89" i="55"/>
  <c r="BC66" i="55"/>
  <c r="BC43" i="55"/>
  <c r="BB36" i="55"/>
  <c r="DN36" i="55" s="1"/>
  <c r="BB37" i="55"/>
  <c r="DN37" i="55" s="1"/>
  <c r="CO6" i="55"/>
  <c r="BM9" i="55"/>
  <c r="AF207" i="54"/>
  <c r="AF211" i="54" s="1"/>
  <c r="BM4" i="55"/>
  <c r="CO7" i="55"/>
  <c r="AG207" i="53"/>
  <c r="AG208" i="53" s="1"/>
  <c r="AH4" i="55"/>
  <c r="CP12" i="55"/>
  <c r="CP26" i="59" s="1"/>
  <c r="CP53" i="59" s="1"/>
  <c r="CP14" i="55"/>
  <c r="CP28" i="59" s="1"/>
  <c r="CP151" i="59" s="1"/>
  <c r="CP13" i="55"/>
  <c r="CP27" i="59" s="1"/>
  <c r="CP150" i="59" s="1"/>
  <c r="CP16" i="55"/>
  <c r="CP30" i="59" s="1"/>
  <c r="CP11" i="55"/>
  <c r="CP15" i="55"/>
  <c r="CP29" i="59" s="1"/>
  <c r="CP152" i="59" s="1"/>
  <c r="BN51" i="51"/>
  <c r="AG72" i="54"/>
  <c r="AG73" i="54" s="1"/>
  <c r="AG74" i="54"/>
  <c r="AG75" i="54" s="1"/>
  <c r="AG47" i="54"/>
  <c r="AG80" i="54"/>
  <c r="AG78" i="54"/>
  <c r="AG79" i="54" s="1"/>
  <c r="AG162" i="53"/>
  <c r="AF214" i="53"/>
  <c r="AF213" i="53"/>
  <c r="AF212" i="53"/>
  <c r="AF215" i="53"/>
  <c r="AF232" i="53"/>
  <c r="AF233" i="53" s="1"/>
  <c r="AF209" i="53"/>
  <c r="AE216" i="53"/>
  <c r="AE217" i="53"/>
  <c r="BM61" i="51"/>
  <c r="AG71" i="51"/>
  <c r="AG73" i="51" s="1"/>
  <c r="AG64" i="51"/>
  <c r="AE222" i="53"/>
  <c r="AE234" i="53" s="1"/>
  <c r="AE235" i="53" s="1"/>
  <c r="AE223" i="53"/>
  <c r="AH67" i="51"/>
  <c r="AG79" i="53"/>
  <c r="AC199" i="54"/>
  <c r="AC200" i="54" s="1"/>
  <c r="AD166" i="54"/>
  <c r="CQ9" i="55" s="1"/>
  <c r="CQ22" i="59" s="1"/>
  <c r="CQ145" i="59" s="1"/>
  <c r="AF81" i="54"/>
  <c r="AF165" i="54"/>
  <c r="AC244" i="53"/>
  <c r="AC245" i="53" s="1"/>
  <c r="AC254" i="53" s="1"/>
  <c r="AD75" i="51" s="1"/>
  <c r="BN57" i="51"/>
  <c r="BN58" i="51" s="1"/>
  <c r="BN72" i="51" s="1"/>
  <c r="AH58" i="51"/>
  <c r="AH72" i="51" s="1"/>
  <c r="EE24" i="59" s="1"/>
  <c r="AB202" i="54"/>
  <c r="AB203" i="54"/>
  <c r="AB205" i="54"/>
  <c r="AB201" i="54"/>
  <c r="AB206" i="54"/>
  <c r="AB204" i="54"/>
  <c r="AG81" i="53"/>
  <c r="AH61" i="51" s="1"/>
  <c r="EI17" i="59" s="1"/>
  <c r="AG165" i="53"/>
  <c r="AH9" i="55" s="1"/>
  <c r="AH22" i="59" s="1"/>
  <c r="BM67" i="51"/>
  <c r="BM70" i="51" s="1"/>
  <c r="AG70" i="51"/>
  <c r="AE213" i="54"/>
  <c r="AE212" i="54"/>
  <c r="AE215" i="54"/>
  <c r="AE214" i="54"/>
  <c r="AE209" i="54"/>
  <c r="DX172" i="55" s="1"/>
  <c r="AE232" i="54"/>
  <c r="AE233" i="54" s="1"/>
  <c r="AC221" i="53"/>
  <c r="AC220" i="53"/>
  <c r="AC224" i="53" s="1"/>
  <c r="BL71" i="51"/>
  <c r="BL73" i="51" s="1"/>
  <c r="BL64" i="51"/>
  <c r="AH51" i="51"/>
  <c r="AF166" i="53"/>
  <c r="AE199" i="53"/>
  <c r="BE125" i="59" l="1"/>
  <c r="BE99" i="59"/>
  <c r="BE19" i="55"/>
  <c r="BE98" i="59"/>
  <c r="BE126" i="59"/>
  <c r="BE7" i="55"/>
  <c r="BE100" i="59"/>
  <c r="BE127" i="59"/>
  <c r="BE20" i="55"/>
  <c r="BE101" i="59"/>
  <c r="BE97" i="59"/>
  <c r="BE124" i="59"/>
  <c r="BE54" i="59"/>
  <c r="BE55" i="59"/>
  <c r="BE56" i="59"/>
  <c r="BE57" i="59"/>
  <c r="BE25" i="59"/>
  <c r="BE6" i="55"/>
  <c r="W128" i="59"/>
  <c r="W102" i="59"/>
  <c r="W58" i="59"/>
  <c r="Z150" i="59"/>
  <c r="CK39" i="57"/>
  <c r="CK41" i="57" s="1"/>
  <c r="BE121" i="59"/>
  <c r="BE50" i="59"/>
  <c r="BE31" i="59"/>
  <c r="BE24" i="59"/>
  <c r="BE93" i="59"/>
  <c r="DQ11" i="55"/>
  <c r="DQ15" i="55"/>
  <c r="DQ29" i="59" s="1"/>
  <c r="DQ14" i="55"/>
  <c r="DQ28" i="59" s="1"/>
  <c r="DQ13" i="55"/>
  <c r="DQ27" i="59" s="1"/>
  <c r="DQ12" i="55"/>
  <c r="DQ26" i="59" s="1"/>
  <c r="DQ16" i="55"/>
  <c r="DQ30" i="59" s="1"/>
  <c r="AC77" i="51"/>
  <c r="CM5" i="57"/>
  <c r="CM35" i="57"/>
  <c r="CM4" i="57"/>
  <c r="CM34" i="57"/>
  <c r="CM7" i="57"/>
  <c r="CM37" i="57"/>
  <c r="CM135" i="55"/>
  <c r="AB262" i="53"/>
  <c r="AC78" i="51" s="1"/>
  <c r="DQ50" i="59"/>
  <c r="DQ93" i="59"/>
  <c r="DQ121" i="59"/>
  <c r="DQ31" i="59"/>
  <c r="CM6" i="57"/>
  <c r="CM36" i="57"/>
  <c r="CN181" i="55"/>
  <c r="CN29" i="57"/>
  <c r="CM152" i="55"/>
  <c r="CM18" i="57" s="1"/>
  <c r="CM20" i="57" s="1"/>
  <c r="CM27" i="57"/>
  <c r="BD100" i="59"/>
  <c r="BD127" i="59"/>
  <c r="BD57" i="59"/>
  <c r="Z25" i="59"/>
  <c r="Z148" i="59" s="1"/>
  <c r="BD25" i="59"/>
  <c r="BD148" i="59" s="1"/>
  <c r="BG59" i="58"/>
  <c r="AB59" i="58"/>
  <c r="AD206" i="53"/>
  <c r="CQ180" i="55" s="1"/>
  <c r="AD201" i="53"/>
  <c r="AD204" i="53"/>
  <c r="CQ178" i="55" s="1"/>
  <c r="AD205" i="53"/>
  <c r="CQ179" i="55" s="1"/>
  <c r="AD202" i="53"/>
  <c r="CQ176" i="55" s="1"/>
  <c r="AD203" i="53"/>
  <c r="CQ177" i="55" s="1"/>
  <c r="Z101" i="59"/>
  <c r="BE146" i="59"/>
  <c r="DQ146" i="59"/>
  <c r="BD93" i="59"/>
  <c r="BE151" i="59"/>
  <c r="Z153" i="59"/>
  <c r="Z154" i="59"/>
  <c r="BD101" i="59"/>
  <c r="BD153" i="59"/>
  <c r="BE153" i="59"/>
  <c r="Z24" i="59"/>
  <c r="BE152" i="59"/>
  <c r="DP50" i="59"/>
  <c r="DP93" i="59"/>
  <c r="DP121" i="59"/>
  <c r="DP31" i="59"/>
  <c r="DP154" i="59" s="1"/>
  <c r="BD121" i="59"/>
  <c r="BD50" i="59"/>
  <c r="BD24" i="59"/>
  <c r="DP14" i="55"/>
  <c r="DP28" i="59" s="1"/>
  <c r="DP151" i="59" s="1"/>
  <c r="DP13" i="55"/>
  <c r="DP27" i="59" s="1"/>
  <c r="DP150" i="59" s="1"/>
  <c r="DP12" i="55"/>
  <c r="DP26" i="59" s="1"/>
  <c r="DP16" i="55"/>
  <c r="DP30" i="59" s="1"/>
  <c r="DP15" i="55"/>
  <c r="DP29" i="59" s="1"/>
  <c r="DP152" i="59" s="1"/>
  <c r="DP11" i="55"/>
  <c r="BG23" i="59"/>
  <c r="DS10" i="55"/>
  <c r="DS23" i="59" s="1"/>
  <c r="BD6" i="55"/>
  <c r="BG11" i="55"/>
  <c r="BG16" i="55"/>
  <c r="BG30" i="59" s="1"/>
  <c r="BG15" i="55"/>
  <c r="BG29" i="59" s="1"/>
  <c r="BG14" i="55"/>
  <c r="BG28" i="59" s="1"/>
  <c r="BG13" i="55"/>
  <c r="BG27" i="59" s="1"/>
  <c r="BG12" i="55"/>
  <c r="BG26" i="59" s="1"/>
  <c r="BG53" i="59" s="1"/>
  <c r="BD7" i="55"/>
  <c r="Z7" i="55"/>
  <c r="BD19" i="55"/>
  <c r="BD20" i="55"/>
  <c r="BF14" i="55"/>
  <c r="BF28" i="59" s="1"/>
  <c r="BF151" i="59" s="1"/>
  <c r="BF15" i="55"/>
  <c r="BF29" i="59" s="1"/>
  <c r="BF152" i="59" s="1"/>
  <c r="BF12" i="55"/>
  <c r="BF26" i="59" s="1"/>
  <c r="BF53" i="59" s="1"/>
  <c r="BF11" i="55"/>
  <c r="BF13" i="55"/>
  <c r="BF27" i="59" s="1"/>
  <c r="BF150" i="59" s="1"/>
  <c r="BF16" i="55"/>
  <c r="BF30" i="59" s="1"/>
  <c r="AB220" i="54"/>
  <c r="AB224" i="54" s="1"/>
  <c r="AB239" i="54"/>
  <c r="AA16" i="55"/>
  <c r="AA30" i="59" s="1"/>
  <c r="AA15" i="55"/>
  <c r="AA29" i="59" s="1"/>
  <c r="AA152" i="59" s="1"/>
  <c r="AA14" i="55"/>
  <c r="AA28" i="59" s="1"/>
  <c r="AA151" i="59" s="1"/>
  <c r="AA12" i="55"/>
  <c r="AA26" i="59" s="1"/>
  <c r="AA53" i="59" s="1"/>
  <c r="AA11" i="55"/>
  <c r="AA13" i="55"/>
  <c r="AA27" i="59" s="1"/>
  <c r="AA150" i="59" s="1"/>
  <c r="Z256" i="54"/>
  <c r="BG75" i="51"/>
  <c r="BG76" i="51" s="1"/>
  <c r="Z6" i="55"/>
  <c r="Z19" i="55"/>
  <c r="Z20" i="55"/>
  <c r="AB252" i="53"/>
  <c r="AB221" i="54"/>
  <c r="AB237" i="54"/>
  <c r="AB238" i="54" s="1"/>
  <c r="AB240" i="54" s="1"/>
  <c r="BE150" i="59"/>
  <c r="AA11" i="58"/>
  <c r="AA6" i="58"/>
  <c r="BD31" i="59"/>
  <c r="BD154" i="59" s="1"/>
  <c r="AA50" i="59"/>
  <c r="AA31" i="59"/>
  <c r="AA154" i="59" s="1"/>
  <c r="BF23" i="59"/>
  <c r="BF146" i="59" s="1"/>
  <c r="DR10" i="55"/>
  <c r="DR23" i="59" s="1"/>
  <c r="DR146" i="59" s="1"/>
  <c r="AB10" i="55"/>
  <c r="AB23" i="59" s="1"/>
  <c r="AB146" i="59" s="1"/>
  <c r="AB74" i="51"/>
  <c r="AB76" i="51" s="1"/>
  <c r="AA121" i="59"/>
  <c r="BD97" i="59"/>
  <c r="BD124" i="59"/>
  <c r="Z100" i="59"/>
  <c r="Z127" i="59"/>
  <c r="Z98" i="59"/>
  <c r="Z125" i="59"/>
  <c r="BD99" i="59"/>
  <c r="BD126" i="59"/>
  <c r="BD98" i="59"/>
  <c r="BD125" i="59"/>
  <c r="Z99" i="59"/>
  <c r="Z126" i="59"/>
  <c r="Z97" i="59"/>
  <c r="Z124" i="59"/>
  <c r="Z10" i="58"/>
  <c r="AA93" i="59"/>
  <c r="BD54" i="59"/>
  <c r="Z56" i="59"/>
  <c r="BD55" i="59"/>
  <c r="Z57" i="59"/>
  <c r="Z54" i="59"/>
  <c r="Z55" i="59"/>
  <c r="BD56" i="59"/>
  <c r="BF58" i="58"/>
  <c r="AA58" i="58"/>
  <c r="AA5" i="58" s="1"/>
  <c r="AC240" i="53"/>
  <c r="AC261" i="53" s="1"/>
  <c r="AG211" i="53"/>
  <c r="AA252" i="54"/>
  <c r="AD222" i="54"/>
  <c r="AD234" i="54" s="1"/>
  <c r="AD235" i="54" s="1"/>
  <c r="AD223" i="54"/>
  <c r="AD216" i="54"/>
  <c r="AD217" i="54"/>
  <c r="DM27" i="57"/>
  <c r="AA261" i="54"/>
  <c r="DM158" i="55"/>
  <c r="BA158" i="55"/>
  <c r="BA8" i="57"/>
  <c r="DM8" i="57"/>
  <c r="DM17" i="57"/>
  <c r="DM28" i="57"/>
  <c r="DM38" i="57"/>
  <c r="DM18" i="57"/>
  <c r="Y32" i="59"/>
  <c r="Y29" i="57"/>
  <c r="Y19" i="57"/>
  <c r="Y129" i="55"/>
  <c r="Y135" i="55" s="1"/>
  <c r="Y16" i="57"/>
  <c r="Y26" i="57"/>
  <c r="Y23" i="57"/>
  <c r="Y13" i="57"/>
  <c r="Y25" i="57"/>
  <c r="Y15" i="57"/>
  <c r="Y24" i="57"/>
  <c r="Y14" i="57"/>
  <c r="Y128" i="59"/>
  <c r="BA28" i="57"/>
  <c r="BA30" i="57" s="1"/>
  <c r="BA18" i="57"/>
  <c r="BA20" i="57" s="1"/>
  <c r="Y102" i="59"/>
  <c r="Y58" i="59"/>
  <c r="Y181" i="55"/>
  <c r="Y151" i="55"/>
  <c r="Y89" i="55"/>
  <c r="Y112" i="55"/>
  <c r="Y66" i="55"/>
  <c r="Y43" i="55"/>
  <c r="AZ39" i="57"/>
  <c r="AZ9" i="57"/>
  <c r="DL28" i="57"/>
  <c r="DL30" i="57" s="1"/>
  <c r="DL18" i="57"/>
  <c r="DL20" i="57" s="1"/>
  <c r="DL149" i="59" s="1"/>
  <c r="DL155" i="59" s="1"/>
  <c r="W112" i="55"/>
  <c r="W128" i="55"/>
  <c r="W151" i="55" s="1"/>
  <c r="W14" i="57"/>
  <c r="W24" i="57"/>
  <c r="W19" i="57"/>
  <c r="W29" i="57"/>
  <c r="W16" i="57"/>
  <c r="W26" i="57"/>
  <c r="W129" i="55"/>
  <c r="W13" i="57"/>
  <c r="W23" i="57"/>
  <c r="W25" i="57"/>
  <c r="W15" i="57"/>
  <c r="AD236" i="53"/>
  <c r="AD234" i="53"/>
  <c r="AD235" i="53" s="1"/>
  <c r="AD219" i="53"/>
  <c r="AD218" i="53"/>
  <c r="AC236" i="54"/>
  <c r="AC239" i="54" s="1"/>
  <c r="AC244" i="54" s="1"/>
  <c r="AC234" i="54"/>
  <c r="AC235" i="54" s="1"/>
  <c r="AC218" i="54"/>
  <c r="AC219" i="54"/>
  <c r="DL38" i="57"/>
  <c r="DL8" i="57"/>
  <c r="AD226" i="54"/>
  <c r="BK176" i="55" s="1"/>
  <c r="DW176" i="55" s="1"/>
  <c r="AD230" i="54"/>
  <c r="BK180" i="55" s="1"/>
  <c r="DW180" i="55" s="1"/>
  <c r="AD227" i="54"/>
  <c r="BK177" i="55" s="1"/>
  <c r="DW177" i="55" s="1"/>
  <c r="AD228" i="54"/>
  <c r="BK178" i="55" s="1"/>
  <c r="DW178" i="55" s="1"/>
  <c r="AD229" i="54"/>
  <c r="BK179" i="55" s="1"/>
  <c r="DW179" i="55" s="1"/>
  <c r="AD225" i="54"/>
  <c r="DL158" i="55"/>
  <c r="W181" i="55"/>
  <c r="W43" i="55"/>
  <c r="W89" i="55"/>
  <c r="W66" i="55"/>
  <c r="DO35" i="57"/>
  <c r="DO5" i="57"/>
  <c r="X8" i="57"/>
  <c r="X38" i="57"/>
  <c r="V41" i="57"/>
  <c r="X158" i="55"/>
  <c r="DO58" i="59"/>
  <c r="CO51" i="59"/>
  <c r="CL38" i="57"/>
  <c r="DO128" i="59"/>
  <c r="CP24" i="59"/>
  <c r="DO148" i="59"/>
  <c r="AE228" i="53"/>
  <c r="AF178" i="55" s="1"/>
  <c r="CN66" i="55"/>
  <c r="DO147" i="59"/>
  <c r="F59" i="63"/>
  <c r="J39" i="63"/>
  <c r="AE227" i="53"/>
  <c r="AF177" i="55" s="1"/>
  <c r="AE225" i="53"/>
  <c r="CP101" i="59"/>
  <c r="CP153" i="59"/>
  <c r="AE229" i="53"/>
  <c r="AF179" i="55" s="1"/>
  <c r="AH49" i="59"/>
  <c r="AH145" i="59"/>
  <c r="AE230" i="53"/>
  <c r="AF180" i="55" s="1"/>
  <c r="AE236" i="53"/>
  <c r="AE237" i="53" s="1"/>
  <c r="AE238" i="53" s="1"/>
  <c r="CN23" i="57"/>
  <c r="DN181" i="55"/>
  <c r="DN40" i="57" s="1"/>
  <c r="DO102" i="59"/>
  <c r="DX49" i="59"/>
  <c r="DX92" i="59"/>
  <c r="DX120" i="59"/>
  <c r="CN89" i="55"/>
  <c r="CN6" i="57" s="1"/>
  <c r="CN15" i="57"/>
  <c r="DO4" i="57"/>
  <c r="CN43" i="55"/>
  <c r="CN4" i="57" s="1"/>
  <c r="CN13" i="57"/>
  <c r="DN51" i="59"/>
  <c r="DN122" i="59"/>
  <c r="DN94" i="59"/>
  <c r="CN112" i="55"/>
  <c r="CN7" i="57" s="1"/>
  <c r="DN52" i="59"/>
  <c r="DN95" i="59"/>
  <c r="DN96" i="59"/>
  <c r="DN123" i="59"/>
  <c r="EI8" i="59"/>
  <c r="EN17" i="59"/>
  <c r="EJ17" i="59"/>
  <c r="EO17" i="59" s="1"/>
  <c r="CL28" i="57"/>
  <c r="CL18" i="57"/>
  <c r="CL20" i="57" s="1"/>
  <c r="CL149" i="59" s="1"/>
  <c r="CL155" i="59" s="1"/>
  <c r="EN10" i="59"/>
  <c r="EJ10" i="59"/>
  <c r="EO10" i="59" s="1"/>
  <c r="EN7" i="59"/>
  <c r="EJ7" i="59"/>
  <c r="EO7" i="59" s="1"/>
  <c r="CQ120" i="59"/>
  <c r="CQ49" i="59"/>
  <c r="CQ31" i="59"/>
  <c r="CQ154" i="59" s="1"/>
  <c r="CO96" i="59"/>
  <c r="CO52" i="59"/>
  <c r="BL120" i="59"/>
  <c r="BL49" i="59"/>
  <c r="BL92" i="59"/>
  <c r="DO26" i="57"/>
  <c r="DO36" i="57"/>
  <c r="DO6" i="57"/>
  <c r="DN19" i="57"/>
  <c r="DN29" i="57"/>
  <c r="BC135" i="55"/>
  <c r="DO129" i="55"/>
  <c r="DN66" i="55"/>
  <c r="DN16" i="57"/>
  <c r="DO40" i="57"/>
  <c r="DO10" i="57"/>
  <c r="DN15" i="57"/>
  <c r="DN25" i="57"/>
  <c r="BM22" i="59"/>
  <c r="BM145" i="59" s="1"/>
  <c r="DY9" i="55"/>
  <c r="DY22" i="59" s="1"/>
  <c r="DY145" i="59" s="1"/>
  <c r="DN23" i="57"/>
  <c r="DN13" i="57"/>
  <c r="DN43" i="55"/>
  <c r="BC151" i="55"/>
  <c r="DO151" i="55" s="1"/>
  <c r="DN89" i="55"/>
  <c r="DN24" i="57"/>
  <c r="DN14" i="57"/>
  <c r="BB128" i="55"/>
  <c r="DN128" i="55" s="1"/>
  <c r="DN105" i="55"/>
  <c r="DN112" i="55" s="1"/>
  <c r="DO37" i="57"/>
  <c r="DO7" i="57"/>
  <c r="CN25" i="57"/>
  <c r="CN24" i="57"/>
  <c r="CO174" i="55"/>
  <c r="CO181" i="55" s="1"/>
  <c r="CO10" i="57" s="1"/>
  <c r="CO37" i="55"/>
  <c r="CO13" i="57" s="1"/>
  <c r="CO59" i="55"/>
  <c r="CO83" i="55"/>
  <c r="CO15" i="57" s="1"/>
  <c r="CO82" i="55"/>
  <c r="CO36" i="55"/>
  <c r="CO106" i="55"/>
  <c r="CO16" i="57" s="1"/>
  <c r="CO60" i="55"/>
  <c r="CO14" i="57" s="1"/>
  <c r="CO105" i="55"/>
  <c r="CO128" i="55" s="1"/>
  <c r="CL158" i="55"/>
  <c r="CL9" i="57" s="1"/>
  <c r="BB102" i="59"/>
  <c r="BC4" i="57"/>
  <c r="BC34" i="57"/>
  <c r="BC10" i="57"/>
  <c r="BC40" i="57"/>
  <c r="CN129" i="55"/>
  <c r="CN17" i="57" s="1"/>
  <c r="CN26" i="57"/>
  <c r="BC5" i="57"/>
  <c r="BC35" i="57"/>
  <c r="BB29" i="57"/>
  <c r="BB19" i="57"/>
  <c r="BB25" i="57"/>
  <c r="BB15" i="57"/>
  <c r="BC6" i="57"/>
  <c r="BC36" i="57"/>
  <c r="BB129" i="55"/>
  <c r="DN129" i="55" s="1"/>
  <c r="BB26" i="57"/>
  <c r="BB16" i="57"/>
  <c r="BB23" i="57"/>
  <c r="BB13" i="57"/>
  <c r="BC7" i="57"/>
  <c r="BC37" i="57"/>
  <c r="BN9" i="55"/>
  <c r="BB24" i="57"/>
  <c r="BB14" i="57"/>
  <c r="BC152" i="55"/>
  <c r="BC17" i="57"/>
  <c r="BC27" i="57"/>
  <c r="X18" i="57"/>
  <c r="X20" i="57" s="1"/>
  <c r="X28" i="57"/>
  <c r="X30" i="57" s="1"/>
  <c r="CN128" i="59"/>
  <c r="CP100" i="59"/>
  <c r="CP127" i="59"/>
  <c r="CP98" i="59"/>
  <c r="CP125" i="59"/>
  <c r="CP99" i="59"/>
  <c r="CP126" i="59"/>
  <c r="CO95" i="59"/>
  <c r="CO123" i="59"/>
  <c r="CP97" i="59"/>
  <c r="CP124" i="59"/>
  <c r="CO94" i="59"/>
  <c r="CO122" i="59"/>
  <c r="CQ92" i="59"/>
  <c r="CP57" i="59"/>
  <c r="CN102" i="59"/>
  <c r="CP54" i="59"/>
  <c r="CP55" i="59"/>
  <c r="CP56" i="59"/>
  <c r="CN58" i="59"/>
  <c r="CP19" i="55"/>
  <c r="CP175" i="55" s="1"/>
  <c r="CP19" i="57" s="1"/>
  <c r="CP25" i="59"/>
  <c r="CP148" i="59" s="1"/>
  <c r="BB181" i="55"/>
  <c r="AF210" i="53"/>
  <c r="AG172" i="55"/>
  <c r="AF208" i="54"/>
  <c r="AE210" i="54"/>
  <c r="AE226" i="54" s="1"/>
  <c r="BL176" i="55" s="1"/>
  <c r="DX176" i="55" s="1"/>
  <c r="BL172" i="55"/>
  <c r="AE200" i="53"/>
  <c r="AE206" i="53" s="1"/>
  <c r="CR180" i="55" s="1"/>
  <c r="CR172" i="55"/>
  <c r="CN151" i="55"/>
  <c r="BB43" i="55"/>
  <c r="BB66" i="55"/>
  <c r="BB89" i="55"/>
  <c r="BB112" i="55"/>
  <c r="CP6" i="55"/>
  <c r="CQ14" i="55"/>
  <c r="CQ28" i="59" s="1"/>
  <c r="CQ151" i="59" s="1"/>
  <c r="CQ12" i="55"/>
  <c r="CQ26" i="59" s="1"/>
  <c r="CQ53" i="59" s="1"/>
  <c r="CQ16" i="55"/>
  <c r="CQ30" i="59" s="1"/>
  <c r="CQ11" i="55"/>
  <c r="CQ15" i="55"/>
  <c r="CQ29" i="59" s="1"/>
  <c r="CQ152" i="59" s="1"/>
  <c r="CQ13" i="55"/>
  <c r="CQ27" i="59" s="1"/>
  <c r="CQ150" i="59" s="1"/>
  <c r="AG207" i="54"/>
  <c r="AG211" i="54" s="1"/>
  <c r="BN4" i="55"/>
  <c r="AG162" i="54"/>
  <c r="CP7" i="55"/>
  <c r="AF214" i="54"/>
  <c r="AF215" i="54"/>
  <c r="AF212" i="54"/>
  <c r="AF213" i="54"/>
  <c r="AF222" i="53"/>
  <c r="AF234" i="53" s="1"/>
  <c r="AF235" i="53" s="1"/>
  <c r="AF223" i="53"/>
  <c r="AE239" i="53"/>
  <c r="AC252" i="53"/>
  <c r="BN67" i="51"/>
  <c r="BN70" i="51" s="1"/>
  <c r="AH70" i="51"/>
  <c r="AJ165" i="53"/>
  <c r="AG232" i="53"/>
  <c r="AG233" i="53" s="1"/>
  <c r="AG209" i="53"/>
  <c r="AI165" i="53"/>
  <c r="AF232" i="54"/>
  <c r="AF233" i="54" s="1"/>
  <c r="AF209" i="54"/>
  <c r="DY172" i="55" s="1"/>
  <c r="BN61" i="51"/>
  <c r="AH71" i="51"/>
  <c r="AH64" i="51"/>
  <c r="AF217" i="53"/>
  <c r="AF216" i="53"/>
  <c r="AG81" i="54"/>
  <c r="AG165" i="54"/>
  <c r="D61" i="60" s="1"/>
  <c r="AE216" i="54"/>
  <c r="AE217" i="54"/>
  <c r="AD199" i="54"/>
  <c r="AD200" i="54" s="1"/>
  <c r="AE166" i="54"/>
  <c r="CR9" i="55" s="1"/>
  <c r="CR22" i="59" s="1"/>
  <c r="CR145" i="59" s="1"/>
  <c r="AE218" i="53"/>
  <c r="AE219" i="53"/>
  <c r="AE222" i="54"/>
  <c r="AE234" i="54" s="1"/>
  <c r="AE235" i="54" s="1"/>
  <c r="AE223" i="54"/>
  <c r="AC201" i="54"/>
  <c r="AC205" i="54"/>
  <c r="AC203" i="54"/>
  <c r="AC206" i="54"/>
  <c r="AC204" i="54"/>
  <c r="AC202" i="54"/>
  <c r="BM71" i="51"/>
  <c r="BM73" i="51" s="1"/>
  <c r="BM64" i="51"/>
  <c r="AF199" i="53"/>
  <c r="AG166" i="53"/>
  <c r="AG199" i="53" s="1"/>
  <c r="CO128" i="59" l="1"/>
  <c r="BE174" i="55"/>
  <c r="DQ174" i="55" s="1"/>
  <c r="BE83" i="55"/>
  <c r="DQ83" i="55" s="1"/>
  <c r="BE59" i="55"/>
  <c r="DQ59" i="55" s="1"/>
  <c r="BE37" i="55"/>
  <c r="DQ37" i="55" s="1"/>
  <c r="BE82" i="55"/>
  <c r="DQ82" i="55" s="1"/>
  <c r="BE36" i="55"/>
  <c r="DQ36" i="55" s="1"/>
  <c r="BE175" i="55"/>
  <c r="DQ175" i="55" s="1"/>
  <c r="BE60" i="55"/>
  <c r="DQ60" i="55" s="1"/>
  <c r="BE106" i="55"/>
  <c r="DQ106" i="55" s="1"/>
  <c r="BE105" i="55"/>
  <c r="BE96" i="59"/>
  <c r="BE52" i="59"/>
  <c r="CP105" i="55"/>
  <c r="BE95" i="59"/>
  <c r="BE123" i="59"/>
  <c r="BF98" i="59"/>
  <c r="BF125" i="59"/>
  <c r="AA99" i="59"/>
  <c r="BE148" i="59"/>
  <c r="DQ101" i="59"/>
  <c r="BE51" i="59"/>
  <c r="DQ53" i="59"/>
  <c r="DQ124" i="59"/>
  <c r="DQ97" i="59"/>
  <c r="DQ54" i="59"/>
  <c r="DQ55" i="59"/>
  <c r="DQ125" i="59"/>
  <c r="DQ98" i="59"/>
  <c r="AB11" i="58"/>
  <c r="AB6" i="58"/>
  <c r="DQ99" i="59"/>
  <c r="BE94" i="59"/>
  <c r="BE122" i="59"/>
  <c r="Z95" i="59"/>
  <c r="Z94" i="59"/>
  <c r="BD122" i="59"/>
  <c r="BF126" i="59"/>
  <c r="DQ56" i="59"/>
  <c r="DQ126" i="59"/>
  <c r="DQ57" i="59"/>
  <c r="DQ127" i="59"/>
  <c r="DQ100" i="59"/>
  <c r="DQ25" i="59"/>
  <c r="DQ24" i="59"/>
  <c r="BG11" i="58"/>
  <c r="BG6" i="58"/>
  <c r="BD52" i="59"/>
  <c r="Z52" i="59"/>
  <c r="DQ6" i="55"/>
  <c r="DQ7" i="55"/>
  <c r="CN40" i="57"/>
  <c r="CM38" i="57"/>
  <c r="Z123" i="59"/>
  <c r="Z122" i="59"/>
  <c r="BG100" i="59"/>
  <c r="BD94" i="59"/>
  <c r="BD123" i="59"/>
  <c r="DQ19" i="55"/>
  <c r="DQ20" i="55"/>
  <c r="CM158" i="55"/>
  <c r="CM39" i="57" s="1"/>
  <c r="CN10" i="57"/>
  <c r="CM8" i="57"/>
  <c r="CM28" i="57"/>
  <c r="CM30" i="57" s="1"/>
  <c r="BG127" i="59"/>
  <c r="BF99" i="59"/>
  <c r="BD95" i="59"/>
  <c r="AC59" i="58"/>
  <c r="CP51" i="59"/>
  <c r="CP147" i="59"/>
  <c r="Z96" i="59"/>
  <c r="AB58" i="58"/>
  <c r="AB5" i="58" s="1"/>
  <c r="CL30" i="57"/>
  <c r="CN34" i="57"/>
  <c r="CN5" i="57"/>
  <c r="CN35" i="57"/>
  <c r="AA98" i="59"/>
  <c r="AA125" i="59"/>
  <c r="AA97" i="59"/>
  <c r="AA124" i="59"/>
  <c r="CN135" i="55"/>
  <c r="Z60" i="55"/>
  <c r="Z37" i="55"/>
  <c r="Z36" i="55"/>
  <c r="Z59" i="55"/>
  <c r="AA6" i="55"/>
  <c r="AB256" i="53"/>
  <c r="AC74" i="51"/>
  <c r="AC76" i="51" s="1"/>
  <c r="AC10" i="55"/>
  <c r="AC23" i="59" s="1"/>
  <c r="AA20" i="55"/>
  <c r="AA19" i="55"/>
  <c r="AF228" i="53"/>
  <c r="AG178" i="55" s="1"/>
  <c r="AF225" i="53"/>
  <c r="AF227" i="53"/>
  <c r="AG177" i="55" s="1"/>
  <c r="AF229" i="53"/>
  <c r="AG179" i="55" s="1"/>
  <c r="AF230" i="53"/>
  <c r="AG180" i="55" s="1"/>
  <c r="AF226" i="53"/>
  <c r="AG176" i="55" s="1"/>
  <c r="BG146" i="59"/>
  <c r="AB16" i="55"/>
  <c r="AB30" i="59" s="1"/>
  <c r="AB13" i="55"/>
  <c r="AB27" i="59" s="1"/>
  <c r="AB150" i="59" s="1"/>
  <c r="AB14" i="55"/>
  <c r="AB28" i="59" s="1"/>
  <c r="AB12" i="55"/>
  <c r="AB26" i="59" s="1"/>
  <c r="AB53" i="59" s="1"/>
  <c r="AB15" i="55"/>
  <c r="AB29" i="59" s="1"/>
  <c r="AB152" i="59" s="1"/>
  <c r="AB11" i="55"/>
  <c r="DS146" i="59"/>
  <c r="BG150" i="59"/>
  <c r="DQ151" i="59"/>
  <c r="AA101" i="59"/>
  <c r="AA153" i="59"/>
  <c r="DQ153" i="59"/>
  <c r="BG151" i="59"/>
  <c r="DQ150" i="59"/>
  <c r="BE147" i="59"/>
  <c r="BF101" i="59"/>
  <c r="BF153" i="59"/>
  <c r="BG152" i="59"/>
  <c r="DP101" i="59"/>
  <c r="DP153" i="59"/>
  <c r="Z51" i="59"/>
  <c r="Z147" i="59"/>
  <c r="BG101" i="59"/>
  <c r="BG153" i="59"/>
  <c r="DQ152" i="59"/>
  <c r="BD51" i="59"/>
  <c r="BD147" i="59"/>
  <c r="DQ154" i="59"/>
  <c r="DP127" i="59"/>
  <c r="DP57" i="59"/>
  <c r="DP100" i="59"/>
  <c r="AA24" i="59"/>
  <c r="DP54" i="59"/>
  <c r="DP124" i="59"/>
  <c r="DP53" i="59"/>
  <c r="DP97" i="59"/>
  <c r="DP98" i="59"/>
  <c r="DP125" i="59"/>
  <c r="DP55" i="59"/>
  <c r="DP56" i="59"/>
  <c r="BG97" i="59"/>
  <c r="DP126" i="59"/>
  <c r="BF97" i="59"/>
  <c r="BG98" i="59"/>
  <c r="BG126" i="59"/>
  <c r="BF100" i="59"/>
  <c r="DP99" i="59"/>
  <c r="DS50" i="59"/>
  <c r="DS93" i="59"/>
  <c r="DS121" i="59"/>
  <c r="DS31" i="59"/>
  <c r="DP25" i="59"/>
  <c r="DP148" i="59" s="1"/>
  <c r="DP24" i="59"/>
  <c r="DP147" i="59" s="1"/>
  <c r="BG50" i="59"/>
  <c r="BG31" i="59"/>
  <c r="BG24" i="59"/>
  <c r="BD96" i="59"/>
  <c r="DP7" i="55"/>
  <c r="BG121" i="59"/>
  <c r="BG93" i="59"/>
  <c r="DS13" i="55"/>
  <c r="DS27" i="59" s="1"/>
  <c r="DS14" i="55"/>
  <c r="DS28" i="59" s="1"/>
  <c r="DS11" i="55"/>
  <c r="DS16" i="55"/>
  <c r="DS30" i="59" s="1"/>
  <c r="DS15" i="55"/>
  <c r="DS29" i="59" s="1"/>
  <c r="DS12" i="55"/>
  <c r="DS26" i="59" s="1"/>
  <c r="DP19" i="55"/>
  <c r="DP20" i="55"/>
  <c r="DP6" i="55"/>
  <c r="BG124" i="59"/>
  <c r="BG99" i="59"/>
  <c r="AA100" i="59"/>
  <c r="BF127" i="59"/>
  <c r="BF124" i="59"/>
  <c r="BG125" i="59"/>
  <c r="AA127" i="59"/>
  <c r="AA126" i="59"/>
  <c r="BF57" i="59"/>
  <c r="BF56" i="59"/>
  <c r="BG54" i="59"/>
  <c r="AA57" i="59"/>
  <c r="BG55" i="59"/>
  <c r="AA56" i="59"/>
  <c r="BF54" i="59"/>
  <c r="AA55" i="59"/>
  <c r="BG56" i="59"/>
  <c r="BG57" i="59"/>
  <c r="AA54" i="59"/>
  <c r="BF55" i="59"/>
  <c r="AA25" i="59"/>
  <c r="AA148" i="59" s="1"/>
  <c r="BF25" i="59"/>
  <c r="BF148" i="59" s="1"/>
  <c r="BG25" i="59"/>
  <c r="BG148" i="59" s="1"/>
  <c r="BG58" i="58"/>
  <c r="Z105" i="55"/>
  <c r="Z128" i="55" s="1"/>
  <c r="Z82" i="55"/>
  <c r="Z174" i="55"/>
  <c r="BD106" i="55"/>
  <c r="DP106" i="55" s="1"/>
  <c r="BD83" i="55"/>
  <c r="DP83" i="55" s="1"/>
  <c r="BD175" i="55"/>
  <c r="DP175" i="55" s="1"/>
  <c r="BD105" i="55"/>
  <c r="BD82" i="55"/>
  <c r="DP82" i="55" s="1"/>
  <c r="BD174" i="55"/>
  <c r="DP174" i="55" s="1"/>
  <c r="BF6" i="55"/>
  <c r="BF19" i="55"/>
  <c r="BF7" i="55"/>
  <c r="Z83" i="55"/>
  <c r="Z106" i="55"/>
  <c r="Z175" i="55"/>
  <c r="BD60" i="55"/>
  <c r="DP60" i="55" s="1"/>
  <c r="BD59" i="55"/>
  <c r="DP59" i="55" s="1"/>
  <c r="BD37" i="55"/>
  <c r="DP37" i="55" s="1"/>
  <c r="BD36" i="55"/>
  <c r="DP36" i="55" s="1"/>
  <c r="BG7" i="55"/>
  <c r="AB261" i="54"/>
  <c r="AA7" i="55"/>
  <c r="BF20" i="55"/>
  <c r="BG6" i="55"/>
  <c r="BG20" i="55"/>
  <c r="BG19" i="55"/>
  <c r="AB244" i="54"/>
  <c r="AB245" i="54" s="1"/>
  <c r="AB254" i="54" s="1"/>
  <c r="BI75" i="51" s="1"/>
  <c r="BE154" i="59"/>
  <c r="DR50" i="59"/>
  <c r="DR93" i="59"/>
  <c r="DR121" i="59"/>
  <c r="DR31" i="59"/>
  <c r="DR154" i="59" s="1"/>
  <c r="BF93" i="59"/>
  <c r="BF50" i="59"/>
  <c r="BF31" i="59"/>
  <c r="BF154" i="59" s="1"/>
  <c r="BF24" i="59"/>
  <c r="AB50" i="59"/>
  <c r="AB31" i="59"/>
  <c r="AB154" i="59" s="1"/>
  <c r="AB121" i="59"/>
  <c r="BF121" i="59"/>
  <c r="AB93" i="59"/>
  <c r="DR15" i="55"/>
  <c r="DR29" i="59" s="1"/>
  <c r="DR152" i="59" s="1"/>
  <c r="DR14" i="55"/>
  <c r="DR28" i="59" s="1"/>
  <c r="DR151" i="59" s="1"/>
  <c r="DR13" i="55"/>
  <c r="DR27" i="59" s="1"/>
  <c r="DR150" i="59" s="1"/>
  <c r="DR12" i="55"/>
  <c r="DR26" i="59" s="1"/>
  <c r="DR11" i="55"/>
  <c r="DR16" i="55"/>
  <c r="DR30" i="59" s="1"/>
  <c r="Z32" i="59"/>
  <c r="AA10" i="58"/>
  <c r="AD219" i="54"/>
  <c r="AG214" i="53"/>
  <c r="BH10" i="55"/>
  <c r="AG213" i="53"/>
  <c r="AD236" i="54"/>
  <c r="AD239" i="54" s="1"/>
  <c r="AD77" i="51"/>
  <c r="AG212" i="53"/>
  <c r="AC262" i="53"/>
  <c r="AD78" i="51" s="1"/>
  <c r="AA256" i="54"/>
  <c r="BH74" i="51"/>
  <c r="BH76" i="51" s="1"/>
  <c r="AG215" i="53"/>
  <c r="AD218" i="54"/>
  <c r="AA262" i="54"/>
  <c r="BH78" i="51" s="1"/>
  <c r="BH77" i="51"/>
  <c r="BH59" i="58" s="1"/>
  <c r="AC237" i="54"/>
  <c r="AC238" i="54" s="1"/>
  <c r="BA149" i="59"/>
  <c r="BA155" i="59" s="1"/>
  <c r="DM39" i="57"/>
  <c r="DM9" i="57"/>
  <c r="BA9" i="57"/>
  <c r="BA39" i="57"/>
  <c r="Y152" i="55"/>
  <c r="Y158" i="55" s="1"/>
  <c r="Y38" i="57"/>
  <c r="Y34" i="57"/>
  <c r="Y8" i="57"/>
  <c r="DM20" i="57"/>
  <c r="DM149" i="59" s="1"/>
  <c r="DM155" i="59" s="1"/>
  <c r="Y6" i="57"/>
  <c r="Y36" i="57"/>
  <c r="Y7" i="57"/>
  <c r="Y37" i="57"/>
  <c r="Y4" i="57"/>
  <c r="Y5" i="57"/>
  <c r="Y40" i="57"/>
  <c r="Y27" i="57"/>
  <c r="DM30" i="57"/>
  <c r="Y35" i="57"/>
  <c r="Y10" i="57"/>
  <c r="Y17" i="57"/>
  <c r="W37" i="57"/>
  <c r="W7" i="57"/>
  <c r="W152" i="55"/>
  <c r="W17" i="57"/>
  <c r="W27" i="57"/>
  <c r="W135" i="55"/>
  <c r="AD239" i="53"/>
  <c r="AD237" i="53"/>
  <c r="AD238" i="53" s="1"/>
  <c r="AD240" i="53" s="1"/>
  <c r="AD220" i="53"/>
  <c r="AD224" i="53" s="1"/>
  <c r="AD221" i="53"/>
  <c r="AC245" i="54"/>
  <c r="AC254" i="54" s="1"/>
  <c r="BJ75" i="51" s="1"/>
  <c r="AC221" i="54"/>
  <c r="AC220" i="54"/>
  <c r="AC224" i="54" s="1"/>
  <c r="DL9" i="57"/>
  <c r="DL39" i="57"/>
  <c r="W40" i="57"/>
  <c r="W10" i="57"/>
  <c r="W4" i="57"/>
  <c r="W34" i="57"/>
  <c r="W6" i="57"/>
  <c r="W36" i="57"/>
  <c r="W35" i="57"/>
  <c r="W5" i="57"/>
  <c r="AE227" i="54"/>
  <c r="BL177" i="55" s="1"/>
  <c r="DX177" i="55" s="1"/>
  <c r="AE240" i="53"/>
  <c r="DN10" i="57"/>
  <c r="X9" i="57"/>
  <c r="X39" i="57"/>
  <c r="X41" i="57" s="1"/>
  <c r="DN58" i="59"/>
  <c r="BC8" i="57"/>
  <c r="BC38" i="57"/>
  <c r="CP174" i="55"/>
  <c r="CP181" i="55" s="1"/>
  <c r="CN36" i="57"/>
  <c r="CM149" i="59"/>
  <c r="CM155" i="59" s="1"/>
  <c r="CQ24" i="59"/>
  <c r="CQ101" i="59"/>
  <c r="CQ153" i="59"/>
  <c r="J59" i="63"/>
  <c r="N39" i="63"/>
  <c r="N59" i="63" s="1"/>
  <c r="DY49" i="59"/>
  <c r="DY92" i="59"/>
  <c r="DY120" i="59"/>
  <c r="EN8" i="59"/>
  <c r="EJ8" i="59"/>
  <c r="EO8" i="59" s="1"/>
  <c r="CN37" i="57"/>
  <c r="EE25" i="59"/>
  <c r="DN102" i="59"/>
  <c r="DN128" i="59"/>
  <c r="CR120" i="59"/>
  <c r="CR49" i="59"/>
  <c r="CR31" i="59"/>
  <c r="CR154" i="59" s="1"/>
  <c r="CP96" i="59"/>
  <c r="CP52" i="59"/>
  <c r="CO102" i="59"/>
  <c r="BM120" i="59"/>
  <c r="BM49" i="59"/>
  <c r="I40" i="60"/>
  <c r="DN135" i="55"/>
  <c r="DN38" i="57" s="1"/>
  <c r="BM92" i="59"/>
  <c r="DO17" i="57"/>
  <c r="DO27" i="57"/>
  <c r="DN35" i="57"/>
  <c r="DN5" i="57"/>
  <c r="DN27" i="57"/>
  <c r="DN17" i="57"/>
  <c r="BO9" i="55"/>
  <c r="DZ9" i="55"/>
  <c r="DZ22" i="59" s="1"/>
  <c r="DZ145" i="59" s="1"/>
  <c r="DN36" i="57"/>
  <c r="DN6" i="57"/>
  <c r="BB135" i="55"/>
  <c r="BB8" i="57" s="1"/>
  <c r="BB151" i="55"/>
  <c r="DN151" i="55" s="1"/>
  <c r="CO29" i="57"/>
  <c r="BC158" i="55"/>
  <c r="BC9" i="57" s="1"/>
  <c r="DO152" i="55"/>
  <c r="CL39" i="57"/>
  <c r="CL41" i="57" s="1"/>
  <c r="CO25" i="57"/>
  <c r="DN34" i="57"/>
  <c r="DN4" i="57"/>
  <c r="DQ13" i="57"/>
  <c r="DQ23" i="57"/>
  <c r="DN37" i="57"/>
  <c r="DN7" i="57"/>
  <c r="DN26" i="57"/>
  <c r="DO135" i="55"/>
  <c r="CO89" i="55"/>
  <c r="CO6" i="57" s="1"/>
  <c r="CO43" i="55"/>
  <c r="CO34" i="57" s="1"/>
  <c r="CO40" i="57"/>
  <c r="CO112" i="55"/>
  <c r="CO7" i="57" s="1"/>
  <c r="AG208" i="54"/>
  <c r="AE228" i="54"/>
  <c r="BL178" i="55" s="1"/>
  <c r="DX178" i="55" s="1"/>
  <c r="AE225" i="54"/>
  <c r="AE229" i="54"/>
  <c r="BL179" i="55" s="1"/>
  <c r="DX179" i="55" s="1"/>
  <c r="AE230" i="54"/>
  <c r="BL180" i="55" s="1"/>
  <c r="DX180" i="55" s="1"/>
  <c r="CO24" i="57"/>
  <c r="CP36" i="55"/>
  <c r="CO26" i="57"/>
  <c r="CP37" i="55"/>
  <c r="CP13" i="57" s="1"/>
  <c r="CO129" i="55"/>
  <c r="CO66" i="55"/>
  <c r="CO5" i="57" s="1"/>
  <c r="CP59" i="55"/>
  <c r="CO23" i="57"/>
  <c r="CP60" i="55"/>
  <c r="CP14" i="57" s="1"/>
  <c r="CP82" i="55"/>
  <c r="CP83" i="55"/>
  <c r="CP15" i="57" s="1"/>
  <c r="CP106" i="55"/>
  <c r="BB6" i="57"/>
  <c r="BB36" i="57"/>
  <c r="BB10" i="57"/>
  <c r="BB40" i="57"/>
  <c r="AH120" i="59"/>
  <c r="AH92" i="59"/>
  <c r="EA9" i="55"/>
  <c r="BN22" i="59"/>
  <c r="BN145" i="59" s="1"/>
  <c r="BB5" i="57"/>
  <c r="BB35" i="57"/>
  <c r="BC28" i="57"/>
  <c r="BC30" i="57" s="1"/>
  <c r="BC18" i="57"/>
  <c r="BC20" i="57" s="1"/>
  <c r="BB4" i="57"/>
  <c r="BB34" i="57"/>
  <c r="BE19" i="57"/>
  <c r="BE29" i="57"/>
  <c r="BB152" i="55"/>
  <c r="BB27" i="57"/>
  <c r="BB17" i="57"/>
  <c r="BE25" i="57"/>
  <c r="BE15" i="57"/>
  <c r="BB7" i="57"/>
  <c r="BB37" i="57"/>
  <c r="BE129" i="55"/>
  <c r="BE26" i="57"/>
  <c r="CN152" i="55"/>
  <c r="CN27" i="57"/>
  <c r="CP95" i="59"/>
  <c r="CP123" i="59"/>
  <c r="CQ100" i="59"/>
  <c r="CQ127" i="59"/>
  <c r="CQ98" i="59"/>
  <c r="CQ125" i="59"/>
  <c r="CP94" i="59"/>
  <c r="CP122" i="59"/>
  <c r="CQ97" i="59"/>
  <c r="CQ124" i="59"/>
  <c r="CQ99" i="59"/>
  <c r="CQ126" i="59"/>
  <c r="CR92" i="59"/>
  <c r="CO58" i="59"/>
  <c r="CQ55" i="59"/>
  <c r="CQ57" i="59"/>
  <c r="CQ54" i="59"/>
  <c r="CQ56" i="59"/>
  <c r="AH73" i="51"/>
  <c r="AI73" i="51" s="1"/>
  <c r="AI72" i="51"/>
  <c r="CQ19" i="55"/>
  <c r="CQ175" i="55" s="1"/>
  <c r="CQ19" i="57" s="1"/>
  <c r="CQ25" i="59"/>
  <c r="CQ148" i="59" s="1"/>
  <c r="AE201" i="53"/>
  <c r="AG200" i="53"/>
  <c r="CT172" i="55"/>
  <c r="AF200" i="53"/>
  <c r="AF203" i="53" s="1"/>
  <c r="CS177" i="55" s="1"/>
  <c r="CS172" i="55"/>
  <c r="AG210" i="53"/>
  <c r="AG230" i="53" s="1"/>
  <c r="AH180" i="55" s="1"/>
  <c r="AH172" i="55"/>
  <c r="CO151" i="55"/>
  <c r="AE205" i="53"/>
  <c r="CR179" i="55" s="1"/>
  <c r="AE203" i="53"/>
  <c r="CR177" i="55" s="1"/>
  <c r="AE204" i="53"/>
  <c r="CR178" i="55" s="1"/>
  <c r="AE202" i="53"/>
  <c r="CR176" i="55" s="1"/>
  <c r="AF210" i="54"/>
  <c r="AF229" i="54" s="1"/>
  <c r="BM179" i="55" s="1"/>
  <c r="DY179" i="55" s="1"/>
  <c r="BM172" i="55"/>
  <c r="CQ7" i="55"/>
  <c r="CQ6" i="55"/>
  <c r="CR14" i="55"/>
  <c r="CR28" i="59" s="1"/>
  <c r="CR151" i="59" s="1"/>
  <c r="CR12" i="55"/>
  <c r="CR26" i="59" s="1"/>
  <c r="CR53" i="59" s="1"/>
  <c r="CR13" i="55"/>
  <c r="CR27" i="59" s="1"/>
  <c r="CR150" i="59" s="1"/>
  <c r="CR11" i="55"/>
  <c r="CR15" i="55"/>
  <c r="CR29" i="59" s="1"/>
  <c r="CR152" i="59" s="1"/>
  <c r="CR16" i="55"/>
  <c r="CR30" i="59" s="1"/>
  <c r="AC256" i="53"/>
  <c r="AD74" i="51"/>
  <c r="AD76" i="51" s="1"/>
  <c r="AD10" i="55"/>
  <c r="AD23" i="59" s="1"/>
  <c r="CF13" i="51"/>
  <c r="AE221" i="53"/>
  <c r="AE220" i="53"/>
  <c r="AE224" i="53" s="1"/>
  <c r="AE244" i="53"/>
  <c r="AE199" i="54"/>
  <c r="AE200" i="54" s="1"/>
  <c r="AF166" i="54"/>
  <c r="CS9" i="55" s="1"/>
  <c r="CS22" i="59" s="1"/>
  <c r="CS145" i="59" s="1"/>
  <c r="AD206" i="54"/>
  <c r="AD204" i="54"/>
  <c r="AD205" i="54"/>
  <c r="AD201" i="54"/>
  <c r="AD202" i="54"/>
  <c r="AD203" i="54"/>
  <c r="AF218" i="53"/>
  <c r="AF219" i="53"/>
  <c r="AE236" i="54"/>
  <c r="AE219" i="54"/>
  <c r="AE218" i="54"/>
  <c r="BN71" i="51"/>
  <c r="BN64" i="51"/>
  <c r="AF223" i="54"/>
  <c r="AF222" i="54"/>
  <c r="AF234" i="54" s="1"/>
  <c r="AF235" i="54" s="1"/>
  <c r="AG213" i="54"/>
  <c r="AG215" i="54"/>
  <c r="AG214" i="54"/>
  <c r="AG212" i="54"/>
  <c r="AF216" i="54"/>
  <c r="AF217" i="54"/>
  <c r="AG232" i="54"/>
  <c r="AG233" i="54" s="1"/>
  <c r="AI165" i="54"/>
  <c r="AG209" i="54"/>
  <c r="DZ172" i="55" s="1"/>
  <c r="AJ165" i="54"/>
  <c r="AF236" i="53"/>
  <c r="AF239" i="53" s="1"/>
  <c r="AF244" i="53" s="1"/>
  <c r="DQ181" i="55" l="1"/>
  <c r="DQ40" i="57" s="1"/>
  <c r="DQ29" i="57"/>
  <c r="DQ19" i="57"/>
  <c r="DQ25" i="57"/>
  <c r="DQ15" i="57"/>
  <c r="DQ16" i="57"/>
  <c r="DQ14" i="57"/>
  <c r="DQ24" i="57"/>
  <c r="DQ89" i="55"/>
  <c r="DQ66" i="55"/>
  <c r="DQ43" i="55"/>
  <c r="BE128" i="55"/>
  <c r="DQ128" i="55" s="1"/>
  <c r="DQ105" i="55"/>
  <c r="DQ112" i="55" s="1"/>
  <c r="BE16" i="57"/>
  <c r="BE13" i="57"/>
  <c r="BE23" i="57"/>
  <c r="BE24" i="57"/>
  <c r="BE14" i="57"/>
  <c r="BE66" i="55"/>
  <c r="CP128" i="55"/>
  <c r="BE43" i="55"/>
  <c r="BE181" i="55"/>
  <c r="BE89" i="55"/>
  <c r="BE112" i="55"/>
  <c r="AC146" i="59"/>
  <c r="CM41" i="57"/>
  <c r="CM9" i="57"/>
  <c r="DQ51" i="59"/>
  <c r="DQ122" i="59"/>
  <c r="DQ94" i="59"/>
  <c r="DQ52" i="59"/>
  <c r="DQ95" i="59"/>
  <c r="DQ123" i="59"/>
  <c r="DQ96" i="59"/>
  <c r="AC11" i="58"/>
  <c r="AC6" i="58"/>
  <c r="CP10" i="57"/>
  <c r="CP40" i="57"/>
  <c r="CP29" i="57"/>
  <c r="CN8" i="57"/>
  <c r="CN38" i="57"/>
  <c r="Z128" i="59"/>
  <c r="AC93" i="59"/>
  <c r="Z102" i="59"/>
  <c r="BE102" i="59"/>
  <c r="AC58" i="58"/>
  <c r="AC5" i="58" s="1"/>
  <c r="AA106" i="55"/>
  <c r="AA83" i="55"/>
  <c r="AA175" i="55"/>
  <c r="AA60" i="55"/>
  <c r="AA37" i="55"/>
  <c r="AA36" i="55"/>
  <c r="AA59" i="55"/>
  <c r="Z43" i="55"/>
  <c r="Z66" i="55"/>
  <c r="AC14" i="55"/>
  <c r="AC28" i="59" s="1"/>
  <c r="AC151" i="59" s="1"/>
  <c r="AC11" i="55"/>
  <c r="AC13" i="55"/>
  <c r="AC27" i="59" s="1"/>
  <c r="AC150" i="59" s="1"/>
  <c r="AC12" i="55"/>
  <c r="AC26" i="59" s="1"/>
  <c r="AC53" i="59" s="1"/>
  <c r="AC16" i="55"/>
  <c r="AC30" i="59" s="1"/>
  <c r="AC15" i="55"/>
  <c r="AC29" i="59" s="1"/>
  <c r="AC152" i="59" s="1"/>
  <c r="AB101" i="59"/>
  <c r="AB153" i="59"/>
  <c r="AB10" i="58"/>
  <c r="AC50" i="59"/>
  <c r="AC31" i="59"/>
  <c r="AA122" i="59"/>
  <c r="AC121" i="59"/>
  <c r="Z23" i="57"/>
  <c r="Z13" i="57"/>
  <c r="Z24" i="57"/>
  <c r="Z14" i="57"/>
  <c r="AA94" i="59"/>
  <c r="AD146" i="59"/>
  <c r="AG206" i="53"/>
  <c r="CT180" i="55" s="1"/>
  <c r="AG205" i="53"/>
  <c r="CT179" i="55" s="1"/>
  <c r="AG204" i="53"/>
  <c r="CT178" i="55" s="1"/>
  <c r="AG202" i="53"/>
  <c r="CT176" i="55" s="1"/>
  <c r="AG201" i="53"/>
  <c r="AG203" i="53"/>
  <c r="CT177" i="55" s="1"/>
  <c r="AB151" i="59"/>
  <c r="DP13" i="57"/>
  <c r="DP15" i="57"/>
  <c r="DP89" i="55"/>
  <c r="AB97" i="59"/>
  <c r="AB124" i="59"/>
  <c r="AB54" i="59"/>
  <c r="AB56" i="59"/>
  <c r="AB55" i="59"/>
  <c r="AB100" i="59"/>
  <c r="AB127" i="59"/>
  <c r="AB24" i="59"/>
  <c r="AB98" i="59"/>
  <c r="AB125" i="59"/>
  <c r="AB99" i="59"/>
  <c r="AB126" i="59"/>
  <c r="AB7" i="55"/>
  <c r="AB57" i="59"/>
  <c r="AB25" i="59"/>
  <c r="AB148" i="59" s="1"/>
  <c r="AB19" i="55"/>
  <c r="AB20" i="55"/>
  <c r="AB6" i="55"/>
  <c r="DS6" i="55"/>
  <c r="DQ147" i="59"/>
  <c r="DQ148" i="59"/>
  <c r="DS25" i="59"/>
  <c r="DS126" i="59"/>
  <c r="DS99" i="59"/>
  <c r="DS56" i="59"/>
  <c r="DS97" i="59"/>
  <c r="DS54" i="59"/>
  <c r="DS124" i="59"/>
  <c r="DS55" i="59"/>
  <c r="DS125" i="59"/>
  <c r="DS98" i="59"/>
  <c r="DS57" i="59"/>
  <c r="DS127" i="59"/>
  <c r="DS100" i="59"/>
  <c r="DP51" i="59"/>
  <c r="DP122" i="59"/>
  <c r="DP94" i="59"/>
  <c r="DP52" i="59"/>
  <c r="DP96" i="59"/>
  <c r="DP95" i="59"/>
  <c r="BG96" i="59"/>
  <c r="BF96" i="59"/>
  <c r="BF52" i="59"/>
  <c r="DP23" i="57"/>
  <c r="DS19" i="55"/>
  <c r="DS20" i="55"/>
  <c r="DP181" i="55"/>
  <c r="BG51" i="59"/>
  <c r="AA51" i="59"/>
  <c r="AA147" i="59"/>
  <c r="DS101" i="59"/>
  <c r="DS24" i="59"/>
  <c r="DS53" i="59"/>
  <c r="DP123" i="59"/>
  <c r="BG52" i="59"/>
  <c r="DP25" i="57"/>
  <c r="DP66" i="55"/>
  <c r="AA96" i="59"/>
  <c r="AA52" i="59"/>
  <c r="BD128" i="55"/>
  <c r="DP128" i="55" s="1"/>
  <c r="DP105" i="55"/>
  <c r="DP112" i="55" s="1"/>
  <c r="DP16" i="57"/>
  <c r="DP24" i="57"/>
  <c r="DP14" i="57"/>
  <c r="DP29" i="57"/>
  <c r="DP19" i="57"/>
  <c r="DS7" i="55"/>
  <c r="Z129" i="55"/>
  <c r="Z135" i="55" s="1"/>
  <c r="Z16" i="57"/>
  <c r="Z26" i="57"/>
  <c r="Z25" i="57"/>
  <c r="Z15" i="57"/>
  <c r="BG94" i="59"/>
  <c r="BG122" i="59"/>
  <c r="AA105" i="55"/>
  <c r="AA128" i="55" s="1"/>
  <c r="AA82" i="55"/>
  <c r="AA174" i="55"/>
  <c r="CQ59" i="55"/>
  <c r="CQ60" i="55"/>
  <c r="CQ14" i="57" s="1"/>
  <c r="CQ37" i="55"/>
  <c r="CQ13" i="57" s="1"/>
  <c r="DP43" i="55"/>
  <c r="BD24" i="57"/>
  <c r="BD14" i="57"/>
  <c r="BD29" i="57"/>
  <c r="BD19" i="57"/>
  <c r="BD25" i="57"/>
  <c r="BD15" i="57"/>
  <c r="BD13" i="57"/>
  <c r="BD23" i="57"/>
  <c r="BD129" i="55"/>
  <c r="DP129" i="55" s="1"/>
  <c r="BD26" i="57"/>
  <c r="BD16" i="57"/>
  <c r="Z29" i="57"/>
  <c r="Z19" i="57"/>
  <c r="BF95" i="59"/>
  <c r="BF123" i="59"/>
  <c r="BG95" i="59"/>
  <c r="BG123" i="59"/>
  <c r="AA95" i="59"/>
  <c r="AA123" i="59"/>
  <c r="BF83" i="55"/>
  <c r="DR83" i="55" s="1"/>
  <c r="BD102" i="59"/>
  <c r="Z58" i="59"/>
  <c r="BD66" i="55"/>
  <c r="BD112" i="55"/>
  <c r="Z151" i="55"/>
  <c r="BG106" i="55"/>
  <c r="DS106" i="55" s="1"/>
  <c r="BG83" i="55"/>
  <c r="DS83" i="55" s="1"/>
  <c r="BG175" i="55"/>
  <c r="DS175" i="55" s="1"/>
  <c r="BG105" i="55"/>
  <c r="BG82" i="55"/>
  <c r="DS82" i="55" s="1"/>
  <c r="BG174" i="55"/>
  <c r="DS174" i="55" s="1"/>
  <c r="BF106" i="55"/>
  <c r="DR106" i="55" s="1"/>
  <c r="BF175" i="55"/>
  <c r="DR175" i="55" s="1"/>
  <c r="Z181" i="55"/>
  <c r="AB262" i="54"/>
  <c r="BI78" i="51" s="1"/>
  <c r="AB252" i="54"/>
  <c r="BF105" i="55"/>
  <c r="BF82" i="55"/>
  <c r="DR82" i="55" s="1"/>
  <c r="BF174" i="55"/>
  <c r="DR174" i="55" s="1"/>
  <c r="BD181" i="55"/>
  <c r="Z112" i="55"/>
  <c r="BD89" i="55"/>
  <c r="BD43" i="55"/>
  <c r="BF59" i="55"/>
  <c r="DR59" i="55" s="1"/>
  <c r="BG59" i="55"/>
  <c r="DS59" i="55" s="1"/>
  <c r="BG60" i="55"/>
  <c r="DS60" i="55" s="1"/>
  <c r="BF60" i="55"/>
  <c r="DR60" i="55" s="1"/>
  <c r="Z89" i="55"/>
  <c r="BF37" i="55"/>
  <c r="DR37" i="55" s="1"/>
  <c r="BG36" i="55"/>
  <c r="DS36" i="55" s="1"/>
  <c r="BF36" i="55"/>
  <c r="DR36" i="55" s="1"/>
  <c r="BG37" i="55"/>
  <c r="DS37" i="55" s="1"/>
  <c r="BI77" i="51"/>
  <c r="AD244" i="54"/>
  <c r="AD245" i="54" s="1"/>
  <c r="AD252" i="54" s="1"/>
  <c r="AD237" i="54"/>
  <c r="AD238" i="54" s="1"/>
  <c r="DS154" i="59"/>
  <c r="DS150" i="59"/>
  <c r="BG147" i="59"/>
  <c r="DS151" i="59"/>
  <c r="DS152" i="59"/>
  <c r="BF51" i="59"/>
  <c r="BF147" i="59"/>
  <c r="DR101" i="59"/>
  <c r="DR153" i="59"/>
  <c r="DS153" i="59"/>
  <c r="BG154" i="59"/>
  <c r="DR125" i="59"/>
  <c r="DR98" i="59"/>
  <c r="DR55" i="59"/>
  <c r="DR19" i="55"/>
  <c r="DR20" i="55"/>
  <c r="DR25" i="59"/>
  <c r="DR148" i="59" s="1"/>
  <c r="DR24" i="59"/>
  <c r="DR147" i="59" s="1"/>
  <c r="DR53" i="59"/>
  <c r="DR97" i="59"/>
  <c r="DR54" i="59"/>
  <c r="DR124" i="59"/>
  <c r="DR56" i="59"/>
  <c r="DR126" i="59"/>
  <c r="DR99" i="59"/>
  <c r="DR100" i="59"/>
  <c r="DR127" i="59"/>
  <c r="DR57" i="59"/>
  <c r="DR7" i="55"/>
  <c r="DR6" i="55"/>
  <c r="AA32" i="59"/>
  <c r="BF94" i="59"/>
  <c r="BF122" i="59"/>
  <c r="BH13" i="55"/>
  <c r="BH27" i="59" s="1"/>
  <c r="BH150" i="59" s="1"/>
  <c r="BH12" i="55"/>
  <c r="BH26" i="59" s="1"/>
  <c r="BH53" i="59" s="1"/>
  <c r="AG223" i="53"/>
  <c r="AD220" i="54"/>
  <c r="AD224" i="54" s="1"/>
  <c r="BH23" i="59"/>
  <c r="BH146" i="59" s="1"/>
  <c r="DT10" i="55"/>
  <c r="DT23" i="59" s="1"/>
  <c r="DT146" i="59" s="1"/>
  <c r="BH11" i="55"/>
  <c r="BH16" i="55"/>
  <c r="BH30" i="59" s="1"/>
  <c r="BH14" i="55"/>
  <c r="BH28" i="59" s="1"/>
  <c r="BH151" i="59" s="1"/>
  <c r="AD221" i="54"/>
  <c r="BH58" i="58"/>
  <c r="AD59" i="58"/>
  <c r="BH15" i="55"/>
  <c r="BH29" i="59" s="1"/>
  <c r="BH152" i="59" s="1"/>
  <c r="AG217" i="53"/>
  <c r="AG222" i="53"/>
  <c r="AG234" i="53" s="1"/>
  <c r="AG235" i="53" s="1"/>
  <c r="AG216" i="53"/>
  <c r="AC240" i="54"/>
  <c r="AC261" i="54" s="1"/>
  <c r="BH11" i="58"/>
  <c r="BH6" i="58"/>
  <c r="Y28" i="57"/>
  <c r="Y30" i="57" s="1"/>
  <c r="Y18" i="57"/>
  <c r="Y20" i="57" s="1"/>
  <c r="Y149" i="59" s="1"/>
  <c r="Y155" i="59" s="1"/>
  <c r="Y9" i="57"/>
  <c r="Y39" i="57"/>
  <c r="W158" i="55"/>
  <c r="W28" i="57"/>
  <c r="W30" i="57" s="1"/>
  <c r="W18" i="57"/>
  <c r="W20" i="57" s="1"/>
  <c r="W38" i="57"/>
  <c r="W8" i="57"/>
  <c r="AD261" i="53"/>
  <c r="AD244" i="53"/>
  <c r="AC252" i="54"/>
  <c r="AE261" i="53"/>
  <c r="BB38" i="57"/>
  <c r="AF204" i="53"/>
  <c r="CS178" i="55" s="1"/>
  <c r="AF201" i="53"/>
  <c r="AF206" i="53"/>
  <c r="CS180" i="55" s="1"/>
  <c r="AF205" i="53"/>
  <c r="CS179" i="55" s="1"/>
  <c r="AF202" i="53"/>
  <c r="CS176" i="55" s="1"/>
  <c r="CP66" i="55"/>
  <c r="CQ174" i="55"/>
  <c r="CQ181" i="55" s="1"/>
  <c r="CR101" i="59"/>
  <c r="CR153" i="59"/>
  <c r="CQ51" i="59"/>
  <c r="CQ147" i="59"/>
  <c r="CR24" i="59"/>
  <c r="CO4" i="57"/>
  <c r="CO37" i="57"/>
  <c r="CP112" i="55"/>
  <c r="CP16" i="57"/>
  <c r="DN8" i="57"/>
  <c r="AG227" i="53"/>
  <c r="AH177" i="55" s="1"/>
  <c r="BN73" i="51"/>
  <c r="H42" i="60"/>
  <c r="I42" i="60" s="1"/>
  <c r="CO135" i="55"/>
  <c r="CO17" i="57"/>
  <c r="CN28" i="57"/>
  <c r="CN18" i="57"/>
  <c r="CN20" i="57" s="1"/>
  <c r="CN149" i="59" s="1"/>
  <c r="CN155" i="59" s="1"/>
  <c r="CQ96" i="59"/>
  <c r="CQ52" i="59"/>
  <c r="CS120" i="59"/>
  <c r="CS49" i="59"/>
  <c r="CS31" i="59"/>
  <c r="CS154" i="59" s="1"/>
  <c r="AD50" i="59"/>
  <c r="AD31" i="59"/>
  <c r="R26" i="63"/>
  <c r="J26" i="63" s="1"/>
  <c r="BN49" i="59"/>
  <c r="DZ49" i="59"/>
  <c r="DZ92" i="59"/>
  <c r="DZ120" i="59"/>
  <c r="BC39" i="57"/>
  <c r="BB158" i="55"/>
  <c r="BB9" i="57" s="1"/>
  <c r="DN152" i="55"/>
  <c r="DN158" i="55" s="1"/>
  <c r="DO38" i="57"/>
  <c r="DO8" i="57"/>
  <c r="CO36" i="57"/>
  <c r="DO28" i="57"/>
  <c r="DO30" i="57" s="1"/>
  <c r="DO18" i="57"/>
  <c r="CP26" i="57"/>
  <c r="CP129" i="55"/>
  <c r="CP17" i="57" s="1"/>
  <c r="DQ129" i="55"/>
  <c r="DO158" i="55"/>
  <c r="CO35" i="57"/>
  <c r="AF225" i="54"/>
  <c r="AF227" i="54"/>
  <c r="BM177" i="55" s="1"/>
  <c r="DY177" i="55" s="1"/>
  <c r="AF230" i="54"/>
  <c r="BM180" i="55" s="1"/>
  <c r="DY180" i="55" s="1"/>
  <c r="AF226" i="54"/>
  <c r="BM176" i="55" s="1"/>
  <c r="DY176" i="55" s="1"/>
  <c r="CP25" i="57"/>
  <c r="AF228" i="54"/>
  <c r="BM178" i="55" s="1"/>
  <c r="DY178" i="55" s="1"/>
  <c r="CP23" i="57"/>
  <c r="CP24" i="57"/>
  <c r="CP89" i="55"/>
  <c r="CP36" i="57" s="1"/>
  <c r="CO152" i="55"/>
  <c r="CO27" i="57"/>
  <c r="CP43" i="55"/>
  <c r="CP34" i="57" s="1"/>
  <c r="CQ36" i="55"/>
  <c r="CQ82" i="55"/>
  <c r="G40" i="60"/>
  <c r="CQ83" i="55"/>
  <c r="CQ15" i="57" s="1"/>
  <c r="CN158" i="55"/>
  <c r="CN9" i="57" s="1"/>
  <c r="BN120" i="59"/>
  <c r="BN92" i="59"/>
  <c r="CP6" i="57"/>
  <c r="AD121" i="59"/>
  <c r="BB28" i="57"/>
  <c r="BB30" i="57" s="1"/>
  <c r="BB18" i="57"/>
  <c r="BB20" i="57" s="1"/>
  <c r="BB149" i="59" s="1"/>
  <c r="BB155" i="59" s="1"/>
  <c r="CQ105" i="55"/>
  <c r="CQ106" i="55"/>
  <c r="BE152" i="55"/>
  <c r="DQ152" i="55" s="1"/>
  <c r="BE17" i="57"/>
  <c r="CP4" i="57"/>
  <c r="CQ94" i="59"/>
  <c r="CQ122" i="59"/>
  <c r="CR100" i="59"/>
  <c r="CR127" i="59"/>
  <c r="CR98" i="59"/>
  <c r="CR125" i="59"/>
  <c r="CQ95" i="59"/>
  <c r="CQ123" i="59"/>
  <c r="CR97" i="59"/>
  <c r="CR124" i="59"/>
  <c r="CP128" i="59"/>
  <c r="CR99" i="59"/>
  <c r="CR126" i="59"/>
  <c r="AD93" i="59"/>
  <c r="CS92" i="59"/>
  <c r="CP58" i="59"/>
  <c r="CR57" i="59"/>
  <c r="CR55" i="59"/>
  <c r="CR54" i="59"/>
  <c r="CR56" i="59"/>
  <c r="CP102" i="59"/>
  <c r="CR19" i="55"/>
  <c r="CR175" i="55" s="1"/>
  <c r="CR19" i="57" s="1"/>
  <c r="CR25" i="59"/>
  <c r="CR148" i="59" s="1"/>
  <c r="AD58" i="58"/>
  <c r="AD5" i="58" s="1"/>
  <c r="AG226" i="53"/>
  <c r="AH176" i="55" s="1"/>
  <c r="AG210" i="54"/>
  <c r="BN172" i="55"/>
  <c r="AG229" i="53"/>
  <c r="AH179" i="55" s="1"/>
  <c r="AG225" i="53"/>
  <c r="AG228" i="53"/>
  <c r="AH178" i="55" s="1"/>
  <c r="CR60" i="55"/>
  <c r="CR14" i="57" s="1"/>
  <c r="CR59" i="55"/>
  <c r="CR37" i="55"/>
  <c r="CR13" i="57" s="1"/>
  <c r="CR6" i="55"/>
  <c r="CR7" i="55"/>
  <c r="CS11" i="55"/>
  <c r="CS15" i="55"/>
  <c r="CS29" i="59" s="1"/>
  <c r="CS152" i="59" s="1"/>
  <c r="CS13" i="55"/>
  <c r="CS27" i="59" s="1"/>
  <c r="CS150" i="59" s="1"/>
  <c r="CS14" i="55"/>
  <c r="CS28" i="59" s="1"/>
  <c r="CS151" i="59" s="1"/>
  <c r="CS16" i="55"/>
  <c r="CS30" i="59" s="1"/>
  <c r="CS12" i="55"/>
  <c r="CS26" i="59" s="1"/>
  <c r="CS53" i="59" s="1"/>
  <c r="AD16" i="55"/>
  <c r="AD30" i="59" s="1"/>
  <c r="AD15" i="55"/>
  <c r="AD29" i="59" s="1"/>
  <c r="AD12" i="55"/>
  <c r="AD26" i="59" s="1"/>
  <c r="AD53" i="59" s="1"/>
  <c r="AD14" i="55"/>
  <c r="AD28" i="59" s="1"/>
  <c r="AD11" i="55"/>
  <c r="AD13" i="55"/>
  <c r="AD27" i="59" s="1"/>
  <c r="AG217" i="54"/>
  <c r="AG216" i="54"/>
  <c r="AE245" i="53"/>
  <c r="AE254" i="53" s="1"/>
  <c r="AF75" i="51" s="1"/>
  <c r="AG222" i="54"/>
  <c r="AG234" i="54" s="1"/>
  <c r="AG235" i="54" s="1"/>
  <c r="AG223" i="54"/>
  <c r="AF218" i="54"/>
  <c r="AF219" i="54"/>
  <c r="AE239" i="54"/>
  <c r="AF237" i="53"/>
  <c r="AF238" i="53" s="1"/>
  <c r="AF240" i="53" s="1"/>
  <c r="AF261" i="53" s="1"/>
  <c r="AE237" i="54"/>
  <c r="AE238" i="54" s="1"/>
  <c r="AE240" i="54" s="1"/>
  <c r="AF236" i="54"/>
  <c r="AF220" i="53"/>
  <c r="AF224" i="53" s="1"/>
  <c r="AF221" i="53"/>
  <c r="AF199" i="54"/>
  <c r="AF200" i="54" s="1"/>
  <c r="AG166" i="54"/>
  <c r="AE220" i="54"/>
  <c r="AE224" i="54" s="1"/>
  <c r="AE221" i="54"/>
  <c r="AF245" i="53"/>
  <c r="AF254" i="53" s="1"/>
  <c r="AG75" i="51" s="1"/>
  <c r="AE205" i="54"/>
  <c r="AE202" i="54"/>
  <c r="AE203" i="54"/>
  <c r="AE201" i="54"/>
  <c r="AE206" i="54"/>
  <c r="AE204" i="54"/>
  <c r="BE37" i="57" l="1"/>
  <c r="CP151" i="55"/>
  <c r="BE35" i="57"/>
  <c r="BE7" i="57"/>
  <c r="BE151" i="55"/>
  <c r="DQ151" i="55" s="1"/>
  <c r="DQ10" i="57"/>
  <c r="DQ37" i="57"/>
  <c r="DQ36" i="57"/>
  <c r="DQ6" i="57"/>
  <c r="DQ34" i="57"/>
  <c r="DQ4" i="57"/>
  <c r="BE135" i="55"/>
  <c r="BE38" i="57" s="1"/>
  <c r="BE5" i="57"/>
  <c r="BE27" i="57"/>
  <c r="DQ26" i="57"/>
  <c r="DQ7" i="57"/>
  <c r="DQ35" i="57"/>
  <c r="BE40" i="57"/>
  <c r="DQ5" i="57"/>
  <c r="BE10" i="57"/>
  <c r="BE6" i="57"/>
  <c r="BE36" i="57"/>
  <c r="BE4" i="57"/>
  <c r="BE34" i="57"/>
  <c r="CP5" i="57"/>
  <c r="CP35" i="57"/>
  <c r="CP7" i="57"/>
  <c r="CP37" i="57"/>
  <c r="BH54" i="59"/>
  <c r="DQ58" i="59"/>
  <c r="AC24" i="59"/>
  <c r="AC51" i="59" s="1"/>
  <c r="AC101" i="59"/>
  <c r="AC153" i="59"/>
  <c r="DQ102" i="59"/>
  <c r="DQ128" i="59"/>
  <c r="Z4" i="57"/>
  <c r="Z34" i="57"/>
  <c r="AA13" i="57"/>
  <c r="AA23" i="57"/>
  <c r="Z5" i="57"/>
  <c r="Z35" i="57"/>
  <c r="AA129" i="55"/>
  <c r="AA16" i="57"/>
  <c r="AC97" i="59"/>
  <c r="AC124" i="59"/>
  <c r="AC98" i="59"/>
  <c r="AC125" i="59"/>
  <c r="AC99" i="59"/>
  <c r="AC126" i="59"/>
  <c r="AC100" i="59"/>
  <c r="AC10" i="58"/>
  <c r="AC57" i="59"/>
  <c r="AC54" i="59"/>
  <c r="AC56" i="59"/>
  <c r="AA43" i="55"/>
  <c r="AA66" i="55"/>
  <c r="AA24" i="57"/>
  <c r="AA14" i="57"/>
  <c r="AA19" i="57"/>
  <c r="AA15" i="57"/>
  <c r="AC127" i="59"/>
  <c r="AC55" i="59"/>
  <c r="AC25" i="59"/>
  <c r="AC7" i="55"/>
  <c r="AD152" i="59"/>
  <c r="AD151" i="59"/>
  <c r="AD150" i="59"/>
  <c r="AC6" i="55"/>
  <c r="AC19" i="55"/>
  <c r="AC20" i="55"/>
  <c r="AC154" i="59"/>
  <c r="AD154" i="59"/>
  <c r="AB32" i="59"/>
  <c r="CQ29" i="57"/>
  <c r="CP152" i="55"/>
  <c r="CP27" i="57"/>
  <c r="CO8" i="57"/>
  <c r="CO38" i="57"/>
  <c r="CQ10" i="57"/>
  <c r="CQ40" i="57"/>
  <c r="CP135" i="55"/>
  <c r="AB51" i="59"/>
  <c r="AB147" i="59"/>
  <c r="DS52" i="59"/>
  <c r="DS96" i="59"/>
  <c r="DS95" i="59"/>
  <c r="Z6" i="57"/>
  <c r="BG25" i="57"/>
  <c r="AA25" i="57"/>
  <c r="Z17" i="57"/>
  <c r="AC262" i="54"/>
  <c r="BJ78" i="51" s="1"/>
  <c r="BJ77" i="51"/>
  <c r="BJ59" i="58" s="1"/>
  <c r="AB94" i="59"/>
  <c r="AB122" i="59"/>
  <c r="AB95" i="59"/>
  <c r="AB123" i="59"/>
  <c r="AD240" i="54"/>
  <c r="AD261" i="54" s="1"/>
  <c r="AB105" i="55"/>
  <c r="AB128" i="55" s="1"/>
  <c r="AB82" i="55"/>
  <c r="AB174" i="55"/>
  <c r="BD151" i="55"/>
  <c r="DP151" i="55" s="1"/>
  <c r="BD135" i="55"/>
  <c r="AB37" i="55"/>
  <c r="AB60" i="55"/>
  <c r="AB59" i="55"/>
  <c r="AB36" i="55"/>
  <c r="AB106" i="55"/>
  <c r="AB83" i="55"/>
  <c r="AB175" i="55"/>
  <c r="AB96" i="59"/>
  <c r="AB52" i="59"/>
  <c r="DP34" i="57"/>
  <c r="DP4" i="57"/>
  <c r="BD152" i="55"/>
  <c r="BD5" i="57"/>
  <c r="CQ24" i="57"/>
  <c r="DP58" i="59"/>
  <c r="DS43" i="55"/>
  <c r="DP102" i="59"/>
  <c r="DR43" i="55"/>
  <c r="DP128" i="59"/>
  <c r="DS51" i="59"/>
  <c r="DS122" i="59"/>
  <c r="DS94" i="59"/>
  <c r="DS123" i="59"/>
  <c r="DP26" i="57"/>
  <c r="Z38" i="57"/>
  <c r="AA26" i="57"/>
  <c r="AA89" i="55"/>
  <c r="CQ66" i="55"/>
  <c r="DP36" i="57"/>
  <c r="DP6" i="57"/>
  <c r="DR181" i="55"/>
  <c r="DP35" i="57"/>
  <c r="DP5" i="57"/>
  <c r="BF128" i="55"/>
  <c r="DR128" i="55" s="1"/>
  <c r="DR105" i="55"/>
  <c r="DR112" i="55" s="1"/>
  <c r="DR29" i="57"/>
  <c r="DR19" i="57"/>
  <c r="DS19" i="57"/>
  <c r="DS29" i="57"/>
  <c r="DP17" i="57"/>
  <c r="DP27" i="57"/>
  <c r="DR14" i="57"/>
  <c r="DR24" i="57"/>
  <c r="DR25" i="57"/>
  <c r="DR15" i="57"/>
  <c r="DR89" i="55"/>
  <c r="DS15" i="57"/>
  <c r="DS25" i="57"/>
  <c r="DS89" i="55"/>
  <c r="DS14" i="57"/>
  <c r="DS24" i="57"/>
  <c r="DR16" i="57"/>
  <c r="DS16" i="57"/>
  <c r="DP40" i="57"/>
  <c r="DP10" i="57"/>
  <c r="DP37" i="57"/>
  <c r="DP7" i="57"/>
  <c r="DP135" i="55"/>
  <c r="BD17" i="57"/>
  <c r="Z10" i="57"/>
  <c r="Z27" i="57"/>
  <c r="BG181" i="55"/>
  <c r="BG10" i="57" s="1"/>
  <c r="CQ43" i="55"/>
  <c r="CN30" i="57"/>
  <c r="BF29" i="57"/>
  <c r="BF19" i="57"/>
  <c r="BG23" i="57"/>
  <c r="BG13" i="57"/>
  <c r="BG29" i="57"/>
  <c r="BG19" i="57"/>
  <c r="BD27" i="57"/>
  <c r="Z36" i="57"/>
  <c r="Z40" i="57"/>
  <c r="BG15" i="57"/>
  <c r="AA29" i="57"/>
  <c r="Z8" i="57"/>
  <c r="Z152" i="55"/>
  <c r="AA58" i="59"/>
  <c r="AA181" i="55"/>
  <c r="AA151" i="55"/>
  <c r="CQ128" i="55"/>
  <c r="AA112" i="55"/>
  <c r="DS66" i="55"/>
  <c r="DS35" i="57" s="1"/>
  <c r="DS181" i="55"/>
  <c r="DS10" i="57" s="1"/>
  <c r="BG128" i="55"/>
  <c r="DS128" i="55" s="1"/>
  <c r="DS105" i="55"/>
  <c r="DS112" i="55" s="1"/>
  <c r="DR13" i="57"/>
  <c r="DR23" i="57"/>
  <c r="DR66" i="55"/>
  <c r="DS23" i="57"/>
  <c r="DS13" i="57"/>
  <c r="BD35" i="57"/>
  <c r="BF66" i="55"/>
  <c r="BF24" i="57"/>
  <c r="BF14" i="57"/>
  <c r="BG129" i="55"/>
  <c r="BG16" i="57"/>
  <c r="BG26" i="57"/>
  <c r="BF25" i="57"/>
  <c r="BF15" i="57"/>
  <c r="BD6" i="57"/>
  <c r="BD36" i="57"/>
  <c r="BF129" i="55"/>
  <c r="DR129" i="55" s="1"/>
  <c r="BF26" i="57"/>
  <c r="BF16" i="57"/>
  <c r="BG14" i="57"/>
  <c r="BG24" i="57"/>
  <c r="Z7" i="57"/>
  <c r="Z37" i="57"/>
  <c r="BD4" i="57"/>
  <c r="BD34" i="57"/>
  <c r="BF23" i="57"/>
  <c r="BF13" i="57"/>
  <c r="BF89" i="55"/>
  <c r="BI74" i="51"/>
  <c r="BI76" i="51" s="1"/>
  <c r="BD10" i="57"/>
  <c r="BD40" i="57"/>
  <c r="BD7" i="57"/>
  <c r="BD37" i="57"/>
  <c r="AA128" i="59"/>
  <c r="AA102" i="59"/>
  <c r="BH56" i="59"/>
  <c r="BF102" i="59"/>
  <c r="BG102" i="59"/>
  <c r="BH57" i="59"/>
  <c r="BH55" i="59"/>
  <c r="BF181" i="55"/>
  <c r="BF43" i="55"/>
  <c r="BG89" i="55"/>
  <c r="AB256" i="54"/>
  <c r="BH25" i="59"/>
  <c r="BH148" i="59" s="1"/>
  <c r="BI59" i="58"/>
  <c r="BG66" i="55"/>
  <c r="BG43" i="55"/>
  <c r="BF112" i="55"/>
  <c r="BG112" i="55"/>
  <c r="BI10" i="55"/>
  <c r="BK74" i="51"/>
  <c r="AD254" i="54"/>
  <c r="DS147" i="59"/>
  <c r="DS148" i="59"/>
  <c r="DR52" i="59"/>
  <c r="DR95" i="59"/>
  <c r="DR96" i="59"/>
  <c r="DR123" i="59"/>
  <c r="DT50" i="59"/>
  <c r="DT93" i="59"/>
  <c r="DT121" i="59"/>
  <c r="DT31" i="59"/>
  <c r="DT154" i="59" s="1"/>
  <c r="DT14" i="55"/>
  <c r="DT28" i="59" s="1"/>
  <c r="DT151" i="59" s="1"/>
  <c r="DT16" i="55"/>
  <c r="DT30" i="59" s="1"/>
  <c r="BH100" i="59"/>
  <c r="AD11" i="58"/>
  <c r="AD6" i="58"/>
  <c r="DR51" i="59"/>
  <c r="DR122" i="59"/>
  <c r="DR94" i="59"/>
  <c r="BH93" i="59"/>
  <c r="DT13" i="55"/>
  <c r="DT27" i="59" s="1"/>
  <c r="DT150" i="59" s="1"/>
  <c r="DT11" i="55"/>
  <c r="DT15" i="55"/>
  <c r="DT29" i="59" s="1"/>
  <c r="DT152" i="59" s="1"/>
  <c r="BH99" i="59"/>
  <c r="BH127" i="59"/>
  <c r="DT12" i="55"/>
  <c r="DO20" i="57"/>
  <c r="BH126" i="59"/>
  <c r="BH98" i="59"/>
  <c r="BH125" i="59"/>
  <c r="BH97" i="59"/>
  <c r="BH124" i="59"/>
  <c r="BH6" i="55"/>
  <c r="BH7" i="55"/>
  <c r="BH19" i="55"/>
  <c r="BH20" i="55"/>
  <c r="AG218" i="53"/>
  <c r="AG219" i="53"/>
  <c r="AG236" i="53"/>
  <c r="AG239" i="53" s="1"/>
  <c r="Y41" i="57"/>
  <c r="BH101" i="59"/>
  <c r="BH153" i="59"/>
  <c r="BH121" i="59"/>
  <c r="BH50" i="59"/>
  <c r="BH24" i="59"/>
  <c r="BH31" i="59"/>
  <c r="BH154" i="59" s="1"/>
  <c r="W9" i="57"/>
  <c r="W39" i="57"/>
  <c r="W41" i="57" s="1"/>
  <c r="X149" i="59"/>
  <c r="X155" i="59" s="1"/>
  <c r="W149" i="59"/>
  <c r="W155" i="59" s="1"/>
  <c r="AE77" i="51"/>
  <c r="AE59" i="58" s="1"/>
  <c r="AD262" i="53"/>
  <c r="AE78" i="51" s="1"/>
  <c r="BJ74" i="51"/>
  <c r="BJ76" i="51" s="1"/>
  <c r="BJ58" i="58" s="1"/>
  <c r="BJ10" i="55"/>
  <c r="AC256" i="54"/>
  <c r="AF77" i="51"/>
  <c r="AE262" i="53"/>
  <c r="AF78" i="51" s="1"/>
  <c r="AG225" i="54"/>
  <c r="AG227" i="54"/>
  <c r="BN177" i="55" s="1"/>
  <c r="DZ177" i="55" s="1"/>
  <c r="AG228" i="54"/>
  <c r="BN178" i="55" s="1"/>
  <c r="DZ178" i="55" s="1"/>
  <c r="AG226" i="54"/>
  <c r="BN176" i="55" s="1"/>
  <c r="DZ176" i="55" s="1"/>
  <c r="AG229" i="54"/>
  <c r="BN179" i="55" s="1"/>
  <c r="DZ179" i="55" s="1"/>
  <c r="AG230" i="54"/>
  <c r="BN180" i="55" s="1"/>
  <c r="DZ180" i="55" s="1"/>
  <c r="AD245" i="53"/>
  <c r="AD24" i="59"/>
  <c r="CR174" i="55"/>
  <c r="CR181" i="55" s="1"/>
  <c r="AD101" i="59"/>
  <c r="AD153" i="59"/>
  <c r="BC149" i="59"/>
  <c r="BC155" i="59" s="1"/>
  <c r="CS24" i="59"/>
  <c r="CR51" i="59"/>
  <c r="CR147" i="59"/>
  <c r="CS101" i="59"/>
  <c r="CS153" i="59"/>
  <c r="CO158" i="55"/>
  <c r="CO18" i="57"/>
  <c r="CO20" i="57" s="1"/>
  <c r="CO149" i="59" s="1"/>
  <c r="CO155" i="59" s="1"/>
  <c r="CQ112" i="55"/>
  <c r="CQ16" i="57"/>
  <c r="R46" i="63"/>
  <c r="J46" i="63" s="1"/>
  <c r="CR96" i="59"/>
  <c r="CR52" i="59"/>
  <c r="AG236" i="54"/>
  <c r="DQ17" i="57"/>
  <c r="DQ27" i="57"/>
  <c r="DO39" i="57"/>
  <c r="DO9" i="57"/>
  <c r="BB39" i="57"/>
  <c r="CO28" i="57"/>
  <c r="CO30" i="57" s="1"/>
  <c r="CQ25" i="57"/>
  <c r="DN39" i="57"/>
  <c r="DN9" i="57"/>
  <c r="DQ135" i="55"/>
  <c r="DQ18" i="57"/>
  <c r="DQ28" i="57"/>
  <c r="CR105" i="55"/>
  <c r="DN28" i="57"/>
  <c r="DN30" i="57" s="1"/>
  <c r="DN18" i="57"/>
  <c r="DN20" i="57" s="1"/>
  <c r="DN149" i="59" s="1"/>
  <c r="DN155" i="59" s="1"/>
  <c r="CR82" i="55"/>
  <c r="CR83" i="55"/>
  <c r="CR15" i="57" s="1"/>
  <c r="CR36" i="55"/>
  <c r="CR23" i="57" s="1"/>
  <c r="CR106" i="55"/>
  <c r="CQ23" i="57"/>
  <c r="CN39" i="57"/>
  <c r="CN41" i="57" s="1"/>
  <c r="CQ89" i="55"/>
  <c r="CQ6" i="57" s="1"/>
  <c r="BE18" i="57"/>
  <c r="BE20" i="57" s="1"/>
  <c r="CR24" i="57"/>
  <c r="CQ129" i="55"/>
  <c r="CQ26" i="57"/>
  <c r="AD98" i="59"/>
  <c r="AD125" i="59"/>
  <c r="AD100" i="59"/>
  <c r="AD127" i="59"/>
  <c r="CS97" i="59"/>
  <c r="CS124" i="59"/>
  <c r="CS99" i="59"/>
  <c r="CS126" i="59"/>
  <c r="AD99" i="59"/>
  <c r="AD126" i="59"/>
  <c r="AD97" i="59"/>
  <c r="AD124" i="59"/>
  <c r="CS98" i="59"/>
  <c r="CS125" i="59"/>
  <c r="CR94" i="59"/>
  <c r="CR122" i="59"/>
  <c r="CQ128" i="59"/>
  <c r="CS100" i="59"/>
  <c r="CS127" i="59"/>
  <c r="CR95" i="59"/>
  <c r="CR123" i="59"/>
  <c r="AD10" i="58"/>
  <c r="AD54" i="59"/>
  <c r="CS54" i="59"/>
  <c r="CQ58" i="59"/>
  <c r="AD56" i="59"/>
  <c r="AD57" i="59"/>
  <c r="CS56" i="59"/>
  <c r="AD55" i="59"/>
  <c r="CS55" i="59"/>
  <c r="CS57" i="59"/>
  <c r="CQ102" i="59"/>
  <c r="CS19" i="55"/>
  <c r="CS106" i="55" s="1"/>
  <c r="CS16" i="57" s="1"/>
  <c r="CS25" i="59"/>
  <c r="CS148" i="59" s="1"/>
  <c r="AD25" i="59"/>
  <c r="AE261" i="54"/>
  <c r="CR66" i="55"/>
  <c r="AF262" i="53"/>
  <c r="AG78" i="51" s="1"/>
  <c r="AG77" i="51"/>
  <c r="AD7" i="55"/>
  <c r="AD19" i="55"/>
  <c r="AD20" i="55"/>
  <c r="AD6" i="55"/>
  <c r="CS7" i="55"/>
  <c r="AG199" i="54"/>
  <c r="AG200" i="54" s="1"/>
  <c r="AG206" i="54" s="1"/>
  <c r="CT9" i="55"/>
  <c r="CT22" i="59" s="1"/>
  <c r="CT145" i="59" s="1"/>
  <c r="CS6" i="55"/>
  <c r="AF252" i="53"/>
  <c r="AE252" i="53"/>
  <c r="AF237" i="54"/>
  <c r="AF238" i="54" s="1"/>
  <c r="AF240" i="54" s="1"/>
  <c r="AF239" i="54"/>
  <c r="AE244" i="54"/>
  <c r="AE245" i="54" s="1"/>
  <c r="AE254" i="54" s="1"/>
  <c r="BL75" i="51" s="1"/>
  <c r="AF220" i="54"/>
  <c r="AF224" i="54" s="1"/>
  <c r="AF221" i="54"/>
  <c r="AF205" i="54"/>
  <c r="AF202" i="54"/>
  <c r="AF201" i="54"/>
  <c r="AF206" i="54"/>
  <c r="AF203" i="54"/>
  <c r="AF204" i="54"/>
  <c r="AG219" i="54"/>
  <c r="AG218" i="54"/>
  <c r="DQ158" i="55" l="1"/>
  <c r="BE8" i="57"/>
  <c r="BE28" i="57"/>
  <c r="BE30" i="57" s="1"/>
  <c r="BE158" i="55"/>
  <c r="CP28" i="57"/>
  <c r="CP30" i="57" s="1"/>
  <c r="CP8" i="57"/>
  <c r="CP38" i="57"/>
  <c r="CQ5" i="57"/>
  <c r="CQ35" i="57"/>
  <c r="CR10" i="57"/>
  <c r="CR40" i="57"/>
  <c r="BD158" i="55"/>
  <c r="DP152" i="55"/>
  <c r="BD18" i="57"/>
  <c r="BH94" i="59"/>
  <c r="BH122" i="59"/>
  <c r="AA135" i="55"/>
  <c r="AC122" i="59"/>
  <c r="AC83" i="55"/>
  <c r="AC36" i="55"/>
  <c r="AA27" i="57"/>
  <c r="AC106" i="55"/>
  <c r="AC82" i="55"/>
  <c r="AA17" i="57"/>
  <c r="AA5" i="57"/>
  <c r="AA34" i="57"/>
  <c r="AC95" i="59"/>
  <c r="AD148" i="59"/>
  <c r="AC174" i="55"/>
  <c r="AC147" i="59"/>
  <c r="AC96" i="59"/>
  <c r="AC52" i="59"/>
  <c r="AC32" i="59"/>
  <c r="AA6" i="57"/>
  <c r="AA36" i="57"/>
  <c r="AA152" i="55"/>
  <c r="AA35" i="57"/>
  <c r="AA4" i="57"/>
  <c r="AC94" i="59"/>
  <c r="AC123" i="59"/>
  <c r="AC175" i="55"/>
  <c r="AC105" i="55"/>
  <c r="AC128" i="55" s="1"/>
  <c r="AC148" i="59"/>
  <c r="BH51" i="59"/>
  <c r="BH147" i="59"/>
  <c r="CO9" i="57"/>
  <c r="CO39" i="57"/>
  <c r="CO41" i="57" s="1"/>
  <c r="CQ7" i="57"/>
  <c r="CQ37" i="57"/>
  <c r="AC59" i="55"/>
  <c r="AC37" i="55"/>
  <c r="AC60" i="55"/>
  <c r="AG237" i="53"/>
  <c r="AG238" i="53" s="1"/>
  <c r="AG240" i="53" s="1"/>
  <c r="AG261" i="53" s="1"/>
  <c r="AG221" i="53"/>
  <c r="AG220" i="53"/>
  <c r="AG224" i="53" s="1"/>
  <c r="AG244" i="53"/>
  <c r="CP158" i="55"/>
  <c r="CP18" i="57"/>
  <c r="CP20" i="57" s="1"/>
  <c r="BJ11" i="58"/>
  <c r="BJ6" i="58"/>
  <c r="AD262" i="54"/>
  <c r="BK78" i="51" s="1"/>
  <c r="BK77" i="51"/>
  <c r="BK59" i="58" s="1"/>
  <c r="AB25" i="57"/>
  <c r="BD28" i="57"/>
  <c r="CR29" i="57"/>
  <c r="CR26" i="57"/>
  <c r="CQ151" i="55"/>
  <c r="CR128" i="55"/>
  <c r="CR112" i="55"/>
  <c r="CR43" i="55"/>
  <c r="AE262" i="54"/>
  <c r="BL78" i="51" s="1"/>
  <c r="BL77" i="51"/>
  <c r="AG237" i="54"/>
  <c r="AG238" i="54" s="1"/>
  <c r="AG239" i="54"/>
  <c r="DS129" i="55"/>
  <c r="DS135" i="55" s="1"/>
  <c r="BF151" i="55"/>
  <c r="DR151" i="55" s="1"/>
  <c r="DR35" i="57"/>
  <c r="DR37" i="57"/>
  <c r="DR10" i="57"/>
  <c r="BF5" i="57"/>
  <c r="AA10" i="57"/>
  <c r="AA40" i="57"/>
  <c r="Z18" i="57"/>
  <c r="Z20" i="57" s="1"/>
  <c r="Z149" i="59" s="1"/>
  <c r="Z155" i="59" s="1"/>
  <c r="DS4" i="57"/>
  <c r="DS34" i="57"/>
  <c r="DR26" i="57"/>
  <c r="DS36" i="57"/>
  <c r="DR36" i="57"/>
  <c r="DR40" i="57"/>
  <c r="AA7" i="57"/>
  <c r="AB15" i="57"/>
  <c r="BD8" i="57"/>
  <c r="BD38" i="57"/>
  <c r="AB24" i="57"/>
  <c r="AB14" i="57"/>
  <c r="AB128" i="59"/>
  <c r="AB23" i="57"/>
  <c r="AB13" i="57"/>
  <c r="AB151" i="55"/>
  <c r="AB89" i="55"/>
  <c r="AB43" i="55"/>
  <c r="AB66" i="55"/>
  <c r="AB181" i="55"/>
  <c r="AB112" i="55"/>
  <c r="DR34" i="57"/>
  <c r="DR4" i="57"/>
  <c r="AB129" i="55"/>
  <c r="AB135" i="55" s="1"/>
  <c r="AB26" i="57"/>
  <c r="AB16" i="57"/>
  <c r="AB19" i="57"/>
  <c r="AB29" i="57"/>
  <c r="AB102" i="59"/>
  <c r="AB58" i="59"/>
  <c r="DP38" i="57"/>
  <c r="DP8" i="57"/>
  <c r="DR6" i="57"/>
  <c r="BF135" i="55"/>
  <c r="BF8" i="57" s="1"/>
  <c r="DR5" i="57"/>
  <c r="DR7" i="57"/>
  <c r="BG17" i="57"/>
  <c r="CQ4" i="57"/>
  <c r="CQ34" i="57"/>
  <c r="Z158" i="55"/>
  <c r="DS58" i="59"/>
  <c r="DS102" i="59"/>
  <c r="DS128" i="59"/>
  <c r="BG40" i="57"/>
  <c r="DS6" i="57"/>
  <c r="BG135" i="55"/>
  <c r="BG8" i="57" s="1"/>
  <c r="AA37" i="57"/>
  <c r="BG152" i="55"/>
  <c r="DS152" i="55" s="1"/>
  <c r="BG27" i="57"/>
  <c r="Z28" i="57"/>
  <c r="Z30" i="57" s="1"/>
  <c r="BI23" i="59"/>
  <c r="BG7" i="57"/>
  <c r="BG151" i="55"/>
  <c r="DS151" i="55" s="1"/>
  <c r="DS5" i="57"/>
  <c r="DS40" i="57"/>
  <c r="DS26" i="57"/>
  <c r="BI11" i="58"/>
  <c r="BI6" i="58"/>
  <c r="BH52" i="59"/>
  <c r="DR135" i="55"/>
  <c r="DR8" i="57" s="1"/>
  <c r="DS37" i="57"/>
  <c r="DS7" i="57"/>
  <c r="DR17" i="57"/>
  <c r="DR27" i="57"/>
  <c r="DU10" i="55"/>
  <c r="DU23" i="59" s="1"/>
  <c r="BG37" i="57"/>
  <c r="BF35" i="57"/>
  <c r="BG6" i="57"/>
  <c r="BG36" i="57"/>
  <c r="BF10" i="57"/>
  <c r="BF40" i="57"/>
  <c r="BG5" i="57"/>
  <c r="BG35" i="57"/>
  <c r="BF7" i="57"/>
  <c r="BF37" i="57"/>
  <c r="BF152" i="55"/>
  <c r="BF27" i="57"/>
  <c r="BF17" i="57"/>
  <c r="BF6" i="57"/>
  <c r="BF36" i="57"/>
  <c r="BF4" i="57"/>
  <c r="BF34" i="57"/>
  <c r="BG34" i="57"/>
  <c r="BH123" i="59"/>
  <c r="BI12" i="55"/>
  <c r="BI26" i="59" s="1"/>
  <c r="BI53" i="59" s="1"/>
  <c r="BI15" i="55"/>
  <c r="BI29" i="59" s="1"/>
  <c r="BG4" i="57"/>
  <c r="BH95" i="59"/>
  <c r="BI16" i="55"/>
  <c r="BI30" i="59" s="1"/>
  <c r="BI11" i="55"/>
  <c r="BI58" i="58"/>
  <c r="BI13" i="55"/>
  <c r="BI27" i="59" s="1"/>
  <c r="BI14" i="55"/>
  <c r="BI28" i="59" s="1"/>
  <c r="DR128" i="59"/>
  <c r="BH106" i="55"/>
  <c r="DT106" i="55" s="1"/>
  <c r="BK10" i="55"/>
  <c r="AD256" i="54"/>
  <c r="BK75" i="51"/>
  <c r="BK76" i="51" s="1"/>
  <c r="BH60" i="55"/>
  <c r="DT60" i="55" s="1"/>
  <c r="BH37" i="55"/>
  <c r="DT37" i="55" s="1"/>
  <c r="DR102" i="59"/>
  <c r="DT101" i="59"/>
  <c r="DT153" i="59"/>
  <c r="DT6" i="55"/>
  <c r="DT26" i="59"/>
  <c r="DT127" i="59"/>
  <c r="DT57" i="59"/>
  <c r="DT100" i="59"/>
  <c r="DT25" i="59"/>
  <c r="DT148" i="59" s="1"/>
  <c r="DT24" i="59"/>
  <c r="DT147" i="59" s="1"/>
  <c r="BH83" i="55"/>
  <c r="DT83" i="55" s="1"/>
  <c r="BH36" i="55"/>
  <c r="DT36" i="55" s="1"/>
  <c r="DT55" i="59"/>
  <c r="DT125" i="59"/>
  <c r="DT98" i="59"/>
  <c r="DR58" i="59"/>
  <c r="DT126" i="59"/>
  <c r="DT99" i="59"/>
  <c r="DT56" i="59"/>
  <c r="BH96" i="59"/>
  <c r="DT20" i="55"/>
  <c r="DT19" i="55"/>
  <c r="DT7" i="55"/>
  <c r="BH174" i="55"/>
  <c r="DT174" i="55" s="1"/>
  <c r="BH59" i="55"/>
  <c r="DT59" i="55" s="1"/>
  <c r="BH105" i="55"/>
  <c r="BH82" i="55"/>
  <c r="DT82" i="55" s="1"/>
  <c r="BH175" i="55"/>
  <c r="DT175" i="55" s="1"/>
  <c r="AD51" i="59"/>
  <c r="AD147" i="59"/>
  <c r="BJ15" i="55"/>
  <c r="BJ29" i="59" s="1"/>
  <c r="BJ13" i="55"/>
  <c r="BJ16" i="55"/>
  <c r="BJ30" i="59" s="1"/>
  <c r="BJ101" i="59" s="1"/>
  <c r="BJ12" i="55"/>
  <c r="BJ26" i="59" s="1"/>
  <c r="BJ14" i="55"/>
  <c r="BJ28" i="59" s="1"/>
  <c r="BJ11" i="55"/>
  <c r="DV10" i="55"/>
  <c r="BJ23" i="59"/>
  <c r="AD252" i="53"/>
  <c r="AD254" i="53"/>
  <c r="AE75" i="51" s="1"/>
  <c r="AE11" i="58"/>
  <c r="AE6" i="58"/>
  <c r="AF59" i="58"/>
  <c r="CS37" i="55"/>
  <c r="CS13" i="57" s="1"/>
  <c r="CS175" i="55"/>
  <c r="CS19" i="57" s="1"/>
  <c r="CR89" i="55"/>
  <c r="CS51" i="59"/>
  <c r="CS147" i="59"/>
  <c r="DO149" i="59"/>
  <c r="DO155" i="59" s="1"/>
  <c r="DQ30" i="57"/>
  <c r="CQ36" i="57"/>
  <c r="CQ135" i="55"/>
  <c r="CQ17" i="57"/>
  <c r="CR129" i="55"/>
  <c r="CR17" i="57" s="1"/>
  <c r="CR16" i="57"/>
  <c r="CS96" i="59"/>
  <c r="CS52" i="59"/>
  <c r="CT120" i="59"/>
  <c r="CT49" i="59"/>
  <c r="CU45" i="59" s="1"/>
  <c r="EI45" i="59" s="1"/>
  <c r="CT31" i="59"/>
  <c r="CT154" i="59" s="1"/>
  <c r="AD96" i="59"/>
  <c r="AD52" i="59"/>
  <c r="DQ38" i="57"/>
  <c r="DQ8" i="57"/>
  <c r="DQ20" i="57"/>
  <c r="CR25" i="57"/>
  <c r="CS36" i="55"/>
  <c r="CS174" i="55"/>
  <c r="CS59" i="55"/>
  <c r="CS60" i="55"/>
  <c r="CS14" i="57" s="1"/>
  <c r="AD32" i="59"/>
  <c r="CQ8" i="57"/>
  <c r="CQ38" i="57"/>
  <c r="CS129" i="55"/>
  <c r="CS17" i="57" s="1"/>
  <c r="CR5" i="57"/>
  <c r="CR35" i="57"/>
  <c r="CQ152" i="55"/>
  <c r="CQ27" i="57"/>
  <c r="AD94" i="59"/>
  <c r="AD122" i="59"/>
  <c r="CS94" i="59"/>
  <c r="CS122" i="59"/>
  <c r="CS95" i="59"/>
  <c r="CS123" i="59"/>
  <c r="CR128" i="59"/>
  <c r="AD95" i="59"/>
  <c r="AD123" i="59"/>
  <c r="CT92" i="59"/>
  <c r="CR58" i="59"/>
  <c r="CR102" i="59"/>
  <c r="CS82" i="55"/>
  <c r="CS83" i="55"/>
  <c r="CS105" i="55"/>
  <c r="CS26" i="57" s="1"/>
  <c r="AG59" i="58"/>
  <c r="AG201" i="54"/>
  <c r="AG205" i="54"/>
  <c r="AD106" i="55"/>
  <c r="AD83" i="55"/>
  <c r="AD175" i="55"/>
  <c r="AD105" i="55"/>
  <c r="AD128" i="55" s="1"/>
  <c r="AD82" i="55"/>
  <c r="AD174" i="55"/>
  <c r="AG202" i="54"/>
  <c r="AD60" i="55"/>
  <c r="AD37" i="55"/>
  <c r="AD59" i="55"/>
  <c r="AD36" i="55"/>
  <c r="AG262" i="53"/>
  <c r="AH78" i="51" s="1"/>
  <c r="AG203" i="54"/>
  <c r="AG204" i="54"/>
  <c r="CT15" i="55"/>
  <c r="CT29" i="59" s="1"/>
  <c r="CT152" i="59" s="1"/>
  <c r="CT13" i="55"/>
  <c r="CT27" i="59" s="1"/>
  <c r="CT150" i="59" s="1"/>
  <c r="CT14" i="55"/>
  <c r="CT28" i="59" s="1"/>
  <c r="CT151" i="59" s="1"/>
  <c r="CT11" i="55"/>
  <c r="CT12" i="55"/>
  <c r="CT26" i="59" s="1"/>
  <c r="CT53" i="59" s="1"/>
  <c r="CT16" i="55"/>
  <c r="CT30" i="59" s="1"/>
  <c r="AE256" i="53"/>
  <c r="AF74" i="51"/>
  <c r="AF76" i="51" s="1"/>
  <c r="AF10" i="55"/>
  <c r="AF23" i="59" s="1"/>
  <c r="AF256" i="53"/>
  <c r="AG74" i="51"/>
  <c r="AG76" i="51" s="1"/>
  <c r="AG10" i="55"/>
  <c r="AG23" i="59" s="1"/>
  <c r="AG220" i="54"/>
  <c r="AG224" i="54" s="1"/>
  <c r="AG221" i="54"/>
  <c r="AF261" i="54"/>
  <c r="AF244" i="54"/>
  <c r="AE252" i="54"/>
  <c r="DQ39" i="57" l="1"/>
  <c r="DQ9" i="57"/>
  <c r="BE9" i="57"/>
  <c r="BE39" i="57"/>
  <c r="CS23" i="57"/>
  <c r="CS29" i="57"/>
  <c r="CR6" i="57"/>
  <c r="CR36" i="57"/>
  <c r="AA158" i="55"/>
  <c r="BD20" i="57"/>
  <c r="BD149" i="59" s="1"/>
  <c r="BD155" i="59" s="1"/>
  <c r="BD9" i="57"/>
  <c r="BD39" i="57"/>
  <c r="DP18" i="57"/>
  <c r="DP20" i="57" s="1"/>
  <c r="DP149" i="59" s="1"/>
  <c r="DP155" i="59" s="1"/>
  <c r="DP158" i="55"/>
  <c r="DP28" i="57"/>
  <c r="DP30" i="57" s="1"/>
  <c r="BI126" i="59"/>
  <c r="AA8" i="57"/>
  <c r="AA38" i="57"/>
  <c r="BE149" i="59"/>
  <c r="BE155" i="59" s="1"/>
  <c r="AA18" i="57"/>
  <c r="AA20" i="57" s="1"/>
  <c r="BI100" i="59"/>
  <c r="AC102" i="59"/>
  <c r="AC151" i="55"/>
  <c r="AC89" i="55"/>
  <c r="BG28" i="57"/>
  <c r="BG30" i="57" s="1"/>
  <c r="BG18" i="57"/>
  <c r="BG20" i="57" s="1"/>
  <c r="AC29" i="57"/>
  <c r="AC19" i="57"/>
  <c r="AC25" i="57"/>
  <c r="AC15" i="57"/>
  <c r="AC129" i="55"/>
  <c r="AC26" i="57"/>
  <c r="AC16" i="57"/>
  <c r="AC128" i="59"/>
  <c r="AA28" i="57"/>
  <c r="AA30" i="57" s="1"/>
  <c r="BI127" i="59"/>
  <c r="BI97" i="59"/>
  <c r="BI124" i="59"/>
  <c r="BI99" i="59"/>
  <c r="AC58" i="59"/>
  <c r="AC181" i="55"/>
  <c r="AC112" i="55"/>
  <c r="AC14" i="57"/>
  <c r="AC24" i="57"/>
  <c r="AC23" i="57"/>
  <c r="AC13" i="57"/>
  <c r="AC43" i="55"/>
  <c r="AC66" i="55"/>
  <c r="AH77" i="51"/>
  <c r="AG245" i="53"/>
  <c r="AG254" i="53" s="1"/>
  <c r="AH75" i="51" s="1"/>
  <c r="CP39" i="57"/>
  <c r="CP41" i="57" s="1"/>
  <c r="CP9" i="57"/>
  <c r="BD30" i="57"/>
  <c r="BK11" i="58"/>
  <c r="BK6" i="58"/>
  <c r="AB37" i="57"/>
  <c r="AB7" i="57"/>
  <c r="AB8" i="57"/>
  <c r="AB38" i="57"/>
  <c r="AB152" i="55"/>
  <c r="AB17" i="57"/>
  <c r="AB27" i="57"/>
  <c r="DS158" i="55"/>
  <c r="BG158" i="55"/>
  <c r="BG38" i="57"/>
  <c r="BF38" i="57"/>
  <c r="CP149" i="59"/>
  <c r="CP155" i="59" s="1"/>
  <c r="DS38" i="57"/>
  <c r="DS8" i="57"/>
  <c r="DS27" i="57"/>
  <c r="DS17" i="57"/>
  <c r="DS18" i="57"/>
  <c r="DS28" i="57"/>
  <c r="CS66" i="55"/>
  <c r="CR4" i="57"/>
  <c r="CR34" i="57"/>
  <c r="CR7" i="57"/>
  <c r="CR37" i="57"/>
  <c r="Z9" i="57"/>
  <c r="Z39" i="57"/>
  <c r="Z41" i="57" s="1"/>
  <c r="BI98" i="59"/>
  <c r="BI125" i="59"/>
  <c r="AG240" i="54"/>
  <c r="AG261" i="54" s="1"/>
  <c r="AG244" i="54"/>
  <c r="AG245" i="54" s="1"/>
  <c r="AG254" i="54" s="1"/>
  <c r="BN75" i="51" s="1"/>
  <c r="BI57" i="59"/>
  <c r="BI56" i="59"/>
  <c r="BI54" i="59"/>
  <c r="BI55" i="59"/>
  <c r="BI25" i="59"/>
  <c r="BL59" i="58"/>
  <c r="CR151" i="55"/>
  <c r="CS43" i="55"/>
  <c r="AB36" i="57"/>
  <c r="AB34" i="57"/>
  <c r="AB10" i="57"/>
  <c r="AB40" i="57"/>
  <c r="AB5" i="57"/>
  <c r="AB35" i="57"/>
  <c r="AB6" i="57"/>
  <c r="AB4" i="57"/>
  <c r="BI93" i="59"/>
  <c r="BI146" i="59"/>
  <c r="DR38" i="57"/>
  <c r="BI152" i="59"/>
  <c r="BI151" i="59"/>
  <c r="BI101" i="59"/>
  <c r="BI153" i="59"/>
  <c r="BJ153" i="59"/>
  <c r="BI150" i="59"/>
  <c r="DU146" i="59"/>
  <c r="DU50" i="59"/>
  <c r="DU93" i="59"/>
  <c r="DU121" i="59"/>
  <c r="DU31" i="59"/>
  <c r="BI50" i="59"/>
  <c r="BI31" i="59"/>
  <c r="BI24" i="59"/>
  <c r="BI121" i="59"/>
  <c r="BF158" i="55"/>
  <c r="BF9" i="57" s="1"/>
  <c r="DR152" i="55"/>
  <c r="DR158" i="55" s="1"/>
  <c r="DT181" i="55"/>
  <c r="BH128" i="55"/>
  <c r="DT128" i="55" s="1"/>
  <c r="DT105" i="55"/>
  <c r="DT19" i="57"/>
  <c r="DT29" i="57"/>
  <c r="DU13" i="55"/>
  <c r="DU27" i="59" s="1"/>
  <c r="DU150" i="59" s="1"/>
  <c r="DU12" i="55"/>
  <c r="DU26" i="59" s="1"/>
  <c r="DU11" i="55"/>
  <c r="DU14" i="55"/>
  <c r="DU28" i="59" s="1"/>
  <c r="DU16" i="55"/>
  <c r="DU30" i="59" s="1"/>
  <c r="DU15" i="55"/>
  <c r="DU29" i="59" s="1"/>
  <c r="BF28" i="57"/>
  <c r="BF30" i="57" s="1"/>
  <c r="BF18" i="57"/>
  <c r="BF20" i="57" s="1"/>
  <c r="BF149" i="59" s="1"/>
  <c r="BF155" i="59" s="1"/>
  <c r="BH181" i="55"/>
  <c r="BI6" i="55"/>
  <c r="BI7" i="55"/>
  <c r="BI20" i="55"/>
  <c r="BI19" i="55"/>
  <c r="BK13" i="55"/>
  <c r="BK14" i="55"/>
  <c r="BK28" i="59" s="1"/>
  <c r="BK151" i="59" s="1"/>
  <c r="BK15" i="55"/>
  <c r="BK29" i="59" s="1"/>
  <c r="BK152" i="59" s="1"/>
  <c r="BK11" i="55"/>
  <c r="BK16" i="55"/>
  <c r="BK30" i="59" s="1"/>
  <c r="BK12" i="55"/>
  <c r="BK26" i="59" s="1"/>
  <c r="BK53" i="59" s="1"/>
  <c r="DT15" i="57"/>
  <c r="DT89" i="55"/>
  <c r="DT24" i="57"/>
  <c r="BH112" i="55"/>
  <c r="DW10" i="55"/>
  <c r="DW23" i="59" s="1"/>
  <c r="BK23" i="59"/>
  <c r="BK58" i="58"/>
  <c r="DT66" i="55"/>
  <c r="DT5" i="57" s="1"/>
  <c r="DT122" i="59"/>
  <c r="DT25" i="57"/>
  <c r="DT16" i="57"/>
  <c r="DT14" i="57"/>
  <c r="BH43" i="55"/>
  <c r="BJ152" i="59"/>
  <c r="BJ151" i="59"/>
  <c r="DT51" i="59"/>
  <c r="DT94" i="59"/>
  <c r="DT52" i="59"/>
  <c r="DT123" i="59"/>
  <c r="DT23" i="57"/>
  <c r="DT95" i="59"/>
  <c r="DT96" i="59"/>
  <c r="AF11" i="58"/>
  <c r="AF6" i="58"/>
  <c r="DT53" i="59"/>
  <c r="DT97" i="59"/>
  <c r="DT124" i="59"/>
  <c r="DT54" i="59"/>
  <c r="DT43" i="55"/>
  <c r="DT4" i="57" s="1"/>
  <c r="DT13" i="57"/>
  <c r="BH89" i="55"/>
  <c r="BH29" i="57"/>
  <c r="BH19" i="57"/>
  <c r="BH102" i="59"/>
  <c r="BH24" i="57"/>
  <c r="BH14" i="57"/>
  <c r="BH25" i="57"/>
  <c r="BH15" i="57"/>
  <c r="BH129" i="55"/>
  <c r="BH26" i="57"/>
  <c r="BH16" i="57"/>
  <c r="BH23" i="57"/>
  <c r="BH13" i="57"/>
  <c r="BH66" i="55"/>
  <c r="BJ146" i="59"/>
  <c r="BJ57" i="59"/>
  <c r="BJ127" i="59"/>
  <c r="BJ100" i="59"/>
  <c r="BJ7" i="55"/>
  <c r="BJ27" i="59"/>
  <c r="BJ54" i="59"/>
  <c r="BJ124" i="59"/>
  <c r="BJ97" i="59"/>
  <c r="BJ53" i="59"/>
  <c r="BJ56" i="59"/>
  <c r="BJ99" i="59"/>
  <c r="BJ126" i="59"/>
  <c r="BJ19" i="55"/>
  <c r="BJ20" i="55"/>
  <c r="BJ25" i="59"/>
  <c r="BJ24" i="59"/>
  <c r="DV14" i="55"/>
  <c r="DV28" i="59" s="1"/>
  <c r="DV11" i="55"/>
  <c r="DV16" i="55"/>
  <c r="DV30" i="59" s="1"/>
  <c r="DV101" i="59" s="1"/>
  <c r="DV13" i="55"/>
  <c r="DV12" i="55"/>
  <c r="DV26" i="59" s="1"/>
  <c r="DV15" i="55"/>
  <c r="DV29" i="59" s="1"/>
  <c r="DV23" i="59"/>
  <c r="BJ121" i="59"/>
  <c r="BJ31" i="59"/>
  <c r="BJ50" i="59"/>
  <c r="BJ93" i="59"/>
  <c r="AD256" i="53"/>
  <c r="AE74" i="51"/>
  <c r="AE76" i="51" s="1"/>
  <c r="AE58" i="58" s="1"/>
  <c r="AE10" i="55"/>
  <c r="BJ6" i="55"/>
  <c r="CS181" i="55"/>
  <c r="CT24" i="59"/>
  <c r="CT101" i="59"/>
  <c r="CT153" i="59"/>
  <c r="CR135" i="55"/>
  <c r="CQ28" i="57"/>
  <c r="CQ30" i="57" s="1"/>
  <c r="CQ18" i="57"/>
  <c r="CQ20" i="57" s="1"/>
  <c r="CQ149" i="59" s="1"/>
  <c r="CQ155" i="59" s="1"/>
  <c r="CS89" i="55"/>
  <c r="CS6" i="57" s="1"/>
  <c r="CS15" i="57"/>
  <c r="CR27" i="57"/>
  <c r="AG11" i="58"/>
  <c r="AG6" i="58"/>
  <c r="CR152" i="55"/>
  <c r="CR18" i="57" s="1"/>
  <c r="CR20" i="57" s="1"/>
  <c r="CU33" i="59"/>
  <c r="AF50" i="59"/>
  <c r="AF31" i="59"/>
  <c r="AG50" i="59"/>
  <c r="AG31" i="59"/>
  <c r="CS24" i="57"/>
  <c r="CS128" i="55"/>
  <c r="CQ158" i="55"/>
  <c r="CQ39" i="57" s="1"/>
  <c r="CQ41" i="57" s="1"/>
  <c r="AD25" i="57"/>
  <c r="AD15" i="57"/>
  <c r="AD24" i="57"/>
  <c r="AD14" i="57"/>
  <c r="AD129" i="55"/>
  <c r="AD135" i="55" s="1"/>
  <c r="AD26" i="57"/>
  <c r="AD16" i="57"/>
  <c r="CS112" i="55"/>
  <c r="CS25" i="57"/>
  <c r="CS152" i="55"/>
  <c r="CS18" i="57" s="1"/>
  <c r="AF121" i="59"/>
  <c r="AG121" i="59"/>
  <c r="AD128" i="59"/>
  <c r="AD23" i="57"/>
  <c r="AD13" i="57"/>
  <c r="AD29" i="57"/>
  <c r="AD19" i="57"/>
  <c r="CS128" i="59"/>
  <c r="CT100" i="59"/>
  <c r="CT127" i="59"/>
  <c r="CT97" i="59"/>
  <c r="CT124" i="59"/>
  <c r="CT99" i="59"/>
  <c r="CT126" i="59"/>
  <c r="CT98" i="59"/>
  <c r="CT125" i="59"/>
  <c r="AG93" i="59"/>
  <c r="AF93" i="59"/>
  <c r="AD58" i="59"/>
  <c r="CS102" i="59"/>
  <c r="AD102" i="59"/>
  <c r="CT55" i="59"/>
  <c r="CT56" i="59"/>
  <c r="CT57" i="59"/>
  <c r="CT54" i="59"/>
  <c r="CS58" i="59"/>
  <c r="CT19" i="55"/>
  <c r="CT82" i="55" s="1"/>
  <c r="CT25" i="59"/>
  <c r="CT148" i="59" s="1"/>
  <c r="AD43" i="55"/>
  <c r="AF58" i="58"/>
  <c r="AF5" i="58" s="1"/>
  <c r="AG58" i="58"/>
  <c r="AG5" i="58" s="1"/>
  <c r="AD89" i="55"/>
  <c r="AD66" i="55"/>
  <c r="AD151" i="55"/>
  <c r="AD181" i="55"/>
  <c r="AD112" i="55"/>
  <c r="AF262" i="54"/>
  <c r="BM78" i="51" s="1"/>
  <c r="BM77" i="51"/>
  <c r="CT6" i="55"/>
  <c r="AF15" i="55"/>
  <c r="AF29" i="59" s="1"/>
  <c r="AF16" i="55"/>
  <c r="AF30" i="59" s="1"/>
  <c r="AF11" i="55"/>
  <c r="AF12" i="55"/>
  <c r="AF26" i="59" s="1"/>
  <c r="AF53" i="59" s="1"/>
  <c r="AF13" i="55"/>
  <c r="AF27" i="59" s="1"/>
  <c r="AF14" i="55"/>
  <c r="AF28" i="59" s="1"/>
  <c r="CT7" i="55"/>
  <c r="AG11" i="55"/>
  <c r="AG16" i="55"/>
  <c r="AG30" i="59" s="1"/>
  <c r="AG12" i="55"/>
  <c r="AG26" i="59" s="1"/>
  <c r="AG53" i="59" s="1"/>
  <c r="AG13" i="55"/>
  <c r="AG27" i="59" s="1"/>
  <c r="AG15" i="55"/>
  <c r="AG29" i="59" s="1"/>
  <c r="AG14" i="55"/>
  <c r="AG28" i="59" s="1"/>
  <c r="AE256" i="54"/>
  <c r="BL74" i="51"/>
  <c r="BL76" i="51" s="1"/>
  <c r="BL10" i="55"/>
  <c r="AF245" i="54"/>
  <c r="AF254" i="54" s="1"/>
  <c r="BM75" i="51" s="1"/>
  <c r="AA9" i="57" l="1"/>
  <c r="AA39" i="57"/>
  <c r="DQ149" i="59"/>
  <c r="DQ155" i="59" s="1"/>
  <c r="CR149" i="59"/>
  <c r="CR155" i="59" s="1"/>
  <c r="CR28" i="57"/>
  <c r="CR30" i="57" s="1"/>
  <c r="CS5" i="57"/>
  <c r="CS35" i="57"/>
  <c r="AA149" i="59"/>
  <c r="AA155" i="59" s="1"/>
  <c r="AB158" i="55"/>
  <c r="DP9" i="57"/>
  <c r="AC36" i="57"/>
  <c r="AB18" i="57"/>
  <c r="AB20" i="57" s="1"/>
  <c r="DS39" i="57"/>
  <c r="DS9" i="57"/>
  <c r="BG39" i="57"/>
  <c r="AB28" i="57"/>
  <c r="AB30" i="57" s="1"/>
  <c r="AC10" i="57"/>
  <c r="DP39" i="57"/>
  <c r="DS20" i="57"/>
  <c r="DR18" i="57"/>
  <c r="DR20" i="57" s="1"/>
  <c r="DR149" i="59" s="1"/>
  <c r="DR155" i="59" s="1"/>
  <c r="AC6" i="57"/>
  <c r="AC40" i="57"/>
  <c r="DR28" i="57"/>
  <c r="DR30" i="57" s="1"/>
  <c r="AC152" i="55"/>
  <c r="AC17" i="57"/>
  <c r="AC27" i="57"/>
  <c r="AC35" i="57"/>
  <c r="AC7" i="57"/>
  <c r="AC37" i="57"/>
  <c r="AC135" i="55"/>
  <c r="BG9" i="57"/>
  <c r="DS30" i="57"/>
  <c r="DR39" i="57"/>
  <c r="DR9" i="57"/>
  <c r="CS10" i="57"/>
  <c r="CS40" i="57"/>
  <c r="AC4" i="57"/>
  <c r="AC34" i="57"/>
  <c r="CS4" i="57"/>
  <c r="CS34" i="57"/>
  <c r="AC5" i="57"/>
  <c r="BI94" i="59"/>
  <c r="BI122" i="59"/>
  <c r="BI95" i="59"/>
  <c r="BI123" i="59"/>
  <c r="AH59" i="58"/>
  <c r="AG252" i="53"/>
  <c r="CS135" i="55"/>
  <c r="AG252" i="54"/>
  <c r="DU20" i="55"/>
  <c r="DU6" i="55"/>
  <c r="BL11" i="58"/>
  <c r="DT26" i="57"/>
  <c r="DT40" i="57"/>
  <c r="BH40" i="57"/>
  <c r="BI148" i="59"/>
  <c r="BL6" i="58"/>
  <c r="BI52" i="59"/>
  <c r="DT10" i="57"/>
  <c r="BH10" i="57"/>
  <c r="AG262" i="54"/>
  <c r="BN78" i="51" s="1"/>
  <c r="BN77" i="51"/>
  <c r="DT34" i="57"/>
  <c r="CR8" i="57"/>
  <c r="CR38" i="57"/>
  <c r="CR158" i="55"/>
  <c r="CS27" i="57"/>
  <c r="CQ9" i="57"/>
  <c r="BH5" i="57"/>
  <c r="BH35" i="57"/>
  <c r="CS151" i="55"/>
  <c r="BH6" i="57"/>
  <c r="BH36" i="57"/>
  <c r="BH152" i="55"/>
  <c r="DT152" i="55" s="1"/>
  <c r="BH27" i="57"/>
  <c r="BH17" i="57"/>
  <c r="BK6" i="55"/>
  <c r="DT112" i="55"/>
  <c r="DU19" i="55"/>
  <c r="BH151" i="55"/>
  <c r="DT151" i="55" s="1"/>
  <c r="BF39" i="57"/>
  <c r="DU101" i="59"/>
  <c r="DU153" i="59"/>
  <c r="DV153" i="59"/>
  <c r="DU151" i="59"/>
  <c r="DV151" i="59"/>
  <c r="BG149" i="59"/>
  <c r="BG155" i="59" s="1"/>
  <c r="BI51" i="59"/>
  <c r="BI147" i="59"/>
  <c r="DU152" i="59"/>
  <c r="BI154" i="59"/>
  <c r="DU154" i="59"/>
  <c r="DU127" i="59"/>
  <c r="DU100" i="59"/>
  <c r="DU57" i="59"/>
  <c r="DU25" i="59"/>
  <c r="DU24" i="59"/>
  <c r="DU53" i="59"/>
  <c r="DU124" i="59"/>
  <c r="DU97" i="59"/>
  <c r="DU54" i="59"/>
  <c r="DU98" i="59"/>
  <c r="DU125" i="59"/>
  <c r="DU55" i="59"/>
  <c r="DU99" i="59"/>
  <c r="DU126" i="59"/>
  <c r="DU56" i="59"/>
  <c r="BI96" i="59"/>
  <c r="DU7" i="55"/>
  <c r="BI105" i="55"/>
  <c r="BI82" i="55"/>
  <c r="DU82" i="55" s="1"/>
  <c r="BI174" i="55"/>
  <c r="DU174" i="55" s="1"/>
  <c r="BI106" i="55"/>
  <c r="DU106" i="55" s="1"/>
  <c r="BI83" i="55"/>
  <c r="DU83" i="55" s="1"/>
  <c r="BI175" i="55"/>
  <c r="DU175" i="55" s="1"/>
  <c r="BI59" i="55"/>
  <c r="DU59" i="55" s="1"/>
  <c r="BI60" i="55"/>
  <c r="DU60" i="55" s="1"/>
  <c r="BI36" i="55"/>
  <c r="DU36" i="55" s="1"/>
  <c r="BI37" i="55"/>
  <c r="DU37" i="55" s="1"/>
  <c r="BK7" i="55"/>
  <c r="BK27" i="59"/>
  <c r="BK19" i="55"/>
  <c r="BK20" i="55"/>
  <c r="BK153" i="59"/>
  <c r="BK101" i="59"/>
  <c r="BK146" i="59"/>
  <c r="BK97" i="59"/>
  <c r="BK124" i="59"/>
  <c r="BK99" i="59"/>
  <c r="BK126" i="59"/>
  <c r="BK56" i="59"/>
  <c r="BK25" i="59"/>
  <c r="DW50" i="59"/>
  <c r="DW93" i="59"/>
  <c r="DW121" i="59"/>
  <c r="DW31" i="59"/>
  <c r="BK121" i="59"/>
  <c r="DT58" i="59"/>
  <c r="DT35" i="57"/>
  <c r="BK50" i="59"/>
  <c r="BK24" i="59"/>
  <c r="BK31" i="59"/>
  <c r="BK93" i="59"/>
  <c r="DW12" i="55"/>
  <c r="DW26" i="59" s="1"/>
  <c r="DW14" i="55"/>
  <c r="DW28" i="59" s="1"/>
  <c r="DW11" i="55"/>
  <c r="DW13" i="55"/>
  <c r="DW27" i="59" s="1"/>
  <c r="DW15" i="55"/>
  <c r="DW29" i="59" s="1"/>
  <c r="DW16" i="55"/>
  <c r="DW30" i="59" s="1"/>
  <c r="BK100" i="59"/>
  <c r="BK127" i="59"/>
  <c r="BK54" i="59"/>
  <c r="BK57" i="59"/>
  <c r="DT128" i="59"/>
  <c r="DT102" i="59"/>
  <c r="DT36" i="57"/>
  <c r="DT6" i="57"/>
  <c r="BH4" i="57"/>
  <c r="BH135" i="55"/>
  <c r="DT129" i="55"/>
  <c r="DT135" i="55" s="1"/>
  <c r="BH34" i="57"/>
  <c r="BH7" i="57"/>
  <c r="BH37" i="57"/>
  <c r="AF252" i="54"/>
  <c r="BJ150" i="59"/>
  <c r="BJ55" i="59"/>
  <c r="BJ125" i="59"/>
  <c r="BJ98" i="59"/>
  <c r="BJ36" i="55"/>
  <c r="BJ59" i="55"/>
  <c r="BJ174" i="55"/>
  <c r="BJ82" i="55"/>
  <c r="BJ105" i="55"/>
  <c r="BJ37" i="55"/>
  <c r="BJ60" i="55"/>
  <c r="BJ175" i="55"/>
  <c r="BJ83" i="55"/>
  <c r="BJ106" i="55"/>
  <c r="BJ95" i="59"/>
  <c r="BJ123" i="59"/>
  <c r="BJ52" i="59"/>
  <c r="BJ96" i="59"/>
  <c r="BJ122" i="59"/>
  <c r="BJ94" i="59"/>
  <c r="BJ51" i="59"/>
  <c r="DV56" i="59"/>
  <c r="DV126" i="59"/>
  <c r="DV99" i="59"/>
  <c r="DV20" i="55"/>
  <c r="DV19" i="55"/>
  <c r="DV24" i="59"/>
  <c r="DV25" i="59"/>
  <c r="DV27" i="59"/>
  <c r="DV7" i="55"/>
  <c r="DV124" i="59"/>
  <c r="DV54" i="59"/>
  <c r="DV97" i="59"/>
  <c r="DV53" i="59"/>
  <c r="DV127" i="59"/>
  <c r="DV100" i="59"/>
  <c r="DV57" i="59"/>
  <c r="DV146" i="59"/>
  <c r="DW146" i="59"/>
  <c r="DV121" i="59"/>
  <c r="DV93" i="59"/>
  <c r="DV50" i="59"/>
  <c r="DV31" i="59"/>
  <c r="AE10" i="58"/>
  <c r="AE32" i="59" s="1"/>
  <c r="AE5" i="58"/>
  <c r="AE14" i="55"/>
  <c r="AE28" i="59" s="1"/>
  <c r="AE12" i="55"/>
  <c r="AE26" i="59" s="1"/>
  <c r="AE11" i="55"/>
  <c r="AE15" i="55"/>
  <c r="AE29" i="59" s="1"/>
  <c r="AE13" i="55"/>
  <c r="AE16" i="55"/>
  <c r="AE30" i="59" s="1"/>
  <c r="AE23" i="59"/>
  <c r="BJ148" i="59"/>
  <c r="BJ147" i="59"/>
  <c r="DV152" i="59"/>
  <c r="BJ154" i="59"/>
  <c r="DV6" i="55"/>
  <c r="AF24" i="59"/>
  <c r="CS36" i="57"/>
  <c r="AG24" i="59"/>
  <c r="AG51" i="59" s="1"/>
  <c r="CT51" i="59"/>
  <c r="CT147" i="59"/>
  <c r="CS20" i="57"/>
  <c r="CS149" i="59" s="1"/>
  <c r="CS155" i="59" s="1"/>
  <c r="AF101" i="59"/>
  <c r="AG101" i="59"/>
  <c r="AH74" i="51"/>
  <c r="D60" i="60" s="1"/>
  <c r="AH10" i="55"/>
  <c r="AH11" i="55" s="1"/>
  <c r="CT96" i="59"/>
  <c r="CT52" i="59"/>
  <c r="BL23" i="59"/>
  <c r="BL146" i="59" s="1"/>
  <c r="DX10" i="55"/>
  <c r="DX23" i="59" s="1"/>
  <c r="DX146" i="59" s="1"/>
  <c r="CT105" i="55"/>
  <c r="CT128" i="55" s="1"/>
  <c r="CT106" i="55"/>
  <c r="CT16" i="57" s="1"/>
  <c r="CT59" i="55"/>
  <c r="CT36" i="55"/>
  <c r="CT60" i="55"/>
  <c r="CT14" i="57" s="1"/>
  <c r="CT37" i="55"/>
  <c r="CT13" i="57" s="1"/>
  <c r="CT174" i="55"/>
  <c r="CT83" i="55"/>
  <c r="CT89" i="55" s="1"/>
  <c r="CT175" i="55"/>
  <c r="CT19" i="57" s="1"/>
  <c r="AD7" i="57"/>
  <c r="AD37" i="57"/>
  <c r="AD10" i="57"/>
  <c r="AD40" i="57"/>
  <c r="AD4" i="57"/>
  <c r="AD34" i="57"/>
  <c r="AD5" i="57"/>
  <c r="AD35" i="57"/>
  <c r="AD152" i="55"/>
  <c r="AD27" i="57"/>
  <c r="AD17" i="57"/>
  <c r="AD6" i="57"/>
  <c r="AD36" i="57"/>
  <c r="CS7" i="57"/>
  <c r="CS37" i="57"/>
  <c r="AD8" i="57"/>
  <c r="AD38" i="57"/>
  <c r="AG99" i="59"/>
  <c r="AG126" i="59"/>
  <c r="CT95" i="59"/>
  <c r="CT123" i="59"/>
  <c r="AF99" i="59"/>
  <c r="AF126" i="59"/>
  <c r="AG98" i="59"/>
  <c r="AG125" i="59"/>
  <c r="AG97" i="59"/>
  <c r="AG124" i="59"/>
  <c r="AF98" i="59"/>
  <c r="AF125" i="59"/>
  <c r="AF97" i="59"/>
  <c r="AF124" i="59"/>
  <c r="AF100" i="59"/>
  <c r="AF127" i="59"/>
  <c r="AG100" i="59"/>
  <c r="AG127" i="59"/>
  <c r="CT94" i="59"/>
  <c r="CT122" i="59"/>
  <c r="CT128" i="59" s="1"/>
  <c r="AG10" i="58"/>
  <c r="AF10" i="58"/>
  <c r="AF55" i="59"/>
  <c r="AG55" i="59"/>
  <c r="AG54" i="59"/>
  <c r="AF54" i="59"/>
  <c r="AG56" i="59"/>
  <c r="AG57" i="59"/>
  <c r="AF57" i="59"/>
  <c r="AF56" i="59"/>
  <c r="AG25" i="59"/>
  <c r="AF25" i="59"/>
  <c r="BM59" i="58"/>
  <c r="BL58" i="58"/>
  <c r="AG6" i="55"/>
  <c r="AF6" i="55"/>
  <c r="BL13" i="55"/>
  <c r="BL27" i="59" s="1"/>
  <c r="BL16" i="55"/>
  <c r="BL30" i="59" s="1"/>
  <c r="BL14" i="55"/>
  <c r="BL28" i="59" s="1"/>
  <c r="BL151" i="59" s="1"/>
  <c r="BL12" i="55"/>
  <c r="BL26" i="59" s="1"/>
  <c r="BL53" i="59" s="1"/>
  <c r="BL15" i="55"/>
  <c r="BL29" i="59" s="1"/>
  <c r="BL152" i="59" s="1"/>
  <c r="BL11" i="55"/>
  <c r="AG7" i="55"/>
  <c r="AG20" i="55"/>
  <c r="AG19" i="55"/>
  <c r="AF20" i="55"/>
  <c r="AF19" i="55"/>
  <c r="AF7" i="55"/>
  <c r="AA41" i="57" l="1"/>
  <c r="AB39" i="57"/>
  <c r="AB41" i="57" s="1"/>
  <c r="AB9" i="57"/>
  <c r="CS158" i="55"/>
  <c r="DS149" i="59"/>
  <c r="DS155" i="59" s="1"/>
  <c r="CU46" i="59"/>
  <c r="EI46" i="59" s="1"/>
  <c r="EI49" i="59" s="1"/>
  <c r="AB149" i="59"/>
  <c r="AB155" i="59" s="1"/>
  <c r="AH11" i="58"/>
  <c r="AH6" i="58"/>
  <c r="AG256" i="53"/>
  <c r="AC18" i="57"/>
  <c r="AC20" i="57" s="1"/>
  <c r="AC149" i="59" s="1"/>
  <c r="AC155" i="59" s="1"/>
  <c r="AC28" i="57"/>
  <c r="AC30" i="57" s="1"/>
  <c r="AC158" i="55"/>
  <c r="AC8" i="57"/>
  <c r="AC38" i="57"/>
  <c r="BH28" i="57"/>
  <c r="BH30" i="57" s="1"/>
  <c r="BH18" i="57"/>
  <c r="BH20" i="57" s="1"/>
  <c r="BH149" i="59" s="1"/>
  <c r="BH155" i="59" s="1"/>
  <c r="DT18" i="57"/>
  <c r="DT28" i="57"/>
  <c r="DT38" i="57"/>
  <c r="DT8" i="57"/>
  <c r="DT27" i="57"/>
  <c r="DT17" i="57"/>
  <c r="CR9" i="57"/>
  <c r="CR39" i="57"/>
  <c r="CR41" i="57" s="1"/>
  <c r="BI23" i="57"/>
  <c r="BI13" i="57"/>
  <c r="CS8" i="57"/>
  <c r="CS38" i="57"/>
  <c r="BH158" i="55"/>
  <c r="BN74" i="51"/>
  <c r="CS28" i="57"/>
  <c r="CS30" i="57" s="1"/>
  <c r="AF256" i="54"/>
  <c r="BM74" i="51"/>
  <c r="BM76" i="51" s="1"/>
  <c r="BM10" i="55"/>
  <c r="AG256" i="54"/>
  <c r="BN10" i="55"/>
  <c r="DZ10" i="55" s="1"/>
  <c r="DZ23" i="59" s="1"/>
  <c r="BH8" i="57"/>
  <c r="BH38" i="57"/>
  <c r="BN59" i="58"/>
  <c r="BI128" i="55"/>
  <c r="DU128" i="55" s="1"/>
  <c r="DU181" i="55"/>
  <c r="DU52" i="59"/>
  <c r="DU123" i="59"/>
  <c r="DU96" i="59"/>
  <c r="DU95" i="59"/>
  <c r="DU51" i="59"/>
  <c r="DU122" i="59"/>
  <c r="DU94" i="59"/>
  <c r="DU105" i="55"/>
  <c r="DU112" i="55" s="1"/>
  <c r="DT158" i="55"/>
  <c r="DU147" i="59"/>
  <c r="DU148" i="59"/>
  <c r="CT66" i="55"/>
  <c r="DT7" i="57"/>
  <c r="DT37" i="57"/>
  <c r="DU66" i="55"/>
  <c r="DU15" i="57"/>
  <c r="DU25" i="57"/>
  <c r="DU89" i="55"/>
  <c r="DU23" i="57"/>
  <c r="DU13" i="57"/>
  <c r="DU24" i="57"/>
  <c r="DU14" i="57"/>
  <c r="DU16" i="57"/>
  <c r="DU19" i="57"/>
  <c r="DU29" i="57"/>
  <c r="DU43" i="55"/>
  <c r="BI29" i="57"/>
  <c r="BI19" i="57"/>
  <c r="BI25" i="57"/>
  <c r="BI15" i="57"/>
  <c r="BI24" i="57"/>
  <c r="BI14" i="57"/>
  <c r="BI129" i="55"/>
  <c r="DU129" i="55" s="1"/>
  <c r="BI26" i="57"/>
  <c r="BI16" i="57"/>
  <c r="BI102" i="59"/>
  <c r="BI66" i="55"/>
  <c r="BI181" i="55"/>
  <c r="BI43" i="55"/>
  <c r="BI112" i="55"/>
  <c r="BI89" i="55"/>
  <c r="BK55" i="59"/>
  <c r="BK125" i="59"/>
  <c r="BK98" i="59"/>
  <c r="BK59" i="55"/>
  <c r="BK105" i="55"/>
  <c r="BK174" i="55"/>
  <c r="BK36" i="55"/>
  <c r="BK82" i="55"/>
  <c r="BK37" i="55"/>
  <c r="BK83" i="55"/>
  <c r="BK60" i="55"/>
  <c r="BK106" i="55"/>
  <c r="BK175" i="55"/>
  <c r="BK123" i="59"/>
  <c r="BK95" i="59"/>
  <c r="DW152" i="59"/>
  <c r="BK51" i="59"/>
  <c r="BK147" i="59"/>
  <c r="DW101" i="59"/>
  <c r="DW53" i="59"/>
  <c r="DW54" i="59"/>
  <c r="DW124" i="59"/>
  <c r="BK96" i="59"/>
  <c r="BK52" i="59"/>
  <c r="DW19" i="55"/>
  <c r="DW20" i="55"/>
  <c r="BK94" i="59"/>
  <c r="BK122" i="59"/>
  <c r="DW126" i="59"/>
  <c r="DW99" i="59"/>
  <c r="DW56" i="59"/>
  <c r="DW100" i="59"/>
  <c r="DW127" i="59"/>
  <c r="DW57" i="59"/>
  <c r="BK148" i="59"/>
  <c r="DW153" i="59"/>
  <c r="DW151" i="59"/>
  <c r="BK154" i="59"/>
  <c r="DW55" i="59"/>
  <c r="DW125" i="59"/>
  <c r="DW98" i="59"/>
  <c r="DW97" i="59"/>
  <c r="DW6" i="55"/>
  <c r="DW25" i="59"/>
  <c r="DW24" i="59"/>
  <c r="DW7" i="55"/>
  <c r="BK150" i="59"/>
  <c r="BL150" i="59"/>
  <c r="BJ102" i="59"/>
  <c r="AF51" i="59"/>
  <c r="DW51" i="59"/>
  <c r="DW122" i="59"/>
  <c r="DW94" i="59"/>
  <c r="DW95" i="59"/>
  <c r="DW123" i="59"/>
  <c r="BJ43" i="55"/>
  <c r="DV36" i="55"/>
  <c r="BJ66" i="55"/>
  <c r="DV59" i="55"/>
  <c r="BJ181" i="55"/>
  <c r="DV174" i="55"/>
  <c r="BJ89" i="55"/>
  <c r="DV82" i="55"/>
  <c r="BJ112" i="55"/>
  <c r="BJ128" i="55"/>
  <c r="DV105" i="55"/>
  <c r="BJ13" i="57"/>
  <c r="BJ23" i="57"/>
  <c r="DV37" i="55"/>
  <c r="BJ14" i="57"/>
  <c r="BJ24" i="57"/>
  <c r="DV60" i="55"/>
  <c r="BJ19" i="57"/>
  <c r="BJ29" i="57"/>
  <c r="DV175" i="55"/>
  <c r="BJ15" i="57"/>
  <c r="BJ25" i="57"/>
  <c r="DV83" i="55"/>
  <c r="BJ16" i="57"/>
  <c r="BJ26" i="57"/>
  <c r="BJ129" i="55"/>
  <c r="DV106" i="55"/>
  <c r="DV94" i="59"/>
  <c r="DV122" i="59"/>
  <c r="DV51" i="59"/>
  <c r="DV95" i="59"/>
  <c r="DV123" i="59"/>
  <c r="DV96" i="59"/>
  <c r="DV52" i="59"/>
  <c r="DV150" i="59"/>
  <c r="DW150" i="59"/>
  <c r="DV98" i="59"/>
  <c r="DV55" i="59"/>
  <c r="DV125" i="59"/>
  <c r="DV154" i="59"/>
  <c r="DW154" i="59"/>
  <c r="AF151" i="59"/>
  <c r="AG151" i="59"/>
  <c r="AE126" i="59"/>
  <c r="AE99" i="59"/>
  <c r="AE56" i="59"/>
  <c r="AE151" i="59"/>
  <c r="AE97" i="59"/>
  <c r="AE54" i="59"/>
  <c r="AE124" i="59"/>
  <c r="AE53" i="59"/>
  <c r="AE19" i="55"/>
  <c r="AE20" i="55"/>
  <c r="AE25" i="59"/>
  <c r="AF152" i="59"/>
  <c r="AE57" i="59"/>
  <c r="AE100" i="59"/>
  <c r="AE152" i="59"/>
  <c r="AE127" i="59"/>
  <c r="AE7" i="55"/>
  <c r="AE27" i="59"/>
  <c r="AE153" i="59"/>
  <c r="AE101" i="59"/>
  <c r="AG146" i="59"/>
  <c r="AF146" i="59"/>
  <c r="AE24" i="59"/>
  <c r="AE146" i="59"/>
  <c r="AE93" i="59"/>
  <c r="AE121" i="59"/>
  <c r="AE31" i="59"/>
  <c r="AE50" i="59"/>
  <c r="AG152" i="59"/>
  <c r="DV147" i="59"/>
  <c r="DV148" i="59"/>
  <c r="AF153" i="59"/>
  <c r="AG153" i="59"/>
  <c r="AE6" i="55"/>
  <c r="CF14" i="51"/>
  <c r="AH76" i="51"/>
  <c r="AH23" i="59"/>
  <c r="AH146" i="59" s="1"/>
  <c r="CT112" i="55"/>
  <c r="CT43" i="55"/>
  <c r="CT26" i="57"/>
  <c r="CT23" i="57"/>
  <c r="CT129" i="55"/>
  <c r="CT17" i="57" s="1"/>
  <c r="BL101" i="59"/>
  <c r="BL153" i="59"/>
  <c r="DX50" i="59"/>
  <c r="DX93" i="59"/>
  <c r="DX121" i="59"/>
  <c r="DX31" i="59"/>
  <c r="DX154" i="59" s="1"/>
  <c r="CT25" i="57"/>
  <c r="CT15" i="57"/>
  <c r="BM11" i="58"/>
  <c r="BM6" i="58"/>
  <c r="AF96" i="59"/>
  <c r="AF52" i="59"/>
  <c r="AG96" i="59"/>
  <c r="AG52" i="59"/>
  <c r="BL121" i="59"/>
  <c r="BL50" i="59"/>
  <c r="BL24" i="59"/>
  <c r="BL31" i="59"/>
  <c r="BL154" i="59" s="1"/>
  <c r="BL93" i="59"/>
  <c r="DX13" i="55"/>
  <c r="DX27" i="59" s="1"/>
  <c r="DX150" i="59" s="1"/>
  <c r="DX12" i="55"/>
  <c r="DX26" i="59" s="1"/>
  <c r="DX16" i="55"/>
  <c r="DX30" i="59" s="1"/>
  <c r="DX15" i="55"/>
  <c r="DX29" i="59" s="1"/>
  <c r="DX152" i="59" s="1"/>
  <c r="DX11" i="55"/>
  <c r="DX14" i="55"/>
  <c r="DX28" i="59" s="1"/>
  <c r="DX151" i="59" s="1"/>
  <c r="CT181" i="55"/>
  <c r="CT10" i="57" s="1"/>
  <c r="CT29" i="57"/>
  <c r="CT24" i="57"/>
  <c r="AH14" i="55"/>
  <c r="AH13" i="55"/>
  <c r="AH12" i="55"/>
  <c r="AH15" i="55"/>
  <c r="AH29" i="59" s="1"/>
  <c r="AH16" i="55"/>
  <c r="AH30" i="59" s="1"/>
  <c r="AF32" i="59"/>
  <c r="AG32" i="59"/>
  <c r="AD18" i="57"/>
  <c r="AD20" i="57" s="1"/>
  <c r="AD28" i="57"/>
  <c r="AD30" i="57" s="1"/>
  <c r="AD158" i="55"/>
  <c r="CT6" i="57"/>
  <c r="CT36" i="57"/>
  <c r="AF95" i="59"/>
  <c r="AF123" i="59"/>
  <c r="AF94" i="59"/>
  <c r="AF122" i="59"/>
  <c r="BL98" i="59"/>
  <c r="BL125" i="59"/>
  <c r="BL100" i="59"/>
  <c r="BL127" i="59"/>
  <c r="AG95" i="59"/>
  <c r="AG123" i="59"/>
  <c r="BL97" i="59"/>
  <c r="BL124" i="59"/>
  <c r="AG94" i="59"/>
  <c r="AG122" i="59"/>
  <c r="BL99" i="59"/>
  <c r="BL126" i="59"/>
  <c r="CT58" i="59"/>
  <c r="BL54" i="59"/>
  <c r="BL55" i="59"/>
  <c r="CT102" i="59"/>
  <c r="BL57" i="59"/>
  <c r="BL56" i="59"/>
  <c r="BL25" i="59"/>
  <c r="BL148" i="59" s="1"/>
  <c r="AF106" i="55"/>
  <c r="AF83" i="55"/>
  <c r="AF175" i="55"/>
  <c r="CT151" i="55"/>
  <c r="AG105" i="55"/>
  <c r="AG128" i="55" s="1"/>
  <c r="AG82" i="55"/>
  <c r="AG174" i="55"/>
  <c r="AG83" i="55"/>
  <c r="AG106" i="55"/>
  <c r="AG175" i="55"/>
  <c r="AF82" i="55"/>
  <c r="AF105" i="55"/>
  <c r="AF128" i="55" s="1"/>
  <c r="AF174" i="55"/>
  <c r="AF59" i="55"/>
  <c r="AF36" i="55"/>
  <c r="AG59" i="55"/>
  <c r="AG36" i="55"/>
  <c r="AG60" i="55"/>
  <c r="AG37" i="55"/>
  <c r="AF60" i="55"/>
  <c r="AF37" i="55"/>
  <c r="BL19" i="55"/>
  <c r="BL20" i="55"/>
  <c r="BL6" i="55"/>
  <c r="BL7" i="55"/>
  <c r="CS9" i="57" l="1"/>
  <c r="CS39" i="57"/>
  <c r="CT5" i="57"/>
  <c r="CT35" i="57"/>
  <c r="AD149" i="59"/>
  <c r="AD155" i="59" s="1"/>
  <c r="AC9" i="57"/>
  <c r="AC39" i="57"/>
  <c r="AC41" i="57" s="1"/>
  <c r="DU7" i="57"/>
  <c r="S8" i="60"/>
  <c r="DZ93" i="59"/>
  <c r="BN6" i="58"/>
  <c r="DZ16" i="55"/>
  <c r="BM11" i="55"/>
  <c r="BN16" i="55"/>
  <c r="BN14" i="55"/>
  <c r="R30" i="63" s="1"/>
  <c r="R50" i="63" s="1"/>
  <c r="DZ50" i="59"/>
  <c r="DZ121" i="59"/>
  <c r="DY10" i="55"/>
  <c r="DY23" i="59" s="1"/>
  <c r="DY146" i="59" s="1"/>
  <c r="DZ13" i="55"/>
  <c r="DZ27" i="59" s="1"/>
  <c r="DZ11" i="55"/>
  <c r="DZ15" i="55"/>
  <c r="DZ29" i="59" s="1"/>
  <c r="BM58" i="58"/>
  <c r="BM14" i="55"/>
  <c r="BM28" i="59" s="1"/>
  <c r="BM151" i="59" s="1"/>
  <c r="BN13" i="55"/>
  <c r="DT20" i="57"/>
  <c r="DT149" i="59" s="1"/>
  <c r="DT155" i="59" s="1"/>
  <c r="BN76" i="51"/>
  <c r="G56" i="60"/>
  <c r="DZ31" i="59"/>
  <c r="DT30" i="57"/>
  <c r="BM23" i="59"/>
  <c r="BM146" i="59" s="1"/>
  <c r="DZ12" i="55"/>
  <c r="DZ26" i="59" s="1"/>
  <c r="DZ14" i="55"/>
  <c r="DZ28" i="59" s="1"/>
  <c r="BM15" i="55"/>
  <c r="BM29" i="59" s="1"/>
  <c r="BM152" i="59" s="1"/>
  <c r="BM16" i="55"/>
  <c r="BM30" i="59" s="1"/>
  <c r="BN23" i="59"/>
  <c r="BO10" i="55"/>
  <c r="K20" i="61"/>
  <c r="CS41" i="57"/>
  <c r="BH9" i="57"/>
  <c r="BH39" i="57"/>
  <c r="BM13" i="55"/>
  <c r="BM27" i="59" s="1"/>
  <c r="BM150" i="59" s="1"/>
  <c r="BM12" i="55"/>
  <c r="BM26" i="59" s="1"/>
  <c r="BM53" i="59" s="1"/>
  <c r="BN15" i="55"/>
  <c r="BN12" i="55"/>
  <c r="BN11" i="55"/>
  <c r="DW52" i="59"/>
  <c r="DW147" i="59"/>
  <c r="DW148" i="59"/>
  <c r="DT39" i="57"/>
  <c r="DT9" i="57"/>
  <c r="BI151" i="55"/>
  <c r="DU151" i="55" s="1"/>
  <c r="DU35" i="57"/>
  <c r="DU5" i="57"/>
  <c r="BI135" i="55"/>
  <c r="DU102" i="59"/>
  <c r="DU37" i="57"/>
  <c r="DU128" i="59"/>
  <c r="DU58" i="59"/>
  <c r="BN11" i="58"/>
  <c r="DU40" i="57"/>
  <c r="DU10" i="57"/>
  <c r="DU26" i="57"/>
  <c r="CT7" i="57"/>
  <c r="CT37" i="57"/>
  <c r="CT4" i="57"/>
  <c r="CT34" i="57"/>
  <c r="CT152" i="55"/>
  <c r="CT18" i="57" s="1"/>
  <c r="CT27" i="57"/>
  <c r="CT135" i="55"/>
  <c r="DU36" i="57"/>
  <c r="DU6" i="57"/>
  <c r="DU135" i="55"/>
  <c r="DU34" i="57"/>
  <c r="DU4" i="57"/>
  <c r="DU27" i="57"/>
  <c r="DU17" i="57"/>
  <c r="BI5" i="57"/>
  <c r="BI35" i="57"/>
  <c r="BI152" i="55"/>
  <c r="BI17" i="57"/>
  <c r="BI27" i="57"/>
  <c r="BI6" i="57"/>
  <c r="BI36" i="57"/>
  <c r="BI7" i="57"/>
  <c r="BI37" i="57"/>
  <c r="BI4" i="57"/>
  <c r="BI34" i="57"/>
  <c r="BI10" i="57"/>
  <c r="BI40" i="57"/>
  <c r="BK66" i="55"/>
  <c r="DW59" i="55"/>
  <c r="BK112" i="55"/>
  <c r="DW105" i="55"/>
  <c r="BK128" i="55"/>
  <c r="BK181" i="55"/>
  <c r="DW174" i="55"/>
  <c r="BK43" i="55"/>
  <c r="DW36" i="55"/>
  <c r="BK89" i="55"/>
  <c r="DW82" i="55"/>
  <c r="BK13" i="57"/>
  <c r="BK23" i="57"/>
  <c r="DW37" i="55"/>
  <c r="BK15" i="57"/>
  <c r="BK25" i="57"/>
  <c r="DW83" i="55"/>
  <c r="BK14" i="57"/>
  <c r="BK24" i="57"/>
  <c r="DW60" i="55"/>
  <c r="BK16" i="57"/>
  <c r="BK26" i="57"/>
  <c r="BK129" i="55"/>
  <c r="DW106" i="55"/>
  <c r="BK19" i="57"/>
  <c r="BK29" i="57"/>
  <c r="DW175" i="55"/>
  <c r="BK102" i="59"/>
  <c r="DW96" i="59"/>
  <c r="AG147" i="59"/>
  <c r="DW128" i="59"/>
  <c r="AH58" i="58"/>
  <c r="P16" i="60" s="1"/>
  <c r="BJ34" i="57"/>
  <c r="BJ4" i="57"/>
  <c r="BJ35" i="57"/>
  <c r="BJ5" i="57"/>
  <c r="BJ40" i="57"/>
  <c r="BJ10" i="57"/>
  <c r="BJ36" i="57"/>
  <c r="BJ6" i="57"/>
  <c r="BJ37" i="57"/>
  <c r="BJ7" i="57"/>
  <c r="BJ151" i="55"/>
  <c r="BJ135" i="55"/>
  <c r="DV128" i="55"/>
  <c r="DV23" i="57"/>
  <c r="DV13" i="57"/>
  <c r="DV24" i="57"/>
  <c r="DV14" i="57"/>
  <c r="DV19" i="57"/>
  <c r="DV29" i="57"/>
  <c r="DV25" i="57"/>
  <c r="DV15" i="57"/>
  <c r="BJ17" i="57"/>
  <c r="BJ27" i="57"/>
  <c r="BJ152" i="55"/>
  <c r="DV129" i="55"/>
  <c r="DV26" i="57"/>
  <c r="DV16" i="57"/>
  <c r="AE36" i="55"/>
  <c r="AE59" i="55"/>
  <c r="AE174" i="55"/>
  <c r="AE105" i="55"/>
  <c r="AE82" i="55"/>
  <c r="AE37" i="55"/>
  <c r="AE60" i="55"/>
  <c r="AE175" i="55"/>
  <c r="AE83" i="55"/>
  <c r="AE106" i="55"/>
  <c r="AF148" i="59"/>
  <c r="AE95" i="59"/>
  <c r="AE52" i="59"/>
  <c r="AE96" i="59"/>
  <c r="AE123" i="59"/>
  <c r="AE148" i="59"/>
  <c r="AG150" i="59"/>
  <c r="AF150" i="59"/>
  <c r="AE150" i="59"/>
  <c r="AE55" i="59"/>
  <c r="AE125" i="59"/>
  <c r="AE98" i="59"/>
  <c r="AF147" i="59"/>
  <c r="AE122" i="59"/>
  <c r="AE94" i="59"/>
  <c r="AE147" i="59"/>
  <c r="AE51" i="59"/>
  <c r="AG154" i="59"/>
  <c r="AF154" i="59"/>
  <c r="AE154" i="59"/>
  <c r="DV43" i="55"/>
  <c r="DV66" i="55"/>
  <c r="DV181" i="55"/>
  <c r="DV89" i="55"/>
  <c r="DV112" i="55"/>
  <c r="DV102" i="59"/>
  <c r="DV58" i="59"/>
  <c r="AG148" i="59"/>
  <c r="DV128" i="59"/>
  <c r="AH121" i="59"/>
  <c r="AH93" i="59"/>
  <c r="O27" i="60"/>
  <c r="I37" i="60" s="1"/>
  <c r="AH50" i="59"/>
  <c r="AH31" i="59"/>
  <c r="AH154" i="59" s="1"/>
  <c r="D13" i="61"/>
  <c r="D15" i="61" s="1"/>
  <c r="H34" i="60"/>
  <c r="H35" i="60"/>
  <c r="AH101" i="59"/>
  <c r="AH153" i="59"/>
  <c r="DX101" i="59"/>
  <c r="DX153" i="59"/>
  <c r="BL51" i="59"/>
  <c r="BL147" i="59"/>
  <c r="AH100" i="59"/>
  <c r="AH152" i="59"/>
  <c r="AA8" i="63"/>
  <c r="DX127" i="59"/>
  <c r="DX100" i="59"/>
  <c r="DX57" i="59"/>
  <c r="AA11" i="63"/>
  <c r="DX53" i="59"/>
  <c r="DX54" i="59"/>
  <c r="DX97" i="59"/>
  <c r="DX124" i="59"/>
  <c r="DX125" i="59"/>
  <c r="DX55" i="59"/>
  <c r="DX98" i="59"/>
  <c r="AA12" i="63"/>
  <c r="AA9" i="63"/>
  <c r="DX56" i="59"/>
  <c r="DX99" i="59"/>
  <c r="DX126" i="59"/>
  <c r="DX25" i="59"/>
  <c r="DX148" i="59" s="1"/>
  <c r="DX24" i="59"/>
  <c r="DX147" i="59" s="1"/>
  <c r="BL96" i="59"/>
  <c r="BL52" i="59"/>
  <c r="AH27" i="59"/>
  <c r="AH150" i="59" s="1"/>
  <c r="AH28" i="59"/>
  <c r="AH26" i="59"/>
  <c r="AH97" i="59" s="1"/>
  <c r="AH24" i="59"/>
  <c r="DX19" i="55"/>
  <c r="DX20" i="55"/>
  <c r="AH7" i="55"/>
  <c r="DX7" i="55"/>
  <c r="CT40" i="57"/>
  <c r="DX6" i="55"/>
  <c r="AH57" i="59"/>
  <c r="AH6" i="55"/>
  <c r="AF102" i="59"/>
  <c r="AF128" i="59"/>
  <c r="AH127" i="59"/>
  <c r="AH20" i="55"/>
  <c r="AH25" i="59"/>
  <c r="AH19" i="55"/>
  <c r="AF181" i="55"/>
  <c r="AF10" i="57" s="1"/>
  <c r="AG128" i="59"/>
  <c r="AG24" i="57"/>
  <c r="AG14" i="57"/>
  <c r="AG19" i="57"/>
  <c r="AG29" i="57"/>
  <c r="AF19" i="57"/>
  <c r="AF29" i="57"/>
  <c r="AG129" i="55"/>
  <c r="AG16" i="57"/>
  <c r="AG26" i="57"/>
  <c r="AF25" i="57"/>
  <c r="AF15" i="57"/>
  <c r="AG25" i="57"/>
  <c r="AG15" i="57"/>
  <c r="AF129" i="55"/>
  <c r="AF135" i="55" s="1"/>
  <c r="AF26" i="57"/>
  <c r="AF16" i="57"/>
  <c r="AG23" i="57"/>
  <c r="AG13" i="57"/>
  <c r="AD9" i="57"/>
  <c r="AD39" i="57"/>
  <c r="AD41" i="57" s="1"/>
  <c r="AF23" i="57"/>
  <c r="AF13" i="57"/>
  <c r="AF24" i="57"/>
  <c r="AF14" i="57"/>
  <c r="BL94" i="59"/>
  <c r="BL122" i="59"/>
  <c r="BL95" i="59"/>
  <c r="BL123" i="59"/>
  <c r="AG58" i="59"/>
  <c r="AF58" i="59"/>
  <c r="AG102" i="59"/>
  <c r="AG181" i="55"/>
  <c r="AF66" i="55"/>
  <c r="AG43" i="55"/>
  <c r="AG112" i="55"/>
  <c r="AG151" i="55"/>
  <c r="AF151" i="55"/>
  <c r="BL106" i="55"/>
  <c r="DX106" i="55" s="1"/>
  <c r="BL83" i="55"/>
  <c r="DX83" i="55" s="1"/>
  <c r="BL175" i="55"/>
  <c r="DX175" i="55" s="1"/>
  <c r="BL105" i="55"/>
  <c r="BL82" i="55"/>
  <c r="DX82" i="55" s="1"/>
  <c r="BL174" i="55"/>
  <c r="DX174" i="55" s="1"/>
  <c r="AF43" i="55"/>
  <c r="BL60" i="55"/>
  <c r="DX60" i="55" s="1"/>
  <c r="AF89" i="55"/>
  <c r="AG89" i="55"/>
  <c r="AF112" i="55"/>
  <c r="BL59" i="55"/>
  <c r="DX59" i="55" s="1"/>
  <c r="BL37" i="55"/>
  <c r="DX37" i="55" s="1"/>
  <c r="BL36" i="55"/>
  <c r="DX36" i="55" s="1"/>
  <c r="AG66" i="55"/>
  <c r="BM50" i="59" l="1"/>
  <c r="BM31" i="59"/>
  <c r="BM154" i="59" s="1"/>
  <c r="DW102" i="59"/>
  <c r="BN50" i="59"/>
  <c r="BO45" i="59" s="1"/>
  <c r="EJ45" i="59" s="1"/>
  <c r="EK45" i="59" s="1"/>
  <c r="BN31" i="59"/>
  <c r="DY50" i="59"/>
  <c r="DY93" i="59"/>
  <c r="DY121" i="59"/>
  <c r="DY31" i="59"/>
  <c r="DY154" i="59" s="1"/>
  <c r="BM24" i="59"/>
  <c r="DZ56" i="59"/>
  <c r="DZ99" i="59"/>
  <c r="DZ126" i="59"/>
  <c r="EC13" i="55"/>
  <c r="EB16" i="55"/>
  <c r="DZ30" i="59"/>
  <c r="DZ125" i="59"/>
  <c r="DZ98" i="59"/>
  <c r="DZ55" i="59"/>
  <c r="DZ127" i="59"/>
  <c r="DZ57" i="59"/>
  <c r="BN58" i="58"/>
  <c r="S9" i="60" s="1"/>
  <c r="DZ146" i="59"/>
  <c r="BN146" i="59"/>
  <c r="BM101" i="59"/>
  <c r="J27" i="60"/>
  <c r="J30" i="60" s="1"/>
  <c r="BN93" i="59"/>
  <c r="I35" i="60"/>
  <c r="BM153" i="59"/>
  <c r="I55" i="60"/>
  <c r="H55" i="60"/>
  <c r="DZ100" i="59"/>
  <c r="DZ6" i="55"/>
  <c r="DZ24" i="59"/>
  <c r="DZ25" i="59"/>
  <c r="R33" i="63"/>
  <c r="R53" i="63" s="1"/>
  <c r="BN24" i="59"/>
  <c r="DZ53" i="59"/>
  <c r="DZ124" i="59"/>
  <c r="DZ97" i="59"/>
  <c r="DZ54" i="59"/>
  <c r="BN121" i="59"/>
  <c r="R27" i="63"/>
  <c r="BM93" i="59"/>
  <c r="BM121" i="59"/>
  <c r="EB14" i="55"/>
  <c r="EC15" i="55"/>
  <c r="EC16" i="55"/>
  <c r="EB15" i="55"/>
  <c r="DZ19" i="55"/>
  <c r="DZ20" i="55"/>
  <c r="EB11" i="55"/>
  <c r="DY14" i="55"/>
  <c r="DY28" i="59" s="1"/>
  <c r="DY151" i="59" s="1"/>
  <c r="DY13" i="55"/>
  <c r="DY27" i="59" s="1"/>
  <c r="DY150" i="59" s="1"/>
  <c r="DY12" i="55"/>
  <c r="DY26" i="59" s="1"/>
  <c r="DY11" i="55"/>
  <c r="DY16" i="55"/>
  <c r="DY30" i="59" s="1"/>
  <c r="DY15" i="55"/>
  <c r="DY29" i="59" s="1"/>
  <c r="DY152" i="59" s="1"/>
  <c r="EC11" i="55"/>
  <c r="BN25" i="59"/>
  <c r="BM97" i="59"/>
  <c r="BM99" i="59"/>
  <c r="BM127" i="59"/>
  <c r="BM56" i="59"/>
  <c r="BM25" i="59"/>
  <c r="BM148" i="59" s="1"/>
  <c r="BM6" i="55"/>
  <c r="BN20" i="55"/>
  <c r="BM19" i="55"/>
  <c r="EB12" i="55"/>
  <c r="EC14" i="55"/>
  <c r="EB13" i="55"/>
  <c r="DZ7" i="55"/>
  <c r="EC12" i="55"/>
  <c r="E30" i="61"/>
  <c r="BN28" i="59"/>
  <c r="BO14" i="55"/>
  <c r="K23" i="61"/>
  <c r="BN26" i="59"/>
  <c r="BN97" i="59" s="1"/>
  <c r="K25" i="61"/>
  <c r="BO12" i="55"/>
  <c r="BN27" i="59"/>
  <c r="BN150" i="59" s="1"/>
  <c r="BO13" i="55"/>
  <c r="BN29" i="59"/>
  <c r="K26" i="61"/>
  <c r="BO15" i="55"/>
  <c r="K22" i="61"/>
  <c r="K24" i="61"/>
  <c r="BO11" i="55"/>
  <c r="BN30" i="59"/>
  <c r="BO16" i="55"/>
  <c r="BM124" i="59"/>
  <c r="BM125" i="59"/>
  <c r="BM126" i="59"/>
  <c r="BN7" i="55"/>
  <c r="BM7" i="55"/>
  <c r="BM20" i="55"/>
  <c r="BM98" i="59"/>
  <c r="BM100" i="59"/>
  <c r="BM57" i="59"/>
  <c r="BM55" i="59"/>
  <c r="BM54" i="59"/>
  <c r="BN6" i="55"/>
  <c r="BN19" i="55"/>
  <c r="R29" i="63" s="1"/>
  <c r="R49" i="63" s="1"/>
  <c r="DW58" i="59"/>
  <c r="BI8" i="57"/>
  <c r="BI38" i="57"/>
  <c r="CT158" i="55"/>
  <c r="AE128" i="59"/>
  <c r="AE102" i="59"/>
  <c r="AE58" i="59"/>
  <c r="CT20" i="57"/>
  <c r="CT149" i="59" s="1"/>
  <c r="CT155" i="59" s="1"/>
  <c r="CT28" i="57"/>
  <c r="CT30" i="57" s="1"/>
  <c r="CT8" i="57"/>
  <c r="CT38" i="57"/>
  <c r="DU38" i="57"/>
  <c r="DU8" i="57"/>
  <c r="BI158" i="55"/>
  <c r="DU152" i="55"/>
  <c r="BI18" i="57"/>
  <c r="BI20" i="57" s="1"/>
  <c r="BI28" i="57"/>
  <c r="BI30" i="57" s="1"/>
  <c r="BK35" i="57"/>
  <c r="BK5" i="57"/>
  <c r="BK37" i="57"/>
  <c r="BK7" i="57"/>
  <c r="BK135" i="55"/>
  <c r="BK151" i="55"/>
  <c r="DW128" i="55"/>
  <c r="BK40" i="57"/>
  <c r="BK10" i="57"/>
  <c r="BK34" i="57"/>
  <c r="BK4" i="57"/>
  <c r="BK36" i="57"/>
  <c r="BK6" i="57"/>
  <c r="DW23" i="57"/>
  <c r="DW13" i="57"/>
  <c r="DW15" i="57"/>
  <c r="DW25" i="57"/>
  <c r="DW14" i="57"/>
  <c r="DW24" i="57"/>
  <c r="BK27" i="57"/>
  <c r="BK17" i="57"/>
  <c r="BK152" i="55"/>
  <c r="DW129" i="55"/>
  <c r="DW26" i="57"/>
  <c r="DW16" i="57"/>
  <c r="DW19" i="57"/>
  <c r="DW29" i="57"/>
  <c r="DW66" i="55"/>
  <c r="DW112" i="55"/>
  <c r="DW181" i="55"/>
  <c r="DW43" i="55"/>
  <c r="DW89" i="55"/>
  <c r="BJ158" i="55"/>
  <c r="DV151" i="55"/>
  <c r="BJ8" i="57"/>
  <c r="BJ38" i="57"/>
  <c r="BJ18" i="57"/>
  <c r="BJ20" i="57" s="1"/>
  <c r="BJ28" i="57"/>
  <c r="BJ30" i="57" s="1"/>
  <c r="DV152" i="55"/>
  <c r="DV17" i="57"/>
  <c r="DV27" i="57"/>
  <c r="DV135" i="55"/>
  <c r="AE112" i="55"/>
  <c r="AE128" i="55"/>
  <c r="AE151" i="55" s="1"/>
  <c r="AE13" i="57"/>
  <c r="AE23" i="57"/>
  <c r="AE14" i="57"/>
  <c r="AE24" i="57"/>
  <c r="AE29" i="57"/>
  <c r="AE19" i="57"/>
  <c r="AE25" i="57"/>
  <c r="AE15" i="57"/>
  <c r="AE16" i="57"/>
  <c r="AE26" i="57"/>
  <c r="AE129" i="55"/>
  <c r="DV34" i="57"/>
  <c r="DV4" i="57"/>
  <c r="DV35" i="57"/>
  <c r="DV5" i="57"/>
  <c r="DV40" i="57"/>
  <c r="DV10" i="57"/>
  <c r="DV36" i="57"/>
  <c r="DV6" i="57"/>
  <c r="DV37" i="57"/>
  <c r="DV7" i="57"/>
  <c r="AE43" i="55"/>
  <c r="AE66" i="55"/>
  <c r="AE181" i="55"/>
  <c r="AE89" i="55"/>
  <c r="I39" i="60"/>
  <c r="AH55" i="59"/>
  <c r="I38" i="60"/>
  <c r="I36" i="60"/>
  <c r="D14" i="61"/>
  <c r="AG135" i="55"/>
  <c r="AH54" i="59"/>
  <c r="AH94" i="59"/>
  <c r="R8" i="63"/>
  <c r="AH125" i="59"/>
  <c r="AH126" i="59"/>
  <c r="AH151" i="59"/>
  <c r="AH52" i="59"/>
  <c r="AH148" i="59"/>
  <c r="AH51" i="59"/>
  <c r="AH147" i="59"/>
  <c r="DX181" i="55"/>
  <c r="DX40" i="57" s="1"/>
  <c r="AH106" i="55"/>
  <c r="DX89" i="55"/>
  <c r="DX51" i="59"/>
  <c r="DX122" i="59"/>
  <c r="DX94" i="59"/>
  <c r="DX52" i="59"/>
  <c r="DX123" i="59"/>
  <c r="DX95" i="59"/>
  <c r="DX96" i="59"/>
  <c r="DX43" i="55"/>
  <c r="DX34" i="57" s="1"/>
  <c r="AH99" i="59"/>
  <c r="AH98" i="59"/>
  <c r="AI33" i="59"/>
  <c r="AJ33" i="59" s="1"/>
  <c r="AH56" i="59"/>
  <c r="AH124" i="59"/>
  <c r="AH53" i="59"/>
  <c r="I41" i="60"/>
  <c r="AH96" i="59"/>
  <c r="AH175" i="55"/>
  <c r="DX13" i="57"/>
  <c r="DX23" i="57"/>
  <c r="AH59" i="55"/>
  <c r="AH83" i="55"/>
  <c r="AH122" i="59"/>
  <c r="AH37" i="55"/>
  <c r="AH36" i="55"/>
  <c r="DX24" i="57"/>
  <c r="DX14" i="57"/>
  <c r="AH60" i="55"/>
  <c r="DX66" i="55"/>
  <c r="AH174" i="55"/>
  <c r="BL128" i="55"/>
  <c r="DX128" i="55" s="1"/>
  <c r="DX105" i="55"/>
  <c r="DX112" i="55" s="1"/>
  <c r="AH82" i="55"/>
  <c r="DX29" i="57"/>
  <c r="DX19" i="57"/>
  <c r="AH105" i="55"/>
  <c r="AH128" i="55" s="1"/>
  <c r="DX25" i="57"/>
  <c r="DX15" i="57"/>
  <c r="DX16" i="57"/>
  <c r="AH123" i="59"/>
  <c r="AH95" i="59"/>
  <c r="AF40" i="57"/>
  <c r="AG7" i="57"/>
  <c r="AG37" i="57"/>
  <c r="AF152" i="55"/>
  <c r="AF158" i="55" s="1"/>
  <c r="AF27" i="57"/>
  <c r="AF17" i="57"/>
  <c r="BL29" i="57"/>
  <c r="BL19" i="57"/>
  <c r="AG4" i="57"/>
  <c r="AG34" i="57"/>
  <c r="BL25" i="57"/>
  <c r="BL15" i="57"/>
  <c r="AF5" i="57"/>
  <c r="AF35" i="57"/>
  <c r="AG152" i="55"/>
  <c r="AG158" i="55" s="1"/>
  <c r="AG27" i="57"/>
  <c r="AG17" i="57"/>
  <c r="AG5" i="57"/>
  <c r="AG35" i="57"/>
  <c r="AF6" i="57"/>
  <c r="AF36" i="57"/>
  <c r="BL129" i="55"/>
  <c r="DX129" i="55" s="1"/>
  <c r="BL26" i="57"/>
  <c r="BL16" i="57"/>
  <c r="BL24" i="57"/>
  <c r="BL14" i="57"/>
  <c r="AF8" i="57"/>
  <c r="AF38" i="57"/>
  <c r="AG6" i="57"/>
  <c r="AG36" i="57"/>
  <c r="AG10" i="57"/>
  <c r="AG40" i="57"/>
  <c r="BL23" i="57"/>
  <c r="BL13" i="57"/>
  <c r="AF7" i="57"/>
  <c r="AF37" i="57"/>
  <c r="AF4" i="57"/>
  <c r="AF34" i="57"/>
  <c r="BL102" i="59"/>
  <c r="BL181" i="55"/>
  <c r="BL112" i="55"/>
  <c r="BL89" i="55"/>
  <c r="BL43" i="55"/>
  <c r="BL66" i="55"/>
  <c r="BN54" i="59" l="1"/>
  <c r="BN53" i="59"/>
  <c r="BN98" i="59"/>
  <c r="BO33" i="59"/>
  <c r="BP33" i="59" s="1"/>
  <c r="CT9" i="57"/>
  <c r="CT39" i="57"/>
  <c r="BM37" i="55"/>
  <c r="DY37" i="55" s="1"/>
  <c r="BM60" i="55"/>
  <c r="DY60" i="55" s="1"/>
  <c r="BN59" i="55"/>
  <c r="DZ59" i="55" s="1"/>
  <c r="BN60" i="55"/>
  <c r="DZ60" i="55" s="1"/>
  <c r="BM59" i="55"/>
  <c r="DY59" i="55" s="1"/>
  <c r="BM36" i="55"/>
  <c r="DY36" i="55" s="1"/>
  <c r="BN37" i="55"/>
  <c r="DZ37" i="55" s="1"/>
  <c r="BN36" i="55"/>
  <c r="DZ36" i="55" s="1"/>
  <c r="DZ151" i="59"/>
  <c r="BN55" i="59"/>
  <c r="BN125" i="59"/>
  <c r="K16" i="60"/>
  <c r="DF20" i="58"/>
  <c r="BM51" i="59"/>
  <c r="BM147" i="59"/>
  <c r="BN147" i="59"/>
  <c r="BN154" i="59"/>
  <c r="DZ150" i="59"/>
  <c r="DZ154" i="59"/>
  <c r="DY25" i="59"/>
  <c r="DY148" i="59" s="1"/>
  <c r="DY24" i="59"/>
  <c r="DY147" i="59" s="1"/>
  <c r="DY53" i="59"/>
  <c r="DY97" i="59"/>
  <c r="DY54" i="59"/>
  <c r="DY124" i="59"/>
  <c r="DY55" i="59"/>
  <c r="F26" i="63"/>
  <c r="R47" i="63"/>
  <c r="BN99" i="59"/>
  <c r="DY19" i="55"/>
  <c r="DY20" i="55"/>
  <c r="DY7" i="55"/>
  <c r="BM94" i="59"/>
  <c r="BM122" i="59"/>
  <c r="DZ152" i="59"/>
  <c r="DY153" i="59"/>
  <c r="BN101" i="59"/>
  <c r="BN153" i="59"/>
  <c r="DY101" i="59"/>
  <c r="H24" i="61"/>
  <c r="G38" i="60"/>
  <c r="G36" i="60"/>
  <c r="G39" i="60"/>
  <c r="G37" i="60"/>
  <c r="DZ101" i="59"/>
  <c r="BN51" i="59"/>
  <c r="DY125" i="59"/>
  <c r="DY98" i="59"/>
  <c r="DY56" i="59"/>
  <c r="DY126" i="59"/>
  <c r="DY99" i="59"/>
  <c r="DY57" i="59"/>
  <c r="DY127" i="59"/>
  <c r="DY100" i="59"/>
  <c r="BM96" i="59"/>
  <c r="BM52" i="59"/>
  <c r="DZ52" i="59"/>
  <c r="DZ96" i="59"/>
  <c r="DZ123" i="59"/>
  <c r="DZ95" i="59"/>
  <c r="DZ51" i="59"/>
  <c r="DZ122" i="59"/>
  <c r="DZ94" i="59"/>
  <c r="BN96" i="59"/>
  <c r="BN52" i="59"/>
  <c r="BN57" i="59"/>
  <c r="DY6" i="55"/>
  <c r="BN127" i="59"/>
  <c r="BN56" i="59"/>
  <c r="G41" i="60"/>
  <c r="BN94" i="59"/>
  <c r="BN122" i="59"/>
  <c r="DZ153" i="59"/>
  <c r="BN148" i="59"/>
  <c r="BN124" i="59"/>
  <c r="BN100" i="59"/>
  <c r="BN152" i="59"/>
  <c r="BN126" i="59"/>
  <c r="BN151" i="59"/>
  <c r="BN123" i="59"/>
  <c r="BN95" i="59"/>
  <c r="BM95" i="59"/>
  <c r="BM123" i="59"/>
  <c r="BM105" i="55"/>
  <c r="BM82" i="55"/>
  <c r="DY82" i="55" s="1"/>
  <c r="BM174" i="55"/>
  <c r="DY174" i="55" s="1"/>
  <c r="BM83" i="55"/>
  <c r="DY83" i="55" s="1"/>
  <c r="BN105" i="55"/>
  <c r="BN82" i="55"/>
  <c r="DZ82" i="55" s="1"/>
  <c r="BN83" i="55"/>
  <c r="DZ83" i="55" s="1"/>
  <c r="BN175" i="55"/>
  <c r="DZ175" i="55" s="1"/>
  <c r="BM106" i="55"/>
  <c r="DY106" i="55" s="1"/>
  <c r="BM175" i="55"/>
  <c r="DY175" i="55" s="1"/>
  <c r="BN174" i="55"/>
  <c r="DZ174" i="55" s="1"/>
  <c r="BN106" i="55"/>
  <c r="DZ106" i="55" s="1"/>
  <c r="DU28" i="57"/>
  <c r="DU30" i="57" s="1"/>
  <c r="DU18" i="57"/>
  <c r="DU20" i="57" s="1"/>
  <c r="DU158" i="55"/>
  <c r="BI9" i="57"/>
  <c r="BI39" i="57"/>
  <c r="BI149" i="59"/>
  <c r="BI155" i="59" s="1"/>
  <c r="BK38" i="57"/>
  <c r="BK8" i="57"/>
  <c r="BK158" i="55"/>
  <c r="DW151" i="55"/>
  <c r="BK18" i="57"/>
  <c r="BK20" i="57" s="1"/>
  <c r="BK149" i="59" s="1"/>
  <c r="BK155" i="59" s="1"/>
  <c r="BK28" i="57"/>
  <c r="BK30" i="57" s="1"/>
  <c r="DW152" i="55"/>
  <c r="DW17" i="57"/>
  <c r="DW27" i="57"/>
  <c r="DW135" i="55"/>
  <c r="DW35" i="57"/>
  <c r="DW5" i="57"/>
  <c r="DW37" i="57"/>
  <c r="DW7" i="57"/>
  <c r="DW40" i="57"/>
  <c r="DW10" i="57"/>
  <c r="DW4" i="57"/>
  <c r="DW34" i="57"/>
  <c r="DW36" i="57"/>
  <c r="DW6" i="57"/>
  <c r="BJ39" i="57"/>
  <c r="BJ9" i="57"/>
  <c r="DV18" i="57"/>
  <c r="DV20" i="57" s="1"/>
  <c r="DV28" i="57"/>
  <c r="DV30" i="57" s="1"/>
  <c r="DV8" i="57"/>
  <c r="DV38" i="57"/>
  <c r="AE37" i="57"/>
  <c r="AE7" i="57"/>
  <c r="AE17" i="57"/>
  <c r="AE27" i="57"/>
  <c r="AE152" i="55"/>
  <c r="AE135" i="55"/>
  <c r="AE4" i="57"/>
  <c r="AE34" i="57"/>
  <c r="AE5" i="57"/>
  <c r="AE35" i="57"/>
  <c r="AE10" i="57"/>
  <c r="AE40" i="57"/>
  <c r="AE36" i="57"/>
  <c r="AE6" i="57"/>
  <c r="BJ149" i="59"/>
  <c r="BJ155" i="59" s="1"/>
  <c r="DV158" i="55"/>
  <c r="DX36" i="57"/>
  <c r="DX6" i="57"/>
  <c r="AG8" i="57"/>
  <c r="AG38" i="57"/>
  <c r="BL151" i="55"/>
  <c r="DX151" i="55" s="1"/>
  <c r="AH66" i="55"/>
  <c r="AH89" i="55"/>
  <c r="AH29" i="57"/>
  <c r="AH129" i="55"/>
  <c r="AH16" i="57"/>
  <c r="AH15" i="57"/>
  <c r="AH13" i="57"/>
  <c r="AH112" i="55"/>
  <c r="AH25" i="57"/>
  <c r="AH23" i="57"/>
  <c r="AH151" i="55"/>
  <c r="AH43" i="55"/>
  <c r="AH181" i="55"/>
  <c r="AH19" i="57"/>
  <c r="DX10" i="57"/>
  <c r="DX58" i="59"/>
  <c r="DX4" i="57"/>
  <c r="DX102" i="59"/>
  <c r="DX128" i="59"/>
  <c r="BL135" i="55"/>
  <c r="AH24" i="57"/>
  <c r="AH58" i="59"/>
  <c r="DX26" i="57"/>
  <c r="AH26" i="57"/>
  <c r="DX35" i="57"/>
  <c r="DX5" i="57"/>
  <c r="AH128" i="59"/>
  <c r="DX37" i="57"/>
  <c r="DX7" i="57"/>
  <c r="AH14" i="57"/>
  <c r="DX135" i="55"/>
  <c r="DX17" i="57"/>
  <c r="DX27" i="57"/>
  <c r="BL7" i="57"/>
  <c r="BL37" i="57"/>
  <c r="AF28" i="57"/>
  <c r="AF30" i="57" s="1"/>
  <c r="AF18" i="57"/>
  <c r="AF20" i="57" s="1"/>
  <c r="BL152" i="55"/>
  <c r="DX152" i="55" s="1"/>
  <c r="BL27" i="57"/>
  <c r="BL17" i="57"/>
  <c r="AF9" i="57"/>
  <c r="AF39" i="57"/>
  <c r="AF41" i="57" s="1"/>
  <c r="AG28" i="57"/>
  <c r="AG30" i="57" s="1"/>
  <c r="AG18" i="57"/>
  <c r="AG20" i="57" s="1"/>
  <c r="AG9" i="57"/>
  <c r="AG39" i="57"/>
  <c r="BL4" i="57"/>
  <c r="BL34" i="57"/>
  <c r="BL10" i="57"/>
  <c r="BL40" i="57"/>
  <c r="BL6" i="57"/>
  <c r="BL36" i="57"/>
  <c r="BL5" i="57"/>
  <c r="BL35" i="57"/>
  <c r="CT41" i="57" l="1"/>
  <c r="DY13" i="57"/>
  <c r="DZ23" i="57"/>
  <c r="DZ14" i="57"/>
  <c r="DY43" i="55"/>
  <c r="BN14" i="57"/>
  <c r="BN13" i="57"/>
  <c r="BN43" i="55"/>
  <c r="DY23" i="57"/>
  <c r="DZ66" i="55"/>
  <c r="BM24" i="57"/>
  <c r="BM43" i="55"/>
  <c r="DZ43" i="55"/>
  <c r="DZ13" i="57"/>
  <c r="DZ24" i="57"/>
  <c r="DY14" i="57"/>
  <c r="DY24" i="57"/>
  <c r="BM23" i="57"/>
  <c r="BM13" i="57"/>
  <c r="BN24" i="57"/>
  <c r="BN23" i="57"/>
  <c r="BM14" i="57"/>
  <c r="BN66" i="55"/>
  <c r="BN35" i="57" s="1"/>
  <c r="DY66" i="55"/>
  <c r="BM66" i="55"/>
  <c r="BM5" i="57" s="1"/>
  <c r="DY25" i="57"/>
  <c r="DY15" i="57"/>
  <c r="BM181" i="55"/>
  <c r="BM10" i="57" s="1"/>
  <c r="DY123" i="59"/>
  <c r="F46" i="63"/>
  <c r="E20" i="61"/>
  <c r="F27" i="63"/>
  <c r="DY122" i="59"/>
  <c r="DY52" i="59"/>
  <c r="DY95" i="59"/>
  <c r="DY96" i="59"/>
  <c r="BN102" i="59"/>
  <c r="DZ147" i="59"/>
  <c r="DZ148" i="59"/>
  <c r="DY51" i="59"/>
  <c r="DY94" i="59"/>
  <c r="DU149" i="59"/>
  <c r="DU155" i="59" s="1"/>
  <c r="DY89" i="55"/>
  <c r="BO46" i="59"/>
  <c r="EJ46" i="59" s="1"/>
  <c r="DZ102" i="59"/>
  <c r="DZ128" i="59"/>
  <c r="DZ58" i="59"/>
  <c r="BM19" i="57"/>
  <c r="BM29" i="57"/>
  <c r="DZ181" i="55"/>
  <c r="DZ40" i="57" s="1"/>
  <c r="DZ16" i="57"/>
  <c r="DY181" i="55"/>
  <c r="DZ89" i="55"/>
  <c r="DZ25" i="57"/>
  <c r="DZ15" i="57"/>
  <c r="BM128" i="55"/>
  <c r="DY128" i="55" s="1"/>
  <c r="DY105" i="55"/>
  <c r="DY112" i="55" s="1"/>
  <c r="BN128" i="55"/>
  <c r="DZ128" i="55" s="1"/>
  <c r="DZ105" i="55"/>
  <c r="DZ112" i="55" s="1"/>
  <c r="DU39" i="57"/>
  <c r="DU9" i="57"/>
  <c r="DY29" i="57"/>
  <c r="DY19" i="57"/>
  <c r="DY16" i="57"/>
  <c r="DZ29" i="57"/>
  <c r="DZ19" i="57"/>
  <c r="BN19" i="57"/>
  <c r="BN29" i="57"/>
  <c r="BM15" i="57"/>
  <c r="BM25" i="57"/>
  <c r="BN25" i="57"/>
  <c r="BN15" i="57"/>
  <c r="BM129" i="55"/>
  <c r="BM26" i="57"/>
  <c r="BM16" i="57"/>
  <c r="BN129" i="55"/>
  <c r="BN26" i="57"/>
  <c r="BN16" i="57"/>
  <c r="BM89" i="55"/>
  <c r="BN181" i="55"/>
  <c r="BM102" i="59"/>
  <c r="BM112" i="55"/>
  <c r="BN112" i="55"/>
  <c r="BN89" i="55"/>
  <c r="BK9" i="57"/>
  <c r="BK39" i="57"/>
  <c r="DW18" i="57"/>
  <c r="DW28" i="57"/>
  <c r="DW30" i="57" s="1"/>
  <c r="DW8" i="57"/>
  <c r="DW38" i="57"/>
  <c r="DW158" i="55"/>
  <c r="AE28" i="57"/>
  <c r="AE30" i="57" s="1"/>
  <c r="AE18" i="57"/>
  <c r="AE20" i="57" s="1"/>
  <c r="AE158" i="55"/>
  <c r="AE38" i="57"/>
  <c r="AE8" i="57"/>
  <c r="DV39" i="57"/>
  <c r="DV9" i="57"/>
  <c r="DV149" i="59"/>
  <c r="DV155" i="59" s="1"/>
  <c r="AH5" i="57"/>
  <c r="AH35" i="57"/>
  <c r="BL8" i="57"/>
  <c r="BL38" i="57"/>
  <c r="DX158" i="55"/>
  <c r="AH135" i="55"/>
  <c r="AH6" i="57"/>
  <c r="AH36" i="57"/>
  <c r="AG41" i="57"/>
  <c r="AH152" i="55"/>
  <c r="AH27" i="57"/>
  <c r="AH17" i="57"/>
  <c r="AH4" i="57"/>
  <c r="AH34" i="57"/>
  <c r="AH7" i="57"/>
  <c r="AH37" i="57"/>
  <c r="AH40" i="57"/>
  <c r="AH10" i="57"/>
  <c r="AG149" i="59"/>
  <c r="AG155" i="59" s="1"/>
  <c r="BL158" i="55"/>
  <c r="DX38" i="57"/>
  <c r="DX8" i="57"/>
  <c r="DX28" i="57"/>
  <c r="DX30" i="57" s="1"/>
  <c r="DX18" i="57"/>
  <c r="DX20" i="57" s="1"/>
  <c r="BL18" i="57"/>
  <c r="BL20" i="57" s="1"/>
  <c r="BL149" i="59" s="1"/>
  <c r="BL155" i="59" s="1"/>
  <c r="BL28" i="57"/>
  <c r="BL30" i="57" s="1"/>
  <c r="DZ4" i="57" l="1"/>
  <c r="DZ34" i="57"/>
  <c r="DY34" i="57"/>
  <c r="DY4" i="57"/>
  <c r="DZ35" i="57"/>
  <c r="DZ5" i="57"/>
  <c r="DY35" i="57"/>
  <c r="DY5" i="57"/>
  <c r="BM4" i="57"/>
  <c r="BM34" i="57"/>
  <c r="BN4" i="57"/>
  <c r="BN34" i="57"/>
  <c r="BN5" i="57"/>
  <c r="BM35" i="57"/>
  <c r="BM40" i="57"/>
  <c r="DY36" i="57"/>
  <c r="DY6" i="57"/>
  <c r="F47" i="63"/>
  <c r="B51" i="63" s="1"/>
  <c r="B31" i="63"/>
  <c r="F28" i="63"/>
  <c r="J27" i="63" s="1"/>
  <c r="H20" i="61"/>
  <c r="E27" i="61"/>
  <c r="DY128" i="59"/>
  <c r="DY58" i="59"/>
  <c r="DY102" i="59"/>
  <c r="DW20" i="57"/>
  <c r="DY40" i="57"/>
  <c r="DZ37" i="57"/>
  <c r="DY26" i="57"/>
  <c r="DZ26" i="57"/>
  <c r="DZ10" i="57"/>
  <c r="DY10" i="57"/>
  <c r="DZ7" i="57"/>
  <c r="BN135" i="55"/>
  <c r="BN8" i="57" s="1"/>
  <c r="DZ129" i="55"/>
  <c r="DZ36" i="57"/>
  <c r="DZ6" i="57"/>
  <c r="DY37" i="57"/>
  <c r="DY7" i="57"/>
  <c r="EK46" i="59"/>
  <c r="EK49" i="59" s="1"/>
  <c r="EJ49" i="59"/>
  <c r="BM151" i="55"/>
  <c r="DY151" i="55" s="1"/>
  <c r="BN151" i="55"/>
  <c r="DZ151" i="55" s="1"/>
  <c r="BM135" i="55"/>
  <c r="BM38" i="57" s="1"/>
  <c r="DY129" i="55"/>
  <c r="DY135" i="55" s="1"/>
  <c r="BN6" i="57"/>
  <c r="BN36" i="57"/>
  <c r="BN152" i="55"/>
  <c r="DZ152" i="55" s="1"/>
  <c r="BN27" i="57"/>
  <c r="BN17" i="57"/>
  <c r="BN7" i="57"/>
  <c r="BN37" i="57"/>
  <c r="BN10" i="57"/>
  <c r="BN40" i="57"/>
  <c r="BM6" i="57"/>
  <c r="BM36" i="57"/>
  <c r="BM152" i="55"/>
  <c r="DY152" i="55" s="1"/>
  <c r="BM27" i="57"/>
  <c r="BM17" i="57"/>
  <c r="BM7" i="57"/>
  <c r="BM37" i="57"/>
  <c r="DW39" i="57"/>
  <c r="DW9" i="57"/>
  <c r="AF149" i="59"/>
  <c r="AF155" i="59" s="1"/>
  <c r="AE149" i="59"/>
  <c r="AE155" i="59" s="1"/>
  <c r="AE39" i="57"/>
  <c r="AE41" i="57" s="1"/>
  <c r="AE9" i="57"/>
  <c r="AH38" i="57"/>
  <c r="DX39" i="57"/>
  <c r="DX9" i="57"/>
  <c r="AH28" i="57"/>
  <c r="AH30" i="57" s="1"/>
  <c r="AH158" i="55"/>
  <c r="AH18" i="57"/>
  <c r="AH8" i="57"/>
  <c r="BL9" i="57"/>
  <c r="BL39" i="57"/>
  <c r="DW149" i="59" l="1"/>
  <c r="DW155" i="59" s="1"/>
  <c r="DX149" i="59"/>
  <c r="DX155" i="59" s="1"/>
  <c r="G27" i="63"/>
  <c r="G5" i="63"/>
  <c r="G26" i="63"/>
  <c r="J28" i="63"/>
  <c r="N27" i="63" s="1"/>
  <c r="B8" i="63"/>
  <c r="B29" i="63"/>
  <c r="B27" i="63"/>
  <c r="B7" i="63"/>
  <c r="B9" i="63"/>
  <c r="R7" i="63" s="1"/>
  <c r="R13" i="63" s="1"/>
  <c r="AA13" i="63" s="1"/>
  <c r="AB13" i="63" s="1"/>
  <c r="B28" i="63"/>
  <c r="B30" i="63"/>
  <c r="R28" i="63" s="1"/>
  <c r="B26" i="63"/>
  <c r="G47" i="63"/>
  <c r="G28" i="63"/>
  <c r="F48" i="63"/>
  <c r="G46" i="63"/>
  <c r="H25" i="61"/>
  <c r="K27" i="61"/>
  <c r="E31" i="61"/>
  <c r="DZ17" i="57"/>
  <c r="DZ27" i="57"/>
  <c r="BN38" i="57"/>
  <c r="DZ135" i="55"/>
  <c r="BM8" i="57"/>
  <c r="DY38" i="57"/>
  <c r="DY8" i="57"/>
  <c r="DY18" i="57"/>
  <c r="DY28" i="57"/>
  <c r="DZ18" i="57"/>
  <c r="DZ28" i="57"/>
  <c r="DZ158" i="55"/>
  <c r="DZ9" i="57" s="1"/>
  <c r="DY17" i="57"/>
  <c r="DY27" i="57"/>
  <c r="DY158" i="55"/>
  <c r="BM158" i="55"/>
  <c r="BN28" i="57"/>
  <c r="BN30" i="57" s="1"/>
  <c r="BN18" i="57"/>
  <c r="BN20" i="57" s="1"/>
  <c r="BM18" i="57"/>
  <c r="BM20" i="57" s="1"/>
  <c r="BM149" i="59" s="1"/>
  <c r="BM155" i="59" s="1"/>
  <c r="BM28" i="57"/>
  <c r="BM30" i="57" s="1"/>
  <c r="BN158" i="55"/>
  <c r="AH20" i="57"/>
  <c r="AH149" i="59" s="1"/>
  <c r="AH155" i="59" s="1"/>
  <c r="AH39" i="57"/>
  <c r="AH9" i="57"/>
  <c r="R32" i="63" l="1"/>
  <c r="R31" i="63"/>
  <c r="F32" i="63" s="1"/>
  <c r="F41" i="63" s="1"/>
  <c r="K5" i="63" s="1"/>
  <c r="J47" i="63"/>
  <c r="K27" i="63"/>
  <c r="I20" i="61"/>
  <c r="K26" i="63"/>
  <c r="K28" i="63"/>
  <c r="I23" i="61"/>
  <c r="I22" i="61"/>
  <c r="I25" i="61"/>
  <c r="I21" i="61"/>
  <c r="I24" i="61"/>
  <c r="K28" i="61"/>
  <c r="F30" i="61"/>
  <c r="F26" i="61"/>
  <c r="F24" i="61"/>
  <c r="F31" i="61"/>
  <c r="F22" i="61"/>
  <c r="F25" i="61"/>
  <c r="F20" i="61"/>
  <c r="F28" i="61"/>
  <c r="F29" i="61"/>
  <c r="F23" i="61"/>
  <c r="F21" i="61"/>
  <c r="DZ38" i="57"/>
  <c r="DZ8" i="57"/>
  <c r="BN39" i="57"/>
  <c r="F27" i="61"/>
  <c r="BN149" i="59"/>
  <c r="BN155" i="59" s="1"/>
  <c r="DZ20" i="57"/>
  <c r="DZ30" i="57"/>
  <c r="DZ39" i="57"/>
  <c r="BN9" i="57"/>
  <c r="DY39" i="57"/>
  <c r="DY9" i="57"/>
  <c r="BM9" i="57"/>
  <c r="BM39" i="57"/>
  <c r="DY20" i="57"/>
  <c r="DY149" i="59" s="1"/>
  <c r="DY155" i="59" s="1"/>
  <c r="DY30" i="57"/>
  <c r="N28" i="63"/>
  <c r="O27" i="63" s="1"/>
  <c r="K34" i="60"/>
  <c r="L34" i="60"/>
  <c r="R36" i="63" l="1"/>
  <c r="R34" i="63"/>
  <c r="G19" i="63"/>
  <c r="G20" i="63"/>
  <c r="G59" i="63"/>
  <c r="F61" i="63"/>
  <c r="G61" i="63" s="1"/>
  <c r="J48" i="63"/>
  <c r="G60" i="63"/>
  <c r="L24" i="61"/>
  <c r="L23" i="61"/>
  <c r="L22" i="61"/>
  <c r="L26" i="61"/>
  <c r="L25" i="61"/>
  <c r="L20" i="61"/>
  <c r="L21" i="61"/>
  <c r="L27" i="61"/>
  <c r="DZ149" i="59"/>
  <c r="DZ155" i="59" s="1"/>
  <c r="O26" i="63"/>
  <c r="O28" i="63"/>
  <c r="O46" i="63"/>
  <c r="N41" i="63"/>
  <c r="O30" i="60"/>
  <c r="U34" i="63" l="1"/>
  <c r="R35" i="63"/>
  <c r="S34" i="63" s="1"/>
  <c r="G48" i="63"/>
  <c r="N47" i="63"/>
  <c r="K48" i="63"/>
  <c r="K46" i="63"/>
  <c r="K47" i="63"/>
  <c r="O47" i="63"/>
  <c r="N48" i="63"/>
  <c r="O48" i="63" s="1"/>
  <c r="S10" i="63"/>
  <c r="S50" i="63"/>
  <c r="O20" i="63"/>
  <c r="O41" i="63"/>
  <c r="O40" i="63"/>
  <c r="O60" i="63"/>
  <c r="N61" i="63"/>
  <c r="O61" i="63" s="1"/>
  <c r="O39" i="63"/>
  <c r="O59" i="63"/>
  <c r="O19" i="63"/>
  <c r="BN5" i="58"/>
  <c r="AW5" i="58"/>
  <c r="AX5" i="58"/>
  <c r="AN5" i="58"/>
  <c r="BD5" i="58"/>
  <c r="AM5" i="58"/>
  <c r="BA5" i="58"/>
  <c r="AV5" i="58"/>
  <c r="BG5" i="58"/>
  <c r="BL5" i="58"/>
  <c r="BJ5" i="58"/>
  <c r="AS5" i="58"/>
  <c r="AZ5" i="58"/>
  <c r="AO5" i="58"/>
  <c r="BE5" i="58"/>
  <c r="BC5" i="58"/>
  <c r="AP5" i="58"/>
  <c r="AK5" i="58"/>
  <c r="BM5" i="58"/>
  <c r="AY5" i="58"/>
  <c r="AT5" i="58"/>
  <c r="AQ5" i="58"/>
  <c r="BK5" i="58"/>
  <c r="BF5" i="58"/>
  <c r="AL5" i="58"/>
  <c r="CV3" i="57"/>
  <c r="AJ33" i="57"/>
  <c r="CY3" i="57"/>
  <c r="AY58" i="59"/>
  <c r="AY119" i="59"/>
  <c r="AY128" i="59" s="1"/>
  <c r="AT119" i="59"/>
  <c r="AT128" i="59" s="1"/>
  <c r="AT58" i="59"/>
  <c r="BN58" i="59"/>
  <c r="BN119" i="59"/>
  <c r="BN128" i="59" s="1"/>
  <c r="I34" i="60"/>
  <c r="AW58" i="59"/>
  <c r="AW119" i="59"/>
  <c r="AW128" i="59" s="1"/>
  <c r="AX58" i="59"/>
  <c r="AX119" i="59"/>
  <c r="AX128" i="59" s="1"/>
  <c r="AN119" i="59"/>
  <c r="AN128" i="59" s="1"/>
  <c r="AN58" i="59"/>
  <c r="BD58" i="59"/>
  <c r="BD119" i="59"/>
  <c r="BD128" i="59" s="1"/>
  <c r="AM119" i="59"/>
  <c r="AM128" i="59" s="1"/>
  <c r="AM58" i="59"/>
  <c r="AL58" i="59"/>
  <c r="AL119" i="59"/>
  <c r="AL128" i="59" s="1"/>
  <c r="BA58" i="59"/>
  <c r="BA119" i="59"/>
  <c r="BA128" i="59" s="1"/>
  <c r="AV58" i="59"/>
  <c r="AV119" i="59"/>
  <c r="AV128" i="59" s="1"/>
  <c r="BG58" i="59"/>
  <c r="BG119" i="59"/>
  <c r="BG128" i="59" s="1"/>
  <c r="BL58" i="59"/>
  <c r="BL119" i="59"/>
  <c r="BL128" i="59" s="1"/>
  <c r="BJ58" i="59"/>
  <c r="BJ119" i="59"/>
  <c r="BJ128" i="59" s="1"/>
  <c r="AS58" i="59"/>
  <c r="AS119" i="59"/>
  <c r="AS128" i="59" s="1"/>
  <c r="AQ58" i="59"/>
  <c r="AQ119" i="59"/>
  <c r="AQ128" i="59" s="1"/>
  <c r="BF58" i="59"/>
  <c r="BF119" i="59"/>
  <c r="BF128" i="59" s="1"/>
  <c r="AZ58" i="59"/>
  <c r="AZ119" i="59"/>
  <c r="AZ128" i="59" s="1"/>
  <c r="AO58" i="59"/>
  <c r="AO119" i="59"/>
  <c r="AO128" i="59" s="1"/>
  <c r="BE58" i="59"/>
  <c r="BE119" i="59"/>
  <c r="BE128" i="59" s="1"/>
  <c r="BC58" i="59"/>
  <c r="BC119" i="59"/>
  <c r="BC128" i="59" s="1"/>
  <c r="AP119" i="59"/>
  <c r="AP128" i="59" s="1"/>
  <c r="AP58" i="59"/>
  <c r="AK58" i="59"/>
  <c r="AK119" i="59"/>
  <c r="AK128" i="59" s="1"/>
  <c r="BM119" i="59"/>
  <c r="BM128" i="59" s="1"/>
  <c r="BM58" i="59"/>
  <c r="BK58" i="59"/>
  <c r="BK119" i="59"/>
  <c r="BK128" i="59" s="1"/>
  <c r="DF3" i="57"/>
  <c r="DN3" i="57"/>
  <c r="DB3" i="57"/>
  <c r="DM3" i="57"/>
  <c r="DW3" i="57"/>
  <c r="DG3" i="57"/>
  <c r="DU3" i="57"/>
  <c r="DK3" i="57"/>
  <c r="DC3" i="57"/>
  <c r="DH3" i="57"/>
  <c r="DR3" i="57"/>
  <c r="DT3" i="57"/>
  <c r="DI3" i="57"/>
  <c r="DP3" i="57"/>
  <c r="DD3" i="57"/>
  <c r="DO3" i="57"/>
  <c r="DA3" i="57"/>
  <c r="DZ3" i="57"/>
  <c r="DX3" i="57"/>
  <c r="S6" i="63" l="1"/>
  <c r="S32" i="63"/>
  <c r="S31" i="63"/>
  <c r="S53" i="63"/>
  <c r="S7" i="63"/>
  <c r="S5" i="63"/>
  <c r="S11" i="63"/>
  <c r="S9" i="63"/>
  <c r="S12" i="63"/>
  <c r="S26" i="63"/>
  <c r="S46" i="63"/>
  <c r="S28" i="63"/>
  <c r="S30" i="63"/>
  <c r="S29" i="63"/>
  <c r="S33" i="63"/>
  <c r="S49" i="63"/>
  <c r="S27" i="63"/>
  <c r="S47" i="63"/>
  <c r="P23" i="60"/>
  <c r="P30" i="60" s="1"/>
  <c r="AS10" i="58"/>
  <c r="AS32" i="59" s="1"/>
  <c r="BJ10" i="58"/>
  <c r="BJ32" i="59" s="1"/>
  <c r="AL10" i="58"/>
  <c r="AL32" i="59" s="1"/>
  <c r="BK10" i="58"/>
  <c r="BK32" i="59" s="1"/>
  <c r="AX10" i="58"/>
  <c r="AX32" i="59" s="1"/>
  <c r="BC10" i="58"/>
  <c r="BC32" i="59" s="1"/>
  <c r="BD10" i="58"/>
  <c r="BD32" i="59" s="1"/>
  <c r="AP10" i="58"/>
  <c r="AP32" i="59" s="1"/>
  <c r="AH5" i="58"/>
  <c r="AQ10" i="58"/>
  <c r="AQ32" i="59" s="1"/>
  <c r="BB5" i="58"/>
  <c r="AV10" i="58"/>
  <c r="AV32" i="59" s="1"/>
  <c r="BH5" i="58"/>
  <c r="AR5" i="58"/>
  <c r="BF10" i="58"/>
  <c r="BF32" i="59" s="1"/>
  <c r="BI5" i="58"/>
  <c r="BM10" i="58"/>
  <c r="BM32" i="59" s="1"/>
  <c r="BA10" i="58"/>
  <c r="BA32" i="59" s="1"/>
  <c r="BE10" i="58"/>
  <c r="BE32" i="59" s="1"/>
  <c r="AN10" i="58"/>
  <c r="AN32" i="59" s="1"/>
  <c r="AK10" i="58"/>
  <c r="AK32" i="59" s="1"/>
  <c r="BG10" i="58"/>
  <c r="BG32" i="59" s="1"/>
  <c r="AM10" i="58"/>
  <c r="AM32" i="59" s="1"/>
  <c r="AU5" i="58"/>
  <c r="CW3" i="57"/>
  <c r="AX33" i="57"/>
  <c r="DJ3" i="57"/>
  <c r="AS33" i="57"/>
  <c r="DE3" i="57"/>
  <c r="BM33" i="57"/>
  <c r="DY3" i="57"/>
  <c r="BE33" i="57"/>
  <c r="DQ3" i="57"/>
  <c r="BG33" i="57"/>
  <c r="DS3" i="57"/>
  <c r="AJ41" i="57"/>
  <c r="CV33" i="57"/>
  <c r="CV41" i="57" s="1"/>
  <c r="AV33" i="57"/>
  <c r="BA33" i="57"/>
  <c r="BD33" i="57"/>
  <c r="AH33" i="57"/>
  <c r="AH41" i="57" s="1"/>
  <c r="CW9" i="58"/>
  <c r="CW10" i="58" s="1"/>
  <c r="AH10" i="58"/>
  <c r="AQ33" i="57"/>
  <c r="AK33" i="57"/>
  <c r="AP33" i="57"/>
  <c r="BC33" i="57"/>
  <c r="BH119" i="59"/>
  <c r="BH128" i="59" s="1"/>
  <c r="BH58" i="59"/>
  <c r="AW33" i="57"/>
  <c r="AW10" i="58"/>
  <c r="AW32" i="59" s="1"/>
  <c r="BF33" i="57"/>
  <c r="AR58" i="59"/>
  <c r="AR119" i="59"/>
  <c r="AR128" i="59" s="1"/>
  <c r="BI58" i="59"/>
  <c r="BI119" i="59"/>
  <c r="BI128" i="59" s="1"/>
  <c r="BK33" i="57"/>
  <c r="BB58" i="59"/>
  <c r="BB119" i="59"/>
  <c r="BB128" i="59" s="1"/>
  <c r="AU58" i="59"/>
  <c r="AU119" i="59"/>
  <c r="AU128" i="59" s="1"/>
  <c r="BL33" i="57"/>
  <c r="BL10" i="58"/>
  <c r="BL32" i="59" s="1"/>
  <c r="AM33" i="57"/>
  <c r="DL3" i="57"/>
  <c r="K23" i="60" l="1"/>
  <c r="BN10" i="58"/>
  <c r="BN32" i="59" s="1"/>
  <c r="BN33" i="59" s="1"/>
  <c r="BB10" i="58"/>
  <c r="BB32" i="59" s="1"/>
  <c r="BH10" i="58"/>
  <c r="BH32" i="59" s="1"/>
  <c r="AR10" i="58"/>
  <c r="AR32" i="59" s="1"/>
  <c r="AZ10" i="58"/>
  <c r="AZ32" i="59" s="1"/>
  <c r="AO33" i="57"/>
  <c r="AO41" i="57" s="1"/>
  <c r="AU10" i="58"/>
  <c r="AU32" i="59" s="1"/>
  <c r="BI10" i="58"/>
  <c r="BI32" i="59" s="1"/>
  <c r="AY10" i="58"/>
  <c r="AY32" i="59" s="1"/>
  <c r="AT10" i="58"/>
  <c r="AT32" i="59" s="1"/>
  <c r="CX3" i="57"/>
  <c r="AM41" i="57"/>
  <c r="CY33" i="57"/>
  <c r="CY41" i="57" s="1"/>
  <c r="BC41" i="57"/>
  <c r="DO33" i="57"/>
  <c r="DO41" i="57" s="1"/>
  <c r="AP41" i="57"/>
  <c r="DB33" i="57"/>
  <c r="DB41" i="57" s="1"/>
  <c r="BD41" i="57"/>
  <c r="DP33" i="57"/>
  <c r="DP41" i="57" s="1"/>
  <c r="BE41" i="57"/>
  <c r="DQ33" i="57"/>
  <c r="DQ41" i="57" s="1"/>
  <c r="BL41" i="57"/>
  <c r="DX33" i="57"/>
  <c r="DX41" i="57" s="1"/>
  <c r="BK41" i="57"/>
  <c r="DW33" i="57"/>
  <c r="DW41" i="57" s="1"/>
  <c r="AK41" i="57"/>
  <c r="CW33" i="57"/>
  <c r="CW41" i="57" s="1"/>
  <c r="AV41" i="57"/>
  <c r="DH33" i="57"/>
  <c r="DH41" i="57" s="1"/>
  <c r="BM41" i="57"/>
  <c r="DY33" i="57"/>
  <c r="DY41" i="57" s="1"/>
  <c r="AQ41" i="57"/>
  <c r="DC33" i="57"/>
  <c r="DC41" i="57" s="1"/>
  <c r="BA41" i="57"/>
  <c r="DM33" i="57"/>
  <c r="DM41" i="57" s="1"/>
  <c r="BF41" i="57"/>
  <c r="DR33" i="57"/>
  <c r="DR41" i="57" s="1"/>
  <c r="AS41" i="57"/>
  <c r="DE33" i="57"/>
  <c r="DE41" i="57" s="1"/>
  <c r="BJ33" i="57"/>
  <c r="DV3" i="57"/>
  <c r="AN33" i="57"/>
  <c r="CZ3" i="57"/>
  <c r="AW41" i="57"/>
  <c r="DI33" i="57"/>
  <c r="DI41" i="57" s="1"/>
  <c r="BG41" i="57"/>
  <c r="DS33" i="57"/>
  <c r="DS41" i="57" s="1"/>
  <c r="AX41" i="57"/>
  <c r="DJ33" i="57"/>
  <c r="DJ41" i="57" s="1"/>
  <c r="AZ33" i="57"/>
  <c r="AT33" i="57"/>
  <c r="AO10" i="58"/>
  <c r="AO32" i="59" s="1"/>
  <c r="CY20" i="58"/>
  <c r="BN33" i="57"/>
  <c r="AL33" i="57"/>
  <c r="AH32" i="59"/>
  <c r="AH102" i="59" s="1"/>
  <c r="CW4" i="58"/>
  <c r="CW5" i="58" s="1"/>
  <c r="AY33" i="57"/>
  <c r="BH33" i="57"/>
  <c r="AR33" i="57"/>
  <c r="BB33" i="57"/>
  <c r="AU33" i="57"/>
  <c r="BI33" i="57"/>
  <c r="K30" i="60" l="1"/>
  <c r="DA33" i="57"/>
  <c r="DA41" i="57" s="1"/>
  <c r="BH41" i="57"/>
  <c r="DT33" i="57"/>
  <c r="DT41" i="57" s="1"/>
  <c r="BJ41" i="57"/>
  <c r="DV33" i="57"/>
  <c r="DV41" i="57" s="1"/>
  <c r="AT41" i="57"/>
  <c r="DF33" i="57"/>
  <c r="DF41" i="57" s="1"/>
  <c r="AZ41" i="57"/>
  <c r="DL33" i="57"/>
  <c r="DL41" i="57" s="1"/>
  <c r="BI41" i="57"/>
  <c r="DU33" i="57"/>
  <c r="DU41" i="57" s="1"/>
  <c r="AR41" i="57"/>
  <c r="DD33" i="57"/>
  <c r="DD41" i="57" s="1"/>
  <c r="AY41" i="57"/>
  <c r="DK33" i="57"/>
  <c r="DK41" i="57" s="1"/>
  <c r="AU41" i="57"/>
  <c r="DG33" i="57"/>
  <c r="DG41" i="57" s="1"/>
  <c r="AL41" i="57"/>
  <c r="CX33" i="57"/>
  <c r="CX41" i="57" s="1"/>
  <c r="BN41" i="57"/>
  <c r="DZ33" i="57"/>
  <c r="DZ41" i="57" s="1"/>
  <c r="BB41" i="57"/>
  <c r="DN33" i="57"/>
  <c r="DN41" i="57" s="1"/>
  <c r="AN41" i="57"/>
  <c r="CZ33" i="57"/>
  <c r="CZ41" i="57" s="1"/>
  <c r="CV7" i="58"/>
  <c r="CV12" i="58"/>
  <c r="G40" i="63" l="1"/>
  <c r="G39" i="63"/>
  <c r="G41" i="63"/>
  <c r="J41" i="63" l="1"/>
  <c r="K20" i="63" l="1"/>
  <c r="K19" i="63"/>
  <c r="K40" i="63"/>
  <c r="J61" i="63"/>
  <c r="K61" i="63" s="1"/>
  <c r="K60" i="63"/>
  <c r="K59" i="63"/>
  <c r="K41" i="63"/>
  <c r="K39" i="63"/>
  <c r="S8" i="63" l="1"/>
  <c r="R14" i="63" l="1"/>
  <c r="S13" i="63"/>
  <c r="B50" i="63"/>
  <c r="R48" i="63" s="1"/>
  <c r="B47" i="63"/>
  <c r="B49" i="63"/>
  <c r="B48" i="63"/>
  <c r="B46" i="63"/>
  <c r="R52" i="63" l="1"/>
  <c r="S52" i="63" s="1"/>
  <c r="R51" i="63"/>
  <c r="S51" i="63" s="1"/>
  <c r="S48" i="63"/>
  <c r="R54" i="63" l="1"/>
  <c r="R55" i="63" s="1"/>
  <c r="S54" i="63" l="1"/>
  <c r="U54" i="63"/>
  <c r="EC13" i="59" l="1"/>
  <c r="ED10" i="59" l="1"/>
  <c r="ED11" i="59"/>
  <c r="ED6" i="59"/>
  <c r="ED8" i="59"/>
  <c r="ED12" i="59"/>
  <c r="ED9" i="59"/>
  <c r="ED7"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 Guan</author>
    <author>tc={90F9D9CC-6CAA-5E49-B570-75F3A668D035}</author>
    <author>tc={AF783732-1E37-1F4B-BD74-41C18DB8519B}</author>
  </authors>
  <commentList>
    <comment ref="F43" authorId="0" shapeId="0" xr:uid="{B83B2B4F-1052-7D4D-B4DB-670E69CCAE95}">
      <text>
        <r>
          <rPr>
            <b/>
            <sz val="9"/>
            <color indexed="81"/>
            <rFont val="Tahoma"/>
            <family val="2"/>
          </rPr>
          <t>Min Guan:</t>
        </r>
        <r>
          <rPr>
            <sz val="9"/>
            <color indexed="81"/>
            <rFont val="Tahoma"/>
            <family val="2"/>
          </rPr>
          <t xml:space="preserve">
IFA had 183m in 2019, Argus quotes ~180m so this is ok</t>
        </r>
      </text>
    </comment>
    <comment ref="D97" authorId="0" shapeId="0" xr:uid="{FA808343-9439-4F07-85E2-E73F8E28B7EA}">
      <text>
        <r>
          <rPr>
            <b/>
            <sz val="9"/>
            <color rgb="FF000000"/>
            <rFont val="Tahoma"/>
            <family val="2"/>
          </rPr>
          <t>Min Guan:</t>
        </r>
        <r>
          <rPr>
            <sz val="9"/>
            <color rgb="FF000000"/>
            <rFont val="Tahoma"/>
            <family val="2"/>
          </rPr>
          <t xml:space="preserve">
</t>
        </r>
        <r>
          <rPr>
            <sz val="9"/>
            <color rgb="FF000000"/>
            <rFont val="Tahoma"/>
            <family val="2"/>
          </rPr>
          <t>Global Average</t>
        </r>
      </text>
    </comment>
    <comment ref="AH97" authorId="1" shapeId="0" xr:uid="{90F9D9CC-6CAA-5E49-B570-75F3A668D035}">
      <text>
        <t>[Threaded comment]
Your version of Excel allows you to read this threaded comment; however, any edits to it will get removed if the file is opened in a newer version of Excel. Learn more: https://go.microsoft.com/fwlink/?linkid=870924
Comment:
    Goes to region with lowest portion of Urea usage</t>
      </text>
    </comment>
    <comment ref="D102" authorId="2" shapeId="0" xr:uid="{AF783732-1E37-1F4B-BD74-41C18DB8519B}">
      <text>
        <t xml:space="preserve">[Threaded comment]
Your version of Excel allows you to read this threaded comment; however, any edits to it will get removed if the file is opened in a newer version of Excel. Learn more: https://go.microsoft.com/fwlink/?linkid=870924
Comment:
    Global average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tc={6ABB56AA-F2C7-4804-8D1E-BDF5F359084E}</author>
  </authors>
  <commentList>
    <comment ref="A8" authorId="0" shapeId="0" xr:uid="{6ABB56AA-F2C7-4804-8D1E-BDF5F359084E}">
      <text>
        <t>[Threaded comment]
Your version of Excel allows you to read this threaded comment; however, any edits to it will get removed if the file is opened in a newer version of Excel. Learn more: https://go.microsoft.com/fwlink/?linkid=870924
Comment:
    What is NBM?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<sst xmlns="http://schemas.openxmlformats.org/spreadsheetml/2006/main" count="13315" uniqueCount="2087">
  <si>
    <t>% polymers</t>
  </si>
  <si>
    <t>Demand 2020</t>
  </si>
  <si>
    <t>Demand 2050 BAU</t>
  </si>
  <si>
    <t>R&amp;S</t>
  </si>
  <si>
    <t>Ethylene</t>
  </si>
  <si>
    <t>Propylene</t>
  </si>
  <si>
    <t>Methanol</t>
  </si>
  <si>
    <t>Benzene</t>
  </si>
  <si>
    <t>Toluene</t>
  </si>
  <si>
    <t>Xylene</t>
  </si>
  <si>
    <t>Butadiene</t>
  </si>
  <si>
    <t>Increase demand</t>
  </si>
  <si>
    <t>Post R&amp;S demand</t>
  </si>
  <si>
    <t>Polymer associated demand</t>
  </si>
  <si>
    <t>Recycled</t>
  </si>
  <si>
    <t>Sankey</t>
  </si>
  <si>
    <t>Production</t>
  </si>
  <si>
    <t>Use Phase</t>
  </si>
  <si>
    <t>End-of-use</t>
  </si>
  <si>
    <t>Fossil</t>
  </si>
  <si>
    <t>Use</t>
  </si>
  <si>
    <t>Biomass</t>
  </si>
  <si>
    <t>Resuse</t>
  </si>
  <si>
    <t>Waste feedstock</t>
  </si>
  <si>
    <t>Point Source</t>
  </si>
  <si>
    <t>Elimination</t>
  </si>
  <si>
    <t>Incineration without CCS</t>
  </si>
  <si>
    <t>DAC</t>
  </si>
  <si>
    <t>Substitution</t>
  </si>
  <si>
    <t>openburning</t>
  </si>
  <si>
    <t>Waste</t>
  </si>
  <si>
    <t>Incineration with CCS</t>
  </si>
  <si>
    <t>Total utility</t>
  </si>
  <si>
    <t>Landfill</t>
  </si>
  <si>
    <t>Leakage</t>
  </si>
  <si>
    <t>Total production:</t>
  </si>
  <si>
    <t>Accumulate in the economy</t>
  </si>
  <si>
    <t xml:space="preserve">Elimination </t>
  </si>
  <si>
    <t>Exhibit 3.1 – without circularity, demand for all base chemicals will increase, particularly methanol and ammonia as they enable a net zero economy</t>
  </si>
  <si>
    <t>Label</t>
  </si>
  <si>
    <t>2050 BAU</t>
  </si>
  <si>
    <t>2050 decarbonized BAU</t>
  </si>
  <si>
    <t xml:space="preserve">Ammonia </t>
  </si>
  <si>
    <t>Text</t>
  </si>
  <si>
    <t>Total chem 2020</t>
  </si>
  <si>
    <t>Total chem 2050</t>
  </si>
  <si>
    <t>CAGR</t>
  </si>
  <si>
    <t>Exhibit 3.2c – without circularity, demand for all base chemicals will increase, particularly methanol and ammonia as they enable a net zero economy</t>
  </si>
  <si>
    <t>2050 NZ + Low circularity</t>
  </si>
  <si>
    <t>2050 NZ + High circularity</t>
  </si>
  <si>
    <t>Reuse</t>
  </si>
  <si>
    <t>Recycling</t>
  </si>
  <si>
    <t>Series</t>
  </si>
  <si>
    <t>Check</t>
  </si>
  <si>
    <t>Numbers in the text</t>
  </si>
  <si>
    <t>Plastic and fetilizer per capita</t>
  </si>
  <si>
    <t>Mt chemicals</t>
  </si>
  <si>
    <t>HC</t>
  </si>
  <si>
    <t>LC</t>
  </si>
  <si>
    <t>Circular levers for all chemicals</t>
  </si>
  <si>
    <t>Circular levers for carbon-based chemicals</t>
  </si>
  <si>
    <t>Excld. Recycling</t>
  </si>
  <si>
    <t>Ratio mechanical vs total production</t>
  </si>
  <si>
    <t>Mechanical Recycling rates</t>
  </si>
  <si>
    <t>HIGH CIRCULARITY</t>
  </si>
  <si>
    <t>LOW CIRCULARITY</t>
  </si>
  <si>
    <t>BUSINESS-AS-USUAL</t>
  </si>
  <si>
    <t>Total</t>
  </si>
  <si>
    <t>Production BAU</t>
  </si>
  <si>
    <t>mTons</t>
  </si>
  <si>
    <t>Fertilizer reduction (food waste, new tech, diet shift)</t>
  </si>
  <si>
    <t>Fertilizer subsitution (Switch to organic farming)</t>
  </si>
  <si>
    <t>Fuel additive elimination</t>
  </si>
  <si>
    <t>Packaging reduction</t>
  </si>
  <si>
    <t>Packaging reuse</t>
  </si>
  <si>
    <t>Packaging substitution Paper</t>
  </si>
  <si>
    <t>Packaging Substitution Compostables</t>
  </si>
  <si>
    <t>MaaS</t>
  </si>
  <si>
    <t>Vehicle life extension</t>
  </si>
  <si>
    <t>Building reduction</t>
  </si>
  <si>
    <t>Building substitution</t>
  </si>
  <si>
    <t>Apparel - waste reduction</t>
  </si>
  <si>
    <t>Apparel - NBM</t>
  </si>
  <si>
    <t>Apparel - substitution</t>
  </si>
  <si>
    <t>Others Reduction</t>
  </si>
  <si>
    <t>Others Substitution</t>
  </si>
  <si>
    <t>Increase Demand</t>
  </si>
  <si>
    <t>Mecahnical Recycling</t>
  </si>
  <si>
    <t>Chemical Recycling</t>
  </si>
  <si>
    <t>Waste management (collection + MRF)</t>
  </si>
  <si>
    <t>Incineration</t>
  </si>
  <si>
    <t>Production Circular</t>
  </si>
  <si>
    <t>ASSUMPTIONS</t>
  </si>
  <si>
    <t>Job creation</t>
  </si>
  <si>
    <t>Job factor</t>
  </si>
  <si>
    <t>job/1000 tons of plastic/year</t>
  </si>
  <si>
    <t>Source</t>
  </si>
  <si>
    <t>job</t>
  </si>
  <si>
    <t>None</t>
  </si>
  <si>
    <t>BPW</t>
  </si>
  <si>
    <t>Job/1000 ton</t>
  </si>
  <si>
    <t>Chemical production (include upstream</t>
  </si>
  <si>
    <t>Job/EJ</t>
  </si>
  <si>
    <t>H2</t>
  </si>
  <si>
    <t>Power</t>
  </si>
  <si>
    <t>BPWE</t>
  </si>
  <si>
    <t>CO2</t>
  </si>
  <si>
    <t>Additonal job creation from circular levers</t>
  </si>
  <si>
    <t>Emission factor</t>
  </si>
  <si>
    <t>mT CO2 / mT of plastic</t>
  </si>
  <si>
    <t>mT CO2eq</t>
  </si>
  <si>
    <t>Additonal CO2 emissions from circular levers</t>
  </si>
  <si>
    <t>Annualized CAPEX</t>
  </si>
  <si>
    <t>$/T</t>
  </si>
  <si>
    <t>m$</t>
  </si>
  <si>
    <t>Annualized CAPEX from circular levers and end-of-life</t>
  </si>
  <si>
    <t>OPEX</t>
  </si>
  <si>
    <t>OPEX from circular levers and end-of-life</t>
  </si>
  <si>
    <t>Total - inlcuding derivatives total weight</t>
  </si>
  <si>
    <t>Waste availability (pyrolysis only)</t>
  </si>
  <si>
    <t>Total - per ton of basic chemical</t>
  </si>
  <si>
    <t>Ammonia</t>
  </si>
  <si>
    <t>Ammonia Production BAU</t>
  </si>
  <si>
    <t>m Tons of NH3</t>
  </si>
  <si>
    <t>Ammonia Production Circular</t>
  </si>
  <si>
    <t>Ammonia Production BAU (minus deritavies)</t>
  </si>
  <si>
    <t>Ammonia Production Circular (minus derivatives)</t>
  </si>
  <si>
    <t>Urea Production BAU</t>
  </si>
  <si>
    <t>m Tons of UREA</t>
  </si>
  <si>
    <t>2050 Most Economic</t>
  </si>
  <si>
    <t>Urea Production Circular</t>
  </si>
  <si>
    <t>AN Production BAU</t>
  </si>
  <si>
    <t>m Tons of AN</t>
  </si>
  <si>
    <t>AN Production Circular</t>
  </si>
  <si>
    <t>Ethylene Production BAU</t>
  </si>
  <si>
    <t>Ethylene Production Circular</t>
  </si>
  <si>
    <t>Propylene Production BAU</t>
  </si>
  <si>
    <t>Propylene Production Circular</t>
  </si>
  <si>
    <t>Methanol+ Production BAU</t>
  </si>
  <si>
    <t>Methanol Production Circular</t>
  </si>
  <si>
    <t>Benzene - post toluene conversion</t>
  </si>
  <si>
    <t>Benzene Production BAU</t>
  </si>
  <si>
    <t>Benzene Production Circular</t>
  </si>
  <si>
    <t>Toluene - post toluene conversion</t>
  </si>
  <si>
    <t>Toluene Production BAU</t>
  </si>
  <si>
    <t>Toluene Production Circular</t>
  </si>
  <si>
    <t>Xylene - post toluene conversion</t>
  </si>
  <si>
    <t>Xylenes Production BAU</t>
  </si>
  <si>
    <t>Xylenes Production Circular</t>
  </si>
  <si>
    <t>Butadiene Production BAU</t>
  </si>
  <si>
    <t>Butadiene Production Circular</t>
  </si>
  <si>
    <t>BTX</t>
  </si>
  <si>
    <t>Baseline BTX Production (total) - pre toluene conversion</t>
  </si>
  <si>
    <t>m Tons</t>
  </si>
  <si>
    <t>Demand 2020 (excl. MTO)</t>
  </si>
  <si>
    <t>Demand growth by 2050 (excl. MTO)</t>
  </si>
  <si>
    <t>Demand Business As Usual 2050 (excl. MTO)</t>
  </si>
  <si>
    <t>Additional MTO growth by 2050</t>
  </si>
  <si>
    <t>2050 Demand</t>
  </si>
  <si>
    <t>R&amp;S Transportation</t>
  </si>
  <si>
    <t>R&amp;S packaging and HH Goods</t>
  </si>
  <si>
    <t>R&amp;S buildings and construction</t>
  </si>
  <si>
    <t>R&amp;S Others</t>
  </si>
  <si>
    <t>F: Renewable Energy Systems</t>
  </si>
  <si>
    <t>2050 Net Zero + Circular</t>
  </si>
  <si>
    <t>pre conversion</t>
  </si>
  <si>
    <t>Xylenes</t>
  </si>
  <si>
    <t>e</t>
  </si>
  <si>
    <t>Reduce</t>
  </si>
  <si>
    <t>R&amp;S Automotive fuel</t>
  </si>
  <si>
    <t>Sector demand BAU (fuel)</t>
  </si>
  <si>
    <t>Waterfall</t>
  </si>
  <si>
    <t>Substitute</t>
  </si>
  <si>
    <t>R&amp;S automotive fuel (BEV penetration)</t>
  </si>
  <si>
    <t>2050-2020 excl MTO</t>
  </si>
  <si>
    <t>Increase</t>
  </si>
  <si>
    <t>Fuel demand after R&amp;S</t>
  </si>
  <si>
    <t>BTX demand minus fuel</t>
  </si>
  <si>
    <t>Check Sum 2050 BAU</t>
  </si>
  <si>
    <t>MTO</t>
  </si>
  <si>
    <t>Demand growth by 2050</t>
  </si>
  <si>
    <t>Demand Business As Usual 2050</t>
  </si>
  <si>
    <t>Additional Demand</t>
  </si>
  <si>
    <t>Reduction</t>
  </si>
  <si>
    <t>Circular demand 2050</t>
  </si>
  <si>
    <t>R&amp;S Automotive</t>
  </si>
  <si>
    <t>Sector demand BAU (PU &amp; other polymers)</t>
  </si>
  <si>
    <t>Fuel</t>
  </si>
  <si>
    <t>Series 1</t>
  </si>
  <si>
    <t>ICE to EV switch new polymer demand</t>
  </si>
  <si>
    <t>Other polymer (excl ethylene/propylene)</t>
  </si>
  <si>
    <t>Ad. Sector demand BAU</t>
  </si>
  <si>
    <t>Other</t>
  </si>
  <si>
    <t>Mechanical Recycling</t>
  </si>
  <si>
    <t>Life extension</t>
  </si>
  <si>
    <t>Chemical recycling</t>
  </si>
  <si>
    <t>Check Sum of sub-sectors</t>
  </si>
  <si>
    <t>Sector demand Post R&amp;S</t>
  </si>
  <si>
    <t>R&amp;S Packaging &amp; consumer goods industry</t>
  </si>
  <si>
    <t>Sector demand BAU</t>
  </si>
  <si>
    <t>Reuse and NBM</t>
  </si>
  <si>
    <t>Check Sum 2020 BAU</t>
  </si>
  <si>
    <t>Paper and coatings</t>
  </si>
  <si>
    <t>Compostables</t>
  </si>
  <si>
    <t>R&amp;S Construction industry</t>
  </si>
  <si>
    <t>R&amp;S Textile industry</t>
  </si>
  <si>
    <t>Waste reduction</t>
  </si>
  <si>
    <t>New Business Models</t>
  </si>
  <si>
    <t>R&amp;S Other industry</t>
  </si>
  <si>
    <t>Sector demand BAU for other in niche polymers</t>
  </si>
  <si>
    <t>Wind increase</t>
  </si>
  <si>
    <t>Solar increase</t>
  </si>
  <si>
    <t>Solar and Wind</t>
  </si>
  <si>
    <t>Add. Energy Sector demand</t>
  </si>
  <si>
    <t>Additional demand</t>
  </si>
  <si>
    <t>Post R&amp;S BTX Production</t>
  </si>
  <si>
    <t>Recycling Packaging and Consumer goods</t>
  </si>
  <si>
    <t>Closed Loop Recycling</t>
  </si>
  <si>
    <t>Open Loop Recycling from Automotive</t>
  </si>
  <si>
    <t>Sector Demand Post R&amp;S and Recycling</t>
  </si>
  <si>
    <t>Recycling Automotive</t>
  </si>
  <si>
    <t>Recycling Apparel</t>
  </si>
  <si>
    <t>Open Loop Recycling from Packaging</t>
  </si>
  <si>
    <t>Recycling  Construction</t>
  </si>
  <si>
    <t>Open Loop Recycling from Apparel</t>
  </si>
  <si>
    <t>Recycling Other</t>
  </si>
  <si>
    <t>Open Loop Recycling from Textile</t>
  </si>
  <si>
    <t>Open Loop</t>
  </si>
  <si>
    <t>Closed Loop</t>
  </si>
  <si>
    <t>Post R&amp;S and Recycling BTX Demand for PU &amp; other polymers &amp; other category</t>
  </si>
  <si>
    <t>Depolymerization</t>
  </si>
  <si>
    <t>Dissolution</t>
  </si>
  <si>
    <t>Post R&amp;S and Recycling and chem. Recycling BTX Demand</t>
  </si>
  <si>
    <t>Waste available for pyrolysis</t>
  </si>
  <si>
    <t>Waste available for gasification (incl. pyrolysis)</t>
  </si>
  <si>
    <t>post conversion</t>
  </si>
  <si>
    <t>Butadienne</t>
  </si>
  <si>
    <t>Baseline Butadiene Production (total)</t>
  </si>
  <si>
    <t>C4 demand minus fuel</t>
  </si>
  <si>
    <t>Post R&amp;S Butadiene Production</t>
  </si>
  <si>
    <t>Post R&amp;S and Recycling Butadiene Demand for PU &amp; other polymers &amp; other category</t>
  </si>
  <si>
    <t>Post R&amp;S and Recycling and chem. Recycling Butadiene Demand</t>
  </si>
  <si>
    <t>Baseline Methanol Production (total)</t>
  </si>
  <si>
    <t>MTO demand</t>
  </si>
  <si>
    <t>Baseline Methanol demand for BAU minus MTO - input for supply model</t>
  </si>
  <si>
    <t>Assuming the supply model will be calculating the MTO demand</t>
  </si>
  <si>
    <t>Acetic Acid</t>
  </si>
  <si>
    <t>Methanol (fuel)</t>
  </si>
  <si>
    <t>Others</t>
  </si>
  <si>
    <t>Methanol demand minus MTO minus fuel</t>
  </si>
  <si>
    <t>R&amp;S Automotive PU &amp; other polymers</t>
  </si>
  <si>
    <t>Post R&amp;S Methanol Production</t>
  </si>
  <si>
    <t>Post R&amp;S and Recycling Methanol Demand for PU &amp; other polymers &amp; other category</t>
  </si>
  <si>
    <t>Post R&amp;S and Recycling and chem. Recycling Methanol Demand</t>
  </si>
  <si>
    <t>Post R&amp;S and Recycling and chem. Recycling Methanol Demand (plus MTO in 2020, excl after)</t>
  </si>
  <si>
    <t>Ethylene - High circularity</t>
  </si>
  <si>
    <t>Baseline Ethylene Demand</t>
  </si>
  <si>
    <t>Tiers 1</t>
  </si>
  <si>
    <t>PE</t>
  </si>
  <si>
    <t>Deivatives</t>
  </si>
  <si>
    <t>Ethylene Oxide</t>
  </si>
  <si>
    <t>Polyethylene</t>
  </si>
  <si>
    <t>Ethyelene Dichloride</t>
  </si>
  <si>
    <t>Tiers 2</t>
  </si>
  <si>
    <t>Vinyl Chloride</t>
  </si>
  <si>
    <t>Polypropylene</t>
  </si>
  <si>
    <t>Etylene Glycol</t>
  </si>
  <si>
    <t>Ethylene Benzene</t>
  </si>
  <si>
    <t>Automotive industry</t>
  </si>
  <si>
    <t>Terephtalic acid</t>
  </si>
  <si>
    <t>ICE to EV switch</t>
  </si>
  <si>
    <t>Packaging &amp; consumer goods industry</t>
  </si>
  <si>
    <t>Construction industry</t>
  </si>
  <si>
    <t>Apparel industry</t>
  </si>
  <si>
    <t>Post R&amp;S Ethylene Demand</t>
  </si>
  <si>
    <t>Post R&amp;S and Recycling Ethylene Demand</t>
  </si>
  <si>
    <t>Post R&amp;S and Recycling and chem. Recycling Ethylene Demand</t>
  </si>
  <si>
    <t>check 1</t>
  </si>
  <si>
    <t>check 2</t>
  </si>
  <si>
    <t>check 3</t>
  </si>
  <si>
    <t>check 4</t>
  </si>
  <si>
    <t>Ethylene Shares</t>
  </si>
  <si>
    <t>2050 HC - Post R&amp;S</t>
  </si>
  <si>
    <t>2051 HC - Post R&amp;S</t>
  </si>
  <si>
    <t>2052 HC - Post R&amp;S</t>
  </si>
  <si>
    <t>2053 HC - Post R&amp;S</t>
  </si>
  <si>
    <t>2054 HC - Post R&amp;S</t>
  </si>
  <si>
    <t>2055 HC - Post R&amp;S</t>
  </si>
  <si>
    <t>2056 HC - Post R&amp;S</t>
  </si>
  <si>
    <t>2057 HC - Post R&amp;S</t>
  </si>
  <si>
    <t>2058 HC - Post R&amp;S</t>
  </si>
  <si>
    <t>2059 HC - Post R&amp;S</t>
  </si>
  <si>
    <t>2050 HC - Post R&amp;S - Post recyl</t>
  </si>
  <si>
    <t>2051 HC - Post R&amp;S - Post recyl</t>
  </si>
  <si>
    <t>2052 HC - Post R&amp;S - Post recyl</t>
  </si>
  <si>
    <t>2053 HC - Post R&amp;S - Post recyl</t>
  </si>
  <si>
    <t>2054 HC - Post R&amp;S - Post recyl</t>
  </si>
  <si>
    <t>2055 HC - Post R&amp;S - Post recyl</t>
  </si>
  <si>
    <t>2056 HC - Post R&amp;S - Post recyl</t>
  </si>
  <si>
    <t>2057 HC - Post R&amp;S - Post recyl</t>
  </si>
  <si>
    <t>2058 HC - Post R&amp;S - Post recyl</t>
  </si>
  <si>
    <t>2059 HC - Post R&amp;S - Post recyl</t>
  </si>
  <si>
    <t>For overall R&amp;S waterfall plot:</t>
  </si>
  <si>
    <t>A: R&amp;S: Packaging and household goods</t>
  </si>
  <si>
    <t>B: R&amp;S: Buildings and Construction</t>
  </si>
  <si>
    <t>C: R&amp;S: Transportation</t>
  </si>
  <si>
    <t>D: R&amp;S: Apparel</t>
  </si>
  <si>
    <t>E: R&amp;S: Others</t>
  </si>
  <si>
    <t>Post R&amp;S Demand 2050</t>
  </si>
  <si>
    <t>Packaging</t>
  </si>
  <si>
    <t>Building &amp; Construction</t>
  </si>
  <si>
    <t>Transportation</t>
  </si>
  <si>
    <t>Electrical &amp; Electronics</t>
  </si>
  <si>
    <t>Household, leisure &amp; sports</t>
  </si>
  <si>
    <t>Packaging plot LOW AND HIGH</t>
  </si>
  <si>
    <t>Reuse and new business models</t>
  </si>
  <si>
    <t>Post Reduce Demand 2050 (High Scenario)</t>
  </si>
  <si>
    <t>Paper and paper coating substitution</t>
  </si>
  <si>
    <t>Compostable substitution</t>
  </si>
  <si>
    <t>Post R&amp;S Demand 2050 (High Scenario)</t>
  </si>
  <si>
    <t>Apparel</t>
  </si>
  <si>
    <t>Energy</t>
  </si>
  <si>
    <t>Buildings and Construction plot LOW AND HIGH</t>
  </si>
  <si>
    <t>Ethylene Shares - PIE CHART - same as above re-organized</t>
  </si>
  <si>
    <t>Packaging and hh goods</t>
  </si>
  <si>
    <t>Transportation plot LOW AND HIGH</t>
  </si>
  <si>
    <t>Switch to electric cars</t>
  </si>
  <si>
    <t>Mobility as a Service</t>
  </si>
  <si>
    <t>Lifetime Extension</t>
  </si>
  <si>
    <t>Textiles</t>
  </si>
  <si>
    <t>Apparel plot LOW AND HIGH</t>
  </si>
  <si>
    <t>Reduce textile waste in value chain</t>
  </si>
  <si>
    <t>Reuse and  New business Models</t>
  </si>
  <si>
    <t>Ethylene Shares - GRAPH CHART - same as above re-organized</t>
  </si>
  <si>
    <t>2050 - BAU</t>
  </si>
  <si>
    <t>OTHER plot LOW AND HIGH</t>
  </si>
  <si>
    <t>For overall recycling waterfall plot:</t>
  </si>
  <si>
    <t>Reduction and  substitution (A-F)</t>
  </si>
  <si>
    <t>G: Recycling: Packaging and household goods</t>
  </si>
  <si>
    <t>H: Recycling: Buildings and Construction</t>
  </si>
  <si>
    <t>I: Recycling: Transportation</t>
  </si>
  <si>
    <t>J: Recycling: Apparel</t>
  </si>
  <si>
    <t>K: Recycling: Other sectors</t>
  </si>
  <si>
    <t>Packaging plot</t>
  </si>
  <si>
    <t>Reduction and  substitution</t>
  </si>
  <si>
    <t>Additional closed-loop recycling</t>
  </si>
  <si>
    <t xml:space="preserve">Additional transportation to packaging and household goods open-loop recycling </t>
  </si>
  <si>
    <t>Total additional recycled ethylene content to packaging and household goods</t>
  </si>
  <si>
    <t>Construction plot</t>
  </si>
  <si>
    <t xml:space="preserve">Additional packaging and household goods to building and construction open-loop recycling </t>
  </si>
  <si>
    <t xml:space="preserve">Additional transportation to building and construction open-loop recycling </t>
  </si>
  <si>
    <t xml:space="preserve">Additional textile to building and construction open-loop recycling </t>
  </si>
  <si>
    <t>Total additional recycled ethylene content to building and construction</t>
  </si>
  <si>
    <t>Automotive plot</t>
  </si>
  <si>
    <t>Textile plot</t>
  </si>
  <si>
    <t xml:space="preserve">Additional packaging and household goods to apparel open-loop recycling </t>
  </si>
  <si>
    <t>Total additional recycled ethylene content to apparel</t>
  </si>
  <si>
    <t>Post R&amp;S wedge</t>
  </si>
  <si>
    <t>Other plot</t>
  </si>
  <si>
    <t xml:space="preserve">Additional packaging and household goods to other sectors open-loop recycling </t>
  </si>
  <si>
    <t xml:space="preserve">Additional transportation goods to other sectors open-loop recycling </t>
  </si>
  <si>
    <t xml:space="preserve">Additional apparel to other sectors open-loop recycling </t>
  </si>
  <si>
    <t>Total additional recycled ethylene content to other sectors</t>
  </si>
  <si>
    <t>Overall plot</t>
  </si>
  <si>
    <t>TOTAL</t>
  </si>
  <si>
    <t>Post R&amp;S and recycling wedge</t>
  </si>
  <si>
    <t>check</t>
  </si>
  <si>
    <t>--&gt; must be 0</t>
  </si>
  <si>
    <t>Combined  Ethylene and propylene</t>
  </si>
  <si>
    <t>Construction</t>
  </si>
  <si>
    <t>Automotive</t>
  </si>
  <si>
    <t>2050 - HC</t>
  </si>
  <si>
    <t>Ethyelene</t>
  </si>
  <si>
    <t>Waste gen.</t>
  </si>
  <si>
    <t>Waste collected</t>
  </si>
  <si>
    <t>Waste sorted</t>
  </si>
  <si>
    <t>Recycled input</t>
  </si>
  <si>
    <t>Recycled output</t>
  </si>
  <si>
    <t>Recycling rates</t>
  </si>
  <si>
    <t>Recycled content</t>
  </si>
  <si>
    <t>Ethylene - Low circularity</t>
  </si>
  <si>
    <t>Baseline Ethylene Production</t>
  </si>
  <si>
    <t>R&amp;S Automotive industry</t>
  </si>
  <si>
    <t>Post R&amp;S Ethylene Production</t>
  </si>
  <si>
    <t>corrected to adjust for negative flow</t>
  </si>
  <si>
    <t>Total exclude negative from construction</t>
  </si>
  <si>
    <t>Propylene - High circularity</t>
  </si>
  <si>
    <t>Baseline Propylene Production</t>
  </si>
  <si>
    <t>Textile industry</t>
  </si>
  <si>
    <t>Post R&amp;S Propylene Production</t>
  </si>
  <si>
    <t>Post R&amp;S and Recycling Propylene Demand</t>
  </si>
  <si>
    <t>Post R&amp;S and Recycling and chem. Recycling Propylene Demand</t>
  </si>
  <si>
    <t>Propylene Shares</t>
  </si>
  <si>
    <t>D: R&amp;S: Others</t>
  </si>
  <si>
    <t>Propylene Shares - PIE CHART - same as above re-organized</t>
  </si>
  <si>
    <t>Propylene Shares - GRAPH CHART - same as above re-organized</t>
  </si>
  <si>
    <t>Reduction and  substitution (A-D)</t>
  </si>
  <si>
    <t>E: Recycling: Packaging and household goods</t>
  </si>
  <si>
    <t>F: Recycling: Buildings and Construction</t>
  </si>
  <si>
    <t>G: Recycling: Transportation</t>
  </si>
  <si>
    <t>H: Recycling: Other sectors</t>
  </si>
  <si>
    <t>Total additional recycled Propylene content to packaging and household goods</t>
  </si>
  <si>
    <t>Total additional recycled Propylene content to building and construction</t>
  </si>
  <si>
    <t>Total additional recycled Propylene content to apparel</t>
  </si>
  <si>
    <t>Total additional recycled Propylene content to other sectors</t>
  </si>
  <si>
    <t>Propylene - Low circularity</t>
  </si>
  <si>
    <t>HIGH CIRCULARITY // LOW DEMAND</t>
  </si>
  <si>
    <t>LOW CIRCULARITY // HIGH DEMAND</t>
  </si>
  <si>
    <t>Virgin plastic production</t>
  </si>
  <si>
    <t>Box A - Arrow I1 - Arrow K1</t>
  </si>
  <si>
    <t>tCO2e/metric tonne</t>
  </si>
  <si>
    <t>Midpoint assessed by material economics based on 3 sources</t>
  </si>
  <si>
    <t>Emission factor for scope 3 end of life</t>
  </si>
  <si>
    <t>Tons of CO2eq/ton of X produced</t>
  </si>
  <si>
    <t>Total CO2 captured by CCS from end-of-life incineration</t>
  </si>
  <si>
    <t>MTons of CO2eq</t>
  </si>
  <si>
    <t>Total CO2 residual emissions from incineration (non-CCS, CCS, and open burning)</t>
  </si>
  <si>
    <t>Total CO2 from end of life</t>
  </si>
  <si>
    <r>
      <rPr>
        <b/>
        <u/>
        <sz val="11"/>
        <color theme="1"/>
        <rFont val="Calibri"/>
        <family val="2"/>
        <scheme val="minor"/>
      </rPr>
      <t>Plastic</t>
    </r>
    <r>
      <rPr>
        <b/>
        <sz val="11"/>
        <color theme="1"/>
        <rFont val="Calibri"/>
        <family val="2"/>
        <scheme val="minor"/>
      </rPr>
      <t xml:space="preserve"> Waste Generation Summary</t>
    </r>
  </si>
  <si>
    <t>Plastic conversion</t>
  </si>
  <si>
    <t>Box A</t>
  </si>
  <si>
    <t>Formal collection</t>
  </si>
  <si>
    <t>Box C</t>
  </si>
  <si>
    <t>Extensive explanation provided in report (page 32)</t>
  </si>
  <si>
    <t>Baseline plastic waste generation</t>
  </si>
  <si>
    <t>Sorting</t>
  </si>
  <si>
    <t>Box F</t>
  </si>
  <si>
    <t>Assumed combination of sorting and transport to recyclers, Extensive explanation provided in report (page 32)</t>
  </si>
  <si>
    <t>Closed loop MR</t>
  </si>
  <si>
    <t>Box I</t>
  </si>
  <si>
    <t>Based on APR report, average value of PP, PET and HDPE, it includes flake to pellet energy, bale to flake energy, transport to reclaimer and collect and sort. Collect and sort has been substracted (page 34). It has been adjusted to account for loss rate of 15% during in recycling process so it reflects kg of input</t>
  </si>
  <si>
    <t>Total Managed</t>
  </si>
  <si>
    <t>Open loop MR</t>
  </si>
  <si>
    <t>Box J</t>
  </si>
  <si>
    <t>Total Mismanaged</t>
  </si>
  <si>
    <t>Chemical conversion P2P</t>
  </si>
  <si>
    <t>Arrow K1</t>
  </si>
  <si>
    <t>Based on reverse engineering done by Mats Linder of figures given by Benavides paper for the process of converting plastic waste into fuel. To this the emissions of producing virgin plastic has been added</t>
  </si>
  <si>
    <t>Chemical conversion P2F</t>
  </si>
  <si>
    <t>Arrow K2</t>
  </si>
  <si>
    <t xml:space="preserve">Based on reverse engineering done by Mats Linder of figures given by Benavides paper for the process of converting plastic waste into fuel. </t>
  </si>
  <si>
    <t>Thermal treatment</t>
  </si>
  <si>
    <t>Box O</t>
  </si>
  <si>
    <t>value given for incinerating mixed plastics, offset of displacing normal US energy mix assumed</t>
  </si>
  <si>
    <t>Engineered landfills</t>
  </si>
  <si>
    <t>Box N</t>
  </si>
  <si>
    <t>as given in report, based on multiple provided pieces of research</t>
  </si>
  <si>
    <t>Energy Recovery</t>
  </si>
  <si>
    <t>Open burning</t>
  </si>
  <si>
    <t>Box S</t>
  </si>
  <si>
    <t xml:space="preserve">As given in the appendix </t>
  </si>
  <si>
    <t>Dumpsite</t>
  </si>
  <si>
    <t>Open Burning</t>
  </si>
  <si>
    <t>Leakage Environment</t>
  </si>
  <si>
    <t>Leakage Ocean</t>
  </si>
  <si>
    <t>Energy Recovery breakdown</t>
  </si>
  <si>
    <t>Without CCS</t>
  </si>
  <si>
    <t>With CCS</t>
  </si>
  <si>
    <t>Tons of CO2ea/ton of plastic waste</t>
  </si>
  <si>
    <t>Energy Recovery without CCS</t>
  </si>
  <si>
    <t>Energy Recovery with CCS</t>
  </si>
  <si>
    <t xml:space="preserve">Waste management </t>
  </si>
  <si>
    <t>%</t>
  </si>
  <si>
    <t>Emission Factor scope 3</t>
  </si>
  <si>
    <t>Without energy recovery</t>
  </si>
  <si>
    <t>Scope 3 Emissions considered</t>
  </si>
  <si>
    <t>T of CO2/ton of plastic</t>
  </si>
  <si>
    <t>From EPA</t>
  </si>
  <si>
    <t>MTCO2E / short ton</t>
  </si>
  <si>
    <t>MTCO2E / MT</t>
  </si>
  <si>
    <t>MTCO2/MT</t>
  </si>
  <si>
    <t>MTCO2E/MT</t>
  </si>
  <si>
    <t>HDPE</t>
  </si>
  <si>
    <t>LDPE</t>
  </si>
  <si>
    <t>PET</t>
  </si>
  <si>
    <t>LLDPE</t>
  </si>
  <si>
    <t>used mixed plastic as default given no value for PUR</t>
  </si>
  <si>
    <t>PP</t>
  </si>
  <si>
    <t>PS</t>
  </si>
  <si>
    <t>used PE as default given no value for rubber</t>
  </si>
  <si>
    <t>PVC</t>
  </si>
  <si>
    <t>Mixed</t>
  </si>
  <si>
    <t>Values in this column assume 100% green electricity and therefore no avoided emissions can be claimed from incineration of waste by 2050 due to energy substitution</t>
  </si>
  <si>
    <t>Values in this column assume no offset from energy recovery</t>
  </si>
  <si>
    <t>https://www.epa.gov/sites/default/files/2019-10/documents/warm_v15_management_practices_updated_10-08-2019.pdf (page 64 pdf)</t>
  </si>
  <si>
    <t>From C-Thru Project (Through Per)</t>
  </si>
  <si>
    <t>From Pew/BPWE</t>
  </si>
  <si>
    <t>Table 5-7</t>
  </si>
  <si>
    <t>Assuming no energy recovery and 100% burnt</t>
  </si>
  <si>
    <t>CCS capture rate</t>
  </si>
  <si>
    <t>from supply model</t>
  </si>
  <si>
    <t>S-Curve for technology ramp-up applied to deplzment of CCS</t>
  </si>
  <si>
    <t>x</t>
  </si>
  <si>
    <t>a</t>
  </si>
  <si>
    <t>S curve formular from supply model</t>
  </si>
  <si>
    <t>b</t>
  </si>
  <si>
    <t>assuming non-hig oncome country S-Curve only start in 2035</t>
  </si>
  <si>
    <t>c</t>
  </si>
  <si>
    <t>M</t>
  </si>
  <si>
    <t>Baseline - IEA</t>
  </si>
  <si>
    <t>Ehtylene</t>
  </si>
  <si>
    <t>% going to plastic</t>
  </si>
  <si>
    <t>Total polymer production</t>
  </si>
  <si>
    <t>Total recycling production</t>
  </si>
  <si>
    <t>Population</t>
  </si>
  <si>
    <t>Plastic per capita</t>
  </si>
  <si>
    <t>Plastic waste per capita</t>
  </si>
  <si>
    <t>ratio prod/waste used</t>
  </si>
  <si>
    <t>Polymer production</t>
  </si>
  <si>
    <t>Per capita consumption</t>
  </si>
  <si>
    <t>Africa + ME</t>
  </si>
  <si>
    <t>East and South Asia + Oceania</t>
  </si>
  <si>
    <t>Europe + CA</t>
  </si>
  <si>
    <t>Lat Am</t>
  </si>
  <si>
    <t>North Am</t>
  </si>
  <si>
    <t>South + Oceania</t>
  </si>
  <si>
    <t>Average high income</t>
  </si>
  <si>
    <t>Data from IEA report: The future of Petrochemicals - 2018</t>
  </si>
  <si>
    <t>Yearly projection using 5-year CAGR from IEA scenarios</t>
  </si>
  <si>
    <t>Ethylene RTS</t>
  </si>
  <si>
    <t>Scenario used for BAU</t>
  </si>
  <si>
    <t>Ethylene CTS</t>
  </si>
  <si>
    <t>Propylene RTS</t>
  </si>
  <si>
    <t>Propylene CTS</t>
  </si>
  <si>
    <t>https://www.iea.org/reports/the-future-of-petrochemicals</t>
  </si>
  <si>
    <t>Baseline - RTS Core</t>
  </si>
  <si>
    <t>Source/note</t>
  </si>
  <si>
    <t>Web-Digitizer</t>
  </si>
  <si>
    <t>Year</t>
  </si>
  <si>
    <t>Methanol Demand</t>
  </si>
  <si>
    <t>Methanol IEA</t>
  </si>
  <si>
    <t>IEA Reference technology scenario (core)</t>
  </si>
  <si>
    <t>Ref</t>
  </si>
  <si>
    <t>Methanol IEA interpolate</t>
  </si>
  <si>
    <t>Methanol IEA excl. IEA MTO</t>
  </si>
  <si>
    <t>CTS Core</t>
  </si>
  <si>
    <t>Methanol MMSA</t>
  </si>
  <si>
    <t>MMSA (see other sheet)</t>
  </si>
  <si>
    <t>CTS High</t>
  </si>
  <si>
    <t>Methanol MMSA excl. MTO</t>
  </si>
  <si>
    <t>RTS Core</t>
  </si>
  <si>
    <t>Suggested baseline</t>
  </si>
  <si>
    <t>Use historic MMSA data and interpolate towards 2030 IEA data and use IEA data thereafter; ignore 2025 data</t>
  </si>
  <si>
    <t>RTS High</t>
  </si>
  <si>
    <t>Suggested baseline MTO demand</t>
  </si>
  <si>
    <t>Use historic MMSA data and interpolate towards 2050 IEA data; ignore 2030 number</t>
  </si>
  <si>
    <t>Suggested baseline excl MTO demand</t>
  </si>
  <si>
    <t>used before: mixed methanol demand incl MTO from IEA and MMSA</t>
  </si>
  <si>
    <t>IEA Reference technology scenario (=BAU) Project Demand for 2015 and 2025 onwards. Rest from MMSA; 2021 = estimated</t>
  </si>
  <si>
    <t>Difference IEA excl. MTO - MMSA excl. MTO</t>
  </si>
  <si>
    <t>Difference IEA vs. MMSA overall demand</t>
  </si>
  <si>
    <t>IEA RTS data on MTO</t>
  </si>
  <si>
    <t>2017e</t>
  </si>
  <si>
    <t>IEA, Future of Petrochemicals, Appendix, page 14</t>
  </si>
  <si>
    <t xml:space="preserve">MTO/MTA in t HVC </t>
  </si>
  <si>
    <t>MMSA MTO in t Methanol</t>
  </si>
  <si>
    <t>t MeOH / t ethylene by stochiometry</t>
  </si>
  <si>
    <t>"2.28 tons of methanol are required per ton of ethylene".
Note that this is also in line with Table 1 in Jasper paper (https://www.mdpi.com/2227-9717/3/3/684), where 1560 kt/annum methanol gives 386 kt/annum propylene and 214 kt/annum ethylene. 1560 tonnes * (214/(214+386)) proportion of total product = 556 tonnes methanol went to ethylene. 556/214 = 2.6 t methanol/t ethylene.</t>
  </si>
  <si>
    <t>https://cefic.org/app/uploads/2019/01/Low-carbon-energy-and-feedstock-for-the-chemical-industry-DECHEMA_Report-energy_climate.pdf</t>
  </si>
  <si>
    <t>calculate Methanol Demand for MTO (t MeOH)</t>
  </si>
  <si>
    <t>Methanol MTO demand (interpolate linearly)</t>
  </si>
  <si>
    <t>Fuel demand MMSA</t>
  </si>
  <si>
    <t>Propylene Derivatives</t>
  </si>
  <si>
    <t>(applications)</t>
  </si>
  <si>
    <t>Sources</t>
  </si>
  <si>
    <t>J. S. Plotkin, The Propylene Quandary, American Chemical Society, 2016</t>
  </si>
  <si>
    <t>LDPE/LLDPE</t>
  </si>
  <si>
    <t>Polystyrene</t>
  </si>
  <si>
    <t>Expanded Polystyrene</t>
  </si>
  <si>
    <t>Polyvinyl-chloride</t>
  </si>
  <si>
    <t>Polyethylene Terephthalate</t>
  </si>
  <si>
    <t>SAN &amp; ABS</t>
  </si>
  <si>
    <t>SAN/ABS %</t>
  </si>
  <si>
    <t>Propenic Acid</t>
  </si>
  <si>
    <t>Fortune business Insights</t>
  </si>
  <si>
    <t>Propenonitrile</t>
  </si>
  <si>
    <t>Cumene</t>
  </si>
  <si>
    <t>(50% to ethylbenzene of which 100% to polystyrene)</t>
  </si>
  <si>
    <t>Epoxypropane</t>
  </si>
  <si>
    <t>Polyurethane, into furnishings</t>
  </si>
  <si>
    <t>https://polyurethane.americanchemistry.com/Applications/#:~:text=Polyurethane%2C%20mostly%20in%20the%20form,more%20durable%2C%20comfortable%20and%20supportive.</t>
  </si>
  <si>
    <t xml:space="preserve"> </t>
  </si>
  <si>
    <t>Electricl &amp; Electronics</t>
  </si>
  <si>
    <t>Butanol</t>
  </si>
  <si>
    <t>Paint</t>
  </si>
  <si>
    <t>Agriculture</t>
  </si>
  <si>
    <t>Derivative Shares</t>
  </si>
  <si>
    <t>Uses of Polypropylene</t>
  </si>
  <si>
    <t>Plastics Europe</t>
  </si>
  <si>
    <t>Uses of Propenic Acid</t>
  </si>
  <si>
    <t>Animal feed additives</t>
  </si>
  <si>
    <t>https://ihsmarkit.com/products/propionic-acid-chemical-economics-handbook.html</t>
  </si>
  <si>
    <t>Food preservative</t>
  </si>
  <si>
    <t>Herbicides</t>
  </si>
  <si>
    <t>Uses of Propenonitrile</t>
  </si>
  <si>
    <t>https://www.essentialchemicalindustry.org/polymers/polypropenonitrile.html</t>
  </si>
  <si>
    <t>Acrylic fibres</t>
  </si>
  <si>
    <t>Nylon</t>
  </si>
  <si>
    <t>SAN/ABS</t>
  </si>
  <si>
    <t>Carbon fibre</t>
  </si>
  <si>
    <t>Propenamide</t>
  </si>
  <si>
    <t>Water treatment</t>
  </si>
  <si>
    <t>Propylene Demand by Sector</t>
  </si>
  <si>
    <t>Volumes -2020</t>
  </si>
  <si>
    <t>Volumes -2050</t>
  </si>
  <si>
    <t>WATERFALL</t>
  </si>
  <si>
    <t>Impact on Propylene Demand</t>
  </si>
  <si>
    <t>Share of Propylene Demand</t>
  </si>
  <si>
    <t>Potential +/- in demand</t>
  </si>
  <si>
    <t>Notes</t>
  </si>
  <si>
    <t>Packaging: Reduce and Reuse</t>
  </si>
  <si>
    <t>Packaging: Substitution</t>
  </si>
  <si>
    <t>Auto: Electrification &amp; Lightweighting?</t>
  </si>
  <si>
    <t>https://auto.howstuffworks.com/fuel-efficiency/fuel-economy/carbon-fiber-oil-crisis2.htm</t>
  </si>
  <si>
    <t xml:space="preserve">There's been expectation for years that carbon fibre will become cheap enough to use in lightweighting cars but still not in sight.  Ten years ago, carbon fiber cost $150 a pound. Now, the price is around $10 a pound [source: Zoltek]. Steel, on the other hand, costs less than a dollar per pound. Many analysts say that for carbon fiber to make it into widespread use in cars, the price will have to drop to about $5 per pound [source: Oak Ridge National Laboratory]. </t>
  </si>
  <si>
    <t>XaaS Impact on Car Parc</t>
  </si>
  <si>
    <t>Auto: MaaS</t>
  </si>
  <si>
    <t xml:space="preserve">SYSTEMIQ, XaaS Report. (Contact Achim.Teuber@systemiq.earth) </t>
  </si>
  <si>
    <t>Savings from Higher Utilization</t>
  </si>
  <si>
    <t xml:space="preserve">UNFCC Fashion Industry Charter for Climate Action targets  </t>
  </si>
  <si>
    <t>Note this is textiles, not fibres (so apparel, not carpets)</t>
  </si>
  <si>
    <t>Savings from Life Extension</t>
  </si>
  <si>
    <t>Building &amp; Consruction</t>
  </si>
  <si>
    <t>?</t>
  </si>
  <si>
    <t>Total Savings</t>
  </si>
  <si>
    <t>Ethylene deivatives</t>
  </si>
  <si>
    <t>Plastics Europe Chart</t>
  </si>
  <si>
    <t>Ethylene Dichloride</t>
  </si>
  <si>
    <t>Ethyl Benzene</t>
  </si>
  <si>
    <t>Atzo Plastics &amp; Merchant Consulting Limited, 2021</t>
  </si>
  <si>
    <t xml:space="preserve">Uses of Polyethylene </t>
  </si>
  <si>
    <t>World</t>
  </si>
  <si>
    <t>Nexant and ChemVision, 2014</t>
  </si>
  <si>
    <t>Volumes</t>
  </si>
  <si>
    <t>PS/EPS</t>
  </si>
  <si>
    <t>US</t>
  </si>
  <si>
    <t>2015 Guide to the Business of Chemistry, American Chemistry Council</t>
  </si>
  <si>
    <t>Europe</t>
  </si>
  <si>
    <t>Plastics- the Facts 2016, PlasticsEurope, 2016</t>
  </si>
  <si>
    <t>Share</t>
  </si>
  <si>
    <t>LDPE &amp; LLDPE</t>
  </si>
  <si>
    <t>Uses of Ethylene Oxide</t>
  </si>
  <si>
    <t>Polyester</t>
  </si>
  <si>
    <t xml:space="preserve"> Of total global PET production, 30% goes into bottles and 60% into fibres</t>
  </si>
  <si>
    <t xml:space="preserve"> Ji, Li Na (June 2013). "Study on Preparation Process and Properties of Polyethylene Terephthalate (PET)". Applied Mechanics and Materials. 312: 406–410. Bibcode:2013AMM...312..406J. </t>
  </si>
  <si>
    <t>Antifreeze</t>
  </si>
  <si>
    <t>IHS Markit</t>
  </si>
  <si>
    <t>Uses of Ethylene Dichloride</t>
  </si>
  <si>
    <t>https://www.marketresearchfuture.com/reports/ethylene-dichloride-market-2509</t>
  </si>
  <si>
    <t>Ethylene Second Derivatives</t>
  </si>
  <si>
    <t>Ethylene Demand by Sector</t>
  </si>
  <si>
    <t>IEA Reference technology scenario (=BAU) Project Demand</t>
  </si>
  <si>
    <t>Ethylene breakdown by tiers 1 chemicals</t>
  </si>
  <si>
    <t>2020 Volumes</t>
  </si>
  <si>
    <t>Merchant Consulting Limited, 2021 (analyzed usng plotdigitizer): https://mcgroup.co.uk/researches/ethylene</t>
  </si>
  <si>
    <t>Numbers adjusted based on: https://mcgroup.co.uk/news/20200827/increased-volatility-of-global-ethylene-market.html (analyzed via ppt: PE: 60%, EO: 13%, ED: 11%, EB:7%, Other 9%)</t>
  </si>
  <si>
    <t>Average of both above % (15% and 13%) --&gt; PET total size ok</t>
  </si>
  <si>
    <t>Adjusted high based on ethylene dichloride production wasadjusted  ~48mT in 2018 so it is the equivalent of  ~21mT of ethylene: https://www.statista.com/statistics/1063227/global-ethylene-dichloride-production-capacity/ (correspond to total PVC market estimated - see triangulation)</t>
  </si>
  <si>
    <t>Ethylbenzene</t>
  </si>
  <si>
    <t>Source to estimate ethylene to styrene out of other (7%/16%): Atzo Plastics  http://atozplastics.com/upload/literature/16_art_ethylene_scenario.asp = 7% adjusted to 6% to match global values given above source is old (see triangulation cell C76)</t>
  </si>
  <si>
    <t>Other source that confirms that Ehtylbenzene is ~6%: https://mcgroup.co.uk/news/20200827/increased-volatility-of-global-ethylene-market.html</t>
  </si>
  <si>
    <t>Other includes vinylacetate, ethanol, acetaldehyde, alpha olefins (http://atozplastics.com/upload/literature/16_art_ethylene_scenario.asp); https://www.pbl.nl/sites/default/files/downloads/pbl-2021-decarbonisation-options-for-large-volume-organic-chemicals-production-sabic-geleen_3718.pdf page 33/34</t>
  </si>
  <si>
    <t>Polyethylene breakdown</t>
  </si>
  <si>
    <t>Out of total</t>
  </si>
  <si>
    <t>Ethylene Oxide Breakdown</t>
  </si>
  <si>
    <t>Ethylene dichloride Breakdown</t>
  </si>
  <si>
    <t>Ethylbenzen breakdown</t>
  </si>
  <si>
    <t>Ethylene glycol</t>
  </si>
  <si>
    <t>Styrene</t>
  </si>
  <si>
    <t>Ethoxylates</t>
  </si>
  <si>
    <t>Ethanolamines</t>
  </si>
  <si>
    <t>Glycol Ethers</t>
  </si>
  <si>
    <t>Polyethylene Glycol (PEG)</t>
  </si>
  <si>
    <t>Styrene breakdown</t>
  </si>
  <si>
    <t>Polyether Polyols</t>
  </si>
  <si>
    <t>Ethylene Glycol Breakdown</t>
  </si>
  <si>
    <t>PET fibres</t>
  </si>
  <si>
    <t>check sources: 87% PET according to https://www.essentialchemicalindustry.org/chemicals/ethane-1-2-diol.html</t>
  </si>
  <si>
    <t>Triangulation: HDPE: 42mT (2020): https://www.globenewswire.com/news-release/2020/07/08/2059505/0/en/Global-High-Density-Polyethylene-Industry.html</t>
  </si>
  <si>
    <t>Ethylene oxide: Pie chart for 2016: https://www.essentialchemicalindustry.org/chemicals/epoxyethane.html 
DO NOT USE: (analyzed usng plotdigitizer) https://www.marketresearchfuture.com/reports/ethylene-oxide-market-6989 --&gt; lead to a PET market size of 35mT which is too low (actual market is closer to 80mT) !!!</t>
  </si>
  <si>
    <t>https://www.expertmarketresearch.com/reports/styrenics-market (pie chart analyzed using plotdigitizer)</t>
  </si>
  <si>
    <t>Glycol: Pie chart for 2019 (analyzed usng plotdigitizer) https://pmrpressrelease.com/mono-ethylene-glycol-market-2019-industry-sales-supply-and-consumption-analysis-and-forecasts-to-2023/</t>
  </si>
  <si>
    <t>99% ethylbenzen is used to make styrene https://mcgroup.co.uk/researches/ethylbenzene-eb (pie chart analyzed using plotdigitizer)</t>
  </si>
  <si>
    <t>Triangulation 64% of PET production is fibres - ok - https://www.woodmac.com/news/opinion/ppe-is-giving-the-fibres-industry-some-protection-from-coronavirus/</t>
  </si>
  <si>
    <t>Ethylene breakdown by end products</t>
  </si>
  <si>
    <t>% ethylene by end products</t>
  </si>
  <si>
    <t>calculated based on molar mass assuming 100% ethylene</t>
  </si>
  <si>
    <t>calculated based on molar mass assuming 1 ethylene per unit (28) divided by average PET unit (192)</t>
  </si>
  <si>
    <t>calculated based on molar mass assuming 1 ethylene per unit (28) divided by average PVC unit (62.5)</t>
  </si>
  <si>
    <t>calculated based on molar mass assuming 1 ethylene per unit (28) divided by average PS unit (104.2)</t>
  </si>
  <si>
    <t>Other polymers</t>
  </si>
  <si>
    <t xml:space="preserve">estimated </t>
  </si>
  <si>
    <t>Market share</t>
  </si>
  <si>
    <t>CAGR methodology</t>
  </si>
  <si>
    <t>PET fibre breakdown</t>
  </si>
  <si>
    <t>CAGR from BPW divided by 2</t>
  </si>
  <si>
    <t>CAGR from ODI divided by 2</t>
  </si>
  <si>
    <t>Assuming 25% of textile is used by the construction industry: https://www.marketresearchfuture.com/reports/polyester-fiber-market-7295</t>
  </si>
  <si>
    <t>CAGR calculated from IEA demand projection</t>
  </si>
  <si>
    <t>Assuming 25% of textile is used by others: https://www.marketresearchfuture.com/reports/polyester-fiber-market-7295</t>
  </si>
  <si>
    <t>CAGR from Fashion on Climate divided by 2</t>
  </si>
  <si>
    <t>Assuming 50% of textile is used by the apparel industry: https://www.marketresearchfuture.com/reports/polyester-fiber-market-7295: Clothing+hh textiles: match with EMF estimation of pET fibres.</t>
  </si>
  <si>
    <t>Packaging &amp; HH goods</t>
  </si>
  <si>
    <t>Triangulation</t>
  </si>
  <si>
    <t>mT</t>
  </si>
  <si>
    <t>mT from Geyer et Al</t>
  </si>
  <si>
    <t>mT from market research</t>
  </si>
  <si>
    <t>Delta</t>
  </si>
  <si>
    <t>ok</t>
  </si>
  <si>
    <t>Wood MacKensie, https://www.woodmac.com/news/opinion/why-polyolefins-are-the-polymers-to-watch/</t>
  </si>
  <si>
    <t>https://www.statista.com/statistics/720296/global-polyvinyl-chloride-market-size-in-tons/ //  https://www.businesswire.com/news/home/20181024005331/en/Global-Polyvinyl-Chloride-PVC-Market-Size-Demand-Forecasts-Industry-Trends-and-Updates-2018-2025---ResearchAndMarkets.com</t>
  </si>
  <si>
    <t>number ranges from 71 (https://www.businesswire.com/news/home/20170914005775/en/Global-Polyethylene-Terephtalate-Market-Report-2017---By-End-Use-Industries-Products-Regions---Research-and-Markets, 2020 projected using CAGR and 2016 value) to 80mT (https://www.mordorintelligence.com/industry-reports/polyethylene-terephtalate-market)</t>
  </si>
  <si>
    <t>reycled</t>
  </si>
  <si>
    <t>bio</t>
  </si>
  <si>
    <t xml:space="preserve">other </t>
  </si>
  <si>
    <t>propylene</t>
  </si>
  <si>
    <t>propylene breakdown by tiers 1 chemicals</t>
  </si>
  <si>
    <t>Propylene oxide</t>
  </si>
  <si>
    <t>include Acrylic Acid, Acrylates, Isopropanol; page 228 in https://publications.jrc.ec.europa.eu/repository/handle/JRC105767</t>
  </si>
  <si>
    <t>more niche: allyl chloride, allyl alcohol (via allyl chloride or propylene oxide), Epichlorohydrin, Propylene chlorohydrin, propylene carbonate (via propylene oxide), propylene glycol dinitrate (via propylene glycol), ethylene proplyene rubber</t>
  </si>
  <si>
    <t>Polypropylene breakdown</t>
  </si>
  <si>
    <t>Propenic Acid Breakdown</t>
  </si>
  <si>
    <t>Cumene breakdown</t>
  </si>
  <si>
    <t>PP (ex-fibre)</t>
  </si>
  <si>
    <t>Phenol + Acetone</t>
  </si>
  <si>
    <t>Polyether Polyol (--&gt; PUR)</t>
  </si>
  <si>
    <t>PP fibres</t>
  </si>
  <si>
    <t>Propylene glycol</t>
  </si>
  <si>
    <t>Glycol ether</t>
  </si>
  <si>
    <t>http://article.sapub.org/10.5923.j.ajps.20160601.01.html</t>
  </si>
  <si>
    <t>https://www.chemicalsafetyfacts.org/cumene/</t>
  </si>
  <si>
    <t>https://www.researchgate.net/figure/Common-propylene-oxide-uses_fig1_269517484</t>
  </si>
  <si>
    <t>propylene breakdown by end products</t>
  </si>
  <si>
    <t>% propylene by end products</t>
  </si>
  <si>
    <t>calculated based on molar mass assuming 100% propylene</t>
  </si>
  <si>
    <t>assuming 0% goes to apparel</t>
  </si>
  <si>
    <t>(left over is PE, PS, PET, PVC)</t>
  </si>
  <si>
    <t>propylene Shares</t>
  </si>
  <si>
    <t>Methanol Demand 2020</t>
  </si>
  <si>
    <t>PU</t>
  </si>
  <si>
    <t>Minor polymers</t>
  </si>
  <si>
    <t>Sum of polymers</t>
  </si>
  <si>
    <t>Total Methanol Demand (2020) Mt</t>
  </si>
  <si>
    <t>Market Sector</t>
  </si>
  <si>
    <t>LDPE, LLDPE</t>
  </si>
  <si>
    <t>PUR</t>
  </si>
  <si>
    <t>Consumer goods and institutional Products</t>
  </si>
  <si>
    <t>Methanol Share</t>
  </si>
  <si>
    <t>Total plus others and fuel</t>
  </si>
  <si>
    <t>Automotive (Plastic)</t>
  </si>
  <si>
    <t>Other polymer use sector</t>
  </si>
  <si>
    <t>Automotive (Fuel)</t>
  </si>
  <si>
    <t>Other non-polymer use sector</t>
  </si>
  <si>
    <t>CAGRs from Olefin work; assumption for others and fuel to tweak to get to 182 in cell AN 25 in the Yearly HC Methanol sheet</t>
  </si>
  <si>
    <t>Interior</t>
  </si>
  <si>
    <t>Exterior</t>
  </si>
  <si>
    <t>Under the hood</t>
  </si>
  <si>
    <t>Electric/light</t>
  </si>
  <si>
    <t>Ethylene in Transportation</t>
  </si>
  <si>
    <t>Methanol Demand IEA for files</t>
  </si>
  <si>
    <t>Fuel Demand WEO 2017</t>
  </si>
  <si>
    <t>LCV</t>
  </si>
  <si>
    <t>MFT</t>
  </si>
  <si>
    <t>HFT</t>
  </si>
  <si>
    <t>CAGR ethylene</t>
  </si>
  <si>
    <t>CAGR BTX</t>
  </si>
  <si>
    <t>C4</t>
  </si>
  <si>
    <t>From the supply model assuming 95% of the production comes from crackers i.e. 14.2 Mt in 2020.</t>
  </si>
  <si>
    <t>1-Butene</t>
  </si>
  <si>
    <t>https://www.mdpi.com/1996-1073/14/13/3772/pdf</t>
  </si>
  <si>
    <t>2-Butene</t>
  </si>
  <si>
    <t>Isobutene</t>
  </si>
  <si>
    <t>https://www.grandviewresearch.com/press-release/global-isobutene-market</t>
  </si>
  <si>
    <t>% Production from crackers</t>
  </si>
  <si>
    <t>% production from on-purpose or refinery</t>
  </si>
  <si>
    <t>From Peter Levi / J. Cullen paper: https://pubs.acs.org/doi/suppl/10.1021/acs.est.7b04573/suppl_file/es7b04573_si_001.pdf</t>
  </si>
  <si>
    <t>Ratio 1 vs 2 butene</t>
  </si>
  <si>
    <t>Butadiene Tiers 1 chemicals</t>
  </si>
  <si>
    <t>Total volumes 2020</t>
  </si>
  <si>
    <t>1_butene Tiers 1 chemicals</t>
  </si>
  <si>
    <t>2_butene Tiers 1 chemicals</t>
  </si>
  <si>
    <t>Isobutene Tiers 1 chemicals</t>
  </si>
  <si>
    <t>Butane Tiers 1 chemicals</t>
  </si>
  <si>
    <t>Polybutadiene (PBR)</t>
  </si>
  <si>
    <t>Fuel additives</t>
  </si>
  <si>
    <t xml:space="preserve">Fuel additives </t>
  </si>
  <si>
    <t>Fuel additives (MTBE and ETBE)</t>
  </si>
  <si>
    <t>No data found given butane market is mostly driven by energy demand</t>
  </si>
  <si>
    <t>Styrene-Butadiene (SBR)</t>
  </si>
  <si>
    <t>Polyethylene co-monomer</t>
  </si>
  <si>
    <t>Butyl rubber</t>
  </si>
  <si>
    <t>Acrylonitrile Butadiene Styrene (ABS)</t>
  </si>
  <si>
    <t>Valeradehyde</t>
  </si>
  <si>
    <t>Chemical &amp; cosmetics</t>
  </si>
  <si>
    <t>Styrene Butadiene Latex</t>
  </si>
  <si>
    <t>Polybutene-1</t>
  </si>
  <si>
    <t>Source: for fuel addtivies levi/Cullen paper,</t>
  </si>
  <si>
    <t>Lubricant</t>
  </si>
  <si>
    <t>Adiponitrile</t>
  </si>
  <si>
    <t>1,2-butylene Oxide</t>
  </si>
  <si>
    <t>No other data found</t>
  </si>
  <si>
    <t>Nitirle Rubber (AB NRB)</t>
  </si>
  <si>
    <t>Sulfolane</t>
  </si>
  <si>
    <t>Source: https://www.factmr.com/report/3786/isobutylene-market</t>
  </si>
  <si>
    <t>Chloroprene</t>
  </si>
  <si>
    <t>Source: for fuel addtivies levi/Cullen paper, for the rest 2014 https://prismaneconsulting.com/report_details/8/Global-Butene-1-Market-Study-Report,-2014---2030</t>
  </si>
  <si>
    <t>Ethylidene Norbornene</t>
  </si>
  <si>
    <t>Source : for 2020 https://www.mordorintelligence.com/industry-reports/butadiene-market</t>
  </si>
  <si>
    <t>Volumes are ok according to other sources</t>
  </si>
  <si>
    <t>C4 demand split</t>
  </si>
  <si>
    <t>Butadiene demand split</t>
  </si>
  <si>
    <t>Buildings</t>
  </si>
  <si>
    <t>Rubbers</t>
  </si>
  <si>
    <t>According to global production numbers this should be ~15mT total (this is just the C4 portion!)</t>
  </si>
  <si>
    <t>Others polymers</t>
  </si>
  <si>
    <t>Demand for C4</t>
  </si>
  <si>
    <t>Demand for Butadiene</t>
  </si>
  <si>
    <t>Rubber</t>
  </si>
  <si>
    <t>Other Polymers</t>
  </si>
  <si>
    <t>Source: https://marketersmedia.com/synthetic-rubber-market-production-demand-by-2023-lanxess-the-dow-chemical-company-versalis-spa-kumho-petrochemical-jsr-corporation/88922283</t>
  </si>
  <si>
    <t>Apparel adjusted to match waste gen</t>
  </si>
  <si>
    <t>BTX RTS</t>
  </si>
  <si>
    <t>Post Toluene Conversion</t>
  </si>
  <si>
    <t>p-Xylene</t>
  </si>
  <si>
    <t>o-Xylene</t>
  </si>
  <si>
    <t>m-Xylene</t>
  </si>
  <si>
    <t>Pre Toluene Conversion</t>
  </si>
  <si>
    <t>Table S11 and S12</t>
  </si>
  <si>
    <t>Difference of ~3mT between Pre and post due to the formation of by-products</t>
  </si>
  <si>
    <t>m-Xylene adjusted so it is only produced from Cracker so difference rise to 3mT</t>
  </si>
  <si>
    <t>Toluene conversion</t>
  </si>
  <si>
    <t>Mt</t>
  </si>
  <si>
    <t xml:space="preserve">converted </t>
  </si>
  <si>
    <t>share of toluene converted - assumed constant</t>
  </si>
  <si>
    <t>Conversion product</t>
  </si>
  <si>
    <t>Share of toluene converted into Benzene</t>
  </si>
  <si>
    <t>Share of toluene converted into Xylene</t>
  </si>
  <si>
    <t>Benzene Tiers 1 chemicals</t>
  </si>
  <si>
    <t>Toluene - Tiers 1 chemicals</t>
  </si>
  <si>
    <t>p-Xylene - Tiers 1 chemicals</t>
  </si>
  <si>
    <t>o-Xylene - Tiers 1 chemicals</t>
  </si>
  <si>
    <t>m-Xylene - Tiers 1 chemicals</t>
  </si>
  <si>
    <t>Ehtyl benzene</t>
  </si>
  <si>
    <t>Calculated based on ethylene - from source number is 52.1% which is ok</t>
  </si>
  <si>
    <t>Toluene for gasoline blend</t>
  </si>
  <si>
    <t>Terephthalic acid</t>
  </si>
  <si>
    <t>Isophthalic Acid</t>
  </si>
  <si>
    <t>Phtalic Anhydride</t>
  </si>
  <si>
    <t>Calculated based on propylene - from source number is 18.9% which is not great but not use for the model</t>
  </si>
  <si>
    <t>Toluene as solvent</t>
  </si>
  <si>
    <t>Xylidine</t>
  </si>
  <si>
    <t>Bactericides</t>
  </si>
  <si>
    <t>Cyclohexane</t>
  </si>
  <si>
    <t>Conversion to B and X</t>
  </si>
  <si>
    <t>Solvents</t>
  </si>
  <si>
    <t>Aniline</t>
  </si>
  <si>
    <t>Calculated based on methanol MDI production - from source number is 9.3% which is not great but ok</t>
  </si>
  <si>
    <t xml:space="preserve">  </t>
  </si>
  <si>
    <t>Toluene diisocyanate</t>
  </si>
  <si>
    <t>https://icrowdnewswire.com/2020/07/07/paraxylene-market-top-companies-business-application-growth-driver-price-trends-covid-19-outbreak-and-forecast-2025/</t>
  </si>
  <si>
    <t>Oil Additives</t>
  </si>
  <si>
    <t>https://www.mordorintelligence.com/industry-reports/ortho-xylene-market</t>
  </si>
  <si>
    <t>Source : for 2021 https://mcgroup.co.uk/researches/benzene</t>
  </si>
  <si>
    <t>https://marketersmedia.com/toluene-market-global-price-trend-2019-demand-overview-report-size-estimation-industry-share-business-opportunity-and-growth-forecast-2023/467668</t>
  </si>
  <si>
    <t>--&gt; calculated from ethylene (external source says 80/20 split which is ok)</t>
  </si>
  <si>
    <t>https://www.mordorintelligence.com/industry-reports/meta-xylene-market</t>
  </si>
  <si>
    <t>DMT to PET</t>
  </si>
  <si>
    <t>Isophthalic acid</t>
  </si>
  <si>
    <t>DMT to PBT</t>
  </si>
  <si>
    <t>DMT split is 50:50</t>
  </si>
  <si>
    <t>PET copolymers</t>
  </si>
  <si>
    <t>DMT to others</t>
  </si>
  <si>
    <t>Polyester resins</t>
  </si>
  <si>
    <t>Plasticizer</t>
  </si>
  <si>
    <t>Polyamide</t>
  </si>
  <si>
    <t>Source DMT: https://www.marketintellica.com/report/MI44945-dimethyl-terephthalate-dmt-market-research-global</t>
  </si>
  <si>
    <t>Adhesives</t>
  </si>
  <si>
    <t>Alkyd resin</t>
  </si>
  <si>
    <t>https://www.mordorintelligence.com/industry-reports/toluene-diisocyanate-market</t>
  </si>
  <si>
    <t>Mass balance assumptions</t>
  </si>
  <si>
    <t>Flame retardant</t>
  </si>
  <si>
    <t>% ethylene in PET</t>
  </si>
  <si>
    <t>Dyes/pigments</t>
  </si>
  <si>
    <t>% Methanol in PET</t>
  </si>
  <si>
    <t>https://www.marketintellica.com/report/MI19276-purifed-isophthalic-acid-market-research-global</t>
  </si>
  <si>
    <t>% xylene in PET</t>
  </si>
  <si>
    <t>% others in PET</t>
  </si>
  <si>
    <t>--&gt; come from oxygene</t>
  </si>
  <si>
    <t>https://marketersmedia.com/phthalic-anhydride-market-size-industry-survey-competitive-trends-outlook-and-forecasts-2019-to-2023/88920301</t>
  </si>
  <si>
    <t>1 unit of PET C10H8O4</t>
  </si>
  <si>
    <t>DMI</t>
  </si>
  <si>
    <t>https://mcgroup.co.uk/researches/aniline</t>
  </si>
  <si>
    <t>t benzene / t nitrobenzene</t>
  </si>
  <si>
    <t>% ethylene in ehtyl-benzene</t>
  </si>
  <si>
    <t>% benzene in ethyl-benzene</t>
  </si>
  <si>
    <t>t nitrobenzene / t aniline</t>
  </si>
  <si>
    <t>% propylene in cumene</t>
  </si>
  <si>
    <t>% benzene in cumene</t>
  </si>
  <si>
    <t>t aniline / t MDI</t>
  </si>
  <si>
    <t>PUR - MDI</t>
  </si>
  <si>
    <t>PUR - TDI</t>
  </si>
  <si>
    <t>% benzene in MDI</t>
  </si>
  <si>
    <t>% toluene in TDI</t>
  </si>
  <si>
    <t>% methanol in MDI</t>
  </si>
  <si>
    <t>% others</t>
  </si>
  <si>
    <t>% others in MDI</t>
  </si>
  <si>
    <t>TRIANGULATION PUR</t>
  </si>
  <si>
    <t>90% of PUR is made from polyether alcohol</t>
  </si>
  <si>
    <t>from propylene</t>
  </si>
  <si>
    <t>MDI mass</t>
  </si>
  <si>
    <t>from ethylene</t>
  </si>
  <si>
    <t>TDI mass</t>
  </si>
  <si>
    <t>to account for other alcohol used (i.e. 1,4-butanediol)</t>
  </si>
  <si>
    <t>to account for other isocyante used</t>
  </si>
  <si>
    <t>Global polyurethane production</t>
  </si>
  <si>
    <t>% benzene in PUR</t>
  </si>
  <si>
    <t>Global polyurethane production from model</t>
  </si>
  <si>
    <t>% toluene in PUR</t>
  </si>
  <si>
    <t>Demand by polymer type</t>
  </si>
  <si>
    <t>Toulene</t>
  </si>
  <si>
    <t>Solvent</t>
  </si>
  <si>
    <t>% x in minor polymers</t>
  </si>
  <si>
    <t>Benzene Shares</t>
  </si>
  <si>
    <t>CAGR from BPW divided by 3</t>
  </si>
  <si>
    <t>CAGR from ODI divided by 3</t>
  </si>
  <si>
    <t>CAGR from Fashion on Climate divided by 3</t>
  </si>
  <si>
    <t>Toluene Shares</t>
  </si>
  <si>
    <t>Xylene Shares</t>
  </si>
  <si>
    <t>Analysis of additional demand driven by solar energy growth</t>
  </si>
  <si>
    <t>Source:</t>
  </si>
  <si>
    <t>From Data tab</t>
  </si>
  <si>
    <t>Average</t>
  </si>
  <si>
    <t>PV Panel Power</t>
  </si>
  <si>
    <t>MW</t>
  </si>
  <si>
    <t>Weight</t>
  </si>
  <si>
    <t>tons</t>
  </si>
  <si>
    <t>% Ethyl Vinyl Acetate</t>
  </si>
  <si>
    <t>Same numbers reported by CEFIC</t>
  </si>
  <si>
    <t>%Poly Vinyl Fluoride</t>
  </si>
  <si>
    <t>https://windeurope.org/wp-content/uploads/files/about-wind/reports/WindEurope-Accelerating-wind-turbine-blade-circularity.pdf</t>
  </si>
  <si>
    <t>% Aluminimum and other metals</t>
  </si>
  <si>
    <t>% Other (mostly glass)</t>
  </si>
  <si>
    <t>Source :ETC - SYSTEMIQ</t>
  </si>
  <si>
    <t>Annual Delta</t>
  </si>
  <si>
    <t>PV Capacity</t>
  </si>
  <si>
    <t>IEA 2020, ETC for Projections</t>
  </si>
  <si>
    <t>Total reosurce needed</t>
  </si>
  <si>
    <t>Total polymer composites needed</t>
  </si>
  <si>
    <t>Total ethylene needed</t>
  </si>
  <si>
    <t>Assumptions</t>
  </si>
  <si>
    <t>Eth Ox</t>
  </si>
  <si>
    <t>Eth Cl2</t>
  </si>
  <si>
    <t>% ethylene in Ethyl Vinyl Acetate</t>
  </si>
  <si>
    <t>https://www.plasticsinsight.com/resin-intelligence/resin-prices/ethylene-vinyl-acetate/</t>
  </si>
  <si>
    <t>% ethylene in Poly Vinyl Fluoride</t>
  </si>
  <si>
    <t>calculated based on molar mass of poly(vinyl fluoride) assuming 1 ethylene per unit</t>
  </si>
  <si>
    <t>% methanol in Ethyl Vinyl Acetate</t>
  </si>
  <si>
    <t>PV capacity</t>
  </si>
  <si>
    <t>Add. PV capacity installed</t>
  </si>
  <si>
    <t>Add. resource needed</t>
  </si>
  <si>
    <t>Add. polymer composite needed</t>
  </si>
  <si>
    <t>Additional ethylene demand</t>
  </si>
  <si>
    <t>Additional methanol demand</t>
  </si>
  <si>
    <t>t methanol / t acetic acid</t>
  </si>
  <si>
    <t>Vinyl Acetate</t>
  </si>
  <si>
    <t>t acetic acid / t vinylacetate</t>
  </si>
  <si>
    <t>t vinyl acetate / t PVA</t>
  </si>
  <si>
    <t xml:space="preserve">t ethylene / t PVA </t>
  </si>
  <si>
    <t>Oxygen</t>
  </si>
  <si>
    <t>t methanol / t PVA</t>
  </si>
  <si>
    <t>t ethylene / t vinyl acetate</t>
  </si>
  <si>
    <t>t oxygen / t vinyl acetate</t>
  </si>
  <si>
    <t>t oxygen / t PVA</t>
  </si>
  <si>
    <t>check O2+methanol+ethylene</t>
  </si>
  <si>
    <t>Analysis of additional demand driven by wind energy growth</t>
  </si>
  <si>
    <t>https://eitrawmaterials.eu/wp-content/uploads/2020/04/rms_for_wind_and_solar_published_v2.pdf</t>
  </si>
  <si>
    <t>Turbine Power</t>
  </si>
  <si>
    <t>% polymer composite</t>
  </si>
  <si>
    <t>% carbon fibre glass</t>
  </si>
  <si>
    <t>% steel and Aluminum</t>
  </si>
  <si>
    <t>% Other</t>
  </si>
  <si>
    <t>Δ</t>
  </si>
  <si>
    <t>Wind Turbine capacity</t>
  </si>
  <si>
    <t>IRENA for 2019, ETC for Projections</t>
  </si>
  <si>
    <t>Total resource needed</t>
  </si>
  <si>
    <t>Total polymer composite needed</t>
  </si>
  <si>
    <t>% ethylene in polymer composite</t>
  </si>
  <si>
    <t>% methanol in polymer compostive</t>
  </si>
  <si>
    <t>Assuming only methanol contribution is in resins (as very little in PET and none in PVC)</t>
  </si>
  <si>
    <t>% Benzene</t>
  </si>
  <si>
    <t>Assuming only benzene contribution is PUR (so 25% of polymer composite is PUR and 50% of PUR is benzene)</t>
  </si>
  <si>
    <t>% Toluene</t>
  </si>
  <si>
    <t>% Xylenes</t>
  </si>
  <si>
    <t>Assuming only xylene contribution is PET (so 25% of polymer composite is PET and 52% of PET is Xylene)</t>
  </si>
  <si>
    <t>% Butadiene</t>
  </si>
  <si>
    <t>Assuming all turbines have the same ratio of polymer composite (~35%) regardless the core material of the blade (fibres, wood, etc …)</t>
  </si>
  <si>
    <t>Composite includes: epoxy, PET, PVC, PUR, etc …</t>
  </si>
  <si>
    <t>Assuming overall ethylene content is 30% (PET is 12.6%, PVC is 43.2%, epoxy &gt;30%, PUR &lt; 20%)</t>
  </si>
  <si>
    <t>Add. wind turbine capacity installed</t>
  </si>
  <si>
    <t>Additional Benzene demand</t>
  </si>
  <si>
    <t>Additional xylene demand</t>
  </si>
  <si>
    <t>PRODUCTION</t>
  </si>
  <si>
    <t>Source: Production, use, and fate of all plastics ever made, Roland Geyer, Jenna R. Jambeck, Kara Lavender Law, 2017</t>
  </si>
  <si>
    <t>https://advances.sciencemag.org/content/advances/suppl/2017/07/17/3.7.e1700782.DC1/1700782_SM.pdf</t>
  </si>
  <si>
    <t>Transportation numbers adjusted based on CPA numbers to account for low rubber content in this paper</t>
  </si>
  <si>
    <r>
      <rPr>
        <sz val="11"/>
        <rFont val="Calibri"/>
        <family val="2"/>
        <scheme val="minor"/>
      </rPr>
      <t>Building and
Construction</t>
    </r>
  </si>
  <si>
    <r>
      <rPr>
        <sz val="11"/>
        <rFont val="Calibri"/>
        <family val="2"/>
        <scheme val="minor"/>
      </rPr>
      <t>Electrical
/Electronic</t>
    </r>
  </si>
  <si>
    <r>
      <rPr>
        <sz val="11"/>
        <rFont val="Calibri"/>
        <family val="2"/>
        <scheme val="minor"/>
      </rPr>
      <t>Consumer &amp;
Institutional Products</t>
    </r>
  </si>
  <si>
    <t>Sum of minor polymers</t>
  </si>
  <si>
    <r>
      <rPr>
        <sz val="11"/>
        <rFont val="Calibri"/>
        <family val="2"/>
        <scheme val="minor"/>
      </rPr>
      <t>Industrial
Machinery</t>
    </r>
  </si>
  <si>
    <t>in 2015</t>
  </si>
  <si>
    <t>from Supplementary information</t>
  </si>
  <si>
    <t>Data excluding fibers</t>
  </si>
  <si>
    <t>in 2019</t>
  </si>
  <si>
    <t>Assuming a 3% CAGR</t>
  </si>
  <si>
    <t>Source: PlasticEurope facts (2020) = 368mT in 2019</t>
  </si>
  <si>
    <t>Same data re-organized</t>
  </si>
  <si>
    <t>Source for 2019: Textile exchange: https://www.google.com/url?sa=i&amp;url=https%3A%2F%2Fwww.eionet.europa.eu%2Fetcs%2Fetc-wmge%2Fproducts%2Fplastic-in-textiles-potentials-for-circularity-and-reduced-environmental-and-climate-impacts%2F%40%40download%2Ffile%2FETC_2.1.2.2._plastic%2520in%2520textiles_final_edited%2520for%2520website.pdf&amp;psig=AOvVaw2fSZcfQfIfe-D9DOy0aBnZ&amp;ust=1634650809630000&amp;source=images&amp;cd=vfe&amp;ved=2ahUKEwi7u_73itTzAhUH_IUKHcxmCIkQr4kDegQIARBo</t>
  </si>
  <si>
    <t>Fibre breakdown</t>
  </si>
  <si>
    <t>from PE model</t>
  </si>
  <si>
    <t>From Textile excange 2019</t>
  </si>
  <si>
    <t>From P model</t>
  </si>
  <si>
    <t>Packaging &amp; consumer goods</t>
  </si>
  <si>
    <t>Normalized to include fibres</t>
  </si>
  <si>
    <t>Fibres</t>
  </si>
  <si>
    <t>Same data as above reorganized to include apparel</t>
  </si>
  <si>
    <t>PP fibre breakdown could not be found - adjusted to be 40% auto, 40% building, 10% hh, and 10% others</t>
  </si>
  <si>
    <t>% ethylene per industry</t>
  </si>
  <si>
    <t>% ethylene per polymer</t>
  </si>
  <si>
    <t>Normalized</t>
  </si>
  <si>
    <t>Packaging + hh goods</t>
  </si>
  <si>
    <t>% propylene per polymer</t>
  </si>
  <si>
    <t>Molar Masses</t>
  </si>
  <si>
    <t>Check polyurethane</t>
  </si>
  <si>
    <t>Formaldehyde</t>
  </si>
  <si>
    <t>Demand Polyurethane 2019 (Mt)</t>
  </si>
  <si>
    <t>https://en.wikipedia.org/wiki/Polyurethane</t>
  </si>
  <si>
    <t>If all from ethylene glycol, ethylene glycol demand (Mt)</t>
  </si>
  <si>
    <t>Other category ethylene glycol</t>
  </si>
  <si>
    <t>&gt; how much of it is antifreeze?</t>
  </si>
  <si>
    <t>MDI</t>
  </si>
  <si>
    <t>Ethylene Glycol</t>
  </si>
  <si>
    <t>Water</t>
  </si>
  <si>
    <t>Ethylene glycol for PU missing in olefin demand?</t>
  </si>
  <si>
    <t>Check methanol in all uses on right hand side</t>
  </si>
  <si>
    <t>Volumes -2020 (Mt methanol)</t>
  </si>
  <si>
    <t>Major pol</t>
  </si>
  <si>
    <t>Terephthalic Acid</t>
  </si>
  <si>
    <t>% methanol per polymer</t>
  </si>
  <si>
    <t>% methanol per industry (EXCL MTO/MTX)</t>
  </si>
  <si>
    <t>other</t>
  </si>
  <si>
    <t>Dimethylterephthalate</t>
  </si>
  <si>
    <t>MMA</t>
  </si>
  <si>
    <t>Phenol</t>
  </si>
  <si>
    <t>Urea</t>
  </si>
  <si>
    <t>Major polymers</t>
  </si>
  <si>
    <t>based on share that does not stem from ethylene glycol assuming half of fibres goes to apparal</t>
  </si>
  <si>
    <t>Polyurethane</t>
  </si>
  <si>
    <t>Route - methylene-diphenyl-diisocyanate  (2020 Volume Mt methanol)</t>
  </si>
  <si>
    <t>Apparal</t>
  </si>
  <si>
    <t>F</t>
  </si>
  <si>
    <t>t Methanol/ t Formaldehyde</t>
  </si>
  <si>
    <r>
      <t>2 CH</t>
    </r>
    <r>
      <rPr>
        <vertAlign val="subscript"/>
        <sz val="11"/>
        <color rgb="FF202122"/>
        <rFont val="Arial"/>
        <family val="2"/>
      </rPr>
      <t>3</t>
    </r>
    <r>
      <rPr>
        <sz val="11"/>
        <color rgb="FF202122"/>
        <rFont val="Arial"/>
        <family val="2"/>
      </rPr>
      <t>OH + O</t>
    </r>
    <r>
      <rPr>
        <vertAlign val="subscript"/>
        <sz val="11"/>
        <color rgb="FF202122"/>
        <rFont val="Arial"/>
        <family val="2"/>
      </rPr>
      <t>2</t>
    </r>
    <r>
      <rPr>
        <sz val="11"/>
        <color rgb="FF202122"/>
        <rFont val="Arial"/>
        <family val="2"/>
      </rPr>
      <t> → 2 CH</t>
    </r>
    <r>
      <rPr>
        <vertAlign val="subscript"/>
        <sz val="11"/>
        <color rgb="FF202122"/>
        <rFont val="Arial"/>
        <family val="2"/>
      </rPr>
      <t>2</t>
    </r>
    <r>
      <rPr>
        <sz val="11"/>
        <color rgb="FF202122"/>
        <rFont val="Arial"/>
        <family val="2"/>
      </rPr>
      <t>O + 2 H</t>
    </r>
    <r>
      <rPr>
        <vertAlign val="subscript"/>
        <sz val="11"/>
        <color rgb="FF202122"/>
        <rFont val="Arial"/>
        <family val="2"/>
      </rPr>
      <t>2</t>
    </r>
    <r>
      <rPr>
        <sz val="11"/>
        <color rgb="FF202122"/>
        <rFont val="Arial"/>
        <family val="2"/>
      </rPr>
      <t>O</t>
    </r>
  </si>
  <si>
    <t>t Formaldehyde / t methylene-diphenyl-diisocyanate</t>
  </si>
  <si>
    <t>Over-stochiometry for MDI vs. Ethylene glycol</t>
  </si>
  <si>
    <t>Volumes -2020 (Mt benzene)</t>
  </si>
  <si>
    <t>t methylene-diphenyl-diisocyanate / t Polyurethane</t>
  </si>
  <si>
    <t>% benzene per polymer</t>
  </si>
  <si>
    <t>t methanol / t Polyurethane</t>
  </si>
  <si>
    <t>PVA  (2020 Volume Mt methanol)</t>
  </si>
  <si>
    <t>assuming no PUR or PS fibres</t>
  </si>
  <si>
    <t>2 Ethylene + 2 acetic acid + 1 O2 --&gt; 2 Vinyl Acetate + 2 H2O</t>
  </si>
  <si>
    <t>free radical polymerisation</t>
  </si>
  <si>
    <t>PMMA  (2020 Volume Mt methanol)</t>
  </si>
  <si>
    <t>t methanol / t MMA</t>
  </si>
  <si>
    <t>(CH3)2C(OSO3H)C(O)NH2 + CH3OH → CH2 =C(CH3)C(O)OCH3 + NH4HSO4</t>
  </si>
  <si>
    <t>MMA / PMMA</t>
  </si>
  <si>
    <t>radical polymerisation</t>
  </si>
  <si>
    <t>Volumes -2020 (Mt toluene)</t>
  </si>
  <si>
    <t>t methanol / t PPMA</t>
  </si>
  <si>
    <t>% Toluene per polymer</t>
  </si>
  <si>
    <t>Phenolic Resins  (2020 Volume Mt methanol)</t>
  </si>
  <si>
    <t>t Formaldehyde / t resin</t>
  </si>
  <si>
    <t>t methanol / t phenolic resin</t>
  </si>
  <si>
    <t>based on fibre production and 50% going to apparel</t>
  </si>
  <si>
    <t>Carbamide - Methanal Resins (2020 Volume Mt methanol)</t>
  </si>
  <si>
    <t>t Methanol / t mixed methylol carbamide</t>
  </si>
  <si>
    <t>t mixed methylol carbamide / t resin</t>
  </si>
  <si>
    <t>t Methanol / t resin</t>
  </si>
  <si>
    <t>Melamine Resins  (2020 Volume Mt methanol)</t>
  </si>
  <si>
    <t>t Methanol / t resin same as for carbamide-methanal resins</t>
  </si>
  <si>
    <t>https://www.essentialchemicalindustry.org/polymers/methanal-plastics.html</t>
  </si>
  <si>
    <t>Volumes -2020 (Mt xylenel)</t>
  </si>
  <si>
    <t>% Xylenes per polymer</t>
  </si>
  <si>
    <t>Polyacetal resins  (2020 Volume Mt methanol)</t>
  </si>
  <si>
    <t>t formaldeyhde / t polyacetal</t>
  </si>
  <si>
    <t>weighed average t methanol / t other polymers</t>
  </si>
  <si>
    <t>PET from non-ethylene routes</t>
  </si>
  <si>
    <t>Acid Acid Route</t>
  </si>
  <si>
    <t>t methanol to acetic acid</t>
  </si>
  <si>
    <t>acetic acid to terephthalic acd (solvent use)</t>
  </si>
  <si>
    <t>"Approximately 5% of the acetic acid solvent is lost by decomposition or "burning"."</t>
  </si>
  <si>
    <t>https://en.wikipedia.org/wiki/Terephthalic_acid</t>
  </si>
  <si>
    <t>terephthalic acid to PET</t>
  </si>
  <si>
    <t>t methanol / t PET</t>
  </si>
  <si>
    <t>Dimethylterephthalate route</t>
  </si>
  <si>
    <t>t methanol to DMT</t>
  </si>
  <si>
    <t>Xylol, 2 O2, 2 MeOH --&gt; DMT + 4H2O</t>
  </si>
  <si>
    <t>weighed average t methanol / t PET</t>
  </si>
  <si>
    <t>% methanol in PET</t>
  </si>
  <si>
    <t>FINAL NUMBERS</t>
  </si>
  <si>
    <t>% change Prop</t>
  </si>
  <si>
    <t>% change Eth</t>
  </si>
  <si>
    <t>% change Meth</t>
  </si>
  <si>
    <t>% change Benzene</t>
  </si>
  <si>
    <t>% change Toluene</t>
  </si>
  <si>
    <t>% change Xylene</t>
  </si>
  <si>
    <t>% change C4 (=PE)</t>
  </si>
  <si>
    <t>% change PE</t>
  </si>
  <si>
    <t>% change PET</t>
  </si>
  <si>
    <t>% change PVC</t>
  </si>
  <si>
    <t>% change Others</t>
  </si>
  <si>
    <t>% change others</t>
  </si>
  <si>
    <t>Economic &amp; Population Growth</t>
  </si>
  <si>
    <t>BPW extrapolated to 2050 - separate model</t>
  </si>
  <si>
    <t>BAU 2050</t>
  </si>
  <si>
    <t>NBM and reuse</t>
  </si>
  <si>
    <t>Switch to paper</t>
  </si>
  <si>
    <t>Switch to compostables</t>
  </si>
  <si>
    <t>NZ/CE 2050</t>
  </si>
  <si>
    <t>Ethylene - R</t>
  </si>
  <si>
    <t>Ehtylene - S</t>
  </si>
  <si>
    <t>Propylene - R</t>
  </si>
  <si>
    <t>Propylene - S</t>
  </si>
  <si>
    <t>Methanol - R</t>
  </si>
  <si>
    <t>Methanol - S</t>
  </si>
  <si>
    <t>Benzene - R</t>
  </si>
  <si>
    <t>Benzene - S</t>
  </si>
  <si>
    <t>Toluene - R</t>
  </si>
  <si>
    <t>Toluene - S</t>
  </si>
  <si>
    <t>Xylenes - R</t>
  </si>
  <si>
    <t>Xylenes - S</t>
  </si>
  <si>
    <t>Source: BPW extrapolated to 2050 - separate model</t>
  </si>
  <si>
    <t>High scenario</t>
  </si>
  <si>
    <t>Limiting factors G: 50/80/90, Y 20/50/70, O: 1/10/15, R: 0</t>
  </si>
  <si>
    <t>S-curve - separate model</t>
  </si>
  <si>
    <t>Low scenario</t>
  </si>
  <si>
    <t>Limiting factors G: 40/70/80, Y 10/35/50, O: 1/7/10, R: 0</t>
  </si>
  <si>
    <t>Eliminate</t>
  </si>
  <si>
    <t>Paper</t>
  </si>
  <si>
    <t>2020-2030 growth</t>
  </si>
  <si>
    <t>2030-2040 growth</t>
  </si>
  <si>
    <t>2040-2050 growth</t>
  </si>
  <si>
    <t>Source: BPW extrapolated to 2050 - separate model - calculated based on averages of low and high scenarios - separate model</t>
  </si>
  <si>
    <t>For methodology</t>
  </si>
  <si>
    <t>High</t>
  </si>
  <si>
    <t>Elim</t>
  </si>
  <si>
    <t>NBM</t>
  </si>
  <si>
    <t>Comp.</t>
  </si>
  <si>
    <t>Low</t>
  </si>
  <si>
    <t>https://cdn.odi.org/media/documents/odi-et-cp-construction-report-sep20-proof04_final2.pdf</t>
  </si>
  <si>
    <t>Adjusted to account for the fact we are not considering substitution with metals (see below): https://cdn.odi.org/media/documents/odi-et-cp-construction-report-sep20-proof04_final2.pdf</t>
  </si>
  <si>
    <t>R</t>
  </si>
  <si>
    <t>S</t>
  </si>
  <si>
    <t>Red</t>
  </si>
  <si>
    <t>Sub</t>
  </si>
  <si>
    <t>--&gt; reduction of building material is assumed to be only 22% in a circular scenario compare to BAU in the IRP scenario (based on minerals analysis) - assuming all material are equally impacted by this lever given it's densification. Consider low scenario as IRP does not reach net zero by 2050.</t>
  </si>
  <si>
    <t>R&amp;S analysis</t>
  </si>
  <si>
    <t>Source: Sam Pickard and Samuel Sharp, Phasing out plastics, The construction sector, (2020)</t>
  </si>
  <si>
    <t>Reduction potential</t>
  </si>
  <si>
    <t>Volumes post reduce</t>
  </si>
  <si>
    <t>Substitution potential</t>
  </si>
  <si>
    <t>Substituted volumes</t>
  </si>
  <si>
    <t>Profiles</t>
  </si>
  <si>
    <t>Adjusted based on ODI paper to remove metal substitution (from 100% to 50%)</t>
  </si>
  <si>
    <t>Pipes, tubes, fittings</t>
  </si>
  <si>
    <t>Adjusted based on ODI paper to remove metal substitution (from 100% to 0%)</t>
  </si>
  <si>
    <t>Flooring Insulation</t>
  </si>
  <si>
    <t>Adjusted based on ODI paper toassume only 90% penetration (more conservative - based on Breaking the plastic wave penetration technology rates) (from 100% to 0%)</t>
  </si>
  <si>
    <t>Cabling</t>
  </si>
  <si>
    <t>Liners</t>
  </si>
  <si>
    <t>PUR &amp; Additives &amp; Other</t>
  </si>
  <si>
    <t>Additives</t>
  </si>
  <si>
    <t>ADDITIONAL DATA - NOT USED</t>
  </si>
  <si>
    <t>Decrease in Building Activity</t>
  </si>
  <si>
    <t>NZ 2050</t>
  </si>
  <si>
    <t>Waterproof Liners</t>
  </si>
  <si>
    <t>Numbers are aligned with global demand!!!</t>
  </si>
  <si>
    <t>Residential</t>
  </si>
  <si>
    <t xml:space="preserve">Split </t>
  </si>
  <si>
    <t>Commercial</t>
  </si>
  <si>
    <t>Buildings' share of Propylene Demand</t>
  </si>
  <si>
    <t>Buildings' share of Ethylene Demand</t>
  </si>
  <si>
    <t xml:space="preserve"> Grubler et al. (2018)</t>
  </si>
  <si>
    <t xml:space="preserve"> "Residential floorspace is assumed to grow from 180 billion m2 in 2020 to 260 billion m2 in 2050.  Total global floorspace for the residential and commercial sectors in 2050 is 264 billion m2  and 104 billion m2 , respectively, corresponding to compound average growth rates of 1.3% and 1.7%"</t>
  </si>
  <si>
    <t>Economic &amp; Demographic Growth</t>
  </si>
  <si>
    <t>Reduced Activity</t>
  </si>
  <si>
    <t>NZ2050</t>
  </si>
  <si>
    <t>Plastics use in buildings</t>
  </si>
  <si>
    <t>Pipes &amp; Ducts</t>
  </si>
  <si>
    <t>Insulation</t>
  </si>
  <si>
    <t>Roofing</t>
  </si>
  <si>
    <t>Windows</t>
  </si>
  <si>
    <t>Wall Coverings</t>
  </si>
  <si>
    <t>% change</t>
  </si>
  <si>
    <t>Methanol - Plastics (excl ethylene propylene)</t>
  </si>
  <si>
    <t>Methanol - Fuel</t>
  </si>
  <si>
    <t>C4 (fuel)</t>
  </si>
  <si>
    <t>ODI Check based on car numbers</t>
  </si>
  <si>
    <t>https://cdn.odi.org/media/documents/odi-et-cp-automotive-report-sep20-proof02_final2.pdf</t>
  </si>
  <si>
    <t>Fuel demand growth</t>
  </si>
  <si>
    <t>Switch from ICE to EV (Plastics increase)</t>
  </si>
  <si>
    <t>WEF (http://www3.weforum.org/docs/WEF_Forging_Ahead_2020.pdf)</t>
  </si>
  <si>
    <t>Switch from ICE to EV (Fuel demand reduction)</t>
  </si>
  <si>
    <t>Assumption that all fuel in ICE, some fuel actually in home heating/cooking but assume same rate of decline towards 0 by 2050</t>
  </si>
  <si>
    <t>XaaS</t>
  </si>
  <si>
    <t>Share of methanol fuel in ICE</t>
  </si>
  <si>
    <t>Assumption</t>
  </si>
  <si>
    <t>Life Extension</t>
  </si>
  <si>
    <t>Share of methanol fuel in heating combustion</t>
  </si>
  <si>
    <t>Substitution in cars</t>
  </si>
  <si>
    <t>Substitution in cars due to BEV</t>
  </si>
  <si>
    <t>Substitution in heating due to electrification &amp; development</t>
  </si>
  <si>
    <t>NZ/CE 2050 demand for fuel application</t>
  </si>
  <si>
    <t>assumption</t>
  </si>
  <si>
    <t>Life Ext.</t>
  </si>
  <si>
    <t>Demand reduction for methanol for fuel applications</t>
  </si>
  <si>
    <t>ICE to EV - LC</t>
  </si>
  <si>
    <t>ICE to EV - HC</t>
  </si>
  <si>
    <t>Electrification of cooking appliances</t>
  </si>
  <si>
    <t>Estimated in conjuction with XaaS team - SYSTEMIQ</t>
  </si>
  <si>
    <t>separate model from ETC</t>
  </si>
  <si>
    <t>Total 2020</t>
  </si>
  <si>
    <t>ethylene</t>
  </si>
  <si>
    <t>--&gt; total deamnd for ehtylene and porpylene in car match with previously calculated</t>
  </si>
  <si>
    <t>White</t>
  </si>
  <si>
    <t>Blue</t>
  </si>
  <si>
    <t>Numberes from</t>
  </si>
  <si>
    <t>Plastics used in cars</t>
  </si>
  <si>
    <t>Source: The Plastics Industry Trade Association, Automotive Recycling – Devalued is now Revalued (2016)</t>
  </si>
  <si>
    <t>Growth in NZ/CE</t>
  </si>
  <si>
    <t>Autmotive share of Propylene Demand</t>
  </si>
  <si>
    <t>Autmotive share of Ethylene Demand</t>
  </si>
  <si>
    <t>Methanol (excl MTO)</t>
  </si>
  <si>
    <t>calculation in a seaparate excel</t>
  </si>
  <si>
    <t>https://www.mckinsey.com/~/media/mckinsey/industries/retail/our%20insights/fashion%20on%20climate/fashion-on-climate-full-report.pdf</t>
  </si>
  <si>
    <t xml:space="preserve">Man made cellulosic fibres (including lyocel, viscose, etc … to substitute polyester): CAGR expected 5% from 6.5mT - assumed growth over 30 years and will substitute current fibres equally. So total market by 2050: 28mT. </t>
  </si>
  <si>
    <t>47mt of textile (53-6) growing at 2.1CAGR =  (source EMF)</t>
  </si>
  <si>
    <t>--&gt; 20% used</t>
  </si>
  <si>
    <t>Waste red.</t>
  </si>
  <si>
    <t>Sub.</t>
  </si>
  <si>
    <t>Fashion on Climate (separate excel)</t>
  </si>
  <si>
    <t>% change for all chemicals</t>
  </si>
  <si>
    <t>%change methanol</t>
  </si>
  <si>
    <t>Blanket R&amp;S: Estimated based on most conservative asusmptions from other sectors</t>
  </si>
  <si>
    <t>estimated</t>
  </si>
  <si>
    <t>Ethylene CAGR</t>
  </si>
  <si>
    <t>IEA</t>
  </si>
  <si>
    <t>Propylene CAGR</t>
  </si>
  <si>
    <t>Weighted average CAGR</t>
  </si>
  <si>
    <t>Plastic waste generation</t>
  </si>
  <si>
    <t>Weighted average CAGR from Eth and Prop from IEA</t>
  </si>
  <si>
    <t>% share of packaging and consumer goods in plastic waste generation</t>
  </si>
  <si>
    <t>Assumed constant overtime</t>
  </si>
  <si>
    <t>% share of automotive in plastic waste generation</t>
  </si>
  <si>
    <t>% share of building in plastic waste generation</t>
  </si>
  <si>
    <t>% share of apparel in plastic waste generation</t>
  </si>
  <si>
    <t>% share of others waste generation</t>
  </si>
  <si>
    <t>Total (check)</t>
  </si>
  <si>
    <t>Packaging and consumer goods plastic waste generation</t>
  </si>
  <si>
    <t>mT plastic waste</t>
  </si>
  <si>
    <t>Automotive plastic waste generation</t>
  </si>
  <si>
    <t>Construction plastic waste generation</t>
  </si>
  <si>
    <t>Apparel plastic waste generation</t>
  </si>
  <si>
    <t>Other plastic waste generation</t>
  </si>
  <si>
    <t>Plastic waste generation (check)</t>
  </si>
  <si>
    <t>% ethylene in packaging and consumer goods plastic waste</t>
  </si>
  <si>
    <t>% ethylene in automotive plastic waste</t>
  </si>
  <si>
    <t>% ethylene in construction plastic waste</t>
  </si>
  <si>
    <t>% ethylene in apparel plastic waste</t>
  </si>
  <si>
    <t>Assuming 100% of apparel fibres are PET</t>
  </si>
  <si>
    <t>% ethylene in other plastic waste</t>
  </si>
  <si>
    <t>Max Ethylene-derived from packaging and consumer goods waste generation</t>
  </si>
  <si>
    <t>mT ethylene</t>
  </si>
  <si>
    <t>Max Ethylene-derived from Automotive waste generation</t>
  </si>
  <si>
    <t>Max Ethylene-derived from Construction waste generation</t>
  </si>
  <si>
    <t>Max Ethylene-derived from apparel waste generation</t>
  </si>
  <si>
    <t>Max Ethylene-derived from other waste generation</t>
  </si>
  <si>
    <t>Total ethylene-derived plastic waste generated</t>
  </si>
  <si>
    <t>Total Ethylene-derived waste generation</t>
  </si>
  <si>
    <t>Total Ethylene production</t>
  </si>
  <si>
    <t>Total Ethylene remains in stock</t>
  </si>
  <si>
    <t>Ratio waste/production</t>
  </si>
  <si>
    <t>--&gt; means that the ratio is in average 80% - TRIANGULATION: Geyer et Al. estimated it at (4900 + 600 + 800)/8300 = 76% - So good !</t>
  </si>
  <si>
    <t>Ethylene R&amp;S reduction ratio for packaging production</t>
  </si>
  <si>
    <t>Ethylene R&amp;S reduction ratio for automotive production</t>
  </si>
  <si>
    <t>Ethylene R&amp;S reduction ratio for construction production</t>
  </si>
  <si>
    <t>Ethylene R&amp;S reduction ratio for apparel production</t>
  </si>
  <si>
    <t>Ethylene R&amp;S reduction ratio for other production</t>
  </si>
  <si>
    <t>Manual calculation - each row and each cell is different C42:AG46</t>
  </si>
  <si>
    <t>Ethylene-derived packaging waste generation post R&amp;S</t>
  </si>
  <si>
    <t>Assuming no delay between production and waste</t>
  </si>
  <si>
    <t>Geyer et al (2017)</t>
  </si>
  <si>
    <t>Ethylene-derived Automotive waste generation  post R&amp;S</t>
  </si>
  <si>
    <t>Assuming 12 year delay between production and waste</t>
  </si>
  <si>
    <t>Ethylene-derived Construction waste generation post R&amp;S</t>
  </si>
  <si>
    <t>Assuming 30 year delay between production and waste</t>
  </si>
  <si>
    <t>Ethylene-derived Textile waste generation post R&amp;S</t>
  </si>
  <si>
    <t>Assuming 5 year delay between production and waste</t>
  </si>
  <si>
    <t>Ethylene-derived other waste generation post R&amp;S</t>
  </si>
  <si>
    <t>Total Ethylene-derived waste geenration post R&amp;S</t>
  </si>
  <si>
    <t>PACKAGING AND CONSUMMER GOODS RECYCLING RATES</t>
  </si>
  <si>
    <t>Recycling rate adjusted for ethylene</t>
  </si>
  <si>
    <t>Closed Loop recycling rates from packaging and consummer goods</t>
  </si>
  <si>
    <t xml:space="preserve">assuming absolute volumes are the same as HC </t>
  </si>
  <si>
    <t>Open Loop recycling rates from packaging and consummer goods</t>
  </si>
  <si>
    <t>Overall recycling rates from packaging and consummer goods</t>
  </si>
  <si>
    <t>% recycling rate of Packaging and consummer goods to textile (via Open loop)</t>
  </si>
  <si>
    <t>% recycling rate of Packaging and consummer goods to other (via Open Loop)</t>
  </si>
  <si>
    <t>% recycling rate of Packaging and consummer goods to construction (via Open Loop)</t>
  </si>
  <si>
    <t>Ethylene-adjusted Closed Loop recycling rates from packaging and consummer goods</t>
  </si>
  <si>
    <t>Ethylene-adjusted Open Loop recycling rates from packaging and consummer goods</t>
  </si>
  <si>
    <t>Ethylene-adjusted Overall recycling rates from packaging and consummer goods</t>
  </si>
  <si>
    <t>% Ethylene-adjusted recycling rate of Packaging and consummer goods to textile (via Open loop)</t>
  </si>
  <si>
    <t>% Ethylene-adjusted recycling rate of Packaging and consummer goods to other (via Open Loop)</t>
  </si>
  <si>
    <t>% Ethylene-adjusted recycling rate of Packaging and consummer goods to construction (via Open Loop)</t>
  </si>
  <si>
    <t>Open Loop to apparel</t>
  </si>
  <si>
    <t>Open Loop to automotive</t>
  </si>
  <si>
    <t>Open Loop to construction</t>
  </si>
  <si>
    <t>Open Loop to others</t>
  </si>
  <si>
    <t>AUTOMOTIVE RECYCLING RATES</t>
  </si>
  <si>
    <t>No adjusting factor necessary given no data available for that sector</t>
  </si>
  <si>
    <t>Overall recycling rates from automotive</t>
  </si>
  <si>
    <t>Closed Loop recycling rates from automotive</t>
  </si>
  <si>
    <t>Open Loop recycling rates from automotive</t>
  </si>
  <si>
    <t>% recycling rate of Automotive to construction (via Open loop)</t>
  </si>
  <si>
    <t>% recycling rate of Automotive to packaging and consummer goods (via Open Loop)</t>
  </si>
  <si>
    <t>% recycling rate of Automotive to others</t>
  </si>
  <si>
    <t>Open Loop to packaging</t>
  </si>
  <si>
    <t>APPAREL RECYCLING RATES</t>
  </si>
  <si>
    <t>No adjusting factor necessary given 100% of fibres are assumed to be PET</t>
  </si>
  <si>
    <t>Apparel overall recycling rates</t>
  </si>
  <si>
    <t>EMF - A New Textile industry - 2018 // 2050 estimation from internal systemiq team</t>
  </si>
  <si>
    <t>Closed Loop recycling rates from apparel</t>
  </si>
  <si>
    <t>Open Loop recycling rates from apparel</t>
  </si>
  <si>
    <t>% recycling rate of apparel to construction (via Open loop)</t>
  </si>
  <si>
    <t>% recycling rate of apparel to others</t>
  </si>
  <si>
    <t>CONSTRUCTION RECYCLING RATES</t>
  </si>
  <si>
    <t>Construction Closed Loop recycling rate</t>
  </si>
  <si>
    <t>Recycling rate from OECD report: Improving Markets for Recycled Plastics, 2018. 2.5% for Australia, and xx% from EU (BPWE team). Confirmed by ODI paper (recycling rate &lt;2%). For 2050, assumed an average recycling from packaging and cars.</t>
  </si>
  <si>
    <t>Ethylene adjusted construction recycling rate</t>
  </si>
  <si>
    <t>OTHER RECYCLING RATES</t>
  </si>
  <si>
    <t>Other recycling rates</t>
  </si>
  <si>
    <t>Recycling rate from OECD report: Improving Markets for Recycled Plastics, 2018. ~5% for Australia used for 2020. Assuming 20% by 2050 as default value.</t>
  </si>
  <si>
    <t>OVERALL ETHYLENE-DERIVED RECYCLING RATES</t>
  </si>
  <si>
    <t>Ethyelene derived recyclin is higher than average --&gt; realistic</t>
  </si>
  <si>
    <t>OVERALL PLASTIC RECYCLING RATES</t>
  </si>
  <si>
    <t>--&gt; triangulation - OECD report through Geyer et Al. estimate a global plastic recycling rate of of 18% globally which is assumed to be a high estimate and not account for losses (~20% for sorting and 20% for recycling) which leads to ~11.5% ! So we are in good ranges</t>
  </si>
  <si>
    <t>Ethyelene recycling volumes</t>
  </si>
  <si>
    <t>Ethyelene recycling rates volumes (BAU)</t>
  </si>
  <si>
    <t>CAGR from BPW</t>
  </si>
  <si>
    <t>BAU - Plastic waste breakdown</t>
  </si>
  <si>
    <t>Collection rate</t>
  </si>
  <si>
    <t>from BPW - assuming assuming goal achieved by 2040 are achieved by 2050.</t>
  </si>
  <si>
    <t>Environmental leakage</t>
  </si>
  <si>
    <t>Ocean Leakage</t>
  </si>
  <si>
    <t>HC - Plastic waste breakdown</t>
  </si>
  <si>
    <t>Collection rate (A1+V1)</t>
  </si>
  <si>
    <t xml:space="preserve">% waste collected from high income </t>
  </si>
  <si>
    <t>% waste collected from others</t>
  </si>
  <si>
    <t>Formal Collection (B1)</t>
  </si>
  <si>
    <t>Unformal Collection (B2+V1)</t>
  </si>
  <si>
    <t>Collected for recycling  (C1)</t>
  </si>
  <si>
    <t>Collected as mixed (C2)</t>
  </si>
  <si>
    <t>Mixed sent to MRF (E3)</t>
  </si>
  <si>
    <t>Mixed un-sorted (E1+E2)</t>
  </si>
  <si>
    <t>Sent to recycling (F1+F2)</t>
  </si>
  <si>
    <t>Losses from MRF (F3)</t>
  </si>
  <si>
    <t>Unformal to recycling (D1+D2)</t>
  </si>
  <si>
    <t>Unformal  to unsorted (D4)</t>
  </si>
  <si>
    <t>Losses from Recycling  (J1+I2)</t>
  </si>
  <si>
    <t>Incineration (O)</t>
  </si>
  <si>
    <t>Landfill (N)</t>
  </si>
  <si>
    <t>Dumpsite (V0)</t>
  </si>
  <si>
    <t>Open Burning (S)</t>
  </si>
  <si>
    <t>Environmental leakage (T0)</t>
  </si>
  <si>
    <t>Ocean Leakage (W)</t>
  </si>
  <si>
    <t>Total Disposal + Leakage</t>
  </si>
  <si>
    <t>Mixed sent disposal (E1+E2)</t>
  </si>
  <si>
    <t>Unformal  to disposal (D4)</t>
  </si>
  <si>
    <t>Etylene adjusted actual recycling TOTAL</t>
  </si>
  <si>
    <t>BPW assumes that unsorted waste at source cannot be recycled. Here we are taking the reverse approach to say that if we want to meet the above recycling rates, x mT of waste would need to come from unsorted waste. And recalculate the amont of unsorted waste sent to disposal without going through sorting facilities.</t>
  </si>
  <si>
    <t>Ethylene adjusted sent to recycling TOTAL</t>
  </si>
  <si>
    <t>Ethylene adjusted sent to recycling from unformal</t>
  </si>
  <si>
    <t>Ethylene adjusted sent to recycling from MRF</t>
  </si>
  <si>
    <t>Ethylene adjusted sent to MRF TOTAL</t>
  </si>
  <si>
    <t>Ethylene adjusted sent to MRF from sorted at source</t>
  </si>
  <si>
    <t>Ethylene adjusted sent to MRF from mixed waste</t>
  </si>
  <si>
    <t>Ethylene adjusted losses from MRF, unformal and recycling</t>
  </si>
  <si>
    <t>Ethylene-adjusted mixed waste to disposal</t>
  </si>
  <si>
    <t>Waste assumed available for chemical recycling</t>
  </si>
  <si>
    <t>Assumption from BPWE: 80% of losses from recycling, MRF etc. would fit depol. and diss. Technologies given high quality required</t>
  </si>
  <si>
    <t>Available waste from high income</t>
  </si>
  <si>
    <t>Available waste from low income</t>
  </si>
  <si>
    <t>S-Curve for technology ramp-up applied to diss. and depol.</t>
  </si>
  <si>
    <t>% PET from packaging and textile out of total recycling volumes</t>
  </si>
  <si>
    <t>To be calculated by the matrix</t>
  </si>
  <si>
    <t>Depolymerization technologies</t>
  </si>
  <si>
    <t>% high value grades out of total</t>
  </si>
  <si>
    <t>Assuming half of HC</t>
  </si>
  <si>
    <t>Estimated - assuming only high value grades are applicable for such technologies</t>
  </si>
  <si>
    <t>Dissolutions technologies</t>
  </si>
  <si>
    <t>Waste available for other technologies</t>
  </si>
  <si>
    <t>Tons of waste collected as sorted</t>
  </si>
  <si>
    <t>Tons of waste collected as mixed</t>
  </si>
  <si>
    <t>Assuming only 'sorted waste' can be applicable to pyrolysis</t>
  </si>
  <si>
    <t>Assuming sorted AND unsorted waste can be applicable for pyrolysis</t>
  </si>
  <si>
    <t>TRIANGULATION</t>
  </si>
  <si>
    <t>From Plastics Europe facts 2020 (EU data for 2019)</t>
  </si>
  <si>
    <t>Volume to construction</t>
  </si>
  <si>
    <t>Volume to packaging</t>
  </si>
  <si>
    <t>Volume to other</t>
  </si>
  <si>
    <t>Volume to apparel</t>
  </si>
  <si>
    <t>Volumes to car</t>
  </si>
  <si>
    <t>Total volumes</t>
  </si>
  <si>
    <t>total check</t>
  </si>
  <si>
    <t>Seems about correct assuming textile downcycling does not happen in EU and car recycling is bigger in EU than globally</t>
  </si>
  <si>
    <t>Overall recycling rate for low scenario</t>
  </si>
  <si>
    <t>IEA adjusted - Plastic waste generation</t>
  </si>
  <si>
    <t>Assuming CAGR is same as production</t>
  </si>
  <si>
    <t>Assuming 100% fibres are PET</t>
  </si>
  <si>
    <t>BPW extrapolated to 2050 (same growth rate used for 2040-2050 than 2030-2040) - data obtained for each decade and extrapolated (Scenario X master)</t>
  </si>
  <si>
    <t>From CLP - assuming constant</t>
  </si>
  <si>
    <t>% recycling rate of Packaging and consummer goods to automotive (via Open Loop)</t>
  </si>
  <si>
    <t>Adjusting factor for ethylene recycling rates</t>
  </si>
  <si>
    <t>% Ethylene-adjusted recycling rate of Packaging and consummer goods to automotive (via Open Loop)</t>
  </si>
  <si>
    <t>Recycling rate from OECD report: Improving Markets for Recycled Plastics, 2018. 2.5% for Australia, and xx% from EU (BPWE team). Target of 44% from EMF (via ODI report). Assuming growth rate is similar as packaging</t>
  </si>
  <si>
    <t>% recycling which is closed Loop from automotive</t>
  </si>
  <si>
    <t>Share of CL/OL for 2020 from WRAP - Plastic Market report for 2019 - share by 2050 from BPWE team. Assuming linear ramp up</t>
  </si>
  <si>
    <t>NOTE: these recycling rates are based on total polymers, not pure ethylene</t>
  </si>
  <si>
    <t>% recycling which is open Loop from automotive</t>
  </si>
  <si>
    <t>% Open Loop to construction</t>
  </si>
  <si>
    <t>Assuming constant overtime</t>
  </si>
  <si>
    <t>https://wrap.org.uk/sites/default/files/2020-10/WRAP_Plastics_market_situation_report.pdf</t>
  </si>
  <si>
    <t>% open Loop to packaging and consummer goods (via Open Loop)</t>
  </si>
  <si>
    <t>% open loop to others</t>
  </si>
  <si>
    <t>Adjusting factor</t>
  </si>
  <si>
    <t>Ethylene-adjusted CL</t>
  </si>
  <si>
    <t>Ethylene-adjusted OL</t>
  </si>
  <si>
    <t>Ethylene adjusted overall</t>
  </si>
  <si>
    <t>Ethylene adjusted OL to construction</t>
  </si>
  <si>
    <t>Ethylene adjusted OL to packaging</t>
  </si>
  <si>
    <t>Ethylene adjusted OL to others</t>
  </si>
  <si>
    <t>% recycling which is closed Loop from apparel</t>
  </si>
  <si>
    <t>EMF - A New Textile industry - 2018 (&lt;10% - estimated at 5% - EuraTex In EU has estimated at 10%: https://euratex.eu/wp-content/uploads/Recycling-Hubs-FIN-LQ.pdf // 2050: in EU the industry is targetting a 30% recycling rates for textiles</t>
  </si>
  <si>
    <t>% recycling which is open Loop from apparel</t>
  </si>
  <si>
    <t>Assumptions per decade then extrapolated for individual years</t>
  </si>
  <si>
    <t>Estimated - based on EMF, WRAP and other reports saying that textiles are being recycled for insulation, matresses, industrial and cars textile/fillers.</t>
  </si>
  <si>
    <t>Recycling rate from OECD report: Improving Markets for Recycled Plastics, 2018. 2.5% for Australia, and 26% from EU (BPWE team). Confirmed by ODI paper (recycling rate &lt;2%). For 2050, assumed an average recycling from packaging and cars. Plastic Europe data likely to be over-estimated (based on BPWE analysis) and therefore only used for polymer breakdown. 2% used instead</t>
  </si>
  <si>
    <t>51% of recycled construction plastic is PE while only 18% of construction lastic is PE according to Plastic Europe (2018). So Adjusting factor is based on the ratio of those two numbers assuming to flatten overtime but remain higher than average: https://www.plasticseurope.org/application/files/6315/5730/5565/BC_Table.pdf</t>
  </si>
  <si>
    <t>% PET from packaging and textile out of total waste volumes</t>
  </si>
  <si>
    <t>Ethylene recycld content per industry</t>
  </si>
  <si>
    <t>Transport</t>
  </si>
  <si>
    <t>% propylene in packaging and consumer goods plastic waste</t>
  </si>
  <si>
    <t>% propylene in automotive plastic waste</t>
  </si>
  <si>
    <t>% propylene in construction plastic waste</t>
  </si>
  <si>
    <t>% propylene in apparel plastic waste</t>
  </si>
  <si>
    <t>Assuming 0% of apparel fibres are PP</t>
  </si>
  <si>
    <t>% propylene in other plastic waste</t>
  </si>
  <si>
    <t>Max propylene-derived from packaging and consumer goods waste generation</t>
  </si>
  <si>
    <t>mT propylene</t>
  </si>
  <si>
    <t>Max propylene-derived from Automotive waste generation</t>
  </si>
  <si>
    <t>Max propylene-derived from Construction waste generation</t>
  </si>
  <si>
    <t>Max propylene-derived from apparel waste generation</t>
  </si>
  <si>
    <t>Max propylene-derived from other waste generation</t>
  </si>
  <si>
    <t>Total propylene-derived plastic waste generated</t>
  </si>
  <si>
    <t>Total propylene-derived waste generation</t>
  </si>
  <si>
    <t>Total propylene production</t>
  </si>
  <si>
    <t>Total propylene remains in stock</t>
  </si>
  <si>
    <t>propylene R&amp;S reduction ratio for packaging production</t>
  </si>
  <si>
    <t>propylene R&amp;S reduction ratio for automotive production</t>
  </si>
  <si>
    <t>propylene R&amp;S reduction ratio for construction production</t>
  </si>
  <si>
    <t>propylene R&amp;S reduction ratio for apparel production</t>
  </si>
  <si>
    <t>n/a</t>
  </si>
  <si>
    <t>propylene R&amp;S reduction ratio for other production</t>
  </si>
  <si>
    <t>propylene-derived packaging waste generation post R&amp;S</t>
  </si>
  <si>
    <t>propylene-derived Automotive waste generation  post R&amp;S</t>
  </si>
  <si>
    <t>propylene-derived Construction waste generation post R&amp;S</t>
  </si>
  <si>
    <t>propylene-derived Textile waste generation post R&amp;S</t>
  </si>
  <si>
    <t>propylene-derived other waste generation post R&amp;S</t>
  </si>
  <si>
    <t>Total propylene-derived waste geenration post R&amp;S</t>
  </si>
  <si>
    <t>Recycling rate adjusted for propylene</t>
  </si>
  <si>
    <t>propylene-adjusted Closed Loop recycling rates from packaging and consummer goods</t>
  </si>
  <si>
    <t>propylene-adjusted Open Loop recycling rates from packaging and consummer goods</t>
  </si>
  <si>
    <t>propylene-adjusted Overall recycling rates from packaging and consummer goods</t>
  </si>
  <si>
    <t>% propylene-adjusted recycling rate of Packaging and consummer goods to other (via Open Loop)</t>
  </si>
  <si>
    <t>% propylene-adjusted recycling rate of Packaging and consummer goods to construction (via Open Loop)</t>
  </si>
  <si>
    <t>Propylene-adjusted overall recycling rates from automotive</t>
  </si>
  <si>
    <t>Propylene-adjusted closed-loop recycling rates from automotive</t>
  </si>
  <si>
    <t>Propylene-adjusted open-loop recycling rates from automotive</t>
  </si>
  <si>
    <t>% propylene-adjusted recycling rate of automotive to construction (via Open Loop)</t>
  </si>
  <si>
    <t>% propylene-adjusted recycling rate of automotive to packaging and consummer goods (via Open Loop)</t>
  </si>
  <si>
    <t>% propylene-adjusted recycling rate of automotive to other (via Open Loop)</t>
  </si>
  <si>
    <t>propylene adjusted construction recycling rate</t>
  </si>
  <si>
    <t>OVERALL propylene-DERIVED RECYCLING RATES</t>
  </si>
  <si>
    <t>Propylene recycling volumes</t>
  </si>
  <si>
    <t>2020 unformal sector value adjusted to match recycling rate</t>
  </si>
  <si>
    <t>Propylene adjusted actual recycling TOTAL</t>
  </si>
  <si>
    <t>Propylene adjusted sent to recycling TOTAL</t>
  </si>
  <si>
    <t>Propylene adjusted sent to recycling from unformal</t>
  </si>
  <si>
    <t>Propylene adjusted sent to recycling from MRF</t>
  </si>
  <si>
    <t>Propylene adjusted sent to MRF TOTAL</t>
  </si>
  <si>
    <t>Propylene adjusted sent to MRF from sorted at source</t>
  </si>
  <si>
    <t>Propylene adjusted sent to MRF from mixed waste</t>
  </si>
  <si>
    <t>Propylene adjusted losses from MRF, unformal and recycling</t>
  </si>
  <si>
    <t>Propylene-adjusted mixed waste to disposal</t>
  </si>
  <si>
    <t>Technology not relevant for PP</t>
  </si>
  <si>
    <t>Assuming half og HC</t>
  </si>
  <si>
    <t>estimated and assumed constant</t>
  </si>
  <si>
    <t>Assuming left over</t>
  </si>
  <si>
    <t>Adjusting factor for propylene recycling rates</t>
  </si>
  <si>
    <t>NOTE: these recycling rates are based on total polymers, not pure propylene</t>
  </si>
  <si>
    <t>propylene-adjusted overall recycling rates from automotive</t>
  </si>
  <si>
    <t>propylene-adjusted Closed Loop recycling rates from automotive</t>
  </si>
  <si>
    <t>propylene-adjusted Open-Loop recycling rates from automotive</t>
  </si>
  <si>
    <t>EMF - A New Textile industry - 2018 (&lt;10% - estimated at 5%) // 2050 assuming ratio is the same as packaging for OL and CL (40/60)</t>
  </si>
  <si>
    <t>23% of recycled construction plastic is PP while only 8% of construction plastic is PP according to Plastic Europe (2018). So Adjusting factor is based on the ratio of those two numbers assuming to flatten overtime but remain higher than average: https://www.plasticseurope.org/application/files/6315/5730/5565/BC_Table.pdf</t>
  </si>
  <si>
    <t>Ethyelene derived recyclin is much lower than average --&gt; realistic</t>
  </si>
  <si>
    <t>Propylene recycld content per industry</t>
  </si>
  <si>
    <t>% methanol in packaging and consumer goods plastic waste</t>
  </si>
  <si>
    <t>% methanol in automotive plastic waste</t>
  </si>
  <si>
    <t>% methanol in construction plastic waste</t>
  </si>
  <si>
    <t>% methanol in apparel plastic waste</t>
  </si>
  <si>
    <t>% methanol in other plastic waste</t>
  </si>
  <si>
    <t>Max methanol-derived from packaging and consumer goods waste generation</t>
  </si>
  <si>
    <t>mT methanol</t>
  </si>
  <si>
    <t>Max methanol-derived from Automotive waste generation</t>
  </si>
  <si>
    <t>Max methanol-derived from Construction waste generation</t>
  </si>
  <si>
    <t>Max methanol-derived from apparel waste generation</t>
  </si>
  <si>
    <t>Max methanol-derived from other waste generation</t>
  </si>
  <si>
    <t>Total methanol-derived plastic waste generated</t>
  </si>
  <si>
    <t>Total methanol-derived waste generation</t>
  </si>
  <si>
    <t>methanol R&amp;S reduction ratio for packaging production</t>
  </si>
  <si>
    <t>methanol R&amp;S reduction ratio for automotive production</t>
  </si>
  <si>
    <t>methanol R&amp;S reduction ratio for construction production</t>
  </si>
  <si>
    <t>methanol R&amp;S reduction ratio for apparel production</t>
  </si>
  <si>
    <t>methanol R&amp;S reduction ratio for other production</t>
  </si>
  <si>
    <t>methanol-derived packaging waste generation post R&amp;S</t>
  </si>
  <si>
    <t>methanol-derived Automotive waste generation  post R&amp;S</t>
  </si>
  <si>
    <t>methanol-derived Construction waste generation post R&amp;S</t>
  </si>
  <si>
    <t>methanol-derived Textile waste generation post R&amp;S</t>
  </si>
  <si>
    <t>methanol-derived other waste generation post R&amp;S</t>
  </si>
  <si>
    <t>Total methanol-derived waste geenration post R&amp;S</t>
  </si>
  <si>
    <t>Adjusting factor for methanol recycling rates</t>
  </si>
  <si>
    <t>methanol-adjusted Closed Loop recycling rates from packaging and consummer goods</t>
  </si>
  <si>
    <t>methanol-adjusted Open Loop recycling rates from packaging and consummer goods</t>
  </si>
  <si>
    <t>methanol-adjusted Overall recycling rates from packaging and consummer goods</t>
  </si>
  <si>
    <t>% methanol-adjusted recycling rate of Packaging and consummer goods to textile (via Open loop)</t>
  </si>
  <si>
    <t>% methanol-adjusted recycling rate of Packaging and consummer goods to other (via Open Loop)</t>
  </si>
  <si>
    <t>% methanol-adjusted recycling rate of Packaging and consummer goods to automotive (via Open Loop)</t>
  </si>
  <si>
    <t>% methanol-adjusted recycling rate of Packaging and consummer goods to construction (via Open Loop)</t>
  </si>
  <si>
    <t>OTHERs</t>
  </si>
  <si>
    <t>Add. Closed Loop</t>
  </si>
  <si>
    <t>OL - to textiles</t>
  </si>
  <si>
    <t>Add. OL - to textiles</t>
  </si>
  <si>
    <t>OL - to automotive</t>
  </si>
  <si>
    <t>Add. OL - to automotive</t>
  </si>
  <si>
    <t>OL - to others</t>
  </si>
  <si>
    <t>Add. OL - to others</t>
  </si>
  <si>
    <t>OL - to construction</t>
  </si>
  <si>
    <t>Add. OL - to construction</t>
  </si>
  <si>
    <t>used construction as proxy with optimistic assumption that recycling rates of all polymers will be around the same average by 2050</t>
  </si>
  <si>
    <t>methanol-adjusted Closed Loop recycling rates from tranportation</t>
  </si>
  <si>
    <t>methanol-adjusted Open Loop recycling rates from transportation</t>
  </si>
  <si>
    <t>methanol-adjusted Overall recycling rates from transportation</t>
  </si>
  <si>
    <t>methanol-adjusted % recycling rate of Automotive to construction (via Open loop)</t>
  </si>
  <si>
    <t>methanol adjusted % recycling rate of Automotive to packaging and consummer goods (via Open Loop)</t>
  </si>
  <si>
    <t>methanol adjusted % recycling rate of Automotive to others</t>
  </si>
  <si>
    <t>OL - to packaging</t>
  </si>
  <si>
    <t>Add. OL - to packaging</t>
  </si>
  <si>
    <t>methanol-adjusted % recycling rate of Apparel to construction (via Open loop)</t>
  </si>
  <si>
    <t>methanol adjusted % recycling rate of Apparel to others</t>
  </si>
  <si>
    <t>7.5% of PU and other plastics are mechanically recycled (compared to the average of 26%), ODI &amp; Plastics Europe https://www.plasticseurope.org/application/files/6315/5730/5565/BC_Table.pdf assumed increasing to 70% linearly by 2050</t>
  </si>
  <si>
    <t>methanol adjusted construction recycling rate</t>
  </si>
  <si>
    <t>OVERALL methanol-DERIVED RECYCLING RATES</t>
  </si>
  <si>
    <t>methanol derived recycling is lower than average --&gt; realistic</t>
  </si>
  <si>
    <t>Methanol recycling volumes</t>
  </si>
  <si>
    <t>Methanol recycling rates volumes (BAU)</t>
  </si>
  <si>
    <t>methanol adjusted actual recycling TOTAL</t>
  </si>
  <si>
    <t>methanol adjusted sent to recycling TOTAL</t>
  </si>
  <si>
    <t>methanol adjusted sent to recycling from unformal</t>
  </si>
  <si>
    <t>methanol adjusted sent to recycling from MRF</t>
  </si>
  <si>
    <t>methanol adjusted sent to MRF TOTAL</t>
  </si>
  <si>
    <t>methanol adjusted sent to MRF from sorted at source</t>
  </si>
  <si>
    <t>methanol adjusted sent to MRF from mixed waste</t>
  </si>
  <si>
    <t>methanol adjusted losses from MRF, unformal and recycling</t>
  </si>
  <si>
    <t>methanol-adjusted mixed waste to disposal</t>
  </si>
  <si>
    <t>% BTX in packaging and consumer goods plastic waste</t>
  </si>
  <si>
    <t>% BTX in automotive plastic waste</t>
  </si>
  <si>
    <t>% BTX in construction plastic waste</t>
  </si>
  <si>
    <t>% BTX in apparel plastic waste</t>
  </si>
  <si>
    <t>% BTX in other plastic waste</t>
  </si>
  <si>
    <t>Max BTX-derived from packaging and consumer goods waste generation</t>
  </si>
  <si>
    <t>mT BTX</t>
  </si>
  <si>
    <t>Max BTX-derived from Automotive waste generation</t>
  </si>
  <si>
    <t>Max BTX-derived from Construction waste generation</t>
  </si>
  <si>
    <t>Max BTX-derived from apparel waste generation</t>
  </si>
  <si>
    <t>Max BTX-derived from other waste generation</t>
  </si>
  <si>
    <t>Total BTX-derived plastic waste generated</t>
  </si>
  <si>
    <t>Total BTX-derived waste generation</t>
  </si>
  <si>
    <t>BTX R&amp;S reduction ratio for packaging production</t>
  </si>
  <si>
    <t>BTX R&amp;S reduction ratio for automotive production</t>
  </si>
  <si>
    <t>BTX R&amp;S reduction ratio for construction production</t>
  </si>
  <si>
    <t>BTX R&amp;S reduction ratio for apparel production</t>
  </si>
  <si>
    <t>BTX R&amp;S reduction ratio for other production</t>
  </si>
  <si>
    <t>BTX-derived packaging waste generation post R&amp;S</t>
  </si>
  <si>
    <t>BTX-derived Automotive waste generation  post R&amp;S</t>
  </si>
  <si>
    <t>BTX-derived Construction waste generation post R&amp;S</t>
  </si>
  <si>
    <t>BTX-derived Textile waste generation post R&amp;S</t>
  </si>
  <si>
    <t>BTX-derived other waste generation post R&amp;S</t>
  </si>
  <si>
    <t>Total BTX-derived waste geenration post R&amp;S</t>
  </si>
  <si>
    <t>Adjusting factor for BTX recycling rates</t>
  </si>
  <si>
    <t>BTX-adjusted Closed Loop recycling rates from packaging and consummer goods</t>
  </si>
  <si>
    <t>BTX-adjusted Open Loop recycling rates from packaging and consummer goods</t>
  </si>
  <si>
    <t>BTX-adjusted Overall recycling rates from packaging and consummer goods</t>
  </si>
  <si>
    <t>% BTX-adjusted recycling rate of Packaging and consummer goods to textile (via Open loop)</t>
  </si>
  <si>
    <t>% BTX-adjusted recycling rate of Packaging and consummer goods to other (via Open Loop)</t>
  </si>
  <si>
    <t>% BTX-adjusted recycling rate of Packaging and consummer goods to automotive (via Open Loop)</t>
  </si>
  <si>
    <t>% BTX-adjusted recycling rate of Packaging and consummer goods to construction (via Open Loop)</t>
  </si>
  <si>
    <t>BTX-adjusted Closed Loop recycling rates from tranportation</t>
  </si>
  <si>
    <t>BTX-adjusted Open Loop recycling rates from transportation</t>
  </si>
  <si>
    <t>BTX-adjusted Overall recycling rates from transportation</t>
  </si>
  <si>
    <t>BTX-adjusted % recycling rate of Automotive to construction (via Open loop)</t>
  </si>
  <si>
    <t>BTX adjusted % recycling rate of Automotive to packaging and consummer goods (via Open Loop)</t>
  </si>
  <si>
    <t>BTX adjusted % recycling rate of Automotive to others</t>
  </si>
  <si>
    <t>BTX-adjusted % recycling rate of Apparel to construction (via Open loop)</t>
  </si>
  <si>
    <t>BTX adjusted % recycling rate of Apparel to others</t>
  </si>
  <si>
    <t>OL - to Others</t>
  </si>
  <si>
    <t>Add. OL - to Others</t>
  </si>
  <si>
    <t>BTX adjusted construction recycling rate</t>
  </si>
  <si>
    <t>OVERALL BTX-DERIVED RECYCLING RATES</t>
  </si>
  <si>
    <t>BTX recycling volumes</t>
  </si>
  <si>
    <t>BTX recycling rates volumes (BAU)</t>
  </si>
  <si>
    <t>BTX adjusted actual recycling TOTAL</t>
  </si>
  <si>
    <t>BTX adjusted sent to recycling TOTAL</t>
  </si>
  <si>
    <t>BTX adjusted sent to recycling from unformal</t>
  </si>
  <si>
    <t>BTX adjusted sent to recycling from MRF</t>
  </si>
  <si>
    <t>BTX adjusted sent to MRF TOTAL</t>
  </si>
  <si>
    <t>BTX adjusted sent to MRF from sorted at source</t>
  </si>
  <si>
    <t>BTX adjusted sent to MRF from mixed waste</t>
  </si>
  <si>
    <t>BTX adjusted losses from MRF, unformal and recycling</t>
  </si>
  <si>
    <t>BTX-adjusted mixed waste to disposal</t>
  </si>
  <si>
    <t>% C4 in packaging and consumer goods plastic waste</t>
  </si>
  <si>
    <t>% C4 in automotive plastic waste</t>
  </si>
  <si>
    <t>% C4 in construction plastic waste</t>
  </si>
  <si>
    <t>% C4 in apparel plastic waste</t>
  </si>
  <si>
    <t>% C4 in other plastic waste</t>
  </si>
  <si>
    <t>Max C4-derived from packaging and consumer goods waste generation</t>
  </si>
  <si>
    <t>mT C4</t>
  </si>
  <si>
    <t>Max C4-derived from Automotive waste generation</t>
  </si>
  <si>
    <t>Max C4-derived from Construction waste generation</t>
  </si>
  <si>
    <t>Max C4-derived from apparel waste generation</t>
  </si>
  <si>
    <t>Max C4-derived from other waste generation</t>
  </si>
  <si>
    <t>Total C4-derived plastic waste generated</t>
  </si>
  <si>
    <t>Total C4-derived waste generation</t>
  </si>
  <si>
    <t>C4 R&amp;S reduction ratio for packaging production</t>
  </si>
  <si>
    <t>C4 R&amp;S reduction ratio for automotive production</t>
  </si>
  <si>
    <t>C4 R&amp;S reduction ratio for construction production</t>
  </si>
  <si>
    <t>C4 R&amp;S reduction ratio for apparel production</t>
  </si>
  <si>
    <t>C4 R&amp;S reduction ratio for other production</t>
  </si>
  <si>
    <t>C4-derived packaging waste generation post R&amp;S</t>
  </si>
  <si>
    <t>C4-derived Automotive waste generation  post R&amp;S</t>
  </si>
  <si>
    <t>C4-derived Construction waste generation post R&amp;S</t>
  </si>
  <si>
    <t>C4-derived Textile waste generation post R&amp;S</t>
  </si>
  <si>
    <t>C4-derived other waste generation post R&amp;S</t>
  </si>
  <si>
    <t>Total C4-derived waste geenration post R&amp;S</t>
  </si>
  <si>
    <t>Adjusting factor for C4 recycling rates</t>
  </si>
  <si>
    <t>C4-adjusted Closed Loop recycling rates from packaging and consummer goods</t>
  </si>
  <si>
    <t>C4-adjusted Open Loop recycling rates from packaging and consummer goods</t>
  </si>
  <si>
    <t>C4-adjusted Overall recycling rates from packaging and consummer goods</t>
  </si>
  <si>
    <t>% C4-adjusted recycling rate of Packaging and consummer goods to textile (via Open loop)</t>
  </si>
  <si>
    <t>% C4-adjusted recycling rate of Packaging and consummer goods to other (via Open Loop)</t>
  </si>
  <si>
    <t>% C4-adjusted recycling rate of Packaging and consummer goods to automotive (via Open Loop)</t>
  </si>
  <si>
    <t>% C4-adjusted recycling rate of Packaging and consummer goods to construction (via Open Loop)</t>
  </si>
  <si>
    <t>Recycling rate from https://www.goldsteinresearch.com/report/global-tire-recycling-industry-market-trends-analysis (100 millions/ 1 billion) the EPA says 18.2% in the US https://www.epa.gov/facts-and-figures-about-materials-waste-and-recycling/rubber-and-leather-material-specific-data</t>
  </si>
  <si>
    <t xml:space="preserve">https://www.goldsteinresearch.com/report/global-tire-recycling-industry-market-trends-analysis </t>
  </si>
  <si>
    <t>Assuming this is already only rubber</t>
  </si>
  <si>
    <t>C4-adjusted Closed Loop recycling rates from tranportation</t>
  </si>
  <si>
    <t>C4-adjusted Open Loop recycling rates from transportation</t>
  </si>
  <si>
    <t>C4-adjusted Overall recycling rates from transportation</t>
  </si>
  <si>
    <t>C4-adjusted % recycling rate of Automotive to construction (via Open loop)</t>
  </si>
  <si>
    <t>C4 adjusted % recycling rate of Automotive to packaging and consummer goods (via Open Loop)</t>
  </si>
  <si>
    <t>C4 adjusted % recycling rate of Automotive to others</t>
  </si>
  <si>
    <t>C4-adjusted % recycling rate of Apparel to construction (via Open loop)</t>
  </si>
  <si>
    <t>C4 adjusted % recycling rate of Apparel to others</t>
  </si>
  <si>
    <t>C4 adjusted construction recycling rate</t>
  </si>
  <si>
    <t>OVERALL C4-DERIVED RECYCLING RATES</t>
  </si>
  <si>
    <t>C4 recycling volumes</t>
  </si>
  <si>
    <t>C4 recycling rates volumes (BAU)</t>
  </si>
  <si>
    <t>C4 adjusted actual recycling TOTAL</t>
  </si>
  <si>
    <t>C4 adjusted sent to recycling TOTAL</t>
  </si>
  <si>
    <t>C4 adjusted sent to recycling from unformal</t>
  </si>
  <si>
    <t>C4 adjusted sent to recycling from MRF</t>
  </si>
  <si>
    <t>C4 adjusted sent to MRF TOTAL</t>
  </si>
  <si>
    <t>C4 adjusted sent to MRF from sorted at source</t>
  </si>
  <si>
    <t>C4 adjusted sent to MRF from mixed waste</t>
  </si>
  <si>
    <t>C4 adjusted losses from MRF, unformal and recycling</t>
  </si>
  <si>
    <t>C4-adjusted mixed waste to disposal</t>
  </si>
  <si>
    <t>Waste generation</t>
  </si>
  <si>
    <t>Data from closed LooP Partners</t>
  </si>
  <si>
    <t>Films</t>
  </si>
  <si>
    <t>Strapping</t>
  </si>
  <si>
    <t>Food Bottles</t>
  </si>
  <si>
    <t>Non-food bottles</t>
  </si>
  <si>
    <t>Lumber/decking</t>
  </si>
  <si>
    <t>B2B packaging (crates etc.)</t>
  </si>
  <si>
    <t>hh goods</t>
  </si>
  <si>
    <t>Exported</t>
  </si>
  <si>
    <t>same data reorganized</t>
  </si>
  <si>
    <t>Textile</t>
  </si>
  <si>
    <t>Recyclate breakdown</t>
  </si>
  <si>
    <t>Overall from BPW: breakdown for the US from https://www.closedlooppartners.com/research/us-and-canada-recycling-infrastructure-and-plastic-waste-map/?preview=true</t>
  </si>
  <si>
    <t>Overall comes from OECD, breakdown from PlasticsEurope https://www.plasticseurope.org/application/files/6315/5730/5565/BC_Table.pdf assuming recycling rates for others is evenly spread for PU</t>
  </si>
  <si>
    <t>Overall comes from OECD, From CPA data EU state of Pay Collection and Sorting (infographics) https://ec.europa.eu/docsroom/documents/43694 p22</t>
  </si>
  <si>
    <t>EMF - A New Textile industry - 2018 // No information - so evenly split based on waste generation / negligible given PET is the wider share</t>
  </si>
  <si>
    <t>Overall comes from OECD (for all other secotrs), No data so evenly split based on waste generation</t>
  </si>
  <si>
    <t>Recyclate production</t>
  </si>
  <si>
    <t>2020 - Adjusting factors</t>
  </si>
  <si>
    <t>Molar mass ratios</t>
  </si>
  <si>
    <t>Other (transportation)</t>
  </si>
  <si>
    <t>Other (apparel)</t>
  </si>
  <si>
    <t>%E</t>
  </si>
  <si>
    <t>Adjusted total</t>
  </si>
  <si>
    <t>Recyclates</t>
  </si>
  <si>
    <t>Adjusted recyclates</t>
  </si>
  <si>
    <t>Adjusted recycling rates</t>
  </si>
  <si>
    <t>A category can be higher than 100% when atoms are lost i.e. Methanol the OH is typically not present in the end molecule</t>
  </si>
  <si>
    <t>Share of chemical pr waste generated</t>
  </si>
  <si>
    <t>2020 - Adjusting factors by chemical</t>
  </si>
  <si>
    <t>2050 - Adjusting factors by chemical</t>
  </si>
  <si>
    <t>If 0</t>
  </si>
  <si>
    <t>0-0.5</t>
  </si>
  <si>
    <t>0.5-0.9</t>
  </si>
  <si>
    <t>0.9-1.1</t>
  </si>
  <si>
    <t>&gt;1.1</t>
  </si>
  <si>
    <t>2050 - Recycling rates</t>
  </si>
  <si>
    <t>CL</t>
  </si>
  <si>
    <t>OL to textiles</t>
  </si>
  <si>
    <t>OL automotive</t>
  </si>
  <si>
    <t>OL to constrution</t>
  </si>
  <si>
    <t>OL to others</t>
  </si>
  <si>
    <t>Unknown so assumed it is the same as recyclate production</t>
  </si>
  <si>
    <t>Assuming it's will be same as production</t>
  </si>
  <si>
    <t>OL to construction</t>
  </si>
  <si>
    <t>OL packaging</t>
  </si>
  <si>
    <t>From CLP</t>
  </si>
  <si>
    <t>Molar mass</t>
  </si>
  <si>
    <t>via OECD report: Improving Markets for Recycled Plastics, 2018: https://www.oecd.org/env/improving-markets-for-recycled-plastics-9789264301016-en.htm</t>
  </si>
  <si>
    <t>Consumer</t>
  </si>
  <si>
    <t>Electrical</t>
  </si>
  <si>
    <t>Industrial Machinary</t>
  </si>
  <si>
    <t>from EMF report : A New Textile Economy, 2017: 54*0.63 - given textile in OECD report is 100% PPA, we assumed it includes no apparel</t>
  </si>
  <si>
    <t>Assumption waste growth 2015-2020 from BPW</t>
  </si>
  <si>
    <t>Ethylene [99.2] Polyethylene</t>
  </si>
  <si>
    <t>Ethylene [22.8] Ethylene Oxide</t>
  </si>
  <si>
    <t>Ethylene [19.5] Ethylene Dichloride</t>
  </si>
  <si>
    <t>Ethylene [9.8] Ethylbenzene</t>
  </si>
  <si>
    <t>Ethylene [11.4] Others</t>
  </si>
  <si>
    <t>Polyethylene [44.6] HDPE</t>
  </si>
  <si>
    <t>Polyethylene [54.6] LDPE</t>
  </si>
  <si>
    <t>Ethylene Oxide [3.8] PET</t>
  </si>
  <si>
    <t>Ethylene Oxide [6.9] PET fibres</t>
  </si>
  <si>
    <t>Ethylene Oxide [12.1] Others</t>
  </si>
  <si>
    <t>Ethylene Dichloride [18.7] PVC</t>
  </si>
  <si>
    <t>Ethylene Dichloride [0.8] Others</t>
  </si>
  <si>
    <t>Ethylbenzene [4.5] PS</t>
  </si>
  <si>
    <t>Ethylbenzene [5.3] Others</t>
  </si>
  <si>
    <t>Simplied?</t>
  </si>
  <si>
    <t>From</t>
  </si>
  <si>
    <t>To</t>
  </si>
  <si>
    <t>Alternative description (if other)</t>
  </si>
  <si>
    <t>Classification</t>
  </si>
  <si>
    <t>Classification 2.0</t>
  </si>
  <si>
    <t>Final or intermediate</t>
  </si>
  <si>
    <t>Percentage</t>
  </si>
  <si>
    <t>Amount (Mt Methanol)</t>
  </si>
  <si>
    <t>Stochiometry</t>
  </si>
  <si>
    <t>Mt starting material</t>
  </si>
  <si>
    <t>t starting material / t product</t>
  </si>
  <si>
    <t>Mt end product</t>
  </si>
  <si>
    <t>Colour</t>
  </si>
  <si>
    <t>Sankey Code</t>
  </si>
  <si>
    <t>I</t>
  </si>
  <si>
    <t>Flows</t>
  </si>
  <si>
    <t>#0000FF</t>
  </si>
  <si>
    <t>Yellow</t>
  </si>
  <si>
    <t>#FFFF00</t>
  </si>
  <si>
    <t>Methyl tert-Butyl Ether (MTBE)</t>
  </si>
  <si>
    <t>Default Flow</t>
  </si>
  <si>
    <t>Dark Grey</t>
  </si>
  <si>
    <t>#A9A9A9</t>
  </si>
  <si>
    <t>Brown</t>
  </si>
  <si>
    <t>#964B00</t>
  </si>
  <si>
    <t>Methyl Methacrylate (MMA)</t>
  </si>
  <si>
    <t>Purple</t>
  </si>
  <si>
    <t>#CC66FF</t>
  </si>
  <si>
    <t>Biodiesel</t>
  </si>
  <si>
    <t>Dimethylether (DME)</t>
  </si>
  <si>
    <t>Gasoline Blending &amp; Combustion</t>
  </si>
  <si>
    <t>Fuel Cells</t>
  </si>
  <si>
    <t>Row Labels</t>
  </si>
  <si>
    <t>Sum of Amount (Mt Methanol)</t>
  </si>
  <si>
    <t>Fuel blend</t>
  </si>
  <si>
    <t>(blank)</t>
  </si>
  <si>
    <t>Grand Total</t>
  </si>
  <si>
    <t>Carbamide-methanal resins (UF)</t>
  </si>
  <si>
    <t>Phenolic Resins (PF)</t>
  </si>
  <si>
    <t>Corrected</t>
  </si>
  <si>
    <t>Melamine Resins</t>
  </si>
  <si>
    <t>Major Polymers</t>
  </si>
  <si>
    <t>Polyacetal resins (polyoxymethylene)</t>
  </si>
  <si>
    <t>Minor Polymers</t>
  </si>
  <si>
    <t>Methylene diphenyl diisocyanate</t>
  </si>
  <si>
    <t>1,4-butanediol</t>
  </si>
  <si>
    <t>Polyethylene (PE)</t>
  </si>
  <si>
    <t>High-density Polyethylene (HDPE)</t>
  </si>
  <si>
    <t>Low-density Polyethylene (LDPE)</t>
  </si>
  <si>
    <t>Polyurethane (PU)</t>
  </si>
  <si>
    <t>Polyvinylchloride (PVC)</t>
  </si>
  <si>
    <t>Polystyrene (PS)</t>
  </si>
  <si>
    <t>Polypropylene (PP)</t>
  </si>
  <si>
    <t>Vinyl acetate monomer (VAM)</t>
  </si>
  <si>
    <t>Acetate esters</t>
  </si>
  <si>
    <t>Acetic anhydride</t>
  </si>
  <si>
    <t>Methyl Chlorides</t>
  </si>
  <si>
    <t>Methylamines</t>
  </si>
  <si>
    <t>Dimethyl terephthalate (DMT)</t>
  </si>
  <si>
    <t>Methanethiol</t>
  </si>
  <si>
    <t>Polymethyl methacrylate (PMMA)</t>
  </si>
  <si>
    <t>Polyvinyl acetate (PVA)</t>
  </si>
  <si>
    <t>Polyethylene terephthalate (PET)</t>
  </si>
  <si>
    <t>THF</t>
  </si>
  <si>
    <t>Polypropylene PP (ex-fibre)</t>
  </si>
  <si>
    <t>Polypropylene fibres</t>
  </si>
  <si>
    <t>Polyethylene terephthalate fibres (PET)</t>
  </si>
  <si>
    <t>Polyethylene terephthalate other (PET)</t>
  </si>
  <si>
    <t xml:space="preserve">Packaging and Household goods [7.9] Packaging and household goods </t>
  </si>
  <si>
    <t xml:space="preserve">Packaging and Household goods [14.5] Packaging and household goods </t>
  </si>
  <si>
    <t xml:space="preserve">Packaging and Household goods [8.6] Packaging and household goods </t>
  </si>
  <si>
    <t xml:space="preserve">Packaging and Household goods [23.6] Packaging and household goods </t>
  </si>
  <si>
    <t>Packaging and Household goods [13.8] Buildings and construction</t>
  </si>
  <si>
    <t>Packaging and Household goods [17.2] Buildings and construction</t>
  </si>
  <si>
    <t>Packaging and Household goods [14.8] Buildings and construction</t>
  </si>
  <si>
    <t>Packaging and Household goods [26.7] Buildings and construction</t>
  </si>
  <si>
    <t>Packaging and Household goods [1.4] textile</t>
  </si>
  <si>
    <t>Packaging and Household goods [0.9] textile</t>
  </si>
  <si>
    <t>Packaging and Household goods [0.8] others</t>
  </si>
  <si>
    <t>Packaging and Household goods [0.9] others</t>
  </si>
  <si>
    <t>Packaging and Household goods [1.1] others</t>
  </si>
  <si>
    <t>Packaging and Household goods [3.3] others</t>
  </si>
  <si>
    <t>Transportation [0.1] transportation</t>
  </si>
  <si>
    <t>Transportation [1.9] transportation</t>
  </si>
  <si>
    <t>Transportation [5.0] transportation</t>
  </si>
  <si>
    <t>Transportation [0.1] Packaging and household goods</t>
  </si>
  <si>
    <t>Transportation [0.1] Buildings and construction</t>
  </si>
  <si>
    <t>Transportation [0.4] Buildings and construction</t>
  </si>
  <si>
    <t>Transportation [0.5] Buildings and construction</t>
  </si>
  <si>
    <t>Transportation [0.1] others</t>
  </si>
  <si>
    <t>Transportation [0.3] others</t>
  </si>
  <si>
    <t>Textile [0.1] textile</t>
  </si>
  <si>
    <t>Textile [0.4] textile</t>
  </si>
  <si>
    <t>Textile [0.3] others</t>
  </si>
  <si>
    <t>Textile [0.4] others</t>
  </si>
  <si>
    <t>Textile [0.3] Buildings and construction</t>
  </si>
  <si>
    <t>Textile [0.5] Buildings and construction</t>
  </si>
  <si>
    <t>Textile [0.4] Buildings and construction</t>
  </si>
  <si>
    <t>Others [1.4] others</t>
  </si>
  <si>
    <t>Others [7.0] others</t>
  </si>
  <si>
    <t>Others [2.9] others</t>
  </si>
  <si>
    <t>Others [14.4] others</t>
  </si>
  <si>
    <t>Buildings and Construction [0.3] Buildings and construction</t>
  </si>
  <si>
    <t>Buildings and Construction [5.0] Buildings and construction</t>
  </si>
  <si>
    <t>Buildings and Construction [5.8] Buildings and construction</t>
  </si>
  <si>
    <t>BUSINESS-AS-USUAL - BUSINESS-AS-USUAL</t>
  </si>
  <si>
    <t>BUSINESS-AS-USUAL - MOST ECONOMIC</t>
  </si>
  <si>
    <t>BAU Most Economic</t>
  </si>
  <si>
    <t>Production Sceanrio</t>
  </si>
  <si>
    <t>RR</t>
  </si>
  <si>
    <t>Pack</t>
  </si>
  <si>
    <t>Building</t>
  </si>
  <si>
    <t>Subsitution</t>
  </si>
  <si>
    <t>Fashion</t>
  </si>
  <si>
    <t>Ferti</t>
  </si>
  <si>
    <t>Remaining demand</t>
  </si>
  <si>
    <t>Total demand 2050</t>
  </si>
  <si>
    <t>Closed loop</t>
  </si>
  <si>
    <t>METHANOL DEMAND</t>
  </si>
  <si>
    <t>Increase in food demand</t>
  </si>
  <si>
    <t>2050 Net Zero</t>
  </si>
  <si>
    <t>Reduced fertilizer demand</t>
  </si>
  <si>
    <t>Base</t>
  </si>
  <si>
    <t>Olefins DEMAND</t>
  </si>
  <si>
    <t>Eth</t>
  </si>
  <si>
    <t>Prop</t>
  </si>
  <si>
    <t>Olefins</t>
  </si>
  <si>
    <t>But</t>
  </si>
  <si>
    <t>Aromatics DEMAND</t>
  </si>
  <si>
    <t>Mech</t>
  </si>
  <si>
    <t>% PET  in xylenes</t>
  </si>
  <si>
    <t>Box #1 Feedstock</t>
  </si>
  <si>
    <t>Note Point source can come from within or other industries</t>
  </si>
  <si>
    <t>No quanitfication has been made but it must be shown visually</t>
  </si>
  <si>
    <t>For Most Economic / Low circularity - 2050</t>
  </si>
  <si>
    <t>Mt in 2050</t>
  </si>
  <si>
    <t>Total utility:</t>
  </si>
  <si>
    <t>Sankey - For Carbon only !!</t>
  </si>
  <si>
    <t>Box #2: Chemical Production</t>
  </si>
  <si>
    <t>Box #3: Product Manufacturing</t>
  </si>
  <si>
    <t>Not shown</t>
  </si>
  <si>
    <t>Chemical production</t>
  </si>
  <si>
    <t>Mechanical recycling</t>
  </si>
  <si>
    <t>Product Manufacturing</t>
  </si>
  <si>
    <t>Box #4: Use Phase</t>
  </si>
  <si>
    <t>Total use:</t>
  </si>
  <si>
    <t>Total manufacturing:</t>
  </si>
  <si>
    <t>Box #5: End-of-use</t>
  </si>
  <si>
    <t>Total end-of-use</t>
  </si>
  <si>
    <t>Note Point source /waste can come from within or other industries</t>
  </si>
  <si>
    <t>Number in yellow estimated from the demand model (feedstock in t of C for Ar&amp;Ol excluding hydrogen)</t>
  </si>
  <si>
    <t>For No fossil after X / Low circularity - 2050</t>
  </si>
  <si>
    <t>For 2020</t>
  </si>
  <si>
    <t>Ammonia &amp; derivatives</t>
  </si>
  <si>
    <t>Ammonium nitrate</t>
  </si>
  <si>
    <t>Other Fertilizers</t>
  </si>
  <si>
    <t>Marine Transport</t>
  </si>
  <si>
    <t>Power Generation</t>
  </si>
  <si>
    <t>Reduced  demand</t>
  </si>
  <si>
    <t>Reduced demand</t>
  </si>
  <si>
    <t>R&amp;S&amp;Recycling(mech&amp;chem)</t>
  </si>
  <si>
    <t>CSS</t>
  </si>
  <si>
    <t>BUSINESS-AS-USUAL MOST ECONOMIC</t>
  </si>
  <si>
    <t>Open loop out of total recycling</t>
  </si>
  <si>
    <t>Total demand 2020</t>
  </si>
  <si>
    <t>% of 2020 demand</t>
  </si>
  <si>
    <t>Required Investment</t>
  </si>
  <si>
    <t xml:space="preserve">This workbook describes all the demand side input data for the Python model. </t>
  </si>
  <si>
    <t>In an effort to create this model with as much open-source data as possible, numerous simplifications and assumption had to be taken. These are tracked as far as possible, but a few sub-models that feed into this input workbook could not directly be included herein.</t>
  </si>
  <si>
    <t>Sheet name</t>
  </si>
  <si>
    <t>Discription</t>
  </si>
  <si>
    <t>Final Exhibits</t>
  </si>
  <si>
    <t>Job + CO2 Analysis</t>
  </si>
  <si>
    <t>Side calc.</t>
  </si>
  <si>
    <t>Yearly Summary</t>
  </si>
  <si>
    <t xml:space="preserve">Yearly XX </t>
  </si>
  <si>
    <t>Scope 3 Summary</t>
  </si>
  <si>
    <t>Scope 3 Yearly</t>
  </si>
  <si>
    <t>Per Capita Plastic</t>
  </si>
  <si>
    <t>Demand Breakdown</t>
  </si>
  <si>
    <t>Demand Solar/Wind</t>
  </si>
  <si>
    <t>Demand Industry Shares</t>
  </si>
  <si>
    <t>R&amp;S - XX</t>
  </si>
  <si>
    <t>XX - Recycling</t>
  </si>
  <si>
    <t>XX - Recycling rates</t>
  </si>
  <si>
    <t>Waste gen. - Industry shares</t>
  </si>
  <si>
    <t>Sankey XX</t>
  </si>
  <si>
    <t>Material flow Sankey across life cycle stage</t>
  </si>
  <si>
    <t>Demand side summary figures as shown in Planet Positive Chemicals</t>
  </si>
  <si>
    <t>Jobs creation &amp; CO2 emissions of demand side measures</t>
  </si>
  <si>
    <t>Useful side calculation</t>
  </si>
  <si>
    <t>Yearly demand by chemical and pyrolysis oil availability across scenarios</t>
  </si>
  <si>
    <t>Yearly mass flow breakdown and demand evolution by chemical</t>
  </si>
  <si>
    <t>Scope 3 emissions factors by chemical/year</t>
  </si>
  <si>
    <t>Scope 3 emissions factors by end of life treatment</t>
  </si>
  <si>
    <t>Geographical per capita plastics demand analysis &amp; comparison</t>
  </si>
  <si>
    <t>Yearly Demand XX</t>
  </si>
  <si>
    <t>Demand baseline assumptions per chemical</t>
  </si>
  <si>
    <t>Demand breakdown by sub chemicals &amp; applications</t>
  </si>
  <si>
    <t>Increased demand due to new use cases</t>
  </si>
  <si>
    <t>Demand by sectors</t>
  </si>
  <si>
    <t>Reduction and Substitution levers across different sectors</t>
  </si>
  <si>
    <t>Recycling levers across different sectors</t>
  </si>
  <si>
    <t>Recycling rates across different sectors</t>
  </si>
  <si>
    <t>Waste by different sectors</t>
  </si>
  <si>
    <t>Sankey of demand breakdown by chemical</t>
  </si>
  <si>
    <t>Ammonia RTS Core</t>
  </si>
  <si>
    <t>Ammonia CTS</t>
  </si>
  <si>
    <t>IEA, The Future of Petrochemicals Towards more sustainable plastics and fertilisers (2018)</t>
  </si>
  <si>
    <t>Ammonia demand in shipping, mil tons</t>
  </si>
  <si>
    <t>Unit</t>
  </si>
  <si>
    <t>Oil demand</t>
  </si>
  <si>
    <t>BP energy outlook 2020 - Net Zero</t>
  </si>
  <si>
    <t>EJ</t>
  </si>
  <si>
    <t>Gas demand</t>
  </si>
  <si>
    <t>Oil and Gas Demand</t>
  </si>
  <si>
    <t>% of total change</t>
  </si>
  <si>
    <t>Marine fuel demand</t>
  </si>
  <si>
    <t>Uptake Rate</t>
  </si>
  <si>
    <t>Low Scenario - 70% share by 2050</t>
  </si>
  <si>
    <t>mil tons of Ammonia</t>
  </si>
  <si>
    <t>High Scenario - 70% share by 2050</t>
  </si>
  <si>
    <t>DNV and SIQ (AP)</t>
  </si>
  <si>
    <t>`</t>
  </si>
  <si>
    <t>Primary energy demand in transport by mode - BP Energy Outlook</t>
  </si>
  <si>
    <t>Rapid</t>
  </si>
  <si>
    <t>Net Zero</t>
  </si>
  <si>
    <t>Business-as-usual</t>
  </si>
  <si>
    <t>11 to 8 is driven by improved ship efficiency, assumed no LNG and Oil tankers</t>
  </si>
  <si>
    <t>Aviation</t>
  </si>
  <si>
    <t>Rail</t>
  </si>
  <si>
    <t>Marine</t>
  </si>
  <si>
    <t>Passenger vehicle</t>
  </si>
  <si>
    <t>Trucks</t>
  </si>
  <si>
    <t>1 ton Ammonia=</t>
  </si>
  <si>
    <t>GJ</t>
  </si>
  <si>
    <t>Valera-Medina et al (2018)</t>
  </si>
  <si>
    <t>The reduction in fertiliser demand is based on the analysis of Gao &amp; Cabrera Serrenho (2023), which assumes that
global nitrogen use efficiency can increase from 42% today to 67%. This would imply an approximately 30% reduction
in demand for fertilisers. This is broadly similar to the conclusions of Jensen et al. (2020) who found that demand
could be reduced by 25% from the conventional delivery process using methods such as intercropping.</t>
  </si>
  <si>
    <t>Diet shift (reduced meat consumption)</t>
  </si>
  <si>
    <t>Reduction in food waste</t>
  </si>
  <si>
    <t>Increase nitrogen use efficiency</t>
  </si>
  <si>
    <t>Reduction in fertiliser use</t>
  </si>
  <si>
    <t>Assume 50% reduction in crops (and assumed fertiliser use) required to provide food due to diet-changes towards plant based diets. Plant-based diets require between 3 and 16 times less biomass than meat-based diets based on Hawkin &amp; Allwood (2026)</t>
  </si>
  <si>
    <t xml:space="preserve"> 14% of food produced for human consumption globally is lost. Assume only 5% can be recovered due to rebound effects </t>
  </si>
  <si>
    <t>https://www.nature.com/articles/s43016-023-00792-z</t>
  </si>
  <si>
    <t>Total reduction by 2050</t>
  </si>
  <si>
    <t>Shipping additional demands</t>
  </si>
  <si>
    <t>Baseline</t>
  </si>
  <si>
    <t>Scenarios</t>
  </si>
  <si>
    <t>IEA baseline Ammonia RTS</t>
  </si>
  <si>
    <t>Fertiliser decrease from baseline (high circularity)</t>
  </si>
  <si>
    <t xml:space="preserve"> https://www.iea.org/reports/ammonia-technology-roadmap</t>
  </si>
  <si>
    <t>Share ammonia used to make fertilisers</t>
  </si>
  <si>
    <t>Reference Technology Scenario. It serves as the primary baseline in IEA publications, showing how the global energy sector will evolve based solely on existing energy and climate commitments, including the NDCs made under the Paris Agreement.</t>
  </si>
  <si>
    <t>IEA’s Net Zero Emissions by 2050 (NZE) scenario, ammonia demand is projected to scale up 3 to 4 times from current levels to around 560 to 665 million tonnes (Mt) per year.</t>
  </si>
  <si>
    <t>Of which, fertilisers</t>
  </si>
  <si>
    <t>TOTAL with demand reduction</t>
  </si>
  <si>
    <t>Increase from Shipping fuel</t>
  </si>
  <si>
    <t>Shipping demand reduction</t>
  </si>
  <si>
    <t>Shipping demand reduction due to increased circularity of products</t>
  </si>
  <si>
    <t>Share of cargo, which is bulk materials and products</t>
  </si>
  <si>
    <t>Reduction in cargo demand due to increased circularity and lifetime extensions</t>
  </si>
  <si>
    <t>Total reduction in shipping fuel demands</t>
  </si>
  <si>
    <t>BAU TOTAL (without demand reduction)</t>
  </si>
  <si>
    <t>Year by year CAGR</t>
  </si>
  <si>
    <t>Baseline Urea demand</t>
  </si>
  <si>
    <t>m tons of urea</t>
  </si>
  <si>
    <t>Urea demand</t>
  </si>
  <si>
    <t>% of total fertilisers consumption</t>
  </si>
  <si>
    <t>m tons of AN</t>
  </si>
  <si>
    <t>Ammonium nitrate demand</t>
  </si>
  <si>
    <t>Assuminga 1-1 substitution effect (which should be less given about 24% Urea is loss upon usage against only 3% for AN based on a DEFRA study: https://www.cffertilisers.co.uk/advice-services/advice/an-or-urea/)</t>
  </si>
  <si>
    <t>AN demand - fertilizer only</t>
  </si>
  <si>
    <t>Ammonia demand for Urea and AN - fertilizer only</t>
  </si>
  <si>
    <t>m tons of ammonia</t>
  </si>
  <si>
    <t>Ammonia demand for Urea and AN</t>
  </si>
  <si>
    <t>Ammonia demand for Urea and AN - fertilizer only (EXCLUDING nitric acid)</t>
  </si>
  <si>
    <t>Excluding Nitric acid !!!!</t>
  </si>
  <si>
    <t>BAU Ammonia demand excluding Urea and AN (excluding Nitric acid)</t>
  </si>
  <si>
    <t>CALCULATION OF DERIVATIVES</t>
  </si>
  <si>
    <t>Increase in demand (for shipping fuel) after demand reduction</t>
  </si>
  <si>
    <t>Conversion from X tons to NH3 tons</t>
  </si>
  <si>
    <t>Conversions from N tons to weight tons</t>
  </si>
  <si>
    <t>https://www.yara.com/investor-relations/analyst-information/calculators/relative-changes-in-volumes/</t>
  </si>
  <si>
    <t>N nutrient</t>
  </si>
  <si>
    <t>Based on a stoechiometric basis of 2NH3 + CO2 ! NH2COONH4 AND NH2COONH4 ! H2O + NH2CONH2 (urea)</t>
  </si>
  <si>
    <t>AN</t>
  </si>
  <si>
    <t>Based on a stoechiometric basis of NH3 (g) + 2 O2 (g) -&gt; H2O + HNO3 (aq) AND HNO3 + NH3 → NH4NO3</t>
  </si>
  <si>
    <t>AN (excl. Nitric acid)</t>
  </si>
  <si>
    <t>Based on a stoechiometric basis of  HNO3 + NH3 → NH4NO3</t>
  </si>
  <si>
    <t>IFA stat Ammonia prod volumes in product weight and nitrogen weight</t>
  </si>
  <si>
    <t>all sources in this column IFA</t>
  </si>
  <si>
    <t>Market analysis</t>
  </si>
  <si>
    <t>% fertilizer market share</t>
  </si>
  <si>
    <t>IFA 2020 Public Summary Short Term Fertilizer Outlook 2020-2021. Assumed constant ratio over time. Data for 2019 demand.</t>
  </si>
  <si>
    <t>IFA : for 2019 https://www.youtube.com/watch?v=j3hHBZztmL4 (7.31min graph on global production numbers)</t>
  </si>
  <si>
    <t>Total volumes Urea + AN</t>
  </si>
  <si>
    <t>Global population</t>
  </si>
  <si>
    <t>Urea + AN / capita</t>
  </si>
  <si>
    <t>Sector demand, post-reductions</t>
  </si>
  <si>
    <t>With circualarity Urea demand - all</t>
  </si>
  <si>
    <t>With circularity AN demand - all</t>
  </si>
  <si>
    <t>Baseline AN demand</t>
  </si>
  <si>
    <t>Post circularity Ammonia demand for Urea and AN (excluding Nitric acid)</t>
  </si>
  <si>
    <t>With circularity Urea demand - fertilizer only</t>
  </si>
  <si>
    <t>CALCULATIONS:</t>
  </si>
  <si>
    <t>OUTPUTS</t>
  </si>
  <si>
    <t xml:space="preserve">Urea and AN </t>
  </si>
  <si>
    <t>Reduce fertiliser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</si>
</sst>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3" formatCode="_(* #,##0.00_);_(* \(#,##0.00\);_(* &quot;-&quot;??_);_(@_)"/>
    <numFmt numFmtId="164" formatCode="_-* #,##0.00_-;\-* #,##0.00_-;_-* &quot;-&quot;??_-;_-@_-"/>
    <numFmt numFmtId="165" formatCode="0.0%"/>
    <numFmt numFmtId="166" formatCode="0.0"/>
    <numFmt numFmtId="167" formatCode="_-* #,##0_-;\-* #,##0_-;_-* &quot;-&quot;??_-;_-@_-"/>
    <numFmt numFmtId="168" formatCode="_-* #,##0.0_-;\-* #,##0.0_-;_-* &quot;-&quot;??_-;_-@_-"/>
    <numFmt numFmtId="169" formatCode="0.0000"/>
    <numFmt numFmtId="170" formatCode="0.000000"/>
    <numFmt numFmtId="171" formatCode="0.0000000000000000%"/>
    <numFmt numFmtId="172" formatCode="0.000000000000000%"/>
    <numFmt numFmtId="173" formatCode="_-* #,##0.0_-;\-* #,##0.0_-;_-* &quot;-&quot;?_-;_-@_-"/>
    <numFmt numFmtId="174" formatCode="#,##0.0"/>
    <numFmt numFmtId="175" formatCode="#,##0.000"/>
    <numFmt numFmtId="176" formatCode="0.000"/>
    <numFmt numFmtId="177" formatCode="0.000%"/>
    <numFmt numFmtId="178" formatCode="_-* #,##0.000_-;\-* #,##0.000_-;_-* &quot;-&quot;??_-;_-@_-"/>
    <numFmt numFmtId="179" formatCode="_(* #,##0.0_);_(* \(#,##0.0\);_(* &quot;-&quot;??_);_(@_)"/>
    <numFmt numFmtId="180" formatCode="0.00000000000000"/>
    <numFmt numFmtId="181" formatCode="_(* #,##0_);_(* \(#,##0\);_(* &quot;-&quot;??_);_(@_)"/>
    <numFmt numFmtId="182" formatCode="_(* #,##0.000_);_(* \(#,##0.000\);_(* &quot;-&quot;??_);_(@_)"/>
  </numFmts>
  <fonts count="68">
    <font>
      <sz val="11"/>
      <color theme="1"/>
      <name val="Calibri"/>
      <family val="2"/>
      <scheme val="minor"/>
    </font>
    <font>
      <sz val="12"/>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u/>
      <sz val="11"/>
      <color theme="10"/>
      <name val="Calibri"/>
      <family val="2"/>
      <scheme val="minor"/>
    </font>
    <font>
      <sz val="11"/>
      <color theme="1" tint="0.499984740745262"/>
      <name val="Calibri"/>
      <family val="2"/>
      <scheme val="minor"/>
    </font>
    <font>
      <b/>
      <sz val="14"/>
      <color theme="1"/>
      <name val="Calibri"/>
      <family val="2"/>
      <scheme val="minor"/>
    </font>
    <font>
      <sz val="7"/>
      <color rgb="FF000000"/>
      <name val="Century Gothic"/>
      <family val="2"/>
    </font>
    <font>
      <sz val="11"/>
      <name val="Calibri"/>
      <family val="2"/>
      <scheme val="minor"/>
    </font>
    <font>
      <sz val="11"/>
      <color rgb="FFFF0000"/>
      <name val="Calibri"/>
      <family val="2"/>
      <scheme val="minor"/>
    </font>
    <font>
      <sz val="11"/>
      <color rgb="FF4472C4"/>
      <name val="Calibri"/>
      <family val="2"/>
      <scheme val="minor"/>
    </font>
    <font>
      <b/>
      <sz val="11"/>
      <color rgb="FF4472C4"/>
      <name val="Calibri"/>
      <family val="2"/>
      <scheme val="minor"/>
    </font>
    <font>
      <sz val="11"/>
      <color rgb="FF000000"/>
      <name val="Calibri"/>
      <family val="2"/>
      <scheme val="minor"/>
    </font>
    <font>
      <sz val="11"/>
      <color theme="4"/>
      <name val="Calibri"/>
      <family val="2"/>
      <scheme val="minor"/>
    </font>
    <font>
      <i/>
      <sz val="11"/>
      <color theme="1"/>
      <name val="Calibri"/>
      <family val="2"/>
      <scheme val="minor"/>
    </font>
    <font>
      <b/>
      <i/>
      <sz val="11"/>
      <color theme="1"/>
      <name val="Calibri"/>
      <family val="2"/>
      <scheme val="minor"/>
    </font>
    <font>
      <b/>
      <sz val="11"/>
      <color theme="1"/>
      <name val="Calibri"/>
      <family val="2"/>
    </font>
    <font>
      <sz val="11"/>
      <color theme="0"/>
      <name val="Calibri"/>
      <family val="2"/>
      <scheme val="minor"/>
    </font>
    <font>
      <sz val="11"/>
      <color theme="8"/>
      <name val="Calibri"/>
      <family val="2"/>
      <scheme val="minor"/>
    </font>
    <font>
      <sz val="11"/>
      <color theme="10"/>
      <name val="Calibri"/>
      <family val="2"/>
      <scheme val="minor"/>
    </font>
    <font>
      <sz val="8"/>
      <name val="Calibri"/>
      <family val="2"/>
      <scheme val="minor"/>
    </font>
    <font>
      <sz val="11"/>
      <color theme="9"/>
      <name val="Calibri"/>
      <family val="2"/>
      <scheme val="minor"/>
    </font>
    <font>
      <i/>
      <sz val="11"/>
      <color rgb="FFFF0000"/>
      <name val="Calibri"/>
      <family val="2"/>
      <scheme val="minor"/>
    </font>
    <font>
      <b/>
      <i/>
      <sz val="11"/>
      <color rgb="FFFF0000"/>
      <name val="Calibri"/>
      <family val="2"/>
      <scheme val="minor"/>
    </font>
    <font>
      <b/>
      <sz val="11"/>
      <name val="Calibri"/>
      <family val="2"/>
      <scheme val="minor"/>
    </font>
    <font>
      <sz val="10"/>
      <color rgb="FF000000"/>
      <name val="Times New Roman"/>
      <family val="1"/>
    </font>
    <font>
      <i/>
      <sz val="10"/>
      <color rgb="FF000000"/>
      <name val="Times New Roman"/>
      <family val="1"/>
    </font>
    <font>
      <sz val="10"/>
      <color rgb="FF000000"/>
      <name val="Calibri"/>
      <family val="2"/>
      <scheme val="minor"/>
    </font>
    <font>
      <i/>
      <u/>
      <sz val="11"/>
      <color theme="10"/>
      <name val="Calibri"/>
      <family val="2"/>
      <scheme val="minor"/>
    </font>
    <font>
      <b/>
      <sz val="11"/>
      <color theme="4"/>
      <name val="Calibri"/>
      <family val="2"/>
      <scheme val="minor"/>
    </font>
    <font>
      <i/>
      <sz val="11"/>
      <name val="Calibri"/>
      <family val="2"/>
      <scheme val="minor"/>
    </font>
    <font>
      <b/>
      <i/>
      <sz val="11"/>
      <name val="Calibri"/>
      <family val="2"/>
      <scheme val="minor"/>
    </font>
    <font>
      <i/>
      <sz val="11"/>
      <color theme="4"/>
      <name val="Calibri"/>
      <family val="2"/>
      <scheme val="minor"/>
    </font>
    <font>
      <b/>
      <sz val="11"/>
      <color theme="8"/>
      <name val="Calibri"/>
      <family val="2"/>
      <scheme val="minor"/>
    </font>
    <font>
      <b/>
      <sz val="11"/>
      <color theme="9"/>
      <name val="Calibri"/>
      <family val="2"/>
      <scheme val="minor"/>
    </font>
    <font>
      <b/>
      <sz val="11"/>
      <color rgb="FFFF0000"/>
      <name val="Calibri"/>
      <family val="2"/>
      <scheme val="minor"/>
    </font>
    <font>
      <sz val="11"/>
      <color rgb="FF202122"/>
      <name val="Arial"/>
      <family val="2"/>
    </font>
    <font>
      <vertAlign val="subscript"/>
      <sz val="11"/>
      <color rgb="FF202122"/>
      <name val="Arial"/>
      <family val="2"/>
    </font>
    <font>
      <sz val="10"/>
      <name val="Arial"/>
      <family val="2"/>
    </font>
    <font>
      <sz val="11"/>
      <color theme="1"/>
      <name val="Calibri"/>
      <family val="2"/>
    </font>
    <font>
      <sz val="11"/>
      <name val="Calibri"/>
      <family val="2"/>
    </font>
    <font>
      <b/>
      <sz val="11"/>
      <color rgb="FF000000"/>
      <name val="Calibri"/>
      <family val="2"/>
    </font>
    <font>
      <sz val="11"/>
      <color rgb="FF4472C4"/>
      <name val="Calibri"/>
      <family val="2"/>
    </font>
    <font>
      <sz val="11"/>
      <color rgb="FF000000"/>
      <name val="Calibri"/>
      <family val="2"/>
    </font>
    <font>
      <sz val="11"/>
      <color rgb="FF3C383A"/>
      <name val="Calibri"/>
      <family val="2"/>
      <scheme val="minor"/>
    </font>
    <font>
      <b/>
      <sz val="10"/>
      <name val="Arial"/>
      <family val="2"/>
    </font>
    <font>
      <b/>
      <u/>
      <sz val="11"/>
      <color theme="10"/>
      <name val="Calibri"/>
      <family val="2"/>
      <scheme val="minor"/>
    </font>
    <font>
      <b/>
      <u/>
      <sz val="11"/>
      <color theme="1"/>
      <name val="Calibri"/>
      <family val="2"/>
      <scheme val="minor"/>
    </font>
    <font>
      <sz val="12"/>
      <color rgb="FF3F3F76"/>
      <name val="Calibri"/>
      <family val="2"/>
      <scheme val="minor"/>
    </font>
    <font>
      <b/>
      <sz val="12"/>
      <color rgb="FF3F3F3F"/>
      <name val="Calibri"/>
      <family val="2"/>
      <scheme val="minor"/>
    </font>
    <font>
      <b/>
      <sz val="9"/>
      <color indexed="81"/>
      <name val="Tahoma"/>
      <family val="2"/>
    </font>
    <font>
      <sz val="9"/>
      <color indexed="81"/>
      <name val="Tahoma"/>
      <family val="2"/>
    </font>
    <font>
      <b/>
      <sz val="12"/>
      <color rgb="FF008000"/>
      <name val="Univers for BP"/>
      <family val="2"/>
    </font>
    <font>
      <b/>
      <sz val="11"/>
      <color theme="1"/>
      <name val="Univers for BP"/>
      <family val="2"/>
    </font>
    <font>
      <b/>
      <sz val="10"/>
      <color theme="1"/>
      <name val="Univers for BP"/>
      <family val="2"/>
    </font>
    <font>
      <b/>
      <sz val="10"/>
      <color theme="1"/>
      <name val="Univers for BP Light"/>
      <family val="2"/>
    </font>
    <font>
      <b/>
      <sz val="10"/>
      <name val="Univers for BP Light"/>
      <family val="2"/>
    </font>
    <font>
      <b/>
      <i/>
      <sz val="10"/>
      <name val="Univers for BP Light"/>
      <family val="2"/>
    </font>
    <font>
      <sz val="10"/>
      <name val="Univers for BP Light"/>
    </font>
    <font>
      <sz val="10"/>
      <color theme="1"/>
      <name val="Univers for BP Light"/>
      <family val="2"/>
    </font>
    <font>
      <sz val="9"/>
      <color theme="1"/>
      <name val="Univers for BP Light"/>
      <family val="2"/>
    </font>
    <font>
      <sz val="10"/>
      <name val="Univers for BP Light"/>
      <family val="2"/>
    </font>
    <font>
      <sz val="9"/>
      <name val="Univers for BP Light"/>
      <family val="2"/>
    </font>
    <font>
      <sz val="12"/>
      <color theme="5"/>
      <name val="Calibri"/>
      <family val="2"/>
      <scheme val="minor"/>
    </font>
    <font>
      <sz val="9"/>
      <color rgb="FF000000"/>
      <name val="Arial"/>
      <family val="2"/>
    </font>
    <font>
      <b/>
      <sz val="9"/>
      <color rgb="FF000000"/>
      <name val="Tahoma"/>
      <family val="2"/>
    </font>
    <font>
      <sz val="9"/>
      <color rgb="FF000000"/>
      <name val="Tahoma"/>
      <family val="2"/>
    </font>
  </fonts>
  <fills count="20">
    <fill>
      <patternFill patternType="none"/>
    </fill>
    <fill>
      <patternFill patternType="gray125"/>
    </fill>
    <fill>
      <patternFill patternType="solid">
        <fgColor rgb="FFF2F2F2"/>
      </patternFill>
    </fill>
    <fill>
      <patternFill patternType="solid">
        <fgColor theme="7"/>
        <bgColor indexed="64"/>
      </patternFill>
    </fill>
    <fill>
      <patternFill patternType="solid">
        <fgColor theme="5"/>
        <bgColor indexed="64"/>
      </patternFill>
    </fill>
    <fill>
      <patternFill patternType="solid">
        <fgColor theme="9"/>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rgb="FFFFC000"/>
        <bgColor indexed="64"/>
      </patternFill>
    </fill>
    <fill>
      <patternFill patternType="solid">
        <fgColor theme="0"/>
        <bgColor indexed="64"/>
      </patternFill>
    </fill>
    <fill>
      <patternFill patternType="solid">
        <fgColor rgb="FFFFCC99"/>
      </patternFill>
    </fill>
    <fill>
      <patternFill patternType="solid">
        <fgColor theme="5" tint="0.79998168889431442"/>
        <bgColor indexed="65"/>
      </patternFill>
    </fill>
    <fill>
      <patternFill patternType="solid">
        <fgColor theme="1"/>
        <bgColor indexed="64"/>
      </patternFill>
    </fill>
    <fill>
      <patternFill patternType="solid">
        <fgColor theme="9" tint="0.59999389629810485"/>
        <bgColor indexed="64"/>
      </patternFill>
    </fill>
  </fills>
  <borders count="56">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rgb="FF000000"/>
      </bottom>
      <diagonal/>
    </border>
    <border>
      <left/>
      <right/>
      <top style="thin">
        <color rgb="FF000000"/>
      </top>
      <bottom style="double">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top style="thin">
        <color rgb="FF000000"/>
      </top>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medium">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7F7F7F"/>
      </left>
      <right style="thin">
        <color rgb="FF7F7F7F"/>
      </right>
      <top style="thin">
        <color rgb="FF7F7F7F"/>
      </top>
      <bottom/>
      <diagonal/>
    </border>
    <border>
      <left style="thin">
        <color rgb="FF7F7F7F"/>
      </left>
      <right style="thin">
        <color rgb="FF7F7F7F"/>
      </right>
      <top style="thin">
        <color indexed="64"/>
      </top>
      <bottom style="medium">
        <color indexed="64"/>
      </bottom>
      <diagonal/>
    </border>
    <border>
      <left style="thin">
        <color rgb="FF3F3F3F"/>
      </left>
      <right style="thin">
        <color rgb="FF3F3F3F"/>
      </right>
      <top/>
      <bottom style="thin">
        <color rgb="FF3F3F3F"/>
      </bottom>
      <diagonal/>
    </border>
    <border>
      <left style="thin">
        <color rgb="FF7F7F7F"/>
      </left>
      <right style="thin">
        <color rgb="FF7F7F7F"/>
      </right>
      <top/>
      <bottom style="thin">
        <color rgb="FF7F7F7F"/>
      </bottom>
      <diagonal/>
    </border>
  </borders>
  <cellStyleXfs count="25">
    <xf numFmtId="0" fontId="0" fillId="0" borderId="0"/>
    <xf numFmtId="9" fontId="2" fillId="0" borderId="0" applyFont="0" applyFill="0" applyBorder="0" applyAlignment="0" applyProtection="0"/>
    <xf numFmtId="0" fontId="3" fillId="2" borderId="1" applyNumberFormat="0" applyAlignment="0" applyProtection="0"/>
    <xf numFmtId="0" fontId="5" fillId="0" borderId="0" applyNumberFormat="0" applyFill="0" applyBorder="0" applyAlignment="0" applyProtection="0"/>
    <xf numFmtId="0" fontId="9" fillId="0" borderId="0"/>
    <xf numFmtId="0" fontId="2" fillId="0" borderId="0"/>
    <xf numFmtId="9" fontId="2" fillId="0" borderId="0" applyFont="0" applyFill="0" applyBorder="0" applyAlignment="0" applyProtection="0"/>
    <xf numFmtId="0" fontId="9" fillId="0" borderId="0"/>
    <xf numFmtId="164" fontId="2" fillId="0" borderId="0" applyFont="0" applyFill="0" applyBorder="0" applyAlignment="0" applyProtection="0"/>
    <xf numFmtId="0" fontId="2" fillId="0" borderId="0"/>
    <xf numFmtId="0" fontId="2" fillId="0" borderId="0"/>
    <xf numFmtId="0" fontId="26" fillId="0" borderId="0"/>
    <xf numFmtId="0" fontId="2" fillId="0" borderId="0"/>
    <xf numFmtId="0" fontId="2" fillId="0" borderId="0"/>
    <xf numFmtId="0" fontId="39"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0" fontId="49" fillId="16" borderId="1" applyNumberFormat="0" applyAlignment="0" applyProtection="0"/>
    <xf numFmtId="0" fontId="50" fillId="2" borderId="50" applyNumberFormat="0" applyAlignment="0" applyProtection="0"/>
    <xf numFmtId="0" fontId="64" fillId="17" borderId="51" applyNumberFormat="0" applyBorder="0" applyAlignment="0" applyProtection="0"/>
  </cellStyleXfs>
  <cellXfs count="766">
    <xf numFmtId="0" fontId="0" fillId="0" borderId="0" xfId="0"/>
    <xf numFmtId="0" fontId="4" fillId="0" borderId="0" xfId="0" applyFont="1"/>
    <xf numFmtId="9" fontId="0" fillId="0" borderId="0" xfId="1" applyFont="1"/>
    <xf numFmtId="0" fontId="0" fillId="0" borderId="0" xfId="0" applyAlignment="1">
      <alignment horizontal="left"/>
    </xf>
    <xf numFmtId="0" fontId="0" fillId="0" borderId="0" xfId="0" applyAlignment="1">
      <alignment horizontal="right"/>
    </xf>
    <xf numFmtId="0" fontId="5" fillId="0" borderId="0" xfId="3"/>
    <xf numFmtId="9" fontId="0" fillId="0" borderId="0" xfId="0" applyNumberFormat="1"/>
    <xf numFmtId="0" fontId="6" fillId="0" borderId="0" xfId="0" applyFont="1"/>
    <xf numFmtId="9" fontId="4" fillId="0" borderId="0" xfId="0" applyNumberFormat="1" applyFont="1"/>
    <xf numFmtId="0" fontId="0" fillId="3" borderId="0" xfId="0" applyFill="1"/>
    <xf numFmtId="0" fontId="0" fillId="4" borderId="0" xfId="0" applyFill="1"/>
    <xf numFmtId="0" fontId="0" fillId="0" borderId="2" xfId="0" applyBorder="1"/>
    <xf numFmtId="0" fontId="4" fillId="0" borderId="3" xfId="0" applyFont="1" applyBorder="1"/>
    <xf numFmtId="0" fontId="0" fillId="0" borderId="4" xfId="0" applyBorder="1" applyAlignment="1">
      <alignment horizontal="left"/>
    </xf>
    <xf numFmtId="9" fontId="0" fillId="0" borderId="5" xfId="0" applyNumberFormat="1" applyBorder="1"/>
    <xf numFmtId="0" fontId="0" fillId="0" borderId="4" xfId="0" applyBorder="1"/>
    <xf numFmtId="0" fontId="0" fillId="0" borderId="6" xfId="0" applyBorder="1" applyAlignment="1">
      <alignment horizontal="left"/>
    </xf>
    <xf numFmtId="9" fontId="0" fillId="0" borderId="7" xfId="0" applyNumberFormat="1" applyBorder="1"/>
    <xf numFmtId="0" fontId="0" fillId="0" borderId="6" xfId="0" applyBorder="1"/>
    <xf numFmtId="0" fontId="7" fillId="4" borderId="0" xfId="0" applyFont="1" applyFill="1" applyAlignment="1">
      <alignment vertical="center"/>
    </xf>
    <xf numFmtId="9" fontId="5" fillId="0" borderId="0" xfId="3" applyNumberFormat="1"/>
    <xf numFmtId="9" fontId="3" fillId="2" borderId="1" xfId="2" applyNumberFormat="1"/>
    <xf numFmtId="0" fontId="8" fillId="0" borderId="0" xfId="0" applyFont="1" applyAlignment="1">
      <alignment horizontal="left" vertical="center" readingOrder="1"/>
    </xf>
    <xf numFmtId="165" fontId="0" fillId="0" borderId="0" xfId="1" applyNumberFormat="1" applyFont="1"/>
    <xf numFmtId="10" fontId="0" fillId="0" borderId="0" xfId="1" applyNumberFormat="1" applyFont="1"/>
    <xf numFmtId="0" fontId="0" fillId="5" borderId="0" xfId="0" applyFill="1"/>
    <xf numFmtId="1" fontId="0" fillId="0" borderId="0" xfId="0" applyNumberFormat="1"/>
    <xf numFmtId="1" fontId="4" fillId="0" borderId="0" xfId="0" applyNumberFormat="1" applyFont="1"/>
    <xf numFmtId="0" fontId="0" fillId="0" borderId="0" xfId="0" applyAlignment="1">
      <alignment horizontal="center" vertical="center" wrapText="1"/>
    </xf>
    <xf numFmtId="0" fontId="4" fillId="0" borderId="0" xfId="0" applyFont="1" applyAlignment="1">
      <alignment horizontal="center" vertical="center" wrapText="1"/>
    </xf>
    <xf numFmtId="0" fontId="9" fillId="0" borderId="0" xfId="7" applyAlignment="1">
      <alignment horizontal="left"/>
    </xf>
    <xf numFmtId="0" fontId="4" fillId="0" borderId="8" xfId="0" applyFont="1" applyBorder="1"/>
    <xf numFmtId="0" fontId="4" fillId="0" borderId="9" xfId="0" applyFont="1" applyBorder="1"/>
    <xf numFmtId="9" fontId="4" fillId="0" borderId="9" xfId="1" applyFont="1" applyBorder="1"/>
    <xf numFmtId="0" fontId="4" fillId="0" borderId="13" xfId="0" applyFont="1" applyBorder="1"/>
    <xf numFmtId="9" fontId="4" fillId="0" borderId="14" xfId="0" applyNumberFormat="1" applyFont="1" applyBorder="1"/>
    <xf numFmtId="9" fontId="4" fillId="0" borderId="15" xfId="0" applyNumberFormat="1" applyFont="1" applyBorder="1"/>
    <xf numFmtId="0" fontId="4" fillId="0" borderId="10" xfId="0" applyFont="1" applyBorder="1" applyAlignment="1">
      <alignment horizontal="left"/>
    </xf>
    <xf numFmtId="1" fontId="0" fillId="0" borderId="11" xfId="0" applyNumberFormat="1" applyBorder="1" applyAlignment="1">
      <alignment horizontal="right"/>
    </xf>
    <xf numFmtId="1" fontId="4" fillId="0" borderId="12" xfId="0" applyNumberFormat="1" applyFont="1" applyBorder="1" applyAlignment="1">
      <alignment horizontal="right"/>
    </xf>
    <xf numFmtId="165" fontId="0" fillId="0" borderId="11" xfId="0" applyNumberFormat="1" applyBorder="1" applyAlignment="1">
      <alignment horizontal="right"/>
    </xf>
    <xf numFmtId="165" fontId="0" fillId="0" borderId="0" xfId="0" applyNumberFormat="1"/>
    <xf numFmtId="165" fontId="4" fillId="0" borderId="12" xfId="0" applyNumberFormat="1" applyFont="1" applyBorder="1" applyAlignment="1">
      <alignment horizontal="right"/>
    </xf>
    <xf numFmtId="2" fontId="0" fillId="0" borderId="0" xfId="0" applyNumberFormat="1"/>
    <xf numFmtId="166" fontId="0" fillId="0" borderId="0" xfId="0" applyNumberFormat="1"/>
    <xf numFmtId="0" fontId="0" fillId="0" borderId="16" xfId="0" applyBorder="1"/>
    <xf numFmtId="0" fontId="4" fillId="0" borderId="17" xfId="0" applyFont="1" applyBorder="1"/>
    <xf numFmtId="165" fontId="12" fillId="0" borderId="0" xfId="0" applyNumberFormat="1" applyFont="1"/>
    <xf numFmtId="9" fontId="11" fillId="0" borderId="0" xfId="0" applyNumberFormat="1" applyFont="1"/>
    <xf numFmtId="166" fontId="0" fillId="0" borderId="0" xfId="0" applyNumberFormat="1" applyAlignment="1">
      <alignment horizontal="right"/>
    </xf>
    <xf numFmtId="0" fontId="13" fillId="0" borderId="0" xfId="0" applyFont="1"/>
    <xf numFmtId="0" fontId="14" fillId="0" borderId="0" xfId="0" applyFont="1"/>
    <xf numFmtId="0" fontId="4" fillId="7" borderId="0" xfId="0" applyFont="1" applyFill="1"/>
    <xf numFmtId="0" fontId="0" fillId="7" borderId="0" xfId="0" applyFill="1"/>
    <xf numFmtId="0" fontId="15" fillId="0" borderId="0" xfId="0" applyFont="1"/>
    <xf numFmtId="9" fontId="14" fillId="0" borderId="0" xfId="0" applyNumberFormat="1" applyFont="1"/>
    <xf numFmtId="9" fontId="14" fillId="0" borderId="0" xfId="1" applyFont="1"/>
    <xf numFmtId="165" fontId="11" fillId="0" borderId="0" xfId="0" applyNumberFormat="1" applyFont="1"/>
    <xf numFmtId="0" fontId="4" fillId="0" borderId="18" xfId="0" applyFont="1" applyBorder="1"/>
    <xf numFmtId="0" fontId="15" fillId="0" borderId="18" xfId="0" applyFont="1" applyBorder="1"/>
    <xf numFmtId="166" fontId="0" fillId="0" borderId="18" xfId="0" applyNumberFormat="1" applyBorder="1"/>
    <xf numFmtId="0" fontId="0" fillId="0" borderId="0" xfId="0" applyAlignment="1">
      <alignment horizontal="left" indent="1"/>
    </xf>
    <xf numFmtId="0" fontId="4" fillId="0" borderId="19" xfId="0" applyFont="1" applyBorder="1"/>
    <xf numFmtId="0" fontId="16" fillId="0" borderId="19" xfId="0" applyFont="1" applyBorder="1"/>
    <xf numFmtId="166" fontId="4" fillId="0" borderId="19" xfId="0" applyNumberFormat="1" applyFont="1" applyBorder="1"/>
    <xf numFmtId="0" fontId="16" fillId="0" borderId="0" xfId="0" applyFont="1"/>
    <xf numFmtId="166" fontId="4" fillId="0" borderId="0" xfId="0" applyNumberFormat="1" applyFont="1"/>
    <xf numFmtId="0" fontId="0" fillId="0" borderId="18" xfId="0" applyBorder="1"/>
    <xf numFmtId="0" fontId="0" fillId="0" borderId="19" xfId="0" applyBorder="1"/>
    <xf numFmtId="0" fontId="4" fillId="8" borderId="0" xfId="0" applyFont="1" applyFill="1"/>
    <xf numFmtId="0" fontId="16" fillId="8" borderId="0" xfId="0" applyFont="1" applyFill="1"/>
    <xf numFmtId="166" fontId="4" fillId="8" borderId="0" xfId="0" applyNumberFormat="1" applyFont="1" applyFill="1"/>
    <xf numFmtId="0" fontId="9" fillId="0" borderId="0" xfId="3" applyFont="1"/>
    <xf numFmtId="0" fontId="4" fillId="0" borderId="20" xfId="0" applyFont="1" applyBorder="1"/>
    <xf numFmtId="1" fontId="0" fillId="0" borderId="21" xfId="0" applyNumberFormat="1" applyBorder="1"/>
    <xf numFmtId="1" fontId="0" fillId="0" borderId="20" xfId="0" applyNumberFormat="1" applyBorder="1"/>
    <xf numFmtId="10" fontId="14" fillId="0" borderId="0" xfId="0" applyNumberFormat="1" applyFont="1"/>
    <xf numFmtId="9" fontId="4" fillId="0" borderId="21" xfId="1" applyFont="1" applyBorder="1"/>
    <xf numFmtId="166" fontId="4" fillId="0" borderId="21" xfId="0" applyNumberFormat="1" applyFont="1" applyBorder="1"/>
    <xf numFmtId="9" fontId="4" fillId="0" borderId="22" xfId="1" applyFont="1" applyBorder="1"/>
    <xf numFmtId="166" fontId="4" fillId="0" borderId="22" xfId="0" applyNumberFormat="1" applyFont="1" applyBorder="1"/>
    <xf numFmtId="0" fontId="4" fillId="0" borderId="23" xfId="0" applyFont="1" applyBorder="1"/>
    <xf numFmtId="0" fontId="0" fillId="0" borderId="23" xfId="0" applyBorder="1"/>
    <xf numFmtId="0" fontId="17" fillId="0" borderId="23" xfId="0" applyFont="1" applyBorder="1" applyAlignment="1">
      <alignment horizontal="center"/>
    </xf>
    <xf numFmtId="167" fontId="14" fillId="0" borderId="0" xfId="8" applyNumberFormat="1" applyFont="1"/>
    <xf numFmtId="167" fontId="0" fillId="0" borderId="0" xfId="0" applyNumberFormat="1"/>
    <xf numFmtId="0" fontId="4" fillId="8" borderId="23" xfId="0" applyFont="1" applyFill="1" applyBorder="1"/>
    <xf numFmtId="0" fontId="16" fillId="8" borderId="23" xfId="0" applyFont="1" applyFill="1" applyBorder="1"/>
    <xf numFmtId="167" fontId="4" fillId="8" borderId="23" xfId="0" applyNumberFormat="1" applyFont="1" applyFill="1" applyBorder="1"/>
    <xf numFmtId="0" fontId="4" fillId="8" borderId="24" xfId="0" applyFont="1" applyFill="1" applyBorder="1"/>
    <xf numFmtId="0" fontId="16" fillId="8" borderId="24" xfId="0" applyFont="1" applyFill="1" applyBorder="1"/>
    <xf numFmtId="167" fontId="4" fillId="8" borderId="24" xfId="0" applyNumberFormat="1" applyFont="1" applyFill="1" applyBorder="1"/>
    <xf numFmtId="0" fontId="4" fillId="0" borderId="13" xfId="0" applyFont="1" applyBorder="1" applyAlignment="1">
      <alignment horizontal="left"/>
    </xf>
    <xf numFmtId="1" fontId="0" fillId="0" borderId="14" xfId="0" applyNumberFormat="1" applyBorder="1" applyAlignment="1">
      <alignment horizontal="right"/>
    </xf>
    <xf numFmtId="1" fontId="4" fillId="0" borderId="15" xfId="0" applyNumberFormat="1" applyFont="1" applyBorder="1" applyAlignment="1">
      <alignment horizontal="right"/>
    </xf>
    <xf numFmtId="0" fontId="4" fillId="0" borderId="25" xfId="0" applyFont="1" applyBorder="1"/>
    <xf numFmtId="9" fontId="4" fillId="0" borderId="21" xfId="0" applyNumberFormat="1" applyFont="1" applyBorder="1"/>
    <xf numFmtId="9" fontId="4" fillId="0" borderId="26" xfId="0" applyNumberFormat="1" applyFont="1" applyBorder="1"/>
    <xf numFmtId="166" fontId="0" fillId="7" borderId="0" xfId="0" applyNumberFormat="1" applyFill="1"/>
    <xf numFmtId="1" fontId="9" fillId="0" borderId="0" xfId="0" applyNumberFormat="1" applyFont="1"/>
    <xf numFmtId="0" fontId="16" fillId="0" borderId="18" xfId="0" applyFont="1" applyBorder="1"/>
    <xf numFmtId="166" fontId="4" fillId="0" borderId="18" xfId="0" applyNumberFormat="1" applyFont="1" applyBorder="1"/>
    <xf numFmtId="0" fontId="4" fillId="8" borderId="27" xfId="0" applyFont="1" applyFill="1" applyBorder="1"/>
    <xf numFmtId="0" fontId="16" fillId="8" borderId="27" xfId="0" applyFont="1" applyFill="1" applyBorder="1"/>
    <xf numFmtId="0" fontId="0" fillId="8" borderId="27" xfId="0" applyFill="1" applyBorder="1"/>
    <xf numFmtId="166" fontId="4" fillId="8" borderId="27" xfId="0" applyNumberFormat="1" applyFont="1" applyFill="1" applyBorder="1"/>
    <xf numFmtId="165" fontId="10" fillId="0" borderId="0" xfId="1" applyNumberFormat="1" applyFont="1"/>
    <xf numFmtId="167" fontId="0" fillId="0" borderId="0" xfId="8" applyNumberFormat="1" applyFont="1"/>
    <xf numFmtId="0" fontId="2" fillId="0" borderId="0" xfId="10"/>
    <xf numFmtId="0" fontId="18" fillId="0" borderId="0" xfId="0" applyFont="1"/>
    <xf numFmtId="165" fontId="9" fillId="0" borderId="0" xfId="1" applyNumberFormat="1" applyFont="1"/>
    <xf numFmtId="167" fontId="10" fillId="0" borderId="0" xfId="8" applyNumberFormat="1" applyFont="1"/>
    <xf numFmtId="0" fontId="15" fillId="0" borderId="0" xfId="0" applyFont="1" applyAlignment="1">
      <alignment horizontal="right"/>
    </xf>
    <xf numFmtId="165" fontId="19" fillId="0" borderId="0" xfId="1" applyNumberFormat="1" applyFont="1"/>
    <xf numFmtId="0" fontId="20" fillId="0" borderId="0" xfId="3" applyFont="1"/>
    <xf numFmtId="0" fontId="2" fillId="0" borderId="0" xfId="0" applyFont="1"/>
    <xf numFmtId="9" fontId="2" fillId="0" borderId="0" xfId="1" applyFont="1"/>
    <xf numFmtId="167" fontId="2" fillId="0" borderId="0" xfId="8" applyNumberFormat="1" applyFont="1"/>
    <xf numFmtId="165" fontId="4" fillId="0" borderId="0" xfId="0" applyNumberFormat="1" applyFont="1"/>
    <xf numFmtId="0" fontId="4" fillId="0" borderId="0" xfId="8" applyNumberFormat="1" applyFont="1"/>
    <xf numFmtId="9" fontId="2" fillId="0" borderId="0" xfId="0" applyNumberFormat="1" applyFont="1"/>
    <xf numFmtId="165" fontId="2" fillId="0" borderId="0" xfId="1" applyNumberFormat="1" applyFont="1"/>
    <xf numFmtId="9" fontId="19" fillId="0" borderId="0" xfId="1" applyFont="1"/>
    <xf numFmtId="9" fontId="19" fillId="0" borderId="0" xfId="0" applyNumberFormat="1" applyFont="1"/>
    <xf numFmtId="9" fontId="4" fillId="0" borderId="0" xfId="1" applyFont="1"/>
    <xf numFmtId="9" fontId="22" fillId="0" borderId="0" xfId="1" applyFont="1"/>
    <xf numFmtId="165" fontId="22" fillId="0" borderId="0" xfId="1" applyNumberFormat="1" applyFont="1"/>
    <xf numFmtId="9" fontId="9" fillId="0" borderId="0" xfId="1" applyFont="1"/>
    <xf numFmtId="167" fontId="9" fillId="0" borderId="0" xfId="8" applyNumberFormat="1" applyFont="1"/>
    <xf numFmtId="165" fontId="9" fillId="0" borderId="0" xfId="0" applyNumberFormat="1" applyFont="1" applyAlignment="1">
      <alignment horizontal="left"/>
    </xf>
    <xf numFmtId="0" fontId="23" fillId="0" borderId="0" xfId="0" applyFont="1"/>
    <xf numFmtId="0" fontId="10" fillId="0" borderId="0" xfId="0" applyFont="1"/>
    <xf numFmtId="9" fontId="10" fillId="0" borderId="0" xfId="1" applyFont="1"/>
    <xf numFmtId="0" fontId="15" fillId="0" borderId="0" xfId="0" applyFont="1" applyAlignment="1">
      <alignment horizontal="right" wrapText="1"/>
    </xf>
    <xf numFmtId="0" fontId="0" fillId="0" borderId="0" xfId="0" applyAlignment="1">
      <alignment wrapText="1"/>
    </xf>
    <xf numFmtId="0" fontId="15" fillId="0" borderId="0" xfId="0" applyFont="1" applyAlignment="1">
      <alignment wrapText="1"/>
    </xf>
    <xf numFmtId="0" fontId="9" fillId="0" borderId="0" xfId="7" applyAlignment="1">
      <alignment horizontal="center" vertical="top" wrapText="1"/>
    </xf>
    <xf numFmtId="0" fontId="9" fillId="0" borderId="0" xfId="7"/>
    <xf numFmtId="0" fontId="25" fillId="0" borderId="0" xfId="7" applyFont="1" applyAlignment="1">
      <alignment horizontal="left" vertical="center" wrapText="1"/>
    </xf>
    <xf numFmtId="0" fontId="9" fillId="0" borderId="0" xfId="7" applyAlignment="1">
      <alignment horizontal="center" vertical="center" wrapText="1"/>
    </xf>
    <xf numFmtId="166" fontId="9" fillId="0" borderId="0" xfId="7" applyNumberFormat="1"/>
    <xf numFmtId="0" fontId="9" fillId="0" borderId="0" xfId="7" applyAlignment="1">
      <alignment wrapText="1"/>
    </xf>
    <xf numFmtId="0" fontId="4" fillId="0" borderId="0" xfId="0" applyFont="1" applyAlignment="1">
      <alignment vertical="center"/>
    </xf>
    <xf numFmtId="166" fontId="9" fillId="0" borderId="0" xfId="7" applyNumberFormat="1" applyAlignment="1">
      <alignment wrapText="1"/>
    </xf>
    <xf numFmtId="0" fontId="27" fillId="0" borderId="29" xfId="11" applyFont="1" applyBorder="1" applyAlignment="1">
      <alignment horizontal="left" vertical="top" wrapText="1"/>
    </xf>
    <xf numFmtId="0" fontId="25" fillId="0" borderId="28" xfId="11" applyFont="1" applyBorder="1" applyAlignment="1">
      <alignment horizontal="left" vertical="top" wrapText="1"/>
    </xf>
    <xf numFmtId="0" fontId="25" fillId="0" borderId="28" xfId="11" applyFont="1" applyBorder="1" applyAlignment="1">
      <alignment horizontal="left" vertical="top" wrapText="1" indent="1"/>
    </xf>
    <xf numFmtId="0" fontId="25" fillId="0" borderId="28" xfId="11" applyFont="1" applyBorder="1" applyAlignment="1">
      <alignment horizontal="center" vertical="top" wrapText="1"/>
    </xf>
    <xf numFmtId="0" fontId="25" fillId="0" borderId="28" xfId="11" applyFont="1" applyBorder="1" applyAlignment="1">
      <alignment horizontal="left" vertical="top" wrapText="1" indent="2"/>
    </xf>
    <xf numFmtId="0" fontId="25" fillId="0" borderId="28" xfId="11" applyFont="1" applyBorder="1" applyAlignment="1">
      <alignment horizontal="right" vertical="top" wrapText="1" indent="1"/>
    </xf>
    <xf numFmtId="0" fontId="9" fillId="0" borderId="28" xfId="11" applyFont="1" applyBorder="1" applyAlignment="1">
      <alignment horizontal="left" vertical="top" wrapText="1"/>
    </xf>
    <xf numFmtId="165" fontId="13" fillId="0" borderId="28" xfId="11" applyNumberFormat="1" applyFont="1" applyBorder="1" applyAlignment="1">
      <alignment horizontal="center" vertical="top" shrinkToFit="1"/>
    </xf>
    <xf numFmtId="165" fontId="13" fillId="0" borderId="28" xfId="11" applyNumberFormat="1" applyFont="1" applyBorder="1" applyAlignment="1">
      <alignment horizontal="right" vertical="top" indent="1" shrinkToFit="1"/>
    </xf>
    <xf numFmtId="0" fontId="28" fillId="0" borderId="28" xfId="11" applyFont="1" applyBorder="1" applyAlignment="1">
      <alignment horizontal="left" vertical="top" wrapText="1"/>
    </xf>
    <xf numFmtId="165" fontId="14" fillId="0" borderId="28" xfId="11" applyNumberFormat="1" applyFont="1" applyBorder="1" applyAlignment="1">
      <alignment horizontal="center" vertical="top" shrinkToFit="1"/>
    </xf>
    <xf numFmtId="165" fontId="14" fillId="0" borderId="28" xfId="11" applyNumberFormat="1" applyFont="1" applyBorder="1" applyAlignment="1">
      <alignment horizontal="right" vertical="top" indent="1" shrinkToFit="1"/>
    </xf>
    <xf numFmtId="0" fontId="27" fillId="0" borderId="0" xfId="11" applyFont="1" applyAlignment="1">
      <alignment horizontal="left" vertical="top" wrapText="1"/>
    </xf>
    <xf numFmtId="1" fontId="14" fillId="0" borderId="0" xfId="0" applyNumberFormat="1" applyFont="1"/>
    <xf numFmtId="0" fontId="29" fillId="0" borderId="0" xfId="3" applyFont="1"/>
    <xf numFmtId="165" fontId="9" fillId="0" borderId="0" xfId="1" applyNumberFormat="1" applyFont="1" applyFill="1"/>
    <xf numFmtId="9" fontId="14" fillId="0" borderId="0" xfId="0" applyNumberFormat="1" applyFont="1" applyAlignment="1">
      <alignment horizontal="right"/>
    </xf>
    <xf numFmtId="165" fontId="14" fillId="0" borderId="11" xfId="0" applyNumberFormat="1" applyFont="1" applyBorder="1" applyAlignment="1">
      <alignment horizontal="right"/>
    </xf>
    <xf numFmtId="0" fontId="4" fillId="0" borderId="0" xfId="0" applyFont="1" applyAlignment="1">
      <alignment horizontal="left"/>
    </xf>
    <xf numFmtId="1" fontId="0" fillId="0" borderId="0" xfId="0" applyNumberFormat="1" applyAlignment="1">
      <alignment horizontal="right"/>
    </xf>
    <xf numFmtId="165" fontId="0" fillId="0" borderId="0" xfId="0" applyNumberFormat="1" applyAlignment="1">
      <alignment horizontal="right"/>
    </xf>
    <xf numFmtId="1" fontId="4" fillId="0" borderId="0" xfId="0" applyNumberFormat="1" applyFont="1" applyAlignment="1">
      <alignment horizontal="right"/>
    </xf>
    <xf numFmtId="165" fontId="4" fillId="0" borderId="0" xfId="0" applyNumberFormat="1" applyFont="1" applyAlignment="1">
      <alignment horizontal="right"/>
    </xf>
    <xf numFmtId="165" fontId="9" fillId="0" borderId="0" xfId="1" applyNumberFormat="1" applyFont="1" applyFill="1" applyBorder="1"/>
    <xf numFmtId="165" fontId="0" fillId="0" borderId="0" xfId="1" applyNumberFormat="1" applyFont="1" applyBorder="1"/>
    <xf numFmtId="9" fontId="0" fillId="0" borderId="0" xfId="1" applyFont="1" applyBorder="1"/>
    <xf numFmtId="0" fontId="15" fillId="0" borderId="23" xfId="0" applyFont="1" applyBorder="1"/>
    <xf numFmtId="0" fontId="4" fillId="9" borderId="30" xfId="0" applyFont="1" applyFill="1" applyBorder="1"/>
    <xf numFmtId="9" fontId="30" fillId="9" borderId="31" xfId="0" applyNumberFormat="1" applyFont="1" applyFill="1" applyBorder="1"/>
    <xf numFmtId="0" fontId="4" fillId="9" borderId="31" xfId="0" applyFont="1" applyFill="1" applyBorder="1"/>
    <xf numFmtId="0" fontId="0" fillId="0" borderId="24" xfId="0" applyBorder="1"/>
    <xf numFmtId="9" fontId="15" fillId="0" borderId="0" xfId="0" applyNumberFormat="1" applyFont="1"/>
    <xf numFmtId="0" fontId="31" fillId="0" borderId="0" xfId="0" applyFont="1"/>
    <xf numFmtId="0" fontId="31" fillId="0" borderId="0" xfId="3" applyFont="1"/>
    <xf numFmtId="0" fontId="25" fillId="0" borderId="0" xfId="0" applyFont="1"/>
    <xf numFmtId="0" fontId="32" fillId="0" borderId="0" xfId="0" applyFont="1"/>
    <xf numFmtId="166" fontId="25" fillId="0" borderId="0" xfId="0" applyNumberFormat="1" applyFont="1"/>
    <xf numFmtId="0" fontId="9" fillId="0" borderId="0" xfId="0" applyFont="1"/>
    <xf numFmtId="167" fontId="15" fillId="0" borderId="0" xfId="8" applyNumberFormat="1" applyFont="1"/>
    <xf numFmtId="9" fontId="0" fillId="0" borderId="4" xfId="0" applyNumberFormat="1" applyBorder="1"/>
    <xf numFmtId="9" fontId="2" fillId="0" borderId="0" xfId="1" applyFont="1" applyBorder="1"/>
    <xf numFmtId="0" fontId="4" fillId="0" borderId="30" xfId="0" applyFont="1" applyBorder="1"/>
    <xf numFmtId="0" fontId="4" fillId="0" borderId="31" xfId="0" applyFont="1" applyBorder="1" applyAlignment="1">
      <alignment wrapText="1"/>
    </xf>
    <xf numFmtId="168" fontId="4" fillId="0" borderId="31" xfId="8" applyNumberFormat="1" applyFont="1" applyBorder="1"/>
    <xf numFmtId="0" fontId="0" fillId="0" borderId="31" xfId="0" applyBorder="1"/>
    <xf numFmtId="0" fontId="4" fillId="0" borderId="33" xfId="0" applyFont="1" applyBorder="1"/>
    <xf numFmtId="0" fontId="4" fillId="0" borderId="27" xfId="0" applyFont="1" applyBorder="1"/>
    <xf numFmtId="0" fontId="16" fillId="0" borderId="27" xfId="0" applyFont="1" applyBorder="1"/>
    <xf numFmtId="166" fontId="4" fillId="0" borderId="27" xfId="0" applyNumberFormat="1" applyFont="1" applyBorder="1"/>
    <xf numFmtId="0" fontId="0" fillId="0" borderId="27" xfId="0" applyBorder="1"/>
    <xf numFmtId="9" fontId="0" fillId="0" borderId="5" xfId="1" applyFont="1" applyBorder="1"/>
    <xf numFmtId="0" fontId="0" fillId="0" borderId="34" xfId="0" applyBorder="1"/>
    <xf numFmtId="0" fontId="15" fillId="0" borderId="34" xfId="0" applyFont="1" applyBorder="1"/>
    <xf numFmtId="9" fontId="9" fillId="0" borderId="34" xfId="1" applyFont="1" applyBorder="1"/>
    <xf numFmtId="167" fontId="15" fillId="0" borderId="34" xfId="8" applyNumberFormat="1" applyFont="1" applyBorder="1"/>
    <xf numFmtId="167" fontId="9" fillId="0" borderId="34" xfId="8" applyNumberFormat="1" applyFont="1" applyBorder="1"/>
    <xf numFmtId="0" fontId="4" fillId="0" borderId="34" xfId="0" applyFont="1" applyBorder="1"/>
    <xf numFmtId="165" fontId="0" fillId="0" borderId="18" xfId="1" applyNumberFormat="1" applyFont="1" applyBorder="1"/>
    <xf numFmtId="165" fontId="4" fillId="0" borderId="34" xfId="0" applyNumberFormat="1" applyFont="1" applyBorder="1"/>
    <xf numFmtId="0" fontId="0" fillId="0" borderId="0" xfId="0" applyAlignment="1">
      <alignment horizontal="center"/>
    </xf>
    <xf numFmtId="167" fontId="0" fillId="0" borderId="0" xfId="8" applyNumberFormat="1" applyFont="1" applyFill="1"/>
    <xf numFmtId="165" fontId="0" fillId="0" borderId="0" xfId="1" applyNumberFormat="1" applyFont="1" applyFill="1"/>
    <xf numFmtId="9" fontId="5" fillId="0" borderId="0" xfId="3" applyNumberFormat="1" applyFill="1"/>
    <xf numFmtId="9" fontId="0" fillId="0" borderId="0" xfId="1" applyFont="1" applyFill="1"/>
    <xf numFmtId="0" fontId="0" fillId="0" borderId="0" xfId="0" quotePrefix="1"/>
    <xf numFmtId="167" fontId="0" fillId="0" borderId="0" xfId="8" applyNumberFormat="1" applyFont="1" applyBorder="1"/>
    <xf numFmtId="0" fontId="33" fillId="0" borderId="0" xfId="0" applyFont="1"/>
    <xf numFmtId="0" fontId="15" fillId="0" borderId="0" xfId="0" applyFont="1" applyAlignment="1">
      <alignment horizontal="left"/>
    </xf>
    <xf numFmtId="165" fontId="31" fillId="0" borderId="0" xfId="3" applyNumberFormat="1" applyFont="1" applyAlignment="1">
      <alignment horizontal="left"/>
    </xf>
    <xf numFmtId="9" fontId="14" fillId="0" borderId="0" xfId="0" applyNumberFormat="1" applyFont="1" applyAlignment="1">
      <alignment horizontal="left"/>
    </xf>
    <xf numFmtId="165" fontId="14" fillId="0" borderId="0" xfId="1" applyNumberFormat="1" applyFont="1"/>
    <xf numFmtId="0" fontId="32" fillId="0" borderId="34" xfId="0" applyFont="1" applyBorder="1"/>
    <xf numFmtId="167" fontId="4" fillId="0" borderId="34" xfId="8" applyNumberFormat="1" applyFont="1" applyBorder="1"/>
    <xf numFmtId="0" fontId="4" fillId="0" borderId="34" xfId="10" applyFont="1" applyBorder="1"/>
    <xf numFmtId="9" fontId="4" fillId="0" borderId="34" xfId="1" applyFont="1" applyBorder="1"/>
    <xf numFmtId="0" fontId="16" fillId="0" borderId="34" xfId="0" applyFont="1" applyBorder="1"/>
    <xf numFmtId="167" fontId="25" fillId="0" borderId="34" xfId="8" applyNumberFormat="1" applyFont="1" applyBorder="1"/>
    <xf numFmtId="0" fontId="4" fillId="0" borderId="0" xfId="10" applyFont="1"/>
    <xf numFmtId="165" fontId="4" fillId="0" borderId="34" xfId="1" applyNumberFormat="1" applyFont="1" applyBorder="1"/>
    <xf numFmtId="0" fontId="23" fillId="0" borderId="0" xfId="0" applyFont="1" applyAlignment="1">
      <alignment horizontal="left"/>
    </xf>
    <xf numFmtId="165" fontId="4" fillId="0" borderId="34" xfId="1" applyNumberFormat="1" applyFont="1" applyFill="1" applyBorder="1"/>
    <xf numFmtId="9" fontId="4" fillId="0" borderId="34" xfId="1" applyFont="1" applyFill="1" applyBorder="1"/>
    <xf numFmtId="0" fontId="4" fillId="0" borderId="34" xfId="0" quotePrefix="1" applyFont="1" applyBorder="1" applyAlignment="1">
      <alignment horizontal="left"/>
    </xf>
    <xf numFmtId="0" fontId="4" fillId="8" borderId="34" xfId="0" applyFont="1" applyFill="1" applyBorder="1"/>
    <xf numFmtId="0" fontId="32" fillId="8" borderId="34" xfId="0" applyFont="1" applyFill="1" applyBorder="1"/>
    <xf numFmtId="165" fontId="4" fillId="8" borderId="34" xfId="1" applyNumberFormat="1" applyFont="1" applyFill="1" applyBorder="1"/>
    <xf numFmtId="168" fontId="9" fillId="0" borderId="0" xfId="8" applyNumberFormat="1" applyFont="1"/>
    <xf numFmtId="0" fontId="15" fillId="0" borderId="34" xfId="0" applyFont="1" applyBorder="1" applyAlignment="1">
      <alignment horizontal="left"/>
    </xf>
    <xf numFmtId="0" fontId="29" fillId="0" borderId="0" xfId="3" applyFont="1" applyAlignment="1">
      <alignment horizontal="left"/>
    </xf>
    <xf numFmtId="164" fontId="9" fillId="0" borderId="0" xfId="1" applyNumberFormat="1" applyFont="1"/>
    <xf numFmtId="164" fontId="9" fillId="0" borderId="0" xfId="8" applyFont="1"/>
    <xf numFmtId="0" fontId="24" fillId="0" borderId="34" xfId="0" applyFont="1" applyBorder="1"/>
    <xf numFmtId="165" fontId="34" fillId="0" borderId="34" xfId="1" applyNumberFormat="1" applyFont="1" applyBorder="1"/>
    <xf numFmtId="165" fontId="35" fillId="0" borderId="34" xfId="1" applyNumberFormat="1" applyFont="1" applyBorder="1"/>
    <xf numFmtId="166" fontId="9" fillId="0" borderId="0" xfId="0" applyNumberFormat="1" applyFont="1"/>
    <xf numFmtId="0" fontId="25" fillId="0" borderId="19" xfId="0" applyFont="1" applyBorder="1"/>
    <xf numFmtId="0" fontId="32" fillId="0" borderId="19" xfId="0" applyFont="1" applyBorder="1"/>
    <xf numFmtId="166" fontId="25" fillId="0" borderId="19" xfId="0" applyNumberFormat="1" applyFont="1" applyBorder="1"/>
    <xf numFmtId="0" fontId="25" fillId="0" borderId="18" xfId="0" applyFont="1" applyBorder="1"/>
    <xf numFmtId="0" fontId="32" fillId="0" borderId="18" xfId="0" applyFont="1" applyBorder="1"/>
    <xf numFmtId="169" fontId="0" fillId="0" borderId="0" xfId="0" applyNumberFormat="1"/>
    <xf numFmtId="164" fontId="0" fillId="0" borderId="0" xfId="0" applyNumberFormat="1"/>
    <xf numFmtId="165" fontId="4" fillId="0" borderId="31" xfId="1" applyNumberFormat="1" applyFont="1" applyBorder="1"/>
    <xf numFmtId="165" fontId="4" fillId="0" borderId="30" xfId="0" applyNumberFormat="1" applyFont="1" applyBorder="1"/>
    <xf numFmtId="9" fontId="0" fillId="0" borderId="32" xfId="0" applyNumberFormat="1" applyBorder="1"/>
    <xf numFmtId="168" fontId="9" fillId="0" borderId="0" xfId="8" applyNumberFormat="1" applyFont="1" applyBorder="1"/>
    <xf numFmtId="0" fontId="4" fillId="0" borderId="8" xfId="0" applyFont="1" applyBorder="1" applyAlignment="1">
      <alignment wrapText="1"/>
    </xf>
    <xf numFmtId="165" fontId="0" fillId="0" borderId="30" xfId="0" applyNumberFormat="1" applyBorder="1"/>
    <xf numFmtId="165" fontId="2" fillId="0" borderId="31" xfId="1" applyNumberFormat="1" applyFont="1" applyBorder="1"/>
    <xf numFmtId="165" fontId="0" fillId="0" borderId="32" xfId="0" applyNumberFormat="1" applyBorder="1"/>
    <xf numFmtId="0" fontId="4" fillId="0" borderId="30" xfId="0" applyFont="1" applyBorder="1" applyAlignment="1">
      <alignment wrapText="1"/>
    </xf>
    <xf numFmtId="0" fontId="4" fillId="0" borderId="32" xfId="0" applyFont="1" applyBorder="1" applyAlignment="1">
      <alignment wrapText="1"/>
    </xf>
    <xf numFmtId="164" fontId="0" fillId="0" borderId="0" xfId="8" applyFont="1"/>
    <xf numFmtId="9" fontId="9" fillId="0" borderId="0" xfId="0" applyNumberFormat="1" applyFont="1" applyAlignment="1">
      <alignment horizontal="right"/>
    </xf>
    <xf numFmtId="9" fontId="9" fillId="0" borderId="0" xfId="0" applyNumberFormat="1" applyFont="1"/>
    <xf numFmtId="165" fontId="0" fillId="6" borderId="0" xfId="0" applyNumberFormat="1" applyFill="1"/>
    <xf numFmtId="0" fontId="4" fillId="0" borderId="0" xfId="0" applyFont="1" applyAlignment="1">
      <alignment vertical="center" wrapText="1"/>
    </xf>
    <xf numFmtId="164" fontId="0" fillId="0" borderId="4" xfId="8" applyFont="1" applyBorder="1"/>
    <xf numFmtId="168" fontId="0" fillId="0" borderId="0" xfId="8" applyNumberFormat="1" applyFont="1"/>
    <xf numFmtId="0" fontId="4" fillId="0" borderId="0" xfId="12" applyFont="1" applyAlignment="1">
      <alignment horizontal="center" vertical="center" wrapText="1"/>
    </xf>
    <xf numFmtId="164" fontId="0" fillId="0" borderId="30" xfId="8" applyFont="1" applyBorder="1"/>
    <xf numFmtId="2" fontId="9" fillId="0" borderId="0" xfId="0" applyNumberFormat="1" applyFont="1"/>
    <xf numFmtId="9" fontId="25" fillId="6" borderId="0" xfId="1" applyFont="1" applyFill="1"/>
    <xf numFmtId="0" fontId="25" fillId="6" borderId="0" xfId="0" applyFont="1" applyFill="1"/>
    <xf numFmtId="2" fontId="9" fillId="0" borderId="0" xfId="7" applyNumberFormat="1" applyAlignment="1">
      <alignment wrapText="1"/>
    </xf>
    <xf numFmtId="170" fontId="9" fillId="0" borderId="0" xfId="7" applyNumberFormat="1" applyAlignment="1">
      <alignment wrapText="1"/>
    </xf>
    <xf numFmtId="171" fontId="0" fillId="0" borderId="0" xfId="0" applyNumberFormat="1"/>
    <xf numFmtId="172" fontId="0" fillId="0" borderId="0" xfId="0" applyNumberFormat="1"/>
    <xf numFmtId="166" fontId="0" fillId="0" borderId="0" xfId="0" quotePrefix="1" applyNumberFormat="1"/>
    <xf numFmtId="0" fontId="4" fillId="0" borderId="24" xfId="0" applyFont="1" applyBorder="1"/>
    <xf numFmtId="9" fontId="4" fillId="0" borderId="24" xfId="1" applyFont="1" applyBorder="1"/>
    <xf numFmtId="9" fontId="4" fillId="0" borderId="0" xfId="1" applyFont="1" applyBorder="1"/>
    <xf numFmtId="0" fontId="0" fillId="0" borderId="35" xfId="0" applyBorder="1" applyAlignment="1">
      <alignment horizontal="center"/>
    </xf>
    <xf numFmtId="9" fontId="4" fillId="0" borderId="23" xfId="1" applyFont="1" applyBorder="1"/>
    <xf numFmtId="164" fontId="14" fillId="0" borderId="0" xfId="0" applyNumberFormat="1" applyFont="1"/>
    <xf numFmtId="166" fontId="36" fillId="0" borderId="0" xfId="0" applyNumberFormat="1" applyFont="1"/>
    <xf numFmtId="0" fontId="0" fillId="9" borderId="0" xfId="0" applyFill="1"/>
    <xf numFmtId="164" fontId="0" fillId="9" borderId="0" xfId="8" applyFont="1" applyFill="1"/>
    <xf numFmtId="0" fontId="14" fillId="4" borderId="0" xfId="0" applyFont="1" applyFill="1"/>
    <xf numFmtId="0" fontId="15" fillId="0" borderId="19" xfId="0" applyFont="1" applyBorder="1"/>
    <xf numFmtId="166" fontId="0" fillId="0" borderId="19" xfId="0" applyNumberFormat="1" applyBorder="1"/>
    <xf numFmtId="10" fontId="4" fillId="0" borderId="15" xfId="0" applyNumberFormat="1" applyFont="1" applyBorder="1"/>
    <xf numFmtId="165" fontId="14" fillId="0" borderId="0" xfId="0" applyNumberFormat="1" applyFont="1"/>
    <xf numFmtId="165" fontId="4" fillId="0" borderId="9" xfId="1" applyNumberFormat="1" applyFont="1" applyBorder="1"/>
    <xf numFmtId="0" fontId="25" fillId="0" borderId="0" xfId="11" applyFont="1" applyAlignment="1">
      <alignment horizontal="left" vertical="top" wrapText="1"/>
    </xf>
    <xf numFmtId="0" fontId="25" fillId="0" borderId="0" xfId="11" applyFont="1" applyAlignment="1">
      <alignment horizontal="left" vertical="top" wrapText="1" indent="1"/>
    </xf>
    <xf numFmtId="0" fontId="25" fillId="0" borderId="0" xfId="11" applyFont="1" applyAlignment="1">
      <alignment horizontal="center" vertical="top" wrapText="1"/>
    </xf>
    <xf numFmtId="0" fontId="25" fillId="0" borderId="0" xfId="11" applyFont="1" applyAlignment="1">
      <alignment horizontal="left" vertical="top" wrapText="1" indent="2"/>
    </xf>
    <xf numFmtId="0" fontId="25" fillId="0" borderId="0" xfId="11" applyFont="1" applyAlignment="1">
      <alignment horizontal="right" vertical="top" wrapText="1" indent="1"/>
    </xf>
    <xf numFmtId="10" fontId="0" fillId="0" borderId="0" xfId="1" applyNumberFormat="1" applyFont="1" applyBorder="1"/>
    <xf numFmtId="165" fontId="14" fillId="0" borderId="0" xfId="0" applyNumberFormat="1" applyFont="1" applyAlignment="1">
      <alignment horizontal="right"/>
    </xf>
    <xf numFmtId="10" fontId="4" fillId="0" borderId="0" xfId="0" applyNumberFormat="1" applyFont="1"/>
    <xf numFmtId="165" fontId="14" fillId="0" borderId="0" xfId="1" applyNumberFormat="1" applyFont="1" applyBorder="1"/>
    <xf numFmtId="165" fontId="4" fillId="0" borderId="0" xfId="1" applyNumberFormat="1" applyFont="1" applyBorder="1"/>
    <xf numFmtId="0" fontId="4" fillId="0" borderId="0" xfId="0" applyFont="1" applyAlignment="1">
      <alignment horizontal="center" vertical="center"/>
    </xf>
    <xf numFmtId="168" fontId="0" fillId="0" borderId="0" xfId="8" applyNumberFormat="1" applyFont="1" applyBorder="1"/>
    <xf numFmtId="168" fontId="25" fillId="0" borderId="0" xfId="8" applyNumberFormat="1" applyFont="1"/>
    <xf numFmtId="168" fontId="25" fillId="0" borderId="24" xfId="8" applyNumberFormat="1" applyFont="1" applyBorder="1"/>
    <xf numFmtId="0" fontId="15" fillId="0" borderId="0" xfId="0" applyFont="1" applyAlignment="1">
      <alignment horizontal="center"/>
    </xf>
    <xf numFmtId="0" fontId="24" fillId="0" borderId="18" xfId="0" applyFont="1" applyBorder="1"/>
    <xf numFmtId="168" fontId="25" fillId="0" borderId="18" xfId="8" applyNumberFormat="1" applyFont="1" applyBorder="1"/>
    <xf numFmtId="165" fontId="30" fillId="0" borderId="18" xfId="1" applyNumberFormat="1" applyFont="1" applyBorder="1"/>
    <xf numFmtId="0" fontId="4" fillId="0" borderId="18" xfId="0" applyFont="1" applyBorder="1" applyAlignment="1">
      <alignment horizontal="left"/>
    </xf>
    <xf numFmtId="0" fontId="0" fillId="0" borderId="37" xfId="0" applyBorder="1"/>
    <xf numFmtId="0" fontId="15" fillId="0" borderId="18" xfId="0" applyFont="1" applyBorder="1" applyAlignment="1">
      <alignment horizontal="center"/>
    </xf>
    <xf numFmtId="168" fontId="9" fillId="0" borderId="18" xfId="8" applyNumberFormat="1" applyFont="1" applyBorder="1"/>
    <xf numFmtId="0" fontId="0" fillId="0" borderId="38" xfId="0" applyBorder="1"/>
    <xf numFmtId="0" fontId="0" fillId="0" borderId="39" xfId="0" applyBorder="1"/>
    <xf numFmtId="0" fontId="15" fillId="0" borderId="19" xfId="0" applyFont="1" applyBorder="1" applyAlignment="1">
      <alignment horizontal="center"/>
    </xf>
    <xf numFmtId="168" fontId="9" fillId="0" borderId="19" xfId="8" applyNumberFormat="1" applyFont="1" applyBorder="1"/>
    <xf numFmtId="165" fontId="14" fillId="0" borderId="19" xfId="1" applyNumberFormat="1" applyFont="1" applyBorder="1"/>
    <xf numFmtId="0" fontId="0" fillId="0" borderId="19" xfId="0" applyBorder="1" applyAlignment="1">
      <alignment horizontal="left"/>
    </xf>
    <xf numFmtId="165" fontId="30" fillId="0" borderId="0" xfId="1" applyNumberFormat="1" applyFont="1" applyBorder="1"/>
    <xf numFmtId="165" fontId="9" fillId="0" borderId="0" xfId="1" applyNumberFormat="1" applyFont="1" applyBorder="1"/>
    <xf numFmtId="0" fontId="15" fillId="0" borderId="27" xfId="0" applyFont="1" applyBorder="1" applyAlignment="1">
      <alignment horizontal="center"/>
    </xf>
    <xf numFmtId="165" fontId="14" fillId="0" borderId="27" xfId="1" applyNumberFormat="1" applyFont="1" applyBorder="1"/>
    <xf numFmtId="165" fontId="9" fillId="0" borderId="27" xfId="1" applyNumberFormat="1" applyFont="1" applyBorder="1"/>
    <xf numFmtId="165" fontId="30" fillId="0" borderId="27" xfId="1" applyNumberFormat="1" applyFont="1" applyBorder="1"/>
    <xf numFmtId="0" fontId="15" fillId="0" borderId="27" xfId="0" applyFont="1" applyBorder="1" applyAlignment="1">
      <alignment horizontal="left"/>
    </xf>
    <xf numFmtId="0" fontId="9" fillId="0" borderId="0" xfId="0" applyFont="1" applyAlignment="1">
      <alignment horizontal="left"/>
    </xf>
    <xf numFmtId="168" fontId="31" fillId="0" borderId="0" xfId="8" applyNumberFormat="1" applyFont="1"/>
    <xf numFmtId="168" fontId="9" fillId="0" borderId="0" xfId="8" applyNumberFormat="1" applyFont="1" applyAlignment="1">
      <alignment horizontal="left"/>
    </xf>
    <xf numFmtId="168" fontId="25" fillId="0" borderId="0" xfId="8" applyNumberFormat="1" applyFont="1" applyAlignment="1">
      <alignment horizontal="left"/>
    </xf>
    <xf numFmtId="164" fontId="9" fillId="0" borderId="0" xfId="8" applyFont="1" applyBorder="1"/>
    <xf numFmtId="9" fontId="9" fillId="0" borderId="0" xfId="8" applyNumberFormat="1" applyFont="1" applyBorder="1"/>
    <xf numFmtId="9" fontId="9" fillId="0" borderId="0" xfId="1" applyFont="1" applyBorder="1"/>
    <xf numFmtId="9" fontId="14" fillId="0" borderId="0" xfId="8" applyNumberFormat="1" applyFont="1"/>
    <xf numFmtId="1" fontId="14" fillId="0" borderId="0" xfId="8" applyNumberFormat="1" applyFont="1" applyFill="1" applyBorder="1"/>
    <xf numFmtId="9" fontId="14" fillId="0" borderId="0" xfId="1" applyFont="1" applyBorder="1"/>
    <xf numFmtId="165" fontId="2" fillId="0" borderId="0" xfId="1" applyNumberFormat="1" applyFont="1" applyBorder="1"/>
    <xf numFmtId="168" fontId="25" fillId="0" borderId="24" xfId="8" applyNumberFormat="1" applyFont="1" applyBorder="1" applyAlignment="1">
      <alignment horizontal="left"/>
    </xf>
    <xf numFmtId="168" fontId="32" fillId="0" borderId="24" xfId="8" applyNumberFormat="1" applyFont="1" applyBorder="1"/>
    <xf numFmtId="164" fontId="25" fillId="0" borderId="24" xfId="8" applyFont="1" applyBorder="1"/>
    <xf numFmtId="165" fontId="14" fillId="0" borderId="18" xfId="1" applyNumberFormat="1" applyFont="1" applyBorder="1"/>
    <xf numFmtId="165" fontId="9" fillId="0" borderId="18" xfId="1" applyNumberFormat="1" applyFont="1" applyBorder="1"/>
    <xf numFmtId="0" fontId="15" fillId="0" borderId="18" xfId="0" applyFont="1" applyBorder="1" applyAlignment="1">
      <alignment horizontal="left"/>
    </xf>
    <xf numFmtId="165" fontId="9" fillId="0" borderId="19" xfId="1" applyNumberFormat="1" applyFont="1" applyBorder="1"/>
    <xf numFmtId="0" fontId="15" fillId="0" borderId="19" xfId="0" applyFont="1" applyBorder="1" applyAlignment="1">
      <alignment horizontal="left"/>
    </xf>
    <xf numFmtId="165" fontId="30" fillId="0" borderId="19" xfId="1" applyNumberFormat="1" applyFont="1" applyBorder="1"/>
    <xf numFmtId="9" fontId="14" fillId="0" borderId="18" xfId="1" applyFont="1" applyBorder="1"/>
    <xf numFmtId="0" fontId="0" fillId="0" borderId="33" xfId="0" applyBorder="1"/>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0" fillId="0" borderId="18" xfId="0" applyBorder="1" applyAlignment="1">
      <alignment horizontal="left"/>
    </xf>
    <xf numFmtId="168" fontId="31" fillId="0" borderId="0" xfId="8" applyNumberFormat="1" applyFont="1" applyAlignment="1">
      <alignment horizontal="center"/>
    </xf>
    <xf numFmtId="0" fontId="31" fillId="0" borderId="0" xfId="0" applyFont="1" applyAlignment="1">
      <alignment horizontal="center"/>
    </xf>
    <xf numFmtId="168" fontId="25" fillId="0" borderId="37" xfId="8" applyNumberFormat="1" applyFont="1" applyBorder="1"/>
    <xf numFmtId="168" fontId="32" fillId="0" borderId="18" xfId="8" applyNumberFormat="1" applyFont="1" applyBorder="1"/>
    <xf numFmtId="164" fontId="25" fillId="0" borderId="18" xfId="8" applyFont="1" applyBorder="1"/>
    <xf numFmtId="164" fontId="25" fillId="0" borderId="40" xfId="8" applyFont="1" applyBorder="1"/>
    <xf numFmtId="168" fontId="25" fillId="0" borderId="39" xfId="8" applyNumberFormat="1" applyFont="1" applyBorder="1"/>
    <xf numFmtId="168" fontId="32" fillId="0" borderId="19" xfId="8" applyNumberFormat="1" applyFont="1" applyBorder="1"/>
    <xf numFmtId="168" fontId="25" fillId="0" borderId="19" xfId="8" applyNumberFormat="1" applyFont="1" applyBorder="1"/>
    <xf numFmtId="168" fontId="25" fillId="0" borderId="41" xfId="8" applyNumberFormat="1" applyFont="1" applyBorder="1"/>
    <xf numFmtId="2" fontId="0" fillId="0" borderId="0" xfId="8" applyNumberFormat="1" applyFont="1" applyBorder="1"/>
    <xf numFmtId="168" fontId="0" fillId="0" borderId="0" xfId="0" applyNumberFormat="1"/>
    <xf numFmtId="0" fontId="25" fillId="0" borderId="42" xfId="11" applyFont="1" applyBorder="1" applyAlignment="1">
      <alignment horizontal="center" vertical="top" wrapText="1"/>
    </xf>
    <xf numFmtId="0" fontId="25" fillId="0" borderId="42" xfId="11" applyFont="1" applyBorder="1" applyAlignment="1">
      <alignment horizontal="left" vertical="top" wrapText="1" indent="2"/>
    </xf>
    <xf numFmtId="0" fontId="25" fillId="0" borderId="43" xfId="11" applyFont="1" applyBorder="1" applyAlignment="1">
      <alignment horizontal="left" vertical="top" wrapText="1" indent="1"/>
    </xf>
    <xf numFmtId="0" fontId="4" fillId="0" borderId="36" xfId="0" applyFont="1" applyBorder="1"/>
    <xf numFmtId="0" fontId="4" fillId="0" borderId="44" xfId="0" applyFont="1" applyBorder="1"/>
    <xf numFmtId="0" fontId="4" fillId="0" borderId="45" xfId="0" applyFont="1" applyBorder="1"/>
    <xf numFmtId="0" fontId="25" fillId="0" borderId="47" xfId="11" applyFont="1" applyBorder="1" applyAlignment="1">
      <alignment horizontal="right" vertical="top" wrapText="1" indent="1"/>
    </xf>
    <xf numFmtId="0" fontId="25" fillId="0" borderId="36" xfId="11" applyFont="1" applyBorder="1" applyAlignment="1">
      <alignment horizontal="center" vertical="top" wrapText="1"/>
    </xf>
    <xf numFmtId="168" fontId="4" fillId="0" borderId="27" xfId="8" applyNumberFormat="1" applyFont="1" applyBorder="1"/>
    <xf numFmtId="168" fontId="4" fillId="0" borderId="36" xfId="8" applyNumberFormat="1" applyFont="1" applyBorder="1"/>
    <xf numFmtId="168" fontId="4" fillId="0" borderId="44" xfId="8" applyNumberFormat="1" applyFont="1" applyBorder="1"/>
    <xf numFmtId="10" fontId="9" fillId="0" borderId="0" xfId="0" applyNumberFormat="1" applyFont="1" applyAlignment="1">
      <alignment horizontal="left"/>
    </xf>
    <xf numFmtId="165" fontId="15" fillId="0" borderId="0" xfId="1" applyNumberFormat="1" applyFont="1"/>
    <xf numFmtId="165" fontId="4" fillId="0" borderId="0" xfId="1" applyNumberFormat="1" applyFont="1"/>
    <xf numFmtId="165" fontId="4" fillId="0" borderId="0" xfId="1" applyNumberFormat="1" applyFont="1" applyAlignment="1">
      <alignment horizontal="left"/>
    </xf>
    <xf numFmtId="165" fontId="4" fillId="0" borderId="0" xfId="1" applyNumberFormat="1" applyFont="1" applyFill="1" applyBorder="1"/>
    <xf numFmtId="165" fontId="4" fillId="0" borderId="44" xfId="1" applyNumberFormat="1" applyFont="1" applyBorder="1"/>
    <xf numFmtId="165" fontId="4" fillId="0" borderId="36" xfId="1" applyNumberFormat="1" applyFont="1" applyBorder="1"/>
    <xf numFmtId="165" fontId="4" fillId="0" borderId="27" xfId="1" applyNumberFormat="1" applyFont="1" applyBorder="1"/>
    <xf numFmtId="165" fontId="30" fillId="0" borderId="44" xfId="1" applyNumberFormat="1" applyFont="1" applyBorder="1"/>
    <xf numFmtId="164" fontId="2" fillId="0" borderId="0" xfId="8" applyFont="1"/>
    <xf numFmtId="168" fontId="2" fillId="0" borderId="0" xfId="8" applyNumberFormat="1" applyFont="1"/>
    <xf numFmtId="165" fontId="25" fillId="0" borderId="44" xfId="1" applyNumberFormat="1" applyFont="1" applyBorder="1"/>
    <xf numFmtId="10" fontId="0" fillId="0" borderId="0" xfId="0" applyNumberFormat="1"/>
    <xf numFmtId="0" fontId="25" fillId="0" borderId="42" xfId="11" applyFont="1" applyBorder="1" applyAlignment="1">
      <alignment horizontal="left" vertical="top" wrapText="1"/>
    </xf>
    <xf numFmtId="0" fontId="25" fillId="0" borderId="47" xfId="11" applyFont="1" applyBorder="1" applyAlignment="1">
      <alignment horizontal="center" vertical="center" wrapText="1"/>
    </xf>
    <xf numFmtId="0" fontId="25" fillId="0" borderId="0" xfId="11" applyFont="1" applyAlignment="1">
      <alignment horizontal="center" vertical="center" wrapText="1"/>
    </xf>
    <xf numFmtId="0" fontId="25" fillId="0" borderId="47" xfId="11" applyFont="1" applyBorder="1" applyAlignment="1">
      <alignment vertical="center" wrapText="1"/>
    </xf>
    <xf numFmtId="0" fontId="25" fillId="0" borderId="27" xfId="11" applyFont="1" applyBorder="1" applyAlignment="1">
      <alignment vertical="top" wrapText="1"/>
    </xf>
    <xf numFmtId="0" fontId="25" fillId="0" borderId="47" xfId="11" applyFont="1" applyBorder="1" applyAlignment="1">
      <alignment vertical="top" wrapText="1"/>
    </xf>
    <xf numFmtId="9" fontId="0" fillId="0" borderId="38" xfId="1" applyFont="1" applyFill="1" applyBorder="1"/>
    <xf numFmtId="9" fontId="14" fillId="0" borderId="37" xfId="1" applyFont="1" applyBorder="1"/>
    <xf numFmtId="9" fontId="14" fillId="0" borderId="40" xfId="1" applyFont="1" applyBorder="1"/>
    <xf numFmtId="9" fontId="14" fillId="0" borderId="38" xfId="1" applyFont="1" applyBorder="1"/>
    <xf numFmtId="9" fontId="14" fillId="0" borderId="48" xfId="1" applyFont="1" applyBorder="1"/>
    <xf numFmtId="9" fontId="10" fillId="0" borderId="39" xfId="1" applyFont="1" applyBorder="1"/>
    <xf numFmtId="9" fontId="10" fillId="0" borderId="19" xfId="1" applyFont="1" applyBorder="1"/>
    <xf numFmtId="0" fontId="25" fillId="0" borderId="0" xfId="11" applyFont="1" applyAlignment="1">
      <alignment vertical="center" wrapText="1"/>
    </xf>
    <xf numFmtId="168" fontId="4" fillId="0" borderId="33" xfId="8" applyNumberFormat="1" applyFont="1" applyBorder="1"/>
    <xf numFmtId="0" fontId="0" fillId="0" borderId="46" xfId="0" applyBorder="1"/>
    <xf numFmtId="0" fontId="4" fillId="0" borderId="49" xfId="0" applyFont="1" applyBorder="1"/>
    <xf numFmtId="168" fontId="2" fillId="0" borderId="37" xfId="8" applyNumberFormat="1" applyFont="1" applyBorder="1"/>
    <xf numFmtId="168" fontId="2" fillId="0" borderId="18" xfId="8" applyNumberFormat="1" applyFont="1" applyBorder="1"/>
    <xf numFmtId="168" fontId="2" fillId="0" borderId="40" xfId="8" applyNumberFormat="1" applyFont="1" applyBorder="1"/>
    <xf numFmtId="168" fontId="2" fillId="0" borderId="38" xfId="8" applyNumberFormat="1" applyFont="1" applyBorder="1"/>
    <xf numFmtId="168" fontId="2" fillId="0" borderId="0" xfId="8" applyNumberFormat="1" applyFont="1" applyBorder="1"/>
    <xf numFmtId="168" fontId="2" fillId="0" borderId="48" xfId="8" applyNumberFormat="1" applyFont="1" applyBorder="1"/>
    <xf numFmtId="168" fontId="2" fillId="0" borderId="39" xfId="8" applyNumberFormat="1" applyFont="1" applyBorder="1"/>
    <xf numFmtId="168" fontId="2" fillId="0" borderId="19" xfId="8" applyNumberFormat="1" applyFont="1" applyBorder="1"/>
    <xf numFmtId="173" fontId="0" fillId="0" borderId="0" xfId="0" applyNumberFormat="1"/>
    <xf numFmtId="165" fontId="2" fillId="0" borderId="37" xfId="1" applyNumberFormat="1" applyFont="1" applyBorder="1"/>
    <xf numFmtId="165" fontId="2" fillId="0" borderId="18" xfId="1" applyNumberFormat="1" applyFont="1" applyBorder="1"/>
    <xf numFmtId="165" fontId="2" fillId="0" borderId="40" xfId="1" applyNumberFormat="1" applyFont="1" applyBorder="1"/>
    <xf numFmtId="165" fontId="2" fillId="0" borderId="38" xfId="1" applyNumberFormat="1" applyFont="1" applyBorder="1"/>
    <xf numFmtId="165" fontId="2" fillId="0" borderId="48" xfId="1" applyNumberFormat="1" applyFont="1" applyBorder="1"/>
    <xf numFmtId="165" fontId="2" fillId="0" borderId="39" xfId="1" applyNumberFormat="1" applyFont="1" applyBorder="1"/>
    <xf numFmtId="165" fontId="2" fillId="0" borderId="19" xfId="1" applyNumberFormat="1" applyFont="1" applyBorder="1"/>
    <xf numFmtId="168" fontId="2" fillId="0" borderId="41" xfId="8" applyNumberFormat="1" applyFont="1" applyBorder="1"/>
    <xf numFmtId="165" fontId="2" fillId="0" borderId="41" xfId="1" applyNumberFormat="1" applyFont="1" applyBorder="1"/>
    <xf numFmtId="10" fontId="14" fillId="0" borderId="0" xfId="1" applyNumberFormat="1" applyFont="1"/>
    <xf numFmtId="165" fontId="0" fillId="0" borderId="19" xfId="1" applyNumberFormat="1" applyFont="1" applyBorder="1"/>
    <xf numFmtId="164" fontId="4" fillId="0" borderId="0" xfId="0" applyNumberFormat="1" applyFont="1"/>
    <xf numFmtId="0" fontId="16" fillId="0" borderId="0" xfId="0" applyFont="1" applyAlignment="1">
      <alignment horizontal="right" wrapText="1"/>
    </xf>
    <xf numFmtId="0" fontId="16" fillId="0" borderId="0" xfId="0" applyFont="1" applyAlignment="1">
      <alignment horizontal="left"/>
    </xf>
    <xf numFmtId="0" fontId="4" fillId="10" borderId="37" xfId="0" applyFont="1" applyFill="1" applyBorder="1" applyAlignment="1">
      <alignment horizontal="left" vertical="center"/>
    </xf>
    <xf numFmtId="0" fontId="4" fillId="10" borderId="18" xfId="0" applyFont="1" applyFill="1" applyBorder="1"/>
    <xf numFmtId="0" fontId="4" fillId="10" borderId="39" xfId="0" applyFont="1" applyFill="1" applyBorder="1" applyAlignment="1">
      <alignment horizontal="left" vertical="center"/>
    </xf>
    <xf numFmtId="0" fontId="4" fillId="10" borderId="19" xfId="0" applyFont="1" applyFill="1" applyBorder="1"/>
    <xf numFmtId="0" fontId="16" fillId="10" borderId="18" xfId="0" applyFont="1" applyFill="1" applyBorder="1"/>
    <xf numFmtId="166" fontId="4" fillId="10" borderId="18" xfId="0" applyNumberFormat="1" applyFont="1" applyFill="1" applyBorder="1"/>
    <xf numFmtId="0" fontId="16" fillId="10" borderId="19" xfId="0" applyFont="1" applyFill="1" applyBorder="1"/>
    <xf numFmtId="166" fontId="4" fillId="10" borderId="19" xfId="0" applyNumberFormat="1" applyFont="1" applyFill="1" applyBorder="1"/>
    <xf numFmtId="168" fontId="25" fillId="0" borderId="0" xfId="8" applyNumberFormat="1" applyFont="1" applyBorder="1"/>
    <xf numFmtId="168" fontId="32" fillId="0" borderId="0" xfId="8" applyNumberFormat="1" applyFont="1" applyBorder="1"/>
    <xf numFmtId="165" fontId="32" fillId="0" borderId="0" xfId="1" applyNumberFormat="1" applyFont="1" applyBorder="1"/>
    <xf numFmtId="2" fontId="0" fillId="0" borderId="18" xfId="0" applyNumberFormat="1" applyBorder="1"/>
    <xf numFmtId="2" fontId="0" fillId="0" borderId="19" xfId="0" applyNumberFormat="1" applyBorder="1"/>
    <xf numFmtId="2" fontId="4" fillId="0" borderId="19" xfId="0" applyNumberFormat="1" applyFont="1" applyBorder="1"/>
    <xf numFmtId="165" fontId="12" fillId="9" borderId="0" xfId="0" applyNumberFormat="1" applyFont="1" applyFill="1"/>
    <xf numFmtId="2" fontId="0" fillId="0" borderId="0" xfId="0" applyNumberFormat="1" applyAlignment="1">
      <alignment horizontal="right"/>
    </xf>
    <xf numFmtId="2" fontId="0" fillId="9" borderId="0" xfId="0" applyNumberFormat="1" applyFill="1"/>
    <xf numFmtId="166" fontId="4" fillId="3" borderId="0" xfId="0" applyNumberFormat="1" applyFont="1" applyFill="1"/>
    <xf numFmtId="2" fontId="4" fillId="0" borderId="0" xfId="0" applyNumberFormat="1" applyFont="1"/>
    <xf numFmtId="0" fontId="4" fillId="3" borderId="10" xfId="0" applyFont="1" applyFill="1" applyBorder="1" applyAlignment="1">
      <alignment horizontal="left"/>
    </xf>
    <xf numFmtId="9" fontId="0" fillId="9" borderId="0" xfId="0" applyNumberFormat="1" applyFill="1"/>
    <xf numFmtId="9" fontId="0" fillId="9" borderId="0" xfId="1" applyFont="1" applyFill="1"/>
    <xf numFmtId="2" fontId="4" fillId="0" borderId="34" xfId="0" applyNumberFormat="1" applyFont="1" applyBorder="1"/>
    <xf numFmtId="10" fontId="4" fillId="0" borderId="0" xfId="1" applyNumberFormat="1" applyFont="1"/>
    <xf numFmtId="9" fontId="0" fillId="0" borderId="18" xfId="1" applyFont="1" applyBorder="1"/>
    <xf numFmtId="166" fontId="0" fillId="9" borderId="0" xfId="0" applyNumberFormat="1" applyFill="1"/>
    <xf numFmtId="2" fontId="0" fillId="11" borderId="0" xfId="0" applyNumberFormat="1" applyFill="1"/>
    <xf numFmtId="0" fontId="0" fillId="8" borderId="0" xfId="0" applyFill="1"/>
    <xf numFmtId="2" fontId="0" fillId="8" borderId="0" xfId="0" applyNumberFormat="1" applyFill="1"/>
    <xf numFmtId="2" fontId="0" fillId="7" borderId="0" xfId="0" applyNumberFormat="1" applyFill="1"/>
    <xf numFmtId="2" fontId="0" fillId="8" borderId="0" xfId="0" applyNumberFormat="1" applyFill="1" applyAlignment="1">
      <alignment horizontal="right"/>
    </xf>
    <xf numFmtId="0" fontId="4" fillId="0" borderId="0" xfId="0" applyFont="1" applyAlignment="1">
      <alignment horizontal="center"/>
    </xf>
    <xf numFmtId="0" fontId="39" fillId="0" borderId="0" xfId="14" applyAlignment="1">
      <alignment horizontal="left" vertical="top"/>
    </xf>
    <xf numFmtId="174" fontId="0" fillId="0" borderId="0" xfId="0" applyNumberFormat="1"/>
    <xf numFmtId="174" fontId="0" fillId="9" borderId="0" xfId="0" applyNumberFormat="1" applyFill="1"/>
    <xf numFmtId="0" fontId="39" fillId="0" borderId="0" xfId="14" applyAlignment="1">
      <alignment horizontal="left"/>
    </xf>
    <xf numFmtId="0" fontId="40" fillId="0" borderId="0" xfId="0" applyFont="1"/>
    <xf numFmtId="166" fontId="40" fillId="0" borderId="0" xfId="0" applyNumberFormat="1" applyFont="1"/>
    <xf numFmtId="9" fontId="41" fillId="0" borderId="0" xfId="0" applyNumberFormat="1" applyFont="1"/>
    <xf numFmtId="9" fontId="40" fillId="0" borderId="0" xfId="0" applyNumberFormat="1" applyFont="1"/>
    <xf numFmtId="168" fontId="40" fillId="0" borderId="0" xfId="8" applyNumberFormat="1" applyFont="1" applyFill="1" applyBorder="1"/>
    <xf numFmtId="0" fontId="42" fillId="0" borderId="0" xfId="0" applyFont="1"/>
    <xf numFmtId="9" fontId="43" fillId="0" borderId="0" xfId="0" applyNumberFormat="1" applyFont="1"/>
    <xf numFmtId="0" fontId="44" fillId="0" borderId="0" xfId="0" applyFont="1"/>
    <xf numFmtId="0" fontId="45" fillId="0" borderId="0" xfId="0" applyFont="1"/>
    <xf numFmtId="0" fontId="0" fillId="12" borderId="0" xfId="0" applyFill="1"/>
    <xf numFmtId="0" fontId="40" fillId="12" borderId="0" xfId="0" applyFont="1" applyFill="1"/>
    <xf numFmtId="9" fontId="40" fillId="12" borderId="0" xfId="0" applyNumberFormat="1" applyFont="1" applyFill="1"/>
    <xf numFmtId="168" fontId="40" fillId="12" borderId="0" xfId="8" applyNumberFormat="1" applyFont="1" applyFill="1" applyBorder="1"/>
    <xf numFmtId="174" fontId="0" fillId="12" borderId="0" xfId="0" applyNumberFormat="1" applyFill="1"/>
    <xf numFmtId="166" fontId="0" fillId="13" borderId="0" xfId="0" applyNumberFormat="1" applyFill="1"/>
    <xf numFmtId="2" fontId="4" fillId="4" borderId="0" xfId="0" applyNumberFormat="1" applyFont="1" applyFill="1"/>
    <xf numFmtId="9" fontId="2" fillId="0" borderId="0" xfId="1" applyFont="1" applyFill="1"/>
    <xf numFmtId="167" fontId="2" fillId="0" borderId="0" xfId="8" applyNumberFormat="1" applyFont="1" applyFill="1"/>
    <xf numFmtId="0" fontId="15" fillId="8" borderId="34" xfId="0" applyFont="1" applyFill="1" applyBorder="1" applyAlignment="1">
      <alignment horizontal="left"/>
    </xf>
    <xf numFmtId="1" fontId="9" fillId="3" borderId="0" xfId="0" applyNumberFormat="1" applyFont="1" applyFill="1"/>
    <xf numFmtId="3" fontId="0" fillId="0" borderId="0" xfId="0" applyNumberFormat="1"/>
    <xf numFmtId="3" fontId="0" fillId="3" borderId="0" xfId="0" applyNumberFormat="1" applyFill="1"/>
    <xf numFmtId="3" fontId="0" fillId="10" borderId="0" xfId="0" applyNumberFormat="1" applyFill="1"/>
    <xf numFmtId="1" fontId="25" fillId="0" borderId="31" xfId="0" applyNumberFormat="1" applyFont="1" applyBorder="1"/>
    <xf numFmtId="3" fontId="46" fillId="0" borderId="31" xfId="14" applyNumberFormat="1" applyFont="1" applyBorder="1"/>
    <xf numFmtId="4" fontId="46" fillId="0" borderId="31" xfId="14" applyNumberFormat="1" applyFont="1" applyBorder="1"/>
    <xf numFmtId="165" fontId="4" fillId="0" borderId="31" xfId="0" applyNumberFormat="1" applyFont="1" applyBorder="1"/>
    <xf numFmtId="0" fontId="4" fillId="0" borderId="31" xfId="0" applyFont="1" applyBorder="1"/>
    <xf numFmtId="0" fontId="47" fillId="0" borderId="31" xfId="3" applyFont="1" applyBorder="1"/>
    <xf numFmtId="1" fontId="4" fillId="0" borderId="31" xfId="0" applyNumberFormat="1" applyFont="1" applyBorder="1"/>
    <xf numFmtId="1" fontId="15" fillId="0" borderId="0" xfId="0" applyNumberFormat="1" applyFont="1"/>
    <xf numFmtId="0" fontId="4" fillId="11" borderId="0" xfId="0" applyFont="1" applyFill="1"/>
    <xf numFmtId="1" fontId="0" fillId="14" borderId="0" xfId="0" applyNumberFormat="1" applyFill="1"/>
    <xf numFmtId="0" fontId="9" fillId="0" borderId="0" xfId="3" applyFont="1" applyBorder="1"/>
    <xf numFmtId="166" fontId="0" fillId="14" borderId="0" xfId="0" applyNumberFormat="1" applyFill="1"/>
    <xf numFmtId="1" fontId="39" fillId="0" borderId="0" xfId="14" applyNumberFormat="1" applyAlignment="1">
      <alignment horizontal="right"/>
    </xf>
    <xf numFmtId="3" fontId="39" fillId="0" borderId="0" xfId="14" applyNumberFormat="1"/>
    <xf numFmtId="165" fontId="0" fillId="9" borderId="11" xfId="0" applyNumberFormat="1" applyFill="1" applyBorder="1" applyAlignment="1">
      <alignment horizontal="right"/>
    </xf>
    <xf numFmtId="9" fontId="0" fillId="0" borderId="0" xfId="1" applyFont="1" applyFill="1" applyBorder="1"/>
    <xf numFmtId="9" fontId="4" fillId="0" borderId="0" xfId="1" applyFont="1" applyFill="1" applyBorder="1"/>
    <xf numFmtId="0" fontId="2" fillId="0" borderId="0" xfId="9"/>
    <xf numFmtId="9" fontId="2" fillId="0" borderId="0" xfId="15" applyFont="1"/>
    <xf numFmtId="0" fontId="0" fillId="0" borderId="0" xfId="0" applyAlignment="1">
      <alignment horizontal="center" vertical="center"/>
    </xf>
    <xf numFmtId="168" fontId="9" fillId="0" borderId="0" xfId="8" applyNumberFormat="1" applyFont="1" applyFill="1"/>
    <xf numFmtId="166" fontId="0" fillId="0" borderId="11" xfId="0" applyNumberFormat="1" applyBorder="1" applyAlignment="1">
      <alignment horizontal="right"/>
    </xf>
    <xf numFmtId="10" fontId="4" fillId="6" borderId="15" xfId="0" applyNumberFormat="1" applyFont="1" applyFill="1" applyBorder="1"/>
    <xf numFmtId="166" fontId="4" fillId="0" borderId="12" xfId="0" applyNumberFormat="1" applyFont="1" applyBorder="1" applyAlignment="1">
      <alignment horizontal="right"/>
    </xf>
    <xf numFmtId="166" fontId="4" fillId="0" borderId="15" xfId="0" applyNumberFormat="1" applyFont="1" applyBorder="1" applyAlignment="1">
      <alignment horizontal="right"/>
    </xf>
    <xf numFmtId="10" fontId="4" fillId="0" borderId="26" xfId="0" applyNumberFormat="1" applyFont="1" applyBorder="1"/>
    <xf numFmtId="165" fontId="4" fillId="0" borderId="14" xfId="0" applyNumberFormat="1" applyFont="1" applyBorder="1"/>
    <xf numFmtId="175" fontId="0" fillId="0" borderId="0" xfId="0" applyNumberFormat="1"/>
    <xf numFmtId="0" fontId="4" fillId="0" borderId="0" xfId="0" applyFont="1" applyAlignment="1">
      <alignment horizontal="left" vertical="center"/>
    </xf>
    <xf numFmtId="166" fontId="0" fillId="0" borderId="14" xfId="0" applyNumberFormat="1" applyBorder="1" applyAlignment="1">
      <alignment horizontal="right"/>
    </xf>
    <xf numFmtId="165" fontId="25" fillId="0" borderId="0" xfId="0" applyNumberFormat="1" applyFont="1"/>
    <xf numFmtId="169" fontId="0" fillId="0" borderId="0" xfId="0" applyNumberFormat="1" applyAlignment="1">
      <alignment horizontal="right"/>
    </xf>
    <xf numFmtId="9" fontId="4" fillId="8" borderId="0" xfId="1" applyFont="1" applyFill="1"/>
    <xf numFmtId="164" fontId="0" fillId="0" borderId="0" xfId="0" applyNumberFormat="1" applyAlignment="1">
      <alignment horizontal="left"/>
    </xf>
    <xf numFmtId="0" fontId="4" fillId="0" borderId="37" xfId="0" applyFont="1" applyBorder="1"/>
    <xf numFmtId="0" fontId="4" fillId="0" borderId="38" xfId="0" applyFont="1" applyBorder="1"/>
    <xf numFmtId="0" fontId="4" fillId="0" borderId="39" xfId="0" applyFont="1" applyBorder="1"/>
    <xf numFmtId="4" fontId="0" fillId="0" borderId="0" xfId="0" applyNumberFormat="1"/>
    <xf numFmtId="0" fontId="0" fillId="0" borderId="0" xfId="0" applyAlignment="1">
      <alignment vertical="center"/>
    </xf>
    <xf numFmtId="0" fontId="37" fillId="0" borderId="0" xfId="0" applyFont="1" applyAlignment="1">
      <alignment horizontal="left" vertical="center"/>
    </xf>
    <xf numFmtId="0" fontId="0" fillId="11" borderId="0" xfId="0" applyFill="1"/>
    <xf numFmtId="9" fontId="0" fillId="11" borderId="0" xfId="1" applyFont="1" applyFill="1"/>
    <xf numFmtId="0" fontId="4" fillId="9" borderId="34" xfId="0" applyFont="1" applyFill="1" applyBorder="1"/>
    <xf numFmtId="0" fontId="4" fillId="9" borderId="18" xfId="0" applyFont="1" applyFill="1" applyBorder="1"/>
    <xf numFmtId="9" fontId="14" fillId="9" borderId="0" xfId="0" applyNumberFormat="1" applyFont="1" applyFill="1"/>
    <xf numFmtId="165" fontId="0" fillId="9" borderId="18" xfId="1" applyNumberFormat="1" applyFont="1" applyFill="1" applyBorder="1"/>
    <xf numFmtId="165" fontId="0" fillId="9" borderId="0" xfId="1" applyNumberFormat="1" applyFont="1" applyFill="1" applyBorder="1"/>
    <xf numFmtId="165" fontId="4" fillId="9" borderId="34" xfId="0" applyNumberFormat="1" applyFont="1" applyFill="1" applyBorder="1"/>
    <xf numFmtId="0" fontId="2" fillId="0" borderId="0" xfId="5"/>
    <xf numFmtId="166" fontId="2" fillId="0" borderId="0" xfId="5" applyNumberFormat="1"/>
    <xf numFmtId="166" fontId="2" fillId="0" borderId="0" xfId="16" applyNumberFormat="1"/>
    <xf numFmtId="0" fontId="2" fillId="0" borderId="0" xfId="17"/>
    <xf numFmtId="0" fontId="2" fillId="0" borderId="0" xfId="18" applyAlignment="1">
      <alignment wrapText="1"/>
    </xf>
    <xf numFmtId="0" fontId="2" fillId="0" borderId="0" xfId="18" applyAlignment="1">
      <alignment vertical="center" wrapText="1"/>
    </xf>
    <xf numFmtId="0" fontId="2" fillId="0" borderId="0" xfId="16"/>
    <xf numFmtId="1" fontId="2" fillId="0" borderId="0" xfId="16" applyNumberFormat="1"/>
    <xf numFmtId="2" fontId="2" fillId="0" borderId="0" xfId="16" applyNumberFormat="1"/>
    <xf numFmtId="1" fontId="2" fillId="0" borderId="0" xfId="19" applyNumberFormat="1" applyFont="1" applyAlignment="1">
      <alignment vertical="center"/>
    </xf>
    <xf numFmtId="1" fontId="9" fillId="0" borderId="0" xfId="7" applyNumberFormat="1" applyAlignment="1">
      <alignment vertical="center"/>
    </xf>
    <xf numFmtId="0" fontId="9" fillId="0" borderId="0" xfId="7" applyAlignment="1">
      <alignment vertical="center"/>
    </xf>
    <xf numFmtId="9" fontId="9" fillId="0" borderId="0" xfId="7" applyNumberFormat="1" applyAlignment="1">
      <alignment vertical="center"/>
    </xf>
    <xf numFmtId="166" fontId="2" fillId="0" borderId="0" xfId="16" applyNumberFormat="1" applyAlignment="1">
      <alignment vertical="center"/>
    </xf>
    <xf numFmtId="2" fontId="9" fillId="0" borderId="0" xfId="7" applyNumberFormat="1" applyAlignment="1">
      <alignment vertical="center"/>
    </xf>
    <xf numFmtId="166" fontId="9" fillId="0" borderId="0" xfId="7" applyNumberFormat="1" applyAlignment="1">
      <alignment vertical="center"/>
    </xf>
    <xf numFmtId="0" fontId="2" fillId="0" borderId="0" xfId="18"/>
    <xf numFmtId="166" fontId="2" fillId="0" borderId="0" xfId="18" applyNumberFormat="1"/>
    <xf numFmtId="0" fontId="4" fillId="0" borderId="2" xfId="0" applyFont="1" applyBorder="1"/>
    <xf numFmtId="0" fontId="4" fillId="0" borderId="35" xfId="0" applyFont="1" applyBorder="1"/>
    <xf numFmtId="0" fontId="15" fillId="0" borderId="35" xfId="0" applyFont="1" applyBorder="1"/>
    <xf numFmtId="166" fontId="0" fillId="0" borderId="35" xfId="0" applyNumberFormat="1" applyBorder="1"/>
    <xf numFmtId="0" fontId="0" fillId="0" borderId="35" xfId="0" applyBorder="1"/>
    <xf numFmtId="0" fontId="9" fillId="0" borderId="18" xfId="7" applyBorder="1" applyAlignment="1">
      <alignment horizontal="left"/>
    </xf>
    <xf numFmtId="0" fontId="9" fillId="0" borderId="18" xfId="7" applyBorder="1" applyAlignment="1">
      <alignment horizontal="center" vertical="center" wrapText="1"/>
    </xf>
    <xf numFmtId="0" fontId="2" fillId="0" borderId="18" xfId="17" applyBorder="1"/>
    <xf numFmtId="0" fontId="2" fillId="0" borderId="18" xfId="18" applyBorder="1" applyAlignment="1">
      <alignment wrapText="1"/>
    </xf>
    <xf numFmtId="0" fontId="2" fillId="0" borderId="18" xfId="18" applyBorder="1" applyAlignment="1">
      <alignment vertical="center" wrapText="1"/>
    </xf>
    <xf numFmtId="0" fontId="9" fillId="0" borderId="19" xfId="7" applyBorder="1" applyAlignment="1">
      <alignment horizontal="left"/>
    </xf>
    <xf numFmtId="166" fontId="2" fillId="0" borderId="19" xfId="16" applyNumberFormat="1" applyBorder="1"/>
    <xf numFmtId="1" fontId="2" fillId="0" borderId="19" xfId="19" applyNumberFormat="1" applyFont="1" applyBorder="1" applyAlignment="1">
      <alignment vertical="center"/>
    </xf>
    <xf numFmtId="0" fontId="2" fillId="0" borderId="19" xfId="16" applyBorder="1"/>
    <xf numFmtId="1" fontId="9" fillId="0" borderId="19" xfId="7" applyNumberFormat="1" applyBorder="1" applyAlignment="1">
      <alignment vertical="center"/>
    </xf>
    <xf numFmtId="0" fontId="9" fillId="0" borderId="19" xfId="7" applyBorder="1" applyAlignment="1">
      <alignment vertical="center"/>
    </xf>
    <xf numFmtId="166" fontId="9" fillId="0" borderId="19" xfId="7" applyNumberFormat="1" applyBorder="1" applyAlignment="1">
      <alignment vertical="center"/>
    </xf>
    <xf numFmtId="9" fontId="14" fillId="9" borderId="0" xfId="1" applyFont="1" applyFill="1"/>
    <xf numFmtId="9" fontId="9" fillId="9" borderId="0" xfId="0" applyNumberFormat="1" applyFont="1" applyFill="1"/>
    <xf numFmtId="2" fontId="14" fillId="0" borderId="0" xfId="0" applyNumberFormat="1" applyFont="1"/>
    <xf numFmtId="2" fontId="4" fillId="0" borderId="12" xfId="0" applyNumberFormat="1" applyFont="1" applyBorder="1" applyAlignment="1">
      <alignment horizontal="right"/>
    </xf>
    <xf numFmtId="165" fontId="9" fillId="0" borderId="11" xfId="0" applyNumberFormat="1" applyFont="1" applyBorder="1" applyAlignment="1">
      <alignment horizontal="right"/>
    </xf>
    <xf numFmtId="165" fontId="0" fillId="9" borderId="0" xfId="0" applyNumberFormat="1" applyFill="1"/>
    <xf numFmtId="10" fontId="0" fillId="0" borderId="18" xfId="1" applyNumberFormat="1" applyFont="1" applyBorder="1"/>
    <xf numFmtId="10" fontId="0" fillId="9" borderId="0" xfId="0" applyNumberFormat="1" applyFill="1"/>
    <xf numFmtId="2" fontId="0" fillId="0" borderId="14" xfId="0" applyNumberFormat="1" applyBorder="1" applyAlignment="1">
      <alignment horizontal="right"/>
    </xf>
    <xf numFmtId="2" fontId="4" fillId="0" borderId="15" xfId="0" applyNumberFormat="1" applyFont="1" applyBorder="1" applyAlignment="1">
      <alignment horizontal="right"/>
    </xf>
    <xf numFmtId="9" fontId="9" fillId="0" borderId="38" xfId="1" applyFont="1" applyBorder="1"/>
    <xf numFmtId="9" fontId="19" fillId="0" borderId="0" xfId="1" applyFont="1" applyFill="1"/>
    <xf numFmtId="2" fontId="4" fillId="8" borderId="27" xfId="0" applyNumberFormat="1" applyFont="1" applyFill="1" applyBorder="1"/>
    <xf numFmtId="2" fontId="4" fillId="0" borderId="18" xfId="0" applyNumberFormat="1" applyFont="1" applyBorder="1"/>
    <xf numFmtId="176" fontId="4" fillId="0" borderId="19" xfId="0" applyNumberFormat="1" applyFont="1" applyBorder="1"/>
    <xf numFmtId="176" fontId="0" fillId="0" borderId="18" xfId="0" applyNumberFormat="1" applyBorder="1"/>
    <xf numFmtId="10" fontId="9" fillId="0" borderId="0" xfId="0" applyNumberFormat="1" applyFont="1"/>
    <xf numFmtId="177" fontId="0" fillId="0" borderId="0" xfId="0" applyNumberFormat="1"/>
    <xf numFmtId="166" fontId="14" fillId="0" borderId="0" xfId="0" applyNumberFormat="1" applyFont="1"/>
    <xf numFmtId="166" fontId="14" fillId="0" borderId="19" xfId="0" applyNumberFormat="1" applyFont="1" applyBorder="1"/>
    <xf numFmtId="0" fontId="5" fillId="0" borderId="0" xfId="3" applyBorder="1"/>
    <xf numFmtId="0" fontId="5" fillId="0" borderId="19" xfId="3" applyBorder="1"/>
    <xf numFmtId="2" fontId="25" fillId="0" borderId="0" xfId="0" applyNumberFormat="1" applyFont="1"/>
    <xf numFmtId="165" fontId="4" fillId="0" borderId="15" xfId="0" applyNumberFormat="1" applyFont="1" applyBorder="1"/>
    <xf numFmtId="168" fontId="2" fillId="0" borderId="0" xfId="0" applyNumberFormat="1" applyFont="1"/>
    <xf numFmtId="3" fontId="13" fillId="0" borderId="0" xfId="0" applyNumberFormat="1" applyFont="1"/>
    <xf numFmtId="165" fontId="22" fillId="0" borderId="28" xfId="11" applyNumberFormat="1" applyFont="1" applyBorder="1" applyAlignment="1">
      <alignment horizontal="right" vertical="top" indent="1" shrinkToFit="1"/>
    </xf>
    <xf numFmtId="165" fontId="22" fillId="0" borderId="28" xfId="11" applyNumberFormat="1" applyFont="1" applyBorder="1" applyAlignment="1">
      <alignment horizontal="center" vertical="top" shrinkToFit="1"/>
    </xf>
    <xf numFmtId="43" fontId="2" fillId="0" borderId="38" xfId="8" applyNumberFormat="1" applyFont="1" applyBorder="1"/>
    <xf numFmtId="166" fontId="4" fillId="11" borderId="0" xfId="0" applyNumberFormat="1" applyFont="1" applyFill="1"/>
    <xf numFmtId="0" fontId="5" fillId="0" borderId="0" xfId="3" applyAlignment="1">
      <alignment horizontal="left"/>
    </xf>
    <xf numFmtId="168" fontId="0" fillId="0" borderId="0" xfId="8" applyNumberFormat="1" applyFont="1" applyFill="1"/>
    <xf numFmtId="164" fontId="0" fillId="0" borderId="0" xfId="8" applyFont="1" applyFill="1"/>
    <xf numFmtId="0" fontId="4" fillId="0" borderId="6" xfId="0" applyFont="1" applyBorder="1"/>
    <xf numFmtId="0" fontId="4" fillId="0" borderId="4" xfId="0" applyFont="1" applyBorder="1"/>
    <xf numFmtId="168" fontId="0" fillId="0" borderId="35" xfId="8" applyNumberFormat="1" applyFont="1" applyBorder="1"/>
    <xf numFmtId="168" fontId="0" fillId="0" borderId="35" xfId="0" applyNumberFormat="1" applyBorder="1"/>
    <xf numFmtId="166" fontId="0" fillId="0" borderId="23" xfId="0" applyNumberFormat="1" applyBorder="1"/>
    <xf numFmtId="0" fontId="4" fillId="0" borderId="0" xfId="0" applyFont="1" applyAlignment="1">
      <alignment horizontal="right"/>
    </xf>
    <xf numFmtId="0" fontId="15" fillId="0" borderId="4" xfId="0" applyFont="1" applyBorder="1" applyAlignment="1">
      <alignment horizontal="right"/>
    </xf>
    <xf numFmtId="0" fontId="15" fillId="0" borderId="6" xfId="0" applyFont="1" applyBorder="1" applyAlignment="1">
      <alignment horizontal="right"/>
    </xf>
    <xf numFmtId="0" fontId="15" fillId="0" borderId="31" xfId="0" applyFont="1" applyBorder="1"/>
    <xf numFmtId="43" fontId="0" fillId="0" borderId="0" xfId="0" applyNumberFormat="1"/>
    <xf numFmtId="0" fontId="10" fillId="6" borderId="0" xfId="0" applyFont="1" applyFill="1"/>
    <xf numFmtId="165" fontId="14" fillId="0" borderId="28" xfId="11" applyNumberFormat="1" applyFont="1" applyBorder="1" applyAlignment="1">
      <alignment horizontal="left" vertical="center" shrinkToFit="1"/>
    </xf>
    <xf numFmtId="0" fontId="25" fillId="0" borderId="28" xfId="11" applyFont="1" applyBorder="1" applyAlignment="1">
      <alignment horizontal="center" vertical="center" wrapText="1"/>
    </xf>
    <xf numFmtId="2" fontId="0" fillId="0" borderId="35" xfId="0" applyNumberFormat="1" applyBorder="1"/>
    <xf numFmtId="2" fontId="0" fillId="0" borderId="23" xfId="0" applyNumberFormat="1" applyBorder="1"/>
    <xf numFmtId="2" fontId="0" fillId="0" borderId="31" xfId="0" applyNumberFormat="1" applyBorder="1"/>
    <xf numFmtId="0" fontId="15" fillId="0" borderId="2" xfId="0" applyFont="1" applyBorder="1"/>
    <xf numFmtId="0" fontId="15" fillId="0" borderId="4" xfId="0" applyFont="1" applyBorder="1"/>
    <xf numFmtId="0" fontId="15" fillId="0" borderId="6" xfId="0" applyFont="1" applyBorder="1"/>
    <xf numFmtId="0" fontId="16" fillId="0" borderId="0" xfId="0" applyFont="1" applyAlignment="1">
      <alignment horizontal="right"/>
    </xf>
    <xf numFmtId="166" fontId="5" fillId="0" borderId="0" xfId="3" applyNumberFormat="1" applyBorder="1"/>
    <xf numFmtId="0" fontId="4" fillId="8" borderId="0" xfId="0" applyFont="1" applyFill="1" applyAlignment="1">
      <alignment horizontal="left"/>
    </xf>
    <xf numFmtId="2" fontId="4" fillId="8" borderId="0" xfId="0" applyNumberFormat="1" applyFont="1" applyFill="1"/>
    <xf numFmtId="0" fontId="4" fillId="11" borderId="30" xfId="0" applyFont="1" applyFill="1" applyBorder="1" applyAlignment="1">
      <alignment horizontal="left"/>
    </xf>
    <xf numFmtId="0" fontId="4" fillId="11" borderId="31" xfId="0" applyFont="1" applyFill="1" applyBorder="1"/>
    <xf numFmtId="0" fontId="16" fillId="11" borderId="31" xfId="0" applyFont="1" applyFill="1" applyBorder="1"/>
    <xf numFmtId="166" fontId="4" fillId="11" borderId="31" xfId="0" applyNumberFormat="1" applyFont="1" applyFill="1" applyBorder="1"/>
    <xf numFmtId="2" fontId="4" fillId="11" borderId="31" xfId="0" applyNumberFormat="1" applyFont="1" applyFill="1" applyBorder="1"/>
    <xf numFmtId="1" fontId="4" fillId="11" borderId="31" xfId="0" applyNumberFormat="1" applyFont="1" applyFill="1" applyBorder="1"/>
    <xf numFmtId="0" fontId="0" fillId="0" borderId="3" xfId="0" applyBorder="1"/>
    <xf numFmtId="0" fontId="0" fillId="0" borderId="5" xfId="0" applyBorder="1"/>
    <xf numFmtId="2" fontId="0" fillId="0" borderId="5" xfId="0" applyNumberFormat="1" applyBorder="1"/>
    <xf numFmtId="0" fontId="0" fillId="0" borderId="7" xfId="0" applyBorder="1"/>
    <xf numFmtId="178" fontId="9" fillId="0" borderId="0" xfId="8" applyNumberFormat="1" applyFont="1" applyFill="1" applyBorder="1"/>
    <xf numFmtId="43" fontId="2" fillId="0" borderId="0" xfId="0" applyNumberFormat="1" applyFont="1"/>
    <xf numFmtId="0" fontId="16" fillId="7" borderId="0" xfId="0" applyFont="1" applyFill="1"/>
    <xf numFmtId="166" fontId="4" fillId="7" borderId="0" xfId="0" applyNumberFormat="1" applyFont="1" applyFill="1"/>
    <xf numFmtId="0" fontId="4" fillId="7" borderId="23" xfId="0" applyFont="1" applyFill="1" applyBorder="1"/>
    <xf numFmtId="0" fontId="16" fillId="7" borderId="23" xfId="0" applyFont="1" applyFill="1" applyBorder="1"/>
    <xf numFmtId="0" fontId="16" fillId="0" borderId="31" xfId="0" applyFont="1" applyBorder="1"/>
    <xf numFmtId="166" fontId="4" fillId="0" borderId="31" xfId="0" applyNumberFormat="1" applyFont="1" applyBorder="1"/>
    <xf numFmtId="166" fontId="0" fillId="8" borderId="27" xfId="0" applyNumberFormat="1" applyFill="1" applyBorder="1"/>
    <xf numFmtId="166" fontId="10" fillId="6" borderId="0" xfId="0" applyNumberFormat="1" applyFont="1" applyFill="1"/>
    <xf numFmtId="2" fontId="4" fillId="0" borderId="31" xfId="0" applyNumberFormat="1" applyFont="1" applyBorder="1"/>
    <xf numFmtId="0" fontId="4" fillId="8" borderId="30" xfId="0" applyFont="1" applyFill="1" applyBorder="1"/>
    <xf numFmtId="0" fontId="4" fillId="8" borderId="31" xfId="0" applyFont="1" applyFill="1" applyBorder="1"/>
    <xf numFmtId="2" fontId="4" fillId="8" borderId="31" xfId="0" applyNumberFormat="1" applyFont="1" applyFill="1" applyBorder="1"/>
    <xf numFmtId="167" fontId="4" fillId="0" borderId="31" xfId="8" applyNumberFormat="1" applyFont="1" applyBorder="1"/>
    <xf numFmtId="167" fontId="0" fillId="0" borderId="0" xfId="8" applyNumberFormat="1" applyFont="1" applyFill="1" applyBorder="1"/>
    <xf numFmtId="0" fontId="4" fillId="8" borderId="30" xfId="0" applyFont="1" applyFill="1" applyBorder="1" applyAlignment="1">
      <alignment horizontal="left"/>
    </xf>
    <xf numFmtId="0" fontId="16" fillId="8" borderId="31" xfId="0" applyFont="1" applyFill="1" applyBorder="1"/>
    <xf numFmtId="166" fontId="4" fillId="8" borderId="31" xfId="0" applyNumberFormat="1" applyFont="1" applyFill="1" applyBorder="1"/>
    <xf numFmtId="0" fontId="9" fillId="0" borderId="0" xfId="7" applyAlignment="1">
      <alignment horizontal="center" vertical="top"/>
    </xf>
    <xf numFmtId="1" fontId="9" fillId="0" borderId="0" xfId="7" applyNumberFormat="1"/>
    <xf numFmtId="0" fontId="13" fillId="0" borderId="0" xfId="7" applyFont="1"/>
    <xf numFmtId="165" fontId="0" fillId="0" borderId="35" xfId="1" applyNumberFormat="1" applyFont="1" applyBorder="1"/>
    <xf numFmtId="166" fontId="0" fillId="6" borderId="0" xfId="0" applyNumberFormat="1" applyFill="1"/>
    <xf numFmtId="0" fontId="0" fillId="0" borderId="0" xfId="0" pivotButton="1"/>
    <xf numFmtId="9" fontId="0" fillId="0" borderId="35" xfId="1" applyFont="1" applyBorder="1"/>
    <xf numFmtId="9" fontId="0" fillId="0" borderId="23" xfId="1" applyFont="1" applyBorder="1"/>
    <xf numFmtId="9" fontId="9" fillId="0" borderId="0" xfId="1" applyFont="1" applyAlignment="1">
      <alignment horizontal="left"/>
    </xf>
    <xf numFmtId="1" fontId="0" fillId="0" borderId="0" xfId="1" applyNumberFormat="1" applyFont="1"/>
    <xf numFmtId="9" fontId="9" fillId="0" borderId="0" xfId="7" applyNumberFormat="1"/>
    <xf numFmtId="1" fontId="2" fillId="0" borderId="0" xfId="6" applyNumberFormat="1" applyFont="1"/>
    <xf numFmtId="1" fontId="4" fillId="0" borderId="24" xfId="0" applyNumberFormat="1" applyFont="1" applyBorder="1"/>
    <xf numFmtId="165" fontId="14" fillId="6" borderId="0" xfId="1" applyNumberFormat="1" applyFont="1" applyFill="1"/>
    <xf numFmtId="1" fontId="10" fillId="6" borderId="0" xfId="7" applyNumberFormat="1" applyFont="1" applyFill="1"/>
    <xf numFmtId="179" fontId="2" fillId="0" borderId="0" xfId="21" applyNumberFormat="1"/>
    <xf numFmtId="2" fontId="9" fillId="0" borderId="0" xfId="7" applyNumberFormat="1"/>
    <xf numFmtId="180" fontId="0" fillId="0" borderId="0" xfId="0" applyNumberFormat="1"/>
    <xf numFmtId="49" fontId="0" fillId="0" borderId="0" xfId="0" applyNumberFormat="1" applyAlignment="1">
      <alignment horizontal="left"/>
    </xf>
    <xf numFmtId="49" fontId="0" fillId="0" borderId="0" xfId="0" applyNumberFormat="1"/>
    <xf numFmtId="9" fontId="14" fillId="6" borderId="0" xfId="1" applyFont="1" applyFill="1"/>
    <xf numFmtId="9" fontId="4" fillId="6" borderId="0" xfId="1" applyFont="1" applyFill="1"/>
    <xf numFmtId="1" fontId="9" fillId="3" borderId="0" xfId="7" applyNumberFormat="1" applyFill="1"/>
    <xf numFmtId="0" fontId="4" fillId="11" borderId="0" xfId="0" applyFont="1" applyFill="1" applyAlignment="1">
      <alignment wrapText="1"/>
    </xf>
    <xf numFmtId="0" fontId="0" fillId="15" borderId="0" xfId="0" applyFill="1" applyAlignment="1">
      <alignment wrapText="1"/>
    </xf>
    <xf numFmtId="0" fontId="4" fillId="15" borderId="0" xfId="0" applyFont="1" applyFill="1" applyAlignment="1">
      <alignment wrapText="1"/>
    </xf>
    <xf numFmtId="0" fontId="0" fillId="15" borderId="0" xfId="0" applyFill="1"/>
    <xf numFmtId="9" fontId="49" fillId="16" borderId="1" xfId="22" applyNumberFormat="1"/>
    <xf numFmtId="165" fontId="49" fillId="16" borderId="1" xfId="22" applyNumberFormat="1"/>
    <xf numFmtId="0" fontId="4" fillId="0" borderId="35" xfId="0" applyFont="1" applyBorder="1" applyAlignment="1">
      <alignment horizontal="center"/>
    </xf>
    <xf numFmtId="166" fontId="49" fillId="16" borderId="1" xfId="22" applyNumberFormat="1"/>
    <xf numFmtId="0" fontId="49" fillId="16" borderId="1" xfId="22"/>
    <xf numFmtId="0" fontId="0" fillId="18" borderId="0" xfId="0" applyFill="1"/>
    <xf numFmtId="0" fontId="53" fillId="0" borderId="0" xfId="0" applyFont="1"/>
    <xf numFmtId="0" fontId="54" fillId="0" borderId="0" xfId="0" applyFont="1"/>
    <xf numFmtId="0" fontId="55" fillId="0" borderId="0" xfId="0" applyFont="1"/>
    <xf numFmtId="0" fontId="57" fillId="0" borderId="19" xfId="0" applyFont="1" applyBorder="1"/>
    <xf numFmtId="0" fontId="57" fillId="0" borderId="19" xfId="0" applyFont="1" applyBorder="1" applyAlignment="1">
      <alignment horizontal="center"/>
    </xf>
    <xf numFmtId="0" fontId="58" fillId="0" borderId="39" xfId="0" applyFont="1" applyBorder="1" applyAlignment="1">
      <alignment horizontal="center"/>
    </xf>
    <xf numFmtId="0" fontId="58" fillId="0" borderId="19" xfId="0" applyFont="1" applyBorder="1" applyAlignment="1">
      <alignment horizontal="center"/>
    </xf>
    <xf numFmtId="0" fontId="59" fillId="0" borderId="0" xfId="0" applyFont="1" applyAlignment="1">
      <alignment horizontal="left"/>
    </xf>
    <xf numFmtId="0" fontId="60" fillId="0" borderId="0" xfId="0" applyFont="1"/>
    <xf numFmtId="1" fontId="61" fillId="0" borderId="0" xfId="1" applyNumberFormat="1" applyFont="1" applyAlignment="1">
      <alignment horizontal="center"/>
    </xf>
    <xf numFmtId="1" fontId="61" fillId="0" borderId="38" xfId="1" applyNumberFormat="1" applyFont="1" applyBorder="1" applyAlignment="1">
      <alignment horizontal="center"/>
    </xf>
    <xf numFmtId="1" fontId="61" fillId="0" borderId="0" xfId="1" applyNumberFormat="1" applyFont="1" applyBorder="1" applyAlignment="1">
      <alignment horizontal="center"/>
    </xf>
    <xf numFmtId="1" fontId="61" fillId="6" borderId="0" xfId="0" applyNumberFormat="1" applyFont="1" applyFill="1" applyAlignment="1">
      <alignment horizontal="center"/>
    </xf>
    <xf numFmtId="1" fontId="61" fillId="0" borderId="38" xfId="0" applyNumberFormat="1" applyFont="1" applyBorder="1" applyAlignment="1">
      <alignment horizontal="center"/>
    </xf>
    <xf numFmtId="1" fontId="61" fillId="0" borderId="0" xfId="0" applyNumberFormat="1" applyFont="1" applyAlignment="1">
      <alignment horizontal="center"/>
    </xf>
    <xf numFmtId="0" fontId="62" fillId="0" borderId="0" xfId="0" applyFont="1"/>
    <xf numFmtId="1" fontId="63" fillId="0" borderId="0" xfId="0" applyNumberFormat="1" applyFont="1" applyAlignment="1">
      <alignment horizontal="center"/>
    </xf>
    <xf numFmtId="1" fontId="63" fillId="0" borderId="38" xfId="0" applyNumberFormat="1" applyFont="1" applyBorder="1" applyAlignment="1">
      <alignment horizontal="center"/>
    </xf>
    <xf numFmtId="10" fontId="0" fillId="19" borderId="0" xfId="0" applyNumberFormat="1" applyFill="1"/>
    <xf numFmtId="179" fontId="0" fillId="0" borderId="0" xfId="0" applyNumberFormat="1"/>
    <xf numFmtId="0" fontId="10" fillId="6" borderId="0" xfId="0" applyFont="1" applyFill="1" applyAlignment="1">
      <alignment horizontal="center" vertical="center"/>
    </xf>
    <xf numFmtId="0" fontId="10" fillId="6" borderId="0" xfId="0" applyFont="1" applyFill="1" applyAlignment="1">
      <alignment vertical="center"/>
    </xf>
    <xf numFmtId="0" fontId="10" fillId="0" borderId="0" xfId="0" applyFont="1" applyAlignment="1">
      <alignment vertical="center"/>
    </xf>
    <xf numFmtId="167" fontId="50" fillId="2" borderId="50" xfId="23" applyNumberFormat="1"/>
    <xf numFmtId="167" fontId="50" fillId="2" borderId="50" xfId="23" applyNumberFormat="1" applyAlignment="1">
      <alignment horizontal="left"/>
    </xf>
    <xf numFmtId="167" fontId="3" fillId="2" borderId="1" xfId="2" applyNumberFormat="1" applyAlignment="1">
      <alignment horizontal="left"/>
    </xf>
    <xf numFmtId="167" fontId="64" fillId="17" borderId="0" xfId="24" applyNumberFormat="1" applyBorder="1"/>
    <xf numFmtId="1" fontId="64" fillId="17" borderId="0" xfId="24" applyNumberFormat="1" applyBorder="1"/>
    <xf numFmtId="167" fontId="3" fillId="2" borderId="1" xfId="2" applyNumberFormat="1"/>
    <xf numFmtId="1" fontId="3" fillId="2" borderId="1" xfId="2" applyNumberFormat="1" applyAlignment="1">
      <alignment horizontal="right"/>
    </xf>
    <xf numFmtId="1" fontId="2" fillId="8" borderId="0" xfId="6" applyNumberFormat="1" applyFont="1" applyFill="1" applyAlignment="1">
      <alignment horizontal="right"/>
    </xf>
    <xf numFmtId="181" fontId="3" fillId="2" borderId="1" xfId="2" applyNumberFormat="1"/>
    <xf numFmtId="43" fontId="3" fillId="2" borderId="52" xfId="2" applyNumberFormat="1" applyBorder="1"/>
    <xf numFmtId="181" fontId="3" fillId="2" borderId="52" xfId="2" applyNumberFormat="1" applyBorder="1"/>
    <xf numFmtId="167" fontId="3" fillId="2" borderId="53" xfId="2" applyNumberFormat="1" applyBorder="1" applyAlignment="1">
      <alignment horizontal="right"/>
    </xf>
    <xf numFmtId="0" fontId="49" fillId="16" borderId="52" xfId="22" applyBorder="1" applyAlignment="1">
      <alignment horizontal="right"/>
    </xf>
    <xf numFmtId="1" fontId="3" fillId="2" borderId="52" xfId="2" applyNumberFormat="1" applyBorder="1" applyAlignment="1">
      <alignment horizontal="right"/>
    </xf>
    <xf numFmtId="1" fontId="49" fillId="16" borderId="52" xfId="22" applyNumberFormat="1" applyBorder="1" applyAlignment="1">
      <alignment horizontal="right"/>
    </xf>
    <xf numFmtId="165" fontId="50" fillId="2" borderId="54" xfId="23" applyNumberFormat="1" applyBorder="1"/>
    <xf numFmtId="0" fontId="64" fillId="17" borderId="24" xfId="24" applyBorder="1"/>
    <xf numFmtId="167" fontId="64" fillId="17" borderId="24" xfId="24" applyNumberFormat="1" applyBorder="1"/>
    <xf numFmtId="1" fontId="64" fillId="17" borderId="24" xfId="24" applyNumberFormat="1" applyBorder="1"/>
    <xf numFmtId="176" fontId="14" fillId="0" borderId="0" xfId="0" applyNumberFormat="1" applyFont="1"/>
    <xf numFmtId="0" fontId="65" fillId="0" borderId="0" xfId="0" applyFont="1"/>
    <xf numFmtId="178" fontId="0" fillId="0" borderId="0" xfId="0" applyNumberFormat="1"/>
    <xf numFmtId="182" fontId="0" fillId="0" borderId="0" xfId="0" applyNumberFormat="1"/>
    <xf numFmtId="176" fontId="0" fillId="0" borderId="0" xfId="0" applyNumberFormat="1"/>
    <xf numFmtId="181" fontId="0" fillId="0" borderId="0" xfId="0" applyNumberFormat="1"/>
    <xf numFmtId="164" fontId="49" fillId="16" borderId="1" xfId="22" applyNumberFormat="1"/>
    <xf numFmtId="43" fontId="49" fillId="16" borderId="1" xfId="22" applyNumberFormat="1"/>
    <xf numFmtId="181" fontId="4" fillId="0" borderId="0" xfId="0" applyNumberFormat="1" applyFont="1"/>
    <xf numFmtId="181" fontId="50" fillId="2" borderId="50" xfId="23" applyNumberFormat="1"/>
    <xf numFmtId="9" fontId="49" fillId="16" borderId="55" xfId="22" applyNumberFormat="1" applyBorder="1"/>
    <xf numFmtId="9" fontId="3" fillId="2" borderId="55" xfId="2" applyNumberFormat="1" applyBorder="1"/>
    <xf numFmtId="1" fontId="3" fillId="2" borderId="53" xfId="2" applyNumberFormat="1" applyBorder="1"/>
    <xf numFmtId="165" fontId="3" fillId="2" borderId="55" xfId="2" applyNumberFormat="1" applyBorder="1"/>
    <xf numFmtId="9" fontId="49" fillId="16" borderId="55" xfId="22" applyNumberFormat="1" applyBorder="1" applyAlignment="1">
      <alignment horizontal="center"/>
    </xf>
    <xf numFmtId="0" fontId="4" fillId="18" borderId="0" xfId="0" applyFont="1" applyFill="1"/>
    <xf numFmtId="0" fontId="15" fillId="18" borderId="0" xfId="0" applyFont="1" applyFill="1"/>
    <xf numFmtId="1" fontId="1" fillId="18" borderId="0" xfId="24" applyNumberFormat="1" applyFont="1" applyFill="1" applyBorder="1"/>
    <xf numFmtId="166" fontId="0" fillId="18" borderId="0" xfId="0" applyNumberFormat="1" applyFill="1"/>
    <xf numFmtId="167" fontId="3" fillId="2" borderId="0" xfId="2" applyNumberFormat="1" applyBorder="1"/>
    <xf numFmtId="181" fontId="3" fillId="2" borderId="0" xfId="2" applyNumberFormat="1" applyBorder="1"/>
    <xf numFmtId="0" fontId="4" fillId="0" borderId="0" xfId="0" applyFont="1" applyAlignment="1">
      <alignment horizontal="center"/>
    </xf>
    <xf numFmtId="0" fontId="56" fillId="0" borderId="38" xfId="0" applyFont="1" applyBorder="1" applyAlignment="1">
      <alignment horizontal="center"/>
    </xf>
    <xf numFmtId="0" fontId="56" fillId="0" borderId="0" xfId="0" applyFont="1" applyAlignment="1">
      <alignment horizontal="center"/>
    </xf>
    <xf numFmtId="0" fontId="0" fillId="0" borderId="0" xfId="0" applyAlignment="1">
      <alignment horizontal="center" vertical="center"/>
    </xf>
    <xf numFmtId="0" fontId="4" fillId="0" borderId="37" xfId="0" applyFont="1" applyBorder="1" applyAlignment="1">
      <alignment horizontal="left" vertical="center"/>
    </xf>
    <xf numFmtId="0" fontId="4" fillId="0" borderId="38" xfId="0" applyFont="1" applyBorder="1" applyAlignment="1">
      <alignment horizontal="left" vertical="center"/>
    </xf>
    <xf numFmtId="0" fontId="4" fillId="0" borderId="39" xfId="0" applyFont="1" applyBorder="1" applyAlignment="1">
      <alignment horizontal="left" vertical="center"/>
    </xf>
    <xf numFmtId="0" fontId="4" fillId="0" borderId="18" xfId="0" applyFont="1" applyBorder="1" applyAlignment="1">
      <alignment horizontal="center" vertical="center"/>
    </xf>
    <xf numFmtId="0" fontId="4" fillId="0" borderId="0" xfId="0" applyFont="1" applyAlignment="1">
      <alignment horizontal="center" vertical="center"/>
    </xf>
    <xf numFmtId="0" fontId="4" fillId="0" borderId="19" xfId="0" applyFont="1" applyBorder="1" applyAlignment="1">
      <alignment horizontal="center" vertical="center"/>
    </xf>
    <xf numFmtId="0" fontId="4" fillId="0" borderId="37" xfId="0" applyFont="1" applyBorder="1" applyAlignment="1">
      <alignment horizontal="center" vertical="center"/>
    </xf>
    <xf numFmtId="0" fontId="4" fillId="0" borderId="39" xfId="0" applyFont="1" applyBorder="1" applyAlignment="1">
      <alignment horizontal="center" vertical="center"/>
    </xf>
    <xf numFmtId="0" fontId="0" fillId="0" borderId="0" xfId="0" applyAlignment="1">
      <alignment horizontal="center"/>
    </xf>
    <xf numFmtId="9" fontId="0" fillId="0" borderId="0" xfId="1" applyFont="1" applyAlignment="1">
      <alignment horizontal="center"/>
    </xf>
    <xf numFmtId="9" fontId="0" fillId="0" borderId="0" xfId="0" applyNumberFormat="1" applyAlignment="1">
      <alignment horizontal="center"/>
    </xf>
    <xf numFmtId="0" fontId="9"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vertical="center" wrapText="1"/>
    </xf>
  </cellXfs>
  <cellStyles count="25">
    <cellStyle name="Calculation" xfId="2" builtinId="22"/>
    <cellStyle name="Comma" xfId="8" builtinId="3"/>
    <cellStyle name="Comma 2 2 4" xfId="20" xr:uid="{2AD32827-17C4-41FC-BB3C-A73CAACF8E4E}"/>
    <cellStyle name="Hyperlink" xfId="3" builtinId="8"/>
    <cellStyle name="Input" xfId="22" builtinId="20"/>
    <cellStyle name="Linked Cell" xfId="24" builtinId="24" customBuiltin="1"/>
    <cellStyle name="Normal" xfId="0" builtinId="0"/>
    <cellStyle name="Normal 11" xfId="17" xr:uid="{35DE4019-F2E6-47F3-8BAE-E4A827DD37C7}"/>
    <cellStyle name="Normal 2" xfId="5" xr:uid="{00000000-0005-0000-0000-000003000000}"/>
    <cellStyle name="Normal 2 2" xfId="7" xr:uid="{00000000-0005-0000-0000-000004000000}"/>
    <cellStyle name="Normal 2 2 2" xfId="12" xr:uid="{78A7D675-D46A-47B9-8084-A003B11B69AC}"/>
    <cellStyle name="Normal 2 3" xfId="18" xr:uid="{C1236883-BDC6-4CCD-88A3-774D4689F538}"/>
    <cellStyle name="Normal 3" xfId="4" xr:uid="{00000000-0005-0000-0000-000005000000}"/>
    <cellStyle name="Normal 4" xfId="9" xr:uid="{972DDD5A-B401-41B0-8F36-F4AEC615C465}"/>
    <cellStyle name="Normal 4 2" xfId="13" xr:uid="{D55E0F10-91F7-4A1B-9CBF-71F6BD597F51}"/>
    <cellStyle name="Normal 5" xfId="10" xr:uid="{B674FEEB-7DCC-4688-9741-F488D1E81596}"/>
    <cellStyle name="Normal 6" xfId="11" xr:uid="{89C5C829-24F0-4188-B8CF-3C5D3008848B}"/>
    <cellStyle name="Normal 7" xfId="14" xr:uid="{EA1BF793-0323-4EB2-8877-3118440C98B8}"/>
    <cellStyle name="Normal 8" xfId="16" xr:uid="{AC8564A9-BDF9-4EE5-A270-05F39EEED5E7}"/>
    <cellStyle name="Normal 96" xfId="21" xr:uid="{C21526E5-C4E6-4DE6-B02F-2FF7F1AD05C8}"/>
    <cellStyle name="Output" xfId="23" builtinId="21"/>
    <cellStyle name="Per cent" xfId="1" builtinId="5"/>
    <cellStyle name="Percent 2" xfId="6" xr:uid="{00000000-0005-0000-0000-000007000000}"/>
    <cellStyle name="Percent 2 3" xfId="19" xr:uid="{7DC0F0D0-242B-4685-8412-B691EBD59D8D}"/>
    <cellStyle name="Percent 3 2" xfId="15" xr:uid="{B69910E9-9159-4DAA-BCE8-3CF2868D2182}"/>
  </cellStyles>
  <dxfs count="23">
    <dxf>
      <fill>
        <patternFill>
          <bgColor theme="0" tint="-0.14996795556505021"/>
        </patternFill>
      </fill>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s>
  <tableStyles count="2" defaultTableStyle="TableStyleMedium2" defaultPivotStyle="PivotStyleLight16">
    <tableStyle name="PivotStyleLight16 2" table="0" count="11" xr9:uid="{B6B43669-8B9A-4E51-890E-8CA94D58D5C0}">
      <tableStyleElement type="headerRow" dxfId="22"/>
      <tableStyleElement type="totalRow" dxfId="21"/>
      <tableStyleElement type="firstRowStripe" dxfId="20"/>
      <tableStyleElement type="firstColumnStripe" dxfId="19"/>
      <tableStyleElement type="firstSubtotalColumn"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 name="PivotStyleLight16 3" table="0" count="11" xr9:uid="{9DA79079-7B78-436F-9B3A-4DB5BCB42ECC}">
      <tableStyleElement type="headerRow" dxfId="11"/>
      <tableStyleElement type="totalRow" dxfId="10"/>
      <tableStyleElement type="firstRowStripe" dxfId="9"/>
      <tableStyleElement type="firstColumnStripe" dxfId="8"/>
      <tableStyleElement type="firstSubtotalColumn"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1.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pivotCacheDefinition" Target="pivotCache/pivotCacheDefinition1.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61C7-43B6-B93C-C40C72743644}"/>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a:noFill/>
            </a:ln>
            <a:effectLst/>
          </c:spPr>
          <c:cat>
            <c:numRef>
              <c:f>'Yearly Butadiene'!$D$3:$AH$3</c:f>
              <c:numCache>
                <c:formatCode>General</c:formatCode>
                <c:ptCount val="4"/>
                <c:pt idx="0">
                  <c:v>2020</c:v>
                </c:pt>
                <c:pt idx="1">
                  <c:v>2030</c:v>
                </c:pt>
                <c:pt idx="2">
                  <c:v>2040</c:v>
                </c:pt>
                <c:pt idx="3">
                  <c:v>2050</c:v>
                </c:pt>
              </c:numCache>
            </c:numRef>
          </c:cat>
          <c:val>
            <c:numRef>
              <c:f>'Yearly Butadiene'!$D$73:$AH$73</c:f>
              <c:numCache>
                <c:formatCode>0.0</c:formatCode>
                <c:ptCount val="4"/>
                <c:pt idx="0">
                  <c:v>14.947368421052632</c:v>
                </c:pt>
                <c:pt idx="1">
                  <c:v>18.594875355212572</c:v>
                </c:pt>
                <c:pt idx="2">
                  <c:v>21.367618467692772</c:v>
                </c:pt>
                <c:pt idx="3" formatCode="0.00">
                  <c:v>23.108794503663027</c:v>
                </c:pt>
              </c:numCache>
            </c:numRef>
          </c:val>
          <c:extLst>
            <c:ext xmlns:c16="http://schemas.microsoft.com/office/drawing/2014/chart" uri="{C3380CC4-5D6E-409C-BE32-E72D297353CC}">
              <c16:uniqueId val="{00000001-61C7-43B6-B93C-C40C72743644}"/>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61C7-43B6-B93C-C40C72743644}"/>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Butadiene'!$B$6</c:f>
              <c:strCache>
                <c:ptCount val="1"/>
                <c:pt idx="0">
                  <c:v>Sector demand BAU (fuel)</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Butadiene'!$D$6:$AH$6</c:f>
              <c:numCache>
                <c:formatCode>0.0</c:formatCode>
                <c:ptCount val="4"/>
                <c:pt idx="0">
                  <c:v>0</c:v>
                </c:pt>
                <c:pt idx="1">
                  <c:v>0</c:v>
                </c:pt>
                <c:pt idx="2">
                  <c:v>0</c:v>
                </c:pt>
                <c:pt idx="3">
                  <c:v>0</c:v>
                </c:pt>
              </c:numCache>
            </c:numRef>
          </c:val>
          <c:extLst>
            <c:ext xmlns:c16="http://schemas.microsoft.com/office/drawing/2014/chart" uri="{C3380CC4-5D6E-409C-BE32-E72D297353CC}">
              <c16:uniqueId val="{00000000-1429-41EA-89C3-A54EE1A72C9A}"/>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1429-41EA-89C3-A54EE1A72C9A}"/>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1429-41EA-89C3-A54EE1A72C9A}"/>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235891399712517E-2"/>
          <c:y val="0.11280843608380876"/>
          <c:w val="0.53801144990606564"/>
          <c:h val="0.8384170778022253"/>
        </c:manualLayout>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8F4B-4F5A-AC28-24B00EB6617E}"/>
            </c:ext>
          </c:extLst>
        </c:ser>
        <c:ser>
          <c:idx val="2"/>
          <c:order val="1"/>
          <c:tx>
            <c:strRef>
              <c:f>'Yearly Butadiene'!$A$65</c:f>
              <c:strCache>
                <c:ptCount val="1"/>
                <c:pt idx="0">
                  <c:v>Recycling Other</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Butadiene'!$D$70:$AH$70</c:f>
              <c:numCache>
                <c:formatCode>0.0</c:formatCode>
                <c:ptCount val="4"/>
                <c:pt idx="0">
                  <c:v>4.696762105263157</c:v>
                </c:pt>
                <c:pt idx="1">
                  <c:v>7.3227384803440927</c:v>
                </c:pt>
                <c:pt idx="2">
                  <c:v>8.9430632433903163</c:v>
                </c:pt>
                <c:pt idx="3">
                  <c:v>9.3651347287983047</c:v>
                </c:pt>
              </c:numCache>
            </c:numRef>
          </c:val>
          <c:extLst>
            <c:ext xmlns:c16="http://schemas.microsoft.com/office/drawing/2014/chart" uri="{C3380CC4-5D6E-409C-BE32-E72D297353CC}">
              <c16:uniqueId val="{00000001-8F4B-4F5A-AC28-24B00EB6617E}"/>
            </c:ext>
          </c:extLst>
        </c:ser>
        <c:ser>
          <c:idx val="3"/>
          <c:order val="2"/>
          <c:tx>
            <c:strRef>
              <c:f>'Yearly Butadiene'!$A$59</c:f>
              <c:strCache>
                <c:ptCount val="1"/>
                <c:pt idx="0">
                  <c:v>Recycling  Construction</c:v>
                </c:pt>
              </c:strCache>
            </c:strRef>
          </c:tx>
          <c:spPr>
            <a:solidFill>
              <a:schemeClr val="accent4"/>
            </a:solidFill>
            <a:ln w="25400">
              <a:noFill/>
            </a:ln>
            <a:effectLst/>
          </c:spPr>
          <c:val>
            <c:numRef>
              <c:f>'Yearly Butadiene'!$D$64:$AH$64</c:f>
              <c:numCache>
                <c:formatCode>0.0</c:formatCode>
                <c:ptCount val="4"/>
                <c:pt idx="0">
                  <c:v>1.8779766917293235</c:v>
                </c:pt>
                <c:pt idx="1">
                  <c:v>1.7107127654410084</c:v>
                </c:pt>
                <c:pt idx="2">
                  <c:v>1.6164954665151638</c:v>
                </c:pt>
                <c:pt idx="3">
                  <c:v>1.6312648339251892</c:v>
                </c:pt>
              </c:numCache>
            </c:numRef>
          </c:val>
          <c:extLst>
            <c:ext xmlns:c16="http://schemas.microsoft.com/office/drawing/2014/chart" uri="{C3380CC4-5D6E-409C-BE32-E72D297353CC}">
              <c16:uniqueId val="{00000002-8F4B-4F5A-AC28-24B00EB6617E}"/>
            </c:ext>
          </c:extLst>
        </c:ser>
        <c:ser>
          <c:idx val="4"/>
          <c:order val="3"/>
          <c:tx>
            <c:strRef>
              <c:f>'[2]Yearly HC Methanol'!#REF!</c:f>
              <c:strCache>
                <c:ptCount val="1"/>
                <c:pt idx="0">
                  <c:v>#REF!</c:v>
                </c:pt>
              </c:strCache>
            </c:strRef>
          </c:tx>
          <c:spPr>
            <a:solidFill>
              <a:schemeClr val="accent5"/>
            </a:solidFill>
            <a:ln w="25400">
              <a:noFill/>
            </a:ln>
            <a:effectLst/>
          </c:spPr>
          <c:val>
            <c:numRef>
              <c:f>'Yearly Butadiene'!$D$58:$AH$58</c:f>
              <c:numCache>
                <c:formatCode>0.0</c:formatCode>
                <c:ptCount val="4"/>
                <c:pt idx="0">
                  <c:v>0.15963789473684212</c:v>
                </c:pt>
                <c:pt idx="1">
                  <c:v>0.18397500972423136</c:v>
                </c:pt>
                <c:pt idx="2">
                  <c:v>0.21202236636123514</c:v>
                </c:pt>
                <c:pt idx="3" formatCode="0.000">
                  <c:v>0.24434559837665271</c:v>
                </c:pt>
              </c:numCache>
            </c:numRef>
          </c:val>
          <c:extLst>
            <c:ext xmlns:c16="http://schemas.microsoft.com/office/drawing/2014/chart" uri="{C3380CC4-5D6E-409C-BE32-E72D297353CC}">
              <c16:uniqueId val="{00000003-8F4B-4F5A-AC28-24B00EB6617E}"/>
            </c:ext>
          </c:extLst>
        </c:ser>
        <c:ser>
          <c:idx val="5"/>
          <c:order val="4"/>
          <c:tx>
            <c:strRef>
              <c:f>'Yearly Butadiene'!$A$52</c:f>
              <c:strCache>
                <c:ptCount val="1"/>
                <c:pt idx="0">
                  <c:v>Recycling Automotive</c:v>
                </c:pt>
              </c:strCache>
            </c:strRef>
          </c:tx>
          <c:spPr>
            <a:solidFill>
              <a:schemeClr val="accent6"/>
            </a:solidFill>
            <a:ln w="25400">
              <a:noFill/>
            </a:ln>
            <a:effectLst/>
          </c:spPr>
          <c:val>
            <c:numRef>
              <c:f>'Yearly Butadiene'!$D$54:$AH$54</c:f>
              <c:numCache>
                <c:formatCode>0.0</c:formatCode>
                <c:ptCount val="4"/>
                <c:pt idx="0">
                  <c:v>8.1566721804511282</c:v>
                </c:pt>
                <c:pt idx="1">
                  <c:v>9.3125435234395084</c:v>
                </c:pt>
                <c:pt idx="2">
                  <c:v>10.521236830795001</c:v>
                </c:pt>
                <c:pt idx="3">
                  <c:v>11.781845287490862</c:v>
                </c:pt>
              </c:numCache>
            </c:numRef>
          </c:val>
          <c:extLst>
            <c:ext xmlns:c16="http://schemas.microsoft.com/office/drawing/2014/chart" uri="{C3380CC4-5D6E-409C-BE32-E72D297353CC}">
              <c16:uniqueId val="{00000004-8F4B-4F5A-AC28-24B00EB6617E}"/>
            </c:ext>
          </c:extLst>
        </c:ser>
        <c:ser>
          <c:idx val="6"/>
          <c:order val="5"/>
          <c:tx>
            <c:strRef>
              <c:f>'Yearly Butadiene'!$A$48</c:f>
              <c:strCache>
                <c:ptCount val="1"/>
                <c:pt idx="0">
                  <c:v>Recycling Packaging and Consumer goods</c:v>
                </c:pt>
              </c:strCache>
            </c:strRef>
          </c:tx>
          <c:spPr>
            <a:solidFill>
              <a:schemeClr val="accent1">
                <a:lumMod val="60000"/>
              </a:schemeClr>
            </a:solidFill>
            <a:ln w="25400">
              <a:noFill/>
            </a:ln>
            <a:effectLst/>
          </c:spPr>
          <c:val>
            <c:numRef>
              <c:f>'Yearly Butadiene'!$D$51:$AH$51</c:f>
              <c:numCache>
                <c:formatCode>0.0</c:formatCode>
                <c:ptCount val="4"/>
                <c:pt idx="0">
                  <c:v>5.631954887218045E-2</c:v>
                </c:pt>
                <c:pt idx="1">
                  <c:v>6.4905576263731973E-2</c:v>
                </c:pt>
                <c:pt idx="2">
                  <c:v>7.4800560631053711E-2</c:v>
                </c:pt>
                <c:pt idx="3">
                  <c:v>8.6204055072019975E-2</c:v>
                </c:pt>
              </c:numCache>
            </c:numRef>
          </c:val>
          <c:extLst>
            <c:ext xmlns:c16="http://schemas.microsoft.com/office/drawing/2014/chart" uri="{C3380CC4-5D6E-409C-BE32-E72D297353CC}">
              <c16:uniqueId val="{00000005-8F4B-4F5A-AC28-24B00EB6617E}"/>
            </c:ext>
          </c:extLst>
        </c:ser>
        <c:ser>
          <c:idx val="0"/>
          <c:order val="6"/>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6-8F4B-4F5A-AC28-24B00EB6617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layout>
        <c:manualLayout>
          <c:xMode val="edge"/>
          <c:yMode val="edge"/>
          <c:x val="1.9372161546896673E-2"/>
          <c:y val="0.555167573432626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CAC2-4D82-9966-7BA24C9300BF}"/>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a:noFill/>
            </a:ln>
            <a:effectLst/>
          </c:spPr>
          <c:cat>
            <c:numRef>
              <c:f>'Yearly Butadiene'!$D$3:$AH$3</c:f>
              <c:numCache>
                <c:formatCode>General</c:formatCode>
                <c:ptCount val="4"/>
                <c:pt idx="0">
                  <c:v>2020</c:v>
                </c:pt>
                <c:pt idx="1">
                  <c:v>2030</c:v>
                </c:pt>
                <c:pt idx="2">
                  <c:v>2040</c:v>
                </c:pt>
                <c:pt idx="3">
                  <c:v>2050</c:v>
                </c:pt>
              </c:numCache>
            </c:numRef>
          </c:cat>
          <c:val>
            <c:numRef>
              <c:f>'Yearly Butadiene'!$D$73:$AH$73</c:f>
              <c:numCache>
                <c:formatCode>0.0</c:formatCode>
                <c:ptCount val="4"/>
                <c:pt idx="0">
                  <c:v>14.947368421052632</c:v>
                </c:pt>
                <c:pt idx="1">
                  <c:v>18.594875355212572</c:v>
                </c:pt>
                <c:pt idx="2">
                  <c:v>21.367618467692772</c:v>
                </c:pt>
                <c:pt idx="3" formatCode="0.00">
                  <c:v>23.108794503663027</c:v>
                </c:pt>
              </c:numCache>
            </c:numRef>
          </c:val>
          <c:extLst>
            <c:ext xmlns:c16="http://schemas.microsoft.com/office/drawing/2014/chart" uri="{C3380CC4-5D6E-409C-BE32-E72D297353CC}">
              <c16:uniqueId val="{00000001-CAC2-4D82-9966-7BA24C9300BF}"/>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CAC2-4D82-9966-7BA24C9300BF}"/>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Butadiene'!$B$6</c:f>
              <c:strCache>
                <c:ptCount val="1"/>
                <c:pt idx="0">
                  <c:v>Sector demand BAU (fuel)</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Butadiene'!$D$6:$AH$6</c:f>
              <c:numCache>
                <c:formatCode>0.0</c:formatCode>
                <c:ptCount val="4"/>
                <c:pt idx="0">
                  <c:v>0</c:v>
                </c:pt>
                <c:pt idx="1">
                  <c:v>0</c:v>
                </c:pt>
                <c:pt idx="2">
                  <c:v>0</c:v>
                </c:pt>
                <c:pt idx="3">
                  <c:v>0</c:v>
                </c:pt>
              </c:numCache>
            </c:numRef>
          </c:val>
          <c:extLst>
            <c:ext xmlns:c16="http://schemas.microsoft.com/office/drawing/2014/chart" uri="{C3380CC4-5D6E-409C-BE32-E72D297353CC}">
              <c16:uniqueId val="{00000000-0362-4F2D-A3D0-83DABAE509D8}"/>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0362-4F2D-A3D0-83DABAE509D8}"/>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0362-4F2D-A3D0-83DABAE509D8}"/>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22"/>
                <c:pt idx="0">
                  <c:v>2020</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cat>
          <c:val>
            <c:numRef>
              <c:f>'Yearly Methanol'!$D$13:$AH$13</c:f>
              <c:numCache>
                <c:formatCode>0.0</c:formatCode>
                <c:ptCount val="22"/>
                <c:pt idx="0">
                  <c:v>28.065001267929215</c:v>
                </c:pt>
                <c:pt idx="1">
                  <c:v>28.184568502779875</c:v>
                </c:pt>
                <c:pt idx="2">
                  <c:v>27.030762729697322</c:v>
                </c:pt>
                <c:pt idx="3">
                  <c:v>25.808972254315002</c:v>
                </c:pt>
                <c:pt idx="4">
                  <c:v>24.516680143581084</c:v>
                </c:pt>
                <c:pt idx="5">
                  <c:v>23.151289649430872</c:v>
                </c:pt>
                <c:pt idx="6">
                  <c:v>21.710121868753799</c:v>
                </c:pt>
                <c:pt idx="7">
                  <c:v>20.190413337941031</c:v>
                </c:pt>
                <c:pt idx="8">
                  <c:v>18.589313560242303</c:v>
                </c:pt>
                <c:pt idx="9">
                  <c:v>16.903882464113668</c:v>
                </c:pt>
                <c:pt idx="10">
                  <c:v>15.131087790689747</c:v>
                </c:pt>
                <c:pt idx="11">
                  <c:v>13.26780240846481</c:v>
                </c:pt>
                <c:pt idx="12">
                  <c:v>12.215665677473545</c:v>
                </c:pt>
                <c:pt idx="13">
                  <c:v>11.108111989382607</c:v>
                </c:pt>
                <c:pt idx="14">
                  <c:v>9.9431487444961135</c:v>
                </c:pt>
                <c:pt idx="15">
                  <c:v>8.7187209991024446</c:v>
                </c:pt>
                <c:pt idx="16">
                  <c:v>7.4327096517348323</c:v>
                </c:pt>
                <c:pt idx="17">
                  <c:v>6.0829295789797868</c:v>
                </c:pt>
                <c:pt idx="18">
                  <c:v>4.6671277194722407</c:v>
                </c:pt>
                <c:pt idx="19">
                  <c:v>3.1829811046800671</c:v>
                </c:pt>
                <c:pt idx="20">
                  <c:v>1.6280948350438535</c:v>
                </c:pt>
                <c:pt idx="21">
                  <c:v>0</c:v>
                </c:pt>
              </c:numCache>
            </c:numRef>
          </c:val>
          <c:extLst>
            <c:ext xmlns:c16="http://schemas.microsoft.com/office/drawing/2014/chart" uri="{C3380CC4-5D6E-409C-BE32-E72D297353CC}">
              <c16:uniqueId val="{00000000-F8DC-4C30-9689-4152E647D60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a:noFill/>
            </a:ln>
            <a:effectLst/>
          </c:spPr>
          <c:cat>
            <c:numRef>
              <c:f>'Yearly Methanol'!$D$3:$AH$3</c:f>
              <c:numCache>
                <c:formatCode>General</c:formatCode>
                <c:ptCount val="22"/>
                <c:pt idx="0">
                  <c:v>2020</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cat>
          <c:val>
            <c:numRef>
              <c:f>'Yearly Methanol'!$D$116:$AH$116</c:f>
              <c:numCache>
                <c:formatCode>0.0</c:formatCode>
                <c:ptCount val="22"/>
                <c:pt idx="0">
                  <c:v>70.960266702016895</c:v>
                </c:pt>
                <c:pt idx="1">
                  <c:v>107.87437489819432</c:v>
                </c:pt>
                <c:pt idx="2">
                  <c:v>107.59229882980897</c:v>
                </c:pt>
                <c:pt idx="3">
                  <c:v>107.22531885891094</c:v>
                </c:pt>
                <c:pt idx="4">
                  <c:v>106.77117565150307</c:v>
                </c:pt>
                <c:pt idx="5">
                  <c:v>106.22781733971414</c:v>
                </c:pt>
                <c:pt idx="6">
                  <c:v>105.59304153135109</c:v>
                </c:pt>
                <c:pt idx="7">
                  <c:v>104.6606576007448</c:v>
                </c:pt>
                <c:pt idx="8">
                  <c:v>103.62763173174019</c:v>
                </c:pt>
                <c:pt idx="9">
                  <c:v>102.49086248382642</c:v>
                </c:pt>
                <c:pt idx="10">
                  <c:v>101.24718147767331</c:v>
                </c:pt>
                <c:pt idx="11">
                  <c:v>99.893354388427881</c:v>
                </c:pt>
                <c:pt idx="12">
                  <c:v>98.83154260013356</c:v>
                </c:pt>
                <c:pt idx="13">
                  <c:v>97.691725503710501</c:v>
                </c:pt>
                <c:pt idx="14">
                  <c:v>96.471238687743735</c:v>
                </c:pt>
                <c:pt idx="15">
                  <c:v>95.168510081104358</c:v>
                </c:pt>
                <c:pt idx="16">
                  <c:v>93.781459531843353</c:v>
                </c:pt>
                <c:pt idx="17">
                  <c:v>92.307961666916512</c:v>
                </c:pt>
                <c:pt idx="18">
                  <c:v>90.745924066794984</c:v>
                </c:pt>
                <c:pt idx="19">
                  <c:v>89.093261335378401</c:v>
                </c:pt>
                <c:pt idx="20">
                  <c:v>87.347902804621725</c:v>
                </c:pt>
                <c:pt idx="21">
                  <c:v>85.507801287550024</c:v>
                </c:pt>
              </c:numCache>
            </c:numRef>
          </c:val>
          <c:extLst>
            <c:ext xmlns:c16="http://schemas.microsoft.com/office/drawing/2014/chart" uri="{C3380CC4-5D6E-409C-BE32-E72D297353CC}">
              <c16:uniqueId val="{00000001-F8DC-4C30-9689-4152E647D60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22"/>
                <c:pt idx="0">
                  <c:v>31.201972235932139</c:v>
                </c:pt>
                <c:pt idx="1">
                  <c:v>33.753695776335711</c:v>
                </c:pt>
                <c:pt idx="2">
                  <c:v>34.008868130376065</c:v>
                </c:pt>
                <c:pt idx="3">
                  <c:v>34.264040484416427</c:v>
                </c:pt>
                <c:pt idx="4">
                  <c:v>34.519212838456781</c:v>
                </c:pt>
                <c:pt idx="5">
                  <c:v>34.774385192497142</c:v>
                </c:pt>
                <c:pt idx="6">
                  <c:v>35.029557546537497</c:v>
                </c:pt>
                <c:pt idx="7">
                  <c:v>35.284729900577851</c:v>
                </c:pt>
                <c:pt idx="8">
                  <c:v>35.539902254618212</c:v>
                </c:pt>
                <c:pt idx="9">
                  <c:v>35.795074608658567</c:v>
                </c:pt>
                <c:pt idx="10">
                  <c:v>36.050246962698928</c:v>
                </c:pt>
                <c:pt idx="11">
                  <c:v>36.305419316739282</c:v>
                </c:pt>
                <c:pt idx="12">
                  <c:v>36.560591670779637</c:v>
                </c:pt>
                <c:pt idx="13">
                  <c:v>36.815764024819998</c:v>
                </c:pt>
                <c:pt idx="14">
                  <c:v>37.070936378860353</c:v>
                </c:pt>
                <c:pt idx="15">
                  <c:v>37.326108732900707</c:v>
                </c:pt>
                <c:pt idx="16">
                  <c:v>37.581281086941068</c:v>
                </c:pt>
                <c:pt idx="17">
                  <c:v>37.836453440981423</c:v>
                </c:pt>
                <c:pt idx="18">
                  <c:v>38.091625795021784</c:v>
                </c:pt>
                <c:pt idx="19">
                  <c:v>38.346798149062138</c:v>
                </c:pt>
                <c:pt idx="20">
                  <c:v>38.601970503102493</c:v>
                </c:pt>
                <c:pt idx="21">
                  <c:v>38.857142857142854</c:v>
                </c:pt>
              </c:numCache>
            </c:numRef>
          </c:val>
          <c:extLst>
            <c:ext xmlns:c16="http://schemas.microsoft.com/office/drawing/2014/chart" uri="{C3380CC4-5D6E-409C-BE32-E72D297353CC}">
              <c16:uniqueId val="{00000002-F8DC-4C30-9689-4152E647D60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Methanol'!$B$11</c:f>
              <c:strCache>
                <c:ptCount val="1"/>
                <c:pt idx="0">
                  <c:v>Sector demand BAU (fuel)</c:v>
                </c:pt>
              </c:strCache>
            </c:strRef>
          </c:tx>
          <c:spPr>
            <a:solidFill>
              <a:schemeClr val="accent2"/>
            </a:solidFill>
            <a:ln w="25400">
              <a:noFill/>
            </a:ln>
            <a:effectLst/>
          </c:spPr>
          <c:cat>
            <c:numRef>
              <c:f>'Yearly Methanol'!$D$3:$AH$3</c:f>
              <c:numCache>
                <c:formatCode>General</c:formatCode>
                <c:ptCount val="22"/>
                <c:pt idx="0">
                  <c:v>2020</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cat>
          <c:val>
            <c:numRef>
              <c:f>'Yearly Methanol'!$D$11:$AH$11</c:f>
              <c:numCache>
                <c:formatCode>0.0</c:formatCode>
                <c:ptCount val="22"/>
                <c:pt idx="0">
                  <c:v>28.065001267929215</c:v>
                </c:pt>
                <c:pt idx="1">
                  <c:v>35.230710628474846</c:v>
                </c:pt>
                <c:pt idx="2">
                  <c:v>36.041016972929761</c:v>
                </c:pt>
                <c:pt idx="3">
                  <c:v>36.869960363307143</c:v>
                </c:pt>
                <c:pt idx="4">
                  <c:v>37.717969451663201</c:v>
                </c:pt>
                <c:pt idx="5">
                  <c:v>38.585482749051458</c:v>
                </c:pt>
                <c:pt idx="6">
                  <c:v>39.472948852279629</c:v>
                </c:pt>
                <c:pt idx="7">
                  <c:v>40.380826675882055</c:v>
                </c:pt>
                <c:pt idx="8">
                  <c:v>41.309585689427344</c:v>
                </c:pt>
                <c:pt idx="9">
                  <c:v>42.259706160284168</c:v>
                </c:pt>
                <c:pt idx="10">
                  <c:v>43.231679401970695</c:v>
                </c:pt>
                <c:pt idx="11">
                  <c:v>44.226008028216022</c:v>
                </c:pt>
                <c:pt idx="12">
                  <c:v>45.243206212864983</c:v>
                </c:pt>
                <c:pt idx="13">
                  <c:v>46.283799955760877</c:v>
                </c:pt>
                <c:pt idx="14">
                  <c:v>47.348327354743368</c:v>
                </c:pt>
                <c:pt idx="15">
                  <c:v>48.437338883902463</c:v>
                </c:pt>
                <c:pt idx="16">
                  <c:v>49.551397678232213</c:v>
                </c:pt>
                <c:pt idx="17">
                  <c:v>50.691079824831547</c:v>
                </c:pt>
                <c:pt idx="18">
                  <c:v>51.85697466080267</c:v>
                </c:pt>
                <c:pt idx="19">
                  <c:v>53.049685078001126</c:v>
                </c:pt>
                <c:pt idx="20">
                  <c:v>54.269827834795151</c:v>
                </c:pt>
                <c:pt idx="21">
                  <c:v>55.518033874995439</c:v>
                </c:pt>
              </c:numCache>
            </c:numRef>
          </c:val>
          <c:extLst>
            <c:ext xmlns:c16="http://schemas.microsoft.com/office/drawing/2014/chart" uri="{C3380CC4-5D6E-409C-BE32-E72D297353CC}">
              <c16:uniqueId val="{00000000-7087-4B96-8CF8-B3528C5C6A6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w="25400">
              <a:noFill/>
            </a:ln>
            <a:effectLst/>
          </c:spPr>
          <c:cat>
            <c:numRef>
              <c:f>'Yearly Methanol'!$D$3:$AH$3</c:f>
              <c:numCache>
                <c:formatCode>General</c:formatCode>
                <c:ptCount val="22"/>
                <c:pt idx="0">
                  <c:v>2020</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7087-4B96-8CF8-B3528C5C6A6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22"/>
                <c:pt idx="0">
                  <c:v>31.201972235932139</c:v>
                </c:pt>
                <c:pt idx="1">
                  <c:v>33.753695776335711</c:v>
                </c:pt>
                <c:pt idx="2">
                  <c:v>34.008868130376065</c:v>
                </c:pt>
                <c:pt idx="3">
                  <c:v>34.264040484416427</c:v>
                </c:pt>
                <c:pt idx="4">
                  <c:v>34.519212838456781</c:v>
                </c:pt>
                <c:pt idx="5">
                  <c:v>34.774385192497142</c:v>
                </c:pt>
                <c:pt idx="6">
                  <c:v>35.029557546537497</c:v>
                </c:pt>
                <c:pt idx="7">
                  <c:v>35.284729900577851</c:v>
                </c:pt>
                <c:pt idx="8">
                  <c:v>35.539902254618212</c:v>
                </c:pt>
                <c:pt idx="9">
                  <c:v>35.795074608658567</c:v>
                </c:pt>
                <c:pt idx="10">
                  <c:v>36.050246962698928</c:v>
                </c:pt>
                <c:pt idx="11">
                  <c:v>36.305419316739282</c:v>
                </c:pt>
                <c:pt idx="12">
                  <c:v>36.560591670779637</c:v>
                </c:pt>
                <c:pt idx="13">
                  <c:v>36.815764024819998</c:v>
                </c:pt>
                <c:pt idx="14">
                  <c:v>37.070936378860353</c:v>
                </c:pt>
                <c:pt idx="15">
                  <c:v>37.326108732900707</c:v>
                </c:pt>
                <c:pt idx="16">
                  <c:v>37.581281086941068</c:v>
                </c:pt>
                <c:pt idx="17">
                  <c:v>37.836453440981423</c:v>
                </c:pt>
                <c:pt idx="18">
                  <c:v>38.091625795021784</c:v>
                </c:pt>
                <c:pt idx="19">
                  <c:v>38.346798149062138</c:v>
                </c:pt>
                <c:pt idx="20">
                  <c:v>38.601970503102493</c:v>
                </c:pt>
                <c:pt idx="21">
                  <c:v>38.857142857142854</c:v>
                </c:pt>
              </c:numCache>
            </c:numRef>
          </c:val>
          <c:extLst>
            <c:ext xmlns:c16="http://schemas.microsoft.com/office/drawing/2014/chart" uri="{C3380CC4-5D6E-409C-BE32-E72D297353CC}">
              <c16:uniqueId val="{00000002-7087-4B96-8CF8-B3528C5C6A6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235891399712517E-2"/>
          <c:y val="0.11280843608380876"/>
          <c:w val="0.53801144990606564"/>
          <c:h val="0.8384170778022253"/>
        </c:manualLayout>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22"/>
                <c:pt idx="0">
                  <c:v>2020</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cat>
          <c:val>
            <c:numRef>
              <c:f>'Yearly Methanol'!$D$13:$AH$13</c:f>
              <c:numCache>
                <c:formatCode>0.0</c:formatCode>
                <c:ptCount val="22"/>
                <c:pt idx="0">
                  <c:v>28.065001267929215</c:v>
                </c:pt>
                <c:pt idx="1">
                  <c:v>28.184568502779875</c:v>
                </c:pt>
                <c:pt idx="2">
                  <c:v>27.030762729697322</c:v>
                </c:pt>
                <c:pt idx="3">
                  <c:v>25.808972254315002</c:v>
                </c:pt>
                <c:pt idx="4">
                  <c:v>24.516680143581084</c:v>
                </c:pt>
                <c:pt idx="5">
                  <c:v>23.151289649430872</c:v>
                </c:pt>
                <c:pt idx="6">
                  <c:v>21.710121868753799</c:v>
                </c:pt>
                <c:pt idx="7">
                  <c:v>20.190413337941031</c:v>
                </c:pt>
                <c:pt idx="8">
                  <c:v>18.589313560242303</c:v>
                </c:pt>
                <c:pt idx="9">
                  <c:v>16.903882464113668</c:v>
                </c:pt>
                <c:pt idx="10">
                  <c:v>15.131087790689747</c:v>
                </c:pt>
                <c:pt idx="11">
                  <c:v>13.26780240846481</c:v>
                </c:pt>
                <c:pt idx="12">
                  <c:v>12.215665677473545</c:v>
                </c:pt>
                <c:pt idx="13">
                  <c:v>11.108111989382607</c:v>
                </c:pt>
                <c:pt idx="14">
                  <c:v>9.9431487444961135</c:v>
                </c:pt>
                <c:pt idx="15">
                  <c:v>8.7187209991024446</c:v>
                </c:pt>
                <c:pt idx="16">
                  <c:v>7.4327096517348323</c:v>
                </c:pt>
                <c:pt idx="17">
                  <c:v>6.0829295789797868</c:v>
                </c:pt>
                <c:pt idx="18">
                  <c:v>4.6671277194722407</c:v>
                </c:pt>
                <c:pt idx="19">
                  <c:v>3.1829811046800671</c:v>
                </c:pt>
                <c:pt idx="20">
                  <c:v>1.6280948350438535</c:v>
                </c:pt>
                <c:pt idx="21">
                  <c:v>0</c:v>
                </c:pt>
              </c:numCache>
            </c:numRef>
          </c:val>
          <c:extLst>
            <c:ext xmlns:c16="http://schemas.microsoft.com/office/drawing/2014/chart" uri="{C3380CC4-5D6E-409C-BE32-E72D297353CC}">
              <c16:uniqueId val="{00000000-E698-4836-A43C-3AFC2BFECB2E}"/>
            </c:ext>
          </c:extLst>
        </c:ser>
        <c:ser>
          <c:idx val="2"/>
          <c:order val="1"/>
          <c:tx>
            <c:strRef>
              <c:f>'Yearly Methanol'!$A$106</c:f>
              <c:strCache>
                <c:ptCount val="1"/>
                <c:pt idx="0">
                  <c:v>Recycling Other</c:v>
                </c:pt>
              </c:strCache>
            </c:strRef>
          </c:tx>
          <c:spPr>
            <a:solidFill>
              <a:schemeClr val="accent3"/>
            </a:solidFill>
            <a:ln w="25400">
              <a:noFill/>
            </a:ln>
            <a:effectLst/>
          </c:spPr>
          <c:cat>
            <c:numRef>
              <c:f>'Yearly Methanol'!$D$3:$AH$3</c:f>
              <c:numCache>
                <c:formatCode>General</c:formatCode>
                <c:ptCount val="22"/>
                <c:pt idx="0">
                  <c:v>2020</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cat>
          <c:val>
            <c:numRef>
              <c:f>'Yearly Methanol'!$D$110:$AH$110</c:f>
              <c:numCache>
                <c:formatCode>0.0</c:formatCode>
                <c:ptCount val="22"/>
                <c:pt idx="0">
                  <c:v>27.787294919531671</c:v>
                </c:pt>
                <c:pt idx="1">
                  <c:v>62.141381301954212</c:v>
                </c:pt>
                <c:pt idx="2">
                  <c:v>62.750413014391874</c:v>
                </c:pt>
                <c:pt idx="3">
                  <c:v>63.337725477620133</c:v>
                </c:pt>
                <c:pt idx="4">
                  <c:v>63.903274812004668</c:v>
                </c:pt>
                <c:pt idx="5">
                  <c:v>64.447092484296249</c:v>
                </c:pt>
                <c:pt idx="6">
                  <c:v>64.969202820942058</c:v>
                </c:pt>
                <c:pt idx="7">
                  <c:v>65.267856817099428</c:v>
                </c:pt>
                <c:pt idx="8">
                  <c:v>65.542812651885953</c:v>
                </c:pt>
                <c:pt idx="9">
                  <c:v>65.793849150016641</c:v>
                </c:pt>
                <c:pt idx="10">
                  <c:v>66.02076900771435</c:v>
                </c:pt>
                <c:pt idx="11">
                  <c:v>66.223402396467449</c:v>
                </c:pt>
                <c:pt idx="12">
                  <c:v>65.968722945985931</c:v>
                </c:pt>
                <c:pt idx="13">
                  <c:v>65.688960786896573</c:v>
                </c:pt>
                <c:pt idx="14">
                  <c:v>65.383979427304055</c:v>
                </c:pt>
                <c:pt idx="15">
                  <c:v>65.053847857096471</c:v>
                </c:pt>
                <c:pt idx="16">
                  <c:v>64.698614068568745</c:v>
                </c:pt>
                <c:pt idx="17">
                  <c:v>64.318369489141688</c:v>
                </c:pt>
                <c:pt idx="18">
                  <c:v>63.913287979487968</c:v>
                </c:pt>
                <c:pt idx="19">
                  <c:v>63.483620230861888</c:v>
                </c:pt>
                <c:pt idx="20">
                  <c:v>63.029703408243172</c:v>
                </c:pt>
                <c:pt idx="21">
                  <c:v>62.551971894210013</c:v>
                </c:pt>
              </c:numCache>
            </c:numRef>
          </c:val>
          <c:extLst>
            <c:ext xmlns:c16="http://schemas.microsoft.com/office/drawing/2014/chart" uri="{C3380CC4-5D6E-409C-BE32-E72D297353CC}">
              <c16:uniqueId val="{00000001-E698-4836-A43C-3AFC2BFECB2E}"/>
            </c:ext>
          </c:extLst>
        </c:ser>
        <c:ser>
          <c:idx val="3"/>
          <c:order val="2"/>
          <c:tx>
            <c:strRef>
              <c:f>'Yearly Methanol'!$A$97</c:f>
              <c:strCache>
                <c:ptCount val="1"/>
                <c:pt idx="0">
                  <c:v>Recycling  Construction</c:v>
                </c:pt>
              </c:strCache>
            </c:strRef>
          </c:tx>
          <c:spPr>
            <a:solidFill>
              <a:schemeClr val="accent4"/>
            </a:solidFill>
            <a:ln w="25400">
              <a:noFill/>
            </a:ln>
            <a:effectLst/>
          </c:spPr>
          <c:val>
            <c:numRef>
              <c:f>'Yearly Methanol'!$D$102:$AH$102</c:f>
              <c:numCache>
                <c:formatCode>0.0</c:formatCode>
                <c:ptCount val="22"/>
                <c:pt idx="0">
                  <c:v>3.219812080101577</c:v>
                </c:pt>
                <c:pt idx="1">
                  <c:v>3.6170822686191535</c:v>
                </c:pt>
                <c:pt idx="2">
                  <c:v>3.6415773427677958</c:v>
                </c:pt>
                <c:pt idx="3">
                  <c:v>3.665941409637445</c:v>
                </c:pt>
                <c:pt idx="4">
                  <c:v>3.6902997605115622</c:v>
                </c:pt>
                <c:pt idx="5">
                  <c:v>3.7148755630052155</c:v>
                </c:pt>
                <c:pt idx="6">
                  <c:v>3.7398707783975977</c:v>
                </c:pt>
                <c:pt idx="7">
                  <c:v>3.7643104189995404</c:v>
                </c:pt>
                <c:pt idx="8">
                  <c:v>3.7881692870478494</c:v>
                </c:pt>
                <c:pt idx="9">
                  <c:v>3.8114222584209214</c:v>
                </c:pt>
                <c:pt idx="10">
                  <c:v>3.8340443195261136</c:v>
                </c:pt>
                <c:pt idx="11">
                  <c:v>3.8560106052872225</c:v>
                </c:pt>
                <c:pt idx="12">
                  <c:v>3.8547628979601751</c:v>
                </c:pt>
                <c:pt idx="13">
                  <c:v>3.8517260722594164</c:v>
                </c:pt>
                <c:pt idx="14">
                  <c:v>3.8467248726813947</c:v>
                </c:pt>
                <c:pt idx="15">
                  <c:v>3.8398128070142095</c:v>
                </c:pt>
                <c:pt idx="16">
                  <c:v>3.8309360501113909</c:v>
                </c:pt>
                <c:pt idx="17">
                  <c:v>3.8200280917406331</c:v>
                </c:pt>
                <c:pt idx="18">
                  <c:v>3.8070331189193691</c:v>
                </c:pt>
                <c:pt idx="19">
                  <c:v>3.7918956171674085</c:v>
                </c:pt>
                <c:pt idx="20">
                  <c:v>3.7745604336742637</c:v>
                </c:pt>
                <c:pt idx="21">
                  <c:v>3.7549728417815955</c:v>
                </c:pt>
              </c:numCache>
            </c:numRef>
          </c:val>
          <c:extLst>
            <c:ext xmlns:c16="http://schemas.microsoft.com/office/drawing/2014/chart" uri="{C3380CC4-5D6E-409C-BE32-E72D297353CC}">
              <c16:uniqueId val="{00000002-E698-4836-A43C-3AFC2BFECB2E}"/>
            </c:ext>
          </c:extLst>
        </c:ser>
        <c:ser>
          <c:idx val="4"/>
          <c:order val="3"/>
          <c:tx>
            <c:strRef>
              <c:f>'[2]Yearly HC Methanol'!#REF!</c:f>
              <c:strCache>
                <c:ptCount val="1"/>
                <c:pt idx="0">
                  <c:v>#REF!</c:v>
                </c:pt>
              </c:strCache>
            </c:strRef>
          </c:tx>
          <c:spPr>
            <a:solidFill>
              <a:schemeClr val="accent5"/>
            </a:solidFill>
            <a:ln w="25400">
              <a:noFill/>
            </a:ln>
            <a:effectLst/>
          </c:spPr>
          <c:val>
            <c:numRef>
              <c:f>'Yearly Methanol'!$D$93:$AH$93</c:f>
              <c:numCache>
                <c:formatCode>0.0</c:formatCode>
                <c:ptCount val="22"/>
                <c:pt idx="0">
                  <c:v>1.4464073070604898E-2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3-E698-4836-A43C-3AFC2BFECB2E}"/>
            </c:ext>
          </c:extLst>
        </c:ser>
        <c:ser>
          <c:idx val="5"/>
          <c:order val="4"/>
          <c:tx>
            <c:strRef>
              <c:f>'Yearly Methanol'!$A$84</c:f>
              <c:strCache>
                <c:ptCount val="1"/>
                <c:pt idx="0">
                  <c:v>Recycling Automotive</c:v>
                </c:pt>
              </c:strCache>
            </c:strRef>
          </c:tx>
          <c:spPr>
            <a:solidFill>
              <a:schemeClr val="accent6"/>
            </a:solidFill>
            <a:ln w="25400">
              <a:noFill/>
            </a:ln>
            <a:effectLst/>
          </c:spPr>
          <c:val>
            <c:numRef>
              <c:f>'Yearly Methanol'!$D$86:$AH$86</c:f>
              <c:numCache>
                <c:formatCode>0.0</c:formatCode>
                <c:ptCount val="22"/>
                <c:pt idx="0">
                  <c:v>7.4818743268684171</c:v>
                </c:pt>
                <c:pt idx="1">
                  <c:v>9.0191328344682766</c:v>
                </c:pt>
                <c:pt idx="2">
                  <c:v>9.2137189941905362</c:v>
                </c:pt>
                <c:pt idx="3">
                  <c:v>9.4118882638999377</c:v>
                </c:pt>
                <c:pt idx="4">
                  <c:v>9.6136518671596658</c:v>
                </c:pt>
                <c:pt idx="5">
                  <c:v>9.8191168434118197</c:v>
                </c:pt>
                <c:pt idx="6">
                  <c:v>10.028360839615543</c:v>
                </c:pt>
                <c:pt idx="7">
                  <c:v>10.2413839768826</c:v>
                </c:pt>
                <c:pt idx="8">
                  <c:v>10.458237578837883</c:v>
                </c:pt>
                <c:pt idx="9">
                  <c:v>10.678973797859893</c:v>
                </c:pt>
                <c:pt idx="10">
                  <c:v>10.903645657253303</c:v>
                </c:pt>
                <c:pt idx="11">
                  <c:v>11.132307095275467</c:v>
                </c:pt>
                <c:pt idx="12">
                  <c:v>11.34006779564953</c:v>
                </c:pt>
                <c:pt idx="13">
                  <c:v>11.550709552393268</c:v>
                </c:pt>
                <c:pt idx="14">
                  <c:v>11.763853166412279</c:v>
                </c:pt>
                <c:pt idx="15">
                  <c:v>11.979786540684815</c:v>
                </c:pt>
                <c:pt idx="16">
                  <c:v>12.198506234452335</c:v>
                </c:pt>
                <c:pt idx="17">
                  <c:v>12.42000619981035</c:v>
                </c:pt>
                <c:pt idx="18">
                  <c:v>12.644280839833694</c:v>
                </c:pt>
                <c:pt idx="19">
                  <c:v>12.871323779385859</c:v>
                </c:pt>
                <c:pt idx="20">
                  <c:v>13.101127896005988</c:v>
                </c:pt>
                <c:pt idx="21">
                  <c:v>13.333685353599966</c:v>
                </c:pt>
              </c:numCache>
            </c:numRef>
          </c:val>
          <c:extLst>
            <c:ext xmlns:c16="http://schemas.microsoft.com/office/drawing/2014/chart" uri="{C3380CC4-5D6E-409C-BE32-E72D297353CC}">
              <c16:uniqueId val="{00000004-E698-4836-A43C-3AFC2BFECB2E}"/>
            </c:ext>
          </c:extLst>
        </c:ser>
        <c:ser>
          <c:idx val="6"/>
          <c:order val="5"/>
          <c:tx>
            <c:strRef>
              <c:f>'Yearly Methanol'!$A$77</c:f>
              <c:strCache>
                <c:ptCount val="1"/>
                <c:pt idx="0">
                  <c:v>Recycling Packaging and Consumer goods</c:v>
                </c:pt>
              </c:strCache>
            </c:strRef>
          </c:tx>
          <c:spPr>
            <a:solidFill>
              <a:schemeClr val="accent1">
                <a:lumMod val="60000"/>
              </a:schemeClr>
            </a:solidFill>
            <a:ln w="25400">
              <a:noFill/>
            </a:ln>
            <a:effectLst/>
          </c:spPr>
          <c:val>
            <c:numRef>
              <c:f>'Yearly Methanol'!$D$80:$AH$80</c:f>
              <c:numCache>
                <c:formatCode>0.0</c:formatCode>
                <c:ptCount val="22"/>
                <c:pt idx="0">
                  <c:v>4.3918200345154137</c:v>
                </c:pt>
                <c:pt idx="1">
                  <c:v>4.904087138548233</c:v>
                </c:pt>
                <c:pt idx="2">
                  <c:v>4.9492732355832469</c:v>
                </c:pt>
                <c:pt idx="3">
                  <c:v>4.9956248213507308</c:v>
                </c:pt>
                <c:pt idx="4">
                  <c:v>5.0432933907887509</c:v>
                </c:pt>
                <c:pt idx="5">
                  <c:v>5.0924502806993885</c:v>
                </c:pt>
                <c:pt idx="6">
                  <c:v>5.1432579395261637</c:v>
                </c:pt>
                <c:pt idx="7">
                  <c:v>5.1950974139887931</c:v>
                </c:pt>
                <c:pt idx="8">
                  <c:v>5.2479994310116069</c:v>
                </c:pt>
                <c:pt idx="9">
                  <c:v>5.301995236539625</c:v>
                </c:pt>
                <c:pt idx="10">
                  <c:v>5.3571165917797563</c:v>
                </c:pt>
                <c:pt idx="11">
                  <c:v>5.4133957691027588</c:v>
                </c:pt>
                <c:pt idx="12">
                  <c:v>5.4529978036451725</c:v>
                </c:pt>
                <c:pt idx="13">
                  <c:v>5.493791315858692</c:v>
                </c:pt>
                <c:pt idx="14">
                  <c:v>5.5357936791415012</c:v>
                </c:pt>
                <c:pt idx="15">
                  <c:v>5.5790757966799127</c:v>
                </c:pt>
                <c:pt idx="16">
                  <c:v>5.6236845196907126</c:v>
                </c:pt>
                <c:pt idx="17">
                  <c:v>5.6696601328351415</c:v>
                </c:pt>
                <c:pt idx="18">
                  <c:v>5.7170498714884088</c:v>
                </c:pt>
                <c:pt idx="19">
                  <c:v>5.7659017475437508</c:v>
                </c:pt>
                <c:pt idx="20">
                  <c:v>5.8162645442374998</c:v>
                </c:pt>
                <c:pt idx="21">
                  <c:v>5.8681878104943115</c:v>
                </c:pt>
              </c:numCache>
            </c:numRef>
          </c:val>
          <c:extLst>
            <c:ext xmlns:c16="http://schemas.microsoft.com/office/drawing/2014/chart" uri="{C3380CC4-5D6E-409C-BE32-E72D297353CC}">
              <c16:uniqueId val="{00000005-E698-4836-A43C-3AFC2BFECB2E}"/>
            </c:ext>
          </c:extLst>
        </c:ser>
        <c:ser>
          <c:idx val="0"/>
          <c:order val="6"/>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22"/>
                <c:pt idx="0">
                  <c:v>31.201972235932139</c:v>
                </c:pt>
                <c:pt idx="1">
                  <c:v>33.753695776335711</c:v>
                </c:pt>
                <c:pt idx="2">
                  <c:v>34.008868130376065</c:v>
                </c:pt>
                <c:pt idx="3">
                  <c:v>34.264040484416427</c:v>
                </c:pt>
                <c:pt idx="4">
                  <c:v>34.519212838456781</c:v>
                </c:pt>
                <c:pt idx="5">
                  <c:v>34.774385192497142</c:v>
                </c:pt>
                <c:pt idx="6">
                  <c:v>35.029557546537497</c:v>
                </c:pt>
                <c:pt idx="7">
                  <c:v>35.284729900577851</c:v>
                </c:pt>
                <c:pt idx="8">
                  <c:v>35.539902254618212</c:v>
                </c:pt>
                <c:pt idx="9">
                  <c:v>35.795074608658567</c:v>
                </c:pt>
                <c:pt idx="10">
                  <c:v>36.050246962698928</c:v>
                </c:pt>
                <c:pt idx="11">
                  <c:v>36.305419316739282</c:v>
                </c:pt>
                <c:pt idx="12">
                  <c:v>36.560591670779637</c:v>
                </c:pt>
                <c:pt idx="13">
                  <c:v>36.815764024819998</c:v>
                </c:pt>
                <c:pt idx="14">
                  <c:v>37.070936378860353</c:v>
                </c:pt>
                <c:pt idx="15">
                  <c:v>37.326108732900707</c:v>
                </c:pt>
                <c:pt idx="16">
                  <c:v>37.581281086941068</c:v>
                </c:pt>
                <c:pt idx="17">
                  <c:v>37.836453440981423</c:v>
                </c:pt>
                <c:pt idx="18">
                  <c:v>38.091625795021784</c:v>
                </c:pt>
                <c:pt idx="19">
                  <c:v>38.346798149062138</c:v>
                </c:pt>
                <c:pt idx="20">
                  <c:v>38.601970503102493</c:v>
                </c:pt>
                <c:pt idx="21">
                  <c:v>38.857142857142854</c:v>
                </c:pt>
              </c:numCache>
            </c:numRef>
          </c:val>
          <c:extLst>
            <c:ext xmlns:c16="http://schemas.microsoft.com/office/drawing/2014/chart" uri="{C3380CC4-5D6E-409C-BE32-E72D297353CC}">
              <c16:uniqueId val="{00000006-E698-4836-A43C-3AFC2BFECB2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layout>
        <c:manualLayout>
          <c:xMode val="edge"/>
          <c:yMode val="edge"/>
          <c:x val="1.9372161546896673E-2"/>
          <c:y val="0.555167573432626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22"/>
                <c:pt idx="0">
                  <c:v>2020</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cat>
          <c:val>
            <c:numRef>
              <c:f>'Yearly Methanol'!$D$13:$AH$13</c:f>
              <c:numCache>
                <c:formatCode>0.0</c:formatCode>
                <c:ptCount val="22"/>
                <c:pt idx="0">
                  <c:v>28.065001267929215</c:v>
                </c:pt>
                <c:pt idx="1">
                  <c:v>28.184568502779875</c:v>
                </c:pt>
                <c:pt idx="2">
                  <c:v>27.030762729697322</c:v>
                </c:pt>
                <c:pt idx="3">
                  <c:v>25.808972254315002</c:v>
                </c:pt>
                <c:pt idx="4">
                  <c:v>24.516680143581084</c:v>
                </c:pt>
                <c:pt idx="5">
                  <c:v>23.151289649430872</c:v>
                </c:pt>
                <c:pt idx="6">
                  <c:v>21.710121868753799</c:v>
                </c:pt>
                <c:pt idx="7">
                  <c:v>20.190413337941031</c:v>
                </c:pt>
                <c:pt idx="8">
                  <c:v>18.589313560242303</c:v>
                </c:pt>
                <c:pt idx="9">
                  <c:v>16.903882464113668</c:v>
                </c:pt>
                <c:pt idx="10">
                  <c:v>15.131087790689747</c:v>
                </c:pt>
                <c:pt idx="11">
                  <c:v>13.26780240846481</c:v>
                </c:pt>
                <c:pt idx="12">
                  <c:v>12.215665677473545</c:v>
                </c:pt>
                <c:pt idx="13">
                  <c:v>11.108111989382607</c:v>
                </c:pt>
                <c:pt idx="14">
                  <c:v>9.9431487444961135</c:v>
                </c:pt>
                <c:pt idx="15">
                  <c:v>8.7187209991024446</c:v>
                </c:pt>
                <c:pt idx="16">
                  <c:v>7.4327096517348323</c:v>
                </c:pt>
                <c:pt idx="17">
                  <c:v>6.0829295789797868</c:v>
                </c:pt>
                <c:pt idx="18">
                  <c:v>4.6671277194722407</c:v>
                </c:pt>
                <c:pt idx="19">
                  <c:v>3.1829811046800671</c:v>
                </c:pt>
                <c:pt idx="20">
                  <c:v>1.6280948350438535</c:v>
                </c:pt>
                <c:pt idx="21">
                  <c:v>0</c:v>
                </c:pt>
              </c:numCache>
            </c:numRef>
          </c:val>
          <c:extLst>
            <c:ext xmlns:c16="http://schemas.microsoft.com/office/drawing/2014/chart" uri="{C3380CC4-5D6E-409C-BE32-E72D297353CC}">
              <c16:uniqueId val="{00000000-9CF4-4CE3-8E59-23817B559467}"/>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a:noFill/>
            </a:ln>
            <a:effectLst/>
          </c:spPr>
          <c:cat>
            <c:numRef>
              <c:f>'Yearly Methanol'!$D$3:$AH$3</c:f>
              <c:numCache>
                <c:formatCode>General</c:formatCode>
                <c:ptCount val="22"/>
                <c:pt idx="0">
                  <c:v>2020</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cat>
          <c:val>
            <c:numRef>
              <c:f>'Yearly Methanol'!$D$116:$AH$116</c:f>
              <c:numCache>
                <c:formatCode>0.0</c:formatCode>
                <c:ptCount val="22"/>
                <c:pt idx="0">
                  <c:v>70.960266702016895</c:v>
                </c:pt>
                <c:pt idx="1">
                  <c:v>107.87437489819432</c:v>
                </c:pt>
                <c:pt idx="2">
                  <c:v>107.59229882980897</c:v>
                </c:pt>
                <c:pt idx="3">
                  <c:v>107.22531885891094</c:v>
                </c:pt>
                <c:pt idx="4">
                  <c:v>106.77117565150307</c:v>
                </c:pt>
                <c:pt idx="5">
                  <c:v>106.22781733971414</c:v>
                </c:pt>
                <c:pt idx="6">
                  <c:v>105.59304153135109</c:v>
                </c:pt>
                <c:pt idx="7">
                  <c:v>104.6606576007448</c:v>
                </c:pt>
                <c:pt idx="8">
                  <c:v>103.62763173174019</c:v>
                </c:pt>
                <c:pt idx="9">
                  <c:v>102.49086248382642</c:v>
                </c:pt>
                <c:pt idx="10">
                  <c:v>101.24718147767331</c:v>
                </c:pt>
                <c:pt idx="11">
                  <c:v>99.893354388427881</c:v>
                </c:pt>
                <c:pt idx="12">
                  <c:v>98.83154260013356</c:v>
                </c:pt>
                <c:pt idx="13">
                  <c:v>97.691725503710501</c:v>
                </c:pt>
                <c:pt idx="14">
                  <c:v>96.471238687743735</c:v>
                </c:pt>
                <c:pt idx="15">
                  <c:v>95.168510081104358</c:v>
                </c:pt>
                <c:pt idx="16">
                  <c:v>93.781459531843353</c:v>
                </c:pt>
                <c:pt idx="17">
                  <c:v>92.307961666916512</c:v>
                </c:pt>
                <c:pt idx="18">
                  <c:v>90.745924066794984</c:v>
                </c:pt>
                <c:pt idx="19">
                  <c:v>89.093261335378401</c:v>
                </c:pt>
                <c:pt idx="20">
                  <c:v>87.347902804621725</c:v>
                </c:pt>
                <c:pt idx="21">
                  <c:v>85.507801287550024</c:v>
                </c:pt>
              </c:numCache>
            </c:numRef>
          </c:val>
          <c:extLst>
            <c:ext xmlns:c16="http://schemas.microsoft.com/office/drawing/2014/chart" uri="{C3380CC4-5D6E-409C-BE32-E72D297353CC}">
              <c16:uniqueId val="{00000001-9CF4-4CE3-8E59-23817B559467}"/>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22"/>
                <c:pt idx="0">
                  <c:v>31.201972235932139</c:v>
                </c:pt>
                <c:pt idx="1">
                  <c:v>33.753695776335711</c:v>
                </c:pt>
                <c:pt idx="2">
                  <c:v>34.008868130376065</c:v>
                </c:pt>
                <c:pt idx="3">
                  <c:v>34.264040484416427</c:v>
                </c:pt>
                <c:pt idx="4">
                  <c:v>34.519212838456781</c:v>
                </c:pt>
                <c:pt idx="5">
                  <c:v>34.774385192497142</c:v>
                </c:pt>
                <c:pt idx="6">
                  <c:v>35.029557546537497</c:v>
                </c:pt>
                <c:pt idx="7">
                  <c:v>35.284729900577851</c:v>
                </c:pt>
                <c:pt idx="8">
                  <c:v>35.539902254618212</c:v>
                </c:pt>
                <c:pt idx="9">
                  <c:v>35.795074608658567</c:v>
                </c:pt>
                <c:pt idx="10">
                  <c:v>36.050246962698928</c:v>
                </c:pt>
                <c:pt idx="11">
                  <c:v>36.305419316739282</c:v>
                </c:pt>
                <c:pt idx="12">
                  <c:v>36.560591670779637</c:v>
                </c:pt>
                <c:pt idx="13">
                  <c:v>36.815764024819998</c:v>
                </c:pt>
                <c:pt idx="14">
                  <c:v>37.070936378860353</c:v>
                </c:pt>
                <c:pt idx="15">
                  <c:v>37.326108732900707</c:v>
                </c:pt>
                <c:pt idx="16">
                  <c:v>37.581281086941068</c:v>
                </c:pt>
                <c:pt idx="17">
                  <c:v>37.836453440981423</c:v>
                </c:pt>
                <c:pt idx="18">
                  <c:v>38.091625795021784</c:v>
                </c:pt>
                <c:pt idx="19">
                  <c:v>38.346798149062138</c:v>
                </c:pt>
                <c:pt idx="20">
                  <c:v>38.601970503102493</c:v>
                </c:pt>
                <c:pt idx="21">
                  <c:v>38.857142857142854</c:v>
                </c:pt>
              </c:numCache>
            </c:numRef>
          </c:val>
          <c:extLst>
            <c:ext xmlns:c16="http://schemas.microsoft.com/office/drawing/2014/chart" uri="{C3380CC4-5D6E-409C-BE32-E72D297353CC}">
              <c16:uniqueId val="{00000002-9CF4-4CE3-8E59-23817B559467}"/>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Methanol'!$B$11</c:f>
              <c:strCache>
                <c:ptCount val="1"/>
                <c:pt idx="0">
                  <c:v>Sector demand BAU (fuel)</c:v>
                </c:pt>
              </c:strCache>
            </c:strRef>
          </c:tx>
          <c:spPr>
            <a:solidFill>
              <a:schemeClr val="accent2"/>
            </a:solidFill>
            <a:ln w="25400">
              <a:noFill/>
            </a:ln>
            <a:effectLst/>
          </c:spPr>
          <c:cat>
            <c:numRef>
              <c:f>'Yearly Methanol'!$D$3:$AH$3</c:f>
              <c:numCache>
                <c:formatCode>General</c:formatCode>
                <c:ptCount val="22"/>
                <c:pt idx="0">
                  <c:v>2020</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cat>
          <c:val>
            <c:numRef>
              <c:f>'Yearly Methanol'!$D$11:$AH$11</c:f>
              <c:numCache>
                <c:formatCode>0.0</c:formatCode>
                <c:ptCount val="22"/>
                <c:pt idx="0">
                  <c:v>28.065001267929215</c:v>
                </c:pt>
                <c:pt idx="1">
                  <c:v>35.230710628474846</c:v>
                </c:pt>
                <c:pt idx="2">
                  <c:v>36.041016972929761</c:v>
                </c:pt>
                <c:pt idx="3">
                  <c:v>36.869960363307143</c:v>
                </c:pt>
                <c:pt idx="4">
                  <c:v>37.717969451663201</c:v>
                </c:pt>
                <c:pt idx="5">
                  <c:v>38.585482749051458</c:v>
                </c:pt>
                <c:pt idx="6">
                  <c:v>39.472948852279629</c:v>
                </c:pt>
                <c:pt idx="7">
                  <c:v>40.380826675882055</c:v>
                </c:pt>
                <c:pt idx="8">
                  <c:v>41.309585689427344</c:v>
                </c:pt>
                <c:pt idx="9">
                  <c:v>42.259706160284168</c:v>
                </c:pt>
                <c:pt idx="10">
                  <c:v>43.231679401970695</c:v>
                </c:pt>
                <c:pt idx="11">
                  <c:v>44.226008028216022</c:v>
                </c:pt>
                <c:pt idx="12">
                  <c:v>45.243206212864983</c:v>
                </c:pt>
                <c:pt idx="13">
                  <c:v>46.283799955760877</c:v>
                </c:pt>
                <c:pt idx="14">
                  <c:v>47.348327354743368</c:v>
                </c:pt>
                <c:pt idx="15">
                  <c:v>48.437338883902463</c:v>
                </c:pt>
                <c:pt idx="16">
                  <c:v>49.551397678232213</c:v>
                </c:pt>
                <c:pt idx="17">
                  <c:v>50.691079824831547</c:v>
                </c:pt>
                <c:pt idx="18">
                  <c:v>51.85697466080267</c:v>
                </c:pt>
                <c:pt idx="19">
                  <c:v>53.049685078001126</c:v>
                </c:pt>
                <c:pt idx="20">
                  <c:v>54.269827834795151</c:v>
                </c:pt>
                <c:pt idx="21">
                  <c:v>55.518033874995439</c:v>
                </c:pt>
              </c:numCache>
            </c:numRef>
          </c:val>
          <c:extLst>
            <c:ext xmlns:c16="http://schemas.microsoft.com/office/drawing/2014/chart" uri="{C3380CC4-5D6E-409C-BE32-E72D297353CC}">
              <c16:uniqueId val="{00000000-3188-40D7-B530-5F1F0555568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w="25400">
              <a:noFill/>
            </a:ln>
            <a:effectLst/>
          </c:spPr>
          <c:cat>
            <c:numRef>
              <c:f>'Yearly Methanol'!$D$3:$AH$3</c:f>
              <c:numCache>
                <c:formatCode>General</c:formatCode>
                <c:ptCount val="22"/>
                <c:pt idx="0">
                  <c:v>2020</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3188-40D7-B530-5F1F0555568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22"/>
                <c:pt idx="0">
                  <c:v>31.201972235932139</c:v>
                </c:pt>
                <c:pt idx="1">
                  <c:v>33.753695776335711</c:v>
                </c:pt>
                <c:pt idx="2">
                  <c:v>34.008868130376065</c:v>
                </c:pt>
                <c:pt idx="3">
                  <c:v>34.264040484416427</c:v>
                </c:pt>
                <c:pt idx="4">
                  <c:v>34.519212838456781</c:v>
                </c:pt>
                <c:pt idx="5">
                  <c:v>34.774385192497142</c:v>
                </c:pt>
                <c:pt idx="6">
                  <c:v>35.029557546537497</c:v>
                </c:pt>
                <c:pt idx="7">
                  <c:v>35.284729900577851</c:v>
                </c:pt>
                <c:pt idx="8">
                  <c:v>35.539902254618212</c:v>
                </c:pt>
                <c:pt idx="9">
                  <c:v>35.795074608658567</c:v>
                </c:pt>
                <c:pt idx="10">
                  <c:v>36.050246962698928</c:v>
                </c:pt>
                <c:pt idx="11">
                  <c:v>36.305419316739282</c:v>
                </c:pt>
                <c:pt idx="12">
                  <c:v>36.560591670779637</c:v>
                </c:pt>
                <c:pt idx="13">
                  <c:v>36.815764024819998</c:v>
                </c:pt>
                <c:pt idx="14">
                  <c:v>37.070936378860353</c:v>
                </c:pt>
                <c:pt idx="15">
                  <c:v>37.326108732900707</c:v>
                </c:pt>
                <c:pt idx="16">
                  <c:v>37.581281086941068</c:v>
                </c:pt>
                <c:pt idx="17">
                  <c:v>37.836453440981423</c:v>
                </c:pt>
                <c:pt idx="18">
                  <c:v>38.091625795021784</c:v>
                </c:pt>
                <c:pt idx="19">
                  <c:v>38.346798149062138</c:v>
                </c:pt>
                <c:pt idx="20">
                  <c:v>38.601970503102493</c:v>
                </c:pt>
                <c:pt idx="21">
                  <c:v>38.857142857142854</c:v>
                </c:pt>
              </c:numCache>
            </c:numRef>
          </c:val>
          <c:extLst>
            <c:ext xmlns:c16="http://schemas.microsoft.com/office/drawing/2014/chart" uri="{C3380CC4-5D6E-409C-BE32-E72D297353CC}">
              <c16:uniqueId val="{00000002-3188-40D7-B530-5F1F0555568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Auto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Ethylene'!$B$12:$C$12</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Ethylene'!$D$12:$AH$12</c:f>
              <c:numCache>
                <c:formatCode>0.0</c:formatCode>
                <c:ptCount val="4"/>
                <c:pt idx="0">
                  <c:v>8.4778361655826675</c:v>
                </c:pt>
                <c:pt idx="1">
                  <c:v>10.034472539196042</c:v>
                </c:pt>
                <c:pt idx="2">
                  <c:v>11.87692675032476</c:v>
                </c:pt>
                <c:pt idx="3">
                  <c:v>14.057678515893537</c:v>
                </c:pt>
              </c:numCache>
            </c:numRef>
          </c:val>
          <c:smooth val="0"/>
          <c:extLst>
            <c:ext xmlns:c16="http://schemas.microsoft.com/office/drawing/2014/chart" uri="{C3380CC4-5D6E-409C-BE32-E72D297353CC}">
              <c16:uniqueId val="{00000000-9504-416C-B23A-A219019CC417}"/>
            </c:ext>
          </c:extLst>
        </c:ser>
        <c:ser>
          <c:idx val="1"/>
          <c:order val="1"/>
          <c:tx>
            <c:strRef>
              <c:f>'Yearly LC Ethylene'!$B$19:$C$19</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Ethylene'!$D$19:$AH$19</c:f>
              <c:numCache>
                <c:formatCode>0.0</c:formatCode>
                <c:ptCount val="4"/>
                <c:pt idx="0">
                  <c:v>8.4778361655826675</c:v>
                </c:pt>
                <c:pt idx="1">
                  <c:v>10.134817264588001</c:v>
                </c:pt>
                <c:pt idx="2">
                  <c:v>12.470773087840998</c:v>
                </c:pt>
                <c:pt idx="3">
                  <c:v>15.463446367482891</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Packaging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Ethylene'!$B$26:$C$26</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Ethylene'!$D$26:$AH$26</c:f>
              <c:numCache>
                <c:formatCode>0.0</c:formatCode>
                <c:ptCount val="4"/>
                <c:pt idx="0">
                  <c:v>89.109936202323638</c:v>
                </c:pt>
                <c:pt idx="1">
                  <c:v>102.4013501289316</c:v>
                </c:pt>
                <c:pt idx="2">
                  <c:v>117.67527792208882</c:v>
                </c:pt>
                <c:pt idx="3">
                  <c:v>135.22742636308757</c:v>
                </c:pt>
              </c:numCache>
            </c:numRef>
          </c:val>
          <c:smooth val="0"/>
          <c:extLst>
            <c:ext xmlns:c16="http://schemas.microsoft.com/office/drawing/2014/chart" uri="{C3380CC4-5D6E-409C-BE32-E72D297353CC}">
              <c16:uniqueId val="{00000000-9504-416C-B23A-A219019CC417}"/>
            </c:ext>
          </c:extLst>
        </c:ser>
        <c:ser>
          <c:idx val="1"/>
          <c:order val="1"/>
          <c:tx>
            <c:strRef>
              <c:f>'Yearly LC Ethylene'!$B$33:$C$33</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Ethylene'!$D$33:$AH$33</c:f>
              <c:numCache>
                <c:formatCode>0.0</c:formatCode>
                <c:ptCount val="4"/>
                <c:pt idx="0">
                  <c:v>89.109936202323638</c:v>
                </c:pt>
                <c:pt idx="1">
                  <c:v>102.4013501289316</c:v>
                </c:pt>
                <c:pt idx="2">
                  <c:v>117.67527792208882</c:v>
                </c:pt>
                <c:pt idx="3">
                  <c:v>135.22742636308757</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Consturction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Ethylene'!$B$40:$C$40</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Ethylene'!$D$40:$AH$40</c:f>
              <c:numCache>
                <c:formatCode>0.0</c:formatCode>
                <c:ptCount val="4"/>
                <c:pt idx="0">
                  <c:v>34.871127768537121</c:v>
                </c:pt>
                <c:pt idx="1">
                  <c:v>41.27390140242624</c:v>
                </c:pt>
                <c:pt idx="2">
                  <c:v>48.852304068990755</c:v>
                </c:pt>
                <c:pt idx="3">
                  <c:v>57.822195909709656</c:v>
                </c:pt>
              </c:numCache>
            </c:numRef>
          </c:val>
          <c:smooth val="0"/>
          <c:extLst>
            <c:ext xmlns:c16="http://schemas.microsoft.com/office/drawing/2014/chart" uri="{C3380CC4-5D6E-409C-BE32-E72D297353CC}">
              <c16:uniqueId val="{00000000-9504-416C-B23A-A219019CC417}"/>
            </c:ext>
          </c:extLst>
        </c:ser>
        <c:ser>
          <c:idx val="1"/>
          <c:order val="1"/>
          <c:tx>
            <c:strRef>
              <c:f>'Yearly LC Ethylene'!$B$43:$C$43</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Ethylene'!$D$43:$AH$43</c:f>
              <c:numCache>
                <c:formatCode>0.0</c:formatCode>
                <c:ptCount val="4"/>
                <c:pt idx="0">
                  <c:v>34.871127768537121</c:v>
                </c:pt>
                <c:pt idx="1">
                  <c:v>41.27390140242624</c:v>
                </c:pt>
                <c:pt idx="2">
                  <c:v>48.852304068990755</c:v>
                </c:pt>
                <c:pt idx="3">
                  <c:v>57.822195909709656</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Textile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Ethylene'!$B$50:$C$50</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Ethylene'!$D$50:$AH$50</c:f>
              <c:numCache>
                <c:formatCode>0.0</c:formatCode>
                <c:ptCount val="4"/>
                <c:pt idx="0">
                  <c:v>3.4336211538461541</c:v>
                </c:pt>
                <c:pt idx="1">
                  <c:v>4.2267814888194408</c:v>
                </c:pt>
                <c:pt idx="2">
                  <c:v>5.203160440171021</c:v>
                </c:pt>
                <c:pt idx="3">
                  <c:v>6.4050811800357046</c:v>
                </c:pt>
              </c:numCache>
            </c:numRef>
          </c:val>
          <c:smooth val="0"/>
          <c:extLst>
            <c:ext xmlns:c16="http://schemas.microsoft.com/office/drawing/2014/chart" uri="{C3380CC4-5D6E-409C-BE32-E72D297353CC}">
              <c16:uniqueId val="{00000000-9504-416C-B23A-A219019CC417}"/>
            </c:ext>
          </c:extLst>
        </c:ser>
        <c:ser>
          <c:idx val="1"/>
          <c:order val="1"/>
          <c:tx>
            <c:strRef>
              <c:f>'Yearly LC Ethylene'!$B$55:$C$55</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Ethylene'!$D$55:$AH$55</c:f>
              <c:numCache>
                <c:formatCode>0.0</c:formatCode>
                <c:ptCount val="4"/>
                <c:pt idx="0">
                  <c:v>3.4336211538461541</c:v>
                </c:pt>
                <c:pt idx="1">
                  <c:v>4.2267814888194408</c:v>
                </c:pt>
                <c:pt idx="2">
                  <c:v>5.203160440171021</c:v>
                </c:pt>
                <c:pt idx="3">
                  <c:v>6.4050811800357046</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'R&amp;S - Transportation'!$V$28</c:f>
              <c:strCache>
                <c:ptCount val="1"/>
                <c:pt idx="0">
                  <c:v>White</c:v>
                </c:pt>
              </c:strCache>
            </c:strRef>
          </c:tx>
          <c:spPr>
            <a:noFill/>
            <a:ln>
              <a:noFill/>
            </a:ln>
            <a:effectLst/>
          </c:spPr>
          <c:invertIfNegative val="0"/>
          <c:cat>
            <c:strRef>
              <c:f>'R&amp;S - Transportation'!$A$4:$A$13</c:f>
              <c:strCache>
                <c:ptCount val="10"/>
                <c:pt idx="0">
                  <c:v>Demand 2020</c:v>
                </c:pt>
                <c:pt idx="1">
                  <c:v>Economic &amp; Population Growth</c:v>
                </c:pt>
                <c:pt idx="2">
                  <c:v>Fuel demand growth</c:v>
                </c:pt>
                <c:pt idx="3">
                  <c:v>BAU 2050</c:v>
                </c:pt>
                <c:pt idx="4">
                  <c:v>Switch from ICE to EV (Plastics increase)</c:v>
                </c:pt>
                <c:pt idx="5">
                  <c:v>Switch from ICE to EV (Fuel demand reduction)</c:v>
                </c:pt>
                <c:pt idx="6">
                  <c:v>MaaS</c:v>
                </c:pt>
                <c:pt idx="7">
                  <c:v>Life Extension</c:v>
                </c:pt>
                <c:pt idx="8">
                  <c:v>Substitution in cars</c:v>
                </c:pt>
                <c:pt idx="9">
                  <c:v>NZ/CE 2050</c:v>
                </c:pt>
              </c:strCache>
            </c:strRef>
          </c:cat>
          <c:val>
            <c:numRef>
              <c:f>'R&amp;S - Transportation'!$V$29:$V$36</c:f>
              <c:numCache>
                <c:formatCode>General</c:formatCode>
                <c:ptCount val="8"/>
                <c:pt idx="1">
                  <c:v>100</c:v>
                </c:pt>
                <c:pt idx="3">
                  <c:v>200</c:v>
                </c:pt>
                <c:pt idx="4">
                  <c:v>147.39999999999998</c:v>
                </c:pt>
                <c:pt idx="5">
                  <c:v>101.19999999999999</c:v>
                </c:pt>
                <c:pt idx="6">
                  <c:v>0</c:v>
                </c:pt>
              </c:numCache>
            </c:numRef>
          </c:val>
          <c:extLst>
            <c:ext xmlns:c16="http://schemas.microsoft.com/office/drawing/2014/chart" uri="{C3380CC4-5D6E-409C-BE32-E72D297353CC}">
              <c16:uniqueId val="{00000000-C3DE-4828-9CD4-25E778DE3D89}"/>
            </c:ext>
          </c:extLst>
        </c:ser>
        <c:ser>
          <c:idx val="1"/>
          <c:order val="1"/>
          <c:tx>
            <c:strRef>
              <c:f>'R&amp;S - Transportation'!$W$28</c:f>
              <c:strCache>
                <c:ptCount val="1"/>
                <c:pt idx="0">
                  <c:v>Blue</c:v>
                </c:pt>
              </c:strCache>
            </c:strRef>
          </c:tx>
          <c:spPr>
            <a:solidFill>
              <a:schemeClr val="accent1"/>
            </a:solidFill>
            <a:ln>
              <a:noFill/>
            </a:ln>
            <a:effectLst/>
          </c:spPr>
          <c:invertIfNegative val="0"/>
          <c:cat>
            <c:strRef>
              <c:f>'R&amp;S - Transportation'!$A$4:$A$13</c:f>
              <c:strCache>
                <c:ptCount val="10"/>
                <c:pt idx="0">
                  <c:v>Demand 2020</c:v>
                </c:pt>
                <c:pt idx="1">
                  <c:v>Economic &amp; Population Growth</c:v>
                </c:pt>
                <c:pt idx="2">
                  <c:v>Fuel demand growth</c:v>
                </c:pt>
                <c:pt idx="3">
                  <c:v>BAU 2050</c:v>
                </c:pt>
                <c:pt idx="4">
                  <c:v>Switch from ICE to EV (Plastics increase)</c:v>
                </c:pt>
                <c:pt idx="5">
                  <c:v>Switch from ICE to EV (Fuel demand reduction)</c:v>
                </c:pt>
                <c:pt idx="6">
                  <c:v>MaaS</c:v>
                </c:pt>
                <c:pt idx="7">
                  <c:v>Life Extension</c:v>
                </c:pt>
                <c:pt idx="8">
                  <c:v>Substitution in cars</c:v>
                </c:pt>
                <c:pt idx="9">
                  <c:v>NZ/CE 2050</c:v>
                </c:pt>
              </c:strCache>
            </c:strRef>
          </c:cat>
          <c:val>
            <c:numRef>
              <c:f>'R&amp;S - Transportation'!$W$29:$W$36</c:f>
              <c:numCache>
                <c:formatCode>General</c:formatCode>
                <c:ptCount val="8"/>
                <c:pt idx="0">
                  <c:v>100</c:v>
                </c:pt>
                <c:pt idx="1">
                  <c:v>100</c:v>
                </c:pt>
                <c:pt idx="2">
                  <c:v>200</c:v>
                </c:pt>
                <c:pt idx="3">
                  <c:v>20</c:v>
                </c:pt>
                <c:pt idx="4">
                  <c:v>72.600000000000009</c:v>
                </c:pt>
                <c:pt idx="5">
                  <c:v>46.199999999999996</c:v>
                </c:pt>
                <c:pt idx="6">
                  <c:v>0</c:v>
                </c:pt>
                <c:pt idx="7">
                  <c:v>101.19999999999999</c:v>
                </c:pt>
              </c:numCache>
            </c:numRef>
          </c:val>
          <c:extLst>
            <c:ext xmlns:c16="http://schemas.microsoft.com/office/drawing/2014/chart" uri="{C3380CC4-5D6E-409C-BE32-E72D297353CC}">
              <c16:uniqueId val="{00000001-C3DE-4828-9CD4-25E778DE3D89}"/>
            </c:ext>
          </c:extLst>
        </c:ser>
        <c:dLbls>
          <c:showLegendKey val="0"/>
          <c:showVal val="0"/>
          <c:showCatName val="0"/>
          <c:showSerName val="0"/>
          <c:showPercent val="0"/>
          <c:showBubbleSize val="0"/>
        </c:dLbls>
        <c:gapWidth val="150"/>
        <c:overlap val="100"/>
        <c:axId val="108960976"/>
        <c:axId val="108961392"/>
      </c:barChart>
      <c:catAx>
        <c:axId val="10896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1392"/>
        <c:crosses val="autoZero"/>
        <c:auto val="1"/>
        <c:lblAlgn val="ctr"/>
        <c:lblOffset val="100"/>
        <c:noMultiLvlLbl val="0"/>
      </c:catAx>
      <c:valAx>
        <c:axId val="10896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0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1.gif"/><Relationship Id="rId2" Type="http://schemas.openxmlformats.org/officeDocument/2006/relationships/image" Target="../media/image10.jpeg"/><Relationship Id="rId1" Type="http://schemas.openxmlformats.org/officeDocument/2006/relationships/image" Target="../media/image8.jpeg"/><Relationship Id="rId4"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2.jpeg"/><Relationship Id="rId3" Type="http://schemas.openxmlformats.org/officeDocument/2006/relationships/image" Target="../media/image17.png"/><Relationship Id="rId7" Type="http://schemas.openxmlformats.org/officeDocument/2006/relationships/image" Target="../media/image21.jpe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jpeg"/><Relationship Id="rId5" Type="http://schemas.openxmlformats.org/officeDocument/2006/relationships/image" Target="../media/image19.png"/><Relationship Id="rId10" Type="http://schemas.openxmlformats.org/officeDocument/2006/relationships/image" Target="../media/image24.jpeg"/><Relationship Id="rId4" Type="http://schemas.openxmlformats.org/officeDocument/2006/relationships/image" Target="../media/image18.png"/><Relationship Id="rId9" Type="http://schemas.openxmlformats.org/officeDocument/2006/relationships/image" Target="../media/image23.jpeg"/></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jpeg"/><Relationship Id="rId4" Type="http://schemas.openxmlformats.org/officeDocument/2006/relationships/image" Target="../media/image3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jpeg"/><Relationship Id="rId4" Type="http://schemas.openxmlformats.org/officeDocument/2006/relationships/image" Target="../media/image3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3.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4</xdr:col>
      <xdr:colOff>0</xdr:colOff>
      <xdr:row>82</xdr:row>
      <xdr:rowOff>80818</xdr:rowOff>
    </xdr:from>
    <xdr:to>
      <xdr:col>14</xdr:col>
      <xdr:colOff>0</xdr:colOff>
      <xdr:row>95</xdr:row>
      <xdr:rowOff>51254</xdr:rowOff>
    </xdr:to>
    <xdr:graphicFrame macro="">
      <xdr:nvGraphicFramePr>
        <xdr:cNvPr id="2" name="Chart 1">
          <a:extLst>
            <a:ext uri="{FF2B5EF4-FFF2-40B4-BE49-F238E27FC236}">
              <a16:creationId xmlns:a16="http://schemas.microsoft.com/office/drawing/2014/main" id="{53394267-16BF-4C2A-8256-53FAF94A7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334818</xdr:colOff>
      <xdr:row>81</xdr:row>
      <xdr:rowOff>154585</xdr:rowOff>
    </xdr:from>
    <xdr:to>
      <xdr:col>33</xdr:col>
      <xdr:colOff>334818</xdr:colOff>
      <xdr:row>107</xdr:row>
      <xdr:rowOff>99703</xdr:rowOff>
    </xdr:to>
    <xdr:graphicFrame macro="">
      <xdr:nvGraphicFramePr>
        <xdr:cNvPr id="3" name="Chart 2">
          <a:extLst>
            <a:ext uri="{FF2B5EF4-FFF2-40B4-BE49-F238E27FC236}">
              <a16:creationId xmlns:a16="http://schemas.microsoft.com/office/drawing/2014/main" id="{C2E4C9ED-3847-44FF-8154-3E21A585F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523748</xdr:colOff>
      <xdr:row>85</xdr:row>
      <xdr:rowOff>68530</xdr:rowOff>
    </xdr:from>
    <xdr:to>
      <xdr:col>3</xdr:col>
      <xdr:colOff>1258454</xdr:colOff>
      <xdr:row>111</xdr:row>
      <xdr:rowOff>4123</xdr:rowOff>
    </xdr:to>
    <xdr:graphicFrame macro="">
      <xdr:nvGraphicFramePr>
        <xdr:cNvPr id="4" name="Chart 3">
          <a:extLst>
            <a:ext uri="{FF2B5EF4-FFF2-40B4-BE49-F238E27FC236}">
              <a16:creationId xmlns:a16="http://schemas.microsoft.com/office/drawing/2014/main" id="{9FACC855-12A0-4DA0-8B78-5E7C550E8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230910</xdr:colOff>
      <xdr:row>82</xdr:row>
      <xdr:rowOff>61109</xdr:rowOff>
    </xdr:from>
    <xdr:to>
      <xdr:col>35</xdr:col>
      <xdr:colOff>230910</xdr:colOff>
      <xdr:row>107</xdr:row>
      <xdr:rowOff>178254</xdr:rowOff>
    </xdr:to>
    <xdr:graphicFrame macro="">
      <xdr:nvGraphicFramePr>
        <xdr:cNvPr id="5" name="Chart 4">
          <a:extLst>
            <a:ext uri="{FF2B5EF4-FFF2-40B4-BE49-F238E27FC236}">
              <a16:creationId xmlns:a16="http://schemas.microsoft.com/office/drawing/2014/main" id="{3493F456-1DFD-4FF9-98C0-EF0D37B70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600363</xdr:colOff>
      <xdr:row>82</xdr:row>
      <xdr:rowOff>16040</xdr:rowOff>
    </xdr:from>
    <xdr:to>
      <xdr:col>35</xdr:col>
      <xdr:colOff>1212272</xdr:colOff>
      <xdr:row>107</xdr:row>
      <xdr:rowOff>145885</xdr:rowOff>
    </xdr:to>
    <xdr:graphicFrame macro="">
      <xdr:nvGraphicFramePr>
        <xdr:cNvPr id="6" name="Chart 5">
          <a:extLst>
            <a:ext uri="{FF2B5EF4-FFF2-40B4-BE49-F238E27FC236}">
              <a16:creationId xmlns:a16="http://schemas.microsoft.com/office/drawing/2014/main" id="{6E729578-B025-4130-89A0-F4995783D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132</xdr:row>
      <xdr:rowOff>80818</xdr:rowOff>
    </xdr:from>
    <xdr:to>
      <xdr:col>14</xdr:col>
      <xdr:colOff>0</xdr:colOff>
      <xdr:row>145</xdr:row>
      <xdr:rowOff>51254</xdr:rowOff>
    </xdr:to>
    <xdr:graphicFrame macro="">
      <xdr:nvGraphicFramePr>
        <xdr:cNvPr id="2" name="Chart 1">
          <a:extLst>
            <a:ext uri="{FF2B5EF4-FFF2-40B4-BE49-F238E27FC236}">
              <a16:creationId xmlns:a16="http://schemas.microsoft.com/office/drawing/2014/main" id="{93525421-2458-4324-B274-14A212BB6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334818</xdr:colOff>
      <xdr:row>131</xdr:row>
      <xdr:rowOff>154585</xdr:rowOff>
    </xdr:from>
    <xdr:to>
      <xdr:col>33</xdr:col>
      <xdr:colOff>334818</xdr:colOff>
      <xdr:row>157</xdr:row>
      <xdr:rowOff>99703</xdr:rowOff>
    </xdr:to>
    <xdr:graphicFrame macro="">
      <xdr:nvGraphicFramePr>
        <xdr:cNvPr id="3" name="Chart 2">
          <a:extLst>
            <a:ext uri="{FF2B5EF4-FFF2-40B4-BE49-F238E27FC236}">
              <a16:creationId xmlns:a16="http://schemas.microsoft.com/office/drawing/2014/main" id="{5227AA4F-1B68-40DF-9FEA-84EC48147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523748</xdr:colOff>
      <xdr:row>135</xdr:row>
      <xdr:rowOff>68530</xdr:rowOff>
    </xdr:from>
    <xdr:to>
      <xdr:col>3</xdr:col>
      <xdr:colOff>1258454</xdr:colOff>
      <xdr:row>161</xdr:row>
      <xdr:rowOff>4123</xdr:rowOff>
    </xdr:to>
    <xdr:graphicFrame macro="">
      <xdr:nvGraphicFramePr>
        <xdr:cNvPr id="4" name="Chart 3">
          <a:extLst>
            <a:ext uri="{FF2B5EF4-FFF2-40B4-BE49-F238E27FC236}">
              <a16:creationId xmlns:a16="http://schemas.microsoft.com/office/drawing/2014/main" id="{751C9467-BC72-4D89-9E4C-CDFB3857F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230910</xdr:colOff>
      <xdr:row>132</xdr:row>
      <xdr:rowOff>61109</xdr:rowOff>
    </xdr:from>
    <xdr:to>
      <xdr:col>35</xdr:col>
      <xdr:colOff>230910</xdr:colOff>
      <xdr:row>157</xdr:row>
      <xdr:rowOff>178254</xdr:rowOff>
    </xdr:to>
    <xdr:graphicFrame macro="">
      <xdr:nvGraphicFramePr>
        <xdr:cNvPr id="5" name="Chart 4">
          <a:extLst>
            <a:ext uri="{FF2B5EF4-FFF2-40B4-BE49-F238E27FC236}">
              <a16:creationId xmlns:a16="http://schemas.microsoft.com/office/drawing/2014/main" id="{44B21095-07C6-44BD-8338-C770367D0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600363</xdr:colOff>
      <xdr:row>132</xdr:row>
      <xdr:rowOff>16040</xdr:rowOff>
    </xdr:from>
    <xdr:to>
      <xdr:col>35</xdr:col>
      <xdr:colOff>1212272</xdr:colOff>
      <xdr:row>157</xdr:row>
      <xdr:rowOff>145885</xdr:rowOff>
    </xdr:to>
    <xdr:graphicFrame macro="">
      <xdr:nvGraphicFramePr>
        <xdr:cNvPr id="6" name="Chart 5">
          <a:extLst>
            <a:ext uri="{FF2B5EF4-FFF2-40B4-BE49-F238E27FC236}">
              <a16:creationId xmlns:a16="http://schemas.microsoft.com/office/drawing/2014/main" id="{54E31061-712C-4B70-BC87-4C4865FA1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73</xdr:col>
      <xdr:colOff>206838</xdr:colOff>
      <xdr:row>10</xdr:row>
      <xdr:rowOff>108858</xdr:rowOff>
    </xdr:from>
    <xdr:to>
      <xdr:col>80</xdr:col>
      <xdr:colOff>511638</xdr:colOff>
      <xdr:row>31</xdr:row>
      <xdr:rowOff>76201</xdr:rowOff>
    </xdr:to>
    <xdr:graphicFrame macro="">
      <xdr:nvGraphicFramePr>
        <xdr:cNvPr id="67" name="Chart 8">
          <a:extLst>
            <a:ext uri="{FF2B5EF4-FFF2-40B4-BE49-F238E27FC236}">
              <a16:creationId xmlns:a16="http://schemas.microsoft.com/office/drawing/2014/main" id="{5B12B90C-B853-405D-8621-A73DCF992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43553</xdr:colOff>
      <xdr:row>11</xdr:row>
      <xdr:rowOff>21771</xdr:rowOff>
    </xdr:from>
    <xdr:to>
      <xdr:col>56</xdr:col>
      <xdr:colOff>348353</xdr:colOff>
      <xdr:row>31</xdr:row>
      <xdr:rowOff>174171</xdr:rowOff>
    </xdr:to>
    <xdr:graphicFrame macro="">
      <xdr:nvGraphicFramePr>
        <xdr:cNvPr id="35" name="Chart 9">
          <a:extLst>
            <a:ext uri="{FF2B5EF4-FFF2-40B4-BE49-F238E27FC236}">
              <a16:creationId xmlns:a16="http://schemas.microsoft.com/office/drawing/2014/main" id="{677E1165-F4CE-43E7-8593-7092AA0BC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57</xdr:col>
      <xdr:colOff>10</xdr:colOff>
      <xdr:row>10</xdr:row>
      <xdr:rowOff>163285</xdr:rowOff>
    </xdr:from>
    <xdr:to>
      <xdr:col>64</xdr:col>
      <xdr:colOff>304810</xdr:colOff>
      <xdr:row>31</xdr:row>
      <xdr:rowOff>130628</xdr:rowOff>
    </xdr:to>
    <xdr:graphicFrame macro="">
      <xdr:nvGraphicFramePr>
        <xdr:cNvPr id="55" name="Chart 10">
          <a:extLst>
            <a:ext uri="{FF2B5EF4-FFF2-40B4-BE49-F238E27FC236}">
              <a16:creationId xmlns:a16="http://schemas.microsoft.com/office/drawing/2014/main" id="{F8AE1E52-C7EF-4A42-A67F-C6F6C6D64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533410</xdr:colOff>
      <xdr:row>10</xdr:row>
      <xdr:rowOff>119742</xdr:rowOff>
    </xdr:from>
    <xdr:to>
      <xdr:col>72</xdr:col>
      <xdr:colOff>228610</xdr:colOff>
      <xdr:row>31</xdr:row>
      <xdr:rowOff>87085</xdr:rowOff>
    </xdr:to>
    <xdr:graphicFrame macro="">
      <xdr:nvGraphicFramePr>
        <xdr:cNvPr id="66" name="Chart 11">
          <a:extLst>
            <a:ext uri="{FF2B5EF4-FFF2-40B4-BE49-F238E27FC236}">
              <a16:creationId xmlns:a16="http://schemas.microsoft.com/office/drawing/2014/main" id="{05534BEB-C8A7-4244-AD1C-E8C97555C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36</xdr:col>
      <xdr:colOff>477931</xdr:colOff>
      <xdr:row>0</xdr:row>
      <xdr:rowOff>169769</xdr:rowOff>
    </xdr:from>
    <xdr:to>
      <xdr:col>45</xdr:col>
      <xdr:colOff>286450</xdr:colOff>
      <xdr:row>20</xdr:row>
      <xdr:rowOff>9091</xdr:rowOff>
    </xdr:to>
    <xdr:pic>
      <xdr:nvPicPr>
        <xdr:cNvPr id="2" name="Picture 1">
          <a:extLst>
            <a:ext uri="{FF2B5EF4-FFF2-40B4-BE49-F238E27FC236}">
              <a16:creationId xmlns:a16="http://schemas.microsoft.com/office/drawing/2014/main" id="{FCEB6A1F-03D0-423F-B644-3764BDDD2890}"/>
            </a:ext>
          </a:extLst>
        </xdr:cNvPr>
        <xdr:cNvPicPr>
          <a:picLocks noChangeAspect="1"/>
        </xdr:cNvPicPr>
      </xdr:nvPicPr>
      <xdr:blipFill>
        <a:blip xmlns:r="http://schemas.openxmlformats.org/officeDocument/2006/relationships" r:embed="rId1"/>
        <a:stretch>
          <a:fillRect/>
        </a:stretch>
      </xdr:blipFill>
      <xdr:spPr>
        <a:xfrm>
          <a:off x="7862607" y="169769"/>
          <a:ext cx="5254578" cy="3649322"/>
        </a:xfrm>
        <a:prstGeom prst="rect">
          <a:avLst/>
        </a:prstGeom>
      </xdr:spPr>
    </xdr:pic>
    <xdr:clientData/>
  </xdr:twoCellAnchor>
  <xdr:twoCellAnchor editAs="oneCell">
    <xdr:from>
      <xdr:col>43</xdr:col>
      <xdr:colOff>584200</xdr:colOff>
      <xdr:row>2</xdr:row>
      <xdr:rowOff>88302</xdr:rowOff>
    </xdr:from>
    <xdr:to>
      <xdr:col>54</xdr:col>
      <xdr:colOff>179808</xdr:colOff>
      <xdr:row>27</xdr:row>
      <xdr:rowOff>37227</xdr:rowOff>
    </xdr:to>
    <xdr:pic>
      <xdr:nvPicPr>
        <xdr:cNvPr id="3" name="Picture 2">
          <a:extLst>
            <a:ext uri="{FF2B5EF4-FFF2-40B4-BE49-F238E27FC236}">
              <a16:creationId xmlns:a16="http://schemas.microsoft.com/office/drawing/2014/main" id="{5A28F405-1BFF-4131-AD67-C493795FC180}"/>
            </a:ext>
          </a:extLst>
        </xdr:cNvPr>
        <xdr:cNvPicPr>
          <a:picLocks noChangeAspect="1"/>
        </xdr:cNvPicPr>
      </xdr:nvPicPr>
      <xdr:blipFill>
        <a:blip xmlns:r="http://schemas.openxmlformats.org/officeDocument/2006/relationships" r:embed="rId2"/>
        <a:stretch>
          <a:fillRect/>
        </a:stretch>
      </xdr:blipFill>
      <xdr:spPr>
        <a:xfrm>
          <a:off x="11417300" y="469302"/>
          <a:ext cx="6301209" cy="4711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700434</xdr:colOff>
      <xdr:row>33</xdr:row>
      <xdr:rowOff>0</xdr:rowOff>
    </xdr:from>
    <xdr:to>
      <xdr:col>21</xdr:col>
      <xdr:colOff>180340</xdr:colOff>
      <xdr:row>45</xdr:row>
      <xdr:rowOff>152400</xdr:rowOff>
    </xdr:to>
    <xdr:pic>
      <xdr:nvPicPr>
        <xdr:cNvPr id="4" name="Picture 3">
          <a:extLst>
            <a:ext uri="{FF2B5EF4-FFF2-40B4-BE49-F238E27FC236}">
              <a16:creationId xmlns:a16="http://schemas.microsoft.com/office/drawing/2014/main" id="{C4C3F359-AED2-484F-9E7C-442D0E79E5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1934" y="5852160"/>
          <a:ext cx="3140046" cy="234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609600</xdr:colOff>
      <xdr:row>48</xdr:row>
      <xdr:rowOff>138422</xdr:rowOff>
    </xdr:from>
    <xdr:to>
      <xdr:col>44</xdr:col>
      <xdr:colOff>201930</xdr:colOff>
      <xdr:row>65</xdr:row>
      <xdr:rowOff>22860</xdr:rowOff>
    </xdr:to>
    <xdr:pic>
      <xdr:nvPicPr>
        <xdr:cNvPr id="5" name="Picture 4">
          <a:extLst>
            <a:ext uri="{FF2B5EF4-FFF2-40B4-BE49-F238E27FC236}">
              <a16:creationId xmlns:a16="http://schemas.microsoft.com/office/drawing/2014/main" id="{0ED7F1B1-4389-4E46-8C08-0D857B89F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11100" y="8733782"/>
          <a:ext cx="6309360" cy="2993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313978</xdr:colOff>
      <xdr:row>33</xdr:row>
      <xdr:rowOff>154346</xdr:rowOff>
    </xdr:from>
    <xdr:to>
      <xdr:col>33</xdr:col>
      <xdr:colOff>403630</xdr:colOff>
      <xdr:row>51</xdr:row>
      <xdr:rowOff>1434</xdr:rowOff>
    </xdr:to>
    <xdr:pic>
      <xdr:nvPicPr>
        <xdr:cNvPr id="2" name="Picture 1">
          <a:extLst>
            <a:ext uri="{FF2B5EF4-FFF2-40B4-BE49-F238E27FC236}">
              <a16:creationId xmlns:a16="http://schemas.microsoft.com/office/drawing/2014/main" id="{C0300903-E68D-47F4-ACA9-56F4263874CC}"/>
            </a:ext>
          </a:extLst>
        </xdr:cNvPr>
        <xdr:cNvPicPr>
          <a:picLocks noChangeAspect="1"/>
        </xdr:cNvPicPr>
      </xdr:nvPicPr>
      <xdr:blipFill>
        <a:blip xmlns:r="http://schemas.openxmlformats.org/officeDocument/2006/relationships" r:embed="rId1"/>
        <a:stretch>
          <a:fillRect/>
        </a:stretch>
      </xdr:blipFill>
      <xdr:spPr>
        <a:xfrm>
          <a:off x="21367403" y="6136046"/>
          <a:ext cx="6795252" cy="3161788"/>
        </a:xfrm>
        <a:prstGeom prst="rect">
          <a:avLst/>
        </a:prstGeom>
      </xdr:spPr>
    </xdr:pic>
    <xdr:clientData/>
  </xdr:twoCellAnchor>
  <xdr:twoCellAnchor editAs="oneCell">
    <xdr:from>
      <xdr:col>14</xdr:col>
      <xdr:colOff>287300</xdr:colOff>
      <xdr:row>28</xdr:row>
      <xdr:rowOff>119048</xdr:rowOff>
    </xdr:from>
    <xdr:to>
      <xdr:col>21</xdr:col>
      <xdr:colOff>332836</xdr:colOff>
      <xdr:row>57</xdr:row>
      <xdr:rowOff>148247</xdr:rowOff>
    </xdr:to>
    <xdr:pic>
      <xdr:nvPicPr>
        <xdr:cNvPr id="3" name="Picture 2">
          <a:extLst>
            <a:ext uri="{FF2B5EF4-FFF2-40B4-BE49-F238E27FC236}">
              <a16:creationId xmlns:a16="http://schemas.microsoft.com/office/drawing/2014/main" id="{19B8DFE8-37B8-4D09-843C-A9B9297D7E90}"/>
            </a:ext>
          </a:extLst>
        </xdr:cNvPr>
        <xdr:cNvPicPr>
          <a:picLocks noChangeAspect="1"/>
        </xdr:cNvPicPr>
      </xdr:nvPicPr>
      <xdr:blipFill>
        <a:blip xmlns:r="http://schemas.openxmlformats.org/officeDocument/2006/relationships" r:embed="rId2"/>
        <a:stretch>
          <a:fillRect/>
        </a:stretch>
      </xdr:blipFill>
      <xdr:spPr>
        <a:xfrm>
          <a:off x="13508000" y="5208573"/>
          <a:ext cx="4312736" cy="53568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1107292</xdr:colOff>
      <xdr:row>5</xdr:row>
      <xdr:rowOff>44450</xdr:rowOff>
    </xdr:from>
    <xdr:to>
      <xdr:col>8</xdr:col>
      <xdr:colOff>695325</xdr:colOff>
      <xdr:row>26</xdr:row>
      <xdr:rowOff>6350</xdr:rowOff>
    </xdr:to>
    <xdr:pic>
      <xdr:nvPicPr>
        <xdr:cNvPr id="8" name="Picture 1">
          <a:extLst>
            <a:ext uri="{FF2B5EF4-FFF2-40B4-BE49-F238E27FC236}">
              <a16:creationId xmlns:a16="http://schemas.microsoft.com/office/drawing/2014/main" id="{B0E7B293-D2EC-4D01-BF30-97D94F4578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35092" y="965200"/>
          <a:ext cx="4071133"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203005</xdr:colOff>
      <xdr:row>0</xdr:row>
      <xdr:rowOff>0</xdr:rowOff>
    </xdr:from>
    <xdr:to>
      <xdr:col>33</xdr:col>
      <xdr:colOff>190807</xdr:colOff>
      <xdr:row>17</xdr:row>
      <xdr:rowOff>45720</xdr:rowOff>
    </xdr:to>
    <xdr:pic>
      <xdr:nvPicPr>
        <xdr:cNvPr id="3" name="Picture 2">
          <a:extLst>
            <a:ext uri="{FF2B5EF4-FFF2-40B4-BE49-F238E27FC236}">
              <a16:creationId xmlns:a16="http://schemas.microsoft.com/office/drawing/2014/main" id="{4281D3D0-9024-4A92-805C-5BABD8B093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551185" y="0"/>
          <a:ext cx="4255002" cy="3154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246964</xdr:colOff>
      <xdr:row>5</xdr:row>
      <xdr:rowOff>6350</xdr:rowOff>
    </xdr:from>
    <xdr:to>
      <xdr:col>11</xdr:col>
      <xdr:colOff>9526</xdr:colOff>
      <xdr:row>14</xdr:row>
      <xdr:rowOff>44450</xdr:rowOff>
    </xdr:to>
    <xdr:pic>
      <xdr:nvPicPr>
        <xdr:cNvPr id="7" name="Picture 3" descr="Benzene and methylbenzenes">
          <a:extLst>
            <a:ext uri="{FF2B5EF4-FFF2-40B4-BE49-F238E27FC236}">
              <a16:creationId xmlns:a16="http://schemas.microsoft.com/office/drawing/2014/main" id="{4CB23C9F-CBE8-4168-900A-23CF98D16A15}"/>
            </a:ext>
            <a:ext uri="{147F2762-F138-4A5C-976F-8EAC2B608ADB}">
              <a16:predDERef xmlns:a16="http://schemas.microsoft.com/office/drawing/2014/main" pred="{4281D3D0-9024-4A92-805C-5BABD8B093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048439" y="911225"/>
          <a:ext cx="1826312"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601673</xdr:colOff>
      <xdr:row>2</xdr:row>
      <xdr:rowOff>83820</xdr:rowOff>
    </xdr:from>
    <xdr:to>
      <xdr:col>35</xdr:col>
      <xdr:colOff>350520</xdr:colOff>
      <xdr:row>28</xdr:row>
      <xdr:rowOff>114300</xdr:rowOff>
    </xdr:to>
    <xdr:pic>
      <xdr:nvPicPr>
        <xdr:cNvPr id="2" name="Picture 2">
          <a:extLst>
            <a:ext uri="{FF2B5EF4-FFF2-40B4-BE49-F238E27FC236}">
              <a16:creationId xmlns:a16="http://schemas.microsoft.com/office/drawing/2014/main" id="{81A68F39-13E5-4E32-A4BD-F6AA8FE07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814473" y="449580"/>
          <a:ext cx="6454447" cy="478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1809750</xdr:colOff>
      <xdr:row>1</xdr:row>
      <xdr:rowOff>25401</xdr:rowOff>
    </xdr:from>
    <xdr:to>
      <xdr:col>9</xdr:col>
      <xdr:colOff>476250</xdr:colOff>
      <xdr:row>12</xdr:row>
      <xdr:rowOff>66676</xdr:rowOff>
    </xdr:to>
    <xdr:pic>
      <xdr:nvPicPr>
        <xdr:cNvPr id="6" name="Picture 5" descr="Ethylene (ET) Global Demand by Application">
          <a:extLst>
            <a:ext uri="{FF2B5EF4-FFF2-40B4-BE49-F238E27FC236}">
              <a16:creationId xmlns:a16="http://schemas.microsoft.com/office/drawing/2014/main" id="{1639F8D8-E790-446A-95AF-D094B9B5AD10}"/>
            </a:ext>
            <a:ext uri="{147F2762-F138-4A5C-976F-8EAC2B608ADB}">
              <a16:predDERef xmlns:a16="http://schemas.microsoft.com/office/drawing/2014/main" pred="{81A68F39-13E5-4E32-A4BD-F6AA8FE0729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29650" y="206376"/>
          <a:ext cx="3981450" cy="2032000"/>
        </a:xfrm>
        <a:prstGeom prst="rect">
          <a:avLst/>
        </a:prstGeom>
        <a:noFill/>
        <a:ln>
          <a:noFill/>
        </a:ln>
      </xdr:spPr>
    </xdr:pic>
    <xdr:clientData/>
  </xdr:twoCellAnchor>
  <xdr:twoCellAnchor editAs="oneCell">
    <xdr:from>
      <xdr:col>6</xdr:col>
      <xdr:colOff>341971</xdr:colOff>
      <xdr:row>0</xdr:row>
      <xdr:rowOff>124943</xdr:rowOff>
    </xdr:from>
    <xdr:to>
      <xdr:col>13</xdr:col>
      <xdr:colOff>19050</xdr:colOff>
      <xdr:row>14</xdr:row>
      <xdr:rowOff>87946</xdr:rowOff>
    </xdr:to>
    <xdr:pic>
      <xdr:nvPicPr>
        <xdr:cNvPr id="7" name="Picture 6">
          <a:extLst>
            <a:ext uri="{FF2B5EF4-FFF2-40B4-BE49-F238E27FC236}">
              <a16:creationId xmlns:a16="http://schemas.microsoft.com/office/drawing/2014/main" id="{DF24471C-F58E-4A8D-B18C-7D2A5BA96F1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48021" y="124943"/>
          <a:ext cx="3944279" cy="24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155352</xdr:colOff>
      <xdr:row>13</xdr:row>
      <xdr:rowOff>91439</xdr:rowOff>
    </xdr:from>
    <xdr:to>
      <xdr:col>7</xdr:col>
      <xdr:colOff>389889</xdr:colOff>
      <xdr:row>21</xdr:row>
      <xdr:rowOff>47204</xdr:rowOff>
    </xdr:to>
    <xdr:pic>
      <xdr:nvPicPr>
        <xdr:cNvPr id="8" name="Picture 7">
          <a:extLst>
            <a:ext uri="{FF2B5EF4-FFF2-40B4-BE49-F238E27FC236}">
              <a16:creationId xmlns:a16="http://schemas.microsoft.com/office/drawing/2014/main" id="{7F7B9DD7-18A5-426D-886D-58D319B9DF2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680352" y="2468879"/>
          <a:ext cx="1460087" cy="1425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773206</xdr:colOff>
      <xdr:row>67</xdr:row>
      <xdr:rowOff>100852</xdr:rowOff>
    </xdr:from>
    <xdr:to>
      <xdr:col>10</xdr:col>
      <xdr:colOff>726899</xdr:colOff>
      <xdr:row>91</xdr:row>
      <xdr:rowOff>84654</xdr:rowOff>
    </xdr:to>
    <xdr:pic>
      <xdr:nvPicPr>
        <xdr:cNvPr id="2" name="Picture 1">
          <a:extLst>
            <a:ext uri="{FF2B5EF4-FFF2-40B4-BE49-F238E27FC236}">
              <a16:creationId xmlns:a16="http://schemas.microsoft.com/office/drawing/2014/main" id="{41054459-1D40-4E2A-9D38-C9508CE10AF0}"/>
            </a:ext>
          </a:extLst>
        </xdr:cNvPr>
        <xdr:cNvPicPr>
          <a:picLocks noChangeAspect="1"/>
        </xdr:cNvPicPr>
      </xdr:nvPicPr>
      <xdr:blipFill>
        <a:blip xmlns:r="http://schemas.openxmlformats.org/officeDocument/2006/relationships" r:embed="rId1"/>
        <a:stretch>
          <a:fillRect/>
        </a:stretch>
      </xdr:blipFill>
      <xdr:spPr>
        <a:xfrm>
          <a:off x="6094506" y="12257927"/>
          <a:ext cx="6773593" cy="44034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561975</xdr:colOff>
      <xdr:row>34</xdr:row>
      <xdr:rowOff>73025</xdr:rowOff>
    </xdr:from>
    <xdr:to>
      <xdr:col>4</xdr:col>
      <xdr:colOff>596900</xdr:colOff>
      <xdr:row>40</xdr:row>
      <xdr:rowOff>73025</xdr:rowOff>
    </xdr:to>
    <xdr:pic>
      <xdr:nvPicPr>
        <xdr:cNvPr id="2" name="Picture 1">
          <a:extLst>
            <a:ext uri="{FF2B5EF4-FFF2-40B4-BE49-F238E27FC236}">
              <a16:creationId xmlns:a16="http://schemas.microsoft.com/office/drawing/2014/main" id="{8CFB2A94-4BEF-4533-AD58-0D665C042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9350" y="6502400"/>
          <a:ext cx="142875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xdr:row>
      <xdr:rowOff>0</xdr:rowOff>
    </xdr:from>
    <xdr:to>
      <xdr:col>5</xdr:col>
      <xdr:colOff>304800</xdr:colOff>
      <xdr:row>38</xdr:row>
      <xdr:rowOff>123825</xdr:rowOff>
    </xdr:to>
    <xdr:sp macro="" textlink="">
      <xdr:nvSpPr>
        <xdr:cNvPr id="3" name="AutoShape 36" descr="{\displaystyle {\ce {2 C2H4 + 2 CH3CO2H + O2 -&gt; 2 CH3CO2CHCH2 + 2 H2O}}}">
          <a:extLst>
            <a:ext uri="{FF2B5EF4-FFF2-40B4-BE49-F238E27FC236}">
              <a16:creationId xmlns:a16="http://schemas.microsoft.com/office/drawing/2014/main" id="{08D62BE7-950E-4090-8E98-F3BBC71E6833}"/>
            </a:ext>
          </a:extLst>
        </xdr:cNvPr>
        <xdr:cNvSpPr>
          <a:spLocks noChangeAspect="1" noChangeArrowheads="1"/>
        </xdr:cNvSpPr>
      </xdr:nvSpPr>
      <xdr:spPr bwMode="auto">
        <a:xfrm>
          <a:off x="6781800" y="697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27</xdr:col>
      <xdr:colOff>467473</xdr:colOff>
      <xdr:row>92</xdr:row>
      <xdr:rowOff>30444</xdr:rowOff>
    </xdr:from>
    <xdr:to>
      <xdr:col>29</xdr:col>
      <xdr:colOff>190953</xdr:colOff>
      <xdr:row>94</xdr:row>
      <xdr:rowOff>163094</xdr:rowOff>
    </xdr:to>
    <xdr:pic>
      <xdr:nvPicPr>
        <xdr:cNvPr id="2" name="Picture 1">
          <a:extLst>
            <a:ext uri="{FF2B5EF4-FFF2-40B4-BE49-F238E27FC236}">
              <a16:creationId xmlns:a16="http://schemas.microsoft.com/office/drawing/2014/main" id="{2882A602-69E9-405E-B5A1-547C2FA4AB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991548" y="8209244"/>
          <a:ext cx="2155983" cy="506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436064</xdr:colOff>
      <xdr:row>91</xdr:row>
      <xdr:rowOff>85273</xdr:rowOff>
    </xdr:from>
    <xdr:to>
      <xdr:col>38</xdr:col>
      <xdr:colOff>247649</xdr:colOff>
      <xdr:row>93</xdr:row>
      <xdr:rowOff>181429</xdr:rowOff>
    </xdr:to>
    <xdr:pic>
      <xdr:nvPicPr>
        <xdr:cNvPr id="3" name="Picture 2">
          <a:extLst>
            <a:ext uri="{FF2B5EF4-FFF2-40B4-BE49-F238E27FC236}">
              <a16:creationId xmlns:a16="http://schemas.microsoft.com/office/drawing/2014/main" id="{B337A43E-2611-4D57-BDBB-3498DCEE09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890493" y="17865273"/>
          <a:ext cx="4066085" cy="540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530677</xdr:colOff>
      <xdr:row>95</xdr:row>
      <xdr:rowOff>6252</xdr:rowOff>
    </xdr:from>
    <xdr:to>
      <xdr:col>32</xdr:col>
      <xdr:colOff>334737</xdr:colOff>
      <xdr:row>97</xdr:row>
      <xdr:rowOff>86052</xdr:rowOff>
    </xdr:to>
    <xdr:pic>
      <xdr:nvPicPr>
        <xdr:cNvPr id="4" name="Picture 3">
          <a:extLst>
            <a:ext uri="{FF2B5EF4-FFF2-40B4-BE49-F238E27FC236}">
              <a16:creationId xmlns:a16="http://schemas.microsoft.com/office/drawing/2014/main" id="{C6FAD244-D57C-4979-A1D4-D6B453BB6C9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057927" y="8753377"/>
          <a:ext cx="4062188" cy="460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201706</xdr:colOff>
      <xdr:row>98</xdr:row>
      <xdr:rowOff>116541</xdr:rowOff>
    </xdr:from>
    <xdr:to>
      <xdr:col>29</xdr:col>
      <xdr:colOff>428173</xdr:colOff>
      <xdr:row>100</xdr:row>
      <xdr:rowOff>133668</xdr:rowOff>
    </xdr:to>
    <xdr:pic>
      <xdr:nvPicPr>
        <xdr:cNvPr id="5" name="Picture 4">
          <a:extLst>
            <a:ext uri="{FF2B5EF4-FFF2-40B4-BE49-F238E27FC236}">
              <a16:creationId xmlns:a16="http://schemas.microsoft.com/office/drawing/2014/main" id="{AB95DCE4-71E4-4BEE-9850-D5C878122E3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335381" y="9403416"/>
          <a:ext cx="2055719" cy="385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187592</xdr:colOff>
      <xdr:row>136</xdr:row>
      <xdr:rowOff>121962</xdr:rowOff>
    </xdr:from>
    <xdr:to>
      <xdr:col>32</xdr:col>
      <xdr:colOff>476250</xdr:colOff>
      <xdr:row>140</xdr:row>
      <xdr:rowOff>85580</xdr:rowOff>
    </xdr:to>
    <xdr:pic>
      <xdr:nvPicPr>
        <xdr:cNvPr id="6" name="Picture 5">
          <a:extLst>
            <a:ext uri="{FF2B5EF4-FFF2-40B4-BE49-F238E27FC236}">
              <a16:creationId xmlns:a16="http://schemas.microsoft.com/office/drawing/2014/main" id="{7634C45A-DB42-40F9-AA69-1091D012236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476342" y="25608141"/>
          <a:ext cx="1513302" cy="677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578678</xdr:colOff>
      <xdr:row>136</xdr:row>
      <xdr:rowOff>15204</xdr:rowOff>
    </xdr:from>
    <xdr:to>
      <xdr:col>28</xdr:col>
      <xdr:colOff>752079</xdr:colOff>
      <xdr:row>140</xdr:row>
      <xdr:rowOff>19956</xdr:rowOff>
    </xdr:to>
    <xdr:pic>
      <xdr:nvPicPr>
        <xdr:cNvPr id="7" name="Picture 6">
          <a:extLst>
            <a:ext uri="{FF2B5EF4-FFF2-40B4-BE49-F238E27FC236}">
              <a16:creationId xmlns:a16="http://schemas.microsoft.com/office/drawing/2014/main" id="{3AF1090A-A201-4EBF-ADB0-3D7BBD8082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418142" y="25501383"/>
          <a:ext cx="1408930" cy="709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0</xdr:colOff>
      <xdr:row>109</xdr:row>
      <xdr:rowOff>1</xdr:rowOff>
    </xdr:from>
    <xdr:to>
      <xdr:col>29</xdr:col>
      <xdr:colOff>274887</xdr:colOff>
      <xdr:row>111</xdr:row>
      <xdr:rowOff>170412</xdr:rowOff>
    </xdr:to>
    <xdr:pic>
      <xdr:nvPicPr>
        <xdr:cNvPr id="8" name="Picture 7">
          <a:extLst>
            <a:ext uri="{FF2B5EF4-FFF2-40B4-BE49-F238E27FC236}">
              <a16:creationId xmlns:a16="http://schemas.microsoft.com/office/drawing/2014/main" id="{886752CA-38DB-4E50-8CAB-5E1A9AAE61A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8136850" y="11325226"/>
          <a:ext cx="2094614" cy="550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563470</xdr:colOff>
      <xdr:row>108</xdr:row>
      <xdr:rowOff>114281</xdr:rowOff>
    </xdr:from>
    <xdr:to>
      <xdr:col>33</xdr:col>
      <xdr:colOff>448846</xdr:colOff>
      <xdr:row>112</xdr:row>
      <xdr:rowOff>39565</xdr:rowOff>
    </xdr:to>
    <xdr:pic>
      <xdr:nvPicPr>
        <xdr:cNvPr id="9" name="Picture 8">
          <a:extLst>
            <a:ext uri="{FF2B5EF4-FFF2-40B4-BE49-F238E27FC236}">
              <a16:creationId xmlns:a16="http://schemas.microsoft.com/office/drawing/2014/main" id="{0B45221F-5CE6-41EA-AAF1-D9182041E29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2364270" y="11258531"/>
          <a:ext cx="2317427" cy="676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2173940</xdr:colOff>
      <xdr:row>108</xdr:row>
      <xdr:rowOff>129258</xdr:rowOff>
    </xdr:from>
    <xdr:to>
      <xdr:col>32</xdr:col>
      <xdr:colOff>47252</xdr:colOff>
      <xdr:row>111</xdr:row>
      <xdr:rowOff>172250</xdr:rowOff>
    </xdr:to>
    <xdr:pic>
      <xdr:nvPicPr>
        <xdr:cNvPr id="10" name="Picture 9">
          <a:extLst>
            <a:ext uri="{FF2B5EF4-FFF2-40B4-BE49-F238E27FC236}">
              <a16:creationId xmlns:a16="http://schemas.microsoft.com/office/drawing/2014/main" id="{73B792CC-6E10-4100-8B95-2575EC301B8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0310790" y="11270333"/>
          <a:ext cx="1876987" cy="616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2270826</xdr:colOff>
      <xdr:row>114</xdr:row>
      <xdr:rowOff>41649</xdr:rowOff>
    </xdr:from>
    <xdr:to>
      <xdr:col>32</xdr:col>
      <xdr:colOff>10086</xdr:colOff>
      <xdr:row>122</xdr:row>
      <xdr:rowOff>66169</xdr:rowOff>
    </xdr:to>
    <xdr:pic>
      <xdr:nvPicPr>
        <xdr:cNvPr id="11" name="Picture 10">
          <a:extLst>
            <a:ext uri="{FF2B5EF4-FFF2-40B4-BE49-F238E27FC236}">
              <a16:creationId xmlns:a16="http://schemas.microsoft.com/office/drawing/2014/main" id="{A721BF71-B1C6-43AE-BEF1-74A3B33C2E3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0410851" y="12274924"/>
          <a:ext cx="1841360" cy="15281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259667</xdr:colOff>
      <xdr:row>124</xdr:row>
      <xdr:rowOff>8032</xdr:rowOff>
    </xdr:from>
    <xdr:to>
      <xdr:col>28</xdr:col>
      <xdr:colOff>1466955</xdr:colOff>
      <xdr:row>126</xdr:row>
      <xdr:rowOff>171263</xdr:rowOff>
    </xdr:to>
    <xdr:pic>
      <xdr:nvPicPr>
        <xdr:cNvPr id="12" name="Picture 11">
          <a:extLst>
            <a:ext uri="{FF2B5EF4-FFF2-40B4-BE49-F238E27FC236}">
              <a16:creationId xmlns:a16="http://schemas.microsoft.com/office/drawing/2014/main" id="{5456A7C1-E109-4680-AD15-3CFED06A5BA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7783742" y="14070107"/>
          <a:ext cx="1817341" cy="534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27</xdr:col>
      <xdr:colOff>530677</xdr:colOff>
      <xdr:row>109</xdr:row>
      <xdr:rowOff>6252</xdr:rowOff>
    </xdr:from>
    <xdr:ext cx="4046313" cy="451729"/>
    <xdr:pic>
      <xdr:nvPicPr>
        <xdr:cNvPr id="13" name="Picture 12">
          <a:extLst>
            <a:ext uri="{FF2B5EF4-FFF2-40B4-BE49-F238E27FC236}">
              <a16:creationId xmlns:a16="http://schemas.microsoft.com/office/drawing/2014/main" id="{20F08072-C20E-4A7C-8110-158D6505B7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553963" y="18620823"/>
          <a:ext cx="4046313" cy="4517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201706</xdr:colOff>
      <xdr:row>112</xdr:row>
      <xdr:rowOff>116541</xdr:rowOff>
    </xdr:from>
    <xdr:ext cx="2043927" cy="379984"/>
    <xdr:pic>
      <xdr:nvPicPr>
        <xdr:cNvPr id="14" name="Picture 13">
          <a:extLst>
            <a:ext uri="{FF2B5EF4-FFF2-40B4-BE49-F238E27FC236}">
              <a16:creationId xmlns:a16="http://schemas.microsoft.com/office/drawing/2014/main" id="{04D2BF18-B679-41C9-8580-CB9A378583A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32777" y="19284470"/>
          <a:ext cx="2043927" cy="3799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530677</xdr:colOff>
      <xdr:row>123</xdr:row>
      <xdr:rowOff>6252</xdr:rowOff>
    </xdr:from>
    <xdr:ext cx="4046313" cy="451729"/>
    <xdr:pic>
      <xdr:nvPicPr>
        <xdr:cNvPr id="15" name="Picture 14">
          <a:extLst>
            <a:ext uri="{FF2B5EF4-FFF2-40B4-BE49-F238E27FC236}">
              <a16:creationId xmlns:a16="http://schemas.microsoft.com/office/drawing/2014/main" id="{1EDC946E-E092-4AF7-AC4D-BFD6071E3F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553963" y="18620823"/>
          <a:ext cx="4046313" cy="4517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201706</xdr:colOff>
      <xdr:row>126</xdr:row>
      <xdr:rowOff>116541</xdr:rowOff>
    </xdr:from>
    <xdr:ext cx="2043927" cy="379984"/>
    <xdr:pic>
      <xdr:nvPicPr>
        <xdr:cNvPr id="16" name="Picture 15">
          <a:extLst>
            <a:ext uri="{FF2B5EF4-FFF2-40B4-BE49-F238E27FC236}">
              <a16:creationId xmlns:a16="http://schemas.microsoft.com/office/drawing/2014/main" id="{96242843-FA52-477B-A873-8FC8A5A2253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32777" y="19284470"/>
          <a:ext cx="2043927" cy="3799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xdr:from>
      <xdr:col>25</xdr:col>
      <xdr:colOff>492760</xdr:colOff>
      <xdr:row>27</xdr:row>
      <xdr:rowOff>78740</xdr:rowOff>
    </xdr:from>
    <xdr:to>
      <xdr:col>33</xdr:col>
      <xdr:colOff>187960</xdr:colOff>
      <xdr:row>43</xdr:row>
      <xdr:rowOff>78740</xdr:rowOff>
    </xdr:to>
    <xdr:graphicFrame macro="">
      <xdr:nvGraphicFramePr>
        <xdr:cNvPr id="2" name="Chart 1">
          <a:extLst>
            <a:ext uri="{FF2B5EF4-FFF2-40B4-BE49-F238E27FC236}">
              <a16:creationId xmlns:a16="http://schemas.microsoft.com/office/drawing/2014/main" id="{30DB8EE8-4573-4ED1-8D1D-A9F1486FE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30480</xdr:colOff>
      <xdr:row>88</xdr:row>
      <xdr:rowOff>137160</xdr:rowOff>
    </xdr:from>
    <xdr:to>
      <xdr:col>19</xdr:col>
      <xdr:colOff>446405</xdr:colOff>
      <xdr:row>104</xdr:row>
      <xdr:rowOff>65405</xdr:rowOff>
    </xdr:to>
    <xdr:pic>
      <xdr:nvPicPr>
        <xdr:cNvPr id="2" name="Picture 1" descr="Global building &amp; construction plastics market">
          <a:extLst>
            <a:ext uri="{FF2B5EF4-FFF2-40B4-BE49-F238E27FC236}">
              <a16:creationId xmlns:a16="http://schemas.microsoft.com/office/drawing/2014/main" id="{60A96542-970E-42CD-82F7-2E22CC753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5920" y="11658600"/>
          <a:ext cx="5715000"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349885</xdr:colOff>
      <xdr:row>19</xdr:row>
      <xdr:rowOff>113030</xdr:rowOff>
    </xdr:from>
    <xdr:to>
      <xdr:col>39</xdr:col>
      <xdr:colOff>408940</xdr:colOff>
      <xdr:row>38</xdr:row>
      <xdr:rowOff>188595</xdr:rowOff>
    </xdr:to>
    <xdr:pic>
      <xdr:nvPicPr>
        <xdr:cNvPr id="4" name="Picture 3">
          <a:extLst>
            <a:ext uri="{FF2B5EF4-FFF2-40B4-BE49-F238E27FC236}">
              <a16:creationId xmlns:a16="http://schemas.microsoft.com/office/drawing/2014/main" id="{37AC20CF-DB7A-4554-9C47-583CB9A4A65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857210" y="3570605"/>
          <a:ext cx="6158230" cy="3669665"/>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65986</xdr:colOff>
      <xdr:row>2</xdr:row>
      <xdr:rowOff>10432</xdr:rowOff>
    </xdr:to>
    <xdr:pic>
      <xdr:nvPicPr>
        <xdr:cNvPr id="5" name="Picture 1">
          <a:extLst>
            <a:ext uri="{FF2B5EF4-FFF2-40B4-BE49-F238E27FC236}">
              <a16:creationId xmlns:a16="http://schemas.microsoft.com/office/drawing/2014/main" id="{2C20687A-4929-4BDE-B4AF-51F0745AC9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35099" y="152968"/>
          <a:ext cx="4559499" cy="2986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999860</xdr:colOff>
      <xdr:row>59</xdr:row>
      <xdr:rowOff>0</xdr:rowOff>
    </xdr:from>
    <xdr:to>
      <xdr:col>45</xdr:col>
      <xdr:colOff>311443</xdr:colOff>
      <xdr:row>101</xdr:row>
      <xdr:rowOff>0</xdr:rowOff>
    </xdr:to>
    <xdr:pic>
      <xdr:nvPicPr>
        <xdr:cNvPr id="10" name="Picture 2">
          <a:extLst>
            <a:ext uri="{FF2B5EF4-FFF2-40B4-BE49-F238E27FC236}">
              <a16:creationId xmlns:a16="http://schemas.microsoft.com/office/drawing/2014/main" id="{EE3559E2-D5FD-4166-A5EB-0613288528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609753" y="10749643"/>
          <a:ext cx="3856369" cy="25078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67</xdr:col>
      <xdr:colOff>0</xdr:colOff>
      <xdr:row>32</xdr:row>
      <xdr:rowOff>0</xdr:rowOff>
    </xdr:from>
    <xdr:to>
      <xdr:col>78</xdr:col>
      <xdr:colOff>144192</xdr:colOff>
      <xdr:row>34</xdr:row>
      <xdr:rowOff>86312</xdr:rowOff>
    </xdr:to>
    <xdr:pic>
      <xdr:nvPicPr>
        <xdr:cNvPr id="7" name="Picture 6">
          <a:extLst>
            <a:ext uri="{FF2B5EF4-FFF2-40B4-BE49-F238E27FC236}">
              <a16:creationId xmlns:a16="http://schemas.microsoft.com/office/drawing/2014/main" id="{6B86F70B-2781-4E07-BF0E-D2040D41284B}"/>
            </a:ext>
          </a:extLst>
        </xdr:cNvPr>
        <xdr:cNvPicPr>
          <a:picLocks noChangeAspect="1"/>
        </xdr:cNvPicPr>
      </xdr:nvPicPr>
      <xdr:blipFill rotWithShape="1">
        <a:blip xmlns:r="http://schemas.openxmlformats.org/officeDocument/2006/relationships" r:embed="rId3"/>
        <a:srcRect l="42242" t="42803" r="31336" b="23338"/>
        <a:stretch/>
      </xdr:blipFill>
      <xdr:spPr>
        <a:xfrm>
          <a:off x="34236212" y="5199529"/>
          <a:ext cx="6843442" cy="3471583"/>
        </a:xfrm>
        <a:prstGeom prst="rect">
          <a:avLst/>
        </a:prstGeom>
      </xdr:spPr>
    </xdr:pic>
    <xdr:clientData/>
  </xdr:twoCellAnchor>
  <xdr:twoCellAnchor editAs="oneCell">
    <xdr:from>
      <xdr:col>67</xdr:col>
      <xdr:colOff>502024</xdr:colOff>
      <xdr:row>55</xdr:row>
      <xdr:rowOff>0</xdr:rowOff>
    </xdr:from>
    <xdr:to>
      <xdr:col>77</xdr:col>
      <xdr:colOff>124200</xdr:colOff>
      <xdr:row>56</xdr:row>
      <xdr:rowOff>18143</xdr:rowOff>
    </xdr:to>
    <xdr:pic>
      <xdr:nvPicPr>
        <xdr:cNvPr id="13" name="Picture 12" descr="Global post-consumer recycled plastics market share">
          <a:extLst>
            <a:ext uri="{FF2B5EF4-FFF2-40B4-BE49-F238E27FC236}">
              <a16:creationId xmlns:a16="http://schemas.microsoft.com/office/drawing/2014/main" id="{5D242DE5-EB10-4718-B985-2984BEEFE14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490400" y="9843246"/>
          <a:ext cx="5715000" cy="2803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65986</xdr:colOff>
      <xdr:row>2</xdr:row>
      <xdr:rowOff>10432</xdr:rowOff>
    </xdr:to>
    <xdr:pic>
      <xdr:nvPicPr>
        <xdr:cNvPr id="6" name="Picture 5">
          <a:extLst>
            <a:ext uri="{FF2B5EF4-FFF2-40B4-BE49-F238E27FC236}">
              <a16:creationId xmlns:a16="http://schemas.microsoft.com/office/drawing/2014/main" id="{F7D2C41F-26B3-440C-B26D-BD4C7C71D7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80817" cy="216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10432</xdr:rowOff>
    </xdr:to>
    <xdr:pic>
      <xdr:nvPicPr>
        <xdr:cNvPr id="2" name="Picture 1">
          <a:extLst>
            <a:ext uri="{FF2B5EF4-FFF2-40B4-BE49-F238E27FC236}">
              <a16:creationId xmlns:a16="http://schemas.microsoft.com/office/drawing/2014/main" id="{31B31864-D3F5-4C3F-9133-7FFA62AEB6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20" y="152968"/>
          <a:ext cx="4583992" cy="219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9072</xdr:rowOff>
    </xdr:to>
    <xdr:pic>
      <xdr:nvPicPr>
        <xdr:cNvPr id="2" name="Picture 1">
          <a:extLst>
            <a:ext uri="{FF2B5EF4-FFF2-40B4-BE49-F238E27FC236}">
              <a16:creationId xmlns:a16="http://schemas.microsoft.com/office/drawing/2014/main" id="{3BFD2549-5A7D-4BB8-A91D-1FE10455A6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35820" y="152968"/>
          <a:ext cx="4571292" cy="221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999860</xdr:colOff>
      <xdr:row>58</xdr:row>
      <xdr:rowOff>0</xdr:rowOff>
    </xdr:from>
    <xdr:to>
      <xdr:col>45</xdr:col>
      <xdr:colOff>311443</xdr:colOff>
      <xdr:row>68</xdr:row>
      <xdr:rowOff>0</xdr:rowOff>
    </xdr:to>
    <xdr:pic>
      <xdr:nvPicPr>
        <xdr:cNvPr id="3" name="Picture 2">
          <a:extLst>
            <a:ext uri="{FF2B5EF4-FFF2-40B4-BE49-F238E27FC236}">
              <a16:creationId xmlns:a16="http://schemas.microsoft.com/office/drawing/2014/main" id="{F409A576-EB3E-4BF6-AE80-E26E54B56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887810" y="10388600"/>
          <a:ext cx="3775633"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67</xdr:col>
      <xdr:colOff>0</xdr:colOff>
      <xdr:row>32</xdr:row>
      <xdr:rowOff>0</xdr:rowOff>
    </xdr:from>
    <xdr:to>
      <xdr:col>78</xdr:col>
      <xdr:colOff>144193</xdr:colOff>
      <xdr:row>34</xdr:row>
      <xdr:rowOff>86311</xdr:rowOff>
    </xdr:to>
    <xdr:pic>
      <xdr:nvPicPr>
        <xdr:cNvPr id="4" name="Picture 3">
          <a:extLst>
            <a:ext uri="{FF2B5EF4-FFF2-40B4-BE49-F238E27FC236}">
              <a16:creationId xmlns:a16="http://schemas.microsoft.com/office/drawing/2014/main" id="{B8D4BB1A-7DA1-4A7E-891C-8591DF793A44}"/>
            </a:ext>
          </a:extLst>
        </xdr:cNvPr>
        <xdr:cNvPicPr>
          <a:picLocks noChangeAspect="1"/>
        </xdr:cNvPicPr>
      </xdr:nvPicPr>
      <xdr:blipFill rotWithShape="1">
        <a:blip xmlns:r="http://schemas.openxmlformats.org/officeDocument/2006/relationships" r:embed="rId3"/>
        <a:srcRect l="42242" t="42803" r="31336" b="23338"/>
        <a:stretch/>
      </xdr:blipFill>
      <xdr:spPr>
        <a:xfrm>
          <a:off x="39382700" y="5384800"/>
          <a:ext cx="6846618" cy="460962"/>
        </a:xfrm>
        <a:prstGeom prst="rect">
          <a:avLst/>
        </a:prstGeom>
      </xdr:spPr>
    </xdr:pic>
    <xdr:clientData/>
  </xdr:twoCellAnchor>
  <xdr:twoCellAnchor editAs="oneCell">
    <xdr:from>
      <xdr:col>67</xdr:col>
      <xdr:colOff>502024</xdr:colOff>
      <xdr:row>55</xdr:row>
      <xdr:rowOff>0</xdr:rowOff>
    </xdr:from>
    <xdr:to>
      <xdr:col>77</xdr:col>
      <xdr:colOff>124201</xdr:colOff>
      <xdr:row>56</xdr:row>
      <xdr:rowOff>18143</xdr:rowOff>
    </xdr:to>
    <xdr:pic>
      <xdr:nvPicPr>
        <xdr:cNvPr id="5" name="Picture 4" descr="Global post-consumer recycled plastics market share">
          <a:extLst>
            <a:ext uri="{FF2B5EF4-FFF2-40B4-BE49-F238E27FC236}">
              <a16:creationId xmlns:a16="http://schemas.microsoft.com/office/drawing/2014/main" id="{5862E913-23A9-4FCF-811C-B326796052D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884724" y="9652000"/>
          <a:ext cx="5718177" cy="202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10432</xdr:rowOff>
    </xdr:to>
    <xdr:pic>
      <xdr:nvPicPr>
        <xdr:cNvPr id="7" name="Picture 6">
          <a:extLst>
            <a:ext uri="{FF2B5EF4-FFF2-40B4-BE49-F238E27FC236}">
              <a16:creationId xmlns:a16="http://schemas.microsoft.com/office/drawing/2014/main" id="{7594EF29-1CE5-4C65-A106-1C58919DCE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10432</xdr:rowOff>
    </xdr:to>
    <xdr:pic>
      <xdr:nvPicPr>
        <xdr:cNvPr id="2" name="Picture 1">
          <a:extLst>
            <a:ext uri="{FF2B5EF4-FFF2-40B4-BE49-F238E27FC236}">
              <a16:creationId xmlns:a16="http://schemas.microsoft.com/office/drawing/2014/main" id="{A748B9D6-E3D8-4532-A272-8D632F8A40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583575</xdr:colOff>
      <xdr:row>79</xdr:row>
      <xdr:rowOff>107330</xdr:rowOff>
    </xdr:to>
    <xdr:pic>
      <xdr:nvPicPr>
        <xdr:cNvPr id="2" name="Picture 1">
          <a:extLst>
            <a:ext uri="{FF2B5EF4-FFF2-40B4-BE49-F238E27FC236}">
              <a16:creationId xmlns:a16="http://schemas.microsoft.com/office/drawing/2014/main" id="{67B50B23-F348-4D39-AE49-FE6361ADF7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0556" y="12782550"/>
          <a:ext cx="3601844" cy="1736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69162</xdr:colOff>
      <xdr:row>2</xdr:row>
      <xdr:rowOff>12247</xdr:rowOff>
    </xdr:to>
    <xdr:pic>
      <xdr:nvPicPr>
        <xdr:cNvPr id="3" name="Picture 2">
          <a:extLst>
            <a:ext uri="{FF2B5EF4-FFF2-40B4-BE49-F238E27FC236}">
              <a16:creationId xmlns:a16="http://schemas.microsoft.com/office/drawing/2014/main" id="{FD23FA74-B33D-4B84-9F8F-6FF9115C5A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56695" y="152968"/>
          <a:ext cx="4583992" cy="221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69162</xdr:colOff>
      <xdr:row>2</xdr:row>
      <xdr:rowOff>10432</xdr:rowOff>
    </xdr:to>
    <xdr:pic>
      <xdr:nvPicPr>
        <xdr:cNvPr id="4" name="Picture 3">
          <a:extLst>
            <a:ext uri="{FF2B5EF4-FFF2-40B4-BE49-F238E27FC236}">
              <a16:creationId xmlns:a16="http://schemas.microsoft.com/office/drawing/2014/main" id="{03ED768A-3CBE-43A3-9D01-626FBD39F0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56695" y="152968"/>
          <a:ext cx="4583992" cy="219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4889152F-B182-45DE-B105-3258637F6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0556" y="9970368"/>
          <a:ext cx="3601842" cy="1771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2F79193F-2C97-450A-9F34-B4B7D4F3BF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4358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CE9BF67E-B674-4BC8-97B8-B5E5AA2781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4358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AB68F060-6AA0-4263-91C5-8DD3FA3E2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6906" y="12966700"/>
          <a:ext cx="3595494" cy="1761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2E14C33C-91FC-4F7C-849B-8D9F28CF62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75F864DB-13CA-4136-8577-0ECE04062B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A2A419A7-352A-4F2C-AE04-7A77C02FE2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6906" y="12966700"/>
          <a:ext cx="3595494" cy="1761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CC681F7C-BF19-494D-8B1F-47B63F7B8DA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7C2D5B44-1A4E-43DC-8538-C3CE7E0A2A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C0B5CBD1-D3E6-41AC-811C-A30B22A3B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61031" y="13227050"/>
          <a:ext cx="3589144" cy="179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3117EDCD-6627-478E-8D3F-38EDAB1D65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3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E1F59A2D-A6D2-4954-A8E9-DFD64A99FE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28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8CAF6206-3001-4FCF-AEF4-984DCB581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61031" y="13227050"/>
          <a:ext cx="3589144" cy="179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F977D49E-C3BD-4F1E-8253-53B8B5E18C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3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B2318F4C-12A4-4450-964E-65EF3BDCCA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28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587375</xdr:colOff>
      <xdr:row>3</xdr:row>
      <xdr:rowOff>57150</xdr:rowOff>
    </xdr:from>
    <xdr:to>
      <xdr:col>15</xdr:col>
      <xdr:colOff>554541</xdr:colOff>
      <xdr:row>20</xdr:row>
      <xdr:rowOff>2003</xdr:rowOff>
    </xdr:to>
    <xdr:pic>
      <xdr:nvPicPr>
        <xdr:cNvPr id="2" name="Picture 2">
          <a:extLst>
            <a:ext uri="{FF2B5EF4-FFF2-40B4-BE49-F238E27FC236}">
              <a16:creationId xmlns:a16="http://schemas.microsoft.com/office/drawing/2014/main" id="{8288DD58-BDB0-4FBD-864A-1B7F64DFE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83050" y="609600"/>
          <a:ext cx="6063166" cy="30214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76200</xdr:colOff>
      <xdr:row>4</xdr:row>
      <xdr:rowOff>19050</xdr:rowOff>
    </xdr:from>
    <xdr:to>
      <xdr:col>23</xdr:col>
      <xdr:colOff>288471</xdr:colOff>
      <xdr:row>19</xdr:row>
      <xdr:rowOff>39915</xdr:rowOff>
    </xdr:to>
    <xdr:pic>
      <xdr:nvPicPr>
        <xdr:cNvPr id="5" name="Picture 4" descr="Global post-consumer recycled plastics market share">
          <a:extLst>
            <a:ext uri="{FF2B5EF4-FFF2-40B4-BE49-F238E27FC236}">
              <a16:creationId xmlns:a16="http://schemas.microsoft.com/office/drawing/2014/main" id="{CDE8E320-F9EA-4C40-B7AD-418BF4B39C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10600" y="762000"/>
          <a:ext cx="5698671" cy="2783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25</xdr:col>
      <xdr:colOff>96943</xdr:colOff>
      <xdr:row>3</xdr:row>
      <xdr:rowOff>88446</xdr:rowOff>
    </xdr:from>
    <xdr:to>
      <xdr:col>33</xdr:col>
      <xdr:colOff>13480</xdr:colOff>
      <xdr:row>35</xdr:row>
      <xdr:rowOff>149869</xdr:rowOff>
    </xdr:to>
    <xdr:pic>
      <xdr:nvPicPr>
        <xdr:cNvPr id="2" name="Picture 1">
          <a:extLst>
            <a:ext uri="{FF2B5EF4-FFF2-40B4-BE49-F238E27FC236}">
              <a16:creationId xmlns:a16="http://schemas.microsoft.com/office/drawing/2014/main" id="{F91B5340-127E-4C26-8F68-94D3432264F2}"/>
            </a:ext>
          </a:extLst>
        </xdr:cNvPr>
        <xdr:cNvPicPr>
          <a:picLocks noChangeAspect="1"/>
        </xdr:cNvPicPr>
      </xdr:nvPicPr>
      <xdr:blipFill>
        <a:blip xmlns:r="http://schemas.openxmlformats.org/officeDocument/2006/relationships" r:embed="rId1"/>
        <a:stretch>
          <a:fillRect/>
        </a:stretch>
      </xdr:blipFill>
      <xdr:spPr>
        <a:xfrm>
          <a:off x="37787368" y="628196"/>
          <a:ext cx="7990561" cy="5954223"/>
        </a:xfrm>
        <a:prstGeom prst="rect">
          <a:avLst/>
        </a:prstGeom>
      </xdr:spPr>
    </xdr:pic>
    <xdr:clientData/>
  </xdr:twoCellAnchor>
  <xdr:twoCellAnchor editAs="oneCell">
    <xdr:from>
      <xdr:col>25</xdr:col>
      <xdr:colOff>299810</xdr:colOff>
      <xdr:row>39</xdr:row>
      <xdr:rowOff>13835</xdr:rowOff>
    </xdr:from>
    <xdr:to>
      <xdr:col>36</xdr:col>
      <xdr:colOff>451768</xdr:colOff>
      <xdr:row>83</xdr:row>
      <xdr:rowOff>56670</xdr:rowOff>
    </xdr:to>
    <xdr:pic>
      <xdr:nvPicPr>
        <xdr:cNvPr id="3" name="Picture 2">
          <a:extLst>
            <a:ext uri="{FF2B5EF4-FFF2-40B4-BE49-F238E27FC236}">
              <a16:creationId xmlns:a16="http://schemas.microsoft.com/office/drawing/2014/main" id="{6FC471BC-B27C-4408-8E33-3F40A3366A78}"/>
            </a:ext>
          </a:extLst>
        </xdr:cNvPr>
        <xdr:cNvPicPr>
          <a:picLocks noChangeAspect="1"/>
        </xdr:cNvPicPr>
      </xdr:nvPicPr>
      <xdr:blipFill>
        <a:blip xmlns:r="http://schemas.openxmlformats.org/officeDocument/2006/relationships" r:embed="rId2"/>
        <a:stretch>
          <a:fillRect/>
        </a:stretch>
      </xdr:blipFill>
      <xdr:spPr>
        <a:xfrm>
          <a:off x="37987060" y="7068685"/>
          <a:ext cx="10448482" cy="81454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jenniferhawkin/Library/CloudStorage/GoogleDrive-j.hawkin@sheffield.ac.uk/Shared%20drives/Royal%20Society%20Chemical%20project_Jenny_Fanran/Journal%20paper/2025%20PetChem%20Circularity/Data%20and%20analysis/Ammonia%20Demand%20Modelling%20v4.xlsx" TargetMode="External"/><Relationship Id="rId2" Type="http://schemas.microsoft.com/office/2019/04/relationships/externalLinkLongPath" Target="/Users/jenniferhawkin/Library/CloudStorage/GoogleDrive-j.hawkin@sheffield.ac.uk/Shared%20drives/Royal%20Society%20Chemical%20project_Jenny_Fanran/Journal%20paper/2025%20PetChem%20Circularity/Data%20and%20analysis/Ammonia%20Demand%20Modelling%20v4.xlsx?07B18F11" TargetMode="External"/><Relationship Id="rId1" Type="http://schemas.openxmlformats.org/officeDocument/2006/relationships/externalLinkPath" Target="file:///07B18F11/Ammonia%20Demand%20Modelling%20v4.xlsx" TargetMode="External"/><Relationship Id="rId4" Type="http://schemas.openxmlformats.org/officeDocument/2006/relationships/externalLinkPath" Target="../../../../Library/CloudStorage/GoogleDrive-j.hawkin@sheffield.ac.uk/Shared%20drives/Royal%20Society%20Chemical%20project_Jenny_Fanran/Journal%20paper/2025%20PetChem%20Circularity/Data%20and%20analysis/Ammonia%20Demand%20Modelling%20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Emission Factor Scope 3"/>
      <sheetName val="Annual Ammonia HD"/>
      <sheetName val="Annual Ammonia LD"/>
      <sheetName val="IFA Fertiliser Consumption"/>
      <sheetName val="IEA"/>
      <sheetName val="Shipping"/>
      <sheetName val="Power"/>
      <sheetName val="Fertiliser"/>
      <sheetName val="Kash's notes"/>
      <sheetName val="Fertilizer per capita"/>
    </sheetNames>
    <sheetDataSet>
      <sheetData sheetId="0"/>
      <sheetData sheetId="1"/>
      <sheetData sheetId="2"/>
      <sheetData sheetId="3">
        <row r="12">
          <cell r="T12">
            <v>43.711230059343329</v>
          </cell>
        </row>
        <row r="14">
          <cell r="L14">
            <v>6.0391189191748421E-2</v>
          </cell>
        </row>
      </sheetData>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Jenny Hawkin" id="{3F356B5B-AE2C-D54B-A759-11CD963F2B7B}" userId="953516135f872878" providerId="Windows Live"/>
  <person displayName="Min Guan" id="{A0EE1085-424D-4793-96CE-2B3CC27F8D15}" userId="S::Min.Guan@systemiq.earth::e1e1ee1a-b686-405a-8b6d-b6b27952a0bc"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ystemiq.sharepoint.com/Projects/UOT0002/Shared%20Documents/8_Demand%20Analysis/Methanol/Methanol%20Demand%20v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systemiq.sharepoint.com/Projects/UOT0002/Shared%20Documents/8_Demand%20Analysis/Methanol/Methanol%20Demand%20v6.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Kremer" refreshedDate="44665.702391550927" createdVersion="7" refreshedVersion="7" minRefreshableVersion="3" recordCount="84" xr:uid="{BF3D9EF9-A1BB-4485-9F6F-D3BDD4F60AE6}">
  <cacheSource type="worksheet">
    <worksheetSource ref="A4:L88" sheet="Sankey Methanol_detailed" r:id="rId2"/>
  </cacheSource>
  <cacheFields count="12">
    <cacheField name="From" numFmtId="0">
      <sharedItems/>
    </cacheField>
    <cacheField name="To" numFmtId="0">
      <sharedItems/>
    </cacheField>
    <cacheField name="Alternative description (if other)" numFmtId="0">
      <sharedItems containsBlank="1"/>
    </cacheField>
    <cacheField name="Classification" numFmtId="0">
      <sharedItems containsBlank="1" count="4">
        <m/>
        <s v="Fuel"/>
        <s v="Minor polymers"/>
        <s v="Major polymers"/>
      </sharedItems>
    </cacheField>
    <cacheField name="Percentage" numFmtId="0">
      <sharedItems containsString="0" containsBlank="1" containsNumber="1" minValue="1.2248167496215287E-4" maxValue="1"/>
    </cacheField>
    <cacheField name="Amount (Mt Methanol)" numFmtId="0">
      <sharedItems containsSemiMixedTypes="0" containsString="0" containsNumber="1" minValue="1.2480788894372841E-2" maxValue="23.787217209972287"/>
    </cacheField>
    <cacheField name="Stochiometry" numFmtId="174">
      <sharedItems containsSemiMixedTypes="0" containsString="0" containsNumber="1" containsInteger="1" minValue="1" maxValue="3"/>
    </cacheField>
    <cacheField name="Mt starting material" numFmtId="174">
      <sharedItems containsSemiMixedTypes="0" containsString="0" containsNumber="1" minValue="1.2480788894372841E-2" maxValue="23.787217209972287"/>
    </cacheField>
    <cacheField name="t starting material / t product" numFmtId="174">
      <sharedItems containsMixedTypes="1" containsNumber="1" minValue="0.93714107365792754" maxValue="6.0608614232209739"/>
    </cacheField>
    <cacheField name="Mt end product" numFmtId="174">
      <sharedItems containsMixedTypes="1" containsNumber="1" minValue="0.42004014480204049" maxValue="27.316333371345049"/>
    </cacheField>
    <cacheField name="Colour" numFmtId="174">
      <sharedItems/>
    </cacheField>
    <cacheField name="Sankey C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Kremer" refreshedDate="44665.702439351851" createdVersion="7" refreshedVersion="7" minRefreshableVersion="3" recordCount="84" xr:uid="{BD76A976-4548-4EF3-85AC-3460D5979673}">
  <cacheSource type="worksheet">
    <worksheetSource ref="A4:J88" sheet="Sankey Methanol_detailed" r:id="rId2"/>
  </cacheSource>
  <cacheFields count="10">
    <cacheField name="From" numFmtId="0">
      <sharedItems/>
    </cacheField>
    <cacheField name="To" numFmtId="0">
      <sharedItems count="61">
        <s v="Ethylene"/>
        <s v="Propylene"/>
        <s v="Formaldehyde"/>
        <s v="Methyl tert-Butyl Ether (MTBE)"/>
        <s v="Acetic Acid"/>
        <s v="Methyl Methacrylate (MMA)"/>
        <s v="Biodiesel"/>
        <s v="Dimethylether (DME)"/>
        <s v="Gasoline Blending &amp; Combustion"/>
        <s v="Fuel Cells"/>
        <s v="Other"/>
        <s v="Fuel blend"/>
        <s v="Solvent"/>
        <s v="Fuel"/>
        <s v="Carbamide-methanal resins (UF)"/>
        <s v="Phenolic Resins (PF)"/>
        <s v="Melamine Resins"/>
        <s v="Polyacetal resins (polyoxymethylene)"/>
        <s v="Methylene diphenyl diisocyanate"/>
        <s v="1,4-butanediol"/>
        <s v="Polyethylene (PE)"/>
        <s v="Ethylene Oxide"/>
        <s v="Ethylene Dichloride"/>
        <s v="Ethylbenzene"/>
        <s v="High-density Polyethylene (HDPE)"/>
        <s v="Low-density Polyethylene (LDPE)"/>
        <s v="Ethylene glycol"/>
        <s v="Ethoxylates"/>
        <s v="Ethanolamines"/>
        <s v="Glycol Ethers"/>
        <s v="Polyethylene Glycol (PEG)"/>
        <s v="Polyurethane (PU)"/>
        <s v="Polyvinylchloride (PVC)"/>
        <s v="Polystyrene (PS)"/>
        <s v="Polypropylene (PP)"/>
        <s v="Propenic Acid"/>
        <s v="Propenonitrile"/>
        <s v="Cumene"/>
        <s v="Propylene oxide"/>
        <s v="Butanol"/>
        <s v="Animal feed additives"/>
        <s v="Food preservative"/>
        <s v="Herbicides"/>
        <s v="Acrylic fibres"/>
        <s v="SAN/ABS"/>
        <s v="Propenamide"/>
        <s v="Phenol + Acetone"/>
        <s v="Propylene glycol"/>
        <s v="Glycol ether"/>
        <s v="Vinyl acetate monomer (VAM)"/>
        <s v="Terephthalic acid"/>
        <s v="Acetate esters"/>
        <s v="Acetic anhydride"/>
        <s v="Methyl Chlorides"/>
        <s v="Methylamines"/>
        <s v="Dimethyl terephthalate (DMT)"/>
        <s v="Methanethiol"/>
        <s v="Polymethyl methacrylate (PMMA)"/>
        <s v="Polyvinyl acetate (PVA)"/>
        <s v="Polyethylene terephthalate (PET)"/>
        <s v="THF"/>
      </sharedItems>
    </cacheField>
    <cacheField name="Alternative description (if other)" numFmtId="0">
      <sharedItems containsBlank="1"/>
    </cacheField>
    <cacheField name="Classification" numFmtId="0">
      <sharedItems containsBlank="1"/>
    </cacheField>
    <cacheField name="Percentage" numFmtId="0">
      <sharedItems containsString="0" containsBlank="1" containsNumber="1" minValue="1.2248167496215287E-4" maxValue="1"/>
    </cacheField>
    <cacheField name="Amount (Mt Methanol)" numFmtId="0">
      <sharedItems containsSemiMixedTypes="0" containsString="0" containsNumber="1" minValue="1.2480788894372841E-2" maxValue="23.787217209972287"/>
    </cacheField>
    <cacheField name="Stochiometry" numFmtId="174">
      <sharedItems containsSemiMixedTypes="0" containsString="0" containsNumber="1" containsInteger="1" minValue="1" maxValue="3"/>
    </cacheField>
    <cacheField name="Mt starting material" numFmtId="174">
      <sharedItems containsSemiMixedTypes="0" containsString="0" containsNumber="1" minValue="1.2480788894372841E-2" maxValue="23.787217209972287"/>
    </cacheField>
    <cacheField name="t starting material / t product" numFmtId="174">
      <sharedItems containsMixedTypes="1" containsNumber="1" minValue="0.93714107365792754" maxValue="6.0608614232209739"/>
    </cacheField>
    <cacheField name="Mt end product" numFmtId="174">
      <sharedItems containsMixedTypes="1" containsNumber="1" minValue="0.42004014480204049" maxValue="27.3163333713450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Methanol"/>
    <s v="Ethylene"/>
    <m/>
    <x v="0"/>
    <n v="0.15257253124401302"/>
    <n v="15.60098611796605"/>
    <n v="2"/>
    <n v="15.60098611796605"/>
    <n v="1.7509363295880149"/>
    <n v="27.316333371345049"/>
    <s v="#A9A9A9"/>
    <s v="Methanol [15.6] Ethylene #A9A9A9"/>
  </r>
  <r>
    <s v="Methanol"/>
    <s v="Propylene"/>
    <m/>
    <x v="0"/>
    <n v="0.15257253124401302"/>
    <n v="15.60098611796605"/>
    <n v="3"/>
    <n v="15.60098611796605"/>
    <e v="#N/A"/>
    <e v="#N/A"/>
    <s v="#A9A9A9"/>
    <s v="Methanol [15.6] Propylene #A9A9A9"/>
  </r>
  <r>
    <s v="Methanol"/>
    <s v="Formaldehyde"/>
    <m/>
    <x v="0"/>
    <n v="0.23263118840911975"/>
    <n v="23.787217209972287"/>
    <n v="1"/>
    <n v="23.787217209972287"/>
    <n v="0.93714107365792754"/>
    <n v="22.291978275487761"/>
    <s v="#A9A9A9"/>
    <s v="Methanol [23.8] Formaldehyde #A9A9A9"/>
  </r>
  <r>
    <s v="Methanol"/>
    <s v="Methyl tert-Butyl Ether (MTBE)"/>
    <m/>
    <x v="0"/>
    <n v="0.1021547725875792"/>
    <n v="10.445623311275693"/>
    <n v="1"/>
    <n v="10.445623311275693"/>
    <e v="#N/A"/>
    <e v="#N/A"/>
    <s v="#A9A9A9"/>
    <s v="Methanol [10.4] Methyl tert-Butyl Ether (MTBE) #A9A9A9"/>
  </r>
  <r>
    <s v="Methanol"/>
    <s v="Acetic Acid"/>
    <m/>
    <x v="0"/>
    <n v="7.0342979835361516E-2"/>
    <n v="7.192774760698633"/>
    <n v="1"/>
    <n v="7.192774760698633"/>
    <n v="1.8742821473158551"/>
    <n v="13.481289323641519"/>
    <s v="#A9A9A9"/>
    <s v="Methanol [7.2] Acetic Acid #A9A9A9"/>
  </r>
  <r>
    <s v="Methanol"/>
    <s v="Methyl Methacrylate (MMA)"/>
    <m/>
    <x v="0"/>
    <n v="1.733781708100687E-2"/>
    <n v="1.772842341876246"/>
    <n v="1"/>
    <n v="1.772842341876246"/>
    <e v="#N/A"/>
    <e v="#N/A"/>
    <s v="#A9A9A9"/>
    <s v="Methanol [1.8] Methyl Methacrylate (MMA) #A9A9A9"/>
  </r>
  <r>
    <s v="Methanol"/>
    <s v="Biodiesel"/>
    <m/>
    <x v="1"/>
    <n v="2.9805719753632672E-2"/>
    <n v="3.0477217381202508"/>
    <n v="1"/>
    <n v="3.0477217381202508"/>
    <e v="#N/A"/>
    <e v="#N/A"/>
    <s v="#CC66FF"/>
    <s v="Methanol [3] Biodiesel #CC66FF"/>
  </r>
  <r>
    <s v="Methanol"/>
    <s v="Dimethylether (DME)"/>
    <m/>
    <x v="0"/>
    <n v="2.8522886298573059E-2"/>
    <n v="2.9165482774660565"/>
    <n v="1"/>
    <n v="2.9165482774660565"/>
    <e v="#N/A"/>
    <e v="#N/A"/>
    <s v="#A9A9A9"/>
    <s v="Methanol [2.9] Dimethylether (DME) #A9A9A9"/>
  </r>
  <r>
    <s v="Methanol"/>
    <s v="Gasoline Blending &amp; Combustion"/>
    <m/>
    <x v="1"/>
    <n v="0.12836023848013775"/>
    <n v="13.125208596196902"/>
    <n v="1"/>
    <n v="13.125208596196902"/>
    <e v="#N/A"/>
    <e v="#N/A"/>
    <s v="#CC66FF"/>
    <s v="Methanol [13.1] Gasoline Blending &amp; Combustion #CC66FF"/>
  </r>
  <r>
    <s v="Methanol"/>
    <s v="Fuel Cells"/>
    <s v="Other"/>
    <x v="1"/>
    <n v="1.2248167496215287E-4"/>
    <n v="1.2524108338569352E-2"/>
    <n v="1"/>
    <n v="1.2524108338569352E-2"/>
    <e v="#N/A"/>
    <e v="#N/A"/>
    <s v="#964B00"/>
    <s v="Methanol [0.01] Other #964B00"/>
  </r>
  <r>
    <s v="Methanol"/>
    <s v="Other"/>
    <m/>
    <x v="0"/>
    <n v="3.7085809133041631E-2"/>
    <n v="3.7921321009795088"/>
    <n v="1"/>
    <n v="3.7921321009795088"/>
    <e v="#N/A"/>
    <e v="#N/A"/>
    <s v="#964B00"/>
    <s v="Methanol [3.8] Other #964B00"/>
  </r>
  <r>
    <s v="Methyl tert-Butyl Ether (MTBE)"/>
    <s v="Fuel blend"/>
    <m/>
    <x v="1"/>
    <n v="0.95"/>
    <n v="9.9233421457119082"/>
    <n v="1"/>
    <n v="9.9233421457119082"/>
    <e v="#N/A"/>
    <e v="#N/A"/>
    <s v="#CC66FF"/>
    <s v="Methyl tert-Butyl Ether (MTBE) [9.9] Fuel blend #CC66FF"/>
  </r>
  <r>
    <s v="Methyl tert-Butyl Ether (MTBE)"/>
    <s v="Solvent"/>
    <s v="Other"/>
    <x v="0"/>
    <n v="0.05"/>
    <n v="0.52228116556378501"/>
    <n v="1"/>
    <n v="0.52228116556378501"/>
    <e v="#N/A"/>
    <e v="#N/A"/>
    <s v="#964B00"/>
    <s v="Methyl tert-Butyl Ether (MTBE) [0.52] Other #964B00"/>
  </r>
  <r>
    <s v="Dimethylether (DME)"/>
    <s v="Fuel"/>
    <m/>
    <x v="1"/>
    <n v="0.85"/>
    <n v="2.4790660358461478"/>
    <n v="1"/>
    <n v="2.4790660358461478"/>
    <e v="#N/A"/>
    <e v="#N/A"/>
    <s v="#CC66FF"/>
    <s v="Dimethylether (DME) [2.5] Fuel #CC66FF"/>
  </r>
  <r>
    <s v="Dimethylether (DME)"/>
    <s v="Other"/>
    <m/>
    <x v="0"/>
    <n v="0.15"/>
    <n v="0.43748224161990845"/>
    <n v="1"/>
    <n v="0.43748224161990845"/>
    <e v="#N/A"/>
    <e v="#N/A"/>
    <s v="#964B00"/>
    <s v="Dimethylether (DME) [0.44] Other #964B00"/>
  </r>
  <r>
    <s v="Formaldehyde"/>
    <s v="Carbamide-methanal resins (UF)"/>
    <m/>
    <x v="2"/>
    <n v="0.38"/>
    <n v="9.0391425397894682"/>
    <n v="1"/>
    <n v="9.0391425397894682"/>
    <e v="#N/A"/>
    <e v="#N/A"/>
    <s v="#FFFF00"/>
    <s v="Formaldehyde [9] Carbamide-methanal resins (UF) #FFFF00"/>
  </r>
  <r>
    <s v="Formaldehyde"/>
    <s v="Phenolic Resins (PF)"/>
    <m/>
    <x v="2"/>
    <n v="0.16"/>
    <n v="3.8059547535955658"/>
    <n v="1"/>
    <n v="3.8059547535955658"/>
    <e v="#N/A"/>
    <e v="#N/A"/>
    <s v="#FFFF00"/>
    <s v="Formaldehyde [3.8] Phenolic Resins (PF) #FFFF00"/>
  </r>
  <r>
    <s v="Formaldehyde"/>
    <s v="Melamine Resins"/>
    <m/>
    <x v="2"/>
    <n v="0.21"/>
    <n v="4.9953156140941797"/>
    <n v="1"/>
    <n v="4.9953156140941797"/>
    <e v="#N/A"/>
    <e v="#N/A"/>
    <s v="#FFFF00"/>
    <s v="Formaldehyde [5] Melamine Resins #FFFF00"/>
  </r>
  <r>
    <s v="Formaldehyde"/>
    <s v="Polyacetal resins (polyoxymethylene)"/>
    <m/>
    <x v="2"/>
    <n v="0.08"/>
    <n v="1.9029773767977829"/>
    <n v="1"/>
    <n v="1.9029773767977829"/>
    <e v="#N/A"/>
    <e v="#N/A"/>
    <s v="#FFFF00"/>
    <s v="Formaldehyde [1.9] Polyacetal resins (polyoxymethylene) #FFFF00"/>
  </r>
  <r>
    <s v="Formaldehyde"/>
    <s v="Methylene diphenyl diisocyanate"/>
    <m/>
    <x v="0"/>
    <n v="0.05"/>
    <n v="1.1893608604986143"/>
    <n v="1"/>
    <n v="1.1893608604986143"/>
    <e v="#N/A"/>
    <e v="#N/A"/>
    <s v="#A9A9A9"/>
    <s v="Formaldehyde [1.2] Methylene diphenyl diisocyanate #A9A9A9"/>
  </r>
  <r>
    <s v="Formaldehyde"/>
    <s v="1,4-butanediol"/>
    <m/>
    <x v="0"/>
    <n v="0.05"/>
    <n v="1.1893608604986143"/>
    <n v="1"/>
    <n v="1.1893608604986143"/>
    <e v="#N/A"/>
    <e v="#N/A"/>
    <s v="#A9A9A9"/>
    <s v="Formaldehyde [1.2] 1,4-butanediol #A9A9A9"/>
  </r>
  <r>
    <s v="Formaldehyde"/>
    <s v="Other"/>
    <m/>
    <x v="0"/>
    <n v="7.0000000000000007E-2"/>
    <n v="1.6651052046980603"/>
    <n v="1"/>
    <n v="1.6651052046980603"/>
    <e v="#N/A"/>
    <e v="#N/A"/>
    <s v="#964B00"/>
    <s v="Formaldehyde [1.7] Other #964B00"/>
  </r>
  <r>
    <s v="Ethylene"/>
    <s v="Polyethylene (PE)"/>
    <m/>
    <x v="3"/>
    <n v="0.61"/>
    <n v="9.5166015319592905"/>
    <n v="1"/>
    <n v="9.5166015319592905"/>
    <e v="#N/A"/>
    <e v="#N/A"/>
    <s v="#0000FF"/>
    <s v="Ethylene [9.5] Polyethylene (PE) #0000FF"/>
  </r>
  <r>
    <s v="Ethylene"/>
    <s v="Ethylene Oxide"/>
    <m/>
    <x v="0"/>
    <n v="0.14000000000000001"/>
    <n v="2.1841380565152471"/>
    <n v="1"/>
    <n v="2.1841380565152471"/>
    <n v="1.572192513368984"/>
    <n v="3.4338855006175542"/>
    <s v="#A9A9A9"/>
    <s v="Ethylene [2.2] Ethylene Oxide #A9A9A9"/>
  </r>
  <r>
    <s v="Ethylene"/>
    <s v="Ethylene Dichloride"/>
    <m/>
    <x v="0"/>
    <n v="0.12"/>
    <n v="1.872118334155926"/>
    <n v="1"/>
    <n v="1.872118334155926"/>
    <e v="#N/A"/>
    <e v="#N/A"/>
    <s v="#A9A9A9"/>
    <s v="Ethylene [1.9] Ethylene Dichloride #A9A9A9"/>
  </r>
  <r>
    <s v="Ethylene"/>
    <s v="Ethylbenzene"/>
    <m/>
    <x v="0"/>
    <n v="0.06"/>
    <n v="0.93605916707796299"/>
    <n v="1"/>
    <n v="0.93605916707796299"/>
    <e v="#N/A"/>
    <e v="#N/A"/>
    <s v="#A9A9A9"/>
    <s v="Ethylene [0.94] Ethylbenzene #A9A9A9"/>
  </r>
  <r>
    <s v="Ethylene"/>
    <s v="Other"/>
    <m/>
    <x v="0"/>
    <n v="7.0000000000000007E-2"/>
    <n v="1.0920690282576235"/>
    <n v="1"/>
    <n v="1.0920690282576235"/>
    <e v="#N/A"/>
    <e v="#N/A"/>
    <s v="#964B00"/>
    <s v="Ethylene [1.1] Other #964B00"/>
  </r>
  <r>
    <s v="Polyethylene (PE)"/>
    <s v="High-density Polyethylene (HDPE)"/>
    <m/>
    <x v="3"/>
    <n v="0.44903581267217635"/>
    <n v="4.2732949027806182"/>
    <n v="1"/>
    <n v="4.2732949027806182"/>
    <e v="#N/A"/>
    <e v="#N/A"/>
    <s v="#0000FF"/>
    <s v="Polyethylene (PE) [4.3] High-density Polyethylene (HDPE) #0000FF"/>
  </r>
  <r>
    <s v="Polyethylene (PE)"/>
    <s v="Low-density Polyethylene (LDPE)"/>
    <m/>
    <x v="3"/>
    <n v="0.55096418732782371"/>
    <n v="5.2433066291786723"/>
    <n v="1"/>
    <n v="5.2433066291786723"/>
    <e v="#N/A"/>
    <e v="#N/A"/>
    <s v="#0000FF"/>
    <s v="Polyethylene (PE) [5.2] Low-density Polyethylene (LDPE) #0000FF"/>
  </r>
  <r>
    <s v="Ethylene Oxide"/>
    <s v="Ethylene glycol"/>
    <m/>
    <x v="0"/>
    <n v="0.67"/>
    <n v="1.4633724978652156"/>
    <n v="1"/>
    <n v="1.4633724978652156"/>
    <n v="1.407482993197279"/>
    <n v="2.0596719034579123"/>
    <s v="#A9A9A9"/>
    <s v="Ethylene Oxide [1.5] Ethylene glycol #A9A9A9"/>
  </r>
  <r>
    <s v="Ethylene Oxide"/>
    <s v="Ethoxylates"/>
    <s v="Other"/>
    <x v="0"/>
    <n v="0.13"/>
    <n v="0.28393794734698213"/>
    <n v="1"/>
    <n v="0.28393794734698213"/>
    <e v="#N/A"/>
    <e v="#N/A"/>
    <s v="#964B00"/>
    <s v="Ethylene Oxide [0.28] Other #964B00"/>
  </r>
  <r>
    <s v="Ethylene Oxide"/>
    <s v="Ethanolamines"/>
    <s v="Other"/>
    <x v="0"/>
    <n v="0.06"/>
    <n v="0.13104828339091482"/>
    <n v="1"/>
    <n v="0.13104828339091482"/>
    <e v="#N/A"/>
    <e v="#N/A"/>
    <s v="#964B00"/>
    <s v="Ethylene Oxide [0.13] Other #964B00"/>
  </r>
  <r>
    <s v="Ethylene Oxide"/>
    <s v="Glycol Ethers"/>
    <s v="Other"/>
    <x v="0"/>
    <n v="0.03"/>
    <n v="6.5524141695457408E-2"/>
    <n v="1"/>
    <n v="6.5524141695457408E-2"/>
    <e v="#N/A"/>
    <e v="#N/A"/>
    <s v="#964B00"/>
    <s v="Ethylene Oxide [0.07] Other #964B00"/>
  </r>
  <r>
    <s v="Ethylene Oxide"/>
    <s v="Polyethylene Glycol (PEG)"/>
    <s v="Other"/>
    <x v="0"/>
    <n v="0.02"/>
    <n v="4.3682761130304941E-2"/>
    <n v="1"/>
    <n v="4.3682761130304941E-2"/>
    <e v="#N/A"/>
    <e v="#N/A"/>
    <s v="#964B00"/>
    <s v="Ethylene Oxide [0.04] Other #964B00"/>
  </r>
  <r>
    <s v="Ethylene Oxide"/>
    <s v="Polyurethane (PU)"/>
    <m/>
    <x v="3"/>
    <n v="0.03"/>
    <n v="6.5524141695457408E-2"/>
    <n v="1"/>
    <n v="6.5524141695457408E-2"/>
    <e v="#N/A"/>
    <e v="#N/A"/>
    <s v="#0000FF"/>
    <s v="Ethylene Oxide [0.07] Polyurethane (PU) #0000FF"/>
  </r>
  <r>
    <s v="Ethylene Oxide"/>
    <s v="Other"/>
    <m/>
    <x v="0"/>
    <n v="0.06"/>
    <n v="0.13104828339091482"/>
    <n v="1"/>
    <n v="0.13104828339091482"/>
    <e v="#N/A"/>
    <e v="#N/A"/>
    <s v="#964B00"/>
    <s v="Ethylene Oxide [0.13] Other #964B00"/>
  </r>
  <r>
    <s v="Ethylene Dichloride"/>
    <s v="Polyvinylchloride (PVC)"/>
    <m/>
    <x v="3"/>
    <n v="0.96"/>
    <n v="1.797233600789689"/>
    <n v="1"/>
    <n v="1.797233600789689"/>
    <e v="#N/A"/>
    <e v="#N/A"/>
    <s v="#0000FF"/>
    <s v="Ethylene Dichloride [1.8] Polyvinylchloride (PVC) #0000FF"/>
  </r>
  <r>
    <s v="Ethylene Dichloride"/>
    <s v="Other"/>
    <m/>
    <x v="0"/>
    <n v="0.04"/>
    <n v="7.4884733366237036E-2"/>
    <n v="1"/>
    <n v="7.4884733366237036E-2"/>
    <e v="#N/A"/>
    <e v="#N/A"/>
    <s v="#964B00"/>
    <s v="Ethylene Dichloride [0.07] Other #964B00"/>
  </r>
  <r>
    <s v="Ethylbenzene"/>
    <s v="Polystyrene (PS)"/>
    <m/>
    <x v="3"/>
    <n v="0.46529999999999999"/>
    <n v="0.4355483304413762"/>
    <n v="1"/>
    <n v="0.4355483304413762"/>
    <e v="#N/A"/>
    <e v="#N/A"/>
    <s v="#0000FF"/>
    <s v="Ethylbenzene [0.44] Polystyrene (PS) #0000FF"/>
  </r>
  <r>
    <s v="Ethylbenzene"/>
    <s v="Other"/>
    <m/>
    <x v="0"/>
    <n v="0.53469999999999995"/>
    <n v="0.5005108366365868"/>
    <n v="1"/>
    <n v="0.5005108366365868"/>
    <e v="#N/A"/>
    <e v="#N/A"/>
    <s v="#964B00"/>
    <s v="Ethylbenzene [0.5] Other #964B00"/>
  </r>
  <r>
    <s v="Propylene"/>
    <s v="Polypropylene (PP)"/>
    <m/>
    <x v="3"/>
    <n v="0.67"/>
    <n v="10.452660699037255"/>
    <n v="1"/>
    <n v="10.452660699037255"/>
    <e v="#N/A"/>
    <e v="#N/A"/>
    <s v="#0000FF"/>
    <s v="Propylene [10.5] Polypropylene (PP) #0000FF"/>
  </r>
  <r>
    <s v="Propylene"/>
    <s v="Propenic Acid"/>
    <m/>
    <x v="0"/>
    <n v="0.05"/>
    <n v="0.78004930589830257"/>
    <n v="1"/>
    <n v="0.78004930589830257"/>
    <e v="#N/A"/>
    <e v="#N/A"/>
    <s v="#A9A9A9"/>
    <s v="Propylene [0.78] Propenic Acid #A9A9A9"/>
  </r>
  <r>
    <s v="Propylene"/>
    <s v="Propenonitrile"/>
    <m/>
    <x v="0"/>
    <n v="0.06"/>
    <n v="0.93605916707796299"/>
    <n v="1"/>
    <n v="0.93605916707796299"/>
    <e v="#N/A"/>
    <e v="#N/A"/>
    <s v="#A9A9A9"/>
    <s v="Propylene [0.94] Propenonitrile #A9A9A9"/>
  </r>
  <r>
    <s v="Propylene"/>
    <s v="Cumene"/>
    <m/>
    <x v="0"/>
    <n v="0.04"/>
    <n v="0.62403944471864203"/>
    <n v="1"/>
    <n v="0.62403944471864203"/>
    <e v="#N/A"/>
    <e v="#N/A"/>
    <s v="#A9A9A9"/>
    <s v="Propylene [0.62] Cumene #A9A9A9"/>
  </r>
  <r>
    <s v="Propylene"/>
    <s v="Propylene oxide"/>
    <m/>
    <x v="0"/>
    <n v="7.0000000000000007E-2"/>
    <n v="1.0920690282576235"/>
    <n v="1"/>
    <n v="1.0920690282576235"/>
    <e v="#N/A"/>
    <e v="#N/A"/>
    <s v="#A9A9A9"/>
    <s v="Propylene [1.1] Propylene oxide #A9A9A9"/>
  </r>
  <r>
    <s v="Propylene"/>
    <s v="Butanol"/>
    <m/>
    <x v="0"/>
    <n v="0.03"/>
    <n v="0.4680295835389815"/>
    <n v="1"/>
    <n v="0.4680295835389815"/>
    <e v="#N/A"/>
    <e v="#N/A"/>
    <s v="#A9A9A9"/>
    <s v="Propylene [0.47] Butanol #A9A9A9"/>
  </r>
  <r>
    <s v="Propylene"/>
    <s v="Other"/>
    <m/>
    <x v="0"/>
    <n v="0.08"/>
    <n v="1.2480788894372841"/>
    <n v="1"/>
    <n v="1.2480788894372841"/>
    <e v="#N/A"/>
    <e v="#N/A"/>
    <s v="#964B00"/>
    <s v="Propylene [1.2] Other #964B00"/>
  </r>
  <r>
    <s v="Propenic Acid"/>
    <s v="Animal feed additives"/>
    <s v="Other"/>
    <x v="0"/>
    <n v="0.5"/>
    <n v="0.39002465294915128"/>
    <n v="1"/>
    <n v="0.39002465294915128"/>
    <e v="#N/A"/>
    <e v="#N/A"/>
    <s v="#964B00"/>
    <s v="Propenic Acid [0.39] Other #964B00"/>
  </r>
  <r>
    <s v="Propenic Acid"/>
    <s v="Food preservative"/>
    <s v="Other"/>
    <x v="0"/>
    <n v="0.35"/>
    <n v="0.27301725706440588"/>
    <n v="1"/>
    <n v="0.27301725706440588"/>
    <e v="#N/A"/>
    <e v="#N/A"/>
    <s v="#964B00"/>
    <s v="Propenic Acid [0.27] Other #964B00"/>
  </r>
  <r>
    <s v="Propenic Acid"/>
    <s v="Herbicides"/>
    <s v="Other"/>
    <x v="0"/>
    <n v="0.1"/>
    <n v="7.8004930589830268E-2"/>
    <n v="1"/>
    <n v="7.8004930589830268E-2"/>
    <e v="#N/A"/>
    <e v="#N/A"/>
    <s v="#964B00"/>
    <s v="Propenic Acid [0.08] Other #964B00"/>
  </r>
  <r>
    <s v="Propenic Acid"/>
    <s v="Other"/>
    <m/>
    <x v="0"/>
    <n v="0.05"/>
    <n v="3.9002465294915134E-2"/>
    <n v="1"/>
    <n v="3.9002465294915134E-2"/>
    <e v="#N/A"/>
    <e v="#N/A"/>
    <s v="#964B00"/>
    <s v="Propenic Acid [0.04] Other #964B00"/>
  </r>
  <r>
    <s v="Propenonitrile"/>
    <s v="Acrylic fibres"/>
    <s v="Other"/>
    <x v="0"/>
    <n v="0.3"/>
    <n v="0.28081775012338889"/>
    <n v="1"/>
    <n v="0.28081775012338889"/>
    <e v="#N/A"/>
    <e v="#N/A"/>
    <s v="#964B00"/>
    <s v="Propenonitrile [0.28] Other #964B00"/>
  </r>
  <r>
    <s v="Propenonitrile"/>
    <s v="SAN/ABS"/>
    <s v="Other"/>
    <x v="0"/>
    <n v="0.35"/>
    <n v="0.32762070847728703"/>
    <n v="1"/>
    <n v="0.32762070847728703"/>
    <e v="#N/A"/>
    <e v="#N/A"/>
    <s v="#964B00"/>
    <s v="Propenonitrile [0.33] Other #964B00"/>
  </r>
  <r>
    <s v="Propenonitrile"/>
    <s v="Propenamide"/>
    <s v="Other"/>
    <x v="0"/>
    <n v="0.15"/>
    <n v="0.14040887506169444"/>
    <n v="1"/>
    <n v="0.14040887506169444"/>
    <e v="#N/A"/>
    <e v="#N/A"/>
    <s v="#964B00"/>
    <s v="Propenonitrile [0.14] Other #964B00"/>
  </r>
  <r>
    <s v="Propenonitrile"/>
    <s v="Other"/>
    <m/>
    <x v="0"/>
    <n v="0.2"/>
    <n v="0.18721183341559261"/>
    <n v="1"/>
    <n v="0.18721183341559261"/>
    <e v="#N/A"/>
    <e v="#N/A"/>
    <s v="#964B00"/>
    <s v="Propenonitrile [0.19] Other #964B00"/>
  </r>
  <r>
    <s v="Cumene"/>
    <s v="Phenol + Acetone"/>
    <s v="Other"/>
    <x v="0"/>
    <n v="0.98"/>
    <n v="0.61155865582426916"/>
    <n v="1"/>
    <n v="0.61155865582426916"/>
    <e v="#N/A"/>
    <e v="#N/A"/>
    <s v="#964B00"/>
    <s v="Cumene [0.61] Other #964B00"/>
  </r>
  <r>
    <s v="Cumene"/>
    <s v="Other"/>
    <m/>
    <x v="0"/>
    <n v="0.02"/>
    <n v="1.2480788894372841E-2"/>
    <n v="1"/>
    <n v="1.2480788894372841E-2"/>
    <e v="#N/A"/>
    <e v="#N/A"/>
    <s v="#964B00"/>
    <s v="Cumene [0.01] Other #964B00"/>
  </r>
  <r>
    <s v="Propylene oxide"/>
    <s v="Polyurethane (PU)"/>
    <m/>
    <x v="3"/>
    <n v="0.68"/>
    <n v="0.74260693921518406"/>
    <n v="1"/>
    <n v="0.74260693921518406"/>
    <e v="#N/A"/>
    <e v="#N/A"/>
    <s v="#0000FF"/>
    <s v="Propylene oxide [0.74] Polyurethane (PU) #0000FF"/>
  </r>
  <r>
    <s v="Propylene oxide"/>
    <s v="Propylene glycol"/>
    <s v="Other"/>
    <x v="0"/>
    <n v="0.22"/>
    <n v="0.24025518621667719"/>
    <n v="1"/>
    <n v="0.24025518621667719"/>
    <e v="#N/A"/>
    <e v="#N/A"/>
    <s v="#964B00"/>
    <s v="Propylene oxide [0.24] Other #964B00"/>
  </r>
  <r>
    <s v="Propylene oxide"/>
    <s v="Glycol ether"/>
    <s v="Other"/>
    <x v="0"/>
    <n v="0.04"/>
    <n v="4.3682761130304941E-2"/>
    <n v="1"/>
    <n v="4.3682761130304941E-2"/>
    <e v="#N/A"/>
    <e v="#N/A"/>
    <s v="#964B00"/>
    <s v="Propylene oxide [0.04] Other #964B00"/>
  </r>
  <r>
    <s v="Propylene oxide"/>
    <s v="Other"/>
    <m/>
    <x v="0"/>
    <n v="0.06"/>
    <n v="6.5524141695457408E-2"/>
    <n v="1"/>
    <n v="6.5524141695457408E-2"/>
    <e v="#N/A"/>
    <e v="#N/A"/>
    <s v="#964B00"/>
    <s v="Propylene oxide [0.07] Other #964B00"/>
  </r>
  <r>
    <s v="Butanol"/>
    <s v="Other"/>
    <m/>
    <x v="0"/>
    <n v="1"/>
    <n v="0.4680295835389815"/>
    <n v="1"/>
    <n v="0.4680295835389815"/>
    <e v="#N/A"/>
    <e v="#N/A"/>
    <s v="#964B00"/>
    <s v="Butanol [0.47] Other #964B00"/>
  </r>
  <r>
    <s v="Acetic Acid"/>
    <s v="Vinyl acetate monomer (VAM)"/>
    <m/>
    <x v="0"/>
    <m/>
    <n v="2.8771099042794535"/>
    <n v="1"/>
    <n v="2.8771099042794535"/>
    <e v="#N/A"/>
    <e v="#N/A"/>
    <s v="#A9A9A9"/>
    <s v="Acetic Acid [2.9] Vinyl acetate monomer (VAM) #A9A9A9"/>
  </r>
  <r>
    <s v="Acetic Acid"/>
    <s v="Terephthalic acid"/>
    <m/>
    <x v="0"/>
    <m/>
    <n v="1.5104826997467129"/>
    <n v="1"/>
    <n v="1.5104826997467129"/>
    <n v="2.7664690601478719"/>
    <n v="4.1787036547379088"/>
    <s v="#A9A9A9"/>
    <s v="Acetic Acid [1.5] Terephthalic acid #A9A9A9"/>
  </r>
  <r>
    <s v="Acetic Acid"/>
    <s v="Acetate esters"/>
    <s v="Other"/>
    <x v="0"/>
    <m/>
    <n v="0.71927747606986336"/>
    <n v="1"/>
    <n v="0.71927747606986336"/>
    <e v="#N/A"/>
    <e v="#N/A"/>
    <s v="#964B00"/>
    <s v="Acetic Acid [0.72] Other #964B00"/>
  </r>
  <r>
    <s v="Acetic Acid"/>
    <s v="Acetic anhydride"/>
    <s v="Other"/>
    <x v="0"/>
    <m/>
    <n v="0.79120522367684964"/>
    <n v="1"/>
    <n v="0.79120522367684964"/>
    <e v="#N/A"/>
    <e v="#N/A"/>
    <s v="#964B00"/>
    <s v="Acetic Acid [0.79] Other #964B00"/>
  </r>
  <r>
    <s v="Acetic Acid"/>
    <s v="Other"/>
    <m/>
    <x v="0"/>
    <m/>
    <n v="1.2946994569257539"/>
    <n v="1"/>
    <n v="1.2946994569257539"/>
    <e v="#N/A"/>
    <e v="#N/A"/>
    <s v="#964B00"/>
    <s v="Acetic Acid [1.3] Other #964B00"/>
  </r>
  <r>
    <s v="Methanol"/>
    <s v="Methyl Chlorides"/>
    <s v="Other"/>
    <x v="0"/>
    <n v="2.2216780422383169E-2"/>
    <n v="2.2717305672878156"/>
    <n v="1"/>
    <n v="2.2717305672878156"/>
    <e v="#N/A"/>
    <e v="#N/A"/>
    <s v="#964B00"/>
    <s v="Methanol [2.3] Other #964B00"/>
  </r>
  <r>
    <s v="Methanol"/>
    <s v="Methylamines"/>
    <s v="Other"/>
    <x v="0"/>
    <n v="1.5781321174464437E-2"/>
    <n v="1.6136860977433933"/>
    <n v="1"/>
    <n v="1.6136860977433933"/>
    <e v="#N/A"/>
    <e v="#N/A"/>
    <s v="#964B00"/>
    <s v="Methanol [1.6] Other #964B00"/>
  </r>
  <r>
    <s v="Methanol"/>
    <s v="Dimethyl terephthalate (DMT)"/>
    <m/>
    <x v="0"/>
    <n v="4.662655189360548E-3"/>
    <n v="0.47677008625974848"/>
    <n v="1"/>
    <n v="0.47677008625974848"/>
    <n v="6.0608614232209739"/>
    <n v="2.8896374235574456"/>
    <s v="#A9A9A9"/>
    <s v="Methanol [0.48] Dimethyl terephthalate (DMT) #A9A9A9"/>
  </r>
  <r>
    <s v="Methanol"/>
    <s v="Methanethiol"/>
    <s v="Other"/>
    <x v="0"/>
    <n v="4.9435021407774277E-3"/>
    <n v="0.50548750580180479"/>
    <n v="1"/>
    <n v="0.50548750580180479"/>
    <e v="#N/A"/>
    <e v="#N/A"/>
    <s v="#964B00"/>
    <s v="Methanol [0.51] Other #964B00"/>
  </r>
  <r>
    <s v="Methyl Methacrylate (MMA)"/>
    <s v="Polymethyl methacrylate (PMMA)"/>
    <m/>
    <x v="2"/>
    <m/>
    <n v="1.772842341876246"/>
    <n v="1"/>
    <n v="1.772842341876246"/>
    <e v="#N/A"/>
    <e v="#N/A"/>
    <s v="#FFFF00"/>
    <s v="Methyl Methacrylate (MMA) [1.8] Polymethyl methacrylate (PMMA) #FFFF00"/>
  </r>
  <r>
    <s v="Vinyl acetate monomer (VAM)"/>
    <s v="Polyvinyl acetate (PVA)"/>
    <m/>
    <x v="2"/>
    <n v="0.37"/>
    <n v="1.0645306645833978"/>
    <n v="1"/>
    <n v="1.0645306645833978"/>
    <e v="#N/A"/>
    <e v="#N/A"/>
    <s v="#FFFF00"/>
    <s v="Vinyl acetate monomer (VAM) [1.1] Polyvinyl acetate (PVA) #FFFF00"/>
  </r>
  <r>
    <s v="Vinyl acetate monomer (VAM)"/>
    <s v="Other"/>
    <m/>
    <x v="0"/>
    <n v="0.63"/>
    <n v="1.8125792396960556"/>
    <n v="1"/>
    <n v="1.8125792396960556"/>
    <e v="#N/A"/>
    <e v="#N/A"/>
    <s v="#964B00"/>
    <s v="Vinyl acetate monomer (VAM) [1.8] Other #964B00"/>
  </r>
  <r>
    <s v="Terephthalic acid"/>
    <s v="Polyethylene terephthalate (PET)"/>
    <m/>
    <x v="3"/>
    <n v="0.9"/>
    <n v="1.3594344297720415"/>
    <n v="1"/>
    <n v="1.3594344297720415"/>
    <n v="1.1569113716803505"/>
    <n v="1.5727451508570678"/>
    <s v="#0000FF"/>
    <s v="Terephthalic acid [1.4] Polyethylene terephthalate (PET) #0000FF"/>
  </r>
  <r>
    <s v="Terephthalic acid"/>
    <s v="Other"/>
    <m/>
    <x v="0"/>
    <n v="9.9999999999999978E-2"/>
    <n v="0.15104826997467125"/>
    <n v="1"/>
    <n v="0.15104826997467125"/>
    <e v="#N/A"/>
    <e v="#N/A"/>
    <s v="#964B00"/>
    <s v="Terephthalic acid [0.15] Other #964B00"/>
  </r>
  <r>
    <s v="Dimethyl terephthalate (DMT)"/>
    <s v="Polyethylene terephthalate (PET)"/>
    <m/>
    <x v="3"/>
    <m/>
    <n v="0.42438915566653618"/>
    <n v="1"/>
    <n v="0.42438915566653618"/>
    <n v="0.98975230444410101"/>
    <n v="0.42004014480204049"/>
    <s v="#0000FF"/>
    <s v="Dimethyl terephthalate (DMT) [0.42] Polyethylene terephthalate (PET) #0000FF"/>
  </r>
  <r>
    <s v="Dimethyl terephthalate (DMT)"/>
    <s v="Other"/>
    <m/>
    <x v="0"/>
    <m/>
    <n v="5.2380930593212353E-2"/>
    <n v="1"/>
    <n v="5.2380930593212353E-2"/>
    <e v="#N/A"/>
    <e v="#N/A"/>
    <s v="#964B00"/>
    <s v="Dimethyl terephthalate (DMT) [0.05] Other #964B00"/>
  </r>
  <r>
    <s v="Methylene diphenyl diisocyanate"/>
    <s v="Polyurethane (PU)"/>
    <m/>
    <x v="3"/>
    <n v="0.95"/>
    <n v="1.1298928174736835"/>
    <n v="1"/>
    <n v="1.1298928174736835"/>
    <e v="#N/A"/>
    <e v="#N/A"/>
    <s v="#0000FF"/>
    <s v="Methylene diphenyl diisocyanate [1.1] Polyurethane (PU) #0000FF"/>
  </r>
  <r>
    <s v="Methylene diphenyl diisocyanate"/>
    <s v="Other"/>
    <m/>
    <x v="0"/>
    <n v="0.05"/>
    <n v="5.9468043024930722E-2"/>
    <n v="1"/>
    <n v="5.9468043024930722E-2"/>
    <e v="#N/A"/>
    <e v="#N/A"/>
    <s v="#964B00"/>
    <s v="Methylene diphenyl diisocyanate [0.06] Other #964B00"/>
  </r>
  <r>
    <s v="1,4-butanediol"/>
    <s v="THF"/>
    <s v="Other"/>
    <x v="0"/>
    <n v="0.5"/>
    <n v="0.59468043024930717"/>
    <n v="1"/>
    <n v="0.59468043024930717"/>
    <e v="#N/A"/>
    <e v="#N/A"/>
    <s v="#964B00"/>
    <s v="1,4-butanediol [0.59] Other #964B00"/>
  </r>
  <r>
    <s v="1,4-butanediol"/>
    <s v="Other"/>
    <m/>
    <x v="0"/>
    <n v="0.5"/>
    <n v="0.59468043024930717"/>
    <n v="1"/>
    <n v="0.59468043024930717"/>
    <e v="#N/A"/>
    <e v="#N/A"/>
    <s v="#964B00"/>
    <s v="1,4-butanediol [0.59] Other #964B00"/>
  </r>
  <r>
    <s v="Ethylene glycol"/>
    <s v="Polyethylene terephthalate (PET)"/>
    <m/>
    <x v="3"/>
    <n v="0.7"/>
    <n v="1.024360748505651"/>
    <n v="1"/>
    <n v="1.024360748505651"/>
    <n v="3.0965039471564362"/>
    <n v="3.1719371010598696"/>
    <s v="#0000FF"/>
    <s v="Ethylene glycol [1] Polyethylene terephthalate (PET) #0000FF"/>
  </r>
  <r>
    <s v="Ethylene glycol"/>
    <s v="Other"/>
    <m/>
    <x v="0"/>
    <n v="0.30000000000000004"/>
    <n v="0.43901174935956477"/>
    <n v="1"/>
    <n v="0.43901174935956477"/>
    <e v="#N/A"/>
    <e v="#N/A"/>
    <s v="#964B00"/>
    <s v="Ethylene glycol [0.44] Other #964B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Methanol"/>
    <x v="0"/>
    <m/>
    <m/>
    <n v="0.15257253124401302"/>
    <n v="15.60098611796605"/>
    <n v="2"/>
    <n v="15.60098611796605"/>
    <n v="1.7509363295880149"/>
    <n v="27.316333371345049"/>
  </r>
  <r>
    <s v="Methanol"/>
    <x v="1"/>
    <m/>
    <m/>
    <n v="0.15257253124401302"/>
    <n v="15.60098611796605"/>
    <n v="3"/>
    <n v="15.60098611796605"/>
    <e v="#N/A"/>
    <e v="#N/A"/>
  </r>
  <r>
    <s v="Methanol"/>
    <x v="2"/>
    <m/>
    <m/>
    <n v="0.23263118840911975"/>
    <n v="23.787217209972287"/>
    <n v="1"/>
    <n v="23.787217209972287"/>
    <n v="0.93714107365792754"/>
    <n v="22.291978275487761"/>
  </r>
  <r>
    <s v="Methanol"/>
    <x v="3"/>
    <m/>
    <m/>
    <n v="0.1021547725875792"/>
    <n v="10.445623311275693"/>
    <n v="1"/>
    <n v="10.445623311275693"/>
    <e v="#N/A"/>
    <e v="#N/A"/>
  </r>
  <r>
    <s v="Methanol"/>
    <x v="4"/>
    <m/>
    <m/>
    <n v="7.0342979835361516E-2"/>
    <n v="7.192774760698633"/>
    <n v="1"/>
    <n v="7.192774760698633"/>
    <n v="1.8742821473158551"/>
    <n v="13.481289323641519"/>
  </r>
  <r>
    <s v="Methanol"/>
    <x v="5"/>
    <m/>
    <m/>
    <n v="1.733781708100687E-2"/>
    <n v="1.772842341876246"/>
    <n v="1"/>
    <n v="1.772842341876246"/>
    <e v="#N/A"/>
    <e v="#N/A"/>
  </r>
  <r>
    <s v="Methanol"/>
    <x v="6"/>
    <m/>
    <s v="Fuel"/>
    <n v="2.9805719753632672E-2"/>
    <n v="3.0477217381202508"/>
    <n v="1"/>
    <n v="3.0477217381202508"/>
    <e v="#N/A"/>
    <e v="#N/A"/>
  </r>
  <r>
    <s v="Methanol"/>
    <x v="7"/>
    <m/>
    <m/>
    <n v="2.8522886298573059E-2"/>
    <n v="2.9165482774660565"/>
    <n v="1"/>
    <n v="2.9165482774660565"/>
    <e v="#N/A"/>
    <e v="#N/A"/>
  </r>
  <r>
    <s v="Methanol"/>
    <x v="8"/>
    <m/>
    <s v="Fuel"/>
    <n v="0.12836023848013775"/>
    <n v="13.125208596196902"/>
    <n v="1"/>
    <n v="13.125208596196902"/>
    <e v="#N/A"/>
    <e v="#N/A"/>
  </r>
  <r>
    <s v="Methanol"/>
    <x v="9"/>
    <s v="Other"/>
    <s v="Fuel"/>
    <n v="1.2248167496215287E-4"/>
    <n v="1.2524108338569352E-2"/>
    <n v="1"/>
    <n v="1.2524108338569352E-2"/>
    <e v="#N/A"/>
    <e v="#N/A"/>
  </r>
  <r>
    <s v="Methanol"/>
    <x v="10"/>
    <m/>
    <m/>
    <n v="3.7085809133041631E-2"/>
    <n v="3.7921321009795088"/>
    <n v="1"/>
    <n v="3.7921321009795088"/>
    <e v="#N/A"/>
    <e v="#N/A"/>
  </r>
  <r>
    <s v="Methyl tert-Butyl Ether (MTBE)"/>
    <x v="11"/>
    <m/>
    <s v="Fuel"/>
    <n v="0.95"/>
    <n v="9.9233421457119082"/>
    <n v="1"/>
    <n v="9.9233421457119082"/>
    <e v="#N/A"/>
    <e v="#N/A"/>
  </r>
  <r>
    <s v="Methyl tert-Butyl Ether (MTBE)"/>
    <x v="12"/>
    <s v="Other"/>
    <m/>
    <n v="0.05"/>
    <n v="0.52228116556378501"/>
    <n v="1"/>
    <n v="0.52228116556378501"/>
    <e v="#N/A"/>
    <e v="#N/A"/>
  </r>
  <r>
    <s v="Dimethylether (DME)"/>
    <x v="13"/>
    <m/>
    <s v="Fuel"/>
    <n v="0.85"/>
    <n v="2.4790660358461478"/>
    <n v="1"/>
    <n v="2.4790660358461478"/>
    <e v="#N/A"/>
    <e v="#N/A"/>
  </r>
  <r>
    <s v="Dimethylether (DME)"/>
    <x v="10"/>
    <m/>
    <m/>
    <n v="0.15"/>
    <n v="0.43748224161990845"/>
    <n v="1"/>
    <n v="0.43748224161990845"/>
    <e v="#N/A"/>
    <e v="#N/A"/>
  </r>
  <r>
    <s v="Formaldehyde"/>
    <x v="14"/>
    <m/>
    <s v="Minor polymers"/>
    <n v="0.38"/>
    <n v="9.0391425397894682"/>
    <n v="1"/>
    <n v="9.0391425397894682"/>
    <e v="#N/A"/>
    <e v="#N/A"/>
  </r>
  <r>
    <s v="Formaldehyde"/>
    <x v="15"/>
    <m/>
    <s v="Minor polymers"/>
    <n v="0.16"/>
    <n v="3.8059547535955658"/>
    <n v="1"/>
    <n v="3.8059547535955658"/>
    <e v="#N/A"/>
    <e v="#N/A"/>
  </r>
  <r>
    <s v="Formaldehyde"/>
    <x v="16"/>
    <m/>
    <s v="Minor polymers"/>
    <n v="0.21"/>
    <n v="4.9953156140941797"/>
    <n v="1"/>
    <n v="4.9953156140941797"/>
    <e v="#N/A"/>
    <e v="#N/A"/>
  </r>
  <r>
    <s v="Formaldehyde"/>
    <x v="17"/>
    <m/>
    <s v="Minor polymers"/>
    <n v="0.08"/>
    <n v="1.9029773767977829"/>
    <n v="1"/>
    <n v="1.9029773767977829"/>
    <e v="#N/A"/>
    <e v="#N/A"/>
  </r>
  <r>
    <s v="Formaldehyde"/>
    <x v="18"/>
    <m/>
    <m/>
    <n v="0.05"/>
    <n v="1.1893608604986143"/>
    <n v="1"/>
    <n v="1.1893608604986143"/>
    <e v="#N/A"/>
    <e v="#N/A"/>
  </r>
  <r>
    <s v="Formaldehyde"/>
    <x v="19"/>
    <m/>
    <m/>
    <n v="0.05"/>
    <n v="1.1893608604986143"/>
    <n v="1"/>
    <n v="1.1893608604986143"/>
    <e v="#N/A"/>
    <e v="#N/A"/>
  </r>
  <r>
    <s v="Formaldehyde"/>
    <x v="10"/>
    <m/>
    <m/>
    <n v="7.0000000000000007E-2"/>
    <n v="1.6651052046980603"/>
    <n v="1"/>
    <n v="1.6651052046980603"/>
    <e v="#N/A"/>
    <e v="#N/A"/>
  </r>
  <r>
    <s v="Ethylene"/>
    <x v="20"/>
    <m/>
    <s v="Major polymers"/>
    <n v="0.61"/>
    <n v="9.5166015319592905"/>
    <n v="1"/>
    <n v="9.5166015319592905"/>
    <e v="#N/A"/>
    <e v="#N/A"/>
  </r>
  <r>
    <s v="Ethylene"/>
    <x v="21"/>
    <m/>
    <m/>
    <n v="0.14000000000000001"/>
    <n v="2.1841380565152471"/>
    <n v="1"/>
    <n v="2.1841380565152471"/>
    <n v="1.572192513368984"/>
    <n v="3.4338855006175542"/>
  </r>
  <r>
    <s v="Ethylene"/>
    <x v="22"/>
    <m/>
    <m/>
    <n v="0.12"/>
    <n v="1.872118334155926"/>
    <n v="1"/>
    <n v="1.872118334155926"/>
    <e v="#N/A"/>
    <e v="#N/A"/>
  </r>
  <r>
    <s v="Ethylene"/>
    <x v="23"/>
    <m/>
    <m/>
    <n v="0.06"/>
    <n v="0.93605916707796299"/>
    <n v="1"/>
    <n v="0.93605916707796299"/>
    <e v="#N/A"/>
    <e v="#N/A"/>
  </r>
  <r>
    <s v="Ethylene"/>
    <x v="10"/>
    <m/>
    <m/>
    <n v="7.0000000000000007E-2"/>
    <n v="1.0920690282576235"/>
    <n v="1"/>
    <n v="1.0920690282576235"/>
    <e v="#N/A"/>
    <e v="#N/A"/>
  </r>
  <r>
    <s v="Polyethylene (PE)"/>
    <x v="24"/>
    <m/>
    <s v="Major polymers"/>
    <n v="0.44903581267217635"/>
    <n v="4.2732949027806182"/>
    <n v="1"/>
    <n v="4.2732949027806182"/>
    <e v="#N/A"/>
    <e v="#N/A"/>
  </r>
  <r>
    <s v="Polyethylene (PE)"/>
    <x v="25"/>
    <m/>
    <s v="Major polymers"/>
    <n v="0.55096418732782371"/>
    <n v="5.2433066291786723"/>
    <n v="1"/>
    <n v="5.2433066291786723"/>
    <e v="#N/A"/>
    <e v="#N/A"/>
  </r>
  <r>
    <s v="Ethylene Oxide"/>
    <x v="26"/>
    <m/>
    <m/>
    <n v="0.67"/>
    <n v="1.4633724978652156"/>
    <n v="1"/>
    <n v="1.4633724978652156"/>
    <n v="1.407482993197279"/>
    <n v="2.0596719034579123"/>
  </r>
  <r>
    <s v="Ethylene Oxide"/>
    <x v="27"/>
    <s v="Other"/>
    <m/>
    <n v="0.13"/>
    <n v="0.28393794734698213"/>
    <n v="1"/>
    <n v="0.28393794734698213"/>
    <e v="#N/A"/>
    <e v="#N/A"/>
  </r>
  <r>
    <s v="Ethylene Oxide"/>
    <x v="28"/>
    <s v="Other"/>
    <m/>
    <n v="0.06"/>
    <n v="0.13104828339091482"/>
    <n v="1"/>
    <n v="0.13104828339091482"/>
    <e v="#N/A"/>
    <e v="#N/A"/>
  </r>
  <r>
    <s v="Ethylene Oxide"/>
    <x v="29"/>
    <s v="Other"/>
    <m/>
    <n v="0.03"/>
    <n v="6.5524141695457408E-2"/>
    <n v="1"/>
    <n v="6.5524141695457408E-2"/>
    <e v="#N/A"/>
    <e v="#N/A"/>
  </r>
  <r>
    <s v="Ethylene Oxide"/>
    <x v="30"/>
    <s v="Other"/>
    <m/>
    <n v="0.02"/>
    <n v="4.3682761130304941E-2"/>
    <n v="1"/>
    <n v="4.3682761130304941E-2"/>
    <e v="#N/A"/>
    <e v="#N/A"/>
  </r>
  <r>
    <s v="Ethylene Oxide"/>
    <x v="31"/>
    <m/>
    <s v="Major polymers"/>
    <n v="0.03"/>
    <n v="6.5524141695457408E-2"/>
    <n v="1"/>
    <n v="6.5524141695457408E-2"/>
    <e v="#N/A"/>
    <e v="#N/A"/>
  </r>
  <r>
    <s v="Ethylene Oxide"/>
    <x v="10"/>
    <m/>
    <m/>
    <n v="0.06"/>
    <n v="0.13104828339091482"/>
    <n v="1"/>
    <n v="0.13104828339091482"/>
    <e v="#N/A"/>
    <e v="#N/A"/>
  </r>
  <r>
    <s v="Ethylene Dichloride"/>
    <x v="32"/>
    <m/>
    <s v="Major polymers"/>
    <n v="0.96"/>
    <n v="1.797233600789689"/>
    <n v="1"/>
    <n v="1.797233600789689"/>
    <e v="#N/A"/>
    <e v="#N/A"/>
  </r>
  <r>
    <s v="Ethylene Dichloride"/>
    <x v="10"/>
    <m/>
    <m/>
    <n v="0.04"/>
    <n v="7.4884733366237036E-2"/>
    <n v="1"/>
    <n v="7.4884733366237036E-2"/>
    <e v="#N/A"/>
    <e v="#N/A"/>
  </r>
  <r>
    <s v="Ethylbenzene"/>
    <x v="33"/>
    <m/>
    <s v="Major polymers"/>
    <n v="0.46529999999999999"/>
    <n v="0.4355483304413762"/>
    <n v="1"/>
    <n v="0.4355483304413762"/>
    <e v="#N/A"/>
    <e v="#N/A"/>
  </r>
  <r>
    <s v="Ethylbenzene"/>
    <x v="10"/>
    <m/>
    <m/>
    <n v="0.53469999999999995"/>
    <n v="0.5005108366365868"/>
    <n v="1"/>
    <n v="0.5005108366365868"/>
    <e v="#N/A"/>
    <e v="#N/A"/>
  </r>
  <r>
    <s v="Propylene"/>
    <x v="34"/>
    <m/>
    <s v="Major polymers"/>
    <n v="0.67"/>
    <n v="10.452660699037255"/>
    <n v="1"/>
    <n v="10.452660699037255"/>
    <e v="#N/A"/>
    <e v="#N/A"/>
  </r>
  <r>
    <s v="Propylene"/>
    <x v="35"/>
    <m/>
    <m/>
    <n v="0.05"/>
    <n v="0.78004930589830257"/>
    <n v="1"/>
    <n v="0.78004930589830257"/>
    <e v="#N/A"/>
    <e v="#N/A"/>
  </r>
  <r>
    <s v="Propylene"/>
    <x v="36"/>
    <m/>
    <m/>
    <n v="0.06"/>
    <n v="0.93605916707796299"/>
    <n v="1"/>
    <n v="0.93605916707796299"/>
    <e v="#N/A"/>
    <e v="#N/A"/>
  </r>
  <r>
    <s v="Propylene"/>
    <x v="37"/>
    <m/>
    <m/>
    <n v="0.04"/>
    <n v="0.62403944471864203"/>
    <n v="1"/>
    <n v="0.62403944471864203"/>
    <e v="#N/A"/>
    <e v="#N/A"/>
  </r>
  <r>
    <s v="Propylene"/>
    <x v="38"/>
    <m/>
    <m/>
    <n v="7.0000000000000007E-2"/>
    <n v="1.0920690282576235"/>
    <n v="1"/>
    <n v="1.0920690282576235"/>
    <e v="#N/A"/>
    <e v="#N/A"/>
  </r>
  <r>
    <s v="Propylene"/>
    <x v="39"/>
    <m/>
    <m/>
    <n v="0.03"/>
    <n v="0.4680295835389815"/>
    <n v="1"/>
    <n v="0.4680295835389815"/>
    <e v="#N/A"/>
    <e v="#N/A"/>
  </r>
  <r>
    <s v="Propylene"/>
    <x v="10"/>
    <m/>
    <m/>
    <n v="0.08"/>
    <n v="1.2480788894372841"/>
    <n v="1"/>
    <n v="1.2480788894372841"/>
    <e v="#N/A"/>
    <e v="#N/A"/>
  </r>
  <r>
    <s v="Propenic Acid"/>
    <x v="40"/>
    <s v="Other"/>
    <m/>
    <n v="0.5"/>
    <n v="0.39002465294915128"/>
    <n v="1"/>
    <n v="0.39002465294915128"/>
    <e v="#N/A"/>
    <e v="#N/A"/>
  </r>
  <r>
    <s v="Propenic Acid"/>
    <x v="41"/>
    <s v="Other"/>
    <m/>
    <n v="0.35"/>
    <n v="0.27301725706440588"/>
    <n v="1"/>
    <n v="0.27301725706440588"/>
    <e v="#N/A"/>
    <e v="#N/A"/>
  </r>
  <r>
    <s v="Propenic Acid"/>
    <x v="42"/>
    <s v="Other"/>
    <m/>
    <n v="0.1"/>
    <n v="7.8004930589830268E-2"/>
    <n v="1"/>
    <n v="7.8004930589830268E-2"/>
    <e v="#N/A"/>
    <e v="#N/A"/>
  </r>
  <r>
    <s v="Propenic Acid"/>
    <x v="10"/>
    <m/>
    <m/>
    <n v="0.05"/>
    <n v="3.9002465294915134E-2"/>
    <n v="1"/>
    <n v="3.9002465294915134E-2"/>
    <e v="#N/A"/>
    <e v="#N/A"/>
  </r>
  <r>
    <s v="Propenonitrile"/>
    <x v="43"/>
    <s v="Other"/>
    <m/>
    <n v="0.3"/>
    <n v="0.28081775012338889"/>
    <n v="1"/>
    <n v="0.28081775012338889"/>
    <e v="#N/A"/>
    <e v="#N/A"/>
  </r>
  <r>
    <s v="Propenonitrile"/>
    <x v="44"/>
    <s v="Other"/>
    <m/>
    <n v="0.35"/>
    <n v="0.32762070847728703"/>
    <n v="1"/>
    <n v="0.32762070847728703"/>
    <e v="#N/A"/>
    <e v="#N/A"/>
  </r>
  <r>
    <s v="Propenonitrile"/>
    <x v="45"/>
    <s v="Other"/>
    <m/>
    <n v="0.15"/>
    <n v="0.14040887506169444"/>
    <n v="1"/>
    <n v="0.14040887506169444"/>
    <e v="#N/A"/>
    <e v="#N/A"/>
  </r>
  <r>
    <s v="Propenonitrile"/>
    <x v="10"/>
    <m/>
    <m/>
    <n v="0.2"/>
    <n v="0.18721183341559261"/>
    <n v="1"/>
    <n v="0.18721183341559261"/>
    <e v="#N/A"/>
    <e v="#N/A"/>
  </r>
  <r>
    <s v="Cumene"/>
    <x v="46"/>
    <s v="Other"/>
    <m/>
    <n v="0.98"/>
    <n v="0.61155865582426916"/>
    <n v="1"/>
    <n v="0.61155865582426916"/>
    <e v="#N/A"/>
    <e v="#N/A"/>
  </r>
  <r>
    <s v="Cumene"/>
    <x v="10"/>
    <m/>
    <m/>
    <n v="0.02"/>
    <n v="1.2480788894372841E-2"/>
    <n v="1"/>
    <n v="1.2480788894372841E-2"/>
    <e v="#N/A"/>
    <e v="#N/A"/>
  </r>
  <r>
    <s v="Propylene oxide"/>
    <x v="31"/>
    <m/>
    <s v="Major polymers"/>
    <n v="0.68"/>
    <n v="0.74260693921518406"/>
    <n v="1"/>
    <n v="0.74260693921518406"/>
    <e v="#N/A"/>
    <e v="#N/A"/>
  </r>
  <r>
    <s v="Propylene oxide"/>
    <x v="47"/>
    <s v="Other"/>
    <m/>
    <n v="0.22"/>
    <n v="0.24025518621667719"/>
    <n v="1"/>
    <n v="0.24025518621667719"/>
    <e v="#N/A"/>
    <e v="#N/A"/>
  </r>
  <r>
    <s v="Propylene oxide"/>
    <x v="48"/>
    <s v="Other"/>
    <m/>
    <n v="0.04"/>
    <n v="4.3682761130304941E-2"/>
    <n v="1"/>
    <n v="4.3682761130304941E-2"/>
    <e v="#N/A"/>
    <e v="#N/A"/>
  </r>
  <r>
    <s v="Propylene oxide"/>
    <x v="10"/>
    <m/>
    <m/>
    <n v="0.06"/>
    <n v="6.5524141695457408E-2"/>
    <n v="1"/>
    <n v="6.5524141695457408E-2"/>
    <e v="#N/A"/>
    <e v="#N/A"/>
  </r>
  <r>
    <s v="Butanol"/>
    <x v="10"/>
    <m/>
    <m/>
    <n v="1"/>
    <n v="0.4680295835389815"/>
    <n v="1"/>
    <n v="0.4680295835389815"/>
    <e v="#N/A"/>
    <e v="#N/A"/>
  </r>
  <r>
    <s v="Acetic Acid"/>
    <x v="49"/>
    <m/>
    <m/>
    <m/>
    <n v="2.8771099042794535"/>
    <n v="1"/>
    <n v="2.8771099042794535"/>
    <e v="#N/A"/>
    <e v="#N/A"/>
  </r>
  <r>
    <s v="Acetic Acid"/>
    <x v="50"/>
    <m/>
    <m/>
    <m/>
    <n v="1.5104826997467129"/>
    <n v="1"/>
    <n v="1.5104826997467129"/>
    <n v="2.7664690601478719"/>
    <n v="4.1787036547379088"/>
  </r>
  <r>
    <s v="Acetic Acid"/>
    <x v="51"/>
    <s v="Other"/>
    <m/>
    <m/>
    <n v="0.71927747606986336"/>
    <n v="1"/>
    <n v="0.71927747606986336"/>
    <e v="#N/A"/>
    <e v="#N/A"/>
  </r>
  <r>
    <s v="Acetic Acid"/>
    <x v="52"/>
    <s v="Other"/>
    <m/>
    <m/>
    <n v="0.79120522367684964"/>
    <n v="1"/>
    <n v="0.79120522367684964"/>
    <e v="#N/A"/>
    <e v="#N/A"/>
  </r>
  <r>
    <s v="Acetic Acid"/>
    <x v="10"/>
    <m/>
    <m/>
    <m/>
    <n v="1.2946994569257539"/>
    <n v="1"/>
    <n v="1.2946994569257539"/>
    <e v="#N/A"/>
    <e v="#N/A"/>
  </r>
  <r>
    <s v="Methanol"/>
    <x v="53"/>
    <s v="Other"/>
    <m/>
    <n v="2.2216780422383169E-2"/>
    <n v="2.2717305672878156"/>
    <n v="1"/>
    <n v="2.2717305672878156"/>
    <e v="#N/A"/>
    <e v="#N/A"/>
  </r>
  <r>
    <s v="Methanol"/>
    <x v="54"/>
    <s v="Other"/>
    <m/>
    <n v="1.5781321174464437E-2"/>
    <n v="1.6136860977433933"/>
    <n v="1"/>
    <n v="1.6136860977433933"/>
    <e v="#N/A"/>
    <e v="#N/A"/>
  </r>
  <r>
    <s v="Methanol"/>
    <x v="55"/>
    <m/>
    <m/>
    <n v="4.662655189360548E-3"/>
    <n v="0.47677008625974848"/>
    <n v="1"/>
    <n v="0.47677008625974848"/>
    <n v="6.0608614232209739"/>
    <n v="2.8896374235574456"/>
  </r>
  <r>
    <s v="Methanol"/>
    <x v="56"/>
    <s v="Other"/>
    <m/>
    <n v="4.9435021407774277E-3"/>
    <n v="0.50548750580180479"/>
    <n v="1"/>
    <n v="0.50548750580180479"/>
    <e v="#N/A"/>
    <e v="#N/A"/>
  </r>
  <r>
    <s v="Methyl Methacrylate (MMA)"/>
    <x v="57"/>
    <m/>
    <s v="Minor polymers"/>
    <m/>
    <n v="1.772842341876246"/>
    <n v="1"/>
    <n v="1.772842341876246"/>
    <e v="#N/A"/>
    <e v="#N/A"/>
  </r>
  <r>
    <s v="Vinyl acetate monomer (VAM)"/>
    <x v="58"/>
    <m/>
    <s v="Minor polymers"/>
    <n v="0.37"/>
    <n v="1.0645306645833978"/>
    <n v="1"/>
    <n v="1.0645306645833978"/>
    <e v="#N/A"/>
    <e v="#N/A"/>
  </r>
  <r>
    <s v="Vinyl acetate monomer (VAM)"/>
    <x v="10"/>
    <m/>
    <m/>
    <n v="0.63"/>
    <n v="1.8125792396960556"/>
    <n v="1"/>
    <n v="1.8125792396960556"/>
    <e v="#N/A"/>
    <e v="#N/A"/>
  </r>
  <r>
    <s v="Terephthalic acid"/>
    <x v="59"/>
    <m/>
    <s v="Major polymers"/>
    <n v="0.9"/>
    <n v="1.3594344297720415"/>
    <n v="1"/>
    <n v="1.3594344297720415"/>
    <n v="1.1569113716803505"/>
    <n v="1.5727451508570678"/>
  </r>
  <r>
    <s v="Terephthalic acid"/>
    <x v="10"/>
    <m/>
    <m/>
    <n v="9.9999999999999978E-2"/>
    <n v="0.15104826997467125"/>
    <n v="1"/>
    <n v="0.15104826997467125"/>
    <e v="#N/A"/>
    <e v="#N/A"/>
  </r>
  <r>
    <s v="Dimethyl terephthalate (DMT)"/>
    <x v="59"/>
    <m/>
    <s v="Major polymers"/>
    <m/>
    <n v="0.42438915566653618"/>
    <n v="1"/>
    <n v="0.42438915566653618"/>
    <n v="0.98975230444410101"/>
    <n v="0.42004014480204049"/>
  </r>
  <r>
    <s v="Dimethyl terephthalate (DMT)"/>
    <x v="10"/>
    <m/>
    <m/>
    <m/>
    <n v="5.2380930593212353E-2"/>
    <n v="1"/>
    <n v="5.2380930593212353E-2"/>
    <e v="#N/A"/>
    <e v="#N/A"/>
  </r>
  <r>
    <s v="Methylene diphenyl diisocyanate"/>
    <x v="31"/>
    <m/>
    <s v="Major polymers"/>
    <n v="0.95"/>
    <n v="1.1298928174736835"/>
    <n v="1"/>
    <n v="1.1298928174736835"/>
    <e v="#N/A"/>
    <e v="#N/A"/>
  </r>
  <r>
    <s v="Methylene diphenyl diisocyanate"/>
    <x v="10"/>
    <m/>
    <m/>
    <n v="0.05"/>
    <n v="5.9468043024930722E-2"/>
    <n v="1"/>
    <n v="5.9468043024930722E-2"/>
    <e v="#N/A"/>
    <e v="#N/A"/>
  </r>
  <r>
    <s v="1,4-butanediol"/>
    <x v="60"/>
    <s v="Other"/>
    <m/>
    <n v="0.5"/>
    <n v="0.59468043024930717"/>
    <n v="1"/>
    <n v="0.59468043024930717"/>
    <e v="#N/A"/>
    <e v="#N/A"/>
  </r>
  <r>
    <s v="1,4-butanediol"/>
    <x v="10"/>
    <m/>
    <m/>
    <n v="0.5"/>
    <n v="0.59468043024930717"/>
    <n v="1"/>
    <n v="0.59468043024930717"/>
    <e v="#N/A"/>
    <e v="#N/A"/>
  </r>
  <r>
    <s v="Ethylene glycol"/>
    <x v="59"/>
    <m/>
    <s v="Major polymers"/>
    <n v="0.7"/>
    <n v="1.024360748505651"/>
    <n v="1"/>
    <n v="1.024360748505651"/>
    <n v="3.0965039471564362"/>
    <n v="3.1719371010598696"/>
  </r>
  <r>
    <s v="Ethylene glycol"/>
    <x v="10"/>
    <m/>
    <m/>
    <n v="0.30000000000000004"/>
    <n v="0.43901174935956477"/>
    <n v="1"/>
    <n v="0.43901174935956477"/>
    <e v="#N/A"/>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9CA6D-AD38-49CA-86D7-ED3C4D4F1BED}"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31:R93" firstHeaderRow="1" firstDataRow="1" firstDataCol="1"/>
  <pivotFields count="10">
    <pivotField showAll="0"/>
    <pivotField axis="axisRow" showAll="0">
      <items count="62">
        <item x="0"/>
        <item x="2"/>
        <item x="3"/>
        <item x="1"/>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showAll="0"/>
    <pivotField showAll="0"/>
    <pivotField dataField="1" showAll="0"/>
    <pivotField numFmtId="174" showAll="0"/>
    <pivotField numFmtId="174" showAll="0"/>
    <pivotField showAll="0"/>
    <pivotField showAll="0"/>
  </pivotFields>
  <rowFields count="1">
    <field x="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Sum of Amount (Mt Methano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2FB62-8BA0-4631-8994-1D7EACB6C0E6}"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Q14:R19" firstHeaderRow="1" firstDataRow="1" firstDataCol="1"/>
  <pivotFields count="12">
    <pivotField showAll="0"/>
    <pivotField showAll="0"/>
    <pivotField showAll="0"/>
    <pivotField axis="axisRow" showAll="0">
      <items count="5">
        <item x="1"/>
        <item x="3"/>
        <item x="2"/>
        <item x="0"/>
        <item t="default"/>
      </items>
    </pivotField>
    <pivotField showAll="0"/>
    <pivotField dataField="1" showAll="0"/>
    <pivotField numFmtId="174" showAll="0"/>
    <pivotField numFmtId="174" showAll="0"/>
    <pivotField showAll="0"/>
    <pivotField showAll="0"/>
    <pivotField showAll="0"/>
    <pivotField showAll="0"/>
  </pivotFields>
  <rowFields count="1">
    <field x="3"/>
  </rowFields>
  <rowItems count="5">
    <i>
      <x/>
    </i>
    <i>
      <x v="1"/>
    </i>
    <i>
      <x v="2"/>
    </i>
    <i>
      <x v="3"/>
    </i>
    <i t="grand">
      <x/>
    </i>
  </rowItems>
  <colItems count="1">
    <i/>
  </colItems>
  <dataFields count="1">
    <dataField name="Sum of Amount (Mt Methano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H97" dT="2021-08-23T20:24:29.43" personId="{A0EE1085-424D-4793-96CE-2B3CC27F8D15}" id="{90F9D9CC-6CAA-5E49-B570-75F3A668D035}">
    <text>Goes to region with lowest portion of Urea usage</text>
  </threadedComment>
  <threadedComment ref="D102" dT="2026-06-03T10:16:26.97" personId="{3F356B5B-AE2C-D54B-A759-11CD963F2B7B}" id="{AF783732-1E37-1F4B-BD74-41C18DB8519B}">
    <text xml:space="preserve">Global average
</text>
  </threadedComment>
</ThreadedComments>
</file>

<file path=xl/threadedComments/threadedComment2.xml><?xml version="1.0" encoding="utf-8"?>
<ThreadedComments xmlns="http://schemas.microsoft.com/office/spreadsheetml/2018/threadedcomments" xmlns:x="http://schemas.openxmlformats.org/spreadsheetml/2006/main">
  <threadedComment ref="A8" dT="2021-08-23T15:21:28.51" personId="{A0EE1085-424D-4793-96CE-2B3CC27F8D15}" id="{6ABB56AA-F2C7-4804-8D1E-BDF5F359084E}">
    <text>What is NBM?</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youtube.com/watch?v=j3hHBZztmL4" TargetMode="Externa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epa.gov/sites/default/files/2019-10/documents/warm_v15_management_practices_updated_10-08-2019.pdf%20(page%2064%20pdf)"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5.bin"/><Relationship Id="rId1" Type="http://schemas.openxmlformats.org/officeDocument/2006/relationships/hyperlink" Target="https://www.iea.org/reports/the-future-of-petrochemicals"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efic.org/app/uploads/2019/01/Low-carbon-energy-and-feedstock-for-the-chemical-industry-DECHEMA_Report-energy_climate.pdf" TargetMode="External"/><Relationship Id="rId1" Type="http://schemas.openxmlformats.org/officeDocument/2006/relationships/hyperlink" Target="https://www.iea.org/reports/the-future-of-petrochemicals" TargetMode="External"/><Relationship Id="rId4"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marketresearchfuture.com/reports/ethylene-dichloride-market-2509"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iea.org/reports/the-future-of-petrochemicals"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mdpi.com/1996-1073/14/13/3772/pdf" TargetMode="External"/><Relationship Id="rId2" Type="http://schemas.openxmlformats.org/officeDocument/2006/relationships/hyperlink" Target="https://www.mdpi.com/1996-1073/14/13/3772/pdf" TargetMode="External"/><Relationship Id="rId1" Type="http://schemas.openxmlformats.org/officeDocument/2006/relationships/hyperlink" Target="https://www.mdpi.com/1996-1073/14/13/3772/pdf" TargetMode="External"/><Relationship Id="rId5" Type="http://schemas.openxmlformats.org/officeDocument/2006/relationships/printerSettings" Target="../printerSettings/printerSettings18.bin"/><Relationship Id="rId4" Type="http://schemas.openxmlformats.org/officeDocument/2006/relationships/hyperlink" Target="https://www.grandviewresearch.com/press-release/global-isobutene-market"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atozplastics.com/upload/literature/16_art_ethylene_scenario.asp" TargetMode="External"/><Relationship Id="rId2" Type="http://schemas.openxmlformats.org/officeDocument/2006/relationships/hyperlink" Target="https://www.marketresearchfuture.com/reports/ethylene-dichloride-market-2509" TargetMode="External"/><Relationship Id="rId1" Type="http://schemas.openxmlformats.org/officeDocument/2006/relationships/hyperlink" Target="https://www.iea.org/reports/the-future-of-petrochemicals" TargetMode="External"/><Relationship Id="rId5" Type="http://schemas.openxmlformats.org/officeDocument/2006/relationships/printerSettings" Target="../printerSettings/printerSettings19.bin"/><Relationship Id="rId4" Type="http://schemas.openxmlformats.org/officeDocument/2006/relationships/hyperlink" Target="https://www.statista.com/statistics/720296/global-polyvinyl-chloride-market-size-in-tons/"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www.essentialchemicalindustry.org/polymers/polypropenonitrile.html" TargetMode="External"/><Relationship Id="rId7" Type="http://schemas.openxmlformats.org/officeDocument/2006/relationships/printerSettings" Target="../printerSettings/printerSettings20.bin"/><Relationship Id="rId2" Type="http://schemas.openxmlformats.org/officeDocument/2006/relationships/hyperlink" Target="https://ihsmarkit.com/products/propionic-acid-chemical-economics-handbook.html" TargetMode="External"/><Relationship Id="rId1" Type="http://schemas.openxmlformats.org/officeDocument/2006/relationships/hyperlink" Target="https://www.iea.org/reports/the-future-of-petrochemicals" TargetMode="External"/><Relationship Id="rId6" Type="http://schemas.openxmlformats.org/officeDocument/2006/relationships/hyperlink" Target="http://article.sapub.org/10.5923.j.ajps.20160601.01.html" TargetMode="External"/><Relationship Id="rId5" Type="http://schemas.openxmlformats.org/officeDocument/2006/relationships/hyperlink" Target="https://www.researchgate.net/figure/Common-propylene-oxide-uses_fig1_269517484" TargetMode="External"/><Relationship Id="rId4" Type="http://schemas.openxmlformats.org/officeDocument/2006/relationships/hyperlink" Target="https://www.chemicalsafetyfacts.org/cumene/"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3" Type="http://schemas.openxmlformats.org/officeDocument/2006/relationships/hyperlink" Target="https://marketersmedia.com/phthalic-anhydride-market-size-industry-survey-competitive-trends-outlook-and-forecasts-2019-to-2023/88920301" TargetMode="External"/><Relationship Id="rId2" Type="http://schemas.openxmlformats.org/officeDocument/2006/relationships/hyperlink" Target="https://www.mordorintelligence.com/industry-reports/ortho-xylene-market" TargetMode="External"/><Relationship Id="rId1" Type="http://schemas.openxmlformats.org/officeDocument/2006/relationships/hyperlink" Target="https://marketersmedia.com/toluene-market-global-price-trend-2019-demand-overview-report-size-estimation-industry-share-business-opportunity-and-growth-forecast-2023/467668" TargetMode="External"/><Relationship Id="rId4" Type="http://schemas.openxmlformats.org/officeDocument/2006/relationships/hyperlink" Target="https://www.mordorintelligence.com/industry-reports/meta-xylene-market"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windeurope.org/wp-content/uploads/files/about-wind/reports/WindEurope-Accelerating-wind-turbine-blade-circularity.pdf" TargetMode="External"/><Relationship Id="rId2" Type="http://schemas.openxmlformats.org/officeDocument/2006/relationships/hyperlink" Target="https://www.plasticsinsight.com/resin-intelligence/resin-prices/ethylene-vinyl-acetate/" TargetMode="External"/><Relationship Id="rId1" Type="http://schemas.openxmlformats.org/officeDocument/2006/relationships/hyperlink" Target="https://eitrawmaterials.eu/wp-content/uploads/2020/04/rms_for_wind_and_solar_published_v2.pdf" TargetMode="External"/><Relationship Id="rId4" Type="http://schemas.openxmlformats.org/officeDocument/2006/relationships/drawing" Target="../drawings/drawing10.xml"/></Relationships>
</file>

<file path=xl/worksheets/_rels/sheet30.xml.rels><?xml version="1.0" encoding="UTF-8" standalone="yes"?>
<Relationships xmlns="http://schemas.openxmlformats.org/package/2006/relationships"><Relationship Id="rId1" Type="http://schemas.openxmlformats.org/officeDocument/2006/relationships/hyperlink" Target="https://eitrawmaterials.eu/wp-content/uploads/2020/04/rms_for_wind_and_solar_published_v2.pdf"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2.bin"/><Relationship Id="rId1" Type="http://schemas.openxmlformats.org/officeDocument/2006/relationships/hyperlink" Target="https://advances.sciencemag.org/content/advances/suppl/2017/07/17/3.7.e1700782.DC1/1700782_SM.pdf"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3" Type="http://schemas.openxmlformats.org/officeDocument/2006/relationships/hyperlink" Target="https://cdn.odi.org/media/documents/odi-et-cp-automotive-report-sep20-proof02_final2.pdf" TargetMode="External"/><Relationship Id="rId2" Type="http://schemas.openxmlformats.org/officeDocument/2006/relationships/hyperlink" Target="https://cdn.odi.org/media/documents/odi-et-cp-automotive-report-sep20-proof02_final2.pdf" TargetMode="External"/><Relationship Id="rId1" Type="http://schemas.openxmlformats.org/officeDocument/2006/relationships/hyperlink" Target="https://cdn.odi.org/media/documents/odi-et-cp-automotive-report-sep20-proof02_final2.pdf" TargetMode="External"/><Relationship Id="rId6" Type="http://schemas.openxmlformats.org/officeDocument/2006/relationships/drawing" Target="../drawings/drawing12.xml"/><Relationship Id="rId5" Type="http://schemas.openxmlformats.org/officeDocument/2006/relationships/hyperlink" Target="https://cdn.odi.org/media/documents/odi-et-cp-automotive-report-sep20-proof02_final2.pdf" TargetMode="External"/><Relationship Id="rId4" Type="http://schemas.openxmlformats.org/officeDocument/2006/relationships/hyperlink" Target="https://cdn.odi.org/media/documents/odi-et-cp-automotive-report-sep20-proof02_final2.pdf"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cdn.odi.org/media/documents/odi-et-cp-construction-report-sep20-proof04_final2.pdf" TargetMode="External"/><Relationship Id="rId2" Type="http://schemas.openxmlformats.org/officeDocument/2006/relationships/hyperlink" Target="https://cdn.odi.org/media/documents/odi-et-cp-construction-report-sep20-proof04_final2.pdf" TargetMode="External"/><Relationship Id="rId1" Type="http://schemas.openxmlformats.org/officeDocument/2006/relationships/hyperlink" Target="https://cdn.odi.org/media/documents/odi-et-cp-construction-report-sep20-proof04_final2.pdf" TargetMode="External"/><Relationship Id="rId4" Type="http://schemas.openxmlformats.org/officeDocument/2006/relationships/drawing" Target="../drawings/drawing13.xml"/></Relationships>
</file>

<file path=xl/worksheets/_rels/sheet35.xml.rels><?xml version="1.0" encoding="UTF-8" standalone="yes"?>
<Relationships xmlns="http://schemas.openxmlformats.org/package/2006/relationships"><Relationship Id="rId3" Type="http://schemas.openxmlformats.org/officeDocument/2006/relationships/hyperlink" Target="https://www.mckinsey.com/~/media/mckinsey/industries/retail/our%20insights/fashion%20on%20climate/fashion-on-climate-full-report.pdf" TargetMode="External"/><Relationship Id="rId2" Type="http://schemas.openxmlformats.org/officeDocument/2006/relationships/hyperlink" Target="https://www.mckinsey.com/~/media/mckinsey/industries/retail/our%20insights/fashion%20on%20climate/fashion-on-climate-full-report.pdf" TargetMode="External"/><Relationship Id="rId1" Type="http://schemas.openxmlformats.org/officeDocument/2006/relationships/hyperlink" Target="https://www.mckinsey.com/~/media/mckinsey/industries/retail/our%20insights/fashion%20on%20climate/fashion-on-climate-full-report.pdf"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 Id="rId4"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6.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 Id="rId4"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hyperlink" Target="https://www.goldsteinresearch.com/report/global-tire-recycling-industry-market-trends-analysis"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https://www.goldsteinresearch.com/report/global-tire-recycling-industry-market-trends-analysis"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https://advances.sciencemag.org/content/advances/suppl/2017/07/17/3.7.e1700782.DC1/1700782_SM.pdf"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1F4F-EBA0-401B-B429-BDBF2D8625D5}">
  <sheetPr>
    <tabColor rgb="FFFF0000"/>
  </sheetPr>
  <dimension ref="A1:B23"/>
  <sheetViews>
    <sheetView workbookViewId="0">
      <selection activeCell="B24" sqref="B24"/>
    </sheetView>
  </sheetViews>
  <sheetFormatPr baseColWidth="10" defaultColWidth="8.83203125" defaultRowHeight="15"/>
  <cols>
    <col min="1" max="1" width="87" customWidth="1"/>
    <col min="2" max="2" width="66.33203125" bestFit="1" customWidth="1"/>
  </cols>
  <sheetData>
    <row r="1" spans="1:2" ht="30" customHeight="1">
      <c r="A1" s="675" t="s">
        <v>1945</v>
      </c>
    </row>
    <row r="2" spans="1:2" ht="48">
      <c r="A2" s="676" t="s">
        <v>1946</v>
      </c>
    </row>
    <row r="4" spans="1:2">
      <c r="A4" s="677"/>
      <c r="B4" s="678"/>
    </row>
    <row r="5" spans="1:2">
      <c r="A5" s="1" t="s">
        <v>1947</v>
      </c>
      <c r="B5" s="1" t="s">
        <v>1948</v>
      </c>
    </row>
    <row r="6" spans="1:2">
      <c r="A6" t="s">
        <v>15</v>
      </c>
      <c r="B6" t="s">
        <v>1965</v>
      </c>
    </row>
    <row r="7" spans="1:2">
      <c r="A7" t="s">
        <v>1949</v>
      </c>
      <c r="B7" t="s">
        <v>1966</v>
      </c>
    </row>
    <row r="8" spans="1:2">
      <c r="A8" t="s">
        <v>1950</v>
      </c>
      <c r="B8" t="s">
        <v>1967</v>
      </c>
    </row>
    <row r="9" spans="1:2">
      <c r="A9" t="s">
        <v>1951</v>
      </c>
      <c r="B9" t="s">
        <v>1968</v>
      </c>
    </row>
    <row r="10" spans="1:2">
      <c r="A10" t="s">
        <v>1952</v>
      </c>
      <c r="B10" t="s">
        <v>1969</v>
      </c>
    </row>
    <row r="11" spans="1:2">
      <c r="A11" t="s">
        <v>1953</v>
      </c>
      <c r="B11" t="s">
        <v>1970</v>
      </c>
    </row>
    <row r="12" spans="1:2">
      <c r="A12" t="s">
        <v>1954</v>
      </c>
      <c r="B12" t="s">
        <v>1971</v>
      </c>
    </row>
    <row r="13" spans="1:2">
      <c r="A13" t="s">
        <v>1955</v>
      </c>
      <c r="B13" t="s">
        <v>1972</v>
      </c>
    </row>
    <row r="14" spans="1:2">
      <c r="A14" t="s">
        <v>1956</v>
      </c>
      <c r="B14" t="s">
        <v>1973</v>
      </c>
    </row>
    <row r="15" spans="1:2">
      <c r="A15" t="s">
        <v>1974</v>
      </c>
      <c r="B15" t="s">
        <v>1975</v>
      </c>
    </row>
    <row r="16" spans="1:2">
      <c r="A16" t="s">
        <v>1957</v>
      </c>
      <c r="B16" t="s">
        <v>1976</v>
      </c>
    </row>
    <row r="17" spans="1:2">
      <c r="A17" t="s">
        <v>1958</v>
      </c>
      <c r="B17" t="s">
        <v>1977</v>
      </c>
    </row>
    <row r="18" spans="1:2">
      <c r="A18" t="s">
        <v>1959</v>
      </c>
      <c r="B18" t="s">
        <v>1978</v>
      </c>
    </row>
    <row r="19" spans="1:2">
      <c r="A19" t="s">
        <v>1960</v>
      </c>
      <c r="B19" t="s">
        <v>1979</v>
      </c>
    </row>
    <row r="20" spans="1:2">
      <c r="A20" t="s">
        <v>1961</v>
      </c>
      <c r="B20" t="s">
        <v>1980</v>
      </c>
    </row>
    <row r="21" spans="1:2">
      <c r="A21" t="s">
        <v>1962</v>
      </c>
      <c r="B21" t="s">
        <v>1981</v>
      </c>
    </row>
    <row r="22" spans="1:2">
      <c r="A22" t="s">
        <v>1963</v>
      </c>
      <c r="B22" t="s">
        <v>1982</v>
      </c>
    </row>
    <row r="23" spans="1:2">
      <c r="A23" t="s">
        <v>1964</v>
      </c>
      <c r="B23" t="s">
        <v>1983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9E2B3-226C-4E57-96C6-C11626632AC1}">
  <sheetPr>
    <tabColor rgb="FF00B0F0"/>
  </sheetPr>
  <dimension ref="A1:AB61"/>
  <sheetViews>
    <sheetView zoomScale="90" zoomScaleNormal="90" workbookViewId="0">
      <selection activeCell="C23" sqref="C23"/>
    </sheetView>
  </sheetViews>
  <sheetFormatPr baseColWidth="10" defaultColWidth="8.83203125" defaultRowHeight="15"/>
  <cols>
    <col min="1" max="1" width="20.5" customWidth="1"/>
    <col min="2" max="2" width="32.1640625" customWidth="1"/>
    <col min="3" max="3" width="11.83203125" customWidth="1"/>
    <col min="4" max="4" width="3.5" customWidth="1"/>
    <col min="5" max="5" width="15.1640625" customWidth="1"/>
    <col min="6" max="6" width="19.5" customWidth="1"/>
    <col min="7" max="7" width="15.33203125" customWidth="1"/>
    <col min="8" max="8" width="3.5" customWidth="1"/>
    <col min="9" max="9" width="15.1640625" customWidth="1"/>
    <col min="10" max="10" width="19.5" customWidth="1"/>
    <col min="11" max="11" width="15.33203125" customWidth="1"/>
    <col min="12" max="12" width="2.6640625" customWidth="1"/>
    <col min="14" max="14" width="16.33203125" customWidth="1"/>
    <col min="16" max="16" width="4.33203125" customWidth="1"/>
    <col min="17" max="17" width="23.5" customWidth="1"/>
    <col min="18" max="18" width="18.6640625" customWidth="1"/>
    <col min="23" max="23" width="0" hidden="1" customWidth="1"/>
  </cols>
  <sheetData>
    <row r="1" spans="1:28">
      <c r="A1" t="s">
        <v>1915</v>
      </c>
    </row>
    <row r="2" spans="1:28" s="89" customFormat="1" ht="16" thickBot="1">
      <c r="A2" s="89" t="s">
        <v>1930</v>
      </c>
    </row>
    <row r="3" spans="1:28">
      <c r="B3" t="s">
        <v>1909</v>
      </c>
      <c r="F3" t="s">
        <v>1916</v>
      </c>
      <c r="J3" t="s">
        <v>1917</v>
      </c>
      <c r="N3" t="s">
        <v>1922</v>
      </c>
      <c r="R3" t="s">
        <v>1925</v>
      </c>
    </row>
    <row r="4" spans="1:28">
      <c r="B4" t="s">
        <v>1913</v>
      </c>
      <c r="C4" t="s">
        <v>462</v>
      </c>
      <c r="F4" t="s">
        <v>1913</v>
      </c>
      <c r="G4" t="s">
        <v>462</v>
      </c>
      <c r="J4" t="s">
        <v>1913</v>
      </c>
      <c r="K4" t="s">
        <v>462</v>
      </c>
      <c r="N4" t="s">
        <v>1913</v>
      </c>
      <c r="O4" t="s">
        <v>462</v>
      </c>
      <c r="R4" t="s">
        <v>1913</v>
      </c>
      <c r="S4" t="s">
        <v>462</v>
      </c>
    </row>
    <row r="5" spans="1:28">
      <c r="A5" t="s">
        <v>19</v>
      </c>
      <c r="B5" s="49">
        <f>C5*$B$10</f>
        <v>486.1890454181987</v>
      </c>
      <c r="C5" s="665">
        <v>0.995</v>
      </c>
      <c r="E5" t="s">
        <v>230</v>
      </c>
      <c r="F5" s="44">
        <f>R6</f>
        <v>0</v>
      </c>
      <c r="G5" s="2">
        <f>F5/$F$28</f>
        <v>0</v>
      </c>
      <c r="H5" s="2"/>
      <c r="I5" t="s">
        <v>1920</v>
      </c>
      <c r="J5" s="26">
        <f>'Job + CO2 Analysis'!D22</f>
        <v>30.315500465033136</v>
      </c>
      <c r="K5" s="2">
        <f>J5/$F$41</f>
        <v>6.0382141522042701E-2</v>
      </c>
      <c r="L5" s="2"/>
      <c r="M5" t="s">
        <v>22</v>
      </c>
      <c r="N5" s="26">
        <f>'Final Exhibits'!H5</f>
        <v>0</v>
      </c>
      <c r="O5" s="2">
        <f>N5/$N$7</f>
        <v>0</v>
      </c>
      <c r="P5" s="2"/>
      <c r="Q5" t="s">
        <v>1920</v>
      </c>
      <c r="R5" s="44">
        <f>'Job + CO2 Analysis'!D22</f>
        <v>30.315500465033136</v>
      </c>
      <c r="S5" s="2">
        <f t="shared" ref="S5:S13" si="0">R5/SUM($R$35)</f>
        <v>4.2741913610076641E-2</v>
      </c>
      <c r="V5" s="44"/>
    </row>
    <row r="6" spans="1:28">
      <c r="A6" t="s">
        <v>21</v>
      </c>
      <c r="B6" s="49">
        <f>C6*$B$10</f>
        <v>2.443161032252255</v>
      </c>
      <c r="C6" s="665">
        <v>5.0000000000000001E-3</v>
      </c>
      <c r="E6" t="s">
        <v>1919</v>
      </c>
      <c r="F6" s="26">
        <f>SUM('Final Exhibits'!B4:B10)-19</f>
        <v>488.63220645045095</v>
      </c>
      <c r="G6" s="2">
        <f>F6/$F$7</f>
        <v>1</v>
      </c>
      <c r="H6" s="2"/>
      <c r="I6" t="s">
        <v>1921</v>
      </c>
      <c r="J6" s="26">
        <f>F7</f>
        <v>488.63220645045095</v>
      </c>
      <c r="K6" s="2">
        <f>J6/$J$7</f>
        <v>0.9415827451185359</v>
      </c>
      <c r="L6" s="2"/>
      <c r="M6" t="s">
        <v>20</v>
      </c>
      <c r="N6" s="26">
        <f>J7</f>
        <v>518.9477069154841</v>
      </c>
      <c r="O6" s="2">
        <f>N6/$N$7</f>
        <v>1</v>
      </c>
      <c r="P6" s="2"/>
      <c r="Q6" t="s">
        <v>230</v>
      </c>
      <c r="R6" s="44">
        <f>'Job + CO2 Analysis'!BN3</f>
        <v>0</v>
      </c>
      <c r="S6" s="2">
        <f t="shared" si="0"/>
        <v>0</v>
      </c>
    </row>
    <row r="7" spans="1:28" ht="16" thickBot="1">
      <c r="A7" t="s">
        <v>24</v>
      </c>
      <c r="B7" s="49">
        <f>C7*$B$31</f>
        <v>0</v>
      </c>
      <c r="C7" s="665">
        <v>0</v>
      </c>
      <c r="E7" s="273" t="s">
        <v>35</v>
      </c>
      <c r="F7" s="664">
        <f>SUM(F5:F6)</f>
        <v>488.63220645045095</v>
      </c>
      <c r="G7" s="274">
        <f>F7/$F$7</f>
        <v>1</v>
      </c>
      <c r="H7" s="2"/>
      <c r="I7" s="273" t="s">
        <v>1924</v>
      </c>
      <c r="J7" s="664">
        <f>SUM(J5:J6)</f>
        <v>518.9477069154841</v>
      </c>
      <c r="K7" s="274">
        <f>J7/$J$7</f>
        <v>1</v>
      </c>
      <c r="L7" s="2"/>
      <c r="M7" s="273" t="s">
        <v>1923</v>
      </c>
      <c r="N7" s="664">
        <f>SUM(N5:N6)</f>
        <v>518.9477069154841</v>
      </c>
      <c r="O7" s="274">
        <f>N7/$N$7</f>
        <v>1</v>
      </c>
      <c r="P7" s="275"/>
      <c r="Q7" t="s">
        <v>23</v>
      </c>
      <c r="R7" s="44">
        <f>B9</f>
        <v>0</v>
      </c>
      <c r="S7" s="2">
        <f t="shared" si="0"/>
        <v>0</v>
      </c>
    </row>
    <row r="8" spans="1:28">
      <c r="A8" t="s">
        <v>27</v>
      </c>
      <c r="B8" s="49">
        <f>C8*$B$31</f>
        <v>0</v>
      </c>
      <c r="C8" s="665">
        <v>0</v>
      </c>
      <c r="F8" s="26"/>
      <c r="G8" s="2"/>
      <c r="H8" s="2"/>
      <c r="J8" s="26"/>
      <c r="K8" s="2"/>
      <c r="L8" s="2"/>
      <c r="Q8" t="s">
        <v>26</v>
      </c>
      <c r="R8" s="44">
        <f>'Job + CO2 Analysis'!D25+0.27*N6*AA8/SUM(AA8:AA12)</f>
        <v>91.891808508082178</v>
      </c>
      <c r="S8" s="2">
        <f t="shared" si="0"/>
        <v>0.12955853211977844</v>
      </c>
      <c r="AA8" s="2">
        <f>'Scope 3 Yearly'!AH11/SUM('Scope 3 Yearly'!$AH$11:$AH$16)</f>
        <v>0.32000000000000006</v>
      </c>
    </row>
    <row r="9" spans="1:28">
      <c r="A9" t="s">
        <v>30</v>
      </c>
      <c r="B9" s="49">
        <f>C9*$B$31</f>
        <v>0</v>
      </c>
      <c r="C9" s="665">
        <v>0</v>
      </c>
      <c r="G9" s="2"/>
      <c r="H9" s="2"/>
      <c r="J9" s="26"/>
      <c r="K9" s="2"/>
      <c r="L9" s="2"/>
      <c r="N9" s="26"/>
      <c r="O9" s="2"/>
      <c r="P9" s="2"/>
      <c r="Q9" t="s">
        <v>448</v>
      </c>
      <c r="R9" s="44">
        <f>'Job + CO2 Analysis'!D28</f>
        <v>79.404851189111085</v>
      </c>
      <c r="S9" s="2">
        <f t="shared" si="0"/>
        <v>0.11195313412887996</v>
      </c>
      <c r="AA9" s="2">
        <f>'Scope 3 Yearly'!AH14/SUM('Scope 3 Yearly'!$AH$11:$AH$16)</f>
        <v>0.16000000000000003</v>
      </c>
    </row>
    <row r="10" spans="1:28" ht="16" thickBot="1">
      <c r="A10" s="273" t="s">
        <v>67</v>
      </c>
      <c r="B10" s="664">
        <f>F6</f>
        <v>488.63220645045095</v>
      </c>
      <c r="C10" s="664"/>
      <c r="D10" s="27"/>
      <c r="F10" s="23"/>
      <c r="G10" s="2"/>
      <c r="H10" s="2"/>
      <c r="J10" s="26"/>
      <c r="K10" s="2"/>
      <c r="L10" s="2"/>
      <c r="N10" s="26"/>
      <c r="O10" s="2"/>
      <c r="P10" s="2"/>
      <c r="Q10" t="s">
        <v>31</v>
      </c>
      <c r="R10" s="44">
        <f>0</f>
        <v>0</v>
      </c>
      <c r="S10" s="2">
        <f t="shared" si="0"/>
        <v>0</v>
      </c>
      <c r="AA10" s="2">
        <f>0</f>
        <v>0</v>
      </c>
    </row>
    <row r="11" spans="1:28">
      <c r="G11" s="2"/>
      <c r="H11" s="2"/>
      <c r="J11" s="26"/>
      <c r="K11" s="2"/>
      <c r="L11" s="2"/>
      <c r="Q11" t="s">
        <v>33</v>
      </c>
      <c r="R11" s="44">
        <f>'Job + CO2 Analysis'!D26</f>
        <v>108.81405533322629</v>
      </c>
      <c r="S11" s="2">
        <f t="shared" si="0"/>
        <v>0.15341725788031696</v>
      </c>
      <c r="AA11" s="2">
        <f>'Scope 3 Yearly'!AH12/SUM('Scope 3 Yearly'!$AH$11:$AH$16)</f>
        <v>0.4200000000000001</v>
      </c>
    </row>
    <row r="12" spans="1:28">
      <c r="A12" t="s">
        <v>1927</v>
      </c>
      <c r="G12" s="2"/>
      <c r="H12" s="275"/>
      <c r="L12" s="275"/>
      <c r="Q12" t="s">
        <v>34</v>
      </c>
      <c r="R12" s="44">
        <f>'Job + CO2 Analysis'!D27+'Job + CO2 Analysis'!D29+'Job + CO2 Analysis'!D30</f>
        <v>58.818408288230437</v>
      </c>
      <c r="S12" s="2">
        <f t="shared" si="0"/>
        <v>8.2928247502874045E-2</v>
      </c>
      <c r="AA12" s="2">
        <f>SUM('Scope 3 Yearly'!AH13,'Scope 3 Yearly'!AH15,'Scope 3 Yearly'!AH16)/SUM('Scope 3 Yearly'!$AH$11:$AH$16)</f>
        <v>0.1</v>
      </c>
    </row>
    <row r="13" spans="1:28">
      <c r="A13" t="s">
        <v>1911</v>
      </c>
      <c r="H13" s="2"/>
      <c r="L13" s="2"/>
      <c r="Q13" t="s">
        <v>36</v>
      </c>
      <c r="R13" s="44">
        <f>N6-SUM(R5:R12)</f>
        <v>149.70308313180095</v>
      </c>
      <c r="S13" s="2">
        <f t="shared" si="0"/>
        <v>0.21106681889556475</v>
      </c>
      <c r="T13" s="2"/>
      <c r="AA13" s="2">
        <f>R13/N7</f>
        <v>0.28847431280042563</v>
      </c>
      <c r="AB13" s="6">
        <f>1-AA13</f>
        <v>0.71152568719957432</v>
      </c>
    </row>
    <row r="14" spans="1:28" ht="16" thickBot="1">
      <c r="A14" t="s">
        <v>1928</v>
      </c>
      <c r="H14" s="2"/>
      <c r="L14" s="2"/>
      <c r="Q14" s="273" t="s">
        <v>1926</v>
      </c>
      <c r="R14" s="664">
        <f>SUM(R5:R13)</f>
        <v>518.9477069154841</v>
      </c>
      <c r="S14" s="273"/>
    </row>
    <row r="15" spans="1:28">
      <c r="F15" s="23"/>
      <c r="H15" s="275"/>
      <c r="L15" s="275"/>
      <c r="O15" s="26"/>
      <c r="P15" s="26"/>
    </row>
    <row r="16" spans="1:28">
      <c r="F16" s="23"/>
      <c r="H16" s="275"/>
      <c r="L16" s="275"/>
      <c r="O16" s="26"/>
      <c r="P16" s="26"/>
    </row>
    <row r="18" spans="1:19" s="273" customFormat="1" ht="16" thickBot="1">
      <c r="A18" s="273" t="s">
        <v>1918</v>
      </c>
    </row>
    <row r="19" spans="1:19">
      <c r="E19" t="s">
        <v>37</v>
      </c>
      <c r="F19" s="26">
        <v>0</v>
      </c>
      <c r="G19" s="2">
        <f>F19/$F$41</f>
        <v>0</v>
      </c>
      <c r="I19" t="s">
        <v>37</v>
      </c>
      <c r="J19" s="26">
        <f>F19</f>
        <v>0</v>
      </c>
      <c r="K19" s="2">
        <f>J19/$J$41</f>
        <v>0</v>
      </c>
      <c r="M19" t="s">
        <v>37</v>
      </c>
      <c r="N19" s="26">
        <f>J19</f>
        <v>0</v>
      </c>
      <c r="O19" s="2">
        <f>N19/$N$41</f>
        <v>0</v>
      </c>
      <c r="P19" s="2"/>
    </row>
    <row r="20" spans="1:19">
      <c r="E20" t="s">
        <v>28</v>
      </c>
      <c r="F20" s="26">
        <v>0</v>
      </c>
      <c r="G20" s="2">
        <f>F20/$F$41</f>
        <v>0</v>
      </c>
      <c r="I20" t="s">
        <v>28</v>
      </c>
      <c r="J20" s="26">
        <f>F20</f>
        <v>0</v>
      </c>
      <c r="K20" s="2">
        <f>J20/$J$41</f>
        <v>0</v>
      </c>
      <c r="M20" t="s">
        <v>28</v>
      </c>
      <c r="N20" s="26">
        <f>J20</f>
        <v>0</v>
      </c>
      <c r="O20" s="2">
        <f t="shared" ref="O20" si="1">N20/$N$41</f>
        <v>0</v>
      </c>
      <c r="P20" s="2"/>
    </row>
    <row r="21" spans="1:19" ht="16" thickBot="1">
      <c r="E21" s="273" t="s">
        <v>1914</v>
      </c>
      <c r="F21" s="664">
        <f>SUM(F7:F20)</f>
        <v>488.63220645045095</v>
      </c>
      <c r="G21" s="274">
        <f>F21/$F$21</f>
        <v>1</v>
      </c>
      <c r="I21" s="273" t="s">
        <v>1914</v>
      </c>
      <c r="J21" s="664">
        <f>SUM(J7,J19,J20)</f>
        <v>518.9477069154841</v>
      </c>
      <c r="K21" s="274">
        <f>J21/$J$21</f>
        <v>1</v>
      </c>
      <c r="M21" s="273" t="s">
        <v>1914</v>
      </c>
      <c r="N21" s="664">
        <f>SUM(N7,N19,N20)</f>
        <v>518.9477069154841</v>
      </c>
      <c r="O21" s="274">
        <f>N21/$N$21</f>
        <v>1</v>
      </c>
      <c r="P21" s="275"/>
    </row>
    <row r="23" spans="1:19" s="89" customFormat="1" ht="16" thickBot="1">
      <c r="A23" s="89" t="s">
        <v>1912</v>
      </c>
    </row>
    <row r="24" spans="1:19">
      <c r="B24" t="s">
        <v>1909</v>
      </c>
      <c r="F24" t="s">
        <v>1916</v>
      </c>
      <c r="J24" t="s">
        <v>1917</v>
      </c>
      <c r="N24" t="s">
        <v>1922</v>
      </c>
      <c r="R24" t="s">
        <v>1925</v>
      </c>
    </row>
    <row r="25" spans="1:19">
      <c r="B25" t="s">
        <v>1913</v>
      </c>
      <c r="C25" t="s">
        <v>462</v>
      </c>
      <c r="F25" t="s">
        <v>1913</v>
      </c>
      <c r="G25" t="s">
        <v>462</v>
      </c>
      <c r="J25" t="s">
        <v>1913</v>
      </c>
      <c r="K25" t="s">
        <v>462</v>
      </c>
      <c r="N25" t="s">
        <v>1913</v>
      </c>
      <c r="O25" t="s">
        <v>462</v>
      </c>
      <c r="R25" t="s">
        <v>1913</v>
      </c>
      <c r="S25" t="s">
        <v>462</v>
      </c>
    </row>
    <row r="26" spans="1:19">
      <c r="A26" t="s">
        <v>19</v>
      </c>
      <c r="B26" s="49">
        <f>C26*$B$31</f>
        <v>351.1313891008711</v>
      </c>
      <c r="C26" s="665">
        <v>0.74100508984231517</v>
      </c>
      <c r="E26" t="s">
        <v>230</v>
      </c>
      <c r="F26" s="44">
        <f>R27</f>
        <v>9.7546725913874042</v>
      </c>
      <c r="G26" s="2">
        <f>F26/$F$28</f>
        <v>2.0170412648165856E-2</v>
      </c>
      <c r="H26" s="2"/>
      <c r="I26" t="s">
        <v>1920</v>
      </c>
      <c r="J26" s="26">
        <f>R26</f>
        <v>225.65573427792651</v>
      </c>
      <c r="K26" s="2">
        <f>J26/$J$28</f>
        <v>0.31815268599145663</v>
      </c>
      <c r="L26" s="2"/>
      <c r="M26" t="s">
        <v>22</v>
      </c>
      <c r="N26" s="26">
        <f>'Final Exhibits'!H25</f>
        <v>0</v>
      </c>
      <c r="O26" s="2">
        <f>N26/$N$28</f>
        <v>0</v>
      </c>
      <c r="P26" s="2"/>
      <c r="Q26" t="s">
        <v>1920</v>
      </c>
      <c r="R26" s="44">
        <f>'Job + CO2 Analysis'!BN22</f>
        <v>225.65573427792651</v>
      </c>
      <c r="S26" s="2">
        <f>R26/SUM($R$35)</f>
        <v>0.31815268599145663</v>
      </c>
    </row>
    <row r="27" spans="1:19">
      <c r="A27" t="s">
        <v>21</v>
      </c>
      <c r="B27" s="49">
        <f t="shared" ref="B27:B30" si="2">C27*$B$31</f>
        <v>72.952766693597098</v>
      </c>
      <c r="C27" s="665">
        <v>0.15395482464971191</v>
      </c>
      <c r="E27" t="s">
        <v>1919</v>
      </c>
      <c r="F27" s="26">
        <f>SUM('Final Exhibits'!K16:K22)-'Final Exhibits'!E10-'Final Exhibits'!B10+'Yearly Summary'!D37</f>
        <v>473.85826887584722</v>
      </c>
      <c r="G27" s="2">
        <f>F27/$F$28</f>
        <v>0.97982958735183412</v>
      </c>
      <c r="H27" s="2"/>
      <c r="I27" t="s">
        <v>1921</v>
      </c>
      <c r="J27" s="26">
        <f>F28</f>
        <v>483.61294146723463</v>
      </c>
      <c r="K27" s="2">
        <f>J27/$J$28</f>
        <v>0.68184731400854348</v>
      </c>
      <c r="L27" s="2"/>
      <c r="M27" t="s">
        <v>20</v>
      </c>
      <c r="N27" s="26">
        <f>J28</f>
        <v>709.26867574516109</v>
      </c>
      <c r="O27" s="2">
        <f t="shared" ref="O27:O28" si="3">N27/$N$28</f>
        <v>1</v>
      </c>
      <c r="P27" s="2"/>
      <c r="Q27" t="s">
        <v>230</v>
      </c>
      <c r="R27" s="44">
        <f>'Job + CO2 Analysis'!BN23</f>
        <v>9.7546725913874042</v>
      </c>
      <c r="S27" s="2">
        <f>R27/SUM($R$35)</f>
        <v>1.3753141686595843E-2</v>
      </c>
    </row>
    <row r="28" spans="1:19" ht="16" thickBot="1">
      <c r="A28" t="s">
        <v>24</v>
      </c>
      <c r="B28" s="49">
        <f>C28*$B$31</f>
        <v>36.000028525421868</v>
      </c>
      <c r="C28" s="665">
        <v>7.597214376110005E-2</v>
      </c>
      <c r="E28" s="273" t="s">
        <v>35</v>
      </c>
      <c r="F28" s="664">
        <f>SUM(F26:F27)</f>
        <v>483.61294146723463</v>
      </c>
      <c r="G28" s="274">
        <f>F28/$F$28</f>
        <v>1</v>
      </c>
      <c r="H28" s="2"/>
      <c r="I28" s="273" t="s">
        <v>1924</v>
      </c>
      <c r="J28" s="664">
        <f>SUM(J26:J27)</f>
        <v>709.26867574516109</v>
      </c>
      <c r="K28" s="274">
        <f>J28/$J$28</f>
        <v>1</v>
      </c>
      <c r="L28" s="2"/>
      <c r="M28" s="273" t="s">
        <v>1923</v>
      </c>
      <c r="N28" s="664">
        <f>SUM(N26:N27)</f>
        <v>709.26867574516109</v>
      </c>
      <c r="O28" s="274">
        <f t="shared" si="3"/>
        <v>1</v>
      </c>
      <c r="P28" s="275"/>
      <c r="Q28" t="s">
        <v>23</v>
      </c>
      <c r="R28" s="44">
        <f>B30</f>
        <v>13.774084555957149</v>
      </c>
      <c r="S28" s="2">
        <f>R28/SUM($R$35)</f>
        <v>1.9420122482479617E-2</v>
      </c>
    </row>
    <row r="29" spans="1:19">
      <c r="A29" t="s">
        <v>27</v>
      </c>
      <c r="B29" s="49">
        <f>C29*$B$31</f>
        <v>0</v>
      </c>
      <c r="C29" s="665">
        <v>0</v>
      </c>
      <c r="F29" s="26"/>
      <c r="G29" s="2"/>
      <c r="H29" s="2"/>
      <c r="J29" s="26"/>
      <c r="K29" s="2"/>
      <c r="L29" s="2"/>
      <c r="Q29" t="s">
        <v>26</v>
      </c>
      <c r="R29" s="44">
        <f>'Scope 3 Yearly'!BN19</f>
        <v>0.89491308553572324</v>
      </c>
      <c r="S29" s="2">
        <f t="shared" ref="S29:S34" si="4">R29/SUM($R$35)</f>
        <v>1.2617406014660429E-3</v>
      </c>
    </row>
    <row r="30" spans="1:19">
      <c r="A30" t="s">
        <v>30</v>
      </c>
      <c r="B30" s="49">
        <f t="shared" si="2"/>
        <v>13.774084555957149</v>
      </c>
      <c r="C30" s="665">
        <v>2.9067941746872872E-2</v>
      </c>
      <c r="G30" s="2"/>
      <c r="H30" s="2"/>
      <c r="J30" s="26"/>
      <c r="K30" s="2"/>
      <c r="L30" s="2"/>
      <c r="N30" s="26"/>
      <c r="O30" s="2"/>
      <c r="P30" s="2"/>
      <c r="Q30" t="s">
        <v>448</v>
      </c>
      <c r="R30" s="44">
        <f>'Scope 3 Yearly'!BN14</f>
        <v>45.220760526978331</v>
      </c>
      <c r="S30" s="2">
        <f t="shared" si="4"/>
        <v>6.3756883778166545E-2</v>
      </c>
    </row>
    <row r="31" spans="1:19" ht="16" thickBot="1">
      <c r="A31" s="273" t="s">
        <v>67</v>
      </c>
      <c r="B31" s="664">
        <f>F27</f>
        <v>473.85826887584722</v>
      </c>
      <c r="C31" s="664"/>
      <c r="D31" s="27"/>
      <c r="F31" s="23"/>
      <c r="G31" s="2"/>
      <c r="H31" s="2"/>
      <c r="J31" s="26"/>
      <c r="K31" s="2"/>
      <c r="L31" s="2"/>
      <c r="N31" s="26"/>
      <c r="O31" s="2"/>
      <c r="P31" s="2"/>
      <c r="Q31" t="s">
        <v>31</v>
      </c>
      <c r="R31" s="44">
        <f>'Scope 3 Yearly'!BN20-R28*'Scope 3 Yearly'!BN20/('Scope 3 Yearly'!BN20+'Scope 3 Yearly'!BN12)</f>
        <v>83.623842018652397</v>
      </c>
      <c r="S31" s="2">
        <f t="shared" si="4"/>
        <v>0.11790150175573</v>
      </c>
    </row>
    <row r="32" spans="1:19">
      <c r="F32" s="44">
        <f>B28-R31</f>
        <v>-47.623813493230529</v>
      </c>
      <c r="G32" s="2"/>
      <c r="H32" s="2"/>
      <c r="J32" s="26"/>
      <c r="K32" s="2"/>
      <c r="L32" s="2"/>
      <c r="Q32" t="s">
        <v>33</v>
      </c>
      <c r="R32" s="44">
        <f>'Scope 3 Yearly'!BN12-R28*'Scope 3 Yearly'!BN12/('Scope 3 Yearly'!BN20+'Scope 3 Yearly'!BN12)</f>
        <v>110.85317777712952</v>
      </c>
      <c r="S32" s="2">
        <f t="shared" si="4"/>
        <v>0.15629222263434464</v>
      </c>
    </row>
    <row r="33" spans="1:21">
      <c r="A33" t="s">
        <v>1927</v>
      </c>
      <c r="G33" s="2"/>
      <c r="H33" s="275"/>
      <c r="L33" s="275"/>
      <c r="Q33" t="s">
        <v>34</v>
      </c>
      <c r="R33" s="44">
        <f>'Scope 3 Yearly'!BN15+'Scope 3 Yearly'!BN13+'Scope 3 Yearly'!BN16</f>
        <v>28.262975329361453</v>
      </c>
      <c r="S33" s="2">
        <f t="shared" si="4"/>
        <v>3.9848052361354087E-2</v>
      </c>
    </row>
    <row r="34" spans="1:21">
      <c r="A34" t="s">
        <v>1911</v>
      </c>
      <c r="H34" s="2"/>
      <c r="L34" s="2"/>
      <c r="Q34" t="s">
        <v>36</v>
      </c>
      <c r="R34" s="44">
        <f>N27-SUM(R26:R33)</f>
        <v>191.22851558223249</v>
      </c>
      <c r="S34" s="2">
        <f t="shared" si="4"/>
        <v>0.26961364870840643</v>
      </c>
      <c r="U34" s="2">
        <f>R34/N28</f>
        <v>0.26961364870840643</v>
      </c>
    </row>
    <row r="35" spans="1:21" ht="16" thickBot="1">
      <c r="A35" t="s">
        <v>1928</v>
      </c>
      <c r="H35" s="2"/>
      <c r="L35" s="2"/>
      <c r="Q35" s="273" t="s">
        <v>1926</v>
      </c>
      <c r="R35" s="664">
        <f>SUM(R26:R34)</f>
        <v>709.26867574516109</v>
      </c>
      <c r="S35" s="273"/>
    </row>
    <row r="36" spans="1:21">
      <c r="F36" s="23"/>
      <c r="H36" s="275"/>
      <c r="L36" s="275"/>
      <c r="O36" s="26"/>
      <c r="P36" s="26"/>
      <c r="Q36" s="2"/>
      <c r="R36" s="44">
        <f>B31-SUM(R28:R33)</f>
        <v>191.22851558223266</v>
      </c>
    </row>
    <row r="38" spans="1:21" s="273" customFormat="1" ht="16" thickBot="1">
      <c r="A38" s="273" t="s">
        <v>1918</v>
      </c>
    </row>
    <row r="39" spans="1:21">
      <c r="E39" t="s">
        <v>37</v>
      </c>
      <c r="F39" s="26">
        <f>'Final Exhibits'!G24-'Job + CO2 Analysis'!BN5</f>
        <v>66.07157575188748</v>
      </c>
      <c r="G39" s="2">
        <f>F39/$F$41</f>
        <v>0.13160077110508206</v>
      </c>
      <c r="I39" t="s">
        <v>37</v>
      </c>
      <c r="J39" s="26">
        <f>F39</f>
        <v>66.07157575188748</v>
      </c>
      <c r="K39" s="2">
        <f>J39/$J$41</f>
        <v>8.5216233291531857E-2</v>
      </c>
      <c r="M39" t="s">
        <v>37</v>
      </c>
      <c r="N39" s="26">
        <f>J39</f>
        <v>66.07157575188748</v>
      </c>
      <c r="O39" s="2">
        <f>N39/$N$41</f>
        <v>8.5216233291531857E-2</v>
      </c>
      <c r="P39" s="2"/>
    </row>
    <row r="40" spans="1:21">
      <c r="E40" t="s">
        <v>28</v>
      </c>
      <c r="F40" s="26">
        <f>'Final Exhibits'!H25-'Job + CO2 Analysis'!BN6</f>
        <v>0</v>
      </c>
      <c r="G40" s="2">
        <f>F40/$F$41</f>
        <v>0</v>
      </c>
      <c r="I40" t="s">
        <v>28</v>
      </c>
      <c r="J40" s="26">
        <f>F40</f>
        <v>0</v>
      </c>
      <c r="K40" s="2">
        <f>J40/$J$41</f>
        <v>0</v>
      </c>
      <c r="M40" t="s">
        <v>28</v>
      </c>
      <c r="N40" s="26">
        <f>J40</f>
        <v>0</v>
      </c>
      <c r="O40" s="2">
        <f t="shared" ref="O40:O41" si="5">N40/$N$41</f>
        <v>0</v>
      </c>
      <c r="P40" s="2"/>
    </row>
    <row r="41" spans="1:21" ht="16" thickBot="1">
      <c r="E41" s="273" t="s">
        <v>1914</v>
      </c>
      <c r="F41" s="664">
        <f>SUM(F28:F40)</f>
        <v>502.06070372589159</v>
      </c>
      <c r="G41" s="274">
        <f>F41/$F$41</f>
        <v>1</v>
      </c>
      <c r="I41" s="273" t="s">
        <v>1914</v>
      </c>
      <c r="J41" s="664">
        <f>SUM(J28,J39,J40)</f>
        <v>775.3402514970486</v>
      </c>
      <c r="K41" s="274">
        <f>J41/$J$41</f>
        <v>1</v>
      </c>
      <c r="M41" s="273" t="s">
        <v>1914</v>
      </c>
      <c r="N41" s="664">
        <f>SUM(N28,N39,N40)</f>
        <v>775.3402514970486</v>
      </c>
      <c r="O41" s="274">
        <f t="shared" si="5"/>
        <v>1</v>
      </c>
      <c r="P41" s="275"/>
    </row>
    <row r="43" spans="1:21" s="89" customFormat="1" ht="16" thickBot="1">
      <c r="A43" s="89" t="s">
        <v>1929</v>
      </c>
    </row>
    <row r="44" spans="1:21">
      <c r="B44" t="s">
        <v>1909</v>
      </c>
      <c r="F44" t="s">
        <v>1916</v>
      </c>
      <c r="J44" t="s">
        <v>1917</v>
      </c>
      <c r="N44" t="s">
        <v>1922</v>
      </c>
      <c r="R44" t="s">
        <v>1925</v>
      </c>
    </row>
    <row r="45" spans="1:21">
      <c r="B45" t="s">
        <v>1913</v>
      </c>
      <c r="C45" t="s">
        <v>462</v>
      </c>
      <c r="F45" t="s">
        <v>1913</v>
      </c>
      <c r="G45" t="s">
        <v>462</v>
      </c>
      <c r="J45" t="s">
        <v>1913</v>
      </c>
      <c r="K45" t="s">
        <v>462</v>
      </c>
      <c r="N45" t="s">
        <v>1913</v>
      </c>
      <c r="O45" t="s">
        <v>462</v>
      </c>
      <c r="R45" t="s">
        <v>1913</v>
      </c>
      <c r="S45" t="s">
        <v>462</v>
      </c>
    </row>
    <row r="46" spans="1:21">
      <c r="A46" t="s">
        <v>19</v>
      </c>
      <c r="B46" s="49">
        <f>C46*$B$51</f>
        <v>84.364424277781083</v>
      </c>
      <c r="C46" s="672">
        <v>0.17803725252684133</v>
      </c>
      <c r="E46" t="s">
        <v>230</v>
      </c>
      <c r="F46" s="44">
        <f>R47</f>
        <v>9.7546725913874042</v>
      </c>
      <c r="G46" s="2">
        <f>F46/$F$28</f>
        <v>2.0170412648165856E-2</v>
      </c>
      <c r="H46" s="2"/>
      <c r="I46" t="s">
        <v>1920</v>
      </c>
      <c r="J46" s="26">
        <f>R46</f>
        <v>225.65573427792651</v>
      </c>
      <c r="K46" s="2">
        <f>J46/$J$48</f>
        <v>0.31815268599145663</v>
      </c>
      <c r="L46" s="2"/>
      <c r="M46" t="s">
        <v>22</v>
      </c>
      <c r="N46" s="26">
        <f>N26</f>
        <v>0</v>
      </c>
      <c r="O46" s="2">
        <f>N46/$N$28</f>
        <v>0</v>
      </c>
      <c r="P46" s="2"/>
      <c r="Q46" t="s">
        <v>1920</v>
      </c>
      <c r="R46" s="44">
        <f>R26</f>
        <v>225.65573427792651</v>
      </c>
      <c r="S46" s="2">
        <f>R46/SUM($R$35)</f>
        <v>0.31815268599145663</v>
      </c>
    </row>
    <row r="47" spans="1:21">
      <c r="A47" t="s">
        <v>21</v>
      </c>
      <c r="B47" s="49">
        <f t="shared" ref="B47:B49" si="6">C47*$B$51</f>
        <v>205.09934923617348</v>
      </c>
      <c r="C47" s="672">
        <v>0.43282846941288755</v>
      </c>
      <c r="E47" t="s">
        <v>1919</v>
      </c>
      <c r="F47" s="26">
        <f>F27</f>
        <v>473.85826887584722</v>
      </c>
      <c r="G47" s="2">
        <f>F47/$F$28</f>
        <v>0.97982958735183412</v>
      </c>
      <c r="H47" s="2"/>
      <c r="I47" t="s">
        <v>1921</v>
      </c>
      <c r="J47" s="26">
        <f>F48</f>
        <v>483.61294146723463</v>
      </c>
      <c r="K47" s="2">
        <f>J47/$J$48</f>
        <v>0.68184731400854348</v>
      </c>
      <c r="L47" s="2"/>
      <c r="M47" t="s">
        <v>20</v>
      </c>
      <c r="N47" s="26">
        <f>J48</f>
        <v>709.26867574516109</v>
      </c>
      <c r="O47" s="2">
        <f t="shared" ref="O47:O48" si="7">N47/$N$28</f>
        <v>1</v>
      </c>
      <c r="P47" s="2"/>
      <c r="Q47" t="s">
        <v>230</v>
      </c>
      <c r="R47" s="44">
        <f>R27</f>
        <v>9.7546725913874042</v>
      </c>
      <c r="S47" s="2">
        <f>R47/SUM($R$35)</f>
        <v>1.3753141686595843E-2</v>
      </c>
    </row>
    <row r="48" spans="1:21" ht="16" thickBot="1">
      <c r="A48" t="s">
        <v>24</v>
      </c>
      <c r="B48" s="49">
        <f t="shared" si="6"/>
        <v>87.352314693304777</v>
      </c>
      <c r="C48" s="672">
        <v>0.18434270420253326</v>
      </c>
      <c r="E48" s="273" t="s">
        <v>35</v>
      </c>
      <c r="F48" s="664">
        <f>SUM(F46:F47)</f>
        <v>483.61294146723463</v>
      </c>
      <c r="G48" s="274">
        <f>F48/$F$61</f>
        <v>0.96325591283732726</v>
      </c>
      <c r="H48" s="2"/>
      <c r="I48" s="273" t="s">
        <v>1924</v>
      </c>
      <c r="J48" s="664">
        <f>SUM(J46:J47)</f>
        <v>709.26867574516109</v>
      </c>
      <c r="K48" s="274">
        <f>J48/$J$48</f>
        <v>1</v>
      </c>
      <c r="L48" s="2"/>
      <c r="M48" s="273" t="s">
        <v>1923</v>
      </c>
      <c r="N48" s="664">
        <f>SUM(N46:N47)</f>
        <v>709.26867574516109</v>
      </c>
      <c r="O48" s="274">
        <f t="shared" si="7"/>
        <v>1</v>
      </c>
      <c r="P48" s="275"/>
      <c r="Q48" t="s">
        <v>23</v>
      </c>
      <c r="R48" s="44">
        <f>B50</f>
        <v>11.56175335922679</v>
      </c>
      <c r="S48" s="2">
        <f>R48/SUM($R$35)</f>
        <v>1.6300950196454052E-2</v>
      </c>
    </row>
    <row r="49" spans="1:21">
      <c r="A49" t="s">
        <v>27</v>
      </c>
      <c r="B49" s="49">
        <f t="shared" si="6"/>
        <v>85.480427309361033</v>
      </c>
      <c r="C49" s="672">
        <v>0.18039239351494202</v>
      </c>
      <c r="F49" s="26"/>
      <c r="G49" s="2"/>
      <c r="H49" s="2"/>
      <c r="J49" s="26"/>
      <c r="K49" s="2"/>
      <c r="L49" s="2"/>
      <c r="Q49" t="s">
        <v>26</v>
      </c>
      <c r="R49" s="44">
        <f>R29</f>
        <v>0.89491308553572324</v>
      </c>
      <c r="S49" s="2">
        <f t="shared" ref="S49:S54" si="8">R49/SUM($R$35)</f>
        <v>1.2617406014660429E-3</v>
      </c>
    </row>
    <row r="50" spans="1:21">
      <c r="A50" t="s">
        <v>30</v>
      </c>
      <c r="B50" s="49">
        <f>C50*$B$51</f>
        <v>11.56175335922679</v>
      </c>
      <c r="C50" s="672">
        <v>2.4399180342795739E-2</v>
      </c>
      <c r="G50" s="2"/>
      <c r="H50" s="2"/>
      <c r="J50" s="26"/>
      <c r="K50" s="2"/>
      <c r="L50" s="2"/>
      <c r="N50" s="26"/>
      <c r="O50" s="2"/>
      <c r="P50" s="2"/>
      <c r="Q50" t="s">
        <v>448</v>
      </c>
      <c r="R50" s="44">
        <f>R30</f>
        <v>45.220760526978331</v>
      </c>
      <c r="S50" s="2">
        <f t="shared" si="8"/>
        <v>6.3756883778166545E-2</v>
      </c>
    </row>
    <row r="51" spans="1:21" ht="16" thickBot="1">
      <c r="A51" s="273" t="s">
        <v>67</v>
      </c>
      <c r="B51" s="664">
        <f>F47</f>
        <v>473.85826887584722</v>
      </c>
      <c r="C51" s="664"/>
      <c r="D51" s="27"/>
      <c r="E51" s="3"/>
      <c r="F51" s="23"/>
      <c r="G51" s="2"/>
      <c r="H51" s="2"/>
      <c r="J51" s="26"/>
      <c r="K51" s="2"/>
      <c r="L51" s="2"/>
      <c r="N51" s="26"/>
      <c r="O51" s="2"/>
      <c r="P51" s="2"/>
      <c r="Q51" t="s">
        <v>31</v>
      </c>
      <c r="R51" s="44">
        <f>'Scope 3 Yearly'!BN20-R48*'Scope 3 Yearly'!BN20/('Scope 3 Yearly'!BN20+'Scope 3 Yearly'!BN12)</f>
        <v>84.575129912114491</v>
      </c>
      <c r="S51" s="2">
        <f t="shared" si="8"/>
        <v>0.11924272536533416</v>
      </c>
    </row>
    <row r="52" spans="1:21">
      <c r="E52" s="3"/>
      <c r="H52" s="2"/>
      <c r="J52" s="26"/>
      <c r="K52" s="2"/>
      <c r="L52" s="2"/>
      <c r="Q52" t="s">
        <v>33</v>
      </c>
      <c r="R52" s="44">
        <f>'Scope 3 Yearly'!BN12-R48*'Scope 3 Yearly'!BN12/('Scope 3 Yearly'!BN20+'Scope 3 Yearly'!BN12)</f>
        <v>112.11422108039777</v>
      </c>
      <c r="S52" s="2">
        <f t="shared" si="8"/>
        <v>0.15807017131076601</v>
      </c>
    </row>
    <row r="53" spans="1:21">
      <c r="A53" t="s">
        <v>1927</v>
      </c>
      <c r="E53" s="670"/>
      <c r="G53" s="2"/>
      <c r="H53" s="275"/>
      <c r="L53" s="275"/>
      <c r="Q53" t="s">
        <v>34</v>
      </c>
      <c r="R53" s="44">
        <f>R33</f>
        <v>28.262975329361453</v>
      </c>
      <c r="S53" s="2">
        <f t="shared" si="8"/>
        <v>3.9848052361354087E-2</v>
      </c>
    </row>
    <row r="54" spans="1:21">
      <c r="A54" t="s">
        <v>1911</v>
      </c>
      <c r="E54" s="3"/>
      <c r="H54" s="2"/>
      <c r="L54" s="2"/>
      <c r="Q54" t="s">
        <v>36</v>
      </c>
      <c r="R54" s="44">
        <f>N47-SUM(R46:R53)</f>
        <v>191.22851558223249</v>
      </c>
      <c r="S54" s="2">
        <f t="shared" si="8"/>
        <v>0.26961364870840643</v>
      </c>
      <c r="U54" s="2">
        <f>R54/N48</f>
        <v>0.26961364870840643</v>
      </c>
    </row>
    <row r="55" spans="1:21" ht="16" thickBot="1">
      <c r="A55" t="s">
        <v>1928</v>
      </c>
      <c r="E55" s="670"/>
      <c r="H55" s="2"/>
      <c r="L55" s="2"/>
      <c r="Q55" s="273" t="s">
        <v>1926</v>
      </c>
      <c r="R55" s="664">
        <f>SUM(R46:R54)</f>
        <v>709.26867574516109</v>
      </c>
      <c r="S55" s="273"/>
    </row>
    <row r="56" spans="1:21">
      <c r="E56" s="671"/>
      <c r="F56" s="23"/>
      <c r="H56" s="275"/>
      <c r="L56" s="275"/>
      <c r="O56" s="26"/>
      <c r="P56" s="26"/>
      <c r="Q56" s="2"/>
    </row>
    <row r="58" spans="1:21" s="273" customFormat="1" ht="16" thickBot="1">
      <c r="A58" s="273" t="s">
        <v>1918</v>
      </c>
    </row>
    <row r="59" spans="1:21">
      <c r="E59" t="s">
        <v>37</v>
      </c>
      <c r="F59" s="26">
        <f>F39</f>
        <v>66.07157575188748</v>
      </c>
      <c r="G59" s="2">
        <f>F59/$F$41</f>
        <v>0.13160077110508206</v>
      </c>
      <c r="I59" t="s">
        <v>37</v>
      </c>
      <c r="J59" s="26">
        <f>J39</f>
        <v>66.07157575188748</v>
      </c>
      <c r="K59" s="2">
        <f>J59/$J$41</f>
        <v>8.5216233291531857E-2</v>
      </c>
      <c r="M59" t="s">
        <v>37</v>
      </c>
      <c r="N59" s="26">
        <f>N39</f>
        <v>66.07157575188748</v>
      </c>
      <c r="O59" s="2">
        <f>N59/$N$41</f>
        <v>8.5216233291531857E-2</v>
      </c>
      <c r="P59" s="2"/>
    </row>
    <row r="60" spans="1:21">
      <c r="E60" t="s">
        <v>28</v>
      </c>
      <c r="F60" s="26">
        <f t="shared" ref="F60:F61" si="9">F40</f>
        <v>0</v>
      </c>
      <c r="G60" s="2">
        <f>F60/$F$41</f>
        <v>0</v>
      </c>
      <c r="I60" t="s">
        <v>28</v>
      </c>
      <c r="J60" s="26">
        <f t="shared" ref="J60:J61" si="10">J40</f>
        <v>0</v>
      </c>
      <c r="K60" s="2">
        <f>J60/$J$41</f>
        <v>0</v>
      </c>
      <c r="M60" t="s">
        <v>28</v>
      </c>
      <c r="N60" s="26">
        <f t="shared" ref="N60:N61" si="11">N40</f>
        <v>0</v>
      </c>
      <c r="O60" s="2">
        <f t="shared" ref="O60:O61" si="12">N60/$N$41</f>
        <v>0</v>
      </c>
      <c r="P60" s="2"/>
    </row>
    <row r="61" spans="1:21" ht="16" thickBot="1">
      <c r="E61" s="273" t="s">
        <v>1914</v>
      </c>
      <c r="F61" s="664">
        <f t="shared" si="9"/>
        <v>502.06070372589159</v>
      </c>
      <c r="G61" s="274">
        <f>F61/$F$41</f>
        <v>1</v>
      </c>
      <c r="I61" s="273" t="s">
        <v>1914</v>
      </c>
      <c r="J61" s="664">
        <f t="shared" si="10"/>
        <v>775.3402514970486</v>
      </c>
      <c r="K61" s="274">
        <f>J61/$J$41</f>
        <v>1</v>
      </c>
      <c r="M61" s="273" t="s">
        <v>1914</v>
      </c>
      <c r="N61" s="664">
        <f t="shared" si="11"/>
        <v>775.3402514970486</v>
      </c>
      <c r="O61" s="274">
        <f t="shared" si="12"/>
        <v>1</v>
      </c>
      <c r="P61" s="275"/>
    </row>
  </sheetData>
  <phoneticPr fontId="2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A10D-A103-493C-8794-EFF392CA9648}">
  <sheetPr>
    <tabColor rgb="FF00B0F0"/>
  </sheetPr>
  <dimension ref="A1:S85"/>
  <sheetViews>
    <sheetView topLeftCell="A52" zoomScale="90" zoomScaleNormal="90" workbookViewId="0">
      <selection activeCell="A73" sqref="A73:H79"/>
    </sheetView>
  </sheetViews>
  <sheetFormatPr baseColWidth="10" defaultColWidth="8.83203125" defaultRowHeight="15"/>
  <cols>
    <col min="3" max="3" width="14.5" customWidth="1"/>
    <col min="8" max="8" width="20.5" bestFit="1" customWidth="1"/>
    <col min="13" max="14" width="16.5" bestFit="1" customWidth="1"/>
    <col min="19" max="19" width="17.5" bestFit="1" customWidth="1"/>
  </cols>
  <sheetData>
    <row r="1" spans="1:19" s="645" customFormat="1" ht="16" thickBot="1">
      <c r="A1" s="644" t="s">
        <v>38</v>
      </c>
    </row>
    <row r="2" spans="1:19">
      <c r="A2" s="30"/>
      <c r="B2" s="652">
        <v>2020</v>
      </c>
      <c r="C2" s="652" t="s">
        <v>39</v>
      </c>
      <c r="D2" s="652" t="s">
        <v>40</v>
      </c>
      <c r="E2" s="652" t="s">
        <v>39</v>
      </c>
      <c r="F2" s="652" t="s">
        <v>41</v>
      </c>
    </row>
    <row r="4" spans="1:19">
      <c r="A4" s="30" t="s">
        <v>10</v>
      </c>
      <c r="B4" s="653">
        <f>'Yearly Summary'!D57</f>
        <v>14.947368421052632</v>
      </c>
      <c r="C4" s="140">
        <f>D4-B4</f>
        <v>10.107590694893696</v>
      </c>
      <c r="D4" s="653">
        <f>'Yearly Summary'!AH57-E4</f>
        <v>25.054959115946328</v>
      </c>
      <c r="E4" s="137">
        <f>'Yearly Butadiene'!AH42</f>
        <v>0</v>
      </c>
      <c r="F4" s="653">
        <f>D4+E4</f>
        <v>25.054959115946328</v>
      </c>
      <c r="L4" s="30" t="s">
        <v>42</v>
      </c>
      <c r="M4" s="30" t="s">
        <v>4</v>
      </c>
      <c r="N4" s="30" t="s">
        <v>5</v>
      </c>
      <c r="O4" s="30" t="s">
        <v>6</v>
      </c>
      <c r="P4" s="30" t="s">
        <v>7</v>
      </c>
      <c r="Q4" s="30" t="s">
        <v>8</v>
      </c>
      <c r="R4" s="30" t="s">
        <v>9</v>
      </c>
      <c r="S4" s="30" t="s">
        <v>10</v>
      </c>
    </row>
    <row r="5" spans="1:19">
      <c r="A5" s="30" t="s">
        <v>9</v>
      </c>
      <c r="B5" s="653">
        <f>'Yearly Summary'!D52</f>
        <v>50.26162504910581</v>
      </c>
      <c r="C5" s="140">
        <f t="shared" ref="C5:C10" si="0">D5-B5</f>
        <v>18.121485319254141</v>
      </c>
      <c r="D5" s="653">
        <f>'Yearly Summary'!AH52-E5</f>
        <v>68.383110368359951</v>
      </c>
      <c r="E5" s="137">
        <f>'Yearly BTX'!AH66+'Yearly BTX'!AH17*'Yearly BTX'!AH24/SUM('Yearly BTX'!AH24:AH26)</f>
        <v>1.3109583100999971</v>
      </c>
      <c r="F5" s="653">
        <f t="shared" ref="F5:F11" si="1">D5+E5</f>
        <v>69.694068678459942</v>
      </c>
      <c r="I5" t="s">
        <v>43</v>
      </c>
      <c r="K5">
        <v>2020</v>
      </c>
      <c r="L5" s="26">
        <f>B11</f>
        <v>185</v>
      </c>
      <c r="M5" s="26">
        <f>B9</f>
        <v>162.69230769230768</v>
      </c>
      <c r="N5" s="26">
        <f>B8</f>
        <v>111.92307692307692</v>
      </c>
      <c r="O5" s="26">
        <f>B10</f>
        <v>101.9602667020169</v>
      </c>
      <c r="P5" s="26">
        <f>B7</f>
        <v>51.832300831890365</v>
      </c>
      <c r="Q5" s="26">
        <f>B6</f>
        <v>14.015260831000658</v>
      </c>
      <c r="R5" s="26">
        <f>B5</f>
        <v>50.26162504910581</v>
      </c>
      <c r="S5" s="26">
        <f>B4</f>
        <v>14.947368421052632</v>
      </c>
    </row>
    <row r="6" spans="1:19">
      <c r="A6" s="30" t="s">
        <v>8</v>
      </c>
      <c r="B6" s="653">
        <f>'Yearly Summary'!D47</f>
        <v>14.015260831000658</v>
      </c>
      <c r="C6" s="140">
        <f t="shared" si="0"/>
        <v>5.259672628658004</v>
      </c>
      <c r="D6" s="653">
        <f>'Yearly Summary'!AH47-E6</f>
        <v>19.274933459658662</v>
      </c>
      <c r="E6" s="137">
        <f>'Yearly BTX'!AH65+'Yearly BTX'!AH17*'Yearly BTX'!AH25/SUM('Yearly BTX'!AH24:AH26)</f>
        <v>0.15898953721959133</v>
      </c>
      <c r="F6" s="653">
        <f t="shared" si="1"/>
        <v>19.433922996878252</v>
      </c>
      <c r="K6">
        <v>2050</v>
      </c>
      <c r="L6" s="26">
        <f>D11</f>
        <v>227.54</v>
      </c>
      <c r="M6" s="26">
        <f>D9</f>
        <v>255</v>
      </c>
      <c r="N6" s="26">
        <f>D8</f>
        <v>160</v>
      </c>
      <c r="O6" s="26">
        <f>D10</f>
        <v>145.59945711418746</v>
      </c>
      <c r="P6" s="26">
        <f>D7</f>
        <v>70.854945324211641</v>
      </c>
      <c r="Q6" s="26">
        <f>D6</f>
        <v>19.274933459658662</v>
      </c>
      <c r="R6" s="26">
        <f>D5</f>
        <v>68.383110368359951</v>
      </c>
      <c r="S6" s="26">
        <f>D4</f>
        <v>25.054959115946328</v>
      </c>
    </row>
    <row r="7" spans="1:19">
      <c r="A7" s="30" t="s">
        <v>7</v>
      </c>
      <c r="B7" s="653">
        <f>'Yearly Summary'!D42</f>
        <v>51.832300831890365</v>
      </c>
      <c r="C7" s="140">
        <f t="shared" si="0"/>
        <v>19.022644492321277</v>
      </c>
      <c r="D7" s="653">
        <f>'Yearly Summary'!AH42-E7</f>
        <v>70.854945324211641</v>
      </c>
      <c r="E7" s="140">
        <f>'Yearly BTX'!AH64+'Yearly BTX'!AH17*'Yearly BTX'!AH26/SUM('Yearly BTX'!AH24:AH26)</f>
        <v>1.0170630004501853</v>
      </c>
      <c r="F7" s="653">
        <f t="shared" si="1"/>
        <v>71.87200832466182</v>
      </c>
      <c r="H7" t="s">
        <v>44</v>
      </c>
      <c r="I7" s="26">
        <f>SUM(B4:B11)</f>
        <v>692.63220645045089</v>
      </c>
    </row>
    <row r="8" spans="1:19">
      <c r="A8" s="30" t="s">
        <v>5</v>
      </c>
      <c r="B8" s="653">
        <f>'Yearly Summary'!D32</f>
        <v>111.92307692307692</v>
      </c>
      <c r="C8" s="140">
        <f t="shared" si="0"/>
        <v>48.07692307692308</v>
      </c>
      <c r="D8" s="653">
        <f>'Yearly Summary'!AH32-E8</f>
        <v>160</v>
      </c>
      <c r="E8" s="137">
        <f>'Yearly HC Propylene'!AH41</f>
        <v>2.924099258717086</v>
      </c>
      <c r="F8" s="653">
        <f t="shared" si="1"/>
        <v>162.92409925871709</v>
      </c>
      <c r="H8" t="s">
        <v>45</v>
      </c>
      <c r="I8" s="26">
        <f>SUM(D4:D11)</f>
        <v>971.70740538236396</v>
      </c>
      <c r="K8" t="s">
        <v>1938</v>
      </c>
      <c r="M8">
        <f>SUM('Yearly LC Ethylene'!AH81:AH82,'Yearly LC Ethylene'!AH146:AH147,'Yearly LC Ethylene'!AH155:AH156)</f>
        <v>100.86221012412139</v>
      </c>
      <c r="N8">
        <f>SUM('Yearly LC Propylene'!AH39:AH40,'Yearly LC Propylene'!AH66:AH67,'Yearly LC Propylene'!AH69:AH70)</f>
        <v>49.550461766837998</v>
      </c>
      <c r="S8" s="43">
        <f>SUM('Yearly Butadiene'!BN43:BN44,'Yearly Butadiene'!BN71:BN72,'Yearly Butadiene'!BN74:BN75)</f>
        <v>1.946164612283301</v>
      </c>
    </row>
    <row r="9" spans="1:19">
      <c r="A9" s="30" t="s">
        <v>4</v>
      </c>
      <c r="B9" s="653">
        <f>'Yearly Summary'!D27</f>
        <v>162.69230769230768</v>
      </c>
      <c r="C9" s="140">
        <f>D9-B9</f>
        <v>92.307692307692321</v>
      </c>
      <c r="D9" s="653">
        <f>'Yearly Summary'!AH27-E9</f>
        <v>255</v>
      </c>
      <c r="E9" s="137">
        <f>'Yearly HC Ethylene'!AH83</f>
        <v>25.104592840330554</v>
      </c>
      <c r="F9" s="653">
        <f t="shared" si="1"/>
        <v>280.10459284033055</v>
      </c>
      <c r="H9" t="s">
        <v>46</v>
      </c>
      <c r="I9" s="23">
        <f>(I8/I7)^(1/30)-1</f>
        <v>1.1349104742712779E-2</v>
      </c>
      <c r="K9" t="s">
        <v>366</v>
      </c>
      <c r="M9" s="669">
        <f>M6-'Yearly Summary'!BN28-'Final Exhibits'!M8</f>
        <v>-25.104592840330554</v>
      </c>
      <c r="N9" s="669">
        <f>N6-'Yearly Summary'!BN33-'Final Exhibits'!N8</f>
        <v>-2.9240992587170922</v>
      </c>
      <c r="S9" s="669">
        <f>S6-'Yearly Summary'!BN58-'Final Exhibits'!S8</f>
        <v>0</v>
      </c>
    </row>
    <row r="10" spans="1:19">
      <c r="A10" s="30" t="s">
        <v>6</v>
      </c>
      <c r="B10" s="674">
        <f>'Yearly Summary'!D37+31</f>
        <v>101.9602667020169</v>
      </c>
      <c r="C10" s="140">
        <f t="shared" si="0"/>
        <v>43.639190412170564</v>
      </c>
      <c r="D10" s="653">
        <f>'Yearly Summary'!AH37</f>
        <v>145.59945711418746</v>
      </c>
      <c r="E10" s="666">
        <f>290</f>
        <v>290</v>
      </c>
      <c r="F10" s="653">
        <f>D10+E10</f>
        <v>435.59945711418743</v>
      </c>
    </row>
    <row r="11" spans="1:19">
      <c r="A11" s="30" t="s">
        <v>42</v>
      </c>
      <c r="B11" s="653">
        <f>'Yearly Summary'!D14</f>
        <v>185</v>
      </c>
      <c r="C11" s="140">
        <f>D11-B11</f>
        <v>42.539999999999992</v>
      </c>
      <c r="D11" s="653">
        <v>227.54</v>
      </c>
      <c r="E11" s="653">
        <v>786</v>
      </c>
      <c r="F11" s="653">
        <f t="shared" si="1"/>
        <v>1013.54</v>
      </c>
    </row>
    <row r="12" spans="1:19" ht="16" thickBot="1"/>
    <row r="13" spans="1:19" s="645" customFormat="1" ht="16" thickBot="1">
      <c r="A13" s="644" t="s">
        <v>47</v>
      </c>
    </row>
    <row r="14" spans="1:19" s="115" customFormat="1">
      <c r="A14" s="30"/>
      <c r="B14" s="652">
        <f>B2</f>
        <v>2020</v>
      </c>
      <c r="C14" s="652" t="str">
        <f>C2</f>
        <v>Label</v>
      </c>
      <c r="D14" s="652" t="str">
        <f>D2</f>
        <v>2050 BAU</v>
      </c>
      <c r="E14" s="652" t="str">
        <f>E2</f>
        <v>Label</v>
      </c>
      <c r="F14" s="652" t="str">
        <f>F2</f>
        <v>2050 decarbonized BAU</v>
      </c>
      <c r="G14" s="652" t="s">
        <v>39</v>
      </c>
      <c r="H14" s="652"/>
      <c r="I14" s="652" t="s">
        <v>39</v>
      </c>
      <c r="J14" s="652" t="s">
        <v>39</v>
      </c>
      <c r="K14" s="652" t="s">
        <v>48</v>
      </c>
      <c r="L14" s="652" t="s">
        <v>39</v>
      </c>
      <c r="M14" s="652"/>
      <c r="N14" s="652" t="s">
        <v>39</v>
      </c>
      <c r="O14" s="652" t="s">
        <v>39</v>
      </c>
      <c r="P14" s="654" t="s">
        <v>49</v>
      </c>
    </row>
    <row r="16" spans="1:19">
      <c r="A16" s="30" t="s">
        <v>10</v>
      </c>
      <c r="B16" s="653">
        <f t="shared" ref="B16:F22" si="2">B4</f>
        <v>14.947368421052632</v>
      </c>
      <c r="C16" s="653">
        <f t="shared" si="2"/>
        <v>10.107590694893696</v>
      </c>
      <c r="D16" s="653">
        <f t="shared" si="2"/>
        <v>25.054959115946328</v>
      </c>
      <c r="E16" s="653">
        <f t="shared" si="2"/>
        <v>0</v>
      </c>
      <c r="F16" s="653">
        <f t="shared" si="2"/>
        <v>25.054959115946328</v>
      </c>
      <c r="G16" s="653"/>
      <c r="H16" s="653"/>
      <c r="I16" s="653"/>
      <c r="J16" s="653"/>
      <c r="K16" s="653">
        <f>'Yearly Summary'!BN58</f>
        <v>23.108794503663027</v>
      </c>
      <c r="L16" s="653"/>
      <c r="M16" s="653"/>
      <c r="N16" s="653"/>
      <c r="O16" s="653"/>
      <c r="P16" s="653">
        <f>'Yearly Summary'!AH58</f>
        <v>23.108794503663027</v>
      </c>
      <c r="S16" s="2">
        <f>E16/F16</f>
        <v>0</v>
      </c>
    </row>
    <row r="17" spans="1:19">
      <c r="A17" s="30" t="s">
        <v>9</v>
      </c>
      <c r="B17" s="653">
        <f t="shared" si="2"/>
        <v>50.26162504910581</v>
      </c>
      <c r="C17" s="653">
        <f t="shared" si="2"/>
        <v>18.121485319254141</v>
      </c>
      <c r="D17" s="653">
        <f t="shared" si="2"/>
        <v>68.383110368359951</v>
      </c>
      <c r="E17" s="653">
        <f t="shared" si="2"/>
        <v>1.3109583100999971</v>
      </c>
      <c r="F17" s="653">
        <f t="shared" si="2"/>
        <v>69.694068678459942</v>
      </c>
      <c r="G17" s="653"/>
      <c r="H17" s="653"/>
      <c r="I17" s="653"/>
      <c r="J17" s="653"/>
      <c r="K17" s="653">
        <f>'Yearly Summary'!BN53</f>
        <v>46.053260950069671</v>
      </c>
      <c r="L17" s="653"/>
      <c r="M17" s="653"/>
      <c r="N17" s="653"/>
      <c r="O17" s="653"/>
      <c r="P17" s="653">
        <f>'Yearly Summary'!AH53</f>
        <v>45.299975414509852</v>
      </c>
      <c r="S17" s="2">
        <f t="shared" ref="S17:S23" si="3">E17/F17</f>
        <v>1.8810184782699729E-2</v>
      </c>
    </row>
    <row r="18" spans="1:19">
      <c r="A18" s="30" t="s">
        <v>8</v>
      </c>
      <c r="B18" s="653">
        <f t="shared" si="2"/>
        <v>14.015260831000658</v>
      </c>
      <c r="C18" s="653">
        <f t="shared" si="2"/>
        <v>5.259672628658004</v>
      </c>
      <c r="D18" s="653">
        <f t="shared" si="2"/>
        <v>19.274933459658662</v>
      </c>
      <c r="E18" s="653">
        <f t="shared" si="2"/>
        <v>0.15898953721959133</v>
      </c>
      <c r="F18" s="653">
        <f t="shared" si="2"/>
        <v>19.433922996878252</v>
      </c>
      <c r="G18" s="653"/>
      <c r="H18" s="653"/>
      <c r="I18" s="653"/>
      <c r="J18" s="653"/>
      <c r="K18" s="653">
        <f>'Yearly Summary'!BN48</f>
        <v>12.841774688000196</v>
      </c>
      <c r="L18" s="653"/>
      <c r="M18" s="653"/>
      <c r="N18" s="653"/>
      <c r="O18" s="653"/>
      <c r="P18" s="653">
        <f>'Yearly Summary'!AH48</f>
        <v>12.6317239136614</v>
      </c>
      <c r="S18" s="2">
        <f t="shared" si="3"/>
        <v>8.1810315521539546E-3</v>
      </c>
    </row>
    <row r="19" spans="1:19">
      <c r="A19" s="30" t="s">
        <v>7</v>
      </c>
      <c r="B19" s="653">
        <f t="shared" si="2"/>
        <v>51.832300831890365</v>
      </c>
      <c r="C19" s="653">
        <f t="shared" si="2"/>
        <v>19.022644492321277</v>
      </c>
      <c r="D19" s="653">
        <f t="shared" si="2"/>
        <v>70.854945324211641</v>
      </c>
      <c r="E19" s="653">
        <f t="shared" si="2"/>
        <v>1.0170630004501853</v>
      </c>
      <c r="F19" s="653">
        <f t="shared" si="2"/>
        <v>71.87200832466182</v>
      </c>
      <c r="G19" s="653"/>
      <c r="H19" s="653"/>
      <c r="I19" s="653"/>
      <c r="J19" s="653"/>
      <c r="K19" s="653">
        <f>'Yearly Summary'!BN43</f>
        <v>47.492425354759348</v>
      </c>
      <c r="L19" s="653"/>
      <c r="M19" s="653"/>
      <c r="N19" s="653"/>
      <c r="O19" s="653"/>
      <c r="P19" s="653">
        <f>'Yearly Summary'!AH43</f>
        <v>46.715599646213285</v>
      </c>
      <c r="S19" s="2">
        <f t="shared" si="3"/>
        <v>1.4151030758120546E-2</v>
      </c>
    </row>
    <row r="20" spans="1:19">
      <c r="A20" s="30" t="s">
        <v>5</v>
      </c>
      <c r="B20" s="653">
        <f t="shared" si="2"/>
        <v>111.92307692307692</v>
      </c>
      <c r="C20" s="653">
        <f t="shared" si="2"/>
        <v>48.07692307692308</v>
      </c>
      <c r="D20" s="653">
        <f t="shared" si="2"/>
        <v>160</v>
      </c>
      <c r="E20" s="653">
        <f t="shared" si="2"/>
        <v>2.924099258717086</v>
      </c>
      <c r="F20" s="653">
        <f t="shared" si="2"/>
        <v>162.92409925871709</v>
      </c>
      <c r="G20" s="653"/>
      <c r="H20" s="653"/>
      <c r="I20" s="653"/>
      <c r="J20" s="653"/>
      <c r="K20" s="653">
        <f>'Yearly Summary'!BN33</f>
        <v>113.37363749187909</v>
      </c>
      <c r="L20" s="653"/>
      <c r="M20" s="653"/>
      <c r="N20" s="653"/>
      <c r="O20" s="653"/>
      <c r="P20" s="653">
        <f>'Yearly Summary'!AH33</f>
        <v>111.5645356642359</v>
      </c>
      <c r="S20" s="2">
        <f t="shared" si="3"/>
        <v>1.7947616540593733E-2</v>
      </c>
    </row>
    <row r="21" spans="1:19">
      <c r="A21" s="30" t="s">
        <v>4</v>
      </c>
      <c r="B21" s="653">
        <f t="shared" si="2"/>
        <v>162.69230769230768</v>
      </c>
      <c r="C21" s="653">
        <f t="shared" si="2"/>
        <v>92.307692307692321</v>
      </c>
      <c r="D21" s="653">
        <f t="shared" si="2"/>
        <v>255</v>
      </c>
      <c r="E21" s="653">
        <f t="shared" si="2"/>
        <v>25.104592840330554</v>
      </c>
      <c r="F21" s="653">
        <f t="shared" si="2"/>
        <v>280.10459284033055</v>
      </c>
      <c r="G21" s="653"/>
      <c r="H21" s="653"/>
      <c r="I21" s="653"/>
      <c r="J21" s="653"/>
      <c r="K21" s="653">
        <f>'Yearly Summary'!BN28</f>
        <v>179.24238271620916</v>
      </c>
      <c r="L21" s="653"/>
      <c r="M21" s="653"/>
      <c r="N21" s="653"/>
      <c r="O21" s="653"/>
      <c r="P21" s="653">
        <f>'Yearly Summary'!AH28</f>
        <v>175.32748455532999</v>
      </c>
      <c r="S21" s="2">
        <f t="shared" si="3"/>
        <v>8.9625780804819047E-2</v>
      </c>
    </row>
    <row r="22" spans="1:19">
      <c r="A22" s="30" t="s">
        <v>6</v>
      </c>
      <c r="B22" s="653">
        <f t="shared" si="2"/>
        <v>101.9602667020169</v>
      </c>
      <c r="C22" s="653">
        <f t="shared" si="2"/>
        <v>43.639190412170564</v>
      </c>
      <c r="D22" s="653">
        <f t="shared" si="2"/>
        <v>145.59945711418746</v>
      </c>
      <c r="E22" s="653">
        <f>E10</f>
        <v>290</v>
      </c>
      <c r="F22" s="653">
        <f t="shared" si="2"/>
        <v>435.59945711418743</v>
      </c>
      <c r="G22" s="653"/>
      <c r="H22" s="653"/>
      <c r="I22" s="653"/>
      <c r="J22" s="653"/>
      <c r="K22" s="653">
        <f>'Yearly Summary'!BN38+E10-'Yearly Methanol'!AH71</f>
        <v>372.74599317126672</v>
      </c>
      <c r="L22" s="653"/>
      <c r="M22" s="653"/>
      <c r="N22" s="653"/>
      <c r="O22" s="653"/>
      <c r="P22" s="653">
        <f>'Yearly Summary'!AH38+E10-'Yearly Methanol'!AH71</f>
        <v>372.44078502631373</v>
      </c>
      <c r="S22" s="2"/>
    </row>
    <row r="23" spans="1:19">
      <c r="A23" s="30" t="s">
        <v>42</v>
      </c>
      <c r="B23" s="653">
        <f>B11</f>
        <v>185</v>
      </c>
      <c r="C23" s="653">
        <f>C11</f>
        <v>42.539999999999992</v>
      </c>
      <c r="D23" s="653">
        <f>D11</f>
        <v>227.54</v>
      </c>
      <c r="E23" s="653">
        <f>E11</f>
        <v>786</v>
      </c>
      <c r="F23" s="653">
        <f>D23+E23</f>
        <v>1013.54</v>
      </c>
      <c r="G23" s="653"/>
      <c r="H23" s="653"/>
      <c r="I23" s="653"/>
      <c r="J23" s="653"/>
      <c r="K23" s="653">
        <f>'Yearly Summary'!BN15</f>
        <v>417.7170531914893</v>
      </c>
      <c r="L23" s="653"/>
      <c r="M23" s="653"/>
      <c r="N23" s="653"/>
      <c r="O23" s="653"/>
      <c r="P23" s="653">
        <f>'Yearly Summary'!AH15</f>
        <v>417.7170531914893</v>
      </c>
      <c r="S23" s="2">
        <f t="shared" si="3"/>
        <v>0.77549973360696178</v>
      </c>
    </row>
    <row r="24" spans="1:19">
      <c r="A24" s="30" t="s">
        <v>25</v>
      </c>
      <c r="B24" s="137"/>
      <c r="C24" s="137"/>
      <c r="D24" s="137"/>
      <c r="E24" s="137"/>
      <c r="F24" s="653"/>
      <c r="G24" s="653">
        <f>SUM('Job + CO2 Analysis'!BN5,'Job + CO2 Analysis'!BN7,'Job + CO2 Analysis'!BN8,'Job + CO2 Analysis'!BN13,'Job + CO2 Analysis'!BN14,'Job + CO2 Analysis'!BN16,'Job + CO2 Analysis'!BN19)</f>
        <v>66.07157575188748</v>
      </c>
      <c r="H24" s="653"/>
      <c r="I24" s="653"/>
      <c r="J24" s="653"/>
      <c r="K24" s="653"/>
      <c r="L24" s="653">
        <f>SUM('Job + CO2 Analysis'!AH5,'Job + CO2 Analysis'!AH7,'Job + CO2 Analysis'!AH8,'Job + CO2 Analysis'!AH13,'Job + CO2 Analysis'!AH14,'Job + CO2 Analysis'!AH16,'Job + CO2 Analysis'!AH19)</f>
        <v>66.07157575188748</v>
      </c>
      <c r="M24" s="653"/>
      <c r="N24" s="653"/>
      <c r="O24" s="653"/>
      <c r="P24" s="26"/>
    </row>
    <row r="25" spans="1:19">
      <c r="A25" s="30" t="s">
        <v>50</v>
      </c>
      <c r="B25" s="137"/>
      <c r="C25" s="137"/>
      <c r="D25" s="137"/>
      <c r="E25" s="137"/>
      <c r="F25" s="653"/>
      <c r="G25" s="653"/>
      <c r="H25" s="653">
        <f>SUM('Job + CO2 Analysis'!BN9,'Job + CO2 Analysis'!BN12,'Job + CO2 Analysis'!BN17)</f>
        <v>0</v>
      </c>
      <c r="I25" s="653"/>
      <c r="J25" s="653"/>
      <c r="K25" s="653"/>
      <c r="L25" s="653"/>
      <c r="M25" s="653">
        <f>SUM('Job + CO2 Analysis'!AH9,'Job + CO2 Analysis'!AH12,'Job + CO2 Analysis'!AH17)</f>
        <v>0</v>
      </c>
      <c r="N25" s="653"/>
      <c r="O25" s="653"/>
      <c r="P25" s="26"/>
    </row>
    <row r="26" spans="1:19">
      <c r="A26" s="30" t="s">
        <v>28</v>
      </c>
      <c r="B26" s="137"/>
      <c r="C26" s="137"/>
      <c r="D26" s="137"/>
      <c r="E26" s="137"/>
      <c r="F26" s="653"/>
      <c r="G26" s="653"/>
      <c r="H26" s="653"/>
      <c r="I26" s="653">
        <f>SUM('Job + CO2 Analysis'!BN6,'Job + CO2 Analysis'!BN10,'Job + CO2 Analysis'!BN11,'Job + CO2 Analysis'!BN15,'Job + CO2 Analysis'!BN18,'Job + CO2 Analysis'!BN20)</f>
        <v>0</v>
      </c>
      <c r="J26" s="653"/>
      <c r="K26" s="653"/>
      <c r="L26" s="653"/>
      <c r="M26" s="653"/>
      <c r="N26" s="653">
        <f>SUM('Job + CO2 Analysis'!AH6,'Job + CO2 Analysis'!AH10,'Job + CO2 Analysis'!AH11,'Job + CO2 Analysis'!AH15,'Job + CO2 Analysis'!AH18,'Job + CO2 Analysis'!AH20)</f>
        <v>0</v>
      </c>
      <c r="O26" s="653"/>
      <c r="P26" s="26"/>
    </row>
    <row r="27" spans="1:19">
      <c r="A27" s="30" t="s">
        <v>51</v>
      </c>
      <c r="B27" s="137"/>
      <c r="C27" s="137"/>
      <c r="D27" s="137"/>
      <c r="E27" s="137"/>
      <c r="F27" s="653"/>
      <c r="G27" s="653"/>
      <c r="H27" s="653"/>
      <c r="I27" s="653"/>
      <c r="J27" s="653">
        <f>'Job + CO2 Analysis'!BN22+'Job + CO2 Analysis'!BN23-'Job + CO2 Analysis'!AJ22-'Job + CO2 Analysis'!AJ23</f>
        <v>205.09482708739333</v>
      </c>
      <c r="K27" s="653"/>
      <c r="L27" s="653"/>
      <c r="M27" s="653"/>
      <c r="N27" s="653"/>
      <c r="O27" s="653">
        <f>'Job + CO2 Analysis'!AH22+'Job + CO2 Analysis'!AH23-'Job + CO2 Analysis'!D22-'Job + CO2 Analysis'!D23</f>
        <v>212.83851475480733</v>
      </c>
      <c r="P27" s="26"/>
    </row>
    <row r="28" spans="1:19">
      <c r="A28" s="30" t="s">
        <v>52</v>
      </c>
      <c r="B28" s="137"/>
      <c r="C28" s="137"/>
      <c r="D28" s="137"/>
      <c r="E28" s="137"/>
      <c r="F28" s="653"/>
      <c r="G28" s="653">
        <f>G24</f>
        <v>66.07157575188748</v>
      </c>
      <c r="H28" s="653"/>
      <c r="I28" s="653"/>
      <c r="J28" s="653"/>
      <c r="K28" s="653"/>
      <c r="L28" s="653">
        <f>L24</f>
        <v>66.07157575188748</v>
      </c>
      <c r="M28" s="653"/>
      <c r="N28" s="653"/>
      <c r="O28" s="653"/>
      <c r="P28" s="26"/>
    </row>
    <row r="29" spans="1:19">
      <c r="F29" s="26"/>
      <c r="G29" s="26"/>
      <c r="H29" s="26"/>
      <c r="I29" s="26"/>
      <c r="J29" s="26"/>
      <c r="K29" s="26"/>
      <c r="L29" s="26"/>
      <c r="M29" s="26"/>
      <c r="N29" s="26"/>
      <c r="O29" s="26"/>
      <c r="P29" s="26"/>
    </row>
    <row r="30" spans="1:19">
      <c r="A30" s="30" t="s">
        <v>53</v>
      </c>
      <c r="B30" s="26">
        <f>SUM(B16:B23)</f>
        <v>692.63220645045089</v>
      </c>
      <c r="D30" s="26">
        <f>SUM(D16:D23)</f>
        <v>971.70740538236396</v>
      </c>
      <c r="F30" s="26">
        <f>SUM(F16:F23)</f>
        <v>2078.2231083291813</v>
      </c>
      <c r="G30" s="26"/>
      <c r="H30" s="26"/>
      <c r="I30" s="26"/>
      <c r="J30" s="26">
        <f>F30-G24-I26-J27-H25</f>
        <v>1807.0567054899007</v>
      </c>
      <c r="K30" s="26">
        <f>SUM(K16:K23)</f>
        <v>1212.5753220673364</v>
      </c>
      <c r="L30" s="26"/>
      <c r="M30" s="26"/>
      <c r="N30" s="26"/>
      <c r="O30" s="26">
        <f>F30-L24-N26-O27-M25</f>
        <v>1799.3130178224865</v>
      </c>
      <c r="P30" s="26">
        <f>SUM(P16:P23)</f>
        <v>1204.8059519154165</v>
      </c>
    </row>
    <row r="31" spans="1:19" ht="16" thickBot="1">
      <c r="B31" s="26">
        <f>B30-B23</f>
        <v>507.63220645045089</v>
      </c>
      <c r="D31" s="26">
        <f>D30-D23</f>
        <v>744.167405382364</v>
      </c>
      <c r="F31" s="26">
        <f>'Yearly Summary'!AH9+'Final Exhibits'!E22</f>
        <v>1589.6618317334367</v>
      </c>
      <c r="G31" s="26"/>
      <c r="H31" s="26"/>
      <c r="I31" s="26"/>
      <c r="J31" s="26"/>
      <c r="K31" s="26"/>
      <c r="L31" s="26"/>
      <c r="M31" s="26"/>
      <c r="N31" s="26"/>
      <c r="O31" s="26"/>
      <c r="P31" s="26"/>
      <c r="Q31" s="26"/>
      <c r="R31" s="26"/>
    </row>
    <row r="32" spans="1:19" s="645" customFormat="1" ht="16" thickBot="1">
      <c r="A32" s="644" t="s">
        <v>54</v>
      </c>
    </row>
    <row r="33" spans="1:17">
      <c r="A33" t="s">
        <v>55</v>
      </c>
      <c r="F33" t="s">
        <v>56</v>
      </c>
      <c r="G33">
        <v>2161.7746358608824</v>
      </c>
      <c r="H33" t="s">
        <v>57</v>
      </c>
      <c r="I33" t="s">
        <v>58</v>
      </c>
    </row>
    <row r="34" spans="1:17">
      <c r="A34" t="s">
        <v>59</v>
      </c>
      <c r="H34" s="2">
        <f>(SUM('Job + CO2 Analysis'!AH5:AH20,'Job + CO2 Analysis'!AH22:AH23)-SUM('Job + CO2 Analysis'!D22:D23))/SUM('Job + CO2 Analysis'!AH4,'Job + CO2 Analysis'!AH21+E10)</f>
        <v>0.11579595526534374</v>
      </c>
      <c r="I34" s="2">
        <f>(SUM('Job + CO2 Analysis'!BN5:BN20,'Job + CO2 Analysis'!BN22:BN23)-SUM('Job + CO2 Analysis'!AJ22:AJ23))/SUM('Job + CO2 Analysis'!BN21,'Job + CO2 Analysis'!BN4,E10)</f>
        <v>0.11258098477397263</v>
      </c>
      <c r="K34" s="2">
        <f>SUM(L24:O27)/SUM(F16:F23)</f>
        <v>0.13420603850898799</v>
      </c>
      <c r="L34" s="2">
        <f>(SUM(G24:J27))/SUM(F16:F23)</f>
        <v>0.13047992862387575</v>
      </c>
      <c r="M34" t="s">
        <v>53</v>
      </c>
    </row>
    <row r="35" spans="1:17">
      <c r="A35" t="s">
        <v>60</v>
      </c>
      <c r="H35" s="2">
        <f>(SUM('Job + CO2 Analysis'!AH7:AH20,'Job + CO2 Analysis'!AH22:AH23)-SUM('Job + CO2 Analysis'!D22:D23))/SUM(F16:F22)</f>
        <v>0.26196535694493306</v>
      </c>
      <c r="I35" s="2">
        <f>(SUM('Job + CO2 Analysis'!BN7:BN20,'Job + CO2 Analysis'!BN22:BN23)-SUM('Job + CO2 Analysis'!AJ22:AJ23))/SUM(F16:F22)</f>
        <v>0.25469212455603357</v>
      </c>
      <c r="N35" t="s">
        <v>61</v>
      </c>
      <c r="P35" s="2">
        <f>(SUM('Job + CO2 Analysis'!AH7:AH20))/SUM(F16:F22)</f>
        <v>6.2057503528514052E-2</v>
      </c>
      <c r="Q35" s="2">
        <f>(SUM('Job + CO2 Analysis'!BN7:BN20))/SUM(F16:F22)</f>
        <v>6.2057503528514052E-2</v>
      </c>
    </row>
    <row r="36" spans="1:17">
      <c r="A36" t="s">
        <v>25</v>
      </c>
      <c r="G36" s="2">
        <f>G24/SUM(G24:J27)</f>
        <v>0.2436569392818469</v>
      </c>
      <c r="H36" s="2"/>
      <c r="I36" s="2">
        <f>L24/SUM(L24:O27)</f>
        <v>0.23689202363333475</v>
      </c>
      <c r="J36" s="2"/>
    </row>
    <row r="37" spans="1:17">
      <c r="A37" t="s">
        <v>50</v>
      </c>
      <c r="G37" s="2">
        <f>H25/SUM(G24:J27)</f>
        <v>0</v>
      </c>
      <c r="H37" s="2"/>
      <c r="I37" s="2">
        <f>M25/SUM(L24:O27)</f>
        <v>0</v>
      </c>
      <c r="J37" s="2"/>
      <c r="K37" s="6"/>
      <c r="L37" s="6"/>
      <c r="M37" s="6"/>
    </row>
    <row r="38" spans="1:17">
      <c r="A38" t="s">
        <v>28</v>
      </c>
      <c r="G38" s="2">
        <f>I26/SUM(G24:J27)</f>
        <v>0</v>
      </c>
      <c r="H38" s="2"/>
      <c r="I38" s="2">
        <f>N26/SUM(L24:O27)</f>
        <v>0</v>
      </c>
      <c r="J38" s="2"/>
    </row>
    <row r="39" spans="1:17">
      <c r="A39" t="s">
        <v>51</v>
      </c>
      <c r="G39" s="2">
        <f>J27/SUM(G24:J27)</f>
        <v>0.75634306071815305</v>
      </c>
      <c r="H39" s="2"/>
      <c r="I39" s="2">
        <f>O27/SUM(L24:O27)</f>
        <v>0.76310797636666527</v>
      </c>
      <c r="J39" s="2"/>
    </row>
    <row r="40" spans="1:17">
      <c r="A40" t="s">
        <v>62</v>
      </c>
      <c r="G40" s="2">
        <f>('Job + CO2 Analysis'!BN22-'Job + CO2 Analysis'!AJ22)/SUM(H40)</f>
        <v>0.34578636220482473</v>
      </c>
      <c r="H40" s="43">
        <f>F16*SUM('Demand Breakdown - C4'!G18:G20)+SUM(F17:F19)*SUM('Demand Breakdown - BTX'!I20:I22)+D22*SUM('Demand Breakdown - Methanol'!C3:C11)+F20*SUM('Demand Breakdown - Propylene'!C25:C27)+F21*SUM('Demand Breakdown - Ethylene'!C34:C40)-SUM('Job + CO2 Analysis'!BN8:BN18)</f>
        <v>564.91595726145101</v>
      </c>
      <c r="I40" s="2">
        <f>('Job + CO2 Analysis'!AH22-'Job + CO2 Analysis'!D22)/SUM(J40)</f>
        <v>0.34578636220482473</v>
      </c>
      <c r="J40" s="43">
        <f>F16*SUM('Demand Breakdown - C4'!G18:G20)+SUM(F17:F19)*SUM('Demand Breakdown - BTX'!I20:I22)+D22*SUM('Demand Breakdown - Methanol'!C3:C11)+F20*SUM('Demand Breakdown - Propylene'!C25:C27)+F21*SUM('Demand Breakdown - Ethylene'!C34:C40)-SUM('Job + CO2 Analysis'!AH8:AH18)</f>
        <v>564.91595726145101</v>
      </c>
    </row>
    <row r="41" spans="1:17">
      <c r="A41" t="s">
        <v>63</v>
      </c>
      <c r="G41" s="2">
        <f>'Job + CO2 Analysis'!BN22/SUM('Job + CO2 Analysis'!BN22:BN23,'Job + CO2 Analysis'!BN25:BN30)</f>
        <v>0.43559505928450737</v>
      </c>
      <c r="I41" s="2">
        <f>'Job + CO2 Analysis'!AH22/SUM('Job + CO2 Analysis'!AH22:AH23,'Job + CO2 Analysis'!AH25:AH30)</f>
        <v>0.43529385382997643</v>
      </c>
    </row>
    <row r="42" spans="1:17">
      <c r="A42" t="s">
        <v>1941</v>
      </c>
      <c r="G42" s="2"/>
      <c r="H42">
        <f>'Yearly BTX'!BN113+'Yearly Butadiene'!BN71+'Yearly Methanol'!BN114+'Yearly LC Ethylene'!AH146+'Yearly LC Propylene'!AH66</f>
        <v>86.222401340708245</v>
      </c>
      <c r="I42" s="2">
        <f>H42/'Job + CO2 Analysis'!BN22</f>
        <v>0.38209709855860935</v>
      </c>
      <c r="N42" s="2"/>
    </row>
    <row r="45" spans="1:17">
      <c r="A45" t="s">
        <v>1896</v>
      </c>
    </row>
    <row r="46" spans="1:17">
      <c r="A46" s="30"/>
      <c r="B46" s="652">
        <v>2020</v>
      </c>
      <c r="C46" s="652" t="s">
        <v>1897</v>
      </c>
      <c r="D46" s="532" t="s">
        <v>40</v>
      </c>
      <c r="E46" s="532" t="s">
        <v>214</v>
      </c>
      <c r="F46" s="532" t="s">
        <v>1898</v>
      </c>
      <c r="G46" s="532" t="s">
        <v>1937</v>
      </c>
      <c r="H46" s="652" t="s">
        <v>164</v>
      </c>
    </row>
    <row r="48" spans="1:17">
      <c r="A48" s="30" t="s">
        <v>1900</v>
      </c>
      <c r="B48" s="663">
        <f>B10</f>
        <v>101.9602667020169</v>
      </c>
      <c r="C48" s="653">
        <f>C10</f>
        <v>43.639190412170564</v>
      </c>
      <c r="D48" s="663">
        <f>D10</f>
        <v>145.59945711418746</v>
      </c>
      <c r="E48" s="137"/>
      <c r="F48" s="653">
        <f>SUM(D48:E49)</f>
        <v>435.59945711418743</v>
      </c>
      <c r="G48" s="663"/>
      <c r="H48" s="653">
        <f>SUM(F48:G49)</f>
        <v>375.20259314259698</v>
      </c>
    </row>
    <row r="49" spans="1:15">
      <c r="A49" s="30" t="s">
        <v>52</v>
      </c>
      <c r="B49" s="137"/>
      <c r="C49" s="137"/>
      <c r="D49" s="137"/>
      <c r="E49" s="653">
        <f>E10</f>
        <v>290</v>
      </c>
      <c r="F49" s="137"/>
      <c r="G49" s="668">
        <f>-SUM('Yearly Methanol'!BN69:BN70,'Yearly Methanol'!BN12,'Yearly Methanol'!BN114:BN115,'Yearly Methanol'!BN120:BN121)</f>
        <v>-60.396863971590435</v>
      </c>
      <c r="H49" s="137"/>
    </row>
    <row r="50" spans="1:15">
      <c r="A50" s="30" t="s">
        <v>52</v>
      </c>
      <c r="B50" s="137"/>
      <c r="C50" s="137"/>
      <c r="D50" s="662"/>
      <c r="E50" s="663"/>
      <c r="F50" s="137"/>
      <c r="G50" s="137"/>
      <c r="H50" s="137"/>
    </row>
    <row r="52" spans="1:15">
      <c r="A52" t="s">
        <v>1901</v>
      </c>
      <c r="K52" t="s">
        <v>1902</v>
      </c>
      <c r="L52" t="s">
        <v>1903</v>
      </c>
      <c r="M52" t="s">
        <v>1905</v>
      </c>
      <c r="N52" t="s">
        <v>1904</v>
      </c>
    </row>
    <row r="53" spans="1:15">
      <c r="A53" s="30"/>
      <c r="B53" s="652">
        <v>2020</v>
      </c>
      <c r="C53" s="652" t="s">
        <v>1897</v>
      </c>
      <c r="D53" s="532" t="s">
        <v>40</v>
      </c>
      <c r="E53" s="532" t="s">
        <v>214</v>
      </c>
      <c r="F53" s="532" t="s">
        <v>1898</v>
      </c>
      <c r="G53" s="532" t="s">
        <v>1936</v>
      </c>
      <c r="H53" s="652" t="s">
        <v>164</v>
      </c>
      <c r="J53" t="s">
        <v>258</v>
      </c>
      <c r="K53" s="6">
        <f>'Demand Breakdown - Ethylene'!C34+'Demand Breakdown - Ethylene'!C35</f>
        <v>0.6100000000000001</v>
      </c>
      <c r="L53" s="6"/>
      <c r="N53">
        <f>SUMPRODUCT(K53:M53,K$61:M$61)</f>
        <v>99.242307692307705</v>
      </c>
      <c r="O53" s="2">
        <f>N53/N$61</f>
        <v>0.34273160705796823</v>
      </c>
    </row>
    <row r="54" spans="1:15">
      <c r="J54" t="s">
        <v>478</v>
      </c>
      <c r="K54" s="6">
        <f>'Demand Breakdown - Ethylene'!C39</f>
        <v>5.9399999999999994E-2</v>
      </c>
      <c r="L54" s="6"/>
      <c r="M54" s="6"/>
      <c r="N54">
        <f t="shared" ref="N54:N60" si="4">SUMPRODUCT(K54:M54,K$61:M$61)</f>
        <v>9.6639230769230746</v>
      </c>
      <c r="O54" s="2">
        <f t="shared" ref="O54:O60" si="5">N54/N$61</f>
        <v>3.3374192556136564E-2</v>
      </c>
    </row>
    <row r="55" spans="1:15">
      <c r="A55" s="30" t="s">
        <v>1900</v>
      </c>
      <c r="B55" s="663">
        <f>B4+B8+B9</f>
        <v>289.56275303643724</v>
      </c>
      <c r="C55" s="653">
        <f>C4+C8+C9</f>
        <v>150.49220607950909</v>
      </c>
      <c r="D55" s="653">
        <f>D4+D8+D9</f>
        <v>440.0549591159463</v>
      </c>
      <c r="E55" s="653"/>
      <c r="F55" s="653">
        <f>SUM(D55:E56)</f>
        <v>468.08365121499395</v>
      </c>
      <c r="G55" s="663"/>
      <c r="H55" s="653">
        <f>SUM(F55:G56)</f>
        <v>315.72481471175126</v>
      </c>
      <c r="I55" s="2">
        <f>-G56/F55</f>
        <v>0.32549488987228747</v>
      </c>
      <c r="J55" t="s">
        <v>474</v>
      </c>
      <c r="K55" s="6">
        <f>'Demand Breakdown - Ethylene'!C36+'Demand Breakdown - Ethylene'!C37</f>
        <v>6.566000000000001E-2</v>
      </c>
      <c r="N55">
        <f t="shared" si="4"/>
        <v>10.682376923076923</v>
      </c>
      <c r="O55" s="2">
        <f t="shared" si="5"/>
        <v>3.6891405441682283E-2</v>
      </c>
    </row>
    <row r="56" spans="1:15">
      <c r="A56" s="30" t="s">
        <v>52</v>
      </c>
      <c r="B56" s="137"/>
      <c r="C56" s="137"/>
      <c r="D56" s="137"/>
      <c r="E56" s="137">
        <f>E4+E8+E9</f>
        <v>28.028692099047639</v>
      </c>
      <c r="F56" s="137"/>
      <c r="G56" s="668">
        <f>-SUM('Yearly Butadiene'!BN43:BN44,'Yearly Butadiene'!BN71:BN72,'Yearly Butadiene'!BN74:BN75,'Yearly LC Ethylene'!AH81:AH82,'Yearly LC Ethylene'!AH146:AH147,'Yearly LC Ethylene'!AH155:AH156,'Yearly LC Propylene'!AH39:AH40,'Yearly LC Propylene'!AH66:AH67,'Yearly LC Propylene'!AH69:AH70)</f>
        <v>-152.35883650324269</v>
      </c>
      <c r="H56" s="137"/>
      <c r="J56" t="s">
        <v>477</v>
      </c>
      <c r="K56" s="6">
        <v>0</v>
      </c>
      <c r="L56" s="6">
        <f>'Demand Breakdown - Propylene'!C25+'Demand Breakdown - Propylene'!C26</f>
        <v>0.67000000000000015</v>
      </c>
      <c r="M56" s="6"/>
      <c r="N56">
        <f t="shared" si="4"/>
        <v>74.98846153846155</v>
      </c>
      <c r="O56" s="2">
        <f t="shared" si="5"/>
        <v>0.25897136545398625</v>
      </c>
    </row>
    <row r="57" spans="1:15">
      <c r="A57" s="30" t="s">
        <v>52</v>
      </c>
      <c r="B57" s="137"/>
      <c r="C57" s="137"/>
      <c r="D57" s="662"/>
      <c r="E57" s="663"/>
      <c r="F57" s="137"/>
      <c r="G57" s="137"/>
      <c r="H57" s="137"/>
      <c r="J57" t="s">
        <v>480</v>
      </c>
      <c r="K57" s="6">
        <f>'Demand Breakdown - Ethylene'!C38</f>
        <v>0.1152</v>
      </c>
      <c r="L57" s="6"/>
      <c r="N57">
        <f t="shared" si="4"/>
        <v>18.742153846153844</v>
      </c>
      <c r="O57" s="2">
        <f t="shared" si="5"/>
        <v>6.4725706775537586E-2</v>
      </c>
    </row>
    <row r="58" spans="1:15">
      <c r="G58" s="10">
        <f>-SUM('Yearly Butadiene'!AH43:AH44,'Yearly HC Ethylene'!AH81:AH82,'Yearly HC Propylene'!AH39:AH40)</f>
        <v>0</v>
      </c>
      <c r="H58" s="26">
        <f>F55+G58</f>
        <v>468.08365121499395</v>
      </c>
      <c r="I58" s="2">
        <f>-G58/F55</f>
        <v>0</v>
      </c>
      <c r="J58" t="s">
        <v>817</v>
      </c>
      <c r="K58" s="6">
        <v>0</v>
      </c>
      <c r="L58" s="6"/>
      <c r="M58" s="6">
        <f>'Demand Breakdown - C4'!G18</f>
        <v>0.71200000000000019</v>
      </c>
      <c r="N58">
        <f t="shared" si="4"/>
        <v>10.642526315789476</v>
      </c>
      <c r="O58" s="2">
        <f t="shared" si="5"/>
        <v>3.6753782053074592E-2</v>
      </c>
    </row>
    <row r="59" spans="1:15">
      <c r="C59">
        <v>2020</v>
      </c>
      <c r="D59">
        <v>2050</v>
      </c>
      <c r="J59" t="s">
        <v>690</v>
      </c>
      <c r="K59" s="6">
        <f>'Demand Breakdown - Ethylene'!C40</f>
        <v>3.1354000000000007E-2</v>
      </c>
      <c r="L59" s="6">
        <f>'Demand Breakdown - Propylene'!C27</f>
        <v>0.10200000000000001</v>
      </c>
      <c r="M59" s="6">
        <f>'Demand Breakdown - C4'!G20</f>
        <v>0.21100000000000002</v>
      </c>
      <c r="N59">
        <f t="shared" si="4"/>
        <v>19.671103198380568</v>
      </c>
      <c r="O59" s="2">
        <f t="shared" si="5"/>
        <v>6.7933817426805737E-2</v>
      </c>
    </row>
    <row r="60" spans="1:15">
      <c r="B60" t="s">
        <v>1907</v>
      </c>
      <c r="C60" s="43">
        <f>SUM('Yearly Butadiene'!D71:D72,'Yearly Butadiene'!D74:D75,'Yearly HC Ethylene'!D146:D147,'Yearly HC Ethylene'!D155:D156,'Yearly HC Propylene'!D66:D67,'Yearly HC Propylene'!D69:D70)</f>
        <v>1.1431675180962307E-4</v>
      </c>
      <c r="D60" s="43">
        <f>SUM('Yearly Butadiene'!AH71:AH72,'Yearly Butadiene'!AH74:AH75,'Yearly HC Ethylene'!AH146:AH147,'Yearly HC Ethylene'!AH155:AH156,'Yearly HC Propylene'!AH66:AH67,'Yearly HC Propylene'!AH69:AH70)</f>
        <v>158.08283649176508</v>
      </c>
      <c r="J60" t="s">
        <v>248</v>
      </c>
      <c r="K60" s="6">
        <f>'Demand Breakdown - Ethylene'!C41</f>
        <v>0.11838599999999999</v>
      </c>
      <c r="L60" s="6">
        <f>'Demand Breakdown - Propylene'!C28</f>
        <v>0.22799999999999987</v>
      </c>
      <c r="M60" s="6">
        <f>'Demand Breakdown - C4'!G22</f>
        <v>7.6999999999999888E-2</v>
      </c>
      <c r="N60">
        <f t="shared" si="4"/>
        <v>45.92990044534411</v>
      </c>
      <c r="O60" s="2">
        <f t="shared" si="5"/>
        <v>0.15861812323480881</v>
      </c>
    </row>
    <row r="61" spans="1:15">
      <c r="C61" s="44">
        <f>'Ethylene Recycling LC'!C182+'Propylene Recycling LC'!C103+'Butadiene Recycling LC'!C165</f>
        <v>22.978578932757539</v>
      </c>
      <c r="D61" s="44">
        <f>'Ethylene Recycling LC'!AG182+'Propylene Recycling LC'!AG103+'Butadiene Recycling LC'!AG165</f>
        <v>168.39443243664275</v>
      </c>
      <c r="J61" t="s">
        <v>67</v>
      </c>
      <c r="K61" s="661">
        <f>B9</f>
        <v>162.69230769230768</v>
      </c>
      <c r="L61" s="26">
        <f>B8</f>
        <v>111.92307692307692</v>
      </c>
      <c r="M61" s="26">
        <f>B4</f>
        <v>14.947368421052632</v>
      </c>
      <c r="N61" s="26">
        <f>SUM(K61:M61)</f>
        <v>289.56275303643724</v>
      </c>
      <c r="O61" s="2">
        <f>SUM(O53:O60)</f>
        <v>1</v>
      </c>
    </row>
    <row r="62" spans="1:15">
      <c r="K62" s="2">
        <f>K61/$N$61</f>
        <v>0.56185509353765273</v>
      </c>
      <c r="L62" s="2">
        <f t="shared" ref="L62:M62" si="6">L61/$N$61</f>
        <v>0.38652442605072562</v>
      </c>
      <c r="M62" s="2">
        <f t="shared" si="6"/>
        <v>5.1620480411621601E-2</v>
      </c>
    </row>
    <row r="63" spans="1:15">
      <c r="J63" t="s">
        <v>581</v>
      </c>
      <c r="K63" s="6"/>
    </row>
    <row r="64" spans="1:15">
      <c r="K64" s="6"/>
    </row>
    <row r="65" spans="1:16">
      <c r="A65" t="s">
        <v>1906</v>
      </c>
    </row>
    <row r="66" spans="1:16">
      <c r="A66" s="30"/>
      <c r="B66" s="652">
        <v>2020</v>
      </c>
      <c r="C66" s="652" t="s">
        <v>1897</v>
      </c>
      <c r="D66" s="532" t="s">
        <v>40</v>
      </c>
      <c r="E66" s="532" t="s">
        <v>214</v>
      </c>
      <c r="F66" s="532" t="s">
        <v>1898</v>
      </c>
      <c r="G66" s="532" t="s">
        <v>1899</v>
      </c>
      <c r="H66" s="652" t="s">
        <v>164</v>
      </c>
    </row>
    <row r="68" spans="1:16">
      <c r="A68" s="30" t="s">
        <v>1900</v>
      </c>
      <c r="B68" s="663">
        <f>SUM(B5:B7)</f>
        <v>116.10918671199683</v>
      </c>
      <c r="C68" s="663">
        <f t="shared" ref="C68:D68" si="7">SUM(C5:C7)</f>
        <v>42.40380244023342</v>
      </c>
      <c r="D68" s="663">
        <f t="shared" si="7"/>
        <v>158.51298915223026</v>
      </c>
      <c r="E68" s="653"/>
      <c r="F68" s="653">
        <f>SUM(D68:E69)</f>
        <v>161.00000000000003</v>
      </c>
      <c r="G68" s="663"/>
      <c r="H68" s="653">
        <f>SUM(F68:G69)</f>
        <v>161.00000000000003</v>
      </c>
    </row>
    <row r="69" spans="1:16">
      <c r="A69" s="30" t="s">
        <v>52</v>
      </c>
      <c r="B69" s="137"/>
      <c r="C69" s="137"/>
      <c r="D69" s="137"/>
      <c r="E69" s="137">
        <f>SUM('Yearly BTX'!BN69)</f>
        <v>2.4870108477697737</v>
      </c>
      <c r="F69" s="137"/>
      <c r="G69" s="137">
        <f>-SUM('Yearly BTX'!BN67:BN68)</f>
        <v>0</v>
      </c>
      <c r="H69" s="137"/>
    </row>
    <row r="70" spans="1:16">
      <c r="A70" s="30" t="s">
        <v>52</v>
      </c>
      <c r="B70" s="137"/>
      <c r="C70" s="137"/>
      <c r="D70" s="662"/>
      <c r="E70" s="663"/>
      <c r="F70" s="137"/>
      <c r="G70" s="137"/>
      <c r="H70" s="137"/>
    </row>
    <row r="73" spans="1:16">
      <c r="A73" t="s">
        <v>1931</v>
      </c>
    </row>
    <row r="74" spans="1:16">
      <c r="A74" s="30"/>
      <c r="B74" s="652">
        <v>2020</v>
      </c>
      <c r="C74" s="652" t="s">
        <v>175</v>
      </c>
      <c r="D74" s="532" t="s">
        <v>40</v>
      </c>
      <c r="E74" s="532" t="s">
        <v>214</v>
      </c>
      <c r="F74" s="532" t="s">
        <v>1898</v>
      </c>
      <c r="G74" s="532" t="s">
        <v>1899</v>
      </c>
      <c r="H74" s="652" t="s">
        <v>164</v>
      </c>
    </row>
    <row r="76" spans="1:16">
      <c r="A76" s="30" t="s">
        <v>1900</v>
      </c>
      <c r="B76" s="663">
        <v>185.16</v>
      </c>
      <c r="C76" s="663">
        <v>42.379999999999995</v>
      </c>
      <c r="D76" s="663">
        <f>SUM(B76:C76)</f>
        <v>227.54</v>
      </c>
      <c r="E76" s="653"/>
      <c r="F76" s="653">
        <f>SUM(D76:E78)</f>
        <v>1013.54</v>
      </c>
      <c r="G76" s="663"/>
      <c r="H76" s="653">
        <f>SUM(F76:G77)</f>
        <v>995.54</v>
      </c>
      <c r="J76">
        <v>185.16</v>
      </c>
      <c r="K76">
        <v>42.379999999999995</v>
      </c>
      <c r="L76">
        <v>227.54</v>
      </c>
      <c r="N76">
        <v>1013.54</v>
      </c>
      <c r="P76">
        <v>995.54</v>
      </c>
    </row>
    <row r="77" spans="1:16" ht="16">
      <c r="A77" s="30" t="s">
        <v>52</v>
      </c>
      <c r="B77" s="137"/>
      <c r="C77" s="137"/>
      <c r="D77" s="137"/>
      <c r="E77" s="137">
        <v>625</v>
      </c>
      <c r="F77" s="137"/>
      <c r="G77" s="683">
        <v>-18</v>
      </c>
      <c r="H77" s="137"/>
      <c r="M77">
        <v>625</v>
      </c>
      <c r="O77">
        <v>-18</v>
      </c>
    </row>
    <row r="78" spans="1:16">
      <c r="A78" s="30" t="s">
        <v>52</v>
      </c>
      <c r="B78" s="137"/>
      <c r="C78" s="137"/>
      <c r="D78" s="662"/>
      <c r="E78" s="663">
        <v>161</v>
      </c>
      <c r="F78" s="137"/>
      <c r="G78" s="137"/>
      <c r="H78" s="137"/>
      <c r="M78">
        <v>161</v>
      </c>
    </row>
    <row r="80" spans="1:16">
      <c r="A80" s="30" t="s">
        <v>1932</v>
      </c>
      <c r="B80" s="667">
        <v>40.047040000000003</v>
      </c>
    </row>
    <row r="81" spans="1:2">
      <c r="A81" s="30" t="s">
        <v>1054</v>
      </c>
      <c r="B81" s="667">
        <v>66.778439200000008</v>
      </c>
    </row>
    <row r="82" spans="1:2">
      <c r="A82" s="30" t="s">
        <v>1933</v>
      </c>
      <c r="B82" s="667">
        <v>33.360328799999998</v>
      </c>
    </row>
    <row r="83" spans="1:2">
      <c r="A83" s="190" t="s">
        <v>1934</v>
      </c>
      <c r="B83" s="667">
        <v>625</v>
      </c>
    </row>
    <row r="84" spans="1:2">
      <c r="A84" s="190" t="s">
        <v>1935</v>
      </c>
      <c r="B84" s="667">
        <v>161</v>
      </c>
    </row>
    <row r="85" spans="1:2">
      <c r="A85" s="30" t="s">
        <v>248</v>
      </c>
      <c r="B85" s="667">
        <v>69.354192000000012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5C81-30C3-4138-BC26-055A55386B30}">
  <sheetPr>
    <tabColor theme="1"/>
  </sheetPr>
  <dimension ref="A1:EU155"/>
  <sheetViews>
    <sheetView zoomScale="80" zoomScaleNormal="80" workbookViewId="0">
      <pane xSplit="2" topLeftCell="C1" activePane="topRight" state="frozen"/>
      <selection activeCell="C23" sqref="C23"/>
      <selection pane="topRight" activeCell="B5" sqref="B5:B6"/>
    </sheetView>
  </sheetViews>
  <sheetFormatPr baseColWidth="10" defaultColWidth="8.83203125" defaultRowHeight="15" outlineLevelCol="2"/>
  <cols>
    <col min="1" max="1" width="6.33203125" customWidth="1"/>
    <col min="2" max="2" width="32.5" bestFit="1" customWidth="1"/>
    <col min="3" max="3" width="20.1640625" style="54" bestFit="1" customWidth="1"/>
    <col min="4" max="4" width="13" customWidth="1"/>
    <col min="5" max="6" width="9.1640625" hidden="1" customWidth="1" outlineLevel="1"/>
    <col min="7" max="13" width="10.1640625" hidden="1" customWidth="1" outlineLevel="1"/>
    <col min="14" max="14" width="14.1640625" customWidth="1" collapsed="1"/>
    <col min="15" max="22" width="10.1640625" hidden="1" customWidth="1" outlineLevel="1"/>
    <col min="23" max="23" width="3.33203125" hidden="1" customWidth="1" outlineLevel="1"/>
    <col min="24" max="24" width="13.5" customWidth="1" collapsed="1"/>
    <col min="25" max="26" width="10.1640625" hidden="1" customWidth="1" outlineLevel="1"/>
    <col min="27" max="33" width="11.1640625" hidden="1" customWidth="1" outlineLevel="1"/>
    <col min="34" max="34" width="12.6640625" customWidth="1" collapsed="1"/>
    <col min="36" max="36" width="12.5" customWidth="1"/>
    <col min="37" max="41" width="9.1640625" hidden="1" customWidth="1" outlineLevel="1"/>
    <col min="42" max="45" width="10.1640625" hidden="1" customWidth="1" outlineLevel="1"/>
    <col min="46" max="46" width="11.83203125" customWidth="1" collapsed="1"/>
    <col min="47" max="55" width="10.1640625" hidden="1" customWidth="1" outlineLevel="1"/>
    <col min="56" max="56" width="12.33203125" customWidth="1" collapsed="1"/>
    <col min="57" max="65" width="10.1640625" hidden="1" customWidth="1" outlineLevel="1"/>
    <col min="66" max="66" width="12.6640625" customWidth="1" collapsed="1"/>
    <col min="67" max="67" width="9.83203125" bestFit="1" customWidth="1"/>
    <col min="68" max="68" width="13.83203125" customWidth="1"/>
    <col min="69" max="77" width="9.1640625" hidden="1" customWidth="1" outlineLevel="2"/>
    <col min="78" max="78" width="13" customWidth="1" collapsed="1"/>
    <col min="79" max="87" width="9.1640625" hidden="1" customWidth="1" outlineLevel="1"/>
    <col min="88" max="88" width="11.33203125" customWidth="1" collapsed="1"/>
    <col min="89" max="97" width="9.1640625" hidden="1" customWidth="1" outlineLevel="1"/>
    <col min="98" max="98" width="12.5" customWidth="1" collapsed="1"/>
    <col min="99" max="99" width="10.5" customWidth="1"/>
    <col min="100" max="100" width="13.83203125" customWidth="1"/>
    <col min="101" max="109" width="9.1640625" hidden="1" customWidth="1" outlineLevel="2"/>
    <col min="110" max="110" width="13" customWidth="1" collapsed="1"/>
    <col min="111" max="119" width="9.1640625" hidden="1" customWidth="1" outlineLevel="1"/>
    <col min="120" max="120" width="11.33203125" customWidth="1" collapsed="1"/>
    <col min="121" max="129" width="9.1640625" hidden="1" customWidth="1" outlineLevel="1"/>
    <col min="130" max="130" width="12.5" customWidth="1" collapsed="1"/>
    <col min="133" max="133" width="18.5" customWidth="1"/>
    <col min="134" max="134" width="12.33203125" customWidth="1"/>
    <col min="135" max="135" width="16.5" customWidth="1"/>
    <col min="136" max="136" width="18.6640625" customWidth="1"/>
    <col min="138" max="138" width="12.1640625" customWidth="1"/>
    <col min="146" max="146" width="15.1640625" customWidth="1"/>
  </cols>
  <sheetData>
    <row r="1" spans="1:151">
      <c r="A1" s="1"/>
      <c r="B1" s="1"/>
      <c r="D1" s="748" t="s">
        <v>64</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65</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c r="BP1" s="748" t="s">
        <v>66</v>
      </c>
      <c r="BQ1" s="748"/>
      <c r="BR1" s="748"/>
      <c r="BS1" s="748"/>
      <c r="BT1" s="748"/>
      <c r="BU1" s="748"/>
      <c r="BV1" s="748"/>
      <c r="BW1" s="748"/>
      <c r="BX1" s="748"/>
      <c r="BY1" s="748"/>
      <c r="BZ1" s="748"/>
      <c r="CA1" s="748"/>
      <c r="CB1" s="748"/>
      <c r="CC1" s="748"/>
      <c r="CD1" s="748"/>
      <c r="CE1" s="748"/>
      <c r="CF1" s="748"/>
      <c r="CG1" s="748"/>
      <c r="CH1" s="748"/>
      <c r="CI1" s="748"/>
      <c r="CJ1" s="748"/>
      <c r="CK1" s="748"/>
      <c r="CL1" s="748"/>
      <c r="CM1" s="748"/>
      <c r="CN1" s="748"/>
      <c r="CO1" s="748"/>
      <c r="CP1" s="748"/>
      <c r="CQ1" s="748"/>
      <c r="CR1" s="748"/>
      <c r="CS1" s="748"/>
      <c r="CT1" s="748"/>
      <c r="CV1" s="748" t="s">
        <v>1940</v>
      </c>
      <c r="CW1" s="748"/>
      <c r="CX1" s="748"/>
      <c r="CY1" s="748"/>
      <c r="CZ1" s="748"/>
      <c r="DA1" s="748"/>
      <c r="DB1" s="748"/>
      <c r="DC1" s="748"/>
      <c r="DD1" s="748"/>
      <c r="DE1" s="748"/>
      <c r="DF1" s="748"/>
      <c r="DG1" s="748"/>
      <c r="DH1" s="748"/>
      <c r="DI1" s="748"/>
      <c r="DJ1" s="748"/>
      <c r="DK1" s="748"/>
      <c r="DL1" s="748"/>
      <c r="DM1" s="748"/>
      <c r="DN1" s="748"/>
      <c r="DO1" s="748"/>
      <c r="DP1" s="748"/>
      <c r="DQ1" s="748"/>
      <c r="DR1" s="748"/>
      <c r="DS1" s="748"/>
      <c r="DT1" s="748"/>
      <c r="DU1" s="748"/>
      <c r="DV1" s="748"/>
      <c r="DW1" s="748"/>
      <c r="DX1" s="748"/>
      <c r="DY1" s="748"/>
      <c r="DZ1" s="748"/>
    </row>
    <row r="2" spans="1:151">
      <c r="A2" s="1"/>
      <c r="B2" s="1"/>
      <c r="C2" s="65"/>
      <c r="D2" s="1">
        <v>2020</v>
      </c>
      <c r="E2" s="1">
        <f>D2+1</f>
        <v>2021</v>
      </c>
      <c r="F2" s="1">
        <f t="shared" ref="F2:AH2" si="0">E2+1</f>
        <v>2022</v>
      </c>
      <c r="G2" s="1">
        <f t="shared" si="0"/>
        <v>2023</v>
      </c>
      <c r="H2" s="1">
        <f t="shared" si="0"/>
        <v>2024</v>
      </c>
      <c r="I2" s="1">
        <f t="shared" si="0"/>
        <v>2025</v>
      </c>
      <c r="J2" s="1">
        <f t="shared" si="0"/>
        <v>2026</v>
      </c>
      <c r="K2" s="1">
        <f t="shared" si="0"/>
        <v>2027</v>
      </c>
      <c r="L2" s="1">
        <f t="shared" si="0"/>
        <v>2028</v>
      </c>
      <c r="M2" s="1">
        <f t="shared" si="0"/>
        <v>2029</v>
      </c>
      <c r="N2" s="1">
        <f t="shared" si="0"/>
        <v>2030</v>
      </c>
      <c r="O2" s="1">
        <f t="shared" si="0"/>
        <v>2031</v>
      </c>
      <c r="P2" s="1">
        <f t="shared" si="0"/>
        <v>2032</v>
      </c>
      <c r="Q2" s="1">
        <f t="shared" si="0"/>
        <v>2033</v>
      </c>
      <c r="R2" s="1">
        <f>Q2+1</f>
        <v>2034</v>
      </c>
      <c r="S2" s="1">
        <f t="shared" si="0"/>
        <v>2035</v>
      </c>
      <c r="T2" s="1">
        <f t="shared" si="0"/>
        <v>2036</v>
      </c>
      <c r="U2" s="1">
        <f t="shared" si="0"/>
        <v>2037</v>
      </c>
      <c r="V2" s="1">
        <f t="shared" si="0"/>
        <v>2038</v>
      </c>
      <c r="W2" s="1">
        <f t="shared" si="0"/>
        <v>2039</v>
      </c>
      <c r="X2" s="1">
        <f t="shared" si="0"/>
        <v>2040</v>
      </c>
      <c r="Y2" s="1">
        <f t="shared" si="0"/>
        <v>2041</v>
      </c>
      <c r="Z2" s="1">
        <f t="shared" si="0"/>
        <v>2042</v>
      </c>
      <c r="AA2" s="1">
        <f t="shared" si="0"/>
        <v>2043</v>
      </c>
      <c r="AB2" s="1">
        <f t="shared" si="0"/>
        <v>2044</v>
      </c>
      <c r="AC2" s="1">
        <f>AB2+1</f>
        <v>2045</v>
      </c>
      <c r="AD2" s="1">
        <f t="shared" si="0"/>
        <v>2046</v>
      </c>
      <c r="AE2" s="1">
        <f t="shared" si="0"/>
        <v>2047</v>
      </c>
      <c r="AF2" s="1">
        <f t="shared" si="0"/>
        <v>2048</v>
      </c>
      <c r="AG2" s="1">
        <f>AF2+1</f>
        <v>2049</v>
      </c>
      <c r="AH2" s="1">
        <f t="shared" si="0"/>
        <v>2050</v>
      </c>
      <c r="AI2" s="1"/>
      <c r="AJ2" s="1">
        <v>2020</v>
      </c>
      <c r="AK2" s="1">
        <f>AJ2+1</f>
        <v>2021</v>
      </c>
      <c r="AL2" s="1">
        <f t="shared" ref="AL2:AW2" si="1">AK2+1</f>
        <v>2022</v>
      </c>
      <c r="AM2" s="1">
        <f t="shared" si="1"/>
        <v>2023</v>
      </c>
      <c r="AN2" s="1">
        <f t="shared" si="1"/>
        <v>2024</v>
      </c>
      <c r="AO2" s="1">
        <f t="shared" si="1"/>
        <v>2025</v>
      </c>
      <c r="AP2" s="1">
        <f t="shared" si="1"/>
        <v>2026</v>
      </c>
      <c r="AQ2" s="1">
        <f t="shared" si="1"/>
        <v>2027</v>
      </c>
      <c r="AR2" s="1">
        <f t="shared" si="1"/>
        <v>2028</v>
      </c>
      <c r="AS2" s="1">
        <f t="shared" si="1"/>
        <v>2029</v>
      </c>
      <c r="AT2" s="1">
        <f t="shared" si="1"/>
        <v>2030</v>
      </c>
      <c r="AU2" s="1">
        <f t="shared" si="1"/>
        <v>2031</v>
      </c>
      <c r="AV2" s="1">
        <f t="shared" si="1"/>
        <v>2032</v>
      </c>
      <c r="AW2" s="1">
        <f t="shared" si="1"/>
        <v>2033</v>
      </c>
      <c r="AX2" s="1">
        <f>AW2+1</f>
        <v>2034</v>
      </c>
      <c r="AY2" s="1">
        <f t="shared" ref="AY2:BH2" si="2">AX2+1</f>
        <v>2035</v>
      </c>
      <c r="AZ2" s="1">
        <f t="shared" si="2"/>
        <v>2036</v>
      </c>
      <c r="BA2" s="1">
        <f t="shared" si="2"/>
        <v>2037</v>
      </c>
      <c r="BB2" s="1">
        <f t="shared" si="2"/>
        <v>2038</v>
      </c>
      <c r="BC2" s="1">
        <f t="shared" si="2"/>
        <v>2039</v>
      </c>
      <c r="BD2" s="1">
        <f t="shared" si="2"/>
        <v>2040</v>
      </c>
      <c r="BE2" s="1">
        <f t="shared" si="2"/>
        <v>2041</v>
      </c>
      <c r="BF2" s="1">
        <f t="shared" si="2"/>
        <v>2042</v>
      </c>
      <c r="BG2" s="1">
        <f t="shared" si="2"/>
        <v>2043</v>
      </c>
      <c r="BH2" s="1">
        <f t="shared" si="2"/>
        <v>2044</v>
      </c>
      <c r="BI2" s="1">
        <f>BH2+1</f>
        <v>2045</v>
      </c>
      <c r="BJ2" s="1">
        <f t="shared" ref="BJ2:BL2" si="3">BI2+1</f>
        <v>2046</v>
      </c>
      <c r="BK2" s="1">
        <f t="shared" si="3"/>
        <v>2047</v>
      </c>
      <c r="BL2" s="1">
        <f t="shared" si="3"/>
        <v>2048</v>
      </c>
      <c r="BM2" s="1">
        <f>BL2+1</f>
        <v>2049</v>
      </c>
      <c r="BN2" s="1">
        <f t="shared" ref="BN2" si="4">BM2+1</f>
        <v>2050</v>
      </c>
      <c r="BO2" s="1"/>
      <c r="BP2" s="1">
        <v>2020</v>
      </c>
      <c r="BQ2" s="1">
        <f>BP2+1</f>
        <v>2021</v>
      </c>
      <c r="BR2" s="1">
        <f t="shared" ref="BR2" si="5">BQ2+1</f>
        <v>2022</v>
      </c>
      <c r="BS2" s="1">
        <f t="shared" ref="BS2" si="6">BR2+1</f>
        <v>2023</v>
      </c>
      <c r="BT2" s="1">
        <f t="shared" ref="BT2" si="7">BS2+1</f>
        <v>2024</v>
      </c>
      <c r="BU2" s="1">
        <f t="shared" ref="BU2" si="8">BT2+1</f>
        <v>2025</v>
      </c>
      <c r="BV2" s="1">
        <f t="shared" ref="BV2" si="9">BU2+1</f>
        <v>2026</v>
      </c>
      <c r="BW2" s="1">
        <f t="shared" ref="BW2" si="10">BV2+1</f>
        <v>2027</v>
      </c>
      <c r="BX2" s="1">
        <f t="shared" ref="BX2" si="11">BW2+1</f>
        <v>2028</v>
      </c>
      <c r="BY2" s="1">
        <f t="shared" ref="BY2" si="12">BX2+1</f>
        <v>2029</v>
      </c>
      <c r="BZ2" s="1">
        <f t="shared" ref="BZ2" si="13">BY2+1</f>
        <v>2030</v>
      </c>
      <c r="CA2" s="1">
        <f t="shared" ref="CA2" si="14">BZ2+1</f>
        <v>2031</v>
      </c>
      <c r="CB2" s="1">
        <f t="shared" ref="CB2" si="15">CA2+1</f>
        <v>2032</v>
      </c>
      <c r="CC2" s="1">
        <f t="shared" ref="CC2" si="16">CB2+1</f>
        <v>2033</v>
      </c>
      <c r="CD2" s="1">
        <f>CC2+1</f>
        <v>2034</v>
      </c>
      <c r="CE2" s="1">
        <f t="shared" ref="CE2" si="17">CD2+1</f>
        <v>2035</v>
      </c>
      <c r="CF2" s="1">
        <f t="shared" ref="CF2" si="18">CE2+1</f>
        <v>2036</v>
      </c>
      <c r="CG2" s="1">
        <f t="shared" ref="CG2" si="19">CF2+1</f>
        <v>2037</v>
      </c>
      <c r="CH2" s="1">
        <f t="shared" ref="CH2" si="20">CG2+1</f>
        <v>2038</v>
      </c>
      <c r="CI2" s="1">
        <f t="shared" ref="CI2" si="21">CH2+1</f>
        <v>2039</v>
      </c>
      <c r="CJ2" s="1">
        <f t="shared" ref="CJ2" si="22">CI2+1</f>
        <v>2040</v>
      </c>
      <c r="CK2" s="1">
        <f t="shared" ref="CK2" si="23">CJ2+1</f>
        <v>2041</v>
      </c>
      <c r="CL2" s="1">
        <f t="shared" ref="CL2" si="24">CK2+1</f>
        <v>2042</v>
      </c>
      <c r="CM2" s="1">
        <f t="shared" ref="CM2" si="25">CL2+1</f>
        <v>2043</v>
      </c>
      <c r="CN2" s="1">
        <f t="shared" ref="CN2" si="26">CM2+1</f>
        <v>2044</v>
      </c>
      <c r="CO2" s="1">
        <f>CN2+1</f>
        <v>2045</v>
      </c>
      <c r="CP2" s="1">
        <f t="shared" ref="CP2" si="27">CO2+1</f>
        <v>2046</v>
      </c>
      <c r="CQ2" s="1">
        <f t="shared" ref="CQ2" si="28">CP2+1</f>
        <v>2047</v>
      </c>
      <c r="CR2" s="1">
        <f t="shared" ref="CR2" si="29">CQ2+1</f>
        <v>2048</v>
      </c>
      <c r="CS2" s="1">
        <f>CR2+1</f>
        <v>2049</v>
      </c>
      <c r="CT2" s="1">
        <f t="shared" ref="CT2" si="30">CS2+1</f>
        <v>2050</v>
      </c>
      <c r="CU2" s="1"/>
      <c r="CV2" s="1">
        <v>2020</v>
      </c>
      <c r="CW2" s="1">
        <f>CV2+1</f>
        <v>2021</v>
      </c>
      <c r="CX2" s="1">
        <f t="shared" ref="CX2" si="31">CW2+1</f>
        <v>2022</v>
      </c>
      <c r="CY2" s="1">
        <f t="shared" ref="CY2" si="32">CX2+1</f>
        <v>2023</v>
      </c>
      <c r="CZ2" s="1">
        <f t="shared" ref="CZ2" si="33">CY2+1</f>
        <v>2024</v>
      </c>
      <c r="DA2" s="1">
        <f t="shared" ref="DA2" si="34">CZ2+1</f>
        <v>2025</v>
      </c>
      <c r="DB2" s="1">
        <f t="shared" ref="DB2" si="35">DA2+1</f>
        <v>2026</v>
      </c>
      <c r="DC2" s="1">
        <f t="shared" ref="DC2" si="36">DB2+1</f>
        <v>2027</v>
      </c>
      <c r="DD2" s="1">
        <f t="shared" ref="DD2" si="37">DC2+1</f>
        <v>2028</v>
      </c>
      <c r="DE2" s="1">
        <f t="shared" ref="DE2" si="38">DD2+1</f>
        <v>2029</v>
      </c>
      <c r="DF2" s="1">
        <f t="shared" ref="DF2" si="39">DE2+1</f>
        <v>2030</v>
      </c>
      <c r="DG2" s="1">
        <f t="shared" ref="DG2" si="40">DF2+1</f>
        <v>2031</v>
      </c>
      <c r="DH2" s="1">
        <f t="shared" ref="DH2" si="41">DG2+1</f>
        <v>2032</v>
      </c>
      <c r="DI2" s="1">
        <f t="shared" ref="DI2" si="42">DH2+1</f>
        <v>2033</v>
      </c>
      <c r="DJ2" s="1">
        <f>DI2+1</f>
        <v>2034</v>
      </c>
      <c r="DK2" s="1">
        <f t="shared" ref="DK2" si="43">DJ2+1</f>
        <v>2035</v>
      </c>
      <c r="DL2" s="1">
        <f t="shared" ref="DL2" si="44">DK2+1</f>
        <v>2036</v>
      </c>
      <c r="DM2" s="1">
        <f t="shared" ref="DM2" si="45">DL2+1</f>
        <v>2037</v>
      </c>
      <c r="DN2" s="1">
        <f t="shared" ref="DN2" si="46">DM2+1</f>
        <v>2038</v>
      </c>
      <c r="DO2" s="1">
        <f t="shared" ref="DO2" si="47">DN2+1</f>
        <v>2039</v>
      </c>
      <c r="DP2" s="1">
        <f t="shared" ref="DP2" si="48">DO2+1</f>
        <v>2040</v>
      </c>
      <c r="DQ2" s="1">
        <f t="shared" ref="DQ2" si="49">DP2+1</f>
        <v>2041</v>
      </c>
      <c r="DR2" s="1">
        <f t="shared" ref="DR2" si="50">DQ2+1</f>
        <v>2042</v>
      </c>
      <c r="DS2" s="1">
        <f t="shared" ref="DS2" si="51">DR2+1</f>
        <v>2043</v>
      </c>
      <c r="DT2" s="1">
        <f t="shared" ref="DT2" si="52">DS2+1</f>
        <v>2044</v>
      </c>
      <c r="DU2" s="1">
        <f>DT2+1</f>
        <v>2045</v>
      </c>
      <c r="DV2" s="1">
        <f t="shared" ref="DV2" si="53">DU2+1</f>
        <v>2046</v>
      </c>
      <c r="DW2" s="1">
        <f t="shared" ref="DW2" si="54">DV2+1</f>
        <v>2047</v>
      </c>
      <c r="DX2" s="1">
        <f t="shared" ref="DX2" si="55">DW2+1</f>
        <v>2048</v>
      </c>
      <c r="DY2" s="1">
        <f>DX2+1</f>
        <v>2049</v>
      </c>
      <c r="DZ2" s="1">
        <f t="shared" ref="DZ2" si="56">DY2+1</f>
        <v>2050</v>
      </c>
    </row>
    <row r="3" spans="1:151" ht="16" thickBot="1">
      <c r="A3" s="637" t="s">
        <v>67</v>
      </c>
      <c r="B3" s="637"/>
      <c r="C3" s="638"/>
      <c r="D3" s="637"/>
      <c r="E3" s="637"/>
      <c r="F3" s="637"/>
      <c r="G3" s="637"/>
      <c r="H3" s="637"/>
      <c r="I3" s="637"/>
      <c r="J3" s="637"/>
      <c r="K3" s="637"/>
      <c r="L3" s="637"/>
      <c r="M3" s="637"/>
      <c r="N3" s="637"/>
      <c r="O3" s="637"/>
      <c r="P3" s="637"/>
      <c r="Q3" s="637"/>
      <c r="R3" s="637"/>
      <c r="S3" s="637"/>
      <c r="T3" s="637"/>
      <c r="U3" s="637"/>
      <c r="V3" s="637"/>
      <c r="W3" s="637"/>
      <c r="X3" s="637"/>
      <c r="Y3" s="637"/>
      <c r="Z3" s="637"/>
      <c r="AA3" s="637"/>
      <c r="AB3" s="637"/>
      <c r="AC3" s="637"/>
      <c r="AD3" s="637"/>
      <c r="AE3" s="637"/>
      <c r="AF3" s="637"/>
      <c r="AG3" s="637"/>
      <c r="AH3" s="637"/>
      <c r="AI3" s="637"/>
      <c r="AJ3" s="637"/>
      <c r="AK3" s="637"/>
      <c r="AL3" s="637"/>
      <c r="AM3" s="637"/>
      <c r="AN3" s="637"/>
      <c r="AO3" s="637"/>
      <c r="AP3" s="637"/>
      <c r="AQ3" s="637"/>
      <c r="AR3" s="637"/>
      <c r="AS3" s="637"/>
      <c r="AT3" s="637"/>
      <c r="AU3" s="637"/>
      <c r="AV3" s="637"/>
      <c r="AW3" s="637"/>
      <c r="AX3" s="637"/>
      <c r="AY3" s="637"/>
      <c r="AZ3" s="637"/>
      <c r="BA3" s="637"/>
      <c r="BB3" s="637"/>
      <c r="BC3" s="637"/>
      <c r="BD3" s="637"/>
      <c r="BE3" s="637"/>
      <c r="BF3" s="637"/>
      <c r="BG3" s="637"/>
      <c r="BH3" s="637"/>
      <c r="BI3" s="637"/>
      <c r="BJ3" s="637"/>
      <c r="BK3" s="637"/>
      <c r="BL3" s="637"/>
      <c r="BM3" s="637"/>
      <c r="BN3" s="637"/>
      <c r="BO3" s="637"/>
      <c r="BP3" s="637"/>
      <c r="BQ3" s="637"/>
      <c r="BR3" s="637"/>
      <c r="BS3" s="637"/>
      <c r="BT3" s="637"/>
      <c r="BU3" s="637"/>
      <c r="BV3" s="637"/>
      <c r="BW3" s="637"/>
      <c r="BX3" s="637"/>
      <c r="BY3" s="637"/>
      <c r="BZ3" s="637"/>
      <c r="CA3" s="637"/>
      <c r="CB3" s="637"/>
      <c r="CC3" s="637"/>
      <c r="CD3" s="637"/>
      <c r="CE3" s="637"/>
      <c r="CF3" s="637"/>
      <c r="CG3" s="637"/>
      <c r="CH3" s="637"/>
      <c r="CI3" s="637"/>
      <c r="CJ3" s="637"/>
      <c r="CK3" s="637"/>
      <c r="CL3" s="637"/>
      <c r="CM3" s="637"/>
      <c r="CN3" s="637"/>
      <c r="CO3" s="637"/>
      <c r="CP3" s="637"/>
      <c r="CQ3" s="637"/>
      <c r="CR3" s="637"/>
      <c r="CS3" s="637"/>
      <c r="CT3" s="637"/>
      <c r="CU3" s="637"/>
      <c r="CV3" s="637"/>
      <c r="CW3" s="637"/>
      <c r="CX3" s="637"/>
      <c r="CY3" s="637"/>
      <c r="CZ3" s="637"/>
      <c r="DA3" s="637"/>
      <c r="DB3" s="637"/>
      <c r="DC3" s="637"/>
      <c r="DD3" s="637"/>
      <c r="DE3" s="637"/>
      <c r="DF3" s="637"/>
      <c r="DG3" s="637"/>
      <c r="DH3" s="637"/>
      <c r="DI3" s="637"/>
      <c r="DJ3" s="637"/>
      <c r="DK3" s="637"/>
      <c r="DL3" s="637"/>
      <c r="DM3" s="637"/>
      <c r="DN3" s="637"/>
      <c r="DO3" s="637"/>
      <c r="DP3" s="637"/>
      <c r="DQ3" s="637"/>
      <c r="DR3" s="637"/>
      <c r="DS3" s="637"/>
      <c r="DT3" s="637"/>
      <c r="DU3" s="637"/>
      <c r="DV3" s="637"/>
      <c r="DW3" s="637"/>
      <c r="DX3" s="637"/>
      <c r="DY3" s="637"/>
      <c r="DZ3" s="637"/>
    </row>
    <row r="4" spans="1:151">
      <c r="A4" s="601" t="s">
        <v>68</v>
      </c>
      <c r="B4" s="1"/>
      <c r="C4" s="54" t="s">
        <v>69</v>
      </c>
      <c r="D4" s="44">
        <f>'Yearly Summary'!D9</f>
        <v>661.63220645045089</v>
      </c>
      <c r="E4" s="44">
        <f>'Yearly Summary'!E9</f>
        <v>681.06307813232831</v>
      </c>
      <c r="F4" s="44">
        <f>'Yearly Summary'!F9</f>
        <v>700.11740063318598</v>
      </c>
      <c r="G4" s="44">
        <f>'Yearly Summary'!G9</f>
        <v>719.45435945550423</v>
      </c>
      <c r="H4" s="44">
        <f>'Yearly Summary'!H9</f>
        <v>739.08157368782736</v>
      </c>
      <c r="I4" s="44">
        <f>'Yearly Summary'!I9</f>
        <v>759.00700597035734</v>
      </c>
      <c r="J4" s="44">
        <f>'Yearly Summary'!J9</f>
        <v>777.34663402354295</v>
      </c>
      <c r="K4" s="44">
        <f>'Yearly Summary'!K9</f>
        <v>795.89947564509021</v>
      </c>
      <c r="L4" s="44">
        <f>'Yearly Summary'!L9</f>
        <v>814.67226911163175</v>
      </c>
      <c r="M4" s="44">
        <f>'Yearly Summary'!M9</f>
        <v>833.67216987342226</v>
      </c>
      <c r="N4" s="44">
        <f>'Yearly Summary'!N9</f>
        <v>852.90679637701135</v>
      </c>
      <c r="O4" s="44">
        <f>'Yearly Summary'!O9</f>
        <v>873.19053993518673</v>
      </c>
      <c r="P4" s="44">
        <f>'Yearly Summary'!P9</f>
        <v>893.20523060413996</v>
      </c>
      <c r="Q4" s="44">
        <f>'Yearly Summary'!Q9</f>
        <v>912.95659151207076</v>
      </c>
      <c r="R4" s="44">
        <f>'Yearly Summary'!R9</f>
        <v>932.45098319087094</v>
      </c>
      <c r="S4" s="44">
        <f>'Yearly Summary'!S9</f>
        <v>951.69548610250524</v>
      </c>
      <c r="T4" s="44">
        <f>'Yearly Summary'!T9</f>
        <v>986.14734545221131</v>
      </c>
      <c r="U4" s="44">
        <f>'Yearly Summary'!U9</f>
        <v>1019.6555701069472</v>
      </c>
      <c r="V4" s="44">
        <f>'Yearly Summary'!V9</f>
        <v>1052.2297482395893</v>
      </c>
      <c r="W4" s="44">
        <f>'Yearly Summary'!W9</f>
        <v>1083.8806373905766</v>
      </c>
      <c r="X4" s="44">
        <f>'Yearly Summary'!X9</f>
        <v>1114.6203180602777</v>
      </c>
      <c r="Y4" s="44">
        <f>'Yearly Summary'!Y9</f>
        <v>1143.6160065293668</v>
      </c>
      <c r="Z4" s="44">
        <f>'Yearly Summary'!Z9</f>
        <v>1172.0357464142096</v>
      </c>
      <c r="AA4" s="44">
        <f>'Yearly Summary'!AA9</f>
        <v>1199.8964922670095</v>
      </c>
      <c r="AB4" s="44">
        <f>'Yearly Summary'!AB9</f>
        <v>1227.217365634061</v>
      </c>
      <c r="AC4" s="44">
        <f>'Yearly Summary'!AC9</f>
        <v>1254.0199415762263</v>
      </c>
      <c r="AD4" s="44">
        <f>'Yearly Summary'!AD9</f>
        <v>1262.6495136842461</v>
      </c>
      <c r="AE4" s="44">
        <f>'Yearly Summary'!AE9</f>
        <v>1271.4954198788689</v>
      </c>
      <c r="AF4" s="44">
        <f>'Yearly Summary'!AF9</f>
        <v>1280.588658384132</v>
      </c>
      <c r="AG4" s="44">
        <f>'Yearly Summary'!AG9</f>
        <v>1289.964261689872</v>
      </c>
      <c r="AH4" s="44">
        <f>'Yearly Summary'!AH9</f>
        <v>1299.6618317334367</v>
      </c>
      <c r="AI4" s="44"/>
      <c r="AJ4" s="44">
        <f>'Yearly Summary'!AJ9</f>
        <v>661.63220645045089</v>
      </c>
      <c r="AK4" s="44">
        <f>'Yearly Summary'!AK9</f>
        <v>681.06307813232831</v>
      </c>
      <c r="AL4" s="44">
        <f>'Yearly Summary'!AL9</f>
        <v>700.11740063318598</v>
      </c>
      <c r="AM4" s="44">
        <f>'Yearly Summary'!AM9</f>
        <v>719.45435945550423</v>
      </c>
      <c r="AN4" s="44">
        <f>'Yearly Summary'!AN9</f>
        <v>739.08157368782736</v>
      </c>
      <c r="AO4" s="44">
        <f>'Yearly Summary'!AO9</f>
        <v>759.00700597035734</v>
      </c>
      <c r="AP4" s="44">
        <f>'Yearly Summary'!AP9</f>
        <v>777.34663402354295</v>
      </c>
      <c r="AQ4" s="44">
        <f>'Yearly Summary'!AQ9</f>
        <v>795.89947564509021</v>
      </c>
      <c r="AR4" s="44">
        <f>'Yearly Summary'!AR9</f>
        <v>814.67226911163175</v>
      </c>
      <c r="AS4" s="44">
        <f>'Yearly Summary'!AS9</f>
        <v>833.67216987342226</v>
      </c>
      <c r="AT4" s="44">
        <f>'Yearly Summary'!AT9</f>
        <v>852.90679637701135</v>
      </c>
      <c r="AU4" s="44">
        <f>'Yearly Summary'!AU9</f>
        <v>873.19053993518673</v>
      </c>
      <c r="AV4" s="44">
        <f>'Yearly Summary'!AV9</f>
        <v>893.20523060413996</v>
      </c>
      <c r="AW4" s="44">
        <f>'Yearly Summary'!AW9</f>
        <v>912.95659151207076</v>
      </c>
      <c r="AX4" s="44">
        <f>'Yearly Summary'!AX9</f>
        <v>932.45098319087094</v>
      </c>
      <c r="AY4" s="44">
        <f>'Yearly Summary'!AY9</f>
        <v>951.69548610250524</v>
      </c>
      <c r="AZ4" s="44">
        <f>'Yearly Summary'!AZ9</f>
        <v>986.14734545221131</v>
      </c>
      <c r="BA4" s="44">
        <f>'Yearly Summary'!BA9</f>
        <v>1019.6555701069472</v>
      </c>
      <c r="BB4" s="44">
        <f>'Yearly Summary'!BB9</f>
        <v>1052.2297482395893</v>
      </c>
      <c r="BC4" s="44">
        <f>'Yearly Summary'!BC9</f>
        <v>1083.8806373905766</v>
      </c>
      <c r="BD4" s="44">
        <f>'Yearly Summary'!BD9</f>
        <v>1114.6203180602777</v>
      </c>
      <c r="BE4" s="44">
        <f>'Yearly Summary'!BE9</f>
        <v>1143.6160065293668</v>
      </c>
      <c r="BF4" s="44">
        <f>'Yearly Summary'!BF9</f>
        <v>1172.0357464142096</v>
      </c>
      <c r="BG4" s="44">
        <f>'Yearly Summary'!BG9</f>
        <v>1199.8964922670095</v>
      </c>
      <c r="BH4" s="44">
        <f>'Yearly Summary'!BH9</f>
        <v>1227.217365634061</v>
      </c>
      <c r="BI4" s="44">
        <f>'Yearly Summary'!BI9</f>
        <v>1254.0199415762263</v>
      </c>
      <c r="BJ4" s="44">
        <f>'Yearly Summary'!BJ9</f>
        <v>1262.6495136842461</v>
      </c>
      <c r="BK4" s="44">
        <f>'Yearly Summary'!BK9</f>
        <v>1271.4954198788689</v>
      </c>
      <c r="BL4" s="44">
        <f>'Yearly Summary'!BL9</f>
        <v>1280.588658384132</v>
      </c>
      <c r="BM4" s="44">
        <f>'Yearly Summary'!BM9</f>
        <v>1289.964261689872</v>
      </c>
      <c r="BN4" s="44">
        <f>'Yearly Summary'!BN9</f>
        <v>1299.6618317334367</v>
      </c>
      <c r="BO4" s="554"/>
      <c r="BP4" s="553">
        <f>AJ4</f>
        <v>661.63220645045089</v>
      </c>
      <c r="BQ4" s="553">
        <f t="shared" ref="BQ4:CT4" si="57">AK4</f>
        <v>681.06307813232831</v>
      </c>
      <c r="BR4" s="553">
        <f t="shared" si="57"/>
        <v>700.11740063318598</v>
      </c>
      <c r="BS4" s="553">
        <f t="shared" si="57"/>
        <v>719.45435945550423</v>
      </c>
      <c r="BT4" s="553">
        <f t="shared" si="57"/>
        <v>739.08157368782736</v>
      </c>
      <c r="BU4" s="553">
        <f t="shared" si="57"/>
        <v>759.00700597035734</v>
      </c>
      <c r="BV4" s="553">
        <f t="shared" si="57"/>
        <v>777.34663402354295</v>
      </c>
      <c r="BW4" s="553">
        <f t="shared" si="57"/>
        <v>795.89947564509021</v>
      </c>
      <c r="BX4" s="553">
        <f t="shared" si="57"/>
        <v>814.67226911163175</v>
      </c>
      <c r="BY4" s="553">
        <f t="shared" si="57"/>
        <v>833.67216987342226</v>
      </c>
      <c r="BZ4" s="553">
        <f t="shared" si="57"/>
        <v>852.90679637701135</v>
      </c>
      <c r="CA4" s="553">
        <f t="shared" si="57"/>
        <v>873.19053993518673</v>
      </c>
      <c r="CB4" s="553">
        <f t="shared" si="57"/>
        <v>893.20523060413996</v>
      </c>
      <c r="CC4" s="553">
        <f t="shared" si="57"/>
        <v>912.95659151207076</v>
      </c>
      <c r="CD4" s="553">
        <f t="shared" si="57"/>
        <v>932.45098319087094</v>
      </c>
      <c r="CE4" s="553">
        <f t="shared" si="57"/>
        <v>951.69548610250524</v>
      </c>
      <c r="CF4" s="553">
        <f t="shared" si="57"/>
        <v>986.14734545221131</v>
      </c>
      <c r="CG4" s="553">
        <f t="shared" si="57"/>
        <v>1019.6555701069472</v>
      </c>
      <c r="CH4" s="553">
        <f t="shared" si="57"/>
        <v>1052.2297482395893</v>
      </c>
      <c r="CI4" s="553">
        <f t="shared" si="57"/>
        <v>1083.8806373905766</v>
      </c>
      <c r="CJ4" s="553">
        <f t="shared" si="57"/>
        <v>1114.6203180602777</v>
      </c>
      <c r="CK4" s="553">
        <f t="shared" si="57"/>
        <v>1143.6160065293668</v>
      </c>
      <c r="CL4" s="553">
        <f t="shared" si="57"/>
        <v>1172.0357464142096</v>
      </c>
      <c r="CM4" s="553">
        <f t="shared" si="57"/>
        <v>1199.8964922670095</v>
      </c>
      <c r="CN4" s="553">
        <f t="shared" si="57"/>
        <v>1227.217365634061</v>
      </c>
      <c r="CO4" s="553">
        <f t="shared" si="57"/>
        <v>1254.0199415762263</v>
      </c>
      <c r="CP4" s="553">
        <f t="shared" si="57"/>
        <v>1262.6495136842461</v>
      </c>
      <c r="CQ4" s="553">
        <f t="shared" si="57"/>
        <v>1271.4954198788689</v>
      </c>
      <c r="CR4" s="553">
        <f t="shared" si="57"/>
        <v>1280.588658384132</v>
      </c>
      <c r="CS4" s="553">
        <f t="shared" si="57"/>
        <v>1289.964261689872</v>
      </c>
      <c r="CT4" s="553">
        <f t="shared" si="57"/>
        <v>1299.6618317334367</v>
      </c>
      <c r="CU4" s="554"/>
      <c r="CV4" s="553">
        <f>BP4</f>
        <v>661.63220645045089</v>
      </c>
      <c r="CW4" s="553">
        <f t="shared" ref="CW4" si="58">BQ4</f>
        <v>681.06307813232831</v>
      </c>
      <c r="CX4" s="553">
        <f t="shared" ref="CX4" si="59">BR4</f>
        <v>700.11740063318598</v>
      </c>
      <c r="CY4" s="553">
        <f t="shared" ref="CY4" si="60">BS4</f>
        <v>719.45435945550423</v>
      </c>
      <c r="CZ4" s="553">
        <f t="shared" ref="CZ4" si="61">BT4</f>
        <v>739.08157368782736</v>
      </c>
      <c r="DA4" s="553">
        <f t="shared" ref="DA4" si="62">BU4</f>
        <v>759.00700597035734</v>
      </c>
      <c r="DB4" s="553">
        <f t="shared" ref="DB4" si="63">BV4</f>
        <v>777.34663402354295</v>
      </c>
      <c r="DC4" s="553">
        <f t="shared" ref="DC4" si="64">BW4</f>
        <v>795.89947564509021</v>
      </c>
      <c r="DD4" s="553">
        <f t="shared" ref="DD4" si="65">BX4</f>
        <v>814.67226911163175</v>
      </c>
      <c r="DE4" s="553">
        <f t="shared" ref="DE4" si="66">BY4</f>
        <v>833.67216987342226</v>
      </c>
      <c r="DF4" s="553">
        <f t="shared" ref="DF4" si="67">BZ4</f>
        <v>852.90679637701135</v>
      </c>
      <c r="DG4" s="553">
        <f t="shared" ref="DG4" si="68">CA4</f>
        <v>873.19053993518673</v>
      </c>
      <c r="DH4" s="553">
        <f t="shared" ref="DH4" si="69">CB4</f>
        <v>893.20523060413996</v>
      </c>
      <c r="DI4" s="553">
        <f t="shared" ref="DI4" si="70">CC4</f>
        <v>912.95659151207076</v>
      </c>
      <c r="DJ4" s="553">
        <f t="shared" ref="DJ4" si="71">CD4</f>
        <v>932.45098319087094</v>
      </c>
      <c r="DK4" s="553">
        <f t="shared" ref="DK4" si="72">CE4</f>
        <v>951.69548610250524</v>
      </c>
      <c r="DL4" s="553">
        <f t="shared" ref="DL4" si="73">CF4</f>
        <v>986.14734545221131</v>
      </c>
      <c r="DM4" s="553">
        <f t="shared" ref="DM4" si="74">CG4</f>
        <v>1019.6555701069472</v>
      </c>
      <c r="DN4" s="553">
        <f t="shared" ref="DN4" si="75">CH4</f>
        <v>1052.2297482395893</v>
      </c>
      <c r="DO4" s="553">
        <f t="shared" ref="DO4" si="76">CI4</f>
        <v>1083.8806373905766</v>
      </c>
      <c r="DP4" s="553">
        <f t="shared" ref="DP4" si="77">CJ4</f>
        <v>1114.6203180602777</v>
      </c>
      <c r="DQ4" s="553">
        <f t="shared" ref="DQ4" si="78">CK4</f>
        <v>1143.6160065293668</v>
      </c>
      <c r="DR4" s="553">
        <f t="shared" ref="DR4" si="79">CL4</f>
        <v>1172.0357464142096</v>
      </c>
      <c r="DS4" s="553">
        <f t="shared" ref="DS4" si="80">CM4</f>
        <v>1199.8964922670095</v>
      </c>
      <c r="DT4" s="553">
        <f t="shared" ref="DT4" si="81">CN4</f>
        <v>1227.217365634061</v>
      </c>
      <c r="DU4" s="553">
        <f t="shared" ref="DU4" si="82">CO4</f>
        <v>1254.0199415762263</v>
      </c>
      <c r="DV4" s="553">
        <f t="shared" ref="DV4" si="83">CP4</f>
        <v>1262.6495136842461</v>
      </c>
      <c r="DW4" s="553">
        <f t="shared" ref="DW4" si="84">CQ4</f>
        <v>1271.4954198788689</v>
      </c>
      <c r="DX4" s="553">
        <f t="shared" ref="DX4" si="85">CR4</f>
        <v>1280.588658384132</v>
      </c>
      <c r="DY4" s="553">
        <f t="shared" ref="DY4" si="86">CS4</f>
        <v>1289.964261689872</v>
      </c>
      <c r="DZ4" s="553">
        <f t="shared" ref="DZ4" si="87">CT4</f>
        <v>1299.6618317334367</v>
      </c>
      <c r="EK4" s="30"/>
      <c r="EL4" s="139"/>
      <c r="EM4" s="139"/>
      <c r="EN4" s="139"/>
      <c r="EO4" s="139"/>
      <c r="EP4" s="139"/>
      <c r="EQ4" s="263"/>
      <c r="ER4" s="139"/>
      <c r="ES4" s="139"/>
    </row>
    <row r="5" spans="1:151" ht="16">
      <c r="A5" s="1" t="s">
        <v>1162</v>
      </c>
      <c r="B5" t="s">
        <v>70</v>
      </c>
      <c r="C5" s="54" t="s">
        <v>69</v>
      </c>
      <c r="D5" s="682">
        <v>0</v>
      </c>
      <c r="E5" s="682">
        <v>1.3016511215721702</v>
      </c>
      <c r="F5" s="682">
        <v>2.6347665069928392</v>
      </c>
      <c r="G5" s="682">
        <v>3.9965538627839479</v>
      </c>
      <c r="H5" s="682">
        <v>5.3873627078690483</v>
      </c>
      <c r="I5" s="682">
        <v>6.8051382397085831</v>
      </c>
      <c r="J5" s="682">
        <v>8.2211837992444909</v>
      </c>
      <c r="K5" s="682">
        <v>9.6512896681603682</v>
      </c>
      <c r="L5" s="682">
        <v>11.096188452000698</v>
      </c>
      <c r="M5" s="682">
        <v>12.553308863207244</v>
      </c>
      <c r="N5" s="682">
        <v>0</v>
      </c>
      <c r="O5" s="682">
        <v>15.536888015052941</v>
      </c>
      <c r="P5" s="682">
        <v>17.068963698690336</v>
      </c>
      <c r="Q5" s="682">
        <v>18.617303799255275</v>
      </c>
      <c r="R5" s="682">
        <v>20.178249844849116</v>
      </c>
      <c r="S5" s="682">
        <v>21.754440587995095</v>
      </c>
      <c r="T5" s="682">
        <v>23.329793873796813</v>
      </c>
      <c r="U5" s="682">
        <v>24.913578535439786</v>
      </c>
      <c r="V5" s="682">
        <v>26.506989226239554</v>
      </c>
      <c r="W5" s="682">
        <v>28.110611495564754</v>
      </c>
      <c r="X5" s="682">
        <v>0</v>
      </c>
      <c r="Y5" s="682">
        <v>31.316178890080955</v>
      </c>
      <c r="Z5" s="682">
        <v>32.923263837507669</v>
      </c>
      <c r="AA5" s="682">
        <v>34.52623119262379</v>
      </c>
      <c r="AB5" s="682">
        <v>36.131568060770647</v>
      </c>
      <c r="AC5" s="682">
        <v>37.742179089795457</v>
      </c>
      <c r="AD5" s="682">
        <v>39.391729907906772</v>
      </c>
      <c r="AE5" s="682">
        <v>41.042894796225958</v>
      </c>
      <c r="AF5" s="682">
        <v>42.6965491417536</v>
      </c>
      <c r="AG5" s="682">
        <v>44.347973867120459</v>
      </c>
      <c r="AH5" s="682">
        <v>0</v>
      </c>
      <c r="AI5" s="44"/>
      <c r="AJ5" s="682">
        <v>0</v>
      </c>
      <c r="AK5" s="682">
        <v>0.5093417432238927</v>
      </c>
      <c r="AL5" s="682">
        <v>1.0309955896928502</v>
      </c>
      <c r="AM5" s="682">
        <v>1.5638689028285013</v>
      </c>
      <c r="AN5" s="682">
        <v>2.1080984509052798</v>
      </c>
      <c r="AO5" s="682">
        <v>2.6628801807555327</v>
      </c>
      <c r="AP5" s="682">
        <v>3.2169849649217577</v>
      </c>
      <c r="AQ5" s="682">
        <v>3.7765916092801444</v>
      </c>
      <c r="AR5" s="682">
        <v>4.3419867855654912</v>
      </c>
      <c r="AS5" s="682">
        <v>4.9121643377767477</v>
      </c>
      <c r="AT5" s="682">
        <v>0</v>
      </c>
      <c r="AU5" s="682">
        <v>6.0796518319772392</v>
      </c>
      <c r="AV5" s="682">
        <v>6.6791597081831755</v>
      </c>
      <c r="AW5" s="682">
        <v>7.2850319214477182</v>
      </c>
      <c r="AX5" s="682">
        <v>7.8958368958105245</v>
      </c>
      <c r="AY5" s="682">
        <v>8.5126071866067772</v>
      </c>
      <c r="AZ5" s="682">
        <v>9.129049776703102</v>
      </c>
      <c r="BA5" s="682">
        <v>9.7487916008242657</v>
      </c>
      <c r="BB5" s="682">
        <v>10.372300132006783</v>
      </c>
      <c r="BC5" s="682">
        <v>10.999804498264471</v>
      </c>
      <c r="BD5" s="682">
        <v>0</v>
      </c>
      <c r="BE5" s="682">
        <v>12.254156956988201</v>
      </c>
      <c r="BF5" s="682">
        <v>12.883016284242135</v>
      </c>
      <c r="BG5" s="682">
        <v>13.510264379722356</v>
      </c>
      <c r="BH5" s="682">
        <v>14.138439675953734</v>
      </c>
      <c r="BI5" s="682">
        <v>14.768678774267789</v>
      </c>
      <c r="BJ5" s="682">
        <v>15.414155181354827</v>
      </c>
      <c r="BK5" s="682">
        <v>16.060263181131898</v>
      </c>
      <c r="BL5" s="682">
        <v>16.707345316338365</v>
      </c>
      <c r="BM5" s="682">
        <v>17.353554991481914</v>
      </c>
      <c r="BN5" s="682">
        <v>0</v>
      </c>
      <c r="BP5" s="26">
        <v>0</v>
      </c>
      <c r="BQ5" s="26">
        <v>0</v>
      </c>
      <c r="BR5" s="26">
        <v>0</v>
      </c>
      <c r="BS5" s="26">
        <v>0</v>
      </c>
      <c r="BT5" s="26">
        <v>0</v>
      </c>
      <c r="BU5" s="26">
        <v>0</v>
      </c>
      <c r="BV5" s="26">
        <v>0</v>
      </c>
      <c r="BW5" s="26">
        <v>0</v>
      </c>
      <c r="BX5" s="26">
        <v>0</v>
      </c>
      <c r="BY5" s="26">
        <v>0</v>
      </c>
      <c r="BZ5" s="26">
        <v>0</v>
      </c>
      <c r="CA5" s="26">
        <v>0</v>
      </c>
      <c r="CB5" s="26">
        <v>0</v>
      </c>
      <c r="CC5" s="26">
        <v>0</v>
      </c>
      <c r="CD5" s="26">
        <v>0</v>
      </c>
      <c r="CE5" s="26">
        <v>0</v>
      </c>
      <c r="CF5" s="26">
        <v>0</v>
      </c>
      <c r="CG5" s="26">
        <v>0</v>
      </c>
      <c r="CH5" s="26">
        <v>0</v>
      </c>
      <c r="CI5" s="26">
        <v>0</v>
      </c>
      <c r="CJ5" s="26">
        <v>0</v>
      </c>
      <c r="CK5" s="26">
        <v>0</v>
      </c>
      <c r="CL5" s="26">
        <v>0</v>
      </c>
      <c r="CM5" s="26">
        <v>0</v>
      </c>
      <c r="CN5" s="26">
        <v>0</v>
      </c>
      <c r="CO5" s="26">
        <v>0</v>
      </c>
      <c r="CP5" s="26">
        <v>0</v>
      </c>
      <c r="CQ5" s="26">
        <v>0</v>
      </c>
      <c r="CR5" s="26">
        <v>0</v>
      </c>
      <c r="CS5" s="26">
        <v>0</v>
      </c>
      <c r="CT5" s="26">
        <v>0</v>
      </c>
      <c r="CV5" s="26">
        <v>0</v>
      </c>
      <c r="CW5" s="26">
        <v>0</v>
      </c>
      <c r="CX5" s="26">
        <v>0</v>
      </c>
      <c r="CY5" s="26">
        <v>0</v>
      </c>
      <c r="CZ5" s="26">
        <v>0</v>
      </c>
      <c r="DA5" s="26">
        <v>0</v>
      </c>
      <c r="DB5" s="26">
        <v>0</v>
      </c>
      <c r="DC5" s="26">
        <v>0</v>
      </c>
      <c r="DD5" s="26">
        <v>0</v>
      </c>
      <c r="DE5" s="26">
        <v>0</v>
      </c>
      <c r="DF5" s="26">
        <v>0</v>
      </c>
      <c r="DG5" s="26">
        <v>0</v>
      </c>
      <c r="DH5" s="26">
        <v>0</v>
      </c>
      <c r="DI5" s="26">
        <v>0</v>
      </c>
      <c r="DJ5" s="26">
        <v>0</v>
      </c>
      <c r="DK5" s="26">
        <v>0</v>
      </c>
      <c r="DL5" s="26">
        <v>0</v>
      </c>
      <c r="DM5" s="26">
        <v>0</v>
      </c>
      <c r="DN5" s="26">
        <v>0</v>
      </c>
      <c r="DO5" s="26">
        <v>0</v>
      </c>
      <c r="DP5" s="26">
        <v>0</v>
      </c>
      <c r="DQ5" s="26">
        <v>0</v>
      </c>
      <c r="DR5" s="26">
        <v>0</v>
      </c>
      <c r="DS5" s="26">
        <v>0</v>
      </c>
      <c r="DT5" s="26">
        <v>0</v>
      </c>
      <c r="DU5" s="26">
        <v>0</v>
      </c>
      <c r="DV5" s="26">
        <v>0</v>
      </c>
      <c r="DW5" s="26">
        <v>0</v>
      </c>
      <c r="DX5" s="26">
        <v>0</v>
      </c>
      <c r="DY5" s="26">
        <v>0</v>
      </c>
      <c r="DZ5" s="26">
        <v>0</v>
      </c>
      <c r="EC5" t="s">
        <v>1942</v>
      </c>
      <c r="ED5" t="s">
        <v>1943</v>
      </c>
      <c r="EE5" t="s">
        <v>1894</v>
      </c>
      <c r="EF5" t="s">
        <v>25</v>
      </c>
      <c r="EG5" t="s">
        <v>50</v>
      </c>
      <c r="EH5" t="s">
        <v>1890</v>
      </c>
      <c r="EI5" t="s">
        <v>51</v>
      </c>
      <c r="EJ5" t="s">
        <v>1893</v>
      </c>
      <c r="EK5" t="s">
        <v>25</v>
      </c>
      <c r="EL5" t="s">
        <v>50</v>
      </c>
      <c r="EM5" t="s">
        <v>1890</v>
      </c>
      <c r="EN5" t="s">
        <v>51</v>
      </c>
      <c r="EO5" t="s">
        <v>1893</v>
      </c>
    </row>
    <row r="6" spans="1:151" ht="16">
      <c r="A6" s="1" t="s">
        <v>1887</v>
      </c>
      <c r="B6" t="s">
        <v>71</v>
      </c>
      <c r="C6" s="54" t="s">
        <v>69</v>
      </c>
      <c r="D6" s="682">
        <v>0</v>
      </c>
      <c r="E6" s="682">
        <v>0</v>
      </c>
      <c r="F6" s="682">
        <v>0</v>
      </c>
      <c r="G6" s="682">
        <v>0</v>
      </c>
      <c r="H6" s="682">
        <v>0</v>
      </c>
      <c r="I6" s="682">
        <v>0</v>
      </c>
      <c r="J6" s="682">
        <v>0</v>
      </c>
      <c r="K6" s="682">
        <v>0</v>
      </c>
      <c r="L6" s="682">
        <v>0</v>
      </c>
      <c r="M6" s="682">
        <v>0</v>
      </c>
      <c r="N6" s="682">
        <v>0</v>
      </c>
      <c r="O6" s="682">
        <v>0</v>
      </c>
      <c r="P6" s="682">
        <v>0</v>
      </c>
      <c r="Q6" s="682">
        <v>0</v>
      </c>
      <c r="R6" s="682">
        <v>0</v>
      </c>
      <c r="S6" s="682">
        <v>0</v>
      </c>
      <c r="T6" s="682">
        <v>0</v>
      </c>
      <c r="U6" s="682">
        <v>0</v>
      </c>
      <c r="V6" s="682">
        <v>0</v>
      </c>
      <c r="W6" s="682">
        <v>0</v>
      </c>
      <c r="X6" s="682">
        <v>0</v>
      </c>
      <c r="Y6" s="682">
        <v>0</v>
      </c>
      <c r="Z6" s="682">
        <v>0</v>
      </c>
      <c r="AA6" s="682">
        <v>0</v>
      </c>
      <c r="AB6" s="682">
        <v>0</v>
      </c>
      <c r="AC6" s="682">
        <v>0</v>
      </c>
      <c r="AD6" s="682">
        <v>0</v>
      </c>
      <c r="AE6" s="682">
        <v>0</v>
      </c>
      <c r="AF6" s="682">
        <v>0</v>
      </c>
      <c r="AG6" s="682">
        <v>0</v>
      </c>
      <c r="AH6" s="682">
        <v>0</v>
      </c>
      <c r="AI6" s="44"/>
      <c r="AJ6" s="682">
        <v>0</v>
      </c>
      <c r="AK6" s="682">
        <v>0</v>
      </c>
      <c r="AL6" s="682">
        <v>0</v>
      </c>
      <c r="AM6" s="682">
        <v>0</v>
      </c>
      <c r="AN6" s="682">
        <v>0</v>
      </c>
      <c r="AO6" s="682">
        <v>0</v>
      </c>
      <c r="AP6" s="682">
        <v>0</v>
      </c>
      <c r="AQ6" s="682">
        <v>0</v>
      </c>
      <c r="AR6" s="682">
        <v>0</v>
      </c>
      <c r="AS6" s="682">
        <v>0</v>
      </c>
      <c r="AT6" s="682">
        <v>0</v>
      </c>
      <c r="AU6" s="682">
        <v>0</v>
      </c>
      <c r="AV6" s="682">
        <v>0</v>
      </c>
      <c r="AW6" s="682">
        <v>0</v>
      </c>
      <c r="AX6" s="682">
        <v>0</v>
      </c>
      <c r="AY6" s="682">
        <v>0</v>
      </c>
      <c r="AZ6" s="682">
        <v>0</v>
      </c>
      <c r="BA6" s="682">
        <v>0</v>
      </c>
      <c r="BB6" s="682">
        <v>0</v>
      </c>
      <c r="BC6" s="682">
        <v>0</v>
      </c>
      <c r="BD6" s="682">
        <v>0</v>
      </c>
      <c r="BE6" s="682">
        <v>0</v>
      </c>
      <c r="BF6" s="682">
        <v>0</v>
      </c>
      <c r="BG6" s="682">
        <v>0</v>
      </c>
      <c r="BH6" s="682">
        <v>0</v>
      </c>
      <c r="BI6" s="682">
        <v>0</v>
      </c>
      <c r="BJ6" s="682">
        <v>0</v>
      </c>
      <c r="BK6" s="682">
        <v>0</v>
      </c>
      <c r="BL6" s="682">
        <v>0</v>
      </c>
      <c r="BM6" s="682">
        <v>0</v>
      </c>
      <c r="BN6" s="682">
        <v>0</v>
      </c>
      <c r="BP6" s="26">
        <v>0</v>
      </c>
      <c r="BQ6" s="26">
        <v>0</v>
      </c>
      <c r="BR6" s="26">
        <v>0</v>
      </c>
      <c r="BS6" s="26">
        <v>0</v>
      </c>
      <c r="BT6" s="26">
        <v>0</v>
      </c>
      <c r="BU6" s="26">
        <v>0</v>
      </c>
      <c r="BV6" s="26">
        <v>0</v>
      </c>
      <c r="BW6" s="26">
        <v>0</v>
      </c>
      <c r="BX6" s="26">
        <v>0</v>
      </c>
      <c r="BY6" s="26">
        <v>0</v>
      </c>
      <c r="BZ6" s="26">
        <v>0</v>
      </c>
      <c r="CA6" s="26">
        <v>0</v>
      </c>
      <c r="CB6" s="26">
        <v>0</v>
      </c>
      <c r="CC6" s="26">
        <v>0</v>
      </c>
      <c r="CD6" s="26">
        <v>0</v>
      </c>
      <c r="CE6" s="26">
        <v>0</v>
      </c>
      <c r="CF6" s="26">
        <v>0</v>
      </c>
      <c r="CG6" s="26">
        <v>0</v>
      </c>
      <c r="CH6" s="26">
        <v>0</v>
      </c>
      <c r="CI6" s="26">
        <v>0</v>
      </c>
      <c r="CJ6" s="26">
        <v>0</v>
      </c>
      <c r="CK6" s="26">
        <v>0</v>
      </c>
      <c r="CL6" s="26">
        <v>0</v>
      </c>
      <c r="CM6" s="26">
        <v>0</v>
      </c>
      <c r="CN6" s="26">
        <v>0</v>
      </c>
      <c r="CO6" s="26">
        <v>0</v>
      </c>
      <c r="CP6" s="26">
        <v>0</v>
      </c>
      <c r="CQ6" s="26">
        <v>0</v>
      </c>
      <c r="CR6" s="26">
        <v>0</v>
      </c>
      <c r="CS6" s="26">
        <v>0</v>
      </c>
      <c r="CT6" s="26">
        <v>0</v>
      </c>
      <c r="CV6" s="26">
        <v>0</v>
      </c>
      <c r="CW6" s="26">
        <v>0</v>
      </c>
      <c r="CX6" s="26">
        <v>0</v>
      </c>
      <c r="CY6" s="26">
        <v>0</v>
      </c>
      <c r="CZ6" s="26">
        <v>0</v>
      </c>
      <c r="DA6" s="26">
        <v>0</v>
      </c>
      <c r="DB6" s="26">
        <v>0</v>
      </c>
      <c r="DC6" s="26">
        <v>0</v>
      </c>
      <c r="DD6" s="26">
        <v>0</v>
      </c>
      <c r="DE6" s="26">
        <v>0</v>
      </c>
      <c r="DF6" s="26">
        <v>0</v>
      </c>
      <c r="DG6" s="26">
        <v>0</v>
      </c>
      <c r="DH6" s="26">
        <v>0</v>
      </c>
      <c r="DI6" s="26">
        <v>0</v>
      </c>
      <c r="DJ6" s="26">
        <v>0</v>
      </c>
      <c r="DK6" s="26">
        <v>0</v>
      </c>
      <c r="DL6" s="26">
        <v>0</v>
      </c>
      <c r="DM6" s="26">
        <v>0</v>
      </c>
      <c r="DN6" s="26">
        <v>0</v>
      </c>
      <c r="DO6" s="26">
        <v>0</v>
      </c>
      <c r="DP6" s="26">
        <v>0</v>
      </c>
      <c r="DQ6" s="26">
        <v>0</v>
      </c>
      <c r="DR6" s="26">
        <v>0</v>
      </c>
      <c r="DS6" s="26">
        <v>0</v>
      </c>
      <c r="DT6" s="26">
        <v>0</v>
      </c>
      <c r="DU6" s="26">
        <v>0</v>
      </c>
      <c r="DV6" s="26">
        <v>0</v>
      </c>
      <c r="DW6" s="26">
        <v>0</v>
      </c>
      <c r="DX6" s="26">
        <v>0</v>
      </c>
      <c r="DY6" s="26">
        <v>0</v>
      </c>
      <c r="DZ6" s="26">
        <v>0</v>
      </c>
      <c r="EB6" t="s">
        <v>1892</v>
      </c>
      <c r="EC6">
        <v>131.907984</v>
      </c>
      <c r="ED6" s="2">
        <f t="shared" ref="ED6:ED12" si="88">EC6/$EC$13</f>
        <v>0.19803019284983969</v>
      </c>
      <c r="EE6">
        <v>158.18580800000001</v>
      </c>
      <c r="EF6" s="44">
        <f>AH5</f>
        <v>0</v>
      </c>
      <c r="EG6" s="44">
        <f>AH6</f>
        <v>0</v>
      </c>
      <c r="EH6">
        <v>0</v>
      </c>
      <c r="EI6" s="44">
        <v>0</v>
      </c>
      <c r="EJ6" s="44">
        <f>EE6-SUM(EF6:EI6)</f>
        <v>158.18580800000001</v>
      </c>
      <c r="EK6" s="2">
        <f>EF6/$EE6</f>
        <v>0</v>
      </c>
      <c r="EL6" s="2">
        <f t="shared" ref="EL6:EO6" si="89">EG6/$EE6</f>
        <v>0</v>
      </c>
      <c r="EM6" s="2">
        <f t="shared" si="89"/>
        <v>0</v>
      </c>
      <c r="EN6" s="2">
        <f t="shared" si="89"/>
        <v>0</v>
      </c>
      <c r="EO6" s="2">
        <f t="shared" si="89"/>
        <v>1</v>
      </c>
      <c r="EP6" s="660">
        <f>EF6/EF$13</f>
        <v>0</v>
      </c>
      <c r="EQ6" s="137"/>
      <c r="ER6" s="137"/>
      <c r="ES6" s="532"/>
    </row>
    <row r="7" spans="1:151">
      <c r="A7" s="1" t="s">
        <v>1162</v>
      </c>
      <c r="B7" t="s">
        <v>72</v>
      </c>
      <c r="C7" s="54" t="s">
        <v>69</v>
      </c>
      <c r="D7" s="44">
        <f>'Yearly BTX'!D10+'Yearly Methanol'!D12</f>
        <v>0</v>
      </c>
      <c r="E7" s="44">
        <f>'Yearly BTX'!E10+'Yearly Methanol'!E12</f>
        <v>0.72809656581331306</v>
      </c>
      <c r="F7" s="44">
        <f>'Yearly BTX'!F10+'Yearly Methanol'!F12</f>
        <v>1.4859785533170244</v>
      </c>
      <c r="G7" s="44">
        <f>'Yearly BTX'!G10+'Yearly Methanol'!G12</f>
        <v>2.2746126419817627</v>
      </c>
      <c r="H7" s="44">
        <f>'Yearly BTX'!H10+'Yearly Methanol'!H12</f>
        <v>3.0949942662837868</v>
      </c>
      <c r="I7" s="44">
        <f>'Yearly BTX'!I10+'Yearly Methanol'!I12</f>
        <v>3.9481484302258729</v>
      </c>
      <c r="J7" s="44">
        <f>'Yearly BTX'!J10+'Yearly Methanol'!J12</f>
        <v>4.8351305441787904</v>
      </c>
      <c r="K7" s="44">
        <f>'Yearly BTX'!K10+'Yearly Methanol'!K12</f>
        <v>5.7570272846402268</v>
      </c>
      <c r="L7" s="44">
        <f>'Yearly BTX'!L10+'Yearly Methanol'!L12</f>
        <v>6.7149574775237646</v>
      </c>
      <c r="M7" s="44">
        <f>'Yearly BTX'!M10+'Yearly Methanol'!M12</f>
        <v>7.7100730056064641</v>
      </c>
      <c r="N7" s="44">
        <f>'Yearly BTX'!N10+'Yearly Methanol'!N12</f>
        <v>8.7435597407802206</v>
      </c>
      <c r="O7" s="44">
        <f>'Yearly BTX'!O10+'Yearly Methanol'!O12</f>
        <v>11.155271024737354</v>
      </c>
      <c r="P7" s="44">
        <f>'Yearly BTX'!P10+'Yearly Methanol'!P12</f>
        <v>13.663207547488044</v>
      </c>
      <c r="Q7" s="44">
        <f>'Yearly BTX'!Q10+'Yearly Methanol'!Q12</f>
        <v>16.270471592659867</v>
      </c>
      <c r="R7" s="44">
        <f>'Yearly BTX'!R10+'Yearly Methanol'!R12</f>
        <v>18.980257398657212</v>
      </c>
      <c r="S7" s="44">
        <f>'Yearly BTX'!S10+'Yearly Methanol'!S12</f>
        <v>21.795853756617433</v>
      </c>
      <c r="T7" s="44">
        <f>'Yearly BTX'!T10+'Yearly Methanol'!T12</f>
        <v>24.720646679411125</v>
      </c>
      <c r="U7" s="44">
        <f>'Yearly BTX'!U10+'Yearly Methanol'!U12</f>
        <v>27.758122143582703</v>
      </c>
      <c r="V7" s="44">
        <f>'Yearly BTX'!V10+'Yearly Methanol'!V12</f>
        <v>30.911868906177897</v>
      </c>
      <c r="W7" s="44">
        <f>'Yearly BTX'!W10+'Yearly Methanol'!W12</f>
        <v>34.185581398455383</v>
      </c>
      <c r="X7" s="44">
        <f>'Yearly BTX'!X10+'Yearly Methanol'!X12</f>
        <v>37.583062698532025</v>
      </c>
      <c r="Y7" s="44">
        <f>'Yearly BTX'!Y10+'Yearly Methanol'!Y12</f>
        <v>40.012008182796578</v>
      </c>
      <c r="Z7" s="44">
        <f>'Yearly BTX'!Z10+'Yearly Methanol'!Z12</f>
        <v>42.526850390422666</v>
      </c>
      <c r="AA7" s="44">
        <f>'Yearly BTX'!AA10+'Yearly Methanol'!AA12</f>
        <v>45.130232078574529</v>
      </c>
      <c r="AB7" s="44">
        <f>'Yearly BTX'!AB10+'Yearly Methanol'!AB12</f>
        <v>47.824872329743158</v>
      </c>
      <c r="AC7" s="44">
        <f>'Yearly BTX'!AC10+'Yearly Methanol'!AC12</f>
        <v>50.613568671858083</v>
      </c>
      <c r="AD7" s="44">
        <f>'Yearly BTX'!AD10+'Yearly Methanol'!AD12</f>
        <v>53.499199255681589</v>
      </c>
      <c r="AE7" s="44">
        <f>'Yearly BTX'!AE10+'Yearly Methanol'!AE12</f>
        <v>56.484725091000747</v>
      </c>
      <c r="AF7" s="44">
        <f>'Yearly BTX'!AF10+'Yearly Methanol'!AF12</f>
        <v>59.573192343172096</v>
      </c>
      <c r="AG7" s="44">
        <f>'Yearly BTX'!AG10+'Yearly Methanol'!AG12</f>
        <v>62.767734691614585</v>
      </c>
      <c r="AH7" s="44">
        <f>'Yearly BTX'!AH10+'Yearly Methanol'!AH12</f>
        <v>66.07157575188748</v>
      </c>
      <c r="AI7" s="44"/>
      <c r="AJ7" s="44">
        <f>'Yearly BTX'!AJ10+'Yearly Methanol'!AJ12</f>
        <v>0</v>
      </c>
      <c r="AK7" s="44">
        <f>'Yearly BTX'!AK10+'Yearly Methanol'!AK12</f>
        <v>0.72809656581331306</v>
      </c>
      <c r="AL7" s="44">
        <f>'Yearly BTX'!AL10+'Yearly Methanol'!AL12</f>
        <v>1.4859785533170244</v>
      </c>
      <c r="AM7" s="44">
        <f>'Yearly BTX'!AM10+'Yearly Methanol'!AM12</f>
        <v>2.2746126419817627</v>
      </c>
      <c r="AN7" s="44">
        <f>'Yearly BTX'!AN10+'Yearly Methanol'!AN12</f>
        <v>3.0949942662837868</v>
      </c>
      <c r="AO7" s="44">
        <f>'Yearly BTX'!AO10+'Yearly Methanol'!AO12</f>
        <v>3.9481484302258729</v>
      </c>
      <c r="AP7" s="44">
        <f>'Yearly BTX'!AP10+'Yearly Methanol'!AP12</f>
        <v>4.8351305441787904</v>
      </c>
      <c r="AQ7" s="44">
        <f>'Yearly BTX'!AQ10+'Yearly Methanol'!AQ12</f>
        <v>5.7570272846402268</v>
      </c>
      <c r="AR7" s="44">
        <f>'Yearly BTX'!AR10+'Yearly Methanol'!AR12</f>
        <v>6.7149574775237646</v>
      </c>
      <c r="AS7" s="44">
        <f>'Yearly BTX'!AS10+'Yearly Methanol'!AS12</f>
        <v>7.7100730056064641</v>
      </c>
      <c r="AT7" s="44">
        <f>'Yearly BTX'!AT10+'Yearly Methanol'!AT12</f>
        <v>8.7435597407802206</v>
      </c>
      <c r="AU7" s="44">
        <f>'Yearly BTX'!AU10+'Yearly Methanol'!AU12</f>
        <v>11.155271024737354</v>
      </c>
      <c r="AV7" s="44">
        <f>'Yearly BTX'!AV10+'Yearly Methanol'!AV12</f>
        <v>13.663207547488044</v>
      </c>
      <c r="AW7" s="44">
        <f>'Yearly BTX'!AW10+'Yearly Methanol'!AW12</f>
        <v>16.270471592659867</v>
      </c>
      <c r="AX7" s="44">
        <f>'Yearly BTX'!AX10+'Yearly Methanol'!AX12</f>
        <v>18.980257398657212</v>
      </c>
      <c r="AY7" s="44">
        <f>'Yearly BTX'!AY10+'Yearly Methanol'!AY12</f>
        <v>21.795853756617433</v>
      </c>
      <c r="AZ7" s="44">
        <f>'Yearly BTX'!AZ10+'Yearly Methanol'!AZ12</f>
        <v>24.720646679411125</v>
      </c>
      <c r="BA7" s="44">
        <f>'Yearly BTX'!BA10+'Yearly Methanol'!BA12</f>
        <v>27.758122143582703</v>
      </c>
      <c r="BB7" s="44">
        <f>'Yearly BTX'!BB10+'Yearly Methanol'!BB12</f>
        <v>30.911868906177897</v>
      </c>
      <c r="BC7" s="44">
        <f>'Yearly BTX'!BC10+'Yearly Methanol'!BC12</f>
        <v>34.185581398455383</v>
      </c>
      <c r="BD7" s="44">
        <f>'Yearly BTX'!BD10+'Yearly Methanol'!BD12</f>
        <v>37.583062698532025</v>
      </c>
      <c r="BE7" s="44">
        <f>'Yearly BTX'!BE10+'Yearly Methanol'!BE12</f>
        <v>40.012008182796578</v>
      </c>
      <c r="BF7" s="44">
        <f>'Yearly BTX'!BF10+'Yearly Methanol'!BF12</f>
        <v>42.526850390422666</v>
      </c>
      <c r="BG7" s="44">
        <f>'Yearly BTX'!BG10+'Yearly Methanol'!BG12</f>
        <v>45.130232078574529</v>
      </c>
      <c r="BH7" s="44">
        <f>'Yearly BTX'!BH10+'Yearly Methanol'!BH12</f>
        <v>47.824872329743158</v>
      </c>
      <c r="BI7" s="44">
        <f>'Yearly BTX'!BI10+'Yearly Methanol'!BI12</f>
        <v>50.613568671858083</v>
      </c>
      <c r="BJ7" s="44">
        <f>'Yearly BTX'!BJ10+'Yearly Methanol'!BJ12</f>
        <v>53.499199255681589</v>
      </c>
      <c r="BK7" s="44">
        <f>'Yearly BTX'!BK10+'Yearly Methanol'!BK12</f>
        <v>56.484725091000747</v>
      </c>
      <c r="BL7" s="44">
        <f>'Yearly BTX'!BL10+'Yearly Methanol'!BL12</f>
        <v>59.573192343172096</v>
      </c>
      <c r="BM7" s="44">
        <f>'Yearly BTX'!BM10+'Yearly Methanol'!BM12</f>
        <v>62.767734691614585</v>
      </c>
      <c r="BN7" s="44">
        <f>'Yearly BTX'!BN10+'Yearly Methanol'!BN12</f>
        <v>66.07157575188748</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B7" t="s">
        <v>1888</v>
      </c>
      <c r="EC7">
        <f>SUM('R&amp;S - Packaging and hh goods'!I4:O4)</f>
        <v>187.00626736755632</v>
      </c>
      <c r="ED7" s="2">
        <f t="shared" si="88"/>
        <v>0.28074788248545945</v>
      </c>
      <c r="EE7" s="44">
        <f>SUM('R&amp;S - Packaging and hh goods'!I6:O6)</f>
        <v>277.98913120134648</v>
      </c>
      <c r="EF7" s="44">
        <f>AH8</f>
        <v>0</v>
      </c>
      <c r="EG7" s="44">
        <f>AH9</f>
        <v>0</v>
      </c>
      <c r="EH7" s="44">
        <f>AH10+AH11</f>
        <v>0</v>
      </c>
      <c r="EI7" s="44">
        <f>EI16</f>
        <v>60.980528135101409</v>
      </c>
      <c r="EJ7" s="44">
        <f t="shared" ref="EJ7:EJ19" si="90">EE7-SUM(EF7:EI7)</f>
        <v>217.00860306624509</v>
      </c>
      <c r="EK7" s="2">
        <f t="shared" ref="EK7:EK19" si="91">EF7/$EE7</f>
        <v>0</v>
      </c>
      <c r="EL7" s="2">
        <f t="shared" ref="EL7:EL19" si="92">EG7/$EE7</f>
        <v>0</v>
      </c>
      <c r="EM7" s="2">
        <f t="shared" ref="EM7:EM19" si="93">EH7/$EE7</f>
        <v>0</v>
      </c>
      <c r="EN7" s="2">
        <f t="shared" ref="EN7:EN19" si="94">EI7/$EE7</f>
        <v>0.21936299405509291</v>
      </c>
      <c r="EO7" s="2">
        <f t="shared" ref="EO7:EO19" si="95">EJ7/$EE7</f>
        <v>0.78063700594490715</v>
      </c>
      <c r="EP7" s="660">
        <f t="shared" ref="EP7:EP13" si="96">EF7/EF$13</f>
        <v>0</v>
      </c>
      <c r="EQ7" s="137"/>
      <c r="ER7" s="137"/>
      <c r="ES7" s="137"/>
    </row>
    <row r="8" spans="1:151">
      <c r="A8" s="1" t="s">
        <v>1162</v>
      </c>
      <c r="B8" t="s">
        <v>73</v>
      </c>
      <c r="C8" s="54" t="s">
        <v>69</v>
      </c>
      <c r="D8" s="44">
        <f>'Yearly Butadiene'!D19+'Yearly BTX'!D28+'Yearly Methanol'!D30+'Yearly HC Ethylene'!D27+'Yearly HC Propylene'!D15</f>
        <v>0</v>
      </c>
      <c r="E8" s="44">
        <f>'Yearly Butadiene'!E19+'Yearly BTX'!E28+'Yearly Methanol'!E30+'Yearly HC Ethylene'!E27+'Yearly HC Propylene'!E15</f>
        <v>0</v>
      </c>
      <c r="F8" s="44">
        <f>'Yearly Butadiene'!F19+'Yearly BTX'!F28+'Yearly Methanol'!F30+'Yearly HC Ethylene'!F27+'Yearly HC Propylene'!F15</f>
        <v>0</v>
      </c>
      <c r="G8" s="44">
        <f>'Yearly Butadiene'!G19+'Yearly BTX'!G28+'Yearly Methanol'!G30+'Yearly HC Ethylene'!G27+'Yearly HC Propylene'!G15</f>
        <v>0</v>
      </c>
      <c r="H8" s="44">
        <f>'Yearly Butadiene'!H19+'Yearly BTX'!H28+'Yearly Methanol'!H30+'Yearly HC Ethylene'!H27+'Yearly HC Propylene'!H15</f>
        <v>0</v>
      </c>
      <c r="I8" s="44">
        <f>'Yearly Butadiene'!I19+'Yearly BTX'!I28+'Yearly Methanol'!I30+'Yearly HC Ethylene'!I27+'Yearly HC Propylene'!I15</f>
        <v>0</v>
      </c>
      <c r="J8" s="44">
        <f>'Yearly Butadiene'!J19+'Yearly BTX'!J28+'Yearly Methanol'!J30+'Yearly HC Ethylene'!J27+'Yearly HC Propylene'!J15</f>
        <v>0</v>
      </c>
      <c r="K8" s="44">
        <f>'Yearly Butadiene'!K19+'Yearly BTX'!K28+'Yearly Methanol'!K30+'Yearly HC Ethylene'!K27+'Yearly HC Propylene'!K15</f>
        <v>0</v>
      </c>
      <c r="L8" s="44">
        <f>'Yearly Butadiene'!L19+'Yearly BTX'!L28+'Yearly Methanol'!L30+'Yearly HC Ethylene'!L27+'Yearly HC Propylene'!L15</f>
        <v>0</v>
      </c>
      <c r="M8" s="44">
        <f>'Yearly Butadiene'!M19+'Yearly BTX'!M28+'Yearly Methanol'!M30+'Yearly HC Ethylene'!M27+'Yearly HC Propylene'!M15</f>
        <v>0</v>
      </c>
      <c r="N8" s="44">
        <f>'Yearly Butadiene'!N19+'Yearly BTX'!N28+'Yearly Methanol'!N30+'Yearly HC Ethylene'!N27+'Yearly HC Propylene'!N15</f>
        <v>0</v>
      </c>
      <c r="O8" s="44">
        <f>'Yearly Butadiene'!O19+'Yearly BTX'!O28+'Yearly Methanol'!O30+'Yearly HC Ethylene'!O27+'Yearly HC Propylene'!O15</f>
        <v>0</v>
      </c>
      <c r="P8" s="44">
        <f>'Yearly Butadiene'!P19+'Yearly BTX'!P28+'Yearly Methanol'!P30+'Yearly HC Ethylene'!P27+'Yearly HC Propylene'!P15</f>
        <v>0</v>
      </c>
      <c r="Q8" s="44">
        <f>'Yearly Butadiene'!Q19+'Yearly BTX'!Q28+'Yearly Methanol'!Q30+'Yearly HC Ethylene'!Q27+'Yearly HC Propylene'!Q15</f>
        <v>0</v>
      </c>
      <c r="R8" s="44">
        <f>'Yearly Butadiene'!R19+'Yearly BTX'!R28+'Yearly Methanol'!R30+'Yearly HC Ethylene'!R27+'Yearly HC Propylene'!R15</f>
        <v>0</v>
      </c>
      <c r="S8" s="44">
        <f>'Yearly Butadiene'!S19+'Yearly BTX'!S28+'Yearly Methanol'!S30+'Yearly HC Ethylene'!S27+'Yearly HC Propylene'!S15</f>
        <v>0</v>
      </c>
      <c r="T8" s="44">
        <f>'Yearly Butadiene'!T19+'Yearly BTX'!T28+'Yearly Methanol'!T30+'Yearly HC Ethylene'!T27+'Yearly HC Propylene'!T15</f>
        <v>0</v>
      </c>
      <c r="U8" s="44">
        <f>'Yearly Butadiene'!U19+'Yearly BTX'!U28+'Yearly Methanol'!U30+'Yearly HC Ethylene'!U27+'Yearly HC Propylene'!U15</f>
        <v>0</v>
      </c>
      <c r="V8" s="44">
        <f>'Yearly Butadiene'!V19+'Yearly BTX'!V28+'Yearly Methanol'!V30+'Yearly HC Ethylene'!V27+'Yearly HC Propylene'!V15</f>
        <v>0</v>
      </c>
      <c r="W8" s="44">
        <f>'Yearly Butadiene'!W19+'Yearly BTX'!W28+'Yearly Methanol'!W30+'Yearly HC Ethylene'!W27+'Yearly HC Propylene'!W15</f>
        <v>0</v>
      </c>
      <c r="X8" s="44">
        <f>'Yearly Butadiene'!X19+'Yearly BTX'!X28+'Yearly Methanol'!X30+'Yearly HC Ethylene'!X27+'Yearly HC Propylene'!X15</f>
        <v>0</v>
      </c>
      <c r="Y8" s="44">
        <f>'Yearly Butadiene'!Y19+'Yearly BTX'!Y28+'Yearly Methanol'!Y30+'Yearly HC Ethylene'!Y27+'Yearly HC Propylene'!Y15</f>
        <v>0</v>
      </c>
      <c r="Z8" s="44">
        <f>'Yearly Butadiene'!Z19+'Yearly BTX'!Z28+'Yearly Methanol'!Z30+'Yearly HC Ethylene'!Z27+'Yearly HC Propylene'!Z15</f>
        <v>0</v>
      </c>
      <c r="AA8" s="44">
        <f>'Yearly Butadiene'!AA19+'Yearly BTX'!AA28+'Yearly Methanol'!AA30+'Yearly HC Ethylene'!AA27+'Yearly HC Propylene'!AA15</f>
        <v>0</v>
      </c>
      <c r="AB8" s="44">
        <f>'Yearly Butadiene'!AB19+'Yearly BTX'!AB28+'Yearly Methanol'!AB30+'Yearly HC Ethylene'!AB27+'Yearly HC Propylene'!AB15</f>
        <v>0</v>
      </c>
      <c r="AC8" s="44">
        <f>'Yearly Butadiene'!AC19+'Yearly BTX'!AC28+'Yearly Methanol'!AC30+'Yearly HC Ethylene'!AC27+'Yearly HC Propylene'!AC15</f>
        <v>0</v>
      </c>
      <c r="AD8" s="44">
        <f>'Yearly Butadiene'!AD19+'Yearly BTX'!AD28+'Yearly Methanol'!AD30+'Yearly HC Ethylene'!AD27+'Yearly HC Propylene'!AD15</f>
        <v>0</v>
      </c>
      <c r="AE8" s="44">
        <f>'Yearly Butadiene'!AE19+'Yearly BTX'!AE28+'Yearly Methanol'!AE30+'Yearly HC Ethylene'!AE27+'Yearly HC Propylene'!AE15</f>
        <v>0</v>
      </c>
      <c r="AF8" s="44">
        <f>'Yearly Butadiene'!AF19+'Yearly BTX'!AF28+'Yearly Methanol'!AF30+'Yearly HC Ethylene'!AF27+'Yearly HC Propylene'!AF15</f>
        <v>0</v>
      </c>
      <c r="AG8" s="44">
        <f>'Yearly Butadiene'!AG19+'Yearly BTX'!AG28+'Yearly Methanol'!AG30+'Yearly HC Ethylene'!AG27+'Yearly HC Propylene'!AG15</f>
        <v>0</v>
      </c>
      <c r="AH8" s="44">
        <f>'Yearly Butadiene'!AH19+'Yearly BTX'!AH28+'Yearly Methanol'!AH30+'Yearly HC Ethylene'!AH27+'Yearly HC Propylene'!AH15</f>
        <v>0</v>
      </c>
      <c r="AI8" s="44"/>
      <c r="AJ8" s="44">
        <f>'Yearly Butadiene'!AJ19+'Yearly BTX'!AJ28+'Yearly Methanol'!AJ30+'Yearly LC Ethylene'!D27+'Yearly LC Propylene'!D15</f>
        <v>0</v>
      </c>
      <c r="AK8" s="44">
        <f>'Yearly Butadiene'!AK19+'Yearly BTX'!AK28+'Yearly Methanol'!AK30+'Yearly LC Ethylene'!E27+'Yearly LC Propylene'!E15</f>
        <v>0</v>
      </c>
      <c r="AL8" s="44">
        <f>'Yearly Butadiene'!AL19+'Yearly BTX'!AL28+'Yearly Methanol'!AL30+'Yearly LC Ethylene'!F27+'Yearly LC Propylene'!F15</f>
        <v>0</v>
      </c>
      <c r="AM8" s="44">
        <f>'Yearly Butadiene'!AM19+'Yearly BTX'!AM28+'Yearly Methanol'!AM30+'Yearly LC Ethylene'!G27+'Yearly LC Propylene'!G15</f>
        <v>0</v>
      </c>
      <c r="AN8" s="44">
        <f>'Yearly Butadiene'!AN19+'Yearly BTX'!AN28+'Yearly Methanol'!AN30+'Yearly LC Ethylene'!H27+'Yearly LC Propylene'!H15</f>
        <v>0</v>
      </c>
      <c r="AO8" s="44">
        <f>'Yearly Butadiene'!AO19+'Yearly BTX'!AO28+'Yearly Methanol'!AO30+'Yearly LC Ethylene'!I27+'Yearly LC Propylene'!I15</f>
        <v>0</v>
      </c>
      <c r="AP8" s="44">
        <f>'Yearly Butadiene'!AP19+'Yearly BTX'!AP28+'Yearly Methanol'!AP30+'Yearly LC Ethylene'!J27+'Yearly LC Propylene'!J15</f>
        <v>0</v>
      </c>
      <c r="AQ8" s="44">
        <f>'Yearly Butadiene'!AQ19+'Yearly BTX'!AQ28+'Yearly Methanol'!AQ30+'Yearly LC Ethylene'!K27+'Yearly LC Propylene'!K15</f>
        <v>0</v>
      </c>
      <c r="AR8" s="44">
        <f>'Yearly Butadiene'!AR19+'Yearly BTX'!AR28+'Yearly Methanol'!AR30+'Yearly LC Ethylene'!L27+'Yearly LC Propylene'!L15</f>
        <v>0</v>
      </c>
      <c r="AS8" s="44">
        <f>'Yearly Butadiene'!AS19+'Yearly BTX'!AS28+'Yearly Methanol'!AS30+'Yearly LC Ethylene'!M27+'Yearly LC Propylene'!M15</f>
        <v>0</v>
      </c>
      <c r="AT8" s="44">
        <f>'Yearly Butadiene'!AT19+'Yearly BTX'!AT28+'Yearly Methanol'!AT30+'Yearly LC Ethylene'!N27+'Yearly LC Propylene'!N15</f>
        <v>0</v>
      </c>
      <c r="AU8" s="44">
        <f>'Yearly Butadiene'!AU19+'Yearly BTX'!AU28+'Yearly Methanol'!AU30+'Yearly LC Ethylene'!O27+'Yearly LC Propylene'!O15</f>
        <v>0</v>
      </c>
      <c r="AV8" s="44">
        <f>'Yearly Butadiene'!AV19+'Yearly BTX'!AV28+'Yearly Methanol'!AV30+'Yearly LC Ethylene'!P27+'Yearly LC Propylene'!P15</f>
        <v>0</v>
      </c>
      <c r="AW8" s="44">
        <f>'Yearly Butadiene'!AW19+'Yearly BTX'!AW28+'Yearly Methanol'!AW30+'Yearly LC Ethylene'!Q27+'Yearly LC Propylene'!Q15</f>
        <v>0</v>
      </c>
      <c r="AX8" s="44">
        <f>'Yearly Butadiene'!AX19+'Yearly BTX'!AX28+'Yearly Methanol'!AX30+'Yearly LC Ethylene'!R27+'Yearly LC Propylene'!R15</f>
        <v>0</v>
      </c>
      <c r="AY8" s="44">
        <f>'Yearly Butadiene'!AY19+'Yearly BTX'!AY28+'Yearly Methanol'!AY30+'Yearly LC Ethylene'!S27+'Yearly LC Propylene'!S15</f>
        <v>0</v>
      </c>
      <c r="AZ8" s="44">
        <f>'Yearly Butadiene'!AZ19+'Yearly BTX'!AZ28+'Yearly Methanol'!AZ30+'Yearly LC Ethylene'!T27+'Yearly LC Propylene'!T15</f>
        <v>0</v>
      </c>
      <c r="BA8" s="44">
        <f>'Yearly Butadiene'!BA19+'Yearly BTX'!BA28+'Yearly Methanol'!BA30+'Yearly LC Ethylene'!U27+'Yearly LC Propylene'!U15</f>
        <v>0</v>
      </c>
      <c r="BB8" s="44">
        <f>'Yearly Butadiene'!BB19+'Yearly BTX'!BB28+'Yearly Methanol'!BB30+'Yearly LC Ethylene'!V27+'Yearly LC Propylene'!V15</f>
        <v>0</v>
      </c>
      <c r="BC8" s="44">
        <f>'Yearly Butadiene'!BC19+'Yearly BTX'!BC28+'Yearly Methanol'!BC30+'Yearly LC Ethylene'!W27+'Yearly LC Propylene'!W15</f>
        <v>0</v>
      </c>
      <c r="BD8" s="44">
        <f>'Yearly Butadiene'!BD19+'Yearly BTX'!BD28+'Yearly Methanol'!BD30+'Yearly LC Ethylene'!X27+'Yearly LC Propylene'!X15</f>
        <v>0</v>
      </c>
      <c r="BE8" s="44">
        <f>'Yearly Butadiene'!BE19+'Yearly BTX'!BE28+'Yearly Methanol'!BE30+'Yearly LC Ethylene'!Y27+'Yearly LC Propylene'!Y15</f>
        <v>0</v>
      </c>
      <c r="BF8" s="44">
        <f>'Yearly Butadiene'!BF19+'Yearly BTX'!BF28+'Yearly Methanol'!BF30+'Yearly LC Ethylene'!Z27+'Yearly LC Propylene'!Z15</f>
        <v>0</v>
      </c>
      <c r="BG8" s="44">
        <f>'Yearly Butadiene'!BG19+'Yearly BTX'!BG28+'Yearly Methanol'!BG30+'Yearly LC Ethylene'!AA27+'Yearly LC Propylene'!AA15</f>
        <v>0</v>
      </c>
      <c r="BH8" s="44">
        <f>'Yearly Butadiene'!BH19+'Yearly BTX'!BH28+'Yearly Methanol'!BH30+'Yearly LC Ethylene'!AB27+'Yearly LC Propylene'!AB15</f>
        <v>0</v>
      </c>
      <c r="BI8" s="44">
        <f>'Yearly Butadiene'!BI19+'Yearly BTX'!BI28+'Yearly Methanol'!BI30+'Yearly LC Ethylene'!AC27+'Yearly LC Propylene'!AC15</f>
        <v>0</v>
      </c>
      <c r="BJ8" s="44">
        <f>'Yearly Butadiene'!BJ19+'Yearly BTX'!BJ28+'Yearly Methanol'!BJ30+'Yearly LC Ethylene'!AD27+'Yearly LC Propylene'!AD15</f>
        <v>0</v>
      </c>
      <c r="BK8" s="44">
        <f>'Yearly Butadiene'!BK19+'Yearly BTX'!BK28+'Yearly Methanol'!BK30+'Yearly LC Ethylene'!AE27+'Yearly LC Propylene'!AE15</f>
        <v>0</v>
      </c>
      <c r="BL8" s="44">
        <f>'Yearly Butadiene'!BL19+'Yearly BTX'!BL28+'Yearly Methanol'!BL30+'Yearly LC Ethylene'!AF27+'Yearly LC Propylene'!AF15</f>
        <v>0</v>
      </c>
      <c r="BM8" s="44">
        <f>'Yearly Butadiene'!BM19+'Yearly BTX'!BM28+'Yearly Methanol'!BM30+'Yearly LC Ethylene'!AG27+'Yearly LC Propylene'!AG15</f>
        <v>0</v>
      </c>
      <c r="BN8" s="44">
        <f>'Yearly Butadiene'!BN19+'Yearly BTX'!BN28+'Yearly Methanol'!BN30+'Yearly LC Ethylene'!AH27+'Yearly LC Propylene'!AH15</f>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B8" t="s">
        <v>1889</v>
      </c>
      <c r="EC8">
        <f>SUM('R&amp;S - Buildings'!I4:O4)</f>
        <v>68.497698971786861</v>
      </c>
      <c r="ED8" s="2">
        <f t="shared" si="88"/>
        <v>0.10283390076792637</v>
      </c>
      <c r="EE8" s="44">
        <f>SUM('R&amp;S - Buildings'!I6:O6)</f>
        <v>109.15985274663207</v>
      </c>
      <c r="EF8" s="44">
        <f>AH14</f>
        <v>0</v>
      </c>
      <c r="EG8">
        <f>0</f>
        <v>0</v>
      </c>
      <c r="EH8" s="44">
        <f>AH15</f>
        <v>0</v>
      </c>
      <c r="EI8" s="44">
        <f t="shared" ref="EI8:EI10" si="97">EI17</f>
        <v>69.966906132986168</v>
      </c>
      <c r="EJ8" s="44">
        <f t="shared" si="90"/>
        <v>39.192946613645901</v>
      </c>
      <c r="EK8" s="2">
        <f t="shared" si="91"/>
        <v>0</v>
      </c>
      <c r="EL8" s="2">
        <f t="shared" si="92"/>
        <v>0</v>
      </c>
      <c r="EM8" s="2">
        <f t="shared" si="93"/>
        <v>0</v>
      </c>
      <c r="EN8" s="2">
        <f t="shared" si="94"/>
        <v>0.64095823118582274</v>
      </c>
      <c r="EO8" s="2">
        <f t="shared" si="95"/>
        <v>0.35904176881417721</v>
      </c>
      <c r="EP8" s="660">
        <f t="shared" si="96"/>
        <v>0</v>
      </c>
      <c r="EQ8" s="143"/>
      <c r="ER8" s="137"/>
      <c r="ES8" s="137"/>
    </row>
    <row r="9" spans="1:151">
      <c r="A9" s="1" t="s">
        <v>1887</v>
      </c>
      <c r="B9" t="s">
        <v>74</v>
      </c>
      <c r="C9" s="54" t="s">
        <v>69</v>
      </c>
      <c r="D9" s="44">
        <f>'Yearly Butadiene'!D20+'Yearly BTX'!D29+'Yearly Methanol'!D31+'Yearly HC Ethylene'!D28+'Yearly HC Propylene'!D16</f>
        <v>0</v>
      </c>
      <c r="E9" s="44">
        <f>'Yearly Butadiene'!E20+'Yearly BTX'!E29+'Yearly Methanol'!E31+'Yearly HC Ethylene'!E28+'Yearly HC Propylene'!E16</f>
        <v>0</v>
      </c>
      <c r="F9" s="44">
        <f>'Yearly Butadiene'!F20+'Yearly BTX'!F29+'Yearly Methanol'!F31+'Yearly HC Ethylene'!F28+'Yearly HC Propylene'!F16</f>
        <v>0</v>
      </c>
      <c r="G9" s="44">
        <f>'Yearly Butadiene'!G20+'Yearly BTX'!G29+'Yearly Methanol'!G31+'Yearly HC Ethylene'!G28+'Yearly HC Propylene'!G16</f>
        <v>0</v>
      </c>
      <c r="H9" s="44">
        <f>'Yearly Butadiene'!H20+'Yearly BTX'!H29+'Yearly Methanol'!H31+'Yearly HC Ethylene'!H28+'Yearly HC Propylene'!H16</f>
        <v>0</v>
      </c>
      <c r="I9" s="44">
        <f>'Yearly Butadiene'!I20+'Yearly BTX'!I29+'Yearly Methanol'!I31+'Yearly HC Ethylene'!I28+'Yearly HC Propylene'!I16</f>
        <v>0</v>
      </c>
      <c r="J9" s="44">
        <f>'Yearly Butadiene'!J20+'Yearly BTX'!J29+'Yearly Methanol'!J31+'Yearly HC Ethylene'!J28+'Yearly HC Propylene'!J16</f>
        <v>0</v>
      </c>
      <c r="K9" s="44">
        <f>'Yearly Butadiene'!K20+'Yearly BTX'!K29+'Yearly Methanol'!K31+'Yearly HC Ethylene'!K28+'Yearly HC Propylene'!K16</f>
        <v>0</v>
      </c>
      <c r="L9" s="44">
        <f>'Yearly Butadiene'!L20+'Yearly BTX'!L29+'Yearly Methanol'!L31+'Yearly HC Ethylene'!L28+'Yearly HC Propylene'!L16</f>
        <v>0</v>
      </c>
      <c r="M9" s="44">
        <f>'Yearly Butadiene'!M20+'Yearly BTX'!M29+'Yearly Methanol'!M31+'Yearly HC Ethylene'!M28+'Yearly HC Propylene'!M16</f>
        <v>0</v>
      </c>
      <c r="N9" s="44">
        <f>'Yearly Butadiene'!N20+'Yearly BTX'!N29+'Yearly Methanol'!N31+'Yearly HC Ethylene'!N28+'Yearly HC Propylene'!N16</f>
        <v>0</v>
      </c>
      <c r="O9" s="44">
        <f>'Yearly Butadiene'!O20+'Yearly BTX'!O29+'Yearly Methanol'!O31+'Yearly HC Ethylene'!O28+'Yearly HC Propylene'!O16</f>
        <v>0</v>
      </c>
      <c r="P9" s="44">
        <f>'Yearly Butadiene'!P20+'Yearly BTX'!P29+'Yearly Methanol'!P31+'Yearly HC Ethylene'!P28+'Yearly HC Propylene'!P16</f>
        <v>0</v>
      </c>
      <c r="Q9" s="44">
        <f>'Yearly Butadiene'!Q20+'Yearly BTX'!Q29+'Yearly Methanol'!Q31+'Yearly HC Ethylene'!Q28+'Yearly HC Propylene'!Q16</f>
        <v>0</v>
      </c>
      <c r="R9" s="44">
        <f>'Yearly Butadiene'!R20+'Yearly BTX'!R29+'Yearly Methanol'!R31+'Yearly HC Ethylene'!R28+'Yearly HC Propylene'!R16</f>
        <v>0</v>
      </c>
      <c r="S9" s="44">
        <f>'Yearly Butadiene'!S20+'Yearly BTX'!S29+'Yearly Methanol'!S31+'Yearly HC Ethylene'!S28+'Yearly HC Propylene'!S16</f>
        <v>0</v>
      </c>
      <c r="T9" s="44">
        <f>'Yearly Butadiene'!T20+'Yearly BTX'!T29+'Yearly Methanol'!T31+'Yearly HC Ethylene'!T28+'Yearly HC Propylene'!T16</f>
        <v>0</v>
      </c>
      <c r="U9" s="44">
        <f>'Yearly Butadiene'!U20+'Yearly BTX'!U29+'Yearly Methanol'!U31+'Yearly HC Ethylene'!U28+'Yearly HC Propylene'!U16</f>
        <v>0</v>
      </c>
      <c r="V9" s="44">
        <f>'Yearly Butadiene'!V20+'Yearly BTX'!V29+'Yearly Methanol'!V31+'Yearly HC Ethylene'!V28+'Yearly HC Propylene'!V16</f>
        <v>0</v>
      </c>
      <c r="W9" s="44">
        <f>'Yearly Butadiene'!W20+'Yearly BTX'!W29+'Yearly Methanol'!W31+'Yearly HC Ethylene'!W28+'Yearly HC Propylene'!W16</f>
        <v>0</v>
      </c>
      <c r="X9" s="44">
        <f>'Yearly Butadiene'!X20+'Yearly BTX'!X29+'Yearly Methanol'!X31+'Yearly HC Ethylene'!X28+'Yearly HC Propylene'!X16</f>
        <v>0</v>
      </c>
      <c r="Y9" s="44">
        <f>'Yearly Butadiene'!Y20+'Yearly BTX'!Y29+'Yearly Methanol'!Y31+'Yearly HC Ethylene'!Y28+'Yearly HC Propylene'!Y16</f>
        <v>0</v>
      </c>
      <c r="Z9" s="44">
        <f>'Yearly Butadiene'!Z20+'Yearly BTX'!Z29+'Yearly Methanol'!Z31+'Yearly HC Ethylene'!Z28+'Yearly HC Propylene'!Z16</f>
        <v>0</v>
      </c>
      <c r="AA9" s="44">
        <f>'Yearly Butadiene'!AA20+'Yearly BTX'!AA29+'Yearly Methanol'!AA31+'Yearly HC Ethylene'!AA28+'Yearly HC Propylene'!AA16</f>
        <v>0</v>
      </c>
      <c r="AB9" s="44">
        <f>'Yearly Butadiene'!AB20+'Yearly BTX'!AB29+'Yearly Methanol'!AB31+'Yearly HC Ethylene'!AB28+'Yearly HC Propylene'!AB16</f>
        <v>0</v>
      </c>
      <c r="AC9" s="44">
        <f>'Yearly Butadiene'!AC20+'Yearly BTX'!AC29+'Yearly Methanol'!AC31+'Yearly HC Ethylene'!AC28+'Yearly HC Propylene'!AC16</f>
        <v>0</v>
      </c>
      <c r="AD9" s="44">
        <f>'Yearly Butadiene'!AD20+'Yearly BTX'!AD29+'Yearly Methanol'!AD31+'Yearly HC Ethylene'!AD28+'Yearly HC Propylene'!AD16</f>
        <v>0</v>
      </c>
      <c r="AE9" s="44">
        <f>'Yearly Butadiene'!AE20+'Yearly BTX'!AE29+'Yearly Methanol'!AE31+'Yearly HC Ethylene'!AE28+'Yearly HC Propylene'!AE16</f>
        <v>0</v>
      </c>
      <c r="AF9" s="44">
        <f>'Yearly Butadiene'!AF20+'Yearly BTX'!AF29+'Yearly Methanol'!AF31+'Yearly HC Ethylene'!AF28+'Yearly HC Propylene'!AF16</f>
        <v>0</v>
      </c>
      <c r="AG9" s="44">
        <f>'Yearly Butadiene'!AG20+'Yearly BTX'!AG29+'Yearly Methanol'!AG31+'Yearly HC Ethylene'!AG28+'Yearly HC Propylene'!AG16</f>
        <v>0</v>
      </c>
      <c r="AH9" s="44">
        <f>'Yearly Butadiene'!AH20+'Yearly BTX'!AH29+'Yearly Methanol'!AH31+'Yearly HC Ethylene'!AH28+'Yearly HC Propylene'!AH16</f>
        <v>0</v>
      </c>
      <c r="AI9" s="44"/>
      <c r="AJ9" s="44">
        <f>'Yearly Butadiene'!AJ20+'Yearly BTX'!AJ29+'Yearly Methanol'!AJ31+'Yearly LC Ethylene'!D28+'Yearly LC Propylene'!D16</f>
        <v>0</v>
      </c>
      <c r="AK9" s="44">
        <f>'Yearly Butadiene'!AK20+'Yearly BTX'!AK29+'Yearly Methanol'!AK31+'Yearly LC Ethylene'!E28+'Yearly LC Propylene'!E16</f>
        <v>0</v>
      </c>
      <c r="AL9" s="44">
        <f>'Yearly Butadiene'!AL20+'Yearly BTX'!AL29+'Yearly Methanol'!AL31+'Yearly LC Ethylene'!F28+'Yearly LC Propylene'!F16</f>
        <v>0</v>
      </c>
      <c r="AM9" s="44">
        <f>'Yearly Butadiene'!AM20+'Yearly BTX'!AM29+'Yearly Methanol'!AM31+'Yearly LC Ethylene'!G28+'Yearly LC Propylene'!G16</f>
        <v>0</v>
      </c>
      <c r="AN9" s="44">
        <f>'Yearly Butadiene'!AN20+'Yearly BTX'!AN29+'Yearly Methanol'!AN31+'Yearly LC Ethylene'!H28+'Yearly LC Propylene'!H16</f>
        <v>0</v>
      </c>
      <c r="AO9" s="44">
        <f>'Yearly Butadiene'!AO20+'Yearly BTX'!AO29+'Yearly Methanol'!AO31+'Yearly LC Ethylene'!I28+'Yearly LC Propylene'!I16</f>
        <v>0</v>
      </c>
      <c r="AP9" s="44">
        <f>'Yearly Butadiene'!AP20+'Yearly BTX'!AP29+'Yearly Methanol'!AP31+'Yearly LC Ethylene'!J28+'Yearly LC Propylene'!J16</f>
        <v>0</v>
      </c>
      <c r="AQ9" s="44">
        <f>'Yearly Butadiene'!AQ20+'Yearly BTX'!AQ29+'Yearly Methanol'!AQ31+'Yearly LC Ethylene'!K28+'Yearly LC Propylene'!K16</f>
        <v>0</v>
      </c>
      <c r="AR9" s="44">
        <f>'Yearly Butadiene'!AR20+'Yearly BTX'!AR29+'Yearly Methanol'!AR31+'Yearly LC Ethylene'!L28+'Yearly LC Propylene'!L16</f>
        <v>0</v>
      </c>
      <c r="AS9" s="44">
        <f>'Yearly Butadiene'!AS20+'Yearly BTX'!AS29+'Yearly Methanol'!AS31+'Yearly LC Ethylene'!M28+'Yearly LC Propylene'!M16</f>
        <v>0</v>
      </c>
      <c r="AT9" s="44">
        <f>'Yearly Butadiene'!AT20+'Yearly BTX'!AT29+'Yearly Methanol'!AT31+'Yearly LC Ethylene'!N28+'Yearly LC Propylene'!N16</f>
        <v>0</v>
      </c>
      <c r="AU9" s="44">
        <f>'Yearly Butadiene'!AU20+'Yearly BTX'!AU29+'Yearly Methanol'!AU31+'Yearly LC Ethylene'!O28+'Yearly LC Propylene'!O16</f>
        <v>0</v>
      </c>
      <c r="AV9" s="44">
        <f>'Yearly Butadiene'!AV20+'Yearly BTX'!AV29+'Yearly Methanol'!AV31+'Yearly LC Ethylene'!P28+'Yearly LC Propylene'!P16</f>
        <v>0</v>
      </c>
      <c r="AW9" s="44">
        <f>'Yearly Butadiene'!AW20+'Yearly BTX'!AW29+'Yearly Methanol'!AW31+'Yearly LC Ethylene'!Q28+'Yearly LC Propylene'!Q16</f>
        <v>0</v>
      </c>
      <c r="AX9" s="44">
        <f>'Yearly Butadiene'!AX20+'Yearly BTX'!AX29+'Yearly Methanol'!AX31+'Yearly LC Ethylene'!R28+'Yearly LC Propylene'!R16</f>
        <v>0</v>
      </c>
      <c r="AY9" s="44">
        <f>'Yearly Butadiene'!AY20+'Yearly BTX'!AY29+'Yearly Methanol'!AY31+'Yearly LC Ethylene'!S28+'Yearly LC Propylene'!S16</f>
        <v>0</v>
      </c>
      <c r="AZ9" s="44">
        <f>'Yearly Butadiene'!AZ20+'Yearly BTX'!AZ29+'Yearly Methanol'!AZ31+'Yearly LC Ethylene'!T28+'Yearly LC Propylene'!T16</f>
        <v>0</v>
      </c>
      <c r="BA9" s="44">
        <f>'Yearly Butadiene'!BA20+'Yearly BTX'!BA29+'Yearly Methanol'!BA31+'Yearly LC Ethylene'!U28+'Yearly LC Propylene'!U16</f>
        <v>0</v>
      </c>
      <c r="BB9" s="44">
        <f>'Yearly Butadiene'!BB20+'Yearly BTX'!BB29+'Yearly Methanol'!BB31+'Yearly LC Ethylene'!V28+'Yearly LC Propylene'!V16</f>
        <v>0</v>
      </c>
      <c r="BC9" s="44">
        <f>'Yearly Butadiene'!BC20+'Yearly BTX'!BC29+'Yearly Methanol'!BC31+'Yearly LC Ethylene'!W28+'Yearly LC Propylene'!W16</f>
        <v>0</v>
      </c>
      <c r="BD9" s="44">
        <f>'Yearly Butadiene'!BD20+'Yearly BTX'!BD29+'Yearly Methanol'!BD31+'Yearly LC Ethylene'!X28+'Yearly LC Propylene'!X16</f>
        <v>0</v>
      </c>
      <c r="BE9" s="44">
        <f>'Yearly Butadiene'!BE20+'Yearly BTX'!BE29+'Yearly Methanol'!BE31+'Yearly LC Ethylene'!Y28+'Yearly LC Propylene'!Y16</f>
        <v>0</v>
      </c>
      <c r="BF9" s="44">
        <f>'Yearly Butadiene'!BF20+'Yearly BTX'!BF29+'Yearly Methanol'!BF31+'Yearly LC Ethylene'!Z28+'Yearly LC Propylene'!Z16</f>
        <v>0</v>
      </c>
      <c r="BG9" s="44">
        <f>'Yearly Butadiene'!BG20+'Yearly BTX'!BG29+'Yearly Methanol'!BG31+'Yearly LC Ethylene'!AA28+'Yearly LC Propylene'!AA16</f>
        <v>0</v>
      </c>
      <c r="BH9" s="44">
        <f>'Yearly Butadiene'!BH20+'Yearly BTX'!BH29+'Yearly Methanol'!BH31+'Yearly LC Ethylene'!AB28+'Yearly LC Propylene'!AB16</f>
        <v>0</v>
      </c>
      <c r="BI9" s="44">
        <f>'Yearly Butadiene'!BI20+'Yearly BTX'!BI29+'Yearly Methanol'!BI31+'Yearly LC Ethylene'!AC28+'Yearly LC Propylene'!AC16</f>
        <v>0</v>
      </c>
      <c r="BJ9" s="44">
        <f>'Yearly Butadiene'!BJ20+'Yearly BTX'!BJ29+'Yearly Methanol'!BJ31+'Yearly LC Ethylene'!AD28+'Yearly LC Propylene'!AD16</f>
        <v>0</v>
      </c>
      <c r="BK9" s="44">
        <f>'Yearly Butadiene'!BK20+'Yearly BTX'!BK29+'Yearly Methanol'!BK31+'Yearly LC Ethylene'!AE28+'Yearly LC Propylene'!AE16</f>
        <v>0</v>
      </c>
      <c r="BL9" s="44">
        <f>'Yearly Butadiene'!BL20+'Yearly BTX'!BL29+'Yearly Methanol'!BL31+'Yearly LC Ethylene'!AF28+'Yearly LC Propylene'!AF16</f>
        <v>0</v>
      </c>
      <c r="BM9" s="44">
        <f>'Yearly Butadiene'!BM20+'Yearly BTX'!BM29+'Yearly Methanol'!BM31+'Yearly LC Ethylene'!AG28+'Yearly LC Propylene'!AG16</f>
        <v>0</v>
      </c>
      <c r="BN9" s="44">
        <f>'Yearly Butadiene'!BN20+'Yearly BTX'!BN29+'Yearly Methanol'!BN31+'Yearly LC Ethylene'!AH28+'Yearly LC Propylene'!AH16</f>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B9" t="s">
        <v>1462</v>
      </c>
      <c r="EC9">
        <f>SUM('R&amp;S - Transportation'!C4:K4)</f>
        <v>106.90046790338437</v>
      </c>
      <c r="ED9" s="2">
        <f t="shared" si="88"/>
        <v>0.16048702764379527</v>
      </c>
      <c r="EE9" s="44">
        <f>SUM('R&amp;S - Transportation'!C7:J7)</f>
        <v>135.62387247256368</v>
      </c>
      <c r="EF9" s="44">
        <f>AH13</f>
        <v>0</v>
      </c>
      <c r="EG9" s="44">
        <f>AH12</f>
        <v>0</v>
      </c>
      <c r="EH9">
        <f>0</f>
        <v>0</v>
      </c>
      <c r="EI9" s="44">
        <f t="shared" si="97"/>
        <v>16.617891358468654</v>
      </c>
      <c r="EJ9" s="44">
        <f t="shared" si="90"/>
        <v>119.00598111409502</v>
      </c>
      <c r="EK9" s="2">
        <f t="shared" si="91"/>
        <v>0</v>
      </c>
      <c r="EL9" s="2">
        <f t="shared" si="92"/>
        <v>0</v>
      </c>
      <c r="EM9" s="2">
        <f t="shared" si="93"/>
        <v>0</v>
      </c>
      <c r="EN9" s="2">
        <f t="shared" si="94"/>
        <v>0.12252924986956412</v>
      </c>
      <c r="EO9" s="2">
        <f t="shared" si="95"/>
        <v>0.87747075013043585</v>
      </c>
      <c r="EP9" s="660">
        <f t="shared" si="96"/>
        <v>0</v>
      </c>
      <c r="EQ9" s="137"/>
      <c r="ER9" s="143"/>
      <c r="ES9" s="137"/>
    </row>
    <row r="10" spans="1:151">
      <c r="A10" s="1" t="s">
        <v>1163</v>
      </c>
      <c r="B10" t="s">
        <v>75</v>
      </c>
      <c r="C10" s="54" t="s">
        <v>69</v>
      </c>
      <c r="D10" s="44">
        <f>'Yearly Butadiene'!D22+'Yearly BTX'!D31+'Yearly Methanol'!D33+'Yearly HC Ethylene'!D30+'Yearly HC Propylene'!D18</f>
        <v>0</v>
      </c>
      <c r="E10" s="44">
        <f>'Yearly Butadiene'!E22+'Yearly BTX'!E31+'Yearly Methanol'!E33+'Yearly HC Ethylene'!E30+'Yearly HC Propylene'!E18</f>
        <v>0</v>
      </c>
      <c r="F10" s="44">
        <f>'Yearly Butadiene'!F22+'Yearly BTX'!F31+'Yearly Methanol'!F33+'Yearly HC Ethylene'!F30+'Yearly HC Propylene'!F18</f>
        <v>0</v>
      </c>
      <c r="G10" s="44">
        <f>'Yearly Butadiene'!G22+'Yearly BTX'!G31+'Yearly Methanol'!G33+'Yearly HC Ethylene'!G30+'Yearly HC Propylene'!G18</f>
        <v>0</v>
      </c>
      <c r="H10" s="44">
        <f>'Yearly Butadiene'!H22+'Yearly BTX'!H31+'Yearly Methanol'!H33+'Yearly HC Ethylene'!H30+'Yearly HC Propylene'!H18</f>
        <v>0</v>
      </c>
      <c r="I10" s="44">
        <f>'Yearly Butadiene'!I22+'Yearly BTX'!I31+'Yearly Methanol'!I33+'Yearly HC Ethylene'!I30+'Yearly HC Propylene'!I18</f>
        <v>0</v>
      </c>
      <c r="J10" s="44">
        <f>'Yearly Butadiene'!J22+'Yearly BTX'!J31+'Yearly Methanol'!J33+'Yearly HC Ethylene'!J30+'Yearly HC Propylene'!J18</f>
        <v>0</v>
      </c>
      <c r="K10" s="44">
        <f>'Yearly Butadiene'!K22+'Yearly BTX'!K31+'Yearly Methanol'!K33+'Yearly HC Ethylene'!K30+'Yearly HC Propylene'!K18</f>
        <v>0</v>
      </c>
      <c r="L10" s="44">
        <f>'Yearly Butadiene'!L22+'Yearly BTX'!L31+'Yearly Methanol'!L33+'Yearly HC Ethylene'!L30+'Yearly HC Propylene'!L18</f>
        <v>0</v>
      </c>
      <c r="M10" s="44">
        <f>'Yearly Butadiene'!M22+'Yearly BTX'!M31+'Yearly Methanol'!M33+'Yearly HC Ethylene'!M30+'Yearly HC Propylene'!M18</f>
        <v>0</v>
      </c>
      <c r="N10" s="44">
        <f>'Yearly Butadiene'!N22+'Yearly BTX'!N31+'Yearly Methanol'!N33+'Yearly HC Ethylene'!N30+'Yearly HC Propylene'!N18</f>
        <v>0</v>
      </c>
      <c r="O10" s="44">
        <f>'Yearly Butadiene'!O22+'Yearly BTX'!O31+'Yearly Methanol'!O33+'Yearly HC Ethylene'!O30+'Yearly HC Propylene'!O18</f>
        <v>0</v>
      </c>
      <c r="P10" s="44">
        <f>'Yearly Butadiene'!P22+'Yearly BTX'!P31+'Yearly Methanol'!P33+'Yearly HC Ethylene'!P30+'Yearly HC Propylene'!P18</f>
        <v>0</v>
      </c>
      <c r="Q10" s="44">
        <f>'Yearly Butadiene'!Q22+'Yearly BTX'!Q31+'Yearly Methanol'!Q33+'Yearly HC Ethylene'!Q30+'Yearly HC Propylene'!Q18</f>
        <v>0</v>
      </c>
      <c r="R10" s="44">
        <f>'Yearly Butadiene'!R22+'Yearly BTX'!R31+'Yearly Methanol'!R33+'Yearly HC Ethylene'!R30+'Yearly HC Propylene'!R18</f>
        <v>0</v>
      </c>
      <c r="S10" s="44">
        <f>'Yearly Butadiene'!S22+'Yearly BTX'!S31+'Yearly Methanol'!S33+'Yearly HC Ethylene'!S30+'Yearly HC Propylene'!S18</f>
        <v>0</v>
      </c>
      <c r="T10" s="44">
        <f>'Yearly Butadiene'!T22+'Yearly BTX'!T31+'Yearly Methanol'!T33+'Yearly HC Ethylene'!T30+'Yearly HC Propylene'!T18</f>
        <v>0</v>
      </c>
      <c r="U10" s="44">
        <f>'Yearly Butadiene'!U22+'Yearly BTX'!U31+'Yearly Methanol'!U33+'Yearly HC Ethylene'!U30+'Yearly HC Propylene'!U18</f>
        <v>0</v>
      </c>
      <c r="V10" s="44">
        <f>'Yearly Butadiene'!V22+'Yearly BTX'!V31+'Yearly Methanol'!V33+'Yearly HC Ethylene'!V30+'Yearly HC Propylene'!V18</f>
        <v>0</v>
      </c>
      <c r="W10" s="44">
        <f>'Yearly Butadiene'!W22+'Yearly BTX'!W31+'Yearly Methanol'!W33+'Yearly HC Ethylene'!W30+'Yearly HC Propylene'!W18</f>
        <v>0</v>
      </c>
      <c r="X10" s="44">
        <f>'Yearly Butadiene'!X22+'Yearly BTX'!X31+'Yearly Methanol'!X33+'Yearly HC Ethylene'!X30+'Yearly HC Propylene'!X18</f>
        <v>0</v>
      </c>
      <c r="Y10" s="44">
        <f>'Yearly Butadiene'!Y22+'Yearly BTX'!Y31+'Yearly Methanol'!Y33+'Yearly HC Ethylene'!Y30+'Yearly HC Propylene'!Y18</f>
        <v>0</v>
      </c>
      <c r="Z10" s="44">
        <f>'Yearly Butadiene'!Z22+'Yearly BTX'!Z31+'Yearly Methanol'!Z33+'Yearly HC Ethylene'!Z30+'Yearly HC Propylene'!Z18</f>
        <v>0</v>
      </c>
      <c r="AA10" s="44">
        <f>'Yearly Butadiene'!AA22+'Yearly BTX'!AA31+'Yearly Methanol'!AA33+'Yearly HC Ethylene'!AA30+'Yearly HC Propylene'!AA18</f>
        <v>0</v>
      </c>
      <c r="AB10" s="44">
        <f>'Yearly Butadiene'!AB22+'Yearly BTX'!AB31+'Yearly Methanol'!AB33+'Yearly HC Ethylene'!AB30+'Yearly HC Propylene'!AB18</f>
        <v>0</v>
      </c>
      <c r="AC10" s="44">
        <f>'Yearly Butadiene'!AC22+'Yearly BTX'!AC31+'Yearly Methanol'!AC33+'Yearly HC Ethylene'!AC30+'Yearly HC Propylene'!AC18</f>
        <v>0</v>
      </c>
      <c r="AD10" s="44">
        <f>'Yearly Butadiene'!AD22+'Yearly BTX'!AD31+'Yearly Methanol'!AD33+'Yearly HC Ethylene'!AD30+'Yearly HC Propylene'!AD18</f>
        <v>0</v>
      </c>
      <c r="AE10" s="44">
        <f>'Yearly Butadiene'!AE22+'Yearly BTX'!AE31+'Yearly Methanol'!AE33+'Yearly HC Ethylene'!AE30+'Yearly HC Propylene'!AE18</f>
        <v>0</v>
      </c>
      <c r="AF10" s="44">
        <f>'Yearly Butadiene'!AF22+'Yearly BTX'!AF31+'Yearly Methanol'!AF33+'Yearly HC Ethylene'!AF30+'Yearly HC Propylene'!AF18</f>
        <v>0</v>
      </c>
      <c r="AG10" s="44">
        <f>'Yearly Butadiene'!AG22+'Yearly BTX'!AG31+'Yearly Methanol'!AG33+'Yearly HC Ethylene'!AG30+'Yearly HC Propylene'!AG18</f>
        <v>0</v>
      </c>
      <c r="AH10" s="44">
        <f>'Yearly Butadiene'!AH22+'Yearly BTX'!AH31+'Yearly Methanol'!AH33+'Yearly HC Ethylene'!AH30+'Yearly HC Propylene'!AH18</f>
        <v>0</v>
      </c>
      <c r="AI10" s="44"/>
      <c r="AJ10" s="44">
        <f>'Yearly Butadiene'!AJ22+'Yearly BTX'!AJ31+'Yearly Methanol'!AJ33+'Yearly LC Ethylene'!D30+'Yearly LC Propylene'!D18</f>
        <v>0</v>
      </c>
      <c r="AK10" s="44">
        <f>'Yearly Butadiene'!AK22+'Yearly BTX'!AK31+'Yearly Methanol'!AK33+'Yearly LC Ethylene'!E30+'Yearly LC Propylene'!E18</f>
        <v>0</v>
      </c>
      <c r="AL10" s="44">
        <f>'Yearly Butadiene'!AL22+'Yearly BTX'!AL31+'Yearly Methanol'!AL33+'Yearly LC Ethylene'!F30+'Yearly LC Propylene'!F18</f>
        <v>0</v>
      </c>
      <c r="AM10" s="44">
        <f>'Yearly Butadiene'!AM22+'Yearly BTX'!AM31+'Yearly Methanol'!AM33+'Yearly LC Ethylene'!G30+'Yearly LC Propylene'!G18</f>
        <v>0</v>
      </c>
      <c r="AN10" s="44">
        <f>'Yearly Butadiene'!AN22+'Yearly BTX'!AN31+'Yearly Methanol'!AN33+'Yearly LC Ethylene'!H30+'Yearly LC Propylene'!H18</f>
        <v>0</v>
      </c>
      <c r="AO10" s="44">
        <f>'Yearly Butadiene'!AO22+'Yearly BTX'!AO31+'Yearly Methanol'!AO33+'Yearly LC Ethylene'!I30+'Yearly LC Propylene'!I18</f>
        <v>0</v>
      </c>
      <c r="AP10" s="44">
        <f>'Yearly Butadiene'!AP22+'Yearly BTX'!AP31+'Yearly Methanol'!AP33+'Yearly LC Ethylene'!J30+'Yearly LC Propylene'!J18</f>
        <v>0</v>
      </c>
      <c r="AQ10" s="44">
        <f>'Yearly Butadiene'!AQ22+'Yearly BTX'!AQ31+'Yearly Methanol'!AQ33+'Yearly LC Ethylene'!K30+'Yearly LC Propylene'!K18</f>
        <v>0</v>
      </c>
      <c r="AR10" s="44">
        <f>'Yearly Butadiene'!AR22+'Yearly BTX'!AR31+'Yearly Methanol'!AR33+'Yearly LC Ethylene'!L30+'Yearly LC Propylene'!L18</f>
        <v>0</v>
      </c>
      <c r="AS10" s="44">
        <f>'Yearly Butadiene'!AS22+'Yearly BTX'!AS31+'Yearly Methanol'!AS33+'Yearly LC Ethylene'!M30+'Yearly LC Propylene'!M18</f>
        <v>0</v>
      </c>
      <c r="AT10" s="44">
        <f>'Yearly Butadiene'!AT22+'Yearly BTX'!AT31+'Yearly Methanol'!AT33+'Yearly LC Ethylene'!N30+'Yearly LC Propylene'!N18</f>
        <v>0</v>
      </c>
      <c r="AU10" s="44">
        <f>'Yearly Butadiene'!AU22+'Yearly BTX'!AU31+'Yearly Methanol'!AU33+'Yearly LC Ethylene'!O30+'Yearly LC Propylene'!O18</f>
        <v>0</v>
      </c>
      <c r="AV10" s="44">
        <f>'Yearly Butadiene'!AV22+'Yearly BTX'!AV31+'Yearly Methanol'!AV33+'Yearly LC Ethylene'!P30+'Yearly LC Propylene'!P18</f>
        <v>0</v>
      </c>
      <c r="AW10" s="44">
        <f>'Yearly Butadiene'!AW22+'Yearly BTX'!AW31+'Yearly Methanol'!AW33+'Yearly LC Ethylene'!Q30+'Yearly LC Propylene'!Q18</f>
        <v>0</v>
      </c>
      <c r="AX10" s="44">
        <f>'Yearly Butadiene'!AX22+'Yearly BTX'!AX31+'Yearly Methanol'!AX33+'Yearly LC Ethylene'!R30+'Yearly LC Propylene'!R18</f>
        <v>0</v>
      </c>
      <c r="AY10" s="44">
        <f>'Yearly Butadiene'!AY22+'Yearly BTX'!AY31+'Yearly Methanol'!AY33+'Yearly LC Ethylene'!S30+'Yearly LC Propylene'!S18</f>
        <v>0</v>
      </c>
      <c r="AZ10" s="44">
        <f>'Yearly Butadiene'!AZ22+'Yearly BTX'!AZ31+'Yearly Methanol'!AZ33+'Yearly LC Ethylene'!T30+'Yearly LC Propylene'!T18</f>
        <v>0</v>
      </c>
      <c r="BA10" s="44">
        <f>'Yearly Butadiene'!BA22+'Yearly BTX'!BA31+'Yearly Methanol'!BA33+'Yearly LC Ethylene'!U30+'Yearly LC Propylene'!U18</f>
        <v>0</v>
      </c>
      <c r="BB10" s="44">
        <f>'Yearly Butadiene'!BB22+'Yearly BTX'!BB31+'Yearly Methanol'!BB33+'Yearly LC Ethylene'!V30+'Yearly LC Propylene'!V18</f>
        <v>0</v>
      </c>
      <c r="BC10" s="44">
        <f>'Yearly Butadiene'!BC22+'Yearly BTX'!BC31+'Yearly Methanol'!BC33+'Yearly LC Ethylene'!W30+'Yearly LC Propylene'!W18</f>
        <v>0</v>
      </c>
      <c r="BD10" s="44">
        <f>'Yearly Butadiene'!BD22+'Yearly BTX'!BD31+'Yearly Methanol'!BD33+'Yearly LC Ethylene'!X30+'Yearly LC Propylene'!X18</f>
        <v>0</v>
      </c>
      <c r="BE10" s="44">
        <f>'Yearly Butadiene'!BE22+'Yearly BTX'!BE31+'Yearly Methanol'!BE33+'Yearly LC Ethylene'!Y30+'Yearly LC Propylene'!Y18</f>
        <v>0</v>
      </c>
      <c r="BF10" s="44">
        <f>'Yearly Butadiene'!BF22+'Yearly BTX'!BF31+'Yearly Methanol'!BF33+'Yearly LC Ethylene'!Z30+'Yearly LC Propylene'!Z18</f>
        <v>0</v>
      </c>
      <c r="BG10" s="44">
        <f>'Yearly Butadiene'!BG22+'Yearly BTX'!BG31+'Yearly Methanol'!BG33+'Yearly LC Ethylene'!AA30+'Yearly LC Propylene'!AA18</f>
        <v>0</v>
      </c>
      <c r="BH10" s="44">
        <f>'Yearly Butadiene'!BH22+'Yearly BTX'!BH31+'Yearly Methanol'!BH33+'Yearly LC Ethylene'!AB30+'Yearly LC Propylene'!AB18</f>
        <v>0</v>
      </c>
      <c r="BI10" s="44">
        <f>'Yearly Butadiene'!BI22+'Yearly BTX'!BI31+'Yearly Methanol'!BI33+'Yearly LC Ethylene'!AC30+'Yearly LC Propylene'!AC18</f>
        <v>0</v>
      </c>
      <c r="BJ10" s="44">
        <f>'Yearly Butadiene'!BJ22+'Yearly BTX'!BJ31+'Yearly Methanol'!BJ33+'Yearly LC Ethylene'!AD30+'Yearly LC Propylene'!AD18</f>
        <v>0</v>
      </c>
      <c r="BK10" s="44">
        <f>'Yearly Butadiene'!BK22+'Yearly BTX'!BK31+'Yearly Methanol'!BK33+'Yearly LC Ethylene'!AE30+'Yearly LC Propylene'!AE18</f>
        <v>0</v>
      </c>
      <c r="BL10" s="44">
        <f>'Yearly Butadiene'!BL22+'Yearly BTX'!BL31+'Yearly Methanol'!BL33+'Yearly LC Ethylene'!AF30+'Yearly LC Propylene'!AF18</f>
        <v>0</v>
      </c>
      <c r="BM10" s="44">
        <f>'Yearly Butadiene'!BM22+'Yearly BTX'!BM31+'Yearly Methanol'!BM33+'Yearly LC Ethylene'!AG30+'Yearly LC Propylene'!AG18</f>
        <v>0</v>
      </c>
      <c r="BN10" s="44">
        <f>'Yearly Butadiene'!BN22+'Yearly BTX'!BN31+'Yearly Methanol'!BN33+'Yearly LC Ethylene'!AH30+'Yearly LC Propylene'!AH18</f>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B10" t="s">
        <v>1891</v>
      </c>
      <c r="EC10">
        <f>'Demand - Industry shares'!L16</f>
        <v>83.333905576923073</v>
      </c>
      <c r="ED10" s="2">
        <f t="shared" si="88"/>
        <v>0.12510713068231266</v>
      </c>
      <c r="EE10" s="44">
        <f>SUM('R&amp;S - Apparel'!D6:J6)</f>
        <v>24.934952757904412</v>
      </c>
      <c r="EF10" s="44">
        <f>AH16</f>
        <v>0</v>
      </c>
      <c r="EG10" s="44">
        <f>AH17</f>
        <v>0</v>
      </c>
      <c r="EH10" s="44">
        <f>AH18</f>
        <v>0</v>
      </c>
      <c r="EI10" s="44">
        <f t="shared" si="97"/>
        <v>7.7131795074317049</v>
      </c>
      <c r="EJ10" s="44">
        <f t="shared" si="90"/>
        <v>17.221773250472708</v>
      </c>
      <c r="EK10" s="2">
        <f t="shared" si="91"/>
        <v>0</v>
      </c>
      <c r="EL10" s="2">
        <f t="shared" si="92"/>
        <v>0</v>
      </c>
      <c r="EM10" s="2">
        <f t="shared" si="93"/>
        <v>0</v>
      </c>
      <c r="EN10" s="2">
        <f t="shared" si="94"/>
        <v>0.30933202811008403</v>
      </c>
      <c r="EO10" s="2">
        <f t="shared" si="95"/>
        <v>0.69066797188991602</v>
      </c>
      <c r="EP10" s="660">
        <f t="shared" si="96"/>
        <v>0</v>
      </c>
      <c r="EQ10" s="137"/>
      <c r="ER10" s="137"/>
      <c r="ES10" s="137"/>
    </row>
    <row r="11" spans="1:151">
      <c r="A11" s="1" t="s">
        <v>1163</v>
      </c>
      <c r="B11" t="s">
        <v>76</v>
      </c>
      <c r="C11" s="54" t="s">
        <v>69</v>
      </c>
      <c r="D11" s="44">
        <f>'Yearly Butadiene'!D23+'Yearly BTX'!D32+'Yearly Methanol'!D34+'Yearly HC Ethylene'!D31+'Yearly HC Propylene'!D19</f>
        <v>0</v>
      </c>
      <c r="E11" s="44">
        <f>'Yearly Butadiene'!E23+'Yearly BTX'!E32+'Yearly Methanol'!E34+'Yearly HC Ethylene'!E31+'Yearly HC Propylene'!E19</f>
        <v>0</v>
      </c>
      <c r="F11" s="44">
        <f>'Yearly Butadiene'!F23+'Yearly BTX'!F32+'Yearly Methanol'!F34+'Yearly HC Ethylene'!F31+'Yearly HC Propylene'!F19</f>
        <v>0</v>
      </c>
      <c r="G11" s="44">
        <f>'Yearly Butadiene'!G23+'Yearly BTX'!G32+'Yearly Methanol'!G34+'Yearly HC Ethylene'!G31+'Yearly HC Propylene'!G19</f>
        <v>0</v>
      </c>
      <c r="H11" s="44">
        <f>'Yearly Butadiene'!H23+'Yearly BTX'!H32+'Yearly Methanol'!H34+'Yearly HC Ethylene'!H31+'Yearly HC Propylene'!H19</f>
        <v>0</v>
      </c>
      <c r="I11" s="44">
        <f>'Yearly Butadiene'!I23+'Yearly BTX'!I32+'Yearly Methanol'!I34+'Yearly HC Ethylene'!I31+'Yearly HC Propylene'!I19</f>
        <v>0</v>
      </c>
      <c r="J11" s="44">
        <f>'Yearly Butadiene'!J23+'Yearly BTX'!J32+'Yearly Methanol'!J34+'Yearly HC Ethylene'!J31+'Yearly HC Propylene'!J19</f>
        <v>0</v>
      </c>
      <c r="K11" s="44">
        <f>'Yearly Butadiene'!K23+'Yearly BTX'!K32+'Yearly Methanol'!K34+'Yearly HC Ethylene'!K31+'Yearly HC Propylene'!K19</f>
        <v>0</v>
      </c>
      <c r="L11" s="44">
        <f>'Yearly Butadiene'!L23+'Yearly BTX'!L32+'Yearly Methanol'!L34+'Yearly HC Ethylene'!L31+'Yearly HC Propylene'!L19</f>
        <v>0</v>
      </c>
      <c r="M11" s="44">
        <f>'Yearly Butadiene'!M23+'Yearly BTX'!M32+'Yearly Methanol'!M34+'Yearly HC Ethylene'!M31+'Yearly HC Propylene'!M19</f>
        <v>0</v>
      </c>
      <c r="N11" s="44">
        <f>'Yearly Butadiene'!N23+'Yearly BTX'!N32+'Yearly Methanol'!N34+'Yearly HC Ethylene'!N31+'Yearly HC Propylene'!N19</f>
        <v>0</v>
      </c>
      <c r="O11" s="44">
        <f>'Yearly Butadiene'!O23+'Yearly BTX'!O32+'Yearly Methanol'!O34+'Yearly HC Ethylene'!O31+'Yearly HC Propylene'!O19</f>
        <v>0</v>
      </c>
      <c r="P11" s="44">
        <f>'Yearly Butadiene'!P23+'Yearly BTX'!P32+'Yearly Methanol'!P34+'Yearly HC Ethylene'!P31+'Yearly HC Propylene'!P19</f>
        <v>0</v>
      </c>
      <c r="Q11" s="44">
        <f>'Yearly Butadiene'!Q23+'Yearly BTX'!Q32+'Yearly Methanol'!Q34+'Yearly HC Ethylene'!Q31+'Yearly HC Propylene'!Q19</f>
        <v>0</v>
      </c>
      <c r="R11" s="44">
        <f>'Yearly Butadiene'!R23+'Yearly BTX'!R32+'Yearly Methanol'!R34+'Yearly HC Ethylene'!R31+'Yearly HC Propylene'!R19</f>
        <v>0</v>
      </c>
      <c r="S11" s="44">
        <f>'Yearly Butadiene'!S23+'Yearly BTX'!S32+'Yearly Methanol'!S34+'Yearly HC Ethylene'!S31+'Yearly HC Propylene'!S19</f>
        <v>0</v>
      </c>
      <c r="T11" s="44">
        <f>'Yearly Butadiene'!T23+'Yearly BTX'!T32+'Yearly Methanol'!T34+'Yearly HC Ethylene'!T31+'Yearly HC Propylene'!T19</f>
        <v>0</v>
      </c>
      <c r="U11" s="44">
        <f>'Yearly Butadiene'!U23+'Yearly BTX'!U32+'Yearly Methanol'!U34+'Yearly HC Ethylene'!U31+'Yearly HC Propylene'!U19</f>
        <v>0</v>
      </c>
      <c r="V11" s="44">
        <f>'Yearly Butadiene'!V23+'Yearly BTX'!V32+'Yearly Methanol'!V34+'Yearly HC Ethylene'!V31+'Yearly HC Propylene'!V19</f>
        <v>0</v>
      </c>
      <c r="W11" s="44">
        <f>'Yearly Butadiene'!W23+'Yearly BTX'!W32+'Yearly Methanol'!W34+'Yearly HC Ethylene'!W31+'Yearly HC Propylene'!W19</f>
        <v>0</v>
      </c>
      <c r="X11" s="44">
        <f>'Yearly Butadiene'!X23+'Yearly BTX'!X32+'Yearly Methanol'!X34+'Yearly HC Ethylene'!X31+'Yearly HC Propylene'!X19</f>
        <v>0</v>
      </c>
      <c r="Y11" s="44">
        <f>'Yearly Butadiene'!Y23+'Yearly BTX'!Y32+'Yearly Methanol'!Y34+'Yearly HC Ethylene'!Y31+'Yearly HC Propylene'!Y19</f>
        <v>0</v>
      </c>
      <c r="Z11" s="44">
        <f>'Yearly Butadiene'!Z23+'Yearly BTX'!Z32+'Yearly Methanol'!Z34+'Yearly HC Ethylene'!Z31+'Yearly HC Propylene'!Z19</f>
        <v>0</v>
      </c>
      <c r="AA11" s="44">
        <f>'Yearly Butadiene'!AA23+'Yearly BTX'!AA32+'Yearly Methanol'!AA34+'Yearly HC Ethylene'!AA31+'Yearly HC Propylene'!AA19</f>
        <v>0</v>
      </c>
      <c r="AB11" s="44">
        <f>'Yearly Butadiene'!AB23+'Yearly BTX'!AB32+'Yearly Methanol'!AB34+'Yearly HC Ethylene'!AB31+'Yearly HC Propylene'!AB19</f>
        <v>0</v>
      </c>
      <c r="AC11" s="44">
        <f>'Yearly Butadiene'!AC23+'Yearly BTX'!AC32+'Yearly Methanol'!AC34+'Yearly HC Ethylene'!AC31+'Yearly HC Propylene'!AC19</f>
        <v>0</v>
      </c>
      <c r="AD11" s="44">
        <f>'Yearly Butadiene'!AD23+'Yearly BTX'!AD32+'Yearly Methanol'!AD34+'Yearly HC Ethylene'!AD31+'Yearly HC Propylene'!AD19</f>
        <v>0</v>
      </c>
      <c r="AE11" s="44">
        <f>'Yearly Butadiene'!AE23+'Yearly BTX'!AE32+'Yearly Methanol'!AE34+'Yearly HC Ethylene'!AE31+'Yearly HC Propylene'!AE19</f>
        <v>0</v>
      </c>
      <c r="AF11" s="44">
        <f>'Yearly Butadiene'!AF23+'Yearly BTX'!AF32+'Yearly Methanol'!AF34+'Yearly HC Ethylene'!AF31+'Yearly HC Propylene'!AF19</f>
        <v>0</v>
      </c>
      <c r="AG11" s="44">
        <f>'Yearly Butadiene'!AG23+'Yearly BTX'!AG32+'Yearly Methanol'!AG34+'Yearly HC Ethylene'!AG31+'Yearly HC Propylene'!AG19</f>
        <v>0</v>
      </c>
      <c r="AH11" s="44">
        <f>'Yearly Butadiene'!AH23+'Yearly BTX'!AH32+'Yearly Methanol'!AH34+'Yearly HC Ethylene'!AH31+'Yearly HC Propylene'!AH19</f>
        <v>0</v>
      </c>
      <c r="AI11" s="44"/>
      <c r="AJ11" s="44">
        <f>'Yearly Butadiene'!AJ23+'Yearly BTX'!AJ32+'Yearly Methanol'!AJ34+'Yearly LC Ethylene'!D31+'Yearly LC Propylene'!D19</f>
        <v>0</v>
      </c>
      <c r="AK11" s="44">
        <f>'Yearly Butadiene'!AK23+'Yearly BTX'!AK32+'Yearly Methanol'!AK34+'Yearly LC Ethylene'!E31+'Yearly LC Propylene'!E19</f>
        <v>0</v>
      </c>
      <c r="AL11" s="44">
        <f>'Yearly Butadiene'!AL23+'Yearly BTX'!AL32+'Yearly Methanol'!AL34+'Yearly LC Ethylene'!F31+'Yearly LC Propylene'!F19</f>
        <v>0</v>
      </c>
      <c r="AM11" s="44">
        <f>'Yearly Butadiene'!AM23+'Yearly BTX'!AM32+'Yearly Methanol'!AM34+'Yearly LC Ethylene'!G31+'Yearly LC Propylene'!G19</f>
        <v>0</v>
      </c>
      <c r="AN11" s="44">
        <f>'Yearly Butadiene'!AN23+'Yearly BTX'!AN32+'Yearly Methanol'!AN34+'Yearly LC Ethylene'!H31+'Yearly LC Propylene'!H19</f>
        <v>0</v>
      </c>
      <c r="AO11" s="44">
        <f>'Yearly Butadiene'!AO23+'Yearly BTX'!AO32+'Yearly Methanol'!AO34+'Yearly LC Ethylene'!I31+'Yearly LC Propylene'!I19</f>
        <v>0</v>
      </c>
      <c r="AP11" s="44">
        <f>'Yearly Butadiene'!AP23+'Yearly BTX'!AP32+'Yearly Methanol'!AP34+'Yearly LC Ethylene'!J31+'Yearly LC Propylene'!J19</f>
        <v>0</v>
      </c>
      <c r="AQ11" s="44">
        <f>'Yearly Butadiene'!AQ23+'Yearly BTX'!AQ32+'Yearly Methanol'!AQ34+'Yearly LC Ethylene'!K31+'Yearly LC Propylene'!K19</f>
        <v>0</v>
      </c>
      <c r="AR11" s="44">
        <f>'Yearly Butadiene'!AR23+'Yearly BTX'!AR32+'Yearly Methanol'!AR34+'Yearly LC Ethylene'!L31+'Yearly LC Propylene'!L19</f>
        <v>0</v>
      </c>
      <c r="AS11" s="44">
        <f>'Yearly Butadiene'!AS23+'Yearly BTX'!AS32+'Yearly Methanol'!AS34+'Yearly LC Ethylene'!M31+'Yearly LC Propylene'!M19</f>
        <v>0</v>
      </c>
      <c r="AT11" s="44">
        <f>'Yearly Butadiene'!AT23+'Yearly BTX'!AT32+'Yearly Methanol'!AT34+'Yearly LC Ethylene'!N31+'Yearly LC Propylene'!N19</f>
        <v>0</v>
      </c>
      <c r="AU11" s="44">
        <f>'Yearly Butadiene'!AU23+'Yearly BTX'!AU32+'Yearly Methanol'!AU34+'Yearly LC Ethylene'!O31+'Yearly LC Propylene'!O19</f>
        <v>0</v>
      </c>
      <c r="AV11" s="44">
        <f>'Yearly Butadiene'!AV23+'Yearly BTX'!AV32+'Yearly Methanol'!AV34+'Yearly LC Ethylene'!P31+'Yearly LC Propylene'!P19</f>
        <v>0</v>
      </c>
      <c r="AW11" s="44">
        <f>'Yearly Butadiene'!AW23+'Yearly BTX'!AW32+'Yearly Methanol'!AW34+'Yearly LC Ethylene'!Q31+'Yearly LC Propylene'!Q19</f>
        <v>0</v>
      </c>
      <c r="AX11" s="44">
        <f>'Yearly Butadiene'!AX23+'Yearly BTX'!AX32+'Yearly Methanol'!AX34+'Yearly LC Ethylene'!R31+'Yearly LC Propylene'!R19</f>
        <v>0</v>
      </c>
      <c r="AY11" s="44">
        <f>'Yearly Butadiene'!AY23+'Yearly BTX'!AY32+'Yearly Methanol'!AY34+'Yearly LC Ethylene'!S31+'Yearly LC Propylene'!S19</f>
        <v>0</v>
      </c>
      <c r="AZ11" s="44">
        <f>'Yearly Butadiene'!AZ23+'Yearly BTX'!AZ32+'Yearly Methanol'!AZ34+'Yearly LC Ethylene'!T31+'Yearly LC Propylene'!T19</f>
        <v>0</v>
      </c>
      <c r="BA11" s="44">
        <f>'Yearly Butadiene'!BA23+'Yearly BTX'!BA32+'Yearly Methanol'!BA34+'Yearly LC Ethylene'!U31+'Yearly LC Propylene'!U19</f>
        <v>0</v>
      </c>
      <c r="BB11" s="44">
        <f>'Yearly Butadiene'!BB23+'Yearly BTX'!BB32+'Yearly Methanol'!BB34+'Yearly LC Ethylene'!V31+'Yearly LC Propylene'!V19</f>
        <v>0</v>
      </c>
      <c r="BC11" s="44">
        <f>'Yearly Butadiene'!BC23+'Yearly BTX'!BC32+'Yearly Methanol'!BC34+'Yearly LC Ethylene'!W31+'Yearly LC Propylene'!W19</f>
        <v>0</v>
      </c>
      <c r="BD11" s="44">
        <f>'Yearly Butadiene'!BD23+'Yearly BTX'!BD32+'Yearly Methanol'!BD34+'Yearly LC Ethylene'!X31+'Yearly LC Propylene'!X19</f>
        <v>0</v>
      </c>
      <c r="BE11" s="44">
        <f>'Yearly Butadiene'!BE23+'Yearly BTX'!BE32+'Yearly Methanol'!BE34+'Yearly LC Ethylene'!Y31+'Yearly LC Propylene'!Y19</f>
        <v>0</v>
      </c>
      <c r="BF11" s="44">
        <f>'Yearly Butadiene'!BF23+'Yearly BTX'!BF32+'Yearly Methanol'!BF34+'Yearly LC Ethylene'!Z31+'Yearly LC Propylene'!Z19</f>
        <v>0</v>
      </c>
      <c r="BG11" s="44">
        <f>'Yearly Butadiene'!BG23+'Yearly BTX'!BG32+'Yearly Methanol'!BG34+'Yearly LC Ethylene'!AA31+'Yearly LC Propylene'!AA19</f>
        <v>0</v>
      </c>
      <c r="BH11" s="44">
        <f>'Yearly Butadiene'!BH23+'Yearly BTX'!BH32+'Yearly Methanol'!BH34+'Yearly LC Ethylene'!AB31+'Yearly LC Propylene'!AB19</f>
        <v>0</v>
      </c>
      <c r="BI11" s="44">
        <f>'Yearly Butadiene'!BI23+'Yearly BTX'!BI32+'Yearly Methanol'!BI34+'Yearly LC Ethylene'!AC31+'Yearly LC Propylene'!AC19</f>
        <v>0</v>
      </c>
      <c r="BJ11" s="44">
        <f>'Yearly Butadiene'!BJ23+'Yearly BTX'!BJ32+'Yearly Methanol'!BJ34+'Yearly LC Ethylene'!AD31+'Yearly LC Propylene'!AD19</f>
        <v>0</v>
      </c>
      <c r="BK11" s="44">
        <f>'Yearly Butadiene'!BK23+'Yearly BTX'!BK32+'Yearly Methanol'!BK34+'Yearly LC Ethylene'!AE31+'Yearly LC Propylene'!AE19</f>
        <v>0</v>
      </c>
      <c r="BL11" s="44">
        <f>'Yearly Butadiene'!BL23+'Yearly BTX'!BL32+'Yearly Methanol'!BL34+'Yearly LC Ethylene'!AF31+'Yearly LC Propylene'!AF19</f>
        <v>0</v>
      </c>
      <c r="BM11" s="44">
        <f>'Yearly Butadiene'!BM23+'Yearly BTX'!BM32+'Yearly Methanol'!BM34+'Yearly LC Ethylene'!AG31+'Yearly LC Propylene'!AG19</f>
        <v>0</v>
      </c>
      <c r="BN11" s="44">
        <f>'Yearly Butadiene'!BN23+'Yearly BTX'!BN32+'Yearly Methanol'!BN34+'Yearly LC Ethylene'!AH31+'Yearly LC Propylene'!AH19</f>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B11" t="s">
        <v>1182</v>
      </c>
      <c r="ED11" s="2">
        <f t="shared" si="88"/>
        <v>0</v>
      </c>
      <c r="EF11" s="44">
        <f>AH7</f>
        <v>66.07157575188748</v>
      </c>
      <c r="EI11" s="44"/>
      <c r="EJ11" s="44"/>
      <c r="EK11" s="2"/>
      <c r="EL11" s="2"/>
      <c r="EM11" s="2"/>
      <c r="EN11" s="2"/>
      <c r="EO11" s="2"/>
      <c r="EP11" s="660">
        <f t="shared" si="96"/>
        <v>1</v>
      </c>
    </row>
    <row r="12" spans="1:151">
      <c r="A12" s="1" t="s">
        <v>1887</v>
      </c>
      <c r="B12" t="s">
        <v>77</v>
      </c>
      <c r="C12" s="54" t="s">
        <v>69</v>
      </c>
      <c r="D12" s="44">
        <f>'Yearly Butadiene'!D13+'Yearly BTX'!D19+'Yearly Methanol'!D21+'Yearly HC Ethylene'!D15+'Yearly HC Propylene'!D9</f>
        <v>0</v>
      </c>
      <c r="E12" s="44">
        <f>'Yearly Butadiene'!E13+'Yearly BTX'!E19+'Yearly Methanol'!E21+'Yearly HC Ethylene'!E15+'Yearly HC Propylene'!E9</f>
        <v>0</v>
      </c>
      <c r="F12" s="44">
        <f>'Yearly Butadiene'!F13+'Yearly BTX'!F19+'Yearly Methanol'!F21+'Yearly HC Ethylene'!F15+'Yearly HC Propylene'!F9</f>
        <v>0</v>
      </c>
      <c r="G12" s="44">
        <f>'Yearly Butadiene'!G13+'Yearly BTX'!G19+'Yearly Methanol'!G21+'Yearly HC Ethylene'!G15+'Yearly HC Propylene'!G9</f>
        <v>0</v>
      </c>
      <c r="H12" s="44">
        <f>'Yearly Butadiene'!H13+'Yearly BTX'!H19+'Yearly Methanol'!H21+'Yearly HC Ethylene'!H15+'Yearly HC Propylene'!H9</f>
        <v>0</v>
      </c>
      <c r="I12" s="44">
        <f>'Yearly Butadiene'!I13+'Yearly BTX'!I19+'Yearly Methanol'!I21+'Yearly HC Ethylene'!I15+'Yearly HC Propylene'!I9</f>
        <v>0</v>
      </c>
      <c r="J12" s="44">
        <f>'Yearly Butadiene'!J13+'Yearly BTX'!J19+'Yearly Methanol'!J21+'Yearly HC Ethylene'!J15+'Yearly HC Propylene'!J9</f>
        <v>0</v>
      </c>
      <c r="K12" s="44">
        <f>'Yearly Butadiene'!K13+'Yearly BTX'!K19+'Yearly Methanol'!K21+'Yearly HC Ethylene'!K15+'Yearly HC Propylene'!K9</f>
        <v>0</v>
      </c>
      <c r="L12" s="44">
        <f>'Yearly Butadiene'!L13+'Yearly BTX'!L19+'Yearly Methanol'!L21+'Yearly HC Ethylene'!L15+'Yearly HC Propylene'!L9</f>
        <v>0</v>
      </c>
      <c r="M12" s="44">
        <f>'Yearly Butadiene'!M13+'Yearly BTX'!M19+'Yearly Methanol'!M21+'Yearly HC Ethylene'!M15+'Yearly HC Propylene'!M9</f>
        <v>0</v>
      </c>
      <c r="N12" s="44">
        <f>'Yearly Butadiene'!N13+'Yearly BTX'!N19+'Yearly Methanol'!N21+'Yearly HC Ethylene'!N15+'Yearly HC Propylene'!N9</f>
        <v>0</v>
      </c>
      <c r="O12" s="44">
        <f>'Yearly Butadiene'!O13+'Yearly BTX'!O19+'Yearly Methanol'!O21+'Yearly HC Ethylene'!O15+'Yearly HC Propylene'!O9</f>
        <v>0</v>
      </c>
      <c r="P12" s="44">
        <f>'Yearly Butadiene'!P13+'Yearly BTX'!P19+'Yearly Methanol'!P21+'Yearly HC Ethylene'!P15+'Yearly HC Propylene'!P9</f>
        <v>0</v>
      </c>
      <c r="Q12" s="44">
        <f>'Yearly Butadiene'!Q13+'Yearly BTX'!Q19+'Yearly Methanol'!Q21+'Yearly HC Ethylene'!Q15+'Yearly HC Propylene'!Q9</f>
        <v>0</v>
      </c>
      <c r="R12" s="44">
        <f>'Yearly Butadiene'!R13+'Yearly BTX'!R19+'Yearly Methanol'!R21+'Yearly HC Ethylene'!R15+'Yearly HC Propylene'!R9</f>
        <v>0</v>
      </c>
      <c r="S12" s="44">
        <f>'Yearly Butadiene'!S13+'Yearly BTX'!S19+'Yearly Methanol'!S21+'Yearly HC Ethylene'!S15+'Yearly HC Propylene'!S9</f>
        <v>0</v>
      </c>
      <c r="T12" s="44">
        <f>'Yearly Butadiene'!T13+'Yearly BTX'!T19+'Yearly Methanol'!T21+'Yearly HC Ethylene'!T15+'Yearly HC Propylene'!T9</f>
        <v>0</v>
      </c>
      <c r="U12" s="44">
        <f>'Yearly Butadiene'!U13+'Yearly BTX'!U19+'Yearly Methanol'!U21+'Yearly HC Ethylene'!U15+'Yearly HC Propylene'!U9</f>
        <v>0</v>
      </c>
      <c r="V12" s="44">
        <f>'Yearly Butadiene'!V13+'Yearly BTX'!V19+'Yearly Methanol'!V21+'Yearly HC Ethylene'!V15+'Yearly HC Propylene'!V9</f>
        <v>0</v>
      </c>
      <c r="W12" s="44">
        <f>'Yearly Butadiene'!W13+'Yearly BTX'!W19+'Yearly Methanol'!W21+'Yearly HC Ethylene'!W15+'Yearly HC Propylene'!W9</f>
        <v>0</v>
      </c>
      <c r="X12" s="44">
        <f>'Yearly Butadiene'!X13+'Yearly BTX'!X19+'Yearly Methanol'!X21+'Yearly HC Ethylene'!X15+'Yearly HC Propylene'!X9</f>
        <v>0</v>
      </c>
      <c r="Y12" s="44">
        <f>'Yearly Butadiene'!Y13+'Yearly BTX'!Y19+'Yearly Methanol'!Y21+'Yearly HC Ethylene'!Y15+'Yearly HC Propylene'!Y9</f>
        <v>0</v>
      </c>
      <c r="Z12" s="44">
        <f>'Yearly Butadiene'!Z13+'Yearly BTX'!Z19+'Yearly Methanol'!Z21+'Yearly HC Ethylene'!Z15+'Yearly HC Propylene'!Z9</f>
        <v>0</v>
      </c>
      <c r="AA12" s="44">
        <f>'Yearly Butadiene'!AA13+'Yearly BTX'!AA19+'Yearly Methanol'!AA21+'Yearly HC Ethylene'!AA15+'Yearly HC Propylene'!AA9</f>
        <v>0</v>
      </c>
      <c r="AB12" s="44">
        <f>'Yearly Butadiene'!AB13+'Yearly BTX'!AB19+'Yearly Methanol'!AB21+'Yearly HC Ethylene'!AB15+'Yearly HC Propylene'!AB9</f>
        <v>0</v>
      </c>
      <c r="AC12" s="44">
        <f>'Yearly Butadiene'!AC13+'Yearly BTX'!AC19+'Yearly Methanol'!AC21+'Yearly HC Ethylene'!AC15+'Yearly HC Propylene'!AC9</f>
        <v>0</v>
      </c>
      <c r="AD12" s="44">
        <f>'Yearly Butadiene'!AD13+'Yearly BTX'!AD19+'Yearly Methanol'!AD21+'Yearly HC Ethylene'!AD15+'Yearly HC Propylene'!AD9</f>
        <v>0</v>
      </c>
      <c r="AE12" s="44">
        <f>'Yearly Butadiene'!AE13+'Yearly BTX'!AE19+'Yearly Methanol'!AE21+'Yearly HC Ethylene'!AE15+'Yearly HC Propylene'!AE9</f>
        <v>0</v>
      </c>
      <c r="AF12" s="44">
        <f>'Yearly Butadiene'!AF13+'Yearly BTX'!AF19+'Yearly Methanol'!AF21+'Yearly HC Ethylene'!AF15+'Yearly HC Propylene'!AF9</f>
        <v>0</v>
      </c>
      <c r="AG12" s="44">
        <f>'Yearly Butadiene'!AG13+'Yearly BTX'!AG19+'Yearly Methanol'!AG21+'Yearly HC Ethylene'!AG15+'Yearly HC Propylene'!AG9</f>
        <v>0</v>
      </c>
      <c r="AH12" s="44">
        <f>'Yearly Butadiene'!AH13+'Yearly BTX'!AH19+'Yearly Methanol'!AH21+'Yearly HC Ethylene'!AH15+'Yearly HC Propylene'!AH9</f>
        <v>0</v>
      </c>
      <c r="AI12" s="44"/>
      <c r="AJ12" s="44">
        <f>'Yearly Butadiene'!AJ13+'Yearly BTX'!AJ19+'Yearly Methanol'!AJ21+'Yearly LC Ethylene'!D15+'Yearly LC Propylene'!D9</f>
        <v>0</v>
      </c>
      <c r="AK12" s="44">
        <f>'Yearly Butadiene'!AK13+'Yearly BTX'!AK19+'Yearly Methanol'!AK21+'Yearly LC Ethylene'!E15+'Yearly LC Propylene'!E9</f>
        <v>0</v>
      </c>
      <c r="AL12" s="44">
        <f>'Yearly Butadiene'!AL13+'Yearly BTX'!AL19+'Yearly Methanol'!AL21+'Yearly LC Ethylene'!F15+'Yearly LC Propylene'!F9</f>
        <v>0</v>
      </c>
      <c r="AM12" s="44">
        <f>'Yearly Butadiene'!AM13+'Yearly BTX'!AM19+'Yearly Methanol'!AM21+'Yearly LC Ethylene'!G15+'Yearly LC Propylene'!G9</f>
        <v>0</v>
      </c>
      <c r="AN12" s="44">
        <f>'Yearly Butadiene'!AN13+'Yearly BTX'!AN19+'Yearly Methanol'!AN21+'Yearly LC Ethylene'!H15+'Yearly LC Propylene'!H9</f>
        <v>0</v>
      </c>
      <c r="AO12" s="44">
        <f>'Yearly Butadiene'!AO13+'Yearly BTX'!AO19+'Yearly Methanol'!AO21+'Yearly LC Ethylene'!I15+'Yearly LC Propylene'!I9</f>
        <v>0</v>
      </c>
      <c r="AP12" s="44">
        <f>'Yearly Butadiene'!AP13+'Yearly BTX'!AP19+'Yearly Methanol'!AP21+'Yearly LC Ethylene'!J15+'Yearly LC Propylene'!J9</f>
        <v>0</v>
      </c>
      <c r="AQ12" s="44">
        <f>'Yearly Butadiene'!AQ13+'Yearly BTX'!AQ19+'Yearly Methanol'!AQ21+'Yearly LC Ethylene'!K15+'Yearly LC Propylene'!K9</f>
        <v>0</v>
      </c>
      <c r="AR12" s="44">
        <f>'Yearly Butadiene'!AR13+'Yearly BTX'!AR19+'Yearly Methanol'!AR21+'Yearly LC Ethylene'!L15+'Yearly LC Propylene'!L9</f>
        <v>0</v>
      </c>
      <c r="AS12" s="44">
        <f>'Yearly Butadiene'!AS13+'Yearly BTX'!AS19+'Yearly Methanol'!AS21+'Yearly LC Ethylene'!M15+'Yearly LC Propylene'!M9</f>
        <v>0</v>
      </c>
      <c r="AT12" s="44">
        <f>'Yearly Butadiene'!AT13+'Yearly BTX'!AT19+'Yearly Methanol'!AT21+'Yearly LC Ethylene'!N15+'Yearly LC Propylene'!N9</f>
        <v>0</v>
      </c>
      <c r="AU12" s="44">
        <f>'Yearly Butadiene'!AU13+'Yearly BTX'!AU19+'Yearly Methanol'!AU21+'Yearly LC Ethylene'!O15+'Yearly LC Propylene'!O9</f>
        <v>0</v>
      </c>
      <c r="AV12" s="44">
        <f>'Yearly Butadiene'!AV13+'Yearly BTX'!AV19+'Yearly Methanol'!AV21+'Yearly LC Ethylene'!P15+'Yearly LC Propylene'!P9</f>
        <v>0</v>
      </c>
      <c r="AW12" s="44">
        <f>'Yearly Butadiene'!AW13+'Yearly BTX'!AW19+'Yearly Methanol'!AW21+'Yearly LC Ethylene'!Q15+'Yearly LC Propylene'!Q9</f>
        <v>0</v>
      </c>
      <c r="AX12" s="44">
        <f>'Yearly Butadiene'!AX13+'Yearly BTX'!AX19+'Yearly Methanol'!AX21+'Yearly LC Ethylene'!R15+'Yearly LC Propylene'!R9</f>
        <v>0</v>
      </c>
      <c r="AY12" s="44">
        <f>'Yearly Butadiene'!AY13+'Yearly BTX'!AY19+'Yearly Methanol'!AY21+'Yearly LC Ethylene'!S15+'Yearly LC Propylene'!S9</f>
        <v>0</v>
      </c>
      <c r="AZ12" s="44">
        <f>'Yearly Butadiene'!AZ13+'Yearly BTX'!AZ19+'Yearly Methanol'!AZ21+'Yearly LC Ethylene'!T15+'Yearly LC Propylene'!T9</f>
        <v>0</v>
      </c>
      <c r="BA12" s="44">
        <f>'Yearly Butadiene'!BA13+'Yearly BTX'!BA19+'Yearly Methanol'!BA21+'Yearly LC Ethylene'!U15+'Yearly LC Propylene'!U9</f>
        <v>0</v>
      </c>
      <c r="BB12" s="44">
        <f>'Yearly Butadiene'!BB13+'Yearly BTX'!BB19+'Yearly Methanol'!BB21+'Yearly LC Ethylene'!V15+'Yearly LC Propylene'!V9</f>
        <v>0</v>
      </c>
      <c r="BC12" s="44">
        <f>'Yearly Butadiene'!BC13+'Yearly BTX'!BC19+'Yearly Methanol'!BC21+'Yearly LC Ethylene'!W15+'Yearly LC Propylene'!W9</f>
        <v>0</v>
      </c>
      <c r="BD12" s="44">
        <f>'Yearly Butadiene'!BD13+'Yearly BTX'!BD19+'Yearly Methanol'!BD21+'Yearly LC Ethylene'!X15+'Yearly LC Propylene'!X9</f>
        <v>0</v>
      </c>
      <c r="BE12" s="44">
        <f>'Yearly Butadiene'!BE13+'Yearly BTX'!BE19+'Yearly Methanol'!BE21+'Yearly LC Ethylene'!Y15+'Yearly LC Propylene'!Y9</f>
        <v>0</v>
      </c>
      <c r="BF12" s="44">
        <f>'Yearly Butadiene'!BF13+'Yearly BTX'!BF19+'Yearly Methanol'!BF21+'Yearly LC Ethylene'!Z15+'Yearly LC Propylene'!Z9</f>
        <v>0</v>
      </c>
      <c r="BG12" s="44">
        <f>'Yearly Butadiene'!BG13+'Yearly BTX'!BG19+'Yearly Methanol'!BG21+'Yearly LC Ethylene'!AA15+'Yearly LC Propylene'!AA9</f>
        <v>0</v>
      </c>
      <c r="BH12" s="44">
        <f>'Yearly Butadiene'!BH13+'Yearly BTX'!BH19+'Yearly Methanol'!BH21+'Yearly LC Ethylene'!AB15+'Yearly LC Propylene'!AB9</f>
        <v>0</v>
      </c>
      <c r="BI12" s="44">
        <f>'Yearly Butadiene'!BI13+'Yearly BTX'!BI19+'Yearly Methanol'!BI21+'Yearly LC Ethylene'!AC15+'Yearly LC Propylene'!AC9</f>
        <v>0</v>
      </c>
      <c r="BJ12" s="44">
        <f>'Yearly Butadiene'!BJ13+'Yearly BTX'!BJ19+'Yearly Methanol'!BJ21+'Yearly LC Ethylene'!AD15+'Yearly LC Propylene'!AD9</f>
        <v>0</v>
      </c>
      <c r="BK12" s="44">
        <f>'Yearly Butadiene'!BK13+'Yearly BTX'!BK19+'Yearly Methanol'!BK21+'Yearly LC Ethylene'!AE15+'Yearly LC Propylene'!AE9</f>
        <v>0</v>
      </c>
      <c r="BL12" s="44">
        <f>'Yearly Butadiene'!BL13+'Yearly BTX'!BL19+'Yearly Methanol'!BL21+'Yearly LC Ethylene'!AF15+'Yearly LC Propylene'!AF9</f>
        <v>0</v>
      </c>
      <c r="BM12" s="44">
        <f>'Yearly Butadiene'!BM13+'Yearly BTX'!BM19+'Yearly Methanol'!BM21+'Yearly LC Ethylene'!AG15+'Yearly LC Propylene'!AG9</f>
        <v>0</v>
      </c>
      <c r="BN12" s="44">
        <f>'Yearly Butadiene'!BN13+'Yearly BTX'!BN19+'Yearly Methanol'!BN21+'Yearly LC Ethylene'!AH15+'Yearly LC Propylene'!AH9</f>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B12" t="s">
        <v>248</v>
      </c>
      <c r="EC12">
        <v>88.454042501872067</v>
      </c>
      <c r="ED12" s="2">
        <f t="shared" si="88"/>
        <v>0.13279386557066661</v>
      </c>
      <c r="EF12" s="44">
        <f>AH19</f>
        <v>0</v>
      </c>
      <c r="EI12" s="44"/>
      <c r="EJ12" s="44"/>
      <c r="EK12" s="2"/>
      <c r="EL12" s="2"/>
      <c r="EM12" s="2"/>
      <c r="EN12" s="2"/>
      <c r="EO12" s="2"/>
      <c r="EP12" s="660">
        <f t="shared" si="96"/>
        <v>0</v>
      </c>
    </row>
    <row r="13" spans="1:151">
      <c r="A13" s="1" t="s">
        <v>1162</v>
      </c>
      <c r="B13" t="s">
        <v>78</v>
      </c>
      <c r="C13" s="54" t="s">
        <v>69</v>
      </c>
      <c r="D13" s="44">
        <f>'Yearly Butadiene'!D14+'Yearly BTX'!D20+'Yearly Methanol'!D22+'Yearly HC Ethylene'!D16+'Yearly HC Propylene'!D10</f>
        <v>0</v>
      </c>
      <c r="E13" s="44">
        <f>'Yearly Butadiene'!E14+'Yearly BTX'!E20+'Yearly Methanol'!E22+'Yearly HC Ethylene'!E16+'Yearly HC Propylene'!E10</f>
        <v>0</v>
      </c>
      <c r="F13" s="44">
        <f>'Yearly Butadiene'!F14+'Yearly BTX'!F20+'Yearly Methanol'!F22+'Yearly HC Ethylene'!F16+'Yearly HC Propylene'!F10</f>
        <v>0</v>
      </c>
      <c r="G13" s="44">
        <f>'Yearly Butadiene'!G14+'Yearly BTX'!G20+'Yearly Methanol'!G22+'Yearly HC Ethylene'!G16+'Yearly HC Propylene'!G10</f>
        <v>0</v>
      </c>
      <c r="H13" s="44">
        <f>'Yearly Butadiene'!H14+'Yearly BTX'!H20+'Yearly Methanol'!H22+'Yearly HC Ethylene'!H16+'Yearly HC Propylene'!H10</f>
        <v>0</v>
      </c>
      <c r="I13" s="44">
        <f>'Yearly Butadiene'!I14+'Yearly BTX'!I20+'Yearly Methanol'!I22+'Yearly HC Ethylene'!I16+'Yearly HC Propylene'!I10</f>
        <v>0</v>
      </c>
      <c r="J13" s="44">
        <f>'Yearly Butadiene'!J14+'Yearly BTX'!J20+'Yearly Methanol'!J22+'Yearly HC Ethylene'!J16+'Yearly HC Propylene'!J10</f>
        <v>0</v>
      </c>
      <c r="K13" s="44">
        <f>'Yearly Butadiene'!K14+'Yearly BTX'!K20+'Yearly Methanol'!K22+'Yearly HC Ethylene'!K16+'Yearly HC Propylene'!K10</f>
        <v>0</v>
      </c>
      <c r="L13" s="44">
        <f>'Yearly Butadiene'!L14+'Yearly BTX'!L20+'Yearly Methanol'!L22+'Yearly HC Ethylene'!L16+'Yearly HC Propylene'!L10</f>
        <v>0</v>
      </c>
      <c r="M13" s="44">
        <f>'Yearly Butadiene'!M14+'Yearly BTX'!M20+'Yearly Methanol'!M22+'Yearly HC Ethylene'!M16+'Yearly HC Propylene'!M10</f>
        <v>0</v>
      </c>
      <c r="N13" s="44">
        <f>'Yearly Butadiene'!N14+'Yearly BTX'!N20+'Yearly Methanol'!N22+'Yearly HC Ethylene'!N16+'Yearly HC Propylene'!N10</f>
        <v>0</v>
      </c>
      <c r="O13" s="44">
        <f>'Yearly Butadiene'!O14+'Yearly BTX'!O20+'Yearly Methanol'!O22+'Yearly HC Ethylene'!O16+'Yearly HC Propylene'!O10</f>
        <v>0</v>
      </c>
      <c r="P13" s="44">
        <f>'Yearly Butadiene'!P14+'Yearly BTX'!P20+'Yearly Methanol'!P22+'Yearly HC Ethylene'!P16+'Yearly HC Propylene'!P10</f>
        <v>0</v>
      </c>
      <c r="Q13" s="44">
        <f>'Yearly Butadiene'!Q14+'Yearly BTX'!Q20+'Yearly Methanol'!Q22+'Yearly HC Ethylene'!Q16+'Yearly HC Propylene'!Q10</f>
        <v>0</v>
      </c>
      <c r="R13" s="44">
        <f>'Yearly Butadiene'!R14+'Yearly BTX'!R20+'Yearly Methanol'!R22+'Yearly HC Ethylene'!R16+'Yearly HC Propylene'!R10</f>
        <v>0</v>
      </c>
      <c r="S13" s="44">
        <f>'Yearly Butadiene'!S14+'Yearly BTX'!S20+'Yearly Methanol'!S22+'Yearly HC Ethylene'!S16+'Yearly HC Propylene'!S10</f>
        <v>0</v>
      </c>
      <c r="T13" s="44">
        <f>'Yearly Butadiene'!T14+'Yearly BTX'!T20+'Yearly Methanol'!T22+'Yearly HC Ethylene'!T16+'Yearly HC Propylene'!T10</f>
        <v>0</v>
      </c>
      <c r="U13" s="44">
        <f>'Yearly Butadiene'!U14+'Yearly BTX'!U20+'Yearly Methanol'!U22+'Yearly HC Ethylene'!U16+'Yearly HC Propylene'!U10</f>
        <v>0</v>
      </c>
      <c r="V13" s="44">
        <f>'Yearly Butadiene'!V14+'Yearly BTX'!V20+'Yearly Methanol'!V22+'Yearly HC Ethylene'!V16+'Yearly HC Propylene'!V10</f>
        <v>0</v>
      </c>
      <c r="W13" s="44">
        <f>'Yearly Butadiene'!W14+'Yearly BTX'!W20+'Yearly Methanol'!W22+'Yearly HC Ethylene'!W16+'Yearly HC Propylene'!W10</f>
        <v>0</v>
      </c>
      <c r="X13" s="44">
        <f>'Yearly Butadiene'!X14+'Yearly BTX'!X20+'Yearly Methanol'!X22+'Yearly HC Ethylene'!X16+'Yearly HC Propylene'!X10</f>
        <v>0</v>
      </c>
      <c r="Y13" s="44">
        <f>'Yearly Butadiene'!Y14+'Yearly BTX'!Y20+'Yearly Methanol'!Y22+'Yearly HC Ethylene'!Y16+'Yearly HC Propylene'!Y10</f>
        <v>0</v>
      </c>
      <c r="Z13" s="44">
        <f>'Yearly Butadiene'!Z14+'Yearly BTX'!Z20+'Yearly Methanol'!Z22+'Yearly HC Ethylene'!Z16+'Yearly HC Propylene'!Z10</f>
        <v>0</v>
      </c>
      <c r="AA13" s="44">
        <f>'Yearly Butadiene'!AA14+'Yearly BTX'!AA20+'Yearly Methanol'!AA22+'Yearly HC Ethylene'!AA16+'Yearly HC Propylene'!AA10</f>
        <v>0</v>
      </c>
      <c r="AB13" s="44">
        <f>'Yearly Butadiene'!AB14+'Yearly BTX'!AB20+'Yearly Methanol'!AB22+'Yearly HC Ethylene'!AB16+'Yearly HC Propylene'!AB10</f>
        <v>0</v>
      </c>
      <c r="AC13" s="44">
        <f>'Yearly Butadiene'!AC14+'Yearly BTX'!AC20+'Yearly Methanol'!AC22+'Yearly HC Ethylene'!AC16+'Yearly HC Propylene'!AC10</f>
        <v>0</v>
      </c>
      <c r="AD13" s="44">
        <f>'Yearly Butadiene'!AD14+'Yearly BTX'!AD20+'Yearly Methanol'!AD22+'Yearly HC Ethylene'!AD16+'Yearly HC Propylene'!AD10</f>
        <v>0</v>
      </c>
      <c r="AE13" s="44">
        <f>'Yearly Butadiene'!AE14+'Yearly BTX'!AE20+'Yearly Methanol'!AE22+'Yearly HC Ethylene'!AE16+'Yearly HC Propylene'!AE10</f>
        <v>0</v>
      </c>
      <c r="AF13" s="44">
        <f>'Yearly Butadiene'!AF14+'Yearly BTX'!AF20+'Yearly Methanol'!AF22+'Yearly HC Ethylene'!AF16+'Yearly HC Propylene'!AF10</f>
        <v>0</v>
      </c>
      <c r="AG13" s="44">
        <f>'Yearly Butadiene'!AG14+'Yearly BTX'!AG20+'Yearly Methanol'!AG22+'Yearly HC Ethylene'!AG16+'Yearly HC Propylene'!AG10</f>
        <v>0</v>
      </c>
      <c r="AH13" s="44">
        <f>'Yearly Butadiene'!AH14+'Yearly BTX'!AH20+'Yearly Methanol'!AH22+'Yearly HC Ethylene'!AH16+'Yearly HC Propylene'!AH10</f>
        <v>0</v>
      </c>
      <c r="AI13" s="44"/>
      <c r="AJ13" s="44">
        <f>'Yearly Butadiene'!AJ14+'Yearly BTX'!AJ20+'Yearly Methanol'!AJ22+'Yearly LC Ethylene'!D16+'Yearly LC Propylene'!D10</f>
        <v>0</v>
      </c>
      <c r="AK13" s="44">
        <f>'Yearly Butadiene'!AK14+'Yearly BTX'!AK20+'Yearly Methanol'!AK22+'Yearly LC Ethylene'!E16+'Yearly LC Propylene'!E10</f>
        <v>0</v>
      </c>
      <c r="AL13" s="44">
        <f>'Yearly Butadiene'!AL14+'Yearly BTX'!AL20+'Yearly Methanol'!AL22+'Yearly LC Ethylene'!F16+'Yearly LC Propylene'!F10</f>
        <v>0</v>
      </c>
      <c r="AM13" s="44">
        <f>'Yearly Butadiene'!AM14+'Yearly BTX'!AM20+'Yearly Methanol'!AM22+'Yearly LC Ethylene'!G16+'Yearly LC Propylene'!G10</f>
        <v>0</v>
      </c>
      <c r="AN13" s="44">
        <f>'Yearly Butadiene'!AN14+'Yearly BTX'!AN20+'Yearly Methanol'!AN22+'Yearly LC Ethylene'!H16+'Yearly LC Propylene'!H10</f>
        <v>0</v>
      </c>
      <c r="AO13" s="44">
        <f>'Yearly Butadiene'!AO14+'Yearly BTX'!AO20+'Yearly Methanol'!AO22+'Yearly LC Ethylene'!I16+'Yearly LC Propylene'!I10</f>
        <v>0</v>
      </c>
      <c r="AP13" s="44">
        <f>'Yearly Butadiene'!AP14+'Yearly BTX'!AP20+'Yearly Methanol'!AP22+'Yearly LC Ethylene'!J16+'Yearly LC Propylene'!J10</f>
        <v>0</v>
      </c>
      <c r="AQ13" s="44">
        <f>'Yearly Butadiene'!AQ14+'Yearly BTX'!AQ20+'Yearly Methanol'!AQ22+'Yearly LC Ethylene'!K16+'Yearly LC Propylene'!K10</f>
        <v>0</v>
      </c>
      <c r="AR13" s="44">
        <f>'Yearly Butadiene'!AR14+'Yearly BTX'!AR20+'Yearly Methanol'!AR22+'Yearly LC Ethylene'!L16+'Yearly LC Propylene'!L10</f>
        <v>0</v>
      </c>
      <c r="AS13" s="44">
        <f>'Yearly Butadiene'!AS14+'Yearly BTX'!AS20+'Yearly Methanol'!AS22+'Yearly LC Ethylene'!M16+'Yearly LC Propylene'!M10</f>
        <v>0</v>
      </c>
      <c r="AT13" s="44">
        <f>'Yearly Butadiene'!AT14+'Yearly BTX'!AT20+'Yearly Methanol'!AT22+'Yearly LC Ethylene'!N16+'Yearly LC Propylene'!N10</f>
        <v>0</v>
      </c>
      <c r="AU13" s="44">
        <f>'Yearly Butadiene'!AU14+'Yearly BTX'!AU20+'Yearly Methanol'!AU22+'Yearly LC Ethylene'!O16+'Yearly LC Propylene'!O10</f>
        <v>0</v>
      </c>
      <c r="AV13" s="44">
        <f>'Yearly Butadiene'!AV14+'Yearly BTX'!AV20+'Yearly Methanol'!AV22+'Yearly LC Ethylene'!P16+'Yearly LC Propylene'!P10</f>
        <v>0</v>
      </c>
      <c r="AW13" s="44">
        <f>'Yearly Butadiene'!AW14+'Yearly BTX'!AW20+'Yearly Methanol'!AW22+'Yearly LC Ethylene'!Q16+'Yearly LC Propylene'!Q10</f>
        <v>0</v>
      </c>
      <c r="AX13" s="44">
        <f>'Yearly Butadiene'!AX14+'Yearly BTX'!AX20+'Yearly Methanol'!AX22+'Yearly LC Ethylene'!R16+'Yearly LC Propylene'!R10</f>
        <v>0</v>
      </c>
      <c r="AY13" s="44">
        <f>'Yearly Butadiene'!AY14+'Yearly BTX'!AY20+'Yearly Methanol'!AY22+'Yearly LC Ethylene'!S16+'Yearly LC Propylene'!S10</f>
        <v>0</v>
      </c>
      <c r="AZ13" s="44">
        <f>'Yearly Butadiene'!AZ14+'Yearly BTX'!AZ20+'Yearly Methanol'!AZ22+'Yearly LC Ethylene'!T16+'Yearly LC Propylene'!T10</f>
        <v>0</v>
      </c>
      <c r="BA13" s="44">
        <f>'Yearly Butadiene'!BA14+'Yearly BTX'!BA20+'Yearly Methanol'!BA22+'Yearly LC Ethylene'!U16+'Yearly LC Propylene'!U10</f>
        <v>0</v>
      </c>
      <c r="BB13" s="44">
        <f>'Yearly Butadiene'!BB14+'Yearly BTX'!BB20+'Yearly Methanol'!BB22+'Yearly LC Ethylene'!V16+'Yearly LC Propylene'!V10</f>
        <v>0</v>
      </c>
      <c r="BC13" s="44">
        <f>'Yearly Butadiene'!BC14+'Yearly BTX'!BC20+'Yearly Methanol'!BC22+'Yearly LC Ethylene'!W16+'Yearly LC Propylene'!W10</f>
        <v>0</v>
      </c>
      <c r="BD13" s="44">
        <f>'Yearly Butadiene'!BD14+'Yearly BTX'!BD20+'Yearly Methanol'!BD22+'Yearly LC Ethylene'!X16+'Yearly LC Propylene'!X10</f>
        <v>0</v>
      </c>
      <c r="BE13" s="44">
        <f>'Yearly Butadiene'!BE14+'Yearly BTX'!BE20+'Yearly Methanol'!BE22+'Yearly LC Ethylene'!Y16+'Yearly LC Propylene'!Y10</f>
        <v>0</v>
      </c>
      <c r="BF13" s="44">
        <f>'Yearly Butadiene'!BF14+'Yearly BTX'!BF20+'Yearly Methanol'!BF22+'Yearly LC Ethylene'!Z16+'Yearly LC Propylene'!Z10</f>
        <v>0</v>
      </c>
      <c r="BG13" s="44">
        <f>'Yearly Butadiene'!BG14+'Yearly BTX'!BG20+'Yearly Methanol'!BG22+'Yearly LC Ethylene'!AA16+'Yearly LC Propylene'!AA10</f>
        <v>0</v>
      </c>
      <c r="BH13" s="44">
        <f>'Yearly Butadiene'!BH14+'Yearly BTX'!BH20+'Yearly Methanol'!BH22+'Yearly LC Ethylene'!AB16+'Yearly LC Propylene'!AB10</f>
        <v>0</v>
      </c>
      <c r="BI13" s="44">
        <f>'Yearly Butadiene'!BI14+'Yearly BTX'!BI20+'Yearly Methanol'!BI22+'Yearly LC Ethylene'!AC16+'Yearly LC Propylene'!AC10</f>
        <v>0</v>
      </c>
      <c r="BJ13" s="44">
        <f>'Yearly Butadiene'!BJ14+'Yearly BTX'!BJ20+'Yearly Methanol'!BJ22+'Yearly LC Ethylene'!AD16+'Yearly LC Propylene'!AD10</f>
        <v>0</v>
      </c>
      <c r="BK13" s="44">
        <f>'Yearly Butadiene'!BK14+'Yearly BTX'!BK20+'Yearly Methanol'!BK22+'Yearly LC Ethylene'!AE16+'Yearly LC Propylene'!AE10</f>
        <v>0</v>
      </c>
      <c r="BL13" s="44">
        <f>'Yearly Butadiene'!BL14+'Yearly BTX'!BL20+'Yearly Methanol'!BL22+'Yearly LC Ethylene'!AF16+'Yearly LC Propylene'!AF10</f>
        <v>0</v>
      </c>
      <c r="BM13" s="44">
        <f>'Yearly Butadiene'!BM14+'Yearly BTX'!BM20+'Yearly Methanol'!BM22+'Yearly LC Ethylene'!AG16+'Yearly LC Propylene'!AG10</f>
        <v>0</v>
      </c>
      <c r="BN13" s="44">
        <f>'Yearly Butadiene'!BN14+'Yearly BTX'!BN20+'Yearly Methanol'!BN22+'Yearly LC Ethylene'!AH16+'Yearly LC Propylene'!AH10</f>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C13">
        <f>SUM(EC6:EC12)</f>
        <v>666.10036632152264</v>
      </c>
      <c r="EF13" s="44">
        <f>SUM(EF6:EF12)</f>
        <v>66.07157575188748</v>
      </c>
      <c r="EI13" s="44"/>
      <c r="EJ13" s="44"/>
      <c r="EK13" s="2"/>
      <c r="EL13" s="2"/>
      <c r="EM13" s="2"/>
      <c r="EN13" s="2"/>
      <c r="EO13" s="2"/>
      <c r="EP13" s="660">
        <f t="shared" si="96"/>
        <v>1</v>
      </c>
    </row>
    <row r="14" spans="1:151">
      <c r="A14" s="1" t="s">
        <v>1162</v>
      </c>
      <c r="B14" t="s">
        <v>79</v>
      </c>
      <c r="C14" s="54" t="s">
        <v>69</v>
      </c>
      <c r="D14" s="44">
        <f>'Yearly Butadiene'!D27+'Yearly BTX'!D39+'Yearly Methanol'!D41+'Yearly HC Ethylene'!D41+'Yearly HC Propylene'!D23</f>
        <v>0</v>
      </c>
      <c r="E14" s="44">
        <f>'Yearly Butadiene'!E27+'Yearly BTX'!E39+'Yearly Methanol'!E41+'Yearly HC Ethylene'!E41+'Yearly HC Propylene'!E23</f>
        <v>0</v>
      </c>
      <c r="F14" s="44">
        <f>'Yearly Butadiene'!F27+'Yearly BTX'!F39+'Yearly Methanol'!F41+'Yearly HC Ethylene'!F41+'Yearly HC Propylene'!F23</f>
        <v>0</v>
      </c>
      <c r="G14" s="44">
        <f>'Yearly Butadiene'!G27+'Yearly BTX'!G39+'Yearly Methanol'!G41+'Yearly HC Ethylene'!G41+'Yearly HC Propylene'!G23</f>
        <v>0</v>
      </c>
      <c r="H14" s="44">
        <f>'Yearly Butadiene'!H27+'Yearly BTX'!H39+'Yearly Methanol'!H41+'Yearly HC Ethylene'!H41+'Yearly HC Propylene'!H23</f>
        <v>0</v>
      </c>
      <c r="I14" s="44">
        <f>'Yearly Butadiene'!I27+'Yearly BTX'!I39+'Yearly Methanol'!I41+'Yearly HC Ethylene'!I41+'Yearly HC Propylene'!I23</f>
        <v>0</v>
      </c>
      <c r="J14" s="44">
        <f>'Yearly Butadiene'!J27+'Yearly BTX'!J39+'Yearly Methanol'!J41+'Yearly HC Ethylene'!J41+'Yearly HC Propylene'!J23</f>
        <v>0</v>
      </c>
      <c r="K14" s="44">
        <f>'Yearly Butadiene'!K27+'Yearly BTX'!K39+'Yearly Methanol'!K41+'Yearly HC Ethylene'!K41+'Yearly HC Propylene'!K23</f>
        <v>0</v>
      </c>
      <c r="L14" s="44">
        <f>'Yearly Butadiene'!L27+'Yearly BTX'!L39+'Yearly Methanol'!L41+'Yearly HC Ethylene'!L41+'Yearly HC Propylene'!L23</f>
        <v>0</v>
      </c>
      <c r="M14" s="44">
        <f>'Yearly Butadiene'!M27+'Yearly BTX'!M39+'Yearly Methanol'!M41+'Yearly HC Ethylene'!M41+'Yearly HC Propylene'!M23</f>
        <v>0</v>
      </c>
      <c r="N14" s="44">
        <f>'Yearly Butadiene'!N27+'Yearly BTX'!N39+'Yearly Methanol'!N41+'Yearly HC Ethylene'!N41+'Yearly HC Propylene'!N23</f>
        <v>0</v>
      </c>
      <c r="O14" s="44">
        <f>'Yearly Butadiene'!O27+'Yearly BTX'!O39+'Yearly Methanol'!O41+'Yearly HC Ethylene'!O41+'Yearly HC Propylene'!O23</f>
        <v>0</v>
      </c>
      <c r="P14" s="44">
        <f>'Yearly Butadiene'!P27+'Yearly BTX'!P39+'Yearly Methanol'!P41+'Yearly HC Ethylene'!P41+'Yearly HC Propylene'!P23</f>
        <v>0</v>
      </c>
      <c r="Q14" s="44">
        <f>'Yearly Butadiene'!Q27+'Yearly BTX'!Q39+'Yearly Methanol'!Q41+'Yearly HC Ethylene'!Q41+'Yearly HC Propylene'!Q23</f>
        <v>0</v>
      </c>
      <c r="R14" s="44">
        <f>'Yearly Butadiene'!R27+'Yearly BTX'!R39+'Yearly Methanol'!R41+'Yearly HC Ethylene'!R41+'Yearly HC Propylene'!R23</f>
        <v>0</v>
      </c>
      <c r="S14" s="44">
        <f>'Yearly Butadiene'!S27+'Yearly BTX'!S39+'Yearly Methanol'!S41+'Yearly HC Ethylene'!S41+'Yearly HC Propylene'!S23</f>
        <v>0</v>
      </c>
      <c r="T14" s="44">
        <f>'Yearly Butadiene'!T27+'Yearly BTX'!T39+'Yearly Methanol'!T41+'Yearly HC Ethylene'!T41+'Yearly HC Propylene'!T23</f>
        <v>0</v>
      </c>
      <c r="U14" s="44">
        <f>'Yearly Butadiene'!U27+'Yearly BTX'!U39+'Yearly Methanol'!U41+'Yearly HC Ethylene'!U41+'Yearly HC Propylene'!U23</f>
        <v>0</v>
      </c>
      <c r="V14" s="44">
        <f>'Yearly Butadiene'!V27+'Yearly BTX'!V39+'Yearly Methanol'!V41+'Yearly HC Ethylene'!V41+'Yearly HC Propylene'!V23</f>
        <v>0</v>
      </c>
      <c r="W14" s="44">
        <f>'Yearly Butadiene'!W27+'Yearly BTX'!W39+'Yearly Methanol'!W41+'Yearly HC Ethylene'!W41+'Yearly HC Propylene'!W23</f>
        <v>0</v>
      </c>
      <c r="X14" s="44">
        <f>'Yearly Butadiene'!X27+'Yearly BTX'!X39+'Yearly Methanol'!X41+'Yearly HC Ethylene'!X41+'Yearly HC Propylene'!X23</f>
        <v>0</v>
      </c>
      <c r="Y14" s="44">
        <f>'Yearly Butadiene'!Y27+'Yearly BTX'!Y39+'Yearly Methanol'!Y41+'Yearly HC Ethylene'!Y41+'Yearly HC Propylene'!Y23</f>
        <v>0</v>
      </c>
      <c r="Z14" s="44">
        <f>'Yearly Butadiene'!Z27+'Yearly BTX'!Z39+'Yearly Methanol'!Z41+'Yearly HC Ethylene'!Z41+'Yearly HC Propylene'!Z23</f>
        <v>0</v>
      </c>
      <c r="AA14" s="44">
        <f>'Yearly Butadiene'!AA27+'Yearly BTX'!AA39+'Yearly Methanol'!AA41+'Yearly HC Ethylene'!AA41+'Yearly HC Propylene'!AA23</f>
        <v>0</v>
      </c>
      <c r="AB14" s="44">
        <f>'Yearly Butadiene'!AB27+'Yearly BTX'!AB39+'Yearly Methanol'!AB41+'Yearly HC Ethylene'!AB41+'Yearly HC Propylene'!AB23</f>
        <v>0</v>
      </c>
      <c r="AC14" s="44">
        <f>'Yearly Butadiene'!AC27+'Yearly BTX'!AC39+'Yearly Methanol'!AC41+'Yearly HC Ethylene'!AC41+'Yearly HC Propylene'!AC23</f>
        <v>0</v>
      </c>
      <c r="AD14" s="44">
        <f>'Yearly Butadiene'!AD27+'Yearly BTX'!AD39+'Yearly Methanol'!AD41+'Yearly HC Ethylene'!AD41+'Yearly HC Propylene'!AD23</f>
        <v>0</v>
      </c>
      <c r="AE14" s="44">
        <f>'Yearly Butadiene'!AE27+'Yearly BTX'!AE39+'Yearly Methanol'!AE41+'Yearly HC Ethylene'!AE41+'Yearly HC Propylene'!AE23</f>
        <v>0</v>
      </c>
      <c r="AF14" s="44">
        <f>'Yearly Butadiene'!AF27+'Yearly BTX'!AF39+'Yearly Methanol'!AF41+'Yearly HC Ethylene'!AF41+'Yearly HC Propylene'!AF23</f>
        <v>0</v>
      </c>
      <c r="AG14" s="44">
        <f>'Yearly Butadiene'!AG27+'Yearly BTX'!AG39+'Yearly Methanol'!AG41+'Yearly HC Ethylene'!AG41+'Yearly HC Propylene'!AG23</f>
        <v>0</v>
      </c>
      <c r="AH14" s="44">
        <f>'Yearly Butadiene'!AH27+'Yearly BTX'!AH39+'Yearly Methanol'!AH41+'Yearly HC Ethylene'!AH41+'Yearly HC Propylene'!AH23</f>
        <v>0</v>
      </c>
      <c r="AI14" s="44"/>
      <c r="AJ14" s="44">
        <f>'Yearly Butadiene'!AJ27+'Yearly BTX'!AJ39+'Yearly Methanol'!AJ41+'Yearly LC Ethylene'!D41+'Yearly LC Propylene'!D23</f>
        <v>0</v>
      </c>
      <c r="AK14" s="44">
        <f>'Yearly Butadiene'!AK27+'Yearly BTX'!AK39+'Yearly Methanol'!AK41+'Yearly LC Ethylene'!E41+'Yearly LC Propylene'!E23</f>
        <v>0</v>
      </c>
      <c r="AL14" s="44">
        <f>'Yearly Butadiene'!AL27+'Yearly BTX'!AL39+'Yearly Methanol'!AL41+'Yearly LC Ethylene'!F41+'Yearly LC Propylene'!F23</f>
        <v>0</v>
      </c>
      <c r="AM14" s="44">
        <f>'Yearly Butadiene'!AM27+'Yearly BTX'!AM39+'Yearly Methanol'!AM41+'Yearly LC Ethylene'!G41+'Yearly LC Propylene'!G23</f>
        <v>0</v>
      </c>
      <c r="AN14" s="44">
        <f>'Yearly Butadiene'!AN27+'Yearly BTX'!AN39+'Yearly Methanol'!AN41+'Yearly LC Ethylene'!H41+'Yearly LC Propylene'!H23</f>
        <v>0</v>
      </c>
      <c r="AO14" s="44">
        <f>'Yearly Butadiene'!AO27+'Yearly BTX'!AO39+'Yearly Methanol'!AO41+'Yearly LC Ethylene'!I41+'Yearly LC Propylene'!I23</f>
        <v>0</v>
      </c>
      <c r="AP14" s="44">
        <f>'Yearly Butadiene'!AP27+'Yearly BTX'!AP39+'Yearly Methanol'!AP41+'Yearly LC Ethylene'!J41+'Yearly LC Propylene'!J23</f>
        <v>0</v>
      </c>
      <c r="AQ14" s="44">
        <f>'Yearly Butadiene'!AQ27+'Yearly BTX'!AQ39+'Yearly Methanol'!AQ41+'Yearly LC Ethylene'!K41+'Yearly LC Propylene'!K23</f>
        <v>0</v>
      </c>
      <c r="AR14" s="44">
        <f>'Yearly Butadiene'!AR27+'Yearly BTX'!AR39+'Yearly Methanol'!AR41+'Yearly LC Ethylene'!L41+'Yearly LC Propylene'!L23</f>
        <v>0</v>
      </c>
      <c r="AS14" s="44">
        <f>'Yearly Butadiene'!AS27+'Yearly BTX'!AS39+'Yearly Methanol'!AS41+'Yearly LC Ethylene'!M41+'Yearly LC Propylene'!M23</f>
        <v>0</v>
      </c>
      <c r="AT14" s="44">
        <f>'Yearly Butadiene'!AT27+'Yearly BTX'!AT39+'Yearly Methanol'!AT41+'Yearly LC Ethylene'!N41+'Yearly LC Propylene'!N23</f>
        <v>0</v>
      </c>
      <c r="AU14" s="44">
        <f>'Yearly Butadiene'!AU27+'Yearly BTX'!AU39+'Yearly Methanol'!AU41+'Yearly LC Ethylene'!O41+'Yearly LC Propylene'!O23</f>
        <v>0</v>
      </c>
      <c r="AV14" s="44">
        <f>'Yearly Butadiene'!AV27+'Yearly BTX'!AV39+'Yearly Methanol'!AV41+'Yearly LC Ethylene'!P41+'Yearly LC Propylene'!P23</f>
        <v>0</v>
      </c>
      <c r="AW14" s="44">
        <f>'Yearly Butadiene'!AW27+'Yearly BTX'!AW39+'Yearly Methanol'!AW41+'Yearly LC Ethylene'!Q41+'Yearly LC Propylene'!Q23</f>
        <v>0</v>
      </c>
      <c r="AX14" s="44">
        <f>'Yearly Butadiene'!AX27+'Yearly BTX'!AX39+'Yearly Methanol'!AX41+'Yearly LC Ethylene'!R41+'Yearly LC Propylene'!R23</f>
        <v>0</v>
      </c>
      <c r="AY14" s="44">
        <f>'Yearly Butadiene'!AY27+'Yearly BTX'!AY39+'Yearly Methanol'!AY41+'Yearly LC Ethylene'!S41+'Yearly LC Propylene'!S23</f>
        <v>0</v>
      </c>
      <c r="AZ14" s="44">
        <f>'Yearly Butadiene'!AZ27+'Yearly BTX'!AZ39+'Yearly Methanol'!AZ41+'Yearly LC Ethylene'!T41+'Yearly LC Propylene'!T23</f>
        <v>0</v>
      </c>
      <c r="BA14" s="44">
        <f>'Yearly Butadiene'!BA27+'Yearly BTX'!BA39+'Yearly Methanol'!BA41+'Yearly LC Ethylene'!U41+'Yearly LC Propylene'!U23</f>
        <v>0</v>
      </c>
      <c r="BB14" s="44">
        <f>'Yearly Butadiene'!BB27+'Yearly BTX'!BB39+'Yearly Methanol'!BB41+'Yearly LC Ethylene'!V41+'Yearly LC Propylene'!V23</f>
        <v>0</v>
      </c>
      <c r="BC14" s="44">
        <f>'Yearly Butadiene'!BC27+'Yearly BTX'!BC39+'Yearly Methanol'!BC41+'Yearly LC Ethylene'!W41+'Yearly LC Propylene'!W23</f>
        <v>0</v>
      </c>
      <c r="BD14" s="44">
        <f>'Yearly Butadiene'!BD27+'Yearly BTX'!BD39+'Yearly Methanol'!BD41+'Yearly LC Ethylene'!X41+'Yearly LC Propylene'!X23</f>
        <v>0</v>
      </c>
      <c r="BE14" s="44">
        <f>'Yearly Butadiene'!BE27+'Yearly BTX'!BE39+'Yearly Methanol'!BE41+'Yearly LC Ethylene'!Y41+'Yearly LC Propylene'!Y23</f>
        <v>0</v>
      </c>
      <c r="BF14" s="44">
        <f>'Yearly Butadiene'!BF27+'Yearly BTX'!BF39+'Yearly Methanol'!BF41+'Yearly LC Ethylene'!Z41+'Yearly LC Propylene'!Z23</f>
        <v>0</v>
      </c>
      <c r="BG14" s="44">
        <f>'Yearly Butadiene'!BG27+'Yearly BTX'!BG39+'Yearly Methanol'!BG41+'Yearly LC Ethylene'!AA41+'Yearly LC Propylene'!AA23</f>
        <v>0</v>
      </c>
      <c r="BH14" s="44">
        <f>'Yearly Butadiene'!BH27+'Yearly BTX'!BH39+'Yearly Methanol'!BH41+'Yearly LC Ethylene'!AB41+'Yearly LC Propylene'!AB23</f>
        <v>0</v>
      </c>
      <c r="BI14" s="44">
        <f>'Yearly Butadiene'!BI27+'Yearly BTX'!BI39+'Yearly Methanol'!BI41+'Yearly LC Ethylene'!AC41+'Yearly LC Propylene'!AC23</f>
        <v>0</v>
      </c>
      <c r="BJ14" s="44">
        <f>'Yearly Butadiene'!BJ27+'Yearly BTX'!BJ39+'Yearly Methanol'!BJ41+'Yearly LC Ethylene'!AD41+'Yearly LC Propylene'!AD23</f>
        <v>0</v>
      </c>
      <c r="BK14" s="44">
        <f>'Yearly Butadiene'!BK27+'Yearly BTX'!BK39+'Yearly Methanol'!BK41+'Yearly LC Ethylene'!AE41+'Yearly LC Propylene'!AE23</f>
        <v>0</v>
      </c>
      <c r="BL14" s="44">
        <f>'Yearly Butadiene'!BL27+'Yearly BTX'!BL39+'Yearly Methanol'!BL41+'Yearly LC Ethylene'!AF41+'Yearly LC Propylene'!AF23</f>
        <v>0</v>
      </c>
      <c r="BM14" s="44">
        <f>'Yearly Butadiene'!BM27+'Yearly BTX'!BM39+'Yearly Methanol'!BM41+'Yearly LC Ethylene'!AG41+'Yearly LC Propylene'!AG23</f>
        <v>0</v>
      </c>
      <c r="BN14" s="44">
        <f>'Yearly Butadiene'!BN27+'Yearly BTX'!BN39+'Yearly Methanol'!BN41+'Yearly LC Ethylene'!AH41+'Yearly LC Propylene'!AH23</f>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C14">
        <f>SUM('Yearly Summary'!D9)</f>
        <v>661.63220645045089</v>
      </c>
      <c r="EI14" s="44"/>
      <c r="EJ14" s="44"/>
      <c r="EK14" s="2"/>
      <c r="EL14" s="2"/>
      <c r="EM14" s="2"/>
      <c r="EN14" s="2"/>
      <c r="EO14" s="2"/>
    </row>
    <row r="15" spans="1:151">
      <c r="A15" s="1" t="s">
        <v>1163</v>
      </c>
      <c r="B15" t="s">
        <v>80</v>
      </c>
      <c r="C15" s="54" t="s">
        <v>69</v>
      </c>
      <c r="D15" s="44">
        <f>'Yearly Butadiene'!D28+'Yearly BTX'!D40+'Yearly Methanol'!D42+'Yearly HC Ethylene'!D42+'Yearly HC Propylene'!D24</f>
        <v>0</v>
      </c>
      <c r="E15" s="44">
        <f>'Yearly Butadiene'!E28+'Yearly BTX'!E40+'Yearly Methanol'!E42+'Yearly HC Ethylene'!E42+'Yearly HC Propylene'!E24</f>
        <v>0</v>
      </c>
      <c r="F15" s="44">
        <f>'Yearly Butadiene'!F28+'Yearly BTX'!F40+'Yearly Methanol'!F42+'Yearly HC Ethylene'!F42+'Yearly HC Propylene'!F24</f>
        <v>0</v>
      </c>
      <c r="G15" s="44">
        <f>'Yearly Butadiene'!G28+'Yearly BTX'!G40+'Yearly Methanol'!G42+'Yearly HC Ethylene'!G42+'Yearly HC Propylene'!G24</f>
        <v>0</v>
      </c>
      <c r="H15" s="44">
        <f>'Yearly Butadiene'!H28+'Yearly BTX'!H40+'Yearly Methanol'!H42+'Yearly HC Ethylene'!H42+'Yearly HC Propylene'!H24</f>
        <v>0</v>
      </c>
      <c r="I15" s="44">
        <f>'Yearly Butadiene'!I28+'Yearly BTX'!I40+'Yearly Methanol'!I42+'Yearly HC Ethylene'!I42+'Yearly HC Propylene'!I24</f>
        <v>0</v>
      </c>
      <c r="J15" s="44">
        <f>'Yearly Butadiene'!J28+'Yearly BTX'!J40+'Yearly Methanol'!J42+'Yearly HC Ethylene'!J42+'Yearly HC Propylene'!J24</f>
        <v>0</v>
      </c>
      <c r="K15" s="44">
        <f>'Yearly Butadiene'!K28+'Yearly BTX'!K40+'Yearly Methanol'!K42+'Yearly HC Ethylene'!K42+'Yearly HC Propylene'!K24</f>
        <v>0</v>
      </c>
      <c r="L15" s="44">
        <f>'Yearly Butadiene'!L28+'Yearly BTX'!L40+'Yearly Methanol'!L42+'Yearly HC Ethylene'!L42+'Yearly HC Propylene'!L24</f>
        <v>0</v>
      </c>
      <c r="M15" s="44">
        <f>'Yearly Butadiene'!M28+'Yearly BTX'!M40+'Yearly Methanol'!M42+'Yearly HC Ethylene'!M42+'Yearly HC Propylene'!M24</f>
        <v>0</v>
      </c>
      <c r="N15" s="44">
        <f>'Yearly Butadiene'!N28+'Yearly BTX'!N40+'Yearly Methanol'!N42+'Yearly HC Ethylene'!N42+'Yearly HC Propylene'!N24</f>
        <v>0</v>
      </c>
      <c r="O15" s="44">
        <f>'Yearly Butadiene'!O28+'Yearly BTX'!O40+'Yearly Methanol'!O42+'Yearly HC Ethylene'!O42+'Yearly HC Propylene'!O24</f>
        <v>0</v>
      </c>
      <c r="P15" s="44">
        <f>'Yearly Butadiene'!P28+'Yearly BTX'!P40+'Yearly Methanol'!P42+'Yearly HC Ethylene'!P42+'Yearly HC Propylene'!P24</f>
        <v>0</v>
      </c>
      <c r="Q15" s="44">
        <f>'Yearly Butadiene'!Q28+'Yearly BTX'!Q40+'Yearly Methanol'!Q42+'Yearly HC Ethylene'!Q42+'Yearly HC Propylene'!Q24</f>
        <v>0</v>
      </c>
      <c r="R15" s="44">
        <f>'Yearly Butadiene'!R28+'Yearly BTX'!R40+'Yearly Methanol'!R42+'Yearly HC Ethylene'!R42+'Yearly HC Propylene'!R24</f>
        <v>0</v>
      </c>
      <c r="S15" s="44">
        <f>'Yearly Butadiene'!S28+'Yearly BTX'!S40+'Yearly Methanol'!S42+'Yearly HC Ethylene'!S42+'Yearly HC Propylene'!S24</f>
        <v>0</v>
      </c>
      <c r="T15" s="44">
        <f>'Yearly Butadiene'!T28+'Yearly BTX'!T40+'Yearly Methanol'!T42+'Yearly HC Ethylene'!T42+'Yearly HC Propylene'!T24</f>
        <v>0</v>
      </c>
      <c r="U15" s="44">
        <f>'Yearly Butadiene'!U28+'Yearly BTX'!U40+'Yearly Methanol'!U42+'Yearly HC Ethylene'!U42+'Yearly HC Propylene'!U24</f>
        <v>0</v>
      </c>
      <c r="V15" s="44">
        <f>'Yearly Butadiene'!V28+'Yearly BTX'!V40+'Yearly Methanol'!V42+'Yearly HC Ethylene'!V42+'Yearly HC Propylene'!V24</f>
        <v>0</v>
      </c>
      <c r="W15" s="44">
        <f>'Yearly Butadiene'!W28+'Yearly BTX'!W40+'Yearly Methanol'!W42+'Yearly HC Ethylene'!W42+'Yearly HC Propylene'!W24</f>
        <v>0</v>
      </c>
      <c r="X15" s="44">
        <f>'Yearly Butadiene'!X28+'Yearly BTX'!X40+'Yearly Methanol'!X42+'Yearly HC Ethylene'!X42+'Yearly HC Propylene'!X24</f>
        <v>0</v>
      </c>
      <c r="Y15" s="44">
        <f>'Yearly Butadiene'!Y28+'Yearly BTX'!Y40+'Yearly Methanol'!Y42+'Yearly HC Ethylene'!Y42+'Yearly HC Propylene'!Y24</f>
        <v>0</v>
      </c>
      <c r="Z15" s="44">
        <f>'Yearly Butadiene'!Z28+'Yearly BTX'!Z40+'Yearly Methanol'!Z42+'Yearly HC Ethylene'!Z42+'Yearly HC Propylene'!Z24</f>
        <v>0</v>
      </c>
      <c r="AA15" s="44">
        <f>'Yearly Butadiene'!AA28+'Yearly BTX'!AA40+'Yearly Methanol'!AA42+'Yearly HC Ethylene'!AA42+'Yearly HC Propylene'!AA24</f>
        <v>0</v>
      </c>
      <c r="AB15" s="44">
        <f>'Yearly Butadiene'!AB28+'Yearly BTX'!AB40+'Yearly Methanol'!AB42+'Yearly HC Ethylene'!AB42+'Yearly HC Propylene'!AB24</f>
        <v>0</v>
      </c>
      <c r="AC15" s="44">
        <f>'Yearly Butadiene'!AC28+'Yearly BTX'!AC40+'Yearly Methanol'!AC42+'Yearly HC Ethylene'!AC42+'Yearly HC Propylene'!AC24</f>
        <v>0</v>
      </c>
      <c r="AD15" s="44">
        <f>'Yearly Butadiene'!AD28+'Yearly BTX'!AD40+'Yearly Methanol'!AD42+'Yearly HC Ethylene'!AD42+'Yearly HC Propylene'!AD24</f>
        <v>0</v>
      </c>
      <c r="AE15" s="44">
        <f>'Yearly Butadiene'!AE28+'Yearly BTX'!AE40+'Yearly Methanol'!AE42+'Yearly HC Ethylene'!AE42+'Yearly HC Propylene'!AE24</f>
        <v>0</v>
      </c>
      <c r="AF15" s="44">
        <f>'Yearly Butadiene'!AF28+'Yearly BTX'!AF40+'Yearly Methanol'!AF42+'Yearly HC Ethylene'!AF42+'Yearly HC Propylene'!AF24</f>
        <v>0</v>
      </c>
      <c r="AG15" s="44">
        <f>'Yearly Butadiene'!AG28+'Yearly BTX'!AG40+'Yearly Methanol'!AG42+'Yearly HC Ethylene'!AG42+'Yearly HC Propylene'!AG24</f>
        <v>0</v>
      </c>
      <c r="AH15" s="44">
        <f>'Yearly Butadiene'!AH28+'Yearly BTX'!AH40+'Yearly Methanol'!AH42+'Yearly HC Ethylene'!AH42+'Yearly HC Propylene'!AH24</f>
        <v>0</v>
      </c>
      <c r="AI15" s="44"/>
      <c r="AJ15" s="44">
        <f>'Yearly Butadiene'!AJ28+'Yearly BTX'!AJ40+'Yearly Methanol'!AJ42+'Yearly LC Ethylene'!D42+'Yearly LC Propylene'!D24</f>
        <v>0</v>
      </c>
      <c r="AK15" s="44">
        <f>'Yearly Butadiene'!AK28+'Yearly BTX'!AK40+'Yearly Methanol'!AK42+'Yearly LC Ethylene'!E42+'Yearly LC Propylene'!E24</f>
        <v>0</v>
      </c>
      <c r="AL15" s="44">
        <f>'Yearly Butadiene'!AL28+'Yearly BTX'!AL40+'Yearly Methanol'!AL42+'Yearly LC Ethylene'!F42+'Yearly LC Propylene'!F24</f>
        <v>0</v>
      </c>
      <c r="AM15" s="44">
        <f>'Yearly Butadiene'!AM28+'Yearly BTX'!AM40+'Yearly Methanol'!AM42+'Yearly LC Ethylene'!G42+'Yearly LC Propylene'!G24</f>
        <v>0</v>
      </c>
      <c r="AN15" s="44">
        <f>'Yearly Butadiene'!AN28+'Yearly BTX'!AN40+'Yearly Methanol'!AN42+'Yearly LC Ethylene'!H42+'Yearly LC Propylene'!H24</f>
        <v>0</v>
      </c>
      <c r="AO15" s="44">
        <f>'Yearly Butadiene'!AO28+'Yearly BTX'!AO40+'Yearly Methanol'!AO42+'Yearly LC Ethylene'!I42+'Yearly LC Propylene'!I24</f>
        <v>0</v>
      </c>
      <c r="AP15" s="44">
        <f>'Yearly Butadiene'!AP28+'Yearly BTX'!AP40+'Yearly Methanol'!AP42+'Yearly LC Ethylene'!J42+'Yearly LC Propylene'!J24</f>
        <v>0</v>
      </c>
      <c r="AQ15" s="44">
        <f>'Yearly Butadiene'!AQ28+'Yearly BTX'!AQ40+'Yearly Methanol'!AQ42+'Yearly LC Ethylene'!K42+'Yearly LC Propylene'!K24</f>
        <v>0</v>
      </c>
      <c r="AR15" s="44">
        <f>'Yearly Butadiene'!AR28+'Yearly BTX'!AR40+'Yearly Methanol'!AR42+'Yearly LC Ethylene'!L42+'Yearly LC Propylene'!L24</f>
        <v>0</v>
      </c>
      <c r="AS15" s="44">
        <f>'Yearly Butadiene'!AS28+'Yearly BTX'!AS40+'Yearly Methanol'!AS42+'Yearly LC Ethylene'!M42+'Yearly LC Propylene'!M24</f>
        <v>0</v>
      </c>
      <c r="AT15" s="44">
        <f>'Yearly Butadiene'!AT28+'Yearly BTX'!AT40+'Yearly Methanol'!AT42+'Yearly LC Ethylene'!N42+'Yearly LC Propylene'!N24</f>
        <v>0</v>
      </c>
      <c r="AU15" s="44">
        <f>'Yearly Butadiene'!AU28+'Yearly BTX'!AU40+'Yearly Methanol'!AU42+'Yearly LC Ethylene'!O42+'Yearly LC Propylene'!O24</f>
        <v>0</v>
      </c>
      <c r="AV15" s="44">
        <f>'Yearly Butadiene'!AV28+'Yearly BTX'!AV40+'Yearly Methanol'!AV42+'Yearly LC Ethylene'!P42+'Yearly LC Propylene'!P24</f>
        <v>0</v>
      </c>
      <c r="AW15" s="44">
        <f>'Yearly Butadiene'!AW28+'Yearly BTX'!AW40+'Yearly Methanol'!AW42+'Yearly LC Ethylene'!Q42+'Yearly LC Propylene'!Q24</f>
        <v>0</v>
      </c>
      <c r="AX15" s="44">
        <f>'Yearly Butadiene'!AX28+'Yearly BTX'!AX40+'Yearly Methanol'!AX42+'Yearly LC Ethylene'!R42+'Yearly LC Propylene'!R24</f>
        <v>0</v>
      </c>
      <c r="AY15" s="44">
        <f>'Yearly Butadiene'!AY28+'Yearly BTX'!AY40+'Yearly Methanol'!AY42+'Yearly LC Ethylene'!S42+'Yearly LC Propylene'!S24</f>
        <v>0</v>
      </c>
      <c r="AZ15" s="44">
        <f>'Yearly Butadiene'!AZ28+'Yearly BTX'!AZ40+'Yearly Methanol'!AZ42+'Yearly LC Ethylene'!T42+'Yearly LC Propylene'!T24</f>
        <v>0</v>
      </c>
      <c r="BA15" s="44">
        <f>'Yearly Butadiene'!BA28+'Yearly BTX'!BA40+'Yearly Methanol'!BA42+'Yearly LC Ethylene'!U42+'Yearly LC Propylene'!U24</f>
        <v>0</v>
      </c>
      <c r="BB15" s="44">
        <f>'Yearly Butadiene'!BB28+'Yearly BTX'!BB40+'Yearly Methanol'!BB42+'Yearly LC Ethylene'!V42+'Yearly LC Propylene'!V24</f>
        <v>0</v>
      </c>
      <c r="BC15" s="44">
        <f>'Yearly Butadiene'!BC28+'Yearly BTX'!BC40+'Yearly Methanol'!BC42+'Yearly LC Ethylene'!W42+'Yearly LC Propylene'!W24</f>
        <v>0</v>
      </c>
      <c r="BD15" s="44">
        <f>'Yearly Butadiene'!BD28+'Yearly BTX'!BD40+'Yearly Methanol'!BD42+'Yearly LC Ethylene'!X42+'Yearly LC Propylene'!X24</f>
        <v>0</v>
      </c>
      <c r="BE15" s="44">
        <f>'Yearly Butadiene'!BE28+'Yearly BTX'!BE40+'Yearly Methanol'!BE42+'Yearly LC Ethylene'!Y42+'Yearly LC Propylene'!Y24</f>
        <v>0</v>
      </c>
      <c r="BF15" s="44">
        <f>'Yearly Butadiene'!BF28+'Yearly BTX'!BF40+'Yearly Methanol'!BF42+'Yearly LC Ethylene'!Z42+'Yearly LC Propylene'!Z24</f>
        <v>0</v>
      </c>
      <c r="BG15" s="44">
        <f>'Yearly Butadiene'!BG28+'Yearly BTX'!BG40+'Yearly Methanol'!BG42+'Yearly LC Ethylene'!AA42+'Yearly LC Propylene'!AA24</f>
        <v>0</v>
      </c>
      <c r="BH15" s="44">
        <f>'Yearly Butadiene'!BH28+'Yearly BTX'!BH40+'Yearly Methanol'!BH42+'Yearly LC Ethylene'!AB42+'Yearly LC Propylene'!AB24</f>
        <v>0</v>
      </c>
      <c r="BI15" s="44">
        <f>'Yearly Butadiene'!BI28+'Yearly BTX'!BI40+'Yearly Methanol'!BI42+'Yearly LC Ethylene'!AC42+'Yearly LC Propylene'!AC24</f>
        <v>0</v>
      </c>
      <c r="BJ15" s="44">
        <f>'Yearly Butadiene'!BJ28+'Yearly BTX'!BJ40+'Yearly Methanol'!BJ42+'Yearly LC Ethylene'!AD42+'Yearly LC Propylene'!AD24</f>
        <v>0</v>
      </c>
      <c r="BK15" s="44">
        <f>'Yearly Butadiene'!BK28+'Yearly BTX'!BK40+'Yearly Methanol'!BK42+'Yearly LC Ethylene'!AE42+'Yearly LC Propylene'!AE24</f>
        <v>0</v>
      </c>
      <c r="BL15" s="44">
        <f>'Yearly Butadiene'!BL28+'Yearly BTX'!BL40+'Yearly Methanol'!BL42+'Yearly LC Ethylene'!AF42+'Yearly LC Propylene'!AF24</f>
        <v>0</v>
      </c>
      <c r="BM15" s="44">
        <f>'Yearly Butadiene'!BM28+'Yearly BTX'!BM40+'Yearly Methanol'!BM42+'Yearly LC Ethylene'!AG42+'Yearly LC Propylene'!AG24</f>
        <v>0</v>
      </c>
      <c r="BN15" s="44">
        <f>'Yearly Butadiene'!BN28+'Yearly BTX'!BN40+'Yearly Methanol'!BN42+'Yearly LC Ethylene'!AH42+'Yearly LC Propylene'!AH24</f>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B15" t="s">
        <v>1892</v>
      </c>
      <c r="EE15">
        <f>EE6</f>
        <v>158.18580800000001</v>
      </c>
      <c r="EF15" s="44">
        <f>BN5</f>
        <v>0</v>
      </c>
      <c r="EG15" s="44">
        <f>BN6</f>
        <v>0</v>
      </c>
      <c r="EH15">
        <f>0</f>
        <v>0</v>
      </c>
      <c r="EI15" s="44">
        <v>0</v>
      </c>
      <c r="EJ15" s="44">
        <f t="shared" si="90"/>
        <v>158.18580800000001</v>
      </c>
      <c r="EK15" s="2">
        <f t="shared" si="91"/>
        <v>0</v>
      </c>
      <c r="EL15" s="2">
        <f t="shared" si="92"/>
        <v>0</v>
      </c>
      <c r="EM15" s="2">
        <f t="shared" si="93"/>
        <v>0</v>
      </c>
      <c r="EN15" s="2">
        <f t="shared" si="94"/>
        <v>0</v>
      </c>
      <c r="EO15" s="2">
        <f t="shared" si="95"/>
        <v>1</v>
      </c>
      <c r="EP15" s="660">
        <f t="shared" ref="EP15:EP22" si="98">EF15/EF$22</f>
        <v>0</v>
      </c>
      <c r="EQ15">
        <v>0.11379023331852879</v>
      </c>
      <c r="ER15">
        <v>0</v>
      </c>
      <c r="ES15">
        <v>0</v>
      </c>
      <c r="ET15">
        <v>0</v>
      </c>
      <c r="EU15">
        <v>0.88620976668147122</v>
      </c>
    </row>
    <row r="16" spans="1:151">
      <c r="A16" s="1" t="s">
        <v>1162</v>
      </c>
      <c r="B16" t="s">
        <v>81</v>
      </c>
      <c r="C16" s="54" t="s">
        <v>69</v>
      </c>
      <c r="D16" s="44">
        <f>'Yearly Butadiene'!D31+'Yearly BTX'!D46+'Yearly Methanol'!D48+'Yearly HC Ethylene'!D51+'Yearly HC Propylene'!D27</f>
        <v>0</v>
      </c>
      <c r="E16" s="44">
        <f>'Yearly Butadiene'!E31+'Yearly BTX'!E46+'Yearly Methanol'!E48+'Yearly HC Ethylene'!E51+'Yearly HC Propylene'!E27</f>
        <v>0</v>
      </c>
      <c r="F16" s="44">
        <f>'Yearly Butadiene'!F31+'Yearly BTX'!F46+'Yearly Methanol'!F48+'Yearly HC Ethylene'!F51+'Yearly HC Propylene'!F27</f>
        <v>0</v>
      </c>
      <c r="G16" s="44">
        <f>'Yearly Butadiene'!G31+'Yearly BTX'!G46+'Yearly Methanol'!G48+'Yearly HC Ethylene'!G51+'Yearly HC Propylene'!G27</f>
        <v>0</v>
      </c>
      <c r="H16" s="44">
        <f>'Yearly Butadiene'!H31+'Yearly BTX'!H46+'Yearly Methanol'!H48+'Yearly HC Ethylene'!H51+'Yearly HC Propylene'!H27</f>
        <v>0</v>
      </c>
      <c r="I16" s="44">
        <f>'Yearly Butadiene'!I31+'Yearly BTX'!I46+'Yearly Methanol'!I48+'Yearly HC Ethylene'!I51+'Yearly HC Propylene'!I27</f>
        <v>0</v>
      </c>
      <c r="J16" s="44">
        <f>'Yearly Butadiene'!J31+'Yearly BTX'!J46+'Yearly Methanol'!J48+'Yearly HC Ethylene'!J51+'Yearly HC Propylene'!J27</f>
        <v>0</v>
      </c>
      <c r="K16" s="44">
        <f>'Yearly Butadiene'!K31+'Yearly BTX'!K46+'Yearly Methanol'!K48+'Yearly HC Ethylene'!K51+'Yearly HC Propylene'!K27</f>
        <v>0</v>
      </c>
      <c r="L16" s="44">
        <f>'Yearly Butadiene'!L31+'Yearly BTX'!L46+'Yearly Methanol'!L48+'Yearly HC Ethylene'!L51+'Yearly HC Propylene'!L27</f>
        <v>0</v>
      </c>
      <c r="M16" s="44">
        <f>'Yearly Butadiene'!M31+'Yearly BTX'!M46+'Yearly Methanol'!M48+'Yearly HC Ethylene'!M51+'Yearly HC Propylene'!M27</f>
        <v>0</v>
      </c>
      <c r="N16" s="44">
        <f>'Yearly Butadiene'!N31+'Yearly BTX'!N46+'Yearly Methanol'!N48+'Yearly HC Ethylene'!N51+'Yearly HC Propylene'!N27</f>
        <v>0</v>
      </c>
      <c r="O16" s="44">
        <f>'Yearly Butadiene'!O31+'Yearly BTX'!O46+'Yearly Methanol'!O48+'Yearly HC Ethylene'!O51+'Yearly HC Propylene'!O27</f>
        <v>0</v>
      </c>
      <c r="P16" s="44">
        <f>'Yearly Butadiene'!P31+'Yearly BTX'!P46+'Yearly Methanol'!P48+'Yearly HC Ethylene'!P51+'Yearly HC Propylene'!P27</f>
        <v>0</v>
      </c>
      <c r="Q16" s="44">
        <f>'Yearly Butadiene'!Q31+'Yearly BTX'!Q46+'Yearly Methanol'!Q48+'Yearly HC Ethylene'!Q51+'Yearly HC Propylene'!Q27</f>
        <v>0</v>
      </c>
      <c r="R16" s="44">
        <f>'Yearly Butadiene'!R31+'Yearly BTX'!R46+'Yearly Methanol'!R48+'Yearly HC Ethylene'!R51+'Yearly HC Propylene'!R27</f>
        <v>0</v>
      </c>
      <c r="S16" s="44">
        <f>'Yearly Butadiene'!S31+'Yearly BTX'!S46+'Yearly Methanol'!S48+'Yearly HC Ethylene'!S51+'Yearly HC Propylene'!S27</f>
        <v>0</v>
      </c>
      <c r="T16" s="44">
        <f>'Yearly Butadiene'!T31+'Yearly BTX'!T46+'Yearly Methanol'!T48+'Yearly HC Ethylene'!T51+'Yearly HC Propylene'!T27</f>
        <v>0</v>
      </c>
      <c r="U16" s="44">
        <f>'Yearly Butadiene'!U31+'Yearly BTX'!U46+'Yearly Methanol'!U48+'Yearly HC Ethylene'!U51+'Yearly HC Propylene'!U27</f>
        <v>0</v>
      </c>
      <c r="V16" s="44">
        <f>'Yearly Butadiene'!V31+'Yearly BTX'!V46+'Yearly Methanol'!V48+'Yearly HC Ethylene'!V51+'Yearly HC Propylene'!V27</f>
        <v>0</v>
      </c>
      <c r="W16" s="44">
        <f>'Yearly Butadiene'!W31+'Yearly BTX'!W46+'Yearly Methanol'!W48+'Yearly HC Ethylene'!W51+'Yearly HC Propylene'!W27</f>
        <v>0</v>
      </c>
      <c r="X16" s="44">
        <f>'Yearly Butadiene'!X31+'Yearly BTX'!X46+'Yearly Methanol'!X48+'Yearly HC Ethylene'!X51+'Yearly HC Propylene'!X27</f>
        <v>0</v>
      </c>
      <c r="Y16" s="44">
        <f>'Yearly Butadiene'!Y31+'Yearly BTX'!Y46+'Yearly Methanol'!Y48+'Yearly HC Ethylene'!Y51+'Yearly HC Propylene'!Y27</f>
        <v>0</v>
      </c>
      <c r="Z16" s="44">
        <f>'Yearly Butadiene'!Z31+'Yearly BTX'!Z46+'Yearly Methanol'!Z48+'Yearly HC Ethylene'!Z51+'Yearly HC Propylene'!Z27</f>
        <v>0</v>
      </c>
      <c r="AA16" s="44">
        <f>'Yearly Butadiene'!AA31+'Yearly BTX'!AA46+'Yearly Methanol'!AA48+'Yearly HC Ethylene'!AA51+'Yearly HC Propylene'!AA27</f>
        <v>0</v>
      </c>
      <c r="AB16" s="44">
        <f>'Yearly Butadiene'!AB31+'Yearly BTX'!AB46+'Yearly Methanol'!AB48+'Yearly HC Ethylene'!AB51+'Yearly HC Propylene'!AB27</f>
        <v>0</v>
      </c>
      <c r="AC16" s="44">
        <f>'Yearly Butadiene'!AC31+'Yearly BTX'!AC46+'Yearly Methanol'!AC48+'Yearly HC Ethylene'!AC51+'Yearly HC Propylene'!AC27</f>
        <v>0</v>
      </c>
      <c r="AD16" s="44">
        <f>'Yearly Butadiene'!AD31+'Yearly BTX'!AD46+'Yearly Methanol'!AD48+'Yearly HC Ethylene'!AD51+'Yearly HC Propylene'!AD27</f>
        <v>0</v>
      </c>
      <c r="AE16" s="44">
        <f>'Yearly Butadiene'!AE31+'Yearly BTX'!AE46+'Yearly Methanol'!AE48+'Yearly HC Ethylene'!AE51+'Yearly HC Propylene'!AE27</f>
        <v>0</v>
      </c>
      <c r="AF16" s="44">
        <f>'Yearly Butadiene'!AF31+'Yearly BTX'!AF46+'Yearly Methanol'!AF48+'Yearly HC Ethylene'!AF51+'Yearly HC Propylene'!AF27</f>
        <v>0</v>
      </c>
      <c r="AG16" s="44">
        <f>'Yearly Butadiene'!AG31+'Yearly BTX'!AG46+'Yearly Methanol'!AG48+'Yearly HC Ethylene'!AG51+'Yearly HC Propylene'!AG27</f>
        <v>0</v>
      </c>
      <c r="AH16" s="44">
        <f>'Yearly Butadiene'!AH31+'Yearly BTX'!AH46+'Yearly Methanol'!AH48+'Yearly HC Ethylene'!AH51+'Yearly HC Propylene'!AH27</f>
        <v>0</v>
      </c>
      <c r="AI16" s="44"/>
      <c r="AJ16" s="44">
        <f>'Yearly Butadiene'!AJ31+'Yearly BTX'!AJ46+'Yearly Methanol'!AJ48+'Yearly LC Ethylene'!D51+'Yearly LC Propylene'!D27</f>
        <v>0</v>
      </c>
      <c r="AK16" s="44">
        <f>'Yearly Butadiene'!AK31+'Yearly BTX'!AK46+'Yearly Methanol'!AK48+'Yearly LC Ethylene'!E51+'Yearly LC Propylene'!E27</f>
        <v>0</v>
      </c>
      <c r="AL16" s="44">
        <f>'Yearly Butadiene'!AL31+'Yearly BTX'!AL46+'Yearly Methanol'!AL48+'Yearly LC Ethylene'!F51+'Yearly LC Propylene'!F27</f>
        <v>0</v>
      </c>
      <c r="AM16" s="44">
        <f>'Yearly Butadiene'!AM31+'Yearly BTX'!AM46+'Yearly Methanol'!AM48+'Yearly LC Ethylene'!G51+'Yearly LC Propylene'!G27</f>
        <v>0</v>
      </c>
      <c r="AN16" s="44">
        <f>'Yearly Butadiene'!AN31+'Yearly BTX'!AN46+'Yearly Methanol'!AN48+'Yearly LC Ethylene'!H51+'Yearly LC Propylene'!H27</f>
        <v>0</v>
      </c>
      <c r="AO16" s="44">
        <f>'Yearly Butadiene'!AO31+'Yearly BTX'!AO46+'Yearly Methanol'!AO48+'Yearly LC Ethylene'!I51+'Yearly LC Propylene'!I27</f>
        <v>0</v>
      </c>
      <c r="AP16" s="44">
        <f>'Yearly Butadiene'!AP31+'Yearly BTX'!AP46+'Yearly Methanol'!AP48+'Yearly LC Ethylene'!J51+'Yearly LC Propylene'!J27</f>
        <v>0</v>
      </c>
      <c r="AQ16" s="44">
        <f>'Yearly Butadiene'!AQ31+'Yearly BTX'!AQ46+'Yearly Methanol'!AQ48+'Yearly LC Ethylene'!K51+'Yearly LC Propylene'!K27</f>
        <v>0</v>
      </c>
      <c r="AR16" s="44">
        <f>'Yearly Butadiene'!AR31+'Yearly BTX'!AR46+'Yearly Methanol'!AR48+'Yearly LC Ethylene'!L51+'Yearly LC Propylene'!L27</f>
        <v>0</v>
      </c>
      <c r="AS16" s="44">
        <f>'Yearly Butadiene'!AS31+'Yearly BTX'!AS46+'Yearly Methanol'!AS48+'Yearly LC Ethylene'!M51+'Yearly LC Propylene'!M27</f>
        <v>0</v>
      </c>
      <c r="AT16" s="44">
        <f>'Yearly Butadiene'!AT31+'Yearly BTX'!AT46+'Yearly Methanol'!AT48+'Yearly LC Ethylene'!N51+'Yearly LC Propylene'!N27</f>
        <v>0</v>
      </c>
      <c r="AU16" s="44">
        <f>'Yearly Butadiene'!AU31+'Yearly BTX'!AU46+'Yearly Methanol'!AU48+'Yearly LC Ethylene'!O51+'Yearly LC Propylene'!O27</f>
        <v>0</v>
      </c>
      <c r="AV16" s="44">
        <f>'Yearly Butadiene'!AV31+'Yearly BTX'!AV46+'Yearly Methanol'!AV48+'Yearly LC Ethylene'!P51+'Yearly LC Propylene'!P27</f>
        <v>0</v>
      </c>
      <c r="AW16" s="44">
        <f>'Yearly Butadiene'!AW31+'Yearly BTX'!AW46+'Yearly Methanol'!AW48+'Yearly LC Ethylene'!Q51+'Yearly LC Propylene'!Q27</f>
        <v>0</v>
      </c>
      <c r="AX16" s="44">
        <f>'Yearly Butadiene'!AX31+'Yearly BTX'!AX46+'Yearly Methanol'!AX48+'Yearly LC Ethylene'!R51+'Yearly LC Propylene'!R27</f>
        <v>0</v>
      </c>
      <c r="AY16" s="44">
        <f>'Yearly Butadiene'!AY31+'Yearly BTX'!AY46+'Yearly Methanol'!AY48+'Yearly LC Ethylene'!S51+'Yearly LC Propylene'!S27</f>
        <v>0</v>
      </c>
      <c r="AZ16" s="44">
        <f>'Yearly Butadiene'!AZ31+'Yearly BTX'!AZ46+'Yearly Methanol'!AZ48+'Yearly LC Ethylene'!T51+'Yearly LC Propylene'!T27</f>
        <v>0</v>
      </c>
      <c r="BA16" s="44">
        <f>'Yearly Butadiene'!BA31+'Yearly BTX'!BA46+'Yearly Methanol'!BA48+'Yearly LC Ethylene'!U51+'Yearly LC Propylene'!U27</f>
        <v>0</v>
      </c>
      <c r="BB16" s="44">
        <f>'Yearly Butadiene'!BB31+'Yearly BTX'!BB46+'Yearly Methanol'!BB48+'Yearly LC Ethylene'!V51+'Yearly LC Propylene'!V27</f>
        <v>0</v>
      </c>
      <c r="BC16" s="44">
        <f>'Yearly Butadiene'!BC31+'Yearly BTX'!BC46+'Yearly Methanol'!BC48+'Yearly LC Ethylene'!W51+'Yearly LC Propylene'!W27</f>
        <v>0</v>
      </c>
      <c r="BD16" s="44">
        <f>'Yearly Butadiene'!BD31+'Yearly BTX'!BD46+'Yearly Methanol'!BD48+'Yearly LC Ethylene'!X51+'Yearly LC Propylene'!X27</f>
        <v>0</v>
      </c>
      <c r="BE16" s="44">
        <f>'Yearly Butadiene'!BE31+'Yearly BTX'!BE46+'Yearly Methanol'!BE48+'Yearly LC Ethylene'!Y51+'Yearly LC Propylene'!Y27</f>
        <v>0</v>
      </c>
      <c r="BF16" s="44">
        <f>'Yearly Butadiene'!BF31+'Yearly BTX'!BF46+'Yearly Methanol'!BF48+'Yearly LC Ethylene'!Z51+'Yearly LC Propylene'!Z27</f>
        <v>0</v>
      </c>
      <c r="BG16" s="44">
        <f>'Yearly Butadiene'!BG31+'Yearly BTX'!BG46+'Yearly Methanol'!BG48+'Yearly LC Ethylene'!AA51+'Yearly LC Propylene'!AA27</f>
        <v>0</v>
      </c>
      <c r="BH16" s="44">
        <f>'Yearly Butadiene'!BH31+'Yearly BTX'!BH46+'Yearly Methanol'!BH48+'Yearly LC Ethylene'!AB51+'Yearly LC Propylene'!AB27</f>
        <v>0</v>
      </c>
      <c r="BI16" s="44">
        <f>'Yearly Butadiene'!BI31+'Yearly BTX'!BI46+'Yearly Methanol'!BI48+'Yearly LC Ethylene'!AC51+'Yearly LC Propylene'!AC27</f>
        <v>0</v>
      </c>
      <c r="BJ16" s="44">
        <f>'Yearly Butadiene'!BJ31+'Yearly BTX'!BJ46+'Yearly Methanol'!BJ48+'Yearly LC Ethylene'!AD51+'Yearly LC Propylene'!AD27</f>
        <v>0</v>
      </c>
      <c r="BK16" s="44">
        <f>'Yearly Butadiene'!BK31+'Yearly BTX'!BK46+'Yearly Methanol'!BK48+'Yearly LC Ethylene'!AE51+'Yearly LC Propylene'!AE27</f>
        <v>0</v>
      </c>
      <c r="BL16" s="44">
        <f>'Yearly Butadiene'!BL31+'Yearly BTX'!BL46+'Yearly Methanol'!BL48+'Yearly LC Ethylene'!AF51+'Yearly LC Propylene'!AF27</f>
        <v>0</v>
      </c>
      <c r="BM16" s="44">
        <f>'Yearly Butadiene'!BM31+'Yearly BTX'!BM46+'Yearly Methanol'!BM48+'Yearly LC Ethylene'!AG51+'Yearly LC Propylene'!AG27</f>
        <v>0</v>
      </c>
      <c r="BN16" s="44">
        <f>'Yearly Butadiene'!BN31+'Yearly BTX'!BN46+'Yearly Methanol'!BN48+'Yearly LC Ethylene'!AH51+'Yearly LC Propylene'!AH27</f>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B16" t="s">
        <v>1888</v>
      </c>
      <c r="EE16" s="44">
        <f t="shared" ref="EE16:EE19" si="99">EE7</f>
        <v>277.98913120134648</v>
      </c>
      <c r="EF16" s="44">
        <f>BN8</f>
        <v>0</v>
      </c>
      <c r="EG16" s="44">
        <f>BN9</f>
        <v>0</v>
      </c>
      <c r="EH16" s="44">
        <f>BN10+BN11</f>
        <v>0</v>
      </c>
      <c r="EI16" s="44">
        <f>SUM('Yearly BTX'!BN76:BN77,'Yearly Butadiene'!BN49:BN50,'Yearly Methanol'!BN78:BN79,'Yearly LC Ethylene'!AH93:AH94,'Yearly HC Propylene'!AH44:AH45)</f>
        <v>60.980528135101409</v>
      </c>
      <c r="EJ16" s="44">
        <f t="shared" si="90"/>
        <v>217.00860306624509</v>
      </c>
      <c r="EK16" s="2">
        <f t="shared" si="91"/>
        <v>0</v>
      </c>
      <c r="EL16" s="2">
        <f t="shared" si="92"/>
        <v>0</v>
      </c>
      <c r="EM16" s="2">
        <f t="shared" si="93"/>
        <v>0</v>
      </c>
      <c r="EN16" s="2">
        <f t="shared" si="94"/>
        <v>0.21936299405509291</v>
      </c>
      <c r="EO16" s="2">
        <f t="shared" si="95"/>
        <v>0.78063700594490715</v>
      </c>
      <c r="EP16" s="660">
        <f t="shared" si="98"/>
        <v>0</v>
      </c>
      <c r="EQ16">
        <v>6.9246918318227629E-2</v>
      </c>
      <c r="ER16">
        <v>0.18527826254199076</v>
      </c>
      <c r="ES16">
        <v>0.13661661763117541</v>
      </c>
      <c r="ET16">
        <v>8.6200532203147592E-2</v>
      </c>
      <c r="EU16">
        <v>0.52265766930545854</v>
      </c>
    </row>
    <row r="17" spans="1:151">
      <c r="A17" s="1" t="s">
        <v>1887</v>
      </c>
      <c r="B17" t="s">
        <v>82</v>
      </c>
      <c r="C17" s="54" t="s">
        <v>69</v>
      </c>
      <c r="D17" s="44">
        <f>'Yearly Butadiene'!D32+'Yearly BTX'!D47+'Yearly Methanol'!D49+'Yearly HC Ethylene'!D52+'Yearly HC Propylene'!D28</f>
        <v>0</v>
      </c>
      <c r="E17" s="44">
        <f>'Yearly Butadiene'!E32+'Yearly BTX'!E47+'Yearly Methanol'!E49+'Yearly HC Ethylene'!E52+'Yearly HC Propylene'!E28</f>
        <v>0</v>
      </c>
      <c r="F17" s="44">
        <f>'Yearly Butadiene'!F32+'Yearly BTX'!F47+'Yearly Methanol'!F49+'Yearly HC Ethylene'!F52+'Yearly HC Propylene'!F28</f>
        <v>0</v>
      </c>
      <c r="G17" s="44">
        <f>'Yearly Butadiene'!G32+'Yearly BTX'!G47+'Yearly Methanol'!G49+'Yearly HC Ethylene'!G52+'Yearly HC Propylene'!G28</f>
        <v>0</v>
      </c>
      <c r="H17" s="44">
        <f>'Yearly Butadiene'!H32+'Yearly BTX'!H47+'Yearly Methanol'!H49+'Yearly HC Ethylene'!H52+'Yearly HC Propylene'!H28</f>
        <v>0</v>
      </c>
      <c r="I17" s="44">
        <f>'Yearly Butadiene'!I32+'Yearly BTX'!I47+'Yearly Methanol'!I49+'Yearly HC Ethylene'!I52+'Yearly HC Propylene'!I28</f>
        <v>0</v>
      </c>
      <c r="J17" s="44">
        <f>'Yearly Butadiene'!J32+'Yearly BTX'!J47+'Yearly Methanol'!J49+'Yearly HC Ethylene'!J52+'Yearly HC Propylene'!J28</f>
        <v>0</v>
      </c>
      <c r="K17" s="44">
        <f>'Yearly Butadiene'!K32+'Yearly BTX'!K47+'Yearly Methanol'!K49+'Yearly HC Ethylene'!K52+'Yearly HC Propylene'!K28</f>
        <v>0</v>
      </c>
      <c r="L17" s="44">
        <f>'Yearly Butadiene'!L32+'Yearly BTX'!L47+'Yearly Methanol'!L49+'Yearly HC Ethylene'!L52+'Yearly HC Propylene'!L28</f>
        <v>0</v>
      </c>
      <c r="M17" s="44">
        <f>'Yearly Butadiene'!M32+'Yearly BTX'!M47+'Yearly Methanol'!M49+'Yearly HC Ethylene'!M52+'Yearly HC Propylene'!M28</f>
        <v>0</v>
      </c>
      <c r="N17" s="44">
        <f>'Yearly Butadiene'!N32+'Yearly BTX'!N47+'Yearly Methanol'!N49+'Yearly HC Ethylene'!N52+'Yearly HC Propylene'!N28</f>
        <v>0</v>
      </c>
      <c r="O17" s="44">
        <f>'Yearly Butadiene'!O32+'Yearly BTX'!O47+'Yearly Methanol'!O49+'Yearly HC Ethylene'!O52+'Yearly HC Propylene'!O28</f>
        <v>0</v>
      </c>
      <c r="P17" s="44">
        <f>'Yearly Butadiene'!P32+'Yearly BTX'!P47+'Yearly Methanol'!P49+'Yearly HC Ethylene'!P52+'Yearly HC Propylene'!P28</f>
        <v>0</v>
      </c>
      <c r="Q17" s="44">
        <f>'Yearly Butadiene'!Q32+'Yearly BTX'!Q47+'Yearly Methanol'!Q49+'Yearly HC Ethylene'!Q52+'Yearly HC Propylene'!Q28</f>
        <v>0</v>
      </c>
      <c r="R17" s="44">
        <f>'Yearly Butadiene'!R32+'Yearly BTX'!R47+'Yearly Methanol'!R49+'Yearly HC Ethylene'!R52+'Yearly HC Propylene'!R28</f>
        <v>0</v>
      </c>
      <c r="S17" s="44">
        <f>'Yearly Butadiene'!S32+'Yearly BTX'!S47+'Yearly Methanol'!S49+'Yearly HC Ethylene'!S52+'Yearly HC Propylene'!S28</f>
        <v>0</v>
      </c>
      <c r="T17" s="44">
        <f>'Yearly Butadiene'!T32+'Yearly BTX'!T47+'Yearly Methanol'!T49+'Yearly HC Ethylene'!T52+'Yearly HC Propylene'!T28</f>
        <v>0</v>
      </c>
      <c r="U17" s="44">
        <f>'Yearly Butadiene'!U32+'Yearly BTX'!U47+'Yearly Methanol'!U49+'Yearly HC Ethylene'!U52+'Yearly HC Propylene'!U28</f>
        <v>0</v>
      </c>
      <c r="V17" s="44">
        <f>'Yearly Butadiene'!V32+'Yearly BTX'!V47+'Yearly Methanol'!V49+'Yearly HC Ethylene'!V52+'Yearly HC Propylene'!V28</f>
        <v>0</v>
      </c>
      <c r="W17" s="44">
        <f>'Yearly Butadiene'!W32+'Yearly BTX'!W47+'Yearly Methanol'!W49+'Yearly HC Ethylene'!W52+'Yearly HC Propylene'!W28</f>
        <v>0</v>
      </c>
      <c r="X17" s="44">
        <f>'Yearly Butadiene'!X32+'Yearly BTX'!X47+'Yearly Methanol'!X49+'Yearly HC Ethylene'!X52+'Yearly HC Propylene'!X28</f>
        <v>0</v>
      </c>
      <c r="Y17" s="44">
        <f>'Yearly Butadiene'!Y32+'Yearly BTX'!Y47+'Yearly Methanol'!Y49+'Yearly HC Ethylene'!Y52+'Yearly HC Propylene'!Y28</f>
        <v>0</v>
      </c>
      <c r="Z17" s="44">
        <f>'Yearly Butadiene'!Z32+'Yearly BTX'!Z47+'Yearly Methanol'!Z49+'Yearly HC Ethylene'!Z52+'Yearly HC Propylene'!Z28</f>
        <v>0</v>
      </c>
      <c r="AA17" s="44">
        <f>'Yearly Butadiene'!AA32+'Yearly BTX'!AA47+'Yearly Methanol'!AA49+'Yearly HC Ethylene'!AA52+'Yearly HC Propylene'!AA28</f>
        <v>0</v>
      </c>
      <c r="AB17" s="44">
        <f>'Yearly Butadiene'!AB32+'Yearly BTX'!AB47+'Yearly Methanol'!AB49+'Yearly HC Ethylene'!AB52+'Yearly HC Propylene'!AB28</f>
        <v>0</v>
      </c>
      <c r="AC17" s="44">
        <f>'Yearly Butadiene'!AC32+'Yearly BTX'!AC47+'Yearly Methanol'!AC49+'Yearly HC Ethylene'!AC52+'Yearly HC Propylene'!AC28</f>
        <v>0</v>
      </c>
      <c r="AD17" s="44">
        <f>'Yearly Butadiene'!AD32+'Yearly BTX'!AD47+'Yearly Methanol'!AD49+'Yearly HC Ethylene'!AD52+'Yearly HC Propylene'!AD28</f>
        <v>0</v>
      </c>
      <c r="AE17" s="44">
        <f>'Yearly Butadiene'!AE32+'Yearly BTX'!AE47+'Yearly Methanol'!AE49+'Yearly HC Ethylene'!AE52+'Yearly HC Propylene'!AE28</f>
        <v>0</v>
      </c>
      <c r="AF17" s="44">
        <f>'Yearly Butadiene'!AF32+'Yearly BTX'!AF47+'Yearly Methanol'!AF49+'Yearly HC Ethylene'!AF52+'Yearly HC Propylene'!AF28</f>
        <v>0</v>
      </c>
      <c r="AG17" s="44">
        <f>'Yearly Butadiene'!AG32+'Yearly BTX'!AG47+'Yearly Methanol'!AG49+'Yearly HC Ethylene'!AG52+'Yearly HC Propylene'!AG28</f>
        <v>0</v>
      </c>
      <c r="AH17" s="44">
        <f>'Yearly Butadiene'!AH32+'Yearly BTX'!AH47+'Yearly Methanol'!AH49+'Yearly HC Ethylene'!AH52+'Yearly HC Propylene'!AH28</f>
        <v>0</v>
      </c>
      <c r="AI17" s="44"/>
      <c r="AJ17" s="44">
        <f>'Yearly Butadiene'!AJ32+'Yearly BTX'!AJ47+'Yearly Methanol'!AJ49+'Yearly LC Ethylene'!D52+'Yearly LC Propylene'!D28</f>
        <v>0</v>
      </c>
      <c r="AK17" s="44">
        <f>'Yearly Butadiene'!AK32+'Yearly BTX'!AK47+'Yearly Methanol'!AK49+'Yearly LC Ethylene'!E52+'Yearly LC Propylene'!E28</f>
        <v>0</v>
      </c>
      <c r="AL17" s="44">
        <f>'Yearly Butadiene'!AL32+'Yearly BTX'!AL47+'Yearly Methanol'!AL49+'Yearly LC Ethylene'!F52+'Yearly LC Propylene'!F28</f>
        <v>0</v>
      </c>
      <c r="AM17" s="44">
        <f>'Yearly Butadiene'!AM32+'Yearly BTX'!AM47+'Yearly Methanol'!AM49+'Yearly LC Ethylene'!G52+'Yearly LC Propylene'!G28</f>
        <v>0</v>
      </c>
      <c r="AN17" s="44">
        <f>'Yearly Butadiene'!AN32+'Yearly BTX'!AN47+'Yearly Methanol'!AN49+'Yearly LC Ethylene'!H52+'Yearly LC Propylene'!H28</f>
        <v>0</v>
      </c>
      <c r="AO17" s="44">
        <f>'Yearly Butadiene'!AO32+'Yearly BTX'!AO47+'Yearly Methanol'!AO49+'Yearly LC Ethylene'!I52+'Yearly LC Propylene'!I28</f>
        <v>0</v>
      </c>
      <c r="AP17" s="44">
        <f>'Yearly Butadiene'!AP32+'Yearly BTX'!AP47+'Yearly Methanol'!AP49+'Yearly LC Ethylene'!J52+'Yearly LC Propylene'!J28</f>
        <v>0</v>
      </c>
      <c r="AQ17" s="44">
        <f>'Yearly Butadiene'!AQ32+'Yearly BTX'!AQ47+'Yearly Methanol'!AQ49+'Yearly LC Ethylene'!K52+'Yearly LC Propylene'!K28</f>
        <v>0</v>
      </c>
      <c r="AR17" s="44">
        <f>'Yearly Butadiene'!AR32+'Yearly BTX'!AR47+'Yearly Methanol'!AR49+'Yearly LC Ethylene'!L52+'Yearly LC Propylene'!L28</f>
        <v>0</v>
      </c>
      <c r="AS17" s="44">
        <f>'Yearly Butadiene'!AS32+'Yearly BTX'!AS47+'Yearly Methanol'!AS49+'Yearly LC Ethylene'!M52+'Yearly LC Propylene'!M28</f>
        <v>0</v>
      </c>
      <c r="AT17" s="44">
        <f>'Yearly Butadiene'!AT32+'Yearly BTX'!AT47+'Yearly Methanol'!AT49+'Yearly LC Ethylene'!N52+'Yearly LC Propylene'!N28</f>
        <v>0</v>
      </c>
      <c r="AU17" s="44">
        <f>'Yearly Butadiene'!AU32+'Yearly BTX'!AU47+'Yearly Methanol'!AU49+'Yearly LC Ethylene'!O52+'Yearly LC Propylene'!O28</f>
        <v>0</v>
      </c>
      <c r="AV17" s="44">
        <f>'Yearly Butadiene'!AV32+'Yearly BTX'!AV47+'Yearly Methanol'!AV49+'Yearly LC Ethylene'!P52+'Yearly LC Propylene'!P28</f>
        <v>0</v>
      </c>
      <c r="AW17" s="44">
        <f>'Yearly Butadiene'!AW32+'Yearly BTX'!AW47+'Yearly Methanol'!AW49+'Yearly LC Ethylene'!Q52+'Yearly LC Propylene'!Q28</f>
        <v>0</v>
      </c>
      <c r="AX17" s="44">
        <f>'Yearly Butadiene'!AX32+'Yearly BTX'!AX47+'Yearly Methanol'!AX49+'Yearly LC Ethylene'!R52+'Yearly LC Propylene'!R28</f>
        <v>0</v>
      </c>
      <c r="AY17" s="44">
        <f>'Yearly Butadiene'!AY32+'Yearly BTX'!AY47+'Yearly Methanol'!AY49+'Yearly LC Ethylene'!S52+'Yearly LC Propylene'!S28</f>
        <v>0</v>
      </c>
      <c r="AZ17" s="44">
        <f>'Yearly Butadiene'!AZ32+'Yearly BTX'!AZ47+'Yearly Methanol'!AZ49+'Yearly LC Ethylene'!T52+'Yearly LC Propylene'!T28</f>
        <v>0</v>
      </c>
      <c r="BA17" s="44">
        <f>'Yearly Butadiene'!BA32+'Yearly BTX'!BA47+'Yearly Methanol'!BA49+'Yearly LC Ethylene'!U52+'Yearly LC Propylene'!U28</f>
        <v>0</v>
      </c>
      <c r="BB17" s="44">
        <f>'Yearly Butadiene'!BB32+'Yearly BTX'!BB47+'Yearly Methanol'!BB49+'Yearly LC Ethylene'!V52+'Yearly LC Propylene'!V28</f>
        <v>0</v>
      </c>
      <c r="BC17" s="44">
        <f>'Yearly Butadiene'!BC32+'Yearly BTX'!BC47+'Yearly Methanol'!BC49+'Yearly LC Ethylene'!W52+'Yearly LC Propylene'!W28</f>
        <v>0</v>
      </c>
      <c r="BD17" s="44">
        <f>'Yearly Butadiene'!BD32+'Yearly BTX'!BD47+'Yearly Methanol'!BD49+'Yearly LC Ethylene'!X52+'Yearly LC Propylene'!X28</f>
        <v>0</v>
      </c>
      <c r="BE17" s="44">
        <f>'Yearly Butadiene'!BE32+'Yearly BTX'!BE47+'Yearly Methanol'!BE49+'Yearly LC Ethylene'!Y52+'Yearly LC Propylene'!Y28</f>
        <v>0</v>
      </c>
      <c r="BF17" s="44">
        <f>'Yearly Butadiene'!BF32+'Yearly BTX'!BF47+'Yearly Methanol'!BF49+'Yearly LC Ethylene'!Z52+'Yearly LC Propylene'!Z28</f>
        <v>0</v>
      </c>
      <c r="BG17" s="44">
        <f>'Yearly Butadiene'!BG32+'Yearly BTX'!BG47+'Yearly Methanol'!BG49+'Yearly LC Ethylene'!AA52+'Yearly LC Propylene'!AA28</f>
        <v>0</v>
      </c>
      <c r="BH17" s="44">
        <f>'Yearly Butadiene'!BH32+'Yearly BTX'!BH47+'Yearly Methanol'!BH49+'Yearly LC Ethylene'!AB52+'Yearly LC Propylene'!AB28</f>
        <v>0</v>
      </c>
      <c r="BI17" s="44">
        <f>'Yearly Butadiene'!BI32+'Yearly BTX'!BI47+'Yearly Methanol'!BI49+'Yearly LC Ethylene'!AC52+'Yearly LC Propylene'!AC28</f>
        <v>0</v>
      </c>
      <c r="BJ17" s="44">
        <f>'Yearly Butadiene'!BJ32+'Yearly BTX'!BJ47+'Yearly Methanol'!BJ49+'Yearly LC Ethylene'!AD52+'Yearly LC Propylene'!AD28</f>
        <v>0</v>
      </c>
      <c r="BK17" s="44">
        <f>'Yearly Butadiene'!BK32+'Yearly BTX'!BK47+'Yearly Methanol'!BK49+'Yearly LC Ethylene'!AE52+'Yearly LC Propylene'!AE28</f>
        <v>0</v>
      </c>
      <c r="BL17" s="44">
        <f>'Yearly Butadiene'!BL32+'Yearly BTX'!BL47+'Yearly Methanol'!BL49+'Yearly LC Ethylene'!AF52+'Yearly LC Propylene'!AF28</f>
        <v>0</v>
      </c>
      <c r="BM17" s="44">
        <f>'Yearly Butadiene'!BM32+'Yearly BTX'!BM47+'Yearly Methanol'!BM49+'Yearly LC Ethylene'!AG52+'Yearly LC Propylene'!AG28</f>
        <v>0</v>
      </c>
      <c r="BN17" s="44">
        <f>'Yearly Butadiene'!BN32+'Yearly BTX'!BN47+'Yearly Methanol'!BN49+'Yearly LC Ethylene'!AH52+'Yearly LC Propylene'!AH28</f>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B17" t="s">
        <v>1889</v>
      </c>
      <c r="EE17" s="44">
        <f t="shared" si="99"/>
        <v>109.15985274663207</v>
      </c>
      <c r="EF17" s="44">
        <f>BN14</f>
        <v>0</v>
      </c>
      <c r="EG17">
        <v>0</v>
      </c>
      <c r="EH17" s="44">
        <f>BN15</f>
        <v>0</v>
      </c>
      <c r="EI17" s="44">
        <f>SUM('Yearly BTX'!AH96:AH99,'Yearly Butadiene'!AH60:AH63,'Yearly Methanol'!AH98:AH101,'Yearly HC Ethylene'!AH123:AH126,'Yearly HC Propylene'!AH55:AH58)</f>
        <v>69.966906132986168</v>
      </c>
      <c r="EJ17" s="44">
        <f t="shared" si="90"/>
        <v>39.192946613645901</v>
      </c>
      <c r="EK17" s="2">
        <f t="shared" si="91"/>
        <v>0</v>
      </c>
      <c r="EL17" s="2">
        <f t="shared" si="92"/>
        <v>0</v>
      </c>
      <c r="EM17" s="2">
        <f t="shared" si="93"/>
        <v>0</v>
      </c>
      <c r="EN17" s="2">
        <f t="shared" si="94"/>
        <v>0.64095823118582274</v>
      </c>
      <c r="EO17" s="2">
        <f t="shared" si="95"/>
        <v>0.35904176881417721</v>
      </c>
      <c r="EP17" s="660">
        <f t="shared" si="98"/>
        <v>0</v>
      </c>
      <c r="EQ17">
        <v>0.21563035191033927</v>
      </c>
      <c r="ER17">
        <v>0</v>
      </c>
      <c r="ES17">
        <v>7.2452750801215882E-2</v>
      </c>
      <c r="ET17">
        <v>0.28400607229121022</v>
      </c>
      <c r="EU17">
        <v>0.4279108249972346</v>
      </c>
    </row>
    <row r="18" spans="1:151">
      <c r="A18" s="1" t="s">
        <v>1163</v>
      </c>
      <c r="B18" t="s">
        <v>83</v>
      </c>
      <c r="C18" s="54" t="s">
        <v>69</v>
      </c>
      <c r="D18" s="44">
        <f>'Yearly Butadiene'!D34+'Yearly BTX'!D49+'Yearly Methanol'!D51+'Yearly HC Ethylene'!D54+'Yearly HC Propylene'!D30</f>
        <v>0</v>
      </c>
      <c r="E18" s="44">
        <f>'Yearly Butadiene'!E34+'Yearly BTX'!E49+'Yearly Methanol'!E51+'Yearly HC Ethylene'!E54+'Yearly HC Propylene'!E30</f>
        <v>0</v>
      </c>
      <c r="F18" s="44">
        <f>'Yearly Butadiene'!F34+'Yearly BTX'!F49+'Yearly Methanol'!F51+'Yearly HC Ethylene'!F54+'Yearly HC Propylene'!F30</f>
        <v>0</v>
      </c>
      <c r="G18" s="44">
        <f>'Yearly Butadiene'!G34+'Yearly BTX'!G49+'Yearly Methanol'!G51+'Yearly HC Ethylene'!G54+'Yearly HC Propylene'!G30</f>
        <v>0</v>
      </c>
      <c r="H18" s="44">
        <f>'Yearly Butadiene'!H34+'Yearly BTX'!H49+'Yearly Methanol'!H51+'Yearly HC Ethylene'!H54+'Yearly HC Propylene'!H30</f>
        <v>0</v>
      </c>
      <c r="I18" s="44">
        <f>'Yearly Butadiene'!I34+'Yearly BTX'!I49+'Yearly Methanol'!I51+'Yearly HC Ethylene'!I54+'Yearly HC Propylene'!I30</f>
        <v>0</v>
      </c>
      <c r="J18" s="44">
        <f>'Yearly Butadiene'!J34+'Yearly BTX'!J49+'Yearly Methanol'!J51+'Yearly HC Ethylene'!J54+'Yearly HC Propylene'!J30</f>
        <v>0</v>
      </c>
      <c r="K18" s="44">
        <f>'Yearly Butadiene'!K34+'Yearly BTX'!K49+'Yearly Methanol'!K51+'Yearly HC Ethylene'!K54+'Yearly HC Propylene'!K30</f>
        <v>0</v>
      </c>
      <c r="L18" s="44">
        <f>'Yearly Butadiene'!L34+'Yearly BTX'!L49+'Yearly Methanol'!L51+'Yearly HC Ethylene'!L54+'Yearly HC Propylene'!L30</f>
        <v>0</v>
      </c>
      <c r="M18" s="44">
        <f>'Yearly Butadiene'!M34+'Yearly BTX'!M49+'Yearly Methanol'!M51+'Yearly HC Ethylene'!M54+'Yearly HC Propylene'!M30</f>
        <v>0</v>
      </c>
      <c r="N18" s="44">
        <f>'Yearly Butadiene'!N34+'Yearly BTX'!N49+'Yearly Methanol'!N51+'Yearly HC Ethylene'!N54+'Yearly HC Propylene'!N30</f>
        <v>0</v>
      </c>
      <c r="O18" s="44">
        <f>'Yearly Butadiene'!O34+'Yearly BTX'!O49+'Yearly Methanol'!O51+'Yearly HC Ethylene'!O54+'Yearly HC Propylene'!O30</f>
        <v>0</v>
      </c>
      <c r="P18" s="44">
        <f>'Yearly Butadiene'!P34+'Yearly BTX'!P49+'Yearly Methanol'!P51+'Yearly HC Ethylene'!P54+'Yearly HC Propylene'!P30</f>
        <v>0</v>
      </c>
      <c r="Q18" s="44">
        <f>'Yearly Butadiene'!Q34+'Yearly BTX'!Q49+'Yearly Methanol'!Q51+'Yearly HC Ethylene'!Q54+'Yearly HC Propylene'!Q30</f>
        <v>0</v>
      </c>
      <c r="R18" s="44">
        <f>'Yearly Butadiene'!R34+'Yearly BTX'!R49+'Yearly Methanol'!R51+'Yearly HC Ethylene'!R54+'Yearly HC Propylene'!R30</f>
        <v>0</v>
      </c>
      <c r="S18" s="44">
        <f>'Yearly Butadiene'!S34+'Yearly BTX'!S49+'Yearly Methanol'!S51+'Yearly HC Ethylene'!S54+'Yearly HC Propylene'!S30</f>
        <v>0</v>
      </c>
      <c r="T18" s="44">
        <f>'Yearly Butadiene'!T34+'Yearly BTX'!T49+'Yearly Methanol'!T51+'Yearly HC Ethylene'!T54+'Yearly HC Propylene'!T30</f>
        <v>0</v>
      </c>
      <c r="U18" s="44">
        <f>'Yearly Butadiene'!U34+'Yearly BTX'!U49+'Yearly Methanol'!U51+'Yearly HC Ethylene'!U54+'Yearly HC Propylene'!U30</f>
        <v>0</v>
      </c>
      <c r="V18" s="44">
        <f>'Yearly Butadiene'!V34+'Yearly BTX'!V49+'Yearly Methanol'!V51+'Yearly HC Ethylene'!V54+'Yearly HC Propylene'!V30</f>
        <v>0</v>
      </c>
      <c r="W18" s="44">
        <f>'Yearly Butadiene'!W34+'Yearly BTX'!W49+'Yearly Methanol'!W51+'Yearly HC Ethylene'!W54+'Yearly HC Propylene'!W30</f>
        <v>0</v>
      </c>
      <c r="X18" s="44">
        <f>'Yearly Butadiene'!X34+'Yearly BTX'!X49+'Yearly Methanol'!X51+'Yearly HC Ethylene'!X54+'Yearly HC Propylene'!X30</f>
        <v>0</v>
      </c>
      <c r="Y18" s="44">
        <f>'Yearly Butadiene'!Y34+'Yearly BTX'!Y49+'Yearly Methanol'!Y51+'Yearly HC Ethylene'!Y54+'Yearly HC Propylene'!Y30</f>
        <v>0</v>
      </c>
      <c r="Z18" s="44">
        <f>'Yearly Butadiene'!Z34+'Yearly BTX'!Z49+'Yearly Methanol'!Z51+'Yearly HC Ethylene'!Z54+'Yearly HC Propylene'!Z30</f>
        <v>0</v>
      </c>
      <c r="AA18" s="44">
        <f>'Yearly Butadiene'!AA34+'Yearly BTX'!AA49+'Yearly Methanol'!AA51+'Yearly HC Ethylene'!AA54+'Yearly HC Propylene'!AA30</f>
        <v>0</v>
      </c>
      <c r="AB18" s="44">
        <f>'Yearly Butadiene'!AB34+'Yearly BTX'!AB49+'Yearly Methanol'!AB51+'Yearly HC Ethylene'!AB54+'Yearly HC Propylene'!AB30</f>
        <v>0</v>
      </c>
      <c r="AC18" s="44">
        <f>'Yearly Butadiene'!AC34+'Yearly BTX'!AC49+'Yearly Methanol'!AC51+'Yearly HC Ethylene'!AC54+'Yearly HC Propylene'!AC30</f>
        <v>0</v>
      </c>
      <c r="AD18" s="44">
        <f>'Yearly Butadiene'!AD34+'Yearly BTX'!AD49+'Yearly Methanol'!AD51+'Yearly HC Ethylene'!AD54+'Yearly HC Propylene'!AD30</f>
        <v>0</v>
      </c>
      <c r="AE18" s="44">
        <f>'Yearly Butadiene'!AE34+'Yearly BTX'!AE49+'Yearly Methanol'!AE51+'Yearly HC Ethylene'!AE54+'Yearly HC Propylene'!AE30</f>
        <v>0</v>
      </c>
      <c r="AF18" s="44">
        <f>'Yearly Butadiene'!AF34+'Yearly BTX'!AF49+'Yearly Methanol'!AF51+'Yearly HC Ethylene'!AF54+'Yearly HC Propylene'!AF30</f>
        <v>0</v>
      </c>
      <c r="AG18" s="44">
        <f>'Yearly Butadiene'!AG34+'Yearly BTX'!AG49+'Yearly Methanol'!AG51+'Yearly HC Ethylene'!AG54+'Yearly HC Propylene'!AG30</f>
        <v>0</v>
      </c>
      <c r="AH18" s="44">
        <f>'Yearly Butadiene'!AH34+'Yearly BTX'!AH49+'Yearly Methanol'!AH51+'Yearly HC Ethylene'!AH54+'Yearly HC Propylene'!AH30</f>
        <v>0</v>
      </c>
      <c r="AI18" s="44"/>
      <c r="AJ18" s="44">
        <f>'Yearly Butadiene'!AJ34+'Yearly BTX'!AJ49+'Yearly Methanol'!AJ51+'Yearly LC Ethylene'!D54+'Yearly LC Propylene'!D30</f>
        <v>0</v>
      </c>
      <c r="AK18" s="44">
        <f>'Yearly Butadiene'!AK34+'Yearly BTX'!AK49+'Yearly Methanol'!AK51+'Yearly LC Ethylene'!E54+'Yearly LC Propylene'!E30</f>
        <v>0</v>
      </c>
      <c r="AL18" s="44">
        <f>'Yearly Butadiene'!AL34+'Yearly BTX'!AL49+'Yearly Methanol'!AL51+'Yearly LC Ethylene'!F54+'Yearly LC Propylene'!F30</f>
        <v>0</v>
      </c>
      <c r="AM18" s="44">
        <f>'Yearly Butadiene'!AM34+'Yearly BTX'!AM49+'Yearly Methanol'!AM51+'Yearly LC Ethylene'!G54+'Yearly LC Propylene'!G30</f>
        <v>0</v>
      </c>
      <c r="AN18" s="44">
        <f>'Yearly Butadiene'!AN34+'Yearly BTX'!AN49+'Yearly Methanol'!AN51+'Yearly LC Ethylene'!H54+'Yearly LC Propylene'!H30</f>
        <v>0</v>
      </c>
      <c r="AO18" s="44">
        <f>'Yearly Butadiene'!AO34+'Yearly BTX'!AO49+'Yearly Methanol'!AO51+'Yearly LC Ethylene'!I54+'Yearly LC Propylene'!I30</f>
        <v>0</v>
      </c>
      <c r="AP18" s="44">
        <f>'Yearly Butadiene'!AP34+'Yearly BTX'!AP49+'Yearly Methanol'!AP51+'Yearly LC Ethylene'!J54+'Yearly LC Propylene'!J30</f>
        <v>0</v>
      </c>
      <c r="AQ18" s="44">
        <f>'Yearly Butadiene'!AQ34+'Yearly BTX'!AQ49+'Yearly Methanol'!AQ51+'Yearly LC Ethylene'!K54+'Yearly LC Propylene'!K30</f>
        <v>0</v>
      </c>
      <c r="AR18" s="44">
        <f>'Yearly Butadiene'!AR34+'Yearly BTX'!AR49+'Yearly Methanol'!AR51+'Yearly LC Ethylene'!L54+'Yearly LC Propylene'!L30</f>
        <v>0</v>
      </c>
      <c r="AS18" s="44">
        <f>'Yearly Butadiene'!AS34+'Yearly BTX'!AS49+'Yearly Methanol'!AS51+'Yearly LC Ethylene'!M54+'Yearly LC Propylene'!M30</f>
        <v>0</v>
      </c>
      <c r="AT18" s="44">
        <f>'Yearly Butadiene'!AT34+'Yearly BTX'!AT49+'Yearly Methanol'!AT51+'Yearly LC Ethylene'!N54+'Yearly LC Propylene'!N30</f>
        <v>0</v>
      </c>
      <c r="AU18" s="44">
        <f>'Yearly Butadiene'!AU34+'Yearly BTX'!AU49+'Yearly Methanol'!AU51+'Yearly LC Ethylene'!O54+'Yearly LC Propylene'!O30</f>
        <v>0</v>
      </c>
      <c r="AV18" s="44">
        <f>'Yearly Butadiene'!AV34+'Yearly BTX'!AV49+'Yearly Methanol'!AV51+'Yearly LC Ethylene'!P54+'Yearly LC Propylene'!P30</f>
        <v>0</v>
      </c>
      <c r="AW18" s="44">
        <f>'Yearly Butadiene'!AW34+'Yearly BTX'!AW49+'Yearly Methanol'!AW51+'Yearly LC Ethylene'!Q54+'Yearly LC Propylene'!Q30</f>
        <v>0</v>
      </c>
      <c r="AX18" s="44">
        <f>'Yearly Butadiene'!AX34+'Yearly BTX'!AX49+'Yearly Methanol'!AX51+'Yearly LC Ethylene'!R54+'Yearly LC Propylene'!R30</f>
        <v>0</v>
      </c>
      <c r="AY18" s="44">
        <f>'Yearly Butadiene'!AY34+'Yearly BTX'!AY49+'Yearly Methanol'!AY51+'Yearly LC Ethylene'!S54+'Yearly LC Propylene'!S30</f>
        <v>0</v>
      </c>
      <c r="AZ18" s="44">
        <f>'Yearly Butadiene'!AZ34+'Yearly BTX'!AZ49+'Yearly Methanol'!AZ51+'Yearly LC Ethylene'!T54+'Yearly LC Propylene'!T30</f>
        <v>0</v>
      </c>
      <c r="BA18" s="44">
        <f>'Yearly Butadiene'!BA34+'Yearly BTX'!BA49+'Yearly Methanol'!BA51+'Yearly LC Ethylene'!U54+'Yearly LC Propylene'!U30</f>
        <v>0</v>
      </c>
      <c r="BB18" s="44">
        <f>'Yearly Butadiene'!BB34+'Yearly BTX'!BB49+'Yearly Methanol'!BB51+'Yearly LC Ethylene'!V54+'Yearly LC Propylene'!V30</f>
        <v>0</v>
      </c>
      <c r="BC18" s="44">
        <f>'Yearly Butadiene'!BC34+'Yearly BTX'!BC49+'Yearly Methanol'!BC51+'Yearly LC Ethylene'!W54+'Yearly LC Propylene'!W30</f>
        <v>0</v>
      </c>
      <c r="BD18" s="44">
        <f>'Yearly Butadiene'!BD34+'Yearly BTX'!BD49+'Yearly Methanol'!BD51+'Yearly LC Ethylene'!X54+'Yearly LC Propylene'!X30</f>
        <v>0</v>
      </c>
      <c r="BE18" s="44">
        <f>'Yearly Butadiene'!BE34+'Yearly BTX'!BE49+'Yearly Methanol'!BE51+'Yearly LC Ethylene'!Y54+'Yearly LC Propylene'!Y30</f>
        <v>0</v>
      </c>
      <c r="BF18" s="44">
        <f>'Yearly Butadiene'!BF34+'Yearly BTX'!BF49+'Yearly Methanol'!BF51+'Yearly LC Ethylene'!Z54+'Yearly LC Propylene'!Z30</f>
        <v>0</v>
      </c>
      <c r="BG18" s="44">
        <f>'Yearly Butadiene'!BG34+'Yearly BTX'!BG49+'Yearly Methanol'!BG51+'Yearly LC Ethylene'!AA54+'Yearly LC Propylene'!AA30</f>
        <v>0</v>
      </c>
      <c r="BH18" s="44">
        <f>'Yearly Butadiene'!BH34+'Yearly BTX'!BH49+'Yearly Methanol'!BH51+'Yearly LC Ethylene'!AB54+'Yearly LC Propylene'!AB30</f>
        <v>0</v>
      </c>
      <c r="BI18" s="44">
        <f>'Yearly Butadiene'!BI34+'Yearly BTX'!BI49+'Yearly Methanol'!BI51+'Yearly LC Ethylene'!AC54+'Yearly LC Propylene'!AC30</f>
        <v>0</v>
      </c>
      <c r="BJ18" s="44">
        <f>'Yearly Butadiene'!BJ34+'Yearly BTX'!BJ49+'Yearly Methanol'!BJ51+'Yearly LC Ethylene'!AD54+'Yearly LC Propylene'!AD30</f>
        <v>0</v>
      </c>
      <c r="BK18" s="44">
        <f>'Yearly Butadiene'!BK34+'Yearly BTX'!BK49+'Yearly Methanol'!BK51+'Yearly LC Ethylene'!AE54+'Yearly LC Propylene'!AE30</f>
        <v>0</v>
      </c>
      <c r="BL18" s="44">
        <f>'Yearly Butadiene'!BL34+'Yearly BTX'!BL49+'Yearly Methanol'!BL51+'Yearly LC Ethylene'!AF54+'Yearly LC Propylene'!AF30</f>
        <v>0</v>
      </c>
      <c r="BM18" s="44">
        <f>'Yearly Butadiene'!BM34+'Yearly BTX'!BM49+'Yearly Methanol'!BM51+'Yearly LC Ethylene'!AG54+'Yearly LC Propylene'!AG30</f>
        <v>0</v>
      </c>
      <c r="BN18" s="44">
        <f>'Yearly Butadiene'!BN34+'Yearly BTX'!BN49+'Yearly Methanol'!BN51+'Yearly LC Ethylene'!AH54+'Yearly LC Propylene'!AH30</f>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B18" t="s">
        <v>1462</v>
      </c>
      <c r="EE18" s="44">
        <f t="shared" si="99"/>
        <v>135.62387247256368</v>
      </c>
      <c r="EF18" s="44">
        <f>BN13</f>
        <v>0</v>
      </c>
      <c r="EG18" s="44">
        <f>BN12</f>
        <v>0</v>
      </c>
      <c r="EH18">
        <v>0</v>
      </c>
      <c r="EI18" s="44">
        <f>SUM('Yearly BTX'!AH83,'Yearly Butadiene'!AH53,'Yearly Methanol'!AH85,'Yearly HC Ethylene'!AH103,'Yearly HC Ethylene'!AH104,'Yearly HC Propylene'!AH48)</f>
        <v>16.617891358468654</v>
      </c>
      <c r="EJ18" s="44">
        <f t="shared" si="90"/>
        <v>119.00598111409502</v>
      </c>
      <c r="EK18" s="2">
        <f t="shared" si="91"/>
        <v>0</v>
      </c>
      <c r="EL18" s="2">
        <f t="shared" si="92"/>
        <v>0</v>
      </c>
      <c r="EM18" s="2">
        <f t="shared" si="93"/>
        <v>0</v>
      </c>
      <c r="EN18" s="2">
        <f t="shared" si="94"/>
        <v>0.12252924986956412</v>
      </c>
      <c r="EO18" s="2">
        <f t="shared" si="95"/>
        <v>0.87747075013043585</v>
      </c>
      <c r="EP18" s="660">
        <f t="shared" si="98"/>
        <v>0</v>
      </c>
      <c r="EQ18">
        <v>5.6323775867790624E-2</v>
      </c>
      <c r="ER18">
        <v>9.8069695593471243E-2</v>
      </c>
      <c r="ES18">
        <v>0</v>
      </c>
      <c r="ET18">
        <v>7.4600264700038471E-2</v>
      </c>
      <c r="EU18">
        <v>0.77100626383869963</v>
      </c>
    </row>
    <row r="19" spans="1:151">
      <c r="A19" s="1" t="s">
        <v>1162</v>
      </c>
      <c r="B19" t="s">
        <v>84</v>
      </c>
      <c r="C19" s="54" t="s">
        <v>69</v>
      </c>
      <c r="D19" s="44">
        <f>'Yearly Butadiene'!D37+'Yearly BTX'!D55+'Yearly Methanol'!D57+'Yearly HC Ethylene'!D63+'Yearly HC Propylene'!D33</f>
        <v>0</v>
      </c>
      <c r="E19" s="44">
        <f>'Yearly Butadiene'!E37+'Yearly BTX'!E55+'Yearly Methanol'!E57+'Yearly HC Ethylene'!E63+'Yearly HC Propylene'!E33</f>
        <v>0</v>
      </c>
      <c r="F19" s="44">
        <f>'Yearly Butadiene'!F37+'Yearly BTX'!F55+'Yearly Methanol'!F57+'Yearly HC Ethylene'!F63+'Yearly HC Propylene'!F33</f>
        <v>0</v>
      </c>
      <c r="G19" s="44">
        <f>'Yearly Butadiene'!G37+'Yearly BTX'!G55+'Yearly Methanol'!G57+'Yearly HC Ethylene'!G63+'Yearly HC Propylene'!G33</f>
        <v>0</v>
      </c>
      <c r="H19" s="44">
        <f>'Yearly Butadiene'!H37+'Yearly BTX'!H55+'Yearly Methanol'!H57+'Yearly HC Ethylene'!H63+'Yearly HC Propylene'!H33</f>
        <v>0</v>
      </c>
      <c r="I19" s="44">
        <f>'Yearly Butadiene'!I37+'Yearly BTX'!I55+'Yearly Methanol'!I57+'Yearly HC Ethylene'!I63+'Yearly HC Propylene'!I33</f>
        <v>0</v>
      </c>
      <c r="J19" s="44">
        <f>'Yearly Butadiene'!J37+'Yearly BTX'!J55+'Yearly Methanol'!J57+'Yearly HC Ethylene'!J63+'Yearly HC Propylene'!J33</f>
        <v>0</v>
      </c>
      <c r="K19" s="44">
        <f>'Yearly Butadiene'!K37+'Yearly BTX'!K55+'Yearly Methanol'!K57+'Yearly HC Ethylene'!K63+'Yearly HC Propylene'!K33</f>
        <v>0</v>
      </c>
      <c r="L19" s="44">
        <f>'Yearly Butadiene'!L37+'Yearly BTX'!L55+'Yearly Methanol'!L57+'Yearly HC Ethylene'!L63+'Yearly HC Propylene'!L33</f>
        <v>0</v>
      </c>
      <c r="M19" s="44">
        <f>'Yearly Butadiene'!M37+'Yearly BTX'!M55+'Yearly Methanol'!M57+'Yearly HC Ethylene'!M63+'Yearly HC Propylene'!M33</f>
        <v>0</v>
      </c>
      <c r="N19" s="44">
        <f>'Yearly Butadiene'!N37+'Yearly BTX'!N55+'Yearly Methanol'!N57+'Yearly HC Ethylene'!N63+'Yearly HC Propylene'!N33</f>
        <v>0</v>
      </c>
      <c r="O19" s="44">
        <f>'Yearly Butadiene'!O37+'Yearly BTX'!O55+'Yearly Methanol'!O57+'Yearly HC Ethylene'!O63+'Yearly HC Propylene'!O33</f>
        <v>0</v>
      </c>
      <c r="P19" s="44">
        <f>'Yearly Butadiene'!P37+'Yearly BTX'!P55+'Yearly Methanol'!P57+'Yearly HC Ethylene'!P63+'Yearly HC Propylene'!P33</f>
        <v>0</v>
      </c>
      <c r="Q19" s="44">
        <f>'Yearly Butadiene'!Q37+'Yearly BTX'!Q55+'Yearly Methanol'!Q57+'Yearly HC Ethylene'!Q63+'Yearly HC Propylene'!Q33</f>
        <v>0</v>
      </c>
      <c r="R19" s="44">
        <f>'Yearly Butadiene'!R37+'Yearly BTX'!R55+'Yearly Methanol'!R57+'Yearly HC Ethylene'!R63+'Yearly HC Propylene'!R33</f>
        <v>0</v>
      </c>
      <c r="S19" s="44">
        <f>'Yearly Butadiene'!S37+'Yearly BTX'!S55+'Yearly Methanol'!S57+'Yearly HC Ethylene'!S63+'Yearly HC Propylene'!S33</f>
        <v>0</v>
      </c>
      <c r="T19" s="44">
        <f>'Yearly Butadiene'!T37+'Yearly BTX'!T55+'Yearly Methanol'!T57+'Yearly HC Ethylene'!T63+'Yearly HC Propylene'!T33</f>
        <v>0</v>
      </c>
      <c r="U19" s="44">
        <f>'Yearly Butadiene'!U37+'Yearly BTX'!U55+'Yearly Methanol'!U57+'Yearly HC Ethylene'!U63+'Yearly HC Propylene'!U33</f>
        <v>0</v>
      </c>
      <c r="V19" s="44">
        <f>'Yearly Butadiene'!V37+'Yearly BTX'!V55+'Yearly Methanol'!V57+'Yearly HC Ethylene'!V63+'Yearly HC Propylene'!V33</f>
        <v>0</v>
      </c>
      <c r="W19" s="44">
        <f>'Yearly Butadiene'!W37+'Yearly BTX'!W55+'Yearly Methanol'!W57+'Yearly HC Ethylene'!W63+'Yearly HC Propylene'!W33</f>
        <v>0</v>
      </c>
      <c r="X19" s="44">
        <f>'Yearly Butadiene'!X37+'Yearly BTX'!X55+'Yearly Methanol'!X57+'Yearly HC Ethylene'!X63+'Yearly HC Propylene'!X33</f>
        <v>0</v>
      </c>
      <c r="Y19" s="44">
        <f>'Yearly Butadiene'!Y37+'Yearly BTX'!Y55+'Yearly Methanol'!Y57+'Yearly HC Ethylene'!Y63+'Yearly HC Propylene'!Y33</f>
        <v>0</v>
      </c>
      <c r="Z19" s="44">
        <f>'Yearly Butadiene'!Z37+'Yearly BTX'!Z55+'Yearly Methanol'!Z57+'Yearly HC Ethylene'!Z63+'Yearly HC Propylene'!Z33</f>
        <v>0</v>
      </c>
      <c r="AA19" s="44">
        <f>'Yearly Butadiene'!AA37+'Yearly BTX'!AA55+'Yearly Methanol'!AA57+'Yearly HC Ethylene'!AA63+'Yearly HC Propylene'!AA33</f>
        <v>0</v>
      </c>
      <c r="AB19" s="44">
        <f>'Yearly Butadiene'!AB37+'Yearly BTX'!AB55+'Yearly Methanol'!AB57+'Yearly HC Ethylene'!AB63+'Yearly HC Propylene'!AB33</f>
        <v>0</v>
      </c>
      <c r="AC19" s="44">
        <f>'Yearly Butadiene'!AC37+'Yearly BTX'!AC55+'Yearly Methanol'!AC57+'Yearly HC Ethylene'!AC63+'Yearly HC Propylene'!AC33</f>
        <v>0</v>
      </c>
      <c r="AD19" s="44">
        <f>'Yearly Butadiene'!AD37+'Yearly BTX'!AD55+'Yearly Methanol'!AD57+'Yearly HC Ethylene'!AD63+'Yearly HC Propylene'!AD33</f>
        <v>0</v>
      </c>
      <c r="AE19" s="44">
        <f>'Yearly Butadiene'!AE37+'Yearly BTX'!AE55+'Yearly Methanol'!AE57+'Yearly HC Ethylene'!AE63+'Yearly HC Propylene'!AE33</f>
        <v>0</v>
      </c>
      <c r="AF19" s="44">
        <f>'Yearly Butadiene'!AF37+'Yearly BTX'!AF55+'Yearly Methanol'!AF57+'Yearly HC Ethylene'!AF63+'Yearly HC Propylene'!AF33</f>
        <v>0</v>
      </c>
      <c r="AG19" s="44">
        <f>'Yearly Butadiene'!AG37+'Yearly BTX'!AG55+'Yearly Methanol'!AG57+'Yearly HC Ethylene'!AG63+'Yearly HC Propylene'!AG33</f>
        <v>0</v>
      </c>
      <c r="AH19" s="44">
        <f>'Yearly Butadiene'!AH37+'Yearly BTX'!AH55+'Yearly Methanol'!AH57+'Yearly HC Ethylene'!AH63+'Yearly HC Propylene'!AH33</f>
        <v>0</v>
      </c>
      <c r="AI19" s="44"/>
      <c r="AJ19" s="44">
        <f>'Yearly Butadiene'!AJ37+'Yearly BTX'!AJ55+'Yearly Methanol'!AJ57+'Yearly LC Ethylene'!D63+'Yearly LC Propylene'!D33</f>
        <v>0</v>
      </c>
      <c r="AK19" s="44">
        <f>'Yearly Butadiene'!AK37+'Yearly BTX'!AK55+'Yearly Methanol'!AK57+'Yearly LC Ethylene'!E63+'Yearly LC Propylene'!E33</f>
        <v>0</v>
      </c>
      <c r="AL19" s="44">
        <f>'Yearly Butadiene'!AL37+'Yearly BTX'!AL55+'Yearly Methanol'!AL57+'Yearly LC Ethylene'!F63+'Yearly LC Propylene'!F33</f>
        <v>0</v>
      </c>
      <c r="AM19" s="44">
        <f>'Yearly Butadiene'!AM37+'Yearly BTX'!AM55+'Yearly Methanol'!AM57+'Yearly LC Ethylene'!G63+'Yearly LC Propylene'!G33</f>
        <v>0</v>
      </c>
      <c r="AN19" s="44">
        <f>'Yearly Butadiene'!AN37+'Yearly BTX'!AN55+'Yearly Methanol'!AN57+'Yearly LC Ethylene'!H63+'Yearly LC Propylene'!H33</f>
        <v>0</v>
      </c>
      <c r="AO19" s="44">
        <f>'Yearly Butadiene'!AO37+'Yearly BTX'!AO55+'Yearly Methanol'!AO57+'Yearly LC Ethylene'!I63+'Yearly LC Propylene'!I33</f>
        <v>0</v>
      </c>
      <c r="AP19" s="44">
        <f>'Yearly Butadiene'!AP37+'Yearly BTX'!AP55+'Yearly Methanol'!AP57+'Yearly LC Ethylene'!J63+'Yearly LC Propylene'!J33</f>
        <v>0</v>
      </c>
      <c r="AQ19" s="44">
        <f>'Yearly Butadiene'!AQ37+'Yearly BTX'!AQ55+'Yearly Methanol'!AQ57+'Yearly LC Ethylene'!K63+'Yearly LC Propylene'!K33</f>
        <v>0</v>
      </c>
      <c r="AR19" s="44">
        <f>'Yearly Butadiene'!AR37+'Yearly BTX'!AR55+'Yearly Methanol'!AR57+'Yearly LC Ethylene'!L63+'Yearly LC Propylene'!L33</f>
        <v>0</v>
      </c>
      <c r="AS19" s="44">
        <f>'Yearly Butadiene'!AS37+'Yearly BTX'!AS55+'Yearly Methanol'!AS57+'Yearly LC Ethylene'!M63+'Yearly LC Propylene'!M33</f>
        <v>0</v>
      </c>
      <c r="AT19" s="44">
        <f>'Yearly Butadiene'!AT37+'Yearly BTX'!AT55+'Yearly Methanol'!AT57+'Yearly LC Ethylene'!N63+'Yearly LC Propylene'!N33</f>
        <v>0</v>
      </c>
      <c r="AU19" s="44">
        <f>'Yearly Butadiene'!AU37+'Yearly BTX'!AU55+'Yearly Methanol'!AU57+'Yearly LC Ethylene'!O63+'Yearly LC Propylene'!O33</f>
        <v>0</v>
      </c>
      <c r="AV19" s="44">
        <f>'Yearly Butadiene'!AV37+'Yearly BTX'!AV55+'Yearly Methanol'!AV57+'Yearly LC Ethylene'!P63+'Yearly LC Propylene'!P33</f>
        <v>0</v>
      </c>
      <c r="AW19" s="44">
        <f>'Yearly Butadiene'!AW37+'Yearly BTX'!AW55+'Yearly Methanol'!AW57+'Yearly LC Ethylene'!Q63+'Yearly LC Propylene'!Q33</f>
        <v>0</v>
      </c>
      <c r="AX19" s="44">
        <f>'Yearly Butadiene'!AX37+'Yearly BTX'!AX55+'Yearly Methanol'!AX57+'Yearly LC Ethylene'!R63+'Yearly LC Propylene'!R33</f>
        <v>0</v>
      </c>
      <c r="AY19" s="44">
        <f>'Yearly Butadiene'!AY37+'Yearly BTX'!AY55+'Yearly Methanol'!AY57+'Yearly LC Ethylene'!S63+'Yearly LC Propylene'!S33</f>
        <v>0</v>
      </c>
      <c r="AZ19" s="44">
        <f>'Yearly Butadiene'!AZ37+'Yearly BTX'!AZ55+'Yearly Methanol'!AZ57+'Yearly LC Ethylene'!T63+'Yearly LC Propylene'!T33</f>
        <v>0</v>
      </c>
      <c r="BA19" s="44">
        <f>'Yearly Butadiene'!BA37+'Yearly BTX'!BA55+'Yearly Methanol'!BA57+'Yearly LC Ethylene'!U63+'Yearly LC Propylene'!U33</f>
        <v>0</v>
      </c>
      <c r="BB19" s="44">
        <f>'Yearly Butadiene'!BB37+'Yearly BTX'!BB55+'Yearly Methanol'!BB57+'Yearly LC Ethylene'!V63+'Yearly LC Propylene'!V33</f>
        <v>0</v>
      </c>
      <c r="BC19" s="44">
        <f>'Yearly Butadiene'!BC37+'Yearly BTX'!BC55+'Yearly Methanol'!BC57+'Yearly LC Ethylene'!W63+'Yearly LC Propylene'!W33</f>
        <v>0</v>
      </c>
      <c r="BD19" s="44">
        <f>'Yearly Butadiene'!BD37+'Yearly BTX'!BD55+'Yearly Methanol'!BD57+'Yearly LC Ethylene'!X63+'Yearly LC Propylene'!X33</f>
        <v>0</v>
      </c>
      <c r="BE19" s="44">
        <f>'Yearly Butadiene'!BE37+'Yearly BTX'!BE55+'Yearly Methanol'!BE57+'Yearly LC Ethylene'!Y63+'Yearly LC Propylene'!Y33</f>
        <v>0</v>
      </c>
      <c r="BF19" s="44">
        <f>'Yearly Butadiene'!BF37+'Yearly BTX'!BF55+'Yearly Methanol'!BF57+'Yearly LC Ethylene'!Z63+'Yearly LC Propylene'!Z33</f>
        <v>0</v>
      </c>
      <c r="BG19" s="44">
        <f>'Yearly Butadiene'!BG37+'Yearly BTX'!BG55+'Yearly Methanol'!BG57+'Yearly LC Ethylene'!AA63+'Yearly LC Propylene'!AA33</f>
        <v>0</v>
      </c>
      <c r="BH19" s="44">
        <f>'Yearly Butadiene'!BH37+'Yearly BTX'!BH55+'Yearly Methanol'!BH57+'Yearly LC Ethylene'!AB63+'Yearly LC Propylene'!AB33</f>
        <v>0</v>
      </c>
      <c r="BI19" s="44">
        <f>'Yearly Butadiene'!BI37+'Yearly BTX'!BI55+'Yearly Methanol'!BI57+'Yearly LC Ethylene'!AC63+'Yearly LC Propylene'!AC33</f>
        <v>0</v>
      </c>
      <c r="BJ19" s="44">
        <f>'Yearly Butadiene'!BJ37+'Yearly BTX'!BJ55+'Yearly Methanol'!BJ57+'Yearly LC Ethylene'!AD63+'Yearly LC Propylene'!AD33</f>
        <v>0</v>
      </c>
      <c r="BK19" s="44">
        <f>'Yearly Butadiene'!BK37+'Yearly BTX'!BK55+'Yearly Methanol'!BK57+'Yearly LC Ethylene'!AE63+'Yearly LC Propylene'!AE33</f>
        <v>0</v>
      </c>
      <c r="BL19" s="44">
        <f>'Yearly Butadiene'!BL37+'Yearly BTX'!BL55+'Yearly Methanol'!BL57+'Yearly LC Ethylene'!AF63+'Yearly LC Propylene'!AF33</f>
        <v>0</v>
      </c>
      <c r="BM19" s="44">
        <f>'Yearly Butadiene'!BM37+'Yearly BTX'!BM55+'Yearly Methanol'!BM57+'Yearly LC Ethylene'!AG63+'Yearly LC Propylene'!AG33</f>
        <v>0</v>
      </c>
      <c r="BN19" s="44">
        <f>'Yearly Butadiene'!BN37+'Yearly BTX'!BN55+'Yearly Methanol'!BN57+'Yearly LC Ethylene'!AH63+'Yearly LC Propylene'!AH33</f>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B19" t="s">
        <v>1891</v>
      </c>
      <c r="EE19" s="44">
        <f t="shared" si="99"/>
        <v>24.934952757904412</v>
      </c>
      <c r="EF19" s="44">
        <f>BN16</f>
        <v>0</v>
      </c>
      <c r="EG19" s="44">
        <f>BN17</f>
        <v>0</v>
      </c>
      <c r="EH19" s="44">
        <f>BN18</f>
        <v>0</v>
      </c>
      <c r="EI19" s="44">
        <f>SUM('Yearly BTX'!AH89:AH90,'Yearly Butadiene'!AH56:AH57,'Yearly Methanol'!AH91:AH92,'Yearly HC Ethylene'!AH113:AH114,'Yearly HC Propylene'!AH51:AH52)</f>
        <v>7.7131795074317049</v>
      </c>
      <c r="EJ19" s="44">
        <f t="shared" si="90"/>
        <v>17.221773250472708</v>
      </c>
      <c r="EK19" s="2">
        <f t="shared" si="91"/>
        <v>0</v>
      </c>
      <c r="EL19" s="2">
        <f t="shared" si="92"/>
        <v>0</v>
      </c>
      <c r="EM19" s="2">
        <f t="shared" si="93"/>
        <v>0</v>
      </c>
      <c r="EN19" s="2">
        <f t="shared" si="94"/>
        <v>0.30933202811008403</v>
      </c>
      <c r="EO19" s="2">
        <f t="shared" si="95"/>
        <v>0.69066797188991602</v>
      </c>
      <c r="EP19" s="660">
        <f t="shared" si="98"/>
        <v>0</v>
      </c>
      <c r="EQ19">
        <v>0.12392007088352865</v>
      </c>
      <c r="ER19">
        <v>0.16853129640159897</v>
      </c>
      <c r="ES19">
        <v>9.9136056706822906E-2</v>
      </c>
      <c r="ET19">
        <v>6.4354290510747536E-2</v>
      </c>
      <c r="EU19">
        <v>0.54405828549730195</v>
      </c>
    </row>
    <row r="20" spans="1:151">
      <c r="A20" s="1" t="s">
        <v>1163</v>
      </c>
      <c r="B20" t="s">
        <v>85</v>
      </c>
      <c r="C20" s="54" t="s">
        <v>69</v>
      </c>
      <c r="D20" s="44">
        <f>'Yearly Butadiene'!D38+'Yearly BTX'!D56+'Yearly Methanol'!D58+'Yearly HC Ethylene'!D64+'Yearly HC Propylene'!D34</f>
        <v>0</v>
      </c>
      <c r="E20" s="44">
        <f>'Yearly Butadiene'!E38+'Yearly BTX'!E56+'Yearly Methanol'!E58+'Yearly HC Ethylene'!E64+'Yearly HC Propylene'!E34</f>
        <v>0</v>
      </c>
      <c r="F20" s="44">
        <f>'Yearly Butadiene'!F38+'Yearly BTX'!F56+'Yearly Methanol'!F58+'Yearly HC Ethylene'!F64+'Yearly HC Propylene'!F34</f>
        <v>0</v>
      </c>
      <c r="G20" s="44">
        <f>'Yearly Butadiene'!G38+'Yearly BTX'!G56+'Yearly Methanol'!G58+'Yearly HC Ethylene'!G64+'Yearly HC Propylene'!G34</f>
        <v>0</v>
      </c>
      <c r="H20" s="44">
        <f>'Yearly Butadiene'!H38+'Yearly BTX'!H56+'Yearly Methanol'!H58+'Yearly HC Ethylene'!H64+'Yearly HC Propylene'!H34</f>
        <v>0</v>
      </c>
      <c r="I20" s="44">
        <f>'Yearly Butadiene'!I38+'Yearly BTX'!I56+'Yearly Methanol'!I58+'Yearly HC Ethylene'!I64+'Yearly HC Propylene'!I34</f>
        <v>0</v>
      </c>
      <c r="J20" s="44">
        <f>'Yearly Butadiene'!J38+'Yearly BTX'!J56+'Yearly Methanol'!J58+'Yearly HC Ethylene'!J64+'Yearly HC Propylene'!J34</f>
        <v>0</v>
      </c>
      <c r="K20" s="44">
        <f>'Yearly Butadiene'!K38+'Yearly BTX'!K56+'Yearly Methanol'!K58+'Yearly HC Ethylene'!K64+'Yearly HC Propylene'!K34</f>
        <v>0</v>
      </c>
      <c r="L20" s="44">
        <f>'Yearly Butadiene'!L38+'Yearly BTX'!L56+'Yearly Methanol'!L58+'Yearly HC Ethylene'!L64+'Yearly HC Propylene'!L34</f>
        <v>0</v>
      </c>
      <c r="M20" s="44">
        <f>'Yearly Butadiene'!M38+'Yearly BTX'!M56+'Yearly Methanol'!M58+'Yearly HC Ethylene'!M64+'Yearly HC Propylene'!M34</f>
        <v>0</v>
      </c>
      <c r="N20" s="44">
        <f>'Yearly Butadiene'!N38+'Yearly BTX'!N56+'Yearly Methanol'!N58+'Yearly HC Ethylene'!N64+'Yearly HC Propylene'!N34</f>
        <v>0</v>
      </c>
      <c r="O20" s="44">
        <f>'Yearly Butadiene'!O38+'Yearly BTX'!O56+'Yearly Methanol'!O58+'Yearly HC Ethylene'!O64+'Yearly HC Propylene'!O34</f>
        <v>0</v>
      </c>
      <c r="P20" s="44">
        <f>'Yearly Butadiene'!P38+'Yearly BTX'!P56+'Yearly Methanol'!P58+'Yearly HC Ethylene'!P64+'Yearly HC Propylene'!P34</f>
        <v>0</v>
      </c>
      <c r="Q20" s="44">
        <f>'Yearly Butadiene'!Q38+'Yearly BTX'!Q56+'Yearly Methanol'!Q58+'Yearly HC Ethylene'!Q64+'Yearly HC Propylene'!Q34</f>
        <v>0</v>
      </c>
      <c r="R20" s="44">
        <f>'Yearly Butadiene'!R38+'Yearly BTX'!R56+'Yearly Methanol'!R58+'Yearly HC Ethylene'!R64+'Yearly HC Propylene'!R34</f>
        <v>0</v>
      </c>
      <c r="S20" s="44">
        <f>'Yearly Butadiene'!S38+'Yearly BTX'!S56+'Yearly Methanol'!S58+'Yearly HC Ethylene'!S64+'Yearly HC Propylene'!S34</f>
        <v>0</v>
      </c>
      <c r="T20" s="44">
        <f>'Yearly Butadiene'!T38+'Yearly BTX'!T56+'Yearly Methanol'!T58+'Yearly HC Ethylene'!T64+'Yearly HC Propylene'!T34</f>
        <v>0</v>
      </c>
      <c r="U20" s="44">
        <f>'Yearly Butadiene'!U38+'Yearly BTX'!U56+'Yearly Methanol'!U58+'Yearly HC Ethylene'!U64+'Yearly HC Propylene'!U34</f>
        <v>0</v>
      </c>
      <c r="V20" s="44">
        <f>'Yearly Butadiene'!V38+'Yearly BTX'!V56+'Yearly Methanol'!V58+'Yearly HC Ethylene'!V64+'Yearly HC Propylene'!V34</f>
        <v>0</v>
      </c>
      <c r="W20" s="44">
        <f>'Yearly Butadiene'!W38+'Yearly BTX'!W56+'Yearly Methanol'!W58+'Yearly HC Ethylene'!W64+'Yearly HC Propylene'!W34</f>
        <v>0</v>
      </c>
      <c r="X20" s="44">
        <f>'Yearly Butadiene'!X38+'Yearly BTX'!X56+'Yearly Methanol'!X58+'Yearly HC Ethylene'!X64+'Yearly HC Propylene'!X34</f>
        <v>0</v>
      </c>
      <c r="Y20" s="44">
        <f>'Yearly Butadiene'!Y38+'Yearly BTX'!Y56+'Yearly Methanol'!Y58+'Yearly HC Ethylene'!Y64+'Yearly HC Propylene'!Y34</f>
        <v>0</v>
      </c>
      <c r="Z20" s="44">
        <f>'Yearly Butadiene'!Z38+'Yearly BTX'!Z56+'Yearly Methanol'!Z58+'Yearly HC Ethylene'!Z64+'Yearly HC Propylene'!Z34</f>
        <v>0</v>
      </c>
      <c r="AA20" s="44">
        <f>'Yearly Butadiene'!AA38+'Yearly BTX'!AA56+'Yearly Methanol'!AA58+'Yearly HC Ethylene'!AA64+'Yearly HC Propylene'!AA34</f>
        <v>0</v>
      </c>
      <c r="AB20" s="44">
        <f>'Yearly Butadiene'!AB38+'Yearly BTX'!AB56+'Yearly Methanol'!AB58+'Yearly HC Ethylene'!AB64+'Yearly HC Propylene'!AB34</f>
        <v>0</v>
      </c>
      <c r="AC20" s="44">
        <f>'Yearly Butadiene'!AC38+'Yearly BTX'!AC56+'Yearly Methanol'!AC58+'Yearly HC Ethylene'!AC64+'Yearly HC Propylene'!AC34</f>
        <v>0</v>
      </c>
      <c r="AD20" s="44">
        <f>'Yearly Butadiene'!AD38+'Yearly BTX'!AD56+'Yearly Methanol'!AD58+'Yearly HC Ethylene'!AD64+'Yearly HC Propylene'!AD34</f>
        <v>0</v>
      </c>
      <c r="AE20" s="44">
        <f>'Yearly Butadiene'!AE38+'Yearly BTX'!AE56+'Yearly Methanol'!AE58+'Yearly HC Ethylene'!AE64+'Yearly HC Propylene'!AE34</f>
        <v>0</v>
      </c>
      <c r="AF20" s="44">
        <f>'Yearly Butadiene'!AF38+'Yearly BTX'!AF56+'Yearly Methanol'!AF58+'Yearly HC Ethylene'!AF64+'Yearly HC Propylene'!AF34</f>
        <v>0</v>
      </c>
      <c r="AG20" s="44">
        <f>'Yearly Butadiene'!AG38+'Yearly BTX'!AG56+'Yearly Methanol'!AG58+'Yearly HC Ethylene'!AG64+'Yearly HC Propylene'!AG34</f>
        <v>0</v>
      </c>
      <c r="AH20" s="44">
        <f>'Yearly Butadiene'!AH38+'Yearly BTX'!AH56+'Yearly Methanol'!AH58+'Yearly HC Ethylene'!AH64+'Yearly HC Propylene'!AH34</f>
        <v>0</v>
      </c>
      <c r="AI20" s="44"/>
      <c r="AJ20" s="44">
        <f>'Yearly Butadiene'!AJ38+'Yearly BTX'!AJ56+'Yearly Methanol'!AJ58+'Yearly LC Ethylene'!D64+'Yearly LC Propylene'!D34</f>
        <v>0</v>
      </c>
      <c r="AK20" s="44">
        <f>'Yearly Butadiene'!AK38+'Yearly BTX'!AK56+'Yearly Methanol'!AK58+'Yearly LC Ethylene'!E64+'Yearly LC Propylene'!E34</f>
        <v>0</v>
      </c>
      <c r="AL20" s="44">
        <f>'Yearly Butadiene'!AL38+'Yearly BTX'!AL56+'Yearly Methanol'!AL58+'Yearly LC Ethylene'!F64+'Yearly LC Propylene'!F34</f>
        <v>0</v>
      </c>
      <c r="AM20" s="44">
        <f>'Yearly Butadiene'!AM38+'Yearly BTX'!AM56+'Yearly Methanol'!AM58+'Yearly LC Ethylene'!G64+'Yearly LC Propylene'!G34</f>
        <v>0</v>
      </c>
      <c r="AN20" s="44">
        <f>'Yearly Butadiene'!AN38+'Yearly BTX'!AN56+'Yearly Methanol'!AN58+'Yearly LC Ethylene'!H64+'Yearly LC Propylene'!H34</f>
        <v>0</v>
      </c>
      <c r="AO20" s="44">
        <f>'Yearly Butadiene'!AO38+'Yearly BTX'!AO56+'Yearly Methanol'!AO58+'Yearly LC Ethylene'!I64+'Yearly LC Propylene'!I34</f>
        <v>0</v>
      </c>
      <c r="AP20" s="44">
        <f>'Yearly Butadiene'!AP38+'Yearly BTX'!AP56+'Yearly Methanol'!AP58+'Yearly LC Ethylene'!J64+'Yearly LC Propylene'!J34</f>
        <v>0</v>
      </c>
      <c r="AQ20" s="44">
        <f>'Yearly Butadiene'!AQ38+'Yearly BTX'!AQ56+'Yearly Methanol'!AQ58+'Yearly LC Ethylene'!K64+'Yearly LC Propylene'!K34</f>
        <v>0</v>
      </c>
      <c r="AR20" s="44">
        <f>'Yearly Butadiene'!AR38+'Yearly BTX'!AR56+'Yearly Methanol'!AR58+'Yearly LC Ethylene'!L64+'Yearly LC Propylene'!L34</f>
        <v>0</v>
      </c>
      <c r="AS20" s="44">
        <f>'Yearly Butadiene'!AS38+'Yearly BTX'!AS56+'Yearly Methanol'!AS58+'Yearly LC Ethylene'!M64+'Yearly LC Propylene'!M34</f>
        <v>0</v>
      </c>
      <c r="AT20" s="44">
        <f>'Yearly Butadiene'!AT38+'Yearly BTX'!AT56+'Yearly Methanol'!AT58+'Yearly LC Ethylene'!N64+'Yearly LC Propylene'!N34</f>
        <v>0</v>
      </c>
      <c r="AU20" s="44">
        <f>'Yearly Butadiene'!AU38+'Yearly BTX'!AU56+'Yearly Methanol'!AU58+'Yearly LC Ethylene'!O64+'Yearly LC Propylene'!O34</f>
        <v>0</v>
      </c>
      <c r="AV20" s="44">
        <f>'Yearly Butadiene'!AV38+'Yearly BTX'!AV56+'Yearly Methanol'!AV58+'Yearly LC Ethylene'!P64+'Yearly LC Propylene'!P34</f>
        <v>0</v>
      </c>
      <c r="AW20" s="44">
        <f>'Yearly Butadiene'!AW38+'Yearly BTX'!AW56+'Yearly Methanol'!AW58+'Yearly LC Ethylene'!Q64+'Yearly LC Propylene'!Q34</f>
        <v>0</v>
      </c>
      <c r="AX20" s="44">
        <f>'Yearly Butadiene'!AX38+'Yearly BTX'!AX56+'Yearly Methanol'!AX58+'Yearly LC Ethylene'!R64+'Yearly LC Propylene'!R34</f>
        <v>0</v>
      </c>
      <c r="AY20" s="44">
        <f>'Yearly Butadiene'!AY38+'Yearly BTX'!AY56+'Yearly Methanol'!AY58+'Yearly LC Ethylene'!S64+'Yearly LC Propylene'!S34</f>
        <v>0</v>
      </c>
      <c r="AZ20" s="44">
        <f>'Yearly Butadiene'!AZ38+'Yearly BTX'!AZ56+'Yearly Methanol'!AZ58+'Yearly LC Ethylene'!T64+'Yearly LC Propylene'!T34</f>
        <v>0</v>
      </c>
      <c r="BA20" s="44">
        <f>'Yearly Butadiene'!BA38+'Yearly BTX'!BA56+'Yearly Methanol'!BA58+'Yearly LC Ethylene'!U64+'Yearly LC Propylene'!U34</f>
        <v>0</v>
      </c>
      <c r="BB20" s="44">
        <f>'Yearly Butadiene'!BB38+'Yearly BTX'!BB56+'Yearly Methanol'!BB58+'Yearly LC Ethylene'!V64+'Yearly LC Propylene'!V34</f>
        <v>0</v>
      </c>
      <c r="BC20" s="44">
        <f>'Yearly Butadiene'!BC38+'Yearly BTX'!BC56+'Yearly Methanol'!BC58+'Yearly LC Ethylene'!W64+'Yearly LC Propylene'!W34</f>
        <v>0</v>
      </c>
      <c r="BD20" s="44">
        <f>'Yearly Butadiene'!BD38+'Yearly BTX'!BD56+'Yearly Methanol'!BD58+'Yearly LC Ethylene'!X64+'Yearly LC Propylene'!X34</f>
        <v>0</v>
      </c>
      <c r="BE20" s="44">
        <f>'Yearly Butadiene'!BE38+'Yearly BTX'!BE56+'Yearly Methanol'!BE58+'Yearly LC Ethylene'!Y64+'Yearly LC Propylene'!Y34</f>
        <v>0</v>
      </c>
      <c r="BF20" s="44">
        <f>'Yearly Butadiene'!BF38+'Yearly BTX'!BF56+'Yearly Methanol'!BF58+'Yearly LC Ethylene'!Z64+'Yearly LC Propylene'!Z34</f>
        <v>0</v>
      </c>
      <c r="BG20" s="44">
        <f>'Yearly Butadiene'!BG38+'Yearly BTX'!BG56+'Yearly Methanol'!BG58+'Yearly LC Ethylene'!AA64+'Yearly LC Propylene'!AA34</f>
        <v>0</v>
      </c>
      <c r="BH20" s="44">
        <f>'Yearly Butadiene'!BH38+'Yearly BTX'!BH56+'Yearly Methanol'!BH58+'Yearly LC Ethylene'!AB64+'Yearly LC Propylene'!AB34</f>
        <v>0</v>
      </c>
      <c r="BI20" s="44">
        <f>'Yearly Butadiene'!BI38+'Yearly BTX'!BI56+'Yearly Methanol'!BI58+'Yearly LC Ethylene'!AC64+'Yearly LC Propylene'!AC34</f>
        <v>0</v>
      </c>
      <c r="BJ20" s="44">
        <f>'Yearly Butadiene'!BJ38+'Yearly BTX'!BJ56+'Yearly Methanol'!BJ58+'Yearly LC Ethylene'!AD64+'Yearly LC Propylene'!AD34</f>
        <v>0</v>
      </c>
      <c r="BK20" s="44">
        <f>'Yearly Butadiene'!BK38+'Yearly BTX'!BK56+'Yearly Methanol'!BK58+'Yearly LC Ethylene'!AE64+'Yearly LC Propylene'!AE34</f>
        <v>0</v>
      </c>
      <c r="BL20" s="44">
        <f>'Yearly Butadiene'!BL38+'Yearly BTX'!BL56+'Yearly Methanol'!BL58+'Yearly LC Ethylene'!AF64+'Yearly LC Propylene'!AF34</f>
        <v>0</v>
      </c>
      <c r="BM20" s="44">
        <f>'Yearly Butadiene'!BM38+'Yearly BTX'!BM56+'Yearly Methanol'!BM58+'Yearly LC Ethylene'!AG64+'Yearly LC Propylene'!AG34</f>
        <v>0</v>
      </c>
      <c r="BN20" s="44">
        <f>'Yearly Butadiene'!BN38+'Yearly BTX'!BN56+'Yearly Methanol'!BN58+'Yearly LC Ethylene'!AH64+'Yearly LC Propylene'!AH34</f>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B20" t="s">
        <v>1182</v>
      </c>
      <c r="EF20" s="44">
        <f>BN7</f>
        <v>66.07157575188748</v>
      </c>
      <c r="EI20" s="26"/>
      <c r="EJ20" s="44"/>
      <c r="EP20" s="660">
        <f t="shared" si="98"/>
        <v>1</v>
      </c>
    </row>
    <row r="21" spans="1:151">
      <c r="A21" s="1"/>
      <c r="B21" t="s">
        <v>86</v>
      </c>
      <c r="C21" s="54" t="s">
        <v>69</v>
      </c>
      <c r="D21" s="44">
        <v>0</v>
      </c>
      <c r="E21" s="44">
        <v>6.3621974334373697</v>
      </c>
      <c r="F21" s="44">
        <v>11.994547967578823</v>
      </c>
      <c r="G21" s="44">
        <v>18.642835339273319</v>
      </c>
      <c r="H21" s="44">
        <v>24.308807250517091</v>
      </c>
      <c r="I21" s="44">
        <v>29.99442988395505</v>
      </c>
      <c r="J21" s="44">
        <v>36.533741344637804</v>
      </c>
      <c r="K21" s="44">
        <v>44.041349722264513</v>
      </c>
      <c r="L21" s="44">
        <v>50.520061338437962</v>
      </c>
      <c r="M21" s="44">
        <v>58.973038117933065</v>
      </c>
      <c r="N21" s="44">
        <v>68.403843778577482</v>
      </c>
      <c r="O21" s="44">
        <v>100.68485784979023</v>
      </c>
      <c r="P21" s="44">
        <v>134.17428781486961</v>
      </c>
      <c r="Q21" s="44">
        <v>166.87735522090742</v>
      </c>
      <c r="R21" s="44">
        <v>200.79993972388243</v>
      </c>
      <c r="S21" s="44">
        <v>232.94866472814718</v>
      </c>
      <c r="T21" s="44">
        <v>300.66838666308672</v>
      </c>
      <c r="U21" s="44">
        <v>365.10018584154017</v>
      </c>
      <c r="V21" s="44">
        <v>427.25355097335495</v>
      </c>
      <c r="W21" s="44">
        <v>485.13918555507081</v>
      </c>
      <c r="X21" s="44">
        <v>541.7691667931872</v>
      </c>
      <c r="Y21" s="44">
        <v>594.51432379189214</v>
      </c>
      <c r="Z21" s="44">
        <v>645.7390886143944</v>
      </c>
      <c r="AA21" s="44">
        <v>695.4607498733219</v>
      </c>
      <c r="AB21" s="44">
        <v>741.69884284543571</v>
      </c>
      <c r="AC21" s="44">
        <v>786.47544482969204</v>
      </c>
      <c r="AD21" s="44">
        <v>792.6063903088766</v>
      </c>
      <c r="AE21" s="44">
        <v>798.98751661130143</v>
      </c>
      <c r="AF21" s="44">
        <v>804.65071634491608</v>
      </c>
      <c r="AG21" s="44">
        <v>811.63205143283471</v>
      </c>
      <c r="AH21" s="44">
        <v>818.97230291814776</v>
      </c>
      <c r="AI21" s="44"/>
      <c r="AJ21" s="44">
        <v>0</v>
      </c>
      <c r="AK21" s="44">
        <v>6.3356411721703516</v>
      </c>
      <c r="AL21" s="44">
        <v>11.940532532161708</v>
      </c>
      <c r="AM21" s="44">
        <v>18.560434792544509</v>
      </c>
      <c r="AN21" s="44">
        <v>24.197072109152828</v>
      </c>
      <c r="AO21" s="44">
        <v>29.852386585495729</v>
      </c>
      <c r="AP21" s="44">
        <v>36.36039170319804</v>
      </c>
      <c r="AQ21" s="44">
        <v>43.835670372696242</v>
      </c>
      <c r="AR21" s="44">
        <v>50.281003168711187</v>
      </c>
      <c r="AS21" s="44">
        <v>58.699525689494415</v>
      </c>
      <c r="AT21" s="44">
        <v>68.094774734441813</v>
      </c>
      <c r="AU21" s="44">
        <v>100.33910231011565</v>
      </c>
      <c r="AV21" s="44">
        <v>133.79068775976157</v>
      </c>
      <c r="AW21" s="44">
        <v>166.45472386019213</v>
      </c>
      <c r="AX21" s="44">
        <v>200.33706085358517</v>
      </c>
      <c r="AY21" s="44">
        <v>232.44429207340542</v>
      </c>
      <c r="AZ21" s="44">
        <v>300.12124320722285</v>
      </c>
      <c r="BA21" s="44">
        <v>364.50896314101328</v>
      </c>
      <c r="BB21" s="44">
        <v>426.6169084583052</v>
      </c>
      <c r="BC21" s="44">
        <v>484.45574981516495</v>
      </c>
      <c r="BD21" s="44">
        <v>541.03753084846687</v>
      </c>
      <c r="BE21" s="44">
        <v>593.84465741168958</v>
      </c>
      <c r="BF21" s="44">
        <v>645.13371020669126</v>
      </c>
      <c r="BG21" s="44">
        <v>694.92203876276722</v>
      </c>
      <c r="BH21" s="44">
        <v>741.22924067449208</v>
      </c>
      <c r="BI21" s="44">
        <v>786.07745698981728</v>
      </c>
      <c r="BJ21" s="44">
        <v>792.28258740235458</v>
      </c>
      <c r="BK21" s="44">
        <v>798.74053594435179</v>
      </c>
      <c r="BL21" s="44">
        <v>804.48326345272426</v>
      </c>
      <c r="BM21" s="44">
        <v>811.5469016371552</v>
      </c>
      <c r="BN21" s="44">
        <v>818.97230291814776</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B21" t="s">
        <v>248</v>
      </c>
      <c r="EF21" s="44">
        <f>BN19</f>
        <v>0</v>
      </c>
      <c r="EI21" s="26"/>
      <c r="EJ21" s="44"/>
      <c r="EP21" s="660">
        <f t="shared" si="98"/>
        <v>0</v>
      </c>
      <c r="EQ21">
        <v>0.11379023331852879</v>
      </c>
      <c r="ER21">
        <v>6.9246918318227629E-2</v>
      </c>
      <c r="ES21">
        <v>0.21563035191033927</v>
      </c>
      <c r="ET21">
        <v>5.6323775867790624E-2</v>
      </c>
      <c r="EU21">
        <v>0.12392007088352865</v>
      </c>
    </row>
    <row r="22" spans="1:151">
      <c r="A22" s="1" t="s">
        <v>498</v>
      </c>
      <c r="B22" t="s">
        <v>87</v>
      </c>
      <c r="C22" s="54" t="s">
        <v>69</v>
      </c>
      <c r="D22" s="44">
        <f>'Scope 3 Yearly'!D9</f>
        <v>30.315500465033136</v>
      </c>
      <c r="E22" s="44">
        <f>'Scope 3 Yearly'!E9</f>
        <v>32.56733496473128</v>
      </c>
      <c r="F22" s="44">
        <f>'Scope 3 Yearly'!F9</f>
        <v>35.305857599473008</v>
      </c>
      <c r="G22" s="44">
        <f>'Scope 3 Yearly'!G9</f>
        <v>38.091801059041629</v>
      </c>
      <c r="H22" s="44">
        <f>'Scope 3 Yearly'!H9</f>
        <v>40.909184065292116</v>
      </c>
      <c r="I22" s="44">
        <f>'Scope 3 Yearly'!I9</f>
        <v>43.740982355694051</v>
      </c>
      <c r="J22" s="44">
        <f>'Scope 3 Yearly'!J9</f>
        <v>46.669763218992188</v>
      </c>
      <c r="K22" s="44">
        <f>'Scope 3 Yearly'!K9</f>
        <v>49.695666966486648</v>
      </c>
      <c r="L22" s="44">
        <f>'Scope 3 Yearly'!L9</f>
        <v>52.818670299499416</v>
      </c>
      <c r="M22" s="44">
        <f>'Scope 3 Yearly'!M9</f>
        <v>56.038580610666415</v>
      </c>
      <c r="N22" s="44">
        <f>'Scope 3 Yearly'!N9</f>
        <v>59.355030545071337</v>
      </c>
      <c r="O22" s="44">
        <f>'Scope 3 Yearly'!O9</f>
        <v>64.877409164958962</v>
      </c>
      <c r="P22" s="44">
        <f>'Scope 3 Yearly'!P9</f>
        <v>70.474424983634364</v>
      </c>
      <c r="Q22" s="44">
        <f>'Scope 3 Yearly'!Q9</f>
        <v>76.125293159808237</v>
      </c>
      <c r="R22" s="44">
        <f>'Scope 3 Yearly'!R9</f>
        <v>81.797816511663541</v>
      </c>
      <c r="S22" s="44">
        <f>'Scope 3 Yearly'!S9</f>
        <v>87.463157583657917</v>
      </c>
      <c r="T22" s="44">
        <f>'Scope 3 Yearly'!T9</f>
        <v>93.259371194336055</v>
      </c>
      <c r="U22" s="44">
        <f>'Scope 3 Yearly'!U9</f>
        <v>99.187629194303</v>
      </c>
      <c r="V22" s="44">
        <f>'Scope 3 Yearly'!V9</f>
        <v>105.24907332756284</v>
      </c>
      <c r="W22" s="44">
        <f>'Scope 3 Yearly'!W9</f>
        <v>111.44481393697437</v>
      </c>
      <c r="X22" s="44">
        <f>'Scope 3 Yearly'!X9</f>
        <v>117.77592866182746</v>
      </c>
      <c r="Y22" s="44">
        <f>'Scope 3 Yearly'!Y9</f>
        <v>127.50348997556203</v>
      </c>
      <c r="Z22" s="44">
        <f>'Scope 3 Yearly'!Z9</f>
        <v>137.45434578523137</v>
      </c>
      <c r="AA22" s="44">
        <f>'Scope 3 Yearly'!AA9</f>
        <v>147.65213766984152</v>
      </c>
      <c r="AB22" s="44">
        <f>'Scope 3 Yearly'!AB9</f>
        <v>158.08112681398583</v>
      </c>
      <c r="AC22" s="44">
        <f>'Scope 3 Yearly'!AC9</f>
        <v>168.74340050091948</v>
      </c>
      <c r="AD22" s="44">
        <f>'Scope 3 Yearly'!AD9</f>
        <v>179.64269722538904</v>
      </c>
      <c r="AE22" s="44">
        <f>'Scope 3 Yearly'!AE9</f>
        <v>190.78132627494816</v>
      </c>
      <c r="AF22" s="44">
        <f>'Scope 3 Yearly'!AF9</f>
        <v>202.16155994505252</v>
      </c>
      <c r="AG22" s="44">
        <f>'Scope 3 Yearly'!AG9</f>
        <v>213.78563169345082</v>
      </c>
      <c r="AH22" s="44">
        <f>'Scope 3 Yearly'!AH9</f>
        <v>225.65573427792651</v>
      </c>
      <c r="AI22" s="44"/>
      <c r="AJ22" s="44">
        <f>'Scope 3 Yearly'!AJ9</f>
        <v>30.315500465033136</v>
      </c>
      <c r="AK22" s="44">
        <f>'Scope 3 Yearly'!AK9</f>
        <v>32.56733496473128</v>
      </c>
      <c r="AL22" s="44">
        <f>'Scope 3 Yearly'!AL9</f>
        <v>35.305857599473008</v>
      </c>
      <c r="AM22" s="44">
        <f>'Scope 3 Yearly'!AM9</f>
        <v>38.091801059041629</v>
      </c>
      <c r="AN22" s="44">
        <f>'Scope 3 Yearly'!AN9</f>
        <v>40.909184065292116</v>
      </c>
      <c r="AO22" s="44">
        <f>'Scope 3 Yearly'!AO9</f>
        <v>43.740982355694051</v>
      </c>
      <c r="AP22" s="44">
        <f>'Scope 3 Yearly'!AP9</f>
        <v>46.669763218992188</v>
      </c>
      <c r="AQ22" s="44">
        <f>'Scope 3 Yearly'!AQ9</f>
        <v>49.695666966486648</v>
      </c>
      <c r="AR22" s="44">
        <f>'Scope 3 Yearly'!AR9</f>
        <v>52.818670299499416</v>
      </c>
      <c r="AS22" s="44">
        <f>'Scope 3 Yearly'!AS9</f>
        <v>56.038580610666415</v>
      </c>
      <c r="AT22" s="44">
        <f>'Scope 3 Yearly'!AT9</f>
        <v>59.355030545071337</v>
      </c>
      <c r="AU22" s="44">
        <f>'Scope 3 Yearly'!AU9</f>
        <v>64.877409164958962</v>
      </c>
      <c r="AV22" s="44">
        <f>'Scope 3 Yearly'!AV9</f>
        <v>70.474424983634364</v>
      </c>
      <c r="AW22" s="44">
        <f>'Scope 3 Yearly'!AW9</f>
        <v>76.125293159808237</v>
      </c>
      <c r="AX22" s="44">
        <f>'Scope 3 Yearly'!AX9</f>
        <v>81.797816511663541</v>
      </c>
      <c r="AY22" s="44">
        <f>'Scope 3 Yearly'!AY9</f>
        <v>87.463157583657917</v>
      </c>
      <c r="AZ22" s="44">
        <f>'Scope 3 Yearly'!AZ9</f>
        <v>93.259371194336055</v>
      </c>
      <c r="BA22" s="44">
        <f>'Scope 3 Yearly'!BA9</f>
        <v>99.187629194303</v>
      </c>
      <c r="BB22" s="44">
        <f>'Scope 3 Yearly'!BB9</f>
        <v>105.24907332756284</v>
      </c>
      <c r="BC22" s="44">
        <f>'Scope 3 Yearly'!BC9</f>
        <v>111.44481393697437</v>
      </c>
      <c r="BD22" s="44">
        <f>'Scope 3 Yearly'!BD9</f>
        <v>117.77592866182746</v>
      </c>
      <c r="BE22" s="44">
        <f>'Scope 3 Yearly'!BE9</f>
        <v>127.50348997556203</v>
      </c>
      <c r="BF22" s="44">
        <f>'Scope 3 Yearly'!BF9</f>
        <v>137.45434578523137</v>
      </c>
      <c r="BG22" s="44">
        <f>'Scope 3 Yearly'!BG9</f>
        <v>147.65213766984152</v>
      </c>
      <c r="BH22" s="44">
        <f>'Scope 3 Yearly'!BH9</f>
        <v>158.08112681398583</v>
      </c>
      <c r="BI22" s="44">
        <f>'Scope 3 Yearly'!BI9</f>
        <v>168.74340050091948</v>
      </c>
      <c r="BJ22" s="44">
        <f>'Scope 3 Yearly'!BJ9</f>
        <v>179.64269722538904</v>
      </c>
      <c r="BK22" s="44">
        <f>'Scope 3 Yearly'!BK9</f>
        <v>190.78132627494816</v>
      </c>
      <c r="BL22" s="44">
        <f>'Scope 3 Yearly'!BL9</f>
        <v>202.16155994505252</v>
      </c>
      <c r="BM22" s="44">
        <f>'Scope 3 Yearly'!BM9</f>
        <v>213.78563169345082</v>
      </c>
      <c r="BN22" s="44">
        <f>'Scope 3 Yearly'!BN9</f>
        <v>225.65573427792651</v>
      </c>
      <c r="BO22" s="44"/>
      <c r="BP22" s="44">
        <f>'Scope 3 Yearly'!BP9</f>
        <v>30.315500465033136</v>
      </c>
      <c r="BQ22" s="44">
        <f>'Scope 3 Yearly'!BQ9</f>
        <v>30.821769322799181</v>
      </c>
      <c r="BR22" s="44">
        <f>'Scope 3 Yearly'!BR9</f>
        <v>31.336492870489923</v>
      </c>
      <c r="BS22" s="44">
        <f>'Scope 3 Yearly'!BS9</f>
        <v>31.859812301427105</v>
      </c>
      <c r="BT22" s="44">
        <f>'Scope 3 Yearly'!BT9</f>
        <v>32.391871166860938</v>
      </c>
      <c r="BU22" s="44">
        <f>'Scope 3 Yearly'!BU9</f>
        <v>32.932815415347505</v>
      </c>
      <c r="BV22" s="44">
        <f>'Scope 3 Yearly'!BV9</f>
        <v>33.482793432783815</v>
      </c>
      <c r="BW22" s="44">
        <f>'Scope 3 Yearly'!BW9</f>
        <v>34.041956083111295</v>
      </c>
      <c r="BX22" s="44">
        <f>'Scope 3 Yearly'!BX9</f>
        <v>34.610456749699253</v>
      </c>
      <c r="BY22" s="44">
        <f>'Scope 3 Yearly'!BY9</f>
        <v>35.188451377419227</v>
      </c>
      <c r="BZ22" s="44">
        <f>'Scope 3 Yearly'!BZ9</f>
        <v>35.776098515422127</v>
      </c>
      <c r="CA22" s="44">
        <f>'Scope 3 Yearly'!CA9</f>
        <v>36.373559360629685</v>
      </c>
      <c r="CB22" s="44">
        <f>'Scope 3 Yearly'!CB9</f>
        <v>36.980997801952192</v>
      </c>
      <c r="CC22" s="44">
        <f>'Scope 3 Yearly'!CC9</f>
        <v>37.598580465244787</v>
      </c>
      <c r="CD22" s="44">
        <f>'Scope 3 Yearly'!CD9</f>
        <v>38.226476759014382</v>
      </c>
      <c r="CE22" s="44">
        <f>'Scope 3 Yearly'!CE9</f>
        <v>38.864858920889915</v>
      </c>
      <c r="CF22" s="44">
        <f>'Scope 3 Yearly'!CF9</f>
        <v>39.51390206486878</v>
      </c>
      <c r="CG22" s="44">
        <f>'Scope 3 Yearly'!CG9</f>
        <v>40.17378422935208</v>
      </c>
      <c r="CH22" s="44">
        <f>'Scope 3 Yearly'!CH9</f>
        <v>40.844686425982253</v>
      </c>
      <c r="CI22" s="44">
        <f>'Scope 3 Yearly'!CI9</f>
        <v>41.526792689296158</v>
      </c>
      <c r="CJ22" s="44">
        <f>'Scope 3 Yearly'!CJ9</f>
        <v>42.220290127207399</v>
      </c>
      <c r="CK22" s="44">
        <f>'Scope 3 Yearly'!CK9</f>
        <v>42.925368972331761</v>
      </c>
      <c r="CL22" s="44">
        <f>'Scope 3 Yearly'!CL9</f>
        <v>43.642222634169691</v>
      </c>
      <c r="CM22" s="44">
        <f>'Scope 3 Yearly'!CM9</f>
        <v>44.371047752160322</v>
      </c>
      <c r="CN22" s="44">
        <f>'Scope 3 Yearly'!CN9</f>
        <v>45.112044249621398</v>
      </c>
      <c r="CO22" s="44">
        <f>'Scope 3 Yearly'!CO9</f>
        <v>45.865415388590073</v>
      </c>
      <c r="CP22" s="44">
        <f>'Scope 3 Yearly'!CP9</f>
        <v>46.631367825579531</v>
      </c>
      <c r="CQ22" s="44">
        <f>'Scope 3 Yearly'!CQ9</f>
        <v>47.410111668266701</v>
      </c>
      <c r="CR22" s="44">
        <f>'Scope 3 Yearly'!CR9</f>
        <v>48.201860533126748</v>
      </c>
      <c r="CS22" s="44">
        <f>'Scope 3 Yearly'!CS9</f>
        <v>49.006831604029962</v>
      </c>
      <c r="CT22" s="44">
        <f>'Scope 3 Yearly'!CT9</f>
        <v>49.825245691817265</v>
      </c>
      <c r="CU22" s="44"/>
      <c r="CV22" s="44">
        <f>'Scope 3 Yearly'!CV9</f>
        <v>30.315500465033136</v>
      </c>
      <c r="CW22" s="44">
        <f>'Scope 3 Yearly'!CW9</f>
        <v>32.56733496473128</v>
      </c>
      <c r="CX22" s="44">
        <f>'Scope 3 Yearly'!CX9</f>
        <v>35.305857599473008</v>
      </c>
      <c r="CY22" s="44">
        <f>'Scope 3 Yearly'!CY9</f>
        <v>38.091801059041629</v>
      </c>
      <c r="CZ22" s="44">
        <f>'Scope 3 Yearly'!CZ9</f>
        <v>40.909184065292116</v>
      </c>
      <c r="DA22" s="44">
        <f>'Scope 3 Yearly'!DA9</f>
        <v>43.740982355694051</v>
      </c>
      <c r="DB22" s="44">
        <f>'Scope 3 Yearly'!DB9</f>
        <v>46.669763218992188</v>
      </c>
      <c r="DC22" s="44">
        <f>'Scope 3 Yearly'!DC9</f>
        <v>49.695666966486648</v>
      </c>
      <c r="DD22" s="44">
        <f>'Scope 3 Yearly'!DD9</f>
        <v>52.818670299499416</v>
      </c>
      <c r="DE22" s="44">
        <f>'Scope 3 Yearly'!DE9</f>
        <v>56.038580610666415</v>
      </c>
      <c r="DF22" s="44">
        <f>'Scope 3 Yearly'!DF9</f>
        <v>59.355030545071337</v>
      </c>
      <c r="DG22" s="44">
        <f>'Scope 3 Yearly'!DG9</f>
        <v>64.877409164958962</v>
      </c>
      <c r="DH22" s="44">
        <f>'Scope 3 Yearly'!DH9</f>
        <v>70.474424983634364</v>
      </c>
      <c r="DI22" s="44">
        <f>'Scope 3 Yearly'!DI9</f>
        <v>76.125293159808237</v>
      </c>
      <c r="DJ22" s="44">
        <f>'Scope 3 Yearly'!DJ9</f>
        <v>81.797816511663541</v>
      </c>
      <c r="DK22" s="44">
        <f>'Scope 3 Yearly'!DK9</f>
        <v>87.463157583657917</v>
      </c>
      <c r="DL22" s="44">
        <f>'Scope 3 Yearly'!DL9</f>
        <v>93.259371194336055</v>
      </c>
      <c r="DM22" s="44">
        <f>'Scope 3 Yearly'!DM9</f>
        <v>99.187629194303</v>
      </c>
      <c r="DN22" s="44">
        <f>'Scope 3 Yearly'!DN9</f>
        <v>105.24907332756284</v>
      </c>
      <c r="DO22" s="44">
        <f>'Scope 3 Yearly'!DO9</f>
        <v>111.44481393697437</v>
      </c>
      <c r="DP22" s="44">
        <f>'Scope 3 Yearly'!DP9</f>
        <v>117.77592866182746</v>
      </c>
      <c r="DQ22" s="44">
        <f>'Scope 3 Yearly'!DQ9</f>
        <v>127.50348997556203</v>
      </c>
      <c r="DR22" s="44">
        <f>'Scope 3 Yearly'!DR9</f>
        <v>137.45434578523137</v>
      </c>
      <c r="DS22" s="44">
        <f>'Scope 3 Yearly'!DS9</f>
        <v>147.65213766984152</v>
      </c>
      <c r="DT22" s="44">
        <f>'Scope 3 Yearly'!DT9</f>
        <v>158.08112681398583</v>
      </c>
      <c r="DU22" s="44">
        <f>'Scope 3 Yearly'!DU9</f>
        <v>168.74340050091948</v>
      </c>
      <c r="DV22" s="44">
        <f>'Scope 3 Yearly'!DV9</f>
        <v>179.64269722538904</v>
      </c>
      <c r="DW22" s="44">
        <f>'Scope 3 Yearly'!DW9</f>
        <v>190.78132627494816</v>
      </c>
      <c r="DX22" s="44">
        <f>'Scope 3 Yearly'!DX9</f>
        <v>202.16155994505252</v>
      </c>
      <c r="DY22" s="44">
        <f>'Scope 3 Yearly'!DY9</f>
        <v>213.78563169345082</v>
      </c>
      <c r="DZ22" s="44">
        <f>'Scope 3 Yearly'!DZ9</f>
        <v>225.65573427792651</v>
      </c>
      <c r="EF22" s="44">
        <f>SUM(EF15:EF21)</f>
        <v>66.07157575188748</v>
      </c>
      <c r="EI22" s="26"/>
      <c r="EP22" s="660">
        <f t="shared" si="98"/>
        <v>1</v>
      </c>
      <c r="EQ22">
        <v>0</v>
      </c>
      <c r="ER22">
        <v>0.18527826254199076</v>
      </c>
      <c r="ES22">
        <v>0</v>
      </c>
      <c r="ET22">
        <v>9.8069695593471243E-2</v>
      </c>
      <c r="EU22">
        <v>0.16853129640159897</v>
      </c>
    </row>
    <row r="23" spans="1:151">
      <c r="A23" s="1" t="s">
        <v>498</v>
      </c>
      <c r="B23" t="s">
        <v>88</v>
      </c>
      <c r="C23" s="54" t="s">
        <v>69</v>
      </c>
      <c r="D23" s="44">
        <f>'Scope 3 Yearly'!D10</f>
        <v>1.4354770303603507E-4</v>
      </c>
      <c r="E23" s="44">
        <f>'Scope 3 Yearly'!E10</f>
        <v>3.158390529245656E-4</v>
      </c>
      <c r="F23" s="44">
        <f>'Scope 3 Yearly'!F10</f>
        <v>6.6777722906309492E-4</v>
      </c>
      <c r="G23" s="44">
        <f>'Scope 3 Yearly'!G10</f>
        <v>1.4024692843980216E-3</v>
      </c>
      <c r="H23" s="44">
        <f>'Scope 3 Yearly'!H10</f>
        <v>2.9231961786486062E-3</v>
      </c>
      <c r="I23" s="44">
        <f>'Scope 3 Yearly'!I10</f>
        <v>6.0389710653165635E-3</v>
      </c>
      <c r="J23" s="44">
        <f>'Scope 3 Yearly'!J10</f>
        <v>1.2369595120386111E-2</v>
      </c>
      <c r="K23" s="44">
        <f>'Scope 3 Yearly'!K10</f>
        <v>2.505819030144138E-2</v>
      </c>
      <c r="L23" s="44">
        <f>'Scope 3 Yearly'!L10</f>
        <v>5.0036313066890464E-2</v>
      </c>
      <c r="M23" s="44">
        <f>'Scope 3 Yearly'!M10</f>
        <v>9.8050971519133959E-2</v>
      </c>
      <c r="N23" s="44">
        <f>'Scope 3 Yearly'!N10</f>
        <v>0.1847508666146595</v>
      </c>
      <c r="O23" s="44">
        <f>'Scope 3 Yearly'!O10</f>
        <v>0.33368717653257113</v>
      </c>
      <c r="P23" s="44">
        <f>'Scope 3 Yearly'!P10</f>
        <v>0.57062631522602314</v>
      </c>
      <c r="Q23" s="44">
        <f>'Scope 3 Yearly'!Q10</f>
        <v>0.93065399909364943</v>
      </c>
      <c r="R23" s="44">
        <f>'Scope 3 Yearly'!R10</f>
        <v>1.4375944119973327</v>
      </c>
      <c r="S23" s="44">
        <f>'Scope 3 Yearly'!S10</f>
        <v>2.140458335418935</v>
      </c>
      <c r="T23" s="44">
        <f>'Scope 3 Yearly'!T10</f>
        <v>3.0249489419312789</v>
      </c>
      <c r="U23" s="44">
        <f>'Scope 3 Yearly'!U10</f>
        <v>4.0327913353860119</v>
      </c>
      <c r="V23" s="44">
        <f>'Scope 3 Yearly'!V10</f>
        <v>5.0967984326007514</v>
      </c>
      <c r="W23" s="44">
        <f>'Scope 3 Yearly'!W10</f>
        <v>6.1493957199981244</v>
      </c>
      <c r="X23" s="44">
        <f>'Scope 3 Yearly'!X10</f>
        <v>6.9688480271066666</v>
      </c>
      <c r="Y23" s="44">
        <f>'Scope 3 Yearly'!Y10</f>
        <v>7.9445203752829103</v>
      </c>
      <c r="Z23" s="44">
        <f>'Scope 3 Yearly'!Z10</f>
        <v>8.8261534428789208</v>
      </c>
      <c r="AA23" s="44">
        <f>'Scope 3 Yearly'!AA10</f>
        <v>9.6562135301777321</v>
      </c>
      <c r="AB23" s="44">
        <f>'Scope 3 Yearly'!AB10</f>
        <v>10.446149984394843</v>
      </c>
      <c r="AC23" s="44">
        <f>'Scope 3 Yearly'!AC10</f>
        <v>11.241767905112534</v>
      </c>
      <c r="AD23" s="44">
        <f>'Scope 3 Yearly'!AD10</f>
        <v>12.10482635607972</v>
      </c>
      <c r="AE23" s="44">
        <f>'Scope 3 Yearly'!AE10</f>
        <v>13.108085723769516</v>
      </c>
      <c r="AF23" s="44">
        <f>'Scope 3 Yearly'!AF10</f>
        <v>14.321690003667198</v>
      </c>
      <c r="AG23" s="44">
        <f>'Scope 3 Yearly'!AG10</f>
        <v>15.899849382626009</v>
      </c>
      <c r="AH23" s="44">
        <f>'Scope 3 Yearly'!AH10</f>
        <v>17.49842448961699</v>
      </c>
      <c r="AI23" s="44"/>
      <c r="AJ23" s="44">
        <f>'Scope 3 Yearly'!AJ10</f>
        <v>7.9316887475859034E-5</v>
      </c>
      <c r="AK23" s="44">
        <f>'Scope 3 Yearly'!AK10</f>
        <v>1.7542669949898788E-4</v>
      </c>
      <c r="AL23" s="44">
        <f>'Scope 3 Yearly'!AL10</f>
        <v>3.7081619095552889E-4</v>
      </c>
      <c r="AM23" s="44">
        <f>'Scope 3 Yearly'!AM10</f>
        <v>7.7865286161852708E-4</v>
      </c>
      <c r="AN23" s="44">
        <f>'Scope 3 Yearly'!AN10</f>
        <v>1.6227664765883023E-3</v>
      </c>
      <c r="AO23" s="44">
        <f>'Scope 3 Yearly'!AO10</f>
        <v>3.3522063406073647E-3</v>
      </c>
      <c r="AP23" s="44">
        <f>'Scope 3 Yearly'!AP10</f>
        <v>6.8661531338542209E-3</v>
      </c>
      <c r="AQ23" s="44">
        <f>'Scope 3 Yearly'!AQ10</f>
        <v>1.3909670559745213E-2</v>
      </c>
      <c r="AR23" s="44">
        <f>'Scope 3 Yearly'!AR10</f>
        <v>2.7776602669648355E-2</v>
      </c>
      <c r="AS23" s="44">
        <f>'Scope 3 Yearly'!AS10</f>
        <v>5.4436312529275936E-2</v>
      </c>
      <c r="AT23" s="44">
        <f>'Scope 3 Yearly'!AT10</f>
        <v>0.10099389631070295</v>
      </c>
      <c r="AU23" s="44">
        <f>'Scope 3 Yearly'!AU10</f>
        <v>0.18517161686826905</v>
      </c>
      <c r="AV23" s="44">
        <f>'Scope 3 Yearly'!AV10</f>
        <v>0.31647982824093002</v>
      </c>
      <c r="AW23" s="44">
        <f>'Scope 3 Yearly'!AW10</f>
        <v>0.5158541713486644</v>
      </c>
      <c r="AX23" s="44">
        <f>'Scope 3 Yearly'!AX10</f>
        <v>0.79641195834009326</v>
      </c>
      <c r="AY23" s="44">
        <f>'Scope 3 Yearly'!AY10</f>
        <v>1.1861641330346837</v>
      </c>
      <c r="AZ23" s="44">
        <f>'Scope 3 Yearly'!AZ10</f>
        <v>1.6772574545687884</v>
      </c>
      <c r="BA23" s="44">
        <f>'Scope 3 Yearly'!BA10</f>
        <v>2.237350982909839</v>
      </c>
      <c r="BB23" s="44">
        <f>'Scope 3 Yearly'!BB10</f>
        <v>2.8292876321404838</v>
      </c>
      <c r="BC23" s="44">
        <f>'Scope 3 Yearly'!BC10</f>
        <v>3.4156195234536617</v>
      </c>
      <c r="BD23" s="44">
        <f>'Scope 3 Yearly'!BD10</f>
        <v>3.7973548621716344</v>
      </c>
      <c r="BE23" s="44">
        <f>'Scope 3 Yearly'!BE10</f>
        <v>4.4204139262841853</v>
      </c>
      <c r="BF23" s="44">
        <f>'Scope 3 Yearly'!BF10</f>
        <v>4.9199867113925526</v>
      </c>
      <c r="BG23" s="44">
        <f>'Scope 3 Yearly'!BG10</f>
        <v>5.3928714051738051</v>
      </c>
      <c r="BH23" s="44">
        <f>'Scope 3 Yearly'!BH10</f>
        <v>5.8451490319546489</v>
      </c>
      <c r="BI23" s="44">
        <f>'Scope 3 Yearly'!BI10</f>
        <v>6.3024889440528238</v>
      </c>
      <c r="BJ23" s="44">
        <f>'Scope 3 Yearly'!BJ10</f>
        <v>6.7997458605725125</v>
      </c>
      <c r="BK23" s="44">
        <f>'Scope 3 Yearly'!BK10</f>
        <v>7.3886629437411724</v>
      </c>
      <c r="BL23" s="44">
        <f>'Scope 3 Yearly'!BL10</f>
        <v>8.105558760669771</v>
      </c>
      <c r="BM23" s="44">
        <f>'Scope 3 Yearly'!BM10</f>
        <v>9.0405935295120603</v>
      </c>
      <c r="BN23" s="44">
        <f>'Scope 3 Yearly'!BN10</f>
        <v>9.7546725913874042</v>
      </c>
      <c r="BO23" s="44"/>
      <c r="BP23" s="44">
        <f>'Scope 3 Yearly'!BP10</f>
        <v>0</v>
      </c>
      <c r="BQ23" s="44">
        <f>'Scope 3 Yearly'!BQ10</f>
        <v>0</v>
      </c>
      <c r="BR23" s="44">
        <f>'Scope 3 Yearly'!BR10</f>
        <v>0</v>
      </c>
      <c r="BS23" s="44">
        <f>'Scope 3 Yearly'!BS10</f>
        <v>0</v>
      </c>
      <c r="BT23" s="44">
        <f>'Scope 3 Yearly'!BT10</f>
        <v>0</v>
      </c>
      <c r="BU23" s="44">
        <f>'Scope 3 Yearly'!BU10</f>
        <v>0</v>
      </c>
      <c r="BV23" s="44">
        <f>'Scope 3 Yearly'!BV10</f>
        <v>0</v>
      </c>
      <c r="BW23" s="44">
        <f>'Scope 3 Yearly'!BW10</f>
        <v>0</v>
      </c>
      <c r="BX23" s="44">
        <f>'Scope 3 Yearly'!BX10</f>
        <v>0</v>
      </c>
      <c r="BY23" s="44">
        <f>'Scope 3 Yearly'!BY10</f>
        <v>0</v>
      </c>
      <c r="BZ23" s="44">
        <f>'Scope 3 Yearly'!BZ10</f>
        <v>0</v>
      </c>
      <c r="CA23" s="44">
        <f>'Scope 3 Yearly'!CA10</f>
        <v>0</v>
      </c>
      <c r="CB23" s="44">
        <f>'Scope 3 Yearly'!CB10</f>
        <v>0</v>
      </c>
      <c r="CC23" s="44">
        <f>'Scope 3 Yearly'!CC10</f>
        <v>0</v>
      </c>
      <c r="CD23" s="44">
        <f>'Scope 3 Yearly'!CD10</f>
        <v>0</v>
      </c>
      <c r="CE23" s="44">
        <f>'Scope 3 Yearly'!CE10</f>
        <v>0</v>
      </c>
      <c r="CF23" s="44">
        <f>'Scope 3 Yearly'!CF10</f>
        <v>0</v>
      </c>
      <c r="CG23" s="44">
        <f>'Scope 3 Yearly'!CG10</f>
        <v>0</v>
      </c>
      <c r="CH23" s="44">
        <f>'Scope 3 Yearly'!CH10</f>
        <v>0</v>
      </c>
      <c r="CI23" s="44">
        <f>'Scope 3 Yearly'!CI10</f>
        <v>0</v>
      </c>
      <c r="CJ23" s="44">
        <f>'Scope 3 Yearly'!CJ10</f>
        <v>0</v>
      </c>
      <c r="CK23" s="44">
        <f>'Scope 3 Yearly'!CK10</f>
        <v>0</v>
      </c>
      <c r="CL23" s="44">
        <f>'Scope 3 Yearly'!CL10</f>
        <v>0</v>
      </c>
      <c r="CM23" s="44">
        <f>'Scope 3 Yearly'!CM10</f>
        <v>0</v>
      </c>
      <c r="CN23" s="44">
        <f>'Scope 3 Yearly'!CN10</f>
        <v>0</v>
      </c>
      <c r="CO23" s="44">
        <f>'Scope 3 Yearly'!CO10</f>
        <v>0</v>
      </c>
      <c r="CP23" s="44">
        <f>'Scope 3 Yearly'!CP10</f>
        <v>0</v>
      </c>
      <c r="CQ23" s="44">
        <f>'Scope 3 Yearly'!CQ10</f>
        <v>0</v>
      </c>
      <c r="CR23" s="44">
        <f>'Scope 3 Yearly'!CR10</f>
        <v>0</v>
      </c>
      <c r="CS23" s="44">
        <f>'Scope 3 Yearly'!CS10</f>
        <v>0</v>
      </c>
      <c r="CT23" s="44">
        <f>'Scope 3 Yearly'!CT10</f>
        <v>0</v>
      </c>
      <c r="CU23" s="44"/>
      <c r="CV23" s="44">
        <f>'Scope 3 Yearly'!CV10</f>
        <v>7.9316887475859034E-5</v>
      </c>
      <c r="CW23" s="44">
        <f>'Scope 3 Yearly'!CW10</f>
        <v>1.7542669949898788E-4</v>
      </c>
      <c r="CX23" s="44">
        <f>'Scope 3 Yearly'!CX10</f>
        <v>3.7081619095552889E-4</v>
      </c>
      <c r="CY23" s="44">
        <f>'Scope 3 Yearly'!CY10</f>
        <v>7.7865286161852708E-4</v>
      </c>
      <c r="CZ23" s="44">
        <f>'Scope 3 Yearly'!CZ10</f>
        <v>1.6227664765883023E-3</v>
      </c>
      <c r="DA23" s="44">
        <f>'Scope 3 Yearly'!DA10</f>
        <v>3.3522063406073647E-3</v>
      </c>
      <c r="DB23" s="44">
        <f>'Scope 3 Yearly'!DB10</f>
        <v>6.8661531338542209E-3</v>
      </c>
      <c r="DC23" s="44">
        <f>'Scope 3 Yearly'!DC10</f>
        <v>1.3909670559745213E-2</v>
      </c>
      <c r="DD23" s="44">
        <f>'Scope 3 Yearly'!DD10</f>
        <v>2.7776602669648355E-2</v>
      </c>
      <c r="DE23" s="44">
        <f>'Scope 3 Yearly'!DE10</f>
        <v>5.4436312529275936E-2</v>
      </c>
      <c r="DF23" s="44">
        <f>'Scope 3 Yearly'!DF10</f>
        <v>0.10099389631070295</v>
      </c>
      <c r="DG23" s="44">
        <f>'Scope 3 Yearly'!DG10</f>
        <v>0.18517161686826905</v>
      </c>
      <c r="DH23" s="44">
        <f>'Scope 3 Yearly'!DH10</f>
        <v>0.31647982824093002</v>
      </c>
      <c r="DI23" s="44">
        <f>'Scope 3 Yearly'!DI10</f>
        <v>0.5158541713486644</v>
      </c>
      <c r="DJ23" s="44">
        <f>'Scope 3 Yearly'!DJ10</f>
        <v>0.79641195834009326</v>
      </c>
      <c r="DK23" s="44">
        <f>'Scope 3 Yearly'!DK10</f>
        <v>1.1861641330346837</v>
      </c>
      <c r="DL23" s="44">
        <f>'Scope 3 Yearly'!DL10</f>
        <v>1.6772574545687884</v>
      </c>
      <c r="DM23" s="44">
        <f>'Scope 3 Yearly'!DM10</f>
        <v>2.237350982909839</v>
      </c>
      <c r="DN23" s="44">
        <f>'Scope 3 Yearly'!DN10</f>
        <v>2.8292876321404838</v>
      </c>
      <c r="DO23" s="44">
        <f>'Scope 3 Yearly'!DO10</f>
        <v>3.4156195234536617</v>
      </c>
      <c r="DP23" s="44">
        <f>'Scope 3 Yearly'!DP10</f>
        <v>3.7973548621716344</v>
      </c>
      <c r="DQ23" s="44">
        <f>'Scope 3 Yearly'!DQ10</f>
        <v>4.4204139262841853</v>
      </c>
      <c r="DR23" s="44">
        <f>'Scope 3 Yearly'!DR10</f>
        <v>4.9199867113925526</v>
      </c>
      <c r="DS23" s="44">
        <f>'Scope 3 Yearly'!DS10</f>
        <v>5.3928714051738051</v>
      </c>
      <c r="DT23" s="44">
        <f>'Scope 3 Yearly'!DT10</f>
        <v>5.8451490319546489</v>
      </c>
      <c r="DU23" s="44">
        <f>'Scope 3 Yearly'!DU10</f>
        <v>6.3024889440528238</v>
      </c>
      <c r="DV23" s="44">
        <f>'Scope 3 Yearly'!DV10</f>
        <v>6.7997458605725125</v>
      </c>
      <c r="DW23" s="44">
        <f>'Scope 3 Yearly'!DW10</f>
        <v>7.3886629437411724</v>
      </c>
      <c r="DX23" s="44">
        <f>'Scope 3 Yearly'!DX10</f>
        <v>8.105558760669771</v>
      </c>
      <c r="DY23" s="44">
        <f>'Scope 3 Yearly'!DY10</f>
        <v>9.0405935295120603</v>
      </c>
      <c r="DZ23" s="44">
        <f>'Scope 3 Yearly'!DZ10</f>
        <v>9.7546725913874042</v>
      </c>
      <c r="EI23" s="26"/>
      <c r="EQ23">
        <v>0</v>
      </c>
      <c r="ER23">
        <v>0.13661661763117541</v>
      </c>
      <c r="ES23">
        <v>7.2452750801215882E-2</v>
      </c>
      <c r="ET23">
        <v>0</v>
      </c>
      <c r="EU23">
        <v>9.9136056706822906E-2</v>
      </c>
    </row>
    <row r="24" spans="1:151">
      <c r="A24" s="1"/>
      <c r="B24" t="s">
        <v>89</v>
      </c>
      <c r="C24" s="54" t="s">
        <v>69</v>
      </c>
      <c r="D24" s="44">
        <f>SUM(D22:D23)+'Scope 3 Yearly'!D11+'Scope 3 Yearly'!D12+'Scope 3 Yearly'!D13+0.5*'Scope 3 Yearly'!D14</f>
        <v>249.41421488639452</v>
      </c>
      <c r="E24" s="44">
        <f>SUM(E22:E23)+'Scope 3 Yearly'!E11+'Scope 3 Yearly'!E12+'Scope 3 Yearly'!E13+0.5*'Scope 3 Yearly'!E14</f>
        <v>258.94776909234093</v>
      </c>
      <c r="F24" s="44">
        <f>SUM(F22:F23)+'Scope 3 Yearly'!F11+'Scope 3 Yearly'!F12+'Scope 3 Yearly'!F13+0.5*'Scope 3 Yearly'!F14</f>
        <v>268.24524333250849</v>
      </c>
      <c r="G24" s="44">
        <f>SUM(G22:G23)+'Scope 3 Yearly'!G11+'Scope 3 Yearly'!G12+'Scope 3 Yearly'!G13+0.5*'Scope 3 Yearly'!G14</f>
        <v>277.1362274750054</v>
      </c>
      <c r="H24" s="44">
        <f>SUM(H22:H23)+'Scope 3 Yearly'!H11+'Scope 3 Yearly'!H12+'Scope 3 Yearly'!H13+0.5*'Scope 3 Yearly'!H14</f>
        <v>285.55981972315516</v>
      </c>
      <c r="I24" s="44">
        <f>SUM(I22:I23)+'Scope 3 Yearly'!I11+'Scope 3 Yearly'!I12+'Scope 3 Yearly'!I13+0.5*'Scope 3 Yearly'!I14</f>
        <v>293.45712740102152</v>
      </c>
      <c r="J24" s="44">
        <f>SUM(J22:J23)+'Scope 3 Yearly'!J11+'Scope 3 Yearly'!J12+'Scope 3 Yearly'!J13+0.5*'Scope 3 Yearly'!J14</f>
        <v>301.42094245754623</v>
      </c>
      <c r="K24" s="44">
        <f>SUM(K22:K23)+'Scope 3 Yearly'!K11+'Scope 3 Yearly'!K12+'Scope 3 Yearly'!K13+0.5*'Scope 3 Yearly'!K14</f>
        <v>309.44556049901263</v>
      </c>
      <c r="L24" s="44">
        <f>SUM(L22:L23)+'Scope 3 Yearly'!L11+'Scope 3 Yearly'!L12+'Scope 3 Yearly'!L13+0.5*'Scope 3 Yearly'!L14</f>
        <v>317.52561780496978</v>
      </c>
      <c r="M24" s="44">
        <f>SUM(M22:M23)+'Scope 3 Yearly'!M11+'Scope 3 Yearly'!M12+'Scope 3 Yearly'!M13+0.5*'Scope 3 Yearly'!M14</f>
        <v>325.65652306106472</v>
      </c>
      <c r="N24" s="44">
        <f>SUM(N22:N23)+'Scope 3 Yearly'!N11+'Scope 3 Yearly'!N12+'Scope 3 Yearly'!N13+0.5*'Scope 3 Yearly'!N14</f>
        <v>333.83441557421548</v>
      </c>
      <c r="O24" s="44">
        <f>SUM(O22:O23)+'Scope 3 Yearly'!O11+'Scope 3 Yearly'!O12+'Scope 3 Yearly'!O13+0.5*'Scope 3 Yearly'!O14</f>
        <v>342.05984638242217</v>
      </c>
      <c r="P24" s="44">
        <f>SUM(P22:P23)+'Scope 3 Yearly'!P11+'Scope 3 Yearly'!P12+'Scope 3 Yearly'!P13+0.5*'Scope 3 Yearly'!P14</f>
        <v>349.80974613131923</v>
      </c>
      <c r="Q24" s="44">
        <f>SUM(Q22:Q23)+'Scope 3 Yearly'!Q11+'Scope 3 Yearly'!Q12+'Scope 3 Yearly'!Q13+0.5*'Scope 3 Yearly'!Q14</f>
        <v>357.0821987682109</v>
      </c>
      <c r="R24" s="44">
        <f>SUM(R22:R23)+'Scope 3 Yearly'!R11+'Scope 3 Yearly'!R12+'Scope 3 Yearly'!R13+0.5*'Scope 3 Yearly'!R14</f>
        <v>363.8076233748194</v>
      </c>
      <c r="S24" s="44">
        <f>SUM(S22:S23)+'Scope 3 Yearly'!S11+'Scope 3 Yearly'!S12+'Scope 3 Yearly'!S13+0.5*'Scope 3 Yearly'!S14</f>
        <v>369.9568138271049</v>
      </c>
      <c r="T24" s="44">
        <f>SUM(T22:T23)+'Scope 3 Yearly'!T11+'Scope 3 Yearly'!T12+'Scope 3 Yearly'!T13+0.5*'Scope 3 Yearly'!T14</f>
        <v>376.16505735182579</v>
      </c>
      <c r="U24" s="44">
        <f>SUM(U22:U23)+'Scope 3 Yearly'!U11+'Scope 3 Yearly'!U12+'Scope 3 Yearly'!U13+0.5*'Scope 3 Yearly'!U14</f>
        <v>382.41707130949777</v>
      </c>
      <c r="V24" s="44">
        <f>SUM(V22:V23)+'Scope 3 Yearly'!V11+'Scope 3 Yearly'!V12+'Scope 3 Yearly'!V13+0.5*'Scope 3 Yearly'!V14</f>
        <v>388.69637350716437</v>
      </c>
      <c r="W24" s="44">
        <f>SUM(W22:W23)+'Scope 3 Yearly'!W11+'Scope 3 Yearly'!W12+'Scope 3 Yearly'!W13+0.5*'Scope 3 Yearly'!W14</f>
        <v>394.98712359681656</v>
      </c>
      <c r="X24" s="44">
        <f>SUM(X22:X23)+'Scope 3 Yearly'!X11+'Scope 3 Yearly'!X12+'Scope 3 Yearly'!X13+0.5*'Scope 3 Yearly'!X14</f>
        <v>401.24363048824648</v>
      </c>
      <c r="Y24" s="44">
        <f>SUM(Y22:Y23)+'Scope 3 Yearly'!Y11+'Scope 3 Yearly'!Y12+'Scope 3 Yearly'!Y13+0.5*'Scope 3 Yearly'!Y14</f>
        <v>408.18368493813739</v>
      </c>
      <c r="Z24" s="44">
        <f>SUM(Z22:Z23)+'Scope 3 Yearly'!Z11+'Scope 3 Yearly'!Z12+'Scope 3 Yearly'!Z13+0.5*'Scope 3 Yearly'!Z14</f>
        <v>415.11676402618099</v>
      </c>
      <c r="AA24" s="44">
        <f>SUM(AA22:AA23)+'Scope 3 Yearly'!AA11+'Scope 3 Yearly'!AA12+'Scope 3 Yearly'!AA13+0.5*'Scope 3 Yearly'!AA14</f>
        <v>422.11046031864907</v>
      </c>
      <c r="AB24" s="44">
        <f>SUM(AB22:AB23)+'Scope 3 Yearly'!AB11+'Scope 3 Yearly'!AB12+'Scope 3 Yearly'!AB13+0.5*'Scope 3 Yearly'!AB14</f>
        <v>429.10613635637759</v>
      </c>
      <c r="AC24" s="44">
        <f>SUM(AC22:AC23)+'Scope 3 Yearly'!AC11+'Scope 3 Yearly'!AC12+'Scope 3 Yearly'!AC13+0.5*'Scope 3 Yearly'!AC14</f>
        <v>436.11019175984779</v>
      </c>
      <c r="AD24" s="44">
        <f>SUM(AD22:AD23)+'Scope 3 Yearly'!AD11+'Scope 3 Yearly'!AD12+'Scope 3 Yearly'!AD13+0.5*'Scope 3 Yearly'!AD14</f>
        <v>443.13551635871869</v>
      </c>
      <c r="AE24" s="44">
        <f>SUM(AE22:AE23)+'Scope 3 Yearly'!AE11+'Scope 3 Yearly'!AE12+'Scope 3 Yearly'!AE13+0.5*'Scope 3 Yearly'!AE14</f>
        <v>450.19224462534879</v>
      </c>
      <c r="AF24" s="44">
        <f>SUM(AF22:AF23)+'Scope 3 Yearly'!AF11+'Scope 3 Yearly'!AF12+'Scope 3 Yearly'!AF13+0.5*'Scope 3 Yearly'!AF14</f>
        <v>457.28917598183403</v>
      </c>
      <c r="AG24" s="44">
        <f>SUM(AG22:AG23)+'Scope 3 Yearly'!AG11+'Scope 3 Yearly'!AG12+'Scope 3 Yearly'!AG13+0.5*'Scope 3 Yearly'!AG14</f>
        <v>464.44879374655079</v>
      </c>
      <c r="AH24" s="44">
        <f>SUM(AH22:AH23)+'Scope 3 Yearly'!AH11+'Scope 3 Yearly'!AH12+'Scope 3 Yearly'!AH13+0.5*'Scope 3 Yearly'!AH14</f>
        <v>471.60706379847949</v>
      </c>
      <c r="AI24" s="44"/>
      <c r="AJ24" s="44">
        <f>'Scope 3 Yearly'!AJ11+'Scope 3 Yearly'!AJ12+'Scope 3 Yearly'!AJ13+0.5*'Scope 3 Yearly'!AJ14+SUM(AJ22:AJ23)</f>
        <v>249.41419850753655</v>
      </c>
      <c r="AK24" s="44">
        <f>'Scope 3 Yearly'!AK11+'Scope 3 Yearly'!AK12+'Scope 3 Yearly'!AK13+0.5*'Scope 3 Yearly'!AK14+SUM(AK22:AK23)</f>
        <v>258.94773368502587</v>
      </c>
      <c r="AL24" s="44">
        <f>'Scope 3 Yearly'!AL11+'Scope 3 Yearly'!AL12+'Scope 3 Yearly'!AL13+0.5*'Scope 3 Yearly'!AL14+SUM(AL22:AL23)</f>
        <v>268.24516929022298</v>
      </c>
      <c r="AM24" s="44">
        <f>'Scope 3 Yearly'!AM11+'Scope 3 Yearly'!AM12+'Scope 3 Yearly'!AM13+0.5*'Scope 3 Yearly'!AM14+SUM(AM22:AM23)</f>
        <v>277.13607370425717</v>
      </c>
      <c r="AN24" s="44">
        <f>'Scope 3 Yearly'!AN11+'Scope 3 Yearly'!AN12+'Scope 3 Yearly'!AN13+0.5*'Scope 3 Yearly'!AN14+SUM(AN22:AN23)</f>
        <v>285.55950285178443</v>
      </c>
      <c r="AO24" s="44">
        <f>'Scope 3 Yearly'!AO11+'Scope 3 Yearly'!AO12+'Scope 3 Yearly'!AO13+0.5*'Scope 3 Yearly'!AO14+SUM(AO22:AO23)</f>
        <v>293.456480338517</v>
      </c>
      <c r="AP24" s="44">
        <f>'Scope 3 Yearly'!AP11+'Scope 3 Yearly'!AP12+'Scope 3 Yearly'!AP13+0.5*'Scope 3 Yearly'!AP14+SUM(AP22:AP23)</f>
        <v>301.41963263835345</v>
      </c>
      <c r="AQ24" s="44">
        <f>'Scope 3 Yearly'!AQ11+'Scope 3 Yearly'!AQ12+'Scope 3 Yearly'!AQ13+0.5*'Scope 3 Yearly'!AQ14+SUM(AQ22:AQ23)</f>
        <v>309.44293873878672</v>
      </c>
      <c r="AR24" s="44">
        <f>'Scope 3 Yearly'!AR11+'Scope 3 Yearly'!AR12+'Scope 3 Yearly'!AR13+0.5*'Scope 3 Yearly'!AR14+SUM(AR22:AR23)</f>
        <v>317.52044613225422</v>
      </c>
      <c r="AS24" s="44">
        <f>'Scope 3 Yearly'!AS11+'Scope 3 Yearly'!AS12+'Scope 3 Yearly'!AS13+0.5*'Scope 3 Yearly'!AS14+SUM(AS22:AS23)</f>
        <v>325.64651349682651</v>
      </c>
      <c r="AT24" s="44">
        <f>'Scope 3 Yearly'!AT11+'Scope 3 Yearly'!AT12+'Scope 3 Yearly'!AT13+0.5*'Scope 3 Yearly'!AT14+SUM(AT22:AT23)</f>
        <v>333.81543066094662</v>
      </c>
      <c r="AU24" s="44">
        <f>'Scope 3 Yearly'!AU11+'Scope 3 Yearly'!AU12+'Scope 3 Yearly'!AU13+0.5*'Scope 3 Yearly'!AU14+SUM(AU22:AU23)</f>
        <v>342.02660364965072</v>
      </c>
      <c r="AV24" s="44">
        <f>'Scope 3 Yearly'!AV11+'Scope 3 Yearly'!AV12+'Scope 3 Yearly'!AV13+0.5*'Scope 3 Yearly'!AV14+SUM(AV22:AV23)</f>
        <v>349.75357975769555</v>
      </c>
      <c r="AW24" s="44">
        <f>'Scope 3 Yearly'!AW11+'Scope 3 Yearly'!AW12+'Scope 3 Yearly'!AW13+0.5*'Scope 3 Yearly'!AW14+SUM(AW22:AW23)</f>
        <v>356.97859485198836</v>
      </c>
      <c r="AX24" s="44">
        <f>'Scope 3 Yearly'!AX11+'Scope 3 Yearly'!AX12+'Scope 3 Yearly'!AX13+0.5*'Scope 3 Yearly'!AX14+SUM(AX22:AX23)</f>
        <v>363.64290868669741</v>
      </c>
      <c r="AY24" s="44">
        <f>'Scope 3 Yearly'!AY11+'Scope 3 Yearly'!AY12+'Scope 3 Yearly'!AY13+0.5*'Scope 3 Yearly'!AY14+SUM(AY22:AY23)</f>
        <v>369.71347866695919</v>
      </c>
      <c r="AZ24" s="44">
        <f>'Scope 3 Yearly'!AZ11+'Scope 3 Yearly'!AZ12+'Scope 3 Yearly'!AZ13+0.5*'Scope 3 Yearly'!AZ14+SUM(AZ22:AZ23)</f>
        <v>375.82765337679837</v>
      </c>
      <c r="BA24" s="44">
        <f>'Scope 3 Yearly'!BA11+'Scope 3 Yearly'!BA12+'Scope 3 Yearly'!BA13+0.5*'Scope 3 Yearly'!BA14+SUM(BA22:BA23)</f>
        <v>381.97619345875898</v>
      </c>
      <c r="BB24" s="44">
        <f>'Scope 3 Yearly'!BB11+'Scope 3 Yearly'!BB12+'Scope 3 Yearly'!BB13+0.5*'Scope 3 Yearly'!BB14+SUM(BB22:BB23)</f>
        <v>388.14920180817012</v>
      </c>
      <c r="BC24" s="44">
        <f>'Scope 3 Yearly'!BC11+'Scope 3 Yearly'!BC12+'Scope 3 Yearly'!BC13+0.5*'Scope 3 Yearly'!BC14+SUM(BC22:BC23)</f>
        <v>394.33710240186144</v>
      </c>
      <c r="BD24" s="44">
        <f>'Scope 3 Yearly'!BD11+'Scope 3 Yearly'!BD12+'Scope 3 Yearly'!BD13+0.5*'Scope 3 Yearly'!BD14+SUM(BD22:BD23)</f>
        <v>400.49866283340191</v>
      </c>
      <c r="BE24" s="44">
        <f>'Scope 3 Yearly'!BE11+'Scope 3 Yearly'!BE12+'Scope 3 Yearly'!BE13+0.5*'Scope 3 Yearly'!BE14+SUM(BE22:BE23)</f>
        <v>407.36248369587122</v>
      </c>
      <c r="BF24" s="44">
        <f>'Scope 3 Yearly'!BF11+'Scope 3 Yearly'!BF12+'Scope 3 Yearly'!BF13+0.5*'Scope 3 Yearly'!BF14+SUM(BF22:BF23)</f>
        <v>414.21524558617205</v>
      </c>
      <c r="BG24" s="44">
        <f>'Scope 3 Yearly'!BG11+'Scope 3 Yearly'!BG12+'Scope 3 Yearly'!BG13+0.5*'Scope 3 Yearly'!BG14+SUM(BG22:BG23)</f>
        <v>421.13510249482727</v>
      </c>
      <c r="BH24" s="44">
        <f>'Scope 3 Yearly'!BH11+'Scope 3 Yearly'!BH12+'Scope 3 Yearly'!BH13+0.5*'Scope 3 Yearly'!BH14+SUM(BH22:BH23)</f>
        <v>428.06219881468428</v>
      </c>
      <c r="BI24" s="44">
        <f>'Scope 3 Yearly'!BI11+'Scope 3 Yearly'!BI12+'Scope 3 Yearly'!BI13+0.5*'Scope 3 Yearly'!BI14+SUM(BI22:BI23)</f>
        <v>434.99905732409911</v>
      </c>
      <c r="BJ24" s="44">
        <f>'Scope 3 Yearly'!BJ11+'Scope 3 Yearly'!BJ12+'Scope 3 Yearly'!BJ13+0.5*'Scope 3 Yearly'!BJ14+SUM(BJ22:BJ23)</f>
        <v>441.95368990091436</v>
      </c>
      <c r="BK24" s="44">
        <f>'Scope 3 Yearly'!BK11+'Scope 3 Yearly'!BK12+'Scope 3 Yearly'!BK13+0.5*'Scope 3 Yearly'!BK14+SUM(BK22:BK23)</f>
        <v>448.93271051497379</v>
      </c>
      <c r="BL24" s="44">
        <f>'Scope 3 Yearly'!BL11+'Scope 3 Yearly'!BL12+'Scope 3 Yearly'!BL13+0.5*'Scope 3 Yearly'!BL14+SUM(BL22:BL23)</f>
        <v>455.93938642464354</v>
      </c>
      <c r="BM24" s="44">
        <f>'Scope 3 Yearly'!BM11+'Scope 3 Yearly'!BM12+'Scope 3 Yearly'!BM13+0.5*'Scope 3 Yearly'!BM14+SUM(BM22:BM23)</f>
        <v>462.98582845279452</v>
      </c>
      <c r="BN24" s="44">
        <f>'Scope 3 Yearly'!BN11+'Scope 3 Yearly'!BN12+'Scope 3 Yearly'!BN13+0.5*'Scope 3 Yearly'!BN14+SUM(BN22:BN23)</f>
        <v>469.99310210301405</v>
      </c>
      <c r="BO24" s="44"/>
      <c r="BP24" s="44">
        <f>'Scope 3 Yearly'!BP11+'Scope 3 Yearly'!BP12+'Scope 3 Yearly'!BP13+0.5*'Scope 3 Yearly'!BP14+SUM(BP22:BP23)</f>
        <v>249.41417828173027</v>
      </c>
      <c r="BQ24" s="44">
        <f>'Scope 3 Yearly'!BQ11+'Scope 3 Yearly'!BQ12+'Scope 3 Yearly'!BQ13+0.5*'Scope 3 Yearly'!BQ14+SUM(BQ22:BQ23)</f>
        <v>256.55896847017323</v>
      </c>
      <c r="BR24" s="44">
        <f>'Scope 3 Yearly'!BR11+'Scope 3 Yearly'!BR12+'Scope 3 Yearly'!BR13+0.5*'Scope 3 Yearly'!BR14+SUM(BR22:BR23)</f>
        <v>263.23260865338978</v>
      </c>
      <c r="BS24" s="44">
        <f>'Scope 3 Yearly'!BS11+'Scope 3 Yearly'!BS12+'Scope 3 Yearly'!BS13+0.5*'Scope 3 Yearly'!BS14+SUM(BS22:BS23)</f>
        <v>269.38893903613621</v>
      </c>
      <c r="BT24" s="44">
        <f>'Scope 3 Yearly'!BT11+'Scope 3 Yearly'!BT12+'Scope 3 Yearly'!BT13+0.5*'Scope 3 Yearly'!BT14+SUM(BT22:BT23)</f>
        <v>274.98488827720877</v>
      </c>
      <c r="BU24" s="44">
        <f>'Scope 3 Yearly'!BU11+'Scope 3 Yearly'!BU12+'Scope 3 Yearly'!BU13+0.5*'Scope 3 Yearly'!BU14+SUM(BU22:BU23)</f>
        <v>279.98100054140946</v>
      </c>
      <c r="BV24" s="44">
        <f>'Scope 3 Yearly'!BV11+'Scope 3 Yearly'!BV12+'Scope 3 Yearly'!BV13+0.5*'Scope 3 Yearly'!BV14+SUM(BV22:BV23)</f>
        <v>284.93541370043704</v>
      </c>
      <c r="BW24" s="44">
        <f>'Scope 3 Yearly'!BW11+'Scope 3 Yearly'!BW12+'Scope 3 Yearly'!BW13+0.5*'Scope 3 Yearly'!BW14+SUM(BW22:BW23)</f>
        <v>289.84268375700003</v>
      </c>
      <c r="BX24" s="44">
        <f>'Scope 3 Yearly'!BX11+'Scope 3 Yearly'!BX12+'Scope 3 Yearly'!BX13+0.5*'Scope 3 Yearly'!BX14+SUM(BX22:BX23)</f>
        <v>294.69734005910578</v>
      </c>
      <c r="BY24" s="44">
        <f>'Scope 3 Yearly'!BY11+'Scope 3 Yearly'!BY12+'Scope 3 Yearly'!BY13+0.5*'Scope 3 Yearly'!BY14+SUM(BY22:BY23)</f>
        <v>299.4938959179384</v>
      </c>
      <c r="BZ24" s="44">
        <f>'Scope 3 Yearly'!BZ11+'Scope 3 Yearly'!BZ12+'Scope 3 Yearly'!BZ13+0.5*'Scope 3 Yearly'!BZ14+SUM(BZ22:BZ23)</f>
        <v>304.22685949317037</v>
      </c>
      <c r="CA24" s="44">
        <f>'Scope 3 Yearly'!CA11+'Scope 3 Yearly'!CA12+'Scope 3 Yearly'!CA13+0.5*'Scope 3 Yearly'!CA14+SUM(CA22:CA23)</f>
        <v>308.46409969917852</v>
      </c>
      <c r="CB24" s="44">
        <f>'Scope 3 Yearly'!CB11+'Scope 3 Yearly'!CB12+'Scope 3 Yearly'!CB13+0.5*'Scope 3 Yearly'!CB14+SUM(CB22:CB23)</f>
        <v>312.18263587396734</v>
      </c>
      <c r="CC24" s="44">
        <f>'Scope 3 Yearly'!CC11+'Scope 3 Yearly'!CC12+'Scope 3 Yearly'!CC13+0.5*'Scope 3 Yearly'!CC14+SUM(CC22:CC23)</f>
        <v>315.36219555617242</v>
      </c>
      <c r="CD24" s="44">
        <f>'Scope 3 Yearly'!CD11+'Scope 3 Yearly'!CD12+'Scope 3 Yearly'!CD13+0.5*'Scope 3 Yearly'!CD14+SUM(CD22:CD23)</f>
        <v>317.98541628968161</v>
      </c>
      <c r="CE24" s="44">
        <f>'Scope 3 Yearly'!CE11+'Scope 3 Yearly'!CE12+'Scope 3 Yearly'!CE13+0.5*'Scope 3 Yearly'!CE14+SUM(CE22:CE23)</f>
        <v>320.03802238184045</v>
      </c>
      <c r="CF24" s="44">
        <f>'Scope 3 Yearly'!CF11+'Scope 3 Yearly'!CF12+'Scope 3 Yearly'!CF13+0.5*'Scope 3 Yearly'!CF14+SUM(CF22:CF23)</f>
        <v>322.06601083477386</v>
      </c>
      <c r="CG24" s="44">
        <f>'Scope 3 Yearly'!CG11+'Scope 3 Yearly'!CG12+'Scope 3 Yearly'!CG13+0.5*'Scope 3 Yearly'!CG14+SUM(CG22:CG23)</f>
        <v>324.06880328242551</v>
      </c>
      <c r="CH24" s="44">
        <f>'Scope 3 Yearly'!CH11+'Scope 3 Yearly'!CH12+'Scope 3 Yearly'!CH13+0.5*'Scope 3 Yearly'!CH14+SUM(CH22:CH23)</f>
        <v>326.04583131213059</v>
      </c>
      <c r="CI24" s="44">
        <f>'Scope 3 Yearly'!CI11+'Scope 3 Yearly'!CI12+'Scope 3 Yearly'!CI13+0.5*'Scope 3 Yearly'!CI14+SUM(CI22:CI23)</f>
        <v>327.99653699018188</v>
      </c>
      <c r="CJ24" s="44">
        <f>'Scope 3 Yearly'!CJ11+'Scope 3 Yearly'!CJ12+'Scope 3 Yearly'!CJ13+0.5*'Scope 3 Yearly'!CJ14+SUM(CJ22:CJ23)</f>
        <v>329.92037338906027</v>
      </c>
      <c r="CK24" s="44">
        <f>'Scope 3 Yearly'!CK11+'Scope 3 Yearly'!CK12+'Scope 3 Yearly'!CK13+0.5*'Scope 3 Yearly'!CK14+SUM(CK22:CK23)</f>
        <v>331.82030390696508</v>
      </c>
      <c r="CL24" s="44">
        <f>'Scope 3 Yearly'!CL11+'Scope 3 Yearly'!CL12+'Scope 3 Yearly'!CL13+0.5*'Scope 3 Yearly'!CL14+SUM(CL22:CL23)</f>
        <v>333.69585943668028</v>
      </c>
      <c r="CM24" s="44">
        <f>'Scope 3 Yearly'!CM11+'Scope 3 Yearly'!CM12+'Scope 3 Yearly'!CM13+0.5*'Scope 3 Yearly'!CM14+SUM(CM22:CM23)</f>
        <v>335.54658119460629</v>
      </c>
      <c r="CN24" s="44">
        <f>'Scope 3 Yearly'!CN11+'Scope 3 Yearly'!CN12+'Scope 3 Yearly'!CN13+0.5*'Scope 3 Yearly'!CN14+SUM(CN22:CN23)</f>
        <v>337.37202117151361</v>
      </c>
      <c r="CO24" s="44">
        <f>'Scope 3 Yearly'!CO11+'Scope 3 Yearly'!CO12+'Scope 3 Yearly'!CO13+0.5*'Scope 3 Yearly'!CO14+SUM(CO22:CO23)</f>
        <v>339.1717425844916</v>
      </c>
      <c r="CP24" s="44">
        <f>'Scope 3 Yearly'!CP11+'Scope 3 Yearly'!CP12+'Scope 3 Yearly'!CP13+0.5*'Scope 3 Yearly'!CP14+SUM(CP22:CP23)</f>
        <v>340.94839040459897</v>
      </c>
      <c r="CQ24" s="44">
        <f>'Scope 3 Yearly'!CQ11+'Scope 3 Yearly'!CQ12+'Scope 3 Yearly'!CQ13+0.5*'Scope 3 Yearly'!CQ14+SUM(CQ22:CQ23)</f>
        <v>342.7015929005932</v>
      </c>
      <c r="CR24" s="44">
        <f>'Scope 3 Yearly'!CR11+'Scope 3 Yearly'!CR12+'Scope 3 Yearly'!CR13+0.5*'Scope 3 Yearly'!CR14+SUM(CR22:CR23)</f>
        <v>344.43098897347517</v>
      </c>
      <c r="CS24" s="44">
        <f>'Scope 3 Yearly'!CS11+'Scope 3 Yearly'!CS12+'Scope 3 Yearly'!CS13+0.5*'Scope 3 Yearly'!CS14+SUM(CS22:CS23)</f>
        <v>346.13622855086817</v>
      </c>
      <c r="CT24" s="44">
        <f>'Scope 3 Yearly'!CT11+'Scope 3 Yearly'!CT12+'Scope 3 Yearly'!CT13+0.5*'Scope 3 Yearly'!CT14+SUM(CT22:CT23)</f>
        <v>347.81697298238674</v>
      </c>
      <c r="CU24" s="44"/>
      <c r="CV24" s="44">
        <f>'Scope 3 Yearly'!CV11+'Scope 3 Yearly'!CV12+'Scope 3 Yearly'!CV13+0.5*'Scope 3 Yearly'!CV14+SUM(CV22:CV23)</f>
        <v>249.41419850753655</v>
      </c>
      <c r="CW24" s="44">
        <f>'Scope 3 Yearly'!CW11+'Scope 3 Yearly'!CW12+'Scope 3 Yearly'!CW13+0.5*'Scope 3 Yearly'!CW14+SUM(CW22:CW23)</f>
        <v>258.94773368502587</v>
      </c>
      <c r="CX24" s="44">
        <f>'Scope 3 Yearly'!CX11+'Scope 3 Yearly'!CX12+'Scope 3 Yearly'!CX13+0.5*'Scope 3 Yearly'!CX14+SUM(CX22:CX23)</f>
        <v>268.24516929022298</v>
      </c>
      <c r="CY24" s="44">
        <f>'Scope 3 Yearly'!CY11+'Scope 3 Yearly'!CY12+'Scope 3 Yearly'!CY13+0.5*'Scope 3 Yearly'!CY14+SUM(CY22:CY23)</f>
        <v>277.13607370425717</v>
      </c>
      <c r="CZ24" s="44">
        <f>'Scope 3 Yearly'!CZ11+'Scope 3 Yearly'!CZ12+'Scope 3 Yearly'!CZ13+0.5*'Scope 3 Yearly'!CZ14+SUM(CZ22:CZ23)</f>
        <v>285.55950285178443</v>
      </c>
      <c r="DA24" s="44">
        <f>'Scope 3 Yearly'!DA11+'Scope 3 Yearly'!DA12+'Scope 3 Yearly'!DA13+0.5*'Scope 3 Yearly'!DA14+SUM(DA22:DA23)</f>
        <v>293.456480338517</v>
      </c>
      <c r="DB24" s="44">
        <f>'Scope 3 Yearly'!DB11+'Scope 3 Yearly'!DB12+'Scope 3 Yearly'!DB13+0.5*'Scope 3 Yearly'!DB14+SUM(DB22:DB23)</f>
        <v>301.41963263835345</v>
      </c>
      <c r="DC24" s="44">
        <f>'Scope 3 Yearly'!DC11+'Scope 3 Yearly'!DC12+'Scope 3 Yearly'!DC13+0.5*'Scope 3 Yearly'!DC14+SUM(DC22:DC23)</f>
        <v>309.44293873878672</v>
      </c>
      <c r="DD24" s="44">
        <f>'Scope 3 Yearly'!DD11+'Scope 3 Yearly'!DD12+'Scope 3 Yearly'!DD13+0.5*'Scope 3 Yearly'!DD14+SUM(DD22:DD23)</f>
        <v>317.52044613225422</v>
      </c>
      <c r="DE24" s="44">
        <f>'Scope 3 Yearly'!DE11+'Scope 3 Yearly'!DE12+'Scope 3 Yearly'!DE13+0.5*'Scope 3 Yearly'!DE14+SUM(DE22:DE23)</f>
        <v>325.64651349682651</v>
      </c>
      <c r="DF24" s="44">
        <f>'Scope 3 Yearly'!DF11+'Scope 3 Yearly'!DF12+'Scope 3 Yearly'!DF13+0.5*'Scope 3 Yearly'!DF14+SUM(DF22:DF23)</f>
        <v>333.81543066094662</v>
      </c>
      <c r="DG24" s="44">
        <f>'Scope 3 Yearly'!DG11+'Scope 3 Yearly'!DG12+'Scope 3 Yearly'!DG13+0.5*'Scope 3 Yearly'!DG14+SUM(DG22:DG23)</f>
        <v>342.02660364965072</v>
      </c>
      <c r="DH24" s="44">
        <f>'Scope 3 Yearly'!DH11+'Scope 3 Yearly'!DH12+'Scope 3 Yearly'!DH13+0.5*'Scope 3 Yearly'!DH14+SUM(DH22:DH23)</f>
        <v>349.75357975769555</v>
      </c>
      <c r="DI24" s="44">
        <f>'Scope 3 Yearly'!DI11+'Scope 3 Yearly'!DI12+'Scope 3 Yearly'!DI13+0.5*'Scope 3 Yearly'!DI14+SUM(DI22:DI23)</f>
        <v>356.95875427126407</v>
      </c>
      <c r="DJ24" s="44">
        <f>'Scope 3 Yearly'!DJ11+'Scope 3 Yearly'!DJ12+'Scope 3 Yearly'!DJ13+0.5*'Scope 3 Yearly'!DJ14+SUM(DJ22:DJ23)</f>
        <v>363.60257685111424</v>
      </c>
      <c r="DK24" s="44">
        <f>'Scope 3 Yearly'!DK11+'Scope 3 Yearly'!DK12+'Scope 3 Yearly'!DK13+0.5*'Scope 3 Yearly'!DK14+SUM(DK22:DK23)</f>
        <v>369.65210675957263</v>
      </c>
      <c r="DL24" s="44">
        <f>'Scope 3 Yearly'!DL11+'Scope 3 Yearly'!DL12+'Scope 3 Yearly'!DL13+0.5*'Scope 3 Yearly'!DL14+SUM(DL22:DL23)</f>
        <v>375.74465194783761</v>
      </c>
      <c r="DM24" s="44">
        <f>'Scope 3 Yearly'!DM11+'Scope 3 Yearly'!DM12+'Scope 3 Yearly'!DM13+0.5*'Scope 3 Yearly'!DM14+SUM(DM22:DM23)</f>
        <v>381.87096828823957</v>
      </c>
      <c r="DN24" s="44">
        <f>'Scope 3 Yearly'!DN11+'Scope 3 Yearly'!DN12+'Scope 3 Yearly'!DN13+0.5*'Scope 3 Yearly'!DN14+SUM(DN22:DN23)</f>
        <v>388.02115410573481</v>
      </c>
      <c r="DO24" s="44">
        <f>'Scope 3 Yearly'!DO11+'Scope 3 Yearly'!DO12+'Scope 3 Yearly'!DO13+0.5*'Scope 3 Yearly'!DO14+SUM(DO22:DO23)</f>
        <v>394.18562901304529</v>
      </c>
      <c r="DP24" s="44">
        <f>'Scope 3 Yearly'!DP11+'Scope 3 Yearly'!DP12+'Scope 3 Yearly'!DP13+0.5*'Scope 3 Yearly'!DP14+SUM(DP22:DP23)</f>
        <v>400.32315645228437</v>
      </c>
      <c r="DQ24" s="44">
        <f>'Scope 3 Yearly'!DQ11+'Scope 3 Yearly'!DQ12+'Scope 3 Yearly'!DQ13+0.5*'Scope 3 Yearly'!DQ14+SUM(DQ22:DQ23)</f>
        <v>407.16233087952867</v>
      </c>
      <c r="DR24" s="44">
        <f>'Scope 3 Yearly'!DR11+'Scope 3 Yearly'!DR12+'Scope 3 Yearly'!DR13+0.5*'Scope 3 Yearly'!DR14+SUM(DR22:DR23)</f>
        <v>413.98982834601827</v>
      </c>
      <c r="DS24" s="44">
        <f>'Scope 3 Yearly'!DS11+'Scope 3 Yearly'!DS12+'Scope 3 Yearly'!DS13+0.5*'Scope 3 Yearly'!DS14+SUM(DS22:DS23)</f>
        <v>420.82688884179447</v>
      </c>
      <c r="DT24" s="44">
        <f>'Scope 3 Yearly'!DT11+'Scope 3 Yearly'!DT12+'Scope 3 Yearly'!DT13+0.5*'Scope 3 Yearly'!DT14+SUM(DT22:DT23)</f>
        <v>427.66903961560689</v>
      </c>
      <c r="DU24" s="44">
        <f>'Scope 3 Yearly'!DU11+'Scope 3 Yearly'!DU12+'Scope 3 Yearly'!DU13+0.5*'Scope 3 Yearly'!DU14+SUM(DU22:DU23)</f>
        <v>434.51878843067948</v>
      </c>
      <c r="DV24" s="44">
        <f>'Scope 3 Yearly'!DV11+'Scope 3 Yearly'!DV12+'Scope 3 Yearly'!DV13+0.5*'Scope 3 Yearly'!DV14+SUM(DV22:DV23)</f>
        <v>441.38412745491144</v>
      </c>
      <c r="DW24" s="44">
        <f>'Scope 3 Yearly'!DW11+'Scope 3 Yearly'!DW12+'Scope 3 Yearly'!DW13+0.5*'Scope 3 Yearly'!DW14+SUM(DW22:DW23)</f>
        <v>448.271654439283</v>
      </c>
      <c r="DX24" s="44">
        <f>'Scope 3 Yearly'!DX11+'Scope 3 Yearly'!DX12+'Scope 3 Yearly'!DX13+0.5*'Scope 3 Yearly'!DX14+SUM(DX22:DX23)</f>
        <v>455.18462102201454</v>
      </c>
      <c r="DY24" s="44">
        <f>'Scope 3 Yearly'!DY11+'Scope 3 Yearly'!DY12+'Scope 3 Yearly'!DY13+0.5*'Scope 3 Yearly'!DY14+SUM(DY22:DY23)</f>
        <v>462.13512302217919</v>
      </c>
      <c r="DZ24" s="44">
        <f>'Scope 3 Yearly'!DZ11+'Scope 3 Yearly'!DZ12+'Scope 3 Yearly'!DZ13+0.5*'Scope 3 Yearly'!DZ14+SUM(DZ22:DZ23)</f>
        <v>469.04421157345359</v>
      </c>
      <c r="EB24" t="s">
        <v>1895</v>
      </c>
      <c r="EE24" s="43">
        <f>'Yearly BTX'!AH114+'Yearly Butadiene'!AH72+'Yearly Methanol'!AH115+'Yearly HC Ethylene'!AH147+'Yearly HC Propylene'!AH67</f>
        <v>107.84338815772873</v>
      </c>
      <c r="EI24" s="26"/>
      <c r="EQ24">
        <v>0</v>
      </c>
      <c r="ER24">
        <v>8.6200532203147592E-2</v>
      </c>
      <c r="ES24">
        <v>0.28400607229121022</v>
      </c>
      <c r="ET24">
        <v>7.4600264700038471E-2</v>
      </c>
      <c r="EU24">
        <v>6.4354290510747536E-2</v>
      </c>
    </row>
    <row r="25" spans="1:151">
      <c r="A25" s="1"/>
      <c r="B25" t="s">
        <v>90</v>
      </c>
      <c r="C25" s="54" t="s">
        <v>69</v>
      </c>
      <c r="D25" s="44">
        <f>'Scope 3 Yearly'!D11</f>
        <v>47.054726630584348</v>
      </c>
      <c r="E25" s="44">
        <f>'Scope 3 Yearly'!E11</f>
        <v>50.048824903554333</v>
      </c>
      <c r="F25" s="44">
        <f>'Scope 3 Yearly'!F11</f>
        <v>52.959424330982628</v>
      </c>
      <c r="G25" s="44">
        <f>'Scope 3 Yearly'!G11</f>
        <v>55.834866907253577</v>
      </c>
      <c r="H25" s="44">
        <f>'Scope 3 Yearly'!H11</f>
        <v>58.655070770893047</v>
      </c>
      <c r="I25" s="44">
        <f>'Scope 3 Yearly'!I11</f>
        <v>61.399630911783447</v>
      </c>
      <c r="J25" s="44">
        <f>'Scope 3 Yearly'!J11</f>
        <v>64.186156760550219</v>
      </c>
      <c r="K25" s="44">
        <f>'Scope 3 Yearly'!K11</f>
        <v>67.011158214250131</v>
      </c>
      <c r="L25" s="44">
        <f>'Scope 3 Yearly'!L11</f>
        <v>69.870343901424818</v>
      </c>
      <c r="M25" s="44">
        <f>'Scope 3 Yearly'!M11</f>
        <v>72.758127745109505</v>
      </c>
      <c r="N25" s="44">
        <f>'Scope 3 Yearly'!N11</f>
        <v>75.667485286215054</v>
      </c>
      <c r="O25" s="44">
        <f>'Scope 3 Yearly'!O11</f>
        <v>77.995610919841326</v>
      </c>
      <c r="P25" s="44">
        <f>'Scope 3 Yearly'!P11</f>
        <v>80.158269117420787</v>
      </c>
      <c r="Q25" s="44">
        <f>'Scope 3 Yearly'!Q11</f>
        <v>82.139441955747031</v>
      </c>
      <c r="R25" s="44">
        <f>'Scope 3 Yearly'!R11</f>
        <v>83.909446714365174</v>
      </c>
      <c r="S25" s="44">
        <f>'Scope 3 Yearly'!S11</f>
        <v>85.440974600541907</v>
      </c>
      <c r="T25" s="44">
        <f>'Scope 3 Yearly'!T11</f>
        <v>86.8798914342687</v>
      </c>
      <c r="U25" s="44">
        <f>'Scope 3 Yearly'!U11</f>
        <v>88.235293711458809</v>
      </c>
      <c r="V25" s="44">
        <f>'Scope 3 Yearly'!V11</f>
        <v>89.51975935581936</v>
      </c>
      <c r="W25" s="44">
        <f>'Scope 3 Yearly'!W11</f>
        <v>90.747358451424091</v>
      </c>
      <c r="X25" s="44">
        <f>'Scope 3 Yearly'!X11</f>
        <v>91.974670702474</v>
      </c>
      <c r="Y25" s="44">
        <f>'Scope 3 Yearly'!Y11</f>
        <v>92.211440009625363</v>
      </c>
      <c r="Z25" s="44">
        <f>'Scope 3 Yearly'!Z11</f>
        <v>92.350029856315004</v>
      </c>
      <c r="AA25" s="44">
        <f>'Scope 3 Yearly'!AA11</f>
        <v>92.389297894506598</v>
      </c>
      <c r="AB25" s="44">
        <f>'Scope 3 Yearly'!AB11</f>
        <v>92.308378293607845</v>
      </c>
      <c r="AC25" s="44">
        <f>'Scope 3 Yearly'!AC11</f>
        <v>92.089896037327122</v>
      </c>
      <c r="AD25" s="44">
        <f>'Scope 3 Yearly'!AD11</f>
        <v>91.711580426879564</v>
      </c>
      <c r="AE25" s="44">
        <f>'Scope 3 Yearly'!AE11</f>
        <v>91.145540010341975</v>
      </c>
      <c r="AF25" s="44">
        <f>'Scope 3 Yearly'!AF11</f>
        <v>90.36308101849184</v>
      </c>
      <c r="AG25" s="44">
        <f>'Scope 3 Yearly'!AG11</f>
        <v>89.307502381997836</v>
      </c>
      <c r="AH25" s="44">
        <f>'Scope 3 Yearly'!AH11</f>
        <v>88.078228445662077</v>
      </c>
      <c r="AI25" s="44"/>
      <c r="AJ25" s="44">
        <f>'Scope 3 Yearly'!AJ11</f>
        <v>47.054736907514837</v>
      </c>
      <c r="AK25" s="44">
        <f>'Scope 3 Yearly'!AK11</f>
        <v>50.048848118396762</v>
      </c>
      <c r="AL25" s="44">
        <f>'Scope 3 Yearly'!AL11</f>
        <v>52.959475012333129</v>
      </c>
      <c r="AM25" s="44">
        <f>'Scope 3 Yearly'!AM11</f>
        <v>55.83497669894399</v>
      </c>
      <c r="AN25" s="44">
        <f>'Scope 3 Yearly'!AN11</f>
        <v>58.655306582145684</v>
      </c>
      <c r="AO25" s="44">
        <f>'Scope 3 Yearly'!AO11</f>
        <v>61.400132441198735</v>
      </c>
      <c r="AP25" s="44">
        <f>'Scope 3 Yearly'!AP11</f>
        <v>64.187213421411641</v>
      </c>
      <c r="AQ25" s="44">
        <f>'Scope 3 Yearly'!AQ11</f>
        <v>67.013358188812489</v>
      </c>
      <c r="AR25" s="44">
        <f>'Scope 3 Yearly'!AR11</f>
        <v>69.874855202731993</v>
      </c>
      <c r="AS25" s="44">
        <f>'Scope 3 Yearly'!AS11</f>
        <v>72.767199594179388</v>
      </c>
      <c r="AT25" s="44">
        <f>'Scope 3 Yearly'!AT11</f>
        <v>75.68535343987989</v>
      </c>
      <c r="AU25" s="44">
        <f>'Scope 3 Yearly'!AU11</f>
        <v>78.028086322221256</v>
      </c>
      <c r="AV25" s="44">
        <f>'Scope 3 Yearly'!AV11</f>
        <v>80.215197930505454</v>
      </c>
      <c r="AW25" s="44">
        <f>'Scope 3 Yearly'!AW11</f>
        <v>82.230724320755527</v>
      </c>
      <c r="AX25" s="44">
        <f>'Scope 3 Yearly'!AX11</f>
        <v>84.05194174704863</v>
      </c>
      <c r="AY25" s="44">
        <f>'Scope 3 Yearly'!AY11</f>
        <v>85.657647832462217</v>
      </c>
      <c r="AZ25" s="44">
        <f>'Scope 3 Yearly'!AZ11</f>
        <v>87.193502403934929</v>
      </c>
      <c r="BA25" s="44">
        <f>'Scope 3 Yearly'!BA11</f>
        <v>88.663379864560937</v>
      </c>
      <c r="BB25" s="44">
        <f>'Scope 3 Yearly'!BB11</f>
        <v>90.073034242723011</v>
      </c>
      <c r="BC25" s="44">
        <f>'Scope 3 Yearly'!BC11</f>
        <v>91.429045879442469</v>
      </c>
      <c r="BD25" s="44">
        <f>'Scope 3 Yearly'!BD11</f>
        <v>92.781830955310738</v>
      </c>
      <c r="BE25" s="44">
        <f>'Scope 3 Yearly'!BE11</f>
        <v>93.125287388408751</v>
      </c>
      <c r="BF25" s="44">
        <f>'Scope 3 Yearly'!BF11</f>
        <v>93.382179888730079</v>
      </c>
      <c r="BG25" s="44">
        <f>'Scope 3 Yearly'!BG11</f>
        <v>93.536473655626722</v>
      </c>
      <c r="BH25" s="44">
        <f>'Scope 3 Yearly'!BH11</f>
        <v>93.568445036898254</v>
      </c>
      <c r="BI25" s="44">
        <f>'Scope 3 Yearly'!BI11</f>
        <v>93.466307552045706</v>
      </c>
      <c r="BJ25" s="44">
        <f>'Scope 3 Yearly'!BJ11</f>
        <v>93.215829456920972</v>
      </c>
      <c r="BK25" s="44">
        <f>'Scope 3 Yearly'!BK11</f>
        <v>92.795943121205781</v>
      </c>
      <c r="BL25" s="44">
        <f>'Scope 3 Yearly'!BL11</f>
        <v>92.18918901866526</v>
      </c>
      <c r="BM25" s="44">
        <f>'Scope 3 Yearly'!BM11</f>
        <v>91.360332641128892</v>
      </c>
      <c r="BN25" s="44">
        <f>'Scope 3 Yearly'!BN11</f>
        <v>90.441521053956663</v>
      </c>
      <c r="BO25" s="44"/>
      <c r="BP25" s="44">
        <f>'Scope 3 Yearly'!BP11</f>
        <v>47.05474959821683</v>
      </c>
      <c r="BQ25" s="44">
        <f>'Scope 3 Yearly'!BQ11</f>
        <v>49.342906184171767</v>
      </c>
      <c r="BR25" s="44">
        <f>'Scope 3 Yearly'!BR11</f>
        <v>51.583686036998493</v>
      </c>
      <c r="BS25" s="44">
        <f>'Scope 3 Yearly'!BS11</f>
        <v>53.761869621828474</v>
      </c>
      <c r="BT25" s="44">
        <f>'Scope 3 Yearly'!BT11</f>
        <v>55.862127103961114</v>
      </c>
      <c r="BU25" s="44">
        <f>'Scope 3 Yearly'!BU11</f>
        <v>57.869182947246216</v>
      </c>
      <c r="BV25" s="44">
        <f>'Scope 3 Yearly'!BV11</f>
        <v>59.909386033918459</v>
      </c>
      <c r="BW25" s="44">
        <f>'Scope 3 Yearly'!BW11</f>
        <v>61.981436444846686</v>
      </c>
      <c r="BX25" s="44">
        <f>'Scope 3 Yearly'!BX11</f>
        <v>64.083936633786934</v>
      </c>
      <c r="BY25" s="44">
        <f>'Scope 3 Yearly'!BY11</f>
        <v>66.215391211862396</v>
      </c>
      <c r="BZ25" s="44">
        <f>'Scope 3 Yearly'!BZ11</f>
        <v>68.374206978355019</v>
      </c>
      <c r="CA25" s="44">
        <f>'Scope 3 Yearly'!CA11</f>
        <v>70.44822850497917</v>
      </c>
      <c r="CB25" s="44">
        <f>'Scope 3 Yearly'!CB11</f>
        <v>72.425609108100787</v>
      </c>
      <c r="CC25" s="44">
        <f>'Scope 3 Yearly'!CC11</f>
        <v>74.294709967066154</v>
      </c>
      <c r="CD25" s="44">
        <f>'Scope 3 Yearly'!CD11</f>
        <v>76.04420052080475</v>
      </c>
      <c r="CE25" s="44">
        <f>'Scope 3 Yearly'!CE11</f>
        <v>77.663158671065091</v>
      </c>
      <c r="CF25" s="44">
        <f>'Scope 3 Yearly'!CF11</f>
        <v>79.297500435860499</v>
      </c>
      <c r="CG25" s="44">
        <f>'Scope 3 Yearly'!CG11</f>
        <v>80.946931057264152</v>
      </c>
      <c r="CH25" s="44">
        <f>'Scope 3 Yearly'!CH11</f>
        <v>82.611142437644531</v>
      </c>
      <c r="CI25" s="44">
        <f>'Scope 3 Yearly'!CI11</f>
        <v>84.289813034931029</v>
      </c>
      <c r="CJ25" s="44">
        <f>'Scope 3 Yearly'!CJ11</f>
        <v>85.982607763562072</v>
      </c>
      <c r="CK25" s="44">
        <f>'Scope 3 Yearly'!CK11</f>
        <v>87.690239913004589</v>
      </c>
      <c r="CL25" s="44">
        <f>'Scope 3 Yearly'!CL11</f>
        <v>89.412413345202737</v>
      </c>
      <c r="CM25" s="44">
        <f>'Scope 3 Yearly'!CM11</f>
        <v>91.148819508907764</v>
      </c>
      <c r="CN25" s="44">
        <f>'Scope 3 Yearly'!CN11</f>
        <v>92.899137341262588</v>
      </c>
      <c r="CO25" s="44">
        <f>'Scope 3 Yearly'!CO11</f>
        <v>94.663033173772448</v>
      </c>
      <c r="CP25" s="44">
        <f>'Scope 3 Yearly'!CP11</f>
        <v>96.441166638219059</v>
      </c>
      <c r="CQ25" s="44">
        <f>'Scope 3 Yearly'!CQ11</f>
        <v>98.233238245623539</v>
      </c>
      <c r="CR25" s="44">
        <f>'Scope 3 Yearly'!CR11</f>
        <v>100.03893683404544</v>
      </c>
      <c r="CS25" s="44">
        <f>'Scope 3 Yearly'!CS11</f>
        <v>101.85793947395628</v>
      </c>
      <c r="CT25" s="44">
        <f>'Scope 3 Yearly'!CT11</f>
        <v>103.68991137696932</v>
      </c>
      <c r="CU25" s="44"/>
      <c r="CV25" s="44">
        <f>'Scope 3 Yearly'!CV11</f>
        <v>47.054736907514837</v>
      </c>
      <c r="CW25" s="44">
        <f>'Scope 3 Yearly'!CW11</f>
        <v>50.048848118396762</v>
      </c>
      <c r="CX25" s="44">
        <f>'Scope 3 Yearly'!CX11</f>
        <v>52.959475012333129</v>
      </c>
      <c r="CY25" s="44">
        <f>'Scope 3 Yearly'!CY11</f>
        <v>55.83497669894399</v>
      </c>
      <c r="CZ25" s="44">
        <f>'Scope 3 Yearly'!CZ11</f>
        <v>58.655306582145684</v>
      </c>
      <c r="DA25" s="44">
        <f>'Scope 3 Yearly'!DA11</f>
        <v>61.400132441198735</v>
      </c>
      <c r="DB25" s="44">
        <f>'Scope 3 Yearly'!DB11</f>
        <v>64.187213421411641</v>
      </c>
      <c r="DC25" s="44">
        <f>'Scope 3 Yearly'!DC11</f>
        <v>67.013358188812489</v>
      </c>
      <c r="DD25" s="44">
        <f>'Scope 3 Yearly'!DD11</f>
        <v>69.874855202731993</v>
      </c>
      <c r="DE25" s="44">
        <f>'Scope 3 Yearly'!DE11</f>
        <v>72.767199594179388</v>
      </c>
      <c r="DF25" s="44">
        <f>'Scope 3 Yearly'!DF11</f>
        <v>75.685353439879876</v>
      </c>
      <c r="DG25" s="44">
        <f>'Scope 3 Yearly'!DG11</f>
        <v>78.028086322221256</v>
      </c>
      <c r="DH25" s="44">
        <f>'Scope 3 Yearly'!DH11</f>
        <v>80.215197930505454</v>
      </c>
      <c r="DI25" s="44">
        <f>'Scope 3 Yearly'!DI11</f>
        <v>82.224904529863053</v>
      </c>
      <c r="DJ25" s="44">
        <f>'Scope 3 Yearly'!DJ11</f>
        <v>84.039879889677962</v>
      </c>
      <c r="DK25" s="44">
        <f>'Scope 3 Yearly'!DK11</f>
        <v>85.638944013068212</v>
      </c>
      <c r="DL25" s="44">
        <f>'Scope 3 Yearly'!DL11</f>
        <v>87.167737304097244</v>
      </c>
      <c r="DM25" s="44">
        <f>'Scope 3 Yearly'!DM11</f>
        <v>88.630125261396159</v>
      </c>
      <c r="DN25" s="44">
        <f>'Scope 3 Yearly'!DN11</f>
        <v>90.03185307209057</v>
      </c>
      <c r="DO25" s="44">
        <f>'Scope 3 Yearly'!DO11</f>
        <v>91.379492306802433</v>
      </c>
      <c r="DP25" s="44">
        <f>'Scope 3 Yearly'!DP11</f>
        <v>92.723450454315312</v>
      </c>
      <c r="DQ25" s="44">
        <f>'Scope 3 Yearly'!DQ11</f>
        <v>93.057616081951124</v>
      </c>
      <c r="DR25" s="44">
        <f>'Scope 3 Yearly'!DR11</f>
        <v>93.304745064697059</v>
      </c>
      <c r="DS25" s="44">
        <f>'Scope 3 Yearly'!DS11</f>
        <v>93.428938095959239</v>
      </c>
      <c r="DT25" s="44">
        <f>'Scope 3 Yearly'!DT11</f>
        <v>93.429170929476001</v>
      </c>
      <c r="DU25" s="44">
        <f>'Scope 3 Yearly'!DU11</f>
        <v>93.293626601602668</v>
      </c>
      <c r="DV25" s="44">
        <f>'Scope 3 Yearly'!DV11</f>
        <v>93.008041203004609</v>
      </c>
      <c r="DW25" s="44">
        <f>'Scope 3 Yearly'!DW11</f>
        <v>92.551316161972665</v>
      </c>
      <c r="DX25" s="44">
        <f>'Scope 3 Yearly'!DX11</f>
        <v>91.905961241212864</v>
      </c>
      <c r="DY25" s="44">
        <f>'Scope 3 Yearly'!DY11</f>
        <v>91.036711473890975</v>
      </c>
      <c r="DZ25" s="44">
        <f>'Scope 3 Yearly'!DZ11</f>
        <v>90.07568374135505</v>
      </c>
      <c r="EB25" t="s">
        <v>227</v>
      </c>
      <c r="EE25" s="43">
        <f>'Yearly BTX'!AH113+'Yearly Butadiene'!AH71+'Yearly Methanol'!AH114+'Yearly HC Ethylene'!AH146+'Yearly HC Propylene'!AH66</f>
        <v>86.211232082460555</v>
      </c>
      <c r="EI25" s="26"/>
      <c r="EQ25">
        <v>0.88620976668147122</v>
      </c>
      <c r="ER25">
        <v>0.52265766930545854</v>
      </c>
      <c r="ES25">
        <v>0.4279108249972346</v>
      </c>
      <c r="ET25">
        <v>0.77100626383869963</v>
      </c>
      <c r="EU25">
        <v>0.54405828549730195</v>
      </c>
    </row>
    <row r="26" spans="1:151">
      <c r="A26" s="1"/>
      <c r="B26" t="s">
        <v>33</v>
      </c>
      <c r="C26" s="54" t="s">
        <v>69</v>
      </c>
      <c r="D26" s="44">
        <f>'Scope 3 Yearly'!D12</f>
        <v>108.81405533322629</v>
      </c>
      <c r="E26" s="44">
        <f>'Scope 3 Yearly'!E12</f>
        <v>112.50895114407879</v>
      </c>
      <c r="F26" s="44">
        <f>'Scope 3 Yearly'!F12</f>
        <v>115.84874072402449</v>
      </c>
      <c r="G26" s="44">
        <f>'Scope 3 Yearly'!G12</f>
        <v>118.96633573988687</v>
      </c>
      <c r="H26" s="44">
        <f>'Scope 3 Yearly'!H12</f>
        <v>121.83865803512708</v>
      </c>
      <c r="I26" s="44">
        <f>'Scope 3 Yearly'!I12</f>
        <v>124.44389479441823</v>
      </c>
      <c r="J26" s="44">
        <f>'Scope 3 Yearly'!J12</f>
        <v>127.03510192192229</v>
      </c>
      <c r="K26" s="44">
        <f>'Scope 3 Yearly'!K12</f>
        <v>129.60772999208851</v>
      </c>
      <c r="L26" s="44">
        <f>'Scope 3 Yearly'!L12</f>
        <v>132.15607810302387</v>
      </c>
      <c r="M26" s="44">
        <f>'Scope 3 Yearly'!M12</f>
        <v>134.672496066669</v>
      </c>
      <c r="N26" s="44">
        <f>'Scope 3 Yearly'!N12</f>
        <v>137.14731708126473</v>
      </c>
      <c r="O26" s="44">
        <f>'Scope 3 Yearly'!O12</f>
        <v>138.51354683173037</v>
      </c>
      <c r="P26" s="44">
        <f>'Scope 3 Yearly'!P12</f>
        <v>139.5612721240808</v>
      </c>
      <c r="Q26" s="44">
        <f>'Scope 3 Yearly'!Q12</f>
        <v>140.28175043314349</v>
      </c>
      <c r="R26" s="44">
        <f>'Scope 3 Yearly'!R12</f>
        <v>140.64367489055522</v>
      </c>
      <c r="S26" s="44">
        <f>'Scope 3 Yearly'!S12</f>
        <v>140.62160403005851</v>
      </c>
      <c r="T26" s="44">
        <f>'Scope 3 Yearly'!T12</f>
        <v>140.47156359616807</v>
      </c>
      <c r="U26" s="44">
        <f>'Scope 3 Yearly'!U12</f>
        <v>140.21432976754417</v>
      </c>
      <c r="V26" s="44">
        <f>'Scope 3 Yearly'!V12</f>
        <v>139.87462399346768</v>
      </c>
      <c r="W26" s="44">
        <f>'Scope 3 Yearly'!W12</f>
        <v>139.47776394638515</v>
      </c>
      <c r="X26" s="44">
        <f>'Scope 3 Yearly'!X12</f>
        <v>139.1116894374918</v>
      </c>
      <c r="Y26" s="44">
        <f>'Scope 3 Yearly'!Y12</f>
        <v>137.30012207315528</v>
      </c>
      <c r="Z26" s="44">
        <f>'Scope 3 Yearly'!Z12</f>
        <v>135.41711108738482</v>
      </c>
      <c r="AA26" s="44">
        <f>'Scope 3 Yearly'!AA12</f>
        <v>133.46331358581421</v>
      </c>
      <c r="AB26" s="44">
        <f>'Scope 3 Yearly'!AB12</f>
        <v>131.41123298742767</v>
      </c>
      <c r="AC26" s="44">
        <f>'Scope 3 Yearly'!AC12</f>
        <v>129.23979727965775</v>
      </c>
      <c r="AD26" s="44">
        <f>'Scope 3 Yearly'!AD12</f>
        <v>126.92227648362777</v>
      </c>
      <c r="AE26" s="44">
        <f>'Scope 3 Yearly'!AE12</f>
        <v>124.42565494832847</v>
      </c>
      <c r="AF26" s="44">
        <f>'Scope 3 Yearly'!AF12</f>
        <v>121.7175121477528</v>
      </c>
      <c r="AG26" s="44">
        <f>'Scope 3 Yearly'!AG12</f>
        <v>118.72978335742276</v>
      </c>
      <c r="AH26" s="44">
        <f>'Scope 3 Yearly'!AH12</f>
        <v>115.60267483493148</v>
      </c>
      <c r="AI26" s="44"/>
      <c r="AJ26" s="44">
        <f>'Scope 3 Yearly'!AJ12</f>
        <v>108.81407909862806</v>
      </c>
      <c r="AK26" s="44">
        <f>'Scope 3 Yearly'!AK12</f>
        <v>112.50900333067014</v>
      </c>
      <c r="AL26" s="44">
        <f>'Scope 3 Yearly'!AL12</f>
        <v>115.84885158947871</v>
      </c>
      <c r="AM26" s="44">
        <f>'Scope 3 Yearly'!AM12</f>
        <v>118.96656967104542</v>
      </c>
      <c r="AN26" s="44">
        <f>'Scope 3 Yearly'!AN12</f>
        <v>121.83914786364819</v>
      </c>
      <c r="AO26" s="44">
        <f>'Scope 3 Yearly'!AO12</f>
        <v>124.44491128707242</v>
      </c>
      <c r="AP26" s="44">
        <f>'Scope 3 Yearly'!AP12</f>
        <v>127.03719322987718</v>
      </c>
      <c r="AQ26" s="44">
        <f>'Scope 3 Yearly'!AQ12</f>
        <v>129.61198501045658</v>
      </c>
      <c r="AR26" s="44">
        <f>'Scope 3 Yearly'!AR12</f>
        <v>132.1646109920095</v>
      </c>
      <c r="AS26" s="44">
        <f>'Scope 3 Yearly'!AS12</f>
        <v>134.68928771038009</v>
      </c>
      <c r="AT26" s="44">
        <f>'Scope 3 Yearly'!AT12</f>
        <v>137.17970310978228</v>
      </c>
      <c r="AU26" s="44">
        <f>'Scope 3 Yearly'!AU12</f>
        <v>138.57122037406668</v>
      </c>
      <c r="AV26" s="44">
        <f>'Scope 3 Yearly'!AV12</f>
        <v>139.660389254005</v>
      </c>
      <c r="AW26" s="44">
        <f>'Scope 3 Yearly'!AW12</f>
        <v>140.43764691408097</v>
      </c>
      <c r="AX26" s="44">
        <f>'Scope 3 Yearly'!AX12</f>
        <v>140.8825159964735</v>
      </c>
      <c r="AY26" s="44">
        <f>'Scope 3 Yearly'!AY12</f>
        <v>140.97821205759402</v>
      </c>
      <c r="AZ26" s="44">
        <f>'Scope 3 Yearly'!AZ12</f>
        <v>140.97862481070993</v>
      </c>
      <c r="BA26" s="44">
        <f>'Scope 3 Yearly'!BA12</f>
        <v>140.89459965179557</v>
      </c>
      <c r="BB26" s="44">
        <f>'Scope 3 Yearly'!BB12</f>
        <v>140.73911600425464</v>
      </c>
      <c r="BC26" s="44">
        <f>'Scope 3 Yearly'!BC12</f>
        <v>140.52551056725522</v>
      </c>
      <c r="BD26" s="44">
        <f>'Scope 3 Yearly'!BD12</f>
        <v>140.33251931990739</v>
      </c>
      <c r="BE26" s="44">
        <f>'Scope 3 Yearly'!BE12</f>
        <v>138.66081394229965</v>
      </c>
      <c r="BF26" s="44">
        <f>'Scope 3 Yearly'!BF12</f>
        <v>136.93060031760885</v>
      </c>
      <c r="BG26" s="44">
        <f>'Scope 3 Yearly'!BG12</f>
        <v>135.12049555205493</v>
      </c>
      <c r="BH26" s="44">
        <f>'Scope 3 Yearly'!BH12</f>
        <v>133.20507800391749</v>
      </c>
      <c r="BI26" s="44">
        <f>'Scope 3 Yearly'!BI12</f>
        <v>131.17146571224578</v>
      </c>
      <c r="BJ26" s="44">
        <f>'Scope 3 Yearly'!BJ12</f>
        <v>129.0040496948458</v>
      </c>
      <c r="BK26" s="44">
        <f>'Scope 3 Yearly'!BK12</f>
        <v>126.67867235296163</v>
      </c>
      <c r="BL26" s="44">
        <f>'Scope 3 Yearly'!BL12</f>
        <v>124.1772481393657</v>
      </c>
      <c r="BM26" s="44">
        <f>'Scope 3 Yearly'!BM12</f>
        <v>121.45891680573787</v>
      </c>
      <c r="BN26" s="44">
        <f>'Scope 3 Yearly'!BN12</f>
        <v>118.70449638331812</v>
      </c>
      <c r="BO26" s="44"/>
      <c r="BP26" s="44">
        <f>'Scope 3 Yearly'!BP12</f>
        <v>108.81410844587641</v>
      </c>
      <c r="BQ26" s="44">
        <f>'Scope 3 Yearly'!BQ12</f>
        <v>110.42784084532559</v>
      </c>
      <c r="BR26" s="44">
        <f>'Scope 3 Yearly'!BR12</f>
        <v>111.6948132669533</v>
      </c>
      <c r="BS26" s="44">
        <f>'Scope 3 Yearly'!BS12</f>
        <v>112.60232740889589</v>
      </c>
      <c r="BT26" s="44">
        <f>'Scope 3 Yearly'!BT12</f>
        <v>113.14072652751558</v>
      </c>
      <c r="BU26" s="44">
        <f>'Scope 3 Yearly'!BU12</f>
        <v>113.30355682724046</v>
      </c>
      <c r="BV26" s="44">
        <f>'Scope 3 Yearly'!BV12</f>
        <v>113.35523041916598</v>
      </c>
      <c r="BW26" s="44">
        <f>'Scope 3 Yearly'!BW12</f>
        <v>113.29316057849613</v>
      </c>
      <c r="BX26" s="44">
        <f>'Scope 3 Yearly'!BX12</f>
        <v>113.11492440571011</v>
      </c>
      <c r="BY26" s="44">
        <f>'Scope 3 Yearly'!BY12</f>
        <v>112.81827293264138</v>
      </c>
      <c r="BZ26" s="44">
        <f>'Scope 3 Yearly'!BZ12</f>
        <v>112.40114099209298</v>
      </c>
      <c r="CA26" s="44">
        <f>'Scope 3 Yearly'!CA12</f>
        <v>111.68652935731025</v>
      </c>
      <c r="CB26" s="44">
        <f>'Scope 3 Yearly'!CB12</f>
        <v>110.67636370198967</v>
      </c>
      <c r="CC26" s="44">
        <f>'Scope 3 Yearly'!CC12</f>
        <v>109.37464169785906</v>
      </c>
      <c r="CD26" s="44">
        <f>'Scope 3 Yearly'!CD12</f>
        <v>107.78742183912253</v>
      </c>
      <c r="CE26" s="44">
        <f>'Scope 3 Yearly'!CE12</f>
        <v>105.92278970582458</v>
      </c>
      <c r="CF26" s="44">
        <f>'Scope 3 Yearly'!CF12</f>
        <v>103.99582412133935</v>
      </c>
      <c r="CG26" s="44">
        <f>'Scope 3 Yearly'!CG12</f>
        <v>102.00640765449931</v>
      </c>
      <c r="CH26" s="44">
        <f>'Scope 3 Yearly'!CH12</f>
        <v>99.95445530234295</v>
      </c>
      <c r="CI26" s="44">
        <f>'Scope 3 Yearly'!CI12</f>
        <v>97.839915130375999</v>
      </c>
      <c r="CJ26" s="44">
        <f>'Scope 3 Yearly'!CJ12</f>
        <v>95.662768902506386</v>
      </c>
      <c r="CK26" s="44">
        <f>'Scope 3 Yearly'!CK12</f>
        <v>93.424164155103938</v>
      </c>
      <c r="CL26" s="44">
        <f>'Scope 3 Yearly'!CL12</f>
        <v>91.124072134095556</v>
      </c>
      <c r="CM26" s="44">
        <f>'Scope 3 Yearly'!CM12</f>
        <v>88.762494809269072</v>
      </c>
      <c r="CN26" s="44">
        <f>'Scope 3 Yearly'!CN12</f>
        <v>86.339465429761461</v>
      </c>
      <c r="CO26" s="44">
        <f>'Scope 3 Yearly'!CO12</f>
        <v>83.855049071255351</v>
      </c>
      <c r="CP26" s="44">
        <f>'Scope 3 Yearly'!CP12</f>
        <v>81.310191335965968</v>
      </c>
      <c r="CQ26" s="44">
        <f>'Scope 3 Yearly'!CQ12</f>
        <v>78.704943895590191</v>
      </c>
      <c r="CR26" s="44">
        <f>'Scope 3 Yearly'!CR12</f>
        <v>76.039387728203693</v>
      </c>
      <c r="CS26" s="44">
        <f>'Scope 3 Yearly'!CS12</f>
        <v>73.313633610460741</v>
      </c>
      <c r="CT26" s="44">
        <f>'Scope 3 Yearly'!CT12</f>
        <v>70.52782260325391</v>
      </c>
      <c r="CU26" s="44"/>
      <c r="CV26" s="44">
        <f>'Scope 3 Yearly'!CV12</f>
        <v>108.81407909862806</v>
      </c>
      <c r="CW26" s="44">
        <f>'Scope 3 Yearly'!CW12</f>
        <v>112.50900333067014</v>
      </c>
      <c r="CX26" s="44">
        <f>'Scope 3 Yearly'!CX12</f>
        <v>115.84885158947871</v>
      </c>
      <c r="CY26" s="44">
        <f>'Scope 3 Yearly'!CY12</f>
        <v>118.96656967104542</v>
      </c>
      <c r="CZ26" s="44">
        <f>'Scope 3 Yearly'!CZ12</f>
        <v>121.83914786364819</v>
      </c>
      <c r="DA26" s="44">
        <f>'Scope 3 Yearly'!DA12</f>
        <v>124.44491128707242</v>
      </c>
      <c r="DB26" s="44">
        <f>'Scope 3 Yearly'!DB12</f>
        <v>127.03719322987718</v>
      </c>
      <c r="DC26" s="44">
        <f>'Scope 3 Yearly'!DC12</f>
        <v>129.61198501045658</v>
      </c>
      <c r="DD26" s="44">
        <f>'Scope 3 Yearly'!DD12</f>
        <v>132.1646109920095</v>
      </c>
      <c r="DE26" s="44">
        <f>'Scope 3 Yearly'!DE12</f>
        <v>134.68928771038009</v>
      </c>
      <c r="DF26" s="44">
        <f>'Scope 3 Yearly'!DF12</f>
        <v>137.17970310978225</v>
      </c>
      <c r="DG26" s="44">
        <f>'Scope 3 Yearly'!DG12</f>
        <v>138.57122037406668</v>
      </c>
      <c r="DH26" s="44">
        <f>'Scope 3 Yearly'!DH12</f>
        <v>139.660389254005</v>
      </c>
      <c r="DI26" s="44">
        <f>'Scope 3 Yearly'!DI12</f>
        <v>140.42770759097246</v>
      </c>
      <c r="DJ26" s="44">
        <f>'Scope 3 Yearly'!DJ12</f>
        <v>140.86229867872154</v>
      </c>
      <c r="DK26" s="44">
        <f>'Scope 3 Yearly'!DK12</f>
        <v>140.94742868817471</v>
      </c>
      <c r="DL26" s="44">
        <f>'Scope 3 Yearly'!DL12</f>
        <v>140.93696656504846</v>
      </c>
      <c r="DM26" s="44">
        <f>'Scope 3 Yearly'!DM12</f>
        <v>140.84175490341536</v>
      </c>
      <c r="DN26" s="44">
        <f>'Scope 3 Yearly'!DN12</f>
        <v>140.67477042514142</v>
      </c>
      <c r="DO26" s="44">
        <f>'Scope 3 Yearly'!DO12</f>
        <v>140.44934723175618</v>
      </c>
      <c r="DP26" s="44">
        <f>'Scope 3 Yearly'!DP12</f>
        <v>140.24421881215179</v>
      </c>
      <c r="DQ26" s="44">
        <f>'Scope 3 Yearly'!DQ12</f>
        <v>138.5600533573168</v>
      </c>
      <c r="DR26" s="44">
        <f>'Scope 3 Yearly'!DR12</f>
        <v>136.81705406121429</v>
      </c>
      <c r="DS26" s="44">
        <f>'Scope 3 Yearly'!DS12</f>
        <v>134.96515232022398</v>
      </c>
      <c r="DT26" s="44">
        <f>'Scope 3 Yearly'!DT12</f>
        <v>133.0068058371011</v>
      </c>
      <c r="DU26" s="44">
        <f>'Scope 3 Yearly'!DU12</f>
        <v>130.92912369656719</v>
      </c>
      <c r="DV26" s="44">
        <f>'Scope 3 Yearly'!DV12</f>
        <v>128.71648559344368</v>
      </c>
      <c r="DW26" s="44">
        <f>'Scope 3 Yearly'!DW12</f>
        <v>126.34472436585062</v>
      </c>
      <c r="DX26" s="44">
        <f>'Scope 3 Yearly'!DX12</f>
        <v>123.79574520637487</v>
      </c>
      <c r="DY26" s="44">
        <f>'Scope 3 Yearly'!DY12</f>
        <v>121.02867891920864</v>
      </c>
      <c r="DZ26" s="44">
        <f>'Scope 3 Yearly'!DZ12</f>
        <v>118.22433491052848</v>
      </c>
      <c r="EI26" s="26"/>
    </row>
    <row r="27" spans="1:151">
      <c r="A27" s="1"/>
      <c r="B27" t="str">
        <f>'Scope 3 Yearly'!A13</f>
        <v>Dumpsite</v>
      </c>
      <c r="C27" s="54" t="s">
        <v>69</v>
      </c>
      <c r="D27" s="44">
        <f>'Scope 3 Yearly'!D13</f>
        <v>23.527363315292174</v>
      </c>
      <c r="E27" s="44">
        <f>'Scope 3 Yearly'!E13</f>
        <v>23.510839118000323</v>
      </c>
      <c r="F27" s="44">
        <f>'Scope 3 Yearly'!F13</f>
        <v>23.376620896097798</v>
      </c>
      <c r="G27" s="44">
        <f>'Scope 3 Yearly'!G13</f>
        <v>23.158780024031309</v>
      </c>
      <c r="H27" s="44">
        <f>'Scope 3 Yearly'!H13</f>
        <v>22.858226109245077</v>
      </c>
      <c r="I27" s="44">
        <f>'Scope 3 Yearly'!I13</f>
        <v>22.476650601635004</v>
      </c>
      <c r="J27" s="44">
        <f>'Scope 3 Yearly'!J13</f>
        <v>22.063991386439127</v>
      </c>
      <c r="K27" s="44">
        <f>'Scope 3 Yearly'!K13</f>
        <v>21.620154086016502</v>
      </c>
      <c r="L27" s="44">
        <f>'Scope 3 Yearly'!L13</f>
        <v>21.144972496483813</v>
      </c>
      <c r="M27" s="44">
        <f>'Scope 3 Yearly'!M13</f>
        <v>20.638122773853162</v>
      </c>
      <c r="N27" s="44">
        <f>'Scope 3 Yearly'!N13</f>
        <v>20.099175779150862</v>
      </c>
      <c r="O27" s="44">
        <f>'Scope 3 Yearly'!O13</f>
        <v>19.380006981606904</v>
      </c>
      <c r="P27" s="44">
        <f>'Scope 3 Yearly'!P13</f>
        <v>18.6081696165441</v>
      </c>
      <c r="Q27" s="44">
        <f>'Scope 3 Yearly'!Q13</f>
        <v>17.788919842160318</v>
      </c>
      <c r="R27" s="44">
        <f>'Scope 3 Yearly'!R13</f>
        <v>16.924916808863419</v>
      </c>
      <c r="S27" s="44">
        <f>'Scope 3 Yearly'!S13</f>
        <v>16.020182737601594</v>
      </c>
      <c r="T27" s="44">
        <f>'Scope 3 Yearly'!T13</f>
        <v>15.109546336394544</v>
      </c>
      <c r="U27" s="44">
        <f>'Scope 3 Yearly'!U13</f>
        <v>14.197434227508653</v>
      </c>
      <c r="V27" s="44">
        <f>'Scope 3 Yearly'!V13</f>
        <v>13.288089279379424</v>
      </c>
      <c r="W27" s="44">
        <f>'Scope 3 Yearly'!W13</f>
        <v>12.385162441712202</v>
      </c>
      <c r="X27" s="44">
        <f>'Scope 3 Yearly'!X13</f>
        <v>11.496833837809236</v>
      </c>
      <c r="Y27" s="44">
        <f>'Scope 3 Yearly'!Y13</f>
        <v>10.509392059920524</v>
      </c>
      <c r="Z27" s="44">
        <f>'Scope 3 Yearly'!Z13</f>
        <v>9.5457963553402383</v>
      </c>
      <c r="AA27" s="44">
        <f>'Scope 3 Yearly'!AA13</f>
        <v>8.6070218557382177</v>
      </c>
      <c r="AB27" s="44">
        <f>'Scope 3 Yearly'!AB13</f>
        <v>7.6923648578006389</v>
      </c>
      <c r="AC27" s="44">
        <f>'Scope 3 Yearly'!AC13</f>
        <v>6.8020945936661921</v>
      </c>
      <c r="AD27" s="44">
        <f>'Scope 3 Yearly'!AD13</f>
        <v>5.936687125847099</v>
      </c>
      <c r="AE27" s="44">
        <f>'Scope 3 Yearly'!AE13</f>
        <v>5.0969545400520033</v>
      </c>
      <c r="AF27" s="44">
        <f>'Scope 3 Yearly'!AF13</f>
        <v>4.2844564276008921</v>
      </c>
      <c r="AG27" s="44">
        <f>'Scope 3 Yearly'!AG13</f>
        <v>3.5003999874299865</v>
      </c>
      <c r="AH27" s="44">
        <f>'Scope 3 Yearly'!AH13</f>
        <v>2.7524446389269399</v>
      </c>
      <c r="AI27" s="44"/>
      <c r="AJ27" s="44">
        <f>'Scope 3 Yearly'!AJ13</f>
        <v>23.527368453757418</v>
      </c>
      <c r="AK27" s="44">
        <f>'Scope 3 Yearly'!AK13</f>
        <v>23.510850023359769</v>
      </c>
      <c r="AL27" s="44">
        <f>'Scope 3 Yearly'!AL13</f>
        <v>23.376643267162667</v>
      </c>
      <c r="AM27" s="44">
        <f>'Scope 3 Yearly'!AM13</f>
        <v>23.15882556263017</v>
      </c>
      <c r="AN27" s="44">
        <f>'Scope 3 Yearly'!AN13</f>
        <v>22.858318006277358</v>
      </c>
      <c r="AO27" s="44">
        <f>'Scope 3 Yearly'!AO13</f>
        <v>22.476834197224527</v>
      </c>
      <c r="AP27" s="44">
        <f>'Scope 3 Yearly'!AP13</f>
        <v>22.064354613610242</v>
      </c>
      <c r="AQ27" s="44">
        <f>'Scope 3 Yearly'!AQ13</f>
        <v>21.620863875106721</v>
      </c>
      <c r="AR27" s="44">
        <f>'Scope 3 Yearly'!AR13</f>
        <v>21.146337758721511</v>
      </c>
      <c r="AS27" s="44">
        <f>'Scope 3 Yearly'!AS13</f>
        <v>20.640696038733566</v>
      </c>
      <c r="AT27" s="44">
        <f>'Scope 3 Yearly'!AT13</f>
        <v>20.103922007468086</v>
      </c>
      <c r="AU27" s="44">
        <f>'Scope 3 Yearly'!AU13</f>
        <v>19.38807632701533</v>
      </c>
      <c r="AV27" s="44">
        <f>'Scope 3 Yearly'!AV13</f>
        <v>18.621385233867326</v>
      </c>
      <c r="AW27" s="44">
        <f>'Scope 3 Yearly'!AW13</f>
        <v>17.808688842721754</v>
      </c>
      <c r="AX27" s="44">
        <f>'Scope 3 Yearly'!AX13</f>
        <v>16.953658704660366</v>
      </c>
      <c r="AY27" s="44">
        <f>'Scope 3 Yearly'!AY13</f>
        <v>16.060808968586656</v>
      </c>
      <c r="AZ27" s="44">
        <f>'Scope 3 Yearly'!AZ13</f>
        <v>15.164087374597367</v>
      </c>
      <c r="BA27" s="44">
        <f>'Scope 3 Yearly'!BA13</f>
        <v>14.266315111185992</v>
      </c>
      <c r="BB27" s="44">
        <f>'Scope 3 Yearly'!BB13</f>
        <v>13.370216020404186</v>
      </c>
      <c r="BC27" s="44">
        <f>'Scope 3 Yearly'!BC13</f>
        <v>12.478198863648384</v>
      </c>
      <c r="BD27" s="44">
        <f>'Scope 3 Yearly'!BD13</f>
        <v>11.597728869413828</v>
      </c>
      <c r="BE27" s="44">
        <f>'Scope 3 Yearly'!BE13</f>
        <v>10.613543783237747</v>
      </c>
      <c r="BF27" s="44">
        <f>'Scope 3 Yearly'!BF13</f>
        <v>9.6524849404216031</v>
      </c>
      <c r="BG27" s="44">
        <f>'Scope 3 Yearly'!BG13</f>
        <v>8.71389318254068</v>
      </c>
      <c r="BH27" s="44">
        <f>'Scope 3 Yearly'!BH13</f>
        <v>7.7973704197415055</v>
      </c>
      <c r="BI27" s="44">
        <f>'Scope 3 Yearly'!BI13</f>
        <v>6.9037613532760878</v>
      </c>
      <c r="BJ27" s="44">
        <f>'Scope 3 Yearly'!BJ13</f>
        <v>6.034060388952458</v>
      </c>
      <c r="BK27" s="44">
        <f>'Scope 3 Yearly'!BK13</f>
        <v>5.1892468192779395</v>
      </c>
      <c r="BL27" s="44">
        <f>'Scope 3 Yearly'!BL13</f>
        <v>4.3710391345056658</v>
      </c>
      <c r="BM27" s="44">
        <f>'Scope 3 Yearly'!BM13</f>
        <v>3.5808604954679617</v>
      </c>
      <c r="BN27" s="44">
        <f>'Scope 3 Yearly'!BN13</f>
        <v>2.8262975329361457</v>
      </c>
      <c r="BO27" s="44"/>
      <c r="BP27" s="44">
        <f>'Scope 3 Yearly'!BP13</f>
        <v>23.527374799108415</v>
      </c>
      <c r="BQ27" s="44">
        <f>'Scope 3 Yearly'!BQ13</f>
        <v>24.387289913731955</v>
      </c>
      <c r="BR27" s="44">
        <f>'Scope 3 Yearly'!BR13</f>
        <v>25.205188587534199</v>
      </c>
      <c r="BS27" s="44">
        <f>'Scope 3 Yearly'!BS13</f>
        <v>25.975199341954436</v>
      </c>
      <c r="BT27" s="44">
        <f>'Scope 3 Yearly'!BT13</f>
        <v>26.691650272336421</v>
      </c>
      <c r="BU27" s="44">
        <f>'Scope 3 Yearly'!BU13</f>
        <v>27.349134406575278</v>
      </c>
      <c r="BV27" s="44">
        <f>'Scope 3 Yearly'!BV13</f>
        <v>28.008680477574419</v>
      </c>
      <c r="BW27" s="44">
        <f>'Scope 3 Yearly'!BW13</f>
        <v>28.669670927201739</v>
      </c>
      <c r="BX27" s="44">
        <f>'Scope 3 Yearly'!BX13</f>
        <v>29.331469486461408</v>
      </c>
      <c r="BY27" s="44">
        <f>'Scope 3 Yearly'!BY13</f>
        <v>29.993421887120221</v>
      </c>
      <c r="BZ27" s="44">
        <f>'Scope 3 Yearly'!BZ13</f>
        <v>30.65485663420716</v>
      </c>
      <c r="CA27" s="44">
        <f>'Scope 3 Yearly'!CA13</f>
        <v>31.266059823534192</v>
      </c>
      <c r="CB27" s="44">
        <f>'Scope 3 Yearly'!CB13</f>
        <v>31.823373699014006</v>
      </c>
      <c r="CC27" s="44">
        <f>'Scope 3 Yearly'!CC13</f>
        <v>32.323367393805654</v>
      </c>
      <c r="CD27" s="44">
        <f>'Scope 3 Yearly'!CD13</f>
        <v>32.762868326006597</v>
      </c>
      <c r="CE27" s="44">
        <f>'Scope 3 Yearly'!CE13</f>
        <v>33.138991788962365</v>
      </c>
      <c r="CF27" s="44">
        <f>'Scope 3 Yearly'!CF13</f>
        <v>33.515241896924493</v>
      </c>
      <c r="CG27" s="44">
        <f>'Scope 3 Yearly'!CG13</f>
        <v>33.891514865280946</v>
      </c>
      <c r="CH27" s="44">
        <f>'Scope 3 Yearly'!CH13</f>
        <v>34.267705128799847</v>
      </c>
      <c r="CI27" s="44">
        <f>'Scope 3 Yearly'!CI13</f>
        <v>34.643705357448269</v>
      </c>
      <c r="CJ27" s="44">
        <f>'Scope 3 Yearly'!CJ13</f>
        <v>35.019406473238902</v>
      </c>
      <c r="CK27" s="44">
        <f>'Scope 3 Yearly'!CK13</f>
        <v>35.395126336566797</v>
      </c>
      <c r="CL27" s="44">
        <f>'Scope 3 Yearly'!CL13</f>
        <v>35.770767571263832</v>
      </c>
      <c r="CM27" s="44">
        <f>'Scope 3 Yearly'!CM13</f>
        <v>36.146231186555347</v>
      </c>
      <c r="CN27" s="44">
        <f>'Scope 3 Yearly'!CN13</f>
        <v>36.52141658835901</v>
      </c>
      <c r="CO27" s="44">
        <f>'Scope 3 Yearly'!CO13</f>
        <v>36.896221591352308</v>
      </c>
      <c r="CP27" s="44">
        <f>'Scope 3 Yearly'!CP13</f>
        <v>37.270931211713538</v>
      </c>
      <c r="CQ27" s="44">
        <f>'Scope 3 Yearly'!CQ13</f>
        <v>37.645453210903987</v>
      </c>
      <c r="CR27" s="44">
        <f>'Scope 3 Yearly'!CR13</f>
        <v>38.019693864101789</v>
      </c>
      <c r="CS27" s="44">
        <f>'Scope 3 Yearly'!CS13</f>
        <v>38.393557967828087</v>
      </c>
      <c r="CT27" s="44">
        <f>'Scope 3 Yearly'!CT13</f>
        <v>38.766948848146193</v>
      </c>
      <c r="CU27" s="44"/>
      <c r="CV27" s="44">
        <f>'Scope 3 Yearly'!CV13</f>
        <v>23.527368453757418</v>
      </c>
      <c r="CW27" s="44">
        <f>'Scope 3 Yearly'!CW13</f>
        <v>23.510850023359769</v>
      </c>
      <c r="CX27" s="44">
        <f>'Scope 3 Yearly'!CX13</f>
        <v>23.376643267162667</v>
      </c>
      <c r="CY27" s="44">
        <f>'Scope 3 Yearly'!CY13</f>
        <v>23.15882556263017</v>
      </c>
      <c r="CZ27" s="44">
        <f>'Scope 3 Yearly'!CZ13</f>
        <v>22.858318006277358</v>
      </c>
      <c r="DA27" s="44">
        <f>'Scope 3 Yearly'!DA13</f>
        <v>22.476834197224527</v>
      </c>
      <c r="DB27" s="44">
        <f>'Scope 3 Yearly'!DB13</f>
        <v>22.064354613610242</v>
      </c>
      <c r="DC27" s="44">
        <f>'Scope 3 Yearly'!DC13</f>
        <v>21.620863875106721</v>
      </c>
      <c r="DD27" s="44">
        <f>'Scope 3 Yearly'!DD13</f>
        <v>21.146337758721511</v>
      </c>
      <c r="DE27" s="44">
        <f>'Scope 3 Yearly'!DE13</f>
        <v>20.640696038733566</v>
      </c>
      <c r="DF27" s="44">
        <f>'Scope 3 Yearly'!DF13</f>
        <v>20.103922007468082</v>
      </c>
      <c r="DG27" s="44">
        <f>'Scope 3 Yearly'!DG13</f>
        <v>19.38807632701533</v>
      </c>
      <c r="DH27" s="44">
        <f>'Scope 3 Yearly'!DH13</f>
        <v>18.621385233867326</v>
      </c>
      <c r="DI27" s="44">
        <f>'Scope 3 Yearly'!DI13</f>
        <v>17.807428451961609</v>
      </c>
      <c r="DJ27" s="44">
        <f>'Scope 3 Yearly'!DJ13</f>
        <v>16.951225773202079</v>
      </c>
      <c r="DK27" s="44">
        <f>'Scope 3 Yearly'!DK13</f>
        <v>16.057302002450278</v>
      </c>
      <c r="DL27" s="44">
        <f>'Scope 3 Yearly'!DL13</f>
        <v>15.159606487669075</v>
      </c>
      <c r="DM27" s="44">
        <f>'Scope 3 Yearly'!DM13</f>
        <v>14.260964304027828</v>
      </c>
      <c r="DN27" s="44">
        <f>'Scope 3 Yearly'!DN13</f>
        <v>13.36410319038843</v>
      </c>
      <c r="DO27" s="44">
        <f>'Scope 3 Yearly'!DO13</f>
        <v>12.47143581228042</v>
      </c>
      <c r="DP27" s="44">
        <f>'Scope 3 Yearly'!DP13</f>
        <v>11.5904313067894</v>
      </c>
      <c r="DQ27" s="44">
        <f>'Scope 3 Yearly'!DQ13</f>
        <v>10.605831244634119</v>
      </c>
      <c r="DR27" s="44">
        <f>'Scope 3 Yearly'!DR13</f>
        <v>9.6444808600528056</v>
      </c>
      <c r="DS27" s="44">
        <f>'Scope 3 Yearly'!DS13</f>
        <v>8.7038751292226024</v>
      </c>
      <c r="DT27" s="44">
        <f>'Scope 3 Yearly'!DT13</f>
        <v>7.7857642441229853</v>
      </c>
      <c r="DU27" s="44">
        <f>'Scope 3 Yearly'!DU13</f>
        <v>6.8910065103456359</v>
      </c>
      <c r="DV27" s="44">
        <f>'Scope 3 Yearly'!DV13</f>
        <v>6.020609810015908</v>
      </c>
      <c r="DW27" s="44">
        <f>'Scope 3 Yearly'!DW13</f>
        <v>5.175567022215561</v>
      </c>
      <c r="DX27" s="44">
        <f>'Scope 3 Yearly'!DX13</f>
        <v>4.3576102312643892</v>
      </c>
      <c r="DY27" s="44">
        <f>'Scope 3 Yearly'!DY13</f>
        <v>3.5681761912435941</v>
      </c>
      <c r="DZ27" s="44">
        <f>'Scope 3 Yearly'!DZ13</f>
        <v>2.8148651169173453</v>
      </c>
      <c r="EI27" s="26"/>
    </row>
    <row r="28" spans="1:151">
      <c r="A28" s="1"/>
      <c r="B28" t="str">
        <f>'Scope 3 Yearly'!A14</f>
        <v>Open Burning</v>
      </c>
      <c r="C28" s="54" t="s">
        <v>69</v>
      </c>
      <c r="D28" s="44">
        <f>'Scope 3 Yearly'!D14</f>
        <v>79.404851189111085</v>
      </c>
      <c r="E28" s="44">
        <f>'Scope 3 Yearly'!E14</f>
        <v>80.623006245846611</v>
      </c>
      <c r="F28" s="44">
        <f>'Scope 3 Yearly'!F14</f>
        <v>81.507864009402965</v>
      </c>
      <c r="G28" s="44">
        <f>'Scope 3 Yearly'!G14</f>
        <v>82.166082551015236</v>
      </c>
      <c r="H28" s="44">
        <f>'Scope 3 Yearly'!H14</f>
        <v>82.591515092838407</v>
      </c>
      <c r="I28" s="44">
        <f>'Scope 3 Yearly'!I14</f>
        <v>82.779859532850935</v>
      </c>
      <c r="J28" s="44">
        <f>'Scope 3 Yearly'!J14</f>
        <v>82.907119149044078</v>
      </c>
      <c r="K28" s="44">
        <f>'Scope 3 Yearly'!K14</f>
        <v>82.971586099738801</v>
      </c>
      <c r="L28" s="44">
        <f>'Scope 3 Yearly'!L14</f>
        <v>82.971033382941997</v>
      </c>
      <c r="M28" s="44">
        <f>'Scope 3 Yearly'!M14</f>
        <v>82.90228978649499</v>
      </c>
      <c r="N28" s="44">
        <f>'Scope 3 Yearly'!N14</f>
        <v>82.761312031797743</v>
      </c>
      <c r="O28" s="44">
        <f>'Scope 3 Yearly'!O14</f>
        <v>81.9191706155041</v>
      </c>
      <c r="P28" s="44">
        <f>'Scope 3 Yearly'!P14</f>
        <v>80.873967948826348</v>
      </c>
      <c r="Q28" s="44">
        <f>'Scope 3 Yearly'!Q14</f>
        <v>79.632278756516399</v>
      </c>
      <c r="R28" s="44">
        <f>'Scope 3 Yearly'!R14</f>
        <v>78.188348074749385</v>
      </c>
      <c r="S28" s="44">
        <f>'Scope 3 Yearly'!S14</f>
        <v>76.54087307965213</v>
      </c>
      <c r="T28" s="44">
        <f>'Scope 3 Yearly'!T14</f>
        <v>74.839471697454286</v>
      </c>
      <c r="U28" s="44">
        <f>'Scope 3 Yearly'!U14</f>
        <v>73.099186146594192</v>
      </c>
      <c r="V28" s="44">
        <f>'Scope 3 Yearly'!V14</f>
        <v>71.336058236668535</v>
      </c>
      <c r="W28" s="44">
        <f>'Scope 3 Yearly'!W14</f>
        <v>69.565258200645232</v>
      </c>
      <c r="X28" s="44">
        <f>'Scope 3 Yearly'!X14</f>
        <v>67.831319643074551</v>
      </c>
      <c r="Y28" s="44">
        <f>'Scope 3 Yearly'!Y14</f>
        <v>65.429440889182658</v>
      </c>
      <c r="Z28" s="44">
        <f>'Scope 3 Yearly'!Z14</f>
        <v>63.046654998061157</v>
      </c>
      <c r="AA28" s="44">
        <f>'Scope 3 Yearly'!AA14</f>
        <v>60.68495156514166</v>
      </c>
      <c r="AB28" s="44">
        <f>'Scope 3 Yearly'!AB14</f>
        <v>58.333766838321566</v>
      </c>
      <c r="AC28" s="44">
        <f>'Scope 3 Yearly'!AC14</f>
        <v>55.986470886329485</v>
      </c>
      <c r="AD28" s="44">
        <f>'Scope 3 Yearly'!AD14</f>
        <v>53.634897481791093</v>
      </c>
      <c r="AE28" s="44">
        <f>'Scope 3 Yearly'!AE14</f>
        <v>51.269366255817282</v>
      </c>
      <c r="AF28" s="44">
        <f>'Scope 3 Yearly'!AF14</f>
        <v>48.881752878537526</v>
      </c>
      <c r="AG28" s="44">
        <f>'Scope 3 Yearly'!AG14</f>
        <v>46.451253887246672</v>
      </c>
      <c r="AH28" s="44">
        <f>'Scope 3 Yearly'!AH14</f>
        <v>44.039114222831039</v>
      </c>
      <c r="AI28" s="44"/>
      <c r="AJ28" s="44">
        <f>'Scope 3 Yearly'!AJ14</f>
        <v>79.404868531431291</v>
      </c>
      <c r="AK28" s="44">
        <f>'Scope 3 Yearly'!AK14</f>
        <v>80.623043642336739</v>
      </c>
      <c r="AL28" s="44">
        <f>'Scope 3 Yearly'!AL14</f>
        <v>81.507942011168979</v>
      </c>
      <c r="AM28" s="44">
        <f>'Scope 3 Yearly'!AM14</f>
        <v>82.166244119468729</v>
      </c>
      <c r="AN28" s="44">
        <f>'Scope 3 Yearly'!AN14</f>
        <v>82.591847135888997</v>
      </c>
      <c r="AO28" s="44">
        <f>'Scope 3 Yearly'!AO14</f>
        <v>82.780535701973335</v>
      </c>
      <c r="AP28" s="44">
        <f>'Scope 3 Yearly'!AP14</f>
        <v>82.908484002656735</v>
      </c>
      <c r="AQ28" s="44">
        <f>'Scope 3 Yearly'!AQ14</f>
        <v>82.974310054729017</v>
      </c>
      <c r="AR28" s="44">
        <f>'Scope 3 Yearly'!AR14</f>
        <v>82.976390553244272</v>
      </c>
      <c r="AS28" s="44">
        <f>'Scope 3 Yearly'!AS14</f>
        <v>82.912626460675583</v>
      </c>
      <c r="AT28" s="44">
        <f>'Scope 3 Yearly'!AT14</f>
        <v>82.780855324868668</v>
      </c>
      <c r="AU28" s="44">
        <f>'Scope 3 Yearly'!AU14</f>
        <v>81.953279689040343</v>
      </c>
      <c r="AV28" s="44">
        <f>'Scope 3 Yearly'!AV14</f>
        <v>80.931405054884991</v>
      </c>
      <c r="AW28" s="44">
        <f>'Scope 3 Yearly'!AW14</f>
        <v>79.720774886546437</v>
      </c>
      <c r="AX28" s="44">
        <f>'Scope 3 Yearly'!AX14</f>
        <v>78.321127537022605</v>
      </c>
      <c r="AY28" s="44">
        <f>'Scope 3 Yearly'!AY14</f>
        <v>76.734976183247412</v>
      </c>
      <c r="AZ28" s="44">
        <f>'Scope 3 Yearly'!AZ14</f>
        <v>75.109620277302653</v>
      </c>
      <c r="BA28" s="44">
        <f>'Scope 3 Yearly'!BA14</f>
        <v>73.453837308007266</v>
      </c>
      <c r="BB28" s="44">
        <f>'Scope 3 Yearly'!BB14</f>
        <v>71.776949162169899</v>
      </c>
      <c r="BC28" s="44">
        <f>'Scope 3 Yearly'!BC14</f>
        <v>70.087827262174628</v>
      </c>
      <c r="BD28" s="44">
        <f>'Scope 3 Yearly'!BD14</f>
        <v>68.426600329541643</v>
      </c>
      <c r="BE28" s="44">
        <f>'Scope 3 Yearly'!BE14</f>
        <v>66.077869360157635</v>
      </c>
      <c r="BF28" s="44">
        <f>'Scope 3 Yearly'!BF14</f>
        <v>63.751295885575296</v>
      </c>
      <c r="BG28" s="44">
        <f>'Scope 3 Yearly'!BG14</f>
        <v>61.43846205917928</v>
      </c>
      <c r="BH28" s="44">
        <f>'Scope 3 Yearly'!BH14</f>
        <v>59.130059016373139</v>
      </c>
      <c r="BI28" s="44">
        <f>'Scope 3 Yearly'!BI14</f>
        <v>56.823266523118626</v>
      </c>
      <c r="BJ28" s="44">
        <f>'Scope 3 Yearly'!BJ14</f>
        <v>54.514614548467101</v>
      </c>
      <c r="BK28" s="44">
        <f>'Scope 3 Yearly'!BK14</f>
        <v>52.197718005678169</v>
      </c>
      <c r="BL28" s="44">
        <f>'Scope 3 Yearly'!BL14</f>
        <v>49.86958285276927</v>
      </c>
      <c r="BM28" s="44">
        <f>'Scope 3 Yearly'!BM14</f>
        <v>47.51898657499386</v>
      </c>
      <c r="BN28" s="44">
        <f>'Scope 3 Yearly'!BN14</f>
        <v>45.220760526978331</v>
      </c>
      <c r="BO28" s="44"/>
      <c r="BP28" s="44">
        <f>'Scope 3 Yearly'!BP14</f>
        <v>79.404889946990906</v>
      </c>
      <c r="BQ28" s="44">
        <f>'Scope 3 Yearly'!BQ14</f>
        <v>83.158324408289488</v>
      </c>
      <c r="BR28" s="44">
        <f>'Scope 3 Yearly'!BR14</f>
        <v>86.824855782827683</v>
      </c>
      <c r="BS28" s="44">
        <f>'Scope 3 Yearly'!BS14</f>
        <v>90.379460724060621</v>
      </c>
      <c r="BT28" s="44">
        <f>'Scope 3 Yearly'!BT14</f>
        <v>93.797026413069418</v>
      </c>
      <c r="BU28" s="44">
        <f>'Scope 3 Yearly'!BU14</f>
        <v>97.052621890000012</v>
      </c>
      <c r="BV28" s="44">
        <f>'Scope 3 Yearly'!BV14</f>
        <v>100.35864667398869</v>
      </c>
      <c r="BW28" s="44">
        <f>'Scope 3 Yearly'!BW14</f>
        <v>103.71291944668843</v>
      </c>
      <c r="BX28" s="44">
        <f>'Scope 3 Yearly'!BX14</f>
        <v>107.11310556689614</v>
      </c>
      <c r="BY28" s="44">
        <f>'Scope 3 Yearly'!BY14</f>
        <v>110.5567170177904</v>
      </c>
      <c r="BZ28" s="44">
        <f>'Scope 3 Yearly'!BZ14</f>
        <v>114.04111274618623</v>
      </c>
      <c r="CA28" s="44">
        <f>'Scope 3 Yearly'!CA14</f>
        <v>117.37944530545052</v>
      </c>
      <c r="CB28" s="44">
        <f>'Scope 3 Yearly'!CB14</f>
        <v>120.55258312582143</v>
      </c>
      <c r="CC28" s="44">
        <f>'Scope 3 Yearly'!CC14</f>
        <v>123.54179206439362</v>
      </c>
      <c r="CD28" s="44">
        <f>'Scope 3 Yearly'!CD14</f>
        <v>126.32889768946674</v>
      </c>
      <c r="CE28" s="44">
        <f>'Scope 3 Yearly'!CE14</f>
        <v>128.89644659019703</v>
      </c>
      <c r="CF28" s="44">
        <f>'Scope 3 Yearly'!CF14</f>
        <v>131.48708463156149</v>
      </c>
      <c r="CG28" s="44">
        <f>'Scope 3 Yearly'!CG14</f>
        <v>134.10033095205802</v>
      </c>
      <c r="CH28" s="44">
        <f>'Scope 3 Yearly'!CH14</f>
        <v>136.73568403472197</v>
      </c>
      <c r="CI28" s="44">
        <f>'Scope 3 Yearly'!CI14</f>
        <v>139.39262155626096</v>
      </c>
      <c r="CJ28" s="44">
        <f>'Scope 3 Yearly'!CJ14</f>
        <v>142.07060024509096</v>
      </c>
      <c r="CK28" s="44">
        <f>'Scope 3 Yearly'!CK14</f>
        <v>144.7708090599161</v>
      </c>
      <c r="CL28" s="44">
        <f>'Scope 3 Yearly'!CL14</f>
        <v>147.49276750389703</v>
      </c>
      <c r="CM28" s="44">
        <f>'Scope 3 Yearly'!CM14</f>
        <v>150.23597587542747</v>
      </c>
      <c r="CN28" s="44">
        <f>'Scope 3 Yearly'!CN14</f>
        <v>152.99991512501833</v>
      </c>
      <c r="CO28" s="44">
        <f>'Scope 3 Yearly'!CO14</f>
        <v>155.78404671904281</v>
      </c>
      <c r="CP28" s="44">
        <f>'Scope 3 Yearly'!CP14</f>
        <v>158.58946678624167</v>
      </c>
      <c r="CQ28" s="44">
        <f>'Scope 3 Yearly'!CQ14</f>
        <v>161.4156917604175</v>
      </c>
      <c r="CR28" s="44">
        <f>'Scope 3 Yearly'!CR14</f>
        <v>164.26222002799503</v>
      </c>
      <c r="CS28" s="44">
        <f>'Scope 3 Yearly'!CS14</f>
        <v>167.12853178918618</v>
      </c>
      <c r="CT28" s="44">
        <f>'Scope 3 Yearly'!CT14</f>
        <v>170.01408892440014</v>
      </c>
      <c r="CU28" s="44"/>
      <c r="CV28" s="44">
        <f>'Scope 3 Yearly'!CV14</f>
        <v>79.404868531431291</v>
      </c>
      <c r="CW28" s="44">
        <f>'Scope 3 Yearly'!CW14</f>
        <v>80.623043642336739</v>
      </c>
      <c r="CX28" s="44">
        <f>'Scope 3 Yearly'!CX14</f>
        <v>81.507942011168979</v>
      </c>
      <c r="CY28" s="44">
        <f>'Scope 3 Yearly'!CY14</f>
        <v>82.166244119468729</v>
      </c>
      <c r="CZ28" s="44">
        <f>'Scope 3 Yearly'!CZ14</f>
        <v>82.591847135888997</v>
      </c>
      <c r="DA28" s="44">
        <f>'Scope 3 Yearly'!DA14</f>
        <v>82.780535701973335</v>
      </c>
      <c r="DB28" s="44">
        <f>'Scope 3 Yearly'!DB14</f>
        <v>82.908484002656735</v>
      </c>
      <c r="DC28" s="44">
        <f>'Scope 3 Yearly'!DC14</f>
        <v>82.974310054729017</v>
      </c>
      <c r="DD28" s="44">
        <f>'Scope 3 Yearly'!DD14</f>
        <v>82.976390553244272</v>
      </c>
      <c r="DE28" s="44">
        <f>'Scope 3 Yearly'!DE14</f>
        <v>82.912626460675583</v>
      </c>
      <c r="DF28" s="44">
        <f>'Scope 3 Yearly'!DF14</f>
        <v>82.780855324868654</v>
      </c>
      <c r="DG28" s="44">
        <f>'Scope 3 Yearly'!DG14</f>
        <v>81.953279689040343</v>
      </c>
      <c r="DH28" s="44">
        <f>'Scope 3 Yearly'!DH14</f>
        <v>80.931405054884991</v>
      </c>
      <c r="DI28" s="44">
        <f>'Scope 3 Yearly'!DI14</f>
        <v>79.715132734620155</v>
      </c>
      <c r="DJ28" s="44">
        <f>'Scope 3 Yearly'!DJ14</f>
        <v>78.309888079018108</v>
      </c>
      <c r="DK28" s="44">
        <f>'Scope 3 Yearly'!DK14</f>
        <v>76.718220678373626</v>
      </c>
      <c r="DL28" s="44">
        <f>'Scope 3 Yearly'!DL14</f>
        <v>75.087425884235941</v>
      </c>
      <c r="DM28" s="44">
        <f>'Scope 3 Yearly'!DM14</f>
        <v>73.426287284374752</v>
      </c>
      <c r="DN28" s="44">
        <f>'Scope 3 Yearly'!DN14</f>
        <v>71.744132916822153</v>
      </c>
      <c r="DO28" s="44">
        <f>'Scope 3 Yearly'!DO14</f>
        <v>70.049840403556431</v>
      </c>
      <c r="DP28" s="44">
        <f>'Scope 3 Yearly'!DP14</f>
        <v>68.383544710057507</v>
      </c>
      <c r="DQ28" s="44">
        <f>'Scope 3 Yearly'!DQ14</f>
        <v>66.029852587560868</v>
      </c>
      <c r="DR28" s="44">
        <f>'Scope 3 Yearly'!DR14</f>
        <v>63.698431726860441</v>
      </c>
      <c r="DS28" s="44">
        <f>'Scope 3 Yearly'!DS14</f>
        <v>61.367828442746756</v>
      </c>
      <c r="DT28" s="44">
        <f>'Scope 3 Yearly'!DT14</f>
        <v>59.042045517932692</v>
      </c>
      <c r="DU28" s="44">
        <f>'Scope 3 Yearly'!DU14</f>
        <v>56.718284354383364</v>
      </c>
      <c r="DV28" s="44">
        <f>'Scope 3 Yearly'!DV14</f>
        <v>54.393095524971372</v>
      </c>
      <c r="DW28" s="44">
        <f>'Scope 3 Yearly'!DW14</f>
        <v>52.060115341109537</v>
      </c>
      <c r="DX28" s="44">
        <f>'Scope 3 Yearly'!DX14</f>
        <v>49.716371274880153</v>
      </c>
      <c r="DY28" s="44">
        <f>'Scope 3 Yearly'!DY14</f>
        <v>47.350662429746166</v>
      </c>
      <c r="DZ28" s="44">
        <f>'Scope 3 Yearly'!DZ14</f>
        <v>45.037841870677525</v>
      </c>
      <c r="EI28" s="26"/>
    </row>
    <row r="29" spans="1:151">
      <c r="A29" s="1"/>
      <c r="B29" t="str">
        <f>'Scope 3 Yearly'!A15</f>
        <v>Leakage Environment</v>
      </c>
      <c r="C29" s="54" t="s">
        <v>69</v>
      </c>
      <c r="D29" s="44">
        <f>'Scope 3 Yearly'!D15</f>
        <v>20.586442900880652</v>
      </c>
      <c r="E29" s="44">
        <f>'Scope 3 Yearly'!E15</f>
        <v>21.089121783957371</v>
      </c>
      <c r="F29" s="44">
        <f>'Scope 3 Yearly'!F15</f>
        <v>21.514766134461695</v>
      </c>
      <c r="G29" s="44">
        <f>'Scope 3 Yearly'!G15</f>
        <v>21.889805776139188</v>
      </c>
      <c r="H29" s="44">
        <f>'Scope 3 Yearly'!H15</f>
        <v>22.211295181624937</v>
      </c>
      <c r="I29" s="44">
        <f>'Scope 3 Yearly'!I15</f>
        <v>22.476650601635008</v>
      </c>
      <c r="J29" s="44">
        <f>'Scope 3 Yearly'!J15</f>
        <v>22.732597186028197</v>
      </c>
      <c r="K29" s="44">
        <f>'Scope 3 Yearly'!K15</f>
        <v>22.9784883741432</v>
      </c>
      <c r="L29" s="44">
        <f>'Scope 3 Yearly'!L15</f>
        <v>23.213502414618105</v>
      </c>
      <c r="M29" s="44">
        <f>'Scope 3 Yearly'!M15</f>
        <v>23.436512302511225</v>
      </c>
      <c r="N29" s="44">
        <f>'Scope 3 Yearly'!N15</f>
        <v>23.646089151942192</v>
      </c>
      <c r="O29" s="44">
        <f>'Scope 3 Yearly'!O15</f>
        <v>23.660253922329904</v>
      </c>
      <c r="P29" s="44">
        <f>'Scope 3 Yearly'!P15</f>
        <v>23.618061436382899</v>
      </c>
      <c r="Q29" s="44">
        <f>'Scope 3 Yearly'!Q15</f>
        <v>23.519578583258944</v>
      </c>
      <c r="R29" s="44">
        <f>'Scope 3 Yearly'!R15</f>
        <v>23.361152778431197</v>
      </c>
      <c r="S29" s="44">
        <f>'Scope 3 Yearly'!S15</f>
        <v>23.140263954313415</v>
      </c>
      <c r="T29" s="44">
        <f>'Scope 3 Yearly'!T15</f>
        <v>22.90040616609798</v>
      </c>
      <c r="U29" s="44">
        <f>'Scope 3 Yearly'!U15</f>
        <v>22.645494263712145</v>
      </c>
      <c r="V29" s="44">
        <f>'Scope 3 Yearly'!V15</f>
        <v>22.379939838954815</v>
      </c>
      <c r="W29" s="44">
        <f>'Scope 3 Yearly'!W15</f>
        <v>22.108093704364769</v>
      </c>
      <c r="X29" s="44">
        <f>'Scope 3 Yearly'!X15</f>
        <v>21.843984291837543</v>
      </c>
      <c r="Y29" s="44">
        <f>'Scope 3 Yearly'!Y15</f>
        <v>21.357796766935252</v>
      </c>
      <c r="Z29" s="44">
        <f>'Scope 3 Yearly'!Z15</f>
        <v>20.867554823301912</v>
      </c>
      <c r="AA29" s="44">
        <f>'Scope 3 Yearly'!AA15</f>
        <v>20.373583380038564</v>
      </c>
      <c r="AB29" s="44">
        <f>'Scope 3 Yearly'!AB15</f>
        <v>19.871942549318319</v>
      </c>
      <c r="AC29" s="44">
        <f>'Scope 3 Yearly'!AC15</f>
        <v>19.35980768966532</v>
      </c>
      <c r="AD29" s="44">
        <f>'Scope 3 Yearly'!AD15</f>
        <v>18.833628123377014</v>
      </c>
      <c r="AE29" s="44">
        <f>'Scope 3 Yearly'!AE15</f>
        <v>18.289072173127792</v>
      </c>
      <c r="AF29" s="44">
        <f>'Scope 3 Yearly'!AF15</f>
        <v>17.722069768712803</v>
      </c>
      <c r="AG29" s="44">
        <f>'Scope 3 Yearly'!AG15</f>
        <v>17.123578316887262</v>
      </c>
      <c r="AH29" s="44">
        <f>'Scope 3 Yearly'!AH15</f>
        <v>16.514667833561639</v>
      </c>
      <c r="AI29" s="44"/>
      <c r="AJ29" s="44">
        <f>'Scope 3 Yearly'!AJ15</f>
        <v>20.586447397037741</v>
      </c>
      <c r="AK29" s="44">
        <f>'Scope 3 Yearly'!AK15</f>
        <v>21.089131566017993</v>
      </c>
      <c r="AL29" s="44">
        <f>'Scope 3 Yearly'!AL15</f>
        <v>21.514786723760334</v>
      </c>
      <c r="AM29" s="44">
        <f>'Scope 3 Yearly'!AM15</f>
        <v>21.889848819472359</v>
      </c>
      <c r="AN29" s="44">
        <f>'Scope 3 Yearly'!AN15</f>
        <v>22.211384477797811</v>
      </c>
      <c r="AO29" s="44">
        <f>'Scope 3 Yearly'!AO15</f>
        <v>22.476834197224534</v>
      </c>
      <c r="AP29" s="44">
        <f>'Scope 3 Yearly'!AP15</f>
        <v>22.732971420083285</v>
      </c>
      <c r="AQ29" s="44">
        <f>'Scope 3 Yearly'!AQ15</f>
        <v>22.979242757312385</v>
      </c>
      <c r="AR29" s="44">
        <f>'Scope 3 Yearly'!AR15</f>
        <v>23.215001235118187</v>
      </c>
      <c r="AS29" s="44">
        <f>'Scope 3 Yearly'!AS15</f>
        <v>23.439434484663543</v>
      </c>
      <c r="AT29" s="44">
        <f>'Scope 3 Yearly'!AT15</f>
        <v>23.651672949962457</v>
      </c>
      <c r="AU29" s="44">
        <f>'Scope 3 Yearly'!AU15</f>
        <v>23.670105454454301</v>
      </c>
      <c r="AV29" s="44">
        <f>'Scope 3 Yearly'!AV15</f>
        <v>23.634835104523916</v>
      </c>
      <c r="AW29" s="44">
        <f>'Scope 3 Yearly'!AW15</f>
        <v>23.545716120913998</v>
      </c>
      <c r="AX29" s="44">
        <f>'Scope 3 Yearly'!AX15</f>
        <v>23.400824690939661</v>
      </c>
      <c r="AY29" s="44">
        <f>'Scope 3 Yearly'!AY15</f>
        <v>23.198946287958499</v>
      </c>
      <c r="AZ29" s="44">
        <f>'Scope 3 Yearly'!AZ15</f>
        <v>22.983069927124134</v>
      </c>
      <c r="BA29" s="44">
        <f>'Scope 3 Yearly'!BA15</f>
        <v>22.755362119495008</v>
      </c>
      <c r="BB29" s="44">
        <f>'Scope 3 Yearly'!BB15</f>
        <v>22.518258560680732</v>
      </c>
      <c r="BC29" s="44">
        <f>'Scope 3 Yearly'!BC15</f>
        <v>22.274168065017204</v>
      </c>
      <c r="BD29" s="44">
        <f>'Scope 3 Yearly'!BD15</f>
        <v>22.03568485188627</v>
      </c>
      <c r="BE29" s="44">
        <f>'Scope 3 Yearly'!BE15</f>
        <v>21.569459946579933</v>
      </c>
      <c r="BF29" s="44">
        <f>'Scope 3 Yearly'!BF15</f>
        <v>21.100781032549548</v>
      </c>
      <c r="BG29" s="44">
        <f>'Scope 3 Yearly'!BG15</f>
        <v>20.626557280191232</v>
      </c>
      <c r="BH29" s="44">
        <f>'Scope 3 Yearly'!BH15</f>
        <v>20.143206917665559</v>
      </c>
      <c r="BI29" s="44">
        <f>'Scope 3 Yearly'!BI15</f>
        <v>19.649166928555026</v>
      </c>
      <c r="BJ29" s="44">
        <f>'Scope 3 Yearly'!BJ15</f>
        <v>19.142536406331949</v>
      </c>
      <c r="BK29" s="44">
        <f>'Scope 3 Yearly'!BK15</f>
        <v>18.620238586820857</v>
      </c>
      <c r="BL29" s="44">
        <f>'Scope 3 Yearly'!BL15</f>
        <v>18.080207329091643</v>
      </c>
      <c r="BM29" s="44">
        <f>'Scope 3 Yearly'!BM15</f>
        <v>17.517182423775736</v>
      </c>
      <c r="BN29" s="44">
        <f>'Scope 3 Yearly'!BN15</f>
        <v>16.957785197616872</v>
      </c>
      <c r="BO29" s="44"/>
      <c r="BP29" s="44">
        <f>'Scope 3 Yearly'!BP15</f>
        <v>20.586452949219865</v>
      </c>
      <c r="BQ29" s="44">
        <f>'Scope 3 Yearly'!BQ15</f>
        <v>21.697888404310831</v>
      </c>
      <c r="BR29" s="44">
        <f>'Scope 3 Yearly'!BR15</f>
        <v>22.795715031784876</v>
      </c>
      <c r="BS29" s="44">
        <f>'Scope 3 Yearly'!BS15</f>
        <v>23.872599146154887</v>
      </c>
      <c r="BT29" s="44">
        <f>'Scope 3 Yearly'!BT15</f>
        <v>24.921059872844779</v>
      </c>
      <c r="BU29" s="44">
        <f>'Scope 3 Yearly'!BU15</f>
        <v>25.933547739568272</v>
      </c>
      <c r="BV29" s="44">
        <f>'Scope 3 Yearly'!BV15</f>
        <v>26.966173760046829</v>
      </c>
      <c r="BW29" s="44">
        <f>'Scope 3 Yearly'!BW15</f>
        <v>28.018356635175259</v>
      </c>
      <c r="BX29" s="44">
        <f>'Scope 3 Yearly'!BX15</f>
        <v>29.089460662315677</v>
      </c>
      <c r="BY29" s="44">
        <f>'Scope 3 Yearly'!BY15</f>
        <v>30.178795322763722</v>
      </c>
      <c r="BZ29" s="44">
        <f>'Scope 3 Yearly'!BZ15</f>
        <v>31.285615001166143</v>
      </c>
      <c r="CA29" s="44">
        <f>'Scope 3 Yearly'!CA15</f>
        <v>32.358380039317332</v>
      </c>
      <c r="CB29" s="44">
        <f>'Scope 3 Yearly'!CB15</f>
        <v>33.391027575812707</v>
      </c>
      <c r="CC29" s="44">
        <f>'Scope 3 Yearly'!CC15</f>
        <v>34.37753793338738</v>
      </c>
      <c r="CD29" s="44">
        <f>'Scope 3 Yearly'!CD15</f>
        <v>35.311985845229039</v>
      </c>
      <c r="CE29" s="44">
        <f>'Scope 3 Yearly'!CE15</f>
        <v>36.188592260339242</v>
      </c>
      <c r="CF29" s="44">
        <f>'Scope 3 Yearly'!CF15</f>
        <v>37.074867261793905</v>
      </c>
      <c r="CG29" s="44">
        <f>'Scope 3 Yearly'!CG15</f>
        <v>37.970664961265364</v>
      </c>
      <c r="CH29" s="44">
        <f>'Scope 3 Yearly'!CH15</f>
        <v>38.875831735362148</v>
      </c>
      <c r="CI29" s="44">
        <f>'Scope 3 Yearly'!CI15</f>
        <v>39.790206153324768</v>
      </c>
      <c r="CJ29" s="44">
        <f>'Scope 3 Yearly'!CJ15</f>
        <v>40.713618907911865</v>
      </c>
      <c r="CK29" s="44">
        <f>'Scope 3 Yearly'!CK15</f>
        <v>41.646397126825207</v>
      </c>
      <c r="CL29" s="44">
        <f>'Scope 3 Yearly'!CL15</f>
        <v>42.588391560920726</v>
      </c>
      <c r="CM29" s="44">
        <f>'Scope 3 Yearly'!CM15</f>
        <v>43.539445746786356</v>
      </c>
      <c r="CN29" s="44">
        <f>'Scope 3 Yearly'!CN15</f>
        <v>44.499395940184968</v>
      </c>
      <c r="CO29" s="44">
        <f>'Scope 3 Yearly'!CO15</f>
        <v>45.468071051969467</v>
      </c>
      <c r="CP29" s="44">
        <f>'Scope 3 Yearly'!CP15</f>
        <v>46.445777070932721</v>
      </c>
      <c r="CQ29" s="44">
        <f>'Scope 3 Yearly'!CQ15</f>
        <v>47.432360635745958</v>
      </c>
      <c r="CR29" s="44">
        <f>'Scope 3 Yearly'!CR15</f>
        <v>48.427661588574047</v>
      </c>
      <c r="CS29" s="44">
        <f>'Scope 3 Yearly'!CS15</f>
        <v>49.431512912338313</v>
      </c>
      <c r="CT29" s="44">
        <f>'Scope 3 Yearly'!CT15</f>
        <v>50.443740669876966</v>
      </c>
      <c r="CU29" s="44"/>
      <c r="CV29" s="44">
        <f>'Scope 3 Yearly'!CV15</f>
        <v>20.586447397037741</v>
      </c>
      <c r="CW29" s="44">
        <f>'Scope 3 Yearly'!CW15</f>
        <v>21.089131566017993</v>
      </c>
      <c r="CX29" s="44">
        <f>'Scope 3 Yearly'!CX15</f>
        <v>21.514786723760334</v>
      </c>
      <c r="CY29" s="44">
        <f>'Scope 3 Yearly'!CY15</f>
        <v>21.889848819472359</v>
      </c>
      <c r="CZ29" s="44">
        <f>'Scope 3 Yearly'!CZ15</f>
        <v>22.211384477797811</v>
      </c>
      <c r="DA29" s="44">
        <f>'Scope 3 Yearly'!DA15</f>
        <v>22.476834197224534</v>
      </c>
      <c r="DB29" s="44">
        <f>'Scope 3 Yearly'!DB15</f>
        <v>22.732971420083285</v>
      </c>
      <c r="DC29" s="44">
        <f>'Scope 3 Yearly'!DC15</f>
        <v>22.979242757312385</v>
      </c>
      <c r="DD29" s="44">
        <f>'Scope 3 Yearly'!DD15</f>
        <v>23.215001235118187</v>
      </c>
      <c r="DE29" s="44">
        <f>'Scope 3 Yearly'!DE15</f>
        <v>23.439434484663543</v>
      </c>
      <c r="DF29" s="44">
        <f>'Scope 3 Yearly'!DF15</f>
        <v>23.651672949962453</v>
      </c>
      <c r="DG29" s="44">
        <f>'Scope 3 Yearly'!DG15</f>
        <v>23.670105454454301</v>
      </c>
      <c r="DH29" s="44">
        <f>'Scope 3 Yearly'!DH15</f>
        <v>23.634835104523916</v>
      </c>
      <c r="DI29" s="44">
        <f>'Scope 3 Yearly'!DI15</f>
        <v>23.54404969823112</v>
      </c>
      <c r="DJ29" s="44">
        <f>'Scope 3 Yearly'!DJ15</f>
        <v>23.397466560194417</v>
      </c>
      <c r="DK29" s="44">
        <f>'Scope 3 Yearly'!DK15</f>
        <v>23.193880670205957</v>
      </c>
      <c r="DL29" s="44">
        <f>'Scope 3 Yearly'!DL15</f>
        <v>22.976278582873437</v>
      </c>
      <c r="DM29" s="44">
        <f>'Scope 3 Yearly'!DM15</f>
        <v>22.746827360970006</v>
      </c>
      <c r="DN29" s="44">
        <f>'Scope 3 Yearly'!DN15</f>
        <v>22.507963268022618</v>
      </c>
      <c r="DO29" s="44">
        <f>'Scope 3 Yearly'!DO15</f>
        <v>22.26209570229495</v>
      </c>
      <c r="DP29" s="44">
        <f>'Scope 3 Yearly'!DP15</f>
        <v>22.021819482899854</v>
      </c>
      <c r="DQ29" s="44">
        <f>'Scope 3 Yearly'!DQ15</f>
        <v>21.553786077804819</v>
      </c>
      <c r="DR29" s="44">
        <f>'Scope 3 Yearly'!DR15</f>
        <v>21.083283740580548</v>
      </c>
      <c r="DS29" s="44">
        <f>'Scope 3 Yearly'!DS15</f>
        <v>20.602843660311727</v>
      </c>
      <c r="DT29" s="44">
        <f>'Scope 3 Yearly'!DT15</f>
        <v>20.113224297317714</v>
      </c>
      <c r="DU29" s="44">
        <f>'Scope 3 Yearly'!DU15</f>
        <v>19.612864683291431</v>
      </c>
      <c r="DV29" s="44">
        <f>'Scope 3 Yearly'!DV15</f>
        <v>19.099865604188409</v>
      </c>
      <c r="DW29" s="44">
        <f>'Scope 3 Yearly'!DW15</f>
        <v>18.571152256185265</v>
      </c>
      <c r="DX29" s="44">
        <f>'Scope 3 Yearly'!DX15</f>
        <v>18.024660502048178</v>
      </c>
      <c r="DY29" s="44">
        <f>'Scope 3 Yearly'!DY15</f>
        <v>17.455132178786261</v>
      </c>
      <c r="DZ29" s="44">
        <f>'Scope 3 Yearly'!DZ15</f>
        <v>16.88919070150407</v>
      </c>
      <c r="EI29" s="26"/>
    </row>
    <row r="30" spans="1:151" ht="16" thickBot="1">
      <c r="A30" s="1"/>
      <c r="B30" t="str">
        <f>'Scope 3 Yearly'!A16</f>
        <v>Leakage Ocean</v>
      </c>
      <c r="C30" s="54" t="s">
        <v>69</v>
      </c>
      <c r="D30" s="44">
        <f>'Scope 3 Yearly'!D16</f>
        <v>14.704602072057609</v>
      </c>
      <c r="E30" s="44">
        <f>'Scope 3 Yearly'!E16</f>
        <v>14.933923559931536</v>
      </c>
      <c r="F30" s="44">
        <f>'Scope 3 Yearly'!F16</f>
        <v>15.101710844381765</v>
      </c>
      <c r="G30" s="44">
        <f>'Scope 3 Yearly'!G16</f>
        <v>15.227690974705521</v>
      </c>
      <c r="H30" s="44">
        <f>'Scope 3 Yearly'!H16</f>
        <v>15.310698620343404</v>
      </c>
      <c r="I30" s="44">
        <f>'Scope 3 Yearly'!I16</f>
        <v>15.34990772794586</v>
      </c>
      <c r="J30" s="44">
        <f>'Scope 3 Yearly'!J16</f>
        <v>15.377933390548487</v>
      </c>
      <c r="K30" s="44">
        <f>'Scope 3 Yearly'!K16</f>
        <v>15.394455265435839</v>
      </c>
      <c r="L30" s="44">
        <f>'Scope 3 Yearly'!L16</f>
        <v>15.399056057221912</v>
      </c>
      <c r="M30" s="44">
        <f>'Scope 3 Yearly'!M16</f>
        <v>15.391142407619313</v>
      </c>
      <c r="N30" s="44">
        <f>'Scope 3 Yearly'!N16</f>
        <v>15.369957948762426</v>
      </c>
      <c r="O30" s="44">
        <f>'Scope 3 Yearly'!O16</f>
        <v>15.218655789237326</v>
      </c>
      <c r="P30" s="44">
        <f>'Scope 3 Yearly'!P16</f>
        <v>15.02967545951639</v>
      </c>
      <c r="Q30" s="44">
        <f>'Scope 3 Yearly'!Q16</f>
        <v>14.804201747838118</v>
      </c>
      <c r="R30" s="44">
        <f>'Scope 3 Yearly'!R16</f>
        <v>14.5411257090235</v>
      </c>
      <c r="S30" s="44">
        <f>'Scope 3 Yearly'!S16</f>
        <v>14.24016243342364</v>
      </c>
      <c r="T30" s="44">
        <f>'Scope 3 Yearly'!T16</f>
        <v>13.929113028863719</v>
      </c>
      <c r="U30" s="44">
        <f>'Scope 3 Yearly'!U16</f>
        <v>13.610763391661186</v>
      </c>
      <c r="V30" s="44">
        <f>'Scope 3 Yearly'!V16</f>
        <v>13.288089279379422</v>
      </c>
      <c r="W30" s="44">
        <f>'Scope 3 Yearly'!W16</f>
        <v>12.963908350203425</v>
      </c>
      <c r="X30" s="44">
        <f>'Scope 3 Yearly'!X16</f>
        <v>12.646517221590155</v>
      </c>
      <c r="Y30" s="44">
        <f>'Scope 3 Yearly'!Y16</f>
        <v>12.204455295391572</v>
      </c>
      <c r="Z30" s="44">
        <f>'Scope 3 Yearly'!Z16</f>
        <v>11.765748996117035</v>
      </c>
      <c r="AA30" s="44">
        <f>'Scope 3 Yearly'!AA16</f>
        <v>11.330762949326257</v>
      </c>
      <c r="AB30" s="44">
        <f>'Scope 3 Yearly'!AB16</f>
        <v>10.897516881884235</v>
      </c>
      <c r="AC30" s="44">
        <f>'Scope 3 Yearly'!AC16</f>
        <v>10.464760913332601</v>
      </c>
      <c r="AD30" s="44">
        <f>'Scope 3 Yearly'!AD16</f>
        <v>10.030954109189924</v>
      </c>
      <c r="AE30" s="44">
        <f>'Scope 3 Yearly'!AE16</f>
        <v>9.5942673695096534</v>
      </c>
      <c r="AF30" s="44">
        <f>'Scope 3 Yearly'!AF16</f>
        <v>9.1531569135109976</v>
      </c>
      <c r="AG30" s="44">
        <f>'Scope 3 Yearly'!AG16</f>
        <v>8.7036972660421341</v>
      </c>
      <c r="AH30" s="44">
        <f>'Scope 3 Yearly'!AH16</f>
        <v>8.2573339167808193</v>
      </c>
      <c r="AI30" s="44"/>
      <c r="AJ30" s="44">
        <f>'Scope 3 Yearly'!AJ16</f>
        <v>14.704605283598386</v>
      </c>
      <c r="AK30" s="44">
        <f>'Scope 3 Yearly'!AK16</f>
        <v>14.933930486940969</v>
      </c>
      <c r="AL30" s="44">
        <f>'Scope 3 Yearly'!AL16</f>
        <v>15.101725296485618</v>
      </c>
      <c r="AM30" s="44">
        <f>'Scope 3 Yearly'!AM16</f>
        <v>15.227720917893814</v>
      </c>
      <c r="AN30" s="44">
        <f>'Scope 3 Yearly'!AN16</f>
        <v>15.310760174015968</v>
      </c>
      <c r="AO30" s="44">
        <f>'Scope 3 Yearly'!AO16</f>
        <v>15.35003311029968</v>
      </c>
      <c r="AP30" s="44">
        <f>'Scope 3 Yearly'!AP16</f>
        <v>15.378186548879869</v>
      </c>
      <c r="AQ30" s="44">
        <f>'Scope 3 Yearly'!AQ16</f>
        <v>15.394960664997461</v>
      </c>
      <c r="AR30" s="44">
        <f>'Scope 3 Yearly'!AR16</f>
        <v>15.400050324286322</v>
      </c>
      <c r="AS30" s="44">
        <f>'Scope 3 Yearly'!AS16</f>
        <v>15.393061452614864</v>
      </c>
      <c r="AT30" s="44">
        <f>'Scope 3 Yearly'!AT16</f>
        <v>15.373587417475598</v>
      </c>
      <c r="AU30" s="44">
        <f>'Scope 3 Yearly'!AU16</f>
        <v>15.224992453116336</v>
      </c>
      <c r="AV30" s="44">
        <f>'Scope 3 Yearly'!AV16</f>
        <v>15.040349611969765</v>
      </c>
      <c r="AW30" s="44">
        <f>'Scope 3 Yearly'!AW16</f>
        <v>14.820653801996627</v>
      </c>
      <c r="AX30" s="44">
        <f>'Scope 3 Yearly'!AX16</f>
        <v>14.56581945048285</v>
      </c>
      <c r="AY30" s="44">
        <f>'Scope 3 Yearly'!AY16</f>
        <v>14.276274638743693</v>
      </c>
      <c r="AZ30" s="44">
        <f>'Scope 3 Yearly'!AZ16</f>
        <v>13.979393048456947</v>
      </c>
      <c r="BA30" s="44">
        <f>'Scope 3 Yearly'!BA16</f>
        <v>13.676797957831196</v>
      </c>
      <c r="BB30" s="44">
        <f>'Scope 3 Yearly'!BB16</f>
        <v>13.370216020404182</v>
      </c>
      <c r="BC30" s="44">
        <f>'Scope 3 Yearly'!BC16</f>
        <v>13.061292268491764</v>
      </c>
      <c r="BD30" s="44">
        <f>'Scope 3 Yearly'!BD16</f>
        <v>12.757501756355209</v>
      </c>
      <c r="BE30" s="44">
        <f>'Scope 3 Yearly'!BE16</f>
        <v>12.325405683759961</v>
      </c>
      <c r="BF30" s="44">
        <f>'Scope 3 Yearly'!BF16</f>
        <v>11.897248880054532</v>
      </c>
      <c r="BG30" s="44">
        <f>'Scope 3 Yearly'!BG16</f>
        <v>11.471454316256082</v>
      </c>
      <c r="BH30" s="44">
        <f>'Scope 3 Yearly'!BH16</f>
        <v>11.046274761300463</v>
      </c>
      <c r="BI30" s="44">
        <f>'Scope 3 Yearly'!BI16</f>
        <v>10.621171312732441</v>
      </c>
      <c r="BJ30" s="44">
        <f>'Scope 3 Yearly'!BJ16</f>
        <v>10.195481346850704</v>
      </c>
      <c r="BK30" s="44">
        <f>'Scope 3 Yearly'!BK16</f>
        <v>9.767994012758475</v>
      </c>
      <c r="BL30" s="44">
        <f>'Scope 3 Yearly'!BL16</f>
        <v>9.3381290600802878</v>
      </c>
      <c r="BM30" s="44">
        <f>'Scope 3 Yearly'!BM16</f>
        <v>8.9037612319743982</v>
      </c>
      <c r="BN30" s="44">
        <f>'Scope 3 Yearly'!BN16</f>
        <v>8.4788925988084358</v>
      </c>
      <c r="BO30" s="44"/>
      <c r="BP30" s="44">
        <f>'Scope 3 Yearly'!BP16</f>
        <v>14.704609249442761</v>
      </c>
      <c r="BQ30" s="44">
        <f>'Scope 3 Yearly'!BQ16</f>
        <v>15.44629848052436</v>
      </c>
      <c r="BR30" s="44">
        <f>'Scope 3 Yearly'!BR16</f>
        <v>16.174900739465006</v>
      </c>
      <c r="BS30" s="44">
        <f>'Scope 3 Yearly'!BS16</f>
        <v>16.885496957036384</v>
      </c>
      <c r="BT30" s="44">
        <f>'Scope 3 Yearly'!BT16</f>
        <v>17.573109714954494</v>
      </c>
      <c r="BU30" s="44">
        <f>'Scope 3 Yearly'!BU16</f>
        <v>18.232756271050185</v>
      </c>
      <c r="BV30" s="44">
        <f>'Scope 3 Yearly'!BV16</f>
        <v>18.904121811166853</v>
      </c>
      <c r="BW30" s="44">
        <f>'Scope 3 Yearly'!BW16</f>
        <v>19.586797072941629</v>
      </c>
      <c r="BX30" s="44">
        <f>'Scope 3 Yearly'!BX16</f>
        <v>20.280339463411437</v>
      </c>
      <c r="BY30" s="44">
        <f>'Scope 3 Yearly'!BY16</f>
        <v>20.984272914845548</v>
      </c>
      <c r="BZ30" s="44">
        <f>'Scope 3 Yearly'!BZ16</f>
        <v>21.698087823389432</v>
      </c>
      <c r="CA30" s="44">
        <f>'Scope 3 Yearly'!CA16</f>
        <v>22.38613901052058</v>
      </c>
      <c r="CB30" s="44">
        <f>'Scope 3 Yearly'!CB16</f>
        <v>23.044511988941178</v>
      </c>
      <c r="CC30" s="44">
        <f>'Scope 3 Yearly'!CC16</f>
        <v>23.669345701245142</v>
      </c>
      <c r="CD30" s="44">
        <f>'Scope 3 Yearly'!CD16</f>
        <v>24.256865656601118</v>
      </c>
      <c r="CE30" s="44">
        <f>'Scope 3 Yearly'!CE16</f>
        <v>24.803417167198827</v>
      </c>
      <c r="CF30" s="44">
        <f>'Scope 3 Yearly'!CF16</f>
        <v>25.355485291300724</v>
      </c>
      <c r="CG30" s="44">
        <f>'Scope 3 Yearly'!CG16</f>
        <v>25.912973830084251</v>
      </c>
      <c r="CH30" s="44">
        <f>'Scope 3 Yearly'!CH16</f>
        <v>26.475781957703553</v>
      </c>
      <c r="CI30" s="44">
        <f>'Scope 3 Yearly'!CI16</f>
        <v>27.043804182167598</v>
      </c>
      <c r="CJ30" s="44">
        <f>'Scope 3 Yearly'!CJ16</f>
        <v>27.616930308164015</v>
      </c>
      <c r="CK30" s="44">
        <f>'Scope 3 Yearly'!CK16</f>
        <v>28.195386874682931</v>
      </c>
      <c r="CL30" s="44">
        <f>'Scope 3 Yearly'!CL16</f>
        <v>28.779076586126294</v>
      </c>
      <c r="CM30" s="44">
        <f>'Scope 3 Yearly'!CM16</f>
        <v>29.367897837274214</v>
      </c>
      <c r="CN30" s="44">
        <f>'Scope 3 Yearly'!CN16</f>
        <v>29.961744676857638</v>
      </c>
      <c r="CO30" s="44">
        <f>'Scope 3 Yearly'!CO16</f>
        <v>30.560506772635247</v>
      </c>
      <c r="CP30" s="44">
        <f>'Scope 3 Yearly'!CP16</f>
        <v>31.164394459511886</v>
      </c>
      <c r="CQ30" s="44">
        <f>'Scope 3 Yearly'!CQ16</f>
        <v>31.773308755998769</v>
      </c>
      <c r="CR30" s="44">
        <f>'Scope 3 Yearly'!CR16</f>
        <v>32.3871466249756</v>
      </c>
      <c r="CS30" s="44">
        <f>'Scope 3 Yearly'!CS16</f>
        <v>33.005800938969216</v>
      </c>
      <c r="CT30" s="44">
        <f>'Scope 3 Yearly'!CT16</f>
        <v>33.629160446584642</v>
      </c>
      <c r="CU30" s="44"/>
      <c r="CV30" s="44">
        <f>'Scope 3 Yearly'!CV16</f>
        <v>14.704605283598386</v>
      </c>
      <c r="CW30" s="44">
        <f>'Scope 3 Yearly'!CW16</f>
        <v>14.933930486940969</v>
      </c>
      <c r="CX30" s="44">
        <f>'Scope 3 Yearly'!CX16</f>
        <v>15.101725296485618</v>
      </c>
      <c r="CY30" s="44">
        <f>'Scope 3 Yearly'!CY16</f>
        <v>15.227720917893814</v>
      </c>
      <c r="CZ30" s="44">
        <f>'Scope 3 Yearly'!CZ16</f>
        <v>15.310760174015968</v>
      </c>
      <c r="DA30" s="44">
        <f>'Scope 3 Yearly'!DA16</f>
        <v>15.35003311029968</v>
      </c>
      <c r="DB30" s="44">
        <f>'Scope 3 Yearly'!DB16</f>
        <v>15.378186548879869</v>
      </c>
      <c r="DC30" s="44">
        <f>'Scope 3 Yearly'!DC16</f>
        <v>15.394960664997461</v>
      </c>
      <c r="DD30" s="44">
        <f>'Scope 3 Yearly'!DD16</f>
        <v>15.400050324286322</v>
      </c>
      <c r="DE30" s="44">
        <f>'Scope 3 Yearly'!DE16</f>
        <v>15.393061452614864</v>
      </c>
      <c r="DF30" s="44">
        <f>'Scope 3 Yearly'!DF16</f>
        <v>15.373587417475594</v>
      </c>
      <c r="DG30" s="44">
        <f>'Scope 3 Yearly'!DG16</f>
        <v>15.224992453116336</v>
      </c>
      <c r="DH30" s="44">
        <f>'Scope 3 Yearly'!DH16</f>
        <v>15.040349611969765</v>
      </c>
      <c r="DI30" s="44">
        <f>'Scope 3 Yearly'!DI16</f>
        <v>14.819604886196238</v>
      </c>
      <c r="DJ30" s="44">
        <f>'Scope 3 Yearly'!DJ16</f>
        <v>14.563729185427137</v>
      </c>
      <c r="DK30" s="44">
        <f>'Scope 3 Yearly'!DK16</f>
        <v>14.273157335511359</v>
      </c>
      <c r="DL30" s="44">
        <f>'Scope 3 Yearly'!DL16</f>
        <v>13.975262230819926</v>
      </c>
      <c r="DM30" s="44">
        <f>'Scope 3 Yearly'!DM16</f>
        <v>13.671668258406841</v>
      </c>
      <c r="DN30" s="44">
        <f>'Scope 3 Yearly'!DN16</f>
        <v>13.364103190388429</v>
      </c>
      <c r="DO30" s="44">
        <f>'Scope 3 Yearly'!DO16</f>
        <v>13.054213186686043</v>
      </c>
      <c r="DP30" s="44">
        <f>'Scope 3 Yearly'!DP16</f>
        <v>12.749474437468336</v>
      </c>
      <c r="DQ30" s="44">
        <f>'Scope 3 Yearly'!DQ16</f>
        <v>12.316449187317039</v>
      </c>
      <c r="DR30" s="44">
        <f>'Scope 3 Yearly'!DR16</f>
        <v>11.887383385646478</v>
      </c>
      <c r="DS30" s="44">
        <f>'Scope 3 Yearly'!DS16</f>
        <v>11.458265992900637</v>
      </c>
      <c r="DT30" s="44">
        <f>'Scope 3 Yearly'!DT16</f>
        <v>11.029832679174225</v>
      </c>
      <c r="DU30" s="44">
        <f>'Scope 3 Yearly'!DU16</f>
        <v>10.601548477454822</v>
      </c>
      <c r="DV30" s="44">
        <f>'Scope 3 Yearly'!DV16</f>
        <v>10.172754506578602</v>
      </c>
      <c r="DW30" s="44">
        <f>'Scope 3 Yearly'!DW16</f>
        <v>9.74224380652341</v>
      </c>
      <c r="DX30" s="44">
        <f>'Scope 3 Yearly'!DX16</f>
        <v>9.3094400395193784</v>
      </c>
      <c r="DY30" s="44">
        <f>'Scope 3 Yearly'!DY16</f>
        <v>8.8722218809300237</v>
      </c>
      <c r="DZ30" s="44">
        <f>'Scope 3 Yearly'!DZ16</f>
        <v>8.444595350752035</v>
      </c>
      <c r="EI30" s="26"/>
    </row>
    <row r="31" spans="1:151" s="488" customFormat="1" ht="16" thickBot="1">
      <c r="A31" s="185" t="s">
        <v>91</v>
      </c>
      <c r="C31" s="639" t="str">
        <f>'Yearly HC Ethylene'!C152</f>
        <v>m Tons</v>
      </c>
      <c r="D31" s="640">
        <f>D4-SUM(D5:D20)-D22+$D$22-D23</f>
        <v>661.63206290274786</v>
      </c>
      <c r="E31" s="640">
        <f t="shared" ref="E31:AH31" si="100">E4-SUM(E5:E20)-E22+$D$22-E23</f>
        <v>676.78118010619175</v>
      </c>
      <c r="F31" s="640">
        <f t="shared" si="100"/>
        <v>691.00563066120708</v>
      </c>
      <c r="G31" s="640">
        <f t="shared" si="100"/>
        <v>705.4054898874457</v>
      </c>
      <c r="H31" s="640">
        <f t="shared" si="100"/>
        <v>720.00260991723678</v>
      </c>
      <c r="I31" s="640">
        <f t="shared" si="100"/>
        <v>734.82219843869655</v>
      </c>
      <c r="J31" s="640">
        <f t="shared" si="100"/>
        <v>747.92368733104013</v>
      </c>
      <c r="K31" s="640">
        <f t="shared" si="100"/>
        <v>761.08593400053451</v>
      </c>
      <c r="L31" s="640">
        <f t="shared" si="100"/>
        <v>774.30791703457396</v>
      </c>
      <c r="M31" s="640">
        <f t="shared" si="100"/>
        <v>787.58765688745621</v>
      </c>
      <c r="N31" s="640">
        <f>N4-SUM(N5:N20)-N22+$D$22-N23</f>
        <v>814.93895568957817</v>
      </c>
      <c r="O31" s="640">
        <f t="shared" si="100"/>
        <v>811.60278501893799</v>
      </c>
      <c r="P31" s="640">
        <f t="shared" si="100"/>
        <v>821.74350852413431</v>
      </c>
      <c r="Q31" s="640">
        <f t="shared" si="100"/>
        <v>831.32836942628671</v>
      </c>
      <c r="R31" s="640">
        <f t="shared" si="100"/>
        <v>840.37256548873688</v>
      </c>
      <c r="S31" s="640">
        <f t="shared" si="100"/>
        <v>848.857076303849</v>
      </c>
      <c r="T31" s="640">
        <f t="shared" si="100"/>
        <v>872.12808522776913</v>
      </c>
      <c r="U31" s="640">
        <f t="shared" si="100"/>
        <v>894.07894936326875</v>
      </c>
      <c r="V31" s="640">
        <f t="shared" si="100"/>
        <v>914.78051881204135</v>
      </c>
      <c r="W31" s="640">
        <f t="shared" si="100"/>
        <v>934.30573530461709</v>
      </c>
      <c r="X31" s="640">
        <f t="shared" si="100"/>
        <v>982.6079791378445</v>
      </c>
      <c r="Y31" s="640">
        <f t="shared" si="100"/>
        <v>967.15530957067733</v>
      </c>
      <c r="Z31" s="640">
        <f t="shared" si="100"/>
        <v>980.62063342320221</v>
      </c>
      <c r="AA31" s="640">
        <f t="shared" si="100"/>
        <v>993.24717826082497</v>
      </c>
      <c r="AB31" s="640">
        <f t="shared" si="100"/>
        <v>1005.0491489101996</v>
      </c>
      <c r="AC31" s="640">
        <f t="shared" si="100"/>
        <v>1015.994525873574</v>
      </c>
      <c r="AD31" s="640">
        <f t="shared" si="100"/>
        <v>1008.326561404222</v>
      </c>
      <c r="AE31" s="640">
        <f t="shared" si="100"/>
        <v>1000.3938884579576</v>
      </c>
      <c r="AF31" s="640">
        <f t="shared" si="100"/>
        <v>992.15116741551958</v>
      </c>
      <c r="AG31" s="640">
        <f t="shared" si="100"/>
        <v>983.47857252009339</v>
      </c>
      <c r="AH31" s="640">
        <f t="shared" si="100"/>
        <v>1020.7515976790389</v>
      </c>
      <c r="AI31" s="640"/>
      <c r="AJ31" s="640">
        <f>AJ4-SUM(AJ5:AJ20)-AJ22+$D$22-AJ23</f>
        <v>661.63212713356347</v>
      </c>
      <c r="AK31" s="640">
        <f t="shared" ref="AK31:BN31" si="101">AK4-SUM(AK5:AK20)-AK22+$D$22-AK23</f>
        <v>677.57362989689352</v>
      </c>
      <c r="AL31" s="640">
        <f t="shared" si="101"/>
        <v>692.60969853954521</v>
      </c>
      <c r="AM31" s="640">
        <f t="shared" si="101"/>
        <v>707.83879866382381</v>
      </c>
      <c r="AN31" s="640">
        <f t="shared" si="101"/>
        <v>723.28317460390269</v>
      </c>
      <c r="AO31" s="640">
        <f t="shared" si="101"/>
        <v>738.96714326237429</v>
      </c>
      <c r="AP31" s="640">
        <f t="shared" si="101"/>
        <v>752.93338960734945</v>
      </c>
      <c r="AQ31" s="640">
        <f t="shared" si="101"/>
        <v>766.97178057915653</v>
      </c>
      <c r="AR31" s="640">
        <f t="shared" si="101"/>
        <v>781.08437841140653</v>
      </c>
      <c r="AS31" s="640">
        <f t="shared" si="101"/>
        <v>795.27241607187659</v>
      </c>
      <c r="AT31" s="640">
        <f t="shared" si="101"/>
        <v>815.02271265988213</v>
      </c>
      <c r="AU31" s="640">
        <f t="shared" si="101"/>
        <v>821.20853676167803</v>
      </c>
      <c r="AV31" s="640">
        <f t="shared" si="101"/>
        <v>832.38745900162655</v>
      </c>
      <c r="AW31" s="640">
        <f t="shared" si="101"/>
        <v>843.07544113183928</v>
      </c>
      <c r="AX31" s="640">
        <f t="shared" si="101"/>
        <v>853.29616089143269</v>
      </c>
      <c r="AY31" s="640">
        <f t="shared" si="101"/>
        <v>863.05320390762154</v>
      </c>
      <c r="AZ31" s="640">
        <f t="shared" si="101"/>
        <v>887.67652081222536</v>
      </c>
      <c r="BA31" s="640">
        <f t="shared" si="101"/>
        <v>911.03917665036045</v>
      </c>
      <c r="BB31" s="640">
        <f t="shared" si="101"/>
        <v>933.18271870673436</v>
      </c>
      <c r="BC31" s="640">
        <f t="shared" si="101"/>
        <v>954.15031849846173</v>
      </c>
      <c r="BD31" s="640">
        <f t="shared" si="101"/>
        <v>985.77947230277948</v>
      </c>
      <c r="BE31" s="640">
        <f t="shared" si="101"/>
        <v>989.74143795276893</v>
      </c>
      <c r="BF31" s="640">
        <f t="shared" si="101"/>
        <v>1004.5670477079541</v>
      </c>
      <c r="BG31" s="640">
        <f t="shared" si="101"/>
        <v>1018.5264871987305</v>
      </c>
      <c r="BH31" s="640">
        <f t="shared" si="101"/>
        <v>1031.6432782474567</v>
      </c>
      <c r="BI31" s="640">
        <f t="shared" si="101"/>
        <v>1043.9073051501614</v>
      </c>
      <c r="BJ31" s="640">
        <f t="shared" si="101"/>
        <v>1037.6092166262813</v>
      </c>
      <c r="BK31" s="640">
        <f t="shared" si="101"/>
        <v>1031.09594285308</v>
      </c>
      <c r="BL31" s="640">
        <f t="shared" si="101"/>
        <v>1024.3565024839324</v>
      </c>
      <c r="BM31" s="640">
        <f t="shared" si="101"/>
        <v>1017.332247248846</v>
      </c>
      <c r="BN31" s="640">
        <f t="shared" si="101"/>
        <v>1028.4953495772686</v>
      </c>
      <c r="BP31" s="640">
        <f>BP4-SUM(BP5:BP20)-BP22+$D$22-BP23</f>
        <v>661.63220645045089</v>
      </c>
      <c r="BQ31" s="640">
        <f t="shared" ref="BQ31:CT31" si="102">BQ4-SUM(BQ5:BQ20)-BQ22+$D$22-BQ23</f>
        <v>680.55680927456228</v>
      </c>
      <c r="BR31" s="640">
        <f t="shared" si="102"/>
        <v>699.09640822772917</v>
      </c>
      <c r="BS31" s="640">
        <f t="shared" si="102"/>
        <v>717.91004761911017</v>
      </c>
      <c r="BT31" s="640">
        <f t="shared" si="102"/>
        <v>737.00520298599952</v>
      </c>
      <c r="BU31" s="640">
        <f t="shared" si="102"/>
        <v>756.38969102004296</v>
      </c>
      <c r="BV31" s="640">
        <f t="shared" si="102"/>
        <v>774.17934105579218</v>
      </c>
      <c r="BW31" s="640">
        <f t="shared" si="102"/>
        <v>792.17302002701206</v>
      </c>
      <c r="BX31" s="640">
        <f t="shared" si="102"/>
        <v>810.37731282696564</v>
      </c>
      <c r="BY31" s="640">
        <f t="shared" si="102"/>
        <v>828.7992189610361</v>
      </c>
      <c r="BZ31" s="640">
        <f t="shared" si="102"/>
        <v>847.44619832662227</v>
      </c>
      <c r="CA31" s="640">
        <f t="shared" si="102"/>
        <v>867.13248103959017</v>
      </c>
      <c r="CB31" s="640">
        <f t="shared" si="102"/>
        <v>886.53973326722087</v>
      </c>
      <c r="CC31" s="640">
        <f t="shared" si="102"/>
        <v>905.67351151185903</v>
      </c>
      <c r="CD31" s="640">
        <f t="shared" si="102"/>
        <v>924.54000689688962</v>
      </c>
      <c r="CE31" s="640">
        <f t="shared" si="102"/>
        <v>943.14612764664844</v>
      </c>
      <c r="CF31" s="640">
        <f t="shared" si="102"/>
        <v>976.94894385237558</v>
      </c>
      <c r="CG31" s="640">
        <f t="shared" si="102"/>
        <v>1009.7972863426281</v>
      </c>
      <c r="CH31" s="640">
        <f t="shared" si="102"/>
        <v>1041.7005622786403</v>
      </c>
      <c r="CI31" s="640">
        <f t="shared" si="102"/>
        <v>1072.6693451663136</v>
      </c>
      <c r="CJ31" s="640">
        <f t="shared" si="102"/>
        <v>1102.7155283981035</v>
      </c>
      <c r="CK31" s="640">
        <f t="shared" si="102"/>
        <v>1131.0061380220682</v>
      </c>
      <c r="CL31" s="640">
        <f t="shared" si="102"/>
        <v>1158.7090242450731</v>
      </c>
      <c r="CM31" s="640">
        <f t="shared" si="102"/>
        <v>1185.8409449798824</v>
      </c>
      <c r="CN31" s="640">
        <f t="shared" si="102"/>
        <v>1212.4208218494728</v>
      </c>
      <c r="CO31" s="640">
        <f t="shared" si="102"/>
        <v>1238.4700266526695</v>
      </c>
      <c r="CP31" s="640">
        <f t="shared" si="102"/>
        <v>1246.3336463236999</v>
      </c>
      <c r="CQ31" s="640">
        <f t="shared" si="102"/>
        <v>1254.4008086756355</v>
      </c>
      <c r="CR31" s="640">
        <f t="shared" si="102"/>
        <v>1262.7022983160384</v>
      </c>
      <c r="CS31" s="640">
        <f t="shared" si="102"/>
        <v>1271.2729305508753</v>
      </c>
      <c r="CT31" s="640">
        <f t="shared" si="102"/>
        <v>1280.1520865066525</v>
      </c>
      <c r="CV31" s="640">
        <f>CV4-SUM(CV5:CV20)-CV22+$D$22-CV23</f>
        <v>661.63212713356347</v>
      </c>
      <c r="CW31" s="640">
        <f t="shared" ref="CW31:DZ31" si="103">CW4-SUM(CW5:CW20)-CW22+$D$22-CW23</f>
        <v>678.81106820593072</v>
      </c>
      <c r="CX31" s="640">
        <f t="shared" si="103"/>
        <v>695.12667268255507</v>
      </c>
      <c r="CY31" s="640">
        <f t="shared" si="103"/>
        <v>711.6772802086341</v>
      </c>
      <c r="CZ31" s="640">
        <f t="shared" si="103"/>
        <v>728.48626732109176</v>
      </c>
      <c r="DA31" s="640">
        <f t="shared" si="103"/>
        <v>745.5781718733557</v>
      </c>
      <c r="DB31" s="640">
        <f t="shared" si="103"/>
        <v>760.98550511644999</v>
      </c>
      <c r="DC31" s="640">
        <f t="shared" si="103"/>
        <v>776.50539947307686</v>
      </c>
      <c r="DD31" s="640">
        <f t="shared" si="103"/>
        <v>792.14132267449577</v>
      </c>
      <c r="DE31" s="640">
        <f t="shared" si="103"/>
        <v>807.89465341525977</v>
      </c>
      <c r="DF31" s="640">
        <f t="shared" si="103"/>
        <v>823.76627240066239</v>
      </c>
      <c r="DG31" s="640">
        <f t="shared" si="103"/>
        <v>838.44345961839258</v>
      </c>
      <c r="DH31" s="640">
        <f t="shared" si="103"/>
        <v>852.72982625729776</v>
      </c>
      <c r="DI31" s="640">
        <f t="shared" si="103"/>
        <v>866.6309446459469</v>
      </c>
      <c r="DJ31" s="640">
        <f t="shared" si="103"/>
        <v>880.17225518590044</v>
      </c>
      <c r="DK31" s="640">
        <f t="shared" si="103"/>
        <v>893.36166485084573</v>
      </c>
      <c r="DL31" s="640">
        <f t="shared" si="103"/>
        <v>921.52621726833956</v>
      </c>
      <c r="DM31" s="640">
        <f t="shared" si="103"/>
        <v>948.54609039476748</v>
      </c>
      <c r="DN31" s="640">
        <f t="shared" si="103"/>
        <v>974.46688774491906</v>
      </c>
      <c r="DO31" s="640">
        <f t="shared" si="103"/>
        <v>999.33570439518166</v>
      </c>
      <c r="DP31" s="640">
        <f t="shared" si="103"/>
        <v>1023.3625350013117</v>
      </c>
      <c r="DQ31" s="640">
        <f t="shared" si="103"/>
        <v>1042.0076030925536</v>
      </c>
      <c r="DR31" s="640">
        <f t="shared" si="103"/>
        <v>1059.9769143826188</v>
      </c>
      <c r="DS31" s="640">
        <f t="shared" si="103"/>
        <v>1077.1669836570275</v>
      </c>
      <c r="DT31" s="640">
        <f t="shared" si="103"/>
        <v>1093.6065902531539</v>
      </c>
      <c r="DU31" s="640">
        <f t="shared" si="103"/>
        <v>1109.2895525962872</v>
      </c>
      <c r="DV31" s="640">
        <f t="shared" si="103"/>
        <v>1106.5225710633176</v>
      </c>
      <c r="DW31" s="640">
        <f t="shared" si="103"/>
        <v>1103.6409311252128</v>
      </c>
      <c r="DX31" s="640">
        <f t="shared" si="103"/>
        <v>1100.6370401434431</v>
      </c>
      <c r="DY31" s="640">
        <f t="shared" si="103"/>
        <v>1097.4535369319424</v>
      </c>
      <c r="DZ31" s="640">
        <f t="shared" si="103"/>
        <v>1094.566925329156</v>
      </c>
      <c r="EI31" s="490"/>
    </row>
    <row r="32" spans="1:151">
      <c r="A32" t="s">
        <v>53</v>
      </c>
      <c r="C32" s="54" t="str">
        <f>'Yearly HC Ethylene'!C153</f>
        <v>m Tons</v>
      </c>
      <c r="D32" s="44">
        <f>'Yearly Summary'!D10</f>
        <v>661.63206290274798</v>
      </c>
      <c r="E32" s="44">
        <f>'Yearly Summary'!E10</f>
        <v>677.55450541560162</v>
      </c>
      <c r="F32" s="44">
        <f>'Yearly Summary'!F10</f>
        <v>692.80338517202347</v>
      </c>
      <c r="G32" s="44">
        <f>'Yearly Summary'!G10</f>
        <v>708.25901198811096</v>
      </c>
      <c r="H32" s="44">
        <f>'Yearly Summary'!H10</f>
        <v>723.94355313132826</v>
      </c>
      <c r="I32" s="44">
        <f>'Yearly Summary'!I10</f>
        <v>739.89326090278416</v>
      </c>
      <c r="J32" s="44">
        <f>'Yearly Summary'!J10</f>
        <v>751.88015439041169</v>
      </c>
      <c r="K32" s="44">
        <f>'Yearly Summary'!K10</f>
        <v>763.95053035421438</v>
      </c>
      <c r="L32" s="44">
        <f>'Yearly Summary'!L10</f>
        <v>776.10432072038122</v>
      </c>
      <c r="M32" s="44">
        <f>'Yearly Summary'!M10</f>
        <v>788.33721209620205</v>
      </c>
      <c r="N32" s="44">
        <f>'Yearly Summary'!N10</f>
        <v>800.64061167623322</v>
      </c>
      <c r="O32" s="44">
        <f>'Yearly Summary'!O10</f>
        <v>808.67112854507889</v>
      </c>
      <c r="P32" s="44">
        <f>'Yearly Summary'!P10</f>
        <v>816.24716762106914</v>
      </c>
      <c r="Q32" s="44">
        <f>'Yearly Summary'!Q10</f>
        <v>823.35718220136675</v>
      </c>
      <c r="R32" s="44">
        <f>'Yearly Summary'!R10</f>
        <v>830.01278830568049</v>
      </c>
      <c r="S32" s="44">
        <f>'Yearly Summary'!S10</f>
        <v>836.1977386373336</v>
      </c>
      <c r="T32" s="44">
        <f>'Yearly Summary'!T10</f>
        <v>854.34176888201432</v>
      </c>
      <c r="U32" s="44">
        <f>'Yearly Summary'!U10</f>
        <v>871.37566696619967</v>
      </c>
      <c r="V32" s="44">
        <f>'Yearly Summary'!V10</f>
        <v>887.37200815287406</v>
      </c>
      <c r="W32" s="44">
        <f>'Yearly Summary'!W10</f>
        <v>902.40490183649376</v>
      </c>
      <c r="X32" s="44">
        <f>'Yearly Summary'!X10</f>
        <v>916.70392207239399</v>
      </c>
      <c r="Y32" s="44">
        <f>'Yearly Summary'!Y10</f>
        <v>926.7139695394626</v>
      </c>
      <c r="Z32" s="44">
        <f>'Yearly Summary'!Z10</f>
        <v>936.077870022669</v>
      </c>
      <c r="AA32" s="44">
        <f>'Yearly Summary'!AA10</f>
        <v>944.74471324255387</v>
      </c>
      <c r="AB32" s="44">
        <f>'Yearly Summary'!AB10</f>
        <v>952.73602298019591</v>
      </c>
      <c r="AC32" s="44">
        <f>'Yearly Summary'!AC10</f>
        <v>960.02367769660339</v>
      </c>
      <c r="AD32" s="44">
        <f>'Yearly Summary'!AD10</f>
        <v>951.99492856035238</v>
      </c>
      <c r="AE32" s="44">
        <f>'Yearly Summary'!AE10</f>
        <v>943.72924031019045</v>
      </c>
      <c r="AF32" s="44">
        <f>'Yearly Summary'!AF10</f>
        <v>935.18348804195068</v>
      </c>
      <c r="AG32" s="44">
        <f>'Yearly Summary'!AG10</f>
        <v>926.23460585468013</v>
      </c>
      <c r="AH32" s="44">
        <f>'Yearly Summary'!AH10</f>
        <v>917.26255188674679</v>
      </c>
      <c r="AJ32" s="44">
        <f>'Yearly Summary'!AJ10</f>
        <v>661.63212743149325</v>
      </c>
      <c r="AK32" s="44">
        <f>'Yearly Summary'!AK10</f>
        <v>677.52674015022785</v>
      </c>
      <c r="AL32" s="44">
        <f>'Yearly Summary'!AL10</f>
        <v>692.74703096274538</v>
      </c>
      <c r="AM32" s="44">
        <f>'Yearly Summary'!AM10</f>
        <v>708.17338917488814</v>
      </c>
      <c r="AN32" s="44">
        <f>'Yearly Summary'!AN10</f>
        <v>723.82815006697831</v>
      </c>
      <c r="AO32" s="44">
        <f>'Yearly Summary'!AO10</f>
        <v>739.74791239068304</v>
      </c>
      <c r="AP32" s="44">
        <f>'Yearly Summary'!AP10</f>
        <v>751.70537278925485</v>
      </c>
      <c r="AQ32" s="44">
        <f>'Yearly Summary'!AQ10</f>
        <v>763.74820266145707</v>
      </c>
      <c r="AR32" s="44">
        <f>'Yearly Summary'!AR10</f>
        <v>775.87894802283677</v>
      </c>
      <c r="AS32" s="44">
        <f>'Yearly Summary'!AS10</f>
        <v>788.09805164771274</v>
      </c>
      <c r="AT32" s="44">
        <f>'Yearly Summary'!AT10</f>
        <v>800.40544996498795</v>
      </c>
      <c r="AU32" s="44">
        <f>'Yearly Summary'!AU10</f>
        <v>808.46231729908789</v>
      </c>
      <c r="AV32" s="44">
        <f>'Yearly Summary'!AV10</f>
        <v>816.10457754884374</v>
      </c>
      <c r="AW32" s="44">
        <f>'Yearly Summary'!AW10</f>
        <v>823.33475091720095</v>
      </c>
      <c r="AX32" s="44">
        <f>'Yearly Summary'!AX10</f>
        <v>830.17516029718649</v>
      </c>
      <c r="AY32" s="44">
        <f>'Yearly Summary'!AY10</f>
        <v>836.630548159196</v>
      </c>
      <c r="AZ32" s="44">
        <f>'Yearly Summary'!AZ10</f>
        <v>855.1241894800304</v>
      </c>
      <c r="BA32" s="44">
        <f>'Yearly Summary'!BA10</f>
        <v>872.56098921548653</v>
      </c>
      <c r="BB32" s="44">
        <f>'Yearly Summary'!BB10</f>
        <v>888.98355760996401</v>
      </c>
      <c r="BC32" s="44">
        <f>'Yearly Summary'!BC10</f>
        <v>904.43593258175918</v>
      </c>
      <c r="BD32" s="44">
        <f>'Yearly Summary'!BD10</f>
        <v>919.12497428182303</v>
      </c>
      <c r="BE32" s="44">
        <f>'Yearly Summary'!BE10</f>
        <v>929.54651868365431</v>
      </c>
      <c r="BF32" s="44">
        <f>'Yearly Summary'!BF10</f>
        <v>939.3537627855244</v>
      </c>
      <c r="BG32" s="44">
        <f>'Yearly Summary'!BG10</f>
        <v>948.44156178149717</v>
      </c>
      <c r="BH32" s="44">
        <f>'Yearly Summary'!BH10</f>
        <v>956.83698610053818</v>
      </c>
      <c r="BI32" s="44">
        <f>'Yearly Summary'!BI10</f>
        <v>964.53210876406195</v>
      </c>
      <c r="BJ32" s="44">
        <f>'Yearly Summary'!BJ10</f>
        <v>956.94108661291295</v>
      </c>
      <c r="BK32" s="44">
        <f>'Yearly Summary'!BK10</f>
        <v>949.17474253329488</v>
      </c>
      <c r="BL32" s="44">
        <f>'Yearly Summary'!BL10</f>
        <v>941.21976495488934</v>
      </c>
      <c r="BM32" s="44">
        <f>'Yearly Summary'!BM10</f>
        <v>933.01356296525228</v>
      </c>
      <c r="BN32" s="44">
        <f>'Yearly Summary'!BN10</f>
        <v>925.03192203866683</v>
      </c>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I32" s="26"/>
    </row>
    <row r="33" spans="1:147">
      <c r="AH33" s="44"/>
      <c r="AI33" s="44">
        <f>SUM(AH27:AH30)</f>
        <v>71.563560612100432</v>
      </c>
      <c r="AJ33" s="2">
        <f>(CU33-AI33)/CU33</f>
        <v>0.75563394884293111</v>
      </c>
      <c r="BN33" s="44">
        <f>BN32+675+150</f>
        <v>1750.0319220386668</v>
      </c>
      <c r="BO33" s="44">
        <f>SUM(BN27:BN30)</f>
        <v>73.483735856339791</v>
      </c>
      <c r="BP33" s="2">
        <f>(CU33-BO33)/CU33</f>
        <v>0.74907718115346833</v>
      </c>
      <c r="CU33" s="44">
        <f>SUM(CT27:CT30)</f>
        <v>292.85393888900796</v>
      </c>
      <c r="EF33" s="1" t="s">
        <v>92</v>
      </c>
      <c r="EI33" s="26"/>
    </row>
    <row r="34" spans="1:147" ht="16" thickBot="1">
      <c r="A34" s="637" t="s">
        <v>93</v>
      </c>
      <c r="B34" s="637"/>
      <c r="C34" s="638"/>
      <c r="D34" s="637"/>
      <c r="E34" s="637"/>
      <c r="F34" s="637"/>
      <c r="G34" s="637"/>
      <c r="H34" s="637"/>
      <c r="I34" s="637"/>
      <c r="J34" s="637"/>
      <c r="K34" s="637"/>
      <c r="L34" s="637"/>
      <c r="M34" s="637"/>
      <c r="N34" s="637"/>
      <c r="O34" s="637"/>
      <c r="P34" s="637"/>
      <c r="Q34" s="637"/>
      <c r="R34" s="637"/>
      <c r="S34" s="637"/>
      <c r="T34" s="637"/>
      <c r="U34" s="637"/>
      <c r="V34" s="637"/>
      <c r="W34" s="637"/>
      <c r="X34" s="637"/>
      <c r="Y34" s="637"/>
      <c r="Z34" s="637"/>
      <c r="AA34" s="637"/>
      <c r="AB34" s="637"/>
      <c r="AC34" s="637"/>
      <c r="AD34" s="637"/>
      <c r="AE34" s="637"/>
      <c r="AF34" s="637"/>
      <c r="AG34" s="637"/>
      <c r="AH34" s="637"/>
      <c r="AI34" s="637"/>
      <c r="AJ34" s="637"/>
      <c r="AK34" s="637"/>
      <c r="AL34" s="637"/>
      <c r="AM34" s="637"/>
      <c r="AN34" s="637"/>
      <c r="AO34" s="637"/>
      <c r="AP34" s="637"/>
      <c r="AQ34" s="637"/>
      <c r="AR34" s="637"/>
      <c r="AS34" s="637"/>
      <c r="AT34" s="637"/>
      <c r="AU34" s="637"/>
      <c r="AV34" s="637"/>
      <c r="AW34" s="637"/>
      <c r="AX34" s="637"/>
      <c r="AY34" s="637"/>
      <c r="AZ34" s="637"/>
      <c r="BA34" s="637"/>
      <c r="BB34" s="637"/>
      <c r="BC34" s="637"/>
      <c r="BD34" s="637"/>
      <c r="BE34" s="637"/>
      <c r="BF34" s="637"/>
      <c r="BG34" s="637"/>
      <c r="BH34" s="637"/>
      <c r="BI34" s="637"/>
      <c r="BJ34" s="637"/>
      <c r="BK34" s="637"/>
      <c r="BL34" s="637"/>
      <c r="BM34" s="637"/>
      <c r="BN34" s="637"/>
      <c r="BO34" s="637"/>
      <c r="BP34" s="637"/>
      <c r="BQ34" s="637"/>
      <c r="BR34" s="637"/>
      <c r="BS34" s="637"/>
      <c r="BT34" s="637"/>
      <c r="BU34" s="637"/>
      <c r="BV34" s="637"/>
      <c r="BW34" s="637"/>
      <c r="BX34" s="637"/>
      <c r="BY34" s="637"/>
      <c r="BZ34" s="637"/>
      <c r="CA34" s="637"/>
      <c r="CB34" s="637"/>
      <c r="CC34" s="637"/>
      <c r="CD34" s="637"/>
      <c r="CE34" s="637"/>
      <c r="CF34" s="637"/>
      <c r="CG34" s="637"/>
      <c r="CH34" s="637"/>
      <c r="CI34" s="637"/>
      <c r="CJ34" s="637"/>
      <c r="CK34" s="637"/>
      <c r="CL34" s="637"/>
      <c r="CM34" s="637"/>
      <c r="CN34" s="637"/>
      <c r="CO34" s="637"/>
      <c r="CP34" s="637"/>
      <c r="CQ34" s="637"/>
      <c r="CR34" s="637"/>
      <c r="CS34" s="637"/>
      <c r="CT34" s="637"/>
      <c r="CU34" s="637"/>
      <c r="CV34" s="637"/>
      <c r="CW34" s="637"/>
      <c r="CX34" s="637"/>
      <c r="CY34" s="637"/>
      <c r="CZ34" s="637"/>
      <c r="DA34" s="637"/>
      <c r="DB34" s="637"/>
      <c r="DC34" s="637"/>
      <c r="DD34" s="637"/>
      <c r="DE34" s="637"/>
      <c r="DF34" s="637"/>
      <c r="DG34" s="637"/>
      <c r="DH34" s="637"/>
      <c r="DI34" s="637"/>
      <c r="DJ34" s="637"/>
      <c r="DK34" s="637"/>
      <c r="DL34" s="637"/>
      <c r="DM34" s="637"/>
      <c r="DN34" s="637"/>
      <c r="DO34" s="637"/>
      <c r="DP34" s="637"/>
      <c r="DQ34" s="637"/>
      <c r="DR34" s="637"/>
      <c r="DS34" s="637"/>
      <c r="DT34" s="637"/>
      <c r="DU34" s="637"/>
      <c r="DV34" s="637"/>
      <c r="DW34" s="637"/>
      <c r="DX34" s="637"/>
      <c r="DY34" s="637"/>
      <c r="DZ34" s="637"/>
      <c r="EF34" s="1" t="s">
        <v>94</v>
      </c>
      <c r="EG34" s="54" t="s">
        <v>95</v>
      </c>
      <c r="EH34" s="54"/>
      <c r="EI34" s="491"/>
      <c r="EJ34" s="54"/>
      <c r="EM34" t="s">
        <v>96</v>
      </c>
    </row>
    <row r="35" spans="1:147">
      <c r="B35" t="str">
        <f>B7</f>
        <v>Fuel additive elimination</v>
      </c>
      <c r="C35" s="54" t="s">
        <v>97</v>
      </c>
      <c r="D35" s="209">
        <f t="shared" ref="D35:D48" si="104">D7*$EF35*1000</f>
        <v>0</v>
      </c>
      <c r="E35" s="209">
        <f t="shared" ref="E35:AH35" si="105">E7*$EF35*1000</f>
        <v>0</v>
      </c>
      <c r="F35" s="209">
        <f t="shared" si="105"/>
        <v>0</v>
      </c>
      <c r="G35" s="209">
        <f t="shared" si="105"/>
        <v>0</v>
      </c>
      <c r="H35" s="209">
        <f t="shared" si="105"/>
        <v>0</v>
      </c>
      <c r="I35" s="209">
        <f t="shared" si="105"/>
        <v>0</v>
      </c>
      <c r="J35" s="209">
        <f t="shared" si="105"/>
        <v>0</v>
      </c>
      <c r="K35" s="209">
        <f t="shared" si="105"/>
        <v>0</v>
      </c>
      <c r="L35" s="209">
        <f t="shared" si="105"/>
        <v>0</v>
      </c>
      <c r="M35" s="209">
        <f t="shared" si="105"/>
        <v>0</v>
      </c>
      <c r="N35" s="209">
        <f t="shared" si="105"/>
        <v>0</v>
      </c>
      <c r="O35" s="209">
        <f t="shared" si="105"/>
        <v>0</v>
      </c>
      <c r="P35" s="209">
        <f t="shared" si="105"/>
        <v>0</v>
      </c>
      <c r="Q35" s="209">
        <f t="shared" si="105"/>
        <v>0</v>
      </c>
      <c r="R35" s="209">
        <f t="shared" si="105"/>
        <v>0</v>
      </c>
      <c r="S35" s="209">
        <f t="shared" si="105"/>
        <v>0</v>
      </c>
      <c r="T35" s="209">
        <f t="shared" si="105"/>
        <v>0</v>
      </c>
      <c r="U35" s="209">
        <f t="shared" si="105"/>
        <v>0</v>
      </c>
      <c r="V35" s="209">
        <f t="shared" si="105"/>
        <v>0</v>
      </c>
      <c r="W35" s="209">
        <f t="shared" si="105"/>
        <v>0</v>
      </c>
      <c r="X35" s="209">
        <f t="shared" si="105"/>
        <v>0</v>
      </c>
      <c r="Y35" s="209">
        <f t="shared" si="105"/>
        <v>0</v>
      </c>
      <c r="Z35" s="209">
        <f t="shared" si="105"/>
        <v>0</v>
      </c>
      <c r="AA35" s="209">
        <f t="shared" si="105"/>
        <v>0</v>
      </c>
      <c r="AB35" s="209">
        <f t="shared" si="105"/>
        <v>0</v>
      </c>
      <c r="AC35" s="209">
        <f t="shared" si="105"/>
        <v>0</v>
      </c>
      <c r="AD35" s="209">
        <f t="shared" si="105"/>
        <v>0</v>
      </c>
      <c r="AE35" s="209">
        <f t="shared" si="105"/>
        <v>0</v>
      </c>
      <c r="AF35" s="209">
        <f t="shared" si="105"/>
        <v>0</v>
      </c>
      <c r="AG35" s="209">
        <f t="shared" si="105"/>
        <v>0</v>
      </c>
      <c r="AH35" s="209">
        <f t="shared" si="105"/>
        <v>0</v>
      </c>
      <c r="AI35" s="209"/>
      <c r="AJ35" s="209">
        <f t="shared" ref="AJ35:BN35" si="106">AJ7*$EF35*1000</f>
        <v>0</v>
      </c>
      <c r="AK35" s="209">
        <f t="shared" si="106"/>
        <v>0</v>
      </c>
      <c r="AL35" s="209">
        <f t="shared" si="106"/>
        <v>0</v>
      </c>
      <c r="AM35" s="209">
        <f t="shared" si="106"/>
        <v>0</v>
      </c>
      <c r="AN35" s="209">
        <f t="shared" si="106"/>
        <v>0</v>
      </c>
      <c r="AO35" s="209">
        <f t="shared" si="106"/>
        <v>0</v>
      </c>
      <c r="AP35" s="209">
        <f t="shared" si="106"/>
        <v>0</v>
      </c>
      <c r="AQ35" s="209">
        <f t="shared" si="106"/>
        <v>0</v>
      </c>
      <c r="AR35" s="209">
        <f t="shared" si="106"/>
        <v>0</v>
      </c>
      <c r="AS35" s="209">
        <f t="shared" si="106"/>
        <v>0</v>
      </c>
      <c r="AT35" s="209">
        <f t="shared" si="106"/>
        <v>0</v>
      </c>
      <c r="AU35" s="209">
        <f t="shared" si="106"/>
        <v>0</v>
      </c>
      <c r="AV35" s="209">
        <f t="shared" si="106"/>
        <v>0</v>
      </c>
      <c r="AW35" s="209">
        <f t="shared" si="106"/>
        <v>0</v>
      </c>
      <c r="AX35" s="209">
        <f t="shared" si="106"/>
        <v>0</v>
      </c>
      <c r="AY35" s="209">
        <f t="shared" si="106"/>
        <v>0</v>
      </c>
      <c r="AZ35" s="209">
        <f t="shared" si="106"/>
        <v>0</v>
      </c>
      <c r="BA35" s="209">
        <f t="shared" si="106"/>
        <v>0</v>
      </c>
      <c r="BB35" s="209">
        <f t="shared" si="106"/>
        <v>0</v>
      </c>
      <c r="BC35" s="209">
        <f t="shared" si="106"/>
        <v>0</v>
      </c>
      <c r="BD35" s="209">
        <f t="shared" si="106"/>
        <v>0</v>
      </c>
      <c r="BE35" s="209">
        <f t="shared" si="106"/>
        <v>0</v>
      </c>
      <c r="BF35" s="209">
        <f t="shared" si="106"/>
        <v>0</v>
      </c>
      <c r="BG35" s="209">
        <f t="shared" si="106"/>
        <v>0</v>
      </c>
      <c r="BH35" s="209">
        <f t="shared" si="106"/>
        <v>0</v>
      </c>
      <c r="BI35" s="209">
        <f t="shared" si="106"/>
        <v>0</v>
      </c>
      <c r="BJ35" s="209">
        <f t="shared" si="106"/>
        <v>0</v>
      </c>
      <c r="BK35" s="209">
        <f t="shared" si="106"/>
        <v>0</v>
      </c>
      <c r="BL35" s="209">
        <f t="shared" si="106"/>
        <v>0</v>
      </c>
      <c r="BM35" s="209">
        <f t="shared" si="106"/>
        <v>0</v>
      </c>
      <c r="BN35" s="209">
        <f t="shared" si="106"/>
        <v>0</v>
      </c>
      <c r="BO35" s="209"/>
      <c r="BP35" s="209">
        <f t="shared" ref="BP35:CT35" si="107">BP7*$EF35*1000</f>
        <v>0</v>
      </c>
      <c r="BQ35" s="209">
        <f t="shared" si="107"/>
        <v>0</v>
      </c>
      <c r="BR35" s="209">
        <f t="shared" si="107"/>
        <v>0</v>
      </c>
      <c r="BS35" s="209">
        <f t="shared" si="107"/>
        <v>0</v>
      </c>
      <c r="BT35" s="209">
        <f t="shared" si="107"/>
        <v>0</v>
      </c>
      <c r="BU35" s="209">
        <f t="shared" si="107"/>
        <v>0</v>
      </c>
      <c r="BV35" s="209">
        <f t="shared" si="107"/>
        <v>0</v>
      </c>
      <c r="BW35" s="209">
        <f t="shared" si="107"/>
        <v>0</v>
      </c>
      <c r="BX35" s="209">
        <f t="shared" si="107"/>
        <v>0</v>
      </c>
      <c r="BY35" s="209">
        <f t="shared" si="107"/>
        <v>0</v>
      </c>
      <c r="BZ35" s="209">
        <f t="shared" si="107"/>
        <v>0</v>
      </c>
      <c r="CA35" s="209">
        <f t="shared" si="107"/>
        <v>0</v>
      </c>
      <c r="CB35" s="209">
        <f t="shared" si="107"/>
        <v>0</v>
      </c>
      <c r="CC35" s="209">
        <f t="shared" si="107"/>
        <v>0</v>
      </c>
      <c r="CD35" s="209">
        <f t="shared" si="107"/>
        <v>0</v>
      </c>
      <c r="CE35" s="209">
        <f t="shared" si="107"/>
        <v>0</v>
      </c>
      <c r="CF35" s="209">
        <f t="shared" si="107"/>
        <v>0</v>
      </c>
      <c r="CG35" s="209">
        <f t="shared" si="107"/>
        <v>0</v>
      </c>
      <c r="CH35" s="209">
        <f t="shared" si="107"/>
        <v>0</v>
      </c>
      <c r="CI35" s="209">
        <f t="shared" si="107"/>
        <v>0</v>
      </c>
      <c r="CJ35" s="209">
        <f t="shared" si="107"/>
        <v>0</v>
      </c>
      <c r="CK35" s="209">
        <f t="shared" si="107"/>
        <v>0</v>
      </c>
      <c r="CL35" s="209">
        <f t="shared" si="107"/>
        <v>0</v>
      </c>
      <c r="CM35" s="209">
        <f t="shared" si="107"/>
        <v>0</v>
      </c>
      <c r="CN35" s="209">
        <f t="shared" si="107"/>
        <v>0</v>
      </c>
      <c r="CO35" s="209">
        <f t="shared" si="107"/>
        <v>0</v>
      </c>
      <c r="CP35" s="209">
        <f t="shared" si="107"/>
        <v>0</v>
      </c>
      <c r="CQ35" s="209">
        <f t="shared" si="107"/>
        <v>0</v>
      </c>
      <c r="CR35" s="209">
        <f t="shared" si="107"/>
        <v>0</v>
      </c>
      <c r="CS35" s="209">
        <f t="shared" si="107"/>
        <v>0</v>
      </c>
      <c r="CT35" s="209">
        <f t="shared" si="107"/>
        <v>0</v>
      </c>
      <c r="CU35" s="209"/>
      <c r="CV35" s="209">
        <f t="shared" ref="CV35:DZ35" si="108">CV7*$EF35*1000</f>
        <v>0</v>
      </c>
      <c r="CW35" s="209">
        <f t="shared" si="108"/>
        <v>0</v>
      </c>
      <c r="CX35" s="209">
        <f t="shared" si="108"/>
        <v>0</v>
      </c>
      <c r="CY35" s="209">
        <f t="shared" si="108"/>
        <v>0</v>
      </c>
      <c r="CZ35" s="209">
        <f t="shared" si="108"/>
        <v>0</v>
      </c>
      <c r="DA35" s="209">
        <f t="shared" si="108"/>
        <v>0</v>
      </c>
      <c r="DB35" s="209">
        <f t="shared" si="108"/>
        <v>0</v>
      </c>
      <c r="DC35" s="209">
        <f t="shared" si="108"/>
        <v>0</v>
      </c>
      <c r="DD35" s="209">
        <f t="shared" si="108"/>
        <v>0</v>
      </c>
      <c r="DE35" s="209">
        <f t="shared" si="108"/>
        <v>0</v>
      </c>
      <c r="DF35" s="209">
        <f t="shared" si="108"/>
        <v>0</v>
      </c>
      <c r="DG35" s="209">
        <f t="shared" si="108"/>
        <v>0</v>
      </c>
      <c r="DH35" s="209">
        <f t="shared" si="108"/>
        <v>0</v>
      </c>
      <c r="DI35" s="209">
        <f t="shared" si="108"/>
        <v>0</v>
      </c>
      <c r="DJ35" s="209">
        <f t="shared" si="108"/>
        <v>0</v>
      </c>
      <c r="DK35" s="209">
        <f t="shared" si="108"/>
        <v>0</v>
      </c>
      <c r="DL35" s="209">
        <f t="shared" si="108"/>
        <v>0</v>
      </c>
      <c r="DM35" s="209">
        <f t="shared" si="108"/>
        <v>0</v>
      </c>
      <c r="DN35" s="209">
        <f t="shared" si="108"/>
        <v>0</v>
      </c>
      <c r="DO35" s="209">
        <f t="shared" si="108"/>
        <v>0</v>
      </c>
      <c r="DP35" s="209">
        <f t="shared" si="108"/>
        <v>0</v>
      </c>
      <c r="DQ35" s="209">
        <f t="shared" si="108"/>
        <v>0</v>
      </c>
      <c r="DR35" s="209">
        <f t="shared" si="108"/>
        <v>0</v>
      </c>
      <c r="DS35" s="209">
        <f t="shared" si="108"/>
        <v>0</v>
      </c>
      <c r="DT35" s="209">
        <f t="shared" si="108"/>
        <v>0</v>
      </c>
      <c r="DU35" s="209">
        <f t="shared" si="108"/>
        <v>0</v>
      </c>
      <c r="DV35" s="209">
        <f t="shared" si="108"/>
        <v>0</v>
      </c>
      <c r="DW35" s="209">
        <f t="shared" si="108"/>
        <v>0</v>
      </c>
      <c r="DX35" s="209">
        <f t="shared" si="108"/>
        <v>0</v>
      </c>
      <c r="DY35" s="209">
        <f t="shared" si="108"/>
        <v>0</v>
      </c>
      <c r="DZ35" s="209">
        <f t="shared" si="108"/>
        <v>0</v>
      </c>
      <c r="EF35" s="51">
        <v>0</v>
      </c>
      <c r="EI35" s="26"/>
      <c r="EM35" t="s">
        <v>98</v>
      </c>
    </row>
    <row r="36" spans="1:147">
      <c r="A36" s="1"/>
      <c r="B36" t="str">
        <f t="shared" ref="B36:B48" si="109">B8</f>
        <v>Packaging reduction</v>
      </c>
      <c r="C36" s="54" t="s">
        <v>97</v>
      </c>
      <c r="D36" s="209">
        <f t="shared" si="104"/>
        <v>0</v>
      </c>
      <c r="E36" s="209">
        <f t="shared" ref="E36:AH36" si="110">E8*$EF36*1000</f>
        <v>0</v>
      </c>
      <c r="F36" s="209">
        <f t="shared" si="110"/>
        <v>0</v>
      </c>
      <c r="G36" s="209">
        <f t="shared" si="110"/>
        <v>0</v>
      </c>
      <c r="H36" s="209">
        <f t="shared" si="110"/>
        <v>0</v>
      </c>
      <c r="I36" s="209">
        <f t="shared" si="110"/>
        <v>0</v>
      </c>
      <c r="J36" s="209">
        <f t="shared" si="110"/>
        <v>0</v>
      </c>
      <c r="K36" s="209">
        <f t="shared" si="110"/>
        <v>0</v>
      </c>
      <c r="L36" s="209">
        <f t="shared" si="110"/>
        <v>0</v>
      </c>
      <c r="M36" s="209">
        <f t="shared" si="110"/>
        <v>0</v>
      </c>
      <c r="N36" s="209">
        <f t="shared" si="110"/>
        <v>0</v>
      </c>
      <c r="O36" s="209">
        <f t="shared" si="110"/>
        <v>0</v>
      </c>
      <c r="P36" s="209">
        <f t="shared" si="110"/>
        <v>0</v>
      </c>
      <c r="Q36" s="209">
        <f t="shared" si="110"/>
        <v>0</v>
      </c>
      <c r="R36" s="209">
        <f t="shared" si="110"/>
        <v>0</v>
      </c>
      <c r="S36" s="209">
        <f t="shared" si="110"/>
        <v>0</v>
      </c>
      <c r="T36" s="209">
        <f t="shared" si="110"/>
        <v>0</v>
      </c>
      <c r="U36" s="209">
        <f t="shared" si="110"/>
        <v>0</v>
      </c>
      <c r="V36" s="209">
        <f t="shared" si="110"/>
        <v>0</v>
      </c>
      <c r="W36" s="209">
        <f t="shared" si="110"/>
        <v>0</v>
      </c>
      <c r="X36" s="209">
        <f t="shared" si="110"/>
        <v>0</v>
      </c>
      <c r="Y36" s="209">
        <f t="shared" si="110"/>
        <v>0</v>
      </c>
      <c r="Z36" s="209">
        <f t="shared" si="110"/>
        <v>0</v>
      </c>
      <c r="AA36" s="209">
        <f t="shared" si="110"/>
        <v>0</v>
      </c>
      <c r="AB36" s="209">
        <f t="shared" si="110"/>
        <v>0</v>
      </c>
      <c r="AC36" s="209">
        <f t="shared" si="110"/>
        <v>0</v>
      </c>
      <c r="AD36" s="209">
        <f t="shared" si="110"/>
        <v>0</v>
      </c>
      <c r="AE36" s="209">
        <f t="shared" si="110"/>
        <v>0</v>
      </c>
      <c r="AF36" s="209">
        <f t="shared" si="110"/>
        <v>0</v>
      </c>
      <c r="AG36" s="209">
        <f t="shared" si="110"/>
        <v>0</v>
      </c>
      <c r="AH36" s="209">
        <f t="shared" si="110"/>
        <v>0</v>
      </c>
      <c r="AI36" s="209"/>
      <c r="AJ36" s="209">
        <f t="shared" ref="AJ36:BN36" si="111">AJ8*$EF36*1000</f>
        <v>0</v>
      </c>
      <c r="AK36" s="209">
        <f t="shared" si="111"/>
        <v>0</v>
      </c>
      <c r="AL36" s="209">
        <f t="shared" si="111"/>
        <v>0</v>
      </c>
      <c r="AM36" s="209">
        <f t="shared" si="111"/>
        <v>0</v>
      </c>
      <c r="AN36" s="209">
        <f t="shared" si="111"/>
        <v>0</v>
      </c>
      <c r="AO36" s="209">
        <f t="shared" si="111"/>
        <v>0</v>
      </c>
      <c r="AP36" s="209">
        <f t="shared" si="111"/>
        <v>0</v>
      </c>
      <c r="AQ36" s="209">
        <f t="shared" si="111"/>
        <v>0</v>
      </c>
      <c r="AR36" s="209">
        <f t="shared" si="111"/>
        <v>0</v>
      </c>
      <c r="AS36" s="209">
        <f t="shared" si="111"/>
        <v>0</v>
      </c>
      <c r="AT36" s="209">
        <f t="shared" si="111"/>
        <v>0</v>
      </c>
      <c r="AU36" s="209">
        <f t="shared" si="111"/>
        <v>0</v>
      </c>
      <c r="AV36" s="209">
        <f t="shared" si="111"/>
        <v>0</v>
      </c>
      <c r="AW36" s="209">
        <f t="shared" si="111"/>
        <v>0</v>
      </c>
      <c r="AX36" s="209">
        <f t="shared" si="111"/>
        <v>0</v>
      </c>
      <c r="AY36" s="209">
        <f t="shared" si="111"/>
        <v>0</v>
      </c>
      <c r="AZ36" s="209">
        <f t="shared" si="111"/>
        <v>0</v>
      </c>
      <c r="BA36" s="209">
        <f t="shared" si="111"/>
        <v>0</v>
      </c>
      <c r="BB36" s="209">
        <f t="shared" si="111"/>
        <v>0</v>
      </c>
      <c r="BC36" s="209">
        <f t="shared" si="111"/>
        <v>0</v>
      </c>
      <c r="BD36" s="209">
        <f t="shared" si="111"/>
        <v>0</v>
      </c>
      <c r="BE36" s="209">
        <f t="shared" si="111"/>
        <v>0</v>
      </c>
      <c r="BF36" s="209">
        <f t="shared" si="111"/>
        <v>0</v>
      </c>
      <c r="BG36" s="209">
        <f t="shared" si="111"/>
        <v>0</v>
      </c>
      <c r="BH36" s="209">
        <f t="shared" si="111"/>
        <v>0</v>
      </c>
      <c r="BI36" s="209">
        <f t="shared" si="111"/>
        <v>0</v>
      </c>
      <c r="BJ36" s="209">
        <f t="shared" si="111"/>
        <v>0</v>
      </c>
      <c r="BK36" s="209">
        <f t="shared" si="111"/>
        <v>0</v>
      </c>
      <c r="BL36" s="209">
        <f t="shared" si="111"/>
        <v>0</v>
      </c>
      <c r="BM36" s="209">
        <f t="shared" si="111"/>
        <v>0</v>
      </c>
      <c r="BN36" s="209">
        <f t="shared" si="111"/>
        <v>0</v>
      </c>
      <c r="BO36" s="209"/>
      <c r="BP36" s="209">
        <f t="shared" ref="BP36:CT36" si="112">BP8*$EF36*1000</f>
        <v>0</v>
      </c>
      <c r="BQ36" s="209">
        <f t="shared" si="112"/>
        <v>0</v>
      </c>
      <c r="BR36" s="209">
        <f t="shared" si="112"/>
        <v>0</v>
      </c>
      <c r="BS36" s="209">
        <f t="shared" si="112"/>
        <v>0</v>
      </c>
      <c r="BT36" s="209">
        <f t="shared" si="112"/>
        <v>0</v>
      </c>
      <c r="BU36" s="209">
        <f t="shared" si="112"/>
        <v>0</v>
      </c>
      <c r="BV36" s="209">
        <f t="shared" si="112"/>
        <v>0</v>
      </c>
      <c r="BW36" s="209">
        <f t="shared" si="112"/>
        <v>0</v>
      </c>
      <c r="BX36" s="209">
        <f t="shared" si="112"/>
        <v>0</v>
      </c>
      <c r="BY36" s="209">
        <f t="shared" si="112"/>
        <v>0</v>
      </c>
      <c r="BZ36" s="209">
        <f t="shared" si="112"/>
        <v>0</v>
      </c>
      <c r="CA36" s="209">
        <f t="shared" si="112"/>
        <v>0</v>
      </c>
      <c r="CB36" s="209">
        <f t="shared" si="112"/>
        <v>0</v>
      </c>
      <c r="CC36" s="209">
        <f t="shared" si="112"/>
        <v>0</v>
      </c>
      <c r="CD36" s="209">
        <f t="shared" si="112"/>
        <v>0</v>
      </c>
      <c r="CE36" s="209">
        <f t="shared" si="112"/>
        <v>0</v>
      </c>
      <c r="CF36" s="209">
        <f t="shared" si="112"/>
        <v>0</v>
      </c>
      <c r="CG36" s="209">
        <f t="shared" si="112"/>
        <v>0</v>
      </c>
      <c r="CH36" s="209">
        <f t="shared" si="112"/>
        <v>0</v>
      </c>
      <c r="CI36" s="209">
        <f t="shared" si="112"/>
        <v>0</v>
      </c>
      <c r="CJ36" s="209">
        <f t="shared" si="112"/>
        <v>0</v>
      </c>
      <c r="CK36" s="209">
        <f t="shared" si="112"/>
        <v>0</v>
      </c>
      <c r="CL36" s="209">
        <f t="shared" si="112"/>
        <v>0</v>
      </c>
      <c r="CM36" s="209">
        <f t="shared" si="112"/>
        <v>0</v>
      </c>
      <c r="CN36" s="209">
        <f t="shared" si="112"/>
        <v>0</v>
      </c>
      <c r="CO36" s="209">
        <f t="shared" si="112"/>
        <v>0</v>
      </c>
      <c r="CP36" s="209">
        <f t="shared" si="112"/>
        <v>0</v>
      </c>
      <c r="CQ36" s="209">
        <f t="shared" si="112"/>
        <v>0</v>
      </c>
      <c r="CR36" s="209">
        <f t="shared" si="112"/>
        <v>0</v>
      </c>
      <c r="CS36" s="209">
        <f t="shared" si="112"/>
        <v>0</v>
      </c>
      <c r="CT36" s="209">
        <f t="shared" si="112"/>
        <v>0</v>
      </c>
      <c r="CU36" s="209"/>
      <c r="CV36" s="209">
        <f t="shared" ref="CV36:DZ36" si="113">CV8*$EF36*1000</f>
        <v>0</v>
      </c>
      <c r="CW36" s="209">
        <f t="shared" si="113"/>
        <v>0</v>
      </c>
      <c r="CX36" s="209">
        <f t="shared" si="113"/>
        <v>0</v>
      </c>
      <c r="CY36" s="209">
        <f t="shared" si="113"/>
        <v>0</v>
      </c>
      <c r="CZ36" s="209">
        <f t="shared" si="113"/>
        <v>0</v>
      </c>
      <c r="DA36" s="209">
        <f t="shared" si="113"/>
        <v>0</v>
      </c>
      <c r="DB36" s="209">
        <f t="shared" si="113"/>
        <v>0</v>
      </c>
      <c r="DC36" s="209">
        <f t="shared" si="113"/>
        <v>0</v>
      </c>
      <c r="DD36" s="209">
        <f t="shared" si="113"/>
        <v>0</v>
      </c>
      <c r="DE36" s="209">
        <f t="shared" si="113"/>
        <v>0</v>
      </c>
      <c r="DF36" s="209">
        <f t="shared" si="113"/>
        <v>0</v>
      </c>
      <c r="DG36" s="209">
        <f t="shared" si="113"/>
        <v>0</v>
      </c>
      <c r="DH36" s="209">
        <f t="shared" si="113"/>
        <v>0</v>
      </c>
      <c r="DI36" s="209">
        <f t="shared" si="113"/>
        <v>0</v>
      </c>
      <c r="DJ36" s="209">
        <f t="shared" si="113"/>
        <v>0</v>
      </c>
      <c r="DK36" s="209">
        <f t="shared" si="113"/>
        <v>0</v>
      </c>
      <c r="DL36" s="209">
        <f t="shared" si="113"/>
        <v>0</v>
      </c>
      <c r="DM36" s="209">
        <f t="shared" si="113"/>
        <v>0</v>
      </c>
      <c r="DN36" s="209">
        <f t="shared" si="113"/>
        <v>0</v>
      </c>
      <c r="DO36" s="209">
        <f t="shared" si="113"/>
        <v>0</v>
      </c>
      <c r="DP36" s="209">
        <f t="shared" si="113"/>
        <v>0</v>
      </c>
      <c r="DQ36" s="209">
        <f t="shared" si="113"/>
        <v>0</v>
      </c>
      <c r="DR36" s="209">
        <f t="shared" si="113"/>
        <v>0</v>
      </c>
      <c r="DS36" s="209">
        <f t="shared" si="113"/>
        <v>0</v>
      </c>
      <c r="DT36" s="209">
        <f t="shared" si="113"/>
        <v>0</v>
      </c>
      <c r="DU36" s="209">
        <f t="shared" si="113"/>
        <v>0</v>
      </c>
      <c r="DV36" s="209">
        <f t="shared" si="113"/>
        <v>0</v>
      </c>
      <c r="DW36" s="209">
        <f t="shared" si="113"/>
        <v>0</v>
      </c>
      <c r="DX36" s="209">
        <f t="shared" si="113"/>
        <v>0</v>
      </c>
      <c r="DY36" s="209">
        <f t="shared" si="113"/>
        <v>0</v>
      </c>
      <c r="DZ36" s="209">
        <f t="shared" si="113"/>
        <v>0</v>
      </c>
      <c r="EF36" s="51">
        <v>0</v>
      </c>
      <c r="EI36" s="26"/>
      <c r="EM36" t="s">
        <v>99</v>
      </c>
    </row>
    <row r="37" spans="1:147">
      <c r="A37" s="1"/>
      <c r="B37" t="str">
        <f t="shared" si="109"/>
        <v>Packaging reuse</v>
      </c>
      <c r="C37" s="54" t="s">
        <v>97</v>
      </c>
      <c r="D37" s="209">
        <f t="shared" si="104"/>
        <v>0</v>
      </c>
      <c r="E37" s="209">
        <f t="shared" ref="E37:AH37" si="114">E9*$EF37*1000</f>
        <v>0</v>
      </c>
      <c r="F37" s="209">
        <f t="shared" si="114"/>
        <v>0</v>
      </c>
      <c r="G37" s="209">
        <f t="shared" si="114"/>
        <v>0</v>
      </c>
      <c r="H37" s="209">
        <f t="shared" si="114"/>
        <v>0</v>
      </c>
      <c r="I37" s="209">
        <f t="shared" si="114"/>
        <v>0</v>
      </c>
      <c r="J37" s="209">
        <f t="shared" si="114"/>
        <v>0</v>
      </c>
      <c r="K37" s="209">
        <f t="shared" si="114"/>
        <v>0</v>
      </c>
      <c r="L37" s="209">
        <f t="shared" si="114"/>
        <v>0</v>
      </c>
      <c r="M37" s="209">
        <f t="shared" si="114"/>
        <v>0</v>
      </c>
      <c r="N37" s="209">
        <f t="shared" si="114"/>
        <v>0</v>
      </c>
      <c r="O37" s="209">
        <f t="shared" si="114"/>
        <v>0</v>
      </c>
      <c r="P37" s="209">
        <f t="shared" si="114"/>
        <v>0</v>
      </c>
      <c r="Q37" s="209">
        <f t="shared" si="114"/>
        <v>0</v>
      </c>
      <c r="R37" s="209">
        <f t="shared" si="114"/>
        <v>0</v>
      </c>
      <c r="S37" s="209">
        <f t="shared" si="114"/>
        <v>0</v>
      </c>
      <c r="T37" s="209">
        <f t="shared" si="114"/>
        <v>0</v>
      </c>
      <c r="U37" s="209">
        <f t="shared" si="114"/>
        <v>0</v>
      </c>
      <c r="V37" s="209">
        <f t="shared" si="114"/>
        <v>0</v>
      </c>
      <c r="W37" s="209">
        <f t="shared" si="114"/>
        <v>0</v>
      </c>
      <c r="X37" s="209">
        <f t="shared" si="114"/>
        <v>0</v>
      </c>
      <c r="Y37" s="209">
        <f t="shared" si="114"/>
        <v>0</v>
      </c>
      <c r="Z37" s="209">
        <f t="shared" si="114"/>
        <v>0</v>
      </c>
      <c r="AA37" s="209">
        <f t="shared" si="114"/>
        <v>0</v>
      </c>
      <c r="AB37" s="209">
        <f t="shared" si="114"/>
        <v>0</v>
      </c>
      <c r="AC37" s="209">
        <f t="shared" si="114"/>
        <v>0</v>
      </c>
      <c r="AD37" s="209">
        <f t="shared" si="114"/>
        <v>0</v>
      </c>
      <c r="AE37" s="209">
        <f t="shared" si="114"/>
        <v>0</v>
      </c>
      <c r="AF37" s="209">
        <f t="shared" si="114"/>
        <v>0</v>
      </c>
      <c r="AG37" s="209">
        <f t="shared" si="114"/>
        <v>0</v>
      </c>
      <c r="AH37" s="209">
        <f t="shared" si="114"/>
        <v>0</v>
      </c>
      <c r="AI37" s="209"/>
      <c r="AJ37" s="209">
        <f t="shared" ref="AJ37:BN37" si="115">AJ9*$EF37*1000</f>
        <v>0</v>
      </c>
      <c r="AK37" s="209">
        <f t="shared" si="115"/>
        <v>0</v>
      </c>
      <c r="AL37" s="209">
        <f t="shared" si="115"/>
        <v>0</v>
      </c>
      <c r="AM37" s="209">
        <f t="shared" si="115"/>
        <v>0</v>
      </c>
      <c r="AN37" s="209">
        <f t="shared" si="115"/>
        <v>0</v>
      </c>
      <c r="AO37" s="209">
        <f t="shared" si="115"/>
        <v>0</v>
      </c>
      <c r="AP37" s="209">
        <f t="shared" si="115"/>
        <v>0</v>
      </c>
      <c r="AQ37" s="209">
        <f t="shared" si="115"/>
        <v>0</v>
      </c>
      <c r="AR37" s="209">
        <f t="shared" si="115"/>
        <v>0</v>
      </c>
      <c r="AS37" s="209">
        <f t="shared" si="115"/>
        <v>0</v>
      </c>
      <c r="AT37" s="209">
        <f t="shared" si="115"/>
        <v>0</v>
      </c>
      <c r="AU37" s="209">
        <f t="shared" si="115"/>
        <v>0</v>
      </c>
      <c r="AV37" s="209">
        <f t="shared" si="115"/>
        <v>0</v>
      </c>
      <c r="AW37" s="209">
        <f t="shared" si="115"/>
        <v>0</v>
      </c>
      <c r="AX37" s="209">
        <f t="shared" si="115"/>
        <v>0</v>
      </c>
      <c r="AY37" s="209">
        <f t="shared" si="115"/>
        <v>0</v>
      </c>
      <c r="AZ37" s="209">
        <f t="shared" si="115"/>
        <v>0</v>
      </c>
      <c r="BA37" s="209">
        <f t="shared" si="115"/>
        <v>0</v>
      </c>
      <c r="BB37" s="209">
        <f t="shared" si="115"/>
        <v>0</v>
      </c>
      <c r="BC37" s="209">
        <f t="shared" si="115"/>
        <v>0</v>
      </c>
      <c r="BD37" s="209">
        <f t="shared" si="115"/>
        <v>0</v>
      </c>
      <c r="BE37" s="209">
        <f t="shared" si="115"/>
        <v>0</v>
      </c>
      <c r="BF37" s="209">
        <f t="shared" si="115"/>
        <v>0</v>
      </c>
      <c r="BG37" s="209">
        <f t="shared" si="115"/>
        <v>0</v>
      </c>
      <c r="BH37" s="209">
        <f t="shared" si="115"/>
        <v>0</v>
      </c>
      <c r="BI37" s="209">
        <f t="shared" si="115"/>
        <v>0</v>
      </c>
      <c r="BJ37" s="209">
        <f t="shared" si="115"/>
        <v>0</v>
      </c>
      <c r="BK37" s="209">
        <f t="shared" si="115"/>
        <v>0</v>
      </c>
      <c r="BL37" s="209">
        <f t="shared" si="115"/>
        <v>0</v>
      </c>
      <c r="BM37" s="209">
        <f t="shared" si="115"/>
        <v>0</v>
      </c>
      <c r="BN37" s="209">
        <f t="shared" si="115"/>
        <v>0</v>
      </c>
      <c r="BO37" s="209"/>
      <c r="BP37" s="209">
        <f t="shared" ref="BP37:CT37" si="116">BP9*$EF37*1000</f>
        <v>0</v>
      </c>
      <c r="BQ37" s="209">
        <f t="shared" si="116"/>
        <v>0</v>
      </c>
      <c r="BR37" s="209">
        <f t="shared" si="116"/>
        <v>0</v>
      </c>
      <c r="BS37" s="209">
        <f t="shared" si="116"/>
        <v>0</v>
      </c>
      <c r="BT37" s="209">
        <f t="shared" si="116"/>
        <v>0</v>
      </c>
      <c r="BU37" s="209">
        <f t="shared" si="116"/>
        <v>0</v>
      </c>
      <c r="BV37" s="209">
        <f t="shared" si="116"/>
        <v>0</v>
      </c>
      <c r="BW37" s="209">
        <f t="shared" si="116"/>
        <v>0</v>
      </c>
      <c r="BX37" s="209">
        <f t="shared" si="116"/>
        <v>0</v>
      </c>
      <c r="BY37" s="209">
        <f t="shared" si="116"/>
        <v>0</v>
      </c>
      <c r="BZ37" s="209">
        <f t="shared" si="116"/>
        <v>0</v>
      </c>
      <c r="CA37" s="209">
        <f t="shared" si="116"/>
        <v>0</v>
      </c>
      <c r="CB37" s="209">
        <f t="shared" si="116"/>
        <v>0</v>
      </c>
      <c r="CC37" s="209">
        <f t="shared" si="116"/>
        <v>0</v>
      </c>
      <c r="CD37" s="209">
        <f t="shared" si="116"/>
        <v>0</v>
      </c>
      <c r="CE37" s="209">
        <f t="shared" si="116"/>
        <v>0</v>
      </c>
      <c r="CF37" s="209">
        <f t="shared" si="116"/>
        <v>0</v>
      </c>
      <c r="CG37" s="209">
        <f t="shared" si="116"/>
        <v>0</v>
      </c>
      <c r="CH37" s="209">
        <f t="shared" si="116"/>
        <v>0</v>
      </c>
      <c r="CI37" s="209">
        <f t="shared" si="116"/>
        <v>0</v>
      </c>
      <c r="CJ37" s="209">
        <f t="shared" si="116"/>
        <v>0</v>
      </c>
      <c r="CK37" s="209">
        <f t="shared" si="116"/>
        <v>0</v>
      </c>
      <c r="CL37" s="209">
        <f t="shared" si="116"/>
        <v>0</v>
      </c>
      <c r="CM37" s="209">
        <f t="shared" si="116"/>
        <v>0</v>
      </c>
      <c r="CN37" s="209">
        <f t="shared" si="116"/>
        <v>0</v>
      </c>
      <c r="CO37" s="209">
        <f t="shared" si="116"/>
        <v>0</v>
      </c>
      <c r="CP37" s="209">
        <f t="shared" si="116"/>
        <v>0</v>
      </c>
      <c r="CQ37" s="209">
        <f t="shared" si="116"/>
        <v>0</v>
      </c>
      <c r="CR37" s="209">
        <f t="shared" si="116"/>
        <v>0</v>
      </c>
      <c r="CS37" s="209">
        <f t="shared" si="116"/>
        <v>0</v>
      </c>
      <c r="CT37" s="209">
        <f t="shared" si="116"/>
        <v>0</v>
      </c>
      <c r="CU37" s="209"/>
      <c r="CV37" s="209">
        <f t="shared" ref="CV37:DZ37" si="117">CV9*$EF37*1000</f>
        <v>0</v>
      </c>
      <c r="CW37" s="209">
        <f t="shared" si="117"/>
        <v>0</v>
      </c>
      <c r="CX37" s="209">
        <f t="shared" si="117"/>
        <v>0</v>
      </c>
      <c r="CY37" s="209">
        <f t="shared" si="117"/>
        <v>0</v>
      </c>
      <c r="CZ37" s="209">
        <f t="shared" si="117"/>
        <v>0</v>
      </c>
      <c r="DA37" s="209">
        <f t="shared" si="117"/>
        <v>0</v>
      </c>
      <c r="DB37" s="209">
        <f t="shared" si="117"/>
        <v>0</v>
      </c>
      <c r="DC37" s="209">
        <f t="shared" si="117"/>
        <v>0</v>
      </c>
      <c r="DD37" s="209">
        <f t="shared" si="117"/>
        <v>0</v>
      </c>
      <c r="DE37" s="209">
        <f t="shared" si="117"/>
        <v>0</v>
      </c>
      <c r="DF37" s="209">
        <f t="shared" si="117"/>
        <v>0</v>
      </c>
      <c r="DG37" s="209">
        <f t="shared" si="117"/>
        <v>0</v>
      </c>
      <c r="DH37" s="209">
        <f t="shared" si="117"/>
        <v>0</v>
      </c>
      <c r="DI37" s="209">
        <f t="shared" si="117"/>
        <v>0</v>
      </c>
      <c r="DJ37" s="209">
        <f t="shared" si="117"/>
        <v>0</v>
      </c>
      <c r="DK37" s="209">
        <f t="shared" si="117"/>
        <v>0</v>
      </c>
      <c r="DL37" s="209">
        <f t="shared" si="117"/>
        <v>0</v>
      </c>
      <c r="DM37" s="209">
        <f t="shared" si="117"/>
        <v>0</v>
      </c>
      <c r="DN37" s="209">
        <f t="shared" si="117"/>
        <v>0</v>
      </c>
      <c r="DO37" s="209">
        <f t="shared" si="117"/>
        <v>0</v>
      </c>
      <c r="DP37" s="209">
        <f t="shared" si="117"/>
        <v>0</v>
      </c>
      <c r="DQ37" s="209">
        <f t="shared" si="117"/>
        <v>0</v>
      </c>
      <c r="DR37" s="209">
        <f t="shared" si="117"/>
        <v>0</v>
      </c>
      <c r="DS37" s="209">
        <f t="shared" si="117"/>
        <v>0</v>
      </c>
      <c r="DT37" s="209">
        <f t="shared" si="117"/>
        <v>0</v>
      </c>
      <c r="DU37" s="209">
        <f t="shared" si="117"/>
        <v>0</v>
      </c>
      <c r="DV37" s="209">
        <f t="shared" si="117"/>
        <v>0</v>
      </c>
      <c r="DW37" s="209">
        <f t="shared" si="117"/>
        <v>0</v>
      </c>
      <c r="DX37" s="209">
        <f t="shared" si="117"/>
        <v>0</v>
      </c>
      <c r="DY37" s="209">
        <f t="shared" si="117"/>
        <v>0</v>
      </c>
      <c r="DZ37" s="209">
        <f t="shared" si="117"/>
        <v>0</v>
      </c>
      <c r="EF37" s="51">
        <v>9.5</v>
      </c>
      <c r="EI37" s="26"/>
      <c r="EM37" t="s">
        <v>99</v>
      </c>
    </row>
    <row r="38" spans="1:147">
      <c r="A38" s="1"/>
      <c r="B38" t="str">
        <f t="shared" si="109"/>
        <v>Packaging substitution Paper</v>
      </c>
      <c r="C38" s="54" t="s">
        <v>97</v>
      </c>
      <c r="D38" s="209">
        <f t="shared" si="104"/>
        <v>0</v>
      </c>
      <c r="E38" s="209">
        <f t="shared" ref="E38:AH38" si="118">E10*$EF38*1000</f>
        <v>0</v>
      </c>
      <c r="F38" s="209">
        <f t="shared" si="118"/>
        <v>0</v>
      </c>
      <c r="G38" s="209">
        <f t="shared" si="118"/>
        <v>0</v>
      </c>
      <c r="H38" s="209">
        <f t="shared" si="118"/>
        <v>0</v>
      </c>
      <c r="I38" s="209">
        <f t="shared" si="118"/>
        <v>0</v>
      </c>
      <c r="J38" s="209">
        <f t="shared" si="118"/>
        <v>0</v>
      </c>
      <c r="K38" s="209">
        <f t="shared" si="118"/>
        <v>0</v>
      </c>
      <c r="L38" s="209">
        <f t="shared" si="118"/>
        <v>0</v>
      </c>
      <c r="M38" s="209">
        <f t="shared" si="118"/>
        <v>0</v>
      </c>
      <c r="N38" s="209">
        <f t="shared" si="118"/>
        <v>0</v>
      </c>
      <c r="O38" s="209">
        <f t="shared" si="118"/>
        <v>0</v>
      </c>
      <c r="P38" s="209">
        <f t="shared" si="118"/>
        <v>0</v>
      </c>
      <c r="Q38" s="209">
        <f t="shared" si="118"/>
        <v>0</v>
      </c>
      <c r="R38" s="209">
        <f t="shared" si="118"/>
        <v>0</v>
      </c>
      <c r="S38" s="209">
        <f t="shared" si="118"/>
        <v>0</v>
      </c>
      <c r="T38" s="209">
        <f t="shared" si="118"/>
        <v>0</v>
      </c>
      <c r="U38" s="209">
        <f t="shared" si="118"/>
        <v>0</v>
      </c>
      <c r="V38" s="209">
        <f t="shared" si="118"/>
        <v>0</v>
      </c>
      <c r="W38" s="209">
        <f t="shared" si="118"/>
        <v>0</v>
      </c>
      <c r="X38" s="209">
        <f t="shared" si="118"/>
        <v>0</v>
      </c>
      <c r="Y38" s="209">
        <f t="shared" si="118"/>
        <v>0</v>
      </c>
      <c r="Z38" s="209">
        <f t="shared" si="118"/>
        <v>0</v>
      </c>
      <c r="AA38" s="209">
        <f t="shared" si="118"/>
        <v>0</v>
      </c>
      <c r="AB38" s="209">
        <f t="shared" si="118"/>
        <v>0</v>
      </c>
      <c r="AC38" s="209">
        <f t="shared" si="118"/>
        <v>0</v>
      </c>
      <c r="AD38" s="209">
        <f t="shared" si="118"/>
        <v>0</v>
      </c>
      <c r="AE38" s="209">
        <f t="shared" si="118"/>
        <v>0</v>
      </c>
      <c r="AF38" s="209">
        <f t="shared" si="118"/>
        <v>0</v>
      </c>
      <c r="AG38" s="209">
        <f t="shared" si="118"/>
        <v>0</v>
      </c>
      <c r="AH38" s="209">
        <f t="shared" si="118"/>
        <v>0</v>
      </c>
      <c r="AI38" s="209"/>
      <c r="AJ38" s="209">
        <f t="shared" ref="AJ38:BN38" si="119">AJ10*$EF38*1000</f>
        <v>0</v>
      </c>
      <c r="AK38" s="209">
        <f t="shared" si="119"/>
        <v>0</v>
      </c>
      <c r="AL38" s="209">
        <f t="shared" si="119"/>
        <v>0</v>
      </c>
      <c r="AM38" s="209">
        <f t="shared" si="119"/>
        <v>0</v>
      </c>
      <c r="AN38" s="209">
        <f t="shared" si="119"/>
        <v>0</v>
      </c>
      <c r="AO38" s="209">
        <f t="shared" si="119"/>
        <v>0</v>
      </c>
      <c r="AP38" s="209">
        <f t="shared" si="119"/>
        <v>0</v>
      </c>
      <c r="AQ38" s="209">
        <f t="shared" si="119"/>
        <v>0</v>
      </c>
      <c r="AR38" s="209">
        <f t="shared" si="119"/>
        <v>0</v>
      </c>
      <c r="AS38" s="209">
        <f t="shared" si="119"/>
        <v>0</v>
      </c>
      <c r="AT38" s="209">
        <f t="shared" si="119"/>
        <v>0</v>
      </c>
      <c r="AU38" s="209">
        <f t="shared" si="119"/>
        <v>0</v>
      </c>
      <c r="AV38" s="209">
        <f t="shared" si="119"/>
        <v>0</v>
      </c>
      <c r="AW38" s="209">
        <f t="shared" si="119"/>
        <v>0</v>
      </c>
      <c r="AX38" s="209">
        <f t="shared" si="119"/>
        <v>0</v>
      </c>
      <c r="AY38" s="209">
        <f t="shared" si="119"/>
        <v>0</v>
      </c>
      <c r="AZ38" s="209">
        <f t="shared" si="119"/>
        <v>0</v>
      </c>
      <c r="BA38" s="209">
        <f t="shared" si="119"/>
        <v>0</v>
      </c>
      <c r="BB38" s="209">
        <f t="shared" si="119"/>
        <v>0</v>
      </c>
      <c r="BC38" s="209">
        <f t="shared" si="119"/>
        <v>0</v>
      </c>
      <c r="BD38" s="209">
        <f t="shared" si="119"/>
        <v>0</v>
      </c>
      <c r="BE38" s="209">
        <f t="shared" si="119"/>
        <v>0</v>
      </c>
      <c r="BF38" s="209">
        <f t="shared" si="119"/>
        <v>0</v>
      </c>
      <c r="BG38" s="209">
        <f t="shared" si="119"/>
        <v>0</v>
      </c>
      <c r="BH38" s="209">
        <f t="shared" si="119"/>
        <v>0</v>
      </c>
      <c r="BI38" s="209">
        <f t="shared" si="119"/>
        <v>0</v>
      </c>
      <c r="BJ38" s="209">
        <f t="shared" si="119"/>
        <v>0</v>
      </c>
      <c r="BK38" s="209">
        <f t="shared" si="119"/>
        <v>0</v>
      </c>
      <c r="BL38" s="209">
        <f t="shared" si="119"/>
        <v>0</v>
      </c>
      <c r="BM38" s="209">
        <f t="shared" si="119"/>
        <v>0</v>
      </c>
      <c r="BN38" s="209">
        <f t="shared" si="119"/>
        <v>0</v>
      </c>
      <c r="BO38" s="209"/>
      <c r="BP38" s="209">
        <f t="shared" ref="BP38:CT38" si="120">BP10*$EF38*1000</f>
        <v>0</v>
      </c>
      <c r="BQ38" s="209">
        <f t="shared" si="120"/>
        <v>0</v>
      </c>
      <c r="BR38" s="209">
        <f t="shared" si="120"/>
        <v>0</v>
      </c>
      <c r="BS38" s="209">
        <f t="shared" si="120"/>
        <v>0</v>
      </c>
      <c r="BT38" s="209">
        <f t="shared" si="120"/>
        <v>0</v>
      </c>
      <c r="BU38" s="209">
        <f t="shared" si="120"/>
        <v>0</v>
      </c>
      <c r="BV38" s="209">
        <f t="shared" si="120"/>
        <v>0</v>
      </c>
      <c r="BW38" s="209">
        <f t="shared" si="120"/>
        <v>0</v>
      </c>
      <c r="BX38" s="209">
        <f t="shared" si="120"/>
        <v>0</v>
      </c>
      <c r="BY38" s="209">
        <f t="shared" si="120"/>
        <v>0</v>
      </c>
      <c r="BZ38" s="209">
        <f t="shared" si="120"/>
        <v>0</v>
      </c>
      <c r="CA38" s="209">
        <f t="shared" si="120"/>
        <v>0</v>
      </c>
      <c r="CB38" s="209">
        <f t="shared" si="120"/>
        <v>0</v>
      </c>
      <c r="CC38" s="209">
        <f t="shared" si="120"/>
        <v>0</v>
      </c>
      <c r="CD38" s="209">
        <f t="shared" si="120"/>
        <v>0</v>
      </c>
      <c r="CE38" s="209">
        <f t="shared" si="120"/>
        <v>0</v>
      </c>
      <c r="CF38" s="209">
        <f t="shared" si="120"/>
        <v>0</v>
      </c>
      <c r="CG38" s="209">
        <f t="shared" si="120"/>
        <v>0</v>
      </c>
      <c r="CH38" s="209">
        <f t="shared" si="120"/>
        <v>0</v>
      </c>
      <c r="CI38" s="209">
        <f t="shared" si="120"/>
        <v>0</v>
      </c>
      <c r="CJ38" s="209">
        <f t="shared" si="120"/>
        <v>0</v>
      </c>
      <c r="CK38" s="209">
        <f t="shared" si="120"/>
        <v>0</v>
      </c>
      <c r="CL38" s="209">
        <f t="shared" si="120"/>
        <v>0</v>
      </c>
      <c r="CM38" s="209">
        <f t="shared" si="120"/>
        <v>0</v>
      </c>
      <c r="CN38" s="209">
        <f t="shared" si="120"/>
        <v>0</v>
      </c>
      <c r="CO38" s="209">
        <f t="shared" si="120"/>
        <v>0</v>
      </c>
      <c r="CP38" s="209">
        <f t="shared" si="120"/>
        <v>0</v>
      </c>
      <c r="CQ38" s="209">
        <f t="shared" si="120"/>
        <v>0</v>
      </c>
      <c r="CR38" s="209">
        <f t="shared" si="120"/>
        <v>0</v>
      </c>
      <c r="CS38" s="209">
        <f t="shared" si="120"/>
        <v>0</v>
      </c>
      <c r="CT38" s="209">
        <f t="shared" si="120"/>
        <v>0</v>
      </c>
      <c r="CU38" s="209"/>
      <c r="CV38" s="209">
        <f t="shared" ref="CV38:DZ38" si="121">CV10*$EF38*1000</f>
        <v>0</v>
      </c>
      <c r="CW38" s="209">
        <f t="shared" si="121"/>
        <v>0</v>
      </c>
      <c r="CX38" s="209">
        <f t="shared" si="121"/>
        <v>0</v>
      </c>
      <c r="CY38" s="209">
        <f t="shared" si="121"/>
        <v>0</v>
      </c>
      <c r="CZ38" s="209">
        <f t="shared" si="121"/>
        <v>0</v>
      </c>
      <c r="DA38" s="209">
        <f t="shared" si="121"/>
        <v>0</v>
      </c>
      <c r="DB38" s="209">
        <f t="shared" si="121"/>
        <v>0</v>
      </c>
      <c r="DC38" s="209">
        <f t="shared" si="121"/>
        <v>0</v>
      </c>
      <c r="DD38" s="209">
        <f t="shared" si="121"/>
        <v>0</v>
      </c>
      <c r="DE38" s="209">
        <f t="shared" si="121"/>
        <v>0</v>
      </c>
      <c r="DF38" s="209">
        <f t="shared" si="121"/>
        <v>0</v>
      </c>
      <c r="DG38" s="209">
        <f t="shared" si="121"/>
        <v>0</v>
      </c>
      <c r="DH38" s="209">
        <f t="shared" si="121"/>
        <v>0</v>
      </c>
      <c r="DI38" s="209">
        <f t="shared" si="121"/>
        <v>0</v>
      </c>
      <c r="DJ38" s="209">
        <f t="shared" si="121"/>
        <v>0</v>
      </c>
      <c r="DK38" s="209">
        <f t="shared" si="121"/>
        <v>0</v>
      </c>
      <c r="DL38" s="209">
        <f t="shared" si="121"/>
        <v>0</v>
      </c>
      <c r="DM38" s="209">
        <f t="shared" si="121"/>
        <v>0</v>
      </c>
      <c r="DN38" s="209">
        <f t="shared" si="121"/>
        <v>0</v>
      </c>
      <c r="DO38" s="209">
        <f t="shared" si="121"/>
        <v>0</v>
      </c>
      <c r="DP38" s="209">
        <f t="shared" si="121"/>
        <v>0</v>
      </c>
      <c r="DQ38" s="209">
        <f t="shared" si="121"/>
        <v>0</v>
      </c>
      <c r="DR38" s="209">
        <f t="shared" si="121"/>
        <v>0</v>
      </c>
      <c r="DS38" s="209">
        <f t="shared" si="121"/>
        <v>0</v>
      </c>
      <c r="DT38" s="209">
        <f t="shared" si="121"/>
        <v>0</v>
      </c>
      <c r="DU38" s="209">
        <f t="shared" si="121"/>
        <v>0</v>
      </c>
      <c r="DV38" s="209">
        <f t="shared" si="121"/>
        <v>0</v>
      </c>
      <c r="DW38" s="209">
        <f t="shared" si="121"/>
        <v>0</v>
      </c>
      <c r="DX38" s="209">
        <f t="shared" si="121"/>
        <v>0</v>
      </c>
      <c r="DY38" s="209">
        <f t="shared" si="121"/>
        <v>0</v>
      </c>
      <c r="DZ38" s="209">
        <f t="shared" si="121"/>
        <v>0</v>
      </c>
      <c r="EF38" s="51">
        <v>18.5</v>
      </c>
      <c r="EI38" s="26"/>
      <c r="EM38" t="s">
        <v>99</v>
      </c>
      <c r="EQ38" t="s">
        <v>100</v>
      </c>
    </row>
    <row r="39" spans="1:147">
      <c r="A39" s="1"/>
      <c r="B39" t="str">
        <f t="shared" si="109"/>
        <v>Packaging Substitution Compostables</v>
      </c>
      <c r="C39" s="54" t="s">
        <v>97</v>
      </c>
      <c r="D39" s="209">
        <f t="shared" si="104"/>
        <v>0</v>
      </c>
      <c r="E39" s="209">
        <f t="shared" ref="E39:AH39" si="122">E11*$EF39*1000</f>
        <v>0</v>
      </c>
      <c r="F39" s="209">
        <f t="shared" si="122"/>
        <v>0</v>
      </c>
      <c r="G39" s="209">
        <f t="shared" si="122"/>
        <v>0</v>
      </c>
      <c r="H39" s="209">
        <f t="shared" si="122"/>
        <v>0</v>
      </c>
      <c r="I39" s="209">
        <f t="shared" si="122"/>
        <v>0</v>
      </c>
      <c r="J39" s="209">
        <f t="shared" si="122"/>
        <v>0</v>
      </c>
      <c r="K39" s="209">
        <f t="shared" si="122"/>
        <v>0</v>
      </c>
      <c r="L39" s="209">
        <f t="shared" si="122"/>
        <v>0</v>
      </c>
      <c r="M39" s="209">
        <f t="shared" si="122"/>
        <v>0</v>
      </c>
      <c r="N39" s="209">
        <f t="shared" si="122"/>
        <v>0</v>
      </c>
      <c r="O39" s="209">
        <f t="shared" si="122"/>
        <v>0</v>
      </c>
      <c r="P39" s="209">
        <f t="shared" si="122"/>
        <v>0</v>
      </c>
      <c r="Q39" s="209">
        <f t="shared" si="122"/>
        <v>0</v>
      </c>
      <c r="R39" s="209">
        <f t="shared" si="122"/>
        <v>0</v>
      </c>
      <c r="S39" s="209">
        <f t="shared" si="122"/>
        <v>0</v>
      </c>
      <c r="T39" s="209">
        <f t="shared" si="122"/>
        <v>0</v>
      </c>
      <c r="U39" s="209">
        <f t="shared" si="122"/>
        <v>0</v>
      </c>
      <c r="V39" s="209">
        <f t="shared" si="122"/>
        <v>0</v>
      </c>
      <c r="W39" s="209">
        <f t="shared" si="122"/>
        <v>0</v>
      </c>
      <c r="X39" s="209">
        <f t="shared" si="122"/>
        <v>0</v>
      </c>
      <c r="Y39" s="209">
        <f t="shared" si="122"/>
        <v>0</v>
      </c>
      <c r="Z39" s="209">
        <f t="shared" si="122"/>
        <v>0</v>
      </c>
      <c r="AA39" s="209">
        <f t="shared" si="122"/>
        <v>0</v>
      </c>
      <c r="AB39" s="209">
        <f t="shared" si="122"/>
        <v>0</v>
      </c>
      <c r="AC39" s="209">
        <f t="shared" si="122"/>
        <v>0</v>
      </c>
      <c r="AD39" s="209">
        <f t="shared" si="122"/>
        <v>0</v>
      </c>
      <c r="AE39" s="209">
        <f t="shared" si="122"/>
        <v>0</v>
      </c>
      <c r="AF39" s="209">
        <f t="shared" si="122"/>
        <v>0</v>
      </c>
      <c r="AG39" s="209">
        <f t="shared" si="122"/>
        <v>0</v>
      </c>
      <c r="AH39" s="209">
        <f t="shared" si="122"/>
        <v>0</v>
      </c>
      <c r="AI39" s="209"/>
      <c r="AJ39" s="209">
        <f t="shared" ref="AJ39:BN39" si="123">AJ11*$EF39*1000</f>
        <v>0</v>
      </c>
      <c r="AK39" s="209">
        <f t="shared" si="123"/>
        <v>0</v>
      </c>
      <c r="AL39" s="209">
        <f t="shared" si="123"/>
        <v>0</v>
      </c>
      <c r="AM39" s="209">
        <f t="shared" si="123"/>
        <v>0</v>
      </c>
      <c r="AN39" s="209">
        <f t="shared" si="123"/>
        <v>0</v>
      </c>
      <c r="AO39" s="209">
        <f t="shared" si="123"/>
        <v>0</v>
      </c>
      <c r="AP39" s="209">
        <f t="shared" si="123"/>
        <v>0</v>
      </c>
      <c r="AQ39" s="209">
        <f t="shared" si="123"/>
        <v>0</v>
      </c>
      <c r="AR39" s="209">
        <f t="shared" si="123"/>
        <v>0</v>
      </c>
      <c r="AS39" s="209">
        <f t="shared" si="123"/>
        <v>0</v>
      </c>
      <c r="AT39" s="209">
        <f t="shared" si="123"/>
        <v>0</v>
      </c>
      <c r="AU39" s="209">
        <f t="shared" si="123"/>
        <v>0</v>
      </c>
      <c r="AV39" s="209">
        <f t="shared" si="123"/>
        <v>0</v>
      </c>
      <c r="AW39" s="209">
        <f t="shared" si="123"/>
        <v>0</v>
      </c>
      <c r="AX39" s="209">
        <f t="shared" si="123"/>
        <v>0</v>
      </c>
      <c r="AY39" s="209">
        <f t="shared" si="123"/>
        <v>0</v>
      </c>
      <c r="AZ39" s="209">
        <f t="shared" si="123"/>
        <v>0</v>
      </c>
      <c r="BA39" s="209">
        <f t="shared" si="123"/>
        <v>0</v>
      </c>
      <c r="BB39" s="209">
        <f t="shared" si="123"/>
        <v>0</v>
      </c>
      <c r="BC39" s="209">
        <f t="shared" si="123"/>
        <v>0</v>
      </c>
      <c r="BD39" s="209">
        <f t="shared" si="123"/>
        <v>0</v>
      </c>
      <c r="BE39" s="209">
        <f t="shared" si="123"/>
        <v>0</v>
      </c>
      <c r="BF39" s="209">
        <f t="shared" si="123"/>
        <v>0</v>
      </c>
      <c r="BG39" s="209">
        <f t="shared" si="123"/>
        <v>0</v>
      </c>
      <c r="BH39" s="209">
        <f t="shared" si="123"/>
        <v>0</v>
      </c>
      <c r="BI39" s="209">
        <f t="shared" si="123"/>
        <v>0</v>
      </c>
      <c r="BJ39" s="209">
        <f t="shared" si="123"/>
        <v>0</v>
      </c>
      <c r="BK39" s="209">
        <f t="shared" si="123"/>
        <v>0</v>
      </c>
      <c r="BL39" s="209">
        <f t="shared" si="123"/>
        <v>0</v>
      </c>
      <c r="BM39" s="209">
        <f t="shared" si="123"/>
        <v>0</v>
      </c>
      <c r="BN39" s="209">
        <f t="shared" si="123"/>
        <v>0</v>
      </c>
      <c r="BO39" s="209"/>
      <c r="BP39" s="209">
        <f t="shared" ref="BP39:CT39" si="124">BP11*$EF39*1000</f>
        <v>0</v>
      </c>
      <c r="BQ39" s="209">
        <f t="shared" si="124"/>
        <v>0</v>
      </c>
      <c r="BR39" s="209">
        <f t="shared" si="124"/>
        <v>0</v>
      </c>
      <c r="BS39" s="209">
        <f t="shared" si="124"/>
        <v>0</v>
      </c>
      <c r="BT39" s="209">
        <f t="shared" si="124"/>
        <v>0</v>
      </c>
      <c r="BU39" s="209">
        <f t="shared" si="124"/>
        <v>0</v>
      </c>
      <c r="BV39" s="209">
        <f t="shared" si="124"/>
        <v>0</v>
      </c>
      <c r="BW39" s="209">
        <f t="shared" si="124"/>
        <v>0</v>
      </c>
      <c r="BX39" s="209">
        <f t="shared" si="124"/>
        <v>0</v>
      </c>
      <c r="BY39" s="209">
        <f t="shared" si="124"/>
        <v>0</v>
      </c>
      <c r="BZ39" s="209">
        <f t="shared" si="124"/>
        <v>0</v>
      </c>
      <c r="CA39" s="209">
        <f t="shared" si="124"/>
        <v>0</v>
      </c>
      <c r="CB39" s="209">
        <f t="shared" si="124"/>
        <v>0</v>
      </c>
      <c r="CC39" s="209">
        <f t="shared" si="124"/>
        <v>0</v>
      </c>
      <c r="CD39" s="209">
        <f t="shared" si="124"/>
        <v>0</v>
      </c>
      <c r="CE39" s="209">
        <f t="shared" si="124"/>
        <v>0</v>
      </c>
      <c r="CF39" s="209">
        <f t="shared" si="124"/>
        <v>0</v>
      </c>
      <c r="CG39" s="209">
        <f t="shared" si="124"/>
        <v>0</v>
      </c>
      <c r="CH39" s="209">
        <f t="shared" si="124"/>
        <v>0</v>
      </c>
      <c r="CI39" s="209">
        <f t="shared" si="124"/>
        <v>0</v>
      </c>
      <c r="CJ39" s="209">
        <f t="shared" si="124"/>
        <v>0</v>
      </c>
      <c r="CK39" s="209">
        <f t="shared" si="124"/>
        <v>0</v>
      </c>
      <c r="CL39" s="209">
        <f t="shared" si="124"/>
        <v>0</v>
      </c>
      <c r="CM39" s="209">
        <f t="shared" si="124"/>
        <v>0</v>
      </c>
      <c r="CN39" s="209">
        <f t="shared" si="124"/>
        <v>0</v>
      </c>
      <c r="CO39" s="209">
        <f t="shared" si="124"/>
        <v>0</v>
      </c>
      <c r="CP39" s="209">
        <f t="shared" si="124"/>
        <v>0</v>
      </c>
      <c r="CQ39" s="209">
        <f t="shared" si="124"/>
        <v>0</v>
      </c>
      <c r="CR39" s="209">
        <f t="shared" si="124"/>
        <v>0</v>
      </c>
      <c r="CS39" s="209">
        <f t="shared" si="124"/>
        <v>0</v>
      </c>
      <c r="CT39" s="209">
        <f t="shared" si="124"/>
        <v>0</v>
      </c>
      <c r="CU39" s="209"/>
      <c r="CV39" s="209">
        <f t="shared" ref="CV39:DZ39" si="125">CV11*$EF39*1000</f>
        <v>0</v>
      </c>
      <c r="CW39" s="209">
        <f t="shared" si="125"/>
        <v>0</v>
      </c>
      <c r="CX39" s="209">
        <f t="shared" si="125"/>
        <v>0</v>
      </c>
      <c r="CY39" s="209">
        <f t="shared" si="125"/>
        <v>0</v>
      </c>
      <c r="CZ39" s="209">
        <f t="shared" si="125"/>
        <v>0</v>
      </c>
      <c r="DA39" s="209">
        <f t="shared" si="125"/>
        <v>0</v>
      </c>
      <c r="DB39" s="209">
        <f t="shared" si="125"/>
        <v>0</v>
      </c>
      <c r="DC39" s="209">
        <f t="shared" si="125"/>
        <v>0</v>
      </c>
      <c r="DD39" s="209">
        <f t="shared" si="125"/>
        <v>0</v>
      </c>
      <c r="DE39" s="209">
        <f t="shared" si="125"/>
        <v>0</v>
      </c>
      <c r="DF39" s="209">
        <f t="shared" si="125"/>
        <v>0</v>
      </c>
      <c r="DG39" s="209">
        <f t="shared" si="125"/>
        <v>0</v>
      </c>
      <c r="DH39" s="209">
        <f t="shared" si="125"/>
        <v>0</v>
      </c>
      <c r="DI39" s="209">
        <f t="shared" si="125"/>
        <v>0</v>
      </c>
      <c r="DJ39" s="209">
        <f t="shared" si="125"/>
        <v>0</v>
      </c>
      <c r="DK39" s="209">
        <f t="shared" si="125"/>
        <v>0</v>
      </c>
      <c r="DL39" s="209">
        <f t="shared" si="125"/>
        <v>0</v>
      </c>
      <c r="DM39" s="209">
        <f t="shared" si="125"/>
        <v>0</v>
      </c>
      <c r="DN39" s="209">
        <f t="shared" si="125"/>
        <v>0</v>
      </c>
      <c r="DO39" s="209">
        <f t="shared" si="125"/>
        <v>0</v>
      </c>
      <c r="DP39" s="209">
        <f t="shared" si="125"/>
        <v>0</v>
      </c>
      <c r="DQ39" s="209">
        <f t="shared" si="125"/>
        <v>0</v>
      </c>
      <c r="DR39" s="209">
        <f t="shared" si="125"/>
        <v>0</v>
      </c>
      <c r="DS39" s="209">
        <f t="shared" si="125"/>
        <v>0</v>
      </c>
      <c r="DT39" s="209">
        <f t="shared" si="125"/>
        <v>0</v>
      </c>
      <c r="DU39" s="209">
        <f t="shared" si="125"/>
        <v>0</v>
      </c>
      <c r="DV39" s="209">
        <f t="shared" si="125"/>
        <v>0</v>
      </c>
      <c r="DW39" s="209">
        <f t="shared" si="125"/>
        <v>0</v>
      </c>
      <c r="DX39" s="209">
        <f t="shared" si="125"/>
        <v>0</v>
      </c>
      <c r="DY39" s="209">
        <f t="shared" si="125"/>
        <v>0</v>
      </c>
      <c r="DZ39" s="209">
        <f t="shared" si="125"/>
        <v>0</v>
      </c>
      <c r="EF39" s="51">
        <v>18.899999999999999</v>
      </c>
      <c r="EI39" s="26"/>
      <c r="EM39" t="s">
        <v>99</v>
      </c>
      <c r="EP39" t="s">
        <v>101</v>
      </c>
      <c r="EQ39">
        <v>8</v>
      </c>
    </row>
    <row r="40" spans="1:147">
      <c r="A40" s="1"/>
      <c r="B40" t="str">
        <f t="shared" si="109"/>
        <v>MaaS</v>
      </c>
      <c r="C40" s="54" t="s">
        <v>97</v>
      </c>
      <c r="D40" s="209">
        <f t="shared" si="104"/>
        <v>0</v>
      </c>
      <c r="E40" s="209">
        <f t="shared" ref="E40:AH40" si="126">E12*$EF40*1000</f>
        <v>0</v>
      </c>
      <c r="F40" s="209">
        <f t="shared" si="126"/>
        <v>0</v>
      </c>
      <c r="G40" s="209">
        <f t="shared" si="126"/>
        <v>0</v>
      </c>
      <c r="H40" s="209">
        <f t="shared" si="126"/>
        <v>0</v>
      </c>
      <c r="I40" s="209">
        <f t="shared" si="126"/>
        <v>0</v>
      </c>
      <c r="J40" s="209">
        <f t="shared" si="126"/>
        <v>0</v>
      </c>
      <c r="K40" s="209">
        <f t="shared" si="126"/>
        <v>0</v>
      </c>
      <c r="L40" s="209">
        <f t="shared" si="126"/>
        <v>0</v>
      </c>
      <c r="M40" s="209">
        <f t="shared" si="126"/>
        <v>0</v>
      </c>
      <c r="N40" s="209">
        <f t="shared" si="126"/>
        <v>0</v>
      </c>
      <c r="O40" s="209">
        <f t="shared" si="126"/>
        <v>0</v>
      </c>
      <c r="P40" s="209">
        <f t="shared" si="126"/>
        <v>0</v>
      </c>
      <c r="Q40" s="209">
        <f t="shared" si="126"/>
        <v>0</v>
      </c>
      <c r="R40" s="209">
        <f t="shared" si="126"/>
        <v>0</v>
      </c>
      <c r="S40" s="209">
        <f t="shared" si="126"/>
        <v>0</v>
      </c>
      <c r="T40" s="209">
        <f t="shared" si="126"/>
        <v>0</v>
      </c>
      <c r="U40" s="209">
        <f t="shared" si="126"/>
        <v>0</v>
      </c>
      <c r="V40" s="209">
        <f t="shared" si="126"/>
        <v>0</v>
      </c>
      <c r="W40" s="209">
        <f t="shared" si="126"/>
        <v>0</v>
      </c>
      <c r="X40" s="209">
        <f t="shared" si="126"/>
        <v>0</v>
      </c>
      <c r="Y40" s="209">
        <f t="shared" si="126"/>
        <v>0</v>
      </c>
      <c r="Z40" s="209">
        <f t="shared" si="126"/>
        <v>0</v>
      </c>
      <c r="AA40" s="209">
        <f t="shared" si="126"/>
        <v>0</v>
      </c>
      <c r="AB40" s="209">
        <f t="shared" si="126"/>
        <v>0</v>
      </c>
      <c r="AC40" s="209">
        <f t="shared" si="126"/>
        <v>0</v>
      </c>
      <c r="AD40" s="209">
        <f t="shared" si="126"/>
        <v>0</v>
      </c>
      <c r="AE40" s="209">
        <f t="shared" si="126"/>
        <v>0</v>
      </c>
      <c r="AF40" s="209">
        <f t="shared" si="126"/>
        <v>0</v>
      </c>
      <c r="AG40" s="209">
        <f t="shared" si="126"/>
        <v>0</v>
      </c>
      <c r="AH40" s="209">
        <f t="shared" si="126"/>
        <v>0</v>
      </c>
      <c r="AI40" s="209"/>
      <c r="AJ40" s="209">
        <f t="shared" ref="AJ40:BN40" si="127">AJ12*$EF40*1000</f>
        <v>0</v>
      </c>
      <c r="AK40" s="209">
        <f t="shared" si="127"/>
        <v>0</v>
      </c>
      <c r="AL40" s="209">
        <f t="shared" si="127"/>
        <v>0</v>
      </c>
      <c r="AM40" s="209">
        <f t="shared" si="127"/>
        <v>0</v>
      </c>
      <c r="AN40" s="209">
        <f t="shared" si="127"/>
        <v>0</v>
      </c>
      <c r="AO40" s="209">
        <f t="shared" si="127"/>
        <v>0</v>
      </c>
      <c r="AP40" s="209">
        <f t="shared" si="127"/>
        <v>0</v>
      </c>
      <c r="AQ40" s="209">
        <f t="shared" si="127"/>
        <v>0</v>
      </c>
      <c r="AR40" s="209">
        <f t="shared" si="127"/>
        <v>0</v>
      </c>
      <c r="AS40" s="209">
        <f t="shared" si="127"/>
        <v>0</v>
      </c>
      <c r="AT40" s="209">
        <f t="shared" si="127"/>
        <v>0</v>
      </c>
      <c r="AU40" s="209">
        <f t="shared" si="127"/>
        <v>0</v>
      </c>
      <c r="AV40" s="209">
        <f t="shared" si="127"/>
        <v>0</v>
      </c>
      <c r="AW40" s="209">
        <f t="shared" si="127"/>
        <v>0</v>
      </c>
      <c r="AX40" s="209">
        <f t="shared" si="127"/>
        <v>0</v>
      </c>
      <c r="AY40" s="209">
        <f t="shared" si="127"/>
        <v>0</v>
      </c>
      <c r="AZ40" s="209">
        <f t="shared" si="127"/>
        <v>0</v>
      </c>
      <c r="BA40" s="209">
        <f t="shared" si="127"/>
        <v>0</v>
      </c>
      <c r="BB40" s="209">
        <f t="shared" si="127"/>
        <v>0</v>
      </c>
      <c r="BC40" s="209">
        <f t="shared" si="127"/>
        <v>0</v>
      </c>
      <c r="BD40" s="209">
        <f t="shared" si="127"/>
        <v>0</v>
      </c>
      <c r="BE40" s="209">
        <f t="shared" si="127"/>
        <v>0</v>
      </c>
      <c r="BF40" s="209">
        <f t="shared" si="127"/>
        <v>0</v>
      </c>
      <c r="BG40" s="209">
        <f t="shared" si="127"/>
        <v>0</v>
      </c>
      <c r="BH40" s="209">
        <f t="shared" si="127"/>
        <v>0</v>
      </c>
      <c r="BI40" s="209">
        <f t="shared" si="127"/>
        <v>0</v>
      </c>
      <c r="BJ40" s="209">
        <f t="shared" si="127"/>
        <v>0</v>
      </c>
      <c r="BK40" s="209">
        <f t="shared" si="127"/>
        <v>0</v>
      </c>
      <c r="BL40" s="209">
        <f t="shared" si="127"/>
        <v>0</v>
      </c>
      <c r="BM40" s="209">
        <f t="shared" si="127"/>
        <v>0</v>
      </c>
      <c r="BN40" s="209">
        <f t="shared" si="127"/>
        <v>0</v>
      </c>
      <c r="BO40" s="209"/>
      <c r="BP40" s="209">
        <f t="shared" ref="BP40:CT40" si="128">BP12*$EF40*1000</f>
        <v>0</v>
      </c>
      <c r="BQ40" s="209">
        <f t="shared" si="128"/>
        <v>0</v>
      </c>
      <c r="BR40" s="209">
        <f t="shared" si="128"/>
        <v>0</v>
      </c>
      <c r="BS40" s="209">
        <f t="shared" si="128"/>
        <v>0</v>
      </c>
      <c r="BT40" s="209">
        <f t="shared" si="128"/>
        <v>0</v>
      </c>
      <c r="BU40" s="209">
        <f t="shared" si="128"/>
        <v>0</v>
      </c>
      <c r="BV40" s="209">
        <f t="shared" si="128"/>
        <v>0</v>
      </c>
      <c r="BW40" s="209">
        <f t="shared" si="128"/>
        <v>0</v>
      </c>
      <c r="BX40" s="209">
        <f t="shared" si="128"/>
        <v>0</v>
      </c>
      <c r="BY40" s="209">
        <f t="shared" si="128"/>
        <v>0</v>
      </c>
      <c r="BZ40" s="209">
        <f t="shared" si="128"/>
        <v>0</v>
      </c>
      <c r="CA40" s="209">
        <f t="shared" si="128"/>
        <v>0</v>
      </c>
      <c r="CB40" s="209">
        <f t="shared" si="128"/>
        <v>0</v>
      </c>
      <c r="CC40" s="209">
        <f t="shared" si="128"/>
        <v>0</v>
      </c>
      <c r="CD40" s="209">
        <f t="shared" si="128"/>
        <v>0</v>
      </c>
      <c r="CE40" s="209">
        <f t="shared" si="128"/>
        <v>0</v>
      </c>
      <c r="CF40" s="209">
        <f t="shared" si="128"/>
        <v>0</v>
      </c>
      <c r="CG40" s="209">
        <f t="shared" si="128"/>
        <v>0</v>
      </c>
      <c r="CH40" s="209">
        <f t="shared" si="128"/>
        <v>0</v>
      </c>
      <c r="CI40" s="209">
        <f t="shared" si="128"/>
        <v>0</v>
      </c>
      <c r="CJ40" s="209">
        <f t="shared" si="128"/>
        <v>0</v>
      </c>
      <c r="CK40" s="209">
        <f t="shared" si="128"/>
        <v>0</v>
      </c>
      <c r="CL40" s="209">
        <f t="shared" si="128"/>
        <v>0</v>
      </c>
      <c r="CM40" s="209">
        <f t="shared" si="128"/>
        <v>0</v>
      </c>
      <c r="CN40" s="209">
        <f t="shared" si="128"/>
        <v>0</v>
      </c>
      <c r="CO40" s="209">
        <f t="shared" si="128"/>
        <v>0</v>
      </c>
      <c r="CP40" s="209">
        <f t="shared" si="128"/>
        <v>0</v>
      </c>
      <c r="CQ40" s="209">
        <f t="shared" si="128"/>
        <v>0</v>
      </c>
      <c r="CR40" s="209">
        <f t="shared" si="128"/>
        <v>0</v>
      </c>
      <c r="CS40" s="209">
        <f t="shared" si="128"/>
        <v>0</v>
      </c>
      <c r="CT40" s="209">
        <f t="shared" si="128"/>
        <v>0</v>
      </c>
      <c r="CU40" s="209"/>
      <c r="CV40" s="209">
        <f t="shared" ref="CV40:DZ40" si="129">CV12*$EF40*1000</f>
        <v>0</v>
      </c>
      <c r="CW40" s="209">
        <f t="shared" si="129"/>
        <v>0</v>
      </c>
      <c r="CX40" s="209">
        <f t="shared" si="129"/>
        <v>0</v>
      </c>
      <c r="CY40" s="209">
        <f t="shared" si="129"/>
        <v>0</v>
      </c>
      <c r="CZ40" s="209">
        <f t="shared" si="129"/>
        <v>0</v>
      </c>
      <c r="DA40" s="209">
        <f t="shared" si="129"/>
        <v>0</v>
      </c>
      <c r="DB40" s="209">
        <f t="shared" si="129"/>
        <v>0</v>
      </c>
      <c r="DC40" s="209">
        <f t="shared" si="129"/>
        <v>0</v>
      </c>
      <c r="DD40" s="209">
        <f t="shared" si="129"/>
        <v>0</v>
      </c>
      <c r="DE40" s="209">
        <f t="shared" si="129"/>
        <v>0</v>
      </c>
      <c r="DF40" s="209">
        <f t="shared" si="129"/>
        <v>0</v>
      </c>
      <c r="DG40" s="209">
        <f t="shared" si="129"/>
        <v>0</v>
      </c>
      <c r="DH40" s="209">
        <f t="shared" si="129"/>
        <v>0</v>
      </c>
      <c r="DI40" s="209">
        <f t="shared" si="129"/>
        <v>0</v>
      </c>
      <c r="DJ40" s="209">
        <f t="shared" si="129"/>
        <v>0</v>
      </c>
      <c r="DK40" s="209">
        <f t="shared" si="129"/>
        <v>0</v>
      </c>
      <c r="DL40" s="209">
        <f t="shared" si="129"/>
        <v>0</v>
      </c>
      <c r="DM40" s="209">
        <f t="shared" si="129"/>
        <v>0</v>
      </c>
      <c r="DN40" s="209">
        <f t="shared" si="129"/>
        <v>0</v>
      </c>
      <c r="DO40" s="209">
        <f t="shared" si="129"/>
        <v>0</v>
      </c>
      <c r="DP40" s="209">
        <f t="shared" si="129"/>
        <v>0</v>
      </c>
      <c r="DQ40" s="209">
        <f t="shared" si="129"/>
        <v>0</v>
      </c>
      <c r="DR40" s="209">
        <f t="shared" si="129"/>
        <v>0</v>
      </c>
      <c r="DS40" s="209">
        <f t="shared" si="129"/>
        <v>0</v>
      </c>
      <c r="DT40" s="209">
        <f t="shared" si="129"/>
        <v>0</v>
      </c>
      <c r="DU40" s="209">
        <f t="shared" si="129"/>
        <v>0</v>
      </c>
      <c r="DV40" s="209">
        <f t="shared" si="129"/>
        <v>0</v>
      </c>
      <c r="DW40" s="209">
        <f t="shared" si="129"/>
        <v>0</v>
      </c>
      <c r="DX40" s="209">
        <f t="shared" si="129"/>
        <v>0</v>
      </c>
      <c r="DY40" s="209">
        <f t="shared" si="129"/>
        <v>0</v>
      </c>
      <c r="DZ40" s="209">
        <f t="shared" si="129"/>
        <v>0</v>
      </c>
      <c r="EF40" s="610">
        <v>10</v>
      </c>
      <c r="EI40" s="26"/>
    </row>
    <row r="41" spans="1:147">
      <c r="A41" s="1"/>
      <c r="B41" t="str">
        <f t="shared" si="109"/>
        <v>Vehicle life extension</v>
      </c>
      <c r="C41" s="54" t="s">
        <v>97</v>
      </c>
      <c r="D41" s="209">
        <f t="shared" si="104"/>
        <v>0</v>
      </c>
      <c r="E41" s="209">
        <f t="shared" ref="E41:AH41" si="130">E13*$EF41*1000</f>
        <v>0</v>
      </c>
      <c r="F41" s="209">
        <f t="shared" si="130"/>
        <v>0</v>
      </c>
      <c r="G41" s="209">
        <f t="shared" si="130"/>
        <v>0</v>
      </c>
      <c r="H41" s="209">
        <f t="shared" si="130"/>
        <v>0</v>
      </c>
      <c r="I41" s="209">
        <f t="shared" si="130"/>
        <v>0</v>
      </c>
      <c r="J41" s="209">
        <f t="shared" si="130"/>
        <v>0</v>
      </c>
      <c r="K41" s="209">
        <f t="shared" si="130"/>
        <v>0</v>
      </c>
      <c r="L41" s="209">
        <f t="shared" si="130"/>
        <v>0</v>
      </c>
      <c r="M41" s="209">
        <f t="shared" si="130"/>
        <v>0</v>
      </c>
      <c r="N41" s="209">
        <f t="shared" si="130"/>
        <v>0</v>
      </c>
      <c r="O41" s="209">
        <f t="shared" si="130"/>
        <v>0</v>
      </c>
      <c r="P41" s="209">
        <f t="shared" si="130"/>
        <v>0</v>
      </c>
      <c r="Q41" s="209">
        <f t="shared" si="130"/>
        <v>0</v>
      </c>
      <c r="R41" s="209">
        <f t="shared" si="130"/>
        <v>0</v>
      </c>
      <c r="S41" s="209">
        <f t="shared" si="130"/>
        <v>0</v>
      </c>
      <c r="T41" s="209">
        <f t="shared" si="130"/>
        <v>0</v>
      </c>
      <c r="U41" s="209">
        <f t="shared" si="130"/>
        <v>0</v>
      </c>
      <c r="V41" s="209">
        <f t="shared" si="130"/>
        <v>0</v>
      </c>
      <c r="W41" s="209">
        <f t="shared" si="130"/>
        <v>0</v>
      </c>
      <c r="X41" s="209">
        <f t="shared" si="130"/>
        <v>0</v>
      </c>
      <c r="Y41" s="209">
        <f t="shared" si="130"/>
        <v>0</v>
      </c>
      <c r="Z41" s="209">
        <f t="shared" si="130"/>
        <v>0</v>
      </c>
      <c r="AA41" s="209">
        <f t="shared" si="130"/>
        <v>0</v>
      </c>
      <c r="AB41" s="209">
        <f t="shared" si="130"/>
        <v>0</v>
      </c>
      <c r="AC41" s="209">
        <f t="shared" si="130"/>
        <v>0</v>
      </c>
      <c r="AD41" s="209">
        <f t="shared" si="130"/>
        <v>0</v>
      </c>
      <c r="AE41" s="209">
        <f t="shared" si="130"/>
        <v>0</v>
      </c>
      <c r="AF41" s="209">
        <f t="shared" si="130"/>
        <v>0</v>
      </c>
      <c r="AG41" s="209">
        <f t="shared" si="130"/>
        <v>0</v>
      </c>
      <c r="AH41" s="209">
        <f t="shared" si="130"/>
        <v>0</v>
      </c>
      <c r="AI41" s="209"/>
      <c r="AJ41" s="209">
        <f t="shared" ref="AJ41:BN41" si="131">AJ13*$EF41*1000</f>
        <v>0</v>
      </c>
      <c r="AK41" s="209">
        <f t="shared" si="131"/>
        <v>0</v>
      </c>
      <c r="AL41" s="209">
        <f t="shared" si="131"/>
        <v>0</v>
      </c>
      <c r="AM41" s="209">
        <f t="shared" si="131"/>
        <v>0</v>
      </c>
      <c r="AN41" s="209">
        <f t="shared" si="131"/>
        <v>0</v>
      </c>
      <c r="AO41" s="209">
        <f t="shared" si="131"/>
        <v>0</v>
      </c>
      <c r="AP41" s="209">
        <f t="shared" si="131"/>
        <v>0</v>
      </c>
      <c r="AQ41" s="209">
        <f t="shared" si="131"/>
        <v>0</v>
      </c>
      <c r="AR41" s="209">
        <f t="shared" si="131"/>
        <v>0</v>
      </c>
      <c r="AS41" s="209">
        <f t="shared" si="131"/>
        <v>0</v>
      </c>
      <c r="AT41" s="209">
        <f t="shared" si="131"/>
        <v>0</v>
      </c>
      <c r="AU41" s="209">
        <f t="shared" si="131"/>
        <v>0</v>
      </c>
      <c r="AV41" s="209">
        <f t="shared" si="131"/>
        <v>0</v>
      </c>
      <c r="AW41" s="209">
        <f t="shared" si="131"/>
        <v>0</v>
      </c>
      <c r="AX41" s="209">
        <f t="shared" si="131"/>
        <v>0</v>
      </c>
      <c r="AY41" s="209">
        <f t="shared" si="131"/>
        <v>0</v>
      </c>
      <c r="AZ41" s="209">
        <f t="shared" si="131"/>
        <v>0</v>
      </c>
      <c r="BA41" s="209">
        <f t="shared" si="131"/>
        <v>0</v>
      </c>
      <c r="BB41" s="209">
        <f t="shared" si="131"/>
        <v>0</v>
      </c>
      <c r="BC41" s="209">
        <f t="shared" si="131"/>
        <v>0</v>
      </c>
      <c r="BD41" s="209">
        <f t="shared" si="131"/>
        <v>0</v>
      </c>
      <c r="BE41" s="209">
        <f t="shared" si="131"/>
        <v>0</v>
      </c>
      <c r="BF41" s="209">
        <f t="shared" si="131"/>
        <v>0</v>
      </c>
      <c r="BG41" s="209">
        <f t="shared" si="131"/>
        <v>0</v>
      </c>
      <c r="BH41" s="209">
        <f t="shared" si="131"/>
        <v>0</v>
      </c>
      <c r="BI41" s="209">
        <f t="shared" si="131"/>
        <v>0</v>
      </c>
      <c r="BJ41" s="209">
        <f t="shared" si="131"/>
        <v>0</v>
      </c>
      <c r="BK41" s="209">
        <f t="shared" si="131"/>
        <v>0</v>
      </c>
      <c r="BL41" s="209">
        <f t="shared" si="131"/>
        <v>0</v>
      </c>
      <c r="BM41" s="209">
        <f t="shared" si="131"/>
        <v>0</v>
      </c>
      <c r="BN41" s="209">
        <f t="shared" si="131"/>
        <v>0</v>
      </c>
      <c r="BO41" s="209"/>
      <c r="BP41" s="209">
        <f t="shared" ref="BP41:CT41" si="132">BP13*$EF41*1000</f>
        <v>0</v>
      </c>
      <c r="BQ41" s="209">
        <f t="shared" si="132"/>
        <v>0</v>
      </c>
      <c r="BR41" s="209">
        <f t="shared" si="132"/>
        <v>0</v>
      </c>
      <c r="BS41" s="209">
        <f t="shared" si="132"/>
        <v>0</v>
      </c>
      <c r="BT41" s="209">
        <f t="shared" si="132"/>
        <v>0</v>
      </c>
      <c r="BU41" s="209">
        <f t="shared" si="132"/>
        <v>0</v>
      </c>
      <c r="BV41" s="209">
        <f t="shared" si="132"/>
        <v>0</v>
      </c>
      <c r="BW41" s="209">
        <f t="shared" si="132"/>
        <v>0</v>
      </c>
      <c r="BX41" s="209">
        <f t="shared" si="132"/>
        <v>0</v>
      </c>
      <c r="BY41" s="209">
        <f t="shared" si="132"/>
        <v>0</v>
      </c>
      <c r="BZ41" s="209">
        <f t="shared" si="132"/>
        <v>0</v>
      </c>
      <c r="CA41" s="209">
        <f t="shared" si="132"/>
        <v>0</v>
      </c>
      <c r="CB41" s="209">
        <f t="shared" si="132"/>
        <v>0</v>
      </c>
      <c r="CC41" s="209">
        <f t="shared" si="132"/>
        <v>0</v>
      </c>
      <c r="CD41" s="209">
        <f t="shared" si="132"/>
        <v>0</v>
      </c>
      <c r="CE41" s="209">
        <f t="shared" si="132"/>
        <v>0</v>
      </c>
      <c r="CF41" s="209">
        <f t="shared" si="132"/>
        <v>0</v>
      </c>
      <c r="CG41" s="209">
        <f t="shared" si="132"/>
        <v>0</v>
      </c>
      <c r="CH41" s="209">
        <f t="shared" si="132"/>
        <v>0</v>
      </c>
      <c r="CI41" s="209">
        <f t="shared" si="132"/>
        <v>0</v>
      </c>
      <c r="CJ41" s="209">
        <f t="shared" si="132"/>
        <v>0</v>
      </c>
      <c r="CK41" s="209">
        <f t="shared" si="132"/>
        <v>0</v>
      </c>
      <c r="CL41" s="209">
        <f t="shared" si="132"/>
        <v>0</v>
      </c>
      <c r="CM41" s="209">
        <f t="shared" si="132"/>
        <v>0</v>
      </c>
      <c r="CN41" s="209">
        <f t="shared" si="132"/>
        <v>0</v>
      </c>
      <c r="CO41" s="209">
        <f t="shared" si="132"/>
        <v>0</v>
      </c>
      <c r="CP41" s="209">
        <f t="shared" si="132"/>
        <v>0</v>
      </c>
      <c r="CQ41" s="209">
        <f t="shared" si="132"/>
        <v>0</v>
      </c>
      <c r="CR41" s="209">
        <f t="shared" si="132"/>
        <v>0</v>
      </c>
      <c r="CS41" s="209">
        <f t="shared" si="132"/>
        <v>0</v>
      </c>
      <c r="CT41" s="209">
        <f t="shared" si="132"/>
        <v>0</v>
      </c>
      <c r="CU41" s="209"/>
      <c r="CV41" s="209">
        <f t="shared" ref="CV41:DZ41" si="133">CV13*$EF41*1000</f>
        <v>0</v>
      </c>
      <c r="CW41" s="209">
        <f t="shared" si="133"/>
        <v>0</v>
      </c>
      <c r="CX41" s="209">
        <f t="shared" si="133"/>
        <v>0</v>
      </c>
      <c r="CY41" s="209">
        <f t="shared" si="133"/>
        <v>0</v>
      </c>
      <c r="CZ41" s="209">
        <f t="shared" si="133"/>
        <v>0</v>
      </c>
      <c r="DA41" s="209">
        <f t="shared" si="133"/>
        <v>0</v>
      </c>
      <c r="DB41" s="209">
        <f t="shared" si="133"/>
        <v>0</v>
      </c>
      <c r="DC41" s="209">
        <f t="shared" si="133"/>
        <v>0</v>
      </c>
      <c r="DD41" s="209">
        <f t="shared" si="133"/>
        <v>0</v>
      </c>
      <c r="DE41" s="209">
        <f t="shared" si="133"/>
        <v>0</v>
      </c>
      <c r="DF41" s="209">
        <f t="shared" si="133"/>
        <v>0</v>
      </c>
      <c r="DG41" s="209">
        <f t="shared" si="133"/>
        <v>0</v>
      </c>
      <c r="DH41" s="209">
        <f t="shared" si="133"/>
        <v>0</v>
      </c>
      <c r="DI41" s="209">
        <f t="shared" si="133"/>
        <v>0</v>
      </c>
      <c r="DJ41" s="209">
        <f t="shared" si="133"/>
        <v>0</v>
      </c>
      <c r="DK41" s="209">
        <f t="shared" si="133"/>
        <v>0</v>
      </c>
      <c r="DL41" s="209">
        <f t="shared" si="133"/>
        <v>0</v>
      </c>
      <c r="DM41" s="209">
        <f t="shared" si="133"/>
        <v>0</v>
      </c>
      <c r="DN41" s="209">
        <f t="shared" si="133"/>
        <v>0</v>
      </c>
      <c r="DO41" s="209">
        <f t="shared" si="133"/>
        <v>0</v>
      </c>
      <c r="DP41" s="209">
        <f t="shared" si="133"/>
        <v>0</v>
      </c>
      <c r="DQ41" s="209">
        <f t="shared" si="133"/>
        <v>0</v>
      </c>
      <c r="DR41" s="209">
        <f t="shared" si="133"/>
        <v>0</v>
      </c>
      <c r="DS41" s="209">
        <f t="shared" si="133"/>
        <v>0</v>
      </c>
      <c r="DT41" s="209">
        <f t="shared" si="133"/>
        <v>0</v>
      </c>
      <c r="DU41" s="209">
        <f t="shared" si="133"/>
        <v>0</v>
      </c>
      <c r="DV41" s="209">
        <f t="shared" si="133"/>
        <v>0</v>
      </c>
      <c r="DW41" s="209">
        <f t="shared" si="133"/>
        <v>0</v>
      </c>
      <c r="DX41" s="209">
        <f t="shared" si="133"/>
        <v>0</v>
      </c>
      <c r="DY41" s="209">
        <f t="shared" si="133"/>
        <v>0</v>
      </c>
      <c r="DZ41" s="209">
        <f t="shared" si="133"/>
        <v>0</v>
      </c>
      <c r="EF41" s="610">
        <v>10</v>
      </c>
      <c r="EI41" s="26"/>
      <c r="EQ41" t="s">
        <v>102</v>
      </c>
    </row>
    <row r="42" spans="1:147">
      <c r="A42" s="1"/>
      <c r="B42" t="str">
        <f t="shared" si="109"/>
        <v>Building reduction</v>
      </c>
      <c r="C42" s="54" t="s">
        <v>97</v>
      </c>
      <c r="D42" s="209">
        <f t="shared" si="104"/>
        <v>0</v>
      </c>
      <c r="E42" s="209">
        <f t="shared" ref="E42:AH42" si="134">E14*$EF42*1000</f>
        <v>0</v>
      </c>
      <c r="F42" s="209">
        <f t="shared" si="134"/>
        <v>0</v>
      </c>
      <c r="G42" s="209">
        <f t="shared" si="134"/>
        <v>0</v>
      </c>
      <c r="H42" s="209">
        <f t="shared" si="134"/>
        <v>0</v>
      </c>
      <c r="I42" s="209">
        <f t="shared" si="134"/>
        <v>0</v>
      </c>
      <c r="J42" s="209">
        <f t="shared" si="134"/>
        <v>0</v>
      </c>
      <c r="K42" s="209">
        <f t="shared" si="134"/>
        <v>0</v>
      </c>
      <c r="L42" s="209">
        <f t="shared" si="134"/>
        <v>0</v>
      </c>
      <c r="M42" s="209">
        <f t="shared" si="134"/>
        <v>0</v>
      </c>
      <c r="N42" s="209">
        <f t="shared" si="134"/>
        <v>0</v>
      </c>
      <c r="O42" s="209">
        <f t="shared" si="134"/>
        <v>0</v>
      </c>
      <c r="P42" s="209">
        <f t="shared" si="134"/>
        <v>0</v>
      </c>
      <c r="Q42" s="209">
        <f t="shared" si="134"/>
        <v>0</v>
      </c>
      <c r="R42" s="209">
        <f t="shared" si="134"/>
        <v>0</v>
      </c>
      <c r="S42" s="209">
        <f t="shared" si="134"/>
        <v>0</v>
      </c>
      <c r="T42" s="209">
        <f t="shared" si="134"/>
        <v>0</v>
      </c>
      <c r="U42" s="209">
        <f t="shared" si="134"/>
        <v>0</v>
      </c>
      <c r="V42" s="209">
        <f t="shared" si="134"/>
        <v>0</v>
      </c>
      <c r="W42" s="209">
        <f t="shared" si="134"/>
        <v>0</v>
      </c>
      <c r="X42" s="209">
        <f t="shared" si="134"/>
        <v>0</v>
      </c>
      <c r="Y42" s="209">
        <f t="shared" si="134"/>
        <v>0</v>
      </c>
      <c r="Z42" s="209">
        <f t="shared" si="134"/>
        <v>0</v>
      </c>
      <c r="AA42" s="209">
        <f t="shared" si="134"/>
        <v>0</v>
      </c>
      <c r="AB42" s="209">
        <f t="shared" si="134"/>
        <v>0</v>
      </c>
      <c r="AC42" s="209">
        <f t="shared" si="134"/>
        <v>0</v>
      </c>
      <c r="AD42" s="209">
        <f t="shared" si="134"/>
        <v>0</v>
      </c>
      <c r="AE42" s="209">
        <f t="shared" si="134"/>
        <v>0</v>
      </c>
      <c r="AF42" s="209">
        <f t="shared" si="134"/>
        <v>0</v>
      </c>
      <c r="AG42" s="209">
        <f t="shared" si="134"/>
        <v>0</v>
      </c>
      <c r="AH42" s="209">
        <f t="shared" si="134"/>
        <v>0</v>
      </c>
      <c r="AI42" s="209"/>
      <c r="AJ42" s="209">
        <f t="shared" ref="AJ42:BN42" si="135">AJ14*$EF42*1000</f>
        <v>0</v>
      </c>
      <c r="AK42" s="209">
        <f t="shared" si="135"/>
        <v>0</v>
      </c>
      <c r="AL42" s="209">
        <f t="shared" si="135"/>
        <v>0</v>
      </c>
      <c r="AM42" s="209">
        <f t="shared" si="135"/>
        <v>0</v>
      </c>
      <c r="AN42" s="209">
        <f t="shared" si="135"/>
        <v>0</v>
      </c>
      <c r="AO42" s="209">
        <f t="shared" si="135"/>
        <v>0</v>
      </c>
      <c r="AP42" s="209">
        <f t="shared" si="135"/>
        <v>0</v>
      </c>
      <c r="AQ42" s="209">
        <f t="shared" si="135"/>
        <v>0</v>
      </c>
      <c r="AR42" s="209">
        <f t="shared" si="135"/>
        <v>0</v>
      </c>
      <c r="AS42" s="209">
        <f t="shared" si="135"/>
        <v>0</v>
      </c>
      <c r="AT42" s="209">
        <f t="shared" si="135"/>
        <v>0</v>
      </c>
      <c r="AU42" s="209">
        <f t="shared" si="135"/>
        <v>0</v>
      </c>
      <c r="AV42" s="209">
        <f t="shared" si="135"/>
        <v>0</v>
      </c>
      <c r="AW42" s="209">
        <f t="shared" si="135"/>
        <v>0</v>
      </c>
      <c r="AX42" s="209">
        <f t="shared" si="135"/>
        <v>0</v>
      </c>
      <c r="AY42" s="209">
        <f t="shared" si="135"/>
        <v>0</v>
      </c>
      <c r="AZ42" s="209">
        <f t="shared" si="135"/>
        <v>0</v>
      </c>
      <c r="BA42" s="209">
        <f t="shared" si="135"/>
        <v>0</v>
      </c>
      <c r="BB42" s="209">
        <f t="shared" si="135"/>
        <v>0</v>
      </c>
      <c r="BC42" s="209">
        <f t="shared" si="135"/>
        <v>0</v>
      </c>
      <c r="BD42" s="209">
        <f t="shared" si="135"/>
        <v>0</v>
      </c>
      <c r="BE42" s="209">
        <f t="shared" si="135"/>
        <v>0</v>
      </c>
      <c r="BF42" s="209">
        <f t="shared" si="135"/>
        <v>0</v>
      </c>
      <c r="BG42" s="209">
        <f t="shared" si="135"/>
        <v>0</v>
      </c>
      <c r="BH42" s="209">
        <f t="shared" si="135"/>
        <v>0</v>
      </c>
      <c r="BI42" s="209">
        <f t="shared" si="135"/>
        <v>0</v>
      </c>
      <c r="BJ42" s="209">
        <f t="shared" si="135"/>
        <v>0</v>
      </c>
      <c r="BK42" s="209">
        <f t="shared" si="135"/>
        <v>0</v>
      </c>
      <c r="BL42" s="209">
        <f t="shared" si="135"/>
        <v>0</v>
      </c>
      <c r="BM42" s="209">
        <f t="shared" si="135"/>
        <v>0</v>
      </c>
      <c r="BN42" s="209">
        <f t="shared" si="135"/>
        <v>0</v>
      </c>
      <c r="BO42" s="209"/>
      <c r="BP42" s="209">
        <f t="shared" ref="BP42:CT42" si="136">BP14*$EF42*1000</f>
        <v>0</v>
      </c>
      <c r="BQ42" s="209">
        <f t="shared" si="136"/>
        <v>0</v>
      </c>
      <c r="BR42" s="209">
        <f t="shared" si="136"/>
        <v>0</v>
      </c>
      <c r="BS42" s="209">
        <f t="shared" si="136"/>
        <v>0</v>
      </c>
      <c r="BT42" s="209">
        <f t="shared" si="136"/>
        <v>0</v>
      </c>
      <c r="BU42" s="209">
        <f t="shared" si="136"/>
        <v>0</v>
      </c>
      <c r="BV42" s="209">
        <f t="shared" si="136"/>
        <v>0</v>
      </c>
      <c r="BW42" s="209">
        <f t="shared" si="136"/>
        <v>0</v>
      </c>
      <c r="BX42" s="209">
        <f t="shared" si="136"/>
        <v>0</v>
      </c>
      <c r="BY42" s="209">
        <f t="shared" si="136"/>
        <v>0</v>
      </c>
      <c r="BZ42" s="209">
        <f t="shared" si="136"/>
        <v>0</v>
      </c>
      <c r="CA42" s="209">
        <f t="shared" si="136"/>
        <v>0</v>
      </c>
      <c r="CB42" s="209">
        <f t="shared" si="136"/>
        <v>0</v>
      </c>
      <c r="CC42" s="209">
        <f t="shared" si="136"/>
        <v>0</v>
      </c>
      <c r="CD42" s="209">
        <f t="shared" si="136"/>
        <v>0</v>
      </c>
      <c r="CE42" s="209">
        <f t="shared" si="136"/>
        <v>0</v>
      </c>
      <c r="CF42" s="209">
        <f t="shared" si="136"/>
        <v>0</v>
      </c>
      <c r="CG42" s="209">
        <f t="shared" si="136"/>
        <v>0</v>
      </c>
      <c r="CH42" s="209">
        <f t="shared" si="136"/>
        <v>0</v>
      </c>
      <c r="CI42" s="209">
        <f t="shared" si="136"/>
        <v>0</v>
      </c>
      <c r="CJ42" s="209">
        <f t="shared" si="136"/>
        <v>0</v>
      </c>
      <c r="CK42" s="209">
        <f t="shared" si="136"/>
        <v>0</v>
      </c>
      <c r="CL42" s="209">
        <f t="shared" si="136"/>
        <v>0</v>
      </c>
      <c r="CM42" s="209">
        <f t="shared" si="136"/>
        <v>0</v>
      </c>
      <c r="CN42" s="209">
        <f t="shared" si="136"/>
        <v>0</v>
      </c>
      <c r="CO42" s="209">
        <f t="shared" si="136"/>
        <v>0</v>
      </c>
      <c r="CP42" s="209">
        <f t="shared" si="136"/>
        <v>0</v>
      </c>
      <c r="CQ42" s="209">
        <f t="shared" si="136"/>
        <v>0</v>
      </c>
      <c r="CR42" s="209">
        <f t="shared" si="136"/>
        <v>0</v>
      </c>
      <c r="CS42" s="209">
        <f t="shared" si="136"/>
        <v>0</v>
      </c>
      <c r="CT42" s="209">
        <f t="shared" si="136"/>
        <v>0</v>
      </c>
      <c r="CU42" s="209"/>
      <c r="CV42" s="209">
        <f t="shared" ref="CV42:DZ42" si="137">CV14*$EF42*1000</f>
        <v>0</v>
      </c>
      <c r="CW42" s="209">
        <f t="shared" si="137"/>
        <v>0</v>
      </c>
      <c r="CX42" s="209">
        <f t="shared" si="137"/>
        <v>0</v>
      </c>
      <c r="CY42" s="209">
        <f t="shared" si="137"/>
        <v>0</v>
      </c>
      <c r="CZ42" s="209">
        <f t="shared" si="137"/>
        <v>0</v>
      </c>
      <c r="DA42" s="209">
        <f t="shared" si="137"/>
        <v>0</v>
      </c>
      <c r="DB42" s="209">
        <f t="shared" si="137"/>
        <v>0</v>
      </c>
      <c r="DC42" s="209">
        <f t="shared" si="137"/>
        <v>0</v>
      </c>
      <c r="DD42" s="209">
        <f t="shared" si="137"/>
        <v>0</v>
      </c>
      <c r="DE42" s="209">
        <f t="shared" si="137"/>
        <v>0</v>
      </c>
      <c r="DF42" s="209">
        <f t="shared" si="137"/>
        <v>0</v>
      </c>
      <c r="DG42" s="209">
        <f t="shared" si="137"/>
        <v>0</v>
      </c>
      <c r="DH42" s="209">
        <f t="shared" si="137"/>
        <v>0</v>
      </c>
      <c r="DI42" s="209">
        <f t="shared" si="137"/>
        <v>0</v>
      </c>
      <c r="DJ42" s="209">
        <f t="shared" si="137"/>
        <v>0</v>
      </c>
      <c r="DK42" s="209">
        <f t="shared" si="137"/>
        <v>0</v>
      </c>
      <c r="DL42" s="209">
        <f t="shared" si="137"/>
        <v>0</v>
      </c>
      <c r="DM42" s="209">
        <f t="shared" si="137"/>
        <v>0</v>
      </c>
      <c r="DN42" s="209">
        <f t="shared" si="137"/>
        <v>0</v>
      </c>
      <c r="DO42" s="209">
        <f t="shared" si="137"/>
        <v>0</v>
      </c>
      <c r="DP42" s="209">
        <f t="shared" si="137"/>
        <v>0</v>
      </c>
      <c r="DQ42" s="209">
        <f t="shared" si="137"/>
        <v>0</v>
      </c>
      <c r="DR42" s="209">
        <f t="shared" si="137"/>
        <v>0</v>
      </c>
      <c r="DS42" s="209">
        <f t="shared" si="137"/>
        <v>0</v>
      </c>
      <c r="DT42" s="209">
        <f t="shared" si="137"/>
        <v>0</v>
      </c>
      <c r="DU42" s="209">
        <f t="shared" si="137"/>
        <v>0</v>
      </c>
      <c r="DV42" s="209">
        <f t="shared" si="137"/>
        <v>0</v>
      </c>
      <c r="DW42" s="209">
        <f t="shared" si="137"/>
        <v>0</v>
      </c>
      <c r="DX42" s="209">
        <f t="shared" si="137"/>
        <v>0</v>
      </c>
      <c r="DY42" s="209">
        <f t="shared" si="137"/>
        <v>0</v>
      </c>
      <c r="DZ42" s="209">
        <f t="shared" si="137"/>
        <v>0</v>
      </c>
      <c r="EF42" s="51">
        <v>0</v>
      </c>
      <c r="EI42" s="26"/>
      <c r="EM42" t="s">
        <v>99</v>
      </c>
      <c r="EP42" t="s">
        <v>21</v>
      </c>
    </row>
    <row r="43" spans="1:147">
      <c r="A43" s="1"/>
      <c r="B43" t="str">
        <f t="shared" si="109"/>
        <v>Building substitution</v>
      </c>
      <c r="C43" s="54" t="s">
        <v>97</v>
      </c>
      <c r="D43" s="209">
        <f t="shared" si="104"/>
        <v>0</v>
      </c>
      <c r="E43" s="209">
        <f t="shared" ref="E43:AH43" si="138">E15*$EF43*1000</f>
        <v>0</v>
      </c>
      <c r="F43" s="209">
        <f t="shared" si="138"/>
        <v>0</v>
      </c>
      <c r="G43" s="209">
        <f t="shared" si="138"/>
        <v>0</v>
      </c>
      <c r="H43" s="209">
        <f t="shared" si="138"/>
        <v>0</v>
      </c>
      <c r="I43" s="209">
        <f t="shared" si="138"/>
        <v>0</v>
      </c>
      <c r="J43" s="209">
        <f t="shared" si="138"/>
        <v>0</v>
      </c>
      <c r="K43" s="209">
        <f t="shared" si="138"/>
        <v>0</v>
      </c>
      <c r="L43" s="209">
        <f t="shared" si="138"/>
        <v>0</v>
      </c>
      <c r="M43" s="209">
        <f t="shared" si="138"/>
        <v>0</v>
      </c>
      <c r="N43" s="209">
        <f t="shared" si="138"/>
        <v>0</v>
      </c>
      <c r="O43" s="209">
        <f t="shared" si="138"/>
        <v>0</v>
      </c>
      <c r="P43" s="209">
        <f t="shared" si="138"/>
        <v>0</v>
      </c>
      <c r="Q43" s="209">
        <f t="shared" si="138"/>
        <v>0</v>
      </c>
      <c r="R43" s="209">
        <f t="shared" si="138"/>
        <v>0</v>
      </c>
      <c r="S43" s="209">
        <f t="shared" si="138"/>
        <v>0</v>
      </c>
      <c r="T43" s="209">
        <f t="shared" si="138"/>
        <v>0</v>
      </c>
      <c r="U43" s="209">
        <f t="shared" si="138"/>
        <v>0</v>
      </c>
      <c r="V43" s="209">
        <f t="shared" si="138"/>
        <v>0</v>
      </c>
      <c r="W43" s="209">
        <f t="shared" si="138"/>
        <v>0</v>
      </c>
      <c r="X43" s="209">
        <f t="shared" si="138"/>
        <v>0</v>
      </c>
      <c r="Y43" s="209">
        <f t="shared" si="138"/>
        <v>0</v>
      </c>
      <c r="Z43" s="209">
        <f t="shared" si="138"/>
        <v>0</v>
      </c>
      <c r="AA43" s="209">
        <f t="shared" si="138"/>
        <v>0</v>
      </c>
      <c r="AB43" s="209">
        <f t="shared" si="138"/>
        <v>0</v>
      </c>
      <c r="AC43" s="209">
        <f t="shared" si="138"/>
        <v>0</v>
      </c>
      <c r="AD43" s="209">
        <f t="shared" si="138"/>
        <v>0</v>
      </c>
      <c r="AE43" s="209">
        <f t="shared" si="138"/>
        <v>0</v>
      </c>
      <c r="AF43" s="209">
        <f t="shared" si="138"/>
        <v>0</v>
      </c>
      <c r="AG43" s="209">
        <f t="shared" si="138"/>
        <v>0</v>
      </c>
      <c r="AH43" s="209">
        <f t="shared" si="138"/>
        <v>0</v>
      </c>
      <c r="AI43" s="209"/>
      <c r="AJ43" s="209">
        <f t="shared" ref="AJ43:BN43" si="139">AJ15*$EF43*1000</f>
        <v>0</v>
      </c>
      <c r="AK43" s="209">
        <f t="shared" si="139"/>
        <v>0</v>
      </c>
      <c r="AL43" s="209">
        <f t="shared" si="139"/>
        <v>0</v>
      </c>
      <c r="AM43" s="209">
        <f t="shared" si="139"/>
        <v>0</v>
      </c>
      <c r="AN43" s="209">
        <f t="shared" si="139"/>
        <v>0</v>
      </c>
      <c r="AO43" s="209">
        <f t="shared" si="139"/>
        <v>0</v>
      </c>
      <c r="AP43" s="209">
        <f t="shared" si="139"/>
        <v>0</v>
      </c>
      <c r="AQ43" s="209">
        <f t="shared" si="139"/>
        <v>0</v>
      </c>
      <c r="AR43" s="209">
        <f t="shared" si="139"/>
        <v>0</v>
      </c>
      <c r="AS43" s="209">
        <f t="shared" si="139"/>
        <v>0</v>
      </c>
      <c r="AT43" s="209">
        <f t="shared" si="139"/>
        <v>0</v>
      </c>
      <c r="AU43" s="209">
        <f t="shared" si="139"/>
        <v>0</v>
      </c>
      <c r="AV43" s="209">
        <f t="shared" si="139"/>
        <v>0</v>
      </c>
      <c r="AW43" s="209">
        <f t="shared" si="139"/>
        <v>0</v>
      </c>
      <c r="AX43" s="209">
        <f t="shared" si="139"/>
        <v>0</v>
      </c>
      <c r="AY43" s="209">
        <f t="shared" si="139"/>
        <v>0</v>
      </c>
      <c r="AZ43" s="209">
        <f t="shared" si="139"/>
        <v>0</v>
      </c>
      <c r="BA43" s="209">
        <f t="shared" si="139"/>
        <v>0</v>
      </c>
      <c r="BB43" s="209">
        <f t="shared" si="139"/>
        <v>0</v>
      </c>
      <c r="BC43" s="209">
        <f t="shared" si="139"/>
        <v>0</v>
      </c>
      <c r="BD43" s="209">
        <f t="shared" si="139"/>
        <v>0</v>
      </c>
      <c r="BE43" s="209">
        <f t="shared" si="139"/>
        <v>0</v>
      </c>
      <c r="BF43" s="209">
        <f t="shared" si="139"/>
        <v>0</v>
      </c>
      <c r="BG43" s="209">
        <f t="shared" si="139"/>
        <v>0</v>
      </c>
      <c r="BH43" s="209">
        <f t="shared" si="139"/>
        <v>0</v>
      </c>
      <c r="BI43" s="209">
        <f t="shared" si="139"/>
        <v>0</v>
      </c>
      <c r="BJ43" s="209">
        <f t="shared" si="139"/>
        <v>0</v>
      </c>
      <c r="BK43" s="209">
        <f t="shared" si="139"/>
        <v>0</v>
      </c>
      <c r="BL43" s="209">
        <f t="shared" si="139"/>
        <v>0</v>
      </c>
      <c r="BM43" s="209">
        <f t="shared" si="139"/>
        <v>0</v>
      </c>
      <c r="BN43" s="209">
        <f t="shared" si="139"/>
        <v>0</v>
      </c>
      <c r="BO43" s="209"/>
      <c r="BP43" s="209">
        <f t="shared" ref="BP43:CT43" si="140">BP15*$EF43*1000</f>
        <v>0</v>
      </c>
      <c r="BQ43" s="209">
        <f t="shared" si="140"/>
        <v>0</v>
      </c>
      <c r="BR43" s="209">
        <f t="shared" si="140"/>
        <v>0</v>
      </c>
      <c r="BS43" s="209">
        <f t="shared" si="140"/>
        <v>0</v>
      </c>
      <c r="BT43" s="209">
        <f t="shared" si="140"/>
        <v>0</v>
      </c>
      <c r="BU43" s="209">
        <f t="shared" si="140"/>
        <v>0</v>
      </c>
      <c r="BV43" s="209">
        <f t="shared" si="140"/>
        <v>0</v>
      </c>
      <c r="BW43" s="209">
        <f t="shared" si="140"/>
        <v>0</v>
      </c>
      <c r="BX43" s="209">
        <f t="shared" si="140"/>
        <v>0</v>
      </c>
      <c r="BY43" s="209">
        <f t="shared" si="140"/>
        <v>0</v>
      </c>
      <c r="BZ43" s="209">
        <f t="shared" si="140"/>
        <v>0</v>
      </c>
      <c r="CA43" s="209">
        <f t="shared" si="140"/>
        <v>0</v>
      </c>
      <c r="CB43" s="209">
        <f t="shared" si="140"/>
        <v>0</v>
      </c>
      <c r="CC43" s="209">
        <f t="shared" si="140"/>
        <v>0</v>
      </c>
      <c r="CD43" s="209">
        <f t="shared" si="140"/>
        <v>0</v>
      </c>
      <c r="CE43" s="209">
        <f t="shared" si="140"/>
        <v>0</v>
      </c>
      <c r="CF43" s="209">
        <f t="shared" si="140"/>
        <v>0</v>
      </c>
      <c r="CG43" s="209">
        <f t="shared" si="140"/>
        <v>0</v>
      </c>
      <c r="CH43" s="209">
        <f t="shared" si="140"/>
        <v>0</v>
      </c>
      <c r="CI43" s="209">
        <f t="shared" si="140"/>
        <v>0</v>
      </c>
      <c r="CJ43" s="209">
        <f t="shared" si="140"/>
        <v>0</v>
      </c>
      <c r="CK43" s="209">
        <f t="shared" si="140"/>
        <v>0</v>
      </c>
      <c r="CL43" s="209">
        <f t="shared" si="140"/>
        <v>0</v>
      </c>
      <c r="CM43" s="209">
        <f t="shared" si="140"/>
        <v>0</v>
      </c>
      <c r="CN43" s="209">
        <f t="shared" si="140"/>
        <v>0</v>
      </c>
      <c r="CO43" s="209">
        <f t="shared" si="140"/>
        <v>0</v>
      </c>
      <c r="CP43" s="209">
        <f t="shared" si="140"/>
        <v>0</v>
      </c>
      <c r="CQ43" s="209">
        <f t="shared" si="140"/>
        <v>0</v>
      </c>
      <c r="CR43" s="209">
        <f t="shared" si="140"/>
        <v>0</v>
      </c>
      <c r="CS43" s="209">
        <f t="shared" si="140"/>
        <v>0</v>
      </c>
      <c r="CT43" s="209">
        <f t="shared" si="140"/>
        <v>0</v>
      </c>
      <c r="CU43" s="209"/>
      <c r="CV43" s="209">
        <f t="shared" ref="CV43:DZ43" si="141">CV15*$EF43*1000</f>
        <v>0</v>
      </c>
      <c r="CW43" s="209">
        <f t="shared" si="141"/>
        <v>0</v>
      </c>
      <c r="CX43" s="209">
        <f t="shared" si="141"/>
        <v>0</v>
      </c>
      <c r="CY43" s="209">
        <f t="shared" si="141"/>
        <v>0</v>
      </c>
      <c r="CZ43" s="209">
        <f t="shared" si="141"/>
        <v>0</v>
      </c>
      <c r="DA43" s="209">
        <f t="shared" si="141"/>
        <v>0</v>
      </c>
      <c r="DB43" s="209">
        <f t="shared" si="141"/>
        <v>0</v>
      </c>
      <c r="DC43" s="209">
        <f t="shared" si="141"/>
        <v>0</v>
      </c>
      <c r="DD43" s="209">
        <f t="shared" si="141"/>
        <v>0</v>
      </c>
      <c r="DE43" s="209">
        <f t="shared" si="141"/>
        <v>0</v>
      </c>
      <c r="DF43" s="209">
        <f t="shared" si="141"/>
        <v>0</v>
      </c>
      <c r="DG43" s="209">
        <f t="shared" si="141"/>
        <v>0</v>
      </c>
      <c r="DH43" s="209">
        <f t="shared" si="141"/>
        <v>0</v>
      </c>
      <c r="DI43" s="209">
        <f t="shared" si="141"/>
        <v>0</v>
      </c>
      <c r="DJ43" s="209">
        <f t="shared" si="141"/>
        <v>0</v>
      </c>
      <c r="DK43" s="209">
        <f t="shared" si="141"/>
        <v>0</v>
      </c>
      <c r="DL43" s="209">
        <f t="shared" si="141"/>
        <v>0</v>
      </c>
      <c r="DM43" s="209">
        <f t="shared" si="141"/>
        <v>0</v>
      </c>
      <c r="DN43" s="209">
        <f t="shared" si="141"/>
        <v>0</v>
      </c>
      <c r="DO43" s="209">
        <f t="shared" si="141"/>
        <v>0</v>
      </c>
      <c r="DP43" s="209">
        <f t="shared" si="141"/>
        <v>0</v>
      </c>
      <c r="DQ43" s="209">
        <f t="shared" si="141"/>
        <v>0</v>
      </c>
      <c r="DR43" s="209">
        <f t="shared" si="141"/>
        <v>0</v>
      </c>
      <c r="DS43" s="209">
        <f t="shared" si="141"/>
        <v>0</v>
      </c>
      <c r="DT43" s="209">
        <f t="shared" si="141"/>
        <v>0</v>
      </c>
      <c r="DU43" s="209">
        <f t="shared" si="141"/>
        <v>0</v>
      </c>
      <c r="DV43" s="209">
        <f t="shared" si="141"/>
        <v>0</v>
      </c>
      <c r="DW43" s="209">
        <f t="shared" si="141"/>
        <v>0</v>
      </c>
      <c r="DX43" s="209">
        <f t="shared" si="141"/>
        <v>0</v>
      </c>
      <c r="DY43" s="209">
        <f t="shared" si="141"/>
        <v>0</v>
      </c>
      <c r="DZ43" s="209">
        <f t="shared" si="141"/>
        <v>0</v>
      </c>
      <c r="EF43" s="51">
        <v>18.5</v>
      </c>
      <c r="EI43" s="26"/>
      <c r="EM43" t="s">
        <v>99</v>
      </c>
      <c r="EP43" t="s">
        <v>103</v>
      </c>
    </row>
    <row r="44" spans="1:147">
      <c r="A44" s="1"/>
      <c r="B44" t="str">
        <f t="shared" si="109"/>
        <v>Apparel - waste reduction</v>
      </c>
      <c r="C44" s="54" t="s">
        <v>97</v>
      </c>
      <c r="D44" s="209">
        <f t="shared" si="104"/>
        <v>0</v>
      </c>
      <c r="E44" s="209">
        <f t="shared" ref="E44:AH44" si="142">E16*$EF44*1000</f>
        <v>0</v>
      </c>
      <c r="F44" s="209">
        <f t="shared" si="142"/>
        <v>0</v>
      </c>
      <c r="G44" s="209">
        <f t="shared" si="142"/>
        <v>0</v>
      </c>
      <c r="H44" s="209">
        <f t="shared" si="142"/>
        <v>0</v>
      </c>
      <c r="I44" s="209">
        <f t="shared" si="142"/>
        <v>0</v>
      </c>
      <c r="J44" s="209">
        <f t="shared" si="142"/>
        <v>0</v>
      </c>
      <c r="K44" s="209">
        <f t="shared" si="142"/>
        <v>0</v>
      </c>
      <c r="L44" s="209">
        <f t="shared" si="142"/>
        <v>0</v>
      </c>
      <c r="M44" s="209">
        <f t="shared" si="142"/>
        <v>0</v>
      </c>
      <c r="N44" s="209">
        <f t="shared" si="142"/>
        <v>0</v>
      </c>
      <c r="O44" s="209">
        <f t="shared" si="142"/>
        <v>0</v>
      </c>
      <c r="P44" s="209">
        <f t="shared" si="142"/>
        <v>0</v>
      </c>
      <c r="Q44" s="209">
        <f t="shared" si="142"/>
        <v>0</v>
      </c>
      <c r="R44" s="209">
        <f t="shared" si="142"/>
        <v>0</v>
      </c>
      <c r="S44" s="209">
        <f t="shared" si="142"/>
        <v>0</v>
      </c>
      <c r="T44" s="209">
        <f t="shared" si="142"/>
        <v>0</v>
      </c>
      <c r="U44" s="209">
        <f t="shared" si="142"/>
        <v>0</v>
      </c>
      <c r="V44" s="209">
        <f t="shared" si="142"/>
        <v>0</v>
      </c>
      <c r="W44" s="209">
        <f t="shared" si="142"/>
        <v>0</v>
      </c>
      <c r="X44" s="209">
        <f t="shared" si="142"/>
        <v>0</v>
      </c>
      <c r="Y44" s="209">
        <f t="shared" si="142"/>
        <v>0</v>
      </c>
      <c r="Z44" s="209">
        <f t="shared" si="142"/>
        <v>0</v>
      </c>
      <c r="AA44" s="209">
        <f t="shared" si="142"/>
        <v>0</v>
      </c>
      <c r="AB44" s="209">
        <f t="shared" si="142"/>
        <v>0</v>
      </c>
      <c r="AC44" s="209">
        <f t="shared" si="142"/>
        <v>0</v>
      </c>
      <c r="AD44" s="209">
        <f t="shared" si="142"/>
        <v>0</v>
      </c>
      <c r="AE44" s="209">
        <f t="shared" si="142"/>
        <v>0</v>
      </c>
      <c r="AF44" s="209">
        <f t="shared" si="142"/>
        <v>0</v>
      </c>
      <c r="AG44" s="209">
        <f t="shared" si="142"/>
        <v>0</v>
      </c>
      <c r="AH44" s="209">
        <f t="shared" si="142"/>
        <v>0</v>
      </c>
      <c r="AI44" s="209"/>
      <c r="AJ44" s="209">
        <f t="shared" ref="AJ44:BN44" si="143">AJ16*$EF44*1000</f>
        <v>0</v>
      </c>
      <c r="AK44" s="209">
        <f t="shared" si="143"/>
        <v>0</v>
      </c>
      <c r="AL44" s="209">
        <f t="shared" si="143"/>
        <v>0</v>
      </c>
      <c r="AM44" s="209">
        <f t="shared" si="143"/>
        <v>0</v>
      </c>
      <c r="AN44" s="209">
        <f t="shared" si="143"/>
        <v>0</v>
      </c>
      <c r="AO44" s="209">
        <f t="shared" si="143"/>
        <v>0</v>
      </c>
      <c r="AP44" s="209">
        <f t="shared" si="143"/>
        <v>0</v>
      </c>
      <c r="AQ44" s="209">
        <f t="shared" si="143"/>
        <v>0</v>
      </c>
      <c r="AR44" s="209">
        <f t="shared" si="143"/>
        <v>0</v>
      </c>
      <c r="AS44" s="209">
        <f t="shared" si="143"/>
        <v>0</v>
      </c>
      <c r="AT44" s="209">
        <f t="shared" si="143"/>
        <v>0</v>
      </c>
      <c r="AU44" s="209">
        <f t="shared" si="143"/>
        <v>0</v>
      </c>
      <c r="AV44" s="209">
        <f t="shared" si="143"/>
        <v>0</v>
      </c>
      <c r="AW44" s="209">
        <f t="shared" si="143"/>
        <v>0</v>
      </c>
      <c r="AX44" s="209">
        <f t="shared" si="143"/>
        <v>0</v>
      </c>
      <c r="AY44" s="209">
        <f t="shared" si="143"/>
        <v>0</v>
      </c>
      <c r="AZ44" s="209">
        <f t="shared" si="143"/>
        <v>0</v>
      </c>
      <c r="BA44" s="209">
        <f t="shared" si="143"/>
        <v>0</v>
      </c>
      <c r="BB44" s="209">
        <f t="shared" si="143"/>
        <v>0</v>
      </c>
      <c r="BC44" s="209">
        <f t="shared" si="143"/>
        <v>0</v>
      </c>
      <c r="BD44" s="209">
        <f t="shared" si="143"/>
        <v>0</v>
      </c>
      <c r="BE44" s="209">
        <f t="shared" si="143"/>
        <v>0</v>
      </c>
      <c r="BF44" s="209">
        <f t="shared" si="143"/>
        <v>0</v>
      </c>
      <c r="BG44" s="209">
        <f t="shared" si="143"/>
        <v>0</v>
      </c>
      <c r="BH44" s="209">
        <f t="shared" si="143"/>
        <v>0</v>
      </c>
      <c r="BI44" s="209">
        <f t="shared" si="143"/>
        <v>0</v>
      </c>
      <c r="BJ44" s="209">
        <f t="shared" si="143"/>
        <v>0</v>
      </c>
      <c r="BK44" s="209">
        <f t="shared" si="143"/>
        <v>0</v>
      </c>
      <c r="BL44" s="209">
        <f t="shared" si="143"/>
        <v>0</v>
      </c>
      <c r="BM44" s="209">
        <f t="shared" si="143"/>
        <v>0</v>
      </c>
      <c r="BN44" s="209">
        <f t="shared" si="143"/>
        <v>0</v>
      </c>
      <c r="BO44" s="209"/>
      <c r="BP44" s="209">
        <f t="shared" ref="BP44:CT44" si="144">BP16*$EF44*1000</f>
        <v>0</v>
      </c>
      <c r="BQ44" s="209">
        <f t="shared" si="144"/>
        <v>0</v>
      </c>
      <c r="BR44" s="209">
        <f t="shared" si="144"/>
        <v>0</v>
      </c>
      <c r="BS44" s="209">
        <f t="shared" si="144"/>
        <v>0</v>
      </c>
      <c r="BT44" s="209">
        <f t="shared" si="144"/>
        <v>0</v>
      </c>
      <c r="BU44" s="209">
        <f t="shared" si="144"/>
        <v>0</v>
      </c>
      <c r="BV44" s="209">
        <f t="shared" si="144"/>
        <v>0</v>
      </c>
      <c r="BW44" s="209">
        <f t="shared" si="144"/>
        <v>0</v>
      </c>
      <c r="BX44" s="209">
        <f t="shared" si="144"/>
        <v>0</v>
      </c>
      <c r="BY44" s="209">
        <f t="shared" si="144"/>
        <v>0</v>
      </c>
      <c r="BZ44" s="209">
        <f t="shared" si="144"/>
        <v>0</v>
      </c>
      <c r="CA44" s="209">
        <f t="shared" si="144"/>
        <v>0</v>
      </c>
      <c r="CB44" s="209">
        <f t="shared" si="144"/>
        <v>0</v>
      </c>
      <c r="CC44" s="209">
        <f t="shared" si="144"/>
        <v>0</v>
      </c>
      <c r="CD44" s="209">
        <f t="shared" si="144"/>
        <v>0</v>
      </c>
      <c r="CE44" s="209">
        <f t="shared" si="144"/>
        <v>0</v>
      </c>
      <c r="CF44" s="209">
        <f t="shared" si="144"/>
        <v>0</v>
      </c>
      <c r="CG44" s="209">
        <f t="shared" si="144"/>
        <v>0</v>
      </c>
      <c r="CH44" s="209">
        <f t="shared" si="144"/>
        <v>0</v>
      </c>
      <c r="CI44" s="209">
        <f t="shared" si="144"/>
        <v>0</v>
      </c>
      <c r="CJ44" s="209">
        <f t="shared" si="144"/>
        <v>0</v>
      </c>
      <c r="CK44" s="209">
        <f t="shared" si="144"/>
        <v>0</v>
      </c>
      <c r="CL44" s="209">
        <f t="shared" si="144"/>
        <v>0</v>
      </c>
      <c r="CM44" s="209">
        <f t="shared" si="144"/>
        <v>0</v>
      </c>
      <c r="CN44" s="209">
        <f t="shared" si="144"/>
        <v>0</v>
      </c>
      <c r="CO44" s="209">
        <f t="shared" si="144"/>
        <v>0</v>
      </c>
      <c r="CP44" s="209">
        <f t="shared" si="144"/>
        <v>0</v>
      </c>
      <c r="CQ44" s="209">
        <f t="shared" si="144"/>
        <v>0</v>
      </c>
      <c r="CR44" s="209">
        <f t="shared" si="144"/>
        <v>0</v>
      </c>
      <c r="CS44" s="209">
        <f t="shared" si="144"/>
        <v>0</v>
      </c>
      <c r="CT44" s="209">
        <f t="shared" si="144"/>
        <v>0</v>
      </c>
      <c r="CU44" s="209"/>
      <c r="CV44" s="209">
        <f t="shared" ref="CV44:DZ44" si="145">CV16*$EF44*1000</f>
        <v>0</v>
      </c>
      <c r="CW44" s="209">
        <f t="shared" si="145"/>
        <v>0</v>
      </c>
      <c r="CX44" s="209">
        <f t="shared" si="145"/>
        <v>0</v>
      </c>
      <c r="CY44" s="209">
        <f t="shared" si="145"/>
        <v>0</v>
      </c>
      <c r="CZ44" s="209">
        <f t="shared" si="145"/>
        <v>0</v>
      </c>
      <c r="DA44" s="209">
        <f t="shared" si="145"/>
        <v>0</v>
      </c>
      <c r="DB44" s="209">
        <f t="shared" si="145"/>
        <v>0</v>
      </c>
      <c r="DC44" s="209">
        <f t="shared" si="145"/>
        <v>0</v>
      </c>
      <c r="DD44" s="209">
        <f t="shared" si="145"/>
        <v>0</v>
      </c>
      <c r="DE44" s="209">
        <f t="shared" si="145"/>
        <v>0</v>
      </c>
      <c r="DF44" s="209">
        <f t="shared" si="145"/>
        <v>0</v>
      </c>
      <c r="DG44" s="209">
        <f t="shared" si="145"/>
        <v>0</v>
      </c>
      <c r="DH44" s="209">
        <f t="shared" si="145"/>
        <v>0</v>
      </c>
      <c r="DI44" s="209">
        <f t="shared" si="145"/>
        <v>0</v>
      </c>
      <c r="DJ44" s="209">
        <f t="shared" si="145"/>
        <v>0</v>
      </c>
      <c r="DK44" s="209">
        <f t="shared" si="145"/>
        <v>0</v>
      </c>
      <c r="DL44" s="209">
        <f t="shared" si="145"/>
        <v>0</v>
      </c>
      <c r="DM44" s="209">
        <f t="shared" si="145"/>
        <v>0</v>
      </c>
      <c r="DN44" s="209">
        <f t="shared" si="145"/>
        <v>0</v>
      </c>
      <c r="DO44" s="209">
        <f t="shared" si="145"/>
        <v>0</v>
      </c>
      <c r="DP44" s="209">
        <f t="shared" si="145"/>
        <v>0</v>
      </c>
      <c r="DQ44" s="209">
        <f t="shared" si="145"/>
        <v>0</v>
      </c>
      <c r="DR44" s="209">
        <f t="shared" si="145"/>
        <v>0</v>
      </c>
      <c r="DS44" s="209">
        <f t="shared" si="145"/>
        <v>0</v>
      </c>
      <c r="DT44" s="209">
        <f t="shared" si="145"/>
        <v>0</v>
      </c>
      <c r="DU44" s="209">
        <f t="shared" si="145"/>
        <v>0</v>
      </c>
      <c r="DV44" s="209">
        <f t="shared" si="145"/>
        <v>0</v>
      </c>
      <c r="DW44" s="209">
        <f t="shared" si="145"/>
        <v>0</v>
      </c>
      <c r="DX44" s="209">
        <f t="shared" si="145"/>
        <v>0</v>
      </c>
      <c r="DY44" s="209">
        <f t="shared" si="145"/>
        <v>0</v>
      </c>
      <c r="DZ44" s="209">
        <f t="shared" si="145"/>
        <v>0</v>
      </c>
      <c r="EF44" s="51">
        <v>0</v>
      </c>
      <c r="EI44" s="26"/>
      <c r="EM44" t="s">
        <v>99</v>
      </c>
      <c r="EP44" t="s">
        <v>104</v>
      </c>
    </row>
    <row r="45" spans="1:147">
      <c r="A45" s="1"/>
      <c r="B45" t="str">
        <f t="shared" si="109"/>
        <v>Apparel - NBM</v>
      </c>
      <c r="C45" s="54" t="s">
        <v>97</v>
      </c>
      <c r="D45" s="209">
        <f t="shared" si="104"/>
        <v>0</v>
      </c>
      <c r="E45" s="209">
        <f t="shared" ref="E45:AH45" si="146">E17*$EF45*1000</f>
        <v>0</v>
      </c>
      <c r="F45" s="209">
        <f t="shared" si="146"/>
        <v>0</v>
      </c>
      <c r="G45" s="209">
        <f t="shared" si="146"/>
        <v>0</v>
      </c>
      <c r="H45" s="209">
        <f t="shared" si="146"/>
        <v>0</v>
      </c>
      <c r="I45" s="209">
        <f t="shared" si="146"/>
        <v>0</v>
      </c>
      <c r="J45" s="209">
        <f t="shared" si="146"/>
        <v>0</v>
      </c>
      <c r="K45" s="209">
        <f t="shared" si="146"/>
        <v>0</v>
      </c>
      <c r="L45" s="209">
        <f t="shared" si="146"/>
        <v>0</v>
      </c>
      <c r="M45" s="209">
        <f t="shared" si="146"/>
        <v>0</v>
      </c>
      <c r="N45" s="209">
        <f t="shared" si="146"/>
        <v>0</v>
      </c>
      <c r="O45" s="209">
        <f t="shared" si="146"/>
        <v>0</v>
      </c>
      <c r="P45" s="209">
        <f t="shared" si="146"/>
        <v>0</v>
      </c>
      <c r="Q45" s="209">
        <f t="shared" si="146"/>
        <v>0</v>
      </c>
      <c r="R45" s="209">
        <f t="shared" si="146"/>
        <v>0</v>
      </c>
      <c r="S45" s="209">
        <f t="shared" si="146"/>
        <v>0</v>
      </c>
      <c r="T45" s="209">
        <f t="shared" si="146"/>
        <v>0</v>
      </c>
      <c r="U45" s="209">
        <f t="shared" si="146"/>
        <v>0</v>
      </c>
      <c r="V45" s="209">
        <f t="shared" si="146"/>
        <v>0</v>
      </c>
      <c r="W45" s="209">
        <f t="shared" si="146"/>
        <v>0</v>
      </c>
      <c r="X45" s="209">
        <f t="shared" si="146"/>
        <v>0</v>
      </c>
      <c r="Y45" s="209">
        <f t="shared" si="146"/>
        <v>0</v>
      </c>
      <c r="Z45" s="209">
        <f t="shared" si="146"/>
        <v>0</v>
      </c>
      <c r="AA45" s="209">
        <f t="shared" si="146"/>
        <v>0</v>
      </c>
      <c r="AB45" s="209">
        <f t="shared" si="146"/>
        <v>0</v>
      </c>
      <c r="AC45" s="209">
        <f t="shared" si="146"/>
        <v>0</v>
      </c>
      <c r="AD45" s="209">
        <f t="shared" si="146"/>
        <v>0</v>
      </c>
      <c r="AE45" s="209">
        <f t="shared" si="146"/>
        <v>0</v>
      </c>
      <c r="AF45" s="209">
        <f t="shared" si="146"/>
        <v>0</v>
      </c>
      <c r="AG45" s="209">
        <f t="shared" si="146"/>
        <v>0</v>
      </c>
      <c r="AH45" s="209">
        <f t="shared" si="146"/>
        <v>0</v>
      </c>
      <c r="AI45" s="209"/>
      <c r="AJ45" s="209">
        <f t="shared" ref="AJ45:BN45" si="147">AJ17*$EF45*1000</f>
        <v>0</v>
      </c>
      <c r="AK45" s="209">
        <f t="shared" si="147"/>
        <v>0</v>
      </c>
      <c r="AL45" s="209">
        <f t="shared" si="147"/>
        <v>0</v>
      </c>
      <c r="AM45" s="209">
        <f t="shared" si="147"/>
        <v>0</v>
      </c>
      <c r="AN45" s="209">
        <f t="shared" si="147"/>
        <v>0</v>
      </c>
      <c r="AO45" s="209">
        <f t="shared" si="147"/>
        <v>0</v>
      </c>
      <c r="AP45" s="209">
        <f t="shared" si="147"/>
        <v>0</v>
      </c>
      <c r="AQ45" s="209">
        <f t="shared" si="147"/>
        <v>0</v>
      </c>
      <c r="AR45" s="209">
        <f t="shared" si="147"/>
        <v>0</v>
      </c>
      <c r="AS45" s="209">
        <f t="shared" si="147"/>
        <v>0</v>
      </c>
      <c r="AT45" s="209">
        <f t="shared" si="147"/>
        <v>0</v>
      </c>
      <c r="AU45" s="209">
        <f t="shared" si="147"/>
        <v>0</v>
      </c>
      <c r="AV45" s="209">
        <f t="shared" si="147"/>
        <v>0</v>
      </c>
      <c r="AW45" s="209">
        <f t="shared" si="147"/>
        <v>0</v>
      </c>
      <c r="AX45" s="209">
        <f t="shared" si="147"/>
        <v>0</v>
      </c>
      <c r="AY45" s="209">
        <f t="shared" si="147"/>
        <v>0</v>
      </c>
      <c r="AZ45" s="209">
        <f t="shared" si="147"/>
        <v>0</v>
      </c>
      <c r="BA45" s="209">
        <f t="shared" si="147"/>
        <v>0</v>
      </c>
      <c r="BB45" s="209">
        <f t="shared" si="147"/>
        <v>0</v>
      </c>
      <c r="BC45" s="209">
        <f t="shared" si="147"/>
        <v>0</v>
      </c>
      <c r="BD45" s="209">
        <f t="shared" si="147"/>
        <v>0</v>
      </c>
      <c r="BE45" s="209">
        <f t="shared" si="147"/>
        <v>0</v>
      </c>
      <c r="BF45" s="209">
        <f t="shared" si="147"/>
        <v>0</v>
      </c>
      <c r="BG45" s="209">
        <f t="shared" si="147"/>
        <v>0</v>
      </c>
      <c r="BH45" s="209">
        <f t="shared" si="147"/>
        <v>0</v>
      </c>
      <c r="BI45" s="209">
        <f t="shared" si="147"/>
        <v>0</v>
      </c>
      <c r="BJ45" s="209">
        <f t="shared" si="147"/>
        <v>0</v>
      </c>
      <c r="BK45" s="209">
        <f t="shared" si="147"/>
        <v>0</v>
      </c>
      <c r="BL45" s="209">
        <f t="shared" si="147"/>
        <v>0</v>
      </c>
      <c r="BM45" s="209">
        <f t="shared" si="147"/>
        <v>0</v>
      </c>
      <c r="BN45" s="209">
        <f t="shared" si="147"/>
        <v>0</v>
      </c>
      <c r="BO45" s="209">
        <f>SUM(BN49:BN50)</f>
        <v>738421.64015952009</v>
      </c>
      <c r="BP45" s="209">
        <f t="shared" ref="BP45:CT45" si="148">BP17*$EF45*1000</f>
        <v>0</v>
      </c>
      <c r="BQ45" s="209">
        <f t="shared" si="148"/>
        <v>0</v>
      </c>
      <c r="BR45" s="209">
        <f t="shared" si="148"/>
        <v>0</v>
      </c>
      <c r="BS45" s="209">
        <f t="shared" si="148"/>
        <v>0</v>
      </c>
      <c r="BT45" s="209">
        <f t="shared" si="148"/>
        <v>0</v>
      </c>
      <c r="BU45" s="209">
        <f t="shared" si="148"/>
        <v>0</v>
      </c>
      <c r="BV45" s="209">
        <f t="shared" si="148"/>
        <v>0</v>
      </c>
      <c r="BW45" s="209">
        <f t="shared" si="148"/>
        <v>0</v>
      </c>
      <c r="BX45" s="209">
        <f t="shared" si="148"/>
        <v>0</v>
      </c>
      <c r="BY45" s="209">
        <f t="shared" si="148"/>
        <v>0</v>
      </c>
      <c r="BZ45" s="209">
        <f t="shared" si="148"/>
        <v>0</v>
      </c>
      <c r="CA45" s="209">
        <f t="shared" si="148"/>
        <v>0</v>
      </c>
      <c r="CB45" s="209">
        <f t="shared" si="148"/>
        <v>0</v>
      </c>
      <c r="CC45" s="209">
        <f t="shared" si="148"/>
        <v>0</v>
      </c>
      <c r="CD45" s="209">
        <f t="shared" si="148"/>
        <v>0</v>
      </c>
      <c r="CE45" s="209">
        <f t="shared" si="148"/>
        <v>0</v>
      </c>
      <c r="CF45" s="209">
        <f t="shared" si="148"/>
        <v>0</v>
      </c>
      <c r="CG45" s="209">
        <f t="shared" si="148"/>
        <v>0</v>
      </c>
      <c r="CH45" s="209">
        <f t="shared" si="148"/>
        <v>0</v>
      </c>
      <c r="CI45" s="209">
        <f t="shared" si="148"/>
        <v>0</v>
      </c>
      <c r="CJ45" s="209">
        <f t="shared" si="148"/>
        <v>0</v>
      </c>
      <c r="CK45" s="209">
        <f t="shared" si="148"/>
        <v>0</v>
      </c>
      <c r="CL45" s="209">
        <f t="shared" si="148"/>
        <v>0</v>
      </c>
      <c r="CM45" s="209">
        <f t="shared" si="148"/>
        <v>0</v>
      </c>
      <c r="CN45" s="209">
        <f t="shared" si="148"/>
        <v>0</v>
      </c>
      <c r="CO45" s="209">
        <f t="shared" si="148"/>
        <v>0</v>
      </c>
      <c r="CP45" s="209">
        <f t="shared" si="148"/>
        <v>0</v>
      </c>
      <c r="CQ45" s="209">
        <f t="shared" si="148"/>
        <v>0</v>
      </c>
      <c r="CR45" s="209">
        <f t="shared" si="148"/>
        <v>0</v>
      </c>
      <c r="CS45" s="209">
        <f t="shared" si="148"/>
        <v>0</v>
      </c>
      <c r="CT45" s="209">
        <f t="shared" si="148"/>
        <v>0</v>
      </c>
      <c r="CU45" s="209">
        <f>SUM(CT49:CT50)</f>
        <v>149475.73707545179</v>
      </c>
      <c r="CV45" s="209">
        <f t="shared" ref="CV45:DZ45" si="149">CV17*$EF45*1000</f>
        <v>0</v>
      </c>
      <c r="CW45" s="209">
        <f t="shared" si="149"/>
        <v>0</v>
      </c>
      <c r="CX45" s="209">
        <f t="shared" si="149"/>
        <v>0</v>
      </c>
      <c r="CY45" s="209">
        <f t="shared" si="149"/>
        <v>0</v>
      </c>
      <c r="CZ45" s="209">
        <f t="shared" si="149"/>
        <v>0</v>
      </c>
      <c r="DA45" s="209">
        <f t="shared" si="149"/>
        <v>0</v>
      </c>
      <c r="DB45" s="209">
        <f t="shared" si="149"/>
        <v>0</v>
      </c>
      <c r="DC45" s="209">
        <f t="shared" si="149"/>
        <v>0</v>
      </c>
      <c r="DD45" s="209">
        <f t="shared" si="149"/>
        <v>0</v>
      </c>
      <c r="DE45" s="209">
        <f t="shared" si="149"/>
        <v>0</v>
      </c>
      <c r="DF45" s="209">
        <f t="shared" si="149"/>
        <v>0</v>
      </c>
      <c r="DG45" s="209">
        <f t="shared" si="149"/>
        <v>0</v>
      </c>
      <c r="DH45" s="209">
        <f t="shared" si="149"/>
        <v>0</v>
      </c>
      <c r="DI45" s="209">
        <f t="shared" si="149"/>
        <v>0</v>
      </c>
      <c r="DJ45" s="209">
        <f t="shared" si="149"/>
        <v>0</v>
      </c>
      <c r="DK45" s="209">
        <f t="shared" si="149"/>
        <v>0</v>
      </c>
      <c r="DL45" s="209">
        <f t="shared" si="149"/>
        <v>0</v>
      </c>
      <c r="DM45" s="209">
        <f t="shared" si="149"/>
        <v>0</v>
      </c>
      <c r="DN45" s="209">
        <f t="shared" si="149"/>
        <v>0</v>
      </c>
      <c r="DO45" s="209">
        <f t="shared" si="149"/>
        <v>0</v>
      </c>
      <c r="DP45" s="209">
        <f t="shared" si="149"/>
        <v>0</v>
      </c>
      <c r="DQ45" s="209">
        <f t="shared" si="149"/>
        <v>0</v>
      </c>
      <c r="DR45" s="209">
        <f t="shared" si="149"/>
        <v>0</v>
      </c>
      <c r="DS45" s="209">
        <f t="shared" si="149"/>
        <v>0</v>
      </c>
      <c r="DT45" s="209">
        <f t="shared" si="149"/>
        <v>0</v>
      </c>
      <c r="DU45" s="209">
        <f t="shared" si="149"/>
        <v>0</v>
      </c>
      <c r="DV45" s="209">
        <f t="shared" si="149"/>
        <v>0</v>
      </c>
      <c r="DW45" s="209">
        <f t="shared" si="149"/>
        <v>0</v>
      </c>
      <c r="DX45" s="209">
        <f t="shared" si="149"/>
        <v>0</v>
      </c>
      <c r="DY45" s="209">
        <f t="shared" si="149"/>
        <v>0</v>
      </c>
      <c r="DZ45" s="209">
        <f t="shared" si="149"/>
        <v>0</v>
      </c>
      <c r="EF45" s="585">
        <f>AVERAGE(5.6,13.3)</f>
        <v>9.4499999999999993</v>
      </c>
      <c r="EH45" s="209">
        <f>SUM(AJ49:AJ50)</f>
        <v>90947.0010914905</v>
      </c>
      <c r="EI45" s="26">
        <f>CU45</f>
        <v>149475.73707545179</v>
      </c>
      <c r="EJ45" s="85">
        <f>BO45</f>
        <v>738421.64015952009</v>
      </c>
      <c r="EK45" s="85">
        <f>EJ45</f>
        <v>738421.64015952009</v>
      </c>
      <c r="EM45" t="s">
        <v>99</v>
      </c>
      <c r="EP45" t="s">
        <v>19</v>
      </c>
    </row>
    <row r="46" spans="1:147">
      <c r="A46" s="1"/>
      <c r="B46" t="str">
        <f t="shared" si="109"/>
        <v>Apparel - substitution</v>
      </c>
      <c r="C46" s="54" t="s">
        <v>97</v>
      </c>
      <c r="D46" s="209">
        <f t="shared" si="104"/>
        <v>0</v>
      </c>
      <c r="E46" s="209">
        <f t="shared" ref="E46:AH46" si="150">E18*$EF46*1000</f>
        <v>0</v>
      </c>
      <c r="F46" s="209">
        <f t="shared" si="150"/>
        <v>0</v>
      </c>
      <c r="G46" s="209">
        <f t="shared" si="150"/>
        <v>0</v>
      </c>
      <c r="H46" s="209">
        <f t="shared" si="150"/>
        <v>0</v>
      </c>
      <c r="I46" s="209">
        <f t="shared" si="150"/>
        <v>0</v>
      </c>
      <c r="J46" s="209">
        <f t="shared" si="150"/>
        <v>0</v>
      </c>
      <c r="K46" s="209">
        <f t="shared" si="150"/>
        <v>0</v>
      </c>
      <c r="L46" s="209">
        <f t="shared" si="150"/>
        <v>0</v>
      </c>
      <c r="M46" s="209">
        <f t="shared" si="150"/>
        <v>0</v>
      </c>
      <c r="N46" s="209">
        <f t="shared" si="150"/>
        <v>0</v>
      </c>
      <c r="O46" s="209">
        <f t="shared" si="150"/>
        <v>0</v>
      </c>
      <c r="P46" s="209">
        <f t="shared" si="150"/>
        <v>0</v>
      </c>
      <c r="Q46" s="209">
        <f t="shared" si="150"/>
        <v>0</v>
      </c>
      <c r="R46" s="209">
        <f t="shared" si="150"/>
        <v>0</v>
      </c>
      <c r="S46" s="209">
        <f t="shared" si="150"/>
        <v>0</v>
      </c>
      <c r="T46" s="209">
        <f t="shared" si="150"/>
        <v>0</v>
      </c>
      <c r="U46" s="209">
        <f t="shared" si="150"/>
        <v>0</v>
      </c>
      <c r="V46" s="209">
        <f t="shared" si="150"/>
        <v>0</v>
      </c>
      <c r="W46" s="209">
        <f t="shared" si="150"/>
        <v>0</v>
      </c>
      <c r="X46" s="209">
        <f t="shared" si="150"/>
        <v>0</v>
      </c>
      <c r="Y46" s="209">
        <f t="shared" si="150"/>
        <v>0</v>
      </c>
      <c r="Z46" s="209">
        <f t="shared" si="150"/>
        <v>0</v>
      </c>
      <c r="AA46" s="209">
        <f t="shared" si="150"/>
        <v>0</v>
      </c>
      <c r="AB46" s="209">
        <f t="shared" si="150"/>
        <v>0</v>
      </c>
      <c r="AC46" s="209">
        <f t="shared" si="150"/>
        <v>0</v>
      </c>
      <c r="AD46" s="209">
        <f t="shared" si="150"/>
        <v>0</v>
      </c>
      <c r="AE46" s="209">
        <f t="shared" si="150"/>
        <v>0</v>
      </c>
      <c r="AF46" s="209">
        <f t="shared" si="150"/>
        <v>0</v>
      </c>
      <c r="AG46" s="209">
        <f t="shared" si="150"/>
        <v>0</v>
      </c>
      <c r="AH46" s="209">
        <f t="shared" si="150"/>
        <v>0</v>
      </c>
      <c r="AI46" s="209"/>
      <c r="AJ46" s="209">
        <f t="shared" ref="AJ46:BN46" si="151">AJ18*$EF46*1000</f>
        <v>0</v>
      </c>
      <c r="AK46" s="209">
        <f t="shared" si="151"/>
        <v>0</v>
      </c>
      <c r="AL46" s="209">
        <f t="shared" si="151"/>
        <v>0</v>
      </c>
      <c r="AM46" s="209">
        <f t="shared" si="151"/>
        <v>0</v>
      </c>
      <c r="AN46" s="209">
        <f t="shared" si="151"/>
        <v>0</v>
      </c>
      <c r="AO46" s="209">
        <f t="shared" si="151"/>
        <v>0</v>
      </c>
      <c r="AP46" s="209">
        <f t="shared" si="151"/>
        <v>0</v>
      </c>
      <c r="AQ46" s="209">
        <f t="shared" si="151"/>
        <v>0</v>
      </c>
      <c r="AR46" s="209">
        <f t="shared" si="151"/>
        <v>0</v>
      </c>
      <c r="AS46" s="209">
        <f t="shared" si="151"/>
        <v>0</v>
      </c>
      <c r="AT46" s="209">
        <f t="shared" si="151"/>
        <v>0</v>
      </c>
      <c r="AU46" s="209">
        <f t="shared" si="151"/>
        <v>0</v>
      </c>
      <c r="AV46" s="209">
        <f t="shared" si="151"/>
        <v>0</v>
      </c>
      <c r="AW46" s="209">
        <f t="shared" si="151"/>
        <v>0</v>
      </c>
      <c r="AX46" s="209">
        <f t="shared" si="151"/>
        <v>0</v>
      </c>
      <c r="AY46" s="209">
        <f t="shared" si="151"/>
        <v>0</v>
      </c>
      <c r="AZ46" s="209">
        <f t="shared" si="151"/>
        <v>0</v>
      </c>
      <c r="BA46" s="209">
        <f t="shared" si="151"/>
        <v>0</v>
      </c>
      <c r="BB46" s="209">
        <f t="shared" si="151"/>
        <v>0</v>
      </c>
      <c r="BC46" s="209">
        <f t="shared" si="151"/>
        <v>0</v>
      </c>
      <c r="BD46" s="209">
        <f t="shared" si="151"/>
        <v>0</v>
      </c>
      <c r="BE46" s="209">
        <f t="shared" si="151"/>
        <v>0</v>
      </c>
      <c r="BF46" s="209">
        <f t="shared" si="151"/>
        <v>0</v>
      </c>
      <c r="BG46" s="209">
        <f t="shared" si="151"/>
        <v>0</v>
      </c>
      <c r="BH46" s="209">
        <f t="shared" si="151"/>
        <v>0</v>
      </c>
      <c r="BI46" s="209">
        <f t="shared" si="151"/>
        <v>0</v>
      </c>
      <c r="BJ46" s="209">
        <f t="shared" si="151"/>
        <v>0</v>
      </c>
      <c r="BK46" s="209">
        <f t="shared" si="151"/>
        <v>0</v>
      </c>
      <c r="BL46" s="209">
        <f t="shared" si="151"/>
        <v>0</v>
      </c>
      <c r="BM46" s="209">
        <f t="shared" si="151"/>
        <v>0</v>
      </c>
      <c r="BN46" s="209">
        <f t="shared" si="151"/>
        <v>0</v>
      </c>
      <c r="BO46" s="209">
        <f>SUM(BN51:BN53)</f>
        <v>2135883.5612072907</v>
      </c>
      <c r="BP46" s="209">
        <f t="shared" ref="BP46:CT46" si="152">BP18*$EF46*1000</f>
        <v>0</v>
      </c>
      <c r="BQ46" s="209">
        <f t="shared" si="152"/>
        <v>0</v>
      </c>
      <c r="BR46" s="209">
        <f t="shared" si="152"/>
        <v>0</v>
      </c>
      <c r="BS46" s="209">
        <f t="shared" si="152"/>
        <v>0</v>
      </c>
      <c r="BT46" s="209">
        <f t="shared" si="152"/>
        <v>0</v>
      </c>
      <c r="BU46" s="209">
        <f t="shared" si="152"/>
        <v>0</v>
      </c>
      <c r="BV46" s="209">
        <f t="shared" si="152"/>
        <v>0</v>
      </c>
      <c r="BW46" s="209">
        <f t="shared" si="152"/>
        <v>0</v>
      </c>
      <c r="BX46" s="209">
        <f t="shared" si="152"/>
        <v>0</v>
      </c>
      <c r="BY46" s="209">
        <f t="shared" si="152"/>
        <v>0</v>
      </c>
      <c r="BZ46" s="209">
        <f t="shared" si="152"/>
        <v>0</v>
      </c>
      <c r="CA46" s="209">
        <f t="shared" si="152"/>
        <v>0</v>
      </c>
      <c r="CB46" s="209">
        <f t="shared" si="152"/>
        <v>0</v>
      </c>
      <c r="CC46" s="209">
        <f t="shared" si="152"/>
        <v>0</v>
      </c>
      <c r="CD46" s="209">
        <f t="shared" si="152"/>
        <v>0</v>
      </c>
      <c r="CE46" s="209">
        <f t="shared" si="152"/>
        <v>0</v>
      </c>
      <c r="CF46" s="209">
        <f t="shared" si="152"/>
        <v>0</v>
      </c>
      <c r="CG46" s="209">
        <f t="shared" si="152"/>
        <v>0</v>
      </c>
      <c r="CH46" s="209">
        <f t="shared" si="152"/>
        <v>0</v>
      </c>
      <c r="CI46" s="209">
        <f t="shared" si="152"/>
        <v>0</v>
      </c>
      <c r="CJ46" s="209">
        <f t="shared" si="152"/>
        <v>0</v>
      </c>
      <c r="CK46" s="209">
        <f t="shared" si="152"/>
        <v>0</v>
      </c>
      <c r="CL46" s="209">
        <f t="shared" si="152"/>
        <v>0</v>
      </c>
      <c r="CM46" s="209">
        <f t="shared" si="152"/>
        <v>0</v>
      </c>
      <c r="CN46" s="209">
        <f t="shared" si="152"/>
        <v>0</v>
      </c>
      <c r="CO46" s="209">
        <f t="shared" si="152"/>
        <v>0</v>
      </c>
      <c r="CP46" s="209">
        <f t="shared" si="152"/>
        <v>0</v>
      </c>
      <c r="CQ46" s="209">
        <f t="shared" si="152"/>
        <v>0</v>
      </c>
      <c r="CR46" s="209">
        <f t="shared" si="152"/>
        <v>0</v>
      </c>
      <c r="CS46" s="209">
        <f t="shared" si="152"/>
        <v>0</v>
      </c>
      <c r="CT46" s="209">
        <f t="shared" si="152"/>
        <v>0</v>
      </c>
      <c r="CU46" s="209">
        <f>SUM(CT51:CT53)</f>
        <v>1582598.1518187628</v>
      </c>
      <c r="CV46" s="209">
        <f t="shared" ref="CV46:DZ46" si="153">CV18*$EF46*1000</f>
        <v>0</v>
      </c>
      <c r="CW46" s="209">
        <f t="shared" si="153"/>
        <v>0</v>
      </c>
      <c r="CX46" s="209">
        <f t="shared" si="153"/>
        <v>0</v>
      </c>
      <c r="CY46" s="209">
        <f t="shared" si="153"/>
        <v>0</v>
      </c>
      <c r="CZ46" s="209">
        <f t="shared" si="153"/>
        <v>0</v>
      </c>
      <c r="DA46" s="209">
        <f t="shared" si="153"/>
        <v>0</v>
      </c>
      <c r="DB46" s="209">
        <f t="shared" si="153"/>
        <v>0</v>
      </c>
      <c r="DC46" s="209">
        <f t="shared" si="153"/>
        <v>0</v>
      </c>
      <c r="DD46" s="209">
        <f t="shared" si="153"/>
        <v>0</v>
      </c>
      <c r="DE46" s="209">
        <f t="shared" si="153"/>
        <v>0</v>
      </c>
      <c r="DF46" s="209">
        <f t="shared" si="153"/>
        <v>0</v>
      </c>
      <c r="DG46" s="209">
        <f t="shared" si="153"/>
        <v>0</v>
      </c>
      <c r="DH46" s="209">
        <f t="shared" si="153"/>
        <v>0</v>
      </c>
      <c r="DI46" s="209">
        <f t="shared" si="153"/>
        <v>0</v>
      </c>
      <c r="DJ46" s="209">
        <f t="shared" si="153"/>
        <v>0</v>
      </c>
      <c r="DK46" s="209">
        <f t="shared" si="153"/>
        <v>0</v>
      </c>
      <c r="DL46" s="209">
        <f t="shared" si="153"/>
        <v>0</v>
      </c>
      <c r="DM46" s="209">
        <f t="shared" si="153"/>
        <v>0</v>
      </c>
      <c r="DN46" s="209">
        <f t="shared" si="153"/>
        <v>0</v>
      </c>
      <c r="DO46" s="209">
        <f t="shared" si="153"/>
        <v>0</v>
      </c>
      <c r="DP46" s="209">
        <f t="shared" si="153"/>
        <v>0</v>
      </c>
      <c r="DQ46" s="209">
        <f t="shared" si="153"/>
        <v>0</v>
      </c>
      <c r="DR46" s="209">
        <f t="shared" si="153"/>
        <v>0</v>
      </c>
      <c r="DS46" s="209">
        <f t="shared" si="153"/>
        <v>0</v>
      </c>
      <c r="DT46" s="209">
        <f t="shared" si="153"/>
        <v>0</v>
      </c>
      <c r="DU46" s="209">
        <f t="shared" si="153"/>
        <v>0</v>
      </c>
      <c r="DV46" s="209">
        <f t="shared" si="153"/>
        <v>0</v>
      </c>
      <c r="DW46" s="209">
        <f t="shared" si="153"/>
        <v>0</v>
      </c>
      <c r="DX46" s="209">
        <f t="shared" si="153"/>
        <v>0</v>
      </c>
      <c r="DY46" s="209">
        <f t="shared" si="153"/>
        <v>0</v>
      </c>
      <c r="DZ46" s="209">
        <f t="shared" si="153"/>
        <v>0</v>
      </c>
      <c r="EF46" s="51">
        <v>18.5</v>
      </c>
      <c r="EH46" s="209">
        <f>SUM(AJ51:AJ53)</f>
        <v>1137950.7748845285</v>
      </c>
      <c r="EI46" s="26">
        <f t="shared" ref="EI46:EI47" si="154">CU46</f>
        <v>1582598.1518187628</v>
      </c>
      <c r="EJ46" s="85">
        <f t="shared" ref="EJ46:EJ47" si="155">BO46</f>
        <v>2135883.5612072907</v>
      </c>
      <c r="EK46" s="85">
        <f t="shared" ref="EK46:EK47" si="156">EJ46</f>
        <v>2135883.5612072907</v>
      </c>
      <c r="EM46" t="s">
        <v>99</v>
      </c>
      <c r="EQ46" t="s">
        <v>100</v>
      </c>
    </row>
    <row r="47" spans="1:147">
      <c r="A47" s="1"/>
      <c r="B47" t="str">
        <f t="shared" si="109"/>
        <v>Others Reduction</v>
      </c>
      <c r="C47" s="54" t="s">
        <v>97</v>
      </c>
      <c r="D47" s="209">
        <f t="shared" si="104"/>
        <v>0</v>
      </c>
      <c r="E47" s="209">
        <f t="shared" ref="E47:AH47" si="157">E19*$EF47*1000</f>
        <v>0</v>
      </c>
      <c r="F47" s="209">
        <f t="shared" si="157"/>
        <v>0</v>
      </c>
      <c r="G47" s="209">
        <f t="shared" si="157"/>
        <v>0</v>
      </c>
      <c r="H47" s="209">
        <f t="shared" si="157"/>
        <v>0</v>
      </c>
      <c r="I47" s="209">
        <f t="shared" si="157"/>
        <v>0</v>
      </c>
      <c r="J47" s="209">
        <f t="shared" si="157"/>
        <v>0</v>
      </c>
      <c r="K47" s="209">
        <f t="shared" si="157"/>
        <v>0</v>
      </c>
      <c r="L47" s="209">
        <f t="shared" si="157"/>
        <v>0</v>
      </c>
      <c r="M47" s="209">
        <f t="shared" si="157"/>
        <v>0</v>
      </c>
      <c r="N47" s="209">
        <f t="shared" si="157"/>
        <v>0</v>
      </c>
      <c r="O47" s="209">
        <f t="shared" si="157"/>
        <v>0</v>
      </c>
      <c r="P47" s="209">
        <f t="shared" si="157"/>
        <v>0</v>
      </c>
      <c r="Q47" s="209">
        <f t="shared" si="157"/>
        <v>0</v>
      </c>
      <c r="R47" s="209">
        <f t="shared" si="157"/>
        <v>0</v>
      </c>
      <c r="S47" s="209">
        <f t="shared" si="157"/>
        <v>0</v>
      </c>
      <c r="T47" s="209">
        <f t="shared" si="157"/>
        <v>0</v>
      </c>
      <c r="U47" s="209">
        <f t="shared" si="157"/>
        <v>0</v>
      </c>
      <c r="V47" s="209">
        <f t="shared" si="157"/>
        <v>0</v>
      </c>
      <c r="W47" s="209">
        <f t="shared" si="157"/>
        <v>0</v>
      </c>
      <c r="X47" s="209">
        <f t="shared" si="157"/>
        <v>0</v>
      </c>
      <c r="Y47" s="209">
        <f t="shared" si="157"/>
        <v>0</v>
      </c>
      <c r="Z47" s="209">
        <f t="shared" si="157"/>
        <v>0</v>
      </c>
      <c r="AA47" s="209">
        <f t="shared" si="157"/>
        <v>0</v>
      </c>
      <c r="AB47" s="209">
        <f t="shared" si="157"/>
        <v>0</v>
      </c>
      <c r="AC47" s="209">
        <f t="shared" si="157"/>
        <v>0</v>
      </c>
      <c r="AD47" s="209">
        <f t="shared" si="157"/>
        <v>0</v>
      </c>
      <c r="AE47" s="209">
        <f t="shared" si="157"/>
        <v>0</v>
      </c>
      <c r="AF47" s="209">
        <f t="shared" si="157"/>
        <v>0</v>
      </c>
      <c r="AG47" s="209">
        <f t="shared" si="157"/>
        <v>0</v>
      </c>
      <c r="AH47" s="209">
        <f t="shared" si="157"/>
        <v>0</v>
      </c>
      <c r="AI47" s="209"/>
      <c r="AJ47" s="209">
        <f t="shared" ref="AJ47:BN47" si="158">AJ19*$EF47*1000</f>
        <v>0</v>
      </c>
      <c r="AK47" s="209">
        <f t="shared" si="158"/>
        <v>0</v>
      </c>
      <c r="AL47" s="209">
        <f t="shared" si="158"/>
        <v>0</v>
      </c>
      <c r="AM47" s="209">
        <f t="shared" si="158"/>
        <v>0</v>
      </c>
      <c r="AN47" s="209">
        <f t="shared" si="158"/>
        <v>0</v>
      </c>
      <c r="AO47" s="209">
        <f t="shared" si="158"/>
        <v>0</v>
      </c>
      <c r="AP47" s="209">
        <f t="shared" si="158"/>
        <v>0</v>
      </c>
      <c r="AQ47" s="209">
        <f t="shared" si="158"/>
        <v>0</v>
      </c>
      <c r="AR47" s="209">
        <f t="shared" si="158"/>
        <v>0</v>
      </c>
      <c r="AS47" s="209">
        <f t="shared" si="158"/>
        <v>0</v>
      </c>
      <c r="AT47" s="209">
        <f t="shared" si="158"/>
        <v>0</v>
      </c>
      <c r="AU47" s="209">
        <f t="shared" si="158"/>
        <v>0</v>
      </c>
      <c r="AV47" s="209">
        <f t="shared" si="158"/>
        <v>0</v>
      </c>
      <c r="AW47" s="209">
        <f t="shared" si="158"/>
        <v>0</v>
      </c>
      <c r="AX47" s="209">
        <f t="shared" si="158"/>
        <v>0</v>
      </c>
      <c r="AY47" s="209">
        <f t="shared" si="158"/>
        <v>0</v>
      </c>
      <c r="AZ47" s="209">
        <f t="shared" si="158"/>
        <v>0</v>
      </c>
      <c r="BA47" s="209">
        <f t="shared" si="158"/>
        <v>0</v>
      </c>
      <c r="BB47" s="209">
        <f t="shared" si="158"/>
        <v>0</v>
      </c>
      <c r="BC47" s="209">
        <f t="shared" si="158"/>
        <v>0</v>
      </c>
      <c r="BD47" s="209">
        <f t="shared" si="158"/>
        <v>0</v>
      </c>
      <c r="BE47" s="209">
        <f t="shared" si="158"/>
        <v>0</v>
      </c>
      <c r="BF47" s="209">
        <f t="shared" si="158"/>
        <v>0</v>
      </c>
      <c r="BG47" s="209">
        <f t="shared" si="158"/>
        <v>0</v>
      </c>
      <c r="BH47" s="209">
        <f t="shared" si="158"/>
        <v>0</v>
      </c>
      <c r="BI47" s="209">
        <f t="shared" si="158"/>
        <v>0</v>
      </c>
      <c r="BJ47" s="209">
        <f t="shared" si="158"/>
        <v>0</v>
      </c>
      <c r="BK47" s="209">
        <f t="shared" si="158"/>
        <v>0</v>
      </c>
      <c r="BL47" s="209">
        <f t="shared" si="158"/>
        <v>0</v>
      </c>
      <c r="BM47" s="209">
        <f t="shared" si="158"/>
        <v>0</v>
      </c>
      <c r="BN47" s="209">
        <f t="shared" si="158"/>
        <v>0</v>
      </c>
      <c r="BO47" s="209">
        <f>SUM(BN37:BN48)</f>
        <v>0</v>
      </c>
      <c r="BP47" s="209">
        <f t="shared" ref="BP47:CT47" si="159">BP19*$EF47*1000</f>
        <v>0</v>
      </c>
      <c r="BQ47" s="209">
        <f t="shared" si="159"/>
        <v>0</v>
      </c>
      <c r="BR47" s="209">
        <f t="shared" si="159"/>
        <v>0</v>
      </c>
      <c r="BS47" s="209">
        <f t="shared" si="159"/>
        <v>0</v>
      </c>
      <c r="BT47" s="209">
        <f t="shared" si="159"/>
        <v>0</v>
      </c>
      <c r="BU47" s="209">
        <f t="shared" si="159"/>
        <v>0</v>
      </c>
      <c r="BV47" s="209">
        <f t="shared" si="159"/>
        <v>0</v>
      </c>
      <c r="BW47" s="209">
        <f t="shared" si="159"/>
        <v>0</v>
      </c>
      <c r="BX47" s="209">
        <f t="shared" si="159"/>
        <v>0</v>
      </c>
      <c r="BY47" s="209">
        <f t="shared" si="159"/>
        <v>0</v>
      </c>
      <c r="BZ47" s="209">
        <f t="shared" si="159"/>
        <v>0</v>
      </c>
      <c r="CA47" s="209">
        <f t="shared" si="159"/>
        <v>0</v>
      </c>
      <c r="CB47" s="209">
        <f t="shared" si="159"/>
        <v>0</v>
      </c>
      <c r="CC47" s="209">
        <f t="shared" si="159"/>
        <v>0</v>
      </c>
      <c r="CD47" s="209">
        <f t="shared" si="159"/>
        <v>0</v>
      </c>
      <c r="CE47" s="209">
        <f t="shared" si="159"/>
        <v>0</v>
      </c>
      <c r="CF47" s="209">
        <f t="shared" si="159"/>
        <v>0</v>
      </c>
      <c r="CG47" s="209">
        <f t="shared" si="159"/>
        <v>0</v>
      </c>
      <c r="CH47" s="209">
        <f t="shared" si="159"/>
        <v>0</v>
      </c>
      <c r="CI47" s="209">
        <f t="shared" si="159"/>
        <v>0</v>
      </c>
      <c r="CJ47" s="209">
        <f t="shared" si="159"/>
        <v>0</v>
      </c>
      <c r="CK47" s="209">
        <f t="shared" si="159"/>
        <v>0</v>
      </c>
      <c r="CL47" s="209">
        <f t="shared" si="159"/>
        <v>0</v>
      </c>
      <c r="CM47" s="209">
        <f t="shared" si="159"/>
        <v>0</v>
      </c>
      <c r="CN47" s="209">
        <f t="shared" si="159"/>
        <v>0</v>
      </c>
      <c r="CO47" s="209">
        <f t="shared" si="159"/>
        <v>0</v>
      </c>
      <c r="CP47" s="209">
        <f t="shared" si="159"/>
        <v>0</v>
      </c>
      <c r="CQ47" s="209">
        <f t="shared" si="159"/>
        <v>0</v>
      </c>
      <c r="CR47" s="209">
        <f t="shared" si="159"/>
        <v>0</v>
      </c>
      <c r="CS47" s="209">
        <f t="shared" si="159"/>
        <v>0</v>
      </c>
      <c r="CT47" s="209">
        <f t="shared" si="159"/>
        <v>0</v>
      </c>
      <c r="CU47" s="209">
        <f>SUM(CT37:CT48)</f>
        <v>0</v>
      </c>
      <c r="CV47" s="209">
        <f t="shared" ref="CV47:DZ47" si="160">CV19*$EF47*1000</f>
        <v>0</v>
      </c>
      <c r="CW47" s="209">
        <f t="shared" si="160"/>
        <v>0</v>
      </c>
      <c r="CX47" s="209">
        <f t="shared" si="160"/>
        <v>0</v>
      </c>
      <c r="CY47" s="209">
        <f t="shared" si="160"/>
        <v>0</v>
      </c>
      <c r="CZ47" s="209">
        <f t="shared" si="160"/>
        <v>0</v>
      </c>
      <c r="DA47" s="209">
        <f t="shared" si="160"/>
        <v>0</v>
      </c>
      <c r="DB47" s="209">
        <f t="shared" si="160"/>
        <v>0</v>
      </c>
      <c r="DC47" s="209">
        <f t="shared" si="160"/>
        <v>0</v>
      </c>
      <c r="DD47" s="209">
        <f t="shared" si="160"/>
        <v>0</v>
      </c>
      <c r="DE47" s="209">
        <f t="shared" si="160"/>
        <v>0</v>
      </c>
      <c r="DF47" s="209">
        <f t="shared" si="160"/>
        <v>0</v>
      </c>
      <c r="DG47" s="209">
        <f t="shared" si="160"/>
        <v>0</v>
      </c>
      <c r="DH47" s="209">
        <f t="shared" si="160"/>
        <v>0</v>
      </c>
      <c r="DI47" s="209">
        <f t="shared" si="160"/>
        <v>0</v>
      </c>
      <c r="DJ47" s="209">
        <f t="shared" si="160"/>
        <v>0</v>
      </c>
      <c r="DK47" s="209">
        <f t="shared" si="160"/>
        <v>0</v>
      </c>
      <c r="DL47" s="209">
        <f t="shared" si="160"/>
        <v>0</v>
      </c>
      <c r="DM47" s="209">
        <f t="shared" si="160"/>
        <v>0</v>
      </c>
      <c r="DN47" s="209">
        <f t="shared" si="160"/>
        <v>0</v>
      </c>
      <c r="DO47" s="209">
        <f t="shared" si="160"/>
        <v>0</v>
      </c>
      <c r="DP47" s="209">
        <f t="shared" si="160"/>
        <v>0</v>
      </c>
      <c r="DQ47" s="209">
        <f t="shared" si="160"/>
        <v>0</v>
      </c>
      <c r="DR47" s="209">
        <f t="shared" si="160"/>
        <v>0</v>
      </c>
      <c r="DS47" s="209">
        <f t="shared" si="160"/>
        <v>0</v>
      </c>
      <c r="DT47" s="209">
        <f t="shared" si="160"/>
        <v>0</v>
      </c>
      <c r="DU47" s="209">
        <f t="shared" si="160"/>
        <v>0</v>
      </c>
      <c r="DV47" s="209">
        <f t="shared" si="160"/>
        <v>0</v>
      </c>
      <c r="DW47" s="209">
        <f t="shared" si="160"/>
        <v>0</v>
      </c>
      <c r="DX47" s="209">
        <f t="shared" si="160"/>
        <v>0</v>
      </c>
      <c r="DY47" s="209">
        <f t="shared" si="160"/>
        <v>0</v>
      </c>
      <c r="DZ47" s="209">
        <f t="shared" si="160"/>
        <v>0</v>
      </c>
      <c r="EF47" s="51">
        <v>0</v>
      </c>
      <c r="EH47" s="209">
        <f>SUM(AJ37:AJ48)</f>
        <v>0</v>
      </c>
      <c r="EI47" s="26">
        <f t="shared" si="154"/>
        <v>0</v>
      </c>
      <c r="EJ47" s="85">
        <f t="shared" si="155"/>
        <v>0</v>
      </c>
      <c r="EK47" s="85">
        <f t="shared" si="156"/>
        <v>0</v>
      </c>
      <c r="EM47" t="s">
        <v>99</v>
      </c>
      <c r="EP47" t="s">
        <v>21</v>
      </c>
    </row>
    <row r="48" spans="1:147">
      <c r="A48" s="1"/>
      <c r="B48" t="str">
        <f t="shared" si="109"/>
        <v>Others Substitution</v>
      </c>
      <c r="C48" s="54" t="s">
        <v>97</v>
      </c>
      <c r="D48" s="209">
        <f t="shared" si="104"/>
        <v>0</v>
      </c>
      <c r="E48" s="209">
        <f t="shared" ref="E48:AH48" si="161">E20*$EF48*1000</f>
        <v>0</v>
      </c>
      <c r="F48" s="209">
        <f t="shared" si="161"/>
        <v>0</v>
      </c>
      <c r="G48" s="209">
        <f t="shared" si="161"/>
        <v>0</v>
      </c>
      <c r="H48" s="209">
        <f t="shared" si="161"/>
        <v>0</v>
      </c>
      <c r="I48" s="209">
        <f t="shared" si="161"/>
        <v>0</v>
      </c>
      <c r="J48" s="209">
        <f t="shared" si="161"/>
        <v>0</v>
      </c>
      <c r="K48" s="209">
        <f t="shared" si="161"/>
        <v>0</v>
      </c>
      <c r="L48" s="209">
        <f t="shared" si="161"/>
        <v>0</v>
      </c>
      <c r="M48" s="209">
        <f t="shared" si="161"/>
        <v>0</v>
      </c>
      <c r="N48" s="209">
        <f t="shared" si="161"/>
        <v>0</v>
      </c>
      <c r="O48" s="209">
        <f t="shared" si="161"/>
        <v>0</v>
      </c>
      <c r="P48" s="209">
        <f t="shared" si="161"/>
        <v>0</v>
      </c>
      <c r="Q48" s="209">
        <f t="shared" si="161"/>
        <v>0</v>
      </c>
      <c r="R48" s="209">
        <f t="shared" si="161"/>
        <v>0</v>
      </c>
      <c r="S48" s="209">
        <f t="shared" si="161"/>
        <v>0</v>
      </c>
      <c r="T48" s="209">
        <f t="shared" si="161"/>
        <v>0</v>
      </c>
      <c r="U48" s="209">
        <f t="shared" si="161"/>
        <v>0</v>
      </c>
      <c r="V48" s="209">
        <f t="shared" si="161"/>
        <v>0</v>
      </c>
      <c r="W48" s="209">
        <f t="shared" si="161"/>
        <v>0</v>
      </c>
      <c r="X48" s="209">
        <f t="shared" si="161"/>
        <v>0</v>
      </c>
      <c r="Y48" s="209">
        <f t="shared" si="161"/>
        <v>0</v>
      </c>
      <c r="Z48" s="209">
        <f t="shared" si="161"/>
        <v>0</v>
      </c>
      <c r="AA48" s="209">
        <f t="shared" si="161"/>
        <v>0</v>
      </c>
      <c r="AB48" s="209">
        <f t="shared" si="161"/>
        <v>0</v>
      </c>
      <c r="AC48" s="209">
        <f t="shared" si="161"/>
        <v>0</v>
      </c>
      <c r="AD48" s="209">
        <f t="shared" si="161"/>
        <v>0</v>
      </c>
      <c r="AE48" s="209">
        <f t="shared" si="161"/>
        <v>0</v>
      </c>
      <c r="AF48" s="209">
        <f t="shared" si="161"/>
        <v>0</v>
      </c>
      <c r="AG48" s="209">
        <f t="shared" si="161"/>
        <v>0</v>
      </c>
      <c r="AH48" s="209">
        <f t="shared" si="161"/>
        <v>0</v>
      </c>
      <c r="AI48" s="209"/>
      <c r="AJ48" s="209">
        <f t="shared" ref="AJ48:BN48" si="162">AJ20*$EF48*1000</f>
        <v>0</v>
      </c>
      <c r="AK48" s="209">
        <f t="shared" si="162"/>
        <v>0</v>
      </c>
      <c r="AL48" s="209">
        <f t="shared" si="162"/>
        <v>0</v>
      </c>
      <c r="AM48" s="209">
        <f t="shared" si="162"/>
        <v>0</v>
      </c>
      <c r="AN48" s="209">
        <f t="shared" si="162"/>
        <v>0</v>
      </c>
      <c r="AO48" s="209">
        <f t="shared" si="162"/>
        <v>0</v>
      </c>
      <c r="AP48" s="209">
        <f t="shared" si="162"/>
        <v>0</v>
      </c>
      <c r="AQ48" s="209">
        <f t="shared" si="162"/>
        <v>0</v>
      </c>
      <c r="AR48" s="209">
        <f t="shared" si="162"/>
        <v>0</v>
      </c>
      <c r="AS48" s="209">
        <f t="shared" si="162"/>
        <v>0</v>
      </c>
      <c r="AT48" s="209">
        <f t="shared" si="162"/>
        <v>0</v>
      </c>
      <c r="AU48" s="209">
        <f t="shared" si="162"/>
        <v>0</v>
      </c>
      <c r="AV48" s="209">
        <f t="shared" si="162"/>
        <v>0</v>
      </c>
      <c r="AW48" s="209">
        <f t="shared" si="162"/>
        <v>0</v>
      </c>
      <c r="AX48" s="209">
        <f t="shared" si="162"/>
        <v>0</v>
      </c>
      <c r="AY48" s="209">
        <f t="shared" si="162"/>
        <v>0</v>
      </c>
      <c r="AZ48" s="209">
        <f t="shared" si="162"/>
        <v>0</v>
      </c>
      <c r="BA48" s="209">
        <f t="shared" si="162"/>
        <v>0</v>
      </c>
      <c r="BB48" s="209">
        <f t="shared" si="162"/>
        <v>0</v>
      </c>
      <c r="BC48" s="209">
        <f t="shared" si="162"/>
        <v>0</v>
      </c>
      <c r="BD48" s="209">
        <f t="shared" si="162"/>
        <v>0</v>
      </c>
      <c r="BE48" s="209">
        <f t="shared" si="162"/>
        <v>0</v>
      </c>
      <c r="BF48" s="209">
        <f t="shared" si="162"/>
        <v>0</v>
      </c>
      <c r="BG48" s="209">
        <f t="shared" si="162"/>
        <v>0</v>
      </c>
      <c r="BH48" s="209">
        <f t="shared" si="162"/>
        <v>0</v>
      </c>
      <c r="BI48" s="209">
        <f t="shared" si="162"/>
        <v>0</v>
      </c>
      <c r="BJ48" s="209">
        <f t="shared" si="162"/>
        <v>0</v>
      </c>
      <c r="BK48" s="209">
        <f t="shared" si="162"/>
        <v>0</v>
      </c>
      <c r="BL48" s="209">
        <f t="shared" si="162"/>
        <v>0</v>
      </c>
      <c r="BM48" s="209">
        <f t="shared" si="162"/>
        <v>0</v>
      </c>
      <c r="BN48" s="209">
        <f t="shared" si="162"/>
        <v>0</v>
      </c>
      <c r="BO48" s="209"/>
      <c r="BP48" s="209">
        <f t="shared" ref="BP48:CT48" si="163">BP20*$EF48*1000</f>
        <v>0</v>
      </c>
      <c r="BQ48" s="209">
        <f t="shared" si="163"/>
        <v>0</v>
      </c>
      <c r="BR48" s="209">
        <f t="shared" si="163"/>
        <v>0</v>
      </c>
      <c r="BS48" s="209">
        <f t="shared" si="163"/>
        <v>0</v>
      </c>
      <c r="BT48" s="209">
        <f t="shared" si="163"/>
        <v>0</v>
      </c>
      <c r="BU48" s="209">
        <f t="shared" si="163"/>
        <v>0</v>
      </c>
      <c r="BV48" s="209">
        <f t="shared" si="163"/>
        <v>0</v>
      </c>
      <c r="BW48" s="209">
        <f t="shared" si="163"/>
        <v>0</v>
      </c>
      <c r="BX48" s="209">
        <f t="shared" si="163"/>
        <v>0</v>
      </c>
      <c r="BY48" s="209">
        <f t="shared" si="163"/>
        <v>0</v>
      </c>
      <c r="BZ48" s="209">
        <f t="shared" si="163"/>
        <v>0</v>
      </c>
      <c r="CA48" s="209">
        <f t="shared" si="163"/>
        <v>0</v>
      </c>
      <c r="CB48" s="209">
        <f t="shared" si="163"/>
        <v>0</v>
      </c>
      <c r="CC48" s="209">
        <f t="shared" si="163"/>
        <v>0</v>
      </c>
      <c r="CD48" s="209">
        <f t="shared" si="163"/>
        <v>0</v>
      </c>
      <c r="CE48" s="209">
        <f t="shared" si="163"/>
        <v>0</v>
      </c>
      <c r="CF48" s="209">
        <f t="shared" si="163"/>
        <v>0</v>
      </c>
      <c r="CG48" s="209">
        <f t="shared" si="163"/>
        <v>0</v>
      </c>
      <c r="CH48" s="209">
        <f t="shared" si="163"/>
        <v>0</v>
      </c>
      <c r="CI48" s="209">
        <f t="shared" si="163"/>
        <v>0</v>
      </c>
      <c r="CJ48" s="209">
        <f t="shared" si="163"/>
        <v>0</v>
      </c>
      <c r="CK48" s="209">
        <f t="shared" si="163"/>
        <v>0</v>
      </c>
      <c r="CL48" s="209">
        <f t="shared" si="163"/>
        <v>0</v>
      </c>
      <c r="CM48" s="209">
        <f t="shared" si="163"/>
        <v>0</v>
      </c>
      <c r="CN48" s="209">
        <f t="shared" si="163"/>
        <v>0</v>
      </c>
      <c r="CO48" s="209">
        <f t="shared" si="163"/>
        <v>0</v>
      </c>
      <c r="CP48" s="209">
        <f t="shared" si="163"/>
        <v>0</v>
      </c>
      <c r="CQ48" s="209">
        <f t="shared" si="163"/>
        <v>0</v>
      </c>
      <c r="CR48" s="209">
        <f t="shared" si="163"/>
        <v>0</v>
      </c>
      <c r="CS48" s="209">
        <f t="shared" si="163"/>
        <v>0</v>
      </c>
      <c r="CT48" s="209">
        <f t="shared" si="163"/>
        <v>0</v>
      </c>
      <c r="CU48" s="209"/>
      <c r="CV48" s="209">
        <f t="shared" ref="CV48:DZ48" si="164">CV20*$EF48*1000</f>
        <v>0</v>
      </c>
      <c r="CW48" s="209">
        <f t="shared" si="164"/>
        <v>0</v>
      </c>
      <c r="CX48" s="209">
        <f t="shared" si="164"/>
        <v>0</v>
      </c>
      <c r="CY48" s="209">
        <f t="shared" si="164"/>
        <v>0</v>
      </c>
      <c r="CZ48" s="209">
        <f t="shared" si="164"/>
        <v>0</v>
      </c>
      <c r="DA48" s="209">
        <f t="shared" si="164"/>
        <v>0</v>
      </c>
      <c r="DB48" s="209">
        <f t="shared" si="164"/>
        <v>0</v>
      </c>
      <c r="DC48" s="209">
        <f t="shared" si="164"/>
        <v>0</v>
      </c>
      <c r="DD48" s="209">
        <f t="shared" si="164"/>
        <v>0</v>
      </c>
      <c r="DE48" s="209">
        <f t="shared" si="164"/>
        <v>0</v>
      </c>
      <c r="DF48" s="209">
        <f t="shared" si="164"/>
        <v>0</v>
      </c>
      <c r="DG48" s="209">
        <f t="shared" si="164"/>
        <v>0</v>
      </c>
      <c r="DH48" s="209">
        <f t="shared" si="164"/>
        <v>0</v>
      </c>
      <c r="DI48" s="209">
        <f t="shared" si="164"/>
        <v>0</v>
      </c>
      <c r="DJ48" s="209">
        <f t="shared" si="164"/>
        <v>0</v>
      </c>
      <c r="DK48" s="209">
        <f t="shared" si="164"/>
        <v>0</v>
      </c>
      <c r="DL48" s="209">
        <f t="shared" si="164"/>
        <v>0</v>
      </c>
      <c r="DM48" s="209">
        <f t="shared" si="164"/>
        <v>0</v>
      </c>
      <c r="DN48" s="209">
        <f t="shared" si="164"/>
        <v>0</v>
      </c>
      <c r="DO48" s="209">
        <f t="shared" si="164"/>
        <v>0</v>
      </c>
      <c r="DP48" s="209">
        <f t="shared" si="164"/>
        <v>0</v>
      </c>
      <c r="DQ48" s="209">
        <f t="shared" si="164"/>
        <v>0</v>
      </c>
      <c r="DR48" s="209">
        <f t="shared" si="164"/>
        <v>0</v>
      </c>
      <c r="DS48" s="209">
        <f t="shared" si="164"/>
        <v>0</v>
      </c>
      <c r="DT48" s="209">
        <f t="shared" si="164"/>
        <v>0</v>
      </c>
      <c r="DU48" s="209">
        <f t="shared" si="164"/>
        <v>0</v>
      </c>
      <c r="DV48" s="209">
        <f t="shared" si="164"/>
        <v>0</v>
      </c>
      <c r="DW48" s="209">
        <f t="shared" si="164"/>
        <v>0</v>
      </c>
      <c r="DX48" s="209">
        <f t="shared" si="164"/>
        <v>0</v>
      </c>
      <c r="DY48" s="209">
        <f t="shared" si="164"/>
        <v>0</v>
      </c>
      <c r="DZ48" s="209">
        <f t="shared" si="164"/>
        <v>0</v>
      </c>
      <c r="EF48" s="51">
        <v>18.5</v>
      </c>
      <c r="EI48" s="26"/>
      <c r="EM48" t="s">
        <v>99</v>
      </c>
      <c r="EP48" t="s">
        <v>19</v>
      </c>
    </row>
    <row r="49" spans="1:146">
      <c r="A49" s="1"/>
      <c r="B49" t="str">
        <f t="shared" ref="B49:B57" si="165">B22</f>
        <v>Mecahnical Recycling</v>
      </c>
      <c r="C49" s="54" t="s">
        <v>97</v>
      </c>
      <c r="D49" s="209">
        <f>D22*$EF49*1000</f>
        <v>90946.501395099403</v>
      </c>
      <c r="E49" s="209">
        <f t="shared" ref="E49:AH49" si="166">E22*$EF49*1000</f>
        <v>97702.004894193829</v>
      </c>
      <c r="F49" s="209">
        <f t="shared" si="166"/>
        <v>105917.57279841903</v>
      </c>
      <c r="G49" s="209">
        <f t="shared" si="166"/>
        <v>114275.40317712488</v>
      </c>
      <c r="H49" s="209">
        <f t="shared" si="166"/>
        <v>122727.55219587634</v>
      </c>
      <c r="I49" s="209">
        <f t="shared" si="166"/>
        <v>131222.94706708213</v>
      </c>
      <c r="J49" s="209">
        <f t="shared" si="166"/>
        <v>140009.28965697656</v>
      </c>
      <c r="K49" s="209">
        <f t="shared" si="166"/>
        <v>149087.00089945996</v>
      </c>
      <c r="L49" s="209">
        <f t="shared" si="166"/>
        <v>158456.01089849824</v>
      </c>
      <c r="M49" s="209">
        <f t="shared" si="166"/>
        <v>168115.74183199924</v>
      </c>
      <c r="N49" s="209">
        <f t="shared" si="166"/>
        <v>178065.09163521399</v>
      </c>
      <c r="O49" s="209">
        <f t="shared" si="166"/>
        <v>194632.22749487686</v>
      </c>
      <c r="P49" s="209">
        <f t="shared" si="166"/>
        <v>211423.27495090308</v>
      </c>
      <c r="Q49" s="209">
        <f t="shared" si="166"/>
        <v>228375.87947942474</v>
      </c>
      <c r="R49" s="209">
        <f t="shared" si="166"/>
        <v>245393.44953499062</v>
      </c>
      <c r="S49" s="209">
        <f t="shared" si="166"/>
        <v>262389.47275097377</v>
      </c>
      <c r="T49" s="209">
        <f t="shared" si="166"/>
        <v>279778.11358300818</v>
      </c>
      <c r="U49" s="209">
        <f t="shared" si="166"/>
        <v>297562.88758290902</v>
      </c>
      <c r="V49" s="209">
        <f t="shared" si="166"/>
        <v>315747.21998268855</v>
      </c>
      <c r="W49" s="209">
        <f t="shared" si="166"/>
        <v>334334.4418109231</v>
      </c>
      <c r="X49" s="209">
        <f t="shared" si="166"/>
        <v>353327.78598548239</v>
      </c>
      <c r="Y49" s="209">
        <f t="shared" si="166"/>
        <v>382510.46992668608</v>
      </c>
      <c r="Z49" s="209">
        <f t="shared" si="166"/>
        <v>412363.0373556941</v>
      </c>
      <c r="AA49" s="209">
        <f t="shared" si="166"/>
        <v>442956.41300952458</v>
      </c>
      <c r="AB49" s="209">
        <f t="shared" si="166"/>
        <v>474243.38044195744</v>
      </c>
      <c r="AC49" s="209">
        <f t="shared" si="166"/>
        <v>506230.20150275843</v>
      </c>
      <c r="AD49" s="209">
        <f t="shared" si="166"/>
        <v>538928.0916761671</v>
      </c>
      <c r="AE49" s="209">
        <f t="shared" si="166"/>
        <v>572343.97882484447</v>
      </c>
      <c r="AF49" s="209">
        <f t="shared" si="166"/>
        <v>606484.67983515747</v>
      </c>
      <c r="AG49" s="209">
        <f t="shared" si="166"/>
        <v>641356.89508035255</v>
      </c>
      <c r="AH49" s="209">
        <f t="shared" si="166"/>
        <v>676967.20283377951</v>
      </c>
      <c r="AI49" s="209"/>
      <c r="AJ49" s="209">
        <f>AJ22*$EF49*1000</f>
        <v>90946.501395099403</v>
      </c>
      <c r="AK49" s="209">
        <f t="shared" ref="AK49:BN49" si="167">AK22*$EF49*1000</f>
        <v>97702.004894193829</v>
      </c>
      <c r="AL49" s="209">
        <f t="shared" si="167"/>
        <v>105917.57279841903</v>
      </c>
      <c r="AM49" s="209">
        <f t="shared" si="167"/>
        <v>114275.40317712488</v>
      </c>
      <c r="AN49" s="209">
        <f t="shared" si="167"/>
        <v>122727.55219587634</v>
      </c>
      <c r="AO49" s="209">
        <f t="shared" si="167"/>
        <v>131222.94706708213</v>
      </c>
      <c r="AP49" s="209">
        <f t="shared" si="167"/>
        <v>140009.28965697656</v>
      </c>
      <c r="AQ49" s="209">
        <f t="shared" si="167"/>
        <v>149087.00089945996</v>
      </c>
      <c r="AR49" s="209">
        <f t="shared" si="167"/>
        <v>158456.01089849824</v>
      </c>
      <c r="AS49" s="209">
        <f t="shared" si="167"/>
        <v>168115.74183199924</v>
      </c>
      <c r="AT49" s="209">
        <f t="shared" si="167"/>
        <v>178065.09163521399</v>
      </c>
      <c r="AU49" s="209">
        <f t="shared" si="167"/>
        <v>194632.22749487686</v>
      </c>
      <c r="AV49" s="209">
        <f t="shared" si="167"/>
        <v>211423.27495090308</v>
      </c>
      <c r="AW49" s="209">
        <f t="shared" si="167"/>
        <v>228375.87947942474</v>
      </c>
      <c r="AX49" s="209">
        <f t="shared" si="167"/>
        <v>245393.44953499062</v>
      </c>
      <c r="AY49" s="209">
        <f t="shared" si="167"/>
        <v>262389.47275097377</v>
      </c>
      <c r="AZ49" s="209">
        <f t="shared" si="167"/>
        <v>279778.11358300818</v>
      </c>
      <c r="BA49" s="209">
        <f t="shared" si="167"/>
        <v>297562.88758290902</v>
      </c>
      <c r="BB49" s="209">
        <f t="shared" si="167"/>
        <v>315747.21998268855</v>
      </c>
      <c r="BC49" s="209">
        <f t="shared" si="167"/>
        <v>334334.4418109231</v>
      </c>
      <c r="BD49" s="209">
        <f t="shared" si="167"/>
        <v>353327.78598548239</v>
      </c>
      <c r="BE49" s="209">
        <f t="shared" si="167"/>
        <v>382510.46992668608</v>
      </c>
      <c r="BF49" s="209">
        <f t="shared" si="167"/>
        <v>412363.0373556941</v>
      </c>
      <c r="BG49" s="209">
        <f t="shared" si="167"/>
        <v>442956.41300952458</v>
      </c>
      <c r="BH49" s="209">
        <f t="shared" si="167"/>
        <v>474243.38044195744</v>
      </c>
      <c r="BI49" s="209">
        <f t="shared" si="167"/>
        <v>506230.20150275843</v>
      </c>
      <c r="BJ49" s="209">
        <f t="shared" si="167"/>
        <v>538928.0916761671</v>
      </c>
      <c r="BK49" s="209">
        <f t="shared" si="167"/>
        <v>572343.97882484447</v>
      </c>
      <c r="BL49" s="209">
        <f t="shared" si="167"/>
        <v>606484.67983515747</v>
      </c>
      <c r="BM49" s="209">
        <f t="shared" si="167"/>
        <v>641356.89508035255</v>
      </c>
      <c r="BN49" s="209">
        <f t="shared" si="167"/>
        <v>676967.20283377951</v>
      </c>
      <c r="BO49" s="209"/>
      <c r="BP49" s="209">
        <f>BP22*$EF49*1000</f>
        <v>90946.501395099403</v>
      </c>
      <c r="BQ49" s="209">
        <f t="shared" ref="BQ49:CT49" si="168">BQ22*$EF49*1000</f>
        <v>92465.307968397537</v>
      </c>
      <c r="BR49" s="209">
        <f t="shared" si="168"/>
        <v>94009.478611469778</v>
      </c>
      <c r="BS49" s="209">
        <f t="shared" si="168"/>
        <v>95579.43690428132</v>
      </c>
      <c r="BT49" s="209">
        <f t="shared" si="168"/>
        <v>97175.613500582811</v>
      </c>
      <c r="BU49" s="209">
        <f t="shared" si="168"/>
        <v>98798.446246042513</v>
      </c>
      <c r="BV49" s="209">
        <f t="shared" si="168"/>
        <v>100448.38029835145</v>
      </c>
      <c r="BW49" s="209">
        <f t="shared" si="168"/>
        <v>102125.86824933387</v>
      </c>
      <c r="BX49" s="209">
        <f t="shared" si="168"/>
        <v>103831.37024909776</v>
      </c>
      <c r="BY49" s="209">
        <f t="shared" si="168"/>
        <v>105565.35413225768</v>
      </c>
      <c r="BZ49" s="209">
        <f t="shared" si="168"/>
        <v>107328.2955462664</v>
      </c>
      <c r="CA49" s="209">
        <f t="shared" si="168"/>
        <v>109120.67808188905</v>
      </c>
      <c r="CB49" s="209">
        <f t="shared" si="168"/>
        <v>110942.99340585659</v>
      </c>
      <c r="CC49" s="209">
        <f t="shared" si="168"/>
        <v>112795.74139573435</v>
      </c>
      <c r="CD49" s="209">
        <f t="shared" si="168"/>
        <v>114679.43027704314</v>
      </c>
      <c r="CE49" s="209">
        <f t="shared" si="168"/>
        <v>116594.57676266975</v>
      </c>
      <c r="CF49" s="209">
        <f t="shared" si="168"/>
        <v>118541.70619460635</v>
      </c>
      <c r="CG49" s="209">
        <f t="shared" si="168"/>
        <v>120521.35268805624</v>
      </c>
      <c r="CH49" s="209">
        <f t="shared" si="168"/>
        <v>122534.05927794677</v>
      </c>
      <c r="CI49" s="209">
        <f t="shared" si="168"/>
        <v>124580.37806788848</v>
      </c>
      <c r="CJ49" s="209">
        <f t="shared" si="168"/>
        <v>126660.8703816222</v>
      </c>
      <c r="CK49" s="209">
        <f t="shared" si="168"/>
        <v>128776.10691699527</v>
      </c>
      <c r="CL49" s="209">
        <f t="shared" si="168"/>
        <v>130926.66790250909</v>
      </c>
      <c r="CM49" s="209">
        <f t="shared" si="168"/>
        <v>133113.14325648095</v>
      </c>
      <c r="CN49" s="209">
        <f t="shared" si="168"/>
        <v>135336.13274886421</v>
      </c>
      <c r="CO49" s="209">
        <f t="shared" si="168"/>
        <v>137596.24616577022</v>
      </c>
      <c r="CP49" s="209">
        <f t="shared" si="168"/>
        <v>139894.10347673859</v>
      </c>
      <c r="CQ49" s="209">
        <f t="shared" si="168"/>
        <v>142230.33500480012</v>
      </c>
      <c r="CR49" s="209">
        <f t="shared" si="168"/>
        <v>144605.58159938024</v>
      </c>
      <c r="CS49" s="209">
        <f t="shared" si="168"/>
        <v>147020.49481208989</v>
      </c>
      <c r="CT49" s="209">
        <f t="shared" si="168"/>
        <v>149475.73707545179</v>
      </c>
      <c r="CU49" s="209"/>
      <c r="CV49" s="209">
        <f>CV22*$EF49*1000</f>
        <v>90946.501395099403</v>
      </c>
      <c r="CW49" s="209">
        <f t="shared" ref="CW49:DZ49" si="169">CW22*$EF49*1000</f>
        <v>97702.004894193829</v>
      </c>
      <c r="CX49" s="209">
        <f t="shared" si="169"/>
        <v>105917.57279841903</v>
      </c>
      <c r="CY49" s="209">
        <f t="shared" si="169"/>
        <v>114275.40317712488</v>
      </c>
      <c r="CZ49" s="209">
        <f t="shared" si="169"/>
        <v>122727.55219587634</v>
      </c>
      <c r="DA49" s="209">
        <f t="shared" si="169"/>
        <v>131222.94706708213</v>
      </c>
      <c r="DB49" s="209">
        <f t="shared" si="169"/>
        <v>140009.28965697656</v>
      </c>
      <c r="DC49" s="209">
        <f t="shared" si="169"/>
        <v>149087.00089945996</v>
      </c>
      <c r="DD49" s="209">
        <f t="shared" si="169"/>
        <v>158456.01089849824</v>
      </c>
      <c r="DE49" s="209">
        <f t="shared" si="169"/>
        <v>168115.74183199924</v>
      </c>
      <c r="DF49" s="209">
        <f t="shared" si="169"/>
        <v>178065.09163521399</v>
      </c>
      <c r="DG49" s="209">
        <f t="shared" si="169"/>
        <v>194632.22749487686</v>
      </c>
      <c r="DH49" s="209">
        <f t="shared" si="169"/>
        <v>211423.27495090308</v>
      </c>
      <c r="DI49" s="209">
        <f t="shared" si="169"/>
        <v>228375.87947942474</v>
      </c>
      <c r="DJ49" s="209">
        <f t="shared" si="169"/>
        <v>245393.44953499062</v>
      </c>
      <c r="DK49" s="209">
        <f t="shared" si="169"/>
        <v>262389.47275097377</v>
      </c>
      <c r="DL49" s="209">
        <f t="shared" si="169"/>
        <v>279778.11358300818</v>
      </c>
      <c r="DM49" s="209">
        <f t="shared" si="169"/>
        <v>297562.88758290902</v>
      </c>
      <c r="DN49" s="209">
        <f t="shared" si="169"/>
        <v>315747.21998268855</v>
      </c>
      <c r="DO49" s="209">
        <f t="shared" si="169"/>
        <v>334334.4418109231</v>
      </c>
      <c r="DP49" s="209">
        <f t="shared" si="169"/>
        <v>353327.78598548239</v>
      </c>
      <c r="DQ49" s="209">
        <f t="shared" si="169"/>
        <v>382510.46992668608</v>
      </c>
      <c r="DR49" s="209">
        <f t="shared" si="169"/>
        <v>412363.0373556941</v>
      </c>
      <c r="DS49" s="209">
        <f t="shared" si="169"/>
        <v>442956.41300952458</v>
      </c>
      <c r="DT49" s="209">
        <f t="shared" si="169"/>
        <v>474243.38044195744</v>
      </c>
      <c r="DU49" s="209">
        <f t="shared" si="169"/>
        <v>506230.20150275843</v>
      </c>
      <c r="DV49" s="209">
        <f t="shared" si="169"/>
        <v>538928.0916761671</v>
      </c>
      <c r="DW49" s="209">
        <f t="shared" si="169"/>
        <v>572343.97882484447</v>
      </c>
      <c r="DX49" s="209">
        <f t="shared" si="169"/>
        <v>606484.67983515747</v>
      </c>
      <c r="DY49" s="209">
        <f t="shared" si="169"/>
        <v>641356.89508035255</v>
      </c>
      <c r="DZ49" s="209">
        <f t="shared" si="169"/>
        <v>676967.20283377951</v>
      </c>
      <c r="EF49" s="51">
        <v>3</v>
      </c>
      <c r="EH49" s="85">
        <f>SUM(EH45:EH46)</f>
        <v>1228897.775976019</v>
      </c>
      <c r="EI49" s="85">
        <f t="shared" ref="EI49:EK49" si="170">SUM(EI45:EI46)</f>
        <v>1732073.8888942145</v>
      </c>
      <c r="EJ49" s="85">
        <f t="shared" si="170"/>
        <v>2874305.2013668111</v>
      </c>
      <c r="EK49" s="85">
        <f t="shared" si="170"/>
        <v>2874305.2013668111</v>
      </c>
      <c r="EM49" t="s">
        <v>99</v>
      </c>
      <c r="EP49" t="s">
        <v>103</v>
      </c>
    </row>
    <row r="50" spans="1:146">
      <c r="A50" s="1"/>
      <c r="B50" t="str">
        <f t="shared" si="165"/>
        <v>Chemical Recycling</v>
      </c>
      <c r="C50" s="54" t="s">
        <v>97</v>
      </c>
      <c r="D50" s="209">
        <f>D23*$EF50*1000</f>
        <v>0.90435052912702085</v>
      </c>
      <c r="E50" s="209">
        <f t="shared" ref="E50:AH50" si="171">E23*$EF50*1000</f>
        <v>1.9897860334247632</v>
      </c>
      <c r="F50" s="209">
        <f t="shared" si="171"/>
        <v>4.2069965430974978</v>
      </c>
      <c r="G50" s="209">
        <f t="shared" si="171"/>
        <v>8.8355564917075355</v>
      </c>
      <c r="H50" s="209">
        <f t="shared" si="171"/>
        <v>18.41613592548622</v>
      </c>
      <c r="I50" s="209">
        <f t="shared" si="171"/>
        <v>38.045517711494348</v>
      </c>
      <c r="J50" s="209">
        <f t="shared" si="171"/>
        <v>77.928449258432494</v>
      </c>
      <c r="K50" s="209">
        <f t="shared" si="171"/>
        <v>157.86659889908069</v>
      </c>
      <c r="L50" s="209">
        <f t="shared" si="171"/>
        <v>315.22877232140991</v>
      </c>
      <c r="M50" s="209">
        <f t="shared" si="171"/>
        <v>617.72112057054392</v>
      </c>
      <c r="N50" s="209">
        <f t="shared" si="171"/>
        <v>1163.9304596723548</v>
      </c>
      <c r="O50" s="209">
        <f t="shared" si="171"/>
        <v>2102.2292121551982</v>
      </c>
      <c r="P50" s="209">
        <f t="shared" si="171"/>
        <v>3594.9457859239456</v>
      </c>
      <c r="Q50" s="209">
        <f t="shared" si="171"/>
        <v>5863.1201942899916</v>
      </c>
      <c r="R50" s="209">
        <f t="shared" si="171"/>
        <v>9056.8447955831962</v>
      </c>
      <c r="S50" s="209">
        <f t="shared" si="171"/>
        <v>13484.887513139291</v>
      </c>
      <c r="T50" s="209">
        <f t="shared" si="171"/>
        <v>19057.178334167056</v>
      </c>
      <c r="U50" s="209">
        <f t="shared" si="171"/>
        <v>25406.585412931876</v>
      </c>
      <c r="V50" s="209">
        <f t="shared" si="171"/>
        <v>32109.830125384731</v>
      </c>
      <c r="W50" s="209">
        <f t="shared" si="171"/>
        <v>38741.193035988181</v>
      </c>
      <c r="X50" s="209">
        <f t="shared" si="171"/>
        <v>43903.742570771996</v>
      </c>
      <c r="Y50" s="209">
        <f t="shared" si="171"/>
        <v>50050.478364282331</v>
      </c>
      <c r="Z50" s="209">
        <f t="shared" si="171"/>
        <v>55604.766690137199</v>
      </c>
      <c r="AA50" s="209">
        <f t="shared" si="171"/>
        <v>60834.145240119709</v>
      </c>
      <c r="AB50" s="209">
        <f t="shared" si="171"/>
        <v>65810.744901687518</v>
      </c>
      <c r="AC50" s="209">
        <f t="shared" si="171"/>
        <v>70823.137802208963</v>
      </c>
      <c r="AD50" s="209">
        <f t="shared" si="171"/>
        <v>76260.406043302224</v>
      </c>
      <c r="AE50" s="209">
        <f t="shared" si="171"/>
        <v>82580.94005974794</v>
      </c>
      <c r="AF50" s="209">
        <f t="shared" si="171"/>
        <v>90226.64702310336</v>
      </c>
      <c r="AG50" s="209">
        <f t="shared" si="171"/>
        <v>100169.05111054385</v>
      </c>
      <c r="AH50" s="209">
        <f t="shared" si="171"/>
        <v>110240.07428458704</v>
      </c>
      <c r="AI50" s="209"/>
      <c r="AJ50" s="209">
        <f>AJ23*$EF50*1000</f>
        <v>0.49969639109791186</v>
      </c>
      <c r="AK50" s="209">
        <f t="shared" ref="AK50:BN50" si="172">AK23*$EF50*1000</f>
        <v>1.1051882068436236</v>
      </c>
      <c r="AL50" s="209">
        <f t="shared" si="172"/>
        <v>2.3361420030198321</v>
      </c>
      <c r="AM50" s="209">
        <f t="shared" si="172"/>
        <v>4.9055130281967205</v>
      </c>
      <c r="AN50" s="209">
        <f t="shared" si="172"/>
        <v>10.223428802506303</v>
      </c>
      <c r="AO50" s="209">
        <f t="shared" si="172"/>
        <v>21.118899945826396</v>
      </c>
      <c r="AP50" s="209">
        <f t="shared" si="172"/>
        <v>43.256764743281593</v>
      </c>
      <c r="AQ50" s="209">
        <f t="shared" si="172"/>
        <v>87.63092452639485</v>
      </c>
      <c r="AR50" s="209">
        <f t="shared" si="172"/>
        <v>174.99259681878462</v>
      </c>
      <c r="AS50" s="209">
        <f t="shared" si="172"/>
        <v>342.94876893443836</v>
      </c>
      <c r="AT50" s="209">
        <f t="shared" si="172"/>
        <v>636.2615467574285</v>
      </c>
      <c r="AU50" s="209">
        <f t="shared" si="172"/>
        <v>1166.581186270095</v>
      </c>
      <c r="AV50" s="209">
        <f t="shared" si="172"/>
        <v>1993.8229179178591</v>
      </c>
      <c r="AW50" s="209">
        <f t="shared" si="172"/>
        <v>3249.8812794965856</v>
      </c>
      <c r="AX50" s="209">
        <f t="shared" si="172"/>
        <v>5017.3953375425872</v>
      </c>
      <c r="AY50" s="209">
        <f t="shared" si="172"/>
        <v>7472.8340381185071</v>
      </c>
      <c r="AZ50" s="209">
        <f t="shared" si="172"/>
        <v>10566.721963783368</v>
      </c>
      <c r="BA50" s="209">
        <f t="shared" si="172"/>
        <v>14095.311192331985</v>
      </c>
      <c r="BB50" s="209">
        <f t="shared" si="172"/>
        <v>17824.512082485046</v>
      </c>
      <c r="BC50" s="209">
        <f t="shared" si="172"/>
        <v>21518.402997758065</v>
      </c>
      <c r="BD50" s="209">
        <f t="shared" si="172"/>
        <v>23923.335631681297</v>
      </c>
      <c r="BE50" s="209">
        <f t="shared" si="172"/>
        <v>27848.607735590365</v>
      </c>
      <c r="BF50" s="209">
        <f t="shared" si="172"/>
        <v>30995.916281773079</v>
      </c>
      <c r="BG50" s="209">
        <f t="shared" si="172"/>
        <v>33975.089852594967</v>
      </c>
      <c r="BH50" s="209">
        <f t="shared" si="172"/>
        <v>36824.438901314286</v>
      </c>
      <c r="BI50" s="209">
        <f t="shared" si="172"/>
        <v>39705.680347532791</v>
      </c>
      <c r="BJ50" s="209">
        <f t="shared" si="172"/>
        <v>42838.398921606822</v>
      </c>
      <c r="BK50" s="209">
        <f t="shared" si="172"/>
        <v>46548.576545569384</v>
      </c>
      <c r="BL50" s="209">
        <f t="shared" si="172"/>
        <v>51065.020192219556</v>
      </c>
      <c r="BM50" s="209">
        <f t="shared" si="172"/>
        <v>56955.739235925976</v>
      </c>
      <c r="BN50" s="209">
        <f t="shared" si="172"/>
        <v>61454.437325740641</v>
      </c>
      <c r="BO50" s="209"/>
      <c r="BP50" s="209">
        <f>BP23*$EF50*1000</f>
        <v>0</v>
      </c>
      <c r="BQ50" s="209">
        <f t="shared" ref="BQ50:CT50" si="173">BQ23*$EF50*1000</f>
        <v>0</v>
      </c>
      <c r="BR50" s="209">
        <f t="shared" si="173"/>
        <v>0</v>
      </c>
      <c r="BS50" s="209">
        <f t="shared" si="173"/>
        <v>0</v>
      </c>
      <c r="BT50" s="209">
        <f t="shared" si="173"/>
        <v>0</v>
      </c>
      <c r="BU50" s="209">
        <f t="shared" si="173"/>
        <v>0</v>
      </c>
      <c r="BV50" s="209">
        <f t="shared" si="173"/>
        <v>0</v>
      </c>
      <c r="BW50" s="209">
        <f t="shared" si="173"/>
        <v>0</v>
      </c>
      <c r="BX50" s="209">
        <f t="shared" si="173"/>
        <v>0</v>
      </c>
      <c r="BY50" s="209">
        <f t="shared" si="173"/>
        <v>0</v>
      </c>
      <c r="BZ50" s="209">
        <f t="shared" si="173"/>
        <v>0</v>
      </c>
      <c r="CA50" s="209">
        <f t="shared" si="173"/>
        <v>0</v>
      </c>
      <c r="CB50" s="209">
        <f t="shared" si="173"/>
        <v>0</v>
      </c>
      <c r="CC50" s="209">
        <f t="shared" si="173"/>
        <v>0</v>
      </c>
      <c r="CD50" s="209">
        <f t="shared" si="173"/>
        <v>0</v>
      </c>
      <c r="CE50" s="209">
        <f t="shared" si="173"/>
        <v>0</v>
      </c>
      <c r="CF50" s="209">
        <f t="shared" si="173"/>
        <v>0</v>
      </c>
      <c r="CG50" s="209">
        <f t="shared" si="173"/>
        <v>0</v>
      </c>
      <c r="CH50" s="209">
        <f t="shared" si="173"/>
        <v>0</v>
      </c>
      <c r="CI50" s="209">
        <f t="shared" si="173"/>
        <v>0</v>
      </c>
      <c r="CJ50" s="209">
        <f t="shared" si="173"/>
        <v>0</v>
      </c>
      <c r="CK50" s="209">
        <f t="shared" si="173"/>
        <v>0</v>
      </c>
      <c r="CL50" s="209">
        <f t="shared" si="173"/>
        <v>0</v>
      </c>
      <c r="CM50" s="209">
        <f t="shared" si="173"/>
        <v>0</v>
      </c>
      <c r="CN50" s="209">
        <f t="shared" si="173"/>
        <v>0</v>
      </c>
      <c r="CO50" s="209">
        <f t="shared" si="173"/>
        <v>0</v>
      </c>
      <c r="CP50" s="209">
        <f t="shared" si="173"/>
        <v>0</v>
      </c>
      <c r="CQ50" s="209">
        <f t="shared" si="173"/>
        <v>0</v>
      </c>
      <c r="CR50" s="209">
        <f t="shared" si="173"/>
        <v>0</v>
      </c>
      <c r="CS50" s="209">
        <f t="shared" si="173"/>
        <v>0</v>
      </c>
      <c r="CT50" s="209">
        <f t="shared" si="173"/>
        <v>0</v>
      </c>
      <c r="CU50" s="209"/>
      <c r="CV50" s="209">
        <f>CV23*$EF50*1000</f>
        <v>0.49969639109791186</v>
      </c>
      <c r="CW50" s="209">
        <f t="shared" ref="CW50:DZ50" si="174">CW23*$EF50*1000</f>
        <v>1.1051882068436236</v>
      </c>
      <c r="CX50" s="209">
        <f t="shared" si="174"/>
        <v>2.3361420030198321</v>
      </c>
      <c r="CY50" s="209">
        <f t="shared" si="174"/>
        <v>4.9055130281967205</v>
      </c>
      <c r="CZ50" s="209">
        <f t="shared" si="174"/>
        <v>10.223428802506303</v>
      </c>
      <c r="DA50" s="209">
        <f t="shared" si="174"/>
        <v>21.118899945826396</v>
      </c>
      <c r="DB50" s="209">
        <f t="shared" si="174"/>
        <v>43.256764743281593</v>
      </c>
      <c r="DC50" s="209">
        <f t="shared" si="174"/>
        <v>87.63092452639485</v>
      </c>
      <c r="DD50" s="209">
        <f t="shared" si="174"/>
        <v>174.99259681878462</v>
      </c>
      <c r="DE50" s="209">
        <f t="shared" si="174"/>
        <v>342.94876893443836</v>
      </c>
      <c r="DF50" s="209">
        <f t="shared" si="174"/>
        <v>636.2615467574285</v>
      </c>
      <c r="DG50" s="209">
        <f t="shared" si="174"/>
        <v>1166.581186270095</v>
      </c>
      <c r="DH50" s="209">
        <f t="shared" si="174"/>
        <v>1993.8229179178591</v>
      </c>
      <c r="DI50" s="209">
        <f t="shared" si="174"/>
        <v>3249.8812794965856</v>
      </c>
      <c r="DJ50" s="209">
        <f t="shared" si="174"/>
        <v>5017.3953375425872</v>
      </c>
      <c r="DK50" s="209">
        <f t="shared" si="174"/>
        <v>7472.8340381185071</v>
      </c>
      <c r="DL50" s="209">
        <f t="shared" si="174"/>
        <v>10566.721963783368</v>
      </c>
      <c r="DM50" s="209">
        <f t="shared" si="174"/>
        <v>14095.311192331985</v>
      </c>
      <c r="DN50" s="209">
        <f t="shared" si="174"/>
        <v>17824.512082485046</v>
      </c>
      <c r="DO50" s="209">
        <f t="shared" si="174"/>
        <v>21518.402997758065</v>
      </c>
      <c r="DP50" s="209">
        <f t="shared" si="174"/>
        <v>23923.335631681297</v>
      </c>
      <c r="DQ50" s="209">
        <f t="shared" si="174"/>
        <v>27848.607735590365</v>
      </c>
      <c r="DR50" s="209">
        <f t="shared" si="174"/>
        <v>30995.916281773079</v>
      </c>
      <c r="DS50" s="209">
        <f t="shared" si="174"/>
        <v>33975.089852594967</v>
      </c>
      <c r="DT50" s="209">
        <f t="shared" si="174"/>
        <v>36824.438901314286</v>
      </c>
      <c r="DU50" s="209">
        <f t="shared" si="174"/>
        <v>39705.680347532791</v>
      </c>
      <c r="DV50" s="209">
        <f t="shared" si="174"/>
        <v>42838.398921606822</v>
      </c>
      <c r="DW50" s="209">
        <f t="shared" si="174"/>
        <v>46548.576545569384</v>
      </c>
      <c r="DX50" s="209">
        <f t="shared" si="174"/>
        <v>51065.020192219556</v>
      </c>
      <c r="DY50" s="209">
        <f t="shared" si="174"/>
        <v>56955.739235925976</v>
      </c>
      <c r="DZ50" s="209">
        <f t="shared" si="174"/>
        <v>61454.437325740641</v>
      </c>
      <c r="EF50" s="51">
        <v>6.3</v>
      </c>
      <c r="EH50" s="85">
        <f>EH47</f>
        <v>0</v>
      </c>
      <c r="EI50" s="85">
        <f t="shared" ref="EI50:EK50" si="175">EI47</f>
        <v>0</v>
      </c>
      <c r="EJ50" s="85">
        <f t="shared" si="175"/>
        <v>0</v>
      </c>
      <c r="EK50" s="85">
        <f t="shared" si="175"/>
        <v>0</v>
      </c>
      <c r="EM50" t="s">
        <v>105</v>
      </c>
      <c r="EP50" t="s">
        <v>106</v>
      </c>
    </row>
    <row r="51" spans="1:146">
      <c r="A51" s="1"/>
      <c r="B51" t="str">
        <f t="shared" si="165"/>
        <v>Waste management (collection + MRF)</v>
      </c>
      <c r="C51" s="54" t="s">
        <v>97</v>
      </c>
      <c r="D51" s="209">
        <f>D24*$EF51*1000</f>
        <v>1122363.9669887752</v>
      </c>
      <c r="E51" s="209">
        <f t="shared" ref="E51:AG51" si="176">E24*$EF51*1000</f>
        <v>1165264.9609155343</v>
      </c>
      <c r="F51" s="209">
        <f t="shared" si="176"/>
        <v>1207103.5949962882</v>
      </c>
      <c r="G51" s="209">
        <f t="shared" si="176"/>
        <v>1247113.0236375243</v>
      </c>
      <c r="H51" s="209">
        <f t="shared" si="176"/>
        <v>1285019.1887541981</v>
      </c>
      <c r="I51" s="209">
        <f t="shared" si="176"/>
        <v>1320557.0733045968</v>
      </c>
      <c r="J51" s="209">
        <f t="shared" si="176"/>
        <v>1356394.241058958</v>
      </c>
      <c r="K51" s="209">
        <f t="shared" si="176"/>
        <v>1392505.0222455568</v>
      </c>
      <c r="L51" s="209">
        <f t="shared" si="176"/>
        <v>1428865.2801223642</v>
      </c>
      <c r="M51" s="209">
        <f t="shared" si="176"/>
        <v>1465454.3537747914</v>
      </c>
      <c r="N51" s="209">
        <f t="shared" si="176"/>
        <v>1502254.8700839698</v>
      </c>
      <c r="O51" s="209">
        <f t="shared" si="176"/>
        <v>1539269.3087208997</v>
      </c>
      <c r="P51" s="209">
        <f t="shared" si="176"/>
        <v>1574143.8575909366</v>
      </c>
      <c r="Q51" s="209">
        <f t="shared" si="176"/>
        <v>1606869.8944569491</v>
      </c>
      <c r="R51" s="209">
        <f t="shared" si="176"/>
        <v>1637134.3051866873</v>
      </c>
      <c r="S51" s="209">
        <f t="shared" si="176"/>
        <v>1664805.6622219719</v>
      </c>
      <c r="T51" s="209">
        <f t="shared" si="176"/>
        <v>1692742.7580832161</v>
      </c>
      <c r="U51" s="209">
        <f t="shared" si="176"/>
        <v>1720876.82089274</v>
      </c>
      <c r="V51" s="209">
        <f t="shared" si="176"/>
        <v>1749133.6807822397</v>
      </c>
      <c r="W51" s="209">
        <f t="shared" si="176"/>
        <v>1777442.0561856746</v>
      </c>
      <c r="X51" s="209">
        <f t="shared" si="176"/>
        <v>1805596.3371971094</v>
      </c>
      <c r="Y51" s="209">
        <f t="shared" si="176"/>
        <v>1836826.5822216184</v>
      </c>
      <c r="Z51" s="209">
        <f t="shared" si="176"/>
        <v>1868025.4381178145</v>
      </c>
      <c r="AA51" s="209">
        <f t="shared" si="176"/>
        <v>1899497.0714339209</v>
      </c>
      <c r="AB51" s="209">
        <f t="shared" si="176"/>
        <v>1930977.6136036993</v>
      </c>
      <c r="AC51" s="209">
        <f t="shared" si="176"/>
        <v>1962495.8629193152</v>
      </c>
      <c r="AD51" s="209">
        <f t="shared" si="176"/>
        <v>1994109.8236142341</v>
      </c>
      <c r="AE51" s="209">
        <f t="shared" si="176"/>
        <v>2025865.1008140696</v>
      </c>
      <c r="AF51" s="209">
        <f t="shared" si="176"/>
        <v>2057801.2919182533</v>
      </c>
      <c r="AG51" s="209">
        <f t="shared" si="176"/>
        <v>2090019.5718594787</v>
      </c>
      <c r="AH51" s="209">
        <f>AH24*$EF51*1000</f>
        <v>2122231.7870931579</v>
      </c>
      <c r="AI51" s="209"/>
      <c r="AJ51" s="209">
        <f>AJ24*$EF51*1000</f>
        <v>1122363.8932839143</v>
      </c>
      <c r="AK51" s="209">
        <f t="shared" ref="AK51:BM51" si="177">AK24*$EF51*1000</f>
        <v>1165264.8015826165</v>
      </c>
      <c r="AL51" s="209">
        <f t="shared" si="177"/>
        <v>1207103.2618060035</v>
      </c>
      <c r="AM51" s="209">
        <f t="shared" si="177"/>
        <v>1247112.3316691574</v>
      </c>
      <c r="AN51" s="209">
        <f t="shared" si="177"/>
        <v>1285017.76283303</v>
      </c>
      <c r="AO51" s="209">
        <f t="shared" si="177"/>
        <v>1320554.1615233265</v>
      </c>
      <c r="AP51" s="209">
        <f t="shared" si="177"/>
        <v>1356388.3468725905</v>
      </c>
      <c r="AQ51" s="209">
        <f t="shared" si="177"/>
        <v>1392493.2243245402</v>
      </c>
      <c r="AR51" s="209">
        <f t="shared" si="177"/>
        <v>1428842.007595144</v>
      </c>
      <c r="AS51" s="209">
        <f t="shared" si="177"/>
        <v>1465409.3107357193</v>
      </c>
      <c r="AT51" s="209">
        <f t="shared" si="177"/>
        <v>1502169.4379742597</v>
      </c>
      <c r="AU51" s="209">
        <f t="shared" si="177"/>
        <v>1539119.7164234282</v>
      </c>
      <c r="AV51" s="209">
        <f t="shared" si="177"/>
        <v>1573891.10890963</v>
      </c>
      <c r="AW51" s="209">
        <f t="shared" si="177"/>
        <v>1606403.6768339477</v>
      </c>
      <c r="AX51" s="209">
        <f t="shared" si="177"/>
        <v>1636393.0890901384</v>
      </c>
      <c r="AY51" s="209">
        <f t="shared" si="177"/>
        <v>1663710.6540013165</v>
      </c>
      <c r="AZ51" s="209">
        <f t="shared" si="177"/>
        <v>1691224.4401955928</v>
      </c>
      <c r="BA51" s="209">
        <f t="shared" si="177"/>
        <v>1718892.8705644156</v>
      </c>
      <c r="BB51" s="209">
        <f t="shared" si="177"/>
        <v>1746671.4081367655</v>
      </c>
      <c r="BC51" s="209">
        <f t="shared" si="177"/>
        <v>1774516.9608083765</v>
      </c>
      <c r="BD51" s="209">
        <f t="shared" si="177"/>
        <v>1802243.9827503085</v>
      </c>
      <c r="BE51" s="209">
        <f t="shared" si="177"/>
        <v>1833131.1766314204</v>
      </c>
      <c r="BF51" s="209">
        <f t="shared" si="177"/>
        <v>1863968.6051377743</v>
      </c>
      <c r="BG51" s="209">
        <f t="shared" si="177"/>
        <v>1895107.9612267227</v>
      </c>
      <c r="BH51" s="209">
        <f t="shared" si="177"/>
        <v>1926279.8946660792</v>
      </c>
      <c r="BI51" s="209">
        <f t="shared" si="177"/>
        <v>1957495.7579584462</v>
      </c>
      <c r="BJ51" s="209">
        <f t="shared" si="177"/>
        <v>1988791.6045541146</v>
      </c>
      <c r="BK51" s="209">
        <f t="shared" si="177"/>
        <v>2020197.1973173821</v>
      </c>
      <c r="BL51" s="209">
        <f t="shared" si="177"/>
        <v>2051727.2389108958</v>
      </c>
      <c r="BM51" s="209">
        <f t="shared" si="177"/>
        <v>2083436.2280375753</v>
      </c>
      <c r="BN51" s="209">
        <f>BN24*$EF51*1000</f>
        <v>2114968.9594635633</v>
      </c>
      <c r="BO51" s="209"/>
      <c r="BP51" s="209">
        <f>BP24*$EF51*1000</f>
        <v>1122363.8022677863</v>
      </c>
      <c r="BQ51" s="209">
        <f t="shared" ref="BQ51:CS51" si="178">BQ24*$EF51*1000</f>
        <v>1154515.3581157795</v>
      </c>
      <c r="BR51" s="209">
        <f t="shared" si="178"/>
        <v>1184546.7389402541</v>
      </c>
      <c r="BS51" s="209">
        <f t="shared" si="178"/>
        <v>1212250.2256626131</v>
      </c>
      <c r="BT51" s="209">
        <f t="shared" si="178"/>
        <v>1237431.9972474396</v>
      </c>
      <c r="BU51" s="209">
        <f t="shared" si="178"/>
        <v>1259914.5024363424</v>
      </c>
      <c r="BV51" s="209">
        <f t="shared" si="178"/>
        <v>1282209.3616519666</v>
      </c>
      <c r="BW51" s="209">
        <f t="shared" si="178"/>
        <v>1304292.0769065002</v>
      </c>
      <c r="BX51" s="209">
        <f t="shared" si="178"/>
        <v>1326138.0302659762</v>
      </c>
      <c r="BY51" s="209">
        <f t="shared" si="178"/>
        <v>1347722.5316307228</v>
      </c>
      <c r="BZ51" s="209">
        <f t="shared" si="178"/>
        <v>1369020.8677192666</v>
      </c>
      <c r="CA51" s="209">
        <f t="shared" si="178"/>
        <v>1388088.4486463033</v>
      </c>
      <c r="CB51" s="209">
        <f t="shared" si="178"/>
        <v>1404821.8614328529</v>
      </c>
      <c r="CC51" s="209">
        <f t="shared" si="178"/>
        <v>1419129.8800027759</v>
      </c>
      <c r="CD51" s="209">
        <f t="shared" si="178"/>
        <v>1430934.3733035673</v>
      </c>
      <c r="CE51" s="209">
        <f t="shared" si="178"/>
        <v>1440171.1007182822</v>
      </c>
      <c r="CF51" s="209">
        <f t="shared" si="178"/>
        <v>1449297.0487564823</v>
      </c>
      <c r="CG51" s="209">
        <f t="shared" si="178"/>
        <v>1458309.6147709149</v>
      </c>
      <c r="CH51" s="209">
        <f t="shared" si="178"/>
        <v>1467206.2409045878</v>
      </c>
      <c r="CI51" s="209">
        <f t="shared" si="178"/>
        <v>1475984.4164558186</v>
      </c>
      <c r="CJ51" s="209">
        <f t="shared" si="178"/>
        <v>1484641.6802507713</v>
      </c>
      <c r="CK51" s="209">
        <f t="shared" si="178"/>
        <v>1493191.3675813428</v>
      </c>
      <c r="CL51" s="209">
        <f t="shared" si="178"/>
        <v>1501631.3674650611</v>
      </c>
      <c r="CM51" s="209">
        <f t="shared" si="178"/>
        <v>1509959.6153757283</v>
      </c>
      <c r="CN51" s="209">
        <f t="shared" si="178"/>
        <v>1518174.0952718111</v>
      </c>
      <c r="CO51" s="209">
        <f t="shared" si="178"/>
        <v>1526272.8416302123</v>
      </c>
      <c r="CP51" s="209">
        <f t="shared" si="178"/>
        <v>1534267.7568206955</v>
      </c>
      <c r="CQ51" s="209">
        <f t="shared" si="178"/>
        <v>1542157.1680526694</v>
      </c>
      <c r="CR51" s="209">
        <f t="shared" si="178"/>
        <v>1549939.4503806382</v>
      </c>
      <c r="CS51" s="209">
        <f t="shared" si="178"/>
        <v>1557613.0284789067</v>
      </c>
      <c r="CT51" s="209">
        <f>CT24*$EF51*1000</f>
        <v>1565176.3784207404</v>
      </c>
      <c r="CU51" s="209"/>
      <c r="CV51" s="209">
        <f>CV24*$EF51*1000</f>
        <v>1122363.8932839143</v>
      </c>
      <c r="CW51" s="209">
        <f t="shared" ref="CW51:DY51" si="179">CW24*$EF51*1000</f>
        <v>1165264.8015826165</v>
      </c>
      <c r="CX51" s="209">
        <f t="shared" si="179"/>
        <v>1207103.2618060035</v>
      </c>
      <c r="CY51" s="209">
        <f t="shared" si="179"/>
        <v>1247112.3316691574</v>
      </c>
      <c r="CZ51" s="209">
        <f t="shared" si="179"/>
        <v>1285017.76283303</v>
      </c>
      <c r="DA51" s="209">
        <f t="shared" si="179"/>
        <v>1320554.1615233265</v>
      </c>
      <c r="DB51" s="209">
        <f t="shared" si="179"/>
        <v>1356388.3468725905</v>
      </c>
      <c r="DC51" s="209">
        <f t="shared" si="179"/>
        <v>1392493.2243245402</v>
      </c>
      <c r="DD51" s="209">
        <f t="shared" si="179"/>
        <v>1428842.007595144</v>
      </c>
      <c r="DE51" s="209">
        <f t="shared" si="179"/>
        <v>1465409.3107357193</v>
      </c>
      <c r="DF51" s="209">
        <f t="shared" si="179"/>
        <v>1502169.4379742597</v>
      </c>
      <c r="DG51" s="209">
        <f t="shared" si="179"/>
        <v>1539119.7164234282</v>
      </c>
      <c r="DH51" s="209">
        <f t="shared" si="179"/>
        <v>1573891.10890963</v>
      </c>
      <c r="DI51" s="209">
        <f t="shared" si="179"/>
        <v>1606314.3942206884</v>
      </c>
      <c r="DJ51" s="209">
        <f t="shared" si="179"/>
        <v>1636211.5958300142</v>
      </c>
      <c r="DK51" s="209">
        <f t="shared" si="179"/>
        <v>1663434.480418077</v>
      </c>
      <c r="DL51" s="209">
        <f t="shared" si="179"/>
        <v>1690850.9337652694</v>
      </c>
      <c r="DM51" s="209">
        <f t="shared" si="179"/>
        <v>1718419.357297078</v>
      </c>
      <c r="DN51" s="209">
        <f t="shared" si="179"/>
        <v>1746095.1934758066</v>
      </c>
      <c r="DO51" s="209">
        <f t="shared" si="179"/>
        <v>1773835.3305587037</v>
      </c>
      <c r="DP51" s="209">
        <f t="shared" si="179"/>
        <v>1801454.2040352796</v>
      </c>
      <c r="DQ51" s="209">
        <f t="shared" si="179"/>
        <v>1832230.4889578791</v>
      </c>
      <c r="DR51" s="209">
        <f t="shared" si="179"/>
        <v>1862954.2275570822</v>
      </c>
      <c r="DS51" s="209">
        <f t="shared" si="179"/>
        <v>1893720.999788075</v>
      </c>
      <c r="DT51" s="209">
        <f t="shared" si="179"/>
        <v>1924510.678270231</v>
      </c>
      <c r="DU51" s="209">
        <f t="shared" si="179"/>
        <v>1955334.5479380577</v>
      </c>
      <c r="DV51" s="209">
        <f t="shared" si="179"/>
        <v>1986228.5735471013</v>
      </c>
      <c r="DW51" s="209">
        <f t="shared" si="179"/>
        <v>2017222.4449767733</v>
      </c>
      <c r="DX51" s="209">
        <f t="shared" si="179"/>
        <v>2048330.7945990656</v>
      </c>
      <c r="DY51" s="209">
        <f t="shared" si="179"/>
        <v>2079608.0535998063</v>
      </c>
      <c r="DZ51" s="209">
        <f>DZ24*$EF51*1000</f>
        <v>2110698.9520805408</v>
      </c>
      <c r="EF51" s="51">
        <v>4.5</v>
      </c>
      <c r="EI51" s="26"/>
      <c r="EM51" t="s">
        <v>105</v>
      </c>
      <c r="EP51" t="s">
        <v>30</v>
      </c>
    </row>
    <row r="52" spans="1:146">
      <c r="A52" s="1"/>
      <c r="B52" t="str">
        <f t="shared" si="165"/>
        <v>Incineration</v>
      </c>
      <c r="C52" s="54" t="s">
        <v>97</v>
      </c>
      <c r="D52" s="209">
        <f>D25*$EF52*1000</f>
        <v>4705.4726630584355</v>
      </c>
      <c r="E52" s="209">
        <f t="shared" ref="E52:AH52" si="180">E25*$EF52*1000</f>
        <v>5004.8824903554341</v>
      </c>
      <c r="F52" s="209">
        <f t="shared" si="180"/>
        <v>5295.9424330982629</v>
      </c>
      <c r="G52" s="209">
        <f t="shared" si="180"/>
        <v>5583.4866907253581</v>
      </c>
      <c r="H52" s="209">
        <f t="shared" si="180"/>
        <v>5865.5070770893044</v>
      </c>
      <c r="I52" s="209">
        <f t="shared" si="180"/>
        <v>6139.9630911783443</v>
      </c>
      <c r="J52" s="209">
        <f t="shared" si="180"/>
        <v>6418.615676055023</v>
      </c>
      <c r="K52" s="209">
        <f t="shared" si="180"/>
        <v>6701.1158214250127</v>
      </c>
      <c r="L52" s="209">
        <f t="shared" si="180"/>
        <v>6987.0343901424822</v>
      </c>
      <c r="M52" s="209">
        <f t="shared" si="180"/>
        <v>7275.8127745109505</v>
      </c>
      <c r="N52" s="209">
        <f t="shared" si="180"/>
        <v>7566.748528621506</v>
      </c>
      <c r="O52" s="209">
        <f t="shared" si="180"/>
        <v>7799.5610919841329</v>
      </c>
      <c r="P52" s="209">
        <f t="shared" si="180"/>
        <v>8015.8269117420796</v>
      </c>
      <c r="Q52" s="209">
        <f t="shared" si="180"/>
        <v>8213.9441955747025</v>
      </c>
      <c r="R52" s="209">
        <f t="shared" si="180"/>
        <v>8390.9446714365185</v>
      </c>
      <c r="S52" s="209">
        <f t="shared" si="180"/>
        <v>8544.0974600541904</v>
      </c>
      <c r="T52" s="209">
        <f t="shared" si="180"/>
        <v>8687.9891434268702</v>
      </c>
      <c r="U52" s="209">
        <f t="shared" si="180"/>
        <v>8823.5293711458817</v>
      </c>
      <c r="V52" s="209">
        <f t="shared" si="180"/>
        <v>8951.9759355819369</v>
      </c>
      <c r="W52" s="209">
        <f t="shared" si="180"/>
        <v>9074.7358451424097</v>
      </c>
      <c r="X52" s="209">
        <f t="shared" si="180"/>
        <v>9197.4670702473995</v>
      </c>
      <c r="Y52" s="209">
        <f t="shared" si="180"/>
        <v>9221.1440009625367</v>
      </c>
      <c r="Z52" s="209">
        <f t="shared" si="180"/>
        <v>9235.0029856315014</v>
      </c>
      <c r="AA52" s="209">
        <f t="shared" si="180"/>
        <v>9238.9297894506599</v>
      </c>
      <c r="AB52" s="209">
        <f t="shared" si="180"/>
        <v>9230.8378293607857</v>
      </c>
      <c r="AC52" s="209">
        <f t="shared" si="180"/>
        <v>9208.9896037327126</v>
      </c>
      <c r="AD52" s="209">
        <f t="shared" si="180"/>
        <v>9171.1580426879573</v>
      </c>
      <c r="AE52" s="209">
        <f t="shared" si="180"/>
        <v>9114.5540010341992</v>
      </c>
      <c r="AF52" s="209">
        <f t="shared" si="180"/>
        <v>9036.3081018491848</v>
      </c>
      <c r="AG52" s="209">
        <f t="shared" si="180"/>
        <v>8930.7502381997838</v>
      </c>
      <c r="AH52" s="209">
        <f t="shared" si="180"/>
        <v>8807.822844566208</v>
      </c>
      <c r="AI52" s="209"/>
      <c r="AJ52" s="209">
        <f>AJ25*$EF52*1000</f>
        <v>4705.4736907514844</v>
      </c>
      <c r="AK52" s="209">
        <f t="shared" ref="AK52:BN52" si="181">AK25*$EF52*1000</f>
        <v>5004.8848118396772</v>
      </c>
      <c r="AL52" s="209">
        <f t="shared" si="181"/>
        <v>5295.9475012333132</v>
      </c>
      <c r="AM52" s="209">
        <f t="shared" si="181"/>
        <v>5583.4976698943992</v>
      </c>
      <c r="AN52" s="209">
        <f t="shared" si="181"/>
        <v>5865.5306582145686</v>
      </c>
      <c r="AO52" s="209">
        <f t="shared" si="181"/>
        <v>6140.0132441198739</v>
      </c>
      <c r="AP52" s="209">
        <f t="shared" si="181"/>
        <v>6418.7213421411652</v>
      </c>
      <c r="AQ52" s="209">
        <f t="shared" si="181"/>
        <v>6701.335818881249</v>
      </c>
      <c r="AR52" s="209">
        <f t="shared" si="181"/>
        <v>6987.4855202731997</v>
      </c>
      <c r="AS52" s="209">
        <f t="shared" si="181"/>
        <v>7276.7199594179392</v>
      </c>
      <c r="AT52" s="209">
        <f t="shared" si="181"/>
        <v>7568.5353439879891</v>
      </c>
      <c r="AU52" s="209">
        <f t="shared" si="181"/>
        <v>7802.8086322221261</v>
      </c>
      <c r="AV52" s="209">
        <f t="shared" si="181"/>
        <v>8021.5197930505456</v>
      </c>
      <c r="AW52" s="209">
        <f t="shared" si="181"/>
        <v>8223.0724320755526</v>
      </c>
      <c r="AX52" s="209">
        <f t="shared" si="181"/>
        <v>8405.1941747048641</v>
      </c>
      <c r="AY52" s="209">
        <f t="shared" si="181"/>
        <v>8565.7647832462208</v>
      </c>
      <c r="AZ52" s="209">
        <f t="shared" si="181"/>
        <v>8719.3502403934945</v>
      </c>
      <c r="BA52" s="209">
        <f t="shared" si="181"/>
        <v>8866.3379864560939</v>
      </c>
      <c r="BB52" s="209">
        <f t="shared" si="181"/>
        <v>9007.3034242723006</v>
      </c>
      <c r="BC52" s="209">
        <f t="shared" si="181"/>
        <v>9142.9045879442474</v>
      </c>
      <c r="BD52" s="209">
        <f t="shared" si="181"/>
        <v>9278.1830955310743</v>
      </c>
      <c r="BE52" s="209">
        <f t="shared" si="181"/>
        <v>9312.5287388408742</v>
      </c>
      <c r="BF52" s="209">
        <f t="shared" si="181"/>
        <v>9338.2179888730079</v>
      </c>
      <c r="BG52" s="209">
        <f t="shared" si="181"/>
        <v>9353.6473655626723</v>
      </c>
      <c r="BH52" s="209">
        <f t="shared" si="181"/>
        <v>9356.8445036898265</v>
      </c>
      <c r="BI52" s="209">
        <f t="shared" si="181"/>
        <v>9346.630755204571</v>
      </c>
      <c r="BJ52" s="209">
        <f t="shared" si="181"/>
        <v>9321.5829456920983</v>
      </c>
      <c r="BK52" s="209">
        <f t="shared" si="181"/>
        <v>9279.5943121205783</v>
      </c>
      <c r="BL52" s="209">
        <f t="shared" si="181"/>
        <v>9218.9189018665274</v>
      </c>
      <c r="BM52" s="209">
        <f t="shared" si="181"/>
        <v>9136.0332641128898</v>
      </c>
      <c r="BN52" s="209">
        <f t="shared" si="181"/>
        <v>9044.1521053956658</v>
      </c>
      <c r="BO52" s="209"/>
      <c r="BP52" s="209">
        <f>BP25*$EF52*1000</f>
        <v>4705.4749598216831</v>
      </c>
      <c r="BQ52" s="209">
        <f t="shared" ref="BQ52:CT52" si="182">BQ25*$EF52*1000</f>
        <v>4934.290618417177</v>
      </c>
      <c r="BR52" s="209">
        <f t="shared" si="182"/>
        <v>5158.3686036998497</v>
      </c>
      <c r="BS52" s="209">
        <f t="shared" si="182"/>
        <v>5376.1869621828473</v>
      </c>
      <c r="BT52" s="209">
        <f t="shared" si="182"/>
        <v>5586.2127103961111</v>
      </c>
      <c r="BU52" s="209">
        <f t="shared" si="182"/>
        <v>5786.9182947246218</v>
      </c>
      <c r="BV52" s="209">
        <f t="shared" si="182"/>
        <v>5990.9386033918463</v>
      </c>
      <c r="BW52" s="209">
        <f t="shared" si="182"/>
        <v>6198.1436444846695</v>
      </c>
      <c r="BX52" s="209">
        <f t="shared" si="182"/>
        <v>6408.3936633786934</v>
      </c>
      <c r="BY52" s="209">
        <f t="shared" si="182"/>
        <v>6621.5391211862398</v>
      </c>
      <c r="BZ52" s="209">
        <f t="shared" si="182"/>
        <v>6837.4206978355023</v>
      </c>
      <c r="CA52" s="209">
        <f t="shared" si="182"/>
        <v>7044.822850497917</v>
      </c>
      <c r="CB52" s="209">
        <f t="shared" si="182"/>
        <v>7242.5609108100789</v>
      </c>
      <c r="CC52" s="209">
        <f t="shared" si="182"/>
        <v>7429.4709967066165</v>
      </c>
      <c r="CD52" s="209">
        <f t="shared" si="182"/>
        <v>7604.4200520804752</v>
      </c>
      <c r="CE52" s="209">
        <f t="shared" si="182"/>
        <v>7766.3158671065094</v>
      </c>
      <c r="CF52" s="209">
        <f t="shared" si="182"/>
        <v>7929.7500435860502</v>
      </c>
      <c r="CG52" s="209">
        <f t="shared" si="182"/>
        <v>8094.6931057264155</v>
      </c>
      <c r="CH52" s="209">
        <f t="shared" si="182"/>
        <v>8261.1142437644539</v>
      </c>
      <c r="CI52" s="209">
        <f t="shared" si="182"/>
        <v>8428.981303493103</v>
      </c>
      <c r="CJ52" s="209">
        <f t="shared" si="182"/>
        <v>8598.2607763562082</v>
      </c>
      <c r="CK52" s="209">
        <f t="shared" si="182"/>
        <v>8769.0239913004589</v>
      </c>
      <c r="CL52" s="209">
        <f t="shared" si="182"/>
        <v>8941.2413345202749</v>
      </c>
      <c r="CM52" s="209">
        <f t="shared" si="182"/>
        <v>9114.8819508907764</v>
      </c>
      <c r="CN52" s="209">
        <f t="shared" si="182"/>
        <v>9289.9137341262594</v>
      </c>
      <c r="CO52" s="209">
        <f t="shared" si="182"/>
        <v>9466.3033173772437</v>
      </c>
      <c r="CP52" s="209">
        <f t="shared" si="182"/>
        <v>9644.1166638219056</v>
      </c>
      <c r="CQ52" s="209">
        <f t="shared" si="182"/>
        <v>9823.3238245623543</v>
      </c>
      <c r="CR52" s="209">
        <f t="shared" si="182"/>
        <v>10003.893683404545</v>
      </c>
      <c r="CS52" s="209">
        <f t="shared" si="182"/>
        <v>10185.793947395628</v>
      </c>
      <c r="CT52" s="209">
        <f t="shared" si="182"/>
        <v>10368.991137696932</v>
      </c>
      <c r="CU52" s="209"/>
      <c r="CV52" s="209">
        <f>CV25*$EF52*1000</f>
        <v>4705.4736907514844</v>
      </c>
      <c r="CW52" s="209">
        <f t="shared" ref="CW52:DZ52" si="183">CW25*$EF52*1000</f>
        <v>5004.8848118396772</v>
      </c>
      <c r="CX52" s="209">
        <f t="shared" si="183"/>
        <v>5295.9475012333132</v>
      </c>
      <c r="CY52" s="209">
        <f t="shared" si="183"/>
        <v>5583.4976698943992</v>
      </c>
      <c r="CZ52" s="209">
        <f t="shared" si="183"/>
        <v>5865.5306582145686</v>
      </c>
      <c r="DA52" s="209">
        <f t="shared" si="183"/>
        <v>6140.0132441198739</v>
      </c>
      <c r="DB52" s="209">
        <f t="shared" si="183"/>
        <v>6418.7213421411652</v>
      </c>
      <c r="DC52" s="209">
        <f t="shared" si="183"/>
        <v>6701.335818881249</v>
      </c>
      <c r="DD52" s="209">
        <f t="shared" si="183"/>
        <v>6987.4855202731997</v>
      </c>
      <c r="DE52" s="209">
        <f t="shared" si="183"/>
        <v>7276.7199594179392</v>
      </c>
      <c r="DF52" s="209">
        <f t="shared" si="183"/>
        <v>7568.5353439879882</v>
      </c>
      <c r="DG52" s="209">
        <f t="shared" si="183"/>
        <v>7802.8086322221261</v>
      </c>
      <c r="DH52" s="209">
        <f t="shared" si="183"/>
        <v>8021.5197930505456</v>
      </c>
      <c r="DI52" s="209">
        <f t="shared" si="183"/>
        <v>8222.4904529863052</v>
      </c>
      <c r="DJ52" s="209">
        <f t="shared" si="183"/>
        <v>8403.9879889677977</v>
      </c>
      <c r="DK52" s="209">
        <f t="shared" si="183"/>
        <v>8563.8944013068212</v>
      </c>
      <c r="DL52" s="209">
        <f t="shared" si="183"/>
        <v>8716.7737304097263</v>
      </c>
      <c r="DM52" s="209">
        <f t="shared" si="183"/>
        <v>8863.012526139617</v>
      </c>
      <c r="DN52" s="209">
        <f t="shared" si="183"/>
        <v>9003.1853072090562</v>
      </c>
      <c r="DO52" s="209">
        <f t="shared" si="183"/>
        <v>9137.949230680244</v>
      </c>
      <c r="DP52" s="209">
        <f t="shared" si="183"/>
        <v>9272.3450454315316</v>
      </c>
      <c r="DQ52" s="209">
        <f t="shared" si="183"/>
        <v>9305.7616081951128</v>
      </c>
      <c r="DR52" s="209">
        <f t="shared" si="183"/>
        <v>9330.4745064697054</v>
      </c>
      <c r="DS52" s="209">
        <f t="shared" si="183"/>
        <v>9342.8938095959238</v>
      </c>
      <c r="DT52" s="209">
        <f t="shared" si="183"/>
        <v>9342.9170929476004</v>
      </c>
      <c r="DU52" s="209">
        <f t="shared" si="183"/>
        <v>9329.3626601602682</v>
      </c>
      <c r="DV52" s="209">
        <f t="shared" si="183"/>
        <v>9300.8041203004614</v>
      </c>
      <c r="DW52" s="209">
        <f t="shared" si="183"/>
        <v>9255.1316161972663</v>
      </c>
      <c r="DX52" s="209">
        <f t="shared" si="183"/>
        <v>9190.5961241212863</v>
      </c>
      <c r="DY52" s="209">
        <f t="shared" si="183"/>
        <v>9103.6711473890991</v>
      </c>
      <c r="DZ52" s="209">
        <f t="shared" si="183"/>
        <v>9007.568374135506</v>
      </c>
      <c r="EF52" s="51">
        <v>0.1</v>
      </c>
      <c r="EI52" s="26"/>
      <c r="EM52" t="s">
        <v>99</v>
      </c>
    </row>
    <row r="53" spans="1:146">
      <c r="A53" s="1"/>
      <c r="B53" t="str">
        <f t="shared" si="165"/>
        <v>Landfill</v>
      </c>
      <c r="C53" s="54" t="s">
        <v>97</v>
      </c>
      <c r="D53" s="209">
        <f>D26*$EF53*1000</f>
        <v>10881.40553332263</v>
      </c>
      <c r="E53" s="209">
        <f t="shared" ref="E53:AH53" si="184">E26*$EF53*1000</f>
        <v>11250.89511440788</v>
      </c>
      <c r="F53" s="209">
        <f t="shared" si="184"/>
        <v>11584.87407240245</v>
      </c>
      <c r="G53" s="209">
        <f t="shared" si="184"/>
        <v>11896.633573988687</v>
      </c>
      <c r="H53" s="209">
        <f t="shared" si="184"/>
        <v>12183.86580351271</v>
      </c>
      <c r="I53" s="209">
        <f t="shared" si="184"/>
        <v>12444.389479441825</v>
      </c>
      <c r="J53" s="209">
        <f t="shared" si="184"/>
        <v>12703.510192192231</v>
      </c>
      <c r="K53" s="209">
        <f t="shared" si="184"/>
        <v>12960.772999208852</v>
      </c>
      <c r="L53" s="209">
        <f t="shared" si="184"/>
        <v>13215.607810302386</v>
      </c>
      <c r="M53" s="209">
        <f t="shared" si="184"/>
        <v>13467.249606666901</v>
      </c>
      <c r="N53" s="209">
        <f t="shared" si="184"/>
        <v>13714.731708126474</v>
      </c>
      <c r="O53" s="209">
        <f t="shared" si="184"/>
        <v>13851.354683173036</v>
      </c>
      <c r="P53" s="209">
        <f t="shared" si="184"/>
        <v>13956.127212408081</v>
      </c>
      <c r="Q53" s="209">
        <f t="shared" si="184"/>
        <v>14028.175043314348</v>
      </c>
      <c r="R53" s="209">
        <f t="shared" si="184"/>
        <v>14064.367489055523</v>
      </c>
      <c r="S53" s="209">
        <f t="shared" si="184"/>
        <v>14062.160403005852</v>
      </c>
      <c r="T53" s="209">
        <f t="shared" si="184"/>
        <v>14047.156359616807</v>
      </c>
      <c r="U53" s="209">
        <f t="shared" si="184"/>
        <v>14021.432976754419</v>
      </c>
      <c r="V53" s="209">
        <f t="shared" si="184"/>
        <v>13987.462399346769</v>
      </c>
      <c r="W53" s="209">
        <f t="shared" si="184"/>
        <v>13947.776394638517</v>
      </c>
      <c r="X53" s="209">
        <f t="shared" si="184"/>
        <v>13911.168943749182</v>
      </c>
      <c r="Y53" s="209">
        <f t="shared" si="184"/>
        <v>13730.012207315529</v>
      </c>
      <c r="Z53" s="209">
        <f t="shared" si="184"/>
        <v>13541.711108738482</v>
      </c>
      <c r="AA53" s="209">
        <f t="shared" si="184"/>
        <v>13346.331358581421</v>
      </c>
      <c r="AB53" s="209">
        <f t="shared" si="184"/>
        <v>13141.123298742768</v>
      </c>
      <c r="AC53" s="209">
        <f t="shared" si="184"/>
        <v>12923.979727965776</v>
      </c>
      <c r="AD53" s="209">
        <f t="shared" si="184"/>
        <v>12692.227648362777</v>
      </c>
      <c r="AE53" s="209">
        <f t="shared" si="184"/>
        <v>12442.565494832848</v>
      </c>
      <c r="AF53" s="209">
        <f t="shared" si="184"/>
        <v>12171.75121477528</v>
      </c>
      <c r="AG53" s="209">
        <f t="shared" si="184"/>
        <v>11872.978335742277</v>
      </c>
      <c r="AH53" s="209">
        <f t="shared" si="184"/>
        <v>11560.267483493149</v>
      </c>
      <c r="AI53" s="209"/>
      <c r="AJ53" s="209">
        <f>AJ26*$EF53*1000</f>
        <v>10881.407909862806</v>
      </c>
      <c r="AK53" s="209">
        <f t="shared" ref="AK53:BN53" si="185">AK26*$EF53*1000</f>
        <v>11250.900333067015</v>
      </c>
      <c r="AL53" s="209">
        <f t="shared" si="185"/>
        <v>11584.885158947871</v>
      </c>
      <c r="AM53" s="209">
        <f t="shared" si="185"/>
        <v>11896.656967104542</v>
      </c>
      <c r="AN53" s="209">
        <f t="shared" si="185"/>
        <v>12183.91478636482</v>
      </c>
      <c r="AO53" s="209">
        <f t="shared" si="185"/>
        <v>12444.491128707241</v>
      </c>
      <c r="AP53" s="209">
        <f t="shared" si="185"/>
        <v>12703.719322987718</v>
      </c>
      <c r="AQ53" s="209">
        <f t="shared" si="185"/>
        <v>12961.198501045657</v>
      </c>
      <c r="AR53" s="209">
        <f t="shared" si="185"/>
        <v>13216.461099200951</v>
      </c>
      <c r="AS53" s="209">
        <f t="shared" si="185"/>
        <v>13468.928771038009</v>
      </c>
      <c r="AT53" s="209">
        <f t="shared" si="185"/>
        <v>13717.970310978229</v>
      </c>
      <c r="AU53" s="209">
        <f t="shared" si="185"/>
        <v>13857.122037406669</v>
      </c>
      <c r="AV53" s="209">
        <f t="shared" si="185"/>
        <v>13966.0389254005</v>
      </c>
      <c r="AW53" s="209">
        <f t="shared" si="185"/>
        <v>14043.764691408098</v>
      </c>
      <c r="AX53" s="209">
        <f t="shared" si="185"/>
        <v>14088.25159964735</v>
      </c>
      <c r="AY53" s="209">
        <f t="shared" si="185"/>
        <v>14097.821205759403</v>
      </c>
      <c r="AZ53" s="209">
        <f t="shared" si="185"/>
        <v>14097.862481070993</v>
      </c>
      <c r="BA53" s="209">
        <f t="shared" si="185"/>
        <v>14089.459965179558</v>
      </c>
      <c r="BB53" s="209">
        <f t="shared" si="185"/>
        <v>14073.911600425465</v>
      </c>
      <c r="BC53" s="209">
        <f t="shared" si="185"/>
        <v>14052.551056725522</v>
      </c>
      <c r="BD53" s="209">
        <f t="shared" si="185"/>
        <v>14033.251931990741</v>
      </c>
      <c r="BE53" s="209">
        <f t="shared" si="185"/>
        <v>13866.081394229965</v>
      </c>
      <c r="BF53" s="209">
        <f t="shared" si="185"/>
        <v>13693.060031760886</v>
      </c>
      <c r="BG53" s="209">
        <f t="shared" si="185"/>
        <v>13512.049555205493</v>
      </c>
      <c r="BH53" s="209">
        <f t="shared" si="185"/>
        <v>13320.50780039175</v>
      </c>
      <c r="BI53" s="209">
        <f t="shared" si="185"/>
        <v>13117.146571224579</v>
      </c>
      <c r="BJ53" s="209">
        <f t="shared" si="185"/>
        <v>12900.404969484582</v>
      </c>
      <c r="BK53" s="209">
        <f t="shared" si="185"/>
        <v>12667.867235296164</v>
      </c>
      <c r="BL53" s="209">
        <f t="shared" si="185"/>
        <v>12417.724813936571</v>
      </c>
      <c r="BM53" s="209">
        <f t="shared" si="185"/>
        <v>12145.891680573788</v>
      </c>
      <c r="BN53" s="209">
        <f t="shared" si="185"/>
        <v>11870.449638331813</v>
      </c>
      <c r="BO53" s="209"/>
      <c r="BP53" s="209">
        <f>BP26*$EF53*1000</f>
        <v>10881.410844587641</v>
      </c>
      <c r="BQ53" s="209">
        <f t="shared" ref="BQ53:CT53" si="186">BQ26*$EF53*1000</f>
        <v>11042.784084532559</v>
      </c>
      <c r="BR53" s="209">
        <f t="shared" si="186"/>
        <v>11169.481326695332</v>
      </c>
      <c r="BS53" s="209">
        <f t="shared" si="186"/>
        <v>11260.232740889591</v>
      </c>
      <c r="BT53" s="209">
        <f t="shared" si="186"/>
        <v>11314.072652751558</v>
      </c>
      <c r="BU53" s="209">
        <f t="shared" si="186"/>
        <v>11330.355682724046</v>
      </c>
      <c r="BV53" s="209">
        <f t="shared" si="186"/>
        <v>11335.523041916598</v>
      </c>
      <c r="BW53" s="209">
        <f t="shared" si="186"/>
        <v>11329.316057849614</v>
      </c>
      <c r="BX53" s="209">
        <f t="shared" si="186"/>
        <v>11311.492440571012</v>
      </c>
      <c r="BY53" s="209">
        <f t="shared" si="186"/>
        <v>11281.827293264138</v>
      </c>
      <c r="BZ53" s="209">
        <f t="shared" si="186"/>
        <v>11240.114099209299</v>
      </c>
      <c r="CA53" s="209">
        <f t="shared" si="186"/>
        <v>11168.652935731025</v>
      </c>
      <c r="CB53" s="209">
        <f t="shared" si="186"/>
        <v>11067.636370198969</v>
      </c>
      <c r="CC53" s="209">
        <f t="shared" si="186"/>
        <v>10937.464169785906</v>
      </c>
      <c r="CD53" s="209">
        <f t="shared" si="186"/>
        <v>10778.742183912254</v>
      </c>
      <c r="CE53" s="209">
        <f t="shared" si="186"/>
        <v>10592.27897058246</v>
      </c>
      <c r="CF53" s="209">
        <f t="shared" si="186"/>
        <v>10399.582412133936</v>
      </c>
      <c r="CG53" s="209">
        <f t="shared" si="186"/>
        <v>10200.640765449933</v>
      </c>
      <c r="CH53" s="209">
        <f t="shared" si="186"/>
        <v>9995.4455302342958</v>
      </c>
      <c r="CI53" s="209">
        <f t="shared" si="186"/>
        <v>9783.9915130376012</v>
      </c>
      <c r="CJ53" s="209">
        <f t="shared" si="186"/>
        <v>9566.2768902506396</v>
      </c>
      <c r="CK53" s="209">
        <f t="shared" si="186"/>
        <v>9342.4164155103936</v>
      </c>
      <c r="CL53" s="209">
        <f t="shared" si="186"/>
        <v>9112.4072134095568</v>
      </c>
      <c r="CM53" s="209">
        <f t="shared" si="186"/>
        <v>8876.2494809269065</v>
      </c>
      <c r="CN53" s="209">
        <f t="shared" si="186"/>
        <v>8633.9465429761458</v>
      </c>
      <c r="CO53" s="209">
        <f t="shared" si="186"/>
        <v>8385.5049071255344</v>
      </c>
      <c r="CP53" s="209">
        <f t="shared" si="186"/>
        <v>8131.0191335965974</v>
      </c>
      <c r="CQ53" s="209">
        <f t="shared" si="186"/>
        <v>7870.4943895590195</v>
      </c>
      <c r="CR53" s="209">
        <f t="shared" si="186"/>
        <v>7603.9387728203701</v>
      </c>
      <c r="CS53" s="209">
        <f t="shared" si="186"/>
        <v>7331.3633610460747</v>
      </c>
      <c r="CT53" s="209">
        <f t="shared" si="186"/>
        <v>7052.7822603253908</v>
      </c>
      <c r="CU53" s="209"/>
      <c r="CV53" s="209">
        <f>CV26*$EF53*1000</f>
        <v>10881.407909862806</v>
      </c>
      <c r="CW53" s="209">
        <f t="shared" ref="CW53:DZ53" si="187">CW26*$EF53*1000</f>
        <v>11250.900333067015</v>
      </c>
      <c r="CX53" s="209">
        <f t="shared" si="187"/>
        <v>11584.885158947871</v>
      </c>
      <c r="CY53" s="209">
        <f t="shared" si="187"/>
        <v>11896.656967104542</v>
      </c>
      <c r="CZ53" s="209">
        <f t="shared" si="187"/>
        <v>12183.91478636482</v>
      </c>
      <c r="DA53" s="209">
        <f t="shared" si="187"/>
        <v>12444.491128707241</v>
      </c>
      <c r="DB53" s="209">
        <f t="shared" si="187"/>
        <v>12703.719322987718</v>
      </c>
      <c r="DC53" s="209">
        <f t="shared" si="187"/>
        <v>12961.198501045657</v>
      </c>
      <c r="DD53" s="209">
        <f t="shared" si="187"/>
        <v>13216.461099200951</v>
      </c>
      <c r="DE53" s="209">
        <f t="shared" si="187"/>
        <v>13468.928771038009</v>
      </c>
      <c r="DF53" s="209">
        <f t="shared" si="187"/>
        <v>13717.970310978226</v>
      </c>
      <c r="DG53" s="209">
        <f t="shared" si="187"/>
        <v>13857.122037406669</v>
      </c>
      <c r="DH53" s="209">
        <f t="shared" si="187"/>
        <v>13966.0389254005</v>
      </c>
      <c r="DI53" s="209">
        <f t="shared" si="187"/>
        <v>14042.770759097246</v>
      </c>
      <c r="DJ53" s="209">
        <f t="shared" si="187"/>
        <v>14086.229867872156</v>
      </c>
      <c r="DK53" s="209">
        <f t="shared" si="187"/>
        <v>14094.742868817471</v>
      </c>
      <c r="DL53" s="209">
        <f t="shared" si="187"/>
        <v>14093.696656504846</v>
      </c>
      <c r="DM53" s="209">
        <f t="shared" si="187"/>
        <v>14084.175490341537</v>
      </c>
      <c r="DN53" s="209">
        <f t="shared" si="187"/>
        <v>14067.477042514141</v>
      </c>
      <c r="DO53" s="209">
        <f t="shared" si="187"/>
        <v>14044.934723175618</v>
      </c>
      <c r="DP53" s="209">
        <f t="shared" si="187"/>
        <v>14024.421881215179</v>
      </c>
      <c r="DQ53" s="209">
        <f t="shared" si="187"/>
        <v>13856.005335731681</v>
      </c>
      <c r="DR53" s="209">
        <f t="shared" si="187"/>
        <v>13681.705406121431</v>
      </c>
      <c r="DS53" s="209">
        <f t="shared" si="187"/>
        <v>13496.515232022399</v>
      </c>
      <c r="DT53" s="209">
        <f t="shared" si="187"/>
        <v>13300.680583710111</v>
      </c>
      <c r="DU53" s="209">
        <f t="shared" si="187"/>
        <v>13092.91236965672</v>
      </c>
      <c r="DV53" s="209">
        <f t="shared" si="187"/>
        <v>12871.648559344369</v>
      </c>
      <c r="DW53" s="209">
        <f t="shared" si="187"/>
        <v>12634.472436585063</v>
      </c>
      <c r="DX53" s="209">
        <f t="shared" si="187"/>
        <v>12379.574520637489</v>
      </c>
      <c r="DY53" s="209">
        <f t="shared" si="187"/>
        <v>12102.867891920865</v>
      </c>
      <c r="DZ53" s="209">
        <f t="shared" si="187"/>
        <v>11822.433491052849</v>
      </c>
      <c r="EF53" s="51">
        <v>0.1</v>
      </c>
      <c r="EI53" s="26"/>
      <c r="EM53" t="s">
        <v>99</v>
      </c>
    </row>
    <row r="54" spans="1:146">
      <c r="A54" s="1"/>
      <c r="B54" t="str">
        <f t="shared" si="165"/>
        <v>Dumpsite</v>
      </c>
      <c r="C54" s="54" t="s">
        <v>97</v>
      </c>
      <c r="D54" s="209">
        <f t="shared" ref="D54:AH54" si="188">D26*$EF54*1000</f>
        <v>0</v>
      </c>
      <c r="E54" s="209">
        <f t="shared" si="188"/>
        <v>0</v>
      </c>
      <c r="F54" s="209">
        <f t="shared" si="188"/>
        <v>0</v>
      </c>
      <c r="G54" s="209">
        <f t="shared" si="188"/>
        <v>0</v>
      </c>
      <c r="H54" s="209">
        <f t="shared" si="188"/>
        <v>0</v>
      </c>
      <c r="I54" s="209">
        <f t="shared" si="188"/>
        <v>0</v>
      </c>
      <c r="J54" s="209">
        <f t="shared" si="188"/>
        <v>0</v>
      </c>
      <c r="K54" s="209">
        <f t="shared" si="188"/>
        <v>0</v>
      </c>
      <c r="L54" s="209">
        <f t="shared" si="188"/>
        <v>0</v>
      </c>
      <c r="M54" s="209">
        <f t="shared" si="188"/>
        <v>0</v>
      </c>
      <c r="N54" s="209">
        <f t="shared" si="188"/>
        <v>0</v>
      </c>
      <c r="O54" s="209">
        <f t="shared" si="188"/>
        <v>0</v>
      </c>
      <c r="P54" s="209">
        <f t="shared" si="188"/>
        <v>0</v>
      </c>
      <c r="Q54" s="209">
        <f t="shared" si="188"/>
        <v>0</v>
      </c>
      <c r="R54" s="209">
        <f t="shared" si="188"/>
        <v>0</v>
      </c>
      <c r="S54" s="209">
        <f t="shared" si="188"/>
        <v>0</v>
      </c>
      <c r="T54" s="209">
        <f t="shared" si="188"/>
        <v>0</v>
      </c>
      <c r="U54" s="209">
        <f t="shared" si="188"/>
        <v>0</v>
      </c>
      <c r="V54" s="209">
        <f t="shared" si="188"/>
        <v>0</v>
      </c>
      <c r="W54" s="209">
        <f t="shared" si="188"/>
        <v>0</v>
      </c>
      <c r="X54" s="209">
        <f t="shared" si="188"/>
        <v>0</v>
      </c>
      <c r="Y54" s="209">
        <f t="shared" si="188"/>
        <v>0</v>
      </c>
      <c r="Z54" s="209">
        <f t="shared" si="188"/>
        <v>0</v>
      </c>
      <c r="AA54" s="209">
        <f t="shared" si="188"/>
        <v>0</v>
      </c>
      <c r="AB54" s="209">
        <f t="shared" si="188"/>
        <v>0</v>
      </c>
      <c r="AC54" s="209">
        <f t="shared" si="188"/>
        <v>0</v>
      </c>
      <c r="AD54" s="209">
        <f t="shared" si="188"/>
        <v>0</v>
      </c>
      <c r="AE54" s="209">
        <f t="shared" si="188"/>
        <v>0</v>
      </c>
      <c r="AF54" s="209">
        <f t="shared" si="188"/>
        <v>0</v>
      </c>
      <c r="AG54" s="209">
        <f t="shared" si="188"/>
        <v>0</v>
      </c>
      <c r="AH54" s="209">
        <f t="shared" si="188"/>
        <v>0</v>
      </c>
      <c r="AI54" s="209"/>
      <c r="AJ54" s="209">
        <f t="shared" ref="AJ54:BN54" si="189">AJ26*$EF54*1000</f>
        <v>0</v>
      </c>
      <c r="AK54" s="209">
        <f t="shared" si="189"/>
        <v>0</v>
      </c>
      <c r="AL54" s="209">
        <f t="shared" si="189"/>
        <v>0</v>
      </c>
      <c r="AM54" s="209">
        <f t="shared" si="189"/>
        <v>0</v>
      </c>
      <c r="AN54" s="209">
        <f t="shared" si="189"/>
        <v>0</v>
      </c>
      <c r="AO54" s="209">
        <f t="shared" si="189"/>
        <v>0</v>
      </c>
      <c r="AP54" s="209">
        <f t="shared" si="189"/>
        <v>0</v>
      </c>
      <c r="AQ54" s="209">
        <f t="shared" si="189"/>
        <v>0</v>
      </c>
      <c r="AR54" s="209">
        <f t="shared" si="189"/>
        <v>0</v>
      </c>
      <c r="AS54" s="209">
        <f t="shared" si="189"/>
        <v>0</v>
      </c>
      <c r="AT54" s="209">
        <f t="shared" si="189"/>
        <v>0</v>
      </c>
      <c r="AU54" s="209">
        <f t="shared" si="189"/>
        <v>0</v>
      </c>
      <c r="AV54" s="209">
        <f t="shared" si="189"/>
        <v>0</v>
      </c>
      <c r="AW54" s="209">
        <f t="shared" si="189"/>
        <v>0</v>
      </c>
      <c r="AX54" s="209">
        <f t="shared" si="189"/>
        <v>0</v>
      </c>
      <c r="AY54" s="209">
        <f t="shared" si="189"/>
        <v>0</v>
      </c>
      <c r="AZ54" s="209">
        <f t="shared" si="189"/>
        <v>0</v>
      </c>
      <c r="BA54" s="209">
        <f t="shared" si="189"/>
        <v>0</v>
      </c>
      <c r="BB54" s="209">
        <f t="shared" si="189"/>
        <v>0</v>
      </c>
      <c r="BC54" s="209">
        <f t="shared" si="189"/>
        <v>0</v>
      </c>
      <c r="BD54" s="209">
        <f t="shared" si="189"/>
        <v>0</v>
      </c>
      <c r="BE54" s="209">
        <f t="shared" si="189"/>
        <v>0</v>
      </c>
      <c r="BF54" s="209">
        <f t="shared" si="189"/>
        <v>0</v>
      </c>
      <c r="BG54" s="209">
        <f t="shared" si="189"/>
        <v>0</v>
      </c>
      <c r="BH54" s="209">
        <f t="shared" si="189"/>
        <v>0</v>
      </c>
      <c r="BI54" s="209">
        <f t="shared" si="189"/>
        <v>0</v>
      </c>
      <c r="BJ54" s="209">
        <f t="shared" si="189"/>
        <v>0</v>
      </c>
      <c r="BK54" s="209">
        <f t="shared" si="189"/>
        <v>0</v>
      </c>
      <c r="BL54" s="209">
        <f t="shared" si="189"/>
        <v>0</v>
      </c>
      <c r="BM54" s="209">
        <f t="shared" si="189"/>
        <v>0</v>
      </c>
      <c r="BN54" s="209">
        <f t="shared" si="189"/>
        <v>0</v>
      </c>
      <c r="BO54" s="209"/>
      <c r="BP54" s="209">
        <f t="shared" ref="BP54:CT54" si="190">BP26*$EF54*1000</f>
        <v>0</v>
      </c>
      <c r="BQ54" s="209">
        <f t="shared" si="190"/>
        <v>0</v>
      </c>
      <c r="BR54" s="209">
        <f t="shared" si="190"/>
        <v>0</v>
      </c>
      <c r="BS54" s="209">
        <f t="shared" si="190"/>
        <v>0</v>
      </c>
      <c r="BT54" s="209">
        <f t="shared" si="190"/>
        <v>0</v>
      </c>
      <c r="BU54" s="209">
        <f t="shared" si="190"/>
        <v>0</v>
      </c>
      <c r="BV54" s="209">
        <f t="shared" si="190"/>
        <v>0</v>
      </c>
      <c r="BW54" s="209">
        <f t="shared" si="190"/>
        <v>0</v>
      </c>
      <c r="BX54" s="209">
        <f t="shared" si="190"/>
        <v>0</v>
      </c>
      <c r="BY54" s="209">
        <f t="shared" si="190"/>
        <v>0</v>
      </c>
      <c r="BZ54" s="209">
        <f t="shared" si="190"/>
        <v>0</v>
      </c>
      <c r="CA54" s="209">
        <f t="shared" si="190"/>
        <v>0</v>
      </c>
      <c r="CB54" s="209">
        <f t="shared" si="190"/>
        <v>0</v>
      </c>
      <c r="CC54" s="209">
        <f t="shared" si="190"/>
        <v>0</v>
      </c>
      <c r="CD54" s="209">
        <f t="shared" si="190"/>
        <v>0</v>
      </c>
      <c r="CE54" s="209">
        <f t="shared" si="190"/>
        <v>0</v>
      </c>
      <c r="CF54" s="209">
        <f t="shared" si="190"/>
        <v>0</v>
      </c>
      <c r="CG54" s="209">
        <f t="shared" si="190"/>
        <v>0</v>
      </c>
      <c r="CH54" s="209">
        <f t="shared" si="190"/>
        <v>0</v>
      </c>
      <c r="CI54" s="209">
        <f t="shared" si="190"/>
        <v>0</v>
      </c>
      <c r="CJ54" s="209">
        <f t="shared" si="190"/>
        <v>0</v>
      </c>
      <c r="CK54" s="209">
        <f t="shared" si="190"/>
        <v>0</v>
      </c>
      <c r="CL54" s="209">
        <f t="shared" si="190"/>
        <v>0</v>
      </c>
      <c r="CM54" s="209">
        <f t="shared" si="190"/>
        <v>0</v>
      </c>
      <c r="CN54" s="209">
        <f t="shared" si="190"/>
        <v>0</v>
      </c>
      <c r="CO54" s="209">
        <f t="shared" si="190"/>
        <v>0</v>
      </c>
      <c r="CP54" s="209">
        <f t="shared" si="190"/>
        <v>0</v>
      </c>
      <c r="CQ54" s="209">
        <f t="shared" si="190"/>
        <v>0</v>
      </c>
      <c r="CR54" s="209">
        <f t="shared" si="190"/>
        <v>0</v>
      </c>
      <c r="CS54" s="209">
        <f t="shared" si="190"/>
        <v>0</v>
      </c>
      <c r="CT54" s="209">
        <f t="shared" si="190"/>
        <v>0</v>
      </c>
      <c r="CU54" s="209"/>
      <c r="CV54" s="209">
        <f t="shared" ref="CV54:DZ54" si="191">CV26*$EF54*1000</f>
        <v>0</v>
      </c>
      <c r="CW54" s="209">
        <f t="shared" si="191"/>
        <v>0</v>
      </c>
      <c r="CX54" s="209">
        <f t="shared" si="191"/>
        <v>0</v>
      </c>
      <c r="CY54" s="209">
        <f t="shared" si="191"/>
        <v>0</v>
      </c>
      <c r="CZ54" s="209">
        <f t="shared" si="191"/>
        <v>0</v>
      </c>
      <c r="DA54" s="209">
        <f t="shared" si="191"/>
        <v>0</v>
      </c>
      <c r="DB54" s="209">
        <f t="shared" si="191"/>
        <v>0</v>
      </c>
      <c r="DC54" s="209">
        <f t="shared" si="191"/>
        <v>0</v>
      </c>
      <c r="DD54" s="209">
        <f t="shared" si="191"/>
        <v>0</v>
      </c>
      <c r="DE54" s="209">
        <f t="shared" si="191"/>
        <v>0</v>
      </c>
      <c r="DF54" s="209">
        <f t="shared" si="191"/>
        <v>0</v>
      </c>
      <c r="DG54" s="209">
        <f t="shared" si="191"/>
        <v>0</v>
      </c>
      <c r="DH54" s="209">
        <f t="shared" si="191"/>
        <v>0</v>
      </c>
      <c r="DI54" s="209">
        <f t="shared" si="191"/>
        <v>0</v>
      </c>
      <c r="DJ54" s="209">
        <f t="shared" si="191"/>
        <v>0</v>
      </c>
      <c r="DK54" s="209">
        <f t="shared" si="191"/>
        <v>0</v>
      </c>
      <c r="DL54" s="209">
        <f t="shared" si="191"/>
        <v>0</v>
      </c>
      <c r="DM54" s="209">
        <f t="shared" si="191"/>
        <v>0</v>
      </c>
      <c r="DN54" s="209">
        <f t="shared" si="191"/>
        <v>0</v>
      </c>
      <c r="DO54" s="209">
        <f t="shared" si="191"/>
        <v>0</v>
      </c>
      <c r="DP54" s="209">
        <f t="shared" si="191"/>
        <v>0</v>
      </c>
      <c r="DQ54" s="209">
        <f t="shared" si="191"/>
        <v>0</v>
      </c>
      <c r="DR54" s="209">
        <f t="shared" si="191"/>
        <v>0</v>
      </c>
      <c r="DS54" s="209">
        <f t="shared" si="191"/>
        <v>0</v>
      </c>
      <c r="DT54" s="209">
        <f t="shared" si="191"/>
        <v>0</v>
      </c>
      <c r="DU54" s="209">
        <f t="shared" si="191"/>
        <v>0</v>
      </c>
      <c r="DV54" s="209">
        <f t="shared" si="191"/>
        <v>0</v>
      </c>
      <c r="DW54" s="209">
        <f t="shared" si="191"/>
        <v>0</v>
      </c>
      <c r="DX54" s="209">
        <f t="shared" si="191"/>
        <v>0</v>
      </c>
      <c r="DY54" s="209">
        <f t="shared" si="191"/>
        <v>0</v>
      </c>
      <c r="DZ54" s="209">
        <f t="shared" si="191"/>
        <v>0</v>
      </c>
      <c r="EF54" s="51">
        <v>0</v>
      </c>
      <c r="EI54" s="26"/>
      <c r="EM54" t="s">
        <v>99</v>
      </c>
    </row>
    <row r="55" spans="1:146">
      <c r="A55" s="1"/>
      <c r="B55" t="str">
        <f t="shared" si="165"/>
        <v>Open Burning</v>
      </c>
      <c r="C55" s="54" t="s">
        <v>97</v>
      </c>
      <c r="D55" s="209">
        <f t="shared" ref="D55:AH55" si="192">D27*$EF55*1000</f>
        <v>0</v>
      </c>
      <c r="E55" s="209">
        <f t="shared" si="192"/>
        <v>0</v>
      </c>
      <c r="F55" s="209">
        <f t="shared" si="192"/>
        <v>0</v>
      </c>
      <c r="G55" s="209">
        <f t="shared" si="192"/>
        <v>0</v>
      </c>
      <c r="H55" s="209">
        <f t="shared" si="192"/>
        <v>0</v>
      </c>
      <c r="I55" s="209">
        <f t="shared" si="192"/>
        <v>0</v>
      </c>
      <c r="J55" s="209">
        <f t="shared" si="192"/>
        <v>0</v>
      </c>
      <c r="K55" s="209">
        <f t="shared" si="192"/>
        <v>0</v>
      </c>
      <c r="L55" s="209">
        <f t="shared" si="192"/>
        <v>0</v>
      </c>
      <c r="M55" s="209">
        <f t="shared" si="192"/>
        <v>0</v>
      </c>
      <c r="N55" s="209">
        <f t="shared" si="192"/>
        <v>0</v>
      </c>
      <c r="O55" s="209">
        <f t="shared" si="192"/>
        <v>0</v>
      </c>
      <c r="P55" s="209">
        <f t="shared" si="192"/>
        <v>0</v>
      </c>
      <c r="Q55" s="209">
        <f t="shared" si="192"/>
        <v>0</v>
      </c>
      <c r="R55" s="209">
        <f t="shared" si="192"/>
        <v>0</v>
      </c>
      <c r="S55" s="209">
        <f t="shared" si="192"/>
        <v>0</v>
      </c>
      <c r="T55" s="209">
        <f t="shared" si="192"/>
        <v>0</v>
      </c>
      <c r="U55" s="209">
        <f t="shared" si="192"/>
        <v>0</v>
      </c>
      <c r="V55" s="209">
        <f t="shared" si="192"/>
        <v>0</v>
      </c>
      <c r="W55" s="209">
        <f t="shared" si="192"/>
        <v>0</v>
      </c>
      <c r="X55" s="209">
        <f t="shared" si="192"/>
        <v>0</v>
      </c>
      <c r="Y55" s="209">
        <f t="shared" si="192"/>
        <v>0</v>
      </c>
      <c r="Z55" s="209">
        <f t="shared" si="192"/>
        <v>0</v>
      </c>
      <c r="AA55" s="209">
        <f t="shared" si="192"/>
        <v>0</v>
      </c>
      <c r="AB55" s="209">
        <f t="shared" si="192"/>
        <v>0</v>
      </c>
      <c r="AC55" s="209">
        <f t="shared" si="192"/>
        <v>0</v>
      </c>
      <c r="AD55" s="209">
        <f t="shared" si="192"/>
        <v>0</v>
      </c>
      <c r="AE55" s="209">
        <f t="shared" si="192"/>
        <v>0</v>
      </c>
      <c r="AF55" s="209">
        <f t="shared" si="192"/>
        <v>0</v>
      </c>
      <c r="AG55" s="209">
        <f t="shared" si="192"/>
        <v>0</v>
      </c>
      <c r="AH55" s="209">
        <f t="shared" si="192"/>
        <v>0</v>
      </c>
      <c r="AI55" s="209"/>
      <c r="AJ55" s="209">
        <f t="shared" ref="AJ55:BN55" si="193">AJ27*$EF55*1000</f>
        <v>0</v>
      </c>
      <c r="AK55" s="209">
        <f t="shared" si="193"/>
        <v>0</v>
      </c>
      <c r="AL55" s="209">
        <f t="shared" si="193"/>
        <v>0</v>
      </c>
      <c r="AM55" s="209">
        <f t="shared" si="193"/>
        <v>0</v>
      </c>
      <c r="AN55" s="209">
        <f t="shared" si="193"/>
        <v>0</v>
      </c>
      <c r="AO55" s="209">
        <f t="shared" si="193"/>
        <v>0</v>
      </c>
      <c r="AP55" s="209">
        <f t="shared" si="193"/>
        <v>0</v>
      </c>
      <c r="AQ55" s="209">
        <f t="shared" si="193"/>
        <v>0</v>
      </c>
      <c r="AR55" s="209">
        <f t="shared" si="193"/>
        <v>0</v>
      </c>
      <c r="AS55" s="209">
        <f t="shared" si="193"/>
        <v>0</v>
      </c>
      <c r="AT55" s="209">
        <f t="shared" si="193"/>
        <v>0</v>
      </c>
      <c r="AU55" s="209">
        <f t="shared" si="193"/>
        <v>0</v>
      </c>
      <c r="AV55" s="209">
        <f t="shared" si="193"/>
        <v>0</v>
      </c>
      <c r="AW55" s="209">
        <f t="shared" si="193"/>
        <v>0</v>
      </c>
      <c r="AX55" s="209">
        <f t="shared" si="193"/>
        <v>0</v>
      </c>
      <c r="AY55" s="209">
        <f t="shared" si="193"/>
        <v>0</v>
      </c>
      <c r="AZ55" s="209">
        <f t="shared" si="193"/>
        <v>0</v>
      </c>
      <c r="BA55" s="209">
        <f t="shared" si="193"/>
        <v>0</v>
      </c>
      <c r="BB55" s="209">
        <f t="shared" si="193"/>
        <v>0</v>
      </c>
      <c r="BC55" s="209">
        <f t="shared" si="193"/>
        <v>0</v>
      </c>
      <c r="BD55" s="209">
        <f t="shared" si="193"/>
        <v>0</v>
      </c>
      <c r="BE55" s="209">
        <f t="shared" si="193"/>
        <v>0</v>
      </c>
      <c r="BF55" s="209">
        <f t="shared" si="193"/>
        <v>0</v>
      </c>
      <c r="BG55" s="209">
        <f t="shared" si="193"/>
        <v>0</v>
      </c>
      <c r="BH55" s="209">
        <f t="shared" si="193"/>
        <v>0</v>
      </c>
      <c r="BI55" s="209">
        <f t="shared" si="193"/>
        <v>0</v>
      </c>
      <c r="BJ55" s="209">
        <f t="shared" si="193"/>
        <v>0</v>
      </c>
      <c r="BK55" s="209">
        <f t="shared" si="193"/>
        <v>0</v>
      </c>
      <c r="BL55" s="209">
        <f t="shared" si="193"/>
        <v>0</v>
      </c>
      <c r="BM55" s="209">
        <f t="shared" si="193"/>
        <v>0</v>
      </c>
      <c r="BN55" s="209">
        <f t="shared" si="193"/>
        <v>0</v>
      </c>
      <c r="BO55" s="209"/>
      <c r="BP55" s="209">
        <f t="shared" ref="BP55:CT55" si="194">BP27*$EF55*1000</f>
        <v>0</v>
      </c>
      <c r="BQ55" s="209">
        <f t="shared" si="194"/>
        <v>0</v>
      </c>
      <c r="BR55" s="209">
        <f t="shared" si="194"/>
        <v>0</v>
      </c>
      <c r="BS55" s="209">
        <f t="shared" si="194"/>
        <v>0</v>
      </c>
      <c r="BT55" s="209">
        <f t="shared" si="194"/>
        <v>0</v>
      </c>
      <c r="BU55" s="209">
        <f t="shared" si="194"/>
        <v>0</v>
      </c>
      <c r="BV55" s="209">
        <f t="shared" si="194"/>
        <v>0</v>
      </c>
      <c r="BW55" s="209">
        <f t="shared" si="194"/>
        <v>0</v>
      </c>
      <c r="BX55" s="209">
        <f t="shared" si="194"/>
        <v>0</v>
      </c>
      <c r="BY55" s="209">
        <f t="shared" si="194"/>
        <v>0</v>
      </c>
      <c r="BZ55" s="209">
        <f t="shared" si="194"/>
        <v>0</v>
      </c>
      <c r="CA55" s="209">
        <f t="shared" si="194"/>
        <v>0</v>
      </c>
      <c r="CB55" s="209">
        <f t="shared" si="194"/>
        <v>0</v>
      </c>
      <c r="CC55" s="209">
        <f t="shared" si="194"/>
        <v>0</v>
      </c>
      <c r="CD55" s="209">
        <f t="shared" si="194"/>
        <v>0</v>
      </c>
      <c r="CE55" s="209">
        <f t="shared" si="194"/>
        <v>0</v>
      </c>
      <c r="CF55" s="209">
        <f t="shared" si="194"/>
        <v>0</v>
      </c>
      <c r="CG55" s="209">
        <f t="shared" si="194"/>
        <v>0</v>
      </c>
      <c r="CH55" s="209">
        <f t="shared" si="194"/>
        <v>0</v>
      </c>
      <c r="CI55" s="209">
        <f t="shared" si="194"/>
        <v>0</v>
      </c>
      <c r="CJ55" s="209">
        <f t="shared" si="194"/>
        <v>0</v>
      </c>
      <c r="CK55" s="209">
        <f t="shared" si="194"/>
        <v>0</v>
      </c>
      <c r="CL55" s="209">
        <f t="shared" si="194"/>
        <v>0</v>
      </c>
      <c r="CM55" s="209">
        <f t="shared" si="194"/>
        <v>0</v>
      </c>
      <c r="CN55" s="209">
        <f t="shared" si="194"/>
        <v>0</v>
      </c>
      <c r="CO55" s="209">
        <f t="shared" si="194"/>
        <v>0</v>
      </c>
      <c r="CP55" s="209">
        <f t="shared" si="194"/>
        <v>0</v>
      </c>
      <c r="CQ55" s="209">
        <f t="shared" si="194"/>
        <v>0</v>
      </c>
      <c r="CR55" s="209">
        <f t="shared" si="194"/>
        <v>0</v>
      </c>
      <c r="CS55" s="209">
        <f t="shared" si="194"/>
        <v>0</v>
      </c>
      <c r="CT55" s="209">
        <f t="shared" si="194"/>
        <v>0</v>
      </c>
      <c r="CU55" s="209"/>
      <c r="CV55" s="209">
        <f t="shared" ref="CV55:DZ55" si="195">CV27*$EF55*1000</f>
        <v>0</v>
      </c>
      <c r="CW55" s="209">
        <f t="shared" si="195"/>
        <v>0</v>
      </c>
      <c r="CX55" s="209">
        <f t="shared" si="195"/>
        <v>0</v>
      </c>
      <c r="CY55" s="209">
        <f t="shared" si="195"/>
        <v>0</v>
      </c>
      <c r="CZ55" s="209">
        <f t="shared" si="195"/>
        <v>0</v>
      </c>
      <c r="DA55" s="209">
        <f t="shared" si="195"/>
        <v>0</v>
      </c>
      <c r="DB55" s="209">
        <f t="shared" si="195"/>
        <v>0</v>
      </c>
      <c r="DC55" s="209">
        <f t="shared" si="195"/>
        <v>0</v>
      </c>
      <c r="DD55" s="209">
        <f t="shared" si="195"/>
        <v>0</v>
      </c>
      <c r="DE55" s="209">
        <f t="shared" si="195"/>
        <v>0</v>
      </c>
      <c r="DF55" s="209">
        <f t="shared" si="195"/>
        <v>0</v>
      </c>
      <c r="DG55" s="209">
        <f t="shared" si="195"/>
        <v>0</v>
      </c>
      <c r="DH55" s="209">
        <f t="shared" si="195"/>
        <v>0</v>
      </c>
      <c r="DI55" s="209">
        <f t="shared" si="195"/>
        <v>0</v>
      </c>
      <c r="DJ55" s="209">
        <f t="shared" si="195"/>
        <v>0</v>
      </c>
      <c r="DK55" s="209">
        <f t="shared" si="195"/>
        <v>0</v>
      </c>
      <c r="DL55" s="209">
        <f t="shared" si="195"/>
        <v>0</v>
      </c>
      <c r="DM55" s="209">
        <f t="shared" si="195"/>
        <v>0</v>
      </c>
      <c r="DN55" s="209">
        <f t="shared" si="195"/>
        <v>0</v>
      </c>
      <c r="DO55" s="209">
        <f t="shared" si="195"/>
        <v>0</v>
      </c>
      <c r="DP55" s="209">
        <f t="shared" si="195"/>
        <v>0</v>
      </c>
      <c r="DQ55" s="209">
        <f t="shared" si="195"/>
        <v>0</v>
      </c>
      <c r="DR55" s="209">
        <f t="shared" si="195"/>
        <v>0</v>
      </c>
      <c r="DS55" s="209">
        <f t="shared" si="195"/>
        <v>0</v>
      </c>
      <c r="DT55" s="209">
        <f t="shared" si="195"/>
        <v>0</v>
      </c>
      <c r="DU55" s="209">
        <f t="shared" si="195"/>
        <v>0</v>
      </c>
      <c r="DV55" s="209">
        <f t="shared" si="195"/>
        <v>0</v>
      </c>
      <c r="DW55" s="209">
        <f t="shared" si="195"/>
        <v>0</v>
      </c>
      <c r="DX55" s="209">
        <f t="shared" si="195"/>
        <v>0</v>
      </c>
      <c r="DY55" s="209">
        <f t="shared" si="195"/>
        <v>0</v>
      </c>
      <c r="DZ55" s="209">
        <f t="shared" si="195"/>
        <v>0</v>
      </c>
      <c r="EF55" s="51">
        <v>0</v>
      </c>
      <c r="EI55" s="26"/>
      <c r="EM55" t="s">
        <v>99</v>
      </c>
    </row>
    <row r="56" spans="1:146">
      <c r="A56" s="1"/>
      <c r="B56" t="str">
        <f t="shared" si="165"/>
        <v>Leakage Environment</v>
      </c>
      <c r="C56" s="54" t="s">
        <v>97</v>
      </c>
      <c r="D56" s="209">
        <f t="shared" ref="D56:AH56" si="196">D28*$EF56*1000</f>
        <v>0</v>
      </c>
      <c r="E56" s="209">
        <f t="shared" si="196"/>
        <v>0</v>
      </c>
      <c r="F56" s="209">
        <f t="shared" si="196"/>
        <v>0</v>
      </c>
      <c r="G56" s="209">
        <f t="shared" si="196"/>
        <v>0</v>
      </c>
      <c r="H56" s="209">
        <f t="shared" si="196"/>
        <v>0</v>
      </c>
      <c r="I56" s="209">
        <f t="shared" si="196"/>
        <v>0</v>
      </c>
      <c r="J56" s="209">
        <f t="shared" si="196"/>
        <v>0</v>
      </c>
      <c r="K56" s="209">
        <f t="shared" si="196"/>
        <v>0</v>
      </c>
      <c r="L56" s="209">
        <f t="shared" si="196"/>
        <v>0</v>
      </c>
      <c r="M56" s="209">
        <f t="shared" si="196"/>
        <v>0</v>
      </c>
      <c r="N56" s="209">
        <f t="shared" si="196"/>
        <v>0</v>
      </c>
      <c r="O56" s="209">
        <f t="shared" si="196"/>
        <v>0</v>
      </c>
      <c r="P56" s="209">
        <f t="shared" si="196"/>
        <v>0</v>
      </c>
      <c r="Q56" s="209">
        <f t="shared" si="196"/>
        <v>0</v>
      </c>
      <c r="R56" s="209">
        <f t="shared" si="196"/>
        <v>0</v>
      </c>
      <c r="S56" s="209">
        <f t="shared" si="196"/>
        <v>0</v>
      </c>
      <c r="T56" s="209">
        <f t="shared" si="196"/>
        <v>0</v>
      </c>
      <c r="U56" s="209">
        <f t="shared" si="196"/>
        <v>0</v>
      </c>
      <c r="V56" s="209">
        <f t="shared" si="196"/>
        <v>0</v>
      </c>
      <c r="W56" s="209">
        <f t="shared" si="196"/>
        <v>0</v>
      </c>
      <c r="X56" s="209">
        <f t="shared" si="196"/>
        <v>0</v>
      </c>
      <c r="Y56" s="209">
        <f t="shared" si="196"/>
        <v>0</v>
      </c>
      <c r="Z56" s="209">
        <f t="shared" si="196"/>
        <v>0</v>
      </c>
      <c r="AA56" s="209">
        <f t="shared" si="196"/>
        <v>0</v>
      </c>
      <c r="AB56" s="209">
        <f t="shared" si="196"/>
        <v>0</v>
      </c>
      <c r="AC56" s="209">
        <f t="shared" si="196"/>
        <v>0</v>
      </c>
      <c r="AD56" s="209">
        <f t="shared" si="196"/>
        <v>0</v>
      </c>
      <c r="AE56" s="209">
        <f t="shared" si="196"/>
        <v>0</v>
      </c>
      <c r="AF56" s="209">
        <f t="shared" si="196"/>
        <v>0</v>
      </c>
      <c r="AG56" s="209">
        <f t="shared" si="196"/>
        <v>0</v>
      </c>
      <c r="AH56" s="209">
        <f t="shared" si="196"/>
        <v>0</v>
      </c>
      <c r="AI56" s="209"/>
      <c r="AJ56" s="209">
        <f t="shared" ref="AJ56:BN56" si="197">AJ28*$EF56*1000</f>
        <v>0</v>
      </c>
      <c r="AK56" s="209">
        <f t="shared" si="197"/>
        <v>0</v>
      </c>
      <c r="AL56" s="209">
        <f t="shared" si="197"/>
        <v>0</v>
      </c>
      <c r="AM56" s="209">
        <f t="shared" si="197"/>
        <v>0</v>
      </c>
      <c r="AN56" s="209">
        <f t="shared" si="197"/>
        <v>0</v>
      </c>
      <c r="AO56" s="209">
        <f t="shared" si="197"/>
        <v>0</v>
      </c>
      <c r="AP56" s="209">
        <f t="shared" si="197"/>
        <v>0</v>
      </c>
      <c r="AQ56" s="209">
        <f t="shared" si="197"/>
        <v>0</v>
      </c>
      <c r="AR56" s="209">
        <f t="shared" si="197"/>
        <v>0</v>
      </c>
      <c r="AS56" s="209">
        <f t="shared" si="197"/>
        <v>0</v>
      </c>
      <c r="AT56" s="209">
        <f t="shared" si="197"/>
        <v>0</v>
      </c>
      <c r="AU56" s="209">
        <f t="shared" si="197"/>
        <v>0</v>
      </c>
      <c r="AV56" s="209">
        <f t="shared" si="197"/>
        <v>0</v>
      </c>
      <c r="AW56" s="209">
        <f t="shared" si="197"/>
        <v>0</v>
      </c>
      <c r="AX56" s="209">
        <f t="shared" si="197"/>
        <v>0</v>
      </c>
      <c r="AY56" s="209">
        <f t="shared" si="197"/>
        <v>0</v>
      </c>
      <c r="AZ56" s="209">
        <f t="shared" si="197"/>
        <v>0</v>
      </c>
      <c r="BA56" s="209">
        <f t="shared" si="197"/>
        <v>0</v>
      </c>
      <c r="BB56" s="209">
        <f t="shared" si="197"/>
        <v>0</v>
      </c>
      <c r="BC56" s="209">
        <f t="shared" si="197"/>
        <v>0</v>
      </c>
      <c r="BD56" s="209">
        <f t="shared" si="197"/>
        <v>0</v>
      </c>
      <c r="BE56" s="209">
        <f t="shared" si="197"/>
        <v>0</v>
      </c>
      <c r="BF56" s="209">
        <f t="shared" si="197"/>
        <v>0</v>
      </c>
      <c r="BG56" s="209">
        <f t="shared" si="197"/>
        <v>0</v>
      </c>
      <c r="BH56" s="209">
        <f t="shared" si="197"/>
        <v>0</v>
      </c>
      <c r="BI56" s="209">
        <f t="shared" si="197"/>
        <v>0</v>
      </c>
      <c r="BJ56" s="209">
        <f t="shared" si="197"/>
        <v>0</v>
      </c>
      <c r="BK56" s="209">
        <f t="shared" si="197"/>
        <v>0</v>
      </c>
      <c r="BL56" s="209">
        <f t="shared" si="197"/>
        <v>0</v>
      </c>
      <c r="BM56" s="209">
        <f t="shared" si="197"/>
        <v>0</v>
      </c>
      <c r="BN56" s="209">
        <f t="shared" si="197"/>
        <v>0</v>
      </c>
      <c r="BO56" s="209"/>
      <c r="BP56" s="209">
        <f t="shared" ref="BP56:CT56" si="198">BP28*$EF56*1000</f>
        <v>0</v>
      </c>
      <c r="BQ56" s="209">
        <f t="shared" si="198"/>
        <v>0</v>
      </c>
      <c r="BR56" s="209">
        <f t="shared" si="198"/>
        <v>0</v>
      </c>
      <c r="BS56" s="209">
        <f t="shared" si="198"/>
        <v>0</v>
      </c>
      <c r="BT56" s="209">
        <f t="shared" si="198"/>
        <v>0</v>
      </c>
      <c r="BU56" s="209">
        <f t="shared" si="198"/>
        <v>0</v>
      </c>
      <c r="BV56" s="209">
        <f t="shared" si="198"/>
        <v>0</v>
      </c>
      <c r="BW56" s="209">
        <f t="shared" si="198"/>
        <v>0</v>
      </c>
      <c r="BX56" s="209">
        <f t="shared" si="198"/>
        <v>0</v>
      </c>
      <c r="BY56" s="209">
        <f t="shared" si="198"/>
        <v>0</v>
      </c>
      <c r="BZ56" s="209">
        <f t="shared" si="198"/>
        <v>0</v>
      </c>
      <c r="CA56" s="209">
        <f t="shared" si="198"/>
        <v>0</v>
      </c>
      <c r="CB56" s="209">
        <f t="shared" si="198"/>
        <v>0</v>
      </c>
      <c r="CC56" s="209">
        <f t="shared" si="198"/>
        <v>0</v>
      </c>
      <c r="CD56" s="209">
        <f t="shared" si="198"/>
        <v>0</v>
      </c>
      <c r="CE56" s="209">
        <f t="shared" si="198"/>
        <v>0</v>
      </c>
      <c r="CF56" s="209">
        <f t="shared" si="198"/>
        <v>0</v>
      </c>
      <c r="CG56" s="209">
        <f t="shared" si="198"/>
        <v>0</v>
      </c>
      <c r="CH56" s="209">
        <f t="shared" si="198"/>
        <v>0</v>
      </c>
      <c r="CI56" s="209">
        <f t="shared" si="198"/>
        <v>0</v>
      </c>
      <c r="CJ56" s="209">
        <f t="shared" si="198"/>
        <v>0</v>
      </c>
      <c r="CK56" s="209">
        <f t="shared" si="198"/>
        <v>0</v>
      </c>
      <c r="CL56" s="209">
        <f t="shared" si="198"/>
        <v>0</v>
      </c>
      <c r="CM56" s="209">
        <f t="shared" si="198"/>
        <v>0</v>
      </c>
      <c r="CN56" s="209">
        <f t="shared" si="198"/>
        <v>0</v>
      </c>
      <c r="CO56" s="209">
        <f t="shared" si="198"/>
        <v>0</v>
      </c>
      <c r="CP56" s="209">
        <f t="shared" si="198"/>
        <v>0</v>
      </c>
      <c r="CQ56" s="209">
        <f t="shared" si="198"/>
        <v>0</v>
      </c>
      <c r="CR56" s="209">
        <f t="shared" si="198"/>
        <v>0</v>
      </c>
      <c r="CS56" s="209">
        <f t="shared" si="198"/>
        <v>0</v>
      </c>
      <c r="CT56" s="209">
        <f t="shared" si="198"/>
        <v>0</v>
      </c>
      <c r="CU56" s="209"/>
      <c r="CV56" s="209">
        <f t="shared" ref="CV56:DZ56" si="199">CV28*$EF56*1000</f>
        <v>0</v>
      </c>
      <c r="CW56" s="209">
        <f t="shared" si="199"/>
        <v>0</v>
      </c>
      <c r="CX56" s="209">
        <f t="shared" si="199"/>
        <v>0</v>
      </c>
      <c r="CY56" s="209">
        <f t="shared" si="199"/>
        <v>0</v>
      </c>
      <c r="CZ56" s="209">
        <f t="shared" si="199"/>
        <v>0</v>
      </c>
      <c r="DA56" s="209">
        <f t="shared" si="199"/>
        <v>0</v>
      </c>
      <c r="DB56" s="209">
        <f t="shared" si="199"/>
        <v>0</v>
      </c>
      <c r="DC56" s="209">
        <f t="shared" si="199"/>
        <v>0</v>
      </c>
      <c r="DD56" s="209">
        <f t="shared" si="199"/>
        <v>0</v>
      </c>
      <c r="DE56" s="209">
        <f t="shared" si="199"/>
        <v>0</v>
      </c>
      <c r="DF56" s="209">
        <f t="shared" si="199"/>
        <v>0</v>
      </c>
      <c r="DG56" s="209">
        <f t="shared" si="199"/>
        <v>0</v>
      </c>
      <c r="DH56" s="209">
        <f t="shared" si="199"/>
        <v>0</v>
      </c>
      <c r="DI56" s="209">
        <f t="shared" si="199"/>
        <v>0</v>
      </c>
      <c r="DJ56" s="209">
        <f t="shared" si="199"/>
        <v>0</v>
      </c>
      <c r="DK56" s="209">
        <f t="shared" si="199"/>
        <v>0</v>
      </c>
      <c r="DL56" s="209">
        <f t="shared" si="199"/>
        <v>0</v>
      </c>
      <c r="DM56" s="209">
        <f t="shared" si="199"/>
        <v>0</v>
      </c>
      <c r="DN56" s="209">
        <f t="shared" si="199"/>
        <v>0</v>
      </c>
      <c r="DO56" s="209">
        <f t="shared" si="199"/>
        <v>0</v>
      </c>
      <c r="DP56" s="209">
        <f t="shared" si="199"/>
        <v>0</v>
      </c>
      <c r="DQ56" s="209">
        <f t="shared" si="199"/>
        <v>0</v>
      </c>
      <c r="DR56" s="209">
        <f t="shared" si="199"/>
        <v>0</v>
      </c>
      <c r="DS56" s="209">
        <f t="shared" si="199"/>
        <v>0</v>
      </c>
      <c r="DT56" s="209">
        <f t="shared" si="199"/>
        <v>0</v>
      </c>
      <c r="DU56" s="209">
        <f t="shared" si="199"/>
        <v>0</v>
      </c>
      <c r="DV56" s="209">
        <f t="shared" si="199"/>
        <v>0</v>
      </c>
      <c r="DW56" s="209">
        <f t="shared" si="199"/>
        <v>0</v>
      </c>
      <c r="DX56" s="209">
        <f t="shared" si="199"/>
        <v>0</v>
      </c>
      <c r="DY56" s="209">
        <f t="shared" si="199"/>
        <v>0</v>
      </c>
      <c r="DZ56" s="209">
        <f t="shared" si="199"/>
        <v>0</v>
      </c>
      <c r="EF56" s="51">
        <v>0</v>
      </c>
      <c r="EI56" s="26"/>
      <c r="EM56" t="s">
        <v>99</v>
      </c>
    </row>
    <row r="57" spans="1:146" ht="16" thickBot="1">
      <c r="A57" s="1"/>
      <c r="B57" t="str">
        <f t="shared" si="165"/>
        <v>Leakage Ocean</v>
      </c>
      <c r="C57" s="54" t="s">
        <v>97</v>
      </c>
      <c r="D57" s="209">
        <f t="shared" ref="D57:AH57" si="200">D29*$EF57*1000</f>
        <v>0</v>
      </c>
      <c r="E57" s="209">
        <f t="shared" si="200"/>
        <v>0</v>
      </c>
      <c r="F57" s="209">
        <f t="shared" si="200"/>
        <v>0</v>
      </c>
      <c r="G57" s="209">
        <f t="shared" si="200"/>
        <v>0</v>
      </c>
      <c r="H57" s="209">
        <f t="shared" si="200"/>
        <v>0</v>
      </c>
      <c r="I57" s="209">
        <f t="shared" si="200"/>
        <v>0</v>
      </c>
      <c r="J57" s="209">
        <f t="shared" si="200"/>
        <v>0</v>
      </c>
      <c r="K57" s="209">
        <f t="shared" si="200"/>
        <v>0</v>
      </c>
      <c r="L57" s="209">
        <f t="shared" si="200"/>
        <v>0</v>
      </c>
      <c r="M57" s="209">
        <f t="shared" si="200"/>
        <v>0</v>
      </c>
      <c r="N57" s="209">
        <f t="shared" si="200"/>
        <v>0</v>
      </c>
      <c r="O57" s="209">
        <f t="shared" si="200"/>
        <v>0</v>
      </c>
      <c r="P57" s="209">
        <f t="shared" si="200"/>
        <v>0</v>
      </c>
      <c r="Q57" s="209">
        <f t="shared" si="200"/>
        <v>0</v>
      </c>
      <c r="R57" s="209">
        <f t="shared" si="200"/>
        <v>0</v>
      </c>
      <c r="S57" s="209">
        <f t="shared" si="200"/>
        <v>0</v>
      </c>
      <c r="T57" s="209">
        <f t="shared" si="200"/>
        <v>0</v>
      </c>
      <c r="U57" s="209">
        <f t="shared" si="200"/>
        <v>0</v>
      </c>
      <c r="V57" s="209">
        <f t="shared" si="200"/>
        <v>0</v>
      </c>
      <c r="W57" s="209">
        <f t="shared" si="200"/>
        <v>0</v>
      </c>
      <c r="X57" s="209">
        <f t="shared" si="200"/>
        <v>0</v>
      </c>
      <c r="Y57" s="209">
        <f t="shared" si="200"/>
        <v>0</v>
      </c>
      <c r="Z57" s="209">
        <f t="shared" si="200"/>
        <v>0</v>
      </c>
      <c r="AA57" s="209">
        <f t="shared" si="200"/>
        <v>0</v>
      </c>
      <c r="AB57" s="209">
        <f t="shared" si="200"/>
        <v>0</v>
      </c>
      <c r="AC57" s="209">
        <f t="shared" si="200"/>
        <v>0</v>
      </c>
      <c r="AD57" s="209">
        <f t="shared" si="200"/>
        <v>0</v>
      </c>
      <c r="AE57" s="209">
        <f t="shared" si="200"/>
        <v>0</v>
      </c>
      <c r="AF57" s="209">
        <f t="shared" si="200"/>
        <v>0</v>
      </c>
      <c r="AG57" s="209">
        <f t="shared" si="200"/>
        <v>0</v>
      </c>
      <c r="AH57" s="209">
        <f t="shared" si="200"/>
        <v>0</v>
      </c>
      <c r="AI57" s="209"/>
      <c r="AJ57" s="209">
        <f t="shared" ref="AJ57:BN57" si="201">AJ29*$EF57*1000</f>
        <v>0</v>
      </c>
      <c r="AK57" s="209">
        <f t="shared" si="201"/>
        <v>0</v>
      </c>
      <c r="AL57" s="209">
        <f t="shared" si="201"/>
        <v>0</v>
      </c>
      <c r="AM57" s="209">
        <f t="shared" si="201"/>
        <v>0</v>
      </c>
      <c r="AN57" s="209">
        <f t="shared" si="201"/>
        <v>0</v>
      </c>
      <c r="AO57" s="209">
        <f t="shared" si="201"/>
        <v>0</v>
      </c>
      <c r="AP57" s="209">
        <f t="shared" si="201"/>
        <v>0</v>
      </c>
      <c r="AQ57" s="209">
        <f t="shared" si="201"/>
        <v>0</v>
      </c>
      <c r="AR57" s="209">
        <f t="shared" si="201"/>
        <v>0</v>
      </c>
      <c r="AS57" s="209">
        <f t="shared" si="201"/>
        <v>0</v>
      </c>
      <c r="AT57" s="209">
        <f t="shared" si="201"/>
        <v>0</v>
      </c>
      <c r="AU57" s="209">
        <f t="shared" si="201"/>
        <v>0</v>
      </c>
      <c r="AV57" s="209">
        <f t="shared" si="201"/>
        <v>0</v>
      </c>
      <c r="AW57" s="209">
        <f t="shared" si="201"/>
        <v>0</v>
      </c>
      <c r="AX57" s="209">
        <f t="shared" si="201"/>
        <v>0</v>
      </c>
      <c r="AY57" s="209">
        <f t="shared" si="201"/>
        <v>0</v>
      </c>
      <c r="AZ57" s="209">
        <f t="shared" si="201"/>
        <v>0</v>
      </c>
      <c r="BA57" s="209">
        <f t="shared" si="201"/>
        <v>0</v>
      </c>
      <c r="BB57" s="209">
        <f t="shared" si="201"/>
        <v>0</v>
      </c>
      <c r="BC57" s="209">
        <f t="shared" si="201"/>
        <v>0</v>
      </c>
      <c r="BD57" s="209">
        <f t="shared" si="201"/>
        <v>0</v>
      </c>
      <c r="BE57" s="209">
        <f t="shared" si="201"/>
        <v>0</v>
      </c>
      <c r="BF57" s="209">
        <f t="shared" si="201"/>
        <v>0</v>
      </c>
      <c r="BG57" s="209">
        <f t="shared" si="201"/>
        <v>0</v>
      </c>
      <c r="BH57" s="209">
        <f t="shared" si="201"/>
        <v>0</v>
      </c>
      <c r="BI57" s="209">
        <f t="shared" si="201"/>
        <v>0</v>
      </c>
      <c r="BJ57" s="209">
        <f t="shared" si="201"/>
        <v>0</v>
      </c>
      <c r="BK57" s="209">
        <f t="shared" si="201"/>
        <v>0</v>
      </c>
      <c r="BL57" s="209">
        <f t="shared" si="201"/>
        <v>0</v>
      </c>
      <c r="BM57" s="209">
        <f t="shared" si="201"/>
        <v>0</v>
      </c>
      <c r="BN57" s="209">
        <f t="shared" si="201"/>
        <v>0</v>
      </c>
      <c r="BO57" s="209"/>
      <c r="BP57" s="209">
        <f t="shared" ref="BP57:CT57" si="202">BP29*$EF57*1000</f>
        <v>0</v>
      </c>
      <c r="BQ57" s="209">
        <f t="shared" si="202"/>
        <v>0</v>
      </c>
      <c r="BR57" s="209">
        <f t="shared" si="202"/>
        <v>0</v>
      </c>
      <c r="BS57" s="209">
        <f t="shared" si="202"/>
        <v>0</v>
      </c>
      <c r="BT57" s="209">
        <f t="shared" si="202"/>
        <v>0</v>
      </c>
      <c r="BU57" s="209">
        <f t="shared" si="202"/>
        <v>0</v>
      </c>
      <c r="BV57" s="209">
        <f t="shared" si="202"/>
        <v>0</v>
      </c>
      <c r="BW57" s="209">
        <f t="shared" si="202"/>
        <v>0</v>
      </c>
      <c r="BX57" s="209">
        <f t="shared" si="202"/>
        <v>0</v>
      </c>
      <c r="BY57" s="209">
        <f t="shared" si="202"/>
        <v>0</v>
      </c>
      <c r="BZ57" s="209">
        <f t="shared" si="202"/>
        <v>0</v>
      </c>
      <c r="CA57" s="209">
        <f t="shared" si="202"/>
        <v>0</v>
      </c>
      <c r="CB57" s="209">
        <f t="shared" si="202"/>
        <v>0</v>
      </c>
      <c r="CC57" s="209">
        <f t="shared" si="202"/>
        <v>0</v>
      </c>
      <c r="CD57" s="209">
        <f t="shared" si="202"/>
        <v>0</v>
      </c>
      <c r="CE57" s="209">
        <f t="shared" si="202"/>
        <v>0</v>
      </c>
      <c r="CF57" s="209">
        <f t="shared" si="202"/>
        <v>0</v>
      </c>
      <c r="CG57" s="209">
        <f t="shared" si="202"/>
        <v>0</v>
      </c>
      <c r="CH57" s="209">
        <f t="shared" si="202"/>
        <v>0</v>
      </c>
      <c r="CI57" s="209">
        <f t="shared" si="202"/>
        <v>0</v>
      </c>
      <c r="CJ57" s="209">
        <f t="shared" si="202"/>
        <v>0</v>
      </c>
      <c r="CK57" s="209">
        <f t="shared" si="202"/>
        <v>0</v>
      </c>
      <c r="CL57" s="209">
        <f t="shared" si="202"/>
        <v>0</v>
      </c>
      <c r="CM57" s="209">
        <f t="shared" si="202"/>
        <v>0</v>
      </c>
      <c r="CN57" s="209">
        <f t="shared" si="202"/>
        <v>0</v>
      </c>
      <c r="CO57" s="209">
        <f t="shared" si="202"/>
        <v>0</v>
      </c>
      <c r="CP57" s="209">
        <f t="shared" si="202"/>
        <v>0</v>
      </c>
      <c r="CQ57" s="209">
        <f t="shared" si="202"/>
        <v>0</v>
      </c>
      <c r="CR57" s="209">
        <f t="shared" si="202"/>
        <v>0</v>
      </c>
      <c r="CS57" s="209">
        <f t="shared" si="202"/>
        <v>0</v>
      </c>
      <c r="CT57" s="209">
        <f t="shared" si="202"/>
        <v>0</v>
      </c>
      <c r="CU57" s="209"/>
      <c r="CV57" s="209">
        <f t="shared" ref="CV57:DZ57" si="203">CV29*$EF57*1000</f>
        <v>0</v>
      </c>
      <c r="CW57" s="209">
        <f t="shared" si="203"/>
        <v>0</v>
      </c>
      <c r="CX57" s="209">
        <f t="shared" si="203"/>
        <v>0</v>
      </c>
      <c r="CY57" s="209">
        <f t="shared" si="203"/>
        <v>0</v>
      </c>
      <c r="CZ57" s="209">
        <f t="shared" si="203"/>
        <v>0</v>
      </c>
      <c r="DA57" s="209">
        <f t="shared" si="203"/>
        <v>0</v>
      </c>
      <c r="DB57" s="209">
        <f t="shared" si="203"/>
        <v>0</v>
      </c>
      <c r="DC57" s="209">
        <f t="shared" si="203"/>
        <v>0</v>
      </c>
      <c r="DD57" s="209">
        <f t="shared" si="203"/>
        <v>0</v>
      </c>
      <c r="DE57" s="209">
        <f t="shared" si="203"/>
        <v>0</v>
      </c>
      <c r="DF57" s="209">
        <f t="shared" si="203"/>
        <v>0</v>
      </c>
      <c r="DG57" s="209">
        <f t="shared" si="203"/>
        <v>0</v>
      </c>
      <c r="DH57" s="209">
        <f t="shared" si="203"/>
        <v>0</v>
      </c>
      <c r="DI57" s="209">
        <f t="shared" si="203"/>
        <v>0</v>
      </c>
      <c r="DJ57" s="209">
        <f t="shared" si="203"/>
        <v>0</v>
      </c>
      <c r="DK57" s="209">
        <f t="shared" si="203"/>
        <v>0</v>
      </c>
      <c r="DL57" s="209">
        <f t="shared" si="203"/>
        <v>0</v>
      </c>
      <c r="DM57" s="209">
        <f t="shared" si="203"/>
        <v>0</v>
      </c>
      <c r="DN57" s="209">
        <f t="shared" si="203"/>
        <v>0</v>
      </c>
      <c r="DO57" s="209">
        <f t="shared" si="203"/>
        <v>0</v>
      </c>
      <c r="DP57" s="209">
        <f t="shared" si="203"/>
        <v>0</v>
      </c>
      <c r="DQ57" s="209">
        <f t="shared" si="203"/>
        <v>0</v>
      </c>
      <c r="DR57" s="209">
        <f t="shared" si="203"/>
        <v>0</v>
      </c>
      <c r="DS57" s="209">
        <f t="shared" si="203"/>
        <v>0</v>
      </c>
      <c r="DT57" s="209">
        <f t="shared" si="203"/>
        <v>0</v>
      </c>
      <c r="DU57" s="209">
        <f t="shared" si="203"/>
        <v>0</v>
      </c>
      <c r="DV57" s="209">
        <f t="shared" si="203"/>
        <v>0</v>
      </c>
      <c r="DW57" s="209">
        <f t="shared" si="203"/>
        <v>0</v>
      </c>
      <c r="DX57" s="209">
        <f t="shared" si="203"/>
        <v>0</v>
      </c>
      <c r="DY57" s="209">
        <f t="shared" si="203"/>
        <v>0</v>
      </c>
      <c r="DZ57" s="209">
        <f t="shared" si="203"/>
        <v>0</v>
      </c>
      <c r="EF57" s="51">
        <v>0</v>
      </c>
      <c r="EI57" s="26"/>
      <c r="EM57" t="s">
        <v>99</v>
      </c>
    </row>
    <row r="58" spans="1:146" ht="16" thickBot="1">
      <c r="A58" s="185" t="s">
        <v>107</v>
      </c>
      <c r="B58" s="488"/>
      <c r="C58" s="639" t="s">
        <v>97</v>
      </c>
      <c r="D58" s="647">
        <f>SUM(D35:D57)</f>
        <v>1228898.2509307847</v>
      </c>
      <c r="E58" s="647">
        <f t="shared" ref="E58:AH58" si="204">SUM(E35:E57)</f>
        <v>1279224.7332005249</v>
      </c>
      <c r="F58" s="647">
        <f t="shared" si="204"/>
        <v>1329906.1912967511</v>
      </c>
      <c r="G58" s="647">
        <f t="shared" si="204"/>
        <v>1378877.3826358551</v>
      </c>
      <c r="H58" s="647">
        <f t="shared" si="204"/>
        <v>1425814.5299666019</v>
      </c>
      <c r="I58" s="647">
        <f t="shared" si="204"/>
        <v>1470402.4184600106</v>
      </c>
      <c r="J58" s="647">
        <f t="shared" si="204"/>
        <v>1515603.58503344</v>
      </c>
      <c r="K58" s="647">
        <f t="shared" si="204"/>
        <v>1561411.7785645497</v>
      </c>
      <c r="L58" s="647">
        <f t="shared" si="204"/>
        <v>1607839.1619936286</v>
      </c>
      <c r="M58" s="647">
        <f t="shared" si="204"/>
        <v>1654930.8791085391</v>
      </c>
      <c r="N58" s="647">
        <f t="shared" si="204"/>
        <v>1702765.3724156038</v>
      </c>
      <c r="O58" s="647">
        <f t="shared" si="204"/>
        <v>1757654.681203089</v>
      </c>
      <c r="P58" s="647">
        <f t="shared" si="204"/>
        <v>1811134.0324519137</v>
      </c>
      <c r="Q58" s="647">
        <f t="shared" si="204"/>
        <v>1863351.0133695528</v>
      </c>
      <c r="R58" s="647">
        <f t="shared" si="204"/>
        <v>1914039.9116777531</v>
      </c>
      <c r="S58" s="647">
        <f t="shared" si="204"/>
        <v>1963286.2803491449</v>
      </c>
      <c r="T58" s="647">
        <f t="shared" si="204"/>
        <v>2014313.1955034351</v>
      </c>
      <c r="U58" s="647">
        <f t="shared" si="204"/>
        <v>2066691.2562364812</v>
      </c>
      <c r="V58" s="647">
        <f t="shared" si="204"/>
        <v>2119930.1692252415</v>
      </c>
      <c r="W58" s="647">
        <f t="shared" si="204"/>
        <v>2173540.2032723669</v>
      </c>
      <c r="X58" s="647">
        <f t="shared" si="204"/>
        <v>2225936.5017673606</v>
      </c>
      <c r="Y58" s="647">
        <f t="shared" si="204"/>
        <v>2292338.6867208644</v>
      </c>
      <c r="Z58" s="647">
        <f t="shared" si="204"/>
        <v>2358769.9562580162</v>
      </c>
      <c r="AA58" s="647">
        <f t="shared" si="204"/>
        <v>2425872.8908315971</v>
      </c>
      <c r="AB58" s="647">
        <f t="shared" si="204"/>
        <v>2493403.7000754476</v>
      </c>
      <c r="AC58" s="647">
        <f t="shared" si="204"/>
        <v>2561682.171555981</v>
      </c>
      <c r="AD58" s="647">
        <f t="shared" si="204"/>
        <v>2631161.7070247545</v>
      </c>
      <c r="AE58" s="647">
        <f t="shared" si="204"/>
        <v>2702347.139194529</v>
      </c>
      <c r="AF58" s="647">
        <f t="shared" si="204"/>
        <v>2775720.6780931386</v>
      </c>
      <c r="AG58" s="647">
        <f t="shared" si="204"/>
        <v>2852349.2466243175</v>
      </c>
      <c r="AH58" s="647">
        <f t="shared" si="204"/>
        <v>2929807.1545395842</v>
      </c>
      <c r="AI58" s="647"/>
      <c r="AJ58" s="647">
        <f t="shared" ref="AJ58" si="205">SUM(AJ35:AJ57)</f>
        <v>1228897.775976019</v>
      </c>
      <c r="AK58" s="647">
        <f t="shared" ref="AK58" si="206">SUM(AK35:AK57)</f>
        <v>1279223.696809924</v>
      </c>
      <c r="AL58" s="647">
        <f t="shared" ref="AL58" si="207">SUM(AL35:AL57)</f>
        <v>1329904.0034066068</v>
      </c>
      <c r="AM58" s="647">
        <f t="shared" ref="AM58" si="208">SUM(AM35:AM57)</f>
        <v>1378872.7949963096</v>
      </c>
      <c r="AN58" s="647">
        <f t="shared" ref="AN58" si="209">SUM(AN35:AN57)</f>
        <v>1425804.9839022884</v>
      </c>
      <c r="AO58" s="647">
        <f t="shared" ref="AO58" si="210">SUM(AO35:AO57)</f>
        <v>1470382.7318631818</v>
      </c>
      <c r="AP58" s="647">
        <f t="shared" ref="AP58" si="211">SUM(AP35:AP57)</f>
        <v>1515563.3339594393</v>
      </c>
      <c r="AQ58" s="647">
        <f t="shared" ref="AQ58" si="212">SUM(AQ35:AQ57)</f>
        <v>1561330.3904684533</v>
      </c>
      <c r="AR58" s="647">
        <f t="shared" ref="AR58" si="213">SUM(AR35:AR57)</f>
        <v>1607676.957709935</v>
      </c>
      <c r="AS58" s="647">
        <f t="shared" ref="AS58" si="214">SUM(AS35:AS57)</f>
        <v>1654613.6500671089</v>
      </c>
      <c r="AT58" s="647">
        <f t="shared" ref="AT58" si="215">SUM(AT35:AT57)</f>
        <v>1702157.2968111974</v>
      </c>
      <c r="AU58" s="647">
        <f t="shared" ref="AU58" si="216">SUM(AU35:AU57)</f>
        <v>1756578.4557742041</v>
      </c>
      <c r="AV58" s="647">
        <f t="shared" ref="AV58" si="217">SUM(AV35:AV57)</f>
        <v>1809295.7654969019</v>
      </c>
      <c r="AW58" s="647">
        <f t="shared" ref="AW58" si="218">SUM(AW35:AW57)</f>
        <v>1860296.2747163526</v>
      </c>
      <c r="AX58" s="647">
        <f t="shared" ref="AX58" si="219">SUM(AX35:AX57)</f>
        <v>1909297.3797370237</v>
      </c>
      <c r="AY58" s="647">
        <f t="shared" ref="AY58" si="220">SUM(AY35:AY57)</f>
        <v>1956236.5467794144</v>
      </c>
      <c r="AZ58" s="647">
        <f t="shared" ref="AZ58" si="221">SUM(AZ35:AZ57)</f>
        <v>2004386.4884638488</v>
      </c>
      <c r="BA58" s="647">
        <f t="shared" ref="BA58" si="222">SUM(BA35:BA57)</f>
        <v>2053506.8672912922</v>
      </c>
      <c r="BB58" s="647">
        <f t="shared" ref="BB58" si="223">SUM(BB35:BB57)</f>
        <v>2103324.3552266369</v>
      </c>
      <c r="BC58" s="647">
        <f t="shared" ref="BC58" si="224">SUM(BC35:BC57)</f>
        <v>2153565.2612617272</v>
      </c>
      <c r="BD58" s="647">
        <f t="shared" ref="BD58" si="225">SUM(BD35:BD57)</f>
        <v>2202806.5393949943</v>
      </c>
      <c r="BE58" s="647">
        <f t="shared" ref="BE58" si="226">SUM(BE35:BE57)</f>
        <v>2266668.8644267679</v>
      </c>
      <c r="BF58" s="647">
        <f t="shared" ref="BF58" si="227">SUM(BF35:BF57)</f>
        <v>2330358.8367958753</v>
      </c>
      <c r="BG58" s="647">
        <f t="shared" ref="BG58" si="228">SUM(BG35:BG57)</f>
        <v>2394905.1610096102</v>
      </c>
      <c r="BH58" s="647">
        <f t="shared" ref="BH58" si="229">SUM(BH35:BH57)</f>
        <v>2460025.066313433</v>
      </c>
      <c r="BI58" s="647">
        <f t="shared" ref="BI58" si="230">SUM(BI35:BI57)</f>
        <v>2525895.4171351669</v>
      </c>
      <c r="BJ58" s="647">
        <f t="shared" ref="BJ58" si="231">SUM(BJ35:BJ57)</f>
        <v>2592780.0830670651</v>
      </c>
      <c r="BK58" s="647">
        <f t="shared" ref="BK58" si="232">SUM(BK35:BK57)</f>
        <v>2661037.2142352127</v>
      </c>
      <c r="BL58" s="647">
        <f t="shared" ref="BL58" si="233">SUM(BL35:BL57)</f>
        <v>2730913.5826540757</v>
      </c>
      <c r="BM58" s="647">
        <f t="shared" ref="BM58:BN58" si="234">SUM(BM35:BM57)</f>
        <v>2803030.7872985401</v>
      </c>
      <c r="BN58" s="647">
        <f t="shared" si="234"/>
        <v>2874305.2013668106</v>
      </c>
      <c r="BO58" s="647"/>
      <c r="BP58" s="647">
        <f t="shared" ref="BP58" si="235">SUM(BP35:BP57)</f>
        <v>1228897.1894672951</v>
      </c>
      <c r="BQ58" s="647">
        <f t="shared" ref="BQ58" si="236">SUM(BQ35:BQ57)</f>
        <v>1262957.7407871268</v>
      </c>
      <c r="BR58" s="647">
        <f t="shared" ref="BR58" si="237">SUM(BR35:BR57)</f>
        <v>1294884.067482119</v>
      </c>
      <c r="BS58" s="647">
        <f t="shared" ref="BS58" si="238">SUM(BS35:BS57)</f>
        <v>1324466.0822699668</v>
      </c>
      <c r="BT58" s="647">
        <f t="shared" ref="BT58" si="239">SUM(BT35:BT57)</f>
        <v>1351507.8961111701</v>
      </c>
      <c r="BU58" s="647">
        <f t="shared" ref="BU58" si="240">SUM(BU35:BU57)</f>
        <v>1375830.2226598337</v>
      </c>
      <c r="BV58" s="647">
        <f t="shared" ref="BV58" si="241">SUM(BV35:BV57)</f>
        <v>1399984.2035956264</v>
      </c>
      <c r="BW58" s="647">
        <f t="shared" ref="BW58" si="242">SUM(BW35:BW57)</f>
        <v>1423945.4048581684</v>
      </c>
      <c r="BX58" s="647">
        <f t="shared" ref="BX58" si="243">SUM(BX35:BX57)</f>
        <v>1447689.2866190237</v>
      </c>
      <c r="BY58" s="647">
        <f t="shared" ref="BY58" si="244">SUM(BY35:BY57)</f>
        <v>1471191.2521774308</v>
      </c>
      <c r="BZ58" s="647">
        <f t="shared" ref="BZ58" si="245">SUM(BZ35:BZ57)</f>
        <v>1494426.6980625778</v>
      </c>
      <c r="CA58" s="647">
        <f t="shared" ref="CA58" si="246">SUM(CA35:CA57)</f>
        <v>1515422.6025144213</v>
      </c>
      <c r="CB58" s="647">
        <f t="shared" ref="CB58" si="247">SUM(CB35:CB57)</f>
        <v>1534075.0521197186</v>
      </c>
      <c r="CC58" s="647">
        <f t="shared" ref="CC58" si="248">SUM(CC35:CC57)</f>
        <v>1550292.5565650025</v>
      </c>
      <c r="CD58" s="647">
        <f t="shared" ref="CD58" si="249">SUM(CD35:CD57)</f>
        <v>1563996.9658166033</v>
      </c>
      <c r="CE58" s="647">
        <f t="shared" ref="CE58" si="250">SUM(CE35:CE57)</f>
        <v>1575124.2723186407</v>
      </c>
      <c r="CF58" s="647">
        <f t="shared" ref="CF58" si="251">SUM(CF35:CF57)</f>
        <v>1586168.0874068087</v>
      </c>
      <c r="CG58" s="647">
        <f t="shared" ref="CG58" si="252">SUM(CG35:CG57)</f>
        <v>1597126.3013301475</v>
      </c>
      <c r="CH58" s="647">
        <f t="shared" ref="CH58" si="253">SUM(CH35:CH57)</f>
        <v>1607996.8599565334</v>
      </c>
      <c r="CI58" s="647">
        <f t="shared" ref="CI58" si="254">SUM(CI35:CI57)</f>
        <v>1618777.7673402377</v>
      </c>
      <c r="CJ58" s="647">
        <f t="shared" ref="CJ58" si="255">SUM(CJ35:CJ57)</f>
        <v>1629467.0882990002</v>
      </c>
      <c r="CK58" s="647">
        <f t="shared" ref="CK58" si="256">SUM(CK35:CK57)</f>
        <v>1640078.914905149</v>
      </c>
      <c r="CL58" s="647">
        <f t="shared" ref="CL58" si="257">SUM(CL35:CL57)</f>
        <v>1650611.6839155001</v>
      </c>
      <c r="CM58" s="647">
        <f t="shared" ref="CM58" si="258">SUM(CM35:CM57)</f>
        <v>1661063.8900640272</v>
      </c>
      <c r="CN58" s="647">
        <f t="shared" ref="CN58" si="259">SUM(CN35:CN57)</f>
        <v>1671434.0882977778</v>
      </c>
      <c r="CO58" s="647">
        <f t="shared" ref="CO58" si="260">SUM(CO35:CO57)</f>
        <v>1681720.8960204856</v>
      </c>
      <c r="CP58" s="647">
        <f t="shared" ref="CP58" si="261">SUM(CP35:CP57)</f>
        <v>1691936.9960948527</v>
      </c>
      <c r="CQ58" s="647">
        <f t="shared" ref="CQ58" si="262">SUM(CQ35:CQ57)</f>
        <v>1702081.3212715909</v>
      </c>
      <c r="CR58" s="647">
        <f t="shared" ref="CR58:CS58" si="263">SUM(CR35:CR57)</f>
        <v>1712152.8644362437</v>
      </c>
      <c r="CS58" s="647">
        <f t="shared" si="263"/>
        <v>1722150.6805994385</v>
      </c>
      <c r="CT58" s="647">
        <f t="shared" ref="CT58" si="264">SUM(CT35:CT57)</f>
        <v>1732073.8888942145</v>
      </c>
      <c r="CU58" s="647"/>
      <c r="CV58" s="647">
        <f t="shared" ref="CV58:DZ58" si="265">SUM(CV35:CV57)</f>
        <v>1228897.775976019</v>
      </c>
      <c r="CW58" s="647">
        <f t="shared" si="265"/>
        <v>1279223.696809924</v>
      </c>
      <c r="CX58" s="647">
        <f t="shared" si="265"/>
        <v>1329904.0034066068</v>
      </c>
      <c r="CY58" s="647">
        <f t="shared" si="265"/>
        <v>1378872.7949963096</v>
      </c>
      <c r="CZ58" s="647">
        <f t="shared" si="265"/>
        <v>1425804.9839022884</v>
      </c>
      <c r="DA58" s="647">
        <f t="shared" si="265"/>
        <v>1470382.7318631818</v>
      </c>
      <c r="DB58" s="647">
        <f t="shared" si="265"/>
        <v>1515563.3339594393</v>
      </c>
      <c r="DC58" s="647">
        <f t="shared" si="265"/>
        <v>1561330.3904684533</v>
      </c>
      <c r="DD58" s="647">
        <f t="shared" si="265"/>
        <v>1607676.957709935</v>
      </c>
      <c r="DE58" s="647">
        <f t="shared" si="265"/>
        <v>1654613.6500671089</v>
      </c>
      <c r="DF58" s="647">
        <f t="shared" si="265"/>
        <v>1702157.2968111974</v>
      </c>
      <c r="DG58" s="647">
        <f t="shared" si="265"/>
        <v>1756578.4557742041</v>
      </c>
      <c r="DH58" s="647">
        <f t="shared" si="265"/>
        <v>1809295.7654969019</v>
      </c>
      <c r="DI58" s="647">
        <f t="shared" si="265"/>
        <v>1860205.4161916932</v>
      </c>
      <c r="DJ58" s="647">
        <f t="shared" si="265"/>
        <v>1909112.6585593873</v>
      </c>
      <c r="DK58" s="647">
        <f t="shared" si="265"/>
        <v>1955955.4244772934</v>
      </c>
      <c r="DL58" s="647">
        <f t="shared" si="265"/>
        <v>2004006.2396989756</v>
      </c>
      <c r="DM58" s="647">
        <f t="shared" si="265"/>
        <v>2053024.7440888002</v>
      </c>
      <c r="DN58" s="647">
        <f t="shared" si="265"/>
        <v>2102737.5878907037</v>
      </c>
      <c r="DO58" s="647">
        <f t="shared" si="265"/>
        <v>2152871.059321241</v>
      </c>
      <c r="DP58" s="647">
        <f t="shared" si="265"/>
        <v>2202002.09257909</v>
      </c>
      <c r="DQ58" s="647">
        <f t="shared" si="265"/>
        <v>2265751.3335640826</v>
      </c>
      <c r="DR58" s="647">
        <f t="shared" si="265"/>
        <v>2329325.3611071408</v>
      </c>
      <c r="DS58" s="647">
        <f t="shared" si="265"/>
        <v>2393491.9116918128</v>
      </c>
      <c r="DT58" s="647">
        <f t="shared" si="265"/>
        <v>2458222.0952901607</v>
      </c>
      <c r="DU58" s="647">
        <f t="shared" si="265"/>
        <v>2523692.7048181663</v>
      </c>
      <c r="DV58" s="647">
        <f t="shared" si="265"/>
        <v>2590167.5168245202</v>
      </c>
      <c r="DW58" s="647">
        <f t="shared" si="265"/>
        <v>2658004.6043999693</v>
      </c>
      <c r="DX58" s="647">
        <f t="shared" si="265"/>
        <v>2727450.6652712012</v>
      </c>
      <c r="DY58" s="647">
        <f t="shared" si="265"/>
        <v>2799127.2269553943</v>
      </c>
      <c r="DZ58" s="647">
        <f t="shared" si="265"/>
        <v>2869950.5941052493</v>
      </c>
      <c r="EI58" s="26"/>
    </row>
    <row r="59" spans="1:146">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F59" s="1" t="s">
        <v>108</v>
      </c>
      <c r="EG59" s="54" t="s">
        <v>109</v>
      </c>
      <c r="EH59" s="54"/>
      <c r="EI59" s="491"/>
      <c r="EJ59" s="54"/>
    </row>
    <row r="60" spans="1:146" ht="16" thickBot="1">
      <c r="A60" s="637" t="s">
        <v>106</v>
      </c>
      <c r="B60" s="637"/>
      <c r="C60" s="638"/>
      <c r="D60" s="637"/>
      <c r="E60" s="637"/>
      <c r="F60" s="637"/>
      <c r="G60" s="637"/>
      <c r="H60" s="637"/>
      <c r="I60" s="637"/>
      <c r="J60" s="637"/>
      <c r="K60" s="637"/>
      <c r="L60" s="637"/>
      <c r="M60" s="637"/>
      <c r="N60" s="637"/>
      <c r="O60" s="637"/>
      <c r="P60" s="637"/>
      <c r="Q60" s="637"/>
      <c r="R60" s="637"/>
      <c r="S60" s="637"/>
      <c r="T60" s="637"/>
      <c r="U60" s="637"/>
      <c r="V60" s="637"/>
      <c r="W60" s="637"/>
      <c r="X60" s="637"/>
      <c r="Y60" s="637"/>
      <c r="Z60" s="637"/>
      <c r="AA60" s="637"/>
      <c r="AB60" s="637"/>
      <c r="AC60" s="637"/>
      <c r="AD60" s="637"/>
      <c r="AE60" s="637"/>
      <c r="AF60" s="637"/>
      <c r="AG60" s="637"/>
      <c r="AH60" s="637"/>
      <c r="AI60" s="637"/>
      <c r="AJ60" s="637"/>
      <c r="AK60" s="637"/>
      <c r="AL60" s="637"/>
      <c r="AM60" s="637"/>
      <c r="AN60" s="637"/>
      <c r="AO60" s="637"/>
      <c r="AP60" s="637"/>
      <c r="AQ60" s="637"/>
      <c r="AR60" s="637"/>
      <c r="AS60" s="637"/>
      <c r="AT60" s="637"/>
      <c r="AU60" s="637"/>
      <c r="AV60" s="637"/>
      <c r="AW60" s="637"/>
      <c r="AX60" s="637"/>
      <c r="AY60" s="637"/>
      <c r="AZ60" s="637"/>
      <c r="BA60" s="637"/>
      <c r="BB60" s="637"/>
      <c r="BC60" s="637"/>
      <c r="BD60" s="637"/>
      <c r="BE60" s="637"/>
      <c r="BF60" s="637"/>
      <c r="BG60" s="637"/>
      <c r="BH60" s="637"/>
      <c r="BI60" s="637"/>
      <c r="BJ60" s="637"/>
      <c r="BK60" s="637"/>
      <c r="BL60" s="637"/>
      <c r="BM60" s="637"/>
      <c r="BN60" s="637"/>
      <c r="BO60" s="637"/>
      <c r="BP60" s="637"/>
      <c r="BQ60" s="637"/>
      <c r="BR60" s="637"/>
      <c r="BS60" s="637"/>
      <c r="BT60" s="637"/>
      <c r="BU60" s="637"/>
      <c r="BV60" s="637"/>
      <c r="BW60" s="637"/>
      <c r="BX60" s="637"/>
      <c r="BY60" s="637"/>
      <c r="BZ60" s="637"/>
      <c r="CA60" s="637"/>
      <c r="CB60" s="637"/>
      <c r="CC60" s="637"/>
      <c r="CD60" s="637"/>
      <c r="CE60" s="637"/>
      <c r="CF60" s="637"/>
      <c r="CG60" s="637"/>
      <c r="CH60" s="637"/>
      <c r="CI60" s="637"/>
      <c r="CJ60" s="637"/>
      <c r="CK60" s="637"/>
      <c r="CL60" s="637"/>
      <c r="CM60" s="637"/>
      <c r="CN60" s="637"/>
      <c r="CO60" s="637"/>
      <c r="CP60" s="637"/>
      <c r="CQ60" s="637"/>
      <c r="CR60" s="637"/>
      <c r="CS60" s="637"/>
      <c r="CT60" s="637"/>
      <c r="CU60" s="637"/>
      <c r="CV60" s="637"/>
      <c r="CW60" s="637"/>
      <c r="CX60" s="637"/>
      <c r="CY60" s="637"/>
      <c r="CZ60" s="637"/>
      <c r="DA60" s="637"/>
      <c r="DB60" s="637"/>
      <c r="DC60" s="637"/>
      <c r="DD60" s="637"/>
      <c r="DE60" s="637"/>
      <c r="DF60" s="637"/>
      <c r="DG60" s="637"/>
      <c r="DH60" s="637"/>
      <c r="DI60" s="637"/>
      <c r="DJ60" s="637"/>
      <c r="DK60" s="637"/>
      <c r="DL60" s="637"/>
      <c r="DM60" s="637"/>
      <c r="DN60" s="637"/>
      <c r="DO60" s="637"/>
      <c r="DP60" s="637"/>
      <c r="DQ60" s="637"/>
      <c r="DR60" s="637"/>
      <c r="DS60" s="637"/>
      <c r="DT60" s="637"/>
      <c r="DU60" s="637"/>
      <c r="DV60" s="637"/>
      <c r="DW60" s="637"/>
      <c r="DX60" s="637"/>
      <c r="DY60" s="637"/>
      <c r="DZ60" s="637"/>
      <c r="EF60" s="181">
        <v>2020</v>
      </c>
      <c r="EG60">
        <v>2050</v>
      </c>
      <c r="EI60" s="26"/>
      <c r="EM60" t="s">
        <v>96</v>
      </c>
    </row>
    <row r="61" spans="1:146">
      <c r="B61" t="str">
        <f>B35</f>
        <v>Fuel additive elimination</v>
      </c>
      <c r="C61" s="54" t="s">
        <v>110</v>
      </c>
      <c r="D61" s="44">
        <f t="shared" ref="D61:AH61" si="266">D7*($EF61-$EG61)/30*(D$2-$D$2)</f>
        <v>0</v>
      </c>
      <c r="E61" s="44">
        <f t="shared" si="266"/>
        <v>0</v>
      </c>
      <c r="F61" s="44">
        <f t="shared" si="266"/>
        <v>0</v>
      </c>
      <c r="G61" s="44">
        <f t="shared" si="266"/>
        <v>0</v>
      </c>
      <c r="H61" s="44">
        <f t="shared" si="266"/>
        <v>0</v>
      </c>
      <c r="I61" s="44">
        <f t="shared" si="266"/>
        <v>0</v>
      </c>
      <c r="J61" s="44">
        <f t="shared" si="266"/>
        <v>0</v>
      </c>
      <c r="K61" s="44">
        <f t="shared" si="266"/>
        <v>0</v>
      </c>
      <c r="L61" s="44">
        <f t="shared" si="266"/>
        <v>0</v>
      </c>
      <c r="M61" s="44">
        <f t="shared" si="266"/>
        <v>0</v>
      </c>
      <c r="N61" s="44">
        <f t="shared" si="266"/>
        <v>0</v>
      </c>
      <c r="O61" s="44">
        <f t="shared" si="266"/>
        <v>0</v>
      </c>
      <c r="P61" s="44">
        <f t="shared" si="266"/>
        <v>0</v>
      </c>
      <c r="Q61" s="44">
        <f t="shared" si="266"/>
        <v>0</v>
      </c>
      <c r="R61" s="44">
        <f t="shared" si="266"/>
        <v>0</v>
      </c>
      <c r="S61" s="44">
        <f t="shared" si="266"/>
        <v>0</v>
      </c>
      <c r="T61" s="44">
        <f t="shared" si="266"/>
        <v>0</v>
      </c>
      <c r="U61" s="44">
        <f t="shared" si="266"/>
        <v>0</v>
      </c>
      <c r="V61" s="44">
        <f t="shared" si="266"/>
        <v>0</v>
      </c>
      <c r="W61" s="44">
        <f t="shared" si="266"/>
        <v>0</v>
      </c>
      <c r="X61" s="44">
        <f t="shared" si="266"/>
        <v>0</v>
      </c>
      <c r="Y61" s="44">
        <f t="shared" si="266"/>
        <v>0</v>
      </c>
      <c r="Z61" s="44">
        <f t="shared" si="266"/>
        <v>0</v>
      </c>
      <c r="AA61" s="44">
        <f t="shared" si="266"/>
        <v>0</v>
      </c>
      <c r="AB61" s="44">
        <f t="shared" si="266"/>
        <v>0</v>
      </c>
      <c r="AC61" s="44">
        <f t="shared" si="266"/>
        <v>0</v>
      </c>
      <c r="AD61" s="44">
        <f t="shared" si="266"/>
        <v>0</v>
      </c>
      <c r="AE61" s="44">
        <f t="shared" si="266"/>
        <v>0</v>
      </c>
      <c r="AF61" s="44">
        <f t="shared" si="266"/>
        <v>0</v>
      </c>
      <c r="AG61" s="44">
        <f t="shared" si="266"/>
        <v>0</v>
      </c>
      <c r="AH61" s="44">
        <f t="shared" si="266"/>
        <v>0</v>
      </c>
      <c r="AI61" s="44"/>
      <c r="AJ61" s="44">
        <f t="shared" ref="AJ61:BN61" si="267">AJ7*($EF61-$EG61)/30*(AJ$2-$D$2)</f>
        <v>0</v>
      </c>
      <c r="AK61" s="44">
        <f t="shared" si="267"/>
        <v>0</v>
      </c>
      <c r="AL61" s="44">
        <f t="shared" si="267"/>
        <v>0</v>
      </c>
      <c r="AM61" s="44">
        <f t="shared" si="267"/>
        <v>0</v>
      </c>
      <c r="AN61" s="44">
        <f t="shared" si="267"/>
        <v>0</v>
      </c>
      <c r="AO61" s="44">
        <f t="shared" si="267"/>
        <v>0</v>
      </c>
      <c r="AP61" s="44">
        <f t="shared" si="267"/>
        <v>0</v>
      </c>
      <c r="AQ61" s="44">
        <f t="shared" si="267"/>
        <v>0</v>
      </c>
      <c r="AR61" s="44">
        <f t="shared" si="267"/>
        <v>0</v>
      </c>
      <c r="AS61" s="44">
        <f t="shared" si="267"/>
        <v>0</v>
      </c>
      <c r="AT61" s="44">
        <f t="shared" si="267"/>
        <v>0</v>
      </c>
      <c r="AU61" s="44">
        <f t="shared" si="267"/>
        <v>0</v>
      </c>
      <c r="AV61" s="44">
        <f t="shared" si="267"/>
        <v>0</v>
      </c>
      <c r="AW61" s="44">
        <f t="shared" si="267"/>
        <v>0</v>
      </c>
      <c r="AX61" s="44">
        <f t="shared" si="267"/>
        <v>0</v>
      </c>
      <c r="AY61" s="44">
        <f t="shared" si="267"/>
        <v>0</v>
      </c>
      <c r="AZ61" s="44">
        <f t="shared" si="267"/>
        <v>0</v>
      </c>
      <c r="BA61" s="44">
        <f t="shared" si="267"/>
        <v>0</v>
      </c>
      <c r="BB61" s="44">
        <f t="shared" si="267"/>
        <v>0</v>
      </c>
      <c r="BC61" s="44">
        <f t="shared" si="267"/>
        <v>0</v>
      </c>
      <c r="BD61" s="44">
        <f t="shared" si="267"/>
        <v>0</v>
      </c>
      <c r="BE61" s="44">
        <f t="shared" si="267"/>
        <v>0</v>
      </c>
      <c r="BF61" s="44">
        <f t="shared" si="267"/>
        <v>0</v>
      </c>
      <c r="BG61" s="44">
        <f t="shared" si="267"/>
        <v>0</v>
      </c>
      <c r="BH61" s="44">
        <f t="shared" si="267"/>
        <v>0</v>
      </c>
      <c r="BI61" s="44">
        <f t="shared" si="267"/>
        <v>0</v>
      </c>
      <c r="BJ61" s="44">
        <f t="shared" si="267"/>
        <v>0</v>
      </c>
      <c r="BK61" s="44">
        <f t="shared" si="267"/>
        <v>0</v>
      </c>
      <c r="BL61" s="44">
        <f t="shared" si="267"/>
        <v>0</v>
      </c>
      <c r="BM61" s="44">
        <f t="shared" si="267"/>
        <v>0</v>
      </c>
      <c r="BN61" s="44">
        <f t="shared" si="267"/>
        <v>0</v>
      </c>
      <c r="BO61" s="44"/>
      <c r="BP61" s="44">
        <f t="shared" ref="BP61:CT61" si="268">BP7*($EF61-$EG61)/30*(BP$2-$D$2)</f>
        <v>0</v>
      </c>
      <c r="BQ61" s="44">
        <f t="shared" si="268"/>
        <v>0</v>
      </c>
      <c r="BR61" s="44">
        <f t="shared" si="268"/>
        <v>0</v>
      </c>
      <c r="BS61" s="44">
        <f t="shared" si="268"/>
        <v>0</v>
      </c>
      <c r="BT61" s="44">
        <f t="shared" si="268"/>
        <v>0</v>
      </c>
      <c r="BU61" s="44">
        <f t="shared" si="268"/>
        <v>0</v>
      </c>
      <c r="BV61" s="44">
        <f t="shared" si="268"/>
        <v>0</v>
      </c>
      <c r="BW61" s="44">
        <f t="shared" si="268"/>
        <v>0</v>
      </c>
      <c r="BX61" s="44">
        <f t="shared" si="268"/>
        <v>0</v>
      </c>
      <c r="BY61" s="44">
        <f t="shared" si="268"/>
        <v>0</v>
      </c>
      <c r="BZ61" s="44">
        <f t="shared" si="268"/>
        <v>0</v>
      </c>
      <c r="CA61" s="44">
        <f t="shared" si="268"/>
        <v>0</v>
      </c>
      <c r="CB61" s="44">
        <f t="shared" si="268"/>
        <v>0</v>
      </c>
      <c r="CC61" s="44">
        <f t="shared" si="268"/>
        <v>0</v>
      </c>
      <c r="CD61" s="44">
        <f t="shared" si="268"/>
        <v>0</v>
      </c>
      <c r="CE61" s="44">
        <f t="shared" si="268"/>
        <v>0</v>
      </c>
      <c r="CF61" s="44">
        <f t="shared" si="268"/>
        <v>0</v>
      </c>
      <c r="CG61" s="44">
        <f t="shared" si="268"/>
        <v>0</v>
      </c>
      <c r="CH61" s="44">
        <f t="shared" si="268"/>
        <v>0</v>
      </c>
      <c r="CI61" s="44">
        <f t="shared" si="268"/>
        <v>0</v>
      </c>
      <c r="CJ61" s="44">
        <f t="shared" si="268"/>
        <v>0</v>
      </c>
      <c r="CK61" s="44">
        <f t="shared" si="268"/>
        <v>0</v>
      </c>
      <c r="CL61" s="44">
        <f t="shared" si="268"/>
        <v>0</v>
      </c>
      <c r="CM61" s="44">
        <f t="shared" si="268"/>
        <v>0</v>
      </c>
      <c r="CN61" s="44">
        <f t="shared" si="268"/>
        <v>0</v>
      </c>
      <c r="CO61" s="44">
        <f t="shared" si="268"/>
        <v>0</v>
      </c>
      <c r="CP61" s="44">
        <f t="shared" si="268"/>
        <v>0</v>
      </c>
      <c r="CQ61" s="44">
        <f t="shared" si="268"/>
        <v>0</v>
      </c>
      <c r="CR61" s="44">
        <f t="shared" si="268"/>
        <v>0</v>
      </c>
      <c r="CS61" s="44">
        <f t="shared" si="268"/>
        <v>0</v>
      </c>
      <c r="CT61" s="44">
        <f t="shared" si="268"/>
        <v>0</v>
      </c>
      <c r="CU61" s="44"/>
      <c r="CV61" s="44">
        <f t="shared" ref="CV61:DZ61" si="269">CV7*($EF61-$EG61)/30*(CV$2-$D$2)</f>
        <v>0</v>
      </c>
      <c r="CW61" s="44">
        <f t="shared" si="269"/>
        <v>0</v>
      </c>
      <c r="CX61" s="44">
        <f t="shared" si="269"/>
        <v>0</v>
      </c>
      <c r="CY61" s="44">
        <f t="shared" si="269"/>
        <v>0</v>
      </c>
      <c r="CZ61" s="44">
        <f t="shared" si="269"/>
        <v>0</v>
      </c>
      <c r="DA61" s="44">
        <f t="shared" si="269"/>
        <v>0</v>
      </c>
      <c r="DB61" s="44">
        <f t="shared" si="269"/>
        <v>0</v>
      </c>
      <c r="DC61" s="44">
        <f t="shared" si="269"/>
        <v>0</v>
      </c>
      <c r="DD61" s="44">
        <f t="shared" si="269"/>
        <v>0</v>
      </c>
      <c r="DE61" s="44">
        <f t="shared" si="269"/>
        <v>0</v>
      </c>
      <c r="DF61" s="44">
        <f t="shared" si="269"/>
        <v>0</v>
      </c>
      <c r="DG61" s="44">
        <f t="shared" si="269"/>
        <v>0</v>
      </c>
      <c r="DH61" s="44">
        <f t="shared" si="269"/>
        <v>0</v>
      </c>
      <c r="DI61" s="44">
        <f t="shared" si="269"/>
        <v>0</v>
      </c>
      <c r="DJ61" s="44">
        <f t="shared" si="269"/>
        <v>0</v>
      </c>
      <c r="DK61" s="44">
        <f t="shared" si="269"/>
        <v>0</v>
      </c>
      <c r="DL61" s="44">
        <f t="shared" si="269"/>
        <v>0</v>
      </c>
      <c r="DM61" s="44">
        <f t="shared" si="269"/>
        <v>0</v>
      </c>
      <c r="DN61" s="44">
        <f t="shared" si="269"/>
        <v>0</v>
      </c>
      <c r="DO61" s="44">
        <f t="shared" si="269"/>
        <v>0</v>
      </c>
      <c r="DP61" s="44">
        <f t="shared" si="269"/>
        <v>0</v>
      </c>
      <c r="DQ61" s="44">
        <f t="shared" si="269"/>
        <v>0</v>
      </c>
      <c r="DR61" s="44">
        <f t="shared" si="269"/>
        <v>0</v>
      </c>
      <c r="DS61" s="44">
        <f t="shared" si="269"/>
        <v>0</v>
      </c>
      <c r="DT61" s="44">
        <f t="shared" si="269"/>
        <v>0</v>
      </c>
      <c r="DU61" s="44">
        <f t="shared" si="269"/>
        <v>0</v>
      </c>
      <c r="DV61" s="44">
        <f t="shared" si="269"/>
        <v>0</v>
      </c>
      <c r="DW61" s="44">
        <f t="shared" si="269"/>
        <v>0</v>
      </c>
      <c r="DX61" s="44">
        <f t="shared" si="269"/>
        <v>0</v>
      </c>
      <c r="DY61" s="44">
        <f t="shared" si="269"/>
        <v>0</v>
      </c>
      <c r="DZ61" s="44">
        <f t="shared" si="269"/>
        <v>0</v>
      </c>
      <c r="EF61" s="51">
        <v>0</v>
      </c>
      <c r="EG61" s="51">
        <v>0</v>
      </c>
      <c r="EH61" s="51"/>
      <c r="EI61" s="157"/>
      <c r="EJ61" s="51"/>
      <c r="EM61" t="s">
        <v>98</v>
      </c>
    </row>
    <row r="62" spans="1:146">
      <c r="A62" s="1"/>
      <c r="B62" t="str">
        <f t="shared" ref="B62:B74" si="270">B36</f>
        <v>Packaging reduction</v>
      </c>
      <c r="C62" s="54" t="s">
        <v>110</v>
      </c>
      <c r="D62" s="44">
        <f t="shared" ref="D62:AH62" si="271">D8*($EF62-$EG62)/30*(D$2-$D$2)</f>
        <v>0</v>
      </c>
      <c r="E62" s="44">
        <f t="shared" si="271"/>
        <v>0</v>
      </c>
      <c r="F62" s="44">
        <f t="shared" si="271"/>
        <v>0</v>
      </c>
      <c r="G62" s="44">
        <f t="shared" si="271"/>
        <v>0</v>
      </c>
      <c r="H62" s="44">
        <f t="shared" si="271"/>
        <v>0</v>
      </c>
      <c r="I62" s="44">
        <f t="shared" si="271"/>
        <v>0</v>
      </c>
      <c r="J62" s="44">
        <f t="shared" si="271"/>
        <v>0</v>
      </c>
      <c r="K62" s="44">
        <f t="shared" si="271"/>
        <v>0</v>
      </c>
      <c r="L62" s="44">
        <f t="shared" si="271"/>
        <v>0</v>
      </c>
      <c r="M62" s="44">
        <f t="shared" si="271"/>
        <v>0</v>
      </c>
      <c r="N62" s="44">
        <f t="shared" si="271"/>
        <v>0</v>
      </c>
      <c r="O62" s="44">
        <f t="shared" si="271"/>
        <v>0</v>
      </c>
      <c r="P62" s="44">
        <f t="shared" si="271"/>
        <v>0</v>
      </c>
      <c r="Q62" s="44">
        <f t="shared" si="271"/>
        <v>0</v>
      </c>
      <c r="R62" s="44">
        <f t="shared" si="271"/>
        <v>0</v>
      </c>
      <c r="S62" s="44">
        <f t="shared" si="271"/>
        <v>0</v>
      </c>
      <c r="T62" s="44">
        <f t="shared" si="271"/>
        <v>0</v>
      </c>
      <c r="U62" s="44">
        <f t="shared" si="271"/>
        <v>0</v>
      </c>
      <c r="V62" s="44">
        <f t="shared" si="271"/>
        <v>0</v>
      </c>
      <c r="W62" s="44">
        <f t="shared" si="271"/>
        <v>0</v>
      </c>
      <c r="X62" s="44">
        <f t="shared" si="271"/>
        <v>0</v>
      </c>
      <c r="Y62" s="44">
        <f t="shared" si="271"/>
        <v>0</v>
      </c>
      <c r="Z62" s="44">
        <f t="shared" si="271"/>
        <v>0</v>
      </c>
      <c r="AA62" s="44">
        <f t="shared" si="271"/>
        <v>0</v>
      </c>
      <c r="AB62" s="44">
        <f t="shared" si="271"/>
        <v>0</v>
      </c>
      <c r="AC62" s="44">
        <f t="shared" si="271"/>
        <v>0</v>
      </c>
      <c r="AD62" s="44">
        <f t="shared" si="271"/>
        <v>0</v>
      </c>
      <c r="AE62" s="44">
        <f t="shared" si="271"/>
        <v>0</v>
      </c>
      <c r="AF62" s="44">
        <f t="shared" si="271"/>
        <v>0</v>
      </c>
      <c r="AG62" s="44">
        <f t="shared" si="271"/>
        <v>0</v>
      </c>
      <c r="AH62" s="44">
        <f t="shared" si="271"/>
        <v>0</v>
      </c>
      <c r="AI62" s="44"/>
      <c r="AJ62" s="44">
        <f t="shared" ref="AJ62:BN62" si="272">AJ8*($EF62-$EG62)/30*(AJ$2-$D$2)</f>
        <v>0</v>
      </c>
      <c r="AK62" s="44">
        <f t="shared" si="272"/>
        <v>0</v>
      </c>
      <c r="AL62" s="44">
        <f t="shared" si="272"/>
        <v>0</v>
      </c>
      <c r="AM62" s="44">
        <f t="shared" si="272"/>
        <v>0</v>
      </c>
      <c r="AN62" s="44">
        <f t="shared" si="272"/>
        <v>0</v>
      </c>
      <c r="AO62" s="44">
        <f t="shared" si="272"/>
        <v>0</v>
      </c>
      <c r="AP62" s="44">
        <f t="shared" si="272"/>
        <v>0</v>
      </c>
      <c r="AQ62" s="44">
        <f t="shared" si="272"/>
        <v>0</v>
      </c>
      <c r="AR62" s="44">
        <f t="shared" si="272"/>
        <v>0</v>
      </c>
      <c r="AS62" s="44">
        <f t="shared" si="272"/>
        <v>0</v>
      </c>
      <c r="AT62" s="44">
        <f t="shared" si="272"/>
        <v>0</v>
      </c>
      <c r="AU62" s="44">
        <f t="shared" si="272"/>
        <v>0</v>
      </c>
      <c r="AV62" s="44">
        <f t="shared" si="272"/>
        <v>0</v>
      </c>
      <c r="AW62" s="44">
        <f t="shared" si="272"/>
        <v>0</v>
      </c>
      <c r="AX62" s="44">
        <f t="shared" si="272"/>
        <v>0</v>
      </c>
      <c r="AY62" s="44">
        <f t="shared" si="272"/>
        <v>0</v>
      </c>
      <c r="AZ62" s="44">
        <f t="shared" si="272"/>
        <v>0</v>
      </c>
      <c r="BA62" s="44">
        <f t="shared" si="272"/>
        <v>0</v>
      </c>
      <c r="BB62" s="44">
        <f t="shared" si="272"/>
        <v>0</v>
      </c>
      <c r="BC62" s="44">
        <f t="shared" si="272"/>
        <v>0</v>
      </c>
      <c r="BD62" s="44">
        <f t="shared" si="272"/>
        <v>0</v>
      </c>
      <c r="BE62" s="44">
        <f t="shared" si="272"/>
        <v>0</v>
      </c>
      <c r="BF62" s="44">
        <f t="shared" si="272"/>
        <v>0</v>
      </c>
      <c r="BG62" s="44">
        <f t="shared" si="272"/>
        <v>0</v>
      </c>
      <c r="BH62" s="44">
        <f t="shared" si="272"/>
        <v>0</v>
      </c>
      <c r="BI62" s="44">
        <f t="shared" si="272"/>
        <v>0</v>
      </c>
      <c r="BJ62" s="44">
        <f t="shared" si="272"/>
        <v>0</v>
      </c>
      <c r="BK62" s="44">
        <f t="shared" si="272"/>
        <v>0</v>
      </c>
      <c r="BL62" s="44">
        <f t="shared" si="272"/>
        <v>0</v>
      </c>
      <c r="BM62" s="44">
        <f t="shared" si="272"/>
        <v>0</v>
      </c>
      <c r="BN62" s="44">
        <f t="shared" si="272"/>
        <v>0</v>
      </c>
      <c r="BO62" s="44"/>
      <c r="BP62" s="44">
        <f t="shared" ref="BP62:CT62" si="273">BP8*($EF62-$EG62)/30*(BP$2-$D$2)</f>
        <v>0</v>
      </c>
      <c r="BQ62" s="44">
        <f t="shared" si="273"/>
        <v>0</v>
      </c>
      <c r="BR62" s="44">
        <f t="shared" si="273"/>
        <v>0</v>
      </c>
      <c r="BS62" s="44">
        <f t="shared" si="273"/>
        <v>0</v>
      </c>
      <c r="BT62" s="44">
        <f t="shared" si="273"/>
        <v>0</v>
      </c>
      <c r="BU62" s="44">
        <f t="shared" si="273"/>
        <v>0</v>
      </c>
      <c r="BV62" s="44">
        <f t="shared" si="273"/>
        <v>0</v>
      </c>
      <c r="BW62" s="44">
        <f t="shared" si="273"/>
        <v>0</v>
      </c>
      <c r="BX62" s="44">
        <f t="shared" si="273"/>
        <v>0</v>
      </c>
      <c r="BY62" s="44">
        <f t="shared" si="273"/>
        <v>0</v>
      </c>
      <c r="BZ62" s="44">
        <f t="shared" si="273"/>
        <v>0</v>
      </c>
      <c r="CA62" s="44">
        <f t="shared" si="273"/>
        <v>0</v>
      </c>
      <c r="CB62" s="44">
        <f t="shared" si="273"/>
        <v>0</v>
      </c>
      <c r="CC62" s="44">
        <f t="shared" si="273"/>
        <v>0</v>
      </c>
      <c r="CD62" s="44">
        <f t="shared" si="273"/>
        <v>0</v>
      </c>
      <c r="CE62" s="44">
        <f t="shared" si="273"/>
        <v>0</v>
      </c>
      <c r="CF62" s="44">
        <f t="shared" si="273"/>
        <v>0</v>
      </c>
      <c r="CG62" s="44">
        <f t="shared" si="273"/>
        <v>0</v>
      </c>
      <c r="CH62" s="44">
        <f t="shared" si="273"/>
        <v>0</v>
      </c>
      <c r="CI62" s="44">
        <f t="shared" si="273"/>
        <v>0</v>
      </c>
      <c r="CJ62" s="44">
        <f t="shared" si="273"/>
        <v>0</v>
      </c>
      <c r="CK62" s="44">
        <f t="shared" si="273"/>
        <v>0</v>
      </c>
      <c r="CL62" s="44">
        <f t="shared" si="273"/>
        <v>0</v>
      </c>
      <c r="CM62" s="44">
        <f t="shared" si="273"/>
        <v>0</v>
      </c>
      <c r="CN62" s="44">
        <f t="shared" si="273"/>
        <v>0</v>
      </c>
      <c r="CO62" s="44">
        <f t="shared" si="273"/>
        <v>0</v>
      </c>
      <c r="CP62" s="44">
        <f t="shared" si="273"/>
        <v>0</v>
      </c>
      <c r="CQ62" s="44">
        <f t="shared" si="273"/>
        <v>0</v>
      </c>
      <c r="CR62" s="44">
        <f t="shared" si="273"/>
        <v>0</v>
      </c>
      <c r="CS62" s="44">
        <f t="shared" si="273"/>
        <v>0</v>
      </c>
      <c r="CT62" s="44">
        <f t="shared" si="273"/>
        <v>0</v>
      </c>
      <c r="CU62" s="44"/>
      <c r="CV62" s="44">
        <f t="shared" ref="CV62:DZ62" si="274">CV8*($EF62-$EG62)/30*(CV$2-$D$2)</f>
        <v>0</v>
      </c>
      <c r="CW62" s="44">
        <f t="shared" si="274"/>
        <v>0</v>
      </c>
      <c r="CX62" s="44">
        <f t="shared" si="274"/>
        <v>0</v>
      </c>
      <c r="CY62" s="44">
        <f t="shared" si="274"/>
        <v>0</v>
      </c>
      <c r="CZ62" s="44">
        <f t="shared" si="274"/>
        <v>0</v>
      </c>
      <c r="DA62" s="44">
        <f t="shared" si="274"/>
        <v>0</v>
      </c>
      <c r="DB62" s="44">
        <f t="shared" si="274"/>
        <v>0</v>
      </c>
      <c r="DC62" s="44">
        <f t="shared" si="274"/>
        <v>0</v>
      </c>
      <c r="DD62" s="44">
        <f t="shared" si="274"/>
        <v>0</v>
      </c>
      <c r="DE62" s="44">
        <f t="shared" si="274"/>
        <v>0</v>
      </c>
      <c r="DF62" s="44">
        <f t="shared" si="274"/>
        <v>0</v>
      </c>
      <c r="DG62" s="44">
        <f t="shared" si="274"/>
        <v>0</v>
      </c>
      <c r="DH62" s="44">
        <f t="shared" si="274"/>
        <v>0</v>
      </c>
      <c r="DI62" s="44">
        <f t="shared" si="274"/>
        <v>0</v>
      </c>
      <c r="DJ62" s="44">
        <f t="shared" si="274"/>
        <v>0</v>
      </c>
      <c r="DK62" s="44">
        <f t="shared" si="274"/>
        <v>0</v>
      </c>
      <c r="DL62" s="44">
        <f t="shared" si="274"/>
        <v>0</v>
      </c>
      <c r="DM62" s="44">
        <f t="shared" si="274"/>
        <v>0</v>
      </c>
      <c r="DN62" s="44">
        <f t="shared" si="274"/>
        <v>0</v>
      </c>
      <c r="DO62" s="44">
        <f t="shared" si="274"/>
        <v>0</v>
      </c>
      <c r="DP62" s="44">
        <f t="shared" si="274"/>
        <v>0</v>
      </c>
      <c r="DQ62" s="44">
        <f t="shared" si="274"/>
        <v>0</v>
      </c>
      <c r="DR62" s="44">
        <f t="shared" si="274"/>
        <v>0</v>
      </c>
      <c r="DS62" s="44">
        <f t="shared" si="274"/>
        <v>0</v>
      </c>
      <c r="DT62" s="44">
        <f t="shared" si="274"/>
        <v>0</v>
      </c>
      <c r="DU62" s="44">
        <f t="shared" si="274"/>
        <v>0</v>
      </c>
      <c r="DV62" s="44">
        <f t="shared" si="274"/>
        <v>0</v>
      </c>
      <c r="DW62" s="44">
        <f t="shared" si="274"/>
        <v>0</v>
      </c>
      <c r="DX62" s="44">
        <f t="shared" si="274"/>
        <v>0</v>
      </c>
      <c r="DY62" s="44">
        <f t="shared" si="274"/>
        <v>0</v>
      </c>
      <c r="DZ62" s="44">
        <f t="shared" si="274"/>
        <v>0</v>
      </c>
      <c r="EF62" s="51">
        <v>0</v>
      </c>
      <c r="EG62" s="51">
        <v>0</v>
      </c>
      <c r="EH62" s="51"/>
      <c r="EI62" s="157"/>
      <c r="EJ62" s="51"/>
      <c r="EM62" t="s">
        <v>99</v>
      </c>
    </row>
    <row r="63" spans="1:146">
      <c r="A63" s="1"/>
      <c r="B63" t="str">
        <f t="shared" si="270"/>
        <v>Packaging reuse</v>
      </c>
      <c r="C63" s="54" t="s">
        <v>110</v>
      </c>
      <c r="D63" s="44">
        <f t="shared" ref="D63:AH63" si="275">D9*($EF63-$EG63)/30*(D$2-$D$2)</f>
        <v>0</v>
      </c>
      <c r="E63" s="44">
        <f t="shared" si="275"/>
        <v>0</v>
      </c>
      <c r="F63" s="44">
        <f t="shared" si="275"/>
        <v>0</v>
      </c>
      <c r="G63" s="44">
        <f t="shared" si="275"/>
        <v>0</v>
      </c>
      <c r="H63" s="44">
        <f t="shared" si="275"/>
        <v>0</v>
      </c>
      <c r="I63" s="44">
        <f t="shared" si="275"/>
        <v>0</v>
      </c>
      <c r="J63" s="44">
        <f t="shared" si="275"/>
        <v>0</v>
      </c>
      <c r="K63" s="44">
        <f t="shared" si="275"/>
        <v>0</v>
      </c>
      <c r="L63" s="44">
        <f t="shared" si="275"/>
        <v>0</v>
      </c>
      <c r="M63" s="44">
        <f t="shared" si="275"/>
        <v>0</v>
      </c>
      <c r="N63" s="44">
        <f t="shared" si="275"/>
        <v>0</v>
      </c>
      <c r="O63" s="44">
        <f t="shared" si="275"/>
        <v>0</v>
      </c>
      <c r="P63" s="44">
        <f t="shared" si="275"/>
        <v>0</v>
      </c>
      <c r="Q63" s="44">
        <f t="shared" si="275"/>
        <v>0</v>
      </c>
      <c r="R63" s="44">
        <f t="shared" si="275"/>
        <v>0</v>
      </c>
      <c r="S63" s="44">
        <f t="shared" si="275"/>
        <v>0</v>
      </c>
      <c r="T63" s="44">
        <f t="shared" si="275"/>
        <v>0</v>
      </c>
      <c r="U63" s="44">
        <f t="shared" si="275"/>
        <v>0</v>
      </c>
      <c r="V63" s="44">
        <f t="shared" si="275"/>
        <v>0</v>
      </c>
      <c r="W63" s="44">
        <f t="shared" si="275"/>
        <v>0</v>
      </c>
      <c r="X63" s="44">
        <f t="shared" si="275"/>
        <v>0</v>
      </c>
      <c r="Y63" s="44">
        <f t="shared" si="275"/>
        <v>0</v>
      </c>
      <c r="Z63" s="44">
        <f t="shared" si="275"/>
        <v>0</v>
      </c>
      <c r="AA63" s="44">
        <f t="shared" si="275"/>
        <v>0</v>
      </c>
      <c r="AB63" s="44">
        <f t="shared" si="275"/>
        <v>0</v>
      </c>
      <c r="AC63" s="44">
        <f t="shared" si="275"/>
        <v>0</v>
      </c>
      <c r="AD63" s="44">
        <f t="shared" si="275"/>
        <v>0</v>
      </c>
      <c r="AE63" s="44">
        <f t="shared" si="275"/>
        <v>0</v>
      </c>
      <c r="AF63" s="44">
        <f t="shared" si="275"/>
        <v>0</v>
      </c>
      <c r="AG63" s="44">
        <f t="shared" si="275"/>
        <v>0</v>
      </c>
      <c r="AH63" s="44">
        <f t="shared" si="275"/>
        <v>0</v>
      </c>
      <c r="AI63" s="44"/>
      <c r="AJ63" s="44">
        <f t="shared" ref="AJ63:BN63" si="276">AJ9*($EF63-$EG63)/30*(AJ$2-$D$2)</f>
        <v>0</v>
      </c>
      <c r="AK63" s="44">
        <f t="shared" si="276"/>
        <v>0</v>
      </c>
      <c r="AL63" s="44">
        <f t="shared" si="276"/>
        <v>0</v>
      </c>
      <c r="AM63" s="44">
        <f t="shared" si="276"/>
        <v>0</v>
      </c>
      <c r="AN63" s="44">
        <f t="shared" si="276"/>
        <v>0</v>
      </c>
      <c r="AO63" s="44">
        <f t="shared" si="276"/>
        <v>0</v>
      </c>
      <c r="AP63" s="44">
        <f t="shared" si="276"/>
        <v>0</v>
      </c>
      <c r="AQ63" s="44">
        <f t="shared" si="276"/>
        <v>0</v>
      </c>
      <c r="AR63" s="44">
        <f t="shared" si="276"/>
        <v>0</v>
      </c>
      <c r="AS63" s="44">
        <f t="shared" si="276"/>
        <v>0</v>
      </c>
      <c r="AT63" s="44">
        <f t="shared" si="276"/>
        <v>0</v>
      </c>
      <c r="AU63" s="44">
        <f t="shared" si="276"/>
        <v>0</v>
      </c>
      <c r="AV63" s="44">
        <f t="shared" si="276"/>
        <v>0</v>
      </c>
      <c r="AW63" s="44">
        <f t="shared" si="276"/>
        <v>0</v>
      </c>
      <c r="AX63" s="44">
        <f t="shared" si="276"/>
        <v>0</v>
      </c>
      <c r="AY63" s="44">
        <f t="shared" si="276"/>
        <v>0</v>
      </c>
      <c r="AZ63" s="44">
        <f t="shared" si="276"/>
        <v>0</v>
      </c>
      <c r="BA63" s="44">
        <f t="shared" si="276"/>
        <v>0</v>
      </c>
      <c r="BB63" s="44">
        <f t="shared" si="276"/>
        <v>0</v>
      </c>
      <c r="BC63" s="44">
        <f t="shared" si="276"/>
        <v>0</v>
      </c>
      <c r="BD63" s="44">
        <f t="shared" si="276"/>
        <v>0</v>
      </c>
      <c r="BE63" s="44">
        <f t="shared" si="276"/>
        <v>0</v>
      </c>
      <c r="BF63" s="44">
        <f t="shared" si="276"/>
        <v>0</v>
      </c>
      <c r="BG63" s="44">
        <f t="shared" si="276"/>
        <v>0</v>
      </c>
      <c r="BH63" s="44">
        <f t="shared" si="276"/>
        <v>0</v>
      </c>
      <c r="BI63" s="44">
        <f t="shared" si="276"/>
        <v>0</v>
      </c>
      <c r="BJ63" s="44">
        <f t="shared" si="276"/>
        <v>0</v>
      </c>
      <c r="BK63" s="44">
        <f t="shared" si="276"/>
        <v>0</v>
      </c>
      <c r="BL63" s="44">
        <f t="shared" si="276"/>
        <v>0</v>
      </c>
      <c r="BM63" s="44">
        <f t="shared" si="276"/>
        <v>0</v>
      </c>
      <c r="BN63" s="44">
        <f t="shared" si="276"/>
        <v>0</v>
      </c>
      <c r="BO63" s="44"/>
      <c r="BP63" s="44">
        <f t="shared" ref="BP63:CT63" si="277">BP9*($EF63-$EG63)/30*(BP$2-$D$2)</f>
        <v>0</v>
      </c>
      <c r="BQ63" s="44">
        <f t="shared" si="277"/>
        <v>0</v>
      </c>
      <c r="BR63" s="44">
        <f t="shared" si="277"/>
        <v>0</v>
      </c>
      <c r="BS63" s="44">
        <f t="shared" si="277"/>
        <v>0</v>
      </c>
      <c r="BT63" s="44">
        <f t="shared" si="277"/>
        <v>0</v>
      </c>
      <c r="BU63" s="44">
        <f t="shared" si="277"/>
        <v>0</v>
      </c>
      <c r="BV63" s="44">
        <f t="shared" si="277"/>
        <v>0</v>
      </c>
      <c r="BW63" s="44">
        <f t="shared" si="277"/>
        <v>0</v>
      </c>
      <c r="BX63" s="44">
        <f t="shared" si="277"/>
        <v>0</v>
      </c>
      <c r="BY63" s="44">
        <f t="shared" si="277"/>
        <v>0</v>
      </c>
      <c r="BZ63" s="44">
        <f t="shared" si="277"/>
        <v>0</v>
      </c>
      <c r="CA63" s="44">
        <f t="shared" si="277"/>
        <v>0</v>
      </c>
      <c r="CB63" s="44">
        <f t="shared" si="277"/>
        <v>0</v>
      </c>
      <c r="CC63" s="44">
        <f t="shared" si="277"/>
        <v>0</v>
      </c>
      <c r="CD63" s="44">
        <f t="shared" si="277"/>
        <v>0</v>
      </c>
      <c r="CE63" s="44">
        <f t="shared" si="277"/>
        <v>0</v>
      </c>
      <c r="CF63" s="44">
        <f t="shared" si="277"/>
        <v>0</v>
      </c>
      <c r="CG63" s="44">
        <f t="shared" si="277"/>
        <v>0</v>
      </c>
      <c r="CH63" s="44">
        <f t="shared" si="277"/>
        <v>0</v>
      </c>
      <c r="CI63" s="44">
        <f t="shared" si="277"/>
        <v>0</v>
      </c>
      <c r="CJ63" s="44">
        <f t="shared" si="277"/>
        <v>0</v>
      </c>
      <c r="CK63" s="44">
        <f t="shared" si="277"/>
        <v>0</v>
      </c>
      <c r="CL63" s="44">
        <f t="shared" si="277"/>
        <v>0</v>
      </c>
      <c r="CM63" s="44">
        <f t="shared" si="277"/>
        <v>0</v>
      </c>
      <c r="CN63" s="44">
        <f t="shared" si="277"/>
        <v>0</v>
      </c>
      <c r="CO63" s="44">
        <f t="shared" si="277"/>
        <v>0</v>
      </c>
      <c r="CP63" s="44">
        <f t="shared" si="277"/>
        <v>0</v>
      </c>
      <c r="CQ63" s="44">
        <f t="shared" si="277"/>
        <v>0</v>
      </c>
      <c r="CR63" s="44">
        <f t="shared" si="277"/>
        <v>0</v>
      </c>
      <c r="CS63" s="44">
        <f t="shared" si="277"/>
        <v>0</v>
      </c>
      <c r="CT63" s="44">
        <f t="shared" si="277"/>
        <v>0</v>
      </c>
      <c r="CU63" s="44"/>
      <c r="CV63" s="44">
        <f t="shared" ref="CV63:DZ63" si="278">CV9*($EF63-$EG63)/30*(CV$2-$D$2)</f>
        <v>0</v>
      </c>
      <c r="CW63" s="44">
        <f t="shared" si="278"/>
        <v>0</v>
      </c>
      <c r="CX63" s="44">
        <f t="shared" si="278"/>
        <v>0</v>
      </c>
      <c r="CY63" s="44">
        <f t="shared" si="278"/>
        <v>0</v>
      </c>
      <c r="CZ63" s="44">
        <f t="shared" si="278"/>
        <v>0</v>
      </c>
      <c r="DA63" s="44">
        <f t="shared" si="278"/>
        <v>0</v>
      </c>
      <c r="DB63" s="44">
        <f t="shared" si="278"/>
        <v>0</v>
      </c>
      <c r="DC63" s="44">
        <f t="shared" si="278"/>
        <v>0</v>
      </c>
      <c r="DD63" s="44">
        <f t="shared" si="278"/>
        <v>0</v>
      </c>
      <c r="DE63" s="44">
        <f t="shared" si="278"/>
        <v>0</v>
      </c>
      <c r="DF63" s="44">
        <f t="shared" si="278"/>
        <v>0</v>
      </c>
      <c r="DG63" s="44">
        <f t="shared" si="278"/>
        <v>0</v>
      </c>
      <c r="DH63" s="44">
        <f t="shared" si="278"/>
        <v>0</v>
      </c>
      <c r="DI63" s="44">
        <f t="shared" si="278"/>
        <v>0</v>
      </c>
      <c r="DJ63" s="44">
        <f t="shared" si="278"/>
        <v>0</v>
      </c>
      <c r="DK63" s="44">
        <f t="shared" si="278"/>
        <v>0</v>
      </c>
      <c r="DL63" s="44">
        <f t="shared" si="278"/>
        <v>0</v>
      </c>
      <c r="DM63" s="44">
        <f t="shared" si="278"/>
        <v>0</v>
      </c>
      <c r="DN63" s="44">
        <f t="shared" si="278"/>
        <v>0</v>
      </c>
      <c r="DO63" s="44">
        <f t="shared" si="278"/>
        <v>0</v>
      </c>
      <c r="DP63" s="44">
        <f t="shared" si="278"/>
        <v>0</v>
      </c>
      <c r="DQ63" s="44">
        <f t="shared" si="278"/>
        <v>0</v>
      </c>
      <c r="DR63" s="44">
        <f t="shared" si="278"/>
        <v>0</v>
      </c>
      <c r="DS63" s="44">
        <f t="shared" si="278"/>
        <v>0</v>
      </c>
      <c r="DT63" s="44">
        <f t="shared" si="278"/>
        <v>0</v>
      </c>
      <c r="DU63" s="44">
        <f t="shared" si="278"/>
        <v>0</v>
      </c>
      <c r="DV63" s="44">
        <f t="shared" si="278"/>
        <v>0</v>
      </c>
      <c r="DW63" s="44">
        <f t="shared" si="278"/>
        <v>0</v>
      </c>
      <c r="DX63" s="44">
        <f t="shared" si="278"/>
        <v>0</v>
      </c>
      <c r="DY63" s="44">
        <f t="shared" si="278"/>
        <v>0</v>
      </c>
      <c r="DZ63" s="44">
        <f t="shared" si="278"/>
        <v>0</v>
      </c>
      <c r="EF63" s="585">
        <f>AVERAGE(1.6,4.5)</f>
        <v>3.05</v>
      </c>
      <c r="EG63" s="51">
        <v>0</v>
      </c>
      <c r="EH63" s="51"/>
      <c r="EI63" s="157"/>
      <c r="EJ63" s="51"/>
      <c r="EM63" t="s">
        <v>99</v>
      </c>
    </row>
    <row r="64" spans="1:146">
      <c r="A64" s="1"/>
      <c r="B64" t="str">
        <f t="shared" si="270"/>
        <v>Packaging substitution Paper</v>
      </c>
      <c r="C64" s="54" t="s">
        <v>110</v>
      </c>
      <c r="D64" s="44">
        <f t="shared" ref="D64:AH64" si="279">D10*($EF64-$EG64)/30*(D$2-$D$2)</f>
        <v>0</v>
      </c>
      <c r="E64" s="44">
        <f t="shared" si="279"/>
        <v>0</v>
      </c>
      <c r="F64" s="44">
        <f t="shared" si="279"/>
        <v>0</v>
      </c>
      <c r="G64" s="44">
        <f t="shared" si="279"/>
        <v>0</v>
      </c>
      <c r="H64" s="44">
        <f t="shared" si="279"/>
        <v>0</v>
      </c>
      <c r="I64" s="44">
        <f t="shared" si="279"/>
        <v>0</v>
      </c>
      <c r="J64" s="44">
        <f t="shared" si="279"/>
        <v>0</v>
      </c>
      <c r="K64" s="44">
        <f t="shared" si="279"/>
        <v>0</v>
      </c>
      <c r="L64" s="44">
        <f t="shared" si="279"/>
        <v>0</v>
      </c>
      <c r="M64" s="44">
        <f t="shared" si="279"/>
        <v>0</v>
      </c>
      <c r="N64" s="44">
        <f t="shared" si="279"/>
        <v>0</v>
      </c>
      <c r="O64" s="44">
        <f t="shared" si="279"/>
        <v>0</v>
      </c>
      <c r="P64" s="44">
        <f t="shared" si="279"/>
        <v>0</v>
      </c>
      <c r="Q64" s="44">
        <f t="shared" si="279"/>
        <v>0</v>
      </c>
      <c r="R64" s="44">
        <f t="shared" si="279"/>
        <v>0</v>
      </c>
      <c r="S64" s="44">
        <f t="shared" si="279"/>
        <v>0</v>
      </c>
      <c r="T64" s="44">
        <f t="shared" si="279"/>
        <v>0</v>
      </c>
      <c r="U64" s="44">
        <f t="shared" si="279"/>
        <v>0</v>
      </c>
      <c r="V64" s="44">
        <f t="shared" si="279"/>
        <v>0</v>
      </c>
      <c r="W64" s="44">
        <f t="shared" si="279"/>
        <v>0</v>
      </c>
      <c r="X64" s="44">
        <f t="shared" si="279"/>
        <v>0</v>
      </c>
      <c r="Y64" s="44">
        <f t="shared" si="279"/>
        <v>0</v>
      </c>
      <c r="Z64" s="44">
        <f t="shared" si="279"/>
        <v>0</v>
      </c>
      <c r="AA64" s="44">
        <f t="shared" si="279"/>
        <v>0</v>
      </c>
      <c r="AB64" s="44">
        <f t="shared" si="279"/>
        <v>0</v>
      </c>
      <c r="AC64" s="44">
        <f t="shared" si="279"/>
        <v>0</v>
      </c>
      <c r="AD64" s="44">
        <f t="shared" si="279"/>
        <v>0</v>
      </c>
      <c r="AE64" s="44">
        <f t="shared" si="279"/>
        <v>0</v>
      </c>
      <c r="AF64" s="44">
        <f t="shared" si="279"/>
        <v>0</v>
      </c>
      <c r="AG64" s="44">
        <f t="shared" si="279"/>
        <v>0</v>
      </c>
      <c r="AH64" s="44">
        <f t="shared" si="279"/>
        <v>0</v>
      </c>
      <c r="AI64" s="44"/>
      <c r="AJ64" s="44">
        <f t="shared" ref="AJ64:BN64" si="280">AJ10*($EF64-$EG64)/30*(AJ$2-$D$2)</f>
        <v>0</v>
      </c>
      <c r="AK64" s="44">
        <f t="shared" si="280"/>
        <v>0</v>
      </c>
      <c r="AL64" s="44">
        <f t="shared" si="280"/>
        <v>0</v>
      </c>
      <c r="AM64" s="44">
        <f t="shared" si="280"/>
        <v>0</v>
      </c>
      <c r="AN64" s="44">
        <f t="shared" si="280"/>
        <v>0</v>
      </c>
      <c r="AO64" s="44">
        <f t="shared" si="280"/>
        <v>0</v>
      </c>
      <c r="AP64" s="44">
        <f t="shared" si="280"/>
        <v>0</v>
      </c>
      <c r="AQ64" s="44">
        <f t="shared" si="280"/>
        <v>0</v>
      </c>
      <c r="AR64" s="44">
        <f t="shared" si="280"/>
        <v>0</v>
      </c>
      <c r="AS64" s="44">
        <f t="shared" si="280"/>
        <v>0</v>
      </c>
      <c r="AT64" s="44">
        <f t="shared" si="280"/>
        <v>0</v>
      </c>
      <c r="AU64" s="44">
        <f t="shared" si="280"/>
        <v>0</v>
      </c>
      <c r="AV64" s="44">
        <f t="shared" si="280"/>
        <v>0</v>
      </c>
      <c r="AW64" s="44">
        <f t="shared" si="280"/>
        <v>0</v>
      </c>
      <c r="AX64" s="44">
        <f t="shared" si="280"/>
        <v>0</v>
      </c>
      <c r="AY64" s="44">
        <f t="shared" si="280"/>
        <v>0</v>
      </c>
      <c r="AZ64" s="44">
        <f t="shared" si="280"/>
        <v>0</v>
      </c>
      <c r="BA64" s="44">
        <f t="shared" si="280"/>
        <v>0</v>
      </c>
      <c r="BB64" s="44">
        <f t="shared" si="280"/>
        <v>0</v>
      </c>
      <c r="BC64" s="44">
        <f t="shared" si="280"/>
        <v>0</v>
      </c>
      <c r="BD64" s="44">
        <f t="shared" si="280"/>
        <v>0</v>
      </c>
      <c r="BE64" s="44">
        <f t="shared" si="280"/>
        <v>0</v>
      </c>
      <c r="BF64" s="44">
        <f t="shared" si="280"/>
        <v>0</v>
      </c>
      <c r="BG64" s="44">
        <f t="shared" si="280"/>
        <v>0</v>
      </c>
      <c r="BH64" s="44">
        <f t="shared" si="280"/>
        <v>0</v>
      </c>
      <c r="BI64" s="44">
        <f t="shared" si="280"/>
        <v>0</v>
      </c>
      <c r="BJ64" s="44">
        <f t="shared" si="280"/>
        <v>0</v>
      </c>
      <c r="BK64" s="44">
        <f t="shared" si="280"/>
        <v>0</v>
      </c>
      <c r="BL64" s="44">
        <f t="shared" si="280"/>
        <v>0</v>
      </c>
      <c r="BM64" s="44">
        <f t="shared" si="280"/>
        <v>0</v>
      </c>
      <c r="BN64" s="44">
        <f t="shared" si="280"/>
        <v>0</v>
      </c>
      <c r="BO64" s="44"/>
      <c r="BP64" s="44">
        <f t="shared" ref="BP64:CT64" si="281">BP10*($EF64-$EG64)/30*(BP$2-$D$2)</f>
        <v>0</v>
      </c>
      <c r="BQ64" s="44">
        <f t="shared" si="281"/>
        <v>0</v>
      </c>
      <c r="BR64" s="44">
        <f t="shared" si="281"/>
        <v>0</v>
      </c>
      <c r="BS64" s="44">
        <f t="shared" si="281"/>
        <v>0</v>
      </c>
      <c r="BT64" s="44">
        <f t="shared" si="281"/>
        <v>0</v>
      </c>
      <c r="BU64" s="44">
        <f t="shared" si="281"/>
        <v>0</v>
      </c>
      <c r="BV64" s="44">
        <f t="shared" si="281"/>
        <v>0</v>
      </c>
      <c r="BW64" s="44">
        <f t="shared" si="281"/>
        <v>0</v>
      </c>
      <c r="BX64" s="44">
        <f t="shared" si="281"/>
        <v>0</v>
      </c>
      <c r="BY64" s="44">
        <f t="shared" si="281"/>
        <v>0</v>
      </c>
      <c r="BZ64" s="44">
        <f t="shared" si="281"/>
        <v>0</v>
      </c>
      <c r="CA64" s="44">
        <f t="shared" si="281"/>
        <v>0</v>
      </c>
      <c r="CB64" s="44">
        <f t="shared" si="281"/>
        <v>0</v>
      </c>
      <c r="CC64" s="44">
        <f t="shared" si="281"/>
        <v>0</v>
      </c>
      <c r="CD64" s="44">
        <f t="shared" si="281"/>
        <v>0</v>
      </c>
      <c r="CE64" s="44">
        <f t="shared" si="281"/>
        <v>0</v>
      </c>
      <c r="CF64" s="44">
        <f t="shared" si="281"/>
        <v>0</v>
      </c>
      <c r="CG64" s="44">
        <f t="shared" si="281"/>
        <v>0</v>
      </c>
      <c r="CH64" s="44">
        <f t="shared" si="281"/>
        <v>0</v>
      </c>
      <c r="CI64" s="44">
        <f t="shared" si="281"/>
        <v>0</v>
      </c>
      <c r="CJ64" s="44">
        <f t="shared" si="281"/>
        <v>0</v>
      </c>
      <c r="CK64" s="44">
        <f t="shared" si="281"/>
        <v>0</v>
      </c>
      <c r="CL64" s="44">
        <f t="shared" si="281"/>
        <v>0</v>
      </c>
      <c r="CM64" s="44">
        <f t="shared" si="281"/>
        <v>0</v>
      </c>
      <c r="CN64" s="44">
        <f t="shared" si="281"/>
        <v>0</v>
      </c>
      <c r="CO64" s="44">
        <f t="shared" si="281"/>
        <v>0</v>
      </c>
      <c r="CP64" s="44">
        <f t="shared" si="281"/>
        <v>0</v>
      </c>
      <c r="CQ64" s="44">
        <f t="shared" si="281"/>
        <v>0</v>
      </c>
      <c r="CR64" s="44">
        <f t="shared" si="281"/>
        <v>0</v>
      </c>
      <c r="CS64" s="44">
        <f t="shared" si="281"/>
        <v>0</v>
      </c>
      <c r="CT64" s="44">
        <f t="shared" si="281"/>
        <v>0</v>
      </c>
      <c r="CU64" s="44"/>
      <c r="CV64" s="44">
        <f t="shared" ref="CV64:DZ64" si="282">CV10*($EF64-$EG64)/30*(CV$2-$D$2)</f>
        <v>0</v>
      </c>
      <c r="CW64" s="44">
        <f t="shared" si="282"/>
        <v>0</v>
      </c>
      <c r="CX64" s="44">
        <f t="shared" si="282"/>
        <v>0</v>
      </c>
      <c r="CY64" s="44">
        <f t="shared" si="282"/>
        <v>0</v>
      </c>
      <c r="CZ64" s="44">
        <f t="shared" si="282"/>
        <v>0</v>
      </c>
      <c r="DA64" s="44">
        <f t="shared" si="282"/>
        <v>0</v>
      </c>
      <c r="DB64" s="44">
        <f t="shared" si="282"/>
        <v>0</v>
      </c>
      <c r="DC64" s="44">
        <f t="shared" si="282"/>
        <v>0</v>
      </c>
      <c r="DD64" s="44">
        <f t="shared" si="282"/>
        <v>0</v>
      </c>
      <c r="DE64" s="44">
        <f t="shared" si="282"/>
        <v>0</v>
      </c>
      <c r="DF64" s="44">
        <f t="shared" si="282"/>
        <v>0</v>
      </c>
      <c r="DG64" s="44">
        <f t="shared" si="282"/>
        <v>0</v>
      </c>
      <c r="DH64" s="44">
        <f t="shared" si="282"/>
        <v>0</v>
      </c>
      <c r="DI64" s="44">
        <f t="shared" si="282"/>
        <v>0</v>
      </c>
      <c r="DJ64" s="44">
        <f t="shared" si="282"/>
        <v>0</v>
      </c>
      <c r="DK64" s="44">
        <f t="shared" si="282"/>
        <v>0</v>
      </c>
      <c r="DL64" s="44">
        <f t="shared" si="282"/>
        <v>0</v>
      </c>
      <c r="DM64" s="44">
        <f t="shared" si="282"/>
        <v>0</v>
      </c>
      <c r="DN64" s="44">
        <f t="shared" si="282"/>
        <v>0</v>
      </c>
      <c r="DO64" s="44">
        <f t="shared" si="282"/>
        <v>0</v>
      </c>
      <c r="DP64" s="44">
        <f t="shared" si="282"/>
        <v>0</v>
      </c>
      <c r="DQ64" s="44">
        <f t="shared" si="282"/>
        <v>0</v>
      </c>
      <c r="DR64" s="44">
        <f t="shared" si="282"/>
        <v>0</v>
      </c>
      <c r="DS64" s="44">
        <f t="shared" si="282"/>
        <v>0</v>
      </c>
      <c r="DT64" s="44">
        <f t="shared" si="282"/>
        <v>0</v>
      </c>
      <c r="DU64" s="44">
        <f t="shared" si="282"/>
        <v>0</v>
      </c>
      <c r="DV64" s="44">
        <f t="shared" si="282"/>
        <v>0</v>
      </c>
      <c r="DW64" s="44">
        <f t="shared" si="282"/>
        <v>0</v>
      </c>
      <c r="DX64" s="44">
        <f t="shared" si="282"/>
        <v>0</v>
      </c>
      <c r="DY64" s="44">
        <f t="shared" si="282"/>
        <v>0</v>
      </c>
      <c r="DZ64" s="44">
        <f t="shared" si="282"/>
        <v>0</v>
      </c>
      <c r="EF64" s="51">
        <v>2.5</v>
      </c>
      <c r="EG64" s="51">
        <v>0</v>
      </c>
      <c r="EH64" s="51"/>
      <c r="EI64" s="157"/>
      <c r="EJ64" s="51"/>
      <c r="EM64" t="s">
        <v>99</v>
      </c>
    </row>
    <row r="65" spans="1:143">
      <c r="A65" s="1"/>
      <c r="B65" t="str">
        <f t="shared" si="270"/>
        <v>Packaging Substitution Compostables</v>
      </c>
      <c r="C65" s="54" t="s">
        <v>110</v>
      </c>
      <c r="D65" s="44">
        <f t="shared" ref="D65:AH65" si="283">D11*($EF65-$EG65)/30*(D$2-$D$2)</f>
        <v>0</v>
      </c>
      <c r="E65" s="44">
        <f t="shared" si="283"/>
        <v>0</v>
      </c>
      <c r="F65" s="44">
        <f t="shared" si="283"/>
        <v>0</v>
      </c>
      <c r="G65" s="44">
        <f t="shared" si="283"/>
        <v>0</v>
      </c>
      <c r="H65" s="44">
        <f t="shared" si="283"/>
        <v>0</v>
      </c>
      <c r="I65" s="44">
        <f t="shared" si="283"/>
        <v>0</v>
      </c>
      <c r="J65" s="44">
        <f t="shared" si="283"/>
        <v>0</v>
      </c>
      <c r="K65" s="44">
        <f t="shared" si="283"/>
        <v>0</v>
      </c>
      <c r="L65" s="44">
        <f t="shared" si="283"/>
        <v>0</v>
      </c>
      <c r="M65" s="44">
        <f t="shared" si="283"/>
        <v>0</v>
      </c>
      <c r="N65" s="44">
        <f t="shared" si="283"/>
        <v>0</v>
      </c>
      <c r="O65" s="44">
        <f t="shared" si="283"/>
        <v>0</v>
      </c>
      <c r="P65" s="44">
        <f t="shared" si="283"/>
        <v>0</v>
      </c>
      <c r="Q65" s="44">
        <f t="shared" si="283"/>
        <v>0</v>
      </c>
      <c r="R65" s="44">
        <f t="shared" si="283"/>
        <v>0</v>
      </c>
      <c r="S65" s="44">
        <f t="shared" si="283"/>
        <v>0</v>
      </c>
      <c r="T65" s="44">
        <f t="shared" si="283"/>
        <v>0</v>
      </c>
      <c r="U65" s="44">
        <f t="shared" si="283"/>
        <v>0</v>
      </c>
      <c r="V65" s="44">
        <f t="shared" si="283"/>
        <v>0</v>
      </c>
      <c r="W65" s="44">
        <f t="shared" si="283"/>
        <v>0</v>
      </c>
      <c r="X65" s="44">
        <f t="shared" si="283"/>
        <v>0</v>
      </c>
      <c r="Y65" s="44">
        <f t="shared" si="283"/>
        <v>0</v>
      </c>
      <c r="Z65" s="44">
        <f t="shared" si="283"/>
        <v>0</v>
      </c>
      <c r="AA65" s="44">
        <f t="shared" si="283"/>
        <v>0</v>
      </c>
      <c r="AB65" s="44">
        <f t="shared" si="283"/>
        <v>0</v>
      </c>
      <c r="AC65" s="44">
        <f t="shared" si="283"/>
        <v>0</v>
      </c>
      <c r="AD65" s="44">
        <f t="shared" si="283"/>
        <v>0</v>
      </c>
      <c r="AE65" s="44">
        <f t="shared" si="283"/>
        <v>0</v>
      </c>
      <c r="AF65" s="44">
        <f t="shared" si="283"/>
        <v>0</v>
      </c>
      <c r="AG65" s="44">
        <f t="shared" si="283"/>
        <v>0</v>
      </c>
      <c r="AH65" s="44">
        <f t="shared" si="283"/>
        <v>0</v>
      </c>
      <c r="AI65" s="44"/>
      <c r="AJ65" s="44">
        <f t="shared" ref="AJ65:BN65" si="284">AJ11*($EF65-$EG65)/30*(AJ$2-$D$2)</f>
        <v>0</v>
      </c>
      <c r="AK65" s="44">
        <f t="shared" si="284"/>
        <v>0</v>
      </c>
      <c r="AL65" s="44">
        <f t="shared" si="284"/>
        <v>0</v>
      </c>
      <c r="AM65" s="44">
        <f t="shared" si="284"/>
        <v>0</v>
      </c>
      <c r="AN65" s="44">
        <f t="shared" si="284"/>
        <v>0</v>
      </c>
      <c r="AO65" s="44">
        <f t="shared" si="284"/>
        <v>0</v>
      </c>
      <c r="AP65" s="44">
        <f t="shared" si="284"/>
        <v>0</v>
      </c>
      <c r="AQ65" s="44">
        <f t="shared" si="284"/>
        <v>0</v>
      </c>
      <c r="AR65" s="44">
        <f t="shared" si="284"/>
        <v>0</v>
      </c>
      <c r="AS65" s="44">
        <f t="shared" si="284"/>
        <v>0</v>
      </c>
      <c r="AT65" s="44">
        <f t="shared" si="284"/>
        <v>0</v>
      </c>
      <c r="AU65" s="44">
        <f t="shared" si="284"/>
        <v>0</v>
      </c>
      <c r="AV65" s="44">
        <f t="shared" si="284"/>
        <v>0</v>
      </c>
      <c r="AW65" s="44">
        <f t="shared" si="284"/>
        <v>0</v>
      </c>
      <c r="AX65" s="44">
        <f t="shared" si="284"/>
        <v>0</v>
      </c>
      <c r="AY65" s="44">
        <f t="shared" si="284"/>
        <v>0</v>
      </c>
      <c r="AZ65" s="44">
        <f t="shared" si="284"/>
        <v>0</v>
      </c>
      <c r="BA65" s="44">
        <f t="shared" si="284"/>
        <v>0</v>
      </c>
      <c r="BB65" s="44">
        <f t="shared" si="284"/>
        <v>0</v>
      </c>
      <c r="BC65" s="44">
        <f t="shared" si="284"/>
        <v>0</v>
      </c>
      <c r="BD65" s="44">
        <f t="shared" si="284"/>
        <v>0</v>
      </c>
      <c r="BE65" s="44">
        <f t="shared" si="284"/>
        <v>0</v>
      </c>
      <c r="BF65" s="44">
        <f t="shared" si="284"/>
        <v>0</v>
      </c>
      <c r="BG65" s="44">
        <f t="shared" si="284"/>
        <v>0</v>
      </c>
      <c r="BH65" s="44">
        <f t="shared" si="284"/>
        <v>0</v>
      </c>
      <c r="BI65" s="44">
        <f t="shared" si="284"/>
        <v>0</v>
      </c>
      <c r="BJ65" s="44">
        <f t="shared" si="284"/>
        <v>0</v>
      </c>
      <c r="BK65" s="44">
        <f t="shared" si="284"/>
        <v>0</v>
      </c>
      <c r="BL65" s="44">
        <f t="shared" si="284"/>
        <v>0</v>
      </c>
      <c r="BM65" s="44">
        <f t="shared" si="284"/>
        <v>0</v>
      </c>
      <c r="BN65" s="44">
        <f t="shared" si="284"/>
        <v>0</v>
      </c>
      <c r="BO65" s="44"/>
      <c r="BP65" s="44">
        <f t="shared" ref="BP65:CT65" si="285">BP11*($EF65-$EG65)/30*(BP$2-$D$2)</f>
        <v>0</v>
      </c>
      <c r="BQ65" s="44">
        <f t="shared" si="285"/>
        <v>0</v>
      </c>
      <c r="BR65" s="44">
        <f t="shared" si="285"/>
        <v>0</v>
      </c>
      <c r="BS65" s="44">
        <f t="shared" si="285"/>
        <v>0</v>
      </c>
      <c r="BT65" s="44">
        <f t="shared" si="285"/>
        <v>0</v>
      </c>
      <c r="BU65" s="44">
        <f t="shared" si="285"/>
        <v>0</v>
      </c>
      <c r="BV65" s="44">
        <f t="shared" si="285"/>
        <v>0</v>
      </c>
      <c r="BW65" s="44">
        <f t="shared" si="285"/>
        <v>0</v>
      </c>
      <c r="BX65" s="44">
        <f t="shared" si="285"/>
        <v>0</v>
      </c>
      <c r="BY65" s="44">
        <f t="shared" si="285"/>
        <v>0</v>
      </c>
      <c r="BZ65" s="44">
        <f t="shared" si="285"/>
        <v>0</v>
      </c>
      <c r="CA65" s="44">
        <f t="shared" si="285"/>
        <v>0</v>
      </c>
      <c r="CB65" s="44">
        <f t="shared" si="285"/>
        <v>0</v>
      </c>
      <c r="CC65" s="44">
        <f t="shared" si="285"/>
        <v>0</v>
      </c>
      <c r="CD65" s="44">
        <f t="shared" si="285"/>
        <v>0</v>
      </c>
      <c r="CE65" s="44">
        <f t="shared" si="285"/>
        <v>0</v>
      </c>
      <c r="CF65" s="44">
        <f t="shared" si="285"/>
        <v>0</v>
      </c>
      <c r="CG65" s="44">
        <f t="shared" si="285"/>
        <v>0</v>
      </c>
      <c r="CH65" s="44">
        <f t="shared" si="285"/>
        <v>0</v>
      </c>
      <c r="CI65" s="44">
        <f t="shared" si="285"/>
        <v>0</v>
      </c>
      <c r="CJ65" s="44">
        <f t="shared" si="285"/>
        <v>0</v>
      </c>
      <c r="CK65" s="44">
        <f t="shared" si="285"/>
        <v>0</v>
      </c>
      <c r="CL65" s="44">
        <f t="shared" si="285"/>
        <v>0</v>
      </c>
      <c r="CM65" s="44">
        <f t="shared" si="285"/>
        <v>0</v>
      </c>
      <c r="CN65" s="44">
        <f t="shared" si="285"/>
        <v>0</v>
      </c>
      <c r="CO65" s="44">
        <f t="shared" si="285"/>
        <v>0</v>
      </c>
      <c r="CP65" s="44">
        <f t="shared" si="285"/>
        <v>0</v>
      </c>
      <c r="CQ65" s="44">
        <f t="shared" si="285"/>
        <v>0</v>
      </c>
      <c r="CR65" s="44">
        <f t="shared" si="285"/>
        <v>0</v>
      </c>
      <c r="CS65" s="44">
        <f t="shared" si="285"/>
        <v>0</v>
      </c>
      <c r="CT65" s="44">
        <f t="shared" si="285"/>
        <v>0</v>
      </c>
      <c r="CU65" s="44"/>
      <c r="CV65" s="44">
        <f t="shared" ref="CV65:DZ65" si="286">CV11*($EF65-$EG65)/30*(CV$2-$D$2)</f>
        <v>0</v>
      </c>
      <c r="CW65" s="44">
        <f t="shared" si="286"/>
        <v>0</v>
      </c>
      <c r="CX65" s="44">
        <f t="shared" si="286"/>
        <v>0</v>
      </c>
      <c r="CY65" s="44">
        <f t="shared" si="286"/>
        <v>0</v>
      </c>
      <c r="CZ65" s="44">
        <f t="shared" si="286"/>
        <v>0</v>
      </c>
      <c r="DA65" s="44">
        <f t="shared" si="286"/>
        <v>0</v>
      </c>
      <c r="DB65" s="44">
        <f t="shared" si="286"/>
        <v>0</v>
      </c>
      <c r="DC65" s="44">
        <f t="shared" si="286"/>
        <v>0</v>
      </c>
      <c r="DD65" s="44">
        <f t="shared" si="286"/>
        <v>0</v>
      </c>
      <c r="DE65" s="44">
        <f t="shared" si="286"/>
        <v>0</v>
      </c>
      <c r="DF65" s="44">
        <f t="shared" si="286"/>
        <v>0</v>
      </c>
      <c r="DG65" s="44">
        <f t="shared" si="286"/>
        <v>0</v>
      </c>
      <c r="DH65" s="44">
        <f t="shared" si="286"/>
        <v>0</v>
      </c>
      <c r="DI65" s="44">
        <f t="shared" si="286"/>
        <v>0</v>
      </c>
      <c r="DJ65" s="44">
        <f t="shared" si="286"/>
        <v>0</v>
      </c>
      <c r="DK65" s="44">
        <f t="shared" si="286"/>
        <v>0</v>
      </c>
      <c r="DL65" s="44">
        <f t="shared" si="286"/>
        <v>0</v>
      </c>
      <c r="DM65" s="44">
        <f t="shared" si="286"/>
        <v>0</v>
      </c>
      <c r="DN65" s="44">
        <f t="shared" si="286"/>
        <v>0</v>
      </c>
      <c r="DO65" s="44">
        <f t="shared" si="286"/>
        <v>0</v>
      </c>
      <c r="DP65" s="44">
        <f t="shared" si="286"/>
        <v>0</v>
      </c>
      <c r="DQ65" s="44">
        <f t="shared" si="286"/>
        <v>0</v>
      </c>
      <c r="DR65" s="44">
        <f t="shared" si="286"/>
        <v>0</v>
      </c>
      <c r="DS65" s="44">
        <f t="shared" si="286"/>
        <v>0</v>
      </c>
      <c r="DT65" s="44">
        <f t="shared" si="286"/>
        <v>0</v>
      </c>
      <c r="DU65" s="44">
        <f t="shared" si="286"/>
        <v>0</v>
      </c>
      <c r="DV65" s="44">
        <f t="shared" si="286"/>
        <v>0</v>
      </c>
      <c r="DW65" s="44">
        <f t="shared" si="286"/>
        <v>0</v>
      </c>
      <c r="DX65" s="44">
        <f t="shared" si="286"/>
        <v>0</v>
      </c>
      <c r="DY65" s="44">
        <f t="shared" si="286"/>
        <v>0</v>
      </c>
      <c r="DZ65" s="44">
        <f t="shared" si="286"/>
        <v>0</v>
      </c>
      <c r="EF65" s="51">
        <v>5.2</v>
      </c>
      <c r="EG65" s="51">
        <v>0</v>
      </c>
      <c r="EH65" s="51"/>
      <c r="EI65" s="157"/>
      <c r="EJ65" s="51"/>
      <c r="EM65" t="s">
        <v>99</v>
      </c>
    </row>
    <row r="66" spans="1:143">
      <c r="A66" s="1"/>
      <c r="B66" t="str">
        <f t="shared" si="270"/>
        <v>MaaS</v>
      </c>
      <c r="C66" s="54" t="s">
        <v>110</v>
      </c>
      <c r="D66" s="44">
        <f t="shared" ref="D66:AH66" si="287">D12*($EF66-$EG66)/30*(D$2-$D$2)</f>
        <v>0</v>
      </c>
      <c r="E66" s="44">
        <f t="shared" si="287"/>
        <v>0</v>
      </c>
      <c r="F66" s="44">
        <f t="shared" si="287"/>
        <v>0</v>
      </c>
      <c r="G66" s="44">
        <f t="shared" si="287"/>
        <v>0</v>
      </c>
      <c r="H66" s="44">
        <f t="shared" si="287"/>
        <v>0</v>
      </c>
      <c r="I66" s="44">
        <f t="shared" si="287"/>
        <v>0</v>
      </c>
      <c r="J66" s="44">
        <f t="shared" si="287"/>
        <v>0</v>
      </c>
      <c r="K66" s="44">
        <f t="shared" si="287"/>
        <v>0</v>
      </c>
      <c r="L66" s="44">
        <f t="shared" si="287"/>
        <v>0</v>
      </c>
      <c r="M66" s="44">
        <f t="shared" si="287"/>
        <v>0</v>
      </c>
      <c r="N66" s="44">
        <f t="shared" si="287"/>
        <v>0</v>
      </c>
      <c r="O66" s="44">
        <f t="shared" si="287"/>
        <v>0</v>
      </c>
      <c r="P66" s="44">
        <f t="shared" si="287"/>
        <v>0</v>
      </c>
      <c r="Q66" s="44">
        <f t="shared" si="287"/>
        <v>0</v>
      </c>
      <c r="R66" s="44">
        <f t="shared" si="287"/>
        <v>0</v>
      </c>
      <c r="S66" s="44">
        <f t="shared" si="287"/>
        <v>0</v>
      </c>
      <c r="T66" s="44">
        <f t="shared" si="287"/>
        <v>0</v>
      </c>
      <c r="U66" s="44">
        <f t="shared" si="287"/>
        <v>0</v>
      </c>
      <c r="V66" s="44">
        <f t="shared" si="287"/>
        <v>0</v>
      </c>
      <c r="W66" s="44">
        <f t="shared" si="287"/>
        <v>0</v>
      </c>
      <c r="X66" s="44">
        <f t="shared" si="287"/>
        <v>0</v>
      </c>
      <c r="Y66" s="44">
        <f t="shared" si="287"/>
        <v>0</v>
      </c>
      <c r="Z66" s="44">
        <f t="shared" si="287"/>
        <v>0</v>
      </c>
      <c r="AA66" s="44">
        <f t="shared" si="287"/>
        <v>0</v>
      </c>
      <c r="AB66" s="44">
        <f t="shared" si="287"/>
        <v>0</v>
      </c>
      <c r="AC66" s="44">
        <f t="shared" si="287"/>
        <v>0</v>
      </c>
      <c r="AD66" s="44">
        <f t="shared" si="287"/>
        <v>0</v>
      </c>
      <c r="AE66" s="44">
        <f t="shared" si="287"/>
        <v>0</v>
      </c>
      <c r="AF66" s="44">
        <f t="shared" si="287"/>
        <v>0</v>
      </c>
      <c r="AG66" s="44">
        <f t="shared" si="287"/>
        <v>0</v>
      </c>
      <c r="AH66" s="44">
        <f t="shared" si="287"/>
        <v>0</v>
      </c>
      <c r="AI66" s="44"/>
      <c r="AJ66" s="44">
        <f t="shared" ref="AJ66:BN66" si="288">AJ12*($EF66-$EG66)/30*(AJ$2-$D$2)</f>
        <v>0</v>
      </c>
      <c r="AK66" s="44">
        <f t="shared" si="288"/>
        <v>0</v>
      </c>
      <c r="AL66" s="44">
        <f t="shared" si="288"/>
        <v>0</v>
      </c>
      <c r="AM66" s="44">
        <f t="shared" si="288"/>
        <v>0</v>
      </c>
      <c r="AN66" s="44">
        <f t="shared" si="288"/>
        <v>0</v>
      </c>
      <c r="AO66" s="44">
        <f t="shared" si="288"/>
        <v>0</v>
      </c>
      <c r="AP66" s="44">
        <f t="shared" si="288"/>
        <v>0</v>
      </c>
      <c r="AQ66" s="44">
        <f t="shared" si="288"/>
        <v>0</v>
      </c>
      <c r="AR66" s="44">
        <f t="shared" si="288"/>
        <v>0</v>
      </c>
      <c r="AS66" s="44">
        <f t="shared" si="288"/>
        <v>0</v>
      </c>
      <c r="AT66" s="44">
        <f t="shared" si="288"/>
        <v>0</v>
      </c>
      <c r="AU66" s="44">
        <f t="shared" si="288"/>
        <v>0</v>
      </c>
      <c r="AV66" s="44">
        <f t="shared" si="288"/>
        <v>0</v>
      </c>
      <c r="AW66" s="44">
        <f t="shared" si="288"/>
        <v>0</v>
      </c>
      <c r="AX66" s="44">
        <f t="shared" si="288"/>
        <v>0</v>
      </c>
      <c r="AY66" s="44">
        <f t="shared" si="288"/>
        <v>0</v>
      </c>
      <c r="AZ66" s="44">
        <f t="shared" si="288"/>
        <v>0</v>
      </c>
      <c r="BA66" s="44">
        <f t="shared" si="288"/>
        <v>0</v>
      </c>
      <c r="BB66" s="44">
        <f t="shared" si="288"/>
        <v>0</v>
      </c>
      <c r="BC66" s="44">
        <f t="shared" si="288"/>
        <v>0</v>
      </c>
      <c r="BD66" s="44">
        <f t="shared" si="288"/>
        <v>0</v>
      </c>
      <c r="BE66" s="44">
        <f t="shared" si="288"/>
        <v>0</v>
      </c>
      <c r="BF66" s="44">
        <f t="shared" si="288"/>
        <v>0</v>
      </c>
      <c r="BG66" s="44">
        <f t="shared" si="288"/>
        <v>0</v>
      </c>
      <c r="BH66" s="44">
        <f t="shared" si="288"/>
        <v>0</v>
      </c>
      <c r="BI66" s="44">
        <f t="shared" si="288"/>
        <v>0</v>
      </c>
      <c r="BJ66" s="44">
        <f t="shared" si="288"/>
        <v>0</v>
      </c>
      <c r="BK66" s="44">
        <f t="shared" si="288"/>
        <v>0</v>
      </c>
      <c r="BL66" s="44">
        <f t="shared" si="288"/>
        <v>0</v>
      </c>
      <c r="BM66" s="44">
        <f t="shared" si="288"/>
        <v>0</v>
      </c>
      <c r="BN66" s="44">
        <f t="shared" si="288"/>
        <v>0</v>
      </c>
      <c r="BO66" s="44"/>
      <c r="BP66" s="44">
        <f t="shared" ref="BP66:CT66" si="289">BP12*($EF66-$EG66)/30*(BP$2-$D$2)</f>
        <v>0</v>
      </c>
      <c r="BQ66" s="44">
        <f t="shared" si="289"/>
        <v>0</v>
      </c>
      <c r="BR66" s="44">
        <f t="shared" si="289"/>
        <v>0</v>
      </c>
      <c r="BS66" s="44">
        <f t="shared" si="289"/>
        <v>0</v>
      </c>
      <c r="BT66" s="44">
        <f t="shared" si="289"/>
        <v>0</v>
      </c>
      <c r="BU66" s="44">
        <f t="shared" si="289"/>
        <v>0</v>
      </c>
      <c r="BV66" s="44">
        <f t="shared" si="289"/>
        <v>0</v>
      </c>
      <c r="BW66" s="44">
        <f t="shared" si="289"/>
        <v>0</v>
      </c>
      <c r="BX66" s="44">
        <f t="shared" si="289"/>
        <v>0</v>
      </c>
      <c r="BY66" s="44">
        <f t="shared" si="289"/>
        <v>0</v>
      </c>
      <c r="BZ66" s="44">
        <f t="shared" si="289"/>
        <v>0</v>
      </c>
      <c r="CA66" s="44">
        <f t="shared" si="289"/>
        <v>0</v>
      </c>
      <c r="CB66" s="44">
        <f t="shared" si="289"/>
        <v>0</v>
      </c>
      <c r="CC66" s="44">
        <f t="shared" si="289"/>
        <v>0</v>
      </c>
      <c r="CD66" s="44">
        <f t="shared" si="289"/>
        <v>0</v>
      </c>
      <c r="CE66" s="44">
        <f t="shared" si="289"/>
        <v>0</v>
      </c>
      <c r="CF66" s="44">
        <f t="shared" si="289"/>
        <v>0</v>
      </c>
      <c r="CG66" s="44">
        <f t="shared" si="289"/>
        <v>0</v>
      </c>
      <c r="CH66" s="44">
        <f t="shared" si="289"/>
        <v>0</v>
      </c>
      <c r="CI66" s="44">
        <f t="shared" si="289"/>
        <v>0</v>
      </c>
      <c r="CJ66" s="44">
        <f t="shared" si="289"/>
        <v>0</v>
      </c>
      <c r="CK66" s="44">
        <f t="shared" si="289"/>
        <v>0</v>
      </c>
      <c r="CL66" s="44">
        <f t="shared" si="289"/>
        <v>0</v>
      </c>
      <c r="CM66" s="44">
        <f t="shared" si="289"/>
        <v>0</v>
      </c>
      <c r="CN66" s="44">
        <f t="shared" si="289"/>
        <v>0</v>
      </c>
      <c r="CO66" s="44">
        <f t="shared" si="289"/>
        <v>0</v>
      </c>
      <c r="CP66" s="44">
        <f t="shared" si="289"/>
        <v>0</v>
      </c>
      <c r="CQ66" s="44">
        <f t="shared" si="289"/>
        <v>0</v>
      </c>
      <c r="CR66" s="44">
        <f t="shared" si="289"/>
        <v>0</v>
      </c>
      <c r="CS66" s="44">
        <f t="shared" si="289"/>
        <v>0</v>
      </c>
      <c r="CT66" s="44">
        <f t="shared" si="289"/>
        <v>0</v>
      </c>
      <c r="CU66" s="44"/>
      <c r="CV66" s="44">
        <f t="shared" ref="CV66:DZ66" si="290">CV12*($EF66-$EG66)/30*(CV$2-$D$2)</f>
        <v>0</v>
      </c>
      <c r="CW66" s="44">
        <f t="shared" si="290"/>
        <v>0</v>
      </c>
      <c r="CX66" s="44">
        <f t="shared" si="290"/>
        <v>0</v>
      </c>
      <c r="CY66" s="44">
        <f t="shared" si="290"/>
        <v>0</v>
      </c>
      <c r="CZ66" s="44">
        <f t="shared" si="290"/>
        <v>0</v>
      </c>
      <c r="DA66" s="44">
        <f t="shared" si="290"/>
        <v>0</v>
      </c>
      <c r="DB66" s="44">
        <f t="shared" si="290"/>
        <v>0</v>
      </c>
      <c r="DC66" s="44">
        <f t="shared" si="290"/>
        <v>0</v>
      </c>
      <c r="DD66" s="44">
        <f t="shared" si="290"/>
        <v>0</v>
      </c>
      <c r="DE66" s="44">
        <f t="shared" si="290"/>
        <v>0</v>
      </c>
      <c r="DF66" s="44">
        <f t="shared" si="290"/>
        <v>0</v>
      </c>
      <c r="DG66" s="44">
        <f t="shared" si="290"/>
        <v>0</v>
      </c>
      <c r="DH66" s="44">
        <f t="shared" si="290"/>
        <v>0</v>
      </c>
      <c r="DI66" s="44">
        <f t="shared" si="290"/>
        <v>0</v>
      </c>
      <c r="DJ66" s="44">
        <f t="shared" si="290"/>
        <v>0</v>
      </c>
      <c r="DK66" s="44">
        <f t="shared" si="290"/>
        <v>0</v>
      </c>
      <c r="DL66" s="44">
        <f t="shared" si="290"/>
        <v>0</v>
      </c>
      <c r="DM66" s="44">
        <f t="shared" si="290"/>
        <v>0</v>
      </c>
      <c r="DN66" s="44">
        <f t="shared" si="290"/>
        <v>0</v>
      </c>
      <c r="DO66" s="44">
        <f t="shared" si="290"/>
        <v>0</v>
      </c>
      <c r="DP66" s="44">
        <f t="shared" si="290"/>
        <v>0</v>
      </c>
      <c r="DQ66" s="44">
        <f t="shared" si="290"/>
        <v>0</v>
      </c>
      <c r="DR66" s="44">
        <f t="shared" si="290"/>
        <v>0</v>
      </c>
      <c r="DS66" s="44">
        <f t="shared" si="290"/>
        <v>0</v>
      </c>
      <c r="DT66" s="44">
        <f t="shared" si="290"/>
        <v>0</v>
      </c>
      <c r="DU66" s="44">
        <f t="shared" si="290"/>
        <v>0</v>
      </c>
      <c r="DV66" s="44">
        <f t="shared" si="290"/>
        <v>0</v>
      </c>
      <c r="DW66" s="44">
        <f t="shared" si="290"/>
        <v>0</v>
      </c>
      <c r="DX66" s="44">
        <f t="shared" si="290"/>
        <v>0</v>
      </c>
      <c r="DY66" s="44">
        <f t="shared" si="290"/>
        <v>0</v>
      </c>
      <c r="DZ66" s="44">
        <f t="shared" si="290"/>
        <v>0</v>
      </c>
      <c r="EF66" s="610">
        <v>1</v>
      </c>
      <c r="EG66" s="51">
        <v>0</v>
      </c>
      <c r="EH66" s="51"/>
      <c r="EI66" s="51"/>
      <c r="EJ66" s="51"/>
    </row>
    <row r="67" spans="1:143">
      <c r="A67" s="1"/>
      <c r="B67" t="str">
        <f t="shared" si="270"/>
        <v>Vehicle life extension</v>
      </c>
      <c r="C67" s="54" t="s">
        <v>110</v>
      </c>
      <c r="D67" s="44">
        <f t="shared" ref="D67:AH67" si="291">D13*($EF67-$EG67)/30*(D$2-$D$2)</f>
        <v>0</v>
      </c>
      <c r="E67" s="44">
        <f t="shared" si="291"/>
        <v>0</v>
      </c>
      <c r="F67" s="44">
        <f t="shared" si="291"/>
        <v>0</v>
      </c>
      <c r="G67" s="44">
        <f t="shared" si="291"/>
        <v>0</v>
      </c>
      <c r="H67" s="44">
        <f t="shared" si="291"/>
        <v>0</v>
      </c>
      <c r="I67" s="44">
        <f t="shared" si="291"/>
        <v>0</v>
      </c>
      <c r="J67" s="44">
        <f t="shared" si="291"/>
        <v>0</v>
      </c>
      <c r="K67" s="44">
        <f t="shared" si="291"/>
        <v>0</v>
      </c>
      <c r="L67" s="44">
        <f t="shared" si="291"/>
        <v>0</v>
      </c>
      <c r="M67" s="44">
        <f t="shared" si="291"/>
        <v>0</v>
      </c>
      <c r="N67" s="44">
        <f t="shared" si="291"/>
        <v>0</v>
      </c>
      <c r="O67" s="44">
        <f t="shared" si="291"/>
        <v>0</v>
      </c>
      <c r="P67" s="44">
        <f t="shared" si="291"/>
        <v>0</v>
      </c>
      <c r="Q67" s="44">
        <f t="shared" si="291"/>
        <v>0</v>
      </c>
      <c r="R67" s="44">
        <f t="shared" si="291"/>
        <v>0</v>
      </c>
      <c r="S67" s="44">
        <f t="shared" si="291"/>
        <v>0</v>
      </c>
      <c r="T67" s="44">
        <f t="shared" si="291"/>
        <v>0</v>
      </c>
      <c r="U67" s="44">
        <f t="shared" si="291"/>
        <v>0</v>
      </c>
      <c r="V67" s="44">
        <f t="shared" si="291"/>
        <v>0</v>
      </c>
      <c r="W67" s="44">
        <f t="shared" si="291"/>
        <v>0</v>
      </c>
      <c r="X67" s="44">
        <f t="shared" si="291"/>
        <v>0</v>
      </c>
      <c r="Y67" s="44">
        <f t="shared" si="291"/>
        <v>0</v>
      </c>
      <c r="Z67" s="44">
        <f t="shared" si="291"/>
        <v>0</v>
      </c>
      <c r="AA67" s="44">
        <f t="shared" si="291"/>
        <v>0</v>
      </c>
      <c r="AB67" s="44">
        <f t="shared" si="291"/>
        <v>0</v>
      </c>
      <c r="AC67" s="44">
        <f t="shared" si="291"/>
        <v>0</v>
      </c>
      <c r="AD67" s="44">
        <f t="shared" si="291"/>
        <v>0</v>
      </c>
      <c r="AE67" s="44">
        <f t="shared" si="291"/>
        <v>0</v>
      </c>
      <c r="AF67" s="44">
        <f t="shared" si="291"/>
        <v>0</v>
      </c>
      <c r="AG67" s="44">
        <f t="shared" si="291"/>
        <v>0</v>
      </c>
      <c r="AH67" s="44">
        <f t="shared" si="291"/>
        <v>0</v>
      </c>
      <c r="AI67" s="44"/>
      <c r="AJ67" s="44">
        <f t="shared" ref="AJ67:BN67" si="292">AJ13*($EF67-$EG67)/30*(AJ$2-$D$2)</f>
        <v>0</v>
      </c>
      <c r="AK67" s="44">
        <f t="shared" si="292"/>
        <v>0</v>
      </c>
      <c r="AL67" s="44">
        <f t="shared" si="292"/>
        <v>0</v>
      </c>
      <c r="AM67" s="44">
        <f t="shared" si="292"/>
        <v>0</v>
      </c>
      <c r="AN67" s="44">
        <f t="shared" si="292"/>
        <v>0</v>
      </c>
      <c r="AO67" s="44">
        <f t="shared" si="292"/>
        <v>0</v>
      </c>
      <c r="AP67" s="44">
        <f t="shared" si="292"/>
        <v>0</v>
      </c>
      <c r="AQ67" s="44">
        <f t="shared" si="292"/>
        <v>0</v>
      </c>
      <c r="AR67" s="44">
        <f t="shared" si="292"/>
        <v>0</v>
      </c>
      <c r="AS67" s="44">
        <f t="shared" si="292"/>
        <v>0</v>
      </c>
      <c r="AT67" s="44">
        <f t="shared" si="292"/>
        <v>0</v>
      </c>
      <c r="AU67" s="44">
        <f t="shared" si="292"/>
        <v>0</v>
      </c>
      <c r="AV67" s="44">
        <f t="shared" si="292"/>
        <v>0</v>
      </c>
      <c r="AW67" s="44">
        <f t="shared" si="292"/>
        <v>0</v>
      </c>
      <c r="AX67" s="44">
        <f t="shared" si="292"/>
        <v>0</v>
      </c>
      <c r="AY67" s="44">
        <f t="shared" si="292"/>
        <v>0</v>
      </c>
      <c r="AZ67" s="44">
        <f t="shared" si="292"/>
        <v>0</v>
      </c>
      <c r="BA67" s="44">
        <f t="shared" si="292"/>
        <v>0</v>
      </c>
      <c r="BB67" s="44">
        <f t="shared" si="292"/>
        <v>0</v>
      </c>
      <c r="BC67" s="44">
        <f t="shared" si="292"/>
        <v>0</v>
      </c>
      <c r="BD67" s="44">
        <f t="shared" si="292"/>
        <v>0</v>
      </c>
      <c r="BE67" s="44">
        <f t="shared" si="292"/>
        <v>0</v>
      </c>
      <c r="BF67" s="44">
        <f t="shared" si="292"/>
        <v>0</v>
      </c>
      <c r="BG67" s="44">
        <f t="shared" si="292"/>
        <v>0</v>
      </c>
      <c r="BH67" s="44">
        <f t="shared" si="292"/>
        <v>0</v>
      </c>
      <c r="BI67" s="44">
        <f t="shared" si="292"/>
        <v>0</v>
      </c>
      <c r="BJ67" s="44">
        <f t="shared" si="292"/>
        <v>0</v>
      </c>
      <c r="BK67" s="44">
        <f t="shared" si="292"/>
        <v>0</v>
      </c>
      <c r="BL67" s="44">
        <f t="shared" si="292"/>
        <v>0</v>
      </c>
      <c r="BM67" s="44">
        <f t="shared" si="292"/>
        <v>0</v>
      </c>
      <c r="BN67" s="44">
        <f t="shared" si="292"/>
        <v>0</v>
      </c>
      <c r="BO67" s="44"/>
      <c r="BP67" s="44">
        <f t="shared" ref="BP67:CT67" si="293">BP13*($EF67-$EG67)/30*(BP$2-$D$2)</f>
        <v>0</v>
      </c>
      <c r="BQ67" s="44">
        <f t="shared" si="293"/>
        <v>0</v>
      </c>
      <c r="BR67" s="44">
        <f t="shared" si="293"/>
        <v>0</v>
      </c>
      <c r="BS67" s="44">
        <f t="shared" si="293"/>
        <v>0</v>
      </c>
      <c r="BT67" s="44">
        <f t="shared" si="293"/>
        <v>0</v>
      </c>
      <c r="BU67" s="44">
        <f t="shared" si="293"/>
        <v>0</v>
      </c>
      <c r="BV67" s="44">
        <f t="shared" si="293"/>
        <v>0</v>
      </c>
      <c r="BW67" s="44">
        <f t="shared" si="293"/>
        <v>0</v>
      </c>
      <c r="BX67" s="44">
        <f t="shared" si="293"/>
        <v>0</v>
      </c>
      <c r="BY67" s="44">
        <f t="shared" si="293"/>
        <v>0</v>
      </c>
      <c r="BZ67" s="44">
        <f t="shared" si="293"/>
        <v>0</v>
      </c>
      <c r="CA67" s="44">
        <f t="shared" si="293"/>
        <v>0</v>
      </c>
      <c r="CB67" s="44">
        <f t="shared" si="293"/>
        <v>0</v>
      </c>
      <c r="CC67" s="44">
        <f t="shared" si="293"/>
        <v>0</v>
      </c>
      <c r="CD67" s="44">
        <f t="shared" si="293"/>
        <v>0</v>
      </c>
      <c r="CE67" s="44">
        <f t="shared" si="293"/>
        <v>0</v>
      </c>
      <c r="CF67" s="44">
        <f t="shared" si="293"/>
        <v>0</v>
      </c>
      <c r="CG67" s="44">
        <f t="shared" si="293"/>
        <v>0</v>
      </c>
      <c r="CH67" s="44">
        <f t="shared" si="293"/>
        <v>0</v>
      </c>
      <c r="CI67" s="44">
        <f t="shared" si="293"/>
        <v>0</v>
      </c>
      <c r="CJ67" s="44">
        <f t="shared" si="293"/>
        <v>0</v>
      </c>
      <c r="CK67" s="44">
        <f t="shared" si="293"/>
        <v>0</v>
      </c>
      <c r="CL67" s="44">
        <f t="shared" si="293"/>
        <v>0</v>
      </c>
      <c r="CM67" s="44">
        <f t="shared" si="293"/>
        <v>0</v>
      </c>
      <c r="CN67" s="44">
        <f t="shared" si="293"/>
        <v>0</v>
      </c>
      <c r="CO67" s="44">
        <f t="shared" si="293"/>
        <v>0</v>
      </c>
      <c r="CP67" s="44">
        <f t="shared" si="293"/>
        <v>0</v>
      </c>
      <c r="CQ67" s="44">
        <f t="shared" si="293"/>
        <v>0</v>
      </c>
      <c r="CR67" s="44">
        <f t="shared" si="293"/>
        <v>0</v>
      </c>
      <c r="CS67" s="44">
        <f t="shared" si="293"/>
        <v>0</v>
      </c>
      <c r="CT67" s="44">
        <f t="shared" si="293"/>
        <v>0</v>
      </c>
      <c r="CU67" s="44"/>
      <c r="CV67" s="44">
        <f t="shared" ref="CV67:DZ67" si="294">CV13*($EF67-$EG67)/30*(CV$2-$D$2)</f>
        <v>0</v>
      </c>
      <c r="CW67" s="44">
        <f t="shared" si="294"/>
        <v>0</v>
      </c>
      <c r="CX67" s="44">
        <f t="shared" si="294"/>
        <v>0</v>
      </c>
      <c r="CY67" s="44">
        <f t="shared" si="294"/>
        <v>0</v>
      </c>
      <c r="CZ67" s="44">
        <f t="shared" si="294"/>
        <v>0</v>
      </c>
      <c r="DA67" s="44">
        <f t="shared" si="294"/>
        <v>0</v>
      </c>
      <c r="DB67" s="44">
        <f t="shared" si="294"/>
        <v>0</v>
      </c>
      <c r="DC67" s="44">
        <f t="shared" si="294"/>
        <v>0</v>
      </c>
      <c r="DD67" s="44">
        <f t="shared" si="294"/>
        <v>0</v>
      </c>
      <c r="DE67" s="44">
        <f t="shared" si="294"/>
        <v>0</v>
      </c>
      <c r="DF67" s="44">
        <f t="shared" si="294"/>
        <v>0</v>
      </c>
      <c r="DG67" s="44">
        <f t="shared" si="294"/>
        <v>0</v>
      </c>
      <c r="DH67" s="44">
        <f t="shared" si="294"/>
        <v>0</v>
      </c>
      <c r="DI67" s="44">
        <f t="shared" si="294"/>
        <v>0</v>
      </c>
      <c r="DJ67" s="44">
        <f t="shared" si="294"/>
        <v>0</v>
      </c>
      <c r="DK67" s="44">
        <f t="shared" si="294"/>
        <v>0</v>
      </c>
      <c r="DL67" s="44">
        <f t="shared" si="294"/>
        <v>0</v>
      </c>
      <c r="DM67" s="44">
        <f t="shared" si="294"/>
        <v>0</v>
      </c>
      <c r="DN67" s="44">
        <f t="shared" si="294"/>
        <v>0</v>
      </c>
      <c r="DO67" s="44">
        <f t="shared" si="294"/>
        <v>0</v>
      </c>
      <c r="DP67" s="44">
        <f t="shared" si="294"/>
        <v>0</v>
      </c>
      <c r="DQ67" s="44">
        <f t="shared" si="294"/>
        <v>0</v>
      </c>
      <c r="DR67" s="44">
        <f t="shared" si="294"/>
        <v>0</v>
      </c>
      <c r="DS67" s="44">
        <f t="shared" si="294"/>
        <v>0</v>
      </c>
      <c r="DT67" s="44">
        <f t="shared" si="294"/>
        <v>0</v>
      </c>
      <c r="DU67" s="44">
        <f t="shared" si="294"/>
        <v>0</v>
      </c>
      <c r="DV67" s="44">
        <f t="shared" si="294"/>
        <v>0</v>
      </c>
      <c r="DW67" s="44">
        <f t="shared" si="294"/>
        <v>0</v>
      </c>
      <c r="DX67" s="44">
        <f t="shared" si="294"/>
        <v>0</v>
      </c>
      <c r="DY67" s="44">
        <f t="shared" si="294"/>
        <v>0</v>
      </c>
      <c r="DZ67" s="44">
        <f t="shared" si="294"/>
        <v>0</v>
      </c>
      <c r="EF67" s="610">
        <v>1</v>
      </c>
      <c r="EG67" s="51">
        <v>0</v>
      </c>
      <c r="EH67" s="51"/>
      <c r="EI67" s="51"/>
      <c r="EJ67" s="51"/>
    </row>
    <row r="68" spans="1:143">
      <c r="A68" s="1"/>
      <c r="B68" t="str">
        <f t="shared" si="270"/>
        <v>Building reduction</v>
      </c>
      <c r="C68" s="54" t="s">
        <v>110</v>
      </c>
      <c r="D68" s="44">
        <f t="shared" ref="D68:AH68" si="295">D14*($EF68-$EG68)/30*(D$2-$D$2)</f>
        <v>0</v>
      </c>
      <c r="E68" s="44">
        <f t="shared" si="295"/>
        <v>0</v>
      </c>
      <c r="F68" s="44">
        <f t="shared" si="295"/>
        <v>0</v>
      </c>
      <c r="G68" s="44">
        <f t="shared" si="295"/>
        <v>0</v>
      </c>
      <c r="H68" s="44">
        <f t="shared" si="295"/>
        <v>0</v>
      </c>
      <c r="I68" s="44">
        <f t="shared" si="295"/>
        <v>0</v>
      </c>
      <c r="J68" s="44">
        <f t="shared" si="295"/>
        <v>0</v>
      </c>
      <c r="K68" s="44">
        <f t="shared" si="295"/>
        <v>0</v>
      </c>
      <c r="L68" s="44">
        <f t="shared" si="295"/>
        <v>0</v>
      </c>
      <c r="M68" s="44">
        <f t="shared" si="295"/>
        <v>0</v>
      </c>
      <c r="N68" s="44">
        <f t="shared" si="295"/>
        <v>0</v>
      </c>
      <c r="O68" s="44">
        <f t="shared" si="295"/>
        <v>0</v>
      </c>
      <c r="P68" s="44">
        <f t="shared" si="295"/>
        <v>0</v>
      </c>
      <c r="Q68" s="44">
        <f t="shared" si="295"/>
        <v>0</v>
      </c>
      <c r="R68" s="44">
        <f t="shared" si="295"/>
        <v>0</v>
      </c>
      <c r="S68" s="44">
        <f t="shared" si="295"/>
        <v>0</v>
      </c>
      <c r="T68" s="44">
        <f t="shared" si="295"/>
        <v>0</v>
      </c>
      <c r="U68" s="44">
        <f t="shared" si="295"/>
        <v>0</v>
      </c>
      <c r="V68" s="44">
        <f t="shared" si="295"/>
        <v>0</v>
      </c>
      <c r="W68" s="44">
        <f t="shared" si="295"/>
        <v>0</v>
      </c>
      <c r="X68" s="44">
        <f t="shared" si="295"/>
        <v>0</v>
      </c>
      <c r="Y68" s="44">
        <f t="shared" si="295"/>
        <v>0</v>
      </c>
      <c r="Z68" s="44">
        <f t="shared" si="295"/>
        <v>0</v>
      </c>
      <c r="AA68" s="44">
        <f t="shared" si="295"/>
        <v>0</v>
      </c>
      <c r="AB68" s="44">
        <f t="shared" si="295"/>
        <v>0</v>
      </c>
      <c r="AC68" s="44">
        <f t="shared" si="295"/>
        <v>0</v>
      </c>
      <c r="AD68" s="44">
        <f t="shared" si="295"/>
        <v>0</v>
      </c>
      <c r="AE68" s="44">
        <f t="shared" si="295"/>
        <v>0</v>
      </c>
      <c r="AF68" s="44">
        <f t="shared" si="295"/>
        <v>0</v>
      </c>
      <c r="AG68" s="44">
        <f t="shared" si="295"/>
        <v>0</v>
      </c>
      <c r="AH68" s="44">
        <f t="shared" si="295"/>
        <v>0</v>
      </c>
      <c r="AI68" s="44"/>
      <c r="AJ68" s="44">
        <f t="shared" ref="AJ68:BN68" si="296">AJ14*($EF68-$EG68)/30*(AJ$2-$D$2)</f>
        <v>0</v>
      </c>
      <c r="AK68" s="44">
        <f t="shared" si="296"/>
        <v>0</v>
      </c>
      <c r="AL68" s="44">
        <f t="shared" si="296"/>
        <v>0</v>
      </c>
      <c r="AM68" s="44">
        <f t="shared" si="296"/>
        <v>0</v>
      </c>
      <c r="AN68" s="44">
        <f t="shared" si="296"/>
        <v>0</v>
      </c>
      <c r="AO68" s="44">
        <f t="shared" si="296"/>
        <v>0</v>
      </c>
      <c r="AP68" s="44">
        <f t="shared" si="296"/>
        <v>0</v>
      </c>
      <c r="AQ68" s="44">
        <f t="shared" si="296"/>
        <v>0</v>
      </c>
      <c r="AR68" s="44">
        <f t="shared" si="296"/>
        <v>0</v>
      </c>
      <c r="AS68" s="44">
        <f t="shared" si="296"/>
        <v>0</v>
      </c>
      <c r="AT68" s="44">
        <f t="shared" si="296"/>
        <v>0</v>
      </c>
      <c r="AU68" s="44">
        <f t="shared" si="296"/>
        <v>0</v>
      </c>
      <c r="AV68" s="44">
        <f t="shared" si="296"/>
        <v>0</v>
      </c>
      <c r="AW68" s="44">
        <f t="shared" si="296"/>
        <v>0</v>
      </c>
      <c r="AX68" s="44">
        <f t="shared" si="296"/>
        <v>0</v>
      </c>
      <c r="AY68" s="44">
        <f t="shared" si="296"/>
        <v>0</v>
      </c>
      <c r="AZ68" s="44">
        <f t="shared" si="296"/>
        <v>0</v>
      </c>
      <c r="BA68" s="44">
        <f t="shared" si="296"/>
        <v>0</v>
      </c>
      <c r="BB68" s="44">
        <f t="shared" si="296"/>
        <v>0</v>
      </c>
      <c r="BC68" s="44">
        <f t="shared" si="296"/>
        <v>0</v>
      </c>
      <c r="BD68" s="44">
        <f t="shared" si="296"/>
        <v>0</v>
      </c>
      <c r="BE68" s="44">
        <f t="shared" si="296"/>
        <v>0</v>
      </c>
      <c r="BF68" s="44">
        <f t="shared" si="296"/>
        <v>0</v>
      </c>
      <c r="BG68" s="44">
        <f t="shared" si="296"/>
        <v>0</v>
      </c>
      <c r="BH68" s="44">
        <f t="shared" si="296"/>
        <v>0</v>
      </c>
      <c r="BI68" s="44">
        <f t="shared" si="296"/>
        <v>0</v>
      </c>
      <c r="BJ68" s="44">
        <f t="shared" si="296"/>
        <v>0</v>
      </c>
      <c r="BK68" s="44">
        <f t="shared" si="296"/>
        <v>0</v>
      </c>
      <c r="BL68" s="44">
        <f t="shared" si="296"/>
        <v>0</v>
      </c>
      <c r="BM68" s="44">
        <f t="shared" si="296"/>
        <v>0</v>
      </c>
      <c r="BN68" s="44">
        <f t="shared" si="296"/>
        <v>0</v>
      </c>
      <c r="BO68" s="44"/>
      <c r="BP68" s="44">
        <f t="shared" ref="BP68:CT68" si="297">BP14*($EF68-$EG68)/30*(BP$2-$D$2)</f>
        <v>0</v>
      </c>
      <c r="BQ68" s="44">
        <f t="shared" si="297"/>
        <v>0</v>
      </c>
      <c r="BR68" s="44">
        <f t="shared" si="297"/>
        <v>0</v>
      </c>
      <c r="BS68" s="44">
        <f t="shared" si="297"/>
        <v>0</v>
      </c>
      <c r="BT68" s="44">
        <f t="shared" si="297"/>
        <v>0</v>
      </c>
      <c r="BU68" s="44">
        <f t="shared" si="297"/>
        <v>0</v>
      </c>
      <c r="BV68" s="44">
        <f t="shared" si="297"/>
        <v>0</v>
      </c>
      <c r="BW68" s="44">
        <f t="shared" si="297"/>
        <v>0</v>
      </c>
      <c r="BX68" s="44">
        <f t="shared" si="297"/>
        <v>0</v>
      </c>
      <c r="BY68" s="44">
        <f t="shared" si="297"/>
        <v>0</v>
      </c>
      <c r="BZ68" s="44">
        <f t="shared" si="297"/>
        <v>0</v>
      </c>
      <c r="CA68" s="44">
        <f t="shared" si="297"/>
        <v>0</v>
      </c>
      <c r="CB68" s="44">
        <f t="shared" si="297"/>
        <v>0</v>
      </c>
      <c r="CC68" s="44">
        <f t="shared" si="297"/>
        <v>0</v>
      </c>
      <c r="CD68" s="44">
        <f t="shared" si="297"/>
        <v>0</v>
      </c>
      <c r="CE68" s="44">
        <f t="shared" si="297"/>
        <v>0</v>
      </c>
      <c r="CF68" s="44">
        <f t="shared" si="297"/>
        <v>0</v>
      </c>
      <c r="CG68" s="44">
        <f t="shared" si="297"/>
        <v>0</v>
      </c>
      <c r="CH68" s="44">
        <f t="shared" si="297"/>
        <v>0</v>
      </c>
      <c r="CI68" s="44">
        <f t="shared" si="297"/>
        <v>0</v>
      </c>
      <c r="CJ68" s="44">
        <f t="shared" si="297"/>
        <v>0</v>
      </c>
      <c r="CK68" s="44">
        <f t="shared" si="297"/>
        <v>0</v>
      </c>
      <c r="CL68" s="44">
        <f t="shared" si="297"/>
        <v>0</v>
      </c>
      <c r="CM68" s="44">
        <f t="shared" si="297"/>
        <v>0</v>
      </c>
      <c r="CN68" s="44">
        <f t="shared" si="297"/>
        <v>0</v>
      </c>
      <c r="CO68" s="44">
        <f t="shared" si="297"/>
        <v>0</v>
      </c>
      <c r="CP68" s="44">
        <f t="shared" si="297"/>
        <v>0</v>
      </c>
      <c r="CQ68" s="44">
        <f t="shared" si="297"/>
        <v>0</v>
      </c>
      <c r="CR68" s="44">
        <f t="shared" si="297"/>
        <v>0</v>
      </c>
      <c r="CS68" s="44">
        <f t="shared" si="297"/>
        <v>0</v>
      </c>
      <c r="CT68" s="44">
        <f t="shared" si="297"/>
        <v>0</v>
      </c>
      <c r="CU68" s="44"/>
      <c r="CV68" s="44">
        <f t="shared" ref="CV68:DZ68" si="298">CV14*($EF68-$EG68)/30*(CV$2-$D$2)</f>
        <v>0</v>
      </c>
      <c r="CW68" s="44">
        <f t="shared" si="298"/>
        <v>0</v>
      </c>
      <c r="CX68" s="44">
        <f t="shared" si="298"/>
        <v>0</v>
      </c>
      <c r="CY68" s="44">
        <f t="shared" si="298"/>
        <v>0</v>
      </c>
      <c r="CZ68" s="44">
        <f t="shared" si="298"/>
        <v>0</v>
      </c>
      <c r="DA68" s="44">
        <f t="shared" si="298"/>
        <v>0</v>
      </c>
      <c r="DB68" s="44">
        <f t="shared" si="298"/>
        <v>0</v>
      </c>
      <c r="DC68" s="44">
        <f t="shared" si="298"/>
        <v>0</v>
      </c>
      <c r="DD68" s="44">
        <f t="shared" si="298"/>
        <v>0</v>
      </c>
      <c r="DE68" s="44">
        <f t="shared" si="298"/>
        <v>0</v>
      </c>
      <c r="DF68" s="44">
        <f t="shared" si="298"/>
        <v>0</v>
      </c>
      <c r="DG68" s="44">
        <f t="shared" si="298"/>
        <v>0</v>
      </c>
      <c r="DH68" s="44">
        <f t="shared" si="298"/>
        <v>0</v>
      </c>
      <c r="DI68" s="44">
        <f t="shared" si="298"/>
        <v>0</v>
      </c>
      <c r="DJ68" s="44">
        <f t="shared" si="298"/>
        <v>0</v>
      </c>
      <c r="DK68" s="44">
        <f t="shared" si="298"/>
        <v>0</v>
      </c>
      <c r="DL68" s="44">
        <f t="shared" si="298"/>
        <v>0</v>
      </c>
      <c r="DM68" s="44">
        <f t="shared" si="298"/>
        <v>0</v>
      </c>
      <c r="DN68" s="44">
        <f t="shared" si="298"/>
        <v>0</v>
      </c>
      <c r="DO68" s="44">
        <f t="shared" si="298"/>
        <v>0</v>
      </c>
      <c r="DP68" s="44">
        <f t="shared" si="298"/>
        <v>0</v>
      </c>
      <c r="DQ68" s="44">
        <f t="shared" si="298"/>
        <v>0</v>
      </c>
      <c r="DR68" s="44">
        <f t="shared" si="298"/>
        <v>0</v>
      </c>
      <c r="DS68" s="44">
        <f t="shared" si="298"/>
        <v>0</v>
      </c>
      <c r="DT68" s="44">
        <f t="shared" si="298"/>
        <v>0</v>
      </c>
      <c r="DU68" s="44">
        <f t="shared" si="298"/>
        <v>0</v>
      </c>
      <c r="DV68" s="44">
        <f t="shared" si="298"/>
        <v>0</v>
      </c>
      <c r="DW68" s="44">
        <f t="shared" si="298"/>
        <v>0</v>
      </c>
      <c r="DX68" s="44">
        <f t="shared" si="298"/>
        <v>0</v>
      </c>
      <c r="DY68" s="44">
        <f t="shared" si="298"/>
        <v>0</v>
      </c>
      <c r="DZ68" s="44">
        <f t="shared" si="298"/>
        <v>0</v>
      </c>
      <c r="EF68" s="51">
        <v>0</v>
      </c>
      <c r="EG68" s="51">
        <v>0</v>
      </c>
      <c r="EH68" s="51"/>
      <c r="EI68" s="51"/>
      <c r="EJ68" s="51"/>
      <c r="EM68" t="s">
        <v>99</v>
      </c>
    </row>
    <row r="69" spans="1:143">
      <c r="A69" s="1"/>
      <c r="B69" t="str">
        <f t="shared" si="270"/>
        <v>Building substitution</v>
      </c>
      <c r="C69" s="54" t="s">
        <v>110</v>
      </c>
      <c r="D69" s="44">
        <f t="shared" ref="D69:AH69" si="299">D15*($EF69-$EG69)/30*(D$2-$D$2)</f>
        <v>0</v>
      </c>
      <c r="E69" s="44">
        <f t="shared" si="299"/>
        <v>0</v>
      </c>
      <c r="F69" s="44">
        <f t="shared" si="299"/>
        <v>0</v>
      </c>
      <c r="G69" s="44">
        <f t="shared" si="299"/>
        <v>0</v>
      </c>
      <c r="H69" s="44">
        <f t="shared" si="299"/>
        <v>0</v>
      </c>
      <c r="I69" s="44">
        <f t="shared" si="299"/>
        <v>0</v>
      </c>
      <c r="J69" s="44">
        <f t="shared" si="299"/>
        <v>0</v>
      </c>
      <c r="K69" s="44">
        <f t="shared" si="299"/>
        <v>0</v>
      </c>
      <c r="L69" s="44">
        <f t="shared" si="299"/>
        <v>0</v>
      </c>
      <c r="M69" s="44">
        <f t="shared" si="299"/>
        <v>0</v>
      </c>
      <c r="N69" s="44">
        <f t="shared" si="299"/>
        <v>0</v>
      </c>
      <c r="O69" s="44">
        <f t="shared" si="299"/>
        <v>0</v>
      </c>
      <c r="P69" s="44">
        <f t="shared" si="299"/>
        <v>0</v>
      </c>
      <c r="Q69" s="44">
        <f t="shared" si="299"/>
        <v>0</v>
      </c>
      <c r="R69" s="44">
        <f t="shared" si="299"/>
        <v>0</v>
      </c>
      <c r="S69" s="44">
        <f t="shared" si="299"/>
        <v>0</v>
      </c>
      <c r="T69" s="44">
        <f t="shared" si="299"/>
        <v>0</v>
      </c>
      <c r="U69" s="44">
        <f t="shared" si="299"/>
        <v>0</v>
      </c>
      <c r="V69" s="44">
        <f t="shared" si="299"/>
        <v>0</v>
      </c>
      <c r="W69" s="44">
        <f t="shared" si="299"/>
        <v>0</v>
      </c>
      <c r="X69" s="44">
        <f t="shared" si="299"/>
        <v>0</v>
      </c>
      <c r="Y69" s="44">
        <f t="shared" si="299"/>
        <v>0</v>
      </c>
      <c r="Z69" s="44">
        <f t="shared" si="299"/>
        <v>0</v>
      </c>
      <c r="AA69" s="44">
        <f t="shared" si="299"/>
        <v>0</v>
      </c>
      <c r="AB69" s="44">
        <f t="shared" si="299"/>
        <v>0</v>
      </c>
      <c r="AC69" s="44">
        <f t="shared" si="299"/>
        <v>0</v>
      </c>
      <c r="AD69" s="44">
        <f t="shared" si="299"/>
        <v>0</v>
      </c>
      <c r="AE69" s="44">
        <f t="shared" si="299"/>
        <v>0</v>
      </c>
      <c r="AF69" s="44">
        <f t="shared" si="299"/>
        <v>0</v>
      </c>
      <c r="AG69" s="44">
        <f t="shared" si="299"/>
        <v>0</v>
      </c>
      <c r="AH69" s="44">
        <f t="shared" si="299"/>
        <v>0</v>
      </c>
      <c r="AI69" s="44"/>
      <c r="AJ69" s="44">
        <f t="shared" ref="AJ69:BN69" si="300">AJ15*($EF69-$EG69)/30*(AJ$2-$D$2)</f>
        <v>0</v>
      </c>
      <c r="AK69" s="44">
        <f t="shared" si="300"/>
        <v>0</v>
      </c>
      <c r="AL69" s="44">
        <f t="shared" si="300"/>
        <v>0</v>
      </c>
      <c r="AM69" s="44">
        <f t="shared" si="300"/>
        <v>0</v>
      </c>
      <c r="AN69" s="44">
        <f t="shared" si="300"/>
        <v>0</v>
      </c>
      <c r="AO69" s="44">
        <f t="shared" si="300"/>
        <v>0</v>
      </c>
      <c r="AP69" s="44">
        <f t="shared" si="300"/>
        <v>0</v>
      </c>
      <c r="AQ69" s="44">
        <f t="shared" si="300"/>
        <v>0</v>
      </c>
      <c r="AR69" s="44">
        <f t="shared" si="300"/>
        <v>0</v>
      </c>
      <c r="AS69" s="44">
        <f t="shared" si="300"/>
        <v>0</v>
      </c>
      <c r="AT69" s="44">
        <f t="shared" si="300"/>
        <v>0</v>
      </c>
      <c r="AU69" s="44">
        <f t="shared" si="300"/>
        <v>0</v>
      </c>
      <c r="AV69" s="44">
        <f t="shared" si="300"/>
        <v>0</v>
      </c>
      <c r="AW69" s="44">
        <f t="shared" si="300"/>
        <v>0</v>
      </c>
      <c r="AX69" s="44">
        <f t="shared" si="300"/>
        <v>0</v>
      </c>
      <c r="AY69" s="44">
        <f t="shared" si="300"/>
        <v>0</v>
      </c>
      <c r="AZ69" s="44">
        <f t="shared" si="300"/>
        <v>0</v>
      </c>
      <c r="BA69" s="44">
        <f t="shared" si="300"/>
        <v>0</v>
      </c>
      <c r="BB69" s="44">
        <f t="shared" si="300"/>
        <v>0</v>
      </c>
      <c r="BC69" s="44">
        <f t="shared" si="300"/>
        <v>0</v>
      </c>
      <c r="BD69" s="44">
        <f t="shared" si="300"/>
        <v>0</v>
      </c>
      <c r="BE69" s="44">
        <f t="shared" si="300"/>
        <v>0</v>
      </c>
      <c r="BF69" s="44">
        <f t="shared" si="300"/>
        <v>0</v>
      </c>
      <c r="BG69" s="44">
        <f t="shared" si="300"/>
        <v>0</v>
      </c>
      <c r="BH69" s="44">
        <f t="shared" si="300"/>
        <v>0</v>
      </c>
      <c r="BI69" s="44">
        <f t="shared" si="300"/>
        <v>0</v>
      </c>
      <c r="BJ69" s="44">
        <f t="shared" si="300"/>
        <v>0</v>
      </c>
      <c r="BK69" s="44">
        <f t="shared" si="300"/>
        <v>0</v>
      </c>
      <c r="BL69" s="44">
        <f t="shared" si="300"/>
        <v>0</v>
      </c>
      <c r="BM69" s="44">
        <f t="shared" si="300"/>
        <v>0</v>
      </c>
      <c r="BN69" s="44">
        <f t="shared" si="300"/>
        <v>0</v>
      </c>
      <c r="BO69" s="44"/>
      <c r="BP69" s="44">
        <f t="shared" ref="BP69:CT69" si="301">BP15*($EF69-$EG69)/30*(BP$2-$D$2)</f>
        <v>0</v>
      </c>
      <c r="BQ69" s="44">
        <f t="shared" si="301"/>
        <v>0</v>
      </c>
      <c r="BR69" s="44">
        <f t="shared" si="301"/>
        <v>0</v>
      </c>
      <c r="BS69" s="44">
        <f t="shared" si="301"/>
        <v>0</v>
      </c>
      <c r="BT69" s="44">
        <f t="shared" si="301"/>
        <v>0</v>
      </c>
      <c r="BU69" s="44">
        <f t="shared" si="301"/>
        <v>0</v>
      </c>
      <c r="BV69" s="44">
        <f t="shared" si="301"/>
        <v>0</v>
      </c>
      <c r="BW69" s="44">
        <f t="shared" si="301"/>
        <v>0</v>
      </c>
      <c r="BX69" s="44">
        <f t="shared" si="301"/>
        <v>0</v>
      </c>
      <c r="BY69" s="44">
        <f t="shared" si="301"/>
        <v>0</v>
      </c>
      <c r="BZ69" s="44">
        <f t="shared" si="301"/>
        <v>0</v>
      </c>
      <c r="CA69" s="44">
        <f t="shared" si="301"/>
        <v>0</v>
      </c>
      <c r="CB69" s="44">
        <f t="shared" si="301"/>
        <v>0</v>
      </c>
      <c r="CC69" s="44">
        <f t="shared" si="301"/>
        <v>0</v>
      </c>
      <c r="CD69" s="44">
        <f t="shared" si="301"/>
        <v>0</v>
      </c>
      <c r="CE69" s="44">
        <f t="shared" si="301"/>
        <v>0</v>
      </c>
      <c r="CF69" s="44">
        <f t="shared" si="301"/>
        <v>0</v>
      </c>
      <c r="CG69" s="44">
        <f t="shared" si="301"/>
        <v>0</v>
      </c>
      <c r="CH69" s="44">
        <f t="shared" si="301"/>
        <v>0</v>
      </c>
      <c r="CI69" s="44">
        <f t="shared" si="301"/>
        <v>0</v>
      </c>
      <c r="CJ69" s="44">
        <f t="shared" si="301"/>
        <v>0</v>
      </c>
      <c r="CK69" s="44">
        <f t="shared" si="301"/>
        <v>0</v>
      </c>
      <c r="CL69" s="44">
        <f t="shared" si="301"/>
        <v>0</v>
      </c>
      <c r="CM69" s="44">
        <f t="shared" si="301"/>
        <v>0</v>
      </c>
      <c r="CN69" s="44">
        <f t="shared" si="301"/>
        <v>0</v>
      </c>
      <c r="CO69" s="44">
        <f t="shared" si="301"/>
        <v>0</v>
      </c>
      <c r="CP69" s="44">
        <f t="shared" si="301"/>
        <v>0</v>
      </c>
      <c r="CQ69" s="44">
        <f t="shared" si="301"/>
        <v>0</v>
      </c>
      <c r="CR69" s="44">
        <f t="shared" si="301"/>
        <v>0</v>
      </c>
      <c r="CS69" s="44">
        <f t="shared" si="301"/>
        <v>0</v>
      </c>
      <c r="CT69" s="44">
        <f t="shared" si="301"/>
        <v>0</v>
      </c>
      <c r="CU69" s="44"/>
      <c r="CV69" s="44">
        <f t="shared" ref="CV69:DZ69" si="302">CV15*($EF69-$EG69)/30*(CV$2-$D$2)</f>
        <v>0</v>
      </c>
      <c r="CW69" s="44">
        <f t="shared" si="302"/>
        <v>0</v>
      </c>
      <c r="CX69" s="44">
        <f t="shared" si="302"/>
        <v>0</v>
      </c>
      <c r="CY69" s="44">
        <f t="shared" si="302"/>
        <v>0</v>
      </c>
      <c r="CZ69" s="44">
        <f t="shared" si="302"/>
        <v>0</v>
      </c>
      <c r="DA69" s="44">
        <f t="shared" si="302"/>
        <v>0</v>
      </c>
      <c r="DB69" s="44">
        <f t="shared" si="302"/>
        <v>0</v>
      </c>
      <c r="DC69" s="44">
        <f t="shared" si="302"/>
        <v>0</v>
      </c>
      <c r="DD69" s="44">
        <f t="shared" si="302"/>
        <v>0</v>
      </c>
      <c r="DE69" s="44">
        <f t="shared" si="302"/>
        <v>0</v>
      </c>
      <c r="DF69" s="44">
        <f t="shared" si="302"/>
        <v>0</v>
      </c>
      <c r="DG69" s="44">
        <f t="shared" si="302"/>
        <v>0</v>
      </c>
      <c r="DH69" s="44">
        <f t="shared" si="302"/>
        <v>0</v>
      </c>
      <c r="DI69" s="44">
        <f t="shared" si="302"/>
        <v>0</v>
      </c>
      <c r="DJ69" s="44">
        <f t="shared" si="302"/>
        <v>0</v>
      </c>
      <c r="DK69" s="44">
        <f t="shared" si="302"/>
        <v>0</v>
      </c>
      <c r="DL69" s="44">
        <f t="shared" si="302"/>
        <v>0</v>
      </c>
      <c r="DM69" s="44">
        <f t="shared" si="302"/>
        <v>0</v>
      </c>
      <c r="DN69" s="44">
        <f t="shared" si="302"/>
        <v>0</v>
      </c>
      <c r="DO69" s="44">
        <f t="shared" si="302"/>
        <v>0</v>
      </c>
      <c r="DP69" s="44">
        <f t="shared" si="302"/>
        <v>0</v>
      </c>
      <c r="DQ69" s="44">
        <f t="shared" si="302"/>
        <v>0</v>
      </c>
      <c r="DR69" s="44">
        <f t="shared" si="302"/>
        <v>0</v>
      </c>
      <c r="DS69" s="44">
        <f t="shared" si="302"/>
        <v>0</v>
      </c>
      <c r="DT69" s="44">
        <f t="shared" si="302"/>
        <v>0</v>
      </c>
      <c r="DU69" s="44">
        <f t="shared" si="302"/>
        <v>0</v>
      </c>
      <c r="DV69" s="44">
        <f t="shared" si="302"/>
        <v>0</v>
      </c>
      <c r="DW69" s="44">
        <f t="shared" si="302"/>
        <v>0</v>
      </c>
      <c r="DX69" s="44">
        <f t="shared" si="302"/>
        <v>0</v>
      </c>
      <c r="DY69" s="44">
        <f t="shared" si="302"/>
        <v>0</v>
      </c>
      <c r="DZ69" s="44">
        <f t="shared" si="302"/>
        <v>0</v>
      </c>
      <c r="EF69" s="610">
        <v>2.5</v>
      </c>
      <c r="EG69" s="51">
        <v>0</v>
      </c>
      <c r="EH69" s="51"/>
      <c r="EI69" s="51"/>
      <c r="EJ69" s="51"/>
      <c r="EM69" t="s">
        <v>99</v>
      </c>
    </row>
    <row r="70" spans="1:143">
      <c r="A70" s="1"/>
      <c r="B70" t="str">
        <f t="shared" si="270"/>
        <v>Apparel - waste reduction</v>
      </c>
      <c r="C70" s="54" t="s">
        <v>110</v>
      </c>
      <c r="D70" s="44">
        <f t="shared" ref="D70:AH70" si="303">D16*($EF70-$EG70)/30*(D$2-$D$2)</f>
        <v>0</v>
      </c>
      <c r="E70" s="44">
        <f t="shared" si="303"/>
        <v>0</v>
      </c>
      <c r="F70" s="44">
        <f t="shared" si="303"/>
        <v>0</v>
      </c>
      <c r="G70" s="44">
        <f t="shared" si="303"/>
        <v>0</v>
      </c>
      <c r="H70" s="44">
        <f t="shared" si="303"/>
        <v>0</v>
      </c>
      <c r="I70" s="44">
        <f t="shared" si="303"/>
        <v>0</v>
      </c>
      <c r="J70" s="44">
        <f t="shared" si="303"/>
        <v>0</v>
      </c>
      <c r="K70" s="44">
        <f t="shared" si="303"/>
        <v>0</v>
      </c>
      <c r="L70" s="44">
        <f t="shared" si="303"/>
        <v>0</v>
      </c>
      <c r="M70" s="44">
        <f t="shared" si="303"/>
        <v>0</v>
      </c>
      <c r="N70" s="44">
        <f t="shared" si="303"/>
        <v>0</v>
      </c>
      <c r="O70" s="44">
        <f t="shared" si="303"/>
        <v>0</v>
      </c>
      <c r="P70" s="44">
        <f t="shared" si="303"/>
        <v>0</v>
      </c>
      <c r="Q70" s="44">
        <f t="shared" si="303"/>
        <v>0</v>
      </c>
      <c r="R70" s="44">
        <f t="shared" si="303"/>
        <v>0</v>
      </c>
      <c r="S70" s="44">
        <f t="shared" si="303"/>
        <v>0</v>
      </c>
      <c r="T70" s="44">
        <f t="shared" si="303"/>
        <v>0</v>
      </c>
      <c r="U70" s="44">
        <f t="shared" si="303"/>
        <v>0</v>
      </c>
      <c r="V70" s="44">
        <f t="shared" si="303"/>
        <v>0</v>
      </c>
      <c r="W70" s="44">
        <f t="shared" si="303"/>
        <v>0</v>
      </c>
      <c r="X70" s="44">
        <f t="shared" si="303"/>
        <v>0</v>
      </c>
      <c r="Y70" s="44">
        <f t="shared" si="303"/>
        <v>0</v>
      </c>
      <c r="Z70" s="44">
        <f t="shared" si="303"/>
        <v>0</v>
      </c>
      <c r="AA70" s="44">
        <f t="shared" si="303"/>
        <v>0</v>
      </c>
      <c r="AB70" s="44">
        <f t="shared" si="303"/>
        <v>0</v>
      </c>
      <c r="AC70" s="44">
        <f t="shared" si="303"/>
        <v>0</v>
      </c>
      <c r="AD70" s="44">
        <f t="shared" si="303"/>
        <v>0</v>
      </c>
      <c r="AE70" s="44">
        <f t="shared" si="303"/>
        <v>0</v>
      </c>
      <c r="AF70" s="44">
        <f t="shared" si="303"/>
        <v>0</v>
      </c>
      <c r="AG70" s="44">
        <f t="shared" si="303"/>
        <v>0</v>
      </c>
      <c r="AH70" s="44">
        <f t="shared" si="303"/>
        <v>0</v>
      </c>
      <c r="AI70" s="44"/>
      <c r="AJ70" s="44">
        <f t="shared" ref="AJ70:BN70" si="304">AJ16*($EF70-$EG70)/30*(AJ$2-$D$2)</f>
        <v>0</v>
      </c>
      <c r="AK70" s="44">
        <f t="shared" si="304"/>
        <v>0</v>
      </c>
      <c r="AL70" s="44">
        <f t="shared" si="304"/>
        <v>0</v>
      </c>
      <c r="AM70" s="44">
        <f t="shared" si="304"/>
        <v>0</v>
      </c>
      <c r="AN70" s="44">
        <f t="shared" si="304"/>
        <v>0</v>
      </c>
      <c r="AO70" s="44">
        <f t="shared" si="304"/>
        <v>0</v>
      </c>
      <c r="AP70" s="44">
        <f t="shared" si="304"/>
        <v>0</v>
      </c>
      <c r="AQ70" s="44">
        <f t="shared" si="304"/>
        <v>0</v>
      </c>
      <c r="AR70" s="44">
        <f t="shared" si="304"/>
        <v>0</v>
      </c>
      <c r="AS70" s="44">
        <f t="shared" si="304"/>
        <v>0</v>
      </c>
      <c r="AT70" s="44">
        <f t="shared" si="304"/>
        <v>0</v>
      </c>
      <c r="AU70" s="44">
        <f t="shared" si="304"/>
        <v>0</v>
      </c>
      <c r="AV70" s="44">
        <f t="shared" si="304"/>
        <v>0</v>
      </c>
      <c r="AW70" s="44">
        <f t="shared" si="304"/>
        <v>0</v>
      </c>
      <c r="AX70" s="44">
        <f t="shared" si="304"/>
        <v>0</v>
      </c>
      <c r="AY70" s="44">
        <f t="shared" si="304"/>
        <v>0</v>
      </c>
      <c r="AZ70" s="44">
        <f t="shared" si="304"/>
        <v>0</v>
      </c>
      <c r="BA70" s="44">
        <f t="shared" si="304"/>
        <v>0</v>
      </c>
      <c r="BB70" s="44">
        <f t="shared" si="304"/>
        <v>0</v>
      </c>
      <c r="BC70" s="44">
        <f t="shared" si="304"/>
        <v>0</v>
      </c>
      <c r="BD70" s="44">
        <f t="shared" si="304"/>
        <v>0</v>
      </c>
      <c r="BE70" s="44">
        <f t="shared" si="304"/>
        <v>0</v>
      </c>
      <c r="BF70" s="44">
        <f t="shared" si="304"/>
        <v>0</v>
      </c>
      <c r="BG70" s="44">
        <f t="shared" si="304"/>
        <v>0</v>
      </c>
      <c r="BH70" s="44">
        <f t="shared" si="304"/>
        <v>0</v>
      </c>
      <c r="BI70" s="44">
        <f t="shared" si="304"/>
        <v>0</v>
      </c>
      <c r="BJ70" s="44">
        <f t="shared" si="304"/>
        <v>0</v>
      </c>
      <c r="BK70" s="44">
        <f t="shared" si="304"/>
        <v>0</v>
      </c>
      <c r="BL70" s="44">
        <f t="shared" si="304"/>
        <v>0</v>
      </c>
      <c r="BM70" s="44">
        <f t="shared" si="304"/>
        <v>0</v>
      </c>
      <c r="BN70" s="44">
        <f t="shared" si="304"/>
        <v>0</v>
      </c>
      <c r="BO70" s="44"/>
      <c r="BP70" s="44">
        <f t="shared" ref="BP70:CT70" si="305">BP16*($EF70-$EG70)/30*(BP$2-$D$2)</f>
        <v>0</v>
      </c>
      <c r="BQ70" s="44">
        <f t="shared" si="305"/>
        <v>0</v>
      </c>
      <c r="BR70" s="44">
        <f t="shared" si="305"/>
        <v>0</v>
      </c>
      <c r="BS70" s="44">
        <f t="shared" si="305"/>
        <v>0</v>
      </c>
      <c r="BT70" s="44">
        <f t="shared" si="305"/>
        <v>0</v>
      </c>
      <c r="BU70" s="44">
        <f t="shared" si="305"/>
        <v>0</v>
      </c>
      <c r="BV70" s="44">
        <f t="shared" si="305"/>
        <v>0</v>
      </c>
      <c r="BW70" s="44">
        <f t="shared" si="305"/>
        <v>0</v>
      </c>
      <c r="BX70" s="44">
        <f t="shared" si="305"/>
        <v>0</v>
      </c>
      <c r="BY70" s="44">
        <f t="shared" si="305"/>
        <v>0</v>
      </c>
      <c r="BZ70" s="44">
        <f t="shared" si="305"/>
        <v>0</v>
      </c>
      <c r="CA70" s="44">
        <f t="shared" si="305"/>
        <v>0</v>
      </c>
      <c r="CB70" s="44">
        <f t="shared" si="305"/>
        <v>0</v>
      </c>
      <c r="CC70" s="44">
        <f t="shared" si="305"/>
        <v>0</v>
      </c>
      <c r="CD70" s="44">
        <f t="shared" si="305"/>
        <v>0</v>
      </c>
      <c r="CE70" s="44">
        <f t="shared" si="305"/>
        <v>0</v>
      </c>
      <c r="CF70" s="44">
        <f t="shared" si="305"/>
        <v>0</v>
      </c>
      <c r="CG70" s="44">
        <f t="shared" si="305"/>
        <v>0</v>
      </c>
      <c r="CH70" s="44">
        <f t="shared" si="305"/>
        <v>0</v>
      </c>
      <c r="CI70" s="44">
        <f t="shared" si="305"/>
        <v>0</v>
      </c>
      <c r="CJ70" s="44">
        <f t="shared" si="305"/>
        <v>0</v>
      </c>
      <c r="CK70" s="44">
        <f t="shared" si="305"/>
        <v>0</v>
      </c>
      <c r="CL70" s="44">
        <f t="shared" si="305"/>
        <v>0</v>
      </c>
      <c r="CM70" s="44">
        <f t="shared" si="305"/>
        <v>0</v>
      </c>
      <c r="CN70" s="44">
        <f t="shared" si="305"/>
        <v>0</v>
      </c>
      <c r="CO70" s="44">
        <f t="shared" si="305"/>
        <v>0</v>
      </c>
      <c r="CP70" s="44">
        <f t="shared" si="305"/>
        <v>0</v>
      </c>
      <c r="CQ70" s="44">
        <f t="shared" si="305"/>
        <v>0</v>
      </c>
      <c r="CR70" s="44">
        <f t="shared" si="305"/>
        <v>0</v>
      </c>
      <c r="CS70" s="44">
        <f t="shared" si="305"/>
        <v>0</v>
      </c>
      <c r="CT70" s="44">
        <f t="shared" si="305"/>
        <v>0</v>
      </c>
      <c r="CU70" s="44"/>
      <c r="CV70" s="44">
        <f t="shared" ref="CV70:DZ70" si="306">CV16*($EF70-$EG70)/30*(CV$2-$D$2)</f>
        <v>0</v>
      </c>
      <c r="CW70" s="44">
        <f t="shared" si="306"/>
        <v>0</v>
      </c>
      <c r="CX70" s="44">
        <f t="shared" si="306"/>
        <v>0</v>
      </c>
      <c r="CY70" s="44">
        <f t="shared" si="306"/>
        <v>0</v>
      </c>
      <c r="CZ70" s="44">
        <f t="shared" si="306"/>
        <v>0</v>
      </c>
      <c r="DA70" s="44">
        <f t="shared" si="306"/>
        <v>0</v>
      </c>
      <c r="DB70" s="44">
        <f t="shared" si="306"/>
        <v>0</v>
      </c>
      <c r="DC70" s="44">
        <f t="shared" si="306"/>
        <v>0</v>
      </c>
      <c r="DD70" s="44">
        <f t="shared" si="306"/>
        <v>0</v>
      </c>
      <c r="DE70" s="44">
        <f t="shared" si="306"/>
        <v>0</v>
      </c>
      <c r="DF70" s="44">
        <f t="shared" si="306"/>
        <v>0</v>
      </c>
      <c r="DG70" s="44">
        <f t="shared" si="306"/>
        <v>0</v>
      </c>
      <c r="DH70" s="44">
        <f t="shared" si="306"/>
        <v>0</v>
      </c>
      <c r="DI70" s="44">
        <f t="shared" si="306"/>
        <v>0</v>
      </c>
      <c r="DJ70" s="44">
        <f t="shared" si="306"/>
        <v>0</v>
      </c>
      <c r="DK70" s="44">
        <f t="shared" si="306"/>
        <v>0</v>
      </c>
      <c r="DL70" s="44">
        <f t="shared" si="306"/>
        <v>0</v>
      </c>
      <c r="DM70" s="44">
        <f t="shared" si="306"/>
        <v>0</v>
      </c>
      <c r="DN70" s="44">
        <f t="shared" si="306"/>
        <v>0</v>
      </c>
      <c r="DO70" s="44">
        <f t="shared" si="306"/>
        <v>0</v>
      </c>
      <c r="DP70" s="44">
        <f t="shared" si="306"/>
        <v>0</v>
      </c>
      <c r="DQ70" s="44">
        <f t="shared" si="306"/>
        <v>0</v>
      </c>
      <c r="DR70" s="44">
        <f t="shared" si="306"/>
        <v>0</v>
      </c>
      <c r="DS70" s="44">
        <f t="shared" si="306"/>
        <v>0</v>
      </c>
      <c r="DT70" s="44">
        <f t="shared" si="306"/>
        <v>0</v>
      </c>
      <c r="DU70" s="44">
        <f t="shared" si="306"/>
        <v>0</v>
      </c>
      <c r="DV70" s="44">
        <f t="shared" si="306"/>
        <v>0</v>
      </c>
      <c r="DW70" s="44">
        <f t="shared" si="306"/>
        <v>0</v>
      </c>
      <c r="DX70" s="44">
        <f t="shared" si="306"/>
        <v>0</v>
      </c>
      <c r="DY70" s="44">
        <f t="shared" si="306"/>
        <v>0</v>
      </c>
      <c r="DZ70" s="44">
        <f t="shared" si="306"/>
        <v>0</v>
      </c>
      <c r="EF70" s="51">
        <v>0</v>
      </c>
      <c r="EG70" s="51">
        <v>0</v>
      </c>
      <c r="EH70" s="51"/>
      <c r="EI70" s="51"/>
      <c r="EJ70" s="51"/>
      <c r="EM70" t="s">
        <v>99</v>
      </c>
    </row>
    <row r="71" spans="1:143">
      <c r="A71" s="1"/>
      <c r="B71" t="str">
        <f t="shared" si="270"/>
        <v>Apparel - NBM</v>
      </c>
      <c r="C71" s="54" t="s">
        <v>110</v>
      </c>
      <c r="D71" s="44">
        <f t="shared" ref="D71:AH71" si="307">D17*($EF71-$EG71)/30*(D$2-$D$2)</f>
        <v>0</v>
      </c>
      <c r="E71" s="44">
        <f t="shared" si="307"/>
        <v>0</v>
      </c>
      <c r="F71" s="44">
        <f t="shared" si="307"/>
        <v>0</v>
      </c>
      <c r="G71" s="44">
        <f t="shared" si="307"/>
        <v>0</v>
      </c>
      <c r="H71" s="44">
        <f t="shared" si="307"/>
        <v>0</v>
      </c>
      <c r="I71" s="44">
        <f t="shared" si="307"/>
        <v>0</v>
      </c>
      <c r="J71" s="44">
        <f t="shared" si="307"/>
        <v>0</v>
      </c>
      <c r="K71" s="44">
        <f t="shared" si="307"/>
        <v>0</v>
      </c>
      <c r="L71" s="44">
        <f t="shared" si="307"/>
        <v>0</v>
      </c>
      <c r="M71" s="44">
        <f t="shared" si="307"/>
        <v>0</v>
      </c>
      <c r="N71" s="44">
        <f t="shared" si="307"/>
        <v>0</v>
      </c>
      <c r="O71" s="44">
        <f t="shared" si="307"/>
        <v>0</v>
      </c>
      <c r="P71" s="44">
        <f t="shared" si="307"/>
        <v>0</v>
      </c>
      <c r="Q71" s="44">
        <f t="shared" si="307"/>
        <v>0</v>
      </c>
      <c r="R71" s="44">
        <f t="shared" si="307"/>
        <v>0</v>
      </c>
      <c r="S71" s="44">
        <f t="shared" si="307"/>
        <v>0</v>
      </c>
      <c r="T71" s="44">
        <f t="shared" si="307"/>
        <v>0</v>
      </c>
      <c r="U71" s="44">
        <f t="shared" si="307"/>
        <v>0</v>
      </c>
      <c r="V71" s="44">
        <f t="shared" si="307"/>
        <v>0</v>
      </c>
      <c r="W71" s="44">
        <f t="shared" si="307"/>
        <v>0</v>
      </c>
      <c r="X71" s="44">
        <f t="shared" si="307"/>
        <v>0</v>
      </c>
      <c r="Y71" s="44">
        <f t="shared" si="307"/>
        <v>0</v>
      </c>
      <c r="Z71" s="44">
        <f t="shared" si="307"/>
        <v>0</v>
      </c>
      <c r="AA71" s="44">
        <f t="shared" si="307"/>
        <v>0</v>
      </c>
      <c r="AB71" s="44">
        <f t="shared" si="307"/>
        <v>0</v>
      </c>
      <c r="AC71" s="44">
        <f t="shared" si="307"/>
        <v>0</v>
      </c>
      <c r="AD71" s="44">
        <f t="shared" si="307"/>
        <v>0</v>
      </c>
      <c r="AE71" s="44">
        <f t="shared" si="307"/>
        <v>0</v>
      </c>
      <c r="AF71" s="44">
        <f t="shared" si="307"/>
        <v>0</v>
      </c>
      <c r="AG71" s="44">
        <f t="shared" si="307"/>
        <v>0</v>
      </c>
      <c r="AH71" s="44">
        <f t="shared" si="307"/>
        <v>0</v>
      </c>
      <c r="AI71" s="44"/>
      <c r="AJ71" s="44">
        <f t="shared" ref="AJ71:BN71" si="308">AJ17*($EF71-$EG71)/30*(AJ$2-$D$2)</f>
        <v>0</v>
      </c>
      <c r="AK71" s="44">
        <f t="shared" si="308"/>
        <v>0</v>
      </c>
      <c r="AL71" s="44">
        <f t="shared" si="308"/>
        <v>0</v>
      </c>
      <c r="AM71" s="44">
        <f t="shared" si="308"/>
        <v>0</v>
      </c>
      <c r="AN71" s="44">
        <f t="shared" si="308"/>
        <v>0</v>
      </c>
      <c r="AO71" s="44">
        <f t="shared" si="308"/>
        <v>0</v>
      </c>
      <c r="AP71" s="44">
        <f t="shared" si="308"/>
        <v>0</v>
      </c>
      <c r="AQ71" s="44">
        <f t="shared" si="308"/>
        <v>0</v>
      </c>
      <c r="AR71" s="44">
        <f t="shared" si="308"/>
        <v>0</v>
      </c>
      <c r="AS71" s="44">
        <f t="shared" si="308"/>
        <v>0</v>
      </c>
      <c r="AT71" s="44">
        <f t="shared" si="308"/>
        <v>0</v>
      </c>
      <c r="AU71" s="44">
        <f t="shared" si="308"/>
        <v>0</v>
      </c>
      <c r="AV71" s="44">
        <f t="shared" si="308"/>
        <v>0</v>
      </c>
      <c r="AW71" s="44">
        <f t="shared" si="308"/>
        <v>0</v>
      </c>
      <c r="AX71" s="44">
        <f t="shared" si="308"/>
        <v>0</v>
      </c>
      <c r="AY71" s="44">
        <f t="shared" si="308"/>
        <v>0</v>
      </c>
      <c r="AZ71" s="44">
        <f t="shared" si="308"/>
        <v>0</v>
      </c>
      <c r="BA71" s="44">
        <f t="shared" si="308"/>
        <v>0</v>
      </c>
      <c r="BB71" s="44">
        <f t="shared" si="308"/>
        <v>0</v>
      </c>
      <c r="BC71" s="44">
        <f t="shared" si="308"/>
        <v>0</v>
      </c>
      <c r="BD71" s="44">
        <f t="shared" si="308"/>
        <v>0</v>
      </c>
      <c r="BE71" s="44">
        <f t="shared" si="308"/>
        <v>0</v>
      </c>
      <c r="BF71" s="44">
        <f t="shared" si="308"/>
        <v>0</v>
      </c>
      <c r="BG71" s="44">
        <f t="shared" si="308"/>
        <v>0</v>
      </c>
      <c r="BH71" s="44">
        <f t="shared" si="308"/>
        <v>0</v>
      </c>
      <c r="BI71" s="44">
        <f t="shared" si="308"/>
        <v>0</v>
      </c>
      <c r="BJ71" s="44">
        <f t="shared" si="308"/>
        <v>0</v>
      </c>
      <c r="BK71" s="44">
        <f t="shared" si="308"/>
        <v>0</v>
      </c>
      <c r="BL71" s="44">
        <f t="shared" si="308"/>
        <v>0</v>
      </c>
      <c r="BM71" s="44">
        <f t="shared" si="308"/>
        <v>0</v>
      </c>
      <c r="BN71" s="44">
        <f t="shared" si="308"/>
        <v>0</v>
      </c>
      <c r="BO71" s="44"/>
      <c r="BP71" s="44">
        <f t="shared" ref="BP71:CT71" si="309">BP17*($EF71-$EG71)/30*(BP$2-$D$2)</f>
        <v>0</v>
      </c>
      <c r="BQ71" s="44">
        <f t="shared" si="309"/>
        <v>0</v>
      </c>
      <c r="BR71" s="44">
        <f t="shared" si="309"/>
        <v>0</v>
      </c>
      <c r="BS71" s="44">
        <f t="shared" si="309"/>
        <v>0</v>
      </c>
      <c r="BT71" s="44">
        <f t="shared" si="309"/>
        <v>0</v>
      </c>
      <c r="BU71" s="44">
        <f t="shared" si="309"/>
        <v>0</v>
      </c>
      <c r="BV71" s="44">
        <f t="shared" si="309"/>
        <v>0</v>
      </c>
      <c r="BW71" s="44">
        <f t="shared" si="309"/>
        <v>0</v>
      </c>
      <c r="BX71" s="44">
        <f t="shared" si="309"/>
        <v>0</v>
      </c>
      <c r="BY71" s="44">
        <f t="shared" si="309"/>
        <v>0</v>
      </c>
      <c r="BZ71" s="44">
        <f t="shared" si="309"/>
        <v>0</v>
      </c>
      <c r="CA71" s="44">
        <f t="shared" si="309"/>
        <v>0</v>
      </c>
      <c r="CB71" s="44">
        <f t="shared" si="309"/>
        <v>0</v>
      </c>
      <c r="CC71" s="44">
        <f t="shared" si="309"/>
        <v>0</v>
      </c>
      <c r="CD71" s="44">
        <f t="shared" si="309"/>
        <v>0</v>
      </c>
      <c r="CE71" s="44">
        <f t="shared" si="309"/>
        <v>0</v>
      </c>
      <c r="CF71" s="44">
        <f t="shared" si="309"/>
        <v>0</v>
      </c>
      <c r="CG71" s="44">
        <f t="shared" si="309"/>
        <v>0</v>
      </c>
      <c r="CH71" s="44">
        <f t="shared" si="309"/>
        <v>0</v>
      </c>
      <c r="CI71" s="44">
        <f t="shared" si="309"/>
        <v>0</v>
      </c>
      <c r="CJ71" s="44">
        <f t="shared" si="309"/>
        <v>0</v>
      </c>
      <c r="CK71" s="44">
        <f t="shared" si="309"/>
        <v>0</v>
      </c>
      <c r="CL71" s="44">
        <f t="shared" si="309"/>
        <v>0</v>
      </c>
      <c r="CM71" s="44">
        <f t="shared" si="309"/>
        <v>0</v>
      </c>
      <c r="CN71" s="44">
        <f t="shared" si="309"/>
        <v>0</v>
      </c>
      <c r="CO71" s="44">
        <f t="shared" si="309"/>
        <v>0</v>
      </c>
      <c r="CP71" s="44">
        <f t="shared" si="309"/>
        <v>0</v>
      </c>
      <c r="CQ71" s="44">
        <f t="shared" si="309"/>
        <v>0</v>
      </c>
      <c r="CR71" s="44">
        <f t="shared" si="309"/>
        <v>0</v>
      </c>
      <c r="CS71" s="44">
        <f t="shared" si="309"/>
        <v>0</v>
      </c>
      <c r="CT71" s="44">
        <f t="shared" si="309"/>
        <v>0</v>
      </c>
      <c r="CU71" s="44"/>
      <c r="CV71" s="44">
        <f t="shared" ref="CV71:DZ71" si="310">CV17*($EF71-$EG71)/30*(CV$2-$D$2)</f>
        <v>0</v>
      </c>
      <c r="CW71" s="44">
        <f t="shared" si="310"/>
        <v>0</v>
      </c>
      <c r="CX71" s="44">
        <f t="shared" si="310"/>
        <v>0</v>
      </c>
      <c r="CY71" s="44">
        <f t="shared" si="310"/>
        <v>0</v>
      </c>
      <c r="CZ71" s="44">
        <f t="shared" si="310"/>
        <v>0</v>
      </c>
      <c r="DA71" s="44">
        <f t="shared" si="310"/>
        <v>0</v>
      </c>
      <c r="DB71" s="44">
        <f t="shared" si="310"/>
        <v>0</v>
      </c>
      <c r="DC71" s="44">
        <f t="shared" si="310"/>
        <v>0</v>
      </c>
      <c r="DD71" s="44">
        <f t="shared" si="310"/>
        <v>0</v>
      </c>
      <c r="DE71" s="44">
        <f t="shared" si="310"/>
        <v>0</v>
      </c>
      <c r="DF71" s="44">
        <f t="shared" si="310"/>
        <v>0</v>
      </c>
      <c r="DG71" s="44">
        <f t="shared" si="310"/>
        <v>0</v>
      </c>
      <c r="DH71" s="44">
        <f t="shared" si="310"/>
        <v>0</v>
      </c>
      <c r="DI71" s="44">
        <f t="shared" si="310"/>
        <v>0</v>
      </c>
      <c r="DJ71" s="44">
        <f t="shared" si="310"/>
        <v>0</v>
      </c>
      <c r="DK71" s="44">
        <f t="shared" si="310"/>
        <v>0</v>
      </c>
      <c r="DL71" s="44">
        <f t="shared" si="310"/>
        <v>0</v>
      </c>
      <c r="DM71" s="44">
        <f t="shared" si="310"/>
        <v>0</v>
      </c>
      <c r="DN71" s="44">
        <f t="shared" si="310"/>
        <v>0</v>
      </c>
      <c r="DO71" s="44">
        <f t="shared" si="310"/>
        <v>0</v>
      </c>
      <c r="DP71" s="44">
        <f t="shared" si="310"/>
        <v>0</v>
      </c>
      <c r="DQ71" s="44">
        <f t="shared" si="310"/>
        <v>0</v>
      </c>
      <c r="DR71" s="44">
        <f t="shared" si="310"/>
        <v>0</v>
      </c>
      <c r="DS71" s="44">
        <f t="shared" si="310"/>
        <v>0</v>
      </c>
      <c r="DT71" s="44">
        <f t="shared" si="310"/>
        <v>0</v>
      </c>
      <c r="DU71" s="44">
        <f t="shared" si="310"/>
        <v>0</v>
      </c>
      <c r="DV71" s="44">
        <f t="shared" si="310"/>
        <v>0</v>
      </c>
      <c r="DW71" s="44">
        <f t="shared" si="310"/>
        <v>0</v>
      </c>
      <c r="DX71" s="44">
        <f t="shared" si="310"/>
        <v>0</v>
      </c>
      <c r="DY71" s="44">
        <f t="shared" si="310"/>
        <v>0</v>
      </c>
      <c r="DZ71" s="44">
        <f t="shared" si="310"/>
        <v>0</v>
      </c>
      <c r="EF71" s="642">
        <f>EF63</f>
        <v>3.05</v>
      </c>
      <c r="EG71" s="51">
        <v>0</v>
      </c>
      <c r="EH71" s="51"/>
      <c r="EI71" s="51"/>
      <c r="EJ71" s="51"/>
      <c r="EM71" t="s">
        <v>99</v>
      </c>
    </row>
    <row r="72" spans="1:143">
      <c r="A72" s="1"/>
      <c r="B72" t="str">
        <f t="shared" si="270"/>
        <v>Apparel - substitution</v>
      </c>
      <c r="C72" s="54" t="s">
        <v>110</v>
      </c>
      <c r="D72" s="44">
        <f t="shared" ref="D72:AH72" si="311">D18*($EF72-$EG72)/30*(D$2-$D$2)</f>
        <v>0</v>
      </c>
      <c r="E72" s="44">
        <f t="shared" si="311"/>
        <v>0</v>
      </c>
      <c r="F72" s="44">
        <f t="shared" si="311"/>
        <v>0</v>
      </c>
      <c r="G72" s="44">
        <f t="shared" si="311"/>
        <v>0</v>
      </c>
      <c r="H72" s="44">
        <f t="shared" si="311"/>
        <v>0</v>
      </c>
      <c r="I72" s="44">
        <f t="shared" si="311"/>
        <v>0</v>
      </c>
      <c r="J72" s="44">
        <f t="shared" si="311"/>
        <v>0</v>
      </c>
      <c r="K72" s="44">
        <f t="shared" si="311"/>
        <v>0</v>
      </c>
      <c r="L72" s="44">
        <f t="shared" si="311"/>
        <v>0</v>
      </c>
      <c r="M72" s="44">
        <f t="shared" si="311"/>
        <v>0</v>
      </c>
      <c r="N72" s="44">
        <f t="shared" si="311"/>
        <v>0</v>
      </c>
      <c r="O72" s="44">
        <f t="shared" si="311"/>
        <v>0</v>
      </c>
      <c r="P72" s="44">
        <f t="shared" si="311"/>
        <v>0</v>
      </c>
      <c r="Q72" s="44">
        <f t="shared" si="311"/>
        <v>0</v>
      </c>
      <c r="R72" s="44">
        <f t="shared" si="311"/>
        <v>0</v>
      </c>
      <c r="S72" s="44">
        <f t="shared" si="311"/>
        <v>0</v>
      </c>
      <c r="T72" s="44">
        <f t="shared" si="311"/>
        <v>0</v>
      </c>
      <c r="U72" s="44">
        <f t="shared" si="311"/>
        <v>0</v>
      </c>
      <c r="V72" s="44">
        <f t="shared" si="311"/>
        <v>0</v>
      </c>
      <c r="W72" s="44">
        <f t="shared" si="311"/>
        <v>0</v>
      </c>
      <c r="X72" s="44">
        <f t="shared" si="311"/>
        <v>0</v>
      </c>
      <c r="Y72" s="44">
        <f t="shared" si="311"/>
        <v>0</v>
      </c>
      <c r="Z72" s="44">
        <f t="shared" si="311"/>
        <v>0</v>
      </c>
      <c r="AA72" s="44">
        <f t="shared" si="311"/>
        <v>0</v>
      </c>
      <c r="AB72" s="44">
        <f t="shared" si="311"/>
        <v>0</v>
      </c>
      <c r="AC72" s="44">
        <f t="shared" si="311"/>
        <v>0</v>
      </c>
      <c r="AD72" s="44">
        <f t="shared" si="311"/>
        <v>0</v>
      </c>
      <c r="AE72" s="44">
        <f t="shared" si="311"/>
        <v>0</v>
      </c>
      <c r="AF72" s="44">
        <f t="shared" si="311"/>
        <v>0</v>
      </c>
      <c r="AG72" s="44">
        <f t="shared" si="311"/>
        <v>0</v>
      </c>
      <c r="AH72" s="44">
        <f t="shared" si="311"/>
        <v>0</v>
      </c>
      <c r="AI72" s="44"/>
      <c r="AJ72" s="44">
        <f t="shared" ref="AJ72:BN72" si="312">AJ18*($EF72-$EG72)/30*(AJ$2-$D$2)</f>
        <v>0</v>
      </c>
      <c r="AK72" s="44">
        <f t="shared" si="312"/>
        <v>0</v>
      </c>
      <c r="AL72" s="44">
        <f t="shared" si="312"/>
        <v>0</v>
      </c>
      <c r="AM72" s="44">
        <f t="shared" si="312"/>
        <v>0</v>
      </c>
      <c r="AN72" s="44">
        <f t="shared" si="312"/>
        <v>0</v>
      </c>
      <c r="AO72" s="44">
        <f t="shared" si="312"/>
        <v>0</v>
      </c>
      <c r="AP72" s="44">
        <f t="shared" si="312"/>
        <v>0</v>
      </c>
      <c r="AQ72" s="44">
        <f t="shared" si="312"/>
        <v>0</v>
      </c>
      <c r="AR72" s="44">
        <f t="shared" si="312"/>
        <v>0</v>
      </c>
      <c r="AS72" s="44">
        <f t="shared" si="312"/>
        <v>0</v>
      </c>
      <c r="AT72" s="44">
        <f t="shared" si="312"/>
        <v>0</v>
      </c>
      <c r="AU72" s="44">
        <f t="shared" si="312"/>
        <v>0</v>
      </c>
      <c r="AV72" s="44">
        <f t="shared" si="312"/>
        <v>0</v>
      </c>
      <c r="AW72" s="44">
        <f t="shared" si="312"/>
        <v>0</v>
      </c>
      <c r="AX72" s="44">
        <f t="shared" si="312"/>
        <v>0</v>
      </c>
      <c r="AY72" s="44">
        <f t="shared" si="312"/>
        <v>0</v>
      </c>
      <c r="AZ72" s="44">
        <f t="shared" si="312"/>
        <v>0</v>
      </c>
      <c r="BA72" s="44">
        <f t="shared" si="312"/>
        <v>0</v>
      </c>
      <c r="BB72" s="44">
        <f t="shared" si="312"/>
        <v>0</v>
      </c>
      <c r="BC72" s="44">
        <f t="shared" si="312"/>
        <v>0</v>
      </c>
      <c r="BD72" s="44">
        <f t="shared" si="312"/>
        <v>0</v>
      </c>
      <c r="BE72" s="44">
        <f t="shared" si="312"/>
        <v>0</v>
      </c>
      <c r="BF72" s="44">
        <f t="shared" si="312"/>
        <v>0</v>
      </c>
      <c r="BG72" s="44">
        <f t="shared" si="312"/>
        <v>0</v>
      </c>
      <c r="BH72" s="44">
        <f t="shared" si="312"/>
        <v>0</v>
      </c>
      <c r="BI72" s="44">
        <f t="shared" si="312"/>
        <v>0</v>
      </c>
      <c r="BJ72" s="44">
        <f t="shared" si="312"/>
        <v>0</v>
      </c>
      <c r="BK72" s="44">
        <f t="shared" si="312"/>
        <v>0</v>
      </c>
      <c r="BL72" s="44">
        <f t="shared" si="312"/>
        <v>0</v>
      </c>
      <c r="BM72" s="44">
        <f t="shared" si="312"/>
        <v>0</v>
      </c>
      <c r="BN72" s="44">
        <f t="shared" si="312"/>
        <v>0</v>
      </c>
      <c r="BO72" s="44"/>
      <c r="BP72" s="44">
        <f t="shared" ref="BP72:CT72" si="313">BP18*($EF72-$EG72)/30*(BP$2-$D$2)</f>
        <v>0</v>
      </c>
      <c r="BQ72" s="44">
        <f t="shared" si="313"/>
        <v>0</v>
      </c>
      <c r="BR72" s="44">
        <f t="shared" si="313"/>
        <v>0</v>
      </c>
      <c r="BS72" s="44">
        <f t="shared" si="313"/>
        <v>0</v>
      </c>
      <c r="BT72" s="44">
        <f t="shared" si="313"/>
        <v>0</v>
      </c>
      <c r="BU72" s="44">
        <f t="shared" si="313"/>
        <v>0</v>
      </c>
      <c r="BV72" s="44">
        <f t="shared" si="313"/>
        <v>0</v>
      </c>
      <c r="BW72" s="44">
        <f t="shared" si="313"/>
        <v>0</v>
      </c>
      <c r="BX72" s="44">
        <f t="shared" si="313"/>
        <v>0</v>
      </c>
      <c r="BY72" s="44">
        <f t="shared" si="313"/>
        <v>0</v>
      </c>
      <c r="BZ72" s="44">
        <f t="shared" si="313"/>
        <v>0</v>
      </c>
      <c r="CA72" s="44">
        <f t="shared" si="313"/>
        <v>0</v>
      </c>
      <c r="CB72" s="44">
        <f t="shared" si="313"/>
        <v>0</v>
      </c>
      <c r="CC72" s="44">
        <f t="shared" si="313"/>
        <v>0</v>
      </c>
      <c r="CD72" s="44">
        <f t="shared" si="313"/>
        <v>0</v>
      </c>
      <c r="CE72" s="44">
        <f t="shared" si="313"/>
        <v>0</v>
      </c>
      <c r="CF72" s="44">
        <f t="shared" si="313"/>
        <v>0</v>
      </c>
      <c r="CG72" s="44">
        <f t="shared" si="313"/>
        <v>0</v>
      </c>
      <c r="CH72" s="44">
        <f t="shared" si="313"/>
        <v>0</v>
      </c>
      <c r="CI72" s="44">
        <f t="shared" si="313"/>
        <v>0</v>
      </c>
      <c r="CJ72" s="44">
        <f t="shared" si="313"/>
        <v>0</v>
      </c>
      <c r="CK72" s="44">
        <f t="shared" si="313"/>
        <v>0</v>
      </c>
      <c r="CL72" s="44">
        <f t="shared" si="313"/>
        <v>0</v>
      </c>
      <c r="CM72" s="44">
        <f t="shared" si="313"/>
        <v>0</v>
      </c>
      <c r="CN72" s="44">
        <f t="shared" si="313"/>
        <v>0</v>
      </c>
      <c r="CO72" s="44">
        <f t="shared" si="313"/>
        <v>0</v>
      </c>
      <c r="CP72" s="44">
        <f t="shared" si="313"/>
        <v>0</v>
      </c>
      <c r="CQ72" s="44">
        <f t="shared" si="313"/>
        <v>0</v>
      </c>
      <c r="CR72" s="44">
        <f t="shared" si="313"/>
        <v>0</v>
      </c>
      <c r="CS72" s="44">
        <f t="shared" si="313"/>
        <v>0</v>
      </c>
      <c r="CT72" s="44">
        <f t="shared" si="313"/>
        <v>0</v>
      </c>
      <c r="CU72" s="44"/>
      <c r="CV72" s="44">
        <f t="shared" ref="CV72:DZ72" si="314">CV18*($EF72-$EG72)/30*(CV$2-$D$2)</f>
        <v>0</v>
      </c>
      <c r="CW72" s="44">
        <f t="shared" si="314"/>
        <v>0</v>
      </c>
      <c r="CX72" s="44">
        <f t="shared" si="314"/>
        <v>0</v>
      </c>
      <c r="CY72" s="44">
        <f t="shared" si="314"/>
        <v>0</v>
      </c>
      <c r="CZ72" s="44">
        <f t="shared" si="314"/>
        <v>0</v>
      </c>
      <c r="DA72" s="44">
        <f t="shared" si="314"/>
        <v>0</v>
      </c>
      <c r="DB72" s="44">
        <f t="shared" si="314"/>
        <v>0</v>
      </c>
      <c r="DC72" s="44">
        <f t="shared" si="314"/>
        <v>0</v>
      </c>
      <c r="DD72" s="44">
        <f t="shared" si="314"/>
        <v>0</v>
      </c>
      <c r="DE72" s="44">
        <f t="shared" si="314"/>
        <v>0</v>
      </c>
      <c r="DF72" s="44">
        <f t="shared" si="314"/>
        <v>0</v>
      </c>
      <c r="DG72" s="44">
        <f t="shared" si="314"/>
        <v>0</v>
      </c>
      <c r="DH72" s="44">
        <f t="shared" si="314"/>
        <v>0</v>
      </c>
      <c r="DI72" s="44">
        <f t="shared" si="314"/>
        <v>0</v>
      </c>
      <c r="DJ72" s="44">
        <f t="shared" si="314"/>
        <v>0</v>
      </c>
      <c r="DK72" s="44">
        <f t="shared" si="314"/>
        <v>0</v>
      </c>
      <c r="DL72" s="44">
        <f t="shared" si="314"/>
        <v>0</v>
      </c>
      <c r="DM72" s="44">
        <f t="shared" si="314"/>
        <v>0</v>
      </c>
      <c r="DN72" s="44">
        <f t="shared" si="314"/>
        <v>0</v>
      </c>
      <c r="DO72" s="44">
        <f t="shared" si="314"/>
        <v>0</v>
      </c>
      <c r="DP72" s="44">
        <f t="shared" si="314"/>
        <v>0</v>
      </c>
      <c r="DQ72" s="44">
        <f t="shared" si="314"/>
        <v>0</v>
      </c>
      <c r="DR72" s="44">
        <f t="shared" si="314"/>
        <v>0</v>
      </c>
      <c r="DS72" s="44">
        <f t="shared" si="314"/>
        <v>0</v>
      </c>
      <c r="DT72" s="44">
        <f t="shared" si="314"/>
        <v>0</v>
      </c>
      <c r="DU72" s="44">
        <f t="shared" si="314"/>
        <v>0</v>
      </c>
      <c r="DV72" s="44">
        <f t="shared" si="314"/>
        <v>0</v>
      </c>
      <c r="DW72" s="44">
        <f t="shared" si="314"/>
        <v>0</v>
      </c>
      <c r="DX72" s="44">
        <f t="shared" si="314"/>
        <v>0</v>
      </c>
      <c r="DY72" s="44">
        <f t="shared" si="314"/>
        <v>0</v>
      </c>
      <c r="DZ72" s="44">
        <f t="shared" si="314"/>
        <v>0</v>
      </c>
      <c r="EF72" s="610">
        <f>EF65</f>
        <v>5.2</v>
      </c>
      <c r="EG72" s="51">
        <v>0</v>
      </c>
      <c r="EH72" s="51"/>
      <c r="EI72" s="51"/>
      <c r="EJ72" s="51"/>
      <c r="EM72" t="s">
        <v>99</v>
      </c>
    </row>
    <row r="73" spans="1:143">
      <c r="A73" s="1"/>
      <c r="B73" t="str">
        <f t="shared" si="270"/>
        <v>Others Reduction</v>
      </c>
      <c r="C73" s="54" t="s">
        <v>110</v>
      </c>
      <c r="D73" s="44">
        <f t="shared" ref="D73:AH73" si="315">D19*($EF73-$EG73)/30*(D$2-$D$2)</f>
        <v>0</v>
      </c>
      <c r="E73" s="44">
        <f t="shared" si="315"/>
        <v>0</v>
      </c>
      <c r="F73" s="44">
        <f t="shared" si="315"/>
        <v>0</v>
      </c>
      <c r="G73" s="44">
        <f t="shared" si="315"/>
        <v>0</v>
      </c>
      <c r="H73" s="44">
        <f t="shared" si="315"/>
        <v>0</v>
      </c>
      <c r="I73" s="44">
        <f t="shared" si="315"/>
        <v>0</v>
      </c>
      <c r="J73" s="44">
        <f t="shared" si="315"/>
        <v>0</v>
      </c>
      <c r="K73" s="44">
        <f t="shared" si="315"/>
        <v>0</v>
      </c>
      <c r="L73" s="44">
        <f t="shared" si="315"/>
        <v>0</v>
      </c>
      <c r="M73" s="44">
        <f t="shared" si="315"/>
        <v>0</v>
      </c>
      <c r="N73" s="44">
        <f t="shared" si="315"/>
        <v>0</v>
      </c>
      <c r="O73" s="44">
        <f t="shared" si="315"/>
        <v>0</v>
      </c>
      <c r="P73" s="44">
        <f t="shared" si="315"/>
        <v>0</v>
      </c>
      <c r="Q73" s="44">
        <f t="shared" si="315"/>
        <v>0</v>
      </c>
      <c r="R73" s="44">
        <f t="shared" si="315"/>
        <v>0</v>
      </c>
      <c r="S73" s="44">
        <f t="shared" si="315"/>
        <v>0</v>
      </c>
      <c r="T73" s="44">
        <f t="shared" si="315"/>
        <v>0</v>
      </c>
      <c r="U73" s="44">
        <f t="shared" si="315"/>
        <v>0</v>
      </c>
      <c r="V73" s="44">
        <f t="shared" si="315"/>
        <v>0</v>
      </c>
      <c r="W73" s="44">
        <f t="shared" si="315"/>
        <v>0</v>
      </c>
      <c r="X73" s="44">
        <f t="shared" si="315"/>
        <v>0</v>
      </c>
      <c r="Y73" s="44">
        <f t="shared" si="315"/>
        <v>0</v>
      </c>
      <c r="Z73" s="44">
        <f t="shared" si="315"/>
        <v>0</v>
      </c>
      <c r="AA73" s="44">
        <f t="shared" si="315"/>
        <v>0</v>
      </c>
      <c r="AB73" s="44">
        <f t="shared" si="315"/>
        <v>0</v>
      </c>
      <c r="AC73" s="44">
        <f t="shared" si="315"/>
        <v>0</v>
      </c>
      <c r="AD73" s="44">
        <f t="shared" si="315"/>
        <v>0</v>
      </c>
      <c r="AE73" s="44">
        <f t="shared" si="315"/>
        <v>0</v>
      </c>
      <c r="AF73" s="44">
        <f t="shared" si="315"/>
        <v>0</v>
      </c>
      <c r="AG73" s="44">
        <f t="shared" si="315"/>
        <v>0</v>
      </c>
      <c r="AH73" s="44">
        <f t="shared" si="315"/>
        <v>0</v>
      </c>
      <c r="AI73" s="44"/>
      <c r="AJ73" s="44">
        <f t="shared" ref="AJ73:BN73" si="316">AJ19*($EF73-$EG73)/30*(AJ$2-$D$2)</f>
        <v>0</v>
      </c>
      <c r="AK73" s="44">
        <f t="shared" si="316"/>
        <v>0</v>
      </c>
      <c r="AL73" s="44">
        <f t="shared" si="316"/>
        <v>0</v>
      </c>
      <c r="AM73" s="44">
        <f t="shared" si="316"/>
        <v>0</v>
      </c>
      <c r="AN73" s="44">
        <f t="shared" si="316"/>
        <v>0</v>
      </c>
      <c r="AO73" s="44">
        <f t="shared" si="316"/>
        <v>0</v>
      </c>
      <c r="AP73" s="44">
        <f t="shared" si="316"/>
        <v>0</v>
      </c>
      <c r="AQ73" s="44">
        <f t="shared" si="316"/>
        <v>0</v>
      </c>
      <c r="AR73" s="44">
        <f t="shared" si="316"/>
        <v>0</v>
      </c>
      <c r="AS73" s="44">
        <f t="shared" si="316"/>
        <v>0</v>
      </c>
      <c r="AT73" s="44">
        <f t="shared" si="316"/>
        <v>0</v>
      </c>
      <c r="AU73" s="44">
        <f t="shared" si="316"/>
        <v>0</v>
      </c>
      <c r="AV73" s="44">
        <f t="shared" si="316"/>
        <v>0</v>
      </c>
      <c r="AW73" s="44">
        <f t="shared" si="316"/>
        <v>0</v>
      </c>
      <c r="AX73" s="44">
        <f t="shared" si="316"/>
        <v>0</v>
      </c>
      <c r="AY73" s="44">
        <f t="shared" si="316"/>
        <v>0</v>
      </c>
      <c r="AZ73" s="44">
        <f t="shared" si="316"/>
        <v>0</v>
      </c>
      <c r="BA73" s="44">
        <f t="shared" si="316"/>
        <v>0</v>
      </c>
      <c r="BB73" s="44">
        <f t="shared" si="316"/>
        <v>0</v>
      </c>
      <c r="BC73" s="44">
        <f t="shared" si="316"/>
        <v>0</v>
      </c>
      <c r="BD73" s="44">
        <f t="shared" si="316"/>
        <v>0</v>
      </c>
      <c r="BE73" s="44">
        <f t="shared" si="316"/>
        <v>0</v>
      </c>
      <c r="BF73" s="44">
        <f t="shared" si="316"/>
        <v>0</v>
      </c>
      <c r="BG73" s="44">
        <f t="shared" si="316"/>
        <v>0</v>
      </c>
      <c r="BH73" s="44">
        <f t="shared" si="316"/>
        <v>0</v>
      </c>
      <c r="BI73" s="44">
        <f t="shared" si="316"/>
        <v>0</v>
      </c>
      <c r="BJ73" s="44">
        <f t="shared" si="316"/>
        <v>0</v>
      </c>
      <c r="BK73" s="44">
        <f t="shared" si="316"/>
        <v>0</v>
      </c>
      <c r="BL73" s="44">
        <f t="shared" si="316"/>
        <v>0</v>
      </c>
      <c r="BM73" s="44">
        <f t="shared" si="316"/>
        <v>0</v>
      </c>
      <c r="BN73" s="44">
        <f t="shared" si="316"/>
        <v>0</v>
      </c>
      <c r="BO73" s="44"/>
      <c r="BP73" s="44">
        <f t="shared" ref="BP73:CT73" si="317">BP19*($EF73-$EG73)/30*(BP$2-$D$2)</f>
        <v>0</v>
      </c>
      <c r="BQ73" s="44">
        <f t="shared" si="317"/>
        <v>0</v>
      </c>
      <c r="BR73" s="44">
        <f t="shared" si="317"/>
        <v>0</v>
      </c>
      <c r="BS73" s="44">
        <f t="shared" si="317"/>
        <v>0</v>
      </c>
      <c r="BT73" s="44">
        <f t="shared" si="317"/>
        <v>0</v>
      </c>
      <c r="BU73" s="44">
        <f t="shared" si="317"/>
        <v>0</v>
      </c>
      <c r="BV73" s="44">
        <f t="shared" si="317"/>
        <v>0</v>
      </c>
      <c r="BW73" s="44">
        <f t="shared" si="317"/>
        <v>0</v>
      </c>
      <c r="BX73" s="44">
        <f t="shared" si="317"/>
        <v>0</v>
      </c>
      <c r="BY73" s="44">
        <f t="shared" si="317"/>
        <v>0</v>
      </c>
      <c r="BZ73" s="44">
        <f t="shared" si="317"/>
        <v>0</v>
      </c>
      <c r="CA73" s="44">
        <f t="shared" si="317"/>
        <v>0</v>
      </c>
      <c r="CB73" s="44">
        <f t="shared" si="317"/>
        <v>0</v>
      </c>
      <c r="CC73" s="44">
        <f t="shared" si="317"/>
        <v>0</v>
      </c>
      <c r="CD73" s="44">
        <f t="shared" si="317"/>
        <v>0</v>
      </c>
      <c r="CE73" s="44">
        <f t="shared" si="317"/>
        <v>0</v>
      </c>
      <c r="CF73" s="44">
        <f t="shared" si="317"/>
        <v>0</v>
      </c>
      <c r="CG73" s="44">
        <f t="shared" si="317"/>
        <v>0</v>
      </c>
      <c r="CH73" s="44">
        <f t="shared" si="317"/>
        <v>0</v>
      </c>
      <c r="CI73" s="44">
        <f t="shared" si="317"/>
        <v>0</v>
      </c>
      <c r="CJ73" s="44">
        <f t="shared" si="317"/>
        <v>0</v>
      </c>
      <c r="CK73" s="44">
        <f t="shared" si="317"/>
        <v>0</v>
      </c>
      <c r="CL73" s="44">
        <f t="shared" si="317"/>
        <v>0</v>
      </c>
      <c r="CM73" s="44">
        <f t="shared" si="317"/>
        <v>0</v>
      </c>
      <c r="CN73" s="44">
        <f t="shared" si="317"/>
        <v>0</v>
      </c>
      <c r="CO73" s="44">
        <f t="shared" si="317"/>
        <v>0</v>
      </c>
      <c r="CP73" s="44">
        <f t="shared" si="317"/>
        <v>0</v>
      </c>
      <c r="CQ73" s="44">
        <f t="shared" si="317"/>
        <v>0</v>
      </c>
      <c r="CR73" s="44">
        <f t="shared" si="317"/>
        <v>0</v>
      </c>
      <c r="CS73" s="44">
        <f t="shared" si="317"/>
        <v>0</v>
      </c>
      <c r="CT73" s="44">
        <f t="shared" si="317"/>
        <v>0</v>
      </c>
      <c r="CU73" s="44"/>
      <c r="CV73" s="44">
        <f t="shared" ref="CV73:DZ73" si="318">CV19*($EF73-$EG73)/30*(CV$2-$D$2)</f>
        <v>0</v>
      </c>
      <c r="CW73" s="44">
        <f t="shared" si="318"/>
        <v>0</v>
      </c>
      <c r="CX73" s="44">
        <f t="shared" si="318"/>
        <v>0</v>
      </c>
      <c r="CY73" s="44">
        <f t="shared" si="318"/>
        <v>0</v>
      </c>
      <c r="CZ73" s="44">
        <f t="shared" si="318"/>
        <v>0</v>
      </c>
      <c r="DA73" s="44">
        <f t="shared" si="318"/>
        <v>0</v>
      </c>
      <c r="DB73" s="44">
        <f t="shared" si="318"/>
        <v>0</v>
      </c>
      <c r="DC73" s="44">
        <f t="shared" si="318"/>
        <v>0</v>
      </c>
      <c r="DD73" s="44">
        <f t="shared" si="318"/>
        <v>0</v>
      </c>
      <c r="DE73" s="44">
        <f t="shared" si="318"/>
        <v>0</v>
      </c>
      <c r="DF73" s="44">
        <f t="shared" si="318"/>
        <v>0</v>
      </c>
      <c r="DG73" s="44">
        <f t="shared" si="318"/>
        <v>0</v>
      </c>
      <c r="DH73" s="44">
        <f t="shared" si="318"/>
        <v>0</v>
      </c>
      <c r="DI73" s="44">
        <f t="shared" si="318"/>
        <v>0</v>
      </c>
      <c r="DJ73" s="44">
        <f t="shared" si="318"/>
        <v>0</v>
      </c>
      <c r="DK73" s="44">
        <f t="shared" si="318"/>
        <v>0</v>
      </c>
      <c r="DL73" s="44">
        <f t="shared" si="318"/>
        <v>0</v>
      </c>
      <c r="DM73" s="44">
        <f t="shared" si="318"/>
        <v>0</v>
      </c>
      <c r="DN73" s="44">
        <f t="shared" si="318"/>
        <v>0</v>
      </c>
      <c r="DO73" s="44">
        <f t="shared" si="318"/>
        <v>0</v>
      </c>
      <c r="DP73" s="44">
        <f t="shared" si="318"/>
        <v>0</v>
      </c>
      <c r="DQ73" s="44">
        <f t="shared" si="318"/>
        <v>0</v>
      </c>
      <c r="DR73" s="44">
        <f t="shared" si="318"/>
        <v>0</v>
      </c>
      <c r="DS73" s="44">
        <f t="shared" si="318"/>
        <v>0</v>
      </c>
      <c r="DT73" s="44">
        <f t="shared" si="318"/>
        <v>0</v>
      </c>
      <c r="DU73" s="44">
        <f t="shared" si="318"/>
        <v>0</v>
      </c>
      <c r="DV73" s="44">
        <f t="shared" si="318"/>
        <v>0</v>
      </c>
      <c r="DW73" s="44">
        <f t="shared" si="318"/>
        <v>0</v>
      </c>
      <c r="DX73" s="44">
        <f t="shared" si="318"/>
        <v>0</v>
      </c>
      <c r="DY73" s="44">
        <f t="shared" si="318"/>
        <v>0</v>
      </c>
      <c r="DZ73" s="44">
        <f t="shared" si="318"/>
        <v>0</v>
      </c>
      <c r="EF73" s="51">
        <v>0</v>
      </c>
      <c r="EG73" s="51">
        <v>0</v>
      </c>
      <c r="EH73" s="51"/>
      <c r="EI73" s="51"/>
      <c r="EJ73" s="51"/>
      <c r="EM73" t="s">
        <v>99</v>
      </c>
    </row>
    <row r="74" spans="1:143" ht="16" thickBot="1">
      <c r="A74" s="1"/>
      <c r="B74" t="str">
        <f t="shared" si="270"/>
        <v>Others Substitution</v>
      </c>
      <c r="C74" s="54" t="s">
        <v>110</v>
      </c>
      <c r="D74" s="44">
        <f t="shared" ref="D74:AH74" si="319">D20*($EF74-$EG74)/30*(D$2-$D$2)</f>
        <v>0</v>
      </c>
      <c r="E74" s="44">
        <f t="shared" si="319"/>
        <v>0</v>
      </c>
      <c r="F74" s="44">
        <f t="shared" si="319"/>
        <v>0</v>
      </c>
      <c r="G74" s="44">
        <f t="shared" si="319"/>
        <v>0</v>
      </c>
      <c r="H74" s="44">
        <f t="shared" si="319"/>
        <v>0</v>
      </c>
      <c r="I74" s="44">
        <f t="shared" si="319"/>
        <v>0</v>
      </c>
      <c r="J74" s="44">
        <f t="shared" si="319"/>
        <v>0</v>
      </c>
      <c r="K74" s="44">
        <f t="shared" si="319"/>
        <v>0</v>
      </c>
      <c r="L74" s="44">
        <f t="shared" si="319"/>
        <v>0</v>
      </c>
      <c r="M74" s="44">
        <f t="shared" si="319"/>
        <v>0</v>
      </c>
      <c r="N74" s="44">
        <f t="shared" si="319"/>
        <v>0</v>
      </c>
      <c r="O74" s="44">
        <f t="shared" si="319"/>
        <v>0</v>
      </c>
      <c r="P74" s="44">
        <f t="shared" si="319"/>
        <v>0</v>
      </c>
      <c r="Q74" s="44">
        <f t="shared" si="319"/>
        <v>0</v>
      </c>
      <c r="R74" s="44">
        <f t="shared" si="319"/>
        <v>0</v>
      </c>
      <c r="S74" s="44">
        <f t="shared" si="319"/>
        <v>0</v>
      </c>
      <c r="T74" s="44">
        <f t="shared" si="319"/>
        <v>0</v>
      </c>
      <c r="U74" s="44">
        <f t="shared" si="319"/>
        <v>0</v>
      </c>
      <c r="V74" s="44">
        <f t="shared" si="319"/>
        <v>0</v>
      </c>
      <c r="W74" s="44">
        <f t="shared" si="319"/>
        <v>0</v>
      </c>
      <c r="X74" s="44">
        <f t="shared" si="319"/>
        <v>0</v>
      </c>
      <c r="Y74" s="44">
        <f t="shared" si="319"/>
        <v>0</v>
      </c>
      <c r="Z74" s="44">
        <f t="shared" si="319"/>
        <v>0</v>
      </c>
      <c r="AA74" s="44">
        <f t="shared" si="319"/>
        <v>0</v>
      </c>
      <c r="AB74" s="44">
        <f t="shared" si="319"/>
        <v>0</v>
      </c>
      <c r="AC74" s="44">
        <f t="shared" si="319"/>
        <v>0</v>
      </c>
      <c r="AD74" s="44">
        <f t="shared" si="319"/>
        <v>0</v>
      </c>
      <c r="AE74" s="44">
        <f t="shared" si="319"/>
        <v>0</v>
      </c>
      <c r="AF74" s="44">
        <f t="shared" si="319"/>
        <v>0</v>
      </c>
      <c r="AG74" s="44">
        <f t="shared" si="319"/>
        <v>0</v>
      </c>
      <c r="AH74" s="44">
        <f t="shared" si="319"/>
        <v>0</v>
      </c>
      <c r="AI74" s="44"/>
      <c r="AJ74" s="44">
        <f t="shared" ref="AJ74:BN74" si="320">AJ20*($EF74-$EG74)/30*(AJ$2-$D$2)</f>
        <v>0</v>
      </c>
      <c r="AK74" s="44">
        <f t="shared" si="320"/>
        <v>0</v>
      </c>
      <c r="AL74" s="44">
        <f t="shared" si="320"/>
        <v>0</v>
      </c>
      <c r="AM74" s="44">
        <f t="shared" si="320"/>
        <v>0</v>
      </c>
      <c r="AN74" s="44">
        <f t="shared" si="320"/>
        <v>0</v>
      </c>
      <c r="AO74" s="44">
        <f t="shared" si="320"/>
        <v>0</v>
      </c>
      <c r="AP74" s="44">
        <f t="shared" si="320"/>
        <v>0</v>
      </c>
      <c r="AQ74" s="44">
        <f t="shared" si="320"/>
        <v>0</v>
      </c>
      <c r="AR74" s="44">
        <f t="shared" si="320"/>
        <v>0</v>
      </c>
      <c r="AS74" s="44">
        <f t="shared" si="320"/>
        <v>0</v>
      </c>
      <c r="AT74" s="44">
        <f t="shared" si="320"/>
        <v>0</v>
      </c>
      <c r="AU74" s="44">
        <f t="shared" si="320"/>
        <v>0</v>
      </c>
      <c r="AV74" s="44">
        <f t="shared" si="320"/>
        <v>0</v>
      </c>
      <c r="AW74" s="44">
        <f t="shared" si="320"/>
        <v>0</v>
      </c>
      <c r="AX74" s="44">
        <f t="shared" si="320"/>
        <v>0</v>
      </c>
      <c r="AY74" s="44">
        <f t="shared" si="320"/>
        <v>0</v>
      </c>
      <c r="AZ74" s="44">
        <f t="shared" si="320"/>
        <v>0</v>
      </c>
      <c r="BA74" s="44">
        <f t="shared" si="320"/>
        <v>0</v>
      </c>
      <c r="BB74" s="44">
        <f t="shared" si="320"/>
        <v>0</v>
      </c>
      <c r="BC74" s="44">
        <f t="shared" si="320"/>
        <v>0</v>
      </c>
      <c r="BD74" s="44">
        <f t="shared" si="320"/>
        <v>0</v>
      </c>
      <c r="BE74" s="44">
        <f t="shared" si="320"/>
        <v>0</v>
      </c>
      <c r="BF74" s="44">
        <f t="shared" si="320"/>
        <v>0</v>
      </c>
      <c r="BG74" s="44">
        <f t="shared" si="320"/>
        <v>0</v>
      </c>
      <c r="BH74" s="44">
        <f t="shared" si="320"/>
        <v>0</v>
      </c>
      <c r="BI74" s="44">
        <f t="shared" si="320"/>
        <v>0</v>
      </c>
      <c r="BJ74" s="44">
        <f t="shared" si="320"/>
        <v>0</v>
      </c>
      <c r="BK74" s="44">
        <f t="shared" si="320"/>
        <v>0</v>
      </c>
      <c r="BL74" s="44">
        <f t="shared" si="320"/>
        <v>0</v>
      </c>
      <c r="BM74" s="44">
        <f t="shared" si="320"/>
        <v>0</v>
      </c>
      <c r="BN74" s="44">
        <f t="shared" si="320"/>
        <v>0</v>
      </c>
      <c r="BO74" s="44"/>
      <c r="BP74" s="44">
        <f t="shared" ref="BP74:CT74" si="321">BP20*($EF74-$EG74)/30*(BP$2-$D$2)</f>
        <v>0</v>
      </c>
      <c r="BQ74" s="44">
        <f t="shared" si="321"/>
        <v>0</v>
      </c>
      <c r="BR74" s="44">
        <f t="shared" si="321"/>
        <v>0</v>
      </c>
      <c r="BS74" s="44">
        <f t="shared" si="321"/>
        <v>0</v>
      </c>
      <c r="BT74" s="44">
        <f t="shared" si="321"/>
        <v>0</v>
      </c>
      <c r="BU74" s="44">
        <f t="shared" si="321"/>
        <v>0</v>
      </c>
      <c r="BV74" s="44">
        <f t="shared" si="321"/>
        <v>0</v>
      </c>
      <c r="BW74" s="44">
        <f t="shared" si="321"/>
        <v>0</v>
      </c>
      <c r="BX74" s="44">
        <f t="shared" si="321"/>
        <v>0</v>
      </c>
      <c r="BY74" s="44">
        <f t="shared" si="321"/>
        <v>0</v>
      </c>
      <c r="BZ74" s="44">
        <f t="shared" si="321"/>
        <v>0</v>
      </c>
      <c r="CA74" s="44">
        <f t="shared" si="321"/>
        <v>0</v>
      </c>
      <c r="CB74" s="44">
        <f t="shared" si="321"/>
        <v>0</v>
      </c>
      <c r="CC74" s="44">
        <f t="shared" si="321"/>
        <v>0</v>
      </c>
      <c r="CD74" s="44">
        <f t="shared" si="321"/>
        <v>0</v>
      </c>
      <c r="CE74" s="44">
        <f t="shared" si="321"/>
        <v>0</v>
      </c>
      <c r="CF74" s="44">
        <f t="shared" si="321"/>
        <v>0</v>
      </c>
      <c r="CG74" s="44">
        <f t="shared" si="321"/>
        <v>0</v>
      </c>
      <c r="CH74" s="44">
        <f t="shared" si="321"/>
        <v>0</v>
      </c>
      <c r="CI74" s="44">
        <f t="shared" si="321"/>
        <v>0</v>
      </c>
      <c r="CJ74" s="44">
        <f t="shared" si="321"/>
        <v>0</v>
      </c>
      <c r="CK74" s="44">
        <f t="shared" si="321"/>
        <v>0</v>
      </c>
      <c r="CL74" s="44">
        <f t="shared" si="321"/>
        <v>0</v>
      </c>
      <c r="CM74" s="44">
        <f t="shared" si="321"/>
        <v>0</v>
      </c>
      <c r="CN74" s="44">
        <f t="shared" si="321"/>
        <v>0</v>
      </c>
      <c r="CO74" s="44">
        <f t="shared" si="321"/>
        <v>0</v>
      </c>
      <c r="CP74" s="44">
        <f t="shared" si="321"/>
        <v>0</v>
      </c>
      <c r="CQ74" s="44">
        <f t="shared" si="321"/>
        <v>0</v>
      </c>
      <c r="CR74" s="44">
        <f t="shared" si="321"/>
        <v>0</v>
      </c>
      <c r="CS74" s="44">
        <f t="shared" si="321"/>
        <v>0</v>
      </c>
      <c r="CT74" s="44">
        <f t="shared" si="321"/>
        <v>0</v>
      </c>
      <c r="CU74" s="44"/>
      <c r="CV74" s="44">
        <f t="shared" ref="CV74:DZ74" si="322">CV20*($EF74-$EG74)/30*(CV$2-$D$2)</f>
        <v>0</v>
      </c>
      <c r="CW74" s="44">
        <f t="shared" si="322"/>
        <v>0</v>
      </c>
      <c r="CX74" s="44">
        <f t="shared" si="322"/>
        <v>0</v>
      </c>
      <c r="CY74" s="44">
        <f t="shared" si="322"/>
        <v>0</v>
      </c>
      <c r="CZ74" s="44">
        <f t="shared" si="322"/>
        <v>0</v>
      </c>
      <c r="DA74" s="44">
        <f t="shared" si="322"/>
        <v>0</v>
      </c>
      <c r="DB74" s="44">
        <f t="shared" si="322"/>
        <v>0</v>
      </c>
      <c r="DC74" s="44">
        <f t="shared" si="322"/>
        <v>0</v>
      </c>
      <c r="DD74" s="44">
        <f t="shared" si="322"/>
        <v>0</v>
      </c>
      <c r="DE74" s="44">
        <f t="shared" si="322"/>
        <v>0</v>
      </c>
      <c r="DF74" s="44">
        <f t="shared" si="322"/>
        <v>0</v>
      </c>
      <c r="DG74" s="44">
        <f t="shared" si="322"/>
        <v>0</v>
      </c>
      <c r="DH74" s="44">
        <f t="shared" si="322"/>
        <v>0</v>
      </c>
      <c r="DI74" s="44">
        <f t="shared" si="322"/>
        <v>0</v>
      </c>
      <c r="DJ74" s="44">
        <f t="shared" si="322"/>
        <v>0</v>
      </c>
      <c r="DK74" s="44">
        <f t="shared" si="322"/>
        <v>0</v>
      </c>
      <c r="DL74" s="44">
        <f t="shared" si="322"/>
        <v>0</v>
      </c>
      <c r="DM74" s="44">
        <f t="shared" si="322"/>
        <v>0</v>
      </c>
      <c r="DN74" s="44">
        <f t="shared" si="322"/>
        <v>0</v>
      </c>
      <c r="DO74" s="44">
        <f t="shared" si="322"/>
        <v>0</v>
      </c>
      <c r="DP74" s="44">
        <f t="shared" si="322"/>
        <v>0</v>
      </c>
      <c r="DQ74" s="44">
        <f t="shared" si="322"/>
        <v>0</v>
      </c>
      <c r="DR74" s="44">
        <f t="shared" si="322"/>
        <v>0</v>
      </c>
      <c r="DS74" s="44">
        <f t="shared" si="322"/>
        <v>0</v>
      </c>
      <c r="DT74" s="44">
        <f t="shared" si="322"/>
        <v>0</v>
      </c>
      <c r="DU74" s="44">
        <f t="shared" si="322"/>
        <v>0</v>
      </c>
      <c r="DV74" s="44">
        <f t="shared" si="322"/>
        <v>0</v>
      </c>
      <c r="DW74" s="44">
        <f t="shared" si="322"/>
        <v>0</v>
      </c>
      <c r="DX74" s="44">
        <f t="shared" si="322"/>
        <v>0</v>
      </c>
      <c r="DY74" s="44">
        <f t="shared" si="322"/>
        <v>0</v>
      </c>
      <c r="DZ74" s="44">
        <f t="shared" si="322"/>
        <v>0</v>
      </c>
      <c r="EF74" s="610">
        <f>AVERAGE(EF64:EF65)</f>
        <v>3.85</v>
      </c>
      <c r="EG74" s="51">
        <v>0</v>
      </c>
      <c r="EH74" s="51"/>
      <c r="EI74" s="51"/>
      <c r="EJ74" s="51"/>
      <c r="EM74" t="s">
        <v>99</v>
      </c>
    </row>
    <row r="75" spans="1:143" ht="16" thickBot="1">
      <c r="A75" s="185" t="s">
        <v>111</v>
      </c>
      <c r="B75" s="488"/>
      <c r="C75" s="639" t="s">
        <v>110</v>
      </c>
      <c r="D75" s="640">
        <f t="shared" ref="D75:AH75" si="323">SUM(D61:D74)</f>
        <v>0</v>
      </c>
      <c r="E75" s="640">
        <f t="shared" si="323"/>
        <v>0</v>
      </c>
      <c r="F75" s="640">
        <f t="shared" si="323"/>
        <v>0</v>
      </c>
      <c r="G75" s="640">
        <f t="shared" si="323"/>
        <v>0</v>
      </c>
      <c r="H75" s="640">
        <f t="shared" si="323"/>
        <v>0</v>
      </c>
      <c r="I75" s="640">
        <f t="shared" si="323"/>
        <v>0</v>
      </c>
      <c r="J75" s="640">
        <f t="shared" si="323"/>
        <v>0</v>
      </c>
      <c r="K75" s="640">
        <f t="shared" si="323"/>
        <v>0</v>
      </c>
      <c r="L75" s="640">
        <f t="shared" si="323"/>
        <v>0</v>
      </c>
      <c r="M75" s="640">
        <f t="shared" si="323"/>
        <v>0</v>
      </c>
      <c r="N75" s="640">
        <f t="shared" si="323"/>
        <v>0</v>
      </c>
      <c r="O75" s="640">
        <f t="shared" si="323"/>
        <v>0</v>
      </c>
      <c r="P75" s="640">
        <f t="shared" si="323"/>
        <v>0</v>
      </c>
      <c r="Q75" s="640">
        <f t="shared" si="323"/>
        <v>0</v>
      </c>
      <c r="R75" s="640">
        <f t="shared" si="323"/>
        <v>0</v>
      </c>
      <c r="S75" s="640">
        <f t="shared" si="323"/>
        <v>0</v>
      </c>
      <c r="T75" s="640">
        <f t="shared" si="323"/>
        <v>0</v>
      </c>
      <c r="U75" s="640">
        <f t="shared" si="323"/>
        <v>0</v>
      </c>
      <c r="V75" s="640">
        <f t="shared" si="323"/>
        <v>0</v>
      </c>
      <c r="W75" s="640">
        <f t="shared" si="323"/>
        <v>0</v>
      </c>
      <c r="X75" s="640">
        <f t="shared" si="323"/>
        <v>0</v>
      </c>
      <c r="Y75" s="640">
        <f t="shared" si="323"/>
        <v>0</v>
      </c>
      <c r="Z75" s="640">
        <f t="shared" si="323"/>
        <v>0</v>
      </c>
      <c r="AA75" s="640">
        <f t="shared" si="323"/>
        <v>0</v>
      </c>
      <c r="AB75" s="640">
        <f t="shared" si="323"/>
        <v>0</v>
      </c>
      <c r="AC75" s="640">
        <f t="shared" si="323"/>
        <v>0</v>
      </c>
      <c r="AD75" s="640">
        <f t="shared" si="323"/>
        <v>0</v>
      </c>
      <c r="AE75" s="640">
        <f t="shared" si="323"/>
        <v>0</v>
      </c>
      <c r="AF75" s="640">
        <f t="shared" si="323"/>
        <v>0</v>
      </c>
      <c r="AG75" s="640">
        <f t="shared" si="323"/>
        <v>0</v>
      </c>
      <c r="AH75" s="640">
        <f t="shared" si="323"/>
        <v>0</v>
      </c>
      <c r="AI75" s="640"/>
      <c r="AJ75" s="640">
        <f t="shared" ref="AJ75:BN75" si="324">SUM(AJ61:AJ74)</f>
        <v>0</v>
      </c>
      <c r="AK75" s="640">
        <f t="shared" si="324"/>
        <v>0</v>
      </c>
      <c r="AL75" s="640">
        <f t="shared" si="324"/>
        <v>0</v>
      </c>
      <c r="AM75" s="640">
        <f t="shared" si="324"/>
        <v>0</v>
      </c>
      <c r="AN75" s="640">
        <f t="shared" si="324"/>
        <v>0</v>
      </c>
      <c r="AO75" s="640">
        <f t="shared" si="324"/>
        <v>0</v>
      </c>
      <c r="AP75" s="640">
        <f t="shared" si="324"/>
        <v>0</v>
      </c>
      <c r="AQ75" s="640">
        <f t="shared" si="324"/>
        <v>0</v>
      </c>
      <c r="AR75" s="640">
        <f t="shared" si="324"/>
        <v>0</v>
      </c>
      <c r="AS75" s="640">
        <f t="shared" si="324"/>
        <v>0</v>
      </c>
      <c r="AT75" s="640">
        <f t="shared" si="324"/>
        <v>0</v>
      </c>
      <c r="AU75" s="640">
        <f t="shared" si="324"/>
        <v>0</v>
      </c>
      <c r="AV75" s="640">
        <f t="shared" si="324"/>
        <v>0</v>
      </c>
      <c r="AW75" s="640">
        <f t="shared" si="324"/>
        <v>0</v>
      </c>
      <c r="AX75" s="640">
        <f t="shared" si="324"/>
        <v>0</v>
      </c>
      <c r="AY75" s="640">
        <f t="shared" si="324"/>
        <v>0</v>
      </c>
      <c r="AZ75" s="640">
        <f t="shared" si="324"/>
        <v>0</v>
      </c>
      <c r="BA75" s="640">
        <f t="shared" si="324"/>
        <v>0</v>
      </c>
      <c r="BB75" s="640">
        <f t="shared" si="324"/>
        <v>0</v>
      </c>
      <c r="BC75" s="640">
        <f t="shared" si="324"/>
        <v>0</v>
      </c>
      <c r="BD75" s="640">
        <f t="shared" si="324"/>
        <v>0</v>
      </c>
      <c r="BE75" s="640">
        <f t="shared" si="324"/>
        <v>0</v>
      </c>
      <c r="BF75" s="640">
        <f t="shared" si="324"/>
        <v>0</v>
      </c>
      <c r="BG75" s="640">
        <f t="shared" si="324"/>
        <v>0</v>
      </c>
      <c r="BH75" s="640">
        <f t="shared" si="324"/>
        <v>0</v>
      </c>
      <c r="BI75" s="640">
        <f t="shared" si="324"/>
        <v>0</v>
      </c>
      <c r="BJ75" s="640">
        <f t="shared" si="324"/>
        <v>0</v>
      </c>
      <c r="BK75" s="640">
        <f t="shared" si="324"/>
        <v>0</v>
      </c>
      <c r="BL75" s="640">
        <f t="shared" si="324"/>
        <v>0</v>
      </c>
      <c r="BM75" s="640">
        <f t="shared" si="324"/>
        <v>0</v>
      </c>
      <c r="BN75" s="640">
        <f t="shared" si="324"/>
        <v>0</v>
      </c>
      <c r="BO75" s="640"/>
      <c r="BP75" s="640">
        <f t="shared" ref="BP75:CT75" si="325">SUM(BP61:BP74)</f>
        <v>0</v>
      </c>
      <c r="BQ75" s="640">
        <f t="shared" si="325"/>
        <v>0</v>
      </c>
      <c r="BR75" s="640">
        <f t="shared" si="325"/>
        <v>0</v>
      </c>
      <c r="BS75" s="640">
        <f t="shared" si="325"/>
        <v>0</v>
      </c>
      <c r="BT75" s="640">
        <f t="shared" si="325"/>
        <v>0</v>
      </c>
      <c r="BU75" s="640">
        <f t="shared" si="325"/>
        <v>0</v>
      </c>
      <c r="BV75" s="640">
        <f t="shared" si="325"/>
        <v>0</v>
      </c>
      <c r="BW75" s="640">
        <f t="shared" si="325"/>
        <v>0</v>
      </c>
      <c r="BX75" s="640">
        <f t="shared" si="325"/>
        <v>0</v>
      </c>
      <c r="BY75" s="640">
        <f t="shared" si="325"/>
        <v>0</v>
      </c>
      <c r="BZ75" s="640">
        <f t="shared" si="325"/>
        <v>0</v>
      </c>
      <c r="CA75" s="640">
        <f t="shared" si="325"/>
        <v>0</v>
      </c>
      <c r="CB75" s="640">
        <f t="shared" si="325"/>
        <v>0</v>
      </c>
      <c r="CC75" s="640">
        <f t="shared" si="325"/>
        <v>0</v>
      </c>
      <c r="CD75" s="640">
        <f t="shared" si="325"/>
        <v>0</v>
      </c>
      <c r="CE75" s="640">
        <f t="shared" si="325"/>
        <v>0</v>
      </c>
      <c r="CF75" s="640">
        <f t="shared" si="325"/>
        <v>0</v>
      </c>
      <c r="CG75" s="640">
        <f t="shared" si="325"/>
        <v>0</v>
      </c>
      <c r="CH75" s="640">
        <f t="shared" si="325"/>
        <v>0</v>
      </c>
      <c r="CI75" s="640">
        <f t="shared" si="325"/>
        <v>0</v>
      </c>
      <c r="CJ75" s="640">
        <f t="shared" si="325"/>
        <v>0</v>
      </c>
      <c r="CK75" s="640">
        <f t="shared" si="325"/>
        <v>0</v>
      </c>
      <c r="CL75" s="640">
        <f t="shared" si="325"/>
        <v>0</v>
      </c>
      <c r="CM75" s="640">
        <f t="shared" si="325"/>
        <v>0</v>
      </c>
      <c r="CN75" s="640">
        <f t="shared" si="325"/>
        <v>0</v>
      </c>
      <c r="CO75" s="640">
        <f t="shared" si="325"/>
        <v>0</v>
      </c>
      <c r="CP75" s="640">
        <f t="shared" si="325"/>
        <v>0</v>
      </c>
      <c r="CQ75" s="640">
        <f t="shared" si="325"/>
        <v>0</v>
      </c>
      <c r="CR75" s="640">
        <f t="shared" si="325"/>
        <v>0</v>
      </c>
      <c r="CS75" s="640">
        <f t="shared" si="325"/>
        <v>0</v>
      </c>
      <c r="CT75" s="640">
        <f t="shared" si="325"/>
        <v>0</v>
      </c>
      <c r="CU75" s="640"/>
      <c r="CV75" s="640">
        <f t="shared" ref="CV75:DZ75" si="326">SUM(CV61:CV74)</f>
        <v>0</v>
      </c>
      <c r="CW75" s="640">
        <f t="shared" si="326"/>
        <v>0</v>
      </c>
      <c r="CX75" s="640">
        <f t="shared" si="326"/>
        <v>0</v>
      </c>
      <c r="CY75" s="640">
        <f t="shared" si="326"/>
        <v>0</v>
      </c>
      <c r="CZ75" s="640">
        <f t="shared" si="326"/>
        <v>0</v>
      </c>
      <c r="DA75" s="640">
        <f t="shared" si="326"/>
        <v>0</v>
      </c>
      <c r="DB75" s="640">
        <f t="shared" si="326"/>
        <v>0</v>
      </c>
      <c r="DC75" s="640">
        <f t="shared" si="326"/>
        <v>0</v>
      </c>
      <c r="DD75" s="640">
        <f t="shared" si="326"/>
        <v>0</v>
      </c>
      <c r="DE75" s="640">
        <f t="shared" si="326"/>
        <v>0</v>
      </c>
      <c r="DF75" s="640">
        <f t="shared" si="326"/>
        <v>0</v>
      </c>
      <c r="DG75" s="640">
        <f t="shared" si="326"/>
        <v>0</v>
      </c>
      <c r="DH75" s="640">
        <f t="shared" si="326"/>
        <v>0</v>
      </c>
      <c r="DI75" s="640">
        <f t="shared" si="326"/>
        <v>0</v>
      </c>
      <c r="DJ75" s="640">
        <f t="shared" si="326"/>
        <v>0</v>
      </c>
      <c r="DK75" s="640">
        <f t="shared" si="326"/>
        <v>0</v>
      </c>
      <c r="DL75" s="640">
        <f t="shared" si="326"/>
        <v>0</v>
      </c>
      <c r="DM75" s="640">
        <f t="shared" si="326"/>
        <v>0</v>
      </c>
      <c r="DN75" s="640">
        <f t="shared" si="326"/>
        <v>0</v>
      </c>
      <c r="DO75" s="640">
        <f t="shared" si="326"/>
        <v>0</v>
      </c>
      <c r="DP75" s="640">
        <f t="shared" si="326"/>
        <v>0</v>
      </c>
      <c r="DQ75" s="640">
        <f t="shared" si="326"/>
        <v>0</v>
      </c>
      <c r="DR75" s="640">
        <f t="shared" si="326"/>
        <v>0</v>
      </c>
      <c r="DS75" s="640">
        <f t="shared" si="326"/>
        <v>0</v>
      </c>
      <c r="DT75" s="640">
        <f t="shared" si="326"/>
        <v>0</v>
      </c>
      <c r="DU75" s="640">
        <f t="shared" si="326"/>
        <v>0</v>
      </c>
      <c r="DV75" s="640">
        <f t="shared" si="326"/>
        <v>0</v>
      </c>
      <c r="DW75" s="640">
        <f t="shared" si="326"/>
        <v>0</v>
      </c>
      <c r="DX75" s="640">
        <f t="shared" si="326"/>
        <v>0</v>
      </c>
      <c r="DY75" s="640">
        <f t="shared" si="326"/>
        <v>0</v>
      </c>
      <c r="DZ75" s="640">
        <f t="shared" si="326"/>
        <v>0</v>
      </c>
    </row>
    <row r="77" spans="1:143" ht="16" thickBot="1">
      <c r="A77" s="637" t="s">
        <v>112</v>
      </c>
      <c r="B77" s="637"/>
      <c r="C77" s="638"/>
      <c r="D77" s="637"/>
      <c r="E77" s="637"/>
      <c r="F77" s="637"/>
      <c r="G77" s="637"/>
      <c r="H77" s="637"/>
      <c r="I77" s="637"/>
      <c r="J77" s="637"/>
      <c r="K77" s="637"/>
      <c r="L77" s="637"/>
      <c r="M77" s="637"/>
      <c r="N77" s="637"/>
      <c r="O77" s="637"/>
      <c r="P77" s="637"/>
      <c r="Q77" s="637"/>
      <c r="R77" s="637"/>
      <c r="S77" s="637"/>
      <c r="T77" s="637"/>
      <c r="U77" s="637"/>
      <c r="V77" s="637"/>
      <c r="W77" s="637"/>
      <c r="X77" s="637"/>
      <c r="Y77" s="637"/>
      <c r="Z77" s="637"/>
      <c r="AA77" s="637"/>
      <c r="AB77" s="637"/>
      <c r="AC77" s="637"/>
      <c r="AD77" s="637"/>
      <c r="AE77" s="637"/>
      <c r="AF77" s="637"/>
      <c r="AG77" s="637"/>
      <c r="AH77" s="637"/>
      <c r="AI77" s="637"/>
      <c r="AJ77" s="637"/>
      <c r="AK77" s="637"/>
      <c r="AL77" s="637"/>
      <c r="AM77" s="637"/>
      <c r="AN77" s="637"/>
      <c r="AO77" s="637"/>
      <c r="AP77" s="637"/>
      <c r="AQ77" s="637"/>
      <c r="AR77" s="637"/>
      <c r="AS77" s="637"/>
      <c r="AT77" s="637"/>
      <c r="AU77" s="637"/>
      <c r="AV77" s="637"/>
      <c r="AW77" s="637"/>
      <c r="AX77" s="637"/>
      <c r="AY77" s="637"/>
      <c r="AZ77" s="637"/>
      <c r="BA77" s="637"/>
      <c r="BB77" s="637"/>
      <c r="BC77" s="637"/>
      <c r="BD77" s="637"/>
      <c r="BE77" s="637"/>
      <c r="BF77" s="637"/>
      <c r="BG77" s="637"/>
      <c r="BH77" s="637"/>
      <c r="BI77" s="637"/>
      <c r="BJ77" s="637"/>
      <c r="BK77" s="637"/>
      <c r="BL77" s="637"/>
      <c r="BM77" s="637"/>
      <c r="BN77" s="637"/>
      <c r="BO77" s="637"/>
      <c r="BP77" s="637"/>
      <c r="BQ77" s="637"/>
      <c r="BR77" s="637"/>
      <c r="BS77" s="637"/>
      <c r="BT77" s="637"/>
      <c r="BU77" s="637"/>
      <c r="BV77" s="637"/>
      <c r="BW77" s="637"/>
      <c r="BX77" s="637"/>
      <c r="BY77" s="637"/>
      <c r="BZ77" s="637"/>
      <c r="CA77" s="637"/>
      <c r="CB77" s="637"/>
      <c r="CC77" s="637"/>
      <c r="CD77" s="637"/>
      <c r="CE77" s="637"/>
      <c r="CF77" s="637"/>
      <c r="CG77" s="637"/>
      <c r="CH77" s="637"/>
      <c r="CI77" s="637"/>
      <c r="CJ77" s="637"/>
      <c r="CK77" s="637"/>
      <c r="CL77" s="637"/>
      <c r="CM77" s="637"/>
      <c r="CN77" s="637"/>
      <c r="CO77" s="637"/>
      <c r="CP77" s="637"/>
      <c r="CQ77" s="637"/>
      <c r="CR77" s="637"/>
      <c r="CS77" s="637"/>
      <c r="CT77" s="637"/>
      <c r="CU77" s="637"/>
      <c r="CV77" s="637"/>
      <c r="CW77" s="637"/>
      <c r="CX77" s="637"/>
      <c r="CY77" s="637"/>
      <c r="CZ77" s="637"/>
      <c r="DA77" s="637"/>
      <c r="DB77" s="637"/>
      <c r="DC77" s="637"/>
      <c r="DD77" s="637"/>
      <c r="DE77" s="637"/>
      <c r="DF77" s="637"/>
      <c r="DG77" s="637"/>
      <c r="DH77" s="637"/>
      <c r="DI77" s="637"/>
      <c r="DJ77" s="637"/>
      <c r="DK77" s="637"/>
      <c r="DL77" s="637"/>
      <c r="DM77" s="637"/>
      <c r="DN77" s="637"/>
      <c r="DO77" s="637"/>
      <c r="DP77" s="637"/>
      <c r="DQ77" s="637"/>
      <c r="DR77" s="637"/>
      <c r="DS77" s="637"/>
      <c r="DT77" s="637"/>
      <c r="DU77" s="637"/>
      <c r="DV77" s="637"/>
      <c r="DW77" s="637"/>
      <c r="DX77" s="637"/>
      <c r="DY77" s="637"/>
      <c r="DZ77" s="637"/>
      <c r="EF77" s="181">
        <v>2020</v>
      </c>
      <c r="EK77" t="s">
        <v>113</v>
      </c>
      <c r="EM77" t="s">
        <v>96</v>
      </c>
    </row>
    <row r="78" spans="1:143">
      <c r="B78" t="str">
        <f>B7</f>
        <v>Fuel additive elimination</v>
      </c>
      <c r="C78" s="54" t="s">
        <v>114</v>
      </c>
      <c r="D78" s="648">
        <f t="shared" ref="D78:AH78" si="327">D7*$EF78</f>
        <v>0</v>
      </c>
      <c r="E78" s="648">
        <f t="shared" si="327"/>
        <v>0</v>
      </c>
      <c r="F78" s="648">
        <f t="shared" si="327"/>
        <v>0</v>
      </c>
      <c r="G78" s="648">
        <f t="shared" si="327"/>
        <v>0</v>
      </c>
      <c r="H78" s="648">
        <f t="shared" si="327"/>
        <v>0</v>
      </c>
      <c r="I78" s="648">
        <f t="shared" si="327"/>
        <v>0</v>
      </c>
      <c r="J78" s="648">
        <f t="shared" si="327"/>
        <v>0</v>
      </c>
      <c r="K78" s="648">
        <f t="shared" si="327"/>
        <v>0</v>
      </c>
      <c r="L78" s="648">
        <f t="shared" si="327"/>
        <v>0</v>
      </c>
      <c r="M78" s="648">
        <f t="shared" si="327"/>
        <v>0</v>
      </c>
      <c r="N78" s="648">
        <f t="shared" si="327"/>
        <v>0</v>
      </c>
      <c r="O78" s="648">
        <f t="shared" si="327"/>
        <v>0</v>
      </c>
      <c r="P78" s="648">
        <f t="shared" si="327"/>
        <v>0</v>
      </c>
      <c r="Q78" s="648">
        <f t="shared" si="327"/>
        <v>0</v>
      </c>
      <c r="R78" s="648">
        <f t="shared" si="327"/>
        <v>0</v>
      </c>
      <c r="S78" s="648">
        <f t="shared" si="327"/>
        <v>0</v>
      </c>
      <c r="T78" s="648">
        <f t="shared" si="327"/>
        <v>0</v>
      </c>
      <c r="U78" s="648">
        <f t="shared" si="327"/>
        <v>0</v>
      </c>
      <c r="V78" s="648">
        <f t="shared" si="327"/>
        <v>0</v>
      </c>
      <c r="W78" s="648">
        <f t="shared" si="327"/>
        <v>0</v>
      </c>
      <c r="X78" s="648">
        <f t="shared" si="327"/>
        <v>0</v>
      </c>
      <c r="Y78" s="648">
        <f t="shared" si="327"/>
        <v>0</v>
      </c>
      <c r="Z78" s="648">
        <f t="shared" si="327"/>
        <v>0</v>
      </c>
      <c r="AA78" s="648">
        <f t="shared" si="327"/>
        <v>0</v>
      </c>
      <c r="AB78" s="648">
        <f t="shared" si="327"/>
        <v>0</v>
      </c>
      <c r="AC78" s="648">
        <f t="shared" si="327"/>
        <v>0</v>
      </c>
      <c r="AD78" s="648">
        <f t="shared" si="327"/>
        <v>0</v>
      </c>
      <c r="AE78" s="648">
        <f t="shared" si="327"/>
        <v>0</v>
      </c>
      <c r="AF78" s="648">
        <f t="shared" si="327"/>
        <v>0</v>
      </c>
      <c r="AG78" s="648">
        <f t="shared" si="327"/>
        <v>0</v>
      </c>
      <c r="AH78" s="648">
        <f t="shared" si="327"/>
        <v>0</v>
      </c>
      <c r="AI78" s="648"/>
      <c r="AJ78" s="648">
        <f t="shared" ref="AJ78:BN78" si="328">AJ7*$EF78</f>
        <v>0</v>
      </c>
      <c r="AK78" s="648">
        <f t="shared" si="328"/>
        <v>0</v>
      </c>
      <c r="AL78" s="648">
        <f t="shared" si="328"/>
        <v>0</v>
      </c>
      <c r="AM78" s="648">
        <f t="shared" si="328"/>
        <v>0</v>
      </c>
      <c r="AN78" s="648">
        <f t="shared" si="328"/>
        <v>0</v>
      </c>
      <c r="AO78" s="648">
        <f t="shared" si="328"/>
        <v>0</v>
      </c>
      <c r="AP78" s="648">
        <f t="shared" si="328"/>
        <v>0</v>
      </c>
      <c r="AQ78" s="648">
        <f t="shared" si="328"/>
        <v>0</v>
      </c>
      <c r="AR78" s="648">
        <f t="shared" si="328"/>
        <v>0</v>
      </c>
      <c r="AS78" s="648">
        <f t="shared" si="328"/>
        <v>0</v>
      </c>
      <c r="AT78" s="648">
        <f t="shared" si="328"/>
        <v>0</v>
      </c>
      <c r="AU78" s="648">
        <f t="shared" si="328"/>
        <v>0</v>
      </c>
      <c r="AV78" s="648">
        <f t="shared" si="328"/>
        <v>0</v>
      </c>
      <c r="AW78" s="648">
        <f t="shared" si="328"/>
        <v>0</v>
      </c>
      <c r="AX78" s="648">
        <f t="shared" si="328"/>
        <v>0</v>
      </c>
      <c r="AY78" s="648">
        <f t="shared" si="328"/>
        <v>0</v>
      </c>
      <c r="AZ78" s="648">
        <f t="shared" si="328"/>
        <v>0</v>
      </c>
      <c r="BA78" s="648">
        <f t="shared" si="328"/>
        <v>0</v>
      </c>
      <c r="BB78" s="648">
        <f t="shared" si="328"/>
        <v>0</v>
      </c>
      <c r="BC78" s="648">
        <f t="shared" si="328"/>
        <v>0</v>
      </c>
      <c r="BD78" s="648">
        <f t="shared" si="328"/>
        <v>0</v>
      </c>
      <c r="BE78" s="648">
        <f t="shared" si="328"/>
        <v>0</v>
      </c>
      <c r="BF78" s="648">
        <f t="shared" si="328"/>
        <v>0</v>
      </c>
      <c r="BG78" s="648">
        <f t="shared" si="328"/>
        <v>0</v>
      </c>
      <c r="BH78" s="648">
        <f t="shared" si="328"/>
        <v>0</v>
      </c>
      <c r="BI78" s="648">
        <f t="shared" si="328"/>
        <v>0</v>
      </c>
      <c r="BJ78" s="648">
        <f t="shared" si="328"/>
        <v>0</v>
      </c>
      <c r="BK78" s="648">
        <f t="shared" si="328"/>
        <v>0</v>
      </c>
      <c r="BL78" s="648">
        <f t="shared" si="328"/>
        <v>0</v>
      </c>
      <c r="BM78" s="648">
        <f t="shared" si="328"/>
        <v>0</v>
      </c>
      <c r="BN78" s="648">
        <f t="shared" si="328"/>
        <v>0</v>
      </c>
      <c r="BO78" s="648"/>
      <c r="BP78" s="648">
        <f t="shared" ref="BP78:CT78" si="329">BP7*$EF78</f>
        <v>0</v>
      </c>
      <c r="BQ78" s="648">
        <f t="shared" si="329"/>
        <v>0</v>
      </c>
      <c r="BR78" s="648">
        <f t="shared" si="329"/>
        <v>0</v>
      </c>
      <c r="BS78" s="648">
        <f t="shared" si="329"/>
        <v>0</v>
      </c>
      <c r="BT78" s="648">
        <f t="shared" si="329"/>
        <v>0</v>
      </c>
      <c r="BU78" s="648">
        <f t="shared" si="329"/>
        <v>0</v>
      </c>
      <c r="BV78" s="648">
        <f t="shared" si="329"/>
        <v>0</v>
      </c>
      <c r="BW78" s="648">
        <f t="shared" si="329"/>
        <v>0</v>
      </c>
      <c r="BX78" s="648">
        <f t="shared" si="329"/>
        <v>0</v>
      </c>
      <c r="BY78" s="648">
        <f t="shared" si="329"/>
        <v>0</v>
      </c>
      <c r="BZ78" s="648">
        <f t="shared" si="329"/>
        <v>0</v>
      </c>
      <c r="CA78" s="648">
        <f t="shared" si="329"/>
        <v>0</v>
      </c>
      <c r="CB78" s="648">
        <f t="shared" si="329"/>
        <v>0</v>
      </c>
      <c r="CC78" s="648">
        <f t="shared" si="329"/>
        <v>0</v>
      </c>
      <c r="CD78" s="648">
        <f t="shared" si="329"/>
        <v>0</v>
      </c>
      <c r="CE78" s="648">
        <f t="shared" si="329"/>
        <v>0</v>
      </c>
      <c r="CF78" s="648">
        <f t="shared" si="329"/>
        <v>0</v>
      </c>
      <c r="CG78" s="648">
        <f t="shared" si="329"/>
        <v>0</v>
      </c>
      <c r="CH78" s="648">
        <f t="shared" si="329"/>
        <v>0</v>
      </c>
      <c r="CI78" s="648">
        <f t="shared" si="329"/>
        <v>0</v>
      </c>
      <c r="CJ78" s="648">
        <f t="shared" si="329"/>
        <v>0</v>
      </c>
      <c r="CK78" s="648">
        <f t="shared" si="329"/>
        <v>0</v>
      </c>
      <c r="CL78" s="648">
        <f t="shared" si="329"/>
        <v>0</v>
      </c>
      <c r="CM78" s="648">
        <f t="shared" si="329"/>
        <v>0</v>
      </c>
      <c r="CN78" s="648">
        <f t="shared" si="329"/>
        <v>0</v>
      </c>
      <c r="CO78" s="648">
        <f t="shared" si="329"/>
        <v>0</v>
      </c>
      <c r="CP78" s="648">
        <f t="shared" si="329"/>
        <v>0</v>
      </c>
      <c r="CQ78" s="648">
        <f t="shared" si="329"/>
        <v>0</v>
      </c>
      <c r="CR78" s="648">
        <f t="shared" si="329"/>
        <v>0</v>
      </c>
      <c r="CS78" s="648">
        <f t="shared" si="329"/>
        <v>0</v>
      </c>
      <c r="CT78" s="648">
        <f t="shared" si="329"/>
        <v>0</v>
      </c>
      <c r="CU78" s="648"/>
      <c r="CV78" s="648">
        <f t="shared" ref="CV78:DZ78" si="330">CV7*$EF78</f>
        <v>0</v>
      </c>
      <c r="CW78" s="648">
        <f t="shared" si="330"/>
        <v>0</v>
      </c>
      <c r="CX78" s="648">
        <f t="shared" si="330"/>
        <v>0</v>
      </c>
      <c r="CY78" s="648">
        <f t="shared" si="330"/>
        <v>0</v>
      </c>
      <c r="CZ78" s="648">
        <f t="shared" si="330"/>
        <v>0</v>
      </c>
      <c r="DA78" s="648">
        <f t="shared" si="330"/>
        <v>0</v>
      </c>
      <c r="DB78" s="648">
        <f t="shared" si="330"/>
        <v>0</v>
      </c>
      <c r="DC78" s="648">
        <f t="shared" si="330"/>
        <v>0</v>
      </c>
      <c r="DD78" s="648">
        <f t="shared" si="330"/>
        <v>0</v>
      </c>
      <c r="DE78" s="648">
        <f t="shared" si="330"/>
        <v>0</v>
      </c>
      <c r="DF78" s="648">
        <f t="shared" si="330"/>
        <v>0</v>
      </c>
      <c r="DG78" s="648">
        <f t="shared" si="330"/>
        <v>0</v>
      </c>
      <c r="DH78" s="648">
        <f t="shared" si="330"/>
        <v>0</v>
      </c>
      <c r="DI78" s="648">
        <f t="shared" si="330"/>
        <v>0</v>
      </c>
      <c r="DJ78" s="648">
        <f t="shared" si="330"/>
        <v>0</v>
      </c>
      <c r="DK78" s="648">
        <f t="shared" si="330"/>
        <v>0</v>
      </c>
      <c r="DL78" s="648">
        <f t="shared" si="330"/>
        <v>0</v>
      </c>
      <c r="DM78" s="648">
        <f t="shared" si="330"/>
        <v>0</v>
      </c>
      <c r="DN78" s="648">
        <f t="shared" si="330"/>
        <v>0</v>
      </c>
      <c r="DO78" s="648">
        <f t="shared" si="330"/>
        <v>0</v>
      </c>
      <c r="DP78" s="648">
        <f t="shared" si="330"/>
        <v>0</v>
      </c>
      <c r="DQ78" s="648">
        <f t="shared" si="330"/>
        <v>0</v>
      </c>
      <c r="DR78" s="648">
        <f t="shared" si="330"/>
        <v>0</v>
      </c>
      <c r="DS78" s="648">
        <f t="shared" si="330"/>
        <v>0</v>
      </c>
      <c r="DT78" s="648">
        <f t="shared" si="330"/>
        <v>0</v>
      </c>
      <c r="DU78" s="648">
        <f t="shared" si="330"/>
        <v>0</v>
      </c>
      <c r="DV78" s="648">
        <f t="shared" si="330"/>
        <v>0</v>
      </c>
      <c r="DW78" s="648">
        <f t="shared" si="330"/>
        <v>0</v>
      </c>
      <c r="DX78" s="648">
        <f t="shared" si="330"/>
        <v>0</v>
      </c>
      <c r="DY78" s="648">
        <f t="shared" si="330"/>
        <v>0</v>
      </c>
      <c r="DZ78" s="648">
        <f t="shared" si="330"/>
        <v>0</v>
      </c>
      <c r="EF78" s="51">
        <v>0</v>
      </c>
      <c r="EG78" s="51"/>
      <c r="EH78" s="51"/>
      <c r="EI78" s="51"/>
      <c r="EJ78" s="51"/>
      <c r="EM78" t="s">
        <v>98</v>
      </c>
    </row>
    <row r="79" spans="1:143">
      <c r="A79" s="1"/>
      <c r="B79" t="str">
        <f t="shared" ref="B79:B91" si="331">B8</f>
        <v>Packaging reduction</v>
      </c>
      <c r="C79" s="54" t="s">
        <v>114</v>
      </c>
      <c r="D79" s="648">
        <f t="shared" ref="D79:AH79" si="332">D8*$EF79</f>
        <v>0</v>
      </c>
      <c r="E79" s="648">
        <f t="shared" si="332"/>
        <v>0</v>
      </c>
      <c r="F79" s="648">
        <f t="shared" si="332"/>
        <v>0</v>
      </c>
      <c r="G79" s="648">
        <f t="shared" si="332"/>
        <v>0</v>
      </c>
      <c r="H79" s="648">
        <f t="shared" si="332"/>
        <v>0</v>
      </c>
      <c r="I79" s="648">
        <f t="shared" si="332"/>
        <v>0</v>
      </c>
      <c r="J79" s="648">
        <f t="shared" si="332"/>
        <v>0</v>
      </c>
      <c r="K79" s="648">
        <f t="shared" si="332"/>
        <v>0</v>
      </c>
      <c r="L79" s="648">
        <f t="shared" si="332"/>
        <v>0</v>
      </c>
      <c r="M79" s="648">
        <f t="shared" si="332"/>
        <v>0</v>
      </c>
      <c r="N79" s="648">
        <f t="shared" si="332"/>
        <v>0</v>
      </c>
      <c r="O79" s="648">
        <f t="shared" si="332"/>
        <v>0</v>
      </c>
      <c r="P79" s="648">
        <f t="shared" si="332"/>
        <v>0</v>
      </c>
      <c r="Q79" s="648">
        <f t="shared" si="332"/>
        <v>0</v>
      </c>
      <c r="R79" s="648">
        <f t="shared" si="332"/>
        <v>0</v>
      </c>
      <c r="S79" s="648">
        <f t="shared" si="332"/>
        <v>0</v>
      </c>
      <c r="T79" s="648">
        <f t="shared" si="332"/>
        <v>0</v>
      </c>
      <c r="U79" s="648">
        <f t="shared" si="332"/>
        <v>0</v>
      </c>
      <c r="V79" s="648">
        <f t="shared" si="332"/>
        <v>0</v>
      </c>
      <c r="W79" s="648">
        <f t="shared" si="332"/>
        <v>0</v>
      </c>
      <c r="X79" s="648">
        <f t="shared" si="332"/>
        <v>0</v>
      </c>
      <c r="Y79" s="648">
        <f t="shared" si="332"/>
        <v>0</v>
      </c>
      <c r="Z79" s="648">
        <f t="shared" si="332"/>
        <v>0</v>
      </c>
      <c r="AA79" s="648">
        <f t="shared" si="332"/>
        <v>0</v>
      </c>
      <c r="AB79" s="648">
        <f t="shared" si="332"/>
        <v>0</v>
      </c>
      <c r="AC79" s="648">
        <f t="shared" si="332"/>
        <v>0</v>
      </c>
      <c r="AD79" s="648">
        <f t="shared" si="332"/>
        <v>0</v>
      </c>
      <c r="AE79" s="648">
        <f t="shared" si="332"/>
        <v>0</v>
      </c>
      <c r="AF79" s="648">
        <f t="shared" si="332"/>
        <v>0</v>
      </c>
      <c r="AG79" s="648">
        <f t="shared" si="332"/>
        <v>0</v>
      </c>
      <c r="AH79" s="648">
        <f t="shared" si="332"/>
        <v>0</v>
      </c>
      <c r="AI79" s="648"/>
      <c r="AJ79" s="648">
        <f t="shared" ref="AJ79:BN79" si="333">AJ8*$EF79</f>
        <v>0</v>
      </c>
      <c r="AK79" s="648">
        <f t="shared" si="333"/>
        <v>0</v>
      </c>
      <c r="AL79" s="648">
        <f t="shared" si="333"/>
        <v>0</v>
      </c>
      <c r="AM79" s="648">
        <f t="shared" si="333"/>
        <v>0</v>
      </c>
      <c r="AN79" s="648">
        <f t="shared" si="333"/>
        <v>0</v>
      </c>
      <c r="AO79" s="648">
        <f t="shared" si="333"/>
        <v>0</v>
      </c>
      <c r="AP79" s="648">
        <f t="shared" si="333"/>
        <v>0</v>
      </c>
      <c r="AQ79" s="648">
        <f t="shared" si="333"/>
        <v>0</v>
      </c>
      <c r="AR79" s="648">
        <f t="shared" si="333"/>
        <v>0</v>
      </c>
      <c r="AS79" s="648">
        <f t="shared" si="333"/>
        <v>0</v>
      </c>
      <c r="AT79" s="648">
        <f t="shared" si="333"/>
        <v>0</v>
      </c>
      <c r="AU79" s="648">
        <f t="shared" si="333"/>
        <v>0</v>
      </c>
      <c r="AV79" s="648">
        <f t="shared" si="333"/>
        <v>0</v>
      </c>
      <c r="AW79" s="648">
        <f t="shared" si="333"/>
        <v>0</v>
      </c>
      <c r="AX79" s="648">
        <f t="shared" si="333"/>
        <v>0</v>
      </c>
      <c r="AY79" s="648">
        <f t="shared" si="333"/>
        <v>0</v>
      </c>
      <c r="AZ79" s="648">
        <f t="shared" si="333"/>
        <v>0</v>
      </c>
      <c r="BA79" s="648">
        <f t="shared" si="333"/>
        <v>0</v>
      </c>
      <c r="BB79" s="648">
        <f t="shared" si="333"/>
        <v>0</v>
      </c>
      <c r="BC79" s="648">
        <f t="shared" si="333"/>
        <v>0</v>
      </c>
      <c r="BD79" s="648">
        <f t="shared" si="333"/>
        <v>0</v>
      </c>
      <c r="BE79" s="648">
        <f t="shared" si="333"/>
        <v>0</v>
      </c>
      <c r="BF79" s="648">
        <f t="shared" si="333"/>
        <v>0</v>
      </c>
      <c r="BG79" s="648">
        <f t="shared" si="333"/>
        <v>0</v>
      </c>
      <c r="BH79" s="648">
        <f t="shared" si="333"/>
        <v>0</v>
      </c>
      <c r="BI79" s="648">
        <f t="shared" si="333"/>
        <v>0</v>
      </c>
      <c r="BJ79" s="648">
        <f t="shared" si="333"/>
        <v>0</v>
      </c>
      <c r="BK79" s="648">
        <f t="shared" si="333"/>
        <v>0</v>
      </c>
      <c r="BL79" s="648">
        <f t="shared" si="333"/>
        <v>0</v>
      </c>
      <c r="BM79" s="648">
        <f t="shared" si="333"/>
        <v>0</v>
      </c>
      <c r="BN79" s="648">
        <f t="shared" si="333"/>
        <v>0</v>
      </c>
      <c r="BO79" s="648"/>
      <c r="BP79" s="648">
        <f t="shared" ref="BP79:CT79" si="334">BP8*$EF79</f>
        <v>0</v>
      </c>
      <c r="BQ79" s="648">
        <f t="shared" si="334"/>
        <v>0</v>
      </c>
      <c r="BR79" s="648">
        <f t="shared" si="334"/>
        <v>0</v>
      </c>
      <c r="BS79" s="648">
        <f t="shared" si="334"/>
        <v>0</v>
      </c>
      <c r="BT79" s="648">
        <f t="shared" si="334"/>
        <v>0</v>
      </c>
      <c r="BU79" s="648">
        <f t="shared" si="334"/>
        <v>0</v>
      </c>
      <c r="BV79" s="648">
        <f t="shared" si="334"/>
        <v>0</v>
      </c>
      <c r="BW79" s="648">
        <f t="shared" si="334"/>
        <v>0</v>
      </c>
      <c r="BX79" s="648">
        <f t="shared" si="334"/>
        <v>0</v>
      </c>
      <c r="BY79" s="648">
        <f t="shared" si="334"/>
        <v>0</v>
      </c>
      <c r="BZ79" s="648">
        <f t="shared" si="334"/>
        <v>0</v>
      </c>
      <c r="CA79" s="648">
        <f t="shared" si="334"/>
        <v>0</v>
      </c>
      <c r="CB79" s="648">
        <f t="shared" si="334"/>
        <v>0</v>
      </c>
      <c r="CC79" s="648">
        <f t="shared" si="334"/>
        <v>0</v>
      </c>
      <c r="CD79" s="648">
        <f t="shared" si="334"/>
        <v>0</v>
      </c>
      <c r="CE79" s="648">
        <f t="shared" si="334"/>
        <v>0</v>
      </c>
      <c r="CF79" s="648">
        <f t="shared" si="334"/>
        <v>0</v>
      </c>
      <c r="CG79" s="648">
        <f t="shared" si="334"/>
        <v>0</v>
      </c>
      <c r="CH79" s="648">
        <f t="shared" si="334"/>
        <v>0</v>
      </c>
      <c r="CI79" s="648">
        <f t="shared" si="334"/>
        <v>0</v>
      </c>
      <c r="CJ79" s="648">
        <f t="shared" si="334"/>
        <v>0</v>
      </c>
      <c r="CK79" s="648">
        <f t="shared" si="334"/>
        <v>0</v>
      </c>
      <c r="CL79" s="648">
        <f t="shared" si="334"/>
        <v>0</v>
      </c>
      <c r="CM79" s="648">
        <f t="shared" si="334"/>
        <v>0</v>
      </c>
      <c r="CN79" s="648">
        <f t="shared" si="334"/>
        <v>0</v>
      </c>
      <c r="CO79" s="648">
        <f t="shared" si="334"/>
        <v>0</v>
      </c>
      <c r="CP79" s="648">
        <f t="shared" si="334"/>
        <v>0</v>
      </c>
      <c r="CQ79" s="648">
        <f t="shared" si="334"/>
        <v>0</v>
      </c>
      <c r="CR79" s="648">
        <f t="shared" si="334"/>
        <v>0</v>
      </c>
      <c r="CS79" s="648">
        <f t="shared" si="334"/>
        <v>0</v>
      </c>
      <c r="CT79" s="648">
        <f t="shared" si="334"/>
        <v>0</v>
      </c>
      <c r="CU79" s="648"/>
      <c r="CV79" s="648">
        <f t="shared" ref="CV79:DZ79" si="335">CV8*$EF79</f>
        <v>0</v>
      </c>
      <c r="CW79" s="648">
        <f t="shared" si="335"/>
        <v>0</v>
      </c>
      <c r="CX79" s="648">
        <f t="shared" si="335"/>
        <v>0</v>
      </c>
      <c r="CY79" s="648">
        <f t="shared" si="335"/>
        <v>0</v>
      </c>
      <c r="CZ79" s="648">
        <f t="shared" si="335"/>
        <v>0</v>
      </c>
      <c r="DA79" s="648">
        <f t="shared" si="335"/>
        <v>0</v>
      </c>
      <c r="DB79" s="648">
        <f t="shared" si="335"/>
        <v>0</v>
      </c>
      <c r="DC79" s="648">
        <f t="shared" si="335"/>
        <v>0</v>
      </c>
      <c r="DD79" s="648">
        <f t="shared" si="335"/>
        <v>0</v>
      </c>
      <c r="DE79" s="648">
        <f t="shared" si="335"/>
        <v>0</v>
      </c>
      <c r="DF79" s="648">
        <f t="shared" si="335"/>
        <v>0</v>
      </c>
      <c r="DG79" s="648">
        <f t="shared" si="335"/>
        <v>0</v>
      </c>
      <c r="DH79" s="648">
        <f t="shared" si="335"/>
        <v>0</v>
      </c>
      <c r="DI79" s="648">
        <f t="shared" si="335"/>
        <v>0</v>
      </c>
      <c r="DJ79" s="648">
        <f t="shared" si="335"/>
        <v>0</v>
      </c>
      <c r="DK79" s="648">
        <f t="shared" si="335"/>
        <v>0</v>
      </c>
      <c r="DL79" s="648">
        <f t="shared" si="335"/>
        <v>0</v>
      </c>
      <c r="DM79" s="648">
        <f t="shared" si="335"/>
        <v>0</v>
      </c>
      <c r="DN79" s="648">
        <f t="shared" si="335"/>
        <v>0</v>
      </c>
      <c r="DO79" s="648">
        <f t="shared" si="335"/>
        <v>0</v>
      </c>
      <c r="DP79" s="648">
        <f t="shared" si="335"/>
        <v>0</v>
      </c>
      <c r="DQ79" s="648">
        <f t="shared" si="335"/>
        <v>0</v>
      </c>
      <c r="DR79" s="648">
        <f t="shared" si="335"/>
        <v>0</v>
      </c>
      <c r="DS79" s="648">
        <f t="shared" si="335"/>
        <v>0</v>
      </c>
      <c r="DT79" s="648">
        <f t="shared" si="335"/>
        <v>0</v>
      </c>
      <c r="DU79" s="648">
        <f t="shared" si="335"/>
        <v>0</v>
      </c>
      <c r="DV79" s="648">
        <f t="shared" si="335"/>
        <v>0</v>
      </c>
      <c r="DW79" s="648">
        <f t="shared" si="335"/>
        <v>0</v>
      </c>
      <c r="DX79" s="648">
        <f t="shared" si="335"/>
        <v>0</v>
      </c>
      <c r="DY79" s="648">
        <f t="shared" si="335"/>
        <v>0</v>
      </c>
      <c r="DZ79" s="648">
        <f t="shared" si="335"/>
        <v>0</v>
      </c>
      <c r="EF79" s="51">
        <v>0</v>
      </c>
      <c r="EG79" s="51"/>
      <c r="EH79" s="51"/>
      <c r="EI79" s="51"/>
      <c r="EJ79" s="51"/>
      <c r="EM79" t="s">
        <v>99</v>
      </c>
    </row>
    <row r="80" spans="1:143">
      <c r="A80" s="1"/>
      <c r="B80" t="str">
        <f t="shared" si="331"/>
        <v>Packaging reuse</v>
      </c>
      <c r="C80" s="54" t="s">
        <v>114</v>
      </c>
      <c r="D80" s="648">
        <f t="shared" ref="D80:AH80" si="336">D9*$EF80</f>
        <v>0</v>
      </c>
      <c r="E80" s="648">
        <f t="shared" si="336"/>
        <v>0</v>
      </c>
      <c r="F80" s="648">
        <f t="shared" si="336"/>
        <v>0</v>
      </c>
      <c r="G80" s="648">
        <f t="shared" si="336"/>
        <v>0</v>
      </c>
      <c r="H80" s="648">
        <f t="shared" si="336"/>
        <v>0</v>
      </c>
      <c r="I80" s="648">
        <f t="shared" si="336"/>
        <v>0</v>
      </c>
      <c r="J80" s="648">
        <f t="shared" si="336"/>
        <v>0</v>
      </c>
      <c r="K80" s="648">
        <f t="shared" si="336"/>
        <v>0</v>
      </c>
      <c r="L80" s="648">
        <f t="shared" si="336"/>
        <v>0</v>
      </c>
      <c r="M80" s="648">
        <f t="shared" si="336"/>
        <v>0</v>
      </c>
      <c r="N80" s="648">
        <f t="shared" si="336"/>
        <v>0</v>
      </c>
      <c r="O80" s="648">
        <f t="shared" si="336"/>
        <v>0</v>
      </c>
      <c r="P80" s="648">
        <f t="shared" si="336"/>
        <v>0</v>
      </c>
      <c r="Q80" s="648">
        <f t="shared" si="336"/>
        <v>0</v>
      </c>
      <c r="R80" s="648">
        <f t="shared" si="336"/>
        <v>0</v>
      </c>
      <c r="S80" s="648">
        <f t="shared" si="336"/>
        <v>0</v>
      </c>
      <c r="T80" s="648">
        <f t="shared" si="336"/>
        <v>0</v>
      </c>
      <c r="U80" s="648">
        <f t="shared" si="336"/>
        <v>0</v>
      </c>
      <c r="V80" s="648">
        <f t="shared" si="336"/>
        <v>0</v>
      </c>
      <c r="W80" s="648">
        <f t="shared" si="336"/>
        <v>0</v>
      </c>
      <c r="X80" s="648">
        <f t="shared" si="336"/>
        <v>0</v>
      </c>
      <c r="Y80" s="648">
        <f t="shared" si="336"/>
        <v>0</v>
      </c>
      <c r="Z80" s="648">
        <f t="shared" si="336"/>
        <v>0</v>
      </c>
      <c r="AA80" s="648">
        <f t="shared" si="336"/>
        <v>0</v>
      </c>
      <c r="AB80" s="648">
        <f t="shared" si="336"/>
        <v>0</v>
      </c>
      <c r="AC80" s="648">
        <f t="shared" si="336"/>
        <v>0</v>
      </c>
      <c r="AD80" s="648">
        <f t="shared" si="336"/>
        <v>0</v>
      </c>
      <c r="AE80" s="648">
        <f t="shared" si="336"/>
        <v>0</v>
      </c>
      <c r="AF80" s="648">
        <f t="shared" si="336"/>
        <v>0</v>
      </c>
      <c r="AG80" s="648">
        <f t="shared" si="336"/>
        <v>0</v>
      </c>
      <c r="AH80" s="648">
        <f t="shared" si="336"/>
        <v>0</v>
      </c>
      <c r="AI80" s="648"/>
      <c r="AJ80" s="648">
        <f t="shared" ref="AJ80:BN80" si="337">AJ9*$EF80</f>
        <v>0</v>
      </c>
      <c r="AK80" s="648">
        <f t="shared" si="337"/>
        <v>0</v>
      </c>
      <c r="AL80" s="648">
        <f t="shared" si="337"/>
        <v>0</v>
      </c>
      <c r="AM80" s="648">
        <f t="shared" si="337"/>
        <v>0</v>
      </c>
      <c r="AN80" s="648">
        <f t="shared" si="337"/>
        <v>0</v>
      </c>
      <c r="AO80" s="648">
        <f t="shared" si="337"/>
        <v>0</v>
      </c>
      <c r="AP80" s="648">
        <f t="shared" si="337"/>
        <v>0</v>
      </c>
      <c r="AQ80" s="648">
        <f t="shared" si="337"/>
        <v>0</v>
      </c>
      <c r="AR80" s="648">
        <f t="shared" si="337"/>
        <v>0</v>
      </c>
      <c r="AS80" s="648">
        <f t="shared" si="337"/>
        <v>0</v>
      </c>
      <c r="AT80" s="648">
        <f t="shared" si="337"/>
        <v>0</v>
      </c>
      <c r="AU80" s="648">
        <f t="shared" si="337"/>
        <v>0</v>
      </c>
      <c r="AV80" s="648">
        <f t="shared" si="337"/>
        <v>0</v>
      </c>
      <c r="AW80" s="648">
        <f t="shared" si="337"/>
        <v>0</v>
      </c>
      <c r="AX80" s="648">
        <f t="shared" si="337"/>
        <v>0</v>
      </c>
      <c r="AY80" s="648">
        <f t="shared" si="337"/>
        <v>0</v>
      </c>
      <c r="AZ80" s="648">
        <f t="shared" si="337"/>
        <v>0</v>
      </c>
      <c r="BA80" s="648">
        <f t="shared" si="337"/>
        <v>0</v>
      </c>
      <c r="BB80" s="648">
        <f t="shared" si="337"/>
        <v>0</v>
      </c>
      <c r="BC80" s="648">
        <f t="shared" si="337"/>
        <v>0</v>
      </c>
      <c r="BD80" s="648">
        <f t="shared" si="337"/>
        <v>0</v>
      </c>
      <c r="BE80" s="648">
        <f t="shared" si="337"/>
        <v>0</v>
      </c>
      <c r="BF80" s="648">
        <f t="shared" si="337"/>
        <v>0</v>
      </c>
      <c r="BG80" s="648">
        <f t="shared" si="337"/>
        <v>0</v>
      </c>
      <c r="BH80" s="648">
        <f t="shared" si="337"/>
        <v>0</v>
      </c>
      <c r="BI80" s="648">
        <f t="shared" si="337"/>
        <v>0</v>
      </c>
      <c r="BJ80" s="648">
        <f t="shared" si="337"/>
        <v>0</v>
      </c>
      <c r="BK80" s="648">
        <f t="shared" si="337"/>
        <v>0</v>
      </c>
      <c r="BL80" s="648">
        <f t="shared" si="337"/>
        <v>0</v>
      </c>
      <c r="BM80" s="648">
        <f t="shared" si="337"/>
        <v>0</v>
      </c>
      <c r="BN80" s="648">
        <f t="shared" si="337"/>
        <v>0</v>
      </c>
      <c r="BO80" s="648"/>
      <c r="BP80" s="648">
        <f t="shared" ref="BP80:CT80" si="338">BP9*$EF80</f>
        <v>0</v>
      </c>
      <c r="BQ80" s="648">
        <f t="shared" si="338"/>
        <v>0</v>
      </c>
      <c r="BR80" s="648">
        <f t="shared" si="338"/>
        <v>0</v>
      </c>
      <c r="BS80" s="648">
        <f t="shared" si="338"/>
        <v>0</v>
      </c>
      <c r="BT80" s="648">
        <f t="shared" si="338"/>
        <v>0</v>
      </c>
      <c r="BU80" s="648">
        <f t="shared" si="338"/>
        <v>0</v>
      </c>
      <c r="BV80" s="648">
        <f t="shared" si="338"/>
        <v>0</v>
      </c>
      <c r="BW80" s="648">
        <f t="shared" si="338"/>
        <v>0</v>
      </c>
      <c r="BX80" s="648">
        <f t="shared" si="338"/>
        <v>0</v>
      </c>
      <c r="BY80" s="648">
        <f t="shared" si="338"/>
        <v>0</v>
      </c>
      <c r="BZ80" s="648">
        <f t="shared" si="338"/>
        <v>0</v>
      </c>
      <c r="CA80" s="648">
        <f t="shared" si="338"/>
        <v>0</v>
      </c>
      <c r="CB80" s="648">
        <f t="shared" si="338"/>
        <v>0</v>
      </c>
      <c r="CC80" s="648">
        <f t="shared" si="338"/>
        <v>0</v>
      </c>
      <c r="CD80" s="648">
        <f t="shared" si="338"/>
        <v>0</v>
      </c>
      <c r="CE80" s="648">
        <f t="shared" si="338"/>
        <v>0</v>
      </c>
      <c r="CF80" s="648">
        <f t="shared" si="338"/>
        <v>0</v>
      </c>
      <c r="CG80" s="648">
        <f t="shared" si="338"/>
        <v>0</v>
      </c>
      <c r="CH80" s="648">
        <f t="shared" si="338"/>
        <v>0</v>
      </c>
      <c r="CI80" s="648">
        <f t="shared" si="338"/>
        <v>0</v>
      </c>
      <c r="CJ80" s="648">
        <f t="shared" si="338"/>
        <v>0</v>
      </c>
      <c r="CK80" s="648">
        <f t="shared" si="338"/>
        <v>0</v>
      </c>
      <c r="CL80" s="648">
        <f t="shared" si="338"/>
        <v>0</v>
      </c>
      <c r="CM80" s="648">
        <f t="shared" si="338"/>
        <v>0</v>
      </c>
      <c r="CN80" s="648">
        <f t="shared" si="338"/>
        <v>0</v>
      </c>
      <c r="CO80" s="648">
        <f t="shared" si="338"/>
        <v>0</v>
      </c>
      <c r="CP80" s="648">
        <f t="shared" si="338"/>
        <v>0</v>
      </c>
      <c r="CQ80" s="648">
        <f t="shared" si="338"/>
        <v>0</v>
      </c>
      <c r="CR80" s="648">
        <f t="shared" si="338"/>
        <v>0</v>
      </c>
      <c r="CS80" s="648">
        <f t="shared" si="338"/>
        <v>0</v>
      </c>
      <c r="CT80" s="648">
        <f t="shared" si="338"/>
        <v>0</v>
      </c>
      <c r="CU80" s="648"/>
      <c r="CV80" s="648">
        <f t="shared" ref="CV80:DZ80" si="339">CV9*$EF80</f>
        <v>0</v>
      </c>
      <c r="CW80" s="648">
        <f t="shared" si="339"/>
        <v>0</v>
      </c>
      <c r="CX80" s="648">
        <f t="shared" si="339"/>
        <v>0</v>
      </c>
      <c r="CY80" s="648">
        <f t="shared" si="339"/>
        <v>0</v>
      </c>
      <c r="CZ80" s="648">
        <f t="shared" si="339"/>
        <v>0</v>
      </c>
      <c r="DA80" s="648">
        <f t="shared" si="339"/>
        <v>0</v>
      </c>
      <c r="DB80" s="648">
        <f t="shared" si="339"/>
        <v>0</v>
      </c>
      <c r="DC80" s="648">
        <f t="shared" si="339"/>
        <v>0</v>
      </c>
      <c r="DD80" s="648">
        <f t="shared" si="339"/>
        <v>0</v>
      </c>
      <c r="DE80" s="648">
        <f t="shared" si="339"/>
        <v>0</v>
      </c>
      <c r="DF80" s="648">
        <f t="shared" si="339"/>
        <v>0</v>
      </c>
      <c r="DG80" s="648">
        <f t="shared" si="339"/>
        <v>0</v>
      </c>
      <c r="DH80" s="648">
        <f t="shared" si="339"/>
        <v>0</v>
      </c>
      <c r="DI80" s="648">
        <f t="shared" si="339"/>
        <v>0</v>
      </c>
      <c r="DJ80" s="648">
        <f t="shared" si="339"/>
        <v>0</v>
      </c>
      <c r="DK80" s="648">
        <f t="shared" si="339"/>
        <v>0</v>
      </c>
      <c r="DL80" s="648">
        <f t="shared" si="339"/>
        <v>0</v>
      </c>
      <c r="DM80" s="648">
        <f t="shared" si="339"/>
        <v>0</v>
      </c>
      <c r="DN80" s="648">
        <f t="shared" si="339"/>
        <v>0</v>
      </c>
      <c r="DO80" s="648">
        <f t="shared" si="339"/>
        <v>0</v>
      </c>
      <c r="DP80" s="648">
        <f t="shared" si="339"/>
        <v>0</v>
      </c>
      <c r="DQ80" s="648">
        <f t="shared" si="339"/>
        <v>0</v>
      </c>
      <c r="DR80" s="648">
        <f t="shared" si="339"/>
        <v>0</v>
      </c>
      <c r="DS80" s="648">
        <f t="shared" si="339"/>
        <v>0</v>
      </c>
      <c r="DT80" s="648">
        <f t="shared" si="339"/>
        <v>0</v>
      </c>
      <c r="DU80" s="648">
        <f t="shared" si="339"/>
        <v>0</v>
      </c>
      <c r="DV80" s="648">
        <f t="shared" si="339"/>
        <v>0</v>
      </c>
      <c r="DW80" s="648">
        <f t="shared" si="339"/>
        <v>0</v>
      </c>
      <c r="DX80" s="648">
        <f t="shared" si="339"/>
        <v>0</v>
      </c>
      <c r="DY80" s="648">
        <f t="shared" si="339"/>
        <v>0</v>
      </c>
      <c r="DZ80" s="648">
        <f t="shared" si="339"/>
        <v>0</v>
      </c>
      <c r="EF80" s="157">
        <f>AVERAGE(196,322)</f>
        <v>259</v>
      </c>
      <c r="EG80" s="51"/>
      <c r="EH80" s="51"/>
      <c r="EI80" s="51"/>
      <c r="EJ80" s="51"/>
      <c r="EM80" t="s">
        <v>99</v>
      </c>
    </row>
    <row r="81" spans="1:143">
      <c r="A81" s="1"/>
      <c r="B81" t="str">
        <f t="shared" si="331"/>
        <v>Packaging substitution Paper</v>
      </c>
      <c r="C81" s="54" t="s">
        <v>114</v>
      </c>
      <c r="D81" s="648">
        <f t="shared" ref="D81:AH81" si="340">D10*$EF81</f>
        <v>0</v>
      </c>
      <c r="E81" s="648">
        <f t="shared" si="340"/>
        <v>0</v>
      </c>
      <c r="F81" s="648">
        <f t="shared" si="340"/>
        <v>0</v>
      </c>
      <c r="G81" s="648">
        <f t="shared" si="340"/>
        <v>0</v>
      </c>
      <c r="H81" s="648">
        <f t="shared" si="340"/>
        <v>0</v>
      </c>
      <c r="I81" s="648">
        <f t="shared" si="340"/>
        <v>0</v>
      </c>
      <c r="J81" s="648">
        <f t="shared" si="340"/>
        <v>0</v>
      </c>
      <c r="K81" s="648">
        <f t="shared" si="340"/>
        <v>0</v>
      </c>
      <c r="L81" s="648">
        <f t="shared" si="340"/>
        <v>0</v>
      </c>
      <c r="M81" s="648">
        <f t="shared" si="340"/>
        <v>0</v>
      </c>
      <c r="N81" s="648">
        <f t="shared" si="340"/>
        <v>0</v>
      </c>
      <c r="O81" s="648">
        <f t="shared" si="340"/>
        <v>0</v>
      </c>
      <c r="P81" s="648">
        <f t="shared" si="340"/>
        <v>0</v>
      </c>
      <c r="Q81" s="648">
        <f t="shared" si="340"/>
        <v>0</v>
      </c>
      <c r="R81" s="648">
        <f t="shared" si="340"/>
        <v>0</v>
      </c>
      <c r="S81" s="648">
        <f t="shared" si="340"/>
        <v>0</v>
      </c>
      <c r="T81" s="648">
        <f t="shared" si="340"/>
        <v>0</v>
      </c>
      <c r="U81" s="648">
        <f t="shared" si="340"/>
        <v>0</v>
      </c>
      <c r="V81" s="648">
        <f t="shared" si="340"/>
        <v>0</v>
      </c>
      <c r="W81" s="648">
        <f t="shared" si="340"/>
        <v>0</v>
      </c>
      <c r="X81" s="648">
        <f t="shared" si="340"/>
        <v>0</v>
      </c>
      <c r="Y81" s="648">
        <f t="shared" si="340"/>
        <v>0</v>
      </c>
      <c r="Z81" s="648">
        <f t="shared" si="340"/>
        <v>0</v>
      </c>
      <c r="AA81" s="648">
        <f t="shared" si="340"/>
        <v>0</v>
      </c>
      <c r="AB81" s="648">
        <f t="shared" si="340"/>
        <v>0</v>
      </c>
      <c r="AC81" s="648">
        <f t="shared" si="340"/>
        <v>0</v>
      </c>
      <c r="AD81" s="648">
        <f t="shared" si="340"/>
        <v>0</v>
      </c>
      <c r="AE81" s="648">
        <f t="shared" si="340"/>
        <v>0</v>
      </c>
      <c r="AF81" s="648">
        <f t="shared" si="340"/>
        <v>0</v>
      </c>
      <c r="AG81" s="648">
        <f t="shared" si="340"/>
        <v>0</v>
      </c>
      <c r="AH81" s="648">
        <f t="shared" si="340"/>
        <v>0</v>
      </c>
      <c r="AI81" s="648"/>
      <c r="AJ81" s="648">
        <f t="shared" ref="AJ81:BN81" si="341">AJ10*$EF81</f>
        <v>0</v>
      </c>
      <c r="AK81" s="648">
        <f t="shared" si="341"/>
        <v>0</v>
      </c>
      <c r="AL81" s="648">
        <f t="shared" si="341"/>
        <v>0</v>
      </c>
      <c r="AM81" s="648">
        <f t="shared" si="341"/>
        <v>0</v>
      </c>
      <c r="AN81" s="648">
        <f t="shared" si="341"/>
        <v>0</v>
      </c>
      <c r="AO81" s="648">
        <f t="shared" si="341"/>
        <v>0</v>
      </c>
      <c r="AP81" s="648">
        <f t="shared" si="341"/>
        <v>0</v>
      </c>
      <c r="AQ81" s="648">
        <f t="shared" si="341"/>
        <v>0</v>
      </c>
      <c r="AR81" s="648">
        <f t="shared" si="341"/>
        <v>0</v>
      </c>
      <c r="AS81" s="648">
        <f t="shared" si="341"/>
        <v>0</v>
      </c>
      <c r="AT81" s="648">
        <f t="shared" si="341"/>
        <v>0</v>
      </c>
      <c r="AU81" s="648">
        <f t="shared" si="341"/>
        <v>0</v>
      </c>
      <c r="AV81" s="648">
        <f t="shared" si="341"/>
        <v>0</v>
      </c>
      <c r="AW81" s="648">
        <f t="shared" si="341"/>
        <v>0</v>
      </c>
      <c r="AX81" s="648">
        <f t="shared" si="341"/>
        <v>0</v>
      </c>
      <c r="AY81" s="648">
        <f t="shared" si="341"/>
        <v>0</v>
      </c>
      <c r="AZ81" s="648">
        <f t="shared" si="341"/>
        <v>0</v>
      </c>
      <c r="BA81" s="648">
        <f t="shared" si="341"/>
        <v>0</v>
      </c>
      <c r="BB81" s="648">
        <f t="shared" si="341"/>
        <v>0</v>
      </c>
      <c r="BC81" s="648">
        <f t="shared" si="341"/>
        <v>0</v>
      </c>
      <c r="BD81" s="648">
        <f t="shared" si="341"/>
        <v>0</v>
      </c>
      <c r="BE81" s="648">
        <f t="shared" si="341"/>
        <v>0</v>
      </c>
      <c r="BF81" s="648">
        <f t="shared" si="341"/>
        <v>0</v>
      </c>
      <c r="BG81" s="648">
        <f t="shared" si="341"/>
        <v>0</v>
      </c>
      <c r="BH81" s="648">
        <f t="shared" si="341"/>
        <v>0</v>
      </c>
      <c r="BI81" s="648">
        <f t="shared" si="341"/>
        <v>0</v>
      </c>
      <c r="BJ81" s="648">
        <f t="shared" si="341"/>
        <v>0</v>
      </c>
      <c r="BK81" s="648">
        <f t="shared" si="341"/>
        <v>0</v>
      </c>
      <c r="BL81" s="648">
        <f t="shared" si="341"/>
        <v>0</v>
      </c>
      <c r="BM81" s="648">
        <f t="shared" si="341"/>
        <v>0</v>
      </c>
      <c r="BN81" s="648">
        <f t="shared" si="341"/>
        <v>0</v>
      </c>
      <c r="BO81" s="648"/>
      <c r="BP81" s="648">
        <f t="shared" ref="BP81:CT81" si="342">BP10*$EF81</f>
        <v>0</v>
      </c>
      <c r="BQ81" s="648">
        <f t="shared" si="342"/>
        <v>0</v>
      </c>
      <c r="BR81" s="648">
        <f t="shared" si="342"/>
        <v>0</v>
      </c>
      <c r="BS81" s="648">
        <f t="shared" si="342"/>
        <v>0</v>
      </c>
      <c r="BT81" s="648">
        <f t="shared" si="342"/>
        <v>0</v>
      </c>
      <c r="BU81" s="648">
        <f t="shared" si="342"/>
        <v>0</v>
      </c>
      <c r="BV81" s="648">
        <f t="shared" si="342"/>
        <v>0</v>
      </c>
      <c r="BW81" s="648">
        <f t="shared" si="342"/>
        <v>0</v>
      </c>
      <c r="BX81" s="648">
        <f t="shared" si="342"/>
        <v>0</v>
      </c>
      <c r="BY81" s="648">
        <f t="shared" si="342"/>
        <v>0</v>
      </c>
      <c r="BZ81" s="648">
        <f t="shared" si="342"/>
        <v>0</v>
      </c>
      <c r="CA81" s="648">
        <f t="shared" si="342"/>
        <v>0</v>
      </c>
      <c r="CB81" s="648">
        <f t="shared" si="342"/>
        <v>0</v>
      </c>
      <c r="CC81" s="648">
        <f t="shared" si="342"/>
        <v>0</v>
      </c>
      <c r="CD81" s="648">
        <f t="shared" si="342"/>
        <v>0</v>
      </c>
      <c r="CE81" s="648">
        <f t="shared" si="342"/>
        <v>0</v>
      </c>
      <c r="CF81" s="648">
        <f t="shared" si="342"/>
        <v>0</v>
      </c>
      <c r="CG81" s="648">
        <f t="shared" si="342"/>
        <v>0</v>
      </c>
      <c r="CH81" s="648">
        <f t="shared" si="342"/>
        <v>0</v>
      </c>
      <c r="CI81" s="648">
        <f t="shared" si="342"/>
        <v>0</v>
      </c>
      <c r="CJ81" s="648">
        <f t="shared" si="342"/>
        <v>0</v>
      </c>
      <c r="CK81" s="648">
        <f t="shared" si="342"/>
        <v>0</v>
      </c>
      <c r="CL81" s="648">
        <f t="shared" si="342"/>
        <v>0</v>
      </c>
      <c r="CM81" s="648">
        <f t="shared" si="342"/>
        <v>0</v>
      </c>
      <c r="CN81" s="648">
        <f t="shared" si="342"/>
        <v>0</v>
      </c>
      <c r="CO81" s="648">
        <f t="shared" si="342"/>
        <v>0</v>
      </c>
      <c r="CP81" s="648">
        <f t="shared" si="342"/>
        <v>0</v>
      </c>
      <c r="CQ81" s="648">
        <f t="shared" si="342"/>
        <v>0</v>
      </c>
      <c r="CR81" s="648">
        <f t="shared" si="342"/>
        <v>0</v>
      </c>
      <c r="CS81" s="648">
        <f t="shared" si="342"/>
        <v>0</v>
      </c>
      <c r="CT81" s="648">
        <f t="shared" si="342"/>
        <v>0</v>
      </c>
      <c r="CU81" s="648"/>
      <c r="CV81" s="648">
        <f t="shared" ref="CV81:DZ81" si="343">CV10*$EF81</f>
        <v>0</v>
      </c>
      <c r="CW81" s="648">
        <f t="shared" si="343"/>
        <v>0</v>
      </c>
      <c r="CX81" s="648">
        <f t="shared" si="343"/>
        <v>0</v>
      </c>
      <c r="CY81" s="648">
        <f t="shared" si="343"/>
        <v>0</v>
      </c>
      <c r="CZ81" s="648">
        <f t="shared" si="343"/>
        <v>0</v>
      </c>
      <c r="DA81" s="648">
        <f t="shared" si="343"/>
        <v>0</v>
      </c>
      <c r="DB81" s="648">
        <f t="shared" si="343"/>
        <v>0</v>
      </c>
      <c r="DC81" s="648">
        <f t="shared" si="343"/>
        <v>0</v>
      </c>
      <c r="DD81" s="648">
        <f t="shared" si="343"/>
        <v>0</v>
      </c>
      <c r="DE81" s="648">
        <f t="shared" si="343"/>
        <v>0</v>
      </c>
      <c r="DF81" s="648">
        <f t="shared" si="343"/>
        <v>0</v>
      </c>
      <c r="DG81" s="648">
        <f t="shared" si="343"/>
        <v>0</v>
      </c>
      <c r="DH81" s="648">
        <f t="shared" si="343"/>
        <v>0</v>
      </c>
      <c r="DI81" s="648">
        <f t="shared" si="343"/>
        <v>0</v>
      </c>
      <c r="DJ81" s="648">
        <f t="shared" si="343"/>
        <v>0</v>
      </c>
      <c r="DK81" s="648">
        <f t="shared" si="343"/>
        <v>0</v>
      </c>
      <c r="DL81" s="648">
        <f t="shared" si="343"/>
        <v>0</v>
      </c>
      <c r="DM81" s="648">
        <f t="shared" si="343"/>
        <v>0</v>
      </c>
      <c r="DN81" s="648">
        <f t="shared" si="343"/>
        <v>0</v>
      </c>
      <c r="DO81" s="648">
        <f t="shared" si="343"/>
        <v>0</v>
      </c>
      <c r="DP81" s="648">
        <f t="shared" si="343"/>
        <v>0</v>
      </c>
      <c r="DQ81" s="648">
        <f t="shared" si="343"/>
        <v>0</v>
      </c>
      <c r="DR81" s="648">
        <f t="shared" si="343"/>
        <v>0</v>
      </c>
      <c r="DS81" s="648">
        <f t="shared" si="343"/>
        <v>0</v>
      </c>
      <c r="DT81" s="648">
        <f t="shared" si="343"/>
        <v>0</v>
      </c>
      <c r="DU81" s="648">
        <f t="shared" si="343"/>
        <v>0</v>
      </c>
      <c r="DV81" s="648">
        <f t="shared" si="343"/>
        <v>0</v>
      </c>
      <c r="DW81" s="648">
        <f t="shared" si="343"/>
        <v>0</v>
      </c>
      <c r="DX81" s="648">
        <f t="shared" si="343"/>
        <v>0</v>
      </c>
      <c r="DY81" s="648">
        <f t="shared" si="343"/>
        <v>0</v>
      </c>
      <c r="DZ81" s="648">
        <f t="shared" si="343"/>
        <v>0</v>
      </c>
      <c r="EF81" s="51">
        <v>300</v>
      </c>
      <c r="EG81" s="51"/>
      <c r="EH81" s="51"/>
      <c r="EI81" s="51"/>
      <c r="EJ81" s="51"/>
      <c r="EM81" t="s">
        <v>99</v>
      </c>
    </row>
    <row r="82" spans="1:143">
      <c r="A82" s="1"/>
      <c r="B82" t="str">
        <f t="shared" si="331"/>
        <v>Packaging Substitution Compostables</v>
      </c>
      <c r="C82" s="54" t="s">
        <v>114</v>
      </c>
      <c r="D82" s="648">
        <f t="shared" ref="D82:AH82" si="344">D11*$EF82</f>
        <v>0</v>
      </c>
      <c r="E82" s="648">
        <f t="shared" si="344"/>
        <v>0</v>
      </c>
      <c r="F82" s="648">
        <f t="shared" si="344"/>
        <v>0</v>
      </c>
      <c r="G82" s="648">
        <f t="shared" si="344"/>
        <v>0</v>
      </c>
      <c r="H82" s="648">
        <f t="shared" si="344"/>
        <v>0</v>
      </c>
      <c r="I82" s="648">
        <f t="shared" si="344"/>
        <v>0</v>
      </c>
      <c r="J82" s="648">
        <f t="shared" si="344"/>
        <v>0</v>
      </c>
      <c r="K82" s="648">
        <f t="shared" si="344"/>
        <v>0</v>
      </c>
      <c r="L82" s="648">
        <f t="shared" si="344"/>
        <v>0</v>
      </c>
      <c r="M82" s="648">
        <f t="shared" si="344"/>
        <v>0</v>
      </c>
      <c r="N82" s="648">
        <f t="shared" si="344"/>
        <v>0</v>
      </c>
      <c r="O82" s="648">
        <f t="shared" si="344"/>
        <v>0</v>
      </c>
      <c r="P82" s="648">
        <f t="shared" si="344"/>
        <v>0</v>
      </c>
      <c r="Q82" s="648">
        <f t="shared" si="344"/>
        <v>0</v>
      </c>
      <c r="R82" s="648">
        <f t="shared" si="344"/>
        <v>0</v>
      </c>
      <c r="S82" s="648">
        <f t="shared" si="344"/>
        <v>0</v>
      </c>
      <c r="T82" s="648">
        <f t="shared" si="344"/>
        <v>0</v>
      </c>
      <c r="U82" s="648">
        <f t="shared" si="344"/>
        <v>0</v>
      </c>
      <c r="V82" s="648">
        <f t="shared" si="344"/>
        <v>0</v>
      </c>
      <c r="W82" s="648">
        <f t="shared" si="344"/>
        <v>0</v>
      </c>
      <c r="X82" s="648">
        <f t="shared" si="344"/>
        <v>0</v>
      </c>
      <c r="Y82" s="648">
        <f t="shared" si="344"/>
        <v>0</v>
      </c>
      <c r="Z82" s="648">
        <f t="shared" si="344"/>
        <v>0</v>
      </c>
      <c r="AA82" s="648">
        <f t="shared" si="344"/>
        <v>0</v>
      </c>
      <c r="AB82" s="648">
        <f t="shared" si="344"/>
        <v>0</v>
      </c>
      <c r="AC82" s="648">
        <f t="shared" si="344"/>
        <v>0</v>
      </c>
      <c r="AD82" s="648">
        <f t="shared" si="344"/>
        <v>0</v>
      </c>
      <c r="AE82" s="648">
        <f t="shared" si="344"/>
        <v>0</v>
      </c>
      <c r="AF82" s="648">
        <f t="shared" si="344"/>
        <v>0</v>
      </c>
      <c r="AG82" s="648">
        <f t="shared" si="344"/>
        <v>0</v>
      </c>
      <c r="AH82" s="648">
        <f t="shared" si="344"/>
        <v>0</v>
      </c>
      <c r="AI82" s="648"/>
      <c r="AJ82" s="648">
        <f t="shared" ref="AJ82:BN82" si="345">AJ11*$EF82</f>
        <v>0</v>
      </c>
      <c r="AK82" s="648">
        <f t="shared" si="345"/>
        <v>0</v>
      </c>
      <c r="AL82" s="648">
        <f t="shared" si="345"/>
        <v>0</v>
      </c>
      <c r="AM82" s="648">
        <f t="shared" si="345"/>
        <v>0</v>
      </c>
      <c r="AN82" s="648">
        <f t="shared" si="345"/>
        <v>0</v>
      </c>
      <c r="AO82" s="648">
        <f t="shared" si="345"/>
        <v>0</v>
      </c>
      <c r="AP82" s="648">
        <f t="shared" si="345"/>
        <v>0</v>
      </c>
      <c r="AQ82" s="648">
        <f t="shared" si="345"/>
        <v>0</v>
      </c>
      <c r="AR82" s="648">
        <f t="shared" si="345"/>
        <v>0</v>
      </c>
      <c r="AS82" s="648">
        <f t="shared" si="345"/>
        <v>0</v>
      </c>
      <c r="AT82" s="648">
        <f t="shared" si="345"/>
        <v>0</v>
      </c>
      <c r="AU82" s="648">
        <f t="shared" si="345"/>
        <v>0</v>
      </c>
      <c r="AV82" s="648">
        <f t="shared" si="345"/>
        <v>0</v>
      </c>
      <c r="AW82" s="648">
        <f t="shared" si="345"/>
        <v>0</v>
      </c>
      <c r="AX82" s="648">
        <f t="shared" si="345"/>
        <v>0</v>
      </c>
      <c r="AY82" s="648">
        <f t="shared" si="345"/>
        <v>0</v>
      </c>
      <c r="AZ82" s="648">
        <f t="shared" si="345"/>
        <v>0</v>
      </c>
      <c r="BA82" s="648">
        <f t="shared" si="345"/>
        <v>0</v>
      </c>
      <c r="BB82" s="648">
        <f t="shared" si="345"/>
        <v>0</v>
      </c>
      <c r="BC82" s="648">
        <f t="shared" si="345"/>
        <v>0</v>
      </c>
      <c r="BD82" s="648">
        <f t="shared" si="345"/>
        <v>0</v>
      </c>
      <c r="BE82" s="648">
        <f t="shared" si="345"/>
        <v>0</v>
      </c>
      <c r="BF82" s="648">
        <f t="shared" si="345"/>
        <v>0</v>
      </c>
      <c r="BG82" s="648">
        <f t="shared" si="345"/>
        <v>0</v>
      </c>
      <c r="BH82" s="648">
        <f t="shared" si="345"/>
        <v>0</v>
      </c>
      <c r="BI82" s="648">
        <f t="shared" si="345"/>
        <v>0</v>
      </c>
      <c r="BJ82" s="648">
        <f t="shared" si="345"/>
        <v>0</v>
      </c>
      <c r="BK82" s="648">
        <f t="shared" si="345"/>
        <v>0</v>
      </c>
      <c r="BL82" s="648">
        <f t="shared" si="345"/>
        <v>0</v>
      </c>
      <c r="BM82" s="648">
        <f t="shared" si="345"/>
        <v>0</v>
      </c>
      <c r="BN82" s="648">
        <f t="shared" si="345"/>
        <v>0</v>
      </c>
      <c r="BO82" s="648"/>
      <c r="BP82" s="648">
        <f t="shared" ref="BP82:CT82" si="346">BP11*$EF82</f>
        <v>0</v>
      </c>
      <c r="BQ82" s="648">
        <f t="shared" si="346"/>
        <v>0</v>
      </c>
      <c r="BR82" s="648">
        <f t="shared" si="346"/>
        <v>0</v>
      </c>
      <c r="BS82" s="648">
        <f t="shared" si="346"/>
        <v>0</v>
      </c>
      <c r="BT82" s="648">
        <f t="shared" si="346"/>
        <v>0</v>
      </c>
      <c r="BU82" s="648">
        <f t="shared" si="346"/>
        <v>0</v>
      </c>
      <c r="BV82" s="648">
        <f t="shared" si="346"/>
        <v>0</v>
      </c>
      <c r="BW82" s="648">
        <f t="shared" si="346"/>
        <v>0</v>
      </c>
      <c r="BX82" s="648">
        <f t="shared" si="346"/>
        <v>0</v>
      </c>
      <c r="BY82" s="648">
        <f t="shared" si="346"/>
        <v>0</v>
      </c>
      <c r="BZ82" s="648">
        <f t="shared" si="346"/>
        <v>0</v>
      </c>
      <c r="CA82" s="648">
        <f t="shared" si="346"/>
        <v>0</v>
      </c>
      <c r="CB82" s="648">
        <f t="shared" si="346"/>
        <v>0</v>
      </c>
      <c r="CC82" s="648">
        <f t="shared" si="346"/>
        <v>0</v>
      </c>
      <c r="CD82" s="648">
        <f t="shared" si="346"/>
        <v>0</v>
      </c>
      <c r="CE82" s="648">
        <f t="shared" si="346"/>
        <v>0</v>
      </c>
      <c r="CF82" s="648">
        <f t="shared" si="346"/>
        <v>0</v>
      </c>
      <c r="CG82" s="648">
        <f t="shared" si="346"/>
        <v>0</v>
      </c>
      <c r="CH82" s="648">
        <f t="shared" si="346"/>
        <v>0</v>
      </c>
      <c r="CI82" s="648">
        <f t="shared" si="346"/>
        <v>0</v>
      </c>
      <c r="CJ82" s="648">
        <f t="shared" si="346"/>
        <v>0</v>
      </c>
      <c r="CK82" s="648">
        <f t="shared" si="346"/>
        <v>0</v>
      </c>
      <c r="CL82" s="648">
        <f t="shared" si="346"/>
        <v>0</v>
      </c>
      <c r="CM82" s="648">
        <f t="shared" si="346"/>
        <v>0</v>
      </c>
      <c r="CN82" s="648">
        <f t="shared" si="346"/>
        <v>0</v>
      </c>
      <c r="CO82" s="648">
        <f t="shared" si="346"/>
        <v>0</v>
      </c>
      <c r="CP82" s="648">
        <f t="shared" si="346"/>
        <v>0</v>
      </c>
      <c r="CQ82" s="648">
        <f t="shared" si="346"/>
        <v>0</v>
      </c>
      <c r="CR82" s="648">
        <f t="shared" si="346"/>
        <v>0</v>
      </c>
      <c r="CS82" s="648">
        <f t="shared" si="346"/>
        <v>0</v>
      </c>
      <c r="CT82" s="648">
        <f t="shared" si="346"/>
        <v>0</v>
      </c>
      <c r="CU82" s="648"/>
      <c r="CV82" s="648">
        <f t="shared" ref="CV82:DZ82" si="347">CV11*$EF82</f>
        <v>0</v>
      </c>
      <c r="CW82" s="648">
        <f t="shared" si="347"/>
        <v>0</v>
      </c>
      <c r="CX82" s="648">
        <f t="shared" si="347"/>
        <v>0</v>
      </c>
      <c r="CY82" s="648">
        <f t="shared" si="347"/>
        <v>0</v>
      </c>
      <c r="CZ82" s="648">
        <f t="shared" si="347"/>
        <v>0</v>
      </c>
      <c r="DA82" s="648">
        <f t="shared" si="347"/>
        <v>0</v>
      </c>
      <c r="DB82" s="648">
        <f t="shared" si="347"/>
        <v>0</v>
      </c>
      <c r="DC82" s="648">
        <f t="shared" si="347"/>
        <v>0</v>
      </c>
      <c r="DD82" s="648">
        <f t="shared" si="347"/>
        <v>0</v>
      </c>
      <c r="DE82" s="648">
        <f t="shared" si="347"/>
        <v>0</v>
      </c>
      <c r="DF82" s="648">
        <f t="shared" si="347"/>
        <v>0</v>
      </c>
      <c r="DG82" s="648">
        <f t="shared" si="347"/>
        <v>0</v>
      </c>
      <c r="DH82" s="648">
        <f t="shared" si="347"/>
        <v>0</v>
      </c>
      <c r="DI82" s="648">
        <f t="shared" si="347"/>
        <v>0</v>
      </c>
      <c r="DJ82" s="648">
        <f t="shared" si="347"/>
        <v>0</v>
      </c>
      <c r="DK82" s="648">
        <f t="shared" si="347"/>
        <v>0</v>
      </c>
      <c r="DL82" s="648">
        <f t="shared" si="347"/>
        <v>0</v>
      </c>
      <c r="DM82" s="648">
        <f t="shared" si="347"/>
        <v>0</v>
      </c>
      <c r="DN82" s="648">
        <f t="shared" si="347"/>
        <v>0</v>
      </c>
      <c r="DO82" s="648">
        <f t="shared" si="347"/>
        <v>0</v>
      </c>
      <c r="DP82" s="648">
        <f t="shared" si="347"/>
        <v>0</v>
      </c>
      <c r="DQ82" s="648">
        <f t="shared" si="347"/>
        <v>0</v>
      </c>
      <c r="DR82" s="648">
        <f t="shared" si="347"/>
        <v>0</v>
      </c>
      <c r="DS82" s="648">
        <f t="shared" si="347"/>
        <v>0</v>
      </c>
      <c r="DT82" s="648">
        <f t="shared" si="347"/>
        <v>0</v>
      </c>
      <c r="DU82" s="648">
        <f t="shared" si="347"/>
        <v>0</v>
      </c>
      <c r="DV82" s="648">
        <f t="shared" si="347"/>
        <v>0</v>
      </c>
      <c r="DW82" s="648">
        <f t="shared" si="347"/>
        <v>0</v>
      </c>
      <c r="DX82" s="648">
        <f t="shared" si="347"/>
        <v>0</v>
      </c>
      <c r="DY82" s="648">
        <f t="shared" si="347"/>
        <v>0</v>
      </c>
      <c r="DZ82" s="648">
        <f t="shared" si="347"/>
        <v>0</v>
      </c>
      <c r="EF82" s="51">
        <v>727</v>
      </c>
      <c r="EG82" s="51"/>
      <c r="EH82" s="51"/>
      <c r="EI82" s="51"/>
      <c r="EJ82" s="51"/>
      <c r="EM82" t="s">
        <v>99</v>
      </c>
    </row>
    <row r="83" spans="1:143">
      <c r="A83" s="1"/>
      <c r="B83" t="str">
        <f t="shared" si="331"/>
        <v>MaaS</v>
      </c>
      <c r="C83" s="54" t="s">
        <v>114</v>
      </c>
      <c r="D83" s="648">
        <f t="shared" ref="D83:AH83" si="348">D12*$EF83</f>
        <v>0</v>
      </c>
      <c r="E83" s="648">
        <f t="shared" si="348"/>
        <v>0</v>
      </c>
      <c r="F83" s="648">
        <f t="shared" si="348"/>
        <v>0</v>
      </c>
      <c r="G83" s="648">
        <f t="shared" si="348"/>
        <v>0</v>
      </c>
      <c r="H83" s="648">
        <f t="shared" si="348"/>
        <v>0</v>
      </c>
      <c r="I83" s="648">
        <f t="shared" si="348"/>
        <v>0</v>
      </c>
      <c r="J83" s="648">
        <f t="shared" si="348"/>
        <v>0</v>
      </c>
      <c r="K83" s="648">
        <f t="shared" si="348"/>
        <v>0</v>
      </c>
      <c r="L83" s="648">
        <f t="shared" si="348"/>
        <v>0</v>
      </c>
      <c r="M83" s="648">
        <f t="shared" si="348"/>
        <v>0</v>
      </c>
      <c r="N83" s="648">
        <f t="shared" si="348"/>
        <v>0</v>
      </c>
      <c r="O83" s="648">
        <f t="shared" si="348"/>
        <v>0</v>
      </c>
      <c r="P83" s="648">
        <f t="shared" si="348"/>
        <v>0</v>
      </c>
      <c r="Q83" s="648">
        <f t="shared" si="348"/>
        <v>0</v>
      </c>
      <c r="R83" s="648">
        <f t="shared" si="348"/>
        <v>0</v>
      </c>
      <c r="S83" s="648">
        <f t="shared" si="348"/>
        <v>0</v>
      </c>
      <c r="T83" s="648">
        <f t="shared" si="348"/>
        <v>0</v>
      </c>
      <c r="U83" s="648">
        <f t="shared" si="348"/>
        <v>0</v>
      </c>
      <c r="V83" s="648">
        <f t="shared" si="348"/>
        <v>0</v>
      </c>
      <c r="W83" s="648">
        <f t="shared" si="348"/>
        <v>0</v>
      </c>
      <c r="X83" s="648">
        <f t="shared" si="348"/>
        <v>0</v>
      </c>
      <c r="Y83" s="648">
        <f t="shared" si="348"/>
        <v>0</v>
      </c>
      <c r="Z83" s="648">
        <f t="shared" si="348"/>
        <v>0</v>
      </c>
      <c r="AA83" s="648">
        <f t="shared" si="348"/>
        <v>0</v>
      </c>
      <c r="AB83" s="648">
        <f t="shared" si="348"/>
        <v>0</v>
      </c>
      <c r="AC83" s="648">
        <f t="shared" si="348"/>
        <v>0</v>
      </c>
      <c r="AD83" s="648">
        <f t="shared" si="348"/>
        <v>0</v>
      </c>
      <c r="AE83" s="648">
        <f t="shared" si="348"/>
        <v>0</v>
      </c>
      <c r="AF83" s="648">
        <f t="shared" si="348"/>
        <v>0</v>
      </c>
      <c r="AG83" s="648">
        <f t="shared" si="348"/>
        <v>0</v>
      </c>
      <c r="AH83" s="648">
        <f t="shared" si="348"/>
        <v>0</v>
      </c>
      <c r="AI83" s="648"/>
      <c r="AJ83" s="648">
        <f t="shared" ref="AJ83:BN83" si="349">AJ12*$EF83</f>
        <v>0</v>
      </c>
      <c r="AK83" s="648">
        <f t="shared" si="349"/>
        <v>0</v>
      </c>
      <c r="AL83" s="648">
        <f t="shared" si="349"/>
        <v>0</v>
      </c>
      <c r="AM83" s="648">
        <f t="shared" si="349"/>
        <v>0</v>
      </c>
      <c r="AN83" s="648">
        <f t="shared" si="349"/>
        <v>0</v>
      </c>
      <c r="AO83" s="648">
        <f t="shared" si="349"/>
        <v>0</v>
      </c>
      <c r="AP83" s="648">
        <f t="shared" si="349"/>
        <v>0</v>
      </c>
      <c r="AQ83" s="648">
        <f t="shared" si="349"/>
        <v>0</v>
      </c>
      <c r="AR83" s="648">
        <f t="shared" si="349"/>
        <v>0</v>
      </c>
      <c r="AS83" s="648">
        <f t="shared" si="349"/>
        <v>0</v>
      </c>
      <c r="AT83" s="648">
        <f t="shared" si="349"/>
        <v>0</v>
      </c>
      <c r="AU83" s="648">
        <f t="shared" si="349"/>
        <v>0</v>
      </c>
      <c r="AV83" s="648">
        <f t="shared" si="349"/>
        <v>0</v>
      </c>
      <c r="AW83" s="648">
        <f t="shared" si="349"/>
        <v>0</v>
      </c>
      <c r="AX83" s="648">
        <f t="shared" si="349"/>
        <v>0</v>
      </c>
      <c r="AY83" s="648">
        <f t="shared" si="349"/>
        <v>0</v>
      </c>
      <c r="AZ83" s="648">
        <f t="shared" si="349"/>
        <v>0</v>
      </c>
      <c r="BA83" s="648">
        <f t="shared" si="349"/>
        <v>0</v>
      </c>
      <c r="BB83" s="648">
        <f t="shared" si="349"/>
        <v>0</v>
      </c>
      <c r="BC83" s="648">
        <f t="shared" si="349"/>
        <v>0</v>
      </c>
      <c r="BD83" s="648">
        <f t="shared" si="349"/>
        <v>0</v>
      </c>
      <c r="BE83" s="648">
        <f t="shared" si="349"/>
        <v>0</v>
      </c>
      <c r="BF83" s="648">
        <f t="shared" si="349"/>
        <v>0</v>
      </c>
      <c r="BG83" s="648">
        <f t="shared" si="349"/>
        <v>0</v>
      </c>
      <c r="BH83" s="648">
        <f t="shared" si="349"/>
        <v>0</v>
      </c>
      <c r="BI83" s="648">
        <f t="shared" si="349"/>
        <v>0</v>
      </c>
      <c r="BJ83" s="648">
        <f t="shared" si="349"/>
        <v>0</v>
      </c>
      <c r="BK83" s="648">
        <f t="shared" si="349"/>
        <v>0</v>
      </c>
      <c r="BL83" s="648">
        <f t="shared" si="349"/>
        <v>0</v>
      </c>
      <c r="BM83" s="648">
        <f t="shared" si="349"/>
        <v>0</v>
      </c>
      <c r="BN83" s="648">
        <f t="shared" si="349"/>
        <v>0</v>
      </c>
      <c r="BO83" s="648"/>
      <c r="BP83" s="648">
        <f t="shared" ref="BP83:CT83" si="350">BP12*$EF83</f>
        <v>0</v>
      </c>
      <c r="BQ83" s="648">
        <f t="shared" si="350"/>
        <v>0</v>
      </c>
      <c r="BR83" s="648">
        <f t="shared" si="350"/>
        <v>0</v>
      </c>
      <c r="BS83" s="648">
        <f t="shared" si="350"/>
        <v>0</v>
      </c>
      <c r="BT83" s="648">
        <f t="shared" si="350"/>
        <v>0</v>
      </c>
      <c r="BU83" s="648">
        <f t="shared" si="350"/>
        <v>0</v>
      </c>
      <c r="BV83" s="648">
        <f t="shared" si="350"/>
        <v>0</v>
      </c>
      <c r="BW83" s="648">
        <f t="shared" si="350"/>
        <v>0</v>
      </c>
      <c r="BX83" s="648">
        <f t="shared" si="350"/>
        <v>0</v>
      </c>
      <c r="BY83" s="648">
        <f t="shared" si="350"/>
        <v>0</v>
      </c>
      <c r="BZ83" s="648">
        <f t="shared" si="350"/>
        <v>0</v>
      </c>
      <c r="CA83" s="648">
        <f t="shared" si="350"/>
        <v>0</v>
      </c>
      <c r="CB83" s="648">
        <f t="shared" si="350"/>
        <v>0</v>
      </c>
      <c r="CC83" s="648">
        <f t="shared" si="350"/>
        <v>0</v>
      </c>
      <c r="CD83" s="648">
        <f t="shared" si="350"/>
        <v>0</v>
      </c>
      <c r="CE83" s="648">
        <f t="shared" si="350"/>
        <v>0</v>
      </c>
      <c r="CF83" s="648">
        <f t="shared" si="350"/>
        <v>0</v>
      </c>
      <c r="CG83" s="648">
        <f t="shared" si="350"/>
        <v>0</v>
      </c>
      <c r="CH83" s="648">
        <f t="shared" si="350"/>
        <v>0</v>
      </c>
      <c r="CI83" s="648">
        <f t="shared" si="350"/>
        <v>0</v>
      </c>
      <c r="CJ83" s="648">
        <f t="shared" si="350"/>
        <v>0</v>
      </c>
      <c r="CK83" s="648">
        <f t="shared" si="350"/>
        <v>0</v>
      </c>
      <c r="CL83" s="648">
        <f t="shared" si="350"/>
        <v>0</v>
      </c>
      <c r="CM83" s="648">
        <f t="shared" si="350"/>
        <v>0</v>
      </c>
      <c r="CN83" s="648">
        <f t="shared" si="350"/>
        <v>0</v>
      </c>
      <c r="CO83" s="648">
        <f t="shared" si="350"/>
        <v>0</v>
      </c>
      <c r="CP83" s="648">
        <f t="shared" si="350"/>
        <v>0</v>
      </c>
      <c r="CQ83" s="648">
        <f t="shared" si="350"/>
        <v>0</v>
      </c>
      <c r="CR83" s="648">
        <f t="shared" si="350"/>
        <v>0</v>
      </c>
      <c r="CS83" s="648">
        <f t="shared" si="350"/>
        <v>0</v>
      </c>
      <c r="CT83" s="648">
        <f t="shared" si="350"/>
        <v>0</v>
      </c>
      <c r="CU83" s="648"/>
      <c r="CV83" s="648">
        <f t="shared" ref="CV83:DZ83" si="351">CV12*$EF83</f>
        <v>0</v>
      </c>
      <c r="CW83" s="648">
        <f t="shared" si="351"/>
        <v>0</v>
      </c>
      <c r="CX83" s="648">
        <f t="shared" si="351"/>
        <v>0</v>
      </c>
      <c r="CY83" s="648">
        <f t="shared" si="351"/>
        <v>0</v>
      </c>
      <c r="CZ83" s="648">
        <f t="shared" si="351"/>
        <v>0</v>
      </c>
      <c r="DA83" s="648">
        <f t="shared" si="351"/>
        <v>0</v>
      </c>
      <c r="DB83" s="648">
        <f t="shared" si="351"/>
        <v>0</v>
      </c>
      <c r="DC83" s="648">
        <f t="shared" si="351"/>
        <v>0</v>
      </c>
      <c r="DD83" s="648">
        <f t="shared" si="351"/>
        <v>0</v>
      </c>
      <c r="DE83" s="648">
        <f t="shared" si="351"/>
        <v>0</v>
      </c>
      <c r="DF83" s="648">
        <f t="shared" si="351"/>
        <v>0</v>
      </c>
      <c r="DG83" s="648">
        <f t="shared" si="351"/>
        <v>0</v>
      </c>
      <c r="DH83" s="648">
        <f t="shared" si="351"/>
        <v>0</v>
      </c>
      <c r="DI83" s="648">
        <f t="shared" si="351"/>
        <v>0</v>
      </c>
      <c r="DJ83" s="648">
        <f t="shared" si="351"/>
        <v>0</v>
      </c>
      <c r="DK83" s="648">
        <f t="shared" si="351"/>
        <v>0</v>
      </c>
      <c r="DL83" s="648">
        <f t="shared" si="351"/>
        <v>0</v>
      </c>
      <c r="DM83" s="648">
        <f t="shared" si="351"/>
        <v>0</v>
      </c>
      <c r="DN83" s="648">
        <f t="shared" si="351"/>
        <v>0</v>
      </c>
      <c r="DO83" s="648">
        <f t="shared" si="351"/>
        <v>0</v>
      </c>
      <c r="DP83" s="648">
        <f t="shared" si="351"/>
        <v>0</v>
      </c>
      <c r="DQ83" s="648">
        <f t="shared" si="351"/>
        <v>0</v>
      </c>
      <c r="DR83" s="648">
        <f t="shared" si="351"/>
        <v>0</v>
      </c>
      <c r="DS83" s="648">
        <f t="shared" si="351"/>
        <v>0</v>
      </c>
      <c r="DT83" s="648">
        <f t="shared" si="351"/>
        <v>0</v>
      </c>
      <c r="DU83" s="648">
        <f t="shared" si="351"/>
        <v>0</v>
      </c>
      <c r="DV83" s="648">
        <f t="shared" si="351"/>
        <v>0</v>
      </c>
      <c r="DW83" s="648">
        <f t="shared" si="351"/>
        <v>0</v>
      </c>
      <c r="DX83" s="648">
        <f t="shared" si="351"/>
        <v>0</v>
      </c>
      <c r="DY83" s="648">
        <f t="shared" si="351"/>
        <v>0</v>
      </c>
      <c r="DZ83" s="648">
        <f t="shared" si="351"/>
        <v>0</v>
      </c>
      <c r="EF83" s="610">
        <v>100</v>
      </c>
      <c r="EG83" s="51"/>
      <c r="EH83" s="51"/>
      <c r="EI83" s="51"/>
      <c r="EJ83" s="51"/>
    </row>
    <row r="84" spans="1:143">
      <c r="A84" s="1"/>
      <c r="B84" t="str">
        <f t="shared" si="331"/>
        <v>Vehicle life extension</v>
      </c>
      <c r="C84" s="54" t="s">
        <v>114</v>
      </c>
      <c r="D84" s="648">
        <f t="shared" ref="D84:AH84" si="352">D13*$EF84</f>
        <v>0</v>
      </c>
      <c r="E84" s="648">
        <f t="shared" si="352"/>
        <v>0</v>
      </c>
      <c r="F84" s="648">
        <f t="shared" si="352"/>
        <v>0</v>
      </c>
      <c r="G84" s="648">
        <f t="shared" si="352"/>
        <v>0</v>
      </c>
      <c r="H84" s="648">
        <f t="shared" si="352"/>
        <v>0</v>
      </c>
      <c r="I84" s="648">
        <f t="shared" si="352"/>
        <v>0</v>
      </c>
      <c r="J84" s="648">
        <f t="shared" si="352"/>
        <v>0</v>
      </c>
      <c r="K84" s="648">
        <f t="shared" si="352"/>
        <v>0</v>
      </c>
      <c r="L84" s="648">
        <f t="shared" si="352"/>
        <v>0</v>
      </c>
      <c r="M84" s="648">
        <f t="shared" si="352"/>
        <v>0</v>
      </c>
      <c r="N84" s="648">
        <f t="shared" si="352"/>
        <v>0</v>
      </c>
      <c r="O84" s="648">
        <f t="shared" si="352"/>
        <v>0</v>
      </c>
      <c r="P84" s="648">
        <f t="shared" si="352"/>
        <v>0</v>
      </c>
      <c r="Q84" s="648">
        <f t="shared" si="352"/>
        <v>0</v>
      </c>
      <c r="R84" s="648">
        <f t="shared" si="352"/>
        <v>0</v>
      </c>
      <c r="S84" s="648">
        <f t="shared" si="352"/>
        <v>0</v>
      </c>
      <c r="T84" s="648">
        <f t="shared" si="352"/>
        <v>0</v>
      </c>
      <c r="U84" s="648">
        <f t="shared" si="352"/>
        <v>0</v>
      </c>
      <c r="V84" s="648">
        <f t="shared" si="352"/>
        <v>0</v>
      </c>
      <c r="W84" s="648">
        <f t="shared" si="352"/>
        <v>0</v>
      </c>
      <c r="X84" s="648">
        <f t="shared" si="352"/>
        <v>0</v>
      </c>
      <c r="Y84" s="648">
        <f t="shared" si="352"/>
        <v>0</v>
      </c>
      <c r="Z84" s="648">
        <f t="shared" si="352"/>
        <v>0</v>
      </c>
      <c r="AA84" s="648">
        <f t="shared" si="352"/>
        <v>0</v>
      </c>
      <c r="AB84" s="648">
        <f t="shared" si="352"/>
        <v>0</v>
      </c>
      <c r="AC84" s="648">
        <f t="shared" si="352"/>
        <v>0</v>
      </c>
      <c r="AD84" s="648">
        <f t="shared" si="352"/>
        <v>0</v>
      </c>
      <c r="AE84" s="648">
        <f t="shared" si="352"/>
        <v>0</v>
      </c>
      <c r="AF84" s="648">
        <f t="shared" si="352"/>
        <v>0</v>
      </c>
      <c r="AG84" s="648">
        <f t="shared" si="352"/>
        <v>0</v>
      </c>
      <c r="AH84" s="648">
        <f t="shared" si="352"/>
        <v>0</v>
      </c>
      <c r="AI84" s="648"/>
      <c r="AJ84" s="648">
        <f t="shared" ref="AJ84:BN84" si="353">AJ13*$EF84</f>
        <v>0</v>
      </c>
      <c r="AK84" s="648">
        <f t="shared" si="353"/>
        <v>0</v>
      </c>
      <c r="AL84" s="648">
        <f t="shared" si="353"/>
        <v>0</v>
      </c>
      <c r="AM84" s="648">
        <f t="shared" si="353"/>
        <v>0</v>
      </c>
      <c r="AN84" s="648">
        <f t="shared" si="353"/>
        <v>0</v>
      </c>
      <c r="AO84" s="648">
        <f t="shared" si="353"/>
        <v>0</v>
      </c>
      <c r="AP84" s="648">
        <f t="shared" si="353"/>
        <v>0</v>
      </c>
      <c r="AQ84" s="648">
        <f t="shared" si="353"/>
        <v>0</v>
      </c>
      <c r="AR84" s="648">
        <f t="shared" si="353"/>
        <v>0</v>
      </c>
      <c r="AS84" s="648">
        <f t="shared" si="353"/>
        <v>0</v>
      </c>
      <c r="AT84" s="648">
        <f t="shared" si="353"/>
        <v>0</v>
      </c>
      <c r="AU84" s="648">
        <f t="shared" si="353"/>
        <v>0</v>
      </c>
      <c r="AV84" s="648">
        <f t="shared" si="353"/>
        <v>0</v>
      </c>
      <c r="AW84" s="648">
        <f t="shared" si="353"/>
        <v>0</v>
      </c>
      <c r="AX84" s="648">
        <f t="shared" si="353"/>
        <v>0</v>
      </c>
      <c r="AY84" s="648">
        <f t="shared" si="353"/>
        <v>0</v>
      </c>
      <c r="AZ84" s="648">
        <f t="shared" si="353"/>
        <v>0</v>
      </c>
      <c r="BA84" s="648">
        <f t="shared" si="353"/>
        <v>0</v>
      </c>
      <c r="BB84" s="648">
        <f t="shared" si="353"/>
        <v>0</v>
      </c>
      <c r="BC84" s="648">
        <f t="shared" si="353"/>
        <v>0</v>
      </c>
      <c r="BD84" s="648">
        <f t="shared" si="353"/>
        <v>0</v>
      </c>
      <c r="BE84" s="648">
        <f t="shared" si="353"/>
        <v>0</v>
      </c>
      <c r="BF84" s="648">
        <f t="shared" si="353"/>
        <v>0</v>
      </c>
      <c r="BG84" s="648">
        <f t="shared" si="353"/>
        <v>0</v>
      </c>
      <c r="BH84" s="648">
        <f t="shared" si="353"/>
        <v>0</v>
      </c>
      <c r="BI84" s="648">
        <f t="shared" si="353"/>
        <v>0</v>
      </c>
      <c r="BJ84" s="648">
        <f t="shared" si="353"/>
        <v>0</v>
      </c>
      <c r="BK84" s="648">
        <f t="shared" si="353"/>
        <v>0</v>
      </c>
      <c r="BL84" s="648">
        <f t="shared" si="353"/>
        <v>0</v>
      </c>
      <c r="BM84" s="648">
        <f t="shared" si="353"/>
        <v>0</v>
      </c>
      <c r="BN84" s="648">
        <f t="shared" si="353"/>
        <v>0</v>
      </c>
      <c r="BO84" s="648"/>
      <c r="BP84" s="648">
        <f t="shared" ref="BP84:CT84" si="354">BP13*$EF84</f>
        <v>0</v>
      </c>
      <c r="BQ84" s="648">
        <f t="shared" si="354"/>
        <v>0</v>
      </c>
      <c r="BR84" s="648">
        <f t="shared" si="354"/>
        <v>0</v>
      </c>
      <c r="BS84" s="648">
        <f t="shared" si="354"/>
        <v>0</v>
      </c>
      <c r="BT84" s="648">
        <f t="shared" si="354"/>
        <v>0</v>
      </c>
      <c r="BU84" s="648">
        <f t="shared" si="354"/>
        <v>0</v>
      </c>
      <c r="BV84" s="648">
        <f t="shared" si="354"/>
        <v>0</v>
      </c>
      <c r="BW84" s="648">
        <f t="shared" si="354"/>
        <v>0</v>
      </c>
      <c r="BX84" s="648">
        <f t="shared" si="354"/>
        <v>0</v>
      </c>
      <c r="BY84" s="648">
        <f t="shared" si="354"/>
        <v>0</v>
      </c>
      <c r="BZ84" s="648">
        <f t="shared" si="354"/>
        <v>0</v>
      </c>
      <c r="CA84" s="648">
        <f t="shared" si="354"/>
        <v>0</v>
      </c>
      <c r="CB84" s="648">
        <f t="shared" si="354"/>
        <v>0</v>
      </c>
      <c r="CC84" s="648">
        <f t="shared" si="354"/>
        <v>0</v>
      </c>
      <c r="CD84" s="648">
        <f t="shared" si="354"/>
        <v>0</v>
      </c>
      <c r="CE84" s="648">
        <f t="shared" si="354"/>
        <v>0</v>
      </c>
      <c r="CF84" s="648">
        <f t="shared" si="354"/>
        <v>0</v>
      </c>
      <c r="CG84" s="648">
        <f t="shared" si="354"/>
        <v>0</v>
      </c>
      <c r="CH84" s="648">
        <f t="shared" si="354"/>
        <v>0</v>
      </c>
      <c r="CI84" s="648">
        <f t="shared" si="354"/>
        <v>0</v>
      </c>
      <c r="CJ84" s="648">
        <f t="shared" si="354"/>
        <v>0</v>
      </c>
      <c r="CK84" s="648">
        <f t="shared" si="354"/>
        <v>0</v>
      </c>
      <c r="CL84" s="648">
        <f t="shared" si="354"/>
        <v>0</v>
      </c>
      <c r="CM84" s="648">
        <f t="shared" si="354"/>
        <v>0</v>
      </c>
      <c r="CN84" s="648">
        <f t="shared" si="354"/>
        <v>0</v>
      </c>
      <c r="CO84" s="648">
        <f t="shared" si="354"/>
        <v>0</v>
      </c>
      <c r="CP84" s="648">
        <f t="shared" si="354"/>
        <v>0</v>
      </c>
      <c r="CQ84" s="648">
        <f t="shared" si="354"/>
        <v>0</v>
      </c>
      <c r="CR84" s="648">
        <f t="shared" si="354"/>
        <v>0</v>
      </c>
      <c r="CS84" s="648">
        <f t="shared" si="354"/>
        <v>0</v>
      </c>
      <c r="CT84" s="648">
        <f t="shared" si="354"/>
        <v>0</v>
      </c>
      <c r="CU84" s="648"/>
      <c r="CV84" s="648">
        <f t="shared" ref="CV84:DZ84" si="355">CV13*$EF84</f>
        <v>0</v>
      </c>
      <c r="CW84" s="648">
        <f t="shared" si="355"/>
        <v>0</v>
      </c>
      <c r="CX84" s="648">
        <f t="shared" si="355"/>
        <v>0</v>
      </c>
      <c r="CY84" s="648">
        <f t="shared" si="355"/>
        <v>0</v>
      </c>
      <c r="CZ84" s="648">
        <f t="shared" si="355"/>
        <v>0</v>
      </c>
      <c r="DA84" s="648">
        <f t="shared" si="355"/>
        <v>0</v>
      </c>
      <c r="DB84" s="648">
        <f t="shared" si="355"/>
        <v>0</v>
      </c>
      <c r="DC84" s="648">
        <f t="shared" si="355"/>
        <v>0</v>
      </c>
      <c r="DD84" s="648">
        <f t="shared" si="355"/>
        <v>0</v>
      </c>
      <c r="DE84" s="648">
        <f t="shared" si="355"/>
        <v>0</v>
      </c>
      <c r="DF84" s="648">
        <f t="shared" si="355"/>
        <v>0</v>
      </c>
      <c r="DG84" s="648">
        <f t="shared" si="355"/>
        <v>0</v>
      </c>
      <c r="DH84" s="648">
        <f t="shared" si="355"/>
        <v>0</v>
      </c>
      <c r="DI84" s="648">
        <f t="shared" si="355"/>
        <v>0</v>
      </c>
      <c r="DJ84" s="648">
        <f t="shared" si="355"/>
        <v>0</v>
      </c>
      <c r="DK84" s="648">
        <f t="shared" si="355"/>
        <v>0</v>
      </c>
      <c r="DL84" s="648">
        <f t="shared" si="355"/>
        <v>0</v>
      </c>
      <c r="DM84" s="648">
        <f t="shared" si="355"/>
        <v>0</v>
      </c>
      <c r="DN84" s="648">
        <f t="shared" si="355"/>
        <v>0</v>
      </c>
      <c r="DO84" s="648">
        <f t="shared" si="355"/>
        <v>0</v>
      </c>
      <c r="DP84" s="648">
        <f t="shared" si="355"/>
        <v>0</v>
      </c>
      <c r="DQ84" s="648">
        <f t="shared" si="355"/>
        <v>0</v>
      </c>
      <c r="DR84" s="648">
        <f t="shared" si="355"/>
        <v>0</v>
      </c>
      <c r="DS84" s="648">
        <f t="shared" si="355"/>
        <v>0</v>
      </c>
      <c r="DT84" s="648">
        <f t="shared" si="355"/>
        <v>0</v>
      </c>
      <c r="DU84" s="648">
        <f t="shared" si="355"/>
        <v>0</v>
      </c>
      <c r="DV84" s="648">
        <f t="shared" si="355"/>
        <v>0</v>
      </c>
      <c r="DW84" s="648">
        <f t="shared" si="355"/>
        <v>0</v>
      </c>
      <c r="DX84" s="648">
        <f t="shared" si="355"/>
        <v>0</v>
      </c>
      <c r="DY84" s="648">
        <f t="shared" si="355"/>
        <v>0</v>
      </c>
      <c r="DZ84" s="648">
        <f t="shared" si="355"/>
        <v>0</v>
      </c>
      <c r="EF84" s="610">
        <v>100</v>
      </c>
      <c r="EG84" s="51"/>
      <c r="EH84" s="51"/>
      <c r="EI84" s="51"/>
      <c r="EJ84" s="51"/>
    </row>
    <row r="85" spans="1:143">
      <c r="A85" s="1"/>
      <c r="B85" t="str">
        <f t="shared" si="331"/>
        <v>Building reduction</v>
      </c>
      <c r="C85" s="54" t="s">
        <v>114</v>
      </c>
      <c r="D85" s="648">
        <f t="shared" ref="D85:AH85" si="356">D14*$EF85</f>
        <v>0</v>
      </c>
      <c r="E85" s="648">
        <f t="shared" si="356"/>
        <v>0</v>
      </c>
      <c r="F85" s="648">
        <f t="shared" si="356"/>
        <v>0</v>
      </c>
      <c r="G85" s="648">
        <f t="shared" si="356"/>
        <v>0</v>
      </c>
      <c r="H85" s="648">
        <f t="shared" si="356"/>
        <v>0</v>
      </c>
      <c r="I85" s="648">
        <f t="shared" si="356"/>
        <v>0</v>
      </c>
      <c r="J85" s="648">
        <f t="shared" si="356"/>
        <v>0</v>
      </c>
      <c r="K85" s="648">
        <f t="shared" si="356"/>
        <v>0</v>
      </c>
      <c r="L85" s="648">
        <f t="shared" si="356"/>
        <v>0</v>
      </c>
      <c r="M85" s="648">
        <f t="shared" si="356"/>
        <v>0</v>
      </c>
      <c r="N85" s="648">
        <f t="shared" si="356"/>
        <v>0</v>
      </c>
      <c r="O85" s="648">
        <f t="shared" si="356"/>
        <v>0</v>
      </c>
      <c r="P85" s="648">
        <f t="shared" si="356"/>
        <v>0</v>
      </c>
      <c r="Q85" s="648">
        <f t="shared" si="356"/>
        <v>0</v>
      </c>
      <c r="R85" s="648">
        <f t="shared" si="356"/>
        <v>0</v>
      </c>
      <c r="S85" s="648">
        <f t="shared" si="356"/>
        <v>0</v>
      </c>
      <c r="T85" s="648">
        <f t="shared" si="356"/>
        <v>0</v>
      </c>
      <c r="U85" s="648">
        <f t="shared" si="356"/>
        <v>0</v>
      </c>
      <c r="V85" s="648">
        <f t="shared" si="356"/>
        <v>0</v>
      </c>
      <c r="W85" s="648">
        <f t="shared" si="356"/>
        <v>0</v>
      </c>
      <c r="X85" s="648">
        <f t="shared" si="356"/>
        <v>0</v>
      </c>
      <c r="Y85" s="648">
        <f t="shared" si="356"/>
        <v>0</v>
      </c>
      <c r="Z85" s="648">
        <f t="shared" si="356"/>
        <v>0</v>
      </c>
      <c r="AA85" s="648">
        <f t="shared" si="356"/>
        <v>0</v>
      </c>
      <c r="AB85" s="648">
        <f t="shared" si="356"/>
        <v>0</v>
      </c>
      <c r="AC85" s="648">
        <f t="shared" si="356"/>
        <v>0</v>
      </c>
      <c r="AD85" s="648">
        <f t="shared" si="356"/>
        <v>0</v>
      </c>
      <c r="AE85" s="648">
        <f t="shared" si="356"/>
        <v>0</v>
      </c>
      <c r="AF85" s="648">
        <f t="shared" si="356"/>
        <v>0</v>
      </c>
      <c r="AG85" s="648">
        <f t="shared" si="356"/>
        <v>0</v>
      </c>
      <c r="AH85" s="648">
        <f t="shared" si="356"/>
        <v>0</v>
      </c>
      <c r="AI85" s="648"/>
      <c r="AJ85" s="648">
        <f t="shared" ref="AJ85:BN85" si="357">AJ14*$EF85</f>
        <v>0</v>
      </c>
      <c r="AK85" s="648">
        <f t="shared" si="357"/>
        <v>0</v>
      </c>
      <c r="AL85" s="648">
        <f t="shared" si="357"/>
        <v>0</v>
      </c>
      <c r="AM85" s="648">
        <f t="shared" si="357"/>
        <v>0</v>
      </c>
      <c r="AN85" s="648">
        <f t="shared" si="357"/>
        <v>0</v>
      </c>
      <c r="AO85" s="648">
        <f t="shared" si="357"/>
        <v>0</v>
      </c>
      <c r="AP85" s="648">
        <f t="shared" si="357"/>
        <v>0</v>
      </c>
      <c r="AQ85" s="648">
        <f t="shared" si="357"/>
        <v>0</v>
      </c>
      <c r="AR85" s="648">
        <f t="shared" si="357"/>
        <v>0</v>
      </c>
      <c r="AS85" s="648">
        <f t="shared" si="357"/>
        <v>0</v>
      </c>
      <c r="AT85" s="648">
        <f t="shared" si="357"/>
        <v>0</v>
      </c>
      <c r="AU85" s="648">
        <f t="shared" si="357"/>
        <v>0</v>
      </c>
      <c r="AV85" s="648">
        <f t="shared" si="357"/>
        <v>0</v>
      </c>
      <c r="AW85" s="648">
        <f t="shared" si="357"/>
        <v>0</v>
      </c>
      <c r="AX85" s="648">
        <f t="shared" si="357"/>
        <v>0</v>
      </c>
      <c r="AY85" s="648">
        <f t="shared" si="357"/>
        <v>0</v>
      </c>
      <c r="AZ85" s="648">
        <f t="shared" si="357"/>
        <v>0</v>
      </c>
      <c r="BA85" s="648">
        <f t="shared" si="357"/>
        <v>0</v>
      </c>
      <c r="BB85" s="648">
        <f t="shared" si="357"/>
        <v>0</v>
      </c>
      <c r="BC85" s="648">
        <f t="shared" si="357"/>
        <v>0</v>
      </c>
      <c r="BD85" s="648">
        <f t="shared" si="357"/>
        <v>0</v>
      </c>
      <c r="BE85" s="648">
        <f t="shared" si="357"/>
        <v>0</v>
      </c>
      <c r="BF85" s="648">
        <f t="shared" si="357"/>
        <v>0</v>
      </c>
      <c r="BG85" s="648">
        <f t="shared" si="357"/>
        <v>0</v>
      </c>
      <c r="BH85" s="648">
        <f t="shared" si="357"/>
        <v>0</v>
      </c>
      <c r="BI85" s="648">
        <f t="shared" si="357"/>
        <v>0</v>
      </c>
      <c r="BJ85" s="648">
        <f t="shared" si="357"/>
        <v>0</v>
      </c>
      <c r="BK85" s="648">
        <f t="shared" si="357"/>
        <v>0</v>
      </c>
      <c r="BL85" s="648">
        <f t="shared" si="357"/>
        <v>0</v>
      </c>
      <c r="BM85" s="648">
        <f t="shared" si="357"/>
        <v>0</v>
      </c>
      <c r="BN85" s="648">
        <f t="shared" si="357"/>
        <v>0</v>
      </c>
      <c r="BO85" s="648"/>
      <c r="BP85" s="648">
        <f t="shared" ref="BP85:CT85" si="358">BP14*$EF85</f>
        <v>0</v>
      </c>
      <c r="BQ85" s="648">
        <f t="shared" si="358"/>
        <v>0</v>
      </c>
      <c r="BR85" s="648">
        <f t="shared" si="358"/>
        <v>0</v>
      </c>
      <c r="BS85" s="648">
        <f t="shared" si="358"/>
        <v>0</v>
      </c>
      <c r="BT85" s="648">
        <f t="shared" si="358"/>
        <v>0</v>
      </c>
      <c r="BU85" s="648">
        <f t="shared" si="358"/>
        <v>0</v>
      </c>
      <c r="BV85" s="648">
        <f t="shared" si="358"/>
        <v>0</v>
      </c>
      <c r="BW85" s="648">
        <f t="shared" si="358"/>
        <v>0</v>
      </c>
      <c r="BX85" s="648">
        <f t="shared" si="358"/>
        <v>0</v>
      </c>
      <c r="BY85" s="648">
        <f t="shared" si="358"/>
        <v>0</v>
      </c>
      <c r="BZ85" s="648">
        <f t="shared" si="358"/>
        <v>0</v>
      </c>
      <c r="CA85" s="648">
        <f t="shared" si="358"/>
        <v>0</v>
      </c>
      <c r="CB85" s="648">
        <f t="shared" si="358"/>
        <v>0</v>
      </c>
      <c r="CC85" s="648">
        <f t="shared" si="358"/>
        <v>0</v>
      </c>
      <c r="CD85" s="648">
        <f t="shared" si="358"/>
        <v>0</v>
      </c>
      <c r="CE85" s="648">
        <f t="shared" si="358"/>
        <v>0</v>
      </c>
      <c r="CF85" s="648">
        <f t="shared" si="358"/>
        <v>0</v>
      </c>
      <c r="CG85" s="648">
        <f t="shared" si="358"/>
        <v>0</v>
      </c>
      <c r="CH85" s="648">
        <f t="shared" si="358"/>
        <v>0</v>
      </c>
      <c r="CI85" s="648">
        <f t="shared" si="358"/>
        <v>0</v>
      </c>
      <c r="CJ85" s="648">
        <f t="shared" si="358"/>
        <v>0</v>
      </c>
      <c r="CK85" s="648">
        <f t="shared" si="358"/>
        <v>0</v>
      </c>
      <c r="CL85" s="648">
        <f t="shared" si="358"/>
        <v>0</v>
      </c>
      <c r="CM85" s="648">
        <f t="shared" si="358"/>
        <v>0</v>
      </c>
      <c r="CN85" s="648">
        <f t="shared" si="358"/>
        <v>0</v>
      </c>
      <c r="CO85" s="648">
        <f t="shared" si="358"/>
        <v>0</v>
      </c>
      <c r="CP85" s="648">
        <f t="shared" si="358"/>
        <v>0</v>
      </c>
      <c r="CQ85" s="648">
        <f t="shared" si="358"/>
        <v>0</v>
      </c>
      <c r="CR85" s="648">
        <f t="shared" si="358"/>
        <v>0</v>
      </c>
      <c r="CS85" s="648">
        <f t="shared" si="358"/>
        <v>0</v>
      </c>
      <c r="CT85" s="648">
        <f t="shared" si="358"/>
        <v>0</v>
      </c>
      <c r="CU85" s="648"/>
      <c r="CV85" s="648">
        <f t="shared" ref="CV85:DZ85" si="359">CV14*$EF85</f>
        <v>0</v>
      </c>
      <c r="CW85" s="648">
        <f t="shared" si="359"/>
        <v>0</v>
      </c>
      <c r="CX85" s="648">
        <f t="shared" si="359"/>
        <v>0</v>
      </c>
      <c r="CY85" s="648">
        <f t="shared" si="359"/>
        <v>0</v>
      </c>
      <c r="CZ85" s="648">
        <f t="shared" si="359"/>
        <v>0</v>
      </c>
      <c r="DA85" s="648">
        <f t="shared" si="359"/>
        <v>0</v>
      </c>
      <c r="DB85" s="648">
        <f t="shared" si="359"/>
        <v>0</v>
      </c>
      <c r="DC85" s="648">
        <f t="shared" si="359"/>
        <v>0</v>
      </c>
      <c r="DD85" s="648">
        <f t="shared" si="359"/>
        <v>0</v>
      </c>
      <c r="DE85" s="648">
        <f t="shared" si="359"/>
        <v>0</v>
      </c>
      <c r="DF85" s="648">
        <f t="shared" si="359"/>
        <v>0</v>
      </c>
      <c r="DG85" s="648">
        <f t="shared" si="359"/>
        <v>0</v>
      </c>
      <c r="DH85" s="648">
        <f t="shared" si="359"/>
        <v>0</v>
      </c>
      <c r="DI85" s="648">
        <f t="shared" si="359"/>
        <v>0</v>
      </c>
      <c r="DJ85" s="648">
        <f t="shared" si="359"/>
        <v>0</v>
      </c>
      <c r="DK85" s="648">
        <f t="shared" si="359"/>
        <v>0</v>
      </c>
      <c r="DL85" s="648">
        <f t="shared" si="359"/>
        <v>0</v>
      </c>
      <c r="DM85" s="648">
        <f t="shared" si="359"/>
        <v>0</v>
      </c>
      <c r="DN85" s="648">
        <f t="shared" si="359"/>
        <v>0</v>
      </c>
      <c r="DO85" s="648">
        <f t="shared" si="359"/>
        <v>0</v>
      </c>
      <c r="DP85" s="648">
        <f t="shared" si="359"/>
        <v>0</v>
      </c>
      <c r="DQ85" s="648">
        <f t="shared" si="359"/>
        <v>0</v>
      </c>
      <c r="DR85" s="648">
        <f t="shared" si="359"/>
        <v>0</v>
      </c>
      <c r="DS85" s="648">
        <f t="shared" si="359"/>
        <v>0</v>
      </c>
      <c r="DT85" s="648">
        <f t="shared" si="359"/>
        <v>0</v>
      </c>
      <c r="DU85" s="648">
        <f t="shared" si="359"/>
        <v>0</v>
      </c>
      <c r="DV85" s="648">
        <f t="shared" si="359"/>
        <v>0</v>
      </c>
      <c r="DW85" s="648">
        <f t="shared" si="359"/>
        <v>0</v>
      </c>
      <c r="DX85" s="648">
        <f t="shared" si="359"/>
        <v>0</v>
      </c>
      <c r="DY85" s="648">
        <f t="shared" si="359"/>
        <v>0</v>
      </c>
      <c r="DZ85" s="648">
        <f t="shared" si="359"/>
        <v>0</v>
      </c>
      <c r="EF85" s="51">
        <v>0</v>
      </c>
      <c r="EG85" s="51"/>
      <c r="EH85" s="51"/>
      <c r="EI85" s="51"/>
      <c r="EJ85" s="51"/>
      <c r="EM85" t="s">
        <v>99</v>
      </c>
    </row>
    <row r="86" spans="1:143">
      <c r="A86" s="1"/>
      <c r="B86" t="str">
        <f t="shared" si="331"/>
        <v>Building substitution</v>
      </c>
      <c r="C86" s="54" t="s">
        <v>114</v>
      </c>
      <c r="D86" s="648">
        <f t="shared" ref="D86:AH86" si="360">D15*$EF86</f>
        <v>0</v>
      </c>
      <c r="E86" s="648">
        <f t="shared" si="360"/>
        <v>0</v>
      </c>
      <c r="F86" s="648">
        <f t="shared" si="360"/>
        <v>0</v>
      </c>
      <c r="G86" s="648">
        <f t="shared" si="360"/>
        <v>0</v>
      </c>
      <c r="H86" s="648">
        <f t="shared" si="360"/>
        <v>0</v>
      </c>
      <c r="I86" s="648">
        <f t="shared" si="360"/>
        <v>0</v>
      </c>
      <c r="J86" s="648">
        <f t="shared" si="360"/>
        <v>0</v>
      </c>
      <c r="K86" s="648">
        <f t="shared" si="360"/>
        <v>0</v>
      </c>
      <c r="L86" s="648">
        <f t="shared" si="360"/>
        <v>0</v>
      </c>
      <c r="M86" s="648">
        <f t="shared" si="360"/>
        <v>0</v>
      </c>
      <c r="N86" s="648">
        <f t="shared" si="360"/>
        <v>0</v>
      </c>
      <c r="O86" s="648">
        <f t="shared" si="360"/>
        <v>0</v>
      </c>
      <c r="P86" s="648">
        <f t="shared" si="360"/>
        <v>0</v>
      </c>
      <c r="Q86" s="648">
        <f t="shared" si="360"/>
        <v>0</v>
      </c>
      <c r="R86" s="648">
        <f t="shared" si="360"/>
        <v>0</v>
      </c>
      <c r="S86" s="648">
        <f t="shared" si="360"/>
        <v>0</v>
      </c>
      <c r="T86" s="648">
        <f t="shared" si="360"/>
        <v>0</v>
      </c>
      <c r="U86" s="648">
        <f t="shared" si="360"/>
        <v>0</v>
      </c>
      <c r="V86" s="648">
        <f t="shared" si="360"/>
        <v>0</v>
      </c>
      <c r="W86" s="648">
        <f t="shared" si="360"/>
        <v>0</v>
      </c>
      <c r="X86" s="648">
        <f t="shared" si="360"/>
        <v>0</v>
      </c>
      <c r="Y86" s="648">
        <f t="shared" si="360"/>
        <v>0</v>
      </c>
      <c r="Z86" s="648">
        <f t="shared" si="360"/>
        <v>0</v>
      </c>
      <c r="AA86" s="648">
        <f t="shared" si="360"/>
        <v>0</v>
      </c>
      <c r="AB86" s="648">
        <f t="shared" si="360"/>
        <v>0</v>
      </c>
      <c r="AC86" s="648">
        <f t="shared" si="360"/>
        <v>0</v>
      </c>
      <c r="AD86" s="648">
        <f t="shared" si="360"/>
        <v>0</v>
      </c>
      <c r="AE86" s="648">
        <f t="shared" si="360"/>
        <v>0</v>
      </c>
      <c r="AF86" s="648">
        <f t="shared" si="360"/>
        <v>0</v>
      </c>
      <c r="AG86" s="648">
        <f t="shared" si="360"/>
        <v>0</v>
      </c>
      <c r="AH86" s="648">
        <f t="shared" si="360"/>
        <v>0</v>
      </c>
      <c r="AI86" s="648"/>
      <c r="AJ86" s="648">
        <f t="shared" ref="AJ86:BN86" si="361">AJ15*$EF86</f>
        <v>0</v>
      </c>
      <c r="AK86" s="648">
        <f t="shared" si="361"/>
        <v>0</v>
      </c>
      <c r="AL86" s="648">
        <f t="shared" si="361"/>
        <v>0</v>
      </c>
      <c r="AM86" s="648">
        <f t="shared" si="361"/>
        <v>0</v>
      </c>
      <c r="AN86" s="648">
        <f t="shared" si="361"/>
        <v>0</v>
      </c>
      <c r="AO86" s="648">
        <f t="shared" si="361"/>
        <v>0</v>
      </c>
      <c r="AP86" s="648">
        <f t="shared" si="361"/>
        <v>0</v>
      </c>
      <c r="AQ86" s="648">
        <f t="shared" si="361"/>
        <v>0</v>
      </c>
      <c r="AR86" s="648">
        <f t="shared" si="361"/>
        <v>0</v>
      </c>
      <c r="AS86" s="648">
        <f t="shared" si="361"/>
        <v>0</v>
      </c>
      <c r="AT86" s="648">
        <f t="shared" si="361"/>
        <v>0</v>
      </c>
      <c r="AU86" s="648">
        <f t="shared" si="361"/>
        <v>0</v>
      </c>
      <c r="AV86" s="648">
        <f t="shared" si="361"/>
        <v>0</v>
      </c>
      <c r="AW86" s="648">
        <f t="shared" si="361"/>
        <v>0</v>
      </c>
      <c r="AX86" s="648">
        <f t="shared" si="361"/>
        <v>0</v>
      </c>
      <c r="AY86" s="648">
        <f t="shared" si="361"/>
        <v>0</v>
      </c>
      <c r="AZ86" s="648">
        <f t="shared" si="361"/>
        <v>0</v>
      </c>
      <c r="BA86" s="648">
        <f t="shared" si="361"/>
        <v>0</v>
      </c>
      <c r="BB86" s="648">
        <f t="shared" si="361"/>
        <v>0</v>
      </c>
      <c r="BC86" s="648">
        <f t="shared" si="361"/>
        <v>0</v>
      </c>
      <c r="BD86" s="648">
        <f t="shared" si="361"/>
        <v>0</v>
      </c>
      <c r="BE86" s="648">
        <f t="shared" si="361"/>
        <v>0</v>
      </c>
      <c r="BF86" s="648">
        <f t="shared" si="361"/>
        <v>0</v>
      </c>
      <c r="BG86" s="648">
        <f t="shared" si="361"/>
        <v>0</v>
      </c>
      <c r="BH86" s="648">
        <f t="shared" si="361"/>
        <v>0</v>
      </c>
      <c r="BI86" s="648">
        <f t="shared" si="361"/>
        <v>0</v>
      </c>
      <c r="BJ86" s="648">
        <f t="shared" si="361"/>
        <v>0</v>
      </c>
      <c r="BK86" s="648">
        <f t="shared" si="361"/>
        <v>0</v>
      </c>
      <c r="BL86" s="648">
        <f t="shared" si="361"/>
        <v>0</v>
      </c>
      <c r="BM86" s="648">
        <f t="shared" si="361"/>
        <v>0</v>
      </c>
      <c r="BN86" s="648">
        <f t="shared" si="361"/>
        <v>0</v>
      </c>
      <c r="BO86" s="648"/>
      <c r="BP86" s="648">
        <f t="shared" ref="BP86:CT86" si="362">BP15*$EF86</f>
        <v>0</v>
      </c>
      <c r="BQ86" s="648">
        <f t="shared" si="362"/>
        <v>0</v>
      </c>
      <c r="BR86" s="648">
        <f t="shared" si="362"/>
        <v>0</v>
      </c>
      <c r="BS86" s="648">
        <f t="shared" si="362"/>
        <v>0</v>
      </c>
      <c r="BT86" s="648">
        <f t="shared" si="362"/>
        <v>0</v>
      </c>
      <c r="BU86" s="648">
        <f t="shared" si="362"/>
        <v>0</v>
      </c>
      <c r="BV86" s="648">
        <f t="shared" si="362"/>
        <v>0</v>
      </c>
      <c r="BW86" s="648">
        <f t="shared" si="362"/>
        <v>0</v>
      </c>
      <c r="BX86" s="648">
        <f t="shared" si="362"/>
        <v>0</v>
      </c>
      <c r="BY86" s="648">
        <f t="shared" si="362"/>
        <v>0</v>
      </c>
      <c r="BZ86" s="648">
        <f t="shared" si="362"/>
        <v>0</v>
      </c>
      <c r="CA86" s="648">
        <f t="shared" si="362"/>
        <v>0</v>
      </c>
      <c r="CB86" s="648">
        <f t="shared" si="362"/>
        <v>0</v>
      </c>
      <c r="CC86" s="648">
        <f t="shared" si="362"/>
        <v>0</v>
      </c>
      <c r="CD86" s="648">
        <f t="shared" si="362"/>
        <v>0</v>
      </c>
      <c r="CE86" s="648">
        <f t="shared" si="362"/>
        <v>0</v>
      </c>
      <c r="CF86" s="648">
        <f t="shared" si="362"/>
        <v>0</v>
      </c>
      <c r="CG86" s="648">
        <f t="shared" si="362"/>
        <v>0</v>
      </c>
      <c r="CH86" s="648">
        <f t="shared" si="362"/>
        <v>0</v>
      </c>
      <c r="CI86" s="648">
        <f t="shared" si="362"/>
        <v>0</v>
      </c>
      <c r="CJ86" s="648">
        <f t="shared" si="362"/>
        <v>0</v>
      </c>
      <c r="CK86" s="648">
        <f t="shared" si="362"/>
        <v>0</v>
      </c>
      <c r="CL86" s="648">
        <f t="shared" si="362"/>
        <v>0</v>
      </c>
      <c r="CM86" s="648">
        <f t="shared" si="362"/>
        <v>0</v>
      </c>
      <c r="CN86" s="648">
        <f t="shared" si="362"/>
        <v>0</v>
      </c>
      <c r="CO86" s="648">
        <f t="shared" si="362"/>
        <v>0</v>
      </c>
      <c r="CP86" s="648">
        <f t="shared" si="362"/>
        <v>0</v>
      </c>
      <c r="CQ86" s="648">
        <f t="shared" si="362"/>
        <v>0</v>
      </c>
      <c r="CR86" s="648">
        <f t="shared" si="362"/>
        <v>0</v>
      </c>
      <c r="CS86" s="648">
        <f t="shared" si="362"/>
        <v>0</v>
      </c>
      <c r="CT86" s="648">
        <f t="shared" si="362"/>
        <v>0</v>
      </c>
      <c r="CU86" s="648"/>
      <c r="CV86" s="648">
        <f t="shared" ref="CV86:DZ86" si="363">CV15*$EF86</f>
        <v>0</v>
      </c>
      <c r="CW86" s="648">
        <f t="shared" si="363"/>
        <v>0</v>
      </c>
      <c r="CX86" s="648">
        <f t="shared" si="363"/>
        <v>0</v>
      </c>
      <c r="CY86" s="648">
        <f t="shared" si="363"/>
        <v>0</v>
      </c>
      <c r="CZ86" s="648">
        <f t="shared" si="363"/>
        <v>0</v>
      </c>
      <c r="DA86" s="648">
        <f t="shared" si="363"/>
        <v>0</v>
      </c>
      <c r="DB86" s="648">
        <f t="shared" si="363"/>
        <v>0</v>
      </c>
      <c r="DC86" s="648">
        <f t="shared" si="363"/>
        <v>0</v>
      </c>
      <c r="DD86" s="648">
        <f t="shared" si="363"/>
        <v>0</v>
      </c>
      <c r="DE86" s="648">
        <f t="shared" si="363"/>
        <v>0</v>
      </c>
      <c r="DF86" s="648">
        <f t="shared" si="363"/>
        <v>0</v>
      </c>
      <c r="DG86" s="648">
        <f t="shared" si="363"/>
        <v>0</v>
      </c>
      <c r="DH86" s="648">
        <f t="shared" si="363"/>
        <v>0</v>
      </c>
      <c r="DI86" s="648">
        <f t="shared" si="363"/>
        <v>0</v>
      </c>
      <c r="DJ86" s="648">
        <f t="shared" si="363"/>
        <v>0</v>
      </c>
      <c r="DK86" s="648">
        <f t="shared" si="363"/>
        <v>0</v>
      </c>
      <c r="DL86" s="648">
        <f t="shared" si="363"/>
        <v>0</v>
      </c>
      <c r="DM86" s="648">
        <f t="shared" si="363"/>
        <v>0</v>
      </c>
      <c r="DN86" s="648">
        <f t="shared" si="363"/>
        <v>0</v>
      </c>
      <c r="DO86" s="648">
        <f t="shared" si="363"/>
        <v>0</v>
      </c>
      <c r="DP86" s="648">
        <f t="shared" si="363"/>
        <v>0</v>
      </c>
      <c r="DQ86" s="648">
        <f t="shared" si="363"/>
        <v>0</v>
      </c>
      <c r="DR86" s="648">
        <f t="shared" si="363"/>
        <v>0</v>
      </c>
      <c r="DS86" s="648">
        <f t="shared" si="363"/>
        <v>0</v>
      </c>
      <c r="DT86" s="648">
        <f t="shared" si="363"/>
        <v>0</v>
      </c>
      <c r="DU86" s="648">
        <f t="shared" si="363"/>
        <v>0</v>
      </c>
      <c r="DV86" s="648">
        <f t="shared" si="363"/>
        <v>0</v>
      </c>
      <c r="DW86" s="648">
        <f t="shared" si="363"/>
        <v>0</v>
      </c>
      <c r="DX86" s="648">
        <f t="shared" si="363"/>
        <v>0</v>
      </c>
      <c r="DY86" s="648">
        <f t="shared" si="363"/>
        <v>0</v>
      </c>
      <c r="DZ86" s="648">
        <f t="shared" si="363"/>
        <v>0</v>
      </c>
      <c r="EF86" s="610">
        <v>100</v>
      </c>
      <c r="EG86" s="51"/>
      <c r="EH86" s="51"/>
      <c r="EI86" s="51"/>
      <c r="EJ86" s="51"/>
      <c r="EM86" t="s">
        <v>99</v>
      </c>
    </row>
    <row r="87" spans="1:143">
      <c r="A87" s="1"/>
      <c r="B87" t="str">
        <f t="shared" si="331"/>
        <v>Apparel - waste reduction</v>
      </c>
      <c r="C87" s="54" t="s">
        <v>114</v>
      </c>
      <c r="D87" s="648">
        <f t="shared" ref="D87:AH87" si="364">D16*$EF87</f>
        <v>0</v>
      </c>
      <c r="E87" s="648">
        <f t="shared" si="364"/>
        <v>0</v>
      </c>
      <c r="F87" s="648">
        <f t="shared" si="364"/>
        <v>0</v>
      </c>
      <c r="G87" s="648">
        <f t="shared" si="364"/>
        <v>0</v>
      </c>
      <c r="H87" s="648">
        <f t="shared" si="364"/>
        <v>0</v>
      </c>
      <c r="I87" s="648">
        <f t="shared" si="364"/>
        <v>0</v>
      </c>
      <c r="J87" s="648">
        <f t="shared" si="364"/>
        <v>0</v>
      </c>
      <c r="K87" s="648">
        <f t="shared" si="364"/>
        <v>0</v>
      </c>
      <c r="L87" s="648">
        <f t="shared" si="364"/>
        <v>0</v>
      </c>
      <c r="M87" s="648">
        <f t="shared" si="364"/>
        <v>0</v>
      </c>
      <c r="N87" s="648">
        <f t="shared" si="364"/>
        <v>0</v>
      </c>
      <c r="O87" s="648">
        <f t="shared" si="364"/>
        <v>0</v>
      </c>
      <c r="P87" s="648">
        <f t="shared" si="364"/>
        <v>0</v>
      </c>
      <c r="Q87" s="648">
        <f t="shared" si="364"/>
        <v>0</v>
      </c>
      <c r="R87" s="648">
        <f t="shared" si="364"/>
        <v>0</v>
      </c>
      <c r="S87" s="648">
        <f t="shared" si="364"/>
        <v>0</v>
      </c>
      <c r="T87" s="648">
        <f t="shared" si="364"/>
        <v>0</v>
      </c>
      <c r="U87" s="648">
        <f t="shared" si="364"/>
        <v>0</v>
      </c>
      <c r="V87" s="648">
        <f t="shared" si="364"/>
        <v>0</v>
      </c>
      <c r="W87" s="648">
        <f t="shared" si="364"/>
        <v>0</v>
      </c>
      <c r="X87" s="648">
        <f t="shared" si="364"/>
        <v>0</v>
      </c>
      <c r="Y87" s="648">
        <f t="shared" si="364"/>
        <v>0</v>
      </c>
      <c r="Z87" s="648">
        <f t="shared" si="364"/>
        <v>0</v>
      </c>
      <c r="AA87" s="648">
        <f t="shared" si="364"/>
        <v>0</v>
      </c>
      <c r="AB87" s="648">
        <f t="shared" si="364"/>
        <v>0</v>
      </c>
      <c r="AC87" s="648">
        <f t="shared" si="364"/>
        <v>0</v>
      </c>
      <c r="AD87" s="648">
        <f t="shared" si="364"/>
        <v>0</v>
      </c>
      <c r="AE87" s="648">
        <f t="shared" si="364"/>
        <v>0</v>
      </c>
      <c r="AF87" s="648">
        <f t="shared" si="364"/>
        <v>0</v>
      </c>
      <c r="AG87" s="648">
        <f t="shared" si="364"/>
        <v>0</v>
      </c>
      <c r="AH87" s="648">
        <f t="shared" si="364"/>
        <v>0</v>
      </c>
      <c r="AI87" s="648"/>
      <c r="AJ87" s="648">
        <f t="shared" ref="AJ87:BN87" si="365">AJ16*$EF87</f>
        <v>0</v>
      </c>
      <c r="AK87" s="648">
        <f t="shared" si="365"/>
        <v>0</v>
      </c>
      <c r="AL87" s="648">
        <f t="shared" si="365"/>
        <v>0</v>
      </c>
      <c r="AM87" s="648">
        <f t="shared" si="365"/>
        <v>0</v>
      </c>
      <c r="AN87" s="648">
        <f t="shared" si="365"/>
        <v>0</v>
      </c>
      <c r="AO87" s="648">
        <f t="shared" si="365"/>
        <v>0</v>
      </c>
      <c r="AP87" s="648">
        <f t="shared" si="365"/>
        <v>0</v>
      </c>
      <c r="AQ87" s="648">
        <f t="shared" si="365"/>
        <v>0</v>
      </c>
      <c r="AR87" s="648">
        <f t="shared" si="365"/>
        <v>0</v>
      </c>
      <c r="AS87" s="648">
        <f t="shared" si="365"/>
        <v>0</v>
      </c>
      <c r="AT87" s="648">
        <f t="shared" si="365"/>
        <v>0</v>
      </c>
      <c r="AU87" s="648">
        <f t="shared" si="365"/>
        <v>0</v>
      </c>
      <c r="AV87" s="648">
        <f t="shared" si="365"/>
        <v>0</v>
      </c>
      <c r="AW87" s="648">
        <f t="shared" si="365"/>
        <v>0</v>
      </c>
      <c r="AX87" s="648">
        <f t="shared" si="365"/>
        <v>0</v>
      </c>
      <c r="AY87" s="648">
        <f t="shared" si="365"/>
        <v>0</v>
      </c>
      <c r="AZ87" s="648">
        <f t="shared" si="365"/>
        <v>0</v>
      </c>
      <c r="BA87" s="648">
        <f t="shared" si="365"/>
        <v>0</v>
      </c>
      <c r="BB87" s="648">
        <f t="shared" si="365"/>
        <v>0</v>
      </c>
      <c r="BC87" s="648">
        <f t="shared" si="365"/>
        <v>0</v>
      </c>
      <c r="BD87" s="648">
        <f t="shared" si="365"/>
        <v>0</v>
      </c>
      <c r="BE87" s="648">
        <f t="shared" si="365"/>
        <v>0</v>
      </c>
      <c r="BF87" s="648">
        <f t="shared" si="365"/>
        <v>0</v>
      </c>
      <c r="BG87" s="648">
        <f t="shared" si="365"/>
        <v>0</v>
      </c>
      <c r="BH87" s="648">
        <f t="shared" si="365"/>
        <v>0</v>
      </c>
      <c r="BI87" s="648">
        <f t="shared" si="365"/>
        <v>0</v>
      </c>
      <c r="BJ87" s="648">
        <f t="shared" si="365"/>
        <v>0</v>
      </c>
      <c r="BK87" s="648">
        <f t="shared" si="365"/>
        <v>0</v>
      </c>
      <c r="BL87" s="648">
        <f t="shared" si="365"/>
        <v>0</v>
      </c>
      <c r="BM87" s="648">
        <f t="shared" si="365"/>
        <v>0</v>
      </c>
      <c r="BN87" s="648">
        <f t="shared" si="365"/>
        <v>0</v>
      </c>
      <c r="BO87" s="648"/>
      <c r="BP87" s="648">
        <f t="shared" ref="BP87:CT87" si="366">BP16*$EF87</f>
        <v>0</v>
      </c>
      <c r="BQ87" s="648">
        <f t="shared" si="366"/>
        <v>0</v>
      </c>
      <c r="BR87" s="648">
        <f t="shared" si="366"/>
        <v>0</v>
      </c>
      <c r="BS87" s="648">
        <f t="shared" si="366"/>
        <v>0</v>
      </c>
      <c r="BT87" s="648">
        <f t="shared" si="366"/>
        <v>0</v>
      </c>
      <c r="BU87" s="648">
        <f t="shared" si="366"/>
        <v>0</v>
      </c>
      <c r="BV87" s="648">
        <f t="shared" si="366"/>
        <v>0</v>
      </c>
      <c r="BW87" s="648">
        <f t="shared" si="366"/>
        <v>0</v>
      </c>
      <c r="BX87" s="648">
        <f t="shared" si="366"/>
        <v>0</v>
      </c>
      <c r="BY87" s="648">
        <f t="shared" si="366"/>
        <v>0</v>
      </c>
      <c r="BZ87" s="648">
        <f t="shared" si="366"/>
        <v>0</v>
      </c>
      <c r="CA87" s="648">
        <f t="shared" si="366"/>
        <v>0</v>
      </c>
      <c r="CB87" s="648">
        <f t="shared" si="366"/>
        <v>0</v>
      </c>
      <c r="CC87" s="648">
        <f t="shared" si="366"/>
        <v>0</v>
      </c>
      <c r="CD87" s="648">
        <f t="shared" si="366"/>
        <v>0</v>
      </c>
      <c r="CE87" s="648">
        <f t="shared" si="366"/>
        <v>0</v>
      </c>
      <c r="CF87" s="648">
        <f t="shared" si="366"/>
        <v>0</v>
      </c>
      <c r="CG87" s="648">
        <f t="shared" si="366"/>
        <v>0</v>
      </c>
      <c r="CH87" s="648">
        <f t="shared" si="366"/>
        <v>0</v>
      </c>
      <c r="CI87" s="648">
        <f t="shared" si="366"/>
        <v>0</v>
      </c>
      <c r="CJ87" s="648">
        <f t="shared" si="366"/>
        <v>0</v>
      </c>
      <c r="CK87" s="648">
        <f t="shared" si="366"/>
        <v>0</v>
      </c>
      <c r="CL87" s="648">
        <f t="shared" si="366"/>
        <v>0</v>
      </c>
      <c r="CM87" s="648">
        <f t="shared" si="366"/>
        <v>0</v>
      </c>
      <c r="CN87" s="648">
        <f t="shared" si="366"/>
        <v>0</v>
      </c>
      <c r="CO87" s="648">
        <f t="shared" si="366"/>
        <v>0</v>
      </c>
      <c r="CP87" s="648">
        <f t="shared" si="366"/>
        <v>0</v>
      </c>
      <c r="CQ87" s="648">
        <f t="shared" si="366"/>
        <v>0</v>
      </c>
      <c r="CR87" s="648">
        <f t="shared" si="366"/>
        <v>0</v>
      </c>
      <c r="CS87" s="648">
        <f t="shared" si="366"/>
        <v>0</v>
      </c>
      <c r="CT87" s="648">
        <f t="shared" si="366"/>
        <v>0</v>
      </c>
      <c r="CU87" s="648"/>
      <c r="CV87" s="648">
        <f t="shared" ref="CV87:DZ87" si="367">CV16*$EF87</f>
        <v>0</v>
      </c>
      <c r="CW87" s="648">
        <f t="shared" si="367"/>
        <v>0</v>
      </c>
      <c r="CX87" s="648">
        <f t="shared" si="367"/>
        <v>0</v>
      </c>
      <c r="CY87" s="648">
        <f t="shared" si="367"/>
        <v>0</v>
      </c>
      <c r="CZ87" s="648">
        <f t="shared" si="367"/>
        <v>0</v>
      </c>
      <c r="DA87" s="648">
        <f t="shared" si="367"/>
        <v>0</v>
      </c>
      <c r="DB87" s="648">
        <f t="shared" si="367"/>
        <v>0</v>
      </c>
      <c r="DC87" s="648">
        <f t="shared" si="367"/>
        <v>0</v>
      </c>
      <c r="DD87" s="648">
        <f t="shared" si="367"/>
        <v>0</v>
      </c>
      <c r="DE87" s="648">
        <f t="shared" si="367"/>
        <v>0</v>
      </c>
      <c r="DF87" s="648">
        <f t="shared" si="367"/>
        <v>0</v>
      </c>
      <c r="DG87" s="648">
        <f t="shared" si="367"/>
        <v>0</v>
      </c>
      <c r="DH87" s="648">
        <f t="shared" si="367"/>
        <v>0</v>
      </c>
      <c r="DI87" s="648">
        <f t="shared" si="367"/>
        <v>0</v>
      </c>
      <c r="DJ87" s="648">
        <f t="shared" si="367"/>
        <v>0</v>
      </c>
      <c r="DK87" s="648">
        <f t="shared" si="367"/>
        <v>0</v>
      </c>
      <c r="DL87" s="648">
        <f t="shared" si="367"/>
        <v>0</v>
      </c>
      <c r="DM87" s="648">
        <f t="shared" si="367"/>
        <v>0</v>
      </c>
      <c r="DN87" s="648">
        <f t="shared" si="367"/>
        <v>0</v>
      </c>
      <c r="DO87" s="648">
        <f t="shared" si="367"/>
        <v>0</v>
      </c>
      <c r="DP87" s="648">
        <f t="shared" si="367"/>
        <v>0</v>
      </c>
      <c r="DQ87" s="648">
        <f t="shared" si="367"/>
        <v>0</v>
      </c>
      <c r="DR87" s="648">
        <f t="shared" si="367"/>
        <v>0</v>
      </c>
      <c r="DS87" s="648">
        <f t="shared" si="367"/>
        <v>0</v>
      </c>
      <c r="DT87" s="648">
        <f t="shared" si="367"/>
        <v>0</v>
      </c>
      <c r="DU87" s="648">
        <f t="shared" si="367"/>
        <v>0</v>
      </c>
      <c r="DV87" s="648">
        <f t="shared" si="367"/>
        <v>0</v>
      </c>
      <c r="DW87" s="648">
        <f t="shared" si="367"/>
        <v>0</v>
      </c>
      <c r="DX87" s="648">
        <f t="shared" si="367"/>
        <v>0</v>
      </c>
      <c r="DY87" s="648">
        <f t="shared" si="367"/>
        <v>0</v>
      </c>
      <c r="DZ87" s="648">
        <f t="shared" si="367"/>
        <v>0</v>
      </c>
      <c r="EF87" s="51">
        <v>0</v>
      </c>
      <c r="EG87" s="51"/>
      <c r="EH87" s="51"/>
      <c r="EI87" s="51"/>
      <c r="EJ87" s="51"/>
      <c r="EM87" t="s">
        <v>99</v>
      </c>
    </row>
    <row r="88" spans="1:143">
      <c r="A88" s="1"/>
      <c r="B88" t="str">
        <f t="shared" si="331"/>
        <v>Apparel - NBM</v>
      </c>
      <c r="C88" s="54" t="s">
        <v>114</v>
      </c>
      <c r="D88" s="648">
        <f t="shared" ref="D88:AH88" si="368">D17*$EF88</f>
        <v>0</v>
      </c>
      <c r="E88" s="648">
        <f t="shared" si="368"/>
        <v>0</v>
      </c>
      <c r="F88" s="648">
        <f t="shared" si="368"/>
        <v>0</v>
      </c>
      <c r="G88" s="648">
        <f t="shared" si="368"/>
        <v>0</v>
      </c>
      <c r="H88" s="648">
        <f t="shared" si="368"/>
        <v>0</v>
      </c>
      <c r="I88" s="648">
        <f t="shared" si="368"/>
        <v>0</v>
      </c>
      <c r="J88" s="648">
        <f t="shared" si="368"/>
        <v>0</v>
      </c>
      <c r="K88" s="648">
        <f t="shared" si="368"/>
        <v>0</v>
      </c>
      <c r="L88" s="648">
        <f t="shared" si="368"/>
        <v>0</v>
      </c>
      <c r="M88" s="648">
        <f t="shared" si="368"/>
        <v>0</v>
      </c>
      <c r="N88" s="648">
        <f t="shared" si="368"/>
        <v>0</v>
      </c>
      <c r="O88" s="648">
        <f t="shared" si="368"/>
        <v>0</v>
      </c>
      <c r="P88" s="648">
        <f t="shared" si="368"/>
        <v>0</v>
      </c>
      <c r="Q88" s="648">
        <f t="shared" si="368"/>
        <v>0</v>
      </c>
      <c r="R88" s="648">
        <f t="shared" si="368"/>
        <v>0</v>
      </c>
      <c r="S88" s="648">
        <f t="shared" si="368"/>
        <v>0</v>
      </c>
      <c r="T88" s="648">
        <f t="shared" si="368"/>
        <v>0</v>
      </c>
      <c r="U88" s="648">
        <f t="shared" si="368"/>
        <v>0</v>
      </c>
      <c r="V88" s="648">
        <f t="shared" si="368"/>
        <v>0</v>
      </c>
      <c r="W88" s="648">
        <f t="shared" si="368"/>
        <v>0</v>
      </c>
      <c r="X88" s="648">
        <f t="shared" si="368"/>
        <v>0</v>
      </c>
      <c r="Y88" s="648">
        <f t="shared" si="368"/>
        <v>0</v>
      </c>
      <c r="Z88" s="648">
        <f t="shared" si="368"/>
        <v>0</v>
      </c>
      <c r="AA88" s="648">
        <f t="shared" si="368"/>
        <v>0</v>
      </c>
      <c r="AB88" s="648">
        <f t="shared" si="368"/>
        <v>0</v>
      </c>
      <c r="AC88" s="648">
        <f t="shared" si="368"/>
        <v>0</v>
      </c>
      <c r="AD88" s="648">
        <f t="shared" si="368"/>
        <v>0</v>
      </c>
      <c r="AE88" s="648">
        <f t="shared" si="368"/>
        <v>0</v>
      </c>
      <c r="AF88" s="648">
        <f t="shared" si="368"/>
        <v>0</v>
      </c>
      <c r="AG88" s="648">
        <f t="shared" si="368"/>
        <v>0</v>
      </c>
      <c r="AH88" s="648">
        <f t="shared" si="368"/>
        <v>0</v>
      </c>
      <c r="AI88" s="648"/>
      <c r="AJ88" s="648">
        <f t="shared" ref="AJ88:BN88" si="369">AJ17*$EF88</f>
        <v>0</v>
      </c>
      <c r="AK88" s="648">
        <f t="shared" si="369"/>
        <v>0</v>
      </c>
      <c r="AL88" s="648">
        <f t="shared" si="369"/>
        <v>0</v>
      </c>
      <c r="AM88" s="648">
        <f t="shared" si="369"/>
        <v>0</v>
      </c>
      <c r="AN88" s="648">
        <f t="shared" si="369"/>
        <v>0</v>
      </c>
      <c r="AO88" s="648">
        <f t="shared" si="369"/>
        <v>0</v>
      </c>
      <c r="AP88" s="648">
        <f t="shared" si="369"/>
        <v>0</v>
      </c>
      <c r="AQ88" s="648">
        <f t="shared" si="369"/>
        <v>0</v>
      </c>
      <c r="AR88" s="648">
        <f t="shared" si="369"/>
        <v>0</v>
      </c>
      <c r="AS88" s="648">
        <f t="shared" si="369"/>
        <v>0</v>
      </c>
      <c r="AT88" s="648">
        <f t="shared" si="369"/>
        <v>0</v>
      </c>
      <c r="AU88" s="648">
        <f t="shared" si="369"/>
        <v>0</v>
      </c>
      <c r="AV88" s="648">
        <f t="shared" si="369"/>
        <v>0</v>
      </c>
      <c r="AW88" s="648">
        <f t="shared" si="369"/>
        <v>0</v>
      </c>
      <c r="AX88" s="648">
        <f t="shared" si="369"/>
        <v>0</v>
      </c>
      <c r="AY88" s="648">
        <f t="shared" si="369"/>
        <v>0</v>
      </c>
      <c r="AZ88" s="648">
        <f t="shared" si="369"/>
        <v>0</v>
      </c>
      <c r="BA88" s="648">
        <f t="shared" si="369"/>
        <v>0</v>
      </c>
      <c r="BB88" s="648">
        <f t="shared" si="369"/>
        <v>0</v>
      </c>
      <c r="BC88" s="648">
        <f t="shared" si="369"/>
        <v>0</v>
      </c>
      <c r="BD88" s="648">
        <f t="shared" si="369"/>
        <v>0</v>
      </c>
      <c r="BE88" s="648">
        <f t="shared" si="369"/>
        <v>0</v>
      </c>
      <c r="BF88" s="648">
        <f t="shared" si="369"/>
        <v>0</v>
      </c>
      <c r="BG88" s="648">
        <f t="shared" si="369"/>
        <v>0</v>
      </c>
      <c r="BH88" s="648">
        <f t="shared" si="369"/>
        <v>0</v>
      </c>
      <c r="BI88" s="648">
        <f t="shared" si="369"/>
        <v>0</v>
      </c>
      <c r="BJ88" s="648">
        <f t="shared" si="369"/>
        <v>0</v>
      </c>
      <c r="BK88" s="648">
        <f t="shared" si="369"/>
        <v>0</v>
      </c>
      <c r="BL88" s="648">
        <f t="shared" si="369"/>
        <v>0</v>
      </c>
      <c r="BM88" s="648">
        <f t="shared" si="369"/>
        <v>0</v>
      </c>
      <c r="BN88" s="648">
        <f t="shared" si="369"/>
        <v>0</v>
      </c>
      <c r="BO88" s="648"/>
      <c r="BP88" s="648">
        <f t="shared" ref="BP88:CT88" si="370">BP17*$EF88</f>
        <v>0</v>
      </c>
      <c r="BQ88" s="648">
        <f t="shared" si="370"/>
        <v>0</v>
      </c>
      <c r="BR88" s="648">
        <f t="shared" si="370"/>
        <v>0</v>
      </c>
      <c r="BS88" s="648">
        <f t="shared" si="370"/>
        <v>0</v>
      </c>
      <c r="BT88" s="648">
        <f t="shared" si="370"/>
        <v>0</v>
      </c>
      <c r="BU88" s="648">
        <f t="shared" si="370"/>
        <v>0</v>
      </c>
      <c r="BV88" s="648">
        <f t="shared" si="370"/>
        <v>0</v>
      </c>
      <c r="BW88" s="648">
        <f t="shared" si="370"/>
        <v>0</v>
      </c>
      <c r="BX88" s="648">
        <f t="shared" si="370"/>
        <v>0</v>
      </c>
      <c r="BY88" s="648">
        <f t="shared" si="370"/>
        <v>0</v>
      </c>
      <c r="BZ88" s="648">
        <f t="shared" si="370"/>
        <v>0</v>
      </c>
      <c r="CA88" s="648">
        <f t="shared" si="370"/>
        <v>0</v>
      </c>
      <c r="CB88" s="648">
        <f t="shared" si="370"/>
        <v>0</v>
      </c>
      <c r="CC88" s="648">
        <f t="shared" si="370"/>
        <v>0</v>
      </c>
      <c r="CD88" s="648">
        <f t="shared" si="370"/>
        <v>0</v>
      </c>
      <c r="CE88" s="648">
        <f t="shared" si="370"/>
        <v>0</v>
      </c>
      <c r="CF88" s="648">
        <f t="shared" si="370"/>
        <v>0</v>
      </c>
      <c r="CG88" s="648">
        <f t="shared" si="370"/>
        <v>0</v>
      </c>
      <c r="CH88" s="648">
        <f t="shared" si="370"/>
        <v>0</v>
      </c>
      <c r="CI88" s="648">
        <f t="shared" si="370"/>
        <v>0</v>
      </c>
      <c r="CJ88" s="648">
        <f t="shared" si="370"/>
        <v>0</v>
      </c>
      <c r="CK88" s="648">
        <f t="shared" si="370"/>
        <v>0</v>
      </c>
      <c r="CL88" s="648">
        <f t="shared" si="370"/>
        <v>0</v>
      </c>
      <c r="CM88" s="648">
        <f t="shared" si="370"/>
        <v>0</v>
      </c>
      <c r="CN88" s="648">
        <f t="shared" si="370"/>
        <v>0</v>
      </c>
      <c r="CO88" s="648">
        <f t="shared" si="370"/>
        <v>0</v>
      </c>
      <c r="CP88" s="648">
        <f t="shared" si="370"/>
        <v>0</v>
      </c>
      <c r="CQ88" s="648">
        <f t="shared" si="370"/>
        <v>0</v>
      </c>
      <c r="CR88" s="648">
        <f t="shared" si="370"/>
        <v>0</v>
      </c>
      <c r="CS88" s="648">
        <f t="shared" si="370"/>
        <v>0</v>
      </c>
      <c r="CT88" s="648">
        <f t="shared" si="370"/>
        <v>0</v>
      </c>
      <c r="CU88" s="648"/>
      <c r="CV88" s="648">
        <f t="shared" ref="CV88:DZ88" si="371">CV17*$EF88</f>
        <v>0</v>
      </c>
      <c r="CW88" s="648">
        <f t="shared" si="371"/>
        <v>0</v>
      </c>
      <c r="CX88" s="648">
        <f t="shared" si="371"/>
        <v>0</v>
      </c>
      <c r="CY88" s="648">
        <f t="shared" si="371"/>
        <v>0</v>
      </c>
      <c r="CZ88" s="648">
        <f t="shared" si="371"/>
        <v>0</v>
      </c>
      <c r="DA88" s="648">
        <f t="shared" si="371"/>
        <v>0</v>
      </c>
      <c r="DB88" s="648">
        <f t="shared" si="371"/>
        <v>0</v>
      </c>
      <c r="DC88" s="648">
        <f t="shared" si="371"/>
        <v>0</v>
      </c>
      <c r="DD88" s="648">
        <f t="shared" si="371"/>
        <v>0</v>
      </c>
      <c r="DE88" s="648">
        <f t="shared" si="371"/>
        <v>0</v>
      </c>
      <c r="DF88" s="648">
        <f t="shared" si="371"/>
        <v>0</v>
      </c>
      <c r="DG88" s="648">
        <f t="shared" si="371"/>
        <v>0</v>
      </c>
      <c r="DH88" s="648">
        <f t="shared" si="371"/>
        <v>0</v>
      </c>
      <c r="DI88" s="648">
        <f t="shared" si="371"/>
        <v>0</v>
      </c>
      <c r="DJ88" s="648">
        <f t="shared" si="371"/>
        <v>0</v>
      </c>
      <c r="DK88" s="648">
        <f t="shared" si="371"/>
        <v>0</v>
      </c>
      <c r="DL88" s="648">
        <f t="shared" si="371"/>
        <v>0</v>
      </c>
      <c r="DM88" s="648">
        <f t="shared" si="371"/>
        <v>0</v>
      </c>
      <c r="DN88" s="648">
        <f t="shared" si="371"/>
        <v>0</v>
      </c>
      <c r="DO88" s="648">
        <f t="shared" si="371"/>
        <v>0</v>
      </c>
      <c r="DP88" s="648">
        <f t="shared" si="371"/>
        <v>0</v>
      </c>
      <c r="DQ88" s="648">
        <f t="shared" si="371"/>
        <v>0</v>
      </c>
      <c r="DR88" s="648">
        <f t="shared" si="371"/>
        <v>0</v>
      </c>
      <c r="DS88" s="648">
        <f t="shared" si="371"/>
        <v>0</v>
      </c>
      <c r="DT88" s="648">
        <f t="shared" si="371"/>
        <v>0</v>
      </c>
      <c r="DU88" s="648">
        <f t="shared" si="371"/>
        <v>0</v>
      </c>
      <c r="DV88" s="648">
        <f t="shared" si="371"/>
        <v>0</v>
      </c>
      <c r="DW88" s="648">
        <f t="shared" si="371"/>
        <v>0</v>
      </c>
      <c r="DX88" s="648">
        <f t="shared" si="371"/>
        <v>0</v>
      </c>
      <c r="DY88" s="648">
        <f t="shared" si="371"/>
        <v>0</v>
      </c>
      <c r="DZ88" s="648">
        <f t="shared" si="371"/>
        <v>0</v>
      </c>
      <c r="EF88" s="610">
        <v>100</v>
      </c>
      <c r="EG88" s="51"/>
      <c r="EH88" s="51"/>
      <c r="EI88" s="51"/>
      <c r="EJ88" s="51"/>
      <c r="EM88" t="s">
        <v>99</v>
      </c>
    </row>
    <row r="89" spans="1:143">
      <c r="A89" s="1"/>
      <c r="B89" t="str">
        <f t="shared" si="331"/>
        <v>Apparel - substitution</v>
      </c>
      <c r="C89" s="54" t="s">
        <v>114</v>
      </c>
      <c r="D89" s="648">
        <f t="shared" ref="D89:AH89" si="372">D18*$EF89</f>
        <v>0</v>
      </c>
      <c r="E89" s="648">
        <f t="shared" si="372"/>
        <v>0</v>
      </c>
      <c r="F89" s="648">
        <f t="shared" si="372"/>
        <v>0</v>
      </c>
      <c r="G89" s="648">
        <f t="shared" si="372"/>
        <v>0</v>
      </c>
      <c r="H89" s="648">
        <f t="shared" si="372"/>
        <v>0</v>
      </c>
      <c r="I89" s="648">
        <f t="shared" si="372"/>
        <v>0</v>
      </c>
      <c r="J89" s="648">
        <f t="shared" si="372"/>
        <v>0</v>
      </c>
      <c r="K89" s="648">
        <f t="shared" si="372"/>
        <v>0</v>
      </c>
      <c r="L89" s="648">
        <f t="shared" si="372"/>
        <v>0</v>
      </c>
      <c r="M89" s="648">
        <f t="shared" si="372"/>
        <v>0</v>
      </c>
      <c r="N89" s="648">
        <f t="shared" si="372"/>
        <v>0</v>
      </c>
      <c r="O89" s="648">
        <f t="shared" si="372"/>
        <v>0</v>
      </c>
      <c r="P89" s="648">
        <f t="shared" si="372"/>
        <v>0</v>
      </c>
      <c r="Q89" s="648">
        <f t="shared" si="372"/>
        <v>0</v>
      </c>
      <c r="R89" s="648">
        <f t="shared" si="372"/>
        <v>0</v>
      </c>
      <c r="S89" s="648">
        <f t="shared" si="372"/>
        <v>0</v>
      </c>
      <c r="T89" s="648">
        <f t="shared" si="372"/>
        <v>0</v>
      </c>
      <c r="U89" s="648">
        <f t="shared" si="372"/>
        <v>0</v>
      </c>
      <c r="V89" s="648">
        <f t="shared" si="372"/>
        <v>0</v>
      </c>
      <c r="W89" s="648">
        <f t="shared" si="372"/>
        <v>0</v>
      </c>
      <c r="X89" s="648">
        <f t="shared" si="372"/>
        <v>0</v>
      </c>
      <c r="Y89" s="648">
        <f t="shared" si="372"/>
        <v>0</v>
      </c>
      <c r="Z89" s="648">
        <f t="shared" si="372"/>
        <v>0</v>
      </c>
      <c r="AA89" s="648">
        <f t="shared" si="372"/>
        <v>0</v>
      </c>
      <c r="AB89" s="648">
        <f t="shared" si="372"/>
        <v>0</v>
      </c>
      <c r="AC89" s="648">
        <f t="shared" si="372"/>
        <v>0</v>
      </c>
      <c r="AD89" s="648">
        <f t="shared" si="372"/>
        <v>0</v>
      </c>
      <c r="AE89" s="648">
        <f t="shared" si="372"/>
        <v>0</v>
      </c>
      <c r="AF89" s="648">
        <f t="shared" si="372"/>
        <v>0</v>
      </c>
      <c r="AG89" s="648">
        <f t="shared" si="372"/>
        <v>0</v>
      </c>
      <c r="AH89" s="648">
        <f t="shared" si="372"/>
        <v>0</v>
      </c>
      <c r="AI89" s="648"/>
      <c r="AJ89" s="648">
        <f t="shared" ref="AJ89:BN89" si="373">AJ18*$EF89</f>
        <v>0</v>
      </c>
      <c r="AK89" s="648">
        <f t="shared" si="373"/>
        <v>0</v>
      </c>
      <c r="AL89" s="648">
        <f t="shared" si="373"/>
        <v>0</v>
      </c>
      <c r="AM89" s="648">
        <f t="shared" si="373"/>
        <v>0</v>
      </c>
      <c r="AN89" s="648">
        <f t="shared" si="373"/>
        <v>0</v>
      </c>
      <c r="AO89" s="648">
        <f t="shared" si="373"/>
        <v>0</v>
      </c>
      <c r="AP89" s="648">
        <f t="shared" si="373"/>
        <v>0</v>
      </c>
      <c r="AQ89" s="648">
        <f t="shared" si="373"/>
        <v>0</v>
      </c>
      <c r="AR89" s="648">
        <f t="shared" si="373"/>
        <v>0</v>
      </c>
      <c r="AS89" s="648">
        <f t="shared" si="373"/>
        <v>0</v>
      </c>
      <c r="AT89" s="648">
        <f t="shared" si="373"/>
        <v>0</v>
      </c>
      <c r="AU89" s="648">
        <f t="shared" si="373"/>
        <v>0</v>
      </c>
      <c r="AV89" s="648">
        <f t="shared" si="373"/>
        <v>0</v>
      </c>
      <c r="AW89" s="648">
        <f t="shared" si="373"/>
        <v>0</v>
      </c>
      <c r="AX89" s="648">
        <f t="shared" si="373"/>
        <v>0</v>
      </c>
      <c r="AY89" s="648">
        <f t="shared" si="373"/>
        <v>0</v>
      </c>
      <c r="AZ89" s="648">
        <f t="shared" si="373"/>
        <v>0</v>
      </c>
      <c r="BA89" s="648">
        <f t="shared" si="373"/>
        <v>0</v>
      </c>
      <c r="BB89" s="648">
        <f t="shared" si="373"/>
        <v>0</v>
      </c>
      <c r="BC89" s="648">
        <f t="shared" si="373"/>
        <v>0</v>
      </c>
      <c r="BD89" s="648">
        <f t="shared" si="373"/>
        <v>0</v>
      </c>
      <c r="BE89" s="648">
        <f t="shared" si="373"/>
        <v>0</v>
      </c>
      <c r="BF89" s="648">
        <f t="shared" si="373"/>
        <v>0</v>
      </c>
      <c r="BG89" s="648">
        <f t="shared" si="373"/>
        <v>0</v>
      </c>
      <c r="BH89" s="648">
        <f t="shared" si="373"/>
        <v>0</v>
      </c>
      <c r="BI89" s="648">
        <f t="shared" si="373"/>
        <v>0</v>
      </c>
      <c r="BJ89" s="648">
        <f t="shared" si="373"/>
        <v>0</v>
      </c>
      <c r="BK89" s="648">
        <f t="shared" si="373"/>
        <v>0</v>
      </c>
      <c r="BL89" s="648">
        <f t="shared" si="373"/>
        <v>0</v>
      </c>
      <c r="BM89" s="648">
        <f t="shared" si="373"/>
        <v>0</v>
      </c>
      <c r="BN89" s="648">
        <f t="shared" si="373"/>
        <v>0</v>
      </c>
      <c r="BO89" s="648"/>
      <c r="BP89" s="648">
        <f t="shared" ref="BP89:CT89" si="374">BP18*$EF89</f>
        <v>0</v>
      </c>
      <c r="BQ89" s="648">
        <f t="shared" si="374"/>
        <v>0</v>
      </c>
      <c r="BR89" s="648">
        <f t="shared" si="374"/>
        <v>0</v>
      </c>
      <c r="BS89" s="648">
        <f t="shared" si="374"/>
        <v>0</v>
      </c>
      <c r="BT89" s="648">
        <f t="shared" si="374"/>
        <v>0</v>
      </c>
      <c r="BU89" s="648">
        <f t="shared" si="374"/>
        <v>0</v>
      </c>
      <c r="BV89" s="648">
        <f t="shared" si="374"/>
        <v>0</v>
      </c>
      <c r="BW89" s="648">
        <f t="shared" si="374"/>
        <v>0</v>
      </c>
      <c r="BX89" s="648">
        <f t="shared" si="374"/>
        <v>0</v>
      </c>
      <c r="BY89" s="648">
        <f t="shared" si="374"/>
        <v>0</v>
      </c>
      <c r="BZ89" s="648">
        <f t="shared" si="374"/>
        <v>0</v>
      </c>
      <c r="CA89" s="648">
        <f t="shared" si="374"/>
        <v>0</v>
      </c>
      <c r="CB89" s="648">
        <f t="shared" si="374"/>
        <v>0</v>
      </c>
      <c r="CC89" s="648">
        <f t="shared" si="374"/>
        <v>0</v>
      </c>
      <c r="CD89" s="648">
        <f t="shared" si="374"/>
        <v>0</v>
      </c>
      <c r="CE89" s="648">
        <f t="shared" si="374"/>
        <v>0</v>
      </c>
      <c r="CF89" s="648">
        <f t="shared" si="374"/>
        <v>0</v>
      </c>
      <c r="CG89" s="648">
        <f t="shared" si="374"/>
        <v>0</v>
      </c>
      <c r="CH89" s="648">
        <f t="shared" si="374"/>
        <v>0</v>
      </c>
      <c r="CI89" s="648">
        <f t="shared" si="374"/>
        <v>0</v>
      </c>
      <c r="CJ89" s="648">
        <f t="shared" si="374"/>
        <v>0</v>
      </c>
      <c r="CK89" s="648">
        <f t="shared" si="374"/>
        <v>0</v>
      </c>
      <c r="CL89" s="648">
        <f t="shared" si="374"/>
        <v>0</v>
      </c>
      <c r="CM89" s="648">
        <f t="shared" si="374"/>
        <v>0</v>
      </c>
      <c r="CN89" s="648">
        <f t="shared" si="374"/>
        <v>0</v>
      </c>
      <c r="CO89" s="648">
        <f t="shared" si="374"/>
        <v>0</v>
      </c>
      <c r="CP89" s="648">
        <f t="shared" si="374"/>
        <v>0</v>
      </c>
      <c r="CQ89" s="648">
        <f t="shared" si="374"/>
        <v>0</v>
      </c>
      <c r="CR89" s="648">
        <f t="shared" si="374"/>
        <v>0</v>
      </c>
      <c r="CS89" s="648">
        <f t="shared" si="374"/>
        <v>0</v>
      </c>
      <c r="CT89" s="648">
        <f t="shared" si="374"/>
        <v>0</v>
      </c>
      <c r="CU89" s="648"/>
      <c r="CV89" s="648">
        <f t="shared" ref="CV89:DZ89" si="375">CV18*$EF89</f>
        <v>0</v>
      </c>
      <c r="CW89" s="648">
        <f t="shared" si="375"/>
        <v>0</v>
      </c>
      <c r="CX89" s="648">
        <f t="shared" si="375"/>
        <v>0</v>
      </c>
      <c r="CY89" s="648">
        <f t="shared" si="375"/>
        <v>0</v>
      </c>
      <c r="CZ89" s="648">
        <f t="shared" si="375"/>
        <v>0</v>
      </c>
      <c r="DA89" s="648">
        <f t="shared" si="375"/>
        <v>0</v>
      </c>
      <c r="DB89" s="648">
        <f t="shared" si="375"/>
        <v>0</v>
      </c>
      <c r="DC89" s="648">
        <f t="shared" si="375"/>
        <v>0</v>
      </c>
      <c r="DD89" s="648">
        <f t="shared" si="375"/>
        <v>0</v>
      </c>
      <c r="DE89" s="648">
        <f t="shared" si="375"/>
        <v>0</v>
      </c>
      <c r="DF89" s="648">
        <f t="shared" si="375"/>
        <v>0</v>
      </c>
      <c r="DG89" s="648">
        <f t="shared" si="375"/>
        <v>0</v>
      </c>
      <c r="DH89" s="648">
        <f t="shared" si="375"/>
        <v>0</v>
      </c>
      <c r="DI89" s="648">
        <f t="shared" si="375"/>
        <v>0</v>
      </c>
      <c r="DJ89" s="648">
        <f t="shared" si="375"/>
        <v>0</v>
      </c>
      <c r="DK89" s="648">
        <f t="shared" si="375"/>
        <v>0</v>
      </c>
      <c r="DL89" s="648">
        <f t="shared" si="375"/>
        <v>0</v>
      </c>
      <c r="DM89" s="648">
        <f t="shared" si="375"/>
        <v>0</v>
      </c>
      <c r="DN89" s="648">
        <f t="shared" si="375"/>
        <v>0</v>
      </c>
      <c r="DO89" s="648">
        <f t="shared" si="375"/>
        <v>0</v>
      </c>
      <c r="DP89" s="648">
        <f t="shared" si="375"/>
        <v>0</v>
      </c>
      <c r="DQ89" s="648">
        <f t="shared" si="375"/>
        <v>0</v>
      </c>
      <c r="DR89" s="648">
        <f t="shared" si="375"/>
        <v>0</v>
      </c>
      <c r="DS89" s="648">
        <f t="shared" si="375"/>
        <v>0</v>
      </c>
      <c r="DT89" s="648">
        <f t="shared" si="375"/>
        <v>0</v>
      </c>
      <c r="DU89" s="648">
        <f t="shared" si="375"/>
        <v>0</v>
      </c>
      <c r="DV89" s="648">
        <f t="shared" si="375"/>
        <v>0</v>
      </c>
      <c r="DW89" s="648">
        <f t="shared" si="375"/>
        <v>0</v>
      </c>
      <c r="DX89" s="648">
        <f t="shared" si="375"/>
        <v>0</v>
      </c>
      <c r="DY89" s="648">
        <f t="shared" si="375"/>
        <v>0</v>
      </c>
      <c r="DZ89" s="648">
        <f t="shared" si="375"/>
        <v>0</v>
      </c>
      <c r="EF89" s="610">
        <v>100</v>
      </c>
      <c r="EG89" s="51"/>
      <c r="EH89" s="51"/>
      <c r="EI89" s="51"/>
      <c r="EJ89" s="51"/>
      <c r="EM89" t="s">
        <v>99</v>
      </c>
    </row>
    <row r="90" spans="1:143">
      <c r="A90" s="1"/>
      <c r="B90" t="str">
        <f t="shared" si="331"/>
        <v>Others Reduction</v>
      </c>
      <c r="C90" s="54" t="s">
        <v>114</v>
      </c>
      <c r="D90" s="648">
        <f t="shared" ref="D90:AH90" si="376">D19*$EF90</f>
        <v>0</v>
      </c>
      <c r="E90" s="648">
        <f t="shared" si="376"/>
        <v>0</v>
      </c>
      <c r="F90" s="648">
        <f t="shared" si="376"/>
        <v>0</v>
      </c>
      <c r="G90" s="648">
        <f t="shared" si="376"/>
        <v>0</v>
      </c>
      <c r="H90" s="648">
        <f t="shared" si="376"/>
        <v>0</v>
      </c>
      <c r="I90" s="648">
        <f t="shared" si="376"/>
        <v>0</v>
      </c>
      <c r="J90" s="648">
        <f t="shared" si="376"/>
        <v>0</v>
      </c>
      <c r="K90" s="648">
        <f t="shared" si="376"/>
        <v>0</v>
      </c>
      <c r="L90" s="648">
        <f t="shared" si="376"/>
        <v>0</v>
      </c>
      <c r="M90" s="648">
        <f t="shared" si="376"/>
        <v>0</v>
      </c>
      <c r="N90" s="648">
        <f t="shared" si="376"/>
        <v>0</v>
      </c>
      <c r="O90" s="648">
        <f t="shared" si="376"/>
        <v>0</v>
      </c>
      <c r="P90" s="648">
        <f t="shared" si="376"/>
        <v>0</v>
      </c>
      <c r="Q90" s="648">
        <f t="shared" si="376"/>
        <v>0</v>
      </c>
      <c r="R90" s="648">
        <f t="shared" si="376"/>
        <v>0</v>
      </c>
      <c r="S90" s="648">
        <f t="shared" si="376"/>
        <v>0</v>
      </c>
      <c r="T90" s="648">
        <f t="shared" si="376"/>
        <v>0</v>
      </c>
      <c r="U90" s="648">
        <f t="shared" si="376"/>
        <v>0</v>
      </c>
      <c r="V90" s="648">
        <f t="shared" si="376"/>
        <v>0</v>
      </c>
      <c r="W90" s="648">
        <f t="shared" si="376"/>
        <v>0</v>
      </c>
      <c r="X90" s="648">
        <f t="shared" si="376"/>
        <v>0</v>
      </c>
      <c r="Y90" s="648">
        <f t="shared" si="376"/>
        <v>0</v>
      </c>
      <c r="Z90" s="648">
        <f t="shared" si="376"/>
        <v>0</v>
      </c>
      <c r="AA90" s="648">
        <f t="shared" si="376"/>
        <v>0</v>
      </c>
      <c r="AB90" s="648">
        <f t="shared" si="376"/>
        <v>0</v>
      </c>
      <c r="AC90" s="648">
        <f t="shared" si="376"/>
        <v>0</v>
      </c>
      <c r="AD90" s="648">
        <f t="shared" si="376"/>
        <v>0</v>
      </c>
      <c r="AE90" s="648">
        <f t="shared" si="376"/>
        <v>0</v>
      </c>
      <c r="AF90" s="648">
        <f t="shared" si="376"/>
        <v>0</v>
      </c>
      <c r="AG90" s="648">
        <f t="shared" si="376"/>
        <v>0</v>
      </c>
      <c r="AH90" s="648">
        <f t="shared" si="376"/>
        <v>0</v>
      </c>
      <c r="AI90" s="648"/>
      <c r="AJ90" s="648">
        <f t="shared" ref="AJ90:BN90" si="377">AJ19*$EF90</f>
        <v>0</v>
      </c>
      <c r="AK90" s="648">
        <f t="shared" si="377"/>
        <v>0</v>
      </c>
      <c r="AL90" s="648">
        <f t="shared" si="377"/>
        <v>0</v>
      </c>
      <c r="AM90" s="648">
        <f t="shared" si="377"/>
        <v>0</v>
      </c>
      <c r="AN90" s="648">
        <f t="shared" si="377"/>
        <v>0</v>
      </c>
      <c r="AO90" s="648">
        <f t="shared" si="377"/>
        <v>0</v>
      </c>
      <c r="AP90" s="648">
        <f t="shared" si="377"/>
        <v>0</v>
      </c>
      <c r="AQ90" s="648">
        <f t="shared" si="377"/>
        <v>0</v>
      </c>
      <c r="AR90" s="648">
        <f t="shared" si="377"/>
        <v>0</v>
      </c>
      <c r="AS90" s="648">
        <f t="shared" si="377"/>
        <v>0</v>
      </c>
      <c r="AT90" s="648">
        <f t="shared" si="377"/>
        <v>0</v>
      </c>
      <c r="AU90" s="648">
        <f t="shared" si="377"/>
        <v>0</v>
      </c>
      <c r="AV90" s="648">
        <f t="shared" si="377"/>
        <v>0</v>
      </c>
      <c r="AW90" s="648">
        <f t="shared" si="377"/>
        <v>0</v>
      </c>
      <c r="AX90" s="648">
        <f t="shared" si="377"/>
        <v>0</v>
      </c>
      <c r="AY90" s="648">
        <f t="shared" si="377"/>
        <v>0</v>
      </c>
      <c r="AZ90" s="648">
        <f t="shared" si="377"/>
        <v>0</v>
      </c>
      <c r="BA90" s="648">
        <f t="shared" si="377"/>
        <v>0</v>
      </c>
      <c r="BB90" s="648">
        <f t="shared" si="377"/>
        <v>0</v>
      </c>
      <c r="BC90" s="648">
        <f t="shared" si="377"/>
        <v>0</v>
      </c>
      <c r="BD90" s="648">
        <f t="shared" si="377"/>
        <v>0</v>
      </c>
      <c r="BE90" s="648">
        <f t="shared" si="377"/>
        <v>0</v>
      </c>
      <c r="BF90" s="648">
        <f t="shared" si="377"/>
        <v>0</v>
      </c>
      <c r="BG90" s="648">
        <f t="shared" si="377"/>
        <v>0</v>
      </c>
      <c r="BH90" s="648">
        <f t="shared" si="377"/>
        <v>0</v>
      </c>
      <c r="BI90" s="648">
        <f t="shared" si="377"/>
        <v>0</v>
      </c>
      <c r="BJ90" s="648">
        <f t="shared" si="377"/>
        <v>0</v>
      </c>
      <c r="BK90" s="648">
        <f t="shared" si="377"/>
        <v>0</v>
      </c>
      <c r="BL90" s="648">
        <f t="shared" si="377"/>
        <v>0</v>
      </c>
      <c r="BM90" s="648">
        <f t="shared" si="377"/>
        <v>0</v>
      </c>
      <c r="BN90" s="648">
        <f t="shared" si="377"/>
        <v>0</v>
      </c>
      <c r="BO90" s="648"/>
      <c r="BP90" s="648">
        <f t="shared" ref="BP90:CT90" si="378">BP19*$EF90</f>
        <v>0</v>
      </c>
      <c r="BQ90" s="648">
        <f t="shared" si="378"/>
        <v>0</v>
      </c>
      <c r="BR90" s="648">
        <f t="shared" si="378"/>
        <v>0</v>
      </c>
      <c r="BS90" s="648">
        <f t="shared" si="378"/>
        <v>0</v>
      </c>
      <c r="BT90" s="648">
        <f t="shared" si="378"/>
        <v>0</v>
      </c>
      <c r="BU90" s="648">
        <f t="shared" si="378"/>
        <v>0</v>
      </c>
      <c r="BV90" s="648">
        <f t="shared" si="378"/>
        <v>0</v>
      </c>
      <c r="BW90" s="648">
        <f t="shared" si="378"/>
        <v>0</v>
      </c>
      <c r="BX90" s="648">
        <f t="shared" si="378"/>
        <v>0</v>
      </c>
      <c r="BY90" s="648">
        <f t="shared" si="378"/>
        <v>0</v>
      </c>
      <c r="BZ90" s="648">
        <f t="shared" si="378"/>
        <v>0</v>
      </c>
      <c r="CA90" s="648">
        <f t="shared" si="378"/>
        <v>0</v>
      </c>
      <c r="CB90" s="648">
        <f t="shared" si="378"/>
        <v>0</v>
      </c>
      <c r="CC90" s="648">
        <f t="shared" si="378"/>
        <v>0</v>
      </c>
      <c r="CD90" s="648">
        <f t="shared" si="378"/>
        <v>0</v>
      </c>
      <c r="CE90" s="648">
        <f t="shared" si="378"/>
        <v>0</v>
      </c>
      <c r="CF90" s="648">
        <f t="shared" si="378"/>
        <v>0</v>
      </c>
      <c r="CG90" s="648">
        <f t="shared" si="378"/>
        <v>0</v>
      </c>
      <c r="CH90" s="648">
        <f t="shared" si="378"/>
        <v>0</v>
      </c>
      <c r="CI90" s="648">
        <f t="shared" si="378"/>
        <v>0</v>
      </c>
      <c r="CJ90" s="648">
        <f t="shared" si="378"/>
        <v>0</v>
      </c>
      <c r="CK90" s="648">
        <f t="shared" si="378"/>
        <v>0</v>
      </c>
      <c r="CL90" s="648">
        <f t="shared" si="378"/>
        <v>0</v>
      </c>
      <c r="CM90" s="648">
        <f t="shared" si="378"/>
        <v>0</v>
      </c>
      <c r="CN90" s="648">
        <f t="shared" si="378"/>
        <v>0</v>
      </c>
      <c r="CO90" s="648">
        <f t="shared" si="378"/>
        <v>0</v>
      </c>
      <c r="CP90" s="648">
        <f t="shared" si="378"/>
        <v>0</v>
      </c>
      <c r="CQ90" s="648">
        <f t="shared" si="378"/>
        <v>0</v>
      </c>
      <c r="CR90" s="648">
        <f t="shared" si="378"/>
        <v>0</v>
      </c>
      <c r="CS90" s="648">
        <f t="shared" si="378"/>
        <v>0</v>
      </c>
      <c r="CT90" s="648">
        <f t="shared" si="378"/>
        <v>0</v>
      </c>
      <c r="CU90" s="648"/>
      <c r="CV90" s="648">
        <f t="shared" ref="CV90:DZ90" si="379">CV19*$EF90</f>
        <v>0</v>
      </c>
      <c r="CW90" s="648">
        <f t="shared" si="379"/>
        <v>0</v>
      </c>
      <c r="CX90" s="648">
        <f t="shared" si="379"/>
        <v>0</v>
      </c>
      <c r="CY90" s="648">
        <f t="shared" si="379"/>
        <v>0</v>
      </c>
      <c r="CZ90" s="648">
        <f t="shared" si="379"/>
        <v>0</v>
      </c>
      <c r="DA90" s="648">
        <f t="shared" si="379"/>
        <v>0</v>
      </c>
      <c r="DB90" s="648">
        <f t="shared" si="379"/>
        <v>0</v>
      </c>
      <c r="DC90" s="648">
        <f t="shared" si="379"/>
        <v>0</v>
      </c>
      <c r="DD90" s="648">
        <f t="shared" si="379"/>
        <v>0</v>
      </c>
      <c r="DE90" s="648">
        <f t="shared" si="379"/>
        <v>0</v>
      </c>
      <c r="DF90" s="648">
        <f t="shared" si="379"/>
        <v>0</v>
      </c>
      <c r="DG90" s="648">
        <f t="shared" si="379"/>
        <v>0</v>
      </c>
      <c r="DH90" s="648">
        <f t="shared" si="379"/>
        <v>0</v>
      </c>
      <c r="DI90" s="648">
        <f t="shared" si="379"/>
        <v>0</v>
      </c>
      <c r="DJ90" s="648">
        <f t="shared" si="379"/>
        <v>0</v>
      </c>
      <c r="DK90" s="648">
        <f t="shared" si="379"/>
        <v>0</v>
      </c>
      <c r="DL90" s="648">
        <f t="shared" si="379"/>
        <v>0</v>
      </c>
      <c r="DM90" s="648">
        <f t="shared" si="379"/>
        <v>0</v>
      </c>
      <c r="DN90" s="648">
        <f t="shared" si="379"/>
        <v>0</v>
      </c>
      <c r="DO90" s="648">
        <f t="shared" si="379"/>
        <v>0</v>
      </c>
      <c r="DP90" s="648">
        <f t="shared" si="379"/>
        <v>0</v>
      </c>
      <c r="DQ90" s="648">
        <f t="shared" si="379"/>
        <v>0</v>
      </c>
      <c r="DR90" s="648">
        <f t="shared" si="379"/>
        <v>0</v>
      </c>
      <c r="DS90" s="648">
        <f t="shared" si="379"/>
        <v>0</v>
      </c>
      <c r="DT90" s="648">
        <f t="shared" si="379"/>
        <v>0</v>
      </c>
      <c r="DU90" s="648">
        <f t="shared" si="379"/>
        <v>0</v>
      </c>
      <c r="DV90" s="648">
        <f t="shared" si="379"/>
        <v>0</v>
      </c>
      <c r="DW90" s="648">
        <f t="shared" si="379"/>
        <v>0</v>
      </c>
      <c r="DX90" s="648">
        <f t="shared" si="379"/>
        <v>0</v>
      </c>
      <c r="DY90" s="648">
        <f t="shared" si="379"/>
        <v>0</v>
      </c>
      <c r="DZ90" s="648">
        <f t="shared" si="379"/>
        <v>0</v>
      </c>
      <c r="EF90" s="51">
        <v>0</v>
      </c>
      <c r="EG90" s="51"/>
      <c r="EH90" s="51"/>
      <c r="EI90" s="51"/>
      <c r="EJ90" s="51"/>
      <c r="EM90" t="s">
        <v>99</v>
      </c>
    </row>
    <row r="91" spans="1:143">
      <c r="A91" s="1"/>
      <c r="B91" t="str">
        <f t="shared" si="331"/>
        <v>Others Substitution</v>
      </c>
      <c r="C91" s="54" t="s">
        <v>114</v>
      </c>
      <c r="D91" s="648">
        <f t="shared" ref="D91:AH91" si="380">D20*$EF91</f>
        <v>0</v>
      </c>
      <c r="E91" s="648">
        <f t="shared" si="380"/>
        <v>0</v>
      </c>
      <c r="F91" s="648">
        <f t="shared" si="380"/>
        <v>0</v>
      </c>
      <c r="G91" s="648">
        <f t="shared" si="380"/>
        <v>0</v>
      </c>
      <c r="H91" s="648">
        <f t="shared" si="380"/>
        <v>0</v>
      </c>
      <c r="I91" s="648">
        <f t="shared" si="380"/>
        <v>0</v>
      </c>
      <c r="J91" s="648">
        <f t="shared" si="380"/>
        <v>0</v>
      </c>
      <c r="K91" s="648">
        <f t="shared" si="380"/>
        <v>0</v>
      </c>
      <c r="L91" s="648">
        <f t="shared" si="380"/>
        <v>0</v>
      </c>
      <c r="M91" s="648">
        <f t="shared" si="380"/>
        <v>0</v>
      </c>
      <c r="N91" s="648">
        <f t="shared" si="380"/>
        <v>0</v>
      </c>
      <c r="O91" s="648">
        <f t="shared" si="380"/>
        <v>0</v>
      </c>
      <c r="P91" s="648">
        <f t="shared" si="380"/>
        <v>0</v>
      </c>
      <c r="Q91" s="648">
        <f t="shared" si="380"/>
        <v>0</v>
      </c>
      <c r="R91" s="648">
        <f t="shared" si="380"/>
        <v>0</v>
      </c>
      <c r="S91" s="648">
        <f t="shared" si="380"/>
        <v>0</v>
      </c>
      <c r="T91" s="648">
        <f t="shared" si="380"/>
        <v>0</v>
      </c>
      <c r="U91" s="648">
        <f t="shared" si="380"/>
        <v>0</v>
      </c>
      <c r="V91" s="648">
        <f t="shared" si="380"/>
        <v>0</v>
      </c>
      <c r="W91" s="648">
        <f t="shared" si="380"/>
        <v>0</v>
      </c>
      <c r="X91" s="648">
        <f t="shared" si="380"/>
        <v>0</v>
      </c>
      <c r="Y91" s="648">
        <f t="shared" si="380"/>
        <v>0</v>
      </c>
      <c r="Z91" s="648">
        <f t="shared" si="380"/>
        <v>0</v>
      </c>
      <c r="AA91" s="648">
        <f t="shared" si="380"/>
        <v>0</v>
      </c>
      <c r="AB91" s="648">
        <f t="shared" si="380"/>
        <v>0</v>
      </c>
      <c r="AC91" s="648">
        <f t="shared" si="380"/>
        <v>0</v>
      </c>
      <c r="AD91" s="648">
        <f t="shared" si="380"/>
        <v>0</v>
      </c>
      <c r="AE91" s="648">
        <f t="shared" si="380"/>
        <v>0</v>
      </c>
      <c r="AF91" s="648">
        <f t="shared" si="380"/>
        <v>0</v>
      </c>
      <c r="AG91" s="648">
        <f t="shared" si="380"/>
        <v>0</v>
      </c>
      <c r="AH91" s="648">
        <f t="shared" si="380"/>
        <v>0</v>
      </c>
      <c r="AI91" s="648"/>
      <c r="AJ91" s="648">
        <f t="shared" ref="AJ91:BN91" si="381">AJ20*$EF91</f>
        <v>0</v>
      </c>
      <c r="AK91" s="648">
        <f t="shared" si="381"/>
        <v>0</v>
      </c>
      <c r="AL91" s="648">
        <f t="shared" si="381"/>
        <v>0</v>
      </c>
      <c r="AM91" s="648">
        <f t="shared" si="381"/>
        <v>0</v>
      </c>
      <c r="AN91" s="648">
        <f t="shared" si="381"/>
        <v>0</v>
      </c>
      <c r="AO91" s="648">
        <f t="shared" si="381"/>
        <v>0</v>
      </c>
      <c r="AP91" s="648">
        <f t="shared" si="381"/>
        <v>0</v>
      </c>
      <c r="AQ91" s="648">
        <f t="shared" si="381"/>
        <v>0</v>
      </c>
      <c r="AR91" s="648">
        <f t="shared" si="381"/>
        <v>0</v>
      </c>
      <c r="AS91" s="648">
        <f t="shared" si="381"/>
        <v>0</v>
      </c>
      <c r="AT91" s="648">
        <f t="shared" si="381"/>
        <v>0</v>
      </c>
      <c r="AU91" s="648">
        <f t="shared" si="381"/>
        <v>0</v>
      </c>
      <c r="AV91" s="648">
        <f t="shared" si="381"/>
        <v>0</v>
      </c>
      <c r="AW91" s="648">
        <f t="shared" si="381"/>
        <v>0</v>
      </c>
      <c r="AX91" s="648">
        <f t="shared" si="381"/>
        <v>0</v>
      </c>
      <c r="AY91" s="648">
        <f t="shared" si="381"/>
        <v>0</v>
      </c>
      <c r="AZ91" s="648">
        <f t="shared" si="381"/>
        <v>0</v>
      </c>
      <c r="BA91" s="648">
        <f t="shared" si="381"/>
        <v>0</v>
      </c>
      <c r="BB91" s="648">
        <f t="shared" si="381"/>
        <v>0</v>
      </c>
      <c r="BC91" s="648">
        <f t="shared" si="381"/>
        <v>0</v>
      </c>
      <c r="BD91" s="648">
        <f t="shared" si="381"/>
        <v>0</v>
      </c>
      <c r="BE91" s="648">
        <f t="shared" si="381"/>
        <v>0</v>
      </c>
      <c r="BF91" s="648">
        <f t="shared" si="381"/>
        <v>0</v>
      </c>
      <c r="BG91" s="648">
        <f t="shared" si="381"/>
        <v>0</v>
      </c>
      <c r="BH91" s="648">
        <f t="shared" si="381"/>
        <v>0</v>
      </c>
      <c r="BI91" s="648">
        <f t="shared" si="381"/>
        <v>0</v>
      </c>
      <c r="BJ91" s="648">
        <f t="shared" si="381"/>
        <v>0</v>
      </c>
      <c r="BK91" s="648">
        <f t="shared" si="381"/>
        <v>0</v>
      </c>
      <c r="BL91" s="648">
        <f t="shared" si="381"/>
        <v>0</v>
      </c>
      <c r="BM91" s="648">
        <f t="shared" si="381"/>
        <v>0</v>
      </c>
      <c r="BN91" s="648">
        <f t="shared" si="381"/>
        <v>0</v>
      </c>
      <c r="BO91" s="648"/>
      <c r="BP91" s="648">
        <f t="shared" ref="BP91:CT91" si="382">BP20*$EF91</f>
        <v>0</v>
      </c>
      <c r="BQ91" s="648">
        <f t="shared" si="382"/>
        <v>0</v>
      </c>
      <c r="BR91" s="648">
        <f t="shared" si="382"/>
        <v>0</v>
      </c>
      <c r="BS91" s="648">
        <f t="shared" si="382"/>
        <v>0</v>
      </c>
      <c r="BT91" s="648">
        <f t="shared" si="382"/>
        <v>0</v>
      </c>
      <c r="BU91" s="648">
        <f t="shared" si="382"/>
        <v>0</v>
      </c>
      <c r="BV91" s="648">
        <f t="shared" si="382"/>
        <v>0</v>
      </c>
      <c r="BW91" s="648">
        <f t="shared" si="382"/>
        <v>0</v>
      </c>
      <c r="BX91" s="648">
        <f t="shared" si="382"/>
        <v>0</v>
      </c>
      <c r="BY91" s="648">
        <f t="shared" si="382"/>
        <v>0</v>
      </c>
      <c r="BZ91" s="648">
        <f t="shared" si="382"/>
        <v>0</v>
      </c>
      <c r="CA91" s="648">
        <f t="shared" si="382"/>
        <v>0</v>
      </c>
      <c r="CB91" s="648">
        <f t="shared" si="382"/>
        <v>0</v>
      </c>
      <c r="CC91" s="648">
        <f t="shared" si="382"/>
        <v>0</v>
      </c>
      <c r="CD91" s="648">
        <f t="shared" si="382"/>
        <v>0</v>
      </c>
      <c r="CE91" s="648">
        <f t="shared" si="382"/>
        <v>0</v>
      </c>
      <c r="CF91" s="648">
        <f t="shared" si="382"/>
        <v>0</v>
      </c>
      <c r="CG91" s="648">
        <f t="shared" si="382"/>
        <v>0</v>
      </c>
      <c r="CH91" s="648">
        <f t="shared" si="382"/>
        <v>0</v>
      </c>
      <c r="CI91" s="648">
        <f t="shared" si="382"/>
        <v>0</v>
      </c>
      <c r="CJ91" s="648">
        <f t="shared" si="382"/>
        <v>0</v>
      </c>
      <c r="CK91" s="648">
        <f t="shared" si="382"/>
        <v>0</v>
      </c>
      <c r="CL91" s="648">
        <f t="shared" si="382"/>
        <v>0</v>
      </c>
      <c r="CM91" s="648">
        <f t="shared" si="382"/>
        <v>0</v>
      </c>
      <c r="CN91" s="648">
        <f t="shared" si="382"/>
        <v>0</v>
      </c>
      <c r="CO91" s="648">
        <f t="shared" si="382"/>
        <v>0</v>
      </c>
      <c r="CP91" s="648">
        <f t="shared" si="382"/>
        <v>0</v>
      </c>
      <c r="CQ91" s="648">
        <f t="shared" si="382"/>
        <v>0</v>
      </c>
      <c r="CR91" s="648">
        <f t="shared" si="382"/>
        <v>0</v>
      </c>
      <c r="CS91" s="648">
        <f t="shared" si="382"/>
        <v>0</v>
      </c>
      <c r="CT91" s="648">
        <f t="shared" si="382"/>
        <v>0</v>
      </c>
      <c r="CU91" s="648"/>
      <c r="CV91" s="648">
        <f t="shared" ref="CV91:DZ91" si="383">CV20*$EF91</f>
        <v>0</v>
      </c>
      <c r="CW91" s="648">
        <f t="shared" si="383"/>
        <v>0</v>
      </c>
      <c r="CX91" s="648">
        <f t="shared" si="383"/>
        <v>0</v>
      </c>
      <c r="CY91" s="648">
        <f t="shared" si="383"/>
        <v>0</v>
      </c>
      <c r="CZ91" s="648">
        <f t="shared" si="383"/>
        <v>0</v>
      </c>
      <c r="DA91" s="648">
        <f t="shared" si="383"/>
        <v>0</v>
      </c>
      <c r="DB91" s="648">
        <f t="shared" si="383"/>
        <v>0</v>
      </c>
      <c r="DC91" s="648">
        <f t="shared" si="383"/>
        <v>0</v>
      </c>
      <c r="DD91" s="648">
        <f t="shared" si="383"/>
        <v>0</v>
      </c>
      <c r="DE91" s="648">
        <f t="shared" si="383"/>
        <v>0</v>
      </c>
      <c r="DF91" s="648">
        <f t="shared" si="383"/>
        <v>0</v>
      </c>
      <c r="DG91" s="648">
        <f t="shared" si="383"/>
        <v>0</v>
      </c>
      <c r="DH91" s="648">
        <f t="shared" si="383"/>
        <v>0</v>
      </c>
      <c r="DI91" s="648">
        <f t="shared" si="383"/>
        <v>0</v>
      </c>
      <c r="DJ91" s="648">
        <f t="shared" si="383"/>
        <v>0</v>
      </c>
      <c r="DK91" s="648">
        <f t="shared" si="383"/>
        <v>0</v>
      </c>
      <c r="DL91" s="648">
        <f t="shared" si="383"/>
        <v>0</v>
      </c>
      <c r="DM91" s="648">
        <f t="shared" si="383"/>
        <v>0</v>
      </c>
      <c r="DN91" s="648">
        <f t="shared" si="383"/>
        <v>0</v>
      </c>
      <c r="DO91" s="648">
        <f t="shared" si="383"/>
        <v>0</v>
      </c>
      <c r="DP91" s="648">
        <f t="shared" si="383"/>
        <v>0</v>
      </c>
      <c r="DQ91" s="648">
        <f t="shared" si="383"/>
        <v>0</v>
      </c>
      <c r="DR91" s="648">
        <f t="shared" si="383"/>
        <v>0</v>
      </c>
      <c r="DS91" s="648">
        <f t="shared" si="383"/>
        <v>0</v>
      </c>
      <c r="DT91" s="648">
        <f t="shared" si="383"/>
        <v>0</v>
      </c>
      <c r="DU91" s="648">
        <f t="shared" si="383"/>
        <v>0</v>
      </c>
      <c r="DV91" s="648">
        <f t="shared" si="383"/>
        <v>0</v>
      </c>
      <c r="DW91" s="648">
        <f t="shared" si="383"/>
        <v>0</v>
      </c>
      <c r="DX91" s="648">
        <f t="shared" si="383"/>
        <v>0</v>
      </c>
      <c r="DY91" s="648">
        <f t="shared" si="383"/>
        <v>0</v>
      </c>
      <c r="DZ91" s="648">
        <f t="shared" si="383"/>
        <v>0</v>
      </c>
      <c r="EF91" s="610">
        <v>100</v>
      </c>
      <c r="EG91" s="51"/>
      <c r="EH91" s="51"/>
      <c r="EI91" s="51"/>
      <c r="EJ91" s="51"/>
      <c r="EM91" t="s">
        <v>99</v>
      </c>
    </row>
    <row r="92" spans="1:143">
      <c r="A92" s="1"/>
      <c r="B92" t="str">
        <f t="shared" ref="B92:B95" si="384">B22</f>
        <v>Mecahnical Recycling</v>
      </c>
      <c r="C92" s="54" t="s">
        <v>114</v>
      </c>
      <c r="D92" s="648">
        <f>D22*$EF92</f>
        <v>4244.1700651046394</v>
      </c>
      <c r="E92" s="648">
        <f t="shared" ref="E92:AH92" si="385">E22*$EF92</f>
        <v>4559.4268950623791</v>
      </c>
      <c r="F92" s="648">
        <f t="shared" si="385"/>
        <v>4942.8200639262213</v>
      </c>
      <c r="G92" s="648">
        <f t="shared" si="385"/>
        <v>5332.852148265828</v>
      </c>
      <c r="H92" s="648">
        <f t="shared" si="385"/>
        <v>5727.2857691408963</v>
      </c>
      <c r="I92" s="648">
        <f t="shared" si="385"/>
        <v>6123.7375297971676</v>
      </c>
      <c r="J92" s="648">
        <f t="shared" si="385"/>
        <v>6533.7668506589062</v>
      </c>
      <c r="K92" s="648">
        <f t="shared" si="385"/>
        <v>6957.393375308131</v>
      </c>
      <c r="L92" s="648">
        <f t="shared" si="385"/>
        <v>7394.6138419299186</v>
      </c>
      <c r="M92" s="648">
        <f t="shared" si="385"/>
        <v>7845.401285493298</v>
      </c>
      <c r="N92" s="648">
        <f t="shared" si="385"/>
        <v>8309.7042763099871</v>
      </c>
      <c r="O92" s="648">
        <f t="shared" si="385"/>
        <v>9082.8372830942553</v>
      </c>
      <c r="P92" s="648">
        <f t="shared" si="385"/>
        <v>9866.4194977088118</v>
      </c>
      <c r="Q92" s="648">
        <f t="shared" si="385"/>
        <v>10657.541042373154</v>
      </c>
      <c r="R92" s="648">
        <f t="shared" si="385"/>
        <v>11451.694311632895</v>
      </c>
      <c r="S92" s="648">
        <f t="shared" si="385"/>
        <v>12244.842061712108</v>
      </c>
      <c r="T92" s="648">
        <f t="shared" si="385"/>
        <v>13056.311967207048</v>
      </c>
      <c r="U92" s="648">
        <f t="shared" si="385"/>
        <v>13886.268087202419</v>
      </c>
      <c r="V92" s="648">
        <f t="shared" si="385"/>
        <v>14734.870265858797</v>
      </c>
      <c r="W92" s="648">
        <f t="shared" si="385"/>
        <v>15602.273951176412</v>
      </c>
      <c r="X92" s="648">
        <f t="shared" si="385"/>
        <v>16488.630012655845</v>
      </c>
      <c r="Y92" s="648">
        <f t="shared" si="385"/>
        <v>17850.488596578685</v>
      </c>
      <c r="Z92" s="648">
        <f t="shared" si="385"/>
        <v>19243.608409932393</v>
      </c>
      <c r="AA92" s="648">
        <f t="shared" si="385"/>
        <v>20671.299273777811</v>
      </c>
      <c r="AB92" s="648">
        <f t="shared" si="385"/>
        <v>22131.357753958018</v>
      </c>
      <c r="AC92" s="648">
        <f t="shared" si="385"/>
        <v>23624.076070128725</v>
      </c>
      <c r="AD92" s="648">
        <f t="shared" si="385"/>
        <v>25149.977611554466</v>
      </c>
      <c r="AE92" s="648">
        <f t="shared" si="385"/>
        <v>26709.385678492741</v>
      </c>
      <c r="AF92" s="648">
        <f t="shared" si="385"/>
        <v>28302.618392307351</v>
      </c>
      <c r="AG92" s="648">
        <f t="shared" si="385"/>
        <v>29929.988437083117</v>
      </c>
      <c r="AH92" s="648">
        <f t="shared" si="385"/>
        <v>31591.80279890971</v>
      </c>
      <c r="AI92" s="648"/>
      <c r="AJ92" s="648">
        <f>AJ22*$EF92</f>
        <v>4244.1700651046394</v>
      </c>
      <c r="AK92" s="648">
        <f t="shared" ref="AK92:BN92" si="386">AK22*$EF92</f>
        <v>4559.4268950623791</v>
      </c>
      <c r="AL92" s="648">
        <f t="shared" si="386"/>
        <v>4942.8200639262213</v>
      </c>
      <c r="AM92" s="648">
        <f t="shared" si="386"/>
        <v>5332.852148265828</v>
      </c>
      <c r="AN92" s="648">
        <f t="shared" si="386"/>
        <v>5727.2857691408963</v>
      </c>
      <c r="AO92" s="648">
        <f t="shared" si="386"/>
        <v>6123.7375297971676</v>
      </c>
      <c r="AP92" s="648">
        <f t="shared" si="386"/>
        <v>6533.7668506589062</v>
      </c>
      <c r="AQ92" s="648">
        <f t="shared" si="386"/>
        <v>6957.393375308131</v>
      </c>
      <c r="AR92" s="648">
        <f t="shared" si="386"/>
        <v>7394.6138419299186</v>
      </c>
      <c r="AS92" s="648">
        <f t="shared" si="386"/>
        <v>7845.401285493298</v>
      </c>
      <c r="AT92" s="648">
        <f t="shared" si="386"/>
        <v>8309.7042763099871</v>
      </c>
      <c r="AU92" s="648">
        <f t="shared" si="386"/>
        <v>9082.8372830942553</v>
      </c>
      <c r="AV92" s="648">
        <f t="shared" si="386"/>
        <v>9866.4194977088118</v>
      </c>
      <c r="AW92" s="648">
        <f t="shared" si="386"/>
        <v>10657.541042373154</v>
      </c>
      <c r="AX92" s="648">
        <f t="shared" si="386"/>
        <v>11451.694311632895</v>
      </c>
      <c r="AY92" s="648">
        <f t="shared" si="386"/>
        <v>12244.842061712108</v>
      </c>
      <c r="AZ92" s="648">
        <f t="shared" si="386"/>
        <v>13056.311967207048</v>
      </c>
      <c r="BA92" s="648">
        <f t="shared" si="386"/>
        <v>13886.268087202419</v>
      </c>
      <c r="BB92" s="648">
        <f t="shared" si="386"/>
        <v>14734.870265858797</v>
      </c>
      <c r="BC92" s="648">
        <f t="shared" si="386"/>
        <v>15602.273951176412</v>
      </c>
      <c r="BD92" s="648">
        <f t="shared" si="386"/>
        <v>16488.630012655845</v>
      </c>
      <c r="BE92" s="648">
        <f t="shared" si="386"/>
        <v>17850.488596578685</v>
      </c>
      <c r="BF92" s="648">
        <f t="shared" si="386"/>
        <v>19243.608409932393</v>
      </c>
      <c r="BG92" s="648">
        <f t="shared" si="386"/>
        <v>20671.299273777811</v>
      </c>
      <c r="BH92" s="648">
        <f t="shared" si="386"/>
        <v>22131.357753958018</v>
      </c>
      <c r="BI92" s="648">
        <f t="shared" si="386"/>
        <v>23624.076070128725</v>
      </c>
      <c r="BJ92" s="648">
        <f t="shared" si="386"/>
        <v>25149.977611554466</v>
      </c>
      <c r="BK92" s="648">
        <f t="shared" si="386"/>
        <v>26709.385678492741</v>
      </c>
      <c r="BL92" s="648">
        <f t="shared" si="386"/>
        <v>28302.618392307351</v>
      </c>
      <c r="BM92" s="648">
        <f t="shared" si="386"/>
        <v>29929.988437083117</v>
      </c>
      <c r="BN92" s="648">
        <f t="shared" si="386"/>
        <v>31591.80279890971</v>
      </c>
      <c r="BO92" s="648"/>
      <c r="BP92" s="648">
        <f t="shared" ref="BP92:CT92" si="387">BP22*$EF92</f>
        <v>4244.1700651046394</v>
      </c>
      <c r="BQ92" s="648">
        <f t="shared" si="387"/>
        <v>4315.0477051918851</v>
      </c>
      <c r="BR92" s="648">
        <f t="shared" si="387"/>
        <v>4387.1090018685891</v>
      </c>
      <c r="BS92" s="648">
        <f t="shared" si="387"/>
        <v>4460.3737221997944</v>
      </c>
      <c r="BT92" s="648">
        <f t="shared" si="387"/>
        <v>4534.8619633605313</v>
      </c>
      <c r="BU92" s="648">
        <f t="shared" si="387"/>
        <v>4610.5941581486504</v>
      </c>
      <c r="BV92" s="648">
        <f t="shared" si="387"/>
        <v>4687.5910805897338</v>
      </c>
      <c r="BW92" s="648">
        <f t="shared" si="387"/>
        <v>4765.8738516355816</v>
      </c>
      <c r="BX92" s="648">
        <f t="shared" si="387"/>
        <v>4845.4639449578954</v>
      </c>
      <c r="BY92" s="648">
        <f t="shared" si="387"/>
        <v>4926.3831928386917</v>
      </c>
      <c r="BZ92" s="648">
        <f t="shared" si="387"/>
        <v>5008.653792159098</v>
      </c>
      <c r="CA92" s="648">
        <f t="shared" si="387"/>
        <v>5092.2983104881559</v>
      </c>
      <c r="CB92" s="648">
        <f t="shared" si="387"/>
        <v>5177.3396922733073</v>
      </c>
      <c r="CC92" s="648">
        <f t="shared" si="387"/>
        <v>5263.8012651342706</v>
      </c>
      <c r="CD92" s="648">
        <f t="shared" si="387"/>
        <v>5351.7067462620134</v>
      </c>
      <c r="CE92" s="648">
        <f t="shared" si="387"/>
        <v>5441.080248924588</v>
      </c>
      <c r="CF92" s="648">
        <f t="shared" si="387"/>
        <v>5531.9462890816294</v>
      </c>
      <c r="CG92" s="648">
        <f t="shared" si="387"/>
        <v>5624.3297921092908</v>
      </c>
      <c r="CH92" s="648">
        <f t="shared" si="387"/>
        <v>5718.256099637515</v>
      </c>
      <c r="CI92" s="648">
        <f t="shared" si="387"/>
        <v>5813.750976501462</v>
      </c>
      <c r="CJ92" s="648">
        <f t="shared" si="387"/>
        <v>5910.8406178090354</v>
      </c>
      <c r="CK92" s="648">
        <f t="shared" si="387"/>
        <v>6009.5516561264467</v>
      </c>
      <c r="CL92" s="648">
        <f t="shared" si="387"/>
        <v>6109.9111687837567</v>
      </c>
      <c r="CM92" s="648">
        <f t="shared" si="387"/>
        <v>6211.9466853024451</v>
      </c>
      <c r="CN92" s="648">
        <f t="shared" si="387"/>
        <v>6315.6861949469958</v>
      </c>
      <c r="CO92" s="648">
        <f t="shared" si="387"/>
        <v>6421.1581544026103</v>
      </c>
      <c r="CP92" s="648">
        <f t="shared" si="387"/>
        <v>6528.3914955811342</v>
      </c>
      <c r="CQ92" s="648">
        <f t="shared" si="387"/>
        <v>6637.415633557338</v>
      </c>
      <c r="CR92" s="648">
        <f t="shared" si="387"/>
        <v>6748.2604746377447</v>
      </c>
      <c r="CS92" s="648">
        <f t="shared" si="387"/>
        <v>6860.956424564195</v>
      </c>
      <c r="CT92" s="648">
        <f t="shared" si="387"/>
        <v>6975.5343968544175</v>
      </c>
      <c r="CU92" s="648"/>
      <c r="CV92" s="648">
        <f t="shared" ref="CV92:DZ92" si="388">CV22*$EF92</f>
        <v>4244.1700651046394</v>
      </c>
      <c r="CW92" s="648">
        <f t="shared" si="388"/>
        <v>4559.4268950623791</v>
      </c>
      <c r="CX92" s="648">
        <f t="shared" si="388"/>
        <v>4942.8200639262213</v>
      </c>
      <c r="CY92" s="648">
        <f t="shared" si="388"/>
        <v>5332.852148265828</v>
      </c>
      <c r="CZ92" s="648">
        <f t="shared" si="388"/>
        <v>5727.2857691408963</v>
      </c>
      <c r="DA92" s="648">
        <f t="shared" si="388"/>
        <v>6123.7375297971676</v>
      </c>
      <c r="DB92" s="648">
        <f t="shared" si="388"/>
        <v>6533.7668506589062</v>
      </c>
      <c r="DC92" s="648">
        <f t="shared" si="388"/>
        <v>6957.393375308131</v>
      </c>
      <c r="DD92" s="648">
        <f t="shared" si="388"/>
        <v>7394.6138419299186</v>
      </c>
      <c r="DE92" s="648">
        <f t="shared" si="388"/>
        <v>7845.401285493298</v>
      </c>
      <c r="DF92" s="648">
        <f t="shared" si="388"/>
        <v>8309.7042763099871</v>
      </c>
      <c r="DG92" s="648">
        <f t="shared" si="388"/>
        <v>9082.8372830942553</v>
      </c>
      <c r="DH92" s="648">
        <f t="shared" si="388"/>
        <v>9866.4194977088118</v>
      </c>
      <c r="DI92" s="648">
        <f t="shared" si="388"/>
        <v>10657.541042373154</v>
      </c>
      <c r="DJ92" s="648">
        <f t="shared" si="388"/>
        <v>11451.694311632895</v>
      </c>
      <c r="DK92" s="648">
        <f t="shared" si="388"/>
        <v>12244.842061712108</v>
      </c>
      <c r="DL92" s="648">
        <f t="shared" si="388"/>
        <v>13056.311967207048</v>
      </c>
      <c r="DM92" s="648">
        <f t="shared" si="388"/>
        <v>13886.268087202419</v>
      </c>
      <c r="DN92" s="648">
        <f t="shared" si="388"/>
        <v>14734.870265858797</v>
      </c>
      <c r="DO92" s="648">
        <f t="shared" si="388"/>
        <v>15602.273951176412</v>
      </c>
      <c r="DP92" s="648">
        <f t="shared" si="388"/>
        <v>16488.630012655845</v>
      </c>
      <c r="DQ92" s="648">
        <f t="shared" si="388"/>
        <v>17850.488596578685</v>
      </c>
      <c r="DR92" s="648">
        <f t="shared" si="388"/>
        <v>19243.608409932393</v>
      </c>
      <c r="DS92" s="648">
        <f t="shared" si="388"/>
        <v>20671.299273777811</v>
      </c>
      <c r="DT92" s="648">
        <f t="shared" si="388"/>
        <v>22131.357753958018</v>
      </c>
      <c r="DU92" s="648">
        <f t="shared" si="388"/>
        <v>23624.076070128725</v>
      </c>
      <c r="DV92" s="648">
        <f t="shared" si="388"/>
        <v>25149.977611554466</v>
      </c>
      <c r="DW92" s="648">
        <f t="shared" si="388"/>
        <v>26709.385678492741</v>
      </c>
      <c r="DX92" s="648">
        <f t="shared" si="388"/>
        <v>28302.618392307351</v>
      </c>
      <c r="DY92" s="648">
        <f t="shared" si="388"/>
        <v>29929.988437083117</v>
      </c>
      <c r="DZ92" s="648">
        <f t="shared" si="388"/>
        <v>31591.80279890971</v>
      </c>
      <c r="EF92" s="157">
        <f>AVERAGE(160,120)</f>
        <v>140</v>
      </c>
      <c r="EG92" s="51"/>
      <c r="EH92" s="51"/>
      <c r="EI92" s="51"/>
      <c r="EJ92" s="51"/>
    </row>
    <row r="93" spans="1:143">
      <c r="A93" s="1"/>
      <c r="B93" t="str">
        <f t="shared" si="384"/>
        <v>Chemical Recycling</v>
      </c>
      <c r="C93" s="54" t="s">
        <v>114</v>
      </c>
      <c r="D93" s="648">
        <f t="shared" ref="D93:AH93" si="389">D23*$EF93</f>
        <v>2.1962798564513365E-2</v>
      </c>
      <c r="E93" s="648">
        <f t="shared" si="389"/>
        <v>4.8323375097458536E-2</v>
      </c>
      <c r="F93" s="648">
        <f t="shared" si="389"/>
        <v>0.10216991604665353</v>
      </c>
      <c r="G93" s="648">
        <f t="shared" si="389"/>
        <v>0.21457780051289729</v>
      </c>
      <c r="H93" s="648">
        <f t="shared" si="389"/>
        <v>0.44724901533323674</v>
      </c>
      <c r="I93" s="648">
        <f t="shared" si="389"/>
        <v>0.92396257299343421</v>
      </c>
      <c r="J93" s="648">
        <f t="shared" si="389"/>
        <v>1.8925480534190751</v>
      </c>
      <c r="K93" s="648">
        <f t="shared" si="389"/>
        <v>3.8339031161205313</v>
      </c>
      <c r="L93" s="648">
        <f t="shared" si="389"/>
        <v>7.6555558992342414</v>
      </c>
      <c r="M93" s="648">
        <f t="shared" si="389"/>
        <v>15.001798642427495</v>
      </c>
      <c r="N93" s="648">
        <f t="shared" si="389"/>
        <v>28.266882592042904</v>
      </c>
      <c r="O93" s="648">
        <f t="shared" si="389"/>
        <v>51.054138009483381</v>
      </c>
      <c r="P93" s="648">
        <f t="shared" si="389"/>
        <v>87.305826229581541</v>
      </c>
      <c r="Q93" s="648">
        <f t="shared" si="389"/>
        <v>142.39006186132838</v>
      </c>
      <c r="R93" s="648">
        <f t="shared" si="389"/>
        <v>219.9519450355919</v>
      </c>
      <c r="S93" s="648">
        <f t="shared" si="389"/>
        <v>327.49012531909705</v>
      </c>
      <c r="T93" s="648">
        <f t="shared" si="389"/>
        <v>462.81718811548569</v>
      </c>
      <c r="U93" s="648">
        <f t="shared" si="389"/>
        <v>617.01707431405987</v>
      </c>
      <c r="V93" s="648">
        <f t="shared" si="389"/>
        <v>779.81016018791502</v>
      </c>
      <c r="W93" s="648">
        <f t="shared" si="389"/>
        <v>940.85754515971303</v>
      </c>
      <c r="X93" s="648">
        <f t="shared" si="389"/>
        <v>1066.2337481473201</v>
      </c>
      <c r="Y93" s="648">
        <f t="shared" si="389"/>
        <v>1215.5116174182854</v>
      </c>
      <c r="Z93" s="648">
        <f t="shared" si="389"/>
        <v>1350.4014767604749</v>
      </c>
      <c r="AA93" s="648">
        <f t="shared" si="389"/>
        <v>1477.4006701171929</v>
      </c>
      <c r="AB93" s="648">
        <f t="shared" si="389"/>
        <v>1598.260947612411</v>
      </c>
      <c r="AC93" s="648">
        <f t="shared" si="389"/>
        <v>1719.9904894822178</v>
      </c>
      <c r="AD93" s="648">
        <f t="shared" si="389"/>
        <v>1852.0384324801971</v>
      </c>
      <c r="AE93" s="648">
        <f t="shared" si="389"/>
        <v>2005.537115736736</v>
      </c>
      <c r="AF93" s="648">
        <f t="shared" si="389"/>
        <v>2191.2185705610814</v>
      </c>
      <c r="AG93" s="648">
        <f t="shared" si="389"/>
        <v>2432.6769555417795</v>
      </c>
      <c r="AH93" s="648">
        <f t="shared" si="389"/>
        <v>2677.2589469113996</v>
      </c>
      <c r="AI93" s="648"/>
      <c r="AJ93" s="648">
        <f t="shared" ref="AJ93:BN93" si="390">AJ23*$EF93</f>
        <v>1.2135483783806432E-2</v>
      </c>
      <c r="AK93" s="648">
        <f t="shared" si="390"/>
        <v>2.6840285023345144E-2</v>
      </c>
      <c r="AL93" s="648">
        <f t="shared" si="390"/>
        <v>5.6734877216195918E-2</v>
      </c>
      <c r="AM93" s="648">
        <f t="shared" si="390"/>
        <v>0.11913388782763465</v>
      </c>
      <c r="AN93" s="648">
        <f t="shared" si="390"/>
        <v>0.24828327091801025</v>
      </c>
      <c r="AO93" s="648">
        <f t="shared" si="390"/>
        <v>0.51288757011292685</v>
      </c>
      <c r="AP93" s="648">
        <f t="shared" si="390"/>
        <v>1.0505214294796958</v>
      </c>
      <c r="AQ93" s="648">
        <f t="shared" si="390"/>
        <v>2.1281795956410177</v>
      </c>
      <c r="AR93" s="648">
        <f t="shared" si="390"/>
        <v>4.2498202084561987</v>
      </c>
      <c r="AS93" s="648">
        <f t="shared" si="390"/>
        <v>8.3287558169792177</v>
      </c>
      <c r="AT93" s="648">
        <f t="shared" si="390"/>
        <v>15.452066135537551</v>
      </c>
      <c r="AU93" s="648">
        <f t="shared" si="390"/>
        <v>28.331257380845166</v>
      </c>
      <c r="AV93" s="648">
        <f t="shared" si="390"/>
        <v>48.42141372086229</v>
      </c>
      <c r="AW93" s="648">
        <f t="shared" si="390"/>
        <v>78.925688216345648</v>
      </c>
      <c r="AX93" s="648">
        <f t="shared" si="390"/>
        <v>121.85102962603428</v>
      </c>
      <c r="AY93" s="648">
        <f t="shared" si="390"/>
        <v>181.4831123543066</v>
      </c>
      <c r="AZ93" s="648">
        <f t="shared" si="390"/>
        <v>256.62039054902465</v>
      </c>
      <c r="BA93" s="648">
        <f t="shared" si="390"/>
        <v>342.31470038520536</v>
      </c>
      <c r="BB93" s="648">
        <f t="shared" si="390"/>
        <v>432.88100771749401</v>
      </c>
      <c r="BC93" s="648">
        <f t="shared" si="390"/>
        <v>522.58978708841028</v>
      </c>
      <c r="BD93" s="648">
        <f t="shared" si="390"/>
        <v>580.99529391226008</v>
      </c>
      <c r="BE93" s="648">
        <f t="shared" si="390"/>
        <v>676.32333072148037</v>
      </c>
      <c r="BF93" s="648">
        <f t="shared" si="390"/>
        <v>752.75796684306056</v>
      </c>
      <c r="BG93" s="648">
        <f t="shared" si="390"/>
        <v>825.10932499159219</v>
      </c>
      <c r="BH93" s="648">
        <f t="shared" si="390"/>
        <v>894.30780188906124</v>
      </c>
      <c r="BI93" s="648">
        <f t="shared" si="390"/>
        <v>964.28080844008207</v>
      </c>
      <c r="BJ93" s="648">
        <f t="shared" si="390"/>
        <v>1040.3611166675944</v>
      </c>
      <c r="BK93" s="648">
        <f t="shared" si="390"/>
        <v>1130.4654303923994</v>
      </c>
      <c r="BL93" s="648">
        <f t="shared" si="390"/>
        <v>1240.150490382475</v>
      </c>
      <c r="BM93" s="648">
        <f t="shared" si="390"/>
        <v>1383.2108100153453</v>
      </c>
      <c r="BN93" s="648">
        <f t="shared" si="390"/>
        <v>1492.4649064822729</v>
      </c>
      <c r="BO93" s="648"/>
      <c r="BP93" s="648">
        <f t="shared" ref="BP93:CT93" si="391">BP23*$EF93</f>
        <v>0</v>
      </c>
      <c r="BQ93" s="648">
        <f t="shared" si="391"/>
        <v>0</v>
      </c>
      <c r="BR93" s="648">
        <f t="shared" si="391"/>
        <v>0</v>
      </c>
      <c r="BS93" s="648">
        <f t="shared" si="391"/>
        <v>0</v>
      </c>
      <c r="BT93" s="648">
        <f t="shared" si="391"/>
        <v>0</v>
      </c>
      <c r="BU93" s="648">
        <f t="shared" si="391"/>
        <v>0</v>
      </c>
      <c r="BV93" s="648">
        <f t="shared" si="391"/>
        <v>0</v>
      </c>
      <c r="BW93" s="648">
        <f t="shared" si="391"/>
        <v>0</v>
      </c>
      <c r="BX93" s="648">
        <f t="shared" si="391"/>
        <v>0</v>
      </c>
      <c r="BY93" s="648">
        <f t="shared" si="391"/>
        <v>0</v>
      </c>
      <c r="BZ93" s="648">
        <f t="shared" si="391"/>
        <v>0</v>
      </c>
      <c r="CA93" s="648">
        <f t="shared" si="391"/>
        <v>0</v>
      </c>
      <c r="CB93" s="648">
        <f t="shared" si="391"/>
        <v>0</v>
      </c>
      <c r="CC93" s="648">
        <f t="shared" si="391"/>
        <v>0</v>
      </c>
      <c r="CD93" s="648">
        <f t="shared" si="391"/>
        <v>0</v>
      </c>
      <c r="CE93" s="648">
        <f t="shared" si="391"/>
        <v>0</v>
      </c>
      <c r="CF93" s="648">
        <f t="shared" si="391"/>
        <v>0</v>
      </c>
      <c r="CG93" s="648">
        <f t="shared" si="391"/>
        <v>0</v>
      </c>
      <c r="CH93" s="648">
        <f t="shared" si="391"/>
        <v>0</v>
      </c>
      <c r="CI93" s="648">
        <f t="shared" si="391"/>
        <v>0</v>
      </c>
      <c r="CJ93" s="648">
        <f t="shared" si="391"/>
        <v>0</v>
      </c>
      <c r="CK93" s="648">
        <f t="shared" si="391"/>
        <v>0</v>
      </c>
      <c r="CL93" s="648">
        <f t="shared" si="391"/>
        <v>0</v>
      </c>
      <c r="CM93" s="648">
        <f t="shared" si="391"/>
        <v>0</v>
      </c>
      <c r="CN93" s="648">
        <f t="shared" si="391"/>
        <v>0</v>
      </c>
      <c r="CO93" s="648">
        <f t="shared" si="391"/>
        <v>0</v>
      </c>
      <c r="CP93" s="648">
        <f t="shared" si="391"/>
        <v>0</v>
      </c>
      <c r="CQ93" s="648">
        <f t="shared" si="391"/>
        <v>0</v>
      </c>
      <c r="CR93" s="648">
        <f t="shared" si="391"/>
        <v>0</v>
      </c>
      <c r="CS93" s="648">
        <f t="shared" si="391"/>
        <v>0</v>
      </c>
      <c r="CT93" s="648">
        <f t="shared" si="391"/>
        <v>0</v>
      </c>
      <c r="CU93" s="648"/>
      <c r="CV93" s="648">
        <f t="shared" ref="CV93:DZ93" si="392">CV23*$EF93</f>
        <v>1.2135483783806432E-2</v>
      </c>
      <c r="CW93" s="648">
        <f t="shared" si="392"/>
        <v>2.6840285023345144E-2</v>
      </c>
      <c r="CX93" s="648">
        <f t="shared" si="392"/>
        <v>5.6734877216195918E-2</v>
      </c>
      <c r="CY93" s="648">
        <f t="shared" si="392"/>
        <v>0.11913388782763465</v>
      </c>
      <c r="CZ93" s="648">
        <f t="shared" si="392"/>
        <v>0.24828327091801025</v>
      </c>
      <c r="DA93" s="648">
        <f t="shared" si="392"/>
        <v>0.51288757011292685</v>
      </c>
      <c r="DB93" s="648">
        <f t="shared" si="392"/>
        <v>1.0505214294796958</v>
      </c>
      <c r="DC93" s="648">
        <f t="shared" si="392"/>
        <v>2.1281795956410177</v>
      </c>
      <c r="DD93" s="648">
        <f t="shared" si="392"/>
        <v>4.2498202084561987</v>
      </c>
      <c r="DE93" s="648">
        <f t="shared" si="392"/>
        <v>8.3287558169792177</v>
      </c>
      <c r="DF93" s="648">
        <f t="shared" si="392"/>
        <v>15.452066135537551</v>
      </c>
      <c r="DG93" s="648">
        <f t="shared" si="392"/>
        <v>28.331257380845166</v>
      </c>
      <c r="DH93" s="648">
        <f t="shared" si="392"/>
        <v>48.42141372086229</v>
      </c>
      <c r="DI93" s="648">
        <f t="shared" si="392"/>
        <v>78.925688216345648</v>
      </c>
      <c r="DJ93" s="648">
        <f t="shared" si="392"/>
        <v>121.85102962603428</v>
      </c>
      <c r="DK93" s="648">
        <f t="shared" si="392"/>
        <v>181.4831123543066</v>
      </c>
      <c r="DL93" s="648">
        <f t="shared" si="392"/>
        <v>256.62039054902465</v>
      </c>
      <c r="DM93" s="648">
        <f t="shared" si="392"/>
        <v>342.31470038520536</v>
      </c>
      <c r="DN93" s="648">
        <f t="shared" si="392"/>
        <v>432.88100771749401</v>
      </c>
      <c r="DO93" s="648">
        <f t="shared" si="392"/>
        <v>522.58978708841028</v>
      </c>
      <c r="DP93" s="648">
        <f t="shared" si="392"/>
        <v>580.99529391226008</v>
      </c>
      <c r="DQ93" s="648">
        <f t="shared" si="392"/>
        <v>676.32333072148037</v>
      </c>
      <c r="DR93" s="648">
        <f t="shared" si="392"/>
        <v>752.75796684306056</v>
      </c>
      <c r="DS93" s="648">
        <f t="shared" si="392"/>
        <v>825.10932499159219</v>
      </c>
      <c r="DT93" s="648">
        <f t="shared" si="392"/>
        <v>894.30780188906124</v>
      </c>
      <c r="DU93" s="648">
        <f t="shared" si="392"/>
        <v>964.28080844008207</v>
      </c>
      <c r="DV93" s="648">
        <f t="shared" si="392"/>
        <v>1040.3611166675944</v>
      </c>
      <c r="DW93" s="648">
        <f t="shared" si="392"/>
        <v>1130.4654303923994</v>
      </c>
      <c r="DX93" s="648">
        <f t="shared" si="392"/>
        <v>1240.150490382475</v>
      </c>
      <c r="DY93" s="648">
        <f t="shared" si="392"/>
        <v>1383.2108100153453</v>
      </c>
      <c r="DZ93" s="648">
        <f t="shared" si="392"/>
        <v>1492.4649064822729</v>
      </c>
      <c r="EF93" s="157">
        <v>153</v>
      </c>
      <c r="EG93" s="51"/>
      <c r="EH93" s="51"/>
      <c r="EI93" s="51"/>
      <c r="EJ93" s="51"/>
    </row>
    <row r="94" spans="1:143">
      <c r="A94" s="1"/>
      <c r="B94" t="str">
        <f t="shared" si="384"/>
        <v>Waste management (collection + MRF)</v>
      </c>
      <c r="C94" s="54" t="s">
        <v>114</v>
      </c>
      <c r="D94" s="648">
        <f t="shared" ref="D94:AH94" si="393">D24*$EF94</f>
        <v>28932.048926821764</v>
      </c>
      <c r="E94" s="648">
        <f t="shared" si="393"/>
        <v>30037.941214711547</v>
      </c>
      <c r="F94" s="648">
        <f t="shared" si="393"/>
        <v>31116.448226570985</v>
      </c>
      <c r="G94" s="648">
        <f t="shared" si="393"/>
        <v>32147.802387100626</v>
      </c>
      <c r="H94" s="648">
        <f t="shared" si="393"/>
        <v>33124.939087885999</v>
      </c>
      <c r="I94" s="648">
        <f t="shared" si="393"/>
        <v>34041.026778518499</v>
      </c>
      <c r="J94" s="648">
        <f t="shared" si="393"/>
        <v>34964.829325075363</v>
      </c>
      <c r="K94" s="648">
        <f t="shared" si="393"/>
        <v>35895.685017885466</v>
      </c>
      <c r="L94" s="648">
        <f t="shared" si="393"/>
        <v>36832.971665376492</v>
      </c>
      <c r="M94" s="648">
        <f t="shared" si="393"/>
        <v>37776.156675083505</v>
      </c>
      <c r="N94" s="648">
        <f t="shared" si="393"/>
        <v>38724.792206608996</v>
      </c>
      <c r="O94" s="648">
        <f t="shared" si="393"/>
        <v>39678.942180360973</v>
      </c>
      <c r="P94" s="648">
        <f t="shared" si="393"/>
        <v>40577.930551233032</v>
      </c>
      <c r="Q94" s="648">
        <f t="shared" si="393"/>
        <v>41421.535057112465</v>
      </c>
      <c r="R94" s="648">
        <f t="shared" si="393"/>
        <v>42201.684311479054</v>
      </c>
      <c r="S94" s="648">
        <f t="shared" si="393"/>
        <v>42914.990403944168</v>
      </c>
      <c r="T94" s="648">
        <f t="shared" si="393"/>
        <v>43635.146652811789</v>
      </c>
      <c r="U94" s="648">
        <f t="shared" si="393"/>
        <v>44360.38027190174</v>
      </c>
      <c r="V94" s="648">
        <f t="shared" si="393"/>
        <v>45088.779326831063</v>
      </c>
      <c r="W94" s="648">
        <f t="shared" si="393"/>
        <v>45818.50633723072</v>
      </c>
      <c r="X94" s="648">
        <f t="shared" si="393"/>
        <v>46544.261136636589</v>
      </c>
      <c r="Y94" s="648">
        <f t="shared" si="393"/>
        <v>47349.307452823938</v>
      </c>
      <c r="Z94" s="648">
        <f t="shared" si="393"/>
        <v>48153.544627036994</v>
      </c>
      <c r="AA94" s="648">
        <f t="shared" si="393"/>
        <v>48964.813396963291</v>
      </c>
      <c r="AB94" s="648">
        <f t="shared" si="393"/>
        <v>49776.311817339803</v>
      </c>
      <c r="AC94" s="648">
        <f t="shared" si="393"/>
        <v>50588.782244142341</v>
      </c>
      <c r="AD94" s="648">
        <f t="shared" si="393"/>
        <v>51403.719897611365</v>
      </c>
      <c r="AE94" s="648">
        <f t="shared" si="393"/>
        <v>52222.300376540457</v>
      </c>
      <c r="AF94" s="648">
        <f t="shared" si="393"/>
        <v>53045.544413892749</v>
      </c>
      <c r="AG94" s="648">
        <f t="shared" si="393"/>
        <v>53876.060074599889</v>
      </c>
      <c r="AH94" s="648">
        <f t="shared" si="393"/>
        <v>54706.419400623621</v>
      </c>
      <c r="AI94" s="648"/>
      <c r="AJ94" s="648">
        <f t="shared" ref="AJ94:BN94" si="394">AJ24*$EF94</f>
        <v>28932.047026874239</v>
      </c>
      <c r="AK94" s="648">
        <f t="shared" si="394"/>
        <v>30037.937107463</v>
      </c>
      <c r="AL94" s="648">
        <f t="shared" si="394"/>
        <v>31116.439637665866</v>
      </c>
      <c r="AM94" s="648">
        <f t="shared" si="394"/>
        <v>32147.784549693832</v>
      </c>
      <c r="AN94" s="648">
        <f t="shared" si="394"/>
        <v>33124.902330806995</v>
      </c>
      <c r="AO94" s="648">
        <f t="shared" si="394"/>
        <v>34040.95171926797</v>
      </c>
      <c r="AP94" s="648">
        <f t="shared" si="394"/>
        <v>34964.677386048999</v>
      </c>
      <c r="AQ94" s="648">
        <f t="shared" si="394"/>
        <v>35895.380893699257</v>
      </c>
      <c r="AR94" s="648">
        <f t="shared" si="394"/>
        <v>36832.371751341489</v>
      </c>
      <c r="AS94" s="648">
        <f t="shared" si="394"/>
        <v>37774.995565631878</v>
      </c>
      <c r="AT94" s="648">
        <f t="shared" si="394"/>
        <v>38722.589956669806</v>
      </c>
      <c r="AU94" s="648">
        <f t="shared" si="394"/>
        <v>39675.086023359487</v>
      </c>
      <c r="AV94" s="648">
        <f t="shared" si="394"/>
        <v>40571.415251892686</v>
      </c>
      <c r="AW94" s="648">
        <f t="shared" si="394"/>
        <v>41409.517002830653</v>
      </c>
      <c r="AX94" s="648">
        <f t="shared" si="394"/>
        <v>42182.5774076569</v>
      </c>
      <c r="AY94" s="648">
        <f t="shared" si="394"/>
        <v>42886.763525367263</v>
      </c>
      <c r="AZ94" s="648">
        <f t="shared" si="394"/>
        <v>43596.007791708609</v>
      </c>
      <c r="BA94" s="648">
        <f t="shared" si="394"/>
        <v>44309.238441216039</v>
      </c>
      <c r="BB94" s="648">
        <f t="shared" si="394"/>
        <v>45025.307409747737</v>
      </c>
      <c r="BC94" s="648">
        <f t="shared" si="394"/>
        <v>45743.103878615926</v>
      </c>
      <c r="BD94" s="648">
        <f t="shared" si="394"/>
        <v>46457.844888674619</v>
      </c>
      <c r="BE94" s="648">
        <f t="shared" si="394"/>
        <v>47254.048108721065</v>
      </c>
      <c r="BF94" s="648">
        <f t="shared" si="394"/>
        <v>48048.96848799596</v>
      </c>
      <c r="BG94" s="648">
        <f t="shared" si="394"/>
        <v>48851.671889399964</v>
      </c>
      <c r="BH94" s="648">
        <f t="shared" si="394"/>
        <v>49655.215062503376</v>
      </c>
      <c r="BI94" s="648">
        <f t="shared" si="394"/>
        <v>50459.890649595494</v>
      </c>
      <c r="BJ94" s="648">
        <f t="shared" si="394"/>
        <v>51266.628028506064</v>
      </c>
      <c r="BK94" s="648">
        <f t="shared" si="394"/>
        <v>52076.194419736959</v>
      </c>
      <c r="BL94" s="648">
        <f t="shared" si="394"/>
        <v>52888.968825258649</v>
      </c>
      <c r="BM94" s="648">
        <f t="shared" si="394"/>
        <v>53706.356100524165</v>
      </c>
      <c r="BN94" s="648">
        <f t="shared" si="394"/>
        <v>54519.199843949631</v>
      </c>
      <c r="BO94" s="648"/>
      <c r="BP94" s="648">
        <f>BP24*$EF94</f>
        <v>28932.044680680712</v>
      </c>
      <c r="BQ94" s="648">
        <f t="shared" ref="BQ94:CT94" si="395">BQ24*$EF94</f>
        <v>29760.840342540094</v>
      </c>
      <c r="BR94" s="648">
        <f t="shared" si="395"/>
        <v>30534.982603793214</v>
      </c>
      <c r="BS94" s="648">
        <f t="shared" si="395"/>
        <v>31249.116928191801</v>
      </c>
      <c r="BT94" s="648">
        <f t="shared" si="395"/>
        <v>31898.247040156217</v>
      </c>
      <c r="BU94" s="648">
        <f t="shared" si="395"/>
        <v>32477.796062803496</v>
      </c>
      <c r="BV94" s="648">
        <f t="shared" si="395"/>
        <v>33052.507989250698</v>
      </c>
      <c r="BW94" s="648">
        <f t="shared" si="395"/>
        <v>33621.751315812005</v>
      </c>
      <c r="BX94" s="648">
        <f t="shared" si="395"/>
        <v>34184.891446856273</v>
      </c>
      <c r="BY94" s="648">
        <f t="shared" si="395"/>
        <v>34741.291926480852</v>
      </c>
      <c r="BZ94" s="648">
        <f t="shared" si="395"/>
        <v>35290.315701207765</v>
      </c>
      <c r="CA94" s="648">
        <f t="shared" si="395"/>
        <v>35781.83556510471</v>
      </c>
      <c r="CB94" s="648">
        <f t="shared" si="395"/>
        <v>36213.185761380213</v>
      </c>
      <c r="CC94" s="648">
        <f t="shared" si="395"/>
        <v>36582.014684515998</v>
      </c>
      <c r="CD94" s="648">
        <f t="shared" si="395"/>
        <v>36886.308289603068</v>
      </c>
      <c r="CE94" s="648">
        <f t="shared" si="395"/>
        <v>37124.410596293492</v>
      </c>
      <c r="CF94" s="648">
        <f t="shared" si="395"/>
        <v>37359.657256833765</v>
      </c>
      <c r="CG94" s="648">
        <f t="shared" si="395"/>
        <v>37591.981180761359</v>
      </c>
      <c r="CH94" s="648">
        <f t="shared" si="395"/>
        <v>37821.316432207146</v>
      </c>
      <c r="CI94" s="648">
        <f t="shared" si="395"/>
        <v>38047.598290861097</v>
      </c>
      <c r="CJ94" s="648">
        <f t="shared" si="395"/>
        <v>38270.763313130992</v>
      </c>
      <c r="CK94" s="648">
        <f t="shared" si="395"/>
        <v>38491.155253207951</v>
      </c>
      <c r="CL94" s="648">
        <f t="shared" si="395"/>
        <v>38708.719694654916</v>
      </c>
      <c r="CM94" s="648">
        <f t="shared" si="395"/>
        <v>38923.403418574329</v>
      </c>
      <c r="CN94" s="648">
        <f t="shared" si="395"/>
        <v>39135.154455895579</v>
      </c>
      <c r="CO94" s="648">
        <f t="shared" si="395"/>
        <v>39343.922139801027</v>
      </c>
      <c r="CP94" s="648">
        <f t="shared" si="395"/>
        <v>39550.013286933478</v>
      </c>
      <c r="CQ94" s="648">
        <f t="shared" si="395"/>
        <v>39753.384776468811</v>
      </c>
      <c r="CR94" s="648">
        <f t="shared" si="395"/>
        <v>39953.994720923118</v>
      </c>
      <c r="CS94" s="648">
        <f t="shared" si="395"/>
        <v>40151.802511900707</v>
      </c>
      <c r="CT94" s="648">
        <f t="shared" si="395"/>
        <v>40346.768865956859</v>
      </c>
      <c r="CU94" s="648"/>
      <c r="CV94" s="648">
        <f t="shared" ref="CV94:DZ94" si="396">CV24*$EF94</f>
        <v>28932.047026874239</v>
      </c>
      <c r="CW94" s="648">
        <f t="shared" si="396"/>
        <v>30037.937107463</v>
      </c>
      <c r="CX94" s="648">
        <f t="shared" si="396"/>
        <v>31116.439637665866</v>
      </c>
      <c r="CY94" s="648">
        <f t="shared" si="396"/>
        <v>32147.784549693832</v>
      </c>
      <c r="CZ94" s="648">
        <f t="shared" si="396"/>
        <v>33124.902330806995</v>
      </c>
      <c r="DA94" s="648">
        <f t="shared" si="396"/>
        <v>34040.95171926797</v>
      </c>
      <c r="DB94" s="648">
        <f t="shared" si="396"/>
        <v>34964.677386048999</v>
      </c>
      <c r="DC94" s="648">
        <f t="shared" si="396"/>
        <v>35895.380893699257</v>
      </c>
      <c r="DD94" s="648">
        <f t="shared" si="396"/>
        <v>36832.371751341489</v>
      </c>
      <c r="DE94" s="648">
        <f t="shared" si="396"/>
        <v>37774.995565631878</v>
      </c>
      <c r="DF94" s="648">
        <f t="shared" si="396"/>
        <v>38722.589956669806</v>
      </c>
      <c r="DG94" s="648">
        <f t="shared" si="396"/>
        <v>39675.086023359487</v>
      </c>
      <c r="DH94" s="648">
        <f t="shared" si="396"/>
        <v>40571.415251892686</v>
      </c>
      <c r="DI94" s="648">
        <f t="shared" si="396"/>
        <v>41407.215495466633</v>
      </c>
      <c r="DJ94" s="648">
        <f t="shared" si="396"/>
        <v>42177.898914729252</v>
      </c>
      <c r="DK94" s="648">
        <f t="shared" si="396"/>
        <v>42879.644384110426</v>
      </c>
      <c r="DL94" s="648">
        <f t="shared" si="396"/>
        <v>43586.379625949165</v>
      </c>
      <c r="DM94" s="648">
        <f t="shared" si="396"/>
        <v>44297.032321435792</v>
      </c>
      <c r="DN94" s="648">
        <f t="shared" si="396"/>
        <v>45010.453876265237</v>
      </c>
      <c r="DO94" s="648">
        <f t="shared" si="396"/>
        <v>45725.532965513252</v>
      </c>
      <c r="DP94" s="648">
        <f t="shared" si="396"/>
        <v>46437.486148464988</v>
      </c>
      <c r="DQ94" s="648">
        <f t="shared" si="396"/>
        <v>47230.830382025328</v>
      </c>
      <c r="DR94" s="648">
        <f t="shared" si="396"/>
        <v>48022.82008813812</v>
      </c>
      <c r="DS94" s="648">
        <f t="shared" si="396"/>
        <v>48815.919105648158</v>
      </c>
      <c r="DT94" s="648">
        <f t="shared" si="396"/>
        <v>49609.608595410398</v>
      </c>
      <c r="DU94" s="648">
        <f t="shared" si="396"/>
        <v>50404.179457958817</v>
      </c>
      <c r="DV94" s="648">
        <f t="shared" si="396"/>
        <v>51200.558784769724</v>
      </c>
      <c r="DW94" s="648">
        <f t="shared" si="396"/>
        <v>51999.511914956827</v>
      </c>
      <c r="DX94" s="648">
        <f t="shared" si="396"/>
        <v>52801.416038553689</v>
      </c>
      <c r="DY94" s="648">
        <f t="shared" si="396"/>
        <v>53607.674270572788</v>
      </c>
      <c r="DZ94" s="648">
        <f t="shared" si="396"/>
        <v>54409.128542520615</v>
      </c>
      <c r="EF94" s="157">
        <f>52+64</f>
        <v>116</v>
      </c>
      <c r="EG94" s="51"/>
      <c r="EH94" s="51"/>
      <c r="EI94" s="51"/>
      <c r="EJ94" s="51"/>
    </row>
    <row r="95" spans="1:143">
      <c r="A95" s="1"/>
      <c r="B95" t="str">
        <f t="shared" si="384"/>
        <v>Incineration</v>
      </c>
      <c r="C95" s="54" t="s">
        <v>114</v>
      </c>
      <c r="D95" s="648">
        <f t="shared" ref="D95:AH95" si="397">D25*$EF95</f>
        <v>1270.4776190257774</v>
      </c>
      <c r="E95" s="648">
        <f t="shared" si="397"/>
        <v>1351.3182723959669</v>
      </c>
      <c r="F95" s="648">
        <f t="shared" si="397"/>
        <v>1429.904456936531</v>
      </c>
      <c r="G95" s="648">
        <f t="shared" si="397"/>
        <v>1507.5414064958466</v>
      </c>
      <c r="H95" s="648">
        <f t="shared" si="397"/>
        <v>1583.6869108141123</v>
      </c>
      <c r="I95" s="648">
        <f t="shared" si="397"/>
        <v>1657.7900346181532</v>
      </c>
      <c r="J95" s="648">
        <f t="shared" si="397"/>
        <v>1733.0262325348558</v>
      </c>
      <c r="K95" s="648">
        <f t="shared" si="397"/>
        <v>1809.3012717847535</v>
      </c>
      <c r="L95" s="648">
        <f t="shared" si="397"/>
        <v>1886.4992853384701</v>
      </c>
      <c r="M95" s="648">
        <f t="shared" si="397"/>
        <v>1964.4694491179566</v>
      </c>
      <c r="N95" s="648">
        <f t="shared" si="397"/>
        <v>2043.0221027278064</v>
      </c>
      <c r="O95" s="648">
        <f t="shared" si="397"/>
        <v>2105.8814948357158</v>
      </c>
      <c r="P95" s="648">
        <f t="shared" si="397"/>
        <v>2164.2732661703612</v>
      </c>
      <c r="Q95" s="648">
        <f t="shared" si="397"/>
        <v>2217.7649328051698</v>
      </c>
      <c r="R95" s="648">
        <f t="shared" si="397"/>
        <v>2265.5550612878596</v>
      </c>
      <c r="S95" s="648">
        <f t="shared" si="397"/>
        <v>2306.9063142146315</v>
      </c>
      <c r="T95" s="648">
        <f t="shared" si="397"/>
        <v>2345.7570687252551</v>
      </c>
      <c r="U95" s="648">
        <f t="shared" si="397"/>
        <v>2382.352930209388</v>
      </c>
      <c r="V95" s="648">
        <f t="shared" si="397"/>
        <v>2417.0335026071225</v>
      </c>
      <c r="W95" s="648">
        <f t="shared" si="397"/>
        <v>2450.1786781884502</v>
      </c>
      <c r="X95" s="648">
        <f t="shared" si="397"/>
        <v>2483.3161089667979</v>
      </c>
      <c r="Y95" s="648">
        <f t="shared" si="397"/>
        <v>2489.7088802598846</v>
      </c>
      <c r="Z95" s="648">
        <f t="shared" si="397"/>
        <v>2493.4508061205051</v>
      </c>
      <c r="AA95" s="648">
        <f t="shared" si="397"/>
        <v>2494.5110431516782</v>
      </c>
      <c r="AB95" s="648">
        <f t="shared" si="397"/>
        <v>2492.326213927412</v>
      </c>
      <c r="AC95" s="648">
        <f t="shared" si="397"/>
        <v>2486.4271930078321</v>
      </c>
      <c r="AD95" s="648">
        <f t="shared" si="397"/>
        <v>2476.2126715257482</v>
      </c>
      <c r="AE95" s="648">
        <f t="shared" si="397"/>
        <v>2460.9295802792335</v>
      </c>
      <c r="AF95" s="648">
        <f t="shared" si="397"/>
        <v>2439.8031874992798</v>
      </c>
      <c r="AG95" s="648">
        <f t="shared" si="397"/>
        <v>2411.3025643139417</v>
      </c>
      <c r="AH95" s="648">
        <f t="shared" si="397"/>
        <v>2378.1121680328761</v>
      </c>
      <c r="AI95" s="648"/>
      <c r="AJ95" s="648">
        <f t="shared" ref="AJ95:BN95" si="398">AJ25*$EF95</f>
        <v>1270.4778965029006</v>
      </c>
      <c r="AK95" s="648">
        <f t="shared" si="398"/>
        <v>1351.3188991967127</v>
      </c>
      <c r="AL95" s="648">
        <f t="shared" si="398"/>
        <v>1429.9058253329945</v>
      </c>
      <c r="AM95" s="648">
        <f t="shared" si="398"/>
        <v>1507.5443708714877</v>
      </c>
      <c r="AN95" s="648">
        <f t="shared" si="398"/>
        <v>1583.6932777179334</v>
      </c>
      <c r="AO95" s="648">
        <f t="shared" si="398"/>
        <v>1657.8035759123659</v>
      </c>
      <c r="AP95" s="648">
        <f t="shared" si="398"/>
        <v>1733.0547623781142</v>
      </c>
      <c r="AQ95" s="648">
        <f t="shared" si="398"/>
        <v>1809.3606710979373</v>
      </c>
      <c r="AR95" s="648">
        <f t="shared" si="398"/>
        <v>1886.6210904737638</v>
      </c>
      <c r="AS95" s="648">
        <f t="shared" si="398"/>
        <v>1964.7143890428435</v>
      </c>
      <c r="AT95" s="648">
        <f t="shared" si="398"/>
        <v>2043.5045428767571</v>
      </c>
      <c r="AU95" s="648">
        <f t="shared" si="398"/>
        <v>2106.7583306999741</v>
      </c>
      <c r="AV95" s="648">
        <f t="shared" si="398"/>
        <v>2165.8103441236472</v>
      </c>
      <c r="AW95" s="648">
        <f t="shared" si="398"/>
        <v>2220.2295566603993</v>
      </c>
      <c r="AX95" s="648">
        <f t="shared" si="398"/>
        <v>2269.4024271703129</v>
      </c>
      <c r="AY95" s="648">
        <f t="shared" si="398"/>
        <v>2312.7564914764798</v>
      </c>
      <c r="AZ95" s="648">
        <f t="shared" si="398"/>
        <v>2354.2245649062429</v>
      </c>
      <c r="BA95" s="648">
        <f t="shared" si="398"/>
        <v>2393.9112563431454</v>
      </c>
      <c r="BB95" s="648">
        <f t="shared" si="398"/>
        <v>2431.9719245535211</v>
      </c>
      <c r="BC95" s="648">
        <f t="shared" si="398"/>
        <v>2468.5842387449466</v>
      </c>
      <c r="BD95" s="648">
        <f t="shared" si="398"/>
        <v>2505.1094357933898</v>
      </c>
      <c r="BE95" s="648">
        <f t="shared" si="398"/>
        <v>2514.3827594870363</v>
      </c>
      <c r="BF95" s="648">
        <f t="shared" si="398"/>
        <v>2521.3188569957119</v>
      </c>
      <c r="BG95" s="648">
        <f t="shared" si="398"/>
        <v>2525.4847887019214</v>
      </c>
      <c r="BH95" s="648">
        <f t="shared" si="398"/>
        <v>2526.3480159962528</v>
      </c>
      <c r="BI95" s="648">
        <f t="shared" si="398"/>
        <v>2523.5903039052341</v>
      </c>
      <c r="BJ95" s="648">
        <f t="shared" si="398"/>
        <v>2516.8273953368662</v>
      </c>
      <c r="BK95" s="648">
        <f t="shared" si="398"/>
        <v>2505.490464272556</v>
      </c>
      <c r="BL95" s="648">
        <f t="shared" si="398"/>
        <v>2489.108103503962</v>
      </c>
      <c r="BM95" s="648">
        <f t="shared" si="398"/>
        <v>2466.7289813104799</v>
      </c>
      <c r="BN95" s="648">
        <f t="shared" si="398"/>
        <v>2441.9210684568297</v>
      </c>
      <c r="BO95" s="648"/>
      <c r="BP95" s="648">
        <f t="shared" ref="BP95:CT95" si="399">BP25*$EF95</f>
        <v>1270.4782391518545</v>
      </c>
      <c r="BQ95" s="648">
        <f t="shared" si="399"/>
        <v>1332.2584669726377</v>
      </c>
      <c r="BR95" s="648">
        <f t="shared" si="399"/>
        <v>1392.7595229989593</v>
      </c>
      <c r="BS95" s="648">
        <f t="shared" si="399"/>
        <v>1451.5704797893688</v>
      </c>
      <c r="BT95" s="648">
        <f t="shared" si="399"/>
        <v>1508.2774318069501</v>
      </c>
      <c r="BU95" s="648">
        <f t="shared" si="399"/>
        <v>1562.4679395756477</v>
      </c>
      <c r="BV95" s="648">
        <f t="shared" si="399"/>
        <v>1617.5534229157984</v>
      </c>
      <c r="BW95" s="648">
        <f t="shared" si="399"/>
        <v>1673.4987840108606</v>
      </c>
      <c r="BX95" s="648">
        <f t="shared" si="399"/>
        <v>1730.2662891122473</v>
      </c>
      <c r="BY95" s="648">
        <f t="shared" si="399"/>
        <v>1787.8155627202848</v>
      </c>
      <c r="BZ95" s="648">
        <f t="shared" si="399"/>
        <v>1846.1035884155856</v>
      </c>
      <c r="CA95" s="648">
        <f t="shared" si="399"/>
        <v>1902.1021696344376</v>
      </c>
      <c r="CB95" s="648">
        <f t="shared" si="399"/>
        <v>1955.4914459187212</v>
      </c>
      <c r="CC95" s="648">
        <f t="shared" si="399"/>
        <v>2005.9571691107863</v>
      </c>
      <c r="CD95" s="648">
        <f t="shared" si="399"/>
        <v>2053.1934140617282</v>
      </c>
      <c r="CE95" s="648">
        <f t="shared" si="399"/>
        <v>2096.9052841187577</v>
      </c>
      <c r="CF95" s="648">
        <f t="shared" si="399"/>
        <v>2141.0325117682337</v>
      </c>
      <c r="CG95" s="648">
        <f t="shared" si="399"/>
        <v>2185.5671385461319</v>
      </c>
      <c r="CH95" s="648">
        <f t="shared" si="399"/>
        <v>2230.5008458164025</v>
      </c>
      <c r="CI95" s="648">
        <f t="shared" si="399"/>
        <v>2275.8249519431379</v>
      </c>
      <c r="CJ95" s="648">
        <f t="shared" si="399"/>
        <v>2321.5304096161758</v>
      </c>
      <c r="CK95" s="648">
        <f t="shared" si="399"/>
        <v>2367.6364776511241</v>
      </c>
      <c r="CL95" s="648">
        <f t="shared" si="399"/>
        <v>2414.1351603204739</v>
      </c>
      <c r="CM95" s="648">
        <f t="shared" si="399"/>
        <v>2461.0181267405096</v>
      </c>
      <c r="CN95" s="648">
        <f t="shared" si="399"/>
        <v>2508.2767082140899</v>
      </c>
      <c r="CO95" s="648">
        <f t="shared" si="399"/>
        <v>2555.9018956918562</v>
      </c>
      <c r="CP95" s="648">
        <f t="shared" si="399"/>
        <v>2603.9114992319146</v>
      </c>
      <c r="CQ95" s="648">
        <f t="shared" si="399"/>
        <v>2652.2974326318354</v>
      </c>
      <c r="CR95" s="648">
        <f t="shared" si="399"/>
        <v>2701.0512945192268</v>
      </c>
      <c r="CS95" s="648">
        <f t="shared" si="399"/>
        <v>2750.1643657968193</v>
      </c>
      <c r="CT95" s="648">
        <f t="shared" si="399"/>
        <v>2799.6276071781717</v>
      </c>
      <c r="CU95" s="648"/>
      <c r="CV95" s="648">
        <f t="shared" ref="CV95:DZ95" si="400">CV25*$EF95</f>
        <v>1270.4778965029006</v>
      </c>
      <c r="CW95" s="648">
        <f t="shared" si="400"/>
        <v>1351.3188991967127</v>
      </c>
      <c r="CX95" s="648">
        <f t="shared" si="400"/>
        <v>1429.9058253329945</v>
      </c>
      <c r="CY95" s="648">
        <f t="shared" si="400"/>
        <v>1507.5443708714877</v>
      </c>
      <c r="CZ95" s="648">
        <f t="shared" si="400"/>
        <v>1583.6932777179334</v>
      </c>
      <c r="DA95" s="648">
        <f t="shared" si="400"/>
        <v>1657.8035759123659</v>
      </c>
      <c r="DB95" s="648">
        <f t="shared" si="400"/>
        <v>1733.0547623781142</v>
      </c>
      <c r="DC95" s="648">
        <f t="shared" si="400"/>
        <v>1809.3606710979373</v>
      </c>
      <c r="DD95" s="648">
        <f t="shared" si="400"/>
        <v>1886.6210904737638</v>
      </c>
      <c r="DE95" s="648">
        <f t="shared" si="400"/>
        <v>1964.7143890428435</v>
      </c>
      <c r="DF95" s="648">
        <f t="shared" si="400"/>
        <v>2043.5045428767567</v>
      </c>
      <c r="DG95" s="648">
        <f t="shared" si="400"/>
        <v>2106.7583306999741</v>
      </c>
      <c r="DH95" s="648">
        <f t="shared" si="400"/>
        <v>2165.8103441236472</v>
      </c>
      <c r="DI95" s="648">
        <f t="shared" si="400"/>
        <v>2220.0724223063025</v>
      </c>
      <c r="DJ95" s="648">
        <f t="shared" si="400"/>
        <v>2269.0767570213052</v>
      </c>
      <c r="DK95" s="648">
        <f t="shared" si="400"/>
        <v>2312.2514883528415</v>
      </c>
      <c r="DL95" s="648">
        <f t="shared" si="400"/>
        <v>2353.5289072106257</v>
      </c>
      <c r="DM95" s="648">
        <f t="shared" si="400"/>
        <v>2393.0133820576962</v>
      </c>
      <c r="DN95" s="648">
        <f t="shared" si="400"/>
        <v>2430.8600329464452</v>
      </c>
      <c r="DO95" s="648">
        <f t="shared" si="400"/>
        <v>2467.2462922836658</v>
      </c>
      <c r="DP95" s="648">
        <f t="shared" si="400"/>
        <v>2503.5331622665135</v>
      </c>
      <c r="DQ95" s="648">
        <f t="shared" si="400"/>
        <v>2512.5556342126802</v>
      </c>
      <c r="DR95" s="648">
        <f t="shared" si="400"/>
        <v>2519.2281167468204</v>
      </c>
      <c r="DS95" s="648">
        <f t="shared" si="400"/>
        <v>2522.5813285908994</v>
      </c>
      <c r="DT95" s="648">
        <f t="shared" si="400"/>
        <v>2522.587615095852</v>
      </c>
      <c r="DU95" s="648">
        <f t="shared" si="400"/>
        <v>2518.927918243272</v>
      </c>
      <c r="DV95" s="648">
        <f t="shared" si="400"/>
        <v>2511.2171124811243</v>
      </c>
      <c r="DW95" s="648">
        <f t="shared" si="400"/>
        <v>2498.8855363732619</v>
      </c>
      <c r="DX95" s="648">
        <f t="shared" si="400"/>
        <v>2481.4609535127474</v>
      </c>
      <c r="DY95" s="648">
        <f t="shared" si="400"/>
        <v>2457.9912097950564</v>
      </c>
      <c r="DZ95" s="648">
        <f t="shared" si="400"/>
        <v>2432.0434610165862</v>
      </c>
      <c r="EF95" s="157">
        <v>27</v>
      </c>
      <c r="EG95" s="51"/>
      <c r="EH95" s="51"/>
      <c r="EI95" s="51"/>
      <c r="EJ95" s="51"/>
    </row>
    <row r="96" spans="1:143">
      <c r="A96" s="1"/>
      <c r="B96" t="s">
        <v>1939</v>
      </c>
      <c r="C96" s="54" t="s">
        <v>114</v>
      </c>
      <c r="D96" s="648">
        <f>D25*$EF96*('Scope 3 Yearly'!D20/SUM('Scope 3 Yearly'!D19:D20))</f>
        <v>0.14530209698913724</v>
      </c>
      <c r="E96" s="648">
        <f>E25*$EF96*('Scope 3 Yearly'!E20/SUM('Scope 3 Yearly'!E19:E20))</f>
        <v>0.29927139477200215</v>
      </c>
      <c r="F96" s="648">
        <f>F25*$EF96*('Scope 3 Yearly'!F20/SUM('Scope 3 Yearly'!F19:F20))</f>
        <v>0.61216484008617422</v>
      </c>
      <c r="G96" s="648">
        <f>G25*$EF96*('Scope 3 Yearly'!G20/SUM('Scope 3 Yearly'!G19:G20))</f>
        <v>1.2445961063704873</v>
      </c>
      <c r="H96" s="648">
        <f>H25*$EF96*('Scope 3 Yearly'!H20/SUM('Scope 3 Yearly'!H19:H20))</f>
        <v>2.512703659089214</v>
      </c>
      <c r="I96" s="648">
        <f>I25*$EF96*('Scope 3 Yearly'!I20/SUM('Scope 3 Yearly'!I19:I20))</f>
        <v>5.0307578994656144</v>
      </c>
      <c r="J96" s="648">
        <f>J25*$EF96*('Scope 3 Yearly'!J20/SUM('Scope 3 Yearly'!J19:J20))</f>
        <v>9.9917259000742522</v>
      </c>
      <c r="K96" s="648">
        <f>K25*$EF96*('Scope 3 Yearly'!K20/SUM('Scope 3 Yearly'!K19:K20))</f>
        <v>19.63648657204601</v>
      </c>
      <c r="L96" s="648">
        <f>L25*$EF96*('Scope 3 Yearly'!L20/SUM('Scope 3 Yearly'!L19:L20))</f>
        <v>38.056352482769015</v>
      </c>
      <c r="M96" s="648">
        <f>M25*$EF96*('Scope 3 Yearly'!M20/SUM('Scope 3 Yearly'!M19:M20))</f>
        <v>72.410125656235891</v>
      </c>
      <c r="N96" s="648">
        <f>N25*$EF96*('Scope 3 Yearly'!N20/SUM('Scope 3 Yearly'!N19:N20))</f>
        <v>134.50687070879127</v>
      </c>
      <c r="O96" s="648">
        <f>O25*$EF96*('Scope 3 Yearly'!O20/SUM('Scope 3 Yearly'!O19:O20))</f>
        <v>240.45960079995615</v>
      </c>
      <c r="P96" s="648">
        <f>P25*$EF96*('Scope 3 Yearly'!P20/SUM('Scope 3 Yearly'!P19:P20))</f>
        <v>413.05656811136805</v>
      </c>
      <c r="Q96" s="648">
        <f>Q25*$EF96*('Scope 3 Yearly'!Q20/SUM('Scope 3 Yearly'!Q19:Q20))</f>
        <v>676.58456344479623</v>
      </c>
      <c r="R96" s="648">
        <f>R25*$EF96*('Scope 3 Yearly'!R20/SUM('Scope 3 Yearly'!R19:R20))</f>
        <v>1049.4324006248423</v>
      </c>
      <c r="S96" s="648">
        <f>S25*$EF96*('Scope 3 Yearly'!S20/SUM('Scope 3 Yearly'!S19:S20))</f>
        <v>1533.853933934146</v>
      </c>
      <c r="T96" s="648">
        <f>T25*$EF96*('Scope 3 Yearly'!T20/SUM('Scope 3 Yearly'!T19:T20))</f>
        <v>2112.8502212013855</v>
      </c>
      <c r="U96" s="648">
        <f>U25*$EF96*('Scope 3 Yearly'!U20/SUM('Scope 3 Yearly'!U19:U20))</f>
        <v>2748.0481222898343</v>
      </c>
      <c r="V96" s="648">
        <f>V25*$EF96*('Scope 3 Yearly'!V20/SUM('Scope 3 Yearly'!V19:V20))</f>
        <v>3391.5451193587201</v>
      </c>
      <c r="W96" s="648">
        <f>W25*$EF96*('Scope 3 Yearly'!W20/SUM('Scope 3 Yearly'!W19:W20))</f>
        <v>3999.717070774223</v>
      </c>
      <c r="X96" s="648">
        <f>X25*$EF96*('Scope 3 Yearly'!X20/SUM('Scope 3 Yearly'!X19:X20))</f>
        <v>4544.9861270341071</v>
      </c>
      <c r="Y96" s="648">
        <f>Y25*$EF96*('Scope 3 Yearly'!Y20/SUM('Scope 3 Yearly'!Y19:Y20))</f>
        <v>4960.638426273561</v>
      </c>
      <c r="Z96" s="648">
        <f>Z25*$EF96*('Scope 3 Yearly'!Z20/SUM('Scope 3 Yearly'!Z19:Z20))</f>
        <v>5287.0343679073085</v>
      </c>
      <c r="AA96" s="648">
        <f>AA25*$EF96*('Scope 3 Yearly'!AA20/SUM('Scope 3 Yearly'!AA19:AA20))</f>
        <v>5533.3096067514989</v>
      </c>
      <c r="AB96" s="648">
        <f>AB25*$EF96*('Scope 3 Yearly'!AB20/SUM('Scope 3 Yearly'!AB19:AB20))</f>
        <v>5710.7445582947321</v>
      </c>
      <c r="AC96" s="648">
        <f>AC25*$EF96*('Scope 3 Yearly'!AC20/SUM('Scope 3 Yearly'!AC19:AC20))</f>
        <v>5830.9315692946002</v>
      </c>
      <c r="AD96" s="648">
        <f>AD25*$EF96*('Scope 3 Yearly'!AD20/SUM('Scope 3 Yearly'!AD19:AD20))</f>
        <v>5903.6964828153396</v>
      </c>
      <c r="AE96" s="648">
        <f>AE25*$EF96*('Scope 3 Yearly'!AE20/SUM('Scope 3 Yearly'!AE19:AE20))</f>
        <v>5936.4708644114362</v>
      </c>
      <c r="AF96" s="648">
        <f>AF25*$EF96*('Scope 3 Yearly'!AF20/SUM('Scope 3 Yearly'!AF19:AF20))</f>
        <v>5934.6068385467524</v>
      </c>
      <c r="AG96" s="648">
        <f>AG25*$EF96*('Scope 3 Yearly'!AG20/SUM('Scope 3 Yearly'!AG19:AG20))</f>
        <v>5899.8489513398072</v>
      </c>
      <c r="AH96" s="648">
        <f>AH25*$EF96*('Scope 3 Yearly'!AH20/SUM('Scope 3 Yearly'!AH19:AH20))</f>
        <v>5842.8488993189294</v>
      </c>
      <c r="AI96" s="648"/>
      <c r="AJ96" s="648">
        <f>AJ25*$EF96*('Scope 3 Yearly'!AJ20/SUM('Scope 3 Yearly'!AJ19:AJ20))</f>
        <v>0.14530212872366544</v>
      </c>
      <c r="AK96" s="648">
        <f>AK25*$EF96*('Scope 3 Yearly'!AK20/SUM('Scope 3 Yearly'!AK19:AK20))</f>
        <v>0.29927153358721487</v>
      </c>
      <c r="AL96" s="648">
        <f>AL25*$EF96*('Scope 3 Yearly'!AL20/SUM('Scope 3 Yearly'!AL19:AL20))</f>
        <v>0.61216542591846412</v>
      </c>
      <c r="AM96" s="648">
        <f>AM25*$EF96*('Scope 3 Yearly'!AM20/SUM('Scope 3 Yearly'!AM19:AM20))</f>
        <v>1.2445985536998712</v>
      </c>
      <c r="AN96" s="648">
        <f>AN25*$EF96*('Scope 3 Yearly'!AN20/SUM('Scope 3 Yearly'!AN19:AN20))</f>
        <v>2.5127137609233698</v>
      </c>
      <c r="AO96" s="648">
        <f>AO25*$EF96*('Scope 3 Yearly'!AO20/SUM('Scope 3 Yearly'!AO19:AO20))</f>
        <v>5.0307989921078704</v>
      </c>
      <c r="AP96" s="648">
        <f>AP25*$EF96*('Scope 3 Yearly'!AP20/SUM('Scope 3 Yearly'!AP19:AP20))</f>
        <v>9.9918903882790229</v>
      </c>
      <c r="AQ96" s="648">
        <f>AQ25*$EF96*('Scope 3 Yearly'!AQ20/SUM('Scope 3 Yearly'!AQ19:AQ20))</f>
        <v>19.637131237383898</v>
      </c>
      <c r="AR96" s="648">
        <f>AR25*$EF96*('Scope 3 Yearly'!AR20/SUM('Scope 3 Yearly'!AR19:AR20))</f>
        <v>38.058809657918225</v>
      </c>
      <c r="AS96" s="648">
        <f>AS25*$EF96*('Scope 3 Yearly'!AS20/SUM('Scope 3 Yearly'!AS19:AS20))</f>
        <v>72.41915411465618</v>
      </c>
      <c r="AT96" s="648">
        <f>AT25*$EF96*('Scope 3 Yearly'!AT20/SUM('Scope 3 Yearly'!AT19:AT20))</f>
        <v>134.53863322112679</v>
      </c>
      <c r="AU96" s="648">
        <f>AU25*$EF96*('Scope 3 Yearly'!AU20/SUM('Scope 3 Yearly'!AU19:AU20))</f>
        <v>240.5597221042193</v>
      </c>
      <c r="AV96" s="648">
        <f>AV25*$EF96*('Scope 3 Yearly'!AV20/SUM('Scope 3 Yearly'!AV19:AV20))</f>
        <v>413.34992300061799</v>
      </c>
      <c r="AW96" s="648">
        <f>AW25*$EF96*('Scope 3 Yearly'!AW20/SUM('Scope 3 Yearly'!AW19:AW20))</f>
        <v>677.33645848582603</v>
      </c>
      <c r="AX96" s="648">
        <f>AX25*$EF96*('Scope 3 Yearly'!AX20/SUM('Scope 3 Yearly'!AX19:AX20))</f>
        <v>1051.2145468560666</v>
      </c>
      <c r="AY96" s="648">
        <f>AY25*$EF96*('Scope 3 Yearly'!AY20/SUM('Scope 3 Yearly'!AY19:AY20))</f>
        <v>1537.7436963193834</v>
      </c>
      <c r="AZ96" s="648">
        <f>AZ25*$EF96*('Scope 3 Yearly'!AZ20/SUM('Scope 3 Yearly'!AZ19:AZ20))</f>
        <v>2120.4769918578813</v>
      </c>
      <c r="BA96" s="648">
        <f>BA25*$EF96*('Scope 3 Yearly'!BA20/SUM('Scope 3 Yearly'!BA19:BA20))</f>
        <v>2761.3806709755972</v>
      </c>
      <c r="BB96" s="648">
        <f>BB25*$EF96*('Scope 3 Yearly'!BB20/SUM('Scope 3 Yearly'!BB19:BB20))</f>
        <v>3412.5064887350982</v>
      </c>
      <c r="BC96" s="648">
        <f>BC25*$EF96*('Scope 3 Yearly'!BC20/SUM('Scope 3 Yearly'!BC19:BC20))</f>
        <v>4029.762648841785</v>
      </c>
      <c r="BD96" s="648">
        <f>BD25*$EF96*('Scope 3 Yearly'!BD20/SUM('Scope 3 Yearly'!BD19:BD20))</f>
        <v>4584.872457949099</v>
      </c>
      <c r="BE96" s="648">
        <f>BE25*$EF96*('Scope 3 Yearly'!BE20/SUM('Scope 3 Yearly'!BE19:BE20))</f>
        <v>5009.8000750068322</v>
      </c>
      <c r="BF96" s="648">
        <f>BF25*$EF96*('Scope 3 Yearly'!BF20/SUM('Scope 3 Yearly'!BF19:BF20))</f>
        <v>5346.1249031535408</v>
      </c>
      <c r="BG96" s="648">
        <f>BG25*$EF96*('Scope 3 Yearly'!BG20/SUM('Scope 3 Yearly'!BG19:BG20))</f>
        <v>5602.0153854975024</v>
      </c>
      <c r="BH96" s="648">
        <f>BH25*$EF96*('Scope 3 Yearly'!BH20/SUM('Scope 3 Yearly'!BH19:BH20))</f>
        <v>5788.69977135725</v>
      </c>
      <c r="BI96" s="648">
        <f>BI25*$EF96*('Scope 3 Yearly'!BI20/SUM('Scope 3 Yearly'!BI19:BI20))</f>
        <v>5918.0829474464463</v>
      </c>
      <c r="BJ96" s="648">
        <f>BJ25*$EF96*('Scope 3 Yearly'!BJ20/SUM('Scope 3 Yearly'!BJ19:BJ20))</f>
        <v>6000.5286349448534</v>
      </c>
      <c r="BK96" s="648">
        <f>BK25*$EF96*('Scope 3 Yearly'!BK20/SUM('Scope 3 Yearly'!BK19:BK20))</f>
        <v>6043.9645495776585</v>
      </c>
      <c r="BL96" s="648">
        <f>BL25*$EF96*('Scope 3 Yearly'!BL20/SUM('Scope 3 Yearly'!BL19:BL20))</f>
        <v>6054.5367137082285</v>
      </c>
      <c r="BM96" s="648">
        <f>BM25*$EF96*('Scope 3 Yearly'!BM20/SUM('Scope 3 Yearly'!BM19:BM20))</f>
        <v>6035.4634084523641</v>
      </c>
      <c r="BN96" s="648">
        <f>BN25*$EF96*('Scope 3 Yearly'!BN20/SUM('Scope 3 Yearly'!BN19:BN20))</f>
        <v>5999.6227338842027</v>
      </c>
      <c r="BO96" s="648"/>
      <c r="BP96" s="648">
        <f>BP25*$EF96*('Scope 3 Yearly'!BP20/SUM('Scope 3 Yearly'!BP19:BP20))</f>
        <v>0</v>
      </c>
      <c r="BQ96" s="648">
        <f>BQ25*$EF96*('Scope 3 Yearly'!BQ20/SUM('Scope 3 Yearly'!BQ19:BQ20))</f>
        <v>0</v>
      </c>
      <c r="BR96" s="648">
        <f>BR25*$EF96*('Scope 3 Yearly'!BR20/SUM('Scope 3 Yearly'!BR19:BR20))</f>
        <v>0</v>
      </c>
      <c r="BS96" s="648">
        <f>BS25*$EF96*('Scope 3 Yearly'!BS20/SUM('Scope 3 Yearly'!BS19:BS20))</f>
        <v>0</v>
      </c>
      <c r="BT96" s="648">
        <f>BT25*$EF96*('Scope 3 Yearly'!BT20/SUM('Scope 3 Yearly'!BT19:BT20))</f>
        <v>0</v>
      </c>
      <c r="BU96" s="648">
        <f>BU25*$EF96*('Scope 3 Yearly'!BU20/SUM('Scope 3 Yearly'!BU19:BU20))</f>
        <v>0</v>
      </c>
      <c r="BV96" s="648">
        <f>BV25*$EF96*('Scope 3 Yearly'!BV20/SUM('Scope 3 Yearly'!BV19:BV20))</f>
        <v>0</v>
      </c>
      <c r="BW96" s="648">
        <f>BW25*$EF96*('Scope 3 Yearly'!BW20/SUM('Scope 3 Yearly'!BW19:BW20))</f>
        <v>0</v>
      </c>
      <c r="BX96" s="648">
        <f>BX25*$EF96*('Scope 3 Yearly'!BX20/SUM('Scope 3 Yearly'!BX19:BX20))</f>
        <v>0</v>
      </c>
      <c r="BY96" s="648">
        <f>BY25*$EF96*('Scope 3 Yearly'!BY20/SUM('Scope 3 Yearly'!BY19:BY20))</f>
        <v>0</v>
      </c>
      <c r="BZ96" s="648">
        <f>BZ25*$EF96*('Scope 3 Yearly'!BZ20/SUM('Scope 3 Yearly'!BZ19:BZ20))</f>
        <v>0</v>
      </c>
      <c r="CA96" s="648">
        <f>CA25*$EF96*('Scope 3 Yearly'!CA20/SUM('Scope 3 Yearly'!CA19:CA20))</f>
        <v>0</v>
      </c>
      <c r="CB96" s="648">
        <f>CB25*$EF96*('Scope 3 Yearly'!CB20/SUM('Scope 3 Yearly'!CB19:CB20))</f>
        <v>0</v>
      </c>
      <c r="CC96" s="648">
        <f>CC25*$EF96*('Scope 3 Yearly'!CC20/SUM('Scope 3 Yearly'!CC19:CC20))</f>
        <v>0</v>
      </c>
      <c r="CD96" s="648">
        <f>CD25*$EF96*('Scope 3 Yearly'!CD20/SUM('Scope 3 Yearly'!CD19:CD20))</f>
        <v>0</v>
      </c>
      <c r="CE96" s="648">
        <f>CE25*$EF96*('Scope 3 Yearly'!CE20/SUM('Scope 3 Yearly'!CE19:CE20))</f>
        <v>0</v>
      </c>
      <c r="CF96" s="648">
        <f>CF25*$EF96*('Scope 3 Yearly'!CF20/SUM('Scope 3 Yearly'!CF19:CF20))</f>
        <v>0</v>
      </c>
      <c r="CG96" s="648">
        <f>CG25*$EF96*('Scope 3 Yearly'!CG20/SUM('Scope 3 Yearly'!CG19:CG20))</f>
        <v>0</v>
      </c>
      <c r="CH96" s="648">
        <f>CH25*$EF96*('Scope 3 Yearly'!CH20/SUM('Scope 3 Yearly'!CH19:CH20))</f>
        <v>0</v>
      </c>
      <c r="CI96" s="648">
        <f>CI25*$EF96*('Scope 3 Yearly'!CI20/SUM('Scope 3 Yearly'!CI19:CI20))</f>
        <v>0</v>
      </c>
      <c r="CJ96" s="648">
        <f>CJ25*$EF96*('Scope 3 Yearly'!CJ20/SUM('Scope 3 Yearly'!CJ19:CJ20))</f>
        <v>0</v>
      </c>
      <c r="CK96" s="648">
        <f>CK25*$EF96*('Scope 3 Yearly'!CK20/SUM('Scope 3 Yearly'!CK19:CK20))</f>
        <v>0</v>
      </c>
      <c r="CL96" s="648">
        <f>CL25*$EF96*('Scope 3 Yearly'!CL20/SUM('Scope 3 Yearly'!CL19:CL20))</f>
        <v>0</v>
      </c>
      <c r="CM96" s="648">
        <f>CM25*$EF96*('Scope 3 Yearly'!CM20/SUM('Scope 3 Yearly'!CM19:CM20))</f>
        <v>0</v>
      </c>
      <c r="CN96" s="648">
        <f>CN25*$EF96*('Scope 3 Yearly'!CN20/SUM('Scope 3 Yearly'!CN19:CN20))</f>
        <v>0</v>
      </c>
      <c r="CO96" s="648">
        <f>CO25*$EF96*('Scope 3 Yearly'!CO20/SUM('Scope 3 Yearly'!CO19:CO20))</f>
        <v>0</v>
      </c>
      <c r="CP96" s="648">
        <f>CP25*$EF96*('Scope 3 Yearly'!CP20/SUM('Scope 3 Yearly'!CP19:CP20))</f>
        <v>0</v>
      </c>
      <c r="CQ96" s="648">
        <f>CQ25*$EF96*('Scope 3 Yearly'!CQ20/SUM('Scope 3 Yearly'!CQ19:CQ20))</f>
        <v>0</v>
      </c>
      <c r="CR96" s="648">
        <f>CR25*$EF96*('Scope 3 Yearly'!CR20/SUM('Scope 3 Yearly'!CR19:CR20))</f>
        <v>0</v>
      </c>
      <c r="CS96" s="648">
        <f>CS25*$EF96*('Scope 3 Yearly'!CS20/SUM('Scope 3 Yearly'!CS19:CS20))</f>
        <v>0</v>
      </c>
      <c r="CT96" s="648">
        <f>CT25*$EF96*('Scope 3 Yearly'!CT20/SUM('Scope 3 Yearly'!CT19:CT20))</f>
        <v>0</v>
      </c>
      <c r="CU96" s="648"/>
      <c r="CV96" s="648">
        <f>CV25*$EF96*('Scope 3 Yearly'!CV20/SUM('Scope 3 Yearly'!CV19:CV20))</f>
        <v>0.14530212872366544</v>
      </c>
      <c r="CW96" s="648">
        <f>CW25*$EF96*('Scope 3 Yearly'!CW20/SUM('Scope 3 Yearly'!CW19:CW20))</f>
        <v>0.29927153358721487</v>
      </c>
      <c r="CX96" s="648">
        <f>CX25*$EF96*('Scope 3 Yearly'!CX20/SUM('Scope 3 Yearly'!CX19:CX20))</f>
        <v>0.61216542591846412</v>
      </c>
      <c r="CY96" s="648">
        <f>CY25*$EF96*('Scope 3 Yearly'!CY20/SUM('Scope 3 Yearly'!CY19:CY20))</f>
        <v>1.2445985536998712</v>
      </c>
      <c r="CZ96" s="648">
        <f>CZ25*$EF96*('Scope 3 Yearly'!CZ20/SUM('Scope 3 Yearly'!CZ19:CZ20))</f>
        <v>2.5127137609233698</v>
      </c>
      <c r="DA96" s="648">
        <f>DA25*$EF96*('Scope 3 Yearly'!DA20/SUM('Scope 3 Yearly'!DA19:DA20))</f>
        <v>5.0307989921078704</v>
      </c>
      <c r="DB96" s="648">
        <f>DB25*$EF96*('Scope 3 Yearly'!DB20/SUM('Scope 3 Yearly'!DB19:DB20))</f>
        <v>9.9918903882790229</v>
      </c>
      <c r="DC96" s="648">
        <f>DC25*$EF96*('Scope 3 Yearly'!DC20/SUM('Scope 3 Yearly'!DC19:DC20))</f>
        <v>19.637131237383898</v>
      </c>
      <c r="DD96" s="648">
        <f>DD25*$EF96*('Scope 3 Yearly'!DD20/SUM('Scope 3 Yearly'!DD19:DD20))</f>
        <v>38.058809657918225</v>
      </c>
      <c r="DE96" s="648">
        <f>DE25*$EF96*('Scope 3 Yearly'!DE20/SUM('Scope 3 Yearly'!DE19:DE20))</f>
        <v>72.41915411465618</v>
      </c>
      <c r="DF96" s="648">
        <f>DF25*$EF96*('Scope 3 Yearly'!DF20/SUM('Scope 3 Yearly'!DF19:DF20))</f>
        <v>134.53863322112679</v>
      </c>
      <c r="DG96" s="648">
        <f>DG25*$EF96*('Scope 3 Yearly'!DG20/SUM('Scope 3 Yearly'!DG19:DG20))</f>
        <v>240.5597221042193</v>
      </c>
      <c r="DH96" s="648">
        <f>DH25*$EF96*('Scope 3 Yearly'!DH20/SUM('Scope 3 Yearly'!DH19:DH20))</f>
        <v>413.34992300061799</v>
      </c>
      <c r="DI96" s="648">
        <f>DI25*$EF96*('Scope 3 Yearly'!DI20/SUM('Scope 3 Yearly'!DI19:DI20))</f>
        <v>677.28852072795291</v>
      </c>
      <c r="DJ96" s="648">
        <f>DJ25*$EF96*('Scope 3 Yearly'!DJ20/SUM('Scope 3 Yearly'!DJ19:DJ20))</f>
        <v>1051.063692519253</v>
      </c>
      <c r="DK96" s="648">
        <f>DK25*$EF96*('Scope 3 Yearly'!DK20/SUM('Scope 3 Yearly'!DK19:DK20))</f>
        <v>1537.4079215100342</v>
      </c>
      <c r="DL96" s="648">
        <f>DL25*$EF96*('Scope 3 Yearly'!DL20/SUM('Scope 3 Yearly'!DL19:DL20))</f>
        <v>2119.8504050149122</v>
      </c>
      <c r="DM96" s="648">
        <f>DM25*$EF96*('Scope 3 Yearly'!DM20/SUM('Scope 3 Yearly'!DM19:DM20))</f>
        <v>2760.344971473271</v>
      </c>
      <c r="DN96" s="648">
        <f>DN25*$EF96*('Scope 3 Yearly'!DN20/SUM('Scope 3 Yearly'!DN19:DN20))</f>
        <v>3410.9462991269829</v>
      </c>
      <c r="DO96" s="648">
        <f>DO25*$EF96*('Scope 3 Yearly'!DO20/SUM('Scope 3 Yearly'!DO19:DO20))</f>
        <v>4027.5785602491424</v>
      </c>
      <c r="DP96" s="648">
        <f>DP25*$EF96*('Scope 3 Yearly'!DP20/SUM('Scope 3 Yearly'!DP19:DP20))</f>
        <v>4581.9875488204561</v>
      </c>
      <c r="DQ96" s="648">
        <f>DQ25*$EF96*('Scope 3 Yearly'!DQ20/SUM('Scope 3 Yearly'!DQ19:DQ20))</f>
        <v>5006.159606067893</v>
      </c>
      <c r="DR96" s="648">
        <f>DR25*$EF96*('Scope 3 Yearly'!DR20/SUM('Scope 3 Yearly'!DR19:DR20))</f>
        <v>5341.691763537101</v>
      </c>
      <c r="DS96" s="648">
        <f>DS25*$EF96*('Scope 3 Yearly'!DS20/SUM('Scope 3 Yearly'!DS19:DS20))</f>
        <v>5595.5749474929298</v>
      </c>
      <c r="DT96" s="648">
        <f>DT25*$EF96*('Scope 3 Yearly'!DT20/SUM('Scope 3 Yearly'!DT19:DT20))</f>
        <v>5780.0834478362895</v>
      </c>
      <c r="DU96" s="648">
        <f>DU25*$EF96*('Scope 3 Yearly'!DU20/SUM('Scope 3 Yearly'!DU19:DU20))</f>
        <v>5907.1491659060039</v>
      </c>
      <c r="DV96" s="648">
        <f>DV25*$EF96*('Scope 3 Yearly'!DV20/SUM('Scope 3 Yearly'!DV19:DV20))</f>
        <v>5987.1528019463767</v>
      </c>
      <c r="DW96" s="648">
        <f>DW25*$EF96*('Scope 3 Yearly'!DW20/SUM('Scope 3 Yearly'!DW19:DW20))</f>
        <v>6028.031561348369</v>
      </c>
      <c r="DX96" s="648">
        <f>DX25*$EF96*('Scope 3 Yearly'!DX20/SUM('Scope 3 Yearly'!DX19:DX20))</f>
        <v>6035.9356934022535</v>
      </c>
      <c r="DY96" s="648">
        <f>DY25*$EF96*('Scope 3 Yearly'!DY20/SUM('Scope 3 Yearly'!DY19:DY20))</f>
        <v>6014.0842862819436</v>
      </c>
      <c r="DZ96" s="648">
        <f>DZ25*$EF96*('Scope 3 Yearly'!DZ20/SUM('Scope 3 Yearly'!DZ19:DZ20))</f>
        <v>5975.3541697113569</v>
      </c>
      <c r="EF96" s="157">
        <v>67</v>
      </c>
      <c r="EG96" s="51"/>
      <c r="EH96" s="51"/>
      <c r="EI96" s="51"/>
      <c r="EJ96" s="51"/>
    </row>
    <row r="97" spans="1:143">
      <c r="A97" s="1"/>
      <c r="B97" t="str">
        <f>B26</f>
        <v>Landfill</v>
      </c>
      <c r="C97" s="54" t="s">
        <v>114</v>
      </c>
      <c r="D97" s="648">
        <f t="shared" ref="D97:AH97" si="401">D26*$EF97</f>
        <v>2502.7232726642046</v>
      </c>
      <c r="E97" s="648">
        <f t="shared" si="401"/>
        <v>2587.705876313812</v>
      </c>
      <c r="F97" s="648">
        <f t="shared" si="401"/>
        <v>2664.5210366525635</v>
      </c>
      <c r="G97" s="648">
        <f t="shared" si="401"/>
        <v>2736.2257220173979</v>
      </c>
      <c r="H97" s="648">
        <f t="shared" si="401"/>
        <v>2802.2891348079229</v>
      </c>
      <c r="I97" s="648">
        <f t="shared" si="401"/>
        <v>2862.2095802716194</v>
      </c>
      <c r="J97" s="648">
        <f t="shared" si="401"/>
        <v>2921.8073442042128</v>
      </c>
      <c r="K97" s="648">
        <f t="shared" si="401"/>
        <v>2980.9777898180355</v>
      </c>
      <c r="L97" s="648">
        <f t="shared" si="401"/>
        <v>3039.5897963695493</v>
      </c>
      <c r="M97" s="648">
        <f t="shared" si="401"/>
        <v>3097.4674095333871</v>
      </c>
      <c r="N97" s="648">
        <f t="shared" si="401"/>
        <v>3154.3882928690887</v>
      </c>
      <c r="O97" s="648">
        <f t="shared" si="401"/>
        <v>3185.8115771297985</v>
      </c>
      <c r="P97" s="648">
        <f t="shared" si="401"/>
        <v>3209.9092588538583</v>
      </c>
      <c r="Q97" s="648">
        <f t="shared" si="401"/>
        <v>3226.4802599623004</v>
      </c>
      <c r="R97" s="648">
        <f t="shared" si="401"/>
        <v>3234.8045224827702</v>
      </c>
      <c r="S97" s="648">
        <f t="shared" si="401"/>
        <v>3234.2968926913454</v>
      </c>
      <c r="T97" s="648">
        <f t="shared" si="401"/>
        <v>3230.8459627118655</v>
      </c>
      <c r="U97" s="648">
        <f t="shared" si="401"/>
        <v>3224.929584653516</v>
      </c>
      <c r="V97" s="648">
        <f t="shared" si="401"/>
        <v>3217.1163518497565</v>
      </c>
      <c r="W97" s="648">
        <f t="shared" si="401"/>
        <v>3207.9885707668586</v>
      </c>
      <c r="X97" s="648">
        <f t="shared" si="401"/>
        <v>3199.5688570623115</v>
      </c>
      <c r="Y97" s="648">
        <f t="shared" si="401"/>
        <v>3157.9028076825716</v>
      </c>
      <c r="Z97" s="648">
        <f t="shared" si="401"/>
        <v>3114.5935550098511</v>
      </c>
      <c r="AA97" s="648">
        <f t="shared" si="401"/>
        <v>3069.6562124737266</v>
      </c>
      <c r="AB97" s="648">
        <f t="shared" si="401"/>
        <v>3022.4583587108364</v>
      </c>
      <c r="AC97" s="648">
        <f t="shared" si="401"/>
        <v>2972.515337432128</v>
      </c>
      <c r="AD97" s="648">
        <f t="shared" si="401"/>
        <v>2919.2123591234385</v>
      </c>
      <c r="AE97" s="648">
        <f t="shared" si="401"/>
        <v>2861.7900638115548</v>
      </c>
      <c r="AF97" s="648">
        <f t="shared" si="401"/>
        <v>2799.5027793983145</v>
      </c>
      <c r="AG97" s="648">
        <f t="shared" si="401"/>
        <v>2730.7850172207236</v>
      </c>
      <c r="AH97" s="648">
        <f t="shared" si="401"/>
        <v>2658.8615212034238</v>
      </c>
      <c r="AI97" s="648"/>
      <c r="AJ97" s="648">
        <f t="shared" ref="AJ97:BN97" si="402">AJ26*$EF97</f>
        <v>2502.7238192684454</v>
      </c>
      <c r="AK97" s="648">
        <f t="shared" si="402"/>
        <v>2587.707076605413</v>
      </c>
      <c r="AL97" s="648">
        <f t="shared" si="402"/>
        <v>2664.5235865580103</v>
      </c>
      <c r="AM97" s="648">
        <f t="shared" si="402"/>
        <v>2736.2311024340447</v>
      </c>
      <c r="AN97" s="648">
        <f t="shared" si="402"/>
        <v>2802.3004008639086</v>
      </c>
      <c r="AO97" s="648">
        <f t="shared" si="402"/>
        <v>2862.2329596026657</v>
      </c>
      <c r="AP97" s="648">
        <f t="shared" si="402"/>
        <v>2921.855444287175</v>
      </c>
      <c r="AQ97" s="648">
        <f t="shared" si="402"/>
        <v>2981.0756552405014</v>
      </c>
      <c r="AR97" s="648">
        <f t="shared" si="402"/>
        <v>3039.7860528162187</v>
      </c>
      <c r="AS97" s="648">
        <f t="shared" si="402"/>
        <v>3097.853617338742</v>
      </c>
      <c r="AT97" s="648">
        <f t="shared" si="402"/>
        <v>3155.1331715249926</v>
      </c>
      <c r="AU97" s="648">
        <f t="shared" si="402"/>
        <v>3187.1380686035336</v>
      </c>
      <c r="AV97" s="648">
        <f t="shared" si="402"/>
        <v>3212.1889528421148</v>
      </c>
      <c r="AW97" s="648">
        <f t="shared" si="402"/>
        <v>3230.0658790238622</v>
      </c>
      <c r="AX97" s="648">
        <f t="shared" si="402"/>
        <v>3240.2978679188905</v>
      </c>
      <c r="AY97" s="648">
        <f t="shared" si="402"/>
        <v>3242.4988773246623</v>
      </c>
      <c r="AZ97" s="648">
        <f t="shared" si="402"/>
        <v>3242.5083706463283</v>
      </c>
      <c r="BA97" s="648">
        <f t="shared" si="402"/>
        <v>3240.575791991298</v>
      </c>
      <c r="BB97" s="648">
        <f t="shared" si="402"/>
        <v>3236.9996680978566</v>
      </c>
      <c r="BC97" s="648">
        <f t="shared" si="402"/>
        <v>3232.0867430468702</v>
      </c>
      <c r="BD97" s="648">
        <f t="shared" si="402"/>
        <v>3227.6479443578701</v>
      </c>
      <c r="BE97" s="648">
        <f t="shared" si="402"/>
        <v>3189.1987206728923</v>
      </c>
      <c r="BF97" s="648">
        <f t="shared" si="402"/>
        <v>3149.4038073050037</v>
      </c>
      <c r="BG97" s="648">
        <f t="shared" si="402"/>
        <v>3107.7713976972636</v>
      </c>
      <c r="BH97" s="648">
        <f t="shared" si="402"/>
        <v>3063.7167940901022</v>
      </c>
      <c r="BI97" s="648">
        <f t="shared" si="402"/>
        <v>3016.943711381653</v>
      </c>
      <c r="BJ97" s="648">
        <f t="shared" si="402"/>
        <v>2967.0931429814536</v>
      </c>
      <c r="BK97" s="648">
        <f t="shared" si="402"/>
        <v>2913.6094641181176</v>
      </c>
      <c r="BL97" s="648">
        <f t="shared" si="402"/>
        <v>2856.0767072054114</v>
      </c>
      <c r="BM97" s="648">
        <f t="shared" si="402"/>
        <v>2793.555086531971</v>
      </c>
      <c r="BN97" s="648">
        <f t="shared" si="402"/>
        <v>2730.2034168163168</v>
      </c>
      <c r="BO97" s="648"/>
      <c r="BP97" s="648">
        <f t="shared" ref="BP97:CT97" si="403">BP26*$EF97</f>
        <v>2502.7244942551574</v>
      </c>
      <c r="BQ97" s="648">
        <f t="shared" si="403"/>
        <v>2539.8403394424886</v>
      </c>
      <c r="BR97" s="648">
        <f t="shared" si="403"/>
        <v>2568.9807051399262</v>
      </c>
      <c r="BS97" s="648">
        <f t="shared" si="403"/>
        <v>2589.8535304046054</v>
      </c>
      <c r="BT97" s="648">
        <f t="shared" si="403"/>
        <v>2602.2367101328582</v>
      </c>
      <c r="BU97" s="648">
        <f t="shared" si="403"/>
        <v>2605.9818070265305</v>
      </c>
      <c r="BV97" s="648">
        <f t="shared" si="403"/>
        <v>2607.1702996408176</v>
      </c>
      <c r="BW97" s="648">
        <f t="shared" si="403"/>
        <v>2605.7426933054107</v>
      </c>
      <c r="BX97" s="648">
        <f t="shared" si="403"/>
        <v>2601.6432613313327</v>
      </c>
      <c r="BY97" s="648">
        <f t="shared" si="403"/>
        <v>2594.8202774507517</v>
      </c>
      <c r="BZ97" s="648">
        <f t="shared" si="403"/>
        <v>2585.2262428181384</v>
      </c>
      <c r="CA97" s="648">
        <f t="shared" si="403"/>
        <v>2568.7901752181356</v>
      </c>
      <c r="CB97" s="648">
        <f t="shared" si="403"/>
        <v>2545.5563651457624</v>
      </c>
      <c r="CC97" s="648">
        <f t="shared" si="403"/>
        <v>2515.6167590507584</v>
      </c>
      <c r="CD97" s="648">
        <f t="shared" si="403"/>
        <v>2479.1107022998181</v>
      </c>
      <c r="CE97" s="648">
        <f t="shared" si="403"/>
        <v>2436.2241632339656</v>
      </c>
      <c r="CF97" s="648">
        <f t="shared" si="403"/>
        <v>2391.9039547908051</v>
      </c>
      <c r="CG97" s="648">
        <f t="shared" si="403"/>
        <v>2346.1473760534841</v>
      </c>
      <c r="CH97" s="648">
        <f t="shared" si="403"/>
        <v>2298.9524719538877</v>
      </c>
      <c r="CI97" s="648">
        <f t="shared" si="403"/>
        <v>2250.3180479986481</v>
      </c>
      <c r="CJ97" s="648">
        <f t="shared" si="403"/>
        <v>2200.2436847576469</v>
      </c>
      <c r="CK97" s="648">
        <f t="shared" si="403"/>
        <v>2148.7557755673906</v>
      </c>
      <c r="CL97" s="648">
        <f t="shared" si="403"/>
        <v>2095.8536590841977</v>
      </c>
      <c r="CM97" s="648">
        <f t="shared" si="403"/>
        <v>2041.5373806131886</v>
      </c>
      <c r="CN97" s="648">
        <f t="shared" si="403"/>
        <v>1985.8077048845137</v>
      </c>
      <c r="CO97" s="648">
        <f t="shared" si="403"/>
        <v>1928.666128638873</v>
      </c>
      <c r="CP97" s="648">
        <f t="shared" si="403"/>
        <v>1870.1344007272173</v>
      </c>
      <c r="CQ97" s="648">
        <f t="shared" si="403"/>
        <v>1810.2137095985745</v>
      </c>
      <c r="CR97" s="648">
        <f t="shared" si="403"/>
        <v>1748.9059177486849</v>
      </c>
      <c r="CS97" s="648">
        <f t="shared" si="403"/>
        <v>1686.2135730405971</v>
      </c>
      <c r="CT97" s="648">
        <f t="shared" si="403"/>
        <v>1622.13991987484</v>
      </c>
      <c r="CU97" s="648"/>
      <c r="CV97" s="648">
        <f t="shared" ref="CV97:DZ97" si="404">CV26*$EF97</f>
        <v>2502.7238192684454</v>
      </c>
      <c r="CW97" s="648">
        <f t="shared" si="404"/>
        <v>2587.707076605413</v>
      </c>
      <c r="CX97" s="648">
        <f t="shared" si="404"/>
        <v>2664.5235865580103</v>
      </c>
      <c r="CY97" s="648">
        <f t="shared" si="404"/>
        <v>2736.2311024340447</v>
      </c>
      <c r="CZ97" s="648">
        <f t="shared" si="404"/>
        <v>2802.3004008639086</v>
      </c>
      <c r="DA97" s="648">
        <f t="shared" si="404"/>
        <v>2862.2329596026657</v>
      </c>
      <c r="DB97" s="648">
        <f t="shared" si="404"/>
        <v>2921.855444287175</v>
      </c>
      <c r="DC97" s="648">
        <f t="shared" si="404"/>
        <v>2981.0756552405014</v>
      </c>
      <c r="DD97" s="648">
        <f t="shared" si="404"/>
        <v>3039.7860528162187</v>
      </c>
      <c r="DE97" s="648">
        <f t="shared" si="404"/>
        <v>3097.853617338742</v>
      </c>
      <c r="DF97" s="648">
        <f t="shared" si="404"/>
        <v>3155.1331715249917</v>
      </c>
      <c r="DG97" s="648">
        <f t="shared" si="404"/>
        <v>3187.1380686035336</v>
      </c>
      <c r="DH97" s="648">
        <f t="shared" si="404"/>
        <v>3212.1889528421148</v>
      </c>
      <c r="DI97" s="648">
        <f t="shared" si="404"/>
        <v>3229.8372745923666</v>
      </c>
      <c r="DJ97" s="648">
        <f t="shared" si="404"/>
        <v>3239.8328696105955</v>
      </c>
      <c r="DK97" s="648">
        <f t="shared" si="404"/>
        <v>3241.7908598280183</v>
      </c>
      <c r="DL97" s="648">
        <f t="shared" si="404"/>
        <v>3241.5502309961148</v>
      </c>
      <c r="DM97" s="648">
        <f t="shared" si="404"/>
        <v>3239.3603627785533</v>
      </c>
      <c r="DN97" s="648">
        <f t="shared" si="404"/>
        <v>3235.5197197782527</v>
      </c>
      <c r="DO97" s="648">
        <f t="shared" si="404"/>
        <v>3230.334986330392</v>
      </c>
      <c r="DP97" s="648">
        <f t="shared" si="404"/>
        <v>3225.6170326794909</v>
      </c>
      <c r="DQ97" s="648">
        <f t="shared" si="404"/>
        <v>3186.8812272182863</v>
      </c>
      <c r="DR97" s="648">
        <f t="shared" si="404"/>
        <v>3146.7922434079287</v>
      </c>
      <c r="DS97" s="648">
        <f t="shared" si="404"/>
        <v>3104.1985033651517</v>
      </c>
      <c r="DT97" s="648">
        <f t="shared" si="404"/>
        <v>3059.1565342533254</v>
      </c>
      <c r="DU97" s="648">
        <f t="shared" si="404"/>
        <v>3011.3698450210454</v>
      </c>
      <c r="DV97" s="648">
        <f t="shared" si="404"/>
        <v>2960.4791686492044</v>
      </c>
      <c r="DW97" s="648">
        <f t="shared" si="404"/>
        <v>2905.9286604145645</v>
      </c>
      <c r="DX97" s="648">
        <f t="shared" si="404"/>
        <v>2847.3021397466223</v>
      </c>
      <c r="DY97" s="648">
        <f t="shared" si="404"/>
        <v>2783.6596151417989</v>
      </c>
      <c r="DZ97" s="648">
        <f t="shared" si="404"/>
        <v>2719.159702942155</v>
      </c>
      <c r="EF97" s="157">
        <v>23</v>
      </c>
      <c r="EG97" s="51"/>
      <c r="EH97" s="51"/>
      <c r="EI97" s="51"/>
      <c r="EJ97" s="51"/>
    </row>
    <row r="98" spans="1:143">
      <c r="A98" s="1"/>
      <c r="B98" t="str">
        <f>B27</f>
        <v>Dumpsite</v>
      </c>
      <c r="C98" s="54" t="s">
        <v>114</v>
      </c>
      <c r="D98" s="648">
        <f t="shared" ref="D98:AH98" si="405">D27*$EF98</f>
        <v>0</v>
      </c>
      <c r="E98" s="648">
        <f t="shared" si="405"/>
        <v>0</v>
      </c>
      <c r="F98" s="648">
        <f t="shared" si="405"/>
        <v>0</v>
      </c>
      <c r="G98" s="648">
        <f t="shared" si="405"/>
        <v>0</v>
      </c>
      <c r="H98" s="648">
        <f t="shared" si="405"/>
        <v>0</v>
      </c>
      <c r="I98" s="648">
        <f t="shared" si="405"/>
        <v>0</v>
      </c>
      <c r="J98" s="648">
        <f t="shared" si="405"/>
        <v>0</v>
      </c>
      <c r="K98" s="648">
        <f t="shared" si="405"/>
        <v>0</v>
      </c>
      <c r="L98" s="648">
        <f t="shared" si="405"/>
        <v>0</v>
      </c>
      <c r="M98" s="648">
        <f t="shared" si="405"/>
        <v>0</v>
      </c>
      <c r="N98" s="648">
        <f t="shared" si="405"/>
        <v>0</v>
      </c>
      <c r="O98" s="648">
        <f t="shared" si="405"/>
        <v>0</v>
      </c>
      <c r="P98" s="648">
        <f t="shared" si="405"/>
        <v>0</v>
      </c>
      <c r="Q98" s="648">
        <f t="shared" si="405"/>
        <v>0</v>
      </c>
      <c r="R98" s="648">
        <f t="shared" si="405"/>
        <v>0</v>
      </c>
      <c r="S98" s="648">
        <f t="shared" si="405"/>
        <v>0</v>
      </c>
      <c r="T98" s="648">
        <f t="shared" si="405"/>
        <v>0</v>
      </c>
      <c r="U98" s="648">
        <f t="shared" si="405"/>
        <v>0</v>
      </c>
      <c r="V98" s="648">
        <f t="shared" si="405"/>
        <v>0</v>
      </c>
      <c r="W98" s="648">
        <f t="shared" si="405"/>
        <v>0</v>
      </c>
      <c r="X98" s="648">
        <f t="shared" si="405"/>
        <v>0</v>
      </c>
      <c r="Y98" s="648">
        <f t="shared" si="405"/>
        <v>0</v>
      </c>
      <c r="Z98" s="648">
        <f t="shared" si="405"/>
        <v>0</v>
      </c>
      <c r="AA98" s="648">
        <f t="shared" si="405"/>
        <v>0</v>
      </c>
      <c r="AB98" s="648">
        <f t="shared" si="405"/>
        <v>0</v>
      </c>
      <c r="AC98" s="648">
        <f t="shared" si="405"/>
        <v>0</v>
      </c>
      <c r="AD98" s="648">
        <f t="shared" si="405"/>
        <v>0</v>
      </c>
      <c r="AE98" s="648">
        <f t="shared" si="405"/>
        <v>0</v>
      </c>
      <c r="AF98" s="648">
        <f t="shared" si="405"/>
        <v>0</v>
      </c>
      <c r="AG98" s="648">
        <f t="shared" si="405"/>
        <v>0</v>
      </c>
      <c r="AH98" s="648">
        <f t="shared" si="405"/>
        <v>0</v>
      </c>
      <c r="AI98" s="648"/>
      <c r="AJ98" s="648">
        <f t="shared" ref="AJ98:BN98" si="406">AJ27*$EF98</f>
        <v>0</v>
      </c>
      <c r="AK98" s="648">
        <f t="shared" si="406"/>
        <v>0</v>
      </c>
      <c r="AL98" s="648">
        <f t="shared" si="406"/>
        <v>0</v>
      </c>
      <c r="AM98" s="648">
        <f t="shared" si="406"/>
        <v>0</v>
      </c>
      <c r="AN98" s="648">
        <f t="shared" si="406"/>
        <v>0</v>
      </c>
      <c r="AO98" s="648">
        <f t="shared" si="406"/>
        <v>0</v>
      </c>
      <c r="AP98" s="648">
        <f t="shared" si="406"/>
        <v>0</v>
      </c>
      <c r="AQ98" s="648">
        <f t="shared" si="406"/>
        <v>0</v>
      </c>
      <c r="AR98" s="648">
        <f t="shared" si="406"/>
        <v>0</v>
      </c>
      <c r="AS98" s="648">
        <f t="shared" si="406"/>
        <v>0</v>
      </c>
      <c r="AT98" s="648">
        <f t="shared" si="406"/>
        <v>0</v>
      </c>
      <c r="AU98" s="648">
        <f t="shared" si="406"/>
        <v>0</v>
      </c>
      <c r="AV98" s="648">
        <f t="shared" si="406"/>
        <v>0</v>
      </c>
      <c r="AW98" s="648">
        <f t="shared" si="406"/>
        <v>0</v>
      </c>
      <c r="AX98" s="648">
        <f t="shared" si="406"/>
        <v>0</v>
      </c>
      <c r="AY98" s="648">
        <f t="shared" si="406"/>
        <v>0</v>
      </c>
      <c r="AZ98" s="648">
        <f t="shared" si="406"/>
        <v>0</v>
      </c>
      <c r="BA98" s="648">
        <f t="shared" si="406"/>
        <v>0</v>
      </c>
      <c r="BB98" s="648">
        <f t="shared" si="406"/>
        <v>0</v>
      </c>
      <c r="BC98" s="648">
        <f t="shared" si="406"/>
        <v>0</v>
      </c>
      <c r="BD98" s="648">
        <f t="shared" si="406"/>
        <v>0</v>
      </c>
      <c r="BE98" s="648">
        <f t="shared" si="406"/>
        <v>0</v>
      </c>
      <c r="BF98" s="648">
        <f t="shared" si="406"/>
        <v>0</v>
      </c>
      <c r="BG98" s="648">
        <f t="shared" si="406"/>
        <v>0</v>
      </c>
      <c r="BH98" s="648">
        <f t="shared" si="406"/>
        <v>0</v>
      </c>
      <c r="BI98" s="648">
        <f t="shared" si="406"/>
        <v>0</v>
      </c>
      <c r="BJ98" s="648">
        <f t="shared" si="406"/>
        <v>0</v>
      </c>
      <c r="BK98" s="648">
        <f t="shared" si="406"/>
        <v>0</v>
      </c>
      <c r="BL98" s="648">
        <f t="shared" si="406"/>
        <v>0</v>
      </c>
      <c r="BM98" s="648">
        <f t="shared" si="406"/>
        <v>0</v>
      </c>
      <c r="BN98" s="648">
        <f t="shared" si="406"/>
        <v>0</v>
      </c>
      <c r="BO98" s="648"/>
      <c r="BP98" s="648">
        <f t="shared" ref="BP98:CT98" si="407">BP27*$EF98</f>
        <v>0</v>
      </c>
      <c r="BQ98" s="648">
        <f t="shared" si="407"/>
        <v>0</v>
      </c>
      <c r="BR98" s="648">
        <f t="shared" si="407"/>
        <v>0</v>
      </c>
      <c r="BS98" s="648">
        <f t="shared" si="407"/>
        <v>0</v>
      </c>
      <c r="BT98" s="648">
        <f t="shared" si="407"/>
        <v>0</v>
      </c>
      <c r="BU98" s="648">
        <f t="shared" si="407"/>
        <v>0</v>
      </c>
      <c r="BV98" s="648">
        <f t="shared" si="407"/>
        <v>0</v>
      </c>
      <c r="BW98" s="648">
        <f t="shared" si="407"/>
        <v>0</v>
      </c>
      <c r="BX98" s="648">
        <f t="shared" si="407"/>
        <v>0</v>
      </c>
      <c r="BY98" s="648">
        <f t="shared" si="407"/>
        <v>0</v>
      </c>
      <c r="BZ98" s="648">
        <f t="shared" si="407"/>
        <v>0</v>
      </c>
      <c r="CA98" s="648">
        <f t="shared" si="407"/>
        <v>0</v>
      </c>
      <c r="CB98" s="648">
        <f t="shared" si="407"/>
        <v>0</v>
      </c>
      <c r="CC98" s="648">
        <f t="shared" si="407"/>
        <v>0</v>
      </c>
      <c r="CD98" s="648">
        <f t="shared" si="407"/>
        <v>0</v>
      </c>
      <c r="CE98" s="648">
        <f t="shared" si="407"/>
        <v>0</v>
      </c>
      <c r="CF98" s="648">
        <f t="shared" si="407"/>
        <v>0</v>
      </c>
      <c r="CG98" s="648">
        <f t="shared" si="407"/>
        <v>0</v>
      </c>
      <c r="CH98" s="648">
        <f t="shared" si="407"/>
        <v>0</v>
      </c>
      <c r="CI98" s="648">
        <f t="shared" si="407"/>
        <v>0</v>
      </c>
      <c r="CJ98" s="648">
        <f t="shared" si="407"/>
        <v>0</v>
      </c>
      <c r="CK98" s="648">
        <f t="shared" si="407"/>
        <v>0</v>
      </c>
      <c r="CL98" s="648">
        <f t="shared" si="407"/>
        <v>0</v>
      </c>
      <c r="CM98" s="648">
        <f t="shared" si="407"/>
        <v>0</v>
      </c>
      <c r="CN98" s="648">
        <f t="shared" si="407"/>
        <v>0</v>
      </c>
      <c r="CO98" s="648">
        <f t="shared" si="407"/>
        <v>0</v>
      </c>
      <c r="CP98" s="648">
        <f t="shared" si="407"/>
        <v>0</v>
      </c>
      <c r="CQ98" s="648">
        <f t="shared" si="407"/>
        <v>0</v>
      </c>
      <c r="CR98" s="648">
        <f t="shared" si="407"/>
        <v>0</v>
      </c>
      <c r="CS98" s="648">
        <f t="shared" si="407"/>
        <v>0</v>
      </c>
      <c r="CT98" s="648">
        <f t="shared" si="407"/>
        <v>0</v>
      </c>
      <c r="CU98" s="648"/>
      <c r="CV98" s="648">
        <f t="shared" ref="CV98:DZ98" si="408">CV27*$EF98</f>
        <v>0</v>
      </c>
      <c r="CW98" s="648">
        <f t="shared" si="408"/>
        <v>0</v>
      </c>
      <c r="CX98" s="648">
        <f t="shared" si="408"/>
        <v>0</v>
      </c>
      <c r="CY98" s="648">
        <f t="shared" si="408"/>
        <v>0</v>
      </c>
      <c r="CZ98" s="648">
        <f t="shared" si="408"/>
        <v>0</v>
      </c>
      <c r="DA98" s="648">
        <f t="shared" si="408"/>
        <v>0</v>
      </c>
      <c r="DB98" s="648">
        <f t="shared" si="408"/>
        <v>0</v>
      </c>
      <c r="DC98" s="648">
        <f t="shared" si="408"/>
        <v>0</v>
      </c>
      <c r="DD98" s="648">
        <f t="shared" si="408"/>
        <v>0</v>
      </c>
      <c r="DE98" s="648">
        <f t="shared" si="408"/>
        <v>0</v>
      </c>
      <c r="DF98" s="648">
        <f t="shared" si="408"/>
        <v>0</v>
      </c>
      <c r="DG98" s="648">
        <f t="shared" si="408"/>
        <v>0</v>
      </c>
      <c r="DH98" s="648">
        <f t="shared" si="408"/>
        <v>0</v>
      </c>
      <c r="DI98" s="648">
        <f t="shared" si="408"/>
        <v>0</v>
      </c>
      <c r="DJ98" s="648">
        <f t="shared" si="408"/>
        <v>0</v>
      </c>
      <c r="DK98" s="648">
        <f t="shared" si="408"/>
        <v>0</v>
      </c>
      <c r="DL98" s="648">
        <f t="shared" si="408"/>
        <v>0</v>
      </c>
      <c r="DM98" s="648">
        <f t="shared" si="408"/>
        <v>0</v>
      </c>
      <c r="DN98" s="648">
        <f t="shared" si="408"/>
        <v>0</v>
      </c>
      <c r="DO98" s="648">
        <f t="shared" si="408"/>
        <v>0</v>
      </c>
      <c r="DP98" s="648">
        <f t="shared" si="408"/>
        <v>0</v>
      </c>
      <c r="DQ98" s="648">
        <f t="shared" si="408"/>
        <v>0</v>
      </c>
      <c r="DR98" s="648">
        <f t="shared" si="408"/>
        <v>0</v>
      </c>
      <c r="DS98" s="648">
        <f t="shared" si="408"/>
        <v>0</v>
      </c>
      <c r="DT98" s="648">
        <f t="shared" si="408"/>
        <v>0</v>
      </c>
      <c r="DU98" s="648">
        <f t="shared" si="408"/>
        <v>0</v>
      </c>
      <c r="DV98" s="648">
        <f t="shared" si="408"/>
        <v>0</v>
      </c>
      <c r="DW98" s="648">
        <f t="shared" si="408"/>
        <v>0</v>
      </c>
      <c r="DX98" s="648">
        <f t="shared" si="408"/>
        <v>0</v>
      </c>
      <c r="DY98" s="648">
        <f t="shared" si="408"/>
        <v>0</v>
      </c>
      <c r="DZ98" s="648">
        <f t="shared" si="408"/>
        <v>0</v>
      </c>
      <c r="EF98" s="51">
        <v>0</v>
      </c>
      <c r="EG98" s="51"/>
      <c r="EH98" s="51"/>
      <c r="EI98" s="51"/>
      <c r="EJ98" s="51"/>
    </row>
    <row r="99" spans="1:143">
      <c r="A99" s="1"/>
      <c r="B99" t="str">
        <f>B28</f>
        <v>Open Burning</v>
      </c>
      <c r="C99" s="54" t="s">
        <v>114</v>
      </c>
      <c r="D99" s="648">
        <f t="shared" ref="D99:AH99" si="409">D28*$EF99</f>
        <v>0</v>
      </c>
      <c r="E99" s="648">
        <f t="shared" si="409"/>
        <v>0</v>
      </c>
      <c r="F99" s="648">
        <f t="shared" si="409"/>
        <v>0</v>
      </c>
      <c r="G99" s="648">
        <f t="shared" si="409"/>
        <v>0</v>
      </c>
      <c r="H99" s="648">
        <f t="shared" si="409"/>
        <v>0</v>
      </c>
      <c r="I99" s="648">
        <f t="shared" si="409"/>
        <v>0</v>
      </c>
      <c r="J99" s="648">
        <f t="shared" si="409"/>
        <v>0</v>
      </c>
      <c r="K99" s="648">
        <f t="shared" si="409"/>
        <v>0</v>
      </c>
      <c r="L99" s="648">
        <f t="shared" si="409"/>
        <v>0</v>
      </c>
      <c r="M99" s="648">
        <f t="shared" si="409"/>
        <v>0</v>
      </c>
      <c r="N99" s="648">
        <f t="shared" si="409"/>
        <v>0</v>
      </c>
      <c r="O99" s="648">
        <f t="shared" si="409"/>
        <v>0</v>
      </c>
      <c r="P99" s="648">
        <f t="shared" si="409"/>
        <v>0</v>
      </c>
      <c r="Q99" s="648">
        <f t="shared" si="409"/>
        <v>0</v>
      </c>
      <c r="R99" s="648">
        <f t="shared" si="409"/>
        <v>0</v>
      </c>
      <c r="S99" s="648">
        <f t="shared" si="409"/>
        <v>0</v>
      </c>
      <c r="T99" s="648">
        <f t="shared" si="409"/>
        <v>0</v>
      </c>
      <c r="U99" s="648">
        <f t="shared" si="409"/>
        <v>0</v>
      </c>
      <c r="V99" s="648">
        <f t="shared" si="409"/>
        <v>0</v>
      </c>
      <c r="W99" s="648">
        <f t="shared" si="409"/>
        <v>0</v>
      </c>
      <c r="X99" s="648">
        <f t="shared" si="409"/>
        <v>0</v>
      </c>
      <c r="Y99" s="648">
        <f t="shared" si="409"/>
        <v>0</v>
      </c>
      <c r="Z99" s="648">
        <f t="shared" si="409"/>
        <v>0</v>
      </c>
      <c r="AA99" s="648">
        <f t="shared" si="409"/>
        <v>0</v>
      </c>
      <c r="AB99" s="648">
        <f t="shared" si="409"/>
        <v>0</v>
      </c>
      <c r="AC99" s="648">
        <f t="shared" si="409"/>
        <v>0</v>
      </c>
      <c r="AD99" s="648">
        <f t="shared" si="409"/>
        <v>0</v>
      </c>
      <c r="AE99" s="648">
        <f t="shared" si="409"/>
        <v>0</v>
      </c>
      <c r="AF99" s="648">
        <f t="shared" si="409"/>
        <v>0</v>
      </c>
      <c r="AG99" s="648">
        <f t="shared" si="409"/>
        <v>0</v>
      </c>
      <c r="AH99" s="648">
        <f t="shared" si="409"/>
        <v>0</v>
      </c>
      <c r="AI99" s="648"/>
      <c r="AJ99" s="648">
        <f t="shared" ref="AJ99:BN99" si="410">AJ28*$EF99</f>
        <v>0</v>
      </c>
      <c r="AK99" s="648">
        <f t="shared" si="410"/>
        <v>0</v>
      </c>
      <c r="AL99" s="648">
        <f t="shared" si="410"/>
        <v>0</v>
      </c>
      <c r="AM99" s="648">
        <f t="shared" si="410"/>
        <v>0</v>
      </c>
      <c r="AN99" s="648">
        <f t="shared" si="410"/>
        <v>0</v>
      </c>
      <c r="AO99" s="648">
        <f t="shared" si="410"/>
        <v>0</v>
      </c>
      <c r="AP99" s="648">
        <f t="shared" si="410"/>
        <v>0</v>
      </c>
      <c r="AQ99" s="648">
        <f t="shared" si="410"/>
        <v>0</v>
      </c>
      <c r="AR99" s="648">
        <f t="shared" si="410"/>
        <v>0</v>
      </c>
      <c r="AS99" s="648">
        <f t="shared" si="410"/>
        <v>0</v>
      </c>
      <c r="AT99" s="648">
        <f t="shared" si="410"/>
        <v>0</v>
      </c>
      <c r="AU99" s="648">
        <f t="shared" si="410"/>
        <v>0</v>
      </c>
      <c r="AV99" s="648">
        <f t="shared" si="410"/>
        <v>0</v>
      </c>
      <c r="AW99" s="648">
        <f t="shared" si="410"/>
        <v>0</v>
      </c>
      <c r="AX99" s="648">
        <f t="shared" si="410"/>
        <v>0</v>
      </c>
      <c r="AY99" s="648">
        <f t="shared" si="410"/>
        <v>0</v>
      </c>
      <c r="AZ99" s="648">
        <f t="shared" si="410"/>
        <v>0</v>
      </c>
      <c r="BA99" s="648">
        <f t="shared" si="410"/>
        <v>0</v>
      </c>
      <c r="BB99" s="648">
        <f t="shared" si="410"/>
        <v>0</v>
      </c>
      <c r="BC99" s="648">
        <f t="shared" si="410"/>
        <v>0</v>
      </c>
      <c r="BD99" s="648">
        <f t="shared" si="410"/>
        <v>0</v>
      </c>
      <c r="BE99" s="648">
        <f t="shared" si="410"/>
        <v>0</v>
      </c>
      <c r="BF99" s="648">
        <f t="shared" si="410"/>
        <v>0</v>
      </c>
      <c r="BG99" s="648">
        <f t="shared" si="410"/>
        <v>0</v>
      </c>
      <c r="BH99" s="648">
        <f t="shared" si="410"/>
        <v>0</v>
      </c>
      <c r="BI99" s="648">
        <f t="shared" si="410"/>
        <v>0</v>
      </c>
      <c r="BJ99" s="648">
        <f t="shared" si="410"/>
        <v>0</v>
      </c>
      <c r="BK99" s="648">
        <f t="shared" si="410"/>
        <v>0</v>
      </c>
      <c r="BL99" s="648">
        <f t="shared" si="410"/>
        <v>0</v>
      </c>
      <c r="BM99" s="648">
        <f t="shared" si="410"/>
        <v>0</v>
      </c>
      <c r="BN99" s="648">
        <f t="shared" si="410"/>
        <v>0</v>
      </c>
      <c r="BO99" s="648"/>
      <c r="BP99" s="648">
        <f t="shared" ref="BP99:CT99" si="411">BP28*$EF99</f>
        <v>0</v>
      </c>
      <c r="BQ99" s="648">
        <f t="shared" si="411"/>
        <v>0</v>
      </c>
      <c r="BR99" s="648">
        <f t="shared" si="411"/>
        <v>0</v>
      </c>
      <c r="BS99" s="648">
        <f t="shared" si="411"/>
        <v>0</v>
      </c>
      <c r="BT99" s="648">
        <f t="shared" si="411"/>
        <v>0</v>
      </c>
      <c r="BU99" s="648">
        <f t="shared" si="411"/>
        <v>0</v>
      </c>
      <c r="BV99" s="648">
        <f t="shared" si="411"/>
        <v>0</v>
      </c>
      <c r="BW99" s="648">
        <f t="shared" si="411"/>
        <v>0</v>
      </c>
      <c r="BX99" s="648">
        <f t="shared" si="411"/>
        <v>0</v>
      </c>
      <c r="BY99" s="648">
        <f t="shared" si="411"/>
        <v>0</v>
      </c>
      <c r="BZ99" s="648">
        <f t="shared" si="411"/>
        <v>0</v>
      </c>
      <c r="CA99" s="648">
        <f t="shared" si="411"/>
        <v>0</v>
      </c>
      <c r="CB99" s="648">
        <f t="shared" si="411"/>
        <v>0</v>
      </c>
      <c r="CC99" s="648">
        <f t="shared" si="411"/>
        <v>0</v>
      </c>
      <c r="CD99" s="648">
        <f t="shared" si="411"/>
        <v>0</v>
      </c>
      <c r="CE99" s="648">
        <f t="shared" si="411"/>
        <v>0</v>
      </c>
      <c r="CF99" s="648">
        <f t="shared" si="411"/>
        <v>0</v>
      </c>
      <c r="CG99" s="648">
        <f t="shared" si="411"/>
        <v>0</v>
      </c>
      <c r="CH99" s="648">
        <f t="shared" si="411"/>
        <v>0</v>
      </c>
      <c r="CI99" s="648">
        <f t="shared" si="411"/>
        <v>0</v>
      </c>
      <c r="CJ99" s="648">
        <f t="shared" si="411"/>
        <v>0</v>
      </c>
      <c r="CK99" s="648">
        <f t="shared" si="411"/>
        <v>0</v>
      </c>
      <c r="CL99" s="648">
        <f t="shared" si="411"/>
        <v>0</v>
      </c>
      <c r="CM99" s="648">
        <f t="shared" si="411"/>
        <v>0</v>
      </c>
      <c r="CN99" s="648">
        <f t="shared" si="411"/>
        <v>0</v>
      </c>
      <c r="CO99" s="648">
        <f t="shared" si="411"/>
        <v>0</v>
      </c>
      <c r="CP99" s="648">
        <f t="shared" si="411"/>
        <v>0</v>
      </c>
      <c r="CQ99" s="648">
        <f t="shared" si="411"/>
        <v>0</v>
      </c>
      <c r="CR99" s="648">
        <f t="shared" si="411"/>
        <v>0</v>
      </c>
      <c r="CS99" s="648">
        <f t="shared" si="411"/>
        <v>0</v>
      </c>
      <c r="CT99" s="648">
        <f t="shared" si="411"/>
        <v>0</v>
      </c>
      <c r="CU99" s="648"/>
      <c r="CV99" s="648">
        <f t="shared" ref="CV99:DZ99" si="412">CV28*$EF99</f>
        <v>0</v>
      </c>
      <c r="CW99" s="648">
        <f t="shared" si="412"/>
        <v>0</v>
      </c>
      <c r="CX99" s="648">
        <f t="shared" si="412"/>
        <v>0</v>
      </c>
      <c r="CY99" s="648">
        <f t="shared" si="412"/>
        <v>0</v>
      </c>
      <c r="CZ99" s="648">
        <f t="shared" si="412"/>
        <v>0</v>
      </c>
      <c r="DA99" s="648">
        <f t="shared" si="412"/>
        <v>0</v>
      </c>
      <c r="DB99" s="648">
        <f t="shared" si="412"/>
        <v>0</v>
      </c>
      <c r="DC99" s="648">
        <f t="shared" si="412"/>
        <v>0</v>
      </c>
      <c r="DD99" s="648">
        <f t="shared" si="412"/>
        <v>0</v>
      </c>
      <c r="DE99" s="648">
        <f t="shared" si="412"/>
        <v>0</v>
      </c>
      <c r="DF99" s="648">
        <f t="shared" si="412"/>
        <v>0</v>
      </c>
      <c r="DG99" s="648">
        <f t="shared" si="412"/>
        <v>0</v>
      </c>
      <c r="DH99" s="648">
        <f t="shared" si="412"/>
        <v>0</v>
      </c>
      <c r="DI99" s="648">
        <f t="shared" si="412"/>
        <v>0</v>
      </c>
      <c r="DJ99" s="648">
        <f t="shared" si="412"/>
        <v>0</v>
      </c>
      <c r="DK99" s="648">
        <f t="shared" si="412"/>
        <v>0</v>
      </c>
      <c r="DL99" s="648">
        <f t="shared" si="412"/>
        <v>0</v>
      </c>
      <c r="DM99" s="648">
        <f t="shared" si="412"/>
        <v>0</v>
      </c>
      <c r="DN99" s="648">
        <f t="shared" si="412"/>
        <v>0</v>
      </c>
      <c r="DO99" s="648">
        <f t="shared" si="412"/>
        <v>0</v>
      </c>
      <c r="DP99" s="648">
        <f t="shared" si="412"/>
        <v>0</v>
      </c>
      <c r="DQ99" s="648">
        <f t="shared" si="412"/>
        <v>0</v>
      </c>
      <c r="DR99" s="648">
        <f t="shared" si="412"/>
        <v>0</v>
      </c>
      <c r="DS99" s="648">
        <f t="shared" si="412"/>
        <v>0</v>
      </c>
      <c r="DT99" s="648">
        <f t="shared" si="412"/>
        <v>0</v>
      </c>
      <c r="DU99" s="648">
        <f t="shared" si="412"/>
        <v>0</v>
      </c>
      <c r="DV99" s="648">
        <f t="shared" si="412"/>
        <v>0</v>
      </c>
      <c r="DW99" s="648">
        <f t="shared" si="412"/>
        <v>0</v>
      </c>
      <c r="DX99" s="648">
        <f t="shared" si="412"/>
        <v>0</v>
      </c>
      <c r="DY99" s="648">
        <f t="shared" si="412"/>
        <v>0</v>
      </c>
      <c r="DZ99" s="648">
        <f t="shared" si="412"/>
        <v>0</v>
      </c>
      <c r="EF99" s="51">
        <v>0</v>
      </c>
      <c r="EG99" s="51"/>
      <c r="EH99" s="51"/>
      <c r="EI99" s="51"/>
      <c r="EJ99" s="51"/>
    </row>
    <row r="100" spans="1:143">
      <c r="A100" s="1"/>
      <c r="B100" t="str">
        <f>B29</f>
        <v>Leakage Environment</v>
      </c>
      <c r="C100" s="54" t="s">
        <v>114</v>
      </c>
      <c r="D100" s="648">
        <f t="shared" ref="D100:AH100" si="413">D29*$EF100</f>
        <v>0</v>
      </c>
      <c r="E100" s="648">
        <f t="shared" si="413"/>
        <v>0</v>
      </c>
      <c r="F100" s="648">
        <f t="shared" si="413"/>
        <v>0</v>
      </c>
      <c r="G100" s="648">
        <f t="shared" si="413"/>
        <v>0</v>
      </c>
      <c r="H100" s="648">
        <f t="shared" si="413"/>
        <v>0</v>
      </c>
      <c r="I100" s="648">
        <f t="shared" si="413"/>
        <v>0</v>
      </c>
      <c r="J100" s="648">
        <f t="shared" si="413"/>
        <v>0</v>
      </c>
      <c r="K100" s="648">
        <f t="shared" si="413"/>
        <v>0</v>
      </c>
      <c r="L100" s="648">
        <f t="shared" si="413"/>
        <v>0</v>
      </c>
      <c r="M100" s="648">
        <f t="shared" si="413"/>
        <v>0</v>
      </c>
      <c r="N100" s="648">
        <f t="shared" si="413"/>
        <v>0</v>
      </c>
      <c r="O100" s="648">
        <f t="shared" si="413"/>
        <v>0</v>
      </c>
      <c r="P100" s="648">
        <f t="shared" si="413"/>
        <v>0</v>
      </c>
      <c r="Q100" s="648">
        <f t="shared" si="413"/>
        <v>0</v>
      </c>
      <c r="R100" s="648">
        <f t="shared" si="413"/>
        <v>0</v>
      </c>
      <c r="S100" s="648">
        <f t="shared" si="413"/>
        <v>0</v>
      </c>
      <c r="T100" s="648">
        <f t="shared" si="413"/>
        <v>0</v>
      </c>
      <c r="U100" s="648">
        <f t="shared" si="413"/>
        <v>0</v>
      </c>
      <c r="V100" s="648">
        <f t="shared" si="413"/>
        <v>0</v>
      </c>
      <c r="W100" s="648">
        <f t="shared" si="413"/>
        <v>0</v>
      </c>
      <c r="X100" s="648">
        <f t="shared" si="413"/>
        <v>0</v>
      </c>
      <c r="Y100" s="648">
        <f t="shared" si="413"/>
        <v>0</v>
      </c>
      <c r="Z100" s="648">
        <f t="shared" si="413"/>
        <v>0</v>
      </c>
      <c r="AA100" s="648">
        <f t="shared" si="413"/>
        <v>0</v>
      </c>
      <c r="AB100" s="648">
        <f t="shared" si="413"/>
        <v>0</v>
      </c>
      <c r="AC100" s="648">
        <f t="shared" si="413"/>
        <v>0</v>
      </c>
      <c r="AD100" s="648">
        <f t="shared" si="413"/>
        <v>0</v>
      </c>
      <c r="AE100" s="648">
        <f t="shared" si="413"/>
        <v>0</v>
      </c>
      <c r="AF100" s="648">
        <f t="shared" si="413"/>
        <v>0</v>
      </c>
      <c r="AG100" s="648">
        <f t="shared" si="413"/>
        <v>0</v>
      </c>
      <c r="AH100" s="648">
        <f t="shared" si="413"/>
        <v>0</v>
      </c>
      <c r="AI100" s="648"/>
      <c r="AJ100" s="648">
        <f t="shared" ref="AJ100:BN100" si="414">AJ29*$EF100</f>
        <v>0</v>
      </c>
      <c r="AK100" s="648">
        <f t="shared" si="414"/>
        <v>0</v>
      </c>
      <c r="AL100" s="648">
        <f t="shared" si="414"/>
        <v>0</v>
      </c>
      <c r="AM100" s="648">
        <f t="shared" si="414"/>
        <v>0</v>
      </c>
      <c r="AN100" s="648">
        <f t="shared" si="414"/>
        <v>0</v>
      </c>
      <c r="AO100" s="648">
        <f t="shared" si="414"/>
        <v>0</v>
      </c>
      <c r="AP100" s="648">
        <f t="shared" si="414"/>
        <v>0</v>
      </c>
      <c r="AQ100" s="648">
        <f t="shared" si="414"/>
        <v>0</v>
      </c>
      <c r="AR100" s="648">
        <f t="shared" si="414"/>
        <v>0</v>
      </c>
      <c r="AS100" s="648">
        <f t="shared" si="414"/>
        <v>0</v>
      </c>
      <c r="AT100" s="648">
        <f t="shared" si="414"/>
        <v>0</v>
      </c>
      <c r="AU100" s="648">
        <f t="shared" si="414"/>
        <v>0</v>
      </c>
      <c r="AV100" s="648">
        <f t="shared" si="414"/>
        <v>0</v>
      </c>
      <c r="AW100" s="648">
        <f t="shared" si="414"/>
        <v>0</v>
      </c>
      <c r="AX100" s="648">
        <f t="shared" si="414"/>
        <v>0</v>
      </c>
      <c r="AY100" s="648">
        <f t="shared" si="414"/>
        <v>0</v>
      </c>
      <c r="AZ100" s="648">
        <f t="shared" si="414"/>
        <v>0</v>
      </c>
      <c r="BA100" s="648">
        <f t="shared" si="414"/>
        <v>0</v>
      </c>
      <c r="BB100" s="648">
        <f t="shared" si="414"/>
        <v>0</v>
      </c>
      <c r="BC100" s="648">
        <f t="shared" si="414"/>
        <v>0</v>
      </c>
      <c r="BD100" s="648">
        <f t="shared" si="414"/>
        <v>0</v>
      </c>
      <c r="BE100" s="648">
        <f t="shared" si="414"/>
        <v>0</v>
      </c>
      <c r="BF100" s="648">
        <f t="shared" si="414"/>
        <v>0</v>
      </c>
      <c r="BG100" s="648">
        <f t="shared" si="414"/>
        <v>0</v>
      </c>
      <c r="BH100" s="648">
        <f t="shared" si="414"/>
        <v>0</v>
      </c>
      <c r="BI100" s="648">
        <f t="shared" si="414"/>
        <v>0</v>
      </c>
      <c r="BJ100" s="648">
        <f t="shared" si="414"/>
        <v>0</v>
      </c>
      <c r="BK100" s="648">
        <f t="shared" si="414"/>
        <v>0</v>
      </c>
      <c r="BL100" s="648">
        <f t="shared" si="414"/>
        <v>0</v>
      </c>
      <c r="BM100" s="648">
        <f t="shared" si="414"/>
        <v>0</v>
      </c>
      <c r="BN100" s="648">
        <f t="shared" si="414"/>
        <v>0</v>
      </c>
      <c r="BO100" s="648"/>
      <c r="BP100" s="648">
        <f t="shared" ref="BP100:CT100" si="415">BP29*$EF100</f>
        <v>0</v>
      </c>
      <c r="BQ100" s="648">
        <f t="shared" si="415"/>
        <v>0</v>
      </c>
      <c r="BR100" s="648">
        <f t="shared" si="415"/>
        <v>0</v>
      </c>
      <c r="BS100" s="648">
        <f t="shared" si="415"/>
        <v>0</v>
      </c>
      <c r="BT100" s="648">
        <f t="shared" si="415"/>
        <v>0</v>
      </c>
      <c r="BU100" s="648">
        <f t="shared" si="415"/>
        <v>0</v>
      </c>
      <c r="BV100" s="648">
        <f t="shared" si="415"/>
        <v>0</v>
      </c>
      <c r="BW100" s="648">
        <f t="shared" si="415"/>
        <v>0</v>
      </c>
      <c r="BX100" s="648">
        <f t="shared" si="415"/>
        <v>0</v>
      </c>
      <c r="BY100" s="648">
        <f t="shared" si="415"/>
        <v>0</v>
      </c>
      <c r="BZ100" s="648">
        <f t="shared" si="415"/>
        <v>0</v>
      </c>
      <c r="CA100" s="648">
        <f t="shared" si="415"/>
        <v>0</v>
      </c>
      <c r="CB100" s="648">
        <f t="shared" si="415"/>
        <v>0</v>
      </c>
      <c r="CC100" s="648">
        <f t="shared" si="415"/>
        <v>0</v>
      </c>
      <c r="CD100" s="648">
        <f t="shared" si="415"/>
        <v>0</v>
      </c>
      <c r="CE100" s="648">
        <f t="shared" si="415"/>
        <v>0</v>
      </c>
      <c r="CF100" s="648">
        <f t="shared" si="415"/>
        <v>0</v>
      </c>
      <c r="CG100" s="648">
        <f t="shared" si="415"/>
        <v>0</v>
      </c>
      <c r="CH100" s="648">
        <f t="shared" si="415"/>
        <v>0</v>
      </c>
      <c r="CI100" s="648">
        <f t="shared" si="415"/>
        <v>0</v>
      </c>
      <c r="CJ100" s="648">
        <f t="shared" si="415"/>
        <v>0</v>
      </c>
      <c r="CK100" s="648">
        <f t="shared" si="415"/>
        <v>0</v>
      </c>
      <c r="CL100" s="648">
        <f t="shared" si="415"/>
        <v>0</v>
      </c>
      <c r="CM100" s="648">
        <f t="shared" si="415"/>
        <v>0</v>
      </c>
      <c r="CN100" s="648">
        <f t="shared" si="415"/>
        <v>0</v>
      </c>
      <c r="CO100" s="648">
        <f t="shared" si="415"/>
        <v>0</v>
      </c>
      <c r="CP100" s="648">
        <f t="shared" si="415"/>
        <v>0</v>
      </c>
      <c r="CQ100" s="648">
        <f t="shared" si="415"/>
        <v>0</v>
      </c>
      <c r="CR100" s="648">
        <f t="shared" si="415"/>
        <v>0</v>
      </c>
      <c r="CS100" s="648">
        <f t="shared" si="415"/>
        <v>0</v>
      </c>
      <c r="CT100" s="648">
        <f t="shared" si="415"/>
        <v>0</v>
      </c>
      <c r="CU100" s="648"/>
      <c r="CV100" s="648">
        <f t="shared" ref="CV100:DZ100" si="416">CV29*$EF100</f>
        <v>0</v>
      </c>
      <c r="CW100" s="648">
        <f t="shared" si="416"/>
        <v>0</v>
      </c>
      <c r="CX100" s="648">
        <f t="shared" si="416"/>
        <v>0</v>
      </c>
      <c r="CY100" s="648">
        <f t="shared" si="416"/>
        <v>0</v>
      </c>
      <c r="CZ100" s="648">
        <f t="shared" si="416"/>
        <v>0</v>
      </c>
      <c r="DA100" s="648">
        <f t="shared" si="416"/>
        <v>0</v>
      </c>
      <c r="DB100" s="648">
        <f t="shared" si="416"/>
        <v>0</v>
      </c>
      <c r="DC100" s="648">
        <f t="shared" si="416"/>
        <v>0</v>
      </c>
      <c r="DD100" s="648">
        <f t="shared" si="416"/>
        <v>0</v>
      </c>
      <c r="DE100" s="648">
        <f t="shared" si="416"/>
        <v>0</v>
      </c>
      <c r="DF100" s="648">
        <f t="shared" si="416"/>
        <v>0</v>
      </c>
      <c r="DG100" s="648">
        <f t="shared" si="416"/>
        <v>0</v>
      </c>
      <c r="DH100" s="648">
        <f t="shared" si="416"/>
        <v>0</v>
      </c>
      <c r="DI100" s="648">
        <f t="shared" si="416"/>
        <v>0</v>
      </c>
      <c r="DJ100" s="648">
        <f t="shared" si="416"/>
        <v>0</v>
      </c>
      <c r="DK100" s="648">
        <f t="shared" si="416"/>
        <v>0</v>
      </c>
      <c r="DL100" s="648">
        <f t="shared" si="416"/>
        <v>0</v>
      </c>
      <c r="DM100" s="648">
        <f t="shared" si="416"/>
        <v>0</v>
      </c>
      <c r="DN100" s="648">
        <f t="shared" si="416"/>
        <v>0</v>
      </c>
      <c r="DO100" s="648">
        <f t="shared" si="416"/>
        <v>0</v>
      </c>
      <c r="DP100" s="648">
        <f t="shared" si="416"/>
        <v>0</v>
      </c>
      <c r="DQ100" s="648">
        <f t="shared" si="416"/>
        <v>0</v>
      </c>
      <c r="DR100" s="648">
        <f t="shared" si="416"/>
        <v>0</v>
      </c>
      <c r="DS100" s="648">
        <f t="shared" si="416"/>
        <v>0</v>
      </c>
      <c r="DT100" s="648">
        <f t="shared" si="416"/>
        <v>0</v>
      </c>
      <c r="DU100" s="648">
        <f t="shared" si="416"/>
        <v>0</v>
      </c>
      <c r="DV100" s="648">
        <f t="shared" si="416"/>
        <v>0</v>
      </c>
      <c r="DW100" s="648">
        <f t="shared" si="416"/>
        <v>0</v>
      </c>
      <c r="DX100" s="648">
        <f t="shared" si="416"/>
        <v>0</v>
      </c>
      <c r="DY100" s="648">
        <f t="shared" si="416"/>
        <v>0</v>
      </c>
      <c r="DZ100" s="648">
        <f t="shared" si="416"/>
        <v>0</v>
      </c>
      <c r="EF100" s="51">
        <v>0</v>
      </c>
      <c r="EG100" s="51"/>
      <c r="EH100" s="51"/>
      <c r="EI100" s="51"/>
      <c r="EJ100" s="51"/>
    </row>
    <row r="101" spans="1:143" ht="16" thickBot="1">
      <c r="A101" s="1"/>
      <c r="B101" t="str">
        <f>B30</f>
        <v>Leakage Ocean</v>
      </c>
      <c r="C101" s="54" t="s">
        <v>114</v>
      </c>
      <c r="D101" s="648">
        <f t="shared" ref="D101:AH101" si="417">D30*$EF101</f>
        <v>0</v>
      </c>
      <c r="E101" s="648">
        <f t="shared" si="417"/>
        <v>0</v>
      </c>
      <c r="F101" s="648">
        <f t="shared" si="417"/>
        <v>0</v>
      </c>
      <c r="G101" s="648">
        <f t="shared" si="417"/>
        <v>0</v>
      </c>
      <c r="H101" s="648">
        <f t="shared" si="417"/>
        <v>0</v>
      </c>
      <c r="I101" s="648">
        <f t="shared" si="417"/>
        <v>0</v>
      </c>
      <c r="J101" s="648">
        <f t="shared" si="417"/>
        <v>0</v>
      </c>
      <c r="K101" s="648">
        <f t="shared" si="417"/>
        <v>0</v>
      </c>
      <c r="L101" s="648">
        <f t="shared" si="417"/>
        <v>0</v>
      </c>
      <c r="M101" s="648">
        <f t="shared" si="417"/>
        <v>0</v>
      </c>
      <c r="N101" s="648">
        <f t="shared" si="417"/>
        <v>0</v>
      </c>
      <c r="O101" s="648">
        <f t="shared" si="417"/>
        <v>0</v>
      </c>
      <c r="P101" s="648">
        <f t="shared" si="417"/>
        <v>0</v>
      </c>
      <c r="Q101" s="648">
        <f t="shared" si="417"/>
        <v>0</v>
      </c>
      <c r="R101" s="648">
        <f t="shared" si="417"/>
        <v>0</v>
      </c>
      <c r="S101" s="648">
        <f t="shared" si="417"/>
        <v>0</v>
      </c>
      <c r="T101" s="648">
        <f t="shared" si="417"/>
        <v>0</v>
      </c>
      <c r="U101" s="648">
        <f t="shared" si="417"/>
        <v>0</v>
      </c>
      <c r="V101" s="648">
        <f t="shared" si="417"/>
        <v>0</v>
      </c>
      <c r="W101" s="648">
        <f t="shared" si="417"/>
        <v>0</v>
      </c>
      <c r="X101" s="648">
        <f t="shared" si="417"/>
        <v>0</v>
      </c>
      <c r="Y101" s="648">
        <f t="shared" si="417"/>
        <v>0</v>
      </c>
      <c r="Z101" s="648">
        <f t="shared" si="417"/>
        <v>0</v>
      </c>
      <c r="AA101" s="648">
        <f t="shared" si="417"/>
        <v>0</v>
      </c>
      <c r="AB101" s="648">
        <f t="shared" si="417"/>
        <v>0</v>
      </c>
      <c r="AC101" s="648">
        <f t="shared" si="417"/>
        <v>0</v>
      </c>
      <c r="AD101" s="648">
        <f t="shared" si="417"/>
        <v>0</v>
      </c>
      <c r="AE101" s="648">
        <f t="shared" si="417"/>
        <v>0</v>
      </c>
      <c r="AF101" s="648">
        <f t="shared" si="417"/>
        <v>0</v>
      </c>
      <c r="AG101" s="648">
        <f t="shared" si="417"/>
        <v>0</v>
      </c>
      <c r="AH101" s="648">
        <f t="shared" si="417"/>
        <v>0</v>
      </c>
      <c r="AI101" s="648"/>
      <c r="AJ101" s="648">
        <f t="shared" ref="AJ101:BN101" si="418">AJ30*$EF101</f>
        <v>0</v>
      </c>
      <c r="AK101" s="648">
        <f t="shared" si="418"/>
        <v>0</v>
      </c>
      <c r="AL101" s="648">
        <f t="shared" si="418"/>
        <v>0</v>
      </c>
      <c r="AM101" s="648">
        <f t="shared" si="418"/>
        <v>0</v>
      </c>
      <c r="AN101" s="648">
        <f t="shared" si="418"/>
        <v>0</v>
      </c>
      <c r="AO101" s="648">
        <f t="shared" si="418"/>
        <v>0</v>
      </c>
      <c r="AP101" s="648">
        <f t="shared" si="418"/>
        <v>0</v>
      </c>
      <c r="AQ101" s="648">
        <f t="shared" si="418"/>
        <v>0</v>
      </c>
      <c r="AR101" s="648">
        <f t="shared" si="418"/>
        <v>0</v>
      </c>
      <c r="AS101" s="648">
        <f t="shared" si="418"/>
        <v>0</v>
      </c>
      <c r="AT101" s="648">
        <f t="shared" si="418"/>
        <v>0</v>
      </c>
      <c r="AU101" s="648">
        <f t="shared" si="418"/>
        <v>0</v>
      </c>
      <c r="AV101" s="648">
        <f t="shared" si="418"/>
        <v>0</v>
      </c>
      <c r="AW101" s="648">
        <f t="shared" si="418"/>
        <v>0</v>
      </c>
      <c r="AX101" s="648">
        <f t="shared" si="418"/>
        <v>0</v>
      </c>
      <c r="AY101" s="648">
        <f t="shared" si="418"/>
        <v>0</v>
      </c>
      <c r="AZ101" s="648">
        <f t="shared" si="418"/>
        <v>0</v>
      </c>
      <c r="BA101" s="648">
        <f t="shared" si="418"/>
        <v>0</v>
      </c>
      <c r="BB101" s="648">
        <f t="shared" si="418"/>
        <v>0</v>
      </c>
      <c r="BC101" s="648">
        <f t="shared" si="418"/>
        <v>0</v>
      </c>
      <c r="BD101" s="648">
        <f t="shared" si="418"/>
        <v>0</v>
      </c>
      <c r="BE101" s="648">
        <f t="shared" si="418"/>
        <v>0</v>
      </c>
      <c r="BF101" s="648">
        <f t="shared" si="418"/>
        <v>0</v>
      </c>
      <c r="BG101" s="648">
        <f t="shared" si="418"/>
        <v>0</v>
      </c>
      <c r="BH101" s="648">
        <f t="shared" si="418"/>
        <v>0</v>
      </c>
      <c r="BI101" s="648">
        <f t="shared" si="418"/>
        <v>0</v>
      </c>
      <c r="BJ101" s="648">
        <f t="shared" si="418"/>
        <v>0</v>
      </c>
      <c r="BK101" s="648">
        <f t="shared" si="418"/>
        <v>0</v>
      </c>
      <c r="BL101" s="648">
        <f t="shared" si="418"/>
        <v>0</v>
      </c>
      <c r="BM101" s="648">
        <f t="shared" si="418"/>
        <v>0</v>
      </c>
      <c r="BN101" s="648">
        <f t="shared" si="418"/>
        <v>0</v>
      </c>
      <c r="BO101" s="648"/>
      <c r="BP101" s="648">
        <f t="shared" ref="BP101:CT101" si="419">BP30*$EF101</f>
        <v>0</v>
      </c>
      <c r="BQ101" s="648">
        <f t="shared" si="419"/>
        <v>0</v>
      </c>
      <c r="BR101" s="648">
        <f t="shared" si="419"/>
        <v>0</v>
      </c>
      <c r="BS101" s="648">
        <f t="shared" si="419"/>
        <v>0</v>
      </c>
      <c r="BT101" s="648">
        <f t="shared" si="419"/>
        <v>0</v>
      </c>
      <c r="BU101" s="648">
        <f t="shared" si="419"/>
        <v>0</v>
      </c>
      <c r="BV101" s="648">
        <f t="shared" si="419"/>
        <v>0</v>
      </c>
      <c r="BW101" s="648">
        <f t="shared" si="419"/>
        <v>0</v>
      </c>
      <c r="BX101" s="648">
        <f t="shared" si="419"/>
        <v>0</v>
      </c>
      <c r="BY101" s="648">
        <f t="shared" si="419"/>
        <v>0</v>
      </c>
      <c r="BZ101" s="648">
        <f t="shared" si="419"/>
        <v>0</v>
      </c>
      <c r="CA101" s="648">
        <f t="shared" si="419"/>
        <v>0</v>
      </c>
      <c r="CB101" s="648">
        <f t="shared" si="419"/>
        <v>0</v>
      </c>
      <c r="CC101" s="648">
        <f t="shared" si="419"/>
        <v>0</v>
      </c>
      <c r="CD101" s="648">
        <f t="shared" si="419"/>
        <v>0</v>
      </c>
      <c r="CE101" s="648">
        <f t="shared" si="419"/>
        <v>0</v>
      </c>
      <c r="CF101" s="648">
        <f t="shared" si="419"/>
        <v>0</v>
      </c>
      <c r="CG101" s="648">
        <f t="shared" si="419"/>
        <v>0</v>
      </c>
      <c r="CH101" s="648">
        <f t="shared" si="419"/>
        <v>0</v>
      </c>
      <c r="CI101" s="648">
        <f t="shared" si="419"/>
        <v>0</v>
      </c>
      <c r="CJ101" s="648">
        <f t="shared" si="419"/>
        <v>0</v>
      </c>
      <c r="CK101" s="648">
        <f t="shared" si="419"/>
        <v>0</v>
      </c>
      <c r="CL101" s="648">
        <f t="shared" si="419"/>
        <v>0</v>
      </c>
      <c r="CM101" s="648">
        <f t="shared" si="419"/>
        <v>0</v>
      </c>
      <c r="CN101" s="648">
        <f t="shared" si="419"/>
        <v>0</v>
      </c>
      <c r="CO101" s="648">
        <f t="shared" si="419"/>
        <v>0</v>
      </c>
      <c r="CP101" s="648">
        <f t="shared" si="419"/>
        <v>0</v>
      </c>
      <c r="CQ101" s="648">
        <f t="shared" si="419"/>
        <v>0</v>
      </c>
      <c r="CR101" s="648">
        <f t="shared" si="419"/>
        <v>0</v>
      </c>
      <c r="CS101" s="648">
        <f t="shared" si="419"/>
        <v>0</v>
      </c>
      <c r="CT101" s="648">
        <f t="shared" si="419"/>
        <v>0</v>
      </c>
      <c r="CU101" s="648"/>
      <c r="CV101" s="648">
        <f t="shared" ref="CV101:DZ101" si="420">CV30*$EF101</f>
        <v>0</v>
      </c>
      <c r="CW101" s="648">
        <f t="shared" si="420"/>
        <v>0</v>
      </c>
      <c r="CX101" s="648">
        <f t="shared" si="420"/>
        <v>0</v>
      </c>
      <c r="CY101" s="648">
        <f t="shared" si="420"/>
        <v>0</v>
      </c>
      <c r="CZ101" s="648">
        <f t="shared" si="420"/>
        <v>0</v>
      </c>
      <c r="DA101" s="648">
        <f t="shared" si="420"/>
        <v>0</v>
      </c>
      <c r="DB101" s="648">
        <f t="shared" si="420"/>
        <v>0</v>
      </c>
      <c r="DC101" s="648">
        <f t="shared" si="420"/>
        <v>0</v>
      </c>
      <c r="DD101" s="648">
        <f t="shared" si="420"/>
        <v>0</v>
      </c>
      <c r="DE101" s="648">
        <f t="shared" si="420"/>
        <v>0</v>
      </c>
      <c r="DF101" s="648">
        <f t="shared" si="420"/>
        <v>0</v>
      </c>
      <c r="DG101" s="648">
        <f t="shared" si="420"/>
        <v>0</v>
      </c>
      <c r="DH101" s="648">
        <f t="shared" si="420"/>
        <v>0</v>
      </c>
      <c r="DI101" s="648">
        <f t="shared" si="420"/>
        <v>0</v>
      </c>
      <c r="DJ101" s="648">
        <f t="shared" si="420"/>
        <v>0</v>
      </c>
      <c r="DK101" s="648">
        <f t="shared" si="420"/>
        <v>0</v>
      </c>
      <c r="DL101" s="648">
        <f t="shared" si="420"/>
        <v>0</v>
      </c>
      <c r="DM101" s="648">
        <f t="shared" si="420"/>
        <v>0</v>
      </c>
      <c r="DN101" s="648">
        <f t="shared" si="420"/>
        <v>0</v>
      </c>
      <c r="DO101" s="648">
        <f t="shared" si="420"/>
        <v>0</v>
      </c>
      <c r="DP101" s="648">
        <f t="shared" si="420"/>
        <v>0</v>
      </c>
      <c r="DQ101" s="648">
        <f t="shared" si="420"/>
        <v>0</v>
      </c>
      <c r="DR101" s="648">
        <f t="shared" si="420"/>
        <v>0</v>
      </c>
      <c r="DS101" s="648">
        <f t="shared" si="420"/>
        <v>0</v>
      </c>
      <c r="DT101" s="648">
        <f t="shared" si="420"/>
        <v>0</v>
      </c>
      <c r="DU101" s="648">
        <f t="shared" si="420"/>
        <v>0</v>
      </c>
      <c r="DV101" s="648">
        <f t="shared" si="420"/>
        <v>0</v>
      </c>
      <c r="DW101" s="648">
        <f t="shared" si="420"/>
        <v>0</v>
      </c>
      <c r="DX101" s="648">
        <f t="shared" si="420"/>
        <v>0</v>
      </c>
      <c r="DY101" s="648">
        <f t="shared" si="420"/>
        <v>0</v>
      </c>
      <c r="DZ101" s="648">
        <f t="shared" si="420"/>
        <v>0</v>
      </c>
      <c r="EF101" s="51">
        <v>0</v>
      </c>
      <c r="EG101" s="51"/>
      <c r="EH101" s="51"/>
      <c r="EI101" s="51"/>
      <c r="EJ101" s="51"/>
    </row>
    <row r="102" spans="1:143" ht="16" thickBot="1">
      <c r="A102" s="185" t="s">
        <v>115</v>
      </c>
      <c r="B102" s="488"/>
      <c r="C102" s="639" t="s">
        <v>114</v>
      </c>
      <c r="D102" s="647">
        <f t="shared" ref="D102:AH102" si="421">SUM(D78:D100)</f>
        <v>36949.587148511935</v>
      </c>
      <c r="E102" s="647">
        <f t="shared" si="421"/>
        <v>38536.739853253581</v>
      </c>
      <c r="F102" s="647">
        <f t="shared" si="421"/>
        <v>40154.408118842432</v>
      </c>
      <c r="G102" s="647">
        <f t="shared" si="421"/>
        <v>41725.880837786586</v>
      </c>
      <c r="H102" s="647">
        <f t="shared" si="421"/>
        <v>43241.160855323345</v>
      </c>
      <c r="I102" s="647">
        <f t="shared" si="421"/>
        <v>44690.718643677908</v>
      </c>
      <c r="J102" s="647">
        <f t="shared" si="421"/>
        <v>46165.31402642683</v>
      </c>
      <c r="K102" s="647">
        <f t="shared" si="421"/>
        <v>47666.827844484549</v>
      </c>
      <c r="L102" s="647">
        <f t="shared" si="421"/>
        <v>49199.386497396423</v>
      </c>
      <c r="M102" s="647">
        <f t="shared" si="421"/>
        <v>50770.906743526808</v>
      </c>
      <c r="N102" s="647">
        <f t="shared" si="421"/>
        <v>52394.680631816715</v>
      </c>
      <c r="O102" s="647">
        <f t="shared" si="421"/>
        <v>54344.986274230185</v>
      </c>
      <c r="P102" s="647">
        <f t="shared" si="421"/>
        <v>56318.89496830701</v>
      </c>
      <c r="Q102" s="647">
        <f t="shared" si="421"/>
        <v>58342.295917559219</v>
      </c>
      <c r="R102" s="647">
        <f t="shared" si="421"/>
        <v>60423.122552543013</v>
      </c>
      <c r="S102" s="647">
        <f t="shared" si="421"/>
        <v>62562.379731815498</v>
      </c>
      <c r="T102" s="647">
        <f t="shared" si="421"/>
        <v>64843.729060772821</v>
      </c>
      <c r="U102" s="647">
        <f t="shared" si="421"/>
        <v>67218.996070570953</v>
      </c>
      <c r="V102" s="647">
        <f t="shared" si="421"/>
        <v>69629.154726693378</v>
      </c>
      <c r="W102" s="647">
        <f t="shared" si="421"/>
        <v>72019.522153296377</v>
      </c>
      <c r="X102" s="647">
        <f t="shared" si="421"/>
        <v>74326.995990502968</v>
      </c>
      <c r="Y102" s="647">
        <f t="shared" si="421"/>
        <v>77023.557781036943</v>
      </c>
      <c r="Z102" s="647">
        <f t="shared" si="421"/>
        <v>79642.633242767537</v>
      </c>
      <c r="AA102" s="647">
        <f t="shared" si="421"/>
        <v>82210.990203235197</v>
      </c>
      <c r="AB102" s="647">
        <f t="shared" si="421"/>
        <v>84731.459649843207</v>
      </c>
      <c r="AC102" s="647">
        <f t="shared" si="421"/>
        <v>87222.722903487826</v>
      </c>
      <c r="AD102" s="647">
        <f t="shared" si="421"/>
        <v>89704.857455110556</v>
      </c>
      <c r="AE102" s="647">
        <f t="shared" si="421"/>
        <v>92196.413679272169</v>
      </c>
      <c r="AF102" s="647">
        <f t="shared" si="421"/>
        <v>94713.294182205529</v>
      </c>
      <c r="AG102" s="647">
        <f t="shared" si="421"/>
        <v>97280.662000099255</v>
      </c>
      <c r="AH102" s="647">
        <f t="shared" si="421"/>
        <v>99855.303734999965</v>
      </c>
      <c r="AI102" s="647"/>
      <c r="AJ102" s="647">
        <f t="shared" ref="AJ102:BN102" si="422">SUM(AJ78:AJ100)</f>
        <v>36949.576245362732</v>
      </c>
      <c r="AK102" s="647">
        <f t="shared" si="422"/>
        <v>38536.716090146117</v>
      </c>
      <c r="AL102" s="647">
        <f t="shared" si="422"/>
        <v>40154.35801378623</v>
      </c>
      <c r="AM102" s="647">
        <f t="shared" si="422"/>
        <v>41725.775903706723</v>
      </c>
      <c r="AN102" s="647">
        <f t="shared" si="422"/>
        <v>43240.942775561576</v>
      </c>
      <c r="AO102" s="647">
        <f t="shared" si="422"/>
        <v>44690.26947114239</v>
      </c>
      <c r="AP102" s="647">
        <f t="shared" si="422"/>
        <v>46164.396855190957</v>
      </c>
      <c r="AQ102" s="647">
        <f t="shared" si="422"/>
        <v>47664.97590617885</v>
      </c>
      <c r="AR102" s="647">
        <f t="shared" si="422"/>
        <v>49195.701366427769</v>
      </c>
      <c r="AS102" s="647">
        <f t="shared" si="422"/>
        <v>50763.712767438396</v>
      </c>
      <c r="AT102" s="647">
        <f t="shared" si="422"/>
        <v>52380.922646738203</v>
      </c>
      <c r="AU102" s="647">
        <f t="shared" si="422"/>
        <v>54320.710685242317</v>
      </c>
      <c r="AV102" s="647">
        <f t="shared" si="422"/>
        <v>56277.605383288741</v>
      </c>
      <c r="AW102" s="647">
        <f t="shared" si="422"/>
        <v>58273.615627590239</v>
      </c>
      <c r="AX102" s="647">
        <f t="shared" si="422"/>
        <v>60317.037590861095</v>
      </c>
      <c r="AY102" s="647">
        <f t="shared" si="422"/>
        <v>62406.087764554206</v>
      </c>
      <c r="AZ102" s="647">
        <f t="shared" si="422"/>
        <v>64626.150076875136</v>
      </c>
      <c r="BA102" s="647">
        <f t="shared" si="422"/>
        <v>66933.688948113704</v>
      </c>
      <c r="BB102" s="647">
        <f t="shared" si="422"/>
        <v>69274.536764710501</v>
      </c>
      <c r="BC102" s="647">
        <f t="shared" si="422"/>
        <v>71598.401247514339</v>
      </c>
      <c r="BD102" s="647">
        <f t="shared" si="422"/>
        <v>73845.100033343086</v>
      </c>
      <c r="BE102" s="647">
        <f t="shared" si="422"/>
        <v>76494.241591187994</v>
      </c>
      <c r="BF102" s="647">
        <f t="shared" si="422"/>
        <v>79062.182432225673</v>
      </c>
      <c r="BG102" s="647">
        <f t="shared" si="422"/>
        <v>81583.352060066056</v>
      </c>
      <c r="BH102" s="647">
        <f t="shared" si="422"/>
        <v>84059.64519979406</v>
      </c>
      <c r="BI102" s="647">
        <f t="shared" si="422"/>
        <v>86506.864490897628</v>
      </c>
      <c r="BJ102" s="647">
        <f t="shared" si="422"/>
        <v>88941.415929991301</v>
      </c>
      <c r="BK102" s="647">
        <f t="shared" si="422"/>
        <v>91379.110006590432</v>
      </c>
      <c r="BL102" s="647">
        <f t="shared" si="422"/>
        <v>93831.459232366091</v>
      </c>
      <c r="BM102" s="647">
        <f t="shared" si="422"/>
        <v>96315.302823917445</v>
      </c>
      <c r="BN102" s="647">
        <f t="shared" si="422"/>
        <v>98775.214768498961</v>
      </c>
      <c r="BO102" s="647"/>
      <c r="BP102" s="647">
        <f t="shared" ref="BP102:CT102" si="423">SUM(BP78:BP100)</f>
        <v>36949.417479192358</v>
      </c>
      <c r="BQ102" s="647">
        <f t="shared" si="423"/>
        <v>37947.986854147101</v>
      </c>
      <c r="BR102" s="647">
        <f t="shared" si="423"/>
        <v>38883.831833800687</v>
      </c>
      <c r="BS102" s="647">
        <f t="shared" si="423"/>
        <v>39750.914660585579</v>
      </c>
      <c r="BT102" s="647">
        <f t="shared" si="423"/>
        <v>40543.623145456557</v>
      </c>
      <c r="BU102" s="647">
        <f t="shared" si="423"/>
        <v>41256.839967554326</v>
      </c>
      <c r="BV102" s="647">
        <f t="shared" si="423"/>
        <v>41964.822792397055</v>
      </c>
      <c r="BW102" s="647">
        <f t="shared" si="423"/>
        <v>42666.866644763853</v>
      </c>
      <c r="BX102" s="647">
        <f t="shared" si="423"/>
        <v>43362.264942257745</v>
      </c>
      <c r="BY102" s="647">
        <f t="shared" si="423"/>
        <v>44050.310959490584</v>
      </c>
      <c r="BZ102" s="647">
        <f t="shared" si="423"/>
        <v>44730.299324600594</v>
      </c>
      <c r="CA102" s="647">
        <f t="shared" si="423"/>
        <v>45345.026220445441</v>
      </c>
      <c r="CB102" s="647">
        <f t="shared" si="423"/>
        <v>45891.573264718005</v>
      </c>
      <c r="CC102" s="647">
        <f t="shared" si="423"/>
        <v>46367.389877811816</v>
      </c>
      <c r="CD102" s="647">
        <f t="shared" si="423"/>
        <v>46770.319152226628</v>
      </c>
      <c r="CE102" s="647">
        <f t="shared" si="423"/>
        <v>47098.620292570806</v>
      </c>
      <c r="CF102" s="647">
        <f t="shared" si="423"/>
        <v>47424.540012474434</v>
      </c>
      <c r="CG102" s="647">
        <f t="shared" si="423"/>
        <v>47748.025487470266</v>
      </c>
      <c r="CH102" s="647">
        <f t="shared" si="423"/>
        <v>48069.025849614954</v>
      </c>
      <c r="CI102" s="647">
        <f t="shared" si="423"/>
        <v>48387.492267304347</v>
      </c>
      <c r="CJ102" s="647">
        <f t="shared" si="423"/>
        <v>48703.378025313854</v>
      </c>
      <c r="CK102" s="647">
        <f t="shared" si="423"/>
        <v>49017.099162552913</v>
      </c>
      <c r="CL102" s="647">
        <f t="shared" si="423"/>
        <v>49328.619682843346</v>
      </c>
      <c r="CM102" s="647">
        <f t="shared" si="423"/>
        <v>49637.905611230475</v>
      </c>
      <c r="CN102" s="647">
        <f t="shared" si="423"/>
        <v>49944.925063941184</v>
      </c>
      <c r="CO102" s="647">
        <f t="shared" si="423"/>
        <v>50249.648318534368</v>
      </c>
      <c r="CP102" s="647">
        <f t="shared" si="423"/>
        <v>50552.450682473747</v>
      </c>
      <c r="CQ102" s="647">
        <f t="shared" si="423"/>
        <v>50853.311552256557</v>
      </c>
      <c r="CR102" s="647">
        <f t="shared" si="423"/>
        <v>51152.212407828774</v>
      </c>
      <c r="CS102" s="647">
        <f t="shared" si="423"/>
        <v>51449.136875302313</v>
      </c>
      <c r="CT102" s="647">
        <f t="shared" si="423"/>
        <v>51744.070789864287</v>
      </c>
      <c r="CU102" s="647"/>
      <c r="CV102" s="647">
        <f t="shared" ref="CV102:DZ102" si="424">SUM(CV78:CV100)</f>
        <v>36949.576245362732</v>
      </c>
      <c r="CW102" s="647">
        <f t="shared" si="424"/>
        <v>38536.716090146117</v>
      </c>
      <c r="CX102" s="647">
        <f t="shared" si="424"/>
        <v>40154.35801378623</v>
      </c>
      <c r="CY102" s="647">
        <f t="shared" si="424"/>
        <v>41725.775903706723</v>
      </c>
      <c r="CZ102" s="647">
        <f t="shared" si="424"/>
        <v>43240.942775561576</v>
      </c>
      <c r="DA102" s="647">
        <f t="shared" si="424"/>
        <v>44690.26947114239</v>
      </c>
      <c r="DB102" s="647">
        <f t="shared" si="424"/>
        <v>46164.396855190957</v>
      </c>
      <c r="DC102" s="647">
        <f t="shared" si="424"/>
        <v>47664.97590617885</v>
      </c>
      <c r="DD102" s="647">
        <f t="shared" si="424"/>
        <v>49195.701366427769</v>
      </c>
      <c r="DE102" s="647">
        <f t="shared" si="424"/>
        <v>50763.712767438396</v>
      </c>
      <c r="DF102" s="647">
        <f t="shared" si="424"/>
        <v>52380.922646738203</v>
      </c>
      <c r="DG102" s="647">
        <f t="shared" si="424"/>
        <v>54320.710685242317</v>
      </c>
      <c r="DH102" s="647">
        <f t="shared" si="424"/>
        <v>56277.605383288741</v>
      </c>
      <c r="DI102" s="647">
        <f t="shared" si="424"/>
        <v>58270.880443682756</v>
      </c>
      <c r="DJ102" s="647">
        <f t="shared" si="424"/>
        <v>60311.417575139334</v>
      </c>
      <c r="DK102" s="647">
        <f t="shared" si="424"/>
        <v>62397.419827867736</v>
      </c>
      <c r="DL102" s="647">
        <f t="shared" si="424"/>
        <v>64614.241526926889</v>
      </c>
      <c r="DM102" s="647">
        <f t="shared" si="424"/>
        <v>66918.333825332942</v>
      </c>
      <c r="DN102" s="647">
        <f t="shared" si="424"/>
        <v>69255.531201693215</v>
      </c>
      <c r="DO102" s="647">
        <f t="shared" si="424"/>
        <v>71575.556542641265</v>
      </c>
      <c r="DP102" s="647">
        <f t="shared" si="424"/>
        <v>73818.24919879956</v>
      </c>
      <c r="DQ102" s="647">
        <f t="shared" si="424"/>
        <v>76463.23877682435</v>
      </c>
      <c r="DR102" s="647">
        <f t="shared" si="424"/>
        <v>79026.898588605414</v>
      </c>
      <c r="DS102" s="647">
        <f t="shared" si="424"/>
        <v>81534.682483866549</v>
      </c>
      <c r="DT102" s="647">
        <f t="shared" si="424"/>
        <v>83997.101748442947</v>
      </c>
      <c r="DU102" s="647">
        <f t="shared" si="424"/>
        <v>86429.983265697942</v>
      </c>
      <c r="DV102" s="647">
        <f t="shared" si="424"/>
        <v>88849.746596068493</v>
      </c>
      <c r="DW102" s="647">
        <f t="shared" si="424"/>
        <v>91272.208781978159</v>
      </c>
      <c r="DX102" s="647">
        <f t="shared" si="424"/>
        <v>93708.883707905145</v>
      </c>
      <c r="DY102" s="647">
        <f t="shared" si="424"/>
        <v>96176.608628890055</v>
      </c>
      <c r="DZ102" s="647">
        <f t="shared" si="424"/>
        <v>98619.953581582697</v>
      </c>
    </row>
    <row r="104" spans="1:143" ht="16" thickBot="1">
      <c r="A104" s="637" t="s">
        <v>116</v>
      </c>
      <c r="B104" s="637"/>
      <c r="C104" s="638"/>
      <c r="D104" s="637"/>
      <c r="E104" s="637"/>
      <c r="F104" s="637"/>
      <c r="G104" s="637"/>
      <c r="H104" s="637"/>
      <c r="I104" s="637"/>
      <c r="J104" s="637"/>
      <c r="K104" s="637"/>
      <c r="L104" s="637"/>
      <c r="M104" s="637"/>
      <c r="N104" s="637"/>
      <c r="O104" s="637"/>
      <c r="P104" s="637"/>
      <c r="Q104" s="637"/>
      <c r="R104" s="637"/>
      <c r="S104" s="637"/>
      <c r="T104" s="637"/>
      <c r="U104" s="637"/>
      <c r="V104" s="637"/>
      <c r="W104" s="637"/>
      <c r="X104" s="637"/>
      <c r="Y104" s="637"/>
      <c r="Z104" s="637"/>
      <c r="AA104" s="637"/>
      <c r="AB104" s="637"/>
      <c r="AC104" s="637"/>
      <c r="AD104" s="637"/>
      <c r="AE104" s="637"/>
      <c r="AF104" s="637"/>
      <c r="AG104" s="637"/>
      <c r="AH104" s="637"/>
      <c r="AI104" s="637"/>
      <c r="AJ104" s="637"/>
      <c r="AK104" s="637"/>
      <c r="AL104" s="637"/>
      <c r="AM104" s="637"/>
      <c r="AN104" s="637"/>
      <c r="AO104" s="637"/>
      <c r="AP104" s="637"/>
      <c r="AQ104" s="637"/>
      <c r="AR104" s="637"/>
      <c r="AS104" s="637"/>
      <c r="AT104" s="637"/>
      <c r="AU104" s="637"/>
      <c r="AV104" s="637"/>
      <c r="AW104" s="637"/>
      <c r="AX104" s="637"/>
      <c r="AY104" s="637"/>
      <c r="AZ104" s="637"/>
      <c r="BA104" s="637"/>
      <c r="BB104" s="637"/>
      <c r="BC104" s="637"/>
      <c r="BD104" s="637"/>
      <c r="BE104" s="637"/>
      <c r="BF104" s="637"/>
      <c r="BG104" s="637"/>
      <c r="BH104" s="637"/>
      <c r="BI104" s="637"/>
      <c r="BJ104" s="637"/>
      <c r="BK104" s="637"/>
      <c r="BL104" s="637"/>
      <c r="BM104" s="637"/>
      <c r="BN104" s="637"/>
      <c r="BO104" s="637"/>
      <c r="BP104" s="637"/>
      <c r="BQ104" s="637"/>
      <c r="BR104" s="637"/>
      <c r="BS104" s="637"/>
      <c r="BT104" s="637"/>
      <c r="BU104" s="637"/>
      <c r="BV104" s="637"/>
      <c r="BW104" s="637"/>
      <c r="BX104" s="637"/>
      <c r="BY104" s="637"/>
      <c r="BZ104" s="637"/>
      <c r="CA104" s="637"/>
      <c r="CB104" s="637"/>
      <c r="CC104" s="637"/>
      <c r="CD104" s="637"/>
      <c r="CE104" s="637"/>
      <c r="CF104" s="637"/>
      <c r="CG104" s="637"/>
      <c r="CH104" s="637"/>
      <c r="CI104" s="637"/>
      <c r="CJ104" s="637"/>
      <c r="CK104" s="637"/>
      <c r="CL104" s="637"/>
      <c r="CM104" s="637"/>
      <c r="CN104" s="637"/>
      <c r="CO104" s="637"/>
      <c r="CP104" s="637"/>
      <c r="CQ104" s="637"/>
      <c r="CR104" s="637"/>
      <c r="CS104" s="637"/>
      <c r="CT104" s="637"/>
      <c r="CU104" s="637"/>
      <c r="CV104" s="637"/>
      <c r="CW104" s="637"/>
      <c r="CX104" s="637"/>
      <c r="CY104" s="637"/>
      <c r="CZ104" s="637"/>
      <c r="DA104" s="637"/>
      <c r="DB104" s="637"/>
      <c r="DC104" s="637"/>
      <c r="DD104" s="637"/>
      <c r="DE104" s="637"/>
      <c r="DF104" s="637"/>
      <c r="DG104" s="637"/>
      <c r="DH104" s="637"/>
      <c r="DI104" s="637"/>
      <c r="DJ104" s="637"/>
      <c r="DK104" s="637"/>
      <c r="DL104" s="637"/>
      <c r="DM104" s="637"/>
      <c r="DN104" s="637"/>
      <c r="DO104" s="637"/>
      <c r="DP104" s="637"/>
      <c r="DQ104" s="637"/>
      <c r="DR104" s="637"/>
      <c r="DS104" s="637"/>
      <c r="DT104" s="637"/>
      <c r="DU104" s="637"/>
      <c r="DV104" s="637"/>
      <c r="DW104" s="637"/>
      <c r="DX104" s="637"/>
      <c r="DY104" s="637"/>
      <c r="DZ104" s="637"/>
      <c r="EF104" s="181">
        <v>2020</v>
      </c>
      <c r="EG104">
        <v>2050</v>
      </c>
      <c r="EK104" t="s">
        <v>113</v>
      </c>
      <c r="EM104" t="s">
        <v>96</v>
      </c>
    </row>
    <row r="105" spans="1:143">
      <c r="B105" t="str">
        <f t="shared" ref="B105:B122" si="425">B78</f>
        <v>Fuel additive elimination</v>
      </c>
      <c r="C105" s="54" t="s">
        <v>114</v>
      </c>
      <c r="D105" s="648">
        <f t="shared" ref="D105:AH105" si="426">D7*$EF105</f>
        <v>0</v>
      </c>
      <c r="E105" s="648">
        <f t="shared" si="426"/>
        <v>0</v>
      </c>
      <c r="F105" s="648">
        <f t="shared" si="426"/>
        <v>0</v>
      </c>
      <c r="G105" s="648">
        <f t="shared" si="426"/>
        <v>0</v>
      </c>
      <c r="H105" s="648">
        <f t="shared" si="426"/>
        <v>0</v>
      </c>
      <c r="I105" s="648">
        <f t="shared" si="426"/>
        <v>0</v>
      </c>
      <c r="J105" s="648">
        <f t="shared" si="426"/>
        <v>0</v>
      </c>
      <c r="K105" s="648">
        <f t="shared" si="426"/>
        <v>0</v>
      </c>
      <c r="L105" s="648">
        <f t="shared" si="426"/>
        <v>0</v>
      </c>
      <c r="M105" s="648">
        <f t="shared" si="426"/>
        <v>0</v>
      </c>
      <c r="N105" s="648">
        <f t="shared" si="426"/>
        <v>0</v>
      </c>
      <c r="O105" s="648">
        <f t="shared" si="426"/>
        <v>0</v>
      </c>
      <c r="P105" s="648">
        <f t="shared" si="426"/>
        <v>0</v>
      </c>
      <c r="Q105" s="648">
        <f t="shared" si="426"/>
        <v>0</v>
      </c>
      <c r="R105" s="648">
        <f t="shared" si="426"/>
        <v>0</v>
      </c>
      <c r="S105" s="648">
        <f t="shared" si="426"/>
        <v>0</v>
      </c>
      <c r="T105" s="648">
        <f t="shared" si="426"/>
        <v>0</v>
      </c>
      <c r="U105" s="648">
        <f t="shared" si="426"/>
        <v>0</v>
      </c>
      <c r="V105" s="648">
        <f t="shared" si="426"/>
        <v>0</v>
      </c>
      <c r="W105" s="648">
        <f t="shared" si="426"/>
        <v>0</v>
      </c>
      <c r="X105" s="648">
        <f t="shared" si="426"/>
        <v>0</v>
      </c>
      <c r="Y105" s="648">
        <f t="shared" si="426"/>
        <v>0</v>
      </c>
      <c r="Z105" s="648">
        <f t="shared" si="426"/>
        <v>0</v>
      </c>
      <c r="AA105" s="648">
        <f t="shared" si="426"/>
        <v>0</v>
      </c>
      <c r="AB105" s="648">
        <f t="shared" si="426"/>
        <v>0</v>
      </c>
      <c r="AC105" s="648">
        <f t="shared" si="426"/>
        <v>0</v>
      </c>
      <c r="AD105" s="648">
        <f t="shared" si="426"/>
        <v>0</v>
      </c>
      <c r="AE105" s="648">
        <f t="shared" si="426"/>
        <v>0</v>
      </c>
      <c r="AF105" s="648">
        <f t="shared" si="426"/>
        <v>0</v>
      </c>
      <c r="AG105" s="648">
        <f t="shared" si="426"/>
        <v>0</v>
      </c>
      <c r="AH105" s="648">
        <f t="shared" si="426"/>
        <v>0</v>
      </c>
      <c r="AI105" s="648"/>
      <c r="AJ105" s="648">
        <f t="shared" ref="AJ105:BN105" si="427">AJ7*$EF105</f>
        <v>0</v>
      </c>
      <c r="AK105" s="648">
        <f t="shared" si="427"/>
        <v>0</v>
      </c>
      <c r="AL105" s="648">
        <f t="shared" si="427"/>
        <v>0</v>
      </c>
      <c r="AM105" s="648">
        <f t="shared" si="427"/>
        <v>0</v>
      </c>
      <c r="AN105" s="648">
        <f t="shared" si="427"/>
        <v>0</v>
      </c>
      <c r="AO105" s="648">
        <f t="shared" si="427"/>
        <v>0</v>
      </c>
      <c r="AP105" s="648">
        <f t="shared" si="427"/>
        <v>0</v>
      </c>
      <c r="AQ105" s="648">
        <f t="shared" si="427"/>
        <v>0</v>
      </c>
      <c r="AR105" s="648">
        <f t="shared" si="427"/>
        <v>0</v>
      </c>
      <c r="AS105" s="648">
        <f t="shared" si="427"/>
        <v>0</v>
      </c>
      <c r="AT105" s="648">
        <f t="shared" si="427"/>
        <v>0</v>
      </c>
      <c r="AU105" s="648">
        <f t="shared" si="427"/>
        <v>0</v>
      </c>
      <c r="AV105" s="648">
        <f t="shared" si="427"/>
        <v>0</v>
      </c>
      <c r="AW105" s="648">
        <f t="shared" si="427"/>
        <v>0</v>
      </c>
      <c r="AX105" s="648">
        <f t="shared" si="427"/>
        <v>0</v>
      </c>
      <c r="AY105" s="648">
        <f t="shared" si="427"/>
        <v>0</v>
      </c>
      <c r="AZ105" s="648">
        <f t="shared" si="427"/>
        <v>0</v>
      </c>
      <c r="BA105" s="648">
        <f t="shared" si="427"/>
        <v>0</v>
      </c>
      <c r="BB105" s="648">
        <f t="shared" si="427"/>
        <v>0</v>
      </c>
      <c r="BC105" s="648">
        <f t="shared" si="427"/>
        <v>0</v>
      </c>
      <c r="BD105" s="648">
        <f t="shared" si="427"/>
        <v>0</v>
      </c>
      <c r="BE105" s="648">
        <f t="shared" si="427"/>
        <v>0</v>
      </c>
      <c r="BF105" s="648">
        <f t="shared" si="427"/>
        <v>0</v>
      </c>
      <c r="BG105" s="648">
        <f t="shared" si="427"/>
        <v>0</v>
      </c>
      <c r="BH105" s="648">
        <f t="shared" si="427"/>
        <v>0</v>
      </c>
      <c r="BI105" s="648">
        <f t="shared" si="427"/>
        <v>0</v>
      </c>
      <c r="BJ105" s="648">
        <f t="shared" si="427"/>
        <v>0</v>
      </c>
      <c r="BK105" s="648">
        <f t="shared" si="427"/>
        <v>0</v>
      </c>
      <c r="BL105" s="648">
        <f t="shared" si="427"/>
        <v>0</v>
      </c>
      <c r="BM105" s="648">
        <f t="shared" si="427"/>
        <v>0</v>
      </c>
      <c r="BN105" s="648">
        <f t="shared" si="427"/>
        <v>0</v>
      </c>
      <c r="BO105" s="648"/>
      <c r="BP105" s="648">
        <f t="shared" ref="BP105:CT105" si="428">BP7*$EF105</f>
        <v>0</v>
      </c>
      <c r="BQ105" s="648">
        <f t="shared" si="428"/>
        <v>0</v>
      </c>
      <c r="BR105" s="648">
        <f t="shared" si="428"/>
        <v>0</v>
      </c>
      <c r="BS105" s="648">
        <f t="shared" si="428"/>
        <v>0</v>
      </c>
      <c r="BT105" s="648">
        <f t="shared" si="428"/>
        <v>0</v>
      </c>
      <c r="BU105" s="648">
        <f t="shared" si="428"/>
        <v>0</v>
      </c>
      <c r="BV105" s="648">
        <f t="shared" si="428"/>
        <v>0</v>
      </c>
      <c r="BW105" s="648">
        <f t="shared" si="428"/>
        <v>0</v>
      </c>
      <c r="BX105" s="648">
        <f t="shared" si="428"/>
        <v>0</v>
      </c>
      <c r="BY105" s="648">
        <f t="shared" si="428"/>
        <v>0</v>
      </c>
      <c r="BZ105" s="648">
        <f t="shared" si="428"/>
        <v>0</v>
      </c>
      <c r="CA105" s="648">
        <f t="shared" si="428"/>
        <v>0</v>
      </c>
      <c r="CB105" s="648">
        <f t="shared" si="428"/>
        <v>0</v>
      </c>
      <c r="CC105" s="648">
        <f t="shared" si="428"/>
        <v>0</v>
      </c>
      <c r="CD105" s="648">
        <f t="shared" si="428"/>
        <v>0</v>
      </c>
      <c r="CE105" s="648">
        <f t="shared" si="428"/>
        <v>0</v>
      </c>
      <c r="CF105" s="648">
        <f t="shared" si="428"/>
        <v>0</v>
      </c>
      <c r="CG105" s="648">
        <f t="shared" si="428"/>
        <v>0</v>
      </c>
      <c r="CH105" s="648">
        <f t="shared" si="428"/>
        <v>0</v>
      </c>
      <c r="CI105" s="648">
        <f t="shared" si="428"/>
        <v>0</v>
      </c>
      <c r="CJ105" s="648">
        <f t="shared" si="428"/>
        <v>0</v>
      </c>
      <c r="CK105" s="648">
        <f t="shared" si="428"/>
        <v>0</v>
      </c>
      <c r="CL105" s="648">
        <f t="shared" si="428"/>
        <v>0</v>
      </c>
      <c r="CM105" s="648">
        <f t="shared" si="428"/>
        <v>0</v>
      </c>
      <c r="CN105" s="648">
        <f t="shared" si="428"/>
        <v>0</v>
      </c>
      <c r="CO105" s="648">
        <f t="shared" si="428"/>
        <v>0</v>
      </c>
      <c r="CP105" s="648">
        <f t="shared" si="428"/>
        <v>0</v>
      </c>
      <c r="CQ105" s="648">
        <f t="shared" si="428"/>
        <v>0</v>
      </c>
      <c r="CR105" s="648">
        <f t="shared" si="428"/>
        <v>0</v>
      </c>
      <c r="CS105" s="648">
        <f t="shared" si="428"/>
        <v>0</v>
      </c>
      <c r="CT105" s="648">
        <f t="shared" si="428"/>
        <v>0</v>
      </c>
      <c r="CU105" s="648"/>
      <c r="CV105" s="648">
        <f t="shared" ref="CV105:DZ105" si="429">CV7*$EF105</f>
        <v>0</v>
      </c>
      <c r="CW105" s="648">
        <f t="shared" si="429"/>
        <v>0</v>
      </c>
      <c r="CX105" s="648">
        <f t="shared" si="429"/>
        <v>0</v>
      </c>
      <c r="CY105" s="648">
        <f t="shared" si="429"/>
        <v>0</v>
      </c>
      <c r="CZ105" s="648">
        <f t="shared" si="429"/>
        <v>0</v>
      </c>
      <c r="DA105" s="648">
        <f t="shared" si="429"/>
        <v>0</v>
      </c>
      <c r="DB105" s="648">
        <f t="shared" si="429"/>
        <v>0</v>
      </c>
      <c r="DC105" s="648">
        <f t="shared" si="429"/>
        <v>0</v>
      </c>
      <c r="DD105" s="648">
        <f t="shared" si="429"/>
        <v>0</v>
      </c>
      <c r="DE105" s="648">
        <f t="shared" si="429"/>
        <v>0</v>
      </c>
      <c r="DF105" s="648">
        <f t="shared" si="429"/>
        <v>0</v>
      </c>
      <c r="DG105" s="648">
        <f t="shared" si="429"/>
        <v>0</v>
      </c>
      <c r="DH105" s="648">
        <f t="shared" si="429"/>
        <v>0</v>
      </c>
      <c r="DI105" s="648">
        <f t="shared" si="429"/>
        <v>0</v>
      </c>
      <c r="DJ105" s="648">
        <f t="shared" si="429"/>
        <v>0</v>
      </c>
      <c r="DK105" s="648">
        <f t="shared" si="429"/>
        <v>0</v>
      </c>
      <c r="DL105" s="648">
        <f t="shared" si="429"/>
        <v>0</v>
      </c>
      <c r="DM105" s="648">
        <f t="shared" si="429"/>
        <v>0</v>
      </c>
      <c r="DN105" s="648">
        <f t="shared" si="429"/>
        <v>0</v>
      </c>
      <c r="DO105" s="648">
        <f t="shared" si="429"/>
        <v>0</v>
      </c>
      <c r="DP105" s="648">
        <f t="shared" si="429"/>
        <v>0</v>
      </c>
      <c r="DQ105" s="648">
        <f t="shared" si="429"/>
        <v>0</v>
      </c>
      <c r="DR105" s="648">
        <f t="shared" si="429"/>
        <v>0</v>
      </c>
      <c r="DS105" s="648">
        <f t="shared" si="429"/>
        <v>0</v>
      </c>
      <c r="DT105" s="648">
        <f t="shared" si="429"/>
        <v>0</v>
      </c>
      <c r="DU105" s="648">
        <f t="shared" si="429"/>
        <v>0</v>
      </c>
      <c r="DV105" s="648">
        <f t="shared" si="429"/>
        <v>0</v>
      </c>
      <c r="DW105" s="648">
        <f t="shared" si="429"/>
        <v>0</v>
      </c>
      <c r="DX105" s="648">
        <f t="shared" si="429"/>
        <v>0</v>
      </c>
      <c r="DY105" s="648">
        <f t="shared" si="429"/>
        <v>0</v>
      </c>
      <c r="DZ105" s="648">
        <f t="shared" si="429"/>
        <v>0</v>
      </c>
      <c r="EF105" s="51">
        <v>0</v>
      </c>
      <c r="EG105" s="51"/>
      <c r="EH105" s="51"/>
      <c r="EI105" s="51"/>
      <c r="EJ105" s="51"/>
      <c r="EM105" t="s">
        <v>98</v>
      </c>
    </row>
    <row r="106" spans="1:143">
      <c r="A106" s="1"/>
      <c r="B106" t="str">
        <f t="shared" si="425"/>
        <v>Packaging reduction</v>
      </c>
      <c r="C106" s="54" t="s">
        <v>114</v>
      </c>
      <c r="D106" s="648">
        <f t="shared" ref="D106:AH106" si="430">D8*$EF106</f>
        <v>0</v>
      </c>
      <c r="E106" s="648">
        <f t="shared" si="430"/>
        <v>0</v>
      </c>
      <c r="F106" s="648">
        <f t="shared" si="430"/>
        <v>0</v>
      </c>
      <c r="G106" s="648">
        <f t="shared" si="430"/>
        <v>0</v>
      </c>
      <c r="H106" s="648">
        <f t="shared" si="430"/>
        <v>0</v>
      </c>
      <c r="I106" s="648">
        <f t="shared" si="430"/>
        <v>0</v>
      </c>
      <c r="J106" s="648">
        <f t="shared" si="430"/>
        <v>0</v>
      </c>
      <c r="K106" s="648">
        <f t="shared" si="430"/>
        <v>0</v>
      </c>
      <c r="L106" s="648">
        <f t="shared" si="430"/>
        <v>0</v>
      </c>
      <c r="M106" s="648">
        <f t="shared" si="430"/>
        <v>0</v>
      </c>
      <c r="N106" s="648">
        <f t="shared" si="430"/>
        <v>0</v>
      </c>
      <c r="O106" s="648">
        <f t="shared" si="430"/>
        <v>0</v>
      </c>
      <c r="P106" s="648">
        <f t="shared" si="430"/>
        <v>0</v>
      </c>
      <c r="Q106" s="648">
        <f t="shared" si="430"/>
        <v>0</v>
      </c>
      <c r="R106" s="648">
        <f t="shared" si="430"/>
        <v>0</v>
      </c>
      <c r="S106" s="648">
        <f t="shared" si="430"/>
        <v>0</v>
      </c>
      <c r="T106" s="648">
        <f t="shared" si="430"/>
        <v>0</v>
      </c>
      <c r="U106" s="648">
        <f t="shared" si="430"/>
        <v>0</v>
      </c>
      <c r="V106" s="648">
        <f t="shared" si="430"/>
        <v>0</v>
      </c>
      <c r="W106" s="648">
        <f t="shared" si="430"/>
        <v>0</v>
      </c>
      <c r="X106" s="648">
        <f t="shared" si="430"/>
        <v>0</v>
      </c>
      <c r="Y106" s="648">
        <f t="shared" si="430"/>
        <v>0</v>
      </c>
      <c r="Z106" s="648">
        <f t="shared" si="430"/>
        <v>0</v>
      </c>
      <c r="AA106" s="648">
        <f t="shared" si="430"/>
        <v>0</v>
      </c>
      <c r="AB106" s="648">
        <f t="shared" si="430"/>
        <v>0</v>
      </c>
      <c r="AC106" s="648">
        <f t="shared" si="430"/>
        <v>0</v>
      </c>
      <c r="AD106" s="648">
        <f t="shared" si="430"/>
        <v>0</v>
      </c>
      <c r="AE106" s="648">
        <f t="shared" si="430"/>
        <v>0</v>
      </c>
      <c r="AF106" s="648">
        <f t="shared" si="430"/>
        <v>0</v>
      </c>
      <c r="AG106" s="648">
        <f t="shared" si="430"/>
        <v>0</v>
      </c>
      <c r="AH106" s="648">
        <f t="shared" si="430"/>
        <v>0</v>
      </c>
      <c r="AI106" s="648"/>
      <c r="AJ106" s="648">
        <f t="shared" ref="AJ106:BN106" si="431">AJ8*$EF106</f>
        <v>0</v>
      </c>
      <c r="AK106" s="648">
        <f t="shared" si="431"/>
        <v>0</v>
      </c>
      <c r="AL106" s="648">
        <f t="shared" si="431"/>
        <v>0</v>
      </c>
      <c r="AM106" s="648">
        <f t="shared" si="431"/>
        <v>0</v>
      </c>
      <c r="AN106" s="648">
        <f t="shared" si="431"/>
        <v>0</v>
      </c>
      <c r="AO106" s="648">
        <f t="shared" si="431"/>
        <v>0</v>
      </c>
      <c r="AP106" s="648">
        <f t="shared" si="431"/>
        <v>0</v>
      </c>
      <c r="AQ106" s="648">
        <f t="shared" si="431"/>
        <v>0</v>
      </c>
      <c r="AR106" s="648">
        <f t="shared" si="431"/>
        <v>0</v>
      </c>
      <c r="AS106" s="648">
        <f t="shared" si="431"/>
        <v>0</v>
      </c>
      <c r="AT106" s="648">
        <f t="shared" si="431"/>
        <v>0</v>
      </c>
      <c r="AU106" s="648">
        <f t="shared" si="431"/>
        <v>0</v>
      </c>
      <c r="AV106" s="648">
        <f t="shared" si="431"/>
        <v>0</v>
      </c>
      <c r="AW106" s="648">
        <f t="shared" si="431"/>
        <v>0</v>
      </c>
      <c r="AX106" s="648">
        <f t="shared" si="431"/>
        <v>0</v>
      </c>
      <c r="AY106" s="648">
        <f t="shared" si="431"/>
        <v>0</v>
      </c>
      <c r="AZ106" s="648">
        <f t="shared" si="431"/>
        <v>0</v>
      </c>
      <c r="BA106" s="648">
        <f t="shared" si="431"/>
        <v>0</v>
      </c>
      <c r="BB106" s="648">
        <f t="shared" si="431"/>
        <v>0</v>
      </c>
      <c r="BC106" s="648">
        <f t="shared" si="431"/>
        <v>0</v>
      </c>
      <c r="BD106" s="648">
        <f t="shared" si="431"/>
        <v>0</v>
      </c>
      <c r="BE106" s="648">
        <f t="shared" si="431"/>
        <v>0</v>
      </c>
      <c r="BF106" s="648">
        <f t="shared" si="431"/>
        <v>0</v>
      </c>
      <c r="BG106" s="648">
        <f t="shared" si="431"/>
        <v>0</v>
      </c>
      <c r="BH106" s="648">
        <f t="shared" si="431"/>
        <v>0</v>
      </c>
      <c r="BI106" s="648">
        <f t="shared" si="431"/>
        <v>0</v>
      </c>
      <c r="BJ106" s="648">
        <f t="shared" si="431"/>
        <v>0</v>
      </c>
      <c r="BK106" s="648">
        <f t="shared" si="431"/>
        <v>0</v>
      </c>
      <c r="BL106" s="648">
        <f t="shared" si="431"/>
        <v>0</v>
      </c>
      <c r="BM106" s="648">
        <f t="shared" si="431"/>
        <v>0</v>
      </c>
      <c r="BN106" s="648">
        <f t="shared" si="431"/>
        <v>0</v>
      </c>
      <c r="BO106" s="648"/>
      <c r="BP106" s="648">
        <f t="shared" ref="BP106:CT106" si="432">BP8*$EF106</f>
        <v>0</v>
      </c>
      <c r="BQ106" s="648">
        <f t="shared" si="432"/>
        <v>0</v>
      </c>
      <c r="BR106" s="648">
        <f t="shared" si="432"/>
        <v>0</v>
      </c>
      <c r="BS106" s="648">
        <f t="shared" si="432"/>
        <v>0</v>
      </c>
      <c r="BT106" s="648">
        <f t="shared" si="432"/>
        <v>0</v>
      </c>
      <c r="BU106" s="648">
        <f t="shared" si="432"/>
        <v>0</v>
      </c>
      <c r="BV106" s="648">
        <f t="shared" si="432"/>
        <v>0</v>
      </c>
      <c r="BW106" s="648">
        <f t="shared" si="432"/>
        <v>0</v>
      </c>
      <c r="BX106" s="648">
        <f t="shared" si="432"/>
        <v>0</v>
      </c>
      <c r="BY106" s="648">
        <f t="shared" si="432"/>
        <v>0</v>
      </c>
      <c r="BZ106" s="648">
        <f t="shared" si="432"/>
        <v>0</v>
      </c>
      <c r="CA106" s="648">
        <f t="shared" si="432"/>
        <v>0</v>
      </c>
      <c r="CB106" s="648">
        <f t="shared" si="432"/>
        <v>0</v>
      </c>
      <c r="CC106" s="648">
        <f t="shared" si="432"/>
        <v>0</v>
      </c>
      <c r="CD106" s="648">
        <f t="shared" si="432"/>
        <v>0</v>
      </c>
      <c r="CE106" s="648">
        <f t="shared" si="432"/>
        <v>0</v>
      </c>
      <c r="CF106" s="648">
        <f t="shared" si="432"/>
        <v>0</v>
      </c>
      <c r="CG106" s="648">
        <f t="shared" si="432"/>
        <v>0</v>
      </c>
      <c r="CH106" s="648">
        <f t="shared" si="432"/>
        <v>0</v>
      </c>
      <c r="CI106" s="648">
        <f t="shared" si="432"/>
        <v>0</v>
      </c>
      <c r="CJ106" s="648">
        <f t="shared" si="432"/>
        <v>0</v>
      </c>
      <c r="CK106" s="648">
        <f t="shared" si="432"/>
        <v>0</v>
      </c>
      <c r="CL106" s="648">
        <f t="shared" si="432"/>
        <v>0</v>
      </c>
      <c r="CM106" s="648">
        <f t="shared" si="432"/>
        <v>0</v>
      </c>
      <c r="CN106" s="648">
        <f t="shared" si="432"/>
        <v>0</v>
      </c>
      <c r="CO106" s="648">
        <f t="shared" si="432"/>
        <v>0</v>
      </c>
      <c r="CP106" s="648">
        <f t="shared" si="432"/>
        <v>0</v>
      </c>
      <c r="CQ106" s="648">
        <f t="shared" si="432"/>
        <v>0</v>
      </c>
      <c r="CR106" s="648">
        <f t="shared" si="432"/>
        <v>0</v>
      </c>
      <c r="CS106" s="648">
        <f t="shared" si="432"/>
        <v>0</v>
      </c>
      <c r="CT106" s="648">
        <f t="shared" si="432"/>
        <v>0</v>
      </c>
      <c r="CU106" s="648"/>
      <c r="CV106" s="648">
        <f t="shared" ref="CV106:DZ106" si="433">CV8*$EF106</f>
        <v>0</v>
      </c>
      <c r="CW106" s="648">
        <f t="shared" si="433"/>
        <v>0</v>
      </c>
      <c r="CX106" s="648">
        <f t="shared" si="433"/>
        <v>0</v>
      </c>
      <c r="CY106" s="648">
        <f t="shared" si="433"/>
        <v>0</v>
      </c>
      <c r="CZ106" s="648">
        <f t="shared" si="433"/>
        <v>0</v>
      </c>
      <c r="DA106" s="648">
        <f t="shared" si="433"/>
        <v>0</v>
      </c>
      <c r="DB106" s="648">
        <f t="shared" si="433"/>
        <v>0</v>
      </c>
      <c r="DC106" s="648">
        <f t="shared" si="433"/>
        <v>0</v>
      </c>
      <c r="DD106" s="648">
        <f t="shared" si="433"/>
        <v>0</v>
      </c>
      <c r="DE106" s="648">
        <f t="shared" si="433"/>
        <v>0</v>
      </c>
      <c r="DF106" s="648">
        <f t="shared" si="433"/>
        <v>0</v>
      </c>
      <c r="DG106" s="648">
        <f t="shared" si="433"/>
        <v>0</v>
      </c>
      <c r="DH106" s="648">
        <f t="shared" si="433"/>
        <v>0</v>
      </c>
      <c r="DI106" s="648">
        <f t="shared" si="433"/>
        <v>0</v>
      </c>
      <c r="DJ106" s="648">
        <f t="shared" si="433"/>
        <v>0</v>
      </c>
      <c r="DK106" s="648">
        <f t="shared" si="433"/>
        <v>0</v>
      </c>
      <c r="DL106" s="648">
        <f t="shared" si="433"/>
        <v>0</v>
      </c>
      <c r="DM106" s="648">
        <f t="shared" si="433"/>
        <v>0</v>
      </c>
      <c r="DN106" s="648">
        <f t="shared" si="433"/>
        <v>0</v>
      </c>
      <c r="DO106" s="648">
        <f t="shared" si="433"/>
        <v>0</v>
      </c>
      <c r="DP106" s="648">
        <f t="shared" si="433"/>
        <v>0</v>
      </c>
      <c r="DQ106" s="648">
        <f t="shared" si="433"/>
        <v>0</v>
      </c>
      <c r="DR106" s="648">
        <f t="shared" si="433"/>
        <v>0</v>
      </c>
      <c r="DS106" s="648">
        <f t="shared" si="433"/>
        <v>0</v>
      </c>
      <c r="DT106" s="648">
        <f t="shared" si="433"/>
        <v>0</v>
      </c>
      <c r="DU106" s="648">
        <f t="shared" si="433"/>
        <v>0</v>
      </c>
      <c r="DV106" s="648">
        <f t="shared" si="433"/>
        <v>0</v>
      </c>
      <c r="DW106" s="648">
        <f t="shared" si="433"/>
        <v>0</v>
      </c>
      <c r="DX106" s="648">
        <f t="shared" si="433"/>
        <v>0</v>
      </c>
      <c r="DY106" s="648">
        <f t="shared" si="433"/>
        <v>0</v>
      </c>
      <c r="DZ106" s="648">
        <f t="shared" si="433"/>
        <v>0</v>
      </c>
      <c r="EF106" s="51">
        <v>0</v>
      </c>
      <c r="EG106" s="51"/>
      <c r="EH106" s="51"/>
      <c r="EI106" s="51"/>
      <c r="EJ106" s="51"/>
      <c r="EM106" t="s">
        <v>99</v>
      </c>
    </row>
    <row r="107" spans="1:143">
      <c r="A107" s="1"/>
      <c r="B107" t="str">
        <f t="shared" si="425"/>
        <v>Packaging reuse</v>
      </c>
      <c r="C107" s="54" t="s">
        <v>114</v>
      </c>
      <c r="D107" s="648">
        <f t="shared" ref="D107:AH107" si="434">D9*$EF107</f>
        <v>0</v>
      </c>
      <c r="E107" s="648">
        <f t="shared" si="434"/>
        <v>0</v>
      </c>
      <c r="F107" s="648">
        <f t="shared" si="434"/>
        <v>0</v>
      </c>
      <c r="G107" s="648">
        <f t="shared" si="434"/>
        <v>0</v>
      </c>
      <c r="H107" s="648">
        <f t="shared" si="434"/>
        <v>0</v>
      </c>
      <c r="I107" s="648">
        <f t="shared" si="434"/>
        <v>0</v>
      </c>
      <c r="J107" s="648">
        <f t="shared" si="434"/>
        <v>0</v>
      </c>
      <c r="K107" s="648">
        <f t="shared" si="434"/>
        <v>0</v>
      </c>
      <c r="L107" s="648">
        <f t="shared" si="434"/>
        <v>0</v>
      </c>
      <c r="M107" s="648">
        <f t="shared" si="434"/>
        <v>0</v>
      </c>
      <c r="N107" s="648">
        <f t="shared" si="434"/>
        <v>0</v>
      </c>
      <c r="O107" s="648">
        <f t="shared" si="434"/>
        <v>0</v>
      </c>
      <c r="P107" s="648">
        <f t="shared" si="434"/>
        <v>0</v>
      </c>
      <c r="Q107" s="648">
        <f t="shared" si="434"/>
        <v>0</v>
      </c>
      <c r="R107" s="648">
        <f t="shared" si="434"/>
        <v>0</v>
      </c>
      <c r="S107" s="648">
        <f t="shared" si="434"/>
        <v>0</v>
      </c>
      <c r="T107" s="648">
        <f t="shared" si="434"/>
        <v>0</v>
      </c>
      <c r="U107" s="648">
        <f t="shared" si="434"/>
        <v>0</v>
      </c>
      <c r="V107" s="648">
        <f t="shared" si="434"/>
        <v>0</v>
      </c>
      <c r="W107" s="648">
        <f t="shared" si="434"/>
        <v>0</v>
      </c>
      <c r="X107" s="648">
        <f t="shared" si="434"/>
        <v>0</v>
      </c>
      <c r="Y107" s="648">
        <f t="shared" si="434"/>
        <v>0</v>
      </c>
      <c r="Z107" s="648">
        <f t="shared" si="434"/>
        <v>0</v>
      </c>
      <c r="AA107" s="648">
        <f t="shared" si="434"/>
        <v>0</v>
      </c>
      <c r="AB107" s="648">
        <f t="shared" si="434"/>
        <v>0</v>
      </c>
      <c r="AC107" s="648">
        <f t="shared" si="434"/>
        <v>0</v>
      </c>
      <c r="AD107" s="648">
        <f t="shared" si="434"/>
        <v>0</v>
      </c>
      <c r="AE107" s="648">
        <f t="shared" si="434"/>
        <v>0</v>
      </c>
      <c r="AF107" s="648">
        <f t="shared" si="434"/>
        <v>0</v>
      </c>
      <c r="AG107" s="648">
        <f t="shared" si="434"/>
        <v>0</v>
      </c>
      <c r="AH107" s="648">
        <f t="shared" si="434"/>
        <v>0</v>
      </c>
      <c r="AI107" s="648"/>
      <c r="AJ107" s="648">
        <f t="shared" ref="AJ107:BN107" si="435">AJ9*$EF107</f>
        <v>0</v>
      </c>
      <c r="AK107" s="648">
        <f t="shared" si="435"/>
        <v>0</v>
      </c>
      <c r="AL107" s="648">
        <f t="shared" si="435"/>
        <v>0</v>
      </c>
      <c r="AM107" s="648">
        <f t="shared" si="435"/>
        <v>0</v>
      </c>
      <c r="AN107" s="648">
        <f t="shared" si="435"/>
        <v>0</v>
      </c>
      <c r="AO107" s="648">
        <f t="shared" si="435"/>
        <v>0</v>
      </c>
      <c r="AP107" s="648">
        <f t="shared" si="435"/>
        <v>0</v>
      </c>
      <c r="AQ107" s="648">
        <f t="shared" si="435"/>
        <v>0</v>
      </c>
      <c r="AR107" s="648">
        <f t="shared" si="435"/>
        <v>0</v>
      </c>
      <c r="AS107" s="648">
        <f t="shared" si="435"/>
        <v>0</v>
      </c>
      <c r="AT107" s="648">
        <f t="shared" si="435"/>
        <v>0</v>
      </c>
      <c r="AU107" s="648">
        <f t="shared" si="435"/>
        <v>0</v>
      </c>
      <c r="AV107" s="648">
        <f t="shared" si="435"/>
        <v>0</v>
      </c>
      <c r="AW107" s="648">
        <f t="shared" si="435"/>
        <v>0</v>
      </c>
      <c r="AX107" s="648">
        <f t="shared" si="435"/>
        <v>0</v>
      </c>
      <c r="AY107" s="648">
        <f t="shared" si="435"/>
        <v>0</v>
      </c>
      <c r="AZ107" s="648">
        <f t="shared" si="435"/>
        <v>0</v>
      </c>
      <c r="BA107" s="648">
        <f t="shared" si="435"/>
        <v>0</v>
      </c>
      <c r="BB107" s="648">
        <f t="shared" si="435"/>
        <v>0</v>
      </c>
      <c r="BC107" s="648">
        <f t="shared" si="435"/>
        <v>0</v>
      </c>
      <c r="BD107" s="648">
        <f t="shared" si="435"/>
        <v>0</v>
      </c>
      <c r="BE107" s="648">
        <f t="shared" si="435"/>
        <v>0</v>
      </c>
      <c r="BF107" s="648">
        <f t="shared" si="435"/>
        <v>0</v>
      </c>
      <c r="BG107" s="648">
        <f t="shared" si="435"/>
        <v>0</v>
      </c>
      <c r="BH107" s="648">
        <f t="shared" si="435"/>
        <v>0</v>
      </c>
      <c r="BI107" s="648">
        <f t="shared" si="435"/>
        <v>0</v>
      </c>
      <c r="BJ107" s="648">
        <f t="shared" si="435"/>
        <v>0</v>
      </c>
      <c r="BK107" s="648">
        <f t="shared" si="435"/>
        <v>0</v>
      </c>
      <c r="BL107" s="648">
        <f t="shared" si="435"/>
        <v>0</v>
      </c>
      <c r="BM107" s="648">
        <f t="shared" si="435"/>
        <v>0</v>
      </c>
      <c r="BN107" s="648">
        <f t="shared" si="435"/>
        <v>0</v>
      </c>
      <c r="BO107" s="648"/>
      <c r="BP107" s="648">
        <f t="shared" ref="BP107:CT107" si="436">BP9*$EF107</f>
        <v>0</v>
      </c>
      <c r="BQ107" s="648">
        <f t="shared" si="436"/>
        <v>0</v>
      </c>
      <c r="BR107" s="648">
        <f t="shared" si="436"/>
        <v>0</v>
      </c>
      <c r="BS107" s="648">
        <f t="shared" si="436"/>
        <v>0</v>
      </c>
      <c r="BT107" s="648">
        <f t="shared" si="436"/>
        <v>0</v>
      </c>
      <c r="BU107" s="648">
        <f t="shared" si="436"/>
        <v>0</v>
      </c>
      <c r="BV107" s="648">
        <f t="shared" si="436"/>
        <v>0</v>
      </c>
      <c r="BW107" s="648">
        <f t="shared" si="436"/>
        <v>0</v>
      </c>
      <c r="BX107" s="648">
        <f t="shared" si="436"/>
        <v>0</v>
      </c>
      <c r="BY107" s="648">
        <f t="shared" si="436"/>
        <v>0</v>
      </c>
      <c r="BZ107" s="648">
        <f t="shared" si="436"/>
        <v>0</v>
      </c>
      <c r="CA107" s="648">
        <f t="shared" si="436"/>
        <v>0</v>
      </c>
      <c r="CB107" s="648">
        <f t="shared" si="436"/>
        <v>0</v>
      </c>
      <c r="CC107" s="648">
        <f t="shared" si="436"/>
        <v>0</v>
      </c>
      <c r="CD107" s="648">
        <f t="shared" si="436"/>
        <v>0</v>
      </c>
      <c r="CE107" s="648">
        <f t="shared" si="436"/>
        <v>0</v>
      </c>
      <c r="CF107" s="648">
        <f t="shared" si="436"/>
        <v>0</v>
      </c>
      <c r="CG107" s="648">
        <f t="shared" si="436"/>
        <v>0</v>
      </c>
      <c r="CH107" s="648">
        <f t="shared" si="436"/>
        <v>0</v>
      </c>
      <c r="CI107" s="648">
        <f t="shared" si="436"/>
        <v>0</v>
      </c>
      <c r="CJ107" s="648">
        <f t="shared" si="436"/>
        <v>0</v>
      </c>
      <c r="CK107" s="648">
        <f t="shared" si="436"/>
        <v>0</v>
      </c>
      <c r="CL107" s="648">
        <f t="shared" si="436"/>
        <v>0</v>
      </c>
      <c r="CM107" s="648">
        <f t="shared" si="436"/>
        <v>0</v>
      </c>
      <c r="CN107" s="648">
        <f t="shared" si="436"/>
        <v>0</v>
      </c>
      <c r="CO107" s="648">
        <f t="shared" si="436"/>
        <v>0</v>
      </c>
      <c r="CP107" s="648">
        <f t="shared" si="436"/>
        <v>0</v>
      </c>
      <c r="CQ107" s="648">
        <f t="shared" si="436"/>
        <v>0</v>
      </c>
      <c r="CR107" s="648">
        <f t="shared" si="436"/>
        <v>0</v>
      </c>
      <c r="CS107" s="648">
        <f t="shared" si="436"/>
        <v>0</v>
      </c>
      <c r="CT107" s="648">
        <f t="shared" si="436"/>
        <v>0</v>
      </c>
      <c r="CU107" s="648"/>
      <c r="CV107" s="648">
        <f t="shared" ref="CV107:DZ107" si="437">CV9*$EF107</f>
        <v>0</v>
      </c>
      <c r="CW107" s="648">
        <f t="shared" si="437"/>
        <v>0</v>
      </c>
      <c r="CX107" s="648">
        <f t="shared" si="437"/>
        <v>0</v>
      </c>
      <c r="CY107" s="648">
        <f t="shared" si="437"/>
        <v>0</v>
      </c>
      <c r="CZ107" s="648">
        <f t="shared" si="437"/>
        <v>0</v>
      </c>
      <c r="DA107" s="648">
        <f t="shared" si="437"/>
        <v>0</v>
      </c>
      <c r="DB107" s="648">
        <f t="shared" si="437"/>
        <v>0</v>
      </c>
      <c r="DC107" s="648">
        <f t="shared" si="437"/>
        <v>0</v>
      </c>
      <c r="DD107" s="648">
        <f t="shared" si="437"/>
        <v>0</v>
      </c>
      <c r="DE107" s="648">
        <f t="shared" si="437"/>
        <v>0</v>
      </c>
      <c r="DF107" s="648">
        <f t="shared" si="437"/>
        <v>0</v>
      </c>
      <c r="DG107" s="648">
        <f t="shared" si="437"/>
        <v>0</v>
      </c>
      <c r="DH107" s="648">
        <f t="shared" si="437"/>
        <v>0</v>
      </c>
      <c r="DI107" s="648">
        <f t="shared" si="437"/>
        <v>0</v>
      </c>
      <c r="DJ107" s="648">
        <f t="shared" si="437"/>
        <v>0</v>
      </c>
      <c r="DK107" s="648">
        <f t="shared" si="437"/>
        <v>0</v>
      </c>
      <c r="DL107" s="648">
        <f t="shared" si="437"/>
        <v>0</v>
      </c>
      <c r="DM107" s="648">
        <f t="shared" si="437"/>
        <v>0</v>
      </c>
      <c r="DN107" s="648">
        <f t="shared" si="437"/>
        <v>0</v>
      </c>
      <c r="DO107" s="648">
        <f t="shared" si="437"/>
        <v>0</v>
      </c>
      <c r="DP107" s="648">
        <f t="shared" si="437"/>
        <v>0</v>
      </c>
      <c r="DQ107" s="648">
        <f t="shared" si="437"/>
        <v>0</v>
      </c>
      <c r="DR107" s="648">
        <f t="shared" si="437"/>
        <v>0</v>
      </c>
      <c r="DS107" s="648">
        <f t="shared" si="437"/>
        <v>0</v>
      </c>
      <c r="DT107" s="648">
        <f t="shared" si="437"/>
        <v>0</v>
      </c>
      <c r="DU107" s="648">
        <f t="shared" si="437"/>
        <v>0</v>
      </c>
      <c r="DV107" s="648">
        <f t="shared" si="437"/>
        <v>0</v>
      </c>
      <c r="DW107" s="648">
        <f t="shared" si="437"/>
        <v>0</v>
      </c>
      <c r="DX107" s="648">
        <f t="shared" si="437"/>
        <v>0</v>
      </c>
      <c r="DY107" s="648">
        <f t="shared" si="437"/>
        <v>0</v>
      </c>
      <c r="DZ107" s="648">
        <f t="shared" si="437"/>
        <v>0</v>
      </c>
      <c r="EF107" s="157">
        <f>AVERAGE(1027,1290)</f>
        <v>1158.5</v>
      </c>
      <c r="EG107" s="51"/>
      <c r="EH107" s="51"/>
      <c r="EI107" s="51"/>
      <c r="EJ107" s="51"/>
      <c r="EM107" t="s">
        <v>99</v>
      </c>
    </row>
    <row r="108" spans="1:143">
      <c r="A108" s="1"/>
      <c r="B108" t="str">
        <f t="shared" si="425"/>
        <v>Packaging substitution Paper</v>
      </c>
      <c r="C108" s="54" t="s">
        <v>114</v>
      </c>
      <c r="D108" s="648">
        <f t="shared" ref="D108:AH108" si="438">D10*$EF108</f>
        <v>0</v>
      </c>
      <c r="E108" s="648">
        <f t="shared" si="438"/>
        <v>0</v>
      </c>
      <c r="F108" s="648">
        <f t="shared" si="438"/>
        <v>0</v>
      </c>
      <c r="G108" s="648">
        <f t="shared" si="438"/>
        <v>0</v>
      </c>
      <c r="H108" s="648">
        <f t="shared" si="438"/>
        <v>0</v>
      </c>
      <c r="I108" s="648">
        <f t="shared" si="438"/>
        <v>0</v>
      </c>
      <c r="J108" s="648">
        <f t="shared" si="438"/>
        <v>0</v>
      </c>
      <c r="K108" s="648">
        <f t="shared" si="438"/>
        <v>0</v>
      </c>
      <c r="L108" s="648">
        <f t="shared" si="438"/>
        <v>0</v>
      </c>
      <c r="M108" s="648">
        <f t="shared" si="438"/>
        <v>0</v>
      </c>
      <c r="N108" s="648">
        <f t="shared" si="438"/>
        <v>0</v>
      </c>
      <c r="O108" s="648">
        <f t="shared" si="438"/>
        <v>0</v>
      </c>
      <c r="P108" s="648">
        <f t="shared" si="438"/>
        <v>0</v>
      </c>
      <c r="Q108" s="648">
        <f t="shared" si="438"/>
        <v>0</v>
      </c>
      <c r="R108" s="648">
        <f t="shared" si="438"/>
        <v>0</v>
      </c>
      <c r="S108" s="648">
        <f t="shared" si="438"/>
        <v>0</v>
      </c>
      <c r="T108" s="648">
        <f t="shared" si="438"/>
        <v>0</v>
      </c>
      <c r="U108" s="648">
        <f t="shared" si="438"/>
        <v>0</v>
      </c>
      <c r="V108" s="648">
        <f t="shared" si="438"/>
        <v>0</v>
      </c>
      <c r="W108" s="648">
        <f t="shared" si="438"/>
        <v>0</v>
      </c>
      <c r="X108" s="648">
        <f t="shared" si="438"/>
        <v>0</v>
      </c>
      <c r="Y108" s="648">
        <f t="shared" si="438"/>
        <v>0</v>
      </c>
      <c r="Z108" s="648">
        <f t="shared" si="438"/>
        <v>0</v>
      </c>
      <c r="AA108" s="648">
        <f t="shared" si="438"/>
        <v>0</v>
      </c>
      <c r="AB108" s="648">
        <f t="shared" si="438"/>
        <v>0</v>
      </c>
      <c r="AC108" s="648">
        <f t="shared" si="438"/>
        <v>0</v>
      </c>
      <c r="AD108" s="648">
        <f t="shared" si="438"/>
        <v>0</v>
      </c>
      <c r="AE108" s="648">
        <f t="shared" si="438"/>
        <v>0</v>
      </c>
      <c r="AF108" s="648">
        <f t="shared" si="438"/>
        <v>0</v>
      </c>
      <c r="AG108" s="648">
        <f t="shared" si="438"/>
        <v>0</v>
      </c>
      <c r="AH108" s="648">
        <f t="shared" si="438"/>
        <v>0</v>
      </c>
      <c r="AI108" s="648"/>
      <c r="AJ108" s="648">
        <f t="shared" ref="AJ108:BN108" si="439">AJ10*$EF108</f>
        <v>0</v>
      </c>
      <c r="AK108" s="648">
        <f t="shared" si="439"/>
        <v>0</v>
      </c>
      <c r="AL108" s="648">
        <f t="shared" si="439"/>
        <v>0</v>
      </c>
      <c r="AM108" s="648">
        <f t="shared" si="439"/>
        <v>0</v>
      </c>
      <c r="AN108" s="648">
        <f t="shared" si="439"/>
        <v>0</v>
      </c>
      <c r="AO108" s="648">
        <f t="shared" si="439"/>
        <v>0</v>
      </c>
      <c r="AP108" s="648">
        <f t="shared" si="439"/>
        <v>0</v>
      </c>
      <c r="AQ108" s="648">
        <f t="shared" si="439"/>
        <v>0</v>
      </c>
      <c r="AR108" s="648">
        <f t="shared" si="439"/>
        <v>0</v>
      </c>
      <c r="AS108" s="648">
        <f t="shared" si="439"/>
        <v>0</v>
      </c>
      <c r="AT108" s="648">
        <f t="shared" si="439"/>
        <v>0</v>
      </c>
      <c r="AU108" s="648">
        <f t="shared" si="439"/>
        <v>0</v>
      </c>
      <c r="AV108" s="648">
        <f t="shared" si="439"/>
        <v>0</v>
      </c>
      <c r="AW108" s="648">
        <f t="shared" si="439"/>
        <v>0</v>
      </c>
      <c r="AX108" s="648">
        <f t="shared" si="439"/>
        <v>0</v>
      </c>
      <c r="AY108" s="648">
        <f t="shared" si="439"/>
        <v>0</v>
      </c>
      <c r="AZ108" s="648">
        <f t="shared" si="439"/>
        <v>0</v>
      </c>
      <c r="BA108" s="648">
        <f t="shared" si="439"/>
        <v>0</v>
      </c>
      <c r="BB108" s="648">
        <f t="shared" si="439"/>
        <v>0</v>
      </c>
      <c r="BC108" s="648">
        <f t="shared" si="439"/>
        <v>0</v>
      </c>
      <c r="BD108" s="648">
        <f t="shared" si="439"/>
        <v>0</v>
      </c>
      <c r="BE108" s="648">
        <f t="shared" si="439"/>
        <v>0</v>
      </c>
      <c r="BF108" s="648">
        <f t="shared" si="439"/>
        <v>0</v>
      </c>
      <c r="BG108" s="648">
        <f t="shared" si="439"/>
        <v>0</v>
      </c>
      <c r="BH108" s="648">
        <f t="shared" si="439"/>
        <v>0</v>
      </c>
      <c r="BI108" s="648">
        <f t="shared" si="439"/>
        <v>0</v>
      </c>
      <c r="BJ108" s="648">
        <f t="shared" si="439"/>
        <v>0</v>
      </c>
      <c r="BK108" s="648">
        <f t="shared" si="439"/>
        <v>0</v>
      </c>
      <c r="BL108" s="648">
        <f t="shared" si="439"/>
        <v>0</v>
      </c>
      <c r="BM108" s="648">
        <f t="shared" si="439"/>
        <v>0</v>
      </c>
      <c r="BN108" s="648">
        <f t="shared" si="439"/>
        <v>0</v>
      </c>
      <c r="BO108" s="648"/>
      <c r="BP108" s="648">
        <f t="shared" ref="BP108:CT108" si="440">BP10*$EF108</f>
        <v>0</v>
      </c>
      <c r="BQ108" s="648">
        <f t="shared" si="440"/>
        <v>0</v>
      </c>
      <c r="BR108" s="648">
        <f t="shared" si="440"/>
        <v>0</v>
      </c>
      <c r="BS108" s="648">
        <f t="shared" si="440"/>
        <v>0</v>
      </c>
      <c r="BT108" s="648">
        <f t="shared" si="440"/>
        <v>0</v>
      </c>
      <c r="BU108" s="648">
        <f t="shared" si="440"/>
        <v>0</v>
      </c>
      <c r="BV108" s="648">
        <f t="shared" si="440"/>
        <v>0</v>
      </c>
      <c r="BW108" s="648">
        <f t="shared" si="440"/>
        <v>0</v>
      </c>
      <c r="BX108" s="648">
        <f t="shared" si="440"/>
        <v>0</v>
      </c>
      <c r="BY108" s="648">
        <f t="shared" si="440"/>
        <v>0</v>
      </c>
      <c r="BZ108" s="648">
        <f t="shared" si="440"/>
        <v>0</v>
      </c>
      <c r="CA108" s="648">
        <f t="shared" si="440"/>
        <v>0</v>
      </c>
      <c r="CB108" s="648">
        <f t="shared" si="440"/>
        <v>0</v>
      </c>
      <c r="CC108" s="648">
        <f t="shared" si="440"/>
        <v>0</v>
      </c>
      <c r="CD108" s="648">
        <f t="shared" si="440"/>
        <v>0</v>
      </c>
      <c r="CE108" s="648">
        <f t="shared" si="440"/>
        <v>0</v>
      </c>
      <c r="CF108" s="648">
        <f t="shared" si="440"/>
        <v>0</v>
      </c>
      <c r="CG108" s="648">
        <f t="shared" si="440"/>
        <v>0</v>
      </c>
      <c r="CH108" s="648">
        <f t="shared" si="440"/>
        <v>0</v>
      </c>
      <c r="CI108" s="648">
        <f t="shared" si="440"/>
        <v>0</v>
      </c>
      <c r="CJ108" s="648">
        <f t="shared" si="440"/>
        <v>0</v>
      </c>
      <c r="CK108" s="648">
        <f t="shared" si="440"/>
        <v>0</v>
      </c>
      <c r="CL108" s="648">
        <f t="shared" si="440"/>
        <v>0</v>
      </c>
      <c r="CM108" s="648">
        <f t="shared" si="440"/>
        <v>0</v>
      </c>
      <c r="CN108" s="648">
        <f t="shared" si="440"/>
        <v>0</v>
      </c>
      <c r="CO108" s="648">
        <f t="shared" si="440"/>
        <v>0</v>
      </c>
      <c r="CP108" s="648">
        <f t="shared" si="440"/>
        <v>0</v>
      </c>
      <c r="CQ108" s="648">
        <f t="shared" si="440"/>
        <v>0</v>
      </c>
      <c r="CR108" s="648">
        <f t="shared" si="440"/>
        <v>0</v>
      </c>
      <c r="CS108" s="648">
        <f t="shared" si="440"/>
        <v>0</v>
      </c>
      <c r="CT108" s="648">
        <f t="shared" si="440"/>
        <v>0</v>
      </c>
      <c r="CU108" s="648"/>
      <c r="CV108" s="648">
        <f t="shared" ref="CV108:DZ108" si="441">CV10*$EF108</f>
        <v>0</v>
      </c>
      <c r="CW108" s="648">
        <f t="shared" si="441"/>
        <v>0</v>
      </c>
      <c r="CX108" s="648">
        <f t="shared" si="441"/>
        <v>0</v>
      </c>
      <c r="CY108" s="648">
        <f t="shared" si="441"/>
        <v>0</v>
      </c>
      <c r="CZ108" s="648">
        <f t="shared" si="441"/>
        <v>0</v>
      </c>
      <c r="DA108" s="648">
        <f t="shared" si="441"/>
        <v>0</v>
      </c>
      <c r="DB108" s="648">
        <f t="shared" si="441"/>
        <v>0</v>
      </c>
      <c r="DC108" s="648">
        <f t="shared" si="441"/>
        <v>0</v>
      </c>
      <c r="DD108" s="648">
        <f t="shared" si="441"/>
        <v>0</v>
      </c>
      <c r="DE108" s="648">
        <f t="shared" si="441"/>
        <v>0</v>
      </c>
      <c r="DF108" s="648">
        <f t="shared" si="441"/>
        <v>0</v>
      </c>
      <c r="DG108" s="648">
        <f t="shared" si="441"/>
        <v>0</v>
      </c>
      <c r="DH108" s="648">
        <f t="shared" si="441"/>
        <v>0</v>
      </c>
      <c r="DI108" s="648">
        <f t="shared" si="441"/>
        <v>0</v>
      </c>
      <c r="DJ108" s="648">
        <f t="shared" si="441"/>
        <v>0</v>
      </c>
      <c r="DK108" s="648">
        <f t="shared" si="441"/>
        <v>0</v>
      </c>
      <c r="DL108" s="648">
        <f t="shared" si="441"/>
        <v>0</v>
      </c>
      <c r="DM108" s="648">
        <f t="shared" si="441"/>
        <v>0</v>
      </c>
      <c r="DN108" s="648">
        <f t="shared" si="441"/>
        <v>0</v>
      </c>
      <c r="DO108" s="648">
        <f t="shared" si="441"/>
        <v>0</v>
      </c>
      <c r="DP108" s="648">
        <f t="shared" si="441"/>
        <v>0</v>
      </c>
      <c r="DQ108" s="648">
        <f t="shared" si="441"/>
        <v>0</v>
      </c>
      <c r="DR108" s="648">
        <f t="shared" si="441"/>
        <v>0</v>
      </c>
      <c r="DS108" s="648">
        <f t="shared" si="441"/>
        <v>0</v>
      </c>
      <c r="DT108" s="648">
        <f t="shared" si="441"/>
        <v>0</v>
      </c>
      <c r="DU108" s="648">
        <f t="shared" si="441"/>
        <v>0</v>
      </c>
      <c r="DV108" s="648">
        <f t="shared" si="441"/>
        <v>0</v>
      </c>
      <c r="DW108" s="648">
        <f t="shared" si="441"/>
        <v>0</v>
      </c>
      <c r="DX108" s="648">
        <f t="shared" si="441"/>
        <v>0</v>
      </c>
      <c r="DY108" s="648">
        <f t="shared" si="441"/>
        <v>0</v>
      </c>
      <c r="DZ108" s="648">
        <f t="shared" si="441"/>
        <v>0</v>
      </c>
      <c r="EF108" s="51">
        <v>3449</v>
      </c>
      <c r="EG108" s="51"/>
      <c r="EH108" s="51"/>
      <c r="EI108" s="51"/>
      <c r="EJ108" s="51"/>
      <c r="EM108" t="s">
        <v>99</v>
      </c>
    </row>
    <row r="109" spans="1:143">
      <c r="A109" s="1"/>
      <c r="B109" t="str">
        <f t="shared" si="425"/>
        <v>Packaging Substitution Compostables</v>
      </c>
      <c r="C109" s="54" t="s">
        <v>114</v>
      </c>
      <c r="D109" s="648">
        <f t="shared" ref="D109:AH109" si="442">D11*$EF109</f>
        <v>0</v>
      </c>
      <c r="E109" s="648">
        <f t="shared" si="442"/>
        <v>0</v>
      </c>
      <c r="F109" s="648">
        <f t="shared" si="442"/>
        <v>0</v>
      </c>
      <c r="G109" s="648">
        <f t="shared" si="442"/>
        <v>0</v>
      </c>
      <c r="H109" s="648">
        <f t="shared" si="442"/>
        <v>0</v>
      </c>
      <c r="I109" s="648">
        <f t="shared" si="442"/>
        <v>0</v>
      </c>
      <c r="J109" s="648">
        <f t="shared" si="442"/>
        <v>0</v>
      </c>
      <c r="K109" s="648">
        <f t="shared" si="442"/>
        <v>0</v>
      </c>
      <c r="L109" s="648">
        <f t="shared" si="442"/>
        <v>0</v>
      </c>
      <c r="M109" s="648">
        <f t="shared" si="442"/>
        <v>0</v>
      </c>
      <c r="N109" s="648">
        <f t="shared" si="442"/>
        <v>0</v>
      </c>
      <c r="O109" s="648">
        <f t="shared" si="442"/>
        <v>0</v>
      </c>
      <c r="P109" s="648">
        <f t="shared" si="442"/>
        <v>0</v>
      </c>
      <c r="Q109" s="648">
        <f t="shared" si="442"/>
        <v>0</v>
      </c>
      <c r="R109" s="648">
        <f t="shared" si="442"/>
        <v>0</v>
      </c>
      <c r="S109" s="648">
        <f t="shared" si="442"/>
        <v>0</v>
      </c>
      <c r="T109" s="648">
        <f t="shared" si="442"/>
        <v>0</v>
      </c>
      <c r="U109" s="648">
        <f t="shared" si="442"/>
        <v>0</v>
      </c>
      <c r="V109" s="648">
        <f t="shared" si="442"/>
        <v>0</v>
      </c>
      <c r="W109" s="648">
        <f t="shared" si="442"/>
        <v>0</v>
      </c>
      <c r="X109" s="648">
        <f t="shared" si="442"/>
        <v>0</v>
      </c>
      <c r="Y109" s="648">
        <f t="shared" si="442"/>
        <v>0</v>
      </c>
      <c r="Z109" s="648">
        <f t="shared" si="442"/>
        <v>0</v>
      </c>
      <c r="AA109" s="648">
        <f t="shared" si="442"/>
        <v>0</v>
      </c>
      <c r="AB109" s="648">
        <f t="shared" si="442"/>
        <v>0</v>
      </c>
      <c r="AC109" s="648">
        <f t="shared" si="442"/>
        <v>0</v>
      </c>
      <c r="AD109" s="648">
        <f t="shared" si="442"/>
        <v>0</v>
      </c>
      <c r="AE109" s="648">
        <f t="shared" si="442"/>
        <v>0</v>
      </c>
      <c r="AF109" s="648">
        <f t="shared" si="442"/>
        <v>0</v>
      </c>
      <c r="AG109" s="648">
        <f t="shared" si="442"/>
        <v>0</v>
      </c>
      <c r="AH109" s="648">
        <f t="shared" si="442"/>
        <v>0</v>
      </c>
      <c r="AI109" s="648"/>
      <c r="AJ109" s="648">
        <f t="shared" ref="AJ109:BN109" si="443">AJ11*$EF109</f>
        <v>0</v>
      </c>
      <c r="AK109" s="648">
        <f t="shared" si="443"/>
        <v>0</v>
      </c>
      <c r="AL109" s="648">
        <f t="shared" si="443"/>
        <v>0</v>
      </c>
      <c r="AM109" s="648">
        <f t="shared" si="443"/>
        <v>0</v>
      </c>
      <c r="AN109" s="648">
        <f t="shared" si="443"/>
        <v>0</v>
      </c>
      <c r="AO109" s="648">
        <f t="shared" si="443"/>
        <v>0</v>
      </c>
      <c r="AP109" s="648">
        <f t="shared" si="443"/>
        <v>0</v>
      </c>
      <c r="AQ109" s="648">
        <f t="shared" si="443"/>
        <v>0</v>
      </c>
      <c r="AR109" s="648">
        <f t="shared" si="443"/>
        <v>0</v>
      </c>
      <c r="AS109" s="648">
        <f t="shared" si="443"/>
        <v>0</v>
      </c>
      <c r="AT109" s="648">
        <f t="shared" si="443"/>
        <v>0</v>
      </c>
      <c r="AU109" s="648">
        <f t="shared" si="443"/>
        <v>0</v>
      </c>
      <c r="AV109" s="648">
        <f t="shared" si="443"/>
        <v>0</v>
      </c>
      <c r="AW109" s="648">
        <f t="shared" si="443"/>
        <v>0</v>
      </c>
      <c r="AX109" s="648">
        <f t="shared" si="443"/>
        <v>0</v>
      </c>
      <c r="AY109" s="648">
        <f t="shared" si="443"/>
        <v>0</v>
      </c>
      <c r="AZ109" s="648">
        <f t="shared" si="443"/>
        <v>0</v>
      </c>
      <c r="BA109" s="648">
        <f t="shared" si="443"/>
        <v>0</v>
      </c>
      <c r="BB109" s="648">
        <f t="shared" si="443"/>
        <v>0</v>
      </c>
      <c r="BC109" s="648">
        <f t="shared" si="443"/>
        <v>0</v>
      </c>
      <c r="BD109" s="648">
        <f t="shared" si="443"/>
        <v>0</v>
      </c>
      <c r="BE109" s="648">
        <f t="shared" si="443"/>
        <v>0</v>
      </c>
      <c r="BF109" s="648">
        <f t="shared" si="443"/>
        <v>0</v>
      </c>
      <c r="BG109" s="648">
        <f t="shared" si="443"/>
        <v>0</v>
      </c>
      <c r="BH109" s="648">
        <f t="shared" si="443"/>
        <v>0</v>
      </c>
      <c r="BI109" s="648">
        <f t="shared" si="443"/>
        <v>0</v>
      </c>
      <c r="BJ109" s="648">
        <f t="shared" si="443"/>
        <v>0</v>
      </c>
      <c r="BK109" s="648">
        <f t="shared" si="443"/>
        <v>0</v>
      </c>
      <c r="BL109" s="648">
        <f t="shared" si="443"/>
        <v>0</v>
      </c>
      <c r="BM109" s="648">
        <f t="shared" si="443"/>
        <v>0</v>
      </c>
      <c r="BN109" s="648">
        <f t="shared" si="443"/>
        <v>0</v>
      </c>
      <c r="BO109" s="648"/>
      <c r="BP109" s="648">
        <f t="shared" ref="BP109:CT109" si="444">BP11*$EF109</f>
        <v>0</v>
      </c>
      <c r="BQ109" s="648">
        <f t="shared" si="444"/>
        <v>0</v>
      </c>
      <c r="BR109" s="648">
        <f t="shared" si="444"/>
        <v>0</v>
      </c>
      <c r="BS109" s="648">
        <f t="shared" si="444"/>
        <v>0</v>
      </c>
      <c r="BT109" s="648">
        <f t="shared" si="444"/>
        <v>0</v>
      </c>
      <c r="BU109" s="648">
        <f t="shared" si="444"/>
        <v>0</v>
      </c>
      <c r="BV109" s="648">
        <f t="shared" si="444"/>
        <v>0</v>
      </c>
      <c r="BW109" s="648">
        <f t="shared" si="444"/>
        <v>0</v>
      </c>
      <c r="BX109" s="648">
        <f t="shared" si="444"/>
        <v>0</v>
      </c>
      <c r="BY109" s="648">
        <f t="shared" si="444"/>
        <v>0</v>
      </c>
      <c r="BZ109" s="648">
        <f t="shared" si="444"/>
        <v>0</v>
      </c>
      <c r="CA109" s="648">
        <f t="shared" si="444"/>
        <v>0</v>
      </c>
      <c r="CB109" s="648">
        <f t="shared" si="444"/>
        <v>0</v>
      </c>
      <c r="CC109" s="648">
        <f t="shared" si="444"/>
        <v>0</v>
      </c>
      <c r="CD109" s="648">
        <f t="shared" si="444"/>
        <v>0</v>
      </c>
      <c r="CE109" s="648">
        <f t="shared" si="444"/>
        <v>0</v>
      </c>
      <c r="CF109" s="648">
        <f t="shared" si="444"/>
        <v>0</v>
      </c>
      <c r="CG109" s="648">
        <f t="shared" si="444"/>
        <v>0</v>
      </c>
      <c r="CH109" s="648">
        <f t="shared" si="444"/>
        <v>0</v>
      </c>
      <c r="CI109" s="648">
        <f t="shared" si="444"/>
        <v>0</v>
      </c>
      <c r="CJ109" s="648">
        <f t="shared" si="444"/>
        <v>0</v>
      </c>
      <c r="CK109" s="648">
        <f t="shared" si="444"/>
        <v>0</v>
      </c>
      <c r="CL109" s="648">
        <f t="shared" si="444"/>
        <v>0</v>
      </c>
      <c r="CM109" s="648">
        <f t="shared" si="444"/>
        <v>0</v>
      </c>
      <c r="CN109" s="648">
        <f t="shared" si="444"/>
        <v>0</v>
      </c>
      <c r="CO109" s="648">
        <f t="shared" si="444"/>
        <v>0</v>
      </c>
      <c r="CP109" s="648">
        <f t="shared" si="444"/>
        <v>0</v>
      </c>
      <c r="CQ109" s="648">
        <f t="shared" si="444"/>
        <v>0</v>
      </c>
      <c r="CR109" s="648">
        <f t="shared" si="444"/>
        <v>0</v>
      </c>
      <c r="CS109" s="648">
        <f t="shared" si="444"/>
        <v>0</v>
      </c>
      <c r="CT109" s="648">
        <f t="shared" si="444"/>
        <v>0</v>
      </c>
      <c r="CU109" s="648"/>
      <c r="CV109" s="648">
        <f t="shared" ref="CV109:DZ109" si="445">CV11*$EF109</f>
        <v>0</v>
      </c>
      <c r="CW109" s="648">
        <f t="shared" si="445"/>
        <v>0</v>
      </c>
      <c r="CX109" s="648">
        <f t="shared" si="445"/>
        <v>0</v>
      </c>
      <c r="CY109" s="648">
        <f t="shared" si="445"/>
        <v>0</v>
      </c>
      <c r="CZ109" s="648">
        <f t="shared" si="445"/>
        <v>0</v>
      </c>
      <c r="DA109" s="648">
        <f t="shared" si="445"/>
        <v>0</v>
      </c>
      <c r="DB109" s="648">
        <f t="shared" si="445"/>
        <v>0</v>
      </c>
      <c r="DC109" s="648">
        <f t="shared" si="445"/>
        <v>0</v>
      </c>
      <c r="DD109" s="648">
        <f t="shared" si="445"/>
        <v>0</v>
      </c>
      <c r="DE109" s="648">
        <f t="shared" si="445"/>
        <v>0</v>
      </c>
      <c r="DF109" s="648">
        <f t="shared" si="445"/>
        <v>0</v>
      </c>
      <c r="DG109" s="648">
        <f t="shared" si="445"/>
        <v>0</v>
      </c>
      <c r="DH109" s="648">
        <f t="shared" si="445"/>
        <v>0</v>
      </c>
      <c r="DI109" s="648">
        <f t="shared" si="445"/>
        <v>0</v>
      </c>
      <c r="DJ109" s="648">
        <f t="shared" si="445"/>
        <v>0</v>
      </c>
      <c r="DK109" s="648">
        <f t="shared" si="445"/>
        <v>0</v>
      </c>
      <c r="DL109" s="648">
        <f t="shared" si="445"/>
        <v>0</v>
      </c>
      <c r="DM109" s="648">
        <f t="shared" si="445"/>
        <v>0</v>
      </c>
      <c r="DN109" s="648">
        <f t="shared" si="445"/>
        <v>0</v>
      </c>
      <c r="DO109" s="648">
        <f t="shared" si="445"/>
        <v>0</v>
      </c>
      <c r="DP109" s="648">
        <f t="shared" si="445"/>
        <v>0</v>
      </c>
      <c r="DQ109" s="648">
        <f t="shared" si="445"/>
        <v>0</v>
      </c>
      <c r="DR109" s="648">
        <f t="shared" si="445"/>
        <v>0</v>
      </c>
      <c r="DS109" s="648">
        <f t="shared" si="445"/>
        <v>0</v>
      </c>
      <c r="DT109" s="648">
        <f t="shared" si="445"/>
        <v>0</v>
      </c>
      <c r="DU109" s="648">
        <f t="shared" si="445"/>
        <v>0</v>
      </c>
      <c r="DV109" s="648">
        <f t="shared" si="445"/>
        <v>0</v>
      </c>
      <c r="DW109" s="648">
        <f t="shared" si="445"/>
        <v>0</v>
      </c>
      <c r="DX109" s="648">
        <f t="shared" si="445"/>
        <v>0</v>
      </c>
      <c r="DY109" s="648">
        <f t="shared" si="445"/>
        <v>0</v>
      </c>
      <c r="DZ109" s="648">
        <f t="shared" si="445"/>
        <v>0</v>
      </c>
      <c r="EF109" s="51">
        <v>3814</v>
      </c>
      <c r="EG109" s="51"/>
      <c r="EH109" s="51"/>
      <c r="EI109" s="51"/>
      <c r="EJ109" s="51"/>
      <c r="EM109" t="s">
        <v>99</v>
      </c>
    </row>
    <row r="110" spans="1:143">
      <c r="A110" s="1"/>
      <c r="B110" t="str">
        <f t="shared" si="425"/>
        <v>MaaS</v>
      </c>
      <c r="C110" s="54" t="s">
        <v>114</v>
      </c>
      <c r="D110" s="648">
        <f t="shared" ref="D110:AH110" si="446">D12*$EF110</f>
        <v>0</v>
      </c>
      <c r="E110" s="648">
        <f t="shared" si="446"/>
        <v>0</v>
      </c>
      <c r="F110" s="648">
        <f t="shared" si="446"/>
        <v>0</v>
      </c>
      <c r="G110" s="648">
        <f t="shared" si="446"/>
        <v>0</v>
      </c>
      <c r="H110" s="648">
        <f t="shared" si="446"/>
        <v>0</v>
      </c>
      <c r="I110" s="648">
        <f t="shared" si="446"/>
        <v>0</v>
      </c>
      <c r="J110" s="648">
        <f t="shared" si="446"/>
        <v>0</v>
      </c>
      <c r="K110" s="648">
        <f t="shared" si="446"/>
        <v>0</v>
      </c>
      <c r="L110" s="648">
        <f t="shared" si="446"/>
        <v>0</v>
      </c>
      <c r="M110" s="648">
        <f t="shared" si="446"/>
        <v>0</v>
      </c>
      <c r="N110" s="648">
        <f t="shared" si="446"/>
        <v>0</v>
      </c>
      <c r="O110" s="648">
        <f t="shared" si="446"/>
        <v>0</v>
      </c>
      <c r="P110" s="648">
        <f t="shared" si="446"/>
        <v>0</v>
      </c>
      <c r="Q110" s="648">
        <f t="shared" si="446"/>
        <v>0</v>
      </c>
      <c r="R110" s="648">
        <f t="shared" si="446"/>
        <v>0</v>
      </c>
      <c r="S110" s="648">
        <f t="shared" si="446"/>
        <v>0</v>
      </c>
      <c r="T110" s="648">
        <f t="shared" si="446"/>
        <v>0</v>
      </c>
      <c r="U110" s="648">
        <f t="shared" si="446"/>
        <v>0</v>
      </c>
      <c r="V110" s="648">
        <f t="shared" si="446"/>
        <v>0</v>
      </c>
      <c r="W110" s="648">
        <f t="shared" si="446"/>
        <v>0</v>
      </c>
      <c r="X110" s="648">
        <f t="shared" si="446"/>
        <v>0</v>
      </c>
      <c r="Y110" s="648">
        <f t="shared" si="446"/>
        <v>0</v>
      </c>
      <c r="Z110" s="648">
        <f t="shared" si="446"/>
        <v>0</v>
      </c>
      <c r="AA110" s="648">
        <f t="shared" si="446"/>
        <v>0</v>
      </c>
      <c r="AB110" s="648">
        <f t="shared" si="446"/>
        <v>0</v>
      </c>
      <c r="AC110" s="648">
        <f t="shared" si="446"/>
        <v>0</v>
      </c>
      <c r="AD110" s="648">
        <f t="shared" si="446"/>
        <v>0</v>
      </c>
      <c r="AE110" s="648">
        <f t="shared" si="446"/>
        <v>0</v>
      </c>
      <c r="AF110" s="648">
        <f t="shared" si="446"/>
        <v>0</v>
      </c>
      <c r="AG110" s="648">
        <f t="shared" si="446"/>
        <v>0</v>
      </c>
      <c r="AH110" s="648">
        <f t="shared" si="446"/>
        <v>0</v>
      </c>
      <c r="AI110" s="648"/>
      <c r="AJ110" s="648">
        <f t="shared" ref="AJ110:BN110" si="447">AJ12*$EF110</f>
        <v>0</v>
      </c>
      <c r="AK110" s="648">
        <f t="shared" si="447"/>
        <v>0</v>
      </c>
      <c r="AL110" s="648">
        <f t="shared" si="447"/>
        <v>0</v>
      </c>
      <c r="AM110" s="648">
        <f t="shared" si="447"/>
        <v>0</v>
      </c>
      <c r="AN110" s="648">
        <f t="shared" si="447"/>
        <v>0</v>
      </c>
      <c r="AO110" s="648">
        <f t="shared" si="447"/>
        <v>0</v>
      </c>
      <c r="AP110" s="648">
        <f t="shared" si="447"/>
        <v>0</v>
      </c>
      <c r="AQ110" s="648">
        <f t="shared" si="447"/>
        <v>0</v>
      </c>
      <c r="AR110" s="648">
        <f t="shared" si="447"/>
        <v>0</v>
      </c>
      <c r="AS110" s="648">
        <f t="shared" si="447"/>
        <v>0</v>
      </c>
      <c r="AT110" s="648">
        <f t="shared" si="447"/>
        <v>0</v>
      </c>
      <c r="AU110" s="648">
        <f t="shared" si="447"/>
        <v>0</v>
      </c>
      <c r="AV110" s="648">
        <f t="shared" si="447"/>
        <v>0</v>
      </c>
      <c r="AW110" s="648">
        <f t="shared" si="447"/>
        <v>0</v>
      </c>
      <c r="AX110" s="648">
        <f t="shared" si="447"/>
        <v>0</v>
      </c>
      <c r="AY110" s="648">
        <f t="shared" si="447"/>
        <v>0</v>
      </c>
      <c r="AZ110" s="648">
        <f t="shared" si="447"/>
        <v>0</v>
      </c>
      <c r="BA110" s="648">
        <f t="shared" si="447"/>
        <v>0</v>
      </c>
      <c r="BB110" s="648">
        <f t="shared" si="447"/>
        <v>0</v>
      </c>
      <c r="BC110" s="648">
        <f t="shared" si="447"/>
        <v>0</v>
      </c>
      <c r="BD110" s="648">
        <f t="shared" si="447"/>
        <v>0</v>
      </c>
      <c r="BE110" s="648">
        <f t="shared" si="447"/>
        <v>0</v>
      </c>
      <c r="BF110" s="648">
        <f t="shared" si="447"/>
        <v>0</v>
      </c>
      <c r="BG110" s="648">
        <f t="shared" si="447"/>
        <v>0</v>
      </c>
      <c r="BH110" s="648">
        <f t="shared" si="447"/>
        <v>0</v>
      </c>
      <c r="BI110" s="648">
        <f t="shared" si="447"/>
        <v>0</v>
      </c>
      <c r="BJ110" s="648">
        <f t="shared" si="447"/>
        <v>0</v>
      </c>
      <c r="BK110" s="648">
        <f t="shared" si="447"/>
        <v>0</v>
      </c>
      <c r="BL110" s="648">
        <f t="shared" si="447"/>
        <v>0</v>
      </c>
      <c r="BM110" s="648">
        <f t="shared" si="447"/>
        <v>0</v>
      </c>
      <c r="BN110" s="648">
        <f t="shared" si="447"/>
        <v>0</v>
      </c>
      <c r="BO110" s="648"/>
      <c r="BP110" s="648">
        <f t="shared" ref="BP110:CT110" si="448">BP12*$EF110</f>
        <v>0</v>
      </c>
      <c r="BQ110" s="648">
        <f t="shared" si="448"/>
        <v>0</v>
      </c>
      <c r="BR110" s="648">
        <f t="shared" si="448"/>
        <v>0</v>
      </c>
      <c r="BS110" s="648">
        <f t="shared" si="448"/>
        <v>0</v>
      </c>
      <c r="BT110" s="648">
        <f t="shared" si="448"/>
        <v>0</v>
      </c>
      <c r="BU110" s="648">
        <f t="shared" si="448"/>
        <v>0</v>
      </c>
      <c r="BV110" s="648">
        <f t="shared" si="448"/>
        <v>0</v>
      </c>
      <c r="BW110" s="648">
        <f t="shared" si="448"/>
        <v>0</v>
      </c>
      <c r="BX110" s="648">
        <f t="shared" si="448"/>
        <v>0</v>
      </c>
      <c r="BY110" s="648">
        <f t="shared" si="448"/>
        <v>0</v>
      </c>
      <c r="BZ110" s="648">
        <f t="shared" si="448"/>
        <v>0</v>
      </c>
      <c r="CA110" s="648">
        <f t="shared" si="448"/>
        <v>0</v>
      </c>
      <c r="CB110" s="648">
        <f t="shared" si="448"/>
        <v>0</v>
      </c>
      <c r="CC110" s="648">
        <f t="shared" si="448"/>
        <v>0</v>
      </c>
      <c r="CD110" s="648">
        <f t="shared" si="448"/>
        <v>0</v>
      </c>
      <c r="CE110" s="648">
        <f t="shared" si="448"/>
        <v>0</v>
      </c>
      <c r="CF110" s="648">
        <f t="shared" si="448"/>
        <v>0</v>
      </c>
      <c r="CG110" s="648">
        <f t="shared" si="448"/>
        <v>0</v>
      </c>
      <c r="CH110" s="648">
        <f t="shared" si="448"/>
        <v>0</v>
      </c>
      <c r="CI110" s="648">
        <f t="shared" si="448"/>
        <v>0</v>
      </c>
      <c r="CJ110" s="648">
        <f t="shared" si="448"/>
        <v>0</v>
      </c>
      <c r="CK110" s="648">
        <f t="shared" si="448"/>
        <v>0</v>
      </c>
      <c r="CL110" s="648">
        <f t="shared" si="448"/>
        <v>0</v>
      </c>
      <c r="CM110" s="648">
        <f t="shared" si="448"/>
        <v>0</v>
      </c>
      <c r="CN110" s="648">
        <f t="shared" si="448"/>
        <v>0</v>
      </c>
      <c r="CO110" s="648">
        <f t="shared" si="448"/>
        <v>0</v>
      </c>
      <c r="CP110" s="648">
        <f t="shared" si="448"/>
        <v>0</v>
      </c>
      <c r="CQ110" s="648">
        <f t="shared" si="448"/>
        <v>0</v>
      </c>
      <c r="CR110" s="648">
        <f t="shared" si="448"/>
        <v>0</v>
      </c>
      <c r="CS110" s="648">
        <f t="shared" si="448"/>
        <v>0</v>
      </c>
      <c r="CT110" s="648">
        <f t="shared" si="448"/>
        <v>0</v>
      </c>
      <c r="CU110" s="648"/>
      <c r="CV110" s="648">
        <f t="shared" ref="CV110:DZ110" si="449">CV12*$EF110</f>
        <v>0</v>
      </c>
      <c r="CW110" s="648">
        <f t="shared" si="449"/>
        <v>0</v>
      </c>
      <c r="CX110" s="648">
        <f t="shared" si="449"/>
        <v>0</v>
      </c>
      <c r="CY110" s="648">
        <f t="shared" si="449"/>
        <v>0</v>
      </c>
      <c r="CZ110" s="648">
        <f t="shared" si="449"/>
        <v>0</v>
      </c>
      <c r="DA110" s="648">
        <f t="shared" si="449"/>
        <v>0</v>
      </c>
      <c r="DB110" s="648">
        <f t="shared" si="449"/>
        <v>0</v>
      </c>
      <c r="DC110" s="648">
        <f t="shared" si="449"/>
        <v>0</v>
      </c>
      <c r="DD110" s="648">
        <f t="shared" si="449"/>
        <v>0</v>
      </c>
      <c r="DE110" s="648">
        <f t="shared" si="449"/>
        <v>0</v>
      </c>
      <c r="DF110" s="648">
        <f t="shared" si="449"/>
        <v>0</v>
      </c>
      <c r="DG110" s="648">
        <f t="shared" si="449"/>
        <v>0</v>
      </c>
      <c r="DH110" s="648">
        <f t="shared" si="449"/>
        <v>0</v>
      </c>
      <c r="DI110" s="648">
        <f t="shared" si="449"/>
        <v>0</v>
      </c>
      <c r="DJ110" s="648">
        <f t="shared" si="449"/>
        <v>0</v>
      </c>
      <c r="DK110" s="648">
        <f t="shared" si="449"/>
        <v>0</v>
      </c>
      <c r="DL110" s="648">
        <f t="shared" si="449"/>
        <v>0</v>
      </c>
      <c r="DM110" s="648">
        <f t="shared" si="449"/>
        <v>0</v>
      </c>
      <c r="DN110" s="648">
        <f t="shared" si="449"/>
        <v>0</v>
      </c>
      <c r="DO110" s="648">
        <f t="shared" si="449"/>
        <v>0</v>
      </c>
      <c r="DP110" s="648">
        <f t="shared" si="449"/>
        <v>0</v>
      </c>
      <c r="DQ110" s="648">
        <f t="shared" si="449"/>
        <v>0</v>
      </c>
      <c r="DR110" s="648">
        <f t="shared" si="449"/>
        <v>0</v>
      </c>
      <c r="DS110" s="648">
        <f t="shared" si="449"/>
        <v>0</v>
      </c>
      <c r="DT110" s="648">
        <f t="shared" si="449"/>
        <v>0</v>
      </c>
      <c r="DU110" s="648">
        <f t="shared" si="449"/>
        <v>0</v>
      </c>
      <c r="DV110" s="648">
        <f t="shared" si="449"/>
        <v>0</v>
      </c>
      <c r="DW110" s="648">
        <f t="shared" si="449"/>
        <v>0</v>
      </c>
      <c r="DX110" s="648">
        <f t="shared" si="449"/>
        <v>0</v>
      </c>
      <c r="DY110" s="648">
        <f t="shared" si="449"/>
        <v>0</v>
      </c>
      <c r="DZ110" s="648">
        <f t="shared" si="449"/>
        <v>0</v>
      </c>
      <c r="EF110" s="610">
        <v>1000</v>
      </c>
      <c r="EG110" s="51"/>
      <c r="EH110" s="51"/>
      <c r="EI110" s="51"/>
      <c r="EJ110" s="51"/>
    </row>
    <row r="111" spans="1:143">
      <c r="A111" s="1"/>
      <c r="B111" t="str">
        <f t="shared" si="425"/>
        <v>Vehicle life extension</v>
      </c>
      <c r="C111" s="54" t="s">
        <v>114</v>
      </c>
      <c r="D111" s="648">
        <f t="shared" ref="D111:AH111" si="450">D13*$EF111</f>
        <v>0</v>
      </c>
      <c r="E111" s="648">
        <f t="shared" si="450"/>
        <v>0</v>
      </c>
      <c r="F111" s="648">
        <f t="shared" si="450"/>
        <v>0</v>
      </c>
      <c r="G111" s="648">
        <f t="shared" si="450"/>
        <v>0</v>
      </c>
      <c r="H111" s="648">
        <f t="shared" si="450"/>
        <v>0</v>
      </c>
      <c r="I111" s="648">
        <f t="shared" si="450"/>
        <v>0</v>
      </c>
      <c r="J111" s="648">
        <f t="shared" si="450"/>
        <v>0</v>
      </c>
      <c r="K111" s="648">
        <f t="shared" si="450"/>
        <v>0</v>
      </c>
      <c r="L111" s="648">
        <f t="shared" si="450"/>
        <v>0</v>
      </c>
      <c r="M111" s="648">
        <f t="shared" si="450"/>
        <v>0</v>
      </c>
      <c r="N111" s="648">
        <f t="shared" si="450"/>
        <v>0</v>
      </c>
      <c r="O111" s="648">
        <f t="shared" si="450"/>
        <v>0</v>
      </c>
      <c r="P111" s="648">
        <f t="shared" si="450"/>
        <v>0</v>
      </c>
      <c r="Q111" s="648">
        <f t="shared" si="450"/>
        <v>0</v>
      </c>
      <c r="R111" s="648">
        <f t="shared" si="450"/>
        <v>0</v>
      </c>
      <c r="S111" s="648">
        <f t="shared" si="450"/>
        <v>0</v>
      </c>
      <c r="T111" s="648">
        <f t="shared" si="450"/>
        <v>0</v>
      </c>
      <c r="U111" s="648">
        <f t="shared" si="450"/>
        <v>0</v>
      </c>
      <c r="V111" s="648">
        <f t="shared" si="450"/>
        <v>0</v>
      </c>
      <c r="W111" s="648">
        <f t="shared" si="450"/>
        <v>0</v>
      </c>
      <c r="X111" s="648">
        <f t="shared" si="450"/>
        <v>0</v>
      </c>
      <c r="Y111" s="648">
        <f t="shared" si="450"/>
        <v>0</v>
      </c>
      <c r="Z111" s="648">
        <f t="shared" si="450"/>
        <v>0</v>
      </c>
      <c r="AA111" s="648">
        <f t="shared" si="450"/>
        <v>0</v>
      </c>
      <c r="AB111" s="648">
        <f t="shared" si="450"/>
        <v>0</v>
      </c>
      <c r="AC111" s="648">
        <f t="shared" si="450"/>
        <v>0</v>
      </c>
      <c r="AD111" s="648">
        <f t="shared" si="450"/>
        <v>0</v>
      </c>
      <c r="AE111" s="648">
        <f t="shared" si="450"/>
        <v>0</v>
      </c>
      <c r="AF111" s="648">
        <f t="shared" si="450"/>
        <v>0</v>
      </c>
      <c r="AG111" s="648">
        <f t="shared" si="450"/>
        <v>0</v>
      </c>
      <c r="AH111" s="648">
        <f t="shared" si="450"/>
        <v>0</v>
      </c>
      <c r="AI111" s="648"/>
      <c r="AJ111" s="648">
        <f t="shared" ref="AJ111:BN111" si="451">AJ13*$EF111</f>
        <v>0</v>
      </c>
      <c r="AK111" s="648">
        <f t="shared" si="451"/>
        <v>0</v>
      </c>
      <c r="AL111" s="648">
        <f t="shared" si="451"/>
        <v>0</v>
      </c>
      <c r="AM111" s="648">
        <f t="shared" si="451"/>
        <v>0</v>
      </c>
      <c r="AN111" s="648">
        <f t="shared" si="451"/>
        <v>0</v>
      </c>
      <c r="AO111" s="648">
        <f t="shared" si="451"/>
        <v>0</v>
      </c>
      <c r="AP111" s="648">
        <f t="shared" si="451"/>
        <v>0</v>
      </c>
      <c r="AQ111" s="648">
        <f t="shared" si="451"/>
        <v>0</v>
      </c>
      <c r="AR111" s="648">
        <f t="shared" si="451"/>
        <v>0</v>
      </c>
      <c r="AS111" s="648">
        <f t="shared" si="451"/>
        <v>0</v>
      </c>
      <c r="AT111" s="648">
        <f t="shared" si="451"/>
        <v>0</v>
      </c>
      <c r="AU111" s="648">
        <f t="shared" si="451"/>
        <v>0</v>
      </c>
      <c r="AV111" s="648">
        <f t="shared" si="451"/>
        <v>0</v>
      </c>
      <c r="AW111" s="648">
        <f t="shared" si="451"/>
        <v>0</v>
      </c>
      <c r="AX111" s="648">
        <f t="shared" si="451"/>
        <v>0</v>
      </c>
      <c r="AY111" s="648">
        <f t="shared" si="451"/>
        <v>0</v>
      </c>
      <c r="AZ111" s="648">
        <f t="shared" si="451"/>
        <v>0</v>
      </c>
      <c r="BA111" s="648">
        <f t="shared" si="451"/>
        <v>0</v>
      </c>
      <c r="BB111" s="648">
        <f t="shared" si="451"/>
        <v>0</v>
      </c>
      <c r="BC111" s="648">
        <f t="shared" si="451"/>
        <v>0</v>
      </c>
      <c r="BD111" s="648">
        <f t="shared" si="451"/>
        <v>0</v>
      </c>
      <c r="BE111" s="648">
        <f t="shared" si="451"/>
        <v>0</v>
      </c>
      <c r="BF111" s="648">
        <f t="shared" si="451"/>
        <v>0</v>
      </c>
      <c r="BG111" s="648">
        <f t="shared" si="451"/>
        <v>0</v>
      </c>
      <c r="BH111" s="648">
        <f t="shared" si="451"/>
        <v>0</v>
      </c>
      <c r="BI111" s="648">
        <f t="shared" si="451"/>
        <v>0</v>
      </c>
      <c r="BJ111" s="648">
        <f t="shared" si="451"/>
        <v>0</v>
      </c>
      <c r="BK111" s="648">
        <f t="shared" si="451"/>
        <v>0</v>
      </c>
      <c r="BL111" s="648">
        <f t="shared" si="451"/>
        <v>0</v>
      </c>
      <c r="BM111" s="648">
        <f t="shared" si="451"/>
        <v>0</v>
      </c>
      <c r="BN111" s="648">
        <f t="shared" si="451"/>
        <v>0</v>
      </c>
      <c r="BO111" s="648"/>
      <c r="BP111" s="648">
        <f t="shared" ref="BP111:CT111" si="452">BP13*$EF111</f>
        <v>0</v>
      </c>
      <c r="BQ111" s="648">
        <f t="shared" si="452"/>
        <v>0</v>
      </c>
      <c r="BR111" s="648">
        <f t="shared" si="452"/>
        <v>0</v>
      </c>
      <c r="BS111" s="648">
        <f t="shared" si="452"/>
        <v>0</v>
      </c>
      <c r="BT111" s="648">
        <f t="shared" si="452"/>
        <v>0</v>
      </c>
      <c r="BU111" s="648">
        <f t="shared" si="452"/>
        <v>0</v>
      </c>
      <c r="BV111" s="648">
        <f t="shared" si="452"/>
        <v>0</v>
      </c>
      <c r="BW111" s="648">
        <f t="shared" si="452"/>
        <v>0</v>
      </c>
      <c r="BX111" s="648">
        <f t="shared" si="452"/>
        <v>0</v>
      </c>
      <c r="BY111" s="648">
        <f t="shared" si="452"/>
        <v>0</v>
      </c>
      <c r="BZ111" s="648">
        <f t="shared" si="452"/>
        <v>0</v>
      </c>
      <c r="CA111" s="648">
        <f t="shared" si="452"/>
        <v>0</v>
      </c>
      <c r="CB111" s="648">
        <f t="shared" si="452"/>
        <v>0</v>
      </c>
      <c r="CC111" s="648">
        <f t="shared" si="452"/>
        <v>0</v>
      </c>
      <c r="CD111" s="648">
        <f t="shared" si="452"/>
        <v>0</v>
      </c>
      <c r="CE111" s="648">
        <f t="shared" si="452"/>
        <v>0</v>
      </c>
      <c r="CF111" s="648">
        <f t="shared" si="452"/>
        <v>0</v>
      </c>
      <c r="CG111" s="648">
        <f t="shared" si="452"/>
        <v>0</v>
      </c>
      <c r="CH111" s="648">
        <f t="shared" si="452"/>
        <v>0</v>
      </c>
      <c r="CI111" s="648">
        <f t="shared" si="452"/>
        <v>0</v>
      </c>
      <c r="CJ111" s="648">
        <f t="shared" si="452"/>
        <v>0</v>
      </c>
      <c r="CK111" s="648">
        <f t="shared" si="452"/>
        <v>0</v>
      </c>
      <c r="CL111" s="648">
        <f t="shared" si="452"/>
        <v>0</v>
      </c>
      <c r="CM111" s="648">
        <f t="shared" si="452"/>
        <v>0</v>
      </c>
      <c r="CN111" s="648">
        <f t="shared" si="452"/>
        <v>0</v>
      </c>
      <c r="CO111" s="648">
        <f t="shared" si="452"/>
        <v>0</v>
      </c>
      <c r="CP111" s="648">
        <f t="shared" si="452"/>
        <v>0</v>
      </c>
      <c r="CQ111" s="648">
        <f t="shared" si="452"/>
        <v>0</v>
      </c>
      <c r="CR111" s="648">
        <f t="shared" si="452"/>
        <v>0</v>
      </c>
      <c r="CS111" s="648">
        <f t="shared" si="452"/>
        <v>0</v>
      </c>
      <c r="CT111" s="648">
        <f t="shared" si="452"/>
        <v>0</v>
      </c>
      <c r="CU111" s="648"/>
      <c r="CV111" s="648">
        <f t="shared" ref="CV111:DZ111" si="453">CV13*$EF111</f>
        <v>0</v>
      </c>
      <c r="CW111" s="648">
        <f t="shared" si="453"/>
        <v>0</v>
      </c>
      <c r="CX111" s="648">
        <f t="shared" si="453"/>
        <v>0</v>
      </c>
      <c r="CY111" s="648">
        <f t="shared" si="453"/>
        <v>0</v>
      </c>
      <c r="CZ111" s="648">
        <f t="shared" si="453"/>
        <v>0</v>
      </c>
      <c r="DA111" s="648">
        <f t="shared" si="453"/>
        <v>0</v>
      </c>
      <c r="DB111" s="648">
        <f t="shared" si="453"/>
        <v>0</v>
      </c>
      <c r="DC111" s="648">
        <f t="shared" si="453"/>
        <v>0</v>
      </c>
      <c r="DD111" s="648">
        <f t="shared" si="453"/>
        <v>0</v>
      </c>
      <c r="DE111" s="648">
        <f t="shared" si="453"/>
        <v>0</v>
      </c>
      <c r="DF111" s="648">
        <f t="shared" si="453"/>
        <v>0</v>
      </c>
      <c r="DG111" s="648">
        <f t="shared" si="453"/>
        <v>0</v>
      </c>
      <c r="DH111" s="648">
        <f t="shared" si="453"/>
        <v>0</v>
      </c>
      <c r="DI111" s="648">
        <f t="shared" si="453"/>
        <v>0</v>
      </c>
      <c r="DJ111" s="648">
        <f t="shared" si="453"/>
        <v>0</v>
      </c>
      <c r="DK111" s="648">
        <f t="shared" si="453"/>
        <v>0</v>
      </c>
      <c r="DL111" s="648">
        <f t="shared" si="453"/>
        <v>0</v>
      </c>
      <c r="DM111" s="648">
        <f t="shared" si="453"/>
        <v>0</v>
      </c>
      <c r="DN111" s="648">
        <f t="shared" si="453"/>
        <v>0</v>
      </c>
      <c r="DO111" s="648">
        <f t="shared" si="453"/>
        <v>0</v>
      </c>
      <c r="DP111" s="648">
        <f t="shared" si="453"/>
        <v>0</v>
      </c>
      <c r="DQ111" s="648">
        <f t="shared" si="453"/>
        <v>0</v>
      </c>
      <c r="DR111" s="648">
        <f t="shared" si="453"/>
        <v>0</v>
      </c>
      <c r="DS111" s="648">
        <f t="shared" si="453"/>
        <v>0</v>
      </c>
      <c r="DT111" s="648">
        <f t="shared" si="453"/>
        <v>0</v>
      </c>
      <c r="DU111" s="648">
        <f t="shared" si="453"/>
        <v>0</v>
      </c>
      <c r="DV111" s="648">
        <f t="shared" si="453"/>
        <v>0</v>
      </c>
      <c r="DW111" s="648">
        <f t="shared" si="453"/>
        <v>0</v>
      </c>
      <c r="DX111" s="648">
        <f t="shared" si="453"/>
        <v>0</v>
      </c>
      <c r="DY111" s="648">
        <f t="shared" si="453"/>
        <v>0</v>
      </c>
      <c r="DZ111" s="648">
        <f t="shared" si="453"/>
        <v>0</v>
      </c>
      <c r="EF111" s="610">
        <v>1000</v>
      </c>
      <c r="EG111" s="51"/>
      <c r="EH111" s="51"/>
      <c r="EI111" s="51"/>
      <c r="EJ111" s="51"/>
    </row>
    <row r="112" spans="1:143">
      <c r="A112" s="1"/>
      <c r="B112" t="str">
        <f t="shared" si="425"/>
        <v>Building reduction</v>
      </c>
      <c r="C112" s="54" t="s">
        <v>114</v>
      </c>
      <c r="D112" s="648">
        <f t="shared" ref="D112:AH112" si="454">D14*$EF112</f>
        <v>0</v>
      </c>
      <c r="E112" s="648">
        <f t="shared" si="454"/>
        <v>0</v>
      </c>
      <c r="F112" s="648">
        <f t="shared" si="454"/>
        <v>0</v>
      </c>
      <c r="G112" s="648">
        <f t="shared" si="454"/>
        <v>0</v>
      </c>
      <c r="H112" s="648">
        <f t="shared" si="454"/>
        <v>0</v>
      </c>
      <c r="I112" s="648">
        <f t="shared" si="454"/>
        <v>0</v>
      </c>
      <c r="J112" s="648">
        <f t="shared" si="454"/>
        <v>0</v>
      </c>
      <c r="K112" s="648">
        <f t="shared" si="454"/>
        <v>0</v>
      </c>
      <c r="L112" s="648">
        <f t="shared" si="454"/>
        <v>0</v>
      </c>
      <c r="M112" s="648">
        <f t="shared" si="454"/>
        <v>0</v>
      </c>
      <c r="N112" s="648">
        <f t="shared" si="454"/>
        <v>0</v>
      </c>
      <c r="O112" s="648">
        <f t="shared" si="454"/>
        <v>0</v>
      </c>
      <c r="P112" s="648">
        <f t="shared" si="454"/>
        <v>0</v>
      </c>
      <c r="Q112" s="648">
        <f t="shared" si="454"/>
        <v>0</v>
      </c>
      <c r="R112" s="648">
        <f t="shared" si="454"/>
        <v>0</v>
      </c>
      <c r="S112" s="648">
        <f t="shared" si="454"/>
        <v>0</v>
      </c>
      <c r="T112" s="648">
        <f t="shared" si="454"/>
        <v>0</v>
      </c>
      <c r="U112" s="648">
        <f t="shared" si="454"/>
        <v>0</v>
      </c>
      <c r="V112" s="648">
        <f t="shared" si="454"/>
        <v>0</v>
      </c>
      <c r="W112" s="648">
        <f t="shared" si="454"/>
        <v>0</v>
      </c>
      <c r="X112" s="648">
        <f t="shared" si="454"/>
        <v>0</v>
      </c>
      <c r="Y112" s="648">
        <f t="shared" si="454"/>
        <v>0</v>
      </c>
      <c r="Z112" s="648">
        <f t="shared" si="454"/>
        <v>0</v>
      </c>
      <c r="AA112" s="648">
        <f t="shared" si="454"/>
        <v>0</v>
      </c>
      <c r="AB112" s="648">
        <f t="shared" si="454"/>
        <v>0</v>
      </c>
      <c r="AC112" s="648">
        <f t="shared" si="454"/>
        <v>0</v>
      </c>
      <c r="AD112" s="648">
        <f t="shared" si="454"/>
        <v>0</v>
      </c>
      <c r="AE112" s="648">
        <f t="shared" si="454"/>
        <v>0</v>
      </c>
      <c r="AF112" s="648">
        <f t="shared" si="454"/>
        <v>0</v>
      </c>
      <c r="AG112" s="648">
        <f t="shared" si="454"/>
        <v>0</v>
      </c>
      <c r="AH112" s="648">
        <f t="shared" si="454"/>
        <v>0</v>
      </c>
      <c r="AI112" s="648"/>
      <c r="AJ112" s="648">
        <f t="shared" ref="AJ112:BN112" si="455">AJ14*$EF112</f>
        <v>0</v>
      </c>
      <c r="AK112" s="648">
        <f t="shared" si="455"/>
        <v>0</v>
      </c>
      <c r="AL112" s="648">
        <f t="shared" si="455"/>
        <v>0</v>
      </c>
      <c r="AM112" s="648">
        <f t="shared" si="455"/>
        <v>0</v>
      </c>
      <c r="AN112" s="648">
        <f t="shared" si="455"/>
        <v>0</v>
      </c>
      <c r="AO112" s="648">
        <f t="shared" si="455"/>
        <v>0</v>
      </c>
      <c r="AP112" s="648">
        <f t="shared" si="455"/>
        <v>0</v>
      </c>
      <c r="AQ112" s="648">
        <f t="shared" si="455"/>
        <v>0</v>
      </c>
      <c r="AR112" s="648">
        <f t="shared" si="455"/>
        <v>0</v>
      </c>
      <c r="AS112" s="648">
        <f t="shared" si="455"/>
        <v>0</v>
      </c>
      <c r="AT112" s="648">
        <f t="shared" si="455"/>
        <v>0</v>
      </c>
      <c r="AU112" s="648">
        <f t="shared" si="455"/>
        <v>0</v>
      </c>
      <c r="AV112" s="648">
        <f t="shared" si="455"/>
        <v>0</v>
      </c>
      <c r="AW112" s="648">
        <f t="shared" si="455"/>
        <v>0</v>
      </c>
      <c r="AX112" s="648">
        <f t="shared" si="455"/>
        <v>0</v>
      </c>
      <c r="AY112" s="648">
        <f t="shared" si="455"/>
        <v>0</v>
      </c>
      <c r="AZ112" s="648">
        <f t="shared" si="455"/>
        <v>0</v>
      </c>
      <c r="BA112" s="648">
        <f t="shared" si="455"/>
        <v>0</v>
      </c>
      <c r="BB112" s="648">
        <f t="shared" si="455"/>
        <v>0</v>
      </c>
      <c r="BC112" s="648">
        <f t="shared" si="455"/>
        <v>0</v>
      </c>
      <c r="BD112" s="648">
        <f t="shared" si="455"/>
        <v>0</v>
      </c>
      <c r="BE112" s="648">
        <f t="shared" si="455"/>
        <v>0</v>
      </c>
      <c r="BF112" s="648">
        <f t="shared" si="455"/>
        <v>0</v>
      </c>
      <c r="BG112" s="648">
        <f t="shared" si="455"/>
        <v>0</v>
      </c>
      <c r="BH112" s="648">
        <f t="shared" si="455"/>
        <v>0</v>
      </c>
      <c r="BI112" s="648">
        <f t="shared" si="455"/>
        <v>0</v>
      </c>
      <c r="BJ112" s="648">
        <f t="shared" si="455"/>
        <v>0</v>
      </c>
      <c r="BK112" s="648">
        <f t="shared" si="455"/>
        <v>0</v>
      </c>
      <c r="BL112" s="648">
        <f t="shared" si="455"/>
        <v>0</v>
      </c>
      <c r="BM112" s="648">
        <f t="shared" si="455"/>
        <v>0</v>
      </c>
      <c r="BN112" s="648">
        <f t="shared" si="455"/>
        <v>0</v>
      </c>
      <c r="BO112" s="648"/>
      <c r="BP112" s="648">
        <f t="shared" ref="BP112:CT112" si="456">BP14*$EF112</f>
        <v>0</v>
      </c>
      <c r="BQ112" s="648">
        <f t="shared" si="456"/>
        <v>0</v>
      </c>
      <c r="BR112" s="648">
        <f t="shared" si="456"/>
        <v>0</v>
      </c>
      <c r="BS112" s="648">
        <f t="shared" si="456"/>
        <v>0</v>
      </c>
      <c r="BT112" s="648">
        <f t="shared" si="456"/>
        <v>0</v>
      </c>
      <c r="BU112" s="648">
        <f t="shared" si="456"/>
        <v>0</v>
      </c>
      <c r="BV112" s="648">
        <f t="shared" si="456"/>
        <v>0</v>
      </c>
      <c r="BW112" s="648">
        <f t="shared" si="456"/>
        <v>0</v>
      </c>
      <c r="BX112" s="648">
        <f t="shared" si="456"/>
        <v>0</v>
      </c>
      <c r="BY112" s="648">
        <f t="shared" si="456"/>
        <v>0</v>
      </c>
      <c r="BZ112" s="648">
        <f t="shared" si="456"/>
        <v>0</v>
      </c>
      <c r="CA112" s="648">
        <f t="shared" si="456"/>
        <v>0</v>
      </c>
      <c r="CB112" s="648">
        <f t="shared" si="456"/>
        <v>0</v>
      </c>
      <c r="CC112" s="648">
        <f t="shared" si="456"/>
        <v>0</v>
      </c>
      <c r="CD112" s="648">
        <f t="shared" si="456"/>
        <v>0</v>
      </c>
      <c r="CE112" s="648">
        <f t="shared" si="456"/>
        <v>0</v>
      </c>
      <c r="CF112" s="648">
        <f t="shared" si="456"/>
        <v>0</v>
      </c>
      <c r="CG112" s="648">
        <f t="shared" si="456"/>
        <v>0</v>
      </c>
      <c r="CH112" s="648">
        <f t="shared" si="456"/>
        <v>0</v>
      </c>
      <c r="CI112" s="648">
        <f t="shared" si="456"/>
        <v>0</v>
      </c>
      <c r="CJ112" s="648">
        <f t="shared" si="456"/>
        <v>0</v>
      </c>
      <c r="CK112" s="648">
        <f t="shared" si="456"/>
        <v>0</v>
      </c>
      <c r="CL112" s="648">
        <f t="shared" si="456"/>
        <v>0</v>
      </c>
      <c r="CM112" s="648">
        <f t="shared" si="456"/>
        <v>0</v>
      </c>
      <c r="CN112" s="648">
        <f t="shared" si="456"/>
        <v>0</v>
      </c>
      <c r="CO112" s="648">
        <f t="shared" si="456"/>
        <v>0</v>
      </c>
      <c r="CP112" s="648">
        <f t="shared" si="456"/>
        <v>0</v>
      </c>
      <c r="CQ112" s="648">
        <f t="shared" si="456"/>
        <v>0</v>
      </c>
      <c r="CR112" s="648">
        <f t="shared" si="456"/>
        <v>0</v>
      </c>
      <c r="CS112" s="648">
        <f t="shared" si="456"/>
        <v>0</v>
      </c>
      <c r="CT112" s="648">
        <f t="shared" si="456"/>
        <v>0</v>
      </c>
      <c r="CU112" s="648"/>
      <c r="CV112" s="648">
        <f t="shared" ref="CV112:DZ112" si="457">CV14*$EF112</f>
        <v>0</v>
      </c>
      <c r="CW112" s="648">
        <f t="shared" si="457"/>
        <v>0</v>
      </c>
      <c r="CX112" s="648">
        <f t="shared" si="457"/>
        <v>0</v>
      </c>
      <c r="CY112" s="648">
        <f t="shared" si="457"/>
        <v>0</v>
      </c>
      <c r="CZ112" s="648">
        <f t="shared" si="457"/>
        <v>0</v>
      </c>
      <c r="DA112" s="648">
        <f t="shared" si="457"/>
        <v>0</v>
      </c>
      <c r="DB112" s="648">
        <f t="shared" si="457"/>
        <v>0</v>
      </c>
      <c r="DC112" s="648">
        <f t="shared" si="457"/>
        <v>0</v>
      </c>
      <c r="DD112" s="648">
        <f t="shared" si="457"/>
        <v>0</v>
      </c>
      <c r="DE112" s="648">
        <f t="shared" si="457"/>
        <v>0</v>
      </c>
      <c r="DF112" s="648">
        <f t="shared" si="457"/>
        <v>0</v>
      </c>
      <c r="DG112" s="648">
        <f t="shared" si="457"/>
        <v>0</v>
      </c>
      <c r="DH112" s="648">
        <f t="shared" si="457"/>
        <v>0</v>
      </c>
      <c r="DI112" s="648">
        <f t="shared" si="457"/>
        <v>0</v>
      </c>
      <c r="DJ112" s="648">
        <f t="shared" si="457"/>
        <v>0</v>
      </c>
      <c r="DK112" s="648">
        <f t="shared" si="457"/>
        <v>0</v>
      </c>
      <c r="DL112" s="648">
        <f t="shared" si="457"/>
        <v>0</v>
      </c>
      <c r="DM112" s="648">
        <f t="shared" si="457"/>
        <v>0</v>
      </c>
      <c r="DN112" s="648">
        <f t="shared" si="457"/>
        <v>0</v>
      </c>
      <c r="DO112" s="648">
        <f t="shared" si="457"/>
        <v>0</v>
      </c>
      <c r="DP112" s="648">
        <f t="shared" si="457"/>
        <v>0</v>
      </c>
      <c r="DQ112" s="648">
        <f t="shared" si="457"/>
        <v>0</v>
      </c>
      <c r="DR112" s="648">
        <f t="shared" si="457"/>
        <v>0</v>
      </c>
      <c r="DS112" s="648">
        <f t="shared" si="457"/>
        <v>0</v>
      </c>
      <c r="DT112" s="648">
        <f t="shared" si="457"/>
        <v>0</v>
      </c>
      <c r="DU112" s="648">
        <f t="shared" si="457"/>
        <v>0</v>
      </c>
      <c r="DV112" s="648">
        <f t="shared" si="457"/>
        <v>0</v>
      </c>
      <c r="DW112" s="648">
        <f t="shared" si="457"/>
        <v>0</v>
      </c>
      <c r="DX112" s="648">
        <f t="shared" si="457"/>
        <v>0</v>
      </c>
      <c r="DY112" s="648">
        <f t="shared" si="457"/>
        <v>0</v>
      </c>
      <c r="DZ112" s="648">
        <f t="shared" si="457"/>
        <v>0</v>
      </c>
      <c r="EF112" s="51">
        <v>0</v>
      </c>
      <c r="EG112" s="51"/>
      <c r="EH112" s="51"/>
      <c r="EI112" s="51"/>
      <c r="EJ112" s="51"/>
      <c r="EM112" t="s">
        <v>99</v>
      </c>
    </row>
    <row r="113" spans="1:143">
      <c r="A113" s="1"/>
      <c r="B113" t="str">
        <f t="shared" si="425"/>
        <v>Building substitution</v>
      </c>
      <c r="C113" s="54" t="s">
        <v>114</v>
      </c>
      <c r="D113" s="648">
        <f t="shared" ref="D113:AH113" si="458">D15*$EF113</f>
        <v>0</v>
      </c>
      <c r="E113" s="648">
        <f t="shared" si="458"/>
        <v>0</v>
      </c>
      <c r="F113" s="648">
        <f t="shared" si="458"/>
        <v>0</v>
      </c>
      <c r="G113" s="648">
        <f t="shared" si="458"/>
        <v>0</v>
      </c>
      <c r="H113" s="648">
        <f t="shared" si="458"/>
        <v>0</v>
      </c>
      <c r="I113" s="648">
        <f t="shared" si="458"/>
        <v>0</v>
      </c>
      <c r="J113" s="648">
        <f t="shared" si="458"/>
        <v>0</v>
      </c>
      <c r="K113" s="648">
        <f t="shared" si="458"/>
        <v>0</v>
      </c>
      <c r="L113" s="648">
        <f t="shared" si="458"/>
        <v>0</v>
      </c>
      <c r="M113" s="648">
        <f t="shared" si="458"/>
        <v>0</v>
      </c>
      <c r="N113" s="648">
        <f t="shared" si="458"/>
        <v>0</v>
      </c>
      <c r="O113" s="648">
        <f t="shared" si="458"/>
        <v>0</v>
      </c>
      <c r="P113" s="648">
        <f t="shared" si="458"/>
        <v>0</v>
      </c>
      <c r="Q113" s="648">
        <f t="shared" si="458"/>
        <v>0</v>
      </c>
      <c r="R113" s="648">
        <f t="shared" si="458"/>
        <v>0</v>
      </c>
      <c r="S113" s="648">
        <f t="shared" si="458"/>
        <v>0</v>
      </c>
      <c r="T113" s="648">
        <f t="shared" si="458"/>
        <v>0</v>
      </c>
      <c r="U113" s="648">
        <f t="shared" si="458"/>
        <v>0</v>
      </c>
      <c r="V113" s="648">
        <f t="shared" si="458"/>
        <v>0</v>
      </c>
      <c r="W113" s="648">
        <f t="shared" si="458"/>
        <v>0</v>
      </c>
      <c r="X113" s="648">
        <f t="shared" si="458"/>
        <v>0</v>
      </c>
      <c r="Y113" s="648">
        <f t="shared" si="458"/>
        <v>0</v>
      </c>
      <c r="Z113" s="648">
        <f t="shared" si="458"/>
        <v>0</v>
      </c>
      <c r="AA113" s="648">
        <f t="shared" si="458"/>
        <v>0</v>
      </c>
      <c r="AB113" s="648">
        <f t="shared" si="458"/>
        <v>0</v>
      </c>
      <c r="AC113" s="648">
        <f t="shared" si="458"/>
        <v>0</v>
      </c>
      <c r="AD113" s="648">
        <f t="shared" si="458"/>
        <v>0</v>
      </c>
      <c r="AE113" s="648">
        <f t="shared" si="458"/>
        <v>0</v>
      </c>
      <c r="AF113" s="648">
        <f t="shared" si="458"/>
        <v>0</v>
      </c>
      <c r="AG113" s="648">
        <f t="shared" si="458"/>
        <v>0</v>
      </c>
      <c r="AH113" s="648">
        <f t="shared" si="458"/>
        <v>0</v>
      </c>
      <c r="AI113" s="648"/>
      <c r="AJ113" s="648">
        <f t="shared" ref="AJ113:BN113" si="459">AJ15*$EF113</f>
        <v>0</v>
      </c>
      <c r="AK113" s="648">
        <f t="shared" si="459"/>
        <v>0</v>
      </c>
      <c r="AL113" s="648">
        <f t="shared" si="459"/>
        <v>0</v>
      </c>
      <c r="AM113" s="648">
        <f t="shared" si="459"/>
        <v>0</v>
      </c>
      <c r="AN113" s="648">
        <f t="shared" si="459"/>
        <v>0</v>
      </c>
      <c r="AO113" s="648">
        <f t="shared" si="459"/>
        <v>0</v>
      </c>
      <c r="AP113" s="648">
        <f t="shared" si="459"/>
        <v>0</v>
      </c>
      <c r="AQ113" s="648">
        <f t="shared" si="459"/>
        <v>0</v>
      </c>
      <c r="AR113" s="648">
        <f t="shared" si="459"/>
        <v>0</v>
      </c>
      <c r="AS113" s="648">
        <f t="shared" si="459"/>
        <v>0</v>
      </c>
      <c r="AT113" s="648">
        <f t="shared" si="459"/>
        <v>0</v>
      </c>
      <c r="AU113" s="648">
        <f t="shared" si="459"/>
        <v>0</v>
      </c>
      <c r="AV113" s="648">
        <f t="shared" si="459"/>
        <v>0</v>
      </c>
      <c r="AW113" s="648">
        <f t="shared" si="459"/>
        <v>0</v>
      </c>
      <c r="AX113" s="648">
        <f t="shared" si="459"/>
        <v>0</v>
      </c>
      <c r="AY113" s="648">
        <f t="shared" si="459"/>
        <v>0</v>
      </c>
      <c r="AZ113" s="648">
        <f t="shared" si="459"/>
        <v>0</v>
      </c>
      <c r="BA113" s="648">
        <f t="shared" si="459"/>
        <v>0</v>
      </c>
      <c r="BB113" s="648">
        <f t="shared" si="459"/>
        <v>0</v>
      </c>
      <c r="BC113" s="648">
        <f t="shared" si="459"/>
        <v>0</v>
      </c>
      <c r="BD113" s="648">
        <f t="shared" si="459"/>
        <v>0</v>
      </c>
      <c r="BE113" s="648">
        <f t="shared" si="459"/>
        <v>0</v>
      </c>
      <c r="BF113" s="648">
        <f t="shared" si="459"/>
        <v>0</v>
      </c>
      <c r="BG113" s="648">
        <f t="shared" si="459"/>
        <v>0</v>
      </c>
      <c r="BH113" s="648">
        <f t="shared" si="459"/>
        <v>0</v>
      </c>
      <c r="BI113" s="648">
        <f t="shared" si="459"/>
        <v>0</v>
      </c>
      <c r="BJ113" s="648">
        <f t="shared" si="459"/>
        <v>0</v>
      </c>
      <c r="BK113" s="648">
        <f t="shared" si="459"/>
        <v>0</v>
      </c>
      <c r="BL113" s="648">
        <f t="shared" si="459"/>
        <v>0</v>
      </c>
      <c r="BM113" s="648">
        <f t="shared" si="459"/>
        <v>0</v>
      </c>
      <c r="BN113" s="648">
        <f t="shared" si="459"/>
        <v>0</v>
      </c>
      <c r="BO113" s="648"/>
      <c r="BP113" s="648">
        <f t="shared" ref="BP113:CT113" si="460">BP15*$EF113</f>
        <v>0</v>
      </c>
      <c r="BQ113" s="648">
        <f t="shared" si="460"/>
        <v>0</v>
      </c>
      <c r="BR113" s="648">
        <f t="shared" si="460"/>
        <v>0</v>
      </c>
      <c r="BS113" s="648">
        <f t="shared" si="460"/>
        <v>0</v>
      </c>
      <c r="BT113" s="648">
        <f t="shared" si="460"/>
        <v>0</v>
      </c>
      <c r="BU113" s="648">
        <f t="shared" si="460"/>
        <v>0</v>
      </c>
      <c r="BV113" s="648">
        <f t="shared" si="460"/>
        <v>0</v>
      </c>
      <c r="BW113" s="648">
        <f t="shared" si="460"/>
        <v>0</v>
      </c>
      <c r="BX113" s="648">
        <f t="shared" si="460"/>
        <v>0</v>
      </c>
      <c r="BY113" s="648">
        <f t="shared" si="460"/>
        <v>0</v>
      </c>
      <c r="BZ113" s="648">
        <f t="shared" si="460"/>
        <v>0</v>
      </c>
      <c r="CA113" s="648">
        <f t="shared" si="460"/>
        <v>0</v>
      </c>
      <c r="CB113" s="648">
        <f t="shared" si="460"/>
        <v>0</v>
      </c>
      <c r="CC113" s="648">
        <f t="shared" si="460"/>
        <v>0</v>
      </c>
      <c r="CD113" s="648">
        <f t="shared" si="460"/>
        <v>0</v>
      </c>
      <c r="CE113" s="648">
        <f t="shared" si="460"/>
        <v>0</v>
      </c>
      <c r="CF113" s="648">
        <f t="shared" si="460"/>
        <v>0</v>
      </c>
      <c r="CG113" s="648">
        <f t="shared" si="460"/>
        <v>0</v>
      </c>
      <c r="CH113" s="648">
        <f t="shared" si="460"/>
        <v>0</v>
      </c>
      <c r="CI113" s="648">
        <f t="shared" si="460"/>
        <v>0</v>
      </c>
      <c r="CJ113" s="648">
        <f t="shared" si="460"/>
        <v>0</v>
      </c>
      <c r="CK113" s="648">
        <f t="shared" si="460"/>
        <v>0</v>
      </c>
      <c r="CL113" s="648">
        <f t="shared" si="460"/>
        <v>0</v>
      </c>
      <c r="CM113" s="648">
        <f t="shared" si="460"/>
        <v>0</v>
      </c>
      <c r="CN113" s="648">
        <f t="shared" si="460"/>
        <v>0</v>
      </c>
      <c r="CO113" s="648">
        <f t="shared" si="460"/>
        <v>0</v>
      </c>
      <c r="CP113" s="648">
        <f t="shared" si="460"/>
        <v>0</v>
      </c>
      <c r="CQ113" s="648">
        <f t="shared" si="460"/>
        <v>0</v>
      </c>
      <c r="CR113" s="648">
        <f t="shared" si="460"/>
        <v>0</v>
      </c>
      <c r="CS113" s="648">
        <f t="shared" si="460"/>
        <v>0</v>
      </c>
      <c r="CT113" s="648">
        <f t="shared" si="460"/>
        <v>0</v>
      </c>
      <c r="CU113" s="648"/>
      <c r="CV113" s="648">
        <f t="shared" ref="CV113:DZ113" si="461">CV15*$EF113</f>
        <v>0</v>
      </c>
      <c r="CW113" s="648">
        <f t="shared" si="461"/>
        <v>0</v>
      </c>
      <c r="CX113" s="648">
        <f t="shared" si="461"/>
        <v>0</v>
      </c>
      <c r="CY113" s="648">
        <f t="shared" si="461"/>
        <v>0</v>
      </c>
      <c r="CZ113" s="648">
        <f t="shared" si="461"/>
        <v>0</v>
      </c>
      <c r="DA113" s="648">
        <f t="shared" si="461"/>
        <v>0</v>
      </c>
      <c r="DB113" s="648">
        <f t="shared" si="461"/>
        <v>0</v>
      </c>
      <c r="DC113" s="648">
        <f t="shared" si="461"/>
        <v>0</v>
      </c>
      <c r="DD113" s="648">
        <f t="shared" si="461"/>
        <v>0</v>
      </c>
      <c r="DE113" s="648">
        <f t="shared" si="461"/>
        <v>0</v>
      </c>
      <c r="DF113" s="648">
        <f t="shared" si="461"/>
        <v>0</v>
      </c>
      <c r="DG113" s="648">
        <f t="shared" si="461"/>
        <v>0</v>
      </c>
      <c r="DH113" s="648">
        <f t="shared" si="461"/>
        <v>0</v>
      </c>
      <c r="DI113" s="648">
        <f t="shared" si="461"/>
        <v>0</v>
      </c>
      <c r="DJ113" s="648">
        <f t="shared" si="461"/>
        <v>0</v>
      </c>
      <c r="DK113" s="648">
        <f t="shared" si="461"/>
        <v>0</v>
      </c>
      <c r="DL113" s="648">
        <f t="shared" si="461"/>
        <v>0</v>
      </c>
      <c r="DM113" s="648">
        <f t="shared" si="461"/>
        <v>0</v>
      </c>
      <c r="DN113" s="648">
        <f t="shared" si="461"/>
        <v>0</v>
      </c>
      <c r="DO113" s="648">
        <f t="shared" si="461"/>
        <v>0</v>
      </c>
      <c r="DP113" s="648">
        <f t="shared" si="461"/>
        <v>0</v>
      </c>
      <c r="DQ113" s="648">
        <f t="shared" si="461"/>
        <v>0</v>
      </c>
      <c r="DR113" s="648">
        <f t="shared" si="461"/>
        <v>0</v>
      </c>
      <c r="DS113" s="648">
        <f t="shared" si="461"/>
        <v>0</v>
      </c>
      <c r="DT113" s="648">
        <f t="shared" si="461"/>
        <v>0</v>
      </c>
      <c r="DU113" s="648">
        <f t="shared" si="461"/>
        <v>0</v>
      </c>
      <c r="DV113" s="648">
        <f t="shared" si="461"/>
        <v>0</v>
      </c>
      <c r="DW113" s="648">
        <f t="shared" si="461"/>
        <v>0</v>
      </c>
      <c r="DX113" s="648">
        <f t="shared" si="461"/>
        <v>0</v>
      </c>
      <c r="DY113" s="648">
        <f t="shared" si="461"/>
        <v>0</v>
      </c>
      <c r="DZ113" s="648">
        <f t="shared" si="461"/>
        <v>0</v>
      </c>
      <c r="EF113" s="610">
        <v>1000</v>
      </c>
      <c r="EG113" s="51"/>
      <c r="EH113" s="51"/>
      <c r="EI113" s="51"/>
      <c r="EJ113" s="51"/>
      <c r="EM113" t="s">
        <v>99</v>
      </c>
    </row>
    <row r="114" spans="1:143">
      <c r="A114" s="1"/>
      <c r="B114" t="str">
        <f t="shared" si="425"/>
        <v>Apparel - waste reduction</v>
      </c>
      <c r="C114" s="54" t="s">
        <v>114</v>
      </c>
      <c r="D114" s="648">
        <f t="shared" ref="D114:AH114" si="462">D16*$EF114</f>
        <v>0</v>
      </c>
      <c r="E114" s="648">
        <f t="shared" si="462"/>
        <v>0</v>
      </c>
      <c r="F114" s="648">
        <f t="shared" si="462"/>
        <v>0</v>
      </c>
      <c r="G114" s="648">
        <f t="shared" si="462"/>
        <v>0</v>
      </c>
      <c r="H114" s="648">
        <f t="shared" si="462"/>
        <v>0</v>
      </c>
      <c r="I114" s="648">
        <f t="shared" si="462"/>
        <v>0</v>
      </c>
      <c r="J114" s="648">
        <f t="shared" si="462"/>
        <v>0</v>
      </c>
      <c r="K114" s="648">
        <f t="shared" si="462"/>
        <v>0</v>
      </c>
      <c r="L114" s="648">
        <f t="shared" si="462"/>
        <v>0</v>
      </c>
      <c r="M114" s="648">
        <f t="shared" si="462"/>
        <v>0</v>
      </c>
      <c r="N114" s="648">
        <f t="shared" si="462"/>
        <v>0</v>
      </c>
      <c r="O114" s="648">
        <f t="shared" si="462"/>
        <v>0</v>
      </c>
      <c r="P114" s="648">
        <f t="shared" si="462"/>
        <v>0</v>
      </c>
      <c r="Q114" s="648">
        <f t="shared" si="462"/>
        <v>0</v>
      </c>
      <c r="R114" s="648">
        <f t="shared" si="462"/>
        <v>0</v>
      </c>
      <c r="S114" s="648">
        <f t="shared" si="462"/>
        <v>0</v>
      </c>
      <c r="T114" s="648">
        <f t="shared" si="462"/>
        <v>0</v>
      </c>
      <c r="U114" s="648">
        <f t="shared" si="462"/>
        <v>0</v>
      </c>
      <c r="V114" s="648">
        <f t="shared" si="462"/>
        <v>0</v>
      </c>
      <c r="W114" s="648">
        <f t="shared" si="462"/>
        <v>0</v>
      </c>
      <c r="X114" s="648">
        <f t="shared" si="462"/>
        <v>0</v>
      </c>
      <c r="Y114" s="648">
        <f t="shared" si="462"/>
        <v>0</v>
      </c>
      <c r="Z114" s="648">
        <f t="shared" si="462"/>
        <v>0</v>
      </c>
      <c r="AA114" s="648">
        <f t="shared" si="462"/>
        <v>0</v>
      </c>
      <c r="AB114" s="648">
        <f t="shared" si="462"/>
        <v>0</v>
      </c>
      <c r="AC114" s="648">
        <f t="shared" si="462"/>
        <v>0</v>
      </c>
      <c r="AD114" s="648">
        <f t="shared" si="462"/>
        <v>0</v>
      </c>
      <c r="AE114" s="648">
        <f t="shared" si="462"/>
        <v>0</v>
      </c>
      <c r="AF114" s="648">
        <f t="shared" si="462"/>
        <v>0</v>
      </c>
      <c r="AG114" s="648">
        <f t="shared" si="462"/>
        <v>0</v>
      </c>
      <c r="AH114" s="648">
        <f t="shared" si="462"/>
        <v>0</v>
      </c>
      <c r="AI114" s="648"/>
      <c r="AJ114" s="648">
        <f t="shared" ref="AJ114:BN114" si="463">AJ16*$EF114</f>
        <v>0</v>
      </c>
      <c r="AK114" s="648">
        <f t="shared" si="463"/>
        <v>0</v>
      </c>
      <c r="AL114" s="648">
        <f t="shared" si="463"/>
        <v>0</v>
      </c>
      <c r="AM114" s="648">
        <f t="shared" si="463"/>
        <v>0</v>
      </c>
      <c r="AN114" s="648">
        <f t="shared" si="463"/>
        <v>0</v>
      </c>
      <c r="AO114" s="648">
        <f t="shared" si="463"/>
        <v>0</v>
      </c>
      <c r="AP114" s="648">
        <f t="shared" si="463"/>
        <v>0</v>
      </c>
      <c r="AQ114" s="648">
        <f t="shared" si="463"/>
        <v>0</v>
      </c>
      <c r="AR114" s="648">
        <f t="shared" si="463"/>
        <v>0</v>
      </c>
      <c r="AS114" s="648">
        <f t="shared" si="463"/>
        <v>0</v>
      </c>
      <c r="AT114" s="648">
        <f t="shared" si="463"/>
        <v>0</v>
      </c>
      <c r="AU114" s="648">
        <f t="shared" si="463"/>
        <v>0</v>
      </c>
      <c r="AV114" s="648">
        <f t="shared" si="463"/>
        <v>0</v>
      </c>
      <c r="AW114" s="648">
        <f t="shared" si="463"/>
        <v>0</v>
      </c>
      <c r="AX114" s="648">
        <f t="shared" si="463"/>
        <v>0</v>
      </c>
      <c r="AY114" s="648">
        <f t="shared" si="463"/>
        <v>0</v>
      </c>
      <c r="AZ114" s="648">
        <f t="shared" si="463"/>
        <v>0</v>
      </c>
      <c r="BA114" s="648">
        <f t="shared" si="463"/>
        <v>0</v>
      </c>
      <c r="BB114" s="648">
        <f t="shared" si="463"/>
        <v>0</v>
      </c>
      <c r="BC114" s="648">
        <f t="shared" si="463"/>
        <v>0</v>
      </c>
      <c r="BD114" s="648">
        <f t="shared" si="463"/>
        <v>0</v>
      </c>
      <c r="BE114" s="648">
        <f t="shared" si="463"/>
        <v>0</v>
      </c>
      <c r="BF114" s="648">
        <f t="shared" si="463"/>
        <v>0</v>
      </c>
      <c r="BG114" s="648">
        <f t="shared" si="463"/>
        <v>0</v>
      </c>
      <c r="BH114" s="648">
        <f t="shared" si="463"/>
        <v>0</v>
      </c>
      <c r="BI114" s="648">
        <f t="shared" si="463"/>
        <v>0</v>
      </c>
      <c r="BJ114" s="648">
        <f t="shared" si="463"/>
        <v>0</v>
      </c>
      <c r="BK114" s="648">
        <f t="shared" si="463"/>
        <v>0</v>
      </c>
      <c r="BL114" s="648">
        <f t="shared" si="463"/>
        <v>0</v>
      </c>
      <c r="BM114" s="648">
        <f t="shared" si="463"/>
        <v>0</v>
      </c>
      <c r="BN114" s="648">
        <f t="shared" si="463"/>
        <v>0</v>
      </c>
      <c r="BO114" s="648"/>
      <c r="BP114" s="648">
        <f t="shared" ref="BP114:CT114" si="464">BP16*$EF114</f>
        <v>0</v>
      </c>
      <c r="BQ114" s="648">
        <f t="shared" si="464"/>
        <v>0</v>
      </c>
      <c r="BR114" s="648">
        <f t="shared" si="464"/>
        <v>0</v>
      </c>
      <c r="BS114" s="648">
        <f t="shared" si="464"/>
        <v>0</v>
      </c>
      <c r="BT114" s="648">
        <f t="shared" si="464"/>
        <v>0</v>
      </c>
      <c r="BU114" s="648">
        <f t="shared" si="464"/>
        <v>0</v>
      </c>
      <c r="BV114" s="648">
        <f t="shared" si="464"/>
        <v>0</v>
      </c>
      <c r="BW114" s="648">
        <f t="shared" si="464"/>
        <v>0</v>
      </c>
      <c r="BX114" s="648">
        <f t="shared" si="464"/>
        <v>0</v>
      </c>
      <c r="BY114" s="648">
        <f t="shared" si="464"/>
        <v>0</v>
      </c>
      <c r="BZ114" s="648">
        <f t="shared" si="464"/>
        <v>0</v>
      </c>
      <c r="CA114" s="648">
        <f t="shared" si="464"/>
        <v>0</v>
      </c>
      <c r="CB114" s="648">
        <f t="shared" si="464"/>
        <v>0</v>
      </c>
      <c r="CC114" s="648">
        <f t="shared" si="464"/>
        <v>0</v>
      </c>
      <c r="CD114" s="648">
        <f t="shared" si="464"/>
        <v>0</v>
      </c>
      <c r="CE114" s="648">
        <f t="shared" si="464"/>
        <v>0</v>
      </c>
      <c r="CF114" s="648">
        <f t="shared" si="464"/>
        <v>0</v>
      </c>
      <c r="CG114" s="648">
        <f t="shared" si="464"/>
        <v>0</v>
      </c>
      <c r="CH114" s="648">
        <f t="shared" si="464"/>
        <v>0</v>
      </c>
      <c r="CI114" s="648">
        <f t="shared" si="464"/>
        <v>0</v>
      </c>
      <c r="CJ114" s="648">
        <f t="shared" si="464"/>
        <v>0</v>
      </c>
      <c r="CK114" s="648">
        <f t="shared" si="464"/>
        <v>0</v>
      </c>
      <c r="CL114" s="648">
        <f t="shared" si="464"/>
        <v>0</v>
      </c>
      <c r="CM114" s="648">
        <f t="shared" si="464"/>
        <v>0</v>
      </c>
      <c r="CN114" s="648">
        <f t="shared" si="464"/>
        <v>0</v>
      </c>
      <c r="CO114" s="648">
        <f t="shared" si="464"/>
        <v>0</v>
      </c>
      <c r="CP114" s="648">
        <f t="shared" si="464"/>
        <v>0</v>
      </c>
      <c r="CQ114" s="648">
        <f t="shared" si="464"/>
        <v>0</v>
      </c>
      <c r="CR114" s="648">
        <f t="shared" si="464"/>
        <v>0</v>
      </c>
      <c r="CS114" s="648">
        <f t="shared" si="464"/>
        <v>0</v>
      </c>
      <c r="CT114" s="648">
        <f t="shared" si="464"/>
        <v>0</v>
      </c>
      <c r="CU114" s="648"/>
      <c r="CV114" s="648">
        <f t="shared" ref="CV114:DZ114" si="465">CV16*$EF114</f>
        <v>0</v>
      </c>
      <c r="CW114" s="648">
        <f t="shared" si="465"/>
        <v>0</v>
      </c>
      <c r="CX114" s="648">
        <f t="shared" si="465"/>
        <v>0</v>
      </c>
      <c r="CY114" s="648">
        <f t="shared" si="465"/>
        <v>0</v>
      </c>
      <c r="CZ114" s="648">
        <f t="shared" si="465"/>
        <v>0</v>
      </c>
      <c r="DA114" s="648">
        <f t="shared" si="465"/>
        <v>0</v>
      </c>
      <c r="DB114" s="648">
        <f t="shared" si="465"/>
        <v>0</v>
      </c>
      <c r="DC114" s="648">
        <f t="shared" si="465"/>
        <v>0</v>
      </c>
      <c r="DD114" s="648">
        <f t="shared" si="465"/>
        <v>0</v>
      </c>
      <c r="DE114" s="648">
        <f t="shared" si="465"/>
        <v>0</v>
      </c>
      <c r="DF114" s="648">
        <f t="shared" si="465"/>
        <v>0</v>
      </c>
      <c r="DG114" s="648">
        <f t="shared" si="465"/>
        <v>0</v>
      </c>
      <c r="DH114" s="648">
        <f t="shared" si="465"/>
        <v>0</v>
      </c>
      <c r="DI114" s="648">
        <f t="shared" si="465"/>
        <v>0</v>
      </c>
      <c r="DJ114" s="648">
        <f t="shared" si="465"/>
        <v>0</v>
      </c>
      <c r="DK114" s="648">
        <f t="shared" si="465"/>
        <v>0</v>
      </c>
      <c r="DL114" s="648">
        <f t="shared" si="465"/>
        <v>0</v>
      </c>
      <c r="DM114" s="648">
        <f t="shared" si="465"/>
        <v>0</v>
      </c>
      <c r="DN114" s="648">
        <f t="shared" si="465"/>
        <v>0</v>
      </c>
      <c r="DO114" s="648">
        <f t="shared" si="465"/>
        <v>0</v>
      </c>
      <c r="DP114" s="648">
        <f t="shared" si="465"/>
        <v>0</v>
      </c>
      <c r="DQ114" s="648">
        <f t="shared" si="465"/>
        <v>0</v>
      </c>
      <c r="DR114" s="648">
        <f t="shared" si="465"/>
        <v>0</v>
      </c>
      <c r="DS114" s="648">
        <f t="shared" si="465"/>
        <v>0</v>
      </c>
      <c r="DT114" s="648">
        <f t="shared" si="465"/>
        <v>0</v>
      </c>
      <c r="DU114" s="648">
        <f t="shared" si="465"/>
        <v>0</v>
      </c>
      <c r="DV114" s="648">
        <f t="shared" si="465"/>
        <v>0</v>
      </c>
      <c r="DW114" s="648">
        <f t="shared" si="465"/>
        <v>0</v>
      </c>
      <c r="DX114" s="648">
        <f t="shared" si="465"/>
        <v>0</v>
      </c>
      <c r="DY114" s="648">
        <f t="shared" si="465"/>
        <v>0</v>
      </c>
      <c r="DZ114" s="648">
        <f t="shared" si="465"/>
        <v>0</v>
      </c>
      <c r="EF114" s="51">
        <v>0</v>
      </c>
      <c r="EG114" s="51"/>
      <c r="EH114" s="51"/>
      <c r="EI114" s="51"/>
      <c r="EJ114" s="51"/>
      <c r="EM114" t="s">
        <v>99</v>
      </c>
    </row>
    <row r="115" spans="1:143">
      <c r="A115" s="1"/>
      <c r="B115" t="str">
        <f t="shared" si="425"/>
        <v>Apparel - NBM</v>
      </c>
      <c r="C115" s="54" t="s">
        <v>114</v>
      </c>
      <c r="D115" s="648">
        <f t="shared" ref="D115:AH115" si="466">D17*$EF115</f>
        <v>0</v>
      </c>
      <c r="E115" s="648">
        <f t="shared" si="466"/>
        <v>0</v>
      </c>
      <c r="F115" s="648">
        <f t="shared" si="466"/>
        <v>0</v>
      </c>
      <c r="G115" s="648">
        <f t="shared" si="466"/>
        <v>0</v>
      </c>
      <c r="H115" s="648">
        <f t="shared" si="466"/>
        <v>0</v>
      </c>
      <c r="I115" s="648">
        <f t="shared" si="466"/>
        <v>0</v>
      </c>
      <c r="J115" s="648">
        <f t="shared" si="466"/>
        <v>0</v>
      </c>
      <c r="K115" s="648">
        <f t="shared" si="466"/>
        <v>0</v>
      </c>
      <c r="L115" s="648">
        <f t="shared" si="466"/>
        <v>0</v>
      </c>
      <c r="M115" s="648">
        <f t="shared" si="466"/>
        <v>0</v>
      </c>
      <c r="N115" s="648">
        <f t="shared" si="466"/>
        <v>0</v>
      </c>
      <c r="O115" s="648">
        <f t="shared" si="466"/>
        <v>0</v>
      </c>
      <c r="P115" s="648">
        <f t="shared" si="466"/>
        <v>0</v>
      </c>
      <c r="Q115" s="648">
        <f t="shared" si="466"/>
        <v>0</v>
      </c>
      <c r="R115" s="648">
        <f t="shared" si="466"/>
        <v>0</v>
      </c>
      <c r="S115" s="648">
        <f t="shared" si="466"/>
        <v>0</v>
      </c>
      <c r="T115" s="648">
        <f t="shared" si="466"/>
        <v>0</v>
      </c>
      <c r="U115" s="648">
        <f t="shared" si="466"/>
        <v>0</v>
      </c>
      <c r="V115" s="648">
        <f t="shared" si="466"/>
        <v>0</v>
      </c>
      <c r="W115" s="648">
        <f t="shared" si="466"/>
        <v>0</v>
      </c>
      <c r="X115" s="648">
        <f t="shared" si="466"/>
        <v>0</v>
      </c>
      <c r="Y115" s="648">
        <f t="shared" si="466"/>
        <v>0</v>
      </c>
      <c r="Z115" s="648">
        <f t="shared" si="466"/>
        <v>0</v>
      </c>
      <c r="AA115" s="648">
        <f t="shared" si="466"/>
        <v>0</v>
      </c>
      <c r="AB115" s="648">
        <f t="shared" si="466"/>
        <v>0</v>
      </c>
      <c r="AC115" s="648">
        <f t="shared" si="466"/>
        <v>0</v>
      </c>
      <c r="AD115" s="648">
        <f t="shared" si="466"/>
        <v>0</v>
      </c>
      <c r="AE115" s="648">
        <f t="shared" si="466"/>
        <v>0</v>
      </c>
      <c r="AF115" s="648">
        <f t="shared" si="466"/>
        <v>0</v>
      </c>
      <c r="AG115" s="648">
        <f t="shared" si="466"/>
        <v>0</v>
      </c>
      <c r="AH115" s="648">
        <f t="shared" si="466"/>
        <v>0</v>
      </c>
      <c r="AI115" s="648"/>
      <c r="AJ115" s="648">
        <f t="shared" ref="AJ115:BN115" si="467">AJ17*$EF115</f>
        <v>0</v>
      </c>
      <c r="AK115" s="648">
        <f t="shared" si="467"/>
        <v>0</v>
      </c>
      <c r="AL115" s="648">
        <f t="shared" si="467"/>
        <v>0</v>
      </c>
      <c r="AM115" s="648">
        <f t="shared" si="467"/>
        <v>0</v>
      </c>
      <c r="AN115" s="648">
        <f t="shared" si="467"/>
        <v>0</v>
      </c>
      <c r="AO115" s="648">
        <f t="shared" si="467"/>
        <v>0</v>
      </c>
      <c r="AP115" s="648">
        <f t="shared" si="467"/>
        <v>0</v>
      </c>
      <c r="AQ115" s="648">
        <f t="shared" si="467"/>
        <v>0</v>
      </c>
      <c r="AR115" s="648">
        <f t="shared" si="467"/>
        <v>0</v>
      </c>
      <c r="AS115" s="648">
        <f t="shared" si="467"/>
        <v>0</v>
      </c>
      <c r="AT115" s="648">
        <f t="shared" si="467"/>
        <v>0</v>
      </c>
      <c r="AU115" s="648">
        <f t="shared" si="467"/>
        <v>0</v>
      </c>
      <c r="AV115" s="648">
        <f t="shared" si="467"/>
        <v>0</v>
      </c>
      <c r="AW115" s="648">
        <f t="shared" si="467"/>
        <v>0</v>
      </c>
      <c r="AX115" s="648">
        <f t="shared" si="467"/>
        <v>0</v>
      </c>
      <c r="AY115" s="648">
        <f t="shared" si="467"/>
        <v>0</v>
      </c>
      <c r="AZ115" s="648">
        <f t="shared" si="467"/>
        <v>0</v>
      </c>
      <c r="BA115" s="648">
        <f t="shared" si="467"/>
        <v>0</v>
      </c>
      <c r="BB115" s="648">
        <f t="shared" si="467"/>
        <v>0</v>
      </c>
      <c r="BC115" s="648">
        <f t="shared" si="467"/>
        <v>0</v>
      </c>
      <c r="BD115" s="648">
        <f t="shared" si="467"/>
        <v>0</v>
      </c>
      <c r="BE115" s="648">
        <f t="shared" si="467"/>
        <v>0</v>
      </c>
      <c r="BF115" s="648">
        <f t="shared" si="467"/>
        <v>0</v>
      </c>
      <c r="BG115" s="648">
        <f t="shared" si="467"/>
        <v>0</v>
      </c>
      <c r="BH115" s="648">
        <f t="shared" si="467"/>
        <v>0</v>
      </c>
      <c r="BI115" s="648">
        <f t="shared" si="467"/>
        <v>0</v>
      </c>
      <c r="BJ115" s="648">
        <f t="shared" si="467"/>
        <v>0</v>
      </c>
      <c r="BK115" s="648">
        <f t="shared" si="467"/>
        <v>0</v>
      </c>
      <c r="BL115" s="648">
        <f t="shared" si="467"/>
        <v>0</v>
      </c>
      <c r="BM115" s="648">
        <f t="shared" si="467"/>
        <v>0</v>
      </c>
      <c r="BN115" s="648">
        <f t="shared" si="467"/>
        <v>0</v>
      </c>
      <c r="BO115" s="648"/>
      <c r="BP115" s="648">
        <f t="shared" ref="BP115:CT115" si="468">BP17*$EF115</f>
        <v>0</v>
      </c>
      <c r="BQ115" s="648">
        <f t="shared" si="468"/>
        <v>0</v>
      </c>
      <c r="BR115" s="648">
        <f t="shared" si="468"/>
        <v>0</v>
      </c>
      <c r="BS115" s="648">
        <f t="shared" si="468"/>
        <v>0</v>
      </c>
      <c r="BT115" s="648">
        <f t="shared" si="468"/>
        <v>0</v>
      </c>
      <c r="BU115" s="648">
        <f t="shared" si="468"/>
        <v>0</v>
      </c>
      <c r="BV115" s="648">
        <f t="shared" si="468"/>
        <v>0</v>
      </c>
      <c r="BW115" s="648">
        <f t="shared" si="468"/>
        <v>0</v>
      </c>
      <c r="BX115" s="648">
        <f t="shared" si="468"/>
        <v>0</v>
      </c>
      <c r="BY115" s="648">
        <f t="shared" si="468"/>
        <v>0</v>
      </c>
      <c r="BZ115" s="648">
        <f t="shared" si="468"/>
        <v>0</v>
      </c>
      <c r="CA115" s="648">
        <f t="shared" si="468"/>
        <v>0</v>
      </c>
      <c r="CB115" s="648">
        <f t="shared" si="468"/>
        <v>0</v>
      </c>
      <c r="CC115" s="648">
        <f t="shared" si="468"/>
        <v>0</v>
      </c>
      <c r="CD115" s="648">
        <f t="shared" si="468"/>
        <v>0</v>
      </c>
      <c r="CE115" s="648">
        <f t="shared" si="468"/>
        <v>0</v>
      </c>
      <c r="CF115" s="648">
        <f t="shared" si="468"/>
        <v>0</v>
      </c>
      <c r="CG115" s="648">
        <f t="shared" si="468"/>
        <v>0</v>
      </c>
      <c r="CH115" s="648">
        <f t="shared" si="468"/>
        <v>0</v>
      </c>
      <c r="CI115" s="648">
        <f t="shared" si="468"/>
        <v>0</v>
      </c>
      <c r="CJ115" s="648">
        <f t="shared" si="468"/>
        <v>0</v>
      </c>
      <c r="CK115" s="648">
        <f t="shared" si="468"/>
        <v>0</v>
      </c>
      <c r="CL115" s="648">
        <f t="shared" si="468"/>
        <v>0</v>
      </c>
      <c r="CM115" s="648">
        <f t="shared" si="468"/>
        <v>0</v>
      </c>
      <c r="CN115" s="648">
        <f t="shared" si="468"/>
        <v>0</v>
      </c>
      <c r="CO115" s="648">
        <f t="shared" si="468"/>
        <v>0</v>
      </c>
      <c r="CP115" s="648">
        <f t="shared" si="468"/>
        <v>0</v>
      </c>
      <c r="CQ115" s="648">
        <f t="shared" si="468"/>
        <v>0</v>
      </c>
      <c r="CR115" s="648">
        <f t="shared" si="468"/>
        <v>0</v>
      </c>
      <c r="CS115" s="648">
        <f t="shared" si="468"/>
        <v>0</v>
      </c>
      <c r="CT115" s="648">
        <f t="shared" si="468"/>
        <v>0</v>
      </c>
      <c r="CU115" s="648"/>
      <c r="CV115" s="648">
        <f t="shared" ref="CV115:DZ115" si="469">CV17*$EF115</f>
        <v>0</v>
      </c>
      <c r="CW115" s="648">
        <f t="shared" si="469"/>
        <v>0</v>
      </c>
      <c r="CX115" s="648">
        <f t="shared" si="469"/>
        <v>0</v>
      </c>
      <c r="CY115" s="648">
        <f t="shared" si="469"/>
        <v>0</v>
      </c>
      <c r="CZ115" s="648">
        <f t="shared" si="469"/>
        <v>0</v>
      </c>
      <c r="DA115" s="648">
        <f t="shared" si="469"/>
        <v>0</v>
      </c>
      <c r="DB115" s="648">
        <f t="shared" si="469"/>
        <v>0</v>
      </c>
      <c r="DC115" s="648">
        <f t="shared" si="469"/>
        <v>0</v>
      </c>
      <c r="DD115" s="648">
        <f t="shared" si="469"/>
        <v>0</v>
      </c>
      <c r="DE115" s="648">
        <f t="shared" si="469"/>
        <v>0</v>
      </c>
      <c r="DF115" s="648">
        <f t="shared" si="469"/>
        <v>0</v>
      </c>
      <c r="DG115" s="648">
        <f t="shared" si="469"/>
        <v>0</v>
      </c>
      <c r="DH115" s="648">
        <f t="shared" si="469"/>
        <v>0</v>
      </c>
      <c r="DI115" s="648">
        <f t="shared" si="469"/>
        <v>0</v>
      </c>
      <c r="DJ115" s="648">
        <f t="shared" si="469"/>
        <v>0</v>
      </c>
      <c r="DK115" s="648">
        <f t="shared" si="469"/>
        <v>0</v>
      </c>
      <c r="DL115" s="648">
        <f t="shared" si="469"/>
        <v>0</v>
      </c>
      <c r="DM115" s="648">
        <f t="shared" si="469"/>
        <v>0</v>
      </c>
      <c r="DN115" s="648">
        <f t="shared" si="469"/>
        <v>0</v>
      </c>
      <c r="DO115" s="648">
        <f t="shared" si="469"/>
        <v>0</v>
      </c>
      <c r="DP115" s="648">
        <f t="shared" si="469"/>
        <v>0</v>
      </c>
      <c r="DQ115" s="648">
        <f t="shared" si="469"/>
        <v>0</v>
      </c>
      <c r="DR115" s="648">
        <f t="shared" si="469"/>
        <v>0</v>
      </c>
      <c r="DS115" s="648">
        <f t="shared" si="469"/>
        <v>0</v>
      </c>
      <c r="DT115" s="648">
        <f t="shared" si="469"/>
        <v>0</v>
      </c>
      <c r="DU115" s="648">
        <f t="shared" si="469"/>
        <v>0</v>
      </c>
      <c r="DV115" s="648">
        <f t="shared" si="469"/>
        <v>0</v>
      </c>
      <c r="DW115" s="648">
        <f t="shared" si="469"/>
        <v>0</v>
      </c>
      <c r="DX115" s="648">
        <f t="shared" si="469"/>
        <v>0</v>
      </c>
      <c r="DY115" s="648">
        <f t="shared" si="469"/>
        <v>0</v>
      </c>
      <c r="DZ115" s="648">
        <f t="shared" si="469"/>
        <v>0</v>
      </c>
      <c r="EF115" s="610">
        <v>1000</v>
      </c>
      <c r="EG115" s="51"/>
      <c r="EH115" s="51"/>
      <c r="EI115" s="51"/>
      <c r="EJ115" s="51"/>
      <c r="EM115" t="s">
        <v>99</v>
      </c>
    </row>
    <row r="116" spans="1:143">
      <c r="A116" s="1"/>
      <c r="B116" t="str">
        <f t="shared" si="425"/>
        <v>Apparel - substitution</v>
      </c>
      <c r="C116" s="54" t="s">
        <v>114</v>
      </c>
      <c r="D116" s="648">
        <f t="shared" ref="D116:AH116" si="470">D18*$EF116</f>
        <v>0</v>
      </c>
      <c r="E116" s="648">
        <f t="shared" si="470"/>
        <v>0</v>
      </c>
      <c r="F116" s="648">
        <f t="shared" si="470"/>
        <v>0</v>
      </c>
      <c r="G116" s="648">
        <f t="shared" si="470"/>
        <v>0</v>
      </c>
      <c r="H116" s="648">
        <f t="shared" si="470"/>
        <v>0</v>
      </c>
      <c r="I116" s="648">
        <f t="shared" si="470"/>
        <v>0</v>
      </c>
      <c r="J116" s="648">
        <f t="shared" si="470"/>
        <v>0</v>
      </c>
      <c r="K116" s="648">
        <f t="shared" si="470"/>
        <v>0</v>
      </c>
      <c r="L116" s="648">
        <f t="shared" si="470"/>
        <v>0</v>
      </c>
      <c r="M116" s="648">
        <f t="shared" si="470"/>
        <v>0</v>
      </c>
      <c r="N116" s="648">
        <f t="shared" si="470"/>
        <v>0</v>
      </c>
      <c r="O116" s="648">
        <f t="shared" si="470"/>
        <v>0</v>
      </c>
      <c r="P116" s="648">
        <f t="shared" si="470"/>
        <v>0</v>
      </c>
      <c r="Q116" s="648">
        <f t="shared" si="470"/>
        <v>0</v>
      </c>
      <c r="R116" s="648">
        <f t="shared" si="470"/>
        <v>0</v>
      </c>
      <c r="S116" s="648">
        <f t="shared" si="470"/>
        <v>0</v>
      </c>
      <c r="T116" s="648">
        <f t="shared" si="470"/>
        <v>0</v>
      </c>
      <c r="U116" s="648">
        <f t="shared" si="470"/>
        <v>0</v>
      </c>
      <c r="V116" s="648">
        <f t="shared" si="470"/>
        <v>0</v>
      </c>
      <c r="W116" s="648">
        <f t="shared" si="470"/>
        <v>0</v>
      </c>
      <c r="X116" s="648">
        <f t="shared" si="470"/>
        <v>0</v>
      </c>
      <c r="Y116" s="648">
        <f t="shared" si="470"/>
        <v>0</v>
      </c>
      <c r="Z116" s="648">
        <f t="shared" si="470"/>
        <v>0</v>
      </c>
      <c r="AA116" s="648">
        <f t="shared" si="470"/>
        <v>0</v>
      </c>
      <c r="AB116" s="648">
        <f t="shared" si="470"/>
        <v>0</v>
      </c>
      <c r="AC116" s="648">
        <f t="shared" si="470"/>
        <v>0</v>
      </c>
      <c r="AD116" s="648">
        <f t="shared" si="470"/>
        <v>0</v>
      </c>
      <c r="AE116" s="648">
        <f t="shared" si="470"/>
        <v>0</v>
      </c>
      <c r="AF116" s="648">
        <f t="shared" si="470"/>
        <v>0</v>
      </c>
      <c r="AG116" s="648">
        <f t="shared" si="470"/>
        <v>0</v>
      </c>
      <c r="AH116" s="648">
        <f t="shared" si="470"/>
        <v>0</v>
      </c>
      <c r="AI116" s="648"/>
      <c r="AJ116" s="648">
        <f t="shared" ref="AJ116:BN116" si="471">AJ18*$EF116</f>
        <v>0</v>
      </c>
      <c r="AK116" s="648">
        <f t="shared" si="471"/>
        <v>0</v>
      </c>
      <c r="AL116" s="648">
        <f t="shared" si="471"/>
        <v>0</v>
      </c>
      <c r="AM116" s="648">
        <f t="shared" si="471"/>
        <v>0</v>
      </c>
      <c r="AN116" s="648">
        <f t="shared" si="471"/>
        <v>0</v>
      </c>
      <c r="AO116" s="648">
        <f t="shared" si="471"/>
        <v>0</v>
      </c>
      <c r="AP116" s="648">
        <f t="shared" si="471"/>
        <v>0</v>
      </c>
      <c r="AQ116" s="648">
        <f t="shared" si="471"/>
        <v>0</v>
      </c>
      <c r="AR116" s="648">
        <f t="shared" si="471"/>
        <v>0</v>
      </c>
      <c r="AS116" s="648">
        <f t="shared" si="471"/>
        <v>0</v>
      </c>
      <c r="AT116" s="648">
        <f t="shared" si="471"/>
        <v>0</v>
      </c>
      <c r="AU116" s="648">
        <f t="shared" si="471"/>
        <v>0</v>
      </c>
      <c r="AV116" s="648">
        <f t="shared" si="471"/>
        <v>0</v>
      </c>
      <c r="AW116" s="648">
        <f t="shared" si="471"/>
        <v>0</v>
      </c>
      <c r="AX116" s="648">
        <f t="shared" si="471"/>
        <v>0</v>
      </c>
      <c r="AY116" s="648">
        <f t="shared" si="471"/>
        <v>0</v>
      </c>
      <c r="AZ116" s="648">
        <f t="shared" si="471"/>
        <v>0</v>
      </c>
      <c r="BA116" s="648">
        <f t="shared" si="471"/>
        <v>0</v>
      </c>
      <c r="BB116" s="648">
        <f t="shared" si="471"/>
        <v>0</v>
      </c>
      <c r="BC116" s="648">
        <f t="shared" si="471"/>
        <v>0</v>
      </c>
      <c r="BD116" s="648">
        <f t="shared" si="471"/>
        <v>0</v>
      </c>
      <c r="BE116" s="648">
        <f t="shared" si="471"/>
        <v>0</v>
      </c>
      <c r="BF116" s="648">
        <f t="shared" si="471"/>
        <v>0</v>
      </c>
      <c r="BG116" s="648">
        <f t="shared" si="471"/>
        <v>0</v>
      </c>
      <c r="BH116" s="648">
        <f t="shared" si="471"/>
        <v>0</v>
      </c>
      <c r="BI116" s="648">
        <f t="shared" si="471"/>
        <v>0</v>
      </c>
      <c r="BJ116" s="648">
        <f t="shared" si="471"/>
        <v>0</v>
      </c>
      <c r="BK116" s="648">
        <f t="shared" si="471"/>
        <v>0</v>
      </c>
      <c r="BL116" s="648">
        <f t="shared" si="471"/>
        <v>0</v>
      </c>
      <c r="BM116" s="648">
        <f t="shared" si="471"/>
        <v>0</v>
      </c>
      <c r="BN116" s="648">
        <f t="shared" si="471"/>
        <v>0</v>
      </c>
      <c r="BO116" s="648"/>
      <c r="BP116" s="648">
        <f t="shared" ref="BP116:CT116" si="472">BP18*$EF116</f>
        <v>0</v>
      </c>
      <c r="BQ116" s="648">
        <f t="shared" si="472"/>
        <v>0</v>
      </c>
      <c r="BR116" s="648">
        <f t="shared" si="472"/>
        <v>0</v>
      </c>
      <c r="BS116" s="648">
        <f t="shared" si="472"/>
        <v>0</v>
      </c>
      <c r="BT116" s="648">
        <f t="shared" si="472"/>
        <v>0</v>
      </c>
      <c r="BU116" s="648">
        <f t="shared" si="472"/>
        <v>0</v>
      </c>
      <c r="BV116" s="648">
        <f t="shared" si="472"/>
        <v>0</v>
      </c>
      <c r="BW116" s="648">
        <f t="shared" si="472"/>
        <v>0</v>
      </c>
      <c r="BX116" s="648">
        <f t="shared" si="472"/>
        <v>0</v>
      </c>
      <c r="BY116" s="648">
        <f t="shared" si="472"/>
        <v>0</v>
      </c>
      <c r="BZ116" s="648">
        <f t="shared" si="472"/>
        <v>0</v>
      </c>
      <c r="CA116" s="648">
        <f t="shared" si="472"/>
        <v>0</v>
      </c>
      <c r="CB116" s="648">
        <f t="shared" si="472"/>
        <v>0</v>
      </c>
      <c r="CC116" s="648">
        <f t="shared" si="472"/>
        <v>0</v>
      </c>
      <c r="CD116" s="648">
        <f t="shared" si="472"/>
        <v>0</v>
      </c>
      <c r="CE116" s="648">
        <f t="shared" si="472"/>
        <v>0</v>
      </c>
      <c r="CF116" s="648">
        <f t="shared" si="472"/>
        <v>0</v>
      </c>
      <c r="CG116" s="648">
        <f t="shared" si="472"/>
        <v>0</v>
      </c>
      <c r="CH116" s="648">
        <f t="shared" si="472"/>
        <v>0</v>
      </c>
      <c r="CI116" s="648">
        <f t="shared" si="472"/>
        <v>0</v>
      </c>
      <c r="CJ116" s="648">
        <f t="shared" si="472"/>
        <v>0</v>
      </c>
      <c r="CK116" s="648">
        <f t="shared" si="472"/>
        <v>0</v>
      </c>
      <c r="CL116" s="648">
        <f t="shared" si="472"/>
        <v>0</v>
      </c>
      <c r="CM116" s="648">
        <f t="shared" si="472"/>
        <v>0</v>
      </c>
      <c r="CN116" s="648">
        <f t="shared" si="472"/>
        <v>0</v>
      </c>
      <c r="CO116" s="648">
        <f t="shared" si="472"/>
        <v>0</v>
      </c>
      <c r="CP116" s="648">
        <f t="shared" si="472"/>
        <v>0</v>
      </c>
      <c r="CQ116" s="648">
        <f t="shared" si="472"/>
        <v>0</v>
      </c>
      <c r="CR116" s="648">
        <f t="shared" si="472"/>
        <v>0</v>
      </c>
      <c r="CS116" s="648">
        <f t="shared" si="472"/>
        <v>0</v>
      </c>
      <c r="CT116" s="648">
        <f t="shared" si="472"/>
        <v>0</v>
      </c>
      <c r="CU116" s="648"/>
      <c r="CV116" s="648">
        <f t="shared" ref="CV116:DZ116" si="473">CV18*$EF116</f>
        <v>0</v>
      </c>
      <c r="CW116" s="648">
        <f t="shared" si="473"/>
        <v>0</v>
      </c>
      <c r="CX116" s="648">
        <f t="shared" si="473"/>
        <v>0</v>
      </c>
      <c r="CY116" s="648">
        <f t="shared" si="473"/>
        <v>0</v>
      </c>
      <c r="CZ116" s="648">
        <f t="shared" si="473"/>
        <v>0</v>
      </c>
      <c r="DA116" s="648">
        <f t="shared" si="473"/>
        <v>0</v>
      </c>
      <c r="DB116" s="648">
        <f t="shared" si="473"/>
        <v>0</v>
      </c>
      <c r="DC116" s="648">
        <f t="shared" si="473"/>
        <v>0</v>
      </c>
      <c r="DD116" s="648">
        <f t="shared" si="473"/>
        <v>0</v>
      </c>
      <c r="DE116" s="648">
        <f t="shared" si="473"/>
        <v>0</v>
      </c>
      <c r="DF116" s="648">
        <f t="shared" si="473"/>
        <v>0</v>
      </c>
      <c r="DG116" s="648">
        <f t="shared" si="473"/>
        <v>0</v>
      </c>
      <c r="DH116" s="648">
        <f t="shared" si="473"/>
        <v>0</v>
      </c>
      <c r="DI116" s="648">
        <f t="shared" si="473"/>
        <v>0</v>
      </c>
      <c r="DJ116" s="648">
        <f t="shared" si="473"/>
        <v>0</v>
      </c>
      <c r="DK116" s="648">
        <f t="shared" si="473"/>
        <v>0</v>
      </c>
      <c r="DL116" s="648">
        <f t="shared" si="473"/>
        <v>0</v>
      </c>
      <c r="DM116" s="648">
        <f t="shared" si="473"/>
        <v>0</v>
      </c>
      <c r="DN116" s="648">
        <f t="shared" si="473"/>
        <v>0</v>
      </c>
      <c r="DO116" s="648">
        <f t="shared" si="473"/>
        <v>0</v>
      </c>
      <c r="DP116" s="648">
        <f t="shared" si="473"/>
        <v>0</v>
      </c>
      <c r="DQ116" s="648">
        <f t="shared" si="473"/>
        <v>0</v>
      </c>
      <c r="DR116" s="648">
        <f t="shared" si="473"/>
        <v>0</v>
      </c>
      <c r="DS116" s="648">
        <f t="shared" si="473"/>
        <v>0</v>
      </c>
      <c r="DT116" s="648">
        <f t="shared" si="473"/>
        <v>0</v>
      </c>
      <c r="DU116" s="648">
        <f t="shared" si="473"/>
        <v>0</v>
      </c>
      <c r="DV116" s="648">
        <f t="shared" si="473"/>
        <v>0</v>
      </c>
      <c r="DW116" s="648">
        <f t="shared" si="473"/>
        <v>0</v>
      </c>
      <c r="DX116" s="648">
        <f t="shared" si="473"/>
        <v>0</v>
      </c>
      <c r="DY116" s="648">
        <f t="shared" si="473"/>
        <v>0</v>
      </c>
      <c r="DZ116" s="648">
        <f t="shared" si="473"/>
        <v>0</v>
      </c>
      <c r="EF116" s="610">
        <v>1000</v>
      </c>
      <c r="EG116" s="51"/>
      <c r="EH116" s="51"/>
      <c r="EI116" s="51"/>
      <c r="EJ116" s="51"/>
      <c r="EM116" t="s">
        <v>99</v>
      </c>
    </row>
    <row r="117" spans="1:143">
      <c r="A117" s="1"/>
      <c r="B117" t="str">
        <f t="shared" si="425"/>
        <v>Others Reduction</v>
      </c>
      <c r="C117" s="54" t="s">
        <v>114</v>
      </c>
      <c r="D117" s="648">
        <f t="shared" ref="D117:AH117" si="474">D19*$EF117</f>
        <v>0</v>
      </c>
      <c r="E117" s="648">
        <f t="shared" si="474"/>
        <v>0</v>
      </c>
      <c r="F117" s="648">
        <f t="shared" si="474"/>
        <v>0</v>
      </c>
      <c r="G117" s="648">
        <f t="shared" si="474"/>
        <v>0</v>
      </c>
      <c r="H117" s="648">
        <f t="shared" si="474"/>
        <v>0</v>
      </c>
      <c r="I117" s="648">
        <f t="shared" si="474"/>
        <v>0</v>
      </c>
      <c r="J117" s="648">
        <f t="shared" si="474"/>
        <v>0</v>
      </c>
      <c r="K117" s="648">
        <f t="shared" si="474"/>
        <v>0</v>
      </c>
      <c r="L117" s="648">
        <f t="shared" si="474"/>
        <v>0</v>
      </c>
      <c r="M117" s="648">
        <f t="shared" si="474"/>
        <v>0</v>
      </c>
      <c r="N117" s="648">
        <f t="shared" si="474"/>
        <v>0</v>
      </c>
      <c r="O117" s="648">
        <f t="shared" si="474"/>
        <v>0</v>
      </c>
      <c r="P117" s="648">
        <f t="shared" si="474"/>
        <v>0</v>
      </c>
      <c r="Q117" s="648">
        <f t="shared" si="474"/>
        <v>0</v>
      </c>
      <c r="R117" s="648">
        <f t="shared" si="474"/>
        <v>0</v>
      </c>
      <c r="S117" s="648">
        <f t="shared" si="474"/>
        <v>0</v>
      </c>
      <c r="T117" s="648">
        <f t="shared" si="474"/>
        <v>0</v>
      </c>
      <c r="U117" s="648">
        <f t="shared" si="474"/>
        <v>0</v>
      </c>
      <c r="V117" s="648">
        <f t="shared" si="474"/>
        <v>0</v>
      </c>
      <c r="W117" s="648">
        <f t="shared" si="474"/>
        <v>0</v>
      </c>
      <c r="X117" s="648">
        <f t="shared" si="474"/>
        <v>0</v>
      </c>
      <c r="Y117" s="648">
        <f t="shared" si="474"/>
        <v>0</v>
      </c>
      <c r="Z117" s="648">
        <f t="shared" si="474"/>
        <v>0</v>
      </c>
      <c r="AA117" s="648">
        <f t="shared" si="474"/>
        <v>0</v>
      </c>
      <c r="AB117" s="648">
        <f t="shared" si="474"/>
        <v>0</v>
      </c>
      <c r="AC117" s="648">
        <f t="shared" si="474"/>
        <v>0</v>
      </c>
      <c r="AD117" s="648">
        <f t="shared" si="474"/>
        <v>0</v>
      </c>
      <c r="AE117" s="648">
        <f t="shared" si="474"/>
        <v>0</v>
      </c>
      <c r="AF117" s="648">
        <f t="shared" si="474"/>
        <v>0</v>
      </c>
      <c r="AG117" s="648">
        <f t="shared" si="474"/>
        <v>0</v>
      </c>
      <c r="AH117" s="648">
        <f t="shared" si="474"/>
        <v>0</v>
      </c>
      <c r="AI117" s="648"/>
      <c r="AJ117" s="648">
        <f t="shared" ref="AJ117:BN117" si="475">AJ19*$EF117</f>
        <v>0</v>
      </c>
      <c r="AK117" s="648">
        <f t="shared" si="475"/>
        <v>0</v>
      </c>
      <c r="AL117" s="648">
        <f t="shared" si="475"/>
        <v>0</v>
      </c>
      <c r="AM117" s="648">
        <f t="shared" si="475"/>
        <v>0</v>
      </c>
      <c r="AN117" s="648">
        <f t="shared" si="475"/>
        <v>0</v>
      </c>
      <c r="AO117" s="648">
        <f t="shared" si="475"/>
        <v>0</v>
      </c>
      <c r="AP117" s="648">
        <f t="shared" si="475"/>
        <v>0</v>
      </c>
      <c r="AQ117" s="648">
        <f t="shared" si="475"/>
        <v>0</v>
      </c>
      <c r="AR117" s="648">
        <f t="shared" si="475"/>
        <v>0</v>
      </c>
      <c r="AS117" s="648">
        <f t="shared" si="475"/>
        <v>0</v>
      </c>
      <c r="AT117" s="648">
        <f t="shared" si="475"/>
        <v>0</v>
      </c>
      <c r="AU117" s="648">
        <f t="shared" si="475"/>
        <v>0</v>
      </c>
      <c r="AV117" s="648">
        <f t="shared" si="475"/>
        <v>0</v>
      </c>
      <c r="AW117" s="648">
        <f t="shared" si="475"/>
        <v>0</v>
      </c>
      <c r="AX117" s="648">
        <f t="shared" si="475"/>
        <v>0</v>
      </c>
      <c r="AY117" s="648">
        <f t="shared" si="475"/>
        <v>0</v>
      </c>
      <c r="AZ117" s="648">
        <f t="shared" si="475"/>
        <v>0</v>
      </c>
      <c r="BA117" s="648">
        <f t="shared" si="475"/>
        <v>0</v>
      </c>
      <c r="BB117" s="648">
        <f t="shared" si="475"/>
        <v>0</v>
      </c>
      <c r="BC117" s="648">
        <f t="shared" si="475"/>
        <v>0</v>
      </c>
      <c r="BD117" s="648">
        <f t="shared" si="475"/>
        <v>0</v>
      </c>
      <c r="BE117" s="648">
        <f t="shared" si="475"/>
        <v>0</v>
      </c>
      <c r="BF117" s="648">
        <f t="shared" si="475"/>
        <v>0</v>
      </c>
      <c r="BG117" s="648">
        <f t="shared" si="475"/>
        <v>0</v>
      </c>
      <c r="BH117" s="648">
        <f t="shared" si="475"/>
        <v>0</v>
      </c>
      <c r="BI117" s="648">
        <f t="shared" si="475"/>
        <v>0</v>
      </c>
      <c r="BJ117" s="648">
        <f t="shared" si="475"/>
        <v>0</v>
      </c>
      <c r="BK117" s="648">
        <f t="shared" si="475"/>
        <v>0</v>
      </c>
      <c r="BL117" s="648">
        <f t="shared" si="475"/>
        <v>0</v>
      </c>
      <c r="BM117" s="648">
        <f t="shared" si="475"/>
        <v>0</v>
      </c>
      <c r="BN117" s="648">
        <f t="shared" si="475"/>
        <v>0</v>
      </c>
      <c r="BO117" s="648"/>
      <c r="BP117" s="648">
        <f t="shared" ref="BP117:CT117" si="476">BP19*$EF117</f>
        <v>0</v>
      </c>
      <c r="BQ117" s="648">
        <f t="shared" si="476"/>
        <v>0</v>
      </c>
      <c r="BR117" s="648">
        <f t="shared" si="476"/>
        <v>0</v>
      </c>
      <c r="BS117" s="648">
        <f t="shared" si="476"/>
        <v>0</v>
      </c>
      <c r="BT117" s="648">
        <f t="shared" si="476"/>
        <v>0</v>
      </c>
      <c r="BU117" s="648">
        <f t="shared" si="476"/>
        <v>0</v>
      </c>
      <c r="BV117" s="648">
        <f t="shared" si="476"/>
        <v>0</v>
      </c>
      <c r="BW117" s="648">
        <f t="shared" si="476"/>
        <v>0</v>
      </c>
      <c r="BX117" s="648">
        <f t="shared" si="476"/>
        <v>0</v>
      </c>
      <c r="BY117" s="648">
        <f t="shared" si="476"/>
        <v>0</v>
      </c>
      <c r="BZ117" s="648">
        <f t="shared" si="476"/>
        <v>0</v>
      </c>
      <c r="CA117" s="648">
        <f t="shared" si="476"/>
        <v>0</v>
      </c>
      <c r="CB117" s="648">
        <f t="shared" si="476"/>
        <v>0</v>
      </c>
      <c r="CC117" s="648">
        <f t="shared" si="476"/>
        <v>0</v>
      </c>
      <c r="CD117" s="648">
        <f t="shared" si="476"/>
        <v>0</v>
      </c>
      <c r="CE117" s="648">
        <f t="shared" si="476"/>
        <v>0</v>
      </c>
      <c r="CF117" s="648">
        <f t="shared" si="476"/>
        <v>0</v>
      </c>
      <c r="CG117" s="648">
        <f t="shared" si="476"/>
        <v>0</v>
      </c>
      <c r="CH117" s="648">
        <f t="shared" si="476"/>
        <v>0</v>
      </c>
      <c r="CI117" s="648">
        <f t="shared" si="476"/>
        <v>0</v>
      </c>
      <c r="CJ117" s="648">
        <f t="shared" si="476"/>
        <v>0</v>
      </c>
      <c r="CK117" s="648">
        <f t="shared" si="476"/>
        <v>0</v>
      </c>
      <c r="CL117" s="648">
        <f t="shared" si="476"/>
        <v>0</v>
      </c>
      <c r="CM117" s="648">
        <f t="shared" si="476"/>
        <v>0</v>
      </c>
      <c r="CN117" s="648">
        <f t="shared" si="476"/>
        <v>0</v>
      </c>
      <c r="CO117" s="648">
        <f t="shared" si="476"/>
        <v>0</v>
      </c>
      <c r="CP117" s="648">
        <f t="shared" si="476"/>
        <v>0</v>
      </c>
      <c r="CQ117" s="648">
        <f t="shared" si="476"/>
        <v>0</v>
      </c>
      <c r="CR117" s="648">
        <f t="shared" si="476"/>
        <v>0</v>
      </c>
      <c r="CS117" s="648">
        <f t="shared" si="476"/>
        <v>0</v>
      </c>
      <c r="CT117" s="648">
        <f t="shared" si="476"/>
        <v>0</v>
      </c>
      <c r="CU117" s="648"/>
      <c r="CV117" s="648">
        <f t="shared" ref="CV117:DZ117" si="477">CV19*$EF117</f>
        <v>0</v>
      </c>
      <c r="CW117" s="648">
        <f t="shared" si="477"/>
        <v>0</v>
      </c>
      <c r="CX117" s="648">
        <f t="shared" si="477"/>
        <v>0</v>
      </c>
      <c r="CY117" s="648">
        <f t="shared" si="477"/>
        <v>0</v>
      </c>
      <c r="CZ117" s="648">
        <f t="shared" si="477"/>
        <v>0</v>
      </c>
      <c r="DA117" s="648">
        <f t="shared" si="477"/>
        <v>0</v>
      </c>
      <c r="DB117" s="648">
        <f t="shared" si="477"/>
        <v>0</v>
      </c>
      <c r="DC117" s="648">
        <f t="shared" si="477"/>
        <v>0</v>
      </c>
      <c r="DD117" s="648">
        <f t="shared" si="477"/>
        <v>0</v>
      </c>
      <c r="DE117" s="648">
        <f t="shared" si="477"/>
        <v>0</v>
      </c>
      <c r="DF117" s="648">
        <f t="shared" si="477"/>
        <v>0</v>
      </c>
      <c r="DG117" s="648">
        <f t="shared" si="477"/>
        <v>0</v>
      </c>
      <c r="DH117" s="648">
        <f t="shared" si="477"/>
        <v>0</v>
      </c>
      <c r="DI117" s="648">
        <f t="shared" si="477"/>
        <v>0</v>
      </c>
      <c r="DJ117" s="648">
        <f t="shared" si="477"/>
        <v>0</v>
      </c>
      <c r="DK117" s="648">
        <f t="shared" si="477"/>
        <v>0</v>
      </c>
      <c r="DL117" s="648">
        <f t="shared" si="477"/>
        <v>0</v>
      </c>
      <c r="DM117" s="648">
        <f t="shared" si="477"/>
        <v>0</v>
      </c>
      <c r="DN117" s="648">
        <f t="shared" si="477"/>
        <v>0</v>
      </c>
      <c r="DO117" s="648">
        <f t="shared" si="477"/>
        <v>0</v>
      </c>
      <c r="DP117" s="648">
        <f t="shared" si="477"/>
        <v>0</v>
      </c>
      <c r="DQ117" s="648">
        <f t="shared" si="477"/>
        <v>0</v>
      </c>
      <c r="DR117" s="648">
        <f t="shared" si="477"/>
        <v>0</v>
      </c>
      <c r="DS117" s="648">
        <f t="shared" si="477"/>
        <v>0</v>
      </c>
      <c r="DT117" s="648">
        <f t="shared" si="477"/>
        <v>0</v>
      </c>
      <c r="DU117" s="648">
        <f t="shared" si="477"/>
        <v>0</v>
      </c>
      <c r="DV117" s="648">
        <f t="shared" si="477"/>
        <v>0</v>
      </c>
      <c r="DW117" s="648">
        <f t="shared" si="477"/>
        <v>0</v>
      </c>
      <c r="DX117" s="648">
        <f t="shared" si="477"/>
        <v>0</v>
      </c>
      <c r="DY117" s="648">
        <f t="shared" si="477"/>
        <v>0</v>
      </c>
      <c r="DZ117" s="648">
        <f t="shared" si="477"/>
        <v>0</v>
      </c>
      <c r="EF117" s="51">
        <v>0</v>
      </c>
      <c r="EG117" s="51"/>
      <c r="EH117" s="51"/>
      <c r="EI117" s="51"/>
      <c r="EJ117" s="51"/>
      <c r="EM117" t="s">
        <v>99</v>
      </c>
    </row>
    <row r="118" spans="1:143">
      <c r="A118" s="1"/>
      <c r="B118" t="str">
        <f t="shared" si="425"/>
        <v>Others Substitution</v>
      </c>
      <c r="C118" s="54" t="s">
        <v>114</v>
      </c>
      <c r="D118" s="648">
        <f t="shared" ref="D118:AH118" si="478">D20*$EF118</f>
        <v>0</v>
      </c>
      <c r="E118" s="648">
        <f t="shared" si="478"/>
        <v>0</v>
      </c>
      <c r="F118" s="648">
        <f t="shared" si="478"/>
        <v>0</v>
      </c>
      <c r="G118" s="648">
        <f t="shared" si="478"/>
        <v>0</v>
      </c>
      <c r="H118" s="648">
        <f t="shared" si="478"/>
        <v>0</v>
      </c>
      <c r="I118" s="648">
        <f t="shared" si="478"/>
        <v>0</v>
      </c>
      <c r="J118" s="648">
        <f t="shared" si="478"/>
        <v>0</v>
      </c>
      <c r="K118" s="648">
        <f t="shared" si="478"/>
        <v>0</v>
      </c>
      <c r="L118" s="648">
        <f t="shared" si="478"/>
        <v>0</v>
      </c>
      <c r="M118" s="648">
        <f t="shared" si="478"/>
        <v>0</v>
      </c>
      <c r="N118" s="648">
        <f t="shared" si="478"/>
        <v>0</v>
      </c>
      <c r="O118" s="648">
        <f t="shared" si="478"/>
        <v>0</v>
      </c>
      <c r="P118" s="648">
        <f t="shared" si="478"/>
        <v>0</v>
      </c>
      <c r="Q118" s="648">
        <f t="shared" si="478"/>
        <v>0</v>
      </c>
      <c r="R118" s="648">
        <f t="shared" si="478"/>
        <v>0</v>
      </c>
      <c r="S118" s="648">
        <f t="shared" si="478"/>
        <v>0</v>
      </c>
      <c r="T118" s="648">
        <f t="shared" si="478"/>
        <v>0</v>
      </c>
      <c r="U118" s="648">
        <f t="shared" si="478"/>
        <v>0</v>
      </c>
      <c r="V118" s="648">
        <f t="shared" si="478"/>
        <v>0</v>
      </c>
      <c r="W118" s="648">
        <f t="shared" si="478"/>
        <v>0</v>
      </c>
      <c r="X118" s="648">
        <f t="shared" si="478"/>
        <v>0</v>
      </c>
      <c r="Y118" s="648">
        <f t="shared" si="478"/>
        <v>0</v>
      </c>
      <c r="Z118" s="648">
        <f t="shared" si="478"/>
        <v>0</v>
      </c>
      <c r="AA118" s="648">
        <f t="shared" si="478"/>
        <v>0</v>
      </c>
      <c r="AB118" s="648">
        <f t="shared" si="478"/>
        <v>0</v>
      </c>
      <c r="AC118" s="648">
        <f t="shared" si="478"/>
        <v>0</v>
      </c>
      <c r="AD118" s="648">
        <f t="shared" si="478"/>
        <v>0</v>
      </c>
      <c r="AE118" s="648">
        <f t="shared" si="478"/>
        <v>0</v>
      </c>
      <c r="AF118" s="648">
        <f t="shared" si="478"/>
        <v>0</v>
      </c>
      <c r="AG118" s="648">
        <f t="shared" si="478"/>
        <v>0</v>
      </c>
      <c r="AH118" s="648">
        <f t="shared" si="478"/>
        <v>0</v>
      </c>
      <c r="AI118" s="648"/>
      <c r="AJ118" s="648">
        <f t="shared" ref="AJ118:BN118" si="479">AJ20*$EF118</f>
        <v>0</v>
      </c>
      <c r="AK118" s="648">
        <f t="shared" si="479"/>
        <v>0</v>
      </c>
      <c r="AL118" s="648">
        <f t="shared" si="479"/>
        <v>0</v>
      </c>
      <c r="AM118" s="648">
        <f t="shared" si="479"/>
        <v>0</v>
      </c>
      <c r="AN118" s="648">
        <f t="shared" si="479"/>
        <v>0</v>
      </c>
      <c r="AO118" s="648">
        <f t="shared" si="479"/>
        <v>0</v>
      </c>
      <c r="AP118" s="648">
        <f t="shared" si="479"/>
        <v>0</v>
      </c>
      <c r="AQ118" s="648">
        <f t="shared" si="479"/>
        <v>0</v>
      </c>
      <c r="AR118" s="648">
        <f t="shared" si="479"/>
        <v>0</v>
      </c>
      <c r="AS118" s="648">
        <f t="shared" si="479"/>
        <v>0</v>
      </c>
      <c r="AT118" s="648">
        <f t="shared" si="479"/>
        <v>0</v>
      </c>
      <c r="AU118" s="648">
        <f t="shared" si="479"/>
        <v>0</v>
      </c>
      <c r="AV118" s="648">
        <f t="shared" si="479"/>
        <v>0</v>
      </c>
      <c r="AW118" s="648">
        <f t="shared" si="479"/>
        <v>0</v>
      </c>
      <c r="AX118" s="648">
        <f t="shared" si="479"/>
        <v>0</v>
      </c>
      <c r="AY118" s="648">
        <f t="shared" si="479"/>
        <v>0</v>
      </c>
      <c r="AZ118" s="648">
        <f t="shared" si="479"/>
        <v>0</v>
      </c>
      <c r="BA118" s="648">
        <f t="shared" si="479"/>
        <v>0</v>
      </c>
      <c r="BB118" s="648">
        <f t="shared" si="479"/>
        <v>0</v>
      </c>
      <c r="BC118" s="648">
        <f t="shared" si="479"/>
        <v>0</v>
      </c>
      <c r="BD118" s="648">
        <f t="shared" si="479"/>
        <v>0</v>
      </c>
      <c r="BE118" s="648">
        <f t="shared" si="479"/>
        <v>0</v>
      </c>
      <c r="BF118" s="648">
        <f t="shared" si="479"/>
        <v>0</v>
      </c>
      <c r="BG118" s="648">
        <f t="shared" si="479"/>
        <v>0</v>
      </c>
      <c r="BH118" s="648">
        <f t="shared" si="479"/>
        <v>0</v>
      </c>
      <c r="BI118" s="648">
        <f t="shared" si="479"/>
        <v>0</v>
      </c>
      <c r="BJ118" s="648">
        <f t="shared" si="479"/>
        <v>0</v>
      </c>
      <c r="BK118" s="648">
        <f t="shared" si="479"/>
        <v>0</v>
      </c>
      <c r="BL118" s="648">
        <f t="shared" si="479"/>
        <v>0</v>
      </c>
      <c r="BM118" s="648">
        <f t="shared" si="479"/>
        <v>0</v>
      </c>
      <c r="BN118" s="648">
        <f t="shared" si="479"/>
        <v>0</v>
      </c>
      <c r="BO118" s="648"/>
      <c r="BP118" s="648">
        <f t="shared" ref="BP118:CT118" si="480">BP20*$EF118</f>
        <v>0</v>
      </c>
      <c r="BQ118" s="648">
        <f t="shared" si="480"/>
        <v>0</v>
      </c>
      <c r="BR118" s="648">
        <f t="shared" si="480"/>
        <v>0</v>
      </c>
      <c r="BS118" s="648">
        <f t="shared" si="480"/>
        <v>0</v>
      </c>
      <c r="BT118" s="648">
        <f t="shared" si="480"/>
        <v>0</v>
      </c>
      <c r="BU118" s="648">
        <f t="shared" si="480"/>
        <v>0</v>
      </c>
      <c r="BV118" s="648">
        <f t="shared" si="480"/>
        <v>0</v>
      </c>
      <c r="BW118" s="648">
        <f t="shared" si="480"/>
        <v>0</v>
      </c>
      <c r="BX118" s="648">
        <f t="shared" si="480"/>
        <v>0</v>
      </c>
      <c r="BY118" s="648">
        <f t="shared" si="480"/>
        <v>0</v>
      </c>
      <c r="BZ118" s="648">
        <f t="shared" si="480"/>
        <v>0</v>
      </c>
      <c r="CA118" s="648">
        <f t="shared" si="480"/>
        <v>0</v>
      </c>
      <c r="CB118" s="648">
        <f t="shared" si="480"/>
        <v>0</v>
      </c>
      <c r="CC118" s="648">
        <f t="shared" si="480"/>
        <v>0</v>
      </c>
      <c r="CD118" s="648">
        <f t="shared" si="480"/>
        <v>0</v>
      </c>
      <c r="CE118" s="648">
        <f t="shared" si="480"/>
        <v>0</v>
      </c>
      <c r="CF118" s="648">
        <f t="shared" si="480"/>
        <v>0</v>
      </c>
      <c r="CG118" s="648">
        <f t="shared" si="480"/>
        <v>0</v>
      </c>
      <c r="CH118" s="648">
        <f t="shared" si="480"/>
        <v>0</v>
      </c>
      <c r="CI118" s="648">
        <f t="shared" si="480"/>
        <v>0</v>
      </c>
      <c r="CJ118" s="648">
        <f t="shared" si="480"/>
        <v>0</v>
      </c>
      <c r="CK118" s="648">
        <f t="shared" si="480"/>
        <v>0</v>
      </c>
      <c r="CL118" s="648">
        <f t="shared" si="480"/>
        <v>0</v>
      </c>
      <c r="CM118" s="648">
        <f t="shared" si="480"/>
        <v>0</v>
      </c>
      <c r="CN118" s="648">
        <f t="shared" si="480"/>
        <v>0</v>
      </c>
      <c r="CO118" s="648">
        <f t="shared" si="480"/>
        <v>0</v>
      </c>
      <c r="CP118" s="648">
        <f t="shared" si="480"/>
        <v>0</v>
      </c>
      <c r="CQ118" s="648">
        <f t="shared" si="480"/>
        <v>0</v>
      </c>
      <c r="CR118" s="648">
        <f t="shared" si="480"/>
        <v>0</v>
      </c>
      <c r="CS118" s="648">
        <f t="shared" si="480"/>
        <v>0</v>
      </c>
      <c r="CT118" s="648">
        <f t="shared" si="480"/>
        <v>0</v>
      </c>
      <c r="CU118" s="648"/>
      <c r="CV118" s="648">
        <f t="shared" ref="CV118:DZ118" si="481">CV20*$EF118</f>
        <v>0</v>
      </c>
      <c r="CW118" s="648">
        <f t="shared" si="481"/>
        <v>0</v>
      </c>
      <c r="CX118" s="648">
        <f t="shared" si="481"/>
        <v>0</v>
      </c>
      <c r="CY118" s="648">
        <f t="shared" si="481"/>
        <v>0</v>
      </c>
      <c r="CZ118" s="648">
        <f t="shared" si="481"/>
        <v>0</v>
      </c>
      <c r="DA118" s="648">
        <f t="shared" si="481"/>
        <v>0</v>
      </c>
      <c r="DB118" s="648">
        <f t="shared" si="481"/>
        <v>0</v>
      </c>
      <c r="DC118" s="648">
        <f t="shared" si="481"/>
        <v>0</v>
      </c>
      <c r="DD118" s="648">
        <f t="shared" si="481"/>
        <v>0</v>
      </c>
      <c r="DE118" s="648">
        <f t="shared" si="481"/>
        <v>0</v>
      </c>
      <c r="DF118" s="648">
        <f t="shared" si="481"/>
        <v>0</v>
      </c>
      <c r="DG118" s="648">
        <f t="shared" si="481"/>
        <v>0</v>
      </c>
      <c r="DH118" s="648">
        <f t="shared" si="481"/>
        <v>0</v>
      </c>
      <c r="DI118" s="648">
        <f t="shared" si="481"/>
        <v>0</v>
      </c>
      <c r="DJ118" s="648">
        <f t="shared" si="481"/>
        <v>0</v>
      </c>
      <c r="DK118" s="648">
        <f t="shared" si="481"/>
        <v>0</v>
      </c>
      <c r="DL118" s="648">
        <f t="shared" si="481"/>
        <v>0</v>
      </c>
      <c r="DM118" s="648">
        <f t="shared" si="481"/>
        <v>0</v>
      </c>
      <c r="DN118" s="648">
        <f t="shared" si="481"/>
        <v>0</v>
      </c>
      <c r="DO118" s="648">
        <f t="shared" si="481"/>
        <v>0</v>
      </c>
      <c r="DP118" s="648">
        <f t="shared" si="481"/>
        <v>0</v>
      </c>
      <c r="DQ118" s="648">
        <f t="shared" si="481"/>
        <v>0</v>
      </c>
      <c r="DR118" s="648">
        <f t="shared" si="481"/>
        <v>0</v>
      </c>
      <c r="DS118" s="648">
        <f t="shared" si="481"/>
        <v>0</v>
      </c>
      <c r="DT118" s="648">
        <f t="shared" si="481"/>
        <v>0</v>
      </c>
      <c r="DU118" s="648">
        <f t="shared" si="481"/>
        <v>0</v>
      </c>
      <c r="DV118" s="648">
        <f t="shared" si="481"/>
        <v>0</v>
      </c>
      <c r="DW118" s="648">
        <f t="shared" si="481"/>
        <v>0</v>
      </c>
      <c r="DX118" s="648">
        <f t="shared" si="481"/>
        <v>0</v>
      </c>
      <c r="DY118" s="648">
        <f t="shared" si="481"/>
        <v>0</v>
      </c>
      <c r="DZ118" s="648">
        <f t="shared" si="481"/>
        <v>0</v>
      </c>
      <c r="EF118" s="610">
        <v>1000</v>
      </c>
      <c r="EG118" s="51"/>
      <c r="EH118" s="51"/>
      <c r="EI118" s="51"/>
      <c r="EJ118" s="51"/>
      <c r="EM118" t="s">
        <v>99</v>
      </c>
    </row>
    <row r="119" spans="1:143">
      <c r="A119" s="1"/>
      <c r="B119" t="str">
        <f t="shared" si="425"/>
        <v>Mecahnical Recycling</v>
      </c>
      <c r="C119" s="54" t="s">
        <v>114</v>
      </c>
      <c r="D119" s="648">
        <f t="shared" ref="D119:AH119" si="482">D21*$EF119</f>
        <v>0</v>
      </c>
      <c r="E119" s="648">
        <f t="shared" si="482"/>
        <v>3114.2956436675922</v>
      </c>
      <c r="F119" s="648">
        <f t="shared" si="482"/>
        <v>5871.3312301298338</v>
      </c>
      <c r="G119" s="648">
        <f t="shared" si="482"/>
        <v>9125.6678985742892</v>
      </c>
      <c r="H119" s="648">
        <f t="shared" si="482"/>
        <v>11899.161149128116</v>
      </c>
      <c r="I119" s="648">
        <f t="shared" si="482"/>
        <v>14682.273428195997</v>
      </c>
      <c r="J119" s="648">
        <f t="shared" si="482"/>
        <v>17883.266388200205</v>
      </c>
      <c r="K119" s="648">
        <f t="shared" si="482"/>
        <v>21558.240689048478</v>
      </c>
      <c r="L119" s="648">
        <f t="shared" si="482"/>
        <v>24729.570025165383</v>
      </c>
      <c r="M119" s="648">
        <f t="shared" si="482"/>
        <v>28867.302158728235</v>
      </c>
      <c r="N119" s="648">
        <f t="shared" si="482"/>
        <v>33483.681529613677</v>
      </c>
      <c r="O119" s="648">
        <f t="shared" si="482"/>
        <v>49285.237917472317</v>
      </c>
      <c r="P119" s="648">
        <f t="shared" si="482"/>
        <v>65678.31388537868</v>
      </c>
      <c r="Q119" s="648">
        <f t="shared" si="482"/>
        <v>81686.465380634181</v>
      </c>
      <c r="R119" s="648">
        <f t="shared" si="482"/>
        <v>98291.570494840445</v>
      </c>
      <c r="S119" s="648">
        <f t="shared" si="482"/>
        <v>114028.37138442804</v>
      </c>
      <c r="T119" s="648">
        <f t="shared" si="482"/>
        <v>147177.17527158096</v>
      </c>
      <c r="U119" s="648">
        <f t="shared" si="482"/>
        <v>178716.5409694339</v>
      </c>
      <c r="V119" s="648">
        <f t="shared" si="482"/>
        <v>209140.61320145725</v>
      </c>
      <c r="W119" s="648">
        <f t="shared" si="482"/>
        <v>237475.63132920716</v>
      </c>
      <c r="X119" s="648">
        <f t="shared" si="482"/>
        <v>265196.00714526512</v>
      </c>
      <c r="Y119" s="648">
        <f t="shared" si="482"/>
        <v>291014.76149613119</v>
      </c>
      <c r="Z119" s="648">
        <f t="shared" si="482"/>
        <v>316089.28387674608</v>
      </c>
      <c r="AA119" s="648">
        <f t="shared" si="482"/>
        <v>340428.03706299106</v>
      </c>
      <c r="AB119" s="648">
        <f t="shared" si="482"/>
        <v>363061.58357284078</v>
      </c>
      <c r="AC119" s="648">
        <f t="shared" si="482"/>
        <v>384979.73024413426</v>
      </c>
      <c r="AD119" s="648">
        <f t="shared" si="482"/>
        <v>387980.82805619511</v>
      </c>
      <c r="AE119" s="648">
        <f t="shared" si="482"/>
        <v>391104.38938123203</v>
      </c>
      <c r="AF119" s="648">
        <f t="shared" si="482"/>
        <v>393876.52565083641</v>
      </c>
      <c r="AG119" s="648">
        <f t="shared" si="482"/>
        <v>397293.88917637261</v>
      </c>
      <c r="AH119" s="648">
        <f t="shared" si="482"/>
        <v>400886.94227843336</v>
      </c>
      <c r="AI119" s="648"/>
      <c r="AJ119" s="648">
        <f t="shared" ref="AJ119:BN119" si="483">AJ21*$EF119</f>
        <v>0</v>
      </c>
      <c r="AK119" s="648">
        <f t="shared" si="483"/>
        <v>3101.2963537773871</v>
      </c>
      <c r="AL119" s="648">
        <f t="shared" si="483"/>
        <v>5844.8906744931555</v>
      </c>
      <c r="AM119" s="648">
        <f t="shared" si="483"/>
        <v>9085.3328309505378</v>
      </c>
      <c r="AN119" s="648">
        <f t="shared" si="483"/>
        <v>11844.466797430308</v>
      </c>
      <c r="AO119" s="648">
        <f t="shared" si="483"/>
        <v>14612.74323360016</v>
      </c>
      <c r="AP119" s="648">
        <f t="shared" si="483"/>
        <v>17798.41173871544</v>
      </c>
      <c r="AQ119" s="648">
        <f t="shared" si="483"/>
        <v>21457.56064743481</v>
      </c>
      <c r="AR119" s="648">
        <f t="shared" si="483"/>
        <v>24612.551051084127</v>
      </c>
      <c r="AS119" s="648">
        <f t="shared" si="483"/>
        <v>28733.417825007517</v>
      </c>
      <c r="AT119" s="648">
        <f t="shared" si="483"/>
        <v>33332.392232509264</v>
      </c>
      <c r="AU119" s="648">
        <f t="shared" si="483"/>
        <v>49115.990580801612</v>
      </c>
      <c r="AV119" s="648">
        <f t="shared" si="483"/>
        <v>65490.541658403286</v>
      </c>
      <c r="AW119" s="648">
        <f t="shared" si="483"/>
        <v>81479.587329564049</v>
      </c>
      <c r="AX119" s="648">
        <f t="shared" si="483"/>
        <v>98064.991287829936</v>
      </c>
      <c r="AY119" s="648">
        <f t="shared" si="483"/>
        <v>113781.48096993196</v>
      </c>
      <c r="AZ119" s="648">
        <f t="shared" si="483"/>
        <v>146909.34854993559</v>
      </c>
      <c r="BA119" s="648">
        <f t="shared" si="483"/>
        <v>178427.137457526</v>
      </c>
      <c r="BB119" s="648">
        <f t="shared" si="483"/>
        <v>208828.97669034041</v>
      </c>
      <c r="BC119" s="648">
        <f t="shared" si="483"/>
        <v>237141.08953452326</v>
      </c>
      <c r="BD119" s="648">
        <f t="shared" si="483"/>
        <v>264837.87135032454</v>
      </c>
      <c r="BE119" s="648">
        <f t="shared" si="483"/>
        <v>290686.95980302204</v>
      </c>
      <c r="BF119" s="648">
        <f t="shared" si="483"/>
        <v>315792.95114617539</v>
      </c>
      <c r="BG119" s="648">
        <f t="shared" si="483"/>
        <v>340164.33797437453</v>
      </c>
      <c r="BH119" s="648">
        <f t="shared" si="483"/>
        <v>362831.71331016388</v>
      </c>
      <c r="BI119" s="648">
        <f t="shared" si="483"/>
        <v>384784.91519651556</v>
      </c>
      <c r="BJ119" s="648">
        <f t="shared" si="483"/>
        <v>387822.32653345255</v>
      </c>
      <c r="BK119" s="648">
        <f t="shared" si="483"/>
        <v>390983.49234476022</v>
      </c>
      <c r="BL119" s="648">
        <f t="shared" si="483"/>
        <v>393794.55746010854</v>
      </c>
      <c r="BM119" s="648">
        <f t="shared" si="483"/>
        <v>397252.20835138747</v>
      </c>
      <c r="BN119" s="648">
        <f t="shared" si="483"/>
        <v>400886.94227843336</v>
      </c>
      <c r="BO119" s="648"/>
      <c r="BP119" s="648">
        <f t="shared" ref="BP119:CT119" si="484">BP21*$EF119</f>
        <v>0</v>
      </c>
      <c r="BQ119" s="648">
        <f t="shared" si="484"/>
        <v>0</v>
      </c>
      <c r="BR119" s="648">
        <f t="shared" si="484"/>
        <v>0</v>
      </c>
      <c r="BS119" s="648">
        <f t="shared" si="484"/>
        <v>0</v>
      </c>
      <c r="BT119" s="648">
        <f t="shared" si="484"/>
        <v>0</v>
      </c>
      <c r="BU119" s="648">
        <f t="shared" si="484"/>
        <v>0</v>
      </c>
      <c r="BV119" s="648">
        <f t="shared" si="484"/>
        <v>0</v>
      </c>
      <c r="BW119" s="648">
        <f t="shared" si="484"/>
        <v>0</v>
      </c>
      <c r="BX119" s="648">
        <f t="shared" si="484"/>
        <v>0</v>
      </c>
      <c r="BY119" s="648">
        <f t="shared" si="484"/>
        <v>0</v>
      </c>
      <c r="BZ119" s="648">
        <f t="shared" si="484"/>
        <v>0</v>
      </c>
      <c r="CA119" s="648">
        <f t="shared" si="484"/>
        <v>0</v>
      </c>
      <c r="CB119" s="648">
        <f t="shared" si="484"/>
        <v>0</v>
      </c>
      <c r="CC119" s="648">
        <f t="shared" si="484"/>
        <v>0</v>
      </c>
      <c r="CD119" s="648">
        <f t="shared" si="484"/>
        <v>0</v>
      </c>
      <c r="CE119" s="648">
        <f t="shared" si="484"/>
        <v>0</v>
      </c>
      <c r="CF119" s="648">
        <f t="shared" si="484"/>
        <v>0</v>
      </c>
      <c r="CG119" s="648">
        <f t="shared" si="484"/>
        <v>0</v>
      </c>
      <c r="CH119" s="648">
        <f t="shared" si="484"/>
        <v>0</v>
      </c>
      <c r="CI119" s="648">
        <f t="shared" si="484"/>
        <v>0</v>
      </c>
      <c r="CJ119" s="648">
        <f t="shared" si="484"/>
        <v>0</v>
      </c>
      <c r="CK119" s="648">
        <f t="shared" si="484"/>
        <v>0</v>
      </c>
      <c r="CL119" s="648">
        <f t="shared" si="484"/>
        <v>0</v>
      </c>
      <c r="CM119" s="648">
        <f t="shared" si="484"/>
        <v>0</v>
      </c>
      <c r="CN119" s="648">
        <f t="shared" si="484"/>
        <v>0</v>
      </c>
      <c r="CO119" s="648">
        <f t="shared" si="484"/>
        <v>0</v>
      </c>
      <c r="CP119" s="648">
        <f t="shared" si="484"/>
        <v>0</v>
      </c>
      <c r="CQ119" s="648">
        <f t="shared" si="484"/>
        <v>0</v>
      </c>
      <c r="CR119" s="648">
        <f t="shared" si="484"/>
        <v>0</v>
      </c>
      <c r="CS119" s="648">
        <f t="shared" si="484"/>
        <v>0</v>
      </c>
      <c r="CT119" s="648">
        <f t="shared" si="484"/>
        <v>0</v>
      </c>
      <c r="CU119" s="648"/>
      <c r="CV119" s="648">
        <f t="shared" ref="CV119:DZ119" si="485">CV21*$EF119</f>
        <v>0</v>
      </c>
      <c r="CW119" s="648">
        <f t="shared" si="485"/>
        <v>0</v>
      </c>
      <c r="CX119" s="648">
        <f t="shared" si="485"/>
        <v>0</v>
      </c>
      <c r="CY119" s="648">
        <f t="shared" si="485"/>
        <v>0</v>
      </c>
      <c r="CZ119" s="648">
        <f t="shared" si="485"/>
        <v>0</v>
      </c>
      <c r="DA119" s="648">
        <f t="shared" si="485"/>
        <v>0</v>
      </c>
      <c r="DB119" s="648">
        <f t="shared" si="485"/>
        <v>0</v>
      </c>
      <c r="DC119" s="648">
        <f t="shared" si="485"/>
        <v>0</v>
      </c>
      <c r="DD119" s="648">
        <f t="shared" si="485"/>
        <v>0</v>
      </c>
      <c r="DE119" s="648">
        <f t="shared" si="485"/>
        <v>0</v>
      </c>
      <c r="DF119" s="648">
        <f t="shared" si="485"/>
        <v>0</v>
      </c>
      <c r="DG119" s="648">
        <f t="shared" si="485"/>
        <v>0</v>
      </c>
      <c r="DH119" s="648">
        <f t="shared" si="485"/>
        <v>0</v>
      </c>
      <c r="DI119" s="648">
        <f t="shared" si="485"/>
        <v>0</v>
      </c>
      <c r="DJ119" s="648">
        <f t="shared" si="485"/>
        <v>0</v>
      </c>
      <c r="DK119" s="648">
        <f t="shared" si="485"/>
        <v>0</v>
      </c>
      <c r="DL119" s="648">
        <f t="shared" si="485"/>
        <v>0</v>
      </c>
      <c r="DM119" s="648">
        <f t="shared" si="485"/>
        <v>0</v>
      </c>
      <c r="DN119" s="648">
        <f t="shared" si="485"/>
        <v>0</v>
      </c>
      <c r="DO119" s="648">
        <f t="shared" si="485"/>
        <v>0</v>
      </c>
      <c r="DP119" s="648">
        <f t="shared" si="485"/>
        <v>0</v>
      </c>
      <c r="DQ119" s="648">
        <f t="shared" si="485"/>
        <v>0</v>
      </c>
      <c r="DR119" s="648">
        <f t="shared" si="485"/>
        <v>0</v>
      </c>
      <c r="DS119" s="648">
        <f t="shared" si="485"/>
        <v>0</v>
      </c>
      <c r="DT119" s="648">
        <f t="shared" si="485"/>
        <v>0</v>
      </c>
      <c r="DU119" s="648">
        <f t="shared" si="485"/>
        <v>0</v>
      </c>
      <c r="DV119" s="648">
        <f t="shared" si="485"/>
        <v>0</v>
      </c>
      <c r="DW119" s="648">
        <f t="shared" si="485"/>
        <v>0</v>
      </c>
      <c r="DX119" s="648">
        <f t="shared" si="485"/>
        <v>0</v>
      </c>
      <c r="DY119" s="648">
        <f t="shared" si="485"/>
        <v>0</v>
      </c>
      <c r="DZ119" s="648">
        <f t="shared" si="485"/>
        <v>0</v>
      </c>
      <c r="EF119" s="157">
        <f>AVERAGE(569,410)</f>
        <v>489.5</v>
      </c>
      <c r="EG119" s="51"/>
      <c r="EH119" s="51"/>
      <c r="EI119" s="51"/>
      <c r="EJ119" s="51"/>
    </row>
    <row r="120" spans="1:143">
      <c r="A120" s="1"/>
      <c r="B120" t="str">
        <f t="shared" si="425"/>
        <v>Chemical Recycling</v>
      </c>
      <c r="C120" s="54" t="s">
        <v>114</v>
      </c>
      <c r="D120" s="648">
        <f t="shared" ref="D120:AH120" si="486">D22*$EF120</f>
        <v>12186.83118694332</v>
      </c>
      <c r="E120" s="648">
        <f t="shared" si="486"/>
        <v>13092.068655821975</v>
      </c>
      <c r="F120" s="648">
        <f t="shared" si="486"/>
        <v>14192.95475498815</v>
      </c>
      <c r="G120" s="648">
        <f t="shared" si="486"/>
        <v>15312.904025734735</v>
      </c>
      <c r="H120" s="648">
        <f t="shared" si="486"/>
        <v>16445.49199424743</v>
      </c>
      <c r="I120" s="648">
        <f t="shared" si="486"/>
        <v>17583.874906989007</v>
      </c>
      <c r="J120" s="648">
        <f t="shared" si="486"/>
        <v>18761.244814034861</v>
      </c>
      <c r="K120" s="648">
        <f t="shared" si="486"/>
        <v>19977.658120527634</v>
      </c>
      <c r="L120" s="648">
        <f t="shared" si="486"/>
        <v>21233.105460398765</v>
      </c>
      <c r="M120" s="648">
        <f t="shared" si="486"/>
        <v>22527.509405487897</v>
      </c>
      <c r="N120" s="648">
        <f t="shared" si="486"/>
        <v>23860.722279118676</v>
      </c>
      <c r="O120" s="648">
        <f t="shared" si="486"/>
        <v>26080.718484313504</v>
      </c>
      <c r="P120" s="648">
        <f t="shared" si="486"/>
        <v>28330.718843421015</v>
      </c>
      <c r="Q120" s="648">
        <f t="shared" si="486"/>
        <v>30602.36785024291</v>
      </c>
      <c r="R120" s="648">
        <f t="shared" si="486"/>
        <v>32882.722237688744</v>
      </c>
      <c r="S120" s="648">
        <f t="shared" si="486"/>
        <v>35160.189348630483</v>
      </c>
      <c r="T120" s="648">
        <f t="shared" si="486"/>
        <v>37490.267220123096</v>
      </c>
      <c r="U120" s="648">
        <f t="shared" si="486"/>
        <v>39873.426936109805</v>
      </c>
      <c r="V120" s="648">
        <f t="shared" si="486"/>
        <v>42310.12747768026</v>
      </c>
      <c r="W120" s="648">
        <f t="shared" si="486"/>
        <v>44800.815202663696</v>
      </c>
      <c r="X120" s="648">
        <f t="shared" si="486"/>
        <v>47345.923322054638</v>
      </c>
      <c r="Y120" s="648">
        <f t="shared" si="486"/>
        <v>51256.402970175935</v>
      </c>
      <c r="Z120" s="648">
        <f t="shared" si="486"/>
        <v>55256.647005663013</v>
      </c>
      <c r="AA120" s="648">
        <f t="shared" si="486"/>
        <v>59356.159343276289</v>
      </c>
      <c r="AB120" s="648">
        <f t="shared" si="486"/>
        <v>63548.612979222307</v>
      </c>
      <c r="AC120" s="648">
        <f t="shared" si="486"/>
        <v>67834.847001369635</v>
      </c>
      <c r="AD120" s="648">
        <f t="shared" si="486"/>
        <v>72216.364284606389</v>
      </c>
      <c r="AE120" s="648">
        <f t="shared" si="486"/>
        <v>76694.093162529156</v>
      </c>
      <c r="AF120" s="648">
        <f t="shared" si="486"/>
        <v>81268.947097911107</v>
      </c>
      <c r="AG120" s="648">
        <f t="shared" si="486"/>
        <v>85941.823940767237</v>
      </c>
      <c r="AH120" s="648">
        <f t="shared" si="486"/>
        <v>90713.605179726452</v>
      </c>
      <c r="AI120" s="648"/>
      <c r="AJ120" s="648">
        <f t="shared" ref="AJ120:BN120" si="487">AJ22*$EF120</f>
        <v>12186.83118694332</v>
      </c>
      <c r="AK120" s="648">
        <f t="shared" si="487"/>
        <v>13092.068655821975</v>
      </c>
      <c r="AL120" s="648">
        <f t="shared" si="487"/>
        <v>14192.95475498815</v>
      </c>
      <c r="AM120" s="648">
        <f t="shared" si="487"/>
        <v>15312.904025734735</v>
      </c>
      <c r="AN120" s="648">
        <f t="shared" si="487"/>
        <v>16445.49199424743</v>
      </c>
      <c r="AO120" s="648">
        <f t="shared" si="487"/>
        <v>17583.874906989007</v>
      </c>
      <c r="AP120" s="648">
        <f t="shared" si="487"/>
        <v>18761.244814034861</v>
      </c>
      <c r="AQ120" s="648">
        <f t="shared" si="487"/>
        <v>19977.658120527634</v>
      </c>
      <c r="AR120" s="648">
        <f t="shared" si="487"/>
        <v>21233.105460398765</v>
      </c>
      <c r="AS120" s="648">
        <f t="shared" si="487"/>
        <v>22527.509405487897</v>
      </c>
      <c r="AT120" s="648">
        <f t="shared" si="487"/>
        <v>23860.722279118676</v>
      </c>
      <c r="AU120" s="648">
        <f t="shared" si="487"/>
        <v>26080.718484313504</v>
      </c>
      <c r="AV120" s="648">
        <f t="shared" si="487"/>
        <v>28330.718843421015</v>
      </c>
      <c r="AW120" s="648">
        <f t="shared" si="487"/>
        <v>30602.36785024291</v>
      </c>
      <c r="AX120" s="648">
        <f t="shared" si="487"/>
        <v>32882.722237688744</v>
      </c>
      <c r="AY120" s="648">
        <f t="shared" si="487"/>
        <v>35160.189348630483</v>
      </c>
      <c r="AZ120" s="648">
        <f t="shared" si="487"/>
        <v>37490.267220123096</v>
      </c>
      <c r="BA120" s="648">
        <f t="shared" si="487"/>
        <v>39873.426936109805</v>
      </c>
      <c r="BB120" s="648">
        <f t="shared" si="487"/>
        <v>42310.12747768026</v>
      </c>
      <c r="BC120" s="648">
        <f t="shared" si="487"/>
        <v>44800.815202663696</v>
      </c>
      <c r="BD120" s="648">
        <f t="shared" si="487"/>
        <v>47345.923322054638</v>
      </c>
      <c r="BE120" s="648">
        <f t="shared" si="487"/>
        <v>51256.402970175935</v>
      </c>
      <c r="BF120" s="648">
        <f t="shared" si="487"/>
        <v>55256.647005663013</v>
      </c>
      <c r="BG120" s="648">
        <f t="shared" si="487"/>
        <v>59356.159343276289</v>
      </c>
      <c r="BH120" s="648">
        <f t="shared" si="487"/>
        <v>63548.612979222307</v>
      </c>
      <c r="BI120" s="648">
        <f t="shared" si="487"/>
        <v>67834.847001369635</v>
      </c>
      <c r="BJ120" s="648">
        <f t="shared" si="487"/>
        <v>72216.364284606389</v>
      </c>
      <c r="BK120" s="648">
        <f t="shared" si="487"/>
        <v>76694.093162529156</v>
      </c>
      <c r="BL120" s="648">
        <f t="shared" si="487"/>
        <v>81268.947097911107</v>
      </c>
      <c r="BM120" s="648">
        <f t="shared" si="487"/>
        <v>85941.823940767237</v>
      </c>
      <c r="BN120" s="648">
        <f t="shared" si="487"/>
        <v>90713.605179726452</v>
      </c>
      <c r="BO120" s="648"/>
      <c r="BP120" s="648">
        <f t="shared" ref="BP120:CT120" si="488">BP22*$EF120</f>
        <v>12186.83118694332</v>
      </c>
      <c r="BQ120" s="648">
        <f t="shared" si="488"/>
        <v>12390.351267765271</v>
      </c>
      <c r="BR120" s="648">
        <f t="shared" si="488"/>
        <v>12597.270133936949</v>
      </c>
      <c r="BS120" s="648">
        <f t="shared" si="488"/>
        <v>12807.644545173696</v>
      </c>
      <c r="BT120" s="648">
        <f t="shared" si="488"/>
        <v>13021.532209078097</v>
      </c>
      <c r="BU120" s="648">
        <f t="shared" si="488"/>
        <v>13238.991796969698</v>
      </c>
      <c r="BV120" s="648">
        <f t="shared" si="488"/>
        <v>13460.082959979094</v>
      </c>
      <c r="BW120" s="648">
        <f t="shared" si="488"/>
        <v>13684.866345410741</v>
      </c>
      <c r="BX120" s="648">
        <f t="shared" si="488"/>
        <v>13913.4036133791</v>
      </c>
      <c r="BY120" s="648">
        <f t="shared" si="488"/>
        <v>14145.75745372253</v>
      </c>
      <c r="BZ120" s="648">
        <f t="shared" si="488"/>
        <v>14381.991603199695</v>
      </c>
      <c r="CA120" s="648">
        <f t="shared" si="488"/>
        <v>14622.170862973133</v>
      </c>
      <c r="CB120" s="648">
        <f t="shared" si="488"/>
        <v>14866.361116384782</v>
      </c>
      <c r="CC120" s="648">
        <f t="shared" si="488"/>
        <v>15114.629347028404</v>
      </c>
      <c r="CD120" s="648">
        <f t="shared" si="488"/>
        <v>15367.043657123782</v>
      </c>
      <c r="CE120" s="648">
        <f t="shared" si="488"/>
        <v>15623.673286197745</v>
      </c>
      <c r="CF120" s="648">
        <f t="shared" si="488"/>
        <v>15884.588630077249</v>
      </c>
      <c r="CG120" s="648">
        <f t="shared" si="488"/>
        <v>16149.861260199536</v>
      </c>
      <c r="CH120" s="648">
        <f t="shared" si="488"/>
        <v>16419.563943244866</v>
      </c>
      <c r="CI120" s="648">
        <f t="shared" si="488"/>
        <v>16693.770661097056</v>
      </c>
      <c r="CJ120" s="648">
        <f t="shared" si="488"/>
        <v>16972.556631137373</v>
      </c>
      <c r="CK120" s="648">
        <f t="shared" si="488"/>
        <v>17255.998326877369</v>
      </c>
      <c r="CL120" s="648">
        <f t="shared" si="488"/>
        <v>17544.173498936216</v>
      </c>
      <c r="CM120" s="648">
        <f t="shared" si="488"/>
        <v>17837.161196368448</v>
      </c>
      <c r="CN120" s="648">
        <f t="shared" si="488"/>
        <v>18135.0417883478</v>
      </c>
      <c r="CO120" s="648">
        <f t="shared" si="488"/>
        <v>18437.896986213211</v>
      </c>
      <c r="CP120" s="648">
        <f t="shared" si="488"/>
        <v>18745.809865882973</v>
      </c>
      <c r="CQ120" s="648">
        <f t="shared" si="488"/>
        <v>19058.864890643214</v>
      </c>
      <c r="CR120" s="648">
        <f t="shared" si="488"/>
        <v>19377.147934316952</v>
      </c>
      <c r="CS120" s="648">
        <f t="shared" si="488"/>
        <v>19700.746304820044</v>
      </c>
      <c r="CT120" s="648">
        <f t="shared" si="488"/>
        <v>20029.748768110541</v>
      </c>
      <c r="CU120" s="648"/>
      <c r="CV120" s="648">
        <f t="shared" ref="CV120:DZ120" si="489">CV22*$EF120</f>
        <v>12186.83118694332</v>
      </c>
      <c r="CW120" s="648">
        <f t="shared" si="489"/>
        <v>13092.068655821975</v>
      </c>
      <c r="CX120" s="648">
        <f t="shared" si="489"/>
        <v>14192.95475498815</v>
      </c>
      <c r="CY120" s="648">
        <f t="shared" si="489"/>
        <v>15312.904025734735</v>
      </c>
      <c r="CZ120" s="648">
        <f t="shared" si="489"/>
        <v>16445.49199424743</v>
      </c>
      <c r="DA120" s="648">
        <f t="shared" si="489"/>
        <v>17583.874906989007</v>
      </c>
      <c r="DB120" s="648">
        <f t="shared" si="489"/>
        <v>18761.244814034861</v>
      </c>
      <c r="DC120" s="648">
        <f t="shared" si="489"/>
        <v>19977.658120527634</v>
      </c>
      <c r="DD120" s="648">
        <f t="shared" si="489"/>
        <v>21233.105460398765</v>
      </c>
      <c r="DE120" s="648">
        <f t="shared" si="489"/>
        <v>22527.509405487897</v>
      </c>
      <c r="DF120" s="648">
        <f t="shared" si="489"/>
        <v>23860.722279118676</v>
      </c>
      <c r="DG120" s="648">
        <f t="shared" si="489"/>
        <v>26080.718484313504</v>
      </c>
      <c r="DH120" s="648">
        <f t="shared" si="489"/>
        <v>28330.718843421015</v>
      </c>
      <c r="DI120" s="648">
        <f t="shared" si="489"/>
        <v>30602.36785024291</v>
      </c>
      <c r="DJ120" s="648">
        <f t="shared" si="489"/>
        <v>32882.722237688744</v>
      </c>
      <c r="DK120" s="648">
        <f t="shared" si="489"/>
        <v>35160.189348630483</v>
      </c>
      <c r="DL120" s="648">
        <f t="shared" si="489"/>
        <v>37490.267220123096</v>
      </c>
      <c r="DM120" s="648">
        <f t="shared" si="489"/>
        <v>39873.426936109805</v>
      </c>
      <c r="DN120" s="648">
        <f t="shared" si="489"/>
        <v>42310.12747768026</v>
      </c>
      <c r="DO120" s="648">
        <f t="shared" si="489"/>
        <v>44800.815202663696</v>
      </c>
      <c r="DP120" s="648">
        <f t="shared" si="489"/>
        <v>47345.923322054638</v>
      </c>
      <c r="DQ120" s="648">
        <f t="shared" si="489"/>
        <v>51256.402970175935</v>
      </c>
      <c r="DR120" s="648">
        <f t="shared" si="489"/>
        <v>55256.647005663013</v>
      </c>
      <c r="DS120" s="648">
        <f t="shared" si="489"/>
        <v>59356.159343276289</v>
      </c>
      <c r="DT120" s="648">
        <f t="shared" si="489"/>
        <v>63548.612979222307</v>
      </c>
      <c r="DU120" s="648">
        <f t="shared" si="489"/>
        <v>67834.847001369635</v>
      </c>
      <c r="DV120" s="648">
        <f t="shared" si="489"/>
        <v>72216.364284606389</v>
      </c>
      <c r="DW120" s="648">
        <f t="shared" si="489"/>
        <v>76694.093162529156</v>
      </c>
      <c r="DX120" s="648">
        <f t="shared" si="489"/>
        <v>81268.947097911107</v>
      </c>
      <c r="DY120" s="648">
        <f t="shared" si="489"/>
        <v>85941.823940767237</v>
      </c>
      <c r="DZ120" s="648">
        <f t="shared" si="489"/>
        <v>90713.605179726452</v>
      </c>
      <c r="EF120" s="157">
        <f>402</f>
        <v>402</v>
      </c>
      <c r="EG120" s="51"/>
      <c r="EH120" s="51"/>
      <c r="EI120" s="51"/>
      <c r="EJ120" s="51"/>
    </row>
    <row r="121" spans="1:143">
      <c r="A121" s="1"/>
      <c r="B121" t="str">
        <f t="shared" si="425"/>
        <v>Waste management (collection + MRF)</v>
      </c>
      <c r="C121" s="54" t="s">
        <v>114</v>
      </c>
      <c r="D121" s="648">
        <f t="shared" ref="D121:AH121" si="490">D23*$EF121</f>
        <v>4.3782049425990698E-2</v>
      </c>
      <c r="E121" s="648">
        <f t="shared" si="490"/>
        <v>9.6330911141992506E-2</v>
      </c>
      <c r="F121" s="648">
        <f t="shared" si="490"/>
        <v>0.20367205486424395</v>
      </c>
      <c r="G121" s="648">
        <f t="shared" si="490"/>
        <v>0.42775313174139656</v>
      </c>
      <c r="H121" s="648">
        <f t="shared" si="490"/>
        <v>0.89157483448782493</v>
      </c>
      <c r="I121" s="648">
        <f t="shared" si="490"/>
        <v>1.8418861749215518</v>
      </c>
      <c r="J121" s="648">
        <f t="shared" si="490"/>
        <v>3.7727265117177642</v>
      </c>
      <c r="K121" s="648">
        <f t="shared" si="490"/>
        <v>7.6427480419396208</v>
      </c>
      <c r="L121" s="648">
        <f t="shared" si="490"/>
        <v>15.261075485401591</v>
      </c>
      <c r="M121" s="648">
        <f t="shared" si="490"/>
        <v>29.905546313335858</v>
      </c>
      <c r="N121" s="648">
        <f t="shared" si="490"/>
        <v>56.349014317471152</v>
      </c>
      <c r="O121" s="648">
        <f t="shared" si="490"/>
        <v>101.7745888424342</v>
      </c>
      <c r="P121" s="648">
        <f t="shared" si="490"/>
        <v>174.04102614393705</v>
      </c>
      <c r="Q121" s="648">
        <f t="shared" si="490"/>
        <v>283.84946972356306</v>
      </c>
      <c r="R121" s="648">
        <f t="shared" si="490"/>
        <v>438.46629565918647</v>
      </c>
      <c r="S121" s="648">
        <f t="shared" si="490"/>
        <v>652.83979230277521</v>
      </c>
      <c r="T121" s="648">
        <f t="shared" si="490"/>
        <v>922.60942728904013</v>
      </c>
      <c r="U121" s="648">
        <f t="shared" si="490"/>
        <v>1230.0013572927337</v>
      </c>
      <c r="V121" s="648">
        <f t="shared" si="490"/>
        <v>1554.5235219432291</v>
      </c>
      <c r="W121" s="648">
        <f t="shared" si="490"/>
        <v>1875.5656945994278</v>
      </c>
      <c r="X121" s="648">
        <f t="shared" si="490"/>
        <v>2125.4986482675331</v>
      </c>
      <c r="Y121" s="648">
        <f t="shared" si="490"/>
        <v>2423.0787144612877</v>
      </c>
      <c r="Z121" s="648">
        <f t="shared" si="490"/>
        <v>2691.9768000780709</v>
      </c>
      <c r="AA121" s="648">
        <f t="shared" si="490"/>
        <v>2945.1451267042085</v>
      </c>
      <c r="AB121" s="648">
        <f t="shared" si="490"/>
        <v>3186.0757452404273</v>
      </c>
      <c r="AC121" s="648">
        <f t="shared" si="490"/>
        <v>3428.7392110593228</v>
      </c>
      <c r="AD121" s="648">
        <f t="shared" si="490"/>
        <v>3691.9720386043145</v>
      </c>
      <c r="AE121" s="648">
        <f t="shared" si="490"/>
        <v>3997.9661457497023</v>
      </c>
      <c r="AF121" s="648">
        <f t="shared" si="490"/>
        <v>4368.1154511184959</v>
      </c>
      <c r="AG121" s="648">
        <f t="shared" si="490"/>
        <v>4849.4540617009325</v>
      </c>
      <c r="AH121" s="648">
        <f t="shared" si="490"/>
        <v>5337.0194693331823</v>
      </c>
      <c r="AI121" s="648"/>
      <c r="AJ121" s="648">
        <f t="shared" ref="AJ121:BN121" si="491">AJ23*$EF121</f>
        <v>2.4191650680137004E-2</v>
      </c>
      <c r="AK121" s="648">
        <f t="shared" si="491"/>
        <v>5.3505143347191302E-2</v>
      </c>
      <c r="AL121" s="648">
        <f t="shared" si="491"/>
        <v>0.11309893824143631</v>
      </c>
      <c r="AM121" s="648">
        <f t="shared" si="491"/>
        <v>0.23748912279365075</v>
      </c>
      <c r="AN121" s="648">
        <f t="shared" si="491"/>
        <v>0.49494377535943224</v>
      </c>
      <c r="AO121" s="648">
        <f t="shared" si="491"/>
        <v>1.0224229338852462</v>
      </c>
      <c r="AP121" s="648">
        <f t="shared" si="491"/>
        <v>2.0941767058255376</v>
      </c>
      <c r="AQ121" s="648">
        <f t="shared" si="491"/>
        <v>4.2424495207222899</v>
      </c>
      <c r="AR121" s="648">
        <f t="shared" si="491"/>
        <v>8.4718638142427487</v>
      </c>
      <c r="AS121" s="648">
        <f t="shared" si="491"/>
        <v>16.603075321429159</v>
      </c>
      <c r="AT121" s="648">
        <f t="shared" si="491"/>
        <v>30.803138374764398</v>
      </c>
      <c r="AU121" s="648">
        <f t="shared" si="491"/>
        <v>56.477343144822058</v>
      </c>
      <c r="AV121" s="648">
        <f t="shared" si="491"/>
        <v>96.526347613483651</v>
      </c>
      <c r="AW121" s="648">
        <f t="shared" si="491"/>
        <v>157.33552226134265</v>
      </c>
      <c r="AX121" s="648">
        <f t="shared" si="491"/>
        <v>242.90564729372844</v>
      </c>
      <c r="AY121" s="648">
        <f t="shared" si="491"/>
        <v>361.78006057557855</v>
      </c>
      <c r="AZ121" s="648">
        <f t="shared" si="491"/>
        <v>511.56352364348044</v>
      </c>
      <c r="BA121" s="648">
        <f t="shared" si="491"/>
        <v>682.39204978750092</v>
      </c>
      <c r="BB121" s="648">
        <f t="shared" si="491"/>
        <v>862.93272780284758</v>
      </c>
      <c r="BC121" s="648">
        <f t="shared" si="491"/>
        <v>1041.7639546533669</v>
      </c>
      <c r="BD121" s="648">
        <f t="shared" si="491"/>
        <v>1158.1932329623485</v>
      </c>
      <c r="BE121" s="648">
        <f t="shared" si="491"/>
        <v>1348.2262475166765</v>
      </c>
      <c r="BF121" s="648">
        <f t="shared" si="491"/>
        <v>1500.5959469747286</v>
      </c>
      <c r="BG121" s="648">
        <f t="shared" si="491"/>
        <v>1644.8257785780106</v>
      </c>
      <c r="BH121" s="648">
        <f t="shared" si="491"/>
        <v>1782.7704547461678</v>
      </c>
      <c r="BI121" s="648">
        <f t="shared" si="491"/>
        <v>1922.2591279361113</v>
      </c>
      <c r="BJ121" s="648">
        <f t="shared" si="491"/>
        <v>2073.9224874746164</v>
      </c>
      <c r="BK121" s="648">
        <f t="shared" si="491"/>
        <v>2253.5421978410577</v>
      </c>
      <c r="BL121" s="648">
        <f t="shared" si="491"/>
        <v>2472.1954220042803</v>
      </c>
      <c r="BM121" s="648">
        <f t="shared" si="491"/>
        <v>2757.3810265011784</v>
      </c>
      <c r="BN121" s="648">
        <f t="shared" si="491"/>
        <v>2975.1751403731582</v>
      </c>
      <c r="BO121" s="648"/>
      <c r="BP121" s="648">
        <f t="shared" ref="BP121:CT121" si="492">BP23*$EF121</f>
        <v>0</v>
      </c>
      <c r="BQ121" s="648">
        <f t="shared" si="492"/>
        <v>0</v>
      </c>
      <c r="BR121" s="648">
        <f t="shared" si="492"/>
        <v>0</v>
      </c>
      <c r="BS121" s="648">
        <f t="shared" si="492"/>
        <v>0</v>
      </c>
      <c r="BT121" s="648">
        <f t="shared" si="492"/>
        <v>0</v>
      </c>
      <c r="BU121" s="648">
        <f t="shared" si="492"/>
        <v>0</v>
      </c>
      <c r="BV121" s="648">
        <f t="shared" si="492"/>
        <v>0</v>
      </c>
      <c r="BW121" s="648">
        <f t="shared" si="492"/>
        <v>0</v>
      </c>
      <c r="BX121" s="648">
        <f t="shared" si="492"/>
        <v>0</v>
      </c>
      <c r="BY121" s="648">
        <f t="shared" si="492"/>
        <v>0</v>
      </c>
      <c r="BZ121" s="648">
        <f t="shared" si="492"/>
        <v>0</v>
      </c>
      <c r="CA121" s="648">
        <f t="shared" si="492"/>
        <v>0</v>
      </c>
      <c r="CB121" s="648">
        <f t="shared" si="492"/>
        <v>0</v>
      </c>
      <c r="CC121" s="648">
        <f t="shared" si="492"/>
        <v>0</v>
      </c>
      <c r="CD121" s="648">
        <f t="shared" si="492"/>
        <v>0</v>
      </c>
      <c r="CE121" s="648">
        <f t="shared" si="492"/>
        <v>0</v>
      </c>
      <c r="CF121" s="648">
        <f t="shared" si="492"/>
        <v>0</v>
      </c>
      <c r="CG121" s="648">
        <f t="shared" si="492"/>
        <v>0</v>
      </c>
      <c r="CH121" s="648">
        <f t="shared" si="492"/>
        <v>0</v>
      </c>
      <c r="CI121" s="648">
        <f t="shared" si="492"/>
        <v>0</v>
      </c>
      <c r="CJ121" s="648">
        <f t="shared" si="492"/>
        <v>0</v>
      </c>
      <c r="CK121" s="648">
        <f t="shared" si="492"/>
        <v>0</v>
      </c>
      <c r="CL121" s="648">
        <f t="shared" si="492"/>
        <v>0</v>
      </c>
      <c r="CM121" s="648">
        <f t="shared" si="492"/>
        <v>0</v>
      </c>
      <c r="CN121" s="648">
        <f t="shared" si="492"/>
        <v>0</v>
      </c>
      <c r="CO121" s="648">
        <f t="shared" si="492"/>
        <v>0</v>
      </c>
      <c r="CP121" s="648">
        <f t="shared" si="492"/>
        <v>0</v>
      </c>
      <c r="CQ121" s="648">
        <f t="shared" si="492"/>
        <v>0</v>
      </c>
      <c r="CR121" s="648">
        <f t="shared" si="492"/>
        <v>0</v>
      </c>
      <c r="CS121" s="648">
        <f t="shared" si="492"/>
        <v>0</v>
      </c>
      <c r="CT121" s="648">
        <f t="shared" si="492"/>
        <v>0</v>
      </c>
      <c r="CU121" s="648"/>
      <c r="CV121" s="648">
        <f t="shared" ref="CV121:DZ121" si="493">CV23*$EF121</f>
        <v>2.4191650680137004E-2</v>
      </c>
      <c r="CW121" s="648">
        <f t="shared" si="493"/>
        <v>5.3505143347191302E-2</v>
      </c>
      <c r="CX121" s="648">
        <f t="shared" si="493"/>
        <v>0.11309893824143631</v>
      </c>
      <c r="CY121" s="648">
        <f t="shared" si="493"/>
        <v>0.23748912279365075</v>
      </c>
      <c r="CZ121" s="648">
        <f t="shared" si="493"/>
        <v>0.49494377535943224</v>
      </c>
      <c r="DA121" s="648">
        <f t="shared" si="493"/>
        <v>1.0224229338852462</v>
      </c>
      <c r="DB121" s="648">
        <f t="shared" si="493"/>
        <v>2.0941767058255376</v>
      </c>
      <c r="DC121" s="648">
        <f t="shared" si="493"/>
        <v>4.2424495207222899</v>
      </c>
      <c r="DD121" s="648">
        <f t="shared" si="493"/>
        <v>8.4718638142427487</v>
      </c>
      <c r="DE121" s="648">
        <f t="shared" si="493"/>
        <v>16.603075321429159</v>
      </c>
      <c r="DF121" s="648">
        <f t="shared" si="493"/>
        <v>30.803138374764398</v>
      </c>
      <c r="DG121" s="648">
        <f t="shared" si="493"/>
        <v>56.477343144822058</v>
      </c>
      <c r="DH121" s="648">
        <f t="shared" si="493"/>
        <v>96.526347613483651</v>
      </c>
      <c r="DI121" s="648">
        <f t="shared" si="493"/>
        <v>157.33552226134265</v>
      </c>
      <c r="DJ121" s="648">
        <f t="shared" si="493"/>
        <v>242.90564729372844</v>
      </c>
      <c r="DK121" s="648">
        <f t="shared" si="493"/>
        <v>361.78006057557855</v>
      </c>
      <c r="DL121" s="648">
        <f t="shared" si="493"/>
        <v>511.56352364348044</v>
      </c>
      <c r="DM121" s="648">
        <f t="shared" si="493"/>
        <v>682.39204978750092</v>
      </c>
      <c r="DN121" s="648">
        <f t="shared" si="493"/>
        <v>862.93272780284758</v>
      </c>
      <c r="DO121" s="648">
        <f t="shared" si="493"/>
        <v>1041.7639546533669</v>
      </c>
      <c r="DP121" s="648">
        <f t="shared" si="493"/>
        <v>1158.1932329623485</v>
      </c>
      <c r="DQ121" s="648">
        <f t="shared" si="493"/>
        <v>1348.2262475166765</v>
      </c>
      <c r="DR121" s="648">
        <f t="shared" si="493"/>
        <v>1500.5959469747286</v>
      </c>
      <c r="DS121" s="648">
        <f t="shared" si="493"/>
        <v>1644.8257785780106</v>
      </c>
      <c r="DT121" s="648">
        <f t="shared" si="493"/>
        <v>1782.7704547461678</v>
      </c>
      <c r="DU121" s="648">
        <f t="shared" si="493"/>
        <v>1922.2591279361113</v>
      </c>
      <c r="DV121" s="648">
        <f t="shared" si="493"/>
        <v>2073.9224874746164</v>
      </c>
      <c r="DW121" s="648">
        <f t="shared" si="493"/>
        <v>2253.5421978410577</v>
      </c>
      <c r="DX121" s="648">
        <f t="shared" si="493"/>
        <v>2472.1954220042803</v>
      </c>
      <c r="DY121" s="648">
        <f t="shared" si="493"/>
        <v>2757.3810265011784</v>
      </c>
      <c r="DZ121" s="648">
        <f t="shared" si="493"/>
        <v>2975.1751403731582</v>
      </c>
      <c r="EF121" s="157">
        <f>149+156</f>
        <v>305</v>
      </c>
      <c r="EG121" s="51"/>
      <c r="EH121" s="51"/>
      <c r="EI121" s="51"/>
      <c r="EJ121" s="51"/>
    </row>
    <row r="122" spans="1:143">
      <c r="A122" s="1"/>
      <c r="B122" t="str">
        <f t="shared" si="425"/>
        <v>Incineration</v>
      </c>
      <c r="C122" s="54" t="s">
        <v>114</v>
      </c>
      <c r="D122" s="648">
        <f t="shared" ref="D122:AH122" si="494">D24*$EF122</f>
        <v>15713.095537842855</v>
      </c>
      <c r="E122" s="648">
        <f t="shared" si="494"/>
        <v>16313.709452817478</v>
      </c>
      <c r="F122" s="648">
        <f t="shared" si="494"/>
        <v>16899.450329948035</v>
      </c>
      <c r="G122" s="648">
        <f t="shared" si="494"/>
        <v>17459.582330925339</v>
      </c>
      <c r="H122" s="648">
        <f t="shared" si="494"/>
        <v>17990.268642558774</v>
      </c>
      <c r="I122" s="648">
        <f t="shared" si="494"/>
        <v>18487.799026264354</v>
      </c>
      <c r="J122" s="648">
        <f t="shared" si="494"/>
        <v>18989.519374825413</v>
      </c>
      <c r="K122" s="648">
        <f t="shared" si="494"/>
        <v>19495.070311437794</v>
      </c>
      <c r="L122" s="648">
        <f t="shared" si="494"/>
        <v>20004.113921713095</v>
      </c>
      <c r="M122" s="648">
        <f t="shared" si="494"/>
        <v>20516.360952847077</v>
      </c>
      <c r="N122" s="648">
        <f t="shared" si="494"/>
        <v>21031.568181175575</v>
      </c>
      <c r="O122" s="648">
        <f t="shared" si="494"/>
        <v>21549.770322092598</v>
      </c>
      <c r="P122" s="648">
        <f t="shared" si="494"/>
        <v>22038.014006273112</v>
      </c>
      <c r="Q122" s="648">
        <f t="shared" si="494"/>
        <v>22496.178522397287</v>
      </c>
      <c r="R122" s="648">
        <f t="shared" si="494"/>
        <v>22919.880272613624</v>
      </c>
      <c r="S122" s="648">
        <f t="shared" si="494"/>
        <v>23307.279271107607</v>
      </c>
      <c r="T122" s="648">
        <f t="shared" si="494"/>
        <v>23698.398613165024</v>
      </c>
      <c r="U122" s="648">
        <f t="shared" si="494"/>
        <v>24092.27549249836</v>
      </c>
      <c r="V122" s="648">
        <f t="shared" si="494"/>
        <v>24487.871530951354</v>
      </c>
      <c r="W122" s="648">
        <f t="shared" si="494"/>
        <v>24884.188786599443</v>
      </c>
      <c r="X122" s="648">
        <f t="shared" si="494"/>
        <v>25278.348720759528</v>
      </c>
      <c r="Y122" s="648">
        <f t="shared" si="494"/>
        <v>25715.572151102657</v>
      </c>
      <c r="Z122" s="648">
        <f t="shared" si="494"/>
        <v>26152.356133649402</v>
      </c>
      <c r="AA122" s="648">
        <f t="shared" si="494"/>
        <v>26592.95900007489</v>
      </c>
      <c r="AB122" s="648">
        <f t="shared" si="494"/>
        <v>27033.686590451787</v>
      </c>
      <c r="AC122" s="648">
        <f t="shared" si="494"/>
        <v>27474.942080870413</v>
      </c>
      <c r="AD122" s="648">
        <f t="shared" si="494"/>
        <v>27917.537530599278</v>
      </c>
      <c r="AE122" s="648">
        <f t="shared" si="494"/>
        <v>28362.111411396974</v>
      </c>
      <c r="AF122" s="648">
        <f t="shared" si="494"/>
        <v>28809.218086855544</v>
      </c>
      <c r="AG122" s="648">
        <f t="shared" si="494"/>
        <v>29260.274006032701</v>
      </c>
      <c r="AH122" s="648">
        <f t="shared" si="494"/>
        <v>29711.245019304206</v>
      </c>
      <c r="AI122" s="648"/>
      <c r="AJ122" s="648">
        <f t="shared" ref="AJ122:BN122" si="495">AJ24*$EF122</f>
        <v>15713.094505974803</v>
      </c>
      <c r="AK122" s="648">
        <f t="shared" si="495"/>
        <v>16313.70722215663</v>
      </c>
      <c r="AL122" s="648">
        <f t="shared" si="495"/>
        <v>16899.445665284049</v>
      </c>
      <c r="AM122" s="648">
        <f t="shared" si="495"/>
        <v>17459.572643368203</v>
      </c>
      <c r="AN122" s="648">
        <f t="shared" si="495"/>
        <v>17990.248679662418</v>
      </c>
      <c r="AO122" s="648">
        <f t="shared" si="495"/>
        <v>18487.758261326569</v>
      </c>
      <c r="AP122" s="648">
        <f t="shared" si="495"/>
        <v>18989.436856216267</v>
      </c>
      <c r="AQ122" s="648">
        <f t="shared" si="495"/>
        <v>19494.905140543564</v>
      </c>
      <c r="AR122" s="648">
        <f t="shared" si="495"/>
        <v>20003.788106332016</v>
      </c>
      <c r="AS122" s="648">
        <f t="shared" si="495"/>
        <v>20515.730350300069</v>
      </c>
      <c r="AT122" s="648">
        <f t="shared" si="495"/>
        <v>21030.372131639637</v>
      </c>
      <c r="AU122" s="648">
        <f t="shared" si="495"/>
        <v>21547.676029927996</v>
      </c>
      <c r="AV122" s="648">
        <f t="shared" si="495"/>
        <v>22034.475524734818</v>
      </c>
      <c r="AW122" s="648">
        <f t="shared" si="495"/>
        <v>22489.651475675266</v>
      </c>
      <c r="AX122" s="648">
        <f t="shared" si="495"/>
        <v>22909.503247261935</v>
      </c>
      <c r="AY122" s="648">
        <f t="shared" si="495"/>
        <v>23291.949156018429</v>
      </c>
      <c r="AZ122" s="648">
        <f t="shared" si="495"/>
        <v>23677.142162738299</v>
      </c>
      <c r="BA122" s="648">
        <f t="shared" si="495"/>
        <v>24064.500187901816</v>
      </c>
      <c r="BB122" s="648">
        <f t="shared" si="495"/>
        <v>24453.399713914718</v>
      </c>
      <c r="BC122" s="648">
        <f t="shared" si="495"/>
        <v>24843.237451317273</v>
      </c>
      <c r="BD122" s="648">
        <f t="shared" si="495"/>
        <v>25231.415758504321</v>
      </c>
      <c r="BE122" s="648">
        <f t="shared" si="495"/>
        <v>25663.836472839888</v>
      </c>
      <c r="BF122" s="648">
        <f t="shared" si="495"/>
        <v>26095.560471928839</v>
      </c>
      <c r="BG122" s="648">
        <f t="shared" si="495"/>
        <v>26531.511457174118</v>
      </c>
      <c r="BH122" s="648">
        <f t="shared" si="495"/>
        <v>26967.918525325109</v>
      </c>
      <c r="BI122" s="648">
        <f t="shared" si="495"/>
        <v>27404.940611418246</v>
      </c>
      <c r="BJ122" s="648">
        <f t="shared" si="495"/>
        <v>27843.082463757604</v>
      </c>
      <c r="BK122" s="648">
        <f t="shared" si="495"/>
        <v>28282.760762443348</v>
      </c>
      <c r="BL122" s="648">
        <f t="shared" si="495"/>
        <v>28724.181344752542</v>
      </c>
      <c r="BM122" s="648">
        <f t="shared" si="495"/>
        <v>29168.107192526055</v>
      </c>
      <c r="BN122" s="648">
        <f t="shared" si="495"/>
        <v>29609.565432489886</v>
      </c>
      <c r="BO122" s="648"/>
      <c r="BP122" s="648">
        <f t="shared" ref="BP122:CT122" si="496">BP24*$EF122</f>
        <v>15713.093231749008</v>
      </c>
      <c r="BQ122" s="648">
        <f t="shared" si="496"/>
        <v>16163.215013620913</v>
      </c>
      <c r="BR122" s="648">
        <f t="shared" si="496"/>
        <v>16583.654345163555</v>
      </c>
      <c r="BS122" s="648">
        <f t="shared" si="496"/>
        <v>16971.503159276581</v>
      </c>
      <c r="BT122" s="648">
        <f t="shared" si="496"/>
        <v>17324.047961464152</v>
      </c>
      <c r="BU122" s="648">
        <f t="shared" si="496"/>
        <v>17638.803034108794</v>
      </c>
      <c r="BV122" s="648">
        <f t="shared" si="496"/>
        <v>17950.931063127533</v>
      </c>
      <c r="BW122" s="648">
        <f t="shared" si="496"/>
        <v>18260.089076691002</v>
      </c>
      <c r="BX122" s="648">
        <f t="shared" si="496"/>
        <v>18565.932423723665</v>
      </c>
      <c r="BY122" s="648">
        <f t="shared" si="496"/>
        <v>18868.11544283012</v>
      </c>
      <c r="BZ122" s="648">
        <f t="shared" si="496"/>
        <v>19166.292148069733</v>
      </c>
      <c r="CA122" s="648">
        <f t="shared" si="496"/>
        <v>19433.238281048245</v>
      </c>
      <c r="CB122" s="648">
        <f t="shared" si="496"/>
        <v>19667.506060059943</v>
      </c>
      <c r="CC122" s="648">
        <f t="shared" si="496"/>
        <v>19867.818320038863</v>
      </c>
      <c r="CD122" s="648">
        <f t="shared" si="496"/>
        <v>20033.081226249942</v>
      </c>
      <c r="CE122" s="648">
        <f t="shared" si="496"/>
        <v>20162.395410055949</v>
      </c>
      <c r="CF122" s="648">
        <f t="shared" si="496"/>
        <v>20290.158682590754</v>
      </c>
      <c r="CG122" s="648">
        <f t="shared" si="496"/>
        <v>20416.334606792807</v>
      </c>
      <c r="CH122" s="648">
        <f t="shared" si="496"/>
        <v>20540.887372664227</v>
      </c>
      <c r="CI122" s="648">
        <f t="shared" si="496"/>
        <v>20663.78183038146</v>
      </c>
      <c r="CJ122" s="648">
        <f t="shared" si="496"/>
        <v>20784.983523510797</v>
      </c>
      <c r="CK122" s="648">
        <f t="shared" si="496"/>
        <v>20904.679146138798</v>
      </c>
      <c r="CL122" s="648">
        <f t="shared" si="496"/>
        <v>21022.839144510857</v>
      </c>
      <c r="CM122" s="648">
        <f t="shared" si="496"/>
        <v>21139.434615260197</v>
      </c>
      <c r="CN122" s="648">
        <f t="shared" si="496"/>
        <v>21254.437333805356</v>
      </c>
      <c r="CO122" s="648">
        <f t="shared" si="496"/>
        <v>21367.819782822971</v>
      </c>
      <c r="CP122" s="648">
        <f t="shared" si="496"/>
        <v>21479.748595489735</v>
      </c>
      <c r="CQ122" s="648">
        <f t="shared" si="496"/>
        <v>21590.200352737371</v>
      </c>
      <c r="CR122" s="648">
        <f t="shared" si="496"/>
        <v>21699.152305328935</v>
      </c>
      <c r="CS122" s="648">
        <f t="shared" si="496"/>
        <v>21806.582398704693</v>
      </c>
      <c r="CT122" s="648">
        <f t="shared" si="496"/>
        <v>21912.469297890366</v>
      </c>
      <c r="CU122" s="648"/>
      <c r="CV122" s="648">
        <f t="shared" ref="CV122:DZ122" si="497">CV24*$EF122</f>
        <v>15713.094505974803</v>
      </c>
      <c r="CW122" s="648">
        <f t="shared" si="497"/>
        <v>16313.70722215663</v>
      </c>
      <c r="CX122" s="648">
        <f t="shared" si="497"/>
        <v>16899.445665284049</v>
      </c>
      <c r="CY122" s="648">
        <f t="shared" si="497"/>
        <v>17459.572643368203</v>
      </c>
      <c r="CZ122" s="648">
        <f t="shared" si="497"/>
        <v>17990.248679662418</v>
      </c>
      <c r="DA122" s="648">
        <f t="shared" si="497"/>
        <v>18487.758261326569</v>
      </c>
      <c r="DB122" s="648">
        <f t="shared" si="497"/>
        <v>18989.436856216267</v>
      </c>
      <c r="DC122" s="648">
        <f t="shared" si="497"/>
        <v>19494.905140543564</v>
      </c>
      <c r="DD122" s="648">
        <f t="shared" si="497"/>
        <v>20003.788106332016</v>
      </c>
      <c r="DE122" s="648">
        <f t="shared" si="497"/>
        <v>20515.730350300069</v>
      </c>
      <c r="DF122" s="648">
        <f t="shared" si="497"/>
        <v>21030.372131639637</v>
      </c>
      <c r="DG122" s="648">
        <f t="shared" si="497"/>
        <v>21547.676029927996</v>
      </c>
      <c r="DH122" s="648">
        <f t="shared" si="497"/>
        <v>22034.475524734818</v>
      </c>
      <c r="DI122" s="648">
        <f t="shared" si="497"/>
        <v>22488.401519089635</v>
      </c>
      <c r="DJ122" s="648">
        <f t="shared" si="497"/>
        <v>22906.962341620198</v>
      </c>
      <c r="DK122" s="648">
        <f t="shared" si="497"/>
        <v>23288.082725853077</v>
      </c>
      <c r="DL122" s="648">
        <f t="shared" si="497"/>
        <v>23671.913072713771</v>
      </c>
      <c r="DM122" s="648">
        <f t="shared" si="497"/>
        <v>24057.871002159092</v>
      </c>
      <c r="DN122" s="648">
        <f t="shared" si="497"/>
        <v>24445.332708661292</v>
      </c>
      <c r="DO122" s="648">
        <f t="shared" si="497"/>
        <v>24833.694627821853</v>
      </c>
      <c r="DP122" s="648">
        <f t="shared" si="497"/>
        <v>25220.358856493916</v>
      </c>
      <c r="DQ122" s="648">
        <f t="shared" si="497"/>
        <v>25651.226845410307</v>
      </c>
      <c r="DR122" s="648">
        <f t="shared" si="497"/>
        <v>26081.359185799152</v>
      </c>
      <c r="DS122" s="648">
        <f t="shared" si="497"/>
        <v>26512.093997033051</v>
      </c>
      <c r="DT122" s="648">
        <f t="shared" si="497"/>
        <v>26943.149495783233</v>
      </c>
      <c r="DU122" s="648">
        <f t="shared" si="497"/>
        <v>27374.683671132807</v>
      </c>
      <c r="DV122" s="648">
        <f t="shared" si="497"/>
        <v>27807.20002965942</v>
      </c>
      <c r="DW122" s="648">
        <f t="shared" si="497"/>
        <v>28241.114229674829</v>
      </c>
      <c r="DX122" s="648">
        <f t="shared" si="497"/>
        <v>28676.631124386917</v>
      </c>
      <c r="DY122" s="648">
        <f t="shared" si="497"/>
        <v>29114.512750397287</v>
      </c>
      <c r="DZ122" s="648">
        <f t="shared" si="497"/>
        <v>29549.785329127575</v>
      </c>
      <c r="EF122" s="157">
        <v>63</v>
      </c>
      <c r="EG122" s="51"/>
      <c r="EH122" s="51"/>
      <c r="EI122" s="51"/>
      <c r="EJ122" s="51"/>
    </row>
    <row r="123" spans="1:143">
      <c r="A123" s="1"/>
      <c r="B123" t="str">
        <f t="shared" ref="B123:B127" si="498">B97</f>
        <v>Landfill</v>
      </c>
      <c r="C123" s="54" t="s">
        <v>114</v>
      </c>
      <c r="D123" s="648">
        <f t="shared" ref="D123:AH123" si="499">D25*$EF123</f>
        <v>376.43781304467478</v>
      </c>
      <c r="E123" s="648">
        <f t="shared" si="499"/>
        <v>400.39059922843467</v>
      </c>
      <c r="F123" s="648">
        <f t="shared" si="499"/>
        <v>423.67539464786103</v>
      </c>
      <c r="G123" s="648">
        <f t="shared" si="499"/>
        <v>446.67893525802862</v>
      </c>
      <c r="H123" s="648">
        <f t="shared" si="499"/>
        <v>469.24056616714438</v>
      </c>
      <c r="I123" s="648">
        <f t="shared" si="499"/>
        <v>491.19704729426758</v>
      </c>
      <c r="J123" s="648">
        <f t="shared" si="499"/>
        <v>513.48925408440175</v>
      </c>
      <c r="K123" s="648">
        <f t="shared" si="499"/>
        <v>536.08926571400104</v>
      </c>
      <c r="L123" s="648">
        <f t="shared" si="499"/>
        <v>558.96275121139854</v>
      </c>
      <c r="M123" s="648">
        <f t="shared" si="499"/>
        <v>582.06502196087604</v>
      </c>
      <c r="N123" s="648">
        <f t="shared" si="499"/>
        <v>605.33988228972044</v>
      </c>
      <c r="O123" s="648">
        <f t="shared" si="499"/>
        <v>623.96488735873061</v>
      </c>
      <c r="P123" s="648">
        <f t="shared" si="499"/>
        <v>641.26615293936629</v>
      </c>
      <c r="Q123" s="648">
        <f t="shared" si="499"/>
        <v>657.11553564597625</v>
      </c>
      <c r="R123" s="648">
        <f t="shared" si="499"/>
        <v>671.27557371492139</v>
      </c>
      <c r="S123" s="648">
        <f t="shared" si="499"/>
        <v>683.52779680433525</v>
      </c>
      <c r="T123" s="648">
        <f t="shared" si="499"/>
        <v>695.0391314741496</v>
      </c>
      <c r="U123" s="648">
        <f t="shared" si="499"/>
        <v>705.88234969167047</v>
      </c>
      <c r="V123" s="648">
        <f t="shared" si="499"/>
        <v>716.15807484655488</v>
      </c>
      <c r="W123" s="648">
        <f t="shared" si="499"/>
        <v>725.97886761139273</v>
      </c>
      <c r="X123" s="648">
        <f t="shared" si="499"/>
        <v>735.797365619792</v>
      </c>
      <c r="Y123" s="648">
        <f t="shared" si="499"/>
        <v>737.69152007700291</v>
      </c>
      <c r="Z123" s="648">
        <f t="shared" si="499"/>
        <v>738.80023885052003</v>
      </c>
      <c r="AA123" s="648">
        <f t="shared" si="499"/>
        <v>739.11438315605278</v>
      </c>
      <c r="AB123" s="648">
        <f t="shared" si="499"/>
        <v>738.46702634886276</v>
      </c>
      <c r="AC123" s="648">
        <f t="shared" si="499"/>
        <v>736.71916829861698</v>
      </c>
      <c r="AD123" s="648">
        <f t="shared" si="499"/>
        <v>733.69264341503651</v>
      </c>
      <c r="AE123" s="648">
        <f t="shared" si="499"/>
        <v>729.1643200827358</v>
      </c>
      <c r="AF123" s="648">
        <f t="shared" si="499"/>
        <v>722.90464814793472</v>
      </c>
      <c r="AG123" s="648">
        <f t="shared" si="499"/>
        <v>714.46001905598268</v>
      </c>
      <c r="AH123" s="648">
        <f t="shared" si="499"/>
        <v>704.62582756529662</v>
      </c>
      <c r="AI123" s="648"/>
      <c r="AJ123" s="648">
        <f t="shared" ref="AJ123:BN123" si="500">AJ25*$EF123</f>
        <v>376.43789526011869</v>
      </c>
      <c r="AK123" s="648">
        <f t="shared" si="500"/>
        <v>400.3907849471741</v>
      </c>
      <c r="AL123" s="648">
        <f t="shared" si="500"/>
        <v>423.67580009866504</v>
      </c>
      <c r="AM123" s="648">
        <f t="shared" si="500"/>
        <v>446.67981359155192</v>
      </c>
      <c r="AN123" s="648">
        <f t="shared" si="500"/>
        <v>469.24245265716547</v>
      </c>
      <c r="AO123" s="648">
        <f t="shared" si="500"/>
        <v>491.20105952958988</v>
      </c>
      <c r="AP123" s="648">
        <f t="shared" si="500"/>
        <v>513.49770737129313</v>
      </c>
      <c r="AQ123" s="648">
        <f t="shared" si="500"/>
        <v>536.10686551049992</v>
      </c>
      <c r="AR123" s="648">
        <f t="shared" si="500"/>
        <v>558.99884162185595</v>
      </c>
      <c r="AS123" s="648">
        <f t="shared" si="500"/>
        <v>582.1375967534351</v>
      </c>
      <c r="AT123" s="648">
        <f t="shared" si="500"/>
        <v>605.48282751903912</v>
      </c>
      <c r="AU123" s="648">
        <f t="shared" si="500"/>
        <v>624.22469057777005</v>
      </c>
      <c r="AV123" s="648">
        <f t="shared" si="500"/>
        <v>641.72158344404363</v>
      </c>
      <c r="AW123" s="648">
        <f t="shared" si="500"/>
        <v>657.84579456604422</v>
      </c>
      <c r="AX123" s="648">
        <f t="shared" si="500"/>
        <v>672.41553397638904</v>
      </c>
      <c r="AY123" s="648">
        <f t="shared" si="500"/>
        <v>685.26118265969774</v>
      </c>
      <c r="AZ123" s="648">
        <f t="shared" si="500"/>
        <v>697.54801923147943</v>
      </c>
      <c r="BA123" s="648">
        <f t="shared" si="500"/>
        <v>709.3070389164875</v>
      </c>
      <c r="BB123" s="648">
        <f t="shared" si="500"/>
        <v>720.58427394178409</v>
      </c>
      <c r="BC123" s="648">
        <f t="shared" si="500"/>
        <v>731.43236703553976</v>
      </c>
      <c r="BD123" s="648">
        <f t="shared" si="500"/>
        <v>742.25464764248591</v>
      </c>
      <c r="BE123" s="648">
        <f t="shared" si="500"/>
        <v>745.00229910727001</v>
      </c>
      <c r="BF123" s="648">
        <f t="shared" si="500"/>
        <v>747.05743910984063</v>
      </c>
      <c r="BG123" s="648">
        <f t="shared" si="500"/>
        <v>748.29178924501377</v>
      </c>
      <c r="BH123" s="648">
        <f t="shared" si="500"/>
        <v>748.54756029518603</v>
      </c>
      <c r="BI123" s="648">
        <f t="shared" si="500"/>
        <v>747.73046041636564</v>
      </c>
      <c r="BJ123" s="648">
        <f t="shared" si="500"/>
        <v>745.72663565536777</v>
      </c>
      <c r="BK123" s="648">
        <f t="shared" si="500"/>
        <v>742.36754496964625</v>
      </c>
      <c r="BL123" s="648">
        <f t="shared" si="500"/>
        <v>737.51351214932208</v>
      </c>
      <c r="BM123" s="648">
        <f t="shared" si="500"/>
        <v>730.88266112903113</v>
      </c>
      <c r="BN123" s="648">
        <f t="shared" si="500"/>
        <v>723.5321684316533</v>
      </c>
      <c r="BO123" s="648"/>
      <c r="BP123" s="648">
        <f t="shared" ref="BP123:CT123" si="501">BP25*$EF123</f>
        <v>376.43799678573464</v>
      </c>
      <c r="BQ123" s="648">
        <f t="shared" si="501"/>
        <v>394.74324947337414</v>
      </c>
      <c r="BR123" s="648">
        <f t="shared" si="501"/>
        <v>412.66948829598795</v>
      </c>
      <c r="BS123" s="648">
        <f t="shared" si="501"/>
        <v>430.09495697462779</v>
      </c>
      <c r="BT123" s="648">
        <f t="shared" si="501"/>
        <v>446.89701683168892</v>
      </c>
      <c r="BU123" s="648">
        <f t="shared" si="501"/>
        <v>462.95346357796973</v>
      </c>
      <c r="BV123" s="648">
        <f t="shared" si="501"/>
        <v>479.27508827134767</v>
      </c>
      <c r="BW123" s="648">
        <f t="shared" si="501"/>
        <v>495.85149155877349</v>
      </c>
      <c r="BX123" s="648">
        <f t="shared" si="501"/>
        <v>512.67149307029547</v>
      </c>
      <c r="BY123" s="648">
        <f t="shared" si="501"/>
        <v>529.72312969489917</v>
      </c>
      <c r="BZ123" s="648">
        <f t="shared" si="501"/>
        <v>546.99365582684015</v>
      </c>
      <c r="CA123" s="648">
        <f t="shared" si="501"/>
        <v>563.58582803983336</v>
      </c>
      <c r="CB123" s="648">
        <f t="shared" si="501"/>
        <v>579.40487286480629</v>
      </c>
      <c r="CC123" s="648">
        <f t="shared" si="501"/>
        <v>594.35767973652924</v>
      </c>
      <c r="CD123" s="648">
        <f t="shared" si="501"/>
        <v>608.353604166438</v>
      </c>
      <c r="CE123" s="648">
        <f t="shared" si="501"/>
        <v>621.30526936852073</v>
      </c>
      <c r="CF123" s="648">
        <f t="shared" si="501"/>
        <v>634.38000348688399</v>
      </c>
      <c r="CG123" s="648">
        <f t="shared" si="501"/>
        <v>647.57544845811321</v>
      </c>
      <c r="CH123" s="648">
        <f t="shared" si="501"/>
        <v>660.88913950115625</v>
      </c>
      <c r="CI123" s="648">
        <f t="shared" si="501"/>
        <v>674.31850427944823</v>
      </c>
      <c r="CJ123" s="648">
        <f t="shared" si="501"/>
        <v>687.86086210849658</v>
      </c>
      <c r="CK123" s="648">
        <f t="shared" si="501"/>
        <v>701.52191930403671</v>
      </c>
      <c r="CL123" s="648">
        <f t="shared" si="501"/>
        <v>715.29930676162189</v>
      </c>
      <c r="CM123" s="648">
        <f t="shared" si="501"/>
        <v>729.19055607126211</v>
      </c>
      <c r="CN123" s="648">
        <f t="shared" si="501"/>
        <v>743.1930987301007</v>
      </c>
      <c r="CO123" s="648">
        <f t="shared" si="501"/>
        <v>757.30426539017958</v>
      </c>
      <c r="CP123" s="648">
        <f t="shared" si="501"/>
        <v>771.52933310575247</v>
      </c>
      <c r="CQ123" s="648">
        <f t="shared" si="501"/>
        <v>785.86590596498831</v>
      </c>
      <c r="CR123" s="648">
        <f t="shared" si="501"/>
        <v>800.31149467236355</v>
      </c>
      <c r="CS123" s="648">
        <f t="shared" si="501"/>
        <v>814.86351579165023</v>
      </c>
      <c r="CT123" s="648">
        <f t="shared" si="501"/>
        <v>829.51929101575456</v>
      </c>
      <c r="CU123" s="648"/>
      <c r="CV123" s="648">
        <f t="shared" ref="CV123:DZ123" si="502">CV25*$EF123</f>
        <v>376.43789526011869</v>
      </c>
      <c r="CW123" s="648">
        <f t="shared" si="502"/>
        <v>400.3907849471741</v>
      </c>
      <c r="CX123" s="648">
        <f t="shared" si="502"/>
        <v>423.67580009866504</v>
      </c>
      <c r="CY123" s="648">
        <f t="shared" si="502"/>
        <v>446.67981359155192</v>
      </c>
      <c r="CZ123" s="648">
        <f t="shared" si="502"/>
        <v>469.24245265716547</v>
      </c>
      <c r="DA123" s="648">
        <f t="shared" si="502"/>
        <v>491.20105952958988</v>
      </c>
      <c r="DB123" s="648">
        <f t="shared" si="502"/>
        <v>513.49770737129313</v>
      </c>
      <c r="DC123" s="648">
        <f t="shared" si="502"/>
        <v>536.10686551049992</v>
      </c>
      <c r="DD123" s="648">
        <f t="shared" si="502"/>
        <v>558.99884162185595</v>
      </c>
      <c r="DE123" s="648">
        <f t="shared" si="502"/>
        <v>582.1375967534351</v>
      </c>
      <c r="DF123" s="648">
        <f t="shared" si="502"/>
        <v>605.48282751903901</v>
      </c>
      <c r="DG123" s="648">
        <f t="shared" si="502"/>
        <v>624.22469057777005</v>
      </c>
      <c r="DH123" s="648">
        <f t="shared" si="502"/>
        <v>641.72158344404363</v>
      </c>
      <c r="DI123" s="648">
        <f t="shared" si="502"/>
        <v>657.79923623890443</v>
      </c>
      <c r="DJ123" s="648">
        <f t="shared" si="502"/>
        <v>672.3190391174237</v>
      </c>
      <c r="DK123" s="648">
        <f t="shared" si="502"/>
        <v>685.11155210454569</v>
      </c>
      <c r="DL123" s="648">
        <f t="shared" si="502"/>
        <v>697.34189843277795</v>
      </c>
      <c r="DM123" s="648">
        <f t="shared" si="502"/>
        <v>709.04100209116928</v>
      </c>
      <c r="DN123" s="648">
        <f t="shared" si="502"/>
        <v>720.25482457672456</v>
      </c>
      <c r="DO123" s="648">
        <f t="shared" si="502"/>
        <v>731.03593845441947</v>
      </c>
      <c r="DP123" s="648">
        <f t="shared" si="502"/>
        <v>741.7876036345225</v>
      </c>
      <c r="DQ123" s="648">
        <f t="shared" si="502"/>
        <v>744.460928655609</v>
      </c>
      <c r="DR123" s="648">
        <f t="shared" si="502"/>
        <v>746.43796051757647</v>
      </c>
      <c r="DS123" s="648">
        <f t="shared" si="502"/>
        <v>747.43150476767391</v>
      </c>
      <c r="DT123" s="648">
        <f t="shared" si="502"/>
        <v>747.43336743580801</v>
      </c>
      <c r="DU123" s="648">
        <f t="shared" si="502"/>
        <v>746.34901281282134</v>
      </c>
      <c r="DV123" s="648">
        <f t="shared" si="502"/>
        <v>744.06432962403687</v>
      </c>
      <c r="DW123" s="648">
        <f t="shared" si="502"/>
        <v>740.41052929578132</v>
      </c>
      <c r="DX123" s="648">
        <f t="shared" si="502"/>
        <v>735.24768992970291</v>
      </c>
      <c r="DY123" s="648">
        <f t="shared" si="502"/>
        <v>728.2936917911278</v>
      </c>
      <c r="DZ123" s="648">
        <f t="shared" si="502"/>
        <v>720.6054699308404</v>
      </c>
      <c r="EF123" s="157">
        <v>8</v>
      </c>
      <c r="EG123" s="51"/>
      <c r="EH123" s="51"/>
      <c r="EI123" s="51"/>
      <c r="EJ123" s="51"/>
    </row>
    <row r="124" spans="1:143">
      <c r="A124" s="1"/>
      <c r="B124" t="str">
        <f t="shared" si="498"/>
        <v>Dumpsite</v>
      </c>
      <c r="C124" s="54" t="s">
        <v>114</v>
      </c>
      <c r="D124" s="648">
        <f t="shared" ref="D124:AH124" si="503">D26*$EF124</f>
        <v>0</v>
      </c>
      <c r="E124" s="648">
        <f t="shared" si="503"/>
        <v>0</v>
      </c>
      <c r="F124" s="648">
        <f t="shared" si="503"/>
        <v>0</v>
      </c>
      <c r="G124" s="648">
        <f t="shared" si="503"/>
        <v>0</v>
      </c>
      <c r="H124" s="648">
        <f t="shared" si="503"/>
        <v>0</v>
      </c>
      <c r="I124" s="648">
        <f t="shared" si="503"/>
        <v>0</v>
      </c>
      <c r="J124" s="648">
        <f t="shared" si="503"/>
        <v>0</v>
      </c>
      <c r="K124" s="648">
        <f t="shared" si="503"/>
        <v>0</v>
      </c>
      <c r="L124" s="648">
        <f t="shared" si="503"/>
        <v>0</v>
      </c>
      <c r="M124" s="648">
        <f t="shared" si="503"/>
        <v>0</v>
      </c>
      <c r="N124" s="648">
        <f t="shared" si="503"/>
        <v>0</v>
      </c>
      <c r="O124" s="648">
        <f t="shared" si="503"/>
        <v>0</v>
      </c>
      <c r="P124" s="648">
        <f t="shared" si="503"/>
        <v>0</v>
      </c>
      <c r="Q124" s="648">
        <f t="shared" si="503"/>
        <v>0</v>
      </c>
      <c r="R124" s="648">
        <f t="shared" si="503"/>
        <v>0</v>
      </c>
      <c r="S124" s="648">
        <f t="shared" si="503"/>
        <v>0</v>
      </c>
      <c r="T124" s="648">
        <f t="shared" si="503"/>
        <v>0</v>
      </c>
      <c r="U124" s="648">
        <f t="shared" si="503"/>
        <v>0</v>
      </c>
      <c r="V124" s="648">
        <f t="shared" si="503"/>
        <v>0</v>
      </c>
      <c r="W124" s="648">
        <f t="shared" si="503"/>
        <v>0</v>
      </c>
      <c r="X124" s="648">
        <f t="shared" si="503"/>
        <v>0</v>
      </c>
      <c r="Y124" s="648">
        <f t="shared" si="503"/>
        <v>0</v>
      </c>
      <c r="Z124" s="648">
        <f t="shared" si="503"/>
        <v>0</v>
      </c>
      <c r="AA124" s="648">
        <f t="shared" si="503"/>
        <v>0</v>
      </c>
      <c r="AB124" s="648">
        <f t="shared" si="503"/>
        <v>0</v>
      </c>
      <c r="AC124" s="648">
        <f t="shared" si="503"/>
        <v>0</v>
      </c>
      <c r="AD124" s="648">
        <f t="shared" si="503"/>
        <v>0</v>
      </c>
      <c r="AE124" s="648">
        <f t="shared" si="503"/>
        <v>0</v>
      </c>
      <c r="AF124" s="648">
        <f t="shared" si="503"/>
        <v>0</v>
      </c>
      <c r="AG124" s="648">
        <f t="shared" si="503"/>
        <v>0</v>
      </c>
      <c r="AH124" s="648">
        <f t="shared" si="503"/>
        <v>0</v>
      </c>
      <c r="AI124" s="648"/>
      <c r="AJ124" s="648">
        <f t="shared" ref="AJ124:BN124" si="504">AJ26*$EF124</f>
        <v>0</v>
      </c>
      <c r="AK124" s="648">
        <f t="shared" si="504"/>
        <v>0</v>
      </c>
      <c r="AL124" s="648">
        <f t="shared" si="504"/>
        <v>0</v>
      </c>
      <c r="AM124" s="648">
        <f t="shared" si="504"/>
        <v>0</v>
      </c>
      <c r="AN124" s="648">
        <f t="shared" si="504"/>
        <v>0</v>
      </c>
      <c r="AO124" s="648">
        <f t="shared" si="504"/>
        <v>0</v>
      </c>
      <c r="AP124" s="648">
        <f t="shared" si="504"/>
        <v>0</v>
      </c>
      <c r="AQ124" s="648">
        <f t="shared" si="504"/>
        <v>0</v>
      </c>
      <c r="AR124" s="648">
        <f t="shared" si="504"/>
        <v>0</v>
      </c>
      <c r="AS124" s="648">
        <f t="shared" si="504"/>
        <v>0</v>
      </c>
      <c r="AT124" s="648">
        <f t="shared" si="504"/>
        <v>0</v>
      </c>
      <c r="AU124" s="648">
        <f t="shared" si="504"/>
        <v>0</v>
      </c>
      <c r="AV124" s="648">
        <f t="shared" si="504"/>
        <v>0</v>
      </c>
      <c r="AW124" s="648">
        <f t="shared" si="504"/>
        <v>0</v>
      </c>
      <c r="AX124" s="648">
        <f t="shared" si="504"/>
        <v>0</v>
      </c>
      <c r="AY124" s="648">
        <f t="shared" si="504"/>
        <v>0</v>
      </c>
      <c r="AZ124" s="648">
        <f t="shared" si="504"/>
        <v>0</v>
      </c>
      <c r="BA124" s="648">
        <f t="shared" si="504"/>
        <v>0</v>
      </c>
      <c r="BB124" s="648">
        <f t="shared" si="504"/>
        <v>0</v>
      </c>
      <c r="BC124" s="648">
        <f t="shared" si="504"/>
        <v>0</v>
      </c>
      <c r="BD124" s="648">
        <f t="shared" si="504"/>
        <v>0</v>
      </c>
      <c r="BE124" s="648">
        <f t="shared" si="504"/>
        <v>0</v>
      </c>
      <c r="BF124" s="648">
        <f t="shared" si="504"/>
        <v>0</v>
      </c>
      <c r="BG124" s="648">
        <f t="shared" si="504"/>
        <v>0</v>
      </c>
      <c r="BH124" s="648">
        <f t="shared" si="504"/>
        <v>0</v>
      </c>
      <c r="BI124" s="648">
        <f t="shared" si="504"/>
        <v>0</v>
      </c>
      <c r="BJ124" s="648">
        <f t="shared" si="504"/>
        <v>0</v>
      </c>
      <c r="BK124" s="648">
        <f t="shared" si="504"/>
        <v>0</v>
      </c>
      <c r="BL124" s="648">
        <f t="shared" si="504"/>
        <v>0</v>
      </c>
      <c r="BM124" s="648">
        <f t="shared" si="504"/>
        <v>0</v>
      </c>
      <c r="BN124" s="648">
        <f t="shared" si="504"/>
        <v>0</v>
      </c>
      <c r="BO124" s="648"/>
      <c r="BP124" s="648">
        <f t="shared" ref="BP124:CT124" si="505">BP26*$EF124</f>
        <v>0</v>
      </c>
      <c r="BQ124" s="648">
        <f t="shared" si="505"/>
        <v>0</v>
      </c>
      <c r="BR124" s="648">
        <f t="shared" si="505"/>
        <v>0</v>
      </c>
      <c r="BS124" s="648">
        <f t="shared" si="505"/>
        <v>0</v>
      </c>
      <c r="BT124" s="648">
        <f t="shared" si="505"/>
        <v>0</v>
      </c>
      <c r="BU124" s="648">
        <f t="shared" si="505"/>
        <v>0</v>
      </c>
      <c r="BV124" s="648">
        <f t="shared" si="505"/>
        <v>0</v>
      </c>
      <c r="BW124" s="648">
        <f t="shared" si="505"/>
        <v>0</v>
      </c>
      <c r="BX124" s="648">
        <f t="shared" si="505"/>
        <v>0</v>
      </c>
      <c r="BY124" s="648">
        <f t="shared" si="505"/>
        <v>0</v>
      </c>
      <c r="BZ124" s="648">
        <f t="shared" si="505"/>
        <v>0</v>
      </c>
      <c r="CA124" s="648">
        <f t="shared" si="505"/>
        <v>0</v>
      </c>
      <c r="CB124" s="648">
        <f t="shared" si="505"/>
        <v>0</v>
      </c>
      <c r="CC124" s="648">
        <f t="shared" si="505"/>
        <v>0</v>
      </c>
      <c r="CD124" s="648">
        <f t="shared" si="505"/>
        <v>0</v>
      </c>
      <c r="CE124" s="648">
        <f t="shared" si="505"/>
        <v>0</v>
      </c>
      <c r="CF124" s="648">
        <f t="shared" si="505"/>
        <v>0</v>
      </c>
      <c r="CG124" s="648">
        <f t="shared" si="505"/>
        <v>0</v>
      </c>
      <c r="CH124" s="648">
        <f t="shared" si="505"/>
        <v>0</v>
      </c>
      <c r="CI124" s="648">
        <f t="shared" si="505"/>
        <v>0</v>
      </c>
      <c r="CJ124" s="648">
        <f t="shared" si="505"/>
        <v>0</v>
      </c>
      <c r="CK124" s="648">
        <f t="shared" si="505"/>
        <v>0</v>
      </c>
      <c r="CL124" s="648">
        <f t="shared" si="505"/>
        <v>0</v>
      </c>
      <c r="CM124" s="648">
        <f t="shared" si="505"/>
        <v>0</v>
      </c>
      <c r="CN124" s="648">
        <f t="shared" si="505"/>
        <v>0</v>
      </c>
      <c r="CO124" s="648">
        <f t="shared" si="505"/>
        <v>0</v>
      </c>
      <c r="CP124" s="648">
        <f t="shared" si="505"/>
        <v>0</v>
      </c>
      <c r="CQ124" s="648">
        <f t="shared" si="505"/>
        <v>0</v>
      </c>
      <c r="CR124" s="648">
        <f t="shared" si="505"/>
        <v>0</v>
      </c>
      <c r="CS124" s="648">
        <f t="shared" si="505"/>
        <v>0</v>
      </c>
      <c r="CT124" s="648">
        <f t="shared" si="505"/>
        <v>0</v>
      </c>
      <c r="CU124" s="648"/>
      <c r="CV124" s="648">
        <f t="shared" ref="CV124:DZ124" si="506">CV26*$EF124</f>
        <v>0</v>
      </c>
      <c r="CW124" s="648">
        <f t="shared" si="506"/>
        <v>0</v>
      </c>
      <c r="CX124" s="648">
        <f t="shared" si="506"/>
        <v>0</v>
      </c>
      <c r="CY124" s="648">
        <f t="shared" si="506"/>
        <v>0</v>
      </c>
      <c r="CZ124" s="648">
        <f t="shared" si="506"/>
        <v>0</v>
      </c>
      <c r="DA124" s="648">
        <f t="shared" si="506"/>
        <v>0</v>
      </c>
      <c r="DB124" s="648">
        <f t="shared" si="506"/>
        <v>0</v>
      </c>
      <c r="DC124" s="648">
        <f t="shared" si="506"/>
        <v>0</v>
      </c>
      <c r="DD124" s="648">
        <f t="shared" si="506"/>
        <v>0</v>
      </c>
      <c r="DE124" s="648">
        <f t="shared" si="506"/>
        <v>0</v>
      </c>
      <c r="DF124" s="648">
        <f t="shared" si="506"/>
        <v>0</v>
      </c>
      <c r="DG124" s="648">
        <f t="shared" si="506"/>
        <v>0</v>
      </c>
      <c r="DH124" s="648">
        <f t="shared" si="506"/>
        <v>0</v>
      </c>
      <c r="DI124" s="648">
        <f t="shared" si="506"/>
        <v>0</v>
      </c>
      <c r="DJ124" s="648">
        <f t="shared" si="506"/>
        <v>0</v>
      </c>
      <c r="DK124" s="648">
        <f t="shared" si="506"/>
        <v>0</v>
      </c>
      <c r="DL124" s="648">
        <f t="shared" si="506"/>
        <v>0</v>
      </c>
      <c r="DM124" s="648">
        <f t="shared" si="506"/>
        <v>0</v>
      </c>
      <c r="DN124" s="648">
        <f t="shared" si="506"/>
        <v>0</v>
      </c>
      <c r="DO124" s="648">
        <f t="shared" si="506"/>
        <v>0</v>
      </c>
      <c r="DP124" s="648">
        <f t="shared" si="506"/>
        <v>0</v>
      </c>
      <c r="DQ124" s="648">
        <f t="shared" si="506"/>
        <v>0</v>
      </c>
      <c r="DR124" s="648">
        <f t="shared" si="506"/>
        <v>0</v>
      </c>
      <c r="DS124" s="648">
        <f t="shared" si="506"/>
        <v>0</v>
      </c>
      <c r="DT124" s="648">
        <f t="shared" si="506"/>
        <v>0</v>
      </c>
      <c r="DU124" s="648">
        <f t="shared" si="506"/>
        <v>0</v>
      </c>
      <c r="DV124" s="648">
        <f t="shared" si="506"/>
        <v>0</v>
      </c>
      <c r="DW124" s="648">
        <f t="shared" si="506"/>
        <v>0</v>
      </c>
      <c r="DX124" s="648">
        <f t="shared" si="506"/>
        <v>0</v>
      </c>
      <c r="DY124" s="648">
        <f t="shared" si="506"/>
        <v>0</v>
      </c>
      <c r="DZ124" s="648">
        <f t="shared" si="506"/>
        <v>0</v>
      </c>
      <c r="EF124" s="51">
        <v>0</v>
      </c>
      <c r="EG124" s="51"/>
      <c r="EH124" s="51"/>
      <c r="EI124" s="51"/>
      <c r="EJ124" s="51"/>
    </row>
    <row r="125" spans="1:143">
      <c r="A125" s="1"/>
      <c r="B125" t="str">
        <f t="shared" si="498"/>
        <v>Open Burning</v>
      </c>
      <c r="C125" s="54" t="s">
        <v>114</v>
      </c>
      <c r="D125" s="648">
        <f t="shared" ref="D125:AH125" si="507">D27*$EF125</f>
        <v>0</v>
      </c>
      <c r="E125" s="648">
        <f t="shared" si="507"/>
        <v>0</v>
      </c>
      <c r="F125" s="648">
        <f t="shared" si="507"/>
        <v>0</v>
      </c>
      <c r="G125" s="648">
        <f t="shared" si="507"/>
        <v>0</v>
      </c>
      <c r="H125" s="648">
        <f t="shared" si="507"/>
        <v>0</v>
      </c>
      <c r="I125" s="648">
        <f t="shared" si="507"/>
        <v>0</v>
      </c>
      <c r="J125" s="648">
        <f t="shared" si="507"/>
        <v>0</v>
      </c>
      <c r="K125" s="648">
        <f t="shared" si="507"/>
        <v>0</v>
      </c>
      <c r="L125" s="648">
        <f t="shared" si="507"/>
        <v>0</v>
      </c>
      <c r="M125" s="648">
        <f t="shared" si="507"/>
        <v>0</v>
      </c>
      <c r="N125" s="648">
        <f t="shared" si="507"/>
        <v>0</v>
      </c>
      <c r="O125" s="648">
        <f t="shared" si="507"/>
        <v>0</v>
      </c>
      <c r="P125" s="648">
        <f t="shared" si="507"/>
        <v>0</v>
      </c>
      <c r="Q125" s="648">
        <f t="shared" si="507"/>
        <v>0</v>
      </c>
      <c r="R125" s="648">
        <f t="shared" si="507"/>
        <v>0</v>
      </c>
      <c r="S125" s="648">
        <f t="shared" si="507"/>
        <v>0</v>
      </c>
      <c r="T125" s="648">
        <f t="shared" si="507"/>
        <v>0</v>
      </c>
      <c r="U125" s="648">
        <f t="shared" si="507"/>
        <v>0</v>
      </c>
      <c r="V125" s="648">
        <f t="shared" si="507"/>
        <v>0</v>
      </c>
      <c r="W125" s="648">
        <f t="shared" si="507"/>
        <v>0</v>
      </c>
      <c r="X125" s="648">
        <f t="shared" si="507"/>
        <v>0</v>
      </c>
      <c r="Y125" s="648">
        <f t="shared" si="507"/>
        <v>0</v>
      </c>
      <c r="Z125" s="648">
        <f t="shared" si="507"/>
        <v>0</v>
      </c>
      <c r="AA125" s="648">
        <f t="shared" si="507"/>
        <v>0</v>
      </c>
      <c r="AB125" s="648">
        <f t="shared" si="507"/>
        <v>0</v>
      </c>
      <c r="AC125" s="648">
        <f t="shared" si="507"/>
        <v>0</v>
      </c>
      <c r="AD125" s="648">
        <f t="shared" si="507"/>
        <v>0</v>
      </c>
      <c r="AE125" s="648">
        <f t="shared" si="507"/>
        <v>0</v>
      </c>
      <c r="AF125" s="648">
        <f t="shared" si="507"/>
        <v>0</v>
      </c>
      <c r="AG125" s="648">
        <f t="shared" si="507"/>
        <v>0</v>
      </c>
      <c r="AH125" s="648">
        <f t="shared" si="507"/>
        <v>0</v>
      </c>
      <c r="AI125" s="648"/>
      <c r="AJ125" s="648">
        <f t="shared" ref="AJ125:BN125" si="508">AJ27*$EF125</f>
        <v>0</v>
      </c>
      <c r="AK125" s="648">
        <f t="shared" si="508"/>
        <v>0</v>
      </c>
      <c r="AL125" s="648">
        <f t="shared" si="508"/>
        <v>0</v>
      </c>
      <c r="AM125" s="648">
        <f t="shared" si="508"/>
        <v>0</v>
      </c>
      <c r="AN125" s="648">
        <f t="shared" si="508"/>
        <v>0</v>
      </c>
      <c r="AO125" s="648">
        <f t="shared" si="508"/>
        <v>0</v>
      </c>
      <c r="AP125" s="648">
        <f t="shared" si="508"/>
        <v>0</v>
      </c>
      <c r="AQ125" s="648">
        <f t="shared" si="508"/>
        <v>0</v>
      </c>
      <c r="AR125" s="648">
        <f t="shared" si="508"/>
        <v>0</v>
      </c>
      <c r="AS125" s="648">
        <f t="shared" si="508"/>
        <v>0</v>
      </c>
      <c r="AT125" s="648">
        <f t="shared" si="508"/>
        <v>0</v>
      </c>
      <c r="AU125" s="648">
        <f t="shared" si="508"/>
        <v>0</v>
      </c>
      <c r="AV125" s="648">
        <f t="shared" si="508"/>
        <v>0</v>
      </c>
      <c r="AW125" s="648">
        <f t="shared" si="508"/>
        <v>0</v>
      </c>
      <c r="AX125" s="648">
        <f t="shared" si="508"/>
        <v>0</v>
      </c>
      <c r="AY125" s="648">
        <f t="shared" si="508"/>
        <v>0</v>
      </c>
      <c r="AZ125" s="648">
        <f t="shared" si="508"/>
        <v>0</v>
      </c>
      <c r="BA125" s="648">
        <f t="shared" si="508"/>
        <v>0</v>
      </c>
      <c r="BB125" s="648">
        <f t="shared" si="508"/>
        <v>0</v>
      </c>
      <c r="BC125" s="648">
        <f t="shared" si="508"/>
        <v>0</v>
      </c>
      <c r="BD125" s="648">
        <f t="shared" si="508"/>
        <v>0</v>
      </c>
      <c r="BE125" s="648">
        <f t="shared" si="508"/>
        <v>0</v>
      </c>
      <c r="BF125" s="648">
        <f t="shared" si="508"/>
        <v>0</v>
      </c>
      <c r="BG125" s="648">
        <f t="shared" si="508"/>
        <v>0</v>
      </c>
      <c r="BH125" s="648">
        <f t="shared" si="508"/>
        <v>0</v>
      </c>
      <c r="BI125" s="648">
        <f t="shared" si="508"/>
        <v>0</v>
      </c>
      <c r="BJ125" s="648">
        <f t="shared" si="508"/>
        <v>0</v>
      </c>
      <c r="BK125" s="648">
        <f t="shared" si="508"/>
        <v>0</v>
      </c>
      <c r="BL125" s="648">
        <f t="shared" si="508"/>
        <v>0</v>
      </c>
      <c r="BM125" s="648">
        <f t="shared" si="508"/>
        <v>0</v>
      </c>
      <c r="BN125" s="648">
        <f t="shared" si="508"/>
        <v>0</v>
      </c>
      <c r="BO125" s="648"/>
      <c r="BP125" s="648">
        <f t="shared" ref="BP125:CT125" si="509">BP27*$EF125</f>
        <v>0</v>
      </c>
      <c r="BQ125" s="648">
        <f t="shared" si="509"/>
        <v>0</v>
      </c>
      <c r="BR125" s="648">
        <f t="shared" si="509"/>
        <v>0</v>
      </c>
      <c r="BS125" s="648">
        <f t="shared" si="509"/>
        <v>0</v>
      </c>
      <c r="BT125" s="648">
        <f t="shared" si="509"/>
        <v>0</v>
      </c>
      <c r="BU125" s="648">
        <f t="shared" si="509"/>
        <v>0</v>
      </c>
      <c r="BV125" s="648">
        <f t="shared" si="509"/>
        <v>0</v>
      </c>
      <c r="BW125" s="648">
        <f t="shared" si="509"/>
        <v>0</v>
      </c>
      <c r="BX125" s="648">
        <f t="shared" si="509"/>
        <v>0</v>
      </c>
      <c r="BY125" s="648">
        <f t="shared" si="509"/>
        <v>0</v>
      </c>
      <c r="BZ125" s="648">
        <f t="shared" si="509"/>
        <v>0</v>
      </c>
      <c r="CA125" s="648">
        <f t="shared" si="509"/>
        <v>0</v>
      </c>
      <c r="CB125" s="648">
        <f t="shared" si="509"/>
        <v>0</v>
      </c>
      <c r="CC125" s="648">
        <f t="shared" si="509"/>
        <v>0</v>
      </c>
      <c r="CD125" s="648">
        <f t="shared" si="509"/>
        <v>0</v>
      </c>
      <c r="CE125" s="648">
        <f t="shared" si="509"/>
        <v>0</v>
      </c>
      <c r="CF125" s="648">
        <f t="shared" si="509"/>
        <v>0</v>
      </c>
      <c r="CG125" s="648">
        <f t="shared" si="509"/>
        <v>0</v>
      </c>
      <c r="CH125" s="648">
        <f t="shared" si="509"/>
        <v>0</v>
      </c>
      <c r="CI125" s="648">
        <f t="shared" si="509"/>
        <v>0</v>
      </c>
      <c r="CJ125" s="648">
        <f t="shared" si="509"/>
        <v>0</v>
      </c>
      <c r="CK125" s="648">
        <f t="shared" si="509"/>
        <v>0</v>
      </c>
      <c r="CL125" s="648">
        <f t="shared" si="509"/>
        <v>0</v>
      </c>
      <c r="CM125" s="648">
        <f t="shared" si="509"/>
        <v>0</v>
      </c>
      <c r="CN125" s="648">
        <f t="shared" si="509"/>
        <v>0</v>
      </c>
      <c r="CO125" s="648">
        <f t="shared" si="509"/>
        <v>0</v>
      </c>
      <c r="CP125" s="648">
        <f t="shared" si="509"/>
        <v>0</v>
      </c>
      <c r="CQ125" s="648">
        <f t="shared" si="509"/>
        <v>0</v>
      </c>
      <c r="CR125" s="648">
        <f t="shared" si="509"/>
        <v>0</v>
      </c>
      <c r="CS125" s="648">
        <f t="shared" si="509"/>
        <v>0</v>
      </c>
      <c r="CT125" s="648">
        <f t="shared" si="509"/>
        <v>0</v>
      </c>
      <c r="CU125" s="648"/>
      <c r="CV125" s="648">
        <f t="shared" ref="CV125:DZ125" si="510">CV27*$EF125</f>
        <v>0</v>
      </c>
      <c r="CW125" s="648">
        <f t="shared" si="510"/>
        <v>0</v>
      </c>
      <c r="CX125" s="648">
        <f t="shared" si="510"/>
        <v>0</v>
      </c>
      <c r="CY125" s="648">
        <f t="shared" si="510"/>
        <v>0</v>
      </c>
      <c r="CZ125" s="648">
        <f t="shared" si="510"/>
        <v>0</v>
      </c>
      <c r="DA125" s="648">
        <f t="shared" si="510"/>
        <v>0</v>
      </c>
      <c r="DB125" s="648">
        <f t="shared" si="510"/>
        <v>0</v>
      </c>
      <c r="DC125" s="648">
        <f t="shared" si="510"/>
        <v>0</v>
      </c>
      <c r="DD125" s="648">
        <f t="shared" si="510"/>
        <v>0</v>
      </c>
      <c r="DE125" s="648">
        <f t="shared" si="510"/>
        <v>0</v>
      </c>
      <c r="DF125" s="648">
        <f t="shared" si="510"/>
        <v>0</v>
      </c>
      <c r="DG125" s="648">
        <f t="shared" si="510"/>
        <v>0</v>
      </c>
      <c r="DH125" s="648">
        <f t="shared" si="510"/>
        <v>0</v>
      </c>
      <c r="DI125" s="648">
        <f t="shared" si="510"/>
        <v>0</v>
      </c>
      <c r="DJ125" s="648">
        <f t="shared" si="510"/>
        <v>0</v>
      </c>
      <c r="DK125" s="648">
        <f t="shared" si="510"/>
        <v>0</v>
      </c>
      <c r="DL125" s="648">
        <f t="shared" si="510"/>
        <v>0</v>
      </c>
      <c r="DM125" s="648">
        <f t="shared" si="510"/>
        <v>0</v>
      </c>
      <c r="DN125" s="648">
        <f t="shared" si="510"/>
        <v>0</v>
      </c>
      <c r="DO125" s="648">
        <f t="shared" si="510"/>
        <v>0</v>
      </c>
      <c r="DP125" s="648">
        <f t="shared" si="510"/>
        <v>0</v>
      </c>
      <c r="DQ125" s="648">
        <f t="shared" si="510"/>
        <v>0</v>
      </c>
      <c r="DR125" s="648">
        <f t="shared" si="510"/>
        <v>0</v>
      </c>
      <c r="DS125" s="648">
        <f t="shared" si="510"/>
        <v>0</v>
      </c>
      <c r="DT125" s="648">
        <f t="shared" si="510"/>
        <v>0</v>
      </c>
      <c r="DU125" s="648">
        <f t="shared" si="510"/>
        <v>0</v>
      </c>
      <c r="DV125" s="648">
        <f t="shared" si="510"/>
        <v>0</v>
      </c>
      <c r="DW125" s="648">
        <f t="shared" si="510"/>
        <v>0</v>
      </c>
      <c r="DX125" s="648">
        <f t="shared" si="510"/>
        <v>0</v>
      </c>
      <c r="DY125" s="648">
        <f t="shared" si="510"/>
        <v>0</v>
      </c>
      <c r="DZ125" s="648">
        <f t="shared" si="510"/>
        <v>0</v>
      </c>
      <c r="EF125" s="51">
        <v>0</v>
      </c>
      <c r="EG125" s="51"/>
      <c r="EH125" s="51"/>
      <c r="EI125" s="51"/>
      <c r="EJ125" s="51"/>
    </row>
    <row r="126" spans="1:143">
      <c r="A126" s="1"/>
      <c r="B126" t="str">
        <f t="shared" si="498"/>
        <v>Leakage Environment</v>
      </c>
      <c r="C126" s="54" t="s">
        <v>114</v>
      </c>
      <c r="D126" s="648">
        <f t="shared" ref="D126:AH126" si="511">D28*$EF126</f>
        <v>0</v>
      </c>
      <c r="E126" s="648">
        <f t="shared" si="511"/>
        <v>0</v>
      </c>
      <c r="F126" s="648">
        <f t="shared" si="511"/>
        <v>0</v>
      </c>
      <c r="G126" s="648">
        <f t="shared" si="511"/>
        <v>0</v>
      </c>
      <c r="H126" s="648">
        <f t="shared" si="511"/>
        <v>0</v>
      </c>
      <c r="I126" s="648">
        <f t="shared" si="511"/>
        <v>0</v>
      </c>
      <c r="J126" s="648">
        <f t="shared" si="511"/>
        <v>0</v>
      </c>
      <c r="K126" s="648">
        <f t="shared" si="511"/>
        <v>0</v>
      </c>
      <c r="L126" s="648">
        <f t="shared" si="511"/>
        <v>0</v>
      </c>
      <c r="M126" s="648">
        <f t="shared" si="511"/>
        <v>0</v>
      </c>
      <c r="N126" s="648">
        <f t="shared" si="511"/>
        <v>0</v>
      </c>
      <c r="O126" s="648">
        <f t="shared" si="511"/>
        <v>0</v>
      </c>
      <c r="P126" s="648">
        <f t="shared" si="511"/>
        <v>0</v>
      </c>
      <c r="Q126" s="648">
        <f t="shared" si="511"/>
        <v>0</v>
      </c>
      <c r="R126" s="648">
        <f t="shared" si="511"/>
        <v>0</v>
      </c>
      <c r="S126" s="648">
        <f t="shared" si="511"/>
        <v>0</v>
      </c>
      <c r="T126" s="648">
        <f t="shared" si="511"/>
        <v>0</v>
      </c>
      <c r="U126" s="648">
        <f t="shared" si="511"/>
        <v>0</v>
      </c>
      <c r="V126" s="648">
        <f t="shared" si="511"/>
        <v>0</v>
      </c>
      <c r="W126" s="648">
        <f t="shared" si="511"/>
        <v>0</v>
      </c>
      <c r="X126" s="648">
        <f t="shared" si="511"/>
        <v>0</v>
      </c>
      <c r="Y126" s="648">
        <f t="shared" si="511"/>
        <v>0</v>
      </c>
      <c r="Z126" s="648">
        <f t="shared" si="511"/>
        <v>0</v>
      </c>
      <c r="AA126" s="648">
        <f t="shared" si="511"/>
        <v>0</v>
      </c>
      <c r="AB126" s="648">
        <f t="shared" si="511"/>
        <v>0</v>
      </c>
      <c r="AC126" s="648">
        <f t="shared" si="511"/>
        <v>0</v>
      </c>
      <c r="AD126" s="648">
        <f t="shared" si="511"/>
        <v>0</v>
      </c>
      <c r="AE126" s="648">
        <f t="shared" si="511"/>
        <v>0</v>
      </c>
      <c r="AF126" s="648">
        <f t="shared" si="511"/>
        <v>0</v>
      </c>
      <c r="AG126" s="648">
        <f t="shared" si="511"/>
        <v>0</v>
      </c>
      <c r="AH126" s="648">
        <f t="shared" si="511"/>
        <v>0</v>
      </c>
      <c r="AI126" s="648"/>
      <c r="AJ126" s="648">
        <f t="shared" ref="AJ126:BN126" si="512">AJ28*$EF126</f>
        <v>0</v>
      </c>
      <c r="AK126" s="648">
        <f t="shared" si="512"/>
        <v>0</v>
      </c>
      <c r="AL126" s="648">
        <f t="shared" si="512"/>
        <v>0</v>
      </c>
      <c r="AM126" s="648">
        <f t="shared" si="512"/>
        <v>0</v>
      </c>
      <c r="AN126" s="648">
        <f t="shared" si="512"/>
        <v>0</v>
      </c>
      <c r="AO126" s="648">
        <f t="shared" si="512"/>
        <v>0</v>
      </c>
      <c r="AP126" s="648">
        <f t="shared" si="512"/>
        <v>0</v>
      </c>
      <c r="AQ126" s="648">
        <f t="shared" si="512"/>
        <v>0</v>
      </c>
      <c r="AR126" s="648">
        <f t="shared" si="512"/>
        <v>0</v>
      </c>
      <c r="AS126" s="648">
        <f t="shared" si="512"/>
        <v>0</v>
      </c>
      <c r="AT126" s="648">
        <f t="shared" si="512"/>
        <v>0</v>
      </c>
      <c r="AU126" s="648">
        <f t="shared" si="512"/>
        <v>0</v>
      </c>
      <c r="AV126" s="648">
        <f t="shared" si="512"/>
        <v>0</v>
      </c>
      <c r="AW126" s="648">
        <f t="shared" si="512"/>
        <v>0</v>
      </c>
      <c r="AX126" s="648">
        <f t="shared" si="512"/>
        <v>0</v>
      </c>
      <c r="AY126" s="648">
        <f t="shared" si="512"/>
        <v>0</v>
      </c>
      <c r="AZ126" s="648">
        <f t="shared" si="512"/>
        <v>0</v>
      </c>
      <c r="BA126" s="648">
        <f t="shared" si="512"/>
        <v>0</v>
      </c>
      <c r="BB126" s="648">
        <f t="shared" si="512"/>
        <v>0</v>
      </c>
      <c r="BC126" s="648">
        <f t="shared" si="512"/>
        <v>0</v>
      </c>
      <c r="BD126" s="648">
        <f t="shared" si="512"/>
        <v>0</v>
      </c>
      <c r="BE126" s="648">
        <f t="shared" si="512"/>
        <v>0</v>
      </c>
      <c r="BF126" s="648">
        <f t="shared" si="512"/>
        <v>0</v>
      </c>
      <c r="BG126" s="648">
        <f t="shared" si="512"/>
        <v>0</v>
      </c>
      <c r="BH126" s="648">
        <f t="shared" si="512"/>
        <v>0</v>
      </c>
      <c r="BI126" s="648">
        <f t="shared" si="512"/>
        <v>0</v>
      </c>
      <c r="BJ126" s="648">
        <f t="shared" si="512"/>
        <v>0</v>
      </c>
      <c r="BK126" s="648">
        <f t="shared" si="512"/>
        <v>0</v>
      </c>
      <c r="BL126" s="648">
        <f t="shared" si="512"/>
        <v>0</v>
      </c>
      <c r="BM126" s="648">
        <f t="shared" si="512"/>
        <v>0</v>
      </c>
      <c r="BN126" s="648">
        <f t="shared" si="512"/>
        <v>0</v>
      </c>
      <c r="BO126" s="648"/>
      <c r="BP126" s="648">
        <f t="shared" ref="BP126:CT126" si="513">BP28*$EF126</f>
        <v>0</v>
      </c>
      <c r="BQ126" s="648">
        <f t="shared" si="513"/>
        <v>0</v>
      </c>
      <c r="BR126" s="648">
        <f t="shared" si="513"/>
        <v>0</v>
      </c>
      <c r="BS126" s="648">
        <f t="shared" si="513"/>
        <v>0</v>
      </c>
      <c r="BT126" s="648">
        <f t="shared" si="513"/>
        <v>0</v>
      </c>
      <c r="BU126" s="648">
        <f t="shared" si="513"/>
        <v>0</v>
      </c>
      <c r="BV126" s="648">
        <f t="shared" si="513"/>
        <v>0</v>
      </c>
      <c r="BW126" s="648">
        <f t="shared" si="513"/>
        <v>0</v>
      </c>
      <c r="BX126" s="648">
        <f t="shared" si="513"/>
        <v>0</v>
      </c>
      <c r="BY126" s="648">
        <f t="shared" si="513"/>
        <v>0</v>
      </c>
      <c r="BZ126" s="648">
        <f t="shared" si="513"/>
        <v>0</v>
      </c>
      <c r="CA126" s="648">
        <f t="shared" si="513"/>
        <v>0</v>
      </c>
      <c r="CB126" s="648">
        <f t="shared" si="513"/>
        <v>0</v>
      </c>
      <c r="CC126" s="648">
        <f t="shared" si="513"/>
        <v>0</v>
      </c>
      <c r="CD126" s="648">
        <f t="shared" si="513"/>
        <v>0</v>
      </c>
      <c r="CE126" s="648">
        <f t="shared" si="513"/>
        <v>0</v>
      </c>
      <c r="CF126" s="648">
        <f t="shared" si="513"/>
        <v>0</v>
      </c>
      <c r="CG126" s="648">
        <f t="shared" si="513"/>
        <v>0</v>
      </c>
      <c r="CH126" s="648">
        <f t="shared" si="513"/>
        <v>0</v>
      </c>
      <c r="CI126" s="648">
        <f t="shared" si="513"/>
        <v>0</v>
      </c>
      <c r="CJ126" s="648">
        <f t="shared" si="513"/>
        <v>0</v>
      </c>
      <c r="CK126" s="648">
        <f t="shared" si="513"/>
        <v>0</v>
      </c>
      <c r="CL126" s="648">
        <f t="shared" si="513"/>
        <v>0</v>
      </c>
      <c r="CM126" s="648">
        <f t="shared" si="513"/>
        <v>0</v>
      </c>
      <c r="CN126" s="648">
        <f t="shared" si="513"/>
        <v>0</v>
      </c>
      <c r="CO126" s="648">
        <f t="shared" si="513"/>
        <v>0</v>
      </c>
      <c r="CP126" s="648">
        <f t="shared" si="513"/>
        <v>0</v>
      </c>
      <c r="CQ126" s="648">
        <f t="shared" si="513"/>
        <v>0</v>
      </c>
      <c r="CR126" s="648">
        <f t="shared" si="513"/>
        <v>0</v>
      </c>
      <c r="CS126" s="648">
        <f t="shared" si="513"/>
        <v>0</v>
      </c>
      <c r="CT126" s="648">
        <f t="shared" si="513"/>
        <v>0</v>
      </c>
      <c r="CU126" s="648"/>
      <c r="CV126" s="648">
        <f t="shared" ref="CV126:DZ126" si="514">CV28*$EF126</f>
        <v>0</v>
      </c>
      <c r="CW126" s="648">
        <f t="shared" si="514"/>
        <v>0</v>
      </c>
      <c r="CX126" s="648">
        <f t="shared" si="514"/>
        <v>0</v>
      </c>
      <c r="CY126" s="648">
        <f t="shared" si="514"/>
        <v>0</v>
      </c>
      <c r="CZ126" s="648">
        <f t="shared" si="514"/>
        <v>0</v>
      </c>
      <c r="DA126" s="648">
        <f t="shared" si="514"/>
        <v>0</v>
      </c>
      <c r="DB126" s="648">
        <f t="shared" si="514"/>
        <v>0</v>
      </c>
      <c r="DC126" s="648">
        <f t="shared" si="514"/>
        <v>0</v>
      </c>
      <c r="DD126" s="648">
        <f t="shared" si="514"/>
        <v>0</v>
      </c>
      <c r="DE126" s="648">
        <f t="shared" si="514"/>
        <v>0</v>
      </c>
      <c r="DF126" s="648">
        <f t="shared" si="514"/>
        <v>0</v>
      </c>
      <c r="DG126" s="648">
        <f t="shared" si="514"/>
        <v>0</v>
      </c>
      <c r="DH126" s="648">
        <f t="shared" si="514"/>
        <v>0</v>
      </c>
      <c r="DI126" s="648">
        <f t="shared" si="514"/>
        <v>0</v>
      </c>
      <c r="DJ126" s="648">
        <f t="shared" si="514"/>
        <v>0</v>
      </c>
      <c r="DK126" s="648">
        <f t="shared" si="514"/>
        <v>0</v>
      </c>
      <c r="DL126" s="648">
        <f t="shared" si="514"/>
        <v>0</v>
      </c>
      <c r="DM126" s="648">
        <f t="shared" si="514"/>
        <v>0</v>
      </c>
      <c r="DN126" s="648">
        <f t="shared" si="514"/>
        <v>0</v>
      </c>
      <c r="DO126" s="648">
        <f t="shared" si="514"/>
        <v>0</v>
      </c>
      <c r="DP126" s="648">
        <f t="shared" si="514"/>
        <v>0</v>
      </c>
      <c r="DQ126" s="648">
        <f t="shared" si="514"/>
        <v>0</v>
      </c>
      <c r="DR126" s="648">
        <f t="shared" si="514"/>
        <v>0</v>
      </c>
      <c r="DS126" s="648">
        <f t="shared" si="514"/>
        <v>0</v>
      </c>
      <c r="DT126" s="648">
        <f t="shared" si="514"/>
        <v>0</v>
      </c>
      <c r="DU126" s="648">
        <f t="shared" si="514"/>
        <v>0</v>
      </c>
      <c r="DV126" s="648">
        <f t="shared" si="514"/>
        <v>0</v>
      </c>
      <c r="DW126" s="648">
        <f t="shared" si="514"/>
        <v>0</v>
      </c>
      <c r="DX126" s="648">
        <f t="shared" si="514"/>
        <v>0</v>
      </c>
      <c r="DY126" s="648">
        <f t="shared" si="514"/>
        <v>0</v>
      </c>
      <c r="DZ126" s="648">
        <f t="shared" si="514"/>
        <v>0</v>
      </c>
      <c r="EF126" s="51">
        <v>0</v>
      </c>
      <c r="EG126" s="51"/>
      <c r="EH126" s="51"/>
      <c r="EI126" s="51"/>
      <c r="EJ126" s="51"/>
    </row>
    <row r="127" spans="1:143" ht="16" thickBot="1">
      <c r="A127" s="1"/>
      <c r="B127" t="str">
        <f t="shared" si="498"/>
        <v>Leakage Ocean</v>
      </c>
      <c r="C127" s="54" t="s">
        <v>114</v>
      </c>
      <c r="D127" s="648">
        <f t="shared" ref="D127:AH127" si="515">D29*$EF127</f>
        <v>0</v>
      </c>
      <c r="E127" s="648">
        <f t="shared" si="515"/>
        <v>0</v>
      </c>
      <c r="F127" s="648">
        <f t="shared" si="515"/>
        <v>0</v>
      </c>
      <c r="G127" s="648">
        <f t="shared" si="515"/>
        <v>0</v>
      </c>
      <c r="H127" s="648">
        <f t="shared" si="515"/>
        <v>0</v>
      </c>
      <c r="I127" s="648">
        <f t="shared" si="515"/>
        <v>0</v>
      </c>
      <c r="J127" s="648">
        <f t="shared" si="515"/>
        <v>0</v>
      </c>
      <c r="K127" s="648">
        <f t="shared" si="515"/>
        <v>0</v>
      </c>
      <c r="L127" s="648">
        <f t="shared" si="515"/>
        <v>0</v>
      </c>
      <c r="M127" s="648">
        <f t="shared" si="515"/>
        <v>0</v>
      </c>
      <c r="N127" s="648">
        <f t="shared" si="515"/>
        <v>0</v>
      </c>
      <c r="O127" s="648">
        <f t="shared" si="515"/>
        <v>0</v>
      </c>
      <c r="P127" s="648">
        <f t="shared" si="515"/>
        <v>0</v>
      </c>
      <c r="Q127" s="648">
        <f t="shared" si="515"/>
        <v>0</v>
      </c>
      <c r="R127" s="648">
        <f t="shared" si="515"/>
        <v>0</v>
      </c>
      <c r="S127" s="648">
        <f t="shared" si="515"/>
        <v>0</v>
      </c>
      <c r="T127" s="648">
        <f t="shared" si="515"/>
        <v>0</v>
      </c>
      <c r="U127" s="648">
        <f t="shared" si="515"/>
        <v>0</v>
      </c>
      <c r="V127" s="648">
        <f t="shared" si="515"/>
        <v>0</v>
      </c>
      <c r="W127" s="648">
        <f t="shared" si="515"/>
        <v>0</v>
      </c>
      <c r="X127" s="648">
        <f t="shared" si="515"/>
        <v>0</v>
      </c>
      <c r="Y127" s="648">
        <f t="shared" si="515"/>
        <v>0</v>
      </c>
      <c r="Z127" s="648">
        <f t="shared" si="515"/>
        <v>0</v>
      </c>
      <c r="AA127" s="648">
        <f t="shared" si="515"/>
        <v>0</v>
      </c>
      <c r="AB127" s="648">
        <f t="shared" si="515"/>
        <v>0</v>
      </c>
      <c r="AC127" s="648">
        <f t="shared" si="515"/>
        <v>0</v>
      </c>
      <c r="AD127" s="648">
        <f t="shared" si="515"/>
        <v>0</v>
      </c>
      <c r="AE127" s="648">
        <f t="shared" si="515"/>
        <v>0</v>
      </c>
      <c r="AF127" s="648">
        <f t="shared" si="515"/>
        <v>0</v>
      </c>
      <c r="AG127" s="648">
        <f t="shared" si="515"/>
        <v>0</v>
      </c>
      <c r="AH127" s="648">
        <f t="shared" si="515"/>
        <v>0</v>
      </c>
      <c r="AI127" s="648"/>
      <c r="AJ127" s="648">
        <f t="shared" ref="AJ127:BN127" si="516">AJ29*$EF127</f>
        <v>0</v>
      </c>
      <c r="AK127" s="648">
        <f t="shared" si="516"/>
        <v>0</v>
      </c>
      <c r="AL127" s="648">
        <f t="shared" si="516"/>
        <v>0</v>
      </c>
      <c r="AM127" s="648">
        <f t="shared" si="516"/>
        <v>0</v>
      </c>
      <c r="AN127" s="648">
        <f t="shared" si="516"/>
        <v>0</v>
      </c>
      <c r="AO127" s="648">
        <f t="shared" si="516"/>
        <v>0</v>
      </c>
      <c r="AP127" s="648">
        <f t="shared" si="516"/>
        <v>0</v>
      </c>
      <c r="AQ127" s="648">
        <f t="shared" si="516"/>
        <v>0</v>
      </c>
      <c r="AR127" s="648">
        <f t="shared" si="516"/>
        <v>0</v>
      </c>
      <c r="AS127" s="648">
        <f t="shared" si="516"/>
        <v>0</v>
      </c>
      <c r="AT127" s="648">
        <f t="shared" si="516"/>
        <v>0</v>
      </c>
      <c r="AU127" s="648">
        <f t="shared" si="516"/>
        <v>0</v>
      </c>
      <c r="AV127" s="648">
        <f t="shared" si="516"/>
        <v>0</v>
      </c>
      <c r="AW127" s="648">
        <f t="shared" si="516"/>
        <v>0</v>
      </c>
      <c r="AX127" s="648">
        <f t="shared" si="516"/>
        <v>0</v>
      </c>
      <c r="AY127" s="648">
        <f t="shared" si="516"/>
        <v>0</v>
      </c>
      <c r="AZ127" s="648">
        <f t="shared" si="516"/>
        <v>0</v>
      </c>
      <c r="BA127" s="648">
        <f t="shared" si="516"/>
        <v>0</v>
      </c>
      <c r="BB127" s="648">
        <f t="shared" si="516"/>
        <v>0</v>
      </c>
      <c r="BC127" s="648">
        <f t="shared" si="516"/>
        <v>0</v>
      </c>
      <c r="BD127" s="648">
        <f t="shared" si="516"/>
        <v>0</v>
      </c>
      <c r="BE127" s="648">
        <f t="shared" si="516"/>
        <v>0</v>
      </c>
      <c r="BF127" s="648">
        <f t="shared" si="516"/>
        <v>0</v>
      </c>
      <c r="BG127" s="648">
        <f t="shared" si="516"/>
        <v>0</v>
      </c>
      <c r="BH127" s="648">
        <f t="shared" si="516"/>
        <v>0</v>
      </c>
      <c r="BI127" s="648">
        <f t="shared" si="516"/>
        <v>0</v>
      </c>
      <c r="BJ127" s="648">
        <f t="shared" si="516"/>
        <v>0</v>
      </c>
      <c r="BK127" s="648">
        <f t="shared" si="516"/>
        <v>0</v>
      </c>
      <c r="BL127" s="648">
        <f t="shared" si="516"/>
        <v>0</v>
      </c>
      <c r="BM127" s="648">
        <f t="shared" si="516"/>
        <v>0</v>
      </c>
      <c r="BN127" s="648">
        <f t="shared" si="516"/>
        <v>0</v>
      </c>
      <c r="BO127" s="648"/>
      <c r="BP127" s="648">
        <f t="shared" ref="BP127:CT127" si="517">BP29*$EF127</f>
        <v>0</v>
      </c>
      <c r="BQ127" s="648">
        <f t="shared" si="517"/>
        <v>0</v>
      </c>
      <c r="BR127" s="648">
        <f t="shared" si="517"/>
        <v>0</v>
      </c>
      <c r="BS127" s="648">
        <f t="shared" si="517"/>
        <v>0</v>
      </c>
      <c r="BT127" s="648">
        <f t="shared" si="517"/>
        <v>0</v>
      </c>
      <c r="BU127" s="648">
        <f t="shared" si="517"/>
        <v>0</v>
      </c>
      <c r="BV127" s="648">
        <f t="shared" si="517"/>
        <v>0</v>
      </c>
      <c r="BW127" s="648">
        <f t="shared" si="517"/>
        <v>0</v>
      </c>
      <c r="BX127" s="648">
        <f t="shared" si="517"/>
        <v>0</v>
      </c>
      <c r="BY127" s="648">
        <f t="shared" si="517"/>
        <v>0</v>
      </c>
      <c r="BZ127" s="648">
        <f t="shared" si="517"/>
        <v>0</v>
      </c>
      <c r="CA127" s="648">
        <f t="shared" si="517"/>
        <v>0</v>
      </c>
      <c r="CB127" s="648">
        <f t="shared" si="517"/>
        <v>0</v>
      </c>
      <c r="CC127" s="648">
        <f t="shared" si="517"/>
        <v>0</v>
      </c>
      <c r="CD127" s="648">
        <f t="shared" si="517"/>
        <v>0</v>
      </c>
      <c r="CE127" s="648">
        <f t="shared" si="517"/>
        <v>0</v>
      </c>
      <c r="CF127" s="648">
        <f t="shared" si="517"/>
        <v>0</v>
      </c>
      <c r="CG127" s="648">
        <f t="shared" si="517"/>
        <v>0</v>
      </c>
      <c r="CH127" s="648">
        <f t="shared" si="517"/>
        <v>0</v>
      </c>
      <c r="CI127" s="648">
        <f t="shared" si="517"/>
        <v>0</v>
      </c>
      <c r="CJ127" s="648">
        <f t="shared" si="517"/>
        <v>0</v>
      </c>
      <c r="CK127" s="648">
        <f t="shared" si="517"/>
        <v>0</v>
      </c>
      <c r="CL127" s="648">
        <f t="shared" si="517"/>
        <v>0</v>
      </c>
      <c r="CM127" s="648">
        <f t="shared" si="517"/>
        <v>0</v>
      </c>
      <c r="CN127" s="648">
        <f t="shared" si="517"/>
        <v>0</v>
      </c>
      <c r="CO127" s="648">
        <f t="shared" si="517"/>
        <v>0</v>
      </c>
      <c r="CP127" s="648">
        <f t="shared" si="517"/>
        <v>0</v>
      </c>
      <c r="CQ127" s="648">
        <f t="shared" si="517"/>
        <v>0</v>
      </c>
      <c r="CR127" s="648">
        <f t="shared" si="517"/>
        <v>0</v>
      </c>
      <c r="CS127" s="648">
        <f t="shared" si="517"/>
        <v>0</v>
      </c>
      <c r="CT127" s="648">
        <f t="shared" si="517"/>
        <v>0</v>
      </c>
      <c r="CU127" s="648"/>
      <c r="CV127" s="648">
        <f t="shared" ref="CV127:DZ127" si="518">CV29*$EF127</f>
        <v>0</v>
      </c>
      <c r="CW127" s="648">
        <f t="shared" si="518"/>
        <v>0</v>
      </c>
      <c r="CX127" s="648">
        <f t="shared" si="518"/>
        <v>0</v>
      </c>
      <c r="CY127" s="648">
        <f t="shared" si="518"/>
        <v>0</v>
      </c>
      <c r="CZ127" s="648">
        <f t="shared" si="518"/>
        <v>0</v>
      </c>
      <c r="DA127" s="648">
        <f t="shared" si="518"/>
        <v>0</v>
      </c>
      <c r="DB127" s="648">
        <f t="shared" si="518"/>
        <v>0</v>
      </c>
      <c r="DC127" s="648">
        <f t="shared" si="518"/>
        <v>0</v>
      </c>
      <c r="DD127" s="648">
        <f t="shared" si="518"/>
        <v>0</v>
      </c>
      <c r="DE127" s="648">
        <f t="shared" si="518"/>
        <v>0</v>
      </c>
      <c r="DF127" s="648">
        <f t="shared" si="518"/>
        <v>0</v>
      </c>
      <c r="DG127" s="648">
        <f t="shared" si="518"/>
        <v>0</v>
      </c>
      <c r="DH127" s="648">
        <f t="shared" si="518"/>
        <v>0</v>
      </c>
      <c r="DI127" s="648">
        <f t="shared" si="518"/>
        <v>0</v>
      </c>
      <c r="DJ127" s="648">
        <f t="shared" si="518"/>
        <v>0</v>
      </c>
      <c r="DK127" s="648">
        <f t="shared" si="518"/>
        <v>0</v>
      </c>
      <c r="DL127" s="648">
        <f t="shared" si="518"/>
        <v>0</v>
      </c>
      <c r="DM127" s="648">
        <f t="shared" si="518"/>
        <v>0</v>
      </c>
      <c r="DN127" s="648">
        <f t="shared" si="518"/>
        <v>0</v>
      </c>
      <c r="DO127" s="648">
        <f t="shared" si="518"/>
        <v>0</v>
      </c>
      <c r="DP127" s="648">
        <f t="shared" si="518"/>
        <v>0</v>
      </c>
      <c r="DQ127" s="648">
        <f t="shared" si="518"/>
        <v>0</v>
      </c>
      <c r="DR127" s="648">
        <f t="shared" si="518"/>
        <v>0</v>
      </c>
      <c r="DS127" s="648">
        <f t="shared" si="518"/>
        <v>0</v>
      </c>
      <c r="DT127" s="648">
        <f t="shared" si="518"/>
        <v>0</v>
      </c>
      <c r="DU127" s="648">
        <f t="shared" si="518"/>
        <v>0</v>
      </c>
      <c r="DV127" s="648">
        <f t="shared" si="518"/>
        <v>0</v>
      </c>
      <c r="DW127" s="648">
        <f t="shared" si="518"/>
        <v>0</v>
      </c>
      <c r="DX127" s="648">
        <f t="shared" si="518"/>
        <v>0</v>
      </c>
      <c r="DY127" s="648">
        <f t="shared" si="518"/>
        <v>0</v>
      </c>
      <c r="DZ127" s="648">
        <f t="shared" si="518"/>
        <v>0</v>
      </c>
      <c r="EF127" s="51">
        <v>0</v>
      </c>
      <c r="EG127" s="51"/>
      <c r="EH127" s="51"/>
      <c r="EI127" s="51"/>
      <c r="EJ127" s="51"/>
    </row>
    <row r="128" spans="1:143" ht="16" thickBot="1">
      <c r="A128" s="185" t="s">
        <v>117</v>
      </c>
      <c r="B128" s="488"/>
      <c r="C128" s="639" t="s">
        <v>114</v>
      </c>
      <c r="D128" s="647">
        <f t="shared" ref="D128:AH128" si="519">SUM(D105:D126)</f>
        <v>28276.408319880276</v>
      </c>
      <c r="E128" s="647">
        <f t="shared" si="519"/>
        <v>32920.560682446623</v>
      </c>
      <c r="F128" s="647">
        <f t="shared" si="519"/>
        <v>37387.615381768745</v>
      </c>
      <c r="G128" s="647">
        <f t="shared" si="519"/>
        <v>42345.26094362414</v>
      </c>
      <c r="H128" s="647">
        <f t="shared" si="519"/>
        <v>46805.053926935951</v>
      </c>
      <c r="I128" s="647">
        <f t="shared" si="519"/>
        <v>51246.986294918555</v>
      </c>
      <c r="J128" s="647">
        <f t="shared" si="519"/>
        <v>56151.292557656605</v>
      </c>
      <c r="K128" s="647">
        <f t="shared" si="519"/>
        <v>61574.70113476985</v>
      </c>
      <c r="L128" s="647">
        <f t="shared" si="519"/>
        <v>66541.013233974038</v>
      </c>
      <c r="M128" s="647">
        <f t="shared" si="519"/>
        <v>72523.143085337419</v>
      </c>
      <c r="N128" s="647">
        <f t="shared" si="519"/>
        <v>79037.660886515121</v>
      </c>
      <c r="O128" s="647">
        <f t="shared" si="519"/>
        <v>97641.46620007958</v>
      </c>
      <c r="P128" s="647">
        <f t="shared" si="519"/>
        <v>116862.35391415611</v>
      </c>
      <c r="Q128" s="647">
        <f t="shared" si="519"/>
        <v>135725.97675864393</v>
      </c>
      <c r="R128" s="647">
        <f t="shared" si="519"/>
        <v>155203.91487451695</v>
      </c>
      <c r="S128" s="647">
        <f t="shared" si="519"/>
        <v>173832.20759327323</v>
      </c>
      <c r="T128" s="647">
        <f t="shared" si="519"/>
        <v>209983.48966363227</v>
      </c>
      <c r="U128" s="647">
        <f t="shared" si="519"/>
        <v>244618.12710502648</v>
      </c>
      <c r="V128" s="647">
        <f t="shared" si="519"/>
        <v>278209.29380687868</v>
      </c>
      <c r="W128" s="647">
        <f t="shared" si="519"/>
        <v>309762.1798806811</v>
      </c>
      <c r="X128" s="647">
        <f t="shared" si="519"/>
        <v>340681.57520196657</v>
      </c>
      <c r="Y128" s="647">
        <f t="shared" si="519"/>
        <v>371147.5068519481</v>
      </c>
      <c r="Z128" s="647">
        <f t="shared" si="519"/>
        <v>400929.0640549871</v>
      </c>
      <c r="AA128" s="647">
        <f t="shared" si="519"/>
        <v>430061.41491620248</v>
      </c>
      <c r="AB128" s="647">
        <f t="shared" si="519"/>
        <v>457568.42591410421</v>
      </c>
      <c r="AC128" s="647">
        <f t="shared" si="519"/>
        <v>484454.97770573228</v>
      </c>
      <c r="AD128" s="647">
        <f t="shared" si="519"/>
        <v>492540.39455342008</v>
      </c>
      <c r="AE128" s="647">
        <f t="shared" si="519"/>
        <v>500887.72442099068</v>
      </c>
      <c r="AF128" s="647">
        <f t="shared" si="519"/>
        <v>509045.71093486948</v>
      </c>
      <c r="AG128" s="647">
        <f t="shared" si="519"/>
        <v>518059.90120392945</v>
      </c>
      <c r="AH128" s="647">
        <f t="shared" si="519"/>
        <v>527353.43777436251</v>
      </c>
      <c r="AI128" s="647"/>
      <c r="AJ128" s="647">
        <f t="shared" ref="AJ128:BN128" si="520">SUM(AJ105:AJ126)</f>
        <v>28276.387779828921</v>
      </c>
      <c r="AK128" s="647">
        <f t="shared" si="520"/>
        <v>32907.516521846512</v>
      </c>
      <c r="AL128" s="647">
        <f t="shared" si="520"/>
        <v>37361.079993802261</v>
      </c>
      <c r="AM128" s="647">
        <f t="shared" si="520"/>
        <v>42304.726802767822</v>
      </c>
      <c r="AN128" s="647">
        <f t="shared" si="520"/>
        <v>46749.944867772683</v>
      </c>
      <c r="AO128" s="647">
        <f t="shared" si="520"/>
        <v>51176.599884379211</v>
      </c>
      <c r="AP128" s="647">
        <f t="shared" si="520"/>
        <v>56064.685293043687</v>
      </c>
      <c r="AQ128" s="647">
        <f t="shared" si="520"/>
        <v>61470.473223537228</v>
      </c>
      <c r="AR128" s="647">
        <f t="shared" si="520"/>
        <v>66416.915323251014</v>
      </c>
      <c r="AS128" s="647">
        <f t="shared" si="520"/>
        <v>72375.398252870349</v>
      </c>
      <c r="AT128" s="647">
        <f t="shared" si="520"/>
        <v>78859.772609161373</v>
      </c>
      <c r="AU128" s="647">
        <f t="shared" si="520"/>
        <v>97425.087128765706</v>
      </c>
      <c r="AV128" s="647">
        <f t="shared" si="520"/>
        <v>116593.98395761666</v>
      </c>
      <c r="AW128" s="647">
        <f t="shared" si="520"/>
        <v>135386.7879723096</v>
      </c>
      <c r="AX128" s="647">
        <f t="shared" si="520"/>
        <v>154772.53795405076</v>
      </c>
      <c r="AY128" s="647">
        <f t="shared" si="520"/>
        <v>173280.66071781615</v>
      </c>
      <c r="AZ128" s="647">
        <f t="shared" si="520"/>
        <v>209285.86947567193</v>
      </c>
      <c r="BA128" s="647">
        <f t="shared" si="520"/>
        <v>243756.76367024161</v>
      </c>
      <c r="BB128" s="647">
        <f t="shared" si="520"/>
        <v>277176.02088367997</v>
      </c>
      <c r="BC128" s="647">
        <f t="shared" si="520"/>
        <v>308558.33851019311</v>
      </c>
      <c r="BD128" s="647">
        <f t="shared" si="520"/>
        <v>339315.65831148828</v>
      </c>
      <c r="BE128" s="647">
        <f t="shared" si="520"/>
        <v>369700.42779266182</v>
      </c>
      <c r="BF128" s="647">
        <f t="shared" si="520"/>
        <v>399392.8120098518</v>
      </c>
      <c r="BG128" s="647">
        <f t="shared" si="520"/>
        <v>428445.126342648</v>
      </c>
      <c r="BH128" s="647">
        <f t="shared" si="520"/>
        <v>455879.56282975269</v>
      </c>
      <c r="BI128" s="647">
        <f t="shared" si="520"/>
        <v>482694.69239765586</v>
      </c>
      <c r="BJ128" s="647">
        <f t="shared" si="520"/>
        <v>490701.42240494653</v>
      </c>
      <c r="BK128" s="647">
        <f t="shared" si="520"/>
        <v>498956.25601254345</v>
      </c>
      <c r="BL128" s="647">
        <f t="shared" si="520"/>
        <v>506997.39483692579</v>
      </c>
      <c r="BM128" s="647">
        <f t="shared" si="520"/>
        <v>515850.40317231102</v>
      </c>
      <c r="BN128" s="647">
        <f t="shared" si="520"/>
        <v>524908.82019945455</v>
      </c>
      <c r="BO128" s="647"/>
      <c r="BP128" s="647">
        <f t="shared" ref="BP128:CT128" si="521">SUM(BP105:BP126)</f>
        <v>28276.362415478063</v>
      </c>
      <c r="BQ128" s="647">
        <f t="shared" si="521"/>
        <v>28948.309530859558</v>
      </c>
      <c r="BR128" s="647">
        <f t="shared" si="521"/>
        <v>29593.593967396493</v>
      </c>
      <c r="BS128" s="647">
        <f t="shared" si="521"/>
        <v>30209.242661424902</v>
      </c>
      <c r="BT128" s="647">
        <f t="shared" si="521"/>
        <v>30792.477187373937</v>
      </c>
      <c r="BU128" s="647">
        <f t="shared" si="521"/>
        <v>31340.748294656463</v>
      </c>
      <c r="BV128" s="647">
        <f t="shared" si="521"/>
        <v>31890.289111377973</v>
      </c>
      <c r="BW128" s="647">
        <f t="shared" si="521"/>
        <v>32440.806913660515</v>
      </c>
      <c r="BX128" s="647">
        <f t="shared" si="521"/>
        <v>32992.007530173061</v>
      </c>
      <c r="BY128" s="647">
        <f t="shared" si="521"/>
        <v>33543.596026247549</v>
      </c>
      <c r="BZ128" s="647">
        <f t="shared" si="521"/>
        <v>34095.277407096262</v>
      </c>
      <c r="CA128" s="647">
        <f t="shared" si="521"/>
        <v>34618.994972061213</v>
      </c>
      <c r="CB128" s="647">
        <f t="shared" si="521"/>
        <v>35113.272049309526</v>
      </c>
      <c r="CC128" s="647">
        <f t="shared" si="521"/>
        <v>35576.805346803798</v>
      </c>
      <c r="CD128" s="647">
        <f t="shared" si="521"/>
        <v>36008.478487540167</v>
      </c>
      <c r="CE128" s="647">
        <f t="shared" si="521"/>
        <v>36407.373965622217</v>
      </c>
      <c r="CF128" s="647">
        <f t="shared" si="521"/>
        <v>36809.127316154889</v>
      </c>
      <c r="CG128" s="647">
        <f t="shared" si="521"/>
        <v>37213.771315450453</v>
      </c>
      <c r="CH128" s="647">
        <f t="shared" si="521"/>
        <v>37621.340455410253</v>
      </c>
      <c r="CI128" s="647">
        <f t="shared" si="521"/>
        <v>38031.87099575797</v>
      </c>
      <c r="CJ128" s="647">
        <f t="shared" si="521"/>
        <v>38445.401016756667</v>
      </c>
      <c r="CK128" s="647">
        <f t="shared" si="521"/>
        <v>38862.19939232021</v>
      </c>
      <c r="CL128" s="647">
        <f t="shared" si="521"/>
        <v>39282.311950208692</v>
      </c>
      <c r="CM128" s="647">
        <f t="shared" si="521"/>
        <v>39705.786367699911</v>
      </c>
      <c r="CN128" s="647">
        <f t="shared" si="521"/>
        <v>40132.672220883258</v>
      </c>
      <c r="CO128" s="647">
        <f t="shared" si="521"/>
        <v>40563.021034426361</v>
      </c>
      <c r="CP128" s="647">
        <f t="shared" si="521"/>
        <v>40997.087794478466</v>
      </c>
      <c r="CQ128" s="647">
        <f t="shared" si="521"/>
        <v>41434.931149345568</v>
      </c>
      <c r="CR128" s="647">
        <f t="shared" si="521"/>
        <v>41876.611734318256</v>
      </c>
      <c r="CS128" s="647">
        <f t="shared" si="521"/>
        <v>42322.192219316385</v>
      </c>
      <c r="CT128" s="647">
        <f t="shared" si="521"/>
        <v>42771.73735701666</v>
      </c>
      <c r="CU128" s="647"/>
      <c r="CV128" s="647">
        <f t="shared" ref="CV128:DZ128" si="522">SUM(CV105:CV126)</f>
        <v>28276.387779828921</v>
      </c>
      <c r="CW128" s="647">
        <f t="shared" si="522"/>
        <v>29806.220168069125</v>
      </c>
      <c r="CX128" s="647">
        <f t="shared" si="522"/>
        <v>31516.189319309109</v>
      </c>
      <c r="CY128" s="647">
        <f t="shared" si="522"/>
        <v>33219.393971817284</v>
      </c>
      <c r="CZ128" s="647">
        <f t="shared" si="522"/>
        <v>34905.478070342368</v>
      </c>
      <c r="DA128" s="647">
        <f t="shared" si="522"/>
        <v>36563.856650779053</v>
      </c>
      <c r="DB128" s="647">
        <f t="shared" si="522"/>
        <v>38266.273554328247</v>
      </c>
      <c r="DC128" s="647">
        <f t="shared" si="522"/>
        <v>40012.912576102419</v>
      </c>
      <c r="DD128" s="647">
        <f t="shared" si="522"/>
        <v>41804.36427216688</v>
      </c>
      <c r="DE128" s="647">
        <f t="shared" si="522"/>
        <v>43641.980427862829</v>
      </c>
      <c r="DF128" s="647">
        <f t="shared" si="522"/>
        <v>45527.380376652116</v>
      </c>
      <c r="DG128" s="647">
        <f t="shared" si="522"/>
        <v>48309.096547964094</v>
      </c>
      <c r="DH128" s="647">
        <f t="shared" si="522"/>
        <v>51103.442299213362</v>
      </c>
      <c r="DI128" s="647">
        <f t="shared" si="522"/>
        <v>53905.904127832793</v>
      </c>
      <c r="DJ128" s="647">
        <f t="shared" si="522"/>
        <v>56704.909265720089</v>
      </c>
      <c r="DK128" s="647">
        <f t="shared" si="522"/>
        <v>59495.16368716368</v>
      </c>
      <c r="DL128" s="647">
        <f t="shared" si="522"/>
        <v>62371.085714913126</v>
      </c>
      <c r="DM128" s="647">
        <f t="shared" si="522"/>
        <v>65322.730990147567</v>
      </c>
      <c r="DN128" s="647">
        <f t="shared" si="522"/>
        <v>68338.647738721134</v>
      </c>
      <c r="DO128" s="647">
        <f t="shared" si="522"/>
        <v>71407.309723593324</v>
      </c>
      <c r="DP128" s="647">
        <f t="shared" si="522"/>
        <v>74466.263015145421</v>
      </c>
      <c r="DQ128" s="647">
        <f t="shared" si="522"/>
        <v>79000.316991758533</v>
      </c>
      <c r="DR128" s="647">
        <f t="shared" si="522"/>
        <v>83585.040098954472</v>
      </c>
      <c r="DS128" s="647">
        <f t="shared" si="522"/>
        <v>88260.51062365502</v>
      </c>
      <c r="DT128" s="647">
        <f t="shared" si="522"/>
        <v>93021.966297187508</v>
      </c>
      <c r="DU128" s="647">
        <f t="shared" si="522"/>
        <v>97878.138813251368</v>
      </c>
      <c r="DV128" s="647">
        <f t="shared" si="522"/>
        <v>102841.55113136445</v>
      </c>
      <c r="DW128" s="647">
        <f t="shared" si="522"/>
        <v>107929.16011934083</v>
      </c>
      <c r="DX128" s="647">
        <f t="shared" si="522"/>
        <v>113153.02133423201</v>
      </c>
      <c r="DY128" s="647">
        <f t="shared" si="522"/>
        <v>118542.01140945684</v>
      </c>
      <c r="DZ128" s="647">
        <f t="shared" si="522"/>
        <v>123959.17111915803</v>
      </c>
    </row>
    <row r="130" spans="1:143" ht="16" thickBot="1">
      <c r="A130" s="637" t="s">
        <v>1944</v>
      </c>
      <c r="B130" s="637"/>
      <c r="C130" s="638"/>
      <c r="D130" s="637"/>
      <c r="E130" s="637"/>
      <c r="F130" s="637"/>
      <c r="G130" s="637"/>
      <c r="H130" s="637"/>
      <c r="I130" s="637"/>
      <c r="J130" s="637"/>
      <c r="K130" s="637"/>
      <c r="L130" s="637"/>
      <c r="M130" s="637"/>
      <c r="N130" s="637"/>
      <c r="O130" s="637"/>
      <c r="P130" s="637"/>
      <c r="Q130" s="637"/>
      <c r="R130" s="637"/>
      <c r="S130" s="637"/>
      <c r="T130" s="637"/>
      <c r="U130" s="637"/>
      <c r="V130" s="637"/>
      <c r="W130" s="637"/>
      <c r="X130" s="637"/>
      <c r="Y130" s="637"/>
      <c r="Z130" s="637"/>
      <c r="AA130" s="637"/>
      <c r="AB130" s="637"/>
      <c r="AC130" s="637"/>
      <c r="AD130" s="637"/>
      <c r="AE130" s="637"/>
      <c r="AF130" s="637"/>
      <c r="AG130" s="637"/>
      <c r="AH130" s="637"/>
      <c r="AI130" s="637"/>
      <c r="AJ130" s="637"/>
      <c r="AK130" s="637"/>
      <c r="AL130" s="637"/>
      <c r="AM130" s="637"/>
      <c r="AN130" s="637"/>
      <c r="AO130" s="637"/>
      <c r="AP130" s="637"/>
      <c r="AQ130" s="637"/>
      <c r="AR130" s="637"/>
      <c r="AS130" s="637"/>
      <c r="AT130" s="637"/>
      <c r="AU130" s="637"/>
      <c r="AV130" s="637"/>
      <c r="AW130" s="637"/>
      <c r="AX130" s="637"/>
      <c r="AY130" s="637"/>
      <c r="AZ130" s="637"/>
      <c r="BA130" s="637"/>
      <c r="BB130" s="637"/>
      <c r="BC130" s="637"/>
      <c r="BD130" s="637"/>
      <c r="BE130" s="637"/>
      <c r="BF130" s="637"/>
      <c r="BG130" s="637"/>
      <c r="BH130" s="637"/>
      <c r="BI130" s="637"/>
      <c r="BJ130" s="637"/>
      <c r="BK130" s="637"/>
      <c r="BL130" s="637"/>
      <c r="BM130" s="637"/>
      <c r="BN130" s="637"/>
      <c r="BO130" s="637"/>
      <c r="BP130" s="637"/>
      <c r="BQ130" s="637"/>
      <c r="BR130" s="637"/>
      <c r="BS130" s="637"/>
      <c r="BT130" s="637"/>
      <c r="BU130" s="637"/>
      <c r="BV130" s="637"/>
      <c r="BW130" s="637"/>
      <c r="BX130" s="637"/>
      <c r="BY130" s="637"/>
      <c r="BZ130" s="637"/>
      <c r="CA130" s="637"/>
      <c r="CB130" s="637"/>
      <c r="CC130" s="637"/>
      <c r="CD130" s="637"/>
      <c r="CE130" s="637"/>
      <c r="CF130" s="637"/>
      <c r="CG130" s="637"/>
      <c r="CH130" s="637"/>
      <c r="CI130" s="637"/>
      <c r="CJ130" s="637"/>
      <c r="CK130" s="637"/>
      <c r="CL130" s="637"/>
      <c r="CM130" s="637"/>
      <c r="CN130" s="637"/>
      <c r="CO130" s="637"/>
      <c r="CP130" s="637"/>
      <c r="CQ130" s="637"/>
      <c r="CR130" s="637"/>
      <c r="CS130" s="637"/>
      <c r="CT130" s="637"/>
      <c r="CU130" s="637"/>
      <c r="CV130" s="637"/>
      <c r="CW130" s="637"/>
      <c r="CX130" s="637"/>
      <c r="CY130" s="637"/>
      <c r="CZ130" s="637"/>
      <c r="DA130" s="637"/>
      <c r="DB130" s="637"/>
      <c r="DC130" s="637"/>
      <c r="DD130" s="637"/>
      <c r="DE130" s="637"/>
      <c r="DF130" s="637"/>
      <c r="DG130" s="637"/>
      <c r="DH130" s="637"/>
      <c r="DI130" s="637"/>
      <c r="DJ130" s="637"/>
      <c r="DK130" s="637"/>
      <c r="DL130" s="637"/>
      <c r="DM130" s="637"/>
      <c r="DN130" s="637"/>
      <c r="DO130" s="637"/>
      <c r="DP130" s="637"/>
      <c r="DQ130" s="637"/>
      <c r="DR130" s="637"/>
      <c r="DS130" s="637"/>
      <c r="DT130" s="637"/>
      <c r="DU130" s="637"/>
      <c r="DV130" s="637"/>
      <c r="DW130" s="637"/>
      <c r="DX130" s="637"/>
      <c r="DY130" s="637"/>
      <c r="DZ130" s="637"/>
      <c r="EF130" s="181">
        <v>2020</v>
      </c>
      <c r="EK130" t="s">
        <v>113</v>
      </c>
      <c r="EM130" t="s">
        <v>96</v>
      </c>
    </row>
    <row r="131" spans="1:143">
      <c r="B131" t="str">
        <f>B78</f>
        <v>Fuel additive elimination</v>
      </c>
      <c r="C131" s="54" t="s">
        <v>114</v>
      </c>
      <c r="D131" s="648"/>
      <c r="E131" s="648"/>
      <c r="F131" s="648"/>
      <c r="G131" s="648"/>
      <c r="H131" s="648"/>
      <c r="I131" s="648"/>
      <c r="J131" s="648"/>
      <c r="K131" s="648"/>
      <c r="L131" s="648"/>
      <c r="M131" s="648"/>
      <c r="N131" s="648"/>
      <c r="O131" s="648"/>
      <c r="P131" s="648"/>
      <c r="Q131" s="648"/>
      <c r="R131" s="648"/>
      <c r="S131" s="648"/>
      <c r="T131" s="648"/>
      <c r="U131" s="648"/>
      <c r="V131" s="648"/>
      <c r="W131" s="648"/>
      <c r="X131" s="648"/>
      <c r="Y131" s="648"/>
      <c r="Z131" s="648"/>
      <c r="AA131" s="648"/>
      <c r="AB131" s="648"/>
      <c r="AC131" s="648"/>
      <c r="AD131" s="648"/>
      <c r="AE131" s="648"/>
      <c r="AF131" s="648"/>
      <c r="AG131" s="648"/>
      <c r="AH131" s="648"/>
      <c r="AI131" s="648"/>
      <c r="AJ131" s="648"/>
      <c r="AK131" s="648"/>
      <c r="AL131" s="648"/>
      <c r="AM131" s="648"/>
      <c r="AN131" s="648"/>
      <c r="AO131" s="648"/>
      <c r="AP131" s="648"/>
      <c r="AQ131" s="648"/>
      <c r="AR131" s="648"/>
      <c r="AS131" s="648"/>
      <c r="AT131" s="648"/>
      <c r="AU131" s="648"/>
      <c r="AV131" s="648"/>
      <c r="AW131" s="648"/>
      <c r="AX131" s="648"/>
      <c r="AY131" s="648"/>
      <c r="AZ131" s="648"/>
      <c r="BA131" s="648"/>
      <c r="BB131" s="648"/>
      <c r="BC131" s="648"/>
      <c r="BD131" s="648"/>
      <c r="BE131" s="648"/>
      <c r="BF131" s="648"/>
      <c r="BG131" s="648"/>
      <c r="BH131" s="648"/>
      <c r="BI131" s="648"/>
      <c r="BJ131" s="648"/>
      <c r="BK131" s="648"/>
      <c r="BL131" s="648"/>
      <c r="BM131" s="648"/>
      <c r="BN131" s="648"/>
      <c r="BO131" s="648"/>
      <c r="BP131" s="648"/>
      <c r="BQ131" s="648"/>
      <c r="BR131" s="648"/>
      <c r="BS131" s="648"/>
      <c r="BT131" s="648"/>
      <c r="BU131" s="648"/>
      <c r="BV131" s="648"/>
      <c r="BW131" s="648"/>
      <c r="BX131" s="648"/>
      <c r="BY131" s="648"/>
      <c r="BZ131" s="648"/>
      <c r="CA131" s="648"/>
      <c r="CB131" s="648"/>
      <c r="CC131" s="648"/>
      <c r="CD131" s="648"/>
      <c r="CE131" s="648"/>
      <c r="CF131" s="648"/>
      <c r="CG131" s="648"/>
      <c r="CH131" s="648"/>
      <c r="CI131" s="648"/>
      <c r="CJ131" s="648"/>
      <c r="CK131" s="648"/>
      <c r="CL131" s="648"/>
      <c r="CM131" s="648"/>
      <c r="CN131" s="648"/>
      <c r="CO131" s="648"/>
      <c r="CP131" s="648"/>
      <c r="CQ131" s="648"/>
      <c r="CR131" s="648"/>
      <c r="CS131" s="648"/>
      <c r="CT131" s="648"/>
      <c r="CU131" s="648"/>
      <c r="CV131" s="648"/>
      <c r="CW131" s="648"/>
      <c r="CX131" s="648"/>
      <c r="CY131" s="648"/>
      <c r="CZ131" s="648"/>
      <c r="DA131" s="648"/>
      <c r="DB131" s="648"/>
      <c r="DC131" s="648"/>
      <c r="DD131" s="648"/>
      <c r="DE131" s="648"/>
      <c r="DF131" s="648"/>
      <c r="DG131" s="648"/>
      <c r="DH131" s="648"/>
      <c r="DI131" s="648"/>
      <c r="DJ131" s="648"/>
      <c r="DK131" s="648"/>
      <c r="DL131" s="648"/>
      <c r="DM131" s="648"/>
      <c r="DN131" s="648"/>
      <c r="DO131" s="648"/>
      <c r="DP131" s="648"/>
      <c r="DQ131" s="648"/>
      <c r="DR131" s="648"/>
      <c r="DS131" s="648"/>
      <c r="DT131" s="648"/>
      <c r="DU131" s="648"/>
      <c r="DV131" s="648"/>
      <c r="DW131" s="648"/>
      <c r="DX131" s="648"/>
      <c r="DY131" s="648"/>
      <c r="DZ131" s="648"/>
      <c r="EF131" s="51"/>
      <c r="EG131" s="51"/>
      <c r="EH131" s="51"/>
      <c r="EI131" s="51"/>
      <c r="EJ131" s="51"/>
      <c r="EM131" t="s">
        <v>98</v>
      </c>
    </row>
    <row r="132" spans="1:143">
      <c r="A132" s="1"/>
      <c r="B132" t="str">
        <f t="shared" ref="B132:B154" si="523">B79</f>
        <v>Packaging reduction</v>
      </c>
      <c r="C132" s="54" t="s">
        <v>114</v>
      </c>
      <c r="D132" s="648"/>
      <c r="E132" s="648"/>
      <c r="F132" s="648"/>
      <c r="G132" s="648"/>
      <c r="H132" s="648"/>
      <c r="I132" s="648"/>
      <c r="J132" s="648"/>
      <c r="K132" s="648"/>
      <c r="L132" s="648"/>
      <c r="M132" s="648"/>
      <c r="N132" s="648"/>
      <c r="O132" s="648"/>
      <c r="P132" s="648"/>
      <c r="Q132" s="648"/>
      <c r="R132" s="648"/>
      <c r="S132" s="648"/>
      <c r="T132" s="648"/>
      <c r="U132" s="648"/>
      <c r="V132" s="648"/>
      <c r="W132" s="648"/>
      <c r="X132" s="648"/>
      <c r="Y132" s="648"/>
      <c r="Z132" s="648"/>
      <c r="AA132" s="648"/>
      <c r="AB132" s="648"/>
      <c r="AC132" s="648"/>
      <c r="AD132" s="648"/>
      <c r="AE132" s="648"/>
      <c r="AF132" s="648"/>
      <c r="AG132" s="648"/>
      <c r="AH132" s="648"/>
      <c r="AI132" s="648"/>
      <c r="AJ132" s="648"/>
      <c r="AK132" s="648"/>
      <c r="AL132" s="648"/>
      <c r="AM132" s="648"/>
      <c r="AN132" s="648"/>
      <c r="AO132" s="648"/>
      <c r="AP132" s="648"/>
      <c r="AQ132" s="648"/>
      <c r="AR132" s="648"/>
      <c r="AS132" s="648"/>
      <c r="AT132" s="648"/>
      <c r="AU132" s="648"/>
      <c r="AV132" s="648"/>
      <c r="AW132" s="648"/>
      <c r="AX132" s="648"/>
      <c r="AY132" s="648"/>
      <c r="AZ132" s="648"/>
      <c r="BA132" s="648"/>
      <c r="BB132" s="648"/>
      <c r="BC132" s="648"/>
      <c r="BD132" s="648"/>
      <c r="BE132" s="648"/>
      <c r="BF132" s="648"/>
      <c r="BG132" s="648"/>
      <c r="BH132" s="648"/>
      <c r="BI132" s="648"/>
      <c r="BJ132" s="648"/>
      <c r="BK132" s="648"/>
      <c r="BL132" s="648"/>
      <c r="BM132" s="648"/>
      <c r="BN132" s="648"/>
      <c r="BO132" s="648"/>
      <c r="BP132" s="648"/>
      <c r="BQ132" s="648"/>
      <c r="BR132" s="648"/>
      <c r="BS132" s="648"/>
      <c r="BT132" s="648"/>
      <c r="BU132" s="648"/>
      <c r="BV132" s="648"/>
      <c r="BW132" s="648"/>
      <c r="BX132" s="648"/>
      <c r="BY132" s="648"/>
      <c r="BZ132" s="648"/>
      <c r="CA132" s="648"/>
      <c r="CB132" s="648"/>
      <c r="CC132" s="648"/>
      <c r="CD132" s="648"/>
      <c r="CE132" s="648"/>
      <c r="CF132" s="648"/>
      <c r="CG132" s="648"/>
      <c r="CH132" s="648"/>
      <c r="CI132" s="648"/>
      <c r="CJ132" s="648"/>
      <c r="CK132" s="648"/>
      <c r="CL132" s="648"/>
      <c r="CM132" s="648"/>
      <c r="CN132" s="648"/>
      <c r="CO132" s="648"/>
      <c r="CP132" s="648"/>
      <c r="CQ132" s="648"/>
      <c r="CR132" s="648"/>
      <c r="CS132" s="648"/>
      <c r="CT132" s="648"/>
      <c r="CU132" s="648"/>
      <c r="CV132" s="648"/>
      <c r="CW132" s="648"/>
      <c r="CX132" s="648"/>
      <c r="CY132" s="648"/>
      <c r="CZ132" s="648"/>
      <c r="DA132" s="648"/>
      <c r="DB132" s="648"/>
      <c r="DC132" s="648"/>
      <c r="DD132" s="648"/>
      <c r="DE132" s="648"/>
      <c r="DF132" s="648"/>
      <c r="DG132" s="648"/>
      <c r="DH132" s="648"/>
      <c r="DI132" s="648"/>
      <c r="DJ132" s="648"/>
      <c r="DK132" s="648"/>
      <c r="DL132" s="648"/>
      <c r="DM132" s="648"/>
      <c r="DN132" s="648"/>
      <c r="DO132" s="648"/>
      <c r="DP132" s="648"/>
      <c r="DQ132" s="648"/>
      <c r="DR132" s="648"/>
      <c r="DS132" s="648"/>
      <c r="DT132" s="648"/>
      <c r="DU132" s="648"/>
      <c r="DV132" s="648"/>
      <c r="DW132" s="648"/>
      <c r="DX132" s="648"/>
      <c r="DY132" s="648"/>
      <c r="DZ132" s="648"/>
      <c r="EF132" s="51"/>
      <c r="EG132" s="51"/>
      <c r="EH132" s="51"/>
      <c r="EI132" s="51"/>
      <c r="EJ132" s="51"/>
      <c r="EM132" t="s">
        <v>99</v>
      </c>
    </row>
    <row r="133" spans="1:143">
      <c r="A133" s="1"/>
      <c r="B133" t="str">
        <f t="shared" si="523"/>
        <v>Packaging reuse</v>
      </c>
      <c r="C133" s="54" t="s">
        <v>114</v>
      </c>
      <c r="D133" s="648"/>
      <c r="E133" s="648"/>
      <c r="F133" s="648"/>
      <c r="G133" s="648"/>
      <c r="H133" s="648"/>
      <c r="I133" s="648"/>
      <c r="J133" s="648"/>
      <c r="K133" s="648"/>
      <c r="L133" s="648"/>
      <c r="M133" s="648"/>
      <c r="N133" s="648"/>
      <c r="O133" s="648"/>
      <c r="P133" s="648"/>
      <c r="Q133" s="648"/>
      <c r="R133" s="648"/>
      <c r="S133" s="648"/>
      <c r="T133" s="648"/>
      <c r="U133" s="648"/>
      <c r="V133" s="648"/>
      <c r="W133" s="648"/>
      <c r="X133" s="648"/>
      <c r="Y133" s="648"/>
      <c r="Z133" s="648"/>
      <c r="AA133" s="648"/>
      <c r="AB133" s="648"/>
      <c r="AC133" s="648"/>
      <c r="AD133" s="648"/>
      <c r="AE133" s="648"/>
      <c r="AF133" s="648"/>
      <c r="AG133" s="648"/>
      <c r="AH133" s="648"/>
      <c r="AI133" s="648"/>
      <c r="AJ133" s="648"/>
      <c r="AK133" s="648"/>
      <c r="AL133" s="648"/>
      <c r="AM133" s="648"/>
      <c r="AN133" s="648"/>
      <c r="AO133" s="648"/>
      <c r="AP133" s="648"/>
      <c r="AQ133" s="648"/>
      <c r="AR133" s="648"/>
      <c r="AS133" s="648"/>
      <c r="AT133" s="648"/>
      <c r="AU133" s="648"/>
      <c r="AV133" s="648"/>
      <c r="AW133" s="648"/>
      <c r="AX133" s="648"/>
      <c r="AY133" s="648"/>
      <c r="AZ133" s="648"/>
      <c r="BA133" s="648"/>
      <c r="BB133" s="648"/>
      <c r="BC133" s="648"/>
      <c r="BD133" s="648"/>
      <c r="BE133" s="648"/>
      <c r="BF133" s="648"/>
      <c r="BG133" s="648"/>
      <c r="BH133" s="648"/>
      <c r="BI133" s="648"/>
      <c r="BJ133" s="648"/>
      <c r="BK133" s="648"/>
      <c r="BL133" s="648"/>
      <c r="BM133" s="648"/>
      <c r="BN133" s="648"/>
      <c r="BO133" s="648"/>
      <c r="BP133" s="648"/>
      <c r="BQ133" s="648"/>
      <c r="BR133" s="648"/>
      <c r="BS133" s="648"/>
      <c r="BT133" s="648"/>
      <c r="BU133" s="648"/>
      <c r="BV133" s="648"/>
      <c r="BW133" s="648"/>
      <c r="BX133" s="648"/>
      <c r="BY133" s="648"/>
      <c r="BZ133" s="648"/>
      <c r="CA133" s="648"/>
      <c r="CB133" s="648"/>
      <c r="CC133" s="648"/>
      <c r="CD133" s="648"/>
      <c r="CE133" s="648"/>
      <c r="CF133" s="648"/>
      <c r="CG133" s="648"/>
      <c r="CH133" s="648"/>
      <c r="CI133" s="648"/>
      <c r="CJ133" s="648"/>
      <c r="CK133" s="648"/>
      <c r="CL133" s="648"/>
      <c r="CM133" s="648"/>
      <c r="CN133" s="648"/>
      <c r="CO133" s="648"/>
      <c r="CP133" s="648"/>
      <c r="CQ133" s="648"/>
      <c r="CR133" s="648"/>
      <c r="CS133" s="648"/>
      <c r="CT133" s="648"/>
      <c r="CU133" s="648"/>
      <c r="CV133" s="648"/>
      <c r="CW133" s="648"/>
      <c r="CX133" s="648"/>
      <c r="CY133" s="648"/>
      <c r="CZ133" s="648"/>
      <c r="DA133" s="648"/>
      <c r="DB133" s="648"/>
      <c r="DC133" s="648"/>
      <c r="DD133" s="648"/>
      <c r="DE133" s="648"/>
      <c r="DF133" s="648"/>
      <c r="DG133" s="648"/>
      <c r="DH133" s="648"/>
      <c r="DI133" s="648"/>
      <c r="DJ133" s="648"/>
      <c r="DK133" s="648"/>
      <c r="DL133" s="648"/>
      <c r="DM133" s="648"/>
      <c r="DN133" s="648"/>
      <c r="DO133" s="648"/>
      <c r="DP133" s="648"/>
      <c r="DQ133" s="648"/>
      <c r="DR133" s="648"/>
      <c r="DS133" s="648"/>
      <c r="DT133" s="648"/>
      <c r="DU133" s="648"/>
      <c r="DV133" s="648"/>
      <c r="DW133" s="648"/>
      <c r="DX133" s="648"/>
      <c r="DY133" s="648"/>
      <c r="DZ133" s="648"/>
      <c r="EF133" s="157"/>
      <c r="EG133" s="51"/>
      <c r="EH133" s="51"/>
      <c r="EI133" s="51"/>
      <c r="EM133" t="s">
        <v>99</v>
      </c>
    </row>
    <row r="134" spans="1:143">
      <c r="A134" s="1"/>
      <c r="B134" t="str">
        <f t="shared" si="523"/>
        <v>Packaging substitution Paper</v>
      </c>
      <c r="C134" s="54" t="s">
        <v>114</v>
      </c>
      <c r="D134" s="648"/>
      <c r="E134" s="648"/>
      <c r="F134" s="648"/>
      <c r="G134" s="648"/>
      <c r="H134" s="648"/>
      <c r="I134" s="648"/>
      <c r="J134" s="648"/>
      <c r="K134" s="648"/>
      <c r="L134" s="648"/>
      <c r="M134" s="648"/>
      <c r="N134" s="648"/>
      <c r="O134" s="648"/>
      <c r="P134" s="648"/>
      <c r="Q134" s="648"/>
      <c r="R134" s="648"/>
      <c r="S134" s="648"/>
      <c r="T134" s="648"/>
      <c r="U134" s="648"/>
      <c r="V134" s="648"/>
      <c r="W134" s="648"/>
      <c r="X134" s="648"/>
      <c r="Y134" s="648"/>
      <c r="Z134" s="648"/>
      <c r="AA134" s="648"/>
      <c r="AB134" s="648"/>
      <c r="AC134" s="648"/>
      <c r="AD134" s="648"/>
      <c r="AE134" s="648"/>
      <c r="AF134" s="648"/>
      <c r="AG134" s="648"/>
      <c r="AH134" s="648"/>
      <c r="AI134" s="648"/>
      <c r="AJ134" s="648"/>
      <c r="AK134" s="648"/>
      <c r="AL134" s="648"/>
      <c r="AM134" s="648"/>
      <c r="AN134" s="648"/>
      <c r="AO134" s="648"/>
      <c r="AP134" s="648"/>
      <c r="AQ134" s="648"/>
      <c r="AR134" s="648"/>
      <c r="AS134" s="648"/>
      <c r="AT134" s="648"/>
      <c r="AU134" s="648"/>
      <c r="AV134" s="648"/>
      <c r="AW134" s="648"/>
      <c r="AX134" s="648"/>
      <c r="AY134" s="648"/>
      <c r="AZ134" s="648"/>
      <c r="BA134" s="648"/>
      <c r="BB134" s="648"/>
      <c r="BC134" s="648"/>
      <c r="BD134" s="648"/>
      <c r="BE134" s="648"/>
      <c r="BF134" s="648"/>
      <c r="BG134" s="648"/>
      <c r="BH134" s="648"/>
      <c r="BI134" s="648"/>
      <c r="BJ134" s="648"/>
      <c r="BK134" s="648"/>
      <c r="BL134" s="648"/>
      <c r="BM134" s="648"/>
      <c r="BN134" s="648"/>
      <c r="BO134" s="648"/>
      <c r="BP134" s="648"/>
      <c r="BQ134" s="648"/>
      <c r="BR134" s="648"/>
      <c r="BS134" s="648"/>
      <c r="BT134" s="648"/>
      <c r="BU134" s="648"/>
      <c r="BV134" s="648"/>
      <c r="BW134" s="648"/>
      <c r="BX134" s="648"/>
      <c r="BY134" s="648"/>
      <c r="BZ134" s="648"/>
      <c r="CA134" s="648"/>
      <c r="CB134" s="648"/>
      <c r="CC134" s="648"/>
      <c r="CD134" s="648"/>
      <c r="CE134" s="648"/>
      <c r="CF134" s="648"/>
      <c r="CG134" s="648"/>
      <c r="CH134" s="648"/>
      <c r="CI134" s="648"/>
      <c r="CJ134" s="648"/>
      <c r="CK134" s="648"/>
      <c r="CL134" s="648"/>
      <c r="CM134" s="648"/>
      <c r="CN134" s="648"/>
      <c r="CO134" s="648"/>
      <c r="CP134" s="648"/>
      <c r="CQ134" s="648"/>
      <c r="CR134" s="648"/>
      <c r="CS134" s="648"/>
      <c r="CT134" s="648"/>
      <c r="CU134" s="648"/>
      <c r="CV134" s="648"/>
      <c r="CW134" s="648"/>
      <c r="CX134" s="648"/>
      <c r="CY134" s="648"/>
      <c r="CZ134" s="648"/>
      <c r="DA134" s="648"/>
      <c r="DB134" s="648"/>
      <c r="DC134" s="648"/>
      <c r="DD134" s="648"/>
      <c r="DE134" s="648"/>
      <c r="DF134" s="648"/>
      <c r="DG134" s="648"/>
      <c r="DH134" s="648"/>
      <c r="DI134" s="648"/>
      <c r="DJ134" s="648"/>
      <c r="DK134" s="648"/>
      <c r="DL134" s="648"/>
      <c r="DM134" s="648"/>
      <c r="DN134" s="648"/>
      <c r="DO134" s="648"/>
      <c r="DP134" s="648"/>
      <c r="DQ134" s="648"/>
      <c r="DR134" s="648"/>
      <c r="DS134" s="648"/>
      <c r="DT134" s="648"/>
      <c r="DU134" s="648"/>
      <c r="DV134" s="648"/>
      <c r="DW134" s="648"/>
      <c r="DX134" s="648"/>
      <c r="DY134" s="648"/>
      <c r="DZ134" s="648"/>
      <c r="EF134" s="51"/>
      <c r="EG134" s="51"/>
      <c r="EH134" s="51"/>
      <c r="EI134" s="51"/>
      <c r="EJ134" s="51"/>
      <c r="EM134" t="s">
        <v>99</v>
      </c>
    </row>
    <row r="135" spans="1:143">
      <c r="A135" s="1"/>
      <c r="B135" t="str">
        <f t="shared" si="523"/>
        <v>Packaging Substitution Compostables</v>
      </c>
      <c r="C135" s="54" t="s">
        <v>114</v>
      </c>
      <c r="D135" s="648"/>
      <c r="E135" s="648"/>
      <c r="F135" s="648"/>
      <c r="G135" s="648"/>
      <c r="H135" s="648"/>
      <c r="I135" s="648"/>
      <c r="J135" s="648"/>
      <c r="K135" s="648"/>
      <c r="L135" s="648"/>
      <c r="M135" s="648"/>
      <c r="N135" s="648"/>
      <c r="O135" s="648"/>
      <c r="P135" s="648"/>
      <c r="Q135" s="648"/>
      <c r="R135" s="648"/>
      <c r="S135" s="648"/>
      <c r="T135" s="648"/>
      <c r="U135" s="648"/>
      <c r="V135" s="648"/>
      <c r="W135" s="648"/>
      <c r="X135" s="648"/>
      <c r="Y135" s="648"/>
      <c r="Z135" s="648"/>
      <c r="AA135" s="648"/>
      <c r="AB135" s="648"/>
      <c r="AC135" s="648"/>
      <c r="AD135" s="648"/>
      <c r="AE135" s="648"/>
      <c r="AF135" s="648"/>
      <c r="AG135" s="648"/>
      <c r="AH135" s="648"/>
      <c r="AI135" s="648"/>
      <c r="AJ135" s="648"/>
      <c r="AK135" s="648"/>
      <c r="AL135" s="648"/>
      <c r="AM135" s="648"/>
      <c r="AN135" s="648"/>
      <c r="AO135" s="648"/>
      <c r="AP135" s="648"/>
      <c r="AQ135" s="648"/>
      <c r="AR135" s="648"/>
      <c r="AS135" s="648"/>
      <c r="AT135" s="648"/>
      <c r="AU135" s="648"/>
      <c r="AV135" s="648"/>
      <c r="AW135" s="648"/>
      <c r="AX135" s="648"/>
      <c r="AY135" s="648"/>
      <c r="AZ135" s="648"/>
      <c r="BA135" s="648"/>
      <c r="BB135" s="648"/>
      <c r="BC135" s="648"/>
      <c r="BD135" s="648"/>
      <c r="BE135" s="648"/>
      <c r="BF135" s="648"/>
      <c r="BG135" s="648"/>
      <c r="BH135" s="648"/>
      <c r="BI135" s="648"/>
      <c r="BJ135" s="648"/>
      <c r="BK135" s="648"/>
      <c r="BL135" s="648"/>
      <c r="BM135" s="648"/>
      <c r="BN135" s="648"/>
      <c r="BO135" s="648"/>
      <c r="BP135" s="648"/>
      <c r="BQ135" s="648"/>
      <c r="BR135" s="648"/>
      <c r="BS135" s="648"/>
      <c r="BT135" s="648"/>
      <c r="BU135" s="648"/>
      <c r="BV135" s="648"/>
      <c r="BW135" s="648"/>
      <c r="BX135" s="648"/>
      <c r="BY135" s="648"/>
      <c r="BZ135" s="648"/>
      <c r="CA135" s="648"/>
      <c r="CB135" s="648"/>
      <c r="CC135" s="648"/>
      <c r="CD135" s="648"/>
      <c r="CE135" s="648"/>
      <c r="CF135" s="648"/>
      <c r="CG135" s="648"/>
      <c r="CH135" s="648"/>
      <c r="CI135" s="648"/>
      <c r="CJ135" s="648"/>
      <c r="CK135" s="648"/>
      <c r="CL135" s="648"/>
      <c r="CM135" s="648"/>
      <c r="CN135" s="648"/>
      <c r="CO135" s="648"/>
      <c r="CP135" s="648"/>
      <c r="CQ135" s="648"/>
      <c r="CR135" s="648"/>
      <c r="CS135" s="648"/>
      <c r="CT135" s="648"/>
      <c r="CU135" s="648"/>
      <c r="CV135" s="648"/>
      <c r="CW135" s="648"/>
      <c r="CX135" s="648"/>
      <c r="CY135" s="648"/>
      <c r="CZ135" s="648"/>
      <c r="DA135" s="648"/>
      <c r="DB135" s="648"/>
      <c r="DC135" s="648"/>
      <c r="DD135" s="648"/>
      <c r="DE135" s="648"/>
      <c r="DF135" s="648"/>
      <c r="DG135" s="648"/>
      <c r="DH135" s="648"/>
      <c r="DI135" s="648"/>
      <c r="DJ135" s="648"/>
      <c r="DK135" s="648"/>
      <c r="DL135" s="648"/>
      <c r="DM135" s="648"/>
      <c r="DN135" s="648"/>
      <c r="DO135" s="648"/>
      <c r="DP135" s="648"/>
      <c r="DQ135" s="648"/>
      <c r="DR135" s="648"/>
      <c r="DS135" s="648"/>
      <c r="DT135" s="648"/>
      <c r="DU135" s="648"/>
      <c r="DV135" s="648"/>
      <c r="DW135" s="648"/>
      <c r="DX135" s="648"/>
      <c r="DY135" s="648"/>
      <c r="DZ135" s="648"/>
      <c r="EF135" s="51"/>
      <c r="EG135" s="51"/>
      <c r="EH135" s="51"/>
      <c r="EI135" s="51"/>
      <c r="EJ135" s="51"/>
      <c r="EM135" t="s">
        <v>99</v>
      </c>
    </row>
    <row r="136" spans="1:143">
      <c r="A136" s="1"/>
      <c r="B136" t="str">
        <f t="shared" si="523"/>
        <v>MaaS</v>
      </c>
      <c r="C136" s="54" t="s">
        <v>114</v>
      </c>
      <c r="D136" s="648"/>
      <c r="E136" s="648"/>
      <c r="F136" s="648"/>
      <c r="G136" s="648"/>
      <c r="H136" s="648"/>
      <c r="I136" s="648"/>
      <c r="J136" s="648"/>
      <c r="K136" s="648"/>
      <c r="L136" s="648"/>
      <c r="M136" s="648"/>
      <c r="N136" s="648"/>
      <c r="O136" s="648"/>
      <c r="P136" s="648"/>
      <c r="Q136" s="648"/>
      <c r="R136" s="648"/>
      <c r="S136" s="648"/>
      <c r="T136" s="648"/>
      <c r="U136" s="648"/>
      <c r="V136" s="648"/>
      <c r="W136" s="648"/>
      <c r="X136" s="648"/>
      <c r="Y136" s="648"/>
      <c r="Z136" s="648"/>
      <c r="AA136" s="648"/>
      <c r="AB136" s="648"/>
      <c r="AC136" s="648"/>
      <c r="AD136" s="648"/>
      <c r="AE136" s="648"/>
      <c r="AF136" s="648"/>
      <c r="AG136" s="648"/>
      <c r="AH136" s="648"/>
      <c r="AI136" s="648"/>
      <c r="AJ136" s="648"/>
      <c r="AK136" s="648"/>
      <c r="AL136" s="648"/>
      <c r="AM136" s="648"/>
      <c r="AN136" s="648"/>
      <c r="AO136" s="648"/>
      <c r="AP136" s="648"/>
      <c r="AQ136" s="648"/>
      <c r="AR136" s="648"/>
      <c r="AS136" s="648"/>
      <c r="AT136" s="648"/>
      <c r="AU136" s="648"/>
      <c r="AV136" s="648"/>
      <c r="AW136" s="648"/>
      <c r="AX136" s="648"/>
      <c r="AY136" s="648"/>
      <c r="AZ136" s="648"/>
      <c r="BA136" s="648"/>
      <c r="BB136" s="648"/>
      <c r="BC136" s="648"/>
      <c r="BD136" s="648"/>
      <c r="BE136" s="648"/>
      <c r="BF136" s="648"/>
      <c r="BG136" s="648"/>
      <c r="BH136" s="648"/>
      <c r="BI136" s="648"/>
      <c r="BJ136" s="648"/>
      <c r="BK136" s="648"/>
      <c r="BL136" s="648"/>
      <c r="BM136" s="648"/>
      <c r="BN136" s="648"/>
      <c r="BO136" s="648"/>
      <c r="BP136" s="648"/>
      <c r="BQ136" s="648"/>
      <c r="BR136" s="648"/>
      <c r="BS136" s="648"/>
      <c r="BT136" s="648"/>
      <c r="BU136" s="648"/>
      <c r="BV136" s="648"/>
      <c r="BW136" s="648"/>
      <c r="BX136" s="648"/>
      <c r="BY136" s="648"/>
      <c r="BZ136" s="648"/>
      <c r="CA136" s="648"/>
      <c r="CB136" s="648"/>
      <c r="CC136" s="648"/>
      <c r="CD136" s="648"/>
      <c r="CE136" s="648"/>
      <c r="CF136" s="648"/>
      <c r="CG136" s="648"/>
      <c r="CH136" s="648"/>
      <c r="CI136" s="648"/>
      <c r="CJ136" s="648"/>
      <c r="CK136" s="648"/>
      <c r="CL136" s="648"/>
      <c r="CM136" s="648"/>
      <c r="CN136" s="648"/>
      <c r="CO136" s="648"/>
      <c r="CP136" s="648"/>
      <c r="CQ136" s="648"/>
      <c r="CR136" s="648"/>
      <c r="CS136" s="648"/>
      <c r="CT136" s="648"/>
      <c r="CU136" s="648"/>
      <c r="CV136" s="648"/>
      <c r="CW136" s="648"/>
      <c r="CX136" s="648"/>
      <c r="CY136" s="648"/>
      <c r="CZ136" s="648"/>
      <c r="DA136" s="648"/>
      <c r="DB136" s="648"/>
      <c r="DC136" s="648"/>
      <c r="DD136" s="648"/>
      <c r="DE136" s="648"/>
      <c r="DF136" s="648"/>
      <c r="DG136" s="648"/>
      <c r="DH136" s="648"/>
      <c r="DI136" s="648"/>
      <c r="DJ136" s="648"/>
      <c r="DK136" s="648"/>
      <c r="DL136" s="648"/>
      <c r="DM136" s="648"/>
      <c r="DN136" s="648"/>
      <c r="DO136" s="648"/>
      <c r="DP136" s="648"/>
      <c r="DQ136" s="648"/>
      <c r="DR136" s="648"/>
      <c r="DS136" s="648"/>
      <c r="DT136" s="648"/>
      <c r="DU136" s="648"/>
      <c r="DV136" s="648"/>
      <c r="DW136" s="648"/>
      <c r="DX136" s="648"/>
      <c r="DY136" s="648"/>
      <c r="DZ136" s="648"/>
      <c r="EF136" s="610"/>
      <c r="EG136" s="51"/>
      <c r="EH136" s="51"/>
      <c r="EI136" s="51"/>
    </row>
    <row r="137" spans="1:143">
      <c r="A137" s="1"/>
      <c r="B137" t="str">
        <f t="shared" si="523"/>
        <v>Vehicle life extension</v>
      </c>
      <c r="C137" s="54" t="s">
        <v>114</v>
      </c>
      <c r="D137" s="648"/>
      <c r="E137" s="648"/>
      <c r="F137" s="648"/>
      <c r="G137" s="648"/>
      <c r="H137" s="648"/>
      <c r="I137" s="648"/>
      <c r="J137" s="648"/>
      <c r="K137" s="648"/>
      <c r="L137" s="648"/>
      <c r="M137" s="648"/>
      <c r="N137" s="648"/>
      <c r="O137" s="648"/>
      <c r="P137" s="648"/>
      <c r="Q137" s="648"/>
      <c r="R137" s="648"/>
      <c r="S137" s="648"/>
      <c r="T137" s="648"/>
      <c r="U137" s="648"/>
      <c r="V137" s="648"/>
      <c r="W137" s="648"/>
      <c r="X137" s="648"/>
      <c r="Y137" s="648"/>
      <c r="Z137" s="648"/>
      <c r="AA137" s="648"/>
      <c r="AB137" s="648"/>
      <c r="AC137" s="648"/>
      <c r="AD137" s="648"/>
      <c r="AE137" s="648"/>
      <c r="AF137" s="648"/>
      <c r="AG137" s="648"/>
      <c r="AH137" s="648"/>
      <c r="AI137" s="648"/>
      <c r="AJ137" s="648"/>
      <c r="AK137" s="648"/>
      <c r="AL137" s="648"/>
      <c r="AM137" s="648"/>
      <c r="AN137" s="648"/>
      <c r="AO137" s="648"/>
      <c r="AP137" s="648"/>
      <c r="AQ137" s="648"/>
      <c r="AR137" s="648"/>
      <c r="AS137" s="648"/>
      <c r="AT137" s="648"/>
      <c r="AU137" s="648"/>
      <c r="AV137" s="648"/>
      <c r="AW137" s="648"/>
      <c r="AX137" s="648"/>
      <c r="AY137" s="648"/>
      <c r="AZ137" s="648"/>
      <c r="BA137" s="648"/>
      <c r="BB137" s="648"/>
      <c r="BC137" s="648"/>
      <c r="BD137" s="648"/>
      <c r="BE137" s="648"/>
      <c r="BF137" s="648"/>
      <c r="BG137" s="648"/>
      <c r="BH137" s="648"/>
      <c r="BI137" s="648"/>
      <c r="BJ137" s="648"/>
      <c r="BK137" s="648"/>
      <c r="BL137" s="648"/>
      <c r="BM137" s="648"/>
      <c r="BN137" s="648"/>
      <c r="BO137" s="648"/>
      <c r="BP137" s="648"/>
      <c r="BQ137" s="648"/>
      <c r="BR137" s="648"/>
      <c r="BS137" s="648"/>
      <c r="BT137" s="648"/>
      <c r="BU137" s="648"/>
      <c r="BV137" s="648"/>
      <c r="BW137" s="648"/>
      <c r="BX137" s="648"/>
      <c r="BY137" s="648"/>
      <c r="BZ137" s="648"/>
      <c r="CA137" s="648"/>
      <c r="CB137" s="648"/>
      <c r="CC137" s="648"/>
      <c r="CD137" s="648"/>
      <c r="CE137" s="648"/>
      <c r="CF137" s="648"/>
      <c r="CG137" s="648"/>
      <c r="CH137" s="648"/>
      <c r="CI137" s="648"/>
      <c r="CJ137" s="648"/>
      <c r="CK137" s="648"/>
      <c r="CL137" s="648"/>
      <c r="CM137" s="648"/>
      <c r="CN137" s="648"/>
      <c r="CO137" s="648"/>
      <c r="CP137" s="648"/>
      <c r="CQ137" s="648"/>
      <c r="CR137" s="648"/>
      <c r="CS137" s="648"/>
      <c r="CT137" s="648"/>
      <c r="CU137" s="648"/>
      <c r="CV137" s="648"/>
      <c r="CW137" s="648"/>
      <c r="CX137" s="648"/>
      <c r="CY137" s="648"/>
      <c r="CZ137" s="648"/>
      <c r="DA137" s="648"/>
      <c r="DB137" s="648"/>
      <c r="DC137" s="648"/>
      <c r="DD137" s="648"/>
      <c r="DE137" s="648"/>
      <c r="DF137" s="648"/>
      <c r="DG137" s="648"/>
      <c r="DH137" s="648"/>
      <c r="DI137" s="648"/>
      <c r="DJ137" s="648"/>
      <c r="DK137" s="648"/>
      <c r="DL137" s="648"/>
      <c r="DM137" s="648"/>
      <c r="DN137" s="648"/>
      <c r="DO137" s="648"/>
      <c r="DP137" s="648"/>
      <c r="DQ137" s="648"/>
      <c r="DR137" s="648"/>
      <c r="DS137" s="648"/>
      <c r="DT137" s="648"/>
      <c r="DU137" s="648"/>
      <c r="DV137" s="648"/>
      <c r="DW137" s="648"/>
      <c r="DX137" s="648"/>
      <c r="DY137" s="648"/>
      <c r="DZ137" s="648"/>
      <c r="EF137" s="610"/>
      <c r="EG137" s="51"/>
      <c r="EH137" s="51"/>
      <c r="EI137" s="51"/>
      <c r="EJ137" s="51"/>
    </row>
    <row r="138" spans="1:143">
      <c r="A138" s="1"/>
      <c r="B138" t="str">
        <f t="shared" si="523"/>
        <v>Building reduction</v>
      </c>
      <c r="C138" s="54" t="s">
        <v>114</v>
      </c>
      <c r="D138" s="648"/>
      <c r="E138" s="648"/>
      <c r="F138" s="648"/>
      <c r="G138" s="648"/>
      <c r="H138" s="648"/>
      <c r="I138" s="648"/>
      <c r="J138" s="648"/>
      <c r="K138" s="648"/>
      <c r="L138" s="648"/>
      <c r="M138" s="648"/>
      <c r="N138" s="648"/>
      <c r="O138" s="648"/>
      <c r="P138" s="648"/>
      <c r="Q138" s="648"/>
      <c r="R138" s="648"/>
      <c r="S138" s="648"/>
      <c r="T138" s="648"/>
      <c r="U138" s="648"/>
      <c r="V138" s="648"/>
      <c r="W138" s="648"/>
      <c r="X138" s="648"/>
      <c r="Y138" s="648"/>
      <c r="Z138" s="648"/>
      <c r="AA138" s="648"/>
      <c r="AB138" s="648"/>
      <c r="AC138" s="648"/>
      <c r="AD138" s="648"/>
      <c r="AE138" s="648"/>
      <c r="AF138" s="648"/>
      <c r="AG138" s="648"/>
      <c r="AH138" s="648"/>
      <c r="AI138" s="648"/>
      <c r="AJ138" s="648"/>
      <c r="AK138" s="648"/>
      <c r="AL138" s="648"/>
      <c r="AM138" s="648"/>
      <c r="AN138" s="648"/>
      <c r="AO138" s="648"/>
      <c r="AP138" s="648"/>
      <c r="AQ138" s="648"/>
      <c r="AR138" s="648"/>
      <c r="AS138" s="648"/>
      <c r="AT138" s="648"/>
      <c r="AU138" s="648"/>
      <c r="AV138" s="648"/>
      <c r="AW138" s="648"/>
      <c r="AX138" s="648"/>
      <c r="AY138" s="648"/>
      <c r="AZ138" s="648"/>
      <c r="BA138" s="648"/>
      <c r="BB138" s="648"/>
      <c r="BC138" s="648"/>
      <c r="BD138" s="648"/>
      <c r="BE138" s="648"/>
      <c r="BF138" s="648"/>
      <c r="BG138" s="648"/>
      <c r="BH138" s="648"/>
      <c r="BI138" s="648"/>
      <c r="BJ138" s="648"/>
      <c r="BK138" s="648"/>
      <c r="BL138" s="648"/>
      <c r="BM138" s="648"/>
      <c r="BN138" s="648"/>
      <c r="BO138" s="648"/>
      <c r="BP138" s="648"/>
      <c r="BQ138" s="648"/>
      <c r="BR138" s="648"/>
      <c r="BS138" s="648"/>
      <c r="BT138" s="648"/>
      <c r="BU138" s="648"/>
      <c r="BV138" s="648"/>
      <c r="BW138" s="648"/>
      <c r="BX138" s="648"/>
      <c r="BY138" s="648"/>
      <c r="BZ138" s="648"/>
      <c r="CA138" s="648"/>
      <c r="CB138" s="648"/>
      <c r="CC138" s="648"/>
      <c r="CD138" s="648"/>
      <c r="CE138" s="648"/>
      <c r="CF138" s="648"/>
      <c r="CG138" s="648"/>
      <c r="CH138" s="648"/>
      <c r="CI138" s="648"/>
      <c r="CJ138" s="648"/>
      <c r="CK138" s="648"/>
      <c r="CL138" s="648"/>
      <c r="CM138" s="648"/>
      <c r="CN138" s="648"/>
      <c r="CO138" s="648"/>
      <c r="CP138" s="648"/>
      <c r="CQ138" s="648"/>
      <c r="CR138" s="648"/>
      <c r="CS138" s="648"/>
      <c r="CT138" s="648"/>
      <c r="CU138" s="648"/>
      <c r="CV138" s="648"/>
      <c r="CW138" s="648"/>
      <c r="CX138" s="648"/>
      <c r="CY138" s="648"/>
      <c r="CZ138" s="648"/>
      <c r="DA138" s="648"/>
      <c r="DB138" s="648"/>
      <c r="DC138" s="648"/>
      <c r="DD138" s="648"/>
      <c r="DE138" s="648"/>
      <c r="DF138" s="648"/>
      <c r="DG138" s="648"/>
      <c r="DH138" s="648"/>
      <c r="DI138" s="648"/>
      <c r="DJ138" s="648"/>
      <c r="DK138" s="648"/>
      <c r="DL138" s="648"/>
      <c r="DM138" s="648"/>
      <c r="DN138" s="648"/>
      <c r="DO138" s="648"/>
      <c r="DP138" s="648"/>
      <c r="DQ138" s="648"/>
      <c r="DR138" s="648"/>
      <c r="DS138" s="648"/>
      <c r="DT138" s="648"/>
      <c r="DU138" s="648"/>
      <c r="DV138" s="648"/>
      <c r="DW138" s="648"/>
      <c r="DX138" s="648"/>
      <c r="DY138" s="648"/>
      <c r="DZ138" s="648"/>
      <c r="EF138" s="51"/>
      <c r="EG138" s="51"/>
      <c r="EH138" s="51"/>
      <c r="EI138" s="51"/>
      <c r="EM138" t="s">
        <v>99</v>
      </c>
    </row>
    <row r="139" spans="1:143">
      <c r="A139" s="1"/>
      <c r="B139" t="str">
        <f t="shared" si="523"/>
        <v>Building substitution</v>
      </c>
      <c r="C139" s="54" t="s">
        <v>114</v>
      </c>
      <c r="D139" s="648"/>
      <c r="E139" s="648"/>
      <c r="F139" s="648"/>
      <c r="G139" s="648"/>
      <c r="H139" s="648"/>
      <c r="I139" s="648"/>
      <c r="J139" s="648"/>
      <c r="K139" s="648"/>
      <c r="L139" s="648"/>
      <c r="M139" s="648"/>
      <c r="N139" s="648"/>
      <c r="O139" s="648"/>
      <c r="P139" s="648"/>
      <c r="Q139" s="648"/>
      <c r="R139" s="648"/>
      <c r="S139" s="648"/>
      <c r="T139" s="648"/>
      <c r="U139" s="648"/>
      <c r="V139" s="648"/>
      <c r="W139" s="648"/>
      <c r="X139" s="648"/>
      <c r="Y139" s="648"/>
      <c r="Z139" s="648"/>
      <c r="AA139" s="648"/>
      <c r="AB139" s="648"/>
      <c r="AC139" s="648"/>
      <c r="AD139" s="648"/>
      <c r="AE139" s="648"/>
      <c r="AF139" s="648"/>
      <c r="AG139" s="648"/>
      <c r="AH139" s="648"/>
      <c r="AI139" s="648"/>
      <c r="AJ139" s="648"/>
      <c r="AK139" s="648"/>
      <c r="AL139" s="648"/>
      <c r="AM139" s="648"/>
      <c r="AN139" s="648"/>
      <c r="AO139" s="648"/>
      <c r="AP139" s="648"/>
      <c r="AQ139" s="648"/>
      <c r="AR139" s="648"/>
      <c r="AS139" s="648"/>
      <c r="AT139" s="648"/>
      <c r="AU139" s="648"/>
      <c r="AV139" s="648"/>
      <c r="AW139" s="648"/>
      <c r="AX139" s="648"/>
      <c r="AY139" s="648"/>
      <c r="AZ139" s="648"/>
      <c r="BA139" s="648"/>
      <c r="BB139" s="648"/>
      <c r="BC139" s="648"/>
      <c r="BD139" s="648"/>
      <c r="BE139" s="648"/>
      <c r="BF139" s="648"/>
      <c r="BG139" s="648"/>
      <c r="BH139" s="648"/>
      <c r="BI139" s="648"/>
      <c r="BJ139" s="648"/>
      <c r="BK139" s="648"/>
      <c r="BL139" s="648"/>
      <c r="BM139" s="648"/>
      <c r="BN139" s="648"/>
      <c r="BO139" s="648"/>
      <c r="BP139" s="648"/>
      <c r="BQ139" s="648"/>
      <c r="BR139" s="648"/>
      <c r="BS139" s="648"/>
      <c r="BT139" s="648"/>
      <c r="BU139" s="648"/>
      <c r="BV139" s="648"/>
      <c r="BW139" s="648"/>
      <c r="BX139" s="648"/>
      <c r="BY139" s="648"/>
      <c r="BZ139" s="648"/>
      <c r="CA139" s="648"/>
      <c r="CB139" s="648"/>
      <c r="CC139" s="648"/>
      <c r="CD139" s="648"/>
      <c r="CE139" s="648"/>
      <c r="CF139" s="648"/>
      <c r="CG139" s="648"/>
      <c r="CH139" s="648"/>
      <c r="CI139" s="648"/>
      <c r="CJ139" s="648"/>
      <c r="CK139" s="648"/>
      <c r="CL139" s="648"/>
      <c r="CM139" s="648"/>
      <c r="CN139" s="648"/>
      <c r="CO139" s="648"/>
      <c r="CP139" s="648"/>
      <c r="CQ139" s="648"/>
      <c r="CR139" s="648"/>
      <c r="CS139" s="648"/>
      <c r="CT139" s="648"/>
      <c r="CU139" s="648"/>
      <c r="CV139" s="648"/>
      <c r="CW139" s="648"/>
      <c r="CX139" s="648"/>
      <c r="CY139" s="648"/>
      <c r="CZ139" s="648"/>
      <c r="DA139" s="648"/>
      <c r="DB139" s="648"/>
      <c r="DC139" s="648"/>
      <c r="DD139" s="648"/>
      <c r="DE139" s="648"/>
      <c r="DF139" s="648"/>
      <c r="DG139" s="648"/>
      <c r="DH139" s="648"/>
      <c r="DI139" s="648"/>
      <c r="DJ139" s="648"/>
      <c r="DK139" s="648"/>
      <c r="DL139" s="648"/>
      <c r="DM139" s="648"/>
      <c r="DN139" s="648"/>
      <c r="DO139" s="648"/>
      <c r="DP139" s="648"/>
      <c r="DQ139" s="648"/>
      <c r="DR139" s="648"/>
      <c r="DS139" s="648"/>
      <c r="DT139" s="648"/>
      <c r="DU139" s="648"/>
      <c r="DV139" s="648"/>
      <c r="DW139" s="648"/>
      <c r="DX139" s="648"/>
      <c r="DY139" s="648"/>
      <c r="DZ139" s="648"/>
      <c r="EF139" s="610"/>
      <c r="EG139" s="51"/>
      <c r="EH139" s="51"/>
      <c r="EI139" s="51"/>
      <c r="EJ139" s="51"/>
      <c r="EM139" t="s">
        <v>99</v>
      </c>
    </row>
    <row r="140" spans="1:143">
      <c r="A140" s="1"/>
      <c r="B140" t="str">
        <f t="shared" si="523"/>
        <v>Apparel - waste reduction</v>
      </c>
      <c r="C140" s="54" t="s">
        <v>114</v>
      </c>
      <c r="D140" s="648"/>
      <c r="E140" s="648"/>
      <c r="F140" s="648"/>
      <c r="G140" s="648"/>
      <c r="H140" s="648"/>
      <c r="I140" s="648"/>
      <c r="J140" s="648"/>
      <c r="K140" s="648"/>
      <c r="L140" s="648"/>
      <c r="M140" s="648"/>
      <c r="N140" s="648"/>
      <c r="O140" s="648"/>
      <c r="P140" s="648"/>
      <c r="Q140" s="648"/>
      <c r="R140" s="648"/>
      <c r="S140" s="648"/>
      <c r="T140" s="648"/>
      <c r="U140" s="648"/>
      <c r="V140" s="648"/>
      <c r="W140" s="648"/>
      <c r="X140" s="648"/>
      <c r="Y140" s="648"/>
      <c r="Z140" s="648"/>
      <c r="AA140" s="648"/>
      <c r="AB140" s="648"/>
      <c r="AC140" s="648"/>
      <c r="AD140" s="648"/>
      <c r="AE140" s="648"/>
      <c r="AF140" s="648"/>
      <c r="AG140" s="648"/>
      <c r="AH140" s="648"/>
      <c r="AI140" s="648"/>
      <c r="AJ140" s="648"/>
      <c r="AK140" s="648"/>
      <c r="AL140" s="648"/>
      <c r="AM140" s="648"/>
      <c r="AN140" s="648"/>
      <c r="AO140" s="648"/>
      <c r="AP140" s="648"/>
      <c r="AQ140" s="648"/>
      <c r="AR140" s="648"/>
      <c r="AS140" s="648"/>
      <c r="AT140" s="648"/>
      <c r="AU140" s="648"/>
      <c r="AV140" s="648"/>
      <c r="AW140" s="648"/>
      <c r="AX140" s="648"/>
      <c r="AY140" s="648"/>
      <c r="AZ140" s="648"/>
      <c r="BA140" s="648"/>
      <c r="BB140" s="648"/>
      <c r="BC140" s="648"/>
      <c r="BD140" s="648"/>
      <c r="BE140" s="648"/>
      <c r="BF140" s="648"/>
      <c r="BG140" s="648"/>
      <c r="BH140" s="648"/>
      <c r="BI140" s="648"/>
      <c r="BJ140" s="648"/>
      <c r="BK140" s="648"/>
      <c r="BL140" s="648"/>
      <c r="BM140" s="648"/>
      <c r="BN140" s="648"/>
      <c r="BO140" s="648"/>
      <c r="BP140" s="648"/>
      <c r="BQ140" s="648"/>
      <c r="BR140" s="648"/>
      <c r="BS140" s="648"/>
      <c r="BT140" s="648"/>
      <c r="BU140" s="648"/>
      <c r="BV140" s="648"/>
      <c r="BW140" s="648"/>
      <c r="BX140" s="648"/>
      <c r="BY140" s="648"/>
      <c r="BZ140" s="648"/>
      <c r="CA140" s="648"/>
      <c r="CB140" s="648"/>
      <c r="CC140" s="648"/>
      <c r="CD140" s="648"/>
      <c r="CE140" s="648"/>
      <c r="CF140" s="648"/>
      <c r="CG140" s="648"/>
      <c r="CH140" s="648"/>
      <c r="CI140" s="648"/>
      <c r="CJ140" s="648"/>
      <c r="CK140" s="648"/>
      <c r="CL140" s="648"/>
      <c r="CM140" s="648"/>
      <c r="CN140" s="648"/>
      <c r="CO140" s="648"/>
      <c r="CP140" s="648"/>
      <c r="CQ140" s="648"/>
      <c r="CR140" s="648"/>
      <c r="CS140" s="648"/>
      <c r="CT140" s="648"/>
      <c r="CU140" s="648"/>
      <c r="CV140" s="648"/>
      <c r="CW140" s="648"/>
      <c r="CX140" s="648"/>
      <c r="CY140" s="648"/>
      <c r="CZ140" s="648"/>
      <c r="DA140" s="648"/>
      <c r="DB140" s="648"/>
      <c r="DC140" s="648"/>
      <c r="DD140" s="648"/>
      <c r="DE140" s="648"/>
      <c r="DF140" s="648"/>
      <c r="DG140" s="648"/>
      <c r="DH140" s="648"/>
      <c r="DI140" s="648"/>
      <c r="DJ140" s="648"/>
      <c r="DK140" s="648"/>
      <c r="DL140" s="648"/>
      <c r="DM140" s="648"/>
      <c r="DN140" s="648"/>
      <c r="DO140" s="648"/>
      <c r="DP140" s="648"/>
      <c r="DQ140" s="648"/>
      <c r="DR140" s="648"/>
      <c r="DS140" s="648"/>
      <c r="DT140" s="648"/>
      <c r="DU140" s="648"/>
      <c r="DV140" s="648"/>
      <c r="DW140" s="648"/>
      <c r="DX140" s="648"/>
      <c r="DY140" s="648"/>
      <c r="DZ140" s="648"/>
      <c r="EF140" s="51"/>
      <c r="EG140" s="51"/>
      <c r="EH140" s="51"/>
      <c r="EI140" s="51"/>
      <c r="EM140" t="s">
        <v>99</v>
      </c>
    </row>
    <row r="141" spans="1:143">
      <c r="A141" s="1"/>
      <c r="B141" t="str">
        <f t="shared" si="523"/>
        <v>Apparel - NBM</v>
      </c>
      <c r="C141" s="54" t="s">
        <v>114</v>
      </c>
      <c r="D141" s="648"/>
      <c r="E141" s="648"/>
      <c r="F141" s="648"/>
      <c r="G141" s="648"/>
      <c r="H141" s="648"/>
      <c r="I141" s="648"/>
      <c r="J141" s="648"/>
      <c r="K141" s="648"/>
      <c r="L141" s="648"/>
      <c r="M141" s="648"/>
      <c r="N141" s="648"/>
      <c r="O141" s="648"/>
      <c r="P141" s="648"/>
      <c r="Q141" s="648"/>
      <c r="R141" s="648"/>
      <c r="S141" s="648"/>
      <c r="T141" s="648"/>
      <c r="U141" s="648"/>
      <c r="V141" s="648"/>
      <c r="W141" s="648"/>
      <c r="X141" s="648"/>
      <c r="Y141" s="648"/>
      <c r="Z141" s="648"/>
      <c r="AA141" s="648"/>
      <c r="AB141" s="648"/>
      <c r="AC141" s="648"/>
      <c r="AD141" s="648"/>
      <c r="AE141" s="648"/>
      <c r="AF141" s="648"/>
      <c r="AG141" s="648"/>
      <c r="AH141" s="648"/>
      <c r="AI141" s="648"/>
      <c r="AJ141" s="648"/>
      <c r="AK141" s="648"/>
      <c r="AL141" s="648"/>
      <c r="AM141" s="648"/>
      <c r="AN141" s="648"/>
      <c r="AO141" s="648"/>
      <c r="AP141" s="648"/>
      <c r="AQ141" s="648"/>
      <c r="AR141" s="648"/>
      <c r="AS141" s="648"/>
      <c r="AT141" s="648"/>
      <c r="AU141" s="648"/>
      <c r="AV141" s="648"/>
      <c r="AW141" s="648"/>
      <c r="AX141" s="648"/>
      <c r="AY141" s="648"/>
      <c r="AZ141" s="648"/>
      <c r="BA141" s="648"/>
      <c r="BB141" s="648"/>
      <c r="BC141" s="648"/>
      <c r="BD141" s="648"/>
      <c r="BE141" s="648"/>
      <c r="BF141" s="648"/>
      <c r="BG141" s="648"/>
      <c r="BH141" s="648"/>
      <c r="BI141" s="648"/>
      <c r="BJ141" s="648"/>
      <c r="BK141" s="648"/>
      <c r="BL141" s="648"/>
      <c r="BM141" s="648"/>
      <c r="BN141" s="648"/>
      <c r="BO141" s="648"/>
      <c r="BP141" s="648"/>
      <c r="BQ141" s="648"/>
      <c r="BR141" s="648"/>
      <c r="BS141" s="648"/>
      <c r="BT141" s="648"/>
      <c r="BU141" s="648"/>
      <c r="BV141" s="648"/>
      <c r="BW141" s="648"/>
      <c r="BX141" s="648"/>
      <c r="BY141" s="648"/>
      <c r="BZ141" s="648"/>
      <c r="CA141" s="648"/>
      <c r="CB141" s="648"/>
      <c r="CC141" s="648"/>
      <c r="CD141" s="648"/>
      <c r="CE141" s="648"/>
      <c r="CF141" s="648"/>
      <c r="CG141" s="648"/>
      <c r="CH141" s="648"/>
      <c r="CI141" s="648"/>
      <c r="CJ141" s="648"/>
      <c r="CK141" s="648"/>
      <c r="CL141" s="648"/>
      <c r="CM141" s="648"/>
      <c r="CN141" s="648"/>
      <c r="CO141" s="648"/>
      <c r="CP141" s="648"/>
      <c r="CQ141" s="648"/>
      <c r="CR141" s="648"/>
      <c r="CS141" s="648"/>
      <c r="CT141" s="648"/>
      <c r="CU141" s="648"/>
      <c r="CV141" s="648"/>
      <c r="CW141" s="648"/>
      <c r="CX141" s="648"/>
      <c r="CY141" s="648"/>
      <c r="CZ141" s="648"/>
      <c r="DA141" s="648"/>
      <c r="DB141" s="648"/>
      <c r="DC141" s="648"/>
      <c r="DD141" s="648"/>
      <c r="DE141" s="648"/>
      <c r="DF141" s="648"/>
      <c r="DG141" s="648"/>
      <c r="DH141" s="648"/>
      <c r="DI141" s="648"/>
      <c r="DJ141" s="648"/>
      <c r="DK141" s="648"/>
      <c r="DL141" s="648"/>
      <c r="DM141" s="648"/>
      <c r="DN141" s="648"/>
      <c r="DO141" s="648"/>
      <c r="DP141" s="648"/>
      <c r="DQ141" s="648"/>
      <c r="DR141" s="648"/>
      <c r="DS141" s="648"/>
      <c r="DT141" s="648"/>
      <c r="DU141" s="648"/>
      <c r="DV141" s="648"/>
      <c r="DW141" s="648"/>
      <c r="DX141" s="648"/>
      <c r="DY141" s="648"/>
      <c r="DZ141" s="648"/>
      <c r="EF141" s="610"/>
      <c r="EG141" s="51"/>
      <c r="EH141" s="51"/>
      <c r="EI141" s="51"/>
      <c r="EM141" t="s">
        <v>99</v>
      </c>
    </row>
    <row r="142" spans="1:143">
      <c r="A142" s="1"/>
      <c r="B142" t="str">
        <f t="shared" si="523"/>
        <v>Apparel - substitution</v>
      </c>
      <c r="C142" s="54" t="s">
        <v>114</v>
      </c>
      <c r="D142" s="648"/>
      <c r="E142" s="648"/>
      <c r="F142" s="648"/>
      <c r="G142" s="648"/>
      <c r="H142" s="648"/>
      <c r="I142" s="648"/>
      <c r="J142" s="648"/>
      <c r="K142" s="648"/>
      <c r="L142" s="648"/>
      <c r="M142" s="648"/>
      <c r="N142" s="648"/>
      <c r="O142" s="648"/>
      <c r="P142" s="648"/>
      <c r="Q142" s="648"/>
      <c r="R142" s="648"/>
      <c r="S142" s="648"/>
      <c r="T142" s="648"/>
      <c r="U142" s="648"/>
      <c r="V142" s="648"/>
      <c r="W142" s="648"/>
      <c r="X142" s="648"/>
      <c r="Y142" s="648"/>
      <c r="Z142" s="648"/>
      <c r="AA142" s="648"/>
      <c r="AB142" s="648"/>
      <c r="AC142" s="648"/>
      <c r="AD142" s="648"/>
      <c r="AE142" s="648"/>
      <c r="AF142" s="648"/>
      <c r="AG142" s="648"/>
      <c r="AH142" s="648"/>
      <c r="AI142" s="648"/>
      <c r="AJ142" s="648"/>
      <c r="AK142" s="648"/>
      <c r="AL142" s="648"/>
      <c r="AM142" s="648"/>
      <c r="AN142" s="648"/>
      <c r="AO142" s="648"/>
      <c r="AP142" s="648"/>
      <c r="AQ142" s="648"/>
      <c r="AR142" s="648"/>
      <c r="AS142" s="648"/>
      <c r="AT142" s="648"/>
      <c r="AU142" s="648"/>
      <c r="AV142" s="648"/>
      <c r="AW142" s="648"/>
      <c r="AX142" s="648"/>
      <c r="AY142" s="648"/>
      <c r="AZ142" s="648"/>
      <c r="BA142" s="648"/>
      <c r="BB142" s="648"/>
      <c r="BC142" s="648"/>
      <c r="BD142" s="648"/>
      <c r="BE142" s="648"/>
      <c r="BF142" s="648"/>
      <c r="BG142" s="648"/>
      <c r="BH142" s="648"/>
      <c r="BI142" s="648"/>
      <c r="BJ142" s="648"/>
      <c r="BK142" s="648"/>
      <c r="BL142" s="648"/>
      <c r="BM142" s="648"/>
      <c r="BN142" s="648"/>
      <c r="BO142" s="648"/>
      <c r="BP142" s="648"/>
      <c r="BQ142" s="648"/>
      <c r="BR142" s="648"/>
      <c r="BS142" s="648"/>
      <c r="BT142" s="648"/>
      <c r="BU142" s="648"/>
      <c r="BV142" s="648"/>
      <c r="BW142" s="648"/>
      <c r="BX142" s="648"/>
      <c r="BY142" s="648"/>
      <c r="BZ142" s="648"/>
      <c r="CA142" s="648"/>
      <c r="CB142" s="648"/>
      <c r="CC142" s="648"/>
      <c r="CD142" s="648"/>
      <c r="CE142" s="648"/>
      <c r="CF142" s="648"/>
      <c r="CG142" s="648"/>
      <c r="CH142" s="648"/>
      <c r="CI142" s="648"/>
      <c r="CJ142" s="648"/>
      <c r="CK142" s="648"/>
      <c r="CL142" s="648"/>
      <c r="CM142" s="648"/>
      <c r="CN142" s="648"/>
      <c r="CO142" s="648"/>
      <c r="CP142" s="648"/>
      <c r="CQ142" s="648"/>
      <c r="CR142" s="648"/>
      <c r="CS142" s="648"/>
      <c r="CT142" s="648"/>
      <c r="CU142" s="648"/>
      <c r="CV142" s="648"/>
      <c r="CW142" s="648"/>
      <c r="CX142" s="648"/>
      <c r="CY142" s="648"/>
      <c r="CZ142" s="648"/>
      <c r="DA142" s="648"/>
      <c r="DB142" s="648"/>
      <c r="DC142" s="648"/>
      <c r="DD142" s="648"/>
      <c r="DE142" s="648"/>
      <c r="DF142" s="648"/>
      <c r="DG142" s="648"/>
      <c r="DH142" s="648"/>
      <c r="DI142" s="648"/>
      <c r="DJ142" s="648"/>
      <c r="DK142" s="648"/>
      <c r="DL142" s="648"/>
      <c r="DM142" s="648"/>
      <c r="DN142" s="648"/>
      <c r="DO142" s="648"/>
      <c r="DP142" s="648"/>
      <c r="DQ142" s="648"/>
      <c r="DR142" s="648"/>
      <c r="DS142" s="648"/>
      <c r="DT142" s="648"/>
      <c r="DU142" s="648"/>
      <c r="DV142" s="648"/>
      <c r="DW142" s="648"/>
      <c r="DX142" s="648"/>
      <c r="DY142" s="648"/>
      <c r="DZ142" s="648"/>
      <c r="EF142" s="610"/>
      <c r="EG142" s="51"/>
      <c r="EH142" s="51"/>
      <c r="EI142" s="51"/>
      <c r="EJ142" s="51"/>
      <c r="EM142" t="s">
        <v>99</v>
      </c>
    </row>
    <row r="143" spans="1:143">
      <c r="A143" s="1"/>
      <c r="B143" t="str">
        <f t="shared" si="523"/>
        <v>Others Reduction</v>
      </c>
      <c r="C143" s="54" t="s">
        <v>114</v>
      </c>
      <c r="D143" s="648"/>
      <c r="E143" s="648"/>
      <c r="F143" s="648"/>
      <c r="G143" s="648"/>
      <c r="H143" s="648"/>
      <c r="I143" s="648"/>
      <c r="J143" s="648"/>
      <c r="K143" s="648"/>
      <c r="L143" s="648"/>
      <c r="M143" s="648"/>
      <c r="N143" s="648"/>
      <c r="O143" s="648"/>
      <c r="P143" s="648"/>
      <c r="Q143" s="648"/>
      <c r="R143" s="648"/>
      <c r="S143" s="648"/>
      <c r="T143" s="648"/>
      <c r="U143" s="648"/>
      <c r="V143" s="648"/>
      <c r="W143" s="648"/>
      <c r="X143" s="648"/>
      <c r="Y143" s="648"/>
      <c r="Z143" s="648"/>
      <c r="AA143" s="648"/>
      <c r="AB143" s="648"/>
      <c r="AC143" s="648"/>
      <c r="AD143" s="648"/>
      <c r="AE143" s="648"/>
      <c r="AF143" s="648"/>
      <c r="AG143" s="648"/>
      <c r="AH143" s="648"/>
      <c r="AI143" s="648"/>
      <c r="AJ143" s="648"/>
      <c r="AK143" s="648"/>
      <c r="AL143" s="648"/>
      <c r="AM143" s="648"/>
      <c r="AN143" s="648"/>
      <c r="AO143" s="648"/>
      <c r="AP143" s="648"/>
      <c r="AQ143" s="648"/>
      <c r="AR143" s="648"/>
      <c r="AS143" s="648"/>
      <c r="AT143" s="648"/>
      <c r="AU143" s="648"/>
      <c r="AV143" s="648"/>
      <c r="AW143" s="648"/>
      <c r="AX143" s="648"/>
      <c r="AY143" s="648"/>
      <c r="AZ143" s="648"/>
      <c r="BA143" s="648"/>
      <c r="BB143" s="648"/>
      <c r="BC143" s="648"/>
      <c r="BD143" s="648"/>
      <c r="BE143" s="648"/>
      <c r="BF143" s="648"/>
      <c r="BG143" s="648"/>
      <c r="BH143" s="648"/>
      <c r="BI143" s="648"/>
      <c r="BJ143" s="648"/>
      <c r="BK143" s="648"/>
      <c r="BL143" s="648"/>
      <c r="BM143" s="648"/>
      <c r="BN143" s="648"/>
      <c r="BO143" s="648"/>
      <c r="BP143" s="648"/>
      <c r="BQ143" s="648"/>
      <c r="BR143" s="648"/>
      <c r="BS143" s="648"/>
      <c r="BT143" s="648"/>
      <c r="BU143" s="648"/>
      <c r="BV143" s="648"/>
      <c r="BW143" s="648"/>
      <c r="BX143" s="648"/>
      <c r="BY143" s="648"/>
      <c r="BZ143" s="648"/>
      <c r="CA143" s="648"/>
      <c r="CB143" s="648"/>
      <c r="CC143" s="648"/>
      <c r="CD143" s="648"/>
      <c r="CE143" s="648"/>
      <c r="CF143" s="648"/>
      <c r="CG143" s="648"/>
      <c r="CH143" s="648"/>
      <c r="CI143" s="648"/>
      <c r="CJ143" s="648"/>
      <c r="CK143" s="648"/>
      <c r="CL143" s="648"/>
      <c r="CM143" s="648"/>
      <c r="CN143" s="648"/>
      <c r="CO143" s="648"/>
      <c r="CP143" s="648"/>
      <c r="CQ143" s="648"/>
      <c r="CR143" s="648"/>
      <c r="CS143" s="648"/>
      <c r="CT143" s="648"/>
      <c r="CU143" s="648"/>
      <c r="CV143" s="648"/>
      <c r="CW143" s="648"/>
      <c r="CX143" s="648"/>
      <c r="CY143" s="648"/>
      <c r="CZ143" s="648"/>
      <c r="DA143" s="648"/>
      <c r="DB143" s="648"/>
      <c r="DC143" s="648"/>
      <c r="DD143" s="648"/>
      <c r="DE143" s="648"/>
      <c r="DF143" s="648"/>
      <c r="DG143" s="648"/>
      <c r="DH143" s="648"/>
      <c r="DI143" s="648"/>
      <c r="DJ143" s="648"/>
      <c r="DK143" s="648"/>
      <c r="DL143" s="648"/>
      <c r="DM143" s="648"/>
      <c r="DN143" s="648"/>
      <c r="DO143" s="648"/>
      <c r="DP143" s="648"/>
      <c r="DQ143" s="648"/>
      <c r="DR143" s="648"/>
      <c r="DS143" s="648"/>
      <c r="DT143" s="648"/>
      <c r="DU143" s="648"/>
      <c r="DV143" s="648"/>
      <c r="DW143" s="648"/>
      <c r="DX143" s="648"/>
      <c r="DY143" s="648"/>
      <c r="DZ143" s="648"/>
      <c r="EF143" s="51"/>
      <c r="EG143" s="51"/>
      <c r="EH143" s="51"/>
      <c r="EI143" s="51"/>
      <c r="EJ143" s="51"/>
      <c r="EM143" t="s">
        <v>99</v>
      </c>
    </row>
    <row r="144" spans="1:143">
      <c r="A144" s="1"/>
      <c r="B144" t="str">
        <f t="shared" si="523"/>
        <v>Others Substitution</v>
      </c>
      <c r="C144" s="54" t="s">
        <v>114</v>
      </c>
      <c r="D144" s="648"/>
      <c r="E144" s="648"/>
      <c r="F144" s="648"/>
      <c r="G144" s="648"/>
      <c r="H144" s="648"/>
      <c r="I144" s="648"/>
      <c r="J144" s="648"/>
      <c r="K144" s="648"/>
      <c r="L144" s="648"/>
      <c r="M144" s="648"/>
      <c r="N144" s="648"/>
      <c r="O144" s="648"/>
      <c r="P144" s="648"/>
      <c r="Q144" s="648"/>
      <c r="R144" s="648"/>
      <c r="S144" s="648"/>
      <c r="T144" s="648"/>
      <c r="U144" s="648"/>
      <c r="V144" s="648"/>
      <c r="W144" s="648"/>
      <c r="X144" s="648"/>
      <c r="Y144" s="648"/>
      <c r="Z144" s="648"/>
      <c r="AA144" s="648"/>
      <c r="AB144" s="648"/>
      <c r="AC144" s="648"/>
      <c r="AD144" s="648"/>
      <c r="AE144" s="648"/>
      <c r="AF144" s="648"/>
      <c r="AG144" s="648"/>
      <c r="AH144" s="648"/>
      <c r="AI144" s="648"/>
      <c r="AJ144" s="648"/>
      <c r="AK144" s="648"/>
      <c r="AL144" s="648"/>
      <c r="AM144" s="648"/>
      <c r="AN144" s="648"/>
      <c r="AO144" s="648"/>
      <c r="AP144" s="648"/>
      <c r="AQ144" s="648"/>
      <c r="AR144" s="648"/>
      <c r="AS144" s="648"/>
      <c r="AT144" s="648"/>
      <c r="AU144" s="648"/>
      <c r="AV144" s="648"/>
      <c r="AW144" s="648"/>
      <c r="AX144" s="648"/>
      <c r="AY144" s="648"/>
      <c r="AZ144" s="648"/>
      <c r="BA144" s="648"/>
      <c r="BB144" s="648"/>
      <c r="BC144" s="648"/>
      <c r="BD144" s="648"/>
      <c r="BE144" s="648"/>
      <c r="BF144" s="648"/>
      <c r="BG144" s="648"/>
      <c r="BH144" s="648"/>
      <c r="BI144" s="648"/>
      <c r="BJ144" s="648"/>
      <c r="BK144" s="648"/>
      <c r="BL144" s="648"/>
      <c r="BM144" s="648"/>
      <c r="BN144" s="648"/>
      <c r="BO144" s="648"/>
      <c r="BP144" s="648"/>
      <c r="BQ144" s="648"/>
      <c r="BR144" s="648"/>
      <c r="BS144" s="648"/>
      <c r="BT144" s="648"/>
      <c r="BU144" s="648"/>
      <c r="BV144" s="648"/>
      <c r="BW144" s="648"/>
      <c r="BX144" s="648"/>
      <c r="BY144" s="648"/>
      <c r="BZ144" s="648"/>
      <c r="CA144" s="648"/>
      <c r="CB144" s="648"/>
      <c r="CC144" s="648"/>
      <c r="CD144" s="648"/>
      <c r="CE144" s="648"/>
      <c r="CF144" s="648"/>
      <c r="CG144" s="648"/>
      <c r="CH144" s="648"/>
      <c r="CI144" s="648"/>
      <c r="CJ144" s="648"/>
      <c r="CK144" s="648"/>
      <c r="CL144" s="648"/>
      <c r="CM144" s="648"/>
      <c r="CN144" s="648"/>
      <c r="CO144" s="648"/>
      <c r="CP144" s="648"/>
      <c r="CQ144" s="648"/>
      <c r="CR144" s="648"/>
      <c r="CS144" s="648"/>
      <c r="CT144" s="648"/>
      <c r="CU144" s="648"/>
      <c r="CV144" s="648"/>
      <c r="CW144" s="648"/>
      <c r="CX144" s="648"/>
      <c r="CY144" s="648"/>
      <c r="CZ144" s="648"/>
      <c r="DA144" s="648"/>
      <c r="DB144" s="648"/>
      <c r="DC144" s="648"/>
      <c r="DD144" s="648"/>
      <c r="DE144" s="648"/>
      <c r="DF144" s="648"/>
      <c r="DG144" s="648"/>
      <c r="DH144" s="648"/>
      <c r="DI144" s="648"/>
      <c r="DJ144" s="648"/>
      <c r="DK144" s="648"/>
      <c r="DL144" s="648"/>
      <c r="DM144" s="648"/>
      <c r="DN144" s="648"/>
      <c r="DO144" s="648"/>
      <c r="DP144" s="648"/>
      <c r="DQ144" s="648"/>
      <c r="DR144" s="648"/>
      <c r="DS144" s="648"/>
      <c r="DT144" s="648"/>
      <c r="DU144" s="648"/>
      <c r="DV144" s="648"/>
      <c r="DW144" s="648"/>
      <c r="DX144" s="648"/>
      <c r="DY144" s="648"/>
      <c r="DZ144" s="648"/>
      <c r="EF144" s="610"/>
      <c r="EG144" s="51"/>
      <c r="EH144" s="51"/>
      <c r="EI144" s="51"/>
      <c r="EJ144" s="51"/>
      <c r="EM144" t="s">
        <v>99</v>
      </c>
    </row>
    <row r="145" spans="1:140">
      <c r="A145" s="1"/>
      <c r="B145" t="str">
        <f t="shared" si="523"/>
        <v>Mecahnical Recycling</v>
      </c>
      <c r="C145" s="54" t="s">
        <v>114</v>
      </c>
      <c r="D145" s="648">
        <f>MAX(D22-MAX($D22:D22),0)*$EF145</f>
        <v>0</v>
      </c>
      <c r="E145" s="648">
        <f>MAX(E22-MAX($D22:D22),0)*$EF145</f>
        <v>2638.5976430871228</v>
      </c>
      <c r="F145" s="648">
        <f>MAX(F22-MAX($D22:E22),0)*$EF145</f>
        <v>3208.8767493964924</v>
      </c>
      <c r="G145" s="648">
        <f>MAX(G22-MAX($D22:F22),0)*$EF145</f>
        <v>3264.4423234376845</v>
      </c>
      <c r="H145" s="648">
        <f>MAX(H22-MAX($D22:G22),0)*$EF145</f>
        <v>3301.2817598108377</v>
      </c>
      <c r="I145" s="648">
        <f>MAX(I22-MAX($D22:H22),0)*$EF145</f>
        <v>3318.1729366675463</v>
      </c>
      <c r="J145" s="648">
        <f>MAX(J22-MAX($D22:I22),0)*$EF145</f>
        <v>3431.8127216067801</v>
      </c>
      <c r="K145" s="648">
        <f>MAX(K22-MAX($D22:J22),0)*$EF145</f>
        <v>3545.6169169704249</v>
      </c>
      <c r="L145" s="648">
        <f>MAX(L22-MAX($D22:K22),0)*$EF145</f>
        <v>3659.393811998762</v>
      </c>
      <c r="M145" s="648">
        <f>MAX(M22-MAX($D22:L22),0)*$EF145</f>
        <v>3772.9450184443167</v>
      </c>
      <c r="N145" s="648">
        <f>MAX(N22-MAX($D22:M22),0)*$EF145</f>
        <v>3886.065775042659</v>
      </c>
      <c r="O145" s="648">
        <f>MAX(O22-MAX($D22:N22),0)*$EF145</f>
        <v>6470.8730648826422</v>
      </c>
      <c r="P145" s="648">
        <f>MAX(P22-MAX($D22:O22),0)*$EF145</f>
        <v>6558.3295528414383</v>
      </c>
      <c r="Q145" s="648">
        <f>MAX(Q22-MAX($D22:P22),0)*$EF145</f>
        <v>6621.4313054743243</v>
      </c>
      <c r="R145" s="648">
        <f>MAX(R22-MAX($D22:Q22),0)*$EF145</f>
        <v>6646.8058592087664</v>
      </c>
      <c r="S145" s="648">
        <f>MAX(S22-MAX($D22:R22),0)*$EF145</f>
        <v>6638.389989074627</v>
      </c>
      <c r="T145" s="648">
        <f>MAX(T22-MAX($D22:S22),0)*$EF145</f>
        <v>6791.7405004741495</v>
      </c>
      <c r="U145" s="648">
        <f>MAX(U22-MAX($D22:T22),0)*$EF145</f>
        <v>6946.4641333197387</v>
      </c>
      <c r="V145" s="648">
        <f>MAX(V22-MAX($D22:U22),0)*$EF145</f>
        <v>7102.5256100604265</v>
      </c>
      <c r="W145" s="648">
        <f>MAX(W22-MAX($D22:V22),0)*$EF145</f>
        <v>7259.8881362568482</v>
      </c>
      <c r="X145" s="648">
        <f>MAX(X22-MAX($D22:W22),0)*$EF145</f>
        <v>7418.5133913486397</v>
      </c>
      <c r="Y145" s="648">
        <f>MAX(Y22-MAX($D22:X22),0)*$EF145</f>
        <v>11398.315621705835</v>
      </c>
      <c r="Z145" s="648">
        <f>MAX(Z22-MAX($D22:Y22),0)*$EF145</f>
        <v>11659.961995258946</v>
      </c>
      <c r="AA145" s="648">
        <f>MAX(AA22-MAX($D22:Z22),0)*$EF145</f>
        <v>11949.310499964497</v>
      </c>
      <c r="AB145" s="648">
        <f>MAX(AB22-MAX($D22:AA22),0)*$EF145</f>
        <v>12220.216973853587</v>
      </c>
      <c r="AC145" s="648">
        <f>MAX(AC22-MAX($D22:AB22),0)*$EF145</f>
        <v>12493.569231692742</v>
      </c>
      <c r="AD145" s="648">
        <f>MAX(AD22-MAX($D22:AC22),0)*$EF145</f>
        <v>12771.302088296308</v>
      </c>
      <c r="AE145" s="648">
        <f>MAX(AE22-MAX($D22:AD22),0)*$EF145</f>
        <v>13051.740863428538</v>
      </c>
      <c r="AF145" s="648">
        <f>MAX(AF22-MAX($D22:AE22),0)*$EF145</f>
        <v>13334.842211425073</v>
      </c>
      <c r="AG145" s="648">
        <f>MAX(AG22-MAX($D22:AF22),0)*$EF145</f>
        <v>13620.560624020469</v>
      </c>
      <c r="AH145" s="648">
        <f>MAX(AH22-MAX($D22:AG22),0)*$EF145</f>
        <v>13908.848410839417</v>
      </c>
      <c r="AI145" s="648"/>
      <c r="AJ145" s="648">
        <f>MAX(AJ22-MAX($AJ22:AJ22),0)*$EF145</f>
        <v>0</v>
      </c>
      <c r="AK145" s="648">
        <f>MAX(AK22-MAX($AJ22:AJ22),0)*$EF145</f>
        <v>2638.5976430871228</v>
      </c>
      <c r="AL145" s="648">
        <f>MAX(AL22-MAX($AJ22:AK22),0)*$EF145</f>
        <v>3208.8767493964924</v>
      </c>
      <c r="AM145" s="648">
        <f>MAX(AM22-MAX($AJ22:AL22),0)*$EF145</f>
        <v>3264.4423234376845</v>
      </c>
      <c r="AN145" s="648">
        <f>MAX(AN22-MAX($AJ22:AM22),0)*$EF145</f>
        <v>3301.2817598108377</v>
      </c>
      <c r="AO145" s="648">
        <f>MAX(AO22-MAX($AJ22:AN22),0)*$EF145</f>
        <v>3318.1729366675463</v>
      </c>
      <c r="AP145" s="648">
        <f>MAX(AP22-MAX($AJ22:AO22),0)*$EF145</f>
        <v>3431.8127216067801</v>
      </c>
      <c r="AQ145" s="648">
        <f>MAX(AQ22-MAX($AJ22:AP22),0)*$EF145</f>
        <v>3545.6169169704249</v>
      </c>
      <c r="AR145" s="648">
        <f>MAX(AR22-MAX($AJ22:AQ22),0)*$EF145</f>
        <v>3659.393811998762</v>
      </c>
      <c r="AS145" s="648">
        <f>MAX(AS22-MAX($AJ22:AR22),0)*$EF145</f>
        <v>3772.9450184443167</v>
      </c>
      <c r="AT145" s="648">
        <f>MAX(AT22-MAX($AJ22:AS22),0)*$EF145</f>
        <v>3886.065775042659</v>
      </c>
      <c r="AU145" s="648">
        <f>MAX(AU22-MAX($AJ22:AT22),0)*$EF145</f>
        <v>6470.8730648826422</v>
      </c>
      <c r="AV145" s="648">
        <f>MAX(AV22-MAX($AJ22:AU22),0)*$EF145</f>
        <v>6558.3295528414383</v>
      </c>
      <c r="AW145" s="648">
        <f>MAX(AW22-MAX($AJ22:AV22),0)*$EF145</f>
        <v>6621.4313054743243</v>
      </c>
      <c r="AX145" s="648">
        <f>MAX(AX22-MAX($AJ22:AW22),0)*$EF145</f>
        <v>6646.8058592087664</v>
      </c>
      <c r="AY145" s="648">
        <f>MAX(AY22-MAX($AJ22:AX22),0)*$EF145</f>
        <v>6638.389989074627</v>
      </c>
      <c r="AZ145" s="648">
        <f>MAX(AZ22-MAX($AJ22:AY22),0)*$EF145</f>
        <v>6791.7405004741495</v>
      </c>
      <c r="BA145" s="648">
        <f>MAX(BA22-MAX($AJ22:AZ22),0)*$EF145</f>
        <v>6946.4641333197387</v>
      </c>
      <c r="BB145" s="648">
        <f>MAX(BB22-MAX($AJ22:BA22),0)*$EF145</f>
        <v>7102.5256100604265</v>
      </c>
      <c r="BC145" s="648">
        <f>MAX(BC22-MAX($AJ22:BB22),0)*$EF145</f>
        <v>7259.8881362568482</v>
      </c>
      <c r="BD145" s="648">
        <f>MAX(BD22-MAX($AJ22:BC22),0)*$EF145</f>
        <v>7418.5133913486397</v>
      </c>
      <c r="BE145" s="648">
        <f>MAX(BE22-MAX($AJ22:BD22),0)*$EF145</f>
        <v>11398.315621705835</v>
      </c>
      <c r="BF145" s="648">
        <f>MAX(BF22-MAX($AJ22:BE22),0)*$EF145</f>
        <v>11659.961995258946</v>
      </c>
      <c r="BG145" s="648">
        <f>MAX(BG22-MAX($AJ22:BF22),0)*$EF145</f>
        <v>11949.310499964497</v>
      </c>
      <c r="BH145" s="648">
        <f>MAX(BH22-MAX($AJ22:BG22),0)*$EF145</f>
        <v>12220.216973853587</v>
      </c>
      <c r="BI145" s="648">
        <f>MAX(BI22-MAX($AJ22:BH22),0)*$EF145</f>
        <v>12493.569231692742</v>
      </c>
      <c r="BJ145" s="648">
        <f>MAX(BJ22-MAX($AJ22:BI22),0)*$EF145</f>
        <v>12771.302088296308</v>
      </c>
      <c r="BK145" s="648">
        <f>MAX(BK22-MAX($AJ22:BJ22),0)*$EF145</f>
        <v>13051.740863428538</v>
      </c>
      <c r="BL145" s="648">
        <f>MAX(BL22-MAX($AJ22:BK22),0)*$EF145</f>
        <v>13334.842211425073</v>
      </c>
      <c r="BM145" s="648">
        <f>MAX(BM22-MAX($AJ22:BL22),0)*$EF145</f>
        <v>13620.560624020469</v>
      </c>
      <c r="BN145" s="648">
        <f>MAX(BN22-MAX($AJ22:BM22),0)*$EF145</f>
        <v>13908.848410839417</v>
      </c>
      <c r="BO145" s="648"/>
      <c r="BP145" s="648">
        <f>MAX(BP22-MAX($BP22:BP22),0)*$EF145</f>
        <v>0</v>
      </c>
      <c r="BQ145" s="648">
        <f>MAX(BQ22-MAX($BP22:BP22),0)*$EF145</f>
        <v>593.22291005354259</v>
      </c>
      <c r="BR145" s="648">
        <f>MAX(BR22-MAX($BP22:BQ22),0)*$EF145</f>
        <v>603.12973265144194</v>
      </c>
      <c r="BS145" s="648">
        <f>MAX(BS22-MAX($BP22:BR22),0)*$EF145</f>
        <v>613.20199918672552</v>
      </c>
      <c r="BT145" s="648">
        <f>MAX(BT22-MAX($BP22:BS22),0)*$EF145</f>
        <v>623.44247257314328</v>
      </c>
      <c r="BU145" s="648">
        <f>MAX(BU22-MAX($BP22:BT22),0)*$EF145</f>
        <v>633.85396186510377</v>
      </c>
      <c r="BV145" s="648">
        <f>MAX(BV22-MAX($BP22:BU22),0)*$EF145</f>
        <v>644.43932302826977</v>
      </c>
      <c r="BW145" s="648">
        <f>MAX(BW22-MAX($BP22:BV22),0)*$EF145</f>
        <v>655.20145972282273</v>
      </c>
      <c r="BX145" s="648">
        <f>MAX(BX22-MAX($BP22:BW22),0)*$EF145</f>
        <v>666.1433241002054</v>
      </c>
      <c r="BY145" s="648">
        <f>MAX(BY22-MAX($BP22:BX22),0)*$EF145</f>
        <v>677.26791761267509</v>
      </c>
      <c r="BZ145" s="648">
        <f>MAX(BZ22-MAX($BP22:BY22),0)*$EF145</f>
        <v>688.57829183680985</v>
      </c>
      <c r="CA145" s="648">
        <f>MAX(CA22-MAX($BP22:BZ22),0)*$EF145</f>
        <v>700.07754931049442</v>
      </c>
      <c r="CB145" s="648">
        <f>MAX(CB22-MAX($BP22:CA22),0)*$EF145</f>
        <v>711.76884438396121</v>
      </c>
      <c r="CC145" s="648">
        <f>MAX(CC22-MAX($BP22:CB22),0)*$EF145</f>
        <v>723.65538408517489</v>
      </c>
      <c r="CD145" s="648">
        <f>MAX(CD22-MAX($BP22:CC22),0)*$EF145</f>
        <v>735.74042899941378</v>
      </c>
      <c r="CE145" s="648">
        <f>MAX(CE22-MAX($BP22:CD22),0)*$EF145</f>
        <v>748.02729416368766</v>
      </c>
      <c r="CF145" s="648">
        <f>MAX(CF22-MAX($BP22:CE22),0)*$EF145</f>
        <v>760.51934997623323</v>
      </c>
      <c r="CG145" s="648">
        <f>MAX(CG22-MAX($BP22:CF22),0)*$EF145</f>
        <v>773.22002312082157</v>
      </c>
      <c r="CH145" s="648">
        <f>MAX(CH22-MAX($BP22:CG22),0)*$EF145</f>
        <v>786.13279750694244</v>
      </c>
      <c r="CI145" s="648">
        <f>MAX(CI22-MAX($BP22:CH22),0)*$EF145</f>
        <v>799.26121522531753</v>
      </c>
      <c r="CJ145" s="648">
        <f>MAX(CJ22-MAX($BP22:CI22),0)*$EF145</f>
        <v>812.60887751957227</v>
      </c>
      <c r="CK145" s="648">
        <f>MAX(CK22-MAX($BP22:CJ22),0)*$EF145</f>
        <v>826.17944577415358</v>
      </c>
      <c r="CL145" s="648">
        <f>MAX(CL22-MAX($BP22:CK22),0)*$EF145</f>
        <v>839.97664251857248</v>
      </c>
      <c r="CM145" s="648">
        <f>MAX(CM22-MAX($BP22:CL22),0)*$EF145</f>
        <v>854.00425244864084</v>
      </c>
      <c r="CN145" s="648">
        <f>MAX(CN22-MAX($BP22:CM22),0)*$EF145</f>
        <v>868.26612346453464</v>
      </c>
      <c r="CO145" s="648">
        <f>MAX(CO22-MAX($BP22:CN22),0)*$EF145</f>
        <v>882.76616772639056</v>
      </c>
      <c r="CP145" s="648">
        <f>MAX(CP22-MAX($BP22:CO22),0)*$EF145</f>
        <v>897.5083627274297</v>
      </c>
      <c r="CQ145" s="648">
        <f>MAX(CQ22-MAX($BP22:CP22),0)*$EF145</f>
        <v>912.49675238496366</v>
      </c>
      <c r="CR145" s="648">
        <f>MAX(CR22-MAX($BP22:CQ22),0)*$EF145</f>
        <v>927.73544814979346</v>
      </c>
      <c r="CS145" s="648">
        <f>MAX(CS22-MAX($BP22:CR22),0)*$EF145</f>
        <v>943.22863013390031</v>
      </c>
      <c r="CT145" s="648">
        <f>MAX(CT22-MAX($BP22:CS22),0)*$EF145</f>
        <v>958.98054825714303</v>
      </c>
      <c r="CU145" s="648"/>
      <c r="CV145" s="648">
        <f>MAX(CV22-MAX($CV22:CV22),0)*$EF145</f>
        <v>0</v>
      </c>
      <c r="CW145" s="648">
        <f>MAX(CW22-MAX($CV22:CV22),0)*$EF145</f>
        <v>2638.5976430871228</v>
      </c>
      <c r="CX145" s="648">
        <f>MAX(CX22-MAX($CV22:CW22),0)*$EF145</f>
        <v>3208.8767493964924</v>
      </c>
      <c r="CY145" s="648">
        <f>MAX(CY22-MAX($CV22:CX22),0)*$EF145</f>
        <v>3264.4423234376845</v>
      </c>
      <c r="CZ145" s="648">
        <f>MAX(CZ22-MAX($CV22:CY22),0)*$EF145</f>
        <v>3301.2817598108377</v>
      </c>
      <c r="DA145" s="648">
        <f>MAX(DA22-MAX($CV22:CZ22),0)*$EF145</f>
        <v>3318.1729366675463</v>
      </c>
      <c r="DB145" s="648">
        <f>MAX(DB22-MAX($CV22:DA22),0)*$EF145</f>
        <v>3431.8127216067801</v>
      </c>
      <c r="DC145" s="648">
        <f>MAX(DC22-MAX($CV22:DB22),0)*$EF145</f>
        <v>3545.6169169704249</v>
      </c>
      <c r="DD145" s="648">
        <f>MAX(DD22-MAX($CV22:DC22),0)*$EF145</f>
        <v>3659.393811998762</v>
      </c>
      <c r="DE145" s="648">
        <f>MAX(DE22-MAX($CV22:DD22),0)*$EF145</f>
        <v>3772.9450184443167</v>
      </c>
      <c r="DF145" s="648">
        <f>MAX(DF22-MAX($CV22:DE22),0)*$EF145</f>
        <v>3886.065775042659</v>
      </c>
      <c r="DG145" s="648">
        <f>MAX(DG22-MAX($CV22:DF22),0)*$EF145</f>
        <v>6470.8730648826422</v>
      </c>
      <c r="DH145" s="648">
        <f>MAX(DH22-MAX($CV22:DG22),0)*$EF145</f>
        <v>6558.3295528414383</v>
      </c>
      <c r="DI145" s="648">
        <f>MAX(DI22-MAX($CV22:DH22),0)*$EF145</f>
        <v>6621.4313054743243</v>
      </c>
      <c r="DJ145" s="648">
        <f>MAX(DJ22-MAX($CV22:DI22),0)*$EF145</f>
        <v>6646.8058592087664</v>
      </c>
      <c r="DK145" s="648">
        <f>MAX(DK22-MAX($CV22:DJ22),0)*$EF145</f>
        <v>6638.389989074627</v>
      </c>
      <c r="DL145" s="648">
        <f>MAX(DL22-MAX($CV22:DK22),0)*$EF145</f>
        <v>6791.7405004741495</v>
      </c>
      <c r="DM145" s="648">
        <f>MAX(DM22-MAX($CV22:DL22),0)*$EF145</f>
        <v>6946.4641333197387</v>
      </c>
      <c r="DN145" s="648">
        <f>MAX(DN22-MAX($CV22:DM22),0)*$EF145</f>
        <v>7102.5256100604265</v>
      </c>
      <c r="DO145" s="648">
        <f>MAX(DO22-MAX($CV22:DN22),0)*$EF145</f>
        <v>7259.8881362568482</v>
      </c>
      <c r="DP145" s="648">
        <f>MAX(DP22-MAX($CV22:DO22),0)*$EF145</f>
        <v>7418.5133913486397</v>
      </c>
      <c r="DQ145" s="648">
        <f>MAX(DQ22-MAX($CV22:DP22),0)*$EF145</f>
        <v>11398.315621705835</v>
      </c>
      <c r="DR145" s="648">
        <f>MAX(DR22-MAX($CV22:DQ22),0)*$EF145</f>
        <v>11659.961995258946</v>
      </c>
      <c r="DS145" s="648">
        <f>MAX(DS22-MAX($CV22:DR22),0)*$EF145</f>
        <v>11949.310499964497</v>
      </c>
      <c r="DT145" s="648">
        <f>MAX(DT22-MAX($CV22:DS22),0)*$EF145</f>
        <v>12220.216973853587</v>
      </c>
      <c r="DU145" s="648">
        <f>MAX(DU22-MAX($CV22:DT22),0)*$EF145</f>
        <v>12493.569231692742</v>
      </c>
      <c r="DV145" s="648">
        <f>MAX(DV22-MAX($CV22:DU22),0)*$EF145</f>
        <v>12771.302088296308</v>
      </c>
      <c r="DW145" s="648">
        <f>MAX(DW22-MAX($CV22:DV22),0)*$EF145</f>
        <v>13051.740863428538</v>
      </c>
      <c r="DX145" s="648">
        <f>MAX(DX22-MAX($CV22:DW22),0)*$EF145</f>
        <v>13334.842211425073</v>
      </c>
      <c r="DY145" s="648">
        <f>MAX(DY22-MAX($CV22:DX22),0)*$EF145</f>
        <v>13620.560624020469</v>
      </c>
      <c r="DZ145" s="648">
        <f>MAX(DZ22-MAX($CV22:DY22),0)*$EF145</f>
        <v>13908.848410839417</v>
      </c>
      <c r="EF145" s="84">
        <v>1171.7546930917094</v>
      </c>
      <c r="EG145" s="51"/>
      <c r="EH145" s="51"/>
      <c r="EI145" s="51"/>
      <c r="EJ145" s="51"/>
    </row>
    <row r="146" spans="1:140">
      <c r="A146" s="1"/>
      <c r="B146" t="str">
        <f t="shared" si="523"/>
        <v>Chemical Recycling</v>
      </c>
      <c r="C146" s="54" t="s">
        <v>114</v>
      </c>
      <c r="D146" s="648">
        <f>MAX(D23-MAX($D23:D23),0)*$EF146</f>
        <v>0</v>
      </c>
      <c r="E146" s="648">
        <f>MAX(E23-MAX($D23:D23),0)*$EF146</f>
        <v>0.52748423285617463</v>
      </c>
      <c r="F146" s="648">
        <f>MAX(F23-MAX($D23:E23),0)*$EF146</f>
        <v>1.0774878656028894</v>
      </c>
      <c r="G146" s="648">
        <f>MAX(G23-MAX($D23:F23),0)*$EF146</f>
        <v>2.2493205575590447</v>
      </c>
      <c r="H146" s="648">
        <f>MAX(H23-MAX($D23:G23),0)*$EF146</f>
        <v>4.6558312980686818</v>
      </c>
      <c r="I146" s="648">
        <f>MAX(I23-MAX($D23:H23),0)*$EF146</f>
        <v>9.5392027917240867</v>
      </c>
      <c r="J146" s="648">
        <f>MAX(J23-MAX($D23:I23),0)*$EF146</f>
        <v>19.381729700009181</v>
      </c>
      <c r="K146" s="648">
        <f>MAX(K23-MAX($D23:J23),0)*$EF146</f>
        <v>38.847184721878186</v>
      </c>
      <c r="L146" s="648">
        <f>MAX(L23-MAX($D23:K23),0)*$EF146</f>
        <v>76.472590955057342</v>
      </c>
      <c r="M146" s="648">
        <f>MAX(M23-MAX($D23:L23),0)*$EF146</f>
        <v>147.00085231161637</v>
      </c>
      <c r="N146" s="648">
        <f>MAX(N23-MAX($D23:M23),0)*$EF146</f>
        <v>265.43890730882566</v>
      </c>
      <c r="O146" s="648">
        <f>MAX(O23-MAX($D23:N23),0)*$EF146</f>
        <v>455.98084426355138</v>
      </c>
      <c r="P146" s="648">
        <f>MAX(P23-MAX($D23:O23),0)*$EF146</f>
        <v>725.40879091248178</v>
      </c>
      <c r="Q146" s="648">
        <f>MAX(Q23-MAX($D23:P23),0)*$EF146</f>
        <v>1102.2545633008733</v>
      </c>
      <c r="R146" s="648">
        <f>MAX(R23-MAX($D23:Q23),0)*$EF146</f>
        <v>1552.0400471486053</v>
      </c>
      <c r="S146" s="648">
        <f>MAX(S23-MAX($D23:R23),0)*$EF146</f>
        <v>2151.8760964389298</v>
      </c>
      <c r="T146" s="648">
        <f>MAX(T23-MAX($D23:S23),0)*$EF146</f>
        <v>2707.9412248293897</v>
      </c>
      <c r="U146" s="648">
        <f>MAX(U23-MAX($D23:T23),0)*$EF146</f>
        <v>3085.5929336867466</v>
      </c>
      <c r="V146" s="648">
        <f>MAX(V23-MAX($D23:U23),0)*$EF146</f>
        <v>3257.5458245057512</v>
      </c>
      <c r="W146" s="648">
        <f>MAX(W23-MAX($D23:V23),0)*$EF146</f>
        <v>3222.6137470541421</v>
      </c>
      <c r="X146" s="648">
        <f>MAX(X23-MAX($D23:W23),0)*$EF146</f>
        <v>2508.8210862415826</v>
      </c>
      <c r="Y146" s="648">
        <f>MAX(Y23-MAX($D23:X23),0)*$EF146</f>
        <v>2987.1016764898468</v>
      </c>
      <c r="Z146" s="648">
        <f>MAX(Z23-MAX($D23:Y23),0)*$EF146</f>
        <v>2699.1926328419568</v>
      </c>
      <c r="AA146" s="648">
        <f>MAX(AA23-MAX($D23:Z23),0)*$EF146</f>
        <v>2541.2976835843465</v>
      </c>
      <c r="AB146" s="648">
        <f>MAX(AB23-MAX($D23:AA23),0)*$EF146</f>
        <v>2418.4558587962974</v>
      </c>
      <c r="AC146" s="648">
        <f>MAX(AC23-MAX($D23:AB23),0)*$EF146</f>
        <v>2435.8501388950672</v>
      </c>
      <c r="AD146" s="648">
        <f>MAX(AD23-MAX($D23:AC23),0)*$EF146</f>
        <v>2642.3249061139923</v>
      </c>
      <c r="AE146" s="648">
        <f>MAX(AE23-MAX($D23:AD23),0)*$EF146</f>
        <v>3071.5616208475267</v>
      </c>
      <c r="AF146" s="648">
        <f>MAX(AF23-MAX($D23:AE23),0)*$EF146</f>
        <v>3715.5499854575946</v>
      </c>
      <c r="AG146" s="648">
        <f>MAX(AG23-MAX($D23:AF23),0)*$EF146</f>
        <v>4831.6656052288654</v>
      </c>
      <c r="AH146" s="648">
        <f>MAX(AH23-MAX($D23:AG23),0)*$EF146</f>
        <v>4894.1700469563084</v>
      </c>
      <c r="AI146" s="648"/>
      <c r="AJ146" s="648">
        <f>MAX(AJ23-MAX($AJ23:AJ23),0)*$EF146</f>
        <v>0</v>
      </c>
      <c r="AK146" s="648">
        <f>MAX(AK23-MAX($AJ23:AJ23),0)*$EF146</f>
        <v>0.29424814709369301</v>
      </c>
      <c r="AL146" s="648">
        <f>MAX(AL23-MAX($AJ23:AK23),0)*$EF146</f>
        <v>0.59820110571884644</v>
      </c>
      <c r="AM146" s="648">
        <f>MAX(AM23-MAX($AJ23:AL23),0)*$EF146</f>
        <v>1.2486257348060223</v>
      </c>
      <c r="AN146" s="648">
        <f>MAX(AN23-MAX($AJ23:AM23),0)*$EF146</f>
        <v>2.5843237221361224</v>
      </c>
      <c r="AO146" s="648">
        <f>MAX(AO23-MAX($AJ23:AN23),0)*$EF146</f>
        <v>5.294823335780892</v>
      </c>
      <c r="AP146" s="648">
        <f>MAX(AP23-MAX($AJ23:AO23),0)*$EF146</f>
        <v>10.758239051075099</v>
      </c>
      <c r="AQ146" s="648">
        <f>MAX(AQ23-MAX($AJ23:AP23),0)*$EF146</f>
        <v>21.564311780068874</v>
      </c>
      <c r="AR146" s="648">
        <f>MAX(AR23-MAX($AJ23:AQ23),0)*$EF146</f>
        <v>42.454760792072982</v>
      </c>
      <c r="AS146" s="648">
        <f>MAX(AS23-MAX($AJ23:AR23),0)*$EF146</f>
        <v>81.620909073915129</v>
      </c>
      <c r="AT146" s="648">
        <f>MAX(AT23-MAX($AJ23:AS23),0)*$EF146</f>
        <v>142.53989756579162</v>
      </c>
      <c r="AU146" s="648">
        <f>MAX(AU23-MAX($AJ23:AT23),0)*$EF146</f>
        <v>257.71706113288201</v>
      </c>
      <c r="AV146" s="648">
        <f>MAX(AV23-MAX($AJ23:AU23),0)*$EF146</f>
        <v>402.01096101711687</v>
      </c>
      <c r="AW146" s="648">
        <f>MAX(AW23-MAX($AJ23:AV23),0)*$EF146</f>
        <v>610.40105898194008</v>
      </c>
      <c r="AX146" s="648">
        <f>MAX(AX23-MAX($AJ23:AW23),0)*$EF146</f>
        <v>858.95089416123722</v>
      </c>
      <c r="AY146" s="648">
        <f>MAX(AY23-MAX($AJ23:AX23),0)*$EF146</f>
        <v>1193.2585530603462</v>
      </c>
      <c r="AZ146" s="648">
        <f>MAX(AZ23-MAX($AJ23:AY23),0)*$EF146</f>
        <v>1503.5228648321856</v>
      </c>
      <c r="BA146" s="648">
        <f>MAX(BA23-MAX($AJ23:AZ23),0)*$EF146</f>
        <v>1714.7727109679736</v>
      </c>
      <c r="BB146" s="648">
        <f>MAX(BB23-MAX($AJ23:BA23),0)*$EF146</f>
        <v>1812.2630620799778</v>
      </c>
      <c r="BC146" s="648">
        <f>MAX(BC23-MAX($AJ23:BB23),0)*$EF146</f>
        <v>1795.1036316596324</v>
      </c>
      <c r="BD146" s="648">
        <f>MAX(BD23-MAX($AJ23:BC23),0)*$EF146</f>
        <v>1168.714345949566</v>
      </c>
      <c r="BE146" s="648">
        <f>MAX(BE23-MAX($AJ23:BD23),0)*$EF146</f>
        <v>1907.5469120772937</v>
      </c>
      <c r="BF146" s="648">
        <f>MAX(BF23-MAX($AJ23:BE23),0)*$EF146</f>
        <v>1529.4834446372404</v>
      </c>
      <c r="BG146" s="648">
        <f>MAX(BG23-MAX($AJ23:BF23),0)*$EF146</f>
        <v>1447.7756433507184</v>
      </c>
      <c r="BH146" s="648">
        <f>MAX(BH23-MAX($AJ23:BG23),0)*$EF146</f>
        <v>1384.6854015297617</v>
      </c>
      <c r="BI146" s="648">
        <f>MAX(BI23-MAX($AJ23:BH23),0)*$EF146</f>
        <v>1400.1840071697964</v>
      </c>
      <c r="BJ146" s="648">
        <f>MAX(BJ23-MAX($AJ23:BI23),0)*$EF146</f>
        <v>1522.3932212064924</v>
      </c>
      <c r="BK146" s="648">
        <f>MAX(BK23-MAX($AJ23:BJ23),0)*$EF146</f>
        <v>1803.0184105708036</v>
      </c>
      <c r="BL146" s="648">
        <f>MAX(BL23-MAX($AJ23:BK23),0)*$EF146</f>
        <v>2194.8359002064794</v>
      </c>
      <c r="BM146" s="648">
        <f>MAX(BM23-MAX($AJ23:BL23),0)*$EF146</f>
        <v>2862.6863626974173</v>
      </c>
      <c r="BN146" s="648">
        <f>MAX(BN23-MAX($AJ23:BM23),0)*$EF146</f>
        <v>2186.2121713926349</v>
      </c>
      <c r="BO146" s="648"/>
      <c r="BP146" s="648">
        <f>MAX(BP23-MAX($BP23:BP23),0)*$EF146</f>
        <v>0</v>
      </c>
      <c r="BQ146" s="648">
        <f>MAX(BQ23-MAX($BP23:BP23),0)*$EF146</f>
        <v>0</v>
      </c>
      <c r="BR146" s="648">
        <f>MAX(BR23-MAX($BP23:BQ23),0)*$EF146</f>
        <v>0</v>
      </c>
      <c r="BS146" s="648">
        <f>MAX(BS23-MAX($BP23:BR23),0)*$EF146</f>
        <v>0</v>
      </c>
      <c r="BT146" s="648">
        <f>MAX(BT23-MAX($BP23:BS23),0)*$EF146</f>
        <v>0</v>
      </c>
      <c r="BU146" s="648">
        <f>MAX(BU23-MAX($BP23:BT23),0)*$EF146</f>
        <v>0</v>
      </c>
      <c r="BV146" s="648">
        <f>MAX(BV23-MAX($BP23:BU23),0)*$EF146</f>
        <v>0</v>
      </c>
      <c r="BW146" s="648">
        <f>MAX(BW23-MAX($BP23:BV23),0)*$EF146</f>
        <v>0</v>
      </c>
      <c r="BX146" s="648">
        <f>MAX(BX23-MAX($BP23:BW23),0)*$EF146</f>
        <v>0</v>
      </c>
      <c r="BY146" s="648">
        <f>MAX(BY23-MAX($BP23:BX23),0)*$EF146</f>
        <v>0</v>
      </c>
      <c r="BZ146" s="648">
        <f>MAX(BZ23-MAX($BP23:BY23),0)*$EF146</f>
        <v>0</v>
      </c>
      <c r="CA146" s="648">
        <f>MAX(CA23-MAX($BP23:BZ23),0)*$EF146</f>
        <v>0</v>
      </c>
      <c r="CB146" s="648">
        <f>MAX(CB23-MAX($BP23:CA23),0)*$EF146</f>
        <v>0</v>
      </c>
      <c r="CC146" s="648">
        <f>MAX(CC23-MAX($BP23:CB23),0)*$EF146</f>
        <v>0</v>
      </c>
      <c r="CD146" s="648">
        <f>MAX(CD23-MAX($BP23:CC23),0)*$EF146</f>
        <v>0</v>
      </c>
      <c r="CE146" s="648">
        <f>MAX(CE23-MAX($BP23:CD23),0)*$EF146</f>
        <v>0</v>
      </c>
      <c r="CF146" s="648">
        <f>MAX(CF23-MAX($BP23:CE23),0)*$EF146</f>
        <v>0</v>
      </c>
      <c r="CG146" s="648">
        <f>MAX(CG23-MAX($BP23:CF23),0)*$EF146</f>
        <v>0</v>
      </c>
      <c r="CH146" s="648">
        <f>MAX(CH23-MAX($BP23:CG23),0)*$EF146</f>
        <v>0</v>
      </c>
      <c r="CI146" s="648">
        <f>MAX(CI23-MAX($BP23:CH23),0)*$EF146</f>
        <v>0</v>
      </c>
      <c r="CJ146" s="648">
        <f>MAX(CJ23-MAX($BP23:CI23),0)*$EF146</f>
        <v>0</v>
      </c>
      <c r="CK146" s="648">
        <f>MAX(CK23-MAX($BP23:CJ23),0)*$EF146</f>
        <v>0</v>
      </c>
      <c r="CL146" s="648">
        <f>MAX(CL23-MAX($BP23:CK23),0)*$EF146</f>
        <v>0</v>
      </c>
      <c r="CM146" s="648">
        <f>MAX(CM23-MAX($BP23:CL23),0)*$EF146</f>
        <v>0</v>
      </c>
      <c r="CN146" s="648">
        <f>MAX(CN23-MAX($BP23:CM23),0)*$EF146</f>
        <v>0</v>
      </c>
      <c r="CO146" s="648">
        <f>MAX(CO23-MAX($BP23:CN23),0)*$EF146</f>
        <v>0</v>
      </c>
      <c r="CP146" s="648">
        <f>MAX(CP23-MAX($BP23:CO23),0)*$EF146</f>
        <v>0</v>
      </c>
      <c r="CQ146" s="648">
        <f>MAX(CQ23-MAX($BP23:CP23),0)*$EF146</f>
        <v>0</v>
      </c>
      <c r="CR146" s="648">
        <f>MAX(CR23-MAX($BP23:CQ23),0)*$EF146</f>
        <v>0</v>
      </c>
      <c r="CS146" s="648">
        <f>MAX(CS23-MAX($BP23:CR23),0)*$EF146</f>
        <v>0</v>
      </c>
      <c r="CT146" s="648">
        <f>MAX(CT23-MAX($BP23:CS23),0)*$EF146</f>
        <v>0</v>
      </c>
      <c r="CU146" s="648"/>
      <c r="CV146" s="648">
        <f>MAX(CV23-MAX($CV23:CV23),0)*$EF146</f>
        <v>0</v>
      </c>
      <c r="CW146" s="648">
        <f>MAX(CW23-MAX($CV23:CV23),0)*$EF146</f>
        <v>0.29424814709369301</v>
      </c>
      <c r="CX146" s="648">
        <f>MAX(CX23-MAX($CV23:CW23),0)*$EF146</f>
        <v>0.59820110571884644</v>
      </c>
      <c r="CY146" s="648">
        <f>MAX(CY23-MAX($CV23:CX23),0)*$EF146</f>
        <v>1.2486257348060223</v>
      </c>
      <c r="CZ146" s="648">
        <f>MAX(CZ23-MAX($CV23:CY23),0)*$EF146</f>
        <v>2.5843237221361224</v>
      </c>
      <c r="DA146" s="648">
        <f>MAX(DA23-MAX($CV23:CZ23),0)*$EF146</f>
        <v>5.294823335780892</v>
      </c>
      <c r="DB146" s="648">
        <f>MAX(DB23-MAX($CV23:DA23),0)*$EF146</f>
        <v>10.758239051075099</v>
      </c>
      <c r="DC146" s="648">
        <f>MAX(DC23-MAX($CV23:DB23),0)*$EF146</f>
        <v>21.564311780068874</v>
      </c>
      <c r="DD146" s="648">
        <f>MAX(DD23-MAX($CV23:DC23),0)*$EF146</f>
        <v>42.454760792072982</v>
      </c>
      <c r="DE146" s="648">
        <f>MAX(DE23-MAX($CV23:DD23),0)*$EF146</f>
        <v>81.620909073915129</v>
      </c>
      <c r="DF146" s="648">
        <f>MAX(DF23-MAX($CV23:DE23),0)*$EF146</f>
        <v>142.53989756579162</v>
      </c>
      <c r="DG146" s="648">
        <f>MAX(DG23-MAX($CV23:DF23),0)*$EF146</f>
        <v>257.71706113288201</v>
      </c>
      <c r="DH146" s="648">
        <f>MAX(DH23-MAX($CV23:DG23),0)*$EF146</f>
        <v>402.01096101711687</v>
      </c>
      <c r="DI146" s="648">
        <f>MAX(DI23-MAX($CV23:DH23),0)*$EF146</f>
        <v>610.40105898194008</v>
      </c>
      <c r="DJ146" s="648">
        <f>MAX(DJ23-MAX($CV23:DI23),0)*$EF146</f>
        <v>858.95089416123722</v>
      </c>
      <c r="DK146" s="648">
        <f>MAX(DK23-MAX($CV23:DJ23),0)*$EF146</f>
        <v>1193.2585530603462</v>
      </c>
      <c r="DL146" s="648">
        <f>MAX(DL23-MAX($CV23:DK23),0)*$EF146</f>
        <v>1503.5228648321856</v>
      </c>
      <c r="DM146" s="648">
        <f>MAX(DM23-MAX($CV23:DL23),0)*$EF146</f>
        <v>1714.7727109679736</v>
      </c>
      <c r="DN146" s="648">
        <f>MAX(DN23-MAX($CV23:DM23),0)*$EF146</f>
        <v>1812.2630620799778</v>
      </c>
      <c r="DO146" s="648">
        <f>MAX(DO23-MAX($CV23:DN23),0)*$EF146</f>
        <v>1795.1036316596324</v>
      </c>
      <c r="DP146" s="648">
        <f>MAX(DP23-MAX($CV23:DO23),0)*$EF146</f>
        <v>1168.714345949566</v>
      </c>
      <c r="DQ146" s="648">
        <f>MAX(DQ23-MAX($CV23:DP23),0)*$EF146</f>
        <v>1907.5469120772937</v>
      </c>
      <c r="DR146" s="648">
        <f>MAX(DR23-MAX($CV23:DQ23),0)*$EF146</f>
        <v>1529.4834446372404</v>
      </c>
      <c r="DS146" s="648">
        <f>MAX(DS23-MAX($CV23:DR23),0)*$EF146</f>
        <v>1447.7756433507184</v>
      </c>
      <c r="DT146" s="648">
        <f>MAX(DT23-MAX($CV23:DS23),0)*$EF146</f>
        <v>1384.6854015297617</v>
      </c>
      <c r="DU146" s="648">
        <f>MAX(DU23-MAX($CV23:DT23),0)*$EF146</f>
        <v>1400.1840071697964</v>
      </c>
      <c r="DV146" s="648">
        <f>MAX(DV23-MAX($CV23:DU23),0)*$EF146</f>
        <v>1522.3932212064924</v>
      </c>
      <c r="DW146" s="648">
        <f>MAX(DW23-MAX($CV23:DV23),0)*$EF146</f>
        <v>1803.0184105708036</v>
      </c>
      <c r="DX146" s="648">
        <f>MAX(DX23-MAX($CV23:DW23),0)*$EF146</f>
        <v>2194.8359002064794</v>
      </c>
      <c r="DY146" s="648">
        <f>MAX(DY23-MAX($CV23:DX23),0)*$EF146</f>
        <v>2862.6863626974173</v>
      </c>
      <c r="DZ146" s="648">
        <f>MAX(DZ23-MAX($CV23:DY23),0)*$EF146</f>
        <v>2186.2121713926349</v>
      </c>
      <c r="EF146" s="84">
        <v>3061.5827967999994</v>
      </c>
      <c r="EG146" s="51"/>
      <c r="EH146" s="51"/>
      <c r="EI146" s="51"/>
      <c r="EJ146" s="51"/>
    </row>
    <row r="147" spans="1:140">
      <c r="A147" s="1"/>
      <c r="B147" t="str">
        <f t="shared" si="523"/>
        <v>Waste management (collection + MRF)</v>
      </c>
      <c r="C147" s="54" t="s">
        <v>114</v>
      </c>
      <c r="D147" s="648">
        <f>MAX(D24-MAX($D24:D24),0)*$EF147</f>
        <v>0</v>
      </c>
      <c r="E147" s="648">
        <f>MAX(E24-MAX($D24:D24),0)*$EF147</f>
        <v>12780.356667307504</v>
      </c>
      <c r="F147" s="648">
        <f>MAX(F24-MAX($D24:E24),0)*$EF147</f>
        <v>12463.875940447253</v>
      </c>
      <c r="G147" s="648">
        <f>MAX(G24-MAX($D24:F24),0)*$EF147</f>
        <v>11918.949219757997</v>
      </c>
      <c r="H147" s="648">
        <f>MAX(H24-MAX($D24:G24),0)*$EF147</f>
        <v>11292.379633628285</v>
      </c>
      <c r="I147" s="648">
        <f>MAX(I24-MAX($D24:H24),0)*$EF147</f>
        <v>10586.860540599253</v>
      </c>
      <c r="J147" s="648">
        <f>MAX(J24-MAX($D24:I24),0)*$EF147</f>
        <v>10676.018057502144</v>
      </c>
      <c r="K147" s="648">
        <f>MAX(K24-MAX($D24:J24),0)*$EF147</f>
        <v>10757.528459310843</v>
      </c>
      <c r="L147" s="648">
        <f>MAX(L24-MAX($D24:K24),0)*$EF147</f>
        <v>10831.848440952437</v>
      </c>
      <c r="M147" s="648">
        <f>MAX(M24-MAX($D24:L24),0)*$EF147</f>
        <v>10900.013463621208</v>
      </c>
      <c r="N147" s="648">
        <f>MAX(N24-MAX($D24:M24),0)*$EF147</f>
        <v>10963.002973201741</v>
      </c>
      <c r="O147" s="648">
        <f>MAX(O24-MAX($D24:N24),0)*$EF147</f>
        <v>11026.731185476587</v>
      </c>
      <c r="P147" s="648">
        <f>MAX(P24-MAX($D24:O24),0)*$EF147</f>
        <v>10389.250513203413</v>
      </c>
      <c r="Q147" s="648">
        <f>MAX(Q24-MAX($D24:P24),0)*$EF147</f>
        <v>9749.2012462260627</v>
      </c>
      <c r="R147" s="648">
        <f>MAX(R24-MAX($D24:Q24),0)*$EF147</f>
        <v>9015.874180264349</v>
      </c>
      <c r="S147" s="648">
        <f>MAX(S24-MAX($D24:R24),0)*$EF147</f>
        <v>8243.3943834285783</v>
      </c>
      <c r="T147" s="648">
        <f>MAX(T24-MAX($D24:S24),0)*$EF147</f>
        <v>8322.5589123882037</v>
      </c>
      <c r="U147" s="648">
        <f>MAX(U24-MAX($D24:T24),0)*$EF147</f>
        <v>8381.2360576073843</v>
      </c>
      <c r="V147" s="648">
        <f>MAX(V24-MAX($D24:U24),0)*$EF147</f>
        <v>8417.8177387328524</v>
      </c>
      <c r="W147" s="648">
        <f>MAX(W24-MAX($D24:V24),0)*$EF147</f>
        <v>8433.164391146438</v>
      </c>
      <c r="X147" s="648">
        <f>MAX(X24-MAX($D24:W24),0)*$EF147</f>
        <v>8387.259130919676</v>
      </c>
      <c r="Y147" s="648">
        <f>MAX(Y24-MAX($D24:X24),0)*$EF147</f>
        <v>9303.5996066207208</v>
      </c>
      <c r="Z147" s="648">
        <f>MAX(Z24-MAX($D24:Y24),0)*$EF147</f>
        <v>9294.2486751248307</v>
      </c>
      <c r="AA147" s="648">
        <f>MAX(AA24-MAX($D24:Z24),0)*$EF147</f>
        <v>9375.5100259269111</v>
      </c>
      <c r="AB147" s="648">
        <f>MAX(AB24-MAX($D24:AA24),0)*$EF147</f>
        <v>9378.1640047046149</v>
      </c>
      <c r="AC147" s="648">
        <f>MAX(AC24-MAX($D24:AB24),0)*$EF147</f>
        <v>9389.3970957964775</v>
      </c>
      <c r="AD147" s="648">
        <f>MAX(AD24-MAX($D24:AC24),0)*$EF147</f>
        <v>9417.909851624514</v>
      </c>
      <c r="AE147" s="648">
        <f>MAX(AE24-MAX($D24:AD24),0)*$EF147</f>
        <v>9460.0085344404106</v>
      </c>
      <c r="AF147" s="648">
        <f>MAX(AF24-MAX($D24:AE24),0)*$EF147</f>
        <v>9513.9034215283773</v>
      </c>
      <c r="AG147" s="648">
        <f>MAX(AG24-MAX($D24:AF24),0)*$EF147</f>
        <v>9597.9386761757451</v>
      </c>
      <c r="AH147" s="648">
        <f>MAX(AH24-MAX($D24:AG24),0)*$EF147</f>
        <v>9596.1319785114301</v>
      </c>
      <c r="AI147" s="648"/>
      <c r="AJ147" s="648">
        <f>MAX(AJ24-MAX($AJ24:AJ24),0)*$EF147</f>
        <v>0</v>
      </c>
      <c r="AK147" s="648">
        <f>MAX(AK24-MAX($AJ24:AJ24),0)*$EF147</f>
        <v>12780.331158408791</v>
      </c>
      <c r="AL147" s="648">
        <f>MAX(AL24-MAX($AJ24:AK24),0)*$EF147</f>
        <v>12463.824147727399</v>
      </c>
      <c r="AM147" s="648">
        <f>MAX(AM24-MAX($AJ24:AL24),0)*$EF147</f>
        <v>11918.842338508053</v>
      </c>
      <c r="AN147" s="648">
        <f>MAX(AN24-MAX($AJ24:AM24),0)*$EF147</f>
        <v>11292.160986512719</v>
      </c>
      <c r="AO147" s="648">
        <f>MAX(AO24-MAX($AJ24:AN24),0)*$EF147</f>
        <v>10586.417897659676</v>
      </c>
      <c r="AP147" s="648">
        <f>MAX(AP24-MAX($AJ24:AO24),0)*$EF147</f>
        <v>10675.129588555874</v>
      </c>
      <c r="AQ147" s="648">
        <f>MAX(AQ24-MAX($AJ24:AP24),0)*$EF147</f>
        <v>10755.769716037601</v>
      </c>
      <c r="AR147" s="648">
        <f>MAX(AR24-MAX($AJ24:AQ24),0)*$EF147</f>
        <v>10828.430115490157</v>
      </c>
      <c r="AS147" s="648">
        <f>MAX(AS24-MAX($AJ24:AR24),0)*$EF147</f>
        <v>10893.52795172906</v>
      </c>
      <c r="AT147" s="648">
        <f>MAX(AT24-MAX($AJ24:AS24),0)*$EF147</f>
        <v>10950.97092729866</v>
      </c>
      <c r="AU147" s="648">
        <f>MAX(AU24-MAX($AJ24:AT24),0)*$EF147</f>
        <v>11007.617640349068</v>
      </c>
      <c r="AV147" s="648">
        <f>MAX(AV24-MAX($AJ24:AU24),0)*$EF147</f>
        <v>10358.519864394371</v>
      </c>
      <c r="AW147" s="648">
        <f>MAX(AW24-MAX($AJ24:AV24),0)*$EF147</f>
        <v>9685.6080992488478</v>
      </c>
      <c r="AX147" s="648">
        <f>MAX(AX24-MAX($AJ24:AW24),0)*$EF147</f>
        <v>8933.9511697881189</v>
      </c>
      <c r="AY147" s="648">
        <f>MAX(AY24-MAX($AJ24:AX24),0)*$EF147</f>
        <v>8137.9984678960027</v>
      </c>
      <c r="AZ147" s="648">
        <f>MAX(AZ24-MAX($AJ24:AY24),0)*$EF147</f>
        <v>8196.4534768404119</v>
      </c>
      <c r="BA147" s="648">
        <f>MAX(BA24-MAX($AJ24:AZ24),0)*$EF147</f>
        <v>8242.5225192173712</v>
      </c>
      <c r="BB147" s="648">
        <f>MAX(BB24-MAX($AJ24:BA24),0)*$EF147</f>
        <v>8275.3238416091408</v>
      </c>
      <c r="BC147" s="648">
        <f>MAX(BC24-MAX($AJ24:BB24),0)*$EF147</f>
        <v>8295.2878748926341</v>
      </c>
      <c r="BD147" s="648">
        <f>MAX(BD24-MAX($AJ24:BC24),0)*$EF147</f>
        <v>8259.9771544949126</v>
      </c>
      <c r="BE147" s="648">
        <f>MAX(BE24-MAX($AJ24:BD24),0)*$EF147</f>
        <v>9201.4034669408629</v>
      </c>
      <c r="BF147" s="648">
        <f>MAX(BF24-MAX($AJ24:BE24),0)*$EF147</f>
        <v>9186.5781871308518</v>
      </c>
      <c r="BG147" s="648">
        <f>MAX(BG24-MAX($AJ24:BF24),0)*$EF147</f>
        <v>9276.5234737096853</v>
      </c>
      <c r="BH147" s="648">
        <f>MAX(BH24-MAX($AJ24:BG24),0)*$EF147</f>
        <v>9286.2283807382246</v>
      </c>
      <c r="BI147" s="648">
        <f>MAX(BI24-MAX($AJ24:BH24),0)*$EF147</f>
        <v>9299.3152381376367</v>
      </c>
      <c r="BJ147" s="648">
        <f>MAX(BJ24-MAX($AJ24:BI24),0)*$EF147</f>
        <v>9323.142544921533</v>
      </c>
      <c r="BK147" s="648">
        <f>MAX(BK24-MAX($AJ24:BJ24),0)*$EF147</f>
        <v>9355.8363134430329</v>
      </c>
      <c r="BL147" s="648">
        <f>MAX(BL24-MAX($AJ24:BK24),0)*$EF147</f>
        <v>9392.9100567715395</v>
      </c>
      <c r="BM147" s="648">
        <f>MAX(BM24-MAX($AJ24:BL24),0)*$EF147</f>
        <v>9446.2191549825147</v>
      </c>
      <c r="BN147" s="648">
        <f>MAX(BN24-MAX($AJ24:BM24),0)*$EF147</f>
        <v>9393.7113673064832</v>
      </c>
      <c r="BO147" s="648"/>
      <c r="BP147" s="648">
        <f>MAX(BP24-MAX($BP24:BP24),0)*$EF147</f>
        <v>0</v>
      </c>
      <c r="BQ147" s="648">
        <f>MAX(BQ24-MAX($BP24:BP24),0)*$EF147</f>
        <v>9578.0613346096052</v>
      </c>
      <c r="BR147" s="648">
        <f>MAX(BR24-MAX($BP24:BQ24),0)*$EF147</f>
        <v>8946.4537535836898</v>
      </c>
      <c r="BS147" s="648">
        <f>MAX(BS24-MAX($BP24:BR24),0)*$EF147</f>
        <v>8252.9659299787236</v>
      </c>
      <c r="BT147" s="648">
        <f>MAX(BT24-MAX($BP24:BS24),0)*$EF147</f>
        <v>7501.7381396381643</v>
      </c>
      <c r="BU147" s="648">
        <f>MAX(BU24-MAX($BP24:BT24),0)*$EF147</f>
        <v>6697.6172062426895</v>
      </c>
      <c r="BV147" s="648">
        <f>MAX(BV24-MAX($BP24:BU24),0)*$EF147</f>
        <v>6641.7168121915929</v>
      </c>
      <c r="BW147" s="648">
        <f>MAX(BW24-MAX($BP24:BV24),0)*$EF147</f>
        <v>6578.5183815868704</v>
      </c>
      <c r="BX147" s="648">
        <f>MAX(BX24-MAX($BP24:BW24),0)*$EF147</f>
        <v>6507.9861820478718</v>
      </c>
      <c r="BY147" s="648">
        <f>MAX(BY24-MAX($BP24:BX24),0)*$EF147</f>
        <v>6430.0987151579093</v>
      </c>
      <c r="BZ147" s="648">
        <f>MAX(BZ24-MAX($BP24:BY24),0)*$EF147</f>
        <v>6344.8490749767043</v>
      </c>
      <c r="CA147" s="648">
        <f>MAX(CA24-MAX($BP24:BZ24),0)*$EF147</f>
        <v>5680.2992827231519</v>
      </c>
      <c r="CB147" s="648">
        <f>MAX(CB24-MAX($BP24:CA24),0)*$EF147</f>
        <v>4984.9424010663251</v>
      </c>
      <c r="CC147" s="648">
        <f>MAX(CC24-MAX($BP24:CB24),0)*$EF147</f>
        <v>4262.4089511365846</v>
      </c>
      <c r="CD147" s="648">
        <f>MAX(CD24-MAX($BP24:CC24),0)*$EF147</f>
        <v>3516.5999864365631</v>
      </c>
      <c r="CE147" s="648">
        <f>MAX(CE24-MAX($BP24:CD24),0)*$EF147</f>
        <v>2751.6535164729803</v>
      </c>
      <c r="CF147" s="648">
        <f>MAX(CF24-MAX($BP24:CE24),0)*$EF147</f>
        <v>2718.6519513891212</v>
      </c>
      <c r="CG147" s="648">
        <f>MAX(CG24-MAX($BP24:CF24),0)*$EF147</f>
        <v>2684.8750485534988</v>
      </c>
      <c r="CH147" s="648">
        <f>MAX(CH24-MAX($BP24:CG24),0)*$EF147</f>
        <v>2650.3361511423682</v>
      </c>
      <c r="CI147" s="648">
        <f>MAX(CI24-MAX($BP24:CH24),0)*$EF147</f>
        <v>2615.0493068878</v>
      </c>
      <c r="CJ147" s="648">
        <f>MAX(CJ24-MAX($BP24:CI24),0)*$EF147</f>
        <v>2579.02927030911</v>
      </c>
      <c r="CK147" s="648">
        <f>MAX(CK24-MAX($BP24:CJ24),0)*$EF147</f>
        <v>2546.9818639915302</v>
      </c>
      <c r="CL147" s="648">
        <f>MAX(CL24-MAX($BP24:CK24),0)*$EF147</f>
        <v>2514.3055885862595</v>
      </c>
      <c r="CM147" s="648">
        <f>MAX(CM24-MAX($BP24:CL24),0)*$EF147</f>
        <v>2481.0142835803676</v>
      </c>
      <c r="CN147" s="648">
        <f>MAX(CN24-MAX($BP24:CM24),0)*$EF147</f>
        <v>2447.122392725842</v>
      </c>
      <c r="CO147" s="648">
        <f>MAX(CO24-MAX($BP24:CN24),0)*$EF147</f>
        <v>2412.6449656417453</v>
      </c>
      <c r="CP147" s="648">
        <f>MAX(CP24-MAX($BP24:CO24),0)*$EF147</f>
        <v>2381.7132962860719</v>
      </c>
      <c r="CQ147" s="648">
        <f>MAX(CQ24-MAX($BP24:CP24),0)*$EF147</f>
        <v>2350.2832967419704</v>
      </c>
      <c r="CR147" s="648">
        <f>MAX(CR24-MAX($BP24:CQ24),0)*$EF147</f>
        <v>2318.3692202312641</v>
      </c>
      <c r="CS147" s="648">
        <f>MAX(CS24-MAX($BP24:CR24),0)*$EF147</f>
        <v>2285.9858486667918</v>
      </c>
      <c r="CT147" s="648">
        <f>MAX(CT24-MAX($BP24:CS24),0)*$EF147</f>
        <v>2253.1484939793218</v>
      </c>
      <c r="CU147" s="648"/>
      <c r="CV147" s="648">
        <f>MAX(CV24-MAX($CV24:CV24),0)*$EF147</f>
        <v>0</v>
      </c>
      <c r="CW147" s="648">
        <f>MAX(CW24-MAX($CV24:CV24),0)*$EF147</f>
        <v>12780.331158408791</v>
      </c>
      <c r="CX147" s="648">
        <f>MAX(CX24-MAX($CV24:CW24),0)*$EF147</f>
        <v>12463.824147727399</v>
      </c>
      <c r="CY147" s="648">
        <f>MAX(CY24-MAX($CV24:CX24),0)*$EF147</f>
        <v>11918.842338508053</v>
      </c>
      <c r="CZ147" s="648">
        <f>MAX(CZ24-MAX($CV24:CY24),0)*$EF147</f>
        <v>11292.160986512719</v>
      </c>
      <c r="DA147" s="648">
        <f>MAX(DA24-MAX($CV24:CZ24),0)*$EF147</f>
        <v>10586.417897659676</v>
      </c>
      <c r="DB147" s="648">
        <f>MAX(DB24-MAX($CV24:DA24),0)*$EF147</f>
        <v>10675.129588555874</v>
      </c>
      <c r="DC147" s="648">
        <f>MAX(DC24-MAX($CV24:DB24),0)*$EF147</f>
        <v>10755.769716037601</v>
      </c>
      <c r="DD147" s="648">
        <f>MAX(DD24-MAX($CV24:DC24),0)*$EF147</f>
        <v>10828.430115490157</v>
      </c>
      <c r="DE147" s="648">
        <f>MAX(DE24-MAX($CV24:DD24),0)*$EF147</f>
        <v>10893.52795172906</v>
      </c>
      <c r="DF147" s="648">
        <f>MAX(DF24-MAX($CV24:DE24),0)*$EF147</f>
        <v>10950.97092729866</v>
      </c>
      <c r="DG147" s="648">
        <f>MAX(DG24-MAX($CV24:DF24),0)*$EF147</f>
        <v>11007.617640349068</v>
      </c>
      <c r="DH147" s="648">
        <f>MAX(DH24-MAX($CV24:DG24),0)*$EF147</f>
        <v>10358.519864394371</v>
      </c>
      <c r="DI147" s="648">
        <f>MAX(DI24-MAX($CV24:DH24),0)*$EF147</f>
        <v>9659.0104953893351</v>
      </c>
      <c r="DJ147" s="648">
        <f>MAX(DJ24-MAX($CV24:DI24),0)*$EF147</f>
        <v>8906.4812944404912</v>
      </c>
      <c r="DK147" s="648">
        <f>MAX(DK24-MAX($CV24:DJ24),0)*$EF147</f>
        <v>8109.7928673252018</v>
      </c>
      <c r="DL147" s="648">
        <f>MAX(DL24-MAX($CV24:DK24),0)*$EF147</f>
        <v>8167.4576800693567</v>
      </c>
      <c r="DM147" s="648">
        <f>MAX(DM24-MAX($CV24:DL24),0)*$EF147</f>
        <v>8212.7301314608085</v>
      </c>
      <c r="DN147" s="648">
        <f>MAX(DN24-MAX($CV24:DM24),0)*$EF147</f>
        <v>8244.7287359816746</v>
      </c>
      <c r="DO147" s="648">
        <f>MAX(DO24-MAX($CV24:DN24),0)*$EF147</f>
        <v>8263.8842010207245</v>
      </c>
      <c r="DP147" s="648">
        <f>MAX(DP24-MAX($CV24:DO24),0)*$EF147</f>
        <v>8227.759347079209</v>
      </c>
      <c r="DQ147" s="648">
        <f>MAX(DQ24-MAX($CV24:DP24),0)*$EF147</f>
        <v>9168.363298924949</v>
      </c>
      <c r="DR147" s="648">
        <f>MAX(DR24-MAX($CV24:DQ24),0)*$EF147</f>
        <v>9152.7095647549449</v>
      </c>
      <c r="DS147" s="648">
        <f>MAX(DS24-MAX($CV24:DR24),0)*$EF147</f>
        <v>9165.5294347071576</v>
      </c>
      <c r="DT147" s="648">
        <f>MAX(DT24-MAX($CV24:DS24),0)*$EF147</f>
        <v>9172.3532873263721</v>
      </c>
      <c r="DU147" s="648">
        <f>MAX(DU24-MAX($CV24:DT24),0)*$EF147</f>
        <v>9182.5389615439981</v>
      </c>
      <c r="DV147" s="648">
        <f>MAX(DV24-MAX($CV24:DU24),0)*$EF147</f>
        <v>9203.4386626701944</v>
      </c>
      <c r="DW147" s="648">
        <f>MAX(DW24-MAX($CV24:DV24),0)*$EF147</f>
        <v>9233.1830830802937</v>
      </c>
      <c r="DX147" s="648">
        <f>MAX(DX24-MAX($CV24:DW24),0)*$EF147</f>
        <v>9267.2865384643119</v>
      </c>
      <c r="DY147" s="648">
        <f>MAX(DY24-MAX($CV24:DX24),0)*$EF147</f>
        <v>9317.6052351527032</v>
      </c>
      <c r="DZ147" s="648">
        <f>MAX(DZ24-MAX($CV24:DY24),0)*$EF147</f>
        <v>9262.0877821433696</v>
      </c>
      <c r="EF147" s="84">
        <f>863.815955723731+476.749838650831</f>
        <v>1340.5657943745621</v>
      </c>
      <c r="EG147" s="51"/>
      <c r="EH147" s="51"/>
      <c r="EI147" s="51"/>
      <c r="EJ147" s="51"/>
    </row>
    <row r="148" spans="1:140">
      <c r="A148" s="1"/>
      <c r="B148" t="str">
        <f t="shared" si="523"/>
        <v>Incineration</v>
      </c>
      <c r="C148" s="54" t="s">
        <v>114</v>
      </c>
      <c r="D148" s="648">
        <f>MAX(D25-MAX($D25:D25),0)*$EF148</f>
        <v>0</v>
      </c>
      <c r="E148" s="648">
        <f>MAX(E25-MAX($D25:D25),0)*$EF148</f>
        <v>1639.5337845297804</v>
      </c>
      <c r="F148" s="648">
        <f>MAX(F25-MAX($D25:E25),0)*$EF148</f>
        <v>1593.810776881458</v>
      </c>
      <c r="G148" s="648">
        <f>MAX(G25-MAX($D25:F25),0)*$EF148</f>
        <v>1574.5592894635192</v>
      </c>
      <c r="H148" s="648">
        <f>MAX(H25-MAX($D25:G25),0)*$EF148</f>
        <v>1544.3112056277791</v>
      </c>
      <c r="I148" s="648">
        <f>MAX(I25-MAX($D25:H25),0)*$EF148</f>
        <v>1502.8895728930313</v>
      </c>
      <c r="J148" s="648">
        <f>MAX(J25-MAX($D25:I25),0)*$EF148</f>
        <v>1525.8695119538722</v>
      </c>
      <c r="K148" s="648">
        <f>MAX(K25-MAX($D25:J25),0)*$EF148</f>
        <v>1546.9383107764072</v>
      </c>
      <c r="L148" s="648">
        <f>MAX(L25-MAX($D25:K25),0)*$EF148</f>
        <v>1565.6572039357</v>
      </c>
      <c r="M148" s="648">
        <f>MAX(M25-MAX($D25:L25),0)*$EF148</f>
        <v>1581.3172255845236</v>
      </c>
      <c r="N148" s="648">
        <f>MAX(N25-MAX($D25:M25),0)*$EF148</f>
        <v>1593.1307342118275</v>
      </c>
      <c r="O148" s="648">
        <f>MAX(O25-MAX($D25:N25),0)*$EF148</f>
        <v>1274.8548253807894</v>
      </c>
      <c r="P148" s="648">
        <f>MAX(P25-MAX($D25:O25),0)*$EF148</f>
        <v>1184.2467601454548</v>
      </c>
      <c r="Q148" s="648">
        <f>MAX(Q25-MAX($D25:P25),0)*$EF148</f>
        <v>1084.8674643556687</v>
      </c>
      <c r="R148" s="648">
        <f>MAX(R25-MAX($D25:Q25),0)*$EF148</f>
        <v>969.23425217246199</v>
      </c>
      <c r="S148" s="648">
        <f>MAX(S25-MAX($D25:R25),0)*$EF148</f>
        <v>838.64705911789042</v>
      </c>
      <c r="T148" s="648">
        <f>MAX(T25-MAX($D25:S25),0)*$EF148</f>
        <v>787.93431174974251</v>
      </c>
      <c r="U148" s="648">
        <f>MAX(U25-MAX($D25:T25),0)*$EF148</f>
        <v>742.20270094122543</v>
      </c>
      <c r="V148" s="648">
        <f>MAX(V25-MAX($D25:U25),0)*$EF148</f>
        <v>703.35861651861319</v>
      </c>
      <c r="W148" s="648">
        <f>MAX(W25-MAX($D25:V25),0)*$EF148</f>
        <v>672.21914834000393</v>
      </c>
      <c r="X148" s="648">
        <f>MAX(X25-MAX($D25:W25),0)*$EF148</f>
        <v>672.06207556026777</v>
      </c>
      <c r="Y148" s="648">
        <f>MAX(Y25-MAX($D25:X25),0)*$EF148</f>
        <v>129.65214993738428</v>
      </c>
      <c r="Z148" s="648">
        <f>MAX(Z25-MAX($D25:Y25),0)*$EF148</f>
        <v>75.890206374246986</v>
      </c>
      <c r="AA148" s="648">
        <f>MAX(AA25-MAX($D25:Z25),0)*$EF148</f>
        <v>21.502726162511983</v>
      </c>
      <c r="AB148" s="648">
        <f>MAX(AB25-MAX($D25:AA25),0)*$EF148</f>
        <v>0</v>
      </c>
      <c r="AC148" s="648">
        <f>MAX(AC25-MAX($D25:AB25),0)*$EF148</f>
        <v>0</v>
      </c>
      <c r="AD148" s="648">
        <f>MAX(AD25-MAX($D25:AC25),0)*$EF148</f>
        <v>0</v>
      </c>
      <c r="AE148" s="648">
        <f>MAX(AE25-MAX($D25:AD25),0)*$EF148</f>
        <v>0</v>
      </c>
      <c r="AF148" s="648">
        <f>MAX(AF25-MAX($D25:AE25),0)*$EF148</f>
        <v>0</v>
      </c>
      <c r="AG148" s="648">
        <f>MAX(AG25-MAX($D25:AF25),0)*$EF148</f>
        <v>0</v>
      </c>
      <c r="AH148" s="648">
        <f>MAX(AH25-MAX($D25:AG25),0)*$EF148</f>
        <v>0</v>
      </c>
      <c r="AI148" s="648"/>
      <c r="AJ148" s="648">
        <f>MAX(AJ25-MAX($AJ25:AJ25),0)*$EF148</f>
        <v>0</v>
      </c>
      <c r="AK148" s="648">
        <f>MAX(AK25-MAX($AJ25:AJ25),0)*$EF148</f>
        <v>1639.540869181583</v>
      </c>
      <c r="AL148" s="648">
        <f>MAX(AL25-MAX($AJ25:AK25),0)*$EF148</f>
        <v>1593.8258172254355</v>
      </c>
      <c r="AM148" s="648">
        <f>MAX(AM25-MAX($AJ25:AL25),0)*$EF148</f>
        <v>1574.5916576059331</v>
      </c>
      <c r="AN148" s="648">
        <f>MAX(AN25-MAX($AJ25:AM25),0)*$EF148</f>
        <v>1544.3802124909282</v>
      </c>
      <c r="AO148" s="648">
        <f>MAX(AO25-MAX($AJ25:AN25),0)*$EF148</f>
        <v>1503.035077103352</v>
      </c>
      <c r="AP148" s="648">
        <f>MAX(AP25-MAX($AJ25:AO25),0)*$EF148</f>
        <v>1526.1734955502054</v>
      </c>
      <c r="AQ148" s="648">
        <f>MAX(AQ25-MAX($AJ25:AP25),0)*$EF148</f>
        <v>1547.5643762118418</v>
      </c>
      <c r="AR148" s="648">
        <f>MAX(AR25-MAX($AJ25:AQ25),0)*$EF148</f>
        <v>1566.9228598827424</v>
      </c>
      <c r="AS148" s="648">
        <f>MAX(AS25-MAX($AJ25:AR25),0)*$EF148</f>
        <v>1583.8145290967107</v>
      </c>
      <c r="AT148" s="648">
        <f>MAX(AT25-MAX($AJ25:AS25),0)*$EF148</f>
        <v>1597.9474894575173</v>
      </c>
      <c r="AU148" s="648">
        <f>MAX(AU25-MAX($AJ25:AT25),0)*$EF148</f>
        <v>1282.8535868054337</v>
      </c>
      <c r="AV148" s="648">
        <f>MAX(AV25-MAX($AJ25:AU25),0)*$EF148</f>
        <v>1197.6371666525965</v>
      </c>
      <c r="AW148" s="648">
        <f>MAX(AW25-MAX($AJ25:AV25),0)*$EF148</f>
        <v>1103.6790743506356</v>
      </c>
      <c r="AX148" s="648">
        <f>MAX(AX25-MAX($AJ25:AW25),0)*$EF148</f>
        <v>997.27772008632735</v>
      </c>
      <c r="AY148" s="648">
        <f>MAX(AY25-MAX($AJ25:AX25),0)*$EF148</f>
        <v>879.26618802970324</v>
      </c>
      <c r="AZ148" s="648">
        <f>MAX(AZ25-MAX($AJ25:AY25),0)*$EF148</f>
        <v>841.01630223252914</v>
      </c>
      <c r="BA148" s="648">
        <f>MAX(BA25-MAX($AJ25:AZ25),0)*$EF148</f>
        <v>804.88799501717017</v>
      </c>
      <c r="BB148" s="648">
        <f>MAX(BB25-MAX($AJ25:BA25),0)*$EF148</f>
        <v>771.91052757746525</v>
      </c>
      <c r="BC148" s="648">
        <f>MAX(BC25-MAX($AJ25:BB25),0)*$EF148</f>
        <v>742.53637921234724</v>
      </c>
      <c r="BD148" s="648">
        <f>MAX(BD25-MAX($AJ25:BC25),0)*$EF148</f>
        <v>740.76955159311933</v>
      </c>
      <c r="BE148" s="648">
        <f>MAX(BE25-MAX($AJ25:BD25),0)*$EF148</f>
        <v>188.07279328868188</v>
      </c>
      <c r="BF148" s="648">
        <f>MAX(BF25-MAX($AJ25:BE25),0)*$EF148</f>
        <v>140.67137911654211</v>
      </c>
      <c r="BG148" s="648">
        <f>MAX(BG25-MAX($AJ25:BF25),0)*$EF148</f>
        <v>84.489492497010275</v>
      </c>
      <c r="BH148" s="648">
        <f>MAX(BH25-MAX($AJ25:BG25),0)*$EF148</f>
        <v>17.507160738836919</v>
      </c>
      <c r="BI148" s="648">
        <f>MAX(BI25-MAX($AJ25:BH25),0)*$EF148</f>
        <v>0</v>
      </c>
      <c r="BJ148" s="648">
        <f>MAX(BJ25-MAX($AJ25:BI25),0)*$EF148</f>
        <v>0</v>
      </c>
      <c r="BK148" s="648">
        <f>MAX(BK25-MAX($AJ25:BJ25),0)*$EF148</f>
        <v>0</v>
      </c>
      <c r="BL148" s="648">
        <f>MAX(BL25-MAX($AJ25:BK25),0)*$EF148</f>
        <v>0</v>
      </c>
      <c r="BM148" s="648">
        <f>MAX(BM25-MAX($AJ25:BL25),0)*$EF148</f>
        <v>0</v>
      </c>
      <c r="BN148" s="648">
        <f>MAX(BN25-MAX($AJ25:BM25),0)*$EF148</f>
        <v>0</v>
      </c>
      <c r="BO148" s="648"/>
      <c r="BP148" s="648">
        <f>MAX(BP25-MAX($BP25:BP25),0)*$EF148</f>
        <v>0</v>
      </c>
      <c r="BQ148" s="648">
        <f>MAX(BQ25-MAX($BP25:BP25),0)*$EF148</f>
        <v>1252.9682344882228</v>
      </c>
      <c r="BR148" s="648">
        <f>MAX(BR25-MAX($BP25:BQ25),0)*$EF148</f>
        <v>1227.0252802219613</v>
      </c>
      <c r="BS148" s="648">
        <f>MAX(BS25-MAX($BP25:BR25),0)*$EF148</f>
        <v>1192.7482836742354</v>
      </c>
      <c r="BT148" s="648">
        <f>MAX(BT25-MAX($BP25:BS25),0)*$EF148</f>
        <v>1150.0768459253691</v>
      </c>
      <c r="BU148" s="648">
        <f>MAX(BU25-MAX($BP25:BT25),0)*$EF148</f>
        <v>1099.0407002371694</v>
      </c>
      <c r="BV148" s="648">
        <f>MAX(BV25-MAX($BP25:BU25),0)*$EF148</f>
        <v>1117.1917495490347</v>
      </c>
      <c r="BW148" s="648">
        <f>MAX(BW25-MAX($BP25:BV25),0)*$EF148</f>
        <v>1134.6309780927149</v>
      </c>
      <c r="BX148" s="648">
        <f>MAX(BX25-MAX($BP25:BW25),0)*$EF148</f>
        <v>1151.3049263838702</v>
      </c>
      <c r="BY148" s="648">
        <f>MAX(BY25-MAX($BP25:BX25),0)*$EF148</f>
        <v>1167.16001692187</v>
      </c>
      <c r="BZ148" s="648">
        <f>MAX(BZ25-MAX($BP25:BY25),0)*$EF148</f>
        <v>1182.1426890672035</v>
      </c>
      <c r="CA148" s="648">
        <f>MAX(CA25-MAX($BP25:BZ25),0)*$EF148</f>
        <v>1135.7103383815399</v>
      </c>
      <c r="CB148" s="648">
        <f>MAX(CB25-MAX($BP25:CA25),0)*$EF148</f>
        <v>1082.7908799653028</v>
      </c>
      <c r="CC148" s="648">
        <f>MAX(CC25-MAX($BP25:CB25),0)*$EF148</f>
        <v>1023.4981371962712</v>
      </c>
      <c r="CD148" s="648">
        <f>MAX(CD25-MAX($BP25:CC25),0)*$EF148</f>
        <v>958.00090947746105</v>
      </c>
      <c r="CE148" s="648">
        <f>MAX(CE25-MAX($BP25:CD25),0)*$EF148</f>
        <v>886.52286635158055</v>
      </c>
      <c r="CF148" s="648">
        <f>MAX(CF25-MAX($BP25:CE25),0)*$EF148</f>
        <v>894.9467567716531</v>
      </c>
      <c r="CG148" s="648">
        <f>MAX(CG25-MAX($BP25:CF25),0)*$EF148</f>
        <v>903.20924114047864</v>
      </c>
      <c r="CH148" s="648">
        <f>MAX(CH25-MAX($BP25:CG25),0)*$EF148</f>
        <v>911.30301478916283</v>
      </c>
      <c r="CI148" s="648">
        <f>MAX(CI25-MAX($BP25:CH25),0)*$EF148</f>
        <v>919.22071569745992</v>
      </c>
      <c r="CJ148" s="648">
        <f>MAX(CJ25-MAX($BP25:CI25),0)*$EF148</f>
        <v>926.95492760545676</v>
      </c>
      <c r="CK148" s="648">
        <f>MAX(CK25-MAX($BP25:CJ25),0)*$EF148</f>
        <v>935.0797286232829</v>
      </c>
      <c r="CL148" s="648">
        <f>MAX(CL25-MAX($BP25:CK25),0)*$EF148</f>
        <v>943.04236784708053</v>
      </c>
      <c r="CM148" s="648">
        <f>MAX(CM25-MAX($BP25:CL25),0)*$EF148</f>
        <v>950.83604795515646</v>
      </c>
      <c r="CN148" s="648">
        <f>MAX(CN25-MAX($BP25:CM25),0)*$EF148</f>
        <v>958.45391773466145</v>
      </c>
      <c r="CO148" s="648">
        <f>MAX(CO25-MAX($BP25:CN25),0)*$EF148</f>
        <v>965.88907448335749</v>
      </c>
      <c r="CP148" s="648">
        <f>MAX(CP25-MAX($BP25:CO25),0)*$EF148</f>
        <v>973.6854380104802</v>
      </c>
      <c r="CQ148" s="648">
        <f>MAX(CQ25-MAX($BP25:CP25),0)*$EF148</f>
        <v>981.31780481665191</v>
      </c>
      <c r="CR148" s="648">
        <f>MAX(CR25-MAX($BP25:CQ25),0)*$EF148</f>
        <v>988.77978292235071</v>
      </c>
      <c r="CS148" s="648">
        <f>MAX(CS25-MAX($BP25:CR25),0)*$EF148</f>
        <v>996.06492853167913</v>
      </c>
      <c r="CT148" s="648">
        <f>MAX(CT25-MAX($BP25:CS25),0)*$EF148</f>
        <v>1003.1667478702377</v>
      </c>
      <c r="CU148" s="648"/>
      <c r="CV148" s="648">
        <f>MAX(CV25-MAX($CV25:CV25),0)*$EF148</f>
        <v>0</v>
      </c>
      <c r="CW148" s="648">
        <f>MAX(CW25-MAX($CV25:CV25),0)*$EF148</f>
        <v>1639.540869181583</v>
      </c>
      <c r="CX148" s="648">
        <f>MAX(CX25-MAX($CV25:CW25),0)*$EF148</f>
        <v>1593.8258172254355</v>
      </c>
      <c r="CY148" s="648">
        <f>MAX(CY25-MAX($CV25:CX25),0)*$EF148</f>
        <v>1574.5916576059331</v>
      </c>
      <c r="CZ148" s="648">
        <f>MAX(CZ25-MAX($CV25:CY25),0)*$EF148</f>
        <v>1544.3802124909282</v>
      </c>
      <c r="DA148" s="648">
        <f>MAX(DA25-MAX($CV25:CZ25),0)*$EF148</f>
        <v>1503.035077103352</v>
      </c>
      <c r="DB148" s="648">
        <f>MAX(DB25-MAX($CV25:DA25),0)*$EF148</f>
        <v>1526.1734955502054</v>
      </c>
      <c r="DC148" s="648">
        <f>MAX(DC25-MAX($CV25:DB25),0)*$EF148</f>
        <v>1547.5643762118418</v>
      </c>
      <c r="DD148" s="648">
        <f>MAX(DD25-MAX($CV25:DC25),0)*$EF148</f>
        <v>1566.9228598827424</v>
      </c>
      <c r="DE148" s="648">
        <f>MAX(DE25-MAX($CV25:DD25),0)*$EF148</f>
        <v>1583.8145290967107</v>
      </c>
      <c r="DF148" s="648">
        <f>MAX(DF25-MAX($CV25:DE25),0)*$EF148</f>
        <v>1597.9474894575096</v>
      </c>
      <c r="DG148" s="648">
        <f>MAX(DG25-MAX($CV25:DF25),0)*$EF148</f>
        <v>1282.8535868054416</v>
      </c>
      <c r="DH148" s="648">
        <f>MAX(DH25-MAX($CV25:DG25),0)*$EF148</f>
        <v>1197.6371666525965</v>
      </c>
      <c r="DI148" s="648">
        <f>MAX(DI25-MAX($CV25:DH25),0)*$EF148</f>
        <v>1100.492223780883</v>
      </c>
      <c r="DJ148" s="648">
        <f>MAX(DJ25-MAX($CV25:DI25),0)*$EF148</f>
        <v>993.8596362616679</v>
      </c>
      <c r="DK148" s="648">
        <f>MAX(DK25-MAX($CV25:DJ25),0)*$EF148</f>
        <v>875.62912600300376</v>
      </c>
      <c r="DL148" s="648">
        <f>MAX(DL25-MAX($CV25:DK25),0)*$EF148</f>
        <v>837.14962626067882</v>
      </c>
      <c r="DM148" s="648">
        <f>MAX(DM25-MAX($CV25:DL25),0)*$EF148</f>
        <v>800.78682911858482</v>
      </c>
      <c r="DN148" s="648">
        <f>MAX(DN25-MAX($CV25:DM25),0)*$EF148</f>
        <v>767.57003038139374</v>
      </c>
      <c r="DO148" s="648">
        <f>MAX(DO25-MAX($CV25:DN25),0)*$EF148</f>
        <v>737.95174814895176</v>
      </c>
      <c r="DP148" s="648">
        <f>MAX(DP25-MAX($CV25:DO25),0)*$EF148</f>
        <v>735.93602712836275</v>
      </c>
      <c r="DQ148" s="648">
        <f>MAX(DQ25-MAX($CV25:DP25),0)*$EF148</f>
        <v>182.98525505445389</v>
      </c>
      <c r="DR148" s="648">
        <f>MAX(DR25-MAX($CV25:DQ25),0)*$EF148</f>
        <v>135.32498916494262</v>
      </c>
      <c r="DS148" s="648">
        <f>MAX(DS25-MAX($CV25:DR25),0)*$EF148</f>
        <v>68.006675798095671</v>
      </c>
      <c r="DT148" s="648">
        <f>MAX(DT25-MAX($CV25:DS25),0)*$EF148</f>
        <v>0.12749695637854233</v>
      </c>
      <c r="DU148" s="648">
        <f>MAX(DU25-MAX($CV25:DT25),0)*$EF148</f>
        <v>0</v>
      </c>
      <c r="DV148" s="648">
        <f>MAX(DV25-MAX($CV25:DU25),0)*$EF148</f>
        <v>0</v>
      </c>
      <c r="DW148" s="648">
        <f>MAX(DW25-MAX($CV25:DV25),0)*$EF148</f>
        <v>0</v>
      </c>
      <c r="DX148" s="648">
        <f>MAX(DX25-MAX($CV25:DW25),0)*$EF148</f>
        <v>0</v>
      </c>
      <c r="DY148" s="648">
        <f>MAX(DY25-MAX($CV25:DX25),0)*$EF148</f>
        <v>0</v>
      </c>
      <c r="DZ148" s="648">
        <f>MAX(DZ25-MAX($CV25:DY25),0)*$EF148</f>
        <v>0</v>
      </c>
      <c r="EF148" s="84">
        <v>547.58850079541662</v>
      </c>
      <c r="EG148" s="51"/>
      <c r="EH148" s="51"/>
      <c r="EI148" s="51"/>
      <c r="EJ148" s="51"/>
    </row>
    <row r="149" spans="1:140">
      <c r="A149" s="1"/>
      <c r="B149" t="str">
        <f t="shared" si="523"/>
        <v>CSS</v>
      </c>
      <c r="C149" s="54" t="s">
        <v>114</v>
      </c>
      <c r="D149" s="648">
        <f>MAX('Scope 3 summary'!D20-MAX('Scope 3 summary'!D20:'Scope 3 summary'!D20),0)*$EF149</f>
        <v>0</v>
      </c>
      <c r="E149" s="648">
        <f>MAX('Scope 3 summary'!E20-MAX('Scope 3 summary'!D20:'Scope 3 summary'!D20),0)*$EF149</f>
        <v>0.62953072640004404</v>
      </c>
      <c r="F149" s="648">
        <f>MAX('Scope 3 summary'!F20-MAX('Scope 3 summary'!E20:'Scope 3 summary'!E20),0)*$EF149</f>
        <v>1.265881516883506</v>
      </c>
      <c r="G149" s="648">
        <f>MAX('Scope 3 summary'!G20-MAX('Scope 3 summary'!F20:'Scope 3 summary'!F20),0)*$EF149</f>
        <v>2.5500366913773269</v>
      </c>
      <c r="H149" s="648">
        <f>MAX('Scope 3 summary'!H20-MAX('Scope 3 summary'!G20:'Scope 3 summary'!G20),0)*$EF149</f>
        <v>5.1090158671312809</v>
      </c>
      <c r="I149" s="648">
        <f>MAX('Scope 3 summary'!I20-MAX('Scope 3 summary'!H20:'Scope 3 summary'!H20),0)*$EF149</f>
        <v>10.163611075280444</v>
      </c>
      <c r="J149" s="648">
        <f>MAX('Scope 3 summary'!J20-MAX('Scope 3 summary'!I20:'Scope 3 summary'!I20),0)*$EF149</f>
        <v>19.887913743561079</v>
      </c>
      <c r="K149" s="648">
        <f>MAX('Scope 3 summary'!K20-MAX('Scope 3 summary'!J20:'Scope 3 summary'!J20),0)*$EF149</f>
        <v>38.535676266102726</v>
      </c>
      <c r="L149" s="648">
        <f>MAX('Scope 3 summary'!L20-MAX('Scope 3 summary'!K20:'Scope 3 summary'!K20),0)*$EF149</f>
        <v>73.364627609233921</v>
      </c>
      <c r="M149" s="648">
        <f>MAX('Scope 3 summary'!M20-MAX('Scope 3 summary'!L20:'Scope 3 summary'!L20),0)*$EF149</f>
        <v>136.41568088751362</v>
      </c>
      <c r="N149" s="648">
        <f>MAX('Scope 3 summary'!N20-MAX('Scope 3 summary'!M20:'Scope 3 summary'!M20),0)*$EF149</f>
        <v>245.84888586082684</v>
      </c>
      <c r="O149" s="648">
        <f>MAX('Scope 3 summary'!O20-MAX('Scope 3 summary'!N20:'Scope 3 summary'!N20),0)*$EF149</f>
        <v>403.68246727124455</v>
      </c>
      <c r="P149" s="648">
        <f>MAX('Scope 3 summary'!P20-MAX('Scope 3 summary'!O20:'Scope 3 summary'!O20),0)*$EF149</f>
        <v>646.55689427332163</v>
      </c>
      <c r="Q149" s="648">
        <f>MAX('Scope 3 summary'!Q20-MAX('Scope 3 summary'!P20:'Scope 3 summary'!P20),0)*$EF149</f>
        <v>971.23313499003234</v>
      </c>
      <c r="R149" s="648">
        <f>MAX('Scope 3 summary'!R20-MAX('Scope 3 summary'!Q20:'Scope 3 summary'!Q20),0)*$EF149</f>
        <v>1353.2372318355228</v>
      </c>
      <c r="S149" s="648">
        <f>MAX('Scope 3 summary'!S20-MAX('Scope 3 summary'!R20:'Scope 3 summary'!R20),0)*$EF149</f>
        <v>1732.5573993925225</v>
      </c>
      <c r="T149" s="648">
        <f>MAX('Scope 3 summary'!T20-MAX('Scope 3 summary'!S20:'Scope 3 summary'!S20),0)*$EF149</f>
        <v>2018.0379060112978</v>
      </c>
      <c r="U149" s="648">
        <f>MAX('Scope 3 summary'!U20-MAX('Scope 3 summary'!T20:'Scope 3 summary'!T20),0)*$EF149</f>
        <v>2155.6375807467534</v>
      </c>
      <c r="V149" s="648">
        <f>MAX('Scope 3 summary'!V20-MAX('Scope 3 summary'!U20:'Scope 3 summary'!U20),0)*$EF149</f>
        <v>2117.204046142203</v>
      </c>
      <c r="W149" s="648">
        <f>MAX('Scope 3 summary'!W20-MAX('Scope 3 summary'!V20:'Scope 3 summary'!V20),0)*$EF149</f>
        <v>1929.6032855295641</v>
      </c>
      <c r="X149" s="648">
        <f>MAX('Scope 3 summary'!X20-MAX('Scope 3 summary'!W20:'Scope 3 summary'!W20),0)*$EF149</f>
        <v>1655.3932846119687</v>
      </c>
      <c r="Y149" s="648">
        <f>MAX('Scope 3 summary'!Y20-MAX('Scope 3 summary'!X20:'Scope 3 summary'!X20),0)*$EF149</f>
        <v>1096.0594764496402</v>
      </c>
      <c r="Z149" s="648">
        <f>MAX('Scope 3 summary'!Z20-MAX('Scope 3 summary'!Y20:'Scope 3 summary'!Y20),0)*$EF149</f>
        <v>747.32653897938292</v>
      </c>
      <c r="AA149" s="648">
        <f>MAX('Scope 3 summary'!AA20-MAX('Scope 3 summary'!Z20:'Scope 3 summary'!Z20),0)*$EF149</f>
        <v>451.74810970794499</v>
      </c>
      <c r="AB149" s="648">
        <f>MAX('Scope 3 summary'!AB20-MAX('Scope 3 summary'!AA20:'Scope 3 summary'!AA20),0)*$EF149</f>
        <v>210.81492833929735</v>
      </c>
      <c r="AC149" s="648">
        <f>MAX('Scope 3 summary'!AC20-MAX('Scope 3 summary'!AB20:'Scope 3 summary'!AB20),0)*$EF149</f>
        <v>17.270345853503727</v>
      </c>
      <c r="AD149" s="648">
        <f>MAX('Scope 3 summary'!AD20-MAX('Scope 3 summary'!AC20:'Scope 3 summary'!AC20),0)*$EF149</f>
        <v>0</v>
      </c>
      <c r="AE149" s="648">
        <f>MAX('Scope 3 summary'!AE20-MAX('Scope 3 summary'!AD20:'Scope 3 summary'!AD20),0)*$EF149</f>
        <v>0</v>
      </c>
      <c r="AF149" s="648">
        <f>MAX('Scope 3 summary'!AF20-MAX('Scope 3 summary'!AE20:'Scope 3 summary'!AE20),0)*$EF149</f>
        <v>0</v>
      </c>
      <c r="AG149" s="648">
        <f>MAX('Scope 3 summary'!AG20-MAX('Scope 3 summary'!AF20:'Scope 3 summary'!AF20),0)*$EF149</f>
        <v>0</v>
      </c>
      <c r="AH149" s="648">
        <f>MAX('Scope 3 summary'!AH20-MAX('Scope 3 summary'!AG20:'Scope 3 summary'!AG20),0)*$EF149</f>
        <v>0</v>
      </c>
      <c r="AI149" s="648"/>
      <c r="AJ149" s="648">
        <f>MAX('Scope 3 summary'!AJ20-MAX('Scope 3 summary'!AJ20:'Scope 3 summary'!AJ20),0)*$EF149</f>
        <v>0</v>
      </c>
      <c r="AK149" s="648">
        <f>MAX('Scope 3 summary'!AK20-MAX('Scope 3 summary'!AJ20:'Scope 3 summary'!AJ20),0)*$EF149</f>
        <v>0.62409866160488892</v>
      </c>
      <c r="AL149" s="648">
        <f>MAX('Scope 3 summary'!AL20-MAX('Scope 3 summary'!AK20:'Scope 3 summary'!AK20),0)*$EF149</f>
        <v>1.2599006840846982</v>
      </c>
      <c r="AM149" s="648">
        <f>MAX('Scope 3 summary'!AM20-MAX('Scope 3 summary'!AL20:'Scope 3 summary'!AL20),0)*$EF149</f>
        <v>2.5377080023247545</v>
      </c>
      <c r="AN149" s="648">
        <f>MAX('Scope 3 summary'!AN20-MAX('Scope 3 summary'!AM20:'Scope 3 summary'!AM20),0)*$EF149</f>
        <v>5.0838995602700709</v>
      </c>
      <c r="AO149" s="648">
        <f>MAX('Scope 3 summary'!AO20-MAX('Scope 3 summary'!AN20:'Scope 3 summary'!AN20),0)*$EF149</f>
        <v>10.113146284358704</v>
      </c>
      <c r="AP149" s="648">
        <f>MAX('Scope 3 summary'!AP20-MAX('Scope 3 summary'!AO20:'Scope 3 summary'!AO20),0)*$EF149</f>
        <v>19.788347521340356</v>
      </c>
      <c r="AQ149" s="648">
        <f>MAX('Scope 3 summary'!AQ20-MAX('Scope 3 summary'!AP20:'Scope 3 summary'!AP20),0)*$EF149</f>
        <v>38.343898605026624</v>
      </c>
      <c r="AR149" s="648">
        <f>MAX('Scope 3 summary'!AR20-MAX('Scope 3 summary'!AQ20:'Scope 3 summary'!AQ20),0)*$EF149</f>
        <v>73.007708523008077</v>
      </c>
      <c r="AS149" s="648">
        <f>MAX('Scope 3 summary'!AS20-MAX('Scope 3 summary'!AR20:'Scope 3 summary'!AR20),0)*$EF149</f>
        <v>135.78489405654872</v>
      </c>
      <c r="AT149" s="648">
        <f>MAX('Scope 3 summary'!AT20-MAX('Scope 3 summary'!AS20:'Scope 3 summary'!AS20),0)*$EF149</f>
        <v>244.82415043401571</v>
      </c>
      <c r="AU149" s="648">
        <f>MAX('Scope 3 summary'!AU20-MAX('Scope 3 summary'!AT20:'Scope 3 summary'!AT20),0)*$EF149</f>
        <v>402.0379023627483</v>
      </c>
      <c r="AV149" s="648">
        <f>MAX('Scope 3 summary'!AV20-MAX('Scope 3 summary'!AU20:'Scope 3 summary'!AU20),0)*$EF149</f>
        <v>644.49352397445477</v>
      </c>
      <c r="AW149" s="648">
        <f>MAX('Scope 3 summary'!AW20-MAX('Scope 3 summary'!AV20:'Scope 3 summary'!AV20),0)*$EF149</f>
        <v>969.58385690480168</v>
      </c>
      <c r="AX149" s="648">
        <f>MAX('Scope 3 summary'!AX20-MAX('Scope 3 summary'!AW20:'Scope 3 summary'!AW20),0)*$EF149</f>
        <v>1354.0444665261261</v>
      </c>
      <c r="AY149" s="648">
        <f>MAX('Scope 3 summary'!AY20-MAX('Scope 3 summary'!AX20:'Scope 3 summary'!AX20),0)*$EF149</f>
        <v>1739.6482514107763</v>
      </c>
      <c r="AZ149" s="648">
        <f>MAX('Scope 3 summary'!AZ20-MAX('Scope 3 summary'!AY20:'Scope 3 summary'!AY20),0)*$EF149</f>
        <v>2035.7700794884433</v>
      </c>
      <c r="BA149" s="648">
        <f>MAX('Scope 3 summary'!BA20-MAX('Scope 3 summary'!AZ20:'Scope 3 summary'!AZ20),0)*$EF149</f>
        <v>2186.7386018165653</v>
      </c>
      <c r="BB149" s="648">
        <f>MAX('Scope 3 summary'!BB20-MAX('Scope 3 summary'!BA20:'Scope 3 summary'!BA20),0)*$EF149</f>
        <v>2161.4037400637367</v>
      </c>
      <c r="BC149" s="648">
        <f>MAX('Scope 3 summary'!BC20-MAX('Scope 3 summary'!BB20:'Scope 3 summary'!BB20),0)*$EF149</f>
        <v>1983.4334051336969</v>
      </c>
      <c r="BD149" s="648">
        <f>MAX('Scope 3 summary'!BD20-MAX('Scope 3 summary'!BC20:'Scope 3 summary'!BC20),0)*$EF149</f>
        <v>1713.7580054974926</v>
      </c>
      <c r="BE149" s="648">
        <f>MAX('Scope 3 summary'!BE20-MAX('Scope 3 summary'!BD20:'Scope 3 summary'!BD20),0)*$EF149</f>
        <v>1142.2482804797266</v>
      </c>
      <c r="BF149" s="648">
        <f>MAX('Scope 3 summary'!BF20-MAX('Scope 3 summary'!BE20:'Scope 3 summary'!BE20),0)*$EF149</f>
        <v>795.63325042891461</v>
      </c>
      <c r="BG149" s="648">
        <f>MAX('Scope 3 summary'!BG20-MAX('Scope 3 summary'!BF20:'Scope 3 summary'!BF20),0)*$EF149</f>
        <v>495.68466615504229</v>
      </c>
      <c r="BH149" s="648">
        <f>MAX('Scope 3 summary'!BH20-MAX('Scope 3 summary'!BG20:'Scope 3 summary'!BG20),0)*$EF149</f>
        <v>250.3995942653055</v>
      </c>
      <c r="BI149" s="648">
        <f>MAX('Scope 3 summary'!BI20-MAX('Scope 3 summary'!BH20:'Scope 3 summary'!BH20),0)*$EF149</f>
        <v>54.634399275612793</v>
      </c>
      <c r="BJ149" s="648">
        <f>MAX('Scope 3 summary'!BJ20-MAX('Scope 3 summary'!BI20:'Scope 3 summary'!BI20),0)*$EF149</f>
        <v>0</v>
      </c>
      <c r="BK149" s="648">
        <f>MAX('Scope 3 summary'!BK20-MAX('Scope 3 summary'!BJ20:'Scope 3 summary'!BJ20),0)*$EF149</f>
        <v>0</v>
      </c>
      <c r="BL149" s="648">
        <f>MAX('Scope 3 summary'!BL20-MAX('Scope 3 summary'!BK20:'Scope 3 summary'!BK20),0)*$EF149</f>
        <v>0</v>
      </c>
      <c r="BM149" s="648">
        <f>MAX('Scope 3 summary'!BM20-MAX('Scope 3 summary'!BL20:'Scope 3 summary'!BL20),0)*$EF149</f>
        <v>0</v>
      </c>
      <c r="BN149" s="648">
        <f>MAX('Scope 3 summary'!BN20-MAX('Scope 3 summary'!BM20:'Scope 3 summary'!BM20),0)*$EF149</f>
        <v>0</v>
      </c>
      <c r="BO149" s="648"/>
      <c r="BP149" s="648">
        <f>MAX('Scope 3 summary'!BP20-MAX('Scope 3 summary'!BP20:'Scope 3 summary'!BP20),0)*$EF149</f>
        <v>0</v>
      </c>
      <c r="BQ149" s="648">
        <f>MAX('Scope 3 summary'!BQ20-MAX('Scope 3 summary'!BP20:'Scope 3 summary'!BP20),0)*$EF149</f>
        <v>0</v>
      </c>
      <c r="BR149" s="648">
        <f>MAX('Scope 3 summary'!BR20-MAX('Scope 3 summary'!BQ20:'Scope 3 summary'!BQ20),0)*$EF149</f>
        <v>0</v>
      </c>
      <c r="BS149" s="648">
        <f>MAX('Scope 3 summary'!BS20-MAX('Scope 3 summary'!BR20:'Scope 3 summary'!BR20),0)*$EF149</f>
        <v>0</v>
      </c>
      <c r="BT149" s="648">
        <f>MAX('Scope 3 summary'!BT20-MAX('Scope 3 summary'!BS20:'Scope 3 summary'!BS20),0)*$EF149</f>
        <v>0</v>
      </c>
      <c r="BU149" s="648">
        <f>MAX('Scope 3 summary'!BU20-MAX('Scope 3 summary'!BT20:'Scope 3 summary'!BT20),0)*$EF149</f>
        <v>0</v>
      </c>
      <c r="BV149" s="648">
        <f>MAX('Scope 3 summary'!BV20-MAX('Scope 3 summary'!BU20:'Scope 3 summary'!BU20),0)*$EF149</f>
        <v>0</v>
      </c>
      <c r="BW149" s="648">
        <f>MAX('Scope 3 summary'!BW20-MAX('Scope 3 summary'!BV20:'Scope 3 summary'!BV20),0)*$EF149</f>
        <v>0</v>
      </c>
      <c r="BX149" s="648">
        <f>MAX('Scope 3 summary'!BX20-MAX('Scope 3 summary'!BW20:'Scope 3 summary'!BW20),0)*$EF149</f>
        <v>0</v>
      </c>
      <c r="BY149" s="648">
        <f>MAX('Scope 3 summary'!BY20-MAX('Scope 3 summary'!BX20:'Scope 3 summary'!BX20),0)*$EF149</f>
        <v>0</v>
      </c>
      <c r="BZ149" s="648">
        <f>MAX('Scope 3 summary'!BZ20-MAX('Scope 3 summary'!BY20:'Scope 3 summary'!BY20),0)*$EF149</f>
        <v>0</v>
      </c>
      <c r="CA149" s="648">
        <f>MAX('Scope 3 summary'!CA20-MAX('Scope 3 summary'!BZ20:'Scope 3 summary'!BZ20),0)*$EF149</f>
        <v>0</v>
      </c>
      <c r="CB149" s="648">
        <f>MAX('Scope 3 summary'!CB20-MAX('Scope 3 summary'!CA20:'Scope 3 summary'!CA20),0)*$EF149</f>
        <v>0</v>
      </c>
      <c r="CC149" s="648">
        <f>MAX('Scope 3 summary'!CC20-MAX('Scope 3 summary'!CB20:'Scope 3 summary'!CB20),0)*$EF149</f>
        <v>0</v>
      </c>
      <c r="CD149" s="648">
        <f>MAX('Scope 3 summary'!CD20-MAX('Scope 3 summary'!CC20:'Scope 3 summary'!CC20),0)*$EF149</f>
        <v>0</v>
      </c>
      <c r="CE149" s="648">
        <f>MAX('Scope 3 summary'!CE20-MAX('Scope 3 summary'!CD20:'Scope 3 summary'!CD20),0)*$EF149</f>
        <v>0</v>
      </c>
      <c r="CF149" s="648">
        <f>MAX('Scope 3 summary'!CF20-MAX('Scope 3 summary'!CE20:'Scope 3 summary'!CE20),0)*$EF149</f>
        <v>0</v>
      </c>
      <c r="CG149" s="648">
        <f>MAX('Scope 3 summary'!CG20-MAX('Scope 3 summary'!CF20:'Scope 3 summary'!CF20),0)*$EF149</f>
        <v>0</v>
      </c>
      <c r="CH149" s="648">
        <f>MAX('Scope 3 summary'!CH20-MAX('Scope 3 summary'!CG20:'Scope 3 summary'!CG20),0)*$EF149</f>
        <v>0</v>
      </c>
      <c r="CI149" s="648">
        <f>MAX('Scope 3 summary'!CI20-MAX('Scope 3 summary'!CH20:'Scope 3 summary'!CH20),0)*$EF149</f>
        <v>0</v>
      </c>
      <c r="CJ149" s="648">
        <f>MAX('Scope 3 summary'!CJ20-MAX('Scope 3 summary'!CI20:'Scope 3 summary'!CI20),0)*$EF149</f>
        <v>0</v>
      </c>
      <c r="CK149" s="648">
        <f>MAX('Scope 3 summary'!CK20-MAX('Scope 3 summary'!CJ20:'Scope 3 summary'!CJ20),0)*$EF149</f>
        <v>0</v>
      </c>
      <c r="CL149" s="648">
        <f>MAX('Scope 3 summary'!CL20-MAX('Scope 3 summary'!CK20:'Scope 3 summary'!CK20),0)*$EF149</f>
        <v>0</v>
      </c>
      <c r="CM149" s="648">
        <f>MAX('Scope 3 summary'!CM20-MAX('Scope 3 summary'!CL20:'Scope 3 summary'!CL20),0)*$EF149</f>
        <v>0</v>
      </c>
      <c r="CN149" s="648">
        <f>MAX('Scope 3 summary'!CN20-MAX('Scope 3 summary'!CM20:'Scope 3 summary'!CM20),0)*$EF149</f>
        <v>0</v>
      </c>
      <c r="CO149" s="648">
        <f>MAX('Scope 3 summary'!CO20-MAX('Scope 3 summary'!CN20:'Scope 3 summary'!CN20),0)*$EF149</f>
        <v>0</v>
      </c>
      <c r="CP149" s="648">
        <f>MAX('Scope 3 summary'!CP20-MAX('Scope 3 summary'!CO20:'Scope 3 summary'!CO20),0)*$EF149</f>
        <v>0</v>
      </c>
      <c r="CQ149" s="648">
        <f>MAX('Scope 3 summary'!CQ20-MAX('Scope 3 summary'!CP20:'Scope 3 summary'!CP20),0)*$EF149</f>
        <v>0</v>
      </c>
      <c r="CR149" s="648">
        <f>MAX('Scope 3 summary'!CR20-MAX('Scope 3 summary'!CQ20:'Scope 3 summary'!CQ20),0)*$EF149</f>
        <v>0</v>
      </c>
      <c r="CS149" s="648">
        <f>MAX('Scope 3 summary'!CS20-MAX('Scope 3 summary'!CR20:'Scope 3 summary'!CR20),0)*$EF149</f>
        <v>0</v>
      </c>
      <c r="CT149" s="648">
        <f>MAX('Scope 3 summary'!CT20-MAX('Scope 3 summary'!CS20:'Scope 3 summary'!CS20),0)*$EF149</f>
        <v>0</v>
      </c>
      <c r="CU149" s="648"/>
      <c r="CV149" s="648">
        <f>MAX('Scope 3 summary'!CV20-MAX('Scope 3 summary'!CV20:'Scope 3 summary'!CV20),0)*$EF149</f>
        <v>0</v>
      </c>
      <c r="CW149" s="648">
        <f>MAX('Scope 3 summary'!CW20-MAX('Scope 3 summary'!CV20:'Scope 3 summary'!CV20),0)*$EF149</f>
        <v>0.62813422929285423</v>
      </c>
      <c r="CX149" s="648">
        <f>MAX('Scope 3 summary'!CX20-MAX('Scope 3 summary'!CW20:'Scope 3 summary'!CW20),0)*$EF149</f>
        <v>1.2781021280120721</v>
      </c>
      <c r="CY149" s="648">
        <f>MAX('Scope 3 summary'!CY20-MAX('Scope 3 summary'!CX20:'Scope 3 summary'!CX20),0)*$EF149</f>
        <v>2.5900011729906778</v>
      </c>
      <c r="CZ149" s="648">
        <f>MAX('Scope 3 summary'!CZ20-MAX('Scope 3 summary'!CY20:'Scope 3 summary'!CY20),0)*$EF149</f>
        <v>5.218976207143176</v>
      </c>
      <c r="DA149" s="648">
        <f>MAX('Scope 3 summary'!DA20-MAX('Scope 3 summary'!CZ20:'Scope 3 summary'!CZ20),0)*$EF149</f>
        <v>10.439403444774943</v>
      </c>
      <c r="DB149" s="648">
        <f>MAX('Scope 3 summary'!DB20-MAX('Scope 3 summary'!DA20:'Scope 3 summary'!DA20),0)*$EF149</f>
        <v>20.548983646907775</v>
      </c>
      <c r="DC149" s="648">
        <f>MAX('Scope 3 summary'!DC20-MAX('Scope 3 summary'!DB20:'Scope 3 summary'!DB20),0)*$EF149</f>
        <v>40.049949380549137</v>
      </c>
      <c r="DD149" s="648">
        <f>MAX('Scope 3 summary'!DD20-MAX('Scope 3 summary'!DC20:'Scope 3 summary'!DC20),0)*$EF149</f>
        <v>76.701151205193057</v>
      </c>
      <c r="DE149" s="648">
        <f>MAX('Scope 3 summary'!DE20-MAX('Scope 3 summary'!DD20:'Scope 3 summary'!DD20),0)*$EF149</f>
        <v>143.49186562775967</v>
      </c>
      <c r="DF149" s="648">
        <f>MAX('Scope 3 summary'!DF20-MAX('Scope 3 summary'!DE20:'Scope 3 summary'!DE20),0)*$EF149</f>
        <v>260.25690673791695</v>
      </c>
      <c r="DG149" s="648">
        <f>MAX('Scope 3 summary'!DG20-MAX('Scope 3 summary'!DF20:'Scope 3 summary'!DF20),0)*$EF149</f>
        <v>436.39286153186976</v>
      </c>
      <c r="DH149" s="648">
        <f>MAX('Scope 3 summary'!DH20-MAX('Scope 3 summary'!DG20:'Scope 3 summary'!DG20),0)*$EF149</f>
        <v>709.2569881776667</v>
      </c>
      <c r="DI149" s="648">
        <f>MAX('Scope 3 summary'!DI20-MAX('Scope 3 summary'!DH20:'Scope 3 summary'!DH20),0)*$EF149</f>
        <v>1082.6867257196525</v>
      </c>
      <c r="DJ149" s="648">
        <f>MAX('Scope 3 summary'!DJ20-MAX('Scope 3 summary'!DI20:'Scope 3 summary'!DI20),0)*$EF149</f>
        <v>1535.7846192420579</v>
      </c>
      <c r="DK149" s="648">
        <f>MAX('Scope 3 summary'!DK20-MAX('Scope 3 summary'!DJ20:'Scope 3 summary'!DJ20),0)*$EF149</f>
        <v>2007.1146782895057</v>
      </c>
      <c r="DL149" s="648">
        <f>MAX('Scope 3 summary'!DL20-MAX('Scope 3 summary'!DK20:'Scope 3 summary'!DK20),0)*$EF149</f>
        <v>2397.6186216069059</v>
      </c>
      <c r="DM149" s="648">
        <f>MAX('Scope 3 summary'!DM20-MAX('Scope 3 summary'!DL20:'Scope 3 summary'!DL20),0)*$EF149</f>
        <v>2636.5261419740059</v>
      </c>
      <c r="DN149" s="648">
        <f>MAX('Scope 3 summary'!DN20-MAX('Scope 3 summary'!DM20:'Scope 3 summary'!DM20),0)*$EF149</f>
        <v>2679.2442055125089</v>
      </c>
      <c r="DO149" s="648">
        <f>MAX('Scope 3 summary'!DO20-MAX('Scope 3 summary'!DN20:'Scope 3 summary'!DN20),0)*$EF149</f>
        <v>2542.2587811712774</v>
      </c>
      <c r="DP149" s="648">
        <f>MAX('Scope 3 summary'!DP20-MAX('Scope 3 summary'!DO20:'Scope 3 summary'!DO20),0)*$EF149</f>
        <v>2281.4702272949339</v>
      </c>
      <c r="DQ149" s="648">
        <f>MAX('Scope 3 summary'!DQ20-MAX('Scope 3 summary'!DP20:'Scope 3 summary'!DP20),0)*$EF149</f>
        <v>1741.2810859341255</v>
      </c>
      <c r="DR149" s="648">
        <f>MAX('Scope 3 summary'!DR20-MAX('Scope 3 summary'!DQ20:'Scope 3 summary'!DQ20),0)*$EF149</f>
        <v>1368.3381532311687</v>
      </c>
      <c r="DS149" s="648">
        <f>MAX('Scope 3 summary'!DS20-MAX('Scope 3 summary'!DR20:'Scope 3 summary'!DR20),0)*$EF149</f>
        <v>1037.9317206849016</v>
      </c>
      <c r="DT149" s="648">
        <f>MAX('Scope 3 summary'!DT20-MAX('Scope 3 summary'!DS20:'Scope 3 summary'!DS20),0)*$EF149</f>
        <v>758.59919069263151</v>
      </c>
      <c r="DU149" s="648">
        <f>MAX('Scope 3 summary'!DU20-MAX('Scope 3 summary'!DT20:'Scope 3 summary'!DT20),0)*$EF149</f>
        <v>528.66206036937797</v>
      </c>
      <c r="DV149" s="648">
        <f>MAX('Scope 3 summary'!DV20-MAX('Scope 3 summary'!DU20:'Scope 3 summary'!DU20),0)*$EF149</f>
        <v>327.95018180955873</v>
      </c>
      <c r="DW149" s="648">
        <f>MAX('Scope 3 summary'!DW20-MAX('Scope 3 summary'!DV20:'Scope 3 summary'!DV20),0)*$EF149</f>
        <v>167.99333266582875</v>
      </c>
      <c r="DX149" s="648">
        <f>MAX('Scope 3 summary'!DX20-MAX('Scope 3 summary'!DW20:'Scope 3 summary'!DW20),0)*$EF149</f>
        <v>35.26360594185843</v>
      </c>
      <c r="DY149" s="648">
        <f>MAX('Scope 3 summary'!DY20-MAX('Scope 3 summary'!DX20:'Scope 3 summary'!DX20),0)*$EF149</f>
        <v>0</v>
      </c>
      <c r="DZ149" s="648">
        <f>MAX('Scope 3 summary'!DZ20-MAX('Scope 3 summary'!DY20:'Scope 3 summary'!DY20),0)*$EF149</f>
        <v>0</v>
      </c>
      <c r="EF149" s="84">
        <v>67</v>
      </c>
      <c r="EG149" s="51"/>
      <c r="EH149" s="51"/>
      <c r="EI149" s="51"/>
      <c r="EJ149" s="51"/>
    </row>
    <row r="150" spans="1:140">
      <c r="A150" s="1"/>
      <c r="B150" t="str">
        <f t="shared" si="523"/>
        <v>Landfill</v>
      </c>
      <c r="C150" s="54" t="s">
        <v>114</v>
      </c>
      <c r="D150" s="648">
        <f>MAX(D27-MAX($D27:D27),0)*$EF150</f>
        <v>0</v>
      </c>
      <c r="E150" s="648">
        <f>MAX(E27-MAX($D27:D27),0)*$EF150</f>
        <v>0</v>
      </c>
      <c r="F150" s="648">
        <f>MAX(F27-MAX($D27:E27),0)*$EF150</f>
        <v>0</v>
      </c>
      <c r="G150" s="648">
        <f>MAX(G27-MAX($D27:F27),0)*$EF150</f>
        <v>0</v>
      </c>
      <c r="H150" s="648">
        <f>MAX(H27-MAX($D27:G27),0)*$EF150</f>
        <v>0</v>
      </c>
      <c r="I150" s="648">
        <f>MAX(I27-MAX($D27:H27),0)*$EF150</f>
        <v>0</v>
      </c>
      <c r="J150" s="648">
        <f>MAX(J27-MAX($D27:I27),0)*$EF150</f>
        <v>0</v>
      </c>
      <c r="K150" s="648">
        <f>MAX(K27-MAX($D27:J27),0)*$EF150</f>
        <v>0</v>
      </c>
      <c r="L150" s="648">
        <f>MAX(L27-MAX($D27:K27),0)*$EF150</f>
        <v>0</v>
      </c>
      <c r="M150" s="648">
        <f>MAX(M27-MAX($D27:L27),0)*$EF150</f>
        <v>0</v>
      </c>
      <c r="N150" s="648">
        <f>MAX(N27-MAX($D27:M27),0)*$EF150</f>
        <v>0</v>
      </c>
      <c r="O150" s="648">
        <f>MAX(O27-MAX($D27:N27),0)*$EF150</f>
        <v>0</v>
      </c>
      <c r="P150" s="648">
        <f>MAX(P27-MAX($D27:O27),0)*$EF150</f>
        <v>0</v>
      </c>
      <c r="Q150" s="648">
        <f>MAX(Q27-MAX($D27:P27),0)*$EF150</f>
        <v>0</v>
      </c>
      <c r="R150" s="648">
        <f>MAX(R27-MAX($D27:Q27),0)*$EF150</f>
        <v>0</v>
      </c>
      <c r="S150" s="648">
        <f>MAX(S27-MAX($D27:R27),0)*$EF150</f>
        <v>0</v>
      </c>
      <c r="T150" s="648">
        <f>MAX(T27-MAX($D27:S27),0)*$EF150</f>
        <v>0</v>
      </c>
      <c r="U150" s="648">
        <f>MAX(U27-MAX($D27:T27),0)*$EF150</f>
        <v>0</v>
      </c>
      <c r="V150" s="648">
        <f>MAX(V27-MAX($D27:U27),0)*$EF150</f>
        <v>0</v>
      </c>
      <c r="W150" s="648">
        <f>MAX(W27-MAX($D27:V27),0)*$EF150</f>
        <v>0</v>
      </c>
      <c r="X150" s="648">
        <f>MAX(X27-MAX($D27:W27),0)*$EF150</f>
        <v>0</v>
      </c>
      <c r="Y150" s="648">
        <f>MAX(Y27-MAX($D27:X27),0)*$EF150</f>
        <v>0</v>
      </c>
      <c r="Z150" s="648">
        <f>MAX(Z27-MAX($D27:Y27),0)*$EF150</f>
        <v>0</v>
      </c>
      <c r="AA150" s="648">
        <f>MAX(AA27-MAX($D27:Z27),0)*$EF150</f>
        <v>0</v>
      </c>
      <c r="AB150" s="648">
        <f>MAX(AB27-MAX($D27:AA27),0)*$EF150</f>
        <v>0</v>
      </c>
      <c r="AC150" s="648">
        <f>MAX(AC27-MAX($D27:AB27),0)*$EF150</f>
        <v>0</v>
      </c>
      <c r="AD150" s="648">
        <f>MAX(AD27-MAX($D27:AC27),0)*$EF150</f>
        <v>0</v>
      </c>
      <c r="AE150" s="648">
        <f>MAX(AE27-MAX($D27:AD27),0)*$EF150</f>
        <v>0</v>
      </c>
      <c r="AF150" s="648">
        <f>MAX(AF27-MAX($D27:AE27),0)*$EF150</f>
        <v>0</v>
      </c>
      <c r="AG150" s="648">
        <f>MAX(AG27-MAX($D27:AF27),0)*$EF150</f>
        <v>0</v>
      </c>
      <c r="AH150" s="648">
        <f>MAX(AH27-MAX($D27:AG27),0)*$EF150</f>
        <v>0</v>
      </c>
      <c r="AI150" s="648"/>
      <c r="AJ150" s="648">
        <f>MAX(AJ27-MAX($AJ27:AJ27),0)*$EF150</f>
        <v>0</v>
      </c>
      <c r="AK150" s="648">
        <f>MAX(AK27-MAX($AJ27:AJ27),0)*$EF150</f>
        <v>0</v>
      </c>
      <c r="AL150" s="648">
        <f>MAX(AL27-MAX($AJ27:AK27),0)*$EF150</f>
        <v>0</v>
      </c>
      <c r="AM150" s="648">
        <f>MAX(AM27-MAX($AJ27:AL27),0)*$EF150</f>
        <v>0</v>
      </c>
      <c r="AN150" s="648">
        <f>MAX(AN27-MAX($AJ27:AM27),0)*$EF150</f>
        <v>0</v>
      </c>
      <c r="AO150" s="648">
        <f>MAX(AO27-MAX($AJ27:AN27),0)*$EF150</f>
        <v>0</v>
      </c>
      <c r="AP150" s="648">
        <f>MAX(AP27-MAX($AJ27:AO27),0)*$EF150</f>
        <v>0</v>
      </c>
      <c r="AQ150" s="648">
        <f>MAX(AQ27-MAX($AJ27:AP27),0)*$EF150</f>
        <v>0</v>
      </c>
      <c r="AR150" s="648">
        <f>MAX(AR27-MAX($AJ27:AQ27),0)*$EF150</f>
        <v>0</v>
      </c>
      <c r="AS150" s="648">
        <f>MAX(AS27-MAX($AJ27:AR27),0)*$EF150</f>
        <v>0</v>
      </c>
      <c r="AT150" s="648">
        <f>MAX(AT27-MAX($AJ27:AS27),0)*$EF150</f>
        <v>0</v>
      </c>
      <c r="AU150" s="648">
        <f>MAX(AU27-MAX($AJ27:AT27),0)*$EF150</f>
        <v>0</v>
      </c>
      <c r="AV150" s="648">
        <f>MAX(AV27-MAX($AJ27:AU27),0)*$EF150</f>
        <v>0</v>
      </c>
      <c r="AW150" s="648">
        <f>MAX(AW27-MAX($AJ27:AV27),0)*$EF150</f>
        <v>0</v>
      </c>
      <c r="AX150" s="648">
        <f>MAX(AX27-MAX($AJ27:AW27),0)*$EF150</f>
        <v>0</v>
      </c>
      <c r="AY150" s="648">
        <f>MAX(AY27-MAX($AJ27:AX27),0)*$EF150</f>
        <v>0</v>
      </c>
      <c r="AZ150" s="648">
        <f>MAX(AZ27-MAX($AJ27:AY27),0)*$EF150</f>
        <v>0</v>
      </c>
      <c r="BA150" s="648">
        <f>MAX(BA27-MAX($AJ27:AZ27),0)*$EF150</f>
        <v>0</v>
      </c>
      <c r="BB150" s="648">
        <f>MAX(BB27-MAX($AJ27:BA27),0)*$EF150</f>
        <v>0</v>
      </c>
      <c r="BC150" s="648">
        <f>MAX(BC27-MAX($AJ27:BB27),0)*$EF150</f>
        <v>0</v>
      </c>
      <c r="BD150" s="648">
        <f>MAX(BD27-MAX($AJ27:BC27),0)*$EF150</f>
        <v>0</v>
      </c>
      <c r="BE150" s="648">
        <f>MAX(BE27-MAX($AJ27:BD27),0)*$EF150</f>
        <v>0</v>
      </c>
      <c r="BF150" s="648">
        <f>MAX(BF27-MAX($AJ27:BE27),0)*$EF150</f>
        <v>0</v>
      </c>
      <c r="BG150" s="648">
        <f>MAX(BG27-MAX($AJ27:BF27),0)*$EF150</f>
        <v>0</v>
      </c>
      <c r="BH150" s="648">
        <f>MAX(BH27-MAX($AJ27:BG27),0)*$EF150</f>
        <v>0</v>
      </c>
      <c r="BI150" s="648">
        <f>MAX(BI27-MAX($AJ27:BH27),0)*$EF150</f>
        <v>0</v>
      </c>
      <c r="BJ150" s="648">
        <f>MAX(BJ27-MAX($AJ27:BI27),0)*$EF150</f>
        <v>0</v>
      </c>
      <c r="BK150" s="648">
        <f>MAX(BK27-MAX($AJ27:BJ27),0)*$EF150</f>
        <v>0</v>
      </c>
      <c r="BL150" s="648">
        <f>MAX(BL27-MAX($AJ27:BK27),0)*$EF150</f>
        <v>0</v>
      </c>
      <c r="BM150" s="648">
        <f>MAX(BM27-MAX($AJ27:BL27),0)*$EF150</f>
        <v>0</v>
      </c>
      <c r="BN150" s="648">
        <f>MAX(BN27-MAX($AJ27:BM27),0)*$EF150</f>
        <v>0</v>
      </c>
      <c r="BO150" s="648"/>
      <c r="BP150" s="648">
        <f>MAX(BP27-MAX($BP27:BP27),0)*$EF150</f>
        <v>0</v>
      </c>
      <c r="BQ150" s="648">
        <f>MAX(BQ27-MAX($BP27:BP27),0)*$EF150</f>
        <v>19.34809007902965</v>
      </c>
      <c r="BR150" s="648">
        <f>MAX(BR27-MAX($BP27:BQ27),0)*$EF150</f>
        <v>18.402720160550487</v>
      </c>
      <c r="BS150" s="648">
        <f>MAX(BS27-MAX($BP27:BR27),0)*$EF150</f>
        <v>17.325241974455345</v>
      </c>
      <c r="BT150" s="648">
        <f>MAX(BT27-MAX($BP27:BS27),0)*$EF150</f>
        <v>16.120145933594657</v>
      </c>
      <c r="BU150" s="648">
        <f>MAX(BU27-MAX($BP27:BT27),0)*$EF150</f>
        <v>14.793393020374275</v>
      </c>
      <c r="BV150" s="648">
        <f>MAX(BV27-MAX($BP27:BU27),0)*$EF150</f>
        <v>14.839786597480682</v>
      </c>
      <c r="BW150" s="648">
        <f>MAX(BW27-MAX($BP27:BV27),0)*$EF150</f>
        <v>14.872285116614705</v>
      </c>
      <c r="BX150" s="648">
        <f>MAX(BX27-MAX($BP27:BW27),0)*$EF150</f>
        <v>14.89046758334255</v>
      </c>
      <c r="BY150" s="648">
        <f>MAX(BY27-MAX($BP27:BX27),0)*$EF150</f>
        <v>14.893929014823275</v>
      </c>
      <c r="BZ150" s="648">
        <f>MAX(BZ27-MAX($BP27:BY27),0)*$EF150</f>
        <v>14.882281809456144</v>
      </c>
      <c r="CA150" s="648">
        <f>MAX(CA27-MAX($BP27:BZ27),0)*$EF150</f>
        <v>13.75207175985822</v>
      </c>
      <c r="CB150" s="648">
        <f>MAX(CB27-MAX($BP27:CA27),0)*$EF150</f>
        <v>12.539562198295808</v>
      </c>
      <c r="CC150" s="648">
        <f>MAX(CC27-MAX($BP27:CB27),0)*$EF150</f>
        <v>11.249858132812083</v>
      </c>
      <c r="CD150" s="648">
        <f>MAX(CD27-MAX($BP27:CC27),0)*$EF150</f>
        <v>9.8887709745212149</v>
      </c>
      <c r="CE150" s="648">
        <f>MAX(CE27-MAX($BP27:CD27),0)*$EF150</f>
        <v>8.4627779165047734</v>
      </c>
      <c r="CF150" s="648">
        <f>MAX(CF27-MAX($BP27:CE27),0)*$EF150</f>
        <v>8.4656274291478972</v>
      </c>
      <c r="CG150" s="648">
        <f>MAX(CG27-MAX($BP27:CF27),0)*$EF150</f>
        <v>8.4661417880201917</v>
      </c>
      <c r="CH150" s="648">
        <f>MAX(CH27-MAX($BP27:CG27),0)*$EF150</f>
        <v>8.4642809291752563</v>
      </c>
      <c r="CI150" s="648">
        <f>MAX(CI27-MAX($BP27:CH27),0)*$EF150</f>
        <v>8.4600051445895019</v>
      </c>
      <c r="CJ150" s="648">
        <f>MAX(CJ27-MAX($BP27:CI27),0)*$EF150</f>
        <v>8.4532751052892507</v>
      </c>
      <c r="CK150" s="648">
        <f>MAX(CK27-MAX($BP27:CJ27),0)*$EF150</f>
        <v>8.4536969248776295</v>
      </c>
      <c r="CL150" s="648">
        <f>MAX(CL27-MAX($BP27:CK27),0)*$EF150</f>
        <v>8.4519277806832882</v>
      </c>
      <c r="CM150" s="648">
        <f>MAX(CM27-MAX($BP27:CL27),0)*$EF150</f>
        <v>8.4479313440590964</v>
      </c>
      <c r="CN150" s="648">
        <f>MAX(CN27-MAX($BP27:CM27),0)*$EF150</f>
        <v>8.441671540582405</v>
      </c>
      <c r="CO150" s="648">
        <f>MAX(CO27-MAX($BP27:CN27),0)*$EF150</f>
        <v>8.4331125673492124</v>
      </c>
      <c r="CP150" s="648">
        <f>MAX(CP27-MAX($BP27:CO27),0)*$EF150</f>
        <v>8.4309664581276778</v>
      </c>
      <c r="CQ150" s="648">
        <f>MAX(CQ27-MAX($BP27:CP27),0)*$EF150</f>
        <v>8.4267449817851059</v>
      </c>
      <c r="CR150" s="648">
        <f>MAX(CR27-MAX($BP27:CQ27),0)*$EF150</f>
        <v>8.4204146969505445</v>
      </c>
      <c r="CS150" s="648">
        <f>MAX(CS27-MAX($BP27:CR27),0)*$EF150</f>
        <v>8.4119423338417043</v>
      </c>
      <c r="CT150" s="648">
        <f>MAX(CT27-MAX($BP27:CS27),0)*$EF150</f>
        <v>8.4012948071573668</v>
      </c>
      <c r="CU150" s="648"/>
      <c r="CV150" s="648">
        <f>MAX(CV27-MAX($CV27:CV27),0)*$EF150</f>
        <v>0</v>
      </c>
      <c r="CW150" s="648">
        <f>MAX(CW27-MAX($CV27:CV27),0)*$EF150</f>
        <v>0</v>
      </c>
      <c r="CX150" s="648">
        <f>MAX(CX27-MAX($CV27:CW27),0)*$EF150</f>
        <v>0</v>
      </c>
      <c r="CY150" s="648">
        <f>MAX(CY27-MAX($CV27:CX27),0)*$EF150</f>
        <v>0</v>
      </c>
      <c r="CZ150" s="648">
        <f>MAX(CZ27-MAX($CV27:CY27),0)*$EF150</f>
        <v>0</v>
      </c>
      <c r="DA150" s="648">
        <f>MAX(DA27-MAX($CV27:CZ27),0)*$EF150</f>
        <v>0</v>
      </c>
      <c r="DB150" s="648">
        <f>MAX(DB27-MAX($CV27:DA27),0)*$EF150</f>
        <v>0</v>
      </c>
      <c r="DC150" s="648">
        <f>MAX(DC27-MAX($CV27:DB27),0)*$EF150</f>
        <v>0</v>
      </c>
      <c r="DD150" s="648">
        <f>MAX(DD27-MAX($CV27:DC27),0)*$EF150</f>
        <v>0</v>
      </c>
      <c r="DE150" s="648">
        <f>MAX(DE27-MAX($CV27:DD27),0)*$EF150</f>
        <v>0</v>
      </c>
      <c r="DF150" s="648">
        <f>MAX(DF27-MAX($CV27:DE27),0)*$EF150</f>
        <v>0</v>
      </c>
      <c r="DG150" s="648">
        <f>MAX(DG27-MAX($CV27:DF27),0)*$EF150</f>
        <v>0</v>
      </c>
      <c r="DH150" s="648">
        <f>MAX(DH27-MAX($CV27:DG27),0)*$EF150</f>
        <v>0</v>
      </c>
      <c r="DI150" s="648">
        <f>MAX(DI27-MAX($CV27:DH27),0)*$EF150</f>
        <v>0</v>
      </c>
      <c r="DJ150" s="648">
        <f>MAX(DJ27-MAX($CV27:DI27),0)*$EF150</f>
        <v>0</v>
      </c>
      <c r="DK150" s="648">
        <f>MAX(DK27-MAX($CV27:DJ27),0)*$EF150</f>
        <v>0</v>
      </c>
      <c r="DL150" s="648">
        <f>MAX(DL27-MAX($CV27:DK27),0)*$EF150</f>
        <v>0</v>
      </c>
      <c r="DM150" s="648">
        <f>MAX(DM27-MAX($CV27:DL27),0)*$EF150</f>
        <v>0</v>
      </c>
      <c r="DN150" s="648">
        <f>MAX(DN27-MAX($CV27:DM27),0)*$EF150</f>
        <v>0</v>
      </c>
      <c r="DO150" s="648">
        <f>MAX(DO27-MAX($CV27:DN27),0)*$EF150</f>
        <v>0</v>
      </c>
      <c r="DP150" s="648">
        <f>MAX(DP27-MAX($CV27:DO27),0)*$EF150</f>
        <v>0</v>
      </c>
      <c r="DQ150" s="648">
        <f>MAX(DQ27-MAX($CV27:DP27),0)*$EF150</f>
        <v>0</v>
      </c>
      <c r="DR150" s="648">
        <f>MAX(DR27-MAX($CV27:DQ27),0)*$EF150</f>
        <v>0</v>
      </c>
      <c r="DS150" s="648">
        <f>MAX(DS27-MAX($CV27:DR27),0)*$EF150</f>
        <v>0</v>
      </c>
      <c r="DT150" s="648">
        <f>MAX(DT27-MAX($CV27:DS27),0)*$EF150</f>
        <v>0</v>
      </c>
      <c r="DU150" s="648">
        <f>MAX(DU27-MAX($CV27:DT27),0)*$EF150</f>
        <v>0</v>
      </c>
      <c r="DV150" s="648">
        <f>MAX(DV27-MAX($CV27:DU27),0)*$EF150</f>
        <v>0</v>
      </c>
      <c r="DW150" s="648">
        <f>MAX(DW27-MAX($CV27:DV27),0)*$EF150</f>
        <v>0</v>
      </c>
      <c r="DX150" s="648">
        <f>MAX(DX27-MAX($CV27:DW27),0)*$EF150</f>
        <v>0</v>
      </c>
      <c r="DY150" s="648">
        <f>MAX(DY27-MAX($CV27:DX27),0)*$EF150</f>
        <v>0</v>
      </c>
      <c r="DZ150" s="648">
        <f>MAX(DZ27-MAX($CV27:DY27),0)*$EF150</f>
        <v>0</v>
      </c>
      <c r="EF150" s="84">
        <v>22.5</v>
      </c>
      <c r="EG150" s="51"/>
      <c r="EH150" s="51"/>
      <c r="EI150" s="51"/>
      <c r="EJ150" s="51"/>
    </row>
    <row r="151" spans="1:140">
      <c r="A151" s="1"/>
      <c r="B151" t="str">
        <f t="shared" si="523"/>
        <v>Dumpsite</v>
      </c>
      <c r="C151" s="54" t="s">
        <v>114</v>
      </c>
      <c r="D151" s="648">
        <f>MAX(D28-MAX($D28:D28),0)*$EF151</f>
        <v>0</v>
      </c>
      <c r="E151" s="648">
        <f>MAX(E28-MAX($D28:D28),0)*$EF151</f>
        <v>0</v>
      </c>
      <c r="F151" s="648">
        <f>MAX(F28-MAX($D28:E28),0)*$EF151</f>
        <v>0</v>
      </c>
      <c r="G151" s="648">
        <f>MAX(G28-MAX($D28:F28),0)*$EF151</f>
        <v>0</v>
      </c>
      <c r="H151" s="648">
        <f>MAX(H28-MAX($D28:G28),0)*$EF151</f>
        <v>0</v>
      </c>
      <c r="I151" s="648">
        <f>MAX(I28-MAX($D28:H28),0)*$EF151</f>
        <v>0</v>
      </c>
      <c r="J151" s="648">
        <f>MAX(J28-MAX($D28:I28),0)*$EF151</f>
        <v>0</v>
      </c>
      <c r="K151" s="648">
        <f>MAX(K28-MAX($D28:J28),0)*$EF151</f>
        <v>0</v>
      </c>
      <c r="L151" s="648">
        <f>MAX(L28-MAX($D28:K28),0)*$EF151</f>
        <v>0</v>
      </c>
      <c r="M151" s="648">
        <f>MAX(M28-MAX($D28:L28),0)*$EF151</f>
        <v>0</v>
      </c>
      <c r="N151" s="648">
        <f>MAX(N28-MAX($D28:M28),0)*$EF151</f>
        <v>0</v>
      </c>
      <c r="O151" s="648">
        <f>MAX(O28-MAX($D28:N28),0)*$EF151</f>
        <v>0</v>
      </c>
      <c r="P151" s="648">
        <f>MAX(P28-MAX($D28:O28),0)*$EF151</f>
        <v>0</v>
      </c>
      <c r="Q151" s="648">
        <f>MAX(Q28-MAX($D28:P28),0)*$EF151</f>
        <v>0</v>
      </c>
      <c r="R151" s="648">
        <f>MAX(R28-MAX($D28:Q28),0)*$EF151</f>
        <v>0</v>
      </c>
      <c r="S151" s="648">
        <f>MAX(S28-MAX($D28:R28),0)*$EF151</f>
        <v>0</v>
      </c>
      <c r="T151" s="648">
        <f>MAX(T28-MAX($D28:S28),0)*$EF151</f>
        <v>0</v>
      </c>
      <c r="U151" s="648">
        <f>MAX(U28-MAX($D28:T28),0)*$EF151</f>
        <v>0</v>
      </c>
      <c r="V151" s="648">
        <f>MAX(V28-MAX($D28:U28),0)*$EF151</f>
        <v>0</v>
      </c>
      <c r="W151" s="648">
        <f>MAX(W28-MAX($D28:V28),0)*$EF151</f>
        <v>0</v>
      </c>
      <c r="X151" s="648">
        <f>MAX(X28-MAX($D28:W28),0)*$EF151</f>
        <v>0</v>
      </c>
      <c r="Y151" s="648">
        <f>MAX(Y28-MAX($D28:X28),0)*$EF151</f>
        <v>0</v>
      </c>
      <c r="Z151" s="648">
        <f>MAX(Z28-MAX($D28:Y28),0)*$EF151</f>
        <v>0</v>
      </c>
      <c r="AA151" s="648">
        <f>MAX(AA28-MAX($D28:Z28),0)*$EF151</f>
        <v>0</v>
      </c>
      <c r="AB151" s="648">
        <f>MAX(AB28-MAX($D28:AA28),0)*$EF151</f>
        <v>0</v>
      </c>
      <c r="AC151" s="648">
        <f>MAX(AC28-MAX($D28:AB28),0)*$EF151</f>
        <v>0</v>
      </c>
      <c r="AD151" s="648">
        <f>MAX(AD28-MAX($D28:AC28),0)*$EF151</f>
        <v>0</v>
      </c>
      <c r="AE151" s="648">
        <f>MAX(AE28-MAX($D28:AD28),0)*$EF151</f>
        <v>0</v>
      </c>
      <c r="AF151" s="648">
        <f>MAX(AF28-MAX($D28:AE28),0)*$EF151</f>
        <v>0</v>
      </c>
      <c r="AG151" s="648">
        <f>MAX(AG28-MAX($D28:AF28),0)*$EF151</f>
        <v>0</v>
      </c>
      <c r="AH151" s="648">
        <f>MAX(AH28-MAX($D28:AG28),0)*$EF151</f>
        <v>0</v>
      </c>
      <c r="AI151" s="648"/>
      <c r="AJ151" s="648">
        <f>MAX(AJ28-MAX($AJ28:AJ28),0)*$EF151</f>
        <v>0</v>
      </c>
      <c r="AK151" s="648">
        <f>MAX(AK28-MAX($AJ28:AJ28),0)*$EF151</f>
        <v>0</v>
      </c>
      <c r="AL151" s="648">
        <f>MAX(AL28-MAX($AJ28:AK28),0)*$EF151</f>
        <v>0</v>
      </c>
      <c r="AM151" s="648">
        <f>MAX(AM28-MAX($AJ28:AL28),0)*$EF151</f>
        <v>0</v>
      </c>
      <c r="AN151" s="648">
        <f>MAX(AN28-MAX($AJ28:AM28),0)*$EF151</f>
        <v>0</v>
      </c>
      <c r="AO151" s="648">
        <f>MAX(AO28-MAX($AJ28:AN28),0)*$EF151</f>
        <v>0</v>
      </c>
      <c r="AP151" s="648">
        <f>MAX(AP28-MAX($AJ28:AO28),0)*$EF151</f>
        <v>0</v>
      </c>
      <c r="AQ151" s="648">
        <f>MAX(AQ28-MAX($AJ28:AP28),0)*$EF151</f>
        <v>0</v>
      </c>
      <c r="AR151" s="648">
        <f>MAX(AR28-MAX($AJ28:AQ28),0)*$EF151</f>
        <v>0</v>
      </c>
      <c r="AS151" s="648">
        <f>MAX(AS28-MAX($AJ28:AR28),0)*$EF151</f>
        <v>0</v>
      </c>
      <c r="AT151" s="648">
        <f>MAX(AT28-MAX($AJ28:AS28),0)*$EF151</f>
        <v>0</v>
      </c>
      <c r="AU151" s="648">
        <f>MAX(AU28-MAX($AJ28:AT28),0)*$EF151</f>
        <v>0</v>
      </c>
      <c r="AV151" s="648">
        <f>MAX(AV28-MAX($AJ28:AU28),0)*$EF151</f>
        <v>0</v>
      </c>
      <c r="AW151" s="648">
        <f>MAX(AW28-MAX($AJ28:AV28),0)*$EF151</f>
        <v>0</v>
      </c>
      <c r="AX151" s="648">
        <f>MAX(AX28-MAX($AJ28:AW28),0)*$EF151</f>
        <v>0</v>
      </c>
      <c r="AY151" s="648">
        <f>MAX(AY28-MAX($AJ28:AX28),0)*$EF151</f>
        <v>0</v>
      </c>
      <c r="AZ151" s="648">
        <f>MAX(AZ28-MAX($AJ28:AY28),0)*$EF151</f>
        <v>0</v>
      </c>
      <c r="BA151" s="648">
        <f>MAX(BA28-MAX($AJ28:AZ28),0)*$EF151</f>
        <v>0</v>
      </c>
      <c r="BB151" s="648">
        <f>MAX(BB28-MAX($AJ28:BA28),0)*$EF151</f>
        <v>0</v>
      </c>
      <c r="BC151" s="648">
        <f>MAX(BC28-MAX($AJ28:BB28),0)*$EF151</f>
        <v>0</v>
      </c>
      <c r="BD151" s="648">
        <f>MAX(BD28-MAX($AJ28:BC28),0)*$EF151</f>
        <v>0</v>
      </c>
      <c r="BE151" s="648">
        <f>MAX(BE28-MAX($AJ28:BD28),0)*$EF151</f>
        <v>0</v>
      </c>
      <c r="BF151" s="648">
        <f>MAX(BF28-MAX($AJ28:BE28),0)*$EF151</f>
        <v>0</v>
      </c>
      <c r="BG151" s="648">
        <f>MAX(BG28-MAX($AJ28:BF28),0)*$EF151</f>
        <v>0</v>
      </c>
      <c r="BH151" s="648">
        <f>MAX(BH28-MAX($AJ28:BG28),0)*$EF151</f>
        <v>0</v>
      </c>
      <c r="BI151" s="648">
        <f>MAX(BI28-MAX($AJ28:BH28),0)*$EF151</f>
        <v>0</v>
      </c>
      <c r="BJ151" s="648">
        <f>MAX(BJ28-MAX($AJ28:BI28),0)*$EF151</f>
        <v>0</v>
      </c>
      <c r="BK151" s="648">
        <f>MAX(BK28-MAX($AJ28:BJ28),0)*$EF151</f>
        <v>0</v>
      </c>
      <c r="BL151" s="648">
        <f>MAX(BL28-MAX($AJ28:BK28),0)*$EF151</f>
        <v>0</v>
      </c>
      <c r="BM151" s="648">
        <f>MAX(BM28-MAX($AJ28:BL28),0)*$EF151</f>
        <v>0</v>
      </c>
      <c r="BN151" s="648">
        <f>MAX(BN28-MAX($AJ28:BM28),0)*$EF151</f>
        <v>0</v>
      </c>
      <c r="BO151" s="648"/>
      <c r="BP151" s="648">
        <f>MAX(BP28-MAX($BP28:BP28),0)*$EF151</f>
        <v>0</v>
      </c>
      <c r="BQ151" s="648">
        <f>MAX(BQ28-MAX($BP28:BP28),0)*$EF151</f>
        <v>0</v>
      </c>
      <c r="BR151" s="648">
        <f>MAX(BR28-MAX($BP28:BQ28),0)*$EF151</f>
        <v>0</v>
      </c>
      <c r="BS151" s="648">
        <f>MAX(BS28-MAX($BP28:BR28),0)*$EF151</f>
        <v>0</v>
      </c>
      <c r="BT151" s="648">
        <f>MAX(BT28-MAX($BP28:BS28),0)*$EF151</f>
        <v>0</v>
      </c>
      <c r="BU151" s="648">
        <f>MAX(BU28-MAX($BP28:BT28),0)*$EF151</f>
        <v>0</v>
      </c>
      <c r="BV151" s="648">
        <f>MAX(BV28-MAX($BP28:BU28),0)*$EF151</f>
        <v>0</v>
      </c>
      <c r="BW151" s="648">
        <f>MAX(BW28-MAX($BP28:BV28),0)*$EF151</f>
        <v>0</v>
      </c>
      <c r="BX151" s="648">
        <f>MAX(BX28-MAX($BP28:BW28),0)*$EF151</f>
        <v>0</v>
      </c>
      <c r="BY151" s="648">
        <f>MAX(BY28-MAX($BP28:BX28),0)*$EF151</f>
        <v>0</v>
      </c>
      <c r="BZ151" s="648">
        <f>MAX(BZ28-MAX($BP28:BY28),0)*$EF151</f>
        <v>0</v>
      </c>
      <c r="CA151" s="648">
        <f>MAX(CA28-MAX($BP28:BZ28),0)*$EF151</f>
        <v>0</v>
      </c>
      <c r="CB151" s="648">
        <f>MAX(CB28-MAX($BP28:CA28),0)*$EF151</f>
        <v>0</v>
      </c>
      <c r="CC151" s="648">
        <f>MAX(CC28-MAX($BP28:CB28),0)*$EF151</f>
        <v>0</v>
      </c>
      <c r="CD151" s="648">
        <f>MAX(CD28-MAX($BP28:CC28),0)*$EF151</f>
        <v>0</v>
      </c>
      <c r="CE151" s="648">
        <f>MAX(CE28-MAX($BP28:CD28),0)*$EF151</f>
        <v>0</v>
      </c>
      <c r="CF151" s="648">
        <f>MAX(CF28-MAX($BP28:CE28),0)*$EF151</f>
        <v>0</v>
      </c>
      <c r="CG151" s="648">
        <f>MAX(CG28-MAX($BP28:CF28),0)*$EF151</f>
        <v>0</v>
      </c>
      <c r="CH151" s="648">
        <f>MAX(CH28-MAX($BP28:CG28),0)*$EF151</f>
        <v>0</v>
      </c>
      <c r="CI151" s="648">
        <f>MAX(CI28-MAX($BP28:CH28),0)*$EF151</f>
        <v>0</v>
      </c>
      <c r="CJ151" s="648">
        <f>MAX(CJ28-MAX($BP28:CI28),0)*$EF151</f>
        <v>0</v>
      </c>
      <c r="CK151" s="648">
        <f>MAX(CK28-MAX($BP28:CJ28),0)*$EF151</f>
        <v>0</v>
      </c>
      <c r="CL151" s="648">
        <f>MAX(CL28-MAX($BP28:CK28),0)*$EF151</f>
        <v>0</v>
      </c>
      <c r="CM151" s="648">
        <f>MAX(CM28-MAX($BP28:CL28),0)*$EF151</f>
        <v>0</v>
      </c>
      <c r="CN151" s="648">
        <f>MAX(CN28-MAX($BP28:CM28),0)*$EF151</f>
        <v>0</v>
      </c>
      <c r="CO151" s="648">
        <f>MAX(CO28-MAX($BP28:CN28),0)*$EF151</f>
        <v>0</v>
      </c>
      <c r="CP151" s="648">
        <f>MAX(CP28-MAX($BP28:CO28),0)*$EF151</f>
        <v>0</v>
      </c>
      <c r="CQ151" s="648">
        <f>MAX(CQ28-MAX($BP28:CP28),0)*$EF151</f>
        <v>0</v>
      </c>
      <c r="CR151" s="648">
        <f>MAX(CR28-MAX($BP28:CQ28),0)*$EF151</f>
        <v>0</v>
      </c>
      <c r="CS151" s="648">
        <f>MAX(CS28-MAX($BP28:CR28),0)*$EF151</f>
        <v>0</v>
      </c>
      <c r="CT151" s="648">
        <f>MAX(CT28-MAX($BP28:CS28),0)*$EF151</f>
        <v>0</v>
      </c>
      <c r="CU151" s="648"/>
      <c r="CV151" s="648">
        <f>MAX(CV28-MAX($CV28:CV28),0)*$EF151</f>
        <v>0</v>
      </c>
      <c r="CW151" s="648">
        <f>MAX(CW28-MAX($CV28:CV28),0)*$EF151</f>
        <v>0</v>
      </c>
      <c r="CX151" s="648">
        <f>MAX(CX28-MAX($CV28:CW28),0)*$EF151</f>
        <v>0</v>
      </c>
      <c r="CY151" s="648">
        <f>MAX(CY28-MAX($CV28:CX28),0)*$EF151</f>
        <v>0</v>
      </c>
      <c r="CZ151" s="648">
        <f>MAX(CZ28-MAX($CV28:CY28),0)*$EF151</f>
        <v>0</v>
      </c>
      <c r="DA151" s="648">
        <f>MAX(DA28-MAX($CV28:CZ28),0)*$EF151</f>
        <v>0</v>
      </c>
      <c r="DB151" s="648">
        <f>MAX(DB28-MAX($CV28:DA28),0)*$EF151</f>
        <v>0</v>
      </c>
      <c r="DC151" s="648">
        <f>MAX(DC28-MAX($CV28:DB28),0)*$EF151</f>
        <v>0</v>
      </c>
      <c r="DD151" s="648">
        <f>MAX(DD28-MAX($CV28:DC28),0)*$EF151</f>
        <v>0</v>
      </c>
      <c r="DE151" s="648">
        <f>MAX(DE28-MAX($CV28:DD28),0)*$EF151</f>
        <v>0</v>
      </c>
      <c r="DF151" s="648">
        <f>MAX(DF28-MAX($CV28:DE28),0)*$EF151</f>
        <v>0</v>
      </c>
      <c r="DG151" s="648">
        <f>MAX(DG28-MAX($CV28:DF28),0)*$EF151</f>
        <v>0</v>
      </c>
      <c r="DH151" s="648">
        <f>MAX(DH28-MAX($CV28:DG28),0)*$EF151</f>
        <v>0</v>
      </c>
      <c r="DI151" s="648">
        <f>MAX(DI28-MAX($CV28:DH28),0)*$EF151</f>
        <v>0</v>
      </c>
      <c r="DJ151" s="648">
        <f>MAX(DJ28-MAX($CV28:DI28),0)*$EF151</f>
        <v>0</v>
      </c>
      <c r="DK151" s="648">
        <f>MAX(DK28-MAX($CV28:DJ28),0)*$EF151</f>
        <v>0</v>
      </c>
      <c r="DL151" s="648">
        <f>MAX(DL28-MAX($CV28:DK28),0)*$EF151</f>
        <v>0</v>
      </c>
      <c r="DM151" s="648">
        <f>MAX(DM28-MAX($CV28:DL28),0)*$EF151</f>
        <v>0</v>
      </c>
      <c r="DN151" s="648">
        <f>MAX(DN28-MAX($CV28:DM28),0)*$EF151</f>
        <v>0</v>
      </c>
      <c r="DO151" s="648">
        <f>MAX(DO28-MAX($CV28:DN28),0)*$EF151</f>
        <v>0</v>
      </c>
      <c r="DP151" s="648">
        <f>MAX(DP28-MAX($CV28:DO28),0)*$EF151</f>
        <v>0</v>
      </c>
      <c r="DQ151" s="648">
        <f>MAX(DQ28-MAX($CV28:DP28),0)*$EF151</f>
        <v>0</v>
      </c>
      <c r="DR151" s="648">
        <f>MAX(DR28-MAX($CV28:DQ28),0)*$EF151</f>
        <v>0</v>
      </c>
      <c r="DS151" s="648">
        <f>MAX(DS28-MAX($CV28:DR28),0)*$EF151</f>
        <v>0</v>
      </c>
      <c r="DT151" s="648">
        <f>MAX(DT28-MAX($CV28:DS28),0)*$EF151</f>
        <v>0</v>
      </c>
      <c r="DU151" s="648">
        <f>MAX(DU28-MAX($CV28:DT28),0)*$EF151</f>
        <v>0</v>
      </c>
      <c r="DV151" s="648">
        <f>MAX(DV28-MAX($CV28:DU28),0)*$EF151</f>
        <v>0</v>
      </c>
      <c r="DW151" s="648">
        <f>MAX(DW28-MAX($CV28:DV28),0)*$EF151</f>
        <v>0</v>
      </c>
      <c r="DX151" s="648">
        <f>MAX(DX28-MAX($CV28:DW28),0)*$EF151</f>
        <v>0</v>
      </c>
      <c r="DY151" s="648">
        <f>MAX(DY28-MAX($CV28:DX28),0)*$EF151</f>
        <v>0</v>
      </c>
      <c r="DZ151" s="648">
        <f>MAX(DZ28-MAX($CV28:DY28),0)*$EF151</f>
        <v>0</v>
      </c>
      <c r="EF151" s="84">
        <v>0</v>
      </c>
      <c r="EG151" s="51"/>
      <c r="EH151" s="51"/>
      <c r="EI151" s="51"/>
      <c r="EJ151" s="51"/>
    </row>
    <row r="152" spans="1:140">
      <c r="A152" s="1"/>
      <c r="B152" t="str">
        <f t="shared" si="523"/>
        <v>Open Burning</v>
      </c>
      <c r="C152" s="54" t="s">
        <v>114</v>
      </c>
      <c r="D152" s="648">
        <f>MAX(D29-MAX($D29:D29),0)*$EF152</f>
        <v>0</v>
      </c>
      <c r="E152" s="648">
        <f>MAX(E29-MAX($D29:D29),0)*$EF152</f>
        <v>0</v>
      </c>
      <c r="F152" s="648">
        <f>MAX(F29-MAX($D29:E29),0)*$EF152</f>
        <v>0</v>
      </c>
      <c r="G152" s="648">
        <f>MAX(G29-MAX($D29:F29),0)*$EF152</f>
        <v>0</v>
      </c>
      <c r="H152" s="648">
        <f>MAX(H29-MAX($D29:G29),0)*$EF152</f>
        <v>0</v>
      </c>
      <c r="I152" s="648">
        <f>MAX(I29-MAX($D29:H29),0)*$EF152</f>
        <v>0</v>
      </c>
      <c r="J152" s="648">
        <f>MAX(J29-MAX($D29:I29),0)*$EF152</f>
        <v>0</v>
      </c>
      <c r="K152" s="648">
        <f>MAX(K29-MAX($D29:J29),0)*$EF152</f>
        <v>0</v>
      </c>
      <c r="L152" s="648">
        <f>MAX(L29-MAX($D29:K29),0)*$EF152</f>
        <v>0</v>
      </c>
      <c r="M152" s="648">
        <f>MAX(M29-MAX($D29:L29),0)*$EF152</f>
        <v>0</v>
      </c>
      <c r="N152" s="648">
        <f>MAX(N29-MAX($D29:M29),0)*$EF152</f>
        <v>0</v>
      </c>
      <c r="O152" s="648">
        <f>MAX(O29-MAX($D29:N29),0)*$EF152</f>
        <v>0</v>
      </c>
      <c r="P152" s="648">
        <f>MAX(P29-MAX($D29:O29),0)*$EF152</f>
        <v>0</v>
      </c>
      <c r="Q152" s="648">
        <f>MAX(Q29-MAX($D29:P29),0)*$EF152</f>
        <v>0</v>
      </c>
      <c r="R152" s="648">
        <f>MAX(R29-MAX($D29:Q29),0)*$EF152</f>
        <v>0</v>
      </c>
      <c r="S152" s="648">
        <f>MAX(S29-MAX($D29:R29),0)*$EF152</f>
        <v>0</v>
      </c>
      <c r="T152" s="648">
        <f>MAX(T29-MAX($D29:S29),0)*$EF152</f>
        <v>0</v>
      </c>
      <c r="U152" s="648">
        <f>MAX(U29-MAX($D29:T29),0)*$EF152</f>
        <v>0</v>
      </c>
      <c r="V152" s="648">
        <f>MAX(V29-MAX($D29:U29),0)*$EF152</f>
        <v>0</v>
      </c>
      <c r="W152" s="648">
        <f>MAX(W29-MAX($D29:V29),0)*$EF152</f>
        <v>0</v>
      </c>
      <c r="X152" s="648">
        <f>MAX(X29-MAX($D29:W29),0)*$EF152</f>
        <v>0</v>
      </c>
      <c r="Y152" s="648">
        <f>MAX(Y29-MAX($D29:X29),0)*$EF152</f>
        <v>0</v>
      </c>
      <c r="Z152" s="648">
        <f>MAX(Z29-MAX($D29:Y29),0)*$EF152</f>
        <v>0</v>
      </c>
      <c r="AA152" s="648">
        <f>MAX(AA29-MAX($D29:Z29),0)*$EF152</f>
        <v>0</v>
      </c>
      <c r="AB152" s="648">
        <f>MAX(AB29-MAX($D29:AA29),0)*$EF152</f>
        <v>0</v>
      </c>
      <c r="AC152" s="648">
        <f>MAX(AC29-MAX($D29:AB29),0)*$EF152</f>
        <v>0</v>
      </c>
      <c r="AD152" s="648">
        <f>MAX(AD29-MAX($D29:AC29),0)*$EF152</f>
        <v>0</v>
      </c>
      <c r="AE152" s="648">
        <f>MAX(AE29-MAX($D29:AD29),0)*$EF152</f>
        <v>0</v>
      </c>
      <c r="AF152" s="648">
        <f>MAX(AF29-MAX($D29:AE29),0)*$EF152</f>
        <v>0</v>
      </c>
      <c r="AG152" s="648">
        <f>MAX(AG29-MAX($D29:AF29),0)*$EF152</f>
        <v>0</v>
      </c>
      <c r="AH152" s="648">
        <f>MAX(AH29-MAX($D29:AG29),0)*$EF152</f>
        <v>0</v>
      </c>
      <c r="AI152" s="648"/>
      <c r="AJ152" s="648">
        <f>MAX(AJ29-MAX($AJ29:AJ29),0)*$EF152</f>
        <v>0</v>
      </c>
      <c r="AK152" s="648">
        <f>MAX(AK29-MAX($AJ29:AJ29),0)*$EF152</f>
        <v>0</v>
      </c>
      <c r="AL152" s="648">
        <f>MAX(AL29-MAX($AJ29:AK29),0)*$EF152</f>
        <v>0</v>
      </c>
      <c r="AM152" s="648">
        <f>MAX(AM29-MAX($AJ29:AL29),0)*$EF152</f>
        <v>0</v>
      </c>
      <c r="AN152" s="648">
        <f>MAX(AN29-MAX($AJ29:AM29),0)*$EF152</f>
        <v>0</v>
      </c>
      <c r="AO152" s="648">
        <f>MAX(AO29-MAX($AJ29:AN29),0)*$EF152</f>
        <v>0</v>
      </c>
      <c r="AP152" s="648">
        <f>MAX(AP29-MAX($AJ29:AO29),0)*$EF152</f>
        <v>0</v>
      </c>
      <c r="AQ152" s="648">
        <f>MAX(AQ29-MAX($AJ29:AP29),0)*$EF152</f>
        <v>0</v>
      </c>
      <c r="AR152" s="648">
        <f>MAX(AR29-MAX($AJ29:AQ29),0)*$EF152</f>
        <v>0</v>
      </c>
      <c r="AS152" s="648">
        <f>MAX(AS29-MAX($AJ29:AR29),0)*$EF152</f>
        <v>0</v>
      </c>
      <c r="AT152" s="648">
        <f>MAX(AT29-MAX($AJ29:AS29),0)*$EF152</f>
        <v>0</v>
      </c>
      <c r="AU152" s="648">
        <f>MAX(AU29-MAX($AJ29:AT29),0)*$EF152</f>
        <v>0</v>
      </c>
      <c r="AV152" s="648">
        <f>MAX(AV29-MAX($AJ29:AU29),0)*$EF152</f>
        <v>0</v>
      </c>
      <c r="AW152" s="648">
        <f>MAX(AW29-MAX($AJ29:AV29),0)*$EF152</f>
        <v>0</v>
      </c>
      <c r="AX152" s="648">
        <f>MAX(AX29-MAX($AJ29:AW29),0)*$EF152</f>
        <v>0</v>
      </c>
      <c r="AY152" s="648">
        <f>MAX(AY29-MAX($AJ29:AX29),0)*$EF152</f>
        <v>0</v>
      </c>
      <c r="AZ152" s="648">
        <f>MAX(AZ29-MAX($AJ29:AY29),0)*$EF152</f>
        <v>0</v>
      </c>
      <c r="BA152" s="648">
        <f>MAX(BA29-MAX($AJ29:AZ29),0)*$EF152</f>
        <v>0</v>
      </c>
      <c r="BB152" s="648">
        <f>MAX(BB29-MAX($AJ29:BA29),0)*$EF152</f>
        <v>0</v>
      </c>
      <c r="BC152" s="648">
        <f>MAX(BC29-MAX($AJ29:BB29),0)*$EF152</f>
        <v>0</v>
      </c>
      <c r="BD152" s="648">
        <f>MAX(BD29-MAX($AJ29:BC29),0)*$EF152</f>
        <v>0</v>
      </c>
      <c r="BE152" s="648">
        <f>MAX(BE29-MAX($AJ29:BD29),0)*$EF152</f>
        <v>0</v>
      </c>
      <c r="BF152" s="648">
        <f>MAX(BF29-MAX($AJ29:BE29),0)*$EF152</f>
        <v>0</v>
      </c>
      <c r="BG152" s="648">
        <f>MAX(BG29-MAX($AJ29:BF29),0)*$EF152</f>
        <v>0</v>
      </c>
      <c r="BH152" s="648">
        <f>MAX(BH29-MAX($AJ29:BG29),0)*$EF152</f>
        <v>0</v>
      </c>
      <c r="BI152" s="648">
        <f>MAX(BI29-MAX($AJ29:BH29),0)*$EF152</f>
        <v>0</v>
      </c>
      <c r="BJ152" s="648">
        <f>MAX(BJ29-MAX($AJ29:BI29),0)*$EF152</f>
        <v>0</v>
      </c>
      <c r="BK152" s="648">
        <f>MAX(BK29-MAX($AJ29:BJ29),0)*$EF152</f>
        <v>0</v>
      </c>
      <c r="BL152" s="648">
        <f>MAX(BL29-MAX($AJ29:BK29),0)*$EF152</f>
        <v>0</v>
      </c>
      <c r="BM152" s="648">
        <f>MAX(BM29-MAX($AJ29:BL29),0)*$EF152</f>
        <v>0</v>
      </c>
      <c r="BN152" s="648">
        <f>MAX(BN29-MAX($AJ29:BM29),0)*$EF152</f>
        <v>0</v>
      </c>
      <c r="BO152" s="648"/>
      <c r="BP152" s="648">
        <f>MAX(BP29-MAX($BP29:BP29),0)*$EF152</f>
        <v>0</v>
      </c>
      <c r="BQ152" s="648">
        <f>MAX(BQ29-MAX($BP29:BP29),0)*$EF152</f>
        <v>0</v>
      </c>
      <c r="BR152" s="648">
        <f>MAX(BR29-MAX($BP29:BQ29),0)*$EF152</f>
        <v>0</v>
      </c>
      <c r="BS152" s="648">
        <f>MAX(BS29-MAX($BP29:BR29),0)*$EF152</f>
        <v>0</v>
      </c>
      <c r="BT152" s="648">
        <f>MAX(BT29-MAX($BP29:BS29),0)*$EF152</f>
        <v>0</v>
      </c>
      <c r="BU152" s="648">
        <f>MAX(BU29-MAX($BP29:BT29),0)*$EF152</f>
        <v>0</v>
      </c>
      <c r="BV152" s="648">
        <f>MAX(BV29-MAX($BP29:BU29),0)*$EF152</f>
        <v>0</v>
      </c>
      <c r="BW152" s="648">
        <f>MAX(BW29-MAX($BP29:BV29),0)*$EF152</f>
        <v>0</v>
      </c>
      <c r="BX152" s="648">
        <f>MAX(BX29-MAX($BP29:BW29),0)*$EF152</f>
        <v>0</v>
      </c>
      <c r="BY152" s="648">
        <f>MAX(BY29-MAX($BP29:BX29),0)*$EF152</f>
        <v>0</v>
      </c>
      <c r="BZ152" s="648">
        <f>MAX(BZ29-MAX($BP29:BY29),0)*$EF152</f>
        <v>0</v>
      </c>
      <c r="CA152" s="648">
        <f>MAX(CA29-MAX($BP29:BZ29),0)*$EF152</f>
        <v>0</v>
      </c>
      <c r="CB152" s="648">
        <f>MAX(CB29-MAX($BP29:CA29),0)*$EF152</f>
        <v>0</v>
      </c>
      <c r="CC152" s="648">
        <f>MAX(CC29-MAX($BP29:CB29),0)*$EF152</f>
        <v>0</v>
      </c>
      <c r="CD152" s="648">
        <f>MAX(CD29-MAX($BP29:CC29),0)*$EF152</f>
        <v>0</v>
      </c>
      <c r="CE152" s="648">
        <f>MAX(CE29-MAX($BP29:CD29),0)*$EF152</f>
        <v>0</v>
      </c>
      <c r="CF152" s="648">
        <f>MAX(CF29-MAX($BP29:CE29),0)*$EF152</f>
        <v>0</v>
      </c>
      <c r="CG152" s="648">
        <f>MAX(CG29-MAX($BP29:CF29),0)*$EF152</f>
        <v>0</v>
      </c>
      <c r="CH152" s="648">
        <f>MAX(CH29-MAX($BP29:CG29),0)*$EF152</f>
        <v>0</v>
      </c>
      <c r="CI152" s="648">
        <f>MAX(CI29-MAX($BP29:CH29),0)*$EF152</f>
        <v>0</v>
      </c>
      <c r="CJ152" s="648">
        <f>MAX(CJ29-MAX($BP29:CI29),0)*$EF152</f>
        <v>0</v>
      </c>
      <c r="CK152" s="648">
        <f>MAX(CK29-MAX($BP29:CJ29),0)*$EF152</f>
        <v>0</v>
      </c>
      <c r="CL152" s="648">
        <f>MAX(CL29-MAX($BP29:CK29),0)*$EF152</f>
        <v>0</v>
      </c>
      <c r="CM152" s="648">
        <f>MAX(CM29-MAX($BP29:CL29),0)*$EF152</f>
        <v>0</v>
      </c>
      <c r="CN152" s="648">
        <f>MAX(CN29-MAX($BP29:CM29),0)*$EF152</f>
        <v>0</v>
      </c>
      <c r="CO152" s="648">
        <f>MAX(CO29-MAX($BP29:CN29),0)*$EF152</f>
        <v>0</v>
      </c>
      <c r="CP152" s="648">
        <f>MAX(CP29-MAX($BP29:CO29),0)*$EF152</f>
        <v>0</v>
      </c>
      <c r="CQ152" s="648">
        <f>MAX(CQ29-MAX($BP29:CP29),0)*$EF152</f>
        <v>0</v>
      </c>
      <c r="CR152" s="648">
        <f>MAX(CR29-MAX($BP29:CQ29),0)*$EF152</f>
        <v>0</v>
      </c>
      <c r="CS152" s="648">
        <f>MAX(CS29-MAX($BP29:CR29),0)*$EF152</f>
        <v>0</v>
      </c>
      <c r="CT152" s="648">
        <f>MAX(CT29-MAX($BP29:CS29),0)*$EF152</f>
        <v>0</v>
      </c>
      <c r="CU152" s="648"/>
      <c r="CV152" s="648">
        <f>MAX(CV29-MAX($CV29:CV29),0)*$EF152</f>
        <v>0</v>
      </c>
      <c r="CW152" s="648">
        <f>MAX(CW29-MAX($CV29:CV29),0)*$EF152</f>
        <v>0</v>
      </c>
      <c r="CX152" s="648">
        <f>MAX(CX29-MAX($CV29:CW29),0)*$EF152</f>
        <v>0</v>
      </c>
      <c r="CY152" s="648">
        <f>MAX(CY29-MAX($CV29:CX29),0)*$EF152</f>
        <v>0</v>
      </c>
      <c r="CZ152" s="648">
        <f>MAX(CZ29-MAX($CV29:CY29),0)*$EF152</f>
        <v>0</v>
      </c>
      <c r="DA152" s="648">
        <f>MAX(DA29-MAX($CV29:CZ29),0)*$EF152</f>
        <v>0</v>
      </c>
      <c r="DB152" s="648">
        <f>MAX(DB29-MAX($CV29:DA29),0)*$EF152</f>
        <v>0</v>
      </c>
      <c r="DC152" s="648">
        <f>MAX(DC29-MAX($CV29:DB29),0)*$EF152</f>
        <v>0</v>
      </c>
      <c r="DD152" s="648">
        <f>MAX(DD29-MAX($CV29:DC29),0)*$EF152</f>
        <v>0</v>
      </c>
      <c r="DE152" s="648">
        <f>MAX(DE29-MAX($CV29:DD29),0)*$EF152</f>
        <v>0</v>
      </c>
      <c r="DF152" s="648">
        <f>MAX(DF29-MAX($CV29:DE29),0)*$EF152</f>
        <v>0</v>
      </c>
      <c r="DG152" s="648">
        <f>MAX(DG29-MAX($CV29:DF29),0)*$EF152</f>
        <v>0</v>
      </c>
      <c r="DH152" s="648">
        <f>MAX(DH29-MAX($CV29:DG29),0)*$EF152</f>
        <v>0</v>
      </c>
      <c r="DI152" s="648">
        <f>MAX(DI29-MAX($CV29:DH29),0)*$EF152</f>
        <v>0</v>
      </c>
      <c r="DJ152" s="648">
        <f>MAX(DJ29-MAX($CV29:DI29),0)*$EF152</f>
        <v>0</v>
      </c>
      <c r="DK152" s="648">
        <f>MAX(DK29-MAX($CV29:DJ29),0)*$EF152</f>
        <v>0</v>
      </c>
      <c r="DL152" s="648">
        <f>MAX(DL29-MAX($CV29:DK29),0)*$EF152</f>
        <v>0</v>
      </c>
      <c r="DM152" s="648">
        <f>MAX(DM29-MAX($CV29:DL29),0)*$EF152</f>
        <v>0</v>
      </c>
      <c r="DN152" s="648">
        <f>MAX(DN29-MAX($CV29:DM29),0)*$EF152</f>
        <v>0</v>
      </c>
      <c r="DO152" s="648">
        <f>MAX(DO29-MAX($CV29:DN29),0)*$EF152</f>
        <v>0</v>
      </c>
      <c r="DP152" s="648">
        <f>MAX(DP29-MAX($CV29:DO29),0)*$EF152</f>
        <v>0</v>
      </c>
      <c r="DQ152" s="648">
        <f>MAX(DQ29-MAX($CV29:DP29),0)*$EF152</f>
        <v>0</v>
      </c>
      <c r="DR152" s="648">
        <f>MAX(DR29-MAX($CV29:DQ29),0)*$EF152</f>
        <v>0</v>
      </c>
      <c r="DS152" s="648">
        <f>MAX(DS29-MAX($CV29:DR29),0)*$EF152</f>
        <v>0</v>
      </c>
      <c r="DT152" s="648">
        <f>MAX(DT29-MAX($CV29:DS29),0)*$EF152</f>
        <v>0</v>
      </c>
      <c r="DU152" s="648">
        <f>MAX(DU29-MAX($CV29:DT29),0)*$EF152</f>
        <v>0</v>
      </c>
      <c r="DV152" s="648">
        <f>MAX(DV29-MAX($CV29:DU29),0)*$EF152</f>
        <v>0</v>
      </c>
      <c r="DW152" s="648">
        <f>MAX(DW29-MAX($CV29:DV29),0)*$EF152</f>
        <v>0</v>
      </c>
      <c r="DX152" s="648">
        <f>MAX(DX29-MAX($CV29:DW29),0)*$EF152</f>
        <v>0</v>
      </c>
      <c r="DY152" s="648">
        <f>MAX(DY29-MAX($CV29:DX29),0)*$EF152</f>
        <v>0</v>
      </c>
      <c r="DZ152" s="648">
        <f>MAX(DZ29-MAX($CV29:DY29),0)*$EF152</f>
        <v>0</v>
      </c>
      <c r="EF152" s="51">
        <v>0</v>
      </c>
      <c r="EG152" s="51"/>
      <c r="EH152" s="51"/>
      <c r="EI152" s="51"/>
      <c r="EJ152" s="51"/>
    </row>
    <row r="153" spans="1:140">
      <c r="A153" s="1"/>
      <c r="B153" t="str">
        <f t="shared" si="523"/>
        <v>Leakage Environment</v>
      </c>
      <c r="C153" s="54" t="s">
        <v>114</v>
      </c>
      <c r="D153" s="648">
        <f>MAX(D30-MAX($D30:D30),0)*$EF153</f>
        <v>0</v>
      </c>
      <c r="E153" s="648">
        <f>MAX(E30-MAX($D30:D30),0)*$EF153</f>
        <v>0</v>
      </c>
      <c r="F153" s="648">
        <f>MAX(F30-MAX($D30:E30),0)*$EF153</f>
        <v>0</v>
      </c>
      <c r="G153" s="648">
        <f>MAX(G30-MAX($D30:F30),0)*$EF153</f>
        <v>0</v>
      </c>
      <c r="H153" s="648">
        <f>MAX(H30-MAX($D30:G30),0)*$EF153</f>
        <v>0</v>
      </c>
      <c r="I153" s="648">
        <f>MAX(I30-MAX($D30:H30),0)*$EF153</f>
        <v>0</v>
      </c>
      <c r="J153" s="648">
        <f>MAX(J30-MAX($D30:I30),0)*$EF153</f>
        <v>0</v>
      </c>
      <c r="K153" s="648">
        <f>MAX(K30-MAX($D30:J30),0)*$EF153</f>
        <v>0</v>
      </c>
      <c r="L153" s="648">
        <f>MAX(L30-MAX($D30:K30),0)*$EF153</f>
        <v>0</v>
      </c>
      <c r="M153" s="648">
        <f>MAX(M30-MAX($D30:L30),0)*$EF153</f>
        <v>0</v>
      </c>
      <c r="N153" s="648">
        <f>MAX(N30-MAX($D30:M30),0)*$EF153</f>
        <v>0</v>
      </c>
      <c r="O153" s="648">
        <f>MAX(O30-MAX($D30:N30),0)*$EF153</f>
        <v>0</v>
      </c>
      <c r="P153" s="648">
        <f>MAX(P30-MAX($D30:O30),0)*$EF153</f>
        <v>0</v>
      </c>
      <c r="Q153" s="648">
        <f>MAX(Q30-MAX($D30:P30),0)*$EF153</f>
        <v>0</v>
      </c>
      <c r="R153" s="648">
        <f>MAX(R30-MAX($D30:Q30),0)*$EF153</f>
        <v>0</v>
      </c>
      <c r="S153" s="648">
        <f>MAX(S30-MAX($D30:R30),0)*$EF153</f>
        <v>0</v>
      </c>
      <c r="T153" s="648">
        <f>MAX(T30-MAX($D30:S30),0)*$EF153</f>
        <v>0</v>
      </c>
      <c r="U153" s="648">
        <f>MAX(U30-MAX($D30:T30),0)*$EF153</f>
        <v>0</v>
      </c>
      <c r="V153" s="648">
        <f>MAX(V30-MAX($D30:U30),0)*$EF153</f>
        <v>0</v>
      </c>
      <c r="W153" s="648">
        <f>MAX(W30-MAX($D30:V30),0)*$EF153</f>
        <v>0</v>
      </c>
      <c r="X153" s="648">
        <f>MAX(X30-MAX($D30:W30),0)*$EF153</f>
        <v>0</v>
      </c>
      <c r="Y153" s="648">
        <f>MAX(Y30-MAX($D30:X30),0)*$EF153</f>
        <v>0</v>
      </c>
      <c r="Z153" s="648">
        <f>MAX(Z30-MAX($D30:Y30),0)*$EF153</f>
        <v>0</v>
      </c>
      <c r="AA153" s="648">
        <f>MAX(AA30-MAX($D30:Z30),0)*$EF153</f>
        <v>0</v>
      </c>
      <c r="AB153" s="648">
        <f>MAX(AB30-MAX($D30:AA30),0)*$EF153</f>
        <v>0</v>
      </c>
      <c r="AC153" s="648">
        <f>MAX(AC30-MAX($D30:AB30),0)*$EF153</f>
        <v>0</v>
      </c>
      <c r="AD153" s="648">
        <f>MAX(AD30-MAX($D30:AC30),0)*$EF153</f>
        <v>0</v>
      </c>
      <c r="AE153" s="648">
        <f>MAX(AE30-MAX($D30:AD30),0)*$EF153</f>
        <v>0</v>
      </c>
      <c r="AF153" s="648">
        <f>MAX(AF30-MAX($D30:AE30),0)*$EF153</f>
        <v>0</v>
      </c>
      <c r="AG153" s="648">
        <f>MAX(AG30-MAX($D30:AF30),0)*$EF153</f>
        <v>0</v>
      </c>
      <c r="AH153" s="648">
        <f>MAX(AH30-MAX($D30:AG30),0)*$EF153</f>
        <v>0</v>
      </c>
      <c r="AI153" s="648"/>
      <c r="AJ153" s="648">
        <f>MAX(AJ30-MAX($AJ30:AJ30),0)*$EF153</f>
        <v>0</v>
      </c>
      <c r="AK153" s="648">
        <f>MAX(AK30-MAX($AJ30:AJ30),0)*$EF153</f>
        <v>0</v>
      </c>
      <c r="AL153" s="648">
        <f>MAX(AL30-MAX($AJ30:AK30),0)*$EF153</f>
        <v>0</v>
      </c>
      <c r="AM153" s="648">
        <f>MAX(AM30-MAX($AJ30:AL30),0)*$EF153</f>
        <v>0</v>
      </c>
      <c r="AN153" s="648">
        <f>MAX(AN30-MAX($AJ30:AM30),0)*$EF153</f>
        <v>0</v>
      </c>
      <c r="AO153" s="648">
        <f>MAX(AO30-MAX($AJ30:AN30),0)*$EF153</f>
        <v>0</v>
      </c>
      <c r="AP153" s="648">
        <f>MAX(AP30-MAX($AJ30:AO30),0)*$EF153</f>
        <v>0</v>
      </c>
      <c r="AQ153" s="648">
        <f>MAX(AQ30-MAX($AJ30:AP30),0)*$EF153</f>
        <v>0</v>
      </c>
      <c r="AR153" s="648">
        <f>MAX(AR30-MAX($AJ30:AQ30),0)*$EF153</f>
        <v>0</v>
      </c>
      <c r="AS153" s="648">
        <f>MAX(AS30-MAX($AJ30:AR30),0)*$EF153</f>
        <v>0</v>
      </c>
      <c r="AT153" s="648">
        <f>MAX(AT30-MAX($AJ30:AS30),0)*$EF153</f>
        <v>0</v>
      </c>
      <c r="AU153" s="648">
        <f>MAX(AU30-MAX($AJ30:AT30),0)*$EF153</f>
        <v>0</v>
      </c>
      <c r="AV153" s="648">
        <f>MAX(AV30-MAX($AJ30:AU30),0)*$EF153</f>
        <v>0</v>
      </c>
      <c r="AW153" s="648">
        <f>MAX(AW30-MAX($AJ30:AV30),0)*$EF153</f>
        <v>0</v>
      </c>
      <c r="AX153" s="648">
        <f>MAX(AX30-MAX($AJ30:AW30),0)*$EF153</f>
        <v>0</v>
      </c>
      <c r="AY153" s="648">
        <f>MAX(AY30-MAX($AJ30:AX30),0)*$EF153</f>
        <v>0</v>
      </c>
      <c r="AZ153" s="648">
        <f>MAX(AZ30-MAX($AJ30:AY30),0)*$EF153</f>
        <v>0</v>
      </c>
      <c r="BA153" s="648">
        <f>MAX(BA30-MAX($AJ30:AZ30),0)*$EF153</f>
        <v>0</v>
      </c>
      <c r="BB153" s="648">
        <f>MAX(BB30-MAX($AJ30:BA30),0)*$EF153</f>
        <v>0</v>
      </c>
      <c r="BC153" s="648">
        <f>MAX(BC30-MAX($AJ30:BB30),0)*$EF153</f>
        <v>0</v>
      </c>
      <c r="BD153" s="648">
        <f>MAX(BD30-MAX($AJ30:BC30),0)*$EF153</f>
        <v>0</v>
      </c>
      <c r="BE153" s="648">
        <f>MAX(BE30-MAX($AJ30:BD30),0)*$EF153</f>
        <v>0</v>
      </c>
      <c r="BF153" s="648">
        <f>MAX(BF30-MAX($AJ30:BE30),0)*$EF153</f>
        <v>0</v>
      </c>
      <c r="BG153" s="648">
        <f>MAX(BG30-MAX($AJ30:BF30),0)*$EF153</f>
        <v>0</v>
      </c>
      <c r="BH153" s="648">
        <f>MAX(BH30-MAX($AJ30:BG30),0)*$EF153</f>
        <v>0</v>
      </c>
      <c r="BI153" s="648">
        <f>MAX(BI30-MAX($AJ30:BH30),0)*$EF153</f>
        <v>0</v>
      </c>
      <c r="BJ153" s="648">
        <f>MAX(BJ30-MAX($AJ30:BI30),0)*$EF153</f>
        <v>0</v>
      </c>
      <c r="BK153" s="648">
        <f>MAX(BK30-MAX($AJ30:BJ30),0)*$EF153</f>
        <v>0</v>
      </c>
      <c r="BL153" s="648">
        <f>MAX(BL30-MAX($AJ30:BK30),0)*$EF153</f>
        <v>0</v>
      </c>
      <c r="BM153" s="648">
        <f>MAX(BM30-MAX($AJ30:BL30),0)*$EF153</f>
        <v>0</v>
      </c>
      <c r="BN153" s="648">
        <f>MAX(BN30-MAX($AJ30:BM30),0)*$EF153</f>
        <v>0</v>
      </c>
      <c r="BO153" s="648"/>
      <c r="BP153" s="648">
        <f>MAX(BP30-MAX($BP30:BP30),0)*$EF153</f>
        <v>0</v>
      </c>
      <c r="BQ153" s="648">
        <f>MAX(BQ30-MAX($BP30:BP30),0)*$EF153</f>
        <v>0</v>
      </c>
      <c r="BR153" s="648">
        <f>MAX(BR30-MAX($BP30:BQ30),0)*$EF153</f>
        <v>0</v>
      </c>
      <c r="BS153" s="648">
        <f>MAX(BS30-MAX($BP30:BR30),0)*$EF153</f>
        <v>0</v>
      </c>
      <c r="BT153" s="648">
        <f>MAX(BT30-MAX($BP30:BS30),0)*$EF153</f>
        <v>0</v>
      </c>
      <c r="BU153" s="648">
        <f>MAX(BU30-MAX($BP30:BT30),0)*$EF153</f>
        <v>0</v>
      </c>
      <c r="BV153" s="648">
        <f>MAX(BV30-MAX($BP30:BU30),0)*$EF153</f>
        <v>0</v>
      </c>
      <c r="BW153" s="648">
        <f>MAX(BW30-MAX($BP30:BV30),0)*$EF153</f>
        <v>0</v>
      </c>
      <c r="BX153" s="648">
        <f>MAX(BX30-MAX($BP30:BW30),0)*$EF153</f>
        <v>0</v>
      </c>
      <c r="BY153" s="648">
        <f>MAX(BY30-MAX($BP30:BX30),0)*$EF153</f>
        <v>0</v>
      </c>
      <c r="BZ153" s="648">
        <f>MAX(BZ30-MAX($BP30:BY30),0)*$EF153</f>
        <v>0</v>
      </c>
      <c r="CA153" s="648">
        <f>MAX(CA30-MAX($BP30:BZ30),0)*$EF153</f>
        <v>0</v>
      </c>
      <c r="CB153" s="648">
        <f>MAX(CB30-MAX($BP30:CA30),0)*$EF153</f>
        <v>0</v>
      </c>
      <c r="CC153" s="648">
        <f>MAX(CC30-MAX($BP30:CB30),0)*$EF153</f>
        <v>0</v>
      </c>
      <c r="CD153" s="648">
        <f>MAX(CD30-MAX($BP30:CC30),0)*$EF153</f>
        <v>0</v>
      </c>
      <c r="CE153" s="648">
        <f>MAX(CE30-MAX($BP30:CD30),0)*$EF153</f>
        <v>0</v>
      </c>
      <c r="CF153" s="648">
        <f>MAX(CF30-MAX($BP30:CE30),0)*$EF153</f>
        <v>0</v>
      </c>
      <c r="CG153" s="648">
        <f>MAX(CG30-MAX($BP30:CF30),0)*$EF153</f>
        <v>0</v>
      </c>
      <c r="CH153" s="648">
        <f>MAX(CH30-MAX($BP30:CG30),0)*$EF153</f>
        <v>0</v>
      </c>
      <c r="CI153" s="648">
        <f>MAX(CI30-MAX($BP30:CH30),0)*$EF153</f>
        <v>0</v>
      </c>
      <c r="CJ153" s="648">
        <f>MAX(CJ30-MAX($BP30:CI30),0)*$EF153</f>
        <v>0</v>
      </c>
      <c r="CK153" s="648">
        <f>MAX(CK30-MAX($BP30:CJ30),0)*$EF153</f>
        <v>0</v>
      </c>
      <c r="CL153" s="648">
        <f>MAX(CL30-MAX($BP30:CK30),0)*$EF153</f>
        <v>0</v>
      </c>
      <c r="CM153" s="648">
        <f>MAX(CM30-MAX($BP30:CL30),0)*$EF153</f>
        <v>0</v>
      </c>
      <c r="CN153" s="648">
        <f>MAX(CN30-MAX($BP30:CM30),0)*$EF153</f>
        <v>0</v>
      </c>
      <c r="CO153" s="648">
        <f>MAX(CO30-MAX($BP30:CN30),0)*$EF153</f>
        <v>0</v>
      </c>
      <c r="CP153" s="648">
        <f>MAX(CP30-MAX($BP30:CO30),0)*$EF153</f>
        <v>0</v>
      </c>
      <c r="CQ153" s="648">
        <f>MAX(CQ30-MAX($BP30:CP30),0)*$EF153</f>
        <v>0</v>
      </c>
      <c r="CR153" s="648">
        <f>MAX(CR30-MAX($BP30:CQ30),0)*$EF153</f>
        <v>0</v>
      </c>
      <c r="CS153" s="648">
        <f>MAX(CS30-MAX($BP30:CR30),0)*$EF153</f>
        <v>0</v>
      </c>
      <c r="CT153" s="648">
        <f>MAX(CT30-MAX($BP30:CS30),0)*$EF153</f>
        <v>0</v>
      </c>
      <c r="CU153" s="648"/>
      <c r="CV153" s="648">
        <f>MAX(CV30-MAX($CV30:CV30),0)*$EF153</f>
        <v>0</v>
      </c>
      <c r="CW153" s="648">
        <f>MAX(CW30-MAX($CV30:CV30),0)*$EF153</f>
        <v>0</v>
      </c>
      <c r="CX153" s="648">
        <f>MAX(CX30-MAX($CV30:CW30),0)*$EF153</f>
        <v>0</v>
      </c>
      <c r="CY153" s="648">
        <f>MAX(CY30-MAX($CV30:CX30),0)*$EF153</f>
        <v>0</v>
      </c>
      <c r="CZ153" s="648">
        <f>MAX(CZ30-MAX($CV30:CY30),0)*$EF153</f>
        <v>0</v>
      </c>
      <c r="DA153" s="648">
        <f>MAX(DA30-MAX($CV30:CZ30),0)*$EF153</f>
        <v>0</v>
      </c>
      <c r="DB153" s="648">
        <f>MAX(DB30-MAX($CV30:DA30),0)*$EF153</f>
        <v>0</v>
      </c>
      <c r="DC153" s="648">
        <f>MAX(DC30-MAX($CV30:DB30),0)*$EF153</f>
        <v>0</v>
      </c>
      <c r="DD153" s="648">
        <f>MAX(DD30-MAX($CV30:DC30),0)*$EF153</f>
        <v>0</v>
      </c>
      <c r="DE153" s="648">
        <f>MAX(DE30-MAX($CV30:DD30),0)*$EF153</f>
        <v>0</v>
      </c>
      <c r="DF153" s="648">
        <f>MAX(DF30-MAX($CV30:DE30),0)*$EF153</f>
        <v>0</v>
      </c>
      <c r="DG153" s="648">
        <f>MAX(DG30-MAX($CV30:DF30),0)*$EF153</f>
        <v>0</v>
      </c>
      <c r="DH153" s="648">
        <f>MAX(DH30-MAX($CV30:DG30),0)*$EF153</f>
        <v>0</v>
      </c>
      <c r="DI153" s="648">
        <f>MAX(DI30-MAX($CV30:DH30),0)*$EF153</f>
        <v>0</v>
      </c>
      <c r="DJ153" s="648">
        <f>MAX(DJ30-MAX($CV30:DI30),0)*$EF153</f>
        <v>0</v>
      </c>
      <c r="DK153" s="648">
        <f>MAX(DK30-MAX($CV30:DJ30),0)*$EF153</f>
        <v>0</v>
      </c>
      <c r="DL153" s="648">
        <f>MAX(DL30-MAX($CV30:DK30),0)*$EF153</f>
        <v>0</v>
      </c>
      <c r="DM153" s="648">
        <f>MAX(DM30-MAX($CV30:DL30),0)*$EF153</f>
        <v>0</v>
      </c>
      <c r="DN153" s="648">
        <f>MAX(DN30-MAX($CV30:DM30),0)*$EF153</f>
        <v>0</v>
      </c>
      <c r="DO153" s="648">
        <f>MAX(DO30-MAX($CV30:DN30),0)*$EF153</f>
        <v>0</v>
      </c>
      <c r="DP153" s="648">
        <f>MAX(DP30-MAX($CV30:DO30),0)*$EF153</f>
        <v>0</v>
      </c>
      <c r="DQ153" s="648">
        <f>MAX(DQ30-MAX($CV30:DP30),0)*$EF153</f>
        <v>0</v>
      </c>
      <c r="DR153" s="648">
        <f>MAX(DR30-MAX($CV30:DQ30),0)*$EF153</f>
        <v>0</v>
      </c>
      <c r="DS153" s="648">
        <f>MAX(DS30-MAX($CV30:DR30),0)*$EF153</f>
        <v>0</v>
      </c>
      <c r="DT153" s="648">
        <f>MAX(DT30-MAX($CV30:DS30),0)*$EF153</f>
        <v>0</v>
      </c>
      <c r="DU153" s="648">
        <f>MAX(DU30-MAX($CV30:DT30),0)*$EF153</f>
        <v>0</v>
      </c>
      <c r="DV153" s="648">
        <f>MAX(DV30-MAX($CV30:DU30),0)*$EF153</f>
        <v>0</v>
      </c>
      <c r="DW153" s="648">
        <f>MAX(DW30-MAX($CV30:DV30),0)*$EF153</f>
        <v>0</v>
      </c>
      <c r="DX153" s="648">
        <f>MAX(DX30-MAX($CV30:DW30),0)*$EF153</f>
        <v>0</v>
      </c>
      <c r="DY153" s="648">
        <f>MAX(DY30-MAX($CV30:DX30),0)*$EF153</f>
        <v>0</v>
      </c>
      <c r="DZ153" s="648">
        <f>MAX(DZ30-MAX($CV30:DY30),0)*$EF153</f>
        <v>0</v>
      </c>
      <c r="EF153" s="51">
        <v>0</v>
      </c>
      <c r="EG153" s="51"/>
      <c r="EH153" s="51"/>
      <c r="EI153" s="51"/>
      <c r="EJ153" s="51"/>
    </row>
    <row r="154" spans="1:140" ht="16" thickBot="1">
      <c r="A154" s="1"/>
      <c r="B154" t="str">
        <f t="shared" si="523"/>
        <v>Leakage Ocean</v>
      </c>
      <c r="C154" s="54" t="s">
        <v>114</v>
      </c>
      <c r="D154" s="648">
        <f>MAX(D31-MAX($D31:D31),0)*$EF154</f>
        <v>0</v>
      </c>
      <c r="E154" s="648">
        <f>MAX(E31-MAX($D31:D31),0)*$EF154</f>
        <v>0</v>
      </c>
      <c r="F154" s="648">
        <f>MAX(F31-MAX($D31:E31),0)*$EF154</f>
        <v>0</v>
      </c>
      <c r="G154" s="648">
        <f>MAX(G31-MAX($D31:F31),0)*$EF154</f>
        <v>0</v>
      </c>
      <c r="H154" s="648">
        <f>MAX(H31-MAX($D31:G31),0)*$EF154</f>
        <v>0</v>
      </c>
      <c r="I154" s="648">
        <f>MAX(I31-MAX($D31:H31),0)*$EF154</f>
        <v>0</v>
      </c>
      <c r="J154" s="648">
        <f>MAX(J31-MAX($D31:I31),0)*$EF154</f>
        <v>0</v>
      </c>
      <c r="K154" s="648">
        <f>MAX(K31-MAX($D31:J31),0)*$EF154</f>
        <v>0</v>
      </c>
      <c r="L154" s="648">
        <f>MAX(L31-MAX($D31:K31),0)*$EF154</f>
        <v>0</v>
      </c>
      <c r="M154" s="648">
        <f>MAX(M31-MAX($D31:L31),0)*$EF154</f>
        <v>0</v>
      </c>
      <c r="N154" s="648">
        <f>MAX(N31-MAX($D31:M31),0)*$EF154</f>
        <v>0</v>
      </c>
      <c r="O154" s="648">
        <f>MAX(O31-MAX($D31:N31),0)*$EF154</f>
        <v>0</v>
      </c>
      <c r="P154" s="648">
        <f>MAX(P31-MAX($D31:O31),0)*$EF154</f>
        <v>0</v>
      </c>
      <c r="Q154" s="648">
        <f>MAX(Q31-MAX($D31:P31),0)*$EF154</f>
        <v>0</v>
      </c>
      <c r="R154" s="648">
        <f>MAX(R31-MAX($D31:Q31),0)*$EF154</f>
        <v>0</v>
      </c>
      <c r="S154" s="648">
        <f>MAX(S31-MAX($D31:R31),0)*$EF154</f>
        <v>0</v>
      </c>
      <c r="T154" s="648">
        <f>MAX(T31-MAX($D31:S31),0)*$EF154</f>
        <v>0</v>
      </c>
      <c r="U154" s="648">
        <f>MAX(U31-MAX($D31:T31),0)*$EF154</f>
        <v>0</v>
      </c>
      <c r="V154" s="648">
        <f>MAX(V31-MAX($D31:U31),0)*$EF154</f>
        <v>0</v>
      </c>
      <c r="W154" s="648">
        <f>MAX(W31-MAX($D31:V31),0)*$EF154</f>
        <v>0</v>
      </c>
      <c r="X154" s="648">
        <f>MAX(X31-MAX($D31:W31),0)*$EF154</f>
        <v>0</v>
      </c>
      <c r="Y154" s="648">
        <f>MAX(Y31-MAX($D31:X31),0)*$EF154</f>
        <v>0</v>
      </c>
      <c r="Z154" s="648">
        <f>MAX(Z31-MAX($D31:Y31),0)*$EF154</f>
        <v>0</v>
      </c>
      <c r="AA154" s="648">
        <f>MAX(AA31-MAX($D31:Z31),0)*$EF154</f>
        <v>0</v>
      </c>
      <c r="AB154" s="648">
        <f>MAX(AB31-MAX($D31:AA31),0)*$EF154</f>
        <v>0</v>
      </c>
      <c r="AC154" s="648">
        <f>MAX(AC31-MAX($D31:AB31),0)*$EF154</f>
        <v>0</v>
      </c>
      <c r="AD154" s="648">
        <f>MAX(AD31-MAX($D31:AC31),0)*$EF154</f>
        <v>0</v>
      </c>
      <c r="AE154" s="648">
        <f>MAX(AE31-MAX($D31:AD31),0)*$EF154</f>
        <v>0</v>
      </c>
      <c r="AF154" s="648">
        <f>MAX(AF31-MAX($D31:AE31),0)*$EF154</f>
        <v>0</v>
      </c>
      <c r="AG154" s="648">
        <f>MAX(AG31-MAX($D31:AF31),0)*$EF154</f>
        <v>0</v>
      </c>
      <c r="AH154" s="648">
        <f>MAX(AH31-MAX($D31:AG31),0)*$EF154</f>
        <v>0</v>
      </c>
      <c r="AI154" s="648"/>
      <c r="AJ154" s="648">
        <f>MAX(AJ31-MAX($AJ31:AJ31),0)*$EF154</f>
        <v>0</v>
      </c>
      <c r="AK154" s="648">
        <f>MAX(AK31-MAX($AJ31:AJ31),0)*$EF154</f>
        <v>0</v>
      </c>
      <c r="AL154" s="648">
        <f>MAX(AL31-MAX($AJ31:AK31),0)*$EF154</f>
        <v>0</v>
      </c>
      <c r="AM154" s="648">
        <f>MAX(AM31-MAX($AJ31:AL31),0)*$EF154</f>
        <v>0</v>
      </c>
      <c r="AN154" s="648">
        <f>MAX(AN31-MAX($AJ31:AM31),0)*$EF154</f>
        <v>0</v>
      </c>
      <c r="AO154" s="648">
        <f>MAX(AO31-MAX($AJ31:AN31),0)*$EF154</f>
        <v>0</v>
      </c>
      <c r="AP154" s="648">
        <f>MAX(AP31-MAX($AJ31:AO31),0)*$EF154</f>
        <v>0</v>
      </c>
      <c r="AQ154" s="648">
        <f>MAX(AQ31-MAX($AJ31:AP31),0)*$EF154</f>
        <v>0</v>
      </c>
      <c r="AR154" s="648">
        <f>MAX(AR31-MAX($AJ31:AQ31),0)*$EF154</f>
        <v>0</v>
      </c>
      <c r="AS154" s="648">
        <f>MAX(AS31-MAX($AJ31:AR31),0)*$EF154</f>
        <v>0</v>
      </c>
      <c r="AT154" s="648">
        <f>MAX(AT31-MAX($AJ31:AS31),0)*$EF154</f>
        <v>0</v>
      </c>
      <c r="AU154" s="648">
        <f>MAX(AU31-MAX($AJ31:AT31),0)*$EF154</f>
        <v>0</v>
      </c>
      <c r="AV154" s="648">
        <f>MAX(AV31-MAX($AJ31:AU31),0)*$EF154</f>
        <v>0</v>
      </c>
      <c r="AW154" s="648">
        <f>MAX(AW31-MAX($AJ31:AV31),0)*$EF154</f>
        <v>0</v>
      </c>
      <c r="AX154" s="648">
        <f>MAX(AX31-MAX($AJ31:AW31),0)*$EF154</f>
        <v>0</v>
      </c>
      <c r="AY154" s="648">
        <f>MAX(AY31-MAX($AJ31:AX31),0)*$EF154</f>
        <v>0</v>
      </c>
      <c r="AZ154" s="648">
        <f>MAX(AZ31-MAX($AJ31:AY31),0)*$EF154</f>
        <v>0</v>
      </c>
      <c r="BA154" s="648">
        <f>MAX(BA31-MAX($AJ31:AZ31),0)*$EF154</f>
        <v>0</v>
      </c>
      <c r="BB154" s="648">
        <f>MAX(BB31-MAX($AJ31:BA31),0)*$EF154</f>
        <v>0</v>
      </c>
      <c r="BC154" s="648">
        <f>MAX(BC31-MAX($AJ31:BB31),0)*$EF154</f>
        <v>0</v>
      </c>
      <c r="BD154" s="648">
        <f>MAX(BD31-MAX($AJ31:BC31),0)*$EF154</f>
        <v>0</v>
      </c>
      <c r="BE154" s="648">
        <f>MAX(BE31-MAX($AJ31:BD31),0)*$EF154</f>
        <v>0</v>
      </c>
      <c r="BF154" s="648">
        <f>MAX(BF31-MAX($AJ31:BE31),0)*$EF154</f>
        <v>0</v>
      </c>
      <c r="BG154" s="648">
        <f>MAX(BG31-MAX($AJ31:BF31),0)*$EF154</f>
        <v>0</v>
      </c>
      <c r="BH154" s="648">
        <f>MAX(BH31-MAX($AJ31:BG31),0)*$EF154</f>
        <v>0</v>
      </c>
      <c r="BI154" s="648">
        <f>MAX(BI31-MAX($AJ31:BH31),0)*$EF154</f>
        <v>0</v>
      </c>
      <c r="BJ154" s="648">
        <f>MAX(BJ31-MAX($AJ31:BI31),0)*$EF154</f>
        <v>0</v>
      </c>
      <c r="BK154" s="648">
        <f>MAX(BK31-MAX($AJ31:BJ31),0)*$EF154</f>
        <v>0</v>
      </c>
      <c r="BL154" s="648">
        <f>MAX(BL31-MAX($AJ31:BK31),0)*$EF154</f>
        <v>0</v>
      </c>
      <c r="BM154" s="648">
        <f>MAX(BM31-MAX($AJ31:BL31),0)*$EF154</f>
        <v>0</v>
      </c>
      <c r="BN154" s="648">
        <f>MAX(BN31-MAX($AJ31:BM31),0)*$EF154</f>
        <v>0</v>
      </c>
      <c r="BO154" s="648"/>
      <c r="BP154" s="648">
        <f>MAX(BP31-MAX($BP31:BP31),0)*$EF154</f>
        <v>0</v>
      </c>
      <c r="BQ154" s="648">
        <f>MAX(BQ31-MAX($BP31:BP31),0)*$EF154</f>
        <v>0</v>
      </c>
      <c r="BR154" s="648">
        <f>MAX(BR31-MAX($BP31:BQ31),0)*$EF154</f>
        <v>0</v>
      </c>
      <c r="BS154" s="648">
        <f>MAX(BS31-MAX($BP31:BR31),0)*$EF154</f>
        <v>0</v>
      </c>
      <c r="BT154" s="648">
        <f>MAX(BT31-MAX($BP31:BS31),0)*$EF154</f>
        <v>0</v>
      </c>
      <c r="BU154" s="648">
        <f>MAX(BU31-MAX($BP31:BT31),0)*$EF154</f>
        <v>0</v>
      </c>
      <c r="BV154" s="648">
        <f>MAX(BV31-MAX($BP31:BU31),0)*$EF154</f>
        <v>0</v>
      </c>
      <c r="BW154" s="648">
        <f>MAX(BW31-MAX($BP31:BV31),0)*$EF154</f>
        <v>0</v>
      </c>
      <c r="BX154" s="648">
        <f>MAX(BX31-MAX($BP31:BW31),0)*$EF154</f>
        <v>0</v>
      </c>
      <c r="BY154" s="648">
        <f>MAX(BY31-MAX($BP31:BX31),0)*$EF154</f>
        <v>0</v>
      </c>
      <c r="BZ154" s="648">
        <f>MAX(BZ31-MAX($BP31:BY31),0)*$EF154</f>
        <v>0</v>
      </c>
      <c r="CA154" s="648">
        <f>MAX(CA31-MAX($BP31:BZ31),0)*$EF154</f>
        <v>0</v>
      </c>
      <c r="CB154" s="648">
        <f>MAX(CB31-MAX($BP31:CA31),0)*$EF154</f>
        <v>0</v>
      </c>
      <c r="CC154" s="648">
        <f>MAX(CC31-MAX($BP31:CB31),0)*$EF154</f>
        <v>0</v>
      </c>
      <c r="CD154" s="648">
        <f>MAX(CD31-MAX($BP31:CC31),0)*$EF154</f>
        <v>0</v>
      </c>
      <c r="CE154" s="648">
        <f>MAX(CE31-MAX($BP31:CD31),0)*$EF154</f>
        <v>0</v>
      </c>
      <c r="CF154" s="648">
        <f>MAX(CF31-MAX($BP31:CE31),0)*$EF154</f>
        <v>0</v>
      </c>
      <c r="CG154" s="648">
        <f>MAX(CG31-MAX($BP31:CF31),0)*$EF154</f>
        <v>0</v>
      </c>
      <c r="CH154" s="648">
        <f>MAX(CH31-MAX($BP31:CG31),0)*$EF154</f>
        <v>0</v>
      </c>
      <c r="CI154" s="648">
        <f>MAX(CI31-MAX($BP31:CH31),0)*$EF154</f>
        <v>0</v>
      </c>
      <c r="CJ154" s="648">
        <f>MAX(CJ31-MAX($BP31:CI31),0)*$EF154</f>
        <v>0</v>
      </c>
      <c r="CK154" s="648">
        <f>MAX(CK31-MAX($BP31:CJ31),0)*$EF154</f>
        <v>0</v>
      </c>
      <c r="CL154" s="648">
        <f>MAX(CL31-MAX($BP31:CK31),0)*$EF154</f>
        <v>0</v>
      </c>
      <c r="CM154" s="648">
        <f>MAX(CM31-MAX($BP31:CL31),0)*$EF154</f>
        <v>0</v>
      </c>
      <c r="CN154" s="648">
        <f>MAX(CN31-MAX($BP31:CM31),0)*$EF154</f>
        <v>0</v>
      </c>
      <c r="CO154" s="648">
        <f>MAX(CO31-MAX($BP31:CN31),0)*$EF154</f>
        <v>0</v>
      </c>
      <c r="CP154" s="648">
        <f>MAX(CP31-MAX($BP31:CO31),0)*$EF154</f>
        <v>0</v>
      </c>
      <c r="CQ154" s="648">
        <f>MAX(CQ31-MAX($BP31:CP31),0)*$EF154</f>
        <v>0</v>
      </c>
      <c r="CR154" s="648">
        <f>MAX(CR31-MAX($BP31:CQ31),0)*$EF154</f>
        <v>0</v>
      </c>
      <c r="CS154" s="648">
        <f>MAX(CS31-MAX($BP31:CR31),0)*$EF154</f>
        <v>0</v>
      </c>
      <c r="CT154" s="648">
        <f>MAX(CT31-MAX($BP31:CS31),0)*$EF154</f>
        <v>0</v>
      </c>
      <c r="CU154" s="648"/>
      <c r="CV154" s="648">
        <f>MAX(CV31-MAX($CV31:CV31),0)*$EF154</f>
        <v>0</v>
      </c>
      <c r="CW154" s="648">
        <f>MAX(CW31-MAX($CV31:CV31),0)*$EF154</f>
        <v>0</v>
      </c>
      <c r="CX154" s="648">
        <f>MAX(CX31-MAX($CV31:CW31),0)*$EF154</f>
        <v>0</v>
      </c>
      <c r="CY154" s="648">
        <f>MAX(CY31-MAX($CV31:CX31),0)*$EF154</f>
        <v>0</v>
      </c>
      <c r="CZ154" s="648">
        <f>MAX(CZ31-MAX($CV31:CY31),0)*$EF154</f>
        <v>0</v>
      </c>
      <c r="DA154" s="648">
        <f>MAX(DA31-MAX($CV31:CZ31),0)*$EF154</f>
        <v>0</v>
      </c>
      <c r="DB154" s="648">
        <f>MAX(DB31-MAX($CV31:DA31),0)*$EF154</f>
        <v>0</v>
      </c>
      <c r="DC154" s="648">
        <f>MAX(DC31-MAX($CV31:DB31),0)*$EF154</f>
        <v>0</v>
      </c>
      <c r="DD154" s="648">
        <f>MAX(DD31-MAX($CV31:DC31),0)*$EF154</f>
        <v>0</v>
      </c>
      <c r="DE154" s="648">
        <f>MAX(DE31-MAX($CV31:DD31),0)*$EF154</f>
        <v>0</v>
      </c>
      <c r="DF154" s="648">
        <f>MAX(DF31-MAX($CV31:DE31),0)*$EF154</f>
        <v>0</v>
      </c>
      <c r="DG154" s="648">
        <f>MAX(DG31-MAX($CV31:DF31),0)*$EF154</f>
        <v>0</v>
      </c>
      <c r="DH154" s="648">
        <f>MAX(DH31-MAX($CV31:DG31),0)*$EF154</f>
        <v>0</v>
      </c>
      <c r="DI154" s="648">
        <f>MAX(DI31-MAX($CV31:DH31),0)*$EF154</f>
        <v>0</v>
      </c>
      <c r="DJ154" s="648">
        <f>MAX(DJ31-MAX($CV31:DI31),0)*$EF154</f>
        <v>0</v>
      </c>
      <c r="DK154" s="648">
        <f>MAX(DK31-MAX($CV31:DJ31),0)*$EF154</f>
        <v>0</v>
      </c>
      <c r="DL154" s="648">
        <f>MAX(DL31-MAX($CV31:DK31),0)*$EF154</f>
        <v>0</v>
      </c>
      <c r="DM154" s="648">
        <f>MAX(DM31-MAX($CV31:DL31),0)*$EF154</f>
        <v>0</v>
      </c>
      <c r="DN154" s="648">
        <f>MAX(DN31-MAX($CV31:DM31),0)*$EF154</f>
        <v>0</v>
      </c>
      <c r="DO154" s="648">
        <f>MAX(DO31-MAX($CV31:DN31),0)*$EF154</f>
        <v>0</v>
      </c>
      <c r="DP154" s="648">
        <f>MAX(DP31-MAX($CV31:DO31),0)*$EF154</f>
        <v>0</v>
      </c>
      <c r="DQ154" s="648">
        <f>MAX(DQ31-MAX($CV31:DP31),0)*$EF154</f>
        <v>0</v>
      </c>
      <c r="DR154" s="648">
        <f>MAX(DR31-MAX($CV31:DQ31),0)*$EF154</f>
        <v>0</v>
      </c>
      <c r="DS154" s="648">
        <f>MAX(DS31-MAX($CV31:DR31),0)*$EF154</f>
        <v>0</v>
      </c>
      <c r="DT154" s="648">
        <f>MAX(DT31-MAX($CV31:DS31),0)*$EF154</f>
        <v>0</v>
      </c>
      <c r="DU154" s="648">
        <f>MAX(DU31-MAX($CV31:DT31),0)*$EF154</f>
        <v>0</v>
      </c>
      <c r="DV154" s="648">
        <f>MAX(DV31-MAX($CV31:DU31),0)*$EF154</f>
        <v>0</v>
      </c>
      <c r="DW154" s="648">
        <f>MAX(DW31-MAX($CV31:DV31),0)*$EF154</f>
        <v>0</v>
      </c>
      <c r="DX154" s="648">
        <f>MAX(DX31-MAX($CV31:DW31),0)*$EF154</f>
        <v>0</v>
      </c>
      <c r="DY154" s="648">
        <f>MAX(DY31-MAX($CV31:DX31),0)*$EF154</f>
        <v>0</v>
      </c>
      <c r="DZ154" s="648">
        <f>MAX(DZ31-MAX($CV31:DY31),0)*$EF154</f>
        <v>0</v>
      </c>
      <c r="EF154" s="51">
        <v>0</v>
      </c>
      <c r="EG154" s="51"/>
      <c r="EH154" s="51"/>
      <c r="EI154" s="51"/>
      <c r="EJ154" s="51"/>
    </row>
    <row r="155" spans="1:140" ht="16" thickBot="1">
      <c r="A155" s="185" t="s">
        <v>115</v>
      </c>
      <c r="B155" s="488"/>
      <c r="C155" s="639" t="s">
        <v>114</v>
      </c>
      <c r="D155" s="647">
        <f t="shared" ref="D155:AH155" si="524">SUM(D131:D153)</f>
        <v>0</v>
      </c>
      <c r="E155" s="647">
        <f t="shared" si="524"/>
        <v>17059.645109883666</v>
      </c>
      <c r="F155" s="647">
        <f t="shared" si="524"/>
        <v>17268.90683610769</v>
      </c>
      <c r="G155" s="647">
        <f t="shared" si="524"/>
        <v>16762.750189908136</v>
      </c>
      <c r="H155" s="647">
        <f t="shared" si="524"/>
        <v>16147.7374462321</v>
      </c>
      <c r="I155" s="647">
        <f t="shared" si="524"/>
        <v>15427.625864026835</v>
      </c>
      <c r="J155" s="647">
        <f t="shared" si="524"/>
        <v>15672.969934506367</v>
      </c>
      <c r="K155" s="647">
        <f t="shared" si="524"/>
        <v>15927.466548045657</v>
      </c>
      <c r="L155" s="647">
        <f t="shared" si="524"/>
        <v>16206.73667545119</v>
      </c>
      <c r="M155" s="647">
        <f t="shared" si="524"/>
        <v>16537.692240849177</v>
      </c>
      <c r="N155" s="647">
        <f t="shared" si="524"/>
        <v>16953.487275625877</v>
      </c>
      <c r="O155" s="647">
        <f t="shared" si="524"/>
        <v>19632.122387274812</v>
      </c>
      <c r="P155" s="647">
        <f t="shared" si="524"/>
        <v>19503.792511376112</v>
      </c>
      <c r="Q155" s="647">
        <f t="shared" si="524"/>
        <v>19528.987714346964</v>
      </c>
      <c r="R155" s="647">
        <f t="shared" si="524"/>
        <v>19537.191570629704</v>
      </c>
      <c r="S155" s="647">
        <f t="shared" si="524"/>
        <v>19604.864927452549</v>
      </c>
      <c r="T155" s="647">
        <f t="shared" si="524"/>
        <v>20628.212855452781</v>
      </c>
      <c r="U155" s="647">
        <f t="shared" si="524"/>
        <v>21311.133406301848</v>
      </c>
      <c r="V155" s="647">
        <f t="shared" si="524"/>
        <v>21598.451835959848</v>
      </c>
      <c r="W155" s="647">
        <f t="shared" si="524"/>
        <v>21517.488708326997</v>
      </c>
      <c r="X155" s="647">
        <f t="shared" si="524"/>
        <v>20642.048968682135</v>
      </c>
      <c r="Y155" s="647">
        <f t="shared" si="524"/>
        <v>24914.728531203429</v>
      </c>
      <c r="Z155" s="647">
        <f t="shared" si="524"/>
        <v>24476.620048579363</v>
      </c>
      <c r="AA155" s="647">
        <f t="shared" si="524"/>
        <v>24339.369045346208</v>
      </c>
      <c r="AB155" s="647">
        <f t="shared" si="524"/>
        <v>24227.651765693798</v>
      </c>
      <c r="AC155" s="647">
        <f t="shared" si="524"/>
        <v>24336.086812237791</v>
      </c>
      <c r="AD155" s="647">
        <f t="shared" si="524"/>
        <v>24831.536846034815</v>
      </c>
      <c r="AE155" s="647">
        <f t="shared" si="524"/>
        <v>25583.311018716475</v>
      </c>
      <c r="AF155" s="647">
        <f t="shared" si="524"/>
        <v>26564.295618411044</v>
      </c>
      <c r="AG155" s="647">
        <f t="shared" si="524"/>
        <v>28050.164905425077</v>
      </c>
      <c r="AH155" s="647">
        <f t="shared" si="524"/>
        <v>28399.150436307158</v>
      </c>
      <c r="AI155" s="647"/>
      <c r="AJ155" s="647">
        <f t="shared" ref="AJ155:BN155" si="525">SUM(AJ131:AJ153)</f>
        <v>0</v>
      </c>
      <c r="AK155" s="647">
        <f t="shared" si="525"/>
        <v>17059.388017486199</v>
      </c>
      <c r="AL155" s="647">
        <f t="shared" si="525"/>
        <v>17268.384816139132</v>
      </c>
      <c r="AM155" s="647">
        <f t="shared" si="525"/>
        <v>16761.6626532888</v>
      </c>
      <c r="AN155" s="647">
        <f t="shared" si="525"/>
        <v>16145.491182096892</v>
      </c>
      <c r="AO155" s="647">
        <f t="shared" si="525"/>
        <v>15423.033881050713</v>
      </c>
      <c r="AP155" s="647">
        <f t="shared" si="525"/>
        <v>15663.662392285274</v>
      </c>
      <c r="AQ155" s="647">
        <f t="shared" si="525"/>
        <v>15908.859219604963</v>
      </c>
      <c r="AR155" s="647">
        <f t="shared" si="525"/>
        <v>16170.209256686743</v>
      </c>
      <c r="AS155" s="647">
        <f t="shared" si="525"/>
        <v>16467.693302400552</v>
      </c>
      <c r="AT155" s="647">
        <f t="shared" si="525"/>
        <v>16822.348239798644</v>
      </c>
      <c r="AU155" s="647">
        <f t="shared" si="525"/>
        <v>19421.099255532772</v>
      </c>
      <c r="AV155" s="647">
        <f t="shared" si="525"/>
        <v>19160.991068879976</v>
      </c>
      <c r="AW155" s="647">
        <f t="shared" si="525"/>
        <v>18990.70339496055</v>
      </c>
      <c r="AX155" s="647">
        <f t="shared" si="525"/>
        <v>18791.030109770578</v>
      </c>
      <c r="AY155" s="647">
        <f t="shared" si="525"/>
        <v>18588.561449471457</v>
      </c>
      <c r="AZ155" s="647">
        <f t="shared" si="525"/>
        <v>19368.503223867719</v>
      </c>
      <c r="BA155" s="647">
        <f t="shared" si="525"/>
        <v>19895.385960338819</v>
      </c>
      <c r="BB155" s="647">
        <f t="shared" si="525"/>
        <v>20123.426781390746</v>
      </c>
      <c r="BC155" s="647">
        <f t="shared" si="525"/>
        <v>20076.249427155159</v>
      </c>
      <c r="BD155" s="647">
        <f t="shared" si="525"/>
        <v>19301.732448883729</v>
      </c>
      <c r="BE155" s="647">
        <f t="shared" si="525"/>
        <v>23837.587074492396</v>
      </c>
      <c r="BF155" s="647">
        <f t="shared" si="525"/>
        <v>23312.328256572495</v>
      </c>
      <c r="BG155" s="647">
        <f t="shared" si="525"/>
        <v>23253.783775676951</v>
      </c>
      <c r="BH155" s="647">
        <f t="shared" si="525"/>
        <v>23159.037511125716</v>
      </c>
      <c r="BI155" s="647">
        <f t="shared" si="525"/>
        <v>23247.702876275787</v>
      </c>
      <c r="BJ155" s="647">
        <f t="shared" si="525"/>
        <v>23616.837854424331</v>
      </c>
      <c r="BK155" s="647">
        <f t="shared" si="525"/>
        <v>24210.595587442374</v>
      </c>
      <c r="BL155" s="647">
        <f t="shared" si="525"/>
        <v>24922.58816840309</v>
      </c>
      <c r="BM155" s="647">
        <f t="shared" si="525"/>
        <v>25929.466141700403</v>
      </c>
      <c r="BN155" s="647">
        <f t="shared" si="525"/>
        <v>25488.771949538535</v>
      </c>
      <c r="BO155" s="647"/>
      <c r="BP155" s="647">
        <f t="shared" ref="BP155:CT155" si="526">SUM(BP131:BP153)</f>
        <v>0</v>
      </c>
      <c r="BQ155" s="647">
        <f t="shared" si="526"/>
        <v>11443.600569230399</v>
      </c>
      <c r="BR155" s="647">
        <f t="shared" si="526"/>
        <v>10795.011486617645</v>
      </c>
      <c r="BS155" s="647">
        <f t="shared" si="526"/>
        <v>10076.241454814139</v>
      </c>
      <c r="BT155" s="647">
        <f t="shared" si="526"/>
        <v>9291.3776040702724</v>
      </c>
      <c r="BU155" s="647">
        <f t="shared" si="526"/>
        <v>8445.3052613653363</v>
      </c>
      <c r="BV155" s="647">
        <f t="shared" si="526"/>
        <v>8418.1876713663769</v>
      </c>
      <c r="BW155" s="647">
        <f t="shared" si="526"/>
        <v>8383.2231045190219</v>
      </c>
      <c r="BX155" s="647">
        <f t="shared" si="526"/>
        <v>8340.324900115289</v>
      </c>
      <c r="BY155" s="647">
        <f t="shared" si="526"/>
        <v>8289.4205787072769</v>
      </c>
      <c r="BZ155" s="647">
        <f t="shared" si="526"/>
        <v>8230.4523376901725</v>
      </c>
      <c r="CA155" s="647">
        <f t="shared" si="526"/>
        <v>7529.839242175045</v>
      </c>
      <c r="CB155" s="647">
        <f t="shared" si="526"/>
        <v>6792.0416876138852</v>
      </c>
      <c r="CC155" s="647">
        <f t="shared" si="526"/>
        <v>6020.8123305508425</v>
      </c>
      <c r="CD155" s="647">
        <f t="shared" si="526"/>
        <v>5220.2300958879596</v>
      </c>
      <c r="CE155" s="647">
        <f t="shared" si="526"/>
        <v>4394.6664549047537</v>
      </c>
      <c r="CF155" s="647">
        <f t="shared" si="526"/>
        <v>4382.5836855661555</v>
      </c>
      <c r="CG155" s="647">
        <f t="shared" si="526"/>
        <v>4369.770454602819</v>
      </c>
      <c r="CH155" s="647">
        <f t="shared" si="526"/>
        <v>4356.2362443676493</v>
      </c>
      <c r="CI155" s="647">
        <f t="shared" si="526"/>
        <v>4341.9912429551669</v>
      </c>
      <c r="CJ155" s="647">
        <f t="shared" si="526"/>
        <v>4327.0463505394282</v>
      </c>
      <c r="CK155" s="647">
        <f t="shared" si="526"/>
        <v>4316.6947353138439</v>
      </c>
      <c r="CL155" s="647">
        <f t="shared" si="526"/>
        <v>4305.7765267325958</v>
      </c>
      <c r="CM155" s="647">
        <f t="shared" si="526"/>
        <v>4294.3025153282233</v>
      </c>
      <c r="CN155" s="647">
        <f t="shared" si="526"/>
        <v>4282.2841054656201</v>
      </c>
      <c r="CO155" s="647">
        <f t="shared" si="526"/>
        <v>4269.7333204188417</v>
      </c>
      <c r="CP155" s="647">
        <f t="shared" si="526"/>
        <v>4261.3380634821096</v>
      </c>
      <c r="CQ155" s="647">
        <f t="shared" si="526"/>
        <v>4252.5245989253708</v>
      </c>
      <c r="CR155" s="647">
        <f t="shared" si="526"/>
        <v>4243.3048660003587</v>
      </c>
      <c r="CS155" s="647">
        <f t="shared" si="526"/>
        <v>4233.6913496662128</v>
      </c>
      <c r="CT155" s="647">
        <f t="shared" si="526"/>
        <v>4223.6970849138597</v>
      </c>
      <c r="CU155" s="647"/>
      <c r="CV155" s="647">
        <f t="shared" ref="CV155:DZ155" si="527">SUM(CV131:CV153)</f>
        <v>0</v>
      </c>
      <c r="CW155" s="647">
        <f t="shared" si="527"/>
        <v>17059.392053053885</v>
      </c>
      <c r="CX155" s="647">
        <f t="shared" si="527"/>
        <v>17268.403017583059</v>
      </c>
      <c r="CY155" s="647">
        <f t="shared" si="527"/>
        <v>16761.714946459466</v>
      </c>
      <c r="CZ155" s="647">
        <f t="shared" si="527"/>
        <v>16145.626258743765</v>
      </c>
      <c r="DA155" s="647">
        <f t="shared" si="527"/>
        <v>15423.360138211128</v>
      </c>
      <c r="DB155" s="647">
        <f t="shared" si="527"/>
        <v>15664.423028410842</v>
      </c>
      <c r="DC155" s="647">
        <f t="shared" si="527"/>
        <v>15910.565270380486</v>
      </c>
      <c r="DD155" s="647">
        <f t="shared" si="527"/>
        <v>16173.902699368928</v>
      </c>
      <c r="DE155" s="647">
        <f t="shared" si="527"/>
        <v>16475.400273971762</v>
      </c>
      <c r="DF155" s="647">
        <f t="shared" si="527"/>
        <v>16837.780996102538</v>
      </c>
      <c r="DG155" s="647">
        <f t="shared" si="527"/>
        <v>19455.454214701902</v>
      </c>
      <c r="DH155" s="647">
        <f t="shared" si="527"/>
        <v>19225.754533083185</v>
      </c>
      <c r="DI155" s="647">
        <f t="shared" si="527"/>
        <v>19074.021809346137</v>
      </c>
      <c r="DJ155" s="647">
        <f t="shared" si="527"/>
        <v>18941.882303314222</v>
      </c>
      <c r="DK155" s="647">
        <f t="shared" si="527"/>
        <v>18824.185213752684</v>
      </c>
      <c r="DL155" s="647">
        <f t="shared" si="527"/>
        <v>19697.489293243278</v>
      </c>
      <c r="DM155" s="647">
        <f t="shared" si="527"/>
        <v>20311.27994684111</v>
      </c>
      <c r="DN155" s="647">
        <f t="shared" si="527"/>
        <v>20606.331644015983</v>
      </c>
      <c r="DO155" s="647">
        <f t="shared" si="527"/>
        <v>20599.086498257435</v>
      </c>
      <c r="DP155" s="647">
        <f t="shared" si="527"/>
        <v>19832.39333880071</v>
      </c>
      <c r="DQ155" s="647">
        <f t="shared" si="527"/>
        <v>24398.492173696657</v>
      </c>
      <c r="DR155" s="647">
        <f t="shared" si="527"/>
        <v>23845.818147047245</v>
      </c>
      <c r="DS155" s="647">
        <f t="shared" si="527"/>
        <v>23668.553974505368</v>
      </c>
      <c r="DT155" s="647">
        <f t="shared" si="527"/>
        <v>23535.982350358732</v>
      </c>
      <c r="DU155" s="647">
        <f t="shared" si="527"/>
        <v>23604.954260775914</v>
      </c>
      <c r="DV155" s="647">
        <f t="shared" si="527"/>
        <v>23825.084153982556</v>
      </c>
      <c r="DW155" s="647">
        <f t="shared" si="527"/>
        <v>24255.935689745464</v>
      </c>
      <c r="DX155" s="647">
        <f t="shared" si="527"/>
        <v>24832.228256037721</v>
      </c>
      <c r="DY155" s="647">
        <f t="shared" si="527"/>
        <v>25800.852221870591</v>
      </c>
      <c r="DZ155" s="647">
        <f t="shared" si="527"/>
        <v>25357.148364375422</v>
      </c>
    </row>
  </sheetData>
  <mergeCells count="4">
    <mergeCell ref="D1:AH1"/>
    <mergeCell ref="AJ1:BN1"/>
    <mergeCell ref="BP1:CT1"/>
    <mergeCell ref="CV1:D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94FE-E266-4088-913A-B64E7438BDB8}">
  <sheetPr>
    <tabColor theme="9"/>
  </sheetPr>
  <dimension ref="A1:DF59"/>
  <sheetViews>
    <sheetView tabSelected="1" topLeftCell="A20" zoomScaleNormal="100" workbookViewId="0">
      <selection activeCell="D26" sqref="D26:BN59"/>
    </sheetView>
  </sheetViews>
  <sheetFormatPr baseColWidth="10" defaultColWidth="8.83203125" defaultRowHeight="15" outlineLevelCol="1"/>
  <cols>
    <col min="1" max="1" width="10.1640625" customWidth="1"/>
    <col min="2" max="2" width="29.5" customWidth="1"/>
    <col min="3" max="3" width="24.5" style="54" customWidth="1"/>
    <col min="5" max="13" width="8.6640625" hidden="1" customWidth="1" outlineLevel="1"/>
    <col min="14" max="14" width="8.6640625" collapsed="1"/>
    <col min="15" max="23" width="0" hidden="1" customWidth="1" outlineLevel="1"/>
    <col min="24" max="24" width="8.6640625" collapsed="1"/>
    <col min="25" max="33" width="0" hidden="1" customWidth="1" outlineLevel="1"/>
    <col min="34" max="34" width="8.6640625" collapsed="1"/>
    <col min="37" max="45" width="0" hidden="1" customWidth="1" outlineLevel="1"/>
    <col min="46" max="46" width="8.6640625" collapsed="1"/>
    <col min="47" max="55" width="0" hidden="1" customWidth="1" outlineLevel="1"/>
    <col min="56" max="56" width="8.6640625" collapsed="1"/>
    <col min="57" max="65" width="0" hidden="1" customWidth="1" outlineLevel="1"/>
    <col min="66" max="66" width="8.6640625" collapsed="1"/>
    <col min="68" max="68" width="8.6640625" customWidth="1"/>
    <col min="69" max="77" width="8.6640625" hidden="1" customWidth="1" outlineLevel="1"/>
    <col min="78" max="78" width="8.6640625" collapsed="1"/>
    <col min="79" max="87" width="0" hidden="1" customWidth="1" outlineLevel="1"/>
    <col min="88" max="88" width="8.6640625" collapsed="1"/>
    <col min="89" max="97" width="0" hidden="1" customWidth="1" outlineLevel="1"/>
    <col min="98" max="98" width="8.6640625" collapsed="1"/>
  </cols>
  <sheetData>
    <row r="1" spans="1:110">
      <c r="A1" s="1"/>
      <c r="B1" s="1"/>
      <c r="D1" s="748" t="s">
        <v>64</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65</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c r="BP1" s="748" t="s">
        <v>1885</v>
      </c>
      <c r="BQ1" s="748"/>
      <c r="BR1" s="748"/>
      <c r="BS1" s="748"/>
      <c r="BT1" s="748"/>
      <c r="BU1" s="748"/>
      <c r="BV1" s="748"/>
      <c r="BW1" s="748"/>
      <c r="BX1" s="748"/>
      <c r="BY1" s="748"/>
      <c r="BZ1" s="748"/>
      <c r="CA1" s="748"/>
      <c r="CB1" s="748"/>
      <c r="CC1" s="748"/>
      <c r="CD1" s="748"/>
      <c r="CE1" s="748"/>
      <c r="CF1" s="748"/>
      <c r="CG1" s="748"/>
      <c r="CH1" s="748"/>
      <c r="CI1" s="748"/>
      <c r="CJ1" s="748"/>
      <c r="CK1" s="748"/>
      <c r="CL1" s="748"/>
      <c r="CM1" s="748"/>
      <c r="CN1" s="748"/>
      <c r="CO1" s="748"/>
      <c r="CP1" s="748"/>
      <c r="CQ1" s="748"/>
      <c r="CR1" s="748"/>
      <c r="CS1" s="748"/>
      <c r="CT1" s="748"/>
    </row>
    <row r="2" spans="1:110" s="1" customFormat="1">
      <c r="C2" s="65"/>
      <c r="D2" s="1">
        <v>2020</v>
      </c>
      <c r="E2" s="1">
        <f>D2+1</f>
        <v>2021</v>
      </c>
      <c r="F2" s="1">
        <f t="shared" ref="F2:AH2" si="0">E2+1</f>
        <v>2022</v>
      </c>
      <c r="G2" s="1">
        <f t="shared" si="0"/>
        <v>2023</v>
      </c>
      <c r="H2" s="1">
        <f t="shared" si="0"/>
        <v>2024</v>
      </c>
      <c r="I2" s="1">
        <f t="shared" si="0"/>
        <v>2025</v>
      </c>
      <c r="J2" s="1">
        <f t="shared" si="0"/>
        <v>2026</v>
      </c>
      <c r="K2" s="1">
        <f t="shared" si="0"/>
        <v>2027</v>
      </c>
      <c r="L2" s="1">
        <f t="shared" si="0"/>
        <v>2028</v>
      </c>
      <c r="M2" s="1">
        <f t="shared" si="0"/>
        <v>2029</v>
      </c>
      <c r="N2" s="1">
        <f t="shared" si="0"/>
        <v>2030</v>
      </c>
      <c r="O2" s="1">
        <f t="shared" si="0"/>
        <v>2031</v>
      </c>
      <c r="P2" s="1">
        <f t="shared" si="0"/>
        <v>2032</v>
      </c>
      <c r="Q2" s="1">
        <f t="shared" si="0"/>
        <v>2033</v>
      </c>
      <c r="R2" s="1">
        <f>Q2+1</f>
        <v>2034</v>
      </c>
      <c r="S2" s="1">
        <f t="shared" si="0"/>
        <v>2035</v>
      </c>
      <c r="T2" s="1">
        <f t="shared" si="0"/>
        <v>2036</v>
      </c>
      <c r="U2" s="1">
        <f t="shared" si="0"/>
        <v>2037</v>
      </c>
      <c r="V2" s="1">
        <f t="shared" si="0"/>
        <v>2038</v>
      </c>
      <c r="W2" s="1">
        <f t="shared" si="0"/>
        <v>2039</v>
      </c>
      <c r="X2" s="1">
        <f t="shared" si="0"/>
        <v>2040</v>
      </c>
      <c r="Y2" s="1">
        <f t="shared" si="0"/>
        <v>2041</v>
      </c>
      <c r="Z2" s="1">
        <f t="shared" si="0"/>
        <v>2042</v>
      </c>
      <c r="AA2" s="1">
        <f t="shared" si="0"/>
        <v>2043</v>
      </c>
      <c r="AB2" s="1">
        <f t="shared" si="0"/>
        <v>2044</v>
      </c>
      <c r="AC2" s="1">
        <f>AB2+1</f>
        <v>2045</v>
      </c>
      <c r="AD2" s="1">
        <f t="shared" si="0"/>
        <v>2046</v>
      </c>
      <c r="AE2" s="1">
        <f t="shared" si="0"/>
        <v>2047</v>
      </c>
      <c r="AF2" s="1">
        <f t="shared" si="0"/>
        <v>2048</v>
      </c>
      <c r="AG2" s="1">
        <f>AF2+1</f>
        <v>2049</v>
      </c>
      <c r="AH2" s="1">
        <f t="shared" si="0"/>
        <v>2050</v>
      </c>
      <c r="AJ2" s="1">
        <v>2020</v>
      </c>
      <c r="AK2" s="1">
        <f>AJ2+1</f>
        <v>2021</v>
      </c>
      <c r="AL2" s="1">
        <f t="shared" ref="AL2:AW2" si="1">AK2+1</f>
        <v>2022</v>
      </c>
      <c r="AM2" s="1">
        <f t="shared" si="1"/>
        <v>2023</v>
      </c>
      <c r="AN2" s="1">
        <f t="shared" si="1"/>
        <v>2024</v>
      </c>
      <c r="AO2" s="1">
        <f t="shared" si="1"/>
        <v>2025</v>
      </c>
      <c r="AP2" s="1">
        <f t="shared" si="1"/>
        <v>2026</v>
      </c>
      <c r="AQ2" s="1">
        <f t="shared" si="1"/>
        <v>2027</v>
      </c>
      <c r="AR2" s="1">
        <f t="shared" si="1"/>
        <v>2028</v>
      </c>
      <c r="AS2" s="1">
        <f t="shared" si="1"/>
        <v>2029</v>
      </c>
      <c r="AT2" s="1">
        <f t="shared" si="1"/>
        <v>2030</v>
      </c>
      <c r="AU2" s="1">
        <f t="shared" si="1"/>
        <v>2031</v>
      </c>
      <c r="AV2" s="1">
        <f t="shared" si="1"/>
        <v>2032</v>
      </c>
      <c r="AW2" s="1">
        <f t="shared" si="1"/>
        <v>2033</v>
      </c>
      <c r="AX2" s="1">
        <f>AW2+1</f>
        <v>2034</v>
      </c>
      <c r="AY2" s="1">
        <f t="shared" ref="AY2:BH2" si="2">AX2+1</f>
        <v>2035</v>
      </c>
      <c r="AZ2" s="1">
        <f t="shared" si="2"/>
        <v>2036</v>
      </c>
      <c r="BA2" s="1">
        <f t="shared" si="2"/>
        <v>2037</v>
      </c>
      <c r="BB2" s="1">
        <f t="shared" si="2"/>
        <v>2038</v>
      </c>
      <c r="BC2" s="1">
        <f t="shared" si="2"/>
        <v>2039</v>
      </c>
      <c r="BD2" s="1">
        <f t="shared" si="2"/>
        <v>2040</v>
      </c>
      <c r="BE2" s="1">
        <f t="shared" si="2"/>
        <v>2041</v>
      </c>
      <c r="BF2" s="1">
        <f t="shared" si="2"/>
        <v>2042</v>
      </c>
      <c r="BG2" s="1">
        <f t="shared" si="2"/>
        <v>2043</v>
      </c>
      <c r="BH2" s="1">
        <f t="shared" si="2"/>
        <v>2044</v>
      </c>
      <c r="BI2" s="1">
        <f>BH2+1</f>
        <v>2045</v>
      </c>
      <c r="BJ2" s="1">
        <f t="shared" ref="BJ2:BL2" si="3">BI2+1</f>
        <v>2046</v>
      </c>
      <c r="BK2" s="1">
        <f t="shared" si="3"/>
        <v>2047</v>
      </c>
      <c r="BL2" s="1">
        <f t="shared" si="3"/>
        <v>2048</v>
      </c>
      <c r="BM2" s="1">
        <f>BL2+1</f>
        <v>2049</v>
      </c>
      <c r="BN2" s="1">
        <f t="shared" ref="BN2" si="4">BM2+1</f>
        <v>2050</v>
      </c>
      <c r="BP2" s="1">
        <v>2020</v>
      </c>
      <c r="BQ2" s="1">
        <f>BP2+1</f>
        <v>2021</v>
      </c>
      <c r="BR2" s="1">
        <f t="shared" ref="BR2" si="5">BQ2+1</f>
        <v>2022</v>
      </c>
      <c r="BS2" s="1">
        <f t="shared" ref="BS2" si="6">BR2+1</f>
        <v>2023</v>
      </c>
      <c r="BT2" s="1">
        <f t="shared" ref="BT2" si="7">BS2+1</f>
        <v>2024</v>
      </c>
      <c r="BU2" s="1">
        <f t="shared" ref="BU2" si="8">BT2+1</f>
        <v>2025</v>
      </c>
      <c r="BV2" s="1">
        <f t="shared" ref="BV2" si="9">BU2+1</f>
        <v>2026</v>
      </c>
      <c r="BW2" s="1">
        <f t="shared" ref="BW2" si="10">BV2+1</f>
        <v>2027</v>
      </c>
      <c r="BX2" s="1">
        <f t="shared" ref="BX2" si="11">BW2+1</f>
        <v>2028</v>
      </c>
      <c r="BY2" s="1">
        <f t="shared" ref="BY2" si="12">BX2+1</f>
        <v>2029</v>
      </c>
      <c r="BZ2" s="1">
        <f t="shared" ref="BZ2" si="13">BY2+1</f>
        <v>2030</v>
      </c>
      <c r="CA2" s="1">
        <f t="shared" ref="CA2" si="14">BZ2+1</f>
        <v>2031</v>
      </c>
      <c r="CB2" s="1">
        <f t="shared" ref="CB2" si="15">CA2+1</f>
        <v>2032</v>
      </c>
      <c r="CC2" s="1">
        <f t="shared" ref="CC2" si="16">CB2+1</f>
        <v>2033</v>
      </c>
      <c r="CD2" s="1">
        <f>CC2+1</f>
        <v>2034</v>
      </c>
      <c r="CE2" s="1">
        <f t="shared" ref="CE2" si="17">CD2+1</f>
        <v>2035</v>
      </c>
      <c r="CF2" s="1">
        <f t="shared" ref="CF2" si="18">CE2+1</f>
        <v>2036</v>
      </c>
      <c r="CG2" s="1">
        <f t="shared" ref="CG2" si="19">CF2+1</f>
        <v>2037</v>
      </c>
      <c r="CH2" s="1">
        <f t="shared" ref="CH2" si="20">CG2+1</f>
        <v>2038</v>
      </c>
      <c r="CI2" s="1">
        <f t="shared" ref="CI2" si="21">CH2+1</f>
        <v>2039</v>
      </c>
      <c r="CJ2" s="1">
        <f t="shared" ref="CJ2" si="22">CI2+1</f>
        <v>2040</v>
      </c>
      <c r="CK2" s="1">
        <f t="shared" ref="CK2" si="23">CJ2+1</f>
        <v>2041</v>
      </c>
      <c r="CL2" s="1">
        <f t="shared" ref="CL2" si="24">CK2+1</f>
        <v>2042</v>
      </c>
      <c r="CM2" s="1">
        <f t="shared" ref="CM2" si="25">CL2+1</f>
        <v>2043</v>
      </c>
      <c r="CN2" s="1">
        <f t="shared" ref="CN2" si="26">CM2+1</f>
        <v>2044</v>
      </c>
      <c r="CO2" s="1">
        <f>CN2+1</f>
        <v>2045</v>
      </c>
      <c r="CP2" s="1">
        <f t="shared" ref="CP2" si="27">CO2+1</f>
        <v>2046</v>
      </c>
      <c r="CQ2" s="1">
        <f t="shared" ref="CQ2" si="28">CP2+1</f>
        <v>2047</v>
      </c>
      <c r="CR2" s="1">
        <f t="shared" ref="CR2" si="29">CQ2+1</f>
        <v>2048</v>
      </c>
      <c r="CS2" s="1">
        <f>CR2+1</f>
        <v>2049</v>
      </c>
      <c r="CT2" s="1">
        <f t="shared" ref="CT2" si="30">CS2+1</f>
        <v>2050</v>
      </c>
    </row>
    <row r="3" spans="1:110" s="52" customFormat="1" ht="16" thickBot="1">
      <c r="A3" s="52" t="s">
        <v>118</v>
      </c>
      <c r="C3" s="635"/>
    </row>
    <row r="4" spans="1:110" s="554" customFormat="1">
      <c r="A4" s="550" t="s">
        <v>68</v>
      </c>
      <c r="B4" s="551"/>
      <c r="C4" s="54" t="str">
        <f>'Yearly HC Ethylene'!C146</f>
        <v>m Tons</v>
      </c>
      <c r="D4" s="553">
        <f>D17+D57+D27+D32+D37+D42+D47+D52+D20+D23</f>
        <v>777.71928978378423</v>
      </c>
      <c r="E4" s="553">
        <f t="shared" ref="E4:AH5" si="31">E17+E57+E27+E32+E37+E42+E47+E52+E20+E23</f>
        <v>799.39931893450216</v>
      </c>
      <c r="F4" s="553">
        <f t="shared" si="31"/>
        <v>820.18946388773486</v>
      </c>
      <c r="G4" s="553">
        <f t="shared" si="31"/>
        <v>841.28770718121245</v>
      </c>
      <c r="H4" s="553">
        <f t="shared" si="31"/>
        <v>862.70204139467342</v>
      </c>
      <c r="I4" s="553">
        <f t="shared" si="31"/>
        <v>884.44080813809251</v>
      </c>
      <c r="J4" s="553">
        <f t="shared" si="31"/>
        <v>906.92663440527815</v>
      </c>
      <c r="K4" s="553">
        <f t="shared" si="31"/>
        <v>929.65173319029861</v>
      </c>
      <c r="L4" s="553">
        <f t="shared" si="31"/>
        <v>952.62347437719802</v>
      </c>
      <c r="M4" s="553">
        <f t="shared" si="31"/>
        <v>975.8496554409495</v>
      </c>
      <c r="N4" s="553">
        <f t="shared" si="31"/>
        <v>999.33854743983807</v>
      </c>
      <c r="O4" s="553">
        <f t="shared" si="31"/>
        <v>1022.3832021356993</v>
      </c>
      <c r="P4" s="553">
        <f t="shared" si="31"/>
        <v>1045.5112225855064</v>
      </c>
      <c r="Q4" s="553">
        <f t="shared" si="31"/>
        <v>1068.3742408543915</v>
      </c>
      <c r="R4" s="553">
        <f t="shared" si="31"/>
        <v>1090.9786951568428</v>
      </c>
      <c r="S4" s="553">
        <f t="shared" si="31"/>
        <v>1113.3317442097673</v>
      </c>
      <c r="T4" s="553">
        <f t="shared" si="31"/>
        <v>1150.8907120497959</v>
      </c>
      <c r="U4" s="553">
        <f t="shared" si="31"/>
        <v>1187.5046869558632</v>
      </c>
      <c r="V4" s="553">
        <f t="shared" si="31"/>
        <v>1223.1833370975708</v>
      </c>
      <c r="W4" s="553">
        <f t="shared" si="31"/>
        <v>1257.9375006010207</v>
      </c>
      <c r="X4" s="553">
        <f t="shared" si="31"/>
        <v>1291.7793391454056</v>
      </c>
      <c r="Y4" s="553">
        <f t="shared" si="31"/>
        <v>1323.8761507876375</v>
      </c>
      <c r="Z4" s="553">
        <f t="shared" si="31"/>
        <v>1355.3960615220108</v>
      </c>
      <c r="AA4" s="553">
        <f t="shared" si="31"/>
        <v>1386.3561088846627</v>
      </c>
      <c r="AB4" s="553">
        <f t="shared" si="31"/>
        <v>1416.7754980161685</v>
      </c>
      <c r="AC4" s="553">
        <f t="shared" si="31"/>
        <v>1446.6758881863877</v>
      </c>
      <c r="AD4" s="553">
        <f t="shared" si="31"/>
        <v>1458.4026578141788</v>
      </c>
      <c r="AE4" s="553">
        <f t="shared" si="31"/>
        <v>1470.3452302719622</v>
      </c>
      <c r="AF4" s="553">
        <f t="shared" si="31"/>
        <v>1482.5346898634668</v>
      </c>
      <c r="AG4" s="553">
        <f t="shared" si="31"/>
        <v>1495.0061557907354</v>
      </c>
      <c r="AH4" s="553">
        <f>AH17+AH57+AH27+AH32+AH37+AH42+AH47+AH52+AH20+AH23</f>
        <v>1507.7993173403627</v>
      </c>
      <c r="AI4" s="553"/>
      <c r="AJ4" s="553">
        <f>D4</f>
        <v>777.71928978378423</v>
      </c>
      <c r="AK4" s="553">
        <f t="shared" ref="AK4:BM4" si="32">E4</f>
        <v>799.39931893450216</v>
      </c>
      <c r="AL4" s="553">
        <f t="shared" si="32"/>
        <v>820.18946388773486</v>
      </c>
      <c r="AM4" s="553">
        <f t="shared" si="32"/>
        <v>841.28770718121245</v>
      </c>
      <c r="AN4" s="553">
        <f t="shared" si="32"/>
        <v>862.70204139467342</v>
      </c>
      <c r="AO4" s="553">
        <f t="shared" si="32"/>
        <v>884.44080813809251</v>
      </c>
      <c r="AP4" s="553">
        <f t="shared" si="32"/>
        <v>906.92663440527815</v>
      </c>
      <c r="AQ4" s="553">
        <f t="shared" si="32"/>
        <v>929.65173319029861</v>
      </c>
      <c r="AR4" s="553">
        <f t="shared" si="32"/>
        <v>952.62347437719802</v>
      </c>
      <c r="AS4" s="553">
        <f t="shared" si="32"/>
        <v>975.8496554409495</v>
      </c>
      <c r="AT4" s="553">
        <f t="shared" si="32"/>
        <v>999.33854743983807</v>
      </c>
      <c r="AU4" s="553">
        <f t="shared" si="32"/>
        <v>1022.3832021356993</v>
      </c>
      <c r="AV4" s="553">
        <f t="shared" si="32"/>
        <v>1045.5112225855064</v>
      </c>
      <c r="AW4" s="553">
        <f t="shared" si="32"/>
        <v>1068.3742408543915</v>
      </c>
      <c r="AX4" s="553">
        <f t="shared" si="32"/>
        <v>1090.9786951568428</v>
      </c>
      <c r="AY4" s="553">
        <f t="shared" si="32"/>
        <v>1113.3317442097673</v>
      </c>
      <c r="AZ4" s="553">
        <f t="shared" si="32"/>
        <v>1150.8907120497959</v>
      </c>
      <c r="BA4" s="553">
        <f t="shared" si="32"/>
        <v>1187.5046869558632</v>
      </c>
      <c r="BB4" s="553">
        <f t="shared" si="32"/>
        <v>1223.1833370975708</v>
      </c>
      <c r="BC4" s="553">
        <f t="shared" si="32"/>
        <v>1257.9375006010207</v>
      </c>
      <c r="BD4" s="553">
        <f t="shared" si="32"/>
        <v>1291.7793391454056</v>
      </c>
      <c r="BE4" s="553">
        <f t="shared" si="32"/>
        <v>1323.8761507876375</v>
      </c>
      <c r="BF4" s="553">
        <f t="shared" si="32"/>
        <v>1355.3960615220108</v>
      </c>
      <c r="BG4" s="553">
        <f t="shared" si="32"/>
        <v>1386.3561088846627</v>
      </c>
      <c r="BH4" s="553">
        <f t="shared" si="32"/>
        <v>1416.7754980161685</v>
      </c>
      <c r="BI4" s="553">
        <f t="shared" si="32"/>
        <v>1446.6758881863877</v>
      </c>
      <c r="BJ4" s="553">
        <f t="shared" si="32"/>
        <v>1458.4026578141788</v>
      </c>
      <c r="BK4" s="553">
        <f t="shared" si="32"/>
        <v>1470.3452302719622</v>
      </c>
      <c r="BL4" s="553">
        <f t="shared" si="32"/>
        <v>1482.5346898634668</v>
      </c>
      <c r="BM4" s="553">
        <f t="shared" si="32"/>
        <v>1495.0061557907354</v>
      </c>
      <c r="BN4" s="553">
        <f>AH4</f>
        <v>1507.7993173403627</v>
      </c>
      <c r="BO4" s="553"/>
      <c r="BP4" s="553">
        <f>AJ4</f>
        <v>777.71928978378423</v>
      </c>
      <c r="BQ4" s="553">
        <f t="shared" ref="BQ4" si="33">AK4</f>
        <v>799.39931893450216</v>
      </c>
      <c r="BR4" s="553">
        <f t="shared" ref="BR4" si="34">AL4</f>
        <v>820.18946388773486</v>
      </c>
      <c r="BS4" s="553">
        <f t="shared" ref="BS4" si="35">AM4</f>
        <v>841.28770718121245</v>
      </c>
      <c r="BT4" s="553">
        <f t="shared" ref="BT4" si="36">AN4</f>
        <v>862.70204139467342</v>
      </c>
      <c r="BU4" s="553">
        <f t="shared" ref="BU4" si="37">AO4</f>
        <v>884.44080813809251</v>
      </c>
      <c r="BV4" s="553">
        <f t="shared" ref="BV4" si="38">AP4</f>
        <v>906.92663440527815</v>
      </c>
      <c r="BW4" s="553">
        <f t="shared" ref="BW4" si="39">AQ4</f>
        <v>929.65173319029861</v>
      </c>
      <c r="BX4" s="553">
        <f t="shared" ref="BX4" si="40">AR4</f>
        <v>952.62347437719802</v>
      </c>
      <c r="BY4" s="553">
        <f t="shared" ref="BY4" si="41">AS4</f>
        <v>975.8496554409495</v>
      </c>
      <c r="BZ4" s="553">
        <f t="shared" ref="BZ4" si="42">AT4</f>
        <v>999.33854743983807</v>
      </c>
      <c r="CA4" s="553">
        <f t="shared" ref="CA4" si="43">AU4</f>
        <v>1022.3832021356993</v>
      </c>
      <c r="CB4" s="553">
        <f t="shared" ref="CB4" si="44">AV4</f>
        <v>1045.5112225855064</v>
      </c>
      <c r="CC4" s="553">
        <f t="shared" ref="CC4" si="45">AW4</f>
        <v>1068.3742408543915</v>
      </c>
      <c r="CD4" s="553">
        <f t="shared" ref="CD4" si="46">AX4</f>
        <v>1090.9786951568428</v>
      </c>
      <c r="CE4" s="553">
        <f t="shared" ref="CE4" si="47">AY4</f>
        <v>1113.3317442097673</v>
      </c>
      <c r="CF4" s="553">
        <f t="shared" ref="CF4" si="48">AZ4</f>
        <v>1150.8907120497959</v>
      </c>
      <c r="CG4" s="553">
        <f t="shared" ref="CG4" si="49">BA4</f>
        <v>1187.5046869558632</v>
      </c>
      <c r="CH4" s="553">
        <f t="shared" ref="CH4" si="50">BB4</f>
        <v>1223.1833370975708</v>
      </c>
      <c r="CI4" s="553">
        <f t="shared" ref="CI4" si="51">BC4</f>
        <v>1257.9375006010207</v>
      </c>
      <c r="CJ4" s="553">
        <f t="shared" ref="CJ4" si="52">BD4</f>
        <v>1291.7793391454056</v>
      </c>
      <c r="CK4" s="553">
        <f t="shared" ref="CK4" si="53">BE4</f>
        <v>1323.8761507876375</v>
      </c>
      <c r="CL4" s="553">
        <f t="shared" ref="CL4" si="54">BF4</f>
        <v>1355.3960615220108</v>
      </c>
      <c r="CM4" s="553">
        <f t="shared" ref="CM4" si="55">BG4</f>
        <v>1386.3561088846627</v>
      </c>
      <c r="CN4" s="553">
        <f t="shared" ref="CN4" si="56">BH4</f>
        <v>1416.7754980161685</v>
      </c>
      <c r="CO4" s="553">
        <f t="shared" ref="CO4" si="57">BI4</f>
        <v>1446.6758881863877</v>
      </c>
      <c r="CP4" s="553">
        <f t="shared" ref="CP4" si="58">BJ4</f>
        <v>1458.4026578141788</v>
      </c>
      <c r="CQ4" s="553">
        <f t="shared" ref="CQ4" si="59">BK4</f>
        <v>1470.3452302719622</v>
      </c>
      <c r="CR4" s="553">
        <f t="shared" ref="CR4" si="60">BL4</f>
        <v>1482.5346898634668</v>
      </c>
      <c r="CS4" s="553">
        <f t="shared" ref="CS4" si="61">BM4</f>
        <v>1495.0061557907354</v>
      </c>
      <c r="CT4" s="553">
        <f t="shared" ref="CT4" si="62">BN4</f>
        <v>1507.7993173403627</v>
      </c>
      <c r="CW4" s="553">
        <f>AH4-AH10</f>
        <v>590.53676545361589</v>
      </c>
      <c r="CX4" s="655">
        <f>(BN4/AJ4)^(1/30)-1</f>
        <v>2.2313327081916245E-2</v>
      </c>
    </row>
    <row r="5" spans="1:110">
      <c r="A5" s="1" t="s">
        <v>1886</v>
      </c>
      <c r="C5" s="54" t="str">
        <f>'Yearly HC Ethylene'!C147</f>
        <v>m Tons</v>
      </c>
      <c r="D5" s="44">
        <f>D18+D58+D28+D33+D38+D43+D48+D53+D21+D24</f>
        <v>777.71914623608131</v>
      </c>
      <c r="E5" s="44">
        <f t="shared" si="31"/>
        <v>795.89074621777536</v>
      </c>
      <c r="F5" s="44">
        <f t="shared" si="31"/>
        <v>812.87544842657223</v>
      </c>
      <c r="G5" s="44">
        <f t="shared" si="31"/>
        <v>830.09235971381918</v>
      </c>
      <c r="H5" s="44">
        <f t="shared" si="31"/>
        <v>847.56402083817443</v>
      </c>
      <c r="I5" s="44">
        <f t="shared" si="31"/>
        <v>865.32706307051933</v>
      </c>
      <c r="J5" s="44">
        <f t="shared" si="31"/>
        <v>883.47591145262561</v>
      </c>
      <c r="K5" s="44">
        <f t="shared" si="31"/>
        <v>901.71879065708561</v>
      </c>
      <c r="L5" s="44">
        <f t="shared" si="31"/>
        <v>920.06019452384521</v>
      </c>
      <c r="M5" s="44">
        <f t="shared" si="31"/>
        <v>938.50045886051089</v>
      </c>
      <c r="N5" s="44">
        <f t="shared" si="31"/>
        <v>957.03572892768238</v>
      </c>
      <c r="O5" s="44">
        <f t="shared" si="31"/>
        <v>969.30254104495043</v>
      </c>
      <c r="P5" s="44">
        <f t="shared" si="31"/>
        <v>981.50180539350811</v>
      </c>
      <c r="Q5" s="44">
        <f t="shared" si="31"/>
        <v>993.12203210731195</v>
      </c>
      <c r="R5" s="44">
        <f t="shared" si="31"/>
        <v>1004.1756646190676</v>
      </c>
      <c r="S5" s="44">
        <f t="shared" si="31"/>
        <v>1014.6472897635832</v>
      </c>
      <c r="T5" s="44">
        <f t="shared" si="31"/>
        <v>1036.96748412792</v>
      </c>
      <c r="U5" s="44">
        <f t="shared" si="31"/>
        <v>1058.0678833615893</v>
      </c>
      <c r="V5" s="44">
        <f t="shared" si="31"/>
        <v>1078.0219173244304</v>
      </c>
      <c r="W5" s="44">
        <f t="shared" si="31"/>
        <v>1096.9045569341172</v>
      </c>
      <c r="X5" s="44">
        <f t="shared" si="31"/>
        <v>1114.9462447484898</v>
      </c>
      <c r="Y5" s="44">
        <f t="shared" si="31"/>
        <v>1128.5927569815499</v>
      </c>
      <c r="Z5" s="44">
        <f t="shared" si="31"/>
        <v>1141.4878020396945</v>
      </c>
      <c r="AA5" s="44">
        <f t="shared" si="31"/>
        <v>1153.5813594053147</v>
      </c>
      <c r="AB5" s="44">
        <f t="shared" si="31"/>
        <v>1164.8958498162608</v>
      </c>
      <c r="AC5" s="44">
        <f t="shared" si="31"/>
        <v>1175.4040559401396</v>
      </c>
      <c r="AD5" s="44">
        <f t="shared" si="31"/>
        <v>1170.4941404572573</v>
      </c>
      <c r="AE5" s="44">
        <f t="shared" si="31"/>
        <v>1165.2464869789364</v>
      </c>
      <c r="AF5" s="44">
        <f t="shared" si="31"/>
        <v>1159.6188968905535</v>
      </c>
      <c r="AG5" s="44">
        <f t="shared" si="31"/>
        <v>1153.4892380542001</v>
      </c>
      <c r="AH5" s="44">
        <f t="shared" si="31"/>
        <v>1147.2384099017395</v>
      </c>
      <c r="AI5" s="44"/>
      <c r="AJ5" s="44">
        <f>AJ18+AJ58+AJ28+AJ33+AJ38+AJ43+AJ48+AJ53+AJ21+AJ24</f>
        <v>777.71921076482636</v>
      </c>
      <c r="AK5" s="44">
        <f t="shared" ref="AK5:BN5" si="63">AK18+AK58+AK28+AK33+AK38+AK43+AK48+AK53+AK21+AK24</f>
        <v>795.86298095240159</v>
      </c>
      <c r="AL5" s="44">
        <f t="shared" si="63"/>
        <v>812.81909421729426</v>
      </c>
      <c r="AM5" s="44">
        <f t="shared" si="63"/>
        <v>830.00673690059648</v>
      </c>
      <c r="AN5" s="44">
        <f t="shared" si="63"/>
        <v>847.44861777382448</v>
      </c>
      <c r="AO5" s="44">
        <f t="shared" si="63"/>
        <v>865.18171455841809</v>
      </c>
      <c r="AP5" s="44">
        <f t="shared" si="63"/>
        <v>883.301129851469</v>
      </c>
      <c r="AQ5" s="44">
        <f t="shared" si="63"/>
        <v>901.5164629643283</v>
      </c>
      <c r="AR5" s="44">
        <f t="shared" si="63"/>
        <v>919.83482182630064</v>
      </c>
      <c r="AS5" s="44">
        <f t="shared" si="63"/>
        <v>938.26129841202169</v>
      </c>
      <c r="AT5" s="44">
        <f t="shared" si="63"/>
        <v>956.80056721643723</v>
      </c>
      <c r="AU5" s="44">
        <f t="shared" si="63"/>
        <v>969.0937297989592</v>
      </c>
      <c r="AV5" s="44">
        <f t="shared" si="63"/>
        <v>981.3592153212827</v>
      </c>
      <c r="AW5" s="44">
        <f t="shared" si="63"/>
        <v>993.09960082314615</v>
      </c>
      <c r="AX5" s="44">
        <f t="shared" si="63"/>
        <v>1004.3380366105735</v>
      </c>
      <c r="AY5" s="44">
        <f t="shared" si="63"/>
        <v>1015.0800992854456</v>
      </c>
      <c r="AZ5" s="44">
        <f t="shared" si="63"/>
        <v>1037.7499047259362</v>
      </c>
      <c r="BA5" s="44">
        <f t="shared" si="63"/>
        <v>1059.2532056108762</v>
      </c>
      <c r="BB5" s="44">
        <f t="shared" si="63"/>
        <v>1079.6334667815204</v>
      </c>
      <c r="BC5" s="44">
        <f t="shared" si="63"/>
        <v>1098.9355876793825</v>
      </c>
      <c r="BD5" s="44">
        <f t="shared" si="63"/>
        <v>1117.3672969579188</v>
      </c>
      <c r="BE5" s="44">
        <f t="shared" si="63"/>
        <v>1131.4253061257414</v>
      </c>
      <c r="BF5" s="44">
        <f t="shared" si="63"/>
        <v>1144.7636948025499</v>
      </c>
      <c r="BG5" s="44">
        <f t="shared" si="63"/>
        <v>1157.2782079442582</v>
      </c>
      <c r="BH5" s="44">
        <f t="shared" si="63"/>
        <v>1168.9968129366032</v>
      </c>
      <c r="BI5" s="44">
        <f t="shared" si="63"/>
        <v>1179.9124870075982</v>
      </c>
      <c r="BJ5" s="44">
        <f t="shared" si="63"/>
        <v>1175.4402985098177</v>
      </c>
      <c r="BK5" s="44">
        <f t="shared" si="63"/>
        <v>1170.691989202041</v>
      </c>
      <c r="BL5" s="44">
        <f t="shared" si="63"/>
        <v>1165.6551738034923</v>
      </c>
      <c r="BM5" s="44">
        <f t="shared" si="63"/>
        <v>1160.2681951647724</v>
      </c>
      <c r="BN5" s="44">
        <f t="shared" si="63"/>
        <v>1155.0077800536596</v>
      </c>
      <c r="BO5" s="44"/>
      <c r="BP5" s="44">
        <f>BP18+BP58+BP28+BP33+BP38+BP43+BP48+BP53+BP21+BP24</f>
        <v>762.77192136273152</v>
      </c>
      <c r="BQ5" s="44">
        <f t="shared" ref="BQ5:CT5" si="64">BQ18+BQ58+BQ28+BQ33+BQ38+BQ43+BQ48+BQ53+BQ21+BQ24</f>
        <v>783.70263915915086</v>
      </c>
      <c r="BR5" s="44">
        <f t="shared" si="64"/>
        <v>803.73359218652251</v>
      </c>
      <c r="BS5" s="44">
        <f t="shared" si="64"/>
        <v>824.0625094725217</v>
      </c>
      <c r="BT5" s="44">
        <f t="shared" si="64"/>
        <v>844.69712357346805</v>
      </c>
      <c r="BU5" s="44">
        <f t="shared" si="64"/>
        <v>865.6455093952078</v>
      </c>
      <c r="BV5" s="44">
        <f t="shared" si="64"/>
        <v>887.12967451276052</v>
      </c>
      <c r="BW5" s="44">
        <f t="shared" si="64"/>
        <v>908.83214616667203</v>
      </c>
      <c r="BX5" s="44">
        <f t="shared" si="64"/>
        <v>930.76398012971163</v>
      </c>
      <c r="BY5" s="44">
        <f t="shared" si="64"/>
        <v>952.93673068789894</v>
      </c>
      <c r="BZ5" s="44">
        <f t="shared" si="64"/>
        <v>990.30986631869882</v>
      </c>
      <c r="CA5" s="44">
        <f t="shared" si="64"/>
        <v>1010.519921390799</v>
      </c>
      <c r="CB5" s="44">
        <f t="shared" si="64"/>
        <v>1030.9177878338378</v>
      </c>
      <c r="CC5" s="44">
        <f t="shared" si="64"/>
        <v>1051.0093111198216</v>
      </c>
      <c r="CD5" s="44">
        <f t="shared" si="64"/>
        <v>1070.8017471874425</v>
      </c>
      <c r="CE5" s="44">
        <f t="shared" si="64"/>
        <v>1090.3030811918518</v>
      </c>
      <c r="CF5" s="44">
        <f t="shared" si="64"/>
        <v>1122.2514869112565</v>
      </c>
      <c r="CG5" s="44">
        <f t="shared" si="64"/>
        <v>1153.3481804139692</v>
      </c>
      <c r="CH5" s="44">
        <f t="shared" si="64"/>
        <v>1183.6038141571094</v>
      </c>
      <c r="CI5" s="44">
        <f t="shared" si="64"/>
        <v>1213.0302224297168</v>
      </c>
      <c r="CJ5" s="44">
        <f t="shared" si="64"/>
        <v>1241.6405751379284</v>
      </c>
      <c r="CK5" s="44">
        <f t="shared" si="64"/>
        <v>1268.4475340813776</v>
      </c>
      <c r="CL5" s="44">
        <f t="shared" si="64"/>
        <v>1294.7155382815158</v>
      </c>
      <c r="CM5" s="44">
        <f t="shared" si="64"/>
        <v>1320.4625910609352</v>
      </c>
      <c r="CN5" s="44">
        <f t="shared" si="64"/>
        <v>1345.708873642564</v>
      </c>
      <c r="CO5" s="44">
        <f t="shared" si="64"/>
        <v>1370.4770318078545</v>
      </c>
      <c r="CP5" s="44">
        <f t="shared" si="64"/>
        <v>1380.0325771552782</v>
      </c>
      <c r="CQ5" s="44">
        <f t="shared" si="64"/>
        <v>1389.7164806302003</v>
      </c>
      <c r="CR5" s="44">
        <f t="shared" si="64"/>
        <v>1399.5606759099687</v>
      </c>
      <c r="CS5" s="44">
        <f t="shared" si="64"/>
        <v>1409.6011385583658</v>
      </c>
      <c r="CT5" s="44">
        <f t="shared" si="64"/>
        <v>1419.8784212664041</v>
      </c>
      <c r="CW5">
        <f>70/CW4</f>
        <v>0.11853622686172653</v>
      </c>
    </row>
    <row r="6" spans="1:110">
      <c r="A6" s="1" t="s">
        <v>119</v>
      </c>
      <c r="C6" s="54" t="str">
        <f>'Yearly HC Ethylene'!C154</f>
        <v>m Tons</v>
      </c>
      <c r="D6" s="44">
        <f t="shared" ref="D6:AG6" si="65">D29+D34+D39+D44+D49+D54+D59</f>
        <v>36.64098725377027</v>
      </c>
      <c r="E6" s="44">
        <f t="shared" si="65"/>
        <v>39.371848977269437</v>
      </c>
      <c r="F6" s="44">
        <f t="shared" si="65"/>
        <v>41.683723558997443</v>
      </c>
      <c r="G6" s="44">
        <f t="shared" si="65"/>
        <v>43.986769627186206</v>
      </c>
      <c r="H6" s="44">
        <f t="shared" si="65"/>
        <v>46.265875542476238</v>
      </c>
      <c r="I6" s="44">
        <f t="shared" si="65"/>
        <v>48.505085585333831</v>
      </c>
      <c r="J6" s="44">
        <f t="shared" si="65"/>
        <v>50.796751546796926</v>
      </c>
      <c r="K6" s="44">
        <f t="shared" si="65"/>
        <v>53.136570052600376</v>
      </c>
      <c r="L6" s="44">
        <f t="shared" si="65"/>
        <v>55.517346704501414</v>
      </c>
      <c r="M6" s="44">
        <f t="shared" si="65"/>
        <v>57.927005525708111</v>
      </c>
      <c r="N6" s="44">
        <f t="shared" si="65"/>
        <v>60.344994129261231</v>
      </c>
      <c r="O6" s="44">
        <f t="shared" si="65"/>
        <v>60.467132247593554</v>
      </c>
      <c r="P6" s="44">
        <f t="shared" si="65"/>
        <v>60.360439129322558</v>
      </c>
      <c r="Q6" s="44">
        <f t="shared" si="65"/>
        <v>59.99817003647771</v>
      </c>
      <c r="R6" s="44">
        <f t="shared" si="65"/>
        <v>59.348812288560111</v>
      </c>
      <c r="S6" s="44">
        <f t="shared" si="65"/>
        <v>59.518506442106542</v>
      </c>
      <c r="T6" s="44">
        <f t="shared" si="65"/>
        <v>59.865668206420864</v>
      </c>
      <c r="U6" s="44">
        <f t="shared" si="65"/>
        <v>60.014184483943644</v>
      </c>
      <c r="V6" s="44">
        <f t="shared" si="65"/>
        <v>60.027791181698873</v>
      </c>
      <c r="W6" s="44">
        <f t="shared" si="65"/>
        <v>59.970536403963095</v>
      </c>
      <c r="X6" s="44">
        <f t="shared" si="65"/>
        <v>59.890334872262279</v>
      </c>
      <c r="Y6" s="44">
        <f t="shared" si="65"/>
        <v>59.097283795730064</v>
      </c>
      <c r="Z6" s="44">
        <f t="shared" si="65"/>
        <v>59.391651306453198</v>
      </c>
      <c r="AA6" s="44">
        <f t="shared" si="65"/>
        <v>59.719393035281527</v>
      </c>
      <c r="AB6" s="44">
        <f t="shared" si="65"/>
        <v>59.937594810012712</v>
      </c>
      <c r="AC6" s="44">
        <f t="shared" si="65"/>
        <v>59.999196082655423</v>
      </c>
      <c r="AD6" s="44">
        <f t="shared" si="65"/>
        <v>59.842339762603842</v>
      </c>
      <c r="AE6" s="44">
        <f t="shared" si="65"/>
        <v>59.393922389049841</v>
      </c>
      <c r="AF6" s="44">
        <f t="shared" si="65"/>
        <v>58.583569671219038</v>
      </c>
      <c r="AG6" s="44">
        <f t="shared" si="65"/>
        <v>57.794272937815144</v>
      </c>
      <c r="AH6" s="44">
        <f>AH29+AH34+AH39+AH44+AH49+AH54+AH59</f>
        <v>57.419773350395317</v>
      </c>
      <c r="AI6" s="44"/>
      <c r="AJ6" s="44">
        <f t="shared" ref="AJ6:BM6" si="66">AJ29+AJ34+AJ39+AJ44+AJ49+AJ54+AJ59</f>
        <v>36.641051484585837</v>
      </c>
      <c r="AK6" s="44">
        <f t="shared" si="66"/>
        <v>39.03549389340494</v>
      </c>
      <c r="AL6" s="44">
        <f t="shared" si="66"/>
        <v>41.340677179508724</v>
      </c>
      <c r="AM6" s="44">
        <f t="shared" si="66"/>
        <v>43.639013173361938</v>
      </c>
      <c r="AN6" s="44">
        <f t="shared" si="66"/>
        <v>45.915704924624364</v>
      </c>
      <c r="AO6" s="44">
        <f t="shared" si="66"/>
        <v>48.155274135814501</v>
      </c>
      <c r="AP6" s="44">
        <f t="shared" si="66"/>
        <v>50.450132357469535</v>
      </c>
      <c r="AQ6" s="44">
        <f t="shared" si="66"/>
        <v>52.797466752490422</v>
      </c>
      <c r="AR6" s="44">
        <f t="shared" si="66"/>
        <v>55.192813773977214</v>
      </c>
      <c r="AS6" s="44">
        <f t="shared" si="66"/>
        <v>57.628968630708322</v>
      </c>
      <c r="AT6" s="44">
        <f t="shared" si="66"/>
        <v>60.094016212247809</v>
      </c>
      <c r="AU6" s="44">
        <f t="shared" si="66"/>
        <v>60.265838620740958</v>
      </c>
      <c r="AV6" s="44">
        <f t="shared" si="66"/>
        <v>60.251683129319773</v>
      </c>
      <c r="AW6" s="44">
        <f t="shared" si="66"/>
        <v>60.034228317937583</v>
      </c>
      <c r="AX6" s="44">
        <f t="shared" si="66"/>
        <v>59.597302265888842</v>
      </c>
      <c r="AY6" s="44">
        <f t="shared" si="66"/>
        <v>60.071396830973008</v>
      </c>
      <c r="AZ6" s="44">
        <f t="shared" si="66"/>
        <v>60.802693328482967</v>
      </c>
      <c r="BA6" s="44">
        <f t="shared" si="66"/>
        <v>61.391291884142596</v>
      </c>
      <c r="BB6" s="44">
        <f t="shared" si="66"/>
        <v>61.870982604431802</v>
      </c>
      <c r="BC6" s="44">
        <f t="shared" si="66"/>
        <v>62.275772468170857</v>
      </c>
      <c r="BD6" s="44">
        <f t="shared" si="66"/>
        <v>62.630919603136455</v>
      </c>
      <c r="BE6" s="44">
        <f t="shared" si="66"/>
        <v>62.158231984117045</v>
      </c>
      <c r="BF6" s="44">
        <f t="shared" si="66"/>
        <v>62.804519662560423</v>
      </c>
      <c r="BG6" s="44">
        <f t="shared" si="66"/>
        <v>63.461540186410339</v>
      </c>
      <c r="BH6" s="44">
        <f t="shared" si="66"/>
        <v>63.991883860339343</v>
      </c>
      <c r="BI6" s="44">
        <f t="shared" si="66"/>
        <v>64.368764334888127</v>
      </c>
      <c r="BJ6" s="44">
        <f t="shared" si="66"/>
        <v>64.557363978805057</v>
      </c>
      <c r="BK6" s="44">
        <f t="shared" si="66"/>
        <v>64.594698586954522</v>
      </c>
      <c r="BL6" s="44">
        <f t="shared" si="66"/>
        <v>64.392400299168358</v>
      </c>
      <c r="BM6" s="44">
        <f t="shared" si="66"/>
        <v>64.481052803433215</v>
      </c>
      <c r="BN6" s="44">
        <f>BN29+BN34+BN39+BN44+BN49+BN54+BN59</f>
        <v>65.113621001022807</v>
      </c>
      <c r="BO6" s="44"/>
      <c r="BP6" s="44">
        <f t="shared" ref="BP6:CS6" si="67">BP29+BP34+BP39+BP44+BP49+BP54+BP59</f>
        <v>0</v>
      </c>
      <c r="BQ6" s="44">
        <f t="shared" si="67"/>
        <v>0</v>
      </c>
      <c r="BR6" s="44">
        <f t="shared" si="67"/>
        <v>0</v>
      </c>
      <c r="BS6" s="44">
        <f t="shared" si="67"/>
        <v>0</v>
      </c>
      <c r="BT6" s="44">
        <f t="shared" si="67"/>
        <v>0</v>
      </c>
      <c r="BU6" s="44">
        <f t="shared" si="67"/>
        <v>0</v>
      </c>
      <c r="BV6" s="44">
        <f t="shared" si="67"/>
        <v>0</v>
      </c>
      <c r="BW6" s="44">
        <f t="shared" si="67"/>
        <v>0</v>
      </c>
      <c r="BX6" s="44">
        <f t="shared" si="67"/>
        <v>0</v>
      </c>
      <c r="BY6" s="44">
        <f t="shared" si="67"/>
        <v>0</v>
      </c>
      <c r="BZ6" s="44">
        <f t="shared" si="67"/>
        <v>0</v>
      </c>
      <c r="CA6" s="44">
        <f t="shared" si="67"/>
        <v>0</v>
      </c>
      <c r="CB6" s="44">
        <f t="shared" si="67"/>
        <v>0</v>
      </c>
      <c r="CC6" s="44">
        <f t="shared" si="67"/>
        <v>0</v>
      </c>
      <c r="CD6" s="44">
        <f t="shared" si="67"/>
        <v>0</v>
      </c>
      <c r="CE6" s="44">
        <f t="shared" si="67"/>
        <v>0</v>
      </c>
      <c r="CF6" s="44">
        <f t="shared" si="67"/>
        <v>0</v>
      </c>
      <c r="CG6" s="44">
        <f t="shared" si="67"/>
        <v>0</v>
      </c>
      <c r="CH6" s="44">
        <f t="shared" si="67"/>
        <v>0</v>
      </c>
      <c r="CI6" s="44">
        <f t="shared" si="67"/>
        <v>0</v>
      </c>
      <c r="CJ6" s="44">
        <f t="shared" si="67"/>
        <v>0</v>
      </c>
      <c r="CK6" s="44">
        <f t="shared" si="67"/>
        <v>0</v>
      </c>
      <c r="CL6" s="44">
        <f t="shared" si="67"/>
        <v>0</v>
      </c>
      <c r="CM6" s="44">
        <f t="shared" si="67"/>
        <v>0</v>
      </c>
      <c r="CN6" s="44">
        <f t="shared" si="67"/>
        <v>0</v>
      </c>
      <c r="CO6" s="44">
        <f t="shared" si="67"/>
        <v>0</v>
      </c>
      <c r="CP6" s="44">
        <f t="shared" si="67"/>
        <v>0</v>
      </c>
      <c r="CQ6" s="44">
        <f t="shared" si="67"/>
        <v>0</v>
      </c>
      <c r="CR6" s="44">
        <f t="shared" si="67"/>
        <v>0</v>
      </c>
      <c r="CS6" s="44">
        <f t="shared" si="67"/>
        <v>0</v>
      </c>
      <c r="CT6" s="44">
        <f>CT29+CT34+CT39+CT44+CT49+CT54+CT59</f>
        <v>0</v>
      </c>
    </row>
    <row r="7" spans="1:110">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V7" s="2">
        <f>BN6/(BN5-BN10)*0.8</f>
        <v>0.22650593523352477</v>
      </c>
    </row>
    <row r="8" spans="1:110" s="52" customFormat="1" ht="16" thickBot="1">
      <c r="A8" s="52" t="s">
        <v>120</v>
      </c>
      <c r="C8" s="635"/>
    </row>
    <row r="9" spans="1:110" s="554" customFormat="1">
      <c r="A9" s="550" t="s">
        <v>68</v>
      </c>
      <c r="B9" s="551"/>
      <c r="C9" s="552" t="str">
        <f>C27</f>
        <v>m Tons</v>
      </c>
      <c r="D9" s="553">
        <f t="shared" ref="D9:AG9" si="68">D14+D27+D32+D37+D42+D47+D52+D57</f>
        <v>661.63220645045089</v>
      </c>
      <c r="E9" s="553">
        <f t="shared" si="68"/>
        <v>681.06307813232831</v>
      </c>
      <c r="F9" s="553">
        <f t="shared" si="68"/>
        <v>700.11740063318598</v>
      </c>
      <c r="G9" s="553">
        <f t="shared" si="68"/>
        <v>719.45435945550423</v>
      </c>
      <c r="H9" s="553">
        <f t="shared" si="68"/>
        <v>739.08157368782736</v>
      </c>
      <c r="I9" s="553">
        <f t="shared" si="68"/>
        <v>759.00700597035734</v>
      </c>
      <c r="J9" s="553">
        <f t="shared" si="68"/>
        <v>777.34663402354295</v>
      </c>
      <c r="K9" s="553">
        <f t="shared" si="68"/>
        <v>795.89947564509021</v>
      </c>
      <c r="L9" s="553">
        <f t="shared" si="68"/>
        <v>814.67226911163175</v>
      </c>
      <c r="M9" s="553">
        <f t="shared" si="68"/>
        <v>833.67216987342226</v>
      </c>
      <c r="N9" s="553">
        <f t="shared" si="68"/>
        <v>852.90679637701135</v>
      </c>
      <c r="O9" s="553">
        <f t="shared" si="68"/>
        <v>873.19053993518673</v>
      </c>
      <c r="P9" s="553">
        <f t="shared" si="68"/>
        <v>893.20523060413996</v>
      </c>
      <c r="Q9" s="553">
        <f t="shared" si="68"/>
        <v>912.95659151207076</v>
      </c>
      <c r="R9" s="553">
        <f t="shared" si="68"/>
        <v>932.45098319087094</v>
      </c>
      <c r="S9" s="553">
        <f t="shared" si="68"/>
        <v>951.69548610250524</v>
      </c>
      <c r="T9" s="553">
        <f t="shared" si="68"/>
        <v>986.14734545221131</v>
      </c>
      <c r="U9" s="553">
        <f t="shared" si="68"/>
        <v>1019.6555701069472</v>
      </c>
      <c r="V9" s="553">
        <f t="shared" si="68"/>
        <v>1052.2297482395893</v>
      </c>
      <c r="W9" s="553">
        <f t="shared" si="68"/>
        <v>1083.8806373905766</v>
      </c>
      <c r="X9" s="553">
        <f t="shared" si="68"/>
        <v>1114.6203180602777</v>
      </c>
      <c r="Y9" s="553">
        <f t="shared" si="68"/>
        <v>1143.6160065293668</v>
      </c>
      <c r="Z9" s="553">
        <f t="shared" si="68"/>
        <v>1172.0357464142096</v>
      </c>
      <c r="AA9" s="553">
        <f t="shared" si="68"/>
        <v>1199.8964922670095</v>
      </c>
      <c r="AB9" s="553">
        <f t="shared" si="68"/>
        <v>1227.217365634061</v>
      </c>
      <c r="AC9" s="553">
        <f t="shared" si="68"/>
        <v>1254.0199415762263</v>
      </c>
      <c r="AD9" s="553">
        <f t="shared" si="68"/>
        <v>1262.6495136842461</v>
      </c>
      <c r="AE9" s="553">
        <f t="shared" si="68"/>
        <v>1271.4954198788689</v>
      </c>
      <c r="AF9" s="553">
        <f t="shared" si="68"/>
        <v>1280.588658384132</v>
      </c>
      <c r="AG9" s="553">
        <f t="shared" si="68"/>
        <v>1289.964261689872</v>
      </c>
      <c r="AH9" s="553">
        <f>AH14+AH27+AH32+AH37+AH42+AH47+AH52+AH57</f>
        <v>1299.6618317334367</v>
      </c>
      <c r="AI9" s="553"/>
      <c r="AJ9" s="553">
        <f t="shared" ref="AJ9:BN9" si="69">AJ14+AJ27+AJ32+AJ37+AJ42+AJ47+AJ52+AJ57</f>
        <v>661.63220645045089</v>
      </c>
      <c r="AK9" s="553">
        <f t="shared" si="69"/>
        <v>681.06307813232831</v>
      </c>
      <c r="AL9" s="553">
        <f t="shared" si="69"/>
        <v>700.11740063318598</v>
      </c>
      <c r="AM9" s="553">
        <f t="shared" si="69"/>
        <v>719.45435945550423</v>
      </c>
      <c r="AN9" s="553">
        <f t="shared" si="69"/>
        <v>739.08157368782736</v>
      </c>
      <c r="AO9" s="553">
        <f t="shared" si="69"/>
        <v>759.00700597035734</v>
      </c>
      <c r="AP9" s="553">
        <f t="shared" si="69"/>
        <v>777.34663402354295</v>
      </c>
      <c r="AQ9" s="553">
        <f t="shared" si="69"/>
        <v>795.89947564509021</v>
      </c>
      <c r="AR9" s="553">
        <f t="shared" si="69"/>
        <v>814.67226911163175</v>
      </c>
      <c r="AS9" s="553">
        <f t="shared" si="69"/>
        <v>833.67216987342226</v>
      </c>
      <c r="AT9" s="553">
        <f t="shared" si="69"/>
        <v>852.90679637701135</v>
      </c>
      <c r="AU9" s="553">
        <f t="shared" si="69"/>
        <v>873.19053993518673</v>
      </c>
      <c r="AV9" s="553">
        <f t="shared" si="69"/>
        <v>893.20523060413996</v>
      </c>
      <c r="AW9" s="553">
        <f t="shared" si="69"/>
        <v>912.95659151207076</v>
      </c>
      <c r="AX9" s="553">
        <f t="shared" si="69"/>
        <v>932.45098319087094</v>
      </c>
      <c r="AY9" s="553">
        <f t="shared" si="69"/>
        <v>951.69548610250524</v>
      </c>
      <c r="AZ9" s="553">
        <f t="shared" si="69"/>
        <v>986.14734545221131</v>
      </c>
      <c r="BA9" s="553">
        <f t="shared" si="69"/>
        <v>1019.6555701069472</v>
      </c>
      <c r="BB9" s="553">
        <f t="shared" si="69"/>
        <v>1052.2297482395893</v>
      </c>
      <c r="BC9" s="553">
        <f t="shared" si="69"/>
        <v>1083.8806373905766</v>
      </c>
      <c r="BD9" s="553">
        <f t="shared" si="69"/>
        <v>1114.6203180602777</v>
      </c>
      <c r="BE9" s="553">
        <f t="shared" si="69"/>
        <v>1143.6160065293668</v>
      </c>
      <c r="BF9" s="553">
        <f t="shared" si="69"/>
        <v>1172.0357464142096</v>
      </c>
      <c r="BG9" s="553">
        <f t="shared" si="69"/>
        <v>1199.8964922670095</v>
      </c>
      <c r="BH9" s="553">
        <f t="shared" si="69"/>
        <v>1227.217365634061</v>
      </c>
      <c r="BI9" s="553">
        <f t="shared" si="69"/>
        <v>1254.0199415762263</v>
      </c>
      <c r="BJ9" s="553">
        <f t="shared" si="69"/>
        <v>1262.6495136842461</v>
      </c>
      <c r="BK9" s="553">
        <f t="shared" si="69"/>
        <v>1271.4954198788689</v>
      </c>
      <c r="BL9" s="553">
        <f t="shared" si="69"/>
        <v>1280.588658384132</v>
      </c>
      <c r="BM9" s="553">
        <f t="shared" si="69"/>
        <v>1289.964261689872</v>
      </c>
      <c r="BN9" s="553">
        <f t="shared" si="69"/>
        <v>1299.6618317334367</v>
      </c>
      <c r="BO9" s="553"/>
      <c r="BP9" s="553">
        <f t="shared" ref="BP9:CT9" si="70">BP14+BP27+BP32+BP37+BP42+BP47+BP52+BP57</f>
        <v>646.68483802939829</v>
      </c>
      <c r="BQ9" s="553">
        <f t="shared" si="70"/>
        <v>665.73167110121494</v>
      </c>
      <c r="BR9" s="553">
        <f t="shared" si="70"/>
        <v>684.39208799403184</v>
      </c>
      <c r="BS9" s="553">
        <f t="shared" si="70"/>
        <v>703.32502070027431</v>
      </c>
      <c r="BT9" s="553">
        <f t="shared" si="70"/>
        <v>722.53782828506792</v>
      </c>
      <c r="BU9" s="553">
        <f t="shared" si="70"/>
        <v>742.03820668448589</v>
      </c>
      <c r="BV9" s="553">
        <f t="shared" si="70"/>
        <v>759.96496639968734</v>
      </c>
      <c r="BW9" s="553">
        <f t="shared" si="70"/>
        <v>778.0948941719779</v>
      </c>
      <c r="BX9" s="553">
        <f t="shared" si="70"/>
        <v>796.43448386036948</v>
      </c>
      <c r="BY9" s="553">
        <f t="shared" si="70"/>
        <v>814.99064055056454</v>
      </c>
      <c r="BZ9" s="553">
        <f t="shared" si="70"/>
        <v>848.71809465398542</v>
      </c>
      <c r="CA9" s="553">
        <f t="shared" si="70"/>
        <v>868.9760282169276</v>
      </c>
      <c r="CB9" s="553">
        <f t="shared" si="70"/>
        <v>888.9659979170799</v>
      </c>
      <c r="CC9" s="553">
        <f t="shared" si="70"/>
        <v>908.69379238965507</v>
      </c>
      <c r="CD9" s="553">
        <f t="shared" si="70"/>
        <v>928.16584016034881</v>
      </c>
      <c r="CE9" s="553">
        <f t="shared" si="70"/>
        <v>947.38929225282709</v>
      </c>
      <c r="CF9" s="553">
        <f t="shared" si="70"/>
        <v>982.00351544806483</v>
      </c>
      <c r="CG9" s="553">
        <f t="shared" si="70"/>
        <v>1015.6811998698994</v>
      </c>
      <c r="CH9" s="553">
        <f t="shared" si="70"/>
        <v>1048.4321433785947</v>
      </c>
      <c r="CI9" s="553">
        <f t="shared" si="70"/>
        <v>1080.2673187399744</v>
      </c>
      <c r="CJ9" s="553">
        <f t="shared" si="70"/>
        <v>1111.1990273576694</v>
      </c>
      <c r="CK9" s="553">
        <f t="shared" si="70"/>
        <v>1140.3593021619452</v>
      </c>
      <c r="CL9" s="553">
        <f t="shared" si="70"/>
        <v>1168.9497396594199</v>
      </c>
      <c r="CM9" s="553">
        <f t="shared" si="70"/>
        <v>1196.9874534108369</v>
      </c>
      <c r="CN9" s="553">
        <f t="shared" si="70"/>
        <v>1224.4917276823508</v>
      </c>
      <c r="CO9" s="553">
        <f t="shared" si="70"/>
        <v>1251.484304048817</v>
      </c>
      <c r="CP9" s="553">
        <f t="shared" si="70"/>
        <v>1260.1205598045876</v>
      </c>
      <c r="CQ9" s="553">
        <f t="shared" si="70"/>
        <v>1268.973602511353</v>
      </c>
      <c r="CR9" s="553">
        <f t="shared" si="70"/>
        <v>1278.0744395569179</v>
      </c>
      <c r="CS9" s="553">
        <f t="shared" si="70"/>
        <v>1287.4581127420204</v>
      </c>
      <c r="CT9" s="553">
        <f t="shared" si="70"/>
        <v>1297.1642334641772</v>
      </c>
      <c r="CW9" s="553">
        <f>AH9-AH15</f>
        <v>881.94477854194736</v>
      </c>
      <c r="CX9" s="655">
        <f>(BN9/AJ9)^(1/30)-1</f>
        <v>2.2760132884030559E-2</v>
      </c>
    </row>
    <row r="10" spans="1:110">
      <c r="A10" s="1" t="s">
        <v>91</v>
      </c>
      <c r="C10" s="54" t="str">
        <f>'Yearly HC Ethylene'!C152</f>
        <v>m Tons</v>
      </c>
      <c r="D10" s="44">
        <f t="shared" ref="D10:AG10" si="71">D15+D28+D33+D38+D43+D48+D53+D58</f>
        <v>661.63206290274798</v>
      </c>
      <c r="E10" s="44">
        <f t="shared" si="71"/>
        <v>677.55450541560162</v>
      </c>
      <c r="F10" s="44">
        <f t="shared" si="71"/>
        <v>692.80338517202347</v>
      </c>
      <c r="G10" s="44">
        <f t="shared" si="71"/>
        <v>708.25901198811096</v>
      </c>
      <c r="H10" s="44">
        <f t="shared" si="71"/>
        <v>723.94355313132826</v>
      </c>
      <c r="I10" s="44">
        <f t="shared" si="71"/>
        <v>739.89326090278416</v>
      </c>
      <c r="J10" s="44">
        <f t="shared" si="71"/>
        <v>751.88015439041169</v>
      </c>
      <c r="K10" s="44">
        <f t="shared" si="71"/>
        <v>763.95053035421438</v>
      </c>
      <c r="L10" s="44">
        <f t="shared" si="71"/>
        <v>776.10432072038122</v>
      </c>
      <c r="M10" s="44">
        <f t="shared" si="71"/>
        <v>788.33721209620205</v>
      </c>
      <c r="N10" s="44">
        <f t="shared" si="71"/>
        <v>800.64061167623322</v>
      </c>
      <c r="O10" s="44">
        <f t="shared" si="71"/>
        <v>808.67112854507889</v>
      </c>
      <c r="P10" s="44">
        <f t="shared" si="71"/>
        <v>816.24716762106914</v>
      </c>
      <c r="Q10" s="44">
        <f t="shared" si="71"/>
        <v>823.35718220136675</v>
      </c>
      <c r="R10" s="44">
        <f t="shared" si="71"/>
        <v>830.01278830568049</v>
      </c>
      <c r="S10" s="44">
        <f t="shared" si="71"/>
        <v>836.1977386373336</v>
      </c>
      <c r="T10" s="44">
        <f t="shared" si="71"/>
        <v>854.34176888201432</v>
      </c>
      <c r="U10" s="44">
        <f t="shared" si="71"/>
        <v>871.37566696619967</v>
      </c>
      <c r="V10" s="44">
        <f t="shared" si="71"/>
        <v>887.37200815287406</v>
      </c>
      <c r="W10" s="44">
        <f t="shared" si="71"/>
        <v>902.40490183649376</v>
      </c>
      <c r="X10" s="44">
        <f t="shared" si="71"/>
        <v>916.70392207239399</v>
      </c>
      <c r="Y10" s="44">
        <f t="shared" si="71"/>
        <v>926.7139695394626</v>
      </c>
      <c r="Z10" s="44">
        <f t="shared" si="71"/>
        <v>936.077870022669</v>
      </c>
      <c r="AA10" s="44">
        <f t="shared" si="71"/>
        <v>944.74471324255387</v>
      </c>
      <c r="AB10" s="44">
        <f t="shared" si="71"/>
        <v>952.73602298019591</v>
      </c>
      <c r="AC10" s="44">
        <f t="shared" si="71"/>
        <v>960.02367769660339</v>
      </c>
      <c r="AD10" s="44">
        <f t="shared" si="71"/>
        <v>951.99492856035238</v>
      </c>
      <c r="AE10" s="44">
        <f t="shared" si="71"/>
        <v>943.72924031019045</v>
      </c>
      <c r="AF10" s="44">
        <f t="shared" si="71"/>
        <v>935.18348804195068</v>
      </c>
      <c r="AG10" s="44">
        <f t="shared" si="71"/>
        <v>926.23460585468013</v>
      </c>
      <c r="AH10" s="44">
        <f>AH15+AH28+AH33+AH38+AH43+AH48+AH53+AH58</f>
        <v>917.26255188674679</v>
      </c>
      <c r="AI10" s="44"/>
      <c r="AJ10" s="44">
        <f t="shared" ref="AJ10:BM10" si="72">AJ15+AJ28+AJ33+AJ38+AJ43+AJ48+AJ53+AJ58</f>
        <v>661.63212743149325</v>
      </c>
      <c r="AK10" s="44">
        <f t="shared" si="72"/>
        <v>677.52674015022785</v>
      </c>
      <c r="AL10" s="44">
        <f t="shared" si="72"/>
        <v>692.74703096274538</v>
      </c>
      <c r="AM10" s="44">
        <f t="shared" si="72"/>
        <v>708.17338917488814</v>
      </c>
      <c r="AN10" s="44">
        <f t="shared" si="72"/>
        <v>723.82815006697831</v>
      </c>
      <c r="AO10" s="44">
        <f t="shared" si="72"/>
        <v>739.74791239068304</v>
      </c>
      <c r="AP10" s="44">
        <f t="shared" si="72"/>
        <v>751.70537278925485</v>
      </c>
      <c r="AQ10" s="44">
        <f t="shared" si="72"/>
        <v>763.74820266145707</v>
      </c>
      <c r="AR10" s="44">
        <f t="shared" si="72"/>
        <v>775.87894802283677</v>
      </c>
      <c r="AS10" s="44">
        <f t="shared" si="72"/>
        <v>788.09805164771274</v>
      </c>
      <c r="AT10" s="44">
        <f t="shared" si="72"/>
        <v>800.40544996498795</v>
      </c>
      <c r="AU10" s="44">
        <f t="shared" si="72"/>
        <v>808.46231729908789</v>
      </c>
      <c r="AV10" s="44">
        <f t="shared" si="72"/>
        <v>816.10457754884374</v>
      </c>
      <c r="AW10" s="44">
        <f t="shared" si="72"/>
        <v>823.33475091720095</v>
      </c>
      <c r="AX10" s="44">
        <f t="shared" si="72"/>
        <v>830.17516029718649</v>
      </c>
      <c r="AY10" s="44">
        <f t="shared" si="72"/>
        <v>836.630548159196</v>
      </c>
      <c r="AZ10" s="44">
        <f t="shared" si="72"/>
        <v>855.1241894800304</v>
      </c>
      <c r="BA10" s="44">
        <f t="shared" si="72"/>
        <v>872.56098921548653</v>
      </c>
      <c r="BB10" s="44">
        <f t="shared" si="72"/>
        <v>888.98355760996401</v>
      </c>
      <c r="BC10" s="44">
        <f t="shared" si="72"/>
        <v>904.43593258175918</v>
      </c>
      <c r="BD10" s="44">
        <f t="shared" si="72"/>
        <v>919.12497428182303</v>
      </c>
      <c r="BE10" s="44">
        <f t="shared" si="72"/>
        <v>929.54651868365431</v>
      </c>
      <c r="BF10" s="44">
        <f t="shared" si="72"/>
        <v>939.3537627855244</v>
      </c>
      <c r="BG10" s="44">
        <f t="shared" si="72"/>
        <v>948.44156178149717</v>
      </c>
      <c r="BH10" s="44">
        <f t="shared" si="72"/>
        <v>956.83698610053818</v>
      </c>
      <c r="BI10" s="44">
        <f t="shared" si="72"/>
        <v>964.53210876406195</v>
      </c>
      <c r="BJ10" s="44">
        <f t="shared" si="72"/>
        <v>956.94108661291295</v>
      </c>
      <c r="BK10" s="44">
        <f t="shared" si="72"/>
        <v>949.17474253329488</v>
      </c>
      <c r="BL10" s="44">
        <f t="shared" si="72"/>
        <v>941.21976495488934</v>
      </c>
      <c r="BM10" s="44">
        <f t="shared" si="72"/>
        <v>933.01356296525228</v>
      </c>
      <c r="BN10" s="44">
        <f>BN15+BN28+BN33+BN38+BN43+BN48+BN53+BN58</f>
        <v>925.03192203866683</v>
      </c>
      <c r="BO10" s="44"/>
      <c r="BP10" s="44">
        <f t="shared" ref="BP10:CT10" si="73">BP15+BP28+BP33+BP38+BP43+BP48+BP53+BP58</f>
        <v>646.68483802939829</v>
      </c>
      <c r="BQ10" s="44">
        <f t="shared" si="73"/>
        <v>665.36639835697702</v>
      </c>
      <c r="BR10" s="44">
        <f t="shared" si="73"/>
        <v>683.66152893197352</v>
      </c>
      <c r="BS10" s="44">
        <f t="shared" si="73"/>
        <v>702.22916174681347</v>
      </c>
      <c r="BT10" s="44">
        <f t="shared" si="73"/>
        <v>721.0766558666221</v>
      </c>
      <c r="BU10" s="44">
        <f t="shared" si="73"/>
        <v>740.21170722747274</v>
      </c>
      <c r="BV10" s="44">
        <f t="shared" si="73"/>
        <v>755.53391745054637</v>
      </c>
      <c r="BW10" s="44">
        <f t="shared" si="73"/>
        <v>771.06388586380069</v>
      </c>
      <c r="BX10" s="44">
        <f t="shared" si="73"/>
        <v>786.80810632624775</v>
      </c>
      <c r="BY10" s="44">
        <f t="shared" si="73"/>
        <v>802.77348392358999</v>
      </c>
      <c r="BZ10" s="44">
        <f t="shared" si="73"/>
        <v>833.91474906724943</v>
      </c>
      <c r="CA10" s="44">
        <f t="shared" si="73"/>
        <v>849.88850889092748</v>
      </c>
      <c r="CB10" s="44">
        <f t="shared" si="73"/>
        <v>865.66315006139905</v>
      </c>
      <c r="CC10" s="44">
        <f t="shared" si="73"/>
        <v>881.24446121387655</v>
      </c>
      <c r="CD10" s="44">
        <f t="shared" si="73"/>
        <v>896.63887087405556</v>
      </c>
      <c r="CE10" s="44">
        <f t="shared" si="73"/>
        <v>911.85353006560217</v>
      </c>
      <c r="CF10" s="44">
        <f t="shared" si="73"/>
        <v>939.62577166535095</v>
      </c>
      <c r="CG10" s="44">
        <f t="shared" si="73"/>
        <v>966.65596401857977</v>
      </c>
      <c r="CH10" s="44">
        <f t="shared" si="73"/>
        <v>992.95390498555287</v>
      </c>
      <c r="CI10" s="44">
        <f t="shared" si="73"/>
        <v>1018.5305673320934</v>
      </c>
      <c r="CJ10" s="44">
        <f t="shared" si="73"/>
        <v>1043.3982524618323</v>
      </c>
      <c r="CK10" s="44">
        <f t="shared" si="73"/>
        <v>1066.5687466392906</v>
      </c>
      <c r="CL10" s="44">
        <f t="shared" si="73"/>
        <v>1089.3056062644901</v>
      </c>
      <c r="CM10" s="44">
        <f t="shared" si="73"/>
        <v>1111.6259448981743</v>
      </c>
      <c r="CN10" s="44">
        <f t="shared" si="73"/>
        <v>1133.5490468064991</v>
      </c>
      <c r="CO10" s="44">
        <f t="shared" si="73"/>
        <v>1155.0966535643186</v>
      </c>
      <c r="CP10" s="44">
        <f t="shared" si="73"/>
        <v>1161.5333652583734</v>
      </c>
      <c r="CQ10" s="44">
        <f t="shared" si="73"/>
        <v>1168.1992339614542</v>
      </c>
      <c r="CR10" s="44">
        <f t="shared" si="73"/>
        <v>1175.1252670613658</v>
      </c>
      <c r="CS10" s="44">
        <f t="shared" si="73"/>
        <v>1182.3465063588458</v>
      </c>
      <c r="CT10" s="44">
        <f t="shared" si="73"/>
        <v>1189.9025632514113</v>
      </c>
      <c r="CW10">
        <f>70/CW9</f>
        <v>7.9370048673257879E-2</v>
      </c>
    </row>
    <row r="11" spans="1:110">
      <c r="A11" s="1" t="s">
        <v>119</v>
      </c>
      <c r="C11" s="54" t="str">
        <f>'Yearly HC Ethylene'!C159</f>
        <v>m Tons</v>
      </c>
      <c r="D11" s="44">
        <f t="shared" ref="D11:AH11" si="74">D29+D34+D39+D44+D49+D54+D59</f>
        <v>36.64098725377027</v>
      </c>
      <c r="E11" s="44">
        <f t="shared" si="74"/>
        <v>39.371848977269437</v>
      </c>
      <c r="F11" s="44">
        <f t="shared" si="74"/>
        <v>41.683723558997443</v>
      </c>
      <c r="G11" s="44">
        <f t="shared" si="74"/>
        <v>43.986769627186206</v>
      </c>
      <c r="H11" s="44">
        <f t="shared" si="74"/>
        <v>46.265875542476238</v>
      </c>
      <c r="I11" s="44">
        <f t="shared" si="74"/>
        <v>48.505085585333831</v>
      </c>
      <c r="J11" s="44">
        <f t="shared" si="74"/>
        <v>50.796751546796926</v>
      </c>
      <c r="K11" s="44">
        <f t="shared" si="74"/>
        <v>53.136570052600376</v>
      </c>
      <c r="L11" s="44">
        <f t="shared" si="74"/>
        <v>55.517346704501414</v>
      </c>
      <c r="M11" s="44">
        <f t="shared" si="74"/>
        <v>57.927005525708111</v>
      </c>
      <c r="N11" s="44">
        <f t="shared" si="74"/>
        <v>60.344994129261231</v>
      </c>
      <c r="O11" s="44">
        <f t="shared" si="74"/>
        <v>60.467132247593554</v>
      </c>
      <c r="P11" s="44">
        <f t="shared" si="74"/>
        <v>60.360439129322558</v>
      </c>
      <c r="Q11" s="44">
        <f t="shared" si="74"/>
        <v>59.99817003647771</v>
      </c>
      <c r="R11" s="44">
        <f t="shared" si="74"/>
        <v>59.348812288560111</v>
      </c>
      <c r="S11" s="44">
        <f t="shared" si="74"/>
        <v>59.518506442106542</v>
      </c>
      <c r="T11" s="44">
        <f t="shared" si="74"/>
        <v>59.865668206420864</v>
      </c>
      <c r="U11" s="44">
        <f t="shared" si="74"/>
        <v>60.014184483943644</v>
      </c>
      <c r="V11" s="44">
        <f t="shared" si="74"/>
        <v>60.027791181698873</v>
      </c>
      <c r="W11" s="44">
        <f t="shared" si="74"/>
        <v>59.970536403963095</v>
      </c>
      <c r="X11" s="44">
        <f t="shared" si="74"/>
        <v>59.890334872262279</v>
      </c>
      <c r="Y11" s="44">
        <f t="shared" si="74"/>
        <v>59.097283795730064</v>
      </c>
      <c r="Z11" s="44">
        <f t="shared" si="74"/>
        <v>59.391651306453198</v>
      </c>
      <c r="AA11" s="44">
        <f t="shared" si="74"/>
        <v>59.719393035281527</v>
      </c>
      <c r="AB11" s="44">
        <f t="shared" si="74"/>
        <v>59.937594810012712</v>
      </c>
      <c r="AC11" s="44">
        <f t="shared" si="74"/>
        <v>59.999196082655423</v>
      </c>
      <c r="AD11" s="44">
        <f t="shared" si="74"/>
        <v>59.842339762603842</v>
      </c>
      <c r="AE11" s="44">
        <f t="shared" si="74"/>
        <v>59.393922389049841</v>
      </c>
      <c r="AF11" s="44">
        <f t="shared" si="74"/>
        <v>58.583569671219038</v>
      </c>
      <c r="AG11" s="44">
        <f t="shared" si="74"/>
        <v>57.794272937815144</v>
      </c>
      <c r="AH11" s="44">
        <f t="shared" si="74"/>
        <v>57.419773350395317</v>
      </c>
      <c r="AI11" s="44"/>
      <c r="AJ11" s="44">
        <f t="shared" ref="AJ11:BN11" si="75">AJ29+AJ34+AJ39+AJ44+AJ49+AJ54+AJ59</f>
        <v>36.641051484585837</v>
      </c>
      <c r="AK11" s="44">
        <f t="shared" si="75"/>
        <v>39.03549389340494</v>
      </c>
      <c r="AL11" s="44">
        <f t="shared" si="75"/>
        <v>41.340677179508724</v>
      </c>
      <c r="AM11" s="44">
        <f t="shared" si="75"/>
        <v>43.639013173361938</v>
      </c>
      <c r="AN11" s="44">
        <f t="shared" si="75"/>
        <v>45.915704924624364</v>
      </c>
      <c r="AO11" s="44">
        <f t="shared" si="75"/>
        <v>48.155274135814501</v>
      </c>
      <c r="AP11" s="44">
        <f t="shared" si="75"/>
        <v>50.450132357469535</v>
      </c>
      <c r="AQ11" s="44">
        <f t="shared" si="75"/>
        <v>52.797466752490422</v>
      </c>
      <c r="AR11" s="44">
        <f t="shared" si="75"/>
        <v>55.192813773977214</v>
      </c>
      <c r="AS11" s="44">
        <f t="shared" si="75"/>
        <v>57.628968630708322</v>
      </c>
      <c r="AT11" s="44">
        <f t="shared" si="75"/>
        <v>60.094016212247809</v>
      </c>
      <c r="AU11" s="44">
        <f t="shared" si="75"/>
        <v>60.265838620740958</v>
      </c>
      <c r="AV11" s="44">
        <f t="shared" si="75"/>
        <v>60.251683129319773</v>
      </c>
      <c r="AW11" s="44">
        <f t="shared" si="75"/>
        <v>60.034228317937583</v>
      </c>
      <c r="AX11" s="44">
        <f t="shared" si="75"/>
        <v>59.597302265888842</v>
      </c>
      <c r="AY11" s="44">
        <f t="shared" si="75"/>
        <v>60.071396830973008</v>
      </c>
      <c r="AZ11" s="44">
        <f t="shared" si="75"/>
        <v>60.802693328482967</v>
      </c>
      <c r="BA11" s="44">
        <f t="shared" si="75"/>
        <v>61.391291884142596</v>
      </c>
      <c r="BB11" s="44">
        <f t="shared" si="75"/>
        <v>61.870982604431802</v>
      </c>
      <c r="BC11" s="44">
        <f t="shared" si="75"/>
        <v>62.275772468170857</v>
      </c>
      <c r="BD11" s="44">
        <f t="shared" si="75"/>
        <v>62.630919603136455</v>
      </c>
      <c r="BE11" s="44">
        <f t="shared" si="75"/>
        <v>62.158231984117045</v>
      </c>
      <c r="BF11" s="44">
        <f t="shared" si="75"/>
        <v>62.804519662560423</v>
      </c>
      <c r="BG11" s="44">
        <f t="shared" si="75"/>
        <v>63.461540186410339</v>
      </c>
      <c r="BH11" s="44">
        <f t="shared" si="75"/>
        <v>63.991883860339343</v>
      </c>
      <c r="BI11" s="44">
        <f t="shared" si="75"/>
        <v>64.368764334888127</v>
      </c>
      <c r="BJ11" s="44">
        <f t="shared" si="75"/>
        <v>64.557363978805057</v>
      </c>
      <c r="BK11" s="44">
        <f t="shared" si="75"/>
        <v>64.594698586954522</v>
      </c>
      <c r="BL11" s="44">
        <f t="shared" si="75"/>
        <v>64.392400299168358</v>
      </c>
      <c r="BM11" s="44">
        <f t="shared" si="75"/>
        <v>64.481052803433215</v>
      </c>
      <c r="BN11" s="44">
        <f t="shared" si="75"/>
        <v>65.113621001022807</v>
      </c>
      <c r="BO11" s="44"/>
      <c r="BP11" s="44">
        <f t="shared" ref="BP11:CT11" si="76">BP29+BP34+BP39+BP44+BP49+BP54+BP59</f>
        <v>0</v>
      </c>
      <c r="BQ11" s="44">
        <f t="shared" si="76"/>
        <v>0</v>
      </c>
      <c r="BR11" s="44">
        <f t="shared" si="76"/>
        <v>0</v>
      </c>
      <c r="BS11" s="44">
        <f t="shared" si="76"/>
        <v>0</v>
      </c>
      <c r="BT11" s="44">
        <f t="shared" si="76"/>
        <v>0</v>
      </c>
      <c r="BU11" s="44">
        <f t="shared" si="76"/>
        <v>0</v>
      </c>
      <c r="BV11" s="44">
        <f t="shared" si="76"/>
        <v>0</v>
      </c>
      <c r="BW11" s="44">
        <f t="shared" si="76"/>
        <v>0</v>
      </c>
      <c r="BX11" s="44">
        <f t="shared" si="76"/>
        <v>0</v>
      </c>
      <c r="BY11" s="44">
        <f t="shared" si="76"/>
        <v>0</v>
      </c>
      <c r="BZ11" s="44">
        <f t="shared" si="76"/>
        <v>0</v>
      </c>
      <c r="CA11" s="44">
        <f t="shared" si="76"/>
        <v>0</v>
      </c>
      <c r="CB11" s="44">
        <f t="shared" si="76"/>
        <v>0</v>
      </c>
      <c r="CC11" s="44">
        <f t="shared" si="76"/>
        <v>0</v>
      </c>
      <c r="CD11" s="44">
        <f t="shared" si="76"/>
        <v>0</v>
      </c>
      <c r="CE11" s="44">
        <f t="shared" si="76"/>
        <v>0</v>
      </c>
      <c r="CF11" s="44">
        <f t="shared" si="76"/>
        <v>0</v>
      </c>
      <c r="CG11" s="44">
        <f t="shared" si="76"/>
        <v>0</v>
      </c>
      <c r="CH11" s="44">
        <f t="shared" si="76"/>
        <v>0</v>
      </c>
      <c r="CI11" s="44">
        <f t="shared" si="76"/>
        <v>0</v>
      </c>
      <c r="CJ11" s="44">
        <f t="shared" si="76"/>
        <v>0</v>
      </c>
      <c r="CK11" s="44">
        <f t="shared" si="76"/>
        <v>0</v>
      </c>
      <c r="CL11" s="44">
        <f t="shared" si="76"/>
        <v>0</v>
      </c>
      <c r="CM11" s="44">
        <f t="shared" si="76"/>
        <v>0</v>
      </c>
      <c r="CN11" s="44">
        <f t="shared" si="76"/>
        <v>0</v>
      </c>
      <c r="CO11" s="44">
        <f t="shared" si="76"/>
        <v>0</v>
      </c>
      <c r="CP11" s="44">
        <f t="shared" si="76"/>
        <v>0</v>
      </c>
      <c r="CQ11" s="44">
        <f t="shared" si="76"/>
        <v>0</v>
      </c>
      <c r="CR11" s="44">
        <f t="shared" si="76"/>
        <v>0</v>
      </c>
      <c r="CS11" s="44">
        <f t="shared" si="76"/>
        <v>0</v>
      </c>
      <c r="CT11" s="44">
        <f t="shared" si="76"/>
        <v>0</v>
      </c>
    </row>
    <row r="12" spans="1:110">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V12" s="2">
        <f>BN11/(BN10-BN15)*0.8</f>
        <v>0.10267961772772326</v>
      </c>
    </row>
    <row r="13" spans="1:110" s="637" customFormat="1" ht="16" thickBot="1">
      <c r="A13" s="637" t="s">
        <v>121</v>
      </c>
      <c r="C13" s="638"/>
    </row>
    <row r="14" spans="1:110">
      <c r="A14" s="601" t="s">
        <v>122</v>
      </c>
      <c r="B14" s="1"/>
      <c r="C14" s="54" t="s">
        <v>123</v>
      </c>
      <c r="D14" s="44">
        <f>Ammonia!D3</f>
        <v>185</v>
      </c>
      <c r="E14" s="44">
        <f>Ammonia!E3</f>
        <v>189.74297694245661</v>
      </c>
      <c r="F14" s="44">
        <f>Ammonia!F3</f>
        <v>194.52583513376749</v>
      </c>
      <c r="G14" s="44">
        <f>Ammonia!G3</f>
        <v>199.34915846835466</v>
      </c>
      <c r="H14" s="44">
        <f>Ammonia!H3</f>
        <v>204.21353940553138</v>
      </c>
      <c r="I14" s="44">
        <f>Ammonia!I3</f>
        <v>209.11957909513697</v>
      </c>
      <c r="J14" s="44">
        <f>Ammonia!J3</f>
        <v>213.99115906044847</v>
      </c>
      <c r="K14" s="44">
        <f>Ammonia!K3</f>
        <v>218.88005051303688</v>
      </c>
      <c r="L14" s="44">
        <f>Ammonia!L3</f>
        <v>223.78688144669169</v>
      </c>
      <c r="M14" s="44">
        <f>Ammonia!M3</f>
        <v>228.71228906696808</v>
      </c>
      <c r="N14" s="44">
        <f>Ammonia!N3</f>
        <v>233.65691992631048</v>
      </c>
      <c r="O14" s="44">
        <f>Ammonia!O3</f>
        <v>246.26085046547792</v>
      </c>
      <c r="P14" s="44">
        <f>Ammonia!P3</f>
        <v>258.49044650520733</v>
      </c>
      <c r="Q14" s="44">
        <f>Ammonia!Q3</f>
        <v>270.34575823820956</v>
      </c>
      <c r="R14" s="44">
        <f>Ammonia!R3</f>
        <v>281.82683616673523</v>
      </c>
      <c r="S14" s="44">
        <f>Ammonia!S3</f>
        <v>292.93373110448329</v>
      </c>
      <c r="T14" s="44">
        <f>Ammonia!T3</f>
        <v>319.78890475708079</v>
      </c>
      <c r="U14" s="44">
        <f>Ammonia!U3</f>
        <v>345.57197400333843</v>
      </c>
      <c r="V14" s="44">
        <f>Ammonia!V3</f>
        <v>370.28299060287287</v>
      </c>
      <c r="W14" s="44">
        <f>Ammonia!W3</f>
        <v>393.92200663450342</v>
      </c>
      <c r="X14" s="44">
        <f>Ammonia!X3</f>
        <v>416.48907449822076</v>
      </c>
      <c r="Y14" s="44">
        <f>Ammonia!Y3</f>
        <v>438.65228394908627</v>
      </c>
      <c r="Z14" s="44">
        <f>Ammonia!Z3</f>
        <v>460.06746640536073</v>
      </c>
      <c r="AA14" s="44">
        <f>Ammonia!AA3</f>
        <v>480.73467524248167</v>
      </c>
      <c r="AB14" s="44">
        <f>Ammonia!AB3</f>
        <v>500.65396416505416</v>
      </c>
      <c r="AC14" s="44">
        <f>Ammonia!AC3</f>
        <v>519.82538720888124</v>
      </c>
      <c r="AD14" s="44">
        <f>Ammonia!AD3</f>
        <v>520.97553878529118</v>
      </c>
      <c r="AE14" s="44">
        <f>Ammonia!AE3</f>
        <v>522.06589298140136</v>
      </c>
      <c r="AF14" s="44">
        <f>Ammonia!AF3</f>
        <v>523.09650483891323</v>
      </c>
      <c r="AG14" s="44">
        <f>Ammonia!AG3</f>
        <v>524.06742973897087</v>
      </c>
      <c r="AH14" s="44">
        <f>Ammonia!AH3</f>
        <v>524.97872340425533</v>
      </c>
      <c r="AI14" s="44"/>
      <c r="AJ14" s="44">
        <f>D14</f>
        <v>185</v>
      </c>
      <c r="AK14" s="44">
        <f t="shared" ref="AK14:BN15" si="77">E14</f>
        <v>189.74297694245661</v>
      </c>
      <c r="AL14" s="44">
        <f t="shared" si="77"/>
        <v>194.52583513376749</v>
      </c>
      <c r="AM14" s="44">
        <f t="shared" si="77"/>
        <v>199.34915846835466</v>
      </c>
      <c r="AN14" s="44">
        <f t="shared" si="77"/>
        <v>204.21353940553138</v>
      </c>
      <c r="AO14" s="44">
        <f t="shared" si="77"/>
        <v>209.11957909513697</v>
      </c>
      <c r="AP14" s="44">
        <f t="shared" si="77"/>
        <v>213.99115906044847</v>
      </c>
      <c r="AQ14" s="44">
        <f t="shared" si="77"/>
        <v>218.88005051303688</v>
      </c>
      <c r="AR14" s="44">
        <f t="shared" si="77"/>
        <v>223.78688144669169</v>
      </c>
      <c r="AS14" s="44">
        <f t="shared" si="77"/>
        <v>228.71228906696808</v>
      </c>
      <c r="AT14" s="44">
        <f t="shared" si="77"/>
        <v>233.65691992631048</v>
      </c>
      <c r="AU14" s="44">
        <f t="shared" si="77"/>
        <v>246.26085046547792</v>
      </c>
      <c r="AV14" s="44">
        <f t="shared" si="77"/>
        <v>258.49044650520733</v>
      </c>
      <c r="AW14" s="44">
        <f t="shared" si="77"/>
        <v>270.34575823820956</v>
      </c>
      <c r="AX14" s="44">
        <f t="shared" si="77"/>
        <v>281.82683616673523</v>
      </c>
      <c r="AY14" s="44">
        <f t="shared" si="77"/>
        <v>292.93373110448329</v>
      </c>
      <c r="AZ14" s="44">
        <f t="shared" si="77"/>
        <v>319.78890475708079</v>
      </c>
      <c r="BA14" s="44">
        <f t="shared" si="77"/>
        <v>345.57197400333843</v>
      </c>
      <c r="BB14" s="44">
        <f t="shared" si="77"/>
        <v>370.28299060287287</v>
      </c>
      <c r="BC14" s="44">
        <f t="shared" si="77"/>
        <v>393.92200663450342</v>
      </c>
      <c r="BD14" s="44">
        <f t="shared" si="77"/>
        <v>416.48907449822076</v>
      </c>
      <c r="BE14" s="44">
        <f t="shared" si="77"/>
        <v>438.65228394908627</v>
      </c>
      <c r="BF14" s="44">
        <f t="shared" si="77"/>
        <v>460.06746640536073</v>
      </c>
      <c r="BG14" s="44">
        <f t="shared" si="77"/>
        <v>480.73467524248167</v>
      </c>
      <c r="BH14" s="44">
        <f t="shared" si="77"/>
        <v>500.65396416505416</v>
      </c>
      <c r="BI14" s="44">
        <f t="shared" si="77"/>
        <v>519.82538720888124</v>
      </c>
      <c r="BJ14" s="44">
        <f t="shared" si="77"/>
        <v>520.97553878529118</v>
      </c>
      <c r="BK14" s="44">
        <f t="shared" si="77"/>
        <v>522.06589298140136</v>
      </c>
      <c r="BL14" s="44">
        <f t="shared" si="77"/>
        <v>523.09650483891323</v>
      </c>
      <c r="BM14" s="44">
        <f t="shared" si="77"/>
        <v>524.06742973897087</v>
      </c>
      <c r="BN14" s="44">
        <f t="shared" si="77"/>
        <v>524.97872340425533</v>
      </c>
      <c r="BO14" s="44"/>
      <c r="BP14" s="44">
        <f>AJ14</f>
        <v>185</v>
      </c>
      <c r="BQ14" s="44">
        <f t="shared" ref="BQ14:BQ15" si="78">AK14</f>
        <v>189.74297694245661</v>
      </c>
      <c r="BR14" s="44">
        <f t="shared" ref="BR14:BR15" si="79">AL14</f>
        <v>194.52583513376749</v>
      </c>
      <c r="BS14" s="44">
        <f t="shared" ref="BS14:BS15" si="80">AM14</f>
        <v>199.34915846835466</v>
      </c>
      <c r="BT14" s="44">
        <f t="shared" ref="BT14:BT15" si="81">AN14</f>
        <v>204.21353940553138</v>
      </c>
      <c r="BU14" s="44">
        <f t="shared" ref="BU14:BU15" si="82">AO14</f>
        <v>209.11957909513697</v>
      </c>
      <c r="BV14" s="44">
        <f t="shared" ref="BV14:BV15" si="83">AP14</f>
        <v>213.99115906044847</v>
      </c>
      <c r="BW14" s="44">
        <f t="shared" ref="BW14:BW15" si="84">AQ14</f>
        <v>218.88005051303688</v>
      </c>
      <c r="BX14" s="44">
        <f t="shared" ref="BX14:BX15" si="85">AR14</f>
        <v>223.78688144669169</v>
      </c>
      <c r="BY14" s="44">
        <f t="shared" ref="BY14:BY15" si="86">AS14</f>
        <v>228.71228906696808</v>
      </c>
      <c r="BZ14" s="44">
        <f t="shared" ref="BZ14:BZ15" si="87">AT14</f>
        <v>233.65691992631048</v>
      </c>
      <c r="CA14" s="44">
        <f t="shared" ref="CA14:CA15" si="88">AU14</f>
        <v>246.26085046547792</v>
      </c>
      <c r="CB14" s="44">
        <f t="shared" ref="CB14:CB15" si="89">AV14</f>
        <v>258.49044650520733</v>
      </c>
      <c r="CC14" s="44">
        <f t="shared" ref="CC14:CC15" si="90">AW14</f>
        <v>270.34575823820956</v>
      </c>
      <c r="CD14" s="44">
        <f t="shared" ref="CD14:CD15" si="91">AX14</f>
        <v>281.82683616673523</v>
      </c>
      <c r="CE14" s="44">
        <f t="shared" ref="CE14:CE15" si="92">AY14</f>
        <v>292.93373110448329</v>
      </c>
      <c r="CF14" s="44">
        <f t="shared" ref="CF14:CF15" si="93">AZ14</f>
        <v>319.78890475708079</v>
      </c>
      <c r="CG14" s="44">
        <f t="shared" ref="CG14:CG15" si="94">BA14</f>
        <v>345.57197400333843</v>
      </c>
      <c r="CH14" s="44">
        <f t="shared" ref="CH14:CH15" si="95">BB14</f>
        <v>370.28299060287287</v>
      </c>
      <c r="CI14" s="44">
        <f t="shared" ref="CI14:CI15" si="96">BC14</f>
        <v>393.92200663450342</v>
      </c>
      <c r="CJ14" s="44">
        <f t="shared" ref="CJ14:CJ15" si="97">BD14</f>
        <v>416.48907449822076</v>
      </c>
      <c r="CK14" s="44">
        <f t="shared" ref="CK14:CK15" si="98">BE14</f>
        <v>438.65228394908627</v>
      </c>
      <c r="CL14" s="44">
        <f t="shared" ref="CL14:CL15" si="99">BF14</f>
        <v>460.06746640536073</v>
      </c>
      <c r="CM14" s="44">
        <f t="shared" ref="CM14:CM15" si="100">BG14</f>
        <v>480.73467524248167</v>
      </c>
      <c r="CN14" s="44">
        <f t="shared" ref="CN14:CN15" si="101">BH14</f>
        <v>500.65396416505416</v>
      </c>
      <c r="CO14" s="44">
        <f t="shared" ref="CO14:CO15" si="102">BI14</f>
        <v>519.82538720888124</v>
      </c>
      <c r="CP14" s="44">
        <f t="shared" ref="CP14:CP15" si="103">BJ14</f>
        <v>520.97553878529118</v>
      </c>
      <c r="CQ14" s="44">
        <f t="shared" ref="CQ14:CQ15" si="104">BK14</f>
        <v>522.06589298140136</v>
      </c>
      <c r="CR14" s="44">
        <f t="shared" ref="CR14:CR15" si="105">BL14</f>
        <v>523.09650483891323</v>
      </c>
      <c r="CS14" s="44">
        <f t="shared" ref="CS14:CS15" si="106">BM14</f>
        <v>524.06742973897087</v>
      </c>
      <c r="CT14" s="44">
        <f t="shared" ref="CT14:CT15" si="107">BN14</f>
        <v>524.97872340425533</v>
      </c>
      <c r="CX14" s="655">
        <f>(BN14/AJ14)^(1/30)-1</f>
        <v>3.5378158304236962E-2</v>
      </c>
    </row>
    <row r="15" spans="1:110">
      <c r="A15" s="1" t="s">
        <v>124</v>
      </c>
      <c r="C15" s="54" t="s">
        <v>123</v>
      </c>
      <c r="D15" s="44">
        <f>Ammonia!D4</f>
        <v>185</v>
      </c>
      <c r="E15" s="44">
        <f>Ammonia!E4</f>
        <v>189.37770419821862</v>
      </c>
      <c r="F15" s="44">
        <f>Ammonia!F4</f>
        <v>193.7952760717092</v>
      </c>
      <c r="G15" s="44">
        <f>Ammonia!G4</f>
        <v>198.25329951489374</v>
      </c>
      <c r="H15" s="44">
        <f>Ammonia!H4</f>
        <v>202.75236698708548</v>
      </c>
      <c r="I15" s="44">
        <f>Ammonia!I4</f>
        <v>207.2930796381238</v>
      </c>
      <c r="J15" s="44">
        <f>Ammonia!J4</f>
        <v>209.56011011130752</v>
      </c>
      <c r="K15" s="44">
        <f>Ammonia!K4</f>
        <v>211.84904220485976</v>
      </c>
      <c r="L15" s="44">
        <f>Ammonia!L4</f>
        <v>214.16050391257002</v>
      </c>
      <c r="M15" s="44">
        <f>Ammonia!M4</f>
        <v>216.49513243999351</v>
      </c>
      <c r="N15" s="44">
        <f>Ammonia!N4</f>
        <v>218.85357433957461</v>
      </c>
      <c r="O15" s="44">
        <f>Ammonia!O4</f>
        <v>227.17333113947797</v>
      </c>
      <c r="P15" s="44">
        <f>Ammonia!P4</f>
        <v>235.18759864952645</v>
      </c>
      <c r="Q15" s="44">
        <f>Ammonia!Q4</f>
        <v>242.89642706243092</v>
      </c>
      <c r="R15" s="44">
        <f>Ammonia!R4</f>
        <v>250.29986688044193</v>
      </c>
      <c r="S15" s="44">
        <f>Ammonia!S4</f>
        <v>257.39796891725837</v>
      </c>
      <c r="T15" s="44">
        <f>Ammonia!T4</f>
        <v>277.41116097436696</v>
      </c>
      <c r="U15" s="44">
        <f>Ammonia!U4</f>
        <v>296.54673815201886</v>
      </c>
      <c r="V15" s="44">
        <f>Ammonia!V4</f>
        <v>314.80475220983095</v>
      </c>
      <c r="W15" s="44">
        <f>Ammonia!W4</f>
        <v>332.18525522662242</v>
      </c>
      <c r="X15" s="44">
        <f>Ammonia!X4</f>
        <v>348.68829960238395</v>
      </c>
      <c r="Y15" s="44">
        <f>Ammonia!Y4</f>
        <v>364.86172842643157</v>
      </c>
      <c r="Z15" s="44">
        <f>Ammonia!Z4</f>
        <v>380.42333301043084</v>
      </c>
      <c r="AA15" s="44">
        <f>Ammonia!AA4</f>
        <v>395.37316672981939</v>
      </c>
      <c r="AB15" s="44">
        <f>Ammonia!AB4</f>
        <v>409.71128328920236</v>
      </c>
      <c r="AC15" s="44">
        <f>Ammonia!AC4</f>
        <v>423.43773672438249</v>
      </c>
      <c r="AD15" s="44">
        <f>Ammonia!AD4</f>
        <v>422.3883442390769</v>
      </c>
      <c r="AE15" s="44">
        <f>Ammonia!AE4</f>
        <v>421.29152443150269</v>
      </c>
      <c r="AF15" s="44">
        <f>Ammonia!AF4</f>
        <v>420.14733234336097</v>
      </c>
      <c r="AG15" s="44">
        <f>Ammonia!AG4</f>
        <v>418.95582335579627</v>
      </c>
      <c r="AH15" s="44">
        <f>Ammonia!AH4</f>
        <v>417.7170531914893</v>
      </c>
      <c r="AI15" s="44"/>
      <c r="AJ15" s="44">
        <f>D15</f>
        <v>185</v>
      </c>
      <c r="AK15" s="44">
        <f t="shared" si="77"/>
        <v>189.37770419821862</v>
      </c>
      <c r="AL15" s="44">
        <f t="shared" si="77"/>
        <v>193.7952760717092</v>
      </c>
      <c r="AM15" s="44">
        <f t="shared" si="77"/>
        <v>198.25329951489374</v>
      </c>
      <c r="AN15" s="44">
        <f t="shared" si="77"/>
        <v>202.75236698708548</v>
      </c>
      <c r="AO15" s="44">
        <f t="shared" si="77"/>
        <v>207.2930796381238</v>
      </c>
      <c r="AP15" s="44">
        <f t="shared" si="77"/>
        <v>209.56011011130752</v>
      </c>
      <c r="AQ15" s="44">
        <f t="shared" si="77"/>
        <v>211.84904220485976</v>
      </c>
      <c r="AR15" s="44">
        <f t="shared" si="77"/>
        <v>214.16050391257002</v>
      </c>
      <c r="AS15" s="44">
        <f t="shared" si="77"/>
        <v>216.49513243999351</v>
      </c>
      <c r="AT15" s="44">
        <f t="shared" si="77"/>
        <v>218.85357433957461</v>
      </c>
      <c r="AU15" s="44">
        <f t="shared" si="77"/>
        <v>227.17333113947797</v>
      </c>
      <c r="AV15" s="44">
        <f t="shared" si="77"/>
        <v>235.18759864952645</v>
      </c>
      <c r="AW15" s="44">
        <f t="shared" si="77"/>
        <v>242.89642706243092</v>
      </c>
      <c r="AX15" s="44">
        <f t="shared" si="77"/>
        <v>250.29986688044193</v>
      </c>
      <c r="AY15" s="44">
        <f t="shared" si="77"/>
        <v>257.39796891725837</v>
      </c>
      <c r="AZ15" s="44">
        <f t="shared" si="77"/>
        <v>277.41116097436696</v>
      </c>
      <c r="BA15" s="44">
        <f t="shared" si="77"/>
        <v>296.54673815201886</v>
      </c>
      <c r="BB15" s="44">
        <f t="shared" si="77"/>
        <v>314.80475220983095</v>
      </c>
      <c r="BC15" s="44">
        <f t="shared" si="77"/>
        <v>332.18525522662242</v>
      </c>
      <c r="BD15" s="44">
        <f t="shared" si="77"/>
        <v>348.68829960238395</v>
      </c>
      <c r="BE15" s="44">
        <f t="shared" si="77"/>
        <v>364.86172842643157</v>
      </c>
      <c r="BF15" s="44">
        <f t="shared" si="77"/>
        <v>380.42333301043084</v>
      </c>
      <c r="BG15" s="44">
        <f t="shared" si="77"/>
        <v>395.37316672981939</v>
      </c>
      <c r="BH15" s="44">
        <f t="shared" si="77"/>
        <v>409.71128328920236</v>
      </c>
      <c r="BI15" s="44">
        <f t="shared" si="77"/>
        <v>423.43773672438249</v>
      </c>
      <c r="BJ15" s="44">
        <f t="shared" si="77"/>
        <v>422.3883442390769</v>
      </c>
      <c r="BK15" s="44">
        <f t="shared" si="77"/>
        <v>421.29152443150269</v>
      </c>
      <c r="BL15" s="44">
        <f t="shared" si="77"/>
        <v>420.14733234336097</v>
      </c>
      <c r="BM15" s="44">
        <f t="shared" si="77"/>
        <v>418.95582335579627</v>
      </c>
      <c r="BN15" s="44">
        <f t="shared" si="77"/>
        <v>417.7170531914893</v>
      </c>
      <c r="BO15" s="44"/>
      <c r="BP15" s="44">
        <f>AJ15</f>
        <v>185</v>
      </c>
      <c r="BQ15" s="44">
        <f t="shared" si="78"/>
        <v>189.37770419821862</v>
      </c>
      <c r="BR15" s="44">
        <f t="shared" si="79"/>
        <v>193.7952760717092</v>
      </c>
      <c r="BS15" s="44">
        <f t="shared" si="80"/>
        <v>198.25329951489374</v>
      </c>
      <c r="BT15" s="44">
        <f t="shared" si="81"/>
        <v>202.75236698708548</v>
      </c>
      <c r="BU15" s="44">
        <f t="shared" si="82"/>
        <v>207.2930796381238</v>
      </c>
      <c r="BV15" s="44">
        <f t="shared" si="83"/>
        <v>209.56011011130752</v>
      </c>
      <c r="BW15" s="44">
        <f t="shared" si="84"/>
        <v>211.84904220485976</v>
      </c>
      <c r="BX15" s="44">
        <f t="shared" si="85"/>
        <v>214.16050391257002</v>
      </c>
      <c r="BY15" s="44">
        <f t="shared" si="86"/>
        <v>216.49513243999351</v>
      </c>
      <c r="BZ15" s="44">
        <f t="shared" si="87"/>
        <v>218.85357433957461</v>
      </c>
      <c r="CA15" s="44">
        <f t="shared" si="88"/>
        <v>227.17333113947797</v>
      </c>
      <c r="CB15" s="44">
        <f t="shared" si="89"/>
        <v>235.18759864952645</v>
      </c>
      <c r="CC15" s="44">
        <f t="shared" si="90"/>
        <v>242.89642706243092</v>
      </c>
      <c r="CD15" s="44">
        <f t="shared" si="91"/>
        <v>250.29986688044193</v>
      </c>
      <c r="CE15" s="44">
        <f t="shared" si="92"/>
        <v>257.39796891725837</v>
      </c>
      <c r="CF15" s="44">
        <f t="shared" si="93"/>
        <v>277.41116097436696</v>
      </c>
      <c r="CG15" s="44">
        <f t="shared" si="94"/>
        <v>296.54673815201886</v>
      </c>
      <c r="CH15" s="44">
        <f t="shared" si="95"/>
        <v>314.80475220983095</v>
      </c>
      <c r="CI15" s="44">
        <f t="shared" si="96"/>
        <v>332.18525522662242</v>
      </c>
      <c r="CJ15" s="44">
        <f t="shared" si="97"/>
        <v>348.68829960238395</v>
      </c>
      <c r="CK15" s="44">
        <f t="shared" si="98"/>
        <v>364.86172842643157</v>
      </c>
      <c r="CL15" s="44">
        <f t="shared" si="99"/>
        <v>380.42333301043084</v>
      </c>
      <c r="CM15" s="44">
        <f t="shared" si="100"/>
        <v>395.37316672981939</v>
      </c>
      <c r="CN15" s="44">
        <f t="shared" si="101"/>
        <v>409.71128328920236</v>
      </c>
      <c r="CO15" s="44">
        <f t="shared" si="102"/>
        <v>423.43773672438249</v>
      </c>
      <c r="CP15" s="44">
        <f t="shared" si="103"/>
        <v>422.3883442390769</v>
      </c>
      <c r="CQ15" s="44">
        <f t="shared" si="104"/>
        <v>421.29152443150269</v>
      </c>
      <c r="CR15" s="44">
        <f t="shared" si="105"/>
        <v>420.14733234336097</v>
      </c>
      <c r="CS15" s="44">
        <f t="shared" si="106"/>
        <v>418.95582335579627</v>
      </c>
      <c r="CT15" s="44">
        <f t="shared" si="107"/>
        <v>417.7170531914893</v>
      </c>
    </row>
    <row r="16" spans="1:110">
      <c r="A16" s="1"/>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X16" s="30"/>
      <c r="CY16" s="652" t="s">
        <v>121</v>
      </c>
      <c r="CZ16" s="652" t="s">
        <v>4</v>
      </c>
      <c r="DA16" s="652" t="s">
        <v>5</v>
      </c>
      <c r="DB16" s="652" t="s">
        <v>6</v>
      </c>
      <c r="DC16" s="652" t="s">
        <v>7</v>
      </c>
      <c r="DD16" s="652" t="s">
        <v>8</v>
      </c>
      <c r="DE16" s="652" t="s">
        <v>9</v>
      </c>
      <c r="DF16" s="652" t="s">
        <v>10</v>
      </c>
    </row>
    <row r="17" spans="1:110">
      <c r="A17" s="1" t="s">
        <v>125</v>
      </c>
      <c r="C17" s="54" t="s">
        <v>123</v>
      </c>
      <c r="D17" s="44">
        <f>Ammonia!D6</f>
        <v>73.487083333333331</v>
      </c>
      <c r="E17" s="44">
        <f>Ammonia!E6</f>
        <v>76.19562743424288</v>
      </c>
      <c r="F17" s="44">
        <f>Ammonia!F6</f>
        <v>79.312909320712976</v>
      </c>
      <c r="G17" s="44">
        <f>Ammonia!G6</f>
        <v>82.446224741625954</v>
      </c>
      <c r="H17" s="44">
        <f>Ammonia!H6</f>
        <v>85.595807779732979</v>
      </c>
      <c r="I17" s="44">
        <f>Ammonia!I6</f>
        <v>88.761895951442469</v>
      </c>
      <c r="J17" s="44">
        <f>Ammonia!J6</f>
        <v>94.174266557266606</v>
      </c>
      <c r="K17" s="44">
        <f>Ammonia!K6</f>
        <v>99.577121456309172</v>
      </c>
      <c r="L17" s="44">
        <f>Ammonia!L6</f>
        <v>104.97094448611107</v>
      </c>
      <c r="M17" s="44">
        <f>Ammonia!M6</f>
        <v>110.35622773394731</v>
      </c>
      <c r="N17" s="44">
        <f>Ammonia!N6</f>
        <v>115.73347167474491</v>
      </c>
      <c r="O17" s="44">
        <f>Ammonia!O6</f>
        <v>130.09629153980444</v>
      </c>
      <c r="P17" s="44">
        <f>Ammonia!P6</f>
        <v>143.80275305524219</v>
      </c>
      <c r="Q17" s="44">
        <f>Ammonia!Q6</f>
        <v>157.12316572969257</v>
      </c>
      <c r="R17" s="44">
        <f>Ammonia!R6</f>
        <v>170.05759550969304</v>
      </c>
      <c r="S17" s="44">
        <f>Ammonia!S6</f>
        <v>182.60610884175003</v>
      </c>
      <c r="T17" s="44">
        <f>Ammonia!T6</f>
        <v>210.89118325455621</v>
      </c>
      <c r="U17" s="44">
        <f>Ammonia!U6</f>
        <v>238.09245164199859</v>
      </c>
      <c r="V17" s="44">
        <f>Ammonia!V6</f>
        <v>264.20998197254715</v>
      </c>
      <c r="W17" s="44">
        <f>Ammonia!W6</f>
        <v>289.2438427294324</v>
      </c>
      <c r="X17" s="44">
        <f>Ammonia!X6</f>
        <v>313.19410291440983</v>
      </c>
      <c r="Y17" s="44">
        <f>Ammonia!Y6</f>
        <v>336.72886908346919</v>
      </c>
      <c r="Z17" s="44">
        <f>Ammonia!Z6</f>
        <v>359.5039896567888</v>
      </c>
      <c r="AA17" s="44">
        <f>Ammonia!AA6</f>
        <v>381.51953521455243</v>
      </c>
      <c r="AB17" s="44">
        <f>Ammonia!AB6</f>
        <v>402.77557687079542</v>
      </c>
      <c r="AC17" s="44">
        <f>Ammonia!AC6</f>
        <v>423.27218627730554</v>
      </c>
      <c r="AD17" s="44">
        <f>Ammonia!AD6</f>
        <v>425.73597566983523</v>
      </c>
      <c r="AE17" s="44">
        <f>Ammonia!AE6</f>
        <v>428.12843717026692</v>
      </c>
      <c r="AF17" s="44">
        <f>Ammonia!AF6</f>
        <v>430.4496440673243</v>
      </c>
      <c r="AG17" s="44">
        <f>Ammonia!AG6</f>
        <v>432.69967020336287</v>
      </c>
      <c r="AH17" s="44">
        <f>Ammonia!AH6</f>
        <v>434.87858997841249</v>
      </c>
      <c r="AI17" s="44"/>
      <c r="AJ17" s="44">
        <f>D17</f>
        <v>73.487083333333331</v>
      </c>
      <c r="AK17" s="44">
        <f t="shared" ref="AK17:BN18" si="108">E17</f>
        <v>76.19562743424288</v>
      </c>
      <c r="AL17" s="44">
        <f t="shared" si="108"/>
        <v>79.312909320712976</v>
      </c>
      <c r="AM17" s="44">
        <f t="shared" si="108"/>
        <v>82.446224741625954</v>
      </c>
      <c r="AN17" s="44">
        <f t="shared" si="108"/>
        <v>85.595807779732979</v>
      </c>
      <c r="AO17" s="44">
        <f t="shared" si="108"/>
        <v>88.761895951442469</v>
      </c>
      <c r="AP17" s="44">
        <f t="shared" si="108"/>
        <v>94.174266557266606</v>
      </c>
      <c r="AQ17" s="44">
        <f t="shared" si="108"/>
        <v>99.577121456309172</v>
      </c>
      <c r="AR17" s="44">
        <f t="shared" si="108"/>
        <v>104.97094448611107</v>
      </c>
      <c r="AS17" s="44">
        <f t="shared" si="108"/>
        <v>110.35622773394731</v>
      </c>
      <c r="AT17" s="44">
        <f t="shared" si="108"/>
        <v>115.73347167474491</v>
      </c>
      <c r="AU17" s="44">
        <f t="shared" si="108"/>
        <v>130.09629153980444</v>
      </c>
      <c r="AV17" s="44">
        <f t="shared" si="108"/>
        <v>143.80275305524219</v>
      </c>
      <c r="AW17" s="44">
        <f t="shared" si="108"/>
        <v>157.12316572969257</v>
      </c>
      <c r="AX17" s="44">
        <f t="shared" si="108"/>
        <v>170.05759550969304</v>
      </c>
      <c r="AY17" s="44">
        <f t="shared" si="108"/>
        <v>182.60610884175003</v>
      </c>
      <c r="AZ17" s="44">
        <f t="shared" si="108"/>
        <v>210.89118325455621</v>
      </c>
      <c r="BA17" s="44">
        <f t="shared" si="108"/>
        <v>238.09245164199859</v>
      </c>
      <c r="BB17" s="44">
        <f t="shared" si="108"/>
        <v>264.20998197254715</v>
      </c>
      <c r="BC17" s="44">
        <f t="shared" si="108"/>
        <v>289.2438427294324</v>
      </c>
      <c r="BD17" s="44">
        <f t="shared" si="108"/>
        <v>313.19410291440983</v>
      </c>
      <c r="BE17" s="44">
        <f t="shared" si="108"/>
        <v>336.72886908346919</v>
      </c>
      <c r="BF17" s="44">
        <f t="shared" si="108"/>
        <v>359.5039896567888</v>
      </c>
      <c r="BG17" s="44">
        <f t="shared" si="108"/>
        <v>381.51953521455243</v>
      </c>
      <c r="BH17" s="44">
        <f t="shared" si="108"/>
        <v>402.77557687079542</v>
      </c>
      <c r="BI17" s="44">
        <f t="shared" si="108"/>
        <v>423.27218627730554</v>
      </c>
      <c r="BJ17" s="44">
        <f t="shared" si="108"/>
        <v>425.73597566983523</v>
      </c>
      <c r="BK17" s="44">
        <f t="shared" si="108"/>
        <v>428.12843717026692</v>
      </c>
      <c r="BL17" s="44">
        <f t="shared" si="108"/>
        <v>430.4496440673243</v>
      </c>
      <c r="BM17" s="44">
        <f t="shared" si="108"/>
        <v>432.69967020336287</v>
      </c>
      <c r="BN17" s="44">
        <f t="shared" si="108"/>
        <v>434.87858997841249</v>
      </c>
      <c r="BO17" s="44"/>
      <c r="BP17" s="44">
        <f>AJ17</f>
        <v>73.487083333333331</v>
      </c>
      <c r="BQ17" s="44">
        <f t="shared" ref="BQ17:BQ18" si="109">AK17</f>
        <v>76.19562743424288</v>
      </c>
      <c r="BR17" s="44">
        <f t="shared" ref="BR17:BR18" si="110">AL17</f>
        <v>79.312909320712976</v>
      </c>
      <c r="BS17" s="44">
        <f t="shared" ref="BS17:BS18" si="111">AM17</f>
        <v>82.446224741625954</v>
      </c>
      <c r="BT17" s="44">
        <f t="shared" ref="BT17:BT18" si="112">AN17</f>
        <v>85.595807779732979</v>
      </c>
      <c r="BU17" s="44">
        <f t="shared" ref="BU17:BU18" si="113">AO17</f>
        <v>88.761895951442469</v>
      </c>
      <c r="BV17" s="44">
        <f t="shared" ref="BV17:BV18" si="114">AP17</f>
        <v>94.174266557266606</v>
      </c>
      <c r="BW17" s="44">
        <f t="shared" ref="BW17:BW18" si="115">AQ17</f>
        <v>99.577121456309172</v>
      </c>
      <c r="BX17" s="44">
        <f t="shared" ref="BX17:BX18" si="116">AR17</f>
        <v>104.97094448611107</v>
      </c>
      <c r="BY17" s="44">
        <f t="shared" ref="BY17:BY18" si="117">AS17</f>
        <v>110.35622773394731</v>
      </c>
      <c r="BZ17" s="44">
        <f t="shared" ref="BZ17:BZ18" si="118">AT17</f>
        <v>115.73347167474491</v>
      </c>
      <c r="CA17" s="44">
        <f t="shared" ref="CA17:CA18" si="119">AU17</f>
        <v>130.09629153980444</v>
      </c>
      <c r="CB17" s="44">
        <f t="shared" ref="CB17:CB18" si="120">AV17</f>
        <v>143.80275305524219</v>
      </c>
      <c r="CC17" s="44">
        <f t="shared" ref="CC17:CC18" si="121">AW17</f>
        <v>157.12316572969257</v>
      </c>
      <c r="CD17" s="44">
        <f t="shared" ref="CD17:CD18" si="122">AX17</f>
        <v>170.05759550969304</v>
      </c>
      <c r="CE17" s="44">
        <f t="shared" ref="CE17:CE18" si="123">AY17</f>
        <v>182.60610884175003</v>
      </c>
      <c r="CF17" s="44">
        <f t="shared" ref="CF17:CF18" si="124">AZ17</f>
        <v>210.89118325455621</v>
      </c>
      <c r="CG17" s="44">
        <f t="shared" ref="CG17:CG18" si="125">BA17</f>
        <v>238.09245164199859</v>
      </c>
      <c r="CH17" s="44">
        <f t="shared" ref="CH17:CH18" si="126">BB17</f>
        <v>264.20998197254715</v>
      </c>
      <c r="CI17" s="44">
        <f t="shared" ref="CI17:CI18" si="127">BC17</f>
        <v>289.2438427294324</v>
      </c>
      <c r="CJ17" s="44">
        <f t="shared" ref="CJ17:CJ18" si="128">BD17</f>
        <v>313.19410291440983</v>
      </c>
      <c r="CK17" s="44">
        <f t="shared" ref="CK17:CK18" si="129">BE17</f>
        <v>336.72886908346919</v>
      </c>
      <c r="CL17" s="44">
        <f t="shared" ref="CL17:CL18" si="130">BF17</f>
        <v>359.5039896567888</v>
      </c>
      <c r="CM17" s="44">
        <f t="shared" ref="CM17:CM18" si="131">BG17</f>
        <v>381.51953521455243</v>
      </c>
      <c r="CN17" s="44">
        <f t="shared" ref="CN17:CN18" si="132">BH17</f>
        <v>402.77557687079542</v>
      </c>
      <c r="CO17" s="44">
        <f t="shared" ref="CO17:CO18" si="133">BI17</f>
        <v>423.27218627730554</v>
      </c>
      <c r="CP17" s="44">
        <f t="shared" ref="CP17:CP18" si="134">BJ17</f>
        <v>425.73597566983523</v>
      </c>
      <c r="CQ17" s="44">
        <f t="shared" ref="CQ17:CQ18" si="135">BK17</f>
        <v>428.12843717026692</v>
      </c>
      <c r="CR17" s="44">
        <f t="shared" ref="CR17:CR18" si="136">BL17</f>
        <v>430.4496440673243</v>
      </c>
      <c r="CS17" s="44">
        <f t="shared" ref="CS17:CS18" si="137">BM17</f>
        <v>432.69967020336287</v>
      </c>
      <c r="CT17" s="44">
        <f t="shared" ref="CT17:CT18" si="138">BN17</f>
        <v>434.87858997841249</v>
      </c>
    </row>
    <row r="18" spans="1:110">
      <c r="A18" s="1" t="s">
        <v>126</v>
      </c>
      <c r="C18" s="54" t="s">
        <v>123</v>
      </c>
      <c r="D18" s="44">
        <f>Ammonia!D7</f>
        <v>73.487083333333331</v>
      </c>
      <c r="E18" s="44">
        <f>Ammonia!E7</f>
        <v>75.830354690004896</v>
      </c>
      <c r="F18" s="44">
        <f>Ammonia!F7</f>
        <v>78.582350258654685</v>
      </c>
      <c r="G18" s="44">
        <f>Ammonia!G7</f>
        <v>81.350365788165035</v>
      </c>
      <c r="H18" s="44">
        <f>Ammonia!H7</f>
        <v>84.134635361287081</v>
      </c>
      <c r="I18" s="44">
        <f>Ammonia!I7</f>
        <v>86.935396494429298</v>
      </c>
      <c r="J18" s="44">
        <f>Ammonia!J7</f>
        <v>89.743217608125661</v>
      </c>
      <c r="K18" s="44">
        <f>Ammonia!K7</f>
        <v>92.546113148132051</v>
      </c>
      <c r="L18" s="44">
        <f>Ammonia!L7</f>
        <v>95.344566951989393</v>
      </c>
      <c r="M18" s="44">
        <f>Ammonia!M7</f>
        <v>98.139071106972736</v>
      </c>
      <c r="N18" s="44">
        <f>Ammonia!N7</f>
        <v>100.93012608800903</v>
      </c>
      <c r="O18" s="44">
        <f>Ammonia!O7</f>
        <v>111.00877221380448</v>
      </c>
      <c r="P18" s="44">
        <f>Ammonia!P7</f>
        <v>120.4999051995613</v>
      </c>
      <c r="Q18" s="44">
        <f>Ammonia!Q7</f>
        <v>129.67383455391393</v>
      </c>
      <c r="R18" s="44">
        <f>Ammonia!R7</f>
        <v>138.53062622339974</v>
      </c>
      <c r="S18" s="44">
        <f>Ammonia!S7</f>
        <v>147.07034665452511</v>
      </c>
      <c r="T18" s="44">
        <f>Ammonia!T7</f>
        <v>168.51343947184239</v>
      </c>
      <c r="U18" s="44">
        <f>Ammonia!U7</f>
        <v>189.06721579067903</v>
      </c>
      <c r="V18" s="44">
        <f>Ammonia!V7</f>
        <v>208.73174357950523</v>
      </c>
      <c r="W18" s="44">
        <f>Ammonia!W7</f>
        <v>227.5070913215514</v>
      </c>
      <c r="X18" s="44">
        <f>Ammonia!X7</f>
        <v>245.39332801857302</v>
      </c>
      <c r="Y18" s="44">
        <f>Ammonia!Y7</f>
        <v>262.93831356081449</v>
      </c>
      <c r="Z18" s="44">
        <f>Ammonia!Z7</f>
        <v>279.85985626185891</v>
      </c>
      <c r="AA18" s="44">
        <f>Ammonia!AA7</f>
        <v>296.15802670189009</v>
      </c>
      <c r="AB18" s="44">
        <f>Ammonia!AB7</f>
        <v>311.83289599494361</v>
      </c>
      <c r="AC18" s="44">
        <f>Ammonia!AC7</f>
        <v>326.88453579280679</v>
      </c>
      <c r="AD18" s="44">
        <f>Ammonia!AD7</f>
        <v>327.14878112362095</v>
      </c>
      <c r="AE18" s="44">
        <f>Ammonia!AE7</f>
        <v>327.35406862036825</v>
      </c>
      <c r="AF18" s="44">
        <f>Ammonia!AF7</f>
        <v>327.50047157177204</v>
      </c>
      <c r="AG18" s="44">
        <f>Ammonia!AG7</f>
        <v>327.58806382018827</v>
      </c>
      <c r="AH18" s="44">
        <f>Ammonia!AH7</f>
        <v>327.61691976564646</v>
      </c>
      <c r="AI18" s="44"/>
      <c r="AJ18" s="44">
        <f>D18</f>
        <v>73.487083333333331</v>
      </c>
      <c r="AK18" s="44">
        <f t="shared" si="108"/>
        <v>75.830354690004896</v>
      </c>
      <c r="AL18" s="44">
        <f t="shared" si="108"/>
        <v>78.582350258654685</v>
      </c>
      <c r="AM18" s="44">
        <f t="shared" si="108"/>
        <v>81.350365788165035</v>
      </c>
      <c r="AN18" s="44">
        <f t="shared" si="108"/>
        <v>84.134635361287081</v>
      </c>
      <c r="AO18" s="44">
        <f t="shared" si="108"/>
        <v>86.935396494429298</v>
      </c>
      <c r="AP18" s="44">
        <f t="shared" si="108"/>
        <v>89.743217608125661</v>
      </c>
      <c r="AQ18" s="44">
        <f t="shared" si="108"/>
        <v>92.546113148132051</v>
      </c>
      <c r="AR18" s="44">
        <f t="shared" si="108"/>
        <v>95.344566951989393</v>
      </c>
      <c r="AS18" s="44">
        <f t="shared" si="108"/>
        <v>98.139071106972736</v>
      </c>
      <c r="AT18" s="44">
        <f t="shared" si="108"/>
        <v>100.93012608800903</v>
      </c>
      <c r="AU18" s="44">
        <f t="shared" si="108"/>
        <v>111.00877221380448</v>
      </c>
      <c r="AV18" s="44">
        <f t="shared" si="108"/>
        <v>120.4999051995613</v>
      </c>
      <c r="AW18" s="44">
        <f t="shared" si="108"/>
        <v>129.67383455391393</v>
      </c>
      <c r="AX18" s="44">
        <f t="shared" si="108"/>
        <v>138.53062622339974</v>
      </c>
      <c r="AY18" s="44">
        <f t="shared" si="108"/>
        <v>147.07034665452511</v>
      </c>
      <c r="AZ18" s="44">
        <f t="shared" si="108"/>
        <v>168.51343947184239</v>
      </c>
      <c r="BA18" s="44">
        <f t="shared" si="108"/>
        <v>189.06721579067903</v>
      </c>
      <c r="BB18" s="44">
        <f t="shared" si="108"/>
        <v>208.73174357950523</v>
      </c>
      <c r="BC18" s="44">
        <f t="shared" si="108"/>
        <v>227.5070913215514</v>
      </c>
      <c r="BD18" s="44">
        <f t="shared" si="108"/>
        <v>245.39332801857302</v>
      </c>
      <c r="BE18" s="44">
        <f t="shared" si="108"/>
        <v>262.93831356081449</v>
      </c>
      <c r="BF18" s="44">
        <f t="shared" si="108"/>
        <v>279.85985626185891</v>
      </c>
      <c r="BG18" s="44">
        <f t="shared" si="108"/>
        <v>296.15802670189009</v>
      </c>
      <c r="BH18" s="44">
        <f t="shared" si="108"/>
        <v>311.83289599494361</v>
      </c>
      <c r="BI18" s="44">
        <f t="shared" si="108"/>
        <v>326.88453579280679</v>
      </c>
      <c r="BJ18" s="44">
        <f t="shared" si="108"/>
        <v>327.14878112362095</v>
      </c>
      <c r="BK18" s="44">
        <f t="shared" si="108"/>
        <v>327.35406862036825</v>
      </c>
      <c r="BL18" s="44">
        <f t="shared" si="108"/>
        <v>327.50047157177204</v>
      </c>
      <c r="BM18" s="44">
        <f t="shared" si="108"/>
        <v>327.58806382018827</v>
      </c>
      <c r="BN18" s="44">
        <f t="shared" si="108"/>
        <v>327.61691976564646</v>
      </c>
      <c r="BO18" s="44"/>
      <c r="BP18" s="44">
        <f>AJ18</f>
        <v>73.487083333333331</v>
      </c>
      <c r="BQ18" s="44">
        <f t="shared" si="109"/>
        <v>75.830354690004896</v>
      </c>
      <c r="BR18" s="44">
        <f t="shared" si="110"/>
        <v>78.582350258654685</v>
      </c>
      <c r="BS18" s="44">
        <f t="shared" si="111"/>
        <v>81.350365788165035</v>
      </c>
      <c r="BT18" s="44">
        <f t="shared" si="112"/>
        <v>84.134635361287081</v>
      </c>
      <c r="BU18" s="44">
        <f t="shared" si="113"/>
        <v>86.935396494429298</v>
      </c>
      <c r="BV18" s="44">
        <f t="shared" si="114"/>
        <v>89.743217608125661</v>
      </c>
      <c r="BW18" s="44">
        <f t="shared" si="115"/>
        <v>92.546113148132051</v>
      </c>
      <c r="BX18" s="44">
        <f t="shared" si="116"/>
        <v>95.344566951989393</v>
      </c>
      <c r="BY18" s="44">
        <f t="shared" si="117"/>
        <v>98.139071106972736</v>
      </c>
      <c r="BZ18" s="44">
        <f t="shared" si="118"/>
        <v>100.93012608800903</v>
      </c>
      <c r="CA18" s="44">
        <f t="shared" si="119"/>
        <v>111.00877221380448</v>
      </c>
      <c r="CB18" s="44">
        <f t="shared" si="120"/>
        <v>120.4999051995613</v>
      </c>
      <c r="CC18" s="44">
        <f t="shared" si="121"/>
        <v>129.67383455391393</v>
      </c>
      <c r="CD18" s="44">
        <f t="shared" si="122"/>
        <v>138.53062622339974</v>
      </c>
      <c r="CE18" s="44">
        <f t="shared" si="123"/>
        <v>147.07034665452511</v>
      </c>
      <c r="CF18" s="44">
        <f t="shared" si="124"/>
        <v>168.51343947184239</v>
      </c>
      <c r="CG18" s="44">
        <f t="shared" si="125"/>
        <v>189.06721579067903</v>
      </c>
      <c r="CH18" s="44">
        <f t="shared" si="126"/>
        <v>208.73174357950523</v>
      </c>
      <c r="CI18" s="44">
        <f t="shared" si="127"/>
        <v>227.5070913215514</v>
      </c>
      <c r="CJ18" s="44">
        <f t="shared" si="128"/>
        <v>245.39332801857302</v>
      </c>
      <c r="CK18" s="44">
        <f t="shared" si="129"/>
        <v>262.93831356081449</v>
      </c>
      <c r="CL18" s="44">
        <f t="shared" si="130"/>
        <v>279.85985626185891</v>
      </c>
      <c r="CM18" s="44">
        <f t="shared" si="131"/>
        <v>296.15802670189009</v>
      </c>
      <c r="CN18" s="44">
        <f t="shared" si="132"/>
        <v>311.83289599494361</v>
      </c>
      <c r="CO18" s="44">
        <f t="shared" si="133"/>
        <v>326.88453579280679</v>
      </c>
      <c r="CP18" s="44">
        <f t="shared" si="134"/>
        <v>327.14878112362095</v>
      </c>
      <c r="CQ18" s="44">
        <f t="shared" si="135"/>
        <v>327.35406862036825</v>
      </c>
      <c r="CR18" s="44">
        <f t="shared" si="136"/>
        <v>327.50047157177204</v>
      </c>
      <c r="CS18" s="44">
        <f t="shared" si="137"/>
        <v>327.58806382018827</v>
      </c>
      <c r="CT18" s="44">
        <f t="shared" si="138"/>
        <v>327.61691976564646</v>
      </c>
      <c r="CX18" s="30">
        <v>2020</v>
      </c>
      <c r="CY18" s="140">
        <f>D14</f>
        <v>185</v>
      </c>
      <c r="CZ18" s="140">
        <f>D27</f>
        <v>162.69230769230768</v>
      </c>
      <c r="DA18" s="44">
        <f>AJ32</f>
        <v>111.92307692307692</v>
      </c>
      <c r="DB18" s="140">
        <f>AJ37</f>
        <v>70.960266702016895</v>
      </c>
      <c r="DC18" s="140">
        <f>AJ42</f>
        <v>51.832300831890365</v>
      </c>
      <c r="DD18" s="140">
        <f>AJ47</f>
        <v>14.015260831000658</v>
      </c>
      <c r="DE18" s="140">
        <f>AJ52</f>
        <v>50.26162504910581</v>
      </c>
      <c r="DF18" s="140">
        <f>AJ57</f>
        <v>14.947368421052632</v>
      </c>
    </row>
    <row r="19" spans="1:110">
      <c r="A19" s="1"/>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4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X19" s="30" t="s">
        <v>40</v>
      </c>
      <c r="CY19" s="140">
        <f>AH14</f>
        <v>524.97872340425533</v>
      </c>
      <c r="CZ19" s="140">
        <f>AH27</f>
        <v>280.10459284033055</v>
      </c>
      <c r="DA19" s="44">
        <f>BN32</f>
        <v>162.92409925871709</v>
      </c>
      <c r="DB19" s="140">
        <f>BN37</f>
        <v>145.59945711418746</v>
      </c>
      <c r="DC19" s="140">
        <f>BN42</f>
        <v>71.87200832466182</v>
      </c>
      <c r="DD19" s="140">
        <f>BN47</f>
        <v>19.433922996878252</v>
      </c>
      <c r="DE19" s="140">
        <f>BN52</f>
        <v>69.694068678459942</v>
      </c>
      <c r="DF19" s="140">
        <f>BN57</f>
        <v>25.054959115946328</v>
      </c>
    </row>
    <row r="20" spans="1:110">
      <c r="A20" s="1" t="s">
        <v>127</v>
      </c>
      <c r="C20" s="54" t="s">
        <v>128</v>
      </c>
      <c r="D20" s="44">
        <f>Ammonia!D9</f>
        <v>178.3</v>
      </c>
      <c r="E20" s="44">
        <f>Ammonia!E9</f>
        <v>181.47412677813568</v>
      </c>
      <c r="F20" s="44">
        <f>Ammonia!F9</f>
        <v>184.13609120806251</v>
      </c>
      <c r="G20" s="44">
        <f>Ammonia!G9</f>
        <v>186.83710282753654</v>
      </c>
      <c r="H20" s="44">
        <f>Ammonia!H9</f>
        <v>189.5777344026676</v>
      </c>
      <c r="I20" s="44">
        <f>Ammonia!I9</f>
        <v>192.35856710122081</v>
      </c>
      <c r="J20" s="44">
        <f>Ammonia!J9</f>
        <v>195.18019061585645</v>
      </c>
      <c r="K20" s="44">
        <f>Ammonia!K9</f>
        <v>198.043203289178</v>
      </c>
      <c r="L20" s="44">
        <f>Ammonia!L9</f>
        <v>200.94821224061428</v>
      </c>
      <c r="M20" s="44">
        <f>Ammonia!M9</f>
        <v>203.89583349516309</v>
      </c>
      <c r="N20" s="44">
        <f>Ammonia!N9</f>
        <v>206.88669211402299</v>
      </c>
      <c r="O20" s="44">
        <f>Ammonia!O9</f>
        <v>207.79112286265169</v>
      </c>
      <c r="P20" s="44">
        <f>Ammonia!P9</f>
        <v>209.07257566822318</v>
      </c>
      <c r="Q20" s="44">
        <f>Ammonia!Q9</f>
        <v>210.3619312237789</v>
      </c>
      <c r="R20" s="44">
        <f>Ammonia!R9</f>
        <v>211.65923826576613</v>
      </c>
      <c r="S20" s="44">
        <f>Ammonia!S9</f>
        <v>212.96454583119115</v>
      </c>
      <c r="T20" s="44">
        <f>Ammonia!T9</f>
        <v>214.27790325947282</v>
      </c>
      <c r="U20" s="44">
        <f>Ammonia!U9</f>
        <v>215.599360194307</v>
      </c>
      <c r="V20" s="44">
        <f>Ammonia!V9</f>
        <v>216.92896658554369</v>
      </c>
      <c r="W20" s="44">
        <f>Ammonia!W9</f>
        <v>218.26677269107458</v>
      </c>
      <c r="X20" s="44">
        <f>Ammonia!X9</f>
        <v>219.61282907873306</v>
      </c>
      <c r="Y20" s="44">
        <f>Ammonia!Y9</f>
        <v>220.96718662820584</v>
      </c>
      <c r="Z20" s="44">
        <f>Ammonia!Z9</f>
        <v>222.32989653295533</v>
      </c>
      <c r="AA20" s="44">
        <f>Ammonia!AA9</f>
        <v>223.70101030215571</v>
      </c>
      <c r="AB20" s="44">
        <f>Ammonia!AB9</f>
        <v>225.08057976263919</v>
      </c>
      <c r="AC20" s="44">
        <f>Ammonia!AC9</f>
        <v>226.46865706085535</v>
      </c>
      <c r="AD20" s="44">
        <f>Ammonia!AD9</f>
        <v>227.86529466484228</v>
      </c>
      <c r="AE20" s="44">
        <f>Ammonia!AE9</f>
        <v>229.27054536620963</v>
      </c>
      <c r="AF20" s="44">
        <f>Ammonia!AF9</f>
        <v>230.68446228213406</v>
      </c>
      <c r="AG20" s="44">
        <f>Ammonia!AG9</f>
        <v>232.10709885736736</v>
      </c>
      <c r="AH20" s="44">
        <f>Ammonia!AH9</f>
        <v>233.53850886625548</v>
      </c>
      <c r="AI20" s="44"/>
      <c r="AJ20" s="44">
        <f>D20</f>
        <v>178.3</v>
      </c>
      <c r="AK20" s="44">
        <f t="shared" ref="AK20:BN21" si="139">E20</f>
        <v>181.47412677813568</v>
      </c>
      <c r="AL20" s="44">
        <f t="shared" si="139"/>
        <v>184.13609120806251</v>
      </c>
      <c r="AM20" s="44">
        <f t="shared" si="139"/>
        <v>186.83710282753654</v>
      </c>
      <c r="AN20" s="44">
        <f t="shared" si="139"/>
        <v>189.5777344026676</v>
      </c>
      <c r="AO20" s="44">
        <f t="shared" si="139"/>
        <v>192.35856710122081</v>
      </c>
      <c r="AP20" s="44">
        <f t="shared" si="139"/>
        <v>195.18019061585645</v>
      </c>
      <c r="AQ20" s="44">
        <f t="shared" si="139"/>
        <v>198.043203289178</v>
      </c>
      <c r="AR20" s="44">
        <f t="shared" si="139"/>
        <v>200.94821224061428</v>
      </c>
      <c r="AS20" s="44">
        <f t="shared" si="139"/>
        <v>203.89583349516309</v>
      </c>
      <c r="AT20" s="44">
        <f t="shared" si="139"/>
        <v>206.88669211402299</v>
      </c>
      <c r="AU20" s="44">
        <f t="shared" si="139"/>
        <v>207.79112286265169</v>
      </c>
      <c r="AV20" s="44">
        <f t="shared" si="139"/>
        <v>209.07257566822318</v>
      </c>
      <c r="AW20" s="44">
        <f t="shared" si="139"/>
        <v>210.3619312237789</v>
      </c>
      <c r="AX20" s="44">
        <f t="shared" si="139"/>
        <v>211.65923826576613</v>
      </c>
      <c r="AY20" s="44">
        <f t="shared" si="139"/>
        <v>212.96454583119115</v>
      </c>
      <c r="AZ20" s="44">
        <f t="shared" si="139"/>
        <v>214.27790325947282</v>
      </c>
      <c r="BA20" s="44">
        <f t="shared" si="139"/>
        <v>215.599360194307</v>
      </c>
      <c r="BB20" s="44">
        <f t="shared" si="139"/>
        <v>216.92896658554369</v>
      </c>
      <c r="BC20" s="44">
        <f t="shared" si="139"/>
        <v>218.26677269107458</v>
      </c>
      <c r="BD20" s="44">
        <f t="shared" si="139"/>
        <v>219.61282907873306</v>
      </c>
      <c r="BE20" s="44">
        <f t="shared" si="139"/>
        <v>220.96718662820584</v>
      </c>
      <c r="BF20" s="44">
        <f t="shared" si="139"/>
        <v>222.32989653295533</v>
      </c>
      <c r="BG20" s="44">
        <f t="shared" si="139"/>
        <v>223.70101030215571</v>
      </c>
      <c r="BH20" s="44">
        <f t="shared" si="139"/>
        <v>225.08057976263919</v>
      </c>
      <c r="BI20" s="44">
        <f t="shared" si="139"/>
        <v>226.46865706085535</v>
      </c>
      <c r="BJ20" s="44">
        <f t="shared" si="139"/>
        <v>227.86529466484228</v>
      </c>
      <c r="BK20" s="44">
        <f t="shared" si="139"/>
        <v>229.27054536620963</v>
      </c>
      <c r="BL20" s="44">
        <f t="shared" si="139"/>
        <v>230.68446228213406</v>
      </c>
      <c r="BM20" s="44">
        <f t="shared" si="139"/>
        <v>232.10709885736736</v>
      </c>
      <c r="BN20" s="44">
        <f t="shared" si="139"/>
        <v>233.53850886625548</v>
      </c>
      <c r="BO20" s="44"/>
      <c r="BP20" s="44">
        <f>AJ20</f>
        <v>178.3</v>
      </c>
      <c r="BQ20" s="44">
        <f t="shared" ref="BQ20:BQ21" si="140">AK20</f>
        <v>181.47412677813568</v>
      </c>
      <c r="BR20" s="44">
        <f t="shared" ref="BR20:BR21" si="141">AL20</f>
        <v>184.13609120806251</v>
      </c>
      <c r="BS20" s="44">
        <f t="shared" ref="BS20:BS21" si="142">AM20</f>
        <v>186.83710282753654</v>
      </c>
      <c r="BT20" s="44">
        <f t="shared" ref="BT20:BT21" si="143">AN20</f>
        <v>189.5777344026676</v>
      </c>
      <c r="BU20" s="44">
        <f t="shared" ref="BU20:BU21" si="144">AO20</f>
        <v>192.35856710122081</v>
      </c>
      <c r="BV20" s="44">
        <f t="shared" ref="BV20:BV21" si="145">AP20</f>
        <v>195.18019061585645</v>
      </c>
      <c r="BW20" s="44">
        <f t="shared" ref="BW20:BW21" si="146">AQ20</f>
        <v>198.043203289178</v>
      </c>
      <c r="BX20" s="44">
        <f t="shared" ref="BX20:BX21" si="147">AR20</f>
        <v>200.94821224061428</v>
      </c>
      <c r="BY20" s="44">
        <f t="shared" ref="BY20:BY21" si="148">AS20</f>
        <v>203.89583349516309</v>
      </c>
      <c r="BZ20" s="44">
        <f t="shared" ref="BZ20:BZ21" si="149">AT20</f>
        <v>206.88669211402299</v>
      </c>
      <c r="CA20" s="44">
        <f t="shared" ref="CA20:CA21" si="150">AU20</f>
        <v>207.79112286265169</v>
      </c>
      <c r="CB20" s="44">
        <f t="shared" ref="CB20:CB21" si="151">AV20</f>
        <v>209.07257566822318</v>
      </c>
      <c r="CC20" s="44">
        <f t="shared" ref="CC20:CC21" si="152">AW20</f>
        <v>210.3619312237789</v>
      </c>
      <c r="CD20" s="44">
        <f t="shared" ref="CD20:CD21" si="153">AX20</f>
        <v>211.65923826576613</v>
      </c>
      <c r="CE20" s="44">
        <f t="shared" ref="CE20:CE21" si="154">AY20</f>
        <v>212.96454583119115</v>
      </c>
      <c r="CF20" s="44">
        <f t="shared" ref="CF20:CF21" si="155">AZ20</f>
        <v>214.27790325947282</v>
      </c>
      <c r="CG20" s="44">
        <f t="shared" ref="CG20:CG21" si="156">BA20</f>
        <v>215.599360194307</v>
      </c>
      <c r="CH20" s="44">
        <f t="shared" ref="CH20:CH21" si="157">BB20</f>
        <v>216.92896658554369</v>
      </c>
      <c r="CI20" s="44">
        <f t="shared" ref="CI20:CI21" si="158">BC20</f>
        <v>218.26677269107458</v>
      </c>
      <c r="CJ20" s="44">
        <f t="shared" ref="CJ20:CJ21" si="159">BD20</f>
        <v>219.61282907873306</v>
      </c>
      <c r="CK20" s="44">
        <f t="shared" ref="CK20:CK21" si="160">BE20</f>
        <v>220.96718662820584</v>
      </c>
      <c r="CL20" s="44">
        <f t="shared" ref="CL20:CL21" si="161">BF20</f>
        <v>222.32989653295533</v>
      </c>
      <c r="CM20" s="44">
        <f t="shared" ref="CM20:CM21" si="162">BG20</f>
        <v>223.70101030215571</v>
      </c>
      <c r="CN20" s="44">
        <f t="shared" ref="CN20:CN21" si="163">BH20</f>
        <v>225.08057976263919</v>
      </c>
      <c r="CO20" s="44">
        <f t="shared" ref="CO20:CO21" si="164">BI20</f>
        <v>226.46865706085535</v>
      </c>
      <c r="CP20" s="44">
        <f t="shared" ref="CP20:CP21" si="165">BJ20</f>
        <v>227.86529466484228</v>
      </c>
      <c r="CQ20" s="44">
        <f t="shared" ref="CQ20:CQ21" si="166">BK20</f>
        <v>229.27054536620963</v>
      </c>
      <c r="CR20" s="44">
        <f t="shared" ref="CR20:CR21" si="167">BL20</f>
        <v>230.68446228213406</v>
      </c>
      <c r="CS20" s="44">
        <f t="shared" ref="CS20:CS21" si="168">BM20</f>
        <v>232.10709885736736</v>
      </c>
      <c r="CT20" s="44">
        <f t="shared" ref="CT20:CT21" si="169">BN20</f>
        <v>233.53850886625548</v>
      </c>
      <c r="CX20" s="30" t="s">
        <v>129</v>
      </c>
      <c r="CY20" s="140">
        <f>BN15</f>
        <v>417.7170531914893</v>
      </c>
      <c r="CZ20" s="140">
        <f>BN28</f>
        <v>179.24238271620916</v>
      </c>
      <c r="DA20" s="44">
        <f>BN33</f>
        <v>113.37363749187909</v>
      </c>
      <c r="DB20" s="140">
        <f>BN38+'Final Exhibits'!E22</f>
        <v>375.20259314259704</v>
      </c>
      <c r="DC20" s="140">
        <f>BN43</f>
        <v>47.492425354759348</v>
      </c>
      <c r="DD20" s="140">
        <f>BN48</f>
        <v>12.841774688000196</v>
      </c>
      <c r="DE20" s="140">
        <f>BN53</f>
        <v>46.053260950069671</v>
      </c>
      <c r="DF20" s="140">
        <f>BN58</f>
        <v>23.108794503663027</v>
      </c>
    </row>
    <row r="21" spans="1:110">
      <c r="A21" s="1" t="s">
        <v>130</v>
      </c>
      <c r="C21" s="54" t="s">
        <v>128</v>
      </c>
      <c r="D21" s="44">
        <f>Ammonia!D10</f>
        <v>178.3</v>
      </c>
      <c r="E21" s="44">
        <f>Ammonia!E10</f>
        <v>181.47412677813568</v>
      </c>
      <c r="F21" s="44">
        <f>Ammonia!F10</f>
        <v>184.13609120806251</v>
      </c>
      <c r="G21" s="44">
        <f>Ammonia!G10</f>
        <v>186.83710282753654</v>
      </c>
      <c r="H21" s="44">
        <f>Ammonia!H10</f>
        <v>189.5777344026676</v>
      </c>
      <c r="I21" s="44">
        <f>Ammonia!I10</f>
        <v>192.35856710122079</v>
      </c>
      <c r="J21" s="44">
        <f>Ammonia!J10</f>
        <v>187.45893026974653</v>
      </c>
      <c r="K21" s="44">
        <f>Ammonia!K10</f>
        <v>182.6126154855894</v>
      </c>
      <c r="L21" s="44">
        <f>Ammonia!L10</f>
        <v>177.81720613615391</v>
      </c>
      <c r="M21" s="44">
        <f>Ammonia!M10</f>
        <v>173.07023537601381</v>
      </c>
      <c r="N21" s="44">
        <f>Ammonia!N10</f>
        <v>168.36918517319978</v>
      </c>
      <c r="O21" s="44">
        <f>Ammonia!O10</f>
        <v>161.91646587598649</v>
      </c>
      <c r="P21" s="44">
        <f>Ammonia!P10</f>
        <v>155.8586768899886</v>
      </c>
      <c r="Q21" s="44">
        <f>Ammonia!Q10</f>
        <v>149.89485457537069</v>
      </c>
      <c r="R21" s="44">
        <f>Ammonia!R10</f>
        <v>144.02446814350864</v>
      </c>
      <c r="S21" s="44">
        <f>Ammonia!S10</f>
        <v>138.24698235550412</v>
      </c>
      <c r="T21" s="44">
        <f>Ammonia!T10</f>
        <v>132.56185748748192</v>
      </c>
      <c r="U21" s="44">
        <f>Ammonia!U10</f>
        <v>126.96854929562781</v>
      </c>
      <c r="V21" s="44">
        <f>Ammonia!V10</f>
        <v>121.46650898096678</v>
      </c>
      <c r="W21" s="44">
        <f>Ammonia!W10</f>
        <v>116.05518315387799</v>
      </c>
      <c r="X21" s="44">
        <f>Ammonia!X10</f>
        <v>110.73401379834561</v>
      </c>
      <c r="Y21" s="44">
        <f>Ammonia!Y10</f>
        <v>105.50243823594339</v>
      </c>
      <c r="Z21" s="44">
        <f>Ammonia!Z10</f>
        <v>100.35988908955053</v>
      </c>
      <c r="AA21" s="44">
        <f>Ammonia!AA10</f>
        <v>95.305794246798015</v>
      </c>
      <c r="AB21" s="44">
        <f>Ammonia!AB10</f>
        <v>90.33957682324214</v>
      </c>
      <c r="AC21" s="44">
        <f>Ammonia!AC10</f>
        <v>85.460655125264225</v>
      </c>
      <c r="AD21" s="44">
        <f>Ammonia!AD10</f>
        <v>80.668442612694491</v>
      </c>
      <c r="AE21" s="44">
        <f>Ammonia!AE10</f>
        <v>75.962347861157113</v>
      </c>
      <c r="AF21" s="44">
        <f>Ammonia!AF10</f>
        <v>71.341774524135928</v>
      </c>
      <c r="AG21" s="44">
        <f>Ammonia!AG10</f>
        <v>66.806121294757546</v>
      </c>
      <c r="AH21" s="44">
        <f>Ammonia!AH10</f>
        <v>62.354781867290214</v>
      </c>
      <c r="AI21" s="44"/>
      <c r="AJ21" s="44">
        <f>D21</f>
        <v>178.3</v>
      </c>
      <c r="AK21" s="44">
        <f t="shared" si="139"/>
        <v>181.47412677813568</v>
      </c>
      <c r="AL21" s="44">
        <f t="shared" si="139"/>
        <v>184.13609120806251</v>
      </c>
      <c r="AM21" s="44">
        <f t="shared" si="139"/>
        <v>186.83710282753654</v>
      </c>
      <c r="AN21" s="44">
        <f t="shared" si="139"/>
        <v>189.5777344026676</v>
      </c>
      <c r="AO21" s="44">
        <f t="shared" si="139"/>
        <v>192.35856710122079</v>
      </c>
      <c r="AP21" s="44">
        <f t="shared" si="139"/>
        <v>187.45893026974653</v>
      </c>
      <c r="AQ21" s="44">
        <f t="shared" si="139"/>
        <v>182.6126154855894</v>
      </c>
      <c r="AR21" s="44">
        <f t="shared" si="139"/>
        <v>177.81720613615391</v>
      </c>
      <c r="AS21" s="44">
        <f t="shared" si="139"/>
        <v>173.07023537601381</v>
      </c>
      <c r="AT21" s="44">
        <f t="shared" si="139"/>
        <v>168.36918517319978</v>
      </c>
      <c r="AU21" s="44">
        <f t="shared" si="139"/>
        <v>161.91646587598649</v>
      </c>
      <c r="AV21" s="44">
        <f t="shared" si="139"/>
        <v>155.8586768899886</v>
      </c>
      <c r="AW21" s="44">
        <f t="shared" si="139"/>
        <v>149.89485457537069</v>
      </c>
      <c r="AX21" s="44">
        <f t="shared" si="139"/>
        <v>144.02446814350864</v>
      </c>
      <c r="AY21" s="44">
        <f t="shared" si="139"/>
        <v>138.24698235550412</v>
      </c>
      <c r="AZ21" s="44">
        <f t="shared" si="139"/>
        <v>132.56185748748192</v>
      </c>
      <c r="BA21" s="44">
        <f t="shared" si="139"/>
        <v>126.96854929562781</v>
      </c>
      <c r="BB21" s="44">
        <f t="shared" si="139"/>
        <v>121.46650898096678</v>
      </c>
      <c r="BC21" s="44">
        <f t="shared" si="139"/>
        <v>116.05518315387799</v>
      </c>
      <c r="BD21" s="44">
        <f t="shared" si="139"/>
        <v>110.73401379834561</v>
      </c>
      <c r="BE21" s="44">
        <f t="shared" si="139"/>
        <v>105.50243823594339</v>
      </c>
      <c r="BF21" s="44">
        <f t="shared" si="139"/>
        <v>100.35988908955053</v>
      </c>
      <c r="BG21" s="44">
        <f t="shared" si="139"/>
        <v>95.305794246798015</v>
      </c>
      <c r="BH21" s="44">
        <f t="shared" si="139"/>
        <v>90.33957682324214</v>
      </c>
      <c r="BI21" s="44">
        <f t="shared" si="139"/>
        <v>85.460655125264225</v>
      </c>
      <c r="BJ21" s="44">
        <f t="shared" si="139"/>
        <v>80.668442612694491</v>
      </c>
      <c r="BK21" s="44">
        <f t="shared" si="139"/>
        <v>75.962347861157113</v>
      </c>
      <c r="BL21" s="44">
        <f t="shared" si="139"/>
        <v>71.341774524135928</v>
      </c>
      <c r="BM21" s="44">
        <f t="shared" si="139"/>
        <v>66.806121294757546</v>
      </c>
      <c r="BN21" s="44">
        <f t="shared" si="139"/>
        <v>62.354781867290214</v>
      </c>
      <c r="BO21" s="44"/>
      <c r="BP21" s="44">
        <f>AJ21</f>
        <v>178.3</v>
      </c>
      <c r="BQ21" s="44">
        <f t="shared" si="140"/>
        <v>181.47412677813568</v>
      </c>
      <c r="BR21" s="44">
        <f t="shared" si="141"/>
        <v>184.13609120806251</v>
      </c>
      <c r="BS21" s="44">
        <f t="shared" si="142"/>
        <v>186.83710282753654</v>
      </c>
      <c r="BT21" s="44">
        <f t="shared" si="143"/>
        <v>189.5777344026676</v>
      </c>
      <c r="BU21" s="44">
        <f t="shared" si="144"/>
        <v>192.35856710122079</v>
      </c>
      <c r="BV21" s="44">
        <f t="shared" si="145"/>
        <v>187.45893026974653</v>
      </c>
      <c r="BW21" s="44">
        <f t="shared" si="146"/>
        <v>182.6126154855894</v>
      </c>
      <c r="BX21" s="44">
        <f t="shared" si="147"/>
        <v>177.81720613615391</v>
      </c>
      <c r="BY21" s="44">
        <f t="shared" si="148"/>
        <v>173.07023537601381</v>
      </c>
      <c r="BZ21" s="44">
        <f t="shared" si="149"/>
        <v>168.36918517319978</v>
      </c>
      <c r="CA21" s="44">
        <f t="shared" si="150"/>
        <v>161.91646587598649</v>
      </c>
      <c r="CB21" s="44">
        <f t="shared" si="151"/>
        <v>155.8586768899886</v>
      </c>
      <c r="CC21" s="44">
        <f t="shared" si="152"/>
        <v>149.89485457537069</v>
      </c>
      <c r="CD21" s="44">
        <f t="shared" si="153"/>
        <v>144.02446814350864</v>
      </c>
      <c r="CE21" s="44">
        <f t="shared" si="154"/>
        <v>138.24698235550412</v>
      </c>
      <c r="CF21" s="44">
        <f t="shared" si="155"/>
        <v>132.56185748748192</v>
      </c>
      <c r="CG21" s="44">
        <f t="shared" si="156"/>
        <v>126.96854929562781</v>
      </c>
      <c r="CH21" s="44">
        <f t="shared" si="157"/>
        <v>121.46650898096678</v>
      </c>
      <c r="CI21" s="44">
        <f t="shared" si="158"/>
        <v>116.05518315387799</v>
      </c>
      <c r="CJ21" s="44">
        <f t="shared" si="159"/>
        <v>110.73401379834561</v>
      </c>
      <c r="CK21" s="44">
        <f t="shared" si="160"/>
        <v>105.50243823594339</v>
      </c>
      <c r="CL21" s="44">
        <f t="shared" si="161"/>
        <v>100.35988908955053</v>
      </c>
      <c r="CM21" s="44">
        <f t="shared" si="162"/>
        <v>95.305794246798015</v>
      </c>
      <c r="CN21" s="44">
        <f t="shared" si="163"/>
        <v>90.33957682324214</v>
      </c>
      <c r="CO21" s="44">
        <f t="shared" si="164"/>
        <v>85.460655125264225</v>
      </c>
      <c r="CP21" s="44">
        <f t="shared" si="165"/>
        <v>80.668442612694491</v>
      </c>
      <c r="CQ21" s="44">
        <f t="shared" si="166"/>
        <v>75.962347861157113</v>
      </c>
      <c r="CR21" s="44">
        <f t="shared" si="167"/>
        <v>71.341774524135928</v>
      </c>
      <c r="CS21" s="44">
        <f t="shared" si="168"/>
        <v>66.806121294757546</v>
      </c>
      <c r="CT21" s="44">
        <f t="shared" si="169"/>
        <v>62.354781867290214</v>
      </c>
    </row>
    <row r="22" spans="1:110">
      <c r="A22" s="1"/>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row>
    <row r="23" spans="1:110">
      <c r="A23" s="1" t="s">
        <v>131</v>
      </c>
      <c r="C23" s="54" t="s">
        <v>132</v>
      </c>
      <c r="D23" s="44">
        <f>Ammonia!D12</f>
        <v>49.3</v>
      </c>
      <c r="E23" s="44">
        <f>Ammonia!E12</f>
        <v>50.409463532251827</v>
      </c>
      <c r="F23" s="44">
        <f>Ammonia!F12</f>
        <v>51.148897859540831</v>
      </c>
      <c r="G23" s="44">
        <f>Ammonia!G12</f>
        <v>51.899178624900422</v>
      </c>
      <c r="H23" s="44">
        <f>Ammonia!H12</f>
        <v>52.660464929976904</v>
      </c>
      <c r="I23" s="44">
        <f>Ammonia!I12</f>
        <v>53.432918210208911</v>
      </c>
      <c r="J23" s="44">
        <f>Ammonia!J12</f>
        <v>54.216702269060796</v>
      </c>
      <c r="K23" s="44">
        <f>Ammonia!K12</f>
        <v>55.011983312758119</v>
      </c>
      <c r="L23" s="44">
        <f>Ammonia!L12</f>
        <v>55.818929985532733</v>
      </c>
      <c r="M23" s="44">
        <f>Ammonia!M12</f>
        <v>56.63771340538478</v>
      </c>
      <c r="N23" s="44">
        <f>Ammonia!N12</f>
        <v>57.468507200369487</v>
      </c>
      <c r="O23" s="44">
        <f>Ammonia!O12</f>
        <v>57.566098263534528</v>
      </c>
      <c r="P23" s="44">
        <f>Ammonia!P12</f>
        <v>57.921109763108419</v>
      </c>
      <c r="Q23" s="44">
        <f>Ammonia!Q12</f>
        <v>58.278310627058765</v>
      </c>
      <c r="R23" s="44">
        <f>Ammonia!R12</f>
        <v>58.637714357247837</v>
      </c>
      <c r="S23" s="44">
        <f>Ammonia!S12</f>
        <v>58.999334538804185</v>
      </c>
      <c r="T23" s="44">
        <f>Ammonia!T12</f>
        <v>59.363184840636301</v>
      </c>
      <c r="U23" s="44">
        <f>Ammonia!U12</f>
        <v>59.729279015948933</v>
      </c>
      <c r="V23" s="44">
        <f>Ammonia!V12</f>
        <v>60.097630902763413</v>
      </c>
      <c r="W23" s="44">
        <f>Ammonia!W12</f>
        <v>60.468254424440289</v>
      </c>
      <c r="X23" s="44">
        <f>Ammonia!X12</f>
        <v>60.841163590205873</v>
      </c>
      <c r="Y23" s="44">
        <f>Ammonia!Y12</f>
        <v>61.21637249568181</v>
      </c>
      <c r="Z23" s="44">
        <f>Ammonia!Z12</f>
        <v>61.593895323417598</v>
      </c>
      <c r="AA23" s="44">
        <f>Ammonia!AA12</f>
        <v>61.973746343426974</v>
      </c>
      <c r="AB23" s="44">
        <f>Ammonia!AB12</f>
        <v>62.35593991372717</v>
      </c>
      <c r="AC23" s="44">
        <f>Ammonia!AC12</f>
        <v>62.740490480881626</v>
      </c>
      <c r="AD23" s="44">
        <f>Ammonia!AD12</f>
        <v>63.127412580546121</v>
      </c>
      <c r="AE23" s="44">
        <f>Ammonia!AE12</f>
        <v>63.516720838018138</v>
      </c>
      <c r="AF23" s="44">
        <f>Ammonia!AF12</f>
        <v>63.908429968789711</v>
      </c>
      <c r="AG23" s="44">
        <f>Ammonia!AG12</f>
        <v>64.30255477910373</v>
      </c>
      <c r="AH23" s="44">
        <f>Ammonia!AH12</f>
        <v>64.699110166513222</v>
      </c>
      <c r="AI23" s="44"/>
      <c r="AJ23" s="44">
        <f>D23</f>
        <v>49.3</v>
      </c>
      <c r="AK23" s="44">
        <f t="shared" ref="AK23:BN24" si="170">E23</f>
        <v>50.409463532251827</v>
      </c>
      <c r="AL23" s="44">
        <f t="shared" si="170"/>
        <v>51.148897859540831</v>
      </c>
      <c r="AM23" s="44">
        <f t="shared" si="170"/>
        <v>51.899178624900422</v>
      </c>
      <c r="AN23" s="44">
        <f t="shared" si="170"/>
        <v>52.660464929976904</v>
      </c>
      <c r="AO23" s="44">
        <f t="shared" si="170"/>
        <v>53.432918210208911</v>
      </c>
      <c r="AP23" s="44">
        <f t="shared" si="170"/>
        <v>54.216702269060796</v>
      </c>
      <c r="AQ23" s="44">
        <f t="shared" si="170"/>
        <v>55.011983312758119</v>
      </c>
      <c r="AR23" s="44">
        <f t="shared" si="170"/>
        <v>55.818929985532733</v>
      </c>
      <c r="AS23" s="44">
        <f t="shared" si="170"/>
        <v>56.63771340538478</v>
      </c>
      <c r="AT23" s="44">
        <f t="shared" si="170"/>
        <v>57.468507200369487</v>
      </c>
      <c r="AU23" s="44">
        <f t="shared" si="170"/>
        <v>57.566098263534528</v>
      </c>
      <c r="AV23" s="44">
        <f t="shared" si="170"/>
        <v>57.921109763108419</v>
      </c>
      <c r="AW23" s="44">
        <f t="shared" si="170"/>
        <v>58.278310627058765</v>
      </c>
      <c r="AX23" s="44">
        <f t="shared" si="170"/>
        <v>58.637714357247837</v>
      </c>
      <c r="AY23" s="44">
        <f t="shared" si="170"/>
        <v>58.999334538804185</v>
      </c>
      <c r="AZ23" s="44">
        <f t="shared" si="170"/>
        <v>59.363184840636301</v>
      </c>
      <c r="BA23" s="44">
        <f t="shared" si="170"/>
        <v>59.729279015948933</v>
      </c>
      <c r="BB23" s="44">
        <f t="shared" si="170"/>
        <v>60.097630902763413</v>
      </c>
      <c r="BC23" s="44">
        <f t="shared" si="170"/>
        <v>60.468254424440289</v>
      </c>
      <c r="BD23" s="44">
        <f t="shared" si="170"/>
        <v>60.841163590205873</v>
      </c>
      <c r="BE23" s="44">
        <f t="shared" si="170"/>
        <v>61.21637249568181</v>
      </c>
      <c r="BF23" s="44">
        <f t="shared" si="170"/>
        <v>61.593895323417598</v>
      </c>
      <c r="BG23" s="44">
        <f t="shared" si="170"/>
        <v>61.973746343426974</v>
      </c>
      <c r="BH23" s="44">
        <f t="shared" si="170"/>
        <v>62.35593991372717</v>
      </c>
      <c r="BI23" s="44">
        <f t="shared" si="170"/>
        <v>62.740490480881626</v>
      </c>
      <c r="BJ23" s="44">
        <f t="shared" si="170"/>
        <v>63.127412580546121</v>
      </c>
      <c r="BK23" s="44">
        <f t="shared" si="170"/>
        <v>63.516720838018138</v>
      </c>
      <c r="BL23" s="44">
        <f t="shared" si="170"/>
        <v>63.908429968789711</v>
      </c>
      <c r="BM23" s="44">
        <f t="shared" si="170"/>
        <v>64.30255477910373</v>
      </c>
      <c r="BN23" s="44">
        <f t="shared" si="170"/>
        <v>64.699110166513222</v>
      </c>
      <c r="BO23" s="44"/>
      <c r="BP23" s="44">
        <f>AJ23</f>
        <v>49.3</v>
      </c>
      <c r="BQ23" s="44">
        <f t="shared" ref="BQ23:BQ24" si="171">AK23</f>
        <v>50.409463532251827</v>
      </c>
      <c r="BR23" s="44">
        <f t="shared" ref="BR23:BR24" si="172">AL23</f>
        <v>51.148897859540831</v>
      </c>
      <c r="BS23" s="44">
        <f t="shared" ref="BS23:BS24" si="173">AM23</f>
        <v>51.899178624900422</v>
      </c>
      <c r="BT23" s="44">
        <f t="shared" ref="BT23:BT24" si="174">AN23</f>
        <v>52.660464929976904</v>
      </c>
      <c r="BU23" s="44">
        <f t="shared" ref="BU23:BU24" si="175">AO23</f>
        <v>53.432918210208911</v>
      </c>
      <c r="BV23" s="44">
        <f t="shared" ref="BV23:BV24" si="176">AP23</f>
        <v>54.216702269060796</v>
      </c>
      <c r="BW23" s="44">
        <f t="shared" ref="BW23:BW24" si="177">AQ23</f>
        <v>55.011983312758119</v>
      </c>
      <c r="BX23" s="44">
        <f t="shared" ref="BX23:BX24" si="178">AR23</f>
        <v>55.818929985532733</v>
      </c>
      <c r="BY23" s="44">
        <f t="shared" ref="BY23:BY24" si="179">AS23</f>
        <v>56.63771340538478</v>
      </c>
      <c r="BZ23" s="44">
        <f t="shared" ref="BZ23:BZ24" si="180">AT23</f>
        <v>57.468507200369487</v>
      </c>
      <c r="CA23" s="44">
        <f t="shared" ref="CA23:CA24" si="181">AU23</f>
        <v>57.566098263534528</v>
      </c>
      <c r="CB23" s="44">
        <f t="shared" ref="CB23:CB24" si="182">AV23</f>
        <v>57.921109763108419</v>
      </c>
      <c r="CC23" s="44">
        <f t="shared" ref="CC23:CC24" si="183">AW23</f>
        <v>58.278310627058765</v>
      </c>
      <c r="CD23" s="44">
        <f t="shared" ref="CD23:CD24" si="184">AX23</f>
        <v>58.637714357247837</v>
      </c>
      <c r="CE23" s="44">
        <f t="shared" ref="CE23:CE24" si="185">AY23</f>
        <v>58.999334538804185</v>
      </c>
      <c r="CF23" s="44">
        <f t="shared" ref="CF23:CF24" si="186">AZ23</f>
        <v>59.363184840636301</v>
      </c>
      <c r="CG23" s="44">
        <f t="shared" ref="CG23:CG24" si="187">BA23</f>
        <v>59.729279015948933</v>
      </c>
      <c r="CH23" s="44">
        <f t="shared" ref="CH23:CH24" si="188">BB23</f>
        <v>60.097630902763413</v>
      </c>
      <c r="CI23" s="44">
        <f t="shared" ref="CI23:CI24" si="189">BC23</f>
        <v>60.468254424440289</v>
      </c>
      <c r="CJ23" s="44">
        <f t="shared" ref="CJ23:CJ24" si="190">BD23</f>
        <v>60.841163590205873</v>
      </c>
      <c r="CK23" s="44">
        <f t="shared" ref="CK23:CK24" si="191">BE23</f>
        <v>61.21637249568181</v>
      </c>
      <c r="CL23" s="44">
        <f t="shared" ref="CL23:CL24" si="192">BF23</f>
        <v>61.593895323417598</v>
      </c>
      <c r="CM23" s="44">
        <f t="shared" ref="CM23:CM24" si="193">BG23</f>
        <v>61.973746343426974</v>
      </c>
      <c r="CN23" s="44">
        <f t="shared" ref="CN23:CN24" si="194">BH23</f>
        <v>62.35593991372717</v>
      </c>
      <c r="CO23" s="44">
        <f t="shared" ref="CO23:CO24" si="195">BI23</f>
        <v>62.740490480881626</v>
      </c>
      <c r="CP23" s="44">
        <f t="shared" ref="CP23:CP24" si="196">BJ23</f>
        <v>63.127412580546121</v>
      </c>
      <c r="CQ23" s="44">
        <f t="shared" ref="CQ23:CQ24" si="197">BK23</f>
        <v>63.516720838018138</v>
      </c>
      <c r="CR23" s="44">
        <f t="shared" ref="CR23:CR24" si="198">BL23</f>
        <v>63.908429968789711</v>
      </c>
      <c r="CS23" s="44">
        <f t="shared" ref="CS23:CS24" si="199">BM23</f>
        <v>64.30255477910373</v>
      </c>
      <c r="CT23" s="44">
        <f t="shared" ref="CT23:CT24" si="200">BN23</f>
        <v>64.699110166513222</v>
      </c>
    </row>
    <row r="24" spans="1:110">
      <c r="A24" s="1" t="s">
        <v>133</v>
      </c>
      <c r="C24" s="54" t="s">
        <v>132</v>
      </c>
      <c r="D24" s="44">
        <f>Ammonia!D13</f>
        <v>49.3</v>
      </c>
      <c r="E24" s="44">
        <f>Ammonia!E13</f>
        <v>50.40946353225182</v>
      </c>
      <c r="F24" s="44">
        <f>Ammonia!F13</f>
        <v>51.148897859540824</v>
      </c>
      <c r="G24" s="44">
        <f>Ammonia!G13</f>
        <v>51.899178624900415</v>
      </c>
      <c r="H24" s="44">
        <f>Ammonia!H13</f>
        <v>52.660464929976897</v>
      </c>
      <c r="I24" s="44">
        <f>Ammonia!I13</f>
        <v>53.432918210208911</v>
      </c>
      <c r="J24" s="44">
        <f>Ammonia!J13</f>
        <v>63.953719295649371</v>
      </c>
      <c r="K24" s="44">
        <f>Ammonia!K13</f>
        <v>74.458573874009659</v>
      </c>
      <c r="L24" s="44">
        <f>Ammonia!L13</f>
        <v>84.954604627890575</v>
      </c>
      <c r="M24" s="44">
        <f>Ammonia!M13</f>
        <v>95.449072721315872</v>
      </c>
      <c r="N24" s="44">
        <f>Ammonia!N13</f>
        <v>105.94938032981503</v>
      </c>
      <c r="O24" s="44">
        <f>Ammonia!O13</f>
        <v>114.87950554955836</v>
      </c>
      <c r="P24" s="44">
        <f>Ammonia!P13</f>
        <v>124.08365433241543</v>
      </c>
      <c r="Q24" s="44">
        <f>Ammonia!Q13</f>
        <v>133.09258783909152</v>
      </c>
      <c r="R24" s="44">
        <f>Ammonia!R13</f>
        <v>141.90764882692054</v>
      </c>
      <c r="S24" s="44">
        <f>Ammonia!S13</f>
        <v>150.53019103347879</v>
      </c>
      <c r="T24" s="44">
        <f>Ammonia!T13</f>
        <v>158.9615792609483</v>
      </c>
      <c r="U24" s="44">
        <f>Ammonia!U13</f>
        <v>167.20318946110149</v>
      </c>
      <c r="V24" s="44">
        <f>Ammonia!V13</f>
        <v>175.25640882091545</v>
      </c>
      <c r="W24" s="44">
        <f>Ammonia!W13</f>
        <v>183.12263584881637</v>
      </c>
      <c r="X24" s="44">
        <f>Ammonia!X13</f>
        <v>190.80328046156126</v>
      </c>
      <c r="Y24" s="44">
        <f>Ammonia!Y13</f>
        <v>198.29976407176082</v>
      </c>
      <c r="Z24" s="44">
        <f>Ammonia!Z13</f>
        <v>205.61351967604696</v>
      </c>
      <c r="AA24" s="44">
        <f>Ammonia!AA13</f>
        <v>212.74599194389202</v>
      </c>
      <c r="AB24" s="44">
        <f>Ammonia!AB13</f>
        <v>219.69863730708164</v>
      </c>
      <c r="AC24" s="44">
        <f>Ammonia!AC13</f>
        <v>226.47292404984771</v>
      </c>
      <c r="AD24" s="44">
        <f>Ammonia!AD13</f>
        <v>233.07033239966631</v>
      </c>
      <c r="AE24" s="44">
        <f>Ammonia!AE13</f>
        <v>239.49235461872343</v>
      </c>
      <c r="AF24" s="44">
        <f>Ammonia!AF13</f>
        <v>245.74049509605595</v>
      </c>
      <c r="AG24" s="44">
        <f>Ammonia!AG13</f>
        <v>251.81627044037054</v>
      </c>
      <c r="AH24" s="44">
        <f>Ammonia!AH13</f>
        <v>257.72120957354537</v>
      </c>
      <c r="AI24" s="44"/>
      <c r="AJ24" s="44">
        <f>D24</f>
        <v>49.3</v>
      </c>
      <c r="AK24" s="44">
        <f t="shared" si="170"/>
        <v>50.40946353225182</v>
      </c>
      <c r="AL24" s="44">
        <f t="shared" si="170"/>
        <v>51.148897859540824</v>
      </c>
      <c r="AM24" s="44">
        <f t="shared" si="170"/>
        <v>51.899178624900415</v>
      </c>
      <c r="AN24" s="44">
        <f t="shared" si="170"/>
        <v>52.660464929976897</v>
      </c>
      <c r="AO24" s="44">
        <f t="shared" si="170"/>
        <v>53.432918210208911</v>
      </c>
      <c r="AP24" s="44">
        <f t="shared" si="170"/>
        <v>63.953719295649371</v>
      </c>
      <c r="AQ24" s="44">
        <f t="shared" si="170"/>
        <v>74.458573874009659</v>
      </c>
      <c r="AR24" s="44">
        <f t="shared" si="170"/>
        <v>84.954604627890575</v>
      </c>
      <c r="AS24" s="44">
        <f t="shared" si="170"/>
        <v>95.449072721315872</v>
      </c>
      <c r="AT24" s="44">
        <f t="shared" si="170"/>
        <v>105.94938032981503</v>
      </c>
      <c r="AU24" s="44">
        <f t="shared" si="170"/>
        <v>114.87950554955836</v>
      </c>
      <c r="AV24" s="44">
        <f t="shared" si="170"/>
        <v>124.08365433241543</v>
      </c>
      <c r="AW24" s="44">
        <f t="shared" si="170"/>
        <v>133.09258783909152</v>
      </c>
      <c r="AX24" s="44">
        <f t="shared" si="170"/>
        <v>141.90764882692054</v>
      </c>
      <c r="AY24" s="44">
        <f t="shared" si="170"/>
        <v>150.53019103347879</v>
      </c>
      <c r="AZ24" s="44">
        <f t="shared" si="170"/>
        <v>158.9615792609483</v>
      </c>
      <c r="BA24" s="44">
        <f t="shared" si="170"/>
        <v>167.20318946110149</v>
      </c>
      <c r="BB24" s="44">
        <f t="shared" si="170"/>
        <v>175.25640882091545</v>
      </c>
      <c r="BC24" s="44">
        <f t="shared" si="170"/>
        <v>183.12263584881637</v>
      </c>
      <c r="BD24" s="44">
        <f t="shared" si="170"/>
        <v>190.80328046156126</v>
      </c>
      <c r="BE24" s="44">
        <f t="shared" si="170"/>
        <v>198.29976407176082</v>
      </c>
      <c r="BF24" s="44">
        <f t="shared" si="170"/>
        <v>205.61351967604696</v>
      </c>
      <c r="BG24" s="44">
        <f t="shared" si="170"/>
        <v>212.74599194389202</v>
      </c>
      <c r="BH24" s="44">
        <f t="shared" si="170"/>
        <v>219.69863730708164</v>
      </c>
      <c r="BI24" s="44">
        <f t="shared" si="170"/>
        <v>226.47292404984771</v>
      </c>
      <c r="BJ24" s="44">
        <f t="shared" si="170"/>
        <v>233.07033239966631</v>
      </c>
      <c r="BK24" s="44">
        <f t="shared" si="170"/>
        <v>239.49235461872343</v>
      </c>
      <c r="BL24" s="44">
        <f t="shared" si="170"/>
        <v>245.74049509605595</v>
      </c>
      <c r="BM24" s="44">
        <f t="shared" si="170"/>
        <v>251.81627044037054</v>
      </c>
      <c r="BN24" s="44">
        <f t="shared" si="170"/>
        <v>257.72120957354537</v>
      </c>
      <c r="BO24" s="44"/>
      <c r="BP24" s="44">
        <f>AJ24</f>
        <v>49.3</v>
      </c>
      <c r="BQ24" s="44">
        <f t="shared" si="171"/>
        <v>50.40946353225182</v>
      </c>
      <c r="BR24" s="44">
        <f t="shared" si="172"/>
        <v>51.148897859540824</v>
      </c>
      <c r="BS24" s="44">
        <f t="shared" si="173"/>
        <v>51.899178624900415</v>
      </c>
      <c r="BT24" s="44">
        <f t="shared" si="174"/>
        <v>52.660464929976897</v>
      </c>
      <c r="BU24" s="44">
        <f t="shared" si="175"/>
        <v>53.432918210208911</v>
      </c>
      <c r="BV24" s="44">
        <f t="shared" si="176"/>
        <v>63.953719295649371</v>
      </c>
      <c r="BW24" s="44">
        <f t="shared" si="177"/>
        <v>74.458573874009659</v>
      </c>
      <c r="BX24" s="44">
        <f t="shared" si="178"/>
        <v>84.954604627890575</v>
      </c>
      <c r="BY24" s="44">
        <f t="shared" si="179"/>
        <v>95.449072721315872</v>
      </c>
      <c r="BZ24" s="44">
        <f t="shared" si="180"/>
        <v>105.94938032981503</v>
      </c>
      <c r="CA24" s="44">
        <f t="shared" si="181"/>
        <v>114.87950554955836</v>
      </c>
      <c r="CB24" s="44">
        <f t="shared" si="182"/>
        <v>124.08365433241543</v>
      </c>
      <c r="CC24" s="44">
        <f t="shared" si="183"/>
        <v>133.09258783909152</v>
      </c>
      <c r="CD24" s="44">
        <f t="shared" si="184"/>
        <v>141.90764882692054</v>
      </c>
      <c r="CE24" s="44">
        <f t="shared" si="185"/>
        <v>150.53019103347879</v>
      </c>
      <c r="CF24" s="44">
        <f t="shared" si="186"/>
        <v>158.9615792609483</v>
      </c>
      <c r="CG24" s="44">
        <f t="shared" si="187"/>
        <v>167.20318946110149</v>
      </c>
      <c r="CH24" s="44">
        <f t="shared" si="188"/>
        <v>175.25640882091545</v>
      </c>
      <c r="CI24" s="44">
        <f t="shared" si="189"/>
        <v>183.12263584881637</v>
      </c>
      <c r="CJ24" s="44">
        <f t="shared" si="190"/>
        <v>190.80328046156126</v>
      </c>
      <c r="CK24" s="44">
        <f t="shared" si="191"/>
        <v>198.29976407176082</v>
      </c>
      <c r="CL24" s="44">
        <f t="shared" si="192"/>
        <v>205.61351967604696</v>
      </c>
      <c r="CM24" s="44">
        <f t="shared" si="193"/>
        <v>212.74599194389202</v>
      </c>
      <c r="CN24" s="44">
        <f t="shared" si="194"/>
        <v>219.69863730708164</v>
      </c>
      <c r="CO24" s="44">
        <f t="shared" si="195"/>
        <v>226.47292404984771</v>
      </c>
      <c r="CP24" s="44">
        <f t="shared" si="196"/>
        <v>233.07033239966631</v>
      </c>
      <c r="CQ24" s="44">
        <f t="shared" si="197"/>
        <v>239.49235461872343</v>
      </c>
      <c r="CR24" s="44">
        <f t="shared" si="198"/>
        <v>245.74049509605595</v>
      </c>
      <c r="CS24" s="44">
        <f t="shared" si="199"/>
        <v>251.81627044037054</v>
      </c>
      <c r="CT24" s="44">
        <f t="shared" si="200"/>
        <v>257.72120957354537</v>
      </c>
    </row>
    <row r="25" spans="1:110">
      <c r="A25" s="1"/>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row>
    <row r="26" spans="1:110" s="52" customFormat="1" ht="16" thickBot="1">
      <c r="A26" s="52" t="s">
        <v>4</v>
      </c>
      <c r="C26" s="635"/>
    </row>
    <row r="27" spans="1:110" s="554" customFormat="1">
      <c r="A27" s="550" t="s">
        <v>134</v>
      </c>
      <c r="B27" s="551"/>
      <c r="C27" s="552" t="str">
        <f>'Yearly HC Ethylene'!C4</f>
        <v>m Tons</v>
      </c>
      <c r="D27" s="553">
        <f>BP28</f>
        <v>162.69230769230768</v>
      </c>
      <c r="E27" s="553">
        <f t="shared" ref="E27:AH27" si="201">BQ28</f>
        <v>167.39850430954519</v>
      </c>
      <c r="F27" s="553">
        <f t="shared" si="201"/>
        <v>171.62040937873633</v>
      </c>
      <c r="G27" s="553">
        <f t="shared" si="201"/>
        <v>175.95606104581717</v>
      </c>
      <c r="H27" s="553">
        <f t="shared" si="201"/>
        <v>180.40948095153186</v>
      </c>
      <c r="I27" s="553">
        <f t="shared" si="201"/>
        <v>184.98494957451305</v>
      </c>
      <c r="J27" s="553">
        <f t="shared" si="201"/>
        <v>189.18551886714596</v>
      </c>
      <c r="K27" s="553">
        <f t="shared" si="201"/>
        <v>193.49413206129458</v>
      </c>
      <c r="L27" s="553">
        <f t="shared" si="201"/>
        <v>197.91520205880366</v>
      </c>
      <c r="M27" s="553">
        <f t="shared" si="201"/>
        <v>202.45350784224726</v>
      </c>
      <c r="N27" s="553">
        <f t="shared" si="201"/>
        <v>207.1142382406878</v>
      </c>
      <c r="O27" s="553">
        <f t="shared" si="201"/>
        <v>209.86049508088257</v>
      </c>
      <c r="P27" s="553">
        <f t="shared" si="201"/>
        <v>212.67168831561386</v>
      </c>
      <c r="Q27" s="553">
        <f t="shared" si="201"/>
        <v>215.55274358073115</v>
      </c>
      <c r="R27" s="553">
        <f t="shared" si="201"/>
        <v>218.50919325316443</v>
      </c>
      <c r="S27" s="553">
        <f t="shared" si="201"/>
        <v>221.5472565029699</v>
      </c>
      <c r="T27" s="553">
        <f t="shared" si="201"/>
        <v>224.5283484426771</v>
      </c>
      <c r="U27" s="553">
        <f t="shared" si="201"/>
        <v>227.60255785619916</v>
      </c>
      <c r="V27" s="553">
        <f t="shared" si="201"/>
        <v>230.77870001167108</v>
      </c>
      <c r="W27" s="553">
        <f t="shared" si="201"/>
        <v>234.06671810473532</v>
      </c>
      <c r="X27" s="553">
        <f t="shared" si="201"/>
        <v>237.47783287929306</v>
      </c>
      <c r="Y27" s="553">
        <f t="shared" si="201"/>
        <v>240.89923184978946</v>
      </c>
      <c r="Z27" s="553">
        <f t="shared" si="201"/>
        <v>244.46810353822016</v>
      </c>
      <c r="AA27" s="553">
        <f t="shared" si="201"/>
        <v>248.20057341809886</v>
      </c>
      <c r="AB27" s="553">
        <f t="shared" si="201"/>
        <v>252.11487061900596</v>
      </c>
      <c r="AC27" s="553">
        <f t="shared" si="201"/>
        <v>256.23160784124508</v>
      </c>
      <c r="AD27" s="553">
        <f t="shared" si="201"/>
        <v>260.4437228157434</v>
      </c>
      <c r="AE27" s="553">
        <f t="shared" si="201"/>
        <v>264.90526103567669</v>
      </c>
      <c r="AF27" s="553">
        <f t="shared" si="201"/>
        <v>269.6460228703732</v>
      </c>
      <c r="AG27" s="553">
        <f t="shared" si="201"/>
        <v>274.69973867736547</v>
      </c>
      <c r="AH27" s="553">
        <f t="shared" si="201"/>
        <v>280.10459284033055</v>
      </c>
      <c r="AI27" s="553"/>
      <c r="AJ27" s="553">
        <f>D27</f>
        <v>162.69230769230768</v>
      </c>
      <c r="AK27" s="553">
        <f t="shared" ref="AK27:BN27" si="202">E27</f>
        <v>167.39850430954519</v>
      </c>
      <c r="AL27" s="553">
        <f t="shared" si="202"/>
        <v>171.62040937873633</v>
      </c>
      <c r="AM27" s="553">
        <f t="shared" si="202"/>
        <v>175.95606104581717</v>
      </c>
      <c r="AN27" s="553">
        <f t="shared" si="202"/>
        <v>180.40948095153186</v>
      </c>
      <c r="AO27" s="553">
        <f t="shared" si="202"/>
        <v>184.98494957451305</v>
      </c>
      <c r="AP27" s="553">
        <f t="shared" si="202"/>
        <v>189.18551886714596</v>
      </c>
      <c r="AQ27" s="553">
        <f t="shared" si="202"/>
        <v>193.49413206129458</v>
      </c>
      <c r="AR27" s="553">
        <f t="shared" si="202"/>
        <v>197.91520205880366</v>
      </c>
      <c r="AS27" s="553">
        <f t="shared" si="202"/>
        <v>202.45350784224726</v>
      </c>
      <c r="AT27" s="553">
        <f t="shared" si="202"/>
        <v>207.1142382406878</v>
      </c>
      <c r="AU27" s="553">
        <f t="shared" si="202"/>
        <v>209.86049508088257</v>
      </c>
      <c r="AV27" s="553">
        <f t="shared" si="202"/>
        <v>212.67168831561386</v>
      </c>
      <c r="AW27" s="553">
        <f t="shared" si="202"/>
        <v>215.55274358073115</v>
      </c>
      <c r="AX27" s="553">
        <f t="shared" si="202"/>
        <v>218.50919325316443</v>
      </c>
      <c r="AY27" s="553">
        <f t="shared" si="202"/>
        <v>221.5472565029699</v>
      </c>
      <c r="AZ27" s="553">
        <f t="shared" si="202"/>
        <v>224.5283484426771</v>
      </c>
      <c r="BA27" s="553">
        <f t="shared" si="202"/>
        <v>227.60255785619916</v>
      </c>
      <c r="BB27" s="553">
        <f t="shared" si="202"/>
        <v>230.77870001167108</v>
      </c>
      <c r="BC27" s="553">
        <f t="shared" si="202"/>
        <v>234.06671810473532</v>
      </c>
      <c r="BD27" s="553">
        <f t="shared" si="202"/>
        <v>237.47783287929306</v>
      </c>
      <c r="BE27" s="553">
        <f t="shared" si="202"/>
        <v>240.89923184978946</v>
      </c>
      <c r="BF27" s="553">
        <f t="shared" si="202"/>
        <v>244.46810353822016</v>
      </c>
      <c r="BG27" s="553">
        <f t="shared" si="202"/>
        <v>248.20057341809886</v>
      </c>
      <c r="BH27" s="553">
        <f t="shared" si="202"/>
        <v>252.11487061900596</v>
      </c>
      <c r="BI27" s="553">
        <f t="shared" si="202"/>
        <v>256.23160784124508</v>
      </c>
      <c r="BJ27" s="553">
        <f t="shared" si="202"/>
        <v>260.4437228157434</v>
      </c>
      <c r="BK27" s="553">
        <f t="shared" si="202"/>
        <v>264.90526103567669</v>
      </c>
      <c r="BL27" s="553">
        <f t="shared" si="202"/>
        <v>269.6460228703732</v>
      </c>
      <c r="BM27" s="553">
        <f t="shared" si="202"/>
        <v>274.69973867736547</v>
      </c>
      <c r="BN27" s="553">
        <f t="shared" si="202"/>
        <v>280.10459284033055</v>
      </c>
      <c r="BO27" s="553"/>
      <c r="BP27" s="553">
        <f>AJ27</f>
        <v>162.69230769230768</v>
      </c>
      <c r="BQ27" s="553">
        <f t="shared" ref="BQ27" si="203">AK27</f>
        <v>167.39850430954519</v>
      </c>
      <c r="BR27" s="553">
        <f t="shared" ref="BR27" si="204">AL27</f>
        <v>171.62040937873633</v>
      </c>
      <c r="BS27" s="553">
        <f t="shared" ref="BS27" si="205">AM27</f>
        <v>175.95606104581717</v>
      </c>
      <c r="BT27" s="553">
        <f t="shared" ref="BT27" si="206">AN27</f>
        <v>180.40948095153186</v>
      </c>
      <c r="BU27" s="553">
        <f t="shared" ref="BU27" si="207">AO27</f>
        <v>184.98494957451305</v>
      </c>
      <c r="BV27" s="553">
        <f t="shared" ref="BV27" si="208">AP27</f>
        <v>189.18551886714596</v>
      </c>
      <c r="BW27" s="553">
        <f t="shared" ref="BW27" si="209">AQ27</f>
        <v>193.49413206129458</v>
      </c>
      <c r="BX27" s="553">
        <f t="shared" ref="BX27" si="210">AR27</f>
        <v>197.91520205880366</v>
      </c>
      <c r="BY27" s="553">
        <f t="shared" ref="BY27" si="211">AS27</f>
        <v>202.45350784224726</v>
      </c>
      <c r="BZ27" s="553">
        <f t="shared" ref="BZ27" si="212">AT27</f>
        <v>207.1142382406878</v>
      </c>
      <c r="CA27" s="553">
        <f t="shared" ref="CA27" si="213">AU27</f>
        <v>209.86049508088257</v>
      </c>
      <c r="CB27" s="553">
        <f t="shared" ref="CB27" si="214">AV27</f>
        <v>212.67168831561386</v>
      </c>
      <c r="CC27" s="553">
        <f t="shared" ref="CC27" si="215">AW27</f>
        <v>215.55274358073115</v>
      </c>
      <c r="CD27" s="553">
        <f t="shared" ref="CD27" si="216">AX27</f>
        <v>218.50919325316443</v>
      </c>
      <c r="CE27" s="553">
        <f t="shared" ref="CE27" si="217">AY27</f>
        <v>221.5472565029699</v>
      </c>
      <c r="CF27" s="553">
        <f t="shared" ref="CF27" si="218">AZ27</f>
        <v>224.5283484426771</v>
      </c>
      <c r="CG27" s="553">
        <f t="shared" ref="CG27" si="219">BA27</f>
        <v>227.60255785619916</v>
      </c>
      <c r="CH27" s="553">
        <f t="shared" ref="CH27" si="220">BB27</f>
        <v>230.77870001167108</v>
      </c>
      <c r="CI27" s="553">
        <f t="shared" ref="CI27" si="221">BC27</f>
        <v>234.06671810473532</v>
      </c>
      <c r="CJ27" s="553">
        <f t="shared" ref="CJ27" si="222">BD27</f>
        <v>237.47783287929306</v>
      </c>
      <c r="CK27" s="553">
        <f t="shared" ref="CK27" si="223">BE27</f>
        <v>240.89923184978946</v>
      </c>
      <c r="CL27" s="553">
        <f t="shared" ref="CL27" si="224">BF27</f>
        <v>244.46810353822016</v>
      </c>
      <c r="CM27" s="553">
        <f t="shared" ref="CM27" si="225">BG27</f>
        <v>248.20057341809886</v>
      </c>
      <c r="CN27" s="553">
        <f t="shared" ref="CN27" si="226">BH27</f>
        <v>252.11487061900596</v>
      </c>
      <c r="CO27" s="553">
        <f t="shared" ref="CO27" si="227">BI27</f>
        <v>256.23160784124508</v>
      </c>
      <c r="CP27" s="553">
        <f t="shared" ref="CP27" si="228">BJ27</f>
        <v>260.4437228157434</v>
      </c>
      <c r="CQ27" s="553">
        <f t="shared" ref="CQ27" si="229">BK27</f>
        <v>264.90526103567669</v>
      </c>
      <c r="CR27" s="553">
        <f t="shared" ref="CR27" si="230">BL27</f>
        <v>269.6460228703732</v>
      </c>
      <c r="CS27" s="553">
        <f t="shared" ref="CS27" si="231">BM27</f>
        <v>274.69973867736547</v>
      </c>
      <c r="CT27" s="553">
        <f t="shared" ref="CT27" si="232">BN27</f>
        <v>280.10459284033055</v>
      </c>
    </row>
    <row r="28" spans="1:110">
      <c r="A28" s="1" t="s">
        <v>135</v>
      </c>
      <c r="C28" s="54" t="str">
        <f>'Yearly HC Ethylene'!C157</f>
        <v>m Tons</v>
      </c>
      <c r="D28" s="44">
        <f>'Yearly HC Ethylene'!D157</f>
        <v>162.69223358280146</v>
      </c>
      <c r="E28" s="44">
        <f>'Yearly HC Ethylene'!E157</f>
        <v>165.94478839594407</v>
      </c>
      <c r="F28" s="44">
        <f>'Yearly HC Ethylene'!F157</f>
        <v>168.69361683512855</v>
      </c>
      <c r="G28" s="44">
        <f>'Yearly HC Ethylene'!G157</f>
        <v>171.54563564014688</v>
      </c>
      <c r="H28" s="44">
        <f>'Yearly HC Ethylene'!H157</f>
        <v>174.5141574361221</v>
      </c>
      <c r="I28" s="44">
        <f>'Yearly HC Ethylene'!I157</f>
        <v>177.61298410135038</v>
      </c>
      <c r="J28" s="44">
        <f>'Yearly HC Ethylene'!J157</f>
        <v>180.29695787498474</v>
      </c>
      <c r="K28" s="44">
        <f>'Yearly HC Ethylene'!K157</f>
        <v>183.0484170569656</v>
      </c>
      <c r="L28" s="44">
        <f>'Yearly HC Ethylene'!L157</f>
        <v>185.87011582477658</v>
      </c>
      <c r="M28" s="44">
        <f>'Yearly HC Ethylene'!M157</f>
        <v>188.7633139925326</v>
      </c>
      <c r="N28" s="44">
        <f>'Yearly HC Ethylene'!N157</f>
        <v>191.72636390997738</v>
      </c>
      <c r="O28" s="44">
        <f>'Yearly HC Ethylene'!O157</f>
        <v>191.54116174392047</v>
      </c>
      <c r="P28" s="44">
        <f>'Yearly HC Ethylene'!P157</f>
        <v>191.37627220480607</v>
      </c>
      <c r="Q28" s="44">
        <f>'Yearly HC Ethylene'!Q157</f>
        <v>191.24155666611185</v>
      </c>
      <c r="R28" s="44">
        <f>'Yearly HC Ethylene'!R157</f>
        <v>191.15358437821155</v>
      </c>
      <c r="S28" s="44">
        <f>'Yearly HC Ethylene'!S157</f>
        <v>191.09166267739789</v>
      </c>
      <c r="T28" s="44">
        <f>'Yearly HC Ethylene'!T157</f>
        <v>190.84509543074398</v>
      </c>
      <c r="U28" s="44">
        <f>'Yearly HC Ethylene'!U157</f>
        <v>190.5922004563418</v>
      </c>
      <c r="V28" s="44">
        <f>'Yearly HC Ethylene'!V157</f>
        <v>190.36809080403316</v>
      </c>
      <c r="W28" s="44">
        <f>'Yearly HC Ethylene'!W157</f>
        <v>190.21091895625699</v>
      </c>
      <c r="X28" s="44">
        <f>'Yearly HC Ethylene'!X157</f>
        <v>190.15476716936851</v>
      </c>
      <c r="Y28" s="44">
        <f>'Yearly HC Ethylene'!Y157</f>
        <v>188.23325863602099</v>
      </c>
      <c r="Z28" s="44">
        <f>'Yearly HC Ethylene'!Z157</f>
        <v>186.41277964825909</v>
      </c>
      <c r="AA28" s="44">
        <f>'Yearly HC Ethylene'!AA157</f>
        <v>184.70536443813188</v>
      </c>
      <c r="AB28" s="44">
        <f>'Yearly HC Ethylene'!AB157</f>
        <v>183.12160774353649</v>
      </c>
      <c r="AC28" s="44">
        <f>'Yearly HC Ethylene'!AC157</f>
        <v>181.66217252989946</v>
      </c>
      <c r="AD28" s="44">
        <f>'Yearly HC Ethylene'!AD157</f>
        <v>180.18937393626177</v>
      </c>
      <c r="AE28" s="44">
        <f>'Yearly HC Ethylene'!AE157</f>
        <v>178.81947954576285</v>
      </c>
      <c r="AF28" s="44">
        <f>'Yearly HC Ethylene'!AF157</f>
        <v>177.54317001556984</v>
      </c>
      <c r="AG28" s="44">
        <f>'Yearly HC Ethylene'!AG157</f>
        <v>176.36654354711334</v>
      </c>
      <c r="AH28" s="44">
        <f>'Yearly HC Ethylene'!AH157</f>
        <v>175.32748455532999</v>
      </c>
      <c r="AI28" s="44"/>
      <c r="AJ28" s="44">
        <f>'Yearly LC Ethylene'!D157</f>
        <v>162.69226522814685</v>
      </c>
      <c r="AK28" s="44">
        <f>'Yearly LC Ethylene'!E157</f>
        <v>165.93488381235284</v>
      </c>
      <c r="AL28" s="44">
        <f>'Yearly LC Ethylene'!F157</f>
        <v>168.67358223578262</v>
      </c>
      <c r="AM28" s="44">
        <f>'Yearly LC Ethylene'!G157</f>
        <v>171.5153211598477</v>
      </c>
      <c r="AN28" s="44">
        <f>'Yearly LC Ethylene'!H157</f>
        <v>174.47349379325902</v>
      </c>
      <c r="AO28" s="44">
        <f>'Yearly LC Ethylene'!I157</f>
        <v>177.56205503740281</v>
      </c>
      <c r="AP28" s="44">
        <f>'Yearly LC Ethylene'!J157</f>
        <v>180.23611725542904</v>
      </c>
      <c r="AQ28" s="44">
        <f>'Yearly LC Ethylene'!K157</f>
        <v>182.97857941651893</v>
      </c>
      <c r="AR28" s="44">
        <f>'Yearly LC Ethylene'!L157</f>
        <v>185.79324476828771</v>
      </c>
      <c r="AS28" s="44">
        <f>'Yearly LC Ethylene'!M157</f>
        <v>188.68325534454073</v>
      </c>
      <c r="AT28" s="44">
        <f>'Yearly LC Ethylene'!N157</f>
        <v>191.65030115966277</v>
      </c>
      <c r="AU28" s="44">
        <f>'Yearly LC Ethylene'!O157</f>
        <v>191.47627948664561</v>
      </c>
      <c r="AV28" s="44">
        <f>'Yearly LC Ethylene'!P157</f>
        <v>191.33677604688268</v>
      </c>
      <c r="AW28" s="44">
        <f>'Yearly LC Ethylene'!Q157</f>
        <v>191.24560761758187</v>
      </c>
      <c r="AX28" s="44">
        <f>'Yearly LC Ethylene'!R157</f>
        <v>191.2215567319455</v>
      </c>
      <c r="AY28" s="44">
        <f>'Yearly LC Ethylene'!S157</f>
        <v>191.26208473270231</v>
      </c>
      <c r="AZ28" s="44">
        <f>'Yearly LC Ethylene'!T157</f>
        <v>191.15530739739754</v>
      </c>
      <c r="BA28" s="44">
        <f>'Yearly LC Ethylene'!U157</f>
        <v>191.06763113035038</v>
      </c>
      <c r="BB28" s="44">
        <f>'Yearly LC Ethylene'!V157</f>
        <v>191.02312462338921</v>
      </c>
      <c r="BC28" s="44">
        <f>'Yearly LC Ethylene'!W157</f>
        <v>191.04808971893027</v>
      </c>
      <c r="BD28" s="44">
        <f>'Yearly LC Ethylene'!X157</f>
        <v>191.16705144400177</v>
      </c>
      <c r="BE28" s="44">
        <f>'Yearly LC Ethylene'!Y157</f>
        <v>189.48494442892633</v>
      </c>
      <c r="BF28" s="44">
        <f>'Yearly LC Ethylene'!Z157</f>
        <v>187.8964747424541</v>
      </c>
      <c r="BG28" s="44">
        <f>'Yearly LC Ethylene'!AA157</f>
        <v>186.41434214315291</v>
      </c>
      <c r="BH28" s="44">
        <f>'Yearly LC Ethylene'!AB157</f>
        <v>185.05387648580901</v>
      </c>
      <c r="BI28" s="44">
        <f>'Yearly LC Ethylene'!AC157</f>
        <v>183.82458869476457</v>
      </c>
      <c r="BJ28" s="44">
        <f>'Yearly LC Ethylene'!AD157</f>
        <v>182.60184147707841</v>
      </c>
      <c r="BK28" s="44">
        <f>'Yearly LC Ethylene'!AE157</f>
        <v>181.51832969918061</v>
      </c>
      <c r="BL28" s="44">
        <f>'Yearly LC Ethylene'!AF157</f>
        <v>180.58174773124324</v>
      </c>
      <c r="BM28" s="44">
        <f>'Yearly LC Ethylene'!AG157</f>
        <v>179.81031576357046</v>
      </c>
      <c r="BN28" s="44">
        <f>'Yearly LC Ethylene'!AH157</f>
        <v>179.24238271620916</v>
      </c>
      <c r="BO28" s="44"/>
      <c r="BP28" s="44">
        <f>'Yearly LC Ethylene'!D4+'Yearly LC Ethylene'!D83</f>
        <v>162.69230769230768</v>
      </c>
      <c r="BQ28" s="44">
        <f>'Yearly LC Ethylene'!E4+'Yearly LC Ethylene'!E83</f>
        <v>167.39850430954519</v>
      </c>
      <c r="BR28" s="44">
        <f>'Yearly LC Ethylene'!F4+'Yearly LC Ethylene'!F83</f>
        <v>171.62040937873633</v>
      </c>
      <c r="BS28" s="44">
        <f>'Yearly LC Ethylene'!G4+'Yearly LC Ethylene'!G83</f>
        <v>175.95606104581717</v>
      </c>
      <c r="BT28" s="44">
        <f>'Yearly LC Ethylene'!H4+'Yearly LC Ethylene'!H83</f>
        <v>180.40948095153186</v>
      </c>
      <c r="BU28" s="44">
        <f>'Yearly LC Ethylene'!I4+'Yearly LC Ethylene'!I83</f>
        <v>184.98494957451305</v>
      </c>
      <c r="BV28" s="44">
        <f>'Yearly LC Ethylene'!J4+'Yearly LC Ethylene'!J83</f>
        <v>189.18551886714596</v>
      </c>
      <c r="BW28" s="44">
        <f>'Yearly LC Ethylene'!K4+'Yearly LC Ethylene'!K83</f>
        <v>193.49413206129458</v>
      </c>
      <c r="BX28" s="44">
        <f>'Yearly LC Ethylene'!L4+'Yearly LC Ethylene'!L83</f>
        <v>197.91520205880366</v>
      </c>
      <c r="BY28" s="44">
        <f>'Yearly LC Ethylene'!M4+'Yearly LC Ethylene'!M83</f>
        <v>202.45350784224726</v>
      </c>
      <c r="BZ28" s="44">
        <f>'Yearly LC Ethylene'!N4+'Yearly LC Ethylene'!N83</f>
        <v>207.1142382406878</v>
      </c>
      <c r="CA28" s="44">
        <f>'Yearly LC Ethylene'!O4+'Yearly LC Ethylene'!O83</f>
        <v>209.86049508088257</v>
      </c>
      <c r="CB28" s="44">
        <f>'Yearly LC Ethylene'!P4+'Yearly LC Ethylene'!P83</f>
        <v>212.67168831561386</v>
      </c>
      <c r="CC28" s="44">
        <f>'Yearly LC Ethylene'!Q4+'Yearly LC Ethylene'!Q83</f>
        <v>215.55274358073115</v>
      </c>
      <c r="CD28" s="44">
        <f>'Yearly LC Ethylene'!R4+'Yearly LC Ethylene'!R83</f>
        <v>218.50919325316443</v>
      </c>
      <c r="CE28" s="44">
        <f>'Yearly LC Ethylene'!S4+'Yearly LC Ethylene'!S83</f>
        <v>221.5472565029699</v>
      </c>
      <c r="CF28" s="44">
        <f>'Yearly LC Ethylene'!T4+'Yearly LC Ethylene'!T83</f>
        <v>224.5283484426771</v>
      </c>
      <c r="CG28" s="44">
        <f>'Yearly LC Ethylene'!U4+'Yearly LC Ethylene'!U83</f>
        <v>227.60255785619916</v>
      </c>
      <c r="CH28" s="44">
        <f>'Yearly LC Ethylene'!V4+'Yearly LC Ethylene'!V83</f>
        <v>230.77870001167108</v>
      </c>
      <c r="CI28" s="44">
        <f>'Yearly LC Ethylene'!W4+'Yearly LC Ethylene'!W83</f>
        <v>234.06671810473532</v>
      </c>
      <c r="CJ28" s="44">
        <f>'Yearly LC Ethylene'!X4+'Yearly LC Ethylene'!X83</f>
        <v>237.47783287929306</v>
      </c>
      <c r="CK28" s="44">
        <f>'Yearly LC Ethylene'!Y4+'Yearly LC Ethylene'!Y83</f>
        <v>240.89923184978946</v>
      </c>
      <c r="CL28" s="44">
        <f>'Yearly LC Ethylene'!Z4+'Yearly LC Ethylene'!Z83</f>
        <v>244.46810353822016</v>
      </c>
      <c r="CM28" s="44">
        <f>'Yearly LC Ethylene'!AA4+'Yearly LC Ethylene'!AA83</f>
        <v>248.20057341809886</v>
      </c>
      <c r="CN28" s="44">
        <f>'Yearly LC Ethylene'!AB4+'Yearly LC Ethylene'!AB83</f>
        <v>252.11487061900596</v>
      </c>
      <c r="CO28" s="44">
        <f>'Yearly LC Ethylene'!AC4+'Yearly LC Ethylene'!AC83</f>
        <v>256.23160784124508</v>
      </c>
      <c r="CP28" s="44">
        <f>'Yearly LC Ethylene'!AD4+'Yearly LC Ethylene'!AD83</f>
        <v>260.4437228157434</v>
      </c>
      <c r="CQ28" s="44">
        <f>'Yearly LC Ethylene'!AE4+'Yearly LC Ethylene'!AE83</f>
        <v>264.90526103567669</v>
      </c>
      <c r="CR28" s="44">
        <f>'Yearly LC Ethylene'!AF4+'Yearly LC Ethylene'!AF83</f>
        <v>269.6460228703732</v>
      </c>
      <c r="CS28" s="44">
        <f>'Yearly LC Ethylene'!AG4+'Yearly LC Ethylene'!AG83</f>
        <v>274.69973867736547</v>
      </c>
      <c r="CT28" s="44">
        <f>'Yearly LC Ethylene'!AH4+'Yearly LC Ethylene'!AH83</f>
        <v>280.10459284033055</v>
      </c>
    </row>
    <row r="29" spans="1:110">
      <c r="A29" s="1" t="s">
        <v>119</v>
      </c>
      <c r="C29" s="54" t="str">
        <f>'Yearly HC Ethylene'!C164</f>
        <v>m Tons</v>
      </c>
      <c r="D29" s="44">
        <f>'Yearly HC Ethylene'!D164</f>
        <v>15.604910284817102</v>
      </c>
      <c r="E29" s="44">
        <f>'Yearly HC Ethylene'!E164</f>
        <v>16.278156511039725</v>
      </c>
      <c r="F29" s="44">
        <f>'Yearly HC Ethylene'!F164</f>
        <v>16.944029974984016</v>
      </c>
      <c r="G29" s="44">
        <f>'Yearly HC Ethylene'!G164</f>
        <v>17.59896872271101</v>
      </c>
      <c r="H29" s="44">
        <f>'Yearly HC Ethylene'!H164</f>
        <v>18.239220476659813</v>
      </c>
      <c r="I29" s="44">
        <f>'Yearly HC Ethylene'!I164</f>
        <v>18.860787818047594</v>
      </c>
      <c r="J29" s="44">
        <f>'Yearly HC Ethylene'!J164</f>
        <v>19.501286008636537</v>
      </c>
      <c r="K29" s="44">
        <f>'Yearly HC Ethylene'!K164</f>
        <v>20.159656967878021</v>
      </c>
      <c r="L29" s="44">
        <f>'Yearly HC Ethylene'!L164</f>
        <v>20.833667125726471</v>
      </c>
      <c r="M29" s="44">
        <f>'Yearly HC Ethylene'!M164</f>
        <v>21.519097876546837</v>
      </c>
      <c r="N29" s="44">
        <f>'Yearly HC Ethylene'!N164</f>
        <v>22.208286073913062</v>
      </c>
      <c r="O29" s="44">
        <f>'Yearly HC Ethylene'!O164</f>
        <v>21.634896335967884</v>
      </c>
      <c r="P29" s="44">
        <f>'Yearly HC Ethylene'!P164</f>
        <v>20.977676160642126</v>
      </c>
      <c r="Q29" s="44">
        <f>'Yearly HC Ethylene'!Q164</f>
        <v>20.231570294638097</v>
      </c>
      <c r="R29" s="44">
        <f>'Yearly HC Ethylene'!R164</f>
        <v>19.393944956272058</v>
      </c>
      <c r="S29" s="44">
        <f>'Yearly HC Ethylene'!S164</f>
        <v>19.581536431384684</v>
      </c>
      <c r="T29" s="44">
        <f>'Yearly HC Ethylene'!T164</f>
        <v>20.070757634882256</v>
      </c>
      <c r="U29" s="44">
        <f>'Yearly HC Ethylene'!U164</f>
        <v>20.457669613815746</v>
      </c>
      <c r="V29" s="44">
        <f>'Yearly HC Ethylene'!V164</f>
        <v>20.767841463469992</v>
      </c>
      <c r="W29" s="44">
        <f>'Yearly HC Ethylene'!W164</f>
        <v>21.028748523535782</v>
      </c>
      <c r="X29" s="44">
        <f>'Yearly HC Ethylene'!X164</f>
        <v>21.262513403726128</v>
      </c>
      <c r="Y29" s="44">
        <f>'Yearly HC Ethylene'!Y164</f>
        <v>22.099503973778031</v>
      </c>
      <c r="Z29" s="44">
        <f>'Yearly HC Ethylene'!Z164</f>
        <v>22.881579944165285</v>
      </c>
      <c r="AA29" s="44">
        <f>'Yearly HC Ethylene'!AA164</f>
        <v>23.607792358212432</v>
      </c>
      <c r="AB29" s="44">
        <f>'Yearly HC Ethylene'!AB164</f>
        <v>24.265880159850369</v>
      </c>
      <c r="AC29" s="44">
        <f>'Yearly HC Ethylene'!AC164</f>
        <v>24.83480538697658</v>
      </c>
      <c r="AD29" s="44">
        <f>'Yearly HC Ethylene'!AD164</f>
        <v>25.28401939663107</v>
      </c>
      <c r="AE29" s="44">
        <f>'Yearly HC Ethylene'!AE164</f>
        <v>25.574820230774336</v>
      </c>
      <c r="AF29" s="44">
        <f>'Yearly HC Ethylene'!AF164</f>
        <v>25.667159155580226</v>
      </c>
      <c r="AG29" s="44">
        <f>'Yearly HC Ethylene'!AG164</f>
        <v>25.532470398757688</v>
      </c>
      <c r="AH29" s="44">
        <f>'Yearly HC Ethylene'!AH164</f>
        <v>25.169516162001333</v>
      </c>
      <c r="AI29" s="44"/>
      <c r="AJ29" s="44">
        <f>'Yearly LC Ethylene'!D164</f>
        <v>15.604941930162472</v>
      </c>
      <c r="AK29" s="44">
        <f>'Yearly LC Ethylene'!E164</f>
        <v>16.278222371309948</v>
      </c>
      <c r="AL29" s="44">
        <f>'Yearly LC Ethylene'!F164</f>
        <v>16.944166396227661</v>
      </c>
      <c r="AM29" s="44">
        <f>'Yearly LC Ethylene'!G164</f>
        <v>17.599249778703275</v>
      </c>
      <c r="AN29" s="44">
        <f>'Yearly LC Ethylene'!H164</f>
        <v>18.239795836735052</v>
      </c>
      <c r="AO29" s="44">
        <f>'Yearly LC Ethylene'!I164</f>
        <v>18.861956612225502</v>
      </c>
      <c r="AP29" s="44">
        <f>'Yearly LC Ethylene'!J164</f>
        <v>19.503642760330209</v>
      </c>
      <c r="AQ29" s="44">
        <f>'Yearly LC Ethylene'!K164</f>
        <v>20.164361983061262</v>
      </c>
      <c r="AR29" s="44">
        <f>'Yearly LC Ethylene'!L164</f>
        <v>20.84293542435751</v>
      </c>
      <c r="AS29" s="44">
        <f>'Yearly LC Ethylene'!M164</f>
        <v>21.537032898558351</v>
      </c>
      <c r="AT29" s="44">
        <f>'Yearly LC Ethylene'!N164</f>
        <v>22.242335705500714</v>
      </c>
      <c r="AU29" s="44">
        <f>'Yearly LC Ethylene'!O164</f>
        <v>21.693672021096013</v>
      </c>
      <c r="AV29" s="44">
        <f>'Yearly LC Ethylene'!P164</f>
        <v>21.075538130692031</v>
      </c>
      <c r="AW29" s="44">
        <f>'Yearly LC Ethylene'!Q164</f>
        <v>20.385923289768943</v>
      </c>
      <c r="AX29" s="44">
        <f>'Yearly LC Ethylene'!R164</f>
        <v>19.625260984535029</v>
      </c>
      <c r="AY29" s="44">
        <f>'Yearly LC Ethylene'!S164</f>
        <v>19.931640990573918</v>
      </c>
      <c r="AZ29" s="44">
        <f>'Yearly LC Ethylene'!T164</f>
        <v>20.575144046992076</v>
      </c>
      <c r="BA29" s="44">
        <f>'Yearly LC Ethylene'!U164</f>
        <v>21.141998338044708</v>
      </c>
      <c r="BB29" s="44">
        <f>'Yearly LC Ethylene'!V164</f>
        <v>21.646743585280017</v>
      </c>
      <c r="BC29" s="44">
        <f>'Yearly LC Ethylene'!W164</f>
        <v>22.105020253466535</v>
      </c>
      <c r="BD29" s="44">
        <f>'Yearly LC Ethylene'!X164</f>
        <v>22.529410283093522</v>
      </c>
      <c r="BE29" s="44">
        <f>'Yearly LC Ethylene'!Y164</f>
        <v>23.586221055820346</v>
      </c>
      <c r="BF29" s="44">
        <f>'Yearly LC Ethylene'!Z164</f>
        <v>24.579682013228901</v>
      </c>
      <c r="BG29" s="44">
        <f>'Yearly LC Ethylene'!AA164</f>
        <v>25.509569189795648</v>
      </c>
      <c r="BH29" s="44">
        <f>'Yearly LC Ethylene'!AB164</f>
        <v>26.368278142611853</v>
      </c>
      <c r="BI29" s="44">
        <f>'Yearly LC Ethylene'!AC164</f>
        <v>27.143608943254222</v>
      </c>
      <c r="BJ29" s="44">
        <f>'Yearly LC Ethylene'!AD164</f>
        <v>27.818051493158023</v>
      </c>
      <c r="BK29" s="44">
        <f>'Yearly LC Ethylene'!AE164</f>
        <v>28.369322564115009</v>
      </c>
      <c r="BL29" s="44">
        <f>'Yearly LC Ethylene'!AF164</f>
        <v>28.774379290135684</v>
      </c>
      <c r="BM29" s="44">
        <f>'Yearly LC Ethylene'!AG164</f>
        <v>29.016770765202676</v>
      </c>
      <c r="BN29" s="44">
        <f>'Yearly LC Ethylene'!AH164</f>
        <v>29.095717309481842</v>
      </c>
      <c r="BO29" s="44"/>
      <c r="BP29" s="44">
        <f>'Yearly LC Ethylene'!AJ164</f>
        <v>0</v>
      </c>
      <c r="BQ29" s="44">
        <f>'Yearly LC Ethylene'!AK164</f>
        <v>0</v>
      </c>
      <c r="BR29" s="44">
        <f>'Yearly LC Ethylene'!AL164</f>
        <v>0</v>
      </c>
      <c r="BS29" s="44">
        <f>'Yearly LC Ethylene'!AM164</f>
        <v>0</v>
      </c>
      <c r="BT29" s="44">
        <f>'Yearly LC Ethylene'!AN164</f>
        <v>0</v>
      </c>
      <c r="BU29" s="44">
        <f>'Yearly LC Ethylene'!AO164</f>
        <v>0</v>
      </c>
      <c r="BV29" s="44">
        <f>'Yearly LC Ethylene'!AP164</f>
        <v>0</v>
      </c>
      <c r="BW29" s="44">
        <f>'Yearly LC Ethylene'!AQ164</f>
        <v>0</v>
      </c>
      <c r="BX29" s="44">
        <f>'Yearly LC Ethylene'!AR164</f>
        <v>0</v>
      </c>
      <c r="BY29" s="44">
        <f>'Yearly LC Ethylene'!AS164</f>
        <v>0</v>
      </c>
      <c r="BZ29" s="44">
        <f>'Yearly LC Ethylene'!AT164</f>
        <v>0</v>
      </c>
      <c r="CA29" s="44">
        <f>'Yearly LC Ethylene'!AU164</f>
        <v>0</v>
      </c>
      <c r="CB29" s="44">
        <f>'Yearly LC Ethylene'!AV164</f>
        <v>0</v>
      </c>
      <c r="CC29" s="44">
        <f>'Yearly LC Ethylene'!AW164</f>
        <v>0</v>
      </c>
      <c r="CD29" s="44">
        <f>'Yearly LC Ethylene'!AX164</f>
        <v>0</v>
      </c>
      <c r="CE29" s="44">
        <f>'Yearly LC Ethylene'!AY164</f>
        <v>0</v>
      </c>
      <c r="CF29" s="44">
        <f>'Yearly LC Ethylene'!AZ164</f>
        <v>0</v>
      </c>
      <c r="CG29" s="44">
        <f>'Yearly LC Ethylene'!BA164</f>
        <v>0</v>
      </c>
      <c r="CH29" s="44">
        <f>'Yearly LC Ethylene'!BB164</f>
        <v>0</v>
      </c>
      <c r="CI29" s="44">
        <f>'Yearly LC Ethylene'!BC164</f>
        <v>0</v>
      </c>
      <c r="CJ29" s="44">
        <f>'Yearly LC Ethylene'!BD164</f>
        <v>0</v>
      </c>
      <c r="CK29" s="44">
        <f>'Yearly LC Ethylene'!BE164</f>
        <v>0</v>
      </c>
      <c r="CL29" s="44">
        <f>'Yearly LC Ethylene'!BF164</f>
        <v>0</v>
      </c>
      <c r="CM29" s="44">
        <f>'Yearly LC Ethylene'!BG164</f>
        <v>0</v>
      </c>
      <c r="CN29" s="44">
        <f>'Yearly LC Ethylene'!BH164</f>
        <v>0</v>
      </c>
      <c r="CO29" s="44">
        <f>'Yearly LC Ethylene'!BI164</f>
        <v>0</v>
      </c>
      <c r="CP29" s="44">
        <f>'Yearly LC Ethylene'!BJ164</f>
        <v>0</v>
      </c>
      <c r="CQ29" s="44">
        <f>'Yearly LC Ethylene'!BK164</f>
        <v>0</v>
      </c>
      <c r="CR29" s="44">
        <f>'Yearly LC Ethylene'!BL164</f>
        <v>0</v>
      </c>
      <c r="CS29" s="44">
        <f>'Yearly LC Ethylene'!BM164</f>
        <v>0</v>
      </c>
      <c r="CT29" s="44">
        <f>'Yearly LC Ethylene'!BN164</f>
        <v>0</v>
      </c>
    </row>
    <row r="30" spans="1:110">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row>
    <row r="31" spans="1:110" s="52" customFormat="1" ht="16" thickBot="1">
      <c r="A31" s="52" t="s">
        <v>5</v>
      </c>
      <c r="C31" s="635"/>
      <c r="D31" s="636"/>
      <c r="E31" s="636"/>
      <c r="F31" s="636"/>
      <c r="G31" s="636"/>
      <c r="H31" s="636"/>
      <c r="I31" s="636"/>
      <c r="J31" s="636"/>
      <c r="K31" s="636"/>
      <c r="L31" s="636"/>
      <c r="M31" s="636"/>
      <c r="N31" s="636"/>
      <c r="O31" s="636"/>
      <c r="P31" s="636"/>
      <c r="Q31" s="636"/>
      <c r="R31" s="636"/>
      <c r="S31" s="636"/>
      <c r="T31" s="636"/>
      <c r="U31" s="636"/>
      <c r="V31" s="636"/>
      <c r="W31" s="636"/>
      <c r="X31" s="636"/>
      <c r="Y31" s="636"/>
      <c r="Z31" s="636"/>
      <c r="AA31" s="636"/>
      <c r="AB31" s="636"/>
      <c r="AC31" s="636"/>
      <c r="AD31" s="636"/>
      <c r="AE31" s="636"/>
      <c r="AF31" s="636"/>
      <c r="AG31" s="636"/>
      <c r="AH31" s="636"/>
      <c r="AI31" s="636"/>
      <c r="AJ31" s="636"/>
      <c r="AK31" s="636"/>
      <c r="AL31" s="636"/>
      <c r="AM31" s="636"/>
      <c r="AN31" s="636"/>
      <c r="AO31" s="636"/>
      <c r="AP31" s="636"/>
      <c r="AQ31" s="636"/>
      <c r="AR31" s="636"/>
      <c r="AS31" s="636"/>
      <c r="AT31" s="636"/>
      <c r="AU31" s="636"/>
      <c r="AV31" s="636"/>
      <c r="AW31" s="636"/>
      <c r="AX31" s="636"/>
      <c r="AY31" s="636"/>
      <c r="AZ31" s="636"/>
      <c r="BA31" s="636"/>
      <c r="BB31" s="636"/>
      <c r="BC31" s="636"/>
      <c r="BD31" s="636"/>
      <c r="BE31" s="636"/>
      <c r="BF31" s="636"/>
      <c r="BG31" s="636"/>
      <c r="BH31" s="636"/>
      <c r="BI31" s="636"/>
      <c r="BJ31" s="636"/>
      <c r="BK31" s="636"/>
      <c r="BL31" s="636"/>
      <c r="BM31" s="636"/>
      <c r="BN31" s="636"/>
      <c r="BO31" s="636"/>
      <c r="BP31" s="636"/>
      <c r="BQ31" s="636"/>
      <c r="BR31" s="636"/>
      <c r="BS31" s="636"/>
      <c r="BT31" s="636"/>
      <c r="BU31" s="636"/>
      <c r="BV31" s="636"/>
      <c r="BW31" s="636"/>
      <c r="BX31" s="636"/>
      <c r="BY31" s="636"/>
      <c r="BZ31" s="636"/>
      <c r="CA31" s="636"/>
      <c r="CB31" s="636"/>
      <c r="CC31" s="636"/>
      <c r="CD31" s="636"/>
      <c r="CE31" s="636"/>
      <c r="CF31" s="636"/>
      <c r="CG31" s="636"/>
      <c r="CH31" s="636"/>
      <c r="CI31" s="636"/>
      <c r="CJ31" s="636"/>
      <c r="CK31" s="636"/>
      <c r="CL31" s="636"/>
      <c r="CM31" s="636"/>
      <c r="CN31" s="636"/>
      <c r="CO31" s="636"/>
      <c r="CP31" s="636"/>
      <c r="CQ31" s="636"/>
      <c r="CR31" s="636"/>
      <c r="CS31" s="636"/>
      <c r="CT31" s="636"/>
    </row>
    <row r="32" spans="1:110" s="554" customFormat="1">
      <c r="A32" s="550" t="s">
        <v>136</v>
      </c>
      <c r="B32" s="551"/>
      <c r="C32" s="552" t="str">
        <f>'Yearly HC Propylene'!C4</f>
        <v>m Tons</v>
      </c>
      <c r="D32" s="553">
        <f>BP33</f>
        <v>111.92307692307692</v>
      </c>
      <c r="E32" s="553">
        <f t="shared" ref="E32:AH32" si="233">BQ33</f>
        <v>114.17696757491626</v>
      </c>
      <c r="F32" s="553">
        <f t="shared" si="233"/>
        <v>116.47603314311496</v>
      </c>
      <c r="G32" s="553">
        <f t="shared" si="233"/>
        <v>118.82117580625838</v>
      </c>
      <c r="H32" s="553">
        <f t="shared" si="233"/>
        <v>121.21331571035434</v>
      </c>
      <c r="I32" s="553">
        <f t="shared" si="233"/>
        <v>123.65339132591019</v>
      </c>
      <c r="J32" s="553">
        <f t="shared" si="233"/>
        <v>125.92164108635201</v>
      </c>
      <c r="K32" s="553">
        <f t="shared" si="233"/>
        <v>128.23140639385144</v>
      </c>
      <c r="L32" s="553">
        <f t="shared" si="233"/>
        <v>130.58344561264067</v>
      </c>
      <c r="M32" s="553">
        <f t="shared" si="233"/>
        <v>132.97853093588918</v>
      </c>
      <c r="N32" s="553">
        <f t="shared" si="233"/>
        <v>135.41744863748744</v>
      </c>
      <c r="O32" s="553">
        <f t="shared" si="233"/>
        <v>136.75815630531591</v>
      </c>
      <c r="P32" s="553">
        <f t="shared" si="233"/>
        <v>138.11375394832734</v>
      </c>
      <c r="Q32" s="553">
        <f t="shared" si="233"/>
        <v>139.48443711522134</v>
      </c>
      <c r="R32" s="553">
        <f t="shared" si="233"/>
        <v>140.87040439802951</v>
      </c>
      <c r="S32" s="553">
        <f t="shared" si="233"/>
        <v>142.2718574854205</v>
      </c>
      <c r="T32" s="553">
        <f t="shared" si="233"/>
        <v>143.63314482306015</v>
      </c>
      <c r="U32" s="553">
        <f t="shared" si="233"/>
        <v>145.00933720081875</v>
      </c>
      <c r="V32" s="553">
        <f t="shared" si="233"/>
        <v>146.40063266762081</v>
      </c>
      <c r="W32" s="553">
        <f t="shared" si="233"/>
        <v>147.80723243503994</v>
      </c>
      <c r="X32" s="553">
        <f t="shared" si="233"/>
        <v>149.22934093399832</v>
      </c>
      <c r="Y32" s="553">
        <f t="shared" si="233"/>
        <v>150.56345100846187</v>
      </c>
      <c r="Z32" s="553">
        <f t="shared" si="233"/>
        <v>151.91086948744305</v>
      </c>
      <c r="AA32" s="553">
        <f t="shared" si="233"/>
        <v>153.27175561116593</v>
      </c>
      <c r="AB32" s="553">
        <f t="shared" si="233"/>
        <v>154.64627095726883</v>
      </c>
      <c r="AC32" s="553">
        <f t="shared" si="233"/>
        <v>156.03457948066813</v>
      </c>
      <c r="AD32" s="553">
        <f t="shared" si="233"/>
        <v>157.38557714567159</v>
      </c>
      <c r="AE32" s="553">
        <f t="shared" si="233"/>
        <v>158.74986566469005</v>
      </c>
      <c r="AF32" s="553">
        <f t="shared" si="233"/>
        <v>160.12760610855167</v>
      </c>
      <c r="AG32" s="553">
        <f t="shared" si="233"/>
        <v>161.51896198049872</v>
      </c>
      <c r="AH32" s="553">
        <f t="shared" si="233"/>
        <v>162.92409925871709</v>
      </c>
      <c r="AI32" s="553"/>
      <c r="AJ32" s="553">
        <f>D32</f>
        <v>111.92307692307692</v>
      </c>
      <c r="AK32" s="553">
        <f t="shared" ref="AK32" si="234">E32</f>
        <v>114.17696757491626</v>
      </c>
      <c r="AL32" s="553">
        <f t="shared" ref="AL32" si="235">F32</f>
        <v>116.47603314311496</v>
      </c>
      <c r="AM32" s="553">
        <f t="shared" ref="AM32" si="236">G32</f>
        <v>118.82117580625838</v>
      </c>
      <c r="AN32" s="553">
        <f t="shared" ref="AN32" si="237">H32</f>
        <v>121.21331571035434</v>
      </c>
      <c r="AO32" s="553">
        <f t="shared" ref="AO32" si="238">I32</f>
        <v>123.65339132591019</v>
      </c>
      <c r="AP32" s="553">
        <f t="shared" ref="AP32" si="239">J32</f>
        <v>125.92164108635201</v>
      </c>
      <c r="AQ32" s="553">
        <f t="shared" ref="AQ32" si="240">K32</f>
        <v>128.23140639385144</v>
      </c>
      <c r="AR32" s="553">
        <f t="shared" ref="AR32" si="241">L32</f>
        <v>130.58344561264067</v>
      </c>
      <c r="AS32" s="553">
        <f t="shared" ref="AS32" si="242">M32</f>
        <v>132.97853093588918</v>
      </c>
      <c r="AT32" s="553">
        <f t="shared" ref="AT32" si="243">N32</f>
        <v>135.41744863748744</v>
      </c>
      <c r="AU32" s="553">
        <f t="shared" ref="AU32" si="244">O32</f>
        <v>136.75815630531591</v>
      </c>
      <c r="AV32" s="553">
        <f t="shared" ref="AV32" si="245">P32</f>
        <v>138.11375394832734</v>
      </c>
      <c r="AW32" s="553">
        <f t="shared" ref="AW32" si="246">Q32</f>
        <v>139.48443711522134</v>
      </c>
      <c r="AX32" s="553">
        <f t="shared" ref="AX32" si="247">R32</f>
        <v>140.87040439802951</v>
      </c>
      <c r="AY32" s="553">
        <f t="shared" ref="AY32" si="248">S32</f>
        <v>142.2718574854205</v>
      </c>
      <c r="AZ32" s="553">
        <f t="shared" ref="AZ32" si="249">T32</f>
        <v>143.63314482306015</v>
      </c>
      <c r="BA32" s="553">
        <f t="shared" ref="BA32" si="250">U32</f>
        <v>145.00933720081875</v>
      </c>
      <c r="BB32" s="553">
        <f t="shared" ref="BB32" si="251">V32</f>
        <v>146.40063266762081</v>
      </c>
      <c r="BC32" s="553">
        <f t="shared" ref="BC32" si="252">W32</f>
        <v>147.80723243503994</v>
      </c>
      <c r="BD32" s="553">
        <f t="shared" ref="BD32" si="253">X32</f>
        <v>149.22934093399832</v>
      </c>
      <c r="BE32" s="553">
        <f t="shared" ref="BE32" si="254">Y32</f>
        <v>150.56345100846187</v>
      </c>
      <c r="BF32" s="553">
        <f t="shared" ref="BF32" si="255">Z32</f>
        <v>151.91086948744305</v>
      </c>
      <c r="BG32" s="553">
        <f t="shared" ref="BG32" si="256">AA32</f>
        <v>153.27175561116593</v>
      </c>
      <c r="BH32" s="553">
        <f t="shared" ref="BH32" si="257">AB32</f>
        <v>154.64627095726883</v>
      </c>
      <c r="BI32" s="553">
        <f t="shared" ref="BI32" si="258">AC32</f>
        <v>156.03457948066813</v>
      </c>
      <c r="BJ32" s="553">
        <f t="shared" ref="BJ32" si="259">AD32</f>
        <v>157.38557714567159</v>
      </c>
      <c r="BK32" s="553">
        <f t="shared" ref="BK32" si="260">AE32</f>
        <v>158.74986566469005</v>
      </c>
      <c r="BL32" s="553">
        <f t="shared" ref="BL32" si="261">AF32</f>
        <v>160.12760610855167</v>
      </c>
      <c r="BM32" s="553">
        <f t="shared" ref="BM32" si="262">AG32</f>
        <v>161.51896198049872</v>
      </c>
      <c r="BN32" s="553">
        <f t="shared" ref="BN32" si="263">AH32</f>
        <v>162.92409925871709</v>
      </c>
      <c r="BO32" s="553"/>
      <c r="BP32" s="553">
        <f>AJ32</f>
        <v>111.92307692307692</v>
      </c>
      <c r="BQ32" s="553">
        <f t="shared" ref="BQ32" si="264">AK32</f>
        <v>114.17696757491626</v>
      </c>
      <c r="BR32" s="553">
        <f t="shared" ref="BR32" si="265">AL32</f>
        <v>116.47603314311496</v>
      </c>
      <c r="BS32" s="553">
        <f t="shared" ref="BS32" si="266">AM32</f>
        <v>118.82117580625838</v>
      </c>
      <c r="BT32" s="553">
        <f t="shared" ref="BT32" si="267">AN32</f>
        <v>121.21331571035434</v>
      </c>
      <c r="BU32" s="553">
        <f t="shared" ref="BU32" si="268">AO32</f>
        <v>123.65339132591019</v>
      </c>
      <c r="BV32" s="553">
        <f t="shared" ref="BV32" si="269">AP32</f>
        <v>125.92164108635201</v>
      </c>
      <c r="BW32" s="553">
        <f t="shared" ref="BW32" si="270">AQ32</f>
        <v>128.23140639385144</v>
      </c>
      <c r="BX32" s="553">
        <f t="shared" ref="BX32" si="271">AR32</f>
        <v>130.58344561264067</v>
      </c>
      <c r="BY32" s="553">
        <f t="shared" ref="BY32" si="272">AS32</f>
        <v>132.97853093588918</v>
      </c>
      <c r="BZ32" s="553">
        <f t="shared" ref="BZ32" si="273">AT32</f>
        <v>135.41744863748744</v>
      </c>
      <c r="CA32" s="553">
        <f t="shared" ref="CA32" si="274">AU32</f>
        <v>136.75815630531591</v>
      </c>
      <c r="CB32" s="553">
        <f t="shared" ref="CB32" si="275">AV32</f>
        <v>138.11375394832734</v>
      </c>
      <c r="CC32" s="553">
        <f t="shared" ref="CC32" si="276">AW32</f>
        <v>139.48443711522134</v>
      </c>
      <c r="CD32" s="553">
        <f t="shared" ref="CD32" si="277">AX32</f>
        <v>140.87040439802951</v>
      </c>
      <c r="CE32" s="553">
        <f t="shared" ref="CE32" si="278">AY32</f>
        <v>142.2718574854205</v>
      </c>
      <c r="CF32" s="553">
        <f t="shared" ref="CF32" si="279">AZ32</f>
        <v>143.63314482306015</v>
      </c>
      <c r="CG32" s="553">
        <f t="shared" ref="CG32" si="280">BA32</f>
        <v>145.00933720081875</v>
      </c>
      <c r="CH32" s="553">
        <f t="shared" ref="CH32" si="281">BB32</f>
        <v>146.40063266762081</v>
      </c>
      <c r="CI32" s="553">
        <f t="shared" ref="CI32" si="282">BC32</f>
        <v>147.80723243503994</v>
      </c>
      <c r="CJ32" s="553">
        <f t="shared" ref="CJ32" si="283">BD32</f>
        <v>149.22934093399832</v>
      </c>
      <c r="CK32" s="553">
        <f t="shared" ref="CK32" si="284">BE32</f>
        <v>150.56345100846187</v>
      </c>
      <c r="CL32" s="553">
        <f t="shared" ref="CL32" si="285">BF32</f>
        <v>151.91086948744305</v>
      </c>
      <c r="CM32" s="553">
        <f t="shared" ref="CM32" si="286">BG32</f>
        <v>153.27175561116593</v>
      </c>
      <c r="CN32" s="553">
        <f t="shared" ref="CN32" si="287">BH32</f>
        <v>154.64627095726883</v>
      </c>
      <c r="CO32" s="553">
        <f t="shared" ref="CO32" si="288">BI32</f>
        <v>156.03457948066813</v>
      </c>
      <c r="CP32" s="553">
        <f t="shared" ref="CP32" si="289">BJ32</f>
        <v>157.38557714567159</v>
      </c>
      <c r="CQ32" s="553">
        <f t="shared" ref="CQ32" si="290">BK32</f>
        <v>158.74986566469005</v>
      </c>
      <c r="CR32" s="553">
        <f t="shared" ref="CR32" si="291">BL32</f>
        <v>160.12760610855167</v>
      </c>
      <c r="CS32" s="553">
        <f t="shared" ref="CS32" si="292">BM32</f>
        <v>161.51896198049872</v>
      </c>
      <c r="CT32" s="553">
        <f t="shared" ref="CT32" si="293">BN32</f>
        <v>162.92409925871709</v>
      </c>
    </row>
    <row r="33" spans="1:98">
      <c r="A33" s="1" t="s">
        <v>137</v>
      </c>
      <c r="C33" s="54" t="str">
        <f>'Yearly HC Propylene'!C71</f>
        <v>m Tons</v>
      </c>
      <c r="D33" s="44">
        <f>'Yearly HC Propylene'!D71</f>
        <v>111.92303671583133</v>
      </c>
      <c r="E33" s="44">
        <f>'Yearly HC Propylene'!E71</f>
        <v>113.64196446989192</v>
      </c>
      <c r="F33" s="44">
        <f>'Yearly HC Propylene'!F71</f>
        <v>115.38389072131314</v>
      </c>
      <c r="G33" s="44">
        <f>'Yearly HC Propylene'!G71</f>
        <v>117.15215390364308</v>
      </c>
      <c r="H33" s="44">
        <f>'Yearly HC Propylene'!H71</f>
        <v>118.95039441201551</v>
      </c>
      <c r="I33" s="44">
        <f>'Yearly HC Propylene'!I71</f>
        <v>120.78247498542375</v>
      </c>
      <c r="J33" s="44">
        <f>'Yearly HC Propylene'!J71</f>
        <v>122.41368691031204</v>
      </c>
      <c r="K33" s="44">
        <f>'Yearly HC Propylene'!K71</f>
        <v>124.05601397108511</v>
      </c>
      <c r="L33" s="44">
        <f>'Yearly HC Propylene'!L71</f>
        <v>125.70803418227891</v>
      </c>
      <c r="M33" s="44">
        <f>'Yearly HC Propylene'!M71</f>
        <v>127.36688101168392</v>
      </c>
      <c r="N33" s="44">
        <f>'Yearly HC Propylene'!N71</f>
        <v>129.02709250033351</v>
      </c>
      <c r="O33" s="44">
        <f>'Yearly HC Propylene'!O71</f>
        <v>129.090521388935</v>
      </c>
      <c r="P33" s="44">
        <f>'Yearly HC Propylene'!P71</f>
        <v>129.10315557952816</v>
      </c>
      <c r="Q33" s="44">
        <f>'Yearly HC Propylene'!Q71</f>
        <v>129.05449695425307</v>
      </c>
      <c r="R33" s="44">
        <f>'Yearly HC Propylene'!R71</f>
        <v>128.94326232634739</v>
      </c>
      <c r="S33" s="44">
        <f>'Yearly HC Propylene'!S71</f>
        <v>128.77199832796043</v>
      </c>
      <c r="T33" s="44">
        <f>'Yearly HC Propylene'!T71</f>
        <v>128.46306568640586</v>
      </c>
      <c r="U33" s="44">
        <f>'Yearly HC Propylene'!U71</f>
        <v>128.0867546175169</v>
      </c>
      <c r="V33" s="44">
        <f>'Yearly HC Propylene'!V71</f>
        <v>127.66455323045726</v>
      </c>
      <c r="W33" s="44">
        <f>'Yearly HC Propylene'!W71</f>
        <v>127.21742363217855</v>
      </c>
      <c r="X33" s="44">
        <f>'Yearly HC Propylene'!X71</f>
        <v>126.76059541110946</v>
      </c>
      <c r="Y33" s="44">
        <f>'Yearly HC Propylene'!Y71</f>
        <v>125.53910108058149</v>
      </c>
      <c r="Z33" s="44">
        <f>'Yearly HC Propylene'!Z71</f>
        <v>124.30143272479521</v>
      </c>
      <c r="AA33" s="44">
        <f>'Yearly HC Propylene'!AA71</f>
        <v>123.02411085910657</v>
      </c>
      <c r="AB33" s="44">
        <f>'Yearly HC Propylene'!AB71</f>
        <v>121.7080550370078</v>
      </c>
      <c r="AC33" s="44">
        <f>'Yearly HC Propylene'!AC71</f>
        <v>120.33948378760874</v>
      </c>
      <c r="AD33" s="44">
        <f>'Yearly HC Propylene'!AD71</f>
        <v>118.8522022388705</v>
      </c>
      <c r="AE33" s="44">
        <f>'Yearly HC Propylene'!AE71</f>
        <v>117.28339608142041</v>
      </c>
      <c r="AF33" s="44">
        <f>'Yearly HC Propylene'!AF71</f>
        <v>115.62480438666644</v>
      </c>
      <c r="AG33" s="44">
        <f>'Yearly HC Propylene'!AG71</f>
        <v>113.76663361569781</v>
      </c>
      <c r="AH33" s="44">
        <f>'Yearly HC Propylene'!AH71</f>
        <v>111.5645356642359</v>
      </c>
      <c r="AI33" s="44"/>
      <c r="AJ33" s="44">
        <f>'Yearly LC Propylene'!D71</f>
        <v>111.92305681945412</v>
      </c>
      <c r="AK33" s="44">
        <f>'Yearly LC Propylene'!E71</f>
        <v>113.62407369664734</v>
      </c>
      <c r="AL33" s="44">
        <f>'Yearly LC Propylene'!F71</f>
        <v>115.34750586185724</v>
      </c>
      <c r="AM33" s="44">
        <f>'Yearly LC Propylene'!G71</f>
        <v>117.09670537929131</v>
      </c>
      <c r="AN33" s="44">
        <f>'Yearly LC Propylene'!H71</f>
        <v>118.87535672172929</v>
      </c>
      <c r="AO33" s="44">
        <f>'Yearly LC Propylene'!I71</f>
        <v>120.6874277977239</v>
      </c>
      <c r="AP33" s="44">
        <f>'Yearly LC Propylene'!J71</f>
        <v>122.298438333863</v>
      </c>
      <c r="AQ33" s="44">
        <f>'Yearly LC Propylene'!K71</f>
        <v>123.92083436907224</v>
      </c>
      <c r="AR33" s="44">
        <f>'Yearly LC Propylene'!L71</f>
        <v>125.5540874639107</v>
      </c>
      <c r="AS33" s="44">
        <f>'Yearly LC Propylene'!M71</f>
        <v>127.19697499956668</v>
      </c>
      <c r="AT33" s="44">
        <f>'Yearly LC Propylene'!N71</f>
        <v>128.84700609900904</v>
      </c>
      <c r="AU33" s="44">
        <f>'Yearly LC Propylene'!O71</f>
        <v>128.90888680913184</v>
      </c>
      <c r="AV33" s="44">
        <f>'Yearly LC Propylene'!P71</f>
        <v>128.93471619615278</v>
      </c>
      <c r="AW33" s="44">
        <f>'Yearly LC Propylene'!Q71</f>
        <v>128.92006502684089</v>
      </c>
      <c r="AX33" s="44">
        <f>'Yearly LC Propylene'!R71</f>
        <v>128.86884942065262</v>
      </c>
      <c r="AY33" s="44">
        <f>'Yearly LC Propylene'!S71</f>
        <v>128.78558854574524</v>
      </c>
      <c r="AZ33" s="44">
        <f>'Yearly LC Propylene'!T71</f>
        <v>128.58988537839141</v>
      </c>
      <c r="BA33" s="44">
        <f>'Yearly LC Propylene'!U71</f>
        <v>128.34410709768545</v>
      </c>
      <c r="BB33" s="44">
        <f>'Yearly LC Propylene'!V71</f>
        <v>128.05877896854176</v>
      </c>
      <c r="BC33" s="44">
        <f>'Yearly LC Propylene'!W71</f>
        <v>127.74416097864031</v>
      </c>
      <c r="BD33" s="44">
        <f>'Yearly LC Propylene'!X71</f>
        <v>127.40764888223029</v>
      </c>
      <c r="BE33" s="44">
        <f>'Yearly LC Propylene'!Y71</f>
        <v>126.32249969980735</v>
      </c>
      <c r="BF33" s="44">
        <f>'Yearly LC Propylene'!Z71</f>
        <v>125.19806795932367</v>
      </c>
      <c r="BG33" s="44">
        <f>'Yearly LC Propylene'!AA71</f>
        <v>124.01488283096457</v>
      </c>
      <c r="BH33" s="44">
        <f>'Yearly LC Propylene'!AB71</f>
        <v>122.77911578454673</v>
      </c>
      <c r="BI33" s="44">
        <f>'Yearly LC Propylene'!AC71</f>
        <v>121.48350929815911</v>
      </c>
      <c r="BJ33" s="44">
        <f>'Yearly LC Propylene'!AD71</f>
        <v>120.06880598495566</v>
      </c>
      <c r="BK33" s="44">
        <f>'Yearly LC Propylene'!AE71</f>
        <v>118.57847768069523</v>
      </c>
      <c r="BL33" s="44">
        <f>'Yearly LC Propylene'!AF71</f>
        <v>117.00808229547486</v>
      </c>
      <c r="BM33" s="44">
        <f>'Yearly LC Propylene'!AG71</f>
        <v>115.28965331870435</v>
      </c>
      <c r="BN33" s="44">
        <f>'Yearly LC Propylene'!AH71</f>
        <v>113.37363749187909</v>
      </c>
      <c r="BO33" s="44"/>
      <c r="BP33" s="44">
        <f>'Yearly HC Propylene'!D4+'Yearly HC Propylene'!D41</f>
        <v>111.92307692307692</v>
      </c>
      <c r="BQ33" s="44">
        <f>'Yearly HC Propylene'!E4+'Yearly HC Propylene'!E41</f>
        <v>114.17696757491626</v>
      </c>
      <c r="BR33" s="44">
        <f>'Yearly HC Propylene'!F4+'Yearly HC Propylene'!F41</f>
        <v>116.47603314311496</v>
      </c>
      <c r="BS33" s="44">
        <f>'Yearly HC Propylene'!G4+'Yearly HC Propylene'!G41</f>
        <v>118.82117580625838</v>
      </c>
      <c r="BT33" s="44">
        <f>'Yearly HC Propylene'!H4+'Yearly HC Propylene'!H41</f>
        <v>121.21331571035434</v>
      </c>
      <c r="BU33" s="44">
        <f>'Yearly HC Propylene'!I4+'Yearly HC Propylene'!I41</f>
        <v>123.65339132591019</v>
      </c>
      <c r="BV33" s="44">
        <f>'Yearly HC Propylene'!J4+'Yearly HC Propylene'!J41</f>
        <v>125.92164108635201</v>
      </c>
      <c r="BW33" s="44">
        <f>'Yearly HC Propylene'!K4+'Yearly HC Propylene'!K41</f>
        <v>128.23140639385144</v>
      </c>
      <c r="BX33" s="44">
        <f>'Yearly HC Propylene'!L4+'Yearly HC Propylene'!L41</f>
        <v>130.58344561264067</v>
      </c>
      <c r="BY33" s="44">
        <f>'Yearly HC Propylene'!M4+'Yearly HC Propylene'!M41</f>
        <v>132.97853093588918</v>
      </c>
      <c r="BZ33" s="44">
        <f>'Yearly HC Propylene'!N4+'Yearly HC Propylene'!N41</f>
        <v>135.41744863748744</v>
      </c>
      <c r="CA33" s="44">
        <f>'Yearly HC Propylene'!O4+'Yearly HC Propylene'!O41</f>
        <v>136.75815630531591</v>
      </c>
      <c r="CB33" s="44">
        <f>'Yearly HC Propylene'!P4+'Yearly HC Propylene'!P41</f>
        <v>138.11375394832734</v>
      </c>
      <c r="CC33" s="44">
        <f>'Yearly HC Propylene'!Q4+'Yearly HC Propylene'!Q41</f>
        <v>139.48443711522134</v>
      </c>
      <c r="CD33" s="44">
        <f>'Yearly HC Propylene'!R4+'Yearly HC Propylene'!R41</f>
        <v>140.87040439802951</v>
      </c>
      <c r="CE33" s="44">
        <f>'Yearly HC Propylene'!S4+'Yearly HC Propylene'!S41</f>
        <v>142.2718574854205</v>
      </c>
      <c r="CF33" s="44">
        <f>'Yearly HC Propylene'!T4+'Yearly HC Propylene'!T41</f>
        <v>143.63314482306015</v>
      </c>
      <c r="CG33" s="44">
        <f>'Yearly HC Propylene'!U4+'Yearly HC Propylene'!U41</f>
        <v>145.00933720081875</v>
      </c>
      <c r="CH33" s="44">
        <f>'Yearly HC Propylene'!V4+'Yearly HC Propylene'!V41</f>
        <v>146.40063266762081</v>
      </c>
      <c r="CI33" s="44">
        <f>'Yearly HC Propylene'!W4+'Yearly HC Propylene'!W41</f>
        <v>147.80723243503994</v>
      </c>
      <c r="CJ33" s="44">
        <f>'Yearly HC Propylene'!X4+'Yearly HC Propylene'!X41</f>
        <v>149.22934093399832</v>
      </c>
      <c r="CK33" s="44">
        <f>'Yearly HC Propylene'!Y4+'Yearly HC Propylene'!Y41</f>
        <v>150.56345100846187</v>
      </c>
      <c r="CL33" s="44">
        <f>'Yearly HC Propylene'!Z4+'Yearly HC Propylene'!Z41</f>
        <v>151.91086948744305</v>
      </c>
      <c r="CM33" s="44">
        <f>'Yearly HC Propylene'!AA4+'Yearly HC Propylene'!AA41</f>
        <v>153.27175561116593</v>
      </c>
      <c r="CN33" s="44">
        <f>'Yearly HC Propylene'!AB4+'Yearly HC Propylene'!AB41</f>
        <v>154.64627095726883</v>
      </c>
      <c r="CO33" s="44">
        <f>'Yearly HC Propylene'!AC4+'Yearly HC Propylene'!AC41</f>
        <v>156.03457948066813</v>
      </c>
      <c r="CP33" s="44">
        <f>'Yearly HC Propylene'!AD4+'Yearly HC Propylene'!AD41</f>
        <v>157.38557714567159</v>
      </c>
      <c r="CQ33" s="44">
        <f>'Yearly HC Propylene'!AE4+'Yearly HC Propylene'!AE41</f>
        <v>158.74986566469005</v>
      </c>
      <c r="CR33" s="44">
        <f>'Yearly HC Propylene'!AF4+'Yearly HC Propylene'!AF41</f>
        <v>160.12760610855167</v>
      </c>
      <c r="CS33" s="44">
        <f>'Yearly HC Propylene'!AG4+'Yearly HC Propylene'!AG41</f>
        <v>161.51896198049872</v>
      </c>
      <c r="CT33" s="44">
        <f>'Yearly HC Propylene'!AH4+'Yearly HC Propylene'!AH41</f>
        <v>162.92409925871709</v>
      </c>
    </row>
    <row r="34" spans="1:98">
      <c r="A34" s="1" t="s">
        <v>119</v>
      </c>
      <c r="C34" s="54" t="str">
        <f>'Yearly HC Propylene'!C72</f>
        <v>m Tons</v>
      </c>
      <c r="D34" s="44">
        <f>'Yearly HC Propylene'!D72</f>
        <v>9.9134783941819578</v>
      </c>
      <c r="E34" s="44">
        <f>'Yearly HC Propylene'!E72</f>
        <v>10.758641373449692</v>
      </c>
      <c r="F34" s="44">
        <f>'Yearly HC Propylene'!F72</f>
        <v>11.614396811232885</v>
      </c>
      <c r="G34" s="44">
        <f>'Yearly HC Propylene'!G72</f>
        <v>12.475259905069557</v>
      </c>
      <c r="H34" s="44">
        <f>'Yearly HC Propylene'!H72</f>
        <v>13.335398940664007</v>
      </c>
      <c r="I34" s="44">
        <f>'Yearly HC Propylene'!I72</f>
        <v>14.188635891959731</v>
      </c>
      <c r="J34" s="44">
        <f>'Yearly HC Propylene'!J72</f>
        <v>15.060820468887638</v>
      </c>
      <c r="K34" s="44">
        <f>'Yearly HC Propylene'!K72</f>
        <v>15.950329349900159</v>
      </c>
      <c r="L34" s="44">
        <f>'Yearly HC Propylene'!L72</f>
        <v>16.854616161541347</v>
      </c>
      <c r="M34" s="44">
        <f>'Yearly HC Propylene'!M72</f>
        <v>17.769573436468637</v>
      </c>
      <c r="N34" s="44">
        <f>'Yearly HC Propylene'!N72</f>
        <v>18.68837930969244</v>
      </c>
      <c r="O34" s="44">
        <f>'Yearly HC Propylene'!O72</f>
        <v>19.108971812613266</v>
      </c>
      <c r="P34" s="44">
        <f>'Yearly HC Propylene'!P72</f>
        <v>19.45586951103806</v>
      </c>
      <c r="Q34" s="44">
        <f>'Yearly HC Propylene'!Q72</f>
        <v>19.717672226665417</v>
      </c>
      <c r="R34" s="44">
        <f>'Yearly HC Propylene'!R72</f>
        <v>19.876932213441926</v>
      </c>
      <c r="S34" s="44">
        <f>'Yearly HC Propylene'!S72</f>
        <v>19.927067504535845</v>
      </c>
      <c r="T34" s="44">
        <f>'Yearly HC Propylene'!T72</f>
        <v>19.908889262445978</v>
      </c>
      <c r="U34" s="44">
        <f>'Yearly HC Propylene'!U72</f>
        <v>19.837529828107659</v>
      </c>
      <c r="V34" s="44">
        <f>'Yearly HC Propylene'!V72</f>
        <v>19.73417518895878</v>
      </c>
      <c r="W34" s="44">
        <f>'Yearly HC Propylene'!W72</f>
        <v>19.619464967919942</v>
      </c>
      <c r="X34" s="44">
        <f>'Yearly HC Propylene'!X72</f>
        <v>19.508285648733839</v>
      </c>
      <c r="Y34" s="44">
        <f>'Yearly HC Propylene'!Y72</f>
        <v>18.749555890938574</v>
      </c>
      <c r="Z34" s="44">
        <f>'Yearly HC Propylene'!Z72</f>
        <v>17.990348065714926</v>
      </c>
      <c r="AA34" s="44">
        <f>'Yearly HC Propylene'!AA72</f>
        <v>17.224598132459356</v>
      </c>
      <c r="AB34" s="44">
        <f>'Yearly HC Propylene'!AB72</f>
        <v>16.436483040505035</v>
      </c>
      <c r="AC34" s="44">
        <f>'Yearly HC Propylene'!AC72</f>
        <v>15.611924331048844</v>
      </c>
      <c r="AD34" s="44">
        <f>'Yearly HC Propylene'!AD72</f>
        <v>14.736230660345537</v>
      </c>
      <c r="AE34" s="44">
        <f>'Yearly HC Propylene'!AE72</f>
        <v>13.795876682027629</v>
      </c>
      <c r="AF34" s="44">
        <f>'Yearly HC Propylene'!AF72</f>
        <v>12.782315835798055</v>
      </c>
      <c r="AG34" s="44">
        <f>'Yearly HC Propylene'!AG72</f>
        <v>12.123396792182071</v>
      </c>
      <c r="AH34" s="44">
        <f>'Yearly HC Propylene'!AH72</f>
        <v>12.21683700711101</v>
      </c>
      <c r="AI34" s="44"/>
      <c r="AJ34" s="44">
        <f>'Yearly LC Propylene'!D72</f>
        <v>9.9134984978047527</v>
      </c>
      <c r="AK34" s="44">
        <f>'Yearly LC Propylene'!E72</f>
        <v>10.758684902091741</v>
      </c>
      <c r="AL34" s="44">
        <f>'Yearly LC Propylene'!F72</f>
        <v>11.614490321814387</v>
      </c>
      <c r="AM34" s="44">
        <f>'Yearly LC Propylene'!G72</f>
        <v>12.475459134209812</v>
      </c>
      <c r="AN34" s="44">
        <f>'Yearly LC Propylene'!H72</f>
        <v>13.335819604112976</v>
      </c>
      <c r="AO34" s="44">
        <f>'Yearly LC Propylene'!I72</f>
        <v>14.189515136445753</v>
      </c>
      <c r="AP34" s="44">
        <f>'Yearly LC Propylene'!J72</f>
        <v>15.062640510278248</v>
      </c>
      <c r="AQ34" s="44">
        <f>'Yearly LC Propylene'!K72</f>
        <v>15.954051662954013</v>
      </c>
      <c r="AR34" s="44">
        <f>'Yearly LC Propylene'!L72</f>
        <v>16.862113154742119</v>
      </c>
      <c r="AS34" s="44">
        <f>'Yearly LC Propylene'!M72</f>
        <v>17.784379210850247</v>
      </c>
      <c r="AT34" s="44">
        <f>'Yearly LC Propylene'!N72</f>
        <v>18.717017227111704</v>
      </c>
      <c r="AU34" s="44">
        <f>'Yearly LC Propylene'!O72</f>
        <v>19.160837128188707</v>
      </c>
      <c r="AV34" s="44">
        <f>'Yearly LC Propylene'!P72</f>
        <v>19.546487647953601</v>
      </c>
      <c r="AW34" s="44">
        <f>'Yearly LC Propylene'!Q72</f>
        <v>19.864700469035679</v>
      </c>
      <c r="AX34" s="44">
        <f>'Yearly LC Propylene'!R72</f>
        <v>20.10683052711148</v>
      </c>
      <c r="AY34" s="44">
        <f>'Yearly LC Propylene'!S72</f>
        <v>20.268300354602246</v>
      </c>
      <c r="AZ34" s="44">
        <f>'Yearly LC Propylene'!T72</f>
        <v>20.387167368356273</v>
      </c>
      <c r="BA34" s="44">
        <f>'Yearly LC Propylene'!U72</f>
        <v>20.470652503463818</v>
      </c>
      <c r="BB34" s="44">
        <f>'Yearly LC Propylene'!V72</f>
        <v>20.528991065929088</v>
      </c>
      <c r="BC34" s="44">
        <f>'Yearly LC Propylene'!W72</f>
        <v>20.572133273762791</v>
      </c>
      <c r="BD34" s="44">
        <f>'Yearly LC Propylene'!X72</f>
        <v>20.607145062381637</v>
      </c>
      <c r="BE34" s="44">
        <f>'Yearly LC Propylene'!Y72</f>
        <v>19.935808372210953</v>
      </c>
      <c r="BF34" s="44">
        <f>'Yearly LC Propylene'!Z72</f>
        <v>19.238884082957398</v>
      </c>
      <c r="BG34" s="44">
        <f>'Yearly LC Propylene'!AA72</f>
        <v>18.514266302393427</v>
      </c>
      <c r="BH34" s="44">
        <f>'Yearly LC Propylene'!AB72</f>
        <v>17.751332531901312</v>
      </c>
      <c r="BI34" s="44">
        <f>'Yearly LC Propylene'!AC72</f>
        <v>16.942476028501336</v>
      </c>
      <c r="BJ34" s="44">
        <f>'Yearly LC Propylene'!AD72</f>
        <v>16.079888954024842</v>
      </c>
      <c r="BK34" s="44">
        <f>'Yearly LC Propylene'!AE72</f>
        <v>15.156277821058803</v>
      </c>
      <c r="BL34" s="44">
        <f>'Yearly LC Propylene'!AF72</f>
        <v>14.16685968934819</v>
      </c>
      <c r="BM34" s="44">
        <f>'Yearly LC Propylene'!AG72</f>
        <v>13.704764856129492</v>
      </c>
      <c r="BN34" s="44">
        <f>'Yearly LC Propylene'!AH72</f>
        <v>14.026569826394839</v>
      </c>
      <c r="BO34" s="44"/>
      <c r="BP34" s="44">
        <f>'Yearly LC Propylene'!AJ72</f>
        <v>0</v>
      </c>
      <c r="BQ34" s="44">
        <f>'Yearly LC Propylene'!AK72</f>
        <v>0</v>
      </c>
      <c r="BR34" s="44">
        <f>'Yearly LC Propylene'!AL72</f>
        <v>0</v>
      </c>
      <c r="BS34" s="44">
        <f>'Yearly LC Propylene'!AM72</f>
        <v>0</v>
      </c>
      <c r="BT34" s="44">
        <f>'Yearly LC Propylene'!AN72</f>
        <v>0</v>
      </c>
      <c r="BU34" s="44">
        <f>'Yearly LC Propylene'!AO72</f>
        <v>0</v>
      </c>
      <c r="BV34" s="44">
        <f>'Yearly LC Propylene'!AP72</f>
        <v>0</v>
      </c>
      <c r="BW34" s="44">
        <f>'Yearly LC Propylene'!AQ72</f>
        <v>0</v>
      </c>
      <c r="BX34" s="44">
        <f>'Yearly LC Propylene'!AR72</f>
        <v>0</v>
      </c>
      <c r="BY34" s="44">
        <f>'Yearly LC Propylene'!AS72</f>
        <v>0</v>
      </c>
      <c r="BZ34" s="44">
        <f>'Yearly LC Propylene'!AT72</f>
        <v>0</v>
      </c>
      <c r="CA34" s="44">
        <f>'Yearly LC Propylene'!AU72</f>
        <v>0</v>
      </c>
      <c r="CB34" s="44">
        <f>'Yearly LC Propylene'!AV72</f>
        <v>0</v>
      </c>
      <c r="CC34" s="44">
        <f>'Yearly LC Propylene'!AW72</f>
        <v>0</v>
      </c>
      <c r="CD34" s="44">
        <f>'Yearly LC Propylene'!AX72</f>
        <v>0</v>
      </c>
      <c r="CE34" s="44">
        <f>'Yearly LC Propylene'!AY72</f>
        <v>0</v>
      </c>
      <c r="CF34" s="44">
        <f>'Yearly LC Propylene'!AZ72</f>
        <v>0</v>
      </c>
      <c r="CG34" s="44">
        <f>'Yearly LC Propylene'!BA72</f>
        <v>0</v>
      </c>
      <c r="CH34" s="44">
        <f>'Yearly LC Propylene'!BB72</f>
        <v>0</v>
      </c>
      <c r="CI34" s="44">
        <f>'Yearly LC Propylene'!BC72</f>
        <v>0</v>
      </c>
      <c r="CJ34" s="44">
        <f>'Yearly LC Propylene'!BD72</f>
        <v>0</v>
      </c>
      <c r="CK34" s="44">
        <f>'Yearly LC Propylene'!BE72</f>
        <v>0</v>
      </c>
      <c r="CL34" s="44">
        <f>'Yearly LC Propylene'!BF72</f>
        <v>0</v>
      </c>
      <c r="CM34" s="44">
        <f>'Yearly LC Propylene'!BG72</f>
        <v>0</v>
      </c>
      <c r="CN34" s="44">
        <f>'Yearly LC Propylene'!BH72</f>
        <v>0</v>
      </c>
      <c r="CO34" s="44">
        <f>'Yearly LC Propylene'!BI72</f>
        <v>0</v>
      </c>
      <c r="CP34" s="44">
        <f>'Yearly LC Propylene'!BJ72</f>
        <v>0</v>
      </c>
      <c r="CQ34" s="44">
        <f>'Yearly LC Propylene'!BK72</f>
        <v>0</v>
      </c>
      <c r="CR34" s="44">
        <f>'Yearly LC Propylene'!BL72</f>
        <v>0</v>
      </c>
      <c r="CS34" s="44">
        <f>'Yearly LC Propylene'!BM72</f>
        <v>0</v>
      </c>
      <c r="CT34" s="44">
        <f>'Yearly LC Propylene'!BN72</f>
        <v>0</v>
      </c>
    </row>
    <row r="35" spans="1:98">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row>
    <row r="36" spans="1:98" s="52" customFormat="1" ht="16" thickBot="1">
      <c r="A36" s="52" t="s">
        <v>6</v>
      </c>
      <c r="C36" s="635"/>
      <c r="D36" s="636"/>
      <c r="E36" s="636"/>
      <c r="F36" s="636"/>
      <c r="G36" s="636"/>
      <c r="H36" s="636"/>
      <c r="I36" s="636"/>
      <c r="J36" s="636"/>
      <c r="K36" s="636"/>
      <c r="L36" s="636"/>
      <c r="M36" s="636"/>
      <c r="N36" s="636"/>
      <c r="O36" s="636"/>
      <c r="P36" s="636"/>
      <c r="Q36" s="636"/>
      <c r="R36" s="636"/>
      <c r="S36" s="636"/>
      <c r="T36" s="636"/>
      <c r="U36" s="636"/>
      <c r="V36" s="636"/>
      <c r="W36" s="636"/>
      <c r="X36" s="636"/>
      <c r="Y36" s="636"/>
      <c r="Z36" s="636"/>
      <c r="AA36" s="636"/>
      <c r="AB36" s="636"/>
      <c r="AC36" s="636"/>
      <c r="AD36" s="636"/>
      <c r="AE36" s="636"/>
      <c r="AF36" s="636"/>
      <c r="AG36" s="636"/>
      <c r="AH36" s="636"/>
      <c r="AI36" s="636"/>
      <c r="AJ36" s="636"/>
      <c r="AK36" s="636"/>
      <c r="AL36" s="636"/>
      <c r="AM36" s="636"/>
      <c r="AN36" s="636"/>
      <c r="AO36" s="636"/>
      <c r="AP36" s="636"/>
      <c r="AQ36" s="636"/>
      <c r="AR36" s="636"/>
      <c r="AS36" s="636"/>
      <c r="AT36" s="636"/>
      <c r="AU36" s="636"/>
      <c r="AV36" s="636"/>
      <c r="AW36" s="636"/>
      <c r="AX36" s="636"/>
      <c r="AY36" s="636"/>
      <c r="AZ36" s="636"/>
      <c r="BA36" s="636"/>
      <c r="BB36" s="636"/>
      <c r="BC36" s="636"/>
      <c r="BD36" s="636"/>
      <c r="BE36" s="636"/>
      <c r="BF36" s="636"/>
      <c r="BG36" s="636"/>
      <c r="BH36" s="636"/>
      <c r="BI36" s="636"/>
      <c r="BJ36" s="636"/>
      <c r="BK36" s="636"/>
      <c r="BL36" s="636"/>
      <c r="BM36" s="636"/>
      <c r="BN36" s="636"/>
      <c r="BO36" s="636"/>
      <c r="BP36" s="636"/>
      <c r="BQ36" s="636"/>
      <c r="BR36" s="636"/>
      <c r="BS36" s="636"/>
      <c r="BT36" s="636"/>
      <c r="BU36" s="636"/>
      <c r="BV36" s="636"/>
      <c r="BW36" s="636"/>
      <c r="BX36" s="636"/>
      <c r="BY36" s="636"/>
      <c r="BZ36" s="636"/>
      <c r="CA36" s="636"/>
      <c r="CB36" s="636"/>
      <c r="CC36" s="636"/>
      <c r="CD36" s="636"/>
      <c r="CE36" s="636"/>
      <c r="CF36" s="636"/>
      <c r="CG36" s="636"/>
      <c r="CH36" s="636"/>
      <c r="CI36" s="636"/>
      <c r="CJ36" s="636"/>
      <c r="CK36" s="636"/>
      <c r="CL36" s="636"/>
      <c r="CM36" s="636"/>
      <c r="CN36" s="636"/>
      <c r="CO36" s="636"/>
      <c r="CP36" s="636"/>
      <c r="CQ36" s="636"/>
      <c r="CR36" s="636"/>
      <c r="CS36" s="636"/>
      <c r="CT36" s="636"/>
    </row>
    <row r="37" spans="1:98" s="554" customFormat="1">
      <c r="A37" s="550" t="s">
        <v>138</v>
      </c>
      <c r="B37" s="551"/>
      <c r="C37" s="552" t="str">
        <f>'Yearly Methanol'!C6</f>
        <v>m Tons</v>
      </c>
      <c r="D37" s="553">
        <f>BP38</f>
        <v>70.960266702016895</v>
      </c>
      <c r="E37" s="553">
        <f t="shared" ref="E37:AH37" si="294">BQ38</f>
        <v>75.467856664702907</v>
      </c>
      <c r="F37" s="553">
        <f t="shared" si="294"/>
        <v>79.918986982863856</v>
      </c>
      <c r="G37" s="553">
        <f t="shared" si="294"/>
        <v>84.371373167609406</v>
      </c>
      <c r="H37" s="553">
        <f t="shared" si="294"/>
        <v>88.825106439029184</v>
      </c>
      <c r="I37" s="553">
        <f t="shared" si="294"/>
        <v>93.280286688925557</v>
      </c>
      <c r="J37" s="553">
        <f t="shared" si="294"/>
        <v>97.737023392609771</v>
      </c>
      <c r="K37" s="553">
        <f t="shared" si="294"/>
        <v>102.19543661942507</v>
      </c>
      <c r="L37" s="553">
        <f t="shared" si="294"/>
        <v>106.65565815281919</v>
      </c>
      <c r="M37" s="553">
        <f t="shared" si="294"/>
        <v>111.11783273198854</v>
      </c>
      <c r="N37" s="553">
        <f t="shared" si="294"/>
        <v>115.58211942844707</v>
      </c>
      <c r="O37" s="553">
        <f t="shared" si="294"/>
        <v>117.39193562285953</v>
      </c>
      <c r="P37" s="553">
        <f t="shared" si="294"/>
        <v>119.20514997703128</v>
      </c>
      <c r="Q37" s="553">
        <f t="shared" si="294"/>
        <v>121.02199782578643</v>
      </c>
      <c r="R37" s="553">
        <f t="shared" si="294"/>
        <v>122.84273654532208</v>
      </c>
      <c r="S37" s="553">
        <f t="shared" si="294"/>
        <v>124.66764787408195</v>
      </c>
      <c r="T37" s="553">
        <f t="shared" si="294"/>
        <v>126.29704048654951</v>
      </c>
      <c r="U37" s="553">
        <f t="shared" si="294"/>
        <v>127.93125284792364</v>
      </c>
      <c r="V37" s="553">
        <f t="shared" si="294"/>
        <v>129.57065638076736</v>
      </c>
      <c r="W37" s="553">
        <f t="shared" si="294"/>
        <v>131.21565897819954</v>
      </c>
      <c r="X37" s="553">
        <f t="shared" si="294"/>
        <v>132.86670890207853</v>
      </c>
      <c r="Y37" s="553">
        <f t="shared" si="294"/>
        <v>134.10297944198058</v>
      </c>
      <c r="Z37" s="553">
        <f t="shared" si="294"/>
        <v>135.34560784865073</v>
      </c>
      <c r="AA37" s="553">
        <f t="shared" si="294"/>
        <v>136.59517291583251</v>
      </c>
      <c r="AB37" s="553">
        <f t="shared" si="294"/>
        <v>137.85231376034878</v>
      </c>
      <c r="AC37" s="553">
        <f t="shared" si="294"/>
        <v>139.117736382473</v>
      </c>
      <c r="AD37" s="553">
        <f t="shared" si="294"/>
        <v>140.39222095169944</v>
      </c>
      <c r="AE37" s="553">
        <f t="shared" si="294"/>
        <v>141.67662989908584</v>
      </c>
      <c r="AF37" s="553">
        <f t="shared" si="294"/>
        <v>142.97191690653815</v>
      </c>
      <c r="AG37" s="553">
        <f t="shared" si="294"/>
        <v>144.27913689365624</v>
      </c>
      <c r="AH37" s="553">
        <f t="shared" si="294"/>
        <v>145.59945711418746</v>
      </c>
      <c r="AI37" s="553"/>
      <c r="AJ37" s="553">
        <f>D37</f>
        <v>70.960266702016895</v>
      </c>
      <c r="AK37" s="553">
        <f t="shared" ref="AK37:BN37" si="295">E37</f>
        <v>75.467856664702907</v>
      </c>
      <c r="AL37" s="553">
        <f t="shared" si="295"/>
        <v>79.918986982863856</v>
      </c>
      <c r="AM37" s="553">
        <f t="shared" si="295"/>
        <v>84.371373167609406</v>
      </c>
      <c r="AN37" s="553">
        <f t="shared" si="295"/>
        <v>88.825106439029184</v>
      </c>
      <c r="AO37" s="553">
        <f t="shared" si="295"/>
        <v>93.280286688925557</v>
      </c>
      <c r="AP37" s="553">
        <f t="shared" si="295"/>
        <v>97.737023392609771</v>
      </c>
      <c r="AQ37" s="553">
        <f t="shared" si="295"/>
        <v>102.19543661942507</v>
      </c>
      <c r="AR37" s="553">
        <f t="shared" si="295"/>
        <v>106.65565815281919</v>
      </c>
      <c r="AS37" s="553">
        <f t="shared" si="295"/>
        <v>111.11783273198854</v>
      </c>
      <c r="AT37" s="553">
        <f t="shared" si="295"/>
        <v>115.58211942844707</v>
      </c>
      <c r="AU37" s="553">
        <f t="shared" si="295"/>
        <v>117.39193562285953</v>
      </c>
      <c r="AV37" s="553">
        <f t="shared" si="295"/>
        <v>119.20514997703128</v>
      </c>
      <c r="AW37" s="553">
        <f t="shared" si="295"/>
        <v>121.02199782578643</v>
      </c>
      <c r="AX37" s="553">
        <f t="shared" si="295"/>
        <v>122.84273654532208</v>
      </c>
      <c r="AY37" s="553">
        <f t="shared" si="295"/>
        <v>124.66764787408195</v>
      </c>
      <c r="AZ37" s="553">
        <f t="shared" si="295"/>
        <v>126.29704048654951</v>
      </c>
      <c r="BA37" s="553">
        <f t="shared" si="295"/>
        <v>127.93125284792364</v>
      </c>
      <c r="BB37" s="553">
        <f t="shared" si="295"/>
        <v>129.57065638076736</v>
      </c>
      <c r="BC37" s="553">
        <f t="shared" si="295"/>
        <v>131.21565897819954</v>
      </c>
      <c r="BD37" s="553">
        <f t="shared" si="295"/>
        <v>132.86670890207853</v>
      </c>
      <c r="BE37" s="553">
        <f t="shared" si="295"/>
        <v>134.10297944198058</v>
      </c>
      <c r="BF37" s="553">
        <f t="shared" si="295"/>
        <v>135.34560784865073</v>
      </c>
      <c r="BG37" s="553">
        <f t="shared" si="295"/>
        <v>136.59517291583251</v>
      </c>
      <c r="BH37" s="553">
        <f t="shared" si="295"/>
        <v>137.85231376034878</v>
      </c>
      <c r="BI37" s="553">
        <f t="shared" si="295"/>
        <v>139.117736382473</v>
      </c>
      <c r="BJ37" s="553">
        <f t="shared" si="295"/>
        <v>140.39222095169944</v>
      </c>
      <c r="BK37" s="553">
        <f t="shared" si="295"/>
        <v>141.67662989908584</v>
      </c>
      <c r="BL37" s="553">
        <f t="shared" si="295"/>
        <v>142.97191690653815</v>
      </c>
      <c r="BM37" s="553">
        <f t="shared" si="295"/>
        <v>144.27913689365624</v>
      </c>
      <c r="BN37" s="553">
        <f t="shared" si="295"/>
        <v>145.59945711418746</v>
      </c>
      <c r="BO37" s="553"/>
      <c r="BP37" s="553">
        <f>AJ37</f>
        <v>70.960266702016895</v>
      </c>
      <c r="BQ37" s="553">
        <f t="shared" ref="BQ37:CT37" si="296">AK37</f>
        <v>75.467856664702907</v>
      </c>
      <c r="BR37" s="553">
        <f t="shared" si="296"/>
        <v>79.918986982863856</v>
      </c>
      <c r="BS37" s="553">
        <f t="shared" si="296"/>
        <v>84.371373167609406</v>
      </c>
      <c r="BT37" s="553">
        <f t="shared" si="296"/>
        <v>88.825106439029184</v>
      </c>
      <c r="BU37" s="553">
        <f t="shared" si="296"/>
        <v>93.280286688925557</v>
      </c>
      <c r="BV37" s="553">
        <f t="shared" si="296"/>
        <v>97.737023392609771</v>
      </c>
      <c r="BW37" s="553">
        <f t="shared" si="296"/>
        <v>102.19543661942507</v>
      </c>
      <c r="BX37" s="553">
        <f t="shared" si="296"/>
        <v>106.65565815281919</v>
      </c>
      <c r="BY37" s="553">
        <f t="shared" si="296"/>
        <v>111.11783273198854</v>
      </c>
      <c r="BZ37" s="553">
        <f t="shared" si="296"/>
        <v>115.58211942844707</v>
      </c>
      <c r="CA37" s="553">
        <f t="shared" si="296"/>
        <v>117.39193562285953</v>
      </c>
      <c r="CB37" s="553">
        <f t="shared" si="296"/>
        <v>119.20514997703128</v>
      </c>
      <c r="CC37" s="553">
        <f t="shared" si="296"/>
        <v>121.02199782578643</v>
      </c>
      <c r="CD37" s="553">
        <f t="shared" si="296"/>
        <v>122.84273654532208</v>
      </c>
      <c r="CE37" s="553">
        <f t="shared" si="296"/>
        <v>124.66764787408195</v>
      </c>
      <c r="CF37" s="553">
        <f t="shared" si="296"/>
        <v>126.29704048654951</v>
      </c>
      <c r="CG37" s="553">
        <f t="shared" si="296"/>
        <v>127.93125284792364</v>
      </c>
      <c r="CH37" s="553">
        <f t="shared" si="296"/>
        <v>129.57065638076736</v>
      </c>
      <c r="CI37" s="553">
        <f t="shared" si="296"/>
        <v>131.21565897819954</v>
      </c>
      <c r="CJ37" s="553">
        <f t="shared" si="296"/>
        <v>132.86670890207853</v>
      </c>
      <c r="CK37" s="553">
        <f t="shared" si="296"/>
        <v>134.10297944198058</v>
      </c>
      <c r="CL37" s="553">
        <f t="shared" si="296"/>
        <v>135.34560784865073</v>
      </c>
      <c r="CM37" s="553">
        <f t="shared" si="296"/>
        <v>136.59517291583251</v>
      </c>
      <c r="CN37" s="553">
        <f t="shared" si="296"/>
        <v>137.85231376034878</v>
      </c>
      <c r="CO37" s="553">
        <f t="shared" si="296"/>
        <v>139.117736382473</v>
      </c>
      <c r="CP37" s="553">
        <f t="shared" si="296"/>
        <v>140.39222095169944</v>
      </c>
      <c r="CQ37" s="553">
        <f t="shared" si="296"/>
        <v>141.67662989908584</v>
      </c>
      <c r="CR37" s="553">
        <f t="shared" si="296"/>
        <v>142.97191690653815</v>
      </c>
      <c r="CS37" s="553">
        <f t="shared" si="296"/>
        <v>144.27913689365624</v>
      </c>
      <c r="CT37" s="553">
        <f t="shared" si="296"/>
        <v>145.59945711418746</v>
      </c>
    </row>
    <row r="38" spans="1:98">
      <c r="A38" s="1" t="s">
        <v>139</v>
      </c>
      <c r="C38" s="54" t="str">
        <f>'Yearly Methanol'!C122</f>
        <v>m Tons</v>
      </c>
      <c r="D38" s="44">
        <f>'Yearly Methanol'!D122</f>
        <v>70.960262620346811</v>
      </c>
      <c r="E38" s="44">
        <f>'Yearly Methanol'!E122</f>
        <v>74.84724039001334</v>
      </c>
      <c r="F38" s="44">
        <f>'Yearly Methanol'!F122</f>
        <v>78.630939423090709</v>
      </c>
      <c r="G38" s="44">
        <f>'Yearly Methanol'!G122</f>
        <v>82.387168678704796</v>
      </c>
      <c r="H38" s="44">
        <f>'Yearly Methanol'!H122</f>
        <v>86.115411818304551</v>
      </c>
      <c r="I38" s="44">
        <f>'Yearly Methanol'!I122</f>
        <v>89.828279197942209</v>
      </c>
      <c r="J38" s="44">
        <f>'Yearly Methanol'!J122</f>
        <v>93.502551540663276</v>
      </c>
      <c r="K38" s="44">
        <f>'Yearly Methanol'!K122</f>
        <v>97.144802772445786</v>
      </c>
      <c r="L38" s="44">
        <f>'Yearly Methanol'!L122</f>
        <v>100.75383388635034</v>
      </c>
      <c r="M38" s="44">
        <f>'Yearly Methanol'!M122</f>
        <v>104.32821095479754</v>
      </c>
      <c r="N38" s="44">
        <f>'Yearly Methanol'!N122</f>
        <v>107.86609694546067</v>
      </c>
      <c r="O38" s="44">
        <f>'Yearly Methanol'!O122</f>
        <v>107.57725343060815</v>
      </c>
      <c r="P38" s="44">
        <f>'Yearly Methanol'!P122</f>
        <v>107.19892857911458</v>
      </c>
      <c r="Q38" s="44">
        <f>'Yearly Methanol'!Q122</f>
        <v>106.72702898323639</v>
      </c>
      <c r="R38" s="44">
        <f>'Yearly Methanol'!R122</f>
        <v>106.15787170301648</v>
      </c>
      <c r="S38" s="44">
        <f>'Yearly Methanol'!S122</f>
        <v>105.48853763671204</v>
      </c>
      <c r="T38" s="44">
        <f>'Yearly Methanol'!T122</f>
        <v>104.51349420446171</v>
      </c>
      <c r="U38" s="44">
        <f>'Yearly Methanol'!U122</f>
        <v>103.43190529884754</v>
      </c>
      <c r="V38" s="44">
        <f>'Yearly Methanol'!V122</f>
        <v>102.24381547908503</v>
      </c>
      <c r="W38" s="44">
        <f>'Yearly Methanol'!W122</f>
        <v>100.9491899030089</v>
      </c>
      <c r="X38" s="44">
        <f>'Yearly Methanol'!X122</f>
        <v>99.547132232112489</v>
      </c>
      <c r="Y38" s="44">
        <f>'Yearly Methanol'!Y122</f>
        <v>98.451863331189926</v>
      </c>
      <c r="Z38" s="44">
        <f>'Yearly Methanol'!Z122</f>
        <v>97.284784802210709</v>
      </c>
      <c r="AA38" s="44">
        <f>'Yearly Methanol'!AA122</f>
        <v>96.042068477641209</v>
      </c>
      <c r="AB38" s="44">
        <f>'Yearly Methanol'!AB122</f>
        <v>94.720507519449498</v>
      </c>
      <c r="AC38" s="44">
        <f>'Yearly Methanol'!AC122</f>
        <v>93.315878847691025</v>
      </c>
      <c r="AD38" s="44">
        <f>'Yearly Methanol'!AD122</f>
        <v>91.82358082671648</v>
      </c>
      <c r="AE38" s="44">
        <f>'Yearly Methanol'!AE122</f>
        <v>90.238975379288163</v>
      </c>
      <c r="AF38" s="44">
        <f>'Yearly Methanol'!AF122</f>
        <v>88.557913061559674</v>
      </c>
      <c r="AG38" s="44">
        <f>'Yearly Methanol'!AG122</f>
        <v>86.77759356286478</v>
      </c>
      <c r="AH38" s="44">
        <f>'Yearly Methanol'!AH122</f>
        <v>84.897384997644039</v>
      </c>
      <c r="AI38" s="44"/>
      <c r="AJ38" s="44">
        <f>'Yearly Methanol'!AJ122</f>
        <v>70.960264661181853</v>
      </c>
      <c r="AK38" s="44">
        <f>'Yearly Methanol'!AK122</f>
        <v>74.847246520023134</v>
      </c>
      <c r="AL38" s="44">
        <f>'Yearly Methanol'!AL122</f>
        <v>78.63095264141441</v>
      </c>
      <c r="AM38" s="44">
        <f>'Yearly Methanol'!AM122</f>
        <v>82.38719693917794</v>
      </c>
      <c r="AN38" s="44">
        <f>'Yearly Methanol'!AN122</f>
        <v>86.11547168245923</v>
      </c>
      <c r="AO38" s="44">
        <f>'Yearly Methanol'!AO122</f>
        <v>89.828404700536211</v>
      </c>
      <c r="AP38" s="44">
        <f>'Yearly Methanol'!AP122</f>
        <v>93.502812065913716</v>
      </c>
      <c r="AQ38" s="44">
        <f>'Yearly Methanol'!AQ122</f>
        <v>97.145337003467901</v>
      </c>
      <c r="AR38" s="44">
        <f>'Yearly Methanol'!AR122</f>
        <v>100.7549125338379</v>
      </c>
      <c r="AS38" s="44">
        <f>'Yearly Methanol'!AS122</f>
        <v>104.3303461312243</v>
      </c>
      <c r="AT38" s="44">
        <f>'Yearly Methanol'!AT122</f>
        <v>107.8702359218275</v>
      </c>
      <c r="AU38" s="44">
        <f>'Yearly Methanol'!AU122</f>
        <v>107.58477613020855</v>
      </c>
      <c r="AV38" s="44">
        <f>'Yearly Methanol'!AV122</f>
        <v>107.21212371901277</v>
      </c>
      <c r="AW38" s="44">
        <f>'Yearly Methanol'!AW122</f>
        <v>106.74910231736973</v>
      </c>
      <c r="AX38" s="44">
        <f>'Yearly Methanol'!AX122</f>
        <v>106.1928445213653</v>
      </c>
      <c r="AY38" s="44">
        <f>'Yearly Methanol'!AY122</f>
        <v>105.54078958403156</v>
      </c>
      <c r="AZ38" s="44">
        <f>'Yearly Methanol'!AZ122</f>
        <v>104.58707590260325</v>
      </c>
      <c r="BA38" s="44">
        <f>'Yearly Methanol'!BA122</f>
        <v>103.52976851529387</v>
      </c>
      <c r="BB38" s="44">
        <f>'Yearly Methanol'!BB122</f>
        <v>102.36733898145572</v>
      </c>
      <c r="BC38" s="44">
        <f>'Yearly Methanol'!BC122</f>
        <v>101.0981856903411</v>
      </c>
      <c r="BD38" s="44">
        <f>'Yearly Methanol'!BD122</f>
        <v>99.720243310270192</v>
      </c>
      <c r="BE38" s="44">
        <f>'Yearly Methanol'!BE122</f>
        <v>98.641702965661736</v>
      </c>
      <c r="BF38" s="44">
        <f>'Yearly Methanol'!BF122</f>
        <v>97.488255152960605</v>
      </c>
      <c r="BG38" s="44">
        <f>'Yearly Methanol'!BG122</f>
        <v>96.256653582692465</v>
      </c>
      <c r="BH38" s="44">
        <f>'Yearly Methanol'!BH122</f>
        <v>94.944508800276935</v>
      </c>
      <c r="BI38" s="44">
        <f>'Yearly Methanol'!BI122</f>
        <v>93.548669189767196</v>
      </c>
      <c r="BJ38" s="44">
        <f>'Yearly Methanol'!BJ122</f>
        <v>92.065771246816496</v>
      </c>
      <c r="BK38" s="44">
        <f>'Yearly Methanol'!BK122</f>
        <v>90.492449723041588</v>
      </c>
      <c r="BL38" s="44">
        <f>'Yearly Methanol'!BL122</f>
        <v>88.825587198469037</v>
      </c>
      <c r="BM38" s="44">
        <f>'Yearly Methanol'!BM122</f>
        <v>87.062748183743253</v>
      </c>
      <c r="BN38" s="44">
        <f>'Yearly Methanol'!BN122</f>
        <v>85.202593142597024</v>
      </c>
      <c r="BO38" s="44"/>
      <c r="BP38" s="44">
        <f>'Yearly Methanol'!D6+'Yearly Methanol'!D71</f>
        <v>70.960266702016895</v>
      </c>
      <c r="BQ38" s="44">
        <f>'Yearly Methanol'!E6+'Yearly Methanol'!E71</f>
        <v>75.467856664702907</v>
      </c>
      <c r="BR38" s="44">
        <f>'Yearly Methanol'!F6+'Yearly Methanol'!F71</f>
        <v>79.918986982863856</v>
      </c>
      <c r="BS38" s="44">
        <f>'Yearly Methanol'!G6+'Yearly Methanol'!G71</f>
        <v>84.371373167609406</v>
      </c>
      <c r="BT38" s="44">
        <f>'Yearly Methanol'!H6+'Yearly Methanol'!H71</f>
        <v>88.825106439029184</v>
      </c>
      <c r="BU38" s="44">
        <f>'Yearly Methanol'!I6+'Yearly Methanol'!I71</f>
        <v>93.280286688925557</v>
      </c>
      <c r="BV38" s="44">
        <f>'Yearly Methanol'!J6+'Yearly Methanol'!J71</f>
        <v>97.737023392609771</v>
      </c>
      <c r="BW38" s="44">
        <f>'Yearly Methanol'!K6+'Yearly Methanol'!K71</f>
        <v>102.19543661942507</v>
      </c>
      <c r="BX38" s="44">
        <f>'Yearly Methanol'!L6+'Yearly Methanol'!L71</f>
        <v>106.65565815281919</v>
      </c>
      <c r="BY38" s="44">
        <f>'Yearly Methanol'!M6+'Yearly Methanol'!M71</f>
        <v>111.11783273198854</v>
      </c>
      <c r="BZ38" s="44">
        <f>'Yearly Methanol'!N6+'Yearly Methanol'!N71</f>
        <v>115.58211942844707</v>
      </c>
      <c r="CA38" s="44">
        <f>'Yearly Methanol'!O6+'Yearly Methanol'!O71</f>
        <v>117.39193562285953</v>
      </c>
      <c r="CB38" s="44">
        <f>'Yearly Methanol'!P6+'Yearly Methanol'!P71</f>
        <v>119.20514997703128</v>
      </c>
      <c r="CC38" s="44">
        <f>'Yearly Methanol'!Q6+'Yearly Methanol'!Q71</f>
        <v>121.02199782578643</v>
      </c>
      <c r="CD38" s="44">
        <f>'Yearly Methanol'!R6+'Yearly Methanol'!R71</f>
        <v>122.84273654532208</v>
      </c>
      <c r="CE38" s="44">
        <f>'Yearly Methanol'!S6+'Yearly Methanol'!S71</f>
        <v>124.66764787408195</v>
      </c>
      <c r="CF38" s="44">
        <f>'Yearly Methanol'!T6+'Yearly Methanol'!T71</f>
        <v>126.29704048654951</v>
      </c>
      <c r="CG38" s="44">
        <f>'Yearly Methanol'!U6+'Yearly Methanol'!U71</f>
        <v>127.93125284792364</v>
      </c>
      <c r="CH38" s="44">
        <f>'Yearly Methanol'!V6+'Yearly Methanol'!V71</f>
        <v>129.57065638076736</v>
      </c>
      <c r="CI38" s="44">
        <f>'Yearly Methanol'!W6+'Yearly Methanol'!W71</f>
        <v>131.21565897819954</v>
      </c>
      <c r="CJ38" s="44">
        <f>'Yearly Methanol'!X6+'Yearly Methanol'!X71</f>
        <v>132.86670890207853</v>
      </c>
      <c r="CK38" s="44">
        <f>'Yearly Methanol'!Y6+'Yearly Methanol'!Y71</f>
        <v>134.10297944198058</v>
      </c>
      <c r="CL38" s="44">
        <f>'Yearly Methanol'!Z6+'Yearly Methanol'!Z71</f>
        <v>135.34560784865073</v>
      </c>
      <c r="CM38" s="44">
        <f>'Yearly Methanol'!AA6+'Yearly Methanol'!AA71</f>
        <v>136.59517291583251</v>
      </c>
      <c r="CN38" s="44">
        <f>'Yearly Methanol'!AB6+'Yearly Methanol'!AB71</f>
        <v>137.85231376034878</v>
      </c>
      <c r="CO38" s="44">
        <f>'Yearly Methanol'!AC6+'Yearly Methanol'!AC71</f>
        <v>139.117736382473</v>
      </c>
      <c r="CP38" s="44">
        <f>'Yearly Methanol'!AD6+'Yearly Methanol'!AD71</f>
        <v>140.39222095169944</v>
      </c>
      <c r="CQ38" s="44">
        <f>'Yearly Methanol'!AE6+'Yearly Methanol'!AE71</f>
        <v>141.67662989908584</v>
      </c>
      <c r="CR38" s="44">
        <f>'Yearly Methanol'!AF6+'Yearly Methanol'!AF71</f>
        <v>142.97191690653815</v>
      </c>
      <c r="CS38" s="44">
        <f>'Yearly Methanol'!AG6+'Yearly Methanol'!AG71</f>
        <v>144.27913689365624</v>
      </c>
      <c r="CT38" s="44">
        <f>'Yearly Methanol'!AH6+'Yearly Methanol'!AH71</f>
        <v>145.59945711418746</v>
      </c>
    </row>
    <row r="39" spans="1:98">
      <c r="A39" s="1" t="s">
        <v>119</v>
      </c>
      <c r="C39" s="54" t="str">
        <f>'Yearly Methanol'!C126</f>
        <v>m Tons</v>
      </c>
      <c r="D39" s="44">
        <f>'Yearly Methanol'!D126</f>
        <v>0.8594591808019032</v>
      </c>
      <c r="E39" s="44">
        <f>'Yearly Methanol'!E126</f>
        <v>1.2939240814570505</v>
      </c>
      <c r="F39" s="44">
        <f>'Yearly Methanol'!F126</f>
        <v>1.4020935960019709</v>
      </c>
      <c r="G39" s="44">
        <f>'Yearly Methanol'!G126</f>
        <v>1.5112618350054672</v>
      </c>
      <c r="H39" s="44">
        <f>'Yearly Methanol'!H126</f>
        <v>1.6206876435757709</v>
      </c>
      <c r="I39" s="44">
        <f>'Yearly Methanol'!I126</f>
        <v>1.7295790171470016</v>
      </c>
      <c r="J39" s="44">
        <f>'Yearly Methanol'!J126</f>
        <v>1.8410482128180794</v>
      </c>
      <c r="K39" s="44">
        <f>'Yearly Methanol'!K126</f>
        <v>1.9548666064667473</v>
      </c>
      <c r="L39" s="44">
        <f>'Yearly Methanol'!L126</f>
        <v>2.0706712533492495</v>
      </c>
      <c r="M39" s="44">
        <f>'Yearly Methanol'!M126</f>
        <v>2.1878715891793119</v>
      </c>
      <c r="N39" s="44">
        <f>'Yearly Methanol'!N126</f>
        <v>2.30548068631429</v>
      </c>
      <c r="O39" s="44">
        <f>'Yearly Methanol'!O126</f>
        <v>2.3648127267084251</v>
      </c>
      <c r="P39" s="44">
        <f>'Yearly Methanol'!P126</f>
        <v>2.4155906363842359</v>
      </c>
      <c r="Q39" s="44">
        <f>'Yearly Methanol'!Q126</f>
        <v>2.4558633599386046</v>
      </c>
      <c r="R39" s="44">
        <f>'Yearly Methanol'!R126</f>
        <v>2.4832914549474192</v>
      </c>
      <c r="S39" s="44">
        <f>'Yearly Methanol'!S126</f>
        <v>2.496773699240411</v>
      </c>
      <c r="T39" s="44">
        <f>'Yearly Methanol'!T126</f>
        <v>2.5013746538081887</v>
      </c>
      <c r="U39" s="44">
        <f>'Yearly Methanol'!U126</f>
        <v>2.4992018527655002</v>
      </c>
      <c r="V39" s="44">
        <f>'Yearly Methanol'!V126</f>
        <v>2.4933089552029037</v>
      </c>
      <c r="W39" s="44">
        <f>'Yearly Methanol'!W126</f>
        <v>2.4867350212527262</v>
      </c>
      <c r="X39" s="44">
        <f>'Yearly Methanol'!X126</f>
        <v>2.4817214562831365</v>
      </c>
      <c r="Y39" s="44">
        <f>'Yearly Methanol'!Y126</f>
        <v>2.4103832860212959</v>
      </c>
      <c r="Z39" s="44">
        <f>'Yearly Methanol'!Z126</f>
        <v>2.3418558629252142</v>
      </c>
      <c r="AA39" s="44">
        <f>'Yearly Methanol'!AA126</f>
        <v>2.2752277432831498</v>
      </c>
      <c r="AB39" s="44">
        <f>'Yearly Methanol'!AB126</f>
        <v>2.2082798838973616</v>
      </c>
      <c r="AC39" s="44">
        <f>'Yearly Methanol'!AC126</f>
        <v>2.1387214703045578</v>
      </c>
      <c r="AD39" s="44">
        <f>'Yearly Methanol'!AD126</f>
        <v>2.0639501226555006</v>
      </c>
      <c r="AE39" s="44">
        <f>'Yearly Methanol'!AE126</f>
        <v>1.9812660378122935</v>
      </c>
      <c r="AF39" s="44">
        <f>'Yearly Methanol'!AF126</f>
        <v>1.8884485788033749</v>
      </c>
      <c r="AG39" s="44">
        <f>'Yearly Methanol'!AG126</f>
        <v>1.7846091234069115</v>
      </c>
      <c r="AH39" s="44">
        <f>'Yearly Methanol'!AH126</f>
        <v>1.6710016597091701</v>
      </c>
      <c r="AI39" s="44"/>
      <c r="AJ39" s="44">
        <f>'Yearly Methanol'!AJ126</f>
        <v>0.85946092370731653</v>
      </c>
      <c r="AK39" s="44">
        <f>'Yearly Methanol'!AK126</f>
        <v>0.95743564722812424</v>
      </c>
      <c r="AL39" s="44">
        <f>'Yearly Methanol'!AL126</f>
        <v>1.0587652534880594</v>
      </c>
      <c r="AM39" s="44">
        <f>'Yearly Methanol'!AM126</f>
        <v>1.1629131650936226</v>
      </c>
      <c r="AN39" s="44">
        <f>'Yearly Methanol'!AN126</f>
        <v>1.2692825975550719</v>
      </c>
      <c r="AO39" s="44">
        <f>'Yearly Methanol'!AO126</f>
        <v>1.3772172920114303</v>
      </c>
      <c r="AP39" s="44">
        <f>'Yearly Methanol'!AP126</f>
        <v>1.4892051608089549</v>
      </c>
      <c r="AQ39" s="44">
        <f>'Yearly Methanol'!AQ126</f>
        <v>1.6051806594397138</v>
      </c>
      <c r="AR39" s="44">
        <f>'Yearly Methanol'!AR126</f>
        <v>1.7250066011682759</v>
      </c>
      <c r="AS39" s="44">
        <f>'Yearly Methanol'!AS126</f>
        <v>1.8484248625932536</v>
      </c>
      <c r="AT39" s="44">
        <f>'Yearly Methanol'!AT126</f>
        <v>1.9749667562669113</v>
      </c>
      <c r="AU39" s="44">
        <f>'Yearly Methanol'!AU126</f>
        <v>2.0226952076656546</v>
      </c>
      <c r="AV39" s="44">
        <f>'Yearly Methanol'!AV126</f>
        <v>2.0662042002408034</v>
      </c>
      <c r="AW39" s="44">
        <f>'Yearly Methanol'!AW126</f>
        <v>2.1046640462544115</v>
      </c>
      <c r="AX39" s="44">
        <f>'Yearly Methanol'!AX126</f>
        <v>2.1367273652258145</v>
      </c>
      <c r="AY39" s="44">
        <f>'Yearly Methanol'!AY126</f>
        <v>2.1617813773976073</v>
      </c>
      <c r="AZ39" s="44">
        <f>'Yearly Methanol'!AZ126</f>
        <v>2.183928016614674</v>
      </c>
      <c r="BA39" s="44">
        <f>'Yearly Methanol'!BA126</f>
        <v>2.2041819747158851</v>
      </c>
      <c r="BB39" s="44">
        <f>'Yearly Methanol'!BB126</f>
        <v>2.2240159818767906</v>
      </c>
      <c r="BC39" s="44">
        <f>'Yearly Methanol'!BC126</f>
        <v>2.2449042008888824</v>
      </c>
      <c r="BD39" s="44">
        <f>'Yearly Methanol'!BD126</f>
        <v>2.2679465086250747</v>
      </c>
      <c r="BE39" s="44">
        <f>'Yearly Methanol'!BE126</f>
        <v>2.1907368135046981</v>
      </c>
      <c r="BF39" s="44">
        <f>'Yearly Methanol'!BF126</f>
        <v>2.1159940493443847</v>
      </c>
      <c r="BG39" s="44">
        <f>'Yearly Methanol'!BG126</f>
        <v>2.0434161358815324</v>
      </c>
      <c r="BH39" s="44">
        <f>'Yearly Methanol'!BH126</f>
        <v>1.9716891103628884</v>
      </c>
      <c r="BI39" s="44">
        <f>'Yearly Methanol'!BI126</f>
        <v>1.8997354188400859</v>
      </c>
      <c r="BJ39" s="44">
        <f>'Yearly Methanol'!BJ126</f>
        <v>1.8263876030918615</v>
      </c>
      <c r="BK39" s="44">
        <f>'Yearly Methanol'!BK126</f>
        <v>1.829042636686637</v>
      </c>
      <c r="BL39" s="44">
        <f>'Yearly Methanol'!BL126</f>
        <v>1.8587680670995193</v>
      </c>
      <c r="BM39" s="44">
        <f>'Yearly Methanol'!BM126</f>
        <v>1.8787099884024767</v>
      </c>
      <c r="BN39" s="44">
        <f>'Yearly Methanol'!BN126</f>
        <v>1.8887533251276427</v>
      </c>
      <c r="BO39" s="44"/>
      <c r="BP39" s="44">
        <f>'Yearly Methanol'!BP126</f>
        <v>0</v>
      </c>
      <c r="BQ39" s="44">
        <f>'Yearly Methanol'!BQ126</f>
        <v>0</v>
      </c>
      <c r="BR39" s="44">
        <f>'Yearly Methanol'!BR126</f>
        <v>0</v>
      </c>
      <c r="BS39" s="44">
        <f>'Yearly Methanol'!BS126</f>
        <v>0</v>
      </c>
      <c r="BT39" s="44">
        <f>'Yearly Methanol'!BT126</f>
        <v>0</v>
      </c>
      <c r="BU39" s="44">
        <f>'Yearly Methanol'!BU126</f>
        <v>0</v>
      </c>
      <c r="BV39" s="44">
        <f>'Yearly Methanol'!BV126</f>
        <v>0</v>
      </c>
      <c r="BW39" s="44">
        <f>'Yearly Methanol'!BW126</f>
        <v>0</v>
      </c>
      <c r="BX39" s="44">
        <f>'Yearly Methanol'!BX126</f>
        <v>0</v>
      </c>
      <c r="BY39" s="44">
        <f>'Yearly Methanol'!BY126</f>
        <v>0</v>
      </c>
      <c r="BZ39" s="44">
        <f>'Yearly Methanol'!BZ126</f>
        <v>0</v>
      </c>
      <c r="CA39" s="44">
        <f>'Yearly Methanol'!CA126</f>
        <v>0</v>
      </c>
      <c r="CB39" s="44">
        <f>'Yearly Methanol'!CB126</f>
        <v>0</v>
      </c>
      <c r="CC39" s="44">
        <f>'Yearly Methanol'!CC126</f>
        <v>0</v>
      </c>
      <c r="CD39" s="44">
        <f>'Yearly Methanol'!CD126</f>
        <v>0</v>
      </c>
      <c r="CE39" s="44">
        <f>'Yearly Methanol'!CE126</f>
        <v>0</v>
      </c>
      <c r="CF39" s="44">
        <f>'Yearly Methanol'!CF126</f>
        <v>0</v>
      </c>
      <c r="CG39" s="44">
        <f>'Yearly Methanol'!CG126</f>
        <v>0</v>
      </c>
      <c r="CH39" s="44">
        <f>'Yearly Methanol'!CH126</f>
        <v>0</v>
      </c>
      <c r="CI39" s="44">
        <f>'Yearly Methanol'!CI126</f>
        <v>0</v>
      </c>
      <c r="CJ39" s="44">
        <f>'Yearly Methanol'!CJ126</f>
        <v>0</v>
      </c>
      <c r="CK39" s="44">
        <f>'Yearly Methanol'!CK126</f>
        <v>0</v>
      </c>
      <c r="CL39" s="44">
        <f>'Yearly Methanol'!CL126</f>
        <v>0</v>
      </c>
      <c r="CM39" s="44">
        <f>'Yearly Methanol'!CM126</f>
        <v>0</v>
      </c>
      <c r="CN39" s="44">
        <f>'Yearly Methanol'!CN126</f>
        <v>0</v>
      </c>
      <c r="CO39" s="44">
        <f>'Yearly Methanol'!CO126</f>
        <v>0</v>
      </c>
      <c r="CP39" s="44">
        <f>'Yearly Methanol'!CP126</f>
        <v>0</v>
      </c>
      <c r="CQ39" s="44">
        <f>'Yearly Methanol'!CQ126</f>
        <v>0</v>
      </c>
      <c r="CR39" s="44">
        <f>'Yearly Methanol'!CR126</f>
        <v>0</v>
      </c>
      <c r="CS39" s="44">
        <f>'Yearly Methanol'!CS126</f>
        <v>0</v>
      </c>
      <c r="CT39" s="44">
        <f>'Yearly Methanol'!CT126</f>
        <v>0</v>
      </c>
    </row>
    <row r="40" spans="1:98">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row>
    <row r="41" spans="1:98" s="52" customFormat="1" ht="16" thickBot="1">
      <c r="A41" s="52" t="s">
        <v>140</v>
      </c>
      <c r="C41" s="635"/>
      <c r="D41" s="636"/>
      <c r="E41" s="636"/>
      <c r="F41" s="636"/>
      <c r="G41" s="636"/>
      <c r="H41" s="636"/>
      <c r="I41" s="636"/>
      <c r="J41" s="636"/>
      <c r="K41" s="636"/>
      <c r="L41" s="636"/>
      <c r="M41" s="636"/>
      <c r="N41" s="636"/>
      <c r="O41" s="636"/>
      <c r="P41" s="636"/>
      <c r="Q41" s="636"/>
      <c r="R41" s="636"/>
      <c r="S41" s="636"/>
      <c r="T41" s="636"/>
      <c r="U41" s="636"/>
      <c r="V41" s="636"/>
      <c r="W41" s="636"/>
      <c r="X41" s="636"/>
      <c r="Y41" s="636"/>
      <c r="Z41" s="636"/>
      <c r="AA41" s="636"/>
      <c r="AB41" s="636"/>
      <c r="AC41" s="636"/>
      <c r="AD41" s="636"/>
      <c r="AE41" s="636"/>
      <c r="AF41" s="636"/>
      <c r="AG41" s="636"/>
      <c r="AH41" s="636"/>
      <c r="AI41" s="636"/>
      <c r="AJ41" s="636"/>
      <c r="AK41" s="636"/>
      <c r="AL41" s="636"/>
      <c r="AM41" s="636"/>
      <c r="AN41" s="636"/>
      <c r="AO41" s="636"/>
      <c r="AP41" s="636"/>
      <c r="AQ41" s="636"/>
      <c r="AR41" s="636"/>
      <c r="AS41" s="636"/>
      <c r="AT41" s="636"/>
      <c r="AU41" s="636"/>
      <c r="AV41" s="636"/>
      <c r="AW41" s="636"/>
      <c r="AX41" s="636"/>
      <c r="AY41" s="636"/>
      <c r="AZ41" s="636"/>
      <c r="BA41" s="636"/>
      <c r="BB41" s="636"/>
      <c r="BC41" s="636"/>
      <c r="BD41" s="636"/>
      <c r="BE41" s="636"/>
      <c r="BF41" s="636"/>
      <c r="BG41" s="636"/>
      <c r="BH41" s="636"/>
      <c r="BI41" s="636"/>
      <c r="BJ41" s="636"/>
      <c r="BK41" s="636"/>
      <c r="BL41" s="636"/>
      <c r="BM41" s="636"/>
      <c r="BN41" s="636"/>
      <c r="BO41" s="636"/>
      <c r="BP41" s="636"/>
      <c r="BQ41" s="636"/>
      <c r="BR41" s="636"/>
      <c r="BS41" s="636"/>
      <c r="BT41" s="636"/>
      <c r="BU41" s="636"/>
      <c r="BV41" s="636"/>
      <c r="BW41" s="636"/>
      <c r="BX41" s="636"/>
      <c r="BY41" s="636"/>
      <c r="BZ41" s="636"/>
      <c r="CA41" s="636"/>
      <c r="CB41" s="636"/>
      <c r="CC41" s="636"/>
      <c r="CD41" s="636"/>
      <c r="CE41" s="636"/>
      <c r="CF41" s="636"/>
      <c r="CG41" s="636"/>
      <c r="CH41" s="636"/>
      <c r="CI41" s="636"/>
      <c r="CJ41" s="636"/>
      <c r="CK41" s="636"/>
      <c r="CL41" s="636"/>
      <c r="CM41" s="636"/>
      <c r="CN41" s="636"/>
      <c r="CO41" s="636"/>
      <c r="CP41" s="636"/>
      <c r="CQ41" s="636"/>
      <c r="CR41" s="636"/>
      <c r="CS41" s="636"/>
      <c r="CT41" s="636"/>
    </row>
    <row r="42" spans="1:98" s="554" customFormat="1">
      <c r="A42" s="550" t="s">
        <v>141</v>
      </c>
      <c r="B42" s="551"/>
      <c r="C42" s="552" t="str">
        <f>'Yearly BTX'!C5</f>
        <v>m Tons</v>
      </c>
      <c r="D42" s="553">
        <f>'Yearly Demand - BTX'!N7</f>
        <v>51.832300831890365</v>
      </c>
      <c r="E42" s="553">
        <f>'Yearly Demand - BTX'!O7</f>
        <v>53.098399424053973</v>
      </c>
      <c r="F42" s="553">
        <f>'Yearly Demand - BTX'!P7</f>
        <v>54.395424786192116</v>
      </c>
      <c r="G42" s="553">
        <f>'Yearly Demand - BTX'!Q7</f>
        <v>55.724132361132838</v>
      </c>
      <c r="H42" s="553">
        <f>'Yearly Demand - BTX'!R7</f>
        <v>57.085296044774701</v>
      </c>
      <c r="I42" s="553">
        <f>'Yearly Demand - BTX'!S7</f>
        <v>58.479708636836634</v>
      </c>
      <c r="J42" s="553">
        <f>'Yearly Demand - BTX'!T7</f>
        <v>59.430394061449775</v>
      </c>
      <c r="K42" s="553">
        <f>'Yearly Demand - BTX'!U7</f>
        <v>60.396534466903958</v>
      </c>
      <c r="L42" s="553">
        <f>'Yearly Demand - BTX'!V7</f>
        <v>61.378381099748893</v>
      </c>
      <c r="M42" s="553">
        <f>'Yearly Demand - BTX'!W7</f>
        <v>62.37618929096697</v>
      </c>
      <c r="N42" s="553">
        <f>'Yearly Demand - BTX'!X7</f>
        <v>63.390218522372535</v>
      </c>
      <c r="O42" s="553">
        <f>'Yearly Demand - BTX'!Y7</f>
        <v>64.003221448635102</v>
      </c>
      <c r="P42" s="553">
        <f>'Yearly Demand - BTX'!Z7</f>
        <v>64.622152301892825</v>
      </c>
      <c r="Q42" s="553">
        <f>'Yearly Demand - BTX'!AA7</f>
        <v>65.247068407024486</v>
      </c>
      <c r="R42" s="553">
        <f>'Yearly Demand - BTX'!AB7</f>
        <v>65.87802764325815</v>
      </c>
      <c r="S42" s="553">
        <f>'Yearly Demand - BTX'!AC7</f>
        <v>66.515088449531746</v>
      </c>
      <c r="T42" s="553">
        <f>'Yearly Demand - BTX'!AD7</f>
        <v>67.128638497468344</v>
      </c>
      <c r="U42" s="553">
        <f>'Yearly Demand - BTX'!AE7</f>
        <v>67.747848068230496</v>
      </c>
      <c r="V42" s="553">
        <f>'Yearly Demand - BTX'!AF7</f>
        <v>68.372769366522135</v>
      </c>
      <c r="W42" s="553">
        <f>'Yearly Demand - BTX'!AG7</f>
        <v>69.003455078595096</v>
      </c>
      <c r="X42" s="553">
        <f>'Yearly Demand - BTX'!AH7</f>
        <v>69.639958376690956</v>
      </c>
      <c r="Y42" s="553">
        <f>'Yearly Demand - BTX'!AI7</f>
        <v>69.905767474543467</v>
      </c>
      <c r="Z42" s="553">
        <f>'Yearly Demand - BTX'!AJ7</f>
        <v>70.172591140442094</v>
      </c>
      <c r="AA42" s="553">
        <f>'Yearly Demand - BTX'!AK7</f>
        <v>70.440433246896561</v>
      </c>
      <c r="AB42" s="553">
        <f>'Yearly Demand - BTX'!AL7</f>
        <v>70.709297681197626</v>
      </c>
      <c r="AC42" s="553">
        <f>'Yearly Demand - BTX'!AM7</f>
        <v>70.979188345473474</v>
      </c>
      <c r="AD42" s="553">
        <f>'Yearly Demand - BTX'!AN7</f>
        <v>71.156860627616254</v>
      </c>
      <c r="AE42" s="553">
        <f>'Yearly Demand - BTX'!AO7</f>
        <v>71.334977651951476</v>
      </c>
      <c r="AF42" s="553">
        <f>'Yearly Demand - BTX'!AP7</f>
        <v>71.513540531740091</v>
      </c>
      <c r="AG42" s="553">
        <f>'Yearly Demand - BTX'!AQ7</f>
        <v>71.692550383029769</v>
      </c>
      <c r="AH42" s="553">
        <f>'Yearly Demand - BTX'!AR7</f>
        <v>71.87200832466182</v>
      </c>
      <c r="AI42" s="553"/>
      <c r="AJ42" s="553">
        <f>D42</f>
        <v>51.832300831890365</v>
      </c>
      <c r="AK42" s="553">
        <f t="shared" ref="AK42:BN42" si="297">E42</f>
        <v>53.098399424053973</v>
      </c>
      <c r="AL42" s="553">
        <f t="shared" si="297"/>
        <v>54.395424786192116</v>
      </c>
      <c r="AM42" s="553">
        <f t="shared" si="297"/>
        <v>55.724132361132838</v>
      </c>
      <c r="AN42" s="553">
        <f t="shared" si="297"/>
        <v>57.085296044774701</v>
      </c>
      <c r="AO42" s="553">
        <f t="shared" si="297"/>
        <v>58.479708636836634</v>
      </c>
      <c r="AP42" s="553">
        <f t="shared" si="297"/>
        <v>59.430394061449775</v>
      </c>
      <c r="AQ42" s="553">
        <f t="shared" si="297"/>
        <v>60.396534466903958</v>
      </c>
      <c r="AR42" s="553">
        <f t="shared" si="297"/>
        <v>61.378381099748893</v>
      </c>
      <c r="AS42" s="553">
        <f t="shared" si="297"/>
        <v>62.37618929096697</v>
      </c>
      <c r="AT42" s="553">
        <f t="shared" si="297"/>
        <v>63.390218522372535</v>
      </c>
      <c r="AU42" s="553">
        <f t="shared" si="297"/>
        <v>64.003221448635102</v>
      </c>
      <c r="AV42" s="553">
        <f t="shared" si="297"/>
        <v>64.622152301892825</v>
      </c>
      <c r="AW42" s="553">
        <f t="shared" si="297"/>
        <v>65.247068407024486</v>
      </c>
      <c r="AX42" s="553">
        <f t="shared" si="297"/>
        <v>65.87802764325815</v>
      </c>
      <c r="AY42" s="553">
        <f t="shared" si="297"/>
        <v>66.515088449531746</v>
      </c>
      <c r="AZ42" s="553">
        <f t="shared" si="297"/>
        <v>67.128638497468344</v>
      </c>
      <c r="BA42" s="553">
        <f t="shared" si="297"/>
        <v>67.747848068230496</v>
      </c>
      <c r="BB42" s="553">
        <f t="shared" si="297"/>
        <v>68.372769366522135</v>
      </c>
      <c r="BC42" s="553">
        <f t="shared" si="297"/>
        <v>69.003455078595096</v>
      </c>
      <c r="BD42" s="553">
        <f t="shared" si="297"/>
        <v>69.639958376690956</v>
      </c>
      <c r="BE42" s="553">
        <f t="shared" si="297"/>
        <v>69.905767474543467</v>
      </c>
      <c r="BF42" s="553">
        <f t="shared" si="297"/>
        <v>70.172591140442094</v>
      </c>
      <c r="BG42" s="553">
        <f t="shared" si="297"/>
        <v>70.440433246896561</v>
      </c>
      <c r="BH42" s="553">
        <f t="shared" si="297"/>
        <v>70.709297681197626</v>
      </c>
      <c r="BI42" s="553">
        <f t="shared" si="297"/>
        <v>70.979188345473474</v>
      </c>
      <c r="BJ42" s="553">
        <f t="shared" si="297"/>
        <v>71.156860627616254</v>
      </c>
      <c r="BK42" s="553">
        <f t="shared" si="297"/>
        <v>71.334977651951476</v>
      </c>
      <c r="BL42" s="553">
        <f t="shared" si="297"/>
        <v>71.513540531740091</v>
      </c>
      <c r="BM42" s="553">
        <f t="shared" si="297"/>
        <v>71.692550383029769</v>
      </c>
      <c r="BN42" s="553">
        <f t="shared" si="297"/>
        <v>71.87200832466182</v>
      </c>
      <c r="BO42" s="553"/>
      <c r="BP42" s="553">
        <f>AJ42</f>
        <v>51.832300831890365</v>
      </c>
      <c r="BQ42" s="553">
        <f t="shared" ref="BQ42" si="298">AK42</f>
        <v>53.098399424053973</v>
      </c>
      <c r="BR42" s="553">
        <f t="shared" ref="BR42" si="299">AL42</f>
        <v>54.395424786192116</v>
      </c>
      <c r="BS42" s="553">
        <f t="shared" ref="BS42" si="300">AM42</f>
        <v>55.724132361132838</v>
      </c>
      <c r="BT42" s="553">
        <f t="shared" ref="BT42" si="301">AN42</f>
        <v>57.085296044774701</v>
      </c>
      <c r="BU42" s="553">
        <f t="shared" ref="BU42" si="302">AO42</f>
        <v>58.479708636836634</v>
      </c>
      <c r="BV42" s="553">
        <f t="shared" ref="BV42" si="303">AP42</f>
        <v>59.430394061449775</v>
      </c>
      <c r="BW42" s="553">
        <f t="shared" ref="BW42" si="304">AQ42</f>
        <v>60.396534466903958</v>
      </c>
      <c r="BX42" s="553">
        <f t="shared" ref="BX42" si="305">AR42</f>
        <v>61.378381099748893</v>
      </c>
      <c r="BY42" s="553">
        <f t="shared" ref="BY42" si="306">AS42</f>
        <v>62.37618929096697</v>
      </c>
      <c r="BZ42" s="553">
        <f t="shared" ref="BZ42" si="307">AT42</f>
        <v>63.390218522372535</v>
      </c>
      <c r="CA42" s="553">
        <f t="shared" ref="CA42" si="308">AU42</f>
        <v>64.003221448635102</v>
      </c>
      <c r="CB42" s="553">
        <f t="shared" ref="CB42" si="309">AV42</f>
        <v>64.622152301892825</v>
      </c>
      <c r="CC42" s="553">
        <f t="shared" ref="CC42" si="310">AW42</f>
        <v>65.247068407024486</v>
      </c>
      <c r="CD42" s="553">
        <f t="shared" ref="CD42" si="311">AX42</f>
        <v>65.87802764325815</v>
      </c>
      <c r="CE42" s="553">
        <f t="shared" ref="CE42" si="312">AY42</f>
        <v>66.515088449531746</v>
      </c>
      <c r="CF42" s="553">
        <f t="shared" ref="CF42" si="313">AZ42</f>
        <v>67.128638497468344</v>
      </c>
      <c r="CG42" s="553">
        <f t="shared" ref="CG42" si="314">BA42</f>
        <v>67.747848068230496</v>
      </c>
      <c r="CH42" s="553">
        <f t="shared" ref="CH42" si="315">BB42</f>
        <v>68.372769366522135</v>
      </c>
      <c r="CI42" s="553">
        <f t="shared" ref="CI42" si="316">BC42</f>
        <v>69.003455078595096</v>
      </c>
      <c r="CJ42" s="553">
        <f t="shared" ref="CJ42" si="317">BD42</f>
        <v>69.639958376690956</v>
      </c>
      <c r="CK42" s="553">
        <f t="shared" ref="CK42" si="318">BE42</f>
        <v>69.905767474543467</v>
      </c>
      <c r="CL42" s="553">
        <f t="shared" ref="CL42" si="319">BF42</f>
        <v>70.172591140442094</v>
      </c>
      <c r="CM42" s="553">
        <f t="shared" ref="CM42" si="320">BG42</f>
        <v>70.440433246896561</v>
      </c>
      <c r="CN42" s="553">
        <f t="shared" ref="CN42" si="321">BH42</f>
        <v>70.709297681197626</v>
      </c>
      <c r="CO42" s="553">
        <f t="shared" ref="CO42" si="322">BI42</f>
        <v>70.979188345473474</v>
      </c>
      <c r="CP42" s="553">
        <f t="shared" ref="CP42" si="323">BJ42</f>
        <v>71.156860627616254</v>
      </c>
      <c r="CQ42" s="553">
        <f t="shared" ref="CQ42" si="324">BK42</f>
        <v>71.334977651951476</v>
      </c>
      <c r="CR42" s="553">
        <f t="shared" ref="CR42" si="325">BL42</f>
        <v>71.513540531740091</v>
      </c>
      <c r="CS42" s="553">
        <f t="shared" ref="CS42" si="326">BM42</f>
        <v>71.692550383029769</v>
      </c>
      <c r="CT42" s="553">
        <f t="shared" ref="CT42" si="327">BN42</f>
        <v>71.87200832466182</v>
      </c>
    </row>
    <row r="43" spans="1:98">
      <c r="A43" s="1" t="s">
        <v>142</v>
      </c>
      <c r="C43" s="54" t="str">
        <f>'Yearly BTX'!C122</f>
        <v>m Tons</v>
      </c>
      <c r="D43" s="44">
        <f>'Yearly BTX'!D129</f>
        <v>51.832289605000035</v>
      </c>
      <c r="E43" s="44">
        <f>'Yearly BTX'!E129</f>
        <v>52.880739936301993</v>
      </c>
      <c r="F43" s="44">
        <f>'Yearly BTX'!F129</f>
        <v>53.867881953695523</v>
      </c>
      <c r="G43" s="44">
        <f>'Yearly BTX'!G129</f>
        <v>54.879943632969578</v>
      </c>
      <c r="H43" s="44">
        <f>'Yearly BTX'!H129</f>
        <v>55.918978631742597</v>
      </c>
      <c r="I43" s="44">
        <f>'Yearly BTX'!I129</f>
        <v>56.98713545570191</v>
      </c>
      <c r="J43" s="44">
        <f>'Yearly BTX'!J129</f>
        <v>57.599694503638567</v>
      </c>
      <c r="K43" s="44">
        <f>'Yearly BTX'!K129</f>
        <v>58.215406633751222</v>
      </c>
      <c r="L43" s="44">
        <f>'Yearly BTX'!L129</f>
        <v>58.833840652165605</v>
      </c>
      <c r="M43" s="44">
        <f>'Yearly BTX'!M129</f>
        <v>59.454119102146031</v>
      </c>
      <c r="N43" s="44">
        <f>'Yearly BTX'!N129</f>
        <v>60.07455681624802</v>
      </c>
      <c r="O43" s="44">
        <f>'Yearly BTX'!O129</f>
        <v>59.976901707905427</v>
      </c>
      <c r="P43" s="44">
        <f>'Yearly BTX'!P129</f>
        <v>59.861890764695175</v>
      </c>
      <c r="Q43" s="44">
        <f>'Yearly BTX'!Q129</f>
        <v>59.728232446141327</v>
      </c>
      <c r="R43" s="44">
        <f>'Yearly BTX'!R129</f>
        <v>59.576061382696629</v>
      </c>
      <c r="S43" s="44">
        <f>'Yearly BTX'!S129</f>
        <v>59.407483512619763</v>
      </c>
      <c r="T43" s="44">
        <f>'Yearly BTX'!T129</f>
        <v>59.182228339393546</v>
      </c>
      <c r="U43" s="44">
        <f>'Yearly BTX'!U129</f>
        <v>58.934359719435868</v>
      </c>
      <c r="V43" s="44">
        <f>'Yearly BTX'!V129</f>
        <v>58.670340464810465</v>
      </c>
      <c r="W43" s="44">
        <f>'Yearly BTX'!W129</f>
        <v>58.396200411228783</v>
      </c>
      <c r="X43" s="44">
        <f>'Yearly BTX'!X129</f>
        <v>58.116111802698043</v>
      </c>
      <c r="Y43" s="44">
        <f>'Yearly BTX'!Y129</f>
        <v>57.265673898420587</v>
      </c>
      <c r="Z43" s="44">
        <f>'Yearly BTX'!Z129</f>
        <v>56.316720653425506</v>
      </c>
      <c r="AA43" s="44">
        <f>'Yearly BTX'!AA129</f>
        <v>55.329639333771951</v>
      </c>
      <c r="AB43" s="44">
        <f>'Yearly BTX'!AB129</f>
        <v>54.3106623049067</v>
      </c>
      <c r="AC43" s="44">
        <f>'Yearly BTX'!AC129</f>
        <v>53.255508479814026</v>
      </c>
      <c r="AD43" s="44">
        <f>'Yearly BTX'!AD129</f>
        <v>52.064503926660919</v>
      </c>
      <c r="AE43" s="44">
        <f>'Yearly BTX'!AE129</f>
        <v>50.82229411684137</v>
      </c>
      <c r="AF43" s="44">
        <f>'Yearly BTX'!AF129</f>
        <v>49.520308862174758</v>
      </c>
      <c r="AG43" s="44">
        <f>'Yearly BTX'!AG129</f>
        <v>48.151902531563927</v>
      </c>
      <c r="AH43" s="44">
        <f>'Yearly BTX'!AH129</f>
        <v>46.715599646213285</v>
      </c>
      <c r="AI43" s="44"/>
      <c r="AJ43" s="44">
        <f>'Yearly BTX'!AJ129</f>
        <v>51.832294398971015</v>
      </c>
      <c r="AK43" s="44">
        <f>'Yearly BTX'!AK129</f>
        <v>52.880750632933605</v>
      </c>
      <c r="AL43" s="44">
        <f>'Yearly BTX'!AL129</f>
        <v>53.867905180942998</v>
      </c>
      <c r="AM43" s="44">
        <f>'Yearly BTX'!AM129</f>
        <v>54.879993600066051</v>
      </c>
      <c r="AN43" s="44">
        <f>'Yearly BTX'!AN129</f>
        <v>55.919085057957524</v>
      </c>
      <c r="AO43" s="44">
        <f>'Yearly BTX'!AO129</f>
        <v>56.987359659294562</v>
      </c>
      <c r="AP43" s="44">
        <f>'Yearly BTX'!AP129</f>
        <v>57.600161925966674</v>
      </c>
      <c r="AQ43" s="44">
        <f>'Yearly BTX'!AQ129</f>
        <v>58.216368789540731</v>
      </c>
      <c r="AR43" s="44">
        <f>'Yearly BTX'!AR129</f>
        <v>58.835789870058328</v>
      </c>
      <c r="AS43" s="44">
        <f>'Yearly BTX'!AS129</f>
        <v>59.45798904605639</v>
      </c>
      <c r="AT43" s="44">
        <f>'Yearly BTX'!AT129</f>
        <v>60.082078138899</v>
      </c>
      <c r="AU43" s="44">
        <f>'Yearly BTX'!AU129</f>
        <v>59.990375652179878</v>
      </c>
      <c r="AV43" s="44">
        <f>'Yearly BTX'!AV129</f>
        <v>59.885171192599607</v>
      </c>
      <c r="AW43" s="44">
        <f>'Yearly BTX'!AW129</f>
        <v>59.766568510063102</v>
      </c>
      <c r="AX43" s="44">
        <f>'Yearly BTX'!AX129</f>
        <v>59.635808772993762</v>
      </c>
      <c r="AY43" s="44">
        <f>'Yearly BTX'!AY129</f>
        <v>59.495223298596457</v>
      </c>
      <c r="AZ43" s="44">
        <f>'Yearly BTX'!AZ129</f>
        <v>59.303565807125111</v>
      </c>
      <c r="BA43" s="44">
        <f>'Yearly BTX'!BA129</f>
        <v>59.092690574739322</v>
      </c>
      <c r="BB43" s="44">
        <f>'Yearly BTX'!BB129</f>
        <v>58.866210167653932</v>
      </c>
      <c r="BC43" s="44">
        <f>'Yearly BTX'!BC129</f>
        <v>58.627497412409163</v>
      </c>
      <c r="BD43" s="44">
        <f>'Yearly BTX'!BD129</f>
        <v>58.378870233901807</v>
      </c>
      <c r="BE43" s="44">
        <f>'Yearly BTX'!BE129</f>
        <v>57.536923811912395</v>
      </c>
      <c r="BF43" s="44">
        <f>'Yearly BTX'!BF129</f>
        <v>56.625677473166256</v>
      </c>
      <c r="BG43" s="44">
        <f>'Yearly BTX'!BG129</f>
        <v>55.67896129189748</v>
      </c>
      <c r="BH43" s="44">
        <f>'Yearly BTX'!BH129</f>
        <v>54.700660513046913</v>
      </c>
      <c r="BI43" s="44">
        <f>'Yearly BTX'!BI129</f>
        <v>53.688168617624498</v>
      </c>
      <c r="BJ43" s="44">
        <f>'Yearly BTX'!BJ129</f>
        <v>52.544348393096541</v>
      </c>
      <c r="BK43" s="44">
        <f>'Yearly BTX'!BK129</f>
        <v>51.357136196275803</v>
      </c>
      <c r="BL43" s="44">
        <f>'Yearly BTX'!BL129</f>
        <v>50.12151024408309</v>
      </c>
      <c r="BM43" s="44">
        <f>'Yearly BTX'!BM129</f>
        <v>48.833575304330537</v>
      </c>
      <c r="BN43" s="44">
        <f>'Yearly BTX'!BN129</f>
        <v>47.492425354759348</v>
      </c>
      <c r="BO43" s="44"/>
      <c r="BP43" s="44">
        <f>BP42</f>
        <v>51.832300831890365</v>
      </c>
      <c r="BQ43" s="44">
        <f t="shared" ref="BQ43:CT43" si="328">BQ42</f>
        <v>53.098399424053973</v>
      </c>
      <c r="BR43" s="44">
        <f t="shared" si="328"/>
        <v>54.395424786192116</v>
      </c>
      <c r="BS43" s="44">
        <f t="shared" si="328"/>
        <v>55.724132361132838</v>
      </c>
      <c r="BT43" s="44">
        <f t="shared" si="328"/>
        <v>57.085296044774701</v>
      </c>
      <c r="BU43" s="44">
        <f t="shared" si="328"/>
        <v>58.479708636836634</v>
      </c>
      <c r="BV43" s="44">
        <f t="shared" si="328"/>
        <v>59.430394061449775</v>
      </c>
      <c r="BW43" s="44">
        <f t="shared" si="328"/>
        <v>60.396534466903958</v>
      </c>
      <c r="BX43" s="44">
        <f t="shared" si="328"/>
        <v>61.378381099748893</v>
      </c>
      <c r="BY43" s="44">
        <f t="shared" si="328"/>
        <v>62.37618929096697</v>
      </c>
      <c r="BZ43" s="44">
        <f t="shared" si="328"/>
        <v>63.390218522372535</v>
      </c>
      <c r="CA43" s="44">
        <f t="shared" si="328"/>
        <v>64.003221448635102</v>
      </c>
      <c r="CB43" s="44">
        <f t="shared" si="328"/>
        <v>64.622152301892825</v>
      </c>
      <c r="CC43" s="44">
        <f t="shared" si="328"/>
        <v>65.247068407024486</v>
      </c>
      <c r="CD43" s="44">
        <f t="shared" si="328"/>
        <v>65.87802764325815</v>
      </c>
      <c r="CE43" s="44">
        <f t="shared" si="328"/>
        <v>66.515088449531746</v>
      </c>
      <c r="CF43" s="44">
        <f t="shared" si="328"/>
        <v>67.128638497468344</v>
      </c>
      <c r="CG43" s="44">
        <f t="shared" si="328"/>
        <v>67.747848068230496</v>
      </c>
      <c r="CH43" s="44">
        <f t="shared" si="328"/>
        <v>68.372769366522135</v>
      </c>
      <c r="CI43" s="44">
        <f t="shared" si="328"/>
        <v>69.003455078595096</v>
      </c>
      <c r="CJ43" s="44">
        <f t="shared" si="328"/>
        <v>69.639958376690956</v>
      </c>
      <c r="CK43" s="44">
        <f t="shared" si="328"/>
        <v>69.905767474543467</v>
      </c>
      <c r="CL43" s="44">
        <f t="shared" si="328"/>
        <v>70.172591140442094</v>
      </c>
      <c r="CM43" s="44">
        <f t="shared" si="328"/>
        <v>70.440433246896561</v>
      </c>
      <c r="CN43" s="44">
        <f t="shared" si="328"/>
        <v>70.709297681197626</v>
      </c>
      <c r="CO43" s="44">
        <f t="shared" si="328"/>
        <v>70.979188345473474</v>
      </c>
      <c r="CP43" s="44">
        <f t="shared" si="328"/>
        <v>71.156860627616254</v>
      </c>
      <c r="CQ43" s="44">
        <f t="shared" si="328"/>
        <v>71.334977651951476</v>
      </c>
      <c r="CR43" s="44">
        <f t="shared" si="328"/>
        <v>71.513540531740091</v>
      </c>
      <c r="CS43" s="44">
        <f t="shared" si="328"/>
        <v>71.692550383029769</v>
      </c>
      <c r="CT43" s="44">
        <f t="shared" si="328"/>
        <v>71.87200832466182</v>
      </c>
    </row>
    <row r="44" spans="1:98">
      <c r="A44" s="1" t="s">
        <v>119</v>
      </c>
      <c r="C44" s="54" t="str">
        <f>'Yearly BTX'!C125</f>
        <v>m Tons</v>
      </c>
      <c r="D44" s="44">
        <f>'Yearly BTX'!D125*D43/(D43+D48+D53)</f>
        <v>2.3639965417072988</v>
      </c>
      <c r="E44" s="44">
        <f>'Yearly BTX'!E125*E43/(E43+E48+E53)</f>
        <v>2.6438009268511107</v>
      </c>
      <c r="F44" s="44">
        <f>'Yearly BTX'!F125*F43/(F43+F48+F53)</f>
        <v>2.8849112270132209</v>
      </c>
      <c r="G44" s="44">
        <f>'Yearly BTX'!G125*G43/(G43+G48+G53)</f>
        <v>3.1288049084691885</v>
      </c>
      <c r="H44" s="44">
        <f>'Yearly BTX'!H125*H43/(H43+H48+H53)</f>
        <v>3.3737676319629255</v>
      </c>
      <c r="I44" s="44">
        <f>'Yearly BTX'!I125*I43/(I43+I48+I53)</f>
        <v>3.6179649668378624</v>
      </c>
      <c r="J44" s="44">
        <f>'Yearly BTX'!J125*J43/(J43+J48+J53)</f>
        <v>3.8677543041743077</v>
      </c>
      <c r="K44" s="44">
        <f>'Yearly BTX'!K125*K43/(K43+K48+K53)</f>
        <v>4.1225649462472376</v>
      </c>
      <c r="L44" s="44">
        <f>'Yearly BTX'!L125*L43/(L43+L48+L53)</f>
        <v>4.381533046044682</v>
      </c>
      <c r="M44" s="44">
        <f>'Yearly BTX'!M125*M43/(M43+M48+M53)</f>
        <v>4.6433007849292611</v>
      </c>
      <c r="N44" s="44">
        <f>'Yearly BTX'!N125*N43/(N43+N48+N53)</f>
        <v>4.9056532273302675</v>
      </c>
      <c r="O44" s="44">
        <f>'Yearly BTX'!O125*O43/(O43+O48+O53)</f>
        <v>4.9596595425303507</v>
      </c>
      <c r="P44" s="44">
        <f>'Yearly BTX'!P125*P43/(P43+P48+P53)</f>
        <v>4.990388781374528</v>
      </c>
      <c r="Q44" s="44">
        <f>'Yearly BTX'!Q125*Q43/(Q43+Q48+Q53)</f>
        <v>4.994337268039037</v>
      </c>
      <c r="R44" s="44">
        <f>'Yearly BTX'!R125*R43/(R43+R48+R53)</f>
        <v>4.967639670712102</v>
      </c>
      <c r="S44" s="44">
        <f>'Yearly BTX'!S125*S43/(S43+S48+S53)</f>
        <v>4.909161904261012</v>
      </c>
      <c r="T44" s="44">
        <f>'Yearly BTX'!T125*T43/(T43+T48+T53)</f>
        <v>4.8298978946052644</v>
      </c>
      <c r="U44" s="44">
        <f>'Yearly BTX'!U125*U43/(U43+U48+U53)</f>
        <v>4.7345803424259945</v>
      </c>
      <c r="V44" s="44">
        <f>'Yearly BTX'!V125*V43/(V43+V48+V53)</f>
        <v>4.6294334825327104</v>
      </c>
      <c r="W44" s="44">
        <f>'Yearly BTX'!W125*W43/(W43+W48+W53)</f>
        <v>4.520220363202788</v>
      </c>
      <c r="X44" s="44">
        <f>'Yearly BTX'!X125*X43/(X43+X48+X53)</f>
        <v>4.4108157703047768</v>
      </c>
      <c r="Y44" s="44">
        <f>'Yearly BTX'!Y125*Y43/(Y43+Y48+Y53)</f>
        <v>4.0327649577797171</v>
      </c>
      <c r="Z44" s="44">
        <f>'Yearly BTX'!Z125*Z43/(Z43+Z48+Z53)</f>
        <v>4.1638099429878856</v>
      </c>
      <c r="AA44" s="44">
        <f>'Yearly BTX'!AA125*AA43/(AA43+AA48+AA53)</f>
        <v>4.3369585523723408</v>
      </c>
      <c r="AB44" s="44">
        <f>'Yearly BTX'!AB125*AB43/(AB43+AB48+AB53)</f>
        <v>4.5019463012665266</v>
      </c>
      <c r="AC44" s="44">
        <f>'Yearly BTX'!AC125*AC43/(AC43+AC48+AC53)</f>
        <v>4.6544700401460535</v>
      </c>
      <c r="AD44" s="44">
        <f>'Yearly BTX'!AD125*AD43/(AD43+AD48+AD53)</f>
        <v>4.7882499459210184</v>
      </c>
      <c r="AE44" s="44">
        <f>'Yearly BTX'!AE125*AE43/(AE43+AE48+AE53)</f>
        <v>4.895177460521646</v>
      </c>
      <c r="AF44" s="44">
        <f>'Yearly BTX'!AF125*AF43/(AF43+AF48+AF53)</f>
        <v>4.9665270716667385</v>
      </c>
      <c r="AG44" s="44">
        <f>'Yearly BTX'!AG125*AG43/(AG43+AG48+AG53)</f>
        <v>4.9954282695635808</v>
      </c>
      <c r="AH44" s="44">
        <f>'Yearly BTX'!AH125*AH43/(AH43+AH48+AH53)</f>
        <v>4.9801042716753079</v>
      </c>
      <c r="AI44" s="44"/>
      <c r="AJ44" s="44">
        <f>'Yearly BTX'!AJ125*AJ43/(AJ43+AJ48+AJ53)</f>
        <v>2.3640013356782772</v>
      </c>
      <c r="AK44" s="44">
        <f>'Yearly BTX'!AK125*AK43/(AK43+AK48+AK53)</f>
        <v>2.6438116234827196</v>
      </c>
      <c r="AL44" s="44">
        <f>'Yearly BTX'!AL125*AL43/(AL43+AL48+AL53)</f>
        <v>2.8849344542606929</v>
      </c>
      <c r="AM44" s="44">
        <f>'Yearly BTX'!AM125*AM43/(AM43+AM48+AM53)</f>
        <v>3.1288548755656684</v>
      </c>
      <c r="AN44" s="44">
        <f>'Yearly BTX'!AN125*AN43/(AN43+AN48+AN53)</f>
        <v>3.3738740581778517</v>
      </c>
      <c r="AO44" s="44">
        <f>'Yearly BTX'!AO125*AO43/(AO43+AO48+AO53)</f>
        <v>3.6181891704305165</v>
      </c>
      <c r="AP44" s="44">
        <f>'Yearly BTX'!AP125*AP43/(AP43+AP48+AP53)</f>
        <v>3.8682217265024059</v>
      </c>
      <c r="AQ44" s="44">
        <f>'Yearly BTX'!AQ125*AQ43/(AQ43+AQ48+AQ53)</f>
        <v>4.1235271020367374</v>
      </c>
      <c r="AR44" s="44">
        <f>'Yearly BTX'!AR125*AR43/(AR43+AR48+AR53)</f>
        <v>4.383482263937406</v>
      </c>
      <c r="AS44" s="44">
        <f>'Yearly BTX'!AS125*AS43/(AS43+AS48+AS53)</f>
        <v>4.6471707288396216</v>
      </c>
      <c r="AT44" s="44">
        <f>'Yearly BTX'!AT125*AT43/(AT43+AT48+AT53)</f>
        <v>4.9131745499812567</v>
      </c>
      <c r="AU44" s="44">
        <f>'Yearly BTX'!AU125*AU43/(AU43+AU48+AU53)</f>
        <v>4.9731334868048087</v>
      </c>
      <c r="AV44" s="44">
        <f>'Yearly BTX'!AV125*AV43/(AV43+AV48+AV53)</f>
        <v>5.0136692092789552</v>
      </c>
      <c r="AW44" s="44">
        <f>'Yearly BTX'!AW125*AW43/(AW43+AW48+AW53)</f>
        <v>5.032673331960817</v>
      </c>
      <c r="AX44" s="44">
        <f>'Yearly BTX'!AX125*AX43/(AX43+AX48+AX53)</f>
        <v>5.0273870610092288</v>
      </c>
      <c r="AY44" s="44">
        <f>'Yearly BTX'!AY125*AY43/(AY43+AY48+AY53)</f>
        <v>4.9969016902377161</v>
      </c>
      <c r="AZ44" s="44">
        <f>'Yearly BTX'!AZ125*AZ43/(AZ43+AZ48+AZ53)</f>
        <v>4.9512353623368295</v>
      </c>
      <c r="BA44" s="44">
        <f>'Yearly BTX'!BA125*BA43/(BA43+BA48+BA53)</f>
        <v>4.8929111977294477</v>
      </c>
      <c r="BB44" s="44">
        <f>'Yearly BTX'!BB125*BB43/(BB43+BB48+BB53)</f>
        <v>4.8253031853761712</v>
      </c>
      <c r="BC44" s="44">
        <f>'Yearly BTX'!BC125*BC43/(BC43+BC48+BC53)</f>
        <v>4.7515173643831661</v>
      </c>
      <c r="BD44" s="44">
        <f>'Yearly BTX'!BD125*BD43/(BD43+BD48+BD53)</f>
        <v>4.6735742015085346</v>
      </c>
      <c r="BE44" s="44">
        <f>'Yearly BTX'!BE125*BE43/(BE43+BE48+BE53)</f>
        <v>4.3040148712715274</v>
      </c>
      <c r="BF44" s="44">
        <f>'Yearly BTX'!BF125*BF43/(BF43+BF48+BF53)</f>
        <v>4.4727667627286349</v>
      </c>
      <c r="BG44" s="44">
        <f>'Yearly BTX'!BG125*BG43/(BG43+BG48+BG53)</f>
        <v>4.6862805104978724</v>
      </c>
      <c r="BH44" s="44">
        <f>'Yearly BTX'!BH125*BH43/(BH43+BH48+BH53)</f>
        <v>4.8919445094067306</v>
      </c>
      <c r="BI44" s="44">
        <f>'Yearly BTX'!BI125*BI43/(BI43+BI48+BI53)</f>
        <v>5.0871301779565208</v>
      </c>
      <c r="BJ44" s="44">
        <f>'Yearly BTX'!BJ125*BJ43/(BJ43+BJ48+BJ53)</f>
        <v>5.2680944123566436</v>
      </c>
      <c r="BK44" s="44">
        <f>'Yearly BTX'!BK125*BK43/(BK43+BK48+BK53)</f>
        <v>5.4300195399560778</v>
      </c>
      <c r="BL44" s="44">
        <f>'Yearly BTX'!BL125*BL43/(BL43+BL48+BL53)</f>
        <v>5.5677284535750777</v>
      </c>
      <c r="BM44" s="44">
        <f>'Yearly BTX'!BM125*BM43/(BM43+BM48+BM53)</f>
        <v>5.6771010423301895</v>
      </c>
      <c r="BN44" s="44">
        <f>'Yearly BTX'!BN125*BN43/(BN43+BN48+BN53)</f>
        <v>5.756929980221372</v>
      </c>
      <c r="BO44" s="44"/>
      <c r="BP44" s="44">
        <f>'Yearly BTX'!BP125*BP43/(BP43+BP48+BP53)</f>
        <v>0</v>
      </c>
      <c r="BQ44" s="44">
        <f>'Yearly BTX'!BQ125*BQ43/(BQ43+BQ48+BQ53)</f>
        <v>0</v>
      </c>
      <c r="BR44" s="44">
        <f>'Yearly BTX'!BR125*BR43/(BR43+BR48+BR53)</f>
        <v>0</v>
      </c>
      <c r="BS44" s="44">
        <f>'Yearly BTX'!BS125*BS43/(BS43+BS48+BS53)</f>
        <v>0</v>
      </c>
      <c r="BT44" s="44">
        <f>'Yearly BTX'!BT125*BT43/(BT43+BT48+BT53)</f>
        <v>0</v>
      </c>
      <c r="BU44" s="44">
        <f>'Yearly BTX'!BU125*BU43/(BU43+BU48+BU53)</f>
        <v>0</v>
      </c>
      <c r="BV44" s="44">
        <f>'Yearly BTX'!BV125*BV43/(BV43+BV48+BV53)</f>
        <v>0</v>
      </c>
      <c r="BW44" s="44">
        <f>'Yearly BTX'!BW125*BW43/(BW43+BW48+BW53)</f>
        <v>0</v>
      </c>
      <c r="BX44" s="44">
        <f>'Yearly BTX'!BX125*BX43/(BX43+BX48+BX53)</f>
        <v>0</v>
      </c>
      <c r="BY44" s="44">
        <f>'Yearly BTX'!BY125*BY43/(BY43+BY48+BY53)</f>
        <v>0</v>
      </c>
      <c r="BZ44" s="44">
        <f>'Yearly BTX'!BZ125*BZ43/(BZ43+BZ48+BZ53)</f>
        <v>0</v>
      </c>
      <c r="CA44" s="44">
        <f>'Yearly BTX'!CA125*CA43/(CA43+CA48+CA53)</f>
        <v>0</v>
      </c>
      <c r="CB44" s="44">
        <f>'Yearly BTX'!CB125*CB43/(CB43+CB48+CB53)</f>
        <v>0</v>
      </c>
      <c r="CC44" s="44">
        <f>'Yearly BTX'!CC125*CC43/(CC43+CC48+CC53)</f>
        <v>0</v>
      </c>
      <c r="CD44" s="44">
        <f>'Yearly BTX'!CD125*CD43/(CD43+CD48+CD53)</f>
        <v>0</v>
      </c>
      <c r="CE44" s="44">
        <f>'Yearly BTX'!CE125*CE43/(CE43+CE48+CE53)</f>
        <v>0</v>
      </c>
      <c r="CF44" s="44">
        <f>'Yearly BTX'!CF125*CF43/(CF43+CF48+CF53)</f>
        <v>0</v>
      </c>
      <c r="CG44" s="44">
        <f>'Yearly BTX'!CG125*CG43/(CG43+CG48+CG53)</f>
        <v>0</v>
      </c>
      <c r="CH44" s="44">
        <f>'Yearly BTX'!CH125*CH43/(CH43+CH48+CH53)</f>
        <v>0</v>
      </c>
      <c r="CI44" s="44">
        <f>'Yearly BTX'!CI125*CI43/(CI43+CI48+CI53)</f>
        <v>0</v>
      </c>
      <c r="CJ44" s="44">
        <f>'Yearly BTX'!CJ125*CJ43/(CJ43+CJ48+CJ53)</f>
        <v>0</v>
      </c>
      <c r="CK44" s="44">
        <f>'Yearly BTX'!CK125*CK43/(CK43+CK48+CK53)</f>
        <v>0</v>
      </c>
      <c r="CL44" s="44">
        <f>'Yearly BTX'!CL125*CL43/(CL43+CL48+CL53)</f>
        <v>0</v>
      </c>
      <c r="CM44" s="44">
        <f>'Yearly BTX'!CM125*CM43/(CM43+CM48+CM53)</f>
        <v>0</v>
      </c>
      <c r="CN44" s="44">
        <f>'Yearly BTX'!CN125*CN43/(CN43+CN48+CN53)</f>
        <v>0</v>
      </c>
      <c r="CO44" s="44">
        <f>'Yearly BTX'!CO125*CO43/(CO43+CO48+CO53)</f>
        <v>0</v>
      </c>
      <c r="CP44" s="44">
        <f>'Yearly BTX'!CP125*CP43/(CP43+CP48+CP53)</f>
        <v>0</v>
      </c>
      <c r="CQ44" s="44">
        <f>'Yearly BTX'!CQ125*CQ43/(CQ43+CQ48+CQ53)</f>
        <v>0</v>
      </c>
      <c r="CR44" s="44">
        <f>'Yearly BTX'!CR125*CR43/(CR43+CR48+CR53)</f>
        <v>0</v>
      </c>
      <c r="CS44" s="44">
        <f>'Yearly BTX'!CS125*CS43/(CS43+CS48+CS53)</f>
        <v>0</v>
      </c>
      <c r="CT44" s="44">
        <f>'Yearly BTX'!CT125*CT43/(CT43+CT48+CT53)</f>
        <v>0</v>
      </c>
    </row>
    <row r="45" spans="1:98">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row>
    <row r="46" spans="1:98" s="52" customFormat="1" ht="16" thickBot="1">
      <c r="A46" s="52" t="s">
        <v>143</v>
      </c>
      <c r="C46" s="635"/>
      <c r="D46" s="636"/>
      <c r="E46" s="636"/>
      <c r="F46" s="636"/>
      <c r="G46" s="636"/>
      <c r="H46" s="636"/>
      <c r="I46" s="636"/>
      <c r="J46" s="636"/>
      <c r="K46" s="636"/>
      <c r="L46" s="636"/>
      <c r="M46" s="636"/>
      <c r="N46" s="636"/>
      <c r="O46" s="636"/>
      <c r="P46" s="636"/>
      <c r="Q46" s="636"/>
      <c r="R46" s="636"/>
      <c r="S46" s="636"/>
      <c r="T46" s="636"/>
      <c r="U46" s="636"/>
      <c r="V46" s="636"/>
      <c r="W46" s="636"/>
      <c r="X46" s="636"/>
      <c r="Y46" s="636"/>
      <c r="Z46" s="636"/>
      <c r="AA46" s="636"/>
      <c r="AB46" s="636"/>
      <c r="AC46" s="636"/>
      <c r="AD46" s="636"/>
      <c r="AE46" s="636"/>
      <c r="AF46" s="636"/>
      <c r="AG46" s="636"/>
      <c r="AH46" s="636"/>
      <c r="AI46" s="636"/>
      <c r="AJ46" s="636"/>
      <c r="AK46" s="636"/>
      <c r="AL46" s="636"/>
      <c r="AM46" s="636"/>
      <c r="AN46" s="636"/>
      <c r="AO46" s="636"/>
      <c r="AP46" s="636"/>
      <c r="AQ46" s="636"/>
      <c r="AR46" s="636"/>
      <c r="AS46" s="636"/>
      <c r="AT46" s="636"/>
      <c r="AU46" s="636"/>
      <c r="AV46" s="636"/>
      <c r="AW46" s="636"/>
      <c r="AX46" s="636"/>
      <c r="AY46" s="636"/>
      <c r="AZ46" s="636"/>
      <c r="BA46" s="636"/>
      <c r="BB46" s="636"/>
      <c r="BC46" s="636"/>
      <c r="BD46" s="636"/>
      <c r="BE46" s="636"/>
      <c r="BF46" s="636"/>
      <c r="BG46" s="636"/>
      <c r="BH46" s="636"/>
      <c r="BI46" s="636"/>
      <c r="BJ46" s="636"/>
      <c r="BK46" s="636"/>
      <c r="BL46" s="636"/>
      <c r="BM46" s="636"/>
      <c r="BN46" s="636"/>
      <c r="BO46" s="636"/>
      <c r="BP46" s="636"/>
      <c r="BQ46" s="636"/>
      <c r="BR46" s="636"/>
      <c r="BS46" s="636"/>
      <c r="BT46" s="636"/>
      <c r="BU46" s="636"/>
      <c r="BV46" s="636"/>
      <c r="BW46" s="636"/>
      <c r="BX46" s="636"/>
      <c r="BY46" s="636"/>
      <c r="BZ46" s="636"/>
      <c r="CA46" s="636"/>
      <c r="CB46" s="636"/>
      <c r="CC46" s="636"/>
      <c r="CD46" s="636"/>
      <c r="CE46" s="636"/>
      <c r="CF46" s="636"/>
      <c r="CG46" s="636"/>
      <c r="CH46" s="636"/>
      <c r="CI46" s="636"/>
      <c r="CJ46" s="636"/>
      <c r="CK46" s="636"/>
      <c r="CL46" s="636"/>
      <c r="CM46" s="636"/>
      <c r="CN46" s="636"/>
      <c r="CO46" s="636"/>
      <c r="CP46" s="636"/>
      <c r="CQ46" s="636"/>
      <c r="CR46" s="636"/>
      <c r="CS46" s="636"/>
      <c r="CT46" s="636"/>
    </row>
    <row r="47" spans="1:98" s="554" customFormat="1">
      <c r="A47" s="550" t="s">
        <v>144</v>
      </c>
      <c r="B47" s="551"/>
      <c r="C47" s="552" t="str">
        <f>'Yearly BTX'!C6</f>
        <v>m Tons</v>
      </c>
      <c r="D47" s="553">
        <f>'Yearly Demand - BTX'!N8</f>
        <v>14.015260831000658</v>
      </c>
      <c r="E47" s="553">
        <f>'Yearly Demand - BTX'!O8</f>
        <v>14.357609168275665</v>
      </c>
      <c r="F47" s="553">
        <f>'Yearly Demand - BTX'!P8</f>
        <v>14.70831998880719</v>
      </c>
      <c r="G47" s="553">
        <f>'Yearly Demand - BTX'!Q8</f>
        <v>15.067597561518436</v>
      </c>
      <c r="H47" s="553">
        <f>'Yearly Demand - BTX'!R8</f>
        <v>15.435651144974043</v>
      </c>
      <c r="I47" s="553">
        <f>'Yearly Demand - BTX'!S8</f>
        <v>15.812695109261186</v>
      </c>
      <c r="J47" s="553">
        <f>'Yearly Demand - BTX'!T8</f>
        <v>16.069756902396676</v>
      </c>
      <c r="K47" s="553">
        <f>'Yearly Demand - BTX'!U8</f>
        <v>16.330997664710626</v>
      </c>
      <c r="L47" s="553">
        <f>'Yearly Demand - BTX'!V8</f>
        <v>16.596485332333032</v>
      </c>
      <c r="M47" s="553">
        <f>'Yearly Demand - BTX'!W8</f>
        <v>16.866288945809249</v>
      </c>
      <c r="N47" s="553">
        <f>'Yearly Demand - BTX'!X8</f>
        <v>17.140478668054111</v>
      </c>
      <c r="O47" s="553">
        <f>'Yearly Demand - BTX'!Y8</f>
        <v>17.306232373057512</v>
      </c>
      <c r="P47" s="553">
        <f>'Yearly Demand - BTX'!Z8</f>
        <v>17.47358896741158</v>
      </c>
      <c r="Q47" s="553">
        <f>'Yearly Demand - BTX'!AA8</f>
        <v>17.642563951549747</v>
      </c>
      <c r="R47" s="553">
        <f>'Yearly Demand - BTX'!AB8</f>
        <v>17.813172975799407</v>
      </c>
      <c r="S47" s="553">
        <f>'Yearly Demand - BTX'!AC8</f>
        <v>17.985431841831428</v>
      </c>
      <c r="T47" s="553">
        <f>'Yearly Demand - BTX'!AD8</f>
        <v>18.151333486494938</v>
      </c>
      <c r="U47" s="553">
        <f>'Yearly Demand - BTX'!AE8</f>
        <v>18.318765445022699</v>
      </c>
      <c r="V47" s="553">
        <f>'Yearly Demand - BTX'!AF8</f>
        <v>18.487741833371953</v>
      </c>
      <c r="W47" s="553">
        <f>'Yearly Demand - BTX'!AG8</f>
        <v>18.658276897708696</v>
      </c>
      <c r="X47" s="553">
        <f>'Yearly Demand - BTX'!AH8</f>
        <v>18.830385015608741</v>
      </c>
      <c r="Y47" s="553">
        <f>'Yearly Demand - BTX'!AI8</f>
        <v>18.902258804305458</v>
      </c>
      <c r="Z47" s="553">
        <f>'Yearly Demand - BTX'!AJ8</f>
        <v>18.974406928417906</v>
      </c>
      <c r="AA47" s="553">
        <f>'Yearly Demand - BTX'!AK8</f>
        <v>19.046830435058279</v>
      </c>
      <c r="AB47" s="553">
        <f>'Yearly Demand - BTX'!AL8</f>
        <v>19.119530375335486</v>
      </c>
      <c r="AC47" s="553">
        <f>'Yearly Demand - BTX'!AM8</f>
        <v>19.192507804370447</v>
      </c>
      <c r="AD47" s="553">
        <f>'Yearly Demand - BTX'!AN8</f>
        <v>19.240549726814653</v>
      </c>
      <c r="AE47" s="553">
        <f>'Yearly Demand - BTX'!AO8</f>
        <v>19.288711905888977</v>
      </c>
      <c r="AF47" s="553">
        <f>'Yearly Demand - BTX'!AP8</f>
        <v>19.336994642615036</v>
      </c>
      <c r="AG47" s="553">
        <f>'Yearly Demand - BTX'!AQ8</f>
        <v>19.385398238767955</v>
      </c>
      <c r="AH47" s="553">
        <f>'Yearly Demand - BTX'!AR8</f>
        <v>19.433922996878252</v>
      </c>
      <c r="AI47" s="553"/>
      <c r="AJ47" s="553">
        <f>D47</f>
        <v>14.015260831000658</v>
      </c>
      <c r="AK47" s="553">
        <f t="shared" ref="AK47:BN47" si="329">E47</f>
        <v>14.357609168275665</v>
      </c>
      <c r="AL47" s="553">
        <f t="shared" si="329"/>
        <v>14.70831998880719</v>
      </c>
      <c r="AM47" s="553">
        <f t="shared" si="329"/>
        <v>15.067597561518436</v>
      </c>
      <c r="AN47" s="553">
        <f t="shared" si="329"/>
        <v>15.435651144974043</v>
      </c>
      <c r="AO47" s="553">
        <f t="shared" si="329"/>
        <v>15.812695109261186</v>
      </c>
      <c r="AP47" s="553">
        <f t="shared" si="329"/>
        <v>16.069756902396676</v>
      </c>
      <c r="AQ47" s="553">
        <f t="shared" si="329"/>
        <v>16.330997664710626</v>
      </c>
      <c r="AR47" s="553">
        <f t="shared" si="329"/>
        <v>16.596485332333032</v>
      </c>
      <c r="AS47" s="553">
        <f t="shared" si="329"/>
        <v>16.866288945809249</v>
      </c>
      <c r="AT47" s="553">
        <f t="shared" si="329"/>
        <v>17.140478668054111</v>
      </c>
      <c r="AU47" s="553">
        <f t="shared" si="329"/>
        <v>17.306232373057512</v>
      </c>
      <c r="AV47" s="553">
        <f t="shared" si="329"/>
        <v>17.47358896741158</v>
      </c>
      <c r="AW47" s="553">
        <f t="shared" si="329"/>
        <v>17.642563951549747</v>
      </c>
      <c r="AX47" s="553">
        <f t="shared" si="329"/>
        <v>17.813172975799407</v>
      </c>
      <c r="AY47" s="553">
        <f t="shared" si="329"/>
        <v>17.985431841831428</v>
      </c>
      <c r="AZ47" s="553">
        <f t="shared" si="329"/>
        <v>18.151333486494938</v>
      </c>
      <c r="BA47" s="553">
        <f t="shared" si="329"/>
        <v>18.318765445022699</v>
      </c>
      <c r="BB47" s="553">
        <f t="shared" si="329"/>
        <v>18.487741833371953</v>
      </c>
      <c r="BC47" s="553">
        <f t="shared" si="329"/>
        <v>18.658276897708696</v>
      </c>
      <c r="BD47" s="553">
        <f t="shared" si="329"/>
        <v>18.830385015608741</v>
      </c>
      <c r="BE47" s="553">
        <f t="shared" si="329"/>
        <v>18.902258804305458</v>
      </c>
      <c r="BF47" s="553">
        <f t="shared" si="329"/>
        <v>18.974406928417906</v>
      </c>
      <c r="BG47" s="553">
        <f t="shared" si="329"/>
        <v>19.046830435058279</v>
      </c>
      <c r="BH47" s="553">
        <f t="shared" si="329"/>
        <v>19.119530375335486</v>
      </c>
      <c r="BI47" s="553">
        <f t="shared" si="329"/>
        <v>19.192507804370447</v>
      </c>
      <c r="BJ47" s="553">
        <f t="shared" si="329"/>
        <v>19.240549726814653</v>
      </c>
      <c r="BK47" s="553">
        <f t="shared" si="329"/>
        <v>19.288711905888977</v>
      </c>
      <c r="BL47" s="553">
        <f t="shared" si="329"/>
        <v>19.336994642615036</v>
      </c>
      <c r="BM47" s="553">
        <f t="shared" si="329"/>
        <v>19.385398238767955</v>
      </c>
      <c r="BN47" s="553">
        <f t="shared" si="329"/>
        <v>19.433922996878252</v>
      </c>
      <c r="BO47" s="553"/>
      <c r="BP47" s="553">
        <f>AJ47</f>
        <v>14.015260831000658</v>
      </c>
      <c r="BQ47" s="553">
        <f t="shared" ref="BQ47" si="330">AK47</f>
        <v>14.357609168275665</v>
      </c>
      <c r="BR47" s="553">
        <f t="shared" ref="BR47" si="331">AL47</f>
        <v>14.70831998880719</v>
      </c>
      <c r="BS47" s="553">
        <f t="shared" ref="BS47" si="332">AM47</f>
        <v>15.067597561518436</v>
      </c>
      <c r="BT47" s="553">
        <f t="shared" ref="BT47" si="333">AN47</f>
        <v>15.435651144974043</v>
      </c>
      <c r="BU47" s="553">
        <f t="shared" ref="BU47" si="334">AO47</f>
        <v>15.812695109261186</v>
      </c>
      <c r="BV47" s="553">
        <f t="shared" ref="BV47" si="335">AP47</f>
        <v>16.069756902396676</v>
      </c>
      <c r="BW47" s="553">
        <f t="shared" ref="BW47" si="336">AQ47</f>
        <v>16.330997664710626</v>
      </c>
      <c r="BX47" s="553">
        <f t="shared" ref="BX47" si="337">AR47</f>
        <v>16.596485332333032</v>
      </c>
      <c r="BY47" s="553">
        <f t="shared" ref="BY47" si="338">AS47</f>
        <v>16.866288945809249</v>
      </c>
      <c r="BZ47" s="553">
        <f t="shared" ref="BZ47" si="339">AT47</f>
        <v>17.140478668054111</v>
      </c>
      <c r="CA47" s="553">
        <f t="shared" ref="CA47" si="340">AU47</f>
        <v>17.306232373057512</v>
      </c>
      <c r="CB47" s="553">
        <f t="shared" ref="CB47" si="341">AV47</f>
        <v>17.47358896741158</v>
      </c>
      <c r="CC47" s="553">
        <f t="shared" ref="CC47" si="342">AW47</f>
        <v>17.642563951549747</v>
      </c>
      <c r="CD47" s="553">
        <f t="shared" ref="CD47" si="343">AX47</f>
        <v>17.813172975799407</v>
      </c>
      <c r="CE47" s="553">
        <f t="shared" ref="CE47" si="344">AY47</f>
        <v>17.985431841831428</v>
      </c>
      <c r="CF47" s="553">
        <f t="shared" ref="CF47" si="345">AZ47</f>
        <v>18.151333486494938</v>
      </c>
      <c r="CG47" s="553">
        <f t="shared" ref="CG47" si="346">BA47</f>
        <v>18.318765445022699</v>
      </c>
      <c r="CH47" s="553">
        <f t="shared" ref="CH47" si="347">BB47</f>
        <v>18.487741833371953</v>
      </c>
      <c r="CI47" s="553">
        <f t="shared" ref="CI47" si="348">BC47</f>
        <v>18.658276897708696</v>
      </c>
      <c r="CJ47" s="553">
        <f t="shared" ref="CJ47" si="349">BD47</f>
        <v>18.830385015608741</v>
      </c>
      <c r="CK47" s="553">
        <f t="shared" ref="CK47" si="350">BE47</f>
        <v>18.902258804305458</v>
      </c>
      <c r="CL47" s="553">
        <f t="shared" ref="CL47" si="351">BF47</f>
        <v>18.974406928417906</v>
      </c>
      <c r="CM47" s="553">
        <f t="shared" ref="CM47" si="352">BG47</f>
        <v>19.046830435058279</v>
      </c>
      <c r="CN47" s="553">
        <f t="shared" ref="CN47" si="353">BH47</f>
        <v>19.119530375335486</v>
      </c>
      <c r="CO47" s="553">
        <f t="shared" ref="CO47" si="354">BI47</f>
        <v>19.192507804370447</v>
      </c>
      <c r="CP47" s="553">
        <f t="shared" ref="CP47" si="355">BJ47</f>
        <v>19.240549726814653</v>
      </c>
      <c r="CQ47" s="553">
        <f t="shared" ref="CQ47" si="356">BK47</f>
        <v>19.288711905888977</v>
      </c>
      <c r="CR47" s="553">
        <f t="shared" ref="CR47" si="357">BL47</f>
        <v>19.336994642615036</v>
      </c>
      <c r="CS47" s="553">
        <f t="shared" ref="CS47" si="358">BM47</f>
        <v>19.385398238767955</v>
      </c>
      <c r="CT47" s="553">
        <f t="shared" ref="CT47" si="359">BN47</f>
        <v>19.433922996878252</v>
      </c>
    </row>
    <row r="48" spans="1:98">
      <c r="A48" s="1" t="s">
        <v>145</v>
      </c>
      <c r="C48" s="54" t="str">
        <f>'Yearly BTX'!C123</f>
        <v>m Tons</v>
      </c>
      <c r="D48" s="44">
        <f>'Yearly BTX'!D130</f>
        <v>14.015257795291385</v>
      </c>
      <c r="E48" s="44">
        <f>'Yearly BTX'!E130</f>
        <v>14.298754854571168</v>
      </c>
      <c r="F48" s="44">
        <f>'Yearly BTX'!F130</f>
        <v>14.565674374425829</v>
      </c>
      <c r="G48" s="44">
        <f>'Yearly BTX'!G130</f>
        <v>14.83933207791252</v>
      </c>
      <c r="H48" s="44">
        <f>'Yearly BTX'!H130</f>
        <v>15.120283266391937</v>
      </c>
      <c r="I48" s="44">
        <f>'Yearly BTX'!I130</f>
        <v>15.409108887788861</v>
      </c>
      <c r="J48" s="44">
        <f>'Yearly BTX'!J130</f>
        <v>15.574742569748423</v>
      </c>
      <c r="K48" s="44">
        <f>'Yearly BTX'!K130</f>
        <v>15.741228833368627</v>
      </c>
      <c r="L48" s="44">
        <f>'Yearly BTX'!L130</f>
        <v>15.908451085434056</v>
      </c>
      <c r="M48" s="44">
        <f>'Yearly BTX'!M130</f>
        <v>16.076172064915944</v>
      </c>
      <c r="N48" s="44">
        <f>'Yearly BTX'!N130</f>
        <v>16.243936108822307</v>
      </c>
      <c r="O48" s="44">
        <f>'Yearly BTX'!O130</f>
        <v>16.217530531741328</v>
      </c>
      <c r="P48" s="44">
        <f>'Yearly BTX'!P130</f>
        <v>16.186432001642519</v>
      </c>
      <c r="Q48" s="44">
        <f>'Yearly BTX'!Q130</f>
        <v>16.150291290798123</v>
      </c>
      <c r="R48" s="44">
        <f>'Yearly BTX'!R130</f>
        <v>16.109144802780442</v>
      </c>
      <c r="S48" s="44">
        <f>'Yearly BTX'!S130</f>
        <v>16.063561975440308</v>
      </c>
      <c r="T48" s="44">
        <f>'Yearly BTX'!T130</f>
        <v>16.002653816712474</v>
      </c>
      <c r="U48" s="44">
        <f>'Yearly BTX'!U130</f>
        <v>15.935631066327646</v>
      </c>
      <c r="V48" s="44">
        <f>'Yearly BTX'!V130</f>
        <v>15.864241244564134</v>
      </c>
      <c r="W48" s="44">
        <f>'Yearly BTX'!W130</f>
        <v>15.790114796509414</v>
      </c>
      <c r="X48" s="44">
        <f>'Yearly BTX'!X130</f>
        <v>15.714379881382222</v>
      </c>
      <c r="Y48" s="44">
        <f>'Yearly BTX'!Y130</f>
        <v>15.484424643861976</v>
      </c>
      <c r="Z48" s="44">
        <f>'Yearly BTX'!Z130</f>
        <v>15.227831225634867</v>
      </c>
      <c r="AA48" s="44">
        <f>'Yearly BTX'!AA130</f>
        <v>14.960928118222718</v>
      </c>
      <c r="AB48" s="44">
        <f>'Yearly BTX'!AB130</f>
        <v>14.685400529998082</v>
      </c>
      <c r="AC48" s="44">
        <f>'Yearly BTX'!AC130</f>
        <v>14.400090870998664</v>
      </c>
      <c r="AD48" s="44">
        <f>'Yearly BTX'!AD130</f>
        <v>14.078047681801086</v>
      </c>
      <c r="AE48" s="44">
        <f>'Yearly BTX'!AE130</f>
        <v>13.742158782176222</v>
      </c>
      <c r="AF48" s="44">
        <f>'Yearly BTX'!AF130</f>
        <v>13.39010682520343</v>
      </c>
      <c r="AG48" s="44">
        <f>'Yearly BTX'!AG130</f>
        <v>13.020094857019616</v>
      </c>
      <c r="AH48" s="44">
        <f>'Yearly BTX'!AH130</f>
        <v>12.6317239136614</v>
      </c>
      <c r="AI48" s="44"/>
      <c r="AJ48" s="44">
        <f>'Yearly BTX'!AJ130</f>
        <v>14.015259091563257</v>
      </c>
      <c r="AK48" s="44">
        <f>'Yearly BTX'!AK130</f>
        <v>14.298757746900462</v>
      </c>
      <c r="AL48" s="44">
        <f>'Yearly BTX'!AL130</f>
        <v>14.565680654986917</v>
      </c>
      <c r="AM48" s="44">
        <f>'Yearly BTX'!AM130</f>
        <v>14.839345588829049</v>
      </c>
      <c r="AN48" s="44">
        <f>'Yearly BTX'!AN130</f>
        <v>15.120312043643526</v>
      </c>
      <c r="AO48" s="44">
        <f>'Yearly BTX'!AO130</f>
        <v>15.409169511604123</v>
      </c>
      <c r="AP48" s="44">
        <f>'Yearly BTX'!AP130</f>
        <v>15.574868959002643</v>
      </c>
      <c r="AQ48" s="44">
        <f>'Yearly BTX'!AQ130</f>
        <v>15.741488996705652</v>
      </c>
      <c r="AR48" s="44">
        <f>'Yearly BTX'!AR130</f>
        <v>15.908978146682438</v>
      </c>
      <c r="AS48" s="44">
        <f>'Yearly BTX'!AS130</f>
        <v>16.077218483315946</v>
      </c>
      <c r="AT48" s="44">
        <f>'Yearly BTX'!AT130</f>
        <v>16.24596984641558</v>
      </c>
      <c r="AU48" s="44">
        <f>'Yearly BTX'!AU130</f>
        <v>16.221173836020665</v>
      </c>
      <c r="AV48" s="44">
        <f>'Yearly BTX'!AV130</f>
        <v>16.192726942521105</v>
      </c>
      <c r="AW48" s="44">
        <f>'Yearly BTX'!AW130</f>
        <v>16.160657219504241</v>
      </c>
      <c r="AX48" s="44">
        <f>'Yearly BTX'!AX130</f>
        <v>16.125300274282694</v>
      </c>
      <c r="AY48" s="44">
        <f>'Yearly BTX'!AY130</f>
        <v>16.087286486333774</v>
      </c>
      <c r="AZ48" s="44">
        <f>'Yearly BTX'!AZ130</f>
        <v>16.035463015446418</v>
      </c>
      <c r="BA48" s="44">
        <f>'Yearly BTX'!BA130</f>
        <v>15.978443139090352</v>
      </c>
      <c r="BB48" s="44">
        <f>'Yearly BTX'!BB130</f>
        <v>15.917203681696634</v>
      </c>
      <c r="BC48" s="44">
        <f>'Yearly BTX'!BC130</f>
        <v>15.852656642982431</v>
      </c>
      <c r="BD48" s="44">
        <f>'Yearly BTX'!BD130</f>
        <v>15.785428781194893</v>
      </c>
      <c r="BE48" s="44">
        <f>'Yearly BTX'!BE130</f>
        <v>15.557769608815473</v>
      </c>
      <c r="BF48" s="44">
        <f>'Yearly BTX'!BF130</f>
        <v>15.31137199740626</v>
      </c>
      <c r="BG48" s="44">
        <f>'Yearly BTX'!BG130</f>
        <v>15.055383472867383</v>
      </c>
      <c r="BH48" s="44">
        <f>'Yearly BTX'!BH130</f>
        <v>14.790854590940423</v>
      </c>
      <c r="BI48" s="44">
        <f>'Yearly BTX'!BI130</f>
        <v>14.517080558611752</v>
      </c>
      <c r="BJ48" s="44">
        <f>'Yearly BTX'!BJ130</f>
        <v>14.207795835895569</v>
      </c>
      <c r="BK48" s="44">
        <f>'Yearly BTX'!BK130</f>
        <v>13.886778085706277</v>
      </c>
      <c r="BL48" s="44">
        <f>'Yearly BTX'!BL130</f>
        <v>13.552669436628529</v>
      </c>
      <c r="BM48" s="44">
        <f>'Yearly BTX'!BM130</f>
        <v>13.204416632406392</v>
      </c>
      <c r="BN48" s="44">
        <f>'Yearly BTX'!BN130</f>
        <v>12.841774688000196</v>
      </c>
      <c r="BO48" s="44"/>
      <c r="BP48" s="44">
        <f>BP47</f>
        <v>14.015260831000658</v>
      </c>
      <c r="BQ48" s="44">
        <f t="shared" ref="BQ48" si="360">BQ47</f>
        <v>14.357609168275665</v>
      </c>
      <c r="BR48" s="44">
        <f t="shared" ref="BR48" si="361">BR47</f>
        <v>14.70831998880719</v>
      </c>
      <c r="BS48" s="44">
        <f t="shared" ref="BS48" si="362">BS47</f>
        <v>15.067597561518436</v>
      </c>
      <c r="BT48" s="44">
        <f t="shared" ref="BT48" si="363">BT47</f>
        <v>15.435651144974043</v>
      </c>
      <c r="BU48" s="44">
        <f t="shared" ref="BU48" si="364">BU47</f>
        <v>15.812695109261186</v>
      </c>
      <c r="BV48" s="44">
        <f t="shared" ref="BV48" si="365">BV47</f>
        <v>16.069756902396676</v>
      </c>
      <c r="BW48" s="44">
        <f t="shared" ref="BW48" si="366">BW47</f>
        <v>16.330997664710626</v>
      </c>
      <c r="BX48" s="44">
        <f t="shared" ref="BX48" si="367">BX47</f>
        <v>16.596485332333032</v>
      </c>
      <c r="BY48" s="44">
        <f t="shared" ref="BY48" si="368">BY47</f>
        <v>16.866288945809249</v>
      </c>
      <c r="BZ48" s="44">
        <f t="shared" ref="BZ48" si="369">BZ47</f>
        <v>17.140478668054111</v>
      </c>
      <c r="CA48" s="44">
        <f t="shared" ref="CA48" si="370">CA47</f>
        <v>17.306232373057512</v>
      </c>
      <c r="CB48" s="44">
        <f t="shared" ref="CB48" si="371">CB47</f>
        <v>17.47358896741158</v>
      </c>
      <c r="CC48" s="44">
        <f t="shared" ref="CC48" si="372">CC47</f>
        <v>17.642563951549747</v>
      </c>
      <c r="CD48" s="44">
        <f t="shared" ref="CD48" si="373">CD47</f>
        <v>17.813172975799407</v>
      </c>
      <c r="CE48" s="44">
        <f t="shared" ref="CE48" si="374">CE47</f>
        <v>17.985431841831428</v>
      </c>
      <c r="CF48" s="44">
        <f t="shared" ref="CF48" si="375">CF47</f>
        <v>18.151333486494938</v>
      </c>
      <c r="CG48" s="44">
        <f t="shared" ref="CG48" si="376">CG47</f>
        <v>18.318765445022699</v>
      </c>
      <c r="CH48" s="44">
        <f t="shared" ref="CH48" si="377">CH47</f>
        <v>18.487741833371953</v>
      </c>
      <c r="CI48" s="44">
        <f t="shared" ref="CI48" si="378">CI47</f>
        <v>18.658276897708696</v>
      </c>
      <c r="CJ48" s="44">
        <f t="shared" ref="CJ48" si="379">CJ47</f>
        <v>18.830385015608741</v>
      </c>
      <c r="CK48" s="44">
        <f t="shared" ref="CK48" si="380">CK47</f>
        <v>18.902258804305458</v>
      </c>
      <c r="CL48" s="44">
        <f t="shared" ref="CL48" si="381">CL47</f>
        <v>18.974406928417906</v>
      </c>
      <c r="CM48" s="44">
        <f t="shared" ref="CM48" si="382">CM47</f>
        <v>19.046830435058279</v>
      </c>
      <c r="CN48" s="44">
        <f t="shared" ref="CN48" si="383">CN47</f>
        <v>19.119530375335486</v>
      </c>
      <c r="CO48" s="44">
        <f t="shared" ref="CO48" si="384">CO47</f>
        <v>19.192507804370447</v>
      </c>
      <c r="CP48" s="44">
        <f t="shared" ref="CP48" si="385">CP47</f>
        <v>19.240549726814653</v>
      </c>
      <c r="CQ48" s="44">
        <f t="shared" ref="CQ48" si="386">CQ47</f>
        <v>19.288711905888977</v>
      </c>
      <c r="CR48" s="44">
        <f t="shared" ref="CR48" si="387">CR47</f>
        <v>19.336994642615036</v>
      </c>
      <c r="CS48" s="44">
        <f t="shared" ref="CS48" si="388">CS47</f>
        <v>19.385398238767955</v>
      </c>
      <c r="CT48" s="44">
        <f t="shared" ref="CT48" si="389">CT47</f>
        <v>19.433922996878252</v>
      </c>
    </row>
    <row r="49" spans="1:98">
      <c r="A49" s="1" t="s">
        <v>119</v>
      </c>
      <c r="C49" s="54" t="str">
        <f>'Yearly BTX'!C125</f>
        <v>m Tons</v>
      </c>
      <c r="D49" s="44">
        <f>'Yearly BTX'!D125*D48/(D43+D48+D53)</f>
        <v>0.63921584810733489</v>
      </c>
      <c r="E49" s="44">
        <f>'Yearly BTX'!E125*E48/(E43+E48+E53)</f>
        <v>0.71487391029074321</v>
      </c>
      <c r="F49" s="44">
        <f>'Yearly BTX'!F125*F48/(F43+F48+F53)</f>
        <v>0.78006923620870305</v>
      </c>
      <c r="G49" s="44">
        <f>'Yearly BTX'!G125*G48/(G43+G48+G53)</f>
        <v>0.84601717804761278</v>
      </c>
      <c r="H49" s="44">
        <f>'Yearly BTX'!H125*H48/(H43+H48+H53)</f>
        <v>0.91225418486643206</v>
      </c>
      <c r="I49" s="44">
        <f>'Yearly BTX'!I125*I48/(I43+I48+I53)</f>
        <v>0.97828423345732407</v>
      </c>
      <c r="J49" s="44">
        <f>'Yearly BTX'!J125*J48/(J43+J48+J53)</f>
        <v>1.0458263386578546</v>
      </c>
      <c r="K49" s="44">
        <f>'Yearly BTX'!K125*K48/(K43+K48+K53)</f>
        <v>1.1147261859316537</v>
      </c>
      <c r="L49" s="44">
        <f>'Yearly BTX'!L125*L48/(L43+L48+L53)</f>
        <v>1.1847501942684919</v>
      </c>
      <c r="M49" s="44">
        <f>'Yearly BTX'!M125*M48/(M43+M48+M53)</f>
        <v>1.2555312145729471</v>
      </c>
      <c r="N49" s="44">
        <f>'Yearly BTX'!N125*N48/(N43+N48+N53)</f>
        <v>1.3264703365275314</v>
      </c>
      <c r="O49" s="44">
        <f>'Yearly BTX'!O125*O48/(O43+O48+O53)</f>
        <v>1.3410734427354798</v>
      </c>
      <c r="P49" s="44">
        <f>'Yearly BTX'!P125*P48/(P43+P48+P53)</f>
        <v>1.3493825143110609</v>
      </c>
      <c r="Q49" s="44">
        <f>'Yearly BTX'!Q125*Q48/(Q43+Q48+Q53)</f>
        <v>1.3504501703788541</v>
      </c>
      <c r="R49" s="44">
        <f>'Yearly BTX'!R125*R48/(R43+R48+R53)</f>
        <v>1.343231239633109</v>
      </c>
      <c r="S49" s="44">
        <f>'Yearly BTX'!S125*S48/(S43+S48+S53)</f>
        <v>1.3274190696836301</v>
      </c>
      <c r="T49" s="44">
        <f>'Yearly BTX'!T125*T48/(T43+T48+T53)</f>
        <v>1.305986377096062</v>
      </c>
      <c r="U49" s="44">
        <f>'Yearly BTX'!U125*U48/(U43+U48+U53)</f>
        <v>1.2802128664834855</v>
      </c>
      <c r="V49" s="44">
        <f>'Yearly BTX'!V125*V48/(V43+V48+V53)</f>
        <v>1.2517815477244625</v>
      </c>
      <c r="W49" s="44">
        <f>'Yearly BTX'!W125*W48/(W43+W48+W53)</f>
        <v>1.2222507275793084</v>
      </c>
      <c r="X49" s="44">
        <f>'Yearly BTX'!X125*X48/(X43+X48+X53)</f>
        <v>1.1926681336954641</v>
      </c>
      <c r="Y49" s="44">
        <f>'Yearly BTX'!Y125*Y48/(Y43+Y48+Y53)</f>
        <v>1.0904446039684081</v>
      </c>
      <c r="Z49" s="44">
        <f>'Yearly BTX'!Z125*Z48/(Z43+Z48+Z53)</f>
        <v>1.1258786792228317</v>
      </c>
      <c r="AA49" s="44">
        <f>'Yearly BTX'!AA125*AA48/(AA43+AA48+AA53)</f>
        <v>1.1726974174246889</v>
      </c>
      <c r="AB49" s="44">
        <f>'Yearly BTX'!AB125*AB48/(AB43+AB48+AB53)</f>
        <v>1.2173094893867531</v>
      </c>
      <c r="AC49" s="44">
        <f>'Yearly BTX'!AC125*AC48/(AC43+AC48+AC53)</f>
        <v>1.2585513395266716</v>
      </c>
      <c r="AD49" s="44">
        <f>'Yearly BTX'!AD125*AD48/(AD43+AD48+AD53)</f>
        <v>1.2947249271021866</v>
      </c>
      <c r="AE49" s="44">
        <f>'Yearly BTX'!AE125*AE48/(AE43+AE48+AE53)</f>
        <v>1.3236377282529392</v>
      </c>
      <c r="AF49" s="44">
        <f>'Yearly BTX'!AF125*AF48/(AF43+AF48+AF53)</f>
        <v>1.3429303970007962</v>
      </c>
      <c r="AG49" s="44">
        <f>'Yearly BTX'!AG125*AG48/(AG43+AG48+AG53)</f>
        <v>1.350745173122087</v>
      </c>
      <c r="AH49" s="44">
        <f>'Yearly BTX'!AH125*AH48/(AH43+AH48+AH53)</f>
        <v>1.3466016212455378</v>
      </c>
      <c r="AI49" s="44"/>
      <c r="AJ49" s="44">
        <f>'Yearly BTX'!AJ125*AJ48/(AJ43+AJ48+AJ53)</f>
        <v>0.63921714437920774</v>
      </c>
      <c r="AK49" s="44">
        <f>'Yearly BTX'!AK125*AK48/(AK43+AK48+AK53)</f>
        <v>0.71487680262003594</v>
      </c>
      <c r="AL49" s="44">
        <f>'Yearly BTX'!AL125*AL48/(AL43+AL48+AL53)</f>
        <v>0.78007551676979103</v>
      </c>
      <c r="AM49" s="44">
        <f>'Yearly BTX'!AM125*AM48/(AM43+AM48+AM53)</f>
        <v>0.84603068896414346</v>
      </c>
      <c r="AN49" s="44">
        <f>'Yearly BTX'!AN125*AN48/(AN43+AN48+AN53)</f>
        <v>0.9122829621180204</v>
      </c>
      <c r="AO49" s="44">
        <f>'Yearly BTX'!AO125*AO48/(AO43+AO48+AO53)</f>
        <v>0.97834485727258702</v>
      </c>
      <c r="AP49" s="44">
        <f>'Yearly BTX'!AP125*AP48/(AP43+AP48+AP53)</f>
        <v>1.0459527279120726</v>
      </c>
      <c r="AQ49" s="44">
        <f>'Yearly BTX'!AQ125*AQ48/(AQ43+AQ48+AQ53)</f>
        <v>1.1149863492686749</v>
      </c>
      <c r="AR49" s="44">
        <f>'Yearly BTX'!AR125*AR48/(AR43+AR48+AR53)</f>
        <v>1.1852772555168742</v>
      </c>
      <c r="AS49" s="44">
        <f>'Yearly BTX'!AS125*AS48/(AS43+AS48+AS53)</f>
        <v>1.2565776329729512</v>
      </c>
      <c r="AT49" s="44">
        <f>'Yearly BTX'!AT125*AT48/(AT43+AT48+AT53)</f>
        <v>1.3285040741208058</v>
      </c>
      <c r="AU49" s="44">
        <f>'Yearly BTX'!AU125*AU48/(AU43+AU48+AU53)</f>
        <v>1.34471674701482</v>
      </c>
      <c r="AV49" s="44">
        <f>'Yearly BTX'!AV125*AV48/(AV43+AV48+AV53)</f>
        <v>1.3556774551896476</v>
      </c>
      <c r="AW49" s="44">
        <f>'Yearly BTX'!AW125*AW48/(AW43+AW48+AW53)</f>
        <v>1.360816099084976</v>
      </c>
      <c r="AX49" s="44">
        <f>'Yearly BTX'!AX125*AX48/(AX43+AX48+AX53)</f>
        <v>1.3593867111353624</v>
      </c>
      <c r="AY49" s="44">
        <f>'Yearly BTX'!AY125*AY48/(AY43+AY48+AY53)</f>
        <v>1.3511435805770982</v>
      </c>
      <c r="AZ49" s="44">
        <f>'Yearly BTX'!AZ125*AZ48/(AZ43+AZ48+AZ53)</f>
        <v>1.3387955758300052</v>
      </c>
      <c r="BA49" s="44">
        <f>'Yearly BTX'!BA125*BA48/(BA43+BA48+BA53)</f>
        <v>1.3230249392461908</v>
      </c>
      <c r="BB49" s="44">
        <f>'Yearly BTX'!BB125*BB48/(BB43+BB48+BB53)</f>
        <v>1.30474398485696</v>
      </c>
      <c r="BC49" s="44">
        <f>'Yearly BTX'!BC125*BC48/(BC43+BC48+BC53)</f>
        <v>1.2847925740523247</v>
      </c>
      <c r="BD49" s="44">
        <f>'Yearly BTX'!BD125*BD48/(BD43+BD48+BD53)</f>
        <v>1.2637170335081354</v>
      </c>
      <c r="BE49" s="44">
        <f>'Yearly BTX'!BE125*BE48/(BE43+BE48+BE53)</f>
        <v>1.1637895689219047</v>
      </c>
      <c r="BF49" s="44">
        <f>'Yearly BTX'!BF125*BF48/(BF43+BF48+BF53)</f>
        <v>1.2094194509942227</v>
      </c>
      <c r="BG49" s="44">
        <f>'Yearly BTX'!BG125*BG48/(BG43+BG48+BG53)</f>
        <v>1.2671527720693545</v>
      </c>
      <c r="BH49" s="44">
        <f>'Yearly BTX'!BH125*BH48/(BH43+BH48+BH53)</f>
        <v>1.3227635503290927</v>
      </c>
      <c r="BI49" s="44">
        <f>'Yearly BTX'!BI125*BI48/(BI43+BI48+BI53)</f>
        <v>1.3755410271397583</v>
      </c>
      <c r="BJ49" s="44">
        <f>'Yearly BTX'!BJ125*BJ48/(BJ43+BJ48+BJ53)</f>
        <v>1.4244730811966682</v>
      </c>
      <c r="BK49" s="44">
        <f>'Yearly BTX'!BK125*BK48/(BK43+BK48+BK53)</f>
        <v>1.4682570317829955</v>
      </c>
      <c r="BL49" s="44">
        <f>'Yearly BTX'!BL125*BL48/(BL43+BL48+BL53)</f>
        <v>1.5054930084258951</v>
      </c>
      <c r="BM49" s="44">
        <f>'Yearly BTX'!BM125*BM48/(BM43+BM48+BM53)</f>
        <v>1.5350669485088626</v>
      </c>
      <c r="BN49" s="44">
        <f>'Yearly BTX'!BN125*BN48/(BN43+BN48+BN53)</f>
        <v>1.5566523955843337</v>
      </c>
      <c r="BO49" s="44"/>
      <c r="BP49" s="44">
        <f>'Yearly BTX'!BP125*BP48/(BP43+BP48+BP53)</f>
        <v>0</v>
      </c>
      <c r="BQ49" s="44">
        <f>'Yearly BTX'!BQ125*BQ48/(BQ43+BQ48+BQ53)</f>
        <v>0</v>
      </c>
      <c r="BR49" s="44">
        <f>'Yearly BTX'!BR125*BR48/(BR43+BR48+BR53)</f>
        <v>0</v>
      </c>
      <c r="BS49" s="44">
        <f>'Yearly BTX'!BS125*BS48/(BS43+BS48+BS53)</f>
        <v>0</v>
      </c>
      <c r="BT49" s="44">
        <f>'Yearly BTX'!BT125*BT48/(BT43+BT48+BT53)</f>
        <v>0</v>
      </c>
      <c r="BU49" s="44">
        <f>'Yearly BTX'!BU125*BU48/(BU43+BU48+BU53)</f>
        <v>0</v>
      </c>
      <c r="BV49" s="44">
        <f>'Yearly BTX'!BV125*BV48/(BV43+BV48+BV53)</f>
        <v>0</v>
      </c>
      <c r="BW49" s="44">
        <f>'Yearly BTX'!BW125*BW48/(BW43+BW48+BW53)</f>
        <v>0</v>
      </c>
      <c r="BX49" s="44">
        <f>'Yearly BTX'!BX125*BX48/(BX43+BX48+BX53)</f>
        <v>0</v>
      </c>
      <c r="BY49" s="44">
        <f>'Yearly BTX'!BY125*BY48/(BY43+BY48+BY53)</f>
        <v>0</v>
      </c>
      <c r="BZ49" s="44">
        <f>'Yearly BTX'!BZ125*BZ48/(BZ43+BZ48+BZ53)</f>
        <v>0</v>
      </c>
      <c r="CA49" s="44">
        <f>'Yearly BTX'!CA125*CA48/(CA43+CA48+CA53)</f>
        <v>0</v>
      </c>
      <c r="CB49" s="44">
        <f>'Yearly BTX'!CB125*CB48/(CB43+CB48+CB53)</f>
        <v>0</v>
      </c>
      <c r="CC49" s="44">
        <f>'Yearly BTX'!CC125*CC48/(CC43+CC48+CC53)</f>
        <v>0</v>
      </c>
      <c r="CD49" s="44">
        <f>'Yearly BTX'!CD125*CD48/(CD43+CD48+CD53)</f>
        <v>0</v>
      </c>
      <c r="CE49" s="44">
        <f>'Yearly BTX'!CE125*CE48/(CE43+CE48+CE53)</f>
        <v>0</v>
      </c>
      <c r="CF49" s="44">
        <f>'Yearly BTX'!CF125*CF48/(CF43+CF48+CF53)</f>
        <v>0</v>
      </c>
      <c r="CG49" s="44">
        <f>'Yearly BTX'!CG125*CG48/(CG43+CG48+CG53)</f>
        <v>0</v>
      </c>
      <c r="CH49" s="44">
        <f>'Yearly BTX'!CH125*CH48/(CH43+CH48+CH53)</f>
        <v>0</v>
      </c>
      <c r="CI49" s="44">
        <f>'Yearly BTX'!CI125*CI48/(CI43+CI48+CI53)</f>
        <v>0</v>
      </c>
      <c r="CJ49" s="44">
        <f>'Yearly BTX'!CJ125*CJ48/(CJ43+CJ48+CJ53)</f>
        <v>0</v>
      </c>
      <c r="CK49" s="44">
        <f>'Yearly BTX'!CK125*CK48/(CK43+CK48+CK53)</f>
        <v>0</v>
      </c>
      <c r="CL49" s="44">
        <f>'Yearly BTX'!CL125*CL48/(CL43+CL48+CL53)</f>
        <v>0</v>
      </c>
      <c r="CM49" s="44">
        <f>'Yearly BTX'!CM125*CM48/(CM43+CM48+CM53)</f>
        <v>0</v>
      </c>
      <c r="CN49" s="44">
        <f>'Yearly BTX'!CN125*CN48/(CN43+CN48+CN53)</f>
        <v>0</v>
      </c>
      <c r="CO49" s="44">
        <f>'Yearly BTX'!CO125*CO48/(CO43+CO48+CO53)</f>
        <v>0</v>
      </c>
      <c r="CP49" s="44">
        <f>'Yearly BTX'!CP125*CP48/(CP43+CP48+CP53)</f>
        <v>0</v>
      </c>
      <c r="CQ49" s="44">
        <f>'Yearly BTX'!CQ125*CQ48/(CQ43+CQ48+CQ53)</f>
        <v>0</v>
      </c>
      <c r="CR49" s="44">
        <f>'Yearly BTX'!CR125*CR48/(CR43+CR48+CR53)</f>
        <v>0</v>
      </c>
      <c r="CS49" s="44">
        <f>'Yearly BTX'!CS125*CS48/(CS43+CS48+CS53)</f>
        <v>0</v>
      </c>
      <c r="CT49" s="44">
        <f>'Yearly BTX'!CT125*CT48/(CT43+CT48+CT53)</f>
        <v>0</v>
      </c>
    </row>
    <row r="50" spans="1:98">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row>
    <row r="51" spans="1:98" s="52" customFormat="1" ht="16" thickBot="1">
      <c r="A51" s="52" t="s">
        <v>146</v>
      </c>
      <c r="C51" s="635"/>
      <c r="D51" s="636"/>
      <c r="E51" s="636"/>
      <c r="F51" s="636"/>
      <c r="G51" s="636"/>
      <c r="H51" s="636"/>
      <c r="I51" s="636"/>
      <c r="J51" s="636"/>
      <c r="K51" s="636"/>
      <c r="L51" s="636"/>
      <c r="M51" s="636"/>
      <c r="N51" s="636"/>
      <c r="O51" s="636"/>
      <c r="P51" s="636"/>
      <c r="Q51" s="636"/>
      <c r="R51" s="636"/>
      <c r="S51" s="636"/>
      <c r="T51" s="636"/>
      <c r="U51" s="636"/>
      <c r="V51" s="636"/>
      <c r="W51" s="636"/>
      <c r="X51" s="636"/>
      <c r="Y51" s="636"/>
      <c r="Z51" s="636"/>
      <c r="AA51" s="636"/>
      <c r="AB51" s="636"/>
      <c r="AC51" s="636"/>
      <c r="AD51" s="636"/>
      <c r="AE51" s="636"/>
      <c r="AF51" s="636"/>
      <c r="AG51" s="636"/>
      <c r="AH51" s="636"/>
      <c r="AI51" s="636"/>
      <c r="AJ51" s="636"/>
      <c r="AK51" s="636"/>
      <c r="AL51" s="636"/>
      <c r="AM51" s="636"/>
      <c r="AN51" s="636"/>
      <c r="AO51" s="636"/>
      <c r="AP51" s="636"/>
      <c r="AQ51" s="636"/>
      <c r="AR51" s="636"/>
      <c r="AS51" s="636"/>
      <c r="AT51" s="636"/>
      <c r="AU51" s="636"/>
      <c r="AV51" s="636"/>
      <c r="AW51" s="636"/>
      <c r="AX51" s="636"/>
      <c r="AY51" s="636"/>
      <c r="AZ51" s="636"/>
      <c r="BA51" s="636"/>
      <c r="BB51" s="636"/>
      <c r="BC51" s="636"/>
      <c r="BD51" s="636"/>
      <c r="BE51" s="636"/>
      <c r="BF51" s="636"/>
      <c r="BG51" s="636"/>
      <c r="BH51" s="636"/>
      <c r="BI51" s="636"/>
      <c r="BJ51" s="636"/>
      <c r="BK51" s="636"/>
      <c r="BL51" s="636"/>
      <c r="BM51" s="636"/>
      <c r="BN51" s="636"/>
      <c r="BO51" s="636"/>
      <c r="BP51" s="636"/>
      <c r="BQ51" s="636"/>
      <c r="BR51" s="636"/>
      <c r="BS51" s="636"/>
      <c r="BT51" s="636"/>
      <c r="BU51" s="636"/>
      <c r="BV51" s="636"/>
      <c r="BW51" s="636"/>
      <c r="BX51" s="636"/>
      <c r="BY51" s="636"/>
      <c r="BZ51" s="636"/>
      <c r="CA51" s="636"/>
      <c r="CB51" s="636"/>
      <c r="CC51" s="636"/>
      <c r="CD51" s="636"/>
      <c r="CE51" s="636"/>
      <c r="CF51" s="636"/>
      <c r="CG51" s="636"/>
      <c r="CH51" s="636"/>
      <c r="CI51" s="636"/>
      <c r="CJ51" s="636"/>
      <c r="CK51" s="636"/>
      <c r="CL51" s="636"/>
      <c r="CM51" s="636"/>
      <c r="CN51" s="636"/>
      <c r="CO51" s="636"/>
      <c r="CP51" s="636"/>
      <c r="CQ51" s="636"/>
      <c r="CR51" s="636"/>
      <c r="CS51" s="636"/>
      <c r="CT51" s="636"/>
    </row>
    <row r="52" spans="1:98" s="554" customFormat="1">
      <c r="A52" s="550" t="s">
        <v>147</v>
      </c>
      <c r="B52" s="551"/>
      <c r="C52" s="552" t="str">
        <f>'Yearly BTX'!C7</f>
        <v>m Tons</v>
      </c>
      <c r="D52" s="553">
        <f>'Yearly Demand - BTX'!N9</f>
        <v>50.26162504910581</v>
      </c>
      <c r="E52" s="553">
        <f>'Yearly Demand - BTX'!O9</f>
        <v>51.48935701726446</v>
      </c>
      <c r="F52" s="553">
        <f>'Yearly Demand - BTX'!P9</f>
        <v>52.747078580549932</v>
      </c>
      <c r="G52" s="553">
        <f>'Yearly Demand - BTX'!Q9</f>
        <v>54.035522289583362</v>
      </c>
      <c r="H52" s="553">
        <f>'Yearly Demand - BTX'!R9</f>
        <v>55.355438588872431</v>
      </c>
      <c r="I52" s="553">
        <f>'Yearly Demand - BTX'!S9</f>
        <v>56.707596253902189</v>
      </c>
      <c r="J52" s="553">
        <f>'Yearly Demand - BTX'!T9</f>
        <v>57.62947302928464</v>
      </c>
      <c r="K52" s="553">
        <f>'Yearly Demand - BTX'!U9</f>
        <v>58.566336452755358</v>
      </c>
      <c r="L52" s="553">
        <f>'Yearly Demand - BTX'!V9</f>
        <v>59.518430157332254</v>
      </c>
      <c r="M52" s="553">
        <f>'Yearly Demand - BTX'!W9</f>
        <v>60.486001736695236</v>
      </c>
      <c r="N52" s="553">
        <f>'Yearly Demand - BTX'!X9</f>
        <v>61.469302809573364</v>
      </c>
      <c r="O52" s="553">
        <f>'Yearly Demand - BTX'!Y9</f>
        <v>62.063729889585559</v>
      </c>
      <c r="P52" s="553">
        <f>'Yearly Demand - BTX'!Z9</f>
        <v>62.663905262441524</v>
      </c>
      <c r="Q52" s="553">
        <f>'Yearly Demand - BTX'!AA9</f>
        <v>63.269884515902532</v>
      </c>
      <c r="R52" s="553">
        <f>'Yearly Demand - BTX'!AB9</f>
        <v>63.881723775280626</v>
      </c>
      <c r="S52" s="553">
        <f>'Yearly Demand - BTX'!AC9</f>
        <v>64.499479708636841</v>
      </c>
      <c r="T52" s="553">
        <f>'Yearly Demand - BTX'!AD9</f>
        <v>65.094437330878407</v>
      </c>
      <c r="U52" s="553">
        <f>'Yearly Demand - BTX'!AE9</f>
        <v>65.694882975253819</v>
      </c>
      <c r="V52" s="553">
        <f>'Yearly Demand - BTX'!AF9</f>
        <v>66.300867264506323</v>
      </c>
      <c r="W52" s="553">
        <f>'Yearly Demand - BTX'!AG9</f>
        <v>66.912441288334634</v>
      </c>
      <c r="X52" s="553">
        <f>'Yearly Demand - BTX'!AH9</f>
        <v>67.529656607700318</v>
      </c>
      <c r="Y52" s="553">
        <f>'Yearly Demand - BTX'!AI9</f>
        <v>67.787410884405801</v>
      </c>
      <c r="Z52" s="553">
        <f>'Yearly Demand - BTX'!AJ9</f>
        <v>68.04614898467112</v>
      </c>
      <c r="AA52" s="553">
        <f>'Yearly Demand - BTX'!AK9</f>
        <v>68.305874663657264</v>
      </c>
      <c r="AB52" s="553">
        <f>'Yearly Demand - BTX'!AL9</f>
        <v>68.566591690858303</v>
      </c>
      <c r="AC52" s="553">
        <f>'Yearly Demand - BTX'!AM9</f>
        <v>68.82830385015609</v>
      </c>
      <c r="AD52" s="553">
        <f>'Yearly Demand - BTX'!AN9</f>
        <v>69.000592123749101</v>
      </c>
      <c r="AE52" s="553">
        <f>'Yearly Demand - BTX'!AO9</f>
        <v>69.173311662498406</v>
      </c>
      <c r="AF52" s="553">
        <f>'Yearly Demand - BTX'!AP9</f>
        <v>69.346463545929794</v>
      </c>
      <c r="AG52" s="553">
        <f>'Yearly Demand - BTX'!AQ9</f>
        <v>69.520048856271288</v>
      </c>
      <c r="AH52" s="553">
        <f>'Yearly Demand - BTX'!AR9</f>
        <v>69.694068678459942</v>
      </c>
      <c r="AI52" s="553"/>
      <c r="AJ52" s="553">
        <f>D52</f>
        <v>50.26162504910581</v>
      </c>
      <c r="AK52" s="553">
        <f t="shared" ref="AK52:BN52" si="390">E52</f>
        <v>51.48935701726446</v>
      </c>
      <c r="AL52" s="553">
        <f t="shared" si="390"/>
        <v>52.747078580549932</v>
      </c>
      <c r="AM52" s="553">
        <f t="shared" si="390"/>
        <v>54.035522289583362</v>
      </c>
      <c r="AN52" s="553">
        <f t="shared" si="390"/>
        <v>55.355438588872431</v>
      </c>
      <c r="AO52" s="553">
        <f t="shared" si="390"/>
        <v>56.707596253902189</v>
      </c>
      <c r="AP52" s="553">
        <f t="shared" si="390"/>
        <v>57.62947302928464</v>
      </c>
      <c r="AQ52" s="553">
        <f t="shared" si="390"/>
        <v>58.566336452755358</v>
      </c>
      <c r="AR52" s="553">
        <f t="shared" si="390"/>
        <v>59.518430157332254</v>
      </c>
      <c r="AS52" s="553">
        <f t="shared" si="390"/>
        <v>60.486001736695236</v>
      </c>
      <c r="AT52" s="553">
        <f t="shared" si="390"/>
        <v>61.469302809573364</v>
      </c>
      <c r="AU52" s="553">
        <f t="shared" si="390"/>
        <v>62.063729889585559</v>
      </c>
      <c r="AV52" s="553">
        <f t="shared" si="390"/>
        <v>62.663905262441524</v>
      </c>
      <c r="AW52" s="553">
        <f t="shared" si="390"/>
        <v>63.269884515902532</v>
      </c>
      <c r="AX52" s="553">
        <f t="shared" si="390"/>
        <v>63.881723775280626</v>
      </c>
      <c r="AY52" s="553">
        <f t="shared" si="390"/>
        <v>64.499479708636841</v>
      </c>
      <c r="AZ52" s="553">
        <f t="shared" si="390"/>
        <v>65.094437330878407</v>
      </c>
      <c r="BA52" s="553">
        <f t="shared" si="390"/>
        <v>65.694882975253819</v>
      </c>
      <c r="BB52" s="553">
        <f t="shared" si="390"/>
        <v>66.300867264506323</v>
      </c>
      <c r="BC52" s="553">
        <f t="shared" si="390"/>
        <v>66.912441288334634</v>
      </c>
      <c r="BD52" s="553">
        <f t="shared" si="390"/>
        <v>67.529656607700318</v>
      </c>
      <c r="BE52" s="553">
        <f t="shared" si="390"/>
        <v>67.787410884405801</v>
      </c>
      <c r="BF52" s="553">
        <f t="shared" si="390"/>
        <v>68.04614898467112</v>
      </c>
      <c r="BG52" s="553">
        <f t="shared" si="390"/>
        <v>68.305874663657264</v>
      </c>
      <c r="BH52" s="553">
        <f t="shared" si="390"/>
        <v>68.566591690858303</v>
      </c>
      <c r="BI52" s="553">
        <f t="shared" si="390"/>
        <v>68.82830385015609</v>
      </c>
      <c r="BJ52" s="553">
        <f t="shared" si="390"/>
        <v>69.000592123749101</v>
      </c>
      <c r="BK52" s="553">
        <f t="shared" si="390"/>
        <v>69.173311662498406</v>
      </c>
      <c r="BL52" s="553">
        <f t="shared" si="390"/>
        <v>69.346463545929794</v>
      </c>
      <c r="BM52" s="553">
        <f t="shared" si="390"/>
        <v>69.520048856271288</v>
      </c>
      <c r="BN52" s="553">
        <f t="shared" si="390"/>
        <v>69.694068678459942</v>
      </c>
      <c r="BO52" s="553"/>
      <c r="BP52" s="553">
        <f>AJ52</f>
        <v>50.26162504910581</v>
      </c>
      <c r="BQ52" s="553">
        <f t="shared" ref="BQ52" si="391">AK52</f>
        <v>51.48935701726446</v>
      </c>
      <c r="BR52" s="553">
        <f t="shared" ref="BR52" si="392">AL52</f>
        <v>52.747078580549932</v>
      </c>
      <c r="BS52" s="553">
        <f t="shared" ref="BS52" si="393">AM52</f>
        <v>54.035522289583362</v>
      </c>
      <c r="BT52" s="553">
        <f t="shared" ref="BT52" si="394">AN52</f>
        <v>55.355438588872431</v>
      </c>
      <c r="BU52" s="553">
        <f t="shared" ref="BU52" si="395">AO52</f>
        <v>56.707596253902189</v>
      </c>
      <c r="BV52" s="553">
        <f t="shared" ref="BV52" si="396">AP52</f>
        <v>57.62947302928464</v>
      </c>
      <c r="BW52" s="553">
        <f t="shared" ref="BW52" si="397">AQ52</f>
        <v>58.566336452755358</v>
      </c>
      <c r="BX52" s="553">
        <f t="shared" ref="BX52" si="398">AR52</f>
        <v>59.518430157332254</v>
      </c>
      <c r="BY52" s="553">
        <f t="shared" ref="BY52" si="399">AS52</f>
        <v>60.486001736695236</v>
      </c>
      <c r="BZ52" s="553">
        <f t="shared" ref="BZ52" si="400">AT52</f>
        <v>61.469302809573364</v>
      </c>
      <c r="CA52" s="553">
        <f t="shared" ref="CA52" si="401">AU52</f>
        <v>62.063729889585559</v>
      </c>
      <c r="CB52" s="553">
        <f t="shared" ref="CB52" si="402">AV52</f>
        <v>62.663905262441524</v>
      </c>
      <c r="CC52" s="553">
        <f t="shared" ref="CC52" si="403">AW52</f>
        <v>63.269884515902532</v>
      </c>
      <c r="CD52" s="553">
        <f t="shared" ref="CD52" si="404">AX52</f>
        <v>63.881723775280626</v>
      </c>
      <c r="CE52" s="553">
        <f t="shared" ref="CE52" si="405">AY52</f>
        <v>64.499479708636841</v>
      </c>
      <c r="CF52" s="553">
        <f t="shared" ref="CF52" si="406">AZ52</f>
        <v>65.094437330878407</v>
      </c>
      <c r="CG52" s="553">
        <f t="shared" ref="CG52" si="407">BA52</f>
        <v>65.694882975253819</v>
      </c>
      <c r="CH52" s="553">
        <f t="shared" ref="CH52" si="408">BB52</f>
        <v>66.300867264506323</v>
      </c>
      <c r="CI52" s="553">
        <f t="shared" ref="CI52" si="409">BC52</f>
        <v>66.912441288334634</v>
      </c>
      <c r="CJ52" s="553">
        <f t="shared" ref="CJ52" si="410">BD52</f>
        <v>67.529656607700318</v>
      </c>
      <c r="CK52" s="553">
        <f t="shared" ref="CK52" si="411">BE52</f>
        <v>67.787410884405801</v>
      </c>
      <c r="CL52" s="553">
        <f t="shared" ref="CL52" si="412">BF52</f>
        <v>68.04614898467112</v>
      </c>
      <c r="CM52" s="553">
        <f t="shared" ref="CM52" si="413">BG52</f>
        <v>68.305874663657264</v>
      </c>
      <c r="CN52" s="553">
        <f t="shared" ref="CN52" si="414">BH52</f>
        <v>68.566591690858303</v>
      </c>
      <c r="CO52" s="553">
        <f t="shared" ref="CO52" si="415">BI52</f>
        <v>68.82830385015609</v>
      </c>
      <c r="CP52" s="553">
        <f t="shared" ref="CP52" si="416">BJ52</f>
        <v>69.000592123749101</v>
      </c>
      <c r="CQ52" s="553">
        <f t="shared" ref="CQ52" si="417">BK52</f>
        <v>69.173311662498406</v>
      </c>
      <c r="CR52" s="553">
        <f t="shared" ref="CR52" si="418">BL52</f>
        <v>69.346463545929794</v>
      </c>
      <c r="CS52" s="553">
        <f t="shared" ref="CS52" si="419">BM52</f>
        <v>69.520048856271288</v>
      </c>
      <c r="CT52" s="553">
        <f t="shared" ref="CT52" si="420">BN52</f>
        <v>69.694068678459942</v>
      </c>
    </row>
    <row r="53" spans="1:98">
      <c r="A53" s="1" t="s">
        <v>148</v>
      </c>
      <c r="C53" s="54" t="str">
        <f>'Yearly BTX'!C124</f>
        <v>m Tons</v>
      </c>
      <c r="D53" s="44">
        <f>'Yearly BTX'!D131</f>
        <v>50.26161416242428</v>
      </c>
      <c r="E53" s="44">
        <f>'Yearly BTX'!E131</f>
        <v>51.278293271565573</v>
      </c>
      <c r="F53" s="44">
        <f>'Yearly BTX'!F131</f>
        <v>52.235521894492635</v>
      </c>
      <c r="G53" s="44">
        <f>'Yearly BTX'!G131</f>
        <v>53.216915038031104</v>
      </c>
      <c r="H53" s="44">
        <f>'Yearly BTX'!H131</f>
        <v>54.224464127750402</v>
      </c>
      <c r="I53" s="44">
        <f>'Yearly BTX'!I131</f>
        <v>55.260252563104885</v>
      </c>
      <c r="J53" s="44">
        <f>'Yearly BTX'!J131</f>
        <v>55.854249215649524</v>
      </c>
      <c r="K53" s="44">
        <f>'Yearly BTX'!K131</f>
        <v>56.451303402425431</v>
      </c>
      <c r="L53" s="44">
        <f>'Yearly BTX'!L131</f>
        <v>57.05099699603938</v>
      </c>
      <c r="M53" s="44">
        <f>'Yearly BTX'!M131</f>
        <v>57.652479129353729</v>
      </c>
      <c r="N53" s="44">
        <f>'Yearly BTX'!N131</f>
        <v>58.254115700604146</v>
      </c>
      <c r="O53" s="44">
        <f>'Yearly BTX'!O131</f>
        <v>58.159419837968898</v>
      </c>
      <c r="P53" s="44">
        <f>'Yearly BTX'!P131</f>
        <v>58.047894074855932</v>
      </c>
      <c r="Q53" s="44">
        <f>'Yearly BTX'!Q131</f>
        <v>57.918286008379475</v>
      </c>
      <c r="R53" s="44">
        <f>'Yearly BTX'!R131</f>
        <v>57.770726189281582</v>
      </c>
      <c r="S53" s="44">
        <f>'Yearly BTX'!S131</f>
        <v>57.607256739510078</v>
      </c>
      <c r="T53" s="44">
        <f>'Yearly BTX'!T131</f>
        <v>57.388827480624052</v>
      </c>
      <c r="U53" s="44">
        <f>'Yearly BTX'!U131</f>
        <v>57.14847003096812</v>
      </c>
      <c r="V53" s="44">
        <f>'Yearly BTX'!V131</f>
        <v>56.892451359816214</v>
      </c>
      <c r="W53" s="44">
        <f>'Yearly BTX'!W131</f>
        <v>56.626618580585493</v>
      </c>
      <c r="X53" s="44">
        <f>'Yearly BTX'!X131</f>
        <v>56.355017505646593</v>
      </c>
      <c r="Y53" s="44">
        <f>'Yearly BTX'!Y131</f>
        <v>55.5303504469533</v>
      </c>
      <c r="Z53" s="44">
        <f>'Yearly BTX'!Z131</f>
        <v>54.610153360897463</v>
      </c>
      <c r="AA53" s="44">
        <f>'Yearly BTX'!AA131</f>
        <v>53.652983596384921</v>
      </c>
      <c r="AB53" s="44">
        <f>'Yearly BTX'!AB131</f>
        <v>52.664884659303475</v>
      </c>
      <c r="AC53" s="44">
        <f>'Yearly BTX'!AC131</f>
        <v>51.641705192546937</v>
      </c>
      <c r="AD53" s="44">
        <f>'Yearly BTX'!AD131</f>
        <v>50.486791686459078</v>
      </c>
      <c r="AE53" s="44">
        <f>'Yearly BTX'!AE131</f>
        <v>49.282224598149213</v>
      </c>
      <c r="AF53" s="44">
        <f>'Yearly BTX'!AF131</f>
        <v>48.01969344210886</v>
      </c>
      <c r="AG53" s="44">
        <f>'Yearly BTX'!AG131</f>
        <v>46.692753970001391</v>
      </c>
      <c r="AH53" s="44">
        <f>'Yearly BTX'!AH131</f>
        <v>45.299975414509852</v>
      </c>
      <c r="AI53" s="44"/>
      <c r="AJ53" s="44">
        <f>'Yearly BTX'!AJ131</f>
        <v>50.261618811123405</v>
      </c>
      <c r="AK53" s="44">
        <f>'Yearly BTX'!AK131</f>
        <v>51.278303644056827</v>
      </c>
      <c r="AL53" s="44">
        <f>'Yearly BTX'!AL131</f>
        <v>52.235544417884121</v>
      </c>
      <c r="AM53" s="44">
        <f>'Yearly BTX'!AM131</f>
        <v>53.216963490973143</v>
      </c>
      <c r="AN53" s="44">
        <f>'Yearly BTX'!AN131</f>
        <v>54.224567328928515</v>
      </c>
      <c r="AO53" s="44">
        <f>'Yearly BTX'!AO131</f>
        <v>55.260469972649275</v>
      </c>
      <c r="AP53" s="44">
        <f>'Yearly BTX'!AP131</f>
        <v>55.854702473664659</v>
      </c>
      <c r="AQ53" s="44">
        <f>'Yearly BTX'!AQ131</f>
        <v>56.452236401978894</v>
      </c>
      <c r="AR53" s="44">
        <f>'Yearly BTX'!AR131</f>
        <v>57.052887146723229</v>
      </c>
      <c r="AS53" s="44">
        <f>'Yearly BTX'!AS131</f>
        <v>57.656231802236498</v>
      </c>
      <c r="AT53" s="44">
        <f>'Yearly BTX'!AT131</f>
        <v>58.261409104386914</v>
      </c>
      <c r="AU53" s="44">
        <f>'Yearly BTX'!AU131</f>
        <v>58.172485480901699</v>
      </c>
      <c r="AV53" s="44">
        <f>'Yearly BTX'!AV131</f>
        <v>58.070469035248102</v>
      </c>
      <c r="AW53" s="44">
        <f>'Yearly BTX'!AW131</f>
        <v>57.955460373394523</v>
      </c>
      <c r="AX53" s="44">
        <f>'Yearly BTX'!AX131</f>
        <v>57.828663052600014</v>
      </c>
      <c r="AY53" s="44">
        <f>'Yearly BTX'!AY131</f>
        <v>57.692337744093535</v>
      </c>
      <c r="AZ53" s="44">
        <f>'Yearly BTX'!AZ131</f>
        <v>57.506488055394051</v>
      </c>
      <c r="BA53" s="44">
        <f>'Yearly BTX'!BA131</f>
        <v>57.302002981565401</v>
      </c>
      <c r="BB53" s="44">
        <f>'Yearly BTX'!BB131</f>
        <v>57.082385617118966</v>
      </c>
      <c r="BC53" s="44">
        <f>'Yearly BTX'!BC131</f>
        <v>56.850906581730101</v>
      </c>
      <c r="BD53" s="44">
        <f>'Yearly BTX'!BD131</f>
        <v>56.609813560147209</v>
      </c>
      <c r="BE53" s="44">
        <f>'Yearly BTX'!BE131</f>
        <v>55.793380666096873</v>
      </c>
      <c r="BF53" s="44">
        <f>'Yearly BTX'!BF131</f>
        <v>54.909747852767282</v>
      </c>
      <c r="BG53" s="44">
        <f>'Yearly BTX'!BG131</f>
        <v>53.991720040627861</v>
      </c>
      <c r="BH53" s="44">
        <f>'Yearly BTX'!BH131</f>
        <v>53.043064739924276</v>
      </c>
      <c r="BI53" s="44">
        <f>'Yearly BTX'!BI131</f>
        <v>52.061254417090424</v>
      </c>
      <c r="BJ53" s="44">
        <f>'Yearly BTX'!BJ131</f>
        <v>50.952095411487555</v>
      </c>
      <c r="BK53" s="44">
        <f>'Yearly BTX'!BK131</f>
        <v>49.800859341843207</v>
      </c>
      <c r="BL53" s="44">
        <f>'Yearly BTX'!BL131</f>
        <v>48.602676600323001</v>
      </c>
      <c r="BM53" s="44">
        <f>'Yearly BTX'!BM131</f>
        <v>47.353769992078099</v>
      </c>
      <c r="BN53" s="44">
        <f>'Yearly BTX'!BN131</f>
        <v>46.053260950069671</v>
      </c>
      <c r="BO53" s="44"/>
      <c r="BP53" s="44">
        <f>BP52</f>
        <v>50.26162504910581</v>
      </c>
      <c r="BQ53" s="44">
        <f t="shared" ref="BQ53" si="421">BQ52</f>
        <v>51.48935701726446</v>
      </c>
      <c r="BR53" s="44">
        <f t="shared" ref="BR53" si="422">BR52</f>
        <v>52.747078580549932</v>
      </c>
      <c r="BS53" s="44">
        <f t="shared" ref="BS53" si="423">BS52</f>
        <v>54.035522289583362</v>
      </c>
      <c r="BT53" s="44">
        <f t="shared" ref="BT53" si="424">BT52</f>
        <v>55.355438588872431</v>
      </c>
      <c r="BU53" s="44">
        <f t="shared" ref="BU53" si="425">BU52</f>
        <v>56.707596253902189</v>
      </c>
      <c r="BV53" s="44">
        <f t="shared" ref="BV53" si="426">BV52</f>
        <v>57.62947302928464</v>
      </c>
      <c r="BW53" s="44">
        <f t="shared" ref="BW53" si="427">BW52</f>
        <v>58.566336452755358</v>
      </c>
      <c r="BX53" s="44">
        <f t="shared" ref="BX53" si="428">BX52</f>
        <v>59.518430157332254</v>
      </c>
      <c r="BY53" s="44">
        <f t="shared" ref="BY53" si="429">BY52</f>
        <v>60.486001736695236</v>
      </c>
      <c r="BZ53" s="44">
        <f t="shared" ref="BZ53" si="430">BZ52</f>
        <v>61.469302809573364</v>
      </c>
      <c r="CA53" s="44">
        <f t="shared" ref="CA53" si="431">CA52</f>
        <v>62.063729889585559</v>
      </c>
      <c r="CB53" s="44">
        <f t="shared" ref="CB53" si="432">CB52</f>
        <v>62.663905262441524</v>
      </c>
      <c r="CC53" s="44">
        <f t="shared" ref="CC53" si="433">CC52</f>
        <v>63.269884515902532</v>
      </c>
      <c r="CD53" s="44">
        <f t="shared" ref="CD53" si="434">CD52</f>
        <v>63.881723775280626</v>
      </c>
      <c r="CE53" s="44">
        <f t="shared" ref="CE53" si="435">CE52</f>
        <v>64.499479708636841</v>
      </c>
      <c r="CF53" s="44">
        <f t="shared" ref="CF53" si="436">CF52</f>
        <v>65.094437330878407</v>
      </c>
      <c r="CG53" s="44">
        <f t="shared" ref="CG53" si="437">CG52</f>
        <v>65.694882975253819</v>
      </c>
      <c r="CH53" s="44">
        <f t="shared" ref="CH53" si="438">CH52</f>
        <v>66.300867264506323</v>
      </c>
      <c r="CI53" s="44">
        <f t="shared" ref="CI53" si="439">CI52</f>
        <v>66.912441288334634</v>
      </c>
      <c r="CJ53" s="44">
        <f t="shared" ref="CJ53" si="440">CJ52</f>
        <v>67.529656607700318</v>
      </c>
      <c r="CK53" s="44">
        <f t="shared" ref="CK53" si="441">CK52</f>
        <v>67.787410884405801</v>
      </c>
      <c r="CL53" s="44">
        <f t="shared" ref="CL53" si="442">CL52</f>
        <v>68.04614898467112</v>
      </c>
      <c r="CM53" s="44">
        <f t="shared" ref="CM53" si="443">CM52</f>
        <v>68.305874663657264</v>
      </c>
      <c r="CN53" s="44">
        <f t="shared" ref="CN53" si="444">CN52</f>
        <v>68.566591690858303</v>
      </c>
      <c r="CO53" s="44">
        <f t="shared" ref="CO53" si="445">CO52</f>
        <v>68.82830385015609</v>
      </c>
      <c r="CP53" s="44">
        <f t="shared" ref="CP53" si="446">CP52</f>
        <v>69.000592123749101</v>
      </c>
      <c r="CQ53" s="44">
        <f t="shared" ref="CQ53" si="447">CQ52</f>
        <v>69.173311662498406</v>
      </c>
      <c r="CR53" s="44">
        <f t="shared" ref="CR53" si="448">CR52</f>
        <v>69.346463545929794</v>
      </c>
      <c r="CS53" s="44">
        <f t="shared" ref="CS53" si="449">CS52</f>
        <v>69.520048856271288</v>
      </c>
      <c r="CT53" s="44">
        <f t="shared" ref="CT53" si="450">CT52</f>
        <v>69.694068678459942</v>
      </c>
    </row>
    <row r="54" spans="1:98">
      <c r="A54" s="1" t="s">
        <v>119</v>
      </c>
      <c r="C54" s="54" t="str">
        <f>'Yearly BTX'!C125</f>
        <v>m Tons</v>
      </c>
      <c r="D54" s="44">
        <f>'Yearly BTX'!D125*D53/(D43+D48+D53)</f>
        <v>2.2923602828676839</v>
      </c>
      <c r="E54" s="44">
        <f>'Yearly BTX'!E125*E53/(E43+E48+E53)</f>
        <v>2.5636857472495622</v>
      </c>
      <c r="F54" s="44">
        <f>'Yearly BTX'!F125*F53/(F43+F48+F53)</f>
        <v>2.7974896746794871</v>
      </c>
      <c r="G54" s="44">
        <f>'Yearly BTX'!G125*G53/(G43+G48+G53)</f>
        <v>3.0339926385155769</v>
      </c>
      <c r="H54" s="44">
        <f>'Yearly BTX'!H125*H53/(H43+H48+H53)</f>
        <v>3.27153224917617</v>
      </c>
      <c r="I54" s="44">
        <f>'Yearly BTX'!I125*I53/(I43+I48+I53)</f>
        <v>3.5083296648124724</v>
      </c>
      <c r="J54" s="44">
        <f>'Yearly BTX'!J125*J53/(J43+J48+J53)</f>
        <v>3.750549628290238</v>
      </c>
      <c r="K54" s="44">
        <f>'Yearly BTX'!K125*K53/(K43+K48+K53)</f>
        <v>3.9976387357548973</v>
      </c>
      <c r="L54" s="44">
        <f>'Yearly BTX'!L125*L53/(L43+L48+L53)</f>
        <v>4.2487593173766625</v>
      </c>
      <c r="M54" s="44">
        <f>'Yearly BTX'!M125*M53/(M43+M48+M53)</f>
        <v>4.5025947005374656</v>
      </c>
      <c r="N54" s="44">
        <f>'Yearly BTX'!N125*N53/(N43+N48+N53)</f>
        <v>4.7569970689263208</v>
      </c>
      <c r="O54" s="44">
        <f>'Yearly BTX'!O125*O53/(O43+O48+O53)</f>
        <v>4.8093668291203411</v>
      </c>
      <c r="P54" s="44">
        <f>'Yearly BTX'!P125*P53/(P43+P48+P53)</f>
        <v>4.8391648789086332</v>
      </c>
      <c r="Q54" s="44">
        <f>'Yearly BTX'!Q125*Q53/(Q43+Q48+Q53)</f>
        <v>4.8429937144620974</v>
      </c>
      <c r="R54" s="44">
        <f>'Yearly BTX'!R125*R53/(R43+R48+R53)</f>
        <v>4.8171051352359777</v>
      </c>
      <c r="S54" s="44">
        <f>'Yearly BTX'!S125*S53/(S43+S48+S53)</f>
        <v>4.7603994223137089</v>
      </c>
      <c r="T54" s="44">
        <f>'Yearly BTX'!T125*T53/(T43+T48+T53)</f>
        <v>4.6835373523444996</v>
      </c>
      <c r="U54" s="44">
        <f>'Yearly BTX'!U125*U53/(U43+U48+U53)</f>
        <v>4.5911082108373282</v>
      </c>
      <c r="V54" s="44">
        <f>'Yearly BTX'!V125*V53/(V43+V48+V53)</f>
        <v>4.4891476194256592</v>
      </c>
      <c r="W54" s="44">
        <f>'Yearly BTX'!W125*W53/(W43+W48+W53)</f>
        <v>4.3832439885602792</v>
      </c>
      <c r="X54" s="44">
        <f>'Yearly BTX'!X125*X53/(X43+X48+X53)</f>
        <v>4.2771546863561474</v>
      </c>
      <c r="Y54" s="44">
        <f>'Yearly BTX'!Y125*Y53/(Y43+Y48+Y53)</f>
        <v>3.9105599590591198</v>
      </c>
      <c r="Z54" s="44">
        <f>'Yearly BTX'!Z125*Z53/(Z43+Z48+Z53)</f>
        <v>4.0376338841094652</v>
      </c>
      <c r="AA54" s="44">
        <f>'Yearly BTX'!AA125*AA53/(AA43+AA48+AA53)</f>
        <v>4.205535565936815</v>
      </c>
      <c r="AB54" s="44">
        <f>'Yearly BTX'!AB125*AB53/(AB43+AB48+AB53)</f>
        <v>4.3655236860766333</v>
      </c>
      <c r="AC54" s="44">
        <f>'Yearly BTX'!AC125*AC53/(AC43+AC48+AC53)</f>
        <v>4.5134254934749611</v>
      </c>
      <c r="AD54" s="44">
        <f>'Yearly BTX'!AD125*AD53/(AD43+AD48+AD53)</f>
        <v>4.6431514627112911</v>
      </c>
      <c r="AE54" s="44">
        <f>'Yearly BTX'!AE125*AE53/(AE43+AE48+AE53)</f>
        <v>4.7468387495967477</v>
      </c>
      <c r="AF54" s="44">
        <f>'Yearly BTX'!AF125*AF53/(AF43+AF48+AF53)</f>
        <v>4.8160262513132013</v>
      </c>
      <c r="AG54" s="44">
        <f>'Yearly BTX'!AG125*AG53/(AG43+AG48+AG53)</f>
        <v>4.8440516553343818</v>
      </c>
      <c r="AH54" s="44">
        <f>'Yearly BTX'!AH125*AH53/(AH43+AH48+AH53)</f>
        <v>4.8291920210184802</v>
      </c>
      <c r="AI54" s="44"/>
      <c r="AJ54" s="44">
        <f>'Yearly BTX'!AJ125*AJ53/(AJ43+AJ48+AJ53)</f>
        <v>2.292364931566814</v>
      </c>
      <c r="AK54" s="44">
        <f>'Yearly BTX'!AK125*AK53/(AK43+AK48+AK53)</f>
        <v>2.5636961197408183</v>
      </c>
      <c r="AL54" s="44">
        <f>'Yearly BTX'!AL125*AL53/(AL43+AL48+AL53)</f>
        <v>2.797512198070975</v>
      </c>
      <c r="AM54" s="44">
        <f>'Yearly BTX'!AM125*AM53/(AM43+AM48+AM53)</f>
        <v>3.0340410914576181</v>
      </c>
      <c r="AN54" s="44">
        <f>'Yearly BTX'!AN125*AN53/(AN43+AN48+AN53)</f>
        <v>3.2716354503542808</v>
      </c>
      <c r="AO54" s="44">
        <f>'Yearly BTX'!AO125*AO53/(AO43+AO48+AO53)</f>
        <v>3.5085470743568643</v>
      </c>
      <c r="AP54" s="44">
        <f>'Yearly BTX'!AP125*AP53/(AP43+AP48+AP53)</f>
        <v>3.7510028863053639</v>
      </c>
      <c r="AQ54" s="44">
        <f>'Yearly BTX'!AQ125*AQ53/(AQ43+AQ48+AQ53)</f>
        <v>3.9985717353083521</v>
      </c>
      <c r="AR54" s="44">
        <f>'Yearly BTX'!AR125*AR53/(AR43+AR48+AR53)</f>
        <v>4.2506494680605149</v>
      </c>
      <c r="AS54" s="44">
        <f>'Yearly BTX'!AS125*AS53/(AS43+AS48+AS53)</f>
        <v>4.5063473734202395</v>
      </c>
      <c r="AT54" s="44">
        <f>'Yearly BTX'!AT125*AT53/(AT43+AT48+AT53)</f>
        <v>4.7642904727090976</v>
      </c>
      <c r="AU54" s="44">
        <f>'Yearly BTX'!AU125*AU53/(AU43+AU48+AU53)</f>
        <v>4.8224324720531477</v>
      </c>
      <c r="AV54" s="44">
        <f>'Yearly BTX'!AV125*AV53/(AV43+AV48+AV53)</f>
        <v>4.8617398393008049</v>
      </c>
      <c r="AW54" s="44">
        <f>'Yearly BTX'!AW125*AW53/(AW43+AW48+AW53)</f>
        <v>4.8801680794771558</v>
      </c>
      <c r="AX54" s="44">
        <f>'Yearly BTX'!AX125*AX53/(AX43+AX48+AX53)</f>
        <v>4.875041998554404</v>
      </c>
      <c r="AY54" s="44">
        <f>'Yearly BTX'!AY125*AY53/(AY43+AY48+AY53)</f>
        <v>4.8454804268971792</v>
      </c>
      <c r="AZ54" s="44">
        <f>'Yearly BTX'!AZ125*AZ53/(AZ43+AZ48+AZ53)</f>
        <v>4.8011979271145018</v>
      </c>
      <c r="BA54" s="44">
        <f>'Yearly BTX'!BA125*BA53/(BA43+BA48+BA53)</f>
        <v>4.7446411614346156</v>
      </c>
      <c r="BB54" s="44">
        <f>'Yearly BTX'!BB125*BB53/(BB43+BB48+BB53)</f>
        <v>4.6790818767284081</v>
      </c>
      <c r="BC54" s="44">
        <f>'Yearly BTX'!BC125*BC53/(BC43+BC48+BC53)</f>
        <v>4.6075319897048885</v>
      </c>
      <c r="BD54" s="44">
        <f>'Yearly BTX'!BD125*BD53/(BD43+BD48+BD53)</f>
        <v>4.5319507408567619</v>
      </c>
      <c r="BE54" s="44">
        <f>'Yearly BTX'!BE125*BE53/(BE43+BE48+BE53)</f>
        <v>4.1735901782026934</v>
      </c>
      <c r="BF54" s="44">
        <f>'Yearly BTX'!BF125*BF53/(BF43+BF48+BF53)</f>
        <v>4.337228375979282</v>
      </c>
      <c r="BG54" s="44">
        <f>'Yearly BTX'!BG125*BG53/(BG43+BG48+BG53)</f>
        <v>4.5442720101797551</v>
      </c>
      <c r="BH54" s="44">
        <f>'Yearly BTX'!BH125*BH53/(BH43+BH48+BH53)</f>
        <v>4.7437037666974362</v>
      </c>
      <c r="BI54" s="44">
        <f>'Yearly BTX'!BI125*BI53/(BI43+BI48+BI53)</f>
        <v>4.9329747180184444</v>
      </c>
      <c r="BJ54" s="44">
        <f>'Yearly BTX'!BJ125*BJ53/(BJ43+BJ48+BJ53)</f>
        <v>5.108455187739775</v>
      </c>
      <c r="BK54" s="44">
        <f>'Yearly BTX'!BK125*BK53/(BK43+BK48+BK53)</f>
        <v>5.2654734932907425</v>
      </c>
      <c r="BL54" s="44">
        <f>'Yearly BTX'!BL125*BL53/(BL43+BL48+BL53)</f>
        <v>5.3990094095273484</v>
      </c>
      <c r="BM54" s="44">
        <f>'Yearly BTX'!BM125*BM53/(BM43+BM48+BM53)</f>
        <v>5.5050676774110929</v>
      </c>
      <c r="BN54" s="44">
        <f>'Yearly BTX'!BN125*BN53/(BN43+BN48+BN53)</f>
        <v>5.5824775565782998</v>
      </c>
      <c r="BO54" s="44"/>
      <c r="BP54" s="44">
        <f>'Yearly BTX'!BP125*BP53/(BP43+BP48+BP53)</f>
        <v>0</v>
      </c>
      <c r="BQ54" s="44">
        <f>'Yearly BTX'!BQ125*BQ53/(BQ43+BQ48+BQ53)</f>
        <v>0</v>
      </c>
      <c r="BR54" s="44">
        <f>'Yearly BTX'!BR125*BR53/(BR43+BR48+BR53)</f>
        <v>0</v>
      </c>
      <c r="BS54" s="44">
        <f>'Yearly BTX'!BS125*BS53/(BS43+BS48+BS53)</f>
        <v>0</v>
      </c>
      <c r="BT54" s="44">
        <f>'Yearly BTX'!BT125*BT53/(BT43+BT48+BT53)</f>
        <v>0</v>
      </c>
      <c r="BU54" s="44">
        <f>'Yearly BTX'!BU125*BU53/(BU43+BU48+BU53)</f>
        <v>0</v>
      </c>
      <c r="BV54" s="44">
        <f>'Yearly BTX'!BV125*BV53/(BV43+BV48+BV53)</f>
        <v>0</v>
      </c>
      <c r="BW54" s="44">
        <f>'Yearly BTX'!BW125*BW53/(BW43+BW48+BW53)</f>
        <v>0</v>
      </c>
      <c r="BX54" s="44">
        <f>'Yearly BTX'!BX125*BX53/(BX43+BX48+BX53)</f>
        <v>0</v>
      </c>
      <c r="BY54" s="44">
        <f>'Yearly BTX'!BY125*BY53/(BY43+BY48+BY53)</f>
        <v>0</v>
      </c>
      <c r="BZ54" s="44">
        <f>'Yearly BTX'!BZ125*BZ53/(BZ43+BZ48+BZ53)</f>
        <v>0</v>
      </c>
      <c r="CA54" s="44">
        <f>'Yearly BTX'!CA125*CA53/(CA43+CA48+CA53)</f>
        <v>0</v>
      </c>
      <c r="CB54" s="44">
        <f>'Yearly BTX'!CB125*CB53/(CB43+CB48+CB53)</f>
        <v>0</v>
      </c>
      <c r="CC54" s="44">
        <f>'Yearly BTX'!CC125*CC53/(CC43+CC48+CC53)</f>
        <v>0</v>
      </c>
      <c r="CD54" s="44">
        <f>'Yearly BTX'!CD125*CD53/(CD43+CD48+CD53)</f>
        <v>0</v>
      </c>
      <c r="CE54" s="44">
        <f>'Yearly BTX'!CE125*CE53/(CE43+CE48+CE53)</f>
        <v>0</v>
      </c>
      <c r="CF54" s="44">
        <f>'Yearly BTX'!CF125*CF53/(CF43+CF48+CF53)</f>
        <v>0</v>
      </c>
      <c r="CG54" s="44">
        <f>'Yearly BTX'!CG125*CG53/(CG43+CG48+CG53)</f>
        <v>0</v>
      </c>
      <c r="CH54" s="44">
        <f>'Yearly BTX'!CH125*CH53/(CH43+CH48+CH53)</f>
        <v>0</v>
      </c>
      <c r="CI54" s="44">
        <f>'Yearly BTX'!CI125*CI53/(CI43+CI48+CI53)</f>
        <v>0</v>
      </c>
      <c r="CJ54" s="44">
        <f>'Yearly BTX'!CJ125*CJ53/(CJ43+CJ48+CJ53)</f>
        <v>0</v>
      </c>
      <c r="CK54" s="44">
        <f>'Yearly BTX'!CK125*CK53/(CK43+CK48+CK53)</f>
        <v>0</v>
      </c>
      <c r="CL54" s="44">
        <f>'Yearly BTX'!CL125*CL53/(CL43+CL48+CL53)</f>
        <v>0</v>
      </c>
      <c r="CM54" s="44">
        <f>'Yearly BTX'!CM125*CM53/(CM43+CM48+CM53)</f>
        <v>0</v>
      </c>
      <c r="CN54" s="44">
        <f>'Yearly BTX'!CN125*CN53/(CN43+CN48+CN53)</f>
        <v>0</v>
      </c>
      <c r="CO54" s="44">
        <f>'Yearly BTX'!CO125*CO53/(CO43+CO48+CO53)</f>
        <v>0</v>
      </c>
      <c r="CP54" s="44">
        <f>'Yearly BTX'!CP125*CP53/(CP43+CP48+CP53)</f>
        <v>0</v>
      </c>
      <c r="CQ54" s="44">
        <f>'Yearly BTX'!CQ125*CQ53/(CQ43+CQ48+CQ53)</f>
        <v>0</v>
      </c>
      <c r="CR54" s="44">
        <f>'Yearly BTX'!CR125*CR53/(CR43+CR48+CR53)</f>
        <v>0</v>
      </c>
      <c r="CS54" s="44">
        <f>'Yearly BTX'!CS125*CS53/(CS43+CS48+CS53)</f>
        <v>0</v>
      </c>
      <c r="CT54" s="44">
        <f>'Yearly BTX'!CT125*CT53/(CT43+CT48+CT53)</f>
        <v>0</v>
      </c>
    </row>
    <row r="55" spans="1:98">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row>
    <row r="56" spans="1:98" s="52" customFormat="1" ht="16" thickBot="1">
      <c r="A56" s="52" t="s">
        <v>10</v>
      </c>
      <c r="C56" s="635"/>
    </row>
    <row r="57" spans="1:98" s="554" customFormat="1">
      <c r="A57" s="550" t="s">
        <v>149</v>
      </c>
      <c r="B57" s="551"/>
      <c r="C57" s="552" t="str">
        <f>'Yearly HC Propylene'!C29</f>
        <v>m Tons</v>
      </c>
      <c r="D57" s="553">
        <f>'Yearly Butadiene'!D4</f>
        <v>14.947368421052632</v>
      </c>
      <c r="E57" s="553">
        <f>'Yearly Butadiene'!E4</f>
        <v>15.331407031113367</v>
      </c>
      <c r="F57" s="553">
        <f>'Yearly Butadiene'!F4</f>
        <v>15.725312639154138</v>
      </c>
      <c r="G57" s="553">
        <f>'Yearly Butadiene'!G4</f>
        <v>16.129338755229892</v>
      </c>
      <c r="H57" s="553">
        <f>'Yearly Butadiene'!H4</f>
        <v>16.543745402759424</v>
      </c>
      <c r="I57" s="553">
        <f>'Yearly Butadiene'!I4</f>
        <v>16.968799285871444</v>
      </c>
      <c r="J57" s="553">
        <f>'Yearly Butadiene'!J4</f>
        <v>17.381667623855559</v>
      </c>
      <c r="K57" s="553">
        <f>'Yearly Butadiene'!K4</f>
        <v>17.804581473112339</v>
      </c>
      <c r="L57" s="553">
        <f>'Yearly Butadiene'!L4</f>
        <v>18.237785251262231</v>
      </c>
      <c r="M57" s="553">
        <f>'Yearly Butadiene'!M4</f>
        <v>18.681529322857759</v>
      </c>
      <c r="N57" s="553">
        <f>'Yearly Butadiene'!N4</f>
        <v>19.136070144078495</v>
      </c>
      <c r="O57" s="553">
        <f>'Yearly Butadiene'!O4</f>
        <v>19.545918749372461</v>
      </c>
      <c r="P57" s="553">
        <f>'Yearly Butadiene'!P4</f>
        <v>19.964545326214225</v>
      </c>
      <c r="Q57" s="553">
        <f>'Yearly Butadiene'!Q4</f>
        <v>20.392137877645641</v>
      </c>
      <c r="R57" s="553">
        <f>'Yearly Butadiene'!R4</f>
        <v>20.82888843328162</v>
      </c>
      <c r="S57" s="553">
        <f>'Yearly Butadiene'!S4</f>
        <v>21.274993135549639</v>
      </c>
      <c r="T57" s="553">
        <f>'Yearly Butadiene'!T4</f>
        <v>21.525497628002075</v>
      </c>
      <c r="U57" s="553">
        <f>'Yearly Butadiene'!U4</f>
        <v>21.778951710160086</v>
      </c>
      <c r="V57" s="553">
        <f>'Yearly Butadiene'!V4</f>
        <v>22.035390112256838</v>
      </c>
      <c r="W57" s="553">
        <f>'Yearly Butadiene'!W4</f>
        <v>22.29484797346003</v>
      </c>
      <c r="X57" s="553">
        <f>'Yearly Butadiene'!X4</f>
        <v>22.557360846686933</v>
      </c>
      <c r="Y57" s="553">
        <f>'Yearly Butadiene'!Y4</f>
        <v>22.802623116794138</v>
      </c>
      <c r="Z57" s="553">
        <f>'Yearly Butadiene'!Z4</f>
        <v>23.050552081003854</v>
      </c>
      <c r="AA57" s="553">
        <f>'Yearly Butadiene'!AA4</f>
        <v>23.301176733818313</v>
      </c>
      <c r="AB57" s="553">
        <f>'Yearly Butadiene'!AB4</f>
        <v>23.554526384991924</v>
      </c>
      <c r="AC57" s="553">
        <f>'Yearly Butadiene'!AC4</f>
        <v>23.810630662958982</v>
      </c>
      <c r="AD57" s="553">
        <f>'Yearly Butadiene'!AD4</f>
        <v>24.054451507660676</v>
      </c>
      <c r="AE57" s="553">
        <f>'Yearly Butadiene'!AE4</f>
        <v>24.300769077676058</v>
      </c>
      <c r="AF57" s="553">
        <f>'Yearly Butadiene'!AF4</f>
        <v>24.549608939470946</v>
      </c>
      <c r="AG57" s="553">
        <f>'Yearly Butadiene'!AG4</f>
        <v>24.800996921311754</v>
      </c>
      <c r="AH57" s="553">
        <f>'Yearly Butadiene'!AH4</f>
        <v>25.054959115946328</v>
      </c>
      <c r="AI57" s="553"/>
      <c r="AJ57" s="553">
        <f>'Yearly Butadiene'!AJ4</f>
        <v>14.947368421052632</v>
      </c>
      <c r="AK57" s="553">
        <f>'Yearly Butadiene'!AK4</f>
        <v>15.331407031113367</v>
      </c>
      <c r="AL57" s="553">
        <f>'Yearly Butadiene'!AL4</f>
        <v>15.725312639154138</v>
      </c>
      <c r="AM57" s="553">
        <f>'Yearly Butadiene'!AM4</f>
        <v>16.129338755229892</v>
      </c>
      <c r="AN57" s="553">
        <f>'Yearly Butadiene'!AN4</f>
        <v>16.543745402759424</v>
      </c>
      <c r="AO57" s="553">
        <f>'Yearly Butadiene'!AO4</f>
        <v>16.968799285871444</v>
      </c>
      <c r="AP57" s="553">
        <f>'Yearly Butadiene'!AP4</f>
        <v>17.381667623855559</v>
      </c>
      <c r="AQ57" s="553">
        <f>'Yearly Butadiene'!AQ4</f>
        <v>17.804581473112339</v>
      </c>
      <c r="AR57" s="553">
        <f>'Yearly Butadiene'!AR4</f>
        <v>18.237785251262231</v>
      </c>
      <c r="AS57" s="553">
        <f>'Yearly Butadiene'!AS4</f>
        <v>18.681529322857759</v>
      </c>
      <c r="AT57" s="553">
        <f>'Yearly Butadiene'!AT4</f>
        <v>19.136070144078495</v>
      </c>
      <c r="AU57" s="553">
        <f>'Yearly Butadiene'!AU4</f>
        <v>19.545918749372461</v>
      </c>
      <c r="AV57" s="553">
        <f>'Yearly Butadiene'!AV4</f>
        <v>19.964545326214225</v>
      </c>
      <c r="AW57" s="553">
        <f>'Yearly Butadiene'!AW4</f>
        <v>20.392137877645641</v>
      </c>
      <c r="AX57" s="553">
        <f>'Yearly Butadiene'!AX4</f>
        <v>20.82888843328162</v>
      </c>
      <c r="AY57" s="553">
        <f>'Yearly Butadiene'!AY4</f>
        <v>21.274993135549639</v>
      </c>
      <c r="AZ57" s="553">
        <f>'Yearly Butadiene'!AZ4</f>
        <v>21.525497628002075</v>
      </c>
      <c r="BA57" s="553">
        <f>'Yearly Butadiene'!BA4</f>
        <v>21.778951710160086</v>
      </c>
      <c r="BB57" s="553">
        <f>'Yearly Butadiene'!BB4</f>
        <v>22.035390112256838</v>
      </c>
      <c r="BC57" s="553">
        <f>'Yearly Butadiene'!BC4</f>
        <v>22.29484797346003</v>
      </c>
      <c r="BD57" s="553">
        <f>'Yearly Butadiene'!BD4</f>
        <v>22.557360846686933</v>
      </c>
      <c r="BE57" s="553">
        <f>'Yearly Butadiene'!BE4</f>
        <v>22.802623116794138</v>
      </c>
      <c r="BF57" s="553">
        <f>'Yearly Butadiene'!BF4</f>
        <v>23.050552081003854</v>
      </c>
      <c r="BG57" s="553">
        <f>'Yearly Butadiene'!BG4</f>
        <v>23.301176733818313</v>
      </c>
      <c r="BH57" s="553">
        <f>'Yearly Butadiene'!BH4</f>
        <v>23.554526384991924</v>
      </c>
      <c r="BI57" s="553">
        <f>'Yearly Butadiene'!BI4</f>
        <v>23.810630662958982</v>
      </c>
      <c r="BJ57" s="553">
        <f>'Yearly Butadiene'!BJ4</f>
        <v>24.054451507660676</v>
      </c>
      <c r="BK57" s="553">
        <f>'Yearly Butadiene'!BK4</f>
        <v>24.300769077676058</v>
      </c>
      <c r="BL57" s="553">
        <f>'Yearly Butadiene'!BL4</f>
        <v>24.549608939470946</v>
      </c>
      <c r="BM57" s="553">
        <f>'Yearly Butadiene'!BM4</f>
        <v>24.800996921311754</v>
      </c>
      <c r="BN57" s="553">
        <f>'Yearly Butadiene'!BN4</f>
        <v>25.054959115946328</v>
      </c>
      <c r="BO57" s="553"/>
      <c r="BP57" s="553">
        <f>'Yearly Butadiene'!BP4</f>
        <v>0</v>
      </c>
      <c r="BQ57" s="553">
        <f>'Yearly Butadiene'!BQ4</f>
        <v>0</v>
      </c>
      <c r="BR57" s="553">
        <f>'Yearly Butadiene'!BR4</f>
        <v>0</v>
      </c>
      <c r="BS57" s="553">
        <f>'Yearly Butadiene'!BS4</f>
        <v>0</v>
      </c>
      <c r="BT57" s="553">
        <f>'Yearly Butadiene'!BT4</f>
        <v>0</v>
      </c>
      <c r="BU57" s="553">
        <f>'Yearly Butadiene'!BU4</f>
        <v>0</v>
      </c>
      <c r="BV57" s="553">
        <f>'Yearly Butadiene'!BV4</f>
        <v>0</v>
      </c>
      <c r="BW57" s="553">
        <f>'Yearly Butadiene'!BW4</f>
        <v>0</v>
      </c>
      <c r="BX57" s="553">
        <f>'Yearly Butadiene'!BX4</f>
        <v>0</v>
      </c>
      <c r="BY57" s="553">
        <f>'Yearly Butadiene'!BY4</f>
        <v>0</v>
      </c>
      <c r="BZ57" s="553">
        <f>AJ57</f>
        <v>14.947368421052632</v>
      </c>
      <c r="CA57" s="553">
        <f t="shared" ref="CA57:CT57" si="451">AK57</f>
        <v>15.331407031113367</v>
      </c>
      <c r="CB57" s="553">
        <f t="shared" si="451"/>
        <v>15.725312639154138</v>
      </c>
      <c r="CC57" s="553">
        <f t="shared" si="451"/>
        <v>16.129338755229892</v>
      </c>
      <c r="CD57" s="553">
        <f t="shared" si="451"/>
        <v>16.543745402759424</v>
      </c>
      <c r="CE57" s="553">
        <f t="shared" si="451"/>
        <v>16.968799285871444</v>
      </c>
      <c r="CF57" s="553">
        <f t="shared" si="451"/>
        <v>17.381667623855559</v>
      </c>
      <c r="CG57" s="553">
        <f t="shared" si="451"/>
        <v>17.804581473112339</v>
      </c>
      <c r="CH57" s="553">
        <f t="shared" si="451"/>
        <v>18.237785251262231</v>
      </c>
      <c r="CI57" s="553">
        <f t="shared" si="451"/>
        <v>18.681529322857759</v>
      </c>
      <c r="CJ57" s="553">
        <f t="shared" si="451"/>
        <v>19.136070144078495</v>
      </c>
      <c r="CK57" s="553">
        <f t="shared" si="451"/>
        <v>19.545918749372461</v>
      </c>
      <c r="CL57" s="553">
        <f t="shared" si="451"/>
        <v>19.964545326214225</v>
      </c>
      <c r="CM57" s="553">
        <f t="shared" si="451"/>
        <v>20.392137877645641</v>
      </c>
      <c r="CN57" s="553">
        <f t="shared" si="451"/>
        <v>20.82888843328162</v>
      </c>
      <c r="CO57" s="553">
        <f t="shared" si="451"/>
        <v>21.274993135549639</v>
      </c>
      <c r="CP57" s="553">
        <f t="shared" si="451"/>
        <v>21.525497628002075</v>
      </c>
      <c r="CQ57" s="553">
        <f t="shared" si="451"/>
        <v>21.778951710160086</v>
      </c>
      <c r="CR57" s="553">
        <f t="shared" si="451"/>
        <v>22.035390112256838</v>
      </c>
      <c r="CS57" s="553">
        <f t="shared" si="451"/>
        <v>22.29484797346003</v>
      </c>
      <c r="CT57" s="553">
        <f t="shared" si="451"/>
        <v>22.557360846686933</v>
      </c>
    </row>
    <row r="58" spans="1:98">
      <c r="A58" s="1" t="s">
        <v>150</v>
      </c>
      <c r="C58" s="54" t="str">
        <f>'Yearly Butadiene'!C76</f>
        <v>m Tons</v>
      </c>
      <c r="D58" s="44">
        <f>'Yearly Butadiene'!D76</f>
        <v>14.947368421052632</v>
      </c>
      <c r="E58" s="44">
        <f>'Yearly Butadiene'!E76</f>
        <v>15.285019899094971</v>
      </c>
      <c r="F58" s="44">
        <f>'Yearly Butadiene'!F76</f>
        <v>15.630583898167881</v>
      </c>
      <c r="G58" s="44">
        <f>'Yearly Butadiene'!G76</f>
        <v>15.984563501809294</v>
      </c>
      <c r="H58" s="44">
        <f>'Yearly Butadiene'!H76</f>
        <v>16.347496451915777</v>
      </c>
      <c r="I58" s="44">
        <f>'Yearly Butadiene'!I76</f>
        <v>16.719946073348297</v>
      </c>
      <c r="J58" s="44">
        <f>'Yearly Butadiene'!J76</f>
        <v>17.078161664107558</v>
      </c>
      <c r="K58" s="44">
        <f>'Yearly Butadiene'!K76</f>
        <v>17.444315479312824</v>
      </c>
      <c r="L58" s="44">
        <f>'Yearly Butadiene'!L76</f>
        <v>17.818544180766374</v>
      </c>
      <c r="M58" s="44">
        <f>'Yearly Butadiene'!M76</f>
        <v>18.200903400778721</v>
      </c>
      <c r="N58" s="44">
        <f>'Yearly Butadiene'!N76</f>
        <v>18.594875355212572</v>
      </c>
      <c r="O58" s="44">
        <f>'Yearly Butadiene'!O76</f>
        <v>18.935008764521655</v>
      </c>
      <c r="P58" s="44">
        <f>'Yearly Butadiene'!P76</f>
        <v>19.284995766900266</v>
      </c>
      <c r="Q58" s="44">
        <f>'Yearly Butadiene'!Q76</f>
        <v>19.640862790015564</v>
      </c>
      <c r="R58" s="44">
        <f>'Yearly Butadiene'!R76</f>
        <v>20.002270642904605</v>
      </c>
      <c r="S58" s="44">
        <f>'Yearly Butadiene'!S76</f>
        <v>20.369268850434803</v>
      </c>
      <c r="T58" s="44">
        <f>'Yearly Butadiene'!T76</f>
        <v>20.535242949305761</v>
      </c>
      <c r="U58" s="44">
        <f>'Yearly Butadiene'!U76</f>
        <v>20.699607624742995</v>
      </c>
      <c r="V58" s="44">
        <f>'Yearly Butadiene'!V76</f>
        <v>20.863763360276913</v>
      </c>
      <c r="W58" s="44">
        <f>'Yearly Butadiene'!W76</f>
        <v>21.029180330103308</v>
      </c>
      <c r="X58" s="44">
        <f>'Yearly Butadiene'!X76</f>
        <v>21.367618467692772</v>
      </c>
      <c r="Y58" s="44">
        <f>'Yearly Butadiene'!Y76</f>
        <v>21.347569076002795</v>
      </c>
      <c r="Z58" s="44">
        <f>'Yearly Butadiene'!Z76</f>
        <v>21.500834597015416</v>
      </c>
      <c r="AA58" s="44">
        <f>'Yearly Butadiene'!AA76</f>
        <v>21.656451689475183</v>
      </c>
      <c r="AB58" s="44">
        <f>'Yearly Butadiene'!AB76</f>
        <v>21.81362189679146</v>
      </c>
      <c r="AC58" s="44">
        <f>'Yearly Butadiene'!AC76</f>
        <v>21.971101263662085</v>
      </c>
      <c r="AD58" s="44">
        <f>'Yearly Butadiene'!AD76</f>
        <v>22.112084024505656</v>
      </c>
      <c r="AE58" s="44">
        <f>'Yearly Butadiene'!AE76</f>
        <v>22.249187375049512</v>
      </c>
      <c r="AF58" s="44">
        <f>'Yearly Butadiene'!AF76</f>
        <v>22.380159105306575</v>
      </c>
      <c r="AG58" s="44">
        <f>'Yearly Butadiene'!AG76</f>
        <v>22.503260414622915</v>
      </c>
      <c r="AH58" s="44">
        <f>'Yearly Butadiene'!AH76</f>
        <v>23.108794503663027</v>
      </c>
      <c r="AI58" s="44"/>
      <c r="AJ58" s="44">
        <f>'Yearly Butadiene'!AJ76</f>
        <v>14.947368421052632</v>
      </c>
      <c r="AK58" s="44">
        <f>'Yearly Butadiene'!AK76</f>
        <v>15.285019899094971</v>
      </c>
      <c r="AL58" s="44">
        <f>'Yearly Butadiene'!AL76</f>
        <v>15.630583898167881</v>
      </c>
      <c r="AM58" s="44">
        <f>'Yearly Butadiene'!AM76</f>
        <v>15.984563501809294</v>
      </c>
      <c r="AN58" s="44">
        <f>'Yearly Butadiene'!AN76</f>
        <v>16.347496451915777</v>
      </c>
      <c r="AO58" s="44">
        <f>'Yearly Butadiene'!AO76</f>
        <v>16.719946073348297</v>
      </c>
      <c r="AP58" s="44">
        <f>'Yearly Butadiene'!AP76</f>
        <v>17.078161664107558</v>
      </c>
      <c r="AQ58" s="44">
        <f>'Yearly Butadiene'!AQ76</f>
        <v>17.444315479312824</v>
      </c>
      <c r="AR58" s="44">
        <f>'Yearly Butadiene'!AR76</f>
        <v>17.818544180766374</v>
      </c>
      <c r="AS58" s="44">
        <f>'Yearly Butadiene'!AS76</f>
        <v>18.200903400778721</v>
      </c>
      <c r="AT58" s="44">
        <f>'Yearly Butadiene'!AT76</f>
        <v>18.594875355212572</v>
      </c>
      <c r="AU58" s="44">
        <f>'Yearly Butadiene'!AU76</f>
        <v>18.935008764521655</v>
      </c>
      <c r="AV58" s="44">
        <f>'Yearly Butadiene'!AV76</f>
        <v>19.284995766900266</v>
      </c>
      <c r="AW58" s="44">
        <f>'Yearly Butadiene'!AW76</f>
        <v>19.640862790015564</v>
      </c>
      <c r="AX58" s="44">
        <f>'Yearly Butadiene'!AX76</f>
        <v>20.002270642904605</v>
      </c>
      <c r="AY58" s="44">
        <f>'Yearly Butadiene'!AY76</f>
        <v>20.369268850434803</v>
      </c>
      <c r="AZ58" s="44">
        <f>'Yearly Butadiene'!AZ76</f>
        <v>20.535242949305761</v>
      </c>
      <c r="BA58" s="44">
        <f>'Yearly Butadiene'!BA76</f>
        <v>20.699607624742995</v>
      </c>
      <c r="BB58" s="44">
        <f>'Yearly Butadiene'!BB76</f>
        <v>20.863763360276913</v>
      </c>
      <c r="BC58" s="44">
        <f>'Yearly Butadiene'!BC76</f>
        <v>21.029180330103308</v>
      </c>
      <c r="BD58" s="44">
        <f>'Yearly Butadiene'!BD76</f>
        <v>21.367618467692772</v>
      </c>
      <c r="BE58" s="44">
        <f>'Yearly Butadiene'!BE76</f>
        <v>21.347569076002795</v>
      </c>
      <c r="BF58" s="44">
        <f>'Yearly Butadiene'!BF76</f>
        <v>21.500834597015416</v>
      </c>
      <c r="BG58" s="44">
        <f>'Yearly Butadiene'!BG76</f>
        <v>21.656451689475183</v>
      </c>
      <c r="BH58" s="44">
        <f>'Yearly Butadiene'!BH76</f>
        <v>21.81362189679146</v>
      </c>
      <c r="BI58" s="44">
        <f>'Yearly Butadiene'!BI76</f>
        <v>21.971101263662085</v>
      </c>
      <c r="BJ58" s="44">
        <f>'Yearly Butadiene'!BJ76</f>
        <v>22.112084024505656</v>
      </c>
      <c r="BK58" s="44">
        <f>'Yearly Butadiene'!BK76</f>
        <v>22.249187375049512</v>
      </c>
      <c r="BL58" s="44">
        <f>'Yearly Butadiene'!BL76</f>
        <v>22.380159105306575</v>
      </c>
      <c r="BM58" s="44">
        <f>'Yearly Butadiene'!BM76</f>
        <v>22.503260414622915</v>
      </c>
      <c r="BN58" s="44">
        <f>'Yearly Butadiene'!BN76</f>
        <v>23.108794503663027</v>
      </c>
      <c r="BO58" s="44"/>
      <c r="BP58" s="44">
        <f>'Yearly Butadiene'!BP76</f>
        <v>0</v>
      </c>
      <c r="BQ58" s="44">
        <f>'Yearly Butadiene'!BQ76</f>
        <v>0</v>
      </c>
      <c r="BR58" s="44">
        <f>'Yearly Butadiene'!BR76</f>
        <v>0</v>
      </c>
      <c r="BS58" s="44">
        <f>'Yearly Butadiene'!BS76</f>
        <v>0</v>
      </c>
      <c r="BT58" s="44">
        <f>'Yearly Butadiene'!BT76</f>
        <v>0</v>
      </c>
      <c r="BU58" s="44">
        <f>'Yearly Butadiene'!BU76</f>
        <v>0</v>
      </c>
      <c r="BV58" s="44">
        <f>'Yearly Butadiene'!BV76</f>
        <v>0</v>
      </c>
      <c r="BW58" s="44">
        <f>'Yearly Butadiene'!BW76</f>
        <v>0</v>
      </c>
      <c r="BX58" s="44">
        <f>'Yearly Butadiene'!BX76</f>
        <v>0</v>
      </c>
      <c r="BY58" s="44">
        <f>'Yearly Butadiene'!BY76</f>
        <v>0</v>
      </c>
      <c r="BZ58" s="44">
        <f>BZ57</f>
        <v>14.947368421052632</v>
      </c>
      <c r="CA58" s="44">
        <f t="shared" ref="CA58:CT58" si="452">CA57</f>
        <v>15.331407031113367</v>
      </c>
      <c r="CB58" s="44">
        <f t="shared" si="452"/>
        <v>15.725312639154138</v>
      </c>
      <c r="CC58" s="44">
        <f t="shared" si="452"/>
        <v>16.129338755229892</v>
      </c>
      <c r="CD58" s="44">
        <f t="shared" si="452"/>
        <v>16.543745402759424</v>
      </c>
      <c r="CE58" s="44">
        <f t="shared" si="452"/>
        <v>16.968799285871444</v>
      </c>
      <c r="CF58" s="44">
        <f t="shared" si="452"/>
        <v>17.381667623855559</v>
      </c>
      <c r="CG58" s="44">
        <f t="shared" si="452"/>
        <v>17.804581473112339</v>
      </c>
      <c r="CH58" s="44">
        <f t="shared" si="452"/>
        <v>18.237785251262231</v>
      </c>
      <c r="CI58" s="44">
        <f t="shared" si="452"/>
        <v>18.681529322857759</v>
      </c>
      <c r="CJ58" s="44">
        <f t="shared" si="452"/>
        <v>19.136070144078495</v>
      </c>
      <c r="CK58" s="44">
        <f t="shared" si="452"/>
        <v>19.545918749372461</v>
      </c>
      <c r="CL58" s="44">
        <f t="shared" si="452"/>
        <v>19.964545326214225</v>
      </c>
      <c r="CM58" s="44">
        <f t="shared" si="452"/>
        <v>20.392137877645641</v>
      </c>
      <c r="CN58" s="44">
        <f t="shared" si="452"/>
        <v>20.82888843328162</v>
      </c>
      <c r="CO58" s="44">
        <f t="shared" si="452"/>
        <v>21.274993135549639</v>
      </c>
      <c r="CP58" s="44">
        <f t="shared" si="452"/>
        <v>21.525497628002075</v>
      </c>
      <c r="CQ58" s="44">
        <f t="shared" si="452"/>
        <v>21.778951710160086</v>
      </c>
      <c r="CR58" s="44">
        <f t="shared" si="452"/>
        <v>22.035390112256838</v>
      </c>
      <c r="CS58" s="44">
        <f t="shared" si="452"/>
        <v>22.29484797346003</v>
      </c>
      <c r="CT58" s="44">
        <f t="shared" si="452"/>
        <v>22.557360846686933</v>
      </c>
    </row>
    <row r="59" spans="1:98">
      <c r="A59" s="1" t="s">
        <v>119</v>
      </c>
      <c r="C59" s="54" t="str">
        <f>'Yearly Butadiene'!C77</f>
        <v>m Tons</v>
      </c>
      <c r="D59" s="44">
        <f>'Yearly Butadiene'!D77</f>
        <v>4.9675667212869898</v>
      </c>
      <c r="E59" s="44">
        <f>'Yearly Butadiene'!E77</f>
        <v>5.1187664269315523</v>
      </c>
      <c r="F59" s="44">
        <f>'Yearly Butadiene'!F77</f>
        <v>5.2607330388771567</v>
      </c>
      <c r="G59" s="44">
        <f>'Yearly Butadiene'!G77</f>
        <v>5.3924644393678012</v>
      </c>
      <c r="H59" s="44">
        <f>'Yearly Butadiene'!H77</f>
        <v>5.5130144155711127</v>
      </c>
      <c r="I59" s="44">
        <f>'Yearly Butadiene'!I77</f>
        <v>5.6215039930718502</v>
      </c>
      <c r="J59" s="44">
        <f>'Yearly Butadiene'!J77</f>
        <v>5.7294665853322746</v>
      </c>
      <c r="K59" s="44">
        <f>'Yearly Butadiene'!K77</f>
        <v>5.836787260421664</v>
      </c>
      <c r="L59" s="44">
        <f>'Yearly Butadiene'!L77</f>
        <v>5.943349606194519</v>
      </c>
      <c r="M59" s="44">
        <f>'Yearly Butadiene'!M77</f>
        <v>6.0490359234736584</v>
      </c>
      <c r="N59" s="44">
        <f>'Yearly Butadiene'!N77</f>
        <v>6.1537274265573148</v>
      </c>
      <c r="O59" s="44">
        <f>'Yearly Butadiene'!O77</f>
        <v>6.2483515579178093</v>
      </c>
      <c r="P59" s="44">
        <f>'Yearly Butadiene'!P77</f>
        <v>6.3323666466639175</v>
      </c>
      <c r="Q59" s="44">
        <f>'Yearly Butadiene'!Q77</f>
        <v>6.4052830023555956</v>
      </c>
      <c r="R59" s="44">
        <f>'Yearly Butadiene'!R77</f>
        <v>6.4666676183175262</v>
      </c>
      <c r="S59" s="44">
        <f>'Yearly Butadiene'!S77</f>
        <v>6.5161484106872418</v>
      </c>
      <c r="T59" s="44">
        <f>'Yearly Butadiene'!T77</f>
        <v>6.5652250312386062</v>
      </c>
      <c r="U59" s="44">
        <f>'Yearly Butadiene'!U77</f>
        <v>6.6138817695079322</v>
      </c>
      <c r="V59" s="44">
        <f>'Yearly Butadiene'!V77</f>
        <v>6.6621029243843619</v>
      </c>
      <c r="W59" s="44">
        <f>'Yearly Butadiene'!W77</f>
        <v>6.7098728119122679</v>
      </c>
      <c r="X59" s="44">
        <f>'Yearly Butadiene'!X77</f>
        <v>6.7571757731627828</v>
      </c>
      <c r="Y59" s="44">
        <f>'Yearly Butadiene'!Y77</f>
        <v>6.8040711241849134</v>
      </c>
      <c r="Z59" s="44">
        <f>'Yearly Butadiene'!Z77</f>
        <v>6.8505449273275998</v>
      </c>
      <c r="AA59" s="44">
        <f>'Yearly Butadiene'!AA77</f>
        <v>6.896583265592751</v>
      </c>
      <c r="AB59" s="44">
        <f>'Yearly Butadiene'!AB77</f>
        <v>6.9421722490300324</v>
      </c>
      <c r="AC59" s="44">
        <f>'Yearly Butadiene'!AC77</f>
        <v>6.9872980211777591</v>
      </c>
      <c r="AD59" s="44">
        <f>'Yearly Butadiene'!AD77</f>
        <v>7.0320132472372485</v>
      </c>
      <c r="AE59" s="44">
        <f>'Yearly Butadiene'!AE77</f>
        <v>7.076305500064259</v>
      </c>
      <c r="AF59" s="44">
        <f>'Yearly Butadiene'!AF77</f>
        <v>7.120162381056641</v>
      </c>
      <c r="AG59" s="44">
        <f>'Yearly Butadiene'!AG77</f>
        <v>7.1635715254484271</v>
      </c>
      <c r="AH59" s="44">
        <f>'Yearly Butadiene'!AH77</f>
        <v>7.2065206076344772</v>
      </c>
      <c r="AI59" s="44"/>
      <c r="AJ59" s="44">
        <f>'Yearly Butadiene'!AJ77</f>
        <v>4.9675667212869898</v>
      </c>
      <c r="AK59" s="44">
        <f>'Yearly Butadiene'!AK77</f>
        <v>5.1187664269315523</v>
      </c>
      <c r="AL59" s="44">
        <f>'Yearly Butadiene'!AL77</f>
        <v>5.2607330388771567</v>
      </c>
      <c r="AM59" s="44">
        <f>'Yearly Butadiene'!AM77</f>
        <v>5.3924644393678012</v>
      </c>
      <c r="AN59" s="44">
        <f>'Yearly Butadiene'!AN77</f>
        <v>5.5130144155711127</v>
      </c>
      <c r="AO59" s="44">
        <f>'Yearly Butadiene'!AO77</f>
        <v>5.6215039930718502</v>
      </c>
      <c r="AP59" s="44">
        <f>'Yearly Butadiene'!AP77</f>
        <v>5.7294665853322746</v>
      </c>
      <c r="AQ59" s="44">
        <f>'Yearly Butadiene'!AQ77</f>
        <v>5.836787260421664</v>
      </c>
      <c r="AR59" s="44">
        <f>'Yearly Butadiene'!AR77</f>
        <v>5.943349606194519</v>
      </c>
      <c r="AS59" s="44">
        <f>'Yearly Butadiene'!AS77</f>
        <v>6.0490359234736584</v>
      </c>
      <c r="AT59" s="44">
        <f>'Yearly Butadiene'!AT77</f>
        <v>6.1537274265573148</v>
      </c>
      <c r="AU59" s="44">
        <f>'Yearly Butadiene'!AU77</f>
        <v>6.2483515579178093</v>
      </c>
      <c r="AV59" s="44">
        <f>'Yearly Butadiene'!AV77</f>
        <v>6.3323666466639175</v>
      </c>
      <c r="AW59" s="44">
        <f>'Yearly Butadiene'!AW77</f>
        <v>6.4052830023555956</v>
      </c>
      <c r="AX59" s="44">
        <f>'Yearly Butadiene'!AX77</f>
        <v>6.4666676183175262</v>
      </c>
      <c r="AY59" s="44">
        <f>'Yearly Butadiene'!AY77</f>
        <v>6.5161484106872418</v>
      </c>
      <c r="AZ59" s="44">
        <f>'Yearly Butadiene'!AZ77</f>
        <v>6.5652250312386062</v>
      </c>
      <c r="BA59" s="44">
        <f>'Yearly Butadiene'!BA77</f>
        <v>6.6138817695079322</v>
      </c>
      <c r="BB59" s="44">
        <f>'Yearly Butadiene'!BB77</f>
        <v>6.6621029243843619</v>
      </c>
      <c r="BC59" s="44">
        <f>'Yearly Butadiene'!BC77</f>
        <v>6.7098728119122679</v>
      </c>
      <c r="BD59" s="44">
        <f>'Yearly Butadiene'!BD77</f>
        <v>6.7571757731627828</v>
      </c>
      <c r="BE59" s="44">
        <f>'Yearly Butadiene'!BE77</f>
        <v>6.8040711241849134</v>
      </c>
      <c r="BF59" s="44">
        <f>'Yearly Butadiene'!BF77</f>
        <v>6.8505449273275998</v>
      </c>
      <c r="BG59" s="44">
        <f>'Yearly Butadiene'!BG77</f>
        <v>6.896583265592751</v>
      </c>
      <c r="BH59" s="44">
        <f>'Yearly Butadiene'!BH77</f>
        <v>6.9421722490300324</v>
      </c>
      <c r="BI59" s="44">
        <f>'Yearly Butadiene'!BI77</f>
        <v>6.9872980211777591</v>
      </c>
      <c r="BJ59" s="44">
        <f>'Yearly Butadiene'!BJ77</f>
        <v>7.0320132472372485</v>
      </c>
      <c r="BK59" s="44">
        <f>'Yearly Butadiene'!BK77</f>
        <v>7.076305500064259</v>
      </c>
      <c r="BL59" s="44">
        <f>'Yearly Butadiene'!BL77</f>
        <v>7.120162381056641</v>
      </c>
      <c r="BM59" s="44">
        <f>'Yearly Butadiene'!BM77</f>
        <v>7.1635715254484271</v>
      </c>
      <c r="BN59" s="44">
        <f>'Yearly Butadiene'!BN77</f>
        <v>7.2065206076344772</v>
      </c>
      <c r="BO59" s="44"/>
      <c r="BP59" s="44">
        <f>'Yearly Butadiene'!BP77</f>
        <v>0</v>
      </c>
      <c r="BQ59" s="44">
        <f>'Yearly Butadiene'!BQ77</f>
        <v>0</v>
      </c>
      <c r="BR59" s="44">
        <f>'Yearly Butadiene'!BR77</f>
        <v>0</v>
      </c>
      <c r="BS59" s="44">
        <f>'Yearly Butadiene'!BS77</f>
        <v>0</v>
      </c>
      <c r="BT59" s="44">
        <f>'Yearly Butadiene'!BT77</f>
        <v>0</v>
      </c>
      <c r="BU59" s="44">
        <f>'Yearly Butadiene'!BU77</f>
        <v>0</v>
      </c>
      <c r="BV59" s="44">
        <f>'Yearly Butadiene'!BV77</f>
        <v>0</v>
      </c>
      <c r="BW59" s="44">
        <f>'Yearly Butadiene'!BW77</f>
        <v>0</v>
      </c>
      <c r="BX59" s="44">
        <f>'Yearly Butadiene'!BX77</f>
        <v>0</v>
      </c>
      <c r="BY59" s="44">
        <f>'Yearly Butadiene'!BY77</f>
        <v>0</v>
      </c>
      <c r="BZ59" s="44">
        <f>'Yearly Butadiene'!BZ77</f>
        <v>0</v>
      </c>
      <c r="CA59" s="44">
        <f>'Yearly Butadiene'!CA77</f>
        <v>0</v>
      </c>
      <c r="CB59" s="44">
        <f>'Yearly Butadiene'!CB77</f>
        <v>0</v>
      </c>
      <c r="CC59" s="44">
        <f>'Yearly Butadiene'!CC77</f>
        <v>0</v>
      </c>
      <c r="CD59" s="44">
        <f>'Yearly Butadiene'!CD77</f>
        <v>0</v>
      </c>
      <c r="CE59" s="44">
        <f>'Yearly Butadiene'!CE77</f>
        <v>0</v>
      </c>
      <c r="CF59" s="44">
        <f>'Yearly Butadiene'!CF77</f>
        <v>0</v>
      </c>
      <c r="CG59" s="44">
        <f>'Yearly Butadiene'!CG77</f>
        <v>0</v>
      </c>
      <c r="CH59" s="44">
        <f>'Yearly Butadiene'!CH77</f>
        <v>0</v>
      </c>
      <c r="CI59" s="44">
        <f>'Yearly Butadiene'!CI77</f>
        <v>0</v>
      </c>
      <c r="CJ59" s="44">
        <f>'Yearly Butadiene'!CJ77</f>
        <v>0</v>
      </c>
      <c r="CK59" s="44">
        <f>'Yearly Butadiene'!CK77</f>
        <v>0</v>
      </c>
      <c r="CL59" s="44">
        <f>'Yearly Butadiene'!CL77</f>
        <v>0</v>
      </c>
      <c r="CM59" s="44">
        <f>'Yearly Butadiene'!CM77</f>
        <v>0</v>
      </c>
      <c r="CN59" s="44">
        <f>'Yearly Butadiene'!CN77</f>
        <v>0</v>
      </c>
      <c r="CO59" s="44">
        <f>'Yearly Butadiene'!CO77</f>
        <v>0</v>
      </c>
      <c r="CP59" s="44">
        <f>'Yearly Butadiene'!CP77</f>
        <v>0</v>
      </c>
      <c r="CQ59" s="44">
        <f>'Yearly Butadiene'!CQ77</f>
        <v>0</v>
      </c>
      <c r="CR59" s="44">
        <f>'Yearly Butadiene'!CR77</f>
        <v>0</v>
      </c>
      <c r="CS59" s="44">
        <f>'Yearly Butadiene'!CS77</f>
        <v>0</v>
      </c>
      <c r="CT59" s="44">
        <f>'Yearly Butadiene'!CT77</f>
        <v>0</v>
      </c>
    </row>
  </sheetData>
  <mergeCells count="3">
    <mergeCell ref="D1:AH1"/>
    <mergeCell ref="AJ1:BN1"/>
    <mergeCell ref="BP1:CT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4030-EE9A-DC43-A028-A1B130BE1D23}">
  <sheetPr>
    <tabColor rgb="FFFF0000"/>
  </sheetPr>
  <dimension ref="A1:DF136"/>
  <sheetViews>
    <sheetView zoomScaleNormal="100" workbookViewId="0">
      <selection activeCell="C33" sqref="C33"/>
    </sheetView>
  </sheetViews>
  <sheetFormatPr baseColWidth="10" defaultRowHeight="15" outlineLevelCol="1"/>
  <cols>
    <col min="3" max="3" width="40.83203125" customWidth="1"/>
    <col min="5" max="13" width="10.83203125" hidden="1" customWidth="1" outlineLevel="1"/>
    <col min="14" max="14" width="10.83203125" collapsed="1"/>
    <col min="15" max="23" width="10.83203125" hidden="1" customWidth="1" outlineLevel="1"/>
    <col min="24" max="24" width="10.83203125" collapsed="1"/>
    <col min="25" max="33" width="0" hidden="1" customWidth="1" outlineLevel="1"/>
    <col min="34" max="34" width="10.83203125" collapsed="1"/>
  </cols>
  <sheetData>
    <row r="1" spans="1:110">
      <c r="A1" s="1" t="s">
        <v>2084</v>
      </c>
    </row>
    <row r="2" spans="1:110">
      <c r="D2">
        <v>2020</v>
      </c>
      <c r="E2">
        <f>D2+1</f>
        <v>2021</v>
      </c>
      <c r="F2">
        <f t="shared" ref="F2" si="0">E2+1</f>
        <v>2022</v>
      </c>
      <c r="G2">
        <f t="shared" ref="G2" si="1">F2+1</f>
        <v>2023</v>
      </c>
      <c r="H2">
        <f t="shared" ref="H2" si="2">G2+1</f>
        <v>2024</v>
      </c>
      <c r="I2">
        <f t="shared" ref="I2" si="3">H2+1</f>
        <v>2025</v>
      </c>
      <c r="J2">
        <f t="shared" ref="J2" si="4">I2+1</f>
        <v>2026</v>
      </c>
      <c r="K2">
        <f t="shared" ref="K2" si="5">J2+1</f>
        <v>2027</v>
      </c>
      <c r="L2">
        <f t="shared" ref="L2" si="6">K2+1</f>
        <v>2028</v>
      </c>
      <c r="M2">
        <f t="shared" ref="M2" si="7">L2+1</f>
        <v>2029</v>
      </c>
      <c r="N2">
        <f t="shared" ref="N2" si="8">M2+1</f>
        <v>2030</v>
      </c>
      <c r="O2">
        <f t="shared" ref="O2" si="9">N2+1</f>
        <v>2031</v>
      </c>
      <c r="P2">
        <f t="shared" ref="P2" si="10">O2+1</f>
        <v>2032</v>
      </c>
      <c r="Q2">
        <f t="shared" ref="Q2" si="11">P2+1</f>
        <v>2033</v>
      </c>
      <c r="R2">
        <f>Q2+1</f>
        <v>2034</v>
      </c>
      <c r="S2">
        <f t="shared" ref="S2" si="12">R2+1</f>
        <v>2035</v>
      </c>
      <c r="T2">
        <f t="shared" ref="T2" si="13">S2+1</f>
        <v>2036</v>
      </c>
      <c r="U2">
        <f t="shared" ref="U2" si="14">T2+1</f>
        <v>2037</v>
      </c>
      <c r="V2">
        <f t="shared" ref="V2" si="15">U2+1</f>
        <v>2038</v>
      </c>
      <c r="W2">
        <f t="shared" ref="W2" si="16">V2+1</f>
        <v>2039</v>
      </c>
      <c r="X2">
        <f t="shared" ref="X2" si="17">W2+1</f>
        <v>2040</v>
      </c>
      <c r="Y2">
        <f t="shared" ref="Y2" si="18">X2+1</f>
        <v>2041</v>
      </c>
      <c r="Z2">
        <f t="shared" ref="Z2" si="19">Y2+1</f>
        <v>2042</v>
      </c>
      <c r="AA2">
        <f t="shared" ref="AA2" si="20">Z2+1</f>
        <v>2043</v>
      </c>
      <c r="AB2">
        <f t="shared" ref="AB2" si="21">AA2+1</f>
        <v>2044</v>
      </c>
      <c r="AC2">
        <f>AB2+1</f>
        <v>2045</v>
      </c>
      <c r="AD2">
        <f t="shared" ref="AD2" si="22">AC2+1</f>
        <v>2046</v>
      </c>
      <c r="AE2">
        <f t="shared" ref="AE2" si="23">AD2+1</f>
        <v>2047</v>
      </c>
      <c r="AF2">
        <f t="shared" ref="AF2" si="24">AE2+1</f>
        <v>2048</v>
      </c>
      <c r="AG2">
        <f>AF2+1</f>
        <v>2049</v>
      </c>
      <c r="AH2">
        <f t="shared" ref="AH2" si="25">AG2+1</f>
        <v>2050</v>
      </c>
    </row>
    <row r="3" spans="1:110" ht="16">
      <c r="A3" s="601" t="s">
        <v>122</v>
      </c>
      <c r="B3" s="1"/>
      <c r="C3" s="54" t="s">
        <v>123</v>
      </c>
      <c r="D3" s="711">
        <f t="shared" ref="D3:AH3" si="26">D35</f>
        <v>185</v>
      </c>
      <c r="E3" s="711">
        <f t="shared" si="26"/>
        <v>189.74297694245661</v>
      </c>
      <c r="F3" s="711">
        <f t="shared" si="26"/>
        <v>194.52583513376749</v>
      </c>
      <c r="G3" s="711">
        <f t="shared" si="26"/>
        <v>199.34915846835466</v>
      </c>
      <c r="H3" s="711">
        <f t="shared" si="26"/>
        <v>204.21353940553138</v>
      </c>
      <c r="I3" s="711">
        <f t="shared" si="26"/>
        <v>209.11957909513697</v>
      </c>
      <c r="J3" s="711">
        <f t="shared" si="26"/>
        <v>213.99115906044847</v>
      </c>
      <c r="K3" s="711">
        <f t="shared" si="26"/>
        <v>218.88005051303688</v>
      </c>
      <c r="L3" s="711">
        <f t="shared" si="26"/>
        <v>223.78688144669169</v>
      </c>
      <c r="M3" s="711">
        <f t="shared" si="26"/>
        <v>228.71228906696808</v>
      </c>
      <c r="N3" s="711">
        <f t="shared" si="26"/>
        <v>233.65691992631048</v>
      </c>
      <c r="O3" s="711">
        <f t="shared" si="26"/>
        <v>246.26085046547792</v>
      </c>
      <c r="P3" s="711">
        <f t="shared" si="26"/>
        <v>258.49044650520733</v>
      </c>
      <c r="Q3" s="711">
        <f t="shared" si="26"/>
        <v>270.34575823820956</v>
      </c>
      <c r="R3" s="711">
        <f t="shared" si="26"/>
        <v>281.82683616673523</v>
      </c>
      <c r="S3" s="711">
        <f t="shared" si="26"/>
        <v>292.93373110448329</v>
      </c>
      <c r="T3" s="711">
        <f t="shared" si="26"/>
        <v>319.78890475708079</v>
      </c>
      <c r="U3" s="711">
        <f t="shared" si="26"/>
        <v>345.57197400333843</v>
      </c>
      <c r="V3" s="711">
        <f t="shared" si="26"/>
        <v>370.28299060287287</v>
      </c>
      <c r="W3" s="711">
        <f t="shared" si="26"/>
        <v>393.92200663450342</v>
      </c>
      <c r="X3" s="711">
        <f t="shared" si="26"/>
        <v>416.48907449822076</v>
      </c>
      <c r="Y3" s="711">
        <f t="shared" si="26"/>
        <v>438.65228394908627</v>
      </c>
      <c r="Z3" s="711">
        <f t="shared" si="26"/>
        <v>460.06746640536073</v>
      </c>
      <c r="AA3" s="711">
        <f t="shared" si="26"/>
        <v>480.73467524248167</v>
      </c>
      <c r="AB3" s="711">
        <f t="shared" si="26"/>
        <v>500.65396416505416</v>
      </c>
      <c r="AC3" s="711">
        <f t="shared" si="26"/>
        <v>519.82538720888124</v>
      </c>
      <c r="AD3" s="711">
        <f t="shared" si="26"/>
        <v>520.97553878529118</v>
      </c>
      <c r="AE3" s="711">
        <f t="shared" si="26"/>
        <v>522.06589298140136</v>
      </c>
      <c r="AF3" s="711">
        <f t="shared" si="26"/>
        <v>523.09650483891323</v>
      </c>
      <c r="AG3" s="711">
        <f t="shared" si="26"/>
        <v>524.06742973897087</v>
      </c>
      <c r="AH3" s="711">
        <f t="shared" si="26"/>
        <v>524.97872340425533</v>
      </c>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c r="CY3" s="44"/>
      <c r="CZ3" s="44"/>
      <c r="DA3" s="44"/>
      <c r="DB3" s="44"/>
      <c r="DC3" s="44"/>
      <c r="DD3" s="44"/>
      <c r="DE3" s="44"/>
      <c r="DF3" s="44"/>
    </row>
    <row r="4" spans="1:110" ht="16">
      <c r="A4" s="1" t="s">
        <v>124</v>
      </c>
      <c r="C4" s="54" t="s">
        <v>123</v>
      </c>
      <c r="D4" s="711">
        <f t="shared" ref="D4:AH4" si="27">D36</f>
        <v>185</v>
      </c>
      <c r="E4" s="711">
        <f t="shared" si="27"/>
        <v>189.37770419821862</v>
      </c>
      <c r="F4" s="711">
        <f t="shared" si="27"/>
        <v>193.7952760717092</v>
      </c>
      <c r="G4" s="711">
        <f t="shared" si="27"/>
        <v>198.25329951489374</v>
      </c>
      <c r="H4" s="711">
        <f t="shared" si="27"/>
        <v>202.75236698708548</v>
      </c>
      <c r="I4" s="711">
        <f t="shared" si="27"/>
        <v>207.2930796381238</v>
      </c>
      <c r="J4" s="711">
        <f t="shared" si="27"/>
        <v>209.56011011130752</v>
      </c>
      <c r="K4" s="711">
        <f t="shared" si="27"/>
        <v>211.84904220485976</v>
      </c>
      <c r="L4" s="711">
        <f t="shared" si="27"/>
        <v>214.16050391257002</v>
      </c>
      <c r="M4" s="711">
        <f t="shared" si="27"/>
        <v>216.49513243999351</v>
      </c>
      <c r="N4" s="711">
        <f t="shared" si="27"/>
        <v>218.85357433957461</v>
      </c>
      <c r="O4" s="711">
        <f t="shared" si="27"/>
        <v>227.17333113947797</v>
      </c>
      <c r="P4" s="711">
        <f t="shared" si="27"/>
        <v>235.18759864952645</v>
      </c>
      <c r="Q4" s="711">
        <f t="shared" si="27"/>
        <v>242.89642706243092</v>
      </c>
      <c r="R4" s="711">
        <f t="shared" si="27"/>
        <v>250.29986688044193</v>
      </c>
      <c r="S4" s="711">
        <f t="shared" si="27"/>
        <v>257.39796891725837</v>
      </c>
      <c r="T4" s="711">
        <f t="shared" si="27"/>
        <v>277.41116097436696</v>
      </c>
      <c r="U4" s="711">
        <f t="shared" si="27"/>
        <v>296.54673815201886</v>
      </c>
      <c r="V4" s="711">
        <f t="shared" si="27"/>
        <v>314.80475220983095</v>
      </c>
      <c r="W4" s="711">
        <f t="shared" si="27"/>
        <v>332.18525522662242</v>
      </c>
      <c r="X4" s="711">
        <f t="shared" si="27"/>
        <v>348.68829960238395</v>
      </c>
      <c r="Y4" s="711">
        <f t="shared" si="27"/>
        <v>364.86172842643157</v>
      </c>
      <c r="Z4" s="711">
        <f t="shared" si="27"/>
        <v>380.42333301043084</v>
      </c>
      <c r="AA4" s="711">
        <f t="shared" si="27"/>
        <v>395.37316672981939</v>
      </c>
      <c r="AB4" s="711">
        <f t="shared" si="27"/>
        <v>409.71128328920236</v>
      </c>
      <c r="AC4" s="711">
        <f t="shared" si="27"/>
        <v>423.43773672438249</v>
      </c>
      <c r="AD4" s="711">
        <f t="shared" si="27"/>
        <v>422.3883442390769</v>
      </c>
      <c r="AE4" s="711">
        <f t="shared" si="27"/>
        <v>421.29152443150269</v>
      </c>
      <c r="AF4" s="711">
        <f t="shared" si="27"/>
        <v>420.14733234336097</v>
      </c>
      <c r="AG4" s="711">
        <f t="shared" si="27"/>
        <v>418.95582335579627</v>
      </c>
      <c r="AH4" s="711">
        <f t="shared" si="27"/>
        <v>417.7170531914893</v>
      </c>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c r="CY4" s="44"/>
      <c r="CZ4" s="44"/>
      <c r="DA4" s="44"/>
      <c r="DB4" s="44"/>
      <c r="DC4" s="44"/>
      <c r="DD4" s="44"/>
      <c r="DE4" s="44"/>
      <c r="DF4" s="44"/>
    </row>
    <row r="5" spans="1:110">
      <c r="A5" s="1"/>
      <c r="C5" s="5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row>
    <row r="6" spans="1:110">
      <c r="A6" s="1" t="s">
        <v>125</v>
      </c>
      <c r="C6" s="54" t="s">
        <v>123</v>
      </c>
      <c r="D6" s="746">
        <f t="shared" ref="D6:AH6" si="28">D3-D112</f>
        <v>73.487083333333331</v>
      </c>
      <c r="E6" s="746">
        <f t="shared" si="28"/>
        <v>76.19562743424288</v>
      </c>
      <c r="F6" s="746">
        <f t="shared" si="28"/>
        <v>79.312909320712976</v>
      </c>
      <c r="G6" s="746">
        <f t="shared" si="28"/>
        <v>82.446224741625954</v>
      </c>
      <c r="H6" s="746">
        <f t="shared" si="28"/>
        <v>85.595807779732979</v>
      </c>
      <c r="I6" s="746">
        <f t="shared" si="28"/>
        <v>88.761895951442469</v>
      </c>
      <c r="J6" s="746">
        <f t="shared" si="28"/>
        <v>94.174266557266606</v>
      </c>
      <c r="K6" s="746">
        <f t="shared" si="28"/>
        <v>99.577121456309172</v>
      </c>
      <c r="L6" s="746">
        <f t="shared" si="28"/>
        <v>104.97094448611107</v>
      </c>
      <c r="M6" s="746">
        <f t="shared" si="28"/>
        <v>110.35622773394731</v>
      </c>
      <c r="N6" s="746">
        <f t="shared" si="28"/>
        <v>115.73347167474491</v>
      </c>
      <c r="O6" s="746">
        <f t="shared" si="28"/>
        <v>130.09629153980444</v>
      </c>
      <c r="P6" s="746">
        <f t="shared" si="28"/>
        <v>143.80275305524219</v>
      </c>
      <c r="Q6" s="746">
        <f t="shared" si="28"/>
        <v>157.12316572969257</v>
      </c>
      <c r="R6" s="746">
        <f t="shared" si="28"/>
        <v>170.05759550969304</v>
      </c>
      <c r="S6" s="746">
        <f t="shared" si="28"/>
        <v>182.60610884175003</v>
      </c>
      <c r="T6" s="746">
        <f t="shared" si="28"/>
        <v>210.89118325455621</v>
      </c>
      <c r="U6" s="746">
        <f t="shared" si="28"/>
        <v>238.09245164199859</v>
      </c>
      <c r="V6" s="746">
        <f t="shared" si="28"/>
        <v>264.20998197254715</v>
      </c>
      <c r="W6" s="746">
        <f t="shared" si="28"/>
        <v>289.2438427294324</v>
      </c>
      <c r="X6" s="746">
        <f t="shared" si="28"/>
        <v>313.19410291440983</v>
      </c>
      <c r="Y6" s="746">
        <f t="shared" si="28"/>
        <v>336.72886908346919</v>
      </c>
      <c r="Z6" s="746">
        <f t="shared" si="28"/>
        <v>359.5039896567888</v>
      </c>
      <c r="AA6" s="746">
        <f t="shared" si="28"/>
        <v>381.51953521455243</v>
      </c>
      <c r="AB6" s="746">
        <f t="shared" si="28"/>
        <v>402.77557687079542</v>
      </c>
      <c r="AC6" s="746">
        <f t="shared" si="28"/>
        <v>423.27218627730554</v>
      </c>
      <c r="AD6" s="746">
        <f t="shared" si="28"/>
        <v>425.73597566983523</v>
      </c>
      <c r="AE6" s="746">
        <f t="shared" si="28"/>
        <v>428.12843717026692</v>
      </c>
      <c r="AF6" s="746">
        <f t="shared" si="28"/>
        <v>430.4496440673243</v>
      </c>
      <c r="AG6" s="746">
        <f t="shared" si="28"/>
        <v>432.69967020336287</v>
      </c>
      <c r="AH6" s="746">
        <f t="shared" si="28"/>
        <v>434.87858997841249</v>
      </c>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c r="CY6" s="44"/>
      <c r="CZ6" s="44"/>
      <c r="DA6" s="44"/>
      <c r="DB6" s="44"/>
      <c r="DC6" s="44"/>
      <c r="DD6" s="44"/>
      <c r="DE6" s="44"/>
      <c r="DF6" s="44"/>
    </row>
    <row r="7" spans="1:110">
      <c r="A7" s="1" t="s">
        <v>126</v>
      </c>
      <c r="C7" s="54" t="s">
        <v>123</v>
      </c>
      <c r="D7" s="747">
        <f t="shared" ref="D7:AH7" si="29">D4-D112</f>
        <v>73.487083333333331</v>
      </c>
      <c r="E7" s="747">
        <f t="shared" si="29"/>
        <v>75.830354690004896</v>
      </c>
      <c r="F7" s="747">
        <f t="shared" si="29"/>
        <v>78.582350258654685</v>
      </c>
      <c r="G7" s="747">
        <f t="shared" si="29"/>
        <v>81.350365788165035</v>
      </c>
      <c r="H7" s="747">
        <f t="shared" si="29"/>
        <v>84.134635361287081</v>
      </c>
      <c r="I7" s="747">
        <f t="shared" si="29"/>
        <v>86.935396494429298</v>
      </c>
      <c r="J7" s="747">
        <f t="shared" si="29"/>
        <v>89.743217608125661</v>
      </c>
      <c r="K7" s="747">
        <f t="shared" si="29"/>
        <v>92.546113148132051</v>
      </c>
      <c r="L7" s="747">
        <f t="shared" si="29"/>
        <v>95.344566951989393</v>
      </c>
      <c r="M7" s="747">
        <f t="shared" si="29"/>
        <v>98.139071106972736</v>
      </c>
      <c r="N7" s="747">
        <f t="shared" si="29"/>
        <v>100.93012608800903</v>
      </c>
      <c r="O7" s="747">
        <f t="shared" si="29"/>
        <v>111.00877221380448</v>
      </c>
      <c r="P7" s="747">
        <f t="shared" si="29"/>
        <v>120.4999051995613</v>
      </c>
      <c r="Q7" s="747">
        <f t="shared" si="29"/>
        <v>129.67383455391393</v>
      </c>
      <c r="R7" s="747">
        <f t="shared" si="29"/>
        <v>138.53062622339974</v>
      </c>
      <c r="S7" s="747">
        <f t="shared" si="29"/>
        <v>147.07034665452511</v>
      </c>
      <c r="T7" s="747">
        <f t="shared" si="29"/>
        <v>168.51343947184239</v>
      </c>
      <c r="U7" s="747">
        <f t="shared" si="29"/>
        <v>189.06721579067903</v>
      </c>
      <c r="V7" s="747">
        <f t="shared" si="29"/>
        <v>208.73174357950523</v>
      </c>
      <c r="W7" s="747">
        <f t="shared" si="29"/>
        <v>227.5070913215514</v>
      </c>
      <c r="X7" s="747">
        <f t="shared" si="29"/>
        <v>245.39332801857302</v>
      </c>
      <c r="Y7" s="747">
        <f t="shared" si="29"/>
        <v>262.93831356081449</v>
      </c>
      <c r="Z7" s="747">
        <f t="shared" si="29"/>
        <v>279.85985626185891</v>
      </c>
      <c r="AA7" s="747">
        <f t="shared" si="29"/>
        <v>296.15802670189009</v>
      </c>
      <c r="AB7" s="747">
        <f t="shared" si="29"/>
        <v>311.83289599494361</v>
      </c>
      <c r="AC7" s="747">
        <f t="shared" si="29"/>
        <v>326.88453579280679</v>
      </c>
      <c r="AD7" s="747">
        <f t="shared" si="29"/>
        <v>327.14878112362095</v>
      </c>
      <c r="AE7" s="747">
        <f t="shared" si="29"/>
        <v>327.35406862036825</v>
      </c>
      <c r="AF7" s="747">
        <f t="shared" si="29"/>
        <v>327.50047157177204</v>
      </c>
      <c r="AG7" s="747">
        <f t="shared" si="29"/>
        <v>327.58806382018827</v>
      </c>
      <c r="AH7" s="747">
        <f t="shared" si="29"/>
        <v>327.61691976564646</v>
      </c>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c r="CY7" s="44"/>
      <c r="CZ7" s="44"/>
      <c r="DA7" s="44"/>
      <c r="DB7" s="44"/>
      <c r="DC7" s="44"/>
      <c r="DD7" s="44"/>
      <c r="DE7" s="44"/>
      <c r="DF7" s="44"/>
    </row>
    <row r="8" spans="1:110">
      <c r="A8" s="1"/>
      <c r="C8" s="5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row>
    <row r="9" spans="1:110" ht="16">
      <c r="A9" s="1" t="s">
        <v>127</v>
      </c>
      <c r="C9" s="54" t="s">
        <v>128</v>
      </c>
      <c r="D9" s="712">
        <f t="shared" ref="D9:AH9" si="30">D96</f>
        <v>178.3</v>
      </c>
      <c r="E9" s="712">
        <f t="shared" si="30"/>
        <v>181.47412677813568</v>
      </c>
      <c r="F9" s="712">
        <f t="shared" si="30"/>
        <v>184.13609120806251</v>
      </c>
      <c r="G9" s="712">
        <f t="shared" si="30"/>
        <v>186.83710282753654</v>
      </c>
      <c r="H9" s="712">
        <f t="shared" si="30"/>
        <v>189.5777344026676</v>
      </c>
      <c r="I9" s="712">
        <f t="shared" si="30"/>
        <v>192.35856710122081</v>
      </c>
      <c r="J9" s="712">
        <f t="shared" si="30"/>
        <v>195.18019061585645</v>
      </c>
      <c r="K9" s="712">
        <f t="shared" si="30"/>
        <v>198.043203289178</v>
      </c>
      <c r="L9" s="712">
        <f t="shared" si="30"/>
        <v>200.94821224061428</v>
      </c>
      <c r="M9" s="712">
        <f t="shared" si="30"/>
        <v>203.89583349516309</v>
      </c>
      <c r="N9" s="712">
        <f t="shared" si="30"/>
        <v>206.88669211402299</v>
      </c>
      <c r="O9" s="712">
        <f t="shared" si="30"/>
        <v>207.79112286265169</v>
      </c>
      <c r="P9" s="712">
        <f t="shared" si="30"/>
        <v>209.07257566822318</v>
      </c>
      <c r="Q9" s="712">
        <f t="shared" si="30"/>
        <v>210.3619312237789</v>
      </c>
      <c r="R9" s="712">
        <f t="shared" si="30"/>
        <v>211.65923826576613</v>
      </c>
      <c r="S9" s="712">
        <f t="shared" si="30"/>
        <v>212.96454583119115</v>
      </c>
      <c r="T9" s="712">
        <f t="shared" si="30"/>
        <v>214.27790325947282</v>
      </c>
      <c r="U9" s="712">
        <f t="shared" si="30"/>
        <v>215.599360194307</v>
      </c>
      <c r="V9" s="712">
        <f t="shared" si="30"/>
        <v>216.92896658554369</v>
      </c>
      <c r="W9" s="712">
        <f t="shared" si="30"/>
        <v>218.26677269107458</v>
      </c>
      <c r="X9" s="712">
        <f t="shared" si="30"/>
        <v>219.61282907873306</v>
      </c>
      <c r="Y9" s="712">
        <f t="shared" si="30"/>
        <v>220.96718662820584</v>
      </c>
      <c r="Z9" s="712">
        <f t="shared" si="30"/>
        <v>222.32989653295533</v>
      </c>
      <c r="AA9" s="712">
        <f t="shared" si="30"/>
        <v>223.70101030215571</v>
      </c>
      <c r="AB9" s="712">
        <f t="shared" si="30"/>
        <v>225.08057976263919</v>
      </c>
      <c r="AC9" s="712">
        <f t="shared" si="30"/>
        <v>226.46865706085535</v>
      </c>
      <c r="AD9" s="712">
        <f t="shared" si="30"/>
        <v>227.86529466484228</v>
      </c>
      <c r="AE9" s="712">
        <f t="shared" si="30"/>
        <v>229.27054536620963</v>
      </c>
      <c r="AF9" s="712">
        <f t="shared" si="30"/>
        <v>230.68446228213406</v>
      </c>
      <c r="AG9" s="712">
        <f t="shared" si="30"/>
        <v>232.10709885736736</v>
      </c>
      <c r="AH9" s="712">
        <f t="shared" si="30"/>
        <v>233.53850886625548</v>
      </c>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row>
    <row r="10" spans="1:110" ht="16">
      <c r="A10" s="1" t="s">
        <v>130</v>
      </c>
      <c r="C10" s="54" t="s">
        <v>128</v>
      </c>
      <c r="D10" s="712">
        <f t="shared" ref="D10:AH10" si="31">D99</f>
        <v>178.3</v>
      </c>
      <c r="E10" s="712">
        <f t="shared" si="31"/>
        <v>181.47412677813568</v>
      </c>
      <c r="F10" s="712">
        <f t="shared" si="31"/>
        <v>184.13609120806251</v>
      </c>
      <c r="G10" s="712">
        <f t="shared" si="31"/>
        <v>186.83710282753654</v>
      </c>
      <c r="H10" s="712">
        <f t="shared" si="31"/>
        <v>189.5777344026676</v>
      </c>
      <c r="I10" s="712">
        <f t="shared" si="31"/>
        <v>192.35856710122079</v>
      </c>
      <c r="J10" s="712">
        <f t="shared" si="31"/>
        <v>187.45893026974653</v>
      </c>
      <c r="K10" s="712">
        <f t="shared" si="31"/>
        <v>182.6126154855894</v>
      </c>
      <c r="L10" s="712">
        <f t="shared" si="31"/>
        <v>177.81720613615391</v>
      </c>
      <c r="M10" s="712">
        <f t="shared" si="31"/>
        <v>173.07023537601381</v>
      </c>
      <c r="N10" s="712">
        <f t="shared" si="31"/>
        <v>168.36918517319978</v>
      </c>
      <c r="O10" s="712">
        <f t="shared" si="31"/>
        <v>161.91646587598649</v>
      </c>
      <c r="P10" s="712">
        <f t="shared" si="31"/>
        <v>155.8586768899886</v>
      </c>
      <c r="Q10" s="712">
        <f t="shared" si="31"/>
        <v>149.89485457537069</v>
      </c>
      <c r="R10" s="712">
        <f t="shared" si="31"/>
        <v>144.02446814350864</v>
      </c>
      <c r="S10" s="712">
        <f t="shared" si="31"/>
        <v>138.24698235550412</v>
      </c>
      <c r="T10" s="712">
        <f t="shared" si="31"/>
        <v>132.56185748748192</v>
      </c>
      <c r="U10" s="712">
        <f t="shared" si="31"/>
        <v>126.96854929562781</v>
      </c>
      <c r="V10" s="712">
        <f t="shared" si="31"/>
        <v>121.46650898096678</v>
      </c>
      <c r="W10" s="712">
        <f t="shared" si="31"/>
        <v>116.05518315387799</v>
      </c>
      <c r="X10" s="712">
        <f t="shared" si="31"/>
        <v>110.73401379834561</v>
      </c>
      <c r="Y10" s="712">
        <f t="shared" si="31"/>
        <v>105.50243823594339</v>
      </c>
      <c r="Z10" s="712">
        <f t="shared" si="31"/>
        <v>100.35988908955053</v>
      </c>
      <c r="AA10" s="712">
        <f t="shared" si="31"/>
        <v>95.305794246798015</v>
      </c>
      <c r="AB10" s="712">
        <f t="shared" si="31"/>
        <v>90.33957682324214</v>
      </c>
      <c r="AC10" s="712">
        <f t="shared" si="31"/>
        <v>85.460655125264225</v>
      </c>
      <c r="AD10" s="712">
        <f t="shared" si="31"/>
        <v>80.668442612694491</v>
      </c>
      <c r="AE10" s="712">
        <f t="shared" si="31"/>
        <v>75.962347861157113</v>
      </c>
      <c r="AF10" s="712">
        <f t="shared" si="31"/>
        <v>71.341774524135928</v>
      </c>
      <c r="AG10" s="712">
        <f t="shared" si="31"/>
        <v>66.806121294757546</v>
      </c>
      <c r="AH10" s="712">
        <f t="shared" si="31"/>
        <v>62.354781867290214</v>
      </c>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row>
    <row r="11" spans="1:110">
      <c r="A11" s="1"/>
      <c r="C11" s="54"/>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row>
    <row r="12" spans="1:110" ht="16">
      <c r="A12" s="1" t="s">
        <v>131</v>
      </c>
      <c r="C12" s="54" t="s">
        <v>132</v>
      </c>
      <c r="D12" s="712">
        <f t="shared" ref="D12:AH12" si="32">D101</f>
        <v>49.3</v>
      </c>
      <c r="E12" s="712">
        <f t="shared" si="32"/>
        <v>50.409463532251827</v>
      </c>
      <c r="F12" s="712">
        <f t="shared" si="32"/>
        <v>51.148897859540831</v>
      </c>
      <c r="G12" s="712">
        <f t="shared" si="32"/>
        <v>51.899178624900422</v>
      </c>
      <c r="H12" s="712">
        <f t="shared" si="32"/>
        <v>52.660464929976904</v>
      </c>
      <c r="I12" s="712">
        <f t="shared" si="32"/>
        <v>53.432918210208911</v>
      </c>
      <c r="J12" s="712">
        <f t="shared" si="32"/>
        <v>54.216702269060796</v>
      </c>
      <c r="K12" s="712">
        <f t="shared" si="32"/>
        <v>55.011983312758119</v>
      </c>
      <c r="L12" s="712">
        <f t="shared" si="32"/>
        <v>55.818929985532733</v>
      </c>
      <c r="M12" s="712">
        <f t="shared" si="32"/>
        <v>56.63771340538478</v>
      </c>
      <c r="N12" s="712">
        <f t="shared" si="32"/>
        <v>57.468507200369487</v>
      </c>
      <c r="O12" s="712">
        <f t="shared" si="32"/>
        <v>57.566098263534528</v>
      </c>
      <c r="P12" s="712">
        <f t="shared" si="32"/>
        <v>57.921109763108419</v>
      </c>
      <c r="Q12" s="712">
        <f t="shared" si="32"/>
        <v>58.278310627058765</v>
      </c>
      <c r="R12" s="712">
        <f t="shared" si="32"/>
        <v>58.637714357247837</v>
      </c>
      <c r="S12" s="712">
        <f t="shared" si="32"/>
        <v>58.999334538804185</v>
      </c>
      <c r="T12" s="712">
        <f t="shared" si="32"/>
        <v>59.363184840636301</v>
      </c>
      <c r="U12" s="712">
        <f t="shared" si="32"/>
        <v>59.729279015948933</v>
      </c>
      <c r="V12" s="712">
        <f t="shared" si="32"/>
        <v>60.097630902763413</v>
      </c>
      <c r="W12" s="712">
        <f t="shared" si="32"/>
        <v>60.468254424440289</v>
      </c>
      <c r="X12" s="712">
        <f t="shared" si="32"/>
        <v>60.841163590205873</v>
      </c>
      <c r="Y12" s="712">
        <f t="shared" si="32"/>
        <v>61.21637249568181</v>
      </c>
      <c r="Z12" s="712">
        <f t="shared" si="32"/>
        <v>61.593895323417598</v>
      </c>
      <c r="AA12" s="712">
        <f t="shared" si="32"/>
        <v>61.973746343426974</v>
      </c>
      <c r="AB12" s="712">
        <f t="shared" si="32"/>
        <v>62.35593991372717</v>
      </c>
      <c r="AC12" s="712">
        <f t="shared" si="32"/>
        <v>62.740490480881626</v>
      </c>
      <c r="AD12" s="712">
        <f t="shared" si="32"/>
        <v>63.127412580546121</v>
      </c>
      <c r="AE12" s="712">
        <f t="shared" si="32"/>
        <v>63.516720838018138</v>
      </c>
      <c r="AF12" s="712">
        <f t="shared" si="32"/>
        <v>63.908429968789711</v>
      </c>
      <c r="AG12" s="712">
        <f t="shared" si="32"/>
        <v>64.30255477910373</v>
      </c>
      <c r="AH12" s="712">
        <f t="shared" si="32"/>
        <v>64.699110166513222</v>
      </c>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row>
    <row r="13" spans="1:110" ht="16">
      <c r="A13" s="1" t="s">
        <v>133</v>
      </c>
      <c r="C13" s="54" t="s">
        <v>132</v>
      </c>
      <c r="D13" s="712">
        <f t="shared" ref="D13:AH13" si="33">D104</f>
        <v>49.3</v>
      </c>
      <c r="E13" s="712">
        <f t="shared" si="33"/>
        <v>50.40946353225182</v>
      </c>
      <c r="F13" s="712">
        <f t="shared" si="33"/>
        <v>51.148897859540824</v>
      </c>
      <c r="G13" s="712">
        <f t="shared" si="33"/>
        <v>51.899178624900415</v>
      </c>
      <c r="H13" s="712">
        <f t="shared" si="33"/>
        <v>52.660464929976897</v>
      </c>
      <c r="I13" s="712">
        <f t="shared" si="33"/>
        <v>53.432918210208911</v>
      </c>
      <c r="J13" s="712">
        <f t="shared" si="33"/>
        <v>63.953719295649371</v>
      </c>
      <c r="K13" s="712">
        <f t="shared" si="33"/>
        <v>74.458573874009659</v>
      </c>
      <c r="L13" s="712">
        <f t="shared" si="33"/>
        <v>84.954604627890575</v>
      </c>
      <c r="M13" s="712">
        <f t="shared" si="33"/>
        <v>95.449072721315872</v>
      </c>
      <c r="N13" s="712">
        <f t="shared" si="33"/>
        <v>105.94938032981503</v>
      </c>
      <c r="O13" s="712">
        <f t="shared" si="33"/>
        <v>114.87950554955836</v>
      </c>
      <c r="P13" s="712">
        <f t="shared" si="33"/>
        <v>124.08365433241543</v>
      </c>
      <c r="Q13" s="712">
        <f t="shared" si="33"/>
        <v>133.09258783909152</v>
      </c>
      <c r="R13" s="712">
        <f t="shared" si="33"/>
        <v>141.90764882692054</v>
      </c>
      <c r="S13" s="712">
        <f t="shared" si="33"/>
        <v>150.53019103347879</v>
      </c>
      <c r="T13" s="712">
        <f t="shared" si="33"/>
        <v>158.9615792609483</v>
      </c>
      <c r="U13" s="712">
        <f t="shared" si="33"/>
        <v>167.20318946110149</v>
      </c>
      <c r="V13" s="712">
        <f t="shared" si="33"/>
        <v>175.25640882091545</v>
      </c>
      <c r="W13" s="712">
        <f t="shared" si="33"/>
        <v>183.12263584881637</v>
      </c>
      <c r="X13" s="712">
        <f t="shared" si="33"/>
        <v>190.80328046156126</v>
      </c>
      <c r="Y13" s="712">
        <f t="shared" si="33"/>
        <v>198.29976407176082</v>
      </c>
      <c r="Z13" s="712">
        <f t="shared" si="33"/>
        <v>205.61351967604696</v>
      </c>
      <c r="AA13" s="712">
        <f t="shared" si="33"/>
        <v>212.74599194389202</v>
      </c>
      <c r="AB13" s="712">
        <f t="shared" si="33"/>
        <v>219.69863730708164</v>
      </c>
      <c r="AC13" s="712">
        <f t="shared" si="33"/>
        <v>226.47292404984771</v>
      </c>
      <c r="AD13" s="712">
        <f t="shared" si="33"/>
        <v>233.07033239966631</v>
      </c>
      <c r="AE13" s="712">
        <f t="shared" si="33"/>
        <v>239.49235461872343</v>
      </c>
      <c r="AF13" s="712">
        <f t="shared" si="33"/>
        <v>245.74049509605595</v>
      </c>
      <c r="AG13" s="712">
        <f t="shared" si="33"/>
        <v>251.81627044037054</v>
      </c>
      <c r="AH13" s="712">
        <f t="shared" si="33"/>
        <v>257.72120957354537</v>
      </c>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row>
    <row r="14" spans="1:110">
      <c r="A14" s="1"/>
      <c r="C14" s="5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row>
    <row r="15" spans="1:110" s="684" customFormat="1" ht="16">
      <c r="A15" s="742"/>
      <c r="C15" s="743"/>
      <c r="D15" s="744"/>
      <c r="E15" s="744"/>
      <c r="F15" s="744"/>
      <c r="G15" s="744"/>
      <c r="H15" s="744"/>
      <c r="I15" s="744"/>
      <c r="J15" s="744"/>
      <c r="K15" s="744"/>
      <c r="L15" s="744"/>
      <c r="M15" s="744"/>
      <c r="N15" s="744"/>
      <c r="O15" s="744"/>
      <c r="P15" s="744"/>
      <c r="Q15" s="744"/>
      <c r="R15" s="744"/>
      <c r="S15" s="744"/>
      <c r="T15" s="744"/>
      <c r="U15" s="744"/>
      <c r="V15" s="744"/>
      <c r="W15" s="744"/>
      <c r="X15" s="744"/>
      <c r="Y15" s="744"/>
      <c r="Z15" s="744"/>
      <c r="AA15" s="744"/>
      <c r="AB15" s="744"/>
      <c r="AC15" s="744"/>
      <c r="AD15" s="744"/>
      <c r="AE15" s="744"/>
      <c r="AF15" s="744"/>
      <c r="AG15" s="744"/>
      <c r="AH15" s="744"/>
      <c r="AI15" s="745"/>
      <c r="AJ15" s="745"/>
      <c r="AK15" s="745"/>
      <c r="AL15" s="745"/>
      <c r="AM15" s="745"/>
      <c r="AN15" s="745"/>
      <c r="AO15" s="745"/>
      <c r="AP15" s="745"/>
      <c r="AQ15" s="745"/>
      <c r="AR15" s="745"/>
      <c r="AS15" s="745"/>
      <c r="AT15" s="745"/>
      <c r="AU15" s="745"/>
      <c r="AV15" s="745"/>
      <c r="AW15" s="745"/>
      <c r="AX15" s="745"/>
      <c r="AY15" s="745"/>
      <c r="AZ15" s="745"/>
      <c r="BA15" s="745"/>
      <c r="BB15" s="745"/>
      <c r="BC15" s="745"/>
      <c r="BD15" s="745"/>
      <c r="BE15" s="745"/>
      <c r="BF15" s="745"/>
      <c r="BG15" s="745"/>
      <c r="BH15" s="745"/>
      <c r="BI15" s="745"/>
      <c r="BJ15" s="745"/>
      <c r="BK15" s="745"/>
      <c r="BL15" s="745"/>
      <c r="BM15" s="745"/>
      <c r="BN15" s="745"/>
      <c r="BO15" s="745"/>
      <c r="BP15" s="745"/>
      <c r="BQ15" s="745"/>
      <c r="BR15" s="745"/>
      <c r="BS15" s="745"/>
      <c r="BT15" s="745"/>
      <c r="BU15" s="745"/>
      <c r="BV15" s="745"/>
      <c r="BW15" s="745"/>
      <c r="BX15" s="745"/>
      <c r="BY15" s="745"/>
      <c r="BZ15" s="745"/>
      <c r="CA15" s="745"/>
      <c r="CB15" s="745"/>
      <c r="CC15" s="745"/>
      <c r="CD15" s="745"/>
      <c r="CE15" s="745"/>
      <c r="CF15" s="745"/>
      <c r="CG15" s="745"/>
      <c r="CH15" s="745"/>
      <c r="CI15" s="745"/>
      <c r="CJ15" s="745"/>
      <c r="CK15" s="745"/>
      <c r="CL15" s="745"/>
      <c r="CM15" s="745"/>
      <c r="CN15" s="745"/>
      <c r="CO15" s="745"/>
      <c r="CP15" s="745"/>
      <c r="CQ15" s="745"/>
      <c r="CR15" s="745"/>
      <c r="CS15" s="745"/>
      <c r="CT15" s="745"/>
      <c r="CU15" s="745"/>
      <c r="CV15" s="745"/>
      <c r="CW15" s="745"/>
      <c r="CX15" s="745"/>
      <c r="CY15" s="745"/>
      <c r="CZ15" s="745"/>
      <c r="DA15" s="745"/>
      <c r="DB15" s="745"/>
      <c r="DC15" s="745"/>
      <c r="DD15" s="745"/>
      <c r="DE15" s="745"/>
      <c r="DF15" s="745"/>
    </row>
    <row r="16" spans="1:110">
      <c r="A16" s="1" t="s">
        <v>2083</v>
      </c>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row>
    <row r="17" spans="1:110">
      <c r="A17" s="1"/>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row>
    <row r="18" spans="1:110">
      <c r="A18" s="1"/>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row>
    <row r="19" spans="1:110">
      <c r="A19" s="1" t="s">
        <v>2026</v>
      </c>
      <c r="B19" s="54" t="s">
        <v>2032</v>
      </c>
    </row>
    <row r="20" spans="1:110">
      <c r="A20" s="1"/>
    </row>
    <row r="21" spans="1:110" ht="16">
      <c r="A21" s="1" t="s">
        <v>2030</v>
      </c>
      <c r="B21" s="679">
        <v>0.7</v>
      </c>
      <c r="C21" t="s">
        <v>2029</v>
      </c>
    </row>
    <row r="22" spans="1:110">
      <c r="A22" s="1"/>
    </row>
    <row r="23" spans="1:110">
      <c r="D23">
        <v>2020</v>
      </c>
      <c r="E23">
        <f>D23+1</f>
        <v>2021</v>
      </c>
      <c r="F23">
        <f t="shared" ref="F23:AH23" si="34">E23+1</f>
        <v>2022</v>
      </c>
      <c r="G23">
        <f t="shared" si="34"/>
        <v>2023</v>
      </c>
      <c r="H23">
        <f t="shared" si="34"/>
        <v>2024</v>
      </c>
      <c r="I23">
        <f t="shared" si="34"/>
        <v>2025</v>
      </c>
      <c r="J23">
        <f t="shared" si="34"/>
        <v>2026</v>
      </c>
      <c r="K23">
        <f t="shared" si="34"/>
        <v>2027</v>
      </c>
      <c r="L23">
        <f t="shared" si="34"/>
        <v>2028</v>
      </c>
      <c r="M23">
        <f t="shared" si="34"/>
        <v>2029</v>
      </c>
      <c r="N23">
        <f t="shared" si="34"/>
        <v>2030</v>
      </c>
      <c r="O23">
        <f t="shared" si="34"/>
        <v>2031</v>
      </c>
      <c r="P23">
        <f t="shared" si="34"/>
        <v>2032</v>
      </c>
      <c r="Q23">
        <f t="shared" si="34"/>
        <v>2033</v>
      </c>
      <c r="R23">
        <f>Q23+1</f>
        <v>2034</v>
      </c>
      <c r="S23">
        <f t="shared" si="34"/>
        <v>2035</v>
      </c>
      <c r="T23">
        <f t="shared" si="34"/>
        <v>2036</v>
      </c>
      <c r="U23">
        <f t="shared" si="34"/>
        <v>2037</v>
      </c>
      <c r="V23">
        <f t="shared" si="34"/>
        <v>2038</v>
      </c>
      <c r="W23">
        <f t="shared" si="34"/>
        <v>2039</v>
      </c>
      <c r="X23">
        <f t="shared" si="34"/>
        <v>2040</v>
      </c>
      <c r="Y23">
        <f t="shared" si="34"/>
        <v>2041</v>
      </c>
      <c r="Z23">
        <f t="shared" si="34"/>
        <v>2042</v>
      </c>
      <c r="AA23">
        <f t="shared" si="34"/>
        <v>2043</v>
      </c>
      <c r="AB23">
        <f t="shared" si="34"/>
        <v>2044</v>
      </c>
      <c r="AC23">
        <f>AB23+1</f>
        <v>2045</v>
      </c>
      <c r="AD23">
        <f t="shared" si="34"/>
        <v>2046</v>
      </c>
      <c r="AE23">
        <f t="shared" si="34"/>
        <v>2047</v>
      </c>
      <c r="AF23">
        <f t="shared" si="34"/>
        <v>2048</v>
      </c>
      <c r="AG23">
        <f>AF23+1</f>
        <v>2049</v>
      </c>
      <c r="AH23">
        <f t="shared" si="34"/>
        <v>2050</v>
      </c>
    </row>
    <row r="24" spans="1:110" ht="17" thickBot="1">
      <c r="A24" s="54" t="s">
        <v>2031</v>
      </c>
      <c r="B24" s="273" t="s">
        <v>2027</v>
      </c>
      <c r="C24" s="174"/>
      <c r="D24" s="724">
        <f>F43</f>
        <v>185</v>
      </c>
      <c r="E24" s="725">
        <f t="shared" ref="E24:M24" si="35">$D$24*($N$24/$D$24)^(1/($N$23-$D$23))^(E23-$D$23)</f>
        <v>187.7136839189123</v>
      </c>
      <c r="F24" s="725">
        <f t="shared" si="35"/>
        <v>190.46717367788816</v>
      </c>
      <c r="G24" s="725">
        <f t="shared" si="35"/>
        <v>193.26105317134957</v>
      </c>
      <c r="H24" s="725">
        <f t="shared" si="35"/>
        <v>196.0959148586098</v>
      </c>
      <c r="I24" s="725">
        <f t="shared" si="35"/>
        <v>198.9723598895082</v>
      </c>
      <c r="J24" s="725">
        <f t="shared" si="35"/>
        <v>201.89099823188758</v>
      </c>
      <c r="K24" s="725">
        <f t="shared" si="35"/>
        <v>204.85244880094177</v>
      </c>
      <c r="L24" s="725">
        <f t="shared" si="35"/>
        <v>207.85733959046024</v>
      </c>
      <c r="M24" s="725">
        <f t="shared" si="35"/>
        <v>210.90630780599818</v>
      </c>
      <c r="N24" s="724">
        <f>G43</f>
        <v>214</v>
      </c>
      <c r="O24" s="726">
        <f t="shared" ref="O24:AG24" si="36">$N$24*($AH$24/$N$24)^(1/($AH$23-$N$23))^(O23-$N$23)</f>
        <v>215.31974309881164</v>
      </c>
      <c r="P24" s="726">
        <f t="shared" si="36"/>
        <v>216.64762508475815</v>
      </c>
      <c r="Q24" s="726">
        <f t="shared" si="36"/>
        <v>217.98369615055037</v>
      </c>
      <c r="R24" s="726">
        <f t="shared" si="36"/>
        <v>219.32800679843891</v>
      </c>
      <c r="S24" s="726">
        <f t="shared" si="36"/>
        <v>220.68060784212275</v>
      </c>
      <c r="T24" s="726">
        <f t="shared" si="36"/>
        <v>222.04155040867045</v>
      </c>
      <c r="U24" s="726">
        <f t="shared" si="36"/>
        <v>223.41088594045209</v>
      </c>
      <c r="V24" s="726">
        <f t="shared" si="36"/>
        <v>224.78866619708438</v>
      </c>
      <c r="W24" s="726">
        <f t="shared" si="36"/>
        <v>226.17494325738662</v>
      </c>
      <c r="X24" s="726">
        <f t="shared" si="36"/>
        <v>227.56976952134943</v>
      </c>
      <c r="Y24" s="726">
        <f t="shared" si="36"/>
        <v>228.97319771211556</v>
      </c>
      <c r="Z24" s="726">
        <f t="shared" si="36"/>
        <v>230.38528087797258</v>
      </c>
      <c r="AA24" s="726">
        <f t="shared" si="36"/>
        <v>231.80607239435801</v>
      </c>
      <c r="AB24" s="726">
        <f t="shared" si="36"/>
        <v>233.23562596587712</v>
      </c>
      <c r="AC24" s="726">
        <f t="shared" si="36"/>
        <v>234.67399562833262</v>
      </c>
      <c r="AD24" s="726">
        <f t="shared" si="36"/>
        <v>236.12123575076743</v>
      </c>
      <c r="AE24" s="726">
        <f t="shared" si="36"/>
        <v>237.57740103751954</v>
      </c>
      <c r="AF24" s="726">
        <f t="shared" si="36"/>
        <v>239.04254653028994</v>
      </c>
      <c r="AG24" s="726">
        <f t="shared" si="36"/>
        <v>240.51672761022317</v>
      </c>
      <c r="AH24" s="724">
        <f>H43</f>
        <v>242</v>
      </c>
    </row>
    <row r="25" spans="1:110" ht="16">
      <c r="B25" t="s">
        <v>2042</v>
      </c>
      <c r="D25" s="44"/>
      <c r="E25" s="23">
        <f>E24/D24-1</f>
        <v>1.4668561723850226E-2</v>
      </c>
      <c r="F25" s="23">
        <f t="shared" ref="F25:M25" si="37">F24/E24-1</f>
        <v>1.4668561723850226E-2</v>
      </c>
      <c r="G25" s="23">
        <f t="shared" si="37"/>
        <v>1.4668561723850226E-2</v>
      </c>
      <c r="H25" s="23">
        <f t="shared" si="37"/>
        <v>1.4668561723850226E-2</v>
      </c>
      <c r="I25" s="23">
        <f t="shared" si="37"/>
        <v>1.4668561723850226E-2</v>
      </c>
      <c r="J25" s="23">
        <f t="shared" si="37"/>
        <v>1.4668561723850226E-2</v>
      </c>
      <c r="K25" s="23">
        <f t="shared" si="37"/>
        <v>1.4668561723850226E-2</v>
      </c>
      <c r="L25" s="23">
        <f t="shared" si="37"/>
        <v>1.4668561723850226E-2</v>
      </c>
      <c r="M25" s="23">
        <f t="shared" si="37"/>
        <v>1.4668561723850004E-2</v>
      </c>
      <c r="N25" s="723">
        <f t="shared" ref="N25:AH25" si="38">N24/M24-1</f>
        <v>1.4668561723851115E-2</v>
      </c>
      <c r="O25" s="723">
        <f t="shared" si="38"/>
        <v>6.167023826222584E-3</v>
      </c>
      <c r="P25" s="723">
        <f t="shared" si="38"/>
        <v>6.167023826222584E-3</v>
      </c>
      <c r="Q25" s="723">
        <f t="shared" si="38"/>
        <v>6.167023826222584E-3</v>
      </c>
      <c r="R25" s="723">
        <f t="shared" si="38"/>
        <v>6.1670238262228061E-3</v>
      </c>
      <c r="S25" s="723">
        <f t="shared" si="38"/>
        <v>6.167023826222362E-3</v>
      </c>
      <c r="T25" s="723">
        <f t="shared" si="38"/>
        <v>6.1670238262228061E-3</v>
      </c>
      <c r="U25" s="723">
        <f t="shared" si="38"/>
        <v>6.167023826222362E-3</v>
      </c>
      <c r="V25" s="723">
        <f t="shared" si="38"/>
        <v>6.1670238262228061E-3</v>
      </c>
      <c r="W25" s="723">
        <f t="shared" si="38"/>
        <v>6.167023826222584E-3</v>
      </c>
      <c r="X25" s="723">
        <f t="shared" si="38"/>
        <v>6.167023826222362E-3</v>
      </c>
      <c r="Y25" s="723">
        <f t="shared" si="38"/>
        <v>6.167023826222584E-3</v>
      </c>
      <c r="Z25" s="723">
        <f t="shared" si="38"/>
        <v>6.167023826222584E-3</v>
      </c>
      <c r="AA25" s="723">
        <f t="shared" si="38"/>
        <v>6.167023826222584E-3</v>
      </c>
      <c r="AB25" s="723">
        <f t="shared" si="38"/>
        <v>6.167023826222584E-3</v>
      </c>
      <c r="AC25" s="723">
        <f t="shared" si="38"/>
        <v>6.167023826222584E-3</v>
      </c>
      <c r="AD25" s="723">
        <f t="shared" si="38"/>
        <v>6.167023826222584E-3</v>
      </c>
      <c r="AE25" s="723">
        <f t="shared" si="38"/>
        <v>6.167023826222584E-3</v>
      </c>
      <c r="AF25" s="723">
        <f t="shared" si="38"/>
        <v>6.167023826222584E-3</v>
      </c>
      <c r="AG25" s="723">
        <f t="shared" si="38"/>
        <v>6.167023826222584E-3</v>
      </c>
      <c r="AH25" s="723">
        <f t="shared" si="38"/>
        <v>6.1670238262205856E-3</v>
      </c>
    </row>
    <row r="26" spans="1:110">
      <c r="B26" s="1"/>
      <c r="C26" s="1"/>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row>
    <row r="27" spans="1:110">
      <c r="C27" t="s">
        <v>2033</v>
      </c>
      <c r="D27" s="714">
        <f t="shared" ref="D27:AH27" si="39">D24*$B$21</f>
        <v>129.5</v>
      </c>
      <c r="E27" s="714">
        <f t="shared" si="39"/>
        <v>131.39957874323861</v>
      </c>
      <c r="F27" s="714">
        <f t="shared" si="39"/>
        <v>133.32702157452169</v>
      </c>
      <c r="G27" s="714">
        <f t="shared" si="39"/>
        <v>135.28273721994469</v>
      </c>
      <c r="H27" s="714">
        <f t="shared" si="39"/>
        <v>137.26714040102686</v>
      </c>
      <c r="I27" s="714">
        <f t="shared" si="39"/>
        <v>139.28065192265572</v>
      </c>
      <c r="J27" s="714">
        <f t="shared" si="39"/>
        <v>141.3236987623213</v>
      </c>
      <c r="K27" s="714">
        <f t="shared" si="39"/>
        <v>143.39671416065923</v>
      </c>
      <c r="L27" s="714">
        <f t="shared" si="39"/>
        <v>145.50013771332215</v>
      </c>
      <c r="M27" s="714">
        <f t="shared" si="39"/>
        <v>147.63441546419872</v>
      </c>
      <c r="N27" s="714">
        <f t="shared" si="39"/>
        <v>149.79999999999998</v>
      </c>
      <c r="O27" s="714">
        <f t="shared" si="39"/>
        <v>150.72382016916814</v>
      </c>
      <c r="P27" s="714">
        <f t="shared" si="39"/>
        <v>151.65333755933068</v>
      </c>
      <c r="Q27" s="714">
        <f t="shared" si="39"/>
        <v>152.58858730538526</v>
      </c>
      <c r="R27" s="714">
        <f t="shared" si="39"/>
        <v>153.52960475890723</v>
      </c>
      <c r="S27" s="714">
        <f t="shared" si="39"/>
        <v>154.47642548948591</v>
      </c>
      <c r="T27" s="714">
        <f t="shared" si="39"/>
        <v>155.4290852860693</v>
      </c>
      <c r="U27" s="714">
        <f t="shared" si="39"/>
        <v>156.38762015831645</v>
      </c>
      <c r="V27" s="714">
        <f t="shared" si="39"/>
        <v>157.35206633795906</v>
      </c>
      <c r="W27" s="714">
        <f t="shared" si="39"/>
        <v>158.32246028017062</v>
      </c>
      <c r="X27" s="714">
        <f t="shared" si="39"/>
        <v>159.29883866494458</v>
      </c>
      <c r="Y27" s="714">
        <f t="shared" si="39"/>
        <v>160.28123839848089</v>
      </c>
      <c r="Z27" s="714">
        <f t="shared" si="39"/>
        <v>161.26969661458079</v>
      </c>
      <c r="AA27" s="714">
        <f t="shared" si="39"/>
        <v>162.26425067605061</v>
      </c>
      <c r="AB27" s="714">
        <f t="shared" si="39"/>
        <v>163.26493817611399</v>
      </c>
      <c r="AC27" s="714">
        <f t="shared" si="39"/>
        <v>164.27179693983283</v>
      </c>
      <c r="AD27" s="714">
        <f t="shared" si="39"/>
        <v>165.28486502553719</v>
      </c>
      <c r="AE27" s="714">
        <f t="shared" si="39"/>
        <v>166.30418072626367</v>
      </c>
      <c r="AF27" s="714">
        <f t="shared" si="39"/>
        <v>167.32978257120294</v>
      </c>
      <c r="AG27" s="714">
        <f t="shared" si="39"/>
        <v>168.36170932715621</v>
      </c>
      <c r="AH27" s="714">
        <f t="shared" si="39"/>
        <v>169.39999999999998</v>
      </c>
      <c r="AI27" s="68" t="s">
        <v>153</v>
      </c>
    </row>
    <row r="28" spans="1:110" ht="16">
      <c r="C28" t="s">
        <v>2028</v>
      </c>
      <c r="D28" s="720">
        <v>0</v>
      </c>
      <c r="E28" s="720">
        <v>0</v>
      </c>
      <c r="F28" s="720">
        <v>0</v>
      </c>
      <c r="G28" s="720">
        <v>0</v>
      </c>
      <c r="H28" s="720">
        <v>0</v>
      </c>
      <c r="I28" s="720">
        <v>0</v>
      </c>
      <c r="J28" s="715">
        <f t="shared" ref="J28:AG28" si="40">(J23-$I$23)/($AH$23-$I$23)*($AH$28-$I$28)</f>
        <v>2.2530199999999998</v>
      </c>
      <c r="K28" s="715">
        <f t="shared" si="40"/>
        <v>4.5060399999999996</v>
      </c>
      <c r="L28" s="715">
        <f t="shared" si="40"/>
        <v>6.7590599999999998</v>
      </c>
      <c r="M28" s="715">
        <f t="shared" si="40"/>
        <v>9.0120799999999992</v>
      </c>
      <c r="N28" s="721">
        <f t="shared" si="40"/>
        <v>11.2651</v>
      </c>
      <c r="O28" s="721">
        <f t="shared" si="40"/>
        <v>13.51812</v>
      </c>
      <c r="P28" s="721">
        <f t="shared" si="40"/>
        <v>15.771140000000001</v>
      </c>
      <c r="Q28" s="721">
        <f t="shared" si="40"/>
        <v>18.024159999999998</v>
      </c>
      <c r="R28" s="721">
        <f t="shared" si="40"/>
        <v>20.277179999999998</v>
      </c>
      <c r="S28" s="721">
        <f t="shared" si="40"/>
        <v>22.530200000000001</v>
      </c>
      <c r="T28" s="721">
        <f t="shared" si="40"/>
        <v>24.78322</v>
      </c>
      <c r="U28" s="721">
        <f t="shared" si="40"/>
        <v>27.036239999999999</v>
      </c>
      <c r="V28" s="721">
        <f t="shared" si="40"/>
        <v>29.289259999999999</v>
      </c>
      <c r="W28" s="721">
        <f t="shared" si="40"/>
        <v>31.542280000000002</v>
      </c>
      <c r="X28" s="721">
        <f t="shared" si="40"/>
        <v>33.795299999999997</v>
      </c>
      <c r="Y28" s="715">
        <f t="shared" si="40"/>
        <v>36.048319999999997</v>
      </c>
      <c r="Z28" s="715">
        <f t="shared" si="40"/>
        <v>38.301340000000003</v>
      </c>
      <c r="AA28" s="715">
        <f t="shared" si="40"/>
        <v>40.554359999999996</v>
      </c>
      <c r="AB28" s="715">
        <f t="shared" si="40"/>
        <v>42.807380000000002</v>
      </c>
      <c r="AC28" s="715">
        <f t="shared" si="40"/>
        <v>45.060400000000001</v>
      </c>
      <c r="AD28" s="715">
        <f t="shared" si="40"/>
        <v>47.313419999999994</v>
      </c>
      <c r="AE28" s="715">
        <f t="shared" si="40"/>
        <v>49.56644</v>
      </c>
      <c r="AF28" s="715">
        <f t="shared" si="40"/>
        <v>51.819459999999999</v>
      </c>
      <c r="AG28" s="715">
        <f t="shared" si="40"/>
        <v>54.072479999999999</v>
      </c>
      <c r="AH28" s="722">
        <f>(1-B53)*AH27</f>
        <v>56.325499999999998</v>
      </c>
    </row>
    <row r="29" spans="1:110" ht="16" thickBot="1">
      <c r="A29" s="68"/>
      <c r="C29" t="s">
        <v>2077</v>
      </c>
      <c r="D29" s="719">
        <f t="shared" ref="D29:AH29" si="41">D27-D28</f>
        <v>129.5</v>
      </c>
      <c r="E29" s="719">
        <f t="shared" si="41"/>
        <v>131.39957874323861</v>
      </c>
      <c r="F29" s="719">
        <f t="shared" si="41"/>
        <v>133.32702157452169</v>
      </c>
      <c r="G29" s="719">
        <f t="shared" si="41"/>
        <v>135.28273721994469</v>
      </c>
      <c r="H29" s="719">
        <f t="shared" si="41"/>
        <v>137.26714040102686</v>
      </c>
      <c r="I29" s="719">
        <f t="shared" si="41"/>
        <v>139.28065192265572</v>
      </c>
      <c r="J29" s="719">
        <f t="shared" si="41"/>
        <v>139.07067876232131</v>
      </c>
      <c r="K29" s="719">
        <f t="shared" si="41"/>
        <v>138.89067416065922</v>
      </c>
      <c r="L29" s="719">
        <f t="shared" si="41"/>
        <v>138.74107771332214</v>
      </c>
      <c r="M29" s="719">
        <f t="shared" si="41"/>
        <v>138.62233546419873</v>
      </c>
      <c r="N29" s="719">
        <f t="shared" si="41"/>
        <v>138.53489999999999</v>
      </c>
      <c r="O29" s="719">
        <f t="shared" si="41"/>
        <v>137.20570016916813</v>
      </c>
      <c r="P29" s="719">
        <f t="shared" si="41"/>
        <v>135.88219755933068</v>
      </c>
      <c r="Q29" s="719">
        <f t="shared" si="41"/>
        <v>134.56442730538527</v>
      </c>
      <c r="R29" s="719">
        <f t="shared" si="41"/>
        <v>133.25242475890724</v>
      </c>
      <c r="S29" s="719">
        <f t="shared" si="41"/>
        <v>131.9462254894859</v>
      </c>
      <c r="T29" s="719">
        <f t="shared" si="41"/>
        <v>130.6458652860693</v>
      </c>
      <c r="U29" s="719">
        <f t="shared" si="41"/>
        <v>129.35138015831646</v>
      </c>
      <c r="V29" s="719">
        <f t="shared" si="41"/>
        <v>128.06280633795905</v>
      </c>
      <c r="W29" s="719">
        <f t="shared" si="41"/>
        <v>126.78018028017061</v>
      </c>
      <c r="X29" s="719">
        <f t="shared" si="41"/>
        <v>125.50353866494459</v>
      </c>
      <c r="Y29" s="719">
        <f t="shared" si="41"/>
        <v>124.2329183984809</v>
      </c>
      <c r="Z29" s="719">
        <f t="shared" si="41"/>
        <v>122.96835661458078</v>
      </c>
      <c r="AA29" s="719">
        <f t="shared" si="41"/>
        <v>121.70989067605061</v>
      </c>
      <c r="AB29" s="719">
        <f t="shared" si="41"/>
        <v>120.45755817611399</v>
      </c>
      <c r="AC29" s="719">
        <f t="shared" si="41"/>
        <v>119.21139693983282</v>
      </c>
      <c r="AD29" s="719">
        <f t="shared" si="41"/>
        <v>117.97144502553719</v>
      </c>
      <c r="AE29" s="719">
        <f t="shared" si="41"/>
        <v>116.73774072626367</v>
      </c>
      <c r="AF29" s="719">
        <f t="shared" si="41"/>
        <v>115.51032257120295</v>
      </c>
      <c r="AG29" s="719">
        <f t="shared" si="41"/>
        <v>114.28922932715621</v>
      </c>
      <c r="AH29" s="719">
        <f t="shared" si="41"/>
        <v>113.07449999999997</v>
      </c>
      <c r="AI29" s="245"/>
    </row>
    <row r="30" spans="1:110">
      <c r="D30" s="30"/>
      <c r="E30" s="663"/>
      <c r="F30" s="663"/>
      <c r="G30" s="663"/>
      <c r="H30" s="653"/>
      <c r="I30" s="653"/>
      <c r="J30" s="653"/>
      <c r="K30" s="653"/>
    </row>
    <row r="31" spans="1:110">
      <c r="B31" s="1" t="s">
        <v>2035</v>
      </c>
      <c r="D31" s="710">
        <f t="shared" ref="D31:AH31" si="42">D73</f>
        <v>0</v>
      </c>
      <c r="E31" s="710">
        <f t="shared" si="42"/>
        <v>2.0292930235443003</v>
      </c>
      <c r="F31" s="710">
        <f t="shared" si="42"/>
        <v>4.0586614558793279</v>
      </c>
      <c r="G31" s="710">
        <f t="shared" si="42"/>
        <v>6.088105297005086</v>
      </c>
      <c r="H31" s="710">
        <f t="shared" si="42"/>
        <v>8.1176245469215687</v>
      </c>
      <c r="I31" s="710">
        <f t="shared" si="42"/>
        <v>10.14721920562878</v>
      </c>
      <c r="J31" s="710">
        <f t="shared" si="42"/>
        <v>12.100160828560892</v>
      </c>
      <c r="K31" s="710">
        <f t="shared" si="42"/>
        <v>14.027601712095112</v>
      </c>
      <c r="L31" s="710">
        <f t="shared" si="42"/>
        <v>15.929541856231454</v>
      </c>
      <c r="M31" s="710">
        <f t="shared" si="42"/>
        <v>17.805981260969912</v>
      </c>
      <c r="N31" s="710">
        <f t="shared" si="42"/>
        <v>19.656919926310486</v>
      </c>
      <c r="O31" s="710">
        <f t="shared" si="42"/>
        <v>30.941107366666273</v>
      </c>
      <c r="P31" s="710">
        <f t="shared" si="42"/>
        <v>41.842821420449162</v>
      </c>
      <c r="Q31" s="710">
        <f t="shared" si="42"/>
        <v>52.362062087659183</v>
      </c>
      <c r="R31" s="710">
        <f t="shared" si="42"/>
        <v>62.498829368296327</v>
      </c>
      <c r="S31" s="710">
        <f t="shared" si="42"/>
        <v>72.253123262360546</v>
      </c>
      <c r="T31" s="710">
        <f t="shared" si="42"/>
        <v>97.747354348410369</v>
      </c>
      <c r="U31" s="710">
        <f t="shared" si="42"/>
        <v>122.16108806288634</v>
      </c>
      <c r="V31" s="710">
        <f t="shared" si="42"/>
        <v>145.49432440578849</v>
      </c>
      <c r="W31" s="710">
        <f t="shared" si="42"/>
        <v>167.74706337711683</v>
      </c>
      <c r="X31" s="710">
        <f t="shared" si="42"/>
        <v>188.91930497687133</v>
      </c>
      <c r="Y31" s="710">
        <f t="shared" si="42"/>
        <v>209.6790862369707</v>
      </c>
      <c r="Z31" s="710">
        <f t="shared" si="42"/>
        <v>229.68218552738813</v>
      </c>
      <c r="AA31" s="710">
        <f t="shared" si="42"/>
        <v>248.92860284812363</v>
      </c>
      <c r="AB31" s="710">
        <f t="shared" si="42"/>
        <v>267.41833819917707</v>
      </c>
      <c r="AC31" s="710">
        <f t="shared" si="42"/>
        <v>285.15139158054865</v>
      </c>
      <c r="AD31" s="710">
        <f t="shared" si="42"/>
        <v>284.85430303452375</v>
      </c>
      <c r="AE31" s="710">
        <f t="shared" si="42"/>
        <v>284.48849194388185</v>
      </c>
      <c r="AF31" s="710">
        <f t="shared" si="42"/>
        <v>284.05395830862324</v>
      </c>
      <c r="AG31" s="710">
        <f t="shared" si="42"/>
        <v>283.55070212874767</v>
      </c>
      <c r="AH31" s="710">
        <f t="shared" si="42"/>
        <v>282.97872340425528</v>
      </c>
    </row>
    <row r="32" spans="1:110">
      <c r="B32" t="s">
        <v>2037</v>
      </c>
      <c r="D32" s="717">
        <f t="shared" ref="D32:AH32" si="43">D31*$B$61</f>
        <v>0</v>
      </c>
      <c r="E32" s="717">
        <f t="shared" si="43"/>
        <v>0.36527274423797407</v>
      </c>
      <c r="F32" s="717">
        <f t="shared" si="43"/>
        <v>0.73055906205827903</v>
      </c>
      <c r="G32" s="717">
        <f t="shared" si="43"/>
        <v>1.0958589534609153</v>
      </c>
      <c r="H32" s="717">
        <f t="shared" si="43"/>
        <v>1.4611724184458823</v>
      </c>
      <c r="I32" s="717">
        <f t="shared" si="43"/>
        <v>1.8264994570131803</v>
      </c>
      <c r="J32" s="717">
        <f t="shared" si="43"/>
        <v>2.1780289491409603</v>
      </c>
      <c r="K32" s="717">
        <f t="shared" si="43"/>
        <v>2.5249683081771201</v>
      </c>
      <c r="L32" s="717">
        <f t="shared" si="43"/>
        <v>2.8673175341216615</v>
      </c>
      <c r="M32" s="717">
        <f t="shared" si="43"/>
        <v>3.2050766269745838</v>
      </c>
      <c r="N32" s="718">
        <f t="shared" si="43"/>
        <v>3.5382455867358873</v>
      </c>
      <c r="O32" s="718">
        <f t="shared" si="43"/>
        <v>5.569399325999929</v>
      </c>
      <c r="P32" s="718">
        <f t="shared" si="43"/>
        <v>7.5317078556808488</v>
      </c>
      <c r="Q32" s="718">
        <f t="shared" si="43"/>
        <v>9.4251711757786527</v>
      </c>
      <c r="R32" s="718">
        <f t="shared" si="43"/>
        <v>11.249789286293339</v>
      </c>
      <c r="S32" s="718">
        <f t="shared" si="43"/>
        <v>13.005562187224898</v>
      </c>
      <c r="T32" s="718">
        <f t="shared" si="43"/>
        <v>17.594523782713864</v>
      </c>
      <c r="U32" s="718">
        <f t="shared" si="43"/>
        <v>21.98899585131954</v>
      </c>
      <c r="V32" s="718">
        <f t="shared" si="43"/>
        <v>26.188978393041928</v>
      </c>
      <c r="W32" s="718">
        <f t="shared" si="43"/>
        <v>30.194471407881029</v>
      </c>
      <c r="X32" s="718">
        <f t="shared" si="43"/>
        <v>34.005474895836841</v>
      </c>
      <c r="Y32" s="718">
        <f t="shared" si="43"/>
        <v>37.742235522654724</v>
      </c>
      <c r="Z32" s="718">
        <f t="shared" si="43"/>
        <v>41.342793394929863</v>
      </c>
      <c r="AA32" s="718">
        <f t="shared" si="43"/>
        <v>44.807148512662252</v>
      </c>
      <c r="AB32" s="718">
        <f t="shared" si="43"/>
        <v>48.135300875851868</v>
      </c>
      <c r="AC32" s="718">
        <f t="shared" si="43"/>
        <v>51.327250484498755</v>
      </c>
      <c r="AD32" s="718">
        <f t="shared" si="43"/>
        <v>51.273774546214277</v>
      </c>
      <c r="AE32" s="718">
        <f t="shared" si="43"/>
        <v>51.207928549898732</v>
      </c>
      <c r="AF32" s="718">
        <f t="shared" si="43"/>
        <v>51.129712495552184</v>
      </c>
      <c r="AG32" s="718">
        <f t="shared" si="43"/>
        <v>51.039126383174576</v>
      </c>
      <c r="AH32" s="718">
        <f t="shared" si="43"/>
        <v>50.936170212765951</v>
      </c>
    </row>
    <row r="33" spans="1:35" ht="16" thickBot="1">
      <c r="A33" s="68"/>
      <c r="B33" s="273" t="s">
        <v>2058</v>
      </c>
      <c r="C33" s="273"/>
      <c r="D33" s="719">
        <f t="shared" ref="D33:AH33" si="44">D31-D32</f>
        <v>0</v>
      </c>
      <c r="E33" s="719">
        <f t="shared" si="44"/>
        <v>1.6640202793063263</v>
      </c>
      <c r="F33" s="719">
        <f t="shared" si="44"/>
        <v>3.328102393821049</v>
      </c>
      <c r="G33" s="719">
        <f t="shared" si="44"/>
        <v>4.9922463435441706</v>
      </c>
      <c r="H33" s="719">
        <f t="shared" si="44"/>
        <v>6.6564521284756868</v>
      </c>
      <c r="I33" s="719">
        <f t="shared" si="44"/>
        <v>8.3207197486155984</v>
      </c>
      <c r="J33" s="719">
        <f t="shared" si="44"/>
        <v>9.9221318794199309</v>
      </c>
      <c r="K33" s="719">
        <f t="shared" si="44"/>
        <v>11.502633403917992</v>
      </c>
      <c r="L33" s="719">
        <f t="shared" si="44"/>
        <v>13.062224322109792</v>
      </c>
      <c r="M33" s="719">
        <f t="shared" si="44"/>
        <v>14.600904633995327</v>
      </c>
      <c r="N33" s="719">
        <f t="shared" si="44"/>
        <v>16.1186743395746</v>
      </c>
      <c r="O33" s="719">
        <f t="shared" si="44"/>
        <v>25.371708040666345</v>
      </c>
      <c r="P33" s="719">
        <f t="shared" si="44"/>
        <v>34.311113564768313</v>
      </c>
      <c r="Q33" s="719">
        <f t="shared" si="44"/>
        <v>42.936890911880532</v>
      </c>
      <c r="R33" s="719">
        <f t="shared" si="44"/>
        <v>51.249040082002992</v>
      </c>
      <c r="S33" s="719">
        <f t="shared" si="44"/>
        <v>59.24756107513565</v>
      </c>
      <c r="T33" s="719">
        <f t="shared" si="44"/>
        <v>80.152830565696505</v>
      </c>
      <c r="U33" s="719">
        <f t="shared" si="44"/>
        <v>100.17209221156679</v>
      </c>
      <c r="V33" s="719">
        <f t="shared" si="44"/>
        <v>119.30534601274655</v>
      </c>
      <c r="W33" s="719">
        <f t="shared" si="44"/>
        <v>137.55259196923581</v>
      </c>
      <c r="X33" s="719">
        <f t="shared" si="44"/>
        <v>154.91383008103449</v>
      </c>
      <c r="Y33" s="719">
        <f t="shared" si="44"/>
        <v>171.93685071431599</v>
      </c>
      <c r="Z33" s="719">
        <f t="shared" si="44"/>
        <v>188.33939213245827</v>
      </c>
      <c r="AA33" s="719">
        <f t="shared" si="44"/>
        <v>204.12145433546138</v>
      </c>
      <c r="AB33" s="719">
        <f t="shared" si="44"/>
        <v>219.2830373233252</v>
      </c>
      <c r="AC33" s="719">
        <f t="shared" si="44"/>
        <v>233.82414109604989</v>
      </c>
      <c r="AD33" s="719">
        <f t="shared" si="44"/>
        <v>233.58052848830948</v>
      </c>
      <c r="AE33" s="719">
        <f t="shared" si="44"/>
        <v>233.28056339398313</v>
      </c>
      <c r="AF33" s="719">
        <f t="shared" si="44"/>
        <v>232.92424581307105</v>
      </c>
      <c r="AG33" s="719">
        <f t="shared" si="44"/>
        <v>232.51157574557311</v>
      </c>
      <c r="AH33" s="719">
        <f t="shared" si="44"/>
        <v>232.04255319148933</v>
      </c>
      <c r="AI33" s="245"/>
    </row>
    <row r="34" spans="1:35">
      <c r="C34" s="1"/>
    </row>
    <row r="35" spans="1:35" ht="17" thickBot="1">
      <c r="C35" s="273" t="s">
        <v>2041</v>
      </c>
      <c r="D35" s="708">
        <f>D24+D31</f>
        <v>185</v>
      </c>
      <c r="E35" s="708">
        <f t="shared" ref="E35:AG35" si="45">E24+E31</f>
        <v>189.74297694245661</v>
      </c>
      <c r="F35" s="708">
        <f t="shared" si="45"/>
        <v>194.52583513376749</v>
      </c>
      <c r="G35" s="708">
        <f t="shared" si="45"/>
        <v>199.34915846835466</v>
      </c>
      <c r="H35" s="708">
        <f t="shared" si="45"/>
        <v>204.21353940553138</v>
      </c>
      <c r="I35" s="708">
        <f t="shared" si="45"/>
        <v>209.11957909513697</v>
      </c>
      <c r="J35" s="708">
        <f t="shared" si="45"/>
        <v>213.99115906044847</v>
      </c>
      <c r="K35" s="708">
        <f t="shared" si="45"/>
        <v>218.88005051303688</v>
      </c>
      <c r="L35" s="708">
        <f t="shared" si="45"/>
        <v>223.78688144669169</v>
      </c>
      <c r="M35" s="708">
        <f t="shared" si="45"/>
        <v>228.71228906696808</v>
      </c>
      <c r="N35" s="708">
        <f t="shared" si="45"/>
        <v>233.65691992631048</v>
      </c>
      <c r="O35" s="708">
        <f t="shared" si="45"/>
        <v>246.26085046547792</v>
      </c>
      <c r="P35" s="708">
        <f t="shared" si="45"/>
        <v>258.49044650520733</v>
      </c>
      <c r="Q35" s="708">
        <f t="shared" si="45"/>
        <v>270.34575823820956</v>
      </c>
      <c r="R35" s="708">
        <f t="shared" si="45"/>
        <v>281.82683616673523</v>
      </c>
      <c r="S35" s="708">
        <f t="shared" si="45"/>
        <v>292.93373110448329</v>
      </c>
      <c r="T35" s="708">
        <f t="shared" si="45"/>
        <v>319.78890475708079</v>
      </c>
      <c r="U35" s="708">
        <f t="shared" si="45"/>
        <v>345.57197400333843</v>
      </c>
      <c r="V35" s="708">
        <f t="shared" si="45"/>
        <v>370.28299060287287</v>
      </c>
      <c r="W35" s="708">
        <f t="shared" si="45"/>
        <v>393.92200663450342</v>
      </c>
      <c r="X35" s="708">
        <f t="shared" si="45"/>
        <v>416.48907449822076</v>
      </c>
      <c r="Y35" s="708">
        <f t="shared" si="45"/>
        <v>438.65228394908627</v>
      </c>
      <c r="Z35" s="708">
        <f t="shared" si="45"/>
        <v>460.06746640536073</v>
      </c>
      <c r="AA35" s="708">
        <f t="shared" si="45"/>
        <v>480.73467524248167</v>
      </c>
      <c r="AB35" s="708">
        <f t="shared" si="45"/>
        <v>500.65396416505416</v>
      </c>
      <c r="AC35" s="708">
        <f t="shared" si="45"/>
        <v>519.82538720888124</v>
      </c>
      <c r="AD35" s="708">
        <f t="shared" si="45"/>
        <v>520.97553878529118</v>
      </c>
      <c r="AE35" s="708">
        <f t="shared" si="45"/>
        <v>522.06589298140136</v>
      </c>
      <c r="AF35" s="708">
        <f t="shared" si="45"/>
        <v>523.09650483891323</v>
      </c>
      <c r="AG35" s="708">
        <f t="shared" si="45"/>
        <v>524.06742973897087</v>
      </c>
      <c r="AH35" s="708">
        <f>AH24+AH31</f>
        <v>524.97872340425533</v>
      </c>
    </row>
    <row r="36" spans="1:35" ht="16">
      <c r="C36" s="1" t="s">
        <v>2034</v>
      </c>
      <c r="D36" s="709">
        <f>D24-D28+D33</f>
        <v>185</v>
      </c>
      <c r="E36" s="709">
        <f t="shared" ref="E36:AH36" si="46">E24-E28+E33</f>
        <v>189.37770419821862</v>
      </c>
      <c r="F36" s="709">
        <f t="shared" si="46"/>
        <v>193.7952760717092</v>
      </c>
      <c r="G36" s="709">
        <f t="shared" si="46"/>
        <v>198.25329951489374</v>
      </c>
      <c r="H36" s="709">
        <f t="shared" si="46"/>
        <v>202.75236698708548</v>
      </c>
      <c r="I36" s="709">
        <f t="shared" si="46"/>
        <v>207.2930796381238</v>
      </c>
      <c r="J36" s="709">
        <f t="shared" si="46"/>
        <v>209.56011011130752</v>
      </c>
      <c r="K36" s="709">
        <f t="shared" si="46"/>
        <v>211.84904220485976</v>
      </c>
      <c r="L36" s="709">
        <f t="shared" si="46"/>
        <v>214.16050391257002</v>
      </c>
      <c r="M36" s="709">
        <f t="shared" si="46"/>
        <v>216.49513243999351</v>
      </c>
      <c r="N36" s="709">
        <f t="shared" si="46"/>
        <v>218.85357433957461</v>
      </c>
      <c r="O36" s="709">
        <f t="shared" si="46"/>
        <v>227.17333113947797</v>
      </c>
      <c r="P36" s="709">
        <f t="shared" si="46"/>
        <v>235.18759864952645</v>
      </c>
      <c r="Q36" s="709">
        <f t="shared" si="46"/>
        <v>242.89642706243092</v>
      </c>
      <c r="R36" s="709">
        <f t="shared" si="46"/>
        <v>250.29986688044193</v>
      </c>
      <c r="S36" s="709">
        <f t="shared" si="46"/>
        <v>257.39796891725837</v>
      </c>
      <c r="T36" s="709">
        <f t="shared" si="46"/>
        <v>277.41116097436696</v>
      </c>
      <c r="U36" s="709">
        <f t="shared" si="46"/>
        <v>296.54673815201886</v>
      </c>
      <c r="V36" s="709">
        <f t="shared" si="46"/>
        <v>314.80475220983095</v>
      </c>
      <c r="W36" s="709">
        <f t="shared" si="46"/>
        <v>332.18525522662242</v>
      </c>
      <c r="X36" s="709">
        <f t="shared" si="46"/>
        <v>348.68829960238395</v>
      </c>
      <c r="Y36" s="709">
        <f t="shared" si="46"/>
        <v>364.86172842643157</v>
      </c>
      <c r="Z36" s="709">
        <f t="shared" si="46"/>
        <v>380.42333301043084</v>
      </c>
      <c r="AA36" s="709">
        <f t="shared" si="46"/>
        <v>395.37316672981939</v>
      </c>
      <c r="AB36" s="709">
        <f t="shared" si="46"/>
        <v>409.71128328920236</v>
      </c>
      <c r="AC36" s="709">
        <f t="shared" si="46"/>
        <v>423.43773672438249</v>
      </c>
      <c r="AD36" s="709">
        <f t="shared" si="46"/>
        <v>422.3883442390769</v>
      </c>
      <c r="AE36" s="709">
        <f t="shared" si="46"/>
        <v>421.29152443150269</v>
      </c>
      <c r="AF36" s="709">
        <f t="shared" si="46"/>
        <v>420.14733234336097</v>
      </c>
      <c r="AG36" s="709">
        <f t="shared" si="46"/>
        <v>418.95582335579627</v>
      </c>
      <c r="AH36" s="709">
        <f t="shared" si="46"/>
        <v>417.7170531914893</v>
      </c>
    </row>
    <row r="39" spans="1:35" s="684" customFormat="1"/>
    <row r="40" spans="1:35">
      <c r="A40" s="1" t="s">
        <v>2025</v>
      </c>
    </row>
    <row r="41" spans="1:35">
      <c r="C41" s="1" t="s">
        <v>929</v>
      </c>
      <c r="D41" t="s">
        <v>1986</v>
      </c>
      <c r="E41" s="137"/>
      <c r="F41" s="137"/>
      <c r="G41" s="662"/>
      <c r="H41" s="663"/>
    </row>
    <row r="42" spans="1:35">
      <c r="D42" s="1">
        <v>2015</v>
      </c>
      <c r="E42" s="1">
        <v>2017</v>
      </c>
      <c r="F42" s="1">
        <v>2020</v>
      </c>
      <c r="G42" s="1">
        <v>2030</v>
      </c>
      <c r="H42" s="1">
        <v>2050</v>
      </c>
    </row>
    <row r="43" spans="1:35">
      <c r="C43" s="1" t="s">
        <v>1984</v>
      </c>
      <c r="D43">
        <v>140</v>
      </c>
      <c r="E43">
        <v>180</v>
      </c>
      <c r="F43">
        <v>185</v>
      </c>
      <c r="G43">
        <v>214</v>
      </c>
      <c r="H43">
        <v>242</v>
      </c>
    </row>
    <row r="44" spans="1:35">
      <c r="C44" s="1" t="s">
        <v>1985</v>
      </c>
      <c r="D44">
        <v>140</v>
      </c>
      <c r="E44">
        <v>180</v>
      </c>
      <c r="F44">
        <v>185</v>
      </c>
      <c r="G44">
        <v>307</v>
      </c>
      <c r="H44">
        <v>348</v>
      </c>
    </row>
    <row r="45" spans="1:35" s="684" customFormat="1"/>
    <row r="47" spans="1:35">
      <c r="A47" s="1" t="s">
        <v>2086</v>
      </c>
    </row>
    <row r="49" spans="1:4">
      <c r="B49" t="s">
        <v>2019</v>
      </c>
      <c r="C49" t="s">
        <v>609</v>
      </c>
    </row>
    <row r="50" spans="1:4" ht="16">
      <c r="A50" t="s">
        <v>2018</v>
      </c>
      <c r="B50" s="679">
        <v>0.3</v>
      </c>
      <c r="C50" t="s">
        <v>2015</v>
      </c>
    </row>
    <row r="51" spans="1:4" ht="16">
      <c r="A51" t="s">
        <v>2016</v>
      </c>
      <c r="B51" s="679">
        <v>0.5</v>
      </c>
      <c r="C51" t="s">
        <v>2020</v>
      </c>
    </row>
    <row r="52" spans="1:4" ht="16">
      <c r="A52" t="s">
        <v>2017</v>
      </c>
      <c r="B52" s="679">
        <v>0.05</v>
      </c>
      <c r="C52" t="s">
        <v>2021</v>
      </c>
      <c r="D52" t="s">
        <v>2022</v>
      </c>
    </row>
    <row r="53" spans="1:4">
      <c r="A53" s="1" t="s">
        <v>2023</v>
      </c>
      <c r="B53" s="124">
        <f>1-(1-B50)*(1-B51)*(1-B52)</f>
        <v>0.66749999999999998</v>
      </c>
    </row>
    <row r="55" spans="1:4" s="684" customFormat="1"/>
    <row r="56" spans="1:4">
      <c r="A56" t="s">
        <v>2036</v>
      </c>
    </row>
    <row r="58" spans="1:4" ht="16">
      <c r="A58" t="s">
        <v>2038</v>
      </c>
      <c r="B58" s="679">
        <v>0.6</v>
      </c>
    </row>
    <row r="59" spans="1:4" ht="16">
      <c r="A59" t="s">
        <v>2039</v>
      </c>
      <c r="B59" s="679">
        <v>0.3</v>
      </c>
    </row>
    <row r="61" spans="1:4">
      <c r="A61" t="s">
        <v>2040</v>
      </c>
      <c r="B61" s="703">
        <f>B58*B59</f>
        <v>0.18</v>
      </c>
    </row>
    <row r="63" spans="1:4" s="684" customFormat="1"/>
    <row r="64" spans="1:4">
      <c r="A64" s="1" t="s">
        <v>2024</v>
      </c>
    </row>
    <row r="66" spans="1:34">
      <c r="A66" t="s">
        <v>1987</v>
      </c>
    </row>
    <row r="67" spans="1:34">
      <c r="B67" s="1" t="s">
        <v>96</v>
      </c>
      <c r="C67" s="1" t="s">
        <v>1988</v>
      </c>
      <c r="D67" s="1">
        <v>2020</v>
      </c>
      <c r="E67" s="1">
        <f>D67+1</f>
        <v>2021</v>
      </c>
      <c r="F67" s="1">
        <f t="shared" ref="F67:AH67" si="47">E67+1</f>
        <v>2022</v>
      </c>
      <c r="G67" s="1">
        <f t="shared" si="47"/>
        <v>2023</v>
      </c>
      <c r="H67" s="1">
        <f t="shared" si="47"/>
        <v>2024</v>
      </c>
      <c r="I67" s="1">
        <f t="shared" si="47"/>
        <v>2025</v>
      </c>
      <c r="J67" s="1">
        <f t="shared" si="47"/>
        <v>2026</v>
      </c>
      <c r="K67" s="1">
        <f t="shared" si="47"/>
        <v>2027</v>
      </c>
      <c r="L67" s="1">
        <f t="shared" si="47"/>
        <v>2028</v>
      </c>
      <c r="M67" s="1">
        <f t="shared" si="47"/>
        <v>2029</v>
      </c>
      <c r="N67" s="1">
        <f t="shared" si="47"/>
        <v>2030</v>
      </c>
      <c r="O67" s="1">
        <f t="shared" si="47"/>
        <v>2031</v>
      </c>
      <c r="P67" s="1">
        <f t="shared" si="47"/>
        <v>2032</v>
      </c>
      <c r="Q67" s="1">
        <f t="shared" si="47"/>
        <v>2033</v>
      </c>
      <c r="R67" s="1">
        <f>Q67+1</f>
        <v>2034</v>
      </c>
      <c r="S67" s="1">
        <f t="shared" si="47"/>
        <v>2035</v>
      </c>
      <c r="T67" s="1">
        <f t="shared" si="47"/>
        <v>2036</v>
      </c>
      <c r="U67" s="1">
        <f t="shared" si="47"/>
        <v>2037</v>
      </c>
      <c r="V67" s="1">
        <f t="shared" si="47"/>
        <v>2038</v>
      </c>
      <c r="W67" s="1">
        <f t="shared" si="47"/>
        <v>2039</v>
      </c>
      <c r="X67" s="1">
        <f t="shared" si="47"/>
        <v>2040</v>
      </c>
      <c r="Y67" s="1">
        <f t="shared" si="47"/>
        <v>2041</v>
      </c>
      <c r="Z67" s="1">
        <f t="shared" si="47"/>
        <v>2042</v>
      </c>
      <c r="AA67" s="1">
        <f t="shared" si="47"/>
        <v>2043</v>
      </c>
      <c r="AB67" s="1">
        <f t="shared" si="47"/>
        <v>2044</v>
      </c>
      <c r="AC67" s="1">
        <f>AB67+1</f>
        <v>2045</v>
      </c>
      <c r="AD67" s="1">
        <f t="shared" si="47"/>
        <v>2046</v>
      </c>
      <c r="AE67" s="1">
        <f t="shared" si="47"/>
        <v>2047</v>
      </c>
      <c r="AF67" s="1">
        <f t="shared" si="47"/>
        <v>2048</v>
      </c>
      <c r="AG67" s="1">
        <f>AF67+1</f>
        <v>2049</v>
      </c>
      <c r="AH67" s="1">
        <f t="shared" si="47"/>
        <v>2050</v>
      </c>
    </row>
    <row r="68" spans="1:34">
      <c r="A68" s="1" t="s">
        <v>1989</v>
      </c>
      <c r="B68" t="s">
        <v>1990</v>
      </c>
      <c r="C68" t="s">
        <v>1991</v>
      </c>
      <c r="D68" s="26">
        <v>190.36</v>
      </c>
      <c r="E68" s="26">
        <f>$D$68+($I$68-$D$68)*(E67-$D$67)/($I$67-$D$67)</f>
        <v>188.84800000000001</v>
      </c>
      <c r="F68" s="26">
        <f>$D$68+($I$68-$D$68)*(F67-$D$67)/($I$67-$D$67)</f>
        <v>187.33600000000001</v>
      </c>
      <c r="G68" s="26">
        <f>$D$68+($I$68-$D$68)*(G67-$D$67)/($I$67-$D$67)</f>
        <v>185.82400000000001</v>
      </c>
      <c r="H68" s="26">
        <f>$D$68+($I$68-$D$68)*(H67-$D$67)/($I$67-$D$67)</f>
        <v>184.31200000000001</v>
      </c>
      <c r="I68" s="26">
        <v>182.8</v>
      </c>
      <c r="J68" s="26">
        <f>$I$68+($N$68-$I$68)*(J67-$I$67)/($N$67-$I$67)</f>
        <v>179.78400000000002</v>
      </c>
      <c r="K68" s="26">
        <f>$I$68+($N$68-$I$68)*(K67-$I$67)/($N$67-$I$67)</f>
        <v>176.768</v>
      </c>
      <c r="L68" s="26">
        <f>$I$68+($N$68-$I$68)*(L67-$I$67)/($N$67-$I$67)</f>
        <v>173.75200000000001</v>
      </c>
      <c r="M68" s="26">
        <f>$I$68+($N$68-$I$68)*(M67-$I$67)/($N$67-$I$67)</f>
        <v>170.73599999999999</v>
      </c>
      <c r="N68" s="26">
        <v>167.72</v>
      </c>
      <c r="O68" s="26">
        <f>$N$68+($S$68-$N$68)*(O67-$N$67)/($S$67-$N$67)</f>
        <v>161.666</v>
      </c>
      <c r="P68" s="26">
        <f>$N$68+($S$68-$N$68)*(P67-$N$67)/($S$67-$N$67)</f>
        <v>155.61199999999999</v>
      </c>
      <c r="Q68" s="26">
        <f>$N$68+($S$68-$N$68)*(Q67-$N$67)/($S$67-$N$67)</f>
        <v>149.55799999999999</v>
      </c>
      <c r="R68" s="26">
        <f>$N$68+($S$68-$N$68)*(R67-$N$67)/($S$67-$N$67)</f>
        <v>143.50399999999999</v>
      </c>
      <c r="S68" s="26">
        <v>137.44999999999999</v>
      </c>
      <c r="T68" s="26">
        <f>$S$68+($X$68-$S$68)*(T67-$S$67)/($X$67-$S$67)</f>
        <v>129.15799999999999</v>
      </c>
      <c r="U68" s="26">
        <f>$S$68+($X$68-$S$68)*(U67-$S$67)/($X$67-$S$67)</f>
        <v>120.86599999999999</v>
      </c>
      <c r="V68" s="26">
        <f>$S$68+($X$68-$S$68)*(V67-$S$67)/($X$67-$S$67)</f>
        <v>112.57399999999998</v>
      </c>
      <c r="W68" s="26">
        <f>$S$68+($X$68-$S$68)*(W67-$S$67)/($X$67-$S$67)</f>
        <v>104.282</v>
      </c>
      <c r="X68" s="26">
        <v>95.99</v>
      </c>
      <c r="Y68" s="26">
        <f>$X$68+($AC$68-$X$68)*(Y67-$X$67)/($AC$67-$X$67)</f>
        <v>89.733999999999995</v>
      </c>
      <c r="Z68" s="26">
        <f>$X$68+($AC$68-$X$68)*(Z67-$X$67)/($AC$67-$X$67)</f>
        <v>83.477999999999994</v>
      </c>
      <c r="AA68" s="26">
        <f>$X$68+($AC$68-$X$68)*(AA67-$X$67)/($AC$67-$X$67)</f>
        <v>77.221999999999994</v>
      </c>
      <c r="AB68" s="26">
        <f>$X$68+($AC$68-$X$68)*(AB67-$X$67)/($AC$67-$X$67)</f>
        <v>70.965999999999994</v>
      </c>
      <c r="AC68" s="26">
        <v>64.709999999999994</v>
      </c>
      <c r="AD68" s="26">
        <f>$AC$68+($AH$68-$AC$68)*(AD67-$AC$67)/($AH$67-$AC$67)</f>
        <v>60.249999999999993</v>
      </c>
      <c r="AE68" s="26">
        <f>$AC$68+($AH$68-$AC$68)*(AE67-$AC$67)/($AH$67-$AC$67)</f>
        <v>55.789999999999992</v>
      </c>
      <c r="AF68" s="26">
        <f>$AC$68+($AH$68-$AC$68)*(AF67-$AC$67)/($AH$67-$AC$67)</f>
        <v>51.33</v>
      </c>
      <c r="AG68" s="26">
        <f>$AC$68+($AH$68-$AC$68)*(AG67-$AC$67)/($AH$67-$AC$67)</f>
        <v>46.87</v>
      </c>
      <c r="AH68" s="26">
        <v>42.41</v>
      </c>
    </row>
    <row r="69" spans="1:34">
      <c r="A69" s="1" t="s">
        <v>1992</v>
      </c>
      <c r="B69" t="s">
        <v>1990</v>
      </c>
      <c r="C69" t="s">
        <v>1991</v>
      </c>
      <c r="D69" s="26">
        <v>138.56</v>
      </c>
      <c r="E69" s="26">
        <f>$D$69+($I$69-$D$69)*(E67-$D$67)/($I$67-$D$67)</f>
        <v>140.084</v>
      </c>
      <c r="F69" s="26">
        <f>$D$69+($I$69-$D$69)*(F67-$D$67)/($I$67-$D$67)</f>
        <v>141.608</v>
      </c>
      <c r="G69" s="26">
        <f>$D$69+($I$69-$D$69)*(G67-$D$67)/($I$67-$D$67)</f>
        <v>143.13200000000001</v>
      </c>
      <c r="H69" s="26">
        <f>$D$69+($I$69-$D$69)*(H67-$D$67)/($I$67-$D$67)</f>
        <v>144.65600000000001</v>
      </c>
      <c r="I69" s="26">
        <v>146.18</v>
      </c>
      <c r="J69" s="26">
        <f>$I$69+($N$69-$I$69)*(J67-$I$67)/($N$67-$I$67)</f>
        <v>145.13800000000001</v>
      </c>
      <c r="K69" s="26">
        <f>$I$69+($N$69-$I$69)*(K67-$I$67)/($N$67-$I$67)</f>
        <v>144.096</v>
      </c>
      <c r="L69" s="26">
        <f>$I$69+($N$69-$I$69)*(L67-$I$67)/($N$67-$I$67)</f>
        <v>143.054</v>
      </c>
      <c r="M69" s="26">
        <f>$I$69+($N$69-$I$69)*(M67-$I$67)/($N$67-$I$67)</f>
        <v>142.012</v>
      </c>
      <c r="N69" s="26">
        <v>140.97</v>
      </c>
      <c r="O69" s="26">
        <f>$N$69+($S$69-$N$69)*(O67-$N$67)/($S$67-$N$67)</f>
        <v>136.88</v>
      </c>
      <c r="P69" s="26">
        <f>$N$69+($S$69-$N$69)*(P67-$N$67)/($S$67-$N$67)</f>
        <v>132.79</v>
      </c>
      <c r="Q69" s="26">
        <f>$N$69+($S$69-$N$69)*(Q67-$N$67)/($S$67-$N$67)</f>
        <v>128.69999999999999</v>
      </c>
      <c r="R69" s="26">
        <f>$N$69+($S$69-$N$69)*(R67-$N$67)/($S$67-$N$67)</f>
        <v>124.61</v>
      </c>
      <c r="S69" s="26">
        <v>120.52</v>
      </c>
      <c r="T69" s="26">
        <f>$S$69+($X$69-$S$69)*(T67-$S$67)/($X$67-$S$67)</f>
        <v>117.5</v>
      </c>
      <c r="U69" s="26">
        <f>$S$69+($X$69-$S$69)*(U67-$S$67)/($X$67-$S$67)</f>
        <v>114.48</v>
      </c>
      <c r="V69" s="26">
        <f>$S$69+($X$69-$S$69)*(V67-$S$67)/($X$67-$S$67)</f>
        <v>111.46</v>
      </c>
      <c r="W69" s="26">
        <f>$S$69+($X$69-$S$69)*(W67-$S$67)/($X$67-$S$67)</f>
        <v>108.44</v>
      </c>
      <c r="X69" s="26">
        <v>105.42</v>
      </c>
      <c r="Y69" s="26">
        <f>$X$69+($AC$69-$X$69)*(Y67-$X$67)/($AC$67-$X$67)</f>
        <v>103.54</v>
      </c>
      <c r="Z69" s="26">
        <f>$X$69+($AC$69-$X$69)*(Z67-$X$67)/($AC$67-$X$67)</f>
        <v>101.66</v>
      </c>
      <c r="AA69" s="26">
        <f>$X$69+($AC$69-$X$69)*(AA67-$X$67)/($AC$67-$X$67)</f>
        <v>99.78</v>
      </c>
      <c r="AB69" s="26">
        <f>$X$69+($AC$69-$X$69)*(AB67-$X$67)/($AC$67-$X$67)</f>
        <v>97.899999999999991</v>
      </c>
      <c r="AC69" s="26">
        <v>96.02</v>
      </c>
      <c r="AD69" s="26">
        <f>$AC$69+($AH$69-$AC$69)*(AD67-$AC$67)/($AH$67-$AC$67)</f>
        <v>95.012</v>
      </c>
      <c r="AE69" s="26">
        <f>$AC$69+($AH$69-$AC$69)*(AE67-$AC$67)/($AH$67-$AC$67)</f>
        <v>94.004000000000005</v>
      </c>
      <c r="AF69" s="26">
        <f>$AC$69+($AH$69-$AC$69)*(AF67-$AC$67)/($AH$67-$AC$67)</f>
        <v>92.995999999999995</v>
      </c>
      <c r="AG69" s="26">
        <f>$AC$69+($AH$69-$AC$69)*(AG67-$AC$67)/($AH$67-$AC$67)</f>
        <v>91.988</v>
      </c>
      <c r="AH69" s="26">
        <v>90.98</v>
      </c>
    </row>
    <row r="70" spans="1:34">
      <c r="A70" s="1" t="s">
        <v>1993</v>
      </c>
      <c r="B70" t="s">
        <v>1990</v>
      </c>
      <c r="C70" t="s">
        <v>1994</v>
      </c>
      <c r="D70" s="26"/>
      <c r="E70" s="2">
        <f t="shared" ref="E70:AH70" si="48">(SUM(E68:E69)-SUM($D$68:$D$69))/(SUM($AH$68:$AH$69)-SUM($D$68:$D$69))</f>
        <v>-6.1371656523297971E-5</v>
      </c>
      <c r="F70" s="2">
        <f t="shared" si="48"/>
        <v>-1.2274331304659594E-4</v>
      </c>
      <c r="G70" s="2">
        <f t="shared" si="48"/>
        <v>-1.8411496956989391E-4</v>
      </c>
      <c r="H70" s="2">
        <f t="shared" si="48"/>
        <v>-2.4548662609319189E-4</v>
      </c>
      <c r="I70" s="2">
        <f t="shared" si="48"/>
        <v>-3.0685828261648986E-4</v>
      </c>
      <c r="J70" s="2">
        <f t="shared" si="48"/>
        <v>2.0446990231677953E-2</v>
      </c>
      <c r="K70" s="2">
        <f t="shared" si="48"/>
        <v>4.1200838745972392E-2</v>
      </c>
      <c r="L70" s="2">
        <f t="shared" si="48"/>
        <v>6.1954687260266837E-2</v>
      </c>
      <c r="M70" s="2">
        <f t="shared" si="48"/>
        <v>8.2708535774561567E-2</v>
      </c>
      <c r="N70" s="2">
        <f t="shared" si="48"/>
        <v>0.10346238428885601</v>
      </c>
      <c r="O70" s="2">
        <f t="shared" si="48"/>
        <v>0.15534189126988196</v>
      </c>
      <c r="P70" s="2">
        <f t="shared" si="48"/>
        <v>0.20722139825090791</v>
      </c>
      <c r="Q70" s="2">
        <f t="shared" si="48"/>
        <v>0.25910090523193385</v>
      </c>
      <c r="R70" s="2">
        <f t="shared" si="48"/>
        <v>0.3109804122129598</v>
      </c>
      <c r="S70" s="2">
        <f t="shared" si="48"/>
        <v>0.36285991919398575</v>
      </c>
      <c r="T70" s="2">
        <f t="shared" si="48"/>
        <v>0.42071293407661237</v>
      </c>
      <c r="U70" s="2">
        <f t="shared" si="48"/>
        <v>0.47856594895923898</v>
      </c>
      <c r="V70" s="2">
        <f t="shared" si="48"/>
        <v>0.53641896384186571</v>
      </c>
      <c r="W70" s="2">
        <f t="shared" si="48"/>
        <v>0.59427197872449244</v>
      </c>
      <c r="X70" s="2">
        <f t="shared" si="48"/>
        <v>0.65212499360711906</v>
      </c>
      <c r="Y70" s="2">
        <f t="shared" si="48"/>
        <v>0.69373497672991358</v>
      </c>
      <c r="Z70" s="2">
        <f t="shared" si="48"/>
        <v>0.73534495985270809</v>
      </c>
      <c r="AA70" s="2">
        <f t="shared" si="48"/>
        <v>0.77695494297550238</v>
      </c>
      <c r="AB70" s="2">
        <f t="shared" si="48"/>
        <v>0.81856492609829701</v>
      </c>
      <c r="AC70" s="2">
        <f t="shared" si="48"/>
        <v>0.86017490922109141</v>
      </c>
      <c r="AD70" s="2">
        <f t="shared" si="48"/>
        <v>0.88813992737687308</v>
      </c>
      <c r="AE70" s="2">
        <f t="shared" si="48"/>
        <v>0.91610494553265487</v>
      </c>
      <c r="AF70" s="2">
        <f t="shared" si="48"/>
        <v>0.94406996368843654</v>
      </c>
      <c r="AG70" s="2">
        <f t="shared" si="48"/>
        <v>0.97203498184421822</v>
      </c>
      <c r="AH70" s="2">
        <f t="shared" si="48"/>
        <v>1</v>
      </c>
    </row>
    <row r="71" spans="1:34">
      <c r="A71" s="1" t="s">
        <v>1995</v>
      </c>
      <c r="B71" t="s">
        <v>1990</v>
      </c>
      <c r="C71" t="s">
        <v>1991</v>
      </c>
      <c r="D71" s="26">
        <f>B83</f>
        <v>10.9</v>
      </c>
      <c r="E71" s="44">
        <f t="shared" ref="E71:AH71" si="49">$D$71+E70*($D$83-$B$83)</f>
        <v>10.900202526466527</v>
      </c>
      <c r="F71" s="44">
        <f t="shared" si="49"/>
        <v>10.900405052933055</v>
      </c>
      <c r="G71" s="44">
        <f t="shared" si="49"/>
        <v>10.900607579399582</v>
      </c>
      <c r="H71" s="44">
        <f t="shared" si="49"/>
        <v>10.900810105866109</v>
      </c>
      <c r="I71" s="44">
        <f t="shared" si="49"/>
        <v>10.901012632332634</v>
      </c>
      <c r="J71" s="44">
        <f t="shared" si="49"/>
        <v>10.832524932235463</v>
      </c>
      <c r="K71" s="44">
        <f t="shared" si="49"/>
        <v>10.764037232138291</v>
      </c>
      <c r="L71" s="44">
        <f t="shared" si="49"/>
        <v>10.69554953204112</v>
      </c>
      <c r="M71" s="44">
        <f t="shared" si="49"/>
        <v>10.627061831943948</v>
      </c>
      <c r="N71" s="44">
        <f t="shared" si="49"/>
        <v>10.558574131846775</v>
      </c>
      <c r="O71" s="44">
        <f t="shared" si="49"/>
        <v>10.38737175880939</v>
      </c>
      <c r="P71" s="44">
        <f t="shared" si="49"/>
        <v>10.216169385772004</v>
      </c>
      <c r="Q71" s="44">
        <f t="shared" si="49"/>
        <v>10.044967012734618</v>
      </c>
      <c r="R71" s="44">
        <f t="shared" si="49"/>
        <v>9.8737646396972334</v>
      </c>
      <c r="S71" s="44">
        <f t="shared" si="49"/>
        <v>9.7025622666598466</v>
      </c>
      <c r="T71" s="44">
        <f t="shared" si="49"/>
        <v>9.5116473175471796</v>
      </c>
      <c r="U71" s="44">
        <f t="shared" si="49"/>
        <v>9.3207323684345109</v>
      </c>
      <c r="V71" s="44">
        <f t="shared" si="49"/>
        <v>9.1298174193218422</v>
      </c>
      <c r="W71" s="44">
        <f t="shared" si="49"/>
        <v>8.9389024702091753</v>
      </c>
      <c r="X71" s="44">
        <f t="shared" si="49"/>
        <v>8.7479875210965066</v>
      </c>
      <c r="Y71" s="44">
        <f t="shared" si="49"/>
        <v>8.6106745767912845</v>
      </c>
      <c r="Z71" s="44">
        <f t="shared" si="49"/>
        <v>8.4733616324860641</v>
      </c>
      <c r="AA71" s="44">
        <f t="shared" si="49"/>
        <v>8.336048688180842</v>
      </c>
      <c r="AB71" s="44">
        <f t="shared" si="49"/>
        <v>8.1987357438756199</v>
      </c>
      <c r="AC71" s="44">
        <f t="shared" si="49"/>
        <v>8.0614227995703978</v>
      </c>
      <c r="AD71" s="44">
        <f t="shared" si="49"/>
        <v>7.9691382396563188</v>
      </c>
      <c r="AE71" s="44">
        <f t="shared" si="49"/>
        <v>7.8768536797422382</v>
      </c>
      <c r="AF71" s="44">
        <f t="shared" si="49"/>
        <v>7.7845691198281592</v>
      </c>
      <c r="AG71" s="44">
        <f t="shared" si="49"/>
        <v>7.6922845599140794</v>
      </c>
      <c r="AH71" s="44">
        <f t="shared" si="49"/>
        <v>7.6</v>
      </c>
    </row>
    <row r="72" spans="1:34">
      <c r="A72" s="1" t="s">
        <v>1996</v>
      </c>
      <c r="C72" t="s">
        <v>462</v>
      </c>
      <c r="D72" s="26">
        <v>0</v>
      </c>
      <c r="E72" s="23">
        <f t="shared" ref="E72:M72" si="50">$D$72+($N$72-$D$72)*(E67-$D$67)/($N$67-$D$67)</f>
        <v>5.0000000000000001E-3</v>
      </c>
      <c r="F72" s="23">
        <f t="shared" si="50"/>
        <v>0.01</v>
      </c>
      <c r="G72" s="23">
        <f t="shared" si="50"/>
        <v>1.5000000000000003E-2</v>
      </c>
      <c r="H72" s="23">
        <f t="shared" si="50"/>
        <v>0.02</v>
      </c>
      <c r="I72" s="23">
        <f t="shared" si="50"/>
        <v>2.5000000000000001E-2</v>
      </c>
      <c r="J72" s="23">
        <f t="shared" si="50"/>
        <v>3.0000000000000006E-2</v>
      </c>
      <c r="K72" s="23">
        <f t="shared" si="50"/>
        <v>3.5000000000000003E-2</v>
      </c>
      <c r="L72" s="23">
        <f t="shared" si="50"/>
        <v>0.04</v>
      </c>
      <c r="M72" s="23">
        <f t="shared" si="50"/>
        <v>4.4999999999999998E-2</v>
      </c>
      <c r="N72" s="2">
        <v>0.05</v>
      </c>
      <c r="O72" s="2">
        <f>$N$72+($S$72-$N$72)*(O67-$N$67)/($S$67-$N$67)</f>
        <v>8.0000000000000016E-2</v>
      </c>
      <c r="P72" s="2">
        <f>$N$72+($S$72-$N$72)*(P67-$N$67)/($S$67-$N$67)</f>
        <v>0.11000000000000001</v>
      </c>
      <c r="Q72" s="2">
        <f>$N$72+($S$72-$N$72)*(Q67-$N$67)/($S$67-$N$67)</f>
        <v>0.14000000000000001</v>
      </c>
      <c r="R72" s="2">
        <f>$N$72+($S$72-$N$72)*(R67-$N$67)/($S$67-$N$67)</f>
        <v>0.17000000000000004</v>
      </c>
      <c r="S72" s="2">
        <v>0.2</v>
      </c>
      <c r="T72" s="2">
        <f>$S$72+($X$72-$S$72)*(T67-$S$67)/($X$67-$S$67)</f>
        <v>0.27600000000000002</v>
      </c>
      <c r="U72" s="2">
        <f>$S$72+($X$72-$S$72)*(U67-$S$67)/($X$67-$S$67)</f>
        <v>0.35199999999999998</v>
      </c>
      <c r="V72" s="2">
        <f>$S$72+($X$72-$S$72)*(V67-$S$67)/($X$67-$S$67)</f>
        <v>0.42799999999999999</v>
      </c>
      <c r="W72" s="2">
        <f>$S$72+($X$72-$S$72)*(W67-$S$67)/($X$67-$S$67)</f>
        <v>0.504</v>
      </c>
      <c r="X72" s="2">
        <v>0.57999999999999996</v>
      </c>
      <c r="Y72" s="2">
        <f>$X$72+($AC$72-$X$72)*(Y67-$X$67)/($AC$67-$X$67)</f>
        <v>0.65399999999999991</v>
      </c>
      <c r="Z72" s="2">
        <f>$X$72+($AC$72-$X$72)*(Z67-$X$67)/($AC$67-$X$67)</f>
        <v>0.72799999999999998</v>
      </c>
      <c r="AA72" s="2">
        <f>$X$72+($AC$72-$X$72)*(AA67-$X$67)/($AC$67-$X$67)</f>
        <v>0.80199999999999994</v>
      </c>
      <c r="AB72" s="2">
        <f>$X$72+($AC$72-$X$72)*(AB67-$X$67)/($AC$67-$X$67)</f>
        <v>0.87599999999999989</v>
      </c>
      <c r="AC72" s="2">
        <v>0.95</v>
      </c>
      <c r="AD72" s="2">
        <f>$AC$72+($AH$72-$AC$72)*(AD67-$AC$67)/($AH$67-$AC$67)</f>
        <v>0.96</v>
      </c>
      <c r="AE72" s="2">
        <f>$AC$72+($AH$72-$AC$72)*(AE67-$AC$67)/($AH$67-$AC$67)</f>
        <v>0.97</v>
      </c>
      <c r="AF72" s="2">
        <f>$AC$72+($AH$72-$AC$72)*(AF67-$AC$67)/($AH$67-$AC$67)</f>
        <v>0.98</v>
      </c>
      <c r="AG72" s="2">
        <f>$AC$72+($AH$72-$AC$72)*(AG67-$AC$67)/($AH$67-$AC$67)</f>
        <v>0.99</v>
      </c>
      <c r="AH72" s="2">
        <v>1</v>
      </c>
    </row>
    <row r="73" spans="1:34">
      <c r="A73" s="1" t="s">
        <v>1997</v>
      </c>
      <c r="B73" t="s">
        <v>1257</v>
      </c>
      <c r="C73" t="s">
        <v>1998</v>
      </c>
      <c r="D73" s="107">
        <f>D71*D72*0.45*1000/$B$87</f>
        <v>0</v>
      </c>
      <c r="E73" s="107">
        <f t="shared" ref="E73:AH73" si="51">E71*E72*0.7*1000/$B$87</f>
        <v>2.0292930235443003</v>
      </c>
      <c r="F73" s="107">
        <f t="shared" si="51"/>
        <v>4.0586614558793279</v>
      </c>
      <c r="G73" s="107">
        <f t="shared" si="51"/>
        <v>6.088105297005086</v>
      </c>
      <c r="H73" s="107">
        <f t="shared" si="51"/>
        <v>8.1176245469215687</v>
      </c>
      <c r="I73" s="107">
        <f t="shared" si="51"/>
        <v>10.14721920562878</v>
      </c>
      <c r="J73" s="107">
        <f t="shared" si="51"/>
        <v>12.100160828560892</v>
      </c>
      <c r="K73" s="107">
        <f t="shared" si="51"/>
        <v>14.027601712095112</v>
      </c>
      <c r="L73" s="107">
        <f t="shared" si="51"/>
        <v>15.929541856231454</v>
      </c>
      <c r="M73" s="107">
        <f t="shared" si="51"/>
        <v>17.805981260969912</v>
      </c>
      <c r="N73" s="107">
        <f t="shared" si="51"/>
        <v>19.656919926310486</v>
      </c>
      <c r="O73" s="107">
        <f t="shared" si="51"/>
        <v>30.941107366666273</v>
      </c>
      <c r="P73" s="107">
        <f t="shared" si="51"/>
        <v>41.842821420449162</v>
      </c>
      <c r="Q73" s="107">
        <f t="shared" si="51"/>
        <v>52.362062087659183</v>
      </c>
      <c r="R73" s="107">
        <f t="shared" si="51"/>
        <v>62.498829368296327</v>
      </c>
      <c r="S73" s="107">
        <f t="shared" si="51"/>
        <v>72.253123262360546</v>
      </c>
      <c r="T73" s="107">
        <f t="shared" si="51"/>
        <v>97.747354348410369</v>
      </c>
      <c r="U73" s="107">
        <f t="shared" si="51"/>
        <v>122.16108806288634</v>
      </c>
      <c r="V73" s="107">
        <f t="shared" si="51"/>
        <v>145.49432440578849</v>
      </c>
      <c r="W73" s="107">
        <f t="shared" si="51"/>
        <v>167.74706337711683</v>
      </c>
      <c r="X73" s="107">
        <f t="shared" si="51"/>
        <v>188.91930497687133</v>
      </c>
      <c r="Y73" s="107">
        <f t="shared" si="51"/>
        <v>209.6790862369707</v>
      </c>
      <c r="Z73" s="107">
        <f t="shared" si="51"/>
        <v>229.68218552738813</v>
      </c>
      <c r="AA73" s="107">
        <f t="shared" si="51"/>
        <v>248.92860284812363</v>
      </c>
      <c r="AB73" s="107">
        <f t="shared" si="51"/>
        <v>267.41833819917707</v>
      </c>
      <c r="AC73" s="107">
        <f t="shared" si="51"/>
        <v>285.15139158054865</v>
      </c>
      <c r="AD73" s="107">
        <f t="shared" si="51"/>
        <v>284.85430303452375</v>
      </c>
      <c r="AE73" s="107">
        <f t="shared" si="51"/>
        <v>284.48849194388185</v>
      </c>
      <c r="AF73" s="107">
        <f t="shared" si="51"/>
        <v>284.05395830862324</v>
      </c>
      <c r="AG73" s="107">
        <f t="shared" si="51"/>
        <v>283.55070212874767</v>
      </c>
      <c r="AH73" s="107">
        <f t="shared" si="51"/>
        <v>282.97872340425528</v>
      </c>
    </row>
    <row r="74" spans="1:34">
      <c r="A74" s="1" t="s">
        <v>1999</v>
      </c>
      <c r="B74" t="s">
        <v>2000</v>
      </c>
      <c r="C74" t="s">
        <v>1998</v>
      </c>
      <c r="D74" s="107">
        <f t="shared" ref="D74:AH74" si="52">D71*D72*0.7*1000/$B$87</f>
        <v>0</v>
      </c>
      <c r="E74" s="107">
        <f t="shared" si="52"/>
        <v>2.0292930235443003</v>
      </c>
      <c r="F74" s="107">
        <f t="shared" si="52"/>
        <v>4.0586614558793279</v>
      </c>
      <c r="G74" s="107">
        <f t="shared" si="52"/>
        <v>6.088105297005086</v>
      </c>
      <c r="H74" s="107">
        <f t="shared" si="52"/>
        <v>8.1176245469215687</v>
      </c>
      <c r="I74" s="107">
        <f t="shared" si="52"/>
        <v>10.14721920562878</v>
      </c>
      <c r="J74" s="107">
        <f t="shared" si="52"/>
        <v>12.100160828560892</v>
      </c>
      <c r="K74" s="107">
        <f t="shared" si="52"/>
        <v>14.027601712095112</v>
      </c>
      <c r="L74" s="107">
        <f t="shared" si="52"/>
        <v>15.929541856231454</v>
      </c>
      <c r="M74" s="107">
        <f t="shared" si="52"/>
        <v>17.805981260969912</v>
      </c>
      <c r="N74" s="107">
        <f t="shared" si="52"/>
        <v>19.656919926310486</v>
      </c>
      <c r="O74" s="107">
        <f t="shared" si="52"/>
        <v>30.941107366666273</v>
      </c>
      <c r="P74" s="107">
        <f t="shared" si="52"/>
        <v>41.842821420449162</v>
      </c>
      <c r="Q74" s="107">
        <f t="shared" si="52"/>
        <v>52.362062087659183</v>
      </c>
      <c r="R74" s="107">
        <f t="shared" si="52"/>
        <v>62.498829368296327</v>
      </c>
      <c r="S74" s="107">
        <f t="shared" si="52"/>
        <v>72.253123262360546</v>
      </c>
      <c r="T74" s="107">
        <f t="shared" si="52"/>
        <v>97.747354348410369</v>
      </c>
      <c r="U74" s="107">
        <f t="shared" si="52"/>
        <v>122.16108806288634</v>
      </c>
      <c r="V74" s="107">
        <f t="shared" si="52"/>
        <v>145.49432440578849</v>
      </c>
      <c r="W74" s="107">
        <f t="shared" si="52"/>
        <v>167.74706337711683</v>
      </c>
      <c r="X74" s="107">
        <f t="shared" si="52"/>
        <v>188.91930497687133</v>
      </c>
      <c r="Y74" s="107">
        <f t="shared" si="52"/>
        <v>209.6790862369707</v>
      </c>
      <c r="Z74" s="107">
        <f t="shared" si="52"/>
        <v>229.68218552738813</v>
      </c>
      <c r="AA74" s="107">
        <f t="shared" si="52"/>
        <v>248.92860284812363</v>
      </c>
      <c r="AB74" s="107">
        <f t="shared" si="52"/>
        <v>267.41833819917707</v>
      </c>
      <c r="AC74" s="107">
        <f t="shared" si="52"/>
        <v>285.15139158054865</v>
      </c>
      <c r="AD74" s="107">
        <f t="shared" si="52"/>
        <v>284.85430303452375</v>
      </c>
      <c r="AE74" s="107">
        <f t="shared" si="52"/>
        <v>284.48849194388185</v>
      </c>
      <c r="AF74" s="107">
        <f t="shared" si="52"/>
        <v>284.05395830862324</v>
      </c>
      <c r="AG74" s="107">
        <f t="shared" si="52"/>
        <v>283.55070212874767</v>
      </c>
      <c r="AH74" s="107">
        <f t="shared" si="52"/>
        <v>282.97872340425528</v>
      </c>
    </row>
    <row r="76" spans="1:34">
      <c r="A76" s="1"/>
      <c r="B76" t="s">
        <v>2001</v>
      </c>
      <c r="D76" s="6"/>
      <c r="AH76" s="6"/>
    </row>
    <row r="77" spans="1:34">
      <c r="A77" s="1"/>
    </row>
    <row r="78" spans="1:34" ht="16">
      <c r="A78" s="685" t="s">
        <v>2002</v>
      </c>
      <c r="B78" s="686"/>
      <c r="C78" s="686"/>
      <c r="D78" s="686"/>
      <c r="E78" s="686"/>
    </row>
    <row r="79" spans="1:34">
      <c r="A79" s="687"/>
      <c r="B79" s="687"/>
      <c r="C79" s="749">
        <v>2050</v>
      </c>
      <c r="D79" s="750"/>
      <c r="E79" s="750"/>
    </row>
    <row r="80" spans="1:34">
      <c r="A80" s="688" t="s">
        <v>1991</v>
      </c>
      <c r="B80" s="689">
        <v>2018</v>
      </c>
      <c r="C80" s="690" t="s">
        <v>2003</v>
      </c>
      <c r="D80" s="691" t="s">
        <v>2004</v>
      </c>
      <c r="E80" s="691" t="s">
        <v>2005</v>
      </c>
      <c r="G80" s="692" t="s">
        <v>2006</v>
      </c>
    </row>
    <row r="81" spans="1:34">
      <c r="A81" s="693" t="s">
        <v>2007</v>
      </c>
      <c r="B81" s="694">
        <v>14.4</v>
      </c>
      <c r="C81" s="695">
        <v>14.8</v>
      </c>
      <c r="D81" s="696">
        <v>13.3</v>
      </c>
      <c r="E81" s="696">
        <v>19.3</v>
      </c>
    </row>
    <row r="82" spans="1:34">
      <c r="A82" s="693" t="s">
        <v>2008</v>
      </c>
      <c r="B82" s="694">
        <v>2.2999999999999998</v>
      </c>
      <c r="C82" s="695">
        <v>2.4</v>
      </c>
      <c r="D82" s="696">
        <v>2.4</v>
      </c>
      <c r="E82" s="696">
        <v>2.4</v>
      </c>
    </row>
    <row r="83" spans="1:34">
      <c r="A83" s="693" t="s">
        <v>2009</v>
      </c>
      <c r="B83" s="697">
        <v>10.9</v>
      </c>
      <c r="C83" s="698">
        <v>10</v>
      </c>
      <c r="D83" s="697">
        <v>7.6</v>
      </c>
      <c r="E83" s="699">
        <v>13</v>
      </c>
      <c r="F83" s="26"/>
    </row>
    <row r="84" spans="1:34">
      <c r="A84" s="693" t="s">
        <v>2010</v>
      </c>
      <c r="B84" s="699">
        <v>41.2</v>
      </c>
      <c r="C84" s="698">
        <v>17.5</v>
      </c>
      <c r="D84" s="699">
        <v>19.399999999999999</v>
      </c>
      <c r="E84" s="699">
        <v>39.1</v>
      </c>
    </row>
    <row r="85" spans="1:34">
      <c r="A85" s="700" t="s">
        <v>2011</v>
      </c>
      <c r="B85" s="701">
        <v>48.5</v>
      </c>
      <c r="C85" s="702">
        <v>52</v>
      </c>
      <c r="D85" s="701">
        <v>46.5</v>
      </c>
      <c r="E85" s="699">
        <v>54.7</v>
      </c>
    </row>
    <row r="87" spans="1:34">
      <c r="A87" t="s">
        <v>2012</v>
      </c>
      <c r="B87">
        <v>18.8</v>
      </c>
      <c r="C87" t="s">
        <v>2013</v>
      </c>
      <c r="D87" t="s">
        <v>2014</v>
      </c>
    </row>
    <row r="88" spans="1:34" ht="14" customHeight="1"/>
    <row r="89" spans="1:34">
      <c r="B89">
        <f>(9*0.7*1000000000/B87)/1000000</f>
        <v>335.10638297872339</v>
      </c>
    </row>
    <row r="92" spans="1:34" s="684" customFormat="1"/>
    <row r="93" spans="1:34">
      <c r="A93" s="1" t="s">
        <v>2057</v>
      </c>
    </row>
    <row r="94" spans="1:34" s="1" customFormat="1">
      <c r="B94"/>
      <c r="C94" s="65"/>
      <c r="D94" s="66"/>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row>
    <row r="95" spans="1:34" s="53" customFormat="1">
      <c r="A95" s="52" t="s">
        <v>2085</v>
      </c>
      <c r="B95" s="52"/>
      <c r="C95" s="52"/>
    </row>
    <row r="96" spans="1:34" ht="16" thickBot="1">
      <c r="A96" s="273" t="s">
        <v>2043</v>
      </c>
      <c r="B96" s="273"/>
      <c r="C96" s="174" t="s">
        <v>2044</v>
      </c>
      <c r="D96" s="739">
        <f t="shared" ref="D96:AH96" si="53">(D27*$D$97/$C$122)*(1+(1/$B$128-1)*(1+D25))</f>
        <v>178.3</v>
      </c>
      <c r="E96" s="739">
        <f t="shared" si="53"/>
        <v>181.47412677813568</v>
      </c>
      <c r="F96" s="739">
        <f t="shared" si="53"/>
        <v>184.13609120806251</v>
      </c>
      <c r="G96" s="739">
        <f t="shared" si="53"/>
        <v>186.83710282753654</v>
      </c>
      <c r="H96" s="739">
        <f t="shared" si="53"/>
        <v>189.5777344026676</v>
      </c>
      <c r="I96" s="739">
        <f t="shared" si="53"/>
        <v>192.35856710122081</v>
      </c>
      <c r="J96" s="739">
        <f t="shared" si="53"/>
        <v>195.18019061585645</v>
      </c>
      <c r="K96" s="739">
        <f t="shared" si="53"/>
        <v>198.043203289178</v>
      </c>
      <c r="L96" s="739">
        <f t="shared" si="53"/>
        <v>200.94821224061428</v>
      </c>
      <c r="M96" s="739">
        <f t="shared" si="53"/>
        <v>203.89583349516309</v>
      </c>
      <c r="N96" s="739">
        <f t="shared" si="53"/>
        <v>206.88669211402299</v>
      </c>
      <c r="O96" s="739">
        <f t="shared" si="53"/>
        <v>207.79112286265169</v>
      </c>
      <c r="P96" s="739">
        <f t="shared" si="53"/>
        <v>209.07257566822318</v>
      </c>
      <c r="Q96" s="739">
        <f t="shared" si="53"/>
        <v>210.3619312237789</v>
      </c>
      <c r="R96" s="739">
        <f t="shared" si="53"/>
        <v>211.65923826576613</v>
      </c>
      <c r="S96" s="739">
        <f t="shared" si="53"/>
        <v>212.96454583119115</v>
      </c>
      <c r="T96" s="739">
        <f t="shared" si="53"/>
        <v>214.27790325947282</v>
      </c>
      <c r="U96" s="739">
        <f t="shared" si="53"/>
        <v>215.599360194307</v>
      </c>
      <c r="V96" s="739">
        <f t="shared" si="53"/>
        <v>216.92896658554369</v>
      </c>
      <c r="W96" s="739">
        <f t="shared" si="53"/>
        <v>218.26677269107458</v>
      </c>
      <c r="X96" s="739">
        <f t="shared" si="53"/>
        <v>219.61282907873306</v>
      </c>
      <c r="Y96" s="739">
        <f t="shared" si="53"/>
        <v>220.96718662820584</v>
      </c>
      <c r="Z96" s="739">
        <f t="shared" si="53"/>
        <v>222.32989653295533</v>
      </c>
      <c r="AA96" s="739">
        <f t="shared" si="53"/>
        <v>223.70101030215571</v>
      </c>
      <c r="AB96" s="739">
        <f t="shared" si="53"/>
        <v>225.08057976263919</v>
      </c>
      <c r="AC96" s="739">
        <f t="shared" si="53"/>
        <v>226.46865706085535</v>
      </c>
      <c r="AD96" s="739">
        <f t="shared" si="53"/>
        <v>227.86529466484228</v>
      </c>
      <c r="AE96" s="739">
        <f t="shared" si="53"/>
        <v>229.27054536620963</v>
      </c>
      <c r="AF96" s="739">
        <f t="shared" si="53"/>
        <v>230.68446228213406</v>
      </c>
      <c r="AG96" s="739">
        <f t="shared" si="53"/>
        <v>232.10709885736736</v>
      </c>
      <c r="AH96" s="739">
        <f t="shared" si="53"/>
        <v>233.53850886625548</v>
      </c>
    </row>
    <row r="97" spans="1:39" ht="16">
      <c r="A97" s="1" t="s">
        <v>2045</v>
      </c>
      <c r="B97" t="s">
        <v>2046</v>
      </c>
      <c r="D97" s="737">
        <v>0.5</v>
      </c>
      <c r="E97" s="6">
        <f>D97</f>
        <v>0.5</v>
      </c>
      <c r="F97" s="6">
        <f>E97</f>
        <v>0.5</v>
      </c>
      <c r="G97" s="6">
        <f>F97</f>
        <v>0.5</v>
      </c>
      <c r="H97" s="6">
        <f>G97</f>
        <v>0.5</v>
      </c>
      <c r="I97" s="6">
        <f>H97</f>
        <v>0.5</v>
      </c>
      <c r="J97" s="6">
        <f t="shared" ref="J97:AG97" si="54">I97-($I$97-$AH$97)/(2050-2025)</f>
        <v>0.48799999999999999</v>
      </c>
      <c r="K97" s="6">
        <f t="shared" si="54"/>
        <v>0.47599999999999998</v>
      </c>
      <c r="L97" s="6">
        <f t="shared" si="54"/>
        <v>0.46399999999999997</v>
      </c>
      <c r="M97" s="6">
        <f t="shared" si="54"/>
        <v>0.45199999999999996</v>
      </c>
      <c r="N97" s="738">
        <f t="shared" si="54"/>
        <v>0.43999999999999995</v>
      </c>
      <c r="O97" s="738">
        <f t="shared" si="54"/>
        <v>0.42799999999999994</v>
      </c>
      <c r="P97" s="738">
        <f t="shared" si="54"/>
        <v>0.41599999999999993</v>
      </c>
      <c r="Q97" s="738">
        <f t="shared" si="54"/>
        <v>0.40399999999999991</v>
      </c>
      <c r="R97" s="738">
        <f t="shared" si="54"/>
        <v>0.3919999999999999</v>
      </c>
      <c r="S97" s="738">
        <f t="shared" si="54"/>
        <v>0.37999999999999989</v>
      </c>
      <c r="T97" s="738">
        <f t="shared" si="54"/>
        <v>0.36799999999999988</v>
      </c>
      <c r="U97" s="738">
        <f t="shared" si="54"/>
        <v>0.35599999999999987</v>
      </c>
      <c r="V97" s="738">
        <f t="shared" si="54"/>
        <v>0.34399999999999986</v>
      </c>
      <c r="W97" s="738">
        <f t="shared" si="54"/>
        <v>0.33199999999999985</v>
      </c>
      <c r="X97" s="738">
        <f t="shared" si="54"/>
        <v>0.31999999999999984</v>
      </c>
      <c r="Y97" s="738">
        <f t="shared" si="54"/>
        <v>0.30799999999999983</v>
      </c>
      <c r="Z97" s="738">
        <f t="shared" si="54"/>
        <v>0.29599999999999982</v>
      </c>
      <c r="AA97" s="738">
        <f t="shared" si="54"/>
        <v>0.28399999999999981</v>
      </c>
      <c r="AB97" s="738">
        <f t="shared" si="54"/>
        <v>0.2719999999999998</v>
      </c>
      <c r="AC97" s="738">
        <f t="shared" si="54"/>
        <v>0.25999999999999979</v>
      </c>
      <c r="AD97" s="738">
        <f t="shared" si="54"/>
        <v>0.24799999999999978</v>
      </c>
      <c r="AE97" s="738">
        <f t="shared" si="54"/>
        <v>0.23599999999999977</v>
      </c>
      <c r="AF97" s="740">
        <f t="shared" si="54"/>
        <v>0.22399999999999975</v>
      </c>
      <c r="AG97" s="740">
        <f t="shared" si="54"/>
        <v>0.21199999999999974</v>
      </c>
      <c r="AH97" s="741">
        <v>0.2</v>
      </c>
    </row>
    <row r="98" spans="1:39">
      <c r="A98" t="s">
        <v>2082</v>
      </c>
      <c r="C98" t="s">
        <v>2044</v>
      </c>
      <c r="D98" s="713">
        <f t="shared" ref="D98:AH98" si="55">D29*D97/$C$122</f>
        <v>140.76086956521738</v>
      </c>
      <c r="E98" s="713">
        <f t="shared" si="55"/>
        <v>142.82562906873761</v>
      </c>
      <c r="F98" s="713">
        <f t="shared" si="55"/>
        <v>144.92067562448008</v>
      </c>
      <c r="G98" s="713">
        <f t="shared" si="55"/>
        <v>147.04645349993987</v>
      </c>
      <c r="H98" s="713">
        <f t="shared" si="55"/>
        <v>149.20341347937702</v>
      </c>
      <c r="I98" s="713">
        <f t="shared" si="55"/>
        <v>151.39201295940839</v>
      </c>
      <c r="J98" s="713">
        <f t="shared" si="55"/>
        <v>147.53585051307127</v>
      </c>
      <c r="K98" s="713">
        <f t="shared" si="55"/>
        <v>143.72165413146476</v>
      </c>
      <c r="L98" s="713">
        <f t="shared" si="55"/>
        <v>139.94752186735101</v>
      </c>
      <c r="M98" s="713">
        <f t="shared" si="55"/>
        <v>136.21151223873437</v>
      </c>
      <c r="N98" s="713">
        <f t="shared" si="55"/>
        <v>132.51164347826085</v>
      </c>
      <c r="O98" s="713">
        <f t="shared" si="55"/>
        <v>127.66095580957379</v>
      </c>
      <c r="P98" s="713">
        <f t="shared" si="55"/>
        <v>122.88476996669901</v>
      </c>
      <c r="Q98" s="713">
        <f t="shared" si="55"/>
        <v>118.18267093777312</v>
      </c>
      <c r="R98" s="713">
        <f t="shared" si="55"/>
        <v>113.55424022932961</v>
      </c>
      <c r="S98" s="713">
        <f t="shared" si="55"/>
        <v>108.9990558391405</v>
      </c>
      <c r="T98" s="713">
        <f t="shared" si="55"/>
        <v>104.51669222885539</v>
      </c>
      <c r="U98" s="713">
        <f t="shared" si="55"/>
        <v>100.10672029643617</v>
      </c>
      <c r="V98" s="713">
        <f t="shared" si="55"/>
        <v>95.768707348386712</v>
      </c>
      <c r="W98" s="713">
        <f t="shared" si="55"/>
        <v>91.502217071775263</v>
      </c>
      <c r="X98" s="713">
        <f t="shared" si="55"/>
        <v>87.306809506048367</v>
      </c>
      <c r="Y98" s="713">
        <f t="shared" si="55"/>
        <v>83.18204101463499</v>
      </c>
      <c r="Z98" s="713">
        <f t="shared" si="55"/>
        <v>79.127464256338897</v>
      </c>
      <c r="AA98" s="713">
        <f t="shared" si="55"/>
        <v>75.142628156518143</v>
      </c>
      <c r="AB98" s="713">
        <f t="shared" si="55"/>
        <v>71.227077878049968</v>
      </c>
      <c r="AC98" s="713">
        <f t="shared" si="55"/>
        <v>67.380354792079359</v>
      </c>
      <c r="AD98" s="713">
        <f t="shared" si="55"/>
        <v>63.60199644855043</v>
      </c>
      <c r="AE98" s="713">
        <f t="shared" si="55"/>
        <v>59.89153654651782</v>
      </c>
      <c r="AF98" s="713">
        <f t="shared" si="55"/>
        <v>56.248504904237898</v>
      </c>
      <c r="AG98" s="713">
        <f t="shared" si="55"/>
        <v>52.672427429037143</v>
      </c>
      <c r="AH98" s="713">
        <f t="shared" si="55"/>
        <v>49.162826086956507</v>
      </c>
    </row>
    <row r="99" spans="1:39" s="1" customFormat="1" ht="16">
      <c r="A99" s="1" t="s">
        <v>2078</v>
      </c>
      <c r="C99" s="1" t="s">
        <v>2044</v>
      </c>
      <c r="D99" s="708">
        <f>D98+(D98/$B$128-D98)</f>
        <v>178.3</v>
      </c>
      <c r="E99" s="708">
        <f t="shared" ref="E99:AH99" si="56">E98+(E98/$B$128-E98)*(1+E25)</f>
        <v>181.47412677813568</v>
      </c>
      <c r="F99" s="708">
        <f t="shared" si="56"/>
        <v>184.13609120806251</v>
      </c>
      <c r="G99" s="708">
        <f t="shared" si="56"/>
        <v>186.83710282753654</v>
      </c>
      <c r="H99" s="708">
        <f t="shared" si="56"/>
        <v>189.5777344026676</v>
      </c>
      <c r="I99" s="708">
        <f t="shared" si="56"/>
        <v>192.35856710122079</v>
      </c>
      <c r="J99" s="708">
        <f t="shared" si="56"/>
        <v>187.45893026974653</v>
      </c>
      <c r="K99" s="708">
        <f t="shared" si="56"/>
        <v>182.6126154855894</v>
      </c>
      <c r="L99" s="708">
        <f t="shared" si="56"/>
        <v>177.81720613615391</v>
      </c>
      <c r="M99" s="708">
        <f t="shared" si="56"/>
        <v>173.07023537601381</v>
      </c>
      <c r="N99" s="708">
        <f t="shared" si="56"/>
        <v>168.36918517319978</v>
      </c>
      <c r="O99" s="708">
        <f t="shared" si="56"/>
        <v>161.91646587598649</v>
      </c>
      <c r="P99" s="708">
        <f t="shared" si="56"/>
        <v>155.8586768899886</v>
      </c>
      <c r="Q99" s="708">
        <f t="shared" si="56"/>
        <v>149.89485457537069</v>
      </c>
      <c r="R99" s="708">
        <f t="shared" si="56"/>
        <v>144.02446814350864</v>
      </c>
      <c r="S99" s="708">
        <f t="shared" si="56"/>
        <v>138.24698235550412</v>
      </c>
      <c r="T99" s="708">
        <f t="shared" si="56"/>
        <v>132.56185748748192</v>
      </c>
      <c r="U99" s="708">
        <f t="shared" si="56"/>
        <v>126.96854929562781</v>
      </c>
      <c r="V99" s="708">
        <f t="shared" si="56"/>
        <v>121.46650898096678</v>
      </c>
      <c r="W99" s="708">
        <f t="shared" si="56"/>
        <v>116.05518315387799</v>
      </c>
      <c r="X99" s="708">
        <f t="shared" si="56"/>
        <v>110.73401379834561</v>
      </c>
      <c r="Y99" s="708">
        <f t="shared" si="56"/>
        <v>105.50243823594339</v>
      </c>
      <c r="Z99" s="708">
        <f t="shared" si="56"/>
        <v>100.35988908955053</v>
      </c>
      <c r="AA99" s="708">
        <f t="shared" si="56"/>
        <v>95.305794246798015</v>
      </c>
      <c r="AB99" s="708">
        <f t="shared" si="56"/>
        <v>90.33957682324214</v>
      </c>
      <c r="AC99" s="708">
        <f t="shared" si="56"/>
        <v>85.460655125264225</v>
      </c>
      <c r="AD99" s="708">
        <f t="shared" si="56"/>
        <v>80.668442612694491</v>
      </c>
      <c r="AE99" s="708">
        <f t="shared" si="56"/>
        <v>75.962347861157113</v>
      </c>
      <c r="AF99" s="708">
        <f t="shared" si="56"/>
        <v>71.341774524135928</v>
      </c>
      <c r="AG99" s="708">
        <f t="shared" si="56"/>
        <v>66.806121294757546</v>
      </c>
      <c r="AH99" s="708">
        <f t="shared" si="56"/>
        <v>62.354781867290214</v>
      </c>
    </row>
    <row r="101" spans="1:39" ht="16" thickBot="1">
      <c r="A101" s="273" t="s">
        <v>2080</v>
      </c>
      <c r="B101" s="273"/>
      <c r="C101" s="174" t="s">
        <v>2047</v>
      </c>
      <c r="D101" s="739">
        <f t="shared" ref="D101:AH101" si="57">(D27*$D$102/$C$123)*(1+(1/$B$129-1)*(1+D25))</f>
        <v>49.3</v>
      </c>
      <c r="E101" s="739">
        <f t="shared" si="57"/>
        <v>50.409463532251827</v>
      </c>
      <c r="F101" s="739">
        <f t="shared" si="57"/>
        <v>51.148897859540831</v>
      </c>
      <c r="G101" s="739">
        <f t="shared" si="57"/>
        <v>51.899178624900422</v>
      </c>
      <c r="H101" s="739">
        <f t="shared" si="57"/>
        <v>52.660464929976904</v>
      </c>
      <c r="I101" s="739">
        <f t="shared" si="57"/>
        <v>53.432918210208911</v>
      </c>
      <c r="J101" s="739">
        <f t="shared" si="57"/>
        <v>54.216702269060796</v>
      </c>
      <c r="K101" s="739">
        <f t="shared" si="57"/>
        <v>55.011983312758119</v>
      </c>
      <c r="L101" s="739">
        <f t="shared" si="57"/>
        <v>55.818929985532733</v>
      </c>
      <c r="M101" s="739">
        <f t="shared" si="57"/>
        <v>56.63771340538478</v>
      </c>
      <c r="N101" s="739">
        <f t="shared" si="57"/>
        <v>57.468507200369487</v>
      </c>
      <c r="O101" s="739">
        <f t="shared" si="57"/>
        <v>57.566098263534528</v>
      </c>
      <c r="P101" s="739">
        <f t="shared" si="57"/>
        <v>57.921109763108419</v>
      </c>
      <c r="Q101" s="739">
        <f t="shared" si="57"/>
        <v>58.278310627058765</v>
      </c>
      <c r="R101" s="739">
        <f t="shared" si="57"/>
        <v>58.637714357247837</v>
      </c>
      <c r="S101" s="739">
        <f t="shared" si="57"/>
        <v>58.999334538804185</v>
      </c>
      <c r="T101" s="739">
        <f t="shared" si="57"/>
        <v>59.363184840636301</v>
      </c>
      <c r="U101" s="739">
        <f t="shared" si="57"/>
        <v>59.729279015948933</v>
      </c>
      <c r="V101" s="739">
        <f t="shared" si="57"/>
        <v>60.097630902763413</v>
      </c>
      <c r="W101" s="739">
        <f t="shared" si="57"/>
        <v>60.468254424440289</v>
      </c>
      <c r="X101" s="739">
        <f t="shared" si="57"/>
        <v>60.841163590205873</v>
      </c>
      <c r="Y101" s="739">
        <f t="shared" si="57"/>
        <v>61.21637249568181</v>
      </c>
      <c r="Z101" s="739">
        <f t="shared" si="57"/>
        <v>61.593895323417598</v>
      </c>
      <c r="AA101" s="739">
        <f t="shared" si="57"/>
        <v>61.973746343426974</v>
      </c>
      <c r="AB101" s="739">
        <f t="shared" si="57"/>
        <v>62.35593991372717</v>
      </c>
      <c r="AC101" s="739">
        <f t="shared" si="57"/>
        <v>62.740490480881626</v>
      </c>
      <c r="AD101" s="739">
        <f t="shared" si="57"/>
        <v>63.127412580546121</v>
      </c>
      <c r="AE101" s="739">
        <f t="shared" si="57"/>
        <v>63.516720838018138</v>
      </c>
      <c r="AF101" s="739">
        <f t="shared" si="57"/>
        <v>63.908429968789711</v>
      </c>
      <c r="AG101" s="739">
        <f t="shared" si="57"/>
        <v>64.30255477910373</v>
      </c>
      <c r="AH101" s="739">
        <f t="shared" si="57"/>
        <v>64.699110166513222</v>
      </c>
    </row>
    <row r="102" spans="1:39" ht="16">
      <c r="A102" t="s">
        <v>2048</v>
      </c>
      <c r="B102" t="s">
        <v>2046</v>
      </c>
      <c r="D102" s="737">
        <f>'[1]IFA Fertiliser Consumption'!L14</f>
        <v>6.0391189191748421E-2</v>
      </c>
      <c r="E102" s="6">
        <f>D102</f>
        <v>6.0391189191748421E-2</v>
      </c>
      <c r="F102" s="6">
        <f>E102</f>
        <v>6.0391189191748421E-2</v>
      </c>
      <c r="G102" s="6">
        <f>F102</f>
        <v>6.0391189191748421E-2</v>
      </c>
      <c r="H102" s="6">
        <f>G102</f>
        <v>6.0391189191748421E-2</v>
      </c>
      <c r="I102" s="6">
        <f>H102</f>
        <v>6.0391189191748421E-2</v>
      </c>
      <c r="J102" s="6">
        <f t="shared" ref="J102:AH102" si="58">I102+I97-J97</f>
        <v>7.2391189191748473E-2</v>
      </c>
      <c r="K102" s="6">
        <f t="shared" si="58"/>
        <v>8.4391189191748484E-2</v>
      </c>
      <c r="L102" s="6">
        <f t="shared" si="58"/>
        <v>9.6391189191748494E-2</v>
      </c>
      <c r="M102" s="6">
        <f t="shared" si="58"/>
        <v>0.1083911891917485</v>
      </c>
      <c r="N102" s="738">
        <f t="shared" si="58"/>
        <v>0.12039118919174852</v>
      </c>
      <c r="O102" s="738">
        <f t="shared" si="58"/>
        <v>0.13239118919174853</v>
      </c>
      <c r="P102" s="738">
        <f t="shared" si="58"/>
        <v>0.14439118919174854</v>
      </c>
      <c r="Q102" s="738">
        <f t="shared" si="58"/>
        <v>0.15639118919174855</v>
      </c>
      <c r="R102" s="738">
        <f t="shared" si="58"/>
        <v>0.16839118919174856</v>
      </c>
      <c r="S102" s="738">
        <f t="shared" si="58"/>
        <v>0.18039118919174857</v>
      </c>
      <c r="T102" s="738">
        <f t="shared" si="58"/>
        <v>0.19239118919174858</v>
      </c>
      <c r="U102" s="738">
        <f t="shared" si="58"/>
        <v>0.20439118919174859</v>
      </c>
      <c r="V102" s="738">
        <f t="shared" si="58"/>
        <v>0.2163911891917486</v>
      </c>
      <c r="W102" s="738">
        <f t="shared" si="58"/>
        <v>0.22839118919174861</v>
      </c>
      <c r="X102" s="738">
        <f t="shared" si="58"/>
        <v>0.24039118919174862</v>
      </c>
      <c r="Y102" s="738">
        <f t="shared" si="58"/>
        <v>0.25239118919174863</v>
      </c>
      <c r="Z102" s="738">
        <f t="shared" si="58"/>
        <v>0.26439118919174864</v>
      </c>
      <c r="AA102" s="738">
        <f t="shared" si="58"/>
        <v>0.27639118919174865</v>
      </c>
      <c r="AB102" s="738">
        <f t="shared" si="58"/>
        <v>0.28839118919174866</v>
      </c>
      <c r="AC102" s="738">
        <f t="shared" si="58"/>
        <v>0.30039118919174868</v>
      </c>
      <c r="AD102" s="738">
        <f t="shared" si="58"/>
        <v>0.31239118919174869</v>
      </c>
      <c r="AE102" s="738">
        <f t="shared" si="58"/>
        <v>0.3243911891917487</v>
      </c>
      <c r="AF102" s="738">
        <f t="shared" si="58"/>
        <v>0.33639118919174871</v>
      </c>
      <c r="AG102" s="738">
        <f t="shared" si="58"/>
        <v>0.34839118919174872</v>
      </c>
      <c r="AH102" s="738">
        <f t="shared" si="58"/>
        <v>0.36039118919174845</v>
      </c>
      <c r="AJ102" t="s">
        <v>2049</v>
      </c>
    </row>
    <row r="103" spans="1:39">
      <c r="A103" t="s">
        <v>2050</v>
      </c>
      <c r="C103" t="s">
        <v>2047</v>
      </c>
      <c r="D103" s="713">
        <f t="shared" ref="D103:AH103" si="59">D29*D102/$C$123</f>
        <v>23.345250747257971</v>
      </c>
      <c r="E103" s="713">
        <f t="shared" si="59"/>
        <v>23.687691998802887</v>
      </c>
      <c r="F103" s="713">
        <f t="shared" si="59"/>
        <v>24.035156370982875</v>
      </c>
      <c r="G103" s="713">
        <f t="shared" si="59"/>
        <v>24.387717545753031</v>
      </c>
      <c r="H103" s="713">
        <f t="shared" si="59"/>
        <v>24.745450285876736</v>
      </c>
      <c r="I103" s="713">
        <f t="shared" si="59"/>
        <v>25.108430450779583</v>
      </c>
      <c r="J103" s="713">
        <f t="shared" si="59"/>
        <v>30.052214380024111</v>
      </c>
      <c r="K103" s="713">
        <f t="shared" si="59"/>
        <v>34.988504955408011</v>
      </c>
      <c r="L103" s="713">
        <f t="shared" si="59"/>
        <v>39.92064916576691</v>
      </c>
      <c r="M103" s="713">
        <f t="shared" si="59"/>
        <v>44.852059073140275</v>
      </c>
      <c r="N103" s="713">
        <f t="shared" si="59"/>
        <v>49.78621300167152</v>
      </c>
      <c r="O103" s="713">
        <f t="shared" si="59"/>
        <v>54.223360624724357</v>
      </c>
      <c r="P103" s="713">
        <f t="shared" si="59"/>
        <v>58.567737598745865</v>
      </c>
      <c r="Q103" s="713">
        <f t="shared" si="59"/>
        <v>62.819972564763589</v>
      </c>
      <c r="R103" s="713">
        <f t="shared" si="59"/>
        <v>66.980699306974287</v>
      </c>
      <c r="S103" s="713">
        <f t="shared" si="59"/>
        <v>71.05055679227155</v>
      </c>
      <c r="T103" s="713">
        <f t="shared" si="59"/>
        <v>75.030189210065231</v>
      </c>
      <c r="U103" s="713">
        <f t="shared" si="59"/>
        <v>78.920246012394784</v>
      </c>
      <c r="V103" s="713">
        <f t="shared" si="59"/>
        <v>82.72138195433898</v>
      </c>
      <c r="W103" s="713">
        <f t="shared" si="59"/>
        <v>86.434257134723708</v>
      </c>
      <c r="X103" s="713">
        <f t="shared" si="59"/>
        <v>90.059537037130241</v>
      </c>
      <c r="Y103" s="713">
        <f t="shared" si="59"/>
        <v>93.59789257120616</v>
      </c>
      <c r="Z103" s="713">
        <f t="shared" si="59"/>
        <v>97.050000114280721</v>
      </c>
      <c r="AA103" s="713">
        <f t="shared" si="59"/>
        <v>100.4165415532876</v>
      </c>
      <c r="AB103" s="713">
        <f t="shared" si="59"/>
        <v>103.69820432699629</v>
      </c>
      <c r="AC103" s="713">
        <f t="shared" si="59"/>
        <v>106.89568146855513</v>
      </c>
      <c r="AD103" s="713">
        <f t="shared" si="59"/>
        <v>110.00967164834796</v>
      </c>
      <c r="AE103" s="713">
        <f t="shared" si="59"/>
        <v>113.04087921716628</v>
      </c>
      <c r="AF103" s="713">
        <f t="shared" si="59"/>
        <v>115.99001424969985</v>
      </c>
      <c r="AG103" s="713">
        <f t="shared" si="59"/>
        <v>118.85779258834755</v>
      </c>
      <c r="AH103" s="713">
        <f t="shared" si="59"/>
        <v>121.6449358873503</v>
      </c>
    </row>
    <row r="104" spans="1:39" s="1" customFormat="1" ht="16">
      <c r="A104" s="1" t="s">
        <v>2079</v>
      </c>
      <c r="C104" s="1" t="s">
        <v>2047</v>
      </c>
      <c r="D104" s="708">
        <f>D103+(D103/$B$129-D103)</f>
        <v>49.3</v>
      </c>
      <c r="E104" s="708">
        <f t="shared" ref="E104:AH104" si="60">E103+(E103/$B$129-E103)*(1+E25)</f>
        <v>50.40946353225182</v>
      </c>
      <c r="F104" s="708">
        <f t="shared" si="60"/>
        <v>51.148897859540824</v>
      </c>
      <c r="G104" s="708">
        <f t="shared" si="60"/>
        <v>51.899178624900415</v>
      </c>
      <c r="H104" s="708">
        <f t="shared" si="60"/>
        <v>52.660464929976897</v>
      </c>
      <c r="I104" s="708">
        <f t="shared" si="60"/>
        <v>53.432918210208911</v>
      </c>
      <c r="J104" s="708">
        <f t="shared" si="60"/>
        <v>63.953719295649371</v>
      </c>
      <c r="K104" s="708">
        <f t="shared" si="60"/>
        <v>74.458573874009659</v>
      </c>
      <c r="L104" s="708">
        <f t="shared" si="60"/>
        <v>84.954604627890575</v>
      </c>
      <c r="M104" s="708">
        <f t="shared" si="60"/>
        <v>95.449072721315872</v>
      </c>
      <c r="N104" s="708">
        <f t="shared" si="60"/>
        <v>105.94938032981503</v>
      </c>
      <c r="O104" s="708">
        <f t="shared" si="60"/>
        <v>114.87950554955836</v>
      </c>
      <c r="P104" s="708">
        <f t="shared" si="60"/>
        <v>124.08365433241543</v>
      </c>
      <c r="Q104" s="708">
        <f t="shared" si="60"/>
        <v>133.09258783909152</v>
      </c>
      <c r="R104" s="708">
        <f t="shared" si="60"/>
        <v>141.90764882692054</v>
      </c>
      <c r="S104" s="708">
        <f t="shared" si="60"/>
        <v>150.53019103347879</v>
      </c>
      <c r="T104" s="708">
        <f t="shared" si="60"/>
        <v>158.9615792609483</v>
      </c>
      <c r="U104" s="708">
        <f t="shared" si="60"/>
        <v>167.20318946110149</v>
      </c>
      <c r="V104" s="708">
        <f t="shared" si="60"/>
        <v>175.25640882091545</v>
      </c>
      <c r="W104" s="708">
        <f t="shared" si="60"/>
        <v>183.12263584881637</v>
      </c>
      <c r="X104" s="708">
        <f t="shared" si="60"/>
        <v>190.80328046156126</v>
      </c>
      <c r="Y104" s="708">
        <f t="shared" si="60"/>
        <v>198.29976407176082</v>
      </c>
      <c r="Z104" s="708">
        <f t="shared" si="60"/>
        <v>205.61351967604696</v>
      </c>
      <c r="AA104" s="708">
        <f t="shared" si="60"/>
        <v>212.74599194389202</v>
      </c>
      <c r="AB104" s="708">
        <f t="shared" si="60"/>
        <v>219.69863730708164</v>
      </c>
      <c r="AC104" s="708">
        <f t="shared" si="60"/>
        <v>226.47292404984771</v>
      </c>
      <c r="AD104" s="708">
        <f t="shared" si="60"/>
        <v>233.07033239966631</v>
      </c>
      <c r="AE104" s="708">
        <f t="shared" si="60"/>
        <v>239.49235461872343</v>
      </c>
      <c r="AF104" s="708">
        <f t="shared" si="60"/>
        <v>245.74049509605595</v>
      </c>
      <c r="AG104" s="708">
        <f t="shared" si="60"/>
        <v>251.81627044037054</v>
      </c>
      <c r="AH104" s="708">
        <f t="shared" si="60"/>
        <v>257.72120957354537</v>
      </c>
    </row>
    <row r="105" spans="1:39" s="1" customFormat="1">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row>
    <row r="106" spans="1:39">
      <c r="A106" t="s">
        <v>2051</v>
      </c>
      <c r="C106" t="s">
        <v>2052</v>
      </c>
      <c r="D106" s="716">
        <f t="shared" ref="D106:AH106" si="61">D98*$B$122+D103*$B$123</f>
        <v>89.686224321207817</v>
      </c>
      <c r="E106" s="716">
        <f t="shared" si="61"/>
        <v>91.001792238442533</v>
      </c>
      <c r="F106" s="716">
        <f t="shared" si="61"/>
        <v>92.3366576448731</v>
      </c>
      <c r="G106" s="716">
        <f t="shared" si="61"/>
        <v>93.691103606910971</v>
      </c>
      <c r="H106" s="716">
        <f t="shared" si="61"/>
        <v>95.065417343144588</v>
      </c>
      <c r="I106" s="716">
        <f t="shared" si="61"/>
        <v>96.459890285246075</v>
      </c>
      <c r="J106" s="716">
        <f t="shared" si="61"/>
        <v>96.375839735583966</v>
      </c>
      <c r="K106" s="716">
        <f t="shared" si="61"/>
        <v>96.312385280545101</v>
      </c>
      <c r="L106" s="716">
        <f t="shared" si="61"/>
        <v>96.269871620283169</v>
      </c>
      <c r="M106" s="716">
        <f t="shared" si="61"/>
        <v>96.248648708034096</v>
      </c>
      <c r="N106" s="716">
        <f t="shared" si="61"/>
        <v>96.249071830058213</v>
      </c>
      <c r="O106" s="716">
        <f t="shared" si="61"/>
        <v>95.38613655759967</v>
      </c>
      <c r="P106" s="716">
        <f t="shared" si="61"/>
        <v>94.52599146059643</v>
      </c>
      <c r="Q106" s="716">
        <f t="shared" si="61"/>
        <v>93.668668538095957</v>
      </c>
      <c r="R106" s="716">
        <f t="shared" si="61"/>
        <v>92.814200002084192</v>
      </c>
      <c r="S106" s="716">
        <f t="shared" si="61"/>
        <v>91.962618278895022</v>
      </c>
      <c r="T106" s="716">
        <f t="shared" si="61"/>
        <v>91.11395601062911</v>
      </c>
      <c r="U106" s="716">
        <f t="shared" si="61"/>
        <v>90.268246056581603</v>
      </c>
      <c r="V106" s="716">
        <f t="shared" si="61"/>
        <v>89.425521494679856</v>
      </c>
      <c r="W106" s="716">
        <f t="shared" si="61"/>
        <v>88.585815622930227</v>
      </c>
      <c r="X106" s="716">
        <f t="shared" si="61"/>
        <v>87.749161960874432</v>
      </c>
      <c r="Y106" s="716">
        <f t="shared" si="61"/>
        <v>86.915594251055779</v>
      </c>
      <c r="Z106" s="716">
        <f t="shared" si="61"/>
        <v>86.085146460494684</v>
      </c>
      <c r="AA106" s="716">
        <f t="shared" si="61"/>
        <v>85.257852782174183</v>
      </c>
      <c r="AB106" s="716">
        <f t="shared" si="61"/>
        <v>84.43374763653506</v>
      </c>
      <c r="AC106" s="716">
        <f t="shared" si="61"/>
        <v>83.612865672980888</v>
      </c>
      <c r="AD106" s="716">
        <f t="shared" si="61"/>
        <v>82.795241771393137</v>
      </c>
      <c r="AE106" s="716">
        <f t="shared" si="61"/>
        <v>81.980911043655766</v>
      </c>
      <c r="AF106" s="716">
        <f t="shared" si="61"/>
        <v>81.169908835190569</v>
      </c>
      <c r="AG106" s="716">
        <f t="shared" si="61"/>
        <v>80.362270726502089</v>
      </c>
      <c r="AH106" s="716">
        <f t="shared" si="61"/>
        <v>79.558032534732561</v>
      </c>
    </row>
    <row r="107" spans="1:39">
      <c r="D107" s="2">
        <f t="shared" ref="D107:AH107" si="62">D106/D27</f>
        <v>0.69255771676608358</v>
      </c>
      <c r="E107" s="2">
        <f t="shared" si="62"/>
        <v>0.69255771676608358</v>
      </c>
      <c r="F107" s="2">
        <f t="shared" si="62"/>
        <v>0.69255771676608346</v>
      </c>
      <c r="G107" s="2">
        <f t="shared" si="62"/>
        <v>0.69255771676608358</v>
      </c>
      <c r="H107" s="2">
        <f t="shared" si="62"/>
        <v>0.69255771676608358</v>
      </c>
      <c r="I107" s="2">
        <f t="shared" si="62"/>
        <v>0.69255771676608358</v>
      </c>
      <c r="J107" s="2">
        <f t="shared" si="62"/>
        <v>0.68195101444145756</v>
      </c>
      <c r="K107" s="2">
        <f t="shared" si="62"/>
        <v>0.67164987597022863</v>
      </c>
      <c r="L107" s="2">
        <f t="shared" si="62"/>
        <v>0.66164797596249003</v>
      </c>
      <c r="M107" s="2">
        <f t="shared" si="62"/>
        <v>0.65193910515650977</v>
      </c>
      <c r="N107" s="2">
        <f t="shared" si="62"/>
        <v>0.64251716842495477</v>
      </c>
      <c r="O107" s="2">
        <f t="shared" si="62"/>
        <v>0.63285376160543816</v>
      </c>
      <c r="P107" s="2">
        <f t="shared" si="62"/>
        <v>0.6233030738516746</v>
      </c>
      <c r="Q107" s="2">
        <f t="shared" si="62"/>
        <v>0.61386418337192472</v>
      </c>
      <c r="R107" s="2">
        <f t="shared" si="62"/>
        <v>0.60453617494706313</v>
      </c>
      <c r="S107" s="2">
        <f t="shared" si="62"/>
        <v>0.59531813988765714</v>
      </c>
      <c r="T107" s="2">
        <f t="shared" si="62"/>
        <v>0.58620917599130606</v>
      </c>
      <c r="U107" s="2">
        <f t="shared" si="62"/>
        <v>0.57720838750023828</v>
      </c>
      <c r="V107" s="2">
        <f t="shared" si="62"/>
        <v>0.5683148850591685</v>
      </c>
      <c r="W107" s="2">
        <f t="shared" si="62"/>
        <v>0.55952778567340966</v>
      </c>
      <c r="X107" s="2">
        <f t="shared" si="62"/>
        <v>0.5508462126672401</v>
      </c>
      <c r="Y107" s="2">
        <f t="shared" si="62"/>
        <v>0.54226929564252446</v>
      </c>
      <c r="Z107" s="2">
        <f t="shared" si="62"/>
        <v>0.53379617043758676</v>
      </c>
      <c r="AA107" s="2">
        <f t="shared" si="62"/>
        <v>0.52542597908633371</v>
      </c>
      <c r="AB107" s="2">
        <f t="shared" si="62"/>
        <v>0.5171578697776269</v>
      </c>
      <c r="AC107" s="2">
        <f t="shared" si="62"/>
        <v>0.50899099681490323</v>
      </c>
      <c r="AD107" s="2">
        <f t="shared" si="62"/>
        <v>0.50092452057604264</v>
      </c>
      <c r="AE107" s="2">
        <f t="shared" si="62"/>
        <v>0.49295760747347761</v>
      </c>
      <c r="AF107" s="2">
        <f t="shared" si="62"/>
        <v>0.48508942991455078</v>
      </c>
      <c r="AG107" s="2">
        <f t="shared" si="62"/>
        <v>0.47731916626211107</v>
      </c>
      <c r="AH107" s="2">
        <f t="shared" si="62"/>
        <v>0.46964600079535168</v>
      </c>
    </row>
    <row r="108" spans="1:39" s="1" customFormat="1">
      <c r="A108" s="1" t="s">
        <v>2053</v>
      </c>
      <c r="C108" s="1" t="s">
        <v>2052</v>
      </c>
      <c r="D108" s="735">
        <f t="shared" ref="D108:AH108" si="63">D99*$B$122+D104*$B$123</f>
        <v>121.98916666666668</v>
      </c>
      <c r="E108" s="735">
        <f t="shared" si="63"/>
        <v>124.25936050881724</v>
      </c>
      <c r="F108" s="735">
        <f t="shared" si="63"/>
        <v>126.08206660820694</v>
      </c>
      <c r="G108" s="735">
        <f t="shared" si="63"/>
        <v>127.93150918452005</v>
      </c>
      <c r="H108" s="735">
        <f t="shared" si="63"/>
        <v>129.80808042341849</v>
      </c>
      <c r="I108" s="735">
        <f t="shared" si="63"/>
        <v>131.71217826336388</v>
      </c>
      <c r="J108" s="735">
        <f t="shared" si="63"/>
        <v>133.40705785350735</v>
      </c>
      <c r="K108" s="735">
        <f t="shared" si="63"/>
        <v>135.12537600495475</v>
      </c>
      <c r="L108" s="735">
        <f t="shared" si="63"/>
        <v>136.86879044400737</v>
      </c>
      <c r="M108" s="735">
        <f t="shared" si="63"/>
        <v>138.63898928630039</v>
      </c>
      <c r="N108" s="735">
        <f t="shared" si="63"/>
        <v>140.43769157165127</v>
      </c>
      <c r="O108" s="735">
        <f t="shared" si="63"/>
        <v>140.57645385495465</v>
      </c>
      <c r="P108" s="735">
        <f t="shared" si="63"/>
        <v>141.05546999560343</v>
      </c>
      <c r="Q108" s="735">
        <f t="shared" si="63"/>
        <v>141.50476742432394</v>
      </c>
      <c r="R108" s="735">
        <f t="shared" si="63"/>
        <v>141.9246160327628</v>
      </c>
      <c r="S108" s="735">
        <f t="shared" si="63"/>
        <v>142.31528785734747</v>
      </c>
      <c r="T108" s="735">
        <f t="shared" si="63"/>
        <v>142.6770570954761</v>
      </c>
      <c r="U108" s="735">
        <f t="shared" si="63"/>
        <v>143.01020012182389</v>
      </c>
      <c r="V108" s="735">
        <f t="shared" si="63"/>
        <v>143.31499550477025</v>
      </c>
      <c r="W108" s="735">
        <f t="shared" si="63"/>
        <v>143.5917240229445</v>
      </c>
      <c r="X108" s="735">
        <f t="shared" si="63"/>
        <v>143.84066868189271</v>
      </c>
      <c r="Y108" s="735">
        <f t="shared" si="63"/>
        <v>144.06211473086626</v>
      </c>
      <c r="Z108" s="735">
        <f t="shared" si="63"/>
        <v>144.25634967973193</v>
      </c>
      <c r="AA108" s="735">
        <f t="shared" si="63"/>
        <v>144.4236633160063</v>
      </c>
      <c r="AB108" s="735">
        <f t="shared" si="63"/>
        <v>144.56434772201357</v>
      </c>
      <c r="AC108" s="735">
        <f t="shared" si="63"/>
        <v>144.67869729216832</v>
      </c>
      <c r="AD108" s="735">
        <f t="shared" si="63"/>
        <v>144.76700875038506</v>
      </c>
      <c r="AE108" s="735">
        <f t="shared" si="63"/>
        <v>144.82958116761316</v>
      </c>
      <c r="AF108" s="735">
        <f t="shared" si="63"/>
        <v>144.86671597950081</v>
      </c>
      <c r="AG108" s="735">
        <f t="shared" si="63"/>
        <v>144.87871700418674</v>
      </c>
      <c r="AH108" s="735">
        <f t="shared" si="63"/>
        <v>144.86589046022124</v>
      </c>
    </row>
    <row r="109" spans="1:39">
      <c r="D109" s="2">
        <f t="shared" ref="D109:AH109" si="64">D108/D24</f>
        <v>0.65940090090090098</v>
      </c>
      <c r="E109" s="2">
        <f t="shared" si="64"/>
        <v>0.66196218578552979</v>
      </c>
      <c r="F109" s="2">
        <f t="shared" si="64"/>
        <v>0.66196218578552968</v>
      </c>
      <c r="G109" s="2">
        <f t="shared" si="64"/>
        <v>0.66196218578552979</v>
      </c>
      <c r="H109" s="2">
        <f t="shared" si="64"/>
        <v>0.66196218578552979</v>
      </c>
      <c r="I109" s="2">
        <f t="shared" si="64"/>
        <v>0.66196218578552957</v>
      </c>
      <c r="J109" s="2">
        <f t="shared" si="64"/>
        <v>0.66078754883503488</v>
      </c>
      <c r="K109" s="2">
        <f t="shared" si="64"/>
        <v>0.65962294713039105</v>
      </c>
      <c r="L109" s="2">
        <f t="shared" si="64"/>
        <v>0.65847465725135768</v>
      </c>
      <c r="M109" s="2">
        <f t="shared" si="64"/>
        <v>0.65734870961672343</v>
      </c>
      <c r="N109" s="2">
        <f t="shared" si="64"/>
        <v>0.65625089519463209</v>
      </c>
      <c r="O109" s="2">
        <f t="shared" si="64"/>
        <v>0.65287303352597437</v>
      </c>
      <c r="P109" s="2">
        <f t="shared" si="64"/>
        <v>0.65108246601096542</v>
      </c>
      <c r="Q109" s="2">
        <f t="shared" si="64"/>
        <v>0.64915298677472522</v>
      </c>
      <c r="R109" s="2">
        <f t="shared" si="64"/>
        <v>0.64708843209062061</v>
      </c>
      <c r="S109" s="2">
        <f t="shared" si="64"/>
        <v>0.64489258593651022</v>
      </c>
      <c r="T109" s="2">
        <f t="shared" si="64"/>
        <v>0.64256918055596834</v>
      </c>
      <c r="U109" s="2">
        <f t="shared" si="64"/>
        <v>0.64012189701419386</v>
      </c>
      <c r="V109" s="2">
        <f t="shared" si="64"/>
        <v>0.63755436574866386</v>
      </c>
      <c r="W109" s="2">
        <f t="shared" si="64"/>
        <v>0.6348701671145659</v>
      </c>
      <c r="X109" s="2">
        <f t="shared" si="64"/>
        <v>0.6320728319250607</v>
      </c>
      <c r="Y109" s="2">
        <f t="shared" si="64"/>
        <v>0.62916584198642023</v>
      </c>
      <c r="Z109" s="2">
        <f t="shared" si="64"/>
        <v>0.62615263062808135</v>
      </c>
      <c r="AA109" s="2">
        <f t="shared" si="64"/>
        <v>0.62303658322766808</v>
      </c>
      <c r="AB109" s="2">
        <f t="shared" si="64"/>
        <v>0.61982103773101815</v>
      </c>
      <c r="AC109" s="2">
        <f t="shared" si="64"/>
        <v>0.61650928516726122</v>
      </c>
      <c r="AD109" s="2">
        <f t="shared" si="64"/>
        <v>0.61310457015899533</v>
      </c>
      <c r="AE109" s="2">
        <f t="shared" si="64"/>
        <v>0.60961009142759692</v>
      </c>
      <c r="AF109" s="2">
        <f t="shared" si="64"/>
        <v>0.60602900229371603</v>
      </c>
      <c r="AG109" s="2">
        <f t="shared" si="64"/>
        <v>0.602364411172991</v>
      </c>
      <c r="AH109" s="2">
        <f t="shared" si="64"/>
        <v>0.59861938206702991</v>
      </c>
    </row>
    <row r="110" spans="1:39">
      <c r="A110" t="s">
        <v>2054</v>
      </c>
      <c r="C110" t="s">
        <v>2052</v>
      </c>
      <c r="D110" s="704">
        <f t="shared" ref="D110:AH110" si="65">D98*$B$122+D103*$B$124</f>
        <v>84.725358537415488</v>
      </c>
      <c r="E110" s="704">
        <f t="shared" si="65"/>
        <v>85.96815768869692</v>
      </c>
      <c r="F110" s="704">
        <f t="shared" si="65"/>
        <v>87.229186916039239</v>
      </c>
      <c r="G110" s="704">
        <f t="shared" si="65"/>
        <v>88.508713628438443</v>
      </c>
      <c r="H110" s="704">
        <f t="shared" si="65"/>
        <v>89.807009157395782</v>
      </c>
      <c r="I110" s="704">
        <f t="shared" si="65"/>
        <v>91.124348814455416</v>
      </c>
      <c r="J110" s="704">
        <f t="shared" si="65"/>
        <v>89.989744179828833</v>
      </c>
      <c r="K110" s="704">
        <f t="shared" si="65"/>
        <v>88.877327977520906</v>
      </c>
      <c r="L110" s="704">
        <f t="shared" si="65"/>
        <v>87.786733672557702</v>
      </c>
      <c r="M110" s="704">
        <f t="shared" si="65"/>
        <v>86.717586154991778</v>
      </c>
      <c r="N110" s="704">
        <f t="shared" si="65"/>
        <v>85.669501567203014</v>
      </c>
      <c r="O110" s="704">
        <f t="shared" si="65"/>
        <v>83.863672424845745</v>
      </c>
      <c r="P110" s="704">
        <f t="shared" si="65"/>
        <v>82.080347220862933</v>
      </c>
      <c r="Q110" s="704">
        <f t="shared" si="65"/>
        <v>80.319424368083702</v>
      </c>
      <c r="R110" s="704">
        <f t="shared" si="65"/>
        <v>78.580801399352154</v>
      </c>
      <c r="S110" s="704">
        <f t="shared" si="65"/>
        <v>76.864374960537319</v>
      </c>
      <c r="T110" s="704">
        <f t="shared" si="65"/>
        <v>75.170040803490252</v>
      </c>
      <c r="U110" s="704">
        <f t="shared" si="65"/>
        <v>73.497693778947706</v>
      </c>
      <c r="V110" s="704">
        <f t="shared" si="65"/>
        <v>71.847227829382831</v>
      </c>
      <c r="W110" s="704">
        <f t="shared" si="65"/>
        <v>70.218535981801438</v>
      </c>
      <c r="X110" s="704">
        <f t="shared" si="65"/>
        <v>68.611510340484244</v>
      </c>
      <c r="Y110" s="704">
        <f t="shared" si="65"/>
        <v>67.026042079674468</v>
      </c>
      <c r="Z110" s="704">
        <f t="shared" si="65"/>
        <v>65.462021436210023</v>
      </c>
      <c r="AA110" s="704">
        <f t="shared" si="65"/>
        <v>63.919337702100563</v>
      </c>
      <c r="AB110" s="704">
        <f t="shared" si="65"/>
        <v>62.397879217048356</v>
      </c>
      <c r="AC110" s="704">
        <f t="shared" si="65"/>
        <v>60.897533360912931</v>
      </c>
      <c r="AD110" s="704">
        <f t="shared" si="65"/>
        <v>59.418186546119188</v>
      </c>
      <c r="AE110" s="704">
        <f t="shared" si="65"/>
        <v>57.959724210007927</v>
      </c>
      <c r="AF110" s="704">
        <f t="shared" si="65"/>
        <v>56.522030807129354</v>
      </c>
      <c r="AG110" s="704">
        <f t="shared" si="65"/>
        <v>55.104989801478233</v>
      </c>
      <c r="AH110" s="704">
        <f t="shared" si="65"/>
        <v>53.708483658670623</v>
      </c>
      <c r="AJ110" s="706" t="s">
        <v>2055</v>
      </c>
      <c r="AK110" s="706"/>
      <c r="AL110" s="706"/>
      <c r="AM110" s="706"/>
    </row>
    <row r="111" spans="1:39" s="1" customFormat="1" ht="16">
      <c r="A111" s="1" t="s">
        <v>2056</v>
      </c>
      <c r="C111" s="1" t="s">
        <v>2052</v>
      </c>
      <c r="D111" s="736">
        <f t="shared" ref="D111:AH111" si="66">D24-D96*$B$122-D101*$B$124</f>
        <v>73.487083333333331</v>
      </c>
      <c r="E111" s="736">
        <f t="shared" si="66"/>
        <v>74.166334410698568</v>
      </c>
      <c r="F111" s="736">
        <f t="shared" si="66"/>
        <v>75.254247864833644</v>
      </c>
      <c r="G111" s="736">
        <f t="shared" si="66"/>
        <v>76.358119444620868</v>
      </c>
      <c r="H111" s="736">
        <f t="shared" si="66"/>
        <v>77.478183232811404</v>
      </c>
      <c r="I111" s="736">
        <f t="shared" si="66"/>
        <v>78.614676745813682</v>
      </c>
      <c r="J111" s="736">
        <f t="shared" si="66"/>
        <v>79.767840984060186</v>
      </c>
      <c r="K111" s="736">
        <f t="shared" si="66"/>
        <v>80.937920483113146</v>
      </c>
      <c r="L111" s="736">
        <f t="shared" si="66"/>
        <v>82.125163365519782</v>
      </c>
      <c r="M111" s="736">
        <f t="shared" si="66"/>
        <v>83.329821393428162</v>
      </c>
      <c r="N111" s="736">
        <f t="shared" si="66"/>
        <v>84.552150021975137</v>
      </c>
      <c r="O111" s="736">
        <f t="shared" si="66"/>
        <v>85.338644262307938</v>
      </c>
      <c r="P111" s="736">
        <f t="shared" si="66"/>
        <v>85.864929714771137</v>
      </c>
      <c r="Q111" s="736">
        <f t="shared" si="66"/>
        <v>86.394460782159015</v>
      </c>
      <c r="R111" s="736">
        <f t="shared" si="66"/>
        <v>86.927257480256273</v>
      </c>
      <c r="S111" s="736">
        <f t="shared" si="66"/>
        <v>87.46333994828521</v>
      </c>
      <c r="T111" s="736">
        <f t="shared" si="66"/>
        <v>88.002728449667302</v>
      </c>
      <c r="U111" s="736">
        <f t="shared" si="66"/>
        <v>88.545443372788981</v>
      </c>
      <c r="V111" s="736">
        <f t="shared" si="66"/>
        <v>89.091505231772402</v>
      </c>
      <c r="W111" s="736">
        <f t="shared" si="66"/>
        <v>89.640934667250804</v>
      </c>
      <c r="X111" s="736">
        <f t="shared" si="66"/>
        <v>90.193752447148611</v>
      </c>
      <c r="Y111" s="736">
        <f t="shared" si="66"/>
        <v>90.749979467466545</v>
      </c>
      <c r="Z111" s="736">
        <f t="shared" si="66"/>
        <v>91.309636753071658</v>
      </c>
      <c r="AA111" s="736">
        <f t="shared" si="66"/>
        <v>91.872745458491551</v>
      </c>
      <c r="AB111" s="736">
        <f t="shared" si="66"/>
        <v>92.439326868714559</v>
      </c>
      <c r="AC111" s="736">
        <f t="shared" si="66"/>
        <v>93.009402399993917</v>
      </c>
      <c r="AD111" s="736">
        <f t="shared" si="66"/>
        <v>93.582993600657431</v>
      </c>
      <c r="AE111" s="736">
        <f t="shared" si="66"/>
        <v>94.160122151921883</v>
      </c>
      <c r="AF111" s="736">
        <f t="shared" si="66"/>
        <v>94.74080986871283</v>
      </c>
      <c r="AG111" s="736">
        <f t="shared" si="66"/>
        <v>95.325078700488788</v>
      </c>
      <c r="AH111" s="736">
        <f t="shared" si="66"/>
        <v>95.912950732071167</v>
      </c>
      <c r="AJ111" s="705"/>
      <c r="AK111" s="705"/>
      <c r="AL111" s="705"/>
      <c r="AM111" s="705"/>
    </row>
    <row r="112" spans="1:39" s="1" customFormat="1" ht="16">
      <c r="A112" s="1" t="s">
        <v>2081</v>
      </c>
      <c r="C112" s="1" t="s">
        <v>2052</v>
      </c>
      <c r="D112" s="736">
        <f t="shared" ref="D112:AH112" si="67">D99*$B$122+D104*$B$124</f>
        <v>111.51291666666667</v>
      </c>
      <c r="E112" s="736">
        <f t="shared" si="67"/>
        <v>113.54734950821373</v>
      </c>
      <c r="F112" s="736">
        <f t="shared" si="67"/>
        <v>115.21292581305451</v>
      </c>
      <c r="G112" s="736">
        <f t="shared" si="67"/>
        <v>116.9029337267287</v>
      </c>
      <c r="H112" s="736">
        <f t="shared" si="67"/>
        <v>118.6177316257984</v>
      </c>
      <c r="I112" s="736">
        <f t="shared" si="67"/>
        <v>120.3576831436945</v>
      </c>
      <c r="J112" s="736">
        <f t="shared" si="67"/>
        <v>119.81689250318186</v>
      </c>
      <c r="K112" s="736">
        <f t="shared" si="67"/>
        <v>119.30292905672771</v>
      </c>
      <c r="L112" s="736">
        <f t="shared" si="67"/>
        <v>118.81593696058063</v>
      </c>
      <c r="M112" s="736">
        <f t="shared" si="67"/>
        <v>118.35606133302078</v>
      </c>
      <c r="N112" s="736">
        <f t="shared" si="67"/>
        <v>117.92344825156557</v>
      </c>
      <c r="O112" s="736">
        <f t="shared" si="67"/>
        <v>116.16455892567349</v>
      </c>
      <c r="P112" s="736">
        <f t="shared" si="67"/>
        <v>114.68769344996515</v>
      </c>
      <c r="Q112" s="736">
        <f t="shared" si="67"/>
        <v>113.222592508517</v>
      </c>
      <c r="R112" s="736">
        <f t="shared" si="67"/>
        <v>111.76924065704218</v>
      </c>
      <c r="S112" s="736">
        <f t="shared" si="67"/>
        <v>110.32762226273324</v>
      </c>
      <c r="T112" s="736">
        <f t="shared" si="67"/>
        <v>108.89772150252459</v>
      </c>
      <c r="U112" s="736">
        <f t="shared" si="67"/>
        <v>107.47952236133982</v>
      </c>
      <c r="V112" s="736">
        <f t="shared" si="67"/>
        <v>106.0730086303257</v>
      </c>
      <c r="W112" s="736">
        <f t="shared" si="67"/>
        <v>104.67816390507102</v>
      </c>
      <c r="X112" s="736">
        <f t="shared" si="67"/>
        <v>103.29497158381095</v>
      </c>
      <c r="Y112" s="736">
        <f t="shared" si="67"/>
        <v>101.92341486561709</v>
      </c>
      <c r="Z112" s="736">
        <f t="shared" si="67"/>
        <v>100.56347674857194</v>
      </c>
      <c r="AA112" s="736">
        <f t="shared" si="67"/>
        <v>99.215140027929266</v>
      </c>
      <c r="AB112" s="736">
        <f t="shared" si="67"/>
        <v>97.878387294258729</v>
      </c>
      <c r="AC112" s="736">
        <f t="shared" si="67"/>
        <v>96.553200931575702</v>
      </c>
      <c r="AD112" s="736">
        <f t="shared" si="67"/>
        <v>95.239563115455965</v>
      </c>
      <c r="AE112" s="736">
        <f t="shared" si="67"/>
        <v>93.937455811134427</v>
      </c>
      <c r="AF112" s="736">
        <f t="shared" si="67"/>
        <v>92.646860771588919</v>
      </c>
      <c r="AG112" s="736">
        <f t="shared" si="67"/>
        <v>91.367759535608016</v>
      </c>
      <c r="AH112" s="736">
        <f t="shared" si="67"/>
        <v>90.100133425842841</v>
      </c>
      <c r="AJ112" s="706"/>
      <c r="AK112" s="706"/>
      <c r="AL112" s="706"/>
      <c r="AM112" s="706"/>
    </row>
    <row r="113" spans="1:39">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5" spans="1:39">
      <c r="AJ115" s="706" t="s">
        <v>2055</v>
      </c>
      <c r="AK115" s="706"/>
      <c r="AL115" s="706"/>
      <c r="AM115" s="706"/>
    </row>
    <row r="117" spans="1:39">
      <c r="AJ117" s="707"/>
      <c r="AK117" s="707"/>
      <c r="AL117" s="707"/>
      <c r="AM117" s="707"/>
    </row>
    <row r="119" spans="1:39">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9">
      <c r="B120" s="1" t="s">
        <v>2059</v>
      </c>
      <c r="C120" s="1" t="s">
        <v>2060</v>
      </c>
      <c r="M120" t="s">
        <v>929</v>
      </c>
      <c r="N120" t="s">
        <v>2061</v>
      </c>
    </row>
    <row r="121" spans="1:39">
      <c r="A121" t="s">
        <v>2062</v>
      </c>
      <c r="B121" s="727">
        <f>14/17</f>
        <v>0.82352941176470584</v>
      </c>
    </row>
    <row r="122" spans="1:39" ht="16">
      <c r="A122" t="s">
        <v>1054</v>
      </c>
      <c r="B122" s="727">
        <f>34/60</f>
        <v>0.56666666666666665</v>
      </c>
      <c r="C122" s="683">
        <v>0.46</v>
      </c>
      <c r="N122" t="s">
        <v>2063</v>
      </c>
    </row>
    <row r="123" spans="1:39" ht="16">
      <c r="A123" t="s">
        <v>2064</v>
      </c>
      <c r="B123" s="51">
        <f>(17+17)/(80)</f>
        <v>0.42499999999999999</v>
      </c>
      <c r="C123" s="683">
        <v>0.33500000000000002</v>
      </c>
      <c r="N123" t="s">
        <v>2065</v>
      </c>
    </row>
    <row r="124" spans="1:39">
      <c r="A124" t="s">
        <v>2066</v>
      </c>
      <c r="B124" s="727">
        <f>(17)/(80)</f>
        <v>0.21249999999999999</v>
      </c>
      <c r="C124" s="51"/>
      <c r="N124" t="s">
        <v>2067</v>
      </c>
    </row>
    <row r="125" spans="1:39">
      <c r="A125" t="s">
        <v>121</v>
      </c>
      <c r="B125" s="727">
        <v>0.82200033469069012</v>
      </c>
      <c r="C125" s="51"/>
      <c r="M125" t="s">
        <v>929</v>
      </c>
      <c r="N125" t="s">
        <v>2068</v>
      </c>
    </row>
    <row r="126" spans="1:39">
      <c r="C126" t="s">
        <v>2069</v>
      </c>
    </row>
    <row r="127" spans="1:39">
      <c r="A127" t="s">
        <v>2070</v>
      </c>
      <c r="B127" t="s">
        <v>2071</v>
      </c>
    </row>
    <row r="128" spans="1:39" ht="16">
      <c r="A128" t="s">
        <v>1054</v>
      </c>
      <c r="B128" s="733">
        <f>D98/178.3</f>
        <v>0.78946085005730438</v>
      </c>
      <c r="C128" t="s">
        <v>929</v>
      </c>
      <c r="D128" t="s">
        <v>2072</v>
      </c>
    </row>
    <row r="129" spans="1:36" ht="16">
      <c r="A129" t="s">
        <v>2064</v>
      </c>
      <c r="B129" s="734">
        <f>D103/49.3</f>
        <v>0.47353449791598323</v>
      </c>
      <c r="C129" t="s">
        <v>929</v>
      </c>
      <c r="D129" s="5" t="s">
        <v>2073</v>
      </c>
    </row>
    <row r="131" spans="1:36">
      <c r="B131" t="s">
        <v>2074</v>
      </c>
      <c r="D131" s="85">
        <f t="shared" ref="D131:AH131" si="68">D98+D103</f>
        <v>164.10612031247535</v>
      </c>
      <c r="E131" s="85">
        <f t="shared" si="68"/>
        <v>166.51332106754049</v>
      </c>
      <c r="F131" s="85">
        <f t="shared" si="68"/>
        <v>168.95583199546297</v>
      </c>
      <c r="G131" s="85">
        <f t="shared" si="68"/>
        <v>171.43417104569289</v>
      </c>
      <c r="H131" s="85">
        <f t="shared" si="68"/>
        <v>173.94886376525375</v>
      </c>
      <c r="I131" s="85">
        <f t="shared" si="68"/>
        <v>176.50044341018798</v>
      </c>
      <c r="J131" s="85">
        <f t="shared" si="68"/>
        <v>177.58806489309538</v>
      </c>
      <c r="K131" s="85">
        <f t="shared" si="68"/>
        <v>178.71015908687278</v>
      </c>
      <c r="L131" s="85">
        <f t="shared" si="68"/>
        <v>179.86817103311793</v>
      </c>
      <c r="M131" s="85">
        <f t="shared" si="68"/>
        <v>181.06357131187465</v>
      </c>
      <c r="N131" s="85">
        <f t="shared" si="68"/>
        <v>182.29785647993236</v>
      </c>
      <c r="O131" s="85">
        <f t="shared" si="68"/>
        <v>181.88431643429814</v>
      </c>
      <c r="P131" s="85">
        <f t="shared" si="68"/>
        <v>181.45250756544488</v>
      </c>
      <c r="Q131" s="85">
        <f t="shared" si="68"/>
        <v>181.00264350253673</v>
      </c>
      <c r="R131" s="85">
        <f t="shared" si="68"/>
        <v>180.53493953630391</v>
      </c>
      <c r="S131" s="85">
        <f t="shared" si="68"/>
        <v>180.04961263141206</v>
      </c>
      <c r="T131" s="85">
        <f t="shared" si="68"/>
        <v>179.54688143892062</v>
      </c>
      <c r="U131" s="85">
        <f t="shared" si="68"/>
        <v>179.02696630883094</v>
      </c>
      <c r="V131" s="85">
        <f t="shared" si="68"/>
        <v>178.49008930272569</v>
      </c>
      <c r="W131" s="85">
        <f t="shared" si="68"/>
        <v>177.93647420649899</v>
      </c>
      <c r="X131" s="85">
        <f t="shared" si="68"/>
        <v>177.36634654317862</v>
      </c>
      <c r="Y131" s="85">
        <f t="shared" si="68"/>
        <v>176.77993358584115</v>
      </c>
      <c r="Z131" s="85">
        <f t="shared" si="68"/>
        <v>176.17746437061962</v>
      </c>
      <c r="AA131" s="85">
        <f t="shared" si="68"/>
        <v>175.55916970980576</v>
      </c>
      <c r="AB131" s="85">
        <f t="shared" si="68"/>
        <v>174.92528220504624</v>
      </c>
      <c r="AC131" s="85">
        <f t="shared" si="68"/>
        <v>174.2760362606345</v>
      </c>
      <c r="AD131" s="85">
        <f t="shared" si="68"/>
        <v>173.6116680968984</v>
      </c>
      <c r="AE131" s="85">
        <f t="shared" si="68"/>
        <v>172.93241576368411</v>
      </c>
      <c r="AF131" s="85">
        <f t="shared" si="68"/>
        <v>172.23851915393774</v>
      </c>
      <c r="AG131" s="85">
        <f t="shared" si="68"/>
        <v>171.53022001738469</v>
      </c>
      <c r="AH131" s="85">
        <f t="shared" si="68"/>
        <v>170.8077619743068</v>
      </c>
      <c r="AJ131" s="23">
        <f>(AH131/D131)^(1/30)-1</f>
        <v>1.3350714654472018E-3</v>
      </c>
    </row>
    <row r="132" spans="1:36">
      <c r="B132" t="s">
        <v>2075</v>
      </c>
      <c r="D132" s="728">
        <v>7794799</v>
      </c>
      <c r="E132" s="728">
        <v>7874966</v>
      </c>
      <c r="F132" s="728">
        <v>7953953</v>
      </c>
      <c r="G132" s="728">
        <v>8031800</v>
      </c>
      <c r="H132" s="728">
        <v>8108605</v>
      </c>
      <c r="I132" s="728">
        <v>8184437</v>
      </c>
      <c r="J132" s="728">
        <v>8259277</v>
      </c>
      <c r="K132" s="728">
        <v>8333078</v>
      </c>
      <c r="L132" s="728">
        <v>8405863</v>
      </c>
      <c r="M132" s="728">
        <v>8477661</v>
      </c>
      <c r="N132" s="728">
        <v>8548487</v>
      </c>
      <c r="O132" s="728">
        <v>8618349</v>
      </c>
      <c r="P132" s="728">
        <v>8687228</v>
      </c>
      <c r="Q132" s="728">
        <v>8755084</v>
      </c>
      <c r="R132" s="728">
        <v>8821863</v>
      </c>
      <c r="S132" s="728">
        <v>8887524</v>
      </c>
      <c r="T132" s="728">
        <v>8952049</v>
      </c>
      <c r="U132" s="728">
        <v>9015438</v>
      </c>
      <c r="V132" s="728">
        <v>9077694</v>
      </c>
      <c r="W132" s="728">
        <v>9138829</v>
      </c>
      <c r="X132" s="728">
        <v>9198847</v>
      </c>
      <c r="Y132" s="728">
        <v>9257745</v>
      </c>
      <c r="Z132" s="728">
        <v>9315508</v>
      </c>
      <c r="AA132" s="728">
        <v>9372118</v>
      </c>
      <c r="AB132" s="728">
        <v>9427555</v>
      </c>
      <c r="AC132" s="728">
        <v>9481803</v>
      </c>
      <c r="AD132" s="728">
        <v>9534855</v>
      </c>
      <c r="AE132" s="728">
        <v>9586708</v>
      </c>
      <c r="AF132" s="728">
        <v>9637357</v>
      </c>
      <c r="AG132" s="728">
        <v>9686800</v>
      </c>
      <c r="AH132" s="728">
        <v>9735034</v>
      </c>
      <c r="AJ132" s="23"/>
    </row>
    <row r="133" spans="1:36">
      <c r="B133" t="s">
        <v>2076</v>
      </c>
      <c r="D133" s="729">
        <f t="shared" ref="D133:AH133" si="69">D131*1000000/(D132*1000)</f>
        <v>2.1053284415990119E-2</v>
      </c>
      <c r="E133" s="729">
        <f t="shared" si="69"/>
        <v>2.1144639998133388E-2</v>
      </c>
      <c r="F133" s="729">
        <f t="shared" si="69"/>
        <v>2.1241743821652326E-2</v>
      </c>
      <c r="G133" s="729">
        <f t="shared" si="69"/>
        <v>2.134442728226461E-2</v>
      </c>
      <c r="H133" s="729">
        <f t="shared" si="69"/>
        <v>2.1452378524450724E-2</v>
      </c>
      <c r="I133" s="729">
        <f t="shared" si="69"/>
        <v>2.1565373819871544E-2</v>
      </c>
      <c r="J133" s="729">
        <f t="shared" si="69"/>
        <v>2.1501647770512524E-2</v>
      </c>
      <c r="K133" s="729">
        <f t="shared" si="69"/>
        <v>2.1445876192071261E-2</v>
      </c>
      <c r="L133" s="729">
        <f t="shared" si="69"/>
        <v>2.1397942249727117E-2</v>
      </c>
      <c r="M133" s="729">
        <f t="shared" si="69"/>
        <v>2.1357727244799556E-2</v>
      </c>
      <c r="N133" s="729">
        <f t="shared" si="69"/>
        <v>2.1325160403230698E-2</v>
      </c>
      <c r="O133" s="729">
        <f t="shared" si="69"/>
        <v>2.1104310864447254E-2</v>
      </c>
      <c r="P133" s="729">
        <f t="shared" si="69"/>
        <v>2.0887273542889041E-2</v>
      </c>
      <c r="Q133" s="729">
        <f t="shared" si="69"/>
        <v>2.0674004213156232E-2</v>
      </c>
      <c r="R133" s="729">
        <f t="shared" si="69"/>
        <v>2.0464491404627787E-2</v>
      </c>
      <c r="S133" s="729">
        <f t="shared" si="69"/>
        <v>2.0258692143212447E-2</v>
      </c>
      <c r="T133" s="729">
        <f t="shared" si="69"/>
        <v>2.0056512362579854E-2</v>
      </c>
      <c r="U133" s="729">
        <f t="shared" si="69"/>
        <v>1.9857822360802763E-2</v>
      </c>
      <c r="V133" s="729">
        <f t="shared" si="69"/>
        <v>1.9662492402004926E-2</v>
      </c>
      <c r="W133" s="729">
        <f t="shared" si="69"/>
        <v>1.9470380089888866E-2</v>
      </c>
      <c r="X133" s="729">
        <f t="shared" si="69"/>
        <v>1.9281367169513595E-2</v>
      </c>
      <c r="Y133" s="729">
        <f t="shared" si="69"/>
        <v>1.9095355681739035E-2</v>
      </c>
      <c r="Z133" s="729">
        <f t="shared" si="69"/>
        <v>1.8912276643487356E-2</v>
      </c>
      <c r="AA133" s="729">
        <f t="shared" si="69"/>
        <v>1.8732069923768111E-2</v>
      </c>
      <c r="AB133" s="729">
        <f t="shared" si="69"/>
        <v>1.8554681696902987E-2</v>
      </c>
      <c r="AC133" s="729">
        <f t="shared" si="69"/>
        <v>1.8380052428914048E-2</v>
      </c>
      <c r="AD133" s="729">
        <f t="shared" si="69"/>
        <v>1.820810784190199E-2</v>
      </c>
      <c r="AE133" s="729">
        <f t="shared" si="69"/>
        <v>1.8038769488304442E-2</v>
      </c>
      <c r="AF133" s="729">
        <f t="shared" si="69"/>
        <v>1.7871966261490339E-2</v>
      </c>
      <c r="AG133" s="729">
        <f t="shared" si="69"/>
        <v>1.7707624810813134E-2</v>
      </c>
      <c r="AH133" s="729">
        <f t="shared" si="69"/>
        <v>1.7545676982156075E-2</v>
      </c>
      <c r="AJ133" s="23">
        <f>(AH133/D133)^(1/30)-1</f>
        <v>-6.0565508181443795E-3</v>
      </c>
    </row>
    <row r="135" spans="1:36">
      <c r="D135" s="729">
        <f>D133</f>
        <v>2.1053284415990119E-2</v>
      </c>
      <c r="N135" s="730">
        <f t="shared" ref="N135:W135" si="70">(AH135-D135)/3+D135</f>
        <v>2.8605932963774523E-2</v>
      </c>
      <c r="O135" s="730">
        <f t="shared" si="70"/>
        <v>0</v>
      </c>
      <c r="P135" s="730">
        <f t="shared" si="70"/>
        <v>8.2168459430690035E-3</v>
      </c>
      <c r="Q135" s="730">
        <f t="shared" si="70"/>
        <v>0</v>
      </c>
      <c r="R135" s="730">
        <f t="shared" si="70"/>
        <v>0</v>
      </c>
      <c r="S135" s="730">
        <f t="shared" si="70"/>
        <v>0</v>
      </c>
      <c r="T135" s="730">
        <f t="shared" si="70"/>
        <v>0</v>
      </c>
      <c r="U135" s="730">
        <f t="shared" si="70"/>
        <v>0</v>
      </c>
      <c r="V135" s="730">
        <f t="shared" si="70"/>
        <v>0</v>
      </c>
      <c r="W135" s="730">
        <f t="shared" si="70"/>
        <v>0</v>
      </c>
      <c r="X135" s="730">
        <f>(AH135-D135)/3+N135</f>
        <v>3.6158581511558922E-2</v>
      </c>
      <c r="AH135" s="731">
        <f>'[1]IFA Fertiliser Consumption'!T12/1000</f>
        <v>4.3711230059343326E-2</v>
      </c>
      <c r="AJ135" s="23">
        <f>(AH135/D135)^(1/30)-1</f>
        <v>2.4650537829207009E-2</v>
      </c>
    </row>
    <row r="136" spans="1:36">
      <c r="D136" s="732">
        <f t="shared" ref="D136:AH136" si="71">D135*D131/D133</f>
        <v>164.10612031247535</v>
      </c>
      <c r="E136" s="732">
        <f t="shared" si="71"/>
        <v>0</v>
      </c>
      <c r="F136" s="732">
        <f t="shared" si="71"/>
        <v>0</v>
      </c>
      <c r="G136" s="732">
        <f t="shared" si="71"/>
        <v>0</v>
      </c>
      <c r="H136" s="732">
        <f t="shared" si="71"/>
        <v>0</v>
      </c>
      <c r="I136" s="732">
        <f t="shared" si="71"/>
        <v>0</v>
      </c>
      <c r="J136" s="732">
        <f t="shared" si="71"/>
        <v>0</v>
      </c>
      <c r="K136" s="732">
        <f t="shared" si="71"/>
        <v>0</v>
      </c>
      <c r="L136" s="732">
        <f t="shared" si="71"/>
        <v>0</v>
      </c>
      <c r="M136" s="732">
        <f t="shared" si="71"/>
        <v>0</v>
      </c>
      <c r="N136" s="732">
        <f t="shared" si="71"/>
        <v>244.53744606369793</v>
      </c>
      <c r="O136" s="732">
        <f t="shared" si="71"/>
        <v>0</v>
      </c>
      <c r="P136" s="732">
        <f t="shared" si="71"/>
        <v>71.38161414831545</v>
      </c>
      <c r="Q136" s="732">
        <f t="shared" si="71"/>
        <v>0</v>
      </c>
      <c r="R136" s="732">
        <f t="shared" si="71"/>
        <v>0</v>
      </c>
      <c r="S136" s="732">
        <f t="shared" si="71"/>
        <v>0</v>
      </c>
      <c r="T136" s="732">
        <f t="shared" si="71"/>
        <v>0</v>
      </c>
      <c r="U136" s="732">
        <f t="shared" si="71"/>
        <v>0</v>
      </c>
      <c r="V136" s="732">
        <f t="shared" si="71"/>
        <v>0</v>
      </c>
      <c r="W136" s="732">
        <f t="shared" si="71"/>
        <v>0</v>
      </c>
      <c r="X136" s="732">
        <f t="shared" si="71"/>
        <v>332.61725906185922</v>
      </c>
      <c r="Y136" s="732">
        <f t="shared" si="71"/>
        <v>0</v>
      </c>
      <c r="Z136" s="732">
        <f t="shared" si="71"/>
        <v>0</v>
      </c>
      <c r="AA136" s="732">
        <f t="shared" si="71"/>
        <v>0</v>
      </c>
      <c r="AB136" s="732">
        <f t="shared" si="71"/>
        <v>0</v>
      </c>
      <c r="AC136" s="732">
        <f t="shared" si="71"/>
        <v>0</v>
      </c>
      <c r="AD136" s="732">
        <f t="shared" si="71"/>
        <v>0</v>
      </c>
      <c r="AE136" s="732">
        <f t="shared" si="71"/>
        <v>0</v>
      </c>
      <c r="AF136" s="732">
        <f t="shared" si="71"/>
        <v>0</v>
      </c>
      <c r="AG136" s="732">
        <f t="shared" si="71"/>
        <v>0</v>
      </c>
      <c r="AH136" s="732">
        <f t="shared" si="71"/>
        <v>425.53031080952934</v>
      </c>
      <c r="AJ136" s="23">
        <f>(AH136/D136)^(1/30)-1</f>
        <v>3.2270518376940061E-2</v>
      </c>
    </row>
  </sheetData>
  <mergeCells count="1">
    <mergeCell ref="C79:E79"/>
  </mergeCells>
  <hyperlinks>
    <hyperlink ref="D129" r:id="rId1" display="IFA : for 2019 https://www.youtube.com/watch?v=j3hHBZztmL4" xr:uid="{0C6A64C9-5BEE-A845-9D2F-C6D5AA201765}"/>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F46A-53E3-4CFA-8F26-481BFDFE690E}">
  <sheetPr>
    <tabColor theme="1"/>
  </sheetPr>
  <dimension ref="A1:L31"/>
  <sheetViews>
    <sheetView zoomScale="60" zoomScaleNormal="60" workbookViewId="0">
      <selection activeCell="C23" sqref="C23"/>
    </sheetView>
  </sheetViews>
  <sheetFormatPr baseColWidth="10" defaultColWidth="8.83203125" defaultRowHeight="15"/>
  <cols>
    <col min="1" max="1" width="11.5" customWidth="1"/>
    <col min="2" max="3" width="32" customWidth="1"/>
    <col min="4" max="4" width="15.1640625" customWidth="1"/>
    <col min="5" max="5" width="19.5" customWidth="1"/>
    <col min="6" max="6" width="15.33203125" customWidth="1"/>
    <col min="11" max="11" width="16.5" customWidth="1"/>
  </cols>
  <sheetData>
    <row r="1" spans="1:8">
      <c r="B1" t="s">
        <v>0</v>
      </c>
      <c r="D1" t="s">
        <v>1</v>
      </c>
      <c r="E1" t="s">
        <v>2</v>
      </c>
      <c r="G1" t="s">
        <v>3</v>
      </c>
    </row>
    <row r="2" spans="1:8">
      <c r="A2" t="s">
        <v>4</v>
      </c>
      <c r="B2" s="6">
        <f>SUM('Demand Breakdown - Ethylene'!C34:C40)</f>
        <v>0.88161400000000001</v>
      </c>
      <c r="C2" s="6"/>
      <c r="D2" s="43">
        <f>'Yearly Summary'!D27</f>
        <v>162.69230769230768</v>
      </c>
      <c r="E2" s="43">
        <f>'Yearly Summary'!AH27</f>
        <v>280.10459284033055</v>
      </c>
      <c r="G2" s="751">
        <f>SUM('Job + CO2 Analysis'!AH8:AH20)</f>
        <v>0</v>
      </c>
      <c r="H2" s="751">
        <f>SUM('Job + CO2 Analysis'!BN8:BN20)</f>
        <v>0</v>
      </c>
    </row>
    <row r="3" spans="1:8">
      <c r="A3" t="s">
        <v>5</v>
      </c>
      <c r="B3" s="6">
        <f>SUM('Demand Breakdown - Propylene'!C25:C27)</f>
        <v>0.77200000000000013</v>
      </c>
      <c r="C3" s="6"/>
      <c r="D3" s="43">
        <f>'Yearly Summary'!D32</f>
        <v>111.92307692307692</v>
      </c>
      <c r="E3" s="43">
        <f>'Yearly Summary'!AH32</f>
        <v>162.92409925871709</v>
      </c>
      <c r="G3" s="751"/>
      <c r="H3" s="751"/>
    </row>
    <row r="4" spans="1:8">
      <c r="A4" t="s">
        <v>6</v>
      </c>
      <c r="B4" s="6">
        <f>SUM('Demand Breakdown - Methanol'!B10:B11)/'Yearly Demand - Methanol'!G9</f>
        <v>0.34743674022753024</v>
      </c>
      <c r="C4" s="6"/>
      <c r="D4" s="43">
        <f>'Yearly Summary'!D37</f>
        <v>70.960266702016895</v>
      </c>
      <c r="E4" s="43">
        <f>'Yearly Summary'!AH37</f>
        <v>145.59945711418746</v>
      </c>
      <c r="G4" s="751"/>
      <c r="H4" s="751"/>
    </row>
    <row r="5" spans="1:8">
      <c r="A5" t="s">
        <v>7</v>
      </c>
      <c r="B5" s="6">
        <f>SUM('Demand Breakdown - BTX'!C56:C59)</f>
        <v>0.62562881057678366</v>
      </c>
      <c r="C5" s="6"/>
      <c r="D5" s="43">
        <f>'Yearly Summary'!D42</f>
        <v>51.832300831890365</v>
      </c>
      <c r="E5" s="43">
        <f>'Yearly Summary'!AH42</f>
        <v>71.87200832466182</v>
      </c>
      <c r="G5" s="751"/>
      <c r="H5" s="751"/>
    </row>
    <row r="6" spans="1:8">
      <c r="A6" t="s">
        <v>8</v>
      </c>
      <c r="B6" s="6">
        <f>'Demand Breakdown - BTX'!L12/SUM('Demand Breakdown - BTX'!M3:M4,'Demand Breakdown - BTX'!M6:M7)</f>
        <v>0.14352574102964119</v>
      </c>
      <c r="C6" s="6"/>
      <c r="D6" s="43">
        <f>'Yearly Summary'!D47</f>
        <v>14.015260831000658</v>
      </c>
      <c r="E6" s="43">
        <f>'Yearly Summary'!AH47</f>
        <v>19.433922996878252</v>
      </c>
      <c r="G6" s="751"/>
      <c r="H6" s="751"/>
    </row>
    <row r="7" spans="1:8">
      <c r="A7" t="s">
        <v>9</v>
      </c>
      <c r="B7" s="6">
        <f>SUM('Demand Breakdown - BTX'!H56:H59)</f>
        <v>0.88579962645577925</v>
      </c>
      <c r="C7" s="6"/>
      <c r="D7" s="43">
        <f>'Yearly Summary'!D52</f>
        <v>50.26162504910581</v>
      </c>
      <c r="E7" s="43">
        <f>'Yearly Summary'!AH52</f>
        <v>69.694068678459942</v>
      </c>
      <c r="G7" s="751"/>
      <c r="H7" s="751"/>
    </row>
    <row r="8" spans="1:8">
      <c r="A8" t="s">
        <v>10</v>
      </c>
      <c r="B8" s="6">
        <f>SUM('Demand Breakdown - C4'!G18:G20)</f>
        <v>0.92300000000000026</v>
      </c>
      <c r="C8" s="6"/>
      <c r="D8" s="43">
        <f>'Yearly Summary'!D57</f>
        <v>14.947368421052632</v>
      </c>
      <c r="E8" s="43">
        <f>'Yearly Summary'!AH57</f>
        <v>25.054959115946328</v>
      </c>
      <c r="G8" s="751"/>
      <c r="H8" s="751"/>
    </row>
    <row r="9" spans="1:8">
      <c r="F9" t="s">
        <v>11</v>
      </c>
      <c r="G9" t="s">
        <v>12</v>
      </c>
    </row>
    <row r="10" spans="1:8">
      <c r="B10" t="s">
        <v>13</v>
      </c>
      <c r="D10" s="44">
        <f>SUMPRODUCT(B2:B8,D2:D8)</f>
        <v>347.24811644868305</v>
      </c>
      <c r="E10" s="44">
        <f>SUMPRODUCT(B2:B8,E2:E8)</f>
        <v>555.92331044546074</v>
      </c>
      <c r="F10" s="44">
        <f>'Yearly Butadiene'!AH45+'Yearly BTX'!AH69+'Yearly Methanol'!AH71+'Yearly HC Ethylene'!AH83+'Yearly HC Propylene'!AH41</f>
        <v>32.97230291814774</v>
      </c>
      <c r="G10" s="44">
        <f>E10+F10-G2</f>
        <v>588.8956133636085</v>
      </c>
      <c r="H10" s="44">
        <f>E10+F10-H2</f>
        <v>588.8956133636085</v>
      </c>
    </row>
    <row r="11" spans="1:8">
      <c r="D11">
        <f>D10/SUM(D2:D8)</f>
        <v>0.72854522155498058</v>
      </c>
      <c r="G11" s="673">
        <f>(E10-G10)/E10</f>
        <v>-5.9310883891030022E-2</v>
      </c>
      <c r="H11" s="673">
        <f>(E10-H10)/E10</f>
        <v>-5.9310883891030022E-2</v>
      </c>
    </row>
    <row r="13" spans="1:8">
      <c r="B13" t="s">
        <v>14</v>
      </c>
      <c r="D13">
        <f>'Job + CO2 Analysis'!AH22+'Job + CO2 Analysis'!AH23</f>
        <v>243.15415876754349</v>
      </c>
    </row>
    <row r="14" spans="1:8">
      <c r="D14">
        <f>D13/H10</f>
        <v>0.41289857361768129</v>
      </c>
    </row>
    <row r="15" spans="1:8">
      <c r="D15">
        <f>D13/G10</f>
        <v>0.41289857361768129</v>
      </c>
    </row>
    <row r="18" spans="1:12">
      <c r="A18" t="s">
        <v>15</v>
      </c>
      <c r="B18" t="s">
        <v>1912</v>
      </c>
    </row>
    <row r="19" spans="1:12">
      <c r="B19" t="s">
        <v>1909</v>
      </c>
      <c r="E19" t="s">
        <v>16</v>
      </c>
      <c r="H19" t="s">
        <v>17</v>
      </c>
      <c r="K19" t="s">
        <v>18</v>
      </c>
    </row>
    <row r="20" spans="1:12">
      <c r="A20" t="s">
        <v>19</v>
      </c>
      <c r="D20" t="str">
        <f>'Final Exhibits'!A4</f>
        <v>Butadiene</v>
      </c>
      <c r="E20" s="26">
        <f>'Final Exhibits'!K16</f>
        <v>23.108794503663027</v>
      </c>
      <c r="F20" s="2">
        <f t="shared" ref="F20:F31" si="0">E20/$E$31</f>
        <v>2.8658862633682634E-2</v>
      </c>
      <c r="G20" t="s">
        <v>20</v>
      </c>
      <c r="H20" s="26">
        <f>SUM(E20:E26)</f>
        <v>504.85826887584722</v>
      </c>
      <c r="I20" s="2">
        <f t="shared" ref="I20:I25" si="1">H20/$H$25</f>
        <v>0.62611071187197831</v>
      </c>
      <c r="J20" t="s">
        <v>14</v>
      </c>
      <c r="K20">
        <f>'Scope 3 Yearly'!BN9+'Scope 3 Yearly'!BN10</f>
        <v>235.41040686931393</v>
      </c>
      <c r="L20" s="2">
        <f t="shared" ref="L20:L27" si="2">K20/SUM($K$28)</f>
        <v>0.4662900884905683</v>
      </c>
    </row>
    <row r="21" spans="1:12">
      <c r="A21" t="s">
        <v>21</v>
      </c>
      <c r="D21" t="str">
        <f>'Final Exhibits'!A5</f>
        <v>Xylene</v>
      </c>
      <c r="E21" s="26">
        <f>'Final Exhibits'!K17</f>
        <v>46.053260950069671</v>
      </c>
      <c r="F21" s="2">
        <f t="shared" si="0"/>
        <v>5.7113930334703418E-2</v>
      </c>
      <c r="G21" t="s">
        <v>22</v>
      </c>
      <c r="H21" s="26">
        <f>'Final Exhibits'!H25</f>
        <v>0</v>
      </c>
      <c r="I21" s="2">
        <f t="shared" si="1"/>
        <v>0</v>
      </c>
      <c r="J21" t="s">
        <v>23</v>
      </c>
      <c r="L21" s="2">
        <f t="shared" si="2"/>
        <v>0</v>
      </c>
    </row>
    <row r="22" spans="1:12">
      <c r="A22" t="s">
        <v>24</v>
      </c>
      <c r="D22" t="str">
        <f>'Final Exhibits'!A6</f>
        <v>Toluene</v>
      </c>
      <c r="E22" s="26">
        <f>'Final Exhibits'!K18</f>
        <v>12.841774688000196</v>
      </c>
      <c r="F22" s="2">
        <f t="shared" si="0"/>
        <v>1.592599980486922E-2</v>
      </c>
      <c r="G22" t="s">
        <v>25</v>
      </c>
      <c r="H22" s="26">
        <f>E28</f>
        <v>66.07157575188748</v>
      </c>
      <c r="I22" s="2">
        <f t="shared" si="1"/>
        <v>8.1940068884344047E-2</v>
      </c>
      <c r="J22" t="s">
        <v>26</v>
      </c>
      <c r="K22">
        <f>0.01*'Scope 3 Yearly'!BN11</f>
        <v>0.90441521053956664</v>
      </c>
      <c r="L22" s="2">
        <f t="shared" si="2"/>
        <v>1.791423982325576E-3</v>
      </c>
    </row>
    <row r="23" spans="1:12">
      <c r="A23" t="s">
        <v>27</v>
      </c>
      <c r="D23" t="str">
        <f>'Final Exhibits'!A7</f>
        <v>Benzene</v>
      </c>
      <c r="E23" s="26">
        <f>'Final Exhibits'!K19</f>
        <v>47.492425354759348</v>
      </c>
      <c r="F23" s="2">
        <f t="shared" si="0"/>
        <v>5.8898740657662894E-2</v>
      </c>
      <c r="G23" t="s">
        <v>28</v>
      </c>
      <c r="H23" s="26">
        <f>E29</f>
        <v>0</v>
      </c>
      <c r="I23" s="2">
        <f t="shared" si="1"/>
        <v>0</v>
      </c>
      <c r="J23" t="s">
        <v>29</v>
      </c>
      <c r="K23">
        <f>'Scope 3 Yearly'!BN14</f>
        <v>45.220760526978331</v>
      </c>
      <c r="L23" s="2">
        <f t="shared" si="2"/>
        <v>8.9571199116278796E-2</v>
      </c>
    </row>
    <row r="24" spans="1:12">
      <c r="A24" t="s">
        <v>30</v>
      </c>
      <c r="D24" t="str">
        <f>'Final Exhibits'!A8</f>
        <v>Propylene</v>
      </c>
      <c r="E24" s="26">
        <f>'Final Exhibits'!K20</f>
        <v>113.37363749187909</v>
      </c>
      <c r="F24" s="2">
        <f t="shared" si="0"/>
        <v>0.14060272605936511</v>
      </c>
      <c r="G24" t="s">
        <v>14</v>
      </c>
      <c r="H24" s="26">
        <f>E30</f>
        <v>235.41040686931393</v>
      </c>
      <c r="I24" s="2">
        <f t="shared" si="1"/>
        <v>0.2919492192436775</v>
      </c>
      <c r="J24" t="s">
        <v>31</v>
      </c>
      <c r="K24">
        <f>0.99*'Scope 3 Yearly'!BN11</f>
        <v>89.537105843417095</v>
      </c>
      <c r="L24" s="2">
        <f t="shared" si="2"/>
        <v>0.17735097425023202</v>
      </c>
    </row>
    <row r="25" spans="1:12" ht="16" thickBot="1">
      <c r="A25" s="273" t="s">
        <v>67</v>
      </c>
      <c r="B25" s="664"/>
      <c r="C25" s="26"/>
      <c r="D25" t="str">
        <f>'Final Exhibits'!A9</f>
        <v>Ethylene</v>
      </c>
      <c r="E25" s="26">
        <f>'Final Exhibits'!K21</f>
        <v>179.24238271620916</v>
      </c>
      <c r="F25" s="2">
        <f t="shared" si="0"/>
        <v>0.22229125035421254</v>
      </c>
      <c r="G25" t="s">
        <v>32</v>
      </c>
      <c r="H25" s="26">
        <f>SUM(H20:H24)</f>
        <v>806.34025149704871</v>
      </c>
      <c r="I25" s="2">
        <f t="shared" si="1"/>
        <v>1</v>
      </c>
      <c r="J25" t="s">
        <v>33</v>
      </c>
      <c r="K25">
        <f>'Scope 3 Yearly'!BN12</f>
        <v>118.70449638331812</v>
      </c>
      <c r="L25" s="2">
        <f t="shared" si="2"/>
        <v>0.23512439768023186</v>
      </c>
    </row>
    <row r="26" spans="1:12">
      <c r="D26" t="str">
        <f>'Final Exhibits'!A10</f>
        <v>Methanol</v>
      </c>
      <c r="E26" s="26">
        <f>'Final Exhibits'!K22-'Final Exhibits'!E10</f>
        <v>82.745993171266718</v>
      </c>
      <c r="F26" s="2">
        <f t="shared" si="0"/>
        <v>0.10261920202748254</v>
      </c>
      <c r="J26" t="s">
        <v>34</v>
      </c>
      <c r="K26">
        <f>'Scope 3 Yearly'!BN15+'Scope 3 Yearly'!BN13+'Scope 3 Yearly'!BN16</f>
        <v>28.262975329361453</v>
      </c>
      <c r="L26" s="2">
        <f t="shared" si="2"/>
        <v>5.5981999447674242E-2</v>
      </c>
    </row>
    <row r="27" spans="1:12">
      <c r="A27" t="s">
        <v>1910</v>
      </c>
      <c r="D27" t="s">
        <v>35</v>
      </c>
      <c r="E27" s="26">
        <f>SUM(E20:E26)</f>
        <v>504.85826887584722</v>
      </c>
      <c r="F27" s="2">
        <f t="shared" si="0"/>
        <v>0.62611071187197831</v>
      </c>
      <c r="J27" t="s">
        <v>36</v>
      </c>
      <c r="K27" s="26">
        <f>H20-SUM(K20:K26)</f>
        <v>-13.181891287081271</v>
      </c>
      <c r="L27" s="2">
        <f t="shared" si="2"/>
        <v>-2.6110082967310794E-2</v>
      </c>
    </row>
    <row r="28" spans="1:12">
      <c r="A28" t="s">
        <v>1911</v>
      </c>
      <c r="D28" t="s">
        <v>37</v>
      </c>
      <c r="E28" s="26">
        <f>'Final Exhibits'!G24-'Job + CO2 Analysis'!BN5</f>
        <v>66.07157575188748</v>
      </c>
      <c r="F28" s="2">
        <f t="shared" si="0"/>
        <v>8.1940068884344047E-2</v>
      </c>
      <c r="K28">
        <f>SUM(K20:K27)</f>
        <v>504.85826887584722</v>
      </c>
    </row>
    <row r="29" spans="1:12">
      <c r="D29" t="s">
        <v>28</v>
      </c>
      <c r="E29" s="26">
        <f>'Final Exhibits'!H25-'Job + CO2 Analysis'!BN6</f>
        <v>0</v>
      </c>
      <c r="F29" s="2">
        <f t="shared" si="0"/>
        <v>0</v>
      </c>
    </row>
    <row r="30" spans="1:12">
      <c r="D30" t="s">
        <v>14</v>
      </c>
      <c r="E30" s="26">
        <f>K20</f>
        <v>235.41040686931393</v>
      </c>
      <c r="F30" s="2">
        <f t="shared" si="0"/>
        <v>0.2919492192436775</v>
      </c>
    </row>
    <row r="31" spans="1:12">
      <c r="E31" s="26">
        <f>SUM(E27:E30)</f>
        <v>806.34025149704871</v>
      </c>
      <c r="F31" s="2">
        <f t="shared" si="0"/>
        <v>1</v>
      </c>
    </row>
  </sheetData>
  <mergeCells count="2">
    <mergeCell ref="G2:G8"/>
    <mergeCell ref="H2:H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5673-63A0-40CE-A139-6565BC8C6929}">
  <sheetPr>
    <tabColor theme="9"/>
  </sheetPr>
  <dimension ref="A1:CK131"/>
  <sheetViews>
    <sheetView zoomScale="110" zoomScaleNormal="110" workbookViewId="0">
      <pane xSplit="3" ySplit="3" topLeftCell="N28" activePane="bottomRight" state="frozen"/>
      <selection pane="topRight" activeCell="D1" sqref="D1"/>
      <selection pane="bottomLeft" activeCell="A4" sqref="A4"/>
      <selection pane="bottomRight" activeCell="N76" sqref="N76"/>
    </sheetView>
  </sheetViews>
  <sheetFormatPr baseColWidth="10" defaultColWidth="8.83203125" defaultRowHeight="15" outlineLevelRow="2" outlineLevelCol="1"/>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5" max="35" width="16.5" bestFit="1" customWidth="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5" bestFit="1" customWidth="1" collapsed="1"/>
    <col min="67" max="68" width="8.83203125" bestFit="1" customWidth="1"/>
    <col min="69" max="69" width="27" customWidth="1"/>
    <col min="70" max="70" width="37.5" bestFit="1" customWidth="1"/>
    <col min="71" max="97" width="8.83203125" bestFit="1" customWidth="1"/>
  </cols>
  <sheetData>
    <row r="1" spans="1:89">
      <c r="D1" s="748" t="s">
        <v>64</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65</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row>
    <row r="2" spans="1:89" s="53" customFormat="1">
      <c r="A2" s="52" t="s">
        <v>151</v>
      </c>
      <c r="B2" s="52"/>
      <c r="C2" s="52"/>
      <c r="AI2"/>
    </row>
    <row r="3" spans="1:89" s="1" customFormat="1" ht="16" thickBo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row>
    <row r="4" spans="1:89" s="554" customFormat="1">
      <c r="A4" s="550" t="s">
        <v>152</v>
      </c>
      <c r="B4" s="551"/>
      <c r="C4" s="552" t="s">
        <v>153</v>
      </c>
      <c r="D4" s="553">
        <f>'Yearly Demand - BTX'!N3</f>
        <v>116.10918671199683</v>
      </c>
      <c r="E4" s="553">
        <f>'Yearly Demand - BTX'!O3</f>
        <v>118.94536560959409</v>
      </c>
      <c r="F4" s="553">
        <f>'Yearly Demand - BTX'!P3</f>
        <v>121.85082335554922</v>
      </c>
      <c r="G4" s="553">
        <f>'Yearly Demand - BTX'!Q3</f>
        <v>124.82725221223463</v>
      </c>
      <c r="H4" s="553">
        <f>'Yearly Demand - BTX'!R3</f>
        <v>127.87638577862117</v>
      </c>
      <c r="I4" s="553">
        <f>'Yearly Demand - BTX'!S3</f>
        <v>131</v>
      </c>
      <c r="J4" s="553">
        <f>'Yearly Demand - BTX'!T3</f>
        <v>133.12962399313108</v>
      </c>
      <c r="K4" s="553">
        <f>'Yearly Demand - BTX'!U3</f>
        <v>135.29386858436993</v>
      </c>
      <c r="L4" s="553">
        <f>'Yearly Demand - BTX'!V3</f>
        <v>137.49329658941417</v>
      </c>
      <c r="M4" s="553">
        <f>'Yearly Demand - BTX'!W3</f>
        <v>139.72847997347145</v>
      </c>
      <c r="N4" s="553">
        <f>'Yearly Demand - BTX'!X3</f>
        <v>142</v>
      </c>
      <c r="O4" s="553">
        <f>'Yearly Demand - BTX'!Y3</f>
        <v>143.37318371127816</v>
      </c>
      <c r="P4" s="553">
        <f>'Yearly Demand - BTX'!Z3</f>
        <v>144.75964653174591</v>
      </c>
      <c r="Q4" s="553">
        <f>'Yearly Demand - BTX'!AA3</f>
        <v>146.15951687447676</v>
      </c>
      <c r="R4" s="553">
        <f>'Yearly Demand - BTX'!AB3</f>
        <v>147.57292439433817</v>
      </c>
      <c r="S4" s="553">
        <f>'Yearly Demand - BTX'!AC3</f>
        <v>149</v>
      </c>
      <c r="T4" s="553">
        <f>'Yearly Demand - BTX'!AD3</f>
        <v>150.37440931484167</v>
      </c>
      <c r="U4" s="553">
        <f>'Yearly Demand - BTX'!AE3</f>
        <v>151.76149648850699</v>
      </c>
      <c r="V4" s="553">
        <f>'Yearly Demand - BTX'!AF3</f>
        <v>153.1613784644004</v>
      </c>
      <c r="W4" s="553">
        <f>'Yearly Demand - BTX'!AG3</f>
        <v>154.5741732646384</v>
      </c>
      <c r="X4" s="553">
        <f>'Yearly Demand - BTX'!AH3</f>
        <v>156</v>
      </c>
      <c r="Y4" s="553">
        <f>'Yearly Demand - BTX'!AI3</f>
        <v>156.5954371632547</v>
      </c>
      <c r="Z4" s="553">
        <f>'Yearly Demand - BTX'!AJ3</f>
        <v>157.19314705353111</v>
      </c>
      <c r="AA4" s="553">
        <f>'Yearly Demand - BTX'!AK3</f>
        <v>157.79313834561211</v>
      </c>
      <c r="AB4" s="553">
        <f>'Yearly Demand - BTX'!AL3</f>
        <v>158.3954197473914</v>
      </c>
      <c r="AC4" s="553">
        <f>'Yearly Demand - BTX'!AM3</f>
        <v>159</v>
      </c>
      <c r="AD4" s="553">
        <f>'Yearly Demand - BTX'!AN3</f>
        <v>159.39800247817999</v>
      </c>
      <c r="AE4" s="553">
        <f>'Yearly Demand - BTX'!AO3</f>
        <v>159.79700122033884</v>
      </c>
      <c r="AF4" s="553">
        <f>'Yearly Demand - BTX'!AP3</f>
        <v>160.19699872028491</v>
      </c>
      <c r="AG4" s="553">
        <f>'Yearly Demand - BTX'!AQ3</f>
        <v>160.597997478069</v>
      </c>
      <c r="AH4" s="553">
        <f>'Yearly Demand - BTX'!AR3</f>
        <v>161</v>
      </c>
      <c r="AJ4" s="553">
        <f>D4</f>
        <v>116.10918671199683</v>
      </c>
      <c r="AK4" s="553">
        <f t="shared" ref="AK4:BN7" si="5">E4</f>
        <v>118.94536560959409</v>
      </c>
      <c r="AL4" s="553">
        <f t="shared" si="5"/>
        <v>121.85082335554922</v>
      </c>
      <c r="AM4" s="553">
        <f t="shared" si="5"/>
        <v>124.82725221223463</v>
      </c>
      <c r="AN4" s="553">
        <f t="shared" si="5"/>
        <v>127.87638577862117</v>
      </c>
      <c r="AO4" s="553">
        <f t="shared" si="5"/>
        <v>131</v>
      </c>
      <c r="AP4" s="553">
        <f t="shared" si="5"/>
        <v>133.12962399313108</v>
      </c>
      <c r="AQ4" s="553">
        <f t="shared" si="5"/>
        <v>135.29386858436993</v>
      </c>
      <c r="AR4" s="553">
        <f t="shared" si="5"/>
        <v>137.49329658941417</v>
      </c>
      <c r="AS4" s="553">
        <f t="shared" si="5"/>
        <v>139.72847997347145</v>
      </c>
      <c r="AT4" s="553">
        <f t="shared" si="5"/>
        <v>142</v>
      </c>
      <c r="AU4" s="553">
        <f t="shared" si="5"/>
        <v>143.37318371127816</v>
      </c>
      <c r="AV4" s="553">
        <f t="shared" si="5"/>
        <v>144.75964653174591</v>
      </c>
      <c r="AW4" s="553">
        <f t="shared" si="5"/>
        <v>146.15951687447676</v>
      </c>
      <c r="AX4" s="553">
        <f t="shared" si="5"/>
        <v>147.57292439433817</v>
      </c>
      <c r="AY4" s="553">
        <f t="shared" si="5"/>
        <v>149</v>
      </c>
      <c r="AZ4" s="553">
        <f t="shared" si="5"/>
        <v>150.37440931484167</v>
      </c>
      <c r="BA4" s="553">
        <f t="shared" si="5"/>
        <v>151.76149648850699</v>
      </c>
      <c r="BB4" s="553">
        <f t="shared" si="5"/>
        <v>153.1613784644004</v>
      </c>
      <c r="BC4" s="553">
        <f t="shared" si="5"/>
        <v>154.5741732646384</v>
      </c>
      <c r="BD4" s="553">
        <f t="shared" si="5"/>
        <v>156</v>
      </c>
      <c r="BE4" s="553">
        <f t="shared" si="5"/>
        <v>156.5954371632547</v>
      </c>
      <c r="BF4" s="553">
        <f t="shared" si="5"/>
        <v>157.19314705353111</v>
      </c>
      <c r="BG4" s="553">
        <f t="shared" si="5"/>
        <v>157.79313834561211</v>
      </c>
      <c r="BH4" s="553">
        <f t="shared" si="5"/>
        <v>158.3954197473914</v>
      </c>
      <c r="BI4" s="553">
        <f t="shared" si="5"/>
        <v>159</v>
      </c>
      <c r="BJ4" s="553">
        <f t="shared" si="5"/>
        <v>159.39800247817999</v>
      </c>
      <c r="BK4" s="553">
        <f t="shared" si="5"/>
        <v>159.79700122033884</v>
      </c>
      <c r="BL4" s="553">
        <f t="shared" si="5"/>
        <v>160.19699872028491</v>
      </c>
      <c r="BM4" s="553">
        <f t="shared" si="5"/>
        <v>160.597997478069</v>
      </c>
      <c r="BN4" s="553">
        <f t="shared" si="5"/>
        <v>161</v>
      </c>
    </row>
    <row r="5" spans="1:89" s="67" customFormat="1" ht="15" customHeight="1">
      <c r="A5" s="752"/>
      <c r="B5" s="58" t="s">
        <v>7</v>
      </c>
      <c r="C5" s="59" t="s">
        <v>153</v>
      </c>
      <c r="D5" s="60">
        <f>'Yearly Demand - BTX'!N16</f>
        <v>41.944590154283411</v>
      </c>
      <c r="E5" s="60">
        <f>'Yearly Demand - BTX'!O16</f>
        <v>42.969163358460833</v>
      </c>
      <c r="F5" s="60">
        <f>'Yearly Demand - BTX'!P16</f>
        <v>44.018763633992556</v>
      </c>
      <c r="G5" s="60">
        <f>'Yearly Demand - BTX'!Q16</f>
        <v>45.094002312795148</v>
      </c>
      <c r="H5" s="60">
        <f>'Yearly Demand - BTX'!R16</f>
        <v>46.195505659683526</v>
      </c>
      <c r="I5" s="60">
        <f>'Yearly Demand - BTX'!S16</f>
        <v>47.323915237134209</v>
      </c>
      <c r="J5" s="60">
        <f>'Yearly Demand - BTX'!T16</f>
        <v>48.093244590858653</v>
      </c>
      <c r="K5" s="60">
        <f>'Yearly Demand - BTX'!U16</f>
        <v>48.875080679318295</v>
      </c>
      <c r="L5" s="60">
        <f>'Yearly Demand - BTX'!V16</f>
        <v>49.669626820393816</v>
      </c>
      <c r="M5" s="60">
        <f>'Yearly Demand - BTX'!W16</f>
        <v>50.477089637237917</v>
      </c>
      <c r="N5" s="60">
        <f>'Yearly Demand - BTX'!X16</f>
        <v>51.297679112008069</v>
      </c>
      <c r="O5" s="60">
        <f>'Yearly Demand - BTX'!Y16</f>
        <v>51.793743459775555</v>
      </c>
      <c r="P5" s="60">
        <f>'Yearly Demand - BTX'!Z16</f>
        <v>52.294604902487421</v>
      </c>
      <c r="Q5" s="60">
        <f>'Yearly Demand - BTX'!AA16</f>
        <v>52.800309829528437</v>
      </c>
      <c r="R5" s="60">
        <f>'Yearly Demand - BTX'!AB16</f>
        <v>53.31090507888301</v>
      </c>
      <c r="S5" s="60">
        <f>'Yearly Demand - BTX'!AC16</f>
        <v>53.826437941473259</v>
      </c>
      <c r="T5" s="60">
        <f>'Yearly Demand - BTX'!AD16</f>
        <v>54.322945040073982</v>
      </c>
      <c r="U5" s="60">
        <f>'Yearly Demand - BTX'!AE16</f>
        <v>54.824032031165991</v>
      </c>
      <c r="V5" s="60">
        <f>'Yearly Demand - BTX'!AF16</f>
        <v>55.329741160701658</v>
      </c>
      <c r="W5" s="60">
        <f>'Yearly Demand - BTX'!AG16</f>
        <v>55.84011506431942</v>
      </c>
      <c r="X5" s="60">
        <f>'Yearly Demand - BTX'!AH16</f>
        <v>56.355196770938441</v>
      </c>
      <c r="Y5" s="60">
        <f>'Yearly Demand - BTX'!AI16</f>
        <v>56.570299197220159</v>
      </c>
      <c r="Z5" s="60">
        <f>'Yearly Demand - BTX'!AJ16</f>
        <v>56.786222649005182</v>
      </c>
      <c r="AA5" s="60">
        <f>'Yearly Demand - BTX'!AK16</f>
        <v>57.002970260069759</v>
      </c>
      <c r="AB5" s="60">
        <f>'Yearly Demand - BTX'!AL16</f>
        <v>57.220545176151482</v>
      </c>
      <c r="AC5" s="60">
        <f>'Yearly Demand - BTX'!AM16</f>
        <v>57.438950554994953</v>
      </c>
      <c r="AD5" s="60">
        <f>'Yearly Demand - BTX'!AN16</f>
        <v>57.582729452258761</v>
      </c>
      <c r="AE5" s="60">
        <f>'Yearly Demand - BTX'!AO16</f>
        <v>57.726868251141575</v>
      </c>
      <c r="AF5" s="60">
        <f>'Yearly Demand - BTX'!AP16</f>
        <v>57.87136785253481</v>
      </c>
      <c r="AG5" s="60">
        <f>'Yearly Demand - BTX'!AQ16</f>
        <v>58.016229159584967</v>
      </c>
      <c r="AH5" s="60">
        <f>'Yearly Demand - BTX'!AR16</f>
        <v>58.161453077699292</v>
      </c>
      <c r="AJ5" s="60">
        <f>D5</f>
        <v>41.944590154283411</v>
      </c>
      <c r="AK5" s="60">
        <f t="shared" si="5"/>
        <v>42.969163358460833</v>
      </c>
      <c r="AL5" s="60">
        <f t="shared" si="5"/>
        <v>44.018763633992556</v>
      </c>
      <c r="AM5" s="60">
        <f t="shared" si="5"/>
        <v>45.094002312795148</v>
      </c>
      <c r="AN5" s="60">
        <f t="shared" si="5"/>
        <v>46.195505659683526</v>
      </c>
      <c r="AO5" s="60">
        <f t="shared" si="5"/>
        <v>47.323915237134209</v>
      </c>
      <c r="AP5" s="60">
        <f t="shared" si="5"/>
        <v>48.093244590858653</v>
      </c>
      <c r="AQ5" s="60">
        <f t="shared" si="5"/>
        <v>48.875080679318295</v>
      </c>
      <c r="AR5" s="60">
        <f t="shared" si="5"/>
        <v>49.669626820393816</v>
      </c>
      <c r="AS5" s="60">
        <f t="shared" si="5"/>
        <v>50.477089637237917</v>
      </c>
      <c r="AT5" s="60">
        <f t="shared" si="5"/>
        <v>51.297679112008069</v>
      </c>
      <c r="AU5" s="60">
        <f t="shared" si="5"/>
        <v>51.793743459775555</v>
      </c>
      <c r="AV5" s="60">
        <f t="shared" si="5"/>
        <v>52.294604902487421</v>
      </c>
      <c r="AW5" s="60">
        <f t="shared" si="5"/>
        <v>52.800309829528437</v>
      </c>
      <c r="AX5" s="60">
        <f t="shared" si="5"/>
        <v>53.31090507888301</v>
      </c>
      <c r="AY5" s="60">
        <f t="shared" si="5"/>
        <v>53.826437941473259</v>
      </c>
      <c r="AZ5" s="60">
        <f t="shared" si="5"/>
        <v>54.322945040073982</v>
      </c>
      <c r="BA5" s="60">
        <f t="shared" si="5"/>
        <v>54.824032031165991</v>
      </c>
      <c r="BB5" s="60">
        <f t="shared" si="5"/>
        <v>55.329741160701658</v>
      </c>
      <c r="BC5" s="60">
        <f t="shared" si="5"/>
        <v>55.84011506431942</v>
      </c>
      <c r="BD5" s="60">
        <f t="shared" si="5"/>
        <v>56.355196770938441</v>
      </c>
      <c r="BE5" s="60">
        <f t="shared" si="5"/>
        <v>56.570299197220159</v>
      </c>
      <c r="BF5" s="60">
        <f t="shared" si="5"/>
        <v>56.786222649005182</v>
      </c>
      <c r="BG5" s="60">
        <f t="shared" si="5"/>
        <v>57.002970260069759</v>
      </c>
      <c r="BH5" s="60">
        <f t="shared" si="5"/>
        <v>57.220545176151482</v>
      </c>
      <c r="BI5" s="60">
        <f t="shared" si="5"/>
        <v>57.438950554994953</v>
      </c>
      <c r="BJ5" s="60">
        <f t="shared" si="5"/>
        <v>57.582729452258761</v>
      </c>
      <c r="BK5" s="60">
        <f t="shared" si="5"/>
        <v>57.726868251141575</v>
      </c>
      <c r="BL5" s="60">
        <f t="shared" si="5"/>
        <v>57.87136785253481</v>
      </c>
      <c r="BM5" s="60">
        <f t="shared" si="5"/>
        <v>58.016229159584967</v>
      </c>
      <c r="BN5" s="60">
        <f t="shared" si="5"/>
        <v>58.161453077699292</v>
      </c>
      <c r="BO5" s="449">
        <f>AJ5/$AJ$4</f>
        <v>0.36125126135216951</v>
      </c>
      <c r="BY5" s="555"/>
      <c r="BZ5" s="556" t="s">
        <v>154</v>
      </c>
      <c r="CA5" s="557" t="s">
        <v>155</v>
      </c>
      <c r="CB5" s="556" t="s">
        <v>156</v>
      </c>
      <c r="CC5" s="558" t="s">
        <v>157</v>
      </c>
      <c r="CD5" s="559" t="s">
        <v>158</v>
      </c>
      <c r="CE5" s="559" t="s">
        <v>159</v>
      </c>
      <c r="CF5" s="556" t="s">
        <v>160</v>
      </c>
      <c r="CG5" s="556" t="s">
        <v>161</v>
      </c>
      <c r="CH5" s="556" t="s">
        <v>162</v>
      </c>
      <c r="CI5" s="556" t="s">
        <v>163</v>
      </c>
      <c r="CJ5" s="556" t="s">
        <v>164</v>
      </c>
    </row>
    <row r="6" spans="1:89">
      <c r="A6" s="753"/>
      <c r="B6" s="1" t="s">
        <v>8</v>
      </c>
      <c r="C6" s="54" t="s">
        <v>153</v>
      </c>
      <c r="D6" s="44">
        <f>'Yearly Demand - BTX'!N17</f>
        <v>27.181969038530035</v>
      </c>
      <c r="E6" s="44">
        <f>'Yearly Demand - BTX'!O17</f>
        <v>27.845938265818194</v>
      </c>
      <c r="F6" s="44">
        <f>'Yearly Demand - BTX'!P17</f>
        <v>28.526126153872273</v>
      </c>
      <c r="G6" s="44">
        <f>'Yearly Demand - BTX'!Q17</f>
        <v>29.222928873096301</v>
      </c>
      <c r="H6" s="44">
        <f>'Yearly Demand - BTX'!R17</f>
        <v>29.936752271079833</v>
      </c>
      <c r="I6" s="44">
        <f>'Yearly Demand - BTX'!S17</f>
        <v>30.668012108980829</v>
      </c>
      <c r="J6" s="44">
        <f>'Yearly Demand - BTX'!T17</f>
        <v>31.166571913629074</v>
      </c>
      <c r="K6" s="44">
        <f>'Yearly Demand - BTX'!U17</f>
        <v>31.673236641345937</v>
      </c>
      <c r="L6" s="44">
        <f>'Yearly Demand - BTX'!V17</f>
        <v>32.18813805120493</v>
      </c>
      <c r="M6" s="44">
        <f>'Yearly Demand - BTX'!W17</f>
        <v>32.711410044243571</v>
      </c>
      <c r="N6" s="44">
        <f>'Yearly Demand - BTX'!X17</f>
        <v>33.243188698284563</v>
      </c>
      <c r="O6" s="44">
        <f>'Yearly Demand - BTX'!Y17</f>
        <v>33.564660566111542</v>
      </c>
      <c r="P6" s="44">
        <f>'Yearly Demand - BTX'!Z17</f>
        <v>33.889241165857776</v>
      </c>
      <c r="Q6" s="44">
        <f>'Yearly Demand - BTX'!AA17</f>
        <v>34.216960559917872</v>
      </c>
      <c r="R6" s="44">
        <f>'Yearly Demand - BTX'!AB17</f>
        <v>34.547849101399052</v>
      </c>
      <c r="S6" s="44">
        <f>'Yearly Demand - BTX'!AC17</f>
        <v>34.88193743693239</v>
      </c>
      <c r="T6" s="44">
        <f>'Yearly Demand - BTX'!AD17</f>
        <v>35.20369622708705</v>
      </c>
      <c r="U6" s="44">
        <f>'Yearly Demand - BTX'!AE17</f>
        <v>35.528422992263998</v>
      </c>
      <c r="V6" s="44">
        <f>'Yearly Demand - BTX'!AF17</f>
        <v>35.856145109728452</v>
      </c>
      <c r="W6" s="44">
        <f>'Yearly Demand - BTX'!AG17</f>
        <v>36.186890209279625</v>
      </c>
      <c r="X6" s="44">
        <f>'Yearly Demand - BTX'!AH17</f>
        <v>36.520686175580224</v>
      </c>
      <c r="Y6" s="44">
        <f>'Yearly Demand - BTX'!AI17</f>
        <v>36.660082161327033</v>
      </c>
      <c r="Z6" s="44">
        <f>'Yearly Demand - BTX'!AJ17</f>
        <v>36.800010208293862</v>
      </c>
      <c r="AA6" s="44">
        <f>'Yearly Demand - BTX'!AK17</f>
        <v>36.940472347307782</v>
      </c>
      <c r="AB6" s="44">
        <f>'Yearly Demand - BTX'!AL17</f>
        <v>37.081470616947335</v>
      </c>
      <c r="AC6" s="44">
        <f>'Yearly Demand - BTX'!AM17</f>
        <v>37.223007063572155</v>
      </c>
      <c r="AD6" s="44">
        <f>'Yearly Demand - BTX'!AN17</f>
        <v>37.316182214871603</v>
      </c>
      <c r="AE6" s="44">
        <f>'Yearly Demand - BTX'!AO17</f>
        <v>37.409590598505162</v>
      </c>
      <c r="AF6" s="44">
        <f>'Yearly Demand - BTX'!AP17</f>
        <v>37.503232798290718</v>
      </c>
      <c r="AG6" s="44">
        <f>'Yearly Demand - BTX'!AQ17</f>
        <v>37.59710939950758</v>
      </c>
      <c r="AH6" s="44">
        <f>'Yearly Demand - BTX'!AR17</f>
        <v>37.691220988900099</v>
      </c>
      <c r="AI6" s="54" t="s">
        <v>165</v>
      </c>
      <c r="AJ6" s="44">
        <f>D6</f>
        <v>27.181969038530035</v>
      </c>
      <c r="AK6" s="44">
        <f t="shared" si="5"/>
        <v>27.845938265818194</v>
      </c>
      <c r="AL6" s="44">
        <f t="shared" si="5"/>
        <v>28.526126153872273</v>
      </c>
      <c r="AM6" s="44">
        <f t="shared" si="5"/>
        <v>29.222928873096301</v>
      </c>
      <c r="AN6" s="44">
        <f t="shared" si="5"/>
        <v>29.936752271079833</v>
      </c>
      <c r="AO6" s="44">
        <f t="shared" si="5"/>
        <v>30.668012108980829</v>
      </c>
      <c r="AP6" s="44">
        <f t="shared" si="5"/>
        <v>31.166571913629074</v>
      </c>
      <c r="AQ6" s="44">
        <f t="shared" si="5"/>
        <v>31.673236641345937</v>
      </c>
      <c r="AR6" s="44">
        <f t="shared" si="5"/>
        <v>32.18813805120493</v>
      </c>
      <c r="AS6" s="44">
        <f t="shared" si="5"/>
        <v>32.711410044243571</v>
      </c>
      <c r="AT6" s="44">
        <f t="shared" si="5"/>
        <v>33.243188698284563</v>
      </c>
      <c r="AU6" s="44">
        <f t="shared" si="5"/>
        <v>33.564660566111542</v>
      </c>
      <c r="AV6" s="44">
        <f t="shared" si="5"/>
        <v>33.889241165857776</v>
      </c>
      <c r="AW6" s="44">
        <f t="shared" si="5"/>
        <v>34.216960559917872</v>
      </c>
      <c r="AX6" s="44">
        <f t="shared" si="5"/>
        <v>34.547849101399052</v>
      </c>
      <c r="AY6" s="44">
        <f t="shared" si="5"/>
        <v>34.88193743693239</v>
      </c>
      <c r="AZ6" s="44">
        <f t="shared" si="5"/>
        <v>35.20369622708705</v>
      </c>
      <c r="BA6" s="44">
        <f t="shared" si="5"/>
        <v>35.528422992263998</v>
      </c>
      <c r="BB6" s="44">
        <f t="shared" si="5"/>
        <v>35.856145109728452</v>
      </c>
      <c r="BC6" s="44">
        <f t="shared" si="5"/>
        <v>36.186890209279625</v>
      </c>
      <c r="BD6" s="44">
        <f t="shared" si="5"/>
        <v>36.520686175580224</v>
      </c>
      <c r="BE6" s="44">
        <f t="shared" si="5"/>
        <v>36.660082161327033</v>
      </c>
      <c r="BF6" s="44">
        <f t="shared" si="5"/>
        <v>36.800010208293862</v>
      </c>
      <c r="BG6" s="44">
        <f t="shared" si="5"/>
        <v>36.940472347307782</v>
      </c>
      <c r="BH6" s="44">
        <f t="shared" si="5"/>
        <v>37.081470616947335</v>
      </c>
      <c r="BI6" s="44">
        <f t="shared" si="5"/>
        <v>37.223007063572155</v>
      </c>
      <c r="BJ6" s="44">
        <f t="shared" si="5"/>
        <v>37.316182214871603</v>
      </c>
      <c r="BK6" s="44">
        <f t="shared" si="5"/>
        <v>37.409590598505162</v>
      </c>
      <c r="BL6" s="44">
        <f t="shared" si="5"/>
        <v>37.503232798290718</v>
      </c>
      <c r="BM6" s="44">
        <f t="shared" si="5"/>
        <v>37.59710939950758</v>
      </c>
      <c r="BN6" s="44">
        <f t="shared" si="5"/>
        <v>37.691220988900099</v>
      </c>
      <c r="BO6" s="449">
        <f t="shared" ref="BO6:BO7" si="6">AJ6/$AJ$4</f>
        <v>0.23410696266397579</v>
      </c>
    </row>
    <row r="7" spans="1:89" s="68" customFormat="1">
      <c r="A7" s="754"/>
      <c r="B7" s="62" t="s">
        <v>166</v>
      </c>
      <c r="C7" s="283" t="s">
        <v>153</v>
      </c>
      <c r="D7" s="284">
        <f>'Yearly Demand - BTX'!N18</f>
        <v>46.982627519183382</v>
      </c>
      <c r="E7" s="284">
        <f>'Yearly Demand - BTX'!O18</f>
        <v>48.130263985315068</v>
      </c>
      <c r="F7" s="284">
        <f>'Yearly Demand - BTX'!P18</f>
        <v>49.305933567684399</v>
      </c>
      <c r="G7" s="284">
        <f>'Yearly Demand - BTX'!Q18</f>
        <v>50.510321026343171</v>
      </c>
      <c r="H7" s="284">
        <f>'Yearly Demand - BTX'!R18</f>
        <v>51.744127847857811</v>
      </c>
      <c r="I7" s="284">
        <f>'Yearly Demand - BTX'!S18</f>
        <v>53.008072653884966</v>
      </c>
      <c r="J7" s="284">
        <f>'Yearly Demand - BTX'!T18</f>
        <v>53.869807488643346</v>
      </c>
      <c r="K7" s="284">
        <f>'Yearly Demand - BTX'!U18</f>
        <v>54.745551263705693</v>
      </c>
      <c r="L7" s="284">
        <f>'Yearly Demand - BTX'!V18</f>
        <v>55.635531717815418</v>
      </c>
      <c r="M7" s="284">
        <f>'Yearly Demand - BTX'!W18</f>
        <v>56.539980291989956</v>
      </c>
      <c r="N7" s="284">
        <f>'Yearly Demand - BTX'!X18</f>
        <v>57.459132189707368</v>
      </c>
      <c r="O7" s="284">
        <f>'Yearly Demand - BTX'!Y18</f>
        <v>58.014779685391062</v>
      </c>
      <c r="P7" s="284">
        <f>'Yearly Demand - BTX'!Z18</f>
        <v>58.575800463400718</v>
      </c>
      <c r="Q7" s="284">
        <f>'Yearly Demand - BTX'!AA18</f>
        <v>59.142246485030462</v>
      </c>
      <c r="R7" s="284">
        <f>'Yearly Demand - BTX'!AB18</f>
        <v>59.714170214056111</v>
      </c>
      <c r="S7" s="284">
        <f>'Yearly Demand - BTX'!AC18</f>
        <v>60.291624621594352</v>
      </c>
      <c r="T7" s="284">
        <f>'Yearly Demand - BTX'!AD18</f>
        <v>60.847768047680631</v>
      </c>
      <c r="U7" s="284">
        <f>'Yearly Demand - BTX'!AE18</f>
        <v>61.409041465076996</v>
      </c>
      <c r="V7" s="284">
        <f>'Yearly Demand - BTX'!AF18</f>
        <v>61.97549219397029</v>
      </c>
      <c r="W7" s="284">
        <f>'Yearly Demand - BTX'!AG18</f>
        <v>62.547167991039352</v>
      </c>
      <c r="X7" s="284">
        <f>'Yearly Demand - BTX'!AH18</f>
        <v>63.124117053481328</v>
      </c>
      <c r="Y7" s="284">
        <f>'Yearly Demand - BTX'!AI18</f>
        <v>63.365055804707509</v>
      </c>
      <c r="Z7" s="284">
        <f>'Yearly Demand - BTX'!AJ18</f>
        <v>63.606914196232061</v>
      </c>
      <c r="AA7" s="284">
        <f>'Yearly Demand - BTX'!AK18</f>
        <v>63.849695738234566</v>
      </c>
      <c r="AB7" s="284">
        <f>'Yearly Demand - BTX'!AL18</f>
        <v>64.093403954292583</v>
      </c>
      <c r="AC7" s="284">
        <f>'Yearly Demand - BTX'!AM18</f>
        <v>64.338042381432885</v>
      </c>
      <c r="AD7" s="284">
        <f>'Yearly Demand - BTX'!AN18</f>
        <v>64.499090811049626</v>
      </c>
      <c r="AE7" s="284">
        <f>'Yearly Demand - BTX'!AO18</f>
        <v>64.660542370692099</v>
      </c>
      <c r="AF7" s="284">
        <f>'Yearly Demand - BTX'!AP18</f>
        <v>64.822398069459382</v>
      </c>
      <c r="AG7" s="284">
        <f>'Yearly Demand - BTX'!AQ18</f>
        <v>64.98465891897645</v>
      </c>
      <c r="AH7" s="284">
        <f>'Yearly Demand - BTX'!AR18</f>
        <v>65.147325933400609</v>
      </c>
      <c r="AJ7" s="284">
        <f>D7</f>
        <v>46.982627519183382</v>
      </c>
      <c r="AK7" s="284">
        <f t="shared" si="5"/>
        <v>48.130263985315068</v>
      </c>
      <c r="AL7" s="284">
        <f t="shared" si="5"/>
        <v>49.305933567684399</v>
      </c>
      <c r="AM7" s="284">
        <f t="shared" si="5"/>
        <v>50.510321026343171</v>
      </c>
      <c r="AN7" s="284">
        <f t="shared" si="5"/>
        <v>51.744127847857811</v>
      </c>
      <c r="AO7" s="284">
        <f t="shared" si="5"/>
        <v>53.008072653884966</v>
      </c>
      <c r="AP7" s="284">
        <f t="shared" si="5"/>
        <v>53.869807488643346</v>
      </c>
      <c r="AQ7" s="284">
        <f t="shared" si="5"/>
        <v>54.745551263705693</v>
      </c>
      <c r="AR7" s="284">
        <f t="shared" si="5"/>
        <v>55.635531717815418</v>
      </c>
      <c r="AS7" s="284">
        <f t="shared" si="5"/>
        <v>56.539980291989956</v>
      </c>
      <c r="AT7" s="284">
        <f t="shared" si="5"/>
        <v>57.459132189707368</v>
      </c>
      <c r="AU7" s="284">
        <f t="shared" si="5"/>
        <v>58.014779685391062</v>
      </c>
      <c r="AV7" s="284">
        <f t="shared" si="5"/>
        <v>58.575800463400718</v>
      </c>
      <c r="AW7" s="284">
        <f t="shared" si="5"/>
        <v>59.142246485030462</v>
      </c>
      <c r="AX7" s="284">
        <f t="shared" si="5"/>
        <v>59.714170214056111</v>
      </c>
      <c r="AY7" s="284">
        <f t="shared" si="5"/>
        <v>60.291624621594352</v>
      </c>
      <c r="AZ7" s="284">
        <f t="shared" si="5"/>
        <v>60.847768047680631</v>
      </c>
      <c r="BA7" s="284">
        <f t="shared" si="5"/>
        <v>61.409041465076996</v>
      </c>
      <c r="BB7" s="284">
        <f t="shared" si="5"/>
        <v>61.97549219397029</v>
      </c>
      <c r="BC7" s="284">
        <f t="shared" si="5"/>
        <v>62.547167991039352</v>
      </c>
      <c r="BD7" s="284">
        <f t="shared" si="5"/>
        <v>63.124117053481328</v>
      </c>
      <c r="BE7" s="284">
        <f t="shared" si="5"/>
        <v>63.365055804707509</v>
      </c>
      <c r="BF7" s="284">
        <f t="shared" si="5"/>
        <v>63.606914196232061</v>
      </c>
      <c r="BG7" s="284">
        <f t="shared" si="5"/>
        <v>63.849695738234566</v>
      </c>
      <c r="BH7" s="284">
        <f t="shared" si="5"/>
        <v>64.093403954292583</v>
      </c>
      <c r="BI7" s="284">
        <f t="shared" si="5"/>
        <v>64.338042381432885</v>
      </c>
      <c r="BJ7" s="284">
        <f t="shared" si="5"/>
        <v>64.499090811049626</v>
      </c>
      <c r="BK7" s="284">
        <f t="shared" si="5"/>
        <v>64.660542370692099</v>
      </c>
      <c r="BL7" s="284">
        <f t="shared" si="5"/>
        <v>64.822398069459382</v>
      </c>
      <c r="BM7" s="284">
        <f t="shared" si="5"/>
        <v>64.98465891897645</v>
      </c>
      <c r="BN7" s="284">
        <f t="shared" si="5"/>
        <v>65.147325933400609</v>
      </c>
      <c r="BO7" s="449">
        <f t="shared" si="6"/>
        <v>0.4046417759838547</v>
      </c>
      <c r="BY7" s="560" t="s">
        <v>67</v>
      </c>
      <c r="BZ7" s="561" t="e">
        <f>#REF!</f>
        <v>#REF!</v>
      </c>
      <c r="CB7" s="562" t="s">
        <v>167</v>
      </c>
      <c r="CC7" s="563"/>
      <c r="CD7" s="564" t="s">
        <v>167</v>
      </c>
      <c r="CE7" s="562"/>
      <c r="CF7" s="565"/>
      <c r="CG7" s="563"/>
      <c r="CI7" s="565"/>
      <c r="CJ7" s="68" t="s">
        <v>167</v>
      </c>
      <c r="CK7" s="566"/>
    </row>
    <row r="8" spans="1:89">
      <c r="C8" s="54"/>
      <c r="BY8" s="30" t="s">
        <v>168</v>
      </c>
      <c r="BZ8" s="543"/>
      <c r="CA8" s="544"/>
      <c r="CB8" s="541"/>
      <c r="CD8" s="543"/>
      <c r="CE8" s="545">
        <f>-BN10+AH17-AH21</f>
        <v>-9.9308614903502619</v>
      </c>
      <c r="CF8" s="546">
        <f>-AH30</f>
        <v>0</v>
      </c>
      <c r="CG8" s="540">
        <f>-AH39</f>
        <v>0</v>
      </c>
      <c r="CH8" s="546">
        <f>-AH55</f>
        <v>0</v>
      </c>
      <c r="CJ8" s="543"/>
    </row>
    <row r="9" spans="1:89" outlineLevel="1">
      <c r="A9" s="58" t="s">
        <v>169</v>
      </c>
      <c r="B9" s="58" t="s">
        <v>170</v>
      </c>
      <c r="C9" s="67"/>
      <c r="D9" s="60">
        <f>'Demand Breakdown - BTX'!M3</f>
        <v>7.61095133078841</v>
      </c>
      <c r="E9" s="60">
        <f>$D$9*(1+'Demand Breakdown - BTX'!$L72)^(E3-$D$3)</f>
        <v>7.6943319935740648</v>
      </c>
      <c r="F9" s="60">
        <f>$D$9*(1+'Demand Breakdown - BTX'!$L72)^(F3-$D$3)</f>
        <v>7.7786261210009213</v>
      </c>
      <c r="G9" s="60">
        <f>$D$9*(1+'Demand Breakdown - BTX'!$L72)^(G3-$D$3)</f>
        <v>7.8638437203970897</v>
      </c>
      <c r="H9" s="60">
        <f>$D$9*(1+'Demand Breakdown - BTX'!$L72)^(H3-$D$3)</f>
        <v>7.949994908724503</v>
      </c>
      <c r="I9" s="60">
        <f>$D$9*(1+'Demand Breakdown - BTX'!$L72)^(I3-$D$3)</f>
        <v>8.0370899137799832</v>
      </c>
      <c r="J9" s="60">
        <f>$D$9*(1+'Demand Breakdown - BTX'!$L72)^(J3-$D$3)</f>
        <v>8.1251390754094874</v>
      </c>
      <c r="K9" s="60">
        <f>$D$9*(1+'Demand Breakdown - BTX'!$L72)^(K3-$D$3)</f>
        <v>8.2141528467356384</v>
      </c>
      <c r="L9" s="60">
        <f>$D$9*(1+'Demand Breakdown - BTX'!$L72)^(L3-$D$3)</f>
        <v>8.3041417953987171</v>
      </c>
      <c r="M9" s="60">
        <f>$D$9*(1+'Demand Breakdown - BTX'!$L72)^(M3-$D$3)</f>
        <v>8.395116604811232</v>
      </c>
      <c r="N9" s="60">
        <f>$D$9*(1+'Demand Breakdown - BTX'!$L72)^(N3-$D$3)</f>
        <v>8.4870880754262608</v>
      </c>
      <c r="O9" s="60">
        <f>$D$9*(1+'Demand Breakdown - BTX'!$L72)^(O3-$D$3)</f>
        <v>8.5800671260196584</v>
      </c>
      <c r="P9" s="60">
        <f>$D$9*(1+'Demand Breakdown - BTX'!$L72)^(P3-$D$3)</f>
        <v>8.6740647949863359</v>
      </c>
      <c r="Q9" s="60">
        <f>$D$9*(1+'Demand Breakdown - BTX'!$L72)^(Q3-$D$3)</f>
        <v>8.7690922416507124</v>
      </c>
      <c r="R9" s="60">
        <f>$D$9*(1+'Demand Breakdown - BTX'!$L72)^(R3-$D$3)</f>
        <v>8.8651607475915668</v>
      </c>
      <c r="S9" s="60">
        <f>$D$9*(1+'Demand Breakdown - BTX'!$L72)^(S3-$D$3)</f>
        <v>8.9622817179813445</v>
      </c>
      <c r="T9" s="60">
        <f>$D$9*(1+'Demand Breakdown - BTX'!$L72)^(T3-$D$3)</f>
        <v>9.0604666829402074</v>
      </c>
      <c r="U9" s="60">
        <f>$D$9*(1+'Demand Breakdown - BTX'!$L72)^(U3-$D$3)</f>
        <v>9.1597272989048406</v>
      </c>
      <c r="V9" s="60">
        <f>$D$9*(1+'Demand Breakdown - BTX'!$L72)^(V3-$D$3)</f>
        <v>9.2600753500123272</v>
      </c>
      <c r="W9" s="60">
        <f>$D$9*(1+'Demand Breakdown - BTX'!$L72)^(W3-$D$3)</f>
        <v>9.361522749499132</v>
      </c>
      <c r="X9" s="60">
        <f>$D$9*(1+'Demand Breakdown - BTX'!$L72)^(X3-$D$3)</f>
        <v>9.464081541115446</v>
      </c>
      <c r="Y9" s="60">
        <f>$D$9*(1+'Demand Breakdown - BTX'!$L72)^(Y3-$D$3)</f>
        <v>9.5677639005549899</v>
      </c>
      <c r="Z9" s="60">
        <f>$D$9*(1+'Demand Breakdown - BTX'!$L72)^(Z3-$D$3)</f>
        <v>9.6725821369005267</v>
      </c>
      <c r="AA9" s="60">
        <f>$D$9*(1+'Demand Breakdown - BTX'!$L72)^(AA3-$D$3)</f>
        <v>9.778548694085158</v>
      </c>
      <c r="AB9" s="60">
        <f>$D$9*(1+'Demand Breakdown - BTX'!$L72)^(AB3-$D$3)</f>
        <v>9.8856761523696886</v>
      </c>
      <c r="AC9" s="60">
        <f>$D$9*(1+'Demand Breakdown - BTX'!$L72)^(AC3-$D$3)</f>
        <v>9.9939772298361174</v>
      </c>
      <c r="AD9" s="60">
        <f>$D$9*(1+'Demand Breakdown - BTX'!$L72)^(AD3-$D$3)</f>
        <v>10.103464783897531</v>
      </c>
      <c r="AE9" s="60">
        <f>$D$9*(1+'Demand Breakdown - BTX'!$L72)^(AE3-$D$3)</f>
        <v>10.214151812824523</v>
      </c>
      <c r="AF9" s="60">
        <f>$D$9*(1+'Demand Breakdown - BTX'!$L72)^(AF3-$D$3)</f>
        <v>10.326051457288337</v>
      </c>
      <c r="AG9" s="60">
        <f>$D$9*(1+'Demand Breakdown - BTX'!$L72)^(AG3-$D$3)</f>
        <v>10.439177001920912</v>
      </c>
      <c r="AH9" s="60">
        <f>$D$9*(1+'Demand Breakdown - BTX'!$L72)^(AH3-$D$3)</f>
        <v>10.553541876892041</v>
      </c>
      <c r="AJ9" s="60">
        <f t="shared" ref="AJ9:AJ15" si="7">D9</f>
        <v>7.61095133078841</v>
      </c>
      <c r="AK9" s="60">
        <f t="shared" ref="AK9:BN16" si="8">E9</f>
        <v>7.6943319935740648</v>
      </c>
      <c r="AL9" s="60">
        <f t="shared" si="8"/>
        <v>7.7786261210009213</v>
      </c>
      <c r="AM9" s="60">
        <f t="shared" si="8"/>
        <v>7.8638437203970897</v>
      </c>
      <c r="AN9" s="60">
        <f t="shared" si="8"/>
        <v>7.949994908724503</v>
      </c>
      <c r="AO9" s="60">
        <f t="shared" si="8"/>
        <v>8.0370899137799832</v>
      </c>
      <c r="AP9" s="60">
        <f t="shared" si="8"/>
        <v>8.1251390754094874</v>
      </c>
      <c r="AQ9" s="60">
        <f t="shared" si="8"/>
        <v>8.2141528467356384</v>
      </c>
      <c r="AR9" s="60">
        <f t="shared" si="8"/>
        <v>8.3041417953987171</v>
      </c>
      <c r="AS9" s="60">
        <f t="shared" si="8"/>
        <v>8.395116604811232</v>
      </c>
      <c r="AT9" s="60">
        <f t="shared" si="8"/>
        <v>8.4870880754262608</v>
      </c>
      <c r="AU9" s="60">
        <f t="shared" si="8"/>
        <v>8.5800671260196584</v>
      </c>
      <c r="AV9" s="60">
        <f t="shared" si="8"/>
        <v>8.6740647949863359</v>
      </c>
      <c r="AW9" s="60">
        <f t="shared" si="8"/>
        <v>8.7690922416507124</v>
      </c>
      <c r="AX9" s="60">
        <f t="shared" si="8"/>
        <v>8.8651607475915668</v>
      </c>
      <c r="AY9" s="60">
        <f t="shared" si="8"/>
        <v>8.9622817179813445</v>
      </c>
      <c r="AZ9" s="60">
        <f t="shared" si="8"/>
        <v>9.0604666829402074</v>
      </c>
      <c r="BA9" s="60">
        <f t="shared" si="8"/>
        <v>9.1597272989048406</v>
      </c>
      <c r="BB9" s="60">
        <f t="shared" si="8"/>
        <v>9.2600753500123272</v>
      </c>
      <c r="BC9" s="60">
        <f t="shared" si="8"/>
        <v>9.361522749499132</v>
      </c>
      <c r="BD9" s="60">
        <f t="shared" si="8"/>
        <v>9.464081541115446</v>
      </c>
      <c r="BE9" s="60">
        <f t="shared" si="8"/>
        <v>9.5677639005549899</v>
      </c>
      <c r="BF9" s="60">
        <f t="shared" si="8"/>
        <v>9.6725821369005267</v>
      </c>
      <c r="BG9" s="60">
        <f t="shared" si="8"/>
        <v>9.778548694085158</v>
      </c>
      <c r="BH9" s="60">
        <f t="shared" si="8"/>
        <v>9.8856761523696886</v>
      </c>
      <c r="BI9" s="60">
        <f t="shared" si="8"/>
        <v>9.9939772298361174</v>
      </c>
      <c r="BJ9" s="60">
        <f t="shared" si="8"/>
        <v>10.103464783897531</v>
      </c>
      <c r="BK9" s="60">
        <f t="shared" si="8"/>
        <v>10.214151812824523</v>
      </c>
      <c r="BL9" s="60">
        <f t="shared" si="8"/>
        <v>10.326051457288337</v>
      </c>
      <c r="BM9" s="60">
        <f t="shared" si="8"/>
        <v>10.439177001920912</v>
      </c>
      <c r="BN9" s="60">
        <f t="shared" si="8"/>
        <v>10.553541876892041</v>
      </c>
      <c r="BQ9" t="s">
        <v>171</v>
      </c>
      <c r="BY9" s="30" t="s">
        <v>172</v>
      </c>
      <c r="CF9" s="43">
        <f>-AH33</f>
        <v>0</v>
      </c>
      <c r="CG9" s="43">
        <f>-AH40</f>
        <v>0</v>
      </c>
      <c r="CH9" s="43">
        <f>-AH56</f>
        <v>0</v>
      </c>
    </row>
    <row r="10" spans="1:89" outlineLevel="1">
      <c r="B10" s="1" t="s">
        <v>173</v>
      </c>
      <c r="D10" s="44">
        <f>D9*('R&amp;S - Transportation'!$D$19*(D3-$D$3)/10)</f>
        <v>0</v>
      </c>
      <c r="E10" s="44">
        <f>E9*'R&amp;S - Transportation'!$B$9*'R&amp;S - Transportation'!$D$19*(E3-$D$3)/10</f>
        <v>0.1538866398714813</v>
      </c>
      <c r="F10" s="44">
        <f>F9*'R&amp;S - Transportation'!$B$9*'R&amp;S - Transportation'!$D$19*(F3-$D$3)/10</f>
        <v>0.31114504484003691</v>
      </c>
      <c r="G10" s="44">
        <f>G9*'R&amp;S - Transportation'!$B$9*'R&amp;S - Transportation'!$D$19*(G3-$D$3)/10</f>
        <v>0.47183062322382535</v>
      </c>
      <c r="H10" s="44">
        <f>H9*'R&amp;S - Transportation'!$B$9*'R&amp;S - Transportation'!$D$19*(H3-$D$3)/10</f>
        <v>0.63599959269796025</v>
      </c>
      <c r="I10" s="44">
        <f>I9*'R&amp;S - Transportation'!$B$9*'R&amp;S - Transportation'!$D$19*(I3-$D$3)/10</f>
        <v>0.80370899137799834</v>
      </c>
      <c r="J10" s="44">
        <f>J9*'R&amp;S - Transportation'!$B$9*'R&amp;S - Transportation'!$D$19*(J3-$D$3)/10</f>
        <v>0.97501668904913852</v>
      </c>
      <c r="K10" s="44">
        <f>K9*'R&amp;S - Transportation'!$B$9*'R&amp;S - Transportation'!$D$19*(K3-$D$3)/10</f>
        <v>1.1499813985429894</v>
      </c>
      <c r="L10" s="44">
        <f>L9*'R&amp;S - Transportation'!$B$9*'R&amp;S - Transportation'!$D$19*(L3-$D$3)/10</f>
        <v>1.3286626872637948</v>
      </c>
      <c r="M10" s="44">
        <f>M9*'R&amp;S - Transportation'!$B$9*'R&amp;S - Transportation'!$D$19*(M3-$D$3)/10</f>
        <v>1.5111209888660218</v>
      </c>
      <c r="N10" s="44">
        <f>N9*'R&amp;S - Transportation'!$B$9*'R&amp;S - Transportation'!$D$19*(N3-$D$3)/10</f>
        <v>1.6974176150852522</v>
      </c>
      <c r="O10" s="44">
        <f>O9*'R&amp;S - Transportation'!$B$9*('R&amp;S - Transportation'!$D$19+('R&amp;S - Transportation'!$D$20-'R&amp;S - Transportation'!$D$19)*(O3-$N$3)/10)</f>
        <v>2.1450167815049146</v>
      </c>
      <c r="P10" s="44">
        <f>P9*'R&amp;S - Transportation'!$B$9*('R&amp;S - Transportation'!$D$19+('R&amp;S - Transportation'!$D$20-'R&amp;S - Transportation'!$D$19)*(P3-$N$3)/10)</f>
        <v>2.6022194384959008</v>
      </c>
      <c r="Q10" s="44">
        <f>Q9*'R&amp;S - Transportation'!$B$9*('R&amp;S - Transportation'!$D$19+('R&amp;S - Transportation'!$D$20-'R&amp;S - Transportation'!$D$19)*(Q3-$N$3)/10)</f>
        <v>3.069182284577749</v>
      </c>
      <c r="R10" s="44">
        <f>R9*'R&amp;S - Transportation'!$B$9*('R&amp;S - Transportation'!$D$19+('R&amp;S - Transportation'!$D$20-'R&amp;S - Transportation'!$D$19)*(R3-$N$3)/10)</f>
        <v>3.5460642990366269</v>
      </c>
      <c r="S10" s="44">
        <f>S9*'R&amp;S - Transportation'!$B$9*('R&amp;S - Transportation'!$D$19+('R&amp;S - Transportation'!$D$20-'R&amp;S - Transportation'!$D$19)*(S3-$N$3)/10)</f>
        <v>4.0330267730916045</v>
      </c>
      <c r="T10" s="44">
        <f>T9*'R&amp;S - Transportation'!$B$9*('R&amp;S - Transportation'!$D$19+('R&amp;S - Transportation'!$D$20-'R&amp;S - Transportation'!$D$19)*(T3-$N$3)/10)</f>
        <v>4.5302333414701028</v>
      </c>
      <c r="U10" s="44">
        <f>U9*'R&amp;S - Transportation'!$B$9*('R&amp;S - Transportation'!$D$19+('R&amp;S - Transportation'!$D$20-'R&amp;S - Transportation'!$D$19)*(U3-$N$3)/10)</f>
        <v>5.0378500143976623</v>
      </c>
      <c r="V10" s="44">
        <f>V9*'R&amp;S - Transportation'!$B$9*('R&amp;S - Transportation'!$D$19+('R&amp;S - Transportation'!$D$20-'R&amp;S - Transportation'!$D$19)*(V3-$N$3)/10)</f>
        <v>5.5560452100073965</v>
      </c>
      <c r="W10" s="44">
        <f>W9*'R&amp;S - Transportation'!$B$9*('R&amp;S - Transportation'!$D$19+('R&amp;S - Transportation'!$D$20-'R&amp;S - Transportation'!$D$19)*(W3-$N$3)/10)</f>
        <v>6.0849897871744352</v>
      </c>
      <c r="X10" s="44">
        <f>X9*'R&amp;S - Transportation'!$B$9*('R&amp;S - Transportation'!$D$19+('R&amp;S - Transportation'!$D$20-'R&amp;S - Transportation'!$D$19)*(X3-$N$3)/10)</f>
        <v>6.6248570787808116</v>
      </c>
      <c r="Y10" s="44">
        <f>Y9*'R&amp;S - Transportation'!$B$9*('R&amp;S - Transportation'!$D$20+('R&amp;S - Transportation'!$D$21-'R&amp;S - Transportation'!$D$20)*(Y3-$X$3)/10)</f>
        <v>6.9844676474051424</v>
      </c>
      <c r="Z10" s="44">
        <f>Z9*'R&amp;S - Transportation'!$B$9*('R&amp;S - Transportation'!$D$20+('R&amp;S - Transportation'!$D$21-'R&amp;S - Transportation'!$D$20)*(Z3-$X$3)/10)</f>
        <v>7.3511624240444</v>
      </c>
      <c r="AA10" s="44">
        <f>AA9*'R&amp;S - Transportation'!$B$9*('R&amp;S - Transportation'!$D$20+('R&amp;S - Transportation'!$D$21-'R&amp;S - Transportation'!$D$20)*(AA3-$X$3)/10)</f>
        <v>7.7250534683272738</v>
      </c>
      <c r="AB10" s="44">
        <f>AB9*'R&amp;S - Transportation'!$B$9*('R&amp;S - Transportation'!$D$20+('R&amp;S - Transportation'!$D$21-'R&amp;S - Transportation'!$D$20)*(AB3-$X$3)/10)</f>
        <v>8.1062544449431435</v>
      </c>
      <c r="AC10" s="44">
        <f>AC9*'R&amp;S - Transportation'!$B$9*('R&amp;S - Transportation'!$D$20+('R&amp;S - Transportation'!$D$21-'R&amp;S - Transportation'!$D$20)*(AC3-$X$3)/10)</f>
        <v>8.4948806453607002</v>
      </c>
      <c r="AD10" s="44">
        <f>AD9*'R&amp;S - Transportation'!$B$9*('R&amp;S - Transportation'!$D$20+('R&amp;S - Transportation'!$D$21-'R&amp;S - Transportation'!$D$20)*(AD3-$X$3)/10)</f>
        <v>8.8910490098298265</v>
      </c>
      <c r="AE10" s="44">
        <f>AE9*'R&amp;S - Transportation'!$B$9*('R&amp;S - Transportation'!$D$20+('R&amp;S - Transportation'!$D$21-'R&amp;S - Transportation'!$D$20)*(AE3-$X$3)/10)</f>
        <v>9.2948781496703159</v>
      </c>
      <c r="AF10" s="44">
        <f>AF9*'R&amp;S - Transportation'!$B$9*('R&amp;S - Transportation'!$D$20+('R&amp;S - Transportation'!$D$21-'R&amp;S - Transportation'!$D$20)*(AF3-$X$3)/10)</f>
        <v>9.7064883698510354</v>
      </c>
      <c r="AG10" s="44">
        <f>AG9*'R&amp;S - Transportation'!$B$9*('R&amp;S - Transportation'!$D$20+('R&amp;S - Transportation'!$D$21-'R&amp;S - Transportation'!$D$20)*(AG3-$X$3)/10)</f>
        <v>10.126001691863285</v>
      </c>
      <c r="AH10" s="44">
        <f>AH9*'R&amp;S - Transportation'!$B$9*('R&amp;S - Transportation'!$D$20+('R&amp;S - Transportation'!$D$21-'R&amp;S - Transportation'!$D$20)*(AH3-$X$3)/10)</f>
        <v>10.553541876892041</v>
      </c>
      <c r="AJ10" s="44">
        <f t="shared" si="7"/>
        <v>0</v>
      </c>
      <c r="AK10" s="44">
        <f t="shared" si="8"/>
        <v>0.1538866398714813</v>
      </c>
      <c r="AL10" s="44">
        <f t="shared" si="8"/>
        <v>0.31114504484003691</v>
      </c>
      <c r="AM10" s="44">
        <f t="shared" si="8"/>
        <v>0.47183062322382535</v>
      </c>
      <c r="AN10" s="44">
        <f t="shared" si="8"/>
        <v>0.63599959269796025</v>
      </c>
      <c r="AO10" s="44">
        <f t="shared" si="8"/>
        <v>0.80370899137799834</v>
      </c>
      <c r="AP10" s="44">
        <f t="shared" si="8"/>
        <v>0.97501668904913852</v>
      </c>
      <c r="AQ10" s="44">
        <f t="shared" si="8"/>
        <v>1.1499813985429894</v>
      </c>
      <c r="AR10" s="44">
        <f t="shared" si="8"/>
        <v>1.3286626872637948</v>
      </c>
      <c r="AS10" s="44">
        <f t="shared" si="8"/>
        <v>1.5111209888660218</v>
      </c>
      <c r="AT10" s="44">
        <f t="shared" si="8"/>
        <v>1.6974176150852522</v>
      </c>
      <c r="AU10" s="44">
        <f t="shared" si="8"/>
        <v>2.1450167815049146</v>
      </c>
      <c r="AV10" s="44">
        <f t="shared" si="8"/>
        <v>2.6022194384959008</v>
      </c>
      <c r="AW10" s="44">
        <f t="shared" si="8"/>
        <v>3.069182284577749</v>
      </c>
      <c r="AX10" s="44">
        <f t="shared" si="8"/>
        <v>3.5460642990366269</v>
      </c>
      <c r="AY10" s="44">
        <f t="shared" si="8"/>
        <v>4.0330267730916045</v>
      </c>
      <c r="AZ10" s="44">
        <f t="shared" si="8"/>
        <v>4.5302333414701028</v>
      </c>
      <c r="BA10" s="44">
        <f t="shared" si="8"/>
        <v>5.0378500143976623</v>
      </c>
      <c r="BB10" s="44">
        <f t="shared" si="8"/>
        <v>5.5560452100073965</v>
      </c>
      <c r="BC10" s="44">
        <f t="shared" si="8"/>
        <v>6.0849897871744352</v>
      </c>
      <c r="BD10" s="44">
        <f t="shared" si="8"/>
        <v>6.6248570787808116</v>
      </c>
      <c r="BE10" s="44">
        <f t="shared" si="8"/>
        <v>6.9844676474051424</v>
      </c>
      <c r="BF10" s="44">
        <f t="shared" si="8"/>
        <v>7.3511624240444</v>
      </c>
      <c r="BG10" s="44">
        <f t="shared" si="8"/>
        <v>7.7250534683272738</v>
      </c>
      <c r="BH10" s="44">
        <f t="shared" si="8"/>
        <v>8.1062544449431435</v>
      </c>
      <c r="BI10" s="44">
        <f t="shared" si="8"/>
        <v>8.4948806453607002</v>
      </c>
      <c r="BJ10" s="44">
        <f t="shared" si="8"/>
        <v>8.8910490098298265</v>
      </c>
      <c r="BK10" s="44">
        <f t="shared" si="8"/>
        <v>9.2948781496703159</v>
      </c>
      <c r="BL10" s="44">
        <f t="shared" si="8"/>
        <v>9.7064883698510354</v>
      </c>
      <c r="BM10" s="44">
        <f t="shared" si="8"/>
        <v>10.126001691863285</v>
      </c>
      <c r="BN10" s="44">
        <f t="shared" si="8"/>
        <v>10.553541876892041</v>
      </c>
      <c r="BQ10" t="s">
        <v>174</v>
      </c>
      <c r="BR10" s="44" t="e">
        <f>#REF!-#REF!</f>
        <v>#REF!</v>
      </c>
      <c r="BY10" s="30" t="s">
        <v>175</v>
      </c>
      <c r="CA10" s="539" t="e">
        <f>#REF!-#REF!</f>
        <v>#REF!</v>
      </c>
      <c r="CC10" s="538">
        <f>65</f>
        <v>65</v>
      </c>
      <c r="CI10" s="44">
        <f>AH63</f>
        <v>1.8643304612279947</v>
      </c>
    </row>
    <row r="11" spans="1:89" outlineLevel="1">
      <c r="B11" s="1" t="s">
        <v>176</v>
      </c>
      <c r="D11" s="44">
        <f>D9-D10</f>
        <v>7.61095133078841</v>
      </c>
      <c r="E11" s="44">
        <f t="shared" ref="E11:AH11" si="9">E9-E10</f>
        <v>7.5404453537025837</v>
      </c>
      <c r="F11" s="44">
        <f t="shared" si="9"/>
        <v>7.4674810761608841</v>
      </c>
      <c r="G11" s="44">
        <f t="shared" si="9"/>
        <v>7.3920130971732645</v>
      </c>
      <c r="H11" s="44">
        <f t="shared" si="9"/>
        <v>7.313995316026543</v>
      </c>
      <c r="I11" s="44">
        <f t="shared" si="9"/>
        <v>7.2333809224019845</v>
      </c>
      <c r="J11" s="44">
        <f t="shared" si="9"/>
        <v>7.1501223863603487</v>
      </c>
      <c r="K11" s="44">
        <f t="shared" si="9"/>
        <v>7.0641714481926492</v>
      </c>
      <c r="L11" s="44">
        <f t="shared" si="9"/>
        <v>6.9754791081349223</v>
      </c>
      <c r="M11" s="44">
        <f t="shared" si="9"/>
        <v>6.88399561594521</v>
      </c>
      <c r="N11" s="44">
        <f t="shared" si="9"/>
        <v>6.789670460341009</v>
      </c>
      <c r="O11" s="44">
        <f t="shared" si="9"/>
        <v>6.4350503445147442</v>
      </c>
      <c r="P11" s="44">
        <f t="shared" si="9"/>
        <v>6.0718453564904351</v>
      </c>
      <c r="Q11" s="44">
        <f t="shared" si="9"/>
        <v>5.699909957072963</v>
      </c>
      <c r="R11" s="44">
        <f t="shared" si="9"/>
        <v>5.3190964485549399</v>
      </c>
      <c r="S11" s="44">
        <f t="shared" si="9"/>
        <v>4.92925494488974</v>
      </c>
      <c r="T11" s="44">
        <f t="shared" si="9"/>
        <v>4.5302333414701046</v>
      </c>
      <c r="U11" s="44">
        <f t="shared" si="9"/>
        <v>4.1218772845071783</v>
      </c>
      <c r="V11" s="44">
        <f t="shared" si="9"/>
        <v>3.7040301400049307</v>
      </c>
      <c r="W11" s="44">
        <f t="shared" si="9"/>
        <v>3.2765329623246968</v>
      </c>
      <c r="X11" s="44">
        <f t="shared" si="9"/>
        <v>2.8392244623346343</v>
      </c>
      <c r="Y11" s="44">
        <f t="shared" si="9"/>
        <v>2.5832962531498476</v>
      </c>
      <c r="Z11" s="44">
        <f t="shared" si="9"/>
        <v>2.3214197128561267</v>
      </c>
      <c r="AA11" s="44">
        <f t="shared" si="9"/>
        <v>2.0534952257578842</v>
      </c>
      <c r="AB11" s="44">
        <f t="shared" si="9"/>
        <v>1.779421707426545</v>
      </c>
      <c r="AC11" s="44">
        <f t="shared" si="9"/>
        <v>1.4990965844754172</v>
      </c>
      <c r="AD11" s="44">
        <f t="shared" si="9"/>
        <v>1.2124157740677042</v>
      </c>
      <c r="AE11" s="44">
        <f t="shared" si="9"/>
        <v>0.91927366315420755</v>
      </c>
      <c r="AF11" s="44">
        <f t="shared" si="9"/>
        <v>0.61956308743730126</v>
      </c>
      <c r="AG11" s="44">
        <f t="shared" si="9"/>
        <v>0.31317531005762689</v>
      </c>
      <c r="AH11" s="44">
        <f t="shared" si="9"/>
        <v>0</v>
      </c>
      <c r="AJ11" s="44">
        <f t="shared" si="7"/>
        <v>7.61095133078841</v>
      </c>
      <c r="AK11" s="44">
        <f t="shared" si="8"/>
        <v>7.5404453537025837</v>
      </c>
      <c r="AL11" s="44">
        <f t="shared" si="8"/>
        <v>7.4674810761608841</v>
      </c>
      <c r="AM11" s="44">
        <f t="shared" si="8"/>
        <v>7.3920130971732645</v>
      </c>
      <c r="AN11" s="44">
        <f t="shared" si="8"/>
        <v>7.313995316026543</v>
      </c>
      <c r="AO11" s="44">
        <f t="shared" si="8"/>
        <v>7.2333809224019845</v>
      </c>
      <c r="AP11" s="44">
        <f t="shared" si="8"/>
        <v>7.1501223863603487</v>
      </c>
      <c r="AQ11" s="44">
        <f t="shared" si="8"/>
        <v>7.0641714481926492</v>
      </c>
      <c r="AR11" s="44">
        <f t="shared" si="8"/>
        <v>6.9754791081349223</v>
      </c>
      <c r="AS11" s="44">
        <f t="shared" si="8"/>
        <v>6.88399561594521</v>
      </c>
      <c r="AT11" s="44">
        <f t="shared" si="8"/>
        <v>6.789670460341009</v>
      </c>
      <c r="AU11" s="44">
        <f t="shared" si="8"/>
        <v>6.4350503445147442</v>
      </c>
      <c r="AV11" s="44">
        <f t="shared" si="8"/>
        <v>6.0718453564904351</v>
      </c>
      <c r="AW11" s="44">
        <f t="shared" si="8"/>
        <v>5.699909957072963</v>
      </c>
      <c r="AX11" s="44">
        <f t="shared" si="8"/>
        <v>5.3190964485549399</v>
      </c>
      <c r="AY11" s="44">
        <f t="shared" si="8"/>
        <v>4.92925494488974</v>
      </c>
      <c r="AZ11" s="44">
        <f t="shared" si="8"/>
        <v>4.5302333414701046</v>
      </c>
      <c r="BA11" s="44">
        <f t="shared" si="8"/>
        <v>4.1218772845071783</v>
      </c>
      <c r="BB11" s="44">
        <f t="shared" si="8"/>
        <v>3.7040301400049307</v>
      </c>
      <c r="BC11" s="44">
        <f t="shared" si="8"/>
        <v>3.2765329623246968</v>
      </c>
      <c r="BD11" s="44">
        <f t="shared" si="8"/>
        <v>2.8392244623346343</v>
      </c>
      <c r="BE11" s="44">
        <f t="shared" si="8"/>
        <v>2.5832962531498476</v>
      </c>
      <c r="BF11" s="44">
        <f t="shared" si="8"/>
        <v>2.3214197128561267</v>
      </c>
      <c r="BG11" s="44">
        <f t="shared" si="8"/>
        <v>2.0534952257578842</v>
      </c>
      <c r="BH11" s="44">
        <f t="shared" si="8"/>
        <v>1.779421707426545</v>
      </c>
      <c r="BI11" s="44">
        <f t="shared" si="8"/>
        <v>1.4990965844754172</v>
      </c>
      <c r="BJ11" s="44">
        <f t="shared" si="8"/>
        <v>1.2124157740677042</v>
      </c>
      <c r="BK11" s="44">
        <f t="shared" si="8"/>
        <v>0.91927366315420755</v>
      </c>
      <c r="BL11" s="44">
        <f t="shared" si="8"/>
        <v>0.61956308743730126</v>
      </c>
      <c r="BM11" s="44">
        <f t="shared" si="8"/>
        <v>0.31317531005762689</v>
      </c>
      <c r="BN11" s="44">
        <f t="shared" si="8"/>
        <v>0</v>
      </c>
    </row>
    <row r="12" spans="1:89" outlineLevel="1">
      <c r="A12" s="1" t="s">
        <v>177</v>
      </c>
      <c r="C12" s="1"/>
      <c r="D12" s="66">
        <f>D4-D10</f>
        <v>116.10918671199683</v>
      </c>
      <c r="E12" s="66">
        <f t="shared" ref="E12:AH12" si="10">E4-E10</f>
        <v>118.7914789697226</v>
      </c>
      <c r="F12" s="66">
        <f t="shared" si="10"/>
        <v>121.53967831070919</v>
      </c>
      <c r="G12" s="66">
        <f t="shared" si="10"/>
        <v>124.3554215890108</v>
      </c>
      <c r="H12" s="66">
        <f t="shared" si="10"/>
        <v>127.24038618592321</v>
      </c>
      <c r="I12" s="66">
        <f t="shared" si="10"/>
        <v>130.19629100862201</v>
      </c>
      <c r="J12" s="66">
        <f t="shared" si="10"/>
        <v>132.15460730408194</v>
      </c>
      <c r="K12" s="66">
        <f t="shared" si="10"/>
        <v>134.14388718582694</v>
      </c>
      <c r="L12" s="66">
        <f t="shared" si="10"/>
        <v>136.16463390215037</v>
      </c>
      <c r="M12" s="66">
        <f t="shared" si="10"/>
        <v>138.21735898460543</v>
      </c>
      <c r="N12" s="66">
        <f t="shared" si="10"/>
        <v>140.30258238491476</v>
      </c>
      <c r="O12" s="66">
        <f t="shared" si="10"/>
        <v>141.22816692977324</v>
      </c>
      <c r="P12" s="66">
        <f t="shared" si="10"/>
        <v>142.15742709325002</v>
      </c>
      <c r="Q12" s="66">
        <f t="shared" si="10"/>
        <v>143.09033458989902</v>
      </c>
      <c r="R12" s="66">
        <f t="shared" si="10"/>
        <v>144.02686009530154</v>
      </c>
      <c r="S12" s="66">
        <f t="shared" si="10"/>
        <v>144.96697322690841</v>
      </c>
      <c r="T12" s="66">
        <f t="shared" si="10"/>
        <v>145.84417597337156</v>
      </c>
      <c r="U12" s="66">
        <f t="shared" si="10"/>
        <v>146.72364647410933</v>
      </c>
      <c r="V12" s="66">
        <f t="shared" si="10"/>
        <v>147.605333254393</v>
      </c>
      <c r="W12" s="66">
        <f t="shared" si="10"/>
        <v>148.48918347746397</v>
      </c>
      <c r="X12" s="66">
        <f t="shared" si="10"/>
        <v>149.37514292121918</v>
      </c>
      <c r="Y12" s="66">
        <f t="shared" si="10"/>
        <v>149.61096951584955</v>
      </c>
      <c r="Z12" s="66">
        <f t="shared" si="10"/>
        <v>149.84198462948672</v>
      </c>
      <c r="AA12" s="66">
        <f t="shared" si="10"/>
        <v>150.06808487728483</v>
      </c>
      <c r="AB12" s="66">
        <f t="shared" si="10"/>
        <v>150.28916530244825</v>
      </c>
      <c r="AC12" s="66">
        <f t="shared" si="10"/>
        <v>150.50511935463931</v>
      </c>
      <c r="AD12" s="66">
        <f t="shared" si="10"/>
        <v>150.50695346835016</v>
      </c>
      <c r="AE12" s="66">
        <f t="shared" si="10"/>
        <v>150.50212307066852</v>
      </c>
      <c r="AF12" s="66">
        <f t="shared" si="10"/>
        <v>150.49051035043388</v>
      </c>
      <c r="AG12" s="66">
        <f t="shared" si="10"/>
        <v>150.47199578620572</v>
      </c>
      <c r="AH12" s="66">
        <f t="shared" si="10"/>
        <v>150.44645812310796</v>
      </c>
      <c r="AJ12" s="66">
        <f t="shared" si="7"/>
        <v>116.10918671199683</v>
      </c>
      <c r="AK12" s="66">
        <f t="shared" si="8"/>
        <v>118.7914789697226</v>
      </c>
      <c r="AL12" s="66">
        <f t="shared" si="8"/>
        <v>121.53967831070919</v>
      </c>
      <c r="AM12" s="66">
        <f t="shared" si="8"/>
        <v>124.3554215890108</v>
      </c>
      <c r="AN12" s="66">
        <f t="shared" si="8"/>
        <v>127.24038618592321</v>
      </c>
      <c r="AO12" s="66">
        <f t="shared" si="8"/>
        <v>130.19629100862201</v>
      </c>
      <c r="AP12" s="66">
        <f t="shared" si="8"/>
        <v>132.15460730408194</v>
      </c>
      <c r="AQ12" s="66">
        <f t="shared" si="8"/>
        <v>134.14388718582694</v>
      </c>
      <c r="AR12" s="66">
        <f t="shared" si="8"/>
        <v>136.16463390215037</v>
      </c>
      <c r="AS12" s="66">
        <f t="shared" si="8"/>
        <v>138.21735898460543</v>
      </c>
      <c r="AT12" s="66">
        <f t="shared" si="8"/>
        <v>140.30258238491476</v>
      </c>
      <c r="AU12" s="66">
        <f t="shared" si="8"/>
        <v>141.22816692977324</v>
      </c>
      <c r="AV12" s="66">
        <f t="shared" si="8"/>
        <v>142.15742709325002</v>
      </c>
      <c r="AW12" s="66">
        <f t="shared" si="8"/>
        <v>143.09033458989902</v>
      </c>
      <c r="AX12" s="66">
        <f t="shared" si="8"/>
        <v>144.02686009530154</v>
      </c>
      <c r="AY12" s="66">
        <f t="shared" si="8"/>
        <v>144.96697322690841</v>
      </c>
      <c r="AZ12" s="66">
        <f t="shared" si="8"/>
        <v>145.84417597337156</v>
      </c>
      <c r="BA12" s="66">
        <f t="shared" si="8"/>
        <v>146.72364647410933</v>
      </c>
      <c r="BB12" s="66">
        <f t="shared" si="8"/>
        <v>147.605333254393</v>
      </c>
      <c r="BC12" s="66">
        <f t="shared" si="8"/>
        <v>148.48918347746397</v>
      </c>
      <c r="BD12" s="66">
        <f t="shared" si="8"/>
        <v>149.37514292121918</v>
      </c>
      <c r="BE12" s="66">
        <f t="shared" si="8"/>
        <v>149.61096951584955</v>
      </c>
      <c r="BF12" s="66">
        <f t="shared" si="8"/>
        <v>149.84198462948672</v>
      </c>
      <c r="BG12" s="66">
        <f t="shared" si="8"/>
        <v>150.06808487728483</v>
      </c>
      <c r="BH12" s="66">
        <f t="shared" si="8"/>
        <v>150.28916530244825</v>
      </c>
      <c r="BI12" s="66">
        <f t="shared" si="8"/>
        <v>150.50511935463931</v>
      </c>
      <c r="BJ12" s="66">
        <f t="shared" si="8"/>
        <v>150.50695346835016</v>
      </c>
      <c r="BK12" s="66">
        <f t="shared" si="8"/>
        <v>150.50212307066852</v>
      </c>
      <c r="BL12" s="66">
        <f t="shared" si="8"/>
        <v>150.49051035043388</v>
      </c>
      <c r="BM12" s="66">
        <f t="shared" si="8"/>
        <v>150.47199578620572</v>
      </c>
      <c r="BN12" s="66">
        <f t="shared" si="8"/>
        <v>150.44645812310796</v>
      </c>
      <c r="BQ12" s="1" t="s">
        <v>178</v>
      </c>
      <c r="BR12" t="s">
        <v>179</v>
      </c>
      <c r="BS12" s="44" t="e">
        <f>#REF!</f>
        <v>#REF!</v>
      </c>
    </row>
    <row r="13" spans="1:89" s="67" customFormat="1" outlineLevel="1">
      <c r="A13" s="752"/>
      <c r="B13" s="58" t="s">
        <v>7</v>
      </c>
      <c r="C13" s="59" t="s">
        <v>153</v>
      </c>
      <c r="D13" s="60">
        <f>D5</f>
        <v>41.944590154283411</v>
      </c>
      <c r="E13" s="60">
        <f t="shared" ref="E13:AH13" si="11">E5</f>
        <v>42.969163358460833</v>
      </c>
      <c r="F13" s="60">
        <f t="shared" si="11"/>
        <v>44.018763633992556</v>
      </c>
      <c r="G13" s="60">
        <f t="shared" si="11"/>
        <v>45.094002312795148</v>
      </c>
      <c r="H13" s="60">
        <f t="shared" si="11"/>
        <v>46.195505659683526</v>
      </c>
      <c r="I13" s="60">
        <f t="shared" si="11"/>
        <v>47.323915237134209</v>
      </c>
      <c r="J13" s="60">
        <f t="shared" si="11"/>
        <v>48.093244590858653</v>
      </c>
      <c r="K13" s="60">
        <f t="shared" si="11"/>
        <v>48.875080679318295</v>
      </c>
      <c r="L13" s="60">
        <f t="shared" si="11"/>
        <v>49.669626820393816</v>
      </c>
      <c r="M13" s="60">
        <f t="shared" si="11"/>
        <v>50.477089637237917</v>
      </c>
      <c r="N13" s="60">
        <f t="shared" si="11"/>
        <v>51.297679112008069</v>
      </c>
      <c r="O13" s="60">
        <f t="shared" si="11"/>
        <v>51.793743459775555</v>
      </c>
      <c r="P13" s="60">
        <f t="shared" si="11"/>
        <v>52.294604902487421</v>
      </c>
      <c r="Q13" s="60">
        <f t="shared" si="11"/>
        <v>52.800309829528437</v>
      </c>
      <c r="R13" s="60">
        <f t="shared" si="11"/>
        <v>53.31090507888301</v>
      </c>
      <c r="S13" s="60">
        <f t="shared" si="11"/>
        <v>53.826437941473259</v>
      </c>
      <c r="T13" s="60">
        <f t="shared" si="11"/>
        <v>54.322945040073982</v>
      </c>
      <c r="U13" s="60">
        <f t="shared" si="11"/>
        <v>54.824032031165991</v>
      </c>
      <c r="V13" s="60">
        <f t="shared" si="11"/>
        <v>55.329741160701658</v>
      </c>
      <c r="W13" s="60">
        <f t="shared" si="11"/>
        <v>55.84011506431942</v>
      </c>
      <c r="X13" s="60">
        <f t="shared" si="11"/>
        <v>56.355196770938441</v>
      </c>
      <c r="Y13" s="60">
        <f t="shared" si="11"/>
        <v>56.570299197220159</v>
      </c>
      <c r="Z13" s="60">
        <f t="shared" si="11"/>
        <v>56.786222649005182</v>
      </c>
      <c r="AA13" s="60">
        <f t="shared" si="11"/>
        <v>57.002970260069759</v>
      </c>
      <c r="AB13" s="60">
        <f t="shared" si="11"/>
        <v>57.220545176151482</v>
      </c>
      <c r="AC13" s="60">
        <f t="shared" si="11"/>
        <v>57.438950554994953</v>
      </c>
      <c r="AD13" s="60">
        <f t="shared" si="11"/>
        <v>57.582729452258761</v>
      </c>
      <c r="AE13" s="60">
        <f t="shared" si="11"/>
        <v>57.726868251141575</v>
      </c>
      <c r="AF13" s="60">
        <f t="shared" si="11"/>
        <v>57.87136785253481</v>
      </c>
      <c r="AG13" s="60">
        <f t="shared" si="11"/>
        <v>58.016229159584967</v>
      </c>
      <c r="AH13" s="60">
        <f t="shared" si="11"/>
        <v>58.161453077699292</v>
      </c>
      <c r="AI13" s="60"/>
      <c r="AJ13" s="60">
        <f t="shared" si="7"/>
        <v>41.944590154283411</v>
      </c>
      <c r="AK13" s="60">
        <f t="shared" si="8"/>
        <v>42.969163358460833</v>
      </c>
      <c r="AL13" s="60">
        <f t="shared" si="8"/>
        <v>44.018763633992556</v>
      </c>
      <c r="AM13" s="60">
        <f t="shared" si="8"/>
        <v>45.094002312795148</v>
      </c>
      <c r="AN13" s="60">
        <f t="shared" si="8"/>
        <v>46.195505659683526</v>
      </c>
      <c r="AO13" s="60">
        <f t="shared" si="8"/>
        <v>47.323915237134209</v>
      </c>
      <c r="AP13" s="60">
        <f t="shared" si="8"/>
        <v>48.093244590858653</v>
      </c>
      <c r="AQ13" s="60">
        <f t="shared" si="8"/>
        <v>48.875080679318295</v>
      </c>
      <c r="AR13" s="60">
        <f t="shared" si="8"/>
        <v>49.669626820393816</v>
      </c>
      <c r="AS13" s="60">
        <f t="shared" si="8"/>
        <v>50.477089637237917</v>
      </c>
      <c r="AT13" s="60">
        <f t="shared" si="8"/>
        <v>51.297679112008069</v>
      </c>
      <c r="AU13" s="60">
        <f t="shared" si="8"/>
        <v>51.793743459775555</v>
      </c>
      <c r="AV13" s="60">
        <f t="shared" si="8"/>
        <v>52.294604902487421</v>
      </c>
      <c r="AW13" s="60">
        <f t="shared" si="8"/>
        <v>52.800309829528437</v>
      </c>
      <c r="AX13" s="60">
        <f t="shared" si="8"/>
        <v>53.31090507888301</v>
      </c>
      <c r="AY13" s="60">
        <f t="shared" si="8"/>
        <v>53.826437941473259</v>
      </c>
      <c r="AZ13" s="60">
        <f t="shared" si="8"/>
        <v>54.322945040073982</v>
      </c>
      <c r="BA13" s="60">
        <f t="shared" si="8"/>
        <v>54.824032031165991</v>
      </c>
      <c r="BB13" s="60">
        <f t="shared" si="8"/>
        <v>55.329741160701658</v>
      </c>
      <c r="BC13" s="60">
        <f t="shared" si="8"/>
        <v>55.84011506431942</v>
      </c>
      <c r="BD13" s="60">
        <f t="shared" si="8"/>
        <v>56.355196770938441</v>
      </c>
      <c r="BE13" s="60">
        <f t="shared" si="8"/>
        <v>56.570299197220159</v>
      </c>
      <c r="BF13" s="60">
        <f t="shared" si="8"/>
        <v>56.786222649005182</v>
      </c>
      <c r="BG13" s="60">
        <f t="shared" si="8"/>
        <v>57.002970260069759</v>
      </c>
      <c r="BH13" s="60">
        <f t="shared" si="8"/>
        <v>57.220545176151482</v>
      </c>
      <c r="BI13" s="60">
        <f t="shared" si="8"/>
        <v>57.438950554994953</v>
      </c>
      <c r="BJ13" s="60">
        <f t="shared" si="8"/>
        <v>57.582729452258761</v>
      </c>
      <c r="BK13" s="60">
        <f t="shared" si="8"/>
        <v>57.726868251141575</v>
      </c>
      <c r="BL13" s="60">
        <f t="shared" si="8"/>
        <v>57.87136785253481</v>
      </c>
      <c r="BM13" s="60">
        <f t="shared" si="8"/>
        <v>58.016229159584967</v>
      </c>
      <c r="BN13" s="60">
        <f t="shared" si="8"/>
        <v>58.161453077699292</v>
      </c>
    </row>
    <row r="14" spans="1:89" ht="14.5" customHeight="1" outlineLevel="1">
      <c r="A14" s="753"/>
      <c r="B14" s="1" t="s">
        <v>8</v>
      </c>
      <c r="C14" s="54" t="s">
        <v>153</v>
      </c>
      <c r="D14" s="44">
        <f>D6-D10</f>
        <v>27.181969038530035</v>
      </c>
      <c r="E14" s="44">
        <f t="shared" ref="E14:AH14" si="12">E6-E10</f>
        <v>27.692051625946714</v>
      </c>
      <c r="F14" s="44">
        <f t="shared" si="12"/>
        <v>28.214981109032237</v>
      </c>
      <c r="G14" s="44">
        <f t="shared" si="12"/>
        <v>28.751098249872474</v>
      </c>
      <c r="H14" s="44">
        <f t="shared" si="12"/>
        <v>29.300752678381873</v>
      </c>
      <c r="I14" s="44">
        <f t="shared" si="12"/>
        <v>29.86430311760283</v>
      </c>
      <c r="J14" s="44">
        <f t="shared" si="12"/>
        <v>30.191555224579936</v>
      </c>
      <c r="K14" s="44">
        <f t="shared" si="12"/>
        <v>30.523255242802946</v>
      </c>
      <c r="L14" s="44">
        <f t="shared" si="12"/>
        <v>30.859475363941137</v>
      </c>
      <c r="M14" s="44">
        <f t="shared" si="12"/>
        <v>31.200289055377549</v>
      </c>
      <c r="N14" s="44">
        <f t="shared" si="12"/>
        <v>31.545771083199309</v>
      </c>
      <c r="O14" s="44">
        <f t="shared" si="12"/>
        <v>31.419643784606627</v>
      </c>
      <c r="P14" s="44">
        <f t="shared" si="12"/>
        <v>31.287021727361875</v>
      </c>
      <c r="Q14" s="44">
        <f t="shared" si="12"/>
        <v>31.147778275340123</v>
      </c>
      <c r="R14" s="44">
        <f t="shared" si="12"/>
        <v>31.001784802362426</v>
      </c>
      <c r="S14" s="44">
        <f t="shared" si="12"/>
        <v>30.848910663840783</v>
      </c>
      <c r="T14" s="44">
        <f t="shared" si="12"/>
        <v>30.673462885616949</v>
      </c>
      <c r="U14" s="44">
        <f t="shared" si="12"/>
        <v>30.490572977866336</v>
      </c>
      <c r="V14" s="44">
        <f t="shared" si="12"/>
        <v>30.300099899721054</v>
      </c>
      <c r="W14" s="44">
        <f t="shared" si="12"/>
        <v>30.101900422105189</v>
      </c>
      <c r="X14" s="44">
        <f t="shared" si="12"/>
        <v>29.89582909679941</v>
      </c>
      <c r="Y14" s="44">
        <f t="shared" si="12"/>
        <v>29.675614513921889</v>
      </c>
      <c r="Z14" s="44">
        <f t="shared" si="12"/>
        <v>29.448847784249462</v>
      </c>
      <c r="AA14" s="44">
        <f t="shared" si="12"/>
        <v>29.215418878980508</v>
      </c>
      <c r="AB14" s="44">
        <f t="shared" si="12"/>
        <v>28.975216172004192</v>
      </c>
      <c r="AC14" s="44">
        <f t="shared" si="12"/>
        <v>28.728126418211453</v>
      </c>
      <c r="AD14" s="44">
        <f t="shared" si="12"/>
        <v>28.425133205041774</v>
      </c>
      <c r="AE14" s="44">
        <f t="shared" si="12"/>
        <v>28.114712448834844</v>
      </c>
      <c r="AF14" s="44">
        <f t="shared" si="12"/>
        <v>27.796744428439681</v>
      </c>
      <c r="AG14" s="44">
        <f t="shared" si="12"/>
        <v>27.471107707644293</v>
      </c>
      <c r="AH14" s="44">
        <f t="shared" si="12"/>
        <v>27.137679112008058</v>
      </c>
      <c r="AI14" s="44"/>
      <c r="AJ14" s="44">
        <f t="shared" si="7"/>
        <v>27.181969038530035</v>
      </c>
      <c r="AK14" s="44">
        <f t="shared" si="8"/>
        <v>27.692051625946714</v>
      </c>
      <c r="AL14" s="44">
        <f t="shared" si="8"/>
        <v>28.214981109032237</v>
      </c>
      <c r="AM14" s="44">
        <f t="shared" si="8"/>
        <v>28.751098249872474</v>
      </c>
      <c r="AN14" s="44">
        <f t="shared" si="8"/>
        <v>29.300752678381873</v>
      </c>
      <c r="AO14" s="44">
        <f t="shared" si="8"/>
        <v>29.86430311760283</v>
      </c>
      <c r="AP14" s="44">
        <f t="shared" si="8"/>
        <v>30.191555224579936</v>
      </c>
      <c r="AQ14" s="44">
        <f t="shared" si="8"/>
        <v>30.523255242802946</v>
      </c>
      <c r="AR14" s="44">
        <f t="shared" si="8"/>
        <v>30.859475363941137</v>
      </c>
      <c r="AS14" s="44">
        <f t="shared" si="8"/>
        <v>31.200289055377549</v>
      </c>
      <c r="AT14" s="44">
        <f t="shared" si="8"/>
        <v>31.545771083199309</v>
      </c>
      <c r="AU14" s="44">
        <f t="shared" si="8"/>
        <v>31.419643784606627</v>
      </c>
      <c r="AV14" s="44">
        <f t="shared" si="8"/>
        <v>31.287021727361875</v>
      </c>
      <c r="AW14" s="44">
        <f t="shared" si="8"/>
        <v>31.147778275340123</v>
      </c>
      <c r="AX14" s="44">
        <f t="shared" si="8"/>
        <v>31.001784802362426</v>
      </c>
      <c r="AY14" s="44">
        <f t="shared" si="8"/>
        <v>30.848910663840783</v>
      </c>
      <c r="AZ14" s="44">
        <f t="shared" si="8"/>
        <v>30.673462885616949</v>
      </c>
      <c r="BA14" s="44">
        <f t="shared" si="8"/>
        <v>30.490572977866336</v>
      </c>
      <c r="BB14" s="44">
        <f t="shared" si="8"/>
        <v>30.300099899721054</v>
      </c>
      <c r="BC14" s="44">
        <f t="shared" si="8"/>
        <v>30.101900422105189</v>
      </c>
      <c r="BD14" s="44">
        <f t="shared" si="8"/>
        <v>29.89582909679941</v>
      </c>
      <c r="BE14" s="44">
        <f t="shared" si="8"/>
        <v>29.675614513921889</v>
      </c>
      <c r="BF14" s="44">
        <f t="shared" si="8"/>
        <v>29.448847784249462</v>
      </c>
      <c r="BG14" s="44">
        <f t="shared" si="8"/>
        <v>29.215418878980508</v>
      </c>
      <c r="BH14" s="44">
        <f t="shared" si="8"/>
        <v>28.975216172004192</v>
      </c>
      <c r="BI14" s="44">
        <f t="shared" si="8"/>
        <v>28.728126418211453</v>
      </c>
      <c r="BJ14" s="44">
        <f t="shared" si="8"/>
        <v>28.425133205041774</v>
      </c>
      <c r="BK14" s="44">
        <f t="shared" si="8"/>
        <v>28.114712448834844</v>
      </c>
      <c r="BL14" s="44">
        <f t="shared" si="8"/>
        <v>27.796744428439681</v>
      </c>
      <c r="BM14" s="44">
        <f t="shared" si="8"/>
        <v>27.471107707644293</v>
      </c>
      <c r="BN14" s="44">
        <f t="shared" si="8"/>
        <v>27.137679112008058</v>
      </c>
      <c r="BY14" s="30"/>
      <c r="BZ14" s="139" t="s">
        <v>1</v>
      </c>
      <c r="CA14" s="139" t="s">
        <v>180</v>
      </c>
      <c r="CB14" s="139" t="s">
        <v>181</v>
      </c>
      <c r="CC14" s="139" t="s">
        <v>182</v>
      </c>
      <c r="CD14" s="139" t="s">
        <v>183</v>
      </c>
      <c r="CE14" s="263" t="s">
        <v>28</v>
      </c>
      <c r="CF14" s="139" t="s">
        <v>51</v>
      </c>
      <c r="CG14" s="139" t="s">
        <v>184</v>
      </c>
    </row>
    <row r="15" spans="1:89" s="68" customFormat="1" outlineLevel="1">
      <c r="A15" s="754"/>
      <c r="B15" s="62" t="s">
        <v>166</v>
      </c>
      <c r="C15" s="283" t="s">
        <v>153</v>
      </c>
      <c r="D15" s="284">
        <f>D7</f>
        <v>46.982627519183382</v>
      </c>
      <c r="E15" s="284">
        <f t="shared" ref="E15:AH15" si="13">E7</f>
        <v>48.130263985315068</v>
      </c>
      <c r="F15" s="284">
        <f t="shared" si="13"/>
        <v>49.305933567684399</v>
      </c>
      <c r="G15" s="284">
        <f t="shared" si="13"/>
        <v>50.510321026343171</v>
      </c>
      <c r="H15" s="284">
        <f t="shared" si="13"/>
        <v>51.744127847857811</v>
      </c>
      <c r="I15" s="284">
        <f t="shared" si="13"/>
        <v>53.008072653884966</v>
      </c>
      <c r="J15" s="284">
        <f t="shared" si="13"/>
        <v>53.869807488643346</v>
      </c>
      <c r="K15" s="284">
        <f t="shared" si="13"/>
        <v>54.745551263705693</v>
      </c>
      <c r="L15" s="284">
        <f t="shared" si="13"/>
        <v>55.635531717815418</v>
      </c>
      <c r="M15" s="284">
        <f t="shared" si="13"/>
        <v>56.539980291989956</v>
      </c>
      <c r="N15" s="284">
        <f t="shared" si="13"/>
        <v>57.459132189707368</v>
      </c>
      <c r="O15" s="284">
        <f t="shared" si="13"/>
        <v>58.014779685391062</v>
      </c>
      <c r="P15" s="284">
        <f t="shared" si="13"/>
        <v>58.575800463400718</v>
      </c>
      <c r="Q15" s="284">
        <f t="shared" si="13"/>
        <v>59.142246485030462</v>
      </c>
      <c r="R15" s="284">
        <f t="shared" si="13"/>
        <v>59.714170214056111</v>
      </c>
      <c r="S15" s="284">
        <f t="shared" si="13"/>
        <v>60.291624621594352</v>
      </c>
      <c r="T15" s="284">
        <f t="shared" si="13"/>
        <v>60.847768047680631</v>
      </c>
      <c r="U15" s="284">
        <f t="shared" si="13"/>
        <v>61.409041465076996</v>
      </c>
      <c r="V15" s="284">
        <f t="shared" si="13"/>
        <v>61.97549219397029</v>
      </c>
      <c r="W15" s="284">
        <f t="shared" si="13"/>
        <v>62.547167991039352</v>
      </c>
      <c r="X15" s="284">
        <f t="shared" si="13"/>
        <v>63.124117053481328</v>
      </c>
      <c r="Y15" s="284">
        <f t="shared" si="13"/>
        <v>63.365055804707509</v>
      </c>
      <c r="Z15" s="284">
        <f t="shared" si="13"/>
        <v>63.606914196232061</v>
      </c>
      <c r="AA15" s="284">
        <f t="shared" si="13"/>
        <v>63.849695738234566</v>
      </c>
      <c r="AB15" s="284">
        <f t="shared" si="13"/>
        <v>64.093403954292583</v>
      </c>
      <c r="AC15" s="284">
        <f t="shared" si="13"/>
        <v>64.338042381432885</v>
      </c>
      <c r="AD15" s="284">
        <f t="shared" si="13"/>
        <v>64.499090811049626</v>
      </c>
      <c r="AE15" s="284">
        <f t="shared" si="13"/>
        <v>64.660542370692099</v>
      </c>
      <c r="AF15" s="284">
        <f t="shared" si="13"/>
        <v>64.822398069459382</v>
      </c>
      <c r="AG15" s="284">
        <f t="shared" si="13"/>
        <v>64.98465891897645</v>
      </c>
      <c r="AH15" s="284">
        <f t="shared" si="13"/>
        <v>65.147325933400609</v>
      </c>
      <c r="AI15" s="284"/>
      <c r="AJ15" s="284">
        <f t="shared" si="7"/>
        <v>46.982627519183382</v>
      </c>
      <c r="AK15" s="284">
        <f t="shared" si="8"/>
        <v>48.130263985315068</v>
      </c>
      <c r="AL15" s="284">
        <f t="shared" si="8"/>
        <v>49.305933567684399</v>
      </c>
      <c r="AM15" s="284">
        <f t="shared" si="8"/>
        <v>50.510321026343171</v>
      </c>
      <c r="AN15" s="284">
        <f t="shared" si="8"/>
        <v>51.744127847857811</v>
      </c>
      <c r="AO15" s="284">
        <f t="shared" si="8"/>
        <v>53.008072653884966</v>
      </c>
      <c r="AP15" s="284">
        <f t="shared" si="8"/>
        <v>53.869807488643346</v>
      </c>
      <c r="AQ15" s="284">
        <f t="shared" si="8"/>
        <v>54.745551263705693</v>
      </c>
      <c r="AR15" s="284">
        <f t="shared" si="8"/>
        <v>55.635531717815418</v>
      </c>
      <c r="AS15" s="284">
        <f t="shared" si="8"/>
        <v>56.539980291989956</v>
      </c>
      <c r="AT15" s="284">
        <f t="shared" si="8"/>
        <v>57.459132189707368</v>
      </c>
      <c r="AU15" s="284">
        <f t="shared" si="8"/>
        <v>58.014779685391062</v>
      </c>
      <c r="AV15" s="284">
        <f t="shared" si="8"/>
        <v>58.575800463400718</v>
      </c>
      <c r="AW15" s="284">
        <f t="shared" si="8"/>
        <v>59.142246485030462</v>
      </c>
      <c r="AX15" s="284">
        <f t="shared" si="8"/>
        <v>59.714170214056111</v>
      </c>
      <c r="AY15" s="284">
        <f t="shared" si="8"/>
        <v>60.291624621594352</v>
      </c>
      <c r="AZ15" s="284">
        <f t="shared" si="8"/>
        <v>60.847768047680631</v>
      </c>
      <c r="BA15" s="284">
        <f t="shared" si="8"/>
        <v>61.409041465076996</v>
      </c>
      <c r="BB15" s="284">
        <f t="shared" si="8"/>
        <v>61.97549219397029</v>
      </c>
      <c r="BC15" s="284">
        <f t="shared" si="8"/>
        <v>62.547167991039352</v>
      </c>
      <c r="BD15" s="284">
        <f t="shared" si="8"/>
        <v>63.124117053481328</v>
      </c>
      <c r="BE15" s="284">
        <f t="shared" si="8"/>
        <v>63.365055804707509</v>
      </c>
      <c r="BF15" s="284">
        <f t="shared" si="8"/>
        <v>63.606914196232061</v>
      </c>
      <c r="BG15" s="284">
        <f t="shared" si="8"/>
        <v>63.849695738234566</v>
      </c>
      <c r="BH15" s="284">
        <f t="shared" si="8"/>
        <v>64.093403954292583</v>
      </c>
      <c r="BI15" s="284">
        <f t="shared" si="8"/>
        <v>64.338042381432885</v>
      </c>
      <c r="BJ15" s="284">
        <f t="shared" si="8"/>
        <v>64.499090811049626</v>
      </c>
      <c r="BK15" s="284">
        <f t="shared" si="8"/>
        <v>64.660542370692099</v>
      </c>
      <c r="BL15" s="284">
        <f t="shared" si="8"/>
        <v>64.822398069459382</v>
      </c>
      <c r="BM15" s="284">
        <f t="shared" si="8"/>
        <v>64.98465891897645</v>
      </c>
      <c r="BN15" s="284">
        <f t="shared" si="8"/>
        <v>65.147325933400609</v>
      </c>
      <c r="BY15" s="138"/>
      <c r="CA15" s="139"/>
      <c r="CB15" s="139"/>
      <c r="CC15" s="139"/>
      <c r="CD15" s="139"/>
      <c r="CE15" s="139"/>
      <c r="CF15" s="139"/>
      <c r="CG15" s="139"/>
      <c r="CI15" s="139"/>
    </row>
    <row r="16" spans="1:89" s="1" customFormat="1" ht="16" outlineLevel="1">
      <c r="A16" s="58" t="s">
        <v>185</v>
      </c>
      <c r="B16" s="58" t="s">
        <v>186</v>
      </c>
      <c r="C16" s="100" t="s">
        <v>153</v>
      </c>
      <c r="D16" s="101">
        <f>SUM('R&amp;S - Transportation'!G4:I4)</f>
        <v>4.4906157306135288</v>
      </c>
      <c r="E16" s="101">
        <f>D16*(1+'Demand Breakdown - BTX'!$L$72)</f>
        <v>4.5398120136615585</v>
      </c>
      <c r="F16" s="101">
        <f>E16*(1+'Demand Breakdown - BTX'!$L$72)</f>
        <v>4.5895472593844042</v>
      </c>
      <c r="G16" s="101">
        <f>F16*(1+'Demand Breakdown - BTX'!$L$72)</f>
        <v>4.6398273723087256</v>
      </c>
      <c r="H16" s="101">
        <f>G16*(1+'Demand Breakdown - BTX'!$L$72)</f>
        <v>4.6906583216473612</v>
      </c>
      <c r="I16" s="101">
        <f>H16*(1+'Demand Breakdown - BTX'!$L$72)</f>
        <v>4.7420461420079851</v>
      </c>
      <c r="J16" s="101">
        <f>I16*(1+'Demand Breakdown - BTX'!$L$72)</f>
        <v>4.7939969341095328</v>
      </c>
      <c r="K16" s="101">
        <f>J16*(1+'Demand Breakdown - BTX'!$L$72)</f>
        <v>4.8465168655064721</v>
      </c>
      <c r="L16" s="101">
        <f>K16*(1+'Demand Breakdown - BTX'!$L$72)</f>
        <v>4.899612171321011</v>
      </c>
      <c r="M16" s="101">
        <f>L16*(1+'Demand Breakdown - BTX'!$L$72)</f>
        <v>4.9532891549833264</v>
      </c>
      <c r="N16" s="101">
        <f>M16*(1+'Demand Breakdown - BTX'!$L$72)</f>
        <v>5.0075541889799009</v>
      </c>
      <c r="O16" s="101">
        <f>N16*(1+'Demand Breakdown - BTX'!$L$72)</f>
        <v>5.0624137156100595</v>
      </c>
      <c r="P16" s="101">
        <f>O16*(1+'Demand Breakdown - BTX'!$L$72)</f>
        <v>5.1178742477507937</v>
      </c>
      <c r="Q16" s="101">
        <f>P16*(1+'Demand Breakdown - BTX'!$L$72)</f>
        <v>5.173942369629966</v>
      </c>
      <c r="R16" s="101">
        <f>Q16*(1+'Demand Breakdown - BTX'!$L$72)</f>
        <v>5.2306247376079833</v>
      </c>
      <c r="S16" s="101">
        <f>R16*(1+'Demand Breakdown - BTX'!$L$72)</f>
        <v>5.2879280809680331</v>
      </c>
      <c r="T16" s="101">
        <f>S16*(1+'Demand Breakdown - BTX'!$L$72)</f>
        <v>5.3458592027149798</v>
      </c>
      <c r="U16" s="101">
        <f>T16*(1+'Demand Breakdown - BTX'!$L$72)</f>
        <v>5.4044249803830118</v>
      </c>
      <c r="V16" s="101">
        <f>U16*(1+'Demand Breakdown - BTX'!$L$72)</f>
        <v>5.4636323668521358</v>
      </c>
      <c r="W16" s="101">
        <f>V16*(1+'Demand Breakdown - BTX'!$L$72)</f>
        <v>5.5234883911736175</v>
      </c>
      <c r="X16" s="101">
        <f>W16*(1+'Demand Breakdown - BTX'!$L$72)</f>
        <v>5.5840001594044644</v>
      </c>
      <c r="Y16" s="101">
        <f>X16*(1+'Demand Breakdown - BTX'!$L$72)</f>
        <v>5.6451748554510512</v>
      </c>
      <c r="Z16" s="101">
        <f>Y16*(1+'Demand Breakdown - BTX'!$L$72)</f>
        <v>5.7070197419219868</v>
      </c>
      <c r="AA16" s="101">
        <f>Z16*(1+'Demand Breakdown - BTX'!$L$72)</f>
        <v>5.7695421609903237</v>
      </c>
      <c r="AB16" s="101">
        <f>AA16*(1+'Demand Breakdown - BTX'!$L$72)</f>
        <v>5.8327495352652186</v>
      </c>
      <c r="AC16" s="101">
        <f>AB16*(1+'Demand Breakdown - BTX'!$L$72)</f>
        <v>5.8966493686731347</v>
      </c>
      <c r="AD16" s="101">
        <f>AC16*(1+'Demand Breakdown - BTX'!$L$72)</f>
        <v>5.961249247348702</v>
      </c>
      <c r="AE16" s="101">
        <f>AD16*(1+'Demand Breakdown - BTX'!$L$72)</f>
        <v>6.0265568405353385</v>
      </c>
      <c r="AF16" s="101">
        <f>AE16*(1+'Demand Breakdown - BTX'!$L$72)</f>
        <v>6.0925799014957356</v>
      </c>
      <c r="AG16" s="101">
        <f>AF16*(1+'Demand Breakdown - BTX'!$L$72)</f>
        <v>6.1593262684323182</v>
      </c>
      <c r="AH16" s="101">
        <f>AG16*(1+'Demand Breakdown - BTX'!$L$72)</f>
        <v>6.2268038654177902</v>
      </c>
      <c r="AJ16" s="101">
        <f>D16</f>
        <v>4.4906157306135288</v>
      </c>
      <c r="AK16" s="101">
        <f t="shared" si="8"/>
        <v>4.5398120136615585</v>
      </c>
      <c r="AL16" s="101">
        <f t="shared" si="8"/>
        <v>4.5895472593844042</v>
      </c>
      <c r="AM16" s="101">
        <f t="shared" si="8"/>
        <v>4.6398273723087256</v>
      </c>
      <c r="AN16" s="101">
        <f t="shared" si="8"/>
        <v>4.6906583216473612</v>
      </c>
      <c r="AO16" s="101">
        <f t="shared" si="8"/>
        <v>4.7420461420079851</v>
      </c>
      <c r="AP16" s="101">
        <f t="shared" si="8"/>
        <v>4.7939969341095328</v>
      </c>
      <c r="AQ16" s="101">
        <f t="shared" si="8"/>
        <v>4.8465168655064721</v>
      </c>
      <c r="AR16" s="101">
        <f t="shared" si="8"/>
        <v>4.899612171321011</v>
      </c>
      <c r="AS16" s="101">
        <f t="shared" si="8"/>
        <v>4.9532891549833264</v>
      </c>
      <c r="AT16" s="101">
        <f t="shared" si="8"/>
        <v>5.0075541889799009</v>
      </c>
      <c r="AU16" s="101">
        <f t="shared" si="8"/>
        <v>5.0624137156100595</v>
      </c>
      <c r="AV16" s="101">
        <f t="shared" si="8"/>
        <v>5.1178742477507937</v>
      </c>
      <c r="AW16" s="101">
        <f t="shared" si="8"/>
        <v>5.173942369629966</v>
      </c>
      <c r="AX16" s="101">
        <f t="shared" si="8"/>
        <v>5.2306247376079833</v>
      </c>
      <c r="AY16" s="101">
        <f t="shared" si="8"/>
        <v>5.2879280809680331</v>
      </c>
      <c r="AZ16" s="101">
        <f t="shared" ref="AZ16:BN16" si="14">T16</f>
        <v>5.3458592027149798</v>
      </c>
      <c r="BA16" s="101">
        <f t="shared" si="14"/>
        <v>5.4044249803830118</v>
      </c>
      <c r="BB16" s="101">
        <f t="shared" si="14"/>
        <v>5.4636323668521358</v>
      </c>
      <c r="BC16" s="101">
        <f t="shared" si="14"/>
        <v>5.5234883911736175</v>
      </c>
      <c r="BD16" s="101">
        <f t="shared" si="14"/>
        <v>5.5840001594044644</v>
      </c>
      <c r="BE16" s="101">
        <f t="shared" si="14"/>
        <v>5.6451748554510512</v>
      </c>
      <c r="BF16" s="101">
        <f t="shared" si="14"/>
        <v>5.7070197419219868</v>
      </c>
      <c r="BG16" s="101">
        <f t="shared" si="14"/>
        <v>5.7695421609903237</v>
      </c>
      <c r="BH16" s="101">
        <f t="shared" si="14"/>
        <v>5.8327495352652186</v>
      </c>
      <c r="BI16" s="101">
        <f t="shared" si="14"/>
        <v>5.8966493686731347</v>
      </c>
      <c r="BJ16" s="101">
        <f t="shared" si="14"/>
        <v>5.961249247348702</v>
      </c>
      <c r="BK16" s="101">
        <f t="shared" si="14"/>
        <v>6.0265568405353385</v>
      </c>
      <c r="BL16" s="101">
        <f t="shared" si="14"/>
        <v>6.0925799014957356</v>
      </c>
      <c r="BM16" s="101">
        <f t="shared" si="14"/>
        <v>6.1593262684323182</v>
      </c>
      <c r="BN16" s="101">
        <f t="shared" si="14"/>
        <v>6.2268038654177902</v>
      </c>
      <c r="BR16" s="1" t="s">
        <v>187</v>
      </c>
      <c r="BS16" s="66">
        <f>AH9</f>
        <v>10.553541876892041</v>
      </c>
      <c r="BY16" s="30" t="s">
        <v>188</v>
      </c>
      <c r="BZ16" s="143">
        <f>D4</f>
        <v>116.10918671199683</v>
      </c>
      <c r="CA16" s="137"/>
      <c r="CB16" s="143" t="s">
        <v>167</v>
      </c>
      <c r="CC16" s="137"/>
      <c r="CD16" s="137"/>
      <c r="CE16" s="137"/>
      <c r="CF16" s="137"/>
      <c r="CG16" s="548" t="s">
        <v>167</v>
      </c>
      <c r="CI16" s="140"/>
    </row>
    <row r="17" spans="1:85" outlineLevel="1">
      <c r="B17" s="1" t="s">
        <v>189</v>
      </c>
      <c r="C17" s="54" t="s">
        <v>153</v>
      </c>
      <c r="D17" s="44">
        <v>0</v>
      </c>
      <c r="E17" s="44">
        <f>E16*('R&amp;S - Transportation'!$B$8*'R&amp;S - Transportation'!$D$19*(E3-$D$3)/10)</f>
        <v>9.0796240273231191E-3</v>
      </c>
      <c r="F17" s="44">
        <f>F16*('R&amp;S - Transportation'!$B$8*'R&amp;S - Transportation'!$D$19*(F3-$D$3)/10)</f>
        <v>1.8358189037537623E-2</v>
      </c>
      <c r="G17" s="44">
        <f>G16*('R&amp;S - Transportation'!$B$8*'R&amp;S - Transportation'!$D$19*(G3-$D$3)/10)</f>
        <v>2.7838964233852358E-2</v>
      </c>
      <c r="H17" s="44">
        <f>H16*('R&amp;S - Transportation'!$B$8*'R&amp;S - Transportation'!$D$19*(H3-$D$3)/10)</f>
        <v>3.7525266573178902E-2</v>
      </c>
      <c r="I17" s="44">
        <f>I16*('R&amp;S - Transportation'!$B$8*'R&amp;S - Transportation'!$D$19*(I3-$D$3)/10)</f>
        <v>4.7420461420079864E-2</v>
      </c>
      <c r="J17" s="44">
        <f>J16*('R&amp;S - Transportation'!$B$8*'R&amp;S - Transportation'!$D$19*(J3-$D$3)/10)</f>
        <v>5.7527963209314401E-2</v>
      </c>
      <c r="K17" s="44">
        <f>K16*('R&amp;S - Transportation'!$B$8*'R&amp;S - Transportation'!$D$19*(K3-$D$3)/10)</f>
        <v>6.7851236117090624E-2</v>
      </c>
      <c r="L17" s="44">
        <f>L16*('R&amp;S - Transportation'!$B$8*'R&amp;S - Transportation'!$D$19*(L3-$D$3)/10)</f>
        <v>7.8393794741136197E-2</v>
      </c>
      <c r="M17" s="44">
        <f>M16*('R&amp;S - Transportation'!$B$8*'R&amp;S - Transportation'!$D$19*(M3-$D$3)/10)</f>
        <v>8.9159204789699908E-2</v>
      </c>
      <c r="N17" s="44">
        <f>N16*('R&amp;S - Transportation'!$B$8*'R&amp;S - Transportation'!$D$19*(N3-$D$3)/10)</f>
        <v>0.10015108377959804</v>
      </c>
      <c r="O17" s="44">
        <f>O16*('R&amp;S - Transportation'!$B$8*('R&amp;S - Transportation'!$D$19+('R&amp;S - Transportation'!$D$20-'R&amp;S - Transportation'!$D$19)*(O3-$N$3)/10))</f>
        <v>0.1265603428902515</v>
      </c>
      <c r="P17" s="44">
        <f>P16*('R&amp;S - Transportation'!$B$8*('R&amp;S - Transportation'!$D$19+('R&amp;S - Transportation'!$D$20-'R&amp;S - Transportation'!$D$19)*(P3-$N$3)/10))</f>
        <v>0.15353622743252379</v>
      </c>
      <c r="Q17" s="44">
        <f>Q16*('R&amp;S - Transportation'!$B$8*('R&amp;S - Transportation'!$D$19+('R&amp;S - Transportation'!$D$20-'R&amp;S - Transportation'!$D$19)*(Q3-$N$3)/10))</f>
        <v>0.18108798293704878</v>
      </c>
      <c r="R17" s="44">
        <f>R16*('R&amp;S - Transportation'!$B$8*('R&amp;S - Transportation'!$D$19+('R&amp;S - Transportation'!$D$20-'R&amp;S - Transportation'!$D$19)*(R3-$N$3)/10))</f>
        <v>0.20922498950431936</v>
      </c>
      <c r="S17" s="44">
        <f>S16*('R&amp;S - Transportation'!$B$8*('R&amp;S - Transportation'!$D$19+('R&amp;S - Transportation'!$D$20-'R&amp;S - Transportation'!$D$19)*(S3-$N$3)/10))</f>
        <v>0.23795676364356147</v>
      </c>
      <c r="T17" s="44">
        <f>T16*('R&amp;S - Transportation'!$B$8*('R&amp;S - Transportation'!$D$19+('R&amp;S - Transportation'!$D$20-'R&amp;S - Transportation'!$D$19)*(T3-$N$3)/10))</f>
        <v>0.26729296013574899</v>
      </c>
      <c r="U17" s="44">
        <f>U16*('R&amp;S - Transportation'!$B$8*('R&amp;S - Transportation'!$D$19+('R&amp;S - Transportation'!$D$20-'R&amp;S - Transportation'!$D$19)*(U3-$N$3)/10))</f>
        <v>0.2972433739210657</v>
      </c>
      <c r="V17" s="44">
        <f>V16*('R&amp;S - Transportation'!$B$8*('R&amp;S - Transportation'!$D$19+('R&amp;S - Transportation'!$D$20-'R&amp;S - Transportation'!$D$19)*(V3-$N$3)/10))</f>
        <v>0.32781794201112813</v>
      </c>
      <c r="W17" s="44">
        <f>W16*('R&amp;S - Transportation'!$B$8*('R&amp;S - Transportation'!$D$19+('R&amp;S - Transportation'!$D$20-'R&amp;S - Transportation'!$D$19)*(W3-$N$3)/10))</f>
        <v>0.35902674542628504</v>
      </c>
      <c r="X17" s="44">
        <f>X16*('R&amp;S - Transportation'!$B$8*('R&amp;S - Transportation'!$D$19+('R&amp;S - Transportation'!$D$20-'R&amp;S - Transportation'!$D$19)*(X3-$N$3)/10))</f>
        <v>0.39088001115831245</v>
      </c>
      <c r="Y17" s="44">
        <f>Y16*('R&amp;S - Transportation'!$B$8*('R&amp;S - Transportation'!$D$20+('R&amp;S - Transportation'!$D$21-'R&amp;S - Transportation'!$D$20)*(Y3-$X$3)/10))</f>
        <v>0.41209776444792673</v>
      </c>
      <c r="Z17" s="44">
        <f>Z16*('R&amp;S - Transportation'!$B$8*('R&amp;S - Transportation'!$D$20+('R&amp;S - Transportation'!$D$21-'R&amp;S - Transportation'!$D$20)*(Z3-$X$3)/10))</f>
        <v>0.43373350038607106</v>
      </c>
      <c r="AA17" s="44">
        <f>AA16*('R&amp;S - Transportation'!$B$8*('R&amp;S - Transportation'!$D$20+('R&amp;S - Transportation'!$D$21-'R&amp;S - Transportation'!$D$20)*(AA3-$X$3)/10))</f>
        <v>0.45579383071823559</v>
      </c>
      <c r="AB17" s="44">
        <f>AB16*('R&amp;S - Transportation'!$B$8*('R&amp;S - Transportation'!$D$20+('R&amp;S - Transportation'!$D$21-'R&amp;S - Transportation'!$D$20)*(AB3-$X$3)/10))</f>
        <v>0.47828546189174792</v>
      </c>
      <c r="AC17" s="44">
        <f>AC16*('R&amp;S - Transportation'!$B$8*('R&amp;S - Transportation'!$D$20+('R&amp;S - Transportation'!$D$21-'R&amp;S - Transportation'!$D$20)*(AC3-$X$3)/10))</f>
        <v>0.50121519633721645</v>
      </c>
      <c r="AD17" s="44">
        <f>AD16*('R&amp;S - Transportation'!$B$8*('R&amp;S - Transportation'!$D$20+('R&amp;S - Transportation'!$D$21-'R&amp;S - Transportation'!$D$20)*(AD3-$X$3)/10))</f>
        <v>0.52458993376668583</v>
      </c>
      <c r="AE17" s="44">
        <f>AE16*('R&amp;S - Transportation'!$B$8*('R&amp;S - Transportation'!$D$20+('R&amp;S - Transportation'!$D$21-'R&amp;S - Transportation'!$D$20)*(AE3-$X$3)/10))</f>
        <v>0.54841667248871584</v>
      </c>
      <c r="AF17" s="44">
        <f>AF16*('R&amp;S - Transportation'!$B$8*('R&amp;S - Transportation'!$D$20+('R&amp;S - Transportation'!$D$21-'R&amp;S - Transportation'!$D$20)*(AF3-$X$3)/10))</f>
        <v>0.57270251074059919</v>
      </c>
      <c r="AG17" s="44">
        <f>AG16*('R&amp;S - Transportation'!$B$8*('R&amp;S - Transportation'!$D$20+('R&amp;S - Transportation'!$D$21-'R&amp;S - Transportation'!$D$20)*(AG3-$X$3)/10))</f>
        <v>0.59745464803793491</v>
      </c>
      <c r="AH17" s="44">
        <f>AH16*('R&amp;S - Transportation'!$B$8*('R&amp;S - Transportation'!$D$20+('R&amp;S - Transportation'!$D$21-'R&amp;S - Transportation'!$D$20)*(AH3-$X$3)/10))</f>
        <v>0.62268038654177904</v>
      </c>
      <c r="AJ17" s="44">
        <v>0</v>
      </c>
      <c r="AK17" s="44">
        <f>AK16*('R&amp;S - Transportation'!$B$8*'R&amp;S - Transportation'!$D$19*(AK3-$D$3)/10)</f>
        <v>9.0796240273231191E-3</v>
      </c>
      <c r="AL17" s="44">
        <f>AL16*('R&amp;S - Transportation'!$B$8*'R&amp;S - Transportation'!$D$19*(AL3-$D$3)/10)</f>
        <v>1.8358189037537623E-2</v>
      </c>
      <c r="AM17" s="44">
        <f>AM16*('R&amp;S - Transportation'!$B$8*'R&amp;S - Transportation'!$D$19*(AM3-$D$3)/10)</f>
        <v>2.7838964233852358E-2</v>
      </c>
      <c r="AN17" s="44">
        <f>AN16*('R&amp;S - Transportation'!$B$8*'R&amp;S - Transportation'!$D$19*(AN3-$D$3)/10)</f>
        <v>3.7525266573178902E-2</v>
      </c>
      <c r="AO17" s="44">
        <f>AO16*('R&amp;S - Transportation'!$B$8*'R&amp;S - Transportation'!$D$19*(AO3-$D$3)/10)</f>
        <v>4.7420461420079864E-2</v>
      </c>
      <c r="AP17" s="44">
        <f>AP16*('R&amp;S - Transportation'!$B$8*'R&amp;S - Transportation'!$D$19*(AP3-$D$3)/10)</f>
        <v>5.7527963209314401E-2</v>
      </c>
      <c r="AQ17" s="44">
        <f>AQ16*('R&amp;S - Transportation'!$B$8*'R&amp;S - Transportation'!$D$19*(AQ3-$D$3)/10)</f>
        <v>6.7851236117090624E-2</v>
      </c>
      <c r="AR17" s="44">
        <f>AR16*('R&amp;S - Transportation'!$B$8*'R&amp;S - Transportation'!$D$19*(AR3-$D$3)/10)</f>
        <v>7.8393794741136197E-2</v>
      </c>
      <c r="AS17" s="44">
        <f>AS16*('R&amp;S - Transportation'!$B$8*'R&amp;S - Transportation'!$D$19*(AS3-$D$3)/10)</f>
        <v>8.9159204789699908E-2</v>
      </c>
      <c r="AT17" s="44">
        <f>AT16*('R&amp;S - Transportation'!$B$8*'R&amp;S - Transportation'!$D$19*(AT3-$D$3)/10)</f>
        <v>0.10015108377959804</v>
      </c>
      <c r="AU17" s="44">
        <f>AU16*('R&amp;S - Transportation'!$B$8*('R&amp;S - Transportation'!$D$19+('R&amp;S - Transportation'!$D$20-'R&amp;S - Transportation'!$D$19)*(AU3-$N$3)/10))</f>
        <v>0.1265603428902515</v>
      </c>
      <c r="AV17" s="44">
        <f>AV16*('R&amp;S - Transportation'!$B$8*('R&amp;S - Transportation'!$D$19+('R&amp;S - Transportation'!$D$20-'R&amp;S - Transportation'!$D$19)*(AV3-$N$3)/10))</f>
        <v>0.15353622743252379</v>
      </c>
      <c r="AW17" s="44">
        <f>AW16*('R&amp;S - Transportation'!$B$8*('R&amp;S - Transportation'!$D$19+('R&amp;S - Transportation'!$D$20-'R&amp;S - Transportation'!$D$19)*(AW3-$N$3)/10))</f>
        <v>0.18108798293704878</v>
      </c>
      <c r="AX17" s="44">
        <f>AX16*('R&amp;S - Transportation'!$B$8*('R&amp;S - Transportation'!$D$19+('R&amp;S - Transportation'!$D$20-'R&amp;S - Transportation'!$D$19)*(AX3-$N$3)/10))</f>
        <v>0.20922498950431936</v>
      </c>
      <c r="AY17" s="44">
        <f>AY16*('R&amp;S - Transportation'!$B$8*('R&amp;S - Transportation'!$D$19+('R&amp;S - Transportation'!$D$20-'R&amp;S - Transportation'!$D$19)*(AY3-$N$3)/10))</f>
        <v>0.23795676364356147</v>
      </c>
      <c r="AZ17" s="44">
        <f>AZ16*('R&amp;S - Transportation'!$B$8*('R&amp;S - Transportation'!$D$19+('R&amp;S - Transportation'!$D$20-'R&amp;S - Transportation'!$D$19)*(AZ3-$N$3)/10))</f>
        <v>0.26729296013574899</v>
      </c>
      <c r="BA17" s="44">
        <f>BA16*('R&amp;S - Transportation'!$B$8*('R&amp;S - Transportation'!$D$19+('R&amp;S - Transportation'!$D$20-'R&amp;S - Transportation'!$D$19)*(BA3-$N$3)/10))</f>
        <v>0.2972433739210657</v>
      </c>
      <c r="BB17" s="44">
        <f>BB16*('R&amp;S - Transportation'!$B$8*('R&amp;S - Transportation'!$D$19+('R&amp;S - Transportation'!$D$20-'R&amp;S - Transportation'!$D$19)*(BB3-$N$3)/10))</f>
        <v>0.32781794201112813</v>
      </c>
      <c r="BC17" s="44">
        <f>BC16*('R&amp;S - Transportation'!$B$8*('R&amp;S - Transportation'!$D$19+('R&amp;S - Transportation'!$D$20-'R&amp;S - Transportation'!$D$19)*(BC3-$N$3)/10))</f>
        <v>0.35902674542628504</v>
      </c>
      <c r="BD17" s="44">
        <f>BD16*('R&amp;S - Transportation'!$B$8*('R&amp;S - Transportation'!$D$19+('R&amp;S - Transportation'!$D$20-'R&amp;S - Transportation'!$D$19)*(BD3-$N$3)/10))</f>
        <v>0.39088001115831245</v>
      </c>
      <c r="BE17" s="44">
        <f>BE16*('R&amp;S - Transportation'!$B$8*('R&amp;S - Transportation'!$D$20+('R&amp;S - Transportation'!$D$21-'R&amp;S - Transportation'!$D$20)*(BE3-$X$3)/10))</f>
        <v>0.41209776444792673</v>
      </c>
      <c r="BF17" s="44">
        <f>BF16*('R&amp;S - Transportation'!$B$8*('R&amp;S - Transportation'!$D$20+('R&amp;S - Transportation'!$D$21-'R&amp;S - Transportation'!$D$20)*(BF3-$X$3)/10))</f>
        <v>0.43373350038607106</v>
      </c>
      <c r="BG17" s="44">
        <f>BG16*('R&amp;S - Transportation'!$B$8*('R&amp;S - Transportation'!$D$20+('R&amp;S - Transportation'!$D$21-'R&amp;S - Transportation'!$D$20)*(BG3-$X$3)/10))</f>
        <v>0.45579383071823559</v>
      </c>
      <c r="BH17" s="44">
        <f>BH16*('R&amp;S - Transportation'!$B$8*('R&amp;S - Transportation'!$D$20+('R&amp;S - Transportation'!$D$21-'R&amp;S - Transportation'!$D$20)*(BH3-$X$3)/10))</f>
        <v>0.47828546189174792</v>
      </c>
      <c r="BI17" s="44">
        <f>BI16*('R&amp;S - Transportation'!$B$8*('R&amp;S - Transportation'!$D$20+('R&amp;S - Transportation'!$D$21-'R&amp;S - Transportation'!$D$20)*(BI3-$X$3)/10))</f>
        <v>0.50121519633721645</v>
      </c>
      <c r="BJ17" s="44">
        <f>BJ16*('R&amp;S - Transportation'!$B$8*('R&amp;S - Transportation'!$D$20+('R&amp;S - Transportation'!$D$21-'R&amp;S - Transportation'!$D$20)*(BJ3-$X$3)/10))</f>
        <v>0.52458993376668583</v>
      </c>
      <c r="BK17" s="44">
        <f>BK16*('R&amp;S - Transportation'!$B$8*('R&amp;S - Transportation'!$D$20+('R&amp;S - Transportation'!$D$21-'R&amp;S - Transportation'!$D$20)*(BK3-$X$3)/10))</f>
        <v>0.54841667248871584</v>
      </c>
      <c r="BL17" s="44">
        <f>BL16*('R&amp;S - Transportation'!$B$8*('R&amp;S - Transportation'!$D$20+('R&amp;S - Transportation'!$D$21-'R&amp;S - Transportation'!$D$20)*(BL3-$X$3)/10))</f>
        <v>0.57270251074059919</v>
      </c>
      <c r="BM17" s="44">
        <f>BM16*('R&amp;S - Transportation'!$B$8*('R&amp;S - Transportation'!$D$20+('R&amp;S - Transportation'!$D$21-'R&amp;S - Transportation'!$D$20)*(BM3-$X$3)/10))</f>
        <v>0.59745464803793491</v>
      </c>
      <c r="BN17" s="44">
        <f>BN16*('R&amp;S - Transportation'!$B$8*('R&amp;S - Transportation'!$D$20+('R&amp;S - Transportation'!$D$21-'R&amp;S - Transportation'!$D$20)*(BN3-$X$3)/10))</f>
        <v>0.62268038654177904</v>
      </c>
      <c r="BR17" t="s">
        <v>190</v>
      </c>
      <c r="BS17" s="44" t="e">
        <f>#REF!</f>
        <v>#REF!</v>
      </c>
      <c r="BY17" s="30" t="s">
        <v>183</v>
      </c>
      <c r="BZ17" s="137"/>
      <c r="CA17" s="137"/>
      <c r="CB17" s="137"/>
      <c r="CC17" s="137"/>
      <c r="CD17" s="143">
        <f>AH67</f>
        <v>0</v>
      </c>
      <c r="CE17" s="137"/>
      <c r="CF17" s="137"/>
      <c r="CG17" s="137"/>
    </row>
    <row r="18" spans="1:85" outlineLevel="1">
      <c r="B18" s="1" t="s">
        <v>191</v>
      </c>
      <c r="C18" s="54" t="s">
        <v>153</v>
      </c>
      <c r="D18" s="44">
        <f>SUM(D16:D17)</f>
        <v>4.4906157306135288</v>
      </c>
      <c r="E18" s="44">
        <f t="shared" ref="E18:AH18" si="15">SUM(E16:E17)</f>
        <v>4.5488916376888815</v>
      </c>
      <c r="F18" s="44">
        <f t="shared" si="15"/>
        <v>4.6079054484219419</v>
      </c>
      <c r="G18" s="44">
        <f t="shared" si="15"/>
        <v>4.6676663365425783</v>
      </c>
      <c r="H18" s="44">
        <f t="shared" si="15"/>
        <v>4.7281835882205403</v>
      </c>
      <c r="I18" s="44">
        <f t="shared" si="15"/>
        <v>4.7894666034280649</v>
      </c>
      <c r="J18" s="44">
        <f t="shared" si="15"/>
        <v>4.8515248973188472</v>
      </c>
      <c r="K18" s="44">
        <f t="shared" si="15"/>
        <v>4.9143681016235625</v>
      </c>
      <c r="L18" s="44">
        <f t="shared" si="15"/>
        <v>4.9780059660621472</v>
      </c>
      <c r="M18" s="44">
        <f t="shared" si="15"/>
        <v>5.0424483597730267</v>
      </c>
      <c r="N18" s="44">
        <f t="shared" si="15"/>
        <v>5.1077052727594987</v>
      </c>
      <c r="O18" s="44">
        <f>SUM(O16:O17)</f>
        <v>5.1889740585003112</v>
      </c>
      <c r="P18" s="44">
        <f t="shared" si="15"/>
        <v>5.2714104751833171</v>
      </c>
      <c r="Q18" s="44">
        <f t="shared" si="15"/>
        <v>5.3550303525670149</v>
      </c>
      <c r="R18" s="44">
        <f t="shared" si="15"/>
        <v>5.4398497271123025</v>
      </c>
      <c r="S18" s="44">
        <f t="shared" si="15"/>
        <v>5.5258848446115945</v>
      </c>
      <c r="T18" s="44">
        <f t="shared" si="15"/>
        <v>5.6131521628507288</v>
      </c>
      <c r="U18" s="44">
        <f t="shared" si="15"/>
        <v>5.7016683543040774</v>
      </c>
      <c r="V18" s="44">
        <f t="shared" si="15"/>
        <v>5.7914503088632641</v>
      </c>
      <c r="W18" s="44">
        <f t="shared" si="15"/>
        <v>5.8825151365999027</v>
      </c>
      <c r="X18" s="44">
        <f t="shared" si="15"/>
        <v>5.974880170562777</v>
      </c>
      <c r="Y18" s="44">
        <f t="shared" si="15"/>
        <v>6.0572726198989777</v>
      </c>
      <c r="Z18" s="44">
        <f t="shared" si="15"/>
        <v>6.1407532423080582</v>
      </c>
      <c r="AA18" s="44">
        <f t="shared" si="15"/>
        <v>6.2253359917085591</v>
      </c>
      <c r="AB18" s="44">
        <f t="shared" si="15"/>
        <v>6.3110349971569661</v>
      </c>
      <c r="AC18" s="44">
        <f t="shared" si="15"/>
        <v>6.3978645650103516</v>
      </c>
      <c r="AD18" s="44">
        <f t="shared" si="15"/>
        <v>6.4858391811153879</v>
      </c>
      <c r="AE18" s="44">
        <f t="shared" si="15"/>
        <v>6.5749735130240543</v>
      </c>
      <c r="AF18" s="44">
        <f t="shared" si="15"/>
        <v>6.6652824122363352</v>
      </c>
      <c r="AG18" s="44">
        <f t="shared" si="15"/>
        <v>6.7567809164702535</v>
      </c>
      <c r="AH18" s="44">
        <f t="shared" si="15"/>
        <v>6.8494842519595691</v>
      </c>
      <c r="AJ18" s="44">
        <f>SUM(AJ16:AJ17)</f>
        <v>4.4906157306135288</v>
      </c>
      <c r="AK18" s="44">
        <f t="shared" ref="AK18:AT18" si="16">SUM(AK16:AK17)</f>
        <v>4.5488916376888815</v>
      </c>
      <c r="AL18" s="44">
        <f t="shared" si="16"/>
        <v>4.6079054484219419</v>
      </c>
      <c r="AM18" s="44">
        <f t="shared" si="16"/>
        <v>4.6676663365425783</v>
      </c>
      <c r="AN18" s="44">
        <f t="shared" si="16"/>
        <v>4.7281835882205403</v>
      </c>
      <c r="AO18" s="44">
        <f t="shared" si="16"/>
        <v>4.7894666034280649</v>
      </c>
      <c r="AP18" s="44">
        <f t="shared" si="16"/>
        <v>4.8515248973188472</v>
      </c>
      <c r="AQ18" s="44">
        <f t="shared" si="16"/>
        <v>4.9143681016235625</v>
      </c>
      <c r="AR18" s="44">
        <f t="shared" si="16"/>
        <v>4.9780059660621472</v>
      </c>
      <c r="AS18" s="44">
        <f t="shared" si="16"/>
        <v>5.0424483597730267</v>
      </c>
      <c r="AT18" s="44">
        <f t="shared" si="16"/>
        <v>5.1077052727594987</v>
      </c>
      <c r="AU18" s="44">
        <f>SUM(AU16:AU17)</f>
        <v>5.1889740585003112</v>
      </c>
      <c r="AV18" s="44">
        <f t="shared" ref="AV18:BN18" si="17">SUM(AV16:AV17)</f>
        <v>5.2714104751833171</v>
      </c>
      <c r="AW18" s="44">
        <f t="shared" si="17"/>
        <v>5.3550303525670149</v>
      </c>
      <c r="AX18" s="44">
        <f t="shared" si="17"/>
        <v>5.4398497271123025</v>
      </c>
      <c r="AY18" s="44">
        <f t="shared" si="17"/>
        <v>5.5258848446115945</v>
      </c>
      <c r="AZ18" s="44">
        <f t="shared" si="17"/>
        <v>5.6131521628507288</v>
      </c>
      <c r="BA18" s="44">
        <f t="shared" si="17"/>
        <v>5.7016683543040774</v>
      </c>
      <c r="BB18" s="44">
        <f t="shared" si="17"/>
        <v>5.7914503088632641</v>
      </c>
      <c r="BC18" s="44">
        <f t="shared" si="17"/>
        <v>5.8825151365999027</v>
      </c>
      <c r="BD18" s="44">
        <f t="shared" si="17"/>
        <v>5.974880170562777</v>
      </c>
      <c r="BE18" s="44">
        <f t="shared" si="17"/>
        <v>6.0572726198989777</v>
      </c>
      <c r="BF18" s="44">
        <f t="shared" si="17"/>
        <v>6.1407532423080582</v>
      </c>
      <c r="BG18" s="44">
        <f t="shared" si="17"/>
        <v>6.2253359917085591</v>
      </c>
      <c r="BH18" s="44">
        <f t="shared" si="17"/>
        <v>6.3110349971569661</v>
      </c>
      <c r="BI18" s="44">
        <f t="shared" si="17"/>
        <v>6.3978645650103516</v>
      </c>
      <c r="BJ18" s="44">
        <f t="shared" si="17"/>
        <v>6.4858391811153879</v>
      </c>
      <c r="BK18" s="44">
        <f t="shared" si="17"/>
        <v>6.5749735130240543</v>
      </c>
      <c r="BL18" s="44">
        <f t="shared" si="17"/>
        <v>6.6652824122363352</v>
      </c>
      <c r="BM18" s="44">
        <f t="shared" si="17"/>
        <v>6.7567809164702535</v>
      </c>
      <c r="BN18" s="44">
        <f t="shared" si="17"/>
        <v>6.8494842519595691</v>
      </c>
      <c r="BR18" t="s">
        <v>192</v>
      </c>
      <c r="BS18" s="44" t="e">
        <f>#REF!</f>
        <v>#REF!</v>
      </c>
      <c r="BY18" s="30" t="s">
        <v>28</v>
      </c>
      <c r="BZ18" s="137"/>
      <c r="CA18" s="137"/>
      <c r="CB18" s="137"/>
      <c r="CC18" s="137"/>
      <c r="CD18" s="137"/>
      <c r="CE18" s="143">
        <f>AH68</f>
        <v>0</v>
      </c>
      <c r="CF18" s="137"/>
      <c r="CG18" s="137"/>
    </row>
    <row r="19" spans="1:85" outlineLevel="1">
      <c r="B19" s="61" t="s">
        <v>77</v>
      </c>
      <c r="C19" s="54" t="s">
        <v>153</v>
      </c>
      <c r="D19" s="44">
        <v>0</v>
      </c>
      <c r="E19" s="44">
        <f>E18*'R&amp;S - Transportation'!$B$15*('R&amp;S - Transportation'!$B$10*'R&amp;S - Transportation'!$B$19*(E$3-$D$3)/10)</f>
        <v>0</v>
      </c>
      <c r="F19" s="44">
        <f>F18*'R&amp;S - Transportation'!$B$15*('R&amp;S - Transportation'!$B$10*'R&amp;S - Transportation'!$B$19*(F$3-$D$3)/10)</f>
        <v>0</v>
      </c>
      <c r="G19" s="44">
        <f>G18*'R&amp;S - Transportation'!$B$15*('R&amp;S - Transportation'!$B$10*'R&amp;S - Transportation'!$B$19*(G$3-$D$3)/10)</f>
        <v>0</v>
      </c>
      <c r="H19" s="44">
        <f>H18*'R&amp;S - Transportation'!$B$15*('R&amp;S - Transportation'!$B$10*'R&amp;S - Transportation'!$B$19*(H$3-$D$3)/10)</f>
        <v>0</v>
      </c>
      <c r="I19" s="44">
        <f>I18*'R&amp;S - Transportation'!$B$15*('R&amp;S - Transportation'!$B$10*'R&amp;S - Transportation'!$B$19*(I$3-$D$3)/10)</f>
        <v>0</v>
      </c>
      <c r="J19" s="44">
        <f>J18*'R&amp;S - Transportation'!$B$15*('R&amp;S - Transportation'!$B$10*'R&amp;S - Transportation'!$B$19*(J$3-$D$3)/10)</f>
        <v>0</v>
      </c>
      <c r="K19" s="44">
        <f>K18*'R&amp;S - Transportation'!$B$15*('R&amp;S - Transportation'!$B$10*'R&amp;S - Transportation'!$B$19*(K$3-$D$3)/10)</f>
        <v>0</v>
      </c>
      <c r="L19" s="44">
        <f>L18*'R&amp;S - Transportation'!$B$15*('R&amp;S - Transportation'!$B$10*'R&amp;S - Transportation'!$B$19*(L$3-$D$3)/10)</f>
        <v>0</v>
      </c>
      <c r="M19" s="44">
        <f>M18*'R&amp;S - Transportation'!$B$15*('R&amp;S - Transportation'!$B$10*'R&amp;S - Transportation'!$B$19*(M$3-$D$3)/10)</f>
        <v>0</v>
      </c>
      <c r="N19" s="44">
        <f>N18*'R&amp;S - Transportation'!$B$15*('R&amp;S - Transportation'!$B$10*'R&amp;S - Transportation'!$B$19*(N$3-$D$3)/10)</f>
        <v>0</v>
      </c>
      <c r="O19" s="44">
        <f>O18*('R&amp;S - Transportation'!$B$15*('R&amp;S - Transportation'!$B$10*('R&amp;S - Transportation'!$B$19+('R&amp;S - Transportation'!$B$20-'R&amp;S - Transportation'!$B$19)*(O3-$N$3)/10)))</f>
        <v>0</v>
      </c>
      <c r="P19" s="44">
        <f>P18*('R&amp;S - Transportation'!$B$15*('R&amp;S - Transportation'!$B$10*('R&amp;S - Transportation'!$B$19+('R&amp;S - Transportation'!$B$20-'R&amp;S - Transportation'!$B$19)*(P3-$N$3)/10)))</f>
        <v>0</v>
      </c>
      <c r="Q19" s="44">
        <f>Q18*('R&amp;S - Transportation'!$B$15*('R&amp;S - Transportation'!$B$10*('R&amp;S - Transportation'!$B$19+('R&amp;S - Transportation'!$B$20-'R&amp;S - Transportation'!$B$19)*(Q3-$N$3)/10)))</f>
        <v>0</v>
      </c>
      <c r="R19" s="44">
        <f>R18*('R&amp;S - Transportation'!$B$15*('R&amp;S - Transportation'!$B$10*('R&amp;S - Transportation'!$B$19+('R&amp;S - Transportation'!$B$20-'R&amp;S - Transportation'!$B$19)*(R3-$N$3)/10)))</f>
        <v>0</v>
      </c>
      <c r="S19" s="44">
        <f>S18*('R&amp;S - Transportation'!$B$15*('R&amp;S - Transportation'!$B$10*('R&amp;S - Transportation'!$B$19+('R&amp;S - Transportation'!$B$20-'R&amp;S - Transportation'!$B$19)*(S3-$N$3)/10)))</f>
        <v>0</v>
      </c>
      <c r="T19" s="44">
        <f>T18*('R&amp;S - Transportation'!$B$15*('R&amp;S - Transportation'!$B$10*('R&amp;S - Transportation'!$B$19+('R&amp;S - Transportation'!$B$20-'R&amp;S - Transportation'!$B$19)*(T3-$N$3)/10)))</f>
        <v>0</v>
      </c>
      <c r="U19" s="44">
        <f>U18*('R&amp;S - Transportation'!$B$15*('R&amp;S - Transportation'!$B$10*('R&amp;S - Transportation'!$B$19+('R&amp;S - Transportation'!$B$20-'R&amp;S - Transportation'!$B$19)*(U3-$N$3)/10)))</f>
        <v>0</v>
      </c>
      <c r="V19" s="44">
        <f>V18*('R&amp;S - Transportation'!$B$15*('R&amp;S - Transportation'!$B$10*('R&amp;S - Transportation'!$B$19+('R&amp;S - Transportation'!$B$20-'R&amp;S - Transportation'!$B$19)*(V3-$N$3)/10)))</f>
        <v>0</v>
      </c>
      <c r="W19" s="44">
        <f>W18*('R&amp;S - Transportation'!$B$15*('R&amp;S - Transportation'!$B$10*('R&amp;S - Transportation'!$B$19+('R&amp;S - Transportation'!$B$20-'R&amp;S - Transportation'!$B$19)*(W3-$N$3)/10)))</f>
        <v>0</v>
      </c>
      <c r="X19" s="44">
        <f>X18*('R&amp;S - Transportation'!$B$15*('R&amp;S - Transportation'!$B$10*('R&amp;S - Transportation'!$B$19+('R&amp;S - Transportation'!$B$20-'R&amp;S - Transportation'!$B$19)*(X3-$N$3)/10)))</f>
        <v>0</v>
      </c>
      <c r="Y19" s="44">
        <f>Y18*('R&amp;S - Transportation'!$B$15*('R&amp;S - Transportation'!$B$10*('R&amp;S - Transportation'!$B$20+('R&amp;S - Transportation'!$B$21-'R&amp;S - Transportation'!$B$20)*(Y3-$X$3)/10)))</f>
        <v>0</v>
      </c>
      <c r="Z19" s="44">
        <f>Z18*('R&amp;S - Transportation'!$B$15*('R&amp;S - Transportation'!$B$10*('R&amp;S - Transportation'!$B$20+('R&amp;S - Transportation'!$B$21-'R&amp;S - Transportation'!$B$20)*(Z3-$X$3)/10)))</f>
        <v>0</v>
      </c>
      <c r="AA19" s="44">
        <f>AA18*('R&amp;S - Transportation'!$B$15*('R&amp;S - Transportation'!$B$10*('R&amp;S - Transportation'!$B$20+('R&amp;S - Transportation'!$B$21-'R&amp;S - Transportation'!$B$20)*(AA3-$X$3)/10)))</f>
        <v>0</v>
      </c>
      <c r="AB19" s="44">
        <f>AB18*('R&amp;S - Transportation'!$B$15*('R&amp;S - Transportation'!$B$10*('R&amp;S - Transportation'!$B$20+('R&amp;S - Transportation'!$B$21-'R&amp;S - Transportation'!$B$20)*(AB3-$X$3)/10)))</f>
        <v>0</v>
      </c>
      <c r="AC19" s="44">
        <f>AC18*('R&amp;S - Transportation'!$B$15*('R&amp;S - Transportation'!$B$10*('R&amp;S - Transportation'!$B$20+('R&amp;S - Transportation'!$B$21-'R&amp;S - Transportation'!$B$20)*(AC3-$X$3)/10)))</f>
        <v>0</v>
      </c>
      <c r="AD19" s="44">
        <f>AD18*('R&amp;S - Transportation'!$B$15*('R&amp;S - Transportation'!$B$10*('R&amp;S - Transportation'!$B$20+('R&amp;S - Transportation'!$B$21-'R&amp;S - Transportation'!$B$20)*(AD3-$X$3)/10)))</f>
        <v>0</v>
      </c>
      <c r="AE19" s="44">
        <f>AE18*('R&amp;S - Transportation'!$B$15*('R&amp;S - Transportation'!$B$10*('R&amp;S - Transportation'!$B$20+('R&amp;S - Transportation'!$B$21-'R&amp;S - Transportation'!$B$20)*(AE3-$X$3)/10)))</f>
        <v>0</v>
      </c>
      <c r="AF19" s="44">
        <f>AF18*('R&amp;S - Transportation'!$B$15*('R&amp;S - Transportation'!$B$10*('R&amp;S - Transportation'!$B$20+('R&amp;S - Transportation'!$B$21-'R&amp;S - Transportation'!$B$20)*(AF3-$X$3)/10)))</f>
        <v>0</v>
      </c>
      <c r="AG19" s="44">
        <f>AG18*('R&amp;S - Transportation'!$B$15*('R&amp;S - Transportation'!$B$10*('R&amp;S - Transportation'!$B$20+('R&amp;S - Transportation'!$B$21-'R&amp;S - Transportation'!$B$20)*(AG3-$X$3)/10)))</f>
        <v>0</v>
      </c>
      <c r="AH19" s="44">
        <f>AH18*('R&amp;S - Transportation'!$B$15*('R&amp;S - Transportation'!$B$10*('R&amp;S - Transportation'!$B$20+('R&amp;S - Transportation'!$B$21-'R&amp;S - Transportation'!$B$20)*(AH3-$X$3)/10)))</f>
        <v>0</v>
      </c>
      <c r="AJ19" s="44">
        <v>0</v>
      </c>
      <c r="AK19" s="44">
        <f>AK18*'R&amp;S - Transportation'!$B$16*('R&amp;S - Transportation'!$B$10*'R&amp;S - Transportation'!$B$19*(AK$3-$D$3)/10)</f>
        <v>0</v>
      </c>
      <c r="AL19" s="44">
        <f>AL18*'R&amp;S - Transportation'!$B$16*('R&amp;S - Transportation'!$B$10*'R&amp;S - Transportation'!$B$19*(AL$3-$D$3)/10)</f>
        <v>0</v>
      </c>
      <c r="AM19" s="44">
        <f>AM18*'R&amp;S - Transportation'!$B$16*('R&amp;S - Transportation'!$B$10*'R&amp;S - Transportation'!$B$19*(AM$3-$D$3)/10)</f>
        <v>0</v>
      </c>
      <c r="AN19" s="44">
        <f>AN18*'R&amp;S - Transportation'!$B$16*('R&amp;S - Transportation'!$B$10*'R&amp;S - Transportation'!$B$19*(AN$3-$D$3)/10)</f>
        <v>0</v>
      </c>
      <c r="AO19" s="44">
        <f>AO18*'R&amp;S - Transportation'!$B$16*('R&amp;S - Transportation'!$B$10*'R&amp;S - Transportation'!$B$19*(AO$3-$D$3)/10)</f>
        <v>0</v>
      </c>
      <c r="AP19" s="44">
        <f>AP18*'R&amp;S - Transportation'!$B$16*('R&amp;S - Transportation'!$B$10*'R&amp;S - Transportation'!$B$19*(AP$3-$D$3)/10)</f>
        <v>0</v>
      </c>
      <c r="AQ19" s="44">
        <f>AQ18*'R&amp;S - Transportation'!$B$16*('R&amp;S - Transportation'!$B$10*'R&amp;S - Transportation'!$B$19*(AQ$3-$D$3)/10)</f>
        <v>0</v>
      </c>
      <c r="AR19" s="44">
        <f>AR18*'R&amp;S - Transportation'!$B$16*('R&amp;S - Transportation'!$B$10*'R&amp;S - Transportation'!$B$19*(AR$3-$D$3)/10)</f>
        <v>0</v>
      </c>
      <c r="AS19" s="44">
        <f>AS18*'R&amp;S - Transportation'!$B$16*('R&amp;S - Transportation'!$B$10*'R&amp;S - Transportation'!$B$19*(AS$3-$D$3)/10)</f>
        <v>0</v>
      </c>
      <c r="AT19" s="44">
        <f>AT18*'R&amp;S - Transportation'!$B$16*('R&amp;S - Transportation'!$B$10*'R&amp;S - Transportation'!$B$19*(AT$3-$D$3)/10)</f>
        <v>0</v>
      </c>
      <c r="AU19" s="44">
        <f>AU18*('R&amp;S - Transportation'!$B$16*('R&amp;S - Transportation'!$B$10*('R&amp;S - Transportation'!$B$19+('R&amp;S - Transportation'!$B$20-'R&amp;S - Transportation'!$B$19)*(AU3-$N$3)/10)))</f>
        <v>0</v>
      </c>
      <c r="AV19" s="44">
        <f>AV18*('R&amp;S - Transportation'!$B$16*('R&amp;S - Transportation'!$B$10*('R&amp;S - Transportation'!$B$19+('R&amp;S - Transportation'!$B$20-'R&amp;S - Transportation'!$B$19)*(AV3-$N$3)/10)))</f>
        <v>0</v>
      </c>
      <c r="AW19" s="44">
        <f>AW18*('R&amp;S - Transportation'!$B$16*('R&amp;S - Transportation'!$B$10*('R&amp;S - Transportation'!$B$19+('R&amp;S - Transportation'!$B$20-'R&amp;S - Transportation'!$B$19)*(AW3-$N$3)/10)))</f>
        <v>0</v>
      </c>
      <c r="AX19" s="44">
        <f>AX18*('R&amp;S - Transportation'!$B$16*('R&amp;S - Transportation'!$B$10*('R&amp;S - Transportation'!$B$19+('R&amp;S - Transportation'!$B$20-'R&amp;S - Transportation'!$B$19)*(AX3-$N$3)/10)))</f>
        <v>0</v>
      </c>
      <c r="AY19" s="44">
        <f>AY18*('R&amp;S - Transportation'!$B$16*('R&amp;S - Transportation'!$B$10*('R&amp;S - Transportation'!$B$19+('R&amp;S - Transportation'!$B$20-'R&amp;S - Transportation'!$B$19)*(AY3-$N$3)/10)))</f>
        <v>0</v>
      </c>
      <c r="AZ19" s="44">
        <f>AZ18*('R&amp;S - Transportation'!$B$16*('R&amp;S - Transportation'!$B$10*('R&amp;S - Transportation'!$B$19+('R&amp;S - Transportation'!$B$20-'R&amp;S - Transportation'!$B$19)*(AZ3-$N$3)/10)))</f>
        <v>0</v>
      </c>
      <c r="BA19" s="44">
        <f>BA18*('R&amp;S - Transportation'!$B$16*('R&amp;S - Transportation'!$B$10*('R&amp;S - Transportation'!$B$19+('R&amp;S - Transportation'!$B$20-'R&amp;S - Transportation'!$B$19)*(BA3-$N$3)/10)))</f>
        <v>0</v>
      </c>
      <c r="BB19" s="44">
        <f>BB18*('R&amp;S - Transportation'!$B$16*('R&amp;S - Transportation'!$B$10*('R&amp;S - Transportation'!$B$19+('R&amp;S - Transportation'!$B$20-'R&amp;S - Transportation'!$B$19)*(BB3-$N$3)/10)))</f>
        <v>0</v>
      </c>
      <c r="BC19" s="44">
        <f>BC18*('R&amp;S - Transportation'!$B$16*('R&amp;S - Transportation'!$B$10*('R&amp;S - Transportation'!$B$19+('R&amp;S - Transportation'!$B$20-'R&amp;S - Transportation'!$B$19)*(BC3-$N$3)/10)))</f>
        <v>0</v>
      </c>
      <c r="BD19" s="44">
        <f>BD18*('R&amp;S - Transportation'!$B$16*('R&amp;S - Transportation'!$B$10*('R&amp;S - Transportation'!$B$19+('R&amp;S - Transportation'!$B$20-'R&amp;S - Transportation'!$B$19)*(BD3-$N$3)/10)))</f>
        <v>0</v>
      </c>
      <c r="BE19" s="44">
        <f>BE18*('R&amp;S - Transportation'!$B$16*('R&amp;S - Transportation'!$B$10*('R&amp;S - Transportation'!$B$20+('R&amp;S - Transportation'!$B$21-'R&amp;S - Transportation'!$B$20)*(BE3-$X$3)/10)))</f>
        <v>0</v>
      </c>
      <c r="BF19" s="44">
        <f>BF18*('R&amp;S - Transportation'!$B$16*('R&amp;S - Transportation'!$B$10*('R&amp;S - Transportation'!$B$20+('R&amp;S - Transportation'!$B$21-'R&amp;S - Transportation'!$B$20)*(BF3-$X$3)/10)))</f>
        <v>0</v>
      </c>
      <c r="BG19" s="44">
        <f>BG18*('R&amp;S - Transportation'!$B$16*('R&amp;S - Transportation'!$B$10*('R&amp;S - Transportation'!$B$20+('R&amp;S - Transportation'!$B$21-'R&amp;S - Transportation'!$B$20)*(BG3-$X$3)/10)))</f>
        <v>0</v>
      </c>
      <c r="BH19" s="44">
        <f>BH18*('R&amp;S - Transportation'!$B$16*('R&amp;S - Transportation'!$B$10*('R&amp;S - Transportation'!$B$20+('R&amp;S - Transportation'!$B$21-'R&amp;S - Transportation'!$B$20)*(BH3-$X$3)/10)))</f>
        <v>0</v>
      </c>
      <c r="BI19" s="44">
        <f>BI18*('R&amp;S - Transportation'!$B$16*('R&amp;S - Transportation'!$B$10*('R&amp;S - Transportation'!$B$20+('R&amp;S - Transportation'!$B$21-'R&amp;S - Transportation'!$B$20)*(BI3-$X$3)/10)))</f>
        <v>0</v>
      </c>
      <c r="BJ19" s="44">
        <f>BJ18*('R&amp;S - Transportation'!$B$16*('R&amp;S - Transportation'!$B$10*('R&amp;S - Transportation'!$B$20+('R&amp;S - Transportation'!$B$21-'R&amp;S - Transportation'!$B$20)*(BJ3-$X$3)/10)))</f>
        <v>0</v>
      </c>
      <c r="BK19" s="44">
        <f>BK18*('R&amp;S - Transportation'!$B$16*('R&amp;S - Transportation'!$B$10*('R&amp;S - Transportation'!$B$20+('R&amp;S - Transportation'!$B$21-'R&amp;S - Transportation'!$B$20)*(BK3-$X$3)/10)))</f>
        <v>0</v>
      </c>
      <c r="BL19" s="44">
        <f>BL18*('R&amp;S - Transportation'!$B$16*('R&amp;S - Transportation'!$B$10*('R&amp;S - Transportation'!$B$20+('R&amp;S - Transportation'!$B$21-'R&amp;S - Transportation'!$B$20)*(BL3-$X$3)/10)))</f>
        <v>0</v>
      </c>
      <c r="BM19" s="44">
        <f>BM18*('R&amp;S - Transportation'!$B$16*('R&amp;S - Transportation'!$B$10*('R&amp;S - Transportation'!$B$20+('R&amp;S - Transportation'!$B$21-'R&amp;S - Transportation'!$B$20)*(BM3-$X$3)/10)))</f>
        <v>0</v>
      </c>
      <c r="BN19" s="44">
        <f>BN18*('R&amp;S - Transportation'!$B$16*('R&amp;S - Transportation'!$B$10*('R&amp;S - Transportation'!$B$20+('R&amp;S - Transportation'!$B$21-'R&amp;S - Transportation'!$B$20)*(BN3-$X$3)/10)))</f>
        <v>0</v>
      </c>
      <c r="BS19" s="442" t="e">
        <f>SUM(BS12:BS18)</f>
        <v>#REF!</v>
      </c>
      <c r="BY19" s="30" t="s">
        <v>193</v>
      </c>
      <c r="BZ19" s="137"/>
      <c r="CA19" s="137"/>
      <c r="CB19" s="137"/>
      <c r="CC19" s="137"/>
      <c r="CD19" s="137"/>
      <c r="CE19" s="137"/>
      <c r="CF19" s="143">
        <f>SUM(AH113:AH114)</f>
        <v>44.210924603629849</v>
      </c>
      <c r="CG19" s="137"/>
    </row>
    <row r="20" spans="1:85" outlineLevel="1">
      <c r="B20" s="61" t="s">
        <v>194</v>
      </c>
      <c r="C20" s="54" t="s">
        <v>153</v>
      </c>
      <c r="D20" s="44">
        <v>0</v>
      </c>
      <c r="E20" s="44">
        <f>E18*'R&amp;S - Transportation'!$B$15*('R&amp;S - Transportation'!$B$11*'R&amp;S - Transportation'!$B$19*(E$3-$D$3)/10)</f>
        <v>0</v>
      </c>
      <c r="F20" s="44">
        <f>F18*'R&amp;S - Transportation'!$B$15*('R&amp;S - Transportation'!$B$11*'R&amp;S - Transportation'!$B$19*(F$3-$D$3)/10)</f>
        <v>0</v>
      </c>
      <c r="G20" s="44">
        <f>G18*'R&amp;S - Transportation'!$B$15*('R&amp;S - Transportation'!$B$11*'R&amp;S - Transportation'!$B$19*(G$3-$D$3)/10)</f>
        <v>0</v>
      </c>
      <c r="H20" s="44">
        <f>H18*'R&amp;S - Transportation'!$B$15*('R&amp;S - Transportation'!$B$11*'R&amp;S - Transportation'!$B$19*(H$3-$D$3)/10)</f>
        <v>0</v>
      </c>
      <c r="I20" s="44">
        <f>I18*'R&amp;S - Transportation'!$B$15*('R&amp;S - Transportation'!$B$11*'R&amp;S - Transportation'!$B$19*(I$3-$D$3)/10)</f>
        <v>0</v>
      </c>
      <c r="J20" s="44">
        <f>J18*'R&amp;S - Transportation'!$B$15*('R&amp;S - Transportation'!$B$11*'R&amp;S - Transportation'!$B$19*(J$3-$D$3)/10)</f>
        <v>0</v>
      </c>
      <c r="K20" s="44">
        <f>K18*'R&amp;S - Transportation'!$B$15*('R&amp;S - Transportation'!$B$11*'R&amp;S - Transportation'!$B$19*(K$3-$D$3)/10)</f>
        <v>0</v>
      </c>
      <c r="L20" s="44">
        <f>L18*'R&amp;S - Transportation'!$B$15*('R&amp;S - Transportation'!$B$11*'R&amp;S - Transportation'!$B$19*(L$3-$D$3)/10)</f>
        <v>0</v>
      </c>
      <c r="M20" s="44">
        <f>M18*'R&amp;S - Transportation'!$B$15*('R&amp;S - Transportation'!$B$11*'R&amp;S - Transportation'!$B$19*(M$3-$D$3)/10)</f>
        <v>0</v>
      </c>
      <c r="N20" s="44">
        <f>N18*'R&amp;S - Transportation'!$B$15*('R&amp;S - Transportation'!$B$11*'R&amp;S - Transportation'!$B$19*(N$3-$D$3)/10)</f>
        <v>0</v>
      </c>
      <c r="O20" s="44">
        <f>O18*('R&amp;S - Transportation'!$B$15*('R&amp;S - Transportation'!$B$11*('R&amp;S - Transportation'!$B$19+('R&amp;S - Transportation'!$B$20-'R&amp;S - Transportation'!$B$19)*(O3-$N$3)/10)))</f>
        <v>0</v>
      </c>
      <c r="P20" s="44">
        <f>P18*('R&amp;S - Transportation'!$B$15*('R&amp;S - Transportation'!$B$11*('R&amp;S - Transportation'!$B$19+('R&amp;S - Transportation'!$B$20-'R&amp;S - Transportation'!$B$19)*(P3-$N$3)/10)))</f>
        <v>0</v>
      </c>
      <c r="Q20" s="44">
        <f>Q18*('R&amp;S - Transportation'!$B$15*('R&amp;S - Transportation'!$B$11*('R&amp;S - Transportation'!$B$19+('R&amp;S - Transportation'!$B$20-'R&amp;S - Transportation'!$B$19)*(Q3-$N$3)/10)))</f>
        <v>0</v>
      </c>
      <c r="R20" s="44">
        <f>R18*('R&amp;S - Transportation'!$B$15*('R&amp;S - Transportation'!$B$11*('R&amp;S - Transportation'!$B$19+('R&amp;S - Transportation'!$B$20-'R&amp;S - Transportation'!$B$19)*(R3-$N$3)/10)))</f>
        <v>0</v>
      </c>
      <c r="S20" s="44">
        <f>S18*('R&amp;S - Transportation'!$B$15*('R&amp;S - Transportation'!$B$11*('R&amp;S - Transportation'!$B$19+('R&amp;S - Transportation'!$B$20-'R&amp;S - Transportation'!$B$19)*(S3-$N$3)/10)))</f>
        <v>0</v>
      </c>
      <c r="T20" s="44">
        <f>T18*('R&amp;S - Transportation'!$B$15*('R&amp;S - Transportation'!$B$11*('R&amp;S - Transportation'!$B$19+('R&amp;S - Transportation'!$B$20-'R&amp;S - Transportation'!$B$19)*(T3-$N$3)/10)))</f>
        <v>0</v>
      </c>
      <c r="U20" s="44">
        <f>U18*('R&amp;S - Transportation'!$B$15*('R&amp;S - Transportation'!$B$11*('R&amp;S - Transportation'!$B$19+('R&amp;S - Transportation'!$B$20-'R&amp;S - Transportation'!$B$19)*(U3-$N$3)/10)))</f>
        <v>0</v>
      </c>
      <c r="V20" s="44">
        <f>V18*('R&amp;S - Transportation'!$B$15*('R&amp;S - Transportation'!$B$11*('R&amp;S - Transportation'!$B$19+('R&amp;S - Transportation'!$B$20-'R&amp;S - Transportation'!$B$19)*(V3-$N$3)/10)))</f>
        <v>0</v>
      </c>
      <c r="W20" s="44">
        <f>W18*('R&amp;S - Transportation'!$B$15*('R&amp;S - Transportation'!$B$11*('R&amp;S - Transportation'!$B$19+('R&amp;S - Transportation'!$B$20-'R&amp;S - Transportation'!$B$19)*(W3-$N$3)/10)))</f>
        <v>0</v>
      </c>
      <c r="X20" s="44">
        <f>X18*('R&amp;S - Transportation'!$B$15*('R&amp;S - Transportation'!$B$11*('R&amp;S - Transportation'!$B$19+('R&amp;S - Transportation'!$B$20-'R&amp;S - Transportation'!$B$19)*(X3-$N$3)/10)))</f>
        <v>0</v>
      </c>
      <c r="Y20" s="44">
        <f>Y18*('R&amp;S - Transportation'!$B$15*('R&amp;S - Transportation'!$B$11*('R&amp;S - Transportation'!$B$20+('R&amp;S - Transportation'!$B$21-'R&amp;S - Transportation'!$B$20)*(Y3-$X$3)/10)))</f>
        <v>0</v>
      </c>
      <c r="Z20" s="44">
        <f>Z18*('R&amp;S - Transportation'!$B$15*('R&amp;S - Transportation'!$B$11*('R&amp;S - Transportation'!$B$20+('R&amp;S - Transportation'!$B$21-'R&amp;S - Transportation'!$B$20)*(Z3-$X$3)/10)))</f>
        <v>0</v>
      </c>
      <c r="AA20" s="44">
        <f>AA18*('R&amp;S - Transportation'!$B$15*('R&amp;S - Transportation'!$B$11*('R&amp;S - Transportation'!$B$20+('R&amp;S - Transportation'!$B$21-'R&amp;S - Transportation'!$B$20)*(AA3-$X$3)/10)))</f>
        <v>0</v>
      </c>
      <c r="AB20" s="44">
        <f>AB18*('R&amp;S - Transportation'!$B$15*('R&amp;S - Transportation'!$B$11*('R&amp;S - Transportation'!$B$20+('R&amp;S - Transportation'!$B$21-'R&amp;S - Transportation'!$B$20)*(AB3-$X$3)/10)))</f>
        <v>0</v>
      </c>
      <c r="AC20" s="44">
        <f>AC18*('R&amp;S - Transportation'!$B$15*('R&amp;S - Transportation'!$B$11*('R&amp;S - Transportation'!$B$20+('R&amp;S - Transportation'!$B$21-'R&amp;S - Transportation'!$B$20)*(AC3-$X$3)/10)))</f>
        <v>0</v>
      </c>
      <c r="AD20" s="44">
        <f>AD18*('R&amp;S - Transportation'!$B$15*('R&amp;S - Transportation'!$B$11*('R&amp;S - Transportation'!$B$20+('R&amp;S - Transportation'!$B$21-'R&amp;S - Transportation'!$B$20)*(AD3-$X$3)/10)))</f>
        <v>0</v>
      </c>
      <c r="AE20" s="44">
        <f>AE18*('R&amp;S - Transportation'!$B$15*('R&amp;S - Transportation'!$B$11*('R&amp;S - Transportation'!$B$20+('R&amp;S - Transportation'!$B$21-'R&amp;S - Transportation'!$B$20)*(AE3-$X$3)/10)))</f>
        <v>0</v>
      </c>
      <c r="AF20" s="44">
        <f>AF18*('R&amp;S - Transportation'!$B$15*('R&amp;S - Transportation'!$B$11*('R&amp;S - Transportation'!$B$20+('R&amp;S - Transportation'!$B$21-'R&amp;S - Transportation'!$B$20)*(AF3-$X$3)/10)))</f>
        <v>0</v>
      </c>
      <c r="AG20" s="44">
        <f>AG18*('R&amp;S - Transportation'!$B$15*('R&amp;S - Transportation'!$B$11*('R&amp;S - Transportation'!$B$20+('R&amp;S - Transportation'!$B$21-'R&amp;S - Transportation'!$B$20)*(AG3-$X$3)/10)))</f>
        <v>0</v>
      </c>
      <c r="AH20" s="44">
        <f>AH18*('R&amp;S - Transportation'!$B$15*('R&amp;S - Transportation'!$B$11*('R&amp;S - Transportation'!$B$20+('R&amp;S - Transportation'!$B$21-'R&amp;S - Transportation'!$B$20)*(AH3-$X$3)/10)))</f>
        <v>0</v>
      </c>
      <c r="AJ20" s="44">
        <v>0</v>
      </c>
      <c r="AK20" s="44">
        <f>AK18*'R&amp;S - Transportation'!$B$16*('R&amp;S - Transportation'!$B$11*'R&amp;S - Transportation'!$B$19*(AK$3-$D$3)/10)</f>
        <v>0</v>
      </c>
      <c r="AL20" s="44">
        <f>AL18*'R&amp;S - Transportation'!$B$16*('R&amp;S - Transportation'!$B$11*'R&amp;S - Transportation'!$B$19*(AL$3-$D$3)/10)</f>
        <v>0</v>
      </c>
      <c r="AM20" s="44">
        <f>AM18*'R&amp;S - Transportation'!$B$16*('R&amp;S - Transportation'!$B$11*'R&amp;S - Transportation'!$B$19*(AM$3-$D$3)/10)</f>
        <v>0</v>
      </c>
      <c r="AN20" s="44">
        <f>AN18*'R&amp;S - Transportation'!$B$16*('R&amp;S - Transportation'!$B$11*'R&amp;S - Transportation'!$B$19*(AN$3-$D$3)/10)</f>
        <v>0</v>
      </c>
      <c r="AO20" s="44">
        <f>AO18*'R&amp;S - Transportation'!$B$16*('R&amp;S - Transportation'!$B$11*'R&amp;S - Transportation'!$B$19*(AO$3-$D$3)/10)</f>
        <v>0</v>
      </c>
      <c r="AP20" s="44">
        <f>AP18*'R&amp;S - Transportation'!$B$16*('R&amp;S - Transportation'!$B$11*'R&amp;S - Transportation'!$B$19*(AP$3-$D$3)/10)</f>
        <v>0</v>
      </c>
      <c r="AQ20" s="44">
        <f>AQ18*'R&amp;S - Transportation'!$B$16*('R&amp;S - Transportation'!$B$11*'R&amp;S - Transportation'!$B$19*(AQ$3-$D$3)/10)</f>
        <v>0</v>
      </c>
      <c r="AR20" s="44">
        <f>AR18*'R&amp;S - Transportation'!$B$16*('R&amp;S - Transportation'!$B$11*'R&amp;S - Transportation'!$B$19*(AR$3-$D$3)/10)</f>
        <v>0</v>
      </c>
      <c r="AS20" s="44">
        <f>AS18*'R&amp;S - Transportation'!$B$16*('R&amp;S - Transportation'!$B$11*'R&amp;S - Transportation'!$B$19*(AS$3-$D$3)/10)</f>
        <v>0</v>
      </c>
      <c r="AT20" s="44">
        <f>AT18*'R&amp;S - Transportation'!$B$16*('R&amp;S - Transportation'!$B$11*'R&amp;S - Transportation'!$B$19*(AT$3-$D$3)/10)</f>
        <v>0</v>
      </c>
      <c r="AU20" s="44">
        <f>AU18*('R&amp;S - Transportation'!$B$16*('R&amp;S - Transportation'!$B$11*('R&amp;S - Transportation'!$B$19+('R&amp;S - Transportation'!$B$20-'R&amp;S - Transportation'!$B$19)*(AU3-$N$3)/10)))</f>
        <v>0</v>
      </c>
      <c r="AV20" s="44">
        <f>AV18*('R&amp;S - Transportation'!$B$16*('R&amp;S - Transportation'!$B$11*('R&amp;S - Transportation'!$B$19+('R&amp;S - Transportation'!$B$20-'R&amp;S - Transportation'!$B$19)*(AV3-$N$3)/10)))</f>
        <v>0</v>
      </c>
      <c r="AW20" s="44">
        <f>AW18*('R&amp;S - Transportation'!$B$16*('R&amp;S - Transportation'!$B$11*('R&amp;S - Transportation'!$B$19+('R&amp;S - Transportation'!$B$20-'R&amp;S - Transportation'!$B$19)*(AW3-$N$3)/10)))</f>
        <v>0</v>
      </c>
      <c r="AX20" s="44">
        <f>AX18*('R&amp;S - Transportation'!$B$16*('R&amp;S - Transportation'!$B$11*('R&amp;S - Transportation'!$B$19+('R&amp;S - Transportation'!$B$20-'R&amp;S - Transportation'!$B$19)*(AX3-$N$3)/10)))</f>
        <v>0</v>
      </c>
      <c r="AY20" s="44">
        <f>AY18*('R&amp;S - Transportation'!$B$16*('R&amp;S - Transportation'!$B$11*('R&amp;S - Transportation'!$B$19+('R&amp;S - Transportation'!$B$20-'R&amp;S - Transportation'!$B$19)*(AY3-$N$3)/10)))</f>
        <v>0</v>
      </c>
      <c r="AZ20" s="44">
        <f>AZ18*('R&amp;S - Transportation'!$B$16*('R&amp;S - Transportation'!$B$11*('R&amp;S - Transportation'!$B$19+('R&amp;S - Transportation'!$B$20-'R&amp;S - Transportation'!$B$19)*(AZ3-$N$3)/10)))</f>
        <v>0</v>
      </c>
      <c r="BA20" s="44">
        <f>BA18*('R&amp;S - Transportation'!$B$16*('R&amp;S - Transportation'!$B$11*('R&amp;S - Transportation'!$B$19+('R&amp;S - Transportation'!$B$20-'R&amp;S - Transportation'!$B$19)*(BA3-$N$3)/10)))</f>
        <v>0</v>
      </c>
      <c r="BB20" s="44">
        <f>BB18*('R&amp;S - Transportation'!$B$16*('R&amp;S - Transportation'!$B$11*('R&amp;S - Transportation'!$B$19+('R&amp;S - Transportation'!$B$20-'R&amp;S - Transportation'!$B$19)*(BB3-$N$3)/10)))</f>
        <v>0</v>
      </c>
      <c r="BC20" s="44">
        <f>BC18*('R&amp;S - Transportation'!$B$16*('R&amp;S - Transportation'!$B$11*('R&amp;S - Transportation'!$B$19+('R&amp;S - Transportation'!$B$20-'R&amp;S - Transportation'!$B$19)*(BC3-$N$3)/10)))</f>
        <v>0</v>
      </c>
      <c r="BD20" s="44">
        <f>BD18*('R&amp;S - Transportation'!$B$16*('R&amp;S - Transportation'!$B$11*('R&amp;S - Transportation'!$B$19+('R&amp;S - Transportation'!$B$20-'R&amp;S - Transportation'!$B$19)*(BD3-$N$3)/10)))</f>
        <v>0</v>
      </c>
      <c r="BE20" s="44">
        <f>BE18*('R&amp;S - Transportation'!$B$16*('R&amp;S - Transportation'!$B$11*('R&amp;S - Transportation'!$B$20+('R&amp;S - Transportation'!$B$21-'R&amp;S - Transportation'!$B$20)*(BE3-$X$3)/10)))</f>
        <v>0</v>
      </c>
      <c r="BF20" s="44">
        <f>BF18*('R&amp;S - Transportation'!$B$16*('R&amp;S - Transportation'!$B$11*('R&amp;S - Transportation'!$B$20+('R&amp;S - Transportation'!$B$21-'R&amp;S - Transportation'!$B$20)*(BF3-$X$3)/10)))</f>
        <v>0</v>
      </c>
      <c r="BG20" s="44">
        <f>BG18*('R&amp;S - Transportation'!$B$16*('R&amp;S - Transportation'!$B$11*('R&amp;S - Transportation'!$B$20+('R&amp;S - Transportation'!$B$21-'R&amp;S - Transportation'!$B$20)*(BG3-$X$3)/10)))</f>
        <v>0</v>
      </c>
      <c r="BH20" s="44">
        <f>BH18*('R&amp;S - Transportation'!$B$16*('R&amp;S - Transportation'!$B$11*('R&amp;S - Transportation'!$B$20+('R&amp;S - Transportation'!$B$21-'R&amp;S - Transportation'!$B$20)*(BH3-$X$3)/10)))</f>
        <v>0</v>
      </c>
      <c r="BI20" s="44">
        <f>BI18*('R&amp;S - Transportation'!$B$16*('R&amp;S - Transportation'!$B$11*('R&amp;S - Transportation'!$B$20+('R&amp;S - Transportation'!$B$21-'R&amp;S - Transportation'!$B$20)*(BI3-$X$3)/10)))</f>
        <v>0</v>
      </c>
      <c r="BJ20" s="44">
        <f>BJ18*('R&amp;S - Transportation'!$B$16*('R&amp;S - Transportation'!$B$11*('R&amp;S - Transportation'!$B$20+('R&amp;S - Transportation'!$B$21-'R&amp;S - Transportation'!$B$20)*(BJ3-$X$3)/10)))</f>
        <v>0</v>
      </c>
      <c r="BK20" s="44">
        <f>BK18*('R&amp;S - Transportation'!$B$16*('R&amp;S - Transportation'!$B$11*('R&amp;S - Transportation'!$B$20+('R&amp;S - Transportation'!$B$21-'R&amp;S - Transportation'!$B$20)*(BK3-$X$3)/10)))</f>
        <v>0</v>
      </c>
      <c r="BL20" s="44">
        <f>BL18*('R&amp;S - Transportation'!$B$16*('R&amp;S - Transportation'!$B$11*('R&amp;S - Transportation'!$B$20+('R&amp;S - Transportation'!$B$21-'R&amp;S - Transportation'!$B$20)*(BL3-$X$3)/10)))</f>
        <v>0</v>
      </c>
      <c r="BM20" s="44">
        <f>BM18*('R&amp;S - Transportation'!$B$16*('R&amp;S - Transportation'!$B$11*('R&amp;S - Transportation'!$B$20+('R&amp;S - Transportation'!$B$21-'R&amp;S - Transportation'!$B$20)*(BM3-$X$3)/10)))</f>
        <v>0</v>
      </c>
      <c r="BN20" s="44">
        <f>BN18*('R&amp;S - Transportation'!$B$16*('R&amp;S - Transportation'!$B$11*('R&amp;S - Transportation'!$B$20+('R&amp;S - Transportation'!$B$21-'R&amp;S - Transportation'!$B$20)*(BN3-$X$3)/10)))</f>
        <v>0</v>
      </c>
      <c r="BR20" t="s">
        <v>53</v>
      </c>
      <c r="BS20" s="44">
        <f>AH4</f>
        <v>161</v>
      </c>
      <c r="BY20" s="30" t="s">
        <v>195</v>
      </c>
      <c r="BZ20" s="137"/>
      <c r="CA20" s="137"/>
      <c r="CB20" s="137"/>
      <c r="CC20" s="137"/>
      <c r="CD20" s="137"/>
      <c r="CE20" s="137"/>
      <c r="CF20" s="143">
        <f>SUM(AH119:AH120)</f>
        <v>4.0752453928633434</v>
      </c>
      <c r="CG20" s="137"/>
    </row>
    <row r="21" spans="1:85" outlineLevel="1">
      <c r="B21" s="1" t="s">
        <v>168</v>
      </c>
      <c r="C21" s="54" t="s">
        <v>153</v>
      </c>
      <c r="D21" s="44">
        <f>SUM(D19:D20)</f>
        <v>0</v>
      </c>
      <c r="E21" s="44">
        <f t="shared" ref="E21:AG21" si="18">SUM(E19:E20)</f>
        <v>0</v>
      </c>
      <c r="F21" s="44">
        <f t="shared" si="18"/>
        <v>0</v>
      </c>
      <c r="G21" s="44">
        <f t="shared" si="18"/>
        <v>0</v>
      </c>
      <c r="H21" s="44">
        <f t="shared" si="18"/>
        <v>0</v>
      </c>
      <c r="I21" s="44">
        <f t="shared" si="18"/>
        <v>0</v>
      </c>
      <c r="J21" s="44">
        <f t="shared" si="18"/>
        <v>0</v>
      </c>
      <c r="K21" s="44">
        <f t="shared" si="18"/>
        <v>0</v>
      </c>
      <c r="L21" s="44">
        <f t="shared" si="18"/>
        <v>0</v>
      </c>
      <c r="M21" s="44">
        <f t="shared" si="18"/>
        <v>0</v>
      </c>
      <c r="N21" s="44">
        <f t="shared" si="18"/>
        <v>0</v>
      </c>
      <c r="O21" s="44">
        <f t="shared" si="18"/>
        <v>0</v>
      </c>
      <c r="P21" s="44">
        <f t="shared" si="18"/>
        <v>0</v>
      </c>
      <c r="Q21" s="44">
        <f t="shared" si="18"/>
        <v>0</v>
      </c>
      <c r="R21" s="44">
        <f t="shared" si="18"/>
        <v>0</v>
      </c>
      <c r="S21" s="44">
        <f t="shared" si="18"/>
        <v>0</v>
      </c>
      <c r="T21" s="44">
        <f t="shared" si="18"/>
        <v>0</v>
      </c>
      <c r="U21" s="44">
        <f t="shared" si="18"/>
        <v>0</v>
      </c>
      <c r="V21" s="44">
        <f t="shared" si="18"/>
        <v>0</v>
      </c>
      <c r="W21" s="44">
        <f t="shared" si="18"/>
        <v>0</v>
      </c>
      <c r="X21" s="44">
        <f t="shared" si="18"/>
        <v>0</v>
      </c>
      <c r="Y21" s="44">
        <f t="shared" si="18"/>
        <v>0</v>
      </c>
      <c r="Z21" s="44">
        <f t="shared" si="18"/>
        <v>0</v>
      </c>
      <c r="AA21" s="44">
        <f t="shared" si="18"/>
        <v>0</v>
      </c>
      <c r="AB21" s="44">
        <f t="shared" si="18"/>
        <v>0</v>
      </c>
      <c r="AC21" s="44">
        <f t="shared" si="18"/>
        <v>0</v>
      </c>
      <c r="AD21" s="44">
        <f t="shared" si="18"/>
        <v>0</v>
      </c>
      <c r="AE21" s="44">
        <f t="shared" si="18"/>
        <v>0</v>
      </c>
      <c r="AF21" s="44">
        <f t="shared" si="18"/>
        <v>0</v>
      </c>
      <c r="AG21" s="44">
        <f t="shared" si="18"/>
        <v>0</v>
      </c>
      <c r="AH21" s="44">
        <f>SUM(AH19:AH20)</f>
        <v>0</v>
      </c>
      <c r="AJ21" s="44">
        <f>SUM(AJ19:AJ20)</f>
        <v>0</v>
      </c>
      <c r="AK21" s="44">
        <f t="shared" ref="AK21:BM21" si="19">SUM(AK19:AK20)</f>
        <v>0</v>
      </c>
      <c r="AL21" s="44">
        <f t="shared" si="19"/>
        <v>0</v>
      </c>
      <c r="AM21" s="44">
        <f t="shared" si="19"/>
        <v>0</v>
      </c>
      <c r="AN21" s="44">
        <f t="shared" si="19"/>
        <v>0</v>
      </c>
      <c r="AO21" s="44">
        <f t="shared" si="19"/>
        <v>0</v>
      </c>
      <c r="AP21" s="44">
        <f t="shared" si="19"/>
        <v>0</v>
      </c>
      <c r="AQ21" s="44">
        <f t="shared" si="19"/>
        <v>0</v>
      </c>
      <c r="AR21" s="44">
        <f t="shared" si="19"/>
        <v>0</v>
      </c>
      <c r="AS21" s="44">
        <f t="shared" si="19"/>
        <v>0</v>
      </c>
      <c r="AT21" s="44">
        <f t="shared" si="19"/>
        <v>0</v>
      </c>
      <c r="AU21" s="44">
        <f t="shared" si="19"/>
        <v>0</v>
      </c>
      <c r="AV21" s="44">
        <f t="shared" si="19"/>
        <v>0</v>
      </c>
      <c r="AW21" s="44">
        <f t="shared" si="19"/>
        <v>0</v>
      </c>
      <c r="AX21" s="44">
        <f t="shared" si="19"/>
        <v>0</v>
      </c>
      <c r="AY21" s="44">
        <f t="shared" si="19"/>
        <v>0</v>
      </c>
      <c r="AZ21" s="44">
        <f t="shared" si="19"/>
        <v>0</v>
      </c>
      <c r="BA21" s="44">
        <f t="shared" si="19"/>
        <v>0</v>
      </c>
      <c r="BB21" s="44">
        <f t="shared" si="19"/>
        <v>0</v>
      </c>
      <c r="BC21" s="44">
        <f t="shared" si="19"/>
        <v>0</v>
      </c>
      <c r="BD21" s="44">
        <f t="shared" si="19"/>
        <v>0</v>
      </c>
      <c r="BE21" s="44">
        <f t="shared" si="19"/>
        <v>0</v>
      </c>
      <c r="BF21" s="44">
        <f t="shared" si="19"/>
        <v>0</v>
      </c>
      <c r="BG21" s="44">
        <f t="shared" si="19"/>
        <v>0</v>
      </c>
      <c r="BH21" s="44">
        <f t="shared" si="19"/>
        <v>0</v>
      </c>
      <c r="BI21" s="44">
        <f t="shared" si="19"/>
        <v>0</v>
      </c>
      <c r="BJ21" s="44">
        <f t="shared" si="19"/>
        <v>0</v>
      </c>
      <c r="BK21" s="44">
        <f t="shared" si="19"/>
        <v>0</v>
      </c>
      <c r="BL21" s="44">
        <f t="shared" si="19"/>
        <v>0</v>
      </c>
      <c r="BM21" s="44">
        <f t="shared" si="19"/>
        <v>0</v>
      </c>
      <c r="BN21" s="44">
        <f>SUM(BN19:BN20)</f>
        <v>0</v>
      </c>
      <c r="BY21" s="30" t="s">
        <v>175</v>
      </c>
      <c r="BZ21" s="137"/>
      <c r="CA21" s="143">
        <f>AH4-D4</f>
        <v>44.890813288003173</v>
      </c>
      <c r="CB21" s="137"/>
      <c r="CC21" s="549">
        <f>AH17+AH69</f>
        <v>3.1096912343115526</v>
      </c>
      <c r="CD21" s="137"/>
      <c r="CE21" s="137"/>
      <c r="CF21" s="137"/>
      <c r="CG21" s="137"/>
    </row>
    <row r="22" spans="1:85" outlineLevel="1">
      <c r="B22" s="1" t="s">
        <v>172</v>
      </c>
      <c r="C22" s="54" t="s">
        <v>153</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Q22" t="s">
        <v>196</v>
      </c>
      <c r="BR22">
        <v>2020</v>
      </c>
      <c r="BS22">
        <v>2050</v>
      </c>
    </row>
    <row r="23" spans="1:85" outlineLevel="1">
      <c r="B23" s="1" t="s">
        <v>197</v>
      </c>
      <c r="C23" s="65" t="s">
        <v>153</v>
      </c>
      <c r="D23" s="66">
        <f>D18-D21-D22</f>
        <v>4.4906157306135288</v>
      </c>
      <c r="E23" s="66">
        <f t="shared" ref="E23:AH23" si="20">E18-E21-E22</f>
        <v>4.5488916376888815</v>
      </c>
      <c r="F23" s="66">
        <f t="shared" si="20"/>
        <v>4.6079054484219419</v>
      </c>
      <c r="G23" s="66">
        <f t="shared" si="20"/>
        <v>4.6676663365425783</v>
      </c>
      <c r="H23" s="66">
        <f t="shared" si="20"/>
        <v>4.7281835882205403</v>
      </c>
      <c r="I23" s="66">
        <f t="shared" si="20"/>
        <v>4.7894666034280649</v>
      </c>
      <c r="J23" s="66">
        <f t="shared" si="20"/>
        <v>4.8515248973188472</v>
      </c>
      <c r="K23" s="66">
        <f t="shared" si="20"/>
        <v>4.9143681016235625</v>
      </c>
      <c r="L23" s="66">
        <f t="shared" si="20"/>
        <v>4.9780059660621472</v>
      </c>
      <c r="M23" s="66">
        <f t="shared" si="20"/>
        <v>5.0424483597730267</v>
      </c>
      <c r="N23" s="66">
        <f t="shared" si="20"/>
        <v>5.1077052727594987</v>
      </c>
      <c r="O23" s="66">
        <f t="shared" si="20"/>
        <v>5.1889740585003112</v>
      </c>
      <c r="P23" s="66">
        <f t="shared" si="20"/>
        <v>5.2714104751833171</v>
      </c>
      <c r="Q23" s="66">
        <f t="shared" si="20"/>
        <v>5.3550303525670149</v>
      </c>
      <c r="R23" s="66">
        <f t="shared" si="20"/>
        <v>5.4398497271123025</v>
      </c>
      <c r="S23" s="66">
        <f t="shared" si="20"/>
        <v>5.5258848446115945</v>
      </c>
      <c r="T23" s="66">
        <f t="shared" si="20"/>
        <v>5.6131521628507288</v>
      </c>
      <c r="U23" s="66">
        <f t="shared" si="20"/>
        <v>5.7016683543040774</v>
      </c>
      <c r="V23" s="66">
        <f t="shared" si="20"/>
        <v>5.7914503088632641</v>
      </c>
      <c r="W23" s="66">
        <f t="shared" si="20"/>
        <v>5.8825151365999027</v>
      </c>
      <c r="X23" s="66">
        <f t="shared" si="20"/>
        <v>5.974880170562777</v>
      </c>
      <c r="Y23" s="66">
        <f t="shared" si="20"/>
        <v>6.0572726198989777</v>
      </c>
      <c r="Z23" s="66">
        <f t="shared" si="20"/>
        <v>6.1407532423080582</v>
      </c>
      <c r="AA23" s="66">
        <f t="shared" si="20"/>
        <v>6.2253359917085591</v>
      </c>
      <c r="AB23" s="66">
        <f t="shared" si="20"/>
        <v>6.3110349971569661</v>
      </c>
      <c r="AC23" s="66">
        <f t="shared" si="20"/>
        <v>6.3978645650103516</v>
      </c>
      <c r="AD23" s="66">
        <f t="shared" si="20"/>
        <v>6.4858391811153879</v>
      </c>
      <c r="AE23" s="66">
        <f t="shared" si="20"/>
        <v>6.5749735130240543</v>
      </c>
      <c r="AF23" s="66">
        <f t="shared" si="20"/>
        <v>6.6652824122363352</v>
      </c>
      <c r="AG23" s="66">
        <f t="shared" si="20"/>
        <v>6.7567809164702535</v>
      </c>
      <c r="AH23" s="66">
        <f t="shared" si="20"/>
        <v>6.8494842519595691</v>
      </c>
      <c r="AJ23" s="66">
        <f>AJ18-AJ21-AJ22</f>
        <v>4.4906157306135288</v>
      </c>
      <c r="AK23" s="66">
        <f t="shared" ref="AK23:BN23" si="21">AK18-AK21-AK22</f>
        <v>4.5488916376888815</v>
      </c>
      <c r="AL23" s="66">
        <f t="shared" si="21"/>
        <v>4.6079054484219419</v>
      </c>
      <c r="AM23" s="66">
        <f t="shared" si="21"/>
        <v>4.6676663365425783</v>
      </c>
      <c r="AN23" s="66">
        <f t="shared" si="21"/>
        <v>4.7281835882205403</v>
      </c>
      <c r="AO23" s="66">
        <f t="shared" si="21"/>
        <v>4.7894666034280649</v>
      </c>
      <c r="AP23" s="66">
        <f t="shared" si="21"/>
        <v>4.8515248973188472</v>
      </c>
      <c r="AQ23" s="66">
        <f t="shared" si="21"/>
        <v>4.9143681016235625</v>
      </c>
      <c r="AR23" s="66">
        <f t="shared" si="21"/>
        <v>4.9780059660621472</v>
      </c>
      <c r="AS23" s="66">
        <f t="shared" si="21"/>
        <v>5.0424483597730267</v>
      </c>
      <c r="AT23" s="66">
        <f t="shared" si="21"/>
        <v>5.1077052727594987</v>
      </c>
      <c r="AU23" s="66">
        <f t="shared" si="21"/>
        <v>5.1889740585003112</v>
      </c>
      <c r="AV23" s="66">
        <f t="shared" si="21"/>
        <v>5.2714104751833171</v>
      </c>
      <c r="AW23" s="66">
        <f t="shared" si="21"/>
        <v>5.3550303525670149</v>
      </c>
      <c r="AX23" s="66">
        <f t="shared" si="21"/>
        <v>5.4398497271123025</v>
      </c>
      <c r="AY23" s="66">
        <f t="shared" si="21"/>
        <v>5.5258848446115945</v>
      </c>
      <c r="AZ23" s="66">
        <f t="shared" si="21"/>
        <v>5.6131521628507288</v>
      </c>
      <c r="BA23" s="66">
        <f t="shared" si="21"/>
        <v>5.7016683543040774</v>
      </c>
      <c r="BB23" s="66">
        <f t="shared" si="21"/>
        <v>5.7914503088632641</v>
      </c>
      <c r="BC23" s="66">
        <f t="shared" si="21"/>
        <v>5.8825151365999027</v>
      </c>
      <c r="BD23" s="66">
        <f t="shared" si="21"/>
        <v>5.974880170562777</v>
      </c>
      <c r="BE23" s="66">
        <f t="shared" si="21"/>
        <v>6.0572726198989777</v>
      </c>
      <c r="BF23" s="66">
        <f t="shared" si="21"/>
        <v>6.1407532423080582</v>
      </c>
      <c r="BG23" s="66">
        <f t="shared" si="21"/>
        <v>6.2253359917085591</v>
      </c>
      <c r="BH23" s="66">
        <f t="shared" si="21"/>
        <v>6.3110349971569661</v>
      </c>
      <c r="BI23" s="66">
        <f t="shared" si="21"/>
        <v>6.3978645650103516</v>
      </c>
      <c r="BJ23" s="66">
        <f t="shared" si="21"/>
        <v>6.4858391811153879</v>
      </c>
      <c r="BK23" s="66">
        <f t="shared" si="21"/>
        <v>6.5749735130240543</v>
      </c>
      <c r="BL23" s="66">
        <f t="shared" si="21"/>
        <v>6.6652824122363352</v>
      </c>
      <c r="BM23" s="66">
        <f t="shared" si="21"/>
        <v>6.7567809164702535</v>
      </c>
      <c r="BN23" s="66">
        <f t="shared" si="21"/>
        <v>6.8494842519595691</v>
      </c>
      <c r="BR23" s="44" t="e">
        <f>SUM(D16,D27,D38,D45,#REF!,D54)</f>
        <v>#REF!</v>
      </c>
      <c r="BS23" s="44" t="e">
        <f>SUM(AH16,AH27,AH38,AH45,#REF!,AH54)</f>
        <v>#REF!</v>
      </c>
    </row>
    <row r="24" spans="1:85" s="67" customFormat="1" outlineLevel="1">
      <c r="A24" s="752"/>
      <c r="B24" s="58" t="s">
        <v>7</v>
      </c>
      <c r="C24" s="59" t="s">
        <v>153</v>
      </c>
      <c r="D24" s="60">
        <f>D23*'R&amp;S - Transportation'!$G$4/SUM('R&amp;S - Transportation'!$G$4:$I$4)</f>
        <v>2.5999466924200116</v>
      </c>
      <c r="E24" s="60">
        <f>E23*'R&amp;S - Transportation'!$G$4/SUM('R&amp;S - Transportation'!$G$4:$I$4)</f>
        <v>2.6336868877378681</v>
      </c>
      <c r="F24" s="60">
        <f>F23*'R&amp;S - Transportation'!$G$4/SUM('R&amp;S - Transportation'!$G$4:$I$4)</f>
        <v>2.6678543095852856</v>
      </c>
      <c r="G24" s="60">
        <f>G23*'R&amp;S - Transportation'!$G$4/SUM('R&amp;S - Transportation'!$G$4:$I$4)</f>
        <v>2.7024542693070903</v>
      </c>
      <c r="H24" s="60">
        <f>H23*'R&amp;S - Transportation'!$G$4/SUM('R&amp;S - Transportation'!$G$4:$I$4)</f>
        <v>2.7374921433478003</v>
      </c>
      <c r="I24" s="60">
        <f>I23*'R&amp;S - Transportation'!$G$4/SUM('R&amp;S - Transportation'!$G$4:$I$4)</f>
        <v>2.7729733740405362</v>
      </c>
      <c r="J24" s="60">
        <f>J23*'R&amp;S - Transportation'!$G$4/SUM('R&amp;S - Transportation'!$G$4:$I$4)</f>
        <v>2.8089034704054114</v>
      </c>
      <c r="K24" s="60">
        <f>K23*'R&amp;S - Transportation'!$G$4/SUM('R&amp;S - Transportation'!$G$4:$I$4)</f>
        <v>2.8452880089574992</v>
      </c>
      <c r="L24" s="60">
        <f>L23*'R&amp;S - Transportation'!$G$4/SUM('R&amp;S - Transportation'!$G$4:$I$4)</f>
        <v>2.8821326345245071</v>
      </c>
      <c r="M24" s="60">
        <f>M23*'R&amp;S - Transportation'!$G$4/SUM('R&amp;S - Transportation'!$G$4:$I$4)</f>
        <v>2.9194430610742619</v>
      </c>
      <c r="N24" s="60">
        <f>N23*'R&amp;S - Transportation'!$G$4/SUM('R&amp;S - Transportation'!$G$4:$I$4)</f>
        <v>2.9572250725521263</v>
      </c>
      <c r="O24" s="60">
        <f>O23*'R&amp;S - Transportation'!$G$4/SUM('R&amp;S - Transportation'!$G$4:$I$4)</f>
        <v>3.0042775311366747</v>
      </c>
      <c r="P24" s="60">
        <f>P23*'R&amp;S - Transportation'!$G$4/SUM('R&amp;S - Transportation'!$G$4:$I$4)</f>
        <v>3.0520060168828058</v>
      </c>
      <c r="Q24" s="60">
        <f>Q23*'R&amp;S - Transportation'!$G$4/SUM('R&amp;S - Transportation'!$G$4:$I$4)</f>
        <v>3.1004196947983305</v>
      </c>
      <c r="R24" s="60">
        <f>R23*'R&amp;S - Transportation'!$G$4/SUM('R&amp;S - Transportation'!$G$4:$I$4)</f>
        <v>3.1495278495662347</v>
      </c>
      <c r="S24" s="60">
        <f>S23*'R&amp;S - Transportation'!$G$4/SUM('R&amp;S - Transportation'!$G$4:$I$4)</f>
        <v>3.1993398870668672</v>
      </c>
      <c r="T24" s="60">
        <f>T23*'R&amp;S - Transportation'!$G$4/SUM('R&amp;S - Transportation'!$G$4:$I$4)</f>
        <v>3.2498653359191128</v>
      </c>
      <c r="U24" s="60">
        <f>U23*'R&amp;S - Transportation'!$G$4/SUM('R&amp;S - Transportation'!$G$4:$I$4)</f>
        <v>3.3011138490407879</v>
      </c>
      <c r="V24" s="60">
        <f>V23*'R&amp;S - Transportation'!$G$4/SUM('R&amp;S - Transportation'!$G$4:$I$4)</f>
        <v>3.3530952052284992</v>
      </c>
      <c r="W24" s="60">
        <f>W23*'R&amp;S - Transportation'!$G$4/SUM('R&amp;S - Transportation'!$G$4:$I$4)</f>
        <v>3.4058193107571912</v>
      </c>
      <c r="X24" s="60">
        <f>X23*'R&amp;S - Transportation'!$G$4/SUM('R&amp;S - Transportation'!$G$4:$I$4)</f>
        <v>3.4592962009996406</v>
      </c>
      <c r="Y24" s="60">
        <f>Y23*'R&amp;S - Transportation'!$G$4/SUM('R&amp;S - Transportation'!$G$4:$I$4)</f>
        <v>3.506999230825079</v>
      </c>
      <c r="Z24" s="60">
        <f>Z23*'R&amp;S - Transportation'!$G$4/SUM('R&amp;S - Transportation'!$G$4:$I$4)</f>
        <v>3.5553322838258086</v>
      </c>
      <c r="AA24" s="60">
        <f>AA23*'R&amp;S - Transportation'!$G$4/SUM('R&amp;S - Transportation'!$G$4:$I$4)</f>
        <v>3.6043034389483553</v>
      </c>
      <c r="AB24" s="60">
        <f>AB23*'R&amp;S - Transportation'!$G$4/SUM('R&amp;S - Transportation'!$G$4:$I$4)</f>
        <v>3.6539208765394418</v>
      </c>
      <c r="AC24" s="60">
        <f>AC23*'R&amp;S - Transportation'!$G$4/SUM('R&amp;S - Transportation'!$G$4:$I$4)</f>
        <v>3.7041928795981014</v>
      </c>
      <c r="AD24" s="60">
        <f>AD23*'R&amp;S - Transportation'!$G$4/SUM('R&amp;S - Transportation'!$G$4:$I$4)</f>
        <v>3.7551278350430555</v>
      </c>
      <c r="AE24" s="60">
        <f>AE23*'R&amp;S - Transportation'!$G$4/SUM('R&amp;S - Transportation'!$G$4:$I$4)</f>
        <v>3.8067342349955502</v>
      </c>
      <c r="AF24" s="60">
        <f>AF23*'R&amp;S - Transportation'!$G$4/SUM('R&amp;S - Transportation'!$G$4:$I$4)</f>
        <v>3.8590206780778176</v>
      </c>
      <c r="AG24" s="60">
        <f>AG23*'R&amp;S - Transportation'!$G$4/SUM('R&amp;S - Transportation'!$G$4:$I$4)</f>
        <v>3.9119958707273685</v>
      </c>
      <c r="AH24" s="60">
        <f>AH23*'R&amp;S - Transportation'!$G$4/SUM('R&amp;S - Transportation'!$G$4:$I$4)</f>
        <v>3.9656686285272928</v>
      </c>
      <c r="AJ24" s="60">
        <f>AJ23*'R&amp;S - Transportation'!$G$4/SUM('R&amp;S - Transportation'!$G$4:$I$4)</f>
        <v>2.5999466924200116</v>
      </c>
      <c r="AK24" s="60">
        <f>AK23*'R&amp;S - Transportation'!$G$4/SUM('R&amp;S - Transportation'!$G$4:$I$4)</f>
        <v>2.6336868877378681</v>
      </c>
      <c r="AL24" s="60">
        <f>AL23*'R&amp;S - Transportation'!$G$4/SUM('R&amp;S - Transportation'!$G$4:$I$4)</f>
        <v>2.6678543095852856</v>
      </c>
      <c r="AM24" s="60">
        <f>AM23*'R&amp;S - Transportation'!$G$4/SUM('R&amp;S - Transportation'!$G$4:$I$4)</f>
        <v>2.7024542693070903</v>
      </c>
      <c r="AN24" s="60">
        <f>AN23*'R&amp;S - Transportation'!$G$4/SUM('R&amp;S - Transportation'!$G$4:$I$4)</f>
        <v>2.7374921433478003</v>
      </c>
      <c r="AO24" s="60">
        <f>AO23*'R&amp;S - Transportation'!$G$4/SUM('R&amp;S - Transportation'!$G$4:$I$4)</f>
        <v>2.7729733740405362</v>
      </c>
      <c r="AP24" s="60">
        <f>AP23*'R&amp;S - Transportation'!$G$4/SUM('R&amp;S - Transportation'!$G$4:$I$4)</f>
        <v>2.8089034704054114</v>
      </c>
      <c r="AQ24" s="60">
        <f>AQ23*'R&amp;S - Transportation'!$G$4/SUM('R&amp;S - Transportation'!$G$4:$I$4)</f>
        <v>2.8452880089574992</v>
      </c>
      <c r="AR24" s="60">
        <f>AR23*'R&amp;S - Transportation'!$G$4/SUM('R&amp;S - Transportation'!$G$4:$I$4)</f>
        <v>2.8821326345245071</v>
      </c>
      <c r="AS24" s="60">
        <f>AS23*'R&amp;S - Transportation'!$G$4/SUM('R&amp;S - Transportation'!$G$4:$I$4)</f>
        <v>2.9194430610742619</v>
      </c>
      <c r="AT24" s="60">
        <f>AT23*'R&amp;S - Transportation'!$G$4/SUM('R&amp;S - Transportation'!$G$4:$I$4)</f>
        <v>2.9572250725521263</v>
      </c>
      <c r="AU24" s="60">
        <f>AU23*'R&amp;S - Transportation'!$G$4/SUM('R&amp;S - Transportation'!$G$4:$I$4)</f>
        <v>3.0042775311366747</v>
      </c>
      <c r="AV24" s="60">
        <f>AV23*'R&amp;S - Transportation'!$G$4/SUM('R&amp;S - Transportation'!$G$4:$I$4)</f>
        <v>3.0520060168828058</v>
      </c>
      <c r="AW24" s="60">
        <f>AW23*'R&amp;S - Transportation'!$G$4/SUM('R&amp;S - Transportation'!$G$4:$I$4)</f>
        <v>3.1004196947983305</v>
      </c>
      <c r="AX24" s="60">
        <f>AX23*'R&amp;S - Transportation'!$G$4/SUM('R&amp;S - Transportation'!$G$4:$I$4)</f>
        <v>3.1495278495662347</v>
      </c>
      <c r="AY24" s="60">
        <f>AY23*'R&amp;S - Transportation'!$G$4/SUM('R&amp;S - Transportation'!$G$4:$I$4)</f>
        <v>3.1993398870668672</v>
      </c>
      <c r="AZ24" s="60">
        <f>AZ23*'R&amp;S - Transportation'!$G$4/SUM('R&amp;S - Transportation'!$G$4:$I$4)</f>
        <v>3.2498653359191128</v>
      </c>
      <c r="BA24" s="60">
        <f>BA23*'R&amp;S - Transportation'!$G$4/SUM('R&amp;S - Transportation'!$G$4:$I$4)</f>
        <v>3.3011138490407879</v>
      </c>
      <c r="BB24" s="60">
        <f>BB23*'R&amp;S - Transportation'!$G$4/SUM('R&amp;S - Transportation'!$G$4:$I$4)</f>
        <v>3.3530952052284992</v>
      </c>
      <c r="BC24" s="60">
        <f>BC23*'R&amp;S - Transportation'!$G$4/SUM('R&amp;S - Transportation'!$G$4:$I$4)</f>
        <v>3.4058193107571912</v>
      </c>
      <c r="BD24" s="60">
        <f>BD23*'R&amp;S - Transportation'!$G$4/SUM('R&amp;S - Transportation'!$G$4:$I$4)</f>
        <v>3.4592962009996406</v>
      </c>
      <c r="BE24" s="60">
        <f>BE23*'R&amp;S - Transportation'!$G$4/SUM('R&amp;S - Transportation'!$G$4:$I$4)</f>
        <v>3.506999230825079</v>
      </c>
      <c r="BF24" s="60">
        <f>BF23*'R&amp;S - Transportation'!$G$4/SUM('R&amp;S - Transportation'!$G$4:$I$4)</f>
        <v>3.5553322838258086</v>
      </c>
      <c r="BG24" s="60">
        <f>BG23*'R&amp;S - Transportation'!$G$4/SUM('R&amp;S - Transportation'!$G$4:$I$4)</f>
        <v>3.6043034389483553</v>
      </c>
      <c r="BH24" s="60">
        <f>BH23*'R&amp;S - Transportation'!$G$4/SUM('R&amp;S - Transportation'!$G$4:$I$4)</f>
        <v>3.6539208765394418</v>
      </c>
      <c r="BI24" s="60">
        <f>BI23*'R&amp;S - Transportation'!$G$4/SUM('R&amp;S - Transportation'!$G$4:$I$4)</f>
        <v>3.7041928795981014</v>
      </c>
      <c r="BJ24" s="60">
        <f>BJ23*'R&amp;S - Transportation'!$G$4/SUM('R&amp;S - Transportation'!$G$4:$I$4)</f>
        <v>3.7551278350430555</v>
      </c>
      <c r="BK24" s="60">
        <f>BK23*'R&amp;S - Transportation'!$G$4/SUM('R&amp;S - Transportation'!$G$4:$I$4)</f>
        <v>3.8067342349955502</v>
      </c>
      <c r="BL24" s="60">
        <f>BL23*'R&amp;S - Transportation'!$G$4/SUM('R&amp;S - Transportation'!$G$4:$I$4)</f>
        <v>3.8590206780778176</v>
      </c>
      <c r="BM24" s="60">
        <f>BM23*'R&amp;S - Transportation'!$G$4/SUM('R&amp;S - Transportation'!$G$4:$I$4)</f>
        <v>3.9119958707273685</v>
      </c>
      <c r="BN24" s="60">
        <f>BN23*'R&amp;S - Transportation'!$G$4/SUM('R&amp;S - Transportation'!$G$4:$I$4)</f>
        <v>3.9656686285272928</v>
      </c>
    </row>
    <row r="25" spans="1:85" outlineLevel="1">
      <c r="A25" s="753"/>
      <c r="B25" s="1" t="s">
        <v>8</v>
      </c>
      <c r="C25" s="54" t="s">
        <v>153</v>
      </c>
      <c r="D25" s="44">
        <f>D23*'R&amp;S - Transportation'!$H$4/SUM('R&amp;S - Transportation'!$G$4:$I$4)</f>
        <v>1.1465929107008392</v>
      </c>
      <c r="E25" s="44">
        <f>E23*'R&amp;S - Transportation'!$H$4/SUM('R&amp;S - Transportation'!$G$4:$I$4)</f>
        <v>1.1614725499141751</v>
      </c>
      <c r="F25" s="44">
        <f>F23*'R&amp;S - Transportation'!$H$4/SUM('R&amp;S - Transportation'!$G$4:$I$4)</f>
        <v>1.1765405987250948</v>
      </c>
      <c r="G25" s="44">
        <f>G23*'R&amp;S - Transportation'!$H$4/SUM('R&amp;S - Transportation'!$G$4:$I$4)</f>
        <v>1.1917993994702092</v>
      </c>
      <c r="H25" s="44">
        <f>H23*'R&amp;S - Transportation'!$H$4/SUM('R&amp;S - Transportation'!$G$4:$I$4)</f>
        <v>1.207251323195504</v>
      </c>
      <c r="I25" s="44">
        <f>I23*'R&amp;S - Transportation'!$H$4/SUM('R&amp;S - Transportation'!$G$4:$I$4)</f>
        <v>1.222898770004256</v>
      </c>
      <c r="J25" s="44">
        <f>J23*'R&amp;S - Transportation'!$H$4/SUM('R&amp;S - Transportation'!$G$4:$I$4)</f>
        <v>1.238744169409125</v>
      </c>
      <c r="K25" s="44">
        <f>K23*'R&amp;S - Transportation'!$H$4/SUM('R&amp;S - Transportation'!$G$4:$I$4)</f>
        <v>1.2547899806884764</v>
      </c>
      <c r="L25" s="44">
        <f>L23*'R&amp;S - Transportation'!$H$4/SUM('R&amp;S - Transportation'!$G$4:$I$4)</f>
        <v>1.2710386932469775</v>
      </c>
      <c r="M25" s="44">
        <f>M23*'R&amp;S - Transportation'!$H$4/SUM('R&amp;S - Transportation'!$G$4:$I$4)</f>
        <v>1.2874928269805248</v>
      </c>
      <c r="N25" s="44">
        <f>N23*'R&amp;S - Transportation'!$H$4/SUM('R&amp;S - Transportation'!$G$4:$I$4)</f>
        <v>1.3041549326455508</v>
      </c>
      <c r="O25" s="44">
        <f>O23*'R&amp;S - Transportation'!$H$4/SUM('R&amp;S - Transportation'!$G$4:$I$4)</f>
        <v>1.3249053640299235</v>
      </c>
      <c r="P25" s="44">
        <f>P23*'R&amp;S - Transportation'!$H$4/SUM('R&amp;S - Transportation'!$G$4:$I$4)</f>
        <v>1.3459539276618426</v>
      </c>
      <c r="Q25" s="44">
        <f>Q23*'R&amp;S - Transportation'!$H$4/SUM('R&amp;S - Transportation'!$G$4:$I$4)</f>
        <v>1.3673046653676317</v>
      </c>
      <c r="R25" s="44">
        <f>R23*'R&amp;S - Transportation'!$H$4/SUM('R&amp;S - Transportation'!$G$4:$I$4)</f>
        <v>1.3889616717511237</v>
      </c>
      <c r="S25" s="44">
        <f>S23*'R&amp;S - Transportation'!$H$4/SUM('R&amp;S - Transportation'!$G$4:$I$4)</f>
        <v>1.4109290948649522</v>
      </c>
      <c r="T25" s="44">
        <f>T23*'R&amp;S - Transportation'!$H$4/SUM('R&amp;S - Transportation'!$G$4:$I$4)</f>
        <v>1.4332111368902216</v>
      </c>
      <c r="U25" s="44">
        <f>U23*'R&amp;S - Transportation'!$H$4/SUM('R&amp;S - Transportation'!$G$4:$I$4)</f>
        <v>1.4558120548246496</v>
      </c>
      <c r="V25" s="44">
        <f>V23*'R&amp;S - Transportation'!$H$4/SUM('R&amp;S - Transportation'!$G$4:$I$4)</f>
        <v>1.4787361611792949</v>
      </c>
      <c r="W25" s="44">
        <f>W23*'R&amp;S - Transportation'!$H$4/SUM('R&amp;S - Transportation'!$G$4:$I$4)</f>
        <v>1.5019878246839691</v>
      </c>
      <c r="X25" s="44">
        <f>X23*'R&amp;S - Transportation'!$H$4/SUM('R&amp;S - Transportation'!$G$4:$I$4)</f>
        <v>1.525571471001443</v>
      </c>
      <c r="Y25" s="44">
        <f>Y23*'R&amp;S - Transportation'!$H$4/SUM('R&amp;S - Transportation'!$G$4:$I$4)</f>
        <v>1.5466088084115757</v>
      </c>
      <c r="Z25" s="44">
        <f>Z23*'R&amp;S - Transportation'!$H$4/SUM('R&amp;S - Transportation'!$G$4:$I$4)</f>
        <v>1.5679239900207729</v>
      </c>
      <c r="AA25" s="44">
        <f>AA23*'R&amp;S - Transportation'!$H$4/SUM('R&amp;S - Transportation'!$G$4:$I$4)</f>
        <v>1.5895205786954734</v>
      </c>
      <c r="AB25" s="44">
        <f>AB23*'R&amp;S - Transportation'!$H$4/SUM('R&amp;S - Transportation'!$G$4:$I$4)</f>
        <v>1.6114021820202431</v>
      </c>
      <c r="AC25" s="44">
        <f>AC23*'R&amp;S - Transportation'!$H$4/SUM('R&amp;S - Transportation'!$G$4:$I$4)</f>
        <v>1.6335724528499647</v>
      </c>
      <c r="AD25" s="44">
        <f>AD23*'R&amp;S - Transportation'!$H$4/SUM('R&amp;S - Transportation'!$G$4:$I$4)</f>
        <v>1.6560350898687595</v>
      </c>
      <c r="AE25" s="44">
        <f>AE23*'R&amp;S - Transportation'!$H$4/SUM('R&amp;S - Transportation'!$G$4:$I$4)</f>
        <v>1.6787938381557275</v>
      </c>
      <c r="AF25" s="44">
        <f>AF23*'R&amp;S - Transportation'!$H$4/SUM('R&amp;S - Transportation'!$G$4:$I$4)</f>
        <v>1.7018524897575762</v>
      </c>
      <c r="AG25" s="44">
        <f>AG23*'R&amp;S - Transportation'!$H$4/SUM('R&amp;S - Transportation'!$G$4:$I$4)</f>
        <v>1.72521488426823</v>
      </c>
      <c r="AH25" s="44">
        <f>AH23*'R&amp;S - Transportation'!$H$4/SUM('R&amp;S - Transportation'!$G$4:$I$4)</f>
        <v>1.7488849094155048</v>
      </c>
      <c r="AJ25" s="44">
        <f>AJ23*'R&amp;S - Transportation'!$H$4/SUM('R&amp;S - Transportation'!$G$4:$I$4)</f>
        <v>1.1465929107008392</v>
      </c>
      <c r="AK25" s="44">
        <f>AK23*'R&amp;S - Transportation'!$H$4/SUM('R&amp;S - Transportation'!$G$4:$I$4)</f>
        <v>1.1614725499141751</v>
      </c>
      <c r="AL25" s="44">
        <f>AL23*'R&amp;S - Transportation'!$H$4/SUM('R&amp;S - Transportation'!$G$4:$I$4)</f>
        <v>1.1765405987250948</v>
      </c>
      <c r="AM25" s="44">
        <f>AM23*'R&amp;S - Transportation'!$H$4/SUM('R&amp;S - Transportation'!$G$4:$I$4)</f>
        <v>1.1917993994702092</v>
      </c>
      <c r="AN25" s="44">
        <f>AN23*'R&amp;S - Transportation'!$H$4/SUM('R&amp;S - Transportation'!$G$4:$I$4)</f>
        <v>1.207251323195504</v>
      </c>
      <c r="AO25" s="44">
        <f>AO23*'R&amp;S - Transportation'!$H$4/SUM('R&amp;S - Transportation'!$G$4:$I$4)</f>
        <v>1.222898770004256</v>
      </c>
      <c r="AP25" s="44">
        <f>AP23*'R&amp;S - Transportation'!$H$4/SUM('R&amp;S - Transportation'!$G$4:$I$4)</f>
        <v>1.238744169409125</v>
      </c>
      <c r="AQ25" s="44">
        <f>AQ23*'R&amp;S - Transportation'!$H$4/SUM('R&amp;S - Transportation'!$G$4:$I$4)</f>
        <v>1.2547899806884764</v>
      </c>
      <c r="AR25" s="44">
        <f>AR23*'R&amp;S - Transportation'!$H$4/SUM('R&amp;S - Transportation'!$G$4:$I$4)</f>
        <v>1.2710386932469775</v>
      </c>
      <c r="AS25" s="44">
        <f>AS23*'R&amp;S - Transportation'!$H$4/SUM('R&amp;S - Transportation'!$G$4:$I$4)</f>
        <v>1.2874928269805248</v>
      </c>
      <c r="AT25" s="44">
        <f>AT23*'R&amp;S - Transportation'!$H$4/SUM('R&amp;S - Transportation'!$G$4:$I$4)</f>
        <v>1.3041549326455508</v>
      </c>
      <c r="AU25" s="44">
        <f>AU23*'R&amp;S - Transportation'!$H$4/SUM('R&amp;S - Transportation'!$G$4:$I$4)</f>
        <v>1.3249053640299235</v>
      </c>
      <c r="AV25" s="44">
        <f>AV23*'R&amp;S - Transportation'!$H$4/SUM('R&amp;S - Transportation'!$G$4:$I$4)</f>
        <v>1.3459539276618426</v>
      </c>
      <c r="AW25" s="44">
        <f>AW23*'R&amp;S - Transportation'!$H$4/SUM('R&amp;S - Transportation'!$G$4:$I$4)</f>
        <v>1.3673046653676317</v>
      </c>
      <c r="AX25" s="44">
        <f>AX23*'R&amp;S - Transportation'!$H$4/SUM('R&amp;S - Transportation'!$G$4:$I$4)</f>
        <v>1.3889616717511237</v>
      </c>
      <c r="AY25" s="44">
        <f>AY23*'R&amp;S - Transportation'!$H$4/SUM('R&amp;S - Transportation'!$G$4:$I$4)</f>
        <v>1.4109290948649522</v>
      </c>
      <c r="AZ25" s="44">
        <f>AZ23*'R&amp;S - Transportation'!$H$4/SUM('R&amp;S - Transportation'!$G$4:$I$4)</f>
        <v>1.4332111368902216</v>
      </c>
      <c r="BA25" s="44">
        <f>BA23*'R&amp;S - Transportation'!$H$4/SUM('R&amp;S - Transportation'!$G$4:$I$4)</f>
        <v>1.4558120548246496</v>
      </c>
      <c r="BB25" s="44">
        <f>BB23*'R&amp;S - Transportation'!$H$4/SUM('R&amp;S - Transportation'!$G$4:$I$4)</f>
        <v>1.4787361611792949</v>
      </c>
      <c r="BC25" s="44">
        <f>BC23*'R&amp;S - Transportation'!$H$4/SUM('R&amp;S - Transportation'!$G$4:$I$4)</f>
        <v>1.5019878246839691</v>
      </c>
      <c r="BD25" s="44">
        <f>BD23*'R&amp;S - Transportation'!$H$4/SUM('R&amp;S - Transportation'!$G$4:$I$4)</f>
        <v>1.525571471001443</v>
      </c>
      <c r="BE25" s="44">
        <f>BE23*'R&amp;S - Transportation'!$H$4/SUM('R&amp;S - Transportation'!$G$4:$I$4)</f>
        <v>1.5466088084115757</v>
      </c>
      <c r="BF25" s="44">
        <f>BF23*'R&amp;S - Transportation'!$H$4/SUM('R&amp;S - Transportation'!$G$4:$I$4)</f>
        <v>1.5679239900207729</v>
      </c>
      <c r="BG25" s="44">
        <f>BG23*'R&amp;S - Transportation'!$H$4/SUM('R&amp;S - Transportation'!$G$4:$I$4)</f>
        <v>1.5895205786954734</v>
      </c>
      <c r="BH25" s="44">
        <f>BH23*'R&amp;S - Transportation'!$H$4/SUM('R&amp;S - Transportation'!$G$4:$I$4)</f>
        <v>1.6114021820202431</v>
      </c>
      <c r="BI25" s="44">
        <f>BI23*'R&amp;S - Transportation'!$H$4/SUM('R&amp;S - Transportation'!$G$4:$I$4)</f>
        <v>1.6335724528499647</v>
      </c>
      <c r="BJ25" s="44">
        <f>BJ23*'R&amp;S - Transportation'!$H$4/SUM('R&amp;S - Transportation'!$G$4:$I$4)</f>
        <v>1.6560350898687595</v>
      </c>
      <c r="BK25" s="44">
        <f>BK23*'R&amp;S - Transportation'!$H$4/SUM('R&amp;S - Transportation'!$G$4:$I$4)</f>
        <v>1.6787938381557275</v>
      </c>
      <c r="BL25" s="44">
        <f>BL23*'R&amp;S - Transportation'!$H$4/SUM('R&amp;S - Transportation'!$G$4:$I$4)</f>
        <v>1.7018524897575762</v>
      </c>
      <c r="BM25" s="44">
        <f>BM23*'R&amp;S - Transportation'!$H$4/SUM('R&amp;S - Transportation'!$G$4:$I$4)</f>
        <v>1.72521488426823</v>
      </c>
      <c r="BN25" s="44">
        <f>BN23*'R&amp;S - Transportation'!$H$4/SUM('R&amp;S - Transportation'!$G$4:$I$4)</f>
        <v>1.7488849094155048</v>
      </c>
    </row>
    <row r="26" spans="1:85" s="68" customFormat="1" outlineLevel="1">
      <c r="A26" s="754"/>
      <c r="B26" s="62" t="s">
        <v>166</v>
      </c>
      <c r="C26" s="283" t="s">
        <v>153</v>
      </c>
      <c r="D26" s="284">
        <f>D23*'R&amp;S - Transportation'!$I$4/SUM('R&amp;S - Transportation'!$G$4:$I$4)</f>
        <v>0.74407612749267826</v>
      </c>
      <c r="E26" s="284">
        <f>E23*'R&amp;S - Transportation'!$I$4/SUM('R&amp;S - Transportation'!$G$4:$I$4)</f>
        <v>0.7537322000368385</v>
      </c>
      <c r="F26" s="284">
        <f>F23*'R&amp;S - Transportation'!$I$4/SUM('R&amp;S - Transportation'!$G$4:$I$4)</f>
        <v>0.76351054011156194</v>
      </c>
      <c r="G26" s="284">
        <f>G23*'R&amp;S - Transportation'!$I$4/SUM('R&amp;S - Transportation'!$G$4:$I$4)</f>
        <v>0.77341266776527928</v>
      </c>
      <c r="H26" s="284">
        <f>H23*'R&amp;S - Transportation'!$I$4/SUM('R&amp;S - Transportation'!$G$4:$I$4)</f>
        <v>0.78344012167723664</v>
      </c>
      <c r="I26" s="284">
        <f>I23*'R&amp;S - Transportation'!$I$4/SUM('R&amp;S - Transportation'!$G$4:$I$4)</f>
        <v>0.79359445938327311</v>
      </c>
      <c r="J26" s="284">
        <f>J23*'R&amp;S - Transportation'!$I$4/SUM('R&amp;S - Transportation'!$G$4:$I$4)</f>
        <v>0.80387725750431094</v>
      </c>
      <c r="K26" s="284">
        <f>K23*'R&amp;S - Transportation'!$I$4/SUM('R&amp;S - Transportation'!$G$4:$I$4)</f>
        <v>0.81429011197758727</v>
      </c>
      <c r="L26" s="284">
        <f>L23*'R&amp;S - Transportation'!$I$4/SUM('R&amp;S - Transportation'!$G$4:$I$4)</f>
        <v>0.82483463829066295</v>
      </c>
      <c r="M26" s="284">
        <f>M23*'R&amp;S - Transportation'!$I$4/SUM('R&amp;S - Transportation'!$G$4:$I$4)</f>
        <v>0.83551247171824028</v>
      </c>
      <c r="N26" s="284">
        <f>N23*'R&amp;S - Transportation'!$I$4/SUM('R&amp;S - Transportation'!$G$4:$I$4)</f>
        <v>0.84632526756182203</v>
      </c>
      <c r="O26" s="284">
        <f>O23*'R&amp;S - Transportation'!$I$4/SUM('R&amp;S - Transportation'!$G$4:$I$4)</f>
        <v>0.85979116333371308</v>
      </c>
      <c r="P26" s="284">
        <f>P23*'R&amp;S - Transportation'!$I$4/SUM('R&amp;S - Transportation'!$G$4:$I$4)</f>
        <v>0.87345053063866918</v>
      </c>
      <c r="Q26" s="284">
        <f>Q23*'R&amp;S - Transportation'!$I$4/SUM('R&amp;S - Transportation'!$G$4:$I$4)</f>
        <v>0.88730599240105279</v>
      </c>
      <c r="R26" s="284">
        <f>R23*'R&amp;S - Transportation'!$I$4/SUM('R&amp;S - Transportation'!$G$4:$I$4)</f>
        <v>0.90136020579494436</v>
      </c>
      <c r="S26" s="284">
        <f>S23*'R&amp;S - Transportation'!$I$4/SUM('R&amp;S - Transportation'!$G$4:$I$4)</f>
        <v>0.91561586267977535</v>
      </c>
      <c r="T26" s="284">
        <f>T23*'R&amp;S - Transportation'!$I$4/SUM('R&amp;S - Transportation'!$G$4:$I$4)</f>
        <v>0.93007569004139523</v>
      </c>
      <c r="U26" s="284">
        <f>U23*'R&amp;S - Transportation'!$I$4/SUM('R&amp;S - Transportation'!$G$4:$I$4)</f>
        <v>0.94474245043864025</v>
      </c>
      <c r="V26" s="284">
        <f>V23*'R&amp;S - Transportation'!$I$4/SUM('R&amp;S - Transportation'!$G$4:$I$4)</f>
        <v>0.95961894245547019</v>
      </c>
      <c r="W26" s="284">
        <f>W23*'R&amp;S - Transportation'!$I$4/SUM('R&amp;S - Transportation'!$G$4:$I$4)</f>
        <v>0.97470800115874257</v>
      </c>
      <c r="X26" s="284">
        <f>X23*'R&amp;S - Transportation'!$I$4/SUM('R&amp;S - Transportation'!$G$4:$I$4)</f>
        <v>0.99001249856169349</v>
      </c>
      <c r="Y26" s="284">
        <f>Y23*'R&amp;S - Transportation'!$I$4/SUM('R&amp;S - Transportation'!$G$4:$I$4)</f>
        <v>1.0036645806623237</v>
      </c>
      <c r="Z26" s="284">
        <f>Z23*'R&amp;S - Transportation'!$I$4/SUM('R&amp;S - Transportation'!$G$4:$I$4)</f>
        <v>1.0174969684614774</v>
      </c>
      <c r="AA26" s="284">
        <f>AA23*'R&amp;S - Transportation'!$I$4/SUM('R&amp;S - Transportation'!$G$4:$I$4)</f>
        <v>1.0315119740647312</v>
      </c>
      <c r="AB26" s="284">
        <f>AB23*'R&amp;S - Transportation'!$I$4/SUM('R&amp;S - Transportation'!$G$4:$I$4)</f>
        <v>1.0457119385972815</v>
      </c>
      <c r="AC26" s="284">
        <f>AC23*'R&amp;S - Transportation'!$I$4/SUM('R&amp;S - Transportation'!$G$4:$I$4)</f>
        <v>1.060099232562286</v>
      </c>
      <c r="AD26" s="284">
        <f>AD23*'R&amp;S - Transportation'!$I$4/SUM('R&amp;S - Transportation'!$G$4:$I$4)</f>
        <v>1.0746762562035734</v>
      </c>
      <c r="AE26" s="284">
        <f>AE23*'R&amp;S - Transportation'!$I$4/SUM('R&amp;S - Transportation'!$G$4:$I$4)</f>
        <v>1.0894454398727773</v>
      </c>
      <c r="AF26" s="284">
        <f>AF23*'R&amp;S - Transportation'!$I$4/SUM('R&amp;S - Transportation'!$G$4:$I$4)</f>
        <v>1.1044092444009415</v>
      </c>
      <c r="AG26" s="284">
        <f>AG23*'R&amp;S - Transportation'!$I$4/SUM('R&amp;S - Transportation'!$G$4:$I$4)</f>
        <v>1.1195701614746554</v>
      </c>
      <c r="AH26" s="284">
        <f>AH23*'R&amp;S - Transportation'!$I$4/SUM('R&amp;S - Transportation'!$G$4:$I$4)</f>
        <v>1.1349307140167719</v>
      </c>
      <c r="AJ26" s="284">
        <f>AJ23*'R&amp;S - Transportation'!$I$4/SUM('R&amp;S - Transportation'!$G$4:$I$4)</f>
        <v>0.74407612749267826</v>
      </c>
      <c r="AK26" s="284">
        <f>AK23*'R&amp;S - Transportation'!$I$4/SUM('R&amp;S - Transportation'!$G$4:$I$4)</f>
        <v>0.7537322000368385</v>
      </c>
      <c r="AL26" s="284">
        <f>AL23*'R&amp;S - Transportation'!$I$4/SUM('R&amp;S - Transportation'!$G$4:$I$4)</f>
        <v>0.76351054011156194</v>
      </c>
      <c r="AM26" s="284">
        <f>AM23*'R&amp;S - Transportation'!$I$4/SUM('R&amp;S - Transportation'!$G$4:$I$4)</f>
        <v>0.77341266776527928</v>
      </c>
      <c r="AN26" s="284">
        <f>AN23*'R&amp;S - Transportation'!$I$4/SUM('R&amp;S - Transportation'!$G$4:$I$4)</f>
        <v>0.78344012167723664</v>
      </c>
      <c r="AO26" s="284">
        <f>AO23*'R&amp;S - Transportation'!$I$4/SUM('R&amp;S - Transportation'!$G$4:$I$4)</f>
        <v>0.79359445938327311</v>
      </c>
      <c r="AP26" s="284">
        <f>AP23*'R&amp;S - Transportation'!$I$4/SUM('R&amp;S - Transportation'!$G$4:$I$4)</f>
        <v>0.80387725750431094</v>
      </c>
      <c r="AQ26" s="284">
        <f>AQ23*'R&amp;S - Transportation'!$I$4/SUM('R&amp;S - Transportation'!$G$4:$I$4)</f>
        <v>0.81429011197758727</v>
      </c>
      <c r="AR26" s="284">
        <f>AR23*'R&amp;S - Transportation'!$I$4/SUM('R&amp;S - Transportation'!$G$4:$I$4)</f>
        <v>0.82483463829066295</v>
      </c>
      <c r="AS26" s="284">
        <f>AS23*'R&amp;S - Transportation'!$I$4/SUM('R&amp;S - Transportation'!$G$4:$I$4)</f>
        <v>0.83551247171824028</v>
      </c>
      <c r="AT26" s="284">
        <f>AT23*'R&amp;S - Transportation'!$I$4/SUM('R&amp;S - Transportation'!$G$4:$I$4)</f>
        <v>0.84632526756182203</v>
      </c>
      <c r="AU26" s="284">
        <f>AU23*'R&amp;S - Transportation'!$I$4/SUM('R&amp;S - Transportation'!$G$4:$I$4)</f>
        <v>0.85979116333371308</v>
      </c>
      <c r="AV26" s="284">
        <f>AV23*'R&amp;S - Transportation'!$I$4/SUM('R&amp;S - Transportation'!$G$4:$I$4)</f>
        <v>0.87345053063866918</v>
      </c>
      <c r="AW26" s="284">
        <f>AW23*'R&amp;S - Transportation'!$I$4/SUM('R&amp;S - Transportation'!$G$4:$I$4)</f>
        <v>0.88730599240105279</v>
      </c>
      <c r="AX26" s="284">
        <f>AX23*'R&amp;S - Transportation'!$I$4/SUM('R&amp;S - Transportation'!$G$4:$I$4)</f>
        <v>0.90136020579494436</v>
      </c>
      <c r="AY26" s="284">
        <f>AY23*'R&amp;S - Transportation'!$I$4/SUM('R&amp;S - Transportation'!$G$4:$I$4)</f>
        <v>0.91561586267977535</v>
      </c>
      <c r="AZ26" s="284">
        <f>AZ23*'R&amp;S - Transportation'!$I$4/SUM('R&amp;S - Transportation'!$G$4:$I$4)</f>
        <v>0.93007569004139523</v>
      </c>
      <c r="BA26" s="284">
        <f>BA23*'R&amp;S - Transportation'!$I$4/SUM('R&amp;S - Transportation'!$G$4:$I$4)</f>
        <v>0.94474245043864025</v>
      </c>
      <c r="BB26" s="284">
        <f>BB23*'R&amp;S - Transportation'!$I$4/SUM('R&amp;S - Transportation'!$G$4:$I$4)</f>
        <v>0.95961894245547019</v>
      </c>
      <c r="BC26" s="284">
        <f>BC23*'R&amp;S - Transportation'!$I$4/SUM('R&amp;S - Transportation'!$G$4:$I$4)</f>
        <v>0.97470800115874257</v>
      </c>
      <c r="BD26" s="284">
        <f>BD23*'R&amp;S - Transportation'!$I$4/SUM('R&amp;S - Transportation'!$G$4:$I$4)</f>
        <v>0.99001249856169349</v>
      </c>
      <c r="BE26" s="284">
        <f>BE23*'R&amp;S - Transportation'!$I$4/SUM('R&amp;S - Transportation'!$G$4:$I$4)</f>
        <v>1.0036645806623237</v>
      </c>
      <c r="BF26" s="284">
        <f>BF23*'R&amp;S - Transportation'!$I$4/SUM('R&amp;S - Transportation'!$G$4:$I$4)</f>
        <v>1.0174969684614774</v>
      </c>
      <c r="BG26" s="284">
        <f>BG23*'R&amp;S - Transportation'!$I$4/SUM('R&amp;S - Transportation'!$G$4:$I$4)</f>
        <v>1.0315119740647312</v>
      </c>
      <c r="BH26" s="284">
        <f>BH23*'R&amp;S - Transportation'!$I$4/SUM('R&amp;S - Transportation'!$G$4:$I$4)</f>
        <v>1.0457119385972815</v>
      </c>
      <c r="BI26" s="284">
        <f>BI23*'R&amp;S - Transportation'!$I$4/SUM('R&amp;S - Transportation'!$G$4:$I$4)</f>
        <v>1.060099232562286</v>
      </c>
      <c r="BJ26" s="284">
        <f>BJ23*'R&amp;S - Transportation'!$I$4/SUM('R&amp;S - Transportation'!$G$4:$I$4)</f>
        <v>1.0746762562035734</v>
      </c>
      <c r="BK26" s="284">
        <f>BK23*'R&amp;S - Transportation'!$I$4/SUM('R&amp;S - Transportation'!$G$4:$I$4)</f>
        <v>1.0894454398727773</v>
      </c>
      <c r="BL26" s="284">
        <f>BL23*'R&amp;S - Transportation'!$I$4/SUM('R&amp;S - Transportation'!$G$4:$I$4)</f>
        <v>1.1044092444009415</v>
      </c>
      <c r="BM26" s="284">
        <f>BM23*'R&amp;S - Transportation'!$I$4/SUM('R&amp;S - Transportation'!$G$4:$I$4)</f>
        <v>1.1195701614746554</v>
      </c>
      <c r="BN26" s="284">
        <f>BN23*'R&amp;S - Transportation'!$I$4/SUM('R&amp;S - Transportation'!$G$4:$I$4)</f>
        <v>1.1349307140167719</v>
      </c>
    </row>
    <row r="27" spans="1:85" s="1" customFormat="1" outlineLevel="1">
      <c r="A27" s="1" t="s">
        <v>198</v>
      </c>
      <c r="B27" s="1" t="s">
        <v>199</v>
      </c>
      <c r="C27" s="65" t="s">
        <v>153</v>
      </c>
      <c r="D27" s="66">
        <f>SUM('R&amp;S - Packaging and hh goods'!L4:N4)</f>
        <v>45.090956546267236</v>
      </c>
      <c r="E27" s="66">
        <f>D27*(1+'R&amp;S - Packaging and hh goods'!$E$5)</f>
        <v>45.58695706827617</v>
      </c>
      <c r="F27" s="66">
        <f>E27*(1+'R&amp;S - Packaging and hh goods'!$E$5)</f>
        <v>46.088413596027202</v>
      </c>
      <c r="G27" s="66">
        <f>F27*(1+'R&amp;S - Packaging and hh goods'!$E$5)</f>
        <v>46.595386145583497</v>
      </c>
      <c r="H27" s="66">
        <f>G27*(1+'R&amp;S - Packaging and hh goods'!$E$5)</f>
        <v>47.10793539318491</v>
      </c>
      <c r="I27" s="66">
        <f>H27*(1+'R&amp;S - Packaging and hh goods'!$E$5)</f>
        <v>47.626122682509937</v>
      </c>
      <c r="J27" s="66">
        <f>I27*(1+'R&amp;S - Packaging and hh goods'!$E$5)</f>
        <v>48.150010032017541</v>
      </c>
      <c r="K27" s="66">
        <f>J27*(1+'R&amp;S - Packaging and hh goods'!$E$5)</f>
        <v>48.679660142369727</v>
      </c>
      <c r="L27" s="66">
        <f>K27*(1+'R&amp;S - Packaging and hh goods'!$E$5)</f>
        <v>49.215136403935787</v>
      </c>
      <c r="M27" s="66">
        <f>L27*(1+'R&amp;S - Packaging and hh goods'!$E$5)</f>
        <v>49.756502904379076</v>
      </c>
      <c r="N27" s="66">
        <f>M27*(1+'R&amp;S - Packaging and hh goods'!$E$5)</f>
        <v>50.30382443632724</v>
      </c>
      <c r="O27" s="180">
        <f>N27*(1+'R&amp;S - Packaging and hh goods'!$E$5)</f>
        <v>50.857166505126834</v>
      </c>
      <c r="P27" s="66">
        <f>O27*(1+'R&amp;S - Packaging and hh goods'!$E$5)</f>
        <v>51.416595336683223</v>
      </c>
      <c r="Q27" s="66">
        <f>P27*(1+'R&amp;S - Packaging and hh goods'!$E$5)</f>
        <v>51.982177885386733</v>
      </c>
      <c r="R27" s="66">
        <f>Q27*(1+'R&amp;S - Packaging and hh goods'!$E$5)</f>
        <v>52.553981842125985</v>
      </c>
      <c r="S27" s="66">
        <f>R27*(1+'R&amp;S - Packaging and hh goods'!$E$5)</f>
        <v>53.132075642389367</v>
      </c>
      <c r="T27" s="66">
        <f>S27*(1+'R&amp;S - Packaging and hh goods'!$E$5)</f>
        <v>53.716528474455643</v>
      </c>
      <c r="U27" s="66">
        <f>T27*(1+'R&amp;S - Packaging and hh goods'!$E$5)</f>
        <v>54.307410287674649</v>
      </c>
      <c r="V27" s="66">
        <f>U27*(1+'R&amp;S - Packaging and hh goods'!$E$5)</f>
        <v>54.904791800839064</v>
      </c>
      <c r="W27" s="66">
        <f>V27*(1+'R&amp;S - Packaging and hh goods'!$E$5)</f>
        <v>55.508744510648285</v>
      </c>
      <c r="X27" s="66">
        <f>W27*(1+'R&amp;S - Packaging and hh goods'!$E$5)</f>
        <v>56.119340700265411</v>
      </c>
      <c r="Y27" s="180">
        <f>X27*(1+'R&amp;S - Packaging and hh goods'!$E$5)</f>
        <v>56.736653447968322</v>
      </c>
      <c r="Z27" s="66">
        <f>Y27*(1+'R&amp;S - Packaging and hh goods'!$E$5)</f>
        <v>57.360756635895967</v>
      </c>
      <c r="AA27" s="66">
        <f>Z27*(1+'R&amp;S - Packaging and hh goods'!$E$5)</f>
        <v>57.991724958890821</v>
      </c>
      <c r="AB27" s="66">
        <f>AA27*(1+'R&amp;S - Packaging and hh goods'!$E$5)</f>
        <v>58.629633933438612</v>
      </c>
      <c r="AC27" s="66">
        <f>AB27*(1+'R&amp;S - Packaging and hh goods'!$E$5)</f>
        <v>59.274559906706429</v>
      </c>
      <c r="AD27" s="66">
        <f>AC27*(1+'R&amp;S - Packaging and hh goods'!$E$5)</f>
        <v>59.926580065680191</v>
      </c>
      <c r="AE27" s="66">
        <f>AD27*(1+'R&amp;S - Packaging and hh goods'!$E$5)</f>
        <v>60.585772446402665</v>
      </c>
      <c r="AF27" s="66">
        <f>AE27*(1+'R&amp;S - Packaging and hh goods'!$E$5)</f>
        <v>61.252215943313089</v>
      </c>
      <c r="AG27" s="66">
        <f>AF27*(1+'R&amp;S - Packaging and hh goods'!$E$5)</f>
        <v>61.925990318689529</v>
      </c>
      <c r="AH27" s="66">
        <f>AG27*(1+'R&amp;S - Packaging and hh goods'!$E$5)</f>
        <v>62.607176212195107</v>
      </c>
      <c r="AJ27" s="66">
        <f>D27</f>
        <v>45.090956546267236</v>
      </c>
      <c r="AK27" s="66">
        <f t="shared" ref="AK27:BN27" si="22">E27</f>
        <v>45.58695706827617</v>
      </c>
      <c r="AL27" s="66">
        <f t="shared" si="22"/>
        <v>46.088413596027202</v>
      </c>
      <c r="AM27" s="66">
        <f t="shared" si="22"/>
        <v>46.595386145583497</v>
      </c>
      <c r="AN27" s="66">
        <f t="shared" si="22"/>
        <v>47.10793539318491</v>
      </c>
      <c r="AO27" s="66">
        <f t="shared" si="22"/>
        <v>47.626122682509937</v>
      </c>
      <c r="AP27" s="66">
        <f t="shared" si="22"/>
        <v>48.150010032017541</v>
      </c>
      <c r="AQ27" s="66">
        <f t="shared" si="22"/>
        <v>48.679660142369727</v>
      </c>
      <c r="AR27" s="66">
        <f t="shared" si="22"/>
        <v>49.215136403935787</v>
      </c>
      <c r="AS27" s="66">
        <f t="shared" si="22"/>
        <v>49.756502904379076</v>
      </c>
      <c r="AT27" s="66">
        <f t="shared" si="22"/>
        <v>50.30382443632724</v>
      </c>
      <c r="AU27" s="66">
        <f t="shared" si="22"/>
        <v>50.857166505126834</v>
      </c>
      <c r="AV27" s="66">
        <f t="shared" si="22"/>
        <v>51.416595336683223</v>
      </c>
      <c r="AW27" s="66">
        <f t="shared" si="22"/>
        <v>51.982177885386733</v>
      </c>
      <c r="AX27" s="66">
        <f t="shared" si="22"/>
        <v>52.553981842125985</v>
      </c>
      <c r="AY27" s="66">
        <f t="shared" si="22"/>
        <v>53.132075642389367</v>
      </c>
      <c r="AZ27" s="66">
        <f t="shared" si="22"/>
        <v>53.716528474455643</v>
      </c>
      <c r="BA27" s="66">
        <f t="shared" si="22"/>
        <v>54.307410287674649</v>
      </c>
      <c r="BB27" s="66">
        <f t="shared" si="22"/>
        <v>54.904791800839064</v>
      </c>
      <c r="BC27" s="66">
        <f t="shared" si="22"/>
        <v>55.508744510648285</v>
      </c>
      <c r="BD27" s="66">
        <f t="shared" si="22"/>
        <v>56.119340700265411</v>
      </c>
      <c r="BE27" s="66">
        <f t="shared" si="22"/>
        <v>56.736653447968322</v>
      </c>
      <c r="BF27" s="66">
        <f t="shared" si="22"/>
        <v>57.360756635895967</v>
      </c>
      <c r="BG27" s="66">
        <f t="shared" si="22"/>
        <v>57.991724958890821</v>
      </c>
      <c r="BH27" s="66">
        <f t="shared" si="22"/>
        <v>58.629633933438612</v>
      </c>
      <c r="BI27" s="66">
        <f t="shared" si="22"/>
        <v>59.274559906706429</v>
      </c>
      <c r="BJ27" s="66">
        <f t="shared" si="22"/>
        <v>59.926580065680191</v>
      </c>
      <c r="BK27" s="66">
        <f t="shared" si="22"/>
        <v>60.585772446402665</v>
      </c>
      <c r="BL27" s="66">
        <f t="shared" si="22"/>
        <v>61.252215943313089</v>
      </c>
      <c r="BM27" s="66">
        <f t="shared" si="22"/>
        <v>61.925990318689529</v>
      </c>
      <c r="BN27" s="66">
        <f t="shared" si="22"/>
        <v>62.607176212195107</v>
      </c>
      <c r="BR27" s="66" t="e">
        <f>#REF!</f>
        <v>#REF!</v>
      </c>
      <c r="BS27" s="66" t="e">
        <f>#REF!</f>
        <v>#REF!</v>
      </c>
    </row>
    <row r="28" spans="1:85" outlineLevel="1">
      <c r="B28" s="61" t="s">
        <v>25</v>
      </c>
      <c r="C28" s="54" t="s">
        <v>153</v>
      </c>
      <c r="D28" s="43">
        <v>0</v>
      </c>
      <c r="E28" s="43">
        <f>E27*'R&amp;S - Packaging and hh goods'!$L$4/SUM('R&amp;S - Packaging and hh goods'!$L$4:$N$4)*'R&amp;S - Packaging and hh goods'!$E$7*('R&amp;S - Packaging and hh goods'!$H$14*'R&amp;S - Packaging and hh goods'!$Z$19*(E$3-$D$3)/10)+E27*'R&amp;S - Packaging and hh goods'!$M$4/SUM('R&amp;S - Packaging and hh goods'!$L$4:$N$4)*'R&amp;S - Packaging and hh goods'!$F$7*('R&amp;S - Packaging and hh goods'!$J$14*'R&amp;S - Packaging and hh goods'!$AE$19*(E$3-$D$3)/10)+E27*'R&amp;S - Packaging and hh goods'!$N$4/SUM('R&amp;S - Packaging and hh goods'!$L$4:$N$4)*'R&amp;S - Packaging and hh goods'!$G$7*('R&amp;S - Packaging and hh goods'!$L$14*'R&amp;S - Packaging and hh goods'!$AJ$19*(E$3-$D$3)/10)</f>
        <v>0</v>
      </c>
      <c r="F28" s="43">
        <f>F27*'R&amp;S - Packaging and hh goods'!$L$4/SUM('R&amp;S - Packaging and hh goods'!$L$4:$N$4)*'R&amp;S - Packaging and hh goods'!$E$7*('R&amp;S - Packaging and hh goods'!$H$14*'R&amp;S - Packaging and hh goods'!$Z$19*(F$3-$D$3)/10)+F27*'R&amp;S - Packaging and hh goods'!$M$4/SUM('R&amp;S - Packaging and hh goods'!$L$4:$N$4)*'R&amp;S - Packaging and hh goods'!$F$7*('R&amp;S - Packaging and hh goods'!$J$14*'R&amp;S - Packaging and hh goods'!$AE$19*(F$3-$D$3)/10)+F27*'R&amp;S - Packaging and hh goods'!$N$4/SUM('R&amp;S - Packaging and hh goods'!$L$4:$N$4)*'R&amp;S - Packaging and hh goods'!$G$7*('R&amp;S - Packaging and hh goods'!$L$14*'R&amp;S - Packaging and hh goods'!$AJ$19*(F$3-$D$3)/10)</f>
        <v>0</v>
      </c>
      <c r="G28" s="43">
        <f>G27*'R&amp;S - Packaging and hh goods'!$L$4/SUM('R&amp;S - Packaging and hh goods'!$L$4:$N$4)*'R&amp;S - Packaging and hh goods'!$E$7*('R&amp;S - Packaging and hh goods'!$H$14*'R&amp;S - Packaging and hh goods'!$Z$19*(G$3-$D$3)/10)+G27*'R&amp;S - Packaging and hh goods'!$M$4/SUM('R&amp;S - Packaging and hh goods'!$L$4:$N$4)*'R&amp;S - Packaging and hh goods'!$F$7*('R&amp;S - Packaging and hh goods'!$J$14*'R&amp;S - Packaging and hh goods'!$AE$19*(G$3-$D$3)/10)+G27*'R&amp;S - Packaging and hh goods'!$N$4/SUM('R&amp;S - Packaging and hh goods'!$L$4:$N$4)*'R&amp;S - Packaging and hh goods'!$G$7*('R&amp;S - Packaging and hh goods'!$L$14*'R&amp;S - Packaging and hh goods'!$AJ$19*(G$3-$D$3)/10)</f>
        <v>0</v>
      </c>
      <c r="H28" s="43">
        <f>H27*'R&amp;S - Packaging and hh goods'!$L$4/SUM('R&amp;S - Packaging and hh goods'!$L$4:$N$4)*'R&amp;S - Packaging and hh goods'!$E$7*('R&amp;S - Packaging and hh goods'!$H$14*'R&amp;S - Packaging and hh goods'!$Z$19*(H$3-$D$3)/10)+H27*'R&amp;S - Packaging and hh goods'!$M$4/SUM('R&amp;S - Packaging and hh goods'!$L$4:$N$4)*'R&amp;S - Packaging and hh goods'!$F$7*('R&amp;S - Packaging and hh goods'!$J$14*'R&amp;S - Packaging and hh goods'!$AE$19*(H$3-$D$3)/10)+H27*'R&amp;S - Packaging and hh goods'!$N$4/SUM('R&amp;S - Packaging and hh goods'!$L$4:$N$4)*'R&amp;S - Packaging and hh goods'!$G$7*('R&amp;S - Packaging and hh goods'!$L$14*'R&amp;S - Packaging and hh goods'!$AJ$19*(H$3-$D$3)/10)</f>
        <v>0</v>
      </c>
      <c r="I28" s="43">
        <f>I27*'R&amp;S - Packaging and hh goods'!$L$4/SUM('R&amp;S - Packaging and hh goods'!$L$4:$N$4)*'R&amp;S - Packaging and hh goods'!$E$7*('R&amp;S - Packaging and hh goods'!$H$14*'R&amp;S - Packaging and hh goods'!$Z$19*(I$3-$D$3)/10)+I27*'R&amp;S - Packaging and hh goods'!$M$4/SUM('R&amp;S - Packaging and hh goods'!$L$4:$N$4)*'R&amp;S - Packaging and hh goods'!$F$7*('R&amp;S - Packaging and hh goods'!$J$14*'R&amp;S - Packaging and hh goods'!$AE$19*(I$3-$D$3)/10)+I27*'R&amp;S - Packaging and hh goods'!$N$4/SUM('R&amp;S - Packaging and hh goods'!$L$4:$N$4)*'R&amp;S - Packaging and hh goods'!$G$7*('R&amp;S - Packaging and hh goods'!$L$14*'R&amp;S - Packaging and hh goods'!$AJ$19*(I$3-$D$3)/10)</f>
        <v>0</v>
      </c>
      <c r="J28" s="43">
        <f>J27*'R&amp;S - Packaging and hh goods'!$L$4/SUM('R&amp;S - Packaging and hh goods'!$L$4:$N$4)*'R&amp;S - Packaging and hh goods'!$E$7*('R&amp;S - Packaging and hh goods'!$H$14*'R&amp;S - Packaging and hh goods'!$Z$19*(J$3-$D$3)/10)+J27*'R&amp;S - Packaging and hh goods'!$M$4/SUM('R&amp;S - Packaging and hh goods'!$L$4:$N$4)*'R&amp;S - Packaging and hh goods'!$F$7*('R&amp;S - Packaging and hh goods'!$J$14*'R&amp;S - Packaging and hh goods'!$AE$19*(J$3-$D$3)/10)+J27*'R&amp;S - Packaging and hh goods'!$N$4/SUM('R&amp;S - Packaging and hh goods'!$L$4:$N$4)*'R&amp;S - Packaging and hh goods'!$G$7*('R&amp;S - Packaging and hh goods'!$L$14*'R&amp;S - Packaging and hh goods'!$AJ$19*(J$3-$D$3)/10)</f>
        <v>0</v>
      </c>
      <c r="K28" s="43">
        <f>K27*'R&amp;S - Packaging and hh goods'!$L$4/SUM('R&amp;S - Packaging and hh goods'!$L$4:$N$4)*'R&amp;S - Packaging and hh goods'!$E$7*('R&amp;S - Packaging and hh goods'!$H$14*'R&amp;S - Packaging and hh goods'!$Z$19*(K$3-$D$3)/10)+K27*'R&amp;S - Packaging and hh goods'!$M$4/SUM('R&amp;S - Packaging and hh goods'!$L$4:$N$4)*'R&amp;S - Packaging and hh goods'!$F$7*('R&amp;S - Packaging and hh goods'!$J$14*'R&amp;S - Packaging and hh goods'!$AE$19*(K$3-$D$3)/10)+K27*'R&amp;S - Packaging and hh goods'!$N$4/SUM('R&amp;S - Packaging and hh goods'!$L$4:$N$4)*'R&amp;S - Packaging and hh goods'!$G$7*('R&amp;S - Packaging and hh goods'!$L$14*'R&amp;S - Packaging and hh goods'!$AJ$19*(K$3-$D$3)/10)</f>
        <v>0</v>
      </c>
      <c r="L28" s="43">
        <f>L27*'R&amp;S - Packaging and hh goods'!$L$4/SUM('R&amp;S - Packaging and hh goods'!$L$4:$N$4)*'R&amp;S - Packaging and hh goods'!$E$7*('R&amp;S - Packaging and hh goods'!$H$14*'R&amp;S - Packaging and hh goods'!$Z$19*(L$3-$D$3)/10)+L27*'R&amp;S - Packaging and hh goods'!$M$4/SUM('R&amp;S - Packaging and hh goods'!$L$4:$N$4)*'R&amp;S - Packaging and hh goods'!$F$7*('R&amp;S - Packaging and hh goods'!$J$14*'R&amp;S - Packaging and hh goods'!$AE$19*(L$3-$D$3)/10)+L27*'R&amp;S - Packaging and hh goods'!$N$4/SUM('R&amp;S - Packaging and hh goods'!$L$4:$N$4)*'R&amp;S - Packaging and hh goods'!$G$7*('R&amp;S - Packaging and hh goods'!$L$14*'R&amp;S - Packaging and hh goods'!$AJ$19*(L$3-$D$3)/10)</f>
        <v>0</v>
      </c>
      <c r="M28" s="43">
        <f>M27*'R&amp;S - Packaging and hh goods'!$L$4/SUM('R&amp;S - Packaging and hh goods'!$L$4:$N$4)*'R&amp;S - Packaging and hh goods'!$E$7*('R&amp;S - Packaging and hh goods'!$H$14*'R&amp;S - Packaging and hh goods'!$Z$19*(M$3-$D$3)/10)+M27*'R&amp;S - Packaging and hh goods'!$M$4/SUM('R&amp;S - Packaging and hh goods'!$L$4:$N$4)*'R&amp;S - Packaging and hh goods'!$F$7*('R&amp;S - Packaging and hh goods'!$J$14*'R&amp;S - Packaging and hh goods'!$AE$19*(M$3-$D$3)/10)+M27*'R&amp;S - Packaging and hh goods'!$N$4/SUM('R&amp;S - Packaging and hh goods'!$L$4:$N$4)*'R&amp;S - Packaging and hh goods'!$G$7*('R&amp;S - Packaging and hh goods'!$L$14*'R&amp;S - Packaging and hh goods'!$AJ$19*(M$3-$D$3)/10)</f>
        <v>0</v>
      </c>
      <c r="N28" s="43">
        <f>N27*'R&amp;S - Packaging and hh goods'!$L$4/SUM('R&amp;S - Packaging and hh goods'!$L$4:$N$4)*'R&amp;S - Packaging and hh goods'!$E$7*('R&amp;S - Packaging and hh goods'!$H$14*'R&amp;S - Packaging and hh goods'!$Z$19*(N$3-$D$3)/10)+N27*'R&amp;S - Packaging and hh goods'!$M$4/SUM('R&amp;S - Packaging and hh goods'!$L$4:$N$4)*'R&amp;S - Packaging and hh goods'!$F$7*('R&amp;S - Packaging and hh goods'!$J$14*'R&amp;S - Packaging and hh goods'!$AE$19*(N$3-$D$3)/10)+N27*'R&amp;S - Packaging and hh goods'!$N$4/SUM('R&amp;S - Packaging and hh goods'!$L$4:$N$4)*'R&amp;S - Packaging and hh goods'!$G$7*('R&amp;S - Packaging and hh goods'!$L$14*'R&amp;S - Packaging and hh goods'!$AJ$19*(N$3-$D$3)/10)</f>
        <v>0</v>
      </c>
      <c r="O28" s="265">
        <f>O27*'R&amp;S - Packaging and hh goods'!$L$4/SUM('R&amp;S - Packaging and hh goods'!$L$4:$N$4)*('R&amp;S - Packaging and hh goods'!$E$7*'R&amp;S - Packaging and hh goods'!$H$14*('R&amp;S - Packaging and hh goods'!$Z$19+('R&amp;S - Packaging and hh goods'!$Z$20-'R&amp;S - Packaging and hh goods'!$Z$19)*(O$3-$N$3)/10))+O27*'R&amp;S - Packaging and hh goods'!$M$4/SUM('R&amp;S - Packaging and hh goods'!$L$4:$N$4)*('R&amp;S - Packaging and hh goods'!$F$7*'R&amp;S - Packaging and hh goods'!$J$14*('R&amp;S - Packaging and hh goods'!$AE$19+('R&amp;S - Packaging and hh goods'!$AE$20-'R&amp;S - Packaging and hh goods'!$AE$19)*(O$3-$N$3)/10))+O27*'R&amp;S - Packaging and hh goods'!$N$4/SUM('R&amp;S - Packaging and hh goods'!$L$4:$N$4)*('R&amp;S - Packaging and hh goods'!$G$7*'R&amp;S - Packaging and hh goods'!$L$14*('R&amp;S - Packaging and hh goods'!$AJ$19+('R&amp;S - Packaging and hh goods'!$AJ$20-'R&amp;S - Packaging and hh goods'!$AJ$19)*(O$3-$N$3)/10))</f>
        <v>0</v>
      </c>
      <c r="P28" s="265">
        <f>P27*'R&amp;S - Packaging and hh goods'!$L$4/SUM('R&amp;S - Packaging and hh goods'!$L$4:$N$4)*('R&amp;S - Packaging and hh goods'!$E$7*'R&amp;S - Packaging and hh goods'!$H$14*('R&amp;S - Packaging and hh goods'!$Z$19+('R&amp;S - Packaging and hh goods'!$Z$20-'R&amp;S - Packaging and hh goods'!$Z$19)*(P$3-$N$3)/10))+P27*'R&amp;S - Packaging and hh goods'!$M$4/SUM('R&amp;S - Packaging and hh goods'!$L$4:$N$4)*('R&amp;S - Packaging and hh goods'!$F$7*'R&amp;S - Packaging and hh goods'!$J$14*('R&amp;S - Packaging and hh goods'!$AE$19+('R&amp;S - Packaging and hh goods'!$AE$20-'R&amp;S - Packaging and hh goods'!$AE$19)*(P$3-$N$3)/10))+P27*'R&amp;S - Packaging and hh goods'!$N$4/SUM('R&amp;S - Packaging and hh goods'!$L$4:$N$4)*('R&amp;S - Packaging and hh goods'!$G$7*'R&amp;S - Packaging and hh goods'!$L$14*('R&amp;S - Packaging and hh goods'!$AJ$19+('R&amp;S - Packaging and hh goods'!$AJ$20-'R&amp;S - Packaging and hh goods'!$AJ$19)*(P$3-$N$3)/10))</f>
        <v>0</v>
      </c>
      <c r="Q28" s="265">
        <f>Q27*'R&amp;S - Packaging and hh goods'!$L$4/SUM('R&amp;S - Packaging and hh goods'!$L$4:$N$4)*('R&amp;S - Packaging and hh goods'!$E$7*'R&amp;S - Packaging and hh goods'!$H$14*('R&amp;S - Packaging and hh goods'!$Z$19+('R&amp;S - Packaging and hh goods'!$Z$20-'R&amp;S - Packaging and hh goods'!$Z$19)*(Q$3-$N$3)/10))+Q27*'R&amp;S - Packaging and hh goods'!$M$4/SUM('R&amp;S - Packaging and hh goods'!$L$4:$N$4)*('R&amp;S - Packaging and hh goods'!$F$7*'R&amp;S - Packaging and hh goods'!$J$14*('R&amp;S - Packaging and hh goods'!$AE$19+('R&amp;S - Packaging and hh goods'!$AE$20-'R&amp;S - Packaging and hh goods'!$AE$19)*(Q$3-$N$3)/10))+Q27*'R&amp;S - Packaging and hh goods'!$N$4/SUM('R&amp;S - Packaging and hh goods'!$L$4:$N$4)*('R&amp;S - Packaging and hh goods'!$G$7*'R&amp;S - Packaging and hh goods'!$L$14*('R&amp;S - Packaging and hh goods'!$AJ$19+('R&amp;S - Packaging and hh goods'!$AJ$20-'R&amp;S - Packaging and hh goods'!$AJ$19)*(Q$3-$N$3)/10))</f>
        <v>0</v>
      </c>
      <c r="R28" s="265">
        <f>R27*'R&amp;S - Packaging and hh goods'!$L$4/SUM('R&amp;S - Packaging and hh goods'!$L$4:$N$4)*('R&amp;S - Packaging and hh goods'!$E$7*'R&amp;S - Packaging and hh goods'!$H$14*('R&amp;S - Packaging and hh goods'!$Z$19+('R&amp;S - Packaging and hh goods'!$Z$20-'R&amp;S - Packaging and hh goods'!$Z$19)*(R$3-$N$3)/10))+R27*'R&amp;S - Packaging and hh goods'!$M$4/SUM('R&amp;S - Packaging and hh goods'!$L$4:$N$4)*('R&amp;S - Packaging and hh goods'!$F$7*'R&amp;S - Packaging and hh goods'!$J$14*('R&amp;S - Packaging and hh goods'!$AE$19+('R&amp;S - Packaging and hh goods'!$AE$20-'R&amp;S - Packaging and hh goods'!$AE$19)*(R$3-$N$3)/10))+R27*'R&amp;S - Packaging and hh goods'!$N$4/SUM('R&amp;S - Packaging and hh goods'!$L$4:$N$4)*('R&amp;S - Packaging and hh goods'!$G$7*'R&amp;S - Packaging and hh goods'!$L$14*('R&amp;S - Packaging and hh goods'!$AJ$19+('R&amp;S - Packaging and hh goods'!$AJ$20-'R&amp;S - Packaging and hh goods'!$AJ$19)*(R$3-$N$3)/10))</f>
        <v>0</v>
      </c>
      <c r="S28" s="265">
        <f>S27*'R&amp;S - Packaging and hh goods'!$L$4/SUM('R&amp;S - Packaging and hh goods'!$L$4:$N$4)*('R&amp;S - Packaging and hh goods'!$E$7*'R&amp;S - Packaging and hh goods'!$H$14*('R&amp;S - Packaging and hh goods'!$Z$19+('R&amp;S - Packaging and hh goods'!$Z$20-'R&amp;S - Packaging and hh goods'!$Z$19)*(S$3-$N$3)/10))+S27*'R&amp;S - Packaging and hh goods'!$M$4/SUM('R&amp;S - Packaging and hh goods'!$L$4:$N$4)*('R&amp;S - Packaging and hh goods'!$F$7*'R&amp;S - Packaging and hh goods'!$J$14*('R&amp;S - Packaging and hh goods'!$AE$19+('R&amp;S - Packaging and hh goods'!$AE$20-'R&amp;S - Packaging and hh goods'!$AE$19)*(S$3-$N$3)/10))+S27*'R&amp;S - Packaging and hh goods'!$N$4/SUM('R&amp;S - Packaging and hh goods'!$L$4:$N$4)*('R&amp;S - Packaging and hh goods'!$G$7*'R&amp;S - Packaging and hh goods'!$L$14*('R&amp;S - Packaging and hh goods'!$AJ$19+('R&amp;S - Packaging and hh goods'!$AJ$20-'R&amp;S - Packaging and hh goods'!$AJ$19)*(S$3-$N$3)/10))</f>
        <v>0</v>
      </c>
      <c r="T28" s="265">
        <f>T27*'R&amp;S - Packaging and hh goods'!$L$4/SUM('R&amp;S - Packaging and hh goods'!$L$4:$N$4)*('R&amp;S - Packaging and hh goods'!$E$7*'R&amp;S - Packaging and hh goods'!$H$14*('R&amp;S - Packaging and hh goods'!$Z$19+('R&amp;S - Packaging and hh goods'!$Z$20-'R&amp;S - Packaging and hh goods'!$Z$19)*(T$3-$N$3)/10))+T27*'R&amp;S - Packaging and hh goods'!$M$4/SUM('R&amp;S - Packaging and hh goods'!$L$4:$N$4)*('R&amp;S - Packaging and hh goods'!$F$7*'R&amp;S - Packaging and hh goods'!$J$14*('R&amp;S - Packaging and hh goods'!$AE$19+('R&amp;S - Packaging and hh goods'!$AE$20-'R&amp;S - Packaging and hh goods'!$AE$19)*(T$3-$N$3)/10))+T27*'R&amp;S - Packaging and hh goods'!$N$4/SUM('R&amp;S - Packaging and hh goods'!$L$4:$N$4)*('R&amp;S - Packaging and hh goods'!$G$7*'R&amp;S - Packaging and hh goods'!$L$14*('R&amp;S - Packaging and hh goods'!$AJ$19+('R&amp;S - Packaging and hh goods'!$AJ$20-'R&amp;S - Packaging and hh goods'!$AJ$19)*(T$3-$N$3)/10))</f>
        <v>0</v>
      </c>
      <c r="U28" s="265">
        <f>U27*'R&amp;S - Packaging and hh goods'!$L$4/SUM('R&amp;S - Packaging and hh goods'!$L$4:$N$4)*('R&amp;S - Packaging and hh goods'!$E$7*'R&amp;S - Packaging and hh goods'!$H$14*('R&amp;S - Packaging and hh goods'!$Z$19+('R&amp;S - Packaging and hh goods'!$Z$20-'R&amp;S - Packaging and hh goods'!$Z$19)*(U$3-$N$3)/10))+U27*'R&amp;S - Packaging and hh goods'!$M$4/SUM('R&amp;S - Packaging and hh goods'!$L$4:$N$4)*('R&amp;S - Packaging and hh goods'!$F$7*'R&amp;S - Packaging and hh goods'!$J$14*('R&amp;S - Packaging and hh goods'!$AE$19+('R&amp;S - Packaging and hh goods'!$AE$20-'R&amp;S - Packaging and hh goods'!$AE$19)*(U$3-$N$3)/10))+U27*'R&amp;S - Packaging and hh goods'!$N$4/SUM('R&amp;S - Packaging and hh goods'!$L$4:$N$4)*('R&amp;S - Packaging and hh goods'!$G$7*'R&amp;S - Packaging and hh goods'!$L$14*('R&amp;S - Packaging and hh goods'!$AJ$19+('R&amp;S - Packaging and hh goods'!$AJ$20-'R&amp;S - Packaging and hh goods'!$AJ$19)*(U$3-$N$3)/10))</f>
        <v>0</v>
      </c>
      <c r="V28" s="265">
        <f>V27*'R&amp;S - Packaging and hh goods'!$L$4/SUM('R&amp;S - Packaging and hh goods'!$L$4:$N$4)*('R&amp;S - Packaging and hh goods'!$E$7*'R&amp;S - Packaging and hh goods'!$H$14*('R&amp;S - Packaging and hh goods'!$Z$19+('R&amp;S - Packaging and hh goods'!$Z$20-'R&amp;S - Packaging and hh goods'!$Z$19)*(V$3-$N$3)/10))+V27*'R&amp;S - Packaging and hh goods'!$M$4/SUM('R&amp;S - Packaging and hh goods'!$L$4:$N$4)*('R&amp;S - Packaging and hh goods'!$F$7*'R&amp;S - Packaging and hh goods'!$J$14*('R&amp;S - Packaging and hh goods'!$AE$19+('R&amp;S - Packaging and hh goods'!$AE$20-'R&amp;S - Packaging and hh goods'!$AE$19)*(V$3-$N$3)/10))+V27*'R&amp;S - Packaging and hh goods'!$N$4/SUM('R&amp;S - Packaging and hh goods'!$L$4:$N$4)*('R&amp;S - Packaging and hh goods'!$G$7*'R&amp;S - Packaging and hh goods'!$L$14*('R&amp;S - Packaging and hh goods'!$AJ$19+('R&amp;S - Packaging and hh goods'!$AJ$20-'R&amp;S - Packaging and hh goods'!$AJ$19)*(V$3-$N$3)/10))</f>
        <v>0</v>
      </c>
      <c r="W28" s="265">
        <f>W27*'R&amp;S - Packaging and hh goods'!$L$4/SUM('R&amp;S - Packaging and hh goods'!$L$4:$N$4)*('R&amp;S - Packaging and hh goods'!$E$7*'R&amp;S - Packaging and hh goods'!$H$14*('R&amp;S - Packaging and hh goods'!$Z$19+('R&amp;S - Packaging and hh goods'!$Z$20-'R&amp;S - Packaging and hh goods'!$Z$19)*(W$3-$N$3)/10))+W27*'R&amp;S - Packaging and hh goods'!$M$4/SUM('R&amp;S - Packaging and hh goods'!$L$4:$N$4)*('R&amp;S - Packaging and hh goods'!$F$7*'R&amp;S - Packaging and hh goods'!$J$14*('R&amp;S - Packaging and hh goods'!$AE$19+('R&amp;S - Packaging and hh goods'!$AE$20-'R&amp;S - Packaging and hh goods'!$AE$19)*(W$3-$N$3)/10))+W27*'R&amp;S - Packaging and hh goods'!$N$4/SUM('R&amp;S - Packaging and hh goods'!$L$4:$N$4)*('R&amp;S - Packaging and hh goods'!$G$7*'R&amp;S - Packaging and hh goods'!$L$14*('R&amp;S - Packaging and hh goods'!$AJ$19+('R&amp;S - Packaging and hh goods'!$AJ$20-'R&amp;S - Packaging and hh goods'!$AJ$19)*(W$3-$N$3)/10))</f>
        <v>0</v>
      </c>
      <c r="X28" s="265">
        <f>X27*'R&amp;S - Packaging and hh goods'!$L$4/SUM('R&amp;S - Packaging and hh goods'!$L$4:$N$4)*('R&amp;S - Packaging and hh goods'!$E$7*'R&amp;S - Packaging and hh goods'!$H$14*('R&amp;S - Packaging and hh goods'!$Z$19+('R&amp;S - Packaging and hh goods'!$Z$20-'R&amp;S - Packaging and hh goods'!$Z$19)*(X$3-$N$3)/10))+X27*'R&amp;S - Packaging and hh goods'!$M$4/SUM('R&amp;S - Packaging and hh goods'!$L$4:$N$4)*('R&amp;S - Packaging and hh goods'!$F$7*'R&amp;S - Packaging and hh goods'!$J$14*('R&amp;S - Packaging and hh goods'!$AE$19+('R&amp;S - Packaging and hh goods'!$AE$20-'R&amp;S - Packaging and hh goods'!$AE$19)*(X$3-$N$3)/10))+X27*'R&amp;S - Packaging and hh goods'!$N$4/SUM('R&amp;S - Packaging and hh goods'!$L$4:$N$4)*('R&amp;S - Packaging and hh goods'!$G$7*'R&amp;S - Packaging and hh goods'!$L$14*('R&amp;S - Packaging and hh goods'!$AJ$19+('R&amp;S - Packaging and hh goods'!$AJ$20-'R&amp;S - Packaging and hh goods'!$AJ$19)*(X$3-$N$3)/10))</f>
        <v>0</v>
      </c>
      <c r="Y28" s="265">
        <f>Y27*'R&amp;S - Packaging and hh goods'!$L$4/SUM('R&amp;S - Packaging and hh goods'!$L$4:$N$4)*('R&amp;S - Packaging and hh goods'!$E7*'R&amp;S - Packaging and hh goods'!$H$14*('R&amp;S - Packaging and hh goods'!$Z$20+('R&amp;S - Packaging and hh goods'!$Z$21-'R&amp;S - Packaging and hh goods'!$Z$20)*(Y$3-$X$3)/10))+Y27*'R&amp;S - Packaging and hh goods'!$M$4/SUM('R&amp;S - Packaging and hh goods'!$L$4:$N$4)*('R&amp;S - Packaging and hh goods'!$F7*'R&amp;S - Packaging and hh goods'!$J$14*('R&amp;S - Packaging and hh goods'!$AE$20+('R&amp;S - Packaging and hh goods'!$AE$21-'R&amp;S - Packaging and hh goods'!$AE$20)*(Y$3-$X$3)/10))+Y27*'R&amp;S - Packaging and hh goods'!$N$4/SUM('R&amp;S - Packaging and hh goods'!$L$4:$N$4)*('R&amp;S - Packaging and hh goods'!$G7*'R&amp;S - Packaging and hh goods'!$L$14*('R&amp;S - Packaging and hh goods'!$AJ$20+('R&amp;S - Packaging and hh goods'!$AJ$21-'R&amp;S - Packaging and hh goods'!$AJ$20)*(Y$3-$X$3)/10))</f>
        <v>0</v>
      </c>
      <c r="Z28" s="265">
        <f>Z27*'R&amp;S - Packaging and hh goods'!$L$4/SUM('R&amp;S - Packaging and hh goods'!$L$4:$N$4)*('R&amp;S - Packaging and hh goods'!$E7*'R&amp;S - Packaging and hh goods'!$H$14*('R&amp;S - Packaging and hh goods'!$Z$20+('R&amp;S - Packaging and hh goods'!$Z$21-'R&amp;S - Packaging and hh goods'!$Z$20)*(Z$3-$X$3)/10))+Z27*'R&amp;S - Packaging and hh goods'!$M$4/SUM('R&amp;S - Packaging and hh goods'!$L$4:$N$4)*('R&amp;S - Packaging and hh goods'!$F7*'R&amp;S - Packaging and hh goods'!$J$14*('R&amp;S - Packaging and hh goods'!$AE$20+('R&amp;S - Packaging and hh goods'!$AE$21-'R&amp;S - Packaging and hh goods'!$AE$20)*(Z$3-$X$3)/10))+Z27*'R&amp;S - Packaging and hh goods'!$N$4/SUM('R&amp;S - Packaging and hh goods'!$L$4:$N$4)*('R&amp;S - Packaging and hh goods'!$G7*'R&amp;S - Packaging and hh goods'!$L$14*('R&amp;S - Packaging and hh goods'!$AJ$20+('R&amp;S - Packaging and hh goods'!$AJ$21-'R&amp;S - Packaging and hh goods'!$AJ$20)*(Z$3-$X$3)/10))</f>
        <v>0</v>
      </c>
      <c r="AA28" s="265">
        <f>AA27*'R&amp;S - Packaging and hh goods'!$L$4/SUM('R&amp;S - Packaging and hh goods'!$L$4:$N$4)*('R&amp;S - Packaging and hh goods'!$E7*'R&amp;S - Packaging and hh goods'!$H$14*('R&amp;S - Packaging and hh goods'!$Z$20+('R&amp;S - Packaging and hh goods'!$Z$21-'R&amp;S - Packaging and hh goods'!$Z$20)*(AA$3-$X$3)/10))+AA27*'R&amp;S - Packaging and hh goods'!$M$4/SUM('R&amp;S - Packaging and hh goods'!$L$4:$N$4)*('R&amp;S - Packaging and hh goods'!$F7*'R&amp;S - Packaging and hh goods'!$J$14*('R&amp;S - Packaging and hh goods'!$AE$20+('R&amp;S - Packaging and hh goods'!$AE$21-'R&amp;S - Packaging and hh goods'!$AE$20)*(AA$3-$X$3)/10))+AA27*'R&amp;S - Packaging and hh goods'!$N$4/SUM('R&amp;S - Packaging and hh goods'!$L$4:$N$4)*('R&amp;S - Packaging and hh goods'!$G7*'R&amp;S - Packaging and hh goods'!$L$14*('R&amp;S - Packaging and hh goods'!$AJ$20+('R&amp;S - Packaging and hh goods'!$AJ$21-'R&amp;S - Packaging and hh goods'!$AJ$20)*(AA$3-$X$3)/10))</f>
        <v>0</v>
      </c>
      <c r="AB28" s="265">
        <f>AB27*'R&amp;S - Packaging and hh goods'!$L$4/SUM('R&amp;S - Packaging and hh goods'!$L$4:$N$4)*('R&amp;S - Packaging and hh goods'!$E7*'R&amp;S - Packaging and hh goods'!$H$14*('R&amp;S - Packaging and hh goods'!$Z$20+('R&amp;S - Packaging and hh goods'!$Z$21-'R&amp;S - Packaging and hh goods'!$Z$20)*(AB$3-$X$3)/10))+AB27*'R&amp;S - Packaging and hh goods'!$M$4/SUM('R&amp;S - Packaging and hh goods'!$L$4:$N$4)*('R&amp;S - Packaging and hh goods'!$F7*'R&amp;S - Packaging and hh goods'!$J$14*('R&amp;S - Packaging and hh goods'!$AE$20+('R&amp;S - Packaging and hh goods'!$AE$21-'R&amp;S - Packaging and hh goods'!$AE$20)*(AB$3-$X$3)/10))+AB27*'R&amp;S - Packaging and hh goods'!$N$4/SUM('R&amp;S - Packaging and hh goods'!$L$4:$N$4)*('R&amp;S - Packaging and hh goods'!$G7*'R&amp;S - Packaging and hh goods'!$L$14*('R&amp;S - Packaging and hh goods'!$AJ$20+('R&amp;S - Packaging and hh goods'!$AJ$21-'R&amp;S - Packaging and hh goods'!$AJ$20)*(AB$3-$X$3)/10))</f>
        <v>0</v>
      </c>
      <c r="AC28" s="265">
        <f>AC27*'R&amp;S - Packaging and hh goods'!$L$4/SUM('R&amp;S - Packaging and hh goods'!$L$4:$N$4)*('R&amp;S - Packaging and hh goods'!$E7*'R&amp;S - Packaging and hh goods'!$H$14*('R&amp;S - Packaging and hh goods'!$Z$20+('R&amp;S - Packaging and hh goods'!$Z$21-'R&amp;S - Packaging and hh goods'!$Z$20)*(AC$3-$X$3)/10))+AC27*'R&amp;S - Packaging and hh goods'!$M$4/SUM('R&amp;S - Packaging and hh goods'!$L$4:$N$4)*('R&amp;S - Packaging and hh goods'!$F7*'R&amp;S - Packaging and hh goods'!$J$14*('R&amp;S - Packaging and hh goods'!$AE$20+('R&amp;S - Packaging and hh goods'!$AE$21-'R&amp;S - Packaging and hh goods'!$AE$20)*(AC$3-$X$3)/10))+AC27*'R&amp;S - Packaging and hh goods'!$N$4/SUM('R&amp;S - Packaging and hh goods'!$L$4:$N$4)*('R&amp;S - Packaging and hh goods'!$G7*'R&amp;S - Packaging and hh goods'!$L$14*('R&amp;S - Packaging and hh goods'!$AJ$20+('R&amp;S - Packaging and hh goods'!$AJ$21-'R&amp;S - Packaging and hh goods'!$AJ$20)*(AC$3-$X$3)/10))</f>
        <v>0</v>
      </c>
      <c r="AD28" s="265">
        <f>AD27*'R&amp;S - Packaging and hh goods'!$L$4/SUM('R&amp;S - Packaging and hh goods'!$L$4:$N$4)*('R&amp;S - Packaging and hh goods'!$E7*'R&amp;S - Packaging and hh goods'!$H$14*('R&amp;S - Packaging and hh goods'!$Z$20+('R&amp;S - Packaging and hh goods'!$Z$21-'R&amp;S - Packaging and hh goods'!$Z$20)*(AD$3-$X$3)/10))+AD27*'R&amp;S - Packaging and hh goods'!$M$4/SUM('R&amp;S - Packaging and hh goods'!$L$4:$N$4)*('R&amp;S - Packaging and hh goods'!$F7*'R&amp;S - Packaging and hh goods'!$J$14*('R&amp;S - Packaging and hh goods'!$AE$20+('R&amp;S - Packaging and hh goods'!$AE$21-'R&amp;S - Packaging and hh goods'!$AE$20)*(AD$3-$X$3)/10))+AD27*'R&amp;S - Packaging and hh goods'!$N$4/SUM('R&amp;S - Packaging and hh goods'!$L$4:$N$4)*('R&amp;S - Packaging and hh goods'!$G7*'R&amp;S - Packaging and hh goods'!$L$14*('R&amp;S - Packaging and hh goods'!$AJ$20+('R&amp;S - Packaging and hh goods'!$AJ$21-'R&amp;S - Packaging and hh goods'!$AJ$20)*(AD$3-$X$3)/10))</f>
        <v>0</v>
      </c>
      <c r="AE28" s="265">
        <f>AE27*'R&amp;S - Packaging and hh goods'!$L$4/SUM('R&amp;S - Packaging and hh goods'!$L$4:$N$4)*('R&amp;S - Packaging and hh goods'!$E7*'R&amp;S - Packaging and hh goods'!$H$14*('R&amp;S - Packaging and hh goods'!$Z$20+('R&amp;S - Packaging and hh goods'!$Z$21-'R&amp;S - Packaging and hh goods'!$Z$20)*(AE$3-$X$3)/10))+AE27*'R&amp;S - Packaging and hh goods'!$M$4/SUM('R&amp;S - Packaging and hh goods'!$L$4:$N$4)*('R&amp;S - Packaging and hh goods'!$F7*'R&amp;S - Packaging and hh goods'!$J$14*('R&amp;S - Packaging and hh goods'!$AE$20+('R&amp;S - Packaging and hh goods'!$AE$21-'R&amp;S - Packaging and hh goods'!$AE$20)*(AE$3-$X$3)/10))+AE27*'R&amp;S - Packaging and hh goods'!$N$4/SUM('R&amp;S - Packaging and hh goods'!$L$4:$N$4)*('R&amp;S - Packaging and hh goods'!$G7*'R&amp;S - Packaging and hh goods'!$L$14*('R&amp;S - Packaging and hh goods'!$AJ$20+('R&amp;S - Packaging and hh goods'!$AJ$21-'R&amp;S - Packaging and hh goods'!$AJ$20)*(AE$3-$X$3)/10))</f>
        <v>0</v>
      </c>
      <c r="AF28" s="265">
        <f>AF27*'R&amp;S - Packaging and hh goods'!$L$4/SUM('R&amp;S - Packaging and hh goods'!$L$4:$N$4)*('R&amp;S - Packaging and hh goods'!$E7*'R&amp;S - Packaging and hh goods'!$H$14*('R&amp;S - Packaging and hh goods'!$Z$20+('R&amp;S - Packaging and hh goods'!$Z$21-'R&amp;S - Packaging and hh goods'!$Z$20)*(AF$3-$X$3)/10))+AF27*'R&amp;S - Packaging and hh goods'!$M$4/SUM('R&amp;S - Packaging and hh goods'!$L$4:$N$4)*('R&amp;S - Packaging and hh goods'!$F7*'R&amp;S - Packaging and hh goods'!$J$14*('R&amp;S - Packaging and hh goods'!$AE$20+('R&amp;S - Packaging and hh goods'!$AE$21-'R&amp;S - Packaging and hh goods'!$AE$20)*(AF$3-$X$3)/10))+AF27*'R&amp;S - Packaging and hh goods'!$N$4/SUM('R&amp;S - Packaging and hh goods'!$L$4:$N$4)*('R&amp;S - Packaging and hh goods'!$G7*'R&amp;S - Packaging and hh goods'!$L$14*('R&amp;S - Packaging and hh goods'!$AJ$20+('R&amp;S - Packaging and hh goods'!$AJ$21-'R&amp;S - Packaging and hh goods'!$AJ$20)*(AF$3-$X$3)/10))</f>
        <v>0</v>
      </c>
      <c r="AG28" s="265">
        <f>AG27*'R&amp;S - Packaging and hh goods'!$L$4/SUM('R&amp;S - Packaging and hh goods'!$L$4:$N$4)*('R&amp;S - Packaging and hh goods'!$E7*'R&amp;S - Packaging and hh goods'!$H$14*('R&amp;S - Packaging and hh goods'!$Z$20+('R&amp;S - Packaging and hh goods'!$Z$21-'R&amp;S - Packaging and hh goods'!$Z$20)*(AG$3-$X$3)/10))+AG27*'R&amp;S - Packaging and hh goods'!$M$4/SUM('R&amp;S - Packaging and hh goods'!$L$4:$N$4)*('R&amp;S - Packaging and hh goods'!$F7*'R&amp;S - Packaging and hh goods'!$J$14*('R&amp;S - Packaging and hh goods'!$AE$20+('R&amp;S - Packaging and hh goods'!$AE$21-'R&amp;S - Packaging and hh goods'!$AE$20)*(AG$3-$X$3)/10))+AG27*'R&amp;S - Packaging and hh goods'!$N$4/SUM('R&amp;S - Packaging and hh goods'!$L$4:$N$4)*('R&amp;S - Packaging and hh goods'!$G7*'R&amp;S - Packaging and hh goods'!$L$14*('R&amp;S - Packaging and hh goods'!$AJ$20+('R&amp;S - Packaging and hh goods'!$AJ$21-'R&amp;S - Packaging and hh goods'!$AJ$20)*(AG$3-$X$3)/10))</f>
        <v>0</v>
      </c>
      <c r="AH28" s="265">
        <f>AH27*'R&amp;S - Packaging and hh goods'!$L$4/SUM('R&amp;S - Packaging and hh goods'!$L$4:$N$4)*('R&amp;S - Packaging and hh goods'!$E7*'R&amp;S - Packaging and hh goods'!$H$14*('R&amp;S - Packaging and hh goods'!$Z$20+('R&amp;S - Packaging and hh goods'!$Z$21-'R&amp;S - Packaging and hh goods'!$Z$20)*(AH$3-$X$3)/10))+AH27*'R&amp;S - Packaging and hh goods'!$M$4/SUM('R&amp;S - Packaging and hh goods'!$L$4:$N$4)*('R&amp;S - Packaging and hh goods'!$F7*'R&amp;S - Packaging and hh goods'!$J$14*('R&amp;S - Packaging and hh goods'!$AE$20+('R&amp;S - Packaging and hh goods'!$AE$21-'R&amp;S - Packaging and hh goods'!$AE$20)*(AH$3-$X$3)/10))+AH27*'R&amp;S - Packaging and hh goods'!$N$4/SUM('R&amp;S - Packaging and hh goods'!$L$4:$N$4)*('R&amp;S - Packaging and hh goods'!$G7*'R&amp;S - Packaging and hh goods'!$L$14*('R&amp;S - Packaging and hh goods'!$AJ$20+('R&amp;S - Packaging and hh goods'!$AJ$21-'R&amp;S - Packaging and hh goods'!$AJ$20)*(AH$3-$X$3)/10))</f>
        <v>0</v>
      </c>
      <c r="AJ28" s="43">
        <v>0</v>
      </c>
      <c r="AK28" s="43">
        <f>AK27*'R&amp;S - Packaging and hh goods'!$L$4/SUM('R&amp;S - Packaging and hh goods'!$L$4:$N$4)*'R&amp;S - Packaging and hh goods'!$E$7*('R&amp;S - Packaging and hh goods'!$H$15*'R&amp;S - Packaging and hh goods'!$Z$19*(AK$3-$D$3)/10)+AK27*'R&amp;S - Packaging and hh goods'!$M$4/SUM('R&amp;S - Packaging and hh goods'!$L$4:$N$4)*'R&amp;S - Packaging and hh goods'!$F$7*('R&amp;S - Packaging and hh goods'!$J$15*'R&amp;S - Packaging and hh goods'!$AE$19*(AK$3-$D$3)/10)+AK27*'R&amp;S - Packaging and hh goods'!$N$4/SUM('R&amp;S - Packaging and hh goods'!$L$4:$N$4)*'R&amp;S - Packaging and hh goods'!$G$7*('R&amp;S - Packaging and hh goods'!$L$15*'R&amp;S - Packaging and hh goods'!$AJ$19*(AK$3-$D$3)/10)</f>
        <v>0</v>
      </c>
      <c r="AL28" s="43">
        <f>AL27*'R&amp;S - Packaging and hh goods'!$L$4/SUM('R&amp;S - Packaging and hh goods'!$L$4:$N$4)*'R&amp;S - Packaging and hh goods'!$E$7*('R&amp;S - Packaging and hh goods'!$H$15*'R&amp;S - Packaging and hh goods'!$Z$19*(AL$3-$D$3)/10)+AL27*'R&amp;S - Packaging and hh goods'!$M$4/SUM('R&amp;S - Packaging and hh goods'!$L$4:$N$4)*'R&amp;S - Packaging and hh goods'!$F$7*('R&amp;S - Packaging and hh goods'!$J$15*'R&amp;S - Packaging and hh goods'!$AE$19*(AL$3-$D$3)/10)+AL27*'R&amp;S - Packaging and hh goods'!$N$4/SUM('R&amp;S - Packaging and hh goods'!$L$4:$N$4)*'R&amp;S - Packaging and hh goods'!$G$7*('R&amp;S - Packaging and hh goods'!$L$15*'R&amp;S - Packaging and hh goods'!$AJ$19*(AL$3-$D$3)/10)</f>
        <v>0</v>
      </c>
      <c r="AM28" s="43">
        <f>AM27*'R&amp;S - Packaging and hh goods'!$L$4/SUM('R&amp;S - Packaging and hh goods'!$L$4:$N$4)*'R&amp;S - Packaging and hh goods'!$E$7*('R&amp;S - Packaging and hh goods'!$H$15*'R&amp;S - Packaging and hh goods'!$Z$19*(AM$3-$D$3)/10)+AM27*'R&amp;S - Packaging and hh goods'!$M$4/SUM('R&amp;S - Packaging and hh goods'!$L$4:$N$4)*'R&amp;S - Packaging and hh goods'!$F$7*('R&amp;S - Packaging and hh goods'!$J$15*'R&amp;S - Packaging and hh goods'!$AE$19*(AM$3-$D$3)/10)+AM27*'R&amp;S - Packaging and hh goods'!$N$4/SUM('R&amp;S - Packaging and hh goods'!$L$4:$N$4)*'R&amp;S - Packaging and hh goods'!$G$7*('R&amp;S - Packaging and hh goods'!$L$15*'R&amp;S - Packaging and hh goods'!$AJ$19*(AM$3-$D$3)/10)</f>
        <v>0</v>
      </c>
      <c r="AN28" s="43">
        <f>AN27*'R&amp;S - Packaging and hh goods'!$L$4/SUM('R&amp;S - Packaging and hh goods'!$L$4:$N$4)*'R&amp;S - Packaging and hh goods'!$E$7*('R&amp;S - Packaging and hh goods'!$H$15*'R&amp;S - Packaging and hh goods'!$Z$19*(AN$3-$D$3)/10)+AN27*'R&amp;S - Packaging and hh goods'!$M$4/SUM('R&amp;S - Packaging and hh goods'!$L$4:$N$4)*'R&amp;S - Packaging and hh goods'!$F$7*('R&amp;S - Packaging and hh goods'!$J$15*'R&amp;S - Packaging and hh goods'!$AE$19*(AN$3-$D$3)/10)+AN27*'R&amp;S - Packaging and hh goods'!$N$4/SUM('R&amp;S - Packaging and hh goods'!$L$4:$N$4)*'R&amp;S - Packaging and hh goods'!$G$7*('R&amp;S - Packaging and hh goods'!$L$15*'R&amp;S - Packaging and hh goods'!$AJ$19*(AN$3-$D$3)/10)</f>
        <v>0</v>
      </c>
      <c r="AO28" s="43">
        <f>AO27*'R&amp;S - Packaging and hh goods'!$L$4/SUM('R&amp;S - Packaging and hh goods'!$L$4:$N$4)*'R&amp;S - Packaging and hh goods'!$E$7*('R&amp;S - Packaging and hh goods'!$H$15*'R&amp;S - Packaging and hh goods'!$Z$19*(AO$3-$D$3)/10)+AO27*'R&amp;S - Packaging and hh goods'!$M$4/SUM('R&amp;S - Packaging and hh goods'!$L$4:$N$4)*'R&amp;S - Packaging and hh goods'!$F$7*('R&amp;S - Packaging and hh goods'!$J$15*'R&amp;S - Packaging and hh goods'!$AE$19*(AO$3-$D$3)/10)+AO27*'R&amp;S - Packaging and hh goods'!$N$4/SUM('R&amp;S - Packaging and hh goods'!$L$4:$N$4)*'R&amp;S - Packaging and hh goods'!$G$7*('R&amp;S - Packaging and hh goods'!$L$15*'R&amp;S - Packaging and hh goods'!$AJ$19*(AO$3-$D$3)/10)</f>
        <v>0</v>
      </c>
      <c r="AP28" s="43">
        <f>AP27*'R&amp;S - Packaging and hh goods'!$L$4/SUM('R&amp;S - Packaging and hh goods'!$L$4:$N$4)*'R&amp;S - Packaging and hh goods'!$E$7*('R&amp;S - Packaging and hh goods'!$H$15*'R&amp;S - Packaging and hh goods'!$Z$19*(AP$3-$D$3)/10)+AP27*'R&amp;S - Packaging and hh goods'!$M$4/SUM('R&amp;S - Packaging and hh goods'!$L$4:$N$4)*'R&amp;S - Packaging and hh goods'!$F$7*('R&amp;S - Packaging and hh goods'!$J$15*'R&amp;S - Packaging and hh goods'!$AE$19*(AP$3-$D$3)/10)+AP27*'R&amp;S - Packaging and hh goods'!$N$4/SUM('R&amp;S - Packaging and hh goods'!$L$4:$N$4)*'R&amp;S - Packaging and hh goods'!$G$7*('R&amp;S - Packaging and hh goods'!$L$15*'R&amp;S - Packaging and hh goods'!$AJ$19*(AP$3-$D$3)/10)</f>
        <v>0</v>
      </c>
      <c r="AQ28" s="43">
        <f>AQ27*'R&amp;S - Packaging and hh goods'!$L$4/SUM('R&amp;S - Packaging and hh goods'!$L$4:$N$4)*'R&amp;S - Packaging and hh goods'!$E$7*('R&amp;S - Packaging and hh goods'!$H$15*'R&amp;S - Packaging and hh goods'!$Z$19*(AQ$3-$D$3)/10)+AQ27*'R&amp;S - Packaging and hh goods'!$M$4/SUM('R&amp;S - Packaging and hh goods'!$L$4:$N$4)*'R&amp;S - Packaging and hh goods'!$F$7*('R&amp;S - Packaging and hh goods'!$J$15*'R&amp;S - Packaging and hh goods'!$AE$19*(AQ$3-$D$3)/10)+AQ27*'R&amp;S - Packaging and hh goods'!$N$4/SUM('R&amp;S - Packaging and hh goods'!$L$4:$N$4)*'R&amp;S - Packaging and hh goods'!$G$7*('R&amp;S - Packaging and hh goods'!$L$15*'R&amp;S - Packaging and hh goods'!$AJ$19*(AQ$3-$D$3)/10)</f>
        <v>0</v>
      </c>
      <c r="AR28" s="43">
        <f>AR27*'R&amp;S - Packaging and hh goods'!$L$4/SUM('R&amp;S - Packaging and hh goods'!$L$4:$N$4)*'R&amp;S - Packaging and hh goods'!$E$7*('R&amp;S - Packaging and hh goods'!$H$15*'R&amp;S - Packaging and hh goods'!$Z$19*(AR$3-$D$3)/10)+AR27*'R&amp;S - Packaging and hh goods'!$M$4/SUM('R&amp;S - Packaging and hh goods'!$L$4:$N$4)*'R&amp;S - Packaging and hh goods'!$F$7*('R&amp;S - Packaging and hh goods'!$J$15*'R&amp;S - Packaging and hh goods'!$AE$19*(AR$3-$D$3)/10)+AR27*'R&amp;S - Packaging and hh goods'!$N$4/SUM('R&amp;S - Packaging and hh goods'!$L$4:$N$4)*'R&amp;S - Packaging and hh goods'!$G$7*('R&amp;S - Packaging and hh goods'!$L$15*'R&amp;S - Packaging and hh goods'!$AJ$19*(AR$3-$D$3)/10)</f>
        <v>0</v>
      </c>
      <c r="AS28" s="43">
        <f>AS27*'R&amp;S - Packaging and hh goods'!$L$4/SUM('R&amp;S - Packaging and hh goods'!$L$4:$N$4)*'R&amp;S - Packaging and hh goods'!$E$7*('R&amp;S - Packaging and hh goods'!$H$15*'R&amp;S - Packaging and hh goods'!$Z$19*(AS$3-$D$3)/10)+AS27*'R&amp;S - Packaging and hh goods'!$M$4/SUM('R&amp;S - Packaging and hh goods'!$L$4:$N$4)*'R&amp;S - Packaging and hh goods'!$F$7*('R&amp;S - Packaging and hh goods'!$J$15*'R&amp;S - Packaging and hh goods'!$AE$19*(AS$3-$D$3)/10)+AS27*'R&amp;S - Packaging and hh goods'!$N$4/SUM('R&amp;S - Packaging and hh goods'!$L$4:$N$4)*'R&amp;S - Packaging and hh goods'!$G$7*('R&amp;S - Packaging and hh goods'!$L$15*'R&amp;S - Packaging and hh goods'!$AJ$19*(AS$3-$D$3)/10)</f>
        <v>0</v>
      </c>
      <c r="AT28" s="43">
        <f>AT27*'R&amp;S - Packaging and hh goods'!$L$4/SUM('R&amp;S - Packaging and hh goods'!$L$4:$N$4)*'R&amp;S - Packaging and hh goods'!$E$7*('R&amp;S - Packaging and hh goods'!$H$15*'R&amp;S - Packaging and hh goods'!$Z$19*(AT$3-$D$3)/10)+AT27*'R&amp;S - Packaging and hh goods'!$M$4/SUM('R&amp;S - Packaging and hh goods'!$L$4:$N$4)*'R&amp;S - Packaging and hh goods'!$F$7*('R&amp;S - Packaging and hh goods'!$J$15*'R&amp;S - Packaging and hh goods'!$AE$19*(AT$3-$D$3)/10)+AT27*'R&amp;S - Packaging and hh goods'!$N$4/SUM('R&amp;S - Packaging and hh goods'!$L$4:$N$4)*'R&amp;S - Packaging and hh goods'!$G$7*('R&amp;S - Packaging and hh goods'!$L$15*'R&amp;S - Packaging and hh goods'!$AJ$19*(AT$3-$D$3)/10)</f>
        <v>0</v>
      </c>
      <c r="AU28" s="265">
        <f>AU27*'R&amp;S - Packaging and hh goods'!$L$4/SUM('R&amp;S - Packaging and hh goods'!$L$4:$N$4)*('R&amp;S - Packaging and hh goods'!$E$7*'R&amp;S - Packaging and hh goods'!$H$15*('R&amp;S - Packaging and hh goods'!$Z$19+('R&amp;S - Packaging and hh goods'!$Z$20-'R&amp;S - Packaging and hh goods'!$Z$19)*(AU$3-$N$3)/10))+AU27*'R&amp;S - Packaging and hh goods'!$M$4/SUM('R&amp;S - Packaging and hh goods'!$L$4:$N$4)*('R&amp;S - Packaging and hh goods'!$F$7*'R&amp;S - Packaging and hh goods'!$J$15*('R&amp;S - Packaging and hh goods'!$AE$19+('R&amp;S - Packaging and hh goods'!$AE$20-'R&amp;S - Packaging and hh goods'!$AE$19)*(AU$3-$N$3)/10))+AU27*'R&amp;S - Packaging and hh goods'!$N$4/SUM('R&amp;S - Packaging and hh goods'!$L$4:$N$4)*('R&amp;S - Packaging and hh goods'!$G$7*'R&amp;S - Packaging and hh goods'!$L$15*('R&amp;S - Packaging and hh goods'!$AJ$19+('R&amp;S - Packaging and hh goods'!$AJ$20-'R&amp;S - Packaging and hh goods'!$AJ$19)*(AU$3-$N$3)/10))</f>
        <v>0</v>
      </c>
      <c r="AV28" s="265">
        <f>AV27*'R&amp;S - Packaging and hh goods'!$L$4/SUM('R&amp;S - Packaging and hh goods'!$L$4:$N$4)*('R&amp;S - Packaging and hh goods'!$E$7*'R&amp;S - Packaging and hh goods'!$H$15*('R&amp;S - Packaging and hh goods'!$Z$19+('R&amp;S - Packaging and hh goods'!$Z$20-'R&amp;S - Packaging and hh goods'!$Z$19)*(AV$3-$N$3)/10))+AV27*'R&amp;S - Packaging and hh goods'!$M$4/SUM('R&amp;S - Packaging and hh goods'!$L$4:$N$4)*('R&amp;S - Packaging and hh goods'!$F$7*'R&amp;S - Packaging and hh goods'!$J$15*('R&amp;S - Packaging and hh goods'!$AE$19+('R&amp;S - Packaging and hh goods'!$AE$20-'R&amp;S - Packaging and hh goods'!$AE$19)*(AV$3-$N$3)/10))+AV27*'R&amp;S - Packaging and hh goods'!$N$4/SUM('R&amp;S - Packaging and hh goods'!$L$4:$N$4)*('R&amp;S - Packaging and hh goods'!$G$7*'R&amp;S - Packaging and hh goods'!$L$15*('R&amp;S - Packaging and hh goods'!$AJ$19+('R&amp;S - Packaging and hh goods'!$AJ$20-'R&amp;S - Packaging and hh goods'!$AJ$19)*(AV$3-$N$3)/10))</f>
        <v>0</v>
      </c>
      <c r="AW28" s="265">
        <f>AW27*'R&amp;S - Packaging and hh goods'!$L$4/SUM('R&amp;S - Packaging and hh goods'!$L$4:$N$4)*('R&amp;S - Packaging and hh goods'!$E$7*'R&amp;S - Packaging and hh goods'!$H$15*('R&amp;S - Packaging and hh goods'!$Z$19+('R&amp;S - Packaging and hh goods'!$Z$20-'R&amp;S - Packaging and hh goods'!$Z$19)*(AW$3-$N$3)/10))+AW27*'R&amp;S - Packaging and hh goods'!$M$4/SUM('R&amp;S - Packaging and hh goods'!$L$4:$N$4)*('R&amp;S - Packaging and hh goods'!$F$7*'R&amp;S - Packaging and hh goods'!$J$15*('R&amp;S - Packaging and hh goods'!$AE$19+('R&amp;S - Packaging and hh goods'!$AE$20-'R&amp;S - Packaging and hh goods'!$AE$19)*(AW$3-$N$3)/10))+AW27*'R&amp;S - Packaging and hh goods'!$N$4/SUM('R&amp;S - Packaging and hh goods'!$L$4:$N$4)*('R&amp;S - Packaging and hh goods'!$G$7*'R&amp;S - Packaging and hh goods'!$L$15*('R&amp;S - Packaging and hh goods'!$AJ$19+('R&amp;S - Packaging and hh goods'!$AJ$20-'R&amp;S - Packaging and hh goods'!$AJ$19)*(AW$3-$N$3)/10))</f>
        <v>0</v>
      </c>
      <c r="AX28" s="265">
        <f>AX27*'R&amp;S - Packaging and hh goods'!$L$4/SUM('R&amp;S - Packaging and hh goods'!$L$4:$N$4)*('R&amp;S - Packaging and hh goods'!$E$7*'R&amp;S - Packaging and hh goods'!$H$15*('R&amp;S - Packaging and hh goods'!$Z$19+('R&amp;S - Packaging and hh goods'!$Z$20-'R&amp;S - Packaging and hh goods'!$Z$19)*(AX$3-$N$3)/10))+AX27*'R&amp;S - Packaging and hh goods'!$M$4/SUM('R&amp;S - Packaging and hh goods'!$L$4:$N$4)*('R&amp;S - Packaging and hh goods'!$F$7*'R&amp;S - Packaging and hh goods'!$J$15*('R&amp;S - Packaging and hh goods'!$AE$19+('R&amp;S - Packaging and hh goods'!$AE$20-'R&amp;S - Packaging and hh goods'!$AE$19)*(AX$3-$N$3)/10))+AX27*'R&amp;S - Packaging and hh goods'!$N$4/SUM('R&amp;S - Packaging and hh goods'!$L$4:$N$4)*('R&amp;S - Packaging and hh goods'!$G$7*'R&amp;S - Packaging and hh goods'!$L$15*('R&amp;S - Packaging and hh goods'!$AJ$19+('R&amp;S - Packaging and hh goods'!$AJ$20-'R&amp;S - Packaging and hh goods'!$AJ$19)*(AX$3-$N$3)/10))</f>
        <v>0</v>
      </c>
      <c r="AY28" s="265">
        <f>AY27*'R&amp;S - Packaging and hh goods'!$L$4/SUM('R&amp;S - Packaging and hh goods'!$L$4:$N$4)*('R&amp;S - Packaging and hh goods'!$E$7*'R&amp;S - Packaging and hh goods'!$H$15*('R&amp;S - Packaging and hh goods'!$Z$19+('R&amp;S - Packaging and hh goods'!$Z$20-'R&amp;S - Packaging and hh goods'!$Z$19)*(AY$3-$N$3)/10))+AY27*'R&amp;S - Packaging and hh goods'!$M$4/SUM('R&amp;S - Packaging and hh goods'!$L$4:$N$4)*('R&amp;S - Packaging and hh goods'!$F$7*'R&amp;S - Packaging and hh goods'!$J$15*('R&amp;S - Packaging and hh goods'!$AE$19+('R&amp;S - Packaging and hh goods'!$AE$20-'R&amp;S - Packaging and hh goods'!$AE$19)*(AY$3-$N$3)/10))+AY27*'R&amp;S - Packaging and hh goods'!$N$4/SUM('R&amp;S - Packaging and hh goods'!$L$4:$N$4)*('R&amp;S - Packaging and hh goods'!$G$7*'R&amp;S - Packaging and hh goods'!$L$15*('R&amp;S - Packaging and hh goods'!$AJ$19+('R&amp;S - Packaging and hh goods'!$AJ$20-'R&amp;S - Packaging and hh goods'!$AJ$19)*(AY$3-$N$3)/10))</f>
        <v>0</v>
      </c>
      <c r="AZ28" s="265">
        <f>AZ27*'R&amp;S - Packaging and hh goods'!$L$4/SUM('R&amp;S - Packaging and hh goods'!$L$4:$N$4)*('R&amp;S - Packaging and hh goods'!$E$7*'R&amp;S - Packaging and hh goods'!$H$15*('R&amp;S - Packaging and hh goods'!$Z$19+('R&amp;S - Packaging and hh goods'!$Z$20-'R&amp;S - Packaging and hh goods'!$Z$19)*(AZ$3-$N$3)/10))+AZ27*'R&amp;S - Packaging and hh goods'!$M$4/SUM('R&amp;S - Packaging and hh goods'!$L$4:$N$4)*('R&amp;S - Packaging and hh goods'!$F$7*'R&amp;S - Packaging and hh goods'!$J$15*('R&amp;S - Packaging and hh goods'!$AE$19+('R&amp;S - Packaging and hh goods'!$AE$20-'R&amp;S - Packaging and hh goods'!$AE$19)*(AZ$3-$N$3)/10))+AZ27*'R&amp;S - Packaging and hh goods'!$N$4/SUM('R&amp;S - Packaging and hh goods'!$L$4:$N$4)*('R&amp;S - Packaging and hh goods'!$G$7*'R&amp;S - Packaging and hh goods'!$L$15*('R&amp;S - Packaging and hh goods'!$AJ$19+('R&amp;S - Packaging and hh goods'!$AJ$20-'R&amp;S - Packaging and hh goods'!$AJ$19)*(AZ$3-$N$3)/10))</f>
        <v>0</v>
      </c>
      <c r="BA28" s="265">
        <f>BA27*'R&amp;S - Packaging and hh goods'!$L$4/SUM('R&amp;S - Packaging and hh goods'!$L$4:$N$4)*('R&amp;S - Packaging and hh goods'!$E$7*'R&amp;S - Packaging and hh goods'!$H$15*('R&amp;S - Packaging and hh goods'!$Z$19+('R&amp;S - Packaging and hh goods'!$Z$20-'R&amp;S - Packaging and hh goods'!$Z$19)*(BA$3-$N$3)/10))+BA27*'R&amp;S - Packaging and hh goods'!$M$4/SUM('R&amp;S - Packaging and hh goods'!$L$4:$N$4)*('R&amp;S - Packaging and hh goods'!$F$7*'R&amp;S - Packaging and hh goods'!$J$15*('R&amp;S - Packaging and hh goods'!$AE$19+('R&amp;S - Packaging and hh goods'!$AE$20-'R&amp;S - Packaging and hh goods'!$AE$19)*(BA$3-$N$3)/10))+BA27*'R&amp;S - Packaging and hh goods'!$N$4/SUM('R&amp;S - Packaging and hh goods'!$L$4:$N$4)*('R&amp;S - Packaging and hh goods'!$G$7*'R&amp;S - Packaging and hh goods'!$L$15*('R&amp;S - Packaging and hh goods'!$AJ$19+('R&amp;S - Packaging and hh goods'!$AJ$20-'R&amp;S - Packaging and hh goods'!$AJ$19)*(BA$3-$N$3)/10))</f>
        <v>0</v>
      </c>
      <c r="BB28" s="265">
        <f>BB27*'R&amp;S - Packaging and hh goods'!$L$4/SUM('R&amp;S - Packaging and hh goods'!$L$4:$N$4)*('R&amp;S - Packaging and hh goods'!$E$7*'R&amp;S - Packaging and hh goods'!$H$15*('R&amp;S - Packaging and hh goods'!$Z$19+('R&amp;S - Packaging and hh goods'!$Z$20-'R&amp;S - Packaging and hh goods'!$Z$19)*(BB$3-$N$3)/10))+BB27*'R&amp;S - Packaging and hh goods'!$M$4/SUM('R&amp;S - Packaging and hh goods'!$L$4:$N$4)*('R&amp;S - Packaging and hh goods'!$F$7*'R&amp;S - Packaging and hh goods'!$J$15*('R&amp;S - Packaging and hh goods'!$AE$19+('R&amp;S - Packaging and hh goods'!$AE$20-'R&amp;S - Packaging and hh goods'!$AE$19)*(BB$3-$N$3)/10))+BB27*'R&amp;S - Packaging and hh goods'!$N$4/SUM('R&amp;S - Packaging and hh goods'!$L$4:$N$4)*('R&amp;S - Packaging and hh goods'!$G$7*'R&amp;S - Packaging and hh goods'!$L$15*('R&amp;S - Packaging and hh goods'!$AJ$19+('R&amp;S - Packaging and hh goods'!$AJ$20-'R&amp;S - Packaging and hh goods'!$AJ$19)*(BB$3-$N$3)/10))</f>
        <v>0</v>
      </c>
      <c r="BC28" s="265">
        <f>BC27*'R&amp;S - Packaging and hh goods'!$L$4/SUM('R&amp;S - Packaging and hh goods'!$L$4:$N$4)*('R&amp;S - Packaging and hh goods'!$E$7*'R&amp;S - Packaging and hh goods'!$H$15*('R&amp;S - Packaging and hh goods'!$Z$19+('R&amp;S - Packaging and hh goods'!$Z$20-'R&amp;S - Packaging and hh goods'!$Z$19)*(BC$3-$N$3)/10))+BC27*'R&amp;S - Packaging and hh goods'!$M$4/SUM('R&amp;S - Packaging and hh goods'!$L$4:$N$4)*('R&amp;S - Packaging and hh goods'!$F$7*'R&amp;S - Packaging and hh goods'!$J$15*('R&amp;S - Packaging and hh goods'!$AE$19+('R&amp;S - Packaging and hh goods'!$AE$20-'R&amp;S - Packaging and hh goods'!$AE$19)*(BC$3-$N$3)/10))+BC27*'R&amp;S - Packaging and hh goods'!$N$4/SUM('R&amp;S - Packaging and hh goods'!$L$4:$N$4)*('R&amp;S - Packaging and hh goods'!$G$7*'R&amp;S - Packaging and hh goods'!$L$15*('R&amp;S - Packaging and hh goods'!$AJ$19+('R&amp;S - Packaging and hh goods'!$AJ$20-'R&amp;S - Packaging and hh goods'!$AJ$19)*(BC$3-$N$3)/10))</f>
        <v>0</v>
      </c>
      <c r="BD28" s="265">
        <f>BD27*'R&amp;S - Packaging and hh goods'!$L$4/SUM('R&amp;S - Packaging and hh goods'!$L$4:$N$4)*('R&amp;S - Packaging and hh goods'!$E$7*'R&amp;S - Packaging and hh goods'!$H$15*('R&amp;S - Packaging and hh goods'!$Z$19+('R&amp;S - Packaging and hh goods'!$Z$20-'R&amp;S - Packaging and hh goods'!$Z$19)*(BD$3-$N$3)/10))+BD27*'R&amp;S - Packaging and hh goods'!$M$4/SUM('R&amp;S - Packaging and hh goods'!$L$4:$N$4)*('R&amp;S - Packaging and hh goods'!$F$7*'R&amp;S - Packaging and hh goods'!$J$15*('R&amp;S - Packaging and hh goods'!$AE$19+('R&amp;S - Packaging and hh goods'!$AE$20-'R&amp;S - Packaging and hh goods'!$AE$19)*(BD$3-$N$3)/10))+BD27*'R&amp;S - Packaging and hh goods'!$N$4/SUM('R&amp;S - Packaging and hh goods'!$L$4:$N$4)*('R&amp;S - Packaging and hh goods'!$G$7*'R&amp;S - Packaging and hh goods'!$L$15*('R&amp;S - Packaging and hh goods'!$AJ$19+('R&amp;S - Packaging and hh goods'!$AJ$20-'R&amp;S - Packaging and hh goods'!$AJ$19)*(BD$3-$N$3)/10))</f>
        <v>0</v>
      </c>
      <c r="BE28" s="265">
        <f>BE27*'R&amp;S - Packaging and hh goods'!$L$4/SUM('R&amp;S - Packaging and hh goods'!$L$4:$N$4)*('R&amp;S - Packaging and hh goods'!$E7*'R&amp;S - Packaging and hh goods'!$H$15*('R&amp;S - Packaging and hh goods'!$Z$20+('R&amp;S - Packaging and hh goods'!$Z$21-'R&amp;S - Packaging and hh goods'!$Z$20)*(BE$3-$X$3)/10))+BE27*'R&amp;S - Packaging and hh goods'!$M$4/SUM('R&amp;S - Packaging and hh goods'!$L$4:$N$4)*('R&amp;S - Packaging and hh goods'!$F7*'R&amp;S - Packaging and hh goods'!$J$15*('R&amp;S - Packaging and hh goods'!$AE$20+('R&amp;S - Packaging and hh goods'!$AE$21-'R&amp;S - Packaging and hh goods'!$AE$20)*(BE$3-$X$3)/10))+BE27*'R&amp;S - Packaging and hh goods'!$N$4/SUM('R&amp;S - Packaging and hh goods'!$L$4:$N$4)*('R&amp;S - Packaging and hh goods'!$G7*'R&amp;S - Packaging and hh goods'!$L$15*('R&amp;S - Packaging and hh goods'!$AJ$20+('R&amp;S - Packaging and hh goods'!$AJ$21-'R&amp;S - Packaging and hh goods'!$AJ$20)*(BE$3-$X$3)/10))</f>
        <v>0</v>
      </c>
      <c r="BF28" s="265">
        <f>BF27*'R&amp;S - Packaging and hh goods'!$L$4/SUM('R&amp;S - Packaging and hh goods'!$L$4:$N$4)*('R&amp;S - Packaging and hh goods'!$E7*'R&amp;S - Packaging and hh goods'!$H$15*('R&amp;S - Packaging and hh goods'!$Z$20+('R&amp;S - Packaging and hh goods'!$Z$21-'R&amp;S - Packaging and hh goods'!$Z$20)*(BF$3-$X$3)/10))+BF27*'R&amp;S - Packaging and hh goods'!$M$4/SUM('R&amp;S - Packaging and hh goods'!$L$4:$N$4)*('R&amp;S - Packaging and hh goods'!$F7*'R&amp;S - Packaging and hh goods'!$J$15*('R&amp;S - Packaging and hh goods'!$AE$20+('R&amp;S - Packaging and hh goods'!$AE$21-'R&amp;S - Packaging and hh goods'!$AE$20)*(BF$3-$X$3)/10))+BF27*'R&amp;S - Packaging and hh goods'!$N$4/SUM('R&amp;S - Packaging and hh goods'!$L$4:$N$4)*('R&amp;S - Packaging and hh goods'!$G7*'R&amp;S - Packaging and hh goods'!$L$15*('R&amp;S - Packaging and hh goods'!$AJ$20+('R&amp;S - Packaging and hh goods'!$AJ$21-'R&amp;S - Packaging and hh goods'!$AJ$20)*(BF$3-$X$3)/10))</f>
        <v>0</v>
      </c>
      <c r="BG28" s="265">
        <f>BG27*'R&amp;S - Packaging and hh goods'!$L$4/SUM('R&amp;S - Packaging and hh goods'!$L$4:$N$4)*('R&amp;S - Packaging and hh goods'!$E7*'R&amp;S - Packaging and hh goods'!$H$15*('R&amp;S - Packaging and hh goods'!$Z$20+('R&amp;S - Packaging and hh goods'!$Z$21-'R&amp;S - Packaging and hh goods'!$Z$20)*(BG$3-$X$3)/10))+BG27*'R&amp;S - Packaging and hh goods'!$M$4/SUM('R&amp;S - Packaging and hh goods'!$L$4:$N$4)*('R&amp;S - Packaging and hh goods'!$F7*'R&amp;S - Packaging and hh goods'!$J$15*('R&amp;S - Packaging and hh goods'!$AE$20+('R&amp;S - Packaging and hh goods'!$AE$21-'R&amp;S - Packaging and hh goods'!$AE$20)*(BG$3-$X$3)/10))+BG27*'R&amp;S - Packaging and hh goods'!$N$4/SUM('R&amp;S - Packaging and hh goods'!$L$4:$N$4)*('R&amp;S - Packaging and hh goods'!$G7*'R&amp;S - Packaging and hh goods'!$L$15*('R&amp;S - Packaging and hh goods'!$AJ$20+('R&amp;S - Packaging and hh goods'!$AJ$21-'R&amp;S - Packaging and hh goods'!$AJ$20)*(BG$3-$X$3)/10))</f>
        <v>0</v>
      </c>
      <c r="BH28" s="265">
        <f>BH27*'R&amp;S - Packaging and hh goods'!$L$4/SUM('R&amp;S - Packaging and hh goods'!$L$4:$N$4)*('R&amp;S - Packaging and hh goods'!$E7*'R&amp;S - Packaging and hh goods'!$H$15*('R&amp;S - Packaging and hh goods'!$Z$20+('R&amp;S - Packaging and hh goods'!$Z$21-'R&amp;S - Packaging and hh goods'!$Z$20)*(BH$3-$X$3)/10))+BH27*'R&amp;S - Packaging and hh goods'!$M$4/SUM('R&amp;S - Packaging and hh goods'!$L$4:$N$4)*('R&amp;S - Packaging and hh goods'!$F7*'R&amp;S - Packaging and hh goods'!$J$15*('R&amp;S - Packaging and hh goods'!$AE$20+('R&amp;S - Packaging and hh goods'!$AE$21-'R&amp;S - Packaging and hh goods'!$AE$20)*(BH$3-$X$3)/10))+BH27*'R&amp;S - Packaging and hh goods'!$N$4/SUM('R&amp;S - Packaging and hh goods'!$L$4:$N$4)*('R&amp;S - Packaging and hh goods'!$G7*'R&amp;S - Packaging and hh goods'!$L$15*('R&amp;S - Packaging and hh goods'!$AJ$20+('R&amp;S - Packaging and hh goods'!$AJ$21-'R&amp;S - Packaging and hh goods'!$AJ$20)*(BH$3-$X$3)/10))</f>
        <v>0</v>
      </c>
      <c r="BI28" s="265">
        <f>BI27*'R&amp;S - Packaging and hh goods'!$L$4/SUM('R&amp;S - Packaging and hh goods'!$L$4:$N$4)*('R&amp;S - Packaging and hh goods'!$E7*'R&amp;S - Packaging and hh goods'!$H$15*('R&amp;S - Packaging and hh goods'!$Z$20+('R&amp;S - Packaging and hh goods'!$Z$21-'R&amp;S - Packaging and hh goods'!$Z$20)*(BI$3-$X$3)/10))+BI27*'R&amp;S - Packaging and hh goods'!$M$4/SUM('R&amp;S - Packaging and hh goods'!$L$4:$N$4)*('R&amp;S - Packaging and hh goods'!$F7*'R&amp;S - Packaging and hh goods'!$J$15*('R&amp;S - Packaging and hh goods'!$AE$20+('R&amp;S - Packaging and hh goods'!$AE$21-'R&amp;S - Packaging and hh goods'!$AE$20)*(BI$3-$X$3)/10))+BI27*'R&amp;S - Packaging and hh goods'!$N$4/SUM('R&amp;S - Packaging and hh goods'!$L$4:$N$4)*('R&amp;S - Packaging and hh goods'!$G7*'R&amp;S - Packaging and hh goods'!$L$15*('R&amp;S - Packaging and hh goods'!$AJ$20+('R&amp;S - Packaging and hh goods'!$AJ$21-'R&amp;S - Packaging and hh goods'!$AJ$20)*(BI$3-$X$3)/10))</f>
        <v>0</v>
      </c>
      <c r="BJ28" s="265">
        <f>BJ27*'R&amp;S - Packaging and hh goods'!$L$4/SUM('R&amp;S - Packaging and hh goods'!$L$4:$N$4)*('R&amp;S - Packaging and hh goods'!$E7*'R&amp;S - Packaging and hh goods'!$H$15*('R&amp;S - Packaging and hh goods'!$Z$20+('R&amp;S - Packaging and hh goods'!$Z$21-'R&amp;S - Packaging and hh goods'!$Z$20)*(BJ$3-$X$3)/10))+BJ27*'R&amp;S - Packaging and hh goods'!$M$4/SUM('R&amp;S - Packaging and hh goods'!$L$4:$N$4)*('R&amp;S - Packaging and hh goods'!$F7*'R&amp;S - Packaging and hh goods'!$J$15*('R&amp;S - Packaging and hh goods'!$AE$20+('R&amp;S - Packaging and hh goods'!$AE$21-'R&amp;S - Packaging and hh goods'!$AE$20)*(BJ$3-$X$3)/10))+BJ27*'R&amp;S - Packaging and hh goods'!$N$4/SUM('R&amp;S - Packaging and hh goods'!$L$4:$N$4)*('R&amp;S - Packaging and hh goods'!$G7*'R&amp;S - Packaging and hh goods'!$L$15*('R&amp;S - Packaging and hh goods'!$AJ$20+('R&amp;S - Packaging and hh goods'!$AJ$21-'R&amp;S - Packaging and hh goods'!$AJ$20)*(BJ$3-$X$3)/10))</f>
        <v>0</v>
      </c>
      <c r="BK28" s="265">
        <f>BK27*'R&amp;S - Packaging and hh goods'!$L$4/SUM('R&amp;S - Packaging and hh goods'!$L$4:$N$4)*('R&amp;S - Packaging and hh goods'!$E7*'R&amp;S - Packaging and hh goods'!$H$15*('R&amp;S - Packaging and hh goods'!$Z$20+('R&amp;S - Packaging and hh goods'!$Z$21-'R&amp;S - Packaging and hh goods'!$Z$20)*(BK$3-$X$3)/10))+BK27*'R&amp;S - Packaging and hh goods'!$M$4/SUM('R&amp;S - Packaging and hh goods'!$L$4:$N$4)*('R&amp;S - Packaging and hh goods'!$F7*'R&amp;S - Packaging and hh goods'!$J$15*('R&amp;S - Packaging and hh goods'!$AE$20+('R&amp;S - Packaging and hh goods'!$AE$21-'R&amp;S - Packaging and hh goods'!$AE$20)*(BK$3-$X$3)/10))+BK27*'R&amp;S - Packaging and hh goods'!$N$4/SUM('R&amp;S - Packaging and hh goods'!$L$4:$N$4)*('R&amp;S - Packaging and hh goods'!$G7*'R&amp;S - Packaging and hh goods'!$L$15*('R&amp;S - Packaging and hh goods'!$AJ$20+('R&amp;S - Packaging and hh goods'!$AJ$21-'R&amp;S - Packaging and hh goods'!$AJ$20)*(BK$3-$X$3)/10))</f>
        <v>0</v>
      </c>
      <c r="BL28" s="265">
        <f>BL27*'R&amp;S - Packaging and hh goods'!$L$4/SUM('R&amp;S - Packaging and hh goods'!$L$4:$N$4)*('R&amp;S - Packaging and hh goods'!$E7*'R&amp;S - Packaging and hh goods'!$H$15*('R&amp;S - Packaging and hh goods'!$Z$20+('R&amp;S - Packaging and hh goods'!$Z$21-'R&amp;S - Packaging and hh goods'!$Z$20)*(BL$3-$X$3)/10))+BL27*'R&amp;S - Packaging and hh goods'!$M$4/SUM('R&amp;S - Packaging and hh goods'!$L$4:$N$4)*('R&amp;S - Packaging and hh goods'!$F7*'R&amp;S - Packaging and hh goods'!$J$15*('R&amp;S - Packaging and hh goods'!$AE$20+('R&amp;S - Packaging and hh goods'!$AE$21-'R&amp;S - Packaging and hh goods'!$AE$20)*(BL$3-$X$3)/10))+BL27*'R&amp;S - Packaging and hh goods'!$N$4/SUM('R&amp;S - Packaging and hh goods'!$L$4:$N$4)*('R&amp;S - Packaging and hh goods'!$G7*'R&amp;S - Packaging and hh goods'!$L$15*('R&amp;S - Packaging and hh goods'!$AJ$20+('R&amp;S - Packaging and hh goods'!$AJ$21-'R&amp;S - Packaging and hh goods'!$AJ$20)*(BL$3-$X$3)/10))</f>
        <v>0</v>
      </c>
      <c r="BM28" s="265">
        <f>BM27*'R&amp;S - Packaging and hh goods'!$L$4/SUM('R&amp;S - Packaging and hh goods'!$L$4:$N$4)*('R&amp;S - Packaging and hh goods'!$E7*'R&amp;S - Packaging and hh goods'!$H$15*('R&amp;S - Packaging and hh goods'!$Z$20+('R&amp;S - Packaging and hh goods'!$Z$21-'R&amp;S - Packaging and hh goods'!$Z$20)*(BM$3-$X$3)/10))+BM27*'R&amp;S - Packaging and hh goods'!$M$4/SUM('R&amp;S - Packaging and hh goods'!$L$4:$N$4)*('R&amp;S - Packaging and hh goods'!$F7*'R&amp;S - Packaging and hh goods'!$J$15*('R&amp;S - Packaging and hh goods'!$AE$20+('R&amp;S - Packaging and hh goods'!$AE$21-'R&amp;S - Packaging and hh goods'!$AE$20)*(BM$3-$X$3)/10))+BM27*'R&amp;S - Packaging and hh goods'!$N$4/SUM('R&amp;S - Packaging and hh goods'!$L$4:$N$4)*('R&amp;S - Packaging and hh goods'!$G7*'R&amp;S - Packaging and hh goods'!$L$15*('R&amp;S - Packaging and hh goods'!$AJ$20+('R&amp;S - Packaging and hh goods'!$AJ$21-'R&amp;S - Packaging and hh goods'!$AJ$20)*(BM$3-$X$3)/10))</f>
        <v>0</v>
      </c>
      <c r="BN28" s="265">
        <f>BN27*'R&amp;S - Packaging and hh goods'!$L$4/SUM('R&amp;S - Packaging and hh goods'!$L$4:$N$4)*('R&amp;S - Packaging and hh goods'!$E7*'R&amp;S - Packaging and hh goods'!$H$15*('R&amp;S - Packaging and hh goods'!$Z$20+('R&amp;S - Packaging and hh goods'!$Z$21-'R&amp;S - Packaging and hh goods'!$Z$20)*(BN$3-$X$3)/10))+BN27*'R&amp;S - Packaging and hh goods'!$M$4/SUM('R&amp;S - Packaging and hh goods'!$L$4:$N$4)*('R&amp;S - Packaging and hh goods'!$F7*'R&amp;S - Packaging and hh goods'!$J$15*('R&amp;S - Packaging and hh goods'!$AE$20+('R&amp;S - Packaging and hh goods'!$AE$21-'R&amp;S - Packaging and hh goods'!$AE$20)*(BN$3-$X$3)/10))+BN27*'R&amp;S - Packaging and hh goods'!$N$4/SUM('R&amp;S - Packaging and hh goods'!$L$4:$N$4)*('R&amp;S - Packaging and hh goods'!$G7*'R&amp;S - Packaging and hh goods'!$L$15*('R&amp;S - Packaging and hh goods'!$AJ$20+('R&amp;S - Packaging and hh goods'!$AJ$21-'R&amp;S - Packaging and hh goods'!$AJ$20)*(BN$3-$X$3)/10))</f>
        <v>0</v>
      </c>
    </row>
    <row r="29" spans="1:85" outlineLevel="1">
      <c r="B29" s="61" t="s">
        <v>200</v>
      </c>
      <c r="C29" s="54" t="s">
        <v>153</v>
      </c>
      <c r="D29" s="43">
        <v>0</v>
      </c>
      <c r="E29" s="43">
        <f>E27*'R&amp;S - Packaging and hh goods'!$L$4/SUM('R&amp;S - Packaging and hh goods'!$L$4:$N$4)*'R&amp;S - Packaging and hh goods'!$E$8*('R&amp;S - Packaging and hh goods'!$H$14*'R&amp;S - Packaging and hh goods'!$AA$19*(E$3-$D$3)/10)+E27*'R&amp;S - Packaging and hh goods'!$M$4/SUM('R&amp;S - Packaging and hh goods'!$L$4:$N$4)*'R&amp;S - Packaging and hh goods'!$F$8*('R&amp;S - Packaging and hh goods'!$J$14*'R&amp;S - Packaging and hh goods'!$AF$19*(E$3-$D$3)/10)+E27*'R&amp;S - Packaging and hh goods'!$N$4/SUM('R&amp;S - Packaging and hh goods'!$L$4:$N$4)*'R&amp;S - Packaging and hh goods'!$G$8*('R&amp;S - Packaging and hh goods'!$L$14*'R&amp;S - Packaging and hh goods'!$AK$19*(E$3-$D$3)/10)</f>
        <v>0</v>
      </c>
      <c r="F29" s="43">
        <f>F27*'R&amp;S - Packaging and hh goods'!$L$4/SUM('R&amp;S - Packaging and hh goods'!$L$4:$N$4)*'R&amp;S - Packaging and hh goods'!$E$8*('R&amp;S - Packaging and hh goods'!$H$14*'R&amp;S - Packaging and hh goods'!$AA$19*(F$3-$D$3)/10)+F27*'R&amp;S - Packaging and hh goods'!$M$4/SUM('R&amp;S - Packaging and hh goods'!$L$4:$N$4)*'R&amp;S - Packaging and hh goods'!$F$8*('R&amp;S - Packaging and hh goods'!$J$14*'R&amp;S - Packaging and hh goods'!$AF$19*(F$3-$D$3)/10)+F27*'R&amp;S - Packaging and hh goods'!$N$4/SUM('R&amp;S - Packaging and hh goods'!$L$4:$N$4)*'R&amp;S - Packaging and hh goods'!$G$8*('R&amp;S - Packaging and hh goods'!$L$14*'R&amp;S - Packaging and hh goods'!$AK$19*(F$3-$D$3)/10)</f>
        <v>0</v>
      </c>
      <c r="G29" s="43">
        <f>G27*'R&amp;S - Packaging and hh goods'!$L$4/SUM('R&amp;S - Packaging and hh goods'!$L$4:$N$4)*'R&amp;S - Packaging and hh goods'!$E$8*('R&amp;S - Packaging and hh goods'!$H$14*'R&amp;S - Packaging and hh goods'!$AA$19*(G$3-$D$3)/10)+G27*'R&amp;S - Packaging and hh goods'!$M$4/SUM('R&amp;S - Packaging and hh goods'!$L$4:$N$4)*'R&amp;S - Packaging and hh goods'!$F$8*('R&amp;S - Packaging and hh goods'!$J$14*'R&amp;S - Packaging and hh goods'!$AF$19*(G$3-$D$3)/10)+G27*'R&amp;S - Packaging and hh goods'!$N$4/SUM('R&amp;S - Packaging and hh goods'!$L$4:$N$4)*'R&amp;S - Packaging and hh goods'!$G$8*('R&amp;S - Packaging and hh goods'!$L$14*'R&amp;S - Packaging and hh goods'!$AK$19*(G$3-$D$3)/10)</f>
        <v>0</v>
      </c>
      <c r="H29" s="43">
        <f>H27*'R&amp;S - Packaging and hh goods'!$L$4/SUM('R&amp;S - Packaging and hh goods'!$L$4:$N$4)*'R&amp;S - Packaging and hh goods'!$E$8*('R&amp;S - Packaging and hh goods'!$H$14*'R&amp;S - Packaging and hh goods'!$AA$19*(H$3-$D$3)/10)+H27*'R&amp;S - Packaging and hh goods'!$M$4/SUM('R&amp;S - Packaging and hh goods'!$L$4:$N$4)*'R&amp;S - Packaging and hh goods'!$F$8*('R&amp;S - Packaging and hh goods'!$J$14*'R&amp;S - Packaging and hh goods'!$AF$19*(H$3-$D$3)/10)+H27*'R&amp;S - Packaging and hh goods'!$N$4/SUM('R&amp;S - Packaging and hh goods'!$L$4:$N$4)*'R&amp;S - Packaging and hh goods'!$G$8*('R&amp;S - Packaging and hh goods'!$L$14*'R&amp;S - Packaging and hh goods'!$AK$19*(H$3-$D$3)/10)</f>
        <v>0</v>
      </c>
      <c r="I29" s="43">
        <f>I27*'R&amp;S - Packaging and hh goods'!$L$4/SUM('R&amp;S - Packaging and hh goods'!$L$4:$N$4)*'R&amp;S - Packaging and hh goods'!$E$8*('R&amp;S - Packaging and hh goods'!$H$14*'R&amp;S - Packaging and hh goods'!$AA$19*(I$3-$D$3)/10)+I27*'R&amp;S - Packaging and hh goods'!$M$4/SUM('R&amp;S - Packaging and hh goods'!$L$4:$N$4)*'R&amp;S - Packaging and hh goods'!$F$8*('R&amp;S - Packaging and hh goods'!$J$14*'R&amp;S - Packaging and hh goods'!$AF$19*(I$3-$D$3)/10)+I27*'R&amp;S - Packaging and hh goods'!$N$4/SUM('R&amp;S - Packaging and hh goods'!$L$4:$N$4)*'R&amp;S - Packaging and hh goods'!$G$8*('R&amp;S - Packaging and hh goods'!$L$14*'R&amp;S - Packaging and hh goods'!$AK$19*(I$3-$D$3)/10)</f>
        <v>0</v>
      </c>
      <c r="J29" s="43">
        <f>J27*'R&amp;S - Packaging and hh goods'!$L$4/SUM('R&amp;S - Packaging and hh goods'!$L$4:$N$4)*'R&amp;S - Packaging and hh goods'!$E$8*('R&amp;S - Packaging and hh goods'!$H$14*'R&amp;S - Packaging and hh goods'!$AA$19*(J$3-$D$3)/10)+J27*'R&amp;S - Packaging and hh goods'!$M$4/SUM('R&amp;S - Packaging and hh goods'!$L$4:$N$4)*'R&amp;S - Packaging and hh goods'!$F$8*('R&amp;S - Packaging and hh goods'!$J$14*'R&amp;S - Packaging and hh goods'!$AF$19*(J$3-$D$3)/10)+J27*'R&amp;S - Packaging and hh goods'!$N$4/SUM('R&amp;S - Packaging and hh goods'!$L$4:$N$4)*'R&amp;S - Packaging and hh goods'!$G$8*('R&amp;S - Packaging and hh goods'!$L$14*'R&amp;S - Packaging and hh goods'!$AK$19*(J$3-$D$3)/10)</f>
        <v>0</v>
      </c>
      <c r="K29" s="43">
        <f>K27*'R&amp;S - Packaging and hh goods'!$L$4/SUM('R&amp;S - Packaging and hh goods'!$L$4:$N$4)*'R&amp;S - Packaging and hh goods'!$E$8*('R&amp;S - Packaging and hh goods'!$H$14*'R&amp;S - Packaging and hh goods'!$AA$19*(K$3-$D$3)/10)+K27*'R&amp;S - Packaging and hh goods'!$M$4/SUM('R&amp;S - Packaging and hh goods'!$L$4:$N$4)*'R&amp;S - Packaging and hh goods'!$F$8*('R&amp;S - Packaging and hh goods'!$J$14*'R&amp;S - Packaging and hh goods'!$AF$19*(K$3-$D$3)/10)+K27*'R&amp;S - Packaging and hh goods'!$N$4/SUM('R&amp;S - Packaging and hh goods'!$L$4:$N$4)*'R&amp;S - Packaging and hh goods'!$G$8*('R&amp;S - Packaging and hh goods'!$L$14*'R&amp;S - Packaging and hh goods'!$AK$19*(K$3-$D$3)/10)</f>
        <v>0</v>
      </c>
      <c r="L29" s="43">
        <f>L27*'R&amp;S - Packaging and hh goods'!$L$4/SUM('R&amp;S - Packaging and hh goods'!$L$4:$N$4)*'R&amp;S - Packaging and hh goods'!$E$8*('R&amp;S - Packaging and hh goods'!$H$14*'R&amp;S - Packaging and hh goods'!$AA$19*(L$3-$D$3)/10)+L27*'R&amp;S - Packaging and hh goods'!$M$4/SUM('R&amp;S - Packaging and hh goods'!$L$4:$N$4)*'R&amp;S - Packaging and hh goods'!$F$8*('R&amp;S - Packaging and hh goods'!$J$14*'R&amp;S - Packaging and hh goods'!$AF$19*(L$3-$D$3)/10)+L27*'R&amp;S - Packaging and hh goods'!$N$4/SUM('R&amp;S - Packaging and hh goods'!$L$4:$N$4)*'R&amp;S - Packaging and hh goods'!$G$8*('R&amp;S - Packaging and hh goods'!$L$14*'R&amp;S - Packaging and hh goods'!$AK$19*(L$3-$D$3)/10)</f>
        <v>0</v>
      </c>
      <c r="M29" s="43">
        <f>M27*'R&amp;S - Packaging and hh goods'!$L$4/SUM('R&amp;S - Packaging and hh goods'!$L$4:$N$4)*'R&amp;S - Packaging and hh goods'!$E$8*('R&amp;S - Packaging and hh goods'!$H$14*'R&amp;S - Packaging and hh goods'!$AA$19*(M$3-$D$3)/10)+M27*'R&amp;S - Packaging and hh goods'!$M$4/SUM('R&amp;S - Packaging and hh goods'!$L$4:$N$4)*'R&amp;S - Packaging and hh goods'!$F$8*('R&amp;S - Packaging and hh goods'!$J$14*'R&amp;S - Packaging and hh goods'!$AF$19*(M$3-$D$3)/10)+M27*'R&amp;S - Packaging and hh goods'!$N$4/SUM('R&amp;S - Packaging and hh goods'!$L$4:$N$4)*'R&amp;S - Packaging and hh goods'!$G$8*('R&amp;S - Packaging and hh goods'!$L$14*'R&amp;S - Packaging and hh goods'!$AK$19*(M$3-$D$3)/10)</f>
        <v>0</v>
      </c>
      <c r="N29" s="43">
        <f>N27*'R&amp;S - Packaging and hh goods'!$L$4/SUM('R&amp;S - Packaging and hh goods'!$L$4:$N$4)*'R&amp;S - Packaging and hh goods'!$E$8*('R&amp;S - Packaging and hh goods'!$H$14*'R&amp;S - Packaging and hh goods'!$AA$19*(N$3-$D$3)/10)+N27*'R&amp;S - Packaging and hh goods'!$M$4/SUM('R&amp;S - Packaging and hh goods'!$L$4:$N$4)*'R&amp;S - Packaging and hh goods'!$F$8*('R&amp;S - Packaging and hh goods'!$J$14*'R&amp;S - Packaging and hh goods'!$AF$19*(N$3-$D$3)/10)+N27*'R&amp;S - Packaging and hh goods'!$N$4/SUM('R&amp;S - Packaging and hh goods'!$L$4:$N$4)*'R&amp;S - Packaging and hh goods'!$G$8*('R&amp;S - Packaging and hh goods'!$L$14*'R&amp;S - Packaging and hh goods'!$AK$19*(N$3-$D$3)/10)</f>
        <v>0</v>
      </c>
      <c r="O29" s="265">
        <f>O27*'R&amp;S - Packaging and hh goods'!$L$4/SUM('R&amp;S - Packaging and hh goods'!$L$4:$N$4)*('R&amp;S - Packaging and hh goods'!$E$8*'R&amp;S - Packaging and hh goods'!$H$14*('R&amp;S - Packaging and hh goods'!$AA$19+('R&amp;S - Packaging and hh goods'!$AA$20-'R&amp;S - Packaging and hh goods'!$AA$19)*(O$3-$N$3)/10))+O27*'R&amp;S - Packaging and hh goods'!$M$4/SUM('R&amp;S - Packaging and hh goods'!$L$4:$N$4)*('R&amp;S - Packaging and hh goods'!$F$8*'R&amp;S - Packaging and hh goods'!$J$14*('R&amp;S - Packaging and hh goods'!$AF$19+('R&amp;S - Packaging and hh goods'!$AF$20-'R&amp;S - Packaging and hh goods'!$AF$19)*(O$3-$N$3)/10))+O27*'R&amp;S - Packaging and hh goods'!$N$4/SUM('R&amp;S - Packaging and hh goods'!$L$4:$N$4)*('R&amp;S - Packaging and hh goods'!$G$8*'R&amp;S - Packaging and hh goods'!$L$14*('R&amp;S - Packaging and hh goods'!$AK$19+('R&amp;S - Packaging and hh goods'!$AK$20-'R&amp;S - Packaging and hh goods'!$AK$19)*(O$3-$N$3)/10))</f>
        <v>0</v>
      </c>
      <c r="P29" s="265">
        <f>P27*'R&amp;S - Packaging and hh goods'!$L$4/SUM('R&amp;S - Packaging and hh goods'!$L$4:$N$4)*('R&amp;S - Packaging and hh goods'!$E$8*'R&amp;S - Packaging and hh goods'!$H$14*('R&amp;S - Packaging and hh goods'!$AA$19+('R&amp;S - Packaging and hh goods'!$AA$20-'R&amp;S - Packaging and hh goods'!$AA$19)*(P$3-$N$3)/10))+P27*'R&amp;S - Packaging and hh goods'!$M$4/SUM('R&amp;S - Packaging and hh goods'!$L$4:$N$4)*('R&amp;S - Packaging and hh goods'!$F$8*'R&amp;S - Packaging and hh goods'!$J$14*('R&amp;S - Packaging and hh goods'!$AF$19+('R&amp;S - Packaging and hh goods'!$AF$20-'R&amp;S - Packaging and hh goods'!$AF$19)*(P$3-$N$3)/10))+P27*'R&amp;S - Packaging and hh goods'!$N$4/SUM('R&amp;S - Packaging and hh goods'!$L$4:$N$4)*('R&amp;S - Packaging and hh goods'!$G$8*'R&amp;S - Packaging and hh goods'!$L$14*('R&amp;S - Packaging and hh goods'!$AK$19+('R&amp;S - Packaging and hh goods'!$AK$20-'R&amp;S - Packaging and hh goods'!$AK$19)*(P$3-$N$3)/10))</f>
        <v>0</v>
      </c>
      <c r="Q29" s="265">
        <f>Q27*'R&amp;S - Packaging and hh goods'!$L$4/SUM('R&amp;S - Packaging and hh goods'!$L$4:$N$4)*('R&amp;S - Packaging and hh goods'!$E$8*'R&amp;S - Packaging and hh goods'!$H$14*('R&amp;S - Packaging and hh goods'!$AA$19+('R&amp;S - Packaging and hh goods'!$AA$20-'R&amp;S - Packaging and hh goods'!$AA$19)*(Q$3-$N$3)/10))+Q27*'R&amp;S - Packaging and hh goods'!$M$4/SUM('R&amp;S - Packaging and hh goods'!$L$4:$N$4)*('R&amp;S - Packaging and hh goods'!$F$8*'R&amp;S - Packaging and hh goods'!$J$14*('R&amp;S - Packaging and hh goods'!$AF$19+('R&amp;S - Packaging and hh goods'!$AF$20-'R&amp;S - Packaging and hh goods'!$AF$19)*(Q$3-$N$3)/10))+Q27*'R&amp;S - Packaging and hh goods'!$N$4/SUM('R&amp;S - Packaging and hh goods'!$L$4:$N$4)*('R&amp;S - Packaging and hh goods'!$G$8*'R&amp;S - Packaging and hh goods'!$L$14*('R&amp;S - Packaging and hh goods'!$AK$19+('R&amp;S - Packaging and hh goods'!$AK$20-'R&amp;S - Packaging and hh goods'!$AK$19)*(Q$3-$N$3)/10))</f>
        <v>0</v>
      </c>
      <c r="R29" s="265">
        <f>R27*'R&amp;S - Packaging and hh goods'!$L$4/SUM('R&amp;S - Packaging and hh goods'!$L$4:$N$4)*('R&amp;S - Packaging and hh goods'!$E$8*'R&amp;S - Packaging and hh goods'!$H$14*('R&amp;S - Packaging and hh goods'!$AA$19+('R&amp;S - Packaging and hh goods'!$AA$20-'R&amp;S - Packaging and hh goods'!$AA$19)*(R$3-$N$3)/10))+R27*'R&amp;S - Packaging and hh goods'!$M$4/SUM('R&amp;S - Packaging and hh goods'!$L$4:$N$4)*('R&amp;S - Packaging and hh goods'!$F$8*'R&amp;S - Packaging and hh goods'!$J$14*('R&amp;S - Packaging and hh goods'!$AF$19+('R&amp;S - Packaging and hh goods'!$AF$20-'R&amp;S - Packaging and hh goods'!$AF$19)*(R$3-$N$3)/10))+R27*'R&amp;S - Packaging and hh goods'!$N$4/SUM('R&amp;S - Packaging and hh goods'!$L$4:$N$4)*('R&amp;S - Packaging and hh goods'!$G$8*'R&amp;S - Packaging and hh goods'!$L$14*('R&amp;S - Packaging and hh goods'!$AK$19+('R&amp;S - Packaging and hh goods'!$AK$20-'R&amp;S - Packaging and hh goods'!$AK$19)*(R$3-$N$3)/10))</f>
        <v>0</v>
      </c>
      <c r="S29" s="265">
        <f>S27*'R&amp;S - Packaging and hh goods'!$L$4/SUM('R&amp;S - Packaging and hh goods'!$L$4:$N$4)*('R&amp;S - Packaging and hh goods'!$E$8*'R&amp;S - Packaging and hh goods'!$H$14*('R&amp;S - Packaging and hh goods'!$AA$19+('R&amp;S - Packaging and hh goods'!$AA$20-'R&amp;S - Packaging and hh goods'!$AA$19)*(S$3-$N$3)/10))+S27*'R&amp;S - Packaging and hh goods'!$M$4/SUM('R&amp;S - Packaging and hh goods'!$L$4:$N$4)*('R&amp;S - Packaging and hh goods'!$F$8*'R&amp;S - Packaging and hh goods'!$J$14*('R&amp;S - Packaging and hh goods'!$AF$19+('R&amp;S - Packaging and hh goods'!$AF$20-'R&amp;S - Packaging and hh goods'!$AF$19)*(S$3-$N$3)/10))+S27*'R&amp;S - Packaging and hh goods'!$N$4/SUM('R&amp;S - Packaging and hh goods'!$L$4:$N$4)*('R&amp;S - Packaging and hh goods'!$G$8*'R&amp;S - Packaging and hh goods'!$L$14*('R&amp;S - Packaging and hh goods'!$AK$19+('R&amp;S - Packaging and hh goods'!$AK$20-'R&amp;S - Packaging and hh goods'!$AK$19)*(S$3-$N$3)/10))</f>
        <v>0</v>
      </c>
      <c r="T29" s="265">
        <f>T27*'R&amp;S - Packaging and hh goods'!$L$4/SUM('R&amp;S - Packaging and hh goods'!$L$4:$N$4)*('R&amp;S - Packaging and hh goods'!$E$8*'R&amp;S - Packaging and hh goods'!$H$14*('R&amp;S - Packaging and hh goods'!$AA$19+('R&amp;S - Packaging and hh goods'!$AA$20-'R&amp;S - Packaging and hh goods'!$AA$19)*(T$3-$N$3)/10))+T27*'R&amp;S - Packaging and hh goods'!$M$4/SUM('R&amp;S - Packaging and hh goods'!$L$4:$N$4)*('R&amp;S - Packaging and hh goods'!$F$8*'R&amp;S - Packaging and hh goods'!$J$14*('R&amp;S - Packaging and hh goods'!$AF$19+('R&amp;S - Packaging and hh goods'!$AF$20-'R&amp;S - Packaging and hh goods'!$AF$19)*(T$3-$N$3)/10))+T27*'R&amp;S - Packaging and hh goods'!$N$4/SUM('R&amp;S - Packaging and hh goods'!$L$4:$N$4)*('R&amp;S - Packaging and hh goods'!$G$8*'R&amp;S - Packaging and hh goods'!$L$14*('R&amp;S - Packaging and hh goods'!$AK$19+('R&amp;S - Packaging and hh goods'!$AK$20-'R&amp;S - Packaging and hh goods'!$AK$19)*(T$3-$N$3)/10))</f>
        <v>0</v>
      </c>
      <c r="U29" s="265">
        <f>U27*'R&amp;S - Packaging and hh goods'!$L$4/SUM('R&amp;S - Packaging and hh goods'!$L$4:$N$4)*('R&amp;S - Packaging and hh goods'!$E$8*'R&amp;S - Packaging and hh goods'!$H$14*('R&amp;S - Packaging and hh goods'!$AA$19+('R&amp;S - Packaging and hh goods'!$AA$20-'R&amp;S - Packaging and hh goods'!$AA$19)*(U$3-$N$3)/10))+U27*'R&amp;S - Packaging and hh goods'!$M$4/SUM('R&amp;S - Packaging and hh goods'!$L$4:$N$4)*('R&amp;S - Packaging and hh goods'!$F$8*'R&amp;S - Packaging and hh goods'!$J$14*('R&amp;S - Packaging and hh goods'!$AF$19+('R&amp;S - Packaging and hh goods'!$AF$20-'R&amp;S - Packaging and hh goods'!$AF$19)*(U$3-$N$3)/10))+U27*'R&amp;S - Packaging and hh goods'!$N$4/SUM('R&amp;S - Packaging and hh goods'!$L$4:$N$4)*('R&amp;S - Packaging and hh goods'!$G$8*'R&amp;S - Packaging and hh goods'!$L$14*('R&amp;S - Packaging and hh goods'!$AK$19+('R&amp;S - Packaging and hh goods'!$AK$20-'R&amp;S - Packaging and hh goods'!$AK$19)*(U$3-$N$3)/10))</f>
        <v>0</v>
      </c>
      <c r="V29" s="265">
        <f>V27*'R&amp;S - Packaging and hh goods'!$L$4/SUM('R&amp;S - Packaging and hh goods'!$L$4:$N$4)*('R&amp;S - Packaging and hh goods'!$E$8*'R&amp;S - Packaging and hh goods'!$H$14*('R&amp;S - Packaging and hh goods'!$AA$19+('R&amp;S - Packaging and hh goods'!$AA$20-'R&amp;S - Packaging and hh goods'!$AA$19)*(V$3-$N$3)/10))+V27*'R&amp;S - Packaging and hh goods'!$M$4/SUM('R&amp;S - Packaging and hh goods'!$L$4:$N$4)*('R&amp;S - Packaging and hh goods'!$F$8*'R&amp;S - Packaging and hh goods'!$J$14*('R&amp;S - Packaging and hh goods'!$AF$19+('R&amp;S - Packaging and hh goods'!$AF$20-'R&amp;S - Packaging and hh goods'!$AF$19)*(V$3-$N$3)/10))+V27*'R&amp;S - Packaging and hh goods'!$N$4/SUM('R&amp;S - Packaging and hh goods'!$L$4:$N$4)*('R&amp;S - Packaging and hh goods'!$G$8*'R&amp;S - Packaging and hh goods'!$L$14*('R&amp;S - Packaging and hh goods'!$AK$19+('R&amp;S - Packaging and hh goods'!$AK$20-'R&amp;S - Packaging and hh goods'!$AK$19)*(V$3-$N$3)/10))</f>
        <v>0</v>
      </c>
      <c r="W29" s="265">
        <f>W27*'R&amp;S - Packaging and hh goods'!$L$4/SUM('R&amp;S - Packaging and hh goods'!$L$4:$N$4)*('R&amp;S - Packaging and hh goods'!$E$8*'R&amp;S - Packaging and hh goods'!$H$14*('R&amp;S - Packaging and hh goods'!$AA$19+('R&amp;S - Packaging and hh goods'!$AA$20-'R&amp;S - Packaging and hh goods'!$AA$19)*(W$3-$N$3)/10))+W27*'R&amp;S - Packaging and hh goods'!$M$4/SUM('R&amp;S - Packaging and hh goods'!$L$4:$N$4)*('R&amp;S - Packaging and hh goods'!$F$8*'R&amp;S - Packaging and hh goods'!$J$14*('R&amp;S - Packaging and hh goods'!$AF$19+('R&amp;S - Packaging and hh goods'!$AF$20-'R&amp;S - Packaging and hh goods'!$AF$19)*(W$3-$N$3)/10))+W27*'R&amp;S - Packaging and hh goods'!$N$4/SUM('R&amp;S - Packaging and hh goods'!$L$4:$N$4)*('R&amp;S - Packaging and hh goods'!$G$8*'R&amp;S - Packaging and hh goods'!$L$14*('R&amp;S - Packaging and hh goods'!$AK$19+('R&amp;S - Packaging and hh goods'!$AK$20-'R&amp;S - Packaging and hh goods'!$AK$19)*(W$3-$N$3)/10))</f>
        <v>0</v>
      </c>
      <c r="X29" s="265">
        <f>X27*'R&amp;S - Packaging and hh goods'!$L$4/SUM('R&amp;S - Packaging and hh goods'!$L$4:$N$4)*('R&amp;S - Packaging and hh goods'!$E$8*'R&amp;S - Packaging and hh goods'!$H$14*('R&amp;S - Packaging and hh goods'!$AA$19+('R&amp;S - Packaging and hh goods'!$AA$20-'R&amp;S - Packaging and hh goods'!$AA$19)*(X$3-$N$3)/10))+X27*'R&amp;S - Packaging and hh goods'!$M$4/SUM('R&amp;S - Packaging and hh goods'!$L$4:$N$4)*('R&amp;S - Packaging and hh goods'!$F$8*'R&amp;S - Packaging and hh goods'!$J$14*('R&amp;S - Packaging and hh goods'!$AF$19+('R&amp;S - Packaging and hh goods'!$AF$20-'R&amp;S - Packaging and hh goods'!$AF$19)*(X$3-$N$3)/10))+X27*'R&amp;S - Packaging and hh goods'!$N$4/SUM('R&amp;S - Packaging and hh goods'!$L$4:$N$4)*('R&amp;S - Packaging and hh goods'!$G$8*'R&amp;S - Packaging and hh goods'!$L$14*('R&amp;S - Packaging and hh goods'!$AK$19+('R&amp;S - Packaging and hh goods'!$AK$20-'R&amp;S - Packaging and hh goods'!$AK$19)*(X$3-$N$3)/10))</f>
        <v>0</v>
      </c>
      <c r="Y29" s="265">
        <f>Y27*'R&amp;S - Packaging and hh goods'!$L$4/SUM('R&amp;S - Packaging and hh goods'!$L$4:$N$4)*('R&amp;S - Packaging and hh goods'!$E8*'R&amp;S - Packaging and hh goods'!$H$14*('R&amp;S - Packaging and hh goods'!$AA$20+('R&amp;S - Packaging and hh goods'!$AA$21-'R&amp;S - Packaging and hh goods'!$AA$20)*(Y$3-$X$3)/10))+Y27*'R&amp;S - Packaging and hh goods'!$M$4/SUM('R&amp;S - Packaging and hh goods'!$L$4:$N$4)*('R&amp;S - Packaging and hh goods'!$F8*'R&amp;S - Packaging and hh goods'!$J$14*('R&amp;S - Packaging and hh goods'!$AF$20+('R&amp;S - Packaging and hh goods'!$AF$21-'R&amp;S - Packaging and hh goods'!$AF$20)*(Y$3-$X$3)/10))+Y27*'R&amp;S - Packaging and hh goods'!$N$4/SUM('R&amp;S - Packaging and hh goods'!$L$4:$N$4)*('R&amp;S - Packaging and hh goods'!$G8*'R&amp;S - Packaging and hh goods'!$L$14*('R&amp;S - Packaging and hh goods'!$AK$20+('R&amp;S - Packaging and hh goods'!$AK$21-'R&amp;S - Packaging and hh goods'!$AK$20)*(Y$3-$X$3)/10))</f>
        <v>0</v>
      </c>
      <c r="Z29" s="265">
        <f>Z27*'R&amp;S - Packaging and hh goods'!$L$4/SUM('R&amp;S - Packaging and hh goods'!$L$4:$N$4)*('R&amp;S - Packaging and hh goods'!$E8*'R&amp;S - Packaging and hh goods'!$H$14*('R&amp;S - Packaging and hh goods'!$AA$20+('R&amp;S - Packaging and hh goods'!$AA$21-'R&amp;S - Packaging and hh goods'!$AA$20)*(Z$3-$X$3)/10))+Z27*'R&amp;S - Packaging and hh goods'!$M$4/SUM('R&amp;S - Packaging and hh goods'!$L$4:$N$4)*('R&amp;S - Packaging and hh goods'!$F8*'R&amp;S - Packaging and hh goods'!$J$14*('R&amp;S - Packaging and hh goods'!$AF$20+('R&amp;S - Packaging and hh goods'!$AF$21-'R&amp;S - Packaging and hh goods'!$AF$20)*(Z$3-$X$3)/10))+Z27*'R&amp;S - Packaging and hh goods'!$N$4/SUM('R&amp;S - Packaging and hh goods'!$L$4:$N$4)*('R&amp;S - Packaging and hh goods'!$G8*'R&amp;S - Packaging and hh goods'!$L$14*('R&amp;S - Packaging and hh goods'!$AK$20+('R&amp;S - Packaging and hh goods'!$AK$21-'R&amp;S - Packaging and hh goods'!$AK$20)*(Z$3-$X$3)/10))</f>
        <v>0</v>
      </c>
      <c r="AA29" s="265">
        <f>AA27*'R&amp;S - Packaging and hh goods'!$L$4/SUM('R&amp;S - Packaging and hh goods'!$L$4:$N$4)*('R&amp;S - Packaging and hh goods'!$E8*'R&amp;S - Packaging and hh goods'!$H$14*('R&amp;S - Packaging and hh goods'!$AA$20+('R&amp;S - Packaging and hh goods'!$AA$21-'R&amp;S - Packaging and hh goods'!$AA$20)*(AA$3-$X$3)/10))+AA27*'R&amp;S - Packaging and hh goods'!$M$4/SUM('R&amp;S - Packaging and hh goods'!$L$4:$N$4)*('R&amp;S - Packaging and hh goods'!$F8*'R&amp;S - Packaging and hh goods'!$J$14*('R&amp;S - Packaging and hh goods'!$AF$20+('R&amp;S - Packaging and hh goods'!$AF$21-'R&amp;S - Packaging and hh goods'!$AF$20)*(AA$3-$X$3)/10))+AA27*'R&amp;S - Packaging and hh goods'!$N$4/SUM('R&amp;S - Packaging and hh goods'!$L$4:$N$4)*('R&amp;S - Packaging and hh goods'!$G8*'R&amp;S - Packaging and hh goods'!$L$14*('R&amp;S - Packaging and hh goods'!$AK$20+('R&amp;S - Packaging and hh goods'!$AK$21-'R&amp;S - Packaging and hh goods'!$AK$20)*(AA$3-$X$3)/10))</f>
        <v>0</v>
      </c>
      <c r="AB29" s="265">
        <f>AB27*'R&amp;S - Packaging and hh goods'!$L$4/SUM('R&amp;S - Packaging and hh goods'!$L$4:$N$4)*('R&amp;S - Packaging and hh goods'!$E8*'R&amp;S - Packaging and hh goods'!$H$14*('R&amp;S - Packaging and hh goods'!$AA$20+('R&amp;S - Packaging and hh goods'!$AA$21-'R&amp;S - Packaging and hh goods'!$AA$20)*(AB$3-$X$3)/10))+AB27*'R&amp;S - Packaging and hh goods'!$M$4/SUM('R&amp;S - Packaging and hh goods'!$L$4:$N$4)*('R&amp;S - Packaging and hh goods'!$F8*'R&amp;S - Packaging and hh goods'!$J$14*('R&amp;S - Packaging and hh goods'!$AF$20+('R&amp;S - Packaging and hh goods'!$AF$21-'R&amp;S - Packaging and hh goods'!$AF$20)*(AB$3-$X$3)/10))+AB27*'R&amp;S - Packaging and hh goods'!$N$4/SUM('R&amp;S - Packaging and hh goods'!$L$4:$N$4)*('R&amp;S - Packaging and hh goods'!$G8*'R&amp;S - Packaging and hh goods'!$L$14*('R&amp;S - Packaging and hh goods'!$AK$20+('R&amp;S - Packaging and hh goods'!$AK$21-'R&amp;S - Packaging and hh goods'!$AK$20)*(AB$3-$X$3)/10))</f>
        <v>0</v>
      </c>
      <c r="AC29" s="265">
        <f>AC27*'R&amp;S - Packaging and hh goods'!$L$4/SUM('R&amp;S - Packaging and hh goods'!$L$4:$N$4)*('R&amp;S - Packaging and hh goods'!$E8*'R&amp;S - Packaging and hh goods'!$H$14*('R&amp;S - Packaging and hh goods'!$AA$20+('R&amp;S - Packaging and hh goods'!$AA$21-'R&amp;S - Packaging and hh goods'!$AA$20)*(AC$3-$X$3)/10))+AC27*'R&amp;S - Packaging and hh goods'!$M$4/SUM('R&amp;S - Packaging and hh goods'!$L$4:$N$4)*('R&amp;S - Packaging and hh goods'!$F8*'R&amp;S - Packaging and hh goods'!$J$14*('R&amp;S - Packaging and hh goods'!$AF$20+('R&amp;S - Packaging and hh goods'!$AF$21-'R&amp;S - Packaging and hh goods'!$AF$20)*(AC$3-$X$3)/10))+AC27*'R&amp;S - Packaging and hh goods'!$N$4/SUM('R&amp;S - Packaging and hh goods'!$L$4:$N$4)*('R&amp;S - Packaging and hh goods'!$G8*'R&amp;S - Packaging and hh goods'!$L$14*('R&amp;S - Packaging and hh goods'!$AK$20+('R&amp;S - Packaging and hh goods'!$AK$21-'R&amp;S - Packaging and hh goods'!$AK$20)*(AC$3-$X$3)/10))</f>
        <v>0</v>
      </c>
      <c r="AD29" s="265">
        <f>AD27*'R&amp;S - Packaging and hh goods'!$L$4/SUM('R&amp;S - Packaging and hh goods'!$L$4:$N$4)*('R&amp;S - Packaging and hh goods'!$E8*'R&amp;S - Packaging and hh goods'!$H$14*('R&amp;S - Packaging and hh goods'!$AA$20+('R&amp;S - Packaging and hh goods'!$AA$21-'R&amp;S - Packaging and hh goods'!$AA$20)*(AD$3-$X$3)/10))+AD27*'R&amp;S - Packaging and hh goods'!$M$4/SUM('R&amp;S - Packaging and hh goods'!$L$4:$N$4)*('R&amp;S - Packaging and hh goods'!$F8*'R&amp;S - Packaging and hh goods'!$J$14*('R&amp;S - Packaging and hh goods'!$AF$20+('R&amp;S - Packaging and hh goods'!$AF$21-'R&amp;S - Packaging and hh goods'!$AF$20)*(AD$3-$X$3)/10))+AD27*'R&amp;S - Packaging and hh goods'!$N$4/SUM('R&amp;S - Packaging and hh goods'!$L$4:$N$4)*('R&amp;S - Packaging and hh goods'!$G8*'R&amp;S - Packaging and hh goods'!$L$14*('R&amp;S - Packaging and hh goods'!$AK$20+('R&amp;S - Packaging and hh goods'!$AK$21-'R&amp;S - Packaging and hh goods'!$AK$20)*(AD$3-$X$3)/10))</f>
        <v>0</v>
      </c>
      <c r="AE29" s="265">
        <f>AE27*'R&amp;S - Packaging and hh goods'!$L$4/SUM('R&amp;S - Packaging and hh goods'!$L$4:$N$4)*('R&amp;S - Packaging and hh goods'!$E8*'R&amp;S - Packaging and hh goods'!$H$14*('R&amp;S - Packaging and hh goods'!$AA$20+('R&amp;S - Packaging and hh goods'!$AA$21-'R&amp;S - Packaging and hh goods'!$AA$20)*(AE$3-$X$3)/10))+AE27*'R&amp;S - Packaging and hh goods'!$M$4/SUM('R&amp;S - Packaging and hh goods'!$L$4:$N$4)*('R&amp;S - Packaging and hh goods'!$F8*'R&amp;S - Packaging and hh goods'!$J$14*('R&amp;S - Packaging and hh goods'!$AF$20+('R&amp;S - Packaging and hh goods'!$AF$21-'R&amp;S - Packaging and hh goods'!$AF$20)*(AE$3-$X$3)/10))+AE27*'R&amp;S - Packaging and hh goods'!$N$4/SUM('R&amp;S - Packaging and hh goods'!$L$4:$N$4)*('R&amp;S - Packaging and hh goods'!$G8*'R&amp;S - Packaging and hh goods'!$L$14*('R&amp;S - Packaging and hh goods'!$AK$20+('R&amp;S - Packaging and hh goods'!$AK$21-'R&amp;S - Packaging and hh goods'!$AK$20)*(AE$3-$X$3)/10))</f>
        <v>0</v>
      </c>
      <c r="AF29" s="265">
        <f>AF27*'R&amp;S - Packaging and hh goods'!$L$4/SUM('R&amp;S - Packaging and hh goods'!$L$4:$N$4)*('R&amp;S - Packaging and hh goods'!$E8*'R&amp;S - Packaging and hh goods'!$H$14*('R&amp;S - Packaging and hh goods'!$AA$20+('R&amp;S - Packaging and hh goods'!$AA$21-'R&amp;S - Packaging and hh goods'!$AA$20)*(AF$3-$X$3)/10))+AF27*'R&amp;S - Packaging and hh goods'!$M$4/SUM('R&amp;S - Packaging and hh goods'!$L$4:$N$4)*('R&amp;S - Packaging and hh goods'!$F8*'R&amp;S - Packaging and hh goods'!$J$14*('R&amp;S - Packaging and hh goods'!$AF$20+('R&amp;S - Packaging and hh goods'!$AF$21-'R&amp;S - Packaging and hh goods'!$AF$20)*(AF$3-$X$3)/10))+AF27*'R&amp;S - Packaging and hh goods'!$N$4/SUM('R&amp;S - Packaging and hh goods'!$L$4:$N$4)*('R&amp;S - Packaging and hh goods'!$G8*'R&amp;S - Packaging and hh goods'!$L$14*('R&amp;S - Packaging and hh goods'!$AK$20+('R&amp;S - Packaging and hh goods'!$AK$21-'R&amp;S - Packaging and hh goods'!$AK$20)*(AF$3-$X$3)/10))</f>
        <v>0</v>
      </c>
      <c r="AG29" s="265">
        <f>AG27*'R&amp;S - Packaging and hh goods'!$L$4/SUM('R&amp;S - Packaging and hh goods'!$L$4:$N$4)*('R&amp;S - Packaging and hh goods'!$E8*'R&amp;S - Packaging and hh goods'!$H$14*('R&amp;S - Packaging and hh goods'!$AA$20+('R&amp;S - Packaging and hh goods'!$AA$21-'R&amp;S - Packaging and hh goods'!$AA$20)*(AG$3-$X$3)/10))+AG27*'R&amp;S - Packaging and hh goods'!$M$4/SUM('R&amp;S - Packaging and hh goods'!$L$4:$N$4)*('R&amp;S - Packaging and hh goods'!$F8*'R&amp;S - Packaging and hh goods'!$J$14*('R&amp;S - Packaging and hh goods'!$AF$20+('R&amp;S - Packaging and hh goods'!$AF$21-'R&amp;S - Packaging and hh goods'!$AF$20)*(AG$3-$X$3)/10))+AG27*'R&amp;S - Packaging and hh goods'!$N$4/SUM('R&amp;S - Packaging and hh goods'!$L$4:$N$4)*('R&amp;S - Packaging and hh goods'!$G8*'R&amp;S - Packaging and hh goods'!$L$14*('R&amp;S - Packaging and hh goods'!$AK$20+('R&amp;S - Packaging and hh goods'!$AK$21-'R&amp;S - Packaging and hh goods'!$AK$20)*(AG$3-$X$3)/10))</f>
        <v>0</v>
      </c>
      <c r="AH29" s="265">
        <f>AH27*'R&amp;S - Packaging and hh goods'!$L$4/SUM('R&amp;S - Packaging and hh goods'!$L$4:$N$4)*('R&amp;S - Packaging and hh goods'!$E8*'R&amp;S - Packaging and hh goods'!$H$14*('R&amp;S - Packaging and hh goods'!$AA$20+('R&amp;S - Packaging and hh goods'!$AA$21-'R&amp;S - Packaging and hh goods'!$AA$20)*(AH$3-$X$3)/10))+AH27*'R&amp;S - Packaging and hh goods'!$M$4/SUM('R&amp;S - Packaging and hh goods'!$L$4:$N$4)*('R&amp;S - Packaging and hh goods'!$F8*'R&amp;S - Packaging and hh goods'!$J$14*('R&amp;S - Packaging and hh goods'!$AF$20+('R&amp;S - Packaging and hh goods'!$AF$21-'R&amp;S - Packaging and hh goods'!$AF$20)*(AH$3-$X$3)/10))+AH27*'R&amp;S - Packaging and hh goods'!$N$4/SUM('R&amp;S - Packaging and hh goods'!$L$4:$N$4)*('R&amp;S - Packaging and hh goods'!$G8*'R&amp;S - Packaging and hh goods'!$L$14*('R&amp;S - Packaging and hh goods'!$AK$20+('R&amp;S - Packaging and hh goods'!$AK$21-'R&amp;S - Packaging and hh goods'!$AK$20)*(AH$3-$X$3)/10))</f>
        <v>0</v>
      </c>
      <c r="AJ29" s="43">
        <v>0</v>
      </c>
      <c r="AK29" s="43">
        <f>AK27*'R&amp;S - Packaging and hh goods'!$L$4/SUM('R&amp;S - Packaging and hh goods'!$L$4:$N$4)*'R&amp;S - Packaging and hh goods'!$E$8*('R&amp;S - Packaging and hh goods'!$H$15*'R&amp;S - Packaging and hh goods'!$AA$19*(AK$3-$D$3)/10)+AK27*'R&amp;S - Packaging and hh goods'!$M$4/SUM('R&amp;S - Packaging and hh goods'!$L$4:$N$4)*'R&amp;S - Packaging and hh goods'!$F$8*('R&amp;S - Packaging and hh goods'!$J$15*'R&amp;S - Packaging and hh goods'!$AF$19*(AK$3-$D$3)/10)+AK27*'R&amp;S - Packaging and hh goods'!$N$4/SUM('R&amp;S - Packaging and hh goods'!$L$4:$N$4)*'R&amp;S - Packaging and hh goods'!$G$8*('R&amp;S - Packaging and hh goods'!$L$15*'R&amp;S - Packaging and hh goods'!$AK$19*(AK$3-$D$3)/10)</f>
        <v>0</v>
      </c>
      <c r="AL29" s="43">
        <f>AL27*'R&amp;S - Packaging and hh goods'!$L$4/SUM('R&amp;S - Packaging and hh goods'!$L$4:$N$4)*'R&amp;S - Packaging and hh goods'!$E$8*('R&amp;S - Packaging and hh goods'!$H$15*'R&amp;S - Packaging and hh goods'!$AA$19*(AL$3-$D$3)/10)+AL27*'R&amp;S - Packaging and hh goods'!$M$4/SUM('R&amp;S - Packaging and hh goods'!$L$4:$N$4)*'R&amp;S - Packaging and hh goods'!$F$8*('R&amp;S - Packaging and hh goods'!$J$15*'R&amp;S - Packaging and hh goods'!$AF$19*(AL$3-$D$3)/10)+AL27*'R&amp;S - Packaging and hh goods'!$N$4/SUM('R&amp;S - Packaging and hh goods'!$L$4:$N$4)*'R&amp;S - Packaging and hh goods'!$G$8*('R&amp;S - Packaging and hh goods'!$L$15*'R&amp;S - Packaging and hh goods'!$AK$19*(AL$3-$D$3)/10)</f>
        <v>0</v>
      </c>
      <c r="AM29" s="43">
        <f>AM27*'R&amp;S - Packaging and hh goods'!$L$4/SUM('R&amp;S - Packaging and hh goods'!$L$4:$N$4)*'R&amp;S - Packaging and hh goods'!$E$8*('R&amp;S - Packaging and hh goods'!$H$15*'R&amp;S - Packaging and hh goods'!$AA$19*(AM$3-$D$3)/10)+AM27*'R&amp;S - Packaging and hh goods'!$M$4/SUM('R&amp;S - Packaging and hh goods'!$L$4:$N$4)*'R&amp;S - Packaging and hh goods'!$F$8*('R&amp;S - Packaging and hh goods'!$J$15*'R&amp;S - Packaging and hh goods'!$AF$19*(AM$3-$D$3)/10)+AM27*'R&amp;S - Packaging and hh goods'!$N$4/SUM('R&amp;S - Packaging and hh goods'!$L$4:$N$4)*'R&amp;S - Packaging and hh goods'!$G$8*('R&amp;S - Packaging and hh goods'!$L$15*'R&amp;S - Packaging and hh goods'!$AK$19*(AM$3-$D$3)/10)</f>
        <v>0</v>
      </c>
      <c r="AN29" s="43">
        <f>AN27*'R&amp;S - Packaging and hh goods'!$L$4/SUM('R&amp;S - Packaging and hh goods'!$L$4:$N$4)*'R&amp;S - Packaging and hh goods'!$E$8*('R&amp;S - Packaging and hh goods'!$H$15*'R&amp;S - Packaging and hh goods'!$AA$19*(AN$3-$D$3)/10)+AN27*'R&amp;S - Packaging and hh goods'!$M$4/SUM('R&amp;S - Packaging and hh goods'!$L$4:$N$4)*'R&amp;S - Packaging and hh goods'!$F$8*('R&amp;S - Packaging and hh goods'!$J$15*'R&amp;S - Packaging and hh goods'!$AF$19*(AN$3-$D$3)/10)+AN27*'R&amp;S - Packaging and hh goods'!$N$4/SUM('R&amp;S - Packaging and hh goods'!$L$4:$N$4)*'R&amp;S - Packaging and hh goods'!$G$8*('R&amp;S - Packaging and hh goods'!$L$15*'R&amp;S - Packaging and hh goods'!$AK$19*(AN$3-$D$3)/10)</f>
        <v>0</v>
      </c>
      <c r="AO29" s="43">
        <f>AO27*'R&amp;S - Packaging and hh goods'!$L$4/SUM('R&amp;S - Packaging and hh goods'!$L$4:$N$4)*'R&amp;S - Packaging and hh goods'!$E$8*('R&amp;S - Packaging and hh goods'!$H$15*'R&amp;S - Packaging and hh goods'!$AA$19*(AO$3-$D$3)/10)+AO27*'R&amp;S - Packaging and hh goods'!$M$4/SUM('R&amp;S - Packaging and hh goods'!$L$4:$N$4)*'R&amp;S - Packaging and hh goods'!$F$8*('R&amp;S - Packaging and hh goods'!$J$15*'R&amp;S - Packaging and hh goods'!$AF$19*(AO$3-$D$3)/10)+AO27*'R&amp;S - Packaging and hh goods'!$N$4/SUM('R&amp;S - Packaging and hh goods'!$L$4:$N$4)*'R&amp;S - Packaging and hh goods'!$G$8*('R&amp;S - Packaging and hh goods'!$L$15*'R&amp;S - Packaging and hh goods'!$AK$19*(AO$3-$D$3)/10)</f>
        <v>0</v>
      </c>
      <c r="AP29" s="43">
        <f>AP27*'R&amp;S - Packaging and hh goods'!$L$4/SUM('R&amp;S - Packaging and hh goods'!$L$4:$N$4)*'R&amp;S - Packaging and hh goods'!$E$8*('R&amp;S - Packaging and hh goods'!$H$15*'R&amp;S - Packaging and hh goods'!$AA$19*(AP$3-$D$3)/10)+AP27*'R&amp;S - Packaging and hh goods'!$M$4/SUM('R&amp;S - Packaging and hh goods'!$L$4:$N$4)*'R&amp;S - Packaging and hh goods'!$F$8*('R&amp;S - Packaging and hh goods'!$J$15*'R&amp;S - Packaging and hh goods'!$AF$19*(AP$3-$D$3)/10)+AP27*'R&amp;S - Packaging and hh goods'!$N$4/SUM('R&amp;S - Packaging and hh goods'!$L$4:$N$4)*'R&amp;S - Packaging and hh goods'!$G$8*('R&amp;S - Packaging and hh goods'!$L$15*'R&amp;S - Packaging and hh goods'!$AK$19*(AP$3-$D$3)/10)</f>
        <v>0</v>
      </c>
      <c r="AQ29" s="43">
        <f>AQ27*'R&amp;S - Packaging and hh goods'!$L$4/SUM('R&amp;S - Packaging and hh goods'!$L$4:$N$4)*'R&amp;S - Packaging and hh goods'!$E$8*('R&amp;S - Packaging and hh goods'!$H$15*'R&amp;S - Packaging and hh goods'!$AA$19*(AQ$3-$D$3)/10)+AQ27*'R&amp;S - Packaging and hh goods'!$M$4/SUM('R&amp;S - Packaging and hh goods'!$L$4:$N$4)*'R&amp;S - Packaging and hh goods'!$F$8*('R&amp;S - Packaging and hh goods'!$J$15*'R&amp;S - Packaging and hh goods'!$AF$19*(AQ$3-$D$3)/10)+AQ27*'R&amp;S - Packaging and hh goods'!$N$4/SUM('R&amp;S - Packaging and hh goods'!$L$4:$N$4)*'R&amp;S - Packaging and hh goods'!$G$8*('R&amp;S - Packaging and hh goods'!$L$15*'R&amp;S - Packaging and hh goods'!$AK$19*(AQ$3-$D$3)/10)</f>
        <v>0</v>
      </c>
      <c r="AR29" s="43">
        <f>AR27*'R&amp;S - Packaging and hh goods'!$L$4/SUM('R&amp;S - Packaging and hh goods'!$L$4:$N$4)*'R&amp;S - Packaging and hh goods'!$E$8*('R&amp;S - Packaging and hh goods'!$H$15*'R&amp;S - Packaging and hh goods'!$AA$19*(AR$3-$D$3)/10)+AR27*'R&amp;S - Packaging and hh goods'!$M$4/SUM('R&amp;S - Packaging and hh goods'!$L$4:$N$4)*'R&amp;S - Packaging and hh goods'!$F$8*('R&amp;S - Packaging and hh goods'!$J$15*'R&amp;S - Packaging and hh goods'!$AF$19*(AR$3-$D$3)/10)+AR27*'R&amp;S - Packaging and hh goods'!$N$4/SUM('R&amp;S - Packaging and hh goods'!$L$4:$N$4)*'R&amp;S - Packaging and hh goods'!$G$8*('R&amp;S - Packaging and hh goods'!$L$15*'R&amp;S - Packaging and hh goods'!$AK$19*(AR$3-$D$3)/10)</f>
        <v>0</v>
      </c>
      <c r="AS29" s="43">
        <f>AS27*'R&amp;S - Packaging and hh goods'!$L$4/SUM('R&amp;S - Packaging and hh goods'!$L$4:$N$4)*'R&amp;S - Packaging and hh goods'!$E$8*('R&amp;S - Packaging and hh goods'!$H$15*'R&amp;S - Packaging and hh goods'!$AA$19*(AS$3-$D$3)/10)+AS27*'R&amp;S - Packaging and hh goods'!$M$4/SUM('R&amp;S - Packaging and hh goods'!$L$4:$N$4)*'R&amp;S - Packaging and hh goods'!$F$8*('R&amp;S - Packaging and hh goods'!$J$15*'R&amp;S - Packaging and hh goods'!$AF$19*(AS$3-$D$3)/10)+AS27*'R&amp;S - Packaging and hh goods'!$N$4/SUM('R&amp;S - Packaging and hh goods'!$L$4:$N$4)*'R&amp;S - Packaging and hh goods'!$G$8*('R&amp;S - Packaging and hh goods'!$L$15*'R&amp;S - Packaging and hh goods'!$AK$19*(AS$3-$D$3)/10)</f>
        <v>0</v>
      </c>
      <c r="AT29" s="43">
        <f>AT27*'R&amp;S - Packaging and hh goods'!$L$4/SUM('R&amp;S - Packaging and hh goods'!$L$4:$N$4)*'R&amp;S - Packaging and hh goods'!$E$8*('R&amp;S - Packaging and hh goods'!$H$15*'R&amp;S - Packaging and hh goods'!$AA$19*(AT$3-$D$3)/10)+AT27*'R&amp;S - Packaging and hh goods'!$M$4/SUM('R&amp;S - Packaging and hh goods'!$L$4:$N$4)*'R&amp;S - Packaging and hh goods'!$F$8*('R&amp;S - Packaging and hh goods'!$J$15*'R&amp;S - Packaging and hh goods'!$AF$19*(AT$3-$D$3)/10)+AT27*'R&amp;S - Packaging and hh goods'!$N$4/SUM('R&amp;S - Packaging and hh goods'!$L$4:$N$4)*'R&amp;S - Packaging and hh goods'!$G$8*('R&amp;S - Packaging and hh goods'!$L$15*'R&amp;S - Packaging and hh goods'!$AK$19*(AT$3-$D$3)/10)</f>
        <v>0</v>
      </c>
      <c r="AU29" s="265">
        <f>AU27*'R&amp;S - Packaging and hh goods'!$L$4/SUM('R&amp;S - Packaging and hh goods'!$L$4:$N$4)*('R&amp;S - Packaging and hh goods'!$E$8*'R&amp;S - Packaging and hh goods'!$H$15*('R&amp;S - Packaging and hh goods'!$AA$19+('R&amp;S - Packaging and hh goods'!$AA$20-'R&amp;S - Packaging and hh goods'!$AA$19)*(AU$3-$N$3)/10))+AU27*'R&amp;S - Packaging and hh goods'!$M$4/SUM('R&amp;S - Packaging and hh goods'!$L$4:$N$4)*('R&amp;S - Packaging and hh goods'!$F$8*'R&amp;S - Packaging and hh goods'!$J$15*('R&amp;S - Packaging and hh goods'!$AF$19+('R&amp;S - Packaging and hh goods'!$AF$20-'R&amp;S - Packaging and hh goods'!$AF$19)*(AU$3-$N$3)/10))+AU27*'R&amp;S - Packaging and hh goods'!$N$4/SUM('R&amp;S - Packaging and hh goods'!$L$4:$N$4)*('R&amp;S - Packaging and hh goods'!$G$8*'R&amp;S - Packaging and hh goods'!$L$15*('R&amp;S - Packaging and hh goods'!$AK$19+('R&amp;S - Packaging and hh goods'!$AK$20-'R&amp;S - Packaging and hh goods'!$AK$19)*(AU$3-$N$3)/10))</f>
        <v>0</v>
      </c>
      <c r="AV29" s="265">
        <f>AV27*'R&amp;S - Packaging and hh goods'!$L$4/SUM('R&amp;S - Packaging and hh goods'!$L$4:$N$4)*('R&amp;S - Packaging and hh goods'!$E$8*'R&amp;S - Packaging and hh goods'!$H$15*('R&amp;S - Packaging and hh goods'!$AA$19+('R&amp;S - Packaging and hh goods'!$AA$20-'R&amp;S - Packaging and hh goods'!$AA$19)*(AV$3-$N$3)/10))+AV27*'R&amp;S - Packaging and hh goods'!$M$4/SUM('R&amp;S - Packaging and hh goods'!$L$4:$N$4)*('R&amp;S - Packaging and hh goods'!$F$8*'R&amp;S - Packaging and hh goods'!$J$15*('R&amp;S - Packaging and hh goods'!$AF$19+('R&amp;S - Packaging and hh goods'!$AF$20-'R&amp;S - Packaging and hh goods'!$AF$19)*(AV$3-$N$3)/10))+AV27*'R&amp;S - Packaging and hh goods'!$N$4/SUM('R&amp;S - Packaging and hh goods'!$L$4:$N$4)*('R&amp;S - Packaging and hh goods'!$G$8*'R&amp;S - Packaging and hh goods'!$L$15*('R&amp;S - Packaging and hh goods'!$AK$19+('R&amp;S - Packaging and hh goods'!$AK$20-'R&amp;S - Packaging and hh goods'!$AK$19)*(AV$3-$N$3)/10))</f>
        <v>0</v>
      </c>
      <c r="AW29" s="265">
        <f>AW27*'R&amp;S - Packaging and hh goods'!$L$4/SUM('R&amp;S - Packaging and hh goods'!$L$4:$N$4)*('R&amp;S - Packaging and hh goods'!$E$8*'R&amp;S - Packaging and hh goods'!$H$15*('R&amp;S - Packaging and hh goods'!$AA$19+('R&amp;S - Packaging and hh goods'!$AA$20-'R&amp;S - Packaging and hh goods'!$AA$19)*(AW$3-$N$3)/10))+AW27*'R&amp;S - Packaging and hh goods'!$M$4/SUM('R&amp;S - Packaging and hh goods'!$L$4:$N$4)*('R&amp;S - Packaging and hh goods'!$F$8*'R&amp;S - Packaging and hh goods'!$J$15*('R&amp;S - Packaging and hh goods'!$AF$19+('R&amp;S - Packaging and hh goods'!$AF$20-'R&amp;S - Packaging and hh goods'!$AF$19)*(AW$3-$N$3)/10))+AW27*'R&amp;S - Packaging and hh goods'!$N$4/SUM('R&amp;S - Packaging and hh goods'!$L$4:$N$4)*('R&amp;S - Packaging and hh goods'!$G$8*'R&amp;S - Packaging and hh goods'!$L$15*('R&amp;S - Packaging and hh goods'!$AK$19+('R&amp;S - Packaging and hh goods'!$AK$20-'R&amp;S - Packaging and hh goods'!$AK$19)*(AW$3-$N$3)/10))</f>
        <v>0</v>
      </c>
      <c r="AX29" s="265">
        <f>AX27*'R&amp;S - Packaging and hh goods'!$L$4/SUM('R&amp;S - Packaging and hh goods'!$L$4:$N$4)*('R&amp;S - Packaging and hh goods'!$E$8*'R&amp;S - Packaging and hh goods'!$H$15*('R&amp;S - Packaging and hh goods'!$AA$19+('R&amp;S - Packaging and hh goods'!$AA$20-'R&amp;S - Packaging and hh goods'!$AA$19)*(AX$3-$N$3)/10))+AX27*'R&amp;S - Packaging and hh goods'!$M$4/SUM('R&amp;S - Packaging and hh goods'!$L$4:$N$4)*('R&amp;S - Packaging and hh goods'!$F$8*'R&amp;S - Packaging and hh goods'!$J$15*('R&amp;S - Packaging and hh goods'!$AF$19+('R&amp;S - Packaging and hh goods'!$AF$20-'R&amp;S - Packaging and hh goods'!$AF$19)*(AX$3-$N$3)/10))+AX27*'R&amp;S - Packaging and hh goods'!$N$4/SUM('R&amp;S - Packaging and hh goods'!$L$4:$N$4)*('R&amp;S - Packaging and hh goods'!$G$8*'R&amp;S - Packaging and hh goods'!$L$15*('R&amp;S - Packaging and hh goods'!$AK$19+('R&amp;S - Packaging and hh goods'!$AK$20-'R&amp;S - Packaging and hh goods'!$AK$19)*(AX$3-$N$3)/10))</f>
        <v>0</v>
      </c>
      <c r="AY29" s="265">
        <f>AY27*'R&amp;S - Packaging and hh goods'!$L$4/SUM('R&amp;S - Packaging and hh goods'!$L$4:$N$4)*('R&amp;S - Packaging and hh goods'!$E$8*'R&amp;S - Packaging and hh goods'!$H$15*('R&amp;S - Packaging and hh goods'!$AA$19+('R&amp;S - Packaging and hh goods'!$AA$20-'R&amp;S - Packaging and hh goods'!$AA$19)*(AY$3-$N$3)/10))+AY27*'R&amp;S - Packaging and hh goods'!$M$4/SUM('R&amp;S - Packaging and hh goods'!$L$4:$N$4)*('R&amp;S - Packaging and hh goods'!$F$8*'R&amp;S - Packaging and hh goods'!$J$15*('R&amp;S - Packaging and hh goods'!$AF$19+('R&amp;S - Packaging and hh goods'!$AF$20-'R&amp;S - Packaging and hh goods'!$AF$19)*(AY$3-$N$3)/10))+AY27*'R&amp;S - Packaging and hh goods'!$N$4/SUM('R&amp;S - Packaging and hh goods'!$L$4:$N$4)*('R&amp;S - Packaging and hh goods'!$G$8*'R&amp;S - Packaging and hh goods'!$L$15*('R&amp;S - Packaging and hh goods'!$AK$19+('R&amp;S - Packaging and hh goods'!$AK$20-'R&amp;S - Packaging and hh goods'!$AK$19)*(AY$3-$N$3)/10))</f>
        <v>0</v>
      </c>
      <c r="AZ29" s="265">
        <f>AZ27*'R&amp;S - Packaging and hh goods'!$L$4/SUM('R&amp;S - Packaging and hh goods'!$L$4:$N$4)*('R&amp;S - Packaging and hh goods'!$E$8*'R&amp;S - Packaging and hh goods'!$H$15*('R&amp;S - Packaging and hh goods'!$AA$19+('R&amp;S - Packaging and hh goods'!$AA$20-'R&amp;S - Packaging and hh goods'!$AA$19)*(AZ$3-$N$3)/10))+AZ27*'R&amp;S - Packaging and hh goods'!$M$4/SUM('R&amp;S - Packaging and hh goods'!$L$4:$N$4)*('R&amp;S - Packaging and hh goods'!$F$8*'R&amp;S - Packaging and hh goods'!$J$15*('R&amp;S - Packaging and hh goods'!$AF$19+('R&amp;S - Packaging and hh goods'!$AF$20-'R&amp;S - Packaging and hh goods'!$AF$19)*(AZ$3-$N$3)/10))+AZ27*'R&amp;S - Packaging and hh goods'!$N$4/SUM('R&amp;S - Packaging and hh goods'!$L$4:$N$4)*('R&amp;S - Packaging and hh goods'!$G$8*'R&amp;S - Packaging and hh goods'!$L$15*('R&amp;S - Packaging and hh goods'!$AK$19+('R&amp;S - Packaging and hh goods'!$AK$20-'R&amp;S - Packaging and hh goods'!$AK$19)*(AZ$3-$N$3)/10))</f>
        <v>0</v>
      </c>
      <c r="BA29" s="265">
        <f>BA27*'R&amp;S - Packaging and hh goods'!$L$4/SUM('R&amp;S - Packaging and hh goods'!$L$4:$N$4)*('R&amp;S - Packaging and hh goods'!$E$8*'R&amp;S - Packaging and hh goods'!$H$15*('R&amp;S - Packaging and hh goods'!$AA$19+('R&amp;S - Packaging and hh goods'!$AA$20-'R&amp;S - Packaging and hh goods'!$AA$19)*(BA$3-$N$3)/10))+BA27*'R&amp;S - Packaging and hh goods'!$M$4/SUM('R&amp;S - Packaging and hh goods'!$L$4:$N$4)*('R&amp;S - Packaging and hh goods'!$F$8*'R&amp;S - Packaging and hh goods'!$J$15*('R&amp;S - Packaging and hh goods'!$AF$19+('R&amp;S - Packaging and hh goods'!$AF$20-'R&amp;S - Packaging and hh goods'!$AF$19)*(BA$3-$N$3)/10))+BA27*'R&amp;S - Packaging and hh goods'!$N$4/SUM('R&amp;S - Packaging and hh goods'!$L$4:$N$4)*('R&amp;S - Packaging and hh goods'!$G$8*'R&amp;S - Packaging and hh goods'!$L$15*('R&amp;S - Packaging and hh goods'!$AK$19+('R&amp;S - Packaging and hh goods'!$AK$20-'R&amp;S - Packaging and hh goods'!$AK$19)*(BA$3-$N$3)/10))</f>
        <v>0</v>
      </c>
      <c r="BB29" s="265">
        <f>BB27*'R&amp;S - Packaging and hh goods'!$L$4/SUM('R&amp;S - Packaging and hh goods'!$L$4:$N$4)*('R&amp;S - Packaging and hh goods'!$E$8*'R&amp;S - Packaging and hh goods'!$H$15*('R&amp;S - Packaging and hh goods'!$AA$19+('R&amp;S - Packaging and hh goods'!$AA$20-'R&amp;S - Packaging and hh goods'!$AA$19)*(BB$3-$N$3)/10))+BB27*'R&amp;S - Packaging and hh goods'!$M$4/SUM('R&amp;S - Packaging and hh goods'!$L$4:$N$4)*('R&amp;S - Packaging and hh goods'!$F$8*'R&amp;S - Packaging and hh goods'!$J$15*('R&amp;S - Packaging and hh goods'!$AF$19+('R&amp;S - Packaging and hh goods'!$AF$20-'R&amp;S - Packaging and hh goods'!$AF$19)*(BB$3-$N$3)/10))+BB27*'R&amp;S - Packaging and hh goods'!$N$4/SUM('R&amp;S - Packaging and hh goods'!$L$4:$N$4)*('R&amp;S - Packaging and hh goods'!$G$8*'R&amp;S - Packaging and hh goods'!$L$15*('R&amp;S - Packaging and hh goods'!$AK$19+('R&amp;S - Packaging and hh goods'!$AK$20-'R&amp;S - Packaging and hh goods'!$AK$19)*(BB$3-$N$3)/10))</f>
        <v>0</v>
      </c>
      <c r="BC29" s="265">
        <f>BC27*'R&amp;S - Packaging and hh goods'!$L$4/SUM('R&amp;S - Packaging and hh goods'!$L$4:$N$4)*('R&amp;S - Packaging and hh goods'!$E$8*'R&amp;S - Packaging and hh goods'!$H$15*('R&amp;S - Packaging and hh goods'!$AA$19+('R&amp;S - Packaging and hh goods'!$AA$20-'R&amp;S - Packaging and hh goods'!$AA$19)*(BC$3-$N$3)/10))+BC27*'R&amp;S - Packaging and hh goods'!$M$4/SUM('R&amp;S - Packaging and hh goods'!$L$4:$N$4)*('R&amp;S - Packaging and hh goods'!$F$8*'R&amp;S - Packaging and hh goods'!$J$15*('R&amp;S - Packaging and hh goods'!$AF$19+('R&amp;S - Packaging and hh goods'!$AF$20-'R&amp;S - Packaging and hh goods'!$AF$19)*(BC$3-$N$3)/10))+BC27*'R&amp;S - Packaging and hh goods'!$N$4/SUM('R&amp;S - Packaging and hh goods'!$L$4:$N$4)*('R&amp;S - Packaging and hh goods'!$G$8*'R&amp;S - Packaging and hh goods'!$L$15*('R&amp;S - Packaging and hh goods'!$AK$19+('R&amp;S - Packaging and hh goods'!$AK$20-'R&amp;S - Packaging and hh goods'!$AK$19)*(BC$3-$N$3)/10))</f>
        <v>0</v>
      </c>
      <c r="BD29" s="265">
        <f>BD27*'R&amp;S - Packaging and hh goods'!$L$4/SUM('R&amp;S - Packaging and hh goods'!$L$4:$N$4)*('R&amp;S - Packaging and hh goods'!$E$8*'R&amp;S - Packaging and hh goods'!$H$15*('R&amp;S - Packaging and hh goods'!$AA$19+('R&amp;S - Packaging and hh goods'!$AA$20-'R&amp;S - Packaging and hh goods'!$AA$19)*(BD$3-$N$3)/10))+BD27*'R&amp;S - Packaging and hh goods'!$M$4/SUM('R&amp;S - Packaging and hh goods'!$L$4:$N$4)*('R&amp;S - Packaging and hh goods'!$F$8*'R&amp;S - Packaging and hh goods'!$J$15*('R&amp;S - Packaging and hh goods'!$AF$19+('R&amp;S - Packaging and hh goods'!$AF$20-'R&amp;S - Packaging and hh goods'!$AF$19)*(BD$3-$N$3)/10))+BD27*'R&amp;S - Packaging and hh goods'!$N$4/SUM('R&amp;S - Packaging and hh goods'!$L$4:$N$4)*('R&amp;S - Packaging and hh goods'!$G$8*'R&amp;S - Packaging and hh goods'!$L$15*('R&amp;S - Packaging and hh goods'!$AK$19+('R&amp;S - Packaging and hh goods'!$AK$20-'R&amp;S - Packaging and hh goods'!$AK$19)*(BD$3-$N$3)/10))</f>
        <v>0</v>
      </c>
      <c r="BE29" s="265">
        <f>BE27*'R&amp;S - Packaging and hh goods'!$L$4/SUM('R&amp;S - Packaging and hh goods'!$L$4:$N$4)*('R&amp;S - Packaging and hh goods'!$E8*'R&amp;S - Packaging and hh goods'!$H$15*('R&amp;S - Packaging and hh goods'!$AA$20+('R&amp;S - Packaging and hh goods'!$AA$21-'R&amp;S - Packaging and hh goods'!$AA$20)*(BE$3-$X$3)/10))+BE27*'R&amp;S - Packaging and hh goods'!$M$4/SUM('R&amp;S - Packaging and hh goods'!$L$4:$N$4)*('R&amp;S - Packaging and hh goods'!$F8*'R&amp;S - Packaging and hh goods'!$J$15*('R&amp;S - Packaging and hh goods'!$AF$20+('R&amp;S - Packaging and hh goods'!$AF$21-'R&amp;S - Packaging and hh goods'!$AF$20)*(BE$3-$X$3)/10))+BE27*'R&amp;S - Packaging and hh goods'!$N$4/SUM('R&amp;S - Packaging and hh goods'!$L$4:$N$4)*('R&amp;S - Packaging and hh goods'!$G8*'R&amp;S - Packaging and hh goods'!$L$15*('R&amp;S - Packaging and hh goods'!$AK$20+('R&amp;S - Packaging and hh goods'!$AK$21-'R&amp;S - Packaging and hh goods'!$AK$20)*(BE$3-$X$3)/10))</f>
        <v>0</v>
      </c>
      <c r="BF29" s="265">
        <f>BF27*'R&amp;S - Packaging and hh goods'!$L$4/SUM('R&amp;S - Packaging and hh goods'!$L$4:$N$4)*('R&amp;S - Packaging and hh goods'!$E8*'R&amp;S - Packaging and hh goods'!$H$15*('R&amp;S - Packaging and hh goods'!$AA$20+('R&amp;S - Packaging and hh goods'!$AA$21-'R&amp;S - Packaging and hh goods'!$AA$20)*(BF$3-$X$3)/10))+BF27*'R&amp;S - Packaging and hh goods'!$M$4/SUM('R&amp;S - Packaging and hh goods'!$L$4:$N$4)*('R&amp;S - Packaging and hh goods'!$F8*'R&amp;S - Packaging and hh goods'!$J$15*('R&amp;S - Packaging and hh goods'!$AF$20+('R&amp;S - Packaging and hh goods'!$AF$21-'R&amp;S - Packaging and hh goods'!$AF$20)*(BF$3-$X$3)/10))+BF27*'R&amp;S - Packaging and hh goods'!$N$4/SUM('R&amp;S - Packaging and hh goods'!$L$4:$N$4)*('R&amp;S - Packaging and hh goods'!$G8*'R&amp;S - Packaging and hh goods'!$L$15*('R&amp;S - Packaging and hh goods'!$AK$20+('R&amp;S - Packaging and hh goods'!$AK$21-'R&amp;S - Packaging and hh goods'!$AK$20)*(BF$3-$X$3)/10))</f>
        <v>0</v>
      </c>
      <c r="BG29" s="265">
        <f>BG27*'R&amp;S - Packaging and hh goods'!$L$4/SUM('R&amp;S - Packaging and hh goods'!$L$4:$N$4)*('R&amp;S - Packaging and hh goods'!$E8*'R&amp;S - Packaging and hh goods'!$H$15*('R&amp;S - Packaging and hh goods'!$AA$20+('R&amp;S - Packaging and hh goods'!$AA$21-'R&amp;S - Packaging and hh goods'!$AA$20)*(BG$3-$X$3)/10))+BG27*'R&amp;S - Packaging and hh goods'!$M$4/SUM('R&amp;S - Packaging and hh goods'!$L$4:$N$4)*('R&amp;S - Packaging and hh goods'!$F8*'R&amp;S - Packaging and hh goods'!$J$15*('R&amp;S - Packaging and hh goods'!$AF$20+('R&amp;S - Packaging and hh goods'!$AF$21-'R&amp;S - Packaging and hh goods'!$AF$20)*(BG$3-$X$3)/10))+BG27*'R&amp;S - Packaging and hh goods'!$N$4/SUM('R&amp;S - Packaging and hh goods'!$L$4:$N$4)*('R&amp;S - Packaging and hh goods'!$G8*'R&amp;S - Packaging and hh goods'!$L$15*('R&amp;S - Packaging and hh goods'!$AK$20+('R&amp;S - Packaging and hh goods'!$AK$21-'R&amp;S - Packaging and hh goods'!$AK$20)*(BG$3-$X$3)/10))</f>
        <v>0</v>
      </c>
      <c r="BH29" s="265">
        <f>BH27*'R&amp;S - Packaging and hh goods'!$L$4/SUM('R&amp;S - Packaging and hh goods'!$L$4:$N$4)*('R&amp;S - Packaging and hh goods'!$E8*'R&amp;S - Packaging and hh goods'!$H$15*('R&amp;S - Packaging and hh goods'!$AA$20+('R&amp;S - Packaging and hh goods'!$AA$21-'R&amp;S - Packaging and hh goods'!$AA$20)*(BH$3-$X$3)/10))+BH27*'R&amp;S - Packaging and hh goods'!$M$4/SUM('R&amp;S - Packaging and hh goods'!$L$4:$N$4)*('R&amp;S - Packaging and hh goods'!$F8*'R&amp;S - Packaging and hh goods'!$J$15*('R&amp;S - Packaging and hh goods'!$AF$20+('R&amp;S - Packaging and hh goods'!$AF$21-'R&amp;S - Packaging and hh goods'!$AF$20)*(BH$3-$X$3)/10))+BH27*'R&amp;S - Packaging and hh goods'!$N$4/SUM('R&amp;S - Packaging and hh goods'!$L$4:$N$4)*('R&amp;S - Packaging and hh goods'!$G8*'R&amp;S - Packaging and hh goods'!$L$15*('R&amp;S - Packaging and hh goods'!$AK$20+('R&amp;S - Packaging and hh goods'!$AK$21-'R&amp;S - Packaging and hh goods'!$AK$20)*(BH$3-$X$3)/10))</f>
        <v>0</v>
      </c>
      <c r="BI29" s="265">
        <f>BI27*'R&amp;S - Packaging and hh goods'!$L$4/SUM('R&amp;S - Packaging and hh goods'!$L$4:$N$4)*('R&amp;S - Packaging and hh goods'!$E8*'R&amp;S - Packaging and hh goods'!$H$15*('R&amp;S - Packaging and hh goods'!$AA$20+('R&amp;S - Packaging and hh goods'!$AA$21-'R&amp;S - Packaging and hh goods'!$AA$20)*(BI$3-$X$3)/10))+BI27*'R&amp;S - Packaging and hh goods'!$M$4/SUM('R&amp;S - Packaging and hh goods'!$L$4:$N$4)*('R&amp;S - Packaging and hh goods'!$F8*'R&amp;S - Packaging and hh goods'!$J$15*('R&amp;S - Packaging and hh goods'!$AF$20+('R&amp;S - Packaging and hh goods'!$AF$21-'R&amp;S - Packaging and hh goods'!$AF$20)*(BI$3-$X$3)/10))+BI27*'R&amp;S - Packaging and hh goods'!$N$4/SUM('R&amp;S - Packaging and hh goods'!$L$4:$N$4)*('R&amp;S - Packaging and hh goods'!$G8*'R&amp;S - Packaging and hh goods'!$L$15*('R&amp;S - Packaging and hh goods'!$AK$20+('R&amp;S - Packaging and hh goods'!$AK$21-'R&amp;S - Packaging and hh goods'!$AK$20)*(BI$3-$X$3)/10))</f>
        <v>0</v>
      </c>
      <c r="BJ29" s="265">
        <f>BJ27*'R&amp;S - Packaging and hh goods'!$L$4/SUM('R&amp;S - Packaging and hh goods'!$L$4:$N$4)*('R&amp;S - Packaging and hh goods'!$E8*'R&amp;S - Packaging and hh goods'!$H$15*('R&amp;S - Packaging and hh goods'!$AA$20+('R&amp;S - Packaging and hh goods'!$AA$21-'R&amp;S - Packaging and hh goods'!$AA$20)*(BJ$3-$X$3)/10))+BJ27*'R&amp;S - Packaging and hh goods'!$M$4/SUM('R&amp;S - Packaging and hh goods'!$L$4:$N$4)*('R&amp;S - Packaging and hh goods'!$F8*'R&amp;S - Packaging and hh goods'!$J$15*('R&amp;S - Packaging and hh goods'!$AF$20+('R&amp;S - Packaging and hh goods'!$AF$21-'R&amp;S - Packaging and hh goods'!$AF$20)*(BJ$3-$X$3)/10))+BJ27*'R&amp;S - Packaging and hh goods'!$N$4/SUM('R&amp;S - Packaging and hh goods'!$L$4:$N$4)*('R&amp;S - Packaging and hh goods'!$G8*'R&amp;S - Packaging and hh goods'!$L$15*('R&amp;S - Packaging and hh goods'!$AK$20+('R&amp;S - Packaging and hh goods'!$AK$21-'R&amp;S - Packaging and hh goods'!$AK$20)*(BJ$3-$X$3)/10))</f>
        <v>0</v>
      </c>
      <c r="BK29" s="265">
        <f>BK27*'R&amp;S - Packaging and hh goods'!$L$4/SUM('R&amp;S - Packaging and hh goods'!$L$4:$N$4)*('R&amp;S - Packaging and hh goods'!$E8*'R&amp;S - Packaging and hh goods'!$H$15*('R&amp;S - Packaging and hh goods'!$AA$20+('R&amp;S - Packaging and hh goods'!$AA$21-'R&amp;S - Packaging and hh goods'!$AA$20)*(BK$3-$X$3)/10))+BK27*'R&amp;S - Packaging and hh goods'!$M$4/SUM('R&amp;S - Packaging and hh goods'!$L$4:$N$4)*('R&amp;S - Packaging and hh goods'!$F8*'R&amp;S - Packaging and hh goods'!$J$15*('R&amp;S - Packaging and hh goods'!$AF$20+('R&amp;S - Packaging and hh goods'!$AF$21-'R&amp;S - Packaging and hh goods'!$AF$20)*(BK$3-$X$3)/10))+BK27*'R&amp;S - Packaging and hh goods'!$N$4/SUM('R&amp;S - Packaging and hh goods'!$L$4:$N$4)*('R&amp;S - Packaging and hh goods'!$G8*'R&amp;S - Packaging and hh goods'!$L$15*('R&amp;S - Packaging and hh goods'!$AK$20+('R&amp;S - Packaging and hh goods'!$AK$21-'R&amp;S - Packaging and hh goods'!$AK$20)*(BK$3-$X$3)/10))</f>
        <v>0</v>
      </c>
      <c r="BL29" s="265">
        <f>BL27*'R&amp;S - Packaging and hh goods'!$L$4/SUM('R&amp;S - Packaging and hh goods'!$L$4:$N$4)*('R&amp;S - Packaging and hh goods'!$E8*'R&amp;S - Packaging and hh goods'!$H$15*('R&amp;S - Packaging and hh goods'!$AA$20+('R&amp;S - Packaging and hh goods'!$AA$21-'R&amp;S - Packaging and hh goods'!$AA$20)*(BL$3-$X$3)/10))+BL27*'R&amp;S - Packaging and hh goods'!$M$4/SUM('R&amp;S - Packaging and hh goods'!$L$4:$N$4)*('R&amp;S - Packaging and hh goods'!$F8*'R&amp;S - Packaging and hh goods'!$J$15*('R&amp;S - Packaging and hh goods'!$AF$20+('R&amp;S - Packaging and hh goods'!$AF$21-'R&amp;S - Packaging and hh goods'!$AF$20)*(BL$3-$X$3)/10))+BL27*'R&amp;S - Packaging and hh goods'!$N$4/SUM('R&amp;S - Packaging and hh goods'!$L$4:$N$4)*('R&amp;S - Packaging and hh goods'!$G8*'R&amp;S - Packaging and hh goods'!$L$15*('R&amp;S - Packaging and hh goods'!$AK$20+('R&amp;S - Packaging and hh goods'!$AK$21-'R&amp;S - Packaging and hh goods'!$AK$20)*(BL$3-$X$3)/10))</f>
        <v>0</v>
      </c>
      <c r="BM29" s="265">
        <f>BM27*'R&amp;S - Packaging and hh goods'!$L$4/SUM('R&amp;S - Packaging and hh goods'!$L$4:$N$4)*('R&amp;S - Packaging and hh goods'!$E8*'R&amp;S - Packaging and hh goods'!$H$15*('R&amp;S - Packaging and hh goods'!$AA$20+('R&amp;S - Packaging and hh goods'!$AA$21-'R&amp;S - Packaging and hh goods'!$AA$20)*(BM$3-$X$3)/10))+BM27*'R&amp;S - Packaging and hh goods'!$M$4/SUM('R&amp;S - Packaging and hh goods'!$L$4:$N$4)*('R&amp;S - Packaging and hh goods'!$F8*'R&amp;S - Packaging and hh goods'!$J$15*('R&amp;S - Packaging and hh goods'!$AF$20+('R&amp;S - Packaging and hh goods'!$AF$21-'R&amp;S - Packaging and hh goods'!$AF$20)*(BM$3-$X$3)/10))+BM27*'R&amp;S - Packaging and hh goods'!$N$4/SUM('R&amp;S - Packaging and hh goods'!$L$4:$N$4)*('R&amp;S - Packaging and hh goods'!$G8*'R&amp;S - Packaging and hh goods'!$L$15*('R&amp;S - Packaging and hh goods'!$AK$20+('R&amp;S - Packaging and hh goods'!$AK$21-'R&amp;S - Packaging and hh goods'!$AK$20)*(BM$3-$X$3)/10))</f>
        <v>0</v>
      </c>
      <c r="BN29" s="265">
        <f>BN27*'R&amp;S - Packaging and hh goods'!$L$4/SUM('R&amp;S - Packaging and hh goods'!$L$4:$N$4)*('R&amp;S - Packaging and hh goods'!$E8*'R&amp;S - Packaging and hh goods'!$H$15*('R&amp;S - Packaging and hh goods'!$AA$20+('R&amp;S - Packaging and hh goods'!$AA$21-'R&amp;S - Packaging and hh goods'!$AA$20)*(BN$3-$X$3)/10))+BN27*'R&amp;S - Packaging and hh goods'!$M$4/SUM('R&amp;S - Packaging and hh goods'!$L$4:$N$4)*('R&amp;S - Packaging and hh goods'!$F8*'R&amp;S - Packaging and hh goods'!$J$15*('R&amp;S - Packaging and hh goods'!$AF$20+('R&amp;S - Packaging and hh goods'!$AF$21-'R&amp;S - Packaging and hh goods'!$AF$20)*(BN$3-$X$3)/10))+BN27*'R&amp;S - Packaging and hh goods'!$N$4/SUM('R&amp;S - Packaging and hh goods'!$L$4:$N$4)*('R&amp;S - Packaging and hh goods'!$G8*'R&amp;S - Packaging and hh goods'!$L$15*('R&amp;S - Packaging and hh goods'!$AK$20+('R&amp;S - Packaging and hh goods'!$AK$21-'R&amp;S - Packaging and hh goods'!$AK$20)*(BN$3-$X$3)/10))</f>
        <v>0</v>
      </c>
      <c r="BQ29" s="1" t="s">
        <v>201</v>
      </c>
      <c r="BR29" t="s">
        <v>179</v>
      </c>
      <c r="BS29" s="44" t="e">
        <f>#REF!</f>
        <v>#REF!</v>
      </c>
      <c r="BU29" t="str" cm="1">
        <f t="array" ref="BU29:BW33">'Sankey Methanol_detailed'!Q21:S25</f>
        <v>Fuel</v>
      </c>
      <c r="BV29" s="44">
        <v>28.587862624213781</v>
      </c>
      <c r="BW29" s="2">
        <v>0.27471012342412782</v>
      </c>
    </row>
    <row r="30" spans="1:85" outlineLevel="1">
      <c r="B30" s="1" t="s">
        <v>168</v>
      </c>
      <c r="C30" s="54" t="s">
        <v>153</v>
      </c>
      <c r="D30" s="43">
        <f>SUM(D28:D29)</f>
        <v>0</v>
      </c>
      <c r="E30" s="43">
        <f t="shared" ref="E30:Y30" si="23">SUM(E28:E29)</f>
        <v>0</v>
      </c>
      <c r="F30" s="43">
        <f t="shared" si="23"/>
        <v>0</v>
      </c>
      <c r="G30" s="43">
        <f t="shared" si="23"/>
        <v>0</v>
      </c>
      <c r="H30" s="43">
        <f t="shared" si="23"/>
        <v>0</v>
      </c>
      <c r="I30" s="43">
        <f t="shared" si="23"/>
        <v>0</v>
      </c>
      <c r="J30" s="43">
        <f t="shared" si="23"/>
        <v>0</v>
      </c>
      <c r="K30" s="43">
        <f t="shared" si="23"/>
        <v>0</v>
      </c>
      <c r="L30" s="43">
        <f t="shared" si="23"/>
        <v>0</v>
      </c>
      <c r="M30" s="43">
        <f t="shared" si="23"/>
        <v>0</v>
      </c>
      <c r="N30" s="43">
        <f t="shared" si="23"/>
        <v>0</v>
      </c>
      <c r="O30" s="265">
        <f t="shared" si="23"/>
        <v>0</v>
      </c>
      <c r="P30" s="265">
        <f t="shared" ref="P30:X30" si="24">SUM(P28:P29)</f>
        <v>0</v>
      </c>
      <c r="Q30" s="265">
        <f t="shared" si="24"/>
        <v>0</v>
      </c>
      <c r="R30" s="265">
        <f t="shared" si="24"/>
        <v>0</v>
      </c>
      <c r="S30" s="265">
        <f t="shared" si="24"/>
        <v>0</v>
      </c>
      <c r="T30" s="265">
        <f t="shared" si="24"/>
        <v>0</v>
      </c>
      <c r="U30" s="265">
        <f t="shared" si="24"/>
        <v>0</v>
      </c>
      <c r="V30" s="265">
        <f t="shared" si="24"/>
        <v>0</v>
      </c>
      <c r="W30" s="265">
        <f t="shared" si="24"/>
        <v>0</v>
      </c>
      <c r="X30" s="265">
        <f t="shared" si="24"/>
        <v>0</v>
      </c>
      <c r="Y30" s="265">
        <f t="shared" si="23"/>
        <v>0</v>
      </c>
      <c r="Z30" s="265">
        <f t="shared" ref="Z30:AH30" si="25">SUM(Z28:Z29)</f>
        <v>0</v>
      </c>
      <c r="AA30" s="265">
        <f t="shared" si="25"/>
        <v>0</v>
      </c>
      <c r="AB30" s="265">
        <f t="shared" si="25"/>
        <v>0</v>
      </c>
      <c r="AC30" s="265">
        <f t="shared" si="25"/>
        <v>0</v>
      </c>
      <c r="AD30" s="265">
        <f t="shared" si="25"/>
        <v>0</v>
      </c>
      <c r="AE30" s="265">
        <f t="shared" si="25"/>
        <v>0</v>
      </c>
      <c r="AF30" s="265">
        <f t="shared" si="25"/>
        <v>0</v>
      </c>
      <c r="AG30" s="265">
        <f t="shared" si="25"/>
        <v>0</v>
      </c>
      <c r="AH30" s="265">
        <f t="shared" si="25"/>
        <v>0</v>
      </c>
      <c r="AJ30" s="43">
        <f>SUM(AJ28:AJ29)</f>
        <v>0</v>
      </c>
      <c r="AK30" s="43">
        <f t="shared" ref="AK30:BN30" si="26">SUM(AK28:AK29)</f>
        <v>0</v>
      </c>
      <c r="AL30" s="43">
        <f t="shared" si="26"/>
        <v>0</v>
      </c>
      <c r="AM30" s="43">
        <f t="shared" si="26"/>
        <v>0</v>
      </c>
      <c r="AN30" s="43">
        <f t="shared" si="26"/>
        <v>0</v>
      </c>
      <c r="AO30" s="43">
        <f t="shared" si="26"/>
        <v>0</v>
      </c>
      <c r="AP30" s="43">
        <f t="shared" si="26"/>
        <v>0</v>
      </c>
      <c r="AQ30" s="43">
        <f t="shared" si="26"/>
        <v>0</v>
      </c>
      <c r="AR30" s="43">
        <f t="shared" si="26"/>
        <v>0</v>
      </c>
      <c r="AS30" s="43">
        <f t="shared" si="26"/>
        <v>0</v>
      </c>
      <c r="AT30" s="43">
        <f t="shared" si="26"/>
        <v>0</v>
      </c>
      <c r="AU30" s="265">
        <f t="shared" si="26"/>
        <v>0</v>
      </c>
      <c r="AV30" s="265">
        <f t="shared" si="26"/>
        <v>0</v>
      </c>
      <c r="AW30" s="265">
        <f t="shared" si="26"/>
        <v>0</v>
      </c>
      <c r="AX30" s="265">
        <f t="shared" si="26"/>
        <v>0</v>
      </c>
      <c r="AY30" s="265">
        <f t="shared" si="26"/>
        <v>0</v>
      </c>
      <c r="AZ30" s="265">
        <f t="shared" si="26"/>
        <v>0</v>
      </c>
      <c r="BA30" s="265">
        <f t="shared" si="26"/>
        <v>0</v>
      </c>
      <c r="BB30" s="265">
        <f t="shared" si="26"/>
        <v>0</v>
      </c>
      <c r="BC30" s="265">
        <f t="shared" si="26"/>
        <v>0</v>
      </c>
      <c r="BD30" s="265">
        <f t="shared" si="26"/>
        <v>0</v>
      </c>
      <c r="BE30" s="265">
        <f t="shared" si="26"/>
        <v>0</v>
      </c>
      <c r="BF30" s="265">
        <f t="shared" si="26"/>
        <v>0</v>
      </c>
      <c r="BG30" s="265">
        <f t="shared" si="26"/>
        <v>0</v>
      </c>
      <c r="BH30" s="265">
        <f t="shared" si="26"/>
        <v>0</v>
      </c>
      <c r="BI30" s="265">
        <f t="shared" si="26"/>
        <v>0</v>
      </c>
      <c r="BJ30" s="265">
        <f t="shared" si="26"/>
        <v>0</v>
      </c>
      <c r="BK30" s="265">
        <f t="shared" si="26"/>
        <v>0</v>
      </c>
      <c r="BL30" s="265">
        <f t="shared" si="26"/>
        <v>0</v>
      </c>
      <c r="BM30" s="265">
        <f t="shared" si="26"/>
        <v>0</v>
      </c>
      <c r="BN30" s="265">
        <f t="shared" si="26"/>
        <v>0</v>
      </c>
      <c r="BR30" t="s">
        <v>187</v>
      </c>
      <c r="BS30" s="44">
        <f>D9</f>
        <v>7.61095133078841</v>
      </c>
      <c r="BU30" t="str">
        <v>Major Polymers</v>
      </c>
      <c r="BV30" s="44">
        <v>28.851572700948026</v>
      </c>
      <c r="BW30" s="2">
        <v>0.27724419981452192</v>
      </c>
    </row>
    <row r="31" spans="1:85" outlineLevel="1">
      <c r="B31" s="61" t="s">
        <v>202</v>
      </c>
      <c r="C31" s="54" t="s">
        <v>153</v>
      </c>
      <c r="D31" s="43">
        <v>0</v>
      </c>
      <c r="E31" s="43">
        <f>E27*'R&amp;S - Packaging and hh goods'!$L$4/SUM('R&amp;S - Packaging and hh goods'!$L$4:$N$4)*'R&amp;S - Packaging and hh goods'!$E$9*('R&amp;S - Packaging and hh goods'!$I$14*'R&amp;S - Packaging and hh goods'!$AB$19*(E$3-$D$3)/10)+E27*'R&amp;S - Packaging and hh goods'!$M$4/SUM('R&amp;S - Packaging and hh goods'!$L$4:$N$4)*'R&amp;S - Packaging and hh goods'!$F$9*('R&amp;S - Packaging and hh goods'!$K$14*'R&amp;S - Packaging and hh goods'!$AG$19*(E$3-$D$3)/10)+E27*'R&amp;S - Packaging and hh goods'!$N$4/SUM('R&amp;S - Packaging and hh goods'!$L$4:$N$4)*'R&amp;S - Packaging and hh goods'!$G$9*('R&amp;S - Packaging and hh goods'!$M$14*'R&amp;S - Packaging and hh goods'!$AL$19*(E$3-$D$3)/10)</f>
        <v>0</v>
      </c>
      <c r="F31" s="43">
        <f>F27*'R&amp;S - Packaging and hh goods'!$L$4/SUM('R&amp;S - Packaging and hh goods'!$L$4:$N$4)*'R&amp;S - Packaging and hh goods'!$E$9*('R&amp;S - Packaging and hh goods'!$I$14*'R&amp;S - Packaging and hh goods'!$AB$19*(F$3-$D$3)/10)+F27*'R&amp;S - Packaging and hh goods'!$M$4/SUM('R&amp;S - Packaging and hh goods'!$L$4:$N$4)*'R&amp;S - Packaging and hh goods'!$F$9*('R&amp;S - Packaging and hh goods'!$K$14*'R&amp;S - Packaging and hh goods'!$AG$19*(F$3-$D$3)/10)+F27*'R&amp;S - Packaging and hh goods'!$N$4/SUM('R&amp;S - Packaging and hh goods'!$L$4:$N$4)*'R&amp;S - Packaging and hh goods'!$G$9*('R&amp;S - Packaging and hh goods'!$M$14*'R&amp;S - Packaging and hh goods'!$AL$19*(F$3-$D$3)/10)</f>
        <v>0</v>
      </c>
      <c r="G31" s="43">
        <f>G27*'R&amp;S - Packaging and hh goods'!$L$4/SUM('R&amp;S - Packaging and hh goods'!$L$4:$N$4)*'R&amp;S - Packaging and hh goods'!$E$9*('R&amp;S - Packaging and hh goods'!$I$14*'R&amp;S - Packaging and hh goods'!$AB$19*(G$3-$D$3)/10)+G27*'R&amp;S - Packaging and hh goods'!$M$4/SUM('R&amp;S - Packaging and hh goods'!$L$4:$N$4)*'R&amp;S - Packaging and hh goods'!$F$9*('R&amp;S - Packaging and hh goods'!$K$14*'R&amp;S - Packaging and hh goods'!$AG$19*(G$3-$D$3)/10)+G27*'R&amp;S - Packaging and hh goods'!$N$4/SUM('R&amp;S - Packaging and hh goods'!$L$4:$N$4)*'R&amp;S - Packaging and hh goods'!$G$9*('R&amp;S - Packaging and hh goods'!$M$14*'R&amp;S - Packaging and hh goods'!$AL$19*(G$3-$D$3)/10)</f>
        <v>0</v>
      </c>
      <c r="H31" s="43">
        <f>H27*'R&amp;S - Packaging and hh goods'!$L$4/SUM('R&amp;S - Packaging and hh goods'!$L$4:$N$4)*'R&amp;S - Packaging and hh goods'!$E$9*('R&amp;S - Packaging and hh goods'!$I$14*'R&amp;S - Packaging and hh goods'!$AB$19*(H$3-$D$3)/10)+H27*'R&amp;S - Packaging and hh goods'!$M$4/SUM('R&amp;S - Packaging and hh goods'!$L$4:$N$4)*'R&amp;S - Packaging and hh goods'!$F$9*('R&amp;S - Packaging and hh goods'!$K$14*'R&amp;S - Packaging and hh goods'!$AG$19*(H$3-$D$3)/10)+H27*'R&amp;S - Packaging and hh goods'!$N$4/SUM('R&amp;S - Packaging and hh goods'!$L$4:$N$4)*'R&amp;S - Packaging and hh goods'!$G$9*('R&amp;S - Packaging and hh goods'!$M$14*'R&amp;S - Packaging and hh goods'!$AL$19*(H$3-$D$3)/10)</f>
        <v>0</v>
      </c>
      <c r="I31" s="43">
        <f>I27*'R&amp;S - Packaging and hh goods'!$L$4/SUM('R&amp;S - Packaging and hh goods'!$L$4:$N$4)*'R&amp;S - Packaging and hh goods'!$E$9*('R&amp;S - Packaging and hh goods'!$I$14*'R&amp;S - Packaging and hh goods'!$AB$19*(I$3-$D$3)/10)+I27*'R&amp;S - Packaging and hh goods'!$M$4/SUM('R&amp;S - Packaging and hh goods'!$L$4:$N$4)*'R&amp;S - Packaging and hh goods'!$F$9*('R&amp;S - Packaging and hh goods'!$K$14*'R&amp;S - Packaging and hh goods'!$AG$19*(I$3-$D$3)/10)+I27*'R&amp;S - Packaging and hh goods'!$N$4/SUM('R&amp;S - Packaging and hh goods'!$L$4:$N$4)*'R&amp;S - Packaging and hh goods'!$G$9*('R&amp;S - Packaging and hh goods'!$M$14*'R&amp;S - Packaging and hh goods'!$AL$19*(I$3-$D$3)/10)</f>
        <v>0</v>
      </c>
      <c r="J31" s="43">
        <f>J27*'R&amp;S - Packaging and hh goods'!$L$4/SUM('R&amp;S - Packaging and hh goods'!$L$4:$N$4)*'R&amp;S - Packaging and hh goods'!$E$9*('R&amp;S - Packaging and hh goods'!$I$14*'R&amp;S - Packaging and hh goods'!$AB$19*(J$3-$D$3)/10)+J27*'R&amp;S - Packaging and hh goods'!$M$4/SUM('R&amp;S - Packaging and hh goods'!$L$4:$N$4)*'R&amp;S - Packaging and hh goods'!$F$9*('R&amp;S - Packaging and hh goods'!$K$14*'R&amp;S - Packaging and hh goods'!$AG$19*(J$3-$D$3)/10)+J27*'R&amp;S - Packaging and hh goods'!$N$4/SUM('R&amp;S - Packaging and hh goods'!$L$4:$N$4)*'R&amp;S - Packaging and hh goods'!$G$9*('R&amp;S - Packaging and hh goods'!$M$14*'R&amp;S - Packaging and hh goods'!$AL$19*(J$3-$D$3)/10)</f>
        <v>0</v>
      </c>
      <c r="K31" s="43">
        <f>K27*'R&amp;S - Packaging and hh goods'!$L$4/SUM('R&amp;S - Packaging and hh goods'!$L$4:$N$4)*'R&amp;S - Packaging and hh goods'!$E$9*('R&amp;S - Packaging and hh goods'!$I$14*'R&amp;S - Packaging and hh goods'!$AB$19*(K$3-$D$3)/10)+K27*'R&amp;S - Packaging and hh goods'!$M$4/SUM('R&amp;S - Packaging and hh goods'!$L$4:$N$4)*'R&amp;S - Packaging and hh goods'!$F$9*('R&amp;S - Packaging and hh goods'!$K$14*'R&amp;S - Packaging and hh goods'!$AG$19*(K$3-$D$3)/10)+K27*'R&amp;S - Packaging and hh goods'!$N$4/SUM('R&amp;S - Packaging and hh goods'!$L$4:$N$4)*'R&amp;S - Packaging and hh goods'!$G$9*('R&amp;S - Packaging and hh goods'!$M$14*'R&amp;S - Packaging and hh goods'!$AL$19*(K$3-$D$3)/10)</f>
        <v>0</v>
      </c>
      <c r="L31" s="43">
        <f>L27*'R&amp;S - Packaging and hh goods'!$L$4/SUM('R&amp;S - Packaging and hh goods'!$L$4:$N$4)*'R&amp;S - Packaging and hh goods'!$E$9*('R&amp;S - Packaging and hh goods'!$I$14*'R&amp;S - Packaging and hh goods'!$AB$19*(L$3-$D$3)/10)+L27*'R&amp;S - Packaging and hh goods'!$M$4/SUM('R&amp;S - Packaging and hh goods'!$L$4:$N$4)*'R&amp;S - Packaging and hh goods'!$F$9*('R&amp;S - Packaging and hh goods'!$K$14*'R&amp;S - Packaging and hh goods'!$AG$19*(L$3-$D$3)/10)+L27*'R&amp;S - Packaging and hh goods'!$N$4/SUM('R&amp;S - Packaging and hh goods'!$L$4:$N$4)*'R&amp;S - Packaging and hh goods'!$G$9*('R&amp;S - Packaging and hh goods'!$M$14*'R&amp;S - Packaging and hh goods'!$AL$19*(L$3-$D$3)/10)</f>
        <v>0</v>
      </c>
      <c r="M31" s="43">
        <f>M27*'R&amp;S - Packaging and hh goods'!$L$4/SUM('R&amp;S - Packaging and hh goods'!$L$4:$N$4)*'R&amp;S - Packaging and hh goods'!$E$9*('R&amp;S - Packaging and hh goods'!$I$14*'R&amp;S - Packaging and hh goods'!$AB$19*(M$3-$D$3)/10)+M27*'R&amp;S - Packaging and hh goods'!$M$4/SUM('R&amp;S - Packaging and hh goods'!$L$4:$N$4)*'R&amp;S - Packaging and hh goods'!$F$9*('R&amp;S - Packaging and hh goods'!$K$14*'R&amp;S - Packaging and hh goods'!$AG$19*(M$3-$D$3)/10)+M27*'R&amp;S - Packaging and hh goods'!$N$4/SUM('R&amp;S - Packaging and hh goods'!$L$4:$N$4)*'R&amp;S - Packaging and hh goods'!$G$9*('R&amp;S - Packaging and hh goods'!$M$14*'R&amp;S - Packaging and hh goods'!$AL$19*(M$3-$D$3)/10)</f>
        <v>0</v>
      </c>
      <c r="N31" s="43">
        <f>N27*'R&amp;S - Packaging and hh goods'!$L$4/SUM('R&amp;S - Packaging and hh goods'!$L$4:$N$4)*'R&amp;S - Packaging and hh goods'!$E$9*('R&amp;S - Packaging and hh goods'!$I$14*'R&amp;S - Packaging and hh goods'!$AB$19*(N$3-$D$3)/10)+N27*'R&amp;S - Packaging and hh goods'!$M$4/SUM('R&amp;S - Packaging and hh goods'!$L$4:$N$4)*'R&amp;S - Packaging and hh goods'!$F$9*('R&amp;S - Packaging and hh goods'!$K$14*'R&amp;S - Packaging and hh goods'!$AG$19*(N$3-$D$3)/10)+N27*'R&amp;S - Packaging and hh goods'!$N$4/SUM('R&amp;S - Packaging and hh goods'!$L$4:$N$4)*'R&amp;S - Packaging and hh goods'!$G$9*('R&amp;S - Packaging and hh goods'!$M$14*'R&amp;S - Packaging and hh goods'!$AL$19*(N$3-$D$3)/10)</f>
        <v>0</v>
      </c>
      <c r="O31" s="265">
        <f>O27*'R&amp;S - Packaging and hh goods'!$L$4/SUM('R&amp;S - Packaging and hh goods'!$L$4:$N$4)*('R&amp;S - Packaging and hh goods'!$E$9*'R&amp;S - Packaging and hh goods'!$I$14*('R&amp;S - Packaging and hh goods'!$AB$19+('R&amp;S - Packaging and hh goods'!$AB$20-'R&amp;S - Packaging and hh goods'!$AB$19)*(O$3-$N$3)/10))+O27*'R&amp;S - Packaging and hh goods'!$M$4/SUM('R&amp;S - Packaging and hh goods'!$L$4:$N$4)*('R&amp;S - Packaging and hh goods'!$F$9*'R&amp;S - Packaging and hh goods'!$K$14*('R&amp;S - Packaging and hh goods'!$AG$19+('R&amp;S - Packaging and hh goods'!$AG$20-'R&amp;S - Packaging and hh goods'!$AG$19)*(O$3-$N$3)/10))+O27*'R&amp;S - Packaging and hh goods'!$N$4/SUM('R&amp;S - Packaging and hh goods'!$L$4:$N$4)*('R&amp;S - Packaging and hh goods'!$G$9*'R&amp;S - Packaging and hh goods'!$M$14*('R&amp;S - Packaging and hh goods'!$AL$19+('R&amp;S - Packaging and hh goods'!$AL$20-'R&amp;S - Packaging and hh goods'!$AL$19)*(O$3-$N$3)/10))</f>
        <v>0</v>
      </c>
      <c r="P31" s="265">
        <f>P27*'R&amp;S - Packaging and hh goods'!$L$4/SUM('R&amp;S - Packaging and hh goods'!$L$4:$N$4)*('R&amp;S - Packaging and hh goods'!$E$9*'R&amp;S - Packaging and hh goods'!$I$14*('R&amp;S - Packaging and hh goods'!$AB$19+('R&amp;S - Packaging and hh goods'!$AB$20-'R&amp;S - Packaging and hh goods'!$AB$19)*(P$3-$N$3)/10))+P27*'R&amp;S - Packaging and hh goods'!$M$4/SUM('R&amp;S - Packaging and hh goods'!$L$4:$N$4)*('R&amp;S - Packaging and hh goods'!$F$9*'R&amp;S - Packaging and hh goods'!$K$14*('R&amp;S - Packaging and hh goods'!$AG$19+('R&amp;S - Packaging and hh goods'!$AG$20-'R&amp;S - Packaging and hh goods'!$AG$19)*(P$3-$N$3)/10))+P27*'R&amp;S - Packaging and hh goods'!$N$4/SUM('R&amp;S - Packaging and hh goods'!$L$4:$N$4)*('R&amp;S - Packaging and hh goods'!$G$9*'R&amp;S - Packaging and hh goods'!$M$14*('R&amp;S - Packaging and hh goods'!$AL$19+('R&amp;S - Packaging and hh goods'!$AL$20-'R&amp;S - Packaging and hh goods'!$AL$19)*(P$3-$N$3)/10))</f>
        <v>0</v>
      </c>
      <c r="Q31" s="265">
        <f>Q27*'R&amp;S - Packaging and hh goods'!$L$4/SUM('R&amp;S - Packaging and hh goods'!$L$4:$N$4)*('R&amp;S - Packaging and hh goods'!$E$9*'R&amp;S - Packaging and hh goods'!$I$14*('R&amp;S - Packaging and hh goods'!$AB$19+('R&amp;S - Packaging and hh goods'!$AB$20-'R&amp;S - Packaging and hh goods'!$AB$19)*(Q$3-$N$3)/10))+Q27*'R&amp;S - Packaging and hh goods'!$M$4/SUM('R&amp;S - Packaging and hh goods'!$L$4:$N$4)*('R&amp;S - Packaging and hh goods'!$F$9*'R&amp;S - Packaging and hh goods'!$K$14*('R&amp;S - Packaging and hh goods'!$AG$19+('R&amp;S - Packaging and hh goods'!$AG$20-'R&amp;S - Packaging and hh goods'!$AG$19)*(Q$3-$N$3)/10))+Q27*'R&amp;S - Packaging and hh goods'!$N$4/SUM('R&amp;S - Packaging and hh goods'!$L$4:$N$4)*('R&amp;S - Packaging and hh goods'!$G$9*'R&amp;S - Packaging and hh goods'!$M$14*('R&amp;S - Packaging and hh goods'!$AL$19+('R&amp;S - Packaging and hh goods'!$AL$20-'R&amp;S - Packaging and hh goods'!$AL$19)*(Q$3-$N$3)/10))</f>
        <v>0</v>
      </c>
      <c r="R31" s="265">
        <f>R27*'R&amp;S - Packaging and hh goods'!$L$4/SUM('R&amp;S - Packaging and hh goods'!$L$4:$N$4)*('R&amp;S - Packaging and hh goods'!$E$9*'R&amp;S - Packaging and hh goods'!$I$14*('R&amp;S - Packaging and hh goods'!$AB$19+('R&amp;S - Packaging and hh goods'!$AB$20-'R&amp;S - Packaging and hh goods'!$AB$19)*(R$3-$N$3)/10))+R27*'R&amp;S - Packaging and hh goods'!$M$4/SUM('R&amp;S - Packaging and hh goods'!$L$4:$N$4)*('R&amp;S - Packaging and hh goods'!$F$9*'R&amp;S - Packaging and hh goods'!$K$14*('R&amp;S - Packaging and hh goods'!$AG$19+('R&amp;S - Packaging and hh goods'!$AG$20-'R&amp;S - Packaging and hh goods'!$AG$19)*(R$3-$N$3)/10))+R27*'R&amp;S - Packaging and hh goods'!$N$4/SUM('R&amp;S - Packaging and hh goods'!$L$4:$N$4)*('R&amp;S - Packaging and hh goods'!$G$9*'R&amp;S - Packaging and hh goods'!$M$14*('R&amp;S - Packaging and hh goods'!$AL$19+('R&amp;S - Packaging and hh goods'!$AL$20-'R&amp;S - Packaging and hh goods'!$AL$19)*(R$3-$N$3)/10))</f>
        <v>0</v>
      </c>
      <c r="S31" s="265">
        <f>S27*'R&amp;S - Packaging and hh goods'!$L$4/SUM('R&amp;S - Packaging and hh goods'!$L$4:$N$4)*('R&amp;S - Packaging and hh goods'!$E$9*'R&amp;S - Packaging and hh goods'!$I$14*('R&amp;S - Packaging and hh goods'!$AB$19+('R&amp;S - Packaging and hh goods'!$AB$20-'R&amp;S - Packaging and hh goods'!$AB$19)*(S$3-$N$3)/10))+S27*'R&amp;S - Packaging and hh goods'!$M$4/SUM('R&amp;S - Packaging and hh goods'!$L$4:$N$4)*('R&amp;S - Packaging and hh goods'!$F$9*'R&amp;S - Packaging and hh goods'!$K$14*('R&amp;S - Packaging and hh goods'!$AG$19+('R&amp;S - Packaging and hh goods'!$AG$20-'R&amp;S - Packaging and hh goods'!$AG$19)*(S$3-$N$3)/10))+S27*'R&amp;S - Packaging and hh goods'!$N$4/SUM('R&amp;S - Packaging and hh goods'!$L$4:$N$4)*('R&amp;S - Packaging and hh goods'!$G$9*'R&amp;S - Packaging and hh goods'!$M$14*('R&amp;S - Packaging and hh goods'!$AL$19+('R&amp;S - Packaging and hh goods'!$AL$20-'R&amp;S - Packaging and hh goods'!$AL$19)*(S$3-$N$3)/10))</f>
        <v>0</v>
      </c>
      <c r="T31" s="265">
        <f>T27*'R&amp;S - Packaging and hh goods'!$L$4/SUM('R&amp;S - Packaging and hh goods'!$L$4:$N$4)*('R&amp;S - Packaging and hh goods'!$E$9*'R&amp;S - Packaging and hh goods'!$I$14*('R&amp;S - Packaging and hh goods'!$AB$19+('R&amp;S - Packaging and hh goods'!$AB$20-'R&amp;S - Packaging and hh goods'!$AB$19)*(T$3-$N$3)/10))+T27*'R&amp;S - Packaging and hh goods'!$M$4/SUM('R&amp;S - Packaging and hh goods'!$L$4:$N$4)*('R&amp;S - Packaging and hh goods'!$F$9*'R&amp;S - Packaging and hh goods'!$K$14*('R&amp;S - Packaging and hh goods'!$AG$19+('R&amp;S - Packaging and hh goods'!$AG$20-'R&amp;S - Packaging and hh goods'!$AG$19)*(T$3-$N$3)/10))+T27*'R&amp;S - Packaging and hh goods'!$N$4/SUM('R&amp;S - Packaging and hh goods'!$L$4:$N$4)*('R&amp;S - Packaging and hh goods'!$G$9*'R&amp;S - Packaging and hh goods'!$M$14*('R&amp;S - Packaging and hh goods'!$AL$19+('R&amp;S - Packaging and hh goods'!$AL$20-'R&amp;S - Packaging and hh goods'!$AL$19)*(T$3-$N$3)/10))</f>
        <v>0</v>
      </c>
      <c r="U31" s="265">
        <f>U27*'R&amp;S - Packaging and hh goods'!$L$4/SUM('R&amp;S - Packaging and hh goods'!$L$4:$N$4)*('R&amp;S - Packaging and hh goods'!$E$9*'R&amp;S - Packaging and hh goods'!$I$14*('R&amp;S - Packaging and hh goods'!$AB$19+('R&amp;S - Packaging and hh goods'!$AB$20-'R&amp;S - Packaging and hh goods'!$AB$19)*(U$3-$N$3)/10))+U27*'R&amp;S - Packaging and hh goods'!$M$4/SUM('R&amp;S - Packaging and hh goods'!$L$4:$N$4)*('R&amp;S - Packaging and hh goods'!$F$9*'R&amp;S - Packaging and hh goods'!$K$14*('R&amp;S - Packaging and hh goods'!$AG$19+('R&amp;S - Packaging and hh goods'!$AG$20-'R&amp;S - Packaging and hh goods'!$AG$19)*(U$3-$N$3)/10))+U27*'R&amp;S - Packaging and hh goods'!$N$4/SUM('R&amp;S - Packaging and hh goods'!$L$4:$N$4)*('R&amp;S - Packaging and hh goods'!$G$9*'R&amp;S - Packaging and hh goods'!$M$14*('R&amp;S - Packaging and hh goods'!$AL$19+('R&amp;S - Packaging and hh goods'!$AL$20-'R&amp;S - Packaging and hh goods'!$AL$19)*(U$3-$N$3)/10))</f>
        <v>0</v>
      </c>
      <c r="V31" s="265">
        <f>V27*'R&amp;S - Packaging and hh goods'!$L$4/SUM('R&amp;S - Packaging and hh goods'!$L$4:$N$4)*('R&amp;S - Packaging and hh goods'!$E$9*'R&amp;S - Packaging and hh goods'!$I$14*('R&amp;S - Packaging and hh goods'!$AB$19+('R&amp;S - Packaging and hh goods'!$AB$20-'R&amp;S - Packaging and hh goods'!$AB$19)*(V$3-$N$3)/10))+V27*'R&amp;S - Packaging and hh goods'!$M$4/SUM('R&amp;S - Packaging and hh goods'!$L$4:$N$4)*('R&amp;S - Packaging and hh goods'!$F$9*'R&amp;S - Packaging and hh goods'!$K$14*('R&amp;S - Packaging and hh goods'!$AG$19+('R&amp;S - Packaging and hh goods'!$AG$20-'R&amp;S - Packaging and hh goods'!$AG$19)*(V$3-$N$3)/10))+V27*'R&amp;S - Packaging and hh goods'!$N$4/SUM('R&amp;S - Packaging and hh goods'!$L$4:$N$4)*('R&amp;S - Packaging and hh goods'!$G$9*'R&amp;S - Packaging and hh goods'!$M$14*('R&amp;S - Packaging and hh goods'!$AL$19+('R&amp;S - Packaging and hh goods'!$AL$20-'R&amp;S - Packaging and hh goods'!$AL$19)*(V$3-$N$3)/10))</f>
        <v>0</v>
      </c>
      <c r="W31" s="265">
        <f>W27*'R&amp;S - Packaging and hh goods'!$L$4/SUM('R&amp;S - Packaging and hh goods'!$L$4:$N$4)*('R&amp;S - Packaging and hh goods'!$E$9*'R&amp;S - Packaging and hh goods'!$I$14*('R&amp;S - Packaging and hh goods'!$AB$19+('R&amp;S - Packaging and hh goods'!$AB$20-'R&amp;S - Packaging and hh goods'!$AB$19)*(W$3-$N$3)/10))+W27*'R&amp;S - Packaging and hh goods'!$M$4/SUM('R&amp;S - Packaging and hh goods'!$L$4:$N$4)*('R&amp;S - Packaging and hh goods'!$F$9*'R&amp;S - Packaging and hh goods'!$K$14*('R&amp;S - Packaging and hh goods'!$AG$19+('R&amp;S - Packaging and hh goods'!$AG$20-'R&amp;S - Packaging and hh goods'!$AG$19)*(W$3-$N$3)/10))+W27*'R&amp;S - Packaging and hh goods'!$N$4/SUM('R&amp;S - Packaging and hh goods'!$L$4:$N$4)*('R&amp;S - Packaging and hh goods'!$G$9*'R&amp;S - Packaging and hh goods'!$M$14*('R&amp;S - Packaging and hh goods'!$AL$19+('R&amp;S - Packaging and hh goods'!$AL$20-'R&amp;S - Packaging and hh goods'!$AL$19)*(W$3-$N$3)/10))</f>
        <v>0</v>
      </c>
      <c r="X31" s="265">
        <f>X27*'R&amp;S - Packaging and hh goods'!$L$4/SUM('R&amp;S - Packaging and hh goods'!$L$4:$N$4)*('R&amp;S - Packaging and hh goods'!$E$9*'R&amp;S - Packaging and hh goods'!$I$14*('R&amp;S - Packaging and hh goods'!$AB$19+('R&amp;S - Packaging and hh goods'!$AB$20-'R&amp;S - Packaging and hh goods'!$AB$19)*(X$3-$N$3)/10))+X27*'R&amp;S - Packaging and hh goods'!$M$4/SUM('R&amp;S - Packaging and hh goods'!$L$4:$N$4)*('R&amp;S - Packaging and hh goods'!$F$9*'R&amp;S - Packaging and hh goods'!$K$14*('R&amp;S - Packaging and hh goods'!$AG$19+('R&amp;S - Packaging and hh goods'!$AG$20-'R&amp;S - Packaging and hh goods'!$AG$19)*(X$3-$N$3)/10))+X27*'R&amp;S - Packaging and hh goods'!$N$4/SUM('R&amp;S - Packaging and hh goods'!$L$4:$N$4)*('R&amp;S - Packaging and hh goods'!$G$9*'R&amp;S - Packaging and hh goods'!$M$14*('R&amp;S - Packaging and hh goods'!$AL$19+('R&amp;S - Packaging and hh goods'!$AL$20-'R&amp;S - Packaging and hh goods'!$AL$19)*(X$3-$N$3)/10))</f>
        <v>0</v>
      </c>
      <c r="Y31" s="265">
        <f>Y27*'R&amp;S - Packaging and hh goods'!$L$4/SUM('R&amp;S - Packaging and hh goods'!$L$4:$N$4)*('R&amp;S - Packaging and hh goods'!$E9*'R&amp;S - Packaging and hh goods'!$I$14*('R&amp;S - Packaging and hh goods'!$AB$20+('R&amp;S - Packaging and hh goods'!$AB$21-'R&amp;S - Packaging and hh goods'!$AB$20)*(Y$3-$X$3)/10))+Y27*'R&amp;S - Packaging and hh goods'!$M$4/SUM('R&amp;S - Packaging and hh goods'!$L$4:$N$4)*('R&amp;S - Packaging and hh goods'!$F9*'R&amp;S - Packaging and hh goods'!$K$14*('R&amp;S - Packaging and hh goods'!$AG$20+('R&amp;S - Packaging and hh goods'!$AG$21-'R&amp;S - Packaging and hh goods'!$AG$20)*(Y$3-$X$3)/10))+Y27*'R&amp;S - Packaging and hh goods'!$N$4/SUM('R&amp;S - Packaging and hh goods'!$L$4:$N$4)*('R&amp;S - Packaging and hh goods'!$G9*'R&amp;S - Packaging and hh goods'!$M$14*('R&amp;S - Packaging and hh goods'!$AL$20+('R&amp;S - Packaging and hh goods'!$AL$21-'R&amp;S - Packaging and hh goods'!$AL$20)*(Y$3-$X$3)/10))</f>
        <v>0</v>
      </c>
      <c r="Z31" s="265">
        <f>Z27*'R&amp;S - Packaging and hh goods'!$L$4/SUM('R&amp;S - Packaging and hh goods'!$L$4:$N$4)*('R&amp;S - Packaging and hh goods'!$E9*'R&amp;S - Packaging and hh goods'!$I$14*('R&amp;S - Packaging and hh goods'!$AB$20+('R&amp;S - Packaging and hh goods'!$AB$21-'R&amp;S - Packaging and hh goods'!$AB$20)*(Z$3-$X$3)/10))+Z27*'R&amp;S - Packaging and hh goods'!$M$4/SUM('R&amp;S - Packaging and hh goods'!$L$4:$N$4)*('R&amp;S - Packaging and hh goods'!$F9*'R&amp;S - Packaging and hh goods'!$K$14*('R&amp;S - Packaging and hh goods'!$AG$20+('R&amp;S - Packaging and hh goods'!$AG$21-'R&amp;S - Packaging and hh goods'!$AG$20)*(Z$3-$X$3)/10))+Z27*'R&amp;S - Packaging and hh goods'!$N$4/SUM('R&amp;S - Packaging and hh goods'!$L$4:$N$4)*('R&amp;S - Packaging and hh goods'!$G9*'R&amp;S - Packaging and hh goods'!$M$14*('R&amp;S - Packaging and hh goods'!$AL$20+('R&amp;S - Packaging and hh goods'!$AL$21-'R&amp;S - Packaging and hh goods'!$AL$20)*(Z$3-$X$3)/10))</f>
        <v>0</v>
      </c>
      <c r="AA31" s="265">
        <f>AA27*'R&amp;S - Packaging and hh goods'!$L$4/SUM('R&amp;S - Packaging and hh goods'!$L$4:$N$4)*('R&amp;S - Packaging and hh goods'!$E9*'R&amp;S - Packaging and hh goods'!$I$14*('R&amp;S - Packaging and hh goods'!$AB$20+('R&amp;S - Packaging and hh goods'!$AB$21-'R&amp;S - Packaging and hh goods'!$AB$20)*(AA$3-$X$3)/10))+AA27*'R&amp;S - Packaging and hh goods'!$M$4/SUM('R&amp;S - Packaging and hh goods'!$L$4:$N$4)*('R&amp;S - Packaging and hh goods'!$F9*'R&amp;S - Packaging and hh goods'!$K$14*('R&amp;S - Packaging and hh goods'!$AG$20+('R&amp;S - Packaging and hh goods'!$AG$21-'R&amp;S - Packaging and hh goods'!$AG$20)*(AA$3-$X$3)/10))+AA27*'R&amp;S - Packaging and hh goods'!$N$4/SUM('R&amp;S - Packaging and hh goods'!$L$4:$N$4)*('R&amp;S - Packaging and hh goods'!$G9*'R&amp;S - Packaging and hh goods'!$M$14*('R&amp;S - Packaging and hh goods'!$AL$20+('R&amp;S - Packaging and hh goods'!$AL$21-'R&amp;S - Packaging and hh goods'!$AL$20)*(AA$3-$X$3)/10))</f>
        <v>0</v>
      </c>
      <c r="AB31" s="265">
        <f>AB27*'R&amp;S - Packaging and hh goods'!$L$4/SUM('R&amp;S - Packaging and hh goods'!$L$4:$N$4)*('R&amp;S - Packaging and hh goods'!$E9*'R&amp;S - Packaging and hh goods'!$I$14*('R&amp;S - Packaging and hh goods'!$AB$20+('R&amp;S - Packaging and hh goods'!$AB$21-'R&amp;S - Packaging and hh goods'!$AB$20)*(AB$3-$X$3)/10))+AB27*'R&amp;S - Packaging and hh goods'!$M$4/SUM('R&amp;S - Packaging and hh goods'!$L$4:$N$4)*('R&amp;S - Packaging and hh goods'!$F9*'R&amp;S - Packaging and hh goods'!$K$14*('R&amp;S - Packaging and hh goods'!$AG$20+('R&amp;S - Packaging and hh goods'!$AG$21-'R&amp;S - Packaging and hh goods'!$AG$20)*(AB$3-$X$3)/10))+AB27*'R&amp;S - Packaging and hh goods'!$N$4/SUM('R&amp;S - Packaging and hh goods'!$L$4:$N$4)*('R&amp;S - Packaging and hh goods'!$G9*'R&amp;S - Packaging and hh goods'!$M$14*('R&amp;S - Packaging and hh goods'!$AL$20+('R&amp;S - Packaging and hh goods'!$AL$21-'R&amp;S - Packaging and hh goods'!$AL$20)*(AB$3-$X$3)/10))</f>
        <v>0</v>
      </c>
      <c r="AC31" s="265">
        <f>AC27*'R&amp;S - Packaging and hh goods'!$L$4/SUM('R&amp;S - Packaging and hh goods'!$L$4:$N$4)*('R&amp;S - Packaging and hh goods'!$E9*'R&amp;S - Packaging and hh goods'!$I$14*('R&amp;S - Packaging and hh goods'!$AB$20+('R&amp;S - Packaging and hh goods'!$AB$21-'R&amp;S - Packaging and hh goods'!$AB$20)*(AC$3-$X$3)/10))+AC27*'R&amp;S - Packaging and hh goods'!$M$4/SUM('R&amp;S - Packaging and hh goods'!$L$4:$N$4)*('R&amp;S - Packaging and hh goods'!$F9*'R&amp;S - Packaging and hh goods'!$K$14*('R&amp;S - Packaging and hh goods'!$AG$20+('R&amp;S - Packaging and hh goods'!$AG$21-'R&amp;S - Packaging and hh goods'!$AG$20)*(AC$3-$X$3)/10))+AC27*'R&amp;S - Packaging and hh goods'!$N$4/SUM('R&amp;S - Packaging and hh goods'!$L$4:$N$4)*('R&amp;S - Packaging and hh goods'!$G9*'R&amp;S - Packaging and hh goods'!$M$14*('R&amp;S - Packaging and hh goods'!$AL$20+('R&amp;S - Packaging and hh goods'!$AL$21-'R&amp;S - Packaging and hh goods'!$AL$20)*(AC$3-$X$3)/10))</f>
        <v>0</v>
      </c>
      <c r="AD31" s="265">
        <f>AD27*'R&amp;S - Packaging and hh goods'!$L$4/SUM('R&amp;S - Packaging and hh goods'!$L$4:$N$4)*('R&amp;S - Packaging and hh goods'!$E9*'R&amp;S - Packaging and hh goods'!$I$14*('R&amp;S - Packaging and hh goods'!$AB$20+('R&amp;S - Packaging and hh goods'!$AB$21-'R&amp;S - Packaging and hh goods'!$AB$20)*(AD$3-$X$3)/10))+AD27*'R&amp;S - Packaging and hh goods'!$M$4/SUM('R&amp;S - Packaging and hh goods'!$L$4:$N$4)*('R&amp;S - Packaging and hh goods'!$F9*'R&amp;S - Packaging and hh goods'!$K$14*('R&amp;S - Packaging and hh goods'!$AG$20+('R&amp;S - Packaging and hh goods'!$AG$21-'R&amp;S - Packaging and hh goods'!$AG$20)*(AD$3-$X$3)/10))+AD27*'R&amp;S - Packaging and hh goods'!$N$4/SUM('R&amp;S - Packaging and hh goods'!$L$4:$N$4)*('R&amp;S - Packaging and hh goods'!$G9*'R&amp;S - Packaging and hh goods'!$M$14*('R&amp;S - Packaging and hh goods'!$AL$20+('R&amp;S - Packaging and hh goods'!$AL$21-'R&amp;S - Packaging and hh goods'!$AL$20)*(AD$3-$X$3)/10))</f>
        <v>0</v>
      </c>
      <c r="AE31" s="265">
        <f>AE27*'R&amp;S - Packaging and hh goods'!$L$4/SUM('R&amp;S - Packaging and hh goods'!$L$4:$N$4)*('R&amp;S - Packaging and hh goods'!$E9*'R&amp;S - Packaging and hh goods'!$I$14*('R&amp;S - Packaging and hh goods'!$AB$20+('R&amp;S - Packaging and hh goods'!$AB$21-'R&amp;S - Packaging and hh goods'!$AB$20)*(AE$3-$X$3)/10))+AE27*'R&amp;S - Packaging and hh goods'!$M$4/SUM('R&amp;S - Packaging and hh goods'!$L$4:$N$4)*('R&amp;S - Packaging and hh goods'!$F9*'R&amp;S - Packaging and hh goods'!$K$14*('R&amp;S - Packaging and hh goods'!$AG$20+('R&amp;S - Packaging and hh goods'!$AG$21-'R&amp;S - Packaging and hh goods'!$AG$20)*(AE$3-$X$3)/10))+AE27*'R&amp;S - Packaging and hh goods'!$N$4/SUM('R&amp;S - Packaging and hh goods'!$L$4:$N$4)*('R&amp;S - Packaging and hh goods'!$G9*'R&amp;S - Packaging and hh goods'!$M$14*('R&amp;S - Packaging and hh goods'!$AL$20+('R&amp;S - Packaging and hh goods'!$AL$21-'R&amp;S - Packaging and hh goods'!$AL$20)*(AE$3-$X$3)/10))</f>
        <v>0</v>
      </c>
      <c r="AF31" s="265">
        <f>AF27*'R&amp;S - Packaging and hh goods'!$L$4/SUM('R&amp;S - Packaging and hh goods'!$L$4:$N$4)*('R&amp;S - Packaging and hh goods'!$E9*'R&amp;S - Packaging and hh goods'!$I$14*('R&amp;S - Packaging and hh goods'!$AB$20+('R&amp;S - Packaging and hh goods'!$AB$21-'R&amp;S - Packaging and hh goods'!$AB$20)*(AF$3-$X$3)/10))+AF27*'R&amp;S - Packaging and hh goods'!$M$4/SUM('R&amp;S - Packaging and hh goods'!$L$4:$N$4)*('R&amp;S - Packaging and hh goods'!$F9*'R&amp;S - Packaging and hh goods'!$K$14*('R&amp;S - Packaging and hh goods'!$AG$20+('R&amp;S - Packaging and hh goods'!$AG$21-'R&amp;S - Packaging and hh goods'!$AG$20)*(AF$3-$X$3)/10))+AF27*'R&amp;S - Packaging and hh goods'!$N$4/SUM('R&amp;S - Packaging and hh goods'!$L$4:$N$4)*('R&amp;S - Packaging and hh goods'!$G9*'R&amp;S - Packaging and hh goods'!$M$14*('R&amp;S - Packaging and hh goods'!$AL$20+('R&amp;S - Packaging and hh goods'!$AL$21-'R&amp;S - Packaging and hh goods'!$AL$20)*(AF$3-$X$3)/10))</f>
        <v>0</v>
      </c>
      <c r="AG31" s="265">
        <f>AG27*'R&amp;S - Packaging and hh goods'!$L$4/SUM('R&amp;S - Packaging and hh goods'!$L$4:$N$4)*('R&amp;S - Packaging and hh goods'!$E9*'R&amp;S - Packaging and hh goods'!$I$14*('R&amp;S - Packaging and hh goods'!$AB$20+('R&amp;S - Packaging and hh goods'!$AB$21-'R&amp;S - Packaging and hh goods'!$AB$20)*(AG$3-$X$3)/10))+AG27*'R&amp;S - Packaging and hh goods'!$M$4/SUM('R&amp;S - Packaging and hh goods'!$L$4:$N$4)*('R&amp;S - Packaging and hh goods'!$F9*'R&amp;S - Packaging and hh goods'!$K$14*('R&amp;S - Packaging and hh goods'!$AG$20+('R&amp;S - Packaging and hh goods'!$AG$21-'R&amp;S - Packaging and hh goods'!$AG$20)*(AG$3-$X$3)/10))+AG27*'R&amp;S - Packaging and hh goods'!$N$4/SUM('R&amp;S - Packaging and hh goods'!$L$4:$N$4)*('R&amp;S - Packaging and hh goods'!$G9*'R&amp;S - Packaging and hh goods'!$M$14*('R&amp;S - Packaging and hh goods'!$AL$20+('R&amp;S - Packaging and hh goods'!$AL$21-'R&amp;S - Packaging and hh goods'!$AL$20)*(AG$3-$X$3)/10))</f>
        <v>0</v>
      </c>
      <c r="AH31" s="265">
        <f>AH27*'R&amp;S - Packaging and hh goods'!$L$4/SUM('R&amp;S - Packaging and hh goods'!$L$4:$N$4)*('R&amp;S - Packaging and hh goods'!$E9*'R&amp;S - Packaging and hh goods'!$I$14*('R&amp;S - Packaging and hh goods'!$AB$20+('R&amp;S - Packaging and hh goods'!$AB$21-'R&amp;S - Packaging and hh goods'!$AB$20)*(AH$3-$X$3)/10))+AH27*'R&amp;S - Packaging and hh goods'!$M$4/SUM('R&amp;S - Packaging and hh goods'!$L$4:$N$4)*('R&amp;S - Packaging and hh goods'!$F9*'R&amp;S - Packaging and hh goods'!$K$14*('R&amp;S - Packaging and hh goods'!$AG$20+('R&amp;S - Packaging and hh goods'!$AG$21-'R&amp;S - Packaging and hh goods'!$AG$20)*(AH$3-$X$3)/10))+AH27*'R&amp;S - Packaging and hh goods'!$N$4/SUM('R&amp;S - Packaging and hh goods'!$L$4:$N$4)*('R&amp;S - Packaging and hh goods'!$G9*'R&amp;S - Packaging and hh goods'!$M$14*('R&amp;S - Packaging and hh goods'!$AL$20+('R&amp;S - Packaging and hh goods'!$AL$21-'R&amp;S - Packaging and hh goods'!$AL$20)*(AH$3-$X$3)/10))</f>
        <v>0</v>
      </c>
      <c r="AJ31" s="43">
        <v>0</v>
      </c>
      <c r="AK31" s="43">
        <f>AK27*'R&amp;S - Packaging and hh goods'!$L$4/SUM('R&amp;S - Packaging and hh goods'!$L$4:$N$4)*'R&amp;S - Packaging and hh goods'!$E$9*('R&amp;S - Packaging and hh goods'!$I$15*'R&amp;S - Packaging and hh goods'!$AB$19*(AK$3-$D$3)/10)+AK27*'R&amp;S - Packaging and hh goods'!$M$4/SUM('R&amp;S - Packaging and hh goods'!$L$4:$N$4)*'R&amp;S - Packaging and hh goods'!$F$9*('R&amp;S - Packaging and hh goods'!$K$15*'R&amp;S - Packaging and hh goods'!$AG$19*(AK$3-$D$3)/10)+AK27*'R&amp;S - Packaging and hh goods'!$N$4/SUM('R&amp;S - Packaging and hh goods'!$L$4:$N$4)*'R&amp;S - Packaging and hh goods'!$G$9*('R&amp;S - Packaging and hh goods'!$M$15*'R&amp;S - Packaging and hh goods'!$AL$19*(AK$3-$D$3)/10)</f>
        <v>0</v>
      </c>
      <c r="AL31" s="43">
        <f>AL27*'R&amp;S - Packaging and hh goods'!$L$4/SUM('R&amp;S - Packaging and hh goods'!$L$4:$N$4)*'R&amp;S - Packaging and hh goods'!$E$9*('R&amp;S - Packaging and hh goods'!$I$15*'R&amp;S - Packaging and hh goods'!$AB$19*(AL$3-$D$3)/10)+AL27*'R&amp;S - Packaging and hh goods'!$M$4/SUM('R&amp;S - Packaging and hh goods'!$L$4:$N$4)*'R&amp;S - Packaging and hh goods'!$F$9*('R&amp;S - Packaging and hh goods'!$K$15*'R&amp;S - Packaging and hh goods'!$AG$19*(AL$3-$D$3)/10)+AL27*'R&amp;S - Packaging and hh goods'!$N$4/SUM('R&amp;S - Packaging and hh goods'!$L$4:$N$4)*'R&amp;S - Packaging and hh goods'!$G$9*('R&amp;S - Packaging and hh goods'!$M$15*'R&amp;S - Packaging and hh goods'!$AL$19*(AL$3-$D$3)/10)</f>
        <v>0</v>
      </c>
      <c r="AM31" s="43">
        <f>AM27*'R&amp;S - Packaging and hh goods'!$L$4/SUM('R&amp;S - Packaging and hh goods'!$L$4:$N$4)*'R&amp;S - Packaging and hh goods'!$E$9*('R&amp;S - Packaging and hh goods'!$I$15*'R&amp;S - Packaging and hh goods'!$AB$19*(AM$3-$D$3)/10)+AM27*'R&amp;S - Packaging and hh goods'!$M$4/SUM('R&amp;S - Packaging and hh goods'!$L$4:$N$4)*'R&amp;S - Packaging and hh goods'!$F$9*('R&amp;S - Packaging and hh goods'!$K$15*'R&amp;S - Packaging and hh goods'!$AG$19*(AM$3-$D$3)/10)+AM27*'R&amp;S - Packaging and hh goods'!$N$4/SUM('R&amp;S - Packaging and hh goods'!$L$4:$N$4)*'R&amp;S - Packaging and hh goods'!$G$9*('R&amp;S - Packaging and hh goods'!$M$15*'R&amp;S - Packaging and hh goods'!$AL$19*(AM$3-$D$3)/10)</f>
        <v>0</v>
      </c>
      <c r="AN31" s="43">
        <f>AN27*'R&amp;S - Packaging and hh goods'!$L$4/SUM('R&amp;S - Packaging and hh goods'!$L$4:$N$4)*'R&amp;S - Packaging and hh goods'!$E$9*('R&amp;S - Packaging and hh goods'!$I$15*'R&amp;S - Packaging and hh goods'!$AB$19*(AN$3-$D$3)/10)+AN27*'R&amp;S - Packaging and hh goods'!$M$4/SUM('R&amp;S - Packaging and hh goods'!$L$4:$N$4)*'R&amp;S - Packaging and hh goods'!$F$9*('R&amp;S - Packaging and hh goods'!$K$15*'R&amp;S - Packaging and hh goods'!$AG$19*(AN$3-$D$3)/10)+AN27*'R&amp;S - Packaging and hh goods'!$N$4/SUM('R&amp;S - Packaging and hh goods'!$L$4:$N$4)*'R&amp;S - Packaging and hh goods'!$G$9*('R&amp;S - Packaging and hh goods'!$M$15*'R&amp;S - Packaging and hh goods'!$AL$19*(AN$3-$D$3)/10)</f>
        <v>0</v>
      </c>
      <c r="AO31" s="43">
        <f>AO27*'R&amp;S - Packaging and hh goods'!$L$4/SUM('R&amp;S - Packaging and hh goods'!$L$4:$N$4)*'R&amp;S - Packaging and hh goods'!$E$9*('R&amp;S - Packaging and hh goods'!$I$15*'R&amp;S - Packaging and hh goods'!$AB$19*(AO$3-$D$3)/10)+AO27*'R&amp;S - Packaging and hh goods'!$M$4/SUM('R&amp;S - Packaging and hh goods'!$L$4:$N$4)*'R&amp;S - Packaging and hh goods'!$F$9*('R&amp;S - Packaging and hh goods'!$K$15*'R&amp;S - Packaging and hh goods'!$AG$19*(AO$3-$D$3)/10)+AO27*'R&amp;S - Packaging and hh goods'!$N$4/SUM('R&amp;S - Packaging and hh goods'!$L$4:$N$4)*'R&amp;S - Packaging and hh goods'!$G$9*('R&amp;S - Packaging and hh goods'!$M$15*'R&amp;S - Packaging and hh goods'!$AL$19*(AO$3-$D$3)/10)</f>
        <v>0</v>
      </c>
      <c r="AP31" s="43">
        <f>AP27*'R&amp;S - Packaging and hh goods'!$L$4/SUM('R&amp;S - Packaging and hh goods'!$L$4:$N$4)*'R&amp;S - Packaging and hh goods'!$E$9*('R&amp;S - Packaging and hh goods'!$I$15*'R&amp;S - Packaging and hh goods'!$AB$19*(AP$3-$D$3)/10)+AP27*'R&amp;S - Packaging and hh goods'!$M$4/SUM('R&amp;S - Packaging and hh goods'!$L$4:$N$4)*'R&amp;S - Packaging and hh goods'!$F$9*('R&amp;S - Packaging and hh goods'!$K$15*'R&amp;S - Packaging and hh goods'!$AG$19*(AP$3-$D$3)/10)+AP27*'R&amp;S - Packaging and hh goods'!$N$4/SUM('R&amp;S - Packaging and hh goods'!$L$4:$N$4)*'R&amp;S - Packaging and hh goods'!$G$9*('R&amp;S - Packaging and hh goods'!$M$15*'R&amp;S - Packaging and hh goods'!$AL$19*(AP$3-$D$3)/10)</f>
        <v>0</v>
      </c>
      <c r="AQ31" s="43">
        <f>AQ27*'R&amp;S - Packaging and hh goods'!$L$4/SUM('R&amp;S - Packaging and hh goods'!$L$4:$N$4)*'R&amp;S - Packaging and hh goods'!$E$9*('R&amp;S - Packaging and hh goods'!$I$15*'R&amp;S - Packaging and hh goods'!$AB$19*(AQ$3-$D$3)/10)+AQ27*'R&amp;S - Packaging and hh goods'!$M$4/SUM('R&amp;S - Packaging and hh goods'!$L$4:$N$4)*'R&amp;S - Packaging and hh goods'!$F$9*('R&amp;S - Packaging and hh goods'!$K$15*'R&amp;S - Packaging and hh goods'!$AG$19*(AQ$3-$D$3)/10)+AQ27*'R&amp;S - Packaging and hh goods'!$N$4/SUM('R&amp;S - Packaging and hh goods'!$L$4:$N$4)*'R&amp;S - Packaging and hh goods'!$G$9*('R&amp;S - Packaging and hh goods'!$M$15*'R&amp;S - Packaging and hh goods'!$AL$19*(AQ$3-$D$3)/10)</f>
        <v>0</v>
      </c>
      <c r="AR31" s="43">
        <f>AR27*'R&amp;S - Packaging and hh goods'!$L$4/SUM('R&amp;S - Packaging and hh goods'!$L$4:$N$4)*'R&amp;S - Packaging and hh goods'!$E$9*('R&amp;S - Packaging and hh goods'!$I$15*'R&amp;S - Packaging and hh goods'!$AB$19*(AR$3-$D$3)/10)+AR27*'R&amp;S - Packaging and hh goods'!$M$4/SUM('R&amp;S - Packaging and hh goods'!$L$4:$N$4)*'R&amp;S - Packaging and hh goods'!$F$9*('R&amp;S - Packaging and hh goods'!$K$15*'R&amp;S - Packaging and hh goods'!$AG$19*(AR$3-$D$3)/10)+AR27*'R&amp;S - Packaging and hh goods'!$N$4/SUM('R&amp;S - Packaging and hh goods'!$L$4:$N$4)*'R&amp;S - Packaging and hh goods'!$G$9*('R&amp;S - Packaging and hh goods'!$M$15*'R&amp;S - Packaging and hh goods'!$AL$19*(AR$3-$D$3)/10)</f>
        <v>0</v>
      </c>
      <c r="AS31" s="43">
        <f>AS27*'R&amp;S - Packaging and hh goods'!$L$4/SUM('R&amp;S - Packaging and hh goods'!$L$4:$N$4)*'R&amp;S - Packaging and hh goods'!$E$9*('R&amp;S - Packaging and hh goods'!$I$15*'R&amp;S - Packaging and hh goods'!$AB$19*(AS$3-$D$3)/10)+AS27*'R&amp;S - Packaging and hh goods'!$M$4/SUM('R&amp;S - Packaging and hh goods'!$L$4:$N$4)*'R&amp;S - Packaging and hh goods'!$F$9*('R&amp;S - Packaging and hh goods'!$K$15*'R&amp;S - Packaging and hh goods'!$AG$19*(AS$3-$D$3)/10)+AS27*'R&amp;S - Packaging and hh goods'!$N$4/SUM('R&amp;S - Packaging and hh goods'!$L$4:$N$4)*'R&amp;S - Packaging and hh goods'!$G$9*('R&amp;S - Packaging and hh goods'!$M$15*'R&amp;S - Packaging and hh goods'!$AL$19*(AS$3-$D$3)/10)</f>
        <v>0</v>
      </c>
      <c r="AT31" s="43">
        <f>AT27*'R&amp;S - Packaging and hh goods'!$L$4/SUM('R&amp;S - Packaging and hh goods'!$L$4:$N$4)*'R&amp;S - Packaging and hh goods'!$E$9*('R&amp;S - Packaging and hh goods'!$I$15*'R&amp;S - Packaging and hh goods'!$AB$19*(AT$3-$D$3)/10)+AT27*'R&amp;S - Packaging and hh goods'!$M$4/SUM('R&amp;S - Packaging and hh goods'!$L$4:$N$4)*'R&amp;S - Packaging and hh goods'!$F$9*('R&amp;S - Packaging and hh goods'!$K$15*'R&amp;S - Packaging and hh goods'!$AG$19*(AT$3-$D$3)/10)+AT27*'R&amp;S - Packaging and hh goods'!$N$4/SUM('R&amp;S - Packaging and hh goods'!$L$4:$N$4)*'R&amp;S - Packaging and hh goods'!$G$9*('R&amp;S - Packaging and hh goods'!$M$15*'R&amp;S - Packaging and hh goods'!$AL$19*(AT$3-$D$3)/10)</f>
        <v>0</v>
      </c>
      <c r="AU31" s="265">
        <f>AU27*'R&amp;S - Packaging and hh goods'!$L$4/SUM('R&amp;S - Packaging and hh goods'!$L$4:$N$4)*('R&amp;S - Packaging and hh goods'!$E$9*'R&amp;S - Packaging and hh goods'!$I$15*('R&amp;S - Packaging and hh goods'!$AB$19+('R&amp;S - Packaging and hh goods'!$AB$20-'R&amp;S - Packaging and hh goods'!$AB$19)*(AU$3-$N$3)/10))+AU27*'R&amp;S - Packaging and hh goods'!$M$4/SUM('R&amp;S - Packaging and hh goods'!$L$4:$N$4)*('R&amp;S - Packaging and hh goods'!$F$9*'R&amp;S - Packaging and hh goods'!$K$15*('R&amp;S - Packaging and hh goods'!$AG$19+('R&amp;S - Packaging and hh goods'!$AG$20-'R&amp;S - Packaging and hh goods'!$AG$19)*(AU$3-$N$3)/10))+AU27*'R&amp;S - Packaging and hh goods'!$N$4/SUM('R&amp;S - Packaging and hh goods'!$L$4:$N$4)*('R&amp;S - Packaging and hh goods'!$G$9*'R&amp;S - Packaging and hh goods'!$M$15*('R&amp;S - Packaging and hh goods'!$AL$19+('R&amp;S - Packaging and hh goods'!$AL$20-'R&amp;S - Packaging and hh goods'!$AL$19)*(AU$3-$N$3)/10))</f>
        <v>0</v>
      </c>
      <c r="AV31" s="265">
        <f>AV27*'R&amp;S - Packaging and hh goods'!$L$4/SUM('R&amp;S - Packaging and hh goods'!$L$4:$N$4)*('R&amp;S - Packaging and hh goods'!$E$9*'R&amp;S - Packaging and hh goods'!$I$15*('R&amp;S - Packaging and hh goods'!$AB$19+('R&amp;S - Packaging and hh goods'!$AB$20-'R&amp;S - Packaging and hh goods'!$AB$19)*(AV$3-$N$3)/10))+AV27*'R&amp;S - Packaging and hh goods'!$M$4/SUM('R&amp;S - Packaging and hh goods'!$L$4:$N$4)*('R&amp;S - Packaging and hh goods'!$F$9*'R&amp;S - Packaging and hh goods'!$K$15*('R&amp;S - Packaging and hh goods'!$AG$19+('R&amp;S - Packaging and hh goods'!$AG$20-'R&amp;S - Packaging and hh goods'!$AG$19)*(AV$3-$N$3)/10))+AV27*'R&amp;S - Packaging and hh goods'!$N$4/SUM('R&amp;S - Packaging and hh goods'!$L$4:$N$4)*('R&amp;S - Packaging and hh goods'!$G$9*'R&amp;S - Packaging and hh goods'!$M$15*('R&amp;S - Packaging and hh goods'!$AL$19+('R&amp;S - Packaging and hh goods'!$AL$20-'R&amp;S - Packaging and hh goods'!$AL$19)*(AV$3-$N$3)/10))</f>
        <v>0</v>
      </c>
      <c r="AW31" s="265">
        <f>AW27*'R&amp;S - Packaging and hh goods'!$L$4/SUM('R&amp;S - Packaging and hh goods'!$L$4:$N$4)*('R&amp;S - Packaging and hh goods'!$E$9*'R&amp;S - Packaging and hh goods'!$I$15*('R&amp;S - Packaging and hh goods'!$AB$19+('R&amp;S - Packaging and hh goods'!$AB$20-'R&amp;S - Packaging and hh goods'!$AB$19)*(AW$3-$N$3)/10))+AW27*'R&amp;S - Packaging and hh goods'!$M$4/SUM('R&amp;S - Packaging and hh goods'!$L$4:$N$4)*('R&amp;S - Packaging and hh goods'!$F$9*'R&amp;S - Packaging and hh goods'!$K$15*('R&amp;S - Packaging and hh goods'!$AG$19+('R&amp;S - Packaging and hh goods'!$AG$20-'R&amp;S - Packaging and hh goods'!$AG$19)*(AW$3-$N$3)/10))+AW27*'R&amp;S - Packaging and hh goods'!$N$4/SUM('R&amp;S - Packaging and hh goods'!$L$4:$N$4)*('R&amp;S - Packaging and hh goods'!$G$9*'R&amp;S - Packaging and hh goods'!$M$15*('R&amp;S - Packaging and hh goods'!$AL$19+('R&amp;S - Packaging and hh goods'!$AL$20-'R&amp;S - Packaging and hh goods'!$AL$19)*(AW$3-$N$3)/10))</f>
        <v>0</v>
      </c>
      <c r="AX31" s="265">
        <f>AX27*'R&amp;S - Packaging and hh goods'!$L$4/SUM('R&amp;S - Packaging and hh goods'!$L$4:$N$4)*('R&amp;S - Packaging and hh goods'!$E$9*'R&amp;S - Packaging and hh goods'!$I$15*('R&amp;S - Packaging and hh goods'!$AB$19+('R&amp;S - Packaging and hh goods'!$AB$20-'R&amp;S - Packaging and hh goods'!$AB$19)*(AX$3-$N$3)/10))+AX27*'R&amp;S - Packaging and hh goods'!$M$4/SUM('R&amp;S - Packaging and hh goods'!$L$4:$N$4)*('R&amp;S - Packaging and hh goods'!$F$9*'R&amp;S - Packaging and hh goods'!$K$15*('R&amp;S - Packaging and hh goods'!$AG$19+('R&amp;S - Packaging and hh goods'!$AG$20-'R&amp;S - Packaging and hh goods'!$AG$19)*(AX$3-$N$3)/10))+AX27*'R&amp;S - Packaging and hh goods'!$N$4/SUM('R&amp;S - Packaging and hh goods'!$L$4:$N$4)*('R&amp;S - Packaging and hh goods'!$G$9*'R&amp;S - Packaging and hh goods'!$M$15*('R&amp;S - Packaging and hh goods'!$AL$19+('R&amp;S - Packaging and hh goods'!$AL$20-'R&amp;S - Packaging and hh goods'!$AL$19)*(AX$3-$N$3)/10))</f>
        <v>0</v>
      </c>
      <c r="AY31" s="265">
        <f>AY27*'R&amp;S - Packaging and hh goods'!$L$4/SUM('R&amp;S - Packaging and hh goods'!$L$4:$N$4)*('R&amp;S - Packaging and hh goods'!$E$9*'R&amp;S - Packaging and hh goods'!$I$15*('R&amp;S - Packaging and hh goods'!$AB$19+('R&amp;S - Packaging and hh goods'!$AB$20-'R&amp;S - Packaging and hh goods'!$AB$19)*(AY$3-$N$3)/10))+AY27*'R&amp;S - Packaging and hh goods'!$M$4/SUM('R&amp;S - Packaging and hh goods'!$L$4:$N$4)*('R&amp;S - Packaging and hh goods'!$F$9*'R&amp;S - Packaging and hh goods'!$K$15*('R&amp;S - Packaging and hh goods'!$AG$19+('R&amp;S - Packaging and hh goods'!$AG$20-'R&amp;S - Packaging and hh goods'!$AG$19)*(AY$3-$N$3)/10))+AY27*'R&amp;S - Packaging and hh goods'!$N$4/SUM('R&amp;S - Packaging and hh goods'!$L$4:$N$4)*('R&amp;S - Packaging and hh goods'!$G$9*'R&amp;S - Packaging and hh goods'!$M$15*('R&amp;S - Packaging and hh goods'!$AL$19+('R&amp;S - Packaging and hh goods'!$AL$20-'R&amp;S - Packaging and hh goods'!$AL$19)*(AY$3-$N$3)/10))</f>
        <v>0</v>
      </c>
      <c r="AZ31" s="265">
        <f>AZ27*'R&amp;S - Packaging and hh goods'!$L$4/SUM('R&amp;S - Packaging and hh goods'!$L$4:$N$4)*('R&amp;S - Packaging and hh goods'!$E$9*'R&amp;S - Packaging and hh goods'!$I$15*('R&amp;S - Packaging and hh goods'!$AB$19+('R&amp;S - Packaging and hh goods'!$AB$20-'R&amp;S - Packaging and hh goods'!$AB$19)*(AZ$3-$N$3)/10))+AZ27*'R&amp;S - Packaging and hh goods'!$M$4/SUM('R&amp;S - Packaging and hh goods'!$L$4:$N$4)*('R&amp;S - Packaging and hh goods'!$F$9*'R&amp;S - Packaging and hh goods'!$K$15*('R&amp;S - Packaging and hh goods'!$AG$19+('R&amp;S - Packaging and hh goods'!$AG$20-'R&amp;S - Packaging and hh goods'!$AG$19)*(AZ$3-$N$3)/10))+AZ27*'R&amp;S - Packaging and hh goods'!$N$4/SUM('R&amp;S - Packaging and hh goods'!$L$4:$N$4)*('R&amp;S - Packaging and hh goods'!$G$9*'R&amp;S - Packaging and hh goods'!$M$15*('R&amp;S - Packaging and hh goods'!$AL$19+('R&amp;S - Packaging and hh goods'!$AL$20-'R&amp;S - Packaging and hh goods'!$AL$19)*(AZ$3-$N$3)/10))</f>
        <v>0</v>
      </c>
      <c r="BA31" s="265">
        <f>BA27*'R&amp;S - Packaging and hh goods'!$L$4/SUM('R&amp;S - Packaging and hh goods'!$L$4:$N$4)*('R&amp;S - Packaging and hh goods'!$E$9*'R&amp;S - Packaging and hh goods'!$I$15*('R&amp;S - Packaging and hh goods'!$AB$19+('R&amp;S - Packaging and hh goods'!$AB$20-'R&amp;S - Packaging and hh goods'!$AB$19)*(BA$3-$N$3)/10))+BA27*'R&amp;S - Packaging and hh goods'!$M$4/SUM('R&amp;S - Packaging and hh goods'!$L$4:$N$4)*('R&amp;S - Packaging and hh goods'!$F$9*'R&amp;S - Packaging and hh goods'!$K$15*('R&amp;S - Packaging and hh goods'!$AG$19+('R&amp;S - Packaging and hh goods'!$AG$20-'R&amp;S - Packaging and hh goods'!$AG$19)*(BA$3-$N$3)/10))+BA27*'R&amp;S - Packaging and hh goods'!$N$4/SUM('R&amp;S - Packaging and hh goods'!$L$4:$N$4)*('R&amp;S - Packaging and hh goods'!$G$9*'R&amp;S - Packaging and hh goods'!$M$15*('R&amp;S - Packaging and hh goods'!$AL$19+('R&amp;S - Packaging and hh goods'!$AL$20-'R&amp;S - Packaging and hh goods'!$AL$19)*(BA$3-$N$3)/10))</f>
        <v>0</v>
      </c>
      <c r="BB31" s="265">
        <f>BB27*'R&amp;S - Packaging and hh goods'!$L$4/SUM('R&amp;S - Packaging and hh goods'!$L$4:$N$4)*('R&amp;S - Packaging and hh goods'!$E$9*'R&amp;S - Packaging and hh goods'!$I$15*('R&amp;S - Packaging and hh goods'!$AB$19+('R&amp;S - Packaging and hh goods'!$AB$20-'R&amp;S - Packaging and hh goods'!$AB$19)*(BB$3-$N$3)/10))+BB27*'R&amp;S - Packaging and hh goods'!$M$4/SUM('R&amp;S - Packaging and hh goods'!$L$4:$N$4)*('R&amp;S - Packaging and hh goods'!$F$9*'R&amp;S - Packaging and hh goods'!$K$15*('R&amp;S - Packaging and hh goods'!$AG$19+('R&amp;S - Packaging and hh goods'!$AG$20-'R&amp;S - Packaging and hh goods'!$AG$19)*(BB$3-$N$3)/10))+BB27*'R&amp;S - Packaging and hh goods'!$N$4/SUM('R&amp;S - Packaging and hh goods'!$L$4:$N$4)*('R&amp;S - Packaging and hh goods'!$G$9*'R&amp;S - Packaging and hh goods'!$M$15*('R&amp;S - Packaging and hh goods'!$AL$19+('R&amp;S - Packaging and hh goods'!$AL$20-'R&amp;S - Packaging and hh goods'!$AL$19)*(BB$3-$N$3)/10))</f>
        <v>0</v>
      </c>
      <c r="BC31" s="265">
        <f>BC27*'R&amp;S - Packaging and hh goods'!$L$4/SUM('R&amp;S - Packaging and hh goods'!$L$4:$N$4)*('R&amp;S - Packaging and hh goods'!$E$9*'R&amp;S - Packaging and hh goods'!$I$15*('R&amp;S - Packaging and hh goods'!$AB$19+('R&amp;S - Packaging and hh goods'!$AB$20-'R&amp;S - Packaging and hh goods'!$AB$19)*(BC$3-$N$3)/10))+BC27*'R&amp;S - Packaging and hh goods'!$M$4/SUM('R&amp;S - Packaging and hh goods'!$L$4:$N$4)*('R&amp;S - Packaging and hh goods'!$F$9*'R&amp;S - Packaging and hh goods'!$K$15*('R&amp;S - Packaging and hh goods'!$AG$19+('R&amp;S - Packaging and hh goods'!$AG$20-'R&amp;S - Packaging and hh goods'!$AG$19)*(BC$3-$N$3)/10))+BC27*'R&amp;S - Packaging and hh goods'!$N$4/SUM('R&amp;S - Packaging and hh goods'!$L$4:$N$4)*('R&amp;S - Packaging and hh goods'!$G$9*'R&amp;S - Packaging and hh goods'!$M$15*('R&amp;S - Packaging and hh goods'!$AL$19+('R&amp;S - Packaging and hh goods'!$AL$20-'R&amp;S - Packaging and hh goods'!$AL$19)*(BC$3-$N$3)/10))</f>
        <v>0</v>
      </c>
      <c r="BD31" s="265">
        <f>BD27*'R&amp;S - Packaging and hh goods'!$L$4/SUM('R&amp;S - Packaging and hh goods'!$L$4:$N$4)*('R&amp;S - Packaging and hh goods'!$E$9*'R&amp;S - Packaging and hh goods'!$I$15*('R&amp;S - Packaging and hh goods'!$AB$19+('R&amp;S - Packaging and hh goods'!$AB$20-'R&amp;S - Packaging and hh goods'!$AB$19)*(BD$3-$N$3)/10))+BD27*'R&amp;S - Packaging and hh goods'!$M$4/SUM('R&amp;S - Packaging and hh goods'!$L$4:$N$4)*('R&amp;S - Packaging and hh goods'!$F$9*'R&amp;S - Packaging and hh goods'!$K$15*('R&amp;S - Packaging and hh goods'!$AG$19+('R&amp;S - Packaging and hh goods'!$AG$20-'R&amp;S - Packaging and hh goods'!$AG$19)*(BD$3-$N$3)/10))+BD27*'R&amp;S - Packaging and hh goods'!$N$4/SUM('R&amp;S - Packaging and hh goods'!$L$4:$N$4)*('R&amp;S - Packaging and hh goods'!$G$9*'R&amp;S - Packaging and hh goods'!$M$15*('R&amp;S - Packaging and hh goods'!$AL$19+('R&amp;S - Packaging and hh goods'!$AL$20-'R&amp;S - Packaging and hh goods'!$AL$19)*(BD$3-$N$3)/10))</f>
        <v>0</v>
      </c>
      <c r="BE31" s="265">
        <f>BE27*'R&amp;S - Packaging and hh goods'!$L$4/SUM('R&amp;S - Packaging and hh goods'!$L$4:$N$4)*('R&amp;S - Packaging and hh goods'!$E9*'R&amp;S - Packaging and hh goods'!$I$15*('R&amp;S - Packaging and hh goods'!$AB$20+('R&amp;S - Packaging and hh goods'!$AB$21-'R&amp;S - Packaging and hh goods'!$AB$20)*(BE$3-$X$3)/10))+BE27*'R&amp;S - Packaging and hh goods'!$M$4/SUM('R&amp;S - Packaging and hh goods'!$L$4:$N$4)*('R&amp;S - Packaging and hh goods'!$F9*'R&amp;S - Packaging and hh goods'!$K$15*('R&amp;S - Packaging and hh goods'!$AG$20+('R&amp;S - Packaging and hh goods'!$AG$21-'R&amp;S - Packaging and hh goods'!$AG$20)*(BE$3-$X$3)/10))+BE27*'R&amp;S - Packaging and hh goods'!$N$4/SUM('R&amp;S - Packaging and hh goods'!$L$4:$N$4)*('R&amp;S - Packaging and hh goods'!$G9*'R&amp;S - Packaging and hh goods'!$M$15*('R&amp;S - Packaging and hh goods'!$AL$20+('R&amp;S - Packaging and hh goods'!$AL$21-'R&amp;S - Packaging and hh goods'!$AL$20)*(BE$3-$X$3)/10))</f>
        <v>0</v>
      </c>
      <c r="BF31" s="265">
        <f>BF27*'R&amp;S - Packaging and hh goods'!$L$4/SUM('R&amp;S - Packaging and hh goods'!$L$4:$N$4)*('R&amp;S - Packaging and hh goods'!$E9*'R&amp;S - Packaging and hh goods'!$I$15*('R&amp;S - Packaging and hh goods'!$AB$20+('R&amp;S - Packaging and hh goods'!$AB$21-'R&amp;S - Packaging and hh goods'!$AB$20)*(BF$3-$X$3)/10))+BF27*'R&amp;S - Packaging and hh goods'!$M$4/SUM('R&amp;S - Packaging and hh goods'!$L$4:$N$4)*('R&amp;S - Packaging and hh goods'!$F9*'R&amp;S - Packaging and hh goods'!$K$15*('R&amp;S - Packaging and hh goods'!$AG$20+('R&amp;S - Packaging and hh goods'!$AG$21-'R&amp;S - Packaging and hh goods'!$AG$20)*(BF$3-$X$3)/10))+BF27*'R&amp;S - Packaging and hh goods'!$N$4/SUM('R&amp;S - Packaging and hh goods'!$L$4:$N$4)*('R&amp;S - Packaging and hh goods'!$G9*'R&amp;S - Packaging and hh goods'!$M$15*('R&amp;S - Packaging and hh goods'!$AL$20+('R&amp;S - Packaging and hh goods'!$AL$21-'R&amp;S - Packaging and hh goods'!$AL$20)*(BF$3-$X$3)/10))</f>
        <v>0</v>
      </c>
      <c r="BG31" s="265">
        <f>BG27*'R&amp;S - Packaging and hh goods'!$L$4/SUM('R&amp;S - Packaging and hh goods'!$L$4:$N$4)*('R&amp;S - Packaging and hh goods'!$E9*'R&amp;S - Packaging and hh goods'!$I$15*('R&amp;S - Packaging and hh goods'!$AB$20+('R&amp;S - Packaging and hh goods'!$AB$21-'R&amp;S - Packaging and hh goods'!$AB$20)*(BG$3-$X$3)/10))+BG27*'R&amp;S - Packaging and hh goods'!$M$4/SUM('R&amp;S - Packaging and hh goods'!$L$4:$N$4)*('R&amp;S - Packaging and hh goods'!$F9*'R&amp;S - Packaging and hh goods'!$K$15*('R&amp;S - Packaging and hh goods'!$AG$20+('R&amp;S - Packaging and hh goods'!$AG$21-'R&amp;S - Packaging and hh goods'!$AG$20)*(BG$3-$X$3)/10))+BG27*'R&amp;S - Packaging and hh goods'!$N$4/SUM('R&amp;S - Packaging and hh goods'!$L$4:$N$4)*('R&amp;S - Packaging and hh goods'!$G9*'R&amp;S - Packaging and hh goods'!$M$15*('R&amp;S - Packaging and hh goods'!$AL$20+('R&amp;S - Packaging and hh goods'!$AL$21-'R&amp;S - Packaging and hh goods'!$AL$20)*(BG$3-$X$3)/10))</f>
        <v>0</v>
      </c>
      <c r="BH31" s="265">
        <f>BH27*'R&amp;S - Packaging and hh goods'!$L$4/SUM('R&amp;S - Packaging and hh goods'!$L$4:$N$4)*('R&amp;S - Packaging and hh goods'!$E9*'R&amp;S - Packaging and hh goods'!$I$15*('R&amp;S - Packaging and hh goods'!$AB$20+('R&amp;S - Packaging and hh goods'!$AB$21-'R&amp;S - Packaging and hh goods'!$AB$20)*(BH$3-$X$3)/10))+BH27*'R&amp;S - Packaging and hh goods'!$M$4/SUM('R&amp;S - Packaging and hh goods'!$L$4:$N$4)*('R&amp;S - Packaging and hh goods'!$F9*'R&amp;S - Packaging and hh goods'!$K$15*('R&amp;S - Packaging and hh goods'!$AG$20+('R&amp;S - Packaging and hh goods'!$AG$21-'R&amp;S - Packaging and hh goods'!$AG$20)*(BH$3-$X$3)/10))+BH27*'R&amp;S - Packaging and hh goods'!$N$4/SUM('R&amp;S - Packaging and hh goods'!$L$4:$N$4)*('R&amp;S - Packaging and hh goods'!$G9*'R&amp;S - Packaging and hh goods'!$M$15*('R&amp;S - Packaging and hh goods'!$AL$20+('R&amp;S - Packaging and hh goods'!$AL$21-'R&amp;S - Packaging and hh goods'!$AL$20)*(BH$3-$X$3)/10))</f>
        <v>0</v>
      </c>
      <c r="BI31" s="265">
        <f>BI27*'R&amp;S - Packaging and hh goods'!$L$4/SUM('R&amp;S - Packaging and hh goods'!$L$4:$N$4)*('R&amp;S - Packaging and hh goods'!$E9*'R&amp;S - Packaging and hh goods'!$I$15*('R&amp;S - Packaging and hh goods'!$AB$20+('R&amp;S - Packaging and hh goods'!$AB$21-'R&amp;S - Packaging and hh goods'!$AB$20)*(BI$3-$X$3)/10))+BI27*'R&amp;S - Packaging and hh goods'!$M$4/SUM('R&amp;S - Packaging and hh goods'!$L$4:$N$4)*('R&amp;S - Packaging and hh goods'!$F9*'R&amp;S - Packaging and hh goods'!$K$15*('R&amp;S - Packaging and hh goods'!$AG$20+('R&amp;S - Packaging and hh goods'!$AG$21-'R&amp;S - Packaging and hh goods'!$AG$20)*(BI$3-$X$3)/10))+BI27*'R&amp;S - Packaging and hh goods'!$N$4/SUM('R&amp;S - Packaging and hh goods'!$L$4:$N$4)*('R&amp;S - Packaging and hh goods'!$G9*'R&amp;S - Packaging and hh goods'!$M$15*('R&amp;S - Packaging and hh goods'!$AL$20+('R&amp;S - Packaging and hh goods'!$AL$21-'R&amp;S - Packaging and hh goods'!$AL$20)*(BI$3-$X$3)/10))</f>
        <v>0</v>
      </c>
      <c r="BJ31" s="265">
        <f>BJ27*'R&amp;S - Packaging and hh goods'!$L$4/SUM('R&amp;S - Packaging and hh goods'!$L$4:$N$4)*('R&amp;S - Packaging and hh goods'!$E9*'R&amp;S - Packaging and hh goods'!$I$15*('R&amp;S - Packaging and hh goods'!$AB$20+('R&amp;S - Packaging and hh goods'!$AB$21-'R&amp;S - Packaging and hh goods'!$AB$20)*(BJ$3-$X$3)/10))+BJ27*'R&amp;S - Packaging and hh goods'!$M$4/SUM('R&amp;S - Packaging and hh goods'!$L$4:$N$4)*('R&amp;S - Packaging and hh goods'!$F9*'R&amp;S - Packaging and hh goods'!$K$15*('R&amp;S - Packaging and hh goods'!$AG$20+('R&amp;S - Packaging and hh goods'!$AG$21-'R&amp;S - Packaging and hh goods'!$AG$20)*(BJ$3-$X$3)/10))+BJ27*'R&amp;S - Packaging and hh goods'!$N$4/SUM('R&amp;S - Packaging and hh goods'!$L$4:$N$4)*('R&amp;S - Packaging and hh goods'!$G9*'R&amp;S - Packaging and hh goods'!$M$15*('R&amp;S - Packaging and hh goods'!$AL$20+('R&amp;S - Packaging and hh goods'!$AL$21-'R&amp;S - Packaging and hh goods'!$AL$20)*(BJ$3-$X$3)/10))</f>
        <v>0</v>
      </c>
      <c r="BK31" s="265">
        <f>BK27*'R&amp;S - Packaging and hh goods'!$L$4/SUM('R&amp;S - Packaging and hh goods'!$L$4:$N$4)*('R&amp;S - Packaging and hh goods'!$E9*'R&amp;S - Packaging and hh goods'!$I$15*('R&amp;S - Packaging and hh goods'!$AB$20+('R&amp;S - Packaging and hh goods'!$AB$21-'R&amp;S - Packaging and hh goods'!$AB$20)*(BK$3-$X$3)/10))+BK27*'R&amp;S - Packaging and hh goods'!$M$4/SUM('R&amp;S - Packaging and hh goods'!$L$4:$N$4)*('R&amp;S - Packaging and hh goods'!$F9*'R&amp;S - Packaging and hh goods'!$K$15*('R&amp;S - Packaging and hh goods'!$AG$20+('R&amp;S - Packaging and hh goods'!$AG$21-'R&amp;S - Packaging and hh goods'!$AG$20)*(BK$3-$X$3)/10))+BK27*'R&amp;S - Packaging and hh goods'!$N$4/SUM('R&amp;S - Packaging and hh goods'!$L$4:$N$4)*('R&amp;S - Packaging and hh goods'!$G9*'R&amp;S - Packaging and hh goods'!$M$15*('R&amp;S - Packaging and hh goods'!$AL$20+('R&amp;S - Packaging and hh goods'!$AL$21-'R&amp;S - Packaging and hh goods'!$AL$20)*(BK$3-$X$3)/10))</f>
        <v>0</v>
      </c>
      <c r="BL31" s="265">
        <f>BL27*'R&amp;S - Packaging and hh goods'!$L$4/SUM('R&amp;S - Packaging and hh goods'!$L$4:$N$4)*('R&amp;S - Packaging and hh goods'!$E9*'R&amp;S - Packaging and hh goods'!$I$15*('R&amp;S - Packaging and hh goods'!$AB$20+('R&amp;S - Packaging and hh goods'!$AB$21-'R&amp;S - Packaging and hh goods'!$AB$20)*(BL$3-$X$3)/10))+BL27*'R&amp;S - Packaging and hh goods'!$M$4/SUM('R&amp;S - Packaging and hh goods'!$L$4:$N$4)*('R&amp;S - Packaging and hh goods'!$F9*'R&amp;S - Packaging and hh goods'!$K$15*('R&amp;S - Packaging and hh goods'!$AG$20+('R&amp;S - Packaging and hh goods'!$AG$21-'R&amp;S - Packaging and hh goods'!$AG$20)*(BL$3-$X$3)/10))+BL27*'R&amp;S - Packaging and hh goods'!$N$4/SUM('R&amp;S - Packaging and hh goods'!$L$4:$N$4)*('R&amp;S - Packaging and hh goods'!$G9*'R&amp;S - Packaging and hh goods'!$M$15*('R&amp;S - Packaging and hh goods'!$AL$20+('R&amp;S - Packaging and hh goods'!$AL$21-'R&amp;S - Packaging and hh goods'!$AL$20)*(BL$3-$X$3)/10))</f>
        <v>0</v>
      </c>
      <c r="BM31" s="265">
        <f>BM27*'R&amp;S - Packaging and hh goods'!$L$4/SUM('R&amp;S - Packaging and hh goods'!$L$4:$N$4)*('R&amp;S - Packaging and hh goods'!$E9*'R&amp;S - Packaging and hh goods'!$I$15*('R&amp;S - Packaging and hh goods'!$AB$20+('R&amp;S - Packaging and hh goods'!$AB$21-'R&amp;S - Packaging and hh goods'!$AB$20)*(BM$3-$X$3)/10))+BM27*'R&amp;S - Packaging and hh goods'!$M$4/SUM('R&amp;S - Packaging and hh goods'!$L$4:$N$4)*('R&amp;S - Packaging and hh goods'!$F9*'R&amp;S - Packaging and hh goods'!$K$15*('R&amp;S - Packaging and hh goods'!$AG$20+('R&amp;S - Packaging and hh goods'!$AG$21-'R&amp;S - Packaging and hh goods'!$AG$20)*(BM$3-$X$3)/10))+BM27*'R&amp;S - Packaging and hh goods'!$N$4/SUM('R&amp;S - Packaging and hh goods'!$L$4:$N$4)*('R&amp;S - Packaging and hh goods'!$G9*'R&amp;S - Packaging and hh goods'!$M$15*('R&amp;S - Packaging and hh goods'!$AL$20+('R&amp;S - Packaging and hh goods'!$AL$21-'R&amp;S - Packaging and hh goods'!$AL$20)*(BM$3-$X$3)/10))</f>
        <v>0</v>
      </c>
      <c r="BN31" s="265">
        <f>BN27*'R&amp;S - Packaging and hh goods'!$L$4/SUM('R&amp;S - Packaging and hh goods'!$L$4:$N$4)*('R&amp;S - Packaging and hh goods'!$E9*'R&amp;S - Packaging and hh goods'!$I$15*('R&amp;S - Packaging and hh goods'!$AB$20+('R&amp;S - Packaging and hh goods'!$AB$21-'R&amp;S - Packaging and hh goods'!$AB$20)*(BN$3-$X$3)/10))+BN27*'R&amp;S - Packaging and hh goods'!$M$4/SUM('R&amp;S - Packaging and hh goods'!$L$4:$N$4)*('R&amp;S - Packaging and hh goods'!$F9*'R&amp;S - Packaging and hh goods'!$K$15*('R&amp;S - Packaging and hh goods'!$AG$20+('R&amp;S - Packaging and hh goods'!$AG$21-'R&amp;S - Packaging and hh goods'!$AG$20)*(BN$3-$X$3)/10))+BN27*'R&amp;S - Packaging and hh goods'!$N$4/SUM('R&amp;S - Packaging and hh goods'!$L$4:$N$4)*('R&amp;S - Packaging and hh goods'!$G9*'R&amp;S - Packaging and hh goods'!$M$15*('R&amp;S - Packaging and hh goods'!$AL$20+('R&amp;S - Packaging and hh goods'!$AL$21-'R&amp;S - Packaging and hh goods'!$AL$20)*(BN$3-$X$3)/10))</f>
        <v>0</v>
      </c>
      <c r="BR31" t="s">
        <v>190</v>
      </c>
      <c r="BS31" s="44" t="e">
        <f>#REF!</f>
        <v>#REF!</v>
      </c>
      <c r="BU31" t="str">
        <v>Minor Polymers</v>
      </c>
      <c r="BV31" s="44">
        <v>22.580763290736638</v>
      </c>
      <c r="BW31" s="2">
        <v>0.21698594092708512</v>
      </c>
    </row>
    <row r="32" spans="1:85" outlineLevel="1">
      <c r="B32" s="61" t="s">
        <v>203</v>
      </c>
      <c r="C32" s="54" t="s">
        <v>153</v>
      </c>
      <c r="D32" s="43">
        <v>0</v>
      </c>
      <c r="E32" s="43">
        <f>E31*'R&amp;S - Packaging and hh goods'!$L$4/SUM('R&amp;S - Packaging and hh goods'!$L$4:$N$4)*'R&amp;S - Packaging and hh goods'!$E$10*('R&amp;S - Packaging and hh goods'!$I$14*'R&amp;S - Packaging and hh goods'!$AC$19*(E$3-$D$3)/10)+E31*'R&amp;S - Packaging and hh goods'!$M$4/SUM('R&amp;S - Packaging and hh goods'!$L$4:$N$4)*'R&amp;S - Packaging and hh goods'!$F$10*('R&amp;S - Packaging and hh goods'!$K$14*'R&amp;S - Packaging and hh goods'!$AH$19*(E$3-$D$3)/10)+E31*'R&amp;S - Packaging and hh goods'!$N$4/SUM('R&amp;S - Packaging and hh goods'!$L$4:$N$4)*'R&amp;S - Packaging and hh goods'!$G$10*('R&amp;S - Packaging and hh goods'!$M$14*'R&amp;S - Packaging and hh goods'!$AM$19*(E$3-$D$3)/10)</f>
        <v>0</v>
      </c>
      <c r="F32" s="43">
        <f>F27*'R&amp;S - Packaging and hh goods'!$L$4/SUM('R&amp;S - Packaging and hh goods'!$L$4:$N$4)*'R&amp;S - Packaging and hh goods'!$E$10*('R&amp;S - Packaging and hh goods'!$I$14*'R&amp;S - Packaging and hh goods'!$AC$19*(F$3-$D$3)/10)+F27*'R&amp;S - Packaging and hh goods'!$M$4/SUM('R&amp;S - Packaging and hh goods'!$L$4:$N$4)*'R&amp;S - Packaging and hh goods'!$F$10*('R&amp;S - Packaging and hh goods'!$K$14*'R&amp;S - Packaging and hh goods'!$AH$19*(F$3-$D$3)/10)+F27*'R&amp;S - Packaging and hh goods'!$N$4/SUM('R&amp;S - Packaging and hh goods'!$L$4:$N$4)*'R&amp;S - Packaging and hh goods'!$G$10*('R&amp;S - Packaging and hh goods'!$M$14*'R&amp;S - Packaging and hh goods'!$AM$19*(F$3-$D$3)/10)</f>
        <v>0</v>
      </c>
      <c r="G32" s="43">
        <f>G27*'R&amp;S - Packaging and hh goods'!$L$4/SUM('R&amp;S - Packaging and hh goods'!$L$4:$N$4)*'R&amp;S - Packaging and hh goods'!$E$10*('R&amp;S - Packaging and hh goods'!$I$14*'R&amp;S - Packaging and hh goods'!$AC$19*(G$3-$D$3)/10)+G27*'R&amp;S - Packaging and hh goods'!$M$4/SUM('R&amp;S - Packaging and hh goods'!$L$4:$N$4)*'R&amp;S - Packaging and hh goods'!$F$10*('R&amp;S - Packaging and hh goods'!$K$14*'R&amp;S - Packaging and hh goods'!$AH$19*(G$3-$D$3)/10)+G27*'R&amp;S - Packaging and hh goods'!$N$4/SUM('R&amp;S - Packaging and hh goods'!$L$4:$N$4)*'R&amp;S - Packaging and hh goods'!$G$10*('R&amp;S - Packaging and hh goods'!$M$14*'R&amp;S - Packaging and hh goods'!$AM$19*(G$3-$D$3)/10)</f>
        <v>0</v>
      </c>
      <c r="H32" s="43">
        <f>H27*'R&amp;S - Packaging and hh goods'!$L$4/SUM('R&amp;S - Packaging and hh goods'!$L$4:$N$4)*'R&amp;S - Packaging and hh goods'!$E$10*('R&amp;S - Packaging and hh goods'!$I$14*'R&amp;S - Packaging and hh goods'!$AC$19*(H$3-$D$3)/10)+H27*'R&amp;S - Packaging and hh goods'!$M$4/SUM('R&amp;S - Packaging and hh goods'!$L$4:$N$4)*'R&amp;S - Packaging and hh goods'!$F$10*('R&amp;S - Packaging and hh goods'!$K$14*'R&amp;S - Packaging and hh goods'!$AH$19*(H$3-$D$3)/10)+H27*'R&amp;S - Packaging and hh goods'!$N$4/SUM('R&amp;S - Packaging and hh goods'!$L$4:$N$4)*'R&amp;S - Packaging and hh goods'!$G$10*('R&amp;S - Packaging and hh goods'!$M$14*'R&amp;S - Packaging and hh goods'!$AM$19*(H$3-$D$3)/10)</f>
        <v>0</v>
      </c>
      <c r="I32" s="43">
        <f>I27*'R&amp;S - Packaging and hh goods'!$L$4/SUM('R&amp;S - Packaging and hh goods'!$L$4:$N$4)*'R&amp;S - Packaging and hh goods'!$E$10*('R&amp;S - Packaging and hh goods'!$I$14*'R&amp;S - Packaging and hh goods'!$AC$19*(I$3-$D$3)/10)+I27*'R&amp;S - Packaging and hh goods'!$M$4/SUM('R&amp;S - Packaging and hh goods'!$L$4:$N$4)*'R&amp;S - Packaging and hh goods'!$F$10*('R&amp;S - Packaging and hh goods'!$K$14*'R&amp;S - Packaging and hh goods'!$AH$19*(I$3-$D$3)/10)+I27*'R&amp;S - Packaging and hh goods'!$N$4/SUM('R&amp;S - Packaging and hh goods'!$L$4:$N$4)*'R&amp;S - Packaging and hh goods'!$G$10*('R&amp;S - Packaging and hh goods'!$M$14*'R&amp;S - Packaging and hh goods'!$AM$19*(I$3-$D$3)/10)</f>
        <v>0</v>
      </c>
      <c r="J32" s="43">
        <f>J27*'R&amp;S - Packaging and hh goods'!$L$4/SUM('R&amp;S - Packaging and hh goods'!$L$4:$N$4)*'R&amp;S - Packaging and hh goods'!$E$10*('R&amp;S - Packaging and hh goods'!$I$14*'R&amp;S - Packaging and hh goods'!$AC$19*(J$3-$D$3)/10)+J27*'R&amp;S - Packaging and hh goods'!$M$4/SUM('R&amp;S - Packaging and hh goods'!$L$4:$N$4)*'R&amp;S - Packaging and hh goods'!$F$10*('R&amp;S - Packaging and hh goods'!$K$14*'R&amp;S - Packaging and hh goods'!$AH$19*(J$3-$D$3)/10)+J27*'R&amp;S - Packaging and hh goods'!$N$4/SUM('R&amp;S - Packaging and hh goods'!$L$4:$N$4)*'R&amp;S - Packaging and hh goods'!$G$10*('R&amp;S - Packaging and hh goods'!$M$14*'R&amp;S - Packaging and hh goods'!$AM$19*(J$3-$D$3)/10)</f>
        <v>0</v>
      </c>
      <c r="K32" s="43">
        <f>K27*'R&amp;S - Packaging and hh goods'!$L$4/SUM('R&amp;S - Packaging and hh goods'!$L$4:$N$4)*'R&amp;S - Packaging and hh goods'!$E$10*('R&amp;S - Packaging and hh goods'!$I$14*'R&amp;S - Packaging and hh goods'!$AC$19*(K$3-$D$3)/10)+K27*'R&amp;S - Packaging and hh goods'!$M$4/SUM('R&amp;S - Packaging and hh goods'!$L$4:$N$4)*'R&amp;S - Packaging and hh goods'!$F$10*('R&amp;S - Packaging and hh goods'!$K$14*'R&amp;S - Packaging and hh goods'!$AH$19*(K$3-$D$3)/10)+K27*'R&amp;S - Packaging and hh goods'!$N$4/SUM('R&amp;S - Packaging and hh goods'!$L$4:$N$4)*'R&amp;S - Packaging and hh goods'!$G$10*('R&amp;S - Packaging and hh goods'!$M$14*'R&amp;S - Packaging and hh goods'!$AM$19*(K$3-$D$3)/10)</f>
        <v>0</v>
      </c>
      <c r="L32" s="43">
        <f>L27*'R&amp;S - Packaging and hh goods'!$L$4/SUM('R&amp;S - Packaging and hh goods'!$L$4:$N$4)*'R&amp;S - Packaging and hh goods'!$E$10*('R&amp;S - Packaging and hh goods'!$I$14*'R&amp;S - Packaging and hh goods'!$AC$19*(L$3-$D$3)/10)+L27*'R&amp;S - Packaging and hh goods'!$M$4/SUM('R&amp;S - Packaging and hh goods'!$L$4:$N$4)*'R&amp;S - Packaging and hh goods'!$F$10*('R&amp;S - Packaging and hh goods'!$K$14*'R&amp;S - Packaging and hh goods'!$AH$19*(L$3-$D$3)/10)+L27*'R&amp;S - Packaging and hh goods'!$N$4/SUM('R&amp;S - Packaging and hh goods'!$L$4:$N$4)*'R&amp;S - Packaging and hh goods'!$G$10*('R&amp;S - Packaging and hh goods'!$M$14*'R&amp;S - Packaging and hh goods'!$AM$19*(L$3-$D$3)/10)</f>
        <v>0</v>
      </c>
      <c r="M32" s="43">
        <f>M27*'R&amp;S - Packaging and hh goods'!$L$4/SUM('R&amp;S - Packaging and hh goods'!$L$4:$N$4)*'R&amp;S - Packaging and hh goods'!$E$10*('R&amp;S - Packaging and hh goods'!$I$14*'R&amp;S - Packaging and hh goods'!$AC$19*(M$3-$D$3)/10)+M27*'R&amp;S - Packaging and hh goods'!$M$4/SUM('R&amp;S - Packaging and hh goods'!$L$4:$N$4)*'R&amp;S - Packaging and hh goods'!$F$10*('R&amp;S - Packaging and hh goods'!$K$14*'R&amp;S - Packaging and hh goods'!$AH$19*(M$3-$D$3)/10)+M27*'R&amp;S - Packaging and hh goods'!$N$4/SUM('R&amp;S - Packaging and hh goods'!$L$4:$N$4)*'R&amp;S - Packaging and hh goods'!$G$10*('R&amp;S - Packaging and hh goods'!$M$14*'R&amp;S - Packaging and hh goods'!$AM$19*(M$3-$D$3)/10)</f>
        <v>0</v>
      </c>
      <c r="N32" s="43">
        <f>N27*'R&amp;S - Packaging and hh goods'!$L$4/SUM('R&amp;S - Packaging and hh goods'!$L$4:$N$4)*'R&amp;S - Packaging and hh goods'!$E$10*('R&amp;S - Packaging and hh goods'!$I$14*'R&amp;S - Packaging and hh goods'!$AC$19*(N$3-$D$3)/10)+N27*'R&amp;S - Packaging and hh goods'!$M$4/SUM('R&amp;S - Packaging and hh goods'!$L$4:$N$4)*'R&amp;S - Packaging and hh goods'!$F$10*('R&amp;S - Packaging and hh goods'!$K$14*'R&amp;S - Packaging and hh goods'!$AH$19*(N$3-$D$3)/10)+N27*'R&amp;S - Packaging and hh goods'!$N$4/SUM('R&amp;S - Packaging and hh goods'!$L$4:$N$4)*'R&amp;S - Packaging and hh goods'!$G$10*('R&amp;S - Packaging and hh goods'!$M$14*'R&amp;S - Packaging and hh goods'!$AM$19*(N$3-$D$3)/10)</f>
        <v>0</v>
      </c>
      <c r="O32" s="265">
        <f>O27*'R&amp;S - Packaging and hh goods'!$L$4/SUM('R&amp;S - Packaging and hh goods'!$L$4:$N$4)*('R&amp;S - Packaging and hh goods'!$E$10*'R&amp;S - Packaging and hh goods'!$I$14*('R&amp;S - Packaging and hh goods'!$AC$19+('R&amp;S - Packaging and hh goods'!$AC$20-'R&amp;S - Packaging and hh goods'!$AC$19)*(O$3-$N$3)/10))+O27*'R&amp;S - Packaging and hh goods'!$M$4/SUM('R&amp;S - Packaging and hh goods'!$L$4:$N$4)*('R&amp;S - Packaging and hh goods'!$F$10*'R&amp;S - Packaging and hh goods'!$K$14*('R&amp;S - Packaging and hh goods'!$AH$19+('R&amp;S - Packaging and hh goods'!$AH$20-'R&amp;S - Packaging and hh goods'!$AH$19)*(O$3-$N$3)/10))+O27*'R&amp;S - Packaging and hh goods'!$N$4/SUM('R&amp;S - Packaging and hh goods'!$L$4:$N$4)*('R&amp;S - Packaging and hh goods'!$G$10*'R&amp;S - Packaging and hh goods'!$M$14*('R&amp;S - Packaging and hh goods'!$AM$19+('R&amp;S - Packaging and hh goods'!$AM$20-'R&amp;S - Packaging and hh goods'!$AM$19)*(O$3-$N$3)/10))</f>
        <v>0</v>
      </c>
      <c r="P32" s="265">
        <f>P27*'R&amp;S - Packaging and hh goods'!$L$4/SUM('R&amp;S - Packaging and hh goods'!$L$4:$N$4)*('R&amp;S - Packaging and hh goods'!$E$10*'R&amp;S - Packaging and hh goods'!$I$14*('R&amp;S - Packaging and hh goods'!$AC$19+('R&amp;S - Packaging and hh goods'!$AC$20-'R&amp;S - Packaging and hh goods'!$AC$19)*(P$3-$N$3)/10))+P27*'R&amp;S - Packaging and hh goods'!$M$4/SUM('R&amp;S - Packaging and hh goods'!$L$4:$N$4)*('R&amp;S - Packaging and hh goods'!$F$10*'R&amp;S - Packaging and hh goods'!$K$14*('R&amp;S - Packaging and hh goods'!$AH$19+('R&amp;S - Packaging and hh goods'!$AH$20-'R&amp;S - Packaging and hh goods'!$AH$19)*(P$3-$N$3)/10))+P27*'R&amp;S - Packaging and hh goods'!$N$4/SUM('R&amp;S - Packaging and hh goods'!$L$4:$N$4)*('R&amp;S - Packaging and hh goods'!$G$10*'R&amp;S - Packaging and hh goods'!$M$14*('R&amp;S - Packaging and hh goods'!$AM$19+('R&amp;S - Packaging and hh goods'!$AM$20-'R&amp;S - Packaging and hh goods'!$AM$19)*(P$3-$N$3)/10))</f>
        <v>0</v>
      </c>
      <c r="Q32" s="265">
        <f>Q27*'R&amp;S - Packaging and hh goods'!$L$4/SUM('R&amp;S - Packaging and hh goods'!$L$4:$N$4)*('R&amp;S - Packaging and hh goods'!$E$10*'R&amp;S - Packaging and hh goods'!$I$14*('R&amp;S - Packaging and hh goods'!$AC$19+('R&amp;S - Packaging and hh goods'!$AC$20-'R&amp;S - Packaging and hh goods'!$AC$19)*(Q$3-$N$3)/10))+Q27*'R&amp;S - Packaging and hh goods'!$M$4/SUM('R&amp;S - Packaging and hh goods'!$L$4:$N$4)*('R&amp;S - Packaging and hh goods'!$F$10*'R&amp;S - Packaging and hh goods'!$K$14*('R&amp;S - Packaging and hh goods'!$AH$19+('R&amp;S - Packaging and hh goods'!$AH$20-'R&amp;S - Packaging and hh goods'!$AH$19)*(Q$3-$N$3)/10))+Q27*'R&amp;S - Packaging and hh goods'!$N$4/SUM('R&amp;S - Packaging and hh goods'!$L$4:$N$4)*('R&amp;S - Packaging and hh goods'!$G$10*'R&amp;S - Packaging and hh goods'!$M$14*('R&amp;S - Packaging and hh goods'!$AM$19+('R&amp;S - Packaging and hh goods'!$AM$20-'R&amp;S - Packaging and hh goods'!$AM$19)*(Q$3-$N$3)/10))</f>
        <v>0</v>
      </c>
      <c r="R32" s="265">
        <f>R27*'R&amp;S - Packaging and hh goods'!$L$4/SUM('R&amp;S - Packaging and hh goods'!$L$4:$N$4)*('R&amp;S - Packaging and hh goods'!$E$10*'R&amp;S - Packaging and hh goods'!$I$14*('R&amp;S - Packaging and hh goods'!$AC$19+('R&amp;S - Packaging and hh goods'!$AC$20-'R&amp;S - Packaging and hh goods'!$AC$19)*(R$3-$N$3)/10))+R27*'R&amp;S - Packaging and hh goods'!$M$4/SUM('R&amp;S - Packaging and hh goods'!$L$4:$N$4)*('R&amp;S - Packaging and hh goods'!$F$10*'R&amp;S - Packaging and hh goods'!$K$14*('R&amp;S - Packaging and hh goods'!$AH$19+('R&amp;S - Packaging and hh goods'!$AH$20-'R&amp;S - Packaging and hh goods'!$AH$19)*(R$3-$N$3)/10))+R27*'R&amp;S - Packaging and hh goods'!$N$4/SUM('R&amp;S - Packaging and hh goods'!$L$4:$N$4)*('R&amp;S - Packaging and hh goods'!$G$10*'R&amp;S - Packaging and hh goods'!$M$14*('R&amp;S - Packaging and hh goods'!$AM$19+('R&amp;S - Packaging and hh goods'!$AM$20-'R&amp;S - Packaging and hh goods'!$AM$19)*(R$3-$N$3)/10))</f>
        <v>0</v>
      </c>
      <c r="S32" s="265">
        <f>S27*'R&amp;S - Packaging and hh goods'!$L$4/SUM('R&amp;S - Packaging and hh goods'!$L$4:$N$4)*('R&amp;S - Packaging and hh goods'!$E$10*'R&amp;S - Packaging and hh goods'!$I$14*('R&amp;S - Packaging and hh goods'!$AC$19+('R&amp;S - Packaging and hh goods'!$AC$20-'R&amp;S - Packaging and hh goods'!$AC$19)*(S$3-$N$3)/10))+S27*'R&amp;S - Packaging and hh goods'!$M$4/SUM('R&amp;S - Packaging and hh goods'!$L$4:$N$4)*('R&amp;S - Packaging and hh goods'!$F$10*'R&amp;S - Packaging and hh goods'!$K$14*('R&amp;S - Packaging and hh goods'!$AH$19+('R&amp;S - Packaging and hh goods'!$AH$20-'R&amp;S - Packaging and hh goods'!$AH$19)*(S$3-$N$3)/10))+S27*'R&amp;S - Packaging and hh goods'!$N$4/SUM('R&amp;S - Packaging and hh goods'!$L$4:$N$4)*('R&amp;S - Packaging and hh goods'!$G$10*'R&amp;S - Packaging and hh goods'!$M$14*('R&amp;S - Packaging and hh goods'!$AM$19+('R&amp;S - Packaging and hh goods'!$AM$20-'R&amp;S - Packaging and hh goods'!$AM$19)*(S$3-$N$3)/10))</f>
        <v>0</v>
      </c>
      <c r="T32" s="265">
        <f>T27*'R&amp;S - Packaging and hh goods'!$L$4/SUM('R&amp;S - Packaging and hh goods'!$L$4:$N$4)*('R&amp;S - Packaging and hh goods'!$E$10*'R&amp;S - Packaging and hh goods'!$I$14*('R&amp;S - Packaging and hh goods'!$AC$19+('R&amp;S - Packaging and hh goods'!$AC$20-'R&amp;S - Packaging and hh goods'!$AC$19)*(T$3-$N$3)/10))+T27*'R&amp;S - Packaging and hh goods'!$M$4/SUM('R&amp;S - Packaging and hh goods'!$L$4:$N$4)*('R&amp;S - Packaging and hh goods'!$F$10*'R&amp;S - Packaging and hh goods'!$K$14*('R&amp;S - Packaging and hh goods'!$AH$19+('R&amp;S - Packaging and hh goods'!$AH$20-'R&amp;S - Packaging and hh goods'!$AH$19)*(T$3-$N$3)/10))+T27*'R&amp;S - Packaging and hh goods'!$N$4/SUM('R&amp;S - Packaging and hh goods'!$L$4:$N$4)*('R&amp;S - Packaging and hh goods'!$G$10*'R&amp;S - Packaging and hh goods'!$M$14*('R&amp;S - Packaging and hh goods'!$AM$19+('R&amp;S - Packaging and hh goods'!$AM$20-'R&amp;S - Packaging and hh goods'!$AM$19)*(T$3-$N$3)/10))</f>
        <v>0</v>
      </c>
      <c r="U32" s="265">
        <f>U27*'R&amp;S - Packaging and hh goods'!$L$4/SUM('R&amp;S - Packaging and hh goods'!$L$4:$N$4)*('R&amp;S - Packaging and hh goods'!$E$10*'R&amp;S - Packaging and hh goods'!$I$14*('R&amp;S - Packaging and hh goods'!$AC$19+('R&amp;S - Packaging and hh goods'!$AC$20-'R&amp;S - Packaging and hh goods'!$AC$19)*(U$3-$N$3)/10))+U27*'R&amp;S - Packaging and hh goods'!$M$4/SUM('R&amp;S - Packaging and hh goods'!$L$4:$N$4)*('R&amp;S - Packaging and hh goods'!$F$10*'R&amp;S - Packaging and hh goods'!$K$14*('R&amp;S - Packaging and hh goods'!$AH$19+('R&amp;S - Packaging and hh goods'!$AH$20-'R&amp;S - Packaging and hh goods'!$AH$19)*(U$3-$N$3)/10))+U27*'R&amp;S - Packaging and hh goods'!$N$4/SUM('R&amp;S - Packaging and hh goods'!$L$4:$N$4)*('R&amp;S - Packaging and hh goods'!$G$10*'R&amp;S - Packaging and hh goods'!$M$14*('R&amp;S - Packaging and hh goods'!$AM$19+('R&amp;S - Packaging and hh goods'!$AM$20-'R&amp;S - Packaging and hh goods'!$AM$19)*(U$3-$N$3)/10))</f>
        <v>0</v>
      </c>
      <c r="V32" s="265">
        <f>V27*'R&amp;S - Packaging and hh goods'!$L$4/SUM('R&amp;S - Packaging and hh goods'!$L$4:$N$4)*('R&amp;S - Packaging and hh goods'!$E$10*'R&amp;S - Packaging and hh goods'!$I$14*('R&amp;S - Packaging and hh goods'!$AC$19+('R&amp;S - Packaging and hh goods'!$AC$20-'R&amp;S - Packaging and hh goods'!$AC$19)*(V$3-$N$3)/10))+V27*'R&amp;S - Packaging and hh goods'!$M$4/SUM('R&amp;S - Packaging and hh goods'!$L$4:$N$4)*('R&amp;S - Packaging and hh goods'!$F$10*'R&amp;S - Packaging and hh goods'!$K$14*('R&amp;S - Packaging and hh goods'!$AH$19+('R&amp;S - Packaging and hh goods'!$AH$20-'R&amp;S - Packaging and hh goods'!$AH$19)*(V$3-$N$3)/10))+V27*'R&amp;S - Packaging and hh goods'!$N$4/SUM('R&amp;S - Packaging and hh goods'!$L$4:$N$4)*('R&amp;S - Packaging and hh goods'!$G$10*'R&amp;S - Packaging and hh goods'!$M$14*('R&amp;S - Packaging and hh goods'!$AM$19+('R&amp;S - Packaging and hh goods'!$AM$20-'R&amp;S - Packaging and hh goods'!$AM$19)*(V$3-$N$3)/10))</f>
        <v>0</v>
      </c>
      <c r="W32" s="265">
        <f>W27*'R&amp;S - Packaging and hh goods'!$L$4/SUM('R&amp;S - Packaging and hh goods'!$L$4:$N$4)*('R&amp;S - Packaging and hh goods'!$E$10*'R&amp;S - Packaging and hh goods'!$I$14*('R&amp;S - Packaging and hh goods'!$AC$19+('R&amp;S - Packaging and hh goods'!$AC$20-'R&amp;S - Packaging and hh goods'!$AC$19)*(W$3-$N$3)/10))+W27*'R&amp;S - Packaging and hh goods'!$M$4/SUM('R&amp;S - Packaging and hh goods'!$L$4:$N$4)*('R&amp;S - Packaging and hh goods'!$F$10*'R&amp;S - Packaging and hh goods'!$K$14*('R&amp;S - Packaging and hh goods'!$AH$19+('R&amp;S - Packaging and hh goods'!$AH$20-'R&amp;S - Packaging and hh goods'!$AH$19)*(W$3-$N$3)/10))+W27*'R&amp;S - Packaging and hh goods'!$N$4/SUM('R&amp;S - Packaging and hh goods'!$L$4:$N$4)*('R&amp;S - Packaging and hh goods'!$G$10*'R&amp;S - Packaging and hh goods'!$M$14*('R&amp;S - Packaging and hh goods'!$AM$19+('R&amp;S - Packaging and hh goods'!$AM$20-'R&amp;S - Packaging and hh goods'!$AM$19)*(W$3-$N$3)/10))</f>
        <v>0</v>
      </c>
      <c r="X32" s="265">
        <f>X27*'R&amp;S - Packaging and hh goods'!$L$4/SUM('R&amp;S - Packaging and hh goods'!$L$4:$N$4)*('R&amp;S - Packaging and hh goods'!$E$10*'R&amp;S - Packaging and hh goods'!$I$14*('R&amp;S - Packaging and hh goods'!$AC$19+('R&amp;S - Packaging and hh goods'!$AC$20-'R&amp;S - Packaging and hh goods'!$AC$19)*(X$3-$N$3)/10))+X27*'R&amp;S - Packaging and hh goods'!$M$4/SUM('R&amp;S - Packaging and hh goods'!$L$4:$N$4)*('R&amp;S - Packaging and hh goods'!$F$10*'R&amp;S - Packaging and hh goods'!$K$14*('R&amp;S - Packaging and hh goods'!$AH$19+('R&amp;S - Packaging and hh goods'!$AH$20-'R&amp;S - Packaging and hh goods'!$AH$19)*(X$3-$N$3)/10))+X27*'R&amp;S - Packaging and hh goods'!$N$4/SUM('R&amp;S - Packaging and hh goods'!$L$4:$N$4)*('R&amp;S - Packaging and hh goods'!$G$10*'R&amp;S - Packaging and hh goods'!$M$14*('R&amp;S - Packaging and hh goods'!$AM$19+('R&amp;S - Packaging and hh goods'!$AM$20-'R&amp;S - Packaging and hh goods'!$AM$19)*(X$3-$N$3)/10))</f>
        <v>0</v>
      </c>
      <c r="Y32" s="265">
        <f>Y27*'R&amp;S - Packaging and hh goods'!$L$4/SUM('R&amp;S - Packaging and hh goods'!$L$4:$N$4)*('R&amp;S - Packaging and hh goods'!$E10*'R&amp;S - Packaging and hh goods'!$I$14*('R&amp;S - Packaging and hh goods'!$AC$20+('R&amp;S - Packaging and hh goods'!$AC$21-'R&amp;S - Packaging and hh goods'!$AC$20)*(Y$3-$X$3)/10))+Y27*'R&amp;S - Packaging and hh goods'!$M$4/SUM('R&amp;S - Packaging and hh goods'!$L$4:$N$4)*('R&amp;S - Packaging and hh goods'!$F10*'R&amp;S - Packaging and hh goods'!$K$14*('R&amp;S - Packaging and hh goods'!$AH$20+('R&amp;S - Packaging and hh goods'!$AH$21-'R&amp;S - Packaging and hh goods'!$AH$20)*(Y$3-$X$3)/10))+Y27*'R&amp;S - Packaging and hh goods'!$N$4/SUM('R&amp;S - Packaging and hh goods'!$L$4:$N$4)*('R&amp;S - Packaging and hh goods'!$G10*'R&amp;S - Packaging and hh goods'!$M$14*('R&amp;S - Packaging and hh goods'!$AM$20+('R&amp;S - Packaging and hh goods'!$AM$21-'R&amp;S - Packaging and hh goods'!$AM$20)*(Y$3-$X$3)/10))</f>
        <v>0</v>
      </c>
      <c r="Z32" s="265">
        <f>Z27*'R&amp;S - Packaging and hh goods'!$L$4/SUM('R&amp;S - Packaging and hh goods'!$L$4:$N$4)*('R&amp;S - Packaging and hh goods'!$E10*'R&amp;S - Packaging and hh goods'!$I$14*('R&amp;S - Packaging and hh goods'!$AC$20+('R&amp;S - Packaging and hh goods'!$AC$21-'R&amp;S - Packaging and hh goods'!$AC$20)*(Z$3-$X$3)/10))+Z27*'R&amp;S - Packaging and hh goods'!$M$4/SUM('R&amp;S - Packaging and hh goods'!$L$4:$N$4)*('R&amp;S - Packaging and hh goods'!$F10*'R&amp;S - Packaging and hh goods'!$K$14*('R&amp;S - Packaging and hh goods'!$AH$20+('R&amp;S - Packaging and hh goods'!$AH$21-'R&amp;S - Packaging and hh goods'!$AH$20)*(Z$3-$X$3)/10))+Z27*'R&amp;S - Packaging and hh goods'!$N$4/SUM('R&amp;S - Packaging and hh goods'!$L$4:$N$4)*('R&amp;S - Packaging and hh goods'!$G10*'R&amp;S - Packaging and hh goods'!$M$14*('R&amp;S - Packaging and hh goods'!$AM$20+('R&amp;S - Packaging and hh goods'!$AM$21-'R&amp;S - Packaging and hh goods'!$AM$20)*(Z$3-$X$3)/10))</f>
        <v>0</v>
      </c>
      <c r="AA32" s="265">
        <f>AA27*'R&amp;S - Packaging and hh goods'!$L$4/SUM('R&amp;S - Packaging and hh goods'!$L$4:$N$4)*('R&amp;S - Packaging and hh goods'!$E10*'R&amp;S - Packaging and hh goods'!$I$14*('R&amp;S - Packaging and hh goods'!$AC$20+('R&amp;S - Packaging and hh goods'!$AC$21-'R&amp;S - Packaging and hh goods'!$AC$20)*(AA$3-$X$3)/10))+AA27*'R&amp;S - Packaging and hh goods'!$M$4/SUM('R&amp;S - Packaging and hh goods'!$L$4:$N$4)*('R&amp;S - Packaging and hh goods'!$F10*'R&amp;S - Packaging and hh goods'!$K$14*('R&amp;S - Packaging and hh goods'!$AH$20+('R&amp;S - Packaging and hh goods'!$AH$21-'R&amp;S - Packaging and hh goods'!$AH$20)*(AA$3-$X$3)/10))+AA27*'R&amp;S - Packaging and hh goods'!$N$4/SUM('R&amp;S - Packaging and hh goods'!$L$4:$N$4)*('R&amp;S - Packaging and hh goods'!$G10*'R&amp;S - Packaging and hh goods'!$M$14*('R&amp;S - Packaging and hh goods'!$AM$20+('R&amp;S - Packaging and hh goods'!$AM$21-'R&amp;S - Packaging and hh goods'!$AM$20)*(AA$3-$X$3)/10))</f>
        <v>0</v>
      </c>
      <c r="AB32" s="265">
        <f>AB27*'R&amp;S - Packaging and hh goods'!$L$4/SUM('R&amp;S - Packaging and hh goods'!$L$4:$N$4)*('R&amp;S - Packaging and hh goods'!$E10*'R&amp;S - Packaging and hh goods'!$I$14*('R&amp;S - Packaging and hh goods'!$AC$20+('R&amp;S - Packaging and hh goods'!$AC$21-'R&amp;S - Packaging and hh goods'!$AC$20)*(AB$3-$X$3)/10))+AB27*'R&amp;S - Packaging and hh goods'!$M$4/SUM('R&amp;S - Packaging and hh goods'!$L$4:$N$4)*('R&amp;S - Packaging and hh goods'!$F10*'R&amp;S - Packaging and hh goods'!$K$14*('R&amp;S - Packaging and hh goods'!$AH$20+('R&amp;S - Packaging and hh goods'!$AH$21-'R&amp;S - Packaging and hh goods'!$AH$20)*(AB$3-$X$3)/10))+AB27*'R&amp;S - Packaging and hh goods'!$N$4/SUM('R&amp;S - Packaging and hh goods'!$L$4:$N$4)*('R&amp;S - Packaging and hh goods'!$G10*'R&amp;S - Packaging and hh goods'!$M$14*('R&amp;S - Packaging and hh goods'!$AM$20+('R&amp;S - Packaging and hh goods'!$AM$21-'R&amp;S - Packaging and hh goods'!$AM$20)*(AB$3-$X$3)/10))</f>
        <v>0</v>
      </c>
      <c r="AC32" s="265">
        <f>AC27*'R&amp;S - Packaging and hh goods'!$L$4/SUM('R&amp;S - Packaging and hh goods'!$L$4:$N$4)*('R&amp;S - Packaging and hh goods'!$E10*'R&amp;S - Packaging and hh goods'!$I$14*('R&amp;S - Packaging and hh goods'!$AC$20+('R&amp;S - Packaging and hh goods'!$AC$21-'R&amp;S - Packaging and hh goods'!$AC$20)*(AC$3-$X$3)/10))+AC27*'R&amp;S - Packaging and hh goods'!$M$4/SUM('R&amp;S - Packaging and hh goods'!$L$4:$N$4)*('R&amp;S - Packaging and hh goods'!$F10*'R&amp;S - Packaging and hh goods'!$K$14*('R&amp;S - Packaging and hh goods'!$AH$20+('R&amp;S - Packaging and hh goods'!$AH$21-'R&amp;S - Packaging and hh goods'!$AH$20)*(AC$3-$X$3)/10))+AC27*'R&amp;S - Packaging and hh goods'!$N$4/SUM('R&amp;S - Packaging and hh goods'!$L$4:$N$4)*('R&amp;S - Packaging and hh goods'!$G10*'R&amp;S - Packaging and hh goods'!$M$14*('R&amp;S - Packaging and hh goods'!$AM$20+('R&amp;S - Packaging and hh goods'!$AM$21-'R&amp;S - Packaging and hh goods'!$AM$20)*(AC$3-$X$3)/10))</f>
        <v>0</v>
      </c>
      <c r="AD32" s="265">
        <f>AD27*'R&amp;S - Packaging and hh goods'!$L$4/SUM('R&amp;S - Packaging and hh goods'!$L$4:$N$4)*('R&amp;S - Packaging and hh goods'!$E10*'R&amp;S - Packaging and hh goods'!$I$14*('R&amp;S - Packaging and hh goods'!$AC$20+('R&amp;S - Packaging and hh goods'!$AC$21-'R&amp;S - Packaging and hh goods'!$AC$20)*(AD$3-$X$3)/10))+AD27*'R&amp;S - Packaging and hh goods'!$M$4/SUM('R&amp;S - Packaging and hh goods'!$L$4:$N$4)*('R&amp;S - Packaging and hh goods'!$F10*'R&amp;S - Packaging and hh goods'!$K$14*('R&amp;S - Packaging and hh goods'!$AH$20+('R&amp;S - Packaging and hh goods'!$AH$21-'R&amp;S - Packaging and hh goods'!$AH$20)*(AD$3-$X$3)/10))+AD27*'R&amp;S - Packaging and hh goods'!$N$4/SUM('R&amp;S - Packaging and hh goods'!$L$4:$N$4)*('R&amp;S - Packaging and hh goods'!$G10*'R&amp;S - Packaging and hh goods'!$M$14*('R&amp;S - Packaging and hh goods'!$AM$20+('R&amp;S - Packaging and hh goods'!$AM$21-'R&amp;S - Packaging and hh goods'!$AM$20)*(AD$3-$X$3)/10))</f>
        <v>0</v>
      </c>
      <c r="AE32" s="265">
        <f>AE27*'R&amp;S - Packaging and hh goods'!$L$4/SUM('R&amp;S - Packaging and hh goods'!$L$4:$N$4)*('R&amp;S - Packaging and hh goods'!$E10*'R&amp;S - Packaging and hh goods'!$I$14*('R&amp;S - Packaging and hh goods'!$AC$20+('R&amp;S - Packaging and hh goods'!$AC$21-'R&amp;S - Packaging and hh goods'!$AC$20)*(AE$3-$X$3)/10))+AE27*'R&amp;S - Packaging and hh goods'!$M$4/SUM('R&amp;S - Packaging and hh goods'!$L$4:$N$4)*('R&amp;S - Packaging and hh goods'!$F10*'R&amp;S - Packaging and hh goods'!$K$14*('R&amp;S - Packaging and hh goods'!$AH$20+('R&amp;S - Packaging and hh goods'!$AH$21-'R&amp;S - Packaging and hh goods'!$AH$20)*(AE$3-$X$3)/10))+AE27*'R&amp;S - Packaging and hh goods'!$N$4/SUM('R&amp;S - Packaging and hh goods'!$L$4:$N$4)*('R&amp;S - Packaging and hh goods'!$G10*'R&amp;S - Packaging and hh goods'!$M$14*('R&amp;S - Packaging and hh goods'!$AM$20+('R&amp;S - Packaging and hh goods'!$AM$21-'R&amp;S - Packaging and hh goods'!$AM$20)*(AE$3-$X$3)/10))</f>
        <v>0</v>
      </c>
      <c r="AF32" s="265">
        <f>AF27*'R&amp;S - Packaging and hh goods'!$L$4/SUM('R&amp;S - Packaging and hh goods'!$L$4:$N$4)*('R&amp;S - Packaging and hh goods'!$E10*'R&amp;S - Packaging and hh goods'!$I$14*('R&amp;S - Packaging and hh goods'!$AC$20+('R&amp;S - Packaging and hh goods'!$AC$21-'R&amp;S - Packaging and hh goods'!$AC$20)*(AF$3-$X$3)/10))+AF27*'R&amp;S - Packaging and hh goods'!$M$4/SUM('R&amp;S - Packaging and hh goods'!$L$4:$N$4)*('R&amp;S - Packaging and hh goods'!$F10*'R&amp;S - Packaging and hh goods'!$K$14*('R&amp;S - Packaging and hh goods'!$AH$20+('R&amp;S - Packaging and hh goods'!$AH$21-'R&amp;S - Packaging and hh goods'!$AH$20)*(AF$3-$X$3)/10))+AF27*'R&amp;S - Packaging and hh goods'!$N$4/SUM('R&amp;S - Packaging and hh goods'!$L$4:$N$4)*('R&amp;S - Packaging and hh goods'!$G10*'R&amp;S - Packaging and hh goods'!$M$14*('R&amp;S - Packaging and hh goods'!$AM$20+('R&amp;S - Packaging and hh goods'!$AM$21-'R&amp;S - Packaging and hh goods'!$AM$20)*(AF$3-$X$3)/10))</f>
        <v>0</v>
      </c>
      <c r="AG32" s="265">
        <f>AG27*'R&amp;S - Packaging and hh goods'!$L$4/SUM('R&amp;S - Packaging and hh goods'!$L$4:$N$4)*('R&amp;S - Packaging and hh goods'!$E10*'R&amp;S - Packaging and hh goods'!$I$14*('R&amp;S - Packaging and hh goods'!$AC$20+('R&amp;S - Packaging and hh goods'!$AC$21-'R&amp;S - Packaging and hh goods'!$AC$20)*(AG$3-$X$3)/10))+AG27*'R&amp;S - Packaging and hh goods'!$M$4/SUM('R&amp;S - Packaging and hh goods'!$L$4:$N$4)*('R&amp;S - Packaging and hh goods'!$F10*'R&amp;S - Packaging and hh goods'!$K$14*('R&amp;S - Packaging and hh goods'!$AH$20+('R&amp;S - Packaging and hh goods'!$AH$21-'R&amp;S - Packaging and hh goods'!$AH$20)*(AG$3-$X$3)/10))+AG27*'R&amp;S - Packaging and hh goods'!$N$4/SUM('R&amp;S - Packaging and hh goods'!$L$4:$N$4)*('R&amp;S - Packaging and hh goods'!$G10*'R&amp;S - Packaging and hh goods'!$M$14*('R&amp;S - Packaging and hh goods'!$AM$20+('R&amp;S - Packaging and hh goods'!$AM$21-'R&amp;S - Packaging and hh goods'!$AM$20)*(AG$3-$X$3)/10))</f>
        <v>0</v>
      </c>
      <c r="AH32" s="265">
        <f>AH27*'R&amp;S - Packaging and hh goods'!$L$4/SUM('R&amp;S - Packaging and hh goods'!$L$4:$N$4)*('R&amp;S - Packaging and hh goods'!$E10*'R&amp;S - Packaging and hh goods'!$I$14*('R&amp;S - Packaging and hh goods'!$AC$20+('R&amp;S - Packaging and hh goods'!$AC$21-'R&amp;S - Packaging and hh goods'!$AC$20)*(AH$3-$X$3)/10))+AH27*'R&amp;S - Packaging and hh goods'!$M$4/SUM('R&amp;S - Packaging and hh goods'!$L$4:$N$4)*('R&amp;S - Packaging and hh goods'!$F10*'R&amp;S - Packaging and hh goods'!$K$14*('R&amp;S - Packaging and hh goods'!$AH$20+('R&amp;S - Packaging and hh goods'!$AH$21-'R&amp;S - Packaging and hh goods'!$AH$20)*(AH$3-$X$3)/10))+AH27*'R&amp;S - Packaging and hh goods'!$N$4/SUM('R&amp;S - Packaging and hh goods'!$L$4:$N$4)*('R&amp;S - Packaging and hh goods'!$G10*'R&amp;S - Packaging and hh goods'!$M$14*('R&amp;S - Packaging and hh goods'!$AM$20+('R&amp;S - Packaging and hh goods'!$AM$21-'R&amp;S - Packaging and hh goods'!$AM$20)*(AH$3-$X$3)/10))</f>
        <v>0</v>
      </c>
      <c r="AJ32" s="43">
        <v>0</v>
      </c>
      <c r="AK32" s="43">
        <f>AK31*'R&amp;S - Packaging and hh goods'!$L$4/SUM('R&amp;S - Packaging and hh goods'!$L$4:$N$4)*'R&amp;S - Packaging and hh goods'!$E$10*('R&amp;S - Packaging and hh goods'!$I$15*'R&amp;S - Packaging and hh goods'!$AC$19*(AK$3-$D$3)/10)+AK31*'R&amp;S - Packaging and hh goods'!$M$4/SUM('R&amp;S - Packaging and hh goods'!$L$4:$N$4)*'R&amp;S - Packaging and hh goods'!$F$10*('R&amp;S - Packaging and hh goods'!$K$15*'R&amp;S - Packaging and hh goods'!$AH$19*(AK$3-$D$3)/10)+AK31*'R&amp;S - Packaging and hh goods'!$N$4/SUM('R&amp;S - Packaging and hh goods'!$L$4:$N$4)*'R&amp;S - Packaging and hh goods'!$G$10*('R&amp;S - Packaging and hh goods'!$M$15*'R&amp;S - Packaging and hh goods'!$AM$19*(AK$3-$D$3)/10)</f>
        <v>0</v>
      </c>
      <c r="AL32" s="43">
        <f>AL27*'R&amp;S - Packaging and hh goods'!$L$4/SUM('R&amp;S - Packaging and hh goods'!$L$4:$N$4)*'R&amp;S - Packaging and hh goods'!$E$10*('R&amp;S - Packaging and hh goods'!$I$15*'R&amp;S - Packaging and hh goods'!$AC$19*(AL$3-$D$3)/10)+AL27*'R&amp;S - Packaging and hh goods'!$M$4/SUM('R&amp;S - Packaging and hh goods'!$L$4:$N$4)*'R&amp;S - Packaging and hh goods'!$F$10*('R&amp;S - Packaging and hh goods'!$K$15*'R&amp;S - Packaging and hh goods'!$AH$19*(AL$3-$D$3)/10)+AL27*'R&amp;S - Packaging and hh goods'!$N$4/SUM('R&amp;S - Packaging and hh goods'!$L$4:$N$4)*'R&amp;S - Packaging and hh goods'!$G$10*('R&amp;S - Packaging and hh goods'!$M$15*'R&amp;S - Packaging and hh goods'!$AM$19*(AL$3-$D$3)/10)</f>
        <v>0</v>
      </c>
      <c r="AM32" s="43">
        <f>AM27*'R&amp;S - Packaging and hh goods'!$L$4/SUM('R&amp;S - Packaging and hh goods'!$L$4:$N$4)*'R&amp;S - Packaging and hh goods'!$E$10*('R&amp;S - Packaging and hh goods'!$I$15*'R&amp;S - Packaging and hh goods'!$AC$19*(AM$3-$D$3)/10)+AM27*'R&amp;S - Packaging and hh goods'!$M$4/SUM('R&amp;S - Packaging and hh goods'!$L$4:$N$4)*'R&amp;S - Packaging and hh goods'!$F$10*('R&amp;S - Packaging and hh goods'!$K$15*'R&amp;S - Packaging and hh goods'!$AH$19*(AM$3-$D$3)/10)+AM27*'R&amp;S - Packaging and hh goods'!$N$4/SUM('R&amp;S - Packaging and hh goods'!$L$4:$N$4)*'R&amp;S - Packaging and hh goods'!$G$10*('R&amp;S - Packaging and hh goods'!$M$15*'R&amp;S - Packaging and hh goods'!$AM$19*(AM$3-$D$3)/10)</f>
        <v>0</v>
      </c>
      <c r="AN32" s="43">
        <f>AN27*'R&amp;S - Packaging and hh goods'!$L$4/SUM('R&amp;S - Packaging and hh goods'!$L$4:$N$4)*'R&amp;S - Packaging and hh goods'!$E$10*('R&amp;S - Packaging and hh goods'!$I$15*'R&amp;S - Packaging and hh goods'!$AC$19*(AN$3-$D$3)/10)+AN27*'R&amp;S - Packaging and hh goods'!$M$4/SUM('R&amp;S - Packaging and hh goods'!$L$4:$N$4)*'R&amp;S - Packaging and hh goods'!$F$10*('R&amp;S - Packaging and hh goods'!$K$15*'R&amp;S - Packaging and hh goods'!$AH$19*(AN$3-$D$3)/10)+AN27*'R&amp;S - Packaging and hh goods'!$N$4/SUM('R&amp;S - Packaging and hh goods'!$L$4:$N$4)*'R&amp;S - Packaging and hh goods'!$G$10*('R&amp;S - Packaging and hh goods'!$M$15*'R&amp;S - Packaging and hh goods'!$AM$19*(AN$3-$D$3)/10)</f>
        <v>0</v>
      </c>
      <c r="AO32" s="43">
        <f>AO27*'R&amp;S - Packaging and hh goods'!$L$4/SUM('R&amp;S - Packaging and hh goods'!$L$4:$N$4)*'R&amp;S - Packaging and hh goods'!$E$10*('R&amp;S - Packaging and hh goods'!$I$15*'R&amp;S - Packaging and hh goods'!$AC$19*(AO$3-$D$3)/10)+AO27*'R&amp;S - Packaging and hh goods'!$M$4/SUM('R&amp;S - Packaging and hh goods'!$L$4:$N$4)*'R&amp;S - Packaging and hh goods'!$F$10*('R&amp;S - Packaging and hh goods'!$K$15*'R&amp;S - Packaging and hh goods'!$AH$19*(AO$3-$D$3)/10)+AO27*'R&amp;S - Packaging and hh goods'!$N$4/SUM('R&amp;S - Packaging and hh goods'!$L$4:$N$4)*'R&amp;S - Packaging and hh goods'!$G$10*('R&amp;S - Packaging and hh goods'!$M$15*'R&amp;S - Packaging and hh goods'!$AM$19*(AO$3-$D$3)/10)</f>
        <v>0</v>
      </c>
      <c r="AP32" s="43">
        <f>AP27*'R&amp;S - Packaging and hh goods'!$L$4/SUM('R&amp;S - Packaging and hh goods'!$L$4:$N$4)*'R&amp;S - Packaging and hh goods'!$E$10*('R&amp;S - Packaging and hh goods'!$I$15*'R&amp;S - Packaging and hh goods'!$AC$19*(AP$3-$D$3)/10)+AP27*'R&amp;S - Packaging and hh goods'!$M$4/SUM('R&amp;S - Packaging and hh goods'!$L$4:$N$4)*'R&amp;S - Packaging and hh goods'!$F$10*('R&amp;S - Packaging and hh goods'!$K$15*'R&amp;S - Packaging and hh goods'!$AH$19*(AP$3-$D$3)/10)+AP27*'R&amp;S - Packaging and hh goods'!$N$4/SUM('R&amp;S - Packaging and hh goods'!$L$4:$N$4)*'R&amp;S - Packaging and hh goods'!$G$10*('R&amp;S - Packaging and hh goods'!$M$15*'R&amp;S - Packaging and hh goods'!$AM$19*(AP$3-$D$3)/10)</f>
        <v>0</v>
      </c>
      <c r="AQ32" s="43">
        <f>AQ27*'R&amp;S - Packaging and hh goods'!$L$4/SUM('R&amp;S - Packaging and hh goods'!$L$4:$N$4)*'R&amp;S - Packaging and hh goods'!$E$10*('R&amp;S - Packaging and hh goods'!$I$15*'R&amp;S - Packaging and hh goods'!$AC$19*(AQ$3-$D$3)/10)+AQ27*'R&amp;S - Packaging and hh goods'!$M$4/SUM('R&amp;S - Packaging and hh goods'!$L$4:$N$4)*'R&amp;S - Packaging and hh goods'!$F$10*('R&amp;S - Packaging and hh goods'!$K$15*'R&amp;S - Packaging and hh goods'!$AH$19*(AQ$3-$D$3)/10)+AQ27*'R&amp;S - Packaging and hh goods'!$N$4/SUM('R&amp;S - Packaging and hh goods'!$L$4:$N$4)*'R&amp;S - Packaging and hh goods'!$G$10*('R&amp;S - Packaging and hh goods'!$M$15*'R&amp;S - Packaging and hh goods'!$AM$19*(AQ$3-$D$3)/10)</f>
        <v>0</v>
      </c>
      <c r="AR32" s="43">
        <f>AR27*'R&amp;S - Packaging and hh goods'!$L$4/SUM('R&amp;S - Packaging and hh goods'!$L$4:$N$4)*'R&amp;S - Packaging and hh goods'!$E$10*('R&amp;S - Packaging and hh goods'!$I$15*'R&amp;S - Packaging and hh goods'!$AC$19*(AR$3-$D$3)/10)+AR27*'R&amp;S - Packaging and hh goods'!$M$4/SUM('R&amp;S - Packaging and hh goods'!$L$4:$N$4)*'R&amp;S - Packaging and hh goods'!$F$10*('R&amp;S - Packaging and hh goods'!$K$15*'R&amp;S - Packaging and hh goods'!$AH$19*(AR$3-$D$3)/10)+AR27*'R&amp;S - Packaging and hh goods'!$N$4/SUM('R&amp;S - Packaging and hh goods'!$L$4:$N$4)*'R&amp;S - Packaging and hh goods'!$G$10*('R&amp;S - Packaging and hh goods'!$M$15*'R&amp;S - Packaging and hh goods'!$AM$19*(AR$3-$D$3)/10)</f>
        <v>0</v>
      </c>
      <c r="AS32" s="43">
        <f>AS27*'R&amp;S - Packaging and hh goods'!$L$4/SUM('R&amp;S - Packaging and hh goods'!$L$4:$N$4)*'R&amp;S - Packaging and hh goods'!$E$10*('R&amp;S - Packaging and hh goods'!$I$15*'R&amp;S - Packaging and hh goods'!$AC$19*(AS$3-$D$3)/10)+AS27*'R&amp;S - Packaging and hh goods'!$M$4/SUM('R&amp;S - Packaging and hh goods'!$L$4:$N$4)*'R&amp;S - Packaging and hh goods'!$F$10*('R&amp;S - Packaging and hh goods'!$K$15*'R&amp;S - Packaging and hh goods'!$AH$19*(AS$3-$D$3)/10)+AS27*'R&amp;S - Packaging and hh goods'!$N$4/SUM('R&amp;S - Packaging and hh goods'!$L$4:$N$4)*'R&amp;S - Packaging and hh goods'!$G$10*('R&amp;S - Packaging and hh goods'!$M$15*'R&amp;S - Packaging and hh goods'!$AM$19*(AS$3-$D$3)/10)</f>
        <v>0</v>
      </c>
      <c r="AT32" s="43">
        <f>AT27*'R&amp;S - Packaging and hh goods'!$L$4/SUM('R&amp;S - Packaging and hh goods'!$L$4:$N$4)*'R&amp;S - Packaging and hh goods'!$E$10*('R&amp;S - Packaging and hh goods'!$I$15*'R&amp;S - Packaging and hh goods'!$AC$19*(AT$3-$D$3)/10)+AT27*'R&amp;S - Packaging and hh goods'!$M$4/SUM('R&amp;S - Packaging and hh goods'!$L$4:$N$4)*'R&amp;S - Packaging and hh goods'!$F$10*('R&amp;S - Packaging and hh goods'!$K$15*'R&amp;S - Packaging and hh goods'!$AH$19*(AT$3-$D$3)/10)+AT27*'R&amp;S - Packaging and hh goods'!$N$4/SUM('R&amp;S - Packaging and hh goods'!$L$4:$N$4)*'R&amp;S - Packaging and hh goods'!$G$10*('R&amp;S - Packaging and hh goods'!$M$15*'R&amp;S - Packaging and hh goods'!$AM$19*(AT$3-$D$3)/10)</f>
        <v>0</v>
      </c>
      <c r="AU32" s="265">
        <f>AU27*'R&amp;S - Packaging and hh goods'!$L$4/SUM('R&amp;S - Packaging and hh goods'!$L$4:$N$4)*('R&amp;S - Packaging and hh goods'!$E$10*'R&amp;S - Packaging and hh goods'!$I$15*('R&amp;S - Packaging and hh goods'!$AC$19+('R&amp;S - Packaging and hh goods'!$AC$20-'R&amp;S - Packaging and hh goods'!$AC$19)*(AU$3-$N$3)/10))+AU27*'R&amp;S - Packaging and hh goods'!$M$4/SUM('R&amp;S - Packaging and hh goods'!$L$4:$N$4)*('R&amp;S - Packaging and hh goods'!$F$10*'R&amp;S - Packaging and hh goods'!$K$15*('R&amp;S - Packaging and hh goods'!$AH$19+('R&amp;S - Packaging and hh goods'!$AH$20-'R&amp;S - Packaging and hh goods'!$AH$19)*(AU$3-$N$3)/10))+AU27*'R&amp;S - Packaging and hh goods'!$N$4/SUM('R&amp;S - Packaging and hh goods'!$L$4:$N$4)*('R&amp;S - Packaging and hh goods'!$G$10*'R&amp;S - Packaging and hh goods'!$M$15*('R&amp;S - Packaging and hh goods'!$AM$19+('R&amp;S - Packaging and hh goods'!$AM$20-'R&amp;S - Packaging and hh goods'!$AM$19)*(AU$3-$N$3)/10))</f>
        <v>0</v>
      </c>
      <c r="AV32" s="265">
        <f>AV27*'R&amp;S - Packaging and hh goods'!$L$4/SUM('R&amp;S - Packaging and hh goods'!$L$4:$N$4)*('R&amp;S - Packaging and hh goods'!$E$10*'R&amp;S - Packaging and hh goods'!$I$15*('R&amp;S - Packaging and hh goods'!$AC$19+('R&amp;S - Packaging and hh goods'!$AC$20-'R&amp;S - Packaging and hh goods'!$AC$19)*(AV$3-$N$3)/10))+AV27*'R&amp;S - Packaging and hh goods'!$M$4/SUM('R&amp;S - Packaging and hh goods'!$L$4:$N$4)*('R&amp;S - Packaging and hh goods'!$F$10*'R&amp;S - Packaging and hh goods'!$K$15*('R&amp;S - Packaging and hh goods'!$AH$19+('R&amp;S - Packaging and hh goods'!$AH$20-'R&amp;S - Packaging and hh goods'!$AH$19)*(AV$3-$N$3)/10))+AV27*'R&amp;S - Packaging and hh goods'!$N$4/SUM('R&amp;S - Packaging and hh goods'!$L$4:$N$4)*('R&amp;S - Packaging and hh goods'!$G$10*'R&amp;S - Packaging and hh goods'!$M$15*('R&amp;S - Packaging and hh goods'!$AM$19+('R&amp;S - Packaging and hh goods'!$AM$20-'R&amp;S - Packaging and hh goods'!$AM$19)*(AV$3-$N$3)/10))</f>
        <v>0</v>
      </c>
      <c r="AW32" s="265">
        <f>AW27*'R&amp;S - Packaging and hh goods'!$L$4/SUM('R&amp;S - Packaging and hh goods'!$L$4:$N$4)*('R&amp;S - Packaging and hh goods'!$E$10*'R&amp;S - Packaging and hh goods'!$I$15*('R&amp;S - Packaging and hh goods'!$AC$19+('R&amp;S - Packaging and hh goods'!$AC$20-'R&amp;S - Packaging and hh goods'!$AC$19)*(AW$3-$N$3)/10))+AW27*'R&amp;S - Packaging and hh goods'!$M$4/SUM('R&amp;S - Packaging and hh goods'!$L$4:$N$4)*('R&amp;S - Packaging and hh goods'!$F$10*'R&amp;S - Packaging and hh goods'!$K$15*('R&amp;S - Packaging and hh goods'!$AH$19+('R&amp;S - Packaging and hh goods'!$AH$20-'R&amp;S - Packaging and hh goods'!$AH$19)*(AW$3-$N$3)/10))+AW27*'R&amp;S - Packaging and hh goods'!$N$4/SUM('R&amp;S - Packaging and hh goods'!$L$4:$N$4)*('R&amp;S - Packaging and hh goods'!$G$10*'R&amp;S - Packaging and hh goods'!$M$15*('R&amp;S - Packaging and hh goods'!$AM$19+('R&amp;S - Packaging and hh goods'!$AM$20-'R&amp;S - Packaging and hh goods'!$AM$19)*(AW$3-$N$3)/10))</f>
        <v>0</v>
      </c>
      <c r="AX32" s="265">
        <f>AX27*'R&amp;S - Packaging and hh goods'!$L$4/SUM('R&amp;S - Packaging and hh goods'!$L$4:$N$4)*('R&amp;S - Packaging and hh goods'!$E$10*'R&amp;S - Packaging and hh goods'!$I$15*('R&amp;S - Packaging and hh goods'!$AC$19+('R&amp;S - Packaging and hh goods'!$AC$20-'R&amp;S - Packaging and hh goods'!$AC$19)*(AX$3-$N$3)/10))+AX27*'R&amp;S - Packaging and hh goods'!$M$4/SUM('R&amp;S - Packaging and hh goods'!$L$4:$N$4)*('R&amp;S - Packaging and hh goods'!$F$10*'R&amp;S - Packaging and hh goods'!$K$15*('R&amp;S - Packaging and hh goods'!$AH$19+('R&amp;S - Packaging and hh goods'!$AH$20-'R&amp;S - Packaging and hh goods'!$AH$19)*(AX$3-$N$3)/10))+AX27*'R&amp;S - Packaging and hh goods'!$N$4/SUM('R&amp;S - Packaging and hh goods'!$L$4:$N$4)*('R&amp;S - Packaging and hh goods'!$G$10*'R&amp;S - Packaging and hh goods'!$M$15*('R&amp;S - Packaging and hh goods'!$AM$19+('R&amp;S - Packaging and hh goods'!$AM$20-'R&amp;S - Packaging and hh goods'!$AM$19)*(AX$3-$N$3)/10))</f>
        <v>0</v>
      </c>
      <c r="AY32" s="265">
        <f>AY27*'R&amp;S - Packaging and hh goods'!$L$4/SUM('R&amp;S - Packaging and hh goods'!$L$4:$N$4)*('R&amp;S - Packaging and hh goods'!$E$10*'R&amp;S - Packaging and hh goods'!$I$15*('R&amp;S - Packaging and hh goods'!$AC$19+('R&amp;S - Packaging and hh goods'!$AC$20-'R&amp;S - Packaging and hh goods'!$AC$19)*(AY$3-$N$3)/10))+AY27*'R&amp;S - Packaging and hh goods'!$M$4/SUM('R&amp;S - Packaging and hh goods'!$L$4:$N$4)*('R&amp;S - Packaging and hh goods'!$F$10*'R&amp;S - Packaging and hh goods'!$K$15*('R&amp;S - Packaging and hh goods'!$AH$19+('R&amp;S - Packaging and hh goods'!$AH$20-'R&amp;S - Packaging and hh goods'!$AH$19)*(AY$3-$N$3)/10))+AY27*'R&amp;S - Packaging and hh goods'!$N$4/SUM('R&amp;S - Packaging and hh goods'!$L$4:$N$4)*('R&amp;S - Packaging and hh goods'!$G$10*'R&amp;S - Packaging and hh goods'!$M$15*('R&amp;S - Packaging and hh goods'!$AM$19+('R&amp;S - Packaging and hh goods'!$AM$20-'R&amp;S - Packaging and hh goods'!$AM$19)*(AY$3-$N$3)/10))</f>
        <v>0</v>
      </c>
      <c r="AZ32" s="265">
        <f>AZ27*'R&amp;S - Packaging and hh goods'!$L$4/SUM('R&amp;S - Packaging and hh goods'!$L$4:$N$4)*('R&amp;S - Packaging and hh goods'!$E$10*'R&amp;S - Packaging and hh goods'!$I$15*('R&amp;S - Packaging and hh goods'!$AC$19+('R&amp;S - Packaging and hh goods'!$AC$20-'R&amp;S - Packaging and hh goods'!$AC$19)*(AZ$3-$N$3)/10))+AZ27*'R&amp;S - Packaging and hh goods'!$M$4/SUM('R&amp;S - Packaging and hh goods'!$L$4:$N$4)*('R&amp;S - Packaging and hh goods'!$F$10*'R&amp;S - Packaging and hh goods'!$K$15*('R&amp;S - Packaging and hh goods'!$AH$19+('R&amp;S - Packaging and hh goods'!$AH$20-'R&amp;S - Packaging and hh goods'!$AH$19)*(AZ$3-$N$3)/10))+AZ27*'R&amp;S - Packaging and hh goods'!$N$4/SUM('R&amp;S - Packaging and hh goods'!$L$4:$N$4)*('R&amp;S - Packaging and hh goods'!$G$10*'R&amp;S - Packaging and hh goods'!$M$15*('R&amp;S - Packaging and hh goods'!$AM$19+('R&amp;S - Packaging and hh goods'!$AM$20-'R&amp;S - Packaging and hh goods'!$AM$19)*(AZ$3-$N$3)/10))</f>
        <v>0</v>
      </c>
      <c r="BA32" s="265">
        <f>BA27*'R&amp;S - Packaging and hh goods'!$L$4/SUM('R&amp;S - Packaging and hh goods'!$L$4:$N$4)*('R&amp;S - Packaging and hh goods'!$E$10*'R&amp;S - Packaging and hh goods'!$I$15*('R&amp;S - Packaging and hh goods'!$AC$19+('R&amp;S - Packaging and hh goods'!$AC$20-'R&amp;S - Packaging and hh goods'!$AC$19)*(BA$3-$N$3)/10))+BA27*'R&amp;S - Packaging and hh goods'!$M$4/SUM('R&amp;S - Packaging and hh goods'!$L$4:$N$4)*('R&amp;S - Packaging and hh goods'!$F$10*'R&amp;S - Packaging and hh goods'!$K$15*('R&amp;S - Packaging and hh goods'!$AH$19+('R&amp;S - Packaging and hh goods'!$AH$20-'R&amp;S - Packaging and hh goods'!$AH$19)*(BA$3-$N$3)/10))+BA27*'R&amp;S - Packaging and hh goods'!$N$4/SUM('R&amp;S - Packaging and hh goods'!$L$4:$N$4)*('R&amp;S - Packaging and hh goods'!$G$10*'R&amp;S - Packaging and hh goods'!$M$15*('R&amp;S - Packaging and hh goods'!$AM$19+('R&amp;S - Packaging and hh goods'!$AM$20-'R&amp;S - Packaging and hh goods'!$AM$19)*(BA$3-$N$3)/10))</f>
        <v>0</v>
      </c>
      <c r="BB32" s="265">
        <f>BB27*'R&amp;S - Packaging and hh goods'!$L$4/SUM('R&amp;S - Packaging and hh goods'!$L$4:$N$4)*('R&amp;S - Packaging and hh goods'!$E$10*'R&amp;S - Packaging and hh goods'!$I$15*('R&amp;S - Packaging and hh goods'!$AC$19+('R&amp;S - Packaging and hh goods'!$AC$20-'R&amp;S - Packaging and hh goods'!$AC$19)*(BB$3-$N$3)/10))+BB27*'R&amp;S - Packaging and hh goods'!$M$4/SUM('R&amp;S - Packaging and hh goods'!$L$4:$N$4)*('R&amp;S - Packaging and hh goods'!$F$10*'R&amp;S - Packaging and hh goods'!$K$15*('R&amp;S - Packaging and hh goods'!$AH$19+('R&amp;S - Packaging and hh goods'!$AH$20-'R&amp;S - Packaging and hh goods'!$AH$19)*(BB$3-$N$3)/10))+BB27*'R&amp;S - Packaging and hh goods'!$N$4/SUM('R&amp;S - Packaging and hh goods'!$L$4:$N$4)*('R&amp;S - Packaging and hh goods'!$G$10*'R&amp;S - Packaging and hh goods'!$M$15*('R&amp;S - Packaging and hh goods'!$AM$19+('R&amp;S - Packaging and hh goods'!$AM$20-'R&amp;S - Packaging and hh goods'!$AM$19)*(BB$3-$N$3)/10))</f>
        <v>0</v>
      </c>
      <c r="BC32" s="265">
        <f>BC27*'R&amp;S - Packaging and hh goods'!$L$4/SUM('R&amp;S - Packaging and hh goods'!$L$4:$N$4)*('R&amp;S - Packaging and hh goods'!$E$10*'R&amp;S - Packaging and hh goods'!$I$15*('R&amp;S - Packaging and hh goods'!$AC$19+('R&amp;S - Packaging and hh goods'!$AC$20-'R&amp;S - Packaging and hh goods'!$AC$19)*(BC$3-$N$3)/10))+BC27*'R&amp;S - Packaging and hh goods'!$M$4/SUM('R&amp;S - Packaging and hh goods'!$L$4:$N$4)*('R&amp;S - Packaging and hh goods'!$F$10*'R&amp;S - Packaging and hh goods'!$K$15*('R&amp;S - Packaging and hh goods'!$AH$19+('R&amp;S - Packaging and hh goods'!$AH$20-'R&amp;S - Packaging and hh goods'!$AH$19)*(BC$3-$N$3)/10))+BC27*'R&amp;S - Packaging and hh goods'!$N$4/SUM('R&amp;S - Packaging and hh goods'!$L$4:$N$4)*('R&amp;S - Packaging and hh goods'!$G$10*'R&amp;S - Packaging and hh goods'!$M$15*('R&amp;S - Packaging and hh goods'!$AM$19+('R&amp;S - Packaging and hh goods'!$AM$20-'R&amp;S - Packaging and hh goods'!$AM$19)*(BC$3-$N$3)/10))</f>
        <v>0</v>
      </c>
      <c r="BD32" s="265">
        <f>BD27*'R&amp;S - Packaging and hh goods'!$L$4/SUM('R&amp;S - Packaging and hh goods'!$L$4:$N$4)*('R&amp;S - Packaging and hh goods'!$E$10*'R&amp;S - Packaging and hh goods'!$I$15*('R&amp;S - Packaging and hh goods'!$AC$19+('R&amp;S - Packaging and hh goods'!$AC$20-'R&amp;S - Packaging and hh goods'!$AC$19)*(BD$3-$N$3)/10))+BD27*'R&amp;S - Packaging and hh goods'!$M$4/SUM('R&amp;S - Packaging and hh goods'!$L$4:$N$4)*('R&amp;S - Packaging and hh goods'!$F$10*'R&amp;S - Packaging and hh goods'!$K$15*('R&amp;S - Packaging and hh goods'!$AH$19+('R&amp;S - Packaging and hh goods'!$AH$20-'R&amp;S - Packaging and hh goods'!$AH$19)*(BD$3-$N$3)/10))+BD27*'R&amp;S - Packaging and hh goods'!$N$4/SUM('R&amp;S - Packaging and hh goods'!$L$4:$N$4)*('R&amp;S - Packaging and hh goods'!$G$10*'R&amp;S - Packaging and hh goods'!$M$15*('R&amp;S - Packaging and hh goods'!$AM$19+('R&amp;S - Packaging and hh goods'!$AM$20-'R&amp;S - Packaging and hh goods'!$AM$19)*(BD$3-$N$3)/10))</f>
        <v>0</v>
      </c>
      <c r="BE32" s="265">
        <f>BE27*'R&amp;S - Packaging and hh goods'!$L$4/SUM('R&amp;S - Packaging and hh goods'!$L$4:$N$4)*('R&amp;S - Packaging and hh goods'!$E10*'R&amp;S - Packaging and hh goods'!$I$15*('R&amp;S - Packaging and hh goods'!$AC$20+('R&amp;S - Packaging and hh goods'!$AC$21-'R&amp;S - Packaging and hh goods'!$AC$20)*(BE$3-$X$3)/10))+BE27*'R&amp;S - Packaging and hh goods'!$M$4/SUM('R&amp;S - Packaging and hh goods'!$L$4:$N$4)*('R&amp;S - Packaging and hh goods'!$F10*'R&amp;S - Packaging and hh goods'!$K$15*('R&amp;S - Packaging and hh goods'!$AH$20+('R&amp;S - Packaging and hh goods'!$AH$21-'R&amp;S - Packaging and hh goods'!$AH$20)*(BE$3-$X$3)/10))+BE27*'R&amp;S - Packaging and hh goods'!$N$4/SUM('R&amp;S - Packaging and hh goods'!$L$4:$N$4)*('R&amp;S - Packaging and hh goods'!$G10*'R&amp;S - Packaging and hh goods'!$M$15*('R&amp;S - Packaging and hh goods'!$AM$20+('R&amp;S - Packaging and hh goods'!$AM$21-'R&amp;S - Packaging and hh goods'!$AM$20)*(BE$3-$X$3)/10))</f>
        <v>0</v>
      </c>
      <c r="BF32" s="265">
        <f>BF27*'R&amp;S - Packaging and hh goods'!$L$4/SUM('R&amp;S - Packaging and hh goods'!$L$4:$N$4)*('R&amp;S - Packaging and hh goods'!$E10*'R&amp;S - Packaging and hh goods'!$I$15*('R&amp;S - Packaging and hh goods'!$AC$20+('R&amp;S - Packaging and hh goods'!$AC$21-'R&amp;S - Packaging and hh goods'!$AC$20)*(BF$3-$X$3)/10))+BF27*'R&amp;S - Packaging and hh goods'!$M$4/SUM('R&amp;S - Packaging and hh goods'!$L$4:$N$4)*('R&amp;S - Packaging and hh goods'!$F10*'R&amp;S - Packaging and hh goods'!$K$15*('R&amp;S - Packaging and hh goods'!$AH$20+('R&amp;S - Packaging and hh goods'!$AH$21-'R&amp;S - Packaging and hh goods'!$AH$20)*(BF$3-$X$3)/10))+BF27*'R&amp;S - Packaging and hh goods'!$N$4/SUM('R&amp;S - Packaging and hh goods'!$L$4:$N$4)*('R&amp;S - Packaging and hh goods'!$G10*'R&amp;S - Packaging and hh goods'!$M$15*('R&amp;S - Packaging and hh goods'!$AM$20+('R&amp;S - Packaging and hh goods'!$AM$21-'R&amp;S - Packaging and hh goods'!$AM$20)*(BF$3-$X$3)/10))</f>
        <v>0</v>
      </c>
      <c r="BG32" s="265">
        <f>BG27*'R&amp;S - Packaging and hh goods'!$L$4/SUM('R&amp;S - Packaging and hh goods'!$L$4:$N$4)*('R&amp;S - Packaging and hh goods'!$E10*'R&amp;S - Packaging and hh goods'!$I$15*('R&amp;S - Packaging and hh goods'!$AC$20+('R&amp;S - Packaging and hh goods'!$AC$21-'R&amp;S - Packaging and hh goods'!$AC$20)*(BG$3-$X$3)/10))+BG27*'R&amp;S - Packaging and hh goods'!$M$4/SUM('R&amp;S - Packaging and hh goods'!$L$4:$N$4)*('R&amp;S - Packaging and hh goods'!$F10*'R&amp;S - Packaging and hh goods'!$K$15*('R&amp;S - Packaging and hh goods'!$AH$20+('R&amp;S - Packaging and hh goods'!$AH$21-'R&amp;S - Packaging and hh goods'!$AH$20)*(BG$3-$X$3)/10))+BG27*'R&amp;S - Packaging and hh goods'!$N$4/SUM('R&amp;S - Packaging and hh goods'!$L$4:$N$4)*('R&amp;S - Packaging and hh goods'!$G10*'R&amp;S - Packaging and hh goods'!$M$15*('R&amp;S - Packaging and hh goods'!$AM$20+('R&amp;S - Packaging and hh goods'!$AM$21-'R&amp;S - Packaging and hh goods'!$AM$20)*(BG$3-$X$3)/10))</f>
        <v>0</v>
      </c>
      <c r="BH32" s="265">
        <f>BH27*'R&amp;S - Packaging and hh goods'!$L$4/SUM('R&amp;S - Packaging and hh goods'!$L$4:$N$4)*('R&amp;S - Packaging and hh goods'!$E10*'R&amp;S - Packaging and hh goods'!$I$15*('R&amp;S - Packaging and hh goods'!$AC$20+('R&amp;S - Packaging and hh goods'!$AC$21-'R&amp;S - Packaging and hh goods'!$AC$20)*(BH$3-$X$3)/10))+BH27*'R&amp;S - Packaging and hh goods'!$M$4/SUM('R&amp;S - Packaging and hh goods'!$L$4:$N$4)*('R&amp;S - Packaging and hh goods'!$F10*'R&amp;S - Packaging and hh goods'!$K$15*('R&amp;S - Packaging and hh goods'!$AH$20+('R&amp;S - Packaging and hh goods'!$AH$21-'R&amp;S - Packaging and hh goods'!$AH$20)*(BH$3-$X$3)/10))+BH27*'R&amp;S - Packaging and hh goods'!$N$4/SUM('R&amp;S - Packaging and hh goods'!$L$4:$N$4)*('R&amp;S - Packaging and hh goods'!$G10*'R&amp;S - Packaging and hh goods'!$M$15*('R&amp;S - Packaging and hh goods'!$AM$20+('R&amp;S - Packaging and hh goods'!$AM$21-'R&amp;S - Packaging and hh goods'!$AM$20)*(BH$3-$X$3)/10))</f>
        <v>0</v>
      </c>
      <c r="BI32" s="265">
        <f>BI27*'R&amp;S - Packaging and hh goods'!$L$4/SUM('R&amp;S - Packaging and hh goods'!$L$4:$N$4)*('R&amp;S - Packaging and hh goods'!$E10*'R&amp;S - Packaging and hh goods'!$I$15*('R&amp;S - Packaging and hh goods'!$AC$20+('R&amp;S - Packaging and hh goods'!$AC$21-'R&amp;S - Packaging and hh goods'!$AC$20)*(BI$3-$X$3)/10))+BI27*'R&amp;S - Packaging and hh goods'!$M$4/SUM('R&amp;S - Packaging and hh goods'!$L$4:$N$4)*('R&amp;S - Packaging and hh goods'!$F10*'R&amp;S - Packaging and hh goods'!$K$15*('R&amp;S - Packaging and hh goods'!$AH$20+('R&amp;S - Packaging and hh goods'!$AH$21-'R&amp;S - Packaging and hh goods'!$AH$20)*(BI$3-$X$3)/10))+BI27*'R&amp;S - Packaging and hh goods'!$N$4/SUM('R&amp;S - Packaging and hh goods'!$L$4:$N$4)*('R&amp;S - Packaging and hh goods'!$G10*'R&amp;S - Packaging and hh goods'!$M$15*('R&amp;S - Packaging and hh goods'!$AM$20+('R&amp;S - Packaging and hh goods'!$AM$21-'R&amp;S - Packaging and hh goods'!$AM$20)*(BI$3-$X$3)/10))</f>
        <v>0</v>
      </c>
      <c r="BJ32" s="265">
        <f>BJ27*'R&amp;S - Packaging and hh goods'!$L$4/SUM('R&amp;S - Packaging and hh goods'!$L$4:$N$4)*('R&amp;S - Packaging and hh goods'!$E10*'R&amp;S - Packaging and hh goods'!$I$15*('R&amp;S - Packaging and hh goods'!$AC$20+('R&amp;S - Packaging and hh goods'!$AC$21-'R&amp;S - Packaging and hh goods'!$AC$20)*(BJ$3-$X$3)/10))+BJ27*'R&amp;S - Packaging and hh goods'!$M$4/SUM('R&amp;S - Packaging and hh goods'!$L$4:$N$4)*('R&amp;S - Packaging and hh goods'!$F10*'R&amp;S - Packaging and hh goods'!$K$15*('R&amp;S - Packaging and hh goods'!$AH$20+('R&amp;S - Packaging and hh goods'!$AH$21-'R&amp;S - Packaging and hh goods'!$AH$20)*(BJ$3-$X$3)/10))+BJ27*'R&amp;S - Packaging and hh goods'!$N$4/SUM('R&amp;S - Packaging and hh goods'!$L$4:$N$4)*('R&amp;S - Packaging and hh goods'!$G10*'R&amp;S - Packaging and hh goods'!$M$15*('R&amp;S - Packaging and hh goods'!$AM$20+('R&amp;S - Packaging and hh goods'!$AM$21-'R&amp;S - Packaging and hh goods'!$AM$20)*(BJ$3-$X$3)/10))</f>
        <v>0</v>
      </c>
      <c r="BK32" s="265">
        <f>BK27*'R&amp;S - Packaging and hh goods'!$L$4/SUM('R&amp;S - Packaging and hh goods'!$L$4:$N$4)*('R&amp;S - Packaging and hh goods'!$E10*'R&amp;S - Packaging and hh goods'!$I$15*('R&amp;S - Packaging and hh goods'!$AC$20+('R&amp;S - Packaging and hh goods'!$AC$21-'R&amp;S - Packaging and hh goods'!$AC$20)*(BK$3-$X$3)/10))+BK27*'R&amp;S - Packaging and hh goods'!$M$4/SUM('R&amp;S - Packaging and hh goods'!$L$4:$N$4)*('R&amp;S - Packaging and hh goods'!$F10*'R&amp;S - Packaging and hh goods'!$K$15*('R&amp;S - Packaging and hh goods'!$AH$20+('R&amp;S - Packaging and hh goods'!$AH$21-'R&amp;S - Packaging and hh goods'!$AH$20)*(BK$3-$X$3)/10))+BK27*'R&amp;S - Packaging and hh goods'!$N$4/SUM('R&amp;S - Packaging and hh goods'!$L$4:$N$4)*('R&amp;S - Packaging and hh goods'!$G10*'R&amp;S - Packaging and hh goods'!$M$15*('R&amp;S - Packaging and hh goods'!$AM$20+('R&amp;S - Packaging and hh goods'!$AM$21-'R&amp;S - Packaging and hh goods'!$AM$20)*(BK$3-$X$3)/10))</f>
        <v>0</v>
      </c>
      <c r="BL32" s="265">
        <f>BL27*'R&amp;S - Packaging and hh goods'!$L$4/SUM('R&amp;S - Packaging and hh goods'!$L$4:$N$4)*('R&amp;S - Packaging and hh goods'!$E10*'R&amp;S - Packaging and hh goods'!$I$15*('R&amp;S - Packaging and hh goods'!$AC$20+('R&amp;S - Packaging and hh goods'!$AC$21-'R&amp;S - Packaging and hh goods'!$AC$20)*(BL$3-$X$3)/10))+BL27*'R&amp;S - Packaging and hh goods'!$M$4/SUM('R&amp;S - Packaging and hh goods'!$L$4:$N$4)*('R&amp;S - Packaging and hh goods'!$F10*'R&amp;S - Packaging and hh goods'!$K$15*('R&amp;S - Packaging and hh goods'!$AH$20+('R&amp;S - Packaging and hh goods'!$AH$21-'R&amp;S - Packaging and hh goods'!$AH$20)*(BL$3-$X$3)/10))+BL27*'R&amp;S - Packaging and hh goods'!$N$4/SUM('R&amp;S - Packaging and hh goods'!$L$4:$N$4)*('R&amp;S - Packaging and hh goods'!$G10*'R&amp;S - Packaging and hh goods'!$M$15*('R&amp;S - Packaging and hh goods'!$AM$20+('R&amp;S - Packaging and hh goods'!$AM$21-'R&amp;S - Packaging and hh goods'!$AM$20)*(BL$3-$X$3)/10))</f>
        <v>0</v>
      </c>
      <c r="BM32" s="265">
        <f>BM27*'R&amp;S - Packaging and hh goods'!$L$4/SUM('R&amp;S - Packaging and hh goods'!$L$4:$N$4)*('R&amp;S - Packaging and hh goods'!$E10*'R&amp;S - Packaging and hh goods'!$I$15*('R&amp;S - Packaging and hh goods'!$AC$20+('R&amp;S - Packaging and hh goods'!$AC$21-'R&amp;S - Packaging and hh goods'!$AC$20)*(BM$3-$X$3)/10))+BM27*'R&amp;S - Packaging and hh goods'!$M$4/SUM('R&amp;S - Packaging and hh goods'!$L$4:$N$4)*('R&amp;S - Packaging and hh goods'!$F10*'R&amp;S - Packaging and hh goods'!$K$15*('R&amp;S - Packaging and hh goods'!$AH$20+('R&amp;S - Packaging and hh goods'!$AH$21-'R&amp;S - Packaging and hh goods'!$AH$20)*(BM$3-$X$3)/10))+BM27*'R&amp;S - Packaging and hh goods'!$N$4/SUM('R&amp;S - Packaging and hh goods'!$L$4:$N$4)*('R&amp;S - Packaging and hh goods'!$G10*'R&amp;S - Packaging and hh goods'!$M$15*('R&amp;S - Packaging and hh goods'!$AM$20+('R&amp;S - Packaging and hh goods'!$AM$21-'R&amp;S - Packaging and hh goods'!$AM$20)*(BM$3-$X$3)/10))</f>
        <v>0</v>
      </c>
      <c r="BN32" s="265">
        <f>BN27*'R&amp;S - Packaging and hh goods'!$L$4/SUM('R&amp;S - Packaging and hh goods'!$L$4:$N$4)*('R&amp;S - Packaging and hh goods'!$E10*'R&amp;S - Packaging and hh goods'!$I$15*('R&amp;S - Packaging and hh goods'!$AC$20+('R&amp;S - Packaging and hh goods'!$AC$21-'R&amp;S - Packaging and hh goods'!$AC$20)*(BN$3-$X$3)/10))+BN27*'R&amp;S - Packaging and hh goods'!$M$4/SUM('R&amp;S - Packaging and hh goods'!$L$4:$N$4)*('R&amp;S - Packaging and hh goods'!$F10*'R&amp;S - Packaging and hh goods'!$K$15*('R&amp;S - Packaging and hh goods'!$AH$20+('R&amp;S - Packaging and hh goods'!$AH$21-'R&amp;S - Packaging and hh goods'!$AH$20)*(BN$3-$X$3)/10))+BN27*'R&amp;S - Packaging and hh goods'!$N$4/SUM('R&amp;S - Packaging and hh goods'!$L$4:$N$4)*('R&amp;S - Packaging and hh goods'!$G10*'R&amp;S - Packaging and hh goods'!$M$15*('R&amp;S - Packaging and hh goods'!$AM$20+('R&amp;S - Packaging and hh goods'!$AM$21-'R&amp;S - Packaging and hh goods'!$AM$20)*(BN$3-$X$3)/10))</f>
        <v>0</v>
      </c>
      <c r="BR32" t="s">
        <v>192</v>
      </c>
      <c r="BS32" s="44" t="e">
        <f>#REF!</f>
        <v>#REF!</v>
      </c>
      <c r="BU32" t="str">
        <v>Other</v>
      </c>
      <c r="BV32" s="44">
        <v>24.045360628442481</v>
      </c>
      <c r="BW32" s="2">
        <v>0.23105973583426512</v>
      </c>
    </row>
    <row r="33" spans="1:75" outlineLevel="1">
      <c r="B33" s="1" t="s">
        <v>172</v>
      </c>
      <c r="C33" s="54" t="s">
        <v>153</v>
      </c>
      <c r="D33" s="43">
        <f>SUM(D31:D32)</f>
        <v>0</v>
      </c>
      <c r="E33" s="43">
        <f t="shared" ref="E33:Y33" si="27">SUM(E31:E32)</f>
        <v>0</v>
      </c>
      <c r="F33" s="43">
        <f t="shared" si="27"/>
        <v>0</v>
      </c>
      <c r="G33" s="43">
        <f t="shared" si="27"/>
        <v>0</v>
      </c>
      <c r="H33" s="43">
        <f t="shared" si="27"/>
        <v>0</v>
      </c>
      <c r="I33" s="43">
        <f t="shared" si="27"/>
        <v>0</v>
      </c>
      <c r="J33" s="43">
        <f t="shared" si="27"/>
        <v>0</v>
      </c>
      <c r="K33" s="43">
        <f t="shared" si="27"/>
        <v>0</v>
      </c>
      <c r="L33" s="43">
        <f t="shared" si="27"/>
        <v>0</v>
      </c>
      <c r="M33" s="43">
        <f t="shared" si="27"/>
        <v>0</v>
      </c>
      <c r="N33" s="43">
        <f t="shared" si="27"/>
        <v>0</v>
      </c>
      <c r="O33" s="265">
        <f t="shared" si="27"/>
        <v>0</v>
      </c>
      <c r="P33" s="265">
        <f t="shared" ref="P33:X33" si="28">SUM(P31:P32)</f>
        <v>0</v>
      </c>
      <c r="Q33" s="265">
        <f t="shared" si="28"/>
        <v>0</v>
      </c>
      <c r="R33" s="265">
        <f t="shared" si="28"/>
        <v>0</v>
      </c>
      <c r="S33" s="265">
        <f t="shared" si="28"/>
        <v>0</v>
      </c>
      <c r="T33" s="265">
        <f t="shared" si="28"/>
        <v>0</v>
      </c>
      <c r="U33" s="265">
        <f t="shared" si="28"/>
        <v>0</v>
      </c>
      <c r="V33" s="265">
        <f t="shared" si="28"/>
        <v>0</v>
      </c>
      <c r="W33" s="265">
        <f t="shared" si="28"/>
        <v>0</v>
      </c>
      <c r="X33" s="265">
        <f t="shared" si="28"/>
        <v>0</v>
      </c>
      <c r="Y33" s="265">
        <f t="shared" si="27"/>
        <v>0</v>
      </c>
      <c r="Z33" s="265">
        <f t="shared" ref="Z33:AH33" si="29">SUM(Z31:Z32)</f>
        <v>0</v>
      </c>
      <c r="AA33" s="265">
        <f t="shared" si="29"/>
        <v>0</v>
      </c>
      <c r="AB33" s="265">
        <f t="shared" si="29"/>
        <v>0</v>
      </c>
      <c r="AC33" s="265">
        <f t="shared" si="29"/>
        <v>0</v>
      </c>
      <c r="AD33" s="265">
        <f t="shared" si="29"/>
        <v>0</v>
      </c>
      <c r="AE33" s="265">
        <f t="shared" si="29"/>
        <v>0</v>
      </c>
      <c r="AF33" s="265">
        <f t="shared" si="29"/>
        <v>0</v>
      </c>
      <c r="AG33" s="265">
        <f t="shared" si="29"/>
        <v>0</v>
      </c>
      <c r="AH33" s="265">
        <f t="shared" si="29"/>
        <v>0</v>
      </c>
      <c r="AJ33" s="43">
        <f>SUM(AJ31:AJ32)</f>
        <v>0</v>
      </c>
      <c r="AK33" s="43">
        <f t="shared" ref="AK33:BN33" si="30">SUM(AK31:AK32)</f>
        <v>0</v>
      </c>
      <c r="AL33" s="43">
        <f t="shared" si="30"/>
        <v>0</v>
      </c>
      <c r="AM33" s="43">
        <f t="shared" si="30"/>
        <v>0</v>
      </c>
      <c r="AN33" s="43">
        <f t="shared" si="30"/>
        <v>0</v>
      </c>
      <c r="AO33" s="43">
        <f t="shared" si="30"/>
        <v>0</v>
      </c>
      <c r="AP33" s="43">
        <f t="shared" si="30"/>
        <v>0</v>
      </c>
      <c r="AQ33" s="43">
        <f t="shared" si="30"/>
        <v>0</v>
      </c>
      <c r="AR33" s="43">
        <f t="shared" si="30"/>
        <v>0</v>
      </c>
      <c r="AS33" s="43">
        <f t="shared" si="30"/>
        <v>0</v>
      </c>
      <c r="AT33" s="43">
        <f t="shared" si="30"/>
        <v>0</v>
      </c>
      <c r="AU33" s="265">
        <f t="shared" si="30"/>
        <v>0</v>
      </c>
      <c r="AV33" s="265">
        <f t="shared" si="30"/>
        <v>0</v>
      </c>
      <c r="AW33" s="265">
        <f t="shared" si="30"/>
        <v>0</v>
      </c>
      <c r="AX33" s="265">
        <f t="shared" si="30"/>
        <v>0</v>
      </c>
      <c r="AY33" s="265">
        <f t="shared" si="30"/>
        <v>0</v>
      </c>
      <c r="AZ33" s="265">
        <f t="shared" si="30"/>
        <v>0</v>
      </c>
      <c r="BA33" s="265">
        <f t="shared" si="30"/>
        <v>0</v>
      </c>
      <c r="BB33" s="265">
        <f t="shared" si="30"/>
        <v>0</v>
      </c>
      <c r="BC33" s="265">
        <f t="shared" si="30"/>
        <v>0</v>
      </c>
      <c r="BD33" s="265">
        <f t="shared" si="30"/>
        <v>0</v>
      </c>
      <c r="BE33" s="265">
        <f t="shared" si="30"/>
        <v>0</v>
      </c>
      <c r="BF33" s="265">
        <f t="shared" si="30"/>
        <v>0</v>
      </c>
      <c r="BG33" s="265">
        <f t="shared" si="30"/>
        <v>0</v>
      </c>
      <c r="BH33" s="265">
        <f t="shared" si="30"/>
        <v>0</v>
      </c>
      <c r="BI33" s="265">
        <f t="shared" si="30"/>
        <v>0</v>
      </c>
      <c r="BJ33" s="265">
        <f t="shared" si="30"/>
        <v>0</v>
      </c>
      <c r="BK33" s="265">
        <f t="shared" si="30"/>
        <v>0</v>
      </c>
      <c r="BL33" s="265">
        <f t="shared" si="30"/>
        <v>0</v>
      </c>
      <c r="BM33" s="265">
        <f t="shared" si="30"/>
        <v>0</v>
      </c>
      <c r="BN33" s="265">
        <f t="shared" si="30"/>
        <v>0</v>
      </c>
      <c r="BS33" s="442" t="e">
        <f>SUM(BS29:BS32)</f>
        <v>#REF!</v>
      </c>
      <c r="BU33" t="str">
        <v>Total</v>
      </c>
      <c r="BV33" s="44">
        <v>104.06555924434093</v>
      </c>
      <c r="BW33" s="2">
        <v>0</v>
      </c>
    </row>
    <row r="34" spans="1:75" outlineLevel="1">
      <c r="B34" s="1" t="s">
        <v>197</v>
      </c>
      <c r="C34" s="65" t="s">
        <v>153</v>
      </c>
      <c r="D34" s="66">
        <f>D27-D30-D33</f>
        <v>45.090956546267236</v>
      </c>
      <c r="E34" s="66">
        <f t="shared" ref="E34:AG34" si="31">E27-E30-E33</f>
        <v>45.58695706827617</v>
      </c>
      <c r="F34" s="66">
        <f t="shared" si="31"/>
        <v>46.088413596027202</v>
      </c>
      <c r="G34" s="66">
        <f t="shared" si="31"/>
        <v>46.595386145583497</v>
      </c>
      <c r="H34" s="66">
        <f t="shared" si="31"/>
        <v>47.10793539318491</v>
      </c>
      <c r="I34" s="66">
        <f t="shared" si="31"/>
        <v>47.626122682509937</v>
      </c>
      <c r="J34" s="66">
        <f t="shared" si="31"/>
        <v>48.150010032017541</v>
      </c>
      <c r="K34" s="66">
        <f t="shared" si="31"/>
        <v>48.679660142369727</v>
      </c>
      <c r="L34" s="66">
        <f t="shared" si="31"/>
        <v>49.215136403935787</v>
      </c>
      <c r="M34" s="66">
        <f t="shared" si="31"/>
        <v>49.756502904379076</v>
      </c>
      <c r="N34" s="66">
        <f t="shared" si="31"/>
        <v>50.30382443632724</v>
      </c>
      <c r="O34" s="180">
        <f t="shared" si="31"/>
        <v>50.857166505126834</v>
      </c>
      <c r="P34" s="66">
        <f t="shared" si="31"/>
        <v>51.416595336683223</v>
      </c>
      <c r="Q34" s="66">
        <f t="shared" si="31"/>
        <v>51.982177885386733</v>
      </c>
      <c r="R34" s="66">
        <f t="shared" si="31"/>
        <v>52.553981842125985</v>
      </c>
      <c r="S34" s="66">
        <f t="shared" si="31"/>
        <v>53.132075642389367</v>
      </c>
      <c r="T34" s="66">
        <f t="shared" si="31"/>
        <v>53.716528474455643</v>
      </c>
      <c r="U34" s="66">
        <f t="shared" si="31"/>
        <v>54.307410287674649</v>
      </c>
      <c r="V34" s="66">
        <f t="shared" si="31"/>
        <v>54.904791800839064</v>
      </c>
      <c r="W34" s="66">
        <f t="shared" si="31"/>
        <v>55.508744510648285</v>
      </c>
      <c r="X34" s="66">
        <f>X27-X30-X33</f>
        <v>56.119340700265411</v>
      </c>
      <c r="Y34" s="180">
        <f t="shared" si="31"/>
        <v>56.736653447968322</v>
      </c>
      <c r="Z34" s="66">
        <f t="shared" si="31"/>
        <v>57.360756635895967</v>
      </c>
      <c r="AA34" s="66">
        <f t="shared" si="31"/>
        <v>57.991724958890821</v>
      </c>
      <c r="AB34" s="66">
        <f t="shared" si="31"/>
        <v>58.629633933438612</v>
      </c>
      <c r="AC34" s="66">
        <f t="shared" si="31"/>
        <v>59.274559906706429</v>
      </c>
      <c r="AD34" s="66">
        <f t="shared" si="31"/>
        <v>59.926580065680191</v>
      </c>
      <c r="AE34" s="66">
        <f t="shared" si="31"/>
        <v>60.585772446402665</v>
      </c>
      <c r="AF34" s="66">
        <f t="shared" si="31"/>
        <v>61.252215943313089</v>
      </c>
      <c r="AG34" s="66">
        <f t="shared" si="31"/>
        <v>61.925990318689529</v>
      </c>
      <c r="AH34" s="66">
        <f>AH27-AH30-AH33</f>
        <v>62.607176212195107</v>
      </c>
      <c r="AJ34" s="66">
        <f>AJ27-AJ30-AJ33</f>
        <v>45.090956546267236</v>
      </c>
      <c r="AK34" s="66">
        <f t="shared" ref="AK34:BC34" si="32">AK27-AK30-AK33</f>
        <v>45.58695706827617</v>
      </c>
      <c r="AL34" s="66">
        <f t="shared" si="32"/>
        <v>46.088413596027202</v>
      </c>
      <c r="AM34" s="66">
        <f t="shared" si="32"/>
        <v>46.595386145583497</v>
      </c>
      <c r="AN34" s="66">
        <f t="shared" si="32"/>
        <v>47.10793539318491</v>
      </c>
      <c r="AO34" s="66">
        <f t="shared" si="32"/>
        <v>47.626122682509937</v>
      </c>
      <c r="AP34" s="66">
        <f t="shared" si="32"/>
        <v>48.150010032017541</v>
      </c>
      <c r="AQ34" s="66">
        <f t="shared" si="32"/>
        <v>48.679660142369727</v>
      </c>
      <c r="AR34" s="66">
        <f t="shared" si="32"/>
        <v>49.215136403935787</v>
      </c>
      <c r="AS34" s="66">
        <f t="shared" si="32"/>
        <v>49.756502904379076</v>
      </c>
      <c r="AT34" s="66">
        <f t="shared" si="32"/>
        <v>50.30382443632724</v>
      </c>
      <c r="AU34" s="180">
        <f t="shared" si="32"/>
        <v>50.857166505126834</v>
      </c>
      <c r="AV34" s="66">
        <f t="shared" si="32"/>
        <v>51.416595336683223</v>
      </c>
      <c r="AW34" s="66">
        <f t="shared" si="32"/>
        <v>51.982177885386733</v>
      </c>
      <c r="AX34" s="66">
        <f t="shared" si="32"/>
        <v>52.553981842125985</v>
      </c>
      <c r="AY34" s="66">
        <f t="shared" si="32"/>
        <v>53.132075642389367</v>
      </c>
      <c r="AZ34" s="66">
        <f t="shared" si="32"/>
        <v>53.716528474455643</v>
      </c>
      <c r="BA34" s="66">
        <f t="shared" si="32"/>
        <v>54.307410287674649</v>
      </c>
      <c r="BB34" s="66">
        <f t="shared" si="32"/>
        <v>54.904791800839064</v>
      </c>
      <c r="BC34" s="66">
        <f t="shared" si="32"/>
        <v>55.508744510648285</v>
      </c>
      <c r="BD34" s="66">
        <f>BD27-BD30-BD33</f>
        <v>56.119340700265411</v>
      </c>
      <c r="BE34" s="180">
        <f t="shared" ref="BE34:BM34" si="33">BE27-BE30-BE33</f>
        <v>56.736653447968322</v>
      </c>
      <c r="BF34" s="66">
        <f t="shared" si="33"/>
        <v>57.360756635895967</v>
      </c>
      <c r="BG34" s="66">
        <f t="shared" si="33"/>
        <v>57.991724958890821</v>
      </c>
      <c r="BH34" s="66">
        <f t="shared" si="33"/>
        <v>58.629633933438612</v>
      </c>
      <c r="BI34" s="66">
        <f t="shared" si="33"/>
        <v>59.274559906706429</v>
      </c>
      <c r="BJ34" s="66">
        <f t="shared" si="33"/>
        <v>59.926580065680191</v>
      </c>
      <c r="BK34" s="66">
        <f t="shared" si="33"/>
        <v>60.585772446402665</v>
      </c>
      <c r="BL34" s="66">
        <f t="shared" si="33"/>
        <v>61.252215943313089</v>
      </c>
      <c r="BM34" s="66">
        <f t="shared" si="33"/>
        <v>61.925990318689529</v>
      </c>
      <c r="BN34" s="66">
        <f>BN27-BN30-BN33</f>
        <v>62.607176212195107</v>
      </c>
      <c r="BR34" t="s">
        <v>53</v>
      </c>
      <c r="BS34" s="44">
        <f>D4</f>
        <v>116.10918671199683</v>
      </c>
    </row>
    <row r="35" spans="1:75" s="67" customFormat="1" outlineLevel="1">
      <c r="A35" s="752"/>
      <c r="B35" s="58" t="s">
        <v>7</v>
      </c>
      <c r="C35" s="59" t="s">
        <v>153</v>
      </c>
      <c r="D35" s="60">
        <f>D27*'R&amp;S - Packaging and hh goods'!$L$4/SUM('R&amp;S - Packaging and hh goods'!$L$4:$N$4)</f>
        <v>7.8426966561118325</v>
      </c>
      <c r="E35" s="60">
        <f>E27*'R&amp;S - Packaging and hh goods'!$L$4/SUM('R&amp;S - Packaging and hh goods'!$L$4:$N$4)-E27*'R&amp;S - Packaging and hh goods'!$L$4/SUM('R&amp;S - Packaging and hh goods'!$L$4:$N$4)*'R&amp;S - Packaging and hh goods'!$E$7*('R&amp;S - Packaging and hh goods'!$H$14*'R&amp;S - Packaging and hh goods'!$Z$19*(E$3-$D$3)/10)-E27*'R&amp;S - Packaging and hh goods'!$L$4/SUM('R&amp;S - Packaging and hh goods'!$L$4:$N$4)*'R&amp;S - Packaging and hh goods'!$E$8*('R&amp;S - Packaging and hh goods'!$H$14*'R&amp;S - Packaging and hh goods'!$AA$19*(E$3-$D$3)/10)-E27*'R&amp;S - Packaging and hh goods'!$L$4/SUM('R&amp;S - Packaging and hh goods'!$L$4:$N$4)*'R&amp;S - Packaging and hh goods'!$E$9*('R&amp;S - Packaging and hh goods'!$H$14*'R&amp;S - Packaging and hh goods'!$AB$19*(E$3-$D$3)/10)-E31*'R&amp;S - Packaging and hh goods'!$L$4/SUM('R&amp;S - Packaging and hh goods'!$L$4:$N$4)*'R&amp;S - Packaging and hh goods'!$E$10*('R&amp;S - Packaging and hh goods'!$H$14*'R&amp;S - Packaging and hh goods'!$AC$19*(E$3-$D$3)/10)</f>
        <v>7.9289663193290609</v>
      </c>
      <c r="F35" s="60">
        <f>F27*'R&amp;S - Packaging and hh goods'!$L$4/SUM('R&amp;S - Packaging and hh goods'!$L$4:$N$4)-F27*'R&amp;S - Packaging and hh goods'!$L$4/SUM('R&amp;S - Packaging and hh goods'!$L$4:$N$4)*'R&amp;S - Packaging and hh goods'!$E$7*('R&amp;S - Packaging and hh goods'!$H$14*'R&amp;S - Packaging and hh goods'!$Z$19*(F$3-$D$3)/10)-F27*'R&amp;S - Packaging and hh goods'!$L$4/SUM('R&amp;S - Packaging and hh goods'!$L$4:$N$4)*'R&amp;S - Packaging and hh goods'!$E$8*('R&amp;S - Packaging and hh goods'!$H$14*'R&amp;S - Packaging and hh goods'!$AA$19*(F$3-$D$3)/10)-F27*'R&amp;S - Packaging and hh goods'!$L$4/SUM('R&amp;S - Packaging and hh goods'!$L$4:$N$4)*'R&amp;S - Packaging and hh goods'!$E$9*('R&amp;S - Packaging and hh goods'!$H$14*'R&amp;S - Packaging and hh goods'!$AB$19*(F$3-$D$3)/10)-F31*'R&amp;S - Packaging and hh goods'!$L$4/SUM('R&amp;S - Packaging and hh goods'!$L$4:$N$4)*'R&amp;S - Packaging and hh goods'!$E$10*('R&amp;S - Packaging and hh goods'!$H$14*'R&amp;S - Packaging and hh goods'!$AC$19*(F$3-$D$3)/10)</f>
        <v>8.0161849488416799</v>
      </c>
      <c r="G35" s="60">
        <f>G27*'R&amp;S - Packaging and hh goods'!$L$4/SUM('R&amp;S - Packaging and hh goods'!$L$4:$N$4)-G27*'R&amp;S - Packaging and hh goods'!$L$4/SUM('R&amp;S - Packaging and hh goods'!$L$4:$N$4)*'R&amp;S - Packaging and hh goods'!$E$7*('R&amp;S - Packaging and hh goods'!$H$14*'R&amp;S - Packaging and hh goods'!$Z$19*(G$3-$D$3)/10)-G27*'R&amp;S - Packaging and hh goods'!$L$4/SUM('R&amp;S - Packaging and hh goods'!$L$4:$N$4)*'R&amp;S - Packaging and hh goods'!$E$8*('R&amp;S - Packaging and hh goods'!$H$14*'R&amp;S - Packaging and hh goods'!$AA$19*(G$3-$D$3)/10)-G27*'R&amp;S - Packaging and hh goods'!$L$4/SUM('R&amp;S - Packaging and hh goods'!$L$4:$N$4)*'R&amp;S - Packaging and hh goods'!$E$9*('R&amp;S - Packaging and hh goods'!$H$14*'R&amp;S - Packaging and hh goods'!$AB$19*(G$3-$D$3)/10)-G31*'R&amp;S - Packaging and hh goods'!$L$4/SUM('R&amp;S - Packaging and hh goods'!$L$4:$N$4)*'R&amp;S - Packaging and hh goods'!$E$10*('R&amp;S - Packaging and hh goods'!$H$14*'R&amp;S - Packaging and hh goods'!$AC$19*(G$3-$D$3)/10)</f>
        <v>8.1043629832789374</v>
      </c>
      <c r="H35" s="60">
        <f>H27*'R&amp;S - Packaging and hh goods'!$L$4/SUM('R&amp;S - Packaging and hh goods'!$L$4:$N$4)-H27*'R&amp;S - Packaging and hh goods'!$L$4/SUM('R&amp;S - Packaging and hh goods'!$L$4:$N$4)*'R&amp;S - Packaging and hh goods'!$E$7*('R&amp;S - Packaging and hh goods'!$H$14*'R&amp;S - Packaging and hh goods'!$Z$19*(H$3-$D$3)/10)-H27*'R&amp;S - Packaging and hh goods'!$L$4/SUM('R&amp;S - Packaging and hh goods'!$L$4:$N$4)*'R&amp;S - Packaging and hh goods'!$E$8*('R&amp;S - Packaging and hh goods'!$H$14*'R&amp;S - Packaging and hh goods'!$AA$19*(H$3-$D$3)/10)-H27*'R&amp;S - Packaging and hh goods'!$L$4/SUM('R&amp;S - Packaging and hh goods'!$L$4:$N$4)*'R&amp;S - Packaging and hh goods'!$E$9*('R&amp;S - Packaging and hh goods'!$H$14*'R&amp;S - Packaging and hh goods'!$AB$19*(H$3-$D$3)/10)-H31*'R&amp;S - Packaging and hh goods'!$L$4/SUM('R&amp;S - Packaging and hh goods'!$L$4:$N$4)*'R&amp;S - Packaging and hh goods'!$E$10*('R&amp;S - Packaging and hh goods'!$H$14*'R&amp;S - Packaging and hh goods'!$AC$19*(H$3-$D$3)/10)</f>
        <v>8.1935109760950056</v>
      </c>
      <c r="I35" s="60">
        <f>I27*'R&amp;S - Packaging and hh goods'!$L$4/SUM('R&amp;S - Packaging and hh goods'!$L$4:$N$4)-I27*'R&amp;S - Packaging and hh goods'!$L$4/SUM('R&amp;S - Packaging and hh goods'!$L$4:$N$4)*'R&amp;S - Packaging and hh goods'!$E$7*('R&amp;S - Packaging and hh goods'!$H$14*'R&amp;S - Packaging and hh goods'!$Z$19*(I$3-$D$3)/10)-I27*'R&amp;S - Packaging and hh goods'!$L$4/SUM('R&amp;S - Packaging and hh goods'!$L$4:$N$4)*'R&amp;S - Packaging and hh goods'!$E$8*('R&amp;S - Packaging and hh goods'!$H$14*'R&amp;S - Packaging and hh goods'!$AA$19*(I$3-$D$3)/10)-I27*'R&amp;S - Packaging and hh goods'!$L$4/SUM('R&amp;S - Packaging and hh goods'!$L$4:$N$4)*'R&amp;S - Packaging and hh goods'!$E$9*('R&amp;S - Packaging and hh goods'!$H$14*'R&amp;S - Packaging and hh goods'!$AB$19*(I$3-$D$3)/10)-I31*'R&amp;S - Packaging and hh goods'!$L$4/SUM('R&amp;S - Packaging and hh goods'!$L$4:$N$4)*'R&amp;S - Packaging and hh goods'!$E$10*('R&amp;S - Packaging and hh goods'!$H$14*'R&amp;S - Packaging and hh goods'!$AC$19*(I$3-$D$3)/10)</f>
        <v>8.2836395968320495</v>
      </c>
      <c r="J35" s="60">
        <f>J27*'R&amp;S - Packaging and hh goods'!$L$4/SUM('R&amp;S - Packaging and hh goods'!$L$4:$N$4)-J27*'R&amp;S - Packaging and hh goods'!$L$4/SUM('R&amp;S - Packaging and hh goods'!$L$4:$N$4)*'R&amp;S - Packaging and hh goods'!$E$7*('R&amp;S - Packaging and hh goods'!$H$14*'R&amp;S - Packaging and hh goods'!$Z$19*(J$3-$D$3)/10)-J27*'R&amp;S - Packaging and hh goods'!$L$4/SUM('R&amp;S - Packaging and hh goods'!$L$4:$N$4)*'R&amp;S - Packaging and hh goods'!$E$8*('R&amp;S - Packaging and hh goods'!$H$14*'R&amp;S - Packaging and hh goods'!$AA$19*(J$3-$D$3)/10)-J27*'R&amp;S - Packaging and hh goods'!$L$4/SUM('R&amp;S - Packaging and hh goods'!$L$4:$N$4)*'R&amp;S - Packaging and hh goods'!$E$9*('R&amp;S - Packaging and hh goods'!$H$14*'R&amp;S - Packaging and hh goods'!$AB$19*(J$3-$D$3)/10)-J31*'R&amp;S - Packaging and hh goods'!$L$4/SUM('R&amp;S - Packaging and hh goods'!$L$4:$N$4)*'R&amp;S - Packaging and hh goods'!$E$10*('R&amp;S - Packaging and hh goods'!$H$14*'R&amp;S - Packaging and hh goods'!$AC$19*(J$3-$D$3)/10)</f>
        <v>8.3747596323972004</v>
      </c>
      <c r="K35" s="60">
        <f>K27*'R&amp;S - Packaging and hh goods'!$L$4/SUM('R&amp;S - Packaging and hh goods'!$L$4:$N$4)-K27*'R&amp;S - Packaging and hh goods'!$L$4/SUM('R&amp;S - Packaging and hh goods'!$L$4:$N$4)*'R&amp;S - Packaging and hh goods'!$E$7*('R&amp;S - Packaging and hh goods'!$H$14*'R&amp;S - Packaging and hh goods'!$Z$19*(K$3-$D$3)/10)-K27*'R&amp;S - Packaging and hh goods'!$L$4/SUM('R&amp;S - Packaging and hh goods'!$L$4:$N$4)*'R&amp;S - Packaging and hh goods'!$E$8*('R&amp;S - Packaging and hh goods'!$H$14*'R&amp;S - Packaging and hh goods'!$AA$19*(K$3-$D$3)/10)-K27*'R&amp;S - Packaging and hh goods'!$L$4/SUM('R&amp;S - Packaging and hh goods'!$L$4:$N$4)*'R&amp;S - Packaging and hh goods'!$E$9*('R&amp;S - Packaging and hh goods'!$H$14*'R&amp;S - Packaging and hh goods'!$AB$19*(K$3-$D$3)/10)-K31*'R&amp;S - Packaging and hh goods'!$L$4/SUM('R&amp;S - Packaging and hh goods'!$L$4:$N$4)*'R&amp;S - Packaging and hh goods'!$E$10*('R&amp;S - Packaging and hh goods'!$H$14*'R&amp;S - Packaging and hh goods'!$AC$19*(K$3-$D$3)/10)</f>
        <v>8.4668819883535686</v>
      </c>
      <c r="L35" s="60">
        <f>L27*'R&amp;S - Packaging and hh goods'!$L$4/SUM('R&amp;S - Packaging and hh goods'!$L$4:$N$4)-L27*'R&amp;S - Packaging and hh goods'!$L$4/SUM('R&amp;S - Packaging and hh goods'!$L$4:$N$4)*'R&amp;S - Packaging and hh goods'!$E$7*('R&amp;S - Packaging and hh goods'!$H$14*'R&amp;S - Packaging and hh goods'!$Z$19*(L$3-$D$3)/10)-L27*'R&amp;S - Packaging and hh goods'!$L$4/SUM('R&amp;S - Packaging and hh goods'!$L$4:$N$4)*'R&amp;S - Packaging and hh goods'!$E$8*('R&amp;S - Packaging and hh goods'!$H$14*'R&amp;S - Packaging and hh goods'!$AA$19*(L$3-$D$3)/10)-L27*'R&amp;S - Packaging and hh goods'!$L$4/SUM('R&amp;S - Packaging and hh goods'!$L$4:$N$4)*'R&amp;S - Packaging and hh goods'!$E$9*('R&amp;S - Packaging and hh goods'!$H$14*'R&amp;S - Packaging and hh goods'!$AB$19*(L$3-$D$3)/10)-L31*'R&amp;S - Packaging and hh goods'!$L$4/SUM('R&amp;S - Packaging and hh goods'!$L$4:$N$4)*'R&amp;S - Packaging and hh goods'!$E$10*('R&amp;S - Packaging and hh goods'!$H$14*'R&amp;S - Packaging and hh goods'!$AC$19*(L$3-$D$3)/10)</f>
        <v>8.5600176902254574</v>
      </c>
      <c r="M35" s="60">
        <f>M27*'R&amp;S - Packaging and hh goods'!$L$4/SUM('R&amp;S - Packaging and hh goods'!$L$4:$N$4)-M27*'R&amp;S - Packaging and hh goods'!$L$4/SUM('R&amp;S - Packaging and hh goods'!$L$4:$N$4)*'R&amp;S - Packaging and hh goods'!$E$7*('R&amp;S - Packaging and hh goods'!$H$14*'R&amp;S - Packaging and hh goods'!$Z$19*(M$3-$D$3)/10)-M27*'R&amp;S - Packaging and hh goods'!$L$4/SUM('R&amp;S - Packaging and hh goods'!$L$4:$N$4)*'R&amp;S - Packaging and hh goods'!$E$8*('R&amp;S - Packaging and hh goods'!$H$14*'R&amp;S - Packaging and hh goods'!$AA$19*(M$3-$D$3)/10)-M27*'R&amp;S - Packaging and hh goods'!$L$4/SUM('R&amp;S - Packaging and hh goods'!$L$4:$N$4)*'R&amp;S - Packaging and hh goods'!$E$9*('R&amp;S - Packaging and hh goods'!$H$14*'R&amp;S - Packaging and hh goods'!$AB$19*(M$3-$D$3)/10)-M31*'R&amp;S - Packaging and hh goods'!$L$4/SUM('R&amp;S - Packaging and hh goods'!$L$4:$N$4)*'R&amp;S - Packaging and hh goods'!$E$10*('R&amp;S - Packaging and hh goods'!$H$14*'R&amp;S - Packaging and hh goods'!$AC$19*(M$3-$D$3)/10)</f>
        <v>8.6541778848179352</v>
      </c>
      <c r="N35" s="60">
        <f>N27*'R&amp;S - Packaging and hh goods'!$L$4/SUM('R&amp;S - Packaging and hh goods'!$L$4:$N$4)-N27*'R&amp;S - Packaging and hh goods'!$L$4/SUM('R&amp;S - Packaging and hh goods'!$L$4:$N$4)*'R&amp;S - Packaging and hh goods'!$E$7*('R&amp;S - Packaging and hh goods'!$H$14*'R&amp;S - Packaging and hh goods'!$Z$19*(N$3-$D$3)/10)-N27*'R&amp;S - Packaging and hh goods'!$L$4/SUM('R&amp;S - Packaging and hh goods'!$L$4:$N$4)*'R&amp;S - Packaging and hh goods'!$E$8*('R&amp;S - Packaging and hh goods'!$H$14*'R&amp;S - Packaging and hh goods'!$AA$19*(N$3-$D$3)/10)-N27*'R&amp;S - Packaging and hh goods'!$L$4/SUM('R&amp;S - Packaging and hh goods'!$L$4:$N$4)*'R&amp;S - Packaging and hh goods'!$E$9*('R&amp;S - Packaging and hh goods'!$H$14*'R&amp;S - Packaging and hh goods'!$AB$19*(N$3-$D$3)/10)-N31*'R&amp;S - Packaging and hh goods'!$L$4/SUM('R&amp;S - Packaging and hh goods'!$L$4:$N$4)*'R&amp;S - Packaging and hh goods'!$E$10*('R&amp;S - Packaging and hh goods'!$H$14*'R&amp;S - Packaging and hh goods'!$AC$19*(N$3-$D$3)/10)</f>
        <v>8.7493738415509323</v>
      </c>
      <c r="O35" s="60">
        <f>O27*'R&amp;S - Packaging and hh goods'!$L$4/SUM('R&amp;S - Packaging and hh goods'!$L$4:$N$4)-O27*'R&amp;S - Packaging and hh goods'!$L$4/SUM('R&amp;S - Packaging and hh goods'!$L$4:$N$4)*('R&amp;S - Packaging and hh goods'!$E$7*'R&amp;S - Packaging and hh goods'!$H$14*('R&amp;S - Packaging and hh goods'!$Z$19+('R&amp;S - Packaging and hh goods'!$Z$20-'R&amp;S - Packaging and hh goods'!$Z$19)*(O$3-$N$3)/10))-O27*'R&amp;S - Packaging and hh goods'!$L$4/SUM('R&amp;S - Packaging and hh goods'!$L$4:$N$4)*('R&amp;S - Packaging and hh goods'!$E$8*'R&amp;S - Packaging and hh goods'!$H$14*('R&amp;S - Packaging and hh goods'!$AA$19+('R&amp;S - Packaging and hh goods'!$AA$20-'R&amp;S - Packaging and hh goods'!$AA$19)*(O$3-$N$3)/10))-O27*'R&amp;S - Packaging and hh goods'!$L$4/SUM('R&amp;S - Packaging and hh goods'!$L$4:$N$4)*('R&amp;S - Packaging and hh goods'!$E$9*'R&amp;S - Packaging and hh goods'!$I$14*('R&amp;S - Packaging and hh goods'!$AB$19+('R&amp;S - Packaging and hh goods'!$AB$20-'R&amp;S - Packaging and hh goods'!$AB$19)*(O$3-$N$3)/10))-O27*'R&amp;S - Packaging and hh goods'!$L$4/SUM('R&amp;S - Packaging and hh goods'!$L$4:$N$4)*('R&amp;S - Packaging and hh goods'!$E$10*'R&amp;S - Packaging and hh goods'!$I$14*('R&amp;S - Packaging and hh goods'!$AC$19+('R&amp;S - Packaging and hh goods'!$AC$20-'R&amp;S - Packaging and hh goods'!$AC$19)*(O$3-$N$3)/10))</f>
        <v>8.8456169538079923</v>
      </c>
      <c r="P35" s="60">
        <f>P27*'R&amp;S - Packaging and hh goods'!$L$4/SUM('R&amp;S - Packaging and hh goods'!$L$4:$N$4)-P27*'R&amp;S - Packaging and hh goods'!$L$4/SUM('R&amp;S - Packaging and hh goods'!$L$4:$N$4)*('R&amp;S - Packaging and hh goods'!$E$7*'R&amp;S - Packaging and hh goods'!$H$14*('R&amp;S - Packaging and hh goods'!$Z$19+('R&amp;S - Packaging and hh goods'!$Z$20-'R&amp;S - Packaging and hh goods'!$Z$19)*(P$3-$N$3)/10))-P27*'R&amp;S - Packaging and hh goods'!$L$4/SUM('R&amp;S - Packaging and hh goods'!$L$4:$N$4)*('R&amp;S - Packaging and hh goods'!$E$8*'R&amp;S - Packaging and hh goods'!$H$14*('R&amp;S - Packaging and hh goods'!$AA$19+('R&amp;S - Packaging and hh goods'!$AA$20-'R&amp;S - Packaging and hh goods'!$AA$19)*(P$3-$N$3)/10))-P27*'R&amp;S - Packaging and hh goods'!$L$4/SUM('R&amp;S - Packaging and hh goods'!$L$4:$N$4)*('R&amp;S - Packaging and hh goods'!$E$9*'R&amp;S - Packaging and hh goods'!$I$14*('R&amp;S - Packaging and hh goods'!$AB$19+('R&amp;S - Packaging and hh goods'!$AB$20-'R&amp;S - Packaging and hh goods'!$AB$19)*(P$3-$N$3)/10))-P27*'R&amp;S - Packaging and hh goods'!$L$4/SUM('R&amp;S - Packaging and hh goods'!$L$4:$N$4)*('R&amp;S - Packaging and hh goods'!$E$10*'R&amp;S - Packaging and hh goods'!$I$14*('R&amp;S - Packaging and hh goods'!$AC$19+('R&amp;S - Packaging and hh goods'!$AC$20-'R&amp;S - Packaging and hh goods'!$AC$19)*(P$3-$N$3)/10))</f>
        <v>8.9429187402998789</v>
      </c>
      <c r="Q35" s="60">
        <f>Q27*'R&amp;S - Packaging and hh goods'!$L$4/SUM('R&amp;S - Packaging and hh goods'!$L$4:$N$4)-Q27*'R&amp;S - Packaging and hh goods'!$L$4/SUM('R&amp;S - Packaging and hh goods'!$L$4:$N$4)*('R&amp;S - Packaging and hh goods'!$E$7*'R&amp;S - Packaging and hh goods'!$H$14*('R&amp;S - Packaging and hh goods'!$Z$19+('R&amp;S - Packaging and hh goods'!$Z$20-'R&amp;S - Packaging and hh goods'!$Z$19)*(Q$3-$N$3)/10))-Q27*'R&amp;S - Packaging and hh goods'!$L$4/SUM('R&amp;S - Packaging and hh goods'!$L$4:$N$4)*('R&amp;S - Packaging and hh goods'!$E$8*'R&amp;S - Packaging and hh goods'!$H$14*('R&amp;S - Packaging and hh goods'!$AA$19+('R&amp;S - Packaging and hh goods'!$AA$20-'R&amp;S - Packaging and hh goods'!$AA$19)*(Q$3-$N$3)/10))-Q27*'R&amp;S - Packaging and hh goods'!$L$4/SUM('R&amp;S - Packaging and hh goods'!$L$4:$N$4)*('R&amp;S - Packaging and hh goods'!$E$9*'R&amp;S - Packaging and hh goods'!$I$14*('R&amp;S - Packaging and hh goods'!$AB$19+('R&amp;S - Packaging and hh goods'!$AB$20-'R&amp;S - Packaging and hh goods'!$AB$19)*(Q$3-$N$3)/10))-Q27*'R&amp;S - Packaging and hh goods'!$L$4/SUM('R&amp;S - Packaging and hh goods'!$L$4:$N$4)*('R&amp;S - Packaging and hh goods'!$E$10*'R&amp;S - Packaging and hh goods'!$I$14*('R&amp;S - Packaging and hh goods'!$AC$19+('R&amp;S - Packaging and hh goods'!$AC$20-'R&amp;S - Packaging and hh goods'!$AC$19)*(Q$3-$N$3)/10))</f>
        <v>9.0412908464431769</v>
      </c>
      <c r="R35" s="60">
        <f>R27*'R&amp;S - Packaging and hh goods'!$L$4/SUM('R&amp;S - Packaging and hh goods'!$L$4:$N$4)-R27*'R&amp;S - Packaging and hh goods'!$L$4/SUM('R&amp;S - Packaging and hh goods'!$L$4:$N$4)*('R&amp;S - Packaging and hh goods'!$E$7*'R&amp;S - Packaging and hh goods'!$H$14*('R&amp;S - Packaging and hh goods'!$Z$19+('R&amp;S - Packaging and hh goods'!$Z$20-'R&amp;S - Packaging and hh goods'!$Z$19)*(R$3-$N$3)/10))-R27*'R&amp;S - Packaging and hh goods'!$L$4/SUM('R&amp;S - Packaging and hh goods'!$L$4:$N$4)*('R&amp;S - Packaging and hh goods'!$E$8*'R&amp;S - Packaging and hh goods'!$H$14*('R&amp;S - Packaging and hh goods'!$AA$19+('R&amp;S - Packaging and hh goods'!$AA$20-'R&amp;S - Packaging and hh goods'!$AA$19)*(R$3-$N$3)/10))-R27*'R&amp;S - Packaging and hh goods'!$L$4/SUM('R&amp;S - Packaging and hh goods'!$L$4:$N$4)*('R&amp;S - Packaging and hh goods'!$E$9*'R&amp;S - Packaging and hh goods'!$I$14*('R&amp;S - Packaging and hh goods'!$AB$19+('R&amp;S - Packaging and hh goods'!$AB$20-'R&amp;S - Packaging and hh goods'!$AB$19)*(R$3-$N$3)/10))-R27*'R&amp;S - Packaging and hh goods'!$L$4/SUM('R&amp;S - Packaging and hh goods'!$L$4:$N$4)*('R&amp;S - Packaging and hh goods'!$E$10*'R&amp;S - Packaging and hh goods'!$I$14*('R&amp;S - Packaging and hh goods'!$AC$19+('R&amp;S - Packaging and hh goods'!$AC$20-'R&amp;S - Packaging and hh goods'!$AC$19)*(R$3-$N$3)/10))</f>
        <v>9.1407450457540502</v>
      </c>
      <c r="S35" s="60">
        <f>S27*'R&amp;S - Packaging and hh goods'!$L$4/SUM('R&amp;S - Packaging and hh goods'!$L$4:$N$4)-S27*'R&amp;S - Packaging and hh goods'!$L$4/SUM('R&amp;S - Packaging and hh goods'!$L$4:$N$4)*('R&amp;S - Packaging and hh goods'!$E$7*'R&amp;S - Packaging and hh goods'!$H$14*('R&amp;S - Packaging and hh goods'!$Z$19+('R&amp;S - Packaging and hh goods'!$Z$20-'R&amp;S - Packaging and hh goods'!$Z$19)*(S$3-$N$3)/10))-S27*'R&amp;S - Packaging and hh goods'!$L$4/SUM('R&amp;S - Packaging and hh goods'!$L$4:$N$4)*('R&amp;S - Packaging and hh goods'!$E$8*'R&amp;S - Packaging and hh goods'!$H$14*('R&amp;S - Packaging and hh goods'!$AA$19+('R&amp;S - Packaging and hh goods'!$AA$20-'R&amp;S - Packaging and hh goods'!$AA$19)*(S$3-$N$3)/10))-S27*'R&amp;S - Packaging and hh goods'!$L$4/SUM('R&amp;S - Packaging and hh goods'!$L$4:$N$4)*('R&amp;S - Packaging and hh goods'!$E$9*'R&amp;S - Packaging and hh goods'!$I$14*('R&amp;S - Packaging and hh goods'!$AB$19+('R&amp;S - Packaging and hh goods'!$AB$20-'R&amp;S - Packaging and hh goods'!$AB$19)*(S$3-$N$3)/10))-S27*'R&amp;S - Packaging and hh goods'!$L$4/SUM('R&amp;S - Packaging and hh goods'!$L$4:$N$4)*('R&amp;S - Packaging and hh goods'!$E$10*'R&amp;S - Packaging and hh goods'!$I$14*('R&amp;S - Packaging and hh goods'!$AC$19+('R&amp;S - Packaging and hh goods'!$AC$20-'R&amp;S - Packaging and hh goods'!$AC$19)*(S$3-$N$3)/10))</f>
        <v>9.2412932412573436</v>
      </c>
      <c r="T35" s="60">
        <f>T27*'R&amp;S - Packaging and hh goods'!$L$4/SUM('R&amp;S - Packaging and hh goods'!$L$4:$N$4)-T27*'R&amp;S - Packaging and hh goods'!$L$4/SUM('R&amp;S - Packaging and hh goods'!$L$4:$N$4)*('R&amp;S - Packaging and hh goods'!$E$7*'R&amp;S - Packaging and hh goods'!$H$14*('R&amp;S - Packaging and hh goods'!$Z$19+('R&amp;S - Packaging and hh goods'!$Z$20-'R&amp;S - Packaging and hh goods'!$Z$19)*(T$3-$N$3)/10))-T27*'R&amp;S - Packaging and hh goods'!$L$4/SUM('R&amp;S - Packaging and hh goods'!$L$4:$N$4)*('R&amp;S - Packaging and hh goods'!$E$8*'R&amp;S - Packaging and hh goods'!$H$14*('R&amp;S - Packaging and hh goods'!$AA$19+('R&amp;S - Packaging and hh goods'!$AA$20-'R&amp;S - Packaging and hh goods'!$AA$19)*(T$3-$N$3)/10))-T27*'R&amp;S - Packaging and hh goods'!$L$4/SUM('R&amp;S - Packaging and hh goods'!$L$4:$N$4)*('R&amp;S - Packaging and hh goods'!$E$9*'R&amp;S - Packaging and hh goods'!$I$14*('R&amp;S - Packaging and hh goods'!$AB$19+('R&amp;S - Packaging and hh goods'!$AB$20-'R&amp;S - Packaging and hh goods'!$AB$19)*(T$3-$N$3)/10))-T27*'R&amp;S - Packaging and hh goods'!$L$4/SUM('R&amp;S - Packaging and hh goods'!$L$4:$N$4)*('R&amp;S - Packaging and hh goods'!$E$10*'R&amp;S - Packaging and hh goods'!$I$14*('R&amp;S - Packaging and hh goods'!$AC$19+('R&amp;S - Packaging and hh goods'!$AC$20-'R&amp;S - Packaging and hh goods'!$AC$19)*(T$3-$N$3)/10))</f>
        <v>9.3429474669111752</v>
      </c>
      <c r="U35" s="60">
        <f>U27*'R&amp;S - Packaging and hh goods'!$L$4/SUM('R&amp;S - Packaging and hh goods'!$L$4:$N$4)-U27*'R&amp;S - Packaging and hh goods'!$L$4/SUM('R&amp;S - Packaging and hh goods'!$L$4:$N$4)*('R&amp;S - Packaging and hh goods'!$E$7*'R&amp;S - Packaging and hh goods'!$H$14*('R&amp;S - Packaging and hh goods'!$Z$19+('R&amp;S - Packaging and hh goods'!$Z$20-'R&amp;S - Packaging and hh goods'!$Z$19)*(U$3-$N$3)/10))-U27*'R&amp;S - Packaging and hh goods'!$L$4/SUM('R&amp;S - Packaging and hh goods'!$L$4:$N$4)*('R&amp;S - Packaging and hh goods'!$E$8*'R&amp;S - Packaging and hh goods'!$H$14*('R&amp;S - Packaging and hh goods'!$AA$19+('R&amp;S - Packaging and hh goods'!$AA$20-'R&amp;S - Packaging and hh goods'!$AA$19)*(U$3-$N$3)/10))-U27*'R&amp;S - Packaging and hh goods'!$L$4/SUM('R&amp;S - Packaging and hh goods'!$L$4:$N$4)*('R&amp;S - Packaging and hh goods'!$E$9*'R&amp;S - Packaging and hh goods'!$I$14*('R&amp;S - Packaging and hh goods'!$AB$19+('R&amp;S - Packaging and hh goods'!$AB$20-'R&amp;S - Packaging and hh goods'!$AB$19)*(U$3-$N$3)/10))-U27*'R&amp;S - Packaging and hh goods'!$L$4/SUM('R&amp;S - Packaging and hh goods'!$L$4:$N$4)*('R&amp;S - Packaging and hh goods'!$E$10*'R&amp;S - Packaging and hh goods'!$I$14*('R&amp;S - Packaging and hh goods'!$AC$19+('R&amp;S - Packaging and hh goods'!$AC$20-'R&amp;S - Packaging and hh goods'!$AC$19)*(U$3-$N$3)/10))</f>
        <v>9.4457198890471954</v>
      </c>
      <c r="V35" s="60">
        <f>V27*'R&amp;S - Packaging and hh goods'!$L$4/SUM('R&amp;S - Packaging and hh goods'!$L$4:$N$4)-V27*'R&amp;S - Packaging and hh goods'!$L$4/SUM('R&amp;S - Packaging and hh goods'!$L$4:$N$4)*('R&amp;S - Packaging and hh goods'!$E$7*'R&amp;S - Packaging and hh goods'!$H$14*('R&amp;S - Packaging and hh goods'!$Z$19+('R&amp;S - Packaging and hh goods'!$Z$20-'R&amp;S - Packaging and hh goods'!$Z$19)*(V$3-$N$3)/10))-V27*'R&amp;S - Packaging and hh goods'!$L$4/SUM('R&amp;S - Packaging and hh goods'!$L$4:$N$4)*('R&amp;S - Packaging and hh goods'!$E$8*'R&amp;S - Packaging and hh goods'!$H$14*('R&amp;S - Packaging and hh goods'!$AA$19+('R&amp;S - Packaging and hh goods'!$AA$20-'R&amp;S - Packaging and hh goods'!$AA$19)*(V$3-$N$3)/10))-V27*'R&amp;S - Packaging and hh goods'!$L$4/SUM('R&amp;S - Packaging and hh goods'!$L$4:$N$4)*('R&amp;S - Packaging and hh goods'!$E$9*'R&amp;S - Packaging and hh goods'!$I$14*('R&amp;S - Packaging and hh goods'!$AB$19+('R&amp;S - Packaging and hh goods'!$AB$20-'R&amp;S - Packaging and hh goods'!$AB$19)*(V$3-$N$3)/10))-V27*'R&amp;S - Packaging and hh goods'!$L$4/SUM('R&amp;S - Packaging and hh goods'!$L$4:$N$4)*('R&amp;S - Packaging and hh goods'!$E$10*'R&amp;S - Packaging and hh goods'!$I$14*('R&amp;S - Packaging and hh goods'!$AC$19+('R&amp;S - Packaging and hh goods'!$AC$20-'R&amp;S - Packaging and hh goods'!$AC$19)*(V$3-$N$3)/10))</f>
        <v>9.5496228078267151</v>
      </c>
      <c r="W35" s="60">
        <f>W27*'R&amp;S - Packaging and hh goods'!$L$4/SUM('R&amp;S - Packaging and hh goods'!$L$4:$N$4)-W27*'R&amp;S - Packaging and hh goods'!$L$4/SUM('R&amp;S - Packaging and hh goods'!$L$4:$N$4)*('R&amp;S - Packaging and hh goods'!$E$7*'R&amp;S - Packaging and hh goods'!$H$14*('R&amp;S - Packaging and hh goods'!$Z$19+('R&amp;S - Packaging and hh goods'!$Z$20-'R&amp;S - Packaging and hh goods'!$Z$19)*(W$3-$N$3)/10))-W27*'R&amp;S - Packaging and hh goods'!$L$4/SUM('R&amp;S - Packaging and hh goods'!$L$4:$N$4)*('R&amp;S - Packaging and hh goods'!$E$8*'R&amp;S - Packaging and hh goods'!$H$14*('R&amp;S - Packaging and hh goods'!$AA$19+('R&amp;S - Packaging and hh goods'!$AA$20-'R&amp;S - Packaging and hh goods'!$AA$19)*(W$3-$N$3)/10))-W27*'R&amp;S - Packaging and hh goods'!$L$4/SUM('R&amp;S - Packaging and hh goods'!$L$4:$N$4)*('R&amp;S - Packaging and hh goods'!$E$9*'R&amp;S - Packaging and hh goods'!$I$14*('R&amp;S - Packaging and hh goods'!$AB$19+('R&amp;S - Packaging and hh goods'!$AB$20-'R&amp;S - Packaging and hh goods'!$AB$19)*(W$3-$N$3)/10))-W27*'R&amp;S - Packaging and hh goods'!$L$4/SUM('R&amp;S - Packaging and hh goods'!$L$4:$N$4)*('R&amp;S - Packaging and hh goods'!$E$10*'R&amp;S - Packaging and hh goods'!$I$14*('R&amp;S - Packaging and hh goods'!$AC$19+('R&amp;S - Packaging and hh goods'!$AC$20-'R&amp;S - Packaging and hh goods'!$AC$19)*(W$3-$N$3)/10))</f>
        <v>9.6546686587128061</v>
      </c>
      <c r="X35" s="60">
        <f>X27*'R&amp;S - Packaging and hh goods'!$L$4/SUM('R&amp;S - Packaging and hh goods'!$L$4:$N$4)-X27*'R&amp;S - Packaging and hh goods'!$L$4/SUM('R&amp;S - Packaging and hh goods'!$L$4:$N$4)*('R&amp;S - Packaging and hh goods'!$E$7*'R&amp;S - Packaging and hh goods'!$H$14*('R&amp;S - Packaging and hh goods'!$Z$19+('R&amp;S - Packaging and hh goods'!$Z$20-'R&amp;S - Packaging and hh goods'!$Z$19)*(X$3-$N$3)/10))-X27*'R&amp;S - Packaging and hh goods'!$L$4/SUM('R&amp;S - Packaging and hh goods'!$L$4:$N$4)*('R&amp;S - Packaging and hh goods'!$E$8*'R&amp;S - Packaging and hh goods'!$H$14*('R&amp;S - Packaging and hh goods'!$AA$19+('R&amp;S - Packaging and hh goods'!$AA$20-'R&amp;S - Packaging and hh goods'!$AA$19)*(X$3-$N$3)/10))-X27*'R&amp;S - Packaging and hh goods'!$L$4/SUM('R&amp;S - Packaging and hh goods'!$L$4:$N$4)*('R&amp;S - Packaging and hh goods'!$E$9*'R&amp;S - Packaging and hh goods'!$I$14*('R&amp;S - Packaging and hh goods'!$AB$19+('R&amp;S - Packaging and hh goods'!$AB$20-'R&amp;S - Packaging and hh goods'!$AB$19)*(X$3-$N$3)/10))-X27*'R&amp;S - Packaging and hh goods'!$L$4/SUM('R&amp;S - Packaging and hh goods'!$L$4:$N$4)*('R&amp;S - Packaging and hh goods'!$E$10*'R&amp;S - Packaging and hh goods'!$I$14*('R&amp;S - Packaging and hh goods'!$AC$19+('R&amp;S - Packaging and hh goods'!$AC$20-'R&amp;S - Packaging and hh goods'!$AC$19)*(X$3-$N$3)/10))</f>
        <v>9.7608700139586464</v>
      </c>
      <c r="Y35" s="60">
        <f>Y27*'R&amp;S - Packaging and hh goods'!$L$4/SUM('R&amp;S - Packaging and hh goods'!$L$4:$N$4)-Y27*'R&amp;S - Packaging and hh goods'!$L$4/SUM('R&amp;S - Packaging and hh goods'!$L$4:$N$4)*('R&amp;S - Packaging and hh goods'!$E7*'R&amp;S - Packaging and hh goods'!$H$14*('R&amp;S - Packaging and hh goods'!$Z$20+('R&amp;S - Packaging and hh goods'!$Z$21-'R&amp;S - Packaging and hh goods'!$Z$20)*(Y$3-$X$3)/10))-Y27*'R&amp;S - Packaging and hh goods'!$L$4/SUM('R&amp;S - Packaging and hh goods'!$L$4:$N$4)*('R&amp;S - Packaging and hh goods'!$E8*'R&amp;S - Packaging and hh goods'!$H$14*('R&amp;S - Packaging and hh goods'!$AA$20+('R&amp;S - Packaging and hh goods'!$AA$21-'R&amp;S - Packaging and hh goods'!$AA$20)*(Y$3-$X$3)/10))-Y27*'R&amp;S - Packaging and hh goods'!$L$4/SUM('R&amp;S - Packaging and hh goods'!$L$4:$N$4)*('R&amp;S - Packaging and hh goods'!$E9*'R&amp;S - Packaging and hh goods'!$I$14*('R&amp;S - Packaging and hh goods'!$AB$20+('R&amp;S - Packaging and hh goods'!$AB$21-'R&amp;S - Packaging and hh goods'!$AB$20)*(Y$3-$X$3)/10))-Y27*'R&amp;S - Packaging and hh goods'!$L$4/SUM('R&amp;S - Packaging and hh goods'!$L$4:$N$4)*('R&amp;S - Packaging and hh goods'!$E10*'R&amp;S - Packaging and hh goods'!$I$14*('R&amp;S - Packaging and hh goods'!$AC$20+('R&amp;S - Packaging and hh goods'!$AC$21-'R&amp;S - Packaging and hh goods'!$AC$20)*(Y$3-$X$3)/10))</f>
        <v>9.8682395841121906</v>
      </c>
      <c r="Z35" s="60">
        <f>Z27*'R&amp;S - Packaging and hh goods'!$L$4/SUM('R&amp;S - Packaging and hh goods'!$L$4:$N$4)-Z27*'R&amp;S - Packaging and hh goods'!$L$4/SUM('R&amp;S - Packaging and hh goods'!$L$4:$N$4)*('R&amp;S - Packaging and hh goods'!$E7*'R&amp;S - Packaging and hh goods'!$H$14*('R&amp;S - Packaging and hh goods'!$Z$20+('R&amp;S - Packaging and hh goods'!$Z$21-'R&amp;S - Packaging and hh goods'!$Z$20)*(Z$3-$X$3)/10))-Z27*'R&amp;S - Packaging and hh goods'!$L$4/SUM('R&amp;S - Packaging and hh goods'!$L$4:$N$4)*('R&amp;S - Packaging and hh goods'!$E8*'R&amp;S - Packaging and hh goods'!$H$14*('R&amp;S - Packaging and hh goods'!$AA$20+('R&amp;S - Packaging and hh goods'!$AA$21-'R&amp;S - Packaging and hh goods'!$AA$20)*(Z$3-$X$3)/10))-Z27*'R&amp;S - Packaging and hh goods'!$L$4/SUM('R&amp;S - Packaging and hh goods'!$L$4:$N$4)*('R&amp;S - Packaging and hh goods'!$E9*'R&amp;S - Packaging and hh goods'!$I$14*('R&amp;S - Packaging and hh goods'!$AB$20+('R&amp;S - Packaging and hh goods'!$AB$21-'R&amp;S - Packaging and hh goods'!$AB$20)*(Z$3-$X$3)/10))-Z27*'R&amp;S - Packaging and hh goods'!$L$4/SUM('R&amp;S - Packaging and hh goods'!$L$4:$N$4)*('R&amp;S - Packaging and hh goods'!$E10*'R&amp;S - Packaging and hh goods'!$I$14*('R&amp;S - Packaging and hh goods'!$AC$20+('R&amp;S - Packaging and hh goods'!$AC$21-'R&amp;S - Packaging and hh goods'!$AC$20)*(Z$3-$X$3)/10))</f>
        <v>9.9767902195374241</v>
      </c>
      <c r="AA35" s="60">
        <f>AA27*'R&amp;S - Packaging and hh goods'!$L$4/SUM('R&amp;S - Packaging and hh goods'!$L$4:$N$4)-AA27*'R&amp;S - Packaging and hh goods'!$L$4/SUM('R&amp;S - Packaging and hh goods'!$L$4:$N$4)*('R&amp;S - Packaging and hh goods'!$E7*'R&amp;S - Packaging and hh goods'!$H$14*('R&amp;S - Packaging and hh goods'!$Z$20+('R&amp;S - Packaging and hh goods'!$Z$21-'R&amp;S - Packaging and hh goods'!$Z$20)*(AA$3-$X$3)/10))-AA27*'R&amp;S - Packaging and hh goods'!$L$4/SUM('R&amp;S - Packaging and hh goods'!$L$4:$N$4)*('R&amp;S - Packaging and hh goods'!$E8*'R&amp;S - Packaging and hh goods'!$H$14*('R&amp;S - Packaging and hh goods'!$AA$20+('R&amp;S - Packaging and hh goods'!$AA$21-'R&amp;S - Packaging and hh goods'!$AA$20)*(AA$3-$X$3)/10))-AA27*'R&amp;S - Packaging and hh goods'!$L$4/SUM('R&amp;S - Packaging and hh goods'!$L$4:$N$4)*('R&amp;S - Packaging and hh goods'!$E9*'R&amp;S - Packaging and hh goods'!$I$14*('R&amp;S - Packaging and hh goods'!$AB$20+('R&amp;S - Packaging and hh goods'!$AB$21-'R&amp;S - Packaging and hh goods'!$AB$20)*(AA$3-$X$3)/10))-AA27*'R&amp;S - Packaging and hh goods'!$L$4/SUM('R&amp;S - Packaging and hh goods'!$L$4:$N$4)*('R&amp;S - Packaging and hh goods'!$E10*'R&amp;S - Packaging and hh goods'!$I$14*('R&amp;S - Packaging and hh goods'!$AC$20+('R&amp;S - Packaging and hh goods'!$AC$21-'R&amp;S - Packaging and hh goods'!$AC$20)*(AA$3-$X$3)/10))</f>
        <v>10.086534911952334</v>
      </c>
      <c r="AB35" s="60">
        <f>AB27*'R&amp;S - Packaging and hh goods'!$L$4/SUM('R&amp;S - Packaging and hh goods'!$L$4:$N$4)-AB27*'R&amp;S - Packaging and hh goods'!$L$4/SUM('R&amp;S - Packaging and hh goods'!$L$4:$N$4)*('R&amp;S - Packaging and hh goods'!$E7*'R&amp;S - Packaging and hh goods'!$H$14*('R&amp;S - Packaging and hh goods'!$Z$20+('R&amp;S - Packaging and hh goods'!$Z$21-'R&amp;S - Packaging and hh goods'!$Z$20)*(AB$3-$X$3)/10))-AB27*'R&amp;S - Packaging and hh goods'!$L$4/SUM('R&amp;S - Packaging and hh goods'!$L$4:$N$4)*('R&amp;S - Packaging and hh goods'!$E8*'R&amp;S - Packaging and hh goods'!$H$14*('R&amp;S - Packaging and hh goods'!$AA$20+('R&amp;S - Packaging and hh goods'!$AA$21-'R&amp;S - Packaging and hh goods'!$AA$20)*(AB$3-$X$3)/10))-AB27*'R&amp;S - Packaging and hh goods'!$L$4/SUM('R&amp;S - Packaging and hh goods'!$L$4:$N$4)*('R&amp;S - Packaging and hh goods'!$E9*'R&amp;S - Packaging and hh goods'!$I$14*('R&amp;S - Packaging and hh goods'!$AB$20+('R&amp;S - Packaging and hh goods'!$AB$21-'R&amp;S - Packaging and hh goods'!$AB$20)*(AB$3-$X$3)/10))-AB27*'R&amp;S - Packaging and hh goods'!$L$4/SUM('R&amp;S - Packaging and hh goods'!$L$4:$N$4)*('R&amp;S - Packaging and hh goods'!$E10*'R&amp;S - Packaging and hh goods'!$I$14*('R&amp;S - Packaging and hh goods'!$AC$20+('R&amp;S - Packaging and hh goods'!$AC$21-'R&amp;S - Packaging and hh goods'!$AC$20)*(AB$3-$X$3)/10))</f>
        <v>10.197486795983808</v>
      </c>
      <c r="AC35" s="60">
        <f>AC27*'R&amp;S - Packaging and hh goods'!$L$4/SUM('R&amp;S - Packaging and hh goods'!$L$4:$N$4)-AC27*'R&amp;S - Packaging and hh goods'!$L$4/SUM('R&amp;S - Packaging and hh goods'!$L$4:$N$4)*('R&amp;S - Packaging and hh goods'!$E7*'R&amp;S - Packaging and hh goods'!$H$14*('R&amp;S - Packaging and hh goods'!$Z$20+('R&amp;S - Packaging and hh goods'!$Z$21-'R&amp;S - Packaging and hh goods'!$Z$20)*(AC$3-$X$3)/10))-AC27*'R&amp;S - Packaging and hh goods'!$L$4/SUM('R&amp;S - Packaging and hh goods'!$L$4:$N$4)*('R&amp;S - Packaging and hh goods'!$E8*'R&amp;S - Packaging and hh goods'!$H$14*('R&amp;S - Packaging and hh goods'!$AA$20+('R&amp;S - Packaging and hh goods'!$AA$21-'R&amp;S - Packaging and hh goods'!$AA$20)*(AC$3-$X$3)/10))-AC27*'R&amp;S - Packaging and hh goods'!$L$4/SUM('R&amp;S - Packaging and hh goods'!$L$4:$N$4)*('R&amp;S - Packaging and hh goods'!$E9*'R&amp;S - Packaging and hh goods'!$I$14*('R&amp;S - Packaging and hh goods'!$AB$20+('R&amp;S - Packaging and hh goods'!$AB$21-'R&amp;S - Packaging and hh goods'!$AB$20)*(AC$3-$X$3)/10))-AC27*'R&amp;S - Packaging and hh goods'!$L$4/SUM('R&amp;S - Packaging and hh goods'!$L$4:$N$4)*('R&amp;S - Packaging and hh goods'!$E10*'R&amp;S - Packaging and hh goods'!$I$14*('R&amp;S - Packaging and hh goods'!$AC$20+('R&amp;S - Packaging and hh goods'!$AC$21-'R&amp;S - Packaging and hh goods'!$AC$20)*(AC$3-$X$3)/10))</f>
        <v>10.30965915073963</v>
      </c>
      <c r="AD35" s="60">
        <f>AD27*'R&amp;S - Packaging and hh goods'!$L$4/SUM('R&amp;S - Packaging and hh goods'!$L$4:$N$4)-AD27*'R&amp;S - Packaging and hh goods'!$L$4/SUM('R&amp;S - Packaging and hh goods'!$L$4:$N$4)*('R&amp;S - Packaging and hh goods'!$E7*'R&amp;S - Packaging and hh goods'!$H$14*('R&amp;S - Packaging and hh goods'!$Z$20+('R&amp;S - Packaging and hh goods'!$Z$21-'R&amp;S - Packaging and hh goods'!$Z$20)*(AD$3-$X$3)/10))-AD27*'R&amp;S - Packaging and hh goods'!$L$4/SUM('R&amp;S - Packaging and hh goods'!$L$4:$N$4)*('R&amp;S - Packaging and hh goods'!$E8*'R&amp;S - Packaging and hh goods'!$H$14*('R&amp;S - Packaging and hh goods'!$AA$20+('R&amp;S - Packaging and hh goods'!$AA$21-'R&amp;S - Packaging and hh goods'!$AA$20)*(AD$3-$X$3)/10))-AD27*'R&amp;S - Packaging and hh goods'!$L$4/SUM('R&amp;S - Packaging and hh goods'!$L$4:$N$4)*('R&amp;S - Packaging and hh goods'!$E9*'R&amp;S - Packaging and hh goods'!$I$14*('R&amp;S - Packaging and hh goods'!$AB$20+('R&amp;S - Packaging and hh goods'!$AB$21-'R&amp;S - Packaging and hh goods'!$AB$20)*(AD$3-$X$3)/10))-AD27*'R&amp;S - Packaging and hh goods'!$L$4/SUM('R&amp;S - Packaging and hh goods'!$L$4:$N$4)*('R&amp;S - Packaging and hh goods'!$E10*'R&amp;S - Packaging and hh goods'!$I$14*('R&amp;S - Packaging and hh goods'!$AC$20+('R&amp;S - Packaging and hh goods'!$AC$21-'R&amp;S - Packaging and hh goods'!$AC$20)*(AD$3-$X$3)/10))</f>
        <v>10.423065401397764</v>
      </c>
      <c r="AE35" s="60">
        <f>AE27*'R&amp;S - Packaging and hh goods'!$L$4/SUM('R&amp;S - Packaging and hh goods'!$L$4:$N$4)-AE27*'R&amp;S - Packaging and hh goods'!$L$4/SUM('R&amp;S - Packaging and hh goods'!$L$4:$N$4)*('R&amp;S - Packaging and hh goods'!$E7*'R&amp;S - Packaging and hh goods'!$H$14*('R&amp;S - Packaging and hh goods'!$Z$20+('R&amp;S - Packaging and hh goods'!$Z$21-'R&amp;S - Packaging and hh goods'!$Z$20)*(AE$3-$X$3)/10))-AE27*'R&amp;S - Packaging and hh goods'!$L$4/SUM('R&amp;S - Packaging and hh goods'!$L$4:$N$4)*('R&amp;S - Packaging and hh goods'!$E8*'R&amp;S - Packaging and hh goods'!$H$14*('R&amp;S - Packaging and hh goods'!$AA$20+('R&amp;S - Packaging and hh goods'!$AA$21-'R&amp;S - Packaging and hh goods'!$AA$20)*(AE$3-$X$3)/10))-AE27*'R&amp;S - Packaging and hh goods'!$L$4/SUM('R&amp;S - Packaging and hh goods'!$L$4:$N$4)*('R&amp;S - Packaging and hh goods'!$E9*'R&amp;S - Packaging and hh goods'!$I$14*('R&amp;S - Packaging and hh goods'!$AB$20+('R&amp;S - Packaging and hh goods'!$AB$21-'R&amp;S - Packaging and hh goods'!$AB$20)*(AE$3-$X$3)/10))-AE27*'R&amp;S - Packaging and hh goods'!$L$4/SUM('R&amp;S - Packaging and hh goods'!$L$4:$N$4)*('R&amp;S - Packaging and hh goods'!$E10*'R&amp;S - Packaging and hh goods'!$I$14*('R&amp;S - Packaging and hh goods'!$AC$20+('R&amp;S - Packaging and hh goods'!$AC$21-'R&amp;S - Packaging and hh goods'!$AC$20)*(AE$3-$X$3)/10))</f>
        <v>10.537719120813136</v>
      </c>
      <c r="AF35" s="60">
        <f>AF27*'R&amp;S - Packaging and hh goods'!$L$4/SUM('R&amp;S - Packaging and hh goods'!$L$4:$N$4)-AF27*'R&amp;S - Packaging and hh goods'!$L$4/SUM('R&amp;S - Packaging and hh goods'!$L$4:$N$4)*('R&amp;S - Packaging and hh goods'!$E7*'R&amp;S - Packaging and hh goods'!$H$14*('R&amp;S - Packaging and hh goods'!$Z$20+('R&amp;S - Packaging and hh goods'!$Z$21-'R&amp;S - Packaging and hh goods'!$Z$20)*(AF$3-$X$3)/10))-AF27*'R&amp;S - Packaging and hh goods'!$L$4/SUM('R&amp;S - Packaging and hh goods'!$L$4:$N$4)*('R&amp;S - Packaging and hh goods'!$E8*'R&amp;S - Packaging and hh goods'!$H$14*('R&amp;S - Packaging and hh goods'!$AA$20+('R&amp;S - Packaging and hh goods'!$AA$21-'R&amp;S - Packaging and hh goods'!$AA$20)*(AF$3-$X$3)/10))-AF27*'R&amp;S - Packaging and hh goods'!$L$4/SUM('R&amp;S - Packaging and hh goods'!$L$4:$N$4)*('R&amp;S - Packaging and hh goods'!$E9*'R&amp;S - Packaging and hh goods'!$I$14*('R&amp;S - Packaging and hh goods'!$AB$20+('R&amp;S - Packaging and hh goods'!$AB$21-'R&amp;S - Packaging and hh goods'!$AB$20)*(AF$3-$X$3)/10))-AF27*'R&amp;S - Packaging and hh goods'!$L$4/SUM('R&amp;S - Packaging and hh goods'!$L$4:$N$4)*('R&amp;S - Packaging and hh goods'!$E10*'R&amp;S - Packaging and hh goods'!$I$14*('R&amp;S - Packaging and hh goods'!$AC$20+('R&amp;S - Packaging and hh goods'!$AC$21-'R&amp;S - Packaging and hh goods'!$AC$20)*(AF$3-$X$3)/10))</f>
        <v>10.653634031142081</v>
      </c>
      <c r="AG35" s="60">
        <f>AG27*'R&amp;S - Packaging and hh goods'!$L$4/SUM('R&amp;S - Packaging and hh goods'!$L$4:$N$4)-AG27*'R&amp;S - Packaging and hh goods'!$L$4/SUM('R&amp;S - Packaging and hh goods'!$L$4:$N$4)*('R&amp;S - Packaging and hh goods'!$E7*'R&amp;S - Packaging and hh goods'!$H$14*('R&amp;S - Packaging and hh goods'!$Z$20+('R&amp;S - Packaging and hh goods'!$Z$21-'R&amp;S - Packaging and hh goods'!$Z$20)*(AG$3-$X$3)/10))-AG27*'R&amp;S - Packaging and hh goods'!$L$4/SUM('R&amp;S - Packaging and hh goods'!$L$4:$N$4)*('R&amp;S - Packaging and hh goods'!$E8*'R&amp;S - Packaging and hh goods'!$H$14*('R&amp;S - Packaging and hh goods'!$AA$20+('R&amp;S - Packaging and hh goods'!$AA$21-'R&amp;S - Packaging and hh goods'!$AA$20)*(AG$3-$X$3)/10))-AG27*'R&amp;S - Packaging and hh goods'!$L$4/SUM('R&amp;S - Packaging and hh goods'!$L$4:$N$4)*('R&amp;S - Packaging and hh goods'!$E9*'R&amp;S - Packaging and hh goods'!$I$14*('R&amp;S - Packaging and hh goods'!$AB$20+('R&amp;S - Packaging and hh goods'!$AB$21-'R&amp;S - Packaging and hh goods'!$AB$20)*(AG$3-$X$3)/10))-AG27*'R&amp;S - Packaging and hh goods'!$L$4/SUM('R&amp;S - Packaging and hh goods'!$L$4:$N$4)*('R&amp;S - Packaging and hh goods'!$E10*'R&amp;S - Packaging and hh goods'!$I$14*('R&amp;S - Packaging and hh goods'!$AC$20+('R&amp;S - Packaging and hh goods'!$AC$21-'R&amp;S - Packaging and hh goods'!$AC$20)*(AG$3-$X$3)/10))</f>
        <v>10.770824005484643</v>
      </c>
      <c r="AH35" s="60">
        <f>AH27*'R&amp;S - Packaging and hh goods'!$L$4/SUM('R&amp;S - Packaging and hh goods'!$L$4:$N$4)-AH27*'R&amp;S - Packaging and hh goods'!$L$4/SUM('R&amp;S - Packaging and hh goods'!$L$4:$N$4)*('R&amp;S - Packaging and hh goods'!$E7*'R&amp;S - Packaging and hh goods'!$H$14*('R&amp;S - Packaging and hh goods'!$Z$20+('R&amp;S - Packaging and hh goods'!$Z$21-'R&amp;S - Packaging and hh goods'!$Z$20)*(AH$3-$X$3)/10))-AH27*'R&amp;S - Packaging and hh goods'!$L$4/SUM('R&amp;S - Packaging and hh goods'!$L$4:$N$4)*('R&amp;S - Packaging and hh goods'!$E8*'R&amp;S - Packaging and hh goods'!$H$14*('R&amp;S - Packaging and hh goods'!$AA$20+('R&amp;S - Packaging and hh goods'!$AA$21-'R&amp;S - Packaging and hh goods'!$AA$20)*(AH$3-$X$3)/10))-AH27*'R&amp;S - Packaging and hh goods'!$L$4/SUM('R&amp;S - Packaging and hh goods'!$L$4:$N$4)*('R&amp;S - Packaging and hh goods'!$E9*'R&amp;S - Packaging and hh goods'!$I$14*('R&amp;S - Packaging and hh goods'!$AB$20+('R&amp;S - Packaging and hh goods'!$AB$21-'R&amp;S - Packaging and hh goods'!$AB$20)*(AH$3-$X$3)/10))-AH27*'R&amp;S - Packaging and hh goods'!$L$4/SUM('R&amp;S - Packaging and hh goods'!$L$4:$N$4)*('R&amp;S - Packaging and hh goods'!$E10*'R&amp;S - Packaging and hh goods'!$I$14*('R&amp;S - Packaging and hh goods'!$AC$20+('R&amp;S - Packaging and hh goods'!$AC$21-'R&amp;S - Packaging and hh goods'!$AC$20)*(AH$3-$X$3)/10))</f>
        <v>10.889303069544972</v>
      </c>
      <c r="AJ35" s="60">
        <f>AJ27*'R&amp;S - Packaging and hh goods'!$L$4/SUM('R&amp;S - Packaging and hh goods'!$L$4:$N$4)</f>
        <v>7.8426966561118325</v>
      </c>
      <c r="AK35" s="60">
        <f>AK27*'R&amp;S - Packaging and hh goods'!$L$4/SUM('R&amp;S - Packaging and hh goods'!$L$4:$N$4)-AK27*'R&amp;S - Packaging and hh goods'!$L$4/SUM('R&amp;S - Packaging and hh goods'!$L$4:$N$4)*'R&amp;S - Packaging and hh goods'!$E$7*('R&amp;S - Packaging and hh goods'!$H$15*'R&amp;S - Packaging and hh goods'!$Z$19*(AK$3-$D$3)/10)-AK27*'R&amp;S - Packaging and hh goods'!$L$4/SUM('R&amp;S - Packaging and hh goods'!$L$4:$N$4)*'R&amp;S - Packaging and hh goods'!$E$8*('R&amp;S - Packaging and hh goods'!$H$15*'R&amp;S - Packaging and hh goods'!$AA$19*(AK$3-$D$3)/10)-AK27*'R&amp;S - Packaging and hh goods'!$L$4/SUM('R&amp;S - Packaging and hh goods'!$L$4:$N$4)*'R&amp;S - Packaging and hh goods'!$E$9*('R&amp;S - Packaging and hh goods'!$H$15*'R&amp;S - Packaging and hh goods'!$AB$19*(AK$3-$D$3)/10)-AK31*'R&amp;S - Packaging and hh goods'!$L$4/SUM('R&amp;S - Packaging and hh goods'!$L$4:$N$4)*'R&amp;S - Packaging and hh goods'!$E$10*('R&amp;S - Packaging and hh goods'!$H$15*'R&amp;S - Packaging and hh goods'!$AC$19*(AK$3-$D$3)/10)</f>
        <v>7.9289663193290609</v>
      </c>
      <c r="AL35" s="60">
        <f>AL27*'R&amp;S - Packaging and hh goods'!$L$4/SUM('R&amp;S - Packaging and hh goods'!$L$4:$N$4)-AL27*'R&amp;S - Packaging and hh goods'!$L$4/SUM('R&amp;S - Packaging and hh goods'!$L$4:$N$4)*'R&amp;S - Packaging and hh goods'!$E$7*('R&amp;S - Packaging and hh goods'!$H$15*'R&amp;S - Packaging and hh goods'!$Z$19*(AL$3-$D$3)/10)-AL27*'R&amp;S - Packaging and hh goods'!$L$4/SUM('R&amp;S - Packaging and hh goods'!$L$4:$N$4)*'R&amp;S - Packaging and hh goods'!$E$8*('R&amp;S - Packaging and hh goods'!$H$15*'R&amp;S - Packaging and hh goods'!$AA$19*(AL$3-$D$3)/10)-AL27*'R&amp;S - Packaging and hh goods'!$L$4/SUM('R&amp;S - Packaging and hh goods'!$L$4:$N$4)*'R&amp;S - Packaging and hh goods'!$E$9*('R&amp;S - Packaging and hh goods'!$H$15*'R&amp;S - Packaging and hh goods'!$AB$19*(AL$3-$D$3)/10)-AL31*'R&amp;S - Packaging and hh goods'!$L$4/SUM('R&amp;S - Packaging and hh goods'!$L$4:$N$4)*'R&amp;S - Packaging and hh goods'!$E$10*('R&amp;S - Packaging and hh goods'!$H$15*'R&amp;S - Packaging and hh goods'!$AC$19*(AL$3-$D$3)/10)</f>
        <v>8.0161849488416799</v>
      </c>
      <c r="AM35" s="60">
        <f>AM27*'R&amp;S - Packaging and hh goods'!$L$4/SUM('R&amp;S - Packaging and hh goods'!$L$4:$N$4)-AM27*'R&amp;S - Packaging and hh goods'!$L$4/SUM('R&amp;S - Packaging and hh goods'!$L$4:$N$4)*'R&amp;S - Packaging and hh goods'!$E$7*('R&amp;S - Packaging and hh goods'!$H$15*'R&amp;S - Packaging and hh goods'!$Z$19*(AM$3-$D$3)/10)-AM27*'R&amp;S - Packaging and hh goods'!$L$4/SUM('R&amp;S - Packaging and hh goods'!$L$4:$N$4)*'R&amp;S - Packaging and hh goods'!$E$8*('R&amp;S - Packaging and hh goods'!$H$15*'R&amp;S - Packaging and hh goods'!$AA$19*(AM$3-$D$3)/10)-AM27*'R&amp;S - Packaging and hh goods'!$L$4/SUM('R&amp;S - Packaging and hh goods'!$L$4:$N$4)*'R&amp;S - Packaging and hh goods'!$E$9*('R&amp;S - Packaging and hh goods'!$H$15*'R&amp;S - Packaging and hh goods'!$AB$19*(AM$3-$D$3)/10)-AM31*'R&amp;S - Packaging and hh goods'!$L$4/SUM('R&amp;S - Packaging and hh goods'!$L$4:$N$4)*'R&amp;S - Packaging and hh goods'!$E$10*('R&amp;S - Packaging and hh goods'!$H$15*'R&amp;S - Packaging and hh goods'!$AC$19*(AM$3-$D$3)/10)</f>
        <v>8.1043629832789374</v>
      </c>
      <c r="AN35" s="60">
        <f>AN27*'R&amp;S - Packaging and hh goods'!$L$4/SUM('R&amp;S - Packaging and hh goods'!$L$4:$N$4)-AN27*'R&amp;S - Packaging and hh goods'!$L$4/SUM('R&amp;S - Packaging and hh goods'!$L$4:$N$4)*'R&amp;S - Packaging and hh goods'!$E$7*('R&amp;S - Packaging and hh goods'!$H$15*'R&amp;S - Packaging and hh goods'!$Z$19*(AN$3-$D$3)/10)-AN27*'R&amp;S - Packaging and hh goods'!$L$4/SUM('R&amp;S - Packaging and hh goods'!$L$4:$N$4)*'R&amp;S - Packaging and hh goods'!$E$8*('R&amp;S - Packaging and hh goods'!$H$15*'R&amp;S - Packaging and hh goods'!$AA$19*(AN$3-$D$3)/10)-AN27*'R&amp;S - Packaging and hh goods'!$L$4/SUM('R&amp;S - Packaging and hh goods'!$L$4:$N$4)*'R&amp;S - Packaging and hh goods'!$E$9*('R&amp;S - Packaging and hh goods'!$H$15*'R&amp;S - Packaging and hh goods'!$AB$19*(AN$3-$D$3)/10)-AN31*'R&amp;S - Packaging and hh goods'!$L$4/SUM('R&amp;S - Packaging and hh goods'!$L$4:$N$4)*'R&amp;S - Packaging and hh goods'!$E$10*('R&amp;S - Packaging and hh goods'!$H$15*'R&amp;S - Packaging and hh goods'!$AC$19*(AN$3-$D$3)/10)</f>
        <v>8.1935109760950056</v>
      </c>
      <c r="AO35" s="60">
        <f>AO27*'R&amp;S - Packaging and hh goods'!$L$4/SUM('R&amp;S - Packaging and hh goods'!$L$4:$N$4)-AO27*'R&amp;S - Packaging and hh goods'!$L$4/SUM('R&amp;S - Packaging and hh goods'!$L$4:$N$4)*'R&amp;S - Packaging and hh goods'!$E$7*('R&amp;S - Packaging and hh goods'!$H$15*'R&amp;S - Packaging and hh goods'!$Z$19*(AO$3-$D$3)/10)-AO27*'R&amp;S - Packaging and hh goods'!$L$4/SUM('R&amp;S - Packaging and hh goods'!$L$4:$N$4)*'R&amp;S - Packaging and hh goods'!$E$8*('R&amp;S - Packaging and hh goods'!$H$15*'R&amp;S - Packaging and hh goods'!$AA$19*(AO$3-$D$3)/10)-AO27*'R&amp;S - Packaging and hh goods'!$L$4/SUM('R&amp;S - Packaging and hh goods'!$L$4:$N$4)*'R&amp;S - Packaging and hh goods'!$E$9*('R&amp;S - Packaging and hh goods'!$H$15*'R&amp;S - Packaging and hh goods'!$AB$19*(AO$3-$D$3)/10)-AO31*'R&amp;S - Packaging and hh goods'!$L$4/SUM('R&amp;S - Packaging and hh goods'!$L$4:$N$4)*'R&amp;S - Packaging and hh goods'!$E$10*('R&amp;S - Packaging and hh goods'!$H$15*'R&amp;S - Packaging and hh goods'!$AC$19*(AO$3-$D$3)/10)</f>
        <v>8.2836395968320495</v>
      </c>
      <c r="AP35" s="60">
        <f>AP27*'R&amp;S - Packaging and hh goods'!$L$4/SUM('R&amp;S - Packaging and hh goods'!$L$4:$N$4)-AP27*'R&amp;S - Packaging and hh goods'!$L$4/SUM('R&amp;S - Packaging and hh goods'!$L$4:$N$4)*'R&amp;S - Packaging and hh goods'!$E$7*('R&amp;S - Packaging and hh goods'!$H$15*'R&amp;S - Packaging and hh goods'!$Z$19*(AP$3-$D$3)/10)-AP27*'R&amp;S - Packaging and hh goods'!$L$4/SUM('R&amp;S - Packaging and hh goods'!$L$4:$N$4)*'R&amp;S - Packaging and hh goods'!$E$8*('R&amp;S - Packaging and hh goods'!$H$15*'R&amp;S - Packaging and hh goods'!$AA$19*(AP$3-$D$3)/10)-AP27*'R&amp;S - Packaging and hh goods'!$L$4/SUM('R&amp;S - Packaging and hh goods'!$L$4:$N$4)*'R&amp;S - Packaging and hh goods'!$E$9*('R&amp;S - Packaging and hh goods'!$H$15*'R&amp;S - Packaging and hh goods'!$AB$19*(AP$3-$D$3)/10)-AP31*'R&amp;S - Packaging and hh goods'!$L$4/SUM('R&amp;S - Packaging and hh goods'!$L$4:$N$4)*'R&amp;S - Packaging and hh goods'!$E$10*('R&amp;S - Packaging and hh goods'!$H$15*'R&amp;S - Packaging and hh goods'!$AC$19*(AP$3-$D$3)/10)</f>
        <v>8.3747596323972004</v>
      </c>
      <c r="AQ35" s="60">
        <f>AQ27*'R&amp;S - Packaging and hh goods'!$L$4/SUM('R&amp;S - Packaging and hh goods'!$L$4:$N$4)-AQ27*'R&amp;S - Packaging and hh goods'!$L$4/SUM('R&amp;S - Packaging and hh goods'!$L$4:$N$4)*'R&amp;S - Packaging and hh goods'!$E$7*('R&amp;S - Packaging and hh goods'!$H$15*'R&amp;S - Packaging and hh goods'!$Z$19*(AQ$3-$D$3)/10)-AQ27*'R&amp;S - Packaging and hh goods'!$L$4/SUM('R&amp;S - Packaging and hh goods'!$L$4:$N$4)*'R&amp;S - Packaging and hh goods'!$E$8*('R&amp;S - Packaging and hh goods'!$H$15*'R&amp;S - Packaging and hh goods'!$AA$19*(AQ$3-$D$3)/10)-AQ27*'R&amp;S - Packaging and hh goods'!$L$4/SUM('R&amp;S - Packaging and hh goods'!$L$4:$N$4)*'R&amp;S - Packaging and hh goods'!$E$9*('R&amp;S - Packaging and hh goods'!$H$15*'R&amp;S - Packaging and hh goods'!$AB$19*(AQ$3-$D$3)/10)-AQ31*'R&amp;S - Packaging and hh goods'!$L$4/SUM('R&amp;S - Packaging and hh goods'!$L$4:$N$4)*'R&amp;S - Packaging and hh goods'!$E$10*('R&amp;S - Packaging and hh goods'!$H$15*'R&amp;S - Packaging and hh goods'!$AC$19*(AQ$3-$D$3)/10)</f>
        <v>8.4668819883535686</v>
      </c>
      <c r="AR35" s="60">
        <f>AR27*'R&amp;S - Packaging and hh goods'!$L$4/SUM('R&amp;S - Packaging and hh goods'!$L$4:$N$4)-AR27*'R&amp;S - Packaging and hh goods'!$L$4/SUM('R&amp;S - Packaging and hh goods'!$L$4:$N$4)*'R&amp;S - Packaging and hh goods'!$E$7*('R&amp;S - Packaging and hh goods'!$H$15*'R&amp;S - Packaging and hh goods'!$Z$19*(AR$3-$D$3)/10)-AR27*'R&amp;S - Packaging and hh goods'!$L$4/SUM('R&amp;S - Packaging and hh goods'!$L$4:$N$4)*'R&amp;S - Packaging and hh goods'!$E$8*('R&amp;S - Packaging and hh goods'!$H$15*'R&amp;S - Packaging and hh goods'!$AA$19*(AR$3-$D$3)/10)-AR27*'R&amp;S - Packaging and hh goods'!$L$4/SUM('R&amp;S - Packaging and hh goods'!$L$4:$N$4)*'R&amp;S - Packaging and hh goods'!$E$9*('R&amp;S - Packaging and hh goods'!$H$15*'R&amp;S - Packaging and hh goods'!$AB$19*(AR$3-$D$3)/10)-AR31*'R&amp;S - Packaging and hh goods'!$L$4/SUM('R&amp;S - Packaging and hh goods'!$L$4:$N$4)*'R&amp;S - Packaging and hh goods'!$E$10*('R&amp;S - Packaging and hh goods'!$H$15*'R&amp;S - Packaging and hh goods'!$AC$19*(AR$3-$D$3)/10)</f>
        <v>8.5600176902254574</v>
      </c>
      <c r="AS35" s="60">
        <f>AS27*'R&amp;S - Packaging and hh goods'!$L$4/SUM('R&amp;S - Packaging and hh goods'!$L$4:$N$4)-AS27*'R&amp;S - Packaging and hh goods'!$L$4/SUM('R&amp;S - Packaging and hh goods'!$L$4:$N$4)*'R&amp;S - Packaging and hh goods'!$E$7*('R&amp;S - Packaging and hh goods'!$H$15*'R&amp;S - Packaging and hh goods'!$Z$19*(AS$3-$D$3)/10)-AS27*'R&amp;S - Packaging and hh goods'!$L$4/SUM('R&amp;S - Packaging and hh goods'!$L$4:$N$4)*'R&amp;S - Packaging and hh goods'!$E$8*('R&amp;S - Packaging and hh goods'!$H$15*'R&amp;S - Packaging and hh goods'!$AA$19*(AS$3-$D$3)/10)-AS27*'R&amp;S - Packaging and hh goods'!$L$4/SUM('R&amp;S - Packaging and hh goods'!$L$4:$N$4)*'R&amp;S - Packaging and hh goods'!$E$9*('R&amp;S - Packaging and hh goods'!$H$15*'R&amp;S - Packaging and hh goods'!$AB$19*(AS$3-$D$3)/10)-AS31*'R&amp;S - Packaging and hh goods'!$L$4/SUM('R&amp;S - Packaging and hh goods'!$L$4:$N$4)*'R&amp;S - Packaging and hh goods'!$E$10*('R&amp;S - Packaging and hh goods'!$H$15*'R&amp;S - Packaging and hh goods'!$AC$19*(AS$3-$D$3)/10)</f>
        <v>8.6541778848179352</v>
      </c>
      <c r="AT35" s="60">
        <f>AT27*'R&amp;S - Packaging and hh goods'!$L$4/SUM('R&amp;S - Packaging and hh goods'!$L$4:$N$4)-AT27*'R&amp;S - Packaging and hh goods'!$L$4/SUM('R&amp;S - Packaging and hh goods'!$L$4:$N$4)*'R&amp;S - Packaging and hh goods'!$E$7*('R&amp;S - Packaging and hh goods'!$H$15*'R&amp;S - Packaging and hh goods'!$Z$19*(AT$3-$D$3)/10)-AT27*'R&amp;S - Packaging and hh goods'!$L$4/SUM('R&amp;S - Packaging and hh goods'!$L$4:$N$4)*'R&amp;S - Packaging and hh goods'!$E$8*('R&amp;S - Packaging and hh goods'!$H$15*'R&amp;S - Packaging and hh goods'!$AA$19*(AT$3-$D$3)/10)-AT27*'R&amp;S - Packaging and hh goods'!$L$4/SUM('R&amp;S - Packaging and hh goods'!$L$4:$N$4)*'R&amp;S - Packaging and hh goods'!$E$9*('R&amp;S - Packaging and hh goods'!$H$15*'R&amp;S - Packaging and hh goods'!$AB$19*(AT$3-$D$3)/10)-AT31*'R&amp;S - Packaging and hh goods'!$L$4/SUM('R&amp;S - Packaging and hh goods'!$L$4:$N$4)*'R&amp;S - Packaging and hh goods'!$E$10*('R&amp;S - Packaging and hh goods'!$H$15*'R&amp;S - Packaging and hh goods'!$AC$19*(AT$3-$D$3)/10)</f>
        <v>8.7493738415509323</v>
      </c>
      <c r="AU35" s="60">
        <f>AU27*'R&amp;S - Packaging and hh goods'!$L$4/SUM('R&amp;S - Packaging and hh goods'!$L$4:$N$4)-AU27*'R&amp;S - Packaging and hh goods'!$L$4/SUM('R&amp;S - Packaging and hh goods'!$L$4:$N$4)*('R&amp;S - Packaging and hh goods'!$E$7*'R&amp;S - Packaging and hh goods'!$H$15*('R&amp;S - Packaging and hh goods'!$Z$19+('R&amp;S - Packaging and hh goods'!$Z$20-'R&amp;S - Packaging and hh goods'!$Z$19)*(AU$3-$N$3)/10))-AU27*'R&amp;S - Packaging and hh goods'!$L$4/SUM('R&amp;S - Packaging and hh goods'!$L$4:$N$4)*('R&amp;S - Packaging and hh goods'!$E$8*'R&amp;S - Packaging and hh goods'!$H$15*('R&amp;S - Packaging and hh goods'!$AA$19+('R&amp;S - Packaging and hh goods'!$AA$20-'R&amp;S - Packaging and hh goods'!$AA$19)*(AU$3-$N$3)/10))-AU27*'R&amp;S - Packaging and hh goods'!$L$4/SUM('R&amp;S - Packaging and hh goods'!$L$4:$N$4)*('R&amp;S - Packaging and hh goods'!$E$9*'R&amp;S - Packaging and hh goods'!$I$15*('R&amp;S - Packaging and hh goods'!$AB$19+('R&amp;S - Packaging and hh goods'!$AB$20-'R&amp;S - Packaging and hh goods'!$AB$19)*(AU$3-$N$3)/10))-AU27*'R&amp;S - Packaging and hh goods'!$L$4/SUM('R&amp;S - Packaging and hh goods'!$L$4:$N$4)*('R&amp;S - Packaging and hh goods'!$E$10*'R&amp;S - Packaging and hh goods'!$I$15*('R&amp;S - Packaging and hh goods'!$AC$19+('R&amp;S - Packaging and hh goods'!$AC$20-'R&amp;S - Packaging and hh goods'!$AC$19)*(AU$3-$N$3)/10))</f>
        <v>8.8456169538079923</v>
      </c>
      <c r="AV35" s="60">
        <f>AV27*'R&amp;S - Packaging and hh goods'!$L$4/SUM('R&amp;S - Packaging and hh goods'!$L$4:$N$4)-AV27*'R&amp;S - Packaging and hh goods'!$L$4/SUM('R&amp;S - Packaging and hh goods'!$L$4:$N$4)*('R&amp;S - Packaging and hh goods'!$E$7*'R&amp;S - Packaging and hh goods'!$H$15*('R&amp;S - Packaging and hh goods'!$Z$19+('R&amp;S - Packaging and hh goods'!$Z$20-'R&amp;S - Packaging and hh goods'!$Z$19)*(AV$3-$N$3)/10))-AV27*'R&amp;S - Packaging and hh goods'!$L$4/SUM('R&amp;S - Packaging and hh goods'!$L$4:$N$4)*('R&amp;S - Packaging and hh goods'!$E$8*'R&amp;S - Packaging and hh goods'!$H$15*('R&amp;S - Packaging and hh goods'!$AA$19+('R&amp;S - Packaging and hh goods'!$AA$20-'R&amp;S - Packaging and hh goods'!$AA$19)*(AV$3-$N$3)/10))-AV27*'R&amp;S - Packaging and hh goods'!$L$4/SUM('R&amp;S - Packaging and hh goods'!$L$4:$N$4)*('R&amp;S - Packaging and hh goods'!$E$9*'R&amp;S - Packaging and hh goods'!$I$15*('R&amp;S - Packaging and hh goods'!$AB$19+('R&amp;S - Packaging and hh goods'!$AB$20-'R&amp;S - Packaging and hh goods'!$AB$19)*(AV$3-$N$3)/10))-AV27*'R&amp;S - Packaging and hh goods'!$L$4/SUM('R&amp;S - Packaging and hh goods'!$L$4:$N$4)*('R&amp;S - Packaging and hh goods'!$E$10*'R&amp;S - Packaging and hh goods'!$I$15*('R&amp;S - Packaging and hh goods'!$AC$19+('R&amp;S - Packaging and hh goods'!$AC$20-'R&amp;S - Packaging and hh goods'!$AC$19)*(AV$3-$N$3)/10))</f>
        <v>8.9429187402998789</v>
      </c>
      <c r="AW35" s="60">
        <f>AW27*'R&amp;S - Packaging and hh goods'!$L$4/SUM('R&amp;S - Packaging and hh goods'!$L$4:$N$4)-AW27*'R&amp;S - Packaging and hh goods'!$L$4/SUM('R&amp;S - Packaging and hh goods'!$L$4:$N$4)*('R&amp;S - Packaging and hh goods'!$E$7*'R&amp;S - Packaging and hh goods'!$H$15*('R&amp;S - Packaging and hh goods'!$Z$19+('R&amp;S - Packaging and hh goods'!$Z$20-'R&amp;S - Packaging and hh goods'!$Z$19)*(AW$3-$N$3)/10))-AW27*'R&amp;S - Packaging and hh goods'!$L$4/SUM('R&amp;S - Packaging and hh goods'!$L$4:$N$4)*('R&amp;S - Packaging and hh goods'!$E$8*'R&amp;S - Packaging and hh goods'!$H$15*('R&amp;S - Packaging and hh goods'!$AA$19+('R&amp;S - Packaging and hh goods'!$AA$20-'R&amp;S - Packaging and hh goods'!$AA$19)*(AW$3-$N$3)/10))-AW27*'R&amp;S - Packaging and hh goods'!$L$4/SUM('R&amp;S - Packaging and hh goods'!$L$4:$N$4)*('R&amp;S - Packaging and hh goods'!$E$9*'R&amp;S - Packaging and hh goods'!$I$15*('R&amp;S - Packaging and hh goods'!$AB$19+('R&amp;S - Packaging and hh goods'!$AB$20-'R&amp;S - Packaging and hh goods'!$AB$19)*(AW$3-$N$3)/10))-AW27*'R&amp;S - Packaging and hh goods'!$L$4/SUM('R&amp;S - Packaging and hh goods'!$L$4:$N$4)*('R&amp;S - Packaging and hh goods'!$E$10*'R&amp;S - Packaging and hh goods'!$I$15*('R&amp;S - Packaging and hh goods'!$AC$19+('R&amp;S - Packaging and hh goods'!$AC$20-'R&amp;S - Packaging and hh goods'!$AC$19)*(AW$3-$N$3)/10))</f>
        <v>9.0412908464431769</v>
      </c>
      <c r="AX35" s="60">
        <f>AX27*'R&amp;S - Packaging and hh goods'!$L$4/SUM('R&amp;S - Packaging and hh goods'!$L$4:$N$4)-AX27*'R&amp;S - Packaging and hh goods'!$L$4/SUM('R&amp;S - Packaging and hh goods'!$L$4:$N$4)*('R&amp;S - Packaging and hh goods'!$E$7*'R&amp;S - Packaging and hh goods'!$H$15*('R&amp;S - Packaging and hh goods'!$Z$19+('R&amp;S - Packaging and hh goods'!$Z$20-'R&amp;S - Packaging and hh goods'!$Z$19)*(AX$3-$N$3)/10))-AX27*'R&amp;S - Packaging and hh goods'!$L$4/SUM('R&amp;S - Packaging and hh goods'!$L$4:$N$4)*('R&amp;S - Packaging and hh goods'!$E$8*'R&amp;S - Packaging and hh goods'!$H$15*('R&amp;S - Packaging and hh goods'!$AA$19+('R&amp;S - Packaging and hh goods'!$AA$20-'R&amp;S - Packaging and hh goods'!$AA$19)*(AX$3-$N$3)/10))-AX27*'R&amp;S - Packaging and hh goods'!$L$4/SUM('R&amp;S - Packaging and hh goods'!$L$4:$N$4)*('R&amp;S - Packaging and hh goods'!$E$9*'R&amp;S - Packaging and hh goods'!$I$15*('R&amp;S - Packaging and hh goods'!$AB$19+('R&amp;S - Packaging and hh goods'!$AB$20-'R&amp;S - Packaging and hh goods'!$AB$19)*(AX$3-$N$3)/10))-AX27*'R&amp;S - Packaging and hh goods'!$L$4/SUM('R&amp;S - Packaging and hh goods'!$L$4:$N$4)*('R&amp;S - Packaging and hh goods'!$E$10*'R&amp;S - Packaging and hh goods'!$I$15*('R&amp;S - Packaging and hh goods'!$AC$19+('R&amp;S - Packaging and hh goods'!$AC$20-'R&amp;S - Packaging and hh goods'!$AC$19)*(AX$3-$N$3)/10))</f>
        <v>9.1407450457540502</v>
      </c>
      <c r="AY35" s="60">
        <f>AY27*'R&amp;S - Packaging and hh goods'!$L$4/SUM('R&amp;S - Packaging and hh goods'!$L$4:$N$4)-AY27*'R&amp;S - Packaging and hh goods'!$L$4/SUM('R&amp;S - Packaging and hh goods'!$L$4:$N$4)*('R&amp;S - Packaging and hh goods'!$E$7*'R&amp;S - Packaging and hh goods'!$H$15*('R&amp;S - Packaging and hh goods'!$Z$19+('R&amp;S - Packaging and hh goods'!$Z$20-'R&amp;S - Packaging and hh goods'!$Z$19)*(AY$3-$N$3)/10))-AY27*'R&amp;S - Packaging and hh goods'!$L$4/SUM('R&amp;S - Packaging and hh goods'!$L$4:$N$4)*('R&amp;S - Packaging and hh goods'!$E$8*'R&amp;S - Packaging and hh goods'!$H$15*('R&amp;S - Packaging and hh goods'!$AA$19+('R&amp;S - Packaging and hh goods'!$AA$20-'R&amp;S - Packaging and hh goods'!$AA$19)*(AY$3-$N$3)/10))-AY27*'R&amp;S - Packaging and hh goods'!$L$4/SUM('R&amp;S - Packaging and hh goods'!$L$4:$N$4)*('R&amp;S - Packaging and hh goods'!$E$9*'R&amp;S - Packaging and hh goods'!$I$15*('R&amp;S - Packaging and hh goods'!$AB$19+('R&amp;S - Packaging and hh goods'!$AB$20-'R&amp;S - Packaging and hh goods'!$AB$19)*(AY$3-$N$3)/10))-AY27*'R&amp;S - Packaging and hh goods'!$L$4/SUM('R&amp;S - Packaging and hh goods'!$L$4:$N$4)*('R&amp;S - Packaging and hh goods'!$E$10*'R&amp;S - Packaging and hh goods'!$I$15*('R&amp;S - Packaging and hh goods'!$AC$19+('R&amp;S - Packaging and hh goods'!$AC$20-'R&amp;S - Packaging and hh goods'!$AC$19)*(AY$3-$N$3)/10))</f>
        <v>9.2412932412573436</v>
      </c>
      <c r="AZ35" s="60">
        <f>AZ27*'R&amp;S - Packaging and hh goods'!$L$4/SUM('R&amp;S - Packaging and hh goods'!$L$4:$N$4)-AZ27*'R&amp;S - Packaging and hh goods'!$L$4/SUM('R&amp;S - Packaging and hh goods'!$L$4:$N$4)*('R&amp;S - Packaging and hh goods'!$E$7*'R&amp;S - Packaging and hh goods'!$H$15*('R&amp;S - Packaging and hh goods'!$Z$19+('R&amp;S - Packaging and hh goods'!$Z$20-'R&amp;S - Packaging and hh goods'!$Z$19)*(AZ$3-$N$3)/10))-AZ27*'R&amp;S - Packaging and hh goods'!$L$4/SUM('R&amp;S - Packaging and hh goods'!$L$4:$N$4)*('R&amp;S - Packaging and hh goods'!$E$8*'R&amp;S - Packaging and hh goods'!$H$15*('R&amp;S - Packaging and hh goods'!$AA$19+('R&amp;S - Packaging and hh goods'!$AA$20-'R&amp;S - Packaging and hh goods'!$AA$19)*(AZ$3-$N$3)/10))-AZ27*'R&amp;S - Packaging and hh goods'!$L$4/SUM('R&amp;S - Packaging and hh goods'!$L$4:$N$4)*('R&amp;S - Packaging and hh goods'!$E$9*'R&amp;S - Packaging and hh goods'!$I$15*('R&amp;S - Packaging and hh goods'!$AB$19+('R&amp;S - Packaging and hh goods'!$AB$20-'R&amp;S - Packaging and hh goods'!$AB$19)*(AZ$3-$N$3)/10))-AZ27*'R&amp;S - Packaging and hh goods'!$L$4/SUM('R&amp;S - Packaging and hh goods'!$L$4:$N$4)*('R&amp;S - Packaging and hh goods'!$E$10*'R&amp;S - Packaging and hh goods'!$I$15*('R&amp;S - Packaging and hh goods'!$AC$19+('R&amp;S - Packaging and hh goods'!$AC$20-'R&amp;S - Packaging and hh goods'!$AC$19)*(AZ$3-$N$3)/10))</f>
        <v>9.3429474669111752</v>
      </c>
      <c r="BA35" s="60">
        <f>BA27*'R&amp;S - Packaging and hh goods'!$L$4/SUM('R&amp;S - Packaging and hh goods'!$L$4:$N$4)-BA27*'R&amp;S - Packaging and hh goods'!$L$4/SUM('R&amp;S - Packaging and hh goods'!$L$4:$N$4)*('R&amp;S - Packaging and hh goods'!$E$7*'R&amp;S - Packaging and hh goods'!$H$15*('R&amp;S - Packaging and hh goods'!$Z$19+('R&amp;S - Packaging and hh goods'!$Z$20-'R&amp;S - Packaging and hh goods'!$Z$19)*(BA$3-$N$3)/10))-BA27*'R&amp;S - Packaging and hh goods'!$L$4/SUM('R&amp;S - Packaging and hh goods'!$L$4:$N$4)*('R&amp;S - Packaging and hh goods'!$E$8*'R&amp;S - Packaging and hh goods'!$H$15*('R&amp;S - Packaging and hh goods'!$AA$19+('R&amp;S - Packaging and hh goods'!$AA$20-'R&amp;S - Packaging and hh goods'!$AA$19)*(BA$3-$N$3)/10))-BA27*'R&amp;S - Packaging and hh goods'!$L$4/SUM('R&amp;S - Packaging and hh goods'!$L$4:$N$4)*('R&amp;S - Packaging and hh goods'!$E$9*'R&amp;S - Packaging and hh goods'!$I$15*('R&amp;S - Packaging and hh goods'!$AB$19+('R&amp;S - Packaging and hh goods'!$AB$20-'R&amp;S - Packaging and hh goods'!$AB$19)*(BA$3-$N$3)/10))-BA27*'R&amp;S - Packaging and hh goods'!$L$4/SUM('R&amp;S - Packaging and hh goods'!$L$4:$N$4)*('R&amp;S - Packaging and hh goods'!$E$10*'R&amp;S - Packaging and hh goods'!$I$15*('R&amp;S - Packaging and hh goods'!$AC$19+('R&amp;S - Packaging and hh goods'!$AC$20-'R&amp;S - Packaging and hh goods'!$AC$19)*(BA$3-$N$3)/10))</f>
        <v>9.4457198890471954</v>
      </c>
      <c r="BB35" s="60">
        <f>BB27*'R&amp;S - Packaging and hh goods'!$L$4/SUM('R&amp;S - Packaging and hh goods'!$L$4:$N$4)-BB27*'R&amp;S - Packaging and hh goods'!$L$4/SUM('R&amp;S - Packaging and hh goods'!$L$4:$N$4)*('R&amp;S - Packaging and hh goods'!$E$7*'R&amp;S - Packaging and hh goods'!$H$15*('R&amp;S - Packaging and hh goods'!$Z$19+('R&amp;S - Packaging and hh goods'!$Z$20-'R&amp;S - Packaging and hh goods'!$Z$19)*(BB$3-$N$3)/10))-BB27*'R&amp;S - Packaging and hh goods'!$L$4/SUM('R&amp;S - Packaging and hh goods'!$L$4:$N$4)*('R&amp;S - Packaging and hh goods'!$E$8*'R&amp;S - Packaging and hh goods'!$H$15*('R&amp;S - Packaging and hh goods'!$AA$19+('R&amp;S - Packaging and hh goods'!$AA$20-'R&amp;S - Packaging and hh goods'!$AA$19)*(BB$3-$N$3)/10))-BB27*'R&amp;S - Packaging and hh goods'!$L$4/SUM('R&amp;S - Packaging and hh goods'!$L$4:$N$4)*('R&amp;S - Packaging and hh goods'!$E$9*'R&amp;S - Packaging and hh goods'!$I$15*('R&amp;S - Packaging and hh goods'!$AB$19+('R&amp;S - Packaging and hh goods'!$AB$20-'R&amp;S - Packaging and hh goods'!$AB$19)*(BB$3-$N$3)/10))-BB27*'R&amp;S - Packaging and hh goods'!$L$4/SUM('R&amp;S - Packaging and hh goods'!$L$4:$N$4)*('R&amp;S - Packaging and hh goods'!$E$10*'R&amp;S - Packaging and hh goods'!$I$15*('R&amp;S - Packaging and hh goods'!$AC$19+('R&amp;S - Packaging and hh goods'!$AC$20-'R&amp;S - Packaging and hh goods'!$AC$19)*(BB$3-$N$3)/10))</f>
        <v>9.5496228078267151</v>
      </c>
      <c r="BC35" s="60">
        <f>BC27*'R&amp;S - Packaging and hh goods'!$L$4/SUM('R&amp;S - Packaging and hh goods'!$L$4:$N$4)-BC27*'R&amp;S - Packaging and hh goods'!$L$4/SUM('R&amp;S - Packaging and hh goods'!$L$4:$N$4)*('R&amp;S - Packaging and hh goods'!$E$7*'R&amp;S - Packaging and hh goods'!$H$15*('R&amp;S - Packaging and hh goods'!$Z$19+('R&amp;S - Packaging and hh goods'!$Z$20-'R&amp;S - Packaging and hh goods'!$Z$19)*(BC$3-$N$3)/10))-BC27*'R&amp;S - Packaging and hh goods'!$L$4/SUM('R&amp;S - Packaging and hh goods'!$L$4:$N$4)*('R&amp;S - Packaging and hh goods'!$E$8*'R&amp;S - Packaging and hh goods'!$H$15*('R&amp;S - Packaging and hh goods'!$AA$19+('R&amp;S - Packaging and hh goods'!$AA$20-'R&amp;S - Packaging and hh goods'!$AA$19)*(BC$3-$N$3)/10))-BC27*'R&amp;S - Packaging and hh goods'!$L$4/SUM('R&amp;S - Packaging and hh goods'!$L$4:$N$4)*('R&amp;S - Packaging and hh goods'!$E$9*'R&amp;S - Packaging and hh goods'!$I$15*('R&amp;S - Packaging and hh goods'!$AB$19+('R&amp;S - Packaging and hh goods'!$AB$20-'R&amp;S - Packaging and hh goods'!$AB$19)*(BC$3-$N$3)/10))-BC27*'R&amp;S - Packaging and hh goods'!$L$4/SUM('R&amp;S - Packaging and hh goods'!$L$4:$N$4)*('R&amp;S - Packaging and hh goods'!$E$10*'R&amp;S - Packaging and hh goods'!$I$15*('R&amp;S - Packaging and hh goods'!$AC$19+('R&amp;S - Packaging and hh goods'!$AC$20-'R&amp;S - Packaging and hh goods'!$AC$19)*(BC$3-$N$3)/10))</f>
        <v>9.6546686587128061</v>
      </c>
      <c r="BD35" s="60">
        <f>BD27*'R&amp;S - Packaging and hh goods'!$L$4/SUM('R&amp;S - Packaging and hh goods'!$L$4:$N$4)-BD27*'R&amp;S - Packaging and hh goods'!$L$4/SUM('R&amp;S - Packaging and hh goods'!$L$4:$N$4)*('R&amp;S - Packaging and hh goods'!$E$7*'R&amp;S - Packaging and hh goods'!$H$15*('R&amp;S - Packaging and hh goods'!$Z$19+('R&amp;S - Packaging and hh goods'!$Z$20-'R&amp;S - Packaging and hh goods'!$Z$19)*(BD$3-$N$3)/10))-BD27*'R&amp;S - Packaging and hh goods'!$L$4/SUM('R&amp;S - Packaging and hh goods'!$L$4:$N$4)*('R&amp;S - Packaging and hh goods'!$E$8*'R&amp;S - Packaging and hh goods'!$H$15*('R&amp;S - Packaging and hh goods'!$AA$19+('R&amp;S - Packaging and hh goods'!$AA$20-'R&amp;S - Packaging and hh goods'!$AA$19)*(BD$3-$N$3)/10))-BD27*'R&amp;S - Packaging and hh goods'!$L$4/SUM('R&amp;S - Packaging and hh goods'!$L$4:$N$4)*('R&amp;S - Packaging and hh goods'!$E$9*'R&amp;S - Packaging and hh goods'!$I$15*('R&amp;S - Packaging and hh goods'!$AB$19+('R&amp;S - Packaging and hh goods'!$AB$20-'R&amp;S - Packaging and hh goods'!$AB$19)*(BD$3-$N$3)/10))-BD27*'R&amp;S - Packaging and hh goods'!$L$4/SUM('R&amp;S - Packaging and hh goods'!$L$4:$N$4)*('R&amp;S - Packaging and hh goods'!$E$10*'R&amp;S - Packaging and hh goods'!$I$15*('R&amp;S - Packaging and hh goods'!$AC$19+('R&amp;S - Packaging and hh goods'!$AC$20-'R&amp;S - Packaging and hh goods'!$AC$19)*(BD$3-$N$3)/10))</f>
        <v>9.7608700139586464</v>
      </c>
      <c r="BE35" s="60">
        <f>BE27*'R&amp;S - Packaging and hh goods'!$L$4/SUM('R&amp;S - Packaging and hh goods'!$L$4:$N$4)-BE27*'R&amp;S - Packaging and hh goods'!$L$4/SUM('R&amp;S - Packaging and hh goods'!$L$4:$N$4)*('R&amp;S - Packaging and hh goods'!$E7*'R&amp;S - Packaging and hh goods'!$H$15*('R&amp;S - Packaging and hh goods'!$Z$20+('R&amp;S - Packaging and hh goods'!$Z$21-'R&amp;S - Packaging and hh goods'!$Z$20)*(BE$3-$X$3)/10))-BE27*'R&amp;S - Packaging and hh goods'!$L$4/SUM('R&amp;S - Packaging and hh goods'!$L$4:$N$4)*('R&amp;S - Packaging and hh goods'!$E8*'R&amp;S - Packaging and hh goods'!$H$15*('R&amp;S - Packaging and hh goods'!$AA$20+('R&amp;S - Packaging and hh goods'!$AA$21-'R&amp;S - Packaging and hh goods'!$AA$20)*(BE$3-$X$3)/10))-BE27*'R&amp;S - Packaging and hh goods'!$L$4/SUM('R&amp;S - Packaging and hh goods'!$L$4:$N$4)*('R&amp;S - Packaging and hh goods'!$E9*'R&amp;S - Packaging and hh goods'!$I$15*('R&amp;S - Packaging and hh goods'!$AB$20+('R&amp;S - Packaging and hh goods'!$AB$21-'R&amp;S - Packaging and hh goods'!$AB$20)*(BE$3-$X$3)/10))-BE27*'R&amp;S - Packaging and hh goods'!$L$4/SUM('R&amp;S - Packaging and hh goods'!$L$4:$N$4)*('R&amp;S - Packaging and hh goods'!$E10*'R&amp;S - Packaging and hh goods'!$I$15*('R&amp;S - Packaging and hh goods'!$AC$20+('R&amp;S - Packaging and hh goods'!$AC$21-'R&amp;S - Packaging and hh goods'!$AC$20)*(BE$3-$X$3)/10))</f>
        <v>9.8682395841121906</v>
      </c>
      <c r="BF35" s="60">
        <f>BF27*'R&amp;S - Packaging and hh goods'!$L$4/SUM('R&amp;S - Packaging and hh goods'!$L$4:$N$4)-BF27*'R&amp;S - Packaging and hh goods'!$L$4/SUM('R&amp;S - Packaging and hh goods'!$L$4:$N$4)*('R&amp;S - Packaging and hh goods'!$E7*'R&amp;S - Packaging and hh goods'!$H$15*('R&amp;S - Packaging and hh goods'!$Z$20+('R&amp;S - Packaging and hh goods'!$Z$21-'R&amp;S - Packaging and hh goods'!$Z$20)*(BF$3-$X$3)/10))-BF27*'R&amp;S - Packaging and hh goods'!$L$4/SUM('R&amp;S - Packaging and hh goods'!$L$4:$N$4)*('R&amp;S - Packaging and hh goods'!$E8*'R&amp;S - Packaging and hh goods'!$H$15*('R&amp;S - Packaging and hh goods'!$AA$20+('R&amp;S - Packaging and hh goods'!$AA$21-'R&amp;S - Packaging and hh goods'!$AA$20)*(BF$3-$X$3)/10))-BF27*'R&amp;S - Packaging and hh goods'!$L$4/SUM('R&amp;S - Packaging and hh goods'!$L$4:$N$4)*('R&amp;S - Packaging and hh goods'!$E9*'R&amp;S - Packaging and hh goods'!$I$15*('R&amp;S - Packaging and hh goods'!$AB$20+('R&amp;S - Packaging and hh goods'!$AB$21-'R&amp;S - Packaging and hh goods'!$AB$20)*(BF$3-$X$3)/10))-BF27*'R&amp;S - Packaging and hh goods'!$L$4/SUM('R&amp;S - Packaging and hh goods'!$L$4:$N$4)*('R&amp;S - Packaging and hh goods'!$E10*'R&amp;S - Packaging and hh goods'!$I$15*('R&amp;S - Packaging and hh goods'!$AC$20+('R&amp;S - Packaging and hh goods'!$AC$21-'R&amp;S - Packaging and hh goods'!$AC$20)*(BF$3-$X$3)/10))</f>
        <v>9.9767902195374241</v>
      </c>
      <c r="BG35" s="60">
        <f>BG27*'R&amp;S - Packaging and hh goods'!$L$4/SUM('R&amp;S - Packaging and hh goods'!$L$4:$N$4)-BG27*'R&amp;S - Packaging and hh goods'!$L$4/SUM('R&amp;S - Packaging and hh goods'!$L$4:$N$4)*('R&amp;S - Packaging and hh goods'!$E7*'R&amp;S - Packaging and hh goods'!$H$15*('R&amp;S - Packaging and hh goods'!$Z$20+('R&amp;S - Packaging and hh goods'!$Z$21-'R&amp;S - Packaging and hh goods'!$Z$20)*(BG$3-$X$3)/10))-BG27*'R&amp;S - Packaging and hh goods'!$L$4/SUM('R&amp;S - Packaging and hh goods'!$L$4:$N$4)*('R&amp;S - Packaging and hh goods'!$E8*'R&amp;S - Packaging and hh goods'!$H$15*('R&amp;S - Packaging and hh goods'!$AA$20+('R&amp;S - Packaging and hh goods'!$AA$21-'R&amp;S - Packaging and hh goods'!$AA$20)*(BG$3-$X$3)/10))-BG27*'R&amp;S - Packaging and hh goods'!$L$4/SUM('R&amp;S - Packaging and hh goods'!$L$4:$N$4)*('R&amp;S - Packaging and hh goods'!$E9*'R&amp;S - Packaging and hh goods'!$I$15*('R&amp;S - Packaging and hh goods'!$AB$20+('R&amp;S - Packaging and hh goods'!$AB$21-'R&amp;S - Packaging and hh goods'!$AB$20)*(BG$3-$X$3)/10))-BG27*'R&amp;S - Packaging and hh goods'!$L$4/SUM('R&amp;S - Packaging and hh goods'!$L$4:$N$4)*('R&amp;S - Packaging and hh goods'!$E10*'R&amp;S - Packaging and hh goods'!$I$15*('R&amp;S - Packaging and hh goods'!$AC$20+('R&amp;S - Packaging and hh goods'!$AC$21-'R&amp;S - Packaging and hh goods'!$AC$20)*(BG$3-$X$3)/10))</f>
        <v>10.086534911952334</v>
      </c>
      <c r="BH35" s="60">
        <f>BH27*'R&amp;S - Packaging and hh goods'!$L$4/SUM('R&amp;S - Packaging and hh goods'!$L$4:$N$4)-BH27*'R&amp;S - Packaging and hh goods'!$L$4/SUM('R&amp;S - Packaging and hh goods'!$L$4:$N$4)*('R&amp;S - Packaging and hh goods'!$E7*'R&amp;S - Packaging and hh goods'!$H$15*('R&amp;S - Packaging and hh goods'!$Z$20+('R&amp;S - Packaging and hh goods'!$Z$21-'R&amp;S - Packaging and hh goods'!$Z$20)*(BH$3-$X$3)/10))-BH27*'R&amp;S - Packaging and hh goods'!$L$4/SUM('R&amp;S - Packaging and hh goods'!$L$4:$N$4)*('R&amp;S - Packaging and hh goods'!$E8*'R&amp;S - Packaging and hh goods'!$H$15*('R&amp;S - Packaging and hh goods'!$AA$20+('R&amp;S - Packaging and hh goods'!$AA$21-'R&amp;S - Packaging and hh goods'!$AA$20)*(BH$3-$X$3)/10))-BH27*'R&amp;S - Packaging and hh goods'!$L$4/SUM('R&amp;S - Packaging and hh goods'!$L$4:$N$4)*('R&amp;S - Packaging and hh goods'!$E9*'R&amp;S - Packaging and hh goods'!$I$15*('R&amp;S - Packaging and hh goods'!$AB$20+('R&amp;S - Packaging and hh goods'!$AB$21-'R&amp;S - Packaging and hh goods'!$AB$20)*(BH$3-$X$3)/10))-BH27*'R&amp;S - Packaging and hh goods'!$L$4/SUM('R&amp;S - Packaging and hh goods'!$L$4:$N$4)*('R&amp;S - Packaging and hh goods'!$E10*'R&amp;S - Packaging and hh goods'!$I$15*('R&amp;S - Packaging and hh goods'!$AC$20+('R&amp;S - Packaging and hh goods'!$AC$21-'R&amp;S - Packaging and hh goods'!$AC$20)*(BH$3-$X$3)/10))</f>
        <v>10.197486795983808</v>
      </c>
      <c r="BI35" s="60">
        <f>BI27*'R&amp;S - Packaging and hh goods'!$L$4/SUM('R&amp;S - Packaging and hh goods'!$L$4:$N$4)-BI27*'R&amp;S - Packaging and hh goods'!$L$4/SUM('R&amp;S - Packaging and hh goods'!$L$4:$N$4)*('R&amp;S - Packaging and hh goods'!$E7*'R&amp;S - Packaging and hh goods'!$H$15*('R&amp;S - Packaging and hh goods'!$Z$20+('R&amp;S - Packaging and hh goods'!$Z$21-'R&amp;S - Packaging and hh goods'!$Z$20)*(BI$3-$X$3)/10))-BI27*'R&amp;S - Packaging and hh goods'!$L$4/SUM('R&amp;S - Packaging and hh goods'!$L$4:$N$4)*('R&amp;S - Packaging and hh goods'!$E8*'R&amp;S - Packaging and hh goods'!$H$15*('R&amp;S - Packaging and hh goods'!$AA$20+('R&amp;S - Packaging and hh goods'!$AA$21-'R&amp;S - Packaging and hh goods'!$AA$20)*(BI$3-$X$3)/10))-BI27*'R&amp;S - Packaging and hh goods'!$L$4/SUM('R&amp;S - Packaging and hh goods'!$L$4:$N$4)*('R&amp;S - Packaging and hh goods'!$E9*'R&amp;S - Packaging and hh goods'!$I$15*('R&amp;S - Packaging and hh goods'!$AB$20+('R&amp;S - Packaging and hh goods'!$AB$21-'R&amp;S - Packaging and hh goods'!$AB$20)*(BI$3-$X$3)/10))-BI27*'R&amp;S - Packaging and hh goods'!$L$4/SUM('R&amp;S - Packaging and hh goods'!$L$4:$N$4)*('R&amp;S - Packaging and hh goods'!$E10*'R&amp;S - Packaging and hh goods'!$I$15*('R&amp;S - Packaging and hh goods'!$AC$20+('R&amp;S - Packaging and hh goods'!$AC$21-'R&amp;S - Packaging and hh goods'!$AC$20)*(BI$3-$X$3)/10))</f>
        <v>10.30965915073963</v>
      </c>
      <c r="BJ35" s="60">
        <f>BJ27*'R&amp;S - Packaging and hh goods'!$L$4/SUM('R&amp;S - Packaging and hh goods'!$L$4:$N$4)-BJ27*'R&amp;S - Packaging and hh goods'!$L$4/SUM('R&amp;S - Packaging and hh goods'!$L$4:$N$4)*('R&amp;S - Packaging and hh goods'!$E7*'R&amp;S - Packaging and hh goods'!$H$15*('R&amp;S - Packaging and hh goods'!$Z$20+('R&amp;S - Packaging and hh goods'!$Z$21-'R&amp;S - Packaging and hh goods'!$Z$20)*(BJ$3-$X$3)/10))-BJ27*'R&amp;S - Packaging and hh goods'!$L$4/SUM('R&amp;S - Packaging and hh goods'!$L$4:$N$4)*('R&amp;S - Packaging and hh goods'!$E8*'R&amp;S - Packaging and hh goods'!$H$15*('R&amp;S - Packaging and hh goods'!$AA$20+('R&amp;S - Packaging and hh goods'!$AA$21-'R&amp;S - Packaging and hh goods'!$AA$20)*(BJ$3-$X$3)/10))-BJ27*'R&amp;S - Packaging and hh goods'!$L$4/SUM('R&amp;S - Packaging and hh goods'!$L$4:$N$4)*('R&amp;S - Packaging and hh goods'!$E9*'R&amp;S - Packaging and hh goods'!$I$15*('R&amp;S - Packaging and hh goods'!$AB$20+('R&amp;S - Packaging and hh goods'!$AB$21-'R&amp;S - Packaging and hh goods'!$AB$20)*(BJ$3-$X$3)/10))-BJ27*'R&amp;S - Packaging and hh goods'!$L$4/SUM('R&amp;S - Packaging and hh goods'!$L$4:$N$4)*('R&amp;S - Packaging and hh goods'!$E10*'R&amp;S - Packaging and hh goods'!$I$15*('R&amp;S - Packaging and hh goods'!$AC$20+('R&amp;S - Packaging and hh goods'!$AC$21-'R&amp;S - Packaging and hh goods'!$AC$20)*(BJ$3-$X$3)/10))</f>
        <v>10.423065401397764</v>
      </c>
      <c r="BK35" s="60">
        <f>BK27*'R&amp;S - Packaging and hh goods'!$L$4/SUM('R&amp;S - Packaging and hh goods'!$L$4:$N$4)-BK27*'R&amp;S - Packaging and hh goods'!$L$4/SUM('R&amp;S - Packaging and hh goods'!$L$4:$N$4)*('R&amp;S - Packaging and hh goods'!$E7*'R&amp;S - Packaging and hh goods'!$H$15*('R&amp;S - Packaging and hh goods'!$Z$20+('R&amp;S - Packaging and hh goods'!$Z$21-'R&amp;S - Packaging and hh goods'!$Z$20)*(BK$3-$X$3)/10))-BK27*'R&amp;S - Packaging and hh goods'!$L$4/SUM('R&amp;S - Packaging and hh goods'!$L$4:$N$4)*('R&amp;S - Packaging and hh goods'!$E8*'R&amp;S - Packaging and hh goods'!$H$15*('R&amp;S - Packaging and hh goods'!$AA$20+('R&amp;S - Packaging and hh goods'!$AA$21-'R&amp;S - Packaging and hh goods'!$AA$20)*(BK$3-$X$3)/10))-BK27*'R&amp;S - Packaging and hh goods'!$L$4/SUM('R&amp;S - Packaging and hh goods'!$L$4:$N$4)*('R&amp;S - Packaging and hh goods'!$E9*'R&amp;S - Packaging and hh goods'!$I$15*('R&amp;S - Packaging and hh goods'!$AB$20+('R&amp;S - Packaging and hh goods'!$AB$21-'R&amp;S - Packaging and hh goods'!$AB$20)*(BK$3-$X$3)/10))-BK27*'R&amp;S - Packaging and hh goods'!$L$4/SUM('R&amp;S - Packaging and hh goods'!$L$4:$N$4)*('R&amp;S - Packaging and hh goods'!$E10*'R&amp;S - Packaging and hh goods'!$I$15*('R&amp;S - Packaging and hh goods'!$AC$20+('R&amp;S - Packaging and hh goods'!$AC$21-'R&amp;S - Packaging and hh goods'!$AC$20)*(BK$3-$X$3)/10))</f>
        <v>10.537719120813136</v>
      </c>
      <c r="BL35" s="60">
        <f>BL27*'R&amp;S - Packaging and hh goods'!$L$4/SUM('R&amp;S - Packaging and hh goods'!$L$4:$N$4)-BL27*'R&amp;S - Packaging and hh goods'!$L$4/SUM('R&amp;S - Packaging and hh goods'!$L$4:$N$4)*('R&amp;S - Packaging and hh goods'!$E7*'R&amp;S - Packaging and hh goods'!$H$15*('R&amp;S - Packaging and hh goods'!$Z$20+('R&amp;S - Packaging and hh goods'!$Z$21-'R&amp;S - Packaging and hh goods'!$Z$20)*(BL$3-$X$3)/10))-BL27*'R&amp;S - Packaging and hh goods'!$L$4/SUM('R&amp;S - Packaging and hh goods'!$L$4:$N$4)*('R&amp;S - Packaging and hh goods'!$E8*'R&amp;S - Packaging and hh goods'!$H$15*('R&amp;S - Packaging and hh goods'!$AA$20+('R&amp;S - Packaging and hh goods'!$AA$21-'R&amp;S - Packaging and hh goods'!$AA$20)*(BL$3-$X$3)/10))-BL27*'R&amp;S - Packaging and hh goods'!$L$4/SUM('R&amp;S - Packaging and hh goods'!$L$4:$N$4)*('R&amp;S - Packaging and hh goods'!$E9*'R&amp;S - Packaging and hh goods'!$I$15*('R&amp;S - Packaging and hh goods'!$AB$20+('R&amp;S - Packaging and hh goods'!$AB$21-'R&amp;S - Packaging and hh goods'!$AB$20)*(BL$3-$X$3)/10))-BL27*'R&amp;S - Packaging and hh goods'!$L$4/SUM('R&amp;S - Packaging and hh goods'!$L$4:$N$4)*('R&amp;S - Packaging and hh goods'!$E10*'R&amp;S - Packaging and hh goods'!$I$15*('R&amp;S - Packaging and hh goods'!$AC$20+('R&amp;S - Packaging and hh goods'!$AC$21-'R&amp;S - Packaging and hh goods'!$AC$20)*(BL$3-$X$3)/10))</f>
        <v>10.653634031142081</v>
      </c>
      <c r="BM35" s="60">
        <f>BM27*'R&amp;S - Packaging and hh goods'!$L$4/SUM('R&amp;S - Packaging and hh goods'!$L$4:$N$4)-BM27*'R&amp;S - Packaging and hh goods'!$L$4/SUM('R&amp;S - Packaging and hh goods'!$L$4:$N$4)*('R&amp;S - Packaging and hh goods'!$E7*'R&amp;S - Packaging and hh goods'!$H$15*('R&amp;S - Packaging and hh goods'!$Z$20+('R&amp;S - Packaging and hh goods'!$Z$21-'R&amp;S - Packaging and hh goods'!$Z$20)*(BM$3-$X$3)/10))-BM27*'R&amp;S - Packaging and hh goods'!$L$4/SUM('R&amp;S - Packaging and hh goods'!$L$4:$N$4)*('R&amp;S - Packaging and hh goods'!$E8*'R&amp;S - Packaging and hh goods'!$H$15*('R&amp;S - Packaging and hh goods'!$AA$20+('R&amp;S - Packaging and hh goods'!$AA$21-'R&amp;S - Packaging and hh goods'!$AA$20)*(BM$3-$X$3)/10))-BM27*'R&amp;S - Packaging and hh goods'!$L$4/SUM('R&amp;S - Packaging and hh goods'!$L$4:$N$4)*('R&amp;S - Packaging and hh goods'!$E9*'R&amp;S - Packaging and hh goods'!$I$15*('R&amp;S - Packaging and hh goods'!$AB$20+('R&amp;S - Packaging and hh goods'!$AB$21-'R&amp;S - Packaging and hh goods'!$AB$20)*(BM$3-$X$3)/10))-BM27*'R&amp;S - Packaging and hh goods'!$L$4/SUM('R&amp;S - Packaging and hh goods'!$L$4:$N$4)*('R&amp;S - Packaging and hh goods'!$E10*'R&amp;S - Packaging and hh goods'!$I$15*('R&amp;S - Packaging and hh goods'!$AC$20+('R&amp;S - Packaging and hh goods'!$AC$21-'R&amp;S - Packaging and hh goods'!$AC$20)*(BM$3-$X$3)/10))</f>
        <v>10.770824005484643</v>
      </c>
      <c r="BN35" s="60">
        <f>BN27*'R&amp;S - Packaging and hh goods'!$L$4/SUM('R&amp;S - Packaging and hh goods'!$L$4:$N$4)-BN27*'R&amp;S - Packaging and hh goods'!$L$4/SUM('R&amp;S - Packaging and hh goods'!$L$4:$N$4)*('R&amp;S - Packaging and hh goods'!$E7*'R&amp;S - Packaging and hh goods'!$H$15*('R&amp;S - Packaging and hh goods'!$Z$20+('R&amp;S - Packaging and hh goods'!$Z$21-'R&amp;S - Packaging and hh goods'!$Z$20)*(BN$3-$X$3)/10))-BN27*'R&amp;S - Packaging and hh goods'!$L$4/SUM('R&amp;S - Packaging and hh goods'!$L$4:$N$4)*('R&amp;S - Packaging and hh goods'!$E8*'R&amp;S - Packaging and hh goods'!$H$15*('R&amp;S - Packaging and hh goods'!$AA$20+('R&amp;S - Packaging and hh goods'!$AA$21-'R&amp;S - Packaging and hh goods'!$AA$20)*(BN$3-$X$3)/10))-BN27*'R&amp;S - Packaging and hh goods'!$L$4/SUM('R&amp;S - Packaging and hh goods'!$L$4:$N$4)*('R&amp;S - Packaging and hh goods'!$E9*'R&amp;S - Packaging and hh goods'!$I$15*('R&amp;S - Packaging and hh goods'!$AB$20+('R&amp;S - Packaging and hh goods'!$AB$21-'R&amp;S - Packaging and hh goods'!$AB$20)*(BN$3-$X$3)/10))-BN27*'R&amp;S - Packaging and hh goods'!$L$4/SUM('R&amp;S - Packaging and hh goods'!$L$4:$N$4)*('R&amp;S - Packaging and hh goods'!$E10*'R&amp;S - Packaging and hh goods'!$I$15*('R&amp;S - Packaging and hh goods'!$AC$20+('R&amp;S - Packaging and hh goods'!$AC$21-'R&amp;S - Packaging and hh goods'!$AC$20)*(BN$3-$X$3)/10))</f>
        <v>10.889303069544972</v>
      </c>
    </row>
    <row r="36" spans="1:75" outlineLevel="1">
      <c r="A36" s="753"/>
      <c r="B36" s="1" t="s">
        <v>8</v>
      </c>
      <c r="C36" s="54" t="s">
        <v>153</v>
      </c>
      <c r="D36" s="44">
        <f>D27*'R&amp;S - Packaging and hh goods'!$M$4/SUM('R&amp;S - Packaging and hh goods'!$L$4:$N$4)</f>
        <v>3.690958960657742</v>
      </c>
      <c r="E36" s="44">
        <f>E27*'R&amp;S - Packaging and hh goods'!$M$4/SUM('R&amp;S - Packaging and hh goods'!$L$4:$N$4)-E27*'R&amp;S - Packaging and hh goods'!$M$4/SUM('R&amp;S - Packaging and hh goods'!$L$4:$N$4)*'R&amp;S - Packaging and hh goods'!$F$7*('R&amp;S - Packaging and hh goods'!$J$14*'R&amp;S - Packaging and hh goods'!$AE$19*(E$3-$D$3)/10)-E27*'R&amp;S - Packaging and hh goods'!$M$4/SUM('R&amp;S - Packaging and hh goods'!$L$4:$N$4)*'R&amp;S - Packaging and hh goods'!$F$8*('R&amp;S - Packaging and hh goods'!$J$14*'R&amp;S - Packaging and hh goods'!$AF$19*(E$3-$D$3)/10)-E27*'R&amp;S - Packaging and hh goods'!$M$4/SUM('R&amp;S - Packaging and hh goods'!$L$4:$N$4)*'R&amp;S - Packaging and hh goods'!$F$9*('R&amp;S - Packaging and hh goods'!$J$14*'R&amp;S - Packaging and hh goods'!$AG$19*(E$3-$D$3)/10)-+E31*'R&amp;S - Packaging and hh goods'!$M$4/SUM('R&amp;S - Packaging and hh goods'!$L$4:$N$4)*'R&amp;S - Packaging and hh goods'!$F$10*('R&amp;S - Packaging and hh goods'!$J$14*'R&amp;S - Packaging and hh goods'!$AH$19*(E$3-$D$3)/10)</f>
        <v>3.7315595092249767</v>
      </c>
      <c r="F36" s="44">
        <f>F27*'R&amp;S - Packaging and hh goods'!$M$4/SUM('R&amp;S - Packaging and hh goods'!$L$4:$N$4)-F27*'R&amp;S - Packaging and hh goods'!$M$4/SUM('R&amp;S - Packaging and hh goods'!$L$4:$N$4)*'R&amp;S - Packaging and hh goods'!$F$7*('R&amp;S - Packaging and hh goods'!$J$14*'R&amp;S - Packaging and hh goods'!$AE$19*(F$3-$D$3)/10)-F27*'R&amp;S - Packaging and hh goods'!$M$4/SUM('R&amp;S - Packaging and hh goods'!$L$4:$N$4)*'R&amp;S - Packaging and hh goods'!$F$8*('R&amp;S - Packaging and hh goods'!$J$14*'R&amp;S - Packaging and hh goods'!$AF$19*(F$3-$D$3)/10)-F27*'R&amp;S - Packaging and hh goods'!$M$4/SUM('R&amp;S - Packaging and hh goods'!$L$4:$N$4)*'R&amp;S - Packaging and hh goods'!$F$9*('R&amp;S - Packaging and hh goods'!$J$14*'R&amp;S - Packaging and hh goods'!$AG$19*(F$3-$D$3)/10)-+F31*'R&amp;S - Packaging and hh goods'!$M$4/SUM('R&amp;S - Packaging and hh goods'!$L$4:$N$4)*'R&amp;S - Packaging and hh goods'!$F$10*('R&amp;S - Packaging and hh goods'!$J$14*'R&amp;S - Packaging and hh goods'!$AH$19*(F$3-$D$3)/10)</f>
        <v>3.7726066638264513</v>
      </c>
      <c r="G36" s="44">
        <f>G27*'R&amp;S - Packaging and hh goods'!$M$4/SUM('R&amp;S - Packaging and hh goods'!$L$4:$N$4)-G27*'R&amp;S - Packaging and hh goods'!$M$4/SUM('R&amp;S - Packaging and hh goods'!$L$4:$N$4)*'R&amp;S - Packaging and hh goods'!$F$7*('R&amp;S - Packaging and hh goods'!$J$14*'R&amp;S - Packaging and hh goods'!$AE$19*(G$3-$D$3)/10)-G27*'R&amp;S - Packaging and hh goods'!$M$4/SUM('R&amp;S - Packaging and hh goods'!$L$4:$N$4)*'R&amp;S - Packaging and hh goods'!$F$8*('R&amp;S - Packaging and hh goods'!$J$14*'R&amp;S - Packaging and hh goods'!$AF$19*(G$3-$D$3)/10)-G27*'R&amp;S - Packaging and hh goods'!$M$4/SUM('R&amp;S - Packaging and hh goods'!$L$4:$N$4)*'R&amp;S - Packaging and hh goods'!$F$9*('R&amp;S - Packaging and hh goods'!$J$14*'R&amp;S - Packaging and hh goods'!$AG$19*(G$3-$D$3)/10)-+G31*'R&amp;S - Packaging and hh goods'!$M$4/SUM('R&amp;S - Packaging and hh goods'!$L$4:$N$4)*'R&amp;S - Packaging and hh goods'!$F$10*('R&amp;S - Packaging and hh goods'!$J$14*'R&amp;S - Packaging and hh goods'!$AH$19*(G$3-$D$3)/10)</f>
        <v>3.8141053371285416</v>
      </c>
      <c r="H36" s="44">
        <f>H27*'R&amp;S - Packaging and hh goods'!$M$4/SUM('R&amp;S - Packaging and hh goods'!$L$4:$N$4)-H27*'R&amp;S - Packaging and hh goods'!$M$4/SUM('R&amp;S - Packaging and hh goods'!$L$4:$N$4)*'R&amp;S - Packaging and hh goods'!$F$7*('R&amp;S - Packaging and hh goods'!$J$14*'R&amp;S - Packaging and hh goods'!$AE$19*(H$3-$D$3)/10)-H27*'R&amp;S - Packaging and hh goods'!$M$4/SUM('R&amp;S - Packaging and hh goods'!$L$4:$N$4)*'R&amp;S - Packaging and hh goods'!$F$8*('R&amp;S - Packaging and hh goods'!$J$14*'R&amp;S - Packaging and hh goods'!$AF$19*(H$3-$D$3)/10)-H27*'R&amp;S - Packaging and hh goods'!$M$4/SUM('R&amp;S - Packaging and hh goods'!$L$4:$N$4)*'R&amp;S - Packaging and hh goods'!$F$9*('R&amp;S - Packaging and hh goods'!$J$14*'R&amp;S - Packaging and hh goods'!$AG$19*(H$3-$D$3)/10)-+H31*'R&amp;S - Packaging and hh goods'!$M$4/SUM('R&amp;S - Packaging and hh goods'!$L$4:$N$4)*'R&amp;S - Packaging and hh goods'!$F$10*('R&amp;S - Packaging and hh goods'!$J$14*'R&amp;S - Packaging and hh goods'!$AH$19*(H$3-$D$3)/10)</f>
        <v>3.8560604958369549</v>
      </c>
      <c r="I36" s="44">
        <f>I27*'R&amp;S - Packaging and hh goods'!$M$4/SUM('R&amp;S - Packaging and hh goods'!$L$4:$N$4)-I27*'R&amp;S - Packaging and hh goods'!$M$4/SUM('R&amp;S - Packaging and hh goods'!$L$4:$N$4)*'R&amp;S - Packaging and hh goods'!$F$7*('R&amp;S - Packaging and hh goods'!$J$14*'R&amp;S - Packaging and hh goods'!$AE$19*(I$3-$D$3)/10)-I27*'R&amp;S - Packaging and hh goods'!$M$4/SUM('R&amp;S - Packaging and hh goods'!$L$4:$N$4)*'R&amp;S - Packaging and hh goods'!$F$8*('R&amp;S - Packaging and hh goods'!$J$14*'R&amp;S - Packaging and hh goods'!$AF$19*(I$3-$D$3)/10)-I27*'R&amp;S - Packaging and hh goods'!$M$4/SUM('R&amp;S - Packaging and hh goods'!$L$4:$N$4)*'R&amp;S - Packaging and hh goods'!$F$9*('R&amp;S - Packaging and hh goods'!$J$14*'R&amp;S - Packaging and hh goods'!$AG$19*(I$3-$D$3)/10)-+I31*'R&amp;S - Packaging and hh goods'!$M$4/SUM('R&amp;S - Packaging and hh goods'!$L$4:$N$4)*'R&amp;S - Packaging and hh goods'!$F$10*('R&amp;S - Packaging and hh goods'!$J$14*'R&amp;S - Packaging and hh goods'!$AH$19*(I$3-$D$3)/10)</f>
        <v>3.8984771612911611</v>
      </c>
      <c r="J36" s="44">
        <f>J27*'R&amp;S - Packaging and hh goods'!$M$4/SUM('R&amp;S - Packaging and hh goods'!$L$4:$N$4)-J27*'R&amp;S - Packaging and hh goods'!$M$4/SUM('R&amp;S - Packaging and hh goods'!$L$4:$N$4)*'R&amp;S - Packaging and hh goods'!$F$7*('R&amp;S - Packaging and hh goods'!$J$14*'R&amp;S - Packaging and hh goods'!$AE$19*(J$3-$D$3)/10)-J27*'R&amp;S - Packaging and hh goods'!$M$4/SUM('R&amp;S - Packaging and hh goods'!$L$4:$N$4)*'R&amp;S - Packaging and hh goods'!$F$8*('R&amp;S - Packaging and hh goods'!$J$14*'R&amp;S - Packaging and hh goods'!$AF$19*(J$3-$D$3)/10)-J27*'R&amp;S - Packaging and hh goods'!$M$4/SUM('R&amp;S - Packaging and hh goods'!$L$4:$N$4)*'R&amp;S - Packaging and hh goods'!$F$9*('R&amp;S - Packaging and hh goods'!$J$14*'R&amp;S - Packaging and hh goods'!$AG$19*(J$3-$D$3)/10)-+J31*'R&amp;S - Packaging and hh goods'!$M$4/SUM('R&amp;S - Packaging and hh goods'!$L$4:$N$4)*'R&amp;S - Packaging and hh goods'!$F$10*('R&amp;S - Packaging and hh goods'!$J$14*'R&amp;S - Packaging and hh goods'!$AH$19*(J$3-$D$3)/10)</f>
        <v>3.941360410065363</v>
      </c>
      <c r="K36" s="44">
        <f>K27*'R&amp;S - Packaging and hh goods'!$M$4/SUM('R&amp;S - Packaging and hh goods'!$L$4:$N$4)-K27*'R&amp;S - Packaging and hh goods'!$M$4/SUM('R&amp;S - Packaging and hh goods'!$L$4:$N$4)*'R&amp;S - Packaging and hh goods'!$F$7*('R&amp;S - Packaging and hh goods'!$J$14*'R&amp;S - Packaging and hh goods'!$AE$19*(K$3-$D$3)/10)-K27*'R&amp;S - Packaging and hh goods'!$M$4/SUM('R&amp;S - Packaging and hh goods'!$L$4:$N$4)*'R&amp;S - Packaging and hh goods'!$F$8*('R&amp;S - Packaging and hh goods'!$J$14*'R&amp;S - Packaging and hh goods'!$AF$19*(K$3-$D$3)/10)-K27*'R&amp;S - Packaging and hh goods'!$M$4/SUM('R&amp;S - Packaging and hh goods'!$L$4:$N$4)*'R&amp;S - Packaging and hh goods'!$F$9*('R&amp;S - Packaging and hh goods'!$J$14*'R&amp;S - Packaging and hh goods'!$AG$19*(K$3-$D$3)/10)-+K31*'R&amp;S - Packaging and hh goods'!$M$4/SUM('R&amp;S - Packaging and hh goods'!$L$4:$N$4)*'R&amp;S - Packaging and hh goods'!$F$10*('R&amp;S - Packaging and hh goods'!$J$14*'R&amp;S - Packaging and hh goods'!$AH$19*(K$3-$D$3)/10)</f>
        <v>3.9847153745760817</v>
      </c>
      <c r="L36" s="44">
        <f>L27*'R&amp;S - Packaging and hh goods'!$M$4/SUM('R&amp;S - Packaging and hh goods'!$L$4:$N$4)-L27*'R&amp;S - Packaging and hh goods'!$M$4/SUM('R&amp;S - Packaging and hh goods'!$L$4:$N$4)*'R&amp;S - Packaging and hh goods'!$F$7*('R&amp;S - Packaging and hh goods'!$J$14*'R&amp;S - Packaging and hh goods'!$AE$19*(L$3-$D$3)/10)-L27*'R&amp;S - Packaging and hh goods'!$M$4/SUM('R&amp;S - Packaging and hh goods'!$L$4:$N$4)*'R&amp;S - Packaging and hh goods'!$F$8*('R&amp;S - Packaging and hh goods'!$J$14*'R&amp;S - Packaging and hh goods'!$AF$19*(L$3-$D$3)/10)-L27*'R&amp;S - Packaging and hh goods'!$M$4/SUM('R&amp;S - Packaging and hh goods'!$L$4:$N$4)*'R&amp;S - Packaging and hh goods'!$F$9*('R&amp;S - Packaging and hh goods'!$J$14*'R&amp;S - Packaging and hh goods'!$AG$19*(L$3-$D$3)/10)-+L31*'R&amp;S - Packaging and hh goods'!$M$4/SUM('R&amp;S - Packaging and hh goods'!$L$4:$N$4)*'R&amp;S - Packaging and hh goods'!$F$10*('R&amp;S - Packaging and hh goods'!$J$14*'R&amp;S - Packaging and hh goods'!$AH$19*(L$3-$D$3)/10)</f>
        <v>4.0285472436964183</v>
      </c>
      <c r="M36" s="44">
        <f>M27*'R&amp;S - Packaging and hh goods'!$M$4/SUM('R&amp;S - Packaging and hh goods'!$L$4:$N$4)-M27*'R&amp;S - Packaging and hh goods'!$M$4/SUM('R&amp;S - Packaging and hh goods'!$L$4:$N$4)*'R&amp;S - Packaging and hh goods'!$F$7*('R&amp;S - Packaging and hh goods'!$J$14*'R&amp;S - Packaging and hh goods'!$AE$19*(M$3-$D$3)/10)-M27*'R&amp;S - Packaging and hh goods'!$M$4/SUM('R&amp;S - Packaging and hh goods'!$L$4:$N$4)*'R&amp;S - Packaging and hh goods'!$F$8*('R&amp;S - Packaging and hh goods'!$J$14*'R&amp;S - Packaging and hh goods'!$AF$19*(M$3-$D$3)/10)-M27*'R&amp;S - Packaging and hh goods'!$M$4/SUM('R&amp;S - Packaging and hh goods'!$L$4:$N$4)*'R&amp;S - Packaging and hh goods'!$F$9*('R&amp;S - Packaging and hh goods'!$J$14*'R&amp;S - Packaging and hh goods'!$AG$19*(M$3-$D$3)/10)-+M31*'R&amp;S - Packaging and hh goods'!$M$4/SUM('R&amp;S - Packaging and hh goods'!$L$4:$N$4)*'R&amp;S - Packaging and hh goods'!$F$10*('R&amp;S - Packaging and hh goods'!$J$14*'R&amp;S - Packaging and hh goods'!$AH$19*(M$3-$D$3)/10)</f>
        <v>4.0728612633770789</v>
      </c>
      <c r="N36" s="44">
        <f>N27*'R&amp;S - Packaging and hh goods'!$M$4/SUM('R&amp;S - Packaging and hh goods'!$L$4:$N$4)-N27*'R&amp;S - Packaging and hh goods'!$M$4/SUM('R&amp;S - Packaging and hh goods'!$L$4:$N$4)*'R&amp;S - Packaging and hh goods'!$F$7*('R&amp;S - Packaging and hh goods'!$J$14*'R&amp;S - Packaging and hh goods'!$AE$19*(N$3-$D$3)/10)-N27*'R&amp;S - Packaging and hh goods'!$M$4/SUM('R&amp;S - Packaging and hh goods'!$L$4:$N$4)*'R&amp;S - Packaging and hh goods'!$F$8*('R&amp;S - Packaging and hh goods'!$J$14*'R&amp;S - Packaging and hh goods'!$AF$19*(N$3-$D$3)/10)-N27*'R&amp;S - Packaging and hh goods'!$M$4/SUM('R&amp;S - Packaging and hh goods'!$L$4:$N$4)*'R&amp;S - Packaging and hh goods'!$F$9*('R&amp;S - Packaging and hh goods'!$J$14*'R&amp;S - Packaging and hh goods'!$AG$19*(N$3-$D$3)/10)-+N31*'R&amp;S - Packaging and hh goods'!$M$4/SUM('R&amp;S - Packaging and hh goods'!$L$4:$N$4)*'R&amp;S - Packaging and hh goods'!$F$10*('R&amp;S - Packaging and hh goods'!$J$14*'R&amp;S - Packaging and hh goods'!$AH$19*(N$3-$D$3)/10)</f>
        <v>4.1176627372742258</v>
      </c>
      <c r="O36" s="44">
        <f>O27*'R&amp;S - Packaging and hh goods'!$M$4/SUM('R&amp;S - Packaging and hh goods'!$L$4:$N$4)-O27*'R&amp;S - Packaging and hh goods'!$M$4/SUM('R&amp;S - Packaging and hh goods'!$L$4:$N$4)*('R&amp;S - Packaging and hh goods'!$F$7*'R&amp;S - Packaging and hh goods'!$J$14*('R&amp;S - Packaging and hh goods'!$AE$19+('R&amp;S - Packaging and hh goods'!$AE$20-'R&amp;S - Packaging and hh goods'!$AE$19)*(O$3-$N$3)/10))-O27*'R&amp;S - Packaging and hh goods'!$M$4/SUM('R&amp;S - Packaging and hh goods'!$L$4:$N$4)*('R&amp;S - Packaging and hh goods'!$F$8*'R&amp;S - Packaging and hh goods'!$J$14*('R&amp;S - Packaging and hh goods'!$AF$19+('R&amp;S - Packaging and hh goods'!$AF$20-'R&amp;S - Packaging and hh goods'!$AF$19)*(O$3-$N$3)/10))-O27*'R&amp;S - Packaging and hh goods'!$M$4/SUM('R&amp;S - Packaging and hh goods'!$L$4:$N$4)*('R&amp;S - Packaging and hh goods'!$F$9*'R&amp;S - Packaging and hh goods'!$K$14*('R&amp;S - Packaging and hh goods'!$AG$19+('R&amp;S - Packaging and hh goods'!$AG$20-'R&amp;S - Packaging and hh goods'!$AG$19)*(O$3-$N$3)/10))-O27*'R&amp;S - Packaging and hh goods'!$M$4/SUM('R&amp;S - Packaging and hh goods'!$L$4:$N$4)*('R&amp;S - Packaging and hh goods'!$F$10*'R&amp;S - Packaging and hh goods'!$K$14*('R&amp;S - Packaging and hh goods'!$AH$19+('R&amp;S - Packaging and hh goods'!$AH$20-'R&amp;S - Packaging and hh goods'!$AH$19)*(O$3-$N$3)/10))</f>
        <v>4.162957027384242</v>
      </c>
      <c r="P36" s="44">
        <f>P27*'R&amp;S - Packaging and hh goods'!$M$4/SUM('R&amp;S - Packaging and hh goods'!$L$4:$N$4)-P27*'R&amp;S - Packaging and hh goods'!$M$4/SUM('R&amp;S - Packaging and hh goods'!$L$4:$N$4)*('R&amp;S - Packaging and hh goods'!$F$7*'R&amp;S - Packaging and hh goods'!$J$14*('R&amp;S - Packaging and hh goods'!$AE$19+('R&amp;S - Packaging and hh goods'!$AE$20-'R&amp;S - Packaging and hh goods'!$AE$19)*(P$3-$N$3)/10))-P27*'R&amp;S - Packaging and hh goods'!$M$4/SUM('R&amp;S - Packaging and hh goods'!$L$4:$N$4)*('R&amp;S - Packaging and hh goods'!$F$8*'R&amp;S - Packaging and hh goods'!$J$14*('R&amp;S - Packaging and hh goods'!$AF$19+('R&amp;S - Packaging and hh goods'!$AF$20-'R&amp;S - Packaging and hh goods'!$AF$19)*(P$3-$N$3)/10))-P27*'R&amp;S - Packaging and hh goods'!$M$4/SUM('R&amp;S - Packaging and hh goods'!$L$4:$N$4)*('R&amp;S - Packaging and hh goods'!$F$9*'R&amp;S - Packaging and hh goods'!$K$14*('R&amp;S - Packaging and hh goods'!$AG$19+('R&amp;S - Packaging and hh goods'!$AG$20-'R&amp;S - Packaging and hh goods'!$AG$19)*(P$3-$N$3)/10))-P27*'R&amp;S - Packaging and hh goods'!$M$4/SUM('R&amp;S - Packaging and hh goods'!$L$4:$N$4)*('R&amp;S - Packaging and hh goods'!$F$10*'R&amp;S - Packaging and hh goods'!$K$14*('R&amp;S - Packaging and hh goods'!$AH$19+('R&amp;S - Packaging and hh goods'!$AH$20-'R&amp;S - Packaging and hh goods'!$AH$19)*(P$3-$N$3)/10))</f>
        <v>4.2087495546854683</v>
      </c>
      <c r="Q36" s="44">
        <f>Q27*'R&amp;S - Packaging and hh goods'!$M$4/SUM('R&amp;S - Packaging and hh goods'!$L$4:$N$4)-Q27*'R&amp;S - Packaging and hh goods'!$M$4/SUM('R&amp;S - Packaging and hh goods'!$L$4:$N$4)*('R&amp;S - Packaging and hh goods'!$F$7*'R&amp;S - Packaging and hh goods'!$J$14*('R&amp;S - Packaging and hh goods'!$AE$19+('R&amp;S - Packaging and hh goods'!$AE$20-'R&amp;S - Packaging and hh goods'!$AE$19)*(Q$3-$N$3)/10))-Q27*'R&amp;S - Packaging and hh goods'!$M$4/SUM('R&amp;S - Packaging and hh goods'!$L$4:$N$4)*('R&amp;S - Packaging and hh goods'!$F$8*'R&amp;S - Packaging and hh goods'!$J$14*('R&amp;S - Packaging and hh goods'!$AF$19+('R&amp;S - Packaging and hh goods'!$AF$20-'R&amp;S - Packaging and hh goods'!$AF$19)*(Q$3-$N$3)/10))-Q27*'R&amp;S - Packaging and hh goods'!$M$4/SUM('R&amp;S - Packaging and hh goods'!$L$4:$N$4)*('R&amp;S - Packaging and hh goods'!$F$9*'R&amp;S - Packaging and hh goods'!$K$14*('R&amp;S - Packaging and hh goods'!$AG$19+('R&amp;S - Packaging and hh goods'!$AG$20-'R&amp;S - Packaging and hh goods'!$AG$19)*(Q$3-$N$3)/10))-Q27*'R&amp;S - Packaging and hh goods'!$M$4/SUM('R&amp;S - Packaging and hh goods'!$L$4:$N$4)*('R&amp;S - Packaging and hh goods'!$F$10*'R&amp;S - Packaging and hh goods'!$K$14*('R&amp;S - Packaging and hh goods'!$AH$19+('R&amp;S - Packaging and hh goods'!$AH$20-'R&amp;S - Packaging and hh goods'!$AH$19)*(Q$3-$N$3)/10))</f>
        <v>4.2550457997870073</v>
      </c>
      <c r="R36" s="44">
        <f>R27*'R&amp;S - Packaging and hh goods'!$M$4/SUM('R&amp;S - Packaging and hh goods'!$L$4:$N$4)-R27*'R&amp;S - Packaging and hh goods'!$M$4/SUM('R&amp;S - Packaging and hh goods'!$L$4:$N$4)*('R&amp;S - Packaging and hh goods'!$F$7*'R&amp;S - Packaging and hh goods'!$J$14*('R&amp;S - Packaging and hh goods'!$AE$19+('R&amp;S - Packaging and hh goods'!$AE$20-'R&amp;S - Packaging and hh goods'!$AE$19)*(R$3-$N$3)/10))-R27*'R&amp;S - Packaging and hh goods'!$M$4/SUM('R&amp;S - Packaging and hh goods'!$L$4:$N$4)*('R&amp;S - Packaging and hh goods'!$F$8*'R&amp;S - Packaging and hh goods'!$J$14*('R&amp;S - Packaging and hh goods'!$AF$19+('R&amp;S - Packaging and hh goods'!$AF$20-'R&amp;S - Packaging and hh goods'!$AF$19)*(R$3-$N$3)/10))-R27*'R&amp;S - Packaging and hh goods'!$M$4/SUM('R&amp;S - Packaging and hh goods'!$L$4:$N$4)*('R&amp;S - Packaging and hh goods'!$F$9*'R&amp;S - Packaging and hh goods'!$K$14*('R&amp;S - Packaging and hh goods'!$AG$19+('R&amp;S - Packaging and hh goods'!$AG$20-'R&amp;S - Packaging and hh goods'!$AG$19)*(R$3-$N$3)/10))-R27*'R&amp;S - Packaging and hh goods'!$M$4/SUM('R&amp;S - Packaging and hh goods'!$L$4:$N$4)*('R&amp;S - Packaging and hh goods'!$F$10*'R&amp;S - Packaging and hh goods'!$K$14*('R&amp;S - Packaging and hh goods'!$AH$19+('R&amp;S - Packaging and hh goods'!$AH$20-'R&amp;S - Packaging and hh goods'!$AH$19)*(R$3-$N$3)/10))</f>
        <v>4.3018513035846642</v>
      </c>
      <c r="S36" s="44">
        <f>S27*'R&amp;S - Packaging and hh goods'!$M$4/SUM('R&amp;S - Packaging and hh goods'!$L$4:$N$4)-S27*'R&amp;S - Packaging and hh goods'!$M$4/SUM('R&amp;S - Packaging and hh goods'!$L$4:$N$4)*('R&amp;S - Packaging and hh goods'!$F$7*'R&amp;S - Packaging and hh goods'!$J$14*('R&amp;S - Packaging and hh goods'!$AE$19+('R&amp;S - Packaging and hh goods'!$AE$20-'R&amp;S - Packaging and hh goods'!$AE$19)*(S$3-$N$3)/10))-S27*'R&amp;S - Packaging and hh goods'!$M$4/SUM('R&amp;S - Packaging and hh goods'!$L$4:$N$4)*('R&amp;S - Packaging and hh goods'!$F$8*'R&amp;S - Packaging and hh goods'!$J$14*('R&amp;S - Packaging and hh goods'!$AF$19+('R&amp;S - Packaging and hh goods'!$AF$20-'R&amp;S - Packaging and hh goods'!$AF$19)*(S$3-$N$3)/10))-S27*'R&amp;S - Packaging and hh goods'!$M$4/SUM('R&amp;S - Packaging and hh goods'!$L$4:$N$4)*('R&amp;S - Packaging and hh goods'!$F$9*'R&amp;S - Packaging and hh goods'!$K$14*('R&amp;S - Packaging and hh goods'!$AG$19+('R&amp;S - Packaging and hh goods'!$AG$20-'R&amp;S - Packaging and hh goods'!$AG$19)*(S$3-$N$3)/10))-S27*'R&amp;S - Packaging and hh goods'!$M$4/SUM('R&amp;S - Packaging and hh goods'!$L$4:$N$4)*('R&amp;S - Packaging and hh goods'!$F$10*'R&amp;S - Packaging and hh goods'!$K$14*('R&amp;S - Packaging and hh goods'!$AH$19+('R&amp;S - Packaging and hh goods'!$AH$20-'R&amp;S - Packaging and hh goods'!$AH$19)*(S$3-$N$3)/10))</f>
        <v>4.3491716679240948</v>
      </c>
      <c r="T36" s="44">
        <f>T27*'R&amp;S - Packaging and hh goods'!$M$4/SUM('R&amp;S - Packaging and hh goods'!$L$4:$N$4)-T27*'R&amp;S - Packaging and hh goods'!$M$4/SUM('R&amp;S - Packaging and hh goods'!$L$4:$N$4)*('R&amp;S - Packaging and hh goods'!$F$7*'R&amp;S - Packaging and hh goods'!$J$14*('R&amp;S - Packaging and hh goods'!$AE$19+('R&amp;S - Packaging and hh goods'!$AE$20-'R&amp;S - Packaging and hh goods'!$AE$19)*(T$3-$N$3)/10))-T27*'R&amp;S - Packaging and hh goods'!$M$4/SUM('R&amp;S - Packaging and hh goods'!$L$4:$N$4)*('R&amp;S - Packaging and hh goods'!$F$8*'R&amp;S - Packaging and hh goods'!$J$14*('R&amp;S - Packaging and hh goods'!$AF$19+('R&amp;S - Packaging and hh goods'!$AF$20-'R&amp;S - Packaging and hh goods'!$AF$19)*(T$3-$N$3)/10))-T27*'R&amp;S - Packaging and hh goods'!$M$4/SUM('R&amp;S - Packaging and hh goods'!$L$4:$N$4)*('R&amp;S - Packaging and hh goods'!$F$9*'R&amp;S - Packaging and hh goods'!$K$14*('R&amp;S - Packaging and hh goods'!$AG$19+('R&amp;S - Packaging and hh goods'!$AG$20-'R&amp;S - Packaging and hh goods'!$AG$19)*(T$3-$N$3)/10))-T27*'R&amp;S - Packaging and hh goods'!$M$4/SUM('R&amp;S - Packaging and hh goods'!$L$4:$N$4)*('R&amp;S - Packaging and hh goods'!$F$10*'R&amp;S - Packaging and hh goods'!$K$14*('R&amp;S - Packaging and hh goods'!$AH$19+('R&amp;S - Packaging and hh goods'!$AH$20-'R&amp;S - Packaging and hh goods'!$AH$19)*(T$3-$N$3)/10))</f>
        <v>4.3970125562712603</v>
      </c>
      <c r="U36" s="44">
        <f>U27*'R&amp;S - Packaging and hh goods'!$M$4/SUM('R&amp;S - Packaging and hh goods'!$L$4:$N$4)-U27*'R&amp;S - Packaging and hh goods'!$M$4/SUM('R&amp;S - Packaging and hh goods'!$L$4:$N$4)*('R&amp;S - Packaging and hh goods'!$F$7*'R&amp;S - Packaging and hh goods'!$J$14*('R&amp;S - Packaging and hh goods'!$AE$19+('R&amp;S - Packaging and hh goods'!$AE$20-'R&amp;S - Packaging and hh goods'!$AE$19)*(U$3-$N$3)/10))-U27*'R&amp;S - Packaging and hh goods'!$M$4/SUM('R&amp;S - Packaging and hh goods'!$L$4:$N$4)*('R&amp;S - Packaging and hh goods'!$F$8*'R&amp;S - Packaging and hh goods'!$J$14*('R&amp;S - Packaging and hh goods'!$AF$19+('R&amp;S - Packaging and hh goods'!$AF$20-'R&amp;S - Packaging and hh goods'!$AF$19)*(U$3-$N$3)/10))-U27*'R&amp;S - Packaging and hh goods'!$M$4/SUM('R&amp;S - Packaging and hh goods'!$L$4:$N$4)*('R&amp;S - Packaging and hh goods'!$F$9*'R&amp;S - Packaging and hh goods'!$K$14*('R&amp;S - Packaging and hh goods'!$AG$19+('R&amp;S - Packaging and hh goods'!$AG$20-'R&amp;S - Packaging and hh goods'!$AG$19)*(U$3-$N$3)/10))-U27*'R&amp;S - Packaging and hh goods'!$M$4/SUM('R&amp;S - Packaging and hh goods'!$L$4:$N$4)*('R&amp;S - Packaging and hh goods'!$F$10*'R&amp;S - Packaging and hh goods'!$K$14*('R&amp;S - Packaging and hh goods'!$AH$19+('R&amp;S - Packaging and hh goods'!$AH$20-'R&amp;S - Packaging and hh goods'!$AH$19)*(U$3-$N$3)/10))</f>
        <v>4.4453796943902431</v>
      </c>
      <c r="V36" s="44">
        <f>V27*'R&amp;S - Packaging and hh goods'!$M$4/SUM('R&amp;S - Packaging and hh goods'!$L$4:$N$4)-V27*'R&amp;S - Packaging and hh goods'!$M$4/SUM('R&amp;S - Packaging and hh goods'!$L$4:$N$4)*('R&amp;S - Packaging and hh goods'!$F$7*'R&amp;S - Packaging and hh goods'!$J$14*('R&amp;S - Packaging and hh goods'!$AE$19+('R&amp;S - Packaging and hh goods'!$AE$20-'R&amp;S - Packaging and hh goods'!$AE$19)*(V$3-$N$3)/10))-V27*'R&amp;S - Packaging and hh goods'!$M$4/SUM('R&amp;S - Packaging and hh goods'!$L$4:$N$4)*('R&amp;S - Packaging and hh goods'!$F$8*'R&amp;S - Packaging and hh goods'!$J$14*('R&amp;S - Packaging and hh goods'!$AF$19+('R&amp;S - Packaging and hh goods'!$AF$20-'R&amp;S - Packaging and hh goods'!$AF$19)*(V$3-$N$3)/10))-V27*'R&amp;S - Packaging and hh goods'!$M$4/SUM('R&amp;S - Packaging and hh goods'!$L$4:$N$4)*('R&amp;S - Packaging and hh goods'!$F$9*'R&amp;S - Packaging and hh goods'!$K$14*('R&amp;S - Packaging and hh goods'!$AG$19+('R&amp;S - Packaging and hh goods'!$AG$20-'R&amp;S - Packaging and hh goods'!$AG$19)*(V$3-$N$3)/10))-V27*'R&amp;S - Packaging and hh goods'!$M$4/SUM('R&amp;S - Packaging and hh goods'!$L$4:$N$4)*('R&amp;S - Packaging and hh goods'!$F$10*'R&amp;S - Packaging and hh goods'!$K$14*('R&amp;S - Packaging and hh goods'!$AH$19+('R&amp;S - Packaging and hh goods'!$AH$20-'R&amp;S - Packaging and hh goods'!$AH$19)*(V$3-$N$3)/10))</f>
        <v>4.4942788710285351</v>
      </c>
      <c r="W36" s="44">
        <f>W27*'R&amp;S - Packaging and hh goods'!$M$4/SUM('R&amp;S - Packaging and hh goods'!$L$4:$N$4)-W27*'R&amp;S - Packaging and hh goods'!$M$4/SUM('R&amp;S - Packaging and hh goods'!$L$4:$N$4)*('R&amp;S - Packaging and hh goods'!$F$7*'R&amp;S - Packaging and hh goods'!$J$14*('R&amp;S - Packaging and hh goods'!$AE$19+('R&amp;S - Packaging and hh goods'!$AE$20-'R&amp;S - Packaging and hh goods'!$AE$19)*(W$3-$N$3)/10))-W27*'R&amp;S - Packaging and hh goods'!$M$4/SUM('R&amp;S - Packaging and hh goods'!$L$4:$N$4)*('R&amp;S - Packaging and hh goods'!$F$8*'R&amp;S - Packaging and hh goods'!$J$14*('R&amp;S - Packaging and hh goods'!$AF$19+('R&amp;S - Packaging and hh goods'!$AF$20-'R&amp;S - Packaging and hh goods'!$AF$19)*(W$3-$N$3)/10))-W27*'R&amp;S - Packaging and hh goods'!$M$4/SUM('R&amp;S - Packaging and hh goods'!$L$4:$N$4)*('R&amp;S - Packaging and hh goods'!$F$9*'R&amp;S - Packaging and hh goods'!$K$14*('R&amp;S - Packaging and hh goods'!$AG$19+('R&amp;S - Packaging and hh goods'!$AG$20-'R&amp;S - Packaging and hh goods'!$AG$19)*(W$3-$N$3)/10))-W27*'R&amp;S - Packaging and hh goods'!$M$4/SUM('R&amp;S - Packaging and hh goods'!$L$4:$N$4)*('R&amp;S - Packaging and hh goods'!$F$10*'R&amp;S - Packaging and hh goods'!$K$14*('R&amp;S - Packaging and hh goods'!$AH$19+('R&amp;S - Packaging and hh goods'!$AH$20-'R&amp;S - Packaging and hh goods'!$AH$19)*(W$3-$N$3)/10))</f>
        <v>4.5437159386098491</v>
      </c>
      <c r="X36" s="44">
        <f>X27*'R&amp;S - Packaging and hh goods'!$M$4/SUM('R&amp;S - Packaging and hh goods'!$L$4:$N$4)-X27*'R&amp;S - Packaging and hh goods'!$M$4/SUM('R&amp;S - Packaging and hh goods'!$L$4:$N$4)*('R&amp;S - Packaging and hh goods'!$F$7*'R&amp;S - Packaging and hh goods'!$J$14*('R&amp;S - Packaging and hh goods'!$AE$19+('R&amp;S - Packaging and hh goods'!$AE$20-'R&amp;S - Packaging and hh goods'!$AE$19)*(X$3-$N$3)/10))-X27*'R&amp;S - Packaging and hh goods'!$M$4/SUM('R&amp;S - Packaging and hh goods'!$L$4:$N$4)*('R&amp;S - Packaging and hh goods'!$F$8*'R&amp;S - Packaging and hh goods'!$J$14*('R&amp;S - Packaging and hh goods'!$AF$19+('R&amp;S - Packaging and hh goods'!$AF$20-'R&amp;S - Packaging and hh goods'!$AF$19)*(X$3-$N$3)/10))-X27*'R&amp;S - Packaging and hh goods'!$M$4/SUM('R&amp;S - Packaging and hh goods'!$L$4:$N$4)*('R&amp;S - Packaging and hh goods'!$F$9*'R&amp;S - Packaging and hh goods'!$K$14*('R&amp;S - Packaging and hh goods'!$AG$19+('R&amp;S - Packaging and hh goods'!$AG$20-'R&amp;S - Packaging and hh goods'!$AG$19)*(X$3-$N$3)/10))-X27*'R&amp;S - Packaging and hh goods'!$M$4/SUM('R&amp;S - Packaging and hh goods'!$L$4:$N$4)*('R&amp;S - Packaging and hh goods'!$F$10*'R&amp;S - Packaging and hh goods'!$K$14*('R&amp;S - Packaging and hh goods'!$AH$19+('R&amp;S - Packaging and hh goods'!$AH$20-'R&amp;S - Packaging and hh goods'!$AH$19)*(X$3-$N$3)/10))</f>
        <v>4.5936968139345566</v>
      </c>
      <c r="Y36" s="44">
        <f>Y27*'R&amp;S - Packaging and hh goods'!$M$4/SUM('R&amp;S - Packaging and hh goods'!$L$4:$N$4)-Y27*'R&amp;S - Packaging and hh goods'!$M$4/SUM('R&amp;S - Packaging and hh goods'!$L$4:$N$4)*('R&amp;S - Packaging and hh goods'!$F7*'R&amp;S - Packaging and hh goods'!$J$14*('R&amp;S - Packaging and hh goods'!$AE$20+('R&amp;S - Packaging and hh goods'!$AE$21-'R&amp;S - Packaging and hh goods'!$AE$20)*(Y$3-$X$3)/10))-Y27*'R&amp;S - Packaging and hh goods'!$M$4/SUM('R&amp;S - Packaging and hh goods'!$L$4:$N$4)*('R&amp;S - Packaging and hh goods'!$F8*'R&amp;S - Packaging and hh goods'!$J$14*('R&amp;S - Packaging and hh goods'!$AF$20+('R&amp;S - Packaging and hh goods'!$AF$21-'R&amp;S - Packaging and hh goods'!$AF$20)*(Y$3-$X$3)/10))-Y27*'R&amp;S - Packaging and hh goods'!$M$4/SUM('R&amp;S - Packaging and hh goods'!$L$4:$N$4)*('R&amp;S - Packaging and hh goods'!$F9*'R&amp;S - Packaging and hh goods'!$K$14*('R&amp;S - Packaging and hh goods'!$AG$20+('R&amp;S - Packaging and hh goods'!$AG$21-'R&amp;S - Packaging and hh goods'!$AG$20)*(Y$3-$X$3)/10))-Y27*'R&amp;S - Packaging and hh goods'!$M$4/SUM('R&amp;S - Packaging and hh goods'!$L$4:$N$4)*('R&amp;S - Packaging and hh goods'!$F10*'R&amp;S - Packaging and hh goods'!$K$14*('R&amp;S - Packaging and hh goods'!$AH$20+('R&amp;S - Packaging and hh goods'!$AH$21-'R&amp;S - Packaging and hh goods'!$AH$20)*(Y$3-$X$3)/10))</f>
        <v>4.6442274788878359</v>
      </c>
      <c r="Z36" s="44">
        <f>Z27*'R&amp;S - Packaging and hh goods'!$M$4/SUM('R&amp;S - Packaging and hh goods'!$L$4:$N$4)-Z27*'R&amp;S - Packaging and hh goods'!$M$4/SUM('R&amp;S - Packaging and hh goods'!$L$4:$N$4)*('R&amp;S - Packaging and hh goods'!$F7*'R&amp;S - Packaging and hh goods'!$J$14*('R&amp;S - Packaging and hh goods'!$AE$20+('R&amp;S - Packaging and hh goods'!$AE$21-'R&amp;S - Packaging and hh goods'!$AE$20)*(Z$3-$X$3)/10))-Z27*'R&amp;S - Packaging and hh goods'!$M$4/SUM('R&amp;S - Packaging and hh goods'!$L$4:$N$4)*('R&amp;S - Packaging and hh goods'!$F8*'R&amp;S - Packaging and hh goods'!$J$14*('R&amp;S - Packaging and hh goods'!$AF$20+('R&amp;S - Packaging and hh goods'!$AF$21-'R&amp;S - Packaging and hh goods'!$AF$20)*(Z$3-$X$3)/10))-Z27*'R&amp;S - Packaging and hh goods'!$M$4/SUM('R&amp;S - Packaging and hh goods'!$L$4:$N$4)*('R&amp;S - Packaging and hh goods'!$F9*'R&amp;S - Packaging and hh goods'!$K$14*('R&amp;S - Packaging and hh goods'!$AG$20+('R&amp;S - Packaging and hh goods'!$AG$21-'R&amp;S - Packaging and hh goods'!$AG$20)*(Z$3-$X$3)/10))-Z27*'R&amp;S - Packaging and hh goods'!$M$4/SUM('R&amp;S - Packaging and hh goods'!$L$4:$N$4)*('R&amp;S - Packaging and hh goods'!$F10*'R&amp;S - Packaging and hh goods'!$K$14*('R&amp;S - Packaging and hh goods'!$AH$20+('R&amp;S - Packaging and hh goods'!$AH$21-'R&amp;S - Packaging and hh goods'!$AH$20)*(Z$3-$X$3)/10))</f>
        <v>4.6953139811556017</v>
      </c>
      <c r="AA36" s="44">
        <f>AA27*'R&amp;S - Packaging and hh goods'!$M$4/SUM('R&amp;S - Packaging and hh goods'!$L$4:$N$4)-AA27*'R&amp;S - Packaging and hh goods'!$M$4/SUM('R&amp;S - Packaging and hh goods'!$L$4:$N$4)*('R&amp;S - Packaging and hh goods'!$F7*'R&amp;S - Packaging and hh goods'!$J$14*('R&amp;S - Packaging and hh goods'!$AE$20+('R&amp;S - Packaging and hh goods'!$AE$21-'R&amp;S - Packaging and hh goods'!$AE$20)*(AA$3-$X$3)/10))-AA27*'R&amp;S - Packaging and hh goods'!$M$4/SUM('R&amp;S - Packaging and hh goods'!$L$4:$N$4)*('R&amp;S - Packaging and hh goods'!$F8*'R&amp;S - Packaging and hh goods'!$J$14*('R&amp;S - Packaging and hh goods'!$AF$20+('R&amp;S - Packaging and hh goods'!$AF$21-'R&amp;S - Packaging and hh goods'!$AF$20)*(AA$3-$X$3)/10))-AA27*'R&amp;S - Packaging and hh goods'!$M$4/SUM('R&amp;S - Packaging and hh goods'!$L$4:$N$4)*('R&amp;S - Packaging and hh goods'!$F9*'R&amp;S - Packaging and hh goods'!$K$14*('R&amp;S - Packaging and hh goods'!$AG$20+('R&amp;S - Packaging and hh goods'!$AG$21-'R&amp;S - Packaging and hh goods'!$AG$20)*(AA$3-$X$3)/10))-AA27*'R&amp;S - Packaging and hh goods'!$M$4/SUM('R&amp;S - Packaging and hh goods'!$L$4:$N$4)*('R&amp;S - Packaging and hh goods'!$F10*'R&amp;S - Packaging and hh goods'!$K$14*('R&amp;S - Packaging and hh goods'!$AH$20+('R&amp;S - Packaging and hh goods'!$AH$21-'R&amp;S - Packaging and hh goods'!$AH$20)*(AA$3-$X$3)/10))</f>
        <v>4.7469624349483137</v>
      </c>
      <c r="AB36" s="44">
        <f>AB27*'R&amp;S - Packaging and hh goods'!$M$4/SUM('R&amp;S - Packaging and hh goods'!$L$4:$N$4)-AB27*'R&amp;S - Packaging and hh goods'!$M$4/SUM('R&amp;S - Packaging and hh goods'!$L$4:$N$4)*('R&amp;S - Packaging and hh goods'!$F7*'R&amp;S - Packaging and hh goods'!$J$14*('R&amp;S - Packaging and hh goods'!$AE$20+('R&amp;S - Packaging and hh goods'!$AE$21-'R&amp;S - Packaging and hh goods'!$AE$20)*(AB$3-$X$3)/10))-AB27*'R&amp;S - Packaging and hh goods'!$M$4/SUM('R&amp;S - Packaging and hh goods'!$L$4:$N$4)*('R&amp;S - Packaging and hh goods'!$F8*'R&amp;S - Packaging and hh goods'!$J$14*('R&amp;S - Packaging and hh goods'!$AF$20+('R&amp;S - Packaging and hh goods'!$AF$21-'R&amp;S - Packaging and hh goods'!$AF$20)*(AB$3-$X$3)/10))-AB27*'R&amp;S - Packaging and hh goods'!$M$4/SUM('R&amp;S - Packaging and hh goods'!$L$4:$N$4)*('R&amp;S - Packaging and hh goods'!$F9*'R&amp;S - Packaging and hh goods'!$K$14*('R&amp;S - Packaging and hh goods'!$AG$20+('R&amp;S - Packaging and hh goods'!$AG$21-'R&amp;S - Packaging and hh goods'!$AG$20)*(AB$3-$X$3)/10))-AB27*'R&amp;S - Packaging and hh goods'!$M$4/SUM('R&amp;S - Packaging and hh goods'!$L$4:$N$4)*('R&amp;S - Packaging and hh goods'!$F10*'R&amp;S - Packaging and hh goods'!$K$14*('R&amp;S - Packaging and hh goods'!$AH$20+('R&amp;S - Packaging and hh goods'!$AH$21-'R&amp;S - Packaging and hh goods'!$AH$20)*(AB$3-$X$3)/10))</f>
        <v>4.7991790217327441</v>
      </c>
      <c r="AC36" s="44">
        <f>AC27*'R&amp;S - Packaging and hh goods'!$M$4/SUM('R&amp;S - Packaging and hh goods'!$L$4:$N$4)-AC27*'R&amp;S - Packaging and hh goods'!$M$4/SUM('R&amp;S - Packaging and hh goods'!$L$4:$N$4)*('R&amp;S - Packaging and hh goods'!$F7*'R&amp;S - Packaging and hh goods'!$J$14*('R&amp;S - Packaging and hh goods'!$AE$20+('R&amp;S - Packaging and hh goods'!$AE$21-'R&amp;S - Packaging and hh goods'!$AE$20)*(AC$3-$X$3)/10))-AC27*'R&amp;S - Packaging and hh goods'!$M$4/SUM('R&amp;S - Packaging and hh goods'!$L$4:$N$4)*('R&amp;S - Packaging and hh goods'!$F8*'R&amp;S - Packaging and hh goods'!$J$14*('R&amp;S - Packaging and hh goods'!$AF$20+('R&amp;S - Packaging and hh goods'!$AF$21-'R&amp;S - Packaging and hh goods'!$AF$20)*(AC$3-$X$3)/10))-AC27*'R&amp;S - Packaging and hh goods'!$M$4/SUM('R&amp;S - Packaging and hh goods'!$L$4:$N$4)*('R&amp;S - Packaging and hh goods'!$F9*'R&amp;S - Packaging and hh goods'!$K$14*('R&amp;S - Packaging and hh goods'!$AG$20+('R&amp;S - Packaging and hh goods'!$AG$21-'R&amp;S - Packaging and hh goods'!$AG$20)*(AC$3-$X$3)/10))-AC27*'R&amp;S - Packaging and hh goods'!$M$4/SUM('R&amp;S - Packaging and hh goods'!$L$4:$N$4)*('R&amp;S - Packaging and hh goods'!$F10*'R&amp;S - Packaging and hh goods'!$K$14*('R&amp;S - Packaging and hh goods'!$AH$20+('R&amp;S - Packaging and hh goods'!$AH$21-'R&amp;S - Packaging and hh goods'!$AH$20)*(AC$3-$X$3)/10))</f>
        <v>4.8519699909718037</v>
      </c>
      <c r="AD36" s="44">
        <f>AD27*'R&amp;S - Packaging and hh goods'!$M$4/SUM('R&amp;S - Packaging and hh goods'!$L$4:$N$4)-AD27*'R&amp;S - Packaging and hh goods'!$M$4/SUM('R&amp;S - Packaging and hh goods'!$L$4:$N$4)*('R&amp;S - Packaging and hh goods'!$F7*'R&amp;S - Packaging and hh goods'!$J$14*('R&amp;S - Packaging and hh goods'!$AE$20+('R&amp;S - Packaging and hh goods'!$AE$21-'R&amp;S - Packaging and hh goods'!$AE$20)*(AD$3-$X$3)/10))-AD27*'R&amp;S - Packaging and hh goods'!$M$4/SUM('R&amp;S - Packaging and hh goods'!$L$4:$N$4)*('R&amp;S - Packaging and hh goods'!$F8*'R&amp;S - Packaging and hh goods'!$J$14*('R&amp;S - Packaging and hh goods'!$AF$20+('R&amp;S - Packaging and hh goods'!$AF$21-'R&amp;S - Packaging and hh goods'!$AF$20)*(AD$3-$X$3)/10))-AD27*'R&amp;S - Packaging and hh goods'!$M$4/SUM('R&amp;S - Packaging and hh goods'!$L$4:$N$4)*('R&amp;S - Packaging and hh goods'!$F9*'R&amp;S - Packaging and hh goods'!$K$14*('R&amp;S - Packaging and hh goods'!$AG$20+('R&amp;S - Packaging and hh goods'!$AG$21-'R&amp;S - Packaging and hh goods'!$AG$20)*(AD$3-$X$3)/10))-AD27*'R&amp;S - Packaging and hh goods'!$M$4/SUM('R&amp;S - Packaging and hh goods'!$L$4:$N$4)*('R&amp;S - Packaging and hh goods'!$F10*'R&amp;S - Packaging and hh goods'!$K$14*('R&amp;S - Packaging and hh goods'!$AH$20+('R&amp;S - Packaging and hh goods'!$AH$21-'R&amp;S - Packaging and hh goods'!$AH$20)*(AD$3-$X$3)/10))</f>
        <v>4.9053416608724927</v>
      </c>
      <c r="AE36" s="44">
        <f>AE27*'R&amp;S - Packaging and hh goods'!$M$4/SUM('R&amp;S - Packaging and hh goods'!$L$4:$N$4)-AE27*'R&amp;S - Packaging and hh goods'!$M$4/SUM('R&amp;S - Packaging and hh goods'!$L$4:$N$4)*('R&amp;S - Packaging and hh goods'!$F7*'R&amp;S - Packaging and hh goods'!$J$14*('R&amp;S - Packaging and hh goods'!$AE$20+('R&amp;S - Packaging and hh goods'!$AE$21-'R&amp;S - Packaging and hh goods'!$AE$20)*(AE$3-$X$3)/10))-AE27*'R&amp;S - Packaging and hh goods'!$M$4/SUM('R&amp;S - Packaging and hh goods'!$L$4:$N$4)*('R&amp;S - Packaging and hh goods'!$F8*'R&amp;S - Packaging and hh goods'!$J$14*('R&amp;S - Packaging and hh goods'!$AF$20+('R&amp;S - Packaging and hh goods'!$AF$21-'R&amp;S - Packaging and hh goods'!$AF$20)*(AE$3-$X$3)/10))-AE27*'R&amp;S - Packaging and hh goods'!$M$4/SUM('R&amp;S - Packaging and hh goods'!$L$4:$N$4)*('R&amp;S - Packaging and hh goods'!$F9*'R&amp;S - Packaging and hh goods'!$K$14*('R&amp;S - Packaging and hh goods'!$AG$20+('R&amp;S - Packaging and hh goods'!$AG$21-'R&amp;S - Packaging and hh goods'!$AG$20)*(AE$3-$X$3)/10))-AE27*'R&amp;S - Packaging and hh goods'!$M$4/SUM('R&amp;S - Packaging and hh goods'!$L$4:$N$4)*('R&amp;S - Packaging and hh goods'!$F10*'R&amp;S - Packaging and hh goods'!$K$14*('R&amp;S - Packaging and hh goods'!$AH$20+('R&amp;S - Packaging and hh goods'!$AH$21-'R&amp;S - Packaging and hh goods'!$AH$20)*(AE$3-$X$3)/10))</f>
        <v>4.9593004191420889</v>
      </c>
      <c r="AF36" s="44">
        <f>AF27*'R&amp;S - Packaging and hh goods'!$M$4/SUM('R&amp;S - Packaging and hh goods'!$L$4:$N$4)-AF27*'R&amp;S - Packaging and hh goods'!$M$4/SUM('R&amp;S - Packaging and hh goods'!$L$4:$N$4)*('R&amp;S - Packaging and hh goods'!$F7*'R&amp;S - Packaging and hh goods'!$J$14*('R&amp;S - Packaging and hh goods'!$AE$20+('R&amp;S - Packaging and hh goods'!$AE$21-'R&amp;S - Packaging and hh goods'!$AE$20)*(AF$3-$X$3)/10))-AF27*'R&amp;S - Packaging and hh goods'!$M$4/SUM('R&amp;S - Packaging and hh goods'!$L$4:$N$4)*('R&amp;S - Packaging and hh goods'!$F8*'R&amp;S - Packaging and hh goods'!$J$14*('R&amp;S - Packaging and hh goods'!$AF$20+('R&amp;S - Packaging and hh goods'!$AF$21-'R&amp;S - Packaging and hh goods'!$AF$20)*(AF$3-$X$3)/10))-AF27*'R&amp;S - Packaging and hh goods'!$M$4/SUM('R&amp;S - Packaging and hh goods'!$L$4:$N$4)*('R&amp;S - Packaging and hh goods'!$F9*'R&amp;S - Packaging and hh goods'!$K$14*('R&amp;S - Packaging and hh goods'!$AG$20+('R&amp;S - Packaging and hh goods'!$AG$21-'R&amp;S - Packaging and hh goods'!$AG$20)*(AF$3-$X$3)/10))-AF27*'R&amp;S - Packaging and hh goods'!$M$4/SUM('R&amp;S - Packaging and hh goods'!$L$4:$N$4)*('R&amp;S - Packaging and hh goods'!$F10*'R&amp;S - Packaging and hh goods'!$K$14*('R&amp;S - Packaging and hh goods'!$AH$20+('R&amp;S - Packaging and hh goods'!$AH$21-'R&amp;S - Packaging and hh goods'!$AH$20)*(AF$3-$X$3)/10))</f>
        <v>5.0138527237526525</v>
      </c>
      <c r="AG36" s="44">
        <f>AG27*'R&amp;S - Packaging and hh goods'!$M$4/SUM('R&amp;S - Packaging and hh goods'!$L$4:$N$4)-AG27*'R&amp;S - Packaging and hh goods'!$M$4/SUM('R&amp;S - Packaging and hh goods'!$L$4:$N$4)*('R&amp;S - Packaging and hh goods'!$F7*'R&amp;S - Packaging and hh goods'!$J$14*('R&amp;S - Packaging and hh goods'!$AE$20+('R&amp;S - Packaging and hh goods'!$AE$21-'R&amp;S - Packaging and hh goods'!$AE$20)*(AG$3-$X$3)/10))-AG27*'R&amp;S - Packaging and hh goods'!$M$4/SUM('R&amp;S - Packaging and hh goods'!$L$4:$N$4)*('R&amp;S - Packaging and hh goods'!$F8*'R&amp;S - Packaging and hh goods'!$J$14*('R&amp;S - Packaging and hh goods'!$AF$20+('R&amp;S - Packaging and hh goods'!$AF$21-'R&amp;S - Packaging and hh goods'!$AF$20)*(AG$3-$X$3)/10))-AG27*'R&amp;S - Packaging and hh goods'!$M$4/SUM('R&amp;S - Packaging and hh goods'!$L$4:$N$4)*('R&amp;S - Packaging and hh goods'!$F9*'R&amp;S - Packaging and hh goods'!$K$14*('R&amp;S - Packaging and hh goods'!$AG$20+('R&amp;S - Packaging and hh goods'!$AG$21-'R&amp;S - Packaging and hh goods'!$AG$20)*(AG$3-$X$3)/10))-AG27*'R&amp;S - Packaging and hh goods'!$M$4/SUM('R&amp;S - Packaging and hh goods'!$L$4:$N$4)*('R&amp;S - Packaging and hh goods'!$F10*'R&amp;S - Packaging and hh goods'!$K$14*('R&amp;S - Packaging and hh goods'!$AH$20+('R&amp;S - Packaging and hh goods'!$AH$21-'R&amp;S - Packaging and hh goods'!$AH$20)*(AG$3-$X$3)/10))</f>
        <v>5.0690051037139305</v>
      </c>
      <c r="AH36" s="44">
        <f>AH27*'R&amp;S - Packaging and hh goods'!$M$4/SUM('R&amp;S - Packaging and hh goods'!$L$4:$N$4)-AH27*'R&amp;S - Packaging and hh goods'!$M$4/SUM('R&amp;S - Packaging and hh goods'!$L$4:$N$4)*('R&amp;S - Packaging and hh goods'!$F7*'R&amp;S - Packaging and hh goods'!$J$14*('R&amp;S - Packaging and hh goods'!$AE$20+('R&amp;S - Packaging and hh goods'!$AE$21-'R&amp;S - Packaging and hh goods'!$AE$20)*(AH$3-$X$3)/10))-AH27*'R&amp;S - Packaging and hh goods'!$M$4/SUM('R&amp;S - Packaging and hh goods'!$L$4:$N$4)*('R&amp;S - Packaging and hh goods'!$F8*'R&amp;S - Packaging and hh goods'!$J$14*('R&amp;S - Packaging and hh goods'!$AF$20+('R&amp;S - Packaging and hh goods'!$AF$21-'R&amp;S - Packaging and hh goods'!$AF$20)*(AH$3-$X$3)/10))-AH27*'R&amp;S - Packaging and hh goods'!$M$4/SUM('R&amp;S - Packaging and hh goods'!$L$4:$N$4)*('R&amp;S - Packaging and hh goods'!$F9*'R&amp;S - Packaging and hh goods'!$K$14*('R&amp;S - Packaging and hh goods'!$AG$20+('R&amp;S - Packaging and hh goods'!$AG$21-'R&amp;S - Packaging and hh goods'!$AG$20)*(AH$3-$X$3)/10))-AH27*'R&amp;S - Packaging and hh goods'!$M$4/SUM('R&amp;S - Packaging and hh goods'!$L$4:$N$4)*('R&amp;S - Packaging and hh goods'!$F10*'R&amp;S - Packaging and hh goods'!$K$14*('R&amp;S - Packaging and hh goods'!$AH$20+('R&amp;S - Packaging and hh goods'!$AH$21-'R&amp;S - Packaging and hh goods'!$AH$20)*(AH$3-$X$3)/10))</f>
        <v>5.1247641598547835</v>
      </c>
      <c r="AJ36" s="44">
        <f>AJ27*'R&amp;S - Packaging and hh goods'!$M$4/SUM('R&amp;S - Packaging and hh goods'!$L$4:$N$4)</f>
        <v>3.690958960657742</v>
      </c>
      <c r="AK36" s="44">
        <f>AK27*'R&amp;S - Packaging and hh goods'!$M$4/SUM('R&amp;S - Packaging and hh goods'!$L$4:$N$4)-AK27*'R&amp;S - Packaging and hh goods'!$M$4/SUM('R&amp;S - Packaging and hh goods'!$L$4:$N$4)*'R&amp;S - Packaging and hh goods'!$F$7*('R&amp;S - Packaging and hh goods'!$J$15*'R&amp;S - Packaging and hh goods'!$AE$19*(AK$3-$D$3)/10)-AK27*'R&amp;S - Packaging and hh goods'!$M$4/SUM('R&amp;S - Packaging and hh goods'!$L$4:$N$4)*'R&amp;S - Packaging and hh goods'!$F$8*('R&amp;S - Packaging and hh goods'!$J$15*'R&amp;S - Packaging and hh goods'!$AF$19*(AK$3-$D$3)/10)-AK27*'R&amp;S - Packaging and hh goods'!$M$4/SUM('R&amp;S - Packaging and hh goods'!$L$4:$N$4)*'R&amp;S - Packaging and hh goods'!$F$9*('R&amp;S - Packaging and hh goods'!$J$15*'R&amp;S - Packaging and hh goods'!$AG$19*(AK$3-$D$3)/10)-+AK31*'R&amp;S - Packaging and hh goods'!$M$4/SUM('R&amp;S - Packaging and hh goods'!$L$4:$N$4)*'R&amp;S - Packaging and hh goods'!$F$10*('R&amp;S - Packaging and hh goods'!$J$15*'R&amp;S - Packaging and hh goods'!$AH$19*(AK$3-$D$3)/10)</f>
        <v>3.7315595092249767</v>
      </c>
      <c r="AL36" s="44">
        <f>AL27*'R&amp;S - Packaging and hh goods'!$M$4/SUM('R&amp;S - Packaging and hh goods'!$L$4:$N$4)-AL27*'R&amp;S - Packaging and hh goods'!$M$4/SUM('R&amp;S - Packaging and hh goods'!$L$4:$N$4)*'R&amp;S - Packaging and hh goods'!$F$7*('R&amp;S - Packaging and hh goods'!$J$15*'R&amp;S - Packaging and hh goods'!$AE$19*(AL$3-$D$3)/10)-AL27*'R&amp;S - Packaging and hh goods'!$M$4/SUM('R&amp;S - Packaging and hh goods'!$L$4:$N$4)*'R&amp;S - Packaging and hh goods'!$F$8*('R&amp;S - Packaging and hh goods'!$J$15*'R&amp;S - Packaging and hh goods'!$AF$19*(AL$3-$D$3)/10)-AL27*'R&amp;S - Packaging and hh goods'!$M$4/SUM('R&amp;S - Packaging and hh goods'!$L$4:$N$4)*'R&amp;S - Packaging and hh goods'!$F$9*('R&amp;S - Packaging and hh goods'!$J$15*'R&amp;S - Packaging and hh goods'!$AG$19*(AL$3-$D$3)/10)-+AL31*'R&amp;S - Packaging and hh goods'!$M$4/SUM('R&amp;S - Packaging and hh goods'!$L$4:$N$4)*'R&amp;S - Packaging and hh goods'!$F$10*('R&amp;S - Packaging and hh goods'!$J$15*'R&amp;S - Packaging and hh goods'!$AH$19*(AL$3-$D$3)/10)</f>
        <v>3.7726066638264513</v>
      </c>
      <c r="AM36" s="44">
        <f>AM27*'R&amp;S - Packaging and hh goods'!$M$4/SUM('R&amp;S - Packaging and hh goods'!$L$4:$N$4)-AM27*'R&amp;S - Packaging and hh goods'!$M$4/SUM('R&amp;S - Packaging and hh goods'!$L$4:$N$4)*'R&amp;S - Packaging and hh goods'!$F$7*('R&amp;S - Packaging and hh goods'!$J$15*'R&amp;S - Packaging and hh goods'!$AE$19*(AM$3-$D$3)/10)-AM27*'R&amp;S - Packaging and hh goods'!$M$4/SUM('R&amp;S - Packaging and hh goods'!$L$4:$N$4)*'R&amp;S - Packaging and hh goods'!$F$8*('R&amp;S - Packaging and hh goods'!$J$15*'R&amp;S - Packaging and hh goods'!$AF$19*(AM$3-$D$3)/10)-AM27*'R&amp;S - Packaging and hh goods'!$M$4/SUM('R&amp;S - Packaging and hh goods'!$L$4:$N$4)*'R&amp;S - Packaging and hh goods'!$F$9*('R&amp;S - Packaging and hh goods'!$J$15*'R&amp;S - Packaging and hh goods'!$AG$19*(AM$3-$D$3)/10)-+AM31*'R&amp;S - Packaging and hh goods'!$M$4/SUM('R&amp;S - Packaging and hh goods'!$L$4:$N$4)*'R&amp;S - Packaging and hh goods'!$F$10*('R&amp;S - Packaging and hh goods'!$J$15*'R&amp;S - Packaging and hh goods'!$AH$19*(AM$3-$D$3)/10)</f>
        <v>3.8141053371285416</v>
      </c>
      <c r="AN36" s="44">
        <f>AN27*'R&amp;S - Packaging and hh goods'!$M$4/SUM('R&amp;S - Packaging and hh goods'!$L$4:$N$4)-AN27*'R&amp;S - Packaging and hh goods'!$M$4/SUM('R&amp;S - Packaging and hh goods'!$L$4:$N$4)*'R&amp;S - Packaging and hh goods'!$F$7*('R&amp;S - Packaging and hh goods'!$J$15*'R&amp;S - Packaging and hh goods'!$AE$19*(AN$3-$D$3)/10)-AN27*'R&amp;S - Packaging and hh goods'!$M$4/SUM('R&amp;S - Packaging and hh goods'!$L$4:$N$4)*'R&amp;S - Packaging and hh goods'!$F$8*('R&amp;S - Packaging and hh goods'!$J$15*'R&amp;S - Packaging and hh goods'!$AF$19*(AN$3-$D$3)/10)-AN27*'R&amp;S - Packaging and hh goods'!$M$4/SUM('R&amp;S - Packaging and hh goods'!$L$4:$N$4)*'R&amp;S - Packaging and hh goods'!$F$9*('R&amp;S - Packaging and hh goods'!$J$15*'R&amp;S - Packaging and hh goods'!$AG$19*(AN$3-$D$3)/10)-+AN31*'R&amp;S - Packaging and hh goods'!$M$4/SUM('R&amp;S - Packaging and hh goods'!$L$4:$N$4)*'R&amp;S - Packaging and hh goods'!$F$10*('R&amp;S - Packaging and hh goods'!$J$15*'R&amp;S - Packaging and hh goods'!$AH$19*(AN$3-$D$3)/10)</f>
        <v>3.8560604958369549</v>
      </c>
      <c r="AO36" s="44">
        <f>AO27*'R&amp;S - Packaging and hh goods'!$M$4/SUM('R&amp;S - Packaging and hh goods'!$L$4:$N$4)-AO27*'R&amp;S - Packaging and hh goods'!$M$4/SUM('R&amp;S - Packaging and hh goods'!$L$4:$N$4)*'R&amp;S - Packaging and hh goods'!$F$7*('R&amp;S - Packaging and hh goods'!$J$15*'R&amp;S - Packaging and hh goods'!$AE$19*(AO$3-$D$3)/10)-AO27*'R&amp;S - Packaging and hh goods'!$M$4/SUM('R&amp;S - Packaging and hh goods'!$L$4:$N$4)*'R&amp;S - Packaging and hh goods'!$F$8*('R&amp;S - Packaging and hh goods'!$J$15*'R&amp;S - Packaging and hh goods'!$AF$19*(AO$3-$D$3)/10)-AO27*'R&amp;S - Packaging and hh goods'!$M$4/SUM('R&amp;S - Packaging and hh goods'!$L$4:$N$4)*'R&amp;S - Packaging and hh goods'!$F$9*('R&amp;S - Packaging and hh goods'!$J$15*'R&amp;S - Packaging and hh goods'!$AG$19*(AO$3-$D$3)/10)-+AO31*'R&amp;S - Packaging and hh goods'!$M$4/SUM('R&amp;S - Packaging and hh goods'!$L$4:$N$4)*'R&amp;S - Packaging and hh goods'!$F$10*('R&amp;S - Packaging and hh goods'!$J$15*'R&amp;S - Packaging and hh goods'!$AH$19*(AO$3-$D$3)/10)</f>
        <v>3.8984771612911611</v>
      </c>
      <c r="AP36" s="44">
        <f>AP27*'R&amp;S - Packaging and hh goods'!$M$4/SUM('R&amp;S - Packaging and hh goods'!$L$4:$N$4)-AP27*'R&amp;S - Packaging and hh goods'!$M$4/SUM('R&amp;S - Packaging and hh goods'!$L$4:$N$4)*'R&amp;S - Packaging and hh goods'!$F$7*('R&amp;S - Packaging and hh goods'!$J$15*'R&amp;S - Packaging and hh goods'!$AE$19*(AP$3-$D$3)/10)-AP27*'R&amp;S - Packaging and hh goods'!$M$4/SUM('R&amp;S - Packaging and hh goods'!$L$4:$N$4)*'R&amp;S - Packaging and hh goods'!$F$8*('R&amp;S - Packaging and hh goods'!$J$15*'R&amp;S - Packaging and hh goods'!$AF$19*(AP$3-$D$3)/10)-AP27*'R&amp;S - Packaging and hh goods'!$M$4/SUM('R&amp;S - Packaging and hh goods'!$L$4:$N$4)*'R&amp;S - Packaging and hh goods'!$F$9*('R&amp;S - Packaging and hh goods'!$J$15*'R&amp;S - Packaging and hh goods'!$AG$19*(AP$3-$D$3)/10)-+AP31*'R&amp;S - Packaging and hh goods'!$M$4/SUM('R&amp;S - Packaging and hh goods'!$L$4:$N$4)*'R&amp;S - Packaging and hh goods'!$F$10*('R&amp;S - Packaging and hh goods'!$J$15*'R&amp;S - Packaging and hh goods'!$AH$19*(AP$3-$D$3)/10)</f>
        <v>3.941360410065363</v>
      </c>
      <c r="AQ36" s="44">
        <f>AQ27*'R&amp;S - Packaging and hh goods'!$M$4/SUM('R&amp;S - Packaging and hh goods'!$L$4:$N$4)-AQ27*'R&amp;S - Packaging and hh goods'!$M$4/SUM('R&amp;S - Packaging and hh goods'!$L$4:$N$4)*'R&amp;S - Packaging and hh goods'!$F$7*('R&amp;S - Packaging and hh goods'!$J$15*'R&amp;S - Packaging and hh goods'!$AE$19*(AQ$3-$D$3)/10)-AQ27*'R&amp;S - Packaging and hh goods'!$M$4/SUM('R&amp;S - Packaging and hh goods'!$L$4:$N$4)*'R&amp;S - Packaging and hh goods'!$F$8*('R&amp;S - Packaging and hh goods'!$J$15*'R&amp;S - Packaging and hh goods'!$AF$19*(AQ$3-$D$3)/10)-AQ27*'R&amp;S - Packaging and hh goods'!$M$4/SUM('R&amp;S - Packaging and hh goods'!$L$4:$N$4)*'R&amp;S - Packaging and hh goods'!$F$9*('R&amp;S - Packaging and hh goods'!$J$15*'R&amp;S - Packaging and hh goods'!$AG$19*(AQ$3-$D$3)/10)-+AQ31*'R&amp;S - Packaging and hh goods'!$M$4/SUM('R&amp;S - Packaging and hh goods'!$L$4:$N$4)*'R&amp;S - Packaging and hh goods'!$F$10*('R&amp;S - Packaging and hh goods'!$J$15*'R&amp;S - Packaging and hh goods'!$AH$19*(AQ$3-$D$3)/10)</f>
        <v>3.9847153745760817</v>
      </c>
      <c r="AR36" s="44">
        <f>AR27*'R&amp;S - Packaging and hh goods'!$M$4/SUM('R&amp;S - Packaging and hh goods'!$L$4:$N$4)-AR27*'R&amp;S - Packaging and hh goods'!$M$4/SUM('R&amp;S - Packaging and hh goods'!$L$4:$N$4)*'R&amp;S - Packaging and hh goods'!$F$7*('R&amp;S - Packaging and hh goods'!$J$15*'R&amp;S - Packaging and hh goods'!$AE$19*(AR$3-$D$3)/10)-AR27*'R&amp;S - Packaging and hh goods'!$M$4/SUM('R&amp;S - Packaging and hh goods'!$L$4:$N$4)*'R&amp;S - Packaging and hh goods'!$F$8*('R&amp;S - Packaging and hh goods'!$J$15*'R&amp;S - Packaging and hh goods'!$AF$19*(AR$3-$D$3)/10)-AR27*'R&amp;S - Packaging and hh goods'!$M$4/SUM('R&amp;S - Packaging and hh goods'!$L$4:$N$4)*'R&amp;S - Packaging and hh goods'!$F$9*('R&amp;S - Packaging and hh goods'!$J$15*'R&amp;S - Packaging and hh goods'!$AG$19*(AR$3-$D$3)/10)-+AR31*'R&amp;S - Packaging and hh goods'!$M$4/SUM('R&amp;S - Packaging and hh goods'!$L$4:$N$4)*'R&amp;S - Packaging and hh goods'!$F$10*('R&amp;S - Packaging and hh goods'!$J$15*'R&amp;S - Packaging and hh goods'!$AH$19*(AR$3-$D$3)/10)</f>
        <v>4.0285472436964183</v>
      </c>
      <c r="AS36" s="44">
        <f>AS27*'R&amp;S - Packaging and hh goods'!$M$4/SUM('R&amp;S - Packaging and hh goods'!$L$4:$N$4)-AS27*'R&amp;S - Packaging and hh goods'!$M$4/SUM('R&amp;S - Packaging and hh goods'!$L$4:$N$4)*'R&amp;S - Packaging and hh goods'!$F$7*('R&amp;S - Packaging and hh goods'!$J$15*'R&amp;S - Packaging and hh goods'!$AE$19*(AS$3-$D$3)/10)-AS27*'R&amp;S - Packaging and hh goods'!$M$4/SUM('R&amp;S - Packaging and hh goods'!$L$4:$N$4)*'R&amp;S - Packaging and hh goods'!$F$8*('R&amp;S - Packaging and hh goods'!$J$15*'R&amp;S - Packaging and hh goods'!$AF$19*(AS$3-$D$3)/10)-AS27*'R&amp;S - Packaging and hh goods'!$M$4/SUM('R&amp;S - Packaging and hh goods'!$L$4:$N$4)*'R&amp;S - Packaging and hh goods'!$F$9*('R&amp;S - Packaging and hh goods'!$J$15*'R&amp;S - Packaging and hh goods'!$AG$19*(AS$3-$D$3)/10)-+AS31*'R&amp;S - Packaging and hh goods'!$M$4/SUM('R&amp;S - Packaging and hh goods'!$L$4:$N$4)*'R&amp;S - Packaging and hh goods'!$F$10*('R&amp;S - Packaging and hh goods'!$J$15*'R&amp;S - Packaging and hh goods'!$AH$19*(AS$3-$D$3)/10)</f>
        <v>4.0728612633770789</v>
      </c>
      <c r="AT36" s="44">
        <f>AT27*'R&amp;S - Packaging and hh goods'!$M$4/SUM('R&amp;S - Packaging and hh goods'!$L$4:$N$4)-AT27*'R&amp;S - Packaging and hh goods'!$M$4/SUM('R&amp;S - Packaging and hh goods'!$L$4:$N$4)*'R&amp;S - Packaging and hh goods'!$F$7*('R&amp;S - Packaging and hh goods'!$J$15*'R&amp;S - Packaging and hh goods'!$AE$19*(AT$3-$D$3)/10)-AT27*'R&amp;S - Packaging and hh goods'!$M$4/SUM('R&amp;S - Packaging and hh goods'!$L$4:$N$4)*'R&amp;S - Packaging and hh goods'!$F$8*('R&amp;S - Packaging and hh goods'!$J$15*'R&amp;S - Packaging and hh goods'!$AF$19*(AT$3-$D$3)/10)-AT27*'R&amp;S - Packaging and hh goods'!$M$4/SUM('R&amp;S - Packaging and hh goods'!$L$4:$N$4)*'R&amp;S - Packaging and hh goods'!$F$9*('R&amp;S - Packaging and hh goods'!$J$15*'R&amp;S - Packaging and hh goods'!$AG$19*(AT$3-$D$3)/10)-+AT31*'R&amp;S - Packaging and hh goods'!$M$4/SUM('R&amp;S - Packaging and hh goods'!$L$4:$N$4)*'R&amp;S - Packaging and hh goods'!$F$10*('R&amp;S - Packaging and hh goods'!$J$15*'R&amp;S - Packaging and hh goods'!$AH$19*(AT$3-$D$3)/10)</f>
        <v>4.1176627372742258</v>
      </c>
      <c r="AU36" s="44">
        <f>AU27*'R&amp;S - Packaging and hh goods'!$M$4/SUM('R&amp;S - Packaging and hh goods'!$L$4:$N$4)-AU27*'R&amp;S - Packaging and hh goods'!$M$4/SUM('R&amp;S - Packaging and hh goods'!$L$4:$N$4)*('R&amp;S - Packaging and hh goods'!$F$7*'R&amp;S - Packaging and hh goods'!$J$15*('R&amp;S - Packaging and hh goods'!$AE$19+('R&amp;S - Packaging and hh goods'!$AE$20-'R&amp;S - Packaging and hh goods'!$AE$19)*(AU$3-$N$3)/10))-AU27*'R&amp;S - Packaging and hh goods'!$M$4/SUM('R&amp;S - Packaging and hh goods'!$L$4:$N$4)*('R&amp;S - Packaging and hh goods'!$F$8*'R&amp;S - Packaging and hh goods'!$J$15*('R&amp;S - Packaging and hh goods'!$AF$19+('R&amp;S - Packaging and hh goods'!$AF$20-'R&amp;S - Packaging and hh goods'!$AF$19)*(AU$3-$N$3)/10))-AU27*'R&amp;S - Packaging and hh goods'!$M$4/SUM('R&amp;S - Packaging and hh goods'!$L$4:$N$4)*('R&amp;S - Packaging and hh goods'!$F$9*'R&amp;S - Packaging and hh goods'!$K$15*('R&amp;S - Packaging and hh goods'!$AG$19+('R&amp;S - Packaging and hh goods'!$AG$20-'R&amp;S - Packaging and hh goods'!$AG$19)*(AU$3-$N$3)/10))-AU27*'R&amp;S - Packaging and hh goods'!$M$4/SUM('R&amp;S - Packaging and hh goods'!$L$4:$N$4)*('R&amp;S - Packaging and hh goods'!$F$10*'R&amp;S - Packaging and hh goods'!$K$15*('R&amp;S - Packaging and hh goods'!$AH$19+('R&amp;S - Packaging and hh goods'!$AH$20-'R&amp;S - Packaging and hh goods'!$AH$19)*(AU$3-$N$3)/10))</f>
        <v>4.162957027384242</v>
      </c>
      <c r="AV36" s="44">
        <f>AV27*'R&amp;S - Packaging and hh goods'!$M$4/SUM('R&amp;S - Packaging and hh goods'!$L$4:$N$4)-AV27*'R&amp;S - Packaging and hh goods'!$M$4/SUM('R&amp;S - Packaging and hh goods'!$L$4:$N$4)*('R&amp;S - Packaging and hh goods'!$F$7*'R&amp;S - Packaging and hh goods'!$J$15*('R&amp;S - Packaging and hh goods'!$AE$19+('R&amp;S - Packaging and hh goods'!$AE$20-'R&amp;S - Packaging and hh goods'!$AE$19)*(AV$3-$N$3)/10))-AV27*'R&amp;S - Packaging and hh goods'!$M$4/SUM('R&amp;S - Packaging and hh goods'!$L$4:$N$4)*('R&amp;S - Packaging and hh goods'!$F$8*'R&amp;S - Packaging and hh goods'!$J$15*('R&amp;S - Packaging and hh goods'!$AF$19+('R&amp;S - Packaging and hh goods'!$AF$20-'R&amp;S - Packaging and hh goods'!$AF$19)*(AV$3-$N$3)/10))-AV27*'R&amp;S - Packaging and hh goods'!$M$4/SUM('R&amp;S - Packaging and hh goods'!$L$4:$N$4)*('R&amp;S - Packaging and hh goods'!$F$9*'R&amp;S - Packaging and hh goods'!$K$15*('R&amp;S - Packaging and hh goods'!$AG$19+('R&amp;S - Packaging and hh goods'!$AG$20-'R&amp;S - Packaging and hh goods'!$AG$19)*(AV$3-$N$3)/10))-AV27*'R&amp;S - Packaging and hh goods'!$M$4/SUM('R&amp;S - Packaging and hh goods'!$L$4:$N$4)*('R&amp;S - Packaging and hh goods'!$F$10*'R&amp;S - Packaging and hh goods'!$K$15*('R&amp;S - Packaging and hh goods'!$AH$19+('R&amp;S - Packaging and hh goods'!$AH$20-'R&amp;S - Packaging and hh goods'!$AH$19)*(AV$3-$N$3)/10))</f>
        <v>4.2087495546854683</v>
      </c>
      <c r="AW36" s="44">
        <f>AW27*'R&amp;S - Packaging and hh goods'!$M$4/SUM('R&amp;S - Packaging and hh goods'!$L$4:$N$4)-AW27*'R&amp;S - Packaging and hh goods'!$M$4/SUM('R&amp;S - Packaging and hh goods'!$L$4:$N$4)*('R&amp;S - Packaging and hh goods'!$F$7*'R&amp;S - Packaging and hh goods'!$J$15*('R&amp;S - Packaging and hh goods'!$AE$19+('R&amp;S - Packaging and hh goods'!$AE$20-'R&amp;S - Packaging and hh goods'!$AE$19)*(AW$3-$N$3)/10))-AW27*'R&amp;S - Packaging and hh goods'!$M$4/SUM('R&amp;S - Packaging and hh goods'!$L$4:$N$4)*('R&amp;S - Packaging and hh goods'!$F$8*'R&amp;S - Packaging and hh goods'!$J$15*('R&amp;S - Packaging and hh goods'!$AF$19+('R&amp;S - Packaging and hh goods'!$AF$20-'R&amp;S - Packaging and hh goods'!$AF$19)*(AW$3-$N$3)/10))-AW27*'R&amp;S - Packaging and hh goods'!$M$4/SUM('R&amp;S - Packaging and hh goods'!$L$4:$N$4)*('R&amp;S - Packaging and hh goods'!$F$9*'R&amp;S - Packaging and hh goods'!$K$15*('R&amp;S - Packaging and hh goods'!$AG$19+('R&amp;S - Packaging and hh goods'!$AG$20-'R&amp;S - Packaging and hh goods'!$AG$19)*(AW$3-$N$3)/10))-AW27*'R&amp;S - Packaging and hh goods'!$M$4/SUM('R&amp;S - Packaging and hh goods'!$L$4:$N$4)*('R&amp;S - Packaging and hh goods'!$F$10*'R&amp;S - Packaging and hh goods'!$K$15*('R&amp;S - Packaging and hh goods'!$AH$19+('R&amp;S - Packaging and hh goods'!$AH$20-'R&amp;S - Packaging and hh goods'!$AH$19)*(AW$3-$N$3)/10))</f>
        <v>4.2550457997870073</v>
      </c>
      <c r="AX36" s="44">
        <f>AX27*'R&amp;S - Packaging and hh goods'!$M$4/SUM('R&amp;S - Packaging and hh goods'!$L$4:$N$4)-AX27*'R&amp;S - Packaging and hh goods'!$M$4/SUM('R&amp;S - Packaging and hh goods'!$L$4:$N$4)*('R&amp;S - Packaging and hh goods'!$F$7*'R&amp;S - Packaging and hh goods'!$J$15*('R&amp;S - Packaging and hh goods'!$AE$19+('R&amp;S - Packaging and hh goods'!$AE$20-'R&amp;S - Packaging and hh goods'!$AE$19)*(AX$3-$N$3)/10))-AX27*'R&amp;S - Packaging and hh goods'!$M$4/SUM('R&amp;S - Packaging and hh goods'!$L$4:$N$4)*('R&amp;S - Packaging and hh goods'!$F$8*'R&amp;S - Packaging and hh goods'!$J$15*('R&amp;S - Packaging and hh goods'!$AF$19+('R&amp;S - Packaging and hh goods'!$AF$20-'R&amp;S - Packaging and hh goods'!$AF$19)*(AX$3-$N$3)/10))-AX27*'R&amp;S - Packaging and hh goods'!$M$4/SUM('R&amp;S - Packaging and hh goods'!$L$4:$N$4)*('R&amp;S - Packaging and hh goods'!$F$9*'R&amp;S - Packaging and hh goods'!$K$15*('R&amp;S - Packaging and hh goods'!$AG$19+('R&amp;S - Packaging and hh goods'!$AG$20-'R&amp;S - Packaging and hh goods'!$AG$19)*(AX$3-$N$3)/10))-AX27*'R&amp;S - Packaging and hh goods'!$M$4/SUM('R&amp;S - Packaging and hh goods'!$L$4:$N$4)*('R&amp;S - Packaging and hh goods'!$F$10*'R&amp;S - Packaging and hh goods'!$K$15*('R&amp;S - Packaging and hh goods'!$AH$19+('R&amp;S - Packaging and hh goods'!$AH$20-'R&amp;S - Packaging and hh goods'!$AH$19)*(AX$3-$N$3)/10))</f>
        <v>4.3018513035846642</v>
      </c>
      <c r="AY36" s="44">
        <f>AY27*'R&amp;S - Packaging and hh goods'!$M$4/SUM('R&amp;S - Packaging and hh goods'!$L$4:$N$4)-AY27*'R&amp;S - Packaging and hh goods'!$M$4/SUM('R&amp;S - Packaging and hh goods'!$L$4:$N$4)*('R&amp;S - Packaging and hh goods'!$F$7*'R&amp;S - Packaging and hh goods'!$J$15*('R&amp;S - Packaging and hh goods'!$AE$19+('R&amp;S - Packaging and hh goods'!$AE$20-'R&amp;S - Packaging and hh goods'!$AE$19)*(AY$3-$N$3)/10))-AY27*'R&amp;S - Packaging and hh goods'!$M$4/SUM('R&amp;S - Packaging and hh goods'!$L$4:$N$4)*('R&amp;S - Packaging and hh goods'!$F$8*'R&amp;S - Packaging and hh goods'!$J$15*('R&amp;S - Packaging and hh goods'!$AF$19+('R&amp;S - Packaging and hh goods'!$AF$20-'R&amp;S - Packaging and hh goods'!$AF$19)*(AY$3-$N$3)/10))-AY27*'R&amp;S - Packaging and hh goods'!$M$4/SUM('R&amp;S - Packaging and hh goods'!$L$4:$N$4)*('R&amp;S - Packaging and hh goods'!$F$9*'R&amp;S - Packaging and hh goods'!$K$15*('R&amp;S - Packaging and hh goods'!$AG$19+('R&amp;S - Packaging and hh goods'!$AG$20-'R&amp;S - Packaging and hh goods'!$AG$19)*(AY$3-$N$3)/10))-AY27*'R&amp;S - Packaging and hh goods'!$M$4/SUM('R&amp;S - Packaging and hh goods'!$L$4:$N$4)*('R&amp;S - Packaging and hh goods'!$F$10*'R&amp;S - Packaging and hh goods'!$K$15*('R&amp;S - Packaging and hh goods'!$AH$19+('R&amp;S - Packaging and hh goods'!$AH$20-'R&amp;S - Packaging and hh goods'!$AH$19)*(AY$3-$N$3)/10))</f>
        <v>4.3491716679240948</v>
      </c>
      <c r="AZ36" s="44">
        <f>AZ27*'R&amp;S - Packaging and hh goods'!$M$4/SUM('R&amp;S - Packaging and hh goods'!$L$4:$N$4)-AZ27*'R&amp;S - Packaging and hh goods'!$M$4/SUM('R&amp;S - Packaging and hh goods'!$L$4:$N$4)*('R&amp;S - Packaging and hh goods'!$F$7*'R&amp;S - Packaging and hh goods'!$J$15*('R&amp;S - Packaging and hh goods'!$AE$19+('R&amp;S - Packaging and hh goods'!$AE$20-'R&amp;S - Packaging and hh goods'!$AE$19)*(AZ$3-$N$3)/10))-AZ27*'R&amp;S - Packaging and hh goods'!$M$4/SUM('R&amp;S - Packaging and hh goods'!$L$4:$N$4)*('R&amp;S - Packaging and hh goods'!$F$8*'R&amp;S - Packaging and hh goods'!$J$15*('R&amp;S - Packaging and hh goods'!$AF$19+('R&amp;S - Packaging and hh goods'!$AF$20-'R&amp;S - Packaging and hh goods'!$AF$19)*(AZ$3-$N$3)/10))-AZ27*'R&amp;S - Packaging and hh goods'!$M$4/SUM('R&amp;S - Packaging and hh goods'!$L$4:$N$4)*('R&amp;S - Packaging and hh goods'!$F$9*'R&amp;S - Packaging and hh goods'!$K$15*('R&amp;S - Packaging and hh goods'!$AG$19+('R&amp;S - Packaging and hh goods'!$AG$20-'R&amp;S - Packaging and hh goods'!$AG$19)*(AZ$3-$N$3)/10))-AZ27*'R&amp;S - Packaging and hh goods'!$M$4/SUM('R&amp;S - Packaging and hh goods'!$L$4:$N$4)*('R&amp;S - Packaging and hh goods'!$F$10*'R&amp;S - Packaging and hh goods'!$K$15*('R&amp;S - Packaging and hh goods'!$AH$19+('R&amp;S - Packaging and hh goods'!$AH$20-'R&amp;S - Packaging and hh goods'!$AH$19)*(AZ$3-$N$3)/10))</f>
        <v>4.3970125562712603</v>
      </c>
      <c r="BA36" s="44">
        <f>BA27*'R&amp;S - Packaging and hh goods'!$M$4/SUM('R&amp;S - Packaging and hh goods'!$L$4:$N$4)-BA27*'R&amp;S - Packaging and hh goods'!$M$4/SUM('R&amp;S - Packaging and hh goods'!$L$4:$N$4)*('R&amp;S - Packaging and hh goods'!$F$7*'R&amp;S - Packaging and hh goods'!$J$15*('R&amp;S - Packaging and hh goods'!$AE$19+('R&amp;S - Packaging and hh goods'!$AE$20-'R&amp;S - Packaging and hh goods'!$AE$19)*(BA$3-$N$3)/10))-BA27*'R&amp;S - Packaging and hh goods'!$M$4/SUM('R&amp;S - Packaging and hh goods'!$L$4:$N$4)*('R&amp;S - Packaging and hh goods'!$F$8*'R&amp;S - Packaging and hh goods'!$J$15*('R&amp;S - Packaging and hh goods'!$AF$19+('R&amp;S - Packaging and hh goods'!$AF$20-'R&amp;S - Packaging and hh goods'!$AF$19)*(BA$3-$N$3)/10))-BA27*'R&amp;S - Packaging and hh goods'!$M$4/SUM('R&amp;S - Packaging and hh goods'!$L$4:$N$4)*('R&amp;S - Packaging and hh goods'!$F$9*'R&amp;S - Packaging and hh goods'!$K$15*('R&amp;S - Packaging and hh goods'!$AG$19+('R&amp;S - Packaging and hh goods'!$AG$20-'R&amp;S - Packaging and hh goods'!$AG$19)*(BA$3-$N$3)/10))-BA27*'R&amp;S - Packaging and hh goods'!$M$4/SUM('R&amp;S - Packaging and hh goods'!$L$4:$N$4)*('R&amp;S - Packaging and hh goods'!$F$10*'R&amp;S - Packaging and hh goods'!$K$15*('R&amp;S - Packaging and hh goods'!$AH$19+('R&amp;S - Packaging and hh goods'!$AH$20-'R&amp;S - Packaging and hh goods'!$AH$19)*(BA$3-$N$3)/10))</f>
        <v>4.4453796943902431</v>
      </c>
      <c r="BB36" s="44">
        <f>BB27*'R&amp;S - Packaging and hh goods'!$M$4/SUM('R&amp;S - Packaging and hh goods'!$L$4:$N$4)-BB27*'R&amp;S - Packaging and hh goods'!$M$4/SUM('R&amp;S - Packaging and hh goods'!$L$4:$N$4)*('R&amp;S - Packaging and hh goods'!$F$7*'R&amp;S - Packaging and hh goods'!$J$15*('R&amp;S - Packaging and hh goods'!$AE$19+('R&amp;S - Packaging and hh goods'!$AE$20-'R&amp;S - Packaging and hh goods'!$AE$19)*(BB$3-$N$3)/10))-BB27*'R&amp;S - Packaging and hh goods'!$M$4/SUM('R&amp;S - Packaging and hh goods'!$L$4:$N$4)*('R&amp;S - Packaging and hh goods'!$F$8*'R&amp;S - Packaging and hh goods'!$J$15*('R&amp;S - Packaging and hh goods'!$AF$19+('R&amp;S - Packaging and hh goods'!$AF$20-'R&amp;S - Packaging and hh goods'!$AF$19)*(BB$3-$N$3)/10))-BB27*'R&amp;S - Packaging and hh goods'!$M$4/SUM('R&amp;S - Packaging and hh goods'!$L$4:$N$4)*('R&amp;S - Packaging and hh goods'!$F$9*'R&amp;S - Packaging and hh goods'!$K$15*('R&amp;S - Packaging and hh goods'!$AG$19+('R&amp;S - Packaging and hh goods'!$AG$20-'R&amp;S - Packaging and hh goods'!$AG$19)*(BB$3-$N$3)/10))-BB27*'R&amp;S - Packaging and hh goods'!$M$4/SUM('R&amp;S - Packaging and hh goods'!$L$4:$N$4)*('R&amp;S - Packaging and hh goods'!$F$10*'R&amp;S - Packaging and hh goods'!$K$15*('R&amp;S - Packaging and hh goods'!$AH$19+('R&amp;S - Packaging and hh goods'!$AH$20-'R&amp;S - Packaging and hh goods'!$AH$19)*(BB$3-$N$3)/10))</f>
        <v>4.4942788710285351</v>
      </c>
      <c r="BC36" s="44">
        <f>BC27*'R&amp;S - Packaging and hh goods'!$M$4/SUM('R&amp;S - Packaging and hh goods'!$L$4:$N$4)-BC27*'R&amp;S - Packaging and hh goods'!$M$4/SUM('R&amp;S - Packaging and hh goods'!$L$4:$N$4)*('R&amp;S - Packaging and hh goods'!$F$7*'R&amp;S - Packaging and hh goods'!$J$15*('R&amp;S - Packaging and hh goods'!$AE$19+('R&amp;S - Packaging and hh goods'!$AE$20-'R&amp;S - Packaging and hh goods'!$AE$19)*(BC$3-$N$3)/10))-BC27*'R&amp;S - Packaging and hh goods'!$M$4/SUM('R&amp;S - Packaging and hh goods'!$L$4:$N$4)*('R&amp;S - Packaging and hh goods'!$F$8*'R&amp;S - Packaging and hh goods'!$J$15*('R&amp;S - Packaging and hh goods'!$AF$19+('R&amp;S - Packaging and hh goods'!$AF$20-'R&amp;S - Packaging and hh goods'!$AF$19)*(BC$3-$N$3)/10))-BC27*'R&amp;S - Packaging and hh goods'!$M$4/SUM('R&amp;S - Packaging and hh goods'!$L$4:$N$4)*('R&amp;S - Packaging and hh goods'!$F$9*'R&amp;S - Packaging and hh goods'!$K$15*('R&amp;S - Packaging and hh goods'!$AG$19+('R&amp;S - Packaging and hh goods'!$AG$20-'R&amp;S - Packaging and hh goods'!$AG$19)*(BC$3-$N$3)/10))-BC27*'R&amp;S - Packaging and hh goods'!$M$4/SUM('R&amp;S - Packaging and hh goods'!$L$4:$N$4)*('R&amp;S - Packaging and hh goods'!$F$10*'R&amp;S - Packaging and hh goods'!$K$15*('R&amp;S - Packaging and hh goods'!$AH$19+('R&amp;S - Packaging and hh goods'!$AH$20-'R&amp;S - Packaging and hh goods'!$AH$19)*(BC$3-$N$3)/10))</f>
        <v>4.5437159386098491</v>
      </c>
      <c r="BD36" s="44">
        <f>BD27*'R&amp;S - Packaging and hh goods'!$M$4/SUM('R&amp;S - Packaging and hh goods'!$L$4:$N$4)-BD27*'R&amp;S - Packaging and hh goods'!$M$4/SUM('R&amp;S - Packaging and hh goods'!$L$4:$N$4)*('R&amp;S - Packaging and hh goods'!$F$7*'R&amp;S - Packaging and hh goods'!$J$15*('R&amp;S - Packaging and hh goods'!$AE$19+('R&amp;S - Packaging and hh goods'!$AE$20-'R&amp;S - Packaging and hh goods'!$AE$19)*(BD$3-$N$3)/10))-BD27*'R&amp;S - Packaging and hh goods'!$M$4/SUM('R&amp;S - Packaging and hh goods'!$L$4:$N$4)*('R&amp;S - Packaging and hh goods'!$F$8*'R&amp;S - Packaging and hh goods'!$J$15*('R&amp;S - Packaging and hh goods'!$AF$19+('R&amp;S - Packaging and hh goods'!$AF$20-'R&amp;S - Packaging and hh goods'!$AF$19)*(BD$3-$N$3)/10))-BD27*'R&amp;S - Packaging and hh goods'!$M$4/SUM('R&amp;S - Packaging and hh goods'!$L$4:$N$4)*('R&amp;S - Packaging and hh goods'!$F$9*'R&amp;S - Packaging and hh goods'!$K$15*('R&amp;S - Packaging and hh goods'!$AG$19+('R&amp;S - Packaging and hh goods'!$AG$20-'R&amp;S - Packaging and hh goods'!$AG$19)*(BD$3-$N$3)/10))-BD27*'R&amp;S - Packaging and hh goods'!$M$4/SUM('R&amp;S - Packaging and hh goods'!$L$4:$N$4)*('R&amp;S - Packaging and hh goods'!$F$10*'R&amp;S - Packaging and hh goods'!$K$15*('R&amp;S - Packaging and hh goods'!$AH$19+('R&amp;S - Packaging and hh goods'!$AH$20-'R&amp;S - Packaging and hh goods'!$AH$19)*(BD$3-$N$3)/10))</f>
        <v>4.5936968139345566</v>
      </c>
      <c r="BE36" s="44">
        <f>BE27*'R&amp;S - Packaging and hh goods'!$M$4/SUM('R&amp;S - Packaging and hh goods'!$L$4:$N$4)-BE27*'R&amp;S - Packaging and hh goods'!$M$4/SUM('R&amp;S - Packaging and hh goods'!$L$4:$N$4)*('R&amp;S - Packaging and hh goods'!$F7*'R&amp;S - Packaging and hh goods'!$J$15*('R&amp;S - Packaging and hh goods'!$AE$20+('R&amp;S - Packaging and hh goods'!$AE$21-'R&amp;S - Packaging and hh goods'!$AE$20)*(BE$3-$X$3)/10))-BE27*'R&amp;S - Packaging and hh goods'!$M$4/SUM('R&amp;S - Packaging and hh goods'!$L$4:$N$4)*('R&amp;S - Packaging and hh goods'!$F8*'R&amp;S - Packaging and hh goods'!$J$15*('R&amp;S - Packaging and hh goods'!$AF$20+('R&amp;S - Packaging and hh goods'!$AF$21-'R&amp;S - Packaging and hh goods'!$AF$20)*(BE$3-$X$3)/10))-BE27*'R&amp;S - Packaging and hh goods'!$M$4/SUM('R&amp;S - Packaging and hh goods'!$L$4:$N$4)*('R&amp;S - Packaging and hh goods'!$F9*'R&amp;S - Packaging and hh goods'!$K$15*('R&amp;S - Packaging and hh goods'!$AG$20+('R&amp;S - Packaging and hh goods'!$AG$21-'R&amp;S - Packaging and hh goods'!$AG$20)*(BE$3-$X$3)/10))-BE27*'R&amp;S - Packaging and hh goods'!$M$4/SUM('R&amp;S - Packaging and hh goods'!$L$4:$N$4)*('R&amp;S - Packaging and hh goods'!$F10*'R&amp;S - Packaging and hh goods'!$K$15*('R&amp;S - Packaging and hh goods'!$AH$20+('R&amp;S - Packaging and hh goods'!$AH$21-'R&amp;S - Packaging and hh goods'!$AH$20)*(BE$3-$X$3)/10))</f>
        <v>4.6442274788878359</v>
      </c>
      <c r="BF36" s="44">
        <f>BF27*'R&amp;S - Packaging and hh goods'!$M$4/SUM('R&amp;S - Packaging and hh goods'!$L$4:$N$4)-BF27*'R&amp;S - Packaging and hh goods'!$M$4/SUM('R&amp;S - Packaging and hh goods'!$L$4:$N$4)*('R&amp;S - Packaging and hh goods'!$F7*'R&amp;S - Packaging and hh goods'!$J$15*('R&amp;S - Packaging and hh goods'!$AE$20+('R&amp;S - Packaging and hh goods'!$AE$21-'R&amp;S - Packaging and hh goods'!$AE$20)*(BF$3-$X$3)/10))-BF27*'R&amp;S - Packaging and hh goods'!$M$4/SUM('R&amp;S - Packaging and hh goods'!$L$4:$N$4)*('R&amp;S - Packaging and hh goods'!$F8*'R&amp;S - Packaging and hh goods'!$J$15*('R&amp;S - Packaging and hh goods'!$AF$20+('R&amp;S - Packaging and hh goods'!$AF$21-'R&amp;S - Packaging and hh goods'!$AF$20)*(BF$3-$X$3)/10))-BF27*'R&amp;S - Packaging and hh goods'!$M$4/SUM('R&amp;S - Packaging and hh goods'!$L$4:$N$4)*('R&amp;S - Packaging and hh goods'!$F9*'R&amp;S - Packaging and hh goods'!$K$15*('R&amp;S - Packaging and hh goods'!$AG$20+('R&amp;S - Packaging and hh goods'!$AG$21-'R&amp;S - Packaging and hh goods'!$AG$20)*(BF$3-$X$3)/10))-BF27*'R&amp;S - Packaging and hh goods'!$M$4/SUM('R&amp;S - Packaging and hh goods'!$L$4:$N$4)*('R&amp;S - Packaging and hh goods'!$F10*'R&amp;S - Packaging and hh goods'!$K$15*('R&amp;S - Packaging and hh goods'!$AH$20+('R&amp;S - Packaging and hh goods'!$AH$21-'R&amp;S - Packaging and hh goods'!$AH$20)*(BF$3-$X$3)/10))</f>
        <v>4.6953139811556017</v>
      </c>
      <c r="BG36" s="44">
        <f>BG27*'R&amp;S - Packaging and hh goods'!$M$4/SUM('R&amp;S - Packaging and hh goods'!$L$4:$N$4)-BG27*'R&amp;S - Packaging and hh goods'!$M$4/SUM('R&amp;S - Packaging and hh goods'!$L$4:$N$4)*('R&amp;S - Packaging and hh goods'!$F7*'R&amp;S - Packaging and hh goods'!$J$15*('R&amp;S - Packaging and hh goods'!$AE$20+('R&amp;S - Packaging and hh goods'!$AE$21-'R&amp;S - Packaging and hh goods'!$AE$20)*(BG$3-$X$3)/10))-BG27*'R&amp;S - Packaging and hh goods'!$M$4/SUM('R&amp;S - Packaging and hh goods'!$L$4:$N$4)*('R&amp;S - Packaging and hh goods'!$F8*'R&amp;S - Packaging and hh goods'!$J$15*('R&amp;S - Packaging and hh goods'!$AF$20+('R&amp;S - Packaging and hh goods'!$AF$21-'R&amp;S - Packaging and hh goods'!$AF$20)*(BG$3-$X$3)/10))-BG27*'R&amp;S - Packaging and hh goods'!$M$4/SUM('R&amp;S - Packaging and hh goods'!$L$4:$N$4)*('R&amp;S - Packaging and hh goods'!$F9*'R&amp;S - Packaging and hh goods'!$K$15*('R&amp;S - Packaging and hh goods'!$AG$20+('R&amp;S - Packaging and hh goods'!$AG$21-'R&amp;S - Packaging and hh goods'!$AG$20)*(BG$3-$X$3)/10))-BG27*'R&amp;S - Packaging and hh goods'!$M$4/SUM('R&amp;S - Packaging and hh goods'!$L$4:$N$4)*('R&amp;S - Packaging and hh goods'!$F10*'R&amp;S - Packaging and hh goods'!$K$15*('R&amp;S - Packaging and hh goods'!$AH$20+('R&amp;S - Packaging and hh goods'!$AH$21-'R&amp;S - Packaging and hh goods'!$AH$20)*(BG$3-$X$3)/10))</f>
        <v>4.7469624349483137</v>
      </c>
      <c r="BH36" s="44">
        <f>BH27*'R&amp;S - Packaging and hh goods'!$M$4/SUM('R&amp;S - Packaging and hh goods'!$L$4:$N$4)-BH27*'R&amp;S - Packaging and hh goods'!$M$4/SUM('R&amp;S - Packaging and hh goods'!$L$4:$N$4)*('R&amp;S - Packaging and hh goods'!$F7*'R&amp;S - Packaging and hh goods'!$J$15*('R&amp;S - Packaging and hh goods'!$AE$20+('R&amp;S - Packaging and hh goods'!$AE$21-'R&amp;S - Packaging and hh goods'!$AE$20)*(BH$3-$X$3)/10))-BH27*'R&amp;S - Packaging and hh goods'!$M$4/SUM('R&amp;S - Packaging and hh goods'!$L$4:$N$4)*('R&amp;S - Packaging and hh goods'!$F8*'R&amp;S - Packaging and hh goods'!$J$15*('R&amp;S - Packaging and hh goods'!$AF$20+('R&amp;S - Packaging and hh goods'!$AF$21-'R&amp;S - Packaging and hh goods'!$AF$20)*(BH$3-$X$3)/10))-BH27*'R&amp;S - Packaging and hh goods'!$M$4/SUM('R&amp;S - Packaging and hh goods'!$L$4:$N$4)*('R&amp;S - Packaging and hh goods'!$F9*'R&amp;S - Packaging and hh goods'!$K$15*('R&amp;S - Packaging and hh goods'!$AG$20+('R&amp;S - Packaging and hh goods'!$AG$21-'R&amp;S - Packaging and hh goods'!$AG$20)*(BH$3-$X$3)/10))-BH27*'R&amp;S - Packaging and hh goods'!$M$4/SUM('R&amp;S - Packaging and hh goods'!$L$4:$N$4)*('R&amp;S - Packaging and hh goods'!$F10*'R&amp;S - Packaging and hh goods'!$K$15*('R&amp;S - Packaging and hh goods'!$AH$20+('R&amp;S - Packaging and hh goods'!$AH$21-'R&amp;S - Packaging and hh goods'!$AH$20)*(BH$3-$X$3)/10))</f>
        <v>4.7991790217327441</v>
      </c>
      <c r="BI36" s="44">
        <f>BI27*'R&amp;S - Packaging and hh goods'!$M$4/SUM('R&amp;S - Packaging and hh goods'!$L$4:$N$4)-BI27*'R&amp;S - Packaging and hh goods'!$M$4/SUM('R&amp;S - Packaging and hh goods'!$L$4:$N$4)*('R&amp;S - Packaging and hh goods'!$F7*'R&amp;S - Packaging and hh goods'!$J$15*('R&amp;S - Packaging and hh goods'!$AE$20+('R&amp;S - Packaging and hh goods'!$AE$21-'R&amp;S - Packaging and hh goods'!$AE$20)*(BI$3-$X$3)/10))-BI27*'R&amp;S - Packaging and hh goods'!$M$4/SUM('R&amp;S - Packaging and hh goods'!$L$4:$N$4)*('R&amp;S - Packaging and hh goods'!$F8*'R&amp;S - Packaging and hh goods'!$J$15*('R&amp;S - Packaging and hh goods'!$AF$20+('R&amp;S - Packaging and hh goods'!$AF$21-'R&amp;S - Packaging and hh goods'!$AF$20)*(BI$3-$X$3)/10))-BI27*'R&amp;S - Packaging and hh goods'!$M$4/SUM('R&amp;S - Packaging and hh goods'!$L$4:$N$4)*('R&amp;S - Packaging and hh goods'!$F9*'R&amp;S - Packaging and hh goods'!$K$15*('R&amp;S - Packaging and hh goods'!$AG$20+('R&amp;S - Packaging and hh goods'!$AG$21-'R&amp;S - Packaging and hh goods'!$AG$20)*(BI$3-$X$3)/10))-BI27*'R&amp;S - Packaging and hh goods'!$M$4/SUM('R&amp;S - Packaging and hh goods'!$L$4:$N$4)*('R&amp;S - Packaging and hh goods'!$F10*'R&amp;S - Packaging and hh goods'!$K$15*('R&amp;S - Packaging and hh goods'!$AH$20+('R&amp;S - Packaging and hh goods'!$AH$21-'R&amp;S - Packaging and hh goods'!$AH$20)*(BI$3-$X$3)/10))</f>
        <v>4.8519699909718037</v>
      </c>
      <c r="BJ36" s="44">
        <f>BJ27*'R&amp;S - Packaging and hh goods'!$M$4/SUM('R&amp;S - Packaging and hh goods'!$L$4:$N$4)-BJ27*'R&amp;S - Packaging and hh goods'!$M$4/SUM('R&amp;S - Packaging and hh goods'!$L$4:$N$4)*('R&amp;S - Packaging and hh goods'!$F7*'R&amp;S - Packaging and hh goods'!$J$15*('R&amp;S - Packaging and hh goods'!$AE$20+('R&amp;S - Packaging and hh goods'!$AE$21-'R&amp;S - Packaging and hh goods'!$AE$20)*(BJ$3-$X$3)/10))-BJ27*'R&amp;S - Packaging and hh goods'!$M$4/SUM('R&amp;S - Packaging and hh goods'!$L$4:$N$4)*('R&amp;S - Packaging and hh goods'!$F8*'R&amp;S - Packaging and hh goods'!$J$15*('R&amp;S - Packaging and hh goods'!$AF$20+('R&amp;S - Packaging and hh goods'!$AF$21-'R&amp;S - Packaging and hh goods'!$AF$20)*(BJ$3-$X$3)/10))-BJ27*'R&amp;S - Packaging and hh goods'!$M$4/SUM('R&amp;S - Packaging and hh goods'!$L$4:$N$4)*('R&amp;S - Packaging and hh goods'!$F9*'R&amp;S - Packaging and hh goods'!$K$15*('R&amp;S - Packaging and hh goods'!$AG$20+('R&amp;S - Packaging and hh goods'!$AG$21-'R&amp;S - Packaging and hh goods'!$AG$20)*(BJ$3-$X$3)/10))-BJ27*'R&amp;S - Packaging and hh goods'!$M$4/SUM('R&amp;S - Packaging and hh goods'!$L$4:$N$4)*('R&amp;S - Packaging and hh goods'!$F10*'R&amp;S - Packaging and hh goods'!$K$15*('R&amp;S - Packaging and hh goods'!$AH$20+('R&amp;S - Packaging and hh goods'!$AH$21-'R&amp;S - Packaging and hh goods'!$AH$20)*(BJ$3-$X$3)/10))</f>
        <v>4.9053416608724927</v>
      </c>
      <c r="BK36" s="44">
        <f>BK27*'R&amp;S - Packaging and hh goods'!$M$4/SUM('R&amp;S - Packaging and hh goods'!$L$4:$N$4)-BK27*'R&amp;S - Packaging and hh goods'!$M$4/SUM('R&amp;S - Packaging and hh goods'!$L$4:$N$4)*('R&amp;S - Packaging and hh goods'!$F7*'R&amp;S - Packaging and hh goods'!$J$15*('R&amp;S - Packaging and hh goods'!$AE$20+('R&amp;S - Packaging and hh goods'!$AE$21-'R&amp;S - Packaging and hh goods'!$AE$20)*(BK$3-$X$3)/10))-BK27*'R&amp;S - Packaging and hh goods'!$M$4/SUM('R&amp;S - Packaging and hh goods'!$L$4:$N$4)*('R&amp;S - Packaging and hh goods'!$F8*'R&amp;S - Packaging and hh goods'!$J$15*('R&amp;S - Packaging and hh goods'!$AF$20+('R&amp;S - Packaging and hh goods'!$AF$21-'R&amp;S - Packaging and hh goods'!$AF$20)*(BK$3-$X$3)/10))-BK27*'R&amp;S - Packaging and hh goods'!$M$4/SUM('R&amp;S - Packaging and hh goods'!$L$4:$N$4)*('R&amp;S - Packaging and hh goods'!$F9*'R&amp;S - Packaging and hh goods'!$K$15*('R&amp;S - Packaging and hh goods'!$AG$20+('R&amp;S - Packaging and hh goods'!$AG$21-'R&amp;S - Packaging and hh goods'!$AG$20)*(BK$3-$X$3)/10))-BK27*'R&amp;S - Packaging and hh goods'!$M$4/SUM('R&amp;S - Packaging and hh goods'!$L$4:$N$4)*('R&amp;S - Packaging and hh goods'!$F10*'R&amp;S - Packaging and hh goods'!$K$15*('R&amp;S - Packaging and hh goods'!$AH$20+('R&amp;S - Packaging and hh goods'!$AH$21-'R&amp;S - Packaging and hh goods'!$AH$20)*(BK$3-$X$3)/10))</f>
        <v>4.9593004191420889</v>
      </c>
      <c r="BL36" s="44">
        <f>BL27*'R&amp;S - Packaging and hh goods'!$M$4/SUM('R&amp;S - Packaging and hh goods'!$L$4:$N$4)-BL27*'R&amp;S - Packaging and hh goods'!$M$4/SUM('R&amp;S - Packaging and hh goods'!$L$4:$N$4)*('R&amp;S - Packaging and hh goods'!$F7*'R&amp;S - Packaging and hh goods'!$J$15*('R&amp;S - Packaging and hh goods'!$AE$20+('R&amp;S - Packaging and hh goods'!$AE$21-'R&amp;S - Packaging and hh goods'!$AE$20)*(BL$3-$X$3)/10))-BL27*'R&amp;S - Packaging and hh goods'!$M$4/SUM('R&amp;S - Packaging and hh goods'!$L$4:$N$4)*('R&amp;S - Packaging and hh goods'!$F8*'R&amp;S - Packaging and hh goods'!$J$15*('R&amp;S - Packaging and hh goods'!$AF$20+('R&amp;S - Packaging and hh goods'!$AF$21-'R&amp;S - Packaging and hh goods'!$AF$20)*(BL$3-$X$3)/10))-BL27*'R&amp;S - Packaging and hh goods'!$M$4/SUM('R&amp;S - Packaging and hh goods'!$L$4:$N$4)*('R&amp;S - Packaging and hh goods'!$F9*'R&amp;S - Packaging and hh goods'!$K$15*('R&amp;S - Packaging and hh goods'!$AG$20+('R&amp;S - Packaging and hh goods'!$AG$21-'R&amp;S - Packaging and hh goods'!$AG$20)*(BL$3-$X$3)/10))-BL27*'R&amp;S - Packaging and hh goods'!$M$4/SUM('R&amp;S - Packaging and hh goods'!$L$4:$N$4)*('R&amp;S - Packaging and hh goods'!$F10*'R&amp;S - Packaging and hh goods'!$K$15*('R&amp;S - Packaging and hh goods'!$AH$20+('R&amp;S - Packaging and hh goods'!$AH$21-'R&amp;S - Packaging and hh goods'!$AH$20)*(BL$3-$X$3)/10))</f>
        <v>5.0138527237526525</v>
      </c>
      <c r="BM36" s="44">
        <f>BM27*'R&amp;S - Packaging and hh goods'!$M$4/SUM('R&amp;S - Packaging and hh goods'!$L$4:$N$4)-BM27*'R&amp;S - Packaging and hh goods'!$M$4/SUM('R&amp;S - Packaging and hh goods'!$L$4:$N$4)*('R&amp;S - Packaging and hh goods'!$F7*'R&amp;S - Packaging and hh goods'!$J$15*('R&amp;S - Packaging and hh goods'!$AE$20+('R&amp;S - Packaging and hh goods'!$AE$21-'R&amp;S - Packaging and hh goods'!$AE$20)*(BM$3-$X$3)/10))-BM27*'R&amp;S - Packaging and hh goods'!$M$4/SUM('R&amp;S - Packaging and hh goods'!$L$4:$N$4)*('R&amp;S - Packaging and hh goods'!$F8*'R&amp;S - Packaging and hh goods'!$J$15*('R&amp;S - Packaging and hh goods'!$AF$20+('R&amp;S - Packaging and hh goods'!$AF$21-'R&amp;S - Packaging and hh goods'!$AF$20)*(BM$3-$X$3)/10))-BM27*'R&amp;S - Packaging and hh goods'!$M$4/SUM('R&amp;S - Packaging and hh goods'!$L$4:$N$4)*('R&amp;S - Packaging and hh goods'!$F9*'R&amp;S - Packaging and hh goods'!$K$15*('R&amp;S - Packaging and hh goods'!$AG$20+('R&amp;S - Packaging and hh goods'!$AG$21-'R&amp;S - Packaging and hh goods'!$AG$20)*(BM$3-$X$3)/10))-BM27*'R&amp;S - Packaging and hh goods'!$M$4/SUM('R&amp;S - Packaging and hh goods'!$L$4:$N$4)*('R&amp;S - Packaging and hh goods'!$F10*'R&amp;S - Packaging and hh goods'!$K$15*('R&amp;S - Packaging and hh goods'!$AH$20+('R&amp;S - Packaging and hh goods'!$AH$21-'R&amp;S - Packaging and hh goods'!$AH$20)*(BM$3-$X$3)/10))</f>
        <v>5.0690051037139305</v>
      </c>
      <c r="BN36" s="44">
        <f>BN27*'R&amp;S - Packaging and hh goods'!$M$4/SUM('R&amp;S - Packaging and hh goods'!$L$4:$N$4)-BN27*'R&amp;S - Packaging and hh goods'!$M$4/SUM('R&amp;S - Packaging and hh goods'!$L$4:$N$4)*('R&amp;S - Packaging and hh goods'!$F7*'R&amp;S - Packaging and hh goods'!$J$15*('R&amp;S - Packaging and hh goods'!$AE$20+('R&amp;S - Packaging and hh goods'!$AE$21-'R&amp;S - Packaging and hh goods'!$AE$20)*(BN$3-$X$3)/10))-BN27*'R&amp;S - Packaging and hh goods'!$M$4/SUM('R&amp;S - Packaging and hh goods'!$L$4:$N$4)*('R&amp;S - Packaging and hh goods'!$F8*'R&amp;S - Packaging and hh goods'!$J$15*('R&amp;S - Packaging and hh goods'!$AF$20+('R&amp;S - Packaging and hh goods'!$AF$21-'R&amp;S - Packaging and hh goods'!$AF$20)*(BN$3-$X$3)/10))-BN27*'R&amp;S - Packaging and hh goods'!$M$4/SUM('R&amp;S - Packaging and hh goods'!$L$4:$N$4)*('R&amp;S - Packaging and hh goods'!$F9*'R&amp;S - Packaging and hh goods'!$K$15*('R&amp;S - Packaging and hh goods'!$AG$20+('R&amp;S - Packaging and hh goods'!$AG$21-'R&amp;S - Packaging and hh goods'!$AG$20)*(BN$3-$X$3)/10))-BN27*'R&amp;S - Packaging and hh goods'!$M$4/SUM('R&amp;S - Packaging and hh goods'!$L$4:$N$4)*('R&amp;S - Packaging and hh goods'!$F10*'R&amp;S - Packaging and hh goods'!$K$15*('R&amp;S - Packaging and hh goods'!$AH$20+('R&amp;S - Packaging and hh goods'!$AH$21-'R&amp;S - Packaging and hh goods'!$AH$20)*(BN$3-$X$3)/10))</f>
        <v>5.1247641598547835</v>
      </c>
    </row>
    <row r="37" spans="1:75" s="68" customFormat="1" outlineLevel="1">
      <c r="A37" s="754"/>
      <c r="B37" s="62" t="s">
        <v>166</v>
      </c>
      <c r="C37" s="283" t="s">
        <v>153</v>
      </c>
      <c r="D37" s="284">
        <f>D27*'R&amp;S - Packaging and hh goods'!$N$4/SUM('R&amp;S - Packaging and hh goods'!$L$4:$N$4)</f>
        <v>33.557300929497657</v>
      </c>
      <c r="E37" s="284">
        <f>E27*'R&amp;S - Packaging and hh goods'!$N$4/SUM('R&amp;S - Packaging and hh goods'!$L$4:$N$4)-E27*'R&amp;S - Packaging and hh goods'!$N$4/SUM('R&amp;S - Packaging and hh goods'!$L$4:$N$4)*'R&amp;S - Packaging and hh goods'!$G$7*('R&amp;S - Packaging and hh goods'!$L$14*'R&amp;S - Packaging and hh goods'!$AJ$19*(E$3-$D$3)/10)-E27*'R&amp;S - Packaging and hh goods'!$N$4/SUM('R&amp;S - Packaging and hh goods'!$L$4:$N$4)*'R&amp;S - Packaging and hh goods'!$G$8*('R&amp;S - Packaging and hh goods'!$L$14*'R&amp;S - Packaging and hh goods'!$AK$19*(E$3-$D$3)/10)-E27*'R&amp;S - Packaging and hh goods'!$N$4/SUM('R&amp;S - Packaging and hh goods'!$L$4:$N$4)*'R&amp;S - Packaging and hh goods'!$G$9*('R&amp;S - Packaging and hh goods'!$L$14*'R&amp;S - Packaging and hh goods'!$AL$19*(E$3-$D$3)/10)-E31*'R&amp;S - Packaging and hh goods'!$N$4/SUM('R&amp;S - Packaging and hh goods'!$L$4:$N$4)*'R&amp;S - Packaging and hh goods'!$G$10*('R&amp;S - Packaging and hh goods'!$L$14*'R&amp;S - Packaging and hh goods'!$AM$19*(E$3-$D$3)/10)</f>
        <v>33.926431239722127</v>
      </c>
      <c r="F37" s="284">
        <f>F27*'R&amp;S - Packaging and hh goods'!$N$4/SUM('R&amp;S - Packaging and hh goods'!$L$4:$N$4)-F27*'R&amp;S - Packaging and hh goods'!$N$4/SUM('R&amp;S - Packaging and hh goods'!$L$4:$N$4)*'R&amp;S - Packaging and hh goods'!$G$7*('R&amp;S - Packaging and hh goods'!$L$14*'R&amp;S - Packaging and hh goods'!$AJ$19*(F$3-$D$3)/10)-F27*'R&amp;S - Packaging and hh goods'!$N$4/SUM('R&amp;S - Packaging and hh goods'!$L$4:$N$4)*'R&amp;S - Packaging and hh goods'!$G$8*('R&amp;S - Packaging and hh goods'!$L$14*'R&amp;S - Packaging and hh goods'!$AK$19*(F$3-$D$3)/10)-F27*'R&amp;S - Packaging and hh goods'!$N$4/SUM('R&amp;S - Packaging and hh goods'!$L$4:$N$4)*'R&amp;S - Packaging and hh goods'!$G$9*('R&amp;S - Packaging and hh goods'!$L$14*'R&amp;S - Packaging and hh goods'!$AL$19*(F$3-$D$3)/10)-F31*'R&amp;S - Packaging and hh goods'!$N$4/SUM('R&amp;S - Packaging and hh goods'!$L$4:$N$4)*'R&amp;S - Packaging and hh goods'!$G$10*('R&amp;S - Packaging and hh goods'!$L$14*'R&amp;S - Packaging and hh goods'!$AM$19*(F$3-$D$3)/10)</f>
        <v>34.299621983359067</v>
      </c>
      <c r="G37" s="284">
        <f>G27*'R&amp;S - Packaging and hh goods'!$N$4/SUM('R&amp;S - Packaging and hh goods'!$L$4:$N$4)-G27*'R&amp;S - Packaging and hh goods'!$N$4/SUM('R&amp;S - Packaging and hh goods'!$L$4:$N$4)*'R&amp;S - Packaging and hh goods'!$G$7*('R&amp;S - Packaging and hh goods'!$L$14*'R&amp;S - Packaging and hh goods'!$AJ$19*(G$3-$D$3)/10)-G27*'R&amp;S - Packaging and hh goods'!$N$4/SUM('R&amp;S - Packaging and hh goods'!$L$4:$N$4)*'R&amp;S - Packaging and hh goods'!$G$8*('R&amp;S - Packaging and hh goods'!$L$14*'R&amp;S - Packaging and hh goods'!$AK$19*(G$3-$D$3)/10)-G27*'R&amp;S - Packaging and hh goods'!$N$4/SUM('R&amp;S - Packaging and hh goods'!$L$4:$N$4)*'R&amp;S - Packaging and hh goods'!$G$9*('R&amp;S - Packaging and hh goods'!$L$14*'R&amp;S - Packaging and hh goods'!$AL$19*(G$3-$D$3)/10)-G31*'R&amp;S - Packaging and hh goods'!$N$4/SUM('R&amp;S - Packaging and hh goods'!$L$4:$N$4)*'R&amp;S - Packaging and hh goods'!$G$10*('R&amp;S - Packaging and hh goods'!$L$14*'R&amp;S - Packaging and hh goods'!$AM$19*(G$3-$D$3)/10)</f>
        <v>34.676917825176012</v>
      </c>
      <c r="H37" s="284">
        <f>H27*'R&amp;S - Packaging and hh goods'!$N$4/SUM('R&amp;S - Packaging and hh goods'!$L$4:$N$4)-H27*'R&amp;S - Packaging and hh goods'!$N$4/SUM('R&amp;S - Packaging and hh goods'!$L$4:$N$4)*'R&amp;S - Packaging and hh goods'!$G$7*('R&amp;S - Packaging and hh goods'!$L$14*'R&amp;S - Packaging and hh goods'!$AJ$19*(H$3-$D$3)/10)-H27*'R&amp;S - Packaging and hh goods'!$N$4/SUM('R&amp;S - Packaging and hh goods'!$L$4:$N$4)*'R&amp;S - Packaging and hh goods'!$G$8*('R&amp;S - Packaging and hh goods'!$L$14*'R&amp;S - Packaging and hh goods'!$AK$19*(H$3-$D$3)/10)-H27*'R&amp;S - Packaging and hh goods'!$N$4/SUM('R&amp;S - Packaging and hh goods'!$L$4:$N$4)*'R&amp;S - Packaging and hh goods'!$G$9*('R&amp;S - Packaging and hh goods'!$L$14*'R&amp;S - Packaging and hh goods'!$AL$19*(H$3-$D$3)/10)-H31*'R&amp;S - Packaging and hh goods'!$N$4/SUM('R&amp;S - Packaging and hh goods'!$L$4:$N$4)*'R&amp;S - Packaging and hh goods'!$G$10*('R&amp;S - Packaging and hh goods'!$L$14*'R&amp;S - Packaging and hh goods'!$AM$19*(H$3-$D$3)/10)</f>
        <v>35.058363921252948</v>
      </c>
      <c r="I37" s="284">
        <f>I27*'R&amp;S - Packaging and hh goods'!$N$4/SUM('R&amp;S - Packaging and hh goods'!$L$4:$N$4)-I27*'R&amp;S - Packaging and hh goods'!$N$4/SUM('R&amp;S - Packaging and hh goods'!$L$4:$N$4)*'R&amp;S - Packaging and hh goods'!$G$7*('R&amp;S - Packaging and hh goods'!$L$14*'R&amp;S - Packaging and hh goods'!$AJ$19*(I$3-$D$3)/10)-I27*'R&amp;S - Packaging and hh goods'!$N$4/SUM('R&amp;S - Packaging and hh goods'!$L$4:$N$4)*'R&amp;S - Packaging and hh goods'!$G$8*('R&amp;S - Packaging and hh goods'!$L$14*'R&amp;S - Packaging and hh goods'!$AK$19*(I$3-$D$3)/10)-I27*'R&amp;S - Packaging and hh goods'!$N$4/SUM('R&amp;S - Packaging and hh goods'!$L$4:$N$4)*'R&amp;S - Packaging and hh goods'!$G$9*('R&amp;S - Packaging and hh goods'!$L$14*'R&amp;S - Packaging and hh goods'!$AL$19*(I$3-$D$3)/10)-I31*'R&amp;S - Packaging and hh goods'!$N$4/SUM('R&amp;S - Packaging and hh goods'!$L$4:$N$4)*'R&amp;S - Packaging and hh goods'!$G$10*('R&amp;S - Packaging and hh goods'!$L$14*'R&amp;S - Packaging and hh goods'!$AM$19*(I$3-$D$3)/10)</f>
        <v>35.444005924386722</v>
      </c>
      <c r="J37" s="284">
        <f>J27*'R&amp;S - Packaging and hh goods'!$N$4/SUM('R&amp;S - Packaging and hh goods'!$L$4:$N$4)-J27*'R&amp;S - Packaging and hh goods'!$N$4/SUM('R&amp;S - Packaging and hh goods'!$L$4:$N$4)*'R&amp;S - Packaging and hh goods'!$G$7*('R&amp;S - Packaging and hh goods'!$L$14*'R&amp;S - Packaging and hh goods'!$AJ$19*(J$3-$D$3)/10)-J27*'R&amp;S - Packaging and hh goods'!$N$4/SUM('R&amp;S - Packaging and hh goods'!$L$4:$N$4)*'R&amp;S - Packaging and hh goods'!$G$8*('R&amp;S - Packaging and hh goods'!$L$14*'R&amp;S - Packaging and hh goods'!$AK$19*(J$3-$D$3)/10)-J27*'R&amp;S - Packaging and hh goods'!$N$4/SUM('R&amp;S - Packaging and hh goods'!$L$4:$N$4)*'R&amp;S - Packaging and hh goods'!$G$9*('R&amp;S - Packaging and hh goods'!$L$14*'R&amp;S - Packaging and hh goods'!$AL$19*(J$3-$D$3)/10)-J31*'R&amp;S - Packaging and hh goods'!$N$4/SUM('R&amp;S - Packaging and hh goods'!$L$4:$N$4)*'R&amp;S - Packaging and hh goods'!$G$10*('R&amp;S - Packaging and hh goods'!$L$14*'R&amp;S - Packaging and hh goods'!$AM$19*(J$3-$D$3)/10)</f>
        <v>35.833889989554969</v>
      </c>
      <c r="K37" s="284">
        <f>K27*'R&amp;S - Packaging and hh goods'!$N$4/SUM('R&amp;S - Packaging and hh goods'!$L$4:$N$4)-K27*'R&amp;S - Packaging and hh goods'!$N$4/SUM('R&amp;S - Packaging and hh goods'!$L$4:$N$4)*'R&amp;S - Packaging and hh goods'!$G$7*('R&amp;S - Packaging and hh goods'!$L$14*'R&amp;S - Packaging and hh goods'!$AJ$19*(K$3-$D$3)/10)-K27*'R&amp;S - Packaging and hh goods'!$N$4/SUM('R&amp;S - Packaging and hh goods'!$L$4:$N$4)*'R&amp;S - Packaging and hh goods'!$G$8*('R&amp;S - Packaging and hh goods'!$L$14*'R&amp;S - Packaging and hh goods'!$AK$19*(K$3-$D$3)/10)-K27*'R&amp;S - Packaging and hh goods'!$N$4/SUM('R&amp;S - Packaging and hh goods'!$L$4:$N$4)*'R&amp;S - Packaging and hh goods'!$G$9*('R&amp;S - Packaging and hh goods'!$L$14*'R&amp;S - Packaging and hh goods'!$AL$19*(K$3-$D$3)/10)-K31*'R&amp;S - Packaging and hh goods'!$N$4/SUM('R&amp;S - Packaging and hh goods'!$L$4:$N$4)*'R&amp;S - Packaging and hh goods'!$G$10*('R&amp;S - Packaging and hh goods'!$L$14*'R&amp;S - Packaging and hh goods'!$AM$19*(K$3-$D$3)/10)</f>
        <v>36.228062779440073</v>
      </c>
      <c r="L37" s="284">
        <f>L27*'R&amp;S - Packaging and hh goods'!$N$4/SUM('R&amp;S - Packaging and hh goods'!$L$4:$N$4)-L27*'R&amp;S - Packaging and hh goods'!$N$4/SUM('R&amp;S - Packaging and hh goods'!$L$4:$N$4)*'R&amp;S - Packaging and hh goods'!$G$7*('R&amp;S - Packaging and hh goods'!$L$14*'R&amp;S - Packaging and hh goods'!$AJ$19*(L$3-$D$3)/10)-L27*'R&amp;S - Packaging and hh goods'!$N$4/SUM('R&amp;S - Packaging and hh goods'!$L$4:$N$4)*'R&amp;S - Packaging and hh goods'!$G$8*('R&amp;S - Packaging and hh goods'!$L$14*'R&amp;S - Packaging and hh goods'!$AK$19*(L$3-$D$3)/10)-L27*'R&amp;S - Packaging and hh goods'!$N$4/SUM('R&amp;S - Packaging and hh goods'!$L$4:$N$4)*'R&amp;S - Packaging and hh goods'!$G$9*('R&amp;S - Packaging and hh goods'!$L$14*'R&amp;S - Packaging and hh goods'!$AL$19*(L$3-$D$3)/10)-L31*'R&amp;S - Packaging and hh goods'!$N$4/SUM('R&amp;S - Packaging and hh goods'!$L$4:$N$4)*'R&amp;S - Packaging and hh goods'!$G$10*('R&amp;S - Packaging and hh goods'!$L$14*'R&amp;S - Packaging and hh goods'!$AM$19*(L$3-$D$3)/10)</f>
        <v>36.626571470013907</v>
      </c>
      <c r="M37" s="284">
        <f>M27*'R&amp;S - Packaging and hh goods'!$N$4/SUM('R&amp;S - Packaging and hh goods'!$L$4:$N$4)-M27*'R&amp;S - Packaging and hh goods'!$N$4/SUM('R&amp;S - Packaging and hh goods'!$L$4:$N$4)*'R&amp;S - Packaging and hh goods'!$G$7*('R&amp;S - Packaging and hh goods'!$L$14*'R&amp;S - Packaging and hh goods'!$AJ$19*(M$3-$D$3)/10)-M27*'R&amp;S - Packaging and hh goods'!$N$4/SUM('R&amp;S - Packaging and hh goods'!$L$4:$N$4)*'R&amp;S - Packaging and hh goods'!$G$8*('R&amp;S - Packaging and hh goods'!$L$14*'R&amp;S - Packaging and hh goods'!$AK$19*(M$3-$D$3)/10)-M27*'R&amp;S - Packaging and hh goods'!$N$4/SUM('R&amp;S - Packaging and hh goods'!$L$4:$N$4)*'R&amp;S - Packaging and hh goods'!$G$9*('R&amp;S - Packaging and hh goods'!$L$14*'R&amp;S - Packaging and hh goods'!$AL$19*(M$3-$D$3)/10)-M31*'R&amp;S - Packaging and hh goods'!$N$4/SUM('R&amp;S - Packaging and hh goods'!$L$4:$N$4)*'R&amp;S - Packaging and hh goods'!$G$10*('R&amp;S - Packaging and hh goods'!$L$14*'R&amp;S - Packaging and hh goods'!$AM$19*(M$3-$D$3)/10)</f>
        <v>37.029463756184057</v>
      </c>
      <c r="N37" s="284">
        <f>N27*'R&amp;S - Packaging and hh goods'!$N$4/SUM('R&amp;S - Packaging and hh goods'!$L$4:$N$4)-N27*'R&amp;S - Packaging and hh goods'!$N$4/SUM('R&amp;S - Packaging and hh goods'!$L$4:$N$4)*'R&amp;S - Packaging and hh goods'!$G$7*('R&amp;S - Packaging and hh goods'!$L$14*'R&amp;S - Packaging and hh goods'!$AJ$19*(N$3-$D$3)/10)-N27*'R&amp;S - Packaging and hh goods'!$N$4/SUM('R&amp;S - Packaging and hh goods'!$L$4:$N$4)*'R&amp;S - Packaging and hh goods'!$G$8*('R&amp;S - Packaging and hh goods'!$L$14*'R&amp;S - Packaging and hh goods'!$AK$19*(N$3-$D$3)/10)-N27*'R&amp;S - Packaging and hh goods'!$N$4/SUM('R&amp;S - Packaging and hh goods'!$L$4:$N$4)*'R&amp;S - Packaging and hh goods'!$G$9*('R&amp;S - Packaging and hh goods'!$L$14*'R&amp;S - Packaging and hh goods'!$AL$19*(N$3-$D$3)/10)-N31*'R&amp;S - Packaging and hh goods'!$N$4/SUM('R&amp;S - Packaging and hh goods'!$L$4:$N$4)*'R&amp;S - Packaging and hh goods'!$G$10*('R&amp;S - Packaging and hh goods'!$L$14*'R&amp;S - Packaging and hh goods'!$AM$19*(N$3-$D$3)/10)</f>
        <v>37.436787857502075</v>
      </c>
      <c r="O37" s="284">
        <f>O27*'R&amp;S - Packaging and hh goods'!$N$4/SUM('R&amp;S - Packaging and hh goods'!$L$4:$N$4)-O27*'R&amp;S - Packaging and hh goods'!$N$4/SUM('R&amp;S - Packaging and hh goods'!$L$4:$N$4)*('R&amp;S - Packaging and hh goods'!$G$7*'R&amp;S - Packaging and hh goods'!$L$14*('R&amp;S - Packaging and hh goods'!$AJ$19+('R&amp;S - Packaging and hh goods'!$AJ$20-'R&amp;S - Packaging and hh goods'!$AJ$19)*(O$3-$N$3)/10))-O27*'R&amp;S - Packaging and hh goods'!$N$4/SUM('R&amp;S - Packaging and hh goods'!$L$4:$N$4)*('R&amp;S - Packaging and hh goods'!$G$8*'R&amp;S - Packaging and hh goods'!$L$14*('R&amp;S - Packaging and hh goods'!$AK$19+('R&amp;S - Packaging and hh goods'!$AK$20-'R&amp;S - Packaging and hh goods'!$AK$19)*(O$3-$N$3)/10))-O27*'R&amp;S - Packaging and hh goods'!$N$4/SUM('R&amp;S - Packaging and hh goods'!$L$4:$N$4)*('R&amp;S - Packaging and hh goods'!$G$9*'R&amp;S - Packaging and hh goods'!$M$14*('R&amp;S - Packaging and hh goods'!$AL$19+('R&amp;S - Packaging and hh goods'!$AL$20-'R&amp;S - Packaging and hh goods'!$AL$19)*(O$3-$N$3)/10))-O27*'R&amp;S - Packaging and hh goods'!$N$4/SUM('R&amp;S - Packaging and hh goods'!$L$4:$N$4)*('R&amp;S - Packaging and hh goods'!$G$10*'R&amp;S - Packaging and hh goods'!$M$14*('R&amp;S - Packaging and hh goods'!$AM$19+('R&amp;S - Packaging and hh goods'!$AM$20-'R&amp;S - Packaging and hh goods'!$AM$19)*(O$3-$N$3)/10))</f>
        <v>37.848592523934599</v>
      </c>
      <c r="P37" s="284">
        <f>P27*'R&amp;S - Packaging and hh goods'!$N$4/SUM('R&amp;S - Packaging and hh goods'!$L$4:$N$4)-P27*'R&amp;S - Packaging and hh goods'!$N$4/SUM('R&amp;S - Packaging and hh goods'!$L$4:$N$4)*('R&amp;S - Packaging and hh goods'!$G$7*'R&amp;S - Packaging and hh goods'!$L$14*('R&amp;S - Packaging and hh goods'!$AJ$19+('R&amp;S - Packaging and hh goods'!$AJ$20-'R&amp;S - Packaging and hh goods'!$AJ$19)*(P$3-$N$3)/10))-P27*'R&amp;S - Packaging and hh goods'!$N$4/SUM('R&amp;S - Packaging and hh goods'!$L$4:$N$4)*('R&amp;S - Packaging and hh goods'!$G$8*'R&amp;S - Packaging and hh goods'!$L$14*('R&amp;S - Packaging and hh goods'!$AK$19+('R&amp;S - Packaging and hh goods'!$AK$20-'R&amp;S - Packaging and hh goods'!$AK$19)*(P$3-$N$3)/10))-P27*'R&amp;S - Packaging and hh goods'!$N$4/SUM('R&amp;S - Packaging and hh goods'!$L$4:$N$4)*('R&amp;S - Packaging and hh goods'!$G$9*'R&amp;S - Packaging and hh goods'!$M$14*('R&amp;S - Packaging and hh goods'!$AL$19+('R&amp;S - Packaging and hh goods'!$AL$20-'R&amp;S - Packaging and hh goods'!$AL$19)*(P$3-$N$3)/10))-P27*'R&amp;S - Packaging and hh goods'!$N$4/SUM('R&amp;S - Packaging and hh goods'!$L$4:$N$4)*('R&amp;S - Packaging and hh goods'!$G$10*'R&amp;S - Packaging and hh goods'!$M$14*('R&amp;S - Packaging and hh goods'!$AM$19+('R&amp;S - Packaging and hh goods'!$AM$20-'R&amp;S - Packaging and hh goods'!$AM$19)*(P$3-$N$3)/10))</f>
        <v>38.264927041697874</v>
      </c>
      <c r="Q37" s="284">
        <f>Q27*'R&amp;S - Packaging and hh goods'!$N$4/SUM('R&amp;S - Packaging and hh goods'!$L$4:$N$4)-Q27*'R&amp;S - Packaging and hh goods'!$N$4/SUM('R&amp;S - Packaging and hh goods'!$L$4:$N$4)*('R&amp;S - Packaging and hh goods'!$G$7*'R&amp;S - Packaging and hh goods'!$L$14*('R&amp;S - Packaging and hh goods'!$AJ$19+('R&amp;S - Packaging and hh goods'!$AJ$20-'R&amp;S - Packaging and hh goods'!$AJ$19)*(Q$3-$N$3)/10))-Q27*'R&amp;S - Packaging and hh goods'!$N$4/SUM('R&amp;S - Packaging and hh goods'!$L$4:$N$4)*('R&amp;S - Packaging and hh goods'!$G$8*'R&amp;S - Packaging and hh goods'!$L$14*('R&amp;S - Packaging and hh goods'!$AK$19+('R&amp;S - Packaging and hh goods'!$AK$20-'R&amp;S - Packaging and hh goods'!$AK$19)*(Q$3-$N$3)/10))-Q27*'R&amp;S - Packaging and hh goods'!$N$4/SUM('R&amp;S - Packaging and hh goods'!$L$4:$N$4)*('R&amp;S - Packaging and hh goods'!$G$9*'R&amp;S - Packaging and hh goods'!$M$14*('R&amp;S - Packaging and hh goods'!$AL$19+('R&amp;S - Packaging and hh goods'!$AL$20-'R&amp;S - Packaging and hh goods'!$AL$19)*(Q$3-$N$3)/10))-Q27*'R&amp;S - Packaging and hh goods'!$N$4/SUM('R&amp;S - Packaging and hh goods'!$L$4:$N$4)*('R&amp;S - Packaging and hh goods'!$G$10*'R&amp;S - Packaging and hh goods'!$M$14*('R&amp;S - Packaging and hh goods'!$AM$19+('R&amp;S - Packaging and hh goods'!$AM$20-'R&amp;S - Packaging and hh goods'!$AM$19)*(Q$3-$N$3)/10))</f>
        <v>38.685841239156545</v>
      </c>
      <c r="R37" s="284">
        <f>R27*'R&amp;S - Packaging and hh goods'!$N$4/SUM('R&amp;S - Packaging and hh goods'!$L$4:$N$4)-R27*'R&amp;S - Packaging and hh goods'!$N$4/SUM('R&amp;S - Packaging and hh goods'!$L$4:$N$4)*('R&amp;S - Packaging and hh goods'!$G$7*'R&amp;S - Packaging and hh goods'!$L$14*('R&amp;S - Packaging and hh goods'!$AJ$19+('R&amp;S - Packaging and hh goods'!$AJ$20-'R&amp;S - Packaging and hh goods'!$AJ$19)*(R$3-$N$3)/10))-R27*'R&amp;S - Packaging and hh goods'!$N$4/SUM('R&amp;S - Packaging and hh goods'!$L$4:$N$4)*('R&amp;S - Packaging and hh goods'!$G$8*'R&amp;S - Packaging and hh goods'!$L$14*('R&amp;S - Packaging and hh goods'!$AK$19+('R&amp;S - Packaging and hh goods'!$AK$20-'R&amp;S - Packaging and hh goods'!$AK$19)*(R$3-$N$3)/10))-R27*'R&amp;S - Packaging and hh goods'!$N$4/SUM('R&amp;S - Packaging and hh goods'!$L$4:$N$4)*('R&amp;S - Packaging and hh goods'!$G$9*'R&amp;S - Packaging and hh goods'!$M$14*('R&amp;S - Packaging and hh goods'!$AL$19+('R&amp;S - Packaging and hh goods'!$AL$20-'R&amp;S - Packaging and hh goods'!$AL$19)*(R$3-$N$3)/10))-R27*'R&amp;S - Packaging and hh goods'!$N$4/SUM('R&amp;S - Packaging and hh goods'!$L$4:$N$4)*('R&amp;S - Packaging and hh goods'!$G$10*'R&amp;S - Packaging and hh goods'!$M$14*('R&amp;S - Packaging and hh goods'!$AM$19+('R&amp;S - Packaging and hh goods'!$AM$20-'R&amp;S - Packaging and hh goods'!$AM$19)*(R$3-$N$3)/10))</f>
        <v>39.111385492787264</v>
      </c>
      <c r="S37" s="284">
        <f>S27*'R&amp;S - Packaging and hh goods'!$N$4/SUM('R&amp;S - Packaging and hh goods'!$L$4:$N$4)-S27*'R&amp;S - Packaging and hh goods'!$N$4/SUM('R&amp;S - Packaging and hh goods'!$L$4:$N$4)*('R&amp;S - Packaging and hh goods'!$G$7*'R&amp;S - Packaging and hh goods'!$L$14*('R&amp;S - Packaging and hh goods'!$AJ$19+('R&amp;S - Packaging and hh goods'!$AJ$20-'R&amp;S - Packaging and hh goods'!$AJ$19)*(S$3-$N$3)/10))-S27*'R&amp;S - Packaging and hh goods'!$N$4/SUM('R&amp;S - Packaging and hh goods'!$L$4:$N$4)*('R&amp;S - Packaging and hh goods'!$G$8*'R&amp;S - Packaging and hh goods'!$L$14*('R&amp;S - Packaging and hh goods'!$AK$19+('R&amp;S - Packaging and hh goods'!$AK$20-'R&amp;S - Packaging and hh goods'!$AK$19)*(S$3-$N$3)/10))-S27*'R&amp;S - Packaging and hh goods'!$N$4/SUM('R&amp;S - Packaging and hh goods'!$L$4:$N$4)*('R&amp;S - Packaging and hh goods'!$G$9*'R&amp;S - Packaging and hh goods'!$M$14*('R&amp;S - Packaging and hh goods'!$AL$19+('R&amp;S - Packaging and hh goods'!$AL$20-'R&amp;S - Packaging and hh goods'!$AL$19)*(S$3-$N$3)/10))-S27*'R&amp;S - Packaging and hh goods'!$N$4/SUM('R&amp;S - Packaging and hh goods'!$L$4:$N$4)*('R&amp;S - Packaging and hh goods'!$G$10*'R&amp;S - Packaging and hh goods'!$M$14*('R&amp;S - Packaging and hh goods'!$AM$19+('R&amp;S - Packaging and hh goods'!$AM$20-'R&amp;S - Packaging and hh goods'!$AM$19)*(S$3-$N$3)/10))</f>
        <v>39.541610733207925</v>
      </c>
      <c r="T37" s="284">
        <f>T27*'R&amp;S - Packaging and hh goods'!$N$4/SUM('R&amp;S - Packaging and hh goods'!$L$4:$N$4)-T27*'R&amp;S - Packaging and hh goods'!$N$4/SUM('R&amp;S - Packaging and hh goods'!$L$4:$N$4)*('R&amp;S - Packaging and hh goods'!$G$7*'R&amp;S - Packaging and hh goods'!$L$14*('R&amp;S - Packaging and hh goods'!$AJ$19+('R&amp;S - Packaging and hh goods'!$AJ$20-'R&amp;S - Packaging and hh goods'!$AJ$19)*(T$3-$N$3)/10))-T27*'R&amp;S - Packaging and hh goods'!$N$4/SUM('R&amp;S - Packaging and hh goods'!$L$4:$N$4)*('R&amp;S - Packaging and hh goods'!$G$8*'R&amp;S - Packaging and hh goods'!$L$14*('R&amp;S - Packaging and hh goods'!$AK$19+('R&amp;S - Packaging and hh goods'!$AK$20-'R&amp;S - Packaging and hh goods'!$AK$19)*(T$3-$N$3)/10))-T27*'R&amp;S - Packaging and hh goods'!$N$4/SUM('R&amp;S - Packaging and hh goods'!$L$4:$N$4)*('R&amp;S - Packaging and hh goods'!$G$9*'R&amp;S - Packaging and hh goods'!$M$14*('R&amp;S - Packaging and hh goods'!$AL$19+('R&amp;S - Packaging and hh goods'!$AL$20-'R&amp;S - Packaging and hh goods'!$AL$19)*(T$3-$N$3)/10))-T27*'R&amp;S - Packaging and hh goods'!$N$4/SUM('R&amp;S - Packaging and hh goods'!$L$4:$N$4)*('R&amp;S - Packaging and hh goods'!$G$10*'R&amp;S - Packaging and hh goods'!$M$14*('R&amp;S - Packaging and hh goods'!$AM$19+('R&amp;S - Packaging and hh goods'!$AM$20-'R&amp;S - Packaging and hh goods'!$AM$19)*(T$3-$N$3)/10))</f>
        <v>39.976568451273202</v>
      </c>
      <c r="U37" s="284">
        <f>U27*'R&amp;S - Packaging and hh goods'!$N$4/SUM('R&amp;S - Packaging and hh goods'!$L$4:$N$4)-U27*'R&amp;S - Packaging and hh goods'!$N$4/SUM('R&amp;S - Packaging and hh goods'!$L$4:$N$4)*('R&amp;S - Packaging and hh goods'!$G$7*'R&amp;S - Packaging and hh goods'!$L$14*('R&amp;S - Packaging and hh goods'!$AJ$19+('R&amp;S - Packaging and hh goods'!$AJ$20-'R&amp;S - Packaging and hh goods'!$AJ$19)*(U$3-$N$3)/10))-U27*'R&amp;S - Packaging and hh goods'!$N$4/SUM('R&amp;S - Packaging and hh goods'!$L$4:$N$4)*('R&amp;S - Packaging and hh goods'!$G$8*'R&amp;S - Packaging and hh goods'!$L$14*('R&amp;S - Packaging and hh goods'!$AK$19+('R&amp;S - Packaging and hh goods'!$AK$20-'R&amp;S - Packaging and hh goods'!$AK$19)*(U$3-$N$3)/10))-U27*'R&amp;S - Packaging and hh goods'!$N$4/SUM('R&amp;S - Packaging and hh goods'!$L$4:$N$4)*('R&amp;S - Packaging and hh goods'!$G$9*'R&amp;S - Packaging and hh goods'!$M$14*('R&amp;S - Packaging and hh goods'!$AL$19+('R&amp;S - Packaging and hh goods'!$AL$20-'R&amp;S - Packaging and hh goods'!$AL$19)*(U$3-$N$3)/10))-U27*'R&amp;S - Packaging and hh goods'!$N$4/SUM('R&amp;S - Packaging and hh goods'!$L$4:$N$4)*('R&amp;S - Packaging and hh goods'!$G$10*'R&amp;S - Packaging and hh goods'!$M$14*('R&amp;S - Packaging and hh goods'!$AM$19+('R&amp;S - Packaging and hh goods'!$AM$20-'R&amp;S - Packaging and hh goods'!$AM$19)*(U$3-$N$3)/10))</f>
        <v>40.416310704237205</v>
      </c>
      <c r="V37" s="284">
        <f>V27*'R&amp;S - Packaging and hh goods'!$N$4/SUM('R&amp;S - Packaging and hh goods'!$L$4:$N$4)-V27*'R&amp;S - Packaging and hh goods'!$N$4/SUM('R&amp;S - Packaging and hh goods'!$L$4:$N$4)*('R&amp;S - Packaging and hh goods'!$G$7*'R&amp;S - Packaging and hh goods'!$L$14*('R&amp;S - Packaging and hh goods'!$AJ$19+('R&amp;S - Packaging and hh goods'!$AJ$20-'R&amp;S - Packaging and hh goods'!$AJ$19)*(V$3-$N$3)/10))-V27*'R&amp;S - Packaging and hh goods'!$N$4/SUM('R&amp;S - Packaging and hh goods'!$L$4:$N$4)*('R&amp;S - Packaging and hh goods'!$G$8*'R&amp;S - Packaging and hh goods'!$L$14*('R&amp;S - Packaging and hh goods'!$AK$19+('R&amp;S - Packaging and hh goods'!$AK$20-'R&amp;S - Packaging and hh goods'!$AK$19)*(V$3-$N$3)/10))-V27*'R&amp;S - Packaging and hh goods'!$N$4/SUM('R&amp;S - Packaging and hh goods'!$L$4:$N$4)*('R&amp;S - Packaging and hh goods'!$G$9*'R&amp;S - Packaging and hh goods'!$M$14*('R&amp;S - Packaging and hh goods'!$AL$19+('R&amp;S - Packaging and hh goods'!$AL$20-'R&amp;S - Packaging and hh goods'!$AL$19)*(V$3-$N$3)/10))-V27*'R&amp;S - Packaging and hh goods'!$N$4/SUM('R&amp;S - Packaging and hh goods'!$L$4:$N$4)*('R&amp;S - Packaging and hh goods'!$G$10*'R&amp;S - Packaging and hh goods'!$M$14*('R&amp;S - Packaging and hh goods'!$AM$19+('R&amp;S - Packaging and hh goods'!$AM$20-'R&amp;S - Packaging and hh goods'!$AM$19)*(V$3-$N$3)/10))</f>
        <v>40.860890121983807</v>
      </c>
      <c r="W37" s="284">
        <f>W27*'R&amp;S - Packaging and hh goods'!$N$4/SUM('R&amp;S - Packaging and hh goods'!$L$4:$N$4)-W27*'R&amp;S - Packaging and hh goods'!$N$4/SUM('R&amp;S - Packaging and hh goods'!$L$4:$N$4)*('R&amp;S - Packaging and hh goods'!$G$7*'R&amp;S - Packaging and hh goods'!$L$14*('R&amp;S - Packaging and hh goods'!$AJ$19+('R&amp;S - Packaging and hh goods'!$AJ$20-'R&amp;S - Packaging and hh goods'!$AJ$19)*(W$3-$N$3)/10))-W27*'R&amp;S - Packaging and hh goods'!$N$4/SUM('R&amp;S - Packaging and hh goods'!$L$4:$N$4)*('R&amp;S - Packaging and hh goods'!$G$8*'R&amp;S - Packaging and hh goods'!$L$14*('R&amp;S - Packaging and hh goods'!$AK$19+('R&amp;S - Packaging and hh goods'!$AK$20-'R&amp;S - Packaging and hh goods'!$AK$19)*(W$3-$N$3)/10))-W27*'R&amp;S - Packaging and hh goods'!$N$4/SUM('R&amp;S - Packaging and hh goods'!$L$4:$N$4)*('R&amp;S - Packaging and hh goods'!$G$9*'R&amp;S - Packaging and hh goods'!$M$14*('R&amp;S - Packaging and hh goods'!$AL$19+('R&amp;S - Packaging and hh goods'!$AL$20-'R&amp;S - Packaging and hh goods'!$AL$19)*(W$3-$N$3)/10))-W27*'R&amp;S - Packaging and hh goods'!$N$4/SUM('R&amp;S - Packaging and hh goods'!$L$4:$N$4)*('R&amp;S - Packaging and hh goods'!$G$10*'R&amp;S - Packaging and hh goods'!$M$14*('R&amp;S - Packaging and hh goods'!$AM$19+('R&amp;S - Packaging and hh goods'!$AM$20-'R&amp;S - Packaging and hh goods'!$AM$19)*(W$3-$N$3)/10))</f>
        <v>41.31035991332562</v>
      </c>
      <c r="X37" s="284">
        <f>X27*'R&amp;S - Packaging and hh goods'!$N$4/SUM('R&amp;S - Packaging and hh goods'!$L$4:$N$4)-X27*'R&amp;S - Packaging and hh goods'!$N$4/SUM('R&amp;S - Packaging and hh goods'!$L$4:$N$4)*('R&amp;S - Packaging and hh goods'!$G$7*'R&amp;S - Packaging and hh goods'!$L$14*('R&amp;S - Packaging and hh goods'!$AJ$19+('R&amp;S - Packaging and hh goods'!$AJ$20-'R&amp;S - Packaging and hh goods'!$AJ$19)*(X$3-$N$3)/10))-X27*'R&amp;S - Packaging and hh goods'!$N$4/SUM('R&amp;S - Packaging and hh goods'!$L$4:$N$4)*('R&amp;S - Packaging and hh goods'!$G$8*'R&amp;S - Packaging and hh goods'!$L$14*('R&amp;S - Packaging and hh goods'!$AK$19+('R&amp;S - Packaging and hh goods'!$AK$20-'R&amp;S - Packaging and hh goods'!$AK$19)*(X$3-$N$3)/10))-X27*'R&amp;S - Packaging and hh goods'!$N$4/SUM('R&amp;S - Packaging and hh goods'!$L$4:$N$4)*('R&amp;S - Packaging and hh goods'!$G$9*'R&amp;S - Packaging and hh goods'!$M$14*('R&amp;S - Packaging and hh goods'!$AL$19+('R&amp;S - Packaging and hh goods'!$AL$20-'R&amp;S - Packaging and hh goods'!$AL$19)*(X$3-$N$3)/10))-X27*'R&amp;S - Packaging and hh goods'!$N$4/SUM('R&amp;S - Packaging and hh goods'!$L$4:$N$4)*('R&amp;S - Packaging and hh goods'!$G$10*'R&amp;S - Packaging and hh goods'!$M$14*('R&amp;S - Packaging and hh goods'!$AM$19+('R&amp;S - Packaging and hh goods'!$AM$20-'R&amp;S - Packaging and hh goods'!$AM$19)*(X$3-$N$3)/10))</f>
        <v>41.764773872372203</v>
      </c>
      <c r="Y37" s="284">
        <f>Y27*'R&amp;S - Packaging and hh goods'!$N$4/SUM('R&amp;S - Packaging and hh goods'!$L$4:$N$4)-Y27*'R&amp;S - Packaging and hh goods'!$N$4/SUM('R&amp;S - Packaging and hh goods'!$L$4:$N$4)*('R&amp;S - Packaging and hh goods'!$G7*'R&amp;S - Packaging and hh goods'!$L$14*('R&amp;S - Packaging and hh goods'!$AJ$20+('R&amp;S - Packaging and hh goods'!$AJ$21-'R&amp;S - Packaging and hh goods'!$AJ$20)*(Y$3-$X$3)/10))-Y27*'R&amp;S - Packaging and hh goods'!$N$4/SUM('R&amp;S - Packaging and hh goods'!$L$4:$N$4)*('R&amp;S - Packaging and hh goods'!$G8*'R&amp;S - Packaging and hh goods'!$L$14*('R&amp;S - Packaging and hh goods'!$AK$20+('R&amp;S - Packaging and hh goods'!$AK$21-'R&amp;S - Packaging and hh goods'!$AK$20)*(Y$3-$X$3)/10))-Y27*'R&amp;S - Packaging and hh goods'!$N$4/SUM('R&amp;S - Packaging and hh goods'!$L$4:$N$4)*('R&amp;S - Packaging and hh goods'!$G9*'R&amp;S - Packaging and hh goods'!$M$14*('R&amp;S - Packaging and hh goods'!$AL$20+('R&amp;S - Packaging and hh goods'!$AL$21-'R&amp;S - Packaging and hh goods'!$AL$20)*(Y$3-$X$3)/10))-Y27*'R&amp;S - Packaging and hh goods'!$N$4/SUM('R&amp;S - Packaging and hh goods'!$L$4:$N$4)*('R&amp;S - Packaging and hh goods'!$G10*'R&amp;S - Packaging and hh goods'!$M$14*('R&amp;S - Packaging and hh goods'!$AM$20+('R&amp;S - Packaging and hh goods'!$AM$21-'R&amp;S - Packaging and hh goods'!$AM$20)*(Y$3-$X$3)/10))</f>
        <v>42.224186384968291</v>
      </c>
      <c r="Z37" s="284">
        <f>Z27*'R&amp;S - Packaging and hh goods'!$N$4/SUM('R&amp;S - Packaging and hh goods'!$L$4:$N$4)-Z27*'R&amp;S - Packaging and hh goods'!$N$4/SUM('R&amp;S - Packaging and hh goods'!$L$4:$N$4)*('R&amp;S - Packaging and hh goods'!$G7*'R&amp;S - Packaging and hh goods'!$L$14*('R&amp;S - Packaging and hh goods'!$AJ$20+('R&amp;S - Packaging and hh goods'!$AJ$21-'R&amp;S - Packaging and hh goods'!$AJ$20)*(Z$3-$X$3)/10))-Z27*'R&amp;S - Packaging and hh goods'!$N$4/SUM('R&amp;S - Packaging and hh goods'!$L$4:$N$4)*('R&amp;S - Packaging and hh goods'!$G8*'R&amp;S - Packaging and hh goods'!$L$14*('R&amp;S - Packaging and hh goods'!$AK$20+('R&amp;S - Packaging and hh goods'!$AK$21-'R&amp;S - Packaging and hh goods'!$AK$20)*(Z$3-$X$3)/10))-Z27*'R&amp;S - Packaging and hh goods'!$N$4/SUM('R&amp;S - Packaging and hh goods'!$L$4:$N$4)*('R&amp;S - Packaging and hh goods'!$G9*'R&amp;S - Packaging and hh goods'!$M$14*('R&amp;S - Packaging and hh goods'!$AL$20+('R&amp;S - Packaging and hh goods'!$AL$21-'R&amp;S - Packaging and hh goods'!$AL$20)*(Z$3-$X$3)/10))-Z27*'R&amp;S - Packaging and hh goods'!$N$4/SUM('R&amp;S - Packaging and hh goods'!$L$4:$N$4)*('R&amp;S - Packaging and hh goods'!$G10*'R&amp;S - Packaging and hh goods'!$M$14*('R&amp;S - Packaging and hh goods'!$AM$20+('R&amp;S - Packaging and hh goods'!$AM$21-'R&amp;S - Packaging and hh goods'!$AM$20)*(Z$3-$X$3)/10))</f>
        <v>42.688652435202933</v>
      </c>
      <c r="AA37" s="284">
        <f>AA27*'R&amp;S - Packaging and hh goods'!$N$4/SUM('R&amp;S - Packaging and hh goods'!$L$4:$N$4)-AA27*'R&amp;S - Packaging and hh goods'!$N$4/SUM('R&amp;S - Packaging and hh goods'!$L$4:$N$4)*('R&amp;S - Packaging and hh goods'!$G7*'R&amp;S - Packaging and hh goods'!$L$14*('R&amp;S - Packaging and hh goods'!$AJ$20+('R&amp;S - Packaging and hh goods'!$AJ$21-'R&amp;S - Packaging and hh goods'!$AJ$20)*(AA$3-$X$3)/10))-AA27*'R&amp;S - Packaging and hh goods'!$N$4/SUM('R&amp;S - Packaging and hh goods'!$L$4:$N$4)*('R&amp;S - Packaging and hh goods'!$G8*'R&amp;S - Packaging and hh goods'!$L$14*('R&amp;S - Packaging and hh goods'!$AK$20+('R&amp;S - Packaging and hh goods'!$AK$21-'R&amp;S - Packaging and hh goods'!$AK$20)*(AA$3-$X$3)/10))-AA27*'R&amp;S - Packaging and hh goods'!$N$4/SUM('R&amp;S - Packaging and hh goods'!$L$4:$N$4)*('R&amp;S - Packaging and hh goods'!$G9*'R&amp;S - Packaging and hh goods'!$M$14*('R&amp;S - Packaging and hh goods'!$AL$20+('R&amp;S - Packaging and hh goods'!$AL$21-'R&amp;S - Packaging and hh goods'!$AL$20)*(AA$3-$X$3)/10))-AA27*'R&amp;S - Packaging and hh goods'!$N$4/SUM('R&amp;S - Packaging and hh goods'!$L$4:$N$4)*('R&amp;S - Packaging and hh goods'!$G10*'R&amp;S - Packaging and hh goods'!$M$14*('R&amp;S - Packaging and hh goods'!$AM$20+('R&amp;S - Packaging and hh goods'!$AM$21-'R&amp;S - Packaging and hh goods'!$AM$20)*(AA$3-$X$3)/10))</f>
        <v>43.158227611990164</v>
      </c>
      <c r="AB37" s="284">
        <f>AB27*'R&amp;S - Packaging and hh goods'!$N$4/SUM('R&amp;S - Packaging and hh goods'!$L$4:$N$4)-AB27*'R&amp;S - Packaging and hh goods'!$N$4/SUM('R&amp;S - Packaging and hh goods'!$L$4:$N$4)*('R&amp;S - Packaging and hh goods'!$G7*'R&amp;S - Packaging and hh goods'!$L$14*('R&amp;S - Packaging and hh goods'!$AJ$20+('R&amp;S - Packaging and hh goods'!$AJ$21-'R&amp;S - Packaging and hh goods'!$AJ$20)*(AB$3-$X$3)/10))-AB27*'R&amp;S - Packaging and hh goods'!$N$4/SUM('R&amp;S - Packaging and hh goods'!$L$4:$N$4)*('R&amp;S - Packaging and hh goods'!$G8*'R&amp;S - Packaging and hh goods'!$L$14*('R&amp;S - Packaging and hh goods'!$AK$20+('R&amp;S - Packaging and hh goods'!$AK$21-'R&amp;S - Packaging and hh goods'!$AK$20)*(AB$3-$X$3)/10))-AB27*'R&amp;S - Packaging and hh goods'!$N$4/SUM('R&amp;S - Packaging and hh goods'!$L$4:$N$4)*('R&amp;S - Packaging and hh goods'!$G9*'R&amp;S - Packaging and hh goods'!$M$14*('R&amp;S - Packaging and hh goods'!$AL$20+('R&amp;S - Packaging and hh goods'!$AL$21-'R&amp;S - Packaging and hh goods'!$AL$20)*(AB$3-$X$3)/10))-AB27*'R&amp;S - Packaging and hh goods'!$N$4/SUM('R&amp;S - Packaging and hh goods'!$L$4:$N$4)*('R&amp;S - Packaging and hh goods'!$G10*'R&amp;S - Packaging and hh goods'!$M$14*('R&amp;S - Packaging and hh goods'!$AM$20+('R&amp;S - Packaging and hh goods'!$AM$21-'R&amp;S - Packaging and hh goods'!$AM$20)*(AB$3-$X$3)/10))</f>
        <v>43.632968115722051</v>
      </c>
      <c r="AC37" s="284">
        <f>AC27*'R&amp;S - Packaging and hh goods'!$N$4/SUM('R&amp;S - Packaging and hh goods'!$L$4:$N$4)-AC27*'R&amp;S - Packaging and hh goods'!$N$4/SUM('R&amp;S - Packaging and hh goods'!$L$4:$N$4)*('R&amp;S - Packaging and hh goods'!$G7*'R&amp;S - Packaging and hh goods'!$L$14*('R&amp;S - Packaging and hh goods'!$AJ$20+('R&amp;S - Packaging and hh goods'!$AJ$21-'R&amp;S - Packaging and hh goods'!$AJ$20)*(AC$3-$X$3)/10))-AC27*'R&amp;S - Packaging and hh goods'!$N$4/SUM('R&amp;S - Packaging and hh goods'!$L$4:$N$4)*('R&amp;S - Packaging and hh goods'!$G8*'R&amp;S - Packaging and hh goods'!$L$14*('R&amp;S - Packaging and hh goods'!$AK$20+('R&amp;S - Packaging and hh goods'!$AK$21-'R&amp;S - Packaging and hh goods'!$AK$20)*(AC$3-$X$3)/10))-AC27*'R&amp;S - Packaging and hh goods'!$N$4/SUM('R&amp;S - Packaging and hh goods'!$L$4:$N$4)*('R&amp;S - Packaging and hh goods'!$G9*'R&amp;S - Packaging and hh goods'!$M$14*('R&amp;S - Packaging and hh goods'!$AL$20+('R&amp;S - Packaging and hh goods'!$AL$21-'R&amp;S - Packaging and hh goods'!$AL$20)*(AC$3-$X$3)/10))-AC27*'R&amp;S - Packaging and hh goods'!$N$4/SUM('R&amp;S - Packaging and hh goods'!$L$4:$N$4)*('R&amp;S - Packaging and hh goods'!$G10*'R&amp;S - Packaging and hh goods'!$M$14*('R&amp;S - Packaging and hh goods'!$AM$20+('R&amp;S - Packaging and hh goods'!$AM$21-'R&amp;S - Packaging and hh goods'!$AM$20)*(AC$3-$X$3)/10))</f>
        <v>44.112930764994992</v>
      </c>
      <c r="AD37" s="284">
        <f>AD27*'R&amp;S - Packaging and hh goods'!$N$4/SUM('R&amp;S - Packaging and hh goods'!$L$4:$N$4)-AD27*'R&amp;S - Packaging and hh goods'!$N$4/SUM('R&amp;S - Packaging and hh goods'!$L$4:$N$4)*('R&amp;S - Packaging and hh goods'!$G7*'R&amp;S - Packaging and hh goods'!$L$14*('R&amp;S - Packaging and hh goods'!$AJ$20+('R&amp;S - Packaging and hh goods'!$AJ$21-'R&amp;S - Packaging and hh goods'!$AJ$20)*(AD$3-$X$3)/10))-AD27*'R&amp;S - Packaging and hh goods'!$N$4/SUM('R&amp;S - Packaging and hh goods'!$L$4:$N$4)*('R&amp;S - Packaging and hh goods'!$G8*'R&amp;S - Packaging and hh goods'!$L$14*('R&amp;S - Packaging and hh goods'!$AK$20+('R&amp;S - Packaging and hh goods'!$AK$21-'R&amp;S - Packaging and hh goods'!$AK$20)*(AD$3-$X$3)/10))-AD27*'R&amp;S - Packaging and hh goods'!$N$4/SUM('R&amp;S - Packaging and hh goods'!$L$4:$N$4)*('R&amp;S - Packaging and hh goods'!$G9*'R&amp;S - Packaging and hh goods'!$M$14*('R&amp;S - Packaging and hh goods'!$AL$20+('R&amp;S - Packaging and hh goods'!$AL$21-'R&amp;S - Packaging and hh goods'!$AL$20)*(AD$3-$X$3)/10))-AD27*'R&amp;S - Packaging and hh goods'!$N$4/SUM('R&amp;S - Packaging and hh goods'!$L$4:$N$4)*('R&amp;S - Packaging and hh goods'!$G10*'R&amp;S - Packaging and hh goods'!$M$14*('R&amp;S - Packaging and hh goods'!$AM$20+('R&amp;S - Packaging and hh goods'!$AM$21-'R&amp;S - Packaging and hh goods'!$AM$20)*(AD$3-$X$3)/10))</f>
        <v>44.598173003409933</v>
      </c>
      <c r="AE37" s="284">
        <f>AE27*'R&amp;S - Packaging and hh goods'!$N$4/SUM('R&amp;S - Packaging and hh goods'!$L$4:$N$4)-AE27*'R&amp;S - Packaging and hh goods'!$N$4/SUM('R&amp;S - Packaging and hh goods'!$L$4:$N$4)*('R&amp;S - Packaging and hh goods'!$G7*'R&amp;S - Packaging and hh goods'!$L$14*('R&amp;S - Packaging and hh goods'!$AJ$20+('R&amp;S - Packaging and hh goods'!$AJ$21-'R&amp;S - Packaging and hh goods'!$AJ$20)*(AE$3-$X$3)/10))-AE27*'R&amp;S - Packaging and hh goods'!$N$4/SUM('R&amp;S - Packaging and hh goods'!$L$4:$N$4)*('R&amp;S - Packaging and hh goods'!$G8*'R&amp;S - Packaging and hh goods'!$L$14*('R&amp;S - Packaging and hh goods'!$AK$20+('R&amp;S - Packaging and hh goods'!$AK$21-'R&amp;S - Packaging and hh goods'!$AK$20)*(AE$3-$X$3)/10))-AE27*'R&amp;S - Packaging and hh goods'!$N$4/SUM('R&amp;S - Packaging and hh goods'!$L$4:$N$4)*('R&amp;S - Packaging and hh goods'!$G9*'R&amp;S - Packaging and hh goods'!$M$14*('R&amp;S - Packaging and hh goods'!$AL$20+('R&amp;S - Packaging and hh goods'!$AL$21-'R&amp;S - Packaging and hh goods'!$AL$20)*(AE$3-$X$3)/10))-AE27*'R&amp;S - Packaging and hh goods'!$N$4/SUM('R&amp;S - Packaging and hh goods'!$L$4:$N$4)*('R&amp;S - Packaging and hh goods'!$G10*'R&amp;S - Packaging and hh goods'!$M$14*('R&amp;S - Packaging and hh goods'!$AM$20+('R&amp;S - Packaging and hh goods'!$AM$21-'R&amp;S - Packaging and hh goods'!$AM$20)*(AE$3-$X$3)/10))</f>
        <v>45.088752906447432</v>
      </c>
      <c r="AF37" s="284">
        <f>AF27*'R&amp;S - Packaging and hh goods'!$N$4/SUM('R&amp;S - Packaging and hh goods'!$L$4:$N$4)-AF27*'R&amp;S - Packaging and hh goods'!$N$4/SUM('R&amp;S - Packaging and hh goods'!$L$4:$N$4)*('R&amp;S - Packaging and hh goods'!$G7*'R&amp;S - Packaging and hh goods'!$L$14*('R&amp;S - Packaging and hh goods'!$AJ$20+('R&amp;S - Packaging and hh goods'!$AJ$21-'R&amp;S - Packaging and hh goods'!$AJ$20)*(AF$3-$X$3)/10))-AF27*'R&amp;S - Packaging and hh goods'!$N$4/SUM('R&amp;S - Packaging and hh goods'!$L$4:$N$4)*('R&amp;S - Packaging and hh goods'!$G8*'R&amp;S - Packaging and hh goods'!$L$14*('R&amp;S - Packaging and hh goods'!$AK$20+('R&amp;S - Packaging and hh goods'!$AK$21-'R&amp;S - Packaging and hh goods'!$AK$20)*(AF$3-$X$3)/10))-AF27*'R&amp;S - Packaging and hh goods'!$N$4/SUM('R&amp;S - Packaging and hh goods'!$L$4:$N$4)*('R&amp;S - Packaging and hh goods'!$G9*'R&amp;S - Packaging and hh goods'!$M$14*('R&amp;S - Packaging and hh goods'!$AL$20+('R&amp;S - Packaging and hh goods'!$AL$21-'R&amp;S - Packaging and hh goods'!$AL$20)*(AF$3-$X$3)/10))-AF27*'R&amp;S - Packaging and hh goods'!$N$4/SUM('R&amp;S - Packaging and hh goods'!$L$4:$N$4)*('R&amp;S - Packaging and hh goods'!$G10*'R&amp;S - Packaging and hh goods'!$M$14*('R&amp;S - Packaging and hh goods'!$AM$20+('R&amp;S - Packaging and hh goods'!$AM$21-'R&amp;S - Packaging and hh goods'!$AM$20)*(AF$3-$X$3)/10))</f>
        <v>45.584729188418351</v>
      </c>
      <c r="AG37" s="284">
        <f>AG27*'R&amp;S - Packaging and hh goods'!$N$4/SUM('R&amp;S - Packaging and hh goods'!$L$4:$N$4)-AG27*'R&amp;S - Packaging and hh goods'!$N$4/SUM('R&amp;S - Packaging and hh goods'!$L$4:$N$4)*('R&amp;S - Packaging and hh goods'!$G7*'R&amp;S - Packaging and hh goods'!$L$14*('R&amp;S - Packaging and hh goods'!$AJ$20+('R&amp;S - Packaging and hh goods'!$AJ$21-'R&amp;S - Packaging and hh goods'!$AJ$20)*(AG$3-$X$3)/10))-AG27*'R&amp;S - Packaging and hh goods'!$N$4/SUM('R&amp;S - Packaging and hh goods'!$L$4:$N$4)*('R&amp;S - Packaging and hh goods'!$G8*'R&amp;S - Packaging and hh goods'!$L$14*('R&amp;S - Packaging and hh goods'!$AK$20+('R&amp;S - Packaging and hh goods'!$AK$21-'R&amp;S - Packaging and hh goods'!$AK$20)*(AG$3-$X$3)/10))-AG27*'R&amp;S - Packaging and hh goods'!$N$4/SUM('R&amp;S - Packaging and hh goods'!$L$4:$N$4)*('R&amp;S - Packaging and hh goods'!$G9*'R&amp;S - Packaging and hh goods'!$M$14*('R&amp;S - Packaging and hh goods'!$AL$20+('R&amp;S - Packaging and hh goods'!$AL$21-'R&amp;S - Packaging and hh goods'!$AL$20)*(AG$3-$X$3)/10))-AG27*'R&amp;S - Packaging and hh goods'!$N$4/SUM('R&amp;S - Packaging and hh goods'!$L$4:$N$4)*('R&amp;S - Packaging and hh goods'!$G10*'R&amp;S - Packaging and hh goods'!$M$14*('R&amp;S - Packaging and hh goods'!$AM$20+('R&amp;S - Packaging and hh goods'!$AM$21-'R&amp;S - Packaging and hh goods'!$AM$20)*(AG$3-$X$3)/10))</f>
        <v>46.086161209490946</v>
      </c>
      <c r="AH37" s="284">
        <f>AH27*'R&amp;S - Packaging and hh goods'!$N$4/SUM('R&amp;S - Packaging and hh goods'!$L$4:$N$4)-AH27*'R&amp;S - Packaging and hh goods'!$N$4/SUM('R&amp;S - Packaging and hh goods'!$L$4:$N$4)*('R&amp;S - Packaging and hh goods'!$G7*'R&amp;S - Packaging and hh goods'!$L$14*('R&amp;S - Packaging and hh goods'!$AJ$20+('R&amp;S - Packaging and hh goods'!$AJ$21-'R&amp;S - Packaging and hh goods'!$AJ$20)*(AH$3-$X$3)/10))-AH27*'R&amp;S - Packaging and hh goods'!$N$4/SUM('R&amp;S - Packaging and hh goods'!$L$4:$N$4)*('R&amp;S - Packaging and hh goods'!$G8*'R&amp;S - Packaging and hh goods'!$L$14*('R&amp;S - Packaging and hh goods'!$AK$20+('R&amp;S - Packaging and hh goods'!$AK$21-'R&amp;S - Packaging and hh goods'!$AK$20)*(AH$3-$X$3)/10))-AH27*'R&amp;S - Packaging and hh goods'!$N$4/SUM('R&amp;S - Packaging and hh goods'!$L$4:$N$4)*('R&amp;S - Packaging and hh goods'!$G9*'R&amp;S - Packaging and hh goods'!$M$14*('R&amp;S - Packaging and hh goods'!$AL$20+('R&amp;S - Packaging and hh goods'!$AL$21-'R&amp;S - Packaging and hh goods'!$AL$20)*(AH$3-$X$3)/10))-AH27*'R&amp;S - Packaging and hh goods'!$N$4/SUM('R&amp;S - Packaging and hh goods'!$L$4:$N$4)*('R&amp;S - Packaging and hh goods'!$G10*'R&amp;S - Packaging and hh goods'!$M$14*('R&amp;S - Packaging and hh goods'!$AM$20+('R&amp;S - Packaging and hh goods'!$AM$21-'R&amp;S - Packaging and hh goods'!$AM$20)*(AH$3-$X$3)/10))</f>
        <v>46.593108982795343</v>
      </c>
      <c r="AJ37" s="284">
        <f>AJ27*'R&amp;S - Packaging and hh goods'!$N$4/SUM('R&amp;S - Packaging and hh goods'!$L$4:$N$4)</f>
        <v>33.557300929497657</v>
      </c>
      <c r="AK37" s="284">
        <f>AK27*'R&amp;S - Packaging and hh goods'!$N$4/SUM('R&amp;S - Packaging and hh goods'!$L$4:$N$4)-AK27*'R&amp;S - Packaging and hh goods'!$N$4/SUM('R&amp;S - Packaging and hh goods'!$L$4:$N$4)*'R&amp;S - Packaging and hh goods'!$G$7*('R&amp;S - Packaging and hh goods'!$L$15*'R&amp;S - Packaging and hh goods'!$AJ$19*(AK$3-$D$3)/10)-AK27*'R&amp;S - Packaging and hh goods'!$N$4/SUM('R&amp;S - Packaging and hh goods'!$L$4:$N$4)*'R&amp;S - Packaging and hh goods'!$G$8*('R&amp;S - Packaging and hh goods'!$L$15*'R&amp;S - Packaging and hh goods'!$AK$19*(AK$3-$D$3)/10)-AK27*'R&amp;S - Packaging and hh goods'!$N$4/SUM('R&amp;S - Packaging and hh goods'!$L$4:$N$4)*'R&amp;S - Packaging and hh goods'!$G$9*('R&amp;S - Packaging and hh goods'!$L$15*'R&amp;S - Packaging and hh goods'!$AL$19*(AK$3-$D$3)/10)-AK31*'R&amp;S - Packaging and hh goods'!$N$4/SUM('R&amp;S - Packaging and hh goods'!$L$4:$N$4)*'R&amp;S - Packaging and hh goods'!$G$10*('R&amp;S - Packaging and hh goods'!$L$15*'R&amp;S - Packaging and hh goods'!$AM$19*(AK$3-$D$3)/10)</f>
        <v>33.926431239722127</v>
      </c>
      <c r="AL37" s="284">
        <f>AL27*'R&amp;S - Packaging and hh goods'!$N$4/SUM('R&amp;S - Packaging and hh goods'!$L$4:$N$4)-AL27*'R&amp;S - Packaging and hh goods'!$N$4/SUM('R&amp;S - Packaging and hh goods'!$L$4:$N$4)*'R&amp;S - Packaging and hh goods'!$G$7*('R&amp;S - Packaging and hh goods'!$L$15*'R&amp;S - Packaging and hh goods'!$AJ$19*(AL$3-$D$3)/10)-AL27*'R&amp;S - Packaging and hh goods'!$N$4/SUM('R&amp;S - Packaging and hh goods'!$L$4:$N$4)*'R&amp;S - Packaging and hh goods'!$G$8*('R&amp;S - Packaging and hh goods'!$L$15*'R&amp;S - Packaging and hh goods'!$AK$19*(AL$3-$D$3)/10)-AL27*'R&amp;S - Packaging and hh goods'!$N$4/SUM('R&amp;S - Packaging and hh goods'!$L$4:$N$4)*'R&amp;S - Packaging and hh goods'!$G$9*('R&amp;S - Packaging and hh goods'!$L$15*'R&amp;S - Packaging and hh goods'!$AL$19*(AL$3-$D$3)/10)-AL31*'R&amp;S - Packaging and hh goods'!$N$4/SUM('R&amp;S - Packaging and hh goods'!$L$4:$N$4)*'R&amp;S - Packaging and hh goods'!$G$10*('R&amp;S - Packaging and hh goods'!$L$15*'R&amp;S - Packaging and hh goods'!$AM$19*(AL$3-$D$3)/10)</f>
        <v>34.299621983359067</v>
      </c>
      <c r="AM37" s="284">
        <f>AM27*'R&amp;S - Packaging and hh goods'!$N$4/SUM('R&amp;S - Packaging and hh goods'!$L$4:$N$4)-AM27*'R&amp;S - Packaging and hh goods'!$N$4/SUM('R&amp;S - Packaging and hh goods'!$L$4:$N$4)*'R&amp;S - Packaging and hh goods'!$G$7*('R&amp;S - Packaging and hh goods'!$L$15*'R&amp;S - Packaging and hh goods'!$AJ$19*(AM$3-$D$3)/10)-AM27*'R&amp;S - Packaging and hh goods'!$N$4/SUM('R&amp;S - Packaging and hh goods'!$L$4:$N$4)*'R&amp;S - Packaging and hh goods'!$G$8*('R&amp;S - Packaging and hh goods'!$L$15*'R&amp;S - Packaging and hh goods'!$AK$19*(AM$3-$D$3)/10)-AM27*'R&amp;S - Packaging and hh goods'!$N$4/SUM('R&amp;S - Packaging and hh goods'!$L$4:$N$4)*'R&amp;S - Packaging and hh goods'!$G$9*('R&amp;S - Packaging and hh goods'!$L$15*'R&amp;S - Packaging and hh goods'!$AL$19*(AM$3-$D$3)/10)-AM31*'R&amp;S - Packaging and hh goods'!$N$4/SUM('R&amp;S - Packaging and hh goods'!$L$4:$N$4)*'R&amp;S - Packaging and hh goods'!$G$10*('R&amp;S - Packaging and hh goods'!$L$15*'R&amp;S - Packaging and hh goods'!$AM$19*(AM$3-$D$3)/10)</f>
        <v>34.676917825176012</v>
      </c>
      <c r="AN37" s="284">
        <f>AN27*'R&amp;S - Packaging and hh goods'!$N$4/SUM('R&amp;S - Packaging and hh goods'!$L$4:$N$4)-AN27*'R&amp;S - Packaging and hh goods'!$N$4/SUM('R&amp;S - Packaging and hh goods'!$L$4:$N$4)*'R&amp;S - Packaging and hh goods'!$G$7*('R&amp;S - Packaging and hh goods'!$L$15*'R&amp;S - Packaging and hh goods'!$AJ$19*(AN$3-$D$3)/10)-AN27*'R&amp;S - Packaging and hh goods'!$N$4/SUM('R&amp;S - Packaging and hh goods'!$L$4:$N$4)*'R&amp;S - Packaging and hh goods'!$G$8*('R&amp;S - Packaging and hh goods'!$L$15*'R&amp;S - Packaging and hh goods'!$AK$19*(AN$3-$D$3)/10)-AN27*'R&amp;S - Packaging and hh goods'!$N$4/SUM('R&amp;S - Packaging and hh goods'!$L$4:$N$4)*'R&amp;S - Packaging and hh goods'!$G$9*('R&amp;S - Packaging and hh goods'!$L$15*'R&amp;S - Packaging and hh goods'!$AL$19*(AN$3-$D$3)/10)-AN31*'R&amp;S - Packaging and hh goods'!$N$4/SUM('R&amp;S - Packaging and hh goods'!$L$4:$N$4)*'R&amp;S - Packaging and hh goods'!$G$10*('R&amp;S - Packaging and hh goods'!$L$15*'R&amp;S - Packaging and hh goods'!$AM$19*(AN$3-$D$3)/10)</f>
        <v>35.058363921252948</v>
      </c>
      <c r="AO37" s="284">
        <f>AO27*'R&amp;S - Packaging and hh goods'!$N$4/SUM('R&amp;S - Packaging and hh goods'!$L$4:$N$4)-AO27*'R&amp;S - Packaging and hh goods'!$N$4/SUM('R&amp;S - Packaging and hh goods'!$L$4:$N$4)*'R&amp;S - Packaging and hh goods'!$G$7*('R&amp;S - Packaging and hh goods'!$L$15*'R&amp;S - Packaging and hh goods'!$AJ$19*(AO$3-$D$3)/10)-AO27*'R&amp;S - Packaging and hh goods'!$N$4/SUM('R&amp;S - Packaging and hh goods'!$L$4:$N$4)*'R&amp;S - Packaging and hh goods'!$G$8*('R&amp;S - Packaging and hh goods'!$L$15*'R&amp;S - Packaging and hh goods'!$AK$19*(AO$3-$D$3)/10)-AO27*'R&amp;S - Packaging and hh goods'!$N$4/SUM('R&amp;S - Packaging and hh goods'!$L$4:$N$4)*'R&amp;S - Packaging and hh goods'!$G$9*('R&amp;S - Packaging and hh goods'!$L$15*'R&amp;S - Packaging and hh goods'!$AL$19*(AO$3-$D$3)/10)-AO31*'R&amp;S - Packaging and hh goods'!$N$4/SUM('R&amp;S - Packaging and hh goods'!$L$4:$N$4)*'R&amp;S - Packaging and hh goods'!$G$10*('R&amp;S - Packaging and hh goods'!$L$15*'R&amp;S - Packaging and hh goods'!$AM$19*(AO$3-$D$3)/10)</f>
        <v>35.444005924386722</v>
      </c>
      <c r="AP37" s="284">
        <f>AP27*'R&amp;S - Packaging and hh goods'!$N$4/SUM('R&amp;S - Packaging and hh goods'!$L$4:$N$4)-AP27*'R&amp;S - Packaging and hh goods'!$N$4/SUM('R&amp;S - Packaging and hh goods'!$L$4:$N$4)*'R&amp;S - Packaging and hh goods'!$G$7*('R&amp;S - Packaging and hh goods'!$L$15*'R&amp;S - Packaging and hh goods'!$AJ$19*(AP$3-$D$3)/10)-AP27*'R&amp;S - Packaging and hh goods'!$N$4/SUM('R&amp;S - Packaging and hh goods'!$L$4:$N$4)*'R&amp;S - Packaging and hh goods'!$G$8*('R&amp;S - Packaging and hh goods'!$L$15*'R&amp;S - Packaging and hh goods'!$AK$19*(AP$3-$D$3)/10)-AP27*'R&amp;S - Packaging and hh goods'!$N$4/SUM('R&amp;S - Packaging and hh goods'!$L$4:$N$4)*'R&amp;S - Packaging and hh goods'!$G$9*('R&amp;S - Packaging and hh goods'!$L$15*'R&amp;S - Packaging and hh goods'!$AL$19*(AP$3-$D$3)/10)-AP31*'R&amp;S - Packaging and hh goods'!$N$4/SUM('R&amp;S - Packaging and hh goods'!$L$4:$N$4)*'R&amp;S - Packaging and hh goods'!$G$10*('R&amp;S - Packaging and hh goods'!$L$15*'R&amp;S - Packaging and hh goods'!$AM$19*(AP$3-$D$3)/10)</f>
        <v>35.833889989554969</v>
      </c>
      <c r="AQ37" s="284">
        <f>AQ27*'R&amp;S - Packaging and hh goods'!$N$4/SUM('R&amp;S - Packaging and hh goods'!$L$4:$N$4)-AQ27*'R&amp;S - Packaging and hh goods'!$N$4/SUM('R&amp;S - Packaging and hh goods'!$L$4:$N$4)*'R&amp;S - Packaging and hh goods'!$G$7*('R&amp;S - Packaging and hh goods'!$L$15*'R&amp;S - Packaging and hh goods'!$AJ$19*(AQ$3-$D$3)/10)-AQ27*'R&amp;S - Packaging and hh goods'!$N$4/SUM('R&amp;S - Packaging and hh goods'!$L$4:$N$4)*'R&amp;S - Packaging and hh goods'!$G$8*('R&amp;S - Packaging and hh goods'!$L$15*'R&amp;S - Packaging and hh goods'!$AK$19*(AQ$3-$D$3)/10)-AQ27*'R&amp;S - Packaging and hh goods'!$N$4/SUM('R&amp;S - Packaging and hh goods'!$L$4:$N$4)*'R&amp;S - Packaging and hh goods'!$G$9*('R&amp;S - Packaging and hh goods'!$L$15*'R&amp;S - Packaging and hh goods'!$AL$19*(AQ$3-$D$3)/10)-AQ31*'R&amp;S - Packaging and hh goods'!$N$4/SUM('R&amp;S - Packaging and hh goods'!$L$4:$N$4)*'R&amp;S - Packaging and hh goods'!$G$10*('R&amp;S - Packaging and hh goods'!$L$15*'R&amp;S - Packaging and hh goods'!$AM$19*(AQ$3-$D$3)/10)</f>
        <v>36.228062779440073</v>
      </c>
      <c r="AR37" s="284">
        <f>AR27*'R&amp;S - Packaging and hh goods'!$N$4/SUM('R&amp;S - Packaging and hh goods'!$L$4:$N$4)-AR27*'R&amp;S - Packaging and hh goods'!$N$4/SUM('R&amp;S - Packaging and hh goods'!$L$4:$N$4)*'R&amp;S - Packaging and hh goods'!$G$7*('R&amp;S - Packaging and hh goods'!$L$15*'R&amp;S - Packaging and hh goods'!$AJ$19*(AR$3-$D$3)/10)-AR27*'R&amp;S - Packaging and hh goods'!$N$4/SUM('R&amp;S - Packaging and hh goods'!$L$4:$N$4)*'R&amp;S - Packaging and hh goods'!$G$8*('R&amp;S - Packaging and hh goods'!$L$15*'R&amp;S - Packaging and hh goods'!$AK$19*(AR$3-$D$3)/10)-AR27*'R&amp;S - Packaging and hh goods'!$N$4/SUM('R&amp;S - Packaging and hh goods'!$L$4:$N$4)*'R&amp;S - Packaging and hh goods'!$G$9*('R&amp;S - Packaging and hh goods'!$L$15*'R&amp;S - Packaging and hh goods'!$AL$19*(AR$3-$D$3)/10)-AR31*'R&amp;S - Packaging and hh goods'!$N$4/SUM('R&amp;S - Packaging and hh goods'!$L$4:$N$4)*'R&amp;S - Packaging and hh goods'!$G$10*('R&amp;S - Packaging and hh goods'!$L$15*'R&amp;S - Packaging and hh goods'!$AM$19*(AR$3-$D$3)/10)</f>
        <v>36.626571470013907</v>
      </c>
      <c r="AS37" s="284">
        <f>AS27*'R&amp;S - Packaging and hh goods'!$N$4/SUM('R&amp;S - Packaging and hh goods'!$L$4:$N$4)-AS27*'R&amp;S - Packaging and hh goods'!$N$4/SUM('R&amp;S - Packaging and hh goods'!$L$4:$N$4)*'R&amp;S - Packaging and hh goods'!$G$7*('R&amp;S - Packaging and hh goods'!$L$15*'R&amp;S - Packaging and hh goods'!$AJ$19*(AS$3-$D$3)/10)-AS27*'R&amp;S - Packaging and hh goods'!$N$4/SUM('R&amp;S - Packaging and hh goods'!$L$4:$N$4)*'R&amp;S - Packaging and hh goods'!$G$8*('R&amp;S - Packaging and hh goods'!$L$15*'R&amp;S - Packaging and hh goods'!$AK$19*(AS$3-$D$3)/10)-AS27*'R&amp;S - Packaging and hh goods'!$N$4/SUM('R&amp;S - Packaging and hh goods'!$L$4:$N$4)*'R&amp;S - Packaging and hh goods'!$G$9*('R&amp;S - Packaging and hh goods'!$L$15*'R&amp;S - Packaging and hh goods'!$AL$19*(AS$3-$D$3)/10)-AS31*'R&amp;S - Packaging and hh goods'!$N$4/SUM('R&amp;S - Packaging and hh goods'!$L$4:$N$4)*'R&amp;S - Packaging and hh goods'!$G$10*('R&amp;S - Packaging and hh goods'!$L$15*'R&amp;S - Packaging and hh goods'!$AM$19*(AS$3-$D$3)/10)</f>
        <v>37.029463756184057</v>
      </c>
      <c r="AT37" s="284">
        <f>AT27*'R&amp;S - Packaging and hh goods'!$N$4/SUM('R&amp;S - Packaging and hh goods'!$L$4:$N$4)-AT27*'R&amp;S - Packaging and hh goods'!$N$4/SUM('R&amp;S - Packaging and hh goods'!$L$4:$N$4)*'R&amp;S - Packaging and hh goods'!$G$7*('R&amp;S - Packaging and hh goods'!$L$15*'R&amp;S - Packaging and hh goods'!$AJ$19*(AT$3-$D$3)/10)-AT27*'R&amp;S - Packaging and hh goods'!$N$4/SUM('R&amp;S - Packaging and hh goods'!$L$4:$N$4)*'R&amp;S - Packaging and hh goods'!$G$8*('R&amp;S - Packaging and hh goods'!$L$15*'R&amp;S - Packaging and hh goods'!$AK$19*(AT$3-$D$3)/10)-AT27*'R&amp;S - Packaging and hh goods'!$N$4/SUM('R&amp;S - Packaging and hh goods'!$L$4:$N$4)*'R&amp;S - Packaging and hh goods'!$G$9*('R&amp;S - Packaging and hh goods'!$L$15*'R&amp;S - Packaging and hh goods'!$AL$19*(AT$3-$D$3)/10)-AT31*'R&amp;S - Packaging and hh goods'!$N$4/SUM('R&amp;S - Packaging and hh goods'!$L$4:$N$4)*'R&amp;S - Packaging and hh goods'!$G$10*('R&amp;S - Packaging and hh goods'!$L$15*'R&amp;S - Packaging and hh goods'!$AM$19*(AT$3-$D$3)/10)</f>
        <v>37.436787857502075</v>
      </c>
      <c r="AU37" s="284">
        <f>AU27*'R&amp;S - Packaging and hh goods'!$N$4/SUM('R&amp;S - Packaging and hh goods'!$L$4:$N$4)-AU27*'R&amp;S - Packaging and hh goods'!$N$4/SUM('R&amp;S - Packaging and hh goods'!$L$4:$N$4)*('R&amp;S - Packaging and hh goods'!$G$7*'R&amp;S - Packaging and hh goods'!$L$15*('R&amp;S - Packaging and hh goods'!$AJ$19+('R&amp;S - Packaging and hh goods'!$AJ$20-'R&amp;S - Packaging and hh goods'!$AJ$19)*(AU$3-$N$3)/10))-AU27*'R&amp;S - Packaging and hh goods'!$N$4/SUM('R&amp;S - Packaging and hh goods'!$L$4:$N$4)*('R&amp;S - Packaging and hh goods'!$G$8*'R&amp;S - Packaging and hh goods'!$L$15*('R&amp;S - Packaging and hh goods'!$AK$19+('R&amp;S - Packaging and hh goods'!$AK$20-'R&amp;S - Packaging and hh goods'!$AK$19)*(AU$3-$N$3)/10))-AU27*'R&amp;S - Packaging and hh goods'!$N$4/SUM('R&amp;S - Packaging and hh goods'!$L$4:$N$4)*('R&amp;S - Packaging and hh goods'!$G$9*'R&amp;S - Packaging and hh goods'!$M$15*('R&amp;S - Packaging and hh goods'!$AL$19+('R&amp;S - Packaging and hh goods'!$AL$20-'R&amp;S - Packaging and hh goods'!$AL$19)*(AU$3-$N$3)/10))-AU27*'R&amp;S - Packaging and hh goods'!$N$4/SUM('R&amp;S - Packaging and hh goods'!$L$4:$N$4)*('R&amp;S - Packaging and hh goods'!$G$10*'R&amp;S - Packaging and hh goods'!$M$15*('R&amp;S - Packaging and hh goods'!$AM$19+('R&amp;S - Packaging and hh goods'!$AM$20-'R&amp;S - Packaging and hh goods'!$AM$19)*(AU$3-$N$3)/10))</f>
        <v>37.848592523934599</v>
      </c>
      <c r="AV37" s="284">
        <f>AV27*'R&amp;S - Packaging and hh goods'!$N$4/SUM('R&amp;S - Packaging and hh goods'!$L$4:$N$4)-AV27*'R&amp;S - Packaging and hh goods'!$N$4/SUM('R&amp;S - Packaging and hh goods'!$L$4:$N$4)*('R&amp;S - Packaging and hh goods'!$G$7*'R&amp;S - Packaging and hh goods'!$L$15*('R&amp;S - Packaging and hh goods'!$AJ$19+('R&amp;S - Packaging and hh goods'!$AJ$20-'R&amp;S - Packaging and hh goods'!$AJ$19)*(AV$3-$N$3)/10))-AV27*'R&amp;S - Packaging and hh goods'!$N$4/SUM('R&amp;S - Packaging and hh goods'!$L$4:$N$4)*('R&amp;S - Packaging and hh goods'!$G$8*'R&amp;S - Packaging and hh goods'!$L$15*('R&amp;S - Packaging and hh goods'!$AK$19+('R&amp;S - Packaging and hh goods'!$AK$20-'R&amp;S - Packaging and hh goods'!$AK$19)*(AV$3-$N$3)/10))-AV27*'R&amp;S - Packaging and hh goods'!$N$4/SUM('R&amp;S - Packaging and hh goods'!$L$4:$N$4)*('R&amp;S - Packaging and hh goods'!$G$9*'R&amp;S - Packaging and hh goods'!$M$15*('R&amp;S - Packaging and hh goods'!$AL$19+('R&amp;S - Packaging and hh goods'!$AL$20-'R&amp;S - Packaging and hh goods'!$AL$19)*(AV$3-$N$3)/10))-AV27*'R&amp;S - Packaging and hh goods'!$N$4/SUM('R&amp;S - Packaging and hh goods'!$L$4:$N$4)*('R&amp;S - Packaging and hh goods'!$G$10*'R&amp;S - Packaging and hh goods'!$M$15*('R&amp;S - Packaging and hh goods'!$AM$19+('R&amp;S - Packaging and hh goods'!$AM$20-'R&amp;S - Packaging and hh goods'!$AM$19)*(AV$3-$N$3)/10))</f>
        <v>38.264927041697874</v>
      </c>
      <c r="AW37" s="284">
        <f>AW27*'R&amp;S - Packaging and hh goods'!$N$4/SUM('R&amp;S - Packaging and hh goods'!$L$4:$N$4)-AW27*'R&amp;S - Packaging and hh goods'!$N$4/SUM('R&amp;S - Packaging and hh goods'!$L$4:$N$4)*('R&amp;S - Packaging and hh goods'!$G$7*'R&amp;S - Packaging and hh goods'!$L$15*('R&amp;S - Packaging and hh goods'!$AJ$19+('R&amp;S - Packaging and hh goods'!$AJ$20-'R&amp;S - Packaging and hh goods'!$AJ$19)*(AW$3-$N$3)/10))-AW27*'R&amp;S - Packaging and hh goods'!$N$4/SUM('R&amp;S - Packaging and hh goods'!$L$4:$N$4)*('R&amp;S - Packaging and hh goods'!$G$8*'R&amp;S - Packaging and hh goods'!$L$15*('R&amp;S - Packaging and hh goods'!$AK$19+('R&amp;S - Packaging and hh goods'!$AK$20-'R&amp;S - Packaging and hh goods'!$AK$19)*(AW$3-$N$3)/10))-AW27*'R&amp;S - Packaging and hh goods'!$N$4/SUM('R&amp;S - Packaging and hh goods'!$L$4:$N$4)*('R&amp;S - Packaging and hh goods'!$G$9*'R&amp;S - Packaging and hh goods'!$M$15*('R&amp;S - Packaging and hh goods'!$AL$19+('R&amp;S - Packaging and hh goods'!$AL$20-'R&amp;S - Packaging and hh goods'!$AL$19)*(AW$3-$N$3)/10))-AW27*'R&amp;S - Packaging and hh goods'!$N$4/SUM('R&amp;S - Packaging and hh goods'!$L$4:$N$4)*('R&amp;S - Packaging and hh goods'!$G$10*'R&amp;S - Packaging and hh goods'!$M$15*('R&amp;S - Packaging and hh goods'!$AM$19+('R&amp;S - Packaging and hh goods'!$AM$20-'R&amp;S - Packaging and hh goods'!$AM$19)*(AW$3-$N$3)/10))</f>
        <v>38.685841239156545</v>
      </c>
      <c r="AX37" s="284">
        <f>AX27*'R&amp;S - Packaging and hh goods'!$N$4/SUM('R&amp;S - Packaging and hh goods'!$L$4:$N$4)-AX27*'R&amp;S - Packaging and hh goods'!$N$4/SUM('R&amp;S - Packaging and hh goods'!$L$4:$N$4)*('R&amp;S - Packaging and hh goods'!$G$7*'R&amp;S - Packaging and hh goods'!$L$15*('R&amp;S - Packaging and hh goods'!$AJ$19+('R&amp;S - Packaging and hh goods'!$AJ$20-'R&amp;S - Packaging and hh goods'!$AJ$19)*(AX$3-$N$3)/10))-AX27*'R&amp;S - Packaging and hh goods'!$N$4/SUM('R&amp;S - Packaging and hh goods'!$L$4:$N$4)*('R&amp;S - Packaging and hh goods'!$G$8*'R&amp;S - Packaging and hh goods'!$L$15*('R&amp;S - Packaging and hh goods'!$AK$19+('R&amp;S - Packaging and hh goods'!$AK$20-'R&amp;S - Packaging and hh goods'!$AK$19)*(AX$3-$N$3)/10))-AX27*'R&amp;S - Packaging and hh goods'!$N$4/SUM('R&amp;S - Packaging and hh goods'!$L$4:$N$4)*('R&amp;S - Packaging and hh goods'!$G$9*'R&amp;S - Packaging and hh goods'!$M$15*('R&amp;S - Packaging and hh goods'!$AL$19+('R&amp;S - Packaging and hh goods'!$AL$20-'R&amp;S - Packaging and hh goods'!$AL$19)*(AX$3-$N$3)/10))-AX27*'R&amp;S - Packaging and hh goods'!$N$4/SUM('R&amp;S - Packaging and hh goods'!$L$4:$N$4)*('R&amp;S - Packaging and hh goods'!$G$10*'R&amp;S - Packaging and hh goods'!$M$15*('R&amp;S - Packaging and hh goods'!$AM$19+('R&amp;S - Packaging and hh goods'!$AM$20-'R&amp;S - Packaging and hh goods'!$AM$19)*(AX$3-$N$3)/10))</f>
        <v>39.111385492787264</v>
      </c>
      <c r="AY37" s="284">
        <f>AY27*'R&amp;S - Packaging and hh goods'!$N$4/SUM('R&amp;S - Packaging and hh goods'!$L$4:$N$4)-AY27*'R&amp;S - Packaging and hh goods'!$N$4/SUM('R&amp;S - Packaging and hh goods'!$L$4:$N$4)*('R&amp;S - Packaging and hh goods'!$G$7*'R&amp;S - Packaging and hh goods'!$L$15*('R&amp;S - Packaging and hh goods'!$AJ$19+('R&amp;S - Packaging and hh goods'!$AJ$20-'R&amp;S - Packaging and hh goods'!$AJ$19)*(AY$3-$N$3)/10))-AY27*'R&amp;S - Packaging and hh goods'!$N$4/SUM('R&amp;S - Packaging and hh goods'!$L$4:$N$4)*('R&amp;S - Packaging and hh goods'!$G$8*'R&amp;S - Packaging and hh goods'!$L$15*('R&amp;S - Packaging and hh goods'!$AK$19+('R&amp;S - Packaging and hh goods'!$AK$20-'R&amp;S - Packaging and hh goods'!$AK$19)*(AY$3-$N$3)/10))-AY27*'R&amp;S - Packaging and hh goods'!$N$4/SUM('R&amp;S - Packaging and hh goods'!$L$4:$N$4)*('R&amp;S - Packaging and hh goods'!$G$9*'R&amp;S - Packaging and hh goods'!$M$15*('R&amp;S - Packaging and hh goods'!$AL$19+('R&amp;S - Packaging and hh goods'!$AL$20-'R&amp;S - Packaging and hh goods'!$AL$19)*(AY$3-$N$3)/10))-AY27*'R&amp;S - Packaging and hh goods'!$N$4/SUM('R&amp;S - Packaging and hh goods'!$L$4:$N$4)*('R&amp;S - Packaging and hh goods'!$G$10*'R&amp;S - Packaging and hh goods'!$M$15*('R&amp;S - Packaging and hh goods'!$AM$19+('R&amp;S - Packaging and hh goods'!$AM$20-'R&amp;S - Packaging and hh goods'!$AM$19)*(AY$3-$N$3)/10))</f>
        <v>39.541610733207925</v>
      </c>
      <c r="AZ37" s="284">
        <f>AZ27*'R&amp;S - Packaging and hh goods'!$N$4/SUM('R&amp;S - Packaging and hh goods'!$L$4:$N$4)-AZ27*'R&amp;S - Packaging and hh goods'!$N$4/SUM('R&amp;S - Packaging and hh goods'!$L$4:$N$4)*('R&amp;S - Packaging and hh goods'!$G$7*'R&amp;S - Packaging and hh goods'!$L$15*('R&amp;S - Packaging and hh goods'!$AJ$19+('R&amp;S - Packaging and hh goods'!$AJ$20-'R&amp;S - Packaging and hh goods'!$AJ$19)*(AZ$3-$N$3)/10))-AZ27*'R&amp;S - Packaging and hh goods'!$N$4/SUM('R&amp;S - Packaging and hh goods'!$L$4:$N$4)*('R&amp;S - Packaging and hh goods'!$G$8*'R&amp;S - Packaging and hh goods'!$L$15*('R&amp;S - Packaging and hh goods'!$AK$19+('R&amp;S - Packaging and hh goods'!$AK$20-'R&amp;S - Packaging and hh goods'!$AK$19)*(AZ$3-$N$3)/10))-AZ27*'R&amp;S - Packaging and hh goods'!$N$4/SUM('R&amp;S - Packaging and hh goods'!$L$4:$N$4)*('R&amp;S - Packaging and hh goods'!$G$9*'R&amp;S - Packaging and hh goods'!$M$15*('R&amp;S - Packaging and hh goods'!$AL$19+('R&amp;S - Packaging and hh goods'!$AL$20-'R&amp;S - Packaging and hh goods'!$AL$19)*(AZ$3-$N$3)/10))-AZ27*'R&amp;S - Packaging and hh goods'!$N$4/SUM('R&amp;S - Packaging and hh goods'!$L$4:$N$4)*('R&amp;S - Packaging and hh goods'!$G$10*'R&amp;S - Packaging and hh goods'!$M$15*('R&amp;S - Packaging and hh goods'!$AM$19+('R&amp;S - Packaging and hh goods'!$AM$20-'R&amp;S - Packaging and hh goods'!$AM$19)*(AZ$3-$N$3)/10))</f>
        <v>39.976568451273202</v>
      </c>
      <c r="BA37" s="284">
        <f>BA27*'R&amp;S - Packaging and hh goods'!$N$4/SUM('R&amp;S - Packaging and hh goods'!$L$4:$N$4)-BA27*'R&amp;S - Packaging and hh goods'!$N$4/SUM('R&amp;S - Packaging and hh goods'!$L$4:$N$4)*('R&amp;S - Packaging and hh goods'!$G$7*'R&amp;S - Packaging and hh goods'!$L$15*('R&amp;S - Packaging and hh goods'!$AJ$19+('R&amp;S - Packaging and hh goods'!$AJ$20-'R&amp;S - Packaging and hh goods'!$AJ$19)*(BA$3-$N$3)/10))-BA27*'R&amp;S - Packaging and hh goods'!$N$4/SUM('R&amp;S - Packaging and hh goods'!$L$4:$N$4)*('R&amp;S - Packaging and hh goods'!$G$8*'R&amp;S - Packaging and hh goods'!$L$15*('R&amp;S - Packaging and hh goods'!$AK$19+('R&amp;S - Packaging and hh goods'!$AK$20-'R&amp;S - Packaging and hh goods'!$AK$19)*(BA$3-$N$3)/10))-BA27*'R&amp;S - Packaging and hh goods'!$N$4/SUM('R&amp;S - Packaging and hh goods'!$L$4:$N$4)*('R&amp;S - Packaging and hh goods'!$G$9*'R&amp;S - Packaging and hh goods'!$M$15*('R&amp;S - Packaging and hh goods'!$AL$19+('R&amp;S - Packaging and hh goods'!$AL$20-'R&amp;S - Packaging and hh goods'!$AL$19)*(BA$3-$N$3)/10))-BA27*'R&amp;S - Packaging and hh goods'!$N$4/SUM('R&amp;S - Packaging and hh goods'!$L$4:$N$4)*('R&amp;S - Packaging and hh goods'!$G$10*'R&amp;S - Packaging and hh goods'!$M$15*('R&amp;S - Packaging and hh goods'!$AM$19+('R&amp;S - Packaging and hh goods'!$AM$20-'R&amp;S - Packaging and hh goods'!$AM$19)*(BA$3-$N$3)/10))</f>
        <v>40.416310704237205</v>
      </c>
      <c r="BB37" s="284">
        <f>BB27*'R&amp;S - Packaging and hh goods'!$N$4/SUM('R&amp;S - Packaging and hh goods'!$L$4:$N$4)-BB27*'R&amp;S - Packaging and hh goods'!$N$4/SUM('R&amp;S - Packaging and hh goods'!$L$4:$N$4)*('R&amp;S - Packaging and hh goods'!$G$7*'R&amp;S - Packaging and hh goods'!$L$15*('R&amp;S - Packaging and hh goods'!$AJ$19+('R&amp;S - Packaging and hh goods'!$AJ$20-'R&amp;S - Packaging and hh goods'!$AJ$19)*(BB$3-$N$3)/10))-BB27*'R&amp;S - Packaging and hh goods'!$N$4/SUM('R&amp;S - Packaging and hh goods'!$L$4:$N$4)*('R&amp;S - Packaging and hh goods'!$G$8*'R&amp;S - Packaging and hh goods'!$L$15*('R&amp;S - Packaging and hh goods'!$AK$19+('R&amp;S - Packaging and hh goods'!$AK$20-'R&amp;S - Packaging and hh goods'!$AK$19)*(BB$3-$N$3)/10))-BB27*'R&amp;S - Packaging and hh goods'!$N$4/SUM('R&amp;S - Packaging and hh goods'!$L$4:$N$4)*('R&amp;S - Packaging and hh goods'!$G$9*'R&amp;S - Packaging and hh goods'!$M$15*('R&amp;S - Packaging and hh goods'!$AL$19+('R&amp;S - Packaging and hh goods'!$AL$20-'R&amp;S - Packaging and hh goods'!$AL$19)*(BB$3-$N$3)/10))-BB27*'R&amp;S - Packaging and hh goods'!$N$4/SUM('R&amp;S - Packaging and hh goods'!$L$4:$N$4)*('R&amp;S - Packaging and hh goods'!$G$10*'R&amp;S - Packaging and hh goods'!$M$15*('R&amp;S - Packaging and hh goods'!$AM$19+('R&amp;S - Packaging and hh goods'!$AM$20-'R&amp;S - Packaging and hh goods'!$AM$19)*(BB$3-$N$3)/10))</f>
        <v>40.860890121983807</v>
      </c>
      <c r="BC37" s="284">
        <f>BC27*'R&amp;S - Packaging and hh goods'!$N$4/SUM('R&amp;S - Packaging and hh goods'!$L$4:$N$4)-BC27*'R&amp;S - Packaging and hh goods'!$N$4/SUM('R&amp;S - Packaging and hh goods'!$L$4:$N$4)*('R&amp;S - Packaging and hh goods'!$G$7*'R&amp;S - Packaging and hh goods'!$L$15*('R&amp;S - Packaging and hh goods'!$AJ$19+('R&amp;S - Packaging and hh goods'!$AJ$20-'R&amp;S - Packaging and hh goods'!$AJ$19)*(BC$3-$N$3)/10))-BC27*'R&amp;S - Packaging and hh goods'!$N$4/SUM('R&amp;S - Packaging and hh goods'!$L$4:$N$4)*('R&amp;S - Packaging and hh goods'!$G$8*'R&amp;S - Packaging and hh goods'!$L$15*('R&amp;S - Packaging and hh goods'!$AK$19+('R&amp;S - Packaging and hh goods'!$AK$20-'R&amp;S - Packaging and hh goods'!$AK$19)*(BC$3-$N$3)/10))-BC27*'R&amp;S - Packaging and hh goods'!$N$4/SUM('R&amp;S - Packaging and hh goods'!$L$4:$N$4)*('R&amp;S - Packaging and hh goods'!$G$9*'R&amp;S - Packaging and hh goods'!$M$15*('R&amp;S - Packaging and hh goods'!$AL$19+('R&amp;S - Packaging and hh goods'!$AL$20-'R&amp;S - Packaging and hh goods'!$AL$19)*(BC$3-$N$3)/10))-BC27*'R&amp;S - Packaging and hh goods'!$N$4/SUM('R&amp;S - Packaging and hh goods'!$L$4:$N$4)*('R&amp;S - Packaging and hh goods'!$G$10*'R&amp;S - Packaging and hh goods'!$M$15*('R&amp;S - Packaging and hh goods'!$AM$19+('R&amp;S - Packaging and hh goods'!$AM$20-'R&amp;S - Packaging and hh goods'!$AM$19)*(BC$3-$N$3)/10))</f>
        <v>41.31035991332562</v>
      </c>
      <c r="BD37" s="284">
        <f>BD27*'R&amp;S - Packaging and hh goods'!$N$4/SUM('R&amp;S - Packaging and hh goods'!$L$4:$N$4)-BD27*'R&amp;S - Packaging and hh goods'!$N$4/SUM('R&amp;S - Packaging and hh goods'!$L$4:$N$4)*('R&amp;S - Packaging and hh goods'!$G$7*'R&amp;S - Packaging and hh goods'!$L$15*('R&amp;S - Packaging and hh goods'!$AJ$19+('R&amp;S - Packaging and hh goods'!$AJ$20-'R&amp;S - Packaging and hh goods'!$AJ$19)*(BD$3-$N$3)/10))-BD27*'R&amp;S - Packaging and hh goods'!$N$4/SUM('R&amp;S - Packaging and hh goods'!$L$4:$N$4)*('R&amp;S - Packaging and hh goods'!$G$8*'R&amp;S - Packaging and hh goods'!$L$15*('R&amp;S - Packaging and hh goods'!$AK$19+('R&amp;S - Packaging and hh goods'!$AK$20-'R&amp;S - Packaging and hh goods'!$AK$19)*(BD$3-$N$3)/10))-BD27*'R&amp;S - Packaging and hh goods'!$N$4/SUM('R&amp;S - Packaging and hh goods'!$L$4:$N$4)*('R&amp;S - Packaging and hh goods'!$G$9*'R&amp;S - Packaging and hh goods'!$M$15*('R&amp;S - Packaging and hh goods'!$AL$19+('R&amp;S - Packaging and hh goods'!$AL$20-'R&amp;S - Packaging and hh goods'!$AL$19)*(BD$3-$N$3)/10))-BD27*'R&amp;S - Packaging and hh goods'!$N$4/SUM('R&amp;S - Packaging and hh goods'!$L$4:$N$4)*('R&amp;S - Packaging and hh goods'!$G$10*'R&amp;S - Packaging and hh goods'!$M$15*('R&amp;S - Packaging and hh goods'!$AM$19+('R&amp;S - Packaging and hh goods'!$AM$20-'R&amp;S - Packaging and hh goods'!$AM$19)*(BD$3-$N$3)/10))</f>
        <v>41.764773872372203</v>
      </c>
      <c r="BE37" s="284">
        <f>BE27*'R&amp;S - Packaging and hh goods'!$N$4/SUM('R&amp;S - Packaging and hh goods'!$L$4:$N$4)-BE27*'R&amp;S - Packaging and hh goods'!$N$4/SUM('R&amp;S - Packaging and hh goods'!$L$4:$N$4)*('R&amp;S - Packaging and hh goods'!$G7*'R&amp;S - Packaging and hh goods'!$L$15*('R&amp;S - Packaging and hh goods'!$AJ$20+('R&amp;S - Packaging and hh goods'!$AJ$21-'R&amp;S - Packaging and hh goods'!$AJ$20)*(BE$3-$X$3)/10))-BE27*'R&amp;S - Packaging and hh goods'!$N$4/SUM('R&amp;S - Packaging and hh goods'!$L$4:$N$4)*('R&amp;S - Packaging and hh goods'!$G8*'R&amp;S - Packaging and hh goods'!$L$15*('R&amp;S - Packaging and hh goods'!$AK$20+('R&amp;S - Packaging and hh goods'!$AK$21-'R&amp;S - Packaging and hh goods'!$AK$20)*(BE$3-$X$3)/10))-BE27*'R&amp;S - Packaging and hh goods'!$N$4/SUM('R&amp;S - Packaging and hh goods'!$L$4:$N$4)*('R&amp;S - Packaging and hh goods'!$G9*'R&amp;S - Packaging and hh goods'!$M$15*('R&amp;S - Packaging and hh goods'!$AL$20+('R&amp;S - Packaging and hh goods'!$AL$21-'R&amp;S - Packaging and hh goods'!$AL$20)*(BE$3-$X$3)/10))-BE27*'R&amp;S - Packaging and hh goods'!$N$4/SUM('R&amp;S - Packaging and hh goods'!$L$4:$N$4)*('R&amp;S - Packaging and hh goods'!$G10*'R&amp;S - Packaging and hh goods'!$M$15*('R&amp;S - Packaging and hh goods'!$AM$20+('R&amp;S - Packaging and hh goods'!$AM$21-'R&amp;S - Packaging and hh goods'!$AM$20)*(BE$3-$X$3)/10))</f>
        <v>42.224186384968291</v>
      </c>
      <c r="BF37" s="284">
        <f>BF27*'R&amp;S - Packaging and hh goods'!$N$4/SUM('R&amp;S - Packaging and hh goods'!$L$4:$N$4)-BF27*'R&amp;S - Packaging and hh goods'!$N$4/SUM('R&amp;S - Packaging and hh goods'!$L$4:$N$4)*('R&amp;S - Packaging and hh goods'!$G7*'R&amp;S - Packaging and hh goods'!$L$15*('R&amp;S - Packaging and hh goods'!$AJ$20+('R&amp;S - Packaging and hh goods'!$AJ$21-'R&amp;S - Packaging and hh goods'!$AJ$20)*(BF$3-$X$3)/10))-BF27*'R&amp;S - Packaging and hh goods'!$N$4/SUM('R&amp;S - Packaging and hh goods'!$L$4:$N$4)*('R&amp;S - Packaging and hh goods'!$G8*'R&amp;S - Packaging and hh goods'!$L$15*('R&amp;S - Packaging and hh goods'!$AK$20+('R&amp;S - Packaging and hh goods'!$AK$21-'R&amp;S - Packaging and hh goods'!$AK$20)*(BF$3-$X$3)/10))-BF27*'R&amp;S - Packaging and hh goods'!$N$4/SUM('R&amp;S - Packaging and hh goods'!$L$4:$N$4)*('R&amp;S - Packaging and hh goods'!$G9*'R&amp;S - Packaging and hh goods'!$M$15*('R&amp;S - Packaging and hh goods'!$AL$20+('R&amp;S - Packaging and hh goods'!$AL$21-'R&amp;S - Packaging and hh goods'!$AL$20)*(BF$3-$X$3)/10))-BF27*'R&amp;S - Packaging and hh goods'!$N$4/SUM('R&amp;S - Packaging and hh goods'!$L$4:$N$4)*('R&amp;S - Packaging and hh goods'!$G10*'R&amp;S - Packaging and hh goods'!$M$15*('R&amp;S - Packaging and hh goods'!$AM$20+('R&amp;S - Packaging and hh goods'!$AM$21-'R&amp;S - Packaging and hh goods'!$AM$20)*(BF$3-$X$3)/10))</f>
        <v>42.688652435202933</v>
      </c>
      <c r="BG37" s="284">
        <f>BG27*'R&amp;S - Packaging and hh goods'!$N$4/SUM('R&amp;S - Packaging and hh goods'!$L$4:$N$4)-BG27*'R&amp;S - Packaging and hh goods'!$N$4/SUM('R&amp;S - Packaging and hh goods'!$L$4:$N$4)*('R&amp;S - Packaging and hh goods'!$G7*'R&amp;S - Packaging and hh goods'!$L$15*('R&amp;S - Packaging and hh goods'!$AJ$20+('R&amp;S - Packaging and hh goods'!$AJ$21-'R&amp;S - Packaging and hh goods'!$AJ$20)*(BG$3-$X$3)/10))-BG27*'R&amp;S - Packaging and hh goods'!$N$4/SUM('R&amp;S - Packaging and hh goods'!$L$4:$N$4)*('R&amp;S - Packaging and hh goods'!$G8*'R&amp;S - Packaging and hh goods'!$L$15*('R&amp;S - Packaging and hh goods'!$AK$20+('R&amp;S - Packaging and hh goods'!$AK$21-'R&amp;S - Packaging and hh goods'!$AK$20)*(BG$3-$X$3)/10))-BG27*'R&amp;S - Packaging and hh goods'!$N$4/SUM('R&amp;S - Packaging and hh goods'!$L$4:$N$4)*('R&amp;S - Packaging and hh goods'!$G9*'R&amp;S - Packaging and hh goods'!$M$15*('R&amp;S - Packaging and hh goods'!$AL$20+('R&amp;S - Packaging and hh goods'!$AL$21-'R&amp;S - Packaging and hh goods'!$AL$20)*(BG$3-$X$3)/10))-BG27*'R&amp;S - Packaging and hh goods'!$N$4/SUM('R&amp;S - Packaging and hh goods'!$L$4:$N$4)*('R&amp;S - Packaging and hh goods'!$G10*'R&amp;S - Packaging and hh goods'!$M$15*('R&amp;S - Packaging and hh goods'!$AM$20+('R&amp;S - Packaging and hh goods'!$AM$21-'R&amp;S - Packaging and hh goods'!$AM$20)*(BG$3-$X$3)/10))</f>
        <v>43.158227611990164</v>
      </c>
      <c r="BH37" s="284">
        <f>BH27*'R&amp;S - Packaging and hh goods'!$N$4/SUM('R&amp;S - Packaging and hh goods'!$L$4:$N$4)-BH27*'R&amp;S - Packaging and hh goods'!$N$4/SUM('R&amp;S - Packaging and hh goods'!$L$4:$N$4)*('R&amp;S - Packaging and hh goods'!$G7*'R&amp;S - Packaging and hh goods'!$L$15*('R&amp;S - Packaging and hh goods'!$AJ$20+('R&amp;S - Packaging and hh goods'!$AJ$21-'R&amp;S - Packaging and hh goods'!$AJ$20)*(BH$3-$X$3)/10))-BH27*'R&amp;S - Packaging and hh goods'!$N$4/SUM('R&amp;S - Packaging and hh goods'!$L$4:$N$4)*('R&amp;S - Packaging and hh goods'!$G8*'R&amp;S - Packaging and hh goods'!$L$15*('R&amp;S - Packaging and hh goods'!$AK$20+('R&amp;S - Packaging and hh goods'!$AK$21-'R&amp;S - Packaging and hh goods'!$AK$20)*(BH$3-$X$3)/10))-BH27*'R&amp;S - Packaging and hh goods'!$N$4/SUM('R&amp;S - Packaging and hh goods'!$L$4:$N$4)*('R&amp;S - Packaging and hh goods'!$G9*'R&amp;S - Packaging and hh goods'!$M$15*('R&amp;S - Packaging and hh goods'!$AL$20+('R&amp;S - Packaging and hh goods'!$AL$21-'R&amp;S - Packaging and hh goods'!$AL$20)*(BH$3-$X$3)/10))-BH27*'R&amp;S - Packaging and hh goods'!$N$4/SUM('R&amp;S - Packaging and hh goods'!$L$4:$N$4)*('R&amp;S - Packaging and hh goods'!$G10*'R&amp;S - Packaging and hh goods'!$M$15*('R&amp;S - Packaging and hh goods'!$AM$20+('R&amp;S - Packaging and hh goods'!$AM$21-'R&amp;S - Packaging and hh goods'!$AM$20)*(BH$3-$X$3)/10))</f>
        <v>43.632968115722051</v>
      </c>
      <c r="BI37" s="284">
        <f>BI27*'R&amp;S - Packaging and hh goods'!$N$4/SUM('R&amp;S - Packaging and hh goods'!$L$4:$N$4)-BI27*'R&amp;S - Packaging and hh goods'!$N$4/SUM('R&amp;S - Packaging and hh goods'!$L$4:$N$4)*('R&amp;S - Packaging and hh goods'!$G7*'R&amp;S - Packaging and hh goods'!$L$15*('R&amp;S - Packaging and hh goods'!$AJ$20+('R&amp;S - Packaging and hh goods'!$AJ$21-'R&amp;S - Packaging and hh goods'!$AJ$20)*(BI$3-$X$3)/10))-BI27*'R&amp;S - Packaging and hh goods'!$N$4/SUM('R&amp;S - Packaging and hh goods'!$L$4:$N$4)*('R&amp;S - Packaging and hh goods'!$G8*'R&amp;S - Packaging and hh goods'!$L$15*('R&amp;S - Packaging and hh goods'!$AK$20+('R&amp;S - Packaging and hh goods'!$AK$21-'R&amp;S - Packaging and hh goods'!$AK$20)*(BI$3-$X$3)/10))-BI27*'R&amp;S - Packaging and hh goods'!$N$4/SUM('R&amp;S - Packaging and hh goods'!$L$4:$N$4)*('R&amp;S - Packaging and hh goods'!$G9*'R&amp;S - Packaging and hh goods'!$M$15*('R&amp;S - Packaging and hh goods'!$AL$20+('R&amp;S - Packaging and hh goods'!$AL$21-'R&amp;S - Packaging and hh goods'!$AL$20)*(BI$3-$X$3)/10))-BI27*'R&amp;S - Packaging and hh goods'!$N$4/SUM('R&amp;S - Packaging and hh goods'!$L$4:$N$4)*('R&amp;S - Packaging and hh goods'!$G10*'R&amp;S - Packaging and hh goods'!$M$15*('R&amp;S - Packaging and hh goods'!$AM$20+('R&amp;S - Packaging and hh goods'!$AM$21-'R&amp;S - Packaging and hh goods'!$AM$20)*(BI$3-$X$3)/10))</f>
        <v>44.112930764994992</v>
      </c>
      <c r="BJ37" s="284">
        <f>BJ27*'R&amp;S - Packaging and hh goods'!$N$4/SUM('R&amp;S - Packaging and hh goods'!$L$4:$N$4)-BJ27*'R&amp;S - Packaging and hh goods'!$N$4/SUM('R&amp;S - Packaging and hh goods'!$L$4:$N$4)*('R&amp;S - Packaging and hh goods'!$G7*'R&amp;S - Packaging and hh goods'!$L$15*('R&amp;S - Packaging and hh goods'!$AJ$20+('R&amp;S - Packaging and hh goods'!$AJ$21-'R&amp;S - Packaging and hh goods'!$AJ$20)*(BJ$3-$X$3)/10))-BJ27*'R&amp;S - Packaging and hh goods'!$N$4/SUM('R&amp;S - Packaging and hh goods'!$L$4:$N$4)*('R&amp;S - Packaging and hh goods'!$G8*'R&amp;S - Packaging and hh goods'!$L$15*('R&amp;S - Packaging and hh goods'!$AK$20+('R&amp;S - Packaging and hh goods'!$AK$21-'R&amp;S - Packaging and hh goods'!$AK$20)*(BJ$3-$X$3)/10))-BJ27*'R&amp;S - Packaging and hh goods'!$N$4/SUM('R&amp;S - Packaging and hh goods'!$L$4:$N$4)*('R&amp;S - Packaging and hh goods'!$G9*'R&amp;S - Packaging and hh goods'!$M$15*('R&amp;S - Packaging and hh goods'!$AL$20+('R&amp;S - Packaging and hh goods'!$AL$21-'R&amp;S - Packaging and hh goods'!$AL$20)*(BJ$3-$X$3)/10))-BJ27*'R&amp;S - Packaging and hh goods'!$N$4/SUM('R&amp;S - Packaging and hh goods'!$L$4:$N$4)*('R&amp;S - Packaging and hh goods'!$G10*'R&amp;S - Packaging and hh goods'!$M$15*('R&amp;S - Packaging and hh goods'!$AM$20+('R&amp;S - Packaging and hh goods'!$AM$21-'R&amp;S - Packaging and hh goods'!$AM$20)*(BJ$3-$X$3)/10))</f>
        <v>44.598173003409933</v>
      </c>
      <c r="BK37" s="284">
        <f>BK27*'R&amp;S - Packaging and hh goods'!$N$4/SUM('R&amp;S - Packaging and hh goods'!$L$4:$N$4)-BK27*'R&amp;S - Packaging and hh goods'!$N$4/SUM('R&amp;S - Packaging and hh goods'!$L$4:$N$4)*('R&amp;S - Packaging and hh goods'!$G7*'R&amp;S - Packaging and hh goods'!$L$15*('R&amp;S - Packaging and hh goods'!$AJ$20+('R&amp;S - Packaging and hh goods'!$AJ$21-'R&amp;S - Packaging and hh goods'!$AJ$20)*(BK$3-$X$3)/10))-BK27*'R&amp;S - Packaging and hh goods'!$N$4/SUM('R&amp;S - Packaging and hh goods'!$L$4:$N$4)*('R&amp;S - Packaging and hh goods'!$G8*'R&amp;S - Packaging and hh goods'!$L$15*('R&amp;S - Packaging and hh goods'!$AK$20+('R&amp;S - Packaging and hh goods'!$AK$21-'R&amp;S - Packaging and hh goods'!$AK$20)*(BK$3-$X$3)/10))-BK27*'R&amp;S - Packaging and hh goods'!$N$4/SUM('R&amp;S - Packaging and hh goods'!$L$4:$N$4)*('R&amp;S - Packaging and hh goods'!$G9*'R&amp;S - Packaging and hh goods'!$M$15*('R&amp;S - Packaging and hh goods'!$AL$20+('R&amp;S - Packaging and hh goods'!$AL$21-'R&amp;S - Packaging and hh goods'!$AL$20)*(BK$3-$X$3)/10))-BK27*'R&amp;S - Packaging and hh goods'!$N$4/SUM('R&amp;S - Packaging and hh goods'!$L$4:$N$4)*('R&amp;S - Packaging and hh goods'!$G10*'R&amp;S - Packaging and hh goods'!$M$15*('R&amp;S - Packaging and hh goods'!$AM$20+('R&amp;S - Packaging and hh goods'!$AM$21-'R&amp;S - Packaging and hh goods'!$AM$20)*(BK$3-$X$3)/10))</f>
        <v>45.088752906447432</v>
      </c>
      <c r="BL37" s="284">
        <f>BL27*'R&amp;S - Packaging and hh goods'!$N$4/SUM('R&amp;S - Packaging and hh goods'!$L$4:$N$4)-BL27*'R&amp;S - Packaging and hh goods'!$N$4/SUM('R&amp;S - Packaging and hh goods'!$L$4:$N$4)*('R&amp;S - Packaging and hh goods'!$G7*'R&amp;S - Packaging and hh goods'!$L$15*('R&amp;S - Packaging and hh goods'!$AJ$20+('R&amp;S - Packaging and hh goods'!$AJ$21-'R&amp;S - Packaging and hh goods'!$AJ$20)*(BL$3-$X$3)/10))-BL27*'R&amp;S - Packaging and hh goods'!$N$4/SUM('R&amp;S - Packaging and hh goods'!$L$4:$N$4)*('R&amp;S - Packaging and hh goods'!$G8*'R&amp;S - Packaging and hh goods'!$L$15*('R&amp;S - Packaging and hh goods'!$AK$20+('R&amp;S - Packaging and hh goods'!$AK$21-'R&amp;S - Packaging and hh goods'!$AK$20)*(BL$3-$X$3)/10))-BL27*'R&amp;S - Packaging and hh goods'!$N$4/SUM('R&amp;S - Packaging and hh goods'!$L$4:$N$4)*('R&amp;S - Packaging and hh goods'!$G9*'R&amp;S - Packaging and hh goods'!$M$15*('R&amp;S - Packaging and hh goods'!$AL$20+('R&amp;S - Packaging and hh goods'!$AL$21-'R&amp;S - Packaging and hh goods'!$AL$20)*(BL$3-$X$3)/10))-BL27*'R&amp;S - Packaging and hh goods'!$N$4/SUM('R&amp;S - Packaging and hh goods'!$L$4:$N$4)*('R&amp;S - Packaging and hh goods'!$G10*'R&amp;S - Packaging and hh goods'!$M$15*('R&amp;S - Packaging and hh goods'!$AM$20+('R&amp;S - Packaging and hh goods'!$AM$21-'R&amp;S - Packaging and hh goods'!$AM$20)*(BL$3-$X$3)/10))</f>
        <v>45.584729188418351</v>
      </c>
      <c r="BM37" s="284">
        <f>BM27*'R&amp;S - Packaging and hh goods'!$N$4/SUM('R&amp;S - Packaging and hh goods'!$L$4:$N$4)-BM27*'R&amp;S - Packaging and hh goods'!$N$4/SUM('R&amp;S - Packaging and hh goods'!$L$4:$N$4)*('R&amp;S - Packaging and hh goods'!$G7*'R&amp;S - Packaging and hh goods'!$L$15*('R&amp;S - Packaging and hh goods'!$AJ$20+('R&amp;S - Packaging and hh goods'!$AJ$21-'R&amp;S - Packaging and hh goods'!$AJ$20)*(BM$3-$X$3)/10))-BM27*'R&amp;S - Packaging and hh goods'!$N$4/SUM('R&amp;S - Packaging and hh goods'!$L$4:$N$4)*('R&amp;S - Packaging and hh goods'!$G8*'R&amp;S - Packaging and hh goods'!$L$15*('R&amp;S - Packaging and hh goods'!$AK$20+('R&amp;S - Packaging and hh goods'!$AK$21-'R&amp;S - Packaging and hh goods'!$AK$20)*(BM$3-$X$3)/10))-BM27*'R&amp;S - Packaging and hh goods'!$N$4/SUM('R&amp;S - Packaging and hh goods'!$L$4:$N$4)*('R&amp;S - Packaging and hh goods'!$G9*'R&amp;S - Packaging and hh goods'!$M$15*('R&amp;S - Packaging and hh goods'!$AL$20+('R&amp;S - Packaging and hh goods'!$AL$21-'R&amp;S - Packaging and hh goods'!$AL$20)*(BM$3-$X$3)/10))-BM27*'R&amp;S - Packaging and hh goods'!$N$4/SUM('R&amp;S - Packaging and hh goods'!$L$4:$N$4)*('R&amp;S - Packaging and hh goods'!$G10*'R&amp;S - Packaging and hh goods'!$M$15*('R&amp;S - Packaging and hh goods'!$AM$20+('R&amp;S - Packaging and hh goods'!$AM$21-'R&amp;S - Packaging and hh goods'!$AM$20)*(BM$3-$X$3)/10))</f>
        <v>46.086161209490946</v>
      </c>
      <c r="BN37" s="284">
        <f>BN27*'R&amp;S - Packaging and hh goods'!$N$4/SUM('R&amp;S - Packaging and hh goods'!$L$4:$N$4)-BN27*'R&amp;S - Packaging and hh goods'!$N$4/SUM('R&amp;S - Packaging and hh goods'!$L$4:$N$4)*('R&amp;S - Packaging and hh goods'!$G7*'R&amp;S - Packaging and hh goods'!$L$15*('R&amp;S - Packaging and hh goods'!$AJ$20+('R&amp;S - Packaging and hh goods'!$AJ$21-'R&amp;S - Packaging and hh goods'!$AJ$20)*(BN$3-$X$3)/10))-BN27*'R&amp;S - Packaging and hh goods'!$N$4/SUM('R&amp;S - Packaging and hh goods'!$L$4:$N$4)*('R&amp;S - Packaging and hh goods'!$G8*'R&amp;S - Packaging and hh goods'!$L$15*('R&amp;S - Packaging and hh goods'!$AK$20+('R&amp;S - Packaging and hh goods'!$AK$21-'R&amp;S - Packaging and hh goods'!$AK$20)*(BN$3-$X$3)/10))-BN27*'R&amp;S - Packaging and hh goods'!$N$4/SUM('R&amp;S - Packaging and hh goods'!$L$4:$N$4)*('R&amp;S - Packaging and hh goods'!$G9*'R&amp;S - Packaging and hh goods'!$M$15*('R&amp;S - Packaging and hh goods'!$AL$20+('R&amp;S - Packaging and hh goods'!$AL$21-'R&amp;S - Packaging and hh goods'!$AL$20)*(BN$3-$X$3)/10))-BN27*'R&amp;S - Packaging and hh goods'!$N$4/SUM('R&amp;S - Packaging and hh goods'!$L$4:$N$4)*('R&amp;S - Packaging and hh goods'!$G10*'R&amp;S - Packaging and hh goods'!$M$15*('R&amp;S - Packaging and hh goods'!$AM$20+('R&amp;S - Packaging and hh goods'!$AM$21-'R&amp;S - Packaging and hh goods'!$AM$20)*(BN$3-$X$3)/10))</f>
        <v>46.593108982795343</v>
      </c>
    </row>
    <row r="38" spans="1:75" s="1" customFormat="1" outlineLevel="1">
      <c r="A38" s="58" t="s">
        <v>204</v>
      </c>
      <c r="B38" s="58" t="s">
        <v>199</v>
      </c>
      <c r="C38" s="100" t="s">
        <v>153</v>
      </c>
      <c r="D38" s="101">
        <f>SUM('R&amp;S - Buildings'!L4:N4)</f>
        <v>14.733107457344531</v>
      </c>
      <c r="E38" s="101">
        <f>D38*(1+'R&amp;S - Buildings'!$E$5)</f>
        <v>14.894513858633186</v>
      </c>
      <c r="F38" s="101">
        <f>E38*(1+'R&amp;S - Buildings'!$E$5)</f>
        <v>15.057688524115418</v>
      </c>
      <c r="G38" s="101">
        <f>F38*(1+'R&amp;S - Buildings'!$E$5)</f>
        <v>15.222650825750664</v>
      </c>
      <c r="H38" s="101">
        <f>G38*(1+'R&amp;S - Buildings'!$E$5)</f>
        <v>15.389420347725022</v>
      </c>
      <c r="I38" s="101">
        <f>H38*(1+'R&amp;S - Buildings'!$E$5)</f>
        <v>15.558016888776274</v>
      </c>
      <c r="J38" s="101">
        <f>I38*(1+'R&amp;S - Buildings'!$E$5)</f>
        <v>15.728460464544376</v>
      </c>
      <c r="K38" s="101">
        <f>J38*(1+'R&amp;S - Buildings'!$E$5)</f>
        <v>15.900771309947697</v>
      </c>
      <c r="L38" s="101">
        <f>K38*(1+'R&amp;S - Buildings'!$E$5)</f>
        <v>16.074969881585289</v>
      </c>
      <c r="M38" s="101">
        <f>L38*(1+'R&amp;S - Buildings'!$E$5)</f>
        <v>16.25107686016548</v>
      </c>
      <c r="N38" s="101">
        <f>M38*(1+'R&amp;S - Buildings'!$E$5)</f>
        <v>16.429113152961069</v>
      </c>
      <c r="O38" s="101">
        <f>N38*(1+'R&amp;S - Buildings'!$E$5)</f>
        <v>16.609099896291422</v>
      </c>
      <c r="P38" s="101">
        <f>O38*(1+'R&amp;S - Buildings'!$E$5)</f>
        <v>16.791058458031756</v>
      </c>
      <c r="Q38" s="101">
        <f>P38*(1+'R&amp;S - Buildings'!$E$5)</f>
        <v>16.975010440149916</v>
      </c>
      <c r="R38" s="101">
        <f>Q38*(1+'R&amp;S - Buildings'!$E$5)</f>
        <v>17.160977681270939</v>
      </c>
      <c r="S38" s="101">
        <f>R38*(1+'R&amp;S - Buildings'!$E$5)</f>
        <v>17.348982259269729</v>
      </c>
      <c r="T38" s="101">
        <f>S38*(1+'R&amp;S - Buildings'!$E$5)</f>
        <v>17.539046493892108</v>
      </c>
      <c r="U38" s="101">
        <f>T38*(1+'R&amp;S - Buildings'!$E$5)</f>
        <v>17.731192949404608</v>
      </c>
      <c r="V38" s="101">
        <f>U38*(1+'R&amp;S - Buildings'!$E$5)</f>
        <v>17.925444437273278</v>
      </c>
      <c r="W38" s="101">
        <f>V38*(1+'R&amp;S - Buildings'!$E$5)</f>
        <v>18.121824018871845</v>
      </c>
      <c r="X38" s="101">
        <f>W38*(1+'R&amp;S - Buildings'!$E$5)</f>
        <v>18.320355008219533</v>
      </c>
      <c r="Y38" s="101">
        <f>X38*(1+'R&amp;S - Buildings'!$E$5)</f>
        <v>18.521060974748895</v>
      </c>
      <c r="Z38" s="101">
        <f>Y38*(1+'R&amp;S - Buildings'!$E$5)</f>
        <v>18.723965746103953</v>
      </c>
      <c r="AA38" s="101">
        <f>Z38*(1+'R&amp;S - Buildings'!$E$5)</f>
        <v>18.929093410968989</v>
      </c>
      <c r="AB38" s="101">
        <f>AA38*(1+'R&amp;S - Buildings'!$E$5)</f>
        <v>19.136468321928334</v>
      </c>
      <c r="AC38" s="101">
        <f>AB38*(1+'R&amp;S - Buildings'!$E$5)</f>
        <v>19.346115098357501</v>
      </c>
      <c r="AD38" s="101">
        <f>AC38*(1+'R&amp;S - Buildings'!$E$5)</f>
        <v>19.558058629345961</v>
      </c>
      <c r="AE38" s="101">
        <f>AD38*(1+'R&amp;S - Buildings'!$E$5)</f>
        <v>19.772324076651959</v>
      </c>
      <c r="AF38" s="101">
        <f>AE38*(1+'R&amp;S - Buildings'!$E$5)</f>
        <v>19.988936877689699</v>
      </c>
      <c r="AG38" s="101">
        <f>AF38*(1+'R&amp;S - Buildings'!$E$5)</f>
        <v>20.207922748549255</v>
      </c>
      <c r="AH38" s="101">
        <f>AG38*(1+'R&amp;S - Buildings'!$E$5)</f>
        <v>20.429307687049551</v>
      </c>
      <c r="AJ38" s="101">
        <f>D38</f>
        <v>14.733107457344531</v>
      </c>
      <c r="AK38" s="101">
        <f t="shared" ref="AK38:BN38" si="34">E38</f>
        <v>14.894513858633186</v>
      </c>
      <c r="AL38" s="101">
        <f t="shared" si="34"/>
        <v>15.057688524115418</v>
      </c>
      <c r="AM38" s="101">
        <f t="shared" si="34"/>
        <v>15.222650825750664</v>
      </c>
      <c r="AN38" s="101">
        <f t="shared" si="34"/>
        <v>15.389420347725022</v>
      </c>
      <c r="AO38" s="101">
        <f t="shared" si="34"/>
        <v>15.558016888776274</v>
      </c>
      <c r="AP38" s="101">
        <f t="shared" si="34"/>
        <v>15.728460464544376</v>
      </c>
      <c r="AQ38" s="101">
        <f t="shared" si="34"/>
        <v>15.900771309947697</v>
      </c>
      <c r="AR38" s="101">
        <f t="shared" si="34"/>
        <v>16.074969881585289</v>
      </c>
      <c r="AS38" s="101">
        <f t="shared" si="34"/>
        <v>16.25107686016548</v>
      </c>
      <c r="AT38" s="101">
        <f t="shared" si="34"/>
        <v>16.429113152961069</v>
      </c>
      <c r="AU38" s="101">
        <f t="shared" si="34"/>
        <v>16.609099896291422</v>
      </c>
      <c r="AV38" s="101">
        <f t="shared" si="34"/>
        <v>16.791058458031756</v>
      </c>
      <c r="AW38" s="101">
        <f t="shared" si="34"/>
        <v>16.975010440149916</v>
      </c>
      <c r="AX38" s="101">
        <f t="shared" si="34"/>
        <v>17.160977681270939</v>
      </c>
      <c r="AY38" s="101">
        <f t="shared" si="34"/>
        <v>17.348982259269729</v>
      </c>
      <c r="AZ38" s="101">
        <f t="shared" si="34"/>
        <v>17.539046493892108</v>
      </c>
      <c r="BA38" s="101">
        <f t="shared" si="34"/>
        <v>17.731192949404608</v>
      </c>
      <c r="BB38" s="101">
        <f t="shared" si="34"/>
        <v>17.925444437273278</v>
      </c>
      <c r="BC38" s="101">
        <f t="shared" si="34"/>
        <v>18.121824018871845</v>
      </c>
      <c r="BD38" s="101">
        <f t="shared" si="34"/>
        <v>18.320355008219533</v>
      </c>
      <c r="BE38" s="101">
        <f t="shared" si="34"/>
        <v>18.521060974748895</v>
      </c>
      <c r="BF38" s="101">
        <f t="shared" si="34"/>
        <v>18.723965746103953</v>
      </c>
      <c r="BG38" s="101">
        <f t="shared" si="34"/>
        <v>18.929093410968989</v>
      </c>
      <c r="BH38" s="101">
        <f t="shared" si="34"/>
        <v>19.136468321928334</v>
      </c>
      <c r="BI38" s="101">
        <f t="shared" si="34"/>
        <v>19.346115098357501</v>
      </c>
      <c r="BJ38" s="101">
        <f t="shared" si="34"/>
        <v>19.558058629345961</v>
      </c>
      <c r="BK38" s="101">
        <f t="shared" si="34"/>
        <v>19.772324076651959</v>
      </c>
      <c r="BL38" s="101">
        <f t="shared" si="34"/>
        <v>19.988936877689699</v>
      </c>
      <c r="BM38" s="101">
        <f t="shared" si="34"/>
        <v>20.207922748549255</v>
      </c>
      <c r="BN38" s="101">
        <f t="shared" si="34"/>
        <v>20.429307687049551</v>
      </c>
    </row>
    <row r="39" spans="1:75" outlineLevel="1">
      <c r="B39" s="1" t="s">
        <v>168</v>
      </c>
      <c r="C39" s="54" t="s">
        <v>153</v>
      </c>
      <c r="D39">
        <v>0</v>
      </c>
      <c r="E39" s="43">
        <f>E38*'R&amp;S - Buildings'!$E$7*'R&amp;S - Buildings'!$B$11*'R&amp;S - Buildings'!$B$15*('Yearly BTX'!E$3-'Yearly BTX'!$D$3)/10</f>
        <v>0</v>
      </c>
      <c r="F39" s="43">
        <f>F38*'R&amp;S - Buildings'!$E$7*'R&amp;S - Buildings'!$B$11*'R&amp;S - Buildings'!$B$15*('Yearly BTX'!F$3-'Yearly BTX'!$D$3)/10</f>
        <v>0</v>
      </c>
      <c r="G39" s="43">
        <f>G38*'R&amp;S - Buildings'!$E$7*'R&amp;S - Buildings'!$B$11*'R&amp;S - Buildings'!$B$15*('Yearly BTX'!G$3-'Yearly BTX'!$D$3)/10</f>
        <v>0</v>
      </c>
      <c r="H39" s="43">
        <f>H38*'R&amp;S - Buildings'!$E$7*'R&amp;S - Buildings'!$B$11*'R&amp;S - Buildings'!$B$15*('Yearly BTX'!H$3-'Yearly BTX'!$D$3)/10</f>
        <v>0</v>
      </c>
      <c r="I39" s="43">
        <f>I38*'R&amp;S - Buildings'!$E$7*'R&amp;S - Buildings'!$B$11*'R&amp;S - Buildings'!$B$15*('Yearly BTX'!I$3-'Yearly BTX'!$D$3)/10</f>
        <v>0</v>
      </c>
      <c r="J39" s="43">
        <f>J38*'R&amp;S - Buildings'!$E$7*'R&amp;S - Buildings'!$B$11*'R&amp;S - Buildings'!$B$15*('Yearly BTX'!J$3-'Yearly BTX'!$D$3)/10</f>
        <v>0</v>
      </c>
      <c r="K39" s="43">
        <f>K38*'R&amp;S - Buildings'!$E$7*'R&amp;S - Buildings'!$B$11*'R&amp;S - Buildings'!$B$15*('Yearly BTX'!K$3-'Yearly BTX'!$D$3)/10</f>
        <v>0</v>
      </c>
      <c r="L39" s="43">
        <f>L38*'R&amp;S - Buildings'!$E$7*'R&amp;S - Buildings'!$B$11*'R&amp;S - Buildings'!$B$15*('Yearly BTX'!L$3-'Yearly BTX'!$D$3)/10</f>
        <v>0</v>
      </c>
      <c r="M39" s="43">
        <f>M38*'R&amp;S - Buildings'!$E$7*'R&amp;S - Buildings'!$B$11*'R&amp;S - Buildings'!$B$15*('Yearly BTX'!M$3-'Yearly BTX'!$D$3)/10</f>
        <v>0</v>
      </c>
      <c r="N39" s="43">
        <f>N38*'R&amp;S - Buildings'!$E$7*'R&amp;S - Buildings'!$B$11*'R&amp;S - Buildings'!$B$15*('Yearly BTX'!N$3-'Yearly BTX'!$D$3)/10</f>
        <v>0</v>
      </c>
      <c r="O39" s="43">
        <f>O38*'R&amp;S - Buildings'!$E$7*('R&amp;S - Buildings'!$B$11*('R&amp;S - Buildings'!$B$15+('R&amp;S - Buildings'!$B$16-'R&amp;S - Buildings'!$B$15)*('Yearly BTX'!O$3-'Yearly BTX'!$N$3)/10))</f>
        <v>0</v>
      </c>
      <c r="P39" s="43">
        <f>P38*'R&amp;S - Buildings'!$E$7*('R&amp;S - Buildings'!$B$11*('R&amp;S - Buildings'!$B$15+('R&amp;S - Buildings'!$B$16-'R&amp;S - Buildings'!$B$15)*('Yearly BTX'!P$3-'Yearly BTX'!$N$3)/10))</f>
        <v>0</v>
      </c>
      <c r="Q39" s="43">
        <f>Q38*'R&amp;S - Buildings'!$E$7*('R&amp;S - Buildings'!$B$11*('R&amp;S - Buildings'!$B$15+('R&amp;S - Buildings'!$B$16-'R&amp;S - Buildings'!$B$15)*('Yearly BTX'!Q$3-'Yearly BTX'!$N$3)/10))</f>
        <v>0</v>
      </c>
      <c r="R39" s="43">
        <f>R38*'R&amp;S - Buildings'!$E$7*('R&amp;S - Buildings'!$B$11*('R&amp;S - Buildings'!$B$15+('R&amp;S - Buildings'!$B$16-'R&amp;S - Buildings'!$B$15)*('Yearly BTX'!R$3-'Yearly BTX'!$N$3)/10))</f>
        <v>0</v>
      </c>
      <c r="S39" s="43">
        <f>S38*'R&amp;S - Buildings'!$E$7*('R&amp;S - Buildings'!$B$11*('R&amp;S - Buildings'!$B$15+('R&amp;S - Buildings'!$B$16-'R&amp;S - Buildings'!$B$15)*('Yearly BTX'!S$3-'Yearly BTX'!$N$3)/10))</f>
        <v>0</v>
      </c>
      <c r="T39" s="43">
        <f>T38*'R&amp;S - Buildings'!$E$7*('R&amp;S - Buildings'!$B$11*('R&amp;S - Buildings'!$B$15+('R&amp;S - Buildings'!$B$16-'R&amp;S - Buildings'!$B$15)*('Yearly BTX'!T$3-'Yearly BTX'!$N$3)/10))</f>
        <v>0</v>
      </c>
      <c r="U39" s="43">
        <f>U38*'R&amp;S - Buildings'!$E$7*('R&amp;S - Buildings'!$B$11*('R&amp;S - Buildings'!$B$15+('R&amp;S - Buildings'!$B$16-'R&amp;S - Buildings'!$B$15)*('Yearly BTX'!U$3-'Yearly BTX'!$N$3)/10))</f>
        <v>0</v>
      </c>
      <c r="V39" s="43">
        <f>V38*'R&amp;S - Buildings'!$E$7*('R&amp;S - Buildings'!$B$11*('R&amp;S - Buildings'!$B$15+('R&amp;S - Buildings'!$B$16-'R&amp;S - Buildings'!$B$15)*('Yearly BTX'!V$3-'Yearly BTX'!$N$3)/10))</f>
        <v>0</v>
      </c>
      <c r="W39" s="43">
        <f>W38*'R&amp;S - Buildings'!$E$7*('R&amp;S - Buildings'!$B$11*('R&amp;S - Buildings'!$B$15+('R&amp;S - Buildings'!$B$16-'R&amp;S - Buildings'!$B$15)*('Yearly BTX'!W$3-'Yearly BTX'!$N$3)/10))</f>
        <v>0</v>
      </c>
      <c r="X39" s="43">
        <f>X38*'R&amp;S - Buildings'!$E$7*('R&amp;S - Buildings'!$B$11*('R&amp;S - Buildings'!$B$15+('R&amp;S - Buildings'!$B$16-'R&amp;S - Buildings'!$B$15)*('Yearly BTX'!X$3-'Yearly BTX'!$N$3)/10))</f>
        <v>0</v>
      </c>
      <c r="Y39" s="43">
        <f>Y38*'R&amp;S - Buildings'!$E$7*('R&amp;S - Buildings'!$B$11*('R&amp;S - Buildings'!$B$16+('R&amp;S - Buildings'!$B$17-'R&amp;S - Buildings'!$B$16)*('Yearly BTX'!Y$3-'Yearly BTX'!$X$3)/10))</f>
        <v>0</v>
      </c>
      <c r="Z39" s="43">
        <f>Z38*'R&amp;S - Buildings'!$E$7*('R&amp;S - Buildings'!$B$11*('R&amp;S - Buildings'!$B$16+('R&amp;S - Buildings'!$B$17-'R&amp;S - Buildings'!$B$16)*('Yearly BTX'!Z$3-'Yearly BTX'!$X$3)/10))</f>
        <v>0</v>
      </c>
      <c r="AA39" s="43">
        <f>AA38*'R&amp;S - Buildings'!$E$7*('R&amp;S - Buildings'!$B$11*('R&amp;S - Buildings'!$B$16+('R&amp;S - Buildings'!$B$17-'R&amp;S - Buildings'!$B$16)*('Yearly BTX'!AA$3-'Yearly BTX'!$X$3)/10))</f>
        <v>0</v>
      </c>
      <c r="AB39" s="43">
        <f>AB38*'R&amp;S - Buildings'!$E$7*('R&amp;S - Buildings'!$B$11*('R&amp;S - Buildings'!$B$16+('R&amp;S - Buildings'!$B$17-'R&amp;S - Buildings'!$B$16)*('Yearly BTX'!AB$3-'Yearly BTX'!$X$3)/10))</f>
        <v>0</v>
      </c>
      <c r="AC39" s="43">
        <f>AC38*'R&amp;S - Buildings'!$E$7*('R&amp;S - Buildings'!$B$11*('R&amp;S - Buildings'!$B$16+('R&amp;S - Buildings'!$B$17-'R&amp;S - Buildings'!$B$16)*('Yearly BTX'!AC$3-'Yearly BTX'!$X$3)/10))</f>
        <v>0</v>
      </c>
      <c r="AD39" s="43">
        <f>AD38*'R&amp;S - Buildings'!$E$7*('R&amp;S - Buildings'!$B$11*('R&amp;S - Buildings'!$B$16+('R&amp;S - Buildings'!$B$17-'R&amp;S - Buildings'!$B$16)*('Yearly BTX'!AD$3-'Yearly BTX'!$X$3)/10))</f>
        <v>0</v>
      </c>
      <c r="AE39" s="43">
        <f>AE38*'R&amp;S - Buildings'!$E$7*('R&amp;S - Buildings'!$B$11*('R&amp;S - Buildings'!$B$16+('R&amp;S - Buildings'!$B$17-'R&amp;S - Buildings'!$B$16)*('Yearly BTX'!AE$3-'Yearly BTX'!$X$3)/10))</f>
        <v>0</v>
      </c>
      <c r="AF39" s="43">
        <f>AF38*'R&amp;S - Buildings'!$E$7*('R&amp;S - Buildings'!$B$11*('R&amp;S - Buildings'!$B$16+('R&amp;S - Buildings'!$B$17-'R&amp;S - Buildings'!$B$16)*('Yearly BTX'!AF$3-'Yearly BTX'!$X$3)/10))</f>
        <v>0</v>
      </c>
      <c r="AG39" s="43">
        <f>AG38*'R&amp;S - Buildings'!$E$7*('R&amp;S - Buildings'!$B$11*('R&amp;S - Buildings'!$B$16+('R&amp;S - Buildings'!$B$17-'R&amp;S - Buildings'!$B$16)*('Yearly BTX'!AG$3-'Yearly BTX'!$X$3)/10))</f>
        <v>0</v>
      </c>
      <c r="AH39" s="43">
        <f>AH38*'R&amp;S - Buildings'!$E$7*('R&amp;S - Buildings'!$B$11*('R&amp;S - Buildings'!$B$16+('R&amp;S - Buildings'!$B$17-'R&amp;S - Buildings'!$B$16)*('Yearly BTX'!AH$3-'Yearly BTX'!$X$3)/10))</f>
        <v>0</v>
      </c>
      <c r="AJ39">
        <v>0</v>
      </c>
      <c r="AK39" s="43">
        <f>AK38*'R&amp;S - Buildings'!$E$7*'R&amp;S - Buildings'!$B$12*'R&amp;S - Buildings'!$B$15*('Yearly BTX'!AK$3-'Yearly BTX'!$D$3)/10</f>
        <v>0</v>
      </c>
      <c r="AL39" s="43">
        <f>AL38*'R&amp;S - Buildings'!$E$7*'R&amp;S - Buildings'!$B$12*'R&amp;S - Buildings'!$B$15*('Yearly BTX'!AL$3-'Yearly BTX'!$D$3)/10</f>
        <v>0</v>
      </c>
      <c r="AM39" s="43">
        <f>AM38*'R&amp;S - Buildings'!$E$7*'R&amp;S - Buildings'!$B$12*'R&amp;S - Buildings'!$B$15*('Yearly BTX'!AM$3-'Yearly BTX'!$D$3)/10</f>
        <v>0</v>
      </c>
      <c r="AN39" s="43">
        <f>AN38*'R&amp;S - Buildings'!$E$7*'R&amp;S - Buildings'!$B$12*'R&amp;S - Buildings'!$B$15*('Yearly BTX'!AN$3-'Yearly BTX'!$D$3)/10</f>
        <v>0</v>
      </c>
      <c r="AO39" s="43">
        <f>AO38*'R&amp;S - Buildings'!$E$7*'R&amp;S - Buildings'!$B$12*'R&amp;S - Buildings'!$B$15*('Yearly BTX'!AO$3-'Yearly BTX'!$D$3)/10</f>
        <v>0</v>
      </c>
      <c r="AP39" s="43">
        <f>AP38*'R&amp;S - Buildings'!$E$7*'R&amp;S - Buildings'!$B$12*'R&amp;S - Buildings'!$B$15*('Yearly BTX'!AP$3-'Yearly BTX'!$D$3)/10</f>
        <v>0</v>
      </c>
      <c r="AQ39" s="43">
        <f>AQ38*'R&amp;S - Buildings'!$E$7*'R&amp;S - Buildings'!$B$12*'R&amp;S - Buildings'!$B$15*('Yearly BTX'!AQ$3-'Yearly BTX'!$D$3)/10</f>
        <v>0</v>
      </c>
      <c r="AR39" s="43">
        <f>AR38*'R&amp;S - Buildings'!$E$7*'R&amp;S - Buildings'!$B$12*'R&amp;S - Buildings'!$B$15*('Yearly BTX'!AR$3-'Yearly BTX'!$D$3)/10</f>
        <v>0</v>
      </c>
      <c r="AS39" s="43">
        <f>AS38*'R&amp;S - Buildings'!$E$7*'R&amp;S - Buildings'!$B$12*'R&amp;S - Buildings'!$B$15*('Yearly BTX'!AS$3-'Yearly BTX'!$D$3)/10</f>
        <v>0</v>
      </c>
      <c r="AT39" s="43">
        <f>AT38*'R&amp;S - Buildings'!$E$7*'R&amp;S - Buildings'!$B$12*'R&amp;S - Buildings'!$B$15*('Yearly BTX'!AT$3-'Yearly BTX'!$D$3)/10</f>
        <v>0</v>
      </c>
      <c r="AU39" s="43">
        <f>AU38*'R&amp;S - Buildings'!$E$7*('R&amp;S - Buildings'!$B$12*('R&amp;S - Buildings'!$B$15+('R&amp;S - Buildings'!$B$16-'R&amp;S - Buildings'!$B$15)*('Yearly BTX'!AU$3-'Yearly BTX'!$N$3)/10))</f>
        <v>0</v>
      </c>
      <c r="AV39" s="43">
        <f>AV38*'R&amp;S - Buildings'!$E$7*('R&amp;S - Buildings'!$B$12*('R&amp;S - Buildings'!$B$15+('R&amp;S - Buildings'!$B$16-'R&amp;S - Buildings'!$B$15)*('Yearly BTX'!AV$3-'Yearly BTX'!$N$3)/10))</f>
        <v>0</v>
      </c>
      <c r="AW39" s="43">
        <f>AW38*'R&amp;S - Buildings'!$E$7*('R&amp;S - Buildings'!$B$12*('R&amp;S - Buildings'!$B$15+('R&amp;S - Buildings'!$B$16-'R&amp;S - Buildings'!$B$15)*('Yearly BTX'!AW$3-'Yearly BTX'!$N$3)/10))</f>
        <v>0</v>
      </c>
      <c r="AX39" s="43">
        <f>AX38*'R&amp;S - Buildings'!$E$7*('R&amp;S - Buildings'!$B$12*('R&amp;S - Buildings'!$B$15+('R&amp;S - Buildings'!$B$16-'R&amp;S - Buildings'!$B$15)*('Yearly BTX'!AX$3-'Yearly BTX'!$N$3)/10))</f>
        <v>0</v>
      </c>
      <c r="AY39" s="43">
        <f>AY38*'R&amp;S - Buildings'!$E$7*('R&amp;S - Buildings'!$B$12*('R&amp;S - Buildings'!$B$15+('R&amp;S - Buildings'!$B$16-'R&amp;S - Buildings'!$B$15)*('Yearly BTX'!AY$3-'Yearly BTX'!$N$3)/10))</f>
        <v>0</v>
      </c>
      <c r="AZ39" s="43">
        <f>AZ38*'R&amp;S - Buildings'!$E$7*('R&amp;S - Buildings'!$B$12*('R&amp;S - Buildings'!$B$15+('R&amp;S - Buildings'!$B$16-'R&amp;S - Buildings'!$B$15)*('Yearly BTX'!AZ$3-'Yearly BTX'!$N$3)/10))</f>
        <v>0</v>
      </c>
      <c r="BA39" s="43">
        <f>BA38*'R&amp;S - Buildings'!$E$7*('R&amp;S - Buildings'!$B$12*('R&amp;S - Buildings'!$B$15+('R&amp;S - Buildings'!$B$16-'R&amp;S - Buildings'!$B$15)*('Yearly BTX'!BA$3-'Yearly BTX'!$N$3)/10))</f>
        <v>0</v>
      </c>
      <c r="BB39" s="43">
        <f>BB38*'R&amp;S - Buildings'!$E$7*('R&amp;S - Buildings'!$B$12*('R&amp;S - Buildings'!$B$15+('R&amp;S - Buildings'!$B$16-'R&amp;S - Buildings'!$B$15)*('Yearly BTX'!BB$3-'Yearly BTX'!$N$3)/10))</f>
        <v>0</v>
      </c>
      <c r="BC39" s="43">
        <f>BC38*'R&amp;S - Buildings'!$E$7*('R&amp;S - Buildings'!$B$12*('R&amp;S - Buildings'!$B$15+('R&amp;S - Buildings'!$B$16-'R&amp;S - Buildings'!$B$15)*('Yearly BTX'!BC$3-'Yearly BTX'!$N$3)/10))</f>
        <v>0</v>
      </c>
      <c r="BD39" s="43">
        <f>BD38*'R&amp;S - Buildings'!$E$7*('R&amp;S - Buildings'!$B$12*('R&amp;S - Buildings'!$B$15+('R&amp;S - Buildings'!$B$16-'R&amp;S - Buildings'!$B$15)*('Yearly BTX'!BD$3-'Yearly BTX'!$N$3)/10))</f>
        <v>0</v>
      </c>
      <c r="BE39" s="43">
        <f>BE38*'R&amp;S - Buildings'!$E$7*('R&amp;S - Buildings'!$B$12*('R&amp;S - Buildings'!$B$16+('R&amp;S - Buildings'!$B$17-'R&amp;S - Buildings'!$B$16)*('Yearly BTX'!BE$3-'Yearly BTX'!$X$3)/10))</f>
        <v>0</v>
      </c>
      <c r="BF39" s="43">
        <f>BF38*'R&amp;S - Buildings'!$E$7*('R&amp;S - Buildings'!$B$12*('R&amp;S - Buildings'!$B$16+('R&amp;S - Buildings'!$B$17-'R&amp;S - Buildings'!$B$16)*('Yearly BTX'!BF$3-'Yearly BTX'!$X$3)/10))</f>
        <v>0</v>
      </c>
      <c r="BG39" s="43">
        <f>BG38*'R&amp;S - Buildings'!$E$7*('R&amp;S - Buildings'!$B$12*('R&amp;S - Buildings'!$B$16+('R&amp;S - Buildings'!$B$17-'R&amp;S - Buildings'!$B$16)*('Yearly BTX'!BG$3-'Yearly BTX'!$X$3)/10))</f>
        <v>0</v>
      </c>
      <c r="BH39" s="43">
        <f>BH38*'R&amp;S - Buildings'!$E$7*('R&amp;S - Buildings'!$B$12*('R&amp;S - Buildings'!$B$16+('R&amp;S - Buildings'!$B$17-'R&amp;S - Buildings'!$B$16)*('Yearly BTX'!BH$3-'Yearly BTX'!$X$3)/10))</f>
        <v>0</v>
      </c>
      <c r="BI39" s="43">
        <f>BI38*'R&amp;S - Buildings'!$E$7*('R&amp;S - Buildings'!$B$12*('R&amp;S - Buildings'!$B$16+('R&amp;S - Buildings'!$B$17-'R&amp;S - Buildings'!$B$16)*('Yearly BTX'!BI$3-'Yearly BTX'!$X$3)/10))</f>
        <v>0</v>
      </c>
      <c r="BJ39" s="43">
        <f>BJ38*'R&amp;S - Buildings'!$E$7*('R&amp;S - Buildings'!$B$12*('R&amp;S - Buildings'!$B$16+('R&amp;S - Buildings'!$B$17-'R&amp;S - Buildings'!$B$16)*('Yearly BTX'!BJ$3-'Yearly BTX'!$X$3)/10))</f>
        <v>0</v>
      </c>
      <c r="BK39" s="43">
        <f>BK38*'R&amp;S - Buildings'!$E$7*('R&amp;S - Buildings'!$B$12*('R&amp;S - Buildings'!$B$16+('R&amp;S - Buildings'!$B$17-'R&amp;S - Buildings'!$B$16)*('Yearly BTX'!BK$3-'Yearly BTX'!$X$3)/10))</f>
        <v>0</v>
      </c>
      <c r="BL39" s="43">
        <f>BL38*'R&amp;S - Buildings'!$E$7*('R&amp;S - Buildings'!$B$12*('R&amp;S - Buildings'!$B$16+('R&amp;S - Buildings'!$B$17-'R&amp;S - Buildings'!$B$16)*('Yearly BTX'!BL$3-'Yearly BTX'!$X$3)/10))</f>
        <v>0</v>
      </c>
      <c r="BM39" s="43">
        <f>BM38*'R&amp;S - Buildings'!$E$7*('R&amp;S - Buildings'!$B$12*('R&amp;S - Buildings'!$B$16+('R&amp;S - Buildings'!$B$17-'R&amp;S - Buildings'!$B$16)*('Yearly BTX'!BM$3-'Yearly BTX'!$X$3)/10))</f>
        <v>0</v>
      </c>
      <c r="BN39" s="43">
        <f>BN38*'R&amp;S - Buildings'!$E$7*('R&amp;S - Buildings'!$B$12*('R&amp;S - Buildings'!$B$16+('R&amp;S - Buildings'!$B$17-'R&amp;S - Buildings'!$B$16)*('Yearly BTX'!BN$3-'Yearly BTX'!$X$3)/10))</f>
        <v>0</v>
      </c>
    </row>
    <row r="40" spans="1:75" outlineLevel="1">
      <c r="B40" s="1" t="s">
        <v>172</v>
      </c>
      <c r="C40" s="54" t="s">
        <v>153</v>
      </c>
      <c r="D40">
        <v>0</v>
      </c>
      <c r="E40" s="43">
        <f>E38*'R&amp;S - Buildings'!$E$8*'R&amp;S - Buildings'!$C$11*'R&amp;S - Buildings'!$B$15*('Yearly BTX'!E$3-'Yearly BTX'!$D$3)/10</f>
        <v>0</v>
      </c>
      <c r="F40" s="43">
        <f>F38*'R&amp;S - Buildings'!$E$8*'R&amp;S - Buildings'!$C$11*'R&amp;S - Buildings'!$B$15*('Yearly BTX'!F$3-'Yearly BTX'!$D$3)/10</f>
        <v>0</v>
      </c>
      <c r="G40" s="43">
        <f>G38*'R&amp;S - Buildings'!$E$8*'R&amp;S - Buildings'!$C$11*'R&amp;S - Buildings'!$B$15*('Yearly BTX'!G$3-'Yearly BTX'!$D$3)/10</f>
        <v>0</v>
      </c>
      <c r="H40" s="43">
        <f>H38*'R&amp;S - Buildings'!$E$8*'R&amp;S - Buildings'!$C$11*'R&amp;S - Buildings'!$B$15*('Yearly BTX'!H$3-'Yearly BTX'!$D$3)/10</f>
        <v>0</v>
      </c>
      <c r="I40" s="43">
        <f>I38*'R&amp;S - Buildings'!$E$8*'R&amp;S - Buildings'!$C$11*'R&amp;S - Buildings'!$B$15*('Yearly BTX'!I$3-'Yearly BTX'!$D$3)/10</f>
        <v>0</v>
      </c>
      <c r="J40" s="43">
        <f>J38*'R&amp;S - Buildings'!$E$8*'R&amp;S - Buildings'!$C$11*'R&amp;S - Buildings'!$B$15*('Yearly BTX'!J$3-'Yearly BTX'!$D$3)/10</f>
        <v>0</v>
      </c>
      <c r="K40" s="43">
        <f>K38*'R&amp;S - Buildings'!$E$8*'R&amp;S - Buildings'!$C$11*'R&amp;S - Buildings'!$B$15*('Yearly BTX'!K$3-'Yearly BTX'!$D$3)/10</f>
        <v>0</v>
      </c>
      <c r="L40" s="43">
        <f>L38*'R&amp;S - Buildings'!$E$8*'R&amp;S - Buildings'!$C$11*'R&amp;S - Buildings'!$B$15*('Yearly BTX'!L$3-'Yearly BTX'!$D$3)/10</f>
        <v>0</v>
      </c>
      <c r="M40" s="43">
        <f>M38*'R&amp;S - Buildings'!$E$8*'R&amp;S - Buildings'!$C$11*'R&amp;S - Buildings'!$B$15*('Yearly BTX'!M$3-'Yearly BTX'!$D$3)/10</f>
        <v>0</v>
      </c>
      <c r="N40" s="43">
        <f>N38*'R&amp;S - Buildings'!$E$8*'R&amp;S - Buildings'!$C$11*'R&amp;S - Buildings'!$B$15*('Yearly BTX'!N$3-'Yearly BTX'!$D$3)/10</f>
        <v>0</v>
      </c>
      <c r="O40" s="43">
        <f>O38*'R&amp;S - Buildings'!$E$8*'R&amp;S - Buildings'!$C$11*('R&amp;S - Buildings'!$B$15+('R&amp;S - Buildings'!$B$16-'R&amp;S - Buildings'!$B$15)*('Yearly BTX'!O$3-'Yearly BTX'!$N$3)/10)</f>
        <v>0</v>
      </c>
      <c r="P40" s="43">
        <f>P38*'R&amp;S - Buildings'!$E$8*'R&amp;S - Buildings'!$C$11*('R&amp;S - Buildings'!$B$15+('R&amp;S - Buildings'!$B$16-'R&amp;S - Buildings'!$B$15)*('Yearly BTX'!P$3-'Yearly BTX'!$N$3)/10)</f>
        <v>0</v>
      </c>
      <c r="Q40" s="43">
        <f>Q38*'R&amp;S - Buildings'!$E$8*'R&amp;S - Buildings'!$C$11*('R&amp;S - Buildings'!$B$15+('R&amp;S - Buildings'!$B$16-'R&amp;S - Buildings'!$B$15)*('Yearly BTX'!Q$3-'Yearly BTX'!$N$3)/10)</f>
        <v>0</v>
      </c>
      <c r="R40" s="43">
        <f>R38*'R&amp;S - Buildings'!$E$8*'R&amp;S - Buildings'!$C$11*('R&amp;S - Buildings'!$B$15+('R&amp;S - Buildings'!$B$16-'R&amp;S - Buildings'!$B$15)*('Yearly BTX'!R$3-'Yearly BTX'!$N$3)/10)</f>
        <v>0</v>
      </c>
      <c r="S40" s="43">
        <f>S38*'R&amp;S - Buildings'!$E$8*'R&amp;S - Buildings'!$C$11*('R&amp;S - Buildings'!$B$15+('R&amp;S - Buildings'!$B$16-'R&amp;S - Buildings'!$B$15)*('Yearly BTX'!S$3-'Yearly BTX'!$N$3)/10)</f>
        <v>0</v>
      </c>
      <c r="T40" s="43">
        <f>T38*'R&amp;S - Buildings'!$E$8*'R&amp;S - Buildings'!$C$11*('R&amp;S - Buildings'!$B$15+('R&amp;S - Buildings'!$B$16-'R&amp;S - Buildings'!$B$15)*('Yearly BTX'!T$3-'Yearly BTX'!$N$3)/10)</f>
        <v>0</v>
      </c>
      <c r="U40" s="43">
        <f>U38*'R&amp;S - Buildings'!$E$8*'R&amp;S - Buildings'!$C$11*('R&amp;S - Buildings'!$B$15+('R&amp;S - Buildings'!$B$16-'R&amp;S - Buildings'!$B$15)*('Yearly BTX'!U$3-'Yearly BTX'!$N$3)/10)</f>
        <v>0</v>
      </c>
      <c r="V40" s="43">
        <f>V38*'R&amp;S - Buildings'!$E$8*'R&amp;S - Buildings'!$C$11*('R&amp;S - Buildings'!$B$15+('R&amp;S - Buildings'!$B$16-'R&amp;S - Buildings'!$B$15)*('Yearly BTX'!V$3-'Yearly BTX'!$N$3)/10)</f>
        <v>0</v>
      </c>
      <c r="W40" s="43">
        <f>W38*'R&amp;S - Buildings'!$E$8*'R&amp;S - Buildings'!$C$11*('R&amp;S - Buildings'!$B$15+('R&amp;S - Buildings'!$B$16-'R&amp;S - Buildings'!$B$15)*('Yearly BTX'!W$3-'Yearly BTX'!$N$3)/10)</f>
        <v>0</v>
      </c>
      <c r="X40" s="43">
        <f>X38*'R&amp;S - Buildings'!$E$8*'R&amp;S - Buildings'!$C$11*('R&amp;S - Buildings'!$B$15+('R&amp;S - Buildings'!$B$16-'R&amp;S - Buildings'!$B$15)*('Yearly BTX'!X$3-'Yearly BTX'!$N$3)/10)</f>
        <v>0</v>
      </c>
      <c r="Y40" s="43">
        <f>Y38*'R&amp;S - Buildings'!$E$8*'R&amp;S - Buildings'!$C$11*('R&amp;S - Buildings'!$B$16+('R&amp;S - Buildings'!$B$17-'R&amp;S - Buildings'!$B$16)*('Yearly BTX'!Y$3-'Yearly BTX'!$X$3)/10)</f>
        <v>0</v>
      </c>
      <c r="Z40" s="43">
        <f>Z38*'R&amp;S - Buildings'!$E$8*'R&amp;S - Buildings'!$C$11*('R&amp;S - Buildings'!$B$16+('R&amp;S - Buildings'!$B$17-'R&amp;S - Buildings'!$B$16)*('Yearly BTX'!Z$3-'Yearly BTX'!$X$3)/10)</f>
        <v>0</v>
      </c>
      <c r="AA40" s="43">
        <f>AA38*'R&amp;S - Buildings'!$E$8*'R&amp;S - Buildings'!$C$11*('R&amp;S - Buildings'!$B$16+('R&amp;S - Buildings'!$B$17-'R&amp;S - Buildings'!$B$16)*('Yearly BTX'!AA$3-'Yearly BTX'!$X$3)/10)</f>
        <v>0</v>
      </c>
      <c r="AB40" s="43">
        <f>AB38*'R&amp;S - Buildings'!$E$8*'R&amp;S - Buildings'!$C$11*('R&amp;S - Buildings'!$B$16+('R&amp;S - Buildings'!$B$17-'R&amp;S - Buildings'!$B$16)*('Yearly BTX'!AB$3-'Yearly BTX'!$X$3)/10)</f>
        <v>0</v>
      </c>
      <c r="AC40" s="43">
        <f>AC38*'R&amp;S - Buildings'!$E$8*'R&amp;S - Buildings'!$C$11*('R&amp;S - Buildings'!$B$16+('R&amp;S - Buildings'!$B$17-'R&amp;S - Buildings'!$B$16)*('Yearly BTX'!AC$3-'Yearly BTX'!$X$3)/10)</f>
        <v>0</v>
      </c>
      <c r="AD40" s="43">
        <f>AD38*'R&amp;S - Buildings'!$E$8*'R&amp;S - Buildings'!$C$11*('R&amp;S - Buildings'!$B$16+('R&amp;S - Buildings'!$B$17-'R&amp;S - Buildings'!$B$16)*('Yearly BTX'!AD$3-'Yearly BTX'!$X$3)/10)</f>
        <v>0</v>
      </c>
      <c r="AE40" s="43">
        <f>AE38*'R&amp;S - Buildings'!$E$8*'R&amp;S - Buildings'!$C$11*('R&amp;S - Buildings'!$B$16+('R&amp;S - Buildings'!$B$17-'R&amp;S - Buildings'!$B$16)*('Yearly BTX'!AE$3-'Yearly BTX'!$X$3)/10)</f>
        <v>0</v>
      </c>
      <c r="AF40" s="43">
        <f>AF38*'R&amp;S - Buildings'!$E$8*'R&amp;S - Buildings'!$C$11*('R&amp;S - Buildings'!$B$16+('R&amp;S - Buildings'!$B$17-'R&amp;S - Buildings'!$B$16)*('Yearly BTX'!AF$3-'Yearly BTX'!$X$3)/10)</f>
        <v>0</v>
      </c>
      <c r="AG40" s="43">
        <f>AG38*'R&amp;S - Buildings'!$E$8*'R&amp;S - Buildings'!$C$11*('R&amp;S - Buildings'!$B$16+('R&amp;S - Buildings'!$B$17-'R&amp;S - Buildings'!$B$16)*('Yearly BTX'!AG$3-'Yearly BTX'!$X$3)/10)</f>
        <v>0</v>
      </c>
      <c r="AH40" s="43">
        <f>AH38*'R&amp;S - Buildings'!$E$8*'R&amp;S - Buildings'!$C$11*('R&amp;S - Buildings'!$B$16+('R&amp;S - Buildings'!$B$17-'R&amp;S - Buildings'!$B$16)*('Yearly BTX'!AH$3-'Yearly BTX'!$X$3)/10)</f>
        <v>0</v>
      </c>
      <c r="AJ40">
        <v>0</v>
      </c>
      <c r="AK40" s="43">
        <f>AK38*'R&amp;S - Buildings'!$E$8*'R&amp;S - Buildings'!$C$12*'R&amp;S - Buildings'!$B$15*('Yearly BTX'!AK$3-'Yearly BTX'!$D$3)/10</f>
        <v>0</v>
      </c>
      <c r="AL40" s="43">
        <f>AL38*'R&amp;S - Buildings'!$E$8*'R&amp;S - Buildings'!$C$12*'R&amp;S - Buildings'!$B$15*('Yearly BTX'!AL$3-'Yearly BTX'!$D$3)/10</f>
        <v>0</v>
      </c>
      <c r="AM40" s="43">
        <f>AM38*'R&amp;S - Buildings'!$E$8*'R&amp;S - Buildings'!$C$12*'R&amp;S - Buildings'!$B$15*('Yearly BTX'!AM$3-'Yearly BTX'!$D$3)/10</f>
        <v>0</v>
      </c>
      <c r="AN40" s="43">
        <f>AN38*'R&amp;S - Buildings'!$E$8*'R&amp;S - Buildings'!$C$12*'R&amp;S - Buildings'!$B$15*('Yearly BTX'!AN$3-'Yearly BTX'!$D$3)/10</f>
        <v>0</v>
      </c>
      <c r="AO40" s="43">
        <f>AO38*'R&amp;S - Buildings'!$E$8*'R&amp;S - Buildings'!$C$12*'R&amp;S - Buildings'!$B$15*('Yearly BTX'!AO$3-'Yearly BTX'!$D$3)/10</f>
        <v>0</v>
      </c>
      <c r="AP40" s="43">
        <f>AP38*'R&amp;S - Buildings'!$E$8*'R&amp;S - Buildings'!$C$12*'R&amp;S - Buildings'!$B$15*('Yearly BTX'!AP$3-'Yearly BTX'!$D$3)/10</f>
        <v>0</v>
      </c>
      <c r="AQ40" s="43">
        <f>AQ38*'R&amp;S - Buildings'!$E$8*'R&amp;S - Buildings'!$C$12*'R&amp;S - Buildings'!$B$15*('Yearly BTX'!AQ$3-'Yearly BTX'!$D$3)/10</f>
        <v>0</v>
      </c>
      <c r="AR40" s="43">
        <f>AR38*'R&amp;S - Buildings'!$E$8*'R&amp;S - Buildings'!$C$12*'R&amp;S - Buildings'!$B$15*('Yearly BTX'!AR$3-'Yearly BTX'!$D$3)/10</f>
        <v>0</v>
      </c>
      <c r="AS40" s="43">
        <f>AS38*'R&amp;S - Buildings'!$E$8*'R&amp;S - Buildings'!$C$12*'R&amp;S - Buildings'!$B$15*('Yearly BTX'!AS$3-'Yearly BTX'!$D$3)/10</f>
        <v>0</v>
      </c>
      <c r="AT40" s="43">
        <f>AT38*'R&amp;S - Buildings'!$E$8*'R&amp;S - Buildings'!$C$12*'R&amp;S - Buildings'!$B$15*('Yearly BTX'!AT$3-'Yearly BTX'!$D$3)/10</f>
        <v>0</v>
      </c>
      <c r="AU40" s="43">
        <f>AU38*'R&amp;S - Buildings'!$E$8*'R&amp;S - Buildings'!$C$12*('R&amp;S - Buildings'!$B$15+('R&amp;S - Buildings'!$B$16-'R&amp;S - Buildings'!$B$15)*('Yearly BTX'!AU$3-'Yearly BTX'!$N$3)/10)</f>
        <v>0</v>
      </c>
      <c r="AV40" s="43">
        <f>AV38*'R&amp;S - Buildings'!$E$8*'R&amp;S - Buildings'!$C$12*('R&amp;S - Buildings'!$B$15+('R&amp;S - Buildings'!$B$16-'R&amp;S - Buildings'!$B$15)*('Yearly BTX'!AV$3-'Yearly BTX'!$N$3)/10)</f>
        <v>0</v>
      </c>
      <c r="AW40" s="43">
        <f>AW38*'R&amp;S - Buildings'!$E$8*'R&amp;S - Buildings'!$C$12*('R&amp;S - Buildings'!$B$15+('R&amp;S - Buildings'!$B$16-'R&amp;S - Buildings'!$B$15)*('Yearly BTX'!AW$3-'Yearly BTX'!$N$3)/10)</f>
        <v>0</v>
      </c>
      <c r="AX40" s="43">
        <f>AX38*'R&amp;S - Buildings'!$E$8*'R&amp;S - Buildings'!$C$12*('R&amp;S - Buildings'!$B$15+('R&amp;S - Buildings'!$B$16-'R&amp;S - Buildings'!$B$15)*('Yearly BTX'!AX$3-'Yearly BTX'!$N$3)/10)</f>
        <v>0</v>
      </c>
      <c r="AY40" s="43">
        <f>AY38*'R&amp;S - Buildings'!$E$8*'R&amp;S - Buildings'!$C$12*('R&amp;S - Buildings'!$B$15+('R&amp;S - Buildings'!$B$16-'R&amp;S - Buildings'!$B$15)*('Yearly BTX'!AY$3-'Yearly BTX'!$N$3)/10)</f>
        <v>0</v>
      </c>
      <c r="AZ40" s="43">
        <f>AZ38*'R&amp;S - Buildings'!$E$8*'R&amp;S - Buildings'!$C$12*('R&amp;S - Buildings'!$B$15+('R&amp;S - Buildings'!$B$16-'R&amp;S - Buildings'!$B$15)*('Yearly BTX'!AZ$3-'Yearly BTX'!$N$3)/10)</f>
        <v>0</v>
      </c>
      <c r="BA40" s="43">
        <f>BA38*'R&amp;S - Buildings'!$E$8*'R&amp;S - Buildings'!$C$12*('R&amp;S - Buildings'!$B$15+('R&amp;S - Buildings'!$B$16-'R&amp;S - Buildings'!$B$15)*('Yearly BTX'!BA$3-'Yearly BTX'!$N$3)/10)</f>
        <v>0</v>
      </c>
      <c r="BB40" s="43">
        <f>BB38*'R&amp;S - Buildings'!$E$8*'R&amp;S - Buildings'!$C$12*('R&amp;S - Buildings'!$B$15+('R&amp;S - Buildings'!$B$16-'R&amp;S - Buildings'!$B$15)*('Yearly BTX'!BB$3-'Yearly BTX'!$N$3)/10)</f>
        <v>0</v>
      </c>
      <c r="BC40" s="43">
        <f>BC38*'R&amp;S - Buildings'!$E$8*'R&amp;S - Buildings'!$C$12*('R&amp;S - Buildings'!$B$15+('R&amp;S - Buildings'!$B$16-'R&amp;S - Buildings'!$B$15)*('Yearly BTX'!BC$3-'Yearly BTX'!$N$3)/10)</f>
        <v>0</v>
      </c>
      <c r="BD40" s="43">
        <f>BD38*'R&amp;S - Buildings'!$E$8*'R&amp;S - Buildings'!$C$12*('R&amp;S - Buildings'!$B$15+('R&amp;S - Buildings'!$B$16-'R&amp;S - Buildings'!$B$15)*('Yearly BTX'!BD$3-'Yearly BTX'!$N$3)/10)</f>
        <v>0</v>
      </c>
      <c r="BE40" s="43">
        <f>BE38*'R&amp;S - Buildings'!$E$8*'R&amp;S - Buildings'!$C$12*('R&amp;S - Buildings'!$B$16+('R&amp;S - Buildings'!$B$17-'R&amp;S - Buildings'!$B$16)*('Yearly BTX'!BE$3-'Yearly BTX'!$X$3)/10)</f>
        <v>0</v>
      </c>
      <c r="BF40" s="43">
        <f>BF38*'R&amp;S - Buildings'!$E$8*'R&amp;S - Buildings'!$C$12*('R&amp;S - Buildings'!$B$16+('R&amp;S - Buildings'!$B$17-'R&amp;S - Buildings'!$B$16)*('Yearly BTX'!BF$3-'Yearly BTX'!$X$3)/10)</f>
        <v>0</v>
      </c>
      <c r="BG40" s="43">
        <f>BG38*'R&amp;S - Buildings'!$E$8*'R&amp;S - Buildings'!$C$12*('R&amp;S - Buildings'!$B$16+('R&amp;S - Buildings'!$B$17-'R&amp;S - Buildings'!$B$16)*('Yearly BTX'!BG$3-'Yearly BTX'!$X$3)/10)</f>
        <v>0</v>
      </c>
      <c r="BH40" s="43">
        <f>BH38*'R&amp;S - Buildings'!$E$8*'R&amp;S - Buildings'!$C$12*('R&amp;S - Buildings'!$B$16+('R&amp;S - Buildings'!$B$17-'R&amp;S - Buildings'!$B$16)*('Yearly BTX'!BH$3-'Yearly BTX'!$X$3)/10)</f>
        <v>0</v>
      </c>
      <c r="BI40" s="43">
        <f>BI38*'R&amp;S - Buildings'!$E$8*'R&amp;S - Buildings'!$C$12*('R&amp;S - Buildings'!$B$16+('R&amp;S - Buildings'!$B$17-'R&amp;S - Buildings'!$B$16)*('Yearly BTX'!BI$3-'Yearly BTX'!$X$3)/10)</f>
        <v>0</v>
      </c>
      <c r="BJ40" s="43">
        <f>BJ38*'R&amp;S - Buildings'!$E$8*'R&amp;S - Buildings'!$C$12*('R&amp;S - Buildings'!$B$16+('R&amp;S - Buildings'!$B$17-'R&amp;S - Buildings'!$B$16)*('Yearly BTX'!BJ$3-'Yearly BTX'!$X$3)/10)</f>
        <v>0</v>
      </c>
      <c r="BK40" s="43">
        <f>BK38*'R&amp;S - Buildings'!$E$8*'R&amp;S - Buildings'!$C$12*('R&amp;S - Buildings'!$B$16+('R&amp;S - Buildings'!$B$17-'R&amp;S - Buildings'!$B$16)*('Yearly BTX'!BK$3-'Yearly BTX'!$X$3)/10)</f>
        <v>0</v>
      </c>
      <c r="BL40" s="43">
        <f>BL38*'R&amp;S - Buildings'!$E$8*'R&amp;S - Buildings'!$C$12*('R&amp;S - Buildings'!$B$16+('R&amp;S - Buildings'!$B$17-'R&amp;S - Buildings'!$B$16)*('Yearly BTX'!BL$3-'Yearly BTX'!$X$3)/10)</f>
        <v>0</v>
      </c>
      <c r="BM40" s="43">
        <f>BM38*'R&amp;S - Buildings'!$E$8*'R&amp;S - Buildings'!$C$12*('R&amp;S - Buildings'!$B$16+('R&amp;S - Buildings'!$B$17-'R&amp;S - Buildings'!$B$16)*('Yearly BTX'!BM$3-'Yearly BTX'!$X$3)/10)</f>
        <v>0</v>
      </c>
      <c r="BN40" s="43">
        <f>BN38*'R&amp;S - Buildings'!$E$8*'R&amp;S - Buildings'!$C$12*('R&amp;S - Buildings'!$B$16+('R&amp;S - Buildings'!$B$17-'R&amp;S - Buildings'!$B$16)*('Yearly BTX'!BN$3-'Yearly BTX'!$X$3)/10)</f>
        <v>0</v>
      </c>
    </row>
    <row r="41" spans="1:75" outlineLevel="1">
      <c r="B41" s="1" t="s">
        <v>197</v>
      </c>
      <c r="C41" s="65" t="s">
        <v>153</v>
      </c>
      <c r="D41" s="66">
        <f>D38-D39-D40</f>
        <v>14.733107457344531</v>
      </c>
      <c r="E41" s="66">
        <f t="shared" ref="E41:AG41" si="35">E38-E39-E40</f>
        <v>14.894513858633186</v>
      </c>
      <c r="F41" s="66">
        <f t="shared" si="35"/>
        <v>15.057688524115418</v>
      </c>
      <c r="G41" s="66">
        <f t="shared" si="35"/>
        <v>15.222650825750664</v>
      </c>
      <c r="H41" s="66">
        <f t="shared" si="35"/>
        <v>15.389420347725022</v>
      </c>
      <c r="I41" s="66">
        <f t="shared" si="35"/>
        <v>15.558016888776274</v>
      </c>
      <c r="J41" s="66">
        <f t="shared" si="35"/>
        <v>15.728460464544376</v>
      </c>
      <c r="K41" s="66">
        <f t="shared" si="35"/>
        <v>15.900771309947697</v>
      </c>
      <c r="L41" s="66">
        <f t="shared" si="35"/>
        <v>16.074969881585289</v>
      </c>
      <c r="M41" s="66">
        <f t="shared" si="35"/>
        <v>16.25107686016548</v>
      </c>
      <c r="N41" s="66">
        <f t="shared" si="35"/>
        <v>16.429113152961069</v>
      </c>
      <c r="O41" s="66">
        <f t="shared" si="35"/>
        <v>16.609099896291422</v>
      </c>
      <c r="P41" s="66">
        <f t="shared" si="35"/>
        <v>16.791058458031756</v>
      </c>
      <c r="Q41" s="66">
        <f t="shared" si="35"/>
        <v>16.975010440149916</v>
      </c>
      <c r="R41" s="66">
        <f t="shared" si="35"/>
        <v>17.160977681270939</v>
      </c>
      <c r="S41" s="66">
        <f t="shared" si="35"/>
        <v>17.348982259269729</v>
      </c>
      <c r="T41" s="66">
        <f t="shared" si="35"/>
        <v>17.539046493892108</v>
      </c>
      <c r="U41" s="66">
        <f t="shared" si="35"/>
        <v>17.731192949404608</v>
      </c>
      <c r="V41" s="66">
        <f t="shared" si="35"/>
        <v>17.925444437273278</v>
      </c>
      <c r="W41" s="66">
        <f t="shared" si="35"/>
        <v>18.121824018871845</v>
      </c>
      <c r="X41" s="66">
        <f t="shared" si="35"/>
        <v>18.320355008219533</v>
      </c>
      <c r="Y41" s="66">
        <f t="shared" si="35"/>
        <v>18.521060974748895</v>
      </c>
      <c r="Z41" s="66">
        <f t="shared" si="35"/>
        <v>18.723965746103953</v>
      </c>
      <c r="AA41" s="66">
        <f t="shared" si="35"/>
        <v>18.929093410968989</v>
      </c>
      <c r="AB41" s="66">
        <f t="shared" si="35"/>
        <v>19.136468321928334</v>
      </c>
      <c r="AC41" s="66">
        <f t="shared" si="35"/>
        <v>19.346115098357501</v>
      </c>
      <c r="AD41" s="66">
        <f t="shared" si="35"/>
        <v>19.558058629345961</v>
      </c>
      <c r="AE41" s="66">
        <f t="shared" si="35"/>
        <v>19.772324076651959</v>
      </c>
      <c r="AF41" s="66">
        <f t="shared" si="35"/>
        <v>19.988936877689699</v>
      </c>
      <c r="AG41" s="66">
        <f t="shared" si="35"/>
        <v>20.207922748549255</v>
      </c>
      <c r="AH41" s="66">
        <f>AH38-AH39-AH40</f>
        <v>20.429307687049551</v>
      </c>
      <c r="AJ41" s="66">
        <f>AJ38-AJ39-AJ40</f>
        <v>14.733107457344531</v>
      </c>
      <c r="AK41" s="66">
        <f t="shared" ref="AK41:BM41" si="36">AK38-AK39-AK40</f>
        <v>14.894513858633186</v>
      </c>
      <c r="AL41" s="66">
        <f t="shared" si="36"/>
        <v>15.057688524115418</v>
      </c>
      <c r="AM41" s="66">
        <f t="shared" si="36"/>
        <v>15.222650825750664</v>
      </c>
      <c r="AN41" s="66">
        <f t="shared" si="36"/>
        <v>15.389420347725022</v>
      </c>
      <c r="AO41" s="66">
        <f t="shared" si="36"/>
        <v>15.558016888776274</v>
      </c>
      <c r="AP41" s="66">
        <f t="shared" si="36"/>
        <v>15.728460464544376</v>
      </c>
      <c r="AQ41" s="66">
        <f t="shared" si="36"/>
        <v>15.900771309947697</v>
      </c>
      <c r="AR41" s="66">
        <f t="shared" si="36"/>
        <v>16.074969881585289</v>
      </c>
      <c r="AS41" s="66">
        <f t="shared" si="36"/>
        <v>16.25107686016548</v>
      </c>
      <c r="AT41" s="66">
        <f t="shared" si="36"/>
        <v>16.429113152961069</v>
      </c>
      <c r="AU41" s="66">
        <f t="shared" si="36"/>
        <v>16.609099896291422</v>
      </c>
      <c r="AV41" s="66">
        <f t="shared" si="36"/>
        <v>16.791058458031756</v>
      </c>
      <c r="AW41" s="66">
        <f t="shared" si="36"/>
        <v>16.975010440149916</v>
      </c>
      <c r="AX41" s="66">
        <f t="shared" si="36"/>
        <v>17.160977681270939</v>
      </c>
      <c r="AY41" s="66">
        <f t="shared" si="36"/>
        <v>17.348982259269729</v>
      </c>
      <c r="AZ41" s="66">
        <f t="shared" si="36"/>
        <v>17.539046493892108</v>
      </c>
      <c r="BA41" s="66">
        <f t="shared" si="36"/>
        <v>17.731192949404608</v>
      </c>
      <c r="BB41" s="66">
        <f t="shared" si="36"/>
        <v>17.925444437273278</v>
      </c>
      <c r="BC41" s="66">
        <f t="shared" si="36"/>
        <v>18.121824018871845</v>
      </c>
      <c r="BD41" s="66">
        <f t="shared" si="36"/>
        <v>18.320355008219533</v>
      </c>
      <c r="BE41" s="66">
        <f t="shared" si="36"/>
        <v>18.521060974748895</v>
      </c>
      <c r="BF41" s="66">
        <f t="shared" si="36"/>
        <v>18.723965746103953</v>
      </c>
      <c r="BG41" s="66">
        <f t="shared" si="36"/>
        <v>18.929093410968989</v>
      </c>
      <c r="BH41" s="66">
        <f t="shared" si="36"/>
        <v>19.136468321928334</v>
      </c>
      <c r="BI41" s="66">
        <f t="shared" si="36"/>
        <v>19.346115098357501</v>
      </c>
      <c r="BJ41" s="66">
        <f t="shared" si="36"/>
        <v>19.558058629345961</v>
      </c>
      <c r="BK41" s="66">
        <f t="shared" si="36"/>
        <v>19.772324076651959</v>
      </c>
      <c r="BL41" s="66">
        <f t="shared" si="36"/>
        <v>19.988936877689699</v>
      </c>
      <c r="BM41" s="66">
        <f t="shared" si="36"/>
        <v>20.207922748549255</v>
      </c>
      <c r="BN41" s="66">
        <f>BN38-BN39-BN40</f>
        <v>20.429307687049551</v>
      </c>
    </row>
    <row r="42" spans="1:75" s="67" customFormat="1" outlineLevel="1">
      <c r="A42" s="752"/>
      <c r="B42" s="58" t="s">
        <v>7</v>
      </c>
      <c r="C42" s="59" t="s">
        <v>153</v>
      </c>
      <c r="D42" s="60">
        <f>D$41*'R&amp;S - Buildings'!$L$4/SUM('R&amp;S - Buildings'!$L$4:$N$4)</f>
        <v>12.002819069097551</v>
      </c>
      <c r="E42" s="60">
        <f>E$41*'R&amp;S - Buildings'!$L$4/SUM('R&amp;S - Buildings'!$L$4:$N$4)</f>
        <v>12.134314195761824</v>
      </c>
      <c r="F42" s="60">
        <f>F$41*'R&amp;S - Buildings'!$L$4/SUM('R&amp;S - Buildings'!$L$4:$N$4)</f>
        <v>12.267249898030624</v>
      </c>
      <c r="G42" s="60">
        <f>G$41*'R&amp;S - Buildings'!$L$4/SUM('R&amp;S - Buildings'!$L$4:$N$4)</f>
        <v>12.401641957919029</v>
      </c>
      <c r="H42" s="60">
        <f>H$41*'R&amp;S - Buildings'!$L$4/SUM('R&amp;S - Buildings'!$L$4:$N$4)</f>
        <v>12.537506330339678</v>
      </c>
      <c r="I42" s="60">
        <f>I$41*'R&amp;S - Buildings'!$L$4/SUM('R&amp;S - Buildings'!$L$4:$N$4)</f>
        <v>12.674859144996919</v>
      </c>
      <c r="J42" s="60">
        <f>J$41*'R&amp;S - Buildings'!$L$4/SUM('R&amp;S - Buildings'!$L$4:$N$4)</f>
        <v>12.813716708301712</v>
      </c>
      <c r="K42" s="60">
        <f>K$41*'R&amp;S - Buildings'!$L$4/SUM('R&amp;S - Buildings'!$L$4:$N$4)</f>
        <v>12.954095505307519</v>
      </c>
      <c r="L42" s="60">
        <f>L$41*'R&amp;S - Buildings'!$L$4/SUM('R&amp;S - Buildings'!$L$4:$N$4)</f>
        <v>13.096012201667385</v>
      </c>
      <c r="M42" s="60">
        <f>M$41*'R&amp;S - Buildings'!$L$4/SUM('R&amp;S - Buildings'!$L$4:$N$4)</f>
        <v>13.239483645612479</v>
      </c>
      <c r="N42" s="60">
        <f>N$41*'R&amp;S - Buildings'!$L$4/SUM('R&amp;S - Buildings'!$L$4:$N$4)</f>
        <v>13.384526869952301</v>
      </c>
      <c r="O42" s="60">
        <f>O$41*'R&amp;S - Buildings'!$L$4/SUM('R&amp;S - Buildings'!$L$4:$N$4)</f>
        <v>13.531159094096802</v>
      </c>
      <c r="P42" s="60">
        <f>P$41*'R&amp;S - Buildings'!$L$4/SUM('R&amp;S - Buildings'!$L$4:$N$4)</f>
        <v>13.679397726100648</v>
      </c>
      <c r="Q42" s="60">
        <f>Q$41*'R&amp;S - Buildings'!$L$4/SUM('R&amp;S - Buildings'!$L$4:$N$4)</f>
        <v>13.829260364729913</v>
      </c>
      <c r="R42" s="60">
        <f>R$41*'R&amp;S - Buildings'!$L$4/SUM('R&amp;S - Buildings'!$L$4:$N$4)</f>
        <v>13.980764801551363</v>
      </c>
      <c r="S42" s="60">
        <f>S$41*'R&amp;S - Buildings'!$L$4/SUM('R&amp;S - Buildings'!$L$4:$N$4)</f>
        <v>14.133929023044676</v>
      </c>
      <c r="T42" s="60">
        <f>T$41*'R&amp;S - Buildings'!$L$4/SUM('R&amp;S - Buildings'!$L$4:$N$4)</f>
        <v>14.288771212737773</v>
      </c>
      <c r="U42" s="60">
        <f>U$41*'R&amp;S - Buildings'!$L$4/SUM('R&amp;S - Buildings'!$L$4:$N$4)</f>
        <v>14.445309753365551</v>
      </c>
      <c r="V42" s="60">
        <f>V$41*'R&amp;S - Buildings'!$L$4/SUM('R&amp;S - Buildings'!$L$4:$N$4)</f>
        <v>14.603563229052266</v>
      </c>
      <c r="W42" s="60">
        <f>W$41*'R&amp;S - Buildings'!$L$4/SUM('R&amp;S - Buildings'!$L$4:$N$4)</f>
        <v>14.763550427517831</v>
      </c>
      <c r="X42" s="60">
        <f>X$41*'R&amp;S - Buildings'!$L$4/SUM('R&amp;S - Buildings'!$L$4:$N$4)</f>
        <v>14.925290342308267</v>
      </c>
      <c r="Y42" s="60">
        <f>Y$41*'R&amp;S - Buildings'!$L$4/SUM('R&amp;S - Buildings'!$L$4:$N$4)</f>
        <v>15.08880217505061</v>
      </c>
      <c r="Z42" s="60">
        <f>Z$41*'R&amp;S - Buildings'!$L$4/SUM('R&amp;S - Buildings'!$L$4:$N$4)</f>
        <v>15.254105337732511</v>
      </c>
      <c r="AA42" s="60">
        <f>AA$41*'R&amp;S - Buildings'!$L$4/SUM('R&amp;S - Buildings'!$L$4:$N$4)</f>
        <v>15.42121945500681</v>
      </c>
      <c r="AB42" s="60">
        <f>AB$41*'R&amp;S - Buildings'!$L$4/SUM('R&amp;S - Buildings'!$L$4:$N$4)</f>
        <v>15.590164366521348</v>
      </c>
      <c r="AC42" s="60">
        <f>AC$41*'R&amp;S - Buildings'!$L$4/SUM('R&amp;S - Buildings'!$L$4:$N$4)</f>
        <v>15.760960129274331</v>
      </c>
      <c r="AD42" s="60">
        <f>AD$41*'R&amp;S - Buildings'!$L$4/SUM('R&amp;S - Buildings'!$L$4:$N$4)</f>
        <v>15.933627019995473</v>
      </c>
      <c r="AE42" s="60">
        <f>AE$41*'R&amp;S - Buildings'!$L$4/SUM('R&amp;S - Buildings'!$L$4:$N$4)</f>
        <v>16.108185537553226</v>
      </c>
      <c r="AF42" s="60">
        <f>AF$41*'R&amp;S - Buildings'!$L$4/SUM('R&amp;S - Buildings'!$L$4:$N$4)</f>
        <v>16.284656405388397</v>
      </c>
      <c r="AG42" s="60">
        <f>AG$41*'R&amp;S - Buildings'!$L$4/SUM('R&amp;S - Buildings'!$L$4:$N$4)</f>
        <v>16.463060573974417</v>
      </c>
      <c r="AH42" s="60">
        <f>AH$41*'R&amp;S - Buildings'!$L$4/SUM('R&amp;S - Buildings'!$L$4:$N$4)</f>
        <v>16.643419223304548</v>
      </c>
      <c r="AJ42" s="60">
        <f>AJ$41*'R&amp;S - Buildings'!$L$4/SUM('R&amp;S - Buildings'!$L$4:$N$4)</f>
        <v>12.002819069097551</v>
      </c>
      <c r="AK42" s="60">
        <f>AK$41*'R&amp;S - Buildings'!$L$4/SUM('R&amp;S - Buildings'!$L$4:$N$4)</f>
        <v>12.134314195761824</v>
      </c>
      <c r="AL42" s="60">
        <f>AL$41*'R&amp;S - Buildings'!$L$4/SUM('R&amp;S - Buildings'!$L$4:$N$4)</f>
        <v>12.267249898030624</v>
      </c>
      <c r="AM42" s="60">
        <f>AM$41*'R&amp;S - Buildings'!$L$4/SUM('R&amp;S - Buildings'!$L$4:$N$4)</f>
        <v>12.401641957919029</v>
      </c>
      <c r="AN42" s="60">
        <f>AN$41*'R&amp;S - Buildings'!$L$4/SUM('R&amp;S - Buildings'!$L$4:$N$4)</f>
        <v>12.537506330339678</v>
      </c>
      <c r="AO42" s="60">
        <f>AO$41*'R&amp;S - Buildings'!$L$4/SUM('R&amp;S - Buildings'!$L$4:$N$4)</f>
        <v>12.674859144996919</v>
      </c>
      <c r="AP42" s="60">
        <f>AP$41*'R&amp;S - Buildings'!$L$4/SUM('R&amp;S - Buildings'!$L$4:$N$4)</f>
        <v>12.813716708301712</v>
      </c>
      <c r="AQ42" s="60">
        <f>AQ$41*'R&amp;S - Buildings'!$L$4/SUM('R&amp;S - Buildings'!$L$4:$N$4)</f>
        <v>12.954095505307519</v>
      </c>
      <c r="AR42" s="60">
        <f>AR$41*'R&amp;S - Buildings'!$L$4/SUM('R&amp;S - Buildings'!$L$4:$N$4)</f>
        <v>13.096012201667385</v>
      </c>
      <c r="AS42" s="60">
        <f>AS$41*'R&amp;S - Buildings'!$L$4/SUM('R&amp;S - Buildings'!$L$4:$N$4)</f>
        <v>13.239483645612479</v>
      </c>
      <c r="AT42" s="60">
        <f>AT$41*'R&amp;S - Buildings'!$L$4/SUM('R&amp;S - Buildings'!$L$4:$N$4)</f>
        <v>13.384526869952301</v>
      </c>
      <c r="AU42" s="60">
        <f>AU$41*'R&amp;S - Buildings'!$L$4/SUM('R&amp;S - Buildings'!$L$4:$N$4)</f>
        <v>13.531159094096802</v>
      </c>
      <c r="AV42" s="60">
        <f>AV$41*'R&amp;S - Buildings'!$L$4/SUM('R&amp;S - Buildings'!$L$4:$N$4)</f>
        <v>13.679397726100648</v>
      </c>
      <c r="AW42" s="60">
        <f>AW$41*'R&amp;S - Buildings'!$L$4/SUM('R&amp;S - Buildings'!$L$4:$N$4)</f>
        <v>13.829260364729913</v>
      </c>
      <c r="AX42" s="60">
        <f>AX$41*'R&amp;S - Buildings'!$L$4/SUM('R&amp;S - Buildings'!$L$4:$N$4)</f>
        <v>13.980764801551363</v>
      </c>
      <c r="AY42" s="60">
        <f>AY$41*'R&amp;S - Buildings'!$L$4/SUM('R&amp;S - Buildings'!$L$4:$N$4)</f>
        <v>14.133929023044676</v>
      </c>
      <c r="AZ42" s="60">
        <f>AZ$41*'R&amp;S - Buildings'!$L$4/SUM('R&amp;S - Buildings'!$L$4:$N$4)</f>
        <v>14.288771212737773</v>
      </c>
      <c r="BA42" s="60">
        <f>BA$41*'R&amp;S - Buildings'!$L$4/SUM('R&amp;S - Buildings'!$L$4:$N$4)</f>
        <v>14.445309753365551</v>
      </c>
      <c r="BB42" s="60">
        <f>BB$41*'R&amp;S - Buildings'!$L$4/SUM('R&amp;S - Buildings'!$L$4:$N$4)</f>
        <v>14.603563229052266</v>
      </c>
      <c r="BC42" s="60">
        <f>BC$41*'R&amp;S - Buildings'!$L$4/SUM('R&amp;S - Buildings'!$L$4:$N$4)</f>
        <v>14.763550427517831</v>
      </c>
      <c r="BD42" s="60">
        <f>BD$41*'R&amp;S - Buildings'!$L$4/SUM('R&amp;S - Buildings'!$L$4:$N$4)</f>
        <v>14.925290342308267</v>
      </c>
      <c r="BE42" s="60">
        <f>BE$41*'R&amp;S - Buildings'!$L$4/SUM('R&amp;S - Buildings'!$L$4:$N$4)</f>
        <v>15.08880217505061</v>
      </c>
      <c r="BF42" s="60">
        <f>BF$41*'R&amp;S - Buildings'!$L$4/SUM('R&amp;S - Buildings'!$L$4:$N$4)</f>
        <v>15.254105337732511</v>
      </c>
      <c r="BG42" s="60">
        <f>BG$41*'R&amp;S - Buildings'!$L$4/SUM('R&amp;S - Buildings'!$L$4:$N$4)</f>
        <v>15.42121945500681</v>
      </c>
      <c r="BH42" s="60">
        <f>BH$41*'R&amp;S - Buildings'!$L$4/SUM('R&amp;S - Buildings'!$L$4:$N$4)</f>
        <v>15.590164366521348</v>
      </c>
      <c r="BI42" s="60">
        <f>BI$41*'R&amp;S - Buildings'!$L$4/SUM('R&amp;S - Buildings'!$L$4:$N$4)</f>
        <v>15.760960129274331</v>
      </c>
      <c r="BJ42" s="60">
        <f>BJ$41*'R&amp;S - Buildings'!$L$4/SUM('R&amp;S - Buildings'!$L$4:$N$4)</f>
        <v>15.933627019995473</v>
      </c>
      <c r="BK42" s="60">
        <f>BK$41*'R&amp;S - Buildings'!$L$4/SUM('R&amp;S - Buildings'!$L$4:$N$4)</f>
        <v>16.108185537553226</v>
      </c>
      <c r="BL42" s="60">
        <f>BL$41*'R&amp;S - Buildings'!$L$4/SUM('R&amp;S - Buildings'!$L$4:$N$4)</f>
        <v>16.284656405388397</v>
      </c>
      <c r="BM42" s="60">
        <f>BM$41*'R&amp;S - Buildings'!$L$4/SUM('R&amp;S - Buildings'!$L$4:$N$4)</f>
        <v>16.463060573974417</v>
      </c>
      <c r="BN42" s="60">
        <f>BN$41*'R&amp;S - Buildings'!$L$4/SUM('R&amp;S - Buildings'!$L$4:$N$4)</f>
        <v>16.643419223304548</v>
      </c>
    </row>
    <row r="43" spans="1:75" outlineLevel="1">
      <c r="A43" s="753"/>
      <c r="B43" s="1" t="s">
        <v>8</v>
      </c>
      <c r="C43" s="54" t="s">
        <v>153</v>
      </c>
      <c r="D43" s="44">
        <f>D$41*'R&amp;S - Buildings'!$M$4/SUM('R&amp;S - Buildings'!$L$4:$N$4)</f>
        <v>2.5611801774531888</v>
      </c>
      <c r="E43" s="44">
        <f>E$41*'R&amp;S - Buildings'!$M$4/SUM('R&amp;S - Buildings'!$L$4:$N$4)</f>
        <v>2.5892388118377823</v>
      </c>
      <c r="F43" s="44">
        <f>F$41*'R&amp;S - Buildings'!$M$4/SUM('R&amp;S - Buildings'!$L$4:$N$4)</f>
        <v>2.6176048384825763</v>
      </c>
      <c r="G43" s="44">
        <f>G$41*'R&amp;S - Buildings'!$M$4/SUM('R&amp;S - Buildings'!$L$4:$N$4)</f>
        <v>2.6462816249784646</v>
      </c>
      <c r="H43" s="44">
        <f>H$41*'R&amp;S - Buildings'!$M$4/SUM('R&amp;S - Buildings'!$L$4:$N$4)</f>
        <v>2.6752725758094882</v>
      </c>
      <c r="I43" s="44">
        <f>I$41*'R&amp;S - Buildings'!$M$4/SUM('R&amp;S - Buildings'!$L$4:$N$4)</f>
        <v>2.7045811327570175</v>
      </c>
      <c r="J43" s="44">
        <f>J$41*'R&amp;S - Buildings'!$M$4/SUM('R&amp;S - Buildings'!$L$4:$N$4)</f>
        <v>2.7342107753083509</v>
      </c>
      <c r="K43" s="44">
        <f>K$41*'R&amp;S - Buildings'!$M$4/SUM('R&amp;S - Buildings'!$L$4:$N$4)</f>
        <v>2.7641650210698026</v>
      </c>
      <c r="L43" s="44">
        <f>L$41*'R&amp;S - Buildings'!$M$4/SUM('R&amp;S - Buildings'!$L$4:$N$4)</f>
        <v>2.7944474261843091</v>
      </c>
      <c r="M43" s="44">
        <f>M$41*'R&amp;S - Buildings'!$M$4/SUM('R&amp;S - Buildings'!$L$4:$N$4)</f>
        <v>2.8250615857536068</v>
      </c>
      <c r="N43" s="44">
        <f>N$41*'R&amp;S - Buildings'!$M$4/SUM('R&amp;S - Buildings'!$L$4:$N$4)</f>
        <v>2.8560111342650454</v>
      </c>
      <c r="O43" s="44">
        <f>O$41*'R&amp;S - Buildings'!$M$4/SUM('R&amp;S - Buildings'!$L$4:$N$4)</f>
        <v>2.887299746023066</v>
      </c>
      <c r="P43" s="44">
        <f>P$41*'R&amp;S - Buildings'!$M$4/SUM('R&amp;S - Buildings'!$L$4:$N$4)</f>
        <v>2.9189311355854168</v>
      </c>
      <c r="Q43" s="44">
        <f>Q$41*'R&amp;S - Buildings'!$M$4/SUM('R&amp;S - Buildings'!$L$4:$N$4)</f>
        <v>2.9509090582041368</v>
      </c>
      <c r="R43" s="44">
        <f>R$41*'R&amp;S - Buildings'!$M$4/SUM('R&amp;S - Buildings'!$L$4:$N$4)</f>
        <v>2.9832373102713805</v>
      </c>
      <c r="S43" s="44">
        <f>S$41*'R&amp;S - Buildings'!$M$4/SUM('R&amp;S - Buildings'!$L$4:$N$4)</f>
        <v>3.015919729770121</v>
      </c>
      <c r="T43" s="44">
        <f>T$41*'R&amp;S - Buildings'!$M$4/SUM('R&amp;S - Buildings'!$L$4:$N$4)</f>
        <v>3.0489601967297904</v>
      </c>
      <c r="U43" s="44">
        <f>U$41*'R&amp;S - Buildings'!$M$4/SUM('R&amp;S - Buildings'!$L$4:$N$4)</f>
        <v>3.0823626336869157</v>
      </c>
      <c r="V43" s="44">
        <f>V$41*'R&amp;S - Buildings'!$M$4/SUM('R&amp;S - Buildings'!$L$4:$N$4)</f>
        <v>3.1161310061507987</v>
      </c>
      <c r="W43" s="44">
        <f>W$41*'R&amp;S - Buildings'!$M$4/SUM('R&amp;S - Buildings'!$L$4:$N$4)</f>
        <v>3.1502693230742982</v>
      </c>
      <c r="X43" s="44">
        <f>X$41*'R&amp;S - Buildings'!$M$4/SUM('R&amp;S - Buildings'!$L$4:$N$4)</f>
        <v>3.1847816373297673</v>
      </c>
      <c r="Y43" s="44">
        <f>Y$41*'R&amp;S - Buildings'!$M$4/SUM('R&amp;S - Buildings'!$L$4:$N$4)</f>
        <v>3.21967204619021</v>
      </c>
      <c r="Z43" s="44">
        <f>Z$41*'R&amp;S - Buildings'!$M$4/SUM('R&amp;S - Buildings'!$L$4:$N$4)</f>
        <v>3.2549446918157048</v>
      </c>
      <c r="AA43" s="44">
        <f>AA$41*'R&amp;S - Buildings'!$M$4/SUM('R&amp;S - Buildings'!$L$4:$N$4)</f>
        <v>3.2906037617451571</v>
      </c>
      <c r="AB43" s="44">
        <f>AB$41*'R&amp;S - Buildings'!$M$4/SUM('R&amp;S - Buildings'!$L$4:$N$4)</f>
        <v>3.3266534893934425</v>
      </c>
      <c r="AC43" s="44">
        <f>AC$41*'R&amp;S - Buildings'!$M$4/SUM('R&amp;S - Buildings'!$L$4:$N$4)</f>
        <v>3.3630981545539944</v>
      </c>
      <c r="AD43" s="44">
        <f>AD$41*'R&amp;S - Buildings'!$M$4/SUM('R&amp;S - Buildings'!$L$4:$N$4)</f>
        <v>3.3999420839068937</v>
      </c>
      <c r="AE43" s="44">
        <f>AE$41*'R&amp;S - Buildings'!$M$4/SUM('R&amp;S - Buildings'!$L$4:$N$4)</f>
        <v>3.4371896515325338</v>
      </c>
      <c r="AF43" s="44">
        <f>AF$41*'R&amp;S - Buildings'!$M$4/SUM('R&amp;S - Buildings'!$L$4:$N$4)</f>
        <v>3.4748452794309044</v>
      </c>
      <c r="AG43" s="44">
        <f>AG$41*'R&amp;S - Buildings'!$M$4/SUM('R&amp;S - Buildings'!$L$4:$N$4)</f>
        <v>3.5129134380465685</v>
      </c>
      <c r="AH43" s="44">
        <f>AH$41*'R&amp;S - Buildings'!$M$4/SUM('R&amp;S - Buildings'!$L$4:$N$4)</f>
        <v>3.5513986467993894</v>
      </c>
      <c r="AJ43" s="44">
        <f>AJ$41*'R&amp;S - Buildings'!$M$4/SUM('R&amp;S - Buildings'!$L$4:$N$4)</f>
        <v>2.5611801774531888</v>
      </c>
      <c r="AK43" s="44">
        <f>AK$41*'R&amp;S - Buildings'!$M$4/SUM('R&amp;S - Buildings'!$L$4:$N$4)</f>
        <v>2.5892388118377823</v>
      </c>
      <c r="AL43" s="44">
        <f>AL$41*'R&amp;S - Buildings'!$M$4/SUM('R&amp;S - Buildings'!$L$4:$N$4)</f>
        <v>2.6176048384825763</v>
      </c>
      <c r="AM43" s="44">
        <f>AM$41*'R&amp;S - Buildings'!$M$4/SUM('R&amp;S - Buildings'!$L$4:$N$4)</f>
        <v>2.6462816249784646</v>
      </c>
      <c r="AN43" s="44">
        <f>AN$41*'R&amp;S - Buildings'!$M$4/SUM('R&amp;S - Buildings'!$L$4:$N$4)</f>
        <v>2.6752725758094882</v>
      </c>
      <c r="AO43" s="44">
        <f>AO$41*'R&amp;S - Buildings'!$M$4/SUM('R&amp;S - Buildings'!$L$4:$N$4)</f>
        <v>2.7045811327570175</v>
      </c>
      <c r="AP43" s="44">
        <f>AP$41*'R&amp;S - Buildings'!$M$4/SUM('R&amp;S - Buildings'!$L$4:$N$4)</f>
        <v>2.7342107753083509</v>
      </c>
      <c r="AQ43" s="44">
        <f>AQ$41*'R&amp;S - Buildings'!$M$4/SUM('R&amp;S - Buildings'!$L$4:$N$4)</f>
        <v>2.7641650210698026</v>
      </c>
      <c r="AR43" s="44">
        <f>AR$41*'R&amp;S - Buildings'!$M$4/SUM('R&amp;S - Buildings'!$L$4:$N$4)</f>
        <v>2.7944474261843091</v>
      </c>
      <c r="AS43" s="44">
        <f>AS$41*'R&amp;S - Buildings'!$M$4/SUM('R&amp;S - Buildings'!$L$4:$N$4)</f>
        <v>2.8250615857536068</v>
      </c>
      <c r="AT43" s="44">
        <f>AT$41*'R&amp;S - Buildings'!$M$4/SUM('R&amp;S - Buildings'!$L$4:$N$4)</f>
        <v>2.8560111342650454</v>
      </c>
      <c r="AU43" s="44">
        <f>AU$41*'R&amp;S - Buildings'!$M$4/SUM('R&amp;S - Buildings'!$L$4:$N$4)</f>
        <v>2.887299746023066</v>
      </c>
      <c r="AV43" s="44">
        <f>AV$41*'R&amp;S - Buildings'!$M$4/SUM('R&amp;S - Buildings'!$L$4:$N$4)</f>
        <v>2.9189311355854168</v>
      </c>
      <c r="AW43" s="44">
        <f>AW$41*'R&amp;S - Buildings'!$M$4/SUM('R&amp;S - Buildings'!$L$4:$N$4)</f>
        <v>2.9509090582041368</v>
      </c>
      <c r="AX43" s="44">
        <f>AX$41*'R&amp;S - Buildings'!$M$4/SUM('R&amp;S - Buildings'!$L$4:$N$4)</f>
        <v>2.9832373102713805</v>
      </c>
      <c r="AY43" s="44">
        <f>AY$41*'R&amp;S - Buildings'!$M$4/SUM('R&amp;S - Buildings'!$L$4:$N$4)</f>
        <v>3.015919729770121</v>
      </c>
      <c r="AZ43" s="44">
        <f>AZ$41*'R&amp;S - Buildings'!$M$4/SUM('R&amp;S - Buildings'!$L$4:$N$4)</f>
        <v>3.0489601967297904</v>
      </c>
      <c r="BA43" s="44">
        <f>BA$41*'R&amp;S - Buildings'!$M$4/SUM('R&amp;S - Buildings'!$L$4:$N$4)</f>
        <v>3.0823626336869157</v>
      </c>
      <c r="BB43" s="44">
        <f>BB$41*'R&amp;S - Buildings'!$M$4/SUM('R&amp;S - Buildings'!$L$4:$N$4)</f>
        <v>3.1161310061507987</v>
      </c>
      <c r="BC43" s="44">
        <f>BC$41*'R&amp;S - Buildings'!$M$4/SUM('R&amp;S - Buildings'!$L$4:$N$4)</f>
        <v>3.1502693230742982</v>
      </c>
      <c r="BD43" s="44">
        <f>BD$41*'R&amp;S - Buildings'!$M$4/SUM('R&amp;S - Buildings'!$L$4:$N$4)</f>
        <v>3.1847816373297673</v>
      </c>
      <c r="BE43" s="44">
        <f>BE$41*'R&amp;S - Buildings'!$M$4/SUM('R&amp;S - Buildings'!$L$4:$N$4)</f>
        <v>3.21967204619021</v>
      </c>
      <c r="BF43" s="44">
        <f>BF$41*'R&amp;S - Buildings'!$M$4/SUM('R&amp;S - Buildings'!$L$4:$N$4)</f>
        <v>3.2549446918157048</v>
      </c>
      <c r="BG43" s="44">
        <f>BG$41*'R&amp;S - Buildings'!$M$4/SUM('R&amp;S - Buildings'!$L$4:$N$4)</f>
        <v>3.2906037617451571</v>
      </c>
      <c r="BH43" s="44">
        <f>BH$41*'R&amp;S - Buildings'!$M$4/SUM('R&amp;S - Buildings'!$L$4:$N$4)</f>
        <v>3.3266534893934425</v>
      </c>
      <c r="BI43" s="44">
        <f>BI$41*'R&amp;S - Buildings'!$M$4/SUM('R&amp;S - Buildings'!$L$4:$N$4)</f>
        <v>3.3630981545539944</v>
      </c>
      <c r="BJ43" s="44">
        <f>BJ$41*'R&amp;S - Buildings'!$M$4/SUM('R&amp;S - Buildings'!$L$4:$N$4)</f>
        <v>3.3999420839068937</v>
      </c>
      <c r="BK43" s="44">
        <f>BK$41*'R&amp;S - Buildings'!$M$4/SUM('R&amp;S - Buildings'!$L$4:$N$4)</f>
        <v>3.4371896515325338</v>
      </c>
      <c r="BL43" s="44">
        <f>BL$41*'R&amp;S - Buildings'!$M$4/SUM('R&amp;S - Buildings'!$L$4:$N$4)</f>
        <v>3.4748452794309044</v>
      </c>
      <c r="BM43" s="44">
        <f>BM$41*'R&amp;S - Buildings'!$M$4/SUM('R&amp;S - Buildings'!$L$4:$N$4)</f>
        <v>3.5129134380465685</v>
      </c>
      <c r="BN43" s="44">
        <f>BN$41*'R&amp;S - Buildings'!$M$4/SUM('R&amp;S - Buildings'!$L$4:$N$4)</f>
        <v>3.5513986467993894</v>
      </c>
    </row>
    <row r="44" spans="1:75" s="68" customFormat="1" outlineLevel="1">
      <c r="A44" s="754"/>
      <c r="B44" s="62" t="s">
        <v>166</v>
      </c>
      <c r="C44" s="283" t="s">
        <v>153</v>
      </c>
      <c r="D44" s="284">
        <f>D$41*'R&amp;S - Buildings'!$N$4/SUM('R&amp;S - Buildings'!$L$4:$N$4)</f>
        <v>0.16910821079379051</v>
      </c>
      <c r="E44" s="284">
        <f>E$41*'R&amp;S - Buildings'!$N$4/SUM('R&amp;S - Buildings'!$L$4:$N$4)</f>
        <v>0.17096085103357797</v>
      </c>
      <c r="F44" s="284">
        <f>F$41*'R&amp;S - Buildings'!$N$4/SUM('R&amp;S - Buildings'!$L$4:$N$4)</f>
        <v>0.17283378760221882</v>
      </c>
      <c r="G44" s="284">
        <f>G$41*'R&amp;S - Buildings'!$N$4/SUM('R&amp;S - Buildings'!$L$4:$N$4)</f>
        <v>0.17472724285317168</v>
      </c>
      <c r="H44" s="284">
        <f>H$41*'R&amp;S - Buildings'!$N$4/SUM('R&amp;S - Buildings'!$L$4:$N$4)</f>
        <v>0.17664144157585598</v>
      </c>
      <c r="I44" s="284">
        <f>I$41*'R&amp;S - Buildings'!$N$4/SUM('R&amp;S - Buildings'!$L$4:$N$4)</f>
        <v>0.17857661102233865</v>
      </c>
      <c r="J44" s="284">
        <f>J$41*'R&amp;S - Buildings'!$N$4/SUM('R&amp;S - Buildings'!$L$4:$N$4)</f>
        <v>0.18053298093431341</v>
      </c>
      <c r="K44" s="284">
        <f>K$41*'R&amp;S - Buildings'!$N$4/SUM('R&amp;S - Buildings'!$L$4:$N$4)</f>
        <v>0.18251078357037542</v>
      </c>
      <c r="L44" s="284">
        <f>L$41*'R&amp;S - Buildings'!$N$4/SUM('R&amp;S - Buildings'!$L$4:$N$4)</f>
        <v>0.18451025373359492</v>
      </c>
      <c r="M44" s="284">
        <f>M$41*'R&amp;S - Buildings'!$N$4/SUM('R&amp;S - Buildings'!$L$4:$N$4)</f>
        <v>0.18653162879939275</v>
      </c>
      <c r="N44" s="284">
        <f>N$41*'R&amp;S - Buildings'!$N$4/SUM('R&amp;S - Buildings'!$L$4:$N$4)</f>
        <v>0.18857514874372147</v>
      </c>
      <c r="O44" s="284">
        <f>O$41*'R&amp;S - Buildings'!$N$4/SUM('R&amp;S - Buildings'!$L$4:$N$4)</f>
        <v>0.19064105617155494</v>
      </c>
      <c r="P44" s="284">
        <f>P$41*'R&amp;S - Buildings'!$N$4/SUM('R&amp;S - Buildings'!$L$4:$N$4)</f>
        <v>0.19272959634569045</v>
      </c>
      <c r="Q44" s="284">
        <f>Q$41*'R&amp;S - Buildings'!$N$4/SUM('R&amp;S - Buildings'!$L$4:$N$4)</f>
        <v>0.1948410172158658</v>
      </c>
      <c r="R44" s="284">
        <f>R$41*'R&amp;S - Buildings'!$N$4/SUM('R&amp;S - Buildings'!$L$4:$N$4)</f>
        <v>0.19697556944819589</v>
      </c>
      <c r="S44" s="284">
        <f>S$41*'R&amp;S - Buildings'!$N$4/SUM('R&amp;S - Buildings'!$L$4:$N$4)</f>
        <v>0.19913350645493155</v>
      </c>
      <c r="T44" s="284">
        <f>T$41*'R&amp;S - Buildings'!$N$4/SUM('R&amp;S - Buildings'!$L$4:$N$4)</f>
        <v>0.2013150844245444</v>
      </c>
      <c r="U44" s="284">
        <f>U$41*'R&amp;S - Buildings'!$N$4/SUM('R&amp;S - Buildings'!$L$4:$N$4)</f>
        <v>0.20352056235214136</v>
      </c>
      <c r="V44" s="284">
        <f>V$41*'R&amp;S - Buildings'!$N$4/SUM('R&amp;S - Buildings'!$L$4:$N$4)</f>
        <v>0.2057502020702123</v>
      </c>
      <c r="W44" s="284">
        <f>W$41*'R&amp;S - Buildings'!$N$4/SUM('R&amp;S - Buildings'!$L$4:$N$4)</f>
        <v>0.2080042682797146</v>
      </c>
      <c r="X44" s="284">
        <f>X$41*'R&amp;S - Buildings'!$N$4/SUM('R&amp;S - Buildings'!$L$4:$N$4)</f>
        <v>0.21028302858149822</v>
      </c>
      <c r="Y44" s="284">
        <f>Y$41*'R&amp;S - Buildings'!$N$4/SUM('R&amp;S - Buildings'!$L$4:$N$4)</f>
        <v>0.21258675350807502</v>
      </c>
      <c r="Z44" s="284">
        <f>Z$41*'R&amp;S - Buildings'!$N$4/SUM('R&amp;S - Buildings'!$L$4:$N$4)</f>
        <v>0.21491571655573619</v>
      </c>
      <c r="AA44" s="284">
        <f>AA$41*'R&amp;S - Buildings'!$N$4/SUM('R&amp;S - Buildings'!$L$4:$N$4)</f>
        <v>0.21727019421702157</v>
      </c>
      <c r="AB44" s="284">
        <f>AB$41*'R&amp;S - Buildings'!$N$4/SUM('R&amp;S - Buildings'!$L$4:$N$4)</f>
        <v>0.21965046601354432</v>
      </c>
      <c r="AC44" s="284">
        <f>AC$41*'R&amp;S - Buildings'!$N$4/SUM('R&amp;S - Buildings'!$L$4:$N$4)</f>
        <v>0.22205681452917594</v>
      </c>
      <c r="AD44" s="284">
        <f>AD$41*'R&amp;S - Buildings'!$N$4/SUM('R&amp;S - Buildings'!$L$4:$N$4)</f>
        <v>0.22448952544359405</v>
      </c>
      <c r="AE44" s="284">
        <f>AE$41*'R&amp;S - Buildings'!$N$4/SUM('R&amp;S - Buildings'!$L$4:$N$4)</f>
        <v>0.2269488875661981</v>
      </c>
      <c r="AF44" s="284">
        <f>AF$41*'R&amp;S - Buildings'!$N$4/SUM('R&amp;S - Buildings'!$L$4:$N$4)</f>
        <v>0.22943519287039671</v>
      </c>
      <c r="AG44" s="284">
        <f>AG$41*'R&amp;S - Buildings'!$N$4/SUM('R&amp;S - Buildings'!$L$4:$N$4)</f>
        <v>0.23194873652827036</v>
      </c>
      <c r="AH44" s="284">
        <f>AH$41*'R&amp;S - Buildings'!$N$4/SUM('R&amp;S - Buildings'!$L$4:$N$4)</f>
        <v>0.23448981694561405</v>
      </c>
      <c r="AJ44" s="284">
        <f>AJ$41*'R&amp;S - Buildings'!$N$4/SUM('R&amp;S - Buildings'!$L$4:$N$4)</f>
        <v>0.16910821079379051</v>
      </c>
      <c r="AK44" s="284">
        <f>AK$41*'R&amp;S - Buildings'!$N$4/SUM('R&amp;S - Buildings'!$L$4:$N$4)</f>
        <v>0.17096085103357797</v>
      </c>
      <c r="AL44" s="284">
        <f>AL$41*'R&amp;S - Buildings'!$N$4/SUM('R&amp;S - Buildings'!$L$4:$N$4)</f>
        <v>0.17283378760221882</v>
      </c>
      <c r="AM44" s="284">
        <f>AM$41*'R&amp;S - Buildings'!$N$4/SUM('R&amp;S - Buildings'!$L$4:$N$4)</f>
        <v>0.17472724285317168</v>
      </c>
      <c r="AN44" s="284">
        <f>AN$41*'R&amp;S - Buildings'!$N$4/SUM('R&amp;S - Buildings'!$L$4:$N$4)</f>
        <v>0.17664144157585598</v>
      </c>
      <c r="AO44" s="284">
        <f>AO$41*'R&amp;S - Buildings'!$N$4/SUM('R&amp;S - Buildings'!$L$4:$N$4)</f>
        <v>0.17857661102233865</v>
      </c>
      <c r="AP44" s="284">
        <f>AP$41*'R&amp;S - Buildings'!$N$4/SUM('R&amp;S - Buildings'!$L$4:$N$4)</f>
        <v>0.18053298093431341</v>
      </c>
      <c r="AQ44" s="284">
        <f>AQ$41*'R&amp;S - Buildings'!$N$4/SUM('R&amp;S - Buildings'!$L$4:$N$4)</f>
        <v>0.18251078357037542</v>
      </c>
      <c r="AR44" s="284">
        <f>AR$41*'R&amp;S - Buildings'!$N$4/SUM('R&amp;S - Buildings'!$L$4:$N$4)</f>
        <v>0.18451025373359492</v>
      </c>
      <c r="AS44" s="284">
        <f>AS$41*'R&amp;S - Buildings'!$N$4/SUM('R&amp;S - Buildings'!$L$4:$N$4)</f>
        <v>0.18653162879939275</v>
      </c>
      <c r="AT44" s="284">
        <f>AT$41*'R&amp;S - Buildings'!$N$4/SUM('R&amp;S - Buildings'!$L$4:$N$4)</f>
        <v>0.18857514874372147</v>
      </c>
      <c r="AU44" s="284">
        <f>AU$41*'R&amp;S - Buildings'!$N$4/SUM('R&amp;S - Buildings'!$L$4:$N$4)</f>
        <v>0.19064105617155494</v>
      </c>
      <c r="AV44" s="284">
        <f>AV$41*'R&amp;S - Buildings'!$N$4/SUM('R&amp;S - Buildings'!$L$4:$N$4)</f>
        <v>0.19272959634569045</v>
      </c>
      <c r="AW44" s="284">
        <f>AW$41*'R&amp;S - Buildings'!$N$4/SUM('R&amp;S - Buildings'!$L$4:$N$4)</f>
        <v>0.1948410172158658</v>
      </c>
      <c r="AX44" s="284">
        <f>AX$41*'R&amp;S - Buildings'!$N$4/SUM('R&amp;S - Buildings'!$L$4:$N$4)</f>
        <v>0.19697556944819589</v>
      </c>
      <c r="AY44" s="284">
        <f>AY$41*'R&amp;S - Buildings'!$N$4/SUM('R&amp;S - Buildings'!$L$4:$N$4)</f>
        <v>0.19913350645493155</v>
      </c>
      <c r="AZ44" s="284">
        <f>AZ$41*'R&amp;S - Buildings'!$N$4/SUM('R&amp;S - Buildings'!$L$4:$N$4)</f>
        <v>0.2013150844245444</v>
      </c>
      <c r="BA44" s="284">
        <f>BA$41*'R&amp;S - Buildings'!$N$4/SUM('R&amp;S - Buildings'!$L$4:$N$4)</f>
        <v>0.20352056235214136</v>
      </c>
      <c r="BB44" s="284">
        <f>BB$41*'R&amp;S - Buildings'!$N$4/SUM('R&amp;S - Buildings'!$L$4:$N$4)</f>
        <v>0.2057502020702123</v>
      </c>
      <c r="BC44" s="284">
        <f>BC$41*'R&amp;S - Buildings'!$N$4/SUM('R&amp;S - Buildings'!$L$4:$N$4)</f>
        <v>0.2080042682797146</v>
      </c>
      <c r="BD44" s="284">
        <f>BD$41*'R&amp;S - Buildings'!$N$4/SUM('R&amp;S - Buildings'!$L$4:$N$4)</f>
        <v>0.21028302858149822</v>
      </c>
      <c r="BE44" s="284">
        <f>BE$41*'R&amp;S - Buildings'!$N$4/SUM('R&amp;S - Buildings'!$L$4:$N$4)</f>
        <v>0.21258675350807502</v>
      </c>
      <c r="BF44" s="284">
        <f>BF$41*'R&amp;S - Buildings'!$N$4/SUM('R&amp;S - Buildings'!$L$4:$N$4)</f>
        <v>0.21491571655573619</v>
      </c>
      <c r="BG44" s="284">
        <f>BG$41*'R&amp;S - Buildings'!$N$4/SUM('R&amp;S - Buildings'!$L$4:$N$4)</f>
        <v>0.21727019421702157</v>
      </c>
      <c r="BH44" s="284">
        <f>BH$41*'R&amp;S - Buildings'!$N$4/SUM('R&amp;S - Buildings'!$L$4:$N$4)</f>
        <v>0.21965046601354432</v>
      </c>
      <c r="BI44" s="284">
        <f>BI$41*'R&amp;S - Buildings'!$N$4/SUM('R&amp;S - Buildings'!$L$4:$N$4)</f>
        <v>0.22205681452917594</v>
      </c>
      <c r="BJ44" s="284">
        <f>BJ$41*'R&amp;S - Buildings'!$N$4/SUM('R&amp;S - Buildings'!$L$4:$N$4)</f>
        <v>0.22448952544359405</v>
      </c>
      <c r="BK44" s="284">
        <f>BK$41*'R&amp;S - Buildings'!$N$4/SUM('R&amp;S - Buildings'!$L$4:$N$4)</f>
        <v>0.2269488875661981</v>
      </c>
      <c r="BL44" s="284">
        <f>BL$41*'R&amp;S - Buildings'!$N$4/SUM('R&amp;S - Buildings'!$L$4:$N$4)</f>
        <v>0.22943519287039671</v>
      </c>
      <c r="BM44" s="284">
        <f>BM$41*'R&amp;S - Buildings'!$N$4/SUM('R&amp;S - Buildings'!$L$4:$N$4)</f>
        <v>0.23194873652827036</v>
      </c>
      <c r="BN44" s="284">
        <f>BN$41*'R&amp;S - Buildings'!$N$4/SUM('R&amp;S - Buildings'!$L$4:$N$4)</f>
        <v>0.23448981694561405</v>
      </c>
    </row>
    <row r="45" spans="1:75" outlineLevel="1">
      <c r="A45" s="1" t="s">
        <v>205</v>
      </c>
      <c r="B45" s="58" t="s">
        <v>199</v>
      </c>
      <c r="C45" s="59" t="s">
        <v>153</v>
      </c>
      <c r="D45" s="443">
        <f>SUM('R&amp;S - Apparel'!G4:I4)</f>
        <v>13.012248975360578</v>
      </c>
      <c r="E45" s="443">
        <f>D45*(1+'Demand Breakdown - BTX'!$L$75)</f>
        <v>13.154802763545836</v>
      </c>
      <c r="F45" s="443">
        <f>E45*(1+'Demand Breakdown - BTX'!$L$75)</f>
        <v>13.298918278882523</v>
      </c>
      <c r="G45" s="443">
        <f>F45*(1+'Demand Breakdown - BTX'!$L$75)</f>
        <v>13.444612630643752</v>
      </c>
      <c r="H45" s="443">
        <f>G45*(1+'Demand Breakdown - BTX'!$L$75)</f>
        <v>13.591903115540774</v>
      </c>
      <c r="I45" s="443">
        <f>H45*(1+'Demand Breakdown - BTX'!$L$75)</f>
        <v>13.740807219776427</v>
      </c>
      <c r="J45" s="443">
        <f>I45*(1+'Demand Breakdown - BTX'!$L$75)</f>
        <v>13.891342621121082</v>
      </c>
      <c r="K45" s="443">
        <f>J45*(1+'Demand Breakdown - BTX'!$L$75)</f>
        <v>14.043527191011336</v>
      </c>
      <c r="L45" s="443">
        <f>K45*(1+'Demand Breakdown - BTX'!$L$75)</f>
        <v>14.197378996671693</v>
      </c>
      <c r="M45" s="443">
        <f>L45*(1+'Demand Breakdown - BTX'!$L$75)</f>
        <v>14.352916303259487</v>
      </c>
      <c r="N45" s="443">
        <f>M45*(1+'Demand Breakdown - BTX'!$L$75)</f>
        <v>14.510157576033313</v>
      </c>
      <c r="O45" s="443">
        <f>N45*(1+'Demand Breakdown - BTX'!$L$75)</f>
        <v>14.669121482545197</v>
      </c>
      <c r="P45" s="443">
        <f>O45*(1+'Demand Breakdown - BTX'!$L$75)</f>
        <v>14.829826894856803</v>
      </c>
      <c r="Q45" s="443">
        <f>P45*(1+'Demand Breakdown - BTX'!$L$75)</f>
        <v>14.992292891779897</v>
      </c>
      <c r="R45" s="443">
        <f>Q45*(1+'Demand Breakdown - BTX'!$L$75)</f>
        <v>15.156538761141379</v>
      </c>
      <c r="S45" s="443">
        <f>R45*(1+'Demand Breakdown - BTX'!$L$75)</f>
        <v>15.322584002073109</v>
      </c>
      <c r="T45" s="443">
        <f>S45*(1+'Demand Breakdown - BTX'!$L$75)</f>
        <v>15.490448327326833</v>
      </c>
      <c r="U45" s="443">
        <f>T45*(1+'Demand Breakdown - BTX'!$L$75)</f>
        <v>15.66015166561446</v>
      </c>
      <c r="V45" s="443">
        <f>U45*(1+'Demand Breakdown - BTX'!$L$75)</f>
        <v>15.831714163973984</v>
      </c>
      <c r="W45" s="443">
        <f>V45*(1+'Demand Breakdown - BTX'!$L$75)</f>
        <v>16.005156190161326</v>
      </c>
      <c r="X45" s="443">
        <f>W45*(1+'Demand Breakdown - BTX'!$L$75)</f>
        <v>16.180498335068371</v>
      </c>
      <c r="Y45" s="443">
        <f>X45*(1+'Demand Breakdown - BTX'!$L$75)</f>
        <v>16.357761415167509</v>
      </c>
      <c r="Z45" s="443">
        <f>Y45*(1+'Demand Breakdown - BTX'!$L$75)</f>
        <v>16.53696647498294</v>
      </c>
      <c r="AA45" s="443">
        <f>Z45*(1+'Demand Breakdown - BTX'!$L$75)</f>
        <v>16.718134789589072</v>
      </c>
      <c r="AB45" s="443">
        <f>AA45*(1+'Demand Breakdown - BTX'!$L$75)</f>
        <v>16.901287867136272</v>
      </c>
      <c r="AC45" s="443">
        <f>AB45*(1+'Demand Breakdown - BTX'!$L$75)</f>
        <v>17.0864474514043</v>
      </c>
      <c r="AD45" s="443">
        <f>AC45*(1+'Demand Breakdown - BTX'!$L$75)</f>
        <v>17.27363552438371</v>
      </c>
      <c r="AE45" s="443">
        <f>AD45*(1+'Demand Breakdown - BTX'!$L$75)</f>
        <v>17.462874308885535</v>
      </c>
      <c r="AF45" s="443">
        <f>AE45*(1+'Demand Breakdown - BTX'!$L$75)</f>
        <v>17.654186271179562</v>
      </c>
      <c r="AG45" s="443">
        <f>AF45*(1+'Demand Breakdown - BTX'!$L$75)</f>
        <v>17.847594123661501</v>
      </c>
      <c r="AH45" s="443">
        <f>AG45*(1+'Demand Breakdown - BTX'!$L$75)</f>
        <v>18.043120827549398</v>
      </c>
      <c r="AJ45" s="443">
        <f>D45</f>
        <v>13.012248975360578</v>
      </c>
      <c r="AK45" s="443">
        <f>AJ45*(1+'Demand Breakdown - BTX'!$L$75)</f>
        <v>13.154802763545836</v>
      </c>
      <c r="AL45" s="443">
        <f>AK45*(1+'Demand Breakdown - BTX'!$L$75)</f>
        <v>13.298918278882523</v>
      </c>
      <c r="AM45" s="443">
        <f>AL45*(1+'Demand Breakdown - BTX'!$L$75)</f>
        <v>13.444612630643752</v>
      </c>
      <c r="AN45" s="443">
        <f>AM45*(1+'Demand Breakdown - BTX'!$L$75)</f>
        <v>13.591903115540774</v>
      </c>
      <c r="AO45" s="443">
        <f>AN45*(1+'Demand Breakdown - BTX'!$L$75)</f>
        <v>13.740807219776427</v>
      </c>
      <c r="AP45" s="443">
        <f>AO45*(1+'Demand Breakdown - BTX'!$L$75)</f>
        <v>13.891342621121082</v>
      </c>
      <c r="AQ45" s="443">
        <f>AP45*(1+'Demand Breakdown - BTX'!$L$75)</f>
        <v>14.043527191011336</v>
      </c>
      <c r="AR45" s="443">
        <f>AQ45*(1+'Demand Breakdown - BTX'!$L$75)</f>
        <v>14.197378996671693</v>
      </c>
      <c r="AS45" s="443">
        <f>AR45*(1+'Demand Breakdown - BTX'!$L$75)</f>
        <v>14.352916303259487</v>
      </c>
      <c r="AT45" s="443">
        <f>AS45*(1+'Demand Breakdown - BTX'!$L$75)</f>
        <v>14.510157576033313</v>
      </c>
      <c r="AU45" s="443">
        <f>AT45*(1+'Demand Breakdown - BTX'!$L$75)</f>
        <v>14.669121482545197</v>
      </c>
      <c r="AV45" s="443">
        <f>AU45*(1+'Demand Breakdown - BTX'!$L$75)</f>
        <v>14.829826894856803</v>
      </c>
      <c r="AW45" s="443">
        <f>AV45*(1+'Demand Breakdown - BTX'!$L$75)</f>
        <v>14.992292891779897</v>
      </c>
      <c r="AX45" s="443">
        <f>AW45*(1+'Demand Breakdown - BTX'!$L$75)</f>
        <v>15.156538761141379</v>
      </c>
      <c r="AY45" s="443">
        <f>AX45*(1+'Demand Breakdown - BTX'!$L$75)</f>
        <v>15.322584002073109</v>
      </c>
      <c r="AZ45" s="443">
        <f>AY45*(1+'Demand Breakdown - BTX'!$L$75)</f>
        <v>15.490448327326833</v>
      </c>
      <c r="BA45" s="443">
        <f>AZ45*(1+'Demand Breakdown - BTX'!$L$75)</f>
        <v>15.66015166561446</v>
      </c>
      <c r="BB45" s="443">
        <f>BA45*(1+'Demand Breakdown - BTX'!$L$75)</f>
        <v>15.831714163973984</v>
      </c>
      <c r="BC45" s="443">
        <f>BB45*(1+'Demand Breakdown - BTX'!$L$75)</f>
        <v>16.005156190161326</v>
      </c>
      <c r="BD45" s="443">
        <f>BC45*(1+'Demand Breakdown - BTX'!$L$75)</f>
        <v>16.180498335068371</v>
      </c>
      <c r="BE45" s="443">
        <f>BD45*(1+'Demand Breakdown - BTX'!$L$75)</f>
        <v>16.357761415167509</v>
      </c>
      <c r="BF45" s="443">
        <f>BE45*(1+'Demand Breakdown - BTX'!$L$75)</f>
        <v>16.53696647498294</v>
      </c>
      <c r="BG45" s="443">
        <f>BF45*(1+'Demand Breakdown - BTX'!$L$75)</f>
        <v>16.718134789589072</v>
      </c>
      <c r="BH45" s="443">
        <f>BG45*(1+'Demand Breakdown - BTX'!$L$75)</f>
        <v>16.901287867136272</v>
      </c>
      <c r="BI45" s="443">
        <f>BH45*(1+'Demand Breakdown - BTX'!$L$75)</f>
        <v>17.0864474514043</v>
      </c>
      <c r="BJ45" s="443">
        <f>BI45*(1+'Demand Breakdown - BTX'!$L$75)</f>
        <v>17.27363552438371</v>
      </c>
      <c r="BK45" s="443">
        <f>BJ45*(1+'Demand Breakdown - BTX'!$L$75)</f>
        <v>17.462874308885535</v>
      </c>
      <c r="BL45" s="443">
        <f>BK45*(1+'Demand Breakdown - BTX'!$L$75)</f>
        <v>17.654186271179562</v>
      </c>
      <c r="BM45" s="443">
        <f>BL45*(1+'Demand Breakdown - BTX'!$L$75)</f>
        <v>17.847594123661501</v>
      </c>
      <c r="BN45" s="443">
        <f>BM45*(1+'Demand Breakdown - BTX'!$L$75)</f>
        <v>18.043120827549398</v>
      </c>
    </row>
    <row r="46" spans="1:75" outlineLevel="1">
      <c r="B46" s="61" t="s">
        <v>206</v>
      </c>
      <c r="C46" s="54" t="s">
        <v>153</v>
      </c>
      <c r="D46" s="43">
        <f>D45*'R&amp;S - Apparel'!$C$7*'R&amp;S - Apparel'!$B$13*'R&amp;S - Apparel'!$B$17*(D$3-$D$3)/10</f>
        <v>0</v>
      </c>
      <c r="E46" s="43">
        <f>E45*'R&amp;S - Apparel'!$C$7*'R&amp;S - Apparel'!$B$13*'R&amp;S - Apparel'!$B$17*(E$3-$D$3)/10</f>
        <v>0</v>
      </c>
      <c r="F46" s="43">
        <f>F45*'R&amp;S - Apparel'!$C$7*'R&amp;S - Apparel'!$B$13*'R&amp;S - Apparel'!$B$17*(F$3-$D$3)/10</f>
        <v>0</v>
      </c>
      <c r="G46" s="43">
        <f>G45*'R&amp;S - Apparel'!$C$7*'R&amp;S - Apparel'!$B$13*'R&amp;S - Apparel'!$B$17*(G$3-$D$3)/10</f>
        <v>0</v>
      </c>
      <c r="H46" s="43">
        <f>H45*'R&amp;S - Apparel'!$C$7*'R&amp;S - Apparel'!$B$13*'R&amp;S - Apparel'!$B$17*(H$3-$D$3)/10</f>
        <v>0</v>
      </c>
      <c r="I46" s="43">
        <f>I45*'R&amp;S - Apparel'!$C$7*'R&amp;S - Apparel'!$B$13*'R&amp;S - Apparel'!$B$17*(I$3-$D$3)/10</f>
        <v>0</v>
      </c>
      <c r="J46" s="43">
        <f>J45*'R&amp;S - Apparel'!$C$7*'R&amp;S - Apparel'!$B$13*'R&amp;S - Apparel'!$B$17*(J$3-$D$3)/10</f>
        <v>0</v>
      </c>
      <c r="K46" s="43">
        <f>K45*'R&amp;S - Apparel'!$C$7*'R&amp;S - Apparel'!$B$13*'R&amp;S - Apparel'!$B$17*(K$3-$D$3)/10</f>
        <v>0</v>
      </c>
      <c r="L46" s="43">
        <f>L45*'R&amp;S - Apparel'!$C$7*'R&amp;S - Apparel'!$B$13*'R&amp;S - Apparel'!$B$17*(L$3-$D$3)/10</f>
        <v>0</v>
      </c>
      <c r="M46" s="43">
        <f>M45*'R&amp;S - Apparel'!$C$7*'R&amp;S - Apparel'!$B$13*'R&amp;S - Apparel'!$B$17*(M$3-$D$3)/10</f>
        <v>0</v>
      </c>
      <c r="N46" s="43">
        <f>N45*'R&amp;S - Apparel'!$C$7*'R&amp;S - Apparel'!$B$13*'R&amp;S - Apparel'!$B$17*(N$3-$D$3)/10</f>
        <v>0</v>
      </c>
      <c r="O46" s="43">
        <f>O45*'R&amp;S - Apparel'!$C$7*'R&amp;S - Apparel'!$B$13*('R&amp;S - Apparel'!$B$17+('R&amp;S - Apparel'!$B$18-'R&amp;S - Apparel'!$B$17)*(O$3-$N$3)/10)</f>
        <v>0</v>
      </c>
      <c r="P46" s="43">
        <f>P45*'R&amp;S - Apparel'!$C$7*'R&amp;S - Apparel'!$B$13*('R&amp;S - Apparel'!$B$17+('R&amp;S - Apparel'!$B$18-'R&amp;S - Apparel'!$B$17)*(P$3-$N$3)/10)</f>
        <v>0</v>
      </c>
      <c r="Q46" s="43">
        <f>Q45*'R&amp;S - Apparel'!$C$7*'R&amp;S - Apparel'!$B$13*('R&amp;S - Apparel'!$B$17+('R&amp;S - Apparel'!$B$18-'R&amp;S - Apparel'!$B$17)*(Q$3-$N$3)/10)</f>
        <v>0</v>
      </c>
      <c r="R46" s="43">
        <f>R45*'R&amp;S - Apparel'!$C$7*'R&amp;S - Apparel'!$B$13*('R&amp;S - Apparel'!$B$17+('R&amp;S - Apparel'!$B$18-'R&amp;S - Apparel'!$B$17)*(R$3-$N$3)/10)</f>
        <v>0</v>
      </c>
      <c r="S46" s="43">
        <f>S45*'R&amp;S - Apparel'!$C$7*'R&amp;S - Apparel'!$B$13*('R&amp;S - Apparel'!$B$17+('R&amp;S - Apparel'!$B$18-'R&amp;S - Apparel'!$B$17)*(S$3-$N$3)/10)</f>
        <v>0</v>
      </c>
      <c r="T46" s="43">
        <f>T45*'R&amp;S - Apparel'!$C$7*'R&amp;S - Apparel'!$B$13*('R&amp;S - Apparel'!$B$17+('R&amp;S - Apparel'!$B$18-'R&amp;S - Apparel'!$B$17)*(T$3-$N$3)/10)</f>
        <v>0</v>
      </c>
      <c r="U46" s="43">
        <f>U45*'R&amp;S - Apparel'!$C$7*'R&amp;S - Apparel'!$B$13*('R&amp;S - Apparel'!$B$17+('R&amp;S - Apparel'!$B$18-'R&amp;S - Apparel'!$B$17)*(U$3-$N$3)/10)</f>
        <v>0</v>
      </c>
      <c r="V46" s="43">
        <f>V45*'R&amp;S - Apparel'!$C$7*'R&amp;S - Apparel'!$B$13*('R&amp;S - Apparel'!$B$17+('R&amp;S - Apparel'!$B$18-'R&amp;S - Apparel'!$B$17)*(V$3-$N$3)/10)</f>
        <v>0</v>
      </c>
      <c r="W46" s="43">
        <f>W45*'R&amp;S - Apparel'!$C$7*'R&amp;S - Apparel'!$B$13*('R&amp;S - Apparel'!$B$17+('R&amp;S - Apparel'!$B$18-'R&amp;S - Apparel'!$B$17)*(W$3-$N$3)/10)</f>
        <v>0</v>
      </c>
      <c r="X46" s="43">
        <f>X45*'R&amp;S - Apparel'!$C$7*'R&amp;S - Apparel'!$B$13*('R&amp;S - Apparel'!$B$17+('R&amp;S - Apparel'!$B$18-'R&amp;S - Apparel'!$B$17)*(X$3-$N$3)/10)</f>
        <v>0</v>
      </c>
      <c r="Y46" s="43">
        <f>Y45*'R&amp;S - Apparel'!$C$7*'R&amp;S - Apparel'!$B$13*('R&amp;S - Apparel'!$B$18+('R&amp;S - Apparel'!$B$19-'R&amp;S - Apparel'!$B$18)*(Y$3-$X$3)/10)</f>
        <v>0</v>
      </c>
      <c r="Z46" s="43">
        <f>Z45*'R&amp;S - Apparel'!$C$7*'R&amp;S - Apparel'!$B$13*('R&amp;S - Apparel'!$B$18+('R&amp;S - Apparel'!$B$19-'R&amp;S - Apparel'!$B$18)*(Z$3-$X$3)/10)</f>
        <v>0</v>
      </c>
      <c r="AA46" s="43">
        <f>AA45*'R&amp;S - Apparel'!$C$7*'R&amp;S - Apparel'!$B$13*('R&amp;S - Apparel'!$B$18+('R&amp;S - Apparel'!$B$19-'R&amp;S - Apparel'!$B$18)*(AA$3-$X$3)/10)</f>
        <v>0</v>
      </c>
      <c r="AB46" s="43">
        <f>AB45*'R&amp;S - Apparel'!$C$7*'R&amp;S - Apparel'!$B$13*('R&amp;S - Apparel'!$B$18+('R&amp;S - Apparel'!$B$19-'R&amp;S - Apparel'!$B$18)*(AB$3-$X$3)/10)</f>
        <v>0</v>
      </c>
      <c r="AC46" s="43">
        <f>AC45*'R&amp;S - Apparel'!$C$7*'R&amp;S - Apparel'!$B$13*('R&amp;S - Apparel'!$B$18+('R&amp;S - Apparel'!$B$19-'R&amp;S - Apparel'!$B$18)*(AC$3-$X$3)/10)</f>
        <v>0</v>
      </c>
      <c r="AD46" s="43">
        <f>AD45*'R&amp;S - Apparel'!$C$7*'R&amp;S - Apparel'!$B$13*('R&amp;S - Apparel'!$B$18+('R&amp;S - Apparel'!$B$19-'R&amp;S - Apparel'!$B$18)*(AD$3-$X$3)/10)</f>
        <v>0</v>
      </c>
      <c r="AE46" s="43">
        <f>AE45*'R&amp;S - Apparel'!$C$7*'R&amp;S - Apparel'!$B$13*('R&amp;S - Apparel'!$B$18+('R&amp;S - Apparel'!$B$19-'R&amp;S - Apparel'!$B$18)*(AE$3-$X$3)/10)</f>
        <v>0</v>
      </c>
      <c r="AF46" s="43">
        <f>AF45*'R&amp;S - Apparel'!$C$7*'R&amp;S - Apparel'!$B$13*('R&amp;S - Apparel'!$B$18+('R&amp;S - Apparel'!$B$19-'R&amp;S - Apparel'!$B$18)*(AF$3-$X$3)/10)</f>
        <v>0</v>
      </c>
      <c r="AG46" s="43">
        <f>AG45*'R&amp;S - Apparel'!$C$7*'R&amp;S - Apparel'!$B$13*('R&amp;S - Apparel'!$B$18+('R&amp;S - Apparel'!$B$19-'R&amp;S - Apparel'!$B$18)*(AG$3-$X$3)/10)</f>
        <v>0</v>
      </c>
      <c r="AH46" s="43">
        <f>AH45*'R&amp;S - Apparel'!$C$7*'R&amp;S - Apparel'!$B$13*('R&amp;S - Apparel'!$B$18+('R&amp;S - Apparel'!$B$19-'R&amp;S - Apparel'!$B$18)*(AH$3-$X$3)/10)</f>
        <v>0</v>
      </c>
      <c r="AJ46" s="43">
        <f>AJ45*'R&amp;S - Apparel'!$C$7*'R&amp;S - Apparel'!$B$14*'R&amp;S - Apparel'!$B$17*(AJ$3-$D$3)/10</f>
        <v>0</v>
      </c>
      <c r="AK46" s="43">
        <f>AK45*'R&amp;S - Apparel'!$C$7*'R&amp;S - Apparel'!$B$14*'R&amp;S - Apparel'!$B$17*(AK$3-$D$3)/10</f>
        <v>0</v>
      </c>
      <c r="AL46" s="43">
        <f>AL45*'R&amp;S - Apparel'!$C$7*'R&amp;S - Apparel'!$B$14*'R&amp;S - Apparel'!$B$17*(AL$3-$D$3)/10</f>
        <v>0</v>
      </c>
      <c r="AM46" s="43">
        <f>AM45*'R&amp;S - Apparel'!$C$7*'R&amp;S - Apparel'!$B$14*'R&amp;S - Apparel'!$B$17*(AM$3-$D$3)/10</f>
        <v>0</v>
      </c>
      <c r="AN46" s="43">
        <f>AN45*'R&amp;S - Apparel'!$C$7*'R&amp;S - Apparel'!$B$14*'R&amp;S - Apparel'!$B$17*(AN$3-$D$3)/10</f>
        <v>0</v>
      </c>
      <c r="AO46" s="43">
        <f>AO45*'R&amp;S - Apparel'!$C$7*'R&amp;S - Apparel'!$B$14*'R&amp;S - Apparel'!$B$17*(AO$3-$D$3)/10</f>
        <v>0</v>
      </c>
      <c r="AP46" s="43">
        <f>AP45*'R&amp;S - Apparel'!$C$7*'R&amp;S - Apparel'!$B$14*'R&amp;S - Apparel'!$B$17*(AP$3-$D$3)/10</f>
        <v>0</v>
      </c>
      <c r="AQ46" s="43">
        <f>AQ45*'R&amp;S - Apparel'!$C$7*'R&amp;S - Apparel'!$B$14*'R&amp;S - Apparel'!$B$17*(AQ$3-$D$3)/10</f>
        <v>0</v>
      </c>
      <c r="AR46" s="43">
        <f>AR45*'R&amp;S - Apparel'!$C$7*'R&amp;S - Apparel'!$B$14*'R&amp;S - Apparel'!$B$17*(AR$3-$D$3)/10</f>
        <v>0</v>
      </c>
      <c r="AS46" s="43">
        <f>AS45*'R&amp;S - Apparel'!$C$7*'R&amp;S - Apparel'!$B$14*'R&amp;S - Apparel'!$B$17*(AS$3-$D$3)/10</f>
        <v>0</v>
      </c>
      <c r="AT46" s="43">
        <f>AT45*'R&amp;S - Apparel'!$C$7*'R&amp;S - Apparel'!$B$14*'R&amp;S - Apparel'!$B$17*(AT$3-$D$3)/10</f>
        <v>0</v>
      </c>
      <c r="AU46" s="43">
        <f>AU45*'R&amp;S - Apparel'!$C$7*'R&amp;S - Apparel'!$B$14*('R&amp;S - Apparel'!$B$17+('R&amp;S - Apparel'!$B$18-'R&amp;S - Apparel'!$B$17)*(AU$3-$N$3)/10)</f>
        <v>0</v>
      </c>
      <c r="AV46" s="43">
        <f>AV45*'R&amp;S - Apparel'!$C$7*'R&amp;S - Apparel'!$B$14*('R&amp;S - Apparel'!$B$17+('R&amp;S - Apparel'!$B$18-'R&amp;S - Apparel'!$B$17)*(AV$3-$N$3)/10)</f>
        <v>0</v>
      </c>
      <c r="AW46" s="43">
        <f>AW45*'R&amp;S - Apparel'!$C$7*'R&amp;S - Apparel'!$B$14*('R&amp;S - Apparel'!$B$17+('R&amp;S - Apparel'!$B$18-'R&amp;S - Apparel'!$B$17)*(AW$3-$N$3)/10)</f>
        <v>0</v>
      </c>
      <c r="AX46" s="43">
        <f>AX45*'R&amp;S - Apparel'!$C$7*'R&amp;S - Apparel'!$B$14*('R&amp;S - Apparel'!$B$17+('R&amp;S - Apparel'!$B$18-'R&amp;S - Apparel'!$B$17)*(AX$3-$N$3)/10)</f>
        <v>0</v>
      </c>
      <c r="AY46" s="43">
        <f>AY45*'R&amp;S - Apparel'!$C$7*'R&amp;S - Apparel'!$B$14*('R&amp;S - Apparel'!$B$17+('R&amp;S - Apparel'!$B$18-'R&amp;S - Apparel'!$B$17)*(AY$3-$N$3)/10)</f>
        <v>0</v>
      </c>
      <c r="AZ46" s="43">
        <f>AZ45*'R&amp;S - Apparel'!$C$7*'R&amp;S - Apparel'!$B$14*('R&amp;S - Apparel'!$B$17+('R&amp;S - Apparel'!$B$18-'R&amp;S - Apparel'!$B$17)*(AZ$3-$N$3)/10)</f>
        <v>0</v>
      </c>
      <c r="BA46" s="43">
        <f>BA45*'R&amp;S - Apparel'!$C$7*'R&amp;S - Apparel'!$B$14*('R&amp;S - Apparel'!$B$17+('R&amp;S - Apparel'!$B$18-'R&amp;S - Apparel'!$B$17)*(BA$3-$N$3)/10)</f>
        <v>0</v>
      </c>
      <c r="BB46" s="43">
        <f>BB45*'R&amp;S - Apparel'!$C$7*'R&amp;S - Apparel'!$B$14*('R&amp;S - Apparel'!$B$17+('R&amp;S - Apparel'!$B$18-'R&amp;S - Apparel'!$B$17)*(BB$3-$N$3)/10)</f>
        <v>0</v>
      </c>
      <c r="BC46" s="43">
        <f>BC45*'R&amp;S - Apparel'!$C$7*'R&amp;S - Apparel'!$B$14*('R&amp;S - Apparel'!$B$17+('R&amp;S - Apparel'!$B$18-'R&amp;S - Apparel'!$B$17)*(BC$3-$N$3)/10)</f>
        <v>0</v>
      </c>
      <c r="BD46" s="43">
        <f>BD45*'R&amp;S - Apparel'!$C$7*'R&amp;S - Apparel'!$B$14*('R&amp;S - Apparel'!$B$17+('R&amp;S - Apparel'!$B$18-'R&amp;S - Apparel'!$B$17)*(BD$3-$N$3)/10)</f>
        <v>0</v>
      </c>
      <c r="BE46" s="43">
        <f>BE45*'R&amp;S - Apparel'!$C$7*'R&amp;S - Apparel'!$B$14*('R&amp;S - Apparel'!$B$18+('R&amp;S - Apparel'!$B$19-'R&amp;S - Apparel'!$B$18)*(BE$3-$X$3)/10)</f>
        <v>0</v>
      </c>
      <c r="BF46" s="43">
        <f>BF45*'R&amp;S - Apparel'!$C$7*'R&amp;S - Apparel'!$B$14*('R&amp;S - Apparel'!$B$18+('R&amp;S - Apparel'!$B$19-'R&amp;S - Apparel'!$B$18)*(BF$3-$X$3)/10)</f>
        <v>0</v>
      </c>
      <c r="BG46" s="43">
        <f>BG45*'R&amp;S - Apparel'!$C$7*'R&amp;S - Apparel'!$B$14*('R&amp;S - Apparel'!$B$18+('R&amp;S - Apparel'!$B$19-'R&amp;S - Apparel'!$B$18)*(BG$3-$X$3)/10)</f>
        <v>0</v>
      </c>
      <c r="BH46" s="43">
        <f>BH45*'R&amp;S - Apparel'!$C$7*'R&amp;S - Apparel'!$B$14*('R&amp;S - Apparel'!$B$18+('R&amp;S - Apparel'!$B$19-'R&amp;S - Apparel'!$B$18)*(BH$3-$X$3)/10)</f>
        <v>0</v>
      </c>
      <c r="BI46" s="43">
        <f>BI45*'R&amp;S - Apparel'!$C$7*'R&amp;S - Apparel'!$B$14*('R&amp;S - Apparel'!$B$18+('R&amp;S - Apparel'!$B$19-'R&amp;S - Apparel'!$B$18)*(BI$3-$X$3)/10)</f>
        <v>0</v>
      </c>
      <c r="BJ46" s="43">
        <f>BJ45*'R&amp;S - Apparel'!$C$7*'R&amp;S - Apparel'!$B$14*('R&amp;S - Apparel'!$B$18+('R&amp;S - Apparel'!$B$19-'R&amp;S - Apparel'!$B$18)*(BJ$3-$X$3)/10)</f>
        <v>0</v>
      </c>
      <c r="BK46" s="43">
        <f>BK45*'R&amp;S - Apparel'!$C$7*'R&amp;S - Apparel'!$B$14*('R&amp;S - Apparel'!$B$18+('R&amp;S - Apparel'!$B$19-'R&amp;S - Apparel'!$B$18)*(BK$3-$X$3)/10)</f>
        <v>0</v>
      </c>
      <c r="BL46" s="43">
        <f>BL45*'R&amp;S - Apparel'!$C$7*'R&amp;S - Apparel'!$B$14*('R&amp;S - Apparel'!$B$18+('R&amp;S - Apparel'!$B$19-'R&amp;S - Apparel'!$B$18)*(BL$3-$X$3)/10)</f>
        <v>0</v>
      </c>
      <c r="BM46" s="43">
        <f>BM45*'R&amp;S - Apparel'!$C$7*'R&amp;S - Apparel'!$B$14*('R&amp;S - Apparel'!$B$18+('R&amp;S - Apparel'!$B$19-'R&amp;S - Apparel'!$B$18)*(BM$3-$X$3)/10)</f>
        <v>0</v>
      </c>
      <c r="BN46" s="43">
        <f>BN45*'R&amp;S - Apparel'!$C$7*'R&amp;S - Apparel'!$B$14*('R&amp;S - Apparel'!$B$18+('R&amp;S - Apparel'!$B$19-'R&amp;S - Apparel'!$B$18)*(BN$3-$X$3)/10)</f>
        <v>0</v>
      </c>
    </row>
    <row r="47" spans="1:75" outlineLevel="1">
      <c r="B47" s="61" t="s">
        <v>207</v>
      </c>
      <c r="C47" s="54" t="s">
        <v>153</v>
      </c>
      <c r="D47" s="43">
        <f>D45*'R&amp;S - Apparel'!$C$8*'R&amp;S - Apparel'!$B$13*'R&amp;S - Apparel'!$C$17*(D$3-$D$3)/10</f>
        <v>0</v>
      </c>
      <c r="E47" s="43">
        <f>E45*'R&amp;S - Apparel'!$C$8*'R&amp;S - Apparel'!$B$13*'R&amp;S - Apparel'!$C$17*(E$3-$D$3)/10</f>
        <v>0</v>
      </c>
      <c r="F47" s="43">
        <f>F45*'R&amp;S - Apparel'!$C$8*'R&amp;S - Apparel'!$B$13*'R&amp;S - Apparel'!$C$17*(F$3-$D$3)/10</f>
        <v>0</v>
      </c>
      <c r="G47" s="43">
        <f>G45*'R&amp;S - Apparel'!$C$8*'R&amp;S - Apparel'!$B$13*'R&amp;S - Apparel'!$C$17*(G$3-$D$3)/10</f>
        <v>0</v>
      </c>
      <c r="H47" s="43">
        <f>H45*'R&amp;S - Apparel'!$C$8*'R&amp;S - Apparel'!$B$13*'R&amp;S - Apparel'!$C$17*(H$3-$D$3)/10</f>
        <v>0</v>
      </c>
      <c r="I47" s="43">
        <f>I45*'R&amp;S - Apparel'!$C$8*'R&amp;S - Apparel'!$B$13*'R&amp;S - Apparel'!$C$17*(I$3-$D$3)/10</f>
        <v>0</v>
      </c>
      <c r="J47" s="43">
        <f>J45*'R&amp;S - Apparel'!$C$8*'R&amp;S - Apparel'!$B$13*'R&amp;S - Apparel'!$C$17*(J$3-$D$3)/10</f>
        <v>0</v>
      </c>
      <c r="K47" s="43">
        <f>K45*'R&amp;S - Apparel'!$C$8*'R&amp;S - Apparel'!$B$13*'R&amp;S - Apparel'!$C$17*(K$3-$D$3)/10</f>
        <v>0</v>
      </c>
      <c r="L47" s="43">
        <f>L45*'R&amp;S - Apparel'!$C$8*'R&amp;S - Apparel'!$B$13*'R&amp;S - Apparel'!$C$17*(L$3-$D$3)/10</f>
        <v>0</v>
      </c>
      <c r="M47" s="43">
        <f>M45*'R&amp;S - Apparel'!$C$8*'R&amp;S - Apparel'!$B$13*'R&amp;S - Apparel'!$C$17*(M$3-$D$3)/10</f>
        <v>0</v>
      </c>
      <c r="N47" s="43">
        <f>N45*'R&amp;S - Apparel'!$C$8*'R&amp;S - Apparel'!$B$13*'R&amp;S - Apparel'!$C$17*(N$3-$D$3)/10</f>
        <v>0</v>
      </c>
      <c r="O47" s="43">
        <f>O45*'R&amp;S - Apparel'!$C$8*'R&amp;S - Apparel'!$B$13*('R&amp;S - Apparel'!$C$17+('R&amp;S - Apparel'!$C$18-'R&amp;S - Apparel'!$C$17)*(O$3-$N$3)/10)</f>
        <v>0</v>
      </c>
      <c r="P47" s="43">
        <f>P45*'R&amp;S - Apparel'!$C$8*'R&amp;S - Apparel'!$B$13*('R&amp;S - Apparel'!$C$17+('R&amp;S - Apparel'!$C$18-'R&amp;S - Apparel'!$C$17)*(P$3-$N$3)/10)</f>
        <v>0</v>
      </c>
      <c r="Q47" s="43">
        <f>Q45*'R&amp;S - Apparel'!$C$8*'R&amp;S - Apparel'!$B$13*('R&amp;S - Apparel'!$C$17+('R&amp;S - Apparel'!$C$18-'R&amp;S - Apparel'!$C$17)*(Q$3-$N$3)/10)</f>
        <v>0</v>
      </c>
      <c r="R47" s="43">
        <f>R45*'R&amp;S - Apparel'!$C$8*'R&amp;S - Apparel'!$B$13*('R&amp;S - Apparel'!$C$17+('R&amp;S - Apparel'!$C$18-'R&amp;S - Apparel'!$C$17)*(R$3-$N$3)/10)</f>
        <v>0</v>
      </c>
      <c r="S47" s="43">
        <f>S45*'R&amp;S - Apparel'!$C$8*'R&amp;S - Apparel'!$B$13*('R&amp;S - Apparel'!$C$17+('R&amp;S - Apparel'!$C$18-'R&amp;S - Apparel'!$C$17)*(S$3-$N$3)/10)</f>
        <v>0</v>
      </c>
      <c r="T47" s="43">
        <f>T45*'R&amp;S - Apparel'!$C$8*'R&amp;S - Apparel'!$B$13*('R&amp;S - Apparel'!$C$17+('R&amp;S - Apparel'!$C$18-'R&amp;S - Apparel'!$C$17)*(T$3-$N$3)/10)</f>
        <v>0</v>
      </c>
      <c r="U47" s="43">
        <f>U45*'R&amp;S - Apparel'!$C$8*'R&amp;S - Apparel'!$B$13*('R&amp;S - Apparel'!$C$17+('R&amp;S - Apparel'!$C$18-'R&amp;S - Apparel'!$C$17)*(U$3-$N$3)/10)</f>
        <v>0</v>
      </c>
      <c r="V47" s="43">
        <f>V45*'R&amp;S - Apparel'!$C$8*'R&amp;S - Apparel'!$B$13*('R&amp;S - Apparel'!$C$17+('R&amp;S - Apparel'!$C$18-'R&amp;S - Apparel'!$C$17)*(V$3-$N$3)/10)</f>
        <v>0</v>
      </c>
      <c r="W47" s="43">
        <f>W45*'R&amp;S - Apparel'!$C$8*'R&amp;S - Apparel'!$B$13*('R&amp;S - Apparel'!$C$17+('R&amp;S - Apparel'!$C$18-'R&amp;S - Apparel'!$C$17)*(W$3-$N$3)/10)</f>
        <v>0</v>
      </c>
      <c r="X47" s="43">
        <f>X45*'R&amp;S - Apparel'!$C$8*'R&amp;S - Apparel'!$B$13*('R&amp;S - Apparel'!$C$17+('R&amp;S - Apparel'!$C$18-'R&amp;S - Apparel'!$C$17)*(X$3-$N$3)/10)</f>
        <v>0</v>
      </c>
      <c r="Y47" s="43">
        <f>Y45*'R&amp;S - Apparel'!$C$8*'R&amp;S - Apparel'!$B$13*('R&amp;S - Apparel'!$C$18+('R&amp;S - Apparel'!$C$19-'R&amp;S - Apparel'!$C$18)*(Y$3-$X$3)/10)</f>
        <v>0</v>
      </c>
      <c r="Z47" s="43">
        <f>Z45*'R&amp;S - Apparel'!$C$8*'R&amp;S - Apparel'!$B$13*('R&amp;S - Apparel'!$C$18+('R&amp;S - Apparel'!$C$19-'R&amp;S - Apparel'!$C$18)*(Z$3-$X$3)/10)</f>
        <v>0</v>
      </c>
      <c r="AA47" s="43">
        <f>AA45*'R&amp;S - Apparel'!$C$8*'R&amp;S - Apparel'!$B$13*('R&amp;S - Apparel'!$C$18+('R&amp;S - Apparel'!$C$19-'R&amp;S - Apparel'!$C$18)*(AA$3-$X$3)/10)</f>
        <v>0</v>
      </c>
      <c r="AB47" s="43">
        <f>AB45*'R&amp;S - Apparel'!$C$8*'R&amp;S - Apparel'!$B$13*('R&amp;S - Apparel'!$C$18+('R&amp;S - Apparel'!$C$19-'R&amp;S - Apparel'!$C$18)*(AB$3-$X$3)/10)</f>
        <v>0</v>
      </c>
      <c r="AC47" s="43">
        <f>AC45*'R&amp;S - Apparel'!$C$8*'R&amp;S - Apparel'!$B$13*('R&amp;S - Apparel'!$C$18+('R&amp;S - Apparel'!$C$19-'R&amp;S - Apparel'!$C$18)*(AC$3-$X$3)/10)</f>
        <v>0</v>
      </c>
      <c r="AD47" s="43">
        <f>AD45*'R&amp;S - Apparel'!$C$8*'R&amp;S - Apparel'!$B$13*('R&amp;S - Apparel'!$C$18+('R&amp;S - Apparel'!$C$19-'R&amp;S - Apparel'!$C$18)*(AD$3-$X$3)/10)</f>
        <v>0</v>
      </c>
      <c r="AE47" s="43">
        <f>AE45*'R&amp;S - Apparel'!$C$8*'R&amp;S - Apparel'!$B$13*('R&amp;S - Apparel'!$C$18+('R&amp;S - Apparel'!$C$19-'R&amp;S - Apparel'!$C$18)*(AE$3-$X$3)/10)</f>
        <v>0</v>
      </c>
      <c r="AF47" s="43">
        <f>AF45*'R&amp;S - Apparel'!$C$8*'R&amp;S - Apparel'!$B$13*('R&amp;S - Apparel'!$C$18+('R&amp;S - Apparel'!$C$19-'R&amp;S - Apparel'!$C$18)*(AF$3-$X$3)/10)</f>
        <v>0</v>
      </c>
      <c r="AG47" s="43">
        <f>AG45*'R&amp;S - Apparel'!$C$8*'R&amp;S - Apparel'!$B$13*('R&amp;S - Apparel'!$C$18+('R&amp;S - Apparel'!$C$19-'R&amp;S - Apparel'!$C$18)*(AG$3-$X$3)/10)</f>
        <v>0</v>
      </c>
      <c r="AH47" s="43">
        <f>AH45*'R&amp;S - Apparel'!$C$8*'R&amp;S - Apparel'!$B$13*('R&amp;S - Apparel'!$C$18+('R&amp;S - Apparel'!$C$19-'R&amp;S - Apparel'!$C$18)*(AH$3-$X$3)/10)</f>
        <v>0</v>
      </c>
      <c r="AJ47" s="43">
        <f>AJ45*'R&amp;S - Apparel'!$C$8*'R&amp;S - Apparel'!$B$14*'R&amp;S - Apparel'!$C$17*(AJ$3-$D$3)/10</f>
        <v>0</v>
      </c>
      <c r="AK47" s="43">
        <f>AK45*'R&amp;S - Apparel'!$C$8*'R&amp;S - Apparel'!$B$14*'R&amp;S - Apparel'!$C$17*(AK$3-$D$3)/10</f>
        <v>0</v>
      </c>
      <c r="AL47" s="43">
        <f>AL45*'R&amp;S - Apparel'!$C$8*'R&amp;S - Apparel'!$B$14*'R&amp;S - Apparel'!$C$17*(AL$3-$D$3)/10</f>
        <v>0</v>
      </c>
      <c r="AM47" s="43">
        <f>AM45*'R&amp;S - Apparel'!$C$8*'R&amp;S - Apparel'!$B$14*'R&amp;S - Apparel'!$C$17*(AM$3-$D$3)/10</f>
        <v>0</v>
      </c>
      <c r="AN47" s="43">
        <f>AN45*'R&amp;S - Apparel'!$C$8*'R&amp;S - Apparel'!$B$14*'R&amp;S - Apparel'!$C$17*(AN$3-$D$3)/10</f>
        <v>0</v>
      </c>
      <c r="AO47" s="43">
        <f>AO45*'R&amp;S - Apparel'!$C$8*'R&amp;S - Apparel'!$B$14*'R&amp;S - Apparel'!$C$17*(AO$3-$D$3)/10</f>
        <v>0</v>
      </c>
      <c r="AP47" s="43">
        <f>AP45*'R&amp;S - Apparel'!$C$8*'R&amp;S - Apparel'!$B$14*'R&amp;S - Apparel'!$C$17*(AP$3-$D$3)/10</f>
        <v>0</v>
      </c>
      <c r="AQ47" s="43">
        <f>AQ45*'R&amp;S - Apparel'!$C$8*'R&amp;S - Apparel'!$B$14*'R&amp;S - Apparel'!$C$17*(AQ$3-$D$3)/10</f>
        <v>0</v>
      </c>
      <c r="AR47" s="43">
        <f>AR45*'R&amp;S - Apparel'!$C$8*'R&amp;S - Apparel'!$B$14*'R&amp;S - Apparel'!$C$17*(AR$3-$D$3)/10</f>
        <v>0</v>
      </c>
      <c r="AS47" s="43">
        <f>AS45*'R&amp;S - Apparel'!$C$8*'R&amp;S - Apparel'!$B$14*'R&amp;S - Apparel'!$C$17*(AS$3-$D$3)/10</f>
        <v>0</v>
      </c>
      <c r="AT47" s="43">
        <f>AT45*'R&amp;S - Apparel'!$C$8*'R&amp;S - Apparel'!$B$14*'R&amp;S - Apparel'!$C$17*(AT$3-$D$3)/10</f>
        <v>0</v>
      </c>
      <c r="AU47" s="43">
        <f>AU45*'R&amp;S - Apparel'!$C$8*'R&amp;S - Apparel'!$B$14*('R&amp;S - Apparel'!$C$17+('R&amp;S - Apparel'!$C$18-'R&amp;S - Apparel'!$C$17)*(AU$3-$N$3)/10)</f>
        <v>0</v>
      </c>
      <c r="AV47" s="43">
        <f>AV45*'R&amp;S - Apparel'!$C$8*'R&amp;S - Apparel'!$B$14*('R&amp;S - Apparel'!$C$17+('R&amp;S - Apparel'!$C$18-'R&amp;S - Apparel'!$C$17)*(AV$3-$N$3)/10)</f>
        <v>0</v>
      </c>
      <c r="AW47" s="43">
        <f>AW45*'R&amp;S - Apparel'!$C$8*'R&amp;S - Apparel'!$B$14*('R&amp;S - Apparel'!$C$17+('R&amp;S - Apparel'!$C$18-'R&amp;S - Apparel'!$C$17)*(AW$3-$N$3)/10)</f>
        <v>0</v>
      </c>
      <c r="AX47" s="43">
        <f>AX45*'R&amp;S - Apparel'!$C$8*'R&amp;S - Apparel'!$B$14*('R&amp;S - Apparel'!$C$17+('R&amp;S - Apparel'!$C$18-'R&amp;S - Apparel'!$C$17)*(AX$3-$N$3)/10)</f>
        <v>0</v>
      </c>
      <c r="AY47" s="43">
        <f>AY45*'R&amp;S - Apparel'!$C$8*'R&amp;S - Apparel'!$B$14*('R&amp;S - Apparel'!$C$17+('R&amp;S - Apparel'!$C$18-'R&amp;S - Apparel'!$C$17)*(AY$3-$N$3)/10)</f>
        <v>0</v>
      </c>
      <c r="AZ47" s="43">
        <f>AZ45*'R&amp;S - Apparel'!$C$8*'R&amp;S - Apparel'!$B$14*('R&amp;S - Apparel'!$C$17+('R&amp;S - Apparel'!$C$18-'R&amp;S - Apparel'!$C$17)*(AZ$3-$N$3)/10)</f>
        <v>0</v>
      </c>
      <c r="BA47" s="43">
        <f>BA45*'R&amp;S - Apparel'!$C$8*'R&amp;S - Apparel'!$B$14*('R&amp;S - Apparel'!$C$17+('R&amp;S - Apparel'!$C$18-'R&amp;S - Apparel'!$C$17)*(BA$3-$N$3)/10)</f>
        <v>0</v>
      </c>
      <c r="BB47" s="43">
        <f>BB45*'R&amp;S - Apparel'!$C$8*'R&amp;S - Apparel'!$B$14*('R&amp;S - Apparel'!$C$17+('R&amp;S - Apparel'!$C$18-'R&amp;S - Apparel'!$C$17)*(BB$3-$N$3)/10)</f>
        <v>0</v>
      </c>
      <c r="BC47" s="43">
        <f>BC45*'R&amp;S - Apparel'!$C$8*'R&amp;S - Apparel'!$B$14*('R&amp;S - Apparel'!$C$17+('R&amp;S - Apparel'!$C$18-'R&amp;S - Apparel'!$C$17)*(BC$3-$N$3)/10)</f>
        <v>0</v>
      </c>
      <c r="BD47" s="43">
        <f>BD45*'R&amp;S - Apparel'!$C$8*'R&amp;S - Apparel'!$B$14*('R&amp;S - Apparel'!$C$17+('R&amp;S - Apparel'!$C$18-'R&amp;S - Apparel'!$C$17)*(BD$3-$N$3)/10)</f>
        <v>0</v>
      </c>
      <c r="BE47" s="43">
        <f>BE45*'R&amp;S - Apparel'!$C$8*'R&amp;S - Apparel'!$B$14*('R&amp;S - Apparel'!$C$18+('R&amp;S - Apparel'!$C$19-'R&amp;S - Apparel'!$C$18)*(BE$3-$X$3)/10)</f>
        <v>0</v>
      </c>
      <c r="BF47" s="43">
        <f>BF45*'R&amp;S - Apparel'!$C$8*'R&amp;S - Apparel'!$B$14*('R&amp;S - Apparel'!$C$18+('R&amp;S - Apparel'!$C$19-'R&amp;S - Apparel'!$C$18)*(BF$3-$X$3)/10)</f>
        <v>0</v>
      </c>
      <c r="BG47" s="43">
        <f>BG45*'R&amp;S - Apparel'!$C$8*'R&amp;S - Apparel'!$B$14*('R&amp;S - Apparel'!$C$18+('R&amp;S - Apparel'!$C$19-'R&amp;S - Apparel'!$C$18)*(BG$3-$X$3)/10)</f>
        <v>0</v>
      </c>
      <c r="BH47" s="43">
        <f>BH45*'R&amp;S - Apparel'!$C$8*'R&amp;S - Apparel'!$B$14*('R&amp;S - Apparel'!$C$18+('R&amp;S - Apparel'!$C$19-'R&amp;S - Apparel'!$C$18)*(BH$3-$X$3)/10)</f>
        <v>0</v>
      </c>
      <c r="BI47" s="43">
        <f>BI45*'R&amp;S - Apparel'!$C$8*'R&amp;S - Apparel'!$B$14*('R&amp;S - Apparel'!$C$18+('R&amp;S - Apparel'!$C$19-'R&amp;S - Apparel'!$C$18)*(BI$3-$X$3)/10)</f>
        <v>0</v>
      </c>
      <c r="BJ47" s="43">
        <f>BJ45*'R&amp;S - Apparel'!$C$8*'R&amp;S - Apparel'!$B$14*('R&amp;S - Apparel'!$C$18+('R&amp;S - Apparel'!$C$19-'R&amp;S - Apparel'!$C$18)*(BJ$3-$X$3)/10)</f>
        <v>0</v>
      </c>
      <c r="BK47" s="43">
        <f>BK45*'R&amp;S - Apparel'!$C$8*'R&amp;S - Apparel'!$B$14*('R&amp;S - Apparel'!$C$18+('R&amp;S - Apparel'!$C$19-'R&amp;S - Apparel'!$C$18)*(BK$3-$X$3)/10)</f>
        <v>0</v>
      </c>
      <c r="BL47" s="43">
        <f>BL45*'R&amp;S - Apparel'!$C$8*'R&amp;S - Apparel'!$B$14*('R&amp;S - Apparel'!$C$18+('R&amp;S - Apparel'!$C$19-'R&amp;S - Apparel'!$C$18)*(BL$3-$X$3)/10)</f>
        <v>0</v>
      </c>
      <c r="BM47" s="43">
        <f>BM45*'R&amp;S - Apparel'!$C$8*'R&amp;S - Apparel'!$B$14*('R&amp;S - Apparel'!$C$18+('R&amp;S - Apparel'!$C$19-'R&amp;S - Apparel'!$C$18)*(BM$3-$X$3)/10)</f>
        <v>0</v>
      </c>
      <c r="BN47" s="43">
        <f>BN45*'R&amp;S - Apparel'!$C$8*'R&amp;S - Apparel'!$B$14*('R&amp;S - Apparel'!$C$18+('R&amp;S - Apparel'!$C$19-'R&amp;S - Apparel'!$C$18)*(BN$3-$X$3)/10)</f>
        <v>0</v>
      </c>
    </row>
    <row r="48" spans="1:75" outlineLevel="1">
      <c r="B48" s="1" t="s">
        <v>168</v>
      </c>
      <c r="C48" s="54" t="s">
        <v>153</v>
      </c>
      <c r="D48" s="43">
        <f>SUM(D46:D47)</f>
        <v>0</v>
      </c>
      <c r="E48" s="43">
        <f>SUM(E46:E47)</f>
        <v>0</v>
      </c>
      <c r="F48" s="43">
        <f t="shared" ref="F48:AH48" si="37">SUM(F46:F47)</f>
        <v>0</v>
      </c>
      <c r="G48" s="43">
        <f t="shared" si="37"/>
        <v>0</v>
      </c>
      <c r="H48" s="43">
        <f t="shared" si="37"/>
        <v>0</v>
      </c>
      <c r="I48" s="43">
        <f t="shared" si="37"/>
        <v>0</v>
      </c>
      <c r="J48" s="43">
        <f t="shared" si="37"/>
        <v>0</v>
      </c>
      <c r="K48" s="43">
        <f t="shared" si="37"/>
        <v>0</v>
      </c>
      <c r="L48" s="43">
        <f t="shared" si="37"/>
        <v>0</v>
      </c>
      <c r="M48" s="43">
        <f t="shared" si="37"/>
        <v>0</v>
      </c>
      <c r="N48" s="43">
        <f t="shared" si="37"/>
        <v>0</v>
      </c>
      <c r="O48" s="43">
        <f>SUM(O46:O47)</f>
        <v>0</v>
      </c>
      <c r="P48" s="43">
        <f t="shared" si="37"/>
        <v>0</v>
      </c>
      <c r="Q48" s="43">
        <f t="shared" si="37"/>
        <v>0</v>
      </c>
      <c r="R48" s="43">
        <f t="shared" si="37"/>
        <v>0</v>
      </c>
      <c r="S48" s="43">
        <f t="shared" si="37"/>
        <v>0</v>
      </c>
      <c r="T48" s="43">
        <f t="shared" si="37"/>
        <v>0</v>
      </c>
      <c r="U48" s="43">
        <f t="shared" si="37"/>
        <v>0</v>
      </c>
      <c r="V48" s="43">
        <f t="shared" si="37"/>
        <v>0</v>
      </c>
      <c r="W48" s="43">
        <f t="shared" si="37"/>
        <v>0</v>
      </c>
      <c r="X48" s="43">
        <f t="shared" si="37"/>
        <v>0</v>
      </c>
      <c r="Y48" s="43">
        <f t="shared" si="37"/>
        <v>0</v>
      </c>
      <c r="Z48" s="43">
        <f t="shared" si="37"/>
        <v>0</v>
      </c>
      <c r="AA48" s="43">
        <f t="shared" si="37"/>
        <v>0</v>
      </c>
      <c r="AB48" s="43">
        <f t="shared" si="37"/>
        <v>0</v>
      </c>
      <c r="AC48" s="43">
        <f t="shared" si="37"/>
        <v>0</v>
      </c>
      <c r="AD48" s="43">
        <f t="shared" si="37"/>
        <v>0</v>
      </c>
      <c r="AE48" s="43">
        <f t="shared" si="37"/>
        <v>0</v>
      </c>
      <c r="AF48" s="43">
        <f t="shared" si="37"/>
        <v>0</v>
      </c>
      <c r="AG48" s="43">
        <f t="shared" si="37"/>
        <v>0</v>
      </c>
      <c r="AH48" s="43">
        <f t="shared" si="37"/>
        <v>0</v>
      </c>
      <c r="AJ48" s="43">
        <f>SUM(AJ46:AJ47)</f>
        <v>0</v>
      </c>
      <c r="AK48" s="43">
        <f>SUM(AK46:AK47)</f>
        <v>0</v>
      </c>
      <c r="AL48" s="43">
        <f t="shared" ref="AL48:AT48" si="38">SUM(AL46:AL47)</f>
        <v>0</v>
      </c>
      <c r="AM48" s="43">
        <f t="shared" si="38"/>
        <v>0</v>
      </c>
      <c r="AN48" s="43">
        <f t="shared" si="38"/>
        <v>0</v>
      </c>
      <c r="AO48" s="43">
        <f t="shared" si="38"/>
        <v>0</v>
      </c>
      <c r="AP48" s="43">
        <f t="shared" si="38"/>
        <v>0</v>
      </c>
      <c r="AQ48" s="43">
        <f t="shared" si="38"/>
        <v>0</v>
      </c>
      <c r="AR48" s="43">
        <f t="shared" si="38"/>
        <v>0</v>
      </c>
      <c r="AS48" s="43">
        <f t="shared" si="38"/>
        <v>0</v>
      </c>
      <c r="AT48" s="43">
        <f t="shared" si="38"/>
        <v>0</v>
      </c>
      <c r="AU48" s="43">
        <f>SUM(AU46:AU47)</f>
        <v>0</v>
      </c>
      <c r="AV48" s="43">
        <f t="shared" ref="AV48:BN48" si="39">SUM(AV46:AV47)</f>
        <v>0</v>
      </c>
      <c r="AW48" s="43">
        <f t="shared" si="39"/>
        <v>0</v>
      </c>
      <c r="AX48" s="43">
        <f t="shared" si="39"/>
        <v>0</v>
      </c>
      <c r="AY48" s="43">
        <f t="shared" si="39"/>
        <v>0</v>
      </c>
      <c r="AZ48" s="43">
        <f t="shared" si="39"/>
        <v>0</v>
      </c>
      <c r="BA48" s="43">
        <f t="shared" si="39"/>
        <v>0</v>
      </c>
      <c r="BB48" s="43">
        <f t="shared" si="39"/>
        <v>0</v>
      </c>
      <c r="BC48" s="43">
        <f t="shared" si="39"/>
        <v>0</v>
      </c>
      <c r="BD48" s="43">
        <f t="shared" si="39"/>
        <v>0</v>
      </c>
      <c r="BE48" s="43">
        <f t="shared" si="39"/>
        <v>0</v>
      </c>
      <c r="BF48" s="43">
        <f t="shared" si="39"/>
        <v>0</v>
      </c>
      <c r="BG48" s="43">
        <f t="shared" si="39"/>
        <v>0</v>
      </c>
      <c r="BH48" s="43">
        <f t="shared" si="39"/>
        <v>0</v>
      </c>
      <c r="BI48" s="43">
        <f t="shared" si="39"/>
        <v>0</v>
      </c>
      <c r="BJ48" s="43">
        <f t="shared" si="39"/>
        <v>0</v>
      </c>
      <c r="BK48" s="43">
        <f t="shared" si="39"/>
        <v>0</v>
      </c>
      <c r="BL48" s="43">
        <f t="shared" si="39"/>
        <v>0</v>
      </c>
      <c r="BM48" s="43">
        <f t="shared" si="39"/>
        <v>0</v>
      </c>
      <c r="BN48" s="43">
        <f t="shared" si="39"/>
        <v>0</v>
      </c>
    </row>
    <row r="49" spans="1:66" outlineLevel="1">
      <c r="B49" s="1" t="s">
        <v>172</v>
      </c>
      <c r="C49" s="54" t="s">
        <v>153</v>
      </c>
      <c r="D49" s="43">
        <f>D45*'R&amp;S - Apparel'!$C$10*'R&amp;S - Apparel'!$B$13*'R&amp;S - Apparel'!$D$17*(D$3-$D$3)/10</f>
        <v>0</v>
      </c>
      <c r="E49" s="43">
        <f>E45*'R&amp;S - Apparel'!$C$10*'R&amp;S - Apparel'!$B$13*'R&amp;S - Apparel'!$D$17*(E$3-$D$3)/10</f>
        <v>0</v>
      </c>
      <c r="F49" s="43">
        <f>F45*'R&amp;S - Apparel'!$C$10*'R&amp;S - Apparel'!$B$13*'R&amp;S - Apparel'!$D$17*(F$3-$D$3)/10</f>
        <v>0</v>
      </c>
      <c r="G49" s="43">
        <f>G45*'R&amp;S - Apparel'!$C$10*'R&amp;S - Apparel'!$B$13*'R&amp;S - Apparel'!$D$17*(G$3-$D$3)/10</f>
        <v>0</v>
      </c>
      <c r="H49" s="43">
        <f>H45*'R&amp;S - Apparel'!$C$10*'R&amp;S - Apparel'!$B$13*'R&amp;S - Apparel'!$D$17*(H$3-$D$3)/10</f>
        <v>0</v>
      </c>
      <c r="I49" s="43">
        <f>I45*'R&amp;S - Apparel'!$C$10*'R&amp;S - Apparel'!$B$13*'R&amp;S - Apparel'!$D$17*(I$3-$D$3)/10</f>
        <v>0</v>
      </c>
      <c r="J49" s="43">
        <f>J45*'R&amp;S - Apparel'!$C$10*'R&amp;S - Apparel'!$B$13*'R&amp;S - Apparel'!$D$17*(J$3-$D$3)/10</f>
        <v>0</v>
      </c>
      <c r="K49" s="43">
        <f>K45*'R&amp;S - Apparel'!$C$10*'R&amp;S - Apparel'!$B$13*'R&amp;S - Apparel'!$D$17*(K$3-$D$3)/10</f>
        <v>0</v>
      </c>
      <c r="L49" s="43">
        <f>L45*'R&amp;S - Apparel'!$C$10*'R&amp;S - Apparel'!$B$13*'R&amp;S - Apparel'!$D$17*(L$3-$D$3)/10</f>
        <v>0</v>
      </c>
      <c r="M49" s="43">
        <f>M45*'R&amp;S - Apparel'!$C$10*'R&amp;S - Apparel'!$B$13*'R&amp;S - Apparel'!$D$17*(M$3-$D$3)/10</f>
        <v>0</v>
      </c>
      <c r="N49" s="43">
        <f>N45*'R&amp;S - Apparel'!$C$10*'R&amp;S - Apparel'!$B$13*'R&amp;S - Apparel'!$D$17*(N$3-$D$3)/10</f>
        <v>0</v>
      </c>
      <c r="O49" s="43">
        <f>O45*'R&amp;S - Apparel'!$C$10*'R&amp;S - Apparel'!$B$13*('R&amp;S - Apparel'!$D$17+('R&amp;S - Apparel'!$D$18-'R&amp;S - Apparel'!$D$17)*(O$3-$N$3)/10)</f>
        <v>0</v>
      </c>
      <c r="P49" s="43">
        <f>P45*'R&amp;S - Apparel'!$C$10*'R&amp;S - Apparel'!$B$13*('R&amp;S - Apparel'!$D$17+('R&amp;S - Apparel'!$D$18-'R&amp;S - Apparel'!$D$17)*(P$3-$N$3)/10)</f>
        <v>0</v>
      </c>
      <c r="Q49" s="43">
        <f>Q45*'R&amp;S - Apparel'!$C$10*'R&amp;S - Apparel'!$B$13*('R&amp;S - Apparel'!$D$17+('R&amp;S - Apparel'!$D$18-'R&amp;S - Apparel'!$D$17)*(Q$3-$N$3)/10)</f>
        <v>0</v>
      </c>
      <c r="R49" s="43">
        <f>R45*'R&amp;S - Apparel'!$C$10*'R&amp;S - Apparel'!$B$13*('R&amp;S - Apparel'!$D$17+('R&amp;S - Apparel'!$D$18-'R&amp;S - Apparel'!$D$17)*(R$3-$N$3)/10)</f>
        <v>0</v>
      </c>
      <c r="S49" s="43">
        <f>S45*'R&amp;S - Apparel'!$C$10*'R&amp;S - Apparel'!$B$13*('R&amp;S - Apparel'!$D$17+('R&amp;S - Apparel'!$D$18-'R&amp;S - Apparel'!$D$17)*(S$3-$N$3)/10)</f>
        <v>0</v>
      </c>
      <c r="T49" s="43">
        <f>T45*'R&amp;S - Apparel'!$C$10*'R&amp;S - Apparel'!$B$13*('R&amp;S - Apparel'!$D$17+('R&amp;S - Apparel'!$D$18-'R&amp;S - Apparel'!$D$17)*(T$3-$N$3)/10)</f>
        <v>0</v>
      </c>
      <c r="U49" s="43">
        <f>U45*'R&amp;S - Apparel'!$C$10*'R&amp;S - Apparel'!$B$13*('R&amp;S - Apparel'!$D$17+('R&amp;S - Apparel'!$D$18-'R&amp;S - Apparel'!$D$17)*(U$3-$N$3)/10)</f>
        <v>0</v>
      </c>
      <c r="V49" s="43">
        <f>V45*'R&amp;S - Apparel'!$C$10*'R&amp;S - Apparel'!$B$13*('R&amp;S - Apparel'!$D$17+('R&amp;S - Apparel'!$D$18-'R&amp;S - Apparel'!$D$17)*(V$3-$N$3)/10)</f>
        <v>0</v>
      </c>
      <c r="W49" s="43">
        <f>W45*'R&amp;S - Apparel'!$C$10*'R&amp;S - Apparel'!$B$13*('R&amp;S - Apparel'!$D$17+('R&amp;S - Apparel'!$D$18-'R&amp;S - Apparel'!$D$17)*(W$3-$N$3)/10)</f>
        <v>0</v>
      </c>
      <c r="X49" s="43">
        <f>X45*'R&amp;S - Apparel'!$C$10*'R&amp;S - Apparel'!$B$13*('R&amp;S - Apparel'!$D$17+('R&amp;S - Apparel'!$D$18-'R&amp;S - Apparel'!$D$17)*(X$3-$N$3)/10)</f>
        <v>0</v>
      </c>
      <c r="Y49" s="43">
        <f>Y45*'R&amp;S - Apparel'!$C$10*'R&amp;S - Apparel'!$B$13*('R&amp;S - Apparel'!$D$18+('R&amp;S - Apparel'!$D$19-'R&amp;S - Apparel'!$D$18)*(Y$3-$X$3)/10)</f>
        <v>0</v>
      </c>
      <c r="Z49" s="43">
        <f>Z45*'R&amp;S - Apparel'!$C$10*'R&amp;S - Apparel'!$B$13*('R&amp;S - Apparel'!$D$18+('R&amp;S - Apparel'!$D$19-'R&amp;S - Apparel'!$D$18)*(Z$3-$X$3)/10)</f>
        <v>0</v>
      </c>
      <c r="AA49" s="43">
        <f>AA45*'R&amp;S - Apparel'!$C$10*'R&amp;S - Apparel'!$B$13*('R&amp;S - Apparel'!$D$18+('R&amp;S - Apparel'!$D$19-'R&amp;S - Apparel'!$D$18)*(AA$3-$X$3)/10)</f>
        <v>0</v>
      </c>
      <c r="AB49" s="43">
        <f>AB45*'R&amp;S - Apparel'!$C$10*'R&amp;S - Apparel'!$B$13*('R&amp;S - Apparel'!$D$18+('R&amp;S - Apparel'!$D$19-'R&amp;S - Apparel'!$D$18)*(AB$3-$X$3)/10)</f>
        <v>0</v>
      </c>
      <c r="AC49" s="43">
        <f>AC45*'R&amp;S - Apparel'!$C$10*'R&amp;S - Apparel'!$B$13*('R&amp;S - Apparel'!$D$18+('R&amp;S - Apparel'!$D$19-'R&amp;S - Apparel'!$D$18)*(AC$3-$X$3)/10)</f>
        <v>0</v>
      </c>
      <c r="AD49" s="43">
        <f>AD45*'R&amp;S - Apparel'!$C$10*'R&amp;S - Apparel'!$B$13*('R&amp;S - Apparel'!$D$18+('R&amp;S - Apparel'!$D$19-'R&amp;S - Apparel'!$D$18)*(AD$3-$X$3)/10)</f>
        <v>0</v>
      </c>
      <c r="AE49" s="43">
        <f>AE45*'R&amp;S - Apparel'!$C$10*'R&amp;S - Apparel'!$B$13*('R&amp;S - Apparel'!$D$18+('R&amp;S - Apparel'!$D$19-'R&amp;S - Apparel'!$D$18)*(AE$3-$X$3)/10)</f>
        <v>0</v>
      </c>
      <c r="AF49" s="43">
        <f>AF45*'R&amp;S - Apparel'!$C$10*'R&amp;S - Apparel'!$B$13*('R&amp;S - Apparel'!$D$18+('R&amp;S - Apparel'!$D$19-'R&amp;S - Apparel'!$D$18)*(AF$3-$X$3)/10)</f>
        <v>0</v>
      </c>
      <c r="AG49" s="43">
        <f>AG45*'R&amp;S - Apparel'!$C$10*'R&amp;S - Apparel'!$B$13*('R&amp;S - Apparel'!$D$18+('R&amp;S - Apparel'!$D$19-'R&amp;S - Apparel'!$D$18)*(AG$3-$X$3)/10)</f>
        <v>0</v>
      </c>
      <c r="AH49" s="43">
        <f>AH45*'R&amp;S - Apparel'!$C$10*'R&amp;S - Apparel'!$B$13*('R&amp;S - Apparel'!$D$18+('R&amp;S - Apparel'!$D$19-'R&amp;S - Apparel'!$D$18)*(AH$3-$X$3)/10)</f>
        <v>0</v>
      </c>
      <c r="AJ49" s="43">
        <f>AJ45*'R&amp;S - Apparel'!$C$10*'R&amp;S - Apparel'!$B$14*'R&amp;S - Apparel'!$D$17*(AJ$3-$D$3)/10</f>
        <v>0</v>
      </c>
      <c r="AK49" s="43">
        <f>AK45*'R&amp;S - Apparel'!$C$10*'R&amp;S - Apparel'!$B$14*'R&amp;S - Apparel'!$D$17*(AK$3-$D$3)/10</f>
        <v>0</v>
      </c>
      <c r="AL49" s="43">
        <f>AL45*'R&amp;S - Apparel'!$C$10*'R&amp;S - Apparel'!$B$14*'R&amp;S - Apparel'!$D$17*(AL$3-$D$3)/10</f>
        <v>0</v>
      </c>
      <c r="AM49" s="43">
        <f>AM45*'R&amp;S - Apparel'!$C$10*'R&amp;S - Apparel'!$B$14*'R&amp;S - Apparel'!$D$17*(AM$3-$D$3)/10</f>
        <v>0</v>
      </c>
      <c r="AN49" s="43">
        <f>AN45*'R&amp;S - Apparel'!$C$10*'R&amp;S - Apparel'!$B$14*'R&amp;S - Apparel'!$D$17*(AN$3-$D$3)/10</f>
        <v>0</v>
      </c>
      <c r="AO49" s="43">
        <f>AO45*'R&amp;S - Apparel'!$C$10*'R&amp;S - Apparel'!$B$14*'R&amp;S - Apparel'!$D$17*(AO$3-$D$3)/10</f>
        <v>0</v>
      </c>
      <c r="AP49" s="43">
        <f>AP45*'R&amp;S - Apparel'!$C$10*'R&amp;S - Apparel'!$B$14*'R&amp;S - Apparel'!$D$17*(AP$3-$D$3)/10</f>
        <v>0</v>
      </c>
      <c r="AQ49" s="43">
        <f>AQ45*'R&amp;S - Apparel'!$C$10*'R&amp;S - Apparel'!$B$14*'R&amp;S - Apparel'!$D$17*(AQ$3-$D$3)/10</f>
        <v>0</v>
      </c>
      <c r="AR49" s="43">
        <f>AR45*'R&amp;S - Apparel'!$C$10*'R&amp;S - Apparel'!$B$14*'R&amp;S - Apparel'!$D$17*(AR$3-$D$3)/10</f>
        <v>0</v>
      </c>
      <c r="AS49" s="43">
        <f>AS45*'R&amp;S - Apparel'!$C$10*'R&amp;S - Apparel'!$B$14*'R&amp;S - Apparel'!$D$17*(AS$3-$D$3)/10</f>
        <v>0</v>
      </c>
      <c r="AT49" s="43">
        <f>AT45*'R&amp;S - Apparel'!$C$10*'R&amp;S - Apparel'!$B$14*'R&amp;S - Apparel'!$D$17*(AT$3-$D$3)/10</f>
        <v>0</v>
      </c>
      <c r="AU49" s="43">
        <f>AU45*'R&amp;S - Apparel'!$C$10*'R&amp;S - Apparel'!$B$14*('R&amp;S - Apparel'!$D$17+('R&amp;S - Apparel'!$D$18-'R&amp;S - Apparel'!$D$17)*(AU$3-$N$3)/10)</f>
        <v>0</v>
      </c>
      <c r="AV49" s="43">
        <f>AV45*'R&amp;S - Apparel'!$C$10*'R&amp;S - Apparel'!$B$14*('R&amp;S - Apparel'!$D$17+('R&amp;S - Apparel'!$D$18-'R&amp;S - Apparel'!$D$17)*(AV$3-$N$3)/10)</f>
        <v>0</v>
      </c>
      <c r="AW49" s="43">
        <f>AW45*'R&amp;S - Apparel'!$C$10*'R&amp;S - Apparel'!$B$14*('R&amp;S - Apparel'!$D$17+('R&amp;S - Apparel'!$D$18-'R&amp;S - Apparel'!$D$17)*(AW$3-$N$3)/10)</f>
        <v>0</v>
      </c>
      <c r="AX49" s="43">
        <f>AX45*'R&amp;S - Apparel'!$C$10*'R&amp;S - Apparel'!$B$14*('R&amp;S - Apparel'!$D$17+('R&amp;S - Apparel'!$D$18-'R&amp;S - Apparel'!$D$17)*(AX$3-$N$3)/10)</f>
        <v>0</v>
      </c>
      <c r="AY49" s="43">
        <f>AY45*'R&amp;S - Apparel'!$C$10*'R&amp;S - Apparel'!$B$14*('R&amp;S - Apparel'!$D$17+('R&amp;S - Apparel'!$D$18-'R&amp;S - Apparel'!$D$17)*(AY$3-$N$3)/10)</f>
        <v>0</v>
      </c>
      <c r="AZ49" s="43">
        <f>AZ45*'R&amp;S - Apparel'!$C$10*'R&amp;S - Apparel'!$B$14*('R&amp;S - Apparel'!$D$17+('R&amp;S - Apparel'!$D$18-'R&amp;S - Apparel'!$D$17)*(AZ$3-$N$3)/10)</f>
        <v>0</v>
      </c>
      <c r="BA49" s="43">
        <f>BA45*'R&amp;S - Apparel'!$C$10*'R&amp;S - Apparel'!$B$14*('R&amp;S - Apparel'!$D$17+('R&amp;S - Apparel'!$D$18-'R&amp;S - Apparel'!$D$17)*(BA$3-$N$3)/10)</f>
        <v>0</v>
      </c>
      <c r="BB49" s="43">
        <f>BB45*'R&amp;S - Apparel'!$C$10*'R&amp;S - Apparel'!$B$14*('R&amp;S - Apparel'!$D$17+('R&amp;S - Apparel'!$D$18-'R&amp;S - Apparel'!$D$17)*(BB$3-$N$3)/10)</f>
        <v>0</v>
      </c>
      <c r="BC49" s="43">
        <f>BC45*'R&amp;S - Apparel'!$C$10*'R&amp;S - Apparel'!$B$14*('R&amp;S - Apparel'!$D$17+('R&amp;S - Apparel'!$D$18-'R&amp;S - Apparel'!$D$17)*(BC$3-$N$3)/10)</f>
        <v>0</v>
      </c>
      <c r="BD49" s="43">
        <f>BD45*'R&amp;S - Apparel'!$C$10*'R&amp;S - Apparel'!$B$14*('R&amp;S - Apparel'!$D$17+('R&amp;S - Apparel'!$D$18-'R&amp;S - Apparel'!$D$17)*(BD$3-$N$3)/10)</f>
        <v>0</v>
      </c>
      <c r="BE49" s="43">
        <f>BE45*'R&amp;S - Apparel'!$C$10*'R&amp;S - Apparel'!$B$14*('R&amp;S - Apparel'!$D$18+('R&amp;S - Apparel'!$D$19-'R&amp;S - Apparel'!$D$18)*(BE$3-$X$3)/10)</f>
        <v>0</v>
      </c>
      <c r="BF49" s="43">
        <f>BF45*'R&amp;S - Apparel'!$C$10*'R&amp;S - Apparel'!$B$14*('R&amp;S - Apparel'!$D$18+('R&amp;S - Apparel'!$D$19-'R&amp;S - Apparel'!$D$18)*(BF$3-$X$3)/10)</f>
        <v>0</v>
      </c>
      <c r="BG49" s="43">
        <f>BG45*'R&amp;S - Apparel'!$C$10*'R&amp;S - Apparel'!$B$14*('R&amp;S - Apparel'!$D$18+('R&amp;S - Apparel'!$D$19-'R&amp;S - Apparel'!$D$18)*(BG$3-$X$3)/10)</f>
        <v>0</v>
      </c>
      <c r="BH49" s="43">
        <f>BH45*'R&amp;S - Apparel'!$C$10*'R&amp;S - Apparel'!$B$14*('R&amp;S - Apparel'!$D$18+('R&amp;S - Apparel'!$D$19-'R&amp;S - Apparel'!$D$18)*(BH$3-$X$3)/10)</f>
        <v>0</v>
      </c>
      <c r="BI49" s="43">
        <f>BI45*'R&amp;S - Apparel'!$C$10*'R&amp;S - Apparel'!$B$14*('R&amp;S - Apparel'!$D$18+('R&amp;S - Apparel'!$D$19-'R&amp;S - Apparel'!$D$18)*(BI$3-$X$3)/10)</f>
        <v>0</v>
      </c>
      <c r="BJ49" s="43">
        <f>BJ45*'R&amp;S - Apparel'!$C$10*'R&amp;S - Apparel'!$B$14*('R&amp;S - Apparel'!$D$18+('R&amp;S - Apparel'!$D$19-'R&amp;S - Apparel'!$D$18)*(BJ$3-$X$3)/10)</f>
        <v>0</v>
      </c>
      <c r="BK49" s="43">
        <f>BK45*'R&amp;S - Apparel'!$C$10*'R&amp;S - Apparel'!$B$14*('R&amp;S - Apparel'!$D$18+('R&amp;S - Apparel'!$D$19-'R&amp;S - Apparel'!$D$18)*(BK$3-$X$3)/10)</f>
        <v>0</v>
      </c>
      <c r="BL49" s="43">
        <f>BL45*'R&amp;S - Apparel'!$C$10*'R&amp;S - Apparel'!$B$14*('R&amp;S - Apparel'!$D$18+('R&amp;S - Apparel'!$D$19-'R&amp;S - Apparel'!$D$18)*(BL$3-$X$3)/10)</f>
        <v>0</v>
      </c>
      <c r="BM49" s="43">
        <f>BM45*'R&amp;S - Apparel'!$C$10*'R&amp;S - Apparel'!$B$14*('R&amp;S - Apparel'!$D$18+('R&amp;S - Apparel'!$D$19-'R&amp;S - Apparel'!$D$18)*(BM$3-$X$3)/10)</f>
        <v>0</v>
      </c>
      <c r="BN49" s="43">
        <f>BN45*'R&amp;S - Apparel'!$C$10*'R&amp;S - Apparel'!$B$14*('R&amp;S - Apparel'!$D$18+('R&amp;S - Apparel'!$D$19-'R&amp;S - Apparel'!$D$18)*(BN$3-$X$3)/10)</f>
        <v>0</v>
      </c>
    </row>
    <row r="50" spans="1:66" outlineLevel="1">
      <c r="B50" s="1" t="s">
        <v>197</v>
      </c>
      <c r="C50" s="54" t="s">
        <v>153</v>
      </c>
      <c r="D50" s="443">
        <f>D45-D48-D49</f>
        <v>13.012248975360578</v>
      </c>
      <c r="E50" s="443">
        <f t="shared" ref="E50:AG50" si="40">E45-E48-E49</f>
        <v>13.154802763545836</v>
      </c>
      <c r="F50" s="443">
        <f t="shared" si="40"/>
        <v>13.298918278882523</v>
      </c>
      <c r="G50" s="443">
        <f t="shared" si="40"/>
        <v>13.444612630643752</v>
      </c>
      <c r="H50" s="443">
        <f t="shared" si="40"/>
        <v>13.591903115540774</v>
      </c>
      <c r="I50" s="443">
        <f t="shared" si="40"/>
        <v>13.740807219776427</v>
      </c>
      <c r="J50" s="443">
        <f t="shared" si="40"/>
        <v>13.891342621121082</v>
      </c>
      <c r="K50" s="443">
        <f t="shared" si="40"/>
        <v>14.043527191011336</v>
      </c>
      <c r="L50" s="443">
        <f t="shared" si="40"/>
        <v>14.197378996671693</v>
      </c>
      <c r="M50" s="443">
        <f t="shared" si="40"/>
        <v>14.352916303259487</v>
      </c>
      <c r="N50" s="443">
        <f t="shared" si="40"/>
        <v>14.510157576033313</v>
      </c>
      <c r="O50" s="443">
        <f t="shared" si="40"/>
        <v>14.669121482545197</v>
      </c>
      <c r="P50" s="443">
        <f t="shared" si="40"/>
        <v>14.829826894856803</v>
      </c>
      <c r="Q50" s="443">
        <f t="shared" si="40"/>
        <v>14.992292891779897</v>
      </c>
      <c r="R50" s="443">
        <f t="shared" si="40"/>
        <v>15.156538761141379</v>
      </c>
      <c r="S50" s="443">
        <f t="shared" si="40"/>
        <v>15.322584002073109</v>
      </c>
      <c r="T50" s="443">
        <f t="shared" si="40"/>
        <v>15.490448327326833</v>
      </c>
      <c r="U50" s="443">
        <f t="shared" si="40"/>
        <v>15.66015166561446</v>
      </c>
      <c r="V50" s="443">
        <f t="shared" si="40"/>
        <v>15.831714163973984</v>
      </c>
      <c r="W50" s="443">
        <f t="shared" si="40"/>
        <v>16.005156190161326</v>
      </c>
      <c r="X50" s="443">
        <f t="shared" si="40"/>
        <v>16.180498335068371</v>
      </c>
      <c r="Y50" s="443">
        <f t="shared" si="40"/>
        <v>16.357761415167509</v>
      </c>
      <c r="Z50" s="443">
        <f t="shared" si="40"/>
        <v>16.53696647498294</v>
      </c>
      <c r="AA50" s="443">
        <f t="shared" si="40"/>
        <v>16.718134789589072</v>
      </c>
      <c r="AB50" s="443">
        <f t="shared" si="40"/>
        <v>16.901287867136272</v>
      </c>
      <c r="AC50" s="443">
        <f t="shared" si="40"/>
        <v>17.0864474514043</v>
      </c>
      <c r="AD50" s="443">
        <f t="shared" si="40"/>
        <v>17.27363552438371</v>
      </c>
      <c r="AE50" s="443">
        <f t="shared" si="40"/>
        <v>17.462874308885535</v>
      </c>
      <c r="AF50" s="443">
        <f t="shared" si="40"/>
        <v>17.654186271179562</v>
      </c>
      <c r="AG50" s="443">
        <f t="shared" si="40"/>
        <v>17.847594123661501</v>
      </c>
      <c r="AH50" s="443">
        <f>AH45-AH48-AH49</f>
        <v>18.043120827549398</v>
      </c>
      <c r="AJ50" s="443">
        <f>AJ45-AJ48-AJ49</f>
        <v>13.012248975360578</v>
      </c>
      <c r="AK50" s="443">
        <f t="shared" ref="AK50:BM50" si="41">AK45-AK48-AK49</f>
        <v>13.154802763545836</v>
      </c>
      <c r="AL50" s="443">
        <f t="shared" si="41"/>
        <v>13.298918278882523</v>
      </c>
      <c r="AM50" s="443">
        <f t="shared" si="41"/>
        <v>13.444612630643752</v>
      </c>
      <c r="AN50" s="443">
        <f t="shared" si="41"/>
        <v>13.591903115540774</v>
      </c>
      <c r="AO50" s="443">
        <f t="shared" si="41"/>
        <v>13.740807219776427</v>
      </c>
      <c r="AP50" s="443">
        <f t="shared" si="41"/>
        <v>13.891342621121082</v>
      </c>
      <c r="AQ50" s="443">
        <f t="shared" si="41"/>
        <v>14.043527191011336</v>
      </c>
      <c r="AR50" s="443">
        <f t="shared" si="41"/>
        <v>14.197378996671693</v>
      </c>
      <c r="AS50" s="443">
        <f t="shared" si="41"/>
        <v>14.352916303259487</v>
      </c>
      <c r="AT50" s="443">
        <f t="shared" si="41"/>
        <v>14.510157576033313</v>
      </c>
      <c r="AU50" s="443">
        <f t="shared" si="41"/>
        <v>14.669121482545197</v>
      </c>
      <c r="AV50" s="443">
        <f t="shared" si="41"/>
        <v>14.829826894856803</v>
      </c>
      <c r="AW50" s="443">
        <f t="shared" si="41"/>
        <v>14.992292891779897</v>
      </c>
      <c r="AX50" s="443">
        <f t="shared" si="41"/>
        <v>15.156538761141379</v>
      </c>
      <c r="AY50" s="443">
        <f t="shared" si="41"/>
        <v>15.322584002073109</v>
      </c>
      <c r="AZ50" s="443">
        <f t="shared" si="41"/>
        <v>15.490448327326833</v>
      </c>
      <c r="BA50" s="443">
        <f t="shared" si="41"/>
        <v>15.66015166561446</v>
      </c>
      <c r="BB50" s="443">
        <f t="shared" si="41"/>
        <v>15.831714163973984</v>
      </c>
      <c r="BC50" s="443">
        <f t="shared" si="41"/>
        <v>16.005156190161326</v>
      </c>
      <c r="BD50" s="443">
        <f t="shared" si="41"/>
        <v>16.180498335068371</v>
      </c>
      <c r="BE50" s="443">
        <f t="shared" si="41"/>
        <v>16.357761415167509</v>
      </c>
      <c r="BF50" s="443">
        <f t="shared" si="41"/>
        <v>16.53696647498294</v>
      </c>
      <c r="BG50" s="443">
        <f t="shared" si="41"/>
        <v>16.718134789589072</v>
      </c>
      <c r="BH50" s="443">
        <f t="shared" si="41"/>
        <v>16.901287867136272</v>
      </c>
      <c r="BI50" s="443">
        <f t="shared" si="41"/>
        <v>17.0864474514043</v>
      </c>
      <c r="BJ50" s="443">
        <f t="shared" si="41"/>
        <v>17.27363552438371</v>
      </c>
      <c r="BK50" s="443">
        <f t="shared" si="41"/>
        <v>17.462874308885535</v>
      </c>
      <c r="BL50" s="443">
        <f t="shared" si="41"/>
        <v>17.654186271179562</v>
      </c>
      <c r="BM50" s="443">
        <f t="shared" si="41"/>
        <v>17.847594123661501</v>
      </c>
      <c r="BN50" s="443">
        <f>BN45-BN48-BN49</f>
        <v>18.043120827549398</v>
      </c>
    </row>
    <row r="51" spans="1:66" s="67" customFormat="1" outlineLevel="1">
      <c r="A51" s="752"/>
      <c r="B51" s="58" t="s">
        <v>7</v>
      </c>
      <c r="C51" s="59" t="s">
        <v>153</v>
      </c>
      <c r="D51" s="60">
        <f>D$50*'R&amp;S - Apparel'!$G$4/SUM('R&amp;S - Apparel'!$G$4:$I$4)</f>
        <v>0</v>
      </c>
      <c r="E51" s="60">
        <f>E$50*'R&amp;S - Apparel'!$G$4/SUM('R&amp;S - Apparel'!$G$4:$I$4)</f>
        <v>0</v>
      </c>
      <c r="F51" s="60">
        <f>F$50*'R&amp;S - Apparel'!$G$4/SUM('R&amp;S - Apparel'!$G$4:$I$4)</f>
        <v>0</v>
      </c>
      <c r="G51" s="60">
        <f>G$50*'R&amp;S - Apparel'!$G$4/SUM('R&amp;S - Apparel'!$G$4:$I$4)</f>
        <v>0</v>
      </c>
      <c r="H51" s="60">
        <f>H$50*'R&amp;S - Apparel'!$G$4/SUM('R&amp;S - Apparel'!$G$4:$I$4)</f>
        <v>0</v>
      </c>
      <c r="I51" s="60">
        <f>I$50*'R&amp;S - Apparel'!$G$4/SUM('R&amp;S - Apparel'!$G$4:$I$4)</f>
        <v>0</v>
      </c>
      <c r="J51" s="60">
        <f>J$50*'R&amp;S - Apparel'!$G$4/SUM('R&amp;S - Apparel'!$G$4:$I$4)</f>
        <v>0</v>
      </c>
      <c r="K51" s="60">
        <f>K$50*'R&amp;S - Apparel'!$G$4/SUM('R&amp;S - Apparel'!$G$4:$I$4)</f>
        <v>0</v>
      </c>
      <c r="L51" s="60">
        <f>L$50*'R&amp;S - Apparel'!$G$4/SUM('R&amp;S - Apparel'!$G$4:$I$4)</f>
        <v>0</v>
      </c>
      <c r="M51" s="60">
        <f>M$50*'R&amp;S - Apparel'!$G$4/SUM('R&amp;S - Apparel'!$G$4:$I$4)</f>
        <v>0</v>
      </c>
      <c r="N51" s="60">
        <f>N$50*'R&amp;S - Apparel'!$G$4/SUM('R&amp;S - Apparel'!$G$4:$I$4)</f>
        <v>0</v>
      </c>
      <c r="O51" s="60">
        <f>O$50*'R&amp;S - Apparel'!$G$4/SUM('R&amp;S - Apparel'!$G$4:$I$4)</f>
        <v>0</v>
      </c>
      <c r="P51" s="60">
        <f>P$50*'R&amp;S - Apparel'!$G$4/SUM('R&amp;S - Apparel'!$G$4:$I$4)</f>
        <v>0</v>
      </c>
      <c r="Q51" s="60">
        <f>Q$50*'R&amp;S - Apparel'!$G$4/SUM('R&amp;S - Apparel'!$G$4:$I$4)</f>
        <v>0</v>
      </c>
      <c r="R51" s="60">
        <f>R$50*'R&amp;S - Apparel'!$G$4/SUM('R&amp;S - Apparel'!$G$4:$I$4)</f>
        <v>0</v>
      </c>
      <c r="S51" s="60">
        <f>S$50*'R&amp;S - Apparel'!$G$4/SUM('R&amp;S - Apparel'!$G$4:$I$4)</f>
        <v>0</v>
      </c>
      <c r="T51" s="60">
        <f>T$50*'R&amp;S - Apparel'!$G$4/SUM('R&amp;S - Apparel'!$G$4:$I$4)</f>
        <v>0</v>
      </c>
      <c r="U51" s="60">
        <f>U$50*'R&amp;S - Apparel'!$G$4/SUM('R&amp;S - Apparel'!$G$4:$I$4)</f>
        <v>0</v>
      </c>
      <c r="V51" s="60">
        <f>V$50*'R&amp;S - Apparel'!$G$4/SUM('R&amp;S - Apparel'!$G$4:$I$4)</f>
        <v>0</v>
      </c>
      <c r="W51" s="60">
        <f>W$50*'R&amp;S - Apparel'!$G$4/SUM('R&amp;S - Apparel'!$G$4:$I$4)</f>
        <v>0</v>
      </c>
      <c r="X51" s="60">
        <f>X$50*'R&amp;S - Apparel'!$G$4/SUM('R&amp;S - Apparel'!$G$4:$I$4)</f>
        <v>0</v>
      </c>
      <c r="Y51" s="60">
        <f>Y$50*'R&amp;S - Apparel'!$G$4/SUM('R&amp;S - Apparel'!$G$4:$I$4)</f>
        <v>0</v>
      </c>
      <c r="Z51" s="60">
        <f>Z$50*'R&amp;S - Apparel'!$G$4/SUM('R&amp;S - Apparel'!$G$4:$I$4)</f>
        <v>0</v>
      </c>
      <c r="AA51" s="60">
        <f>AA$50*'R&amp;S - Apparel'!$G$4/SUM('R&amp;S - Apparel'!$G$4:$I$4)</f>
        <v>0</v>
      </c>
      <c r="AB51" s="60">
        <f>AB$50*'R&amp;S - Apparel'!$G$4/SUM('R&amp;S - Apparel'!$G$4:$I$4)</f>
        <v>0</v>
      </c>
      <c r="AC51" s="60">
        <f>AC$50*'R&amp;S - Apparel'!$G$4/SUM('R&amp;S - Apparel'!$G$4:$I$4)</f>
        <v>0</v>
      </c>
      <c r="AD51" s="60">
        <f>AD$50*'R&amp;S - Apparel'!$G$4/SUM('R&amp;S - Apparel'!$G$4:$I$4)</f>
        <v>0</v>
      </c>
      <c r="AE51" s="60">
        <f>AE$50*'R&amp;S - Apparel'!$G$4/SUM('R&amp;S - Apparel'!$G$4:$I$4)</f>
        <v>0</v>
      </c>
      <c r="AF51" s="60">
        <f>AF$50*'R&amp;S - Apparel'!$G$4/SUM('R&amp;S - Apparel'!$G$4:$I$4)</f>
        <v>0</v>
      </c>
      <c r="AG51" s="60">
        <f>AG$50*'R&amp;S - Apparel'!$G$4/SUM('R&amp;S - Apparel'!$G$4:$I$4)</f>
        <v>0</v>
      </c>
      <c r="AH51" s="60">
        <f>AH$50*'R&amp;S - Apparel'!$G$4/SUM('R&amp;S - Apparel'!$G$4:$I$4)</f>
        <v>0</v>
      </c>
      <c r="AJ51" s="60">
        <f>AJ$50*'R&amp;S - Apparel'!$G$4/SUM('R&amp;S - Apparel'!$G$4:$I$4)</f>
        <v>0</v>
      </c>
      <c r="AK51" s="60">
        <f>AK$50*'R&amp;S - Apparel'!$G$4/SUM('R&amp;S - Apparel'!$G$4:$I$4)</f>
        <v>0</v>
      </c>
      <c r="AL51" s="60">
        <f>AL$50*'R&amp;S - Apparel'!$G$4/SUM('R&amp;S - Apparel'!$G$4:$I$4)</f>
        <v>0</v>
      </c>
      <c r="AM51" s="60">
        <f>AM$50*'R&amp;S - Apparel'!$G$4/SUM('R&amp;S - Apparel'!$G$4:$I$4)</f>
        <v>0</v>
      </c>
      <c r="AN51" s="60">
        <f>AN$50*'R&amp;S - Apparel'!$G$4/SUM('R&amp;S - Apparel'!$G$4:$I$4)</f>
        <v>0</v>
      </c>
      <c r="AO51" s="60">
        <f>AO$50*'R&amp;S - Apparel'!$G$4/SUM('R&amp;S - Apparel'!$G$4:$I$4)</f>
        <v>0</v>
      </c>
      <c r="AP51" s="60">
        <f>AP$50*'R&amp;S - Apparel'!$G$4/SUM('R&amp;S - Apparel'!$G$4:$I$4)</f>
        <v>0</v>
      </c>
      <c r="AQ51" s="60">
        <f>AQ$50*'R&amp;S - Apparel'!$G$4/SUM('R&amp;S - Apparel'!$G$4:$I$4)</f>
        <v>0</v>
      </c>
      <c r="AR51" s="60">
        <f>AR$50*'R&amp;S - Apparel'!$G$4/SUM('R&amp;S - Apparel'!$G$4:$I$4)</f>
        <v>0</v>
      </c>
      <c r="AS51" s="60">
        <f>AS$50*'R&amp;S - Apparel'!$G$4/SUM('R&amp;S - Apparel'!$G$4:$I$4)</f>
        <v>0</v>
      </c>
      <c r="AT51" s="60">
        <f>AT$50*'R&amp;S - Apparel'!$G$4/SUM('R&amp;S - Apparel'!$G$4:$I$4)</f>
        <v>0</v>
      </c>
      <c r="AU51" s="60">
        <f>AU$50*'R&amp;S - Apparel'!$G$4/SUM('R&amp;S - Apparel'!$G$4:$I$4)</f>
        <v>0</v>
      </c>
      <c r="AV51" s="60">
        <f>AV$50*'R&amp;S - Apparel'!$G$4/SUM('R&amp;S - Apparel'!$G$4:$I$4)</f>
        <v>0</v>
      </c>
      <c r="AW51" s="60">
        <f>AW$50*'R&amp;S - Apparel'!$G$4/SUM('R&amp;S - Apparel'!$G$4:$I$4)</f>
        <v>0</v>
      </c>
      <c r="AX51" s="60">
        <f>AX$50*'R&amp;S - Apparel'!$G$4/SUM('R&amp;S - Apparel'!$G$4:$I$4)</f>
        <v>0</v>
      </c>
      <c r="AY51" s="60">
        <f>AY$50*'R&amp;S - Apparel'!$G$4/SUM('R&amp;S - Apparel'!$G$4:$I$4)</f>
        <v>0</v>
      </c>
      <c r="AZ51" s="60">
        <f>AZ$50*'R&amp;S - Apparel'!$G$4/SUM('R&amp;S - Apparel'!$G$4:$I$4)</f>
        <v>0</v>
      </c>
      <c r="BA51" s="60">
        <f>BA$50*'R&amp;S - Apparel'!$G$4/SUM('R&amp;S - Apparel'!$G$4:$I$4)</f>
        <v>0</v>
      </c>
      <c r="BB51" s="60">
        <f>BB$50*'R&amp;S - Apparel'!$G$4/SUM('R&amp;S - Apparel'!$G$4:$I$4)</f>
        <v>0</v>
      </c>
      <c r="BC51" s="60">
        <f>BC$50*'R&amp;S - Apparel'!$G$4/SUM('R&amp;S - Apparel'!$G$4:$I$4)</f>
        <v>0</v>
      </c>
      <c r="BD51" s="60">
        <f>BD$50*'R&amp;S - Apparel'!$G$4/SUM('R&amp;S - Apparel'!$G$4:$I$4)</f>
        <v>0</v>
      </c>
      <c r="BE51" s="60">
        <f>BE$50*'R&amp;S - Apparel'!$G$4/SUM('R&amp;S - Apparel'!$G$4:$I$4)</f>
        <v>0</v>
      </c>
      <c r="BF51" s="60">
        <f>BF$50*'R&amp;S - Apparel'!$G$4/SUM('R&amp;S - Apparel'!$G$4:$I$4)</f>
        <v>0</v>
      </c>
      <c r="BG51" s="60">
        <f>BG$50*'R&amp;S - Apparel'!$G$4/SUM('R&amp;S - Apparel'!$G$4:$I$4)</f>
        <v>0</v>
      </c>
      <c r="BH51" s="60">
        <f>BH$50*'R&amp;S - Apparel'!$G$4/SUM('R&amp;S - Apparel'!$G$4:$I$4)</f>
        <v>0</v>
      </c>
      <c r="BI51" s="60">
        <f>BI$50*'R&amp;S - Apparel'!$G$4/SUM('R&amp;S - Apparel'!$G$4:$I$4)</f>
        <v>0</v>
      </c>
      <c r="BJ51" s="60">
        <f>BJ$50*'R&amp;S - Apparel'!$G$4/SUM('R&amp;S - Apparel'!$G$4:$I$4)</f>
        <v>0</v>
      </c>
      <c r="BK51" s="60">
        <f>BK$50*'R&amp;S - Apparel'!$G$4/SUM('R&amp;S - Apparel'!$G$4:$I$4)</f>
        <v>0</v>
      </c>
      <c r="BL51" s="60">
        <f>BL$50*'R&amp;S - Apparel'!$G$4/SUM('R&amp;S - Apparel'!$G$4:$I$4)</f>
        <v>0</v>
      </c>
      <c r="BM51" s="60">
        <f>BM$50*'R&amp;S - Apparel'!$G$4/SUM('R&amp;S - Apparel'!$G$4:$I$4)</f>
        <v>0</v>
      </c>
      <c r="BN51" s="60">
        <f>BN$50*'R&amp;S - Apparel'!$G$4/SUM('R&amp;S - Apparel'!$G$4:$I$4)</f>
        <v>0</v>
      </c>
    </row>
    <row r="52" spans="1:66" outlineLevel="1">
      <c r="A52" s="753"/>
      <c r="B52" s="1" t="s">
        <v>8</v>
      </c>
      <c r="C52" s="54" t="s">
        <v>153</v>
      </c>
      <c r="D52" s="44">
        <f>D$50*'R&amp;S - Apparel'!$H$4/SUM('R&amp;S - Apparel'!$G$4:$I$4)</f>
        <v>1.4471127044065453</v>
      </c>
      <c r="E52" s="44">
        <f>E$50*'R&amp;S - Apparel'!$H$4/SUM('R&amp;S - Apparel'!$G$4:$I$4)</f>
        <v>1.4629663357299845</v>
      </c>
      <c r="F52" s="44">
        <f>F$50*'R&amp;S - Apparel'!$H$4/SUM('R&amp;S - Apparel'!$G$4:$I$4)</f>
        <v>1.4789936491898423</v>
      </c>
      <c r="G52" s="44">
        <f>G$50*'R&amp;S - Apparel'!$H$4/SUM('R&amp;S - Apparel'!$G$4:$I$4)</f>
        <v>1.4951965475353304</v>
      </c>
      <c r="H52" s="44">
        <f>H$50*'R&amp;S - Apparel'!$H$4/SUM('R&amp;S - Apparel'!$G$4:$I$4)</f>
        <v>1.5115769543609519</v>
      </c>
      <c r="I52" s="44">
        <f>I$50*'R&amp;S - Apparel'!$H$4/SUM('R&amp;S - Apparel'!$G$4:$I$4)</f>
        <v>1.5281368143348666</v>
      </c>
      <c r="J52" s="44">
        <f>J$50*'R&amp;S - Apparel'!$H$4/SUM('R&amp;S - Apparel'!$G$4:$I$4)</f>
        <v>1.5448780934297628</v>
      </c>
      <c r="K52" s="44">
        <f>K$50*'R&amp;S - Apparel'!$H$4/SUM('R&amp;S - Apparel'!$G$4:$I$4)</f>
        <v>1.5618027791562539</v>
      </c>
      <c r="L52" s="44">
        <f>L$50*'R&amp;S - Apparel'!$H$4/SUM('R&amp;S - Apparel'!$G$4:$I$4)</f>
        <v>1.5789128807988349</v>
      </c>
      <c r="M52" s="44">
        <f>M$50*'R&amp;S - Apparel'!$H$4/SUM('R&amp;S - Apparel'!$G$4:$I$4)</f>
        <v>1.5962104296544228</v>
      </c>
      <c r="N52" s="44">
        <f>N$50*'R&amp;S - Apparel'!$H$4/SUM('R&amp;S - Apparel'!$G$4:$I$4)</f>
        <v>1.6136974792735108</v>
      </c>
      <c r="O52" s="44">
        <f>O$50*'R&amp;S - Apparel'!$H$4/SUM('R&amp;S - Apparel'!$G$4:$I$4)</f>
        <v>1.6313761057039635</v>
      </c>
      <c r="P52" s="44">
        <f>P$50*'R&amp;S - Apparel'!$H$4/SUM('R&amp;S - Apparel'!$G$4:$I$4)</f>
        <v>1.6492484077374845</v>
      </c>
      <c r="Q52" s="44">
        <f>Q$50*'R&amp;S - Apparel'!$H$4/SUM('R&amp;S - Apparel'!$G$4:$I$4)</f>
        <v>1.6673165071587817</v>
      </c>
      <c r="R52" s="44">
        <f>R$50*'R&amp;S - Apparel'!$H$4/SUM('R&amp;S - Apparel'!$G$4:$I$4)</f>
        <v>1.6855825489974645</v>
      </c>
      <c r="S52" s="44">
        <f>S$50*'R&amp;S - Apparel'!$H$4/SUM('R&amp;S - Apparel'!$G$4:$I$4)</f>
        <v>1.7040487017827017</v>
      </c>
      <c r="T52" s="44">
        <f>T$50*'R&amp;S - Apparel'!$H$4/SUM('R&amp;S - Apparel'!$G$4:$I$4)</f>
        <v>1.7227171578006641</v>
      </c>
      <c r="U52" s="44">
        <f>U$50*'R&amp;S - Apparel'!$H$4/SUM('R&amp;S - Apparel'!$G$4:$I$4)</f>
        <v>1.7415901333547938</v>
      </c>
      <c r="V52" s="44">
        <f>V$50*'R&amp;S - Apparel'!$H$4/SUM('R&amp;S - Apparel'!$G$4:$I$4)</f>
        <v>1.7606698690289195</v>
      </c>
      <c r="W52" s="44">
        <f>W$50*'R&amp;S - Apparel'!$H$4/SUM('R&amp;S - Apparel'!$G$4:$I$4)</f>
        <v>1.7799586299532593</v>
      </c>
      <c r="X52" s="44">
        <f>X$50*'R&amp;S - Apparel'!$H$4/SUM('R&amp;S - Apparel'!$G$4:$I$4)</f>
        <v>1.7994587060733327</v>
      </c>
      <c r="Y52" s="44">
        <f>Y$50*'R&amp;S - Apparel'!$H$4/SUM('R&amp;S - Apparel'!$G$4:$I$4)</f>
        <v>1.8191724124218225</v>
      </c>
      <c r="Z52" s="44">
        <f>Z$50*'R&amp;S - Apparel'!$H$4/SUM('R&amp;S - Apparel'!$G$4:$I$4)</f>
        <v>1.8391020893934131</v>
      </c>
      <c r="AA52" s="44">
        <f>AA$50*'R&amp;S - Apparel'!$H$4/SUM('R&amp;S - Apparel'!$G$4:$I$4)</f>
        <v>1.8592501030226398</v>
      </c>
      <c r="AB52" s="44">
        <f>AB$50*'R&amp;S - Apparel'!$H$4/SUM('R&amp;S - Apparel'!$G$4:$I$4)</f>
        <v>1.8796188452647828</v>
      </c>
      <c r="AC52" s="44">
        <f>AC$50*'R&amp;S - Apparel'!$H$4/SUM('R&amp;S - Apparel'!$G$4:$I$4)</f>
        <v>1.9002107342798384</v>
      </c>
      <c r="AD52" s="44">
        <f>AD$50*'R&amp;S - Apparel'!$H$4/SUM('R&amp;S - Apparel'!$G$4:$I$4)</f>
        <v>1.9210282147196007</v>
      </c>
      <c r="AE52" s="44">
        <f>AE$50*'R&amp;S - Apparel'!$H$4/SUM('R&amp;S - Apparel'!$G$4:$I$4)</f>
        <v>1.942073758017888</v>
      </c>
      <c r="AF52" s="44">
        <f>AF$50*'R&amp;S - Apparel'!$H$4/SUM('R&amp;S - Apparel'!$G$4:$I$4)</f>
        <v>1.9633498626839501</v>
      </c>
      <c r="AG52" s="44">
        <f>AG$50*'R&amp;S - Apparel'!$H$4/SUM('R&amp;S - Apparel'!$G$4:$I$4)</f>
        <v>1.984859054599089</v>
      </c>
      <c r="AH52" s="44">
        <f>AH$50*'R&amp;S - Apparel'!$H$4/SUM('R&amp;S - Apparel'!$G$4:$I$4)</f>
        <v>2.0066038873165302</v>
      </c>
      <c r="AJ52" s="44">
        <f>AJ$50*'R&amp;S - Apparel'!$H$4/SUM('R&amp;S - Apparel'!$G$4:$I$4)</f>
        <v>1.4471127044065453</v>
      </c>
      <c r="AK52" s="44">
        <f>AK$50*'R&amp;S - Apparel'!$H$4/SUM('R&amp;S - Apparel'!$G$4:$I$4)</f>
        <v>1.4629663357299845</v>
      </c>
      <c r="AL52" s="44">
        <f>AL$50*'R&amp;S - Apparel'!$H$4/SUM('R&amp;S - Apparel'!$G$4:$I$4)</f>
        <v>1.4789936491898423</v>
      </c>
      <c r="AM52" s="44">
        <f>AM$50*'R&amp;S - Apparel'!$H$4/SUM('R&amp;S - Apparel'!$G$4:$I$4)</f>
        <v>1.4951965475353304</v>
      </c>
      <c r="AN52" s="44">
        <f>AN$50*'R&amp;S - Apparel'!$H$4/SUM('R&amp;S - Apparel'!$G$4:$I$4)</f>
        <v>1.5115769543609519</v>
      </c>
      <c r="AO52" s="44">
        <f>AO$50*'R&amp;S - Apparel'!$H$4/SUM('R&amp;S - Apparel'!$G$4:$I$4)</f>
        <v>1.5281368143348666</v>
      </c>
      <c r="AP52" s="44">
        <f>AP$50*'R&amp;S - Apparel'!$H$4/SUM('R&amp;S - Apparel'!$G$4:$I$4)</f>
        <v>1.5448780934297628</v>
      </c>
      <c r="AQ52" s="44">
        <f>AQ$50*'R&amp;S - Apparel'!$H$4/SUM('R&amp;S - Apparel'!$G$4:$I$4)</f>
        <v>1.5618027791562539</v>
      </c>
      <c r="AR52" s="44">
        <f>AR$50*'R&amp;S - Apparel'!$H$4/SUM('R&amp;S - Apparel'!$G$4:$I$4)</f>
        <v>1.5789128807988349</v>
      </c>
      <c r="AS52" s="44">
        <f>AS$50*'R&amp;S - Apparel'!$H$4/SUM('R&amp;S - Apparel'!$G$4:$I$4)</f>
        <v>1.5962104296544228</v>
      </c>
      <c r="AT52" s="44">
        <f>AT$50*'R&amp;S - Apparel'!$H$4/SUM('R&amp;S - Apparel'!$G$4:$I$4)</f>
        <v>1.6136974792735108</v>
      </c>
      <c r="AU52" s="44">
        <f>AU$50*'R&amp;S - Apparel'!$H$4/SUM('R&amp;S - Apparel'!$G$4:$I$4)</f>
        <v>1.6313761057039635</v>
      </c>
      <c r="AV52" s="44">
        <f>AV$50*'R&amp;S - Apparel'!$H$4/SUM('R&amp;S - Apparel'!$G$4:$I$4)</f>
        <v>1.6492484077374845</v>
      </c>
      <c r="AW52" s="44">
        <f>AW$50*'R&amp;S - Apparel'!$H$4/SUM('R&amp;S - Apparel'!$G$4:$I$4)</f>
        <v>1.6673165071587817</v>
      </c>
      <c r="AX52" s="44">
        <f>AX$50*'R&amp;S - Apparel'!$H$4/SUM('R&amp;S - Apparel'!$G$4:$I$4)</f>
        <v>1.6855825489974645</v>
      </c>
      <c r="AY52" s="44">
        <f>AY$50*'R&amp;S - Apparel'!$H$4/SUM('R&amp;S - Apparel'!$G$4:$I$4)</f>
        <v>1.7040487017827017</v>
      </c>
      <c r="AZ52" s="44">
        <f>AZ$50*'R&amp;S - Apparel'!$H$4/SUM('R&amp;S - Apparel'!$G$4:$I$4)</f>
        <v>1.7227171578006641</v>
      </c>
      <c r="BA52" s="44">
        <f>BA$50*'R&amp;S - Apparel'!$H$4/SUM('R&amp;S - Apparel'!$G$4:$I$4)</f>
        <v>1.7415901333547938</v>
      </c>
      <c r="BB52" s="44">
        <f>BB$50*'R&amp;S - Apparel'!$H$4/SUM('R&amp;S - Apparel'!$G$4:$I$4)</f>
        <v>1.7606698690289195</v>
      </c>
      <c r="BC52" s="44">
        <f>BC$50*'R&amp;S - Apparel'!$H$4/SUM('R&amp;S - Apparel'!$G$4:$I$4)</f>
        <v>1.7799586299532593</v>
      </c>
      <c r="BD52" s="44">
        <f>BD$50*'R&amp;S - Apparel'!$H$4/SUM('R&amp;S - Apparel'!$G$4:$I$4)</f>
        <v>1.7994587060733327</v>
      </c>
      <c r="BE52" s="44">
        <f>BE$50*'R&amp;S - Apparel'!$H$4/SUM('R&amp;S - Apparel'!$G$4:$I$4)</f>
        <v>1.8191724124218225</v>
      </c>
      <c r="BF52" s="44">
        <f>BF$50*'R&amp;S - Apparel'!$H$4/SUM('R&amp;S - Apparel'!$G$4:$I$4)</f>
        <v>1.8391020893934131</v>
      </c>
      <c r="BG52" s="44">
        <f>BG$50*'R&amp;S - Apparel'!$H$4/SUM('R&amp;S - Apparel'!$G$4:$I$4)</f>
        <v>1.8592501030226398</v>
      </c>
      <c r="BH52" s="44">
        <f>BH$50*'R&amp;S - Apparel'!$H$4/SUM('R&amp;S - Apparel'!$G$4:$I$4)</f>
        <v>1.8796188452647828</v>
      </c>
      <c r="BI52" s="44">
        <f>BI$50*'R&amp;S - Apparel'!$H$4/SUM('R&amp;S - Apparel'!$G$4:$I$4)</f>
        <v>1.9002107342798384</v>
      </c>
      <c r="BJ52" s="44">
        <f>BJ$50*'R&amp;S - Apparel'!$H$4/SUM('R&amp;S - Apparel'!$G$4:$I$4)</f>
        <v>1.9210282147196007</v>
      </c>
      <c r="BK52" s="44">
        <f>BK$50*'R&amp;S - Apparel'!$H$4/SUM('R&amp;S - Apparel'!$G$4:$I$4)</f>
        <v>1.942073758017888</v>
      </c>
      <c r="BL52" s="44">
        <f>BL$50*'R&amp;S - Apparel'!$H$4/SUM('R&amp;S - Apparel'!$G$4:$I$4)</f>
        <v>1.9633498626839501</v>
      </c>
      <c r="BM52" s="44">
        <f>BM$50*'R&amp;S - Apparel'!$H$4/SUM('R&amp;S - Apparel'!$G$4:$I$4)</f>
        <v>1.984859054599089</v>
      </c>
      <c r="BN52" s="44">
        <f>BN$50*'R&amp;S - Apparel'!$H$4/SUM('R&amp;S - Apparel'!$G$4:$I$4)</f>
        <v>2.0066038873165302</v>
      </c>
    </row>
    <row r="53" spans="1:66" s="68" customFormat="1" outlineLevel="1">
      <c r="A53" s="754"/>
      <c r="B53" s="62" t="s">
        <v>166</v>
      </c>
      <c r="C53" s="283" t="s">
        <v>153</v>
      </c>
      <c r="D53" s="284">
        <f>D$50*'R&amp;S - Apparel'!$I$4/SUM('R&amp;S - Apparel'!$G$4:$I$4)</f>
        <v>11.565136270954032</v>
      </c>
      <c r="E53" s="284">
        <f>E$50*'R&amp;S - Apparel'!$I$4/SUM('R&amp;S - Apparel'!$G$4:$I$4)</f>
        <v>11.691836427815851</v>
      </c>
      <c r="F53" s="284">
        <f>F$50*'R&amp;S - Apparel'!$I$4/SUM('R&amp;S - Apparel'!$G$4:$I$4)</f>
        <v>11.819924629692679</v>
      </c>
      <c r="G53" s="284">
        <f>G$50*'R&amp;S - Apparel'!$I$4/SUM('R&amp;S - Apparel'!$G$4:$I$4)</f>
        <v>11.949416083108419</v>
      </c>
      <c r="H53" s="284">
        <f>H$50*'R&amp;S - Apparel'!$I$4/SUM('R&amp;S - Apparel'!$G$4:$I$4)</f>
        <v>12.080326161179821</v>
      </c>
      <c r="I53" s="284">
        <f>I$50*'R&amp;S - Apparel'!$I$4/SUM('R&amp;S - Apparel'!$G$4:$I$4)</f>
        <v>12.212670405441559</v>
      </c>
      <c r="J53" s="284">
        <f>J$50*'R&amp;S - Apparel'!$I$4/SUM('R&amp;S - Apparel'!$G$4:$I$4)</f>
        <v>12.346464527691317</v>
      </c>
      <c r="K53" s="284">
        <f>K$50*'R&amp;S - Apparel'!$I$4/SUM('R&amp;S - Apparel'!$G$4:$I$4)</f>
        <v>12.481724411855081</v>
      </c>
      <c r="L53" s="284">
        <f>L$50*'R&amp;S - Apparel'!$I$4/SUM('R&amp;S - Apparel'!$G$4:$I$4)</f>
        <v>12.618466115872856</v>
      </c>
      <c r="M53" s="284">
        <f>M$50*'R&amp;S - Apparel'!$I$4/SUM('R&amp;S - Apparel'!$G$4:$I$4)</f>
        <v>12.756705873605064</v>
      </c>
      <c r="N53" s="284">
        <f>N$50*'R&amp;S - Apparel'!$I$4/SUM('R&amp;S - Apparel'!$G$4:$I$4)</f>
        <v>12.896460096759801</v>
      </c>
      <c r="O53" s="284">
        <f>O$50*'R&amp;S - Apparel'!$I$4/SUM('R&amp;S - Apparel'!$G$4:$I$4)</f>
        <v>13.037745376841233</v>
      </c>
      <c r="P53" s="284">
        <f>P$50*'R&amp;S - Apparel'!$I$4/SUM('R&amp;S - Apparel'!$G$4:$I$4)</f>
        <v>13.180578487119318</v>
      </c>
      <c r="Q53" s="284">
        <f>Q$50*'R&amp;S - Apparel'!$I$4/SUM('R&amp;S - Apparel'!$G$4:$I$4)</f>
        <v>13.324976384621115</v>
      </c>
      <c r="R53" s="284">
        <f>R$50*'R&amp;S - Apparel'!$I$4/SUM('R&amp;S - Apparel'!$G$4:$I$4)</f>
        <v>13.470956212143912</v>
      </c>
      <c r="S53" s="284">
        <f>S$50*'R&amp;S - Apparel'!$I$4/SUM('R&amp;S - Apparel'!$G$4:$I$4)</f>
        <v>13.618535300290405</v>
      </c>
      <c r="T53" s="284">
        <f>T$50*'R&amp;S - Apparel'!$I$4/SUM('R&amp;S - Apparel'!$G$4:$I$4)</f>
        <v>13.767731169526169</v>
      </c>
      <c r="U53" s="284">
        <f>U$50*'R&amp;S - Apparel'!$I$4/SUM('R&amp;S - Apparel'!$G$4:$I$4)</f>
        <v>13.918561532259666</v>
      </c>
      <c r="V53" s="284">
        <f>V$50*'R&amp;S - Apparel'!$I$4/SUM('R&amp;S - Apparel'!$G$4:$I$4)</f>
        <v>14.071044294945064</v>
      </c>
      <c r="W53" s="284">
        <f>W$50*'R&amp;S - Apparel'!$I$4/SUM('R&amp;S - Apparel'!$G$4:$I$4)</f>
        <v>14.225197560208066</v>
      </c>
      <c r="X53" s="284">
        <f>X$50*'R&amp;S - Apparel'!$I$4/SUM('R&amp;S - Apparel'!$G$4:$I$4)</f>
        <v>14.381039628995037</v>
      </c>
      <c r="Y53" s="284">
        <f>Y$50*'R&amp;S - Apparel'!$I$4/SUM('R&amp;S - Apparel'!$G$4:$I$4)</f>
        <v>14.538589002745686</v>
      </c>
      <c r="Z53" s="284">
        <f>Z$50*'R&amp;S - Apparel'!$I$4/SUM('R&amp;S - Apparel'!$G$4:$I$4)</f>
        <v>14.697864385589524</v>
      </c>
      <c r="AA53" s="284">
        <f>AA$50*'R&amp;S - Apparel'!$I$4/SUM('R&amp;S - Apparel'!$G$4:$I$4)</f>
        <v>14.85888468656643</v>
      </c>
      <c r="AB53" s="284">
        <f>AB$50*'R&amp;S - Apparel'!$I$4/SUM('R&amp;S - Apparel'!$G$4:$I$4)</f>
        <v>15.021669021871487</v>
      </c>
      <c r="AC53" s="284">
        <f>AC$50*'R&amp;S - Apparel'!$I$4/SUM('R&amp;S - Apparel'!$G$4:$I$4)</f>
        <v>15.18623671712446</v>
      </c>
      <c r="AD53" s="284">
        <f>AD$50*'R&amp;S - Apparel'!$I$4/SUM('R&amp;S - Apparel'!$G$4:$I$4)</f>
        <v>15.352607309664108</v>
      </c>
      <c r="AE53" s="284">
        <f>AE$50*'R&amp;S - Apparel'!$I$4/SUM('R&amp;S - Apparel'!$G$4:$I$4)</f>
        <v>15.520800550867648</v>
      </c>
      <c r="AF53" s="284">
        <f>AF$50*'R&amp;S - Apparel'!$I$4/SUM('R&amp;S - Apparel'!$G$4:$I$4)</f>
        <v>15.690836408495612</v>
      </c>
      <c r="AG53" s="284">
        <f>AG$50*'R&amp;S - Apparel'!$I$4/SUM('R&amp;S - Apparel'!$G$4:$I$4)</f>
        <v>15.862735069062412</v>
      </c>
      <c r="AH53" s="284">
        <f>AH$50*'R&amp;S - Apparel'!$I$4/SUM('R&amp;S - Apparel'!$G$4:$I$4)</f>
        <v>16.036516940232865</v>
      </c>
      <c r="AJ53" s="284">
        <f>AJ$50*'R&amp;S - Apparel'!$I$4/SUM('R&amp;S - Apparel'!$G$4:$I$4)</f>
        <v>11.565136270954032</v>
      </c>
      <c r="AK53" s="284">
        <f>AK$50*'R&amp;S - Apparel'!$I$4/SUM('R&amp;S - Apparel'!$G$4:$I$4)</f>
        <v>11.691836427815851</v>
      </c>
      <c r="AL53" s="284">
        <f>AL$50*'R&amp;S - Apparel'!$I$4/SUM('R&amp;S - Apparel'!$G$4:$I$4)</f>
        <v>11.819924629692679</v>
      </c>
      <c r="AM53" s="284">
        <f>AM$50*'R&amp;S - Apparel'!$I$4/SUM('R&amp;S - Apparel'!$G$4:$I$4)</f>
        <v>11.949416083108419</v>
      </c>
      <c r="AN53" s="284">
        <f>AN$50*'R&amp;S - Apparel'!$I$4/SUM('R&amp;S - Apparel'!$G$4:$I$4)</f>
        <v>12.080326161179821</v>
      </c>
      <c r="AO53" s="284">
        <f>AO$50*'R&amp;S - Apparel'!$I$4/SUM('R&amp;S - Apparel'!$G$4:$I$4)</f>
        <v>12.212670405441559</v>
      </c>
      <c r="AP53" s="284">
        <f>AP$50*'R&amp;S - Apparel'!$I$4/SUM('R&amp;S - Apparel'!$G$4:$I$4)</f>
        <v>12.346464527691317</v>
      </c>
      <c r="AQ53" s="284">
        <f>AQ$50*'R&amp;S - Apparel'!$I$4/SUM('R&amp;S - Apparel'!$G$4:$I$4)</f>
        <v>12.481724411855081</v>
      </c>
      <c r="AR53" s="284">
        <f>AR$50*'R&amp;S - Apparel'!$I$4/SUM('R&amp;S - Apparel'!$G$4:$I$4)</f>
        <v>12.618466115872856</v>
      </c>
      <c r="AS53" s="284">
        <f>AS$50*'R&amp;S - Apparel'!$I$4/SUM('R&amp;S - Apparel'!$G$4:$I$4)</f>
        <v>12.756705873605064</v>
      </c>
      <c r="AT53" s="284">
        <f>AT$50*'R&amp;S - Apparel'!$I$4/SUM('R&amp;S - Apparel'!$G$4:$I$4)</f>
        <v>12.896460096759801</v>
      </c>
      <c r="AU53" s="284">
        <f>AU$50*'R&amp;S - Apparel'!$I$4/SUM('R&amp;S - Apparel'!$G$4:$I$4)</f>
        <v>13.037745376841233</v>
      </c>
      <c r="AV53" s="284">
        <f>AV$50*'R&amp;S - Apparel'!$I$4/SUM('R&amp;S - Apparel'!$G$4:$I$4)</f>
        <v>13.180578487119318</v>
      </c>
      <c r="AW53" s="284">
        <f>AW$50*'R&amp;S - Apparel'!$I$4/SUM('R&amp;S - Apparel'!$G$4:$I$4)</f>
        <v>13.324976384621115</v>
      </c>
      <c r="AX53" s="284">
        <f>AX$50*'R&amp;S - Apparel'!$I$4/SUM('R&amp;S - Apparel'!$G$4:$I$4)</f>
        <v>13.470956212143912</v>
      </c>
      <c r="AY53" s="284">
        <f>AY$50*'R&amp;S - Apparel'!$I$4/SUM('R&amp;S - Apparel'!$G$4:$I$4)</f>
        <v>13.618535300290405</v>
      </c>
      <c r="AZ53" s="284">
        <f>AZ$50*'R&amp;S - Apparel'!$I$4/SUM('R&amp;S - Apparel'!$G$4:$I$4)</f>
        <v>13.767731169526169</v>
      </c>
      <c r="BA53" s="284">
        <f>BA$50*'R&amp;S - Apparel'!$I$4/SUM('R&amp;S - Apparel'!$G$4:$I$4)</f>
        <v>13.918561532259666</v>
      </c>
      <c r="BB53" s="284">
        <f>BB$50*'R&amp;S - Apparel'!$I$4/SUM('R&amp;S - Apparel'!$G$4:$I$4)</f>
        <v>14.071044294945064</v>
      </c>
      <c r="BC53" s="284">
        <f>BC$50*'R&amp;S - Apparel'!$I$4/SUM('R&amp;S - Apparel'!$G$4:$I$4)</f>
        <v>14.225197560208066</v>
      </c>
      <c r="BD53" s="284">
        <f>BD$50*'R&amp;S - Apparel'!$I$4/SUM('R&amp;S - Apparel'!$G$4:$I$4)</f>
        <v>14.381039628995037</v>
      </c>
      <c r="BE53" s="284">
        <f>BE$50*'R&amp;S - Apparel'!$I$4/SUM('R&amp;S - Apparel'!$G$4:$I$4)</f>
        <v>14.538589002745686</v>
      </c>
      <c r="BF53" s="284">
        <f>BF$50*'R&amp;S - Apparel'!$I$4/SUM('R&amp;S - Apparel'!$G$4:$I$4)</f>
        <v>14.697864385589524</v>
      </c>
      <c r="BG53" s="284">
        <f>BG$50*'R&amp;S - Apparel'!$I$4/SUM('R&amp;S - Apparel'!$G$4:$I$4)</f>
        <v>14.85888468656643</v>
      </c>
      <c r="BH53" s="284">
        <f>BH$50*'R&amp;S - Apparel'!$I$4/SUM('R&amp;S - Apparel'!$G$4:$I$4)</f>
        <v>15.021669021871487</v>
      </c>
      <c r="BI53" s="284">
        <f>BI$50*'R&amp;S - Apparel'!$I$4/SUM('R&amp;S - Apparel'!$G$4:$I$4)</f>
        <v>15.18623671712446</v>
      </c>
      <c r="BJ53" s="284">
        <f>BJ$50*'R&amp;S - Apparel'!$I$4/SUM('R&amp;S - Apparel'!$G$4:$I$4)</f>
        <v>15.352607309664108</v>
      </c>
      <c r="BK53" s="284">
        <f>BK$50*'R&amp;S - Apparel'!$I$4/SUM('R&amp;S - Apparel'!$G$4:$I$4)</f>
        <v>15.520800550867648</v>
      </c>
      <c r="BL53" s="284">
        <f>BL$50*'R&amp;S - Apparel'!$I$4/SUM('R&amp;S - Apparel'!$G$4:$I$4)</f>
        <v>15.690836408495612</v>
      </c>
      <c r="BM53" s="284">
        <f>BM$50*'R&amp;S - Apparel'!$I$4/SUM('R&amp;S - Apparel'!$G$4:$I$4)</f>
        <v>15.862735069062412</v>
      </c>
      <c r="BN53" s="284">
        <f>BN$50*'R&amp;S - Apparel'!$I$4/SUM('R&amp;S - Apparel'!$G$4:$I$4)</f>
        <v>16.036516940232865</v>
      </c>
    </row>
    <row r="54" spans="1:66" outlineLevel="1">
      <c r="A54" s="58" t="s">
        <v>208</v>
      </c>
      <c r="B54" s="58" t="s">
        <v>209</v>
      </c>
      <c r="C54" s="59" t="s">
        <v>153</v>
      </c>
      <c r="D54" s="44">
        <f>D4-D16-D27-D38-D45-D9</f>
        <v>31.171306671622546</v>
      </c>
      <c r="E54" s="44">
        <f t="shared" ref="E54:AH54" si="42">E4-E16-E27-E38-E45-E9</f>
        <v>33.074947911903259</v>
      </c>
      <c r="F54" s="44">
        <f t="shared" si="42"/>
        <v>35.037629576138762</v>
      </c>
      <c r="G54" s="44">
        <f t="shared" si="42"/>
        <v>37.060931517550884</v>
      </c>
      <c r="H54" s="44">
        <f t="shared" si="42"/>
        <v>39.146473691798604</v>
      </c>
      <c r="I54" s="44">
        <f t="shared" si="42"/>
        <v>41.295917153149404</v>
      </c>
      <c r="J54" s="44">
        <f t="shared" si="42"/>
        <v>42.440674865929033</v>
      </c>
      <c r="K54" s="44">
        <f t="shared" si="42"/>
        <v>43.609240228799074</v>
      </c>
      <c r="L54" s="44">
        <f t="shared" si="42"/>
        <v>44.802057340501662</v>
      </c>
      <c r="M54" s="44">
        <f t="shared" si="42"/>
        <v>46.019578145872828</v>
      </c>
      <c r="N54" s="44">
        <f t="shared" si="42"/>
        <v>47.262262570272227</v>
      </c>
      <c r="O54" s="44">
        <f t="shared" si="42"/>
        <v>47.595314985684993</v>
      </c>
      <c r="P54" s="44">
        <f t="shared" si="42"/>
        <v>47.930226799437001</v>
      </c>
      <c r="Q54" s="44">
        <f t="shared" si="42"/>
        <v>48.267001045879539</v>
      </c>
      <c r="R54" s="44">
        <f t="shared" si="42"/>
        <v>48.605640624600319</v>
      </c>
      <c r="S54" s="44">
        <f t="shared" si="42"/>
        <v>48.946148297318402</v>
      </c>
      <c r="T54" s="44">
        <f t="shared" si="42"/>
        <v>49.222060133511881</v>
      </c>
      <c r="U54" s="44">
        <f t="shared" si="42"/>
        <v>49.498589306525432</v>
      </c>
      <c r="V54" s="44">
        <f t="shared" si="42"/>
        <v>49.775720345449614</v>
      </c>
      <c r="W54" s="44">
        <f t="shared" si="42"/>
        <v>50.053437404284182</v>
      </c>
      <c r="X54" s="44">
        <f t="shared" si="42"/>
        <v>50.331724255926765</v>
      </c>
      <c r="Y54" s="44">
        <f t="shared" si="42"/>
        <v>49.767022569363945</v>
      </c>
      <c r="Z54" s="44">
        <f t="shared" si="42"/>
        <v>49.191856317725737</v>
      </c>
      <c r="AA54" s="44">
        <f t="shared" si="42"/>
        <v>48.60609433108776</v>
      </c>
      <c r="AB54" s="44">
        <f t="shared" si="42"/>
        <v>48.009603937253281</v>
      </c>
      <c r="AC54" s="44">
        <f t="shared" si="42"/>
        <v>47.402250945022516</v>
      </c>
      <c r="AD54" s="44">
        <f t="shared" si="42"/>
        <v>46.575014227523916</v>
      </c>
      <c r="AE54" s="44">
        <f t="shared" si="42"/>
        <v>45.735321735038823</v>
      </c>
      <c r="AF54" s="44">
        <f t="shared" si="42"/>
        <v>44.883028269318501</v>
      </c>
      <c r="AG54" s="44">
        <f t="shared" si="42"/>
        <v>44.017987016815489</v>
      </c>
      <c r="AH54" s="44">
        <f t="shared" si="42"/>
        <v>43.140049530896121</v>
      </c>
      <c r="AJ54" s="44">
        <f>AJ4-AJ16-AJ27-AJ38-AJ45-AJ9</f>
        <v>31.171306671622546</v>
      </c>
      <c r="AK54" s="44">
        <f t="shared" ref="AK54:BN54" si="43">AK4-AK16-AK27-AK38-AK45-AK9</f>
        <v>33.074947911903259</v>
      </c>
      <c r="AL54" s="44">
        <f t="shared" si="43"/>
        <v>35.037629576138762</v>
      </c>
      <c r="AM54" s="44">
        <f t="shared" si="43"/>
        <v>37.060931517550884</v>
      </c>
      <c r="AN54" s="44">
        <f t="shared" si="43"/>
        <v>39.146473691798604</v>
      </c>
      <c r="AO54" s="44">
        <f t="shared" si="43"/>
        <v>41.295917153149404</v>
      </c>
      <c r="AP54" s="44">
        <f t="shared" si="43"/>
        <v>42.440674865929033</v>
      </c>
      <c r="AQ54" s="44">
        <f t="shared" si="43"/>
        <v>43.609240228799074</v>
      </c>
      <c r="AR54" s="44">
        <f t="shared" si="43"/>
        <v>44.802057340501662</v>
      </c>
      <c r="AS54" s="44">
        <f t="shared" si="43"/>
        <v>46.019578145872828</v>
      </c>
      <c r="AT54" s="44">
        <f t="shared" si="43"/>
        <v>47.262262570272227</v>
      </c>
      <c r="AU54" s="44">
        <f t="shared" si="43"/>
        <v>47.595314985684993</v>
      </c>
      <c r="AV54" s="44">
        <f t="shared" si="43"/>
        <v>47.930226799437001</v>
      </c>
      <c r="AW54" s="44">
        <f t="shared" si="43"/>
        <v>48.267001045879539</v>
      </c>
      <c r="AX54" s="44">
        <f t="shared" si="43"/>
        <v>48.605640624600319</v>
      </c>
      <c r="AY54" s="44">
        <f t="shared" si="43"/>
        <v>48.946148297318402</v>
      </c>
      <c r="AZ54" s="44">
        <f t="shared" si="43"/>
        <v>49.222060133511881</v>
      </c>
      <c r="BA54" s="44">
        <f t="shared" si="43"/>
        <v>49.498589306525432</v>
      </c>
      <c r="BB54" s="44">
        <f t="shared" si="43"/>
        <v>49.775720345449614</v>
      </c>
      <c r="BC54" s="44">
        <f t="shared" si="43"/>
        <v>50.053437404284182</v>
      </c>
      <c r="BD54" s="44">
        <f t="shared" si="43"/>
        <v>50.331724255926765</v>
      </c>
      <c r="BE54" s="44">
        <f t="shared" si="43"/>
        <v>49.767022569363945</v>
      </c>
      <c r="BF54" s="44">
        <f t="shared" si="43"/>
        <v>49.191856317725737</v>
      </c>
      <c r="BG54" s="44">
        <f t="shared" si="43"/>
        <v>48.60609433108776</v>
      </c>
      <c r="BH54" s="44">
        <f t="shared" si="43"/>
        <v>48.009603937253281</v>
      </c>
      <c r="BI54" s="44">
        <f t="shared" si="43"/>
        <v>47.402250945022516</v>
      </c>
      <c r="BJ54" s="44">
        <f t="shared" si="43"/>
        <v>46.575014227523916</v>
      </c>
      <c r="BK54" s="44">
        <f t="shared" si="43"/>
        <v>45.735321735038823</v>
      </c>
      <c r="BL54" s="44">
        <f t="shared" si="43"/>
        <v>44.883028269318501</v>
      </c>
      <c r="BM54" s="44">
        <f t="shared" si="43"/>
        <v>44.017987016815489</v>
      </c>
      <c r="BN54" s="44">
        <f t="shared" si="43"/>
        <v>43.140049530896121</v>
      </c>
    </row>
    <row r="55" spans="1:66" outlineLevel="1">
      <c r="B55" s="1" t="s">
        <v>168</v>
      </c>
      <c r="C55" s="54" t="s">
        <v>153</v>
      </c>
      <c r="D55">
        <v>0</v>
      </c>
      <c r="E55" s="43">
        <f>E54*'R&amp;S - Others'!$D$7*'R&amp;S - Others'!$B$11*'R&amp;S - Others'!$B$15*(E$3-$D$3)/10</f>
        <v>0</v>
      </c>
      <c r="F55" s="43">
        <f>F54*'R&amp;S - Others'!$D$7*'R&amp;S - Others'!$B$11*'R&amp;S - Others'!$B$15*(F$3-$D$3)/10</f>
        <v>0</v>
      </c>
      <c r="G55" s="43">
        <f>G54*'R&amp;S - Others'!$D$7*'R&amp;S - Others'!$B$11*'R&amp;S - Others'!$B$15*(G$3-$D$3)/10</f>
        <v>0</v>
      </c>
      <c r="H55" s="43">
        <f>H54*'R&amp;S - Others'!$D$7*'R&amp;S - Others'!$B$11*'R&amp;S - Others'!$B$15*(H$3-$D$3)/10</f>
        <v>0</v>
      </c>
      <c r="I55" s="43">
        <f>I54*'R&amp;S - Others'!$D$7*'R&amp;S - Others'!$B$11*'R&amp;S - Others'!$B$15*(I$3-$D$3)/10</f>
        <v>0</v>
      </c>
      <c r="J55" s="43">
        <f>J54*'R&amp;S - Others'!$D$7*'R&amp;S - Others'!$B$11*'R&amp;S - Others'!$B$15*(J$3-$D$3)/10</f>
        <v>0</v>
      </c>
      <c r="K55" s="43">
        <f>K54*'R&amp;S - Others'!$D$7*'R&amp;S - Others'!$B$11*'R&amp;S - Others'!$B$15*(K$3-$D$3)/10</f>
        <v>0</v>
      </c>
      <c r="L55" s="43">
        <f>L54*'R&amp;S - Others'!$D$7*'R&amp;S - Others'!$B$11*'R&amp;S - Others'!$B$15*(L$3-$D$3)/10</f>
        <v>0</v>
      </c>
      <c r="M55" s="43">
        <f>M54*'R&amp;S - Others'!$D$7*'R&amp;S - Others'!$B$11*'R&amp;S - Others'!$B$15*(M$3-$D$3)/10</f>
        <v>0</v>
      </c>
      <c r="N55" s="43">
        <f>N54*'R&amp;S - Others'!$D$7*'R&amp;S - Others'!$B$11*'R&amp;S - Others'!$B$15*(N$3-$D$3)/10</f>
        <v>0</v>
      </c>
      <c r="O55" s="43">
        <f>O54*'R&amp;S - Others'!$D$7*'R&amp;S - Others'!$B$11*('R&amp;S - Others'!$B$15+('R&amp;S - Others'!$B$16-'R&amp;S - Others'!$B$15)*(O$3-$N$3)/10)</f>
        <v>0</v>
      </c>
      <c r="P55" s="43">
        <f>P54*'R&amp;S - Others'!$D$7*'R&amp;S - Others'!$B$11*('R&amp;S - Others'!$B$15+('R&amp;S - Others'!$B$16-'R&amp;S - Others'!$B$15)*(P$3-$N$3)/10)</f>
        <v>0</v>
      </c>
      <c r="Q55" s="43">
        <f>Q54*'R&amp;S - Others'!$D$7*'R&amp;S - Others'!$B$11*('R&amp;S - Others'!$B$15+('R&amp;S - Others'!$B$16-'R&amp;S - Others'!$B$15)*(Q$3-$N$3)/10)</f>
        <v>0</v>
      </c>
      <c r="R55" s="43">
        <f>R54*'R&amp;S - Others'!$D$7*'R&amp;S - Others'!$B$11*('R&amp;S - Others'!$B$15+('R&amp;S - Others'!$B$16-'R&amp;S - Others'!$B$15)*(R$3-$N$3)/10)</f>
        <v>0</v>
      </c>
      <c r="S55" s="43">
        <f>S54*'R&amp;S - Others'!$D$7*'R&amp;S - Others'!$B$11*('R&amp;S - Others'!$B$15+('R&amp;S - Others'!$B$16-'R&amp;S - Others'!$B$15)*(S$3-$N$3)/10)</f>
        <v>0</v>
      </c>
      <c r="T55" s="43">
        <f>T54*'R&amp;S - Others'!$D$7*'R&amp;S - Others'!$B$11*('R&amp;S - Others'!$B$15+('R&amp;S - Others'!$B$16-'R&amp;S - Others'!$B$15)*(T$3-$N$3)/10)</f>
        <v>0</v>
      </c>
      <c r="U55" s="43">
        <f>U54*'R&amp;S - Others'!$D$7*'R&amp;S - Others'!$B$11*('R&amp;S - Others'!$B$15+('R&amp;S - Others'!$B$16-'R&amp;S - Others'!$B$15)*(U$3-$N$3)/10)</f>
        <v>0</v>
      </c>
      <c r="V55" s="43">
        <f>V54*'R&amp;S - Others'!$D$7*'R&amp;S - Others'!$B$11*('R&amp;S - Others'!$B$15+('R&amp;S - Others'!$B$16-'R&amp;S - Others'!$B$15)*(V$3-$N$3)/10)</f>
        <v>0</v>
      </c>
      <c r="W55" s="43">
        <f>W54*'R&amp;S - Others'!$D$7*'R&amp;S - Others'!$B$11*('R&amp;S - Others'!$B$15+('R&amp;S - Others'!$B$16-'R&amp;S - Others'!$B$15)*(W$3-$N$3)/10)</f>
        <v>0</v>
      </c>
      <c r="X55" s="43">
        <f>X54*'R&amp;S - Others'!$D$7*'R&amp;S - Others'!$B$11*('R&amp;S - Others'!$B$15+('R&amp;S - Others'!$B$16-'R&amp;S - Others'!$B$15)*(X$3-$N$3)/10)</f>
        <v>0</v>
      </c>
      <c r="Y55" s="43">
        <f>Y54*'R&amp;S - Others'!$D$7*'R&amp;S - Others'!$B$11*('R&amp;S - Others'!$B$16+('R&amp;S - Others'!$B$17-'R&amp;S - Others'!$B$16)*(Y$3-$X$3)/10)</f>
        <v>0</v>
      </c>
      <c r="Z55" s="43">
        <f>Z54*'R&amp;S - Others'!$D$7*'R&amp;S - Others'!$B$11*('R&amp;S - Others'!$B$16+('R&amp;S - Others'!$B$17-'R&amp;S - Others'!$B$16)*(Z$3-$X$3)/10)</f>
        <v>0</v>
      </c>
      <c r="AA55" s="43">
        <f>AA54*'R&amp;S - Others'!$D$7*'R&amp;S - Others'!$B$11*('R&amp;S - Others'!$B$16+('R&amp;S - Others'!$B$17-'R&amp;S - Others'!$B$16)*(AA$3-$X$3)/10)</f>
        <v>0</v>
      </c>
      <c r="AB55" s="43">
        <f>AB54*'R&amp;S - Others'!$D$7*'R&amp;S - Others'!$B$11*('R&amp;S - Others'!$B$16+('R&amp;S - Others'!$B$17-'R&amp;S - Others'!$B$16)*(AB$3-$X$3)/10)</f>
        <v>0</v>
      </c>
      <c r="AC55" s="43">
        <f>AC54*'R&amp;S - Others'!$D$7*'R&amp;S - Others'!$B$11*('R&amp;S - Others'!$B$16+('R&amp;S - Others'!$B$17-'R&amp;S - Others'!$B$16)*(AC$3-$X$3)/10)</f>
        <v>0</v>
      </c>
      <c r="AD55" s="43">
        <f>AD54*'R&amp;S - Others'!$D$7*'R&amp;S - Others'!$B$11*('R&amp;S - Others'!$B$16+('R&amp;S - Others'!$B$17-'R&amp;S - Others'!$B$16)*(AD$3-$X$3)/10)</f>
        <v>0</v>
      </c>
      <c r="AE55" s="43">
        <f>AE54*'R&amp;S - Others'!$D$7*'R&amp;S - Others'!$B$11*('R&amp;S - Others'!$B$16+('R&amp;S - Others'!$B$17-'R&amp;S - Others'!$B$16)*(AE$3-$X$3)/10)</f>
        <v>0</v>
      </c>
      <c r="AF55" s="43">
        <f>AF54*'R&amp;S - Others'!$D$7*'R&amp;S - Others'!$B$11*('R&amp;S - Others'!$B$16+('R&amp;S - Others'!$B$17-'R&amp;S - Others'!$B$16)*(AF$3-$X$3)/10)</f>
        <v>0</v>
      </c>
      <c r="AG55" s="43">
        <f>AG54*'R&amp;S - Others'!$D$7*'R&amp;S - Others'!$B$11*('R&amp;S - Others'!$B$16+('R&amp;S - Others'!$B$17-'R&amp;S - Others'!$B$16)*(AG$3-$X$3)/10)</f>
        <v>0</v>
      </c>
      <c r="AH55" s="43">
        <f>AH54*'R&amp;S - Others'!$D$7*'R&amp;S - Others'!$B$11*('R&amp;S - Others'!$B$16+('R&amp;S - Others'!$B$17-'R&amp;S - Others'!$B$16)*(AH$3-$X$3)/10)</f>
        <v>0</v>
      </c>
      <c r="AJ55">
        <v>0</v>
      </c>
      <c r="AK55" s="43">
        <f>AK54*'R&amp;S - Others'!$D$7*'R&amp;S - Others'!$B$12*'R&amp;S - Others'!$B$15*(AK$3-$D$3)/10</f>
        <v>0</v>
      </c>
      <c r="AL55" s="43">
        <f>AL54*'R&amp;S - Others'!$D$7*'R&amp;S - Others'!$B$12*'R&amp;S - Others'!$B$15*(AL$3-$D$3)/10</f>
        <v>0</v>
      </c>
      <c r="AM55" s="43">
        <f>AM54*'R&amp;S - Others'!$D$7*'R&amp;S - Others'!$B$12*'R&amp;S - Others'!$B$15*(AM$3-$D$3)/10</f>
        <v>0</v>
      </c>
      <c r="AN55" s="43">
        <f>AN54*'R&amp;S - Others'!$D$7*'R&amp;S - Others'!$B$12*'R&amp;S - Others'!$B$15*(AN$3-$D$3)/10</f>
        <v>0</v>
      </c>
      <c r="AO55" s="43">
        <f>AO54*'R&amp;S - Others'!$D$7*'R&amp;S - Others'!$B$12*'R&amp;S - Others'!$B$15*(AO$3-$D$3)/10</f>
        <v>0</v>
      </c>
      <c r="AP55" s="43">
        <f>AP54*'R&amp;S - Others'!$D$7*'R&amp;S - Others'!$B$12*'R&amp;S - Others'!$B$15*(AP$3-$D$3)/10</f>
        <v>0</v>
      </c>
      <c r="AQ55" s="43">
        <f>AQ54*'R&amp;S - Others'!$D$7*'R&amp;S - Others'!$B$12*'R&amp;S - Others'!$B$15*(AQ$3-$D$3)/10</f>
        <v>0</v>
      </c>
      <c r="AR55" s="43">
        <f>AR54*'R&amp;S - Others'!$D$7*'R&amp;S - Others'!$B$12*'R&amp;S - Others'!$B$15*(AR$3-$D$3)/10</f>
        <v>0</v>
      </c>
      <c r="AS55" s="43">
        <f>AS54*'R&amp;S - Others'!$D$7*'R&amp;S - Others'!$B$12*'R&amp;S - Others'!$B$15*(AS$3-$D$3)/10</f>
        <v>0</v>
      </c>
      <c r="AT55" s="43">
        <f>AT54*'R&amp;S - Others'!$D$7*'R&amp;S - Others'!$B$12*'R&amp;S - Others'!$B$15*(AT$3-$D$3)/10</f>
        <v>0</v>
      </c>
      <c r="AU55" s="43">
        <f>AU54*'R&amp;S - Others'!$D$7*'R&amp;S - Others'!$B$12*('R&amp;S - Others'!$B$15+('R&amp;S - Others'!$B$16-'R&amp;S - Others'!$B$15)*(AU$3-$N$3)/10)</f>
        <v>0</v>
      </c>
      <c r="AV55" s="43">
        <f>AV54*'R&amp;S - Others'!$D$7*'R&amp;S - Others'!$B$12*('R&amp;S - Others'!$B$15+('R&amp;S - Others'!$B$16-'R&amp;S - Others'!$B$15)*(AV$3-$N$3)/10)</f>
        <v>0</v>
      </c>
      <c r="AW55" s="43">
        <f>AW54*'R&amp;S - Others'!$D$7*'R&amp;S - Others'!$B$12*('R&amp;S - Others'!$B$15+('R&amp;S - Others'!$B$16-'R&amp;S - Others'!$B$15)*(AW$3-$N$3)/10)</f>
        <v>0</v>
      </c>
      <c r="AX55" s="43">
        <f>AX54*'R&amp;S - Others'!$D$7*'R&amp;S - Others'!$B$12*('R&amp;S - Others'!$B$15+('R&amp;S - Others'!$B$16-'R&amp;S - Others'!$B$15)*(AX$3-$N$3)/10)</f>
        <v>0</v>
      </c>
      <c r="AY55" s="43">
        <f>AY54*'R&amp;S - Others'!$D$7*'R&amp;S - Others'!$B$12*('R&amp;S - Others'!$B$15+('R&amp;S - Others'!$B$16-'R&amp;S - Others'!$B$15)*(AY$3-$N$3)/10)</f>
        <v>0</v>
      </c>
      <c r="AZ55" s="43">
        <f>AZ54*'R&amp;S - Others'!$D$7*'R&amp;S - Others'!$B$12*('R&amp;S - Others'!$B$15+('R&amp;S - Others'!$B$16-'R&amp;S - Others'!$B$15)*(AZ$3-$N$3)/10)</f>
        <v>0</v>
      </c>
      <c r="BA55" s="43">
        <f>BA54*'R&amp;S - Others'!$D$7*'R&amp;S - Others'!$B$12*('R&amp;S - Others'!$B$15+('R&amp;S - Others'!$B$16-'R&amp;S - Others'!$B$15)*(BA$3-$N$3)/10)</f>
        <v>0</v>
      </c>
      <c r="BB55" s="43">
        <f>BB54*'R&amp;S - Others'!$D$7*'R&amp;S - Others'!$B$12*('R&amp;S - Others'!$B$15+('R&amp;S - Others'!$B$16-'R&amp;S - Others'!$B$15)*(BB$3-$N$3)/10)</f>
        <v>0</v>
      </c>
      <c r="BC55" s="43">
        <f>BC54*'R&amp;S - Others'!$D$7*'R&amp;S - Others'!$B$12*('R&amp;S - Others'!$B$15+('R&amp;S - Others'!$B$16-'R&amp;S - Others'!$B$15)*(BC$3-$N$3)/10)</f>
        <v>0</v>
      </c>
      <c r="BD55" s="43">
        <f>BD54*'R&amp;S - Others'!$D$7*'R&amp;S - Others'!$B$12*('R&amp;S - Others'!$B$15+('R&amp;S - Others'!$B$16-'R&amp;S - Others'!$B$15)*(BD$3-$N$3)/10)</f>
        <v>0</v>
      </c>
      <c r="BE55" s="43">
        <f>BE54*'R&amp;S - Others'!$D$7*'R&amp;S - Others'!$B$12*('R&amp;S - Others'!$B$16+('R&amp;S - Others'!$B$17-'R&amp;S - Others'!$B$16)*(BE$3-$X$3)/10)</f>
        <v>0</v>
      </c>
      <c r="BF55" s="43">
        <f>BF54*'R&amp;S - Others'!$D$7*'R&amp;S - Others'!$B$12*('R&amp;S - Others'!$B$16+('R&amp;S - Others'!$B$17-'R&amp;S - Others'!$B$16)*(BF$3-$X$3)/10)</f>
        <v>0</v>
      </c>
      <c r="BG55" s="43">
        <f>BG54*'R&amp;S - Others'!$D$7*'R&amp;S - Others'!$B$12*('R&amp;S - Others'!$B$16+('R&amp;S - Others'!$B$17-'R&amp;S - Others'!$B$16)*(BG$3-$X$3)/10)</f>
        <v>0</v>
      </c>
      <c r="BH55" s="43">
        <f>BH54*'R&amp;S - Others'!$D$7*'R&amp;S - Others'!$B$12*('R&amp;S - Others'!$B$16+('R&amp;S - Others'!$B$17-'R&amp;S - Others'!$B$16)*(BH$3-$X$3)/10)</f>
        <v>0</v>
      </c>
      <c r="BI55" s="43">
        <f>BI54*'R&amp;S - Others'!$D$7*'R&amp;S - Others'!$B$12*('R&amp;S - Others'!$B$16+('R&amp;S - Others'!$B$17-'R&amp;S - Others'!$B$16)*(BI$3-$X$3)/10)</f>
        <v>0</v>
      </c>
      <c r="BJ55" s="43">
        <f>BJ54*'R&amp;S - Others'!$D$7*'R&amp;S - Others'!$B$12*('R&amp;S - Others'!$B$16+('R&amp;S - Others'!$B$17-'R&amp;S - Others'!$B$16)*(BJ$3-$X$3)/10)</f>
        <v>0</v>
      </c>
      <c r="BK55" s="43">
        <f>BK54*'R&amp;S - Others'!$D$7*'R&amp;S - Others'!$B$12*('R&amp;S - Others'!$B$16+('R&amp;S - Others'!$B$17-'R&amp;S - Others'!$B$16)*(BK$3-$X$3)/10)</f>
        <v>0</v>
      </c>
      <c r="BL55" s="43">
        <f>BL54*'R&amp;S - Others'!$D$7*'R&amp;S - Others'!$B$12*('R&amp;S - Others'!$B$16+('R&amp;S - Others'!$B$17-'R&amp;S - Others'!$B$16)*(BL$3-$X$3)/10)</f>
        <v>0</v>
      </c>
      <c r="BM55" s="43">
        <f>BM54*'R&amp;S - Others'!$D$7*'R&amp;S - Others'!$B$12*('R&amp;S - Others'!$B$16+('R&amp;S - Others'!$B$17-'R&amp;S - Others'!$B$16)*(BM$3-$X$3)/10)</f>
        <v>0</v>
      </c>
      <c r="BN55" s="43">
        <f>BN54*'R&amp;S - Others'!$D$7*'R&amp;S - Others'!$B$12*('R&amp;S - Others'!$B$16+('R&amp;S - Others'!$B$17-'R&amp;S - Others'!$B$16)*(BN$3-$X$3)/10)</f>
        <v>0</v>
      </c>
    </row>
    <row r="56" spans="1:66" outlineLevel="1">
      <c r="B56" s="1" t="s">
        <v>172</v>
      </c>
      <c r="C56" s="54" t="s">
        <v>153</v>
      </c>
      <c r="D56">
        <v>0</v>
      </c>
      <c r="E56" s="43">
        <f>E54*'R&amp;S - Others'!$D$8*'R&amp;S - Others'!$B$11*'R&amp;S - Others'!$C$15*(E$3-$D$3)/10</f>
        <v>0</v>
      </c>
      <c r="F56" s="43">
        <f>F54*'R&amp;S - Others'!$D$8*'R&amp;S - Others'!$B$11*'R&amp;S - Others'!$C$15*(F$3-$D$3)/10</f>
        <v>0</v>
      </c>
      <c r="G56" s="43">
        <f>G54*'R&amp;S - Others'!$D$8*'R&amp;S - Others'!$B$11*'R&amp;S - Others'!$C$15*(G$3-$D$3)/10</f>
        <v>0</v>
      </c>
      <c r="H56" s="43">
        <f>H54*'R&amp;S - Others'!$D$8*'R&amp;S - Others'!$B$11*'R&amp;S - Others'!$C$15*(H$3-$D$3)/10</f>
        <v>0</v>
      </c>
      <c r="I56" s="43">
        <f>I54*'R&amp;S - Others'!$D$8*'R&amp;S - Others'!$B$11*'R&amp;S - Others'!$C$15*(I$3-$D$3)/10</f>
        <v>0</v>
      </c>
      <c r="J56" s="43">
        <f>J54*'R&amp;S - Others'!$D$8*'R&amp;S - Others'!$B$11*'R&amp;S - Others'!$C$15*(J$3-$D$3)/10</f>
        <v>0</v>
      </c>
      <c r="K56" s="43">
        <f>K54*'R&amp;S - Others'!$D$8*'R&amp;S - Others'!$B$11*'R&amp;S - Others'!$C$15*(K$3-$D$3)/10</f>
        <v>0</v>
      </c>
      <c r="L56" s="43">
        <f>L54*'R&amp;S - Others'!$D$8*'R&amp;S - Others'!$B$11*'R&amp;S - Others'!$C$15*(L$3-$D$3)/10</f>
        <v>0</v>
      </c>
      <c r="M56" s="43">
        <f>M54*'R&amp;S - Others'!$D$8*'R&amp;S - Others'!$B$11*'R&amp;S - Others'!$C$15*(M$3-$D$3)/10</f>
        <v>0</v>
      </c>
      <c r="N56" s="43">
        <f>N54*'R&amp;S - Others'!$D$8*'R&amp;S - Others'!$B$11*'R&amp;S - Others'!$C$15*(N$3-$D$3)/10</f>
        <v>0</v>
      </c>
      <c r="O56" s="43">
        <f>O54*'R&amp;S - Others'!$D$8*'R&amp;S - Others'!$B$11*'R&amp;S - Others'!$C$15*(O$3-$D$3)/10</f>
        <v>0</v>
      </c>
      <c r="P56" s="43">
        <f>P54*'R&amp;S - Others'!$D$8*'R&amp;S - Others'!$B$11*'R&amp;S - Others'!$C$15*(P$3-$D$3)/10</f>
        <v>0</v>
      </c>
      <c r="Q56" s="43">
        <f>Q54*'R&amp;S - Others'!$D$8*'R&amp;S - Others'!$B$11*'R&amp;S - Others'!$C$15*(Q$3-$D$3)/10</f>
        <v>0</v>
      </c>
      <c r="R56" s="43">
        <f>R54*'R&amp;S - Others'!$D$8*'R&amp;S - Others'!$B$11*'R&amp;S - Others'!$C$15*(R$3-$D$3)/10</f>
        <v>0</v>
      </c>
      <c r="S56" s="43">
        <f>S54*'R&amp;S - Others'!$D$8*'R&amp;S - Others'!$B$11*'R&amp;S - Others'!$C$15*(S$3-$D$3)/10</f>
        <v>0</v>
      </c>
      <c r="T56" s="43">
        <f>T54*'R&amp;S - Others'!$D$8*'R&amp;S - Others'!$B$11*'R&amp;S - Others'!$C$15*(T$3-$D$3)/10</f>
        <v>0</v>
      </c>
      <c r="U56" s="43">
        <f>U54*'R&amp;S - Others'!$D$8*'R&amp;S - Others'!$B$11*'R&amp;S - Others'!$C$15*(U$3-$D$3)/10</f>
        <v>0</v>
      </c>
      <c r="V56" s="43">
        <f>V54*'R&amp;S - Others'!$D$8*'R&amp;S - Others'!$B$11*'R&amp;S - Others'!$C$15*(V$3-$D$3)/10</f>
        <v>0</v>
      </c>
      <c r="W56" s="43">
        <f>W54*'R&amp;S - Others'!$D$8*'R&amp;S - Others'!$B$11*'R&amp;S - Others'!$C$15*(W$3-$D$3)/10</f>
        <v>0</v>
      </c>
      <c r="X56" s="43">
        <f>X54*'R&amp;S - Others'!$D$8*'R&amp;S - Others'!$B$11*'R&amp;S - Others'!$C$15*(X$3-$D$3)/10</f>
        <v>0</v>
      </c>
      <c r="Y56" s="43">
        <f>Y54*'R&amp;S - Others'!$D$8*'R&amp;S - Others'!$B$11*('R&amp;S - Others'!$C$16+('R&amp;S - Others'!$C$17-'R&amp;S - Others'!$C$16)*(Y$3-$X$3)/10)</f>
        <v>0</v>
      </c>
      <c r="Z56" s="43">
        <f>Z54*'R&amp;S - Others'!$D$8*'R&amp;S - Others'!$B$11*('R&amp;S - Others'!$C$16+('R&amp;S - Others'!$C$17-'R&amp;S - Others'!$C$16)*(Z$3-$X$3)/10)</f>
        <v>0</v>
      </c>
      <c r="AA56" s="43">
        <f>AA54*'R&amp;S - Others'!$D$8*'R&amp;S - Others'!$B$11*('R&amp;S - Others'!$C$16+('R&amp;S - Others'!$C$17-'R&amp;S - Others'!$C$16)*(AA$3-$X$3)/10)</f>
        <v>0</v>
      </c>
      <c r="AB56" s="43">
        <f>AB54*'R&amp;S - Others'!$D$8*'R&amp;S - Others'!$B$11*('R&amp;S - Others'!$C$16+('R&amp;S - Others'!$C$17-'R&amp;S - Others'!$C$16)*(AB$3-$X$3)/10)</f>
        <v>0</v>
      </c>
      <c r="AC56" s="43">
        <f>AC54*'R&amp;S - Others'!$D$8*'R&amp;S - Others'!$B$11*('R&amp;S - Others'!$C$16+('R&amp;S - Others'!$C$17-'R&amp;S - Others'!$C$16)*(AC$3-$X$3)/10)</f>
        <v>0</v>
      </c>
      <c r="AD56" s="43">
        <f>AD54*'R&amp;S - Others'!$D$8*'R&amp;S - Others'!$B$11*('R&amp;S - Others'!$C$16+('R&amp;S - Others'!$C$17-'R&amp;S - Others'!$C$16)*(AD$3-$X$3)/10)</f>
        <v>0</v>
      </c>
      <c r="AE56" s="43">
        <f>AE54*'R&amp;S - Others'!$D$8*'R&amp;S - Others'!$B$11*('R&amp;S - Others'!$C$16+('R&amp;S - Others'!$C$17-'R&amp;S - Others'!$C$16)*(AE$3-$X$3)/10)</f>
        <v>0</v>
      </c>
      <c r="AF56" s="43">
        <f>AF54*'R&amp;S - Others'!$D$8*'R&amp;S - Others'!$B$11*('R&amp;S - Others'!$C$16+('R&amp;S - Others'!$C$17-'R&amp;S - Others'!$C$16)*(AF$3-$X$3)/10)</f>
        <v>0</v>
      </c>
      <c r="AG56" s="43">
        <f>AG54*'R&amp;S - Others'!$D$8*'R&amp;S - Others'!$B$11*('R&amp;S - Others'!$C$16+('R&amp;S - Others'!$C$17-'R&amp;S - Others'!$C$16)*(AG$3-$X$3)/10)</f>
        <v>0</v>
      </c>
      <c r="AH56" s="43">
        <f>AH54*'R&amp;S - Others'!$D$8*'R&amp;S - Others'!$B$11*('R&amp;S - Others'!$C$16+('R&amp;S - Others'!$C$17-'R&amp;S - Others'!$C$16)*(AH$3-$X$3)/10)</f>
        <v>0</v>
      </c>
      <c r="AJ56">
        <v>0</v>
      </c>
      <c r="AK56" s="43">
        <f>AK54*'R&amp;S - Others'!$D$8*'R&amp;S - Others'!$B$12*'R&amp;S - Others'!$C$15*(AK$3-$D$3)/10</f>
        <v>0</v>
      </c>
      <c r="AL56" s="43">
        <f>AL54*'R&amp;S - Others'!$D$8*'R&amp;S - Others'!$B$12*'R&amp;S - Others'!$C$15*(AL$3-$D$3)/10</f>
        <v>0</v>
      </c>
      <c r="AM56" s="43">
        <f>AM54*'R&amp;S - Others'!$D$8*'R&amp;S - Others'!$B$12*'R&amp;S - Others'!$C$15*(AM$3-$D$3)/10</f>
        <v>0</v>
      </c>
      <c r="AN56" s="43">
        <f>AN54*'R&amp;S - Others'!$D$8*'R&amp;S - Others'!$B$12*'R&amp;S - Others'!$C$15*(AN$3-$D$3)/10</f>
        <v>0</v>
      </c>
      <c r="AO56" s="43">
        <f>AO54*'R&amp;S - Others'!$D$8*'R&amp;S - Others'!$B$12*'R&amp;S - Others'!$C$15*(AO$3-$D$3)/10</f>
        <v>0</v>
      </c>
      <c r="AP56" s="43">
        <f>AP54*'R&amp;S - Others'!$D$8*'R&amp;S - Others'!$B$12*'R&amp;S - Others'!$C$15*(AP$3-$D$3)/10</f>
        <v>0</v>
      </c>
      <c r="AQ56" s="43">
        <f>AQ54*'R&amp;S - Others'!$D$8*'R&amp;S - Others'!$B$12*'R&amp;S - Others'!$C$15*(AQ$3-$D$3)/10</f>
        <v>0</v>
      </c>
      <c r="AR56" s="43">
        <f>AR54*'R&amp;S - Others'!$D$8*'R&amp;S - Others'!$B$12*'R&amp;S - Others'!$C$15*(AR$3-$D$3)/10</f>
        <v>0</v>
      </c>
      <c r="AS56" s="43">
        <f>AS54*'R&amp;S - Others'!$D$8*'R&amp;S - Others'!$B$12*'R&amp;S - Others'!$C$15*(AS$3-$D$3)/10</f>
        <v>0</v>
      </c>
      <c r="AT56" s="43">
        <f>AT54*'R&amp;S - Others'!$D$8*'R&amp;S - Others'!$B$12*'R&amp;S - Others'!$C$15*(AT$3-$D$3)/10</f>
        <v>0</v>
      </c>
      <c r="AU56" s="43">
        <f>AU54*'R&amp;S - Others'!$D$8*'R&amp;S - Others'!$B$12*'R&amp;S - Others'!$C$15*(AU$3-$D$3)/10</f>
        <v>0</v>
      </c>
      <c r="AV56" s="43">
        <f>AV54*'R&amp;S - Others'!$D$8*'R&amp;S - Others'!$B$12*'R&amp;S - Others'!$C$15*(AV$3-$D$3)/10</f>
        <v>0</v>
      </c>
      <c r="AW56" s="43">
        <f>AW54*'R&amp;S - Others'!$D$8*'R&amp;S - Others'!$B$12*'R&amp;S - Others'!$C$15*(AW$3-$D$3)/10</f>
        <v>0</v>
      </c>
      <c r="AX56" s="43">
        <f>AX54*'R&amp;S - Others'!$D$8*'R&amp;S - Others'!$B$12*'R&amp;S - Others'!$C$15*(AX$3-$D$3)/10</f>
        <v>0</v>
      </c>
      <c r="AY56" s="43">
        <f>AY54*'R&amp;S - Others'!$D$8*'R&amp;S - Others'!$B$12*'R&amp;S - Others'!$C$15*(AY$3-$D$3)/10</f>
        <v>0</v>
      </c>
      <c r="AZ56" s="43">
        <f>AZ54*'R&amp;S - Others'!$D$8*'R&amp;S - Others'!$B$12*'R&amp;S - Others'!$C$15*(AZ$3-$D$3)/10</f>
        <v>0</v>
      </c>
      <c r="BA56" s="43">
        <f>BA54*'R&amp;S - Others'!$D$8*'R&amp;S - Others'!$B$12*'R&amp;S - Others'!$C$15*(BA$3-$D$3)/10</f>
        <v>0</v>
      </c>
      <c r="BB56" s="43">
        <f>BB54*'R&amp;S - Others'!$D$8*'R&amp;S - Others'!$B$12*'R&amp;S - Others'!$C$15*(BB$3-$D$3)/10</f>
        <v>0</v>
      </c>
      <c r="BC56" s="43">
        <f>BC54*'R&amp;S - Others'!$D$8*'R&amp;S - Others'!$B$12*'R&amp;S - Others'!$C$15*(BC$3-$D$3)/10</f>
        <v>0</v>
      </c>
      <c r="BD56" s="43">
        <f>BD54*'R&amp;S - Others'!$D$8*'R&amp;S - Others'!$B$12*'R&amp;S - Others'!$C$15*(BD$3-$D$3)/10</f>
        <v>0</v>
      </c>
      <c r="BE56" s="43">
        <f>BE54*'R&amp;S - Others'!$D$8*'R&amp;S - Others'!$B$12*('R&amp;S - Others'!$C$16+('R&amp;S - Others'!$C$17-'R&amp;S - Others'!$C$16)*(BE$3-$X$3)/10)</f>
        <v>0</v>
      </c>
      <c r="BF56" s="43">
        <f>BF54*'R&amp;S - Others'!$D$8*'R&amp;S - Others'!$B$12*('R&amp;S - Others'!$C$16+('R&amp;S - Others'!$C$17-'R&amp;S - Others'!$C$16)*(BF$3-$X$3)/10)</f>
        <v>0</v>
      </c>
      <c r="BG56" s="43">
        <f>BG54*'R&amp;S - Others'!$D$8*'R&amp;S - Others'!$B$12*('R&amp;S - Others'!$C$16+('R&amp;S - Others'!$C$17-'R&amp;S - Others'!$C$16)*(BG$3-$X$3)/10)</f>
        <v>0</v>
      </c>
      <c r="BH56" s="43">
        <f>BH54*'R&amp;S - Others'!$D$8*'R&amp;S - Others'!$B$12*('R&amp;S - Others'!$C$16+('R&amp;S - Others'!$C$17-'R&amp;S - Others'!$C$16)*(BH$3-$X$3)/10)</f>
        <v>0</v>
      </c>
      <c r="BI56" s="43">
        <f>BI54*'R&amp;S - Others'!$D$8*'R&amp;S - Others'!$B$12*('R&amp;S - Others'!$C$16+('R&amp;S - Others'!$C$17-'R&amp;S - Others'!$C$16)*(BI$3-$X$3)/10)</f>
        <v>0</v>
      </c>
      <c r="BJ56" s="43">
        <f>BJ54*'R&amp;S - Others'!$D$8*'R&amp;S - Others'!$B$12*('R&amp;S - Others'!$C$16+('R&amp;S - Others'!$C$17-'R&amp;S - Others'!$C$16)*(BJ$3-$X$3)/10)</f>
        <v>0</v>
      </c>
      <c r="BK56" s="43">
        <f>BK54*'R&amp;S - Others'!$D$8*'R&amp;S - Others'!$B$12*('R&amp;S - Others'!$C$16+('R&amp;S - Others'!$C$17-'R&amp;S - Others'!$C$16)*(BK$3-$X$3)/10)</f>
        <v>0</v>
      </c>
      <c r="BL56" s="43">
        <f>BL54*'R&amp;S - Others'!$D$8*'R&amp;S - Others'!$B$12*('R&amp;S - Others'!$C$16+('R&amp;S - Others'!$C$17-'R&amp;S - Others'!$C$16)*(BL$3-$X$3)/10)</f>
        <v>0</v>
      </c>
      <c r="BM56" s="43">
        <f>BM54*'R&amp;S - Others'!$D$8*'R&amp;S - Others'!$B$12*('R&amp;S - Others'!$C$16+('R&amp;S - Others'!$C$17-'R&amp;S - Others'!$C$16)*(BM$3-$X$3)/10)</f>
        <v>0</v>
      </c>
      <c r="BN56" s="43">
        <f>BN54*'R&amp;S - Others'!$D$8*'R&amp;S - Others'!$B$12*('R&amp;S - Others'!$C$16+('R&amp;S - Others'!$C$17-'R&amp;S - Others'!$C$16)*(BN$3-$X$3)/10)</f>
        <v>0</v>
      </c>
    </row>
    <row r="57" spans="1:66" outlineLevel="1">
      <c r="A57" s="178"/>
      <c r="B57" s="178" t="s">
        <v>197</v>
      </c>
      <c r="C57" s="179" t="s">
        <v>153</v>
      </c>
      <c r="D57" s="180">
        <f>D54-D55-D56</f>
        <v>31.171306671622546</v>
      </c>
      <c r="E57" s="180">
        <f t="shared" ref="E57:AH57" si="44">E54-E55-E56</f>
        <v>33.074947911903259</v>
      </c>
      <c r="F57" s="180">
        <f t="shared" si="44"/>
        <v>35.037629576138762</v>
      </c>
      <c r="G57" s="180">
        <f t="shared" si="44"/>
        <v>37.060931517550884</v>
      </c>
      <c r="H57" s="180">
        <f t="shared" si="44"/>
        <v>39.146473691798604</v>
      </c>
      <c r="I57" s="180">
        <f t="shared" si="44"/>
        <v>41.295917153149404</v>
      </c>
      <c r="J57" s="180">
        <f t="shared" si="44"/>
        <v>42.440674865929033</v>
      </c>
      <c r="K57" s="180">
        <f t="shared" si="44"/>
        <v>43.609240228799074</v>
      </c>
      <c r="L57" s="180">
        <f t="shared" si="44"/>
        <v>44.802057340501662</v>
      </c>
      <c r="M57" s="180">
        <f t="shared" si="44"/>
        <v>46.019578145872828</v>
      </c>
      <c r="N57" s="180">
        <f t="shared" si="44"/>
        <v>47.262262570272227</v>
      </c>
      <c r="O57" s="180">
        <f t="shared" si="44"/>
        <v>47.595314985684993</v>
      </c>
      <c r="P57" s="180">
        <f t="shared" si="44"/>
        <v>47.930226799437001</v>
      </c>
      <c r="Q57" s="180">
        <f t="shared" si="44"/>
        <v>48.267001045879539</v>
      </c>
      <c r="R57" s="180">
        <f t="shared" si="44"/>
        <v>48.605640624600319</v>
      </c>
      <c r="S57" s="180">
        <f t="shared" si="44"/>
        <v>48.946148297318402</v>
      </c>
      <c r="T57" s="180">
        <f t="shared" si="44"/>
        <v>49.222060133511881</v>
      </c>
      <c r="U57" s="180">
        <f t="shared" si="44"/>
        <v>49.498589306525432</v>
      </c>
      <c r="V57" s="180">
        <f t="shared" si="44"/>
        <v>49.775720345449614</v>
      </c>
      <c r="W57" s="180">
        <f t="shared" si="44"/>
        <v>50.053437404284182</v>
      </c>
      <c r="X57" s="180">
        <f t="shared" si="44"/>
        <v>50.331724255926765</v>
      </c>
      <c r="Y57" s="180">
        <f t="shared" si="44"/>
        <v>49.767022569363945</v>
      </c>
      <c r="Z57" s="180">
        <f t="shared" si="44"/>
        <v>49.191856317725737</v>
      </c>
      <c r="AA57" s="180">
        <f t="shared" si="44"/>
        <v>48.60609433108776</v>
      </c>
      <c r="AB57" s="180">
        <f t="shared" si="44"/>
        <v>48.009603937253281</v>
      </c>
      <c r="AC57" s="180">
        <f t="shared" si="44"/>
        <v>47.402250945022516</v>
      </c>
      <c r="AD57" s="180">
        <f t="shared" si="44"/>
        <v>46.575014227523916</v>
      </c>
      <c r="AE57" s="180">
        <f t="shared" si="44"/>
        <v>45.735321735038823</v>
      </c>
      <c r="AF57" s="180">
        <f t="shared" si="44"/>
        <v>44.883028269318501</v>
      </c>
      <c r="AG57" s="180">
        <f t="shared" si="44"/>
        <v>44.017987016815489</v>
      </c>
      <c r="AH57" s="180">
        <f t="shared" si="44"/>
        <v>43.140049530896121</v>
      </c>
      <c r="AJ57" s="180">
        <f>AJ54-AJ55-AJ56</f>
        <v>31.171306671622546</v>
      </c>
      <c r="AK57" s="180">
        <f t="shared" ref="AK57:BN57" si="45">AK54-AK55-AK56</f>
        <v>33.074947911903259</v>
      </c>
      <c r="AL57" s="180">
        <f t="shared" si="45"/>
        <v>35.037629576138762</v>
      </c>
      <c r="AM57" s="180">
        <f t="shared" si="45"/>
        <v>37.060931517550884</v>
      </c>
      <c r="AN57" s="180">
        <f t="shared" si="45"/>
        <v>39.146473691798604</v>
      </c>
      <c r="AO57" s="180">
        <f t="shared" si="45"/>
        <v>41.295917153149404</v>
      </c>
      <c r="AP57" s="180">
        <f t="shared" si="45"/>
        <v>42.440674865929033</v>
      </c>
      <c r="AQ57" s="180">
        <f t="shared" si="45"/>
        <v>43.609240228799074</v>
      </c>
      <c r="AR57" s="180">
        <f t="shared" si="45"/>
        <v>44.802057340501662</v>
      </c>
      <c r="AS57" s="180">
        <f t="shared" si="45"/>
        <v>46.019578145872828</v>
      </c>
      <c r="AT57" s="180">
        <f t="shared" si="45"/>
        <v>47.262262570272227</v>
      </c>
      <c r="AU57" s="180">
        <f t="shared" si="45"/>
        <v>47.595314985684993</v>
      </c>
      <c r="AV57" s="180">
        <f t="shared" si="45"/>
        <v>47.930226799437001</v>
      </c>
      <c r="AW57" s="180">
        <f t="shared" si="45"/>
        <v>48.267001045879539</v>
      </c>
      <c r="AX57" s="180">
        <f t="shared" si="45"/>
        <v>48.605640624600319</v>
      </c>
      <c r="AY57" s="180">
        <f t="shared" si="45"/>
        <v>48.946148297318402</v>
      </c>
      <c r="AZ57" s="180">
        <f t="shared" si="45"/>
        <v>49.222060133511881</v>
      </c>
      <c r="BA57" s="180">
        <f t="shared" si="45"/>
        <v>49.498589306525432</v>
      </c>
      <c r="BB57" s="180">
        <f t="shared" si="45"/>
        <v>49.775720345449614</v>
      </c>
      <c r="BC57" s="180">
        <f t="shared" si="45"/>
        <v>50.053437404284182</v>
      </c>
      <c r="BD57" s="180">
        <f t="shared" si="45"/>
        <v>50.331724255926765</v>
      </c>
      <c r="BE57" s="180">
        <f t="shared" si="45"/>
        <v>49.767022569363945</v>
      </c>
      <c r="BF57" s="180">
        <f t="shared" si="45"/>
        <v>49.191856317725737</v>
      </c>
      <c r="BG57" s="180">
        <f t="shared" si="45"/>
        <v>48.60609433108776</v>
      </c>
      <c r="BH57" s="180">
        <f t="shared" si="45"/>
        <v>48.009603937253281</v>
      </c>
      <c r="BI57" s="180">
        <f t="shared" si="45"/>
        <v>47.402250945022516</v>
      </c>
      <c r="BJ57" s="180">
        <f t="shared" si="45"/>
        <v>46.575014227523916</v>
      </c>
      <c r="BK57" s="180">
        <f t="shared" si="45"/>
        <v>45.735321735038823</v>
      </c>
      <c r="BL57" s="180">
        <f t="shared" si="45"/>
        <v>44.883028269318501</v>
      </c>
      <c r="BM57" s="180">
        <f t="shared" si="45"/>
        <v>44.017987016815489</v>
      </c>
      <c r="BN57" s="180">
        <f t="shared" si="45"/>
        <v>43.140049530896121</v>
      </c>
    </row>
    <row r="58" spans="1:66" s="67" customFormat="1" outlineLevel="1">
      <c r="A58" s="752"/>
      <c r="B58" s="58" t="s">
        <v>7</v>
      </c>
      <c r="C58" s="59" t="s">
        <v>153</v>
      </c>
      <c r="D58" s="60">
        <f>D5-D24-D35-D42-D51</f>
        <v>19.499127736654014</v>
      </c>
      <c r="E58" s="60">
        <f>E$57*$D58/SUM($D$58:$D$60)</f>
        <v>20.689945436406987</v>
      </c>
      <c r="F58" s="60">
        <f t="shared" ref="F58:AH60" si="46">F$57*$D58/SUM($D$58:$D$60)</f>
        <v>21.917695715870156</v>
      </c>
      <c r="G58" s="60">
        <f t="shared" si="46"/>
        <v>23.183366848012064</v>
      </c>
      <c r="H58" s="60">
        <f t="shared" si="46"/>
        <v>24.487972191773821</v>
      </c>
      <c r="I58" s="60">
        <f t="shared" si="46"/>
        <v>25.832550815221481</v>
      </c>
      <c r="J58" s="60">
        <f t="shared" si="46"/>
        <v>26.548650948724415</v>
      </c>
      <c r="K58" s="60">
        <f t="shared" si="46"/>
        <v>27.279643894232731</v>
      </c>
      <c r="L58" s="60">
        <f t="shared" si="46"/>
        <v>28.0258074565299</v>
      </c>
      <c r="M58" s="60">
        <f t="shared" si="46"/>
        <v>28.787424348502512</v>
      </c>
      <c r="N58" s="60">
        <f t="shared" si="46"/>
        <v>29.564782275232407</v>
      </c>
      <c r="O58" s="60">
        <f t="shared" si="46"/>
        <v>29.773122325251769</v>
      </c>
      <c r="P58" s="60">
        <f t="shared" si="46"/>
        <v>29.982625516942157</v>
      </c>
      <c r="Q58" s="60">
        <f t="shared" si="46"/>
        <v>30.193293748433934</v>
      </c>
      <c r="R58" s="60">
        <f t="shared" si="46"/>
        <v>30.405128833556446</v>
      </c>
      <c r="S58" s="60">
        <f t="shared" si="46"/>
        <v>30.618132499895697</v>
      </c>
      <c r="T58" s="60">
        <f t="shared" si="46"/>
        <v>30.790728413011177</v>
      </c>
      <c r="U58" s="60">
        <f t="shared" si="46"/>
        <v>30.963710499527661</v>
      </c>
      <c r="V58" s="60">
        <f t="shared" si="46"/>
        <v>31.137069081659021</v>
      </c>
      <c r="W58" s="60">
        <f t="shared" si="46"/>
        <v>31.31079424698207</v>
      </c>
      <c r="X58" s="60">
        <f t="shared" si="46"/>
        <v>31.48487584467621</v>
      </c>
      <c r="Y58" s="60">
        <f t="shared" si="46"/>
        <v>31.131628211030595</v>
      </c>
      <c r="Z58" s="60">
        <f t="shared" si="46"/>
        <v>30.771834496617082</v>
      </c>
      <c r="AA58" s="60">
        <f t="shared" si="46"/>
        <v>30.405412648439373</v>
      </c>
      <c r="AB58" s="60">
        <f t="shared" si="46"/>
        <v>30.032279673758712</v>
      </c>
      <c r="AC58" s="60">
        <f t="shared" si="46"/>
        <v>29.652351629628047</v>
      </c>
      <c r="AD58" s="60">
        <f t="shared" si="46"/>
        <v>29.134875907712281</v>
      </c>
      <c r="AE58" s="60">
        <f t="shared" si="46"/>
        <v>28.609608508980422</v>
      </c>
      <c r="AF58" s="60">
        <f t="shared" si="46"/>
        <v>28.076458605055301</v>
      </c>
      <c r="AG58" s="60">
        <f t="shared" si="46"/>
        <v>27.535334357113936</v>
      </c>
      <c r="AH58" s="60">
        <f t="shared" si="46"/>
        <v>26.98614290476063</v>
      </c>
      <c r="AJ58" s="60">
        <f>AJ5-AJ24-AJ35-AJ42-AJ51</f>
        <v>19.499127736654014</v>
      </c>
      <c r="AK58" s="60">
        <f>AK$57*$D58/SUM($D$58:$D$60)</f>
        <v>20.689945436406987</v>
      </c>
      <c r="AL58" s="60">
        <f t="shared" ref="AL58:BN60" si="47">AL$57*$D58/SUM($D$58:$D$60)</f>
        <v>21.917695715870156</v>
      </c>
      <c r="AM58" s="60">
        <f t="shared" si="47"/>
        <v>23.183366848012064</v>
      </c>
      <c r="AN58" s="60">
        <f t="shared" si="47"/>
        <v>24.487972191773821</v>
      </c>
      <c r="AO58" s="60">
        <f t="shared" si="47"/>
        <v>25.832550815221481</v>
      </c>
      <c r="AP58" s="60">
        <f t="shared" si="47"/>
        <v>26.548650948724415</v>
      </c>
      <c r="AQ58" s="60">
        <f t="shared" si="47"/>
        <v>27.279643894232731</v>
      </c>
      <c r="AR58" s="60">
        <f t="shared" si="47"/>
        <v>28.0258074565299</v>
      </c>
      <c r="AS58" s="60">
        <f t="shared" si="47"/>
        <v>28.787424348502512</v>
      </c>
      <c r="AT58" s="60">
        <f>AT$57*$D58/SUM($D$58:$D$60)</f>
        <v>29.564782275232407</v>
      </c>
      <c r="AU58" s="60">
        <f t="shared" si="47"/>
        <v>29.773122325251769</v>
      </c>
      <c r="AV58" s="60">
        <f t="shared" si="47"/>
        <v>29.982625516942157</v>
      </c>
      <c r="AW58" s="60">
        <f t="shared" si="47"/>
        <v>30.193293748433934</v>
      </c>
      <c r="AX58" s="60">
        <f t="shared" si="47"/>
        <v>30.405128833556446</v>
      </c>
      <c r="AY58" s="60">
        <f t="shared" si="47"/>
        <v>30.618132499895697</v>
      </c>
      <c r="AZ58" s="60">
        <f t="shared" si="47"/>
        <v>30.790728413011177</v>
      </c>
      <c r="BA58" s="60">
        <f t="shared" si="47"/>
        <v>30.963710499527661</v>
      </c>
      <c r="BB58" s="60">
        <f t="shared" si="47"/>
        <v>31.137069081659021</v>
      </c>
      <c r="BC58" s="60">
        <f t="shared" si="47"/>
        <v>31.31079424698207</v>
      </c>
      <c r="BD58" s="60">
        <f t="shared" si="47"/>
        <v>31.48487584467621</v>
      </c>
      <c r="BE58" s="60">
        <f t="shared" si="47"/>
        <v>31.131628211030595</v>
      </c>
      <c r="BF58" s="60">
        <f t="shared" si="47"/>
        <v>30.771834496617082</v>
      </c>
      <c r="BG58" s="60">
        <f t="shared" si="47"/>
        <v>30.405412648439373</v>
      </c>
      <c r="BH58" s="60">
        <f t="shared" si="47"/>
        <v>30.032279673758712</v>
      </c>
      <c r="BI58" s="60">
        <f t="shared" si="47"/>
        <v>29.652351629628047</v>
      </c>
      <c r="BJ58" s="60">
        <f t="shared" si="47"/>
        <v>29.134875907712281</v>
      </c>
      <c r="BK58" s="60">
        <f t="shared" si="47"/>
        <v>28.609608508980422</v>
      </c>
      <c r="BL58" s="60">
        <f t="shared" si="47"/>
        <v>28.076458605055301</v>
      </c>
      <c r="BM58" s="60">
        <f t="shared" si="47"/>
        <v>27.535334357113936</v>
      </c>
      <c r="BN58" s="60">
        <f t="shared" si="47"/>
        <v>26.98614290476063</v>
      </c>
    </row>
    <row r="59" spans="1:66" outlineLevel="1">
      <c r="A59" s="753"/>
      <c r="B59" s="1" t="s">
        <v>8</v>
      </c>
      <c r="C59" s="54" t="s">
        <v>153</v>
      </c>
      <c r="D59" s="44">
        <f>D6-D9-D25-D36-D43-D52</f>
        <v>10.725172954523309</v>
      </c>
      <c r="E59" s="44">
        <f t="shared" ref="E59:T60" si="48">E$57*$D59/SUM($D$58:$D$60)</f>
        <v>11.380162549937378</v>
      </c>
      <c r="F59" s="44">
        <f t="shared" si="48"/>
        <v>12.055466300445879</v>
      </c>
      <c r="G59" s="44">
        <f t="shared" si="48"/>
        <v>12.75162778926223</v>
      </c>
      <c r="H59" s="44">
        <f t="shared" si="48"/>
        <v>13.469204397724472</v>
      </c>
      <c r="I59" s="44">
        <f t="shared" si="48"/>
        <v>14.208767648049923</v>
      </c>
      <c r="J59" s="44">
        <f t="shared" si="48"/>
        <v>14.602646691682164</v>
      </c>
      <c r="K59" s="44">
        <f t="shared" si="48"/>
        <v>15.004717280428329</v>
      </c>
      <c r="L59" s="44">
        <f t="shared" si="48"/>
        <v>15.415132216218355</v>
      </c>
      <c r="M59" s="44">
        <f t="shared" si="48"/>
        <v>15.834047000603189</v>
      </c>
      <c r="N59" s="44">
        <f t="shared" si="48"/>
        <v>16.261619881008269</v>
      </c>
      <c r="O59" s="44">
        <f t="shared" si="48"/>
        <v>16.376213882339488</v>
      </c>
      <c r="P59" s="44">
        <f t="shared" si="48"/>
        <v>16.491447650523909</v>
      </c>
      <c r="Q59" s="44">
        <f t="shared" si="48"/>
        <v>16.607322229596779</v>
      </c>
      <c r="R59" s="44">
        <f t="shared" si="48"/>
        <v>16.723838617224946</v>
      </c>
      <c r="S59" s="44">
        <f t="shared" si="48"/>
        <v>16.840997763638537</v>
      </c>
      <c r="T59" s="44">
        <f t="shared" si="48"/>
        <v>16.93593129319985</v>
      </c>
      <c r="U59" s="44">
        <f t="shared" si="46"/>
        <v>17.031077231058195</v>
      </c>
      <c r="V59" s="44">
        <f t="shared" si="46"/>
        <v>17.126430254107259</v>
      </c>
      <c r="W59" s="44">
        <f t="shared" si="46"/>
        <v>17.221984910182485</v>
      </c>
      <c r="X59" s="44">
        <f t="shared" si="46"/>
        <v>17.31773561599276</v>
      </c>
      <c r="Y59" s="44">
        <f t="shared" si="46"/>
        <v>17.123437593137947</v>
      </c>
      <c r="Z59" s="44">
        <f t="shared" si="46"/>
        <v>16.925539006742127</v>
      </c>
      <c r="AA59" s="44">
        <f t="shared" si="46"/>
        <v>16.72399472491076</v>
      </c>
      <c r="AB59" s="44">
        <f t="shared" si="46"/>
        <v>16.518759098859494</v>
      </c>
      <c r="AC59" s="44">
        <f t="shared" si="46"/>
        <v>16.309785957157601</v>
      </c>
      <c r="AD59" s="44">
        <f t="shared" si="46"/>
        <v>16.025156988504783</v>
      </c>
      <c r="AE59" s="44">
        <f t="shared" si="46"/>
        <v>15.736242336790292</v>
      </c>
      <c r="AF59" s="44">
        <f t="shared" si="46"/>
        <v>15.442992043366365</v>
      </c>
      <c r="AG59" s="44">
        <f t="shared" si="46"/>
        <v>15.145355593806217</v>
      </c>
      <c r="AH59" s="44">
        <f t="shared" si="46"/>
        <v>14.843281911783876</v>
      </c>
      <c r="AJ59" s="44">
        <f>AJ6-AJ9-AJ25-AJ36-AJ43-AJ52</f>
        <v>10.725172954523309</v>
      </c>
      <c r="AK59" s="44">
        <f t="shared" ref="AK59:AZ60" si="49">AK$57*$D59/SUM($D$58:$D$60)</f>
        <v>11.380162549937378</v>
      </c>
      <c r="AL59" s="44">
        <f t="shared" si="49"/>
        <v>12.055466300445879</v>
      </c>
      <c r="AM59" s="44">
        <f t="shared" si="49"/>
        <v>12.75162778926223</v>
      </c>
      <c r="AN59" s="44">
        <f t="shared" si="49"/>
        <v>13.469204397724472</v>
      </c>
      <c r="AO59" s="44">
        <f t="shared" si="49"/>
        <v>14.208767648049923</v>
      </c>
      <c r="AP59" s="44">
        <f t="shared" si="49"/>
        <v>14.602646691682164</v>
      </c>
      <c r="AQ59" s="44">
        <f t="shared" si="49"/>
        <v>15.004717280428329</v>
      </c>
      <c r="AR59" s="44">
        <f t="shared" si="49"/>
        <v>15.415132216218355</v>
      </c>
      <c r="AS59" s="44">
        <f t="shared" si="49"/>
        <v>15.834047000603189</v>
      </c>
      <c r="AT59" s="44">
        <f t="shared" si="49"/>
        <v>16.261619881008269</v>
      </c>
      <c r="AU59" s="44">
        <f t="shared" si="49"/>
        <v>16.376213882339488</v>
      </c>
      <c r="AV59" s="44">
        <f t="shared" si="49"/>
        <v>16.491447650523909</v>
      </c>
      <c r="AW59" s="44">
        <f t="shared" si="49"/>
        <v>16.607322229596779</v>
      </c>
      <c r="AX59" s="44">
        <f t="shared" si="49"/>
        <v>16.723838617224946</v>
      </c>
      <c r="AY59" s="44">
        <f t="shared" si="49"/>
        <v>16.840997763638537</v>
      </c>
      <c r="AZ59" s="44">
        <f t="shared" si="49"/>
        <v>16.93593129319985</v>
      </c>
      <c r="BA59" s="44">
        <f t="shared" si="47"/>
        <v>17.031077231058195</v>
      </c>
      <c r="BB59" s="44">
        <f t="shared" si="47"/>
        <v>17.126430254107259</v>
      </c>
      <c r="BC59" s="44">
        <f t="shared" si="47"/>
        <v>17.221984910182485</v>
      </c>
      <c r="BD59" s="44">
        <f t="shared" si="47"/>
        <v>17.31773561599276</v>
      </c>
      <c r="BE59" s="44">
        <f t="shared" si="47"/>
        <v>17.123437593137947</v>
      </c>
      <c r="BF59" s="44">
        <f t="shared" si="47"/>
        <v>16.925539006742127</v>
      </c>
      <c r="BG59" s="44">
        <f t="shared" si="47"/>
        <v>16.72399472491076</v>
      </c>
      <c r="BH59" s="44">
        <f t="shared" si="47"/>
        <v>16.518759098859494</v>
      </c>
      <c r="BI59" s="44">
        <f t="shared" si="47"/>
        <v>16.309785957157601</v>
      </c>
      <c r="BJ59" s="44">
        <f t="shared" si="47"/>
        <v>16.025156988504783</v>
      </c>
      <c r="BK59" s="44">
        <f t="shared" si="47"/>
        <v>15.736242336790292</v>
      </c>
      <c r="BL59" s="44">
        <f t="shared" si="47"/>
        <v>15.442992043366365</v>
      </c>
      <c r="BM59" s="44">
        <f t="shared" si="47"/>
        <v>15.145355593806217</v>
      </c>
      <c r="BN59" s="44">
        <f>BN$57*$D59/SUM($D$58:$D$60)</f>
        <v>14.843281911783876</v>
      </c>
    </row>
    <row r="60" spans="1:66" s="68" customFormat="1" outlineLevel="1">
      <c r="A60" s="754"/>
      <c r="B60" s="62" t="s">
        <v>166</v>
      </c>
      <c r="C60" s="283" t="s">
        <v>153</v>
      </c>
      <c r="D60" s="284">
        <f>D7-D26-D37-D44-D53</f>
        <v>0.94700598044522621</v>
      </c>
      <c r="E60" s="284">
        <f t="shared" si="48"/>
        <v>1.0048399255588965</v>
      </c>
      <c r="F60" s="284">
        <f t="shared" si="46"/>
        <v>1.0644675598227269</v>
      </c>
      <c r="G60" s="284">
        <f t="shared" si="46"/>
        <v>1.1259368802765937</v>
      </c>
      <c r="H60" s="284">
        <f t="shared" si="46"/>
        <v>1.1892971023003092</v>
      </c>
      <c r="I60" s="284">
        <f t="shared" si="46"/>
        <v>1.2545986898780024</v>
      </c>
      <c r="J60" s="284">
        <f t="shared" si="46"/>
        <v>1.2893772255224525</v>
      </c>
      <c r="K60" s="284">
        <f t="shared" si="46"/>
        <v>1.3248790541380147</v>
      </c>
      <c r="L60" s="284">
        <f t="shared" si="46"/>
        <v>1.3611176677534045</v>
      </c>
      <c r="M60" s="284">
        <f t="shared" si="46"/>
        <v>1.3981067967671277</v>
      </c>
      <c r="N60" s="284">
        <f t="shared" si="46"/>
        <v>1.4358604140315498</v>
      </c>
      <c r="O60" s="284">
        <f t="shared" si="46"/>
        <v>1.4459787780937388</v>
      </c>
      <c r="P60" s="284">
        <f t="shared" si="46"/>
        <v>1.4561536319709312</v>
      </c>
      <c r="Q60" s="284">
        <f t="shared" si="46"/>
        <v>1.4663850678488297</v>
      </c>
      <c r="R60" s="284">
        <f t="shared" si="46"/>
        <v>1.4766731738189263</v>
      </c>
      <c r="S60" s="284">
        <f t="shared" si="46"/>
        <v>1.4870180337841672</v>
      </c>
      <c r="T60" s="284">
        <f t="shared" si="46"/>
        <v>1.4954004273008534</v>
      </c>
      <c r="U60" s="284">
        <f t="shared" si="46"/>
        <v>1.5038015759395726</v>
      </c>
      <c r="V60" s="284">
        <f t="shared" si="46"/>
        <v>1.5122210096833342</v>
      </c>
      <c r="W60" s="284">
        <f t="shared" si="46"/>
        <v>1.5206582471196277</v>
      </c>
      <c r="X60" s="284">
        <f t="shared" si="46"/>
        <v>1.5291127952577948</v>
      </c>
      <c r="Y60" s="284">
        <f t="shared" si="46"/>
        <v>1.5119567651953996</v>
      </c>
      <c r="Z60" s="284">
        <f t="shared" si="46"/>
        <v>1.4944828143665265</v>
      </c>
      <c r="AA60" s="284">
        <f t="shared" si="46"/>
        <v>1.4766869577376276</v>
      </c>
      <c r="AB60" s="284">
        <f t="shared" si="46"/>
        <v>1.4585651646350746</v>
      </c>
      <c r="AC60" s="284">
        <f t="shared" si="46"/>
        <v>1.4401133582368699</v>
      </c>
      <c r="AD60" s="284">
        <f t="shared" si="46"/>
        <v>1.4149813313068527</v>
      </c>
      <c r="AE60" s="284">
        <f t="shared" si="46"/>
        <v>1.3894708892681085</v>
      </c>
      <c r="AF60" s="284">
        <f t="shared" si="46"/>
        <v>1.3635776208968369</v>
      </c>
      <c r="AG60" s="284">
        <f t="shared" si="46"/>
        <v>1.3372970658953374</v>
      </c>
      <c r="AH60" s="284">
        <f t="shared" si="46"/>
        <v>1.3106247143516152</v>
      </c>
      <c r="AJ60" s="284">
        <f>AJ7-AJ26-AJ37-AJ44-AJ53</f>
        <v>0.94700598044522621</v>
      </c>
      <c r="AK60" s="284">
        <f t="shared" si="49"/>
        <v>1.0048399255588965</v>
      </c>
      <c r="AL60" s="284">
        <f t="shared" si="47"/>
        <v>1.0644675598227269</v>
      </c>
      <c r="AM60" s="284">
        <f t="shared" si="47"/>
        <v>1.1259368802765937</v>
      </c>
      <c r="AN60" s="284">
        <f t="shared" si="47"/>
        <v>1.1892971023003092</v>
      </c>
      <c r="AO60" s="284">
        <f t="shared" si="47"/>
        <v>1.2545986898780024</v>
      </c>
      <c r="AP60" s="284">
        <f t="shared" si="47"/>
        <v>1.2893772255224525</v>
      </c>
      <c r="AQ60" s="284">
        <f t="shared" si="47"/>
        <v>1.3248790541380147</v>
      </c>
      <c r="AR60" s="284">
        <f t="shared" si="47"/>
        <v>1.3611176677534045</v>
      </c>
      <c r="AS60" s="284">
        <f t="shared" si="47"/>
        <v>1.3981067967671277</v>
      </c>
      <c r="AT60" s="284">
        <f t="shared" si="47"/>
        <v>1.4358604140315498</v>
      </c>
      <c r="AU60" s="284">
        <f t="shared" si="47"/>
        <v>1.4459787780937388</v>
      </c>
      <c r="AV60" s="284">
        <f t="shared" si="47"/>
        <v>1.4561536319709312</v>
      </c>
      <c r="AW60" s="284">
        <f t="shared" si="47"/>
        <v>1.4663850678488297</v>
      </c>
      <c r="AX60" s="284">
        <f t="shared" si="47"/>
        <v>1.4766731738189263</v>
      </c>
      <c r="AY60" s="284">
        <f t="shared" si="47"/>
        <v>1.4870180337841672</v>
      </c>
      <c r="AZ60" s="284">
        <f t="shared" si="47"/>
        <v>1.4954004273008534</v>
      </c>
      <c r="BA60" s="284">
        <f t="shared" si="47"/>
        <v>1.5038015759395726</v>
      </c>
      <c r="BB60" s="284">
        <f t="shared" si="47"/>
        <v>1.5122210096833342</v>
      </c>
      <c r="BC60" s="284">
        <f t="shared" si="47"/>
        <v>1.5206582471196277</v>
      </c>
      <c r="BD60" s="284">
        <f t="shared" si="47"/>
        <v>1.5291127952577948</v>
      </c>
      <c r="BE60" s="284">
        <f t="shared" si="47"/>
        <v>1.5119567651953996</v>
      </c>
      <c r="BF60" s="284">
        <f t="shared" si="47"/>
        <v>1.4944828143665265</v>
      </c>
      <c r="BG60" s="284">
        <f t="shared" si="47"/>
        <v>1.4766869577376276</v>
      </c>
      <c r="BH60" s="284">
        <f t="shared" si="47"/>
        <v>1.4585651646350746</v>
      </c>
      <c r="BI60" s="284">
        <f t="shared" si="47"/>
        <v>1.4401133582368699</v>
      </c>
      <c r="BJ60" s="284">
        <f t="shared" si="47"/>
        <v>1.4149813313068527</v>
      </c>
      <c r="BK60" s="284">
        <f t="shared" si="47"/>
        <v>1.3894708892681085</v>
      </c>
      <c r="BL60" s="284">
        <f t="shared" si="47"/>
        <v>1.3635776208968369</v>
      </c>
      <c r="BM60" s="284">
        <f t="shared" si="47"/>
        <v>1.3372970658953374</v>
      </c>
      <c r="BN60" s="284">
        <f t="shared" si="47"/>
        <v>1.3106247143516152</v>
      </c>
    </row>
    <row r="61" spans="1:66" s="67" customFormat="1" outlineLevel="2">
      <c r="B61" s="58" t="s">
        <v>210</v>
      </c>
      <c r="C61" s="59" t="s">
        <v>153</v>
      </c>
      <c r="D61" s="60">
        <f>SUM('Demand - Wind'!D39:D40)/1000000</f>
        <v>0</v>
      </c>
      <c r="E61" s="60">
        <f>SUM('Demand - Wind'!E39:E40)/1000000</f>
        <v>0.10207605214743869</v>
      </c>
      <c r="F61" s="60">
        <f>SUM('Demand - Wind'!F39:F40)/1000000</f>
        <v>0.11283069933449395</v>
      </c>
      <c r="G61" s="60">
        <f>SUM('Demand - Wind'!G39:G40)/1000000</f>
        <v>0.12471844712335328</v>
      </c>
      <c r="H61" s="60">
        <f>SUM('Demand - Wind'!H39:H40)/1000000</f>
        <v>0.13785867804246943</v>
      </c>
      <c r="I61" s="60">
        <f>SUM('Demand - Wind'!I39:I40)/1000000</f>
        <v>0.15238335266330116</v>
      </c>
      <c r="J61" s="60">
        <f>SUM('Demand - Wind'!J39:J40)/1000000</f>
        <v>0.16843833481236897</v>
      </c>
      <c r="K61" s="60">
        <f>SUM('Demand - Wind'!K39:K40)/1000000</f>
        <v>0.18618485640653884</v>
      </c>
      <c r="L61" s="60">
        <f>SUM('Demand - Wind'!L39:L40)/1000000</f>
        <v>0.20580113662212429</v>
      </c>
      <c r="M61" s="60">
        <f>SUM('Demand - Wind'!M39:M40)/1000000</f>
        <v>0.22748417165828558</v>
      </c>
      <c r="N61" s="60">
        <f>SUM('Demand - Wind'!N39:N40)/1000000</f>
        <v>0.25145171306839664</v>
      </c>
      <c r="O61" s="60">
        <f>SUM('Demand - Wind'!O39:O40)/1000000</f>
        <v>0.27794445452674793</v>
      </c>
      <c r="P61" s="60">
        <f>SUM('Demand - Wind'!P39:P40)/1000000</f>
        <v>0.30722844899115082</v>
      </c>
      <c r="Q61" s="60">
        <f>SUM('Demand - Wind'!Q39:Q40)/1000000</f>
        <v>0.33959778053576828</v>
      </c>
      <c r="R61" s="60">
        <f>SUM('Demand - Wind'!R39:R40)/1000000</f>
        <v>0.37537751768600508</v>
      </c>
      <c r="S61" s="60">
        <f>SUM('Demand - Wind'!S39:S40)/1000000</f>
        <v>0.41492697791429156</v>
      </c>
      <c r="T61" s="60">
        <f>SUM('Demand - Wind'!T39:T40)/1000000</f>
        <v>0.45864333608039493</v>
      </c>
      <c r="U61" s="60">
        <f>SUM('Demand - Wind'!U39:U40)/1000000</f>
        <v>0.50696561305398036</v>
      </c>
      <c r="V61" s="60">
        <f>SUM('Demand - Wind'!V39:V40)/1000000</f>
        <v>0.56037908457509278</v>
      </c>
      <c r="W61" s="60">
        <f>SUM('Demand - Wind'!W39:W40)/1000000</f>
        <v>0.61942015462848088</v>
      </c>
      <c r="X61" s="60">
        <f>SUM('Demand - Wind'!X39:X40)/1000000</f>
        <v>0.68468174227254908</v>
      </c>
      <c r="Y61" s="60">
        <f>SUM('Demand - Wind'!Y39:Y40)/1000000</f>
        <v>0.75681923602009127</v>
      </c>
      <c r="Z61" s="60">
        <f>SUM('Demand - Wind'!Z39:Z40)/1000000</f>
        <v>0.83655707556757186</v>
      </c>
      <c r="AA61" s="60">
        <f>SUM('Demand - Wind'!AA39:AA40)/1000000</f>
        <v>0.92469602696989528</v>
      </c>
      <c r="AB61" s="60">
        <f>SUM('Demand - Wind'!AB39:AB40)/1000000</f>
        <v>1.0221212243214615</v>
      </c>
      <c r="AC61" s="60">
        <f>SUM('Demand - Wind'!AC39:AC40)/1000000</f>
        <v>1.1298110587020151</v>
      </c>
      <c r="AD61" s="60">
        <f>SUM('Demand - Wind'!AD39:AD40)/1000000</f>
        <v>1.2488470036543438</v>
      </c>
      <c r="AE61" s="60">
        <f>SUM('Demand - Wind'!AE39:AE40)/1000000</f>
        <v>1.3804244758660842</v>
      </c>
      <c r="AF61" s="60">
        <f>SUM('Demand - Wind'!AF39:AF40)/1000000</f>
        <v>1.5258648401238244</v>
      </c>
      <c r="AG61" s="60">
        <f>SUM('Demand - Wind'!AG39:AG40)/1000000</f>
        <v>1.6866286790991145</v>
      </c>
      <c r="AH61" s="60">
        <f>SUM('Demand - Wind'!AH39:AH40)/1000000</f>
        <v>1.8643304612279947</v>
      </c>
      <c r="AJ61" s="60">
        <f>D61</f>
        <v>0</v>
      </c>
      <c r="AK61" s="60">
        <f t="shared" ref="AK61:BN62" si="50">E61</f>
        <v>0.10207605214743869</v>
      </c>
      <c r="AL61" s="60">
        <f t="shared" si="50"/>
        <v>0.11283069933449395</v>
      </c>
      <c r="AM61" s="60">
        <f t="shared" si="50"/>
        <v>0.12471844712335328</v>
      </c>
      <c r="AN61" s="60">
        <f t="shared" si="50"/>
        <v>0.13785867804246943</v>
      </c>
      <c r="AO61" s="60">
        <f t="shared" si="50"/>
        <v>0.15238335266330116</v>
      </c>
      <c r="AP61" s="60">
        <f t="shared" si="50"/>
        <v>0.16843833481236897</v>
      </c>
      <c r="AQ61" s="60">
        <f t="shared" si="50"/>
        <v>0.18618485640653884</v>
      </c>
      <c r="AR61" s="60">
        <f t="shared" si="50"/>
        <v>0.20580113662212429</v>
      </c>
      <c r="AS61" s="60">
        <f t="shared" si="50"/>
        <v>0.22748417165828558</v>
      </c>
      <c r="AT61" s="60">
        <f t="shared" si="50"/>
        <v>0.25145171306839664</v>
      </c>
      <c r="AU61" s="60">
        <f t="shared" si="50"/>
        <v>0.27794445452674793</v>
      </c>
      <c r="AV61" s="60">
        <f t="shared" si="50"/>
        <v>0.30722844899115082</v>
      </c>
      <c r="AW61" s="60">
        <f t="shared" si="50"/>
        <v>0.33959778053576828</v>
      </c>
      <c r="AX61" s="60">
        <f t="shared" si="50"/>
        <v>0.37537751768600508</v>
      </c>
      <c r="AY61" s="60">
        <f t="shared" si="50"/>
        <v>0.41492697791429156</v>
      </c>
      <c r="AZ61" s="60">
        <f t="shared" si="50"/>
        <v>0.45864333608039493</v>
      </c>
      <c r="BA61" s="60">
        <f t="shared" si="50"/>
        <v>0.50696561305398036</v>
      </c>
      <c r="BB61" s="60">
        <f t="shared" si="50"/>
        <v>0.56037908457509278</v>
      </c>
      <c r="BC61" s="60">
        <f t="shared" si="50"/>
        <v>0.61942015462848088</v>
      </c>
      <c r="BD61" s="60">
        <f t="shared" si="50"/>
        <v>0.68468174227254908</v>
      </c>
      <c r="BE61" s="60">
        <f t="shared" si="50"/>
        <v>0.75681923602009127</v>
      </c>
      <c r="BF61" s="60">
        <f t="shared" si="50"/>
        <v>0.83655707556757186</v>
      </c>
      <c r="BG61" s="60">
        <f t="shared" si="50"/>
        <v>0.92469602696989528</v>
      </c>
      <c r="BH61" s="60">
        <f t="shared" si="50"/>
        <v>1.0221212243214615</v>
      </c>
      <c r="BI61" s="60">
        <f t="shared" si="50"/>
        <v>1.1298110587020151</v>
      </c>
      <c r="BJ61" s="60">
        <f t="shared" si="50"/>
        <v>1.2488470036543438</v>
      </c>
      <c r="BK61" s="60">
        <f t="shared" si="50"/>
        <v>1.3804244758660842</v>
      </c>
      <c r="BL61" s="60">
        <f t="shared" si="50"/>
        <v>1.5258648401238244</v>
      </c>
      <c r="BM61" s="60">
        <f t="shared" si="50"/>
        <v>1.6866286790991145</v>
      </c>
      <c r="BN61" s="60">
        <f t="shared" si="50"/>
        <v>1.8643304612279947</v>
      </c>
    </row>
    <row r="62" spans="1:66" outlineLevel="2">
      <c r="B62" s="1" t="s">
        <v>211</v>
      </c>
      <c r="C62" s="54" t="s">
        <v>153</v>
      </c>
      <c r="D62" s="44">
        <v>0</v>
      </c>
      <c r="E62" s="44">
        <v>0</v>
      </c>
      <c r="F62" s="44">
        <v>0</v>
      </c>
      <c r="G62" s="44">
        <v>0</v>
      </c>
      <c r="H62" s="44">
        <v>0</v>
      </c>
      <c r="I62" s="44">
        <v>0</v>
      </c>
      <c r="J62" s="44">
        <v>0</v>
      </c>
      <c r="K62" s="44">
        <v>0</v>
      </c>
      <c r="L62" s="44">
        <v>0</v>
      </c>
      <c r="M62" s="44">
        <v>0</v>
      </c>
      <c r="N62" s="44">
        <v>0</v>
      </c>
      <c r="O62" s="44">
        <v>0</v>
      </c>
      <c r="P62" s="44">
        <v>0</v>
      </c>
      <c r="Q62" s="44">
        <v>0</v>
      </c>
      <c r="R62" s="44">
        <v>0</v>
      </c>
      <c r="S62" s="44">
        <v>0</v>
      </c>
      <c r="T62" s="44">
        <v>0</v>
      </c>
      <c r="U62" s="44">
        <v>0</v>
      </c>
      <c r="V62" s="44">
        <v>0</v>
      </c>
      <c r="W62" s="44">
        <v>0</v>
      </c>
      <c r="X62" s="44">
        <v>0</v>
      </c>
      <c r="Y62" s="44">
        <v>0</v>
      </c>
      <c r="Z62" s="44">
        <v>0</v>
      </c>
      <c r="AA62" s="44">
        <v>0</v>
      </c>
      <c r="AB62" s="44">
        <v>0</v>
      </c>
      <c r="AC62" s="44">
        <v>0</v>
      </c>
      <c r="AD62" s="44">
        <v>0</v>
      </c>
      <c r="AE62" s="44">
        <v>0</v>
      </c>
      <c r="AF62" s="44">
        <v>0</v>
      </c>
      <c r="AG62" s="44">
        <v>0</v>
      </c>
      <c r="AH62" s="44">
        <v>0</v>
      </c>
      <c r="AJ62" s="44">
        <f>D62</f>
        <v>0</v>
      </c>
      <c r="AK62" s="44">
        <f t="shared" si="50"/>
        <v>0</v>
      </c>
      <c r="AL62" s="44">
        <f t="shared" si="50"/>
        <v>0</v>
      </c>
      <c r="AM62" s="44">
        <f t="shared" si="50"/>
        <v>0</v>
      </c>
      <c r="AN62" s="44">
        <f t="shared" si="50"/>
        <v>0</v>
      </c>
      <c r="AO62" s="44">
        <f t="shared" si="50"/>
        <v>0</v>
      </c>
      <c r="AP62" s="44">
        <f t="shared" si="50"/>
        <v>0</v>
      </c>
      <c r="AQ62" s="44">
        <f t="shared" si="50"/>
        <v>0</v>
      </c>
      <c r="AR62" s="44">
        <f t="shared" si="50"/>
        <v>0</v>
      </c>
      <c r="AS62" s="44">
        <f t="shared" si="50"/>
        <v>0</v>
      </c>
      <c r="AT62" s="44">
        <f t="shared" si="50"/>
        <v>0</v>
      </c>
      <c r="AU62" s="44">
        <f t="shared" si="50"/>
        <v>0</v>
      </c>
      <c r="AV62" s="44">
        <f t="shared" si="50"/>
        <v>0</v>
      </c>
      <c r="AW62" s="44">
        <f t="shared" si="50"/>
        <v>0</v>
      </c>
      <c r="AX62" s="44">
        <f t="shared" si="50"/>
        <v>0</v>
      </c>
      <c r="AY62" s="44">
        <f t="shared" si="50"/>
        <v>0</v>
      </c>
      <c r="AZ62" s="44">
        <f t="shared" si="50"/>
        <v>0</v>
      </c>
      <c r="BA62" s="44">
        <f t="shared" si="50"/>
        <v>0</v>
      </c>
      <c r="BB62" s="44">
        <f t="shared" si="50"/>
        <v>0</v>
      </c>
      <c r="BC62" s="44">
        <f t="shared" si="50"/>
        <v>0</v>
      </c>
      <c r="BD62" s="44">
        <f t="shared" si="50"/>
        <v>0</v>
      </c>
      <c r="BE62" s="44">
        <f t="shared" si="50"/>
        <v>0</v>
      </c>
      <c r="BF62" s="44">
        <f t="shared" si="50"/>
        <v>0</v>
      </c>
      <c r="BG62" s="44">
        <f t="shared" si="50"/>
        <v>0</v>
      </c>
      <c r="BH62" s="44">
        <f t="shared" si="50"/>
        <v>0</v>
      </c>
      <c r="BI62" s="44">
        <f t="shared" si="50"/>
        <v>0</v>
      </c>
      <c r="BJ62" s="44">
        <f t="shared" si="50"/>
        <v>0</v>
      </c>
      <c r="BK62" s="44">
        <f t="shared" si="50"/>
        <v>0</v>
      </c>
      <c r="BL62" s="44">
        <f t="shared" si="50"/>
        <v>0</v>
      </c>
      <c r="BM62" s="44">
        <f t="shared" si="50"/>
        <v>0</v>
      </c>
      <c r="BN62" s="44">
        <f t="shared" si="50"/>
        <v>0</v>
      </c>
    </row>
    <row r="63" spans="1:66" s="193" customFormat="1" ht="15.5" customHeight="1" outlineLevel="1">
      <c r="A63" s="189" t="s">
        <v>212</v>
      </c>
      <c r="B63" s="190" t="s">
        <v>213</v>
      </c>
      <c r="C63" s="191" t="s">
        <v>153</v>
      </c>
      <c r="D63" s="192">
        <f>D61+D62</f>
        <v>0</v>
      </c>
      <c r="E63" s="192">
        <f t="shared" ref="E63:AH63" si="51">E61+E62</f>
        <v>0.10207605214743869</v>
      </c>
      <c r="F63" s="192">
        <f t="shared" si="51"/>
        <v>0.11283069933449395</v>
      </c>
      <c r="G63" s="192">
        <f t="shared" si="51"/>
        <v>0.12471844712335328</v>
      </c>
      <c r="H63" s="192">
        <f t="shared" si="51"/>
        <v>0.13785867804246943</v>
      </c>
      <c r="I63" s="192">
        <f t="shared" si="51"/>
        <v>0.15238335266330116</v>
      </c>
      <c r="J63" s="192">
        <f t="shared" si="51"/>
        <v>0.16843833481236897</v>
      </c>
      <c r="K63" s="192">
        <f t="shared" si="51"/>
        <v>0.18618485640653884</v>
      </c>
      <c r="L63" s="192">
        <f t="shared" si="51"/>
        <v>0.20580113662212429</v>
      </c>
      <c r="M63" s="192">
        <f t="shared" si="51"/>
        <v>0.22748417165828558</v>
      </c>
      <c r="N63" s="192">
        <f t="shared" si="51"/>
        <v>0.25145171306839664</v>
      </c>
      <c r="O63" s="192">
        <f t="shared" si="51"/>
        <v>0.27794445452674793</v>
      </c>
      <c r="P63" s="192">
        <f t="shared" si="51"/>
        <v>0.30722844899115082</v>
      </c>
      <c r="Q63" s="192">
        <f t="shared" si="51"/>
        <v>0.33959778053576828</v>
      </c>
      <c r="R63" s="192">
        <f t="shared" si="51"/>
        <v>0.37537751768600508</v>
      </c>
      <c r="S63" s="192">
        <f t="shared" si="51"/>
        <v>0.41492697791429156</v>
      </c>
      <c r="T63" s="192">
        <f t="shared" si="51"/>
        <v>0.45864333608039493</v>
      </c>
      <c r="U63" s="192">
        <f t="shared" si="51"/>
        <v>0.50696561305398036</v>
      </c>
      <c r="V63" s="192">
        <f t="shared" si="51"/>
        <v>0.56037908457509278</v>
      </c>
      <c r="W63" s="192">
        <f t="shared" si="51"/>
        <v>0.61942015462848088</v>
      </c>
      <c r="X63" s="192">
        <f t="shared" si="51"/>
        <v>0.68468174227254908</v>
      </c>
      <c r="Y63" s="192">
        <f t="shared" si="51"/>
        <v>0.75681923602009127</v>
      </c>
      <c r="Z63" s="192">
        <f t="shared" si="51"/>
        <v>0.83655707556757186</v>
      </c>
      <c r="AA63" s="192">
        <f t="shared" si="51"/>
        <v>0.92469602696989528</v>
      </c>
      <c r="AB63" s="192">
        <f t="shared" si="51"/>
        <v>1.0221212243214615</v>
      </c>
      <c r="AC63" s="192">
        <f t="shared" si="51"/>
        <v>1.1298110587020151</v>
      </c>
      <c r="AD63" s="192">
        <f t="shared" si="51"/>
        <v>1.2488470036543438</v>
      </c>
      <c r="AE63" s="192">
        <f t="shared" si="51"/>
        <v>1.3804244758660842</v>
      </c>
      <c r="AF63" s="192">
        <f t="shared" si="51"/>
        <v>1.5258648401238244</v>
      </c>
      <c r="AG63" s="192">
        <f t="shared" si="51"/>
        <v>1.6866286790991145</v>
      </c>
      <c r="AH63" s="192">
        <f t="shared" si="51"/>
        <v>1.8643304612279947</v>
      </c>
      <c r="AJ63" s="192">
        <f>AJ61+AJ62</f>
        <v>0</v>
      </c>
      <c r="AK63" s="192">
        <f t="shared" ref="AK63:BN63" si="52">AK61+AK62</f>
        <v>0.10207605214743869</v>
      </c>
      <c r="AL63" s="192">
        <f t="shared" si="52"/>
        <v>0.11283069933449395</v>
      </c>
      <c r="AM63" s="192">
        <f t="shared" si="52"/>
        <v>0.12471844712335328</v>
      </c>
      <c r="AN63" s="192">
        <f t="shared" si="52"/>
        <v>0.13785867804246943</v>
      </c>
      <c r="AO63" s="192">
        <f t="shared" si="52"/>
        <v>0.15238335266330116</v>
      </c>
      <c r="AP63" s="192">
        <f t="shared" si="52"/>
        <v>0.16843833481236897</v>
      </c>
      <c r="AQ63" s="192">
        <f t="shared" si="52"/>
        <v>0.18618485640653884</v>
      </c>
      <c r="AR63" s="192">
        <f t="shared" si="52"/>
        <v>0.20580113662212429</v>
      </c>
      <c r="AS63" s="192">
        <f t="shared" si="52"/>
        <v>0.22748417165828558</v>
      </c>
      <c r="AT63" s="192">
        <f t="shared" si="52"/>
        <v>0.25145171306839664</v>
      </c>
      <c r="AU63" s="192">
        <f t="shared" si="52"/>
        <v>0.27794445452674793</v>
      </c>
      <c r="AV63" s="192">
        <f t="shared" si="52"/>
        <v>0.30722844899115082</v>
      </c>
      <c r="AW63" s="192">
        <f t="shared" si="52"/>
        <v>0.33959778053576828</v>
      </c>
      <c r="AX63" s="192">
        <f t="shared" si="52"/>
        <v>0.37537751768600508</v>
      </c>
      <c r="AY63" s="192">
        <f t="shared" si="52"/>
        <v>0.41492697791429156</v>
      </c>
      <c r="AZ63" s="192">
        <f t="shared" si="52"/>
        <v>0.45864333608039493</v>
      </c>
      <c r="BA63" s="192">
        <f t="shared" si="52"/>
        <v>0.50696561305398036</v>
      </c>
      <c r="BB63" s="192">
        <f t="shared" si="52"/>
        <v>0.56037908457509278</v>
      </c>
      <c r="BC63" s="192">
        <f t="shared" si="52"/>
        <v>0.61942015462848088</v>
      </c>
      <c r="BD63" s="192">
        <f t="shared" si="52"/>
        <v>0.68468174227254908</v>
      </c>
      <c r="BE63" s="192">
        <f t="shared" si="52"/>
        <v>0.75681923602009127</v>
      </c>
      <c r="BF63" s="192">
        <f t="shared" si="52"/>
        <v>0.83655707556757186</v>
      </c>
      <c r="BG63" s="192">
        <f t="shared" si="52"/>
        <v>0.92469602696989528</v>
      </c>
      <c r="BH63" s="192">
        <f t="shared" si="52"/>
        <v>1.0221212243214615</v>
      </c>
      <c r="BI63" s="192">
        <f t="shared" si="52"/>
        <v>1.1298110587020151</v>
      </c>
      <c r="BJ63" s="192">
        <f t="shared" si="52"/>
        <v>1.2488470036543438</v>
      </c>
      <c r="BK63" s="192">
        <f t="shared" si="52"/>
        <v>1.3804244758660842</v>
      </c>
      <c r="BL63" s="192">
        <f t="shared" si="52"/>
        <v>1.5258648401238244</v>
      </c>
      <c r="BM63" s="192">
        <f t="shared" si="52"/>
        <v>1.6866286790991145</v>
      </c>
      <c r="BN63" s="192">
        <f t="shared" si="52"/>
        <v>1.8643304612279947</v>
      </c>
    </row>
    <row r="64" spans="1:66" outlineLevel="1">
      <c r="A64" s="753"/>
      <c r="B64" s="58" t="s">
        <v>7</v>
      </c>
      <c r="C64" s="54" t="s">
        <v>153</v>
      </c>
      <c r="D64" s="44">
        <f>'Demand - Wind'!D39/1000000</f>
        <v>0</v>
      </c>
      <c r="E64" s="44">
        <f>'Demand - Wind'!E39/1000000</f>
        <v>5.0037280464430733E-2</v>
      </c>
      <c r="F64" s="44">
        <f>'Demand - Wind'!F39/1000000</f>
        <v>5.5309166340438212E-2</v>
      </c>
      <c r="G64" s="44">
        <f>'Demand - Wind'!G39/1000000</f>
        <v>6.1136493687918271E-2</v>
      </c>
      <c r="H64" s="44">
        <f>'Demand - Wind'!H39/1000000</f>
        <v>6.7577783354151683E-2</v>
      </c>
      <c r="I64" s="44">
        <f>'Demand - Wind'!I39/1000000</f>
        <v>7.4697721893775076E-2</v>
      </c>
      <c r="J64" s="44">
        <f>'Demand - Wind'!J39/1000000</f>
        <v>8.2567811182533798E-2</v>
      </c>
      <c r="K64" s="44">
        <f>'Demand - Wind'!K39/1000000</f>
        <v>9.1267086473793543E-2</v>
      </c>
      <c r="L64" s="44">
        <f>'Demand - Wind'!L39/1000000</f>
        <v>0.10088291010888446</v>
      </c>
      <c r="M64" s="44">
        <f>'Demand - Wind'!M39/1000000</f>
        <v>0.11151184885210076</v>
      </c>
      <c r="N64" s="44">
        <f>'Demand - Wind'!N39/1000000</f>
        <v>0.12326064366097876</v>
      </c>
      <c r="O64" s="44">
        <f>'Demand - Wind'!O39/1000000</f>
        <v>0.13624728163075878</v>
      </c>
      <c r="P64" s="44">
        <f>'Demand - Wind'!P39/1000000</f>
        <v>0.15060218087801511</v>
      </c>
      <c r="Q64" s="44">
        <f>'Demand - Wind'!Q39/1000000</f>
        <v>0.16646950026263152</v>
      </c>
      <c r="R64" s="44">
        <f>'Demand - Wind'!R39/1000000</f>
        <v>0.18400858710098286</v>
      </c>
      <c r="S64" s="44">
        <f>'Demand - Wind'!S39/1000000</f>
        <v>0.20339557740896644</v>
      </c>
      <c r="T64" s="44">
        <f>'Demand - Wind'!T39/1000000</f>
        <v>0.2248251647452916</v>
      </c>
      <c r="U64" s="44">
        <f>'Demand - Wind'!U39/1000000</f>
        <v>0.24851255541861783</v>
      </c>
      <c r="V64" s="44">
        <f>'Demand - Wind'!V39/1000000</f>
        <v>0.27469562969367295</v>
      </c>
      <c r="W64" s="44">
        <f>'Demand - Wind'!W39/1000000</f>
        <v>0.30363733070023574</v>
      </c>
      <c r="X64" s="44">
        <f>'Demand - Wind'!X39/1000000</f>
        <v>0.33562830503556329</v>
      </c>
      <c r="Y64" s="44">
        <f>'Demand - Wind'!Y39/1000000</f>
        <v>0.37098982157847604</v>
      </c>
      <c r="Z64" s="44">
        <f>'Demand - Wind'!Z39/1000000</f>
        <v>0.41007699782724116</v>
      </c>
      <c r="AA64" s="44">
        <f>'Demand - Wind'!AA39/1000000</f>
        <v>0.4532823661617133</v>
      </c>
      <c r="AB64" s="44">
        <f>'Demand - Wind'!AB39/1000000</f>
        <v>0.5010398158438536</v>
      </c>
      <c r="AC64" s="44">
        <f>'Demand - Wind'!AC39/1000000</f>
        <v>0.55382895034412505</v>
      </c>
      <c r="AD64" s="44">
        <f>'Demand - Wind'!AD39/1000000</f>
        <v>0.61217990375212927</v>
      </c>
      <c r="AE64" s="44">
        <f>'Demand - Wind'!AE39/1000000</f>
        <v>0.67667866464023729</v>
      </c>
      <c r="AF64" s="44">
        <f>'Demand - Wind'!AF39/1000000</f>
        <v>0.74797296084501186</v>
      </c>
      <c r="AG64" s="44">
        <f>'Demand - Wind'!AG39/1000000</f>
        <v>0.82677876426427188</v>
      </c>
      <c r="AH64" s="44">
        <f>'Demand - Wind'!AH39/1000000</f>
        <v>0.91388748099411499</v>
      </c>
      <c r="AJ64" s="44">
        <f>D64</f>
        <v>0</v>
      </c>
      <c r="AK64" s="44">
        <f t="shared" ref="AK64:BN66" si="53">E64</f>
        <v>5.0037280464430733E-2</v>
      </c>
      <c r="AL64" s="44">
        <f t="shared" si="53"/>
        <v>5.5309166340438212E-2</v>
      </c>
      <c r="AM64" s="44">
        <f t="shared" si="53"/>
        <v>6.1136493687918271E-2</v>
      </c>
      <c r="AN64" s="44">
        <f t="shared" si="53"/>
        <v>6.7577783354151683E-2</v>
      </c>
      <c r="AO64" s="44">
        <f t="shared" si="53"/>
        <v>7.4697721893775076E-2</v>
      </c>
      <c r="AP64" s="44">
        <f t="shared" si="53"/>
        <v>8.2567811182533798E-2</v>
      </c>
      <c r="AQ64" s="44">
        <f t="shared" si="53"/>
        <v>9.1267086473793543E-2</v>
      </c>
      <c r="AR64" s="44">
        <f t="shared" si="53"/>
        <v>0.10088291010888446</v>
      </c>
      <c r="AS64" s="44">
        <f t="shared" si="53"/>
        <v>0.11151184885210076</v>
      </c>
      <c r="AT64" s="44">
        <f t="shared" si="53"/>
        <v>0.12326064366097876</v>
      </c>
      <c r="AU64" s="44">
        <f t="shared" si="53"/>
        <v>0.13624728163075878</v>
      </c>
      <c r="AV64" s="44">
        <f t="shared" si="53"/>
        <v>0.15060218087801511</v>
      </c>
      <c r="AW64" s="44">
        <f t="shared" si="53"/>
        <v>0.16646950026263152</v>
      </c>
      <c r="AX64" s="44">
        <f t="shared" si="53"/>
        <v>0.18400858710098286</v>
      </c>
      <c r="AY64" s="44">
        <f t="shared" si="53"/>
        <v>0.20339557740896644</v>
      </c>
      <c r="AZ64" s="44">
        <f t="shared" si="53"/>
        <v>0.2248251647452916</v>
      </c>
      <c r="BA64" s="44">
        <f t="shared" si="53"/>
        <v>0.24851255541861783</v>
      </c>
      <c r="BB64" s="44">
        <f t="shared" si="53"/>
        <v>0.27469562969367295</v>
      </c>
      <c r="BC64" s="44">
        <f t="shared" si="53"/>
        <v>0.30363733070023574</v>
      </c>
      <c r="BD64" s="44">
        <f t="shared" si="53"/>
        <v>0.33562830503556329</v>
      </c>
      <c r="BE64" s="44">
        <f t="shared" si="53"/>
        <v>0.37098982157847604</v>
      </c>
      <c r="BF64" s="44">
        <f t="shared" si="53"/>
        <v>0.41007699782724116</v>
      </c>
      <c r="BG64" s="44">
        <f t="shared" si="53"/>
        <v>0.4532823661617133</v>
      </c>
      <c r="BH64" s="44">
        <f t="shared" si="53"/>
        <v>0.5010398158438536</v>
      </c>
      <c r="BI64" s="44">
        <f t="shared" si="53"/>
        <v>0.55382895034412505</v>
      </c>
      <c r="BJ64" s="44">
        <f t="shared" si="53"/>
        <v>0.61217990375212927</v>
      </c>
      <c r="BK64" s="44">
        <f t="shared" si="53"/>
        <v>0.67667866464023729</v>
      </c>
      <c r="BL64" s="44">
        <f t="shared" si="53"/>
        <v>0.74797296084501186</v>
      </c>
      <c r="BM64" s="44">
        <f t="shared" si="53"/>
        <v>0.82677876426427188</v>
      </c>
      <c r="BN64" s="44">
        <f t="shared" si="53"/>
        <v>0.91388748099411499</v>
      </c>
    </row>
    <row r="65" spans="1:66" outlineLevel="1">
      <c r="A65" s="753"/>
      <c r="B65" s="1" t="s">
        <v>8</v>
      </c>
      <c r="C65" s="54" t="s">
        <v>153</v>
      </c>
      <c r="D65" s="44">
        <v>0</v>
      </c>
      <c r="E65" s="44">
        <v>0</v>
      </c>
      <c r="F65" s="44">
        <v>0</v>
      </c>
      <c r="G65" s="44">
        <v>0</v>
      </c>
      <c r="H65" s="44">
        <v>0</v>
      </c>
      <c r="I65" s="44">
        <v>0</v>
      </c>
      <c r="J65" s="44">
        <v>0</v>
      </c>
      <c r="K65" s="44">
        <v>0</v>
      </c>
      <c r="L65" s="44">
        <v>0</v>
      </c>
      <c r="M65" s="44">
        <v>0</v>
      </c>
      <c r="N65" s="44">
        <v>0</v>
      </c>
      <c r="O65" s="44">
        <v>0</v>
      </c>
      <c r="P65" s="44">
        <v>0</v>
      </c>
      <c r="Q65" s="44">
        <v>0</v>
      </c>
      <c r="R65" s="44">
        <v>0</v>
      </c>
      <c r="S65" s="44">
        <v>0</v>
      </c>
      <c r="T65" s="44">
        <v>0</v>
      </c>
      <c r="U65" s="44">
        <v>0</v>
      </c>
      <c r="V65" s="44">
        <v>0</v>
      </c>
      <c r="W65" s="44">
        <v>0</v>
      </c>
      <c r="X65" s="44">
        <v>0</v>
      </c>
      <c r="Y65" s="44">
        <v>0</v>
      </c>
      <c r="Z65" s="44">
        <v>0</v>
      </c>
      <c r="AA65" s="44">
        <v>0</v>
      </c>
      <c r="AB65" s="44">
        <v>0</v>
      </c>
      <c r="AC65" s="44">
        <v>0</v>
      </c>
      <c r="AD65" s="44">
        <v>0</v>
      </c>
      <c r="AE65" s="44">
        <v>0</v>
      </c>
      <c r="AF65" s="44">
        <v>0</v>
      </c>
      <c r="AG65" s="44">
        <v>0</v>
      </c>
      <c r="AH65" s="44">
        <v>0</v>
      </c>
      <c r="AJ65" s="44">
        <f t="shared" ref="AJ65:AJ66" si="54">D65</f>
        <v>0</v>
      </c>
      <c r="AK65" s="44">
        <f t="shared" si="53"/>
        <v>0</v>
      </c>
      <c r="AL65" s="44">
        <f t="shared" si="53"/>
        <v>0</v>
      </c>
      <c r="AM65" s="44">
        <f t="shared" si="53"/>
        <v>0</v>
      </c>
      <c r="AN65" s="44">
        <f t="shared" si="53"/>
        <v>0</v>
      </c>
      <c r="AO65" s="44">
        <f t="shared" si="53"/>
        <v>0</v>
      </c>
      <c r="AP65" s="44">
        <f t="shared" si="53"/>
        <v>0</v>
      </c>
      <c r="AQ65" s="44">
        <f t="shared" si="53"/>
        <v>0</v>
      </c>
      <c r="AR65" s="44">
        <f t="shared" si="53"/>
        <v>0</v>
      </c>
      <c r="AS65" s="44">
        <f t="shared" si="53"/>
        <v>0</v>
      </c>
      <c r="AT65" s="44">
        <f t="shared" si="53"/>
        <v>0</v>
      </c>
      <c r="AU65" s="44">
        <f t="shared" si="53"/>
        <v>0</v>
      </c>
      <c r="AV65" s="44">
        <f t="shared" si="53"/>
        <v>0</v>
      </c>
      <c r="AW65" s="44">
        <f t="shared" si="53"/>
        <v>0</v>
      </c>
      <c r="AX65" s="44">
        <f t="shared" si="53"/>
        <v>0</v>
      </c>
      <c r="AY65" s="44">
        <f t="shared" si="53"/>
        <v>0</v>
      </c>
      <c r="AZ65" s="44">
        <f t="shared" si="53"/>
        <v>0</v>
      </c>
      <c r="BA65" s="44">
        <f t="shared" si="53"/>
        <v>0</v>
      </c>
      <c r="BB65" s="44">
        <f t="shared" si="53"/>
        <v>0</v>
      </c>
      <c r="BC65" s="44">
        <f t="shared" si="53"/>
        <v>0</v>
      </c>
      <c r="BD65" s="44">
        <f t="shared" si="53"/>
        <v>0</v>
      </c>
      <c r="BE65" s="44">
        <f t="shared" si="53"/>
        <v>0</v>
      </c>
      <c r="BF65" s="44">
        <f t="shared" si="53"/>
        <v>0</v>
      </c>
      <c r="BG65" s="44">
        <f t="shared" si="53"/>
        <v>0</v>
      </c>
      <c r="BH65" s="44">
        <f t="shared" si="53"/>
        <v>0</v>
      </c>
      <c r="BI65" s="44">
        <f t="shared" si="53"/>
        <v>0</v>
      </c>
      <c r="BJ65" s="44">
        <f t="shared" si="53"/>
        <v>0</v>
      </c>
      <c r="BK65" s="44">
        <f t="shared" si="53"/>
        <v>0</v>
      </c>
      <c r="BL65" s="44">
        <f t="shared" si="53"/>
        <v>0</v>
      </c>
      <c r="BM65" s="44">
        <f t="shared" si="53"/>
        <v>0</v>
      </c>
      <c r="BN65" s="44">
        <f t="shared" si="53"/>
        <v>0</v>
      </c>
    </row>
    <row r="66" spans="1:66" s="68" customFormat="1" outlineLevel="1">
      <c r="A66" s="754"/>
      <c r="B66" s="62" t="s">
        <v>166</v>
      </c>
      <c r="C66" s="283" t="s">
        <v>153</v>
      </c>
      <c r="D66" s="284">
        <f>'Demand - Wind'!D40/1000000</f>
        <v>0</v>
      </c>
      <c r="E66" s="284">
        <f>'Demand - Wind'!E40/1000000</f>
        <v>5.2038771683007967E-2</v>
      </c>
      <c r="F66" s="284">
        <f>'Demand - Wind'!F40/1000000</f>
        <v>5.7521532994055741E-2</v>
      </c>
      <c r="G66" s="284">
        <f>'Demand - Wind'!G40/1000000</f>
        <v>6.3581953435435004E-2</v>
      </c>
      <c r="H66" s="284">
        <f>'Demand - Wind'!H40/1000000</f>
        <v>7.028089468831776E-2</v>
      </c>
      <c r="I66" s="284">
        <f>'Demand - Wind'!I40/1000000</f>
        <v>7.7685630769526073E-2</v>
      </c>
      <c r="J66" s="284">
        <f>'Demand - Wind'!J40/1000000</f>
        <v>8.5870523629835147E-2</v>
      </c>
      <c r="K66" s="284">
        <f>'Demand - Wind'!K40/1000000</f>
        <v>9.4917769932745283E-2</v>
      </c>
      <c r="L66" s="284">
        <f>'Demand - Wind'!L40/1000000</f>
        <v>0.10491822651323984</v>
      </c>
      <c r="M66" s="284">
        <f>'Demand - Wind'!M40/1000000</f>
        <v>0.1159723228061848</v>
      </c>
      <c r="N66" s="284">
        <f>'Demand - Wind'!N40/1000000</f>
        <v>0.12819106940741792</v>
      </c>
      <c r="O66" s="284">
        <f>'Demand - Wind'!O40/1000000</f>
        <v>0.14169717289598915</v>
      </c>
      <c r="P66" s="284">
        <f>'Demand - Wind'!P40/1000000</f>
        <v>0.15662626811313574</v>
      </c>
      <c r="Q66" s="284">
        <f>'Demand - Wind'!Q40/1000000</f>
        <v>0.17312828027313676</v>
      </c>
      <c r="R66" s="284">
        <f>'Demand - Wind'!R40/1000000</f>
        <v>0.19136893058502219</v>
      </c>
      <c r="S66" s="284">
        <f>'Demand - Wind'!S40/1000000</f>
        <v>0.2115314005053251</v>
      </c>
      <c r="T66" s="284">
        <f>'Demand - Wind'!T40/1000000</f>
        <v>0.23381817133510327</v>
      </c>
      <c r="U66" s="284">
        <f>'Demand - Wind'!U40/1000000</f>
        <v>0.25845305763536253</v>
      </c>
      <c r="V66" s="284">
        <f>'Demand - Wind'!V40/1000000</f>
        <v>0.28568345488141983</v>
      </c>
      <c r="W66" s="284">
        <f>'Demand - Wind'!W40/1000000</f>
        <v>0.31578282392824519</v>
      </c>
      <c r="X66" s="284">
        <f>'Demand - Wind'!X40/1000000</f>
        <v>0.34905343723698584</v>
      </c>
      <c r="Y66" s="284">
        <f>'Demand - Wind'!Y40/1000000</f>
        <v>0.38582941444161512</v>
      </c>
      <c r="Z66" s="284">
        <f>'Demand - Wind'!Z40/1000000</f>
        <v>0.42648007774033075</v>
      </c>
      <c r="AA66" s="284">
        <f>'Demand - Wind'!AA40/1000000</f>
        <v>0.47141366080818187</v>
      </c>
      <c r="AB66" s="284">
        <f>'Demand - Wind'!AB40/1000000</f>
        <v>0.52108140847760787</v>
      </c>
      <c r="AC66" s="284">
        <f>'Demand - Wind'!AC40/1000000</f>
        <v>0.57598210835788999</v>
      </c>
      <c r="AD66" s="284">
        <f>'Demand - Wind'!AD40/1000000</f>
        <v>0.63666709990221448</v>
      </c>
      <c r="AE66" s="284">
        <f>'Demand - Wind'!AE40/1000000</f>
        <v>0.7037458112258469</v>
      </c>
      <c r="AF66" s="284">
        <f>'Demand - Wind'!AF40/1000000</f>
        <v>0.77789187927881231</v>
      </c>
      <c r="AG66" s="284">
        <f>'Demand - Wind'!AG40/1000000</f>
        <v>0.85984991483484274</v>
      </c>
      <c r="AH66" s="284">
        <f>'Demand - Wind'!AH40/1000000</f>
        <v>0.95044298023387963</v>
      </c>
      <c r="AJ66" s="284">
        <f t="shared" si="54"/>
        <v>0</v>
      </c>
      <c r="AK66" s="284">
        <f t="shared" si="53"/>
        <v>5.2038771683007967E-2</v>
      </c>
      <c r="AL66" s="284">
        <f t="shared" si="53"/>
        <v>5.7521532994055741E-2</v>
      </c>
      <c r="AM66" s="284">
        <f t="shared" si="53"/>
        <v>6.3581953435435004E-2</v>
      </c>
      <c r="AN66" s="284">
        <f t="shared" si="53"/>
        <v>7.028089468831776E-2</v>
      </c>
      <c r="AO66" s="284">
        <f t="shared" si="53"/>
        <v>7.7685630769526073E-2</v>
      </c>
      <c r="AP66" s="284">
        <f t="shared" si="53"/>
        <v>8.5870523629835147E-2</v>
      </c>
      <c r="AQ66" s="284">
        <f t="shared" si="53"/>
        <v>9.4917769932745283E-2</v>
      </c>
      <c r="AR66" s="284">
        <f t="shared" si="53"/>
        <v>0.10491822651323984</v>
      </c>
      <c r="AS66" s="284">
        <f t="shared" si="53"/>
        <v>0.1159723228061848</v>
      </c>
      <c r="AT66" s="284">
        <f t="shared" si="53"/>
        <v>0.12819106940741792</v>
      </c>
      <c r="AU66" s="284">
        <f t="shared" si="53"/>
        <v>0.14169717289598915</v>
      </c>
      <c r="AV66" s="284">
        <f t="shared" si="53"/>
        <v>0.15662626811313574</v>
      </c>
      <c r="AW66" s="284">
        <f t="shared" si="53"/>
        <v>0.17312828027313676</v>
      </c>
      <c r="AX66" s="284">
        <f t="shared" si="53"/>
        <v>0.19136893058502219</v>
      </c>
      <c r="AY66" s="284">
        <f t="shared" si="53"/>
        <v>0.2115314005053251</v>
      </c>
      <c r="AZ66" s="284">
        <f t="shared" si="53"/>
        <v>0.23381817133510327</v>
      </c>
      <c r="BA66" s="284">
        <f t="shared" si="53"/>
        <v>0.25845305763536253</v>
      </c>
      <c r="BB66" s="284">
        <f t="shared" si="53"/>
        <v>0.28568345488141983</v>
      </c>
      <c r="BC66" s="284">
        <f t="shared" si="53"/>
        <v>0.31578282392824519</v>
      </c>
      <c r="BD66" s="284">
        <f t="shared" si="53"/>
        <v>0.34905343723698584</v>
      </c>
      <c r="BE66" s="284">
        <f t="shared" si="53"/>
        <v>0.38582941444161512</v>
      </c>
      <c r="BF66" s="284">
        <f t="shared" si="53"/>
        <v>0.42648007774033075</v>
      </c>
      <c r="BG66" s="284">
        <f t="shared" si="53"/>
        <v>0.47141366080818187</v>
      </c>
      <c r="BH66" s="284">
        <f t="shared" si="53"/>
        <v>0.52108140847760787</v>
      </c>
      <c r="BI66" s="284">
        <f t="shared" si="53"/>
        <v>0.57598210835788999</v>
      </c>
      <c r="BJ66" s="284">
        <f t="shared" si="53"/>
        <v>0.63666709990221448</v>
      </c>
      <c r="BK66" s="284">
        <f t="shared" si="53"/>
        <v>0.7037458112258469</v>
      </c>
      <c r="BL66" s="284">
        <f t="shared" si="53"/>
        <v>0.77789187927881231</v>
      </c>
      <c r="BM66" s="284">
        <f t="shared" si="53"/>
        <v>0.85984991483484274</v>
      </c>
      <c r="BN66" s="284">
        <f t="shared" si="53"/>
        <v>0.95044298023387963</v>
      </c>
    </row>
    <row r="67" spans="1:66" outlineLevel="1">
      <c r="A67" s="1" t="s">
        <v>67</v>
      </c>
      <c r="B67" s="1" t="s">
        <v>168</v>
      </c>
      <c r="C67" s="54" t="s">
        <v>153</v>
      </c>
      <c r="D67" s="66">
        <f t="shared" ref="D67:AH67" si="55">D21+D30+D39+D48+D55</f>
        <v>0</v>
      </c>
      <c r="E67" s="66">
        <f t="shared" si="55"/>
        <v>0</v>
      </c>
      <c r="F67" s="66">
        <f t="shared" si="55"/>
        <v>0</v>
      </c>
      <c r="G67" s="66">
        <f t="shared" si="55"/>
        <v>0</v>
      </c>
      <c r="H67" s="66">
        <f t="shared" si="55"/>
        <v>0</v>
      </c>
      <c r="I67" s="66">
        <f t="shared" si="55"/>
        <v>0</v>
      </c>
      <c r="J67" s="66">
        <f t="shared" si="55"/>
        <v>0</v>
      </c>
      <c r="K67" s="66">
        <f t="shared" si="55"/>
        <v>0</v>
      </c>
      <c r="L67" s="66">
        <f t="shared" si="55"/>
        <v>0</v>
      </c>
      <c r="M67" s="66">
        <f t="shared" si="55"/>
        <v>0</v>
      </c>
      <c r="N67" s="66">
        <f t="shared" si="55"/>
        <v>0</v>
      </c>
      <c r="O67" s="66">
        <f t="shared" si="55"/>
        <v>0</v>
      </c>
      <c r="P67" s="66">
        <f t="shared" si="55"/>
        <v>0</v>
      </c>
      <c r="Q67" s="66">
        <f t="shared" si="55"/>
        <v>0</v>
      </c>
      <c r="R67" s="66">
        <f t="shared" si="55"/>
        <v>0</v>
      </c>
      <c r="S67" s="66">
        <f t="shared" si="55"/>
        <v>0</v>
      </c>
      <c r="T67" s="66">
        <f t="shared" si="55"/>
        <v>0</v>
      </c>
      <c r="U67" s="66">
        <f t="shared" si="55"/>
        <v>0</v>
      </c>
      <c r="V67" s="66">
        <f t="shared" si="55"/>
        <v>0</v>
      </c>
      <c r="W67" s="66">
        <f t="shared" si="55"/>
        <v>0</v>
      </c>
      <c r="X67" s="66">
        <f t="shared" si="55"/>
        <v>0</v>
      </c>
      <c r="Y67" s="66">
        <f t="shared" si="55"/>
        <v>0</v>
      </c>
      <c r="Z67" s="66">
        <f t="shared" si="55"/>
        <v>0</v>
      </c>
      <c r="AA67" s="66">
        <f t="shared" si="55"/>
        <v>0</v>
      </c>
      <c r="AB67" s="66">
        <f t="shared" si="55"/>
        <v>0</v>
      </c>
      <c r="AC67" s="66">
        <f t="shared" si="55"/>
        <v>0</v>
      </c>
      <c r="AD67" s="66">
        <f t="shared" si="55"/>
        <v>0</v>
      </c>
      <c r="AE67" s="66">
        <f t="shared" si="55"/>
        <v>0</v>
      </c>
      <c r="AF67" s="66">
        <f t="shared" si="55"/>
        <v>0</v>
      </c>
      <c r="AG67" s="66">
        <f t="shared" si="55"/>
        <v>0</v>
      </c>
      <c r="AH67" s="66">
        <f t="shared" si="55"/>
        <v>0</v>
      </c>
      <c r="AJ67" s="66">
        <f t="shared" ref="AJ67:BN67" si="56">AJ21+AJ30+AJ39+AJ48+AJ55</f>
        <v>0</v>
      </c>
      <c r="AK67" s="66">
        <f t="shared" si="56"/>
        <v>0</v>
      </c>
      <c r="AL67" s="66">
        <f t="shared" si="56"/>
        <v>0</v>
      </c>
      <c r="AM67" s="66">
        <f t="shared" si="56"/>
        <v>0</v>
      </c>
      <c r="AN67" s="66">
        <f t="shared" si="56"/>
        <v>0</v>
      </c>
      <c r="AO67" s="66">
        <f t="shared" si="56"/>
        <v>0</v>
      </c>
      <c r="AP67" s="66">
        <f t="shared" si="56"/>
        <v>0</v>
      </c>
      <c r="AQ67" s="66">
        <f t="shared" si="56"/>
        <v>0</v>
      </c>
      <c r="AR67" s="66">
        <f t="shared" si="56"/>
        <v>0</v>
      </c>
      <c r="AS67" s="66">
        <f t="shared" si="56"/>
        <v>0</v>
      </c>
      <c r="AT67" s="66">
        <f t="shared" si="56"/>
        <v>0</v>
      </c>
      <c r="AU67" s="66">
        <f t="shared" si="56"/>
        <v>0</v>
      </c>
      <c r="AV67" s="66">
        <f t="shared" si="56"/>
        <v>0</v>
      </c>
      <c r="AW67" s="66">
        <f t="shared" si="56"/>
        <v>0</v>
      </c>
      <c r="AX67" s="66">
        <f t="shared" si="56"/>
        <v>0</v>
      </c>
      <c r="AY67" s="66">
        <f t="shared" si="56"/>
        <v>0</v>
      </c>
      <c r="AZ67" s="66">
        <f t="shared" si="56"/>
        <v>0</v>
      </c>
      <c r="BA67" s="66">
        <f t="shared" si="56"/>
        <v>0</v>
      </c>
      <c r="BB67" s="66">
        <f t="shared" si="56"/>
        <v>0</v>
      </c>
      <c r="BC67" s="66">
        <f t="shared" si="56"/>
        <v>0</v>
      </c>
      <c r="BD67" s="66">
        <f t="shared" si="56"/>
        <v>0</v>
      </c>
      <c r="BE67" s="66">
        <f t="shared" si="56"/>
        <v>0</v>
      </c>
      <c r="BF67" s="66">
        <f t="shared" si="56"/>
        <v>0</v>
      </c>
      <c r="BG67" s="66">
        <f t="shared" si="56"/>
        <v>0</v>
      </c>
      <c r="BH67" s="66">
        <f t="shared" si="56"/>
        <v>0</v>
      </c>
      <c r="BI67" s="66">
        <f t="shared" si="56"/>
        <v>0</v>
      </c>
      <c r="BJ67" s="66">
        <f t="shared" si="56"/>
        <v>0</v>
      </c>
      <c r="BK67" s="66">
        <f t="shared" si="56"/>
        <v>0</v>
      </c>
      <c r="BL67" s="66">
        <f t="shared" si="56"/>
        <v>0</v>
      </c>
      <c r="BM67" s="66">
        <f t="shared" si="56"/>
        <v>0</v>
      </c>
      <c r="BN67" s="66">
        <f t="shared" si="56"/>
        <v>0</v>
      </c>
    </row>
    <row r="68" spans="1:66" outlineLevel="1">
      <c r="B68" s="1" t="s">
        <v>172</v>
      </c>
      <c r="C68" s="54" t="s">
        <v>153</v>
      </c>
      <c r="D68" s="66">
        <f t="shared" ref="D68:AH68" si="57">D22+D33+D40+D49+D56</f>
        <v>0</v>
      </c>
      <c r="E68" s="66">
        <f t="shared" si="57"/>
        <v>0</v>
      </c>
      <c r="F68" s="66">
        <f t="shared" si="57"/>
        <v>0</v>
      </c>
      <c r="G68" s="66">
        <f t="shared" si="57"/>
        <v>0</v>
      </c>
      <c r="H68" s="66">
        <f t="shared" si="57"/>
        <v>0</v>
      </c>
      <c r="I68" s="66">
        <f t="shared" si="57"/>
        <v>0</v>
      </c>
      <c r="J68" s="66">
        <f t="shared" si="57"/>
        <v>0</v>
      </c>
      <c r="K68" s="66">
        <f t="shared" si="57"/>
        <v>0</v>
      </c>
      <c r="L68" s="66">
        <f t="shared" si="57"/>
        <v>0</v>
      </c>
      <c r="M68" s="66">
        <f t="shared" si="57"/>
        <v>0</v>
      </c>
      <c r="N68" s="66">
        <f t="shared" si="57"/>
        <v>0</v>
      </c>
      <c r="O68" s="66">
        <f t="shared" si="57"/>
        <v>0</v>
      </c>
      <c r="P68" s="66">
        <f t="shared" si="57"/>
        <v>0</v>
      </c>
      <c r="Q68" s="66">
        <f t="shared" si="57"/>
        <v>0</v>
      </c>
      <c r="R68" s="66">
        <f t="shared" si="57"/>
        <v>0</v>
      </c>
      <c r="S68" s="66">
        <f t="shared" si="57"/>
        <v>0</v>
      </c>
      <c r="T68" s="66">
        <f t="shared" si="57"/>
        <v>0</v>
      </c>
      <c r="U68" s="66">
        <f t="shared" si="57"/>
        <v>0</v>
      </c>
      <c r="V68" s="66">
        <f t="shared" si="57"/>
        <v>0</v>
      </c>
      <c r="W68" s="66">
        <f t="shared" si="57"/>
        <v>0</v>
      </c>
      <c r="X68" s="66">
        <f t="shared" si="57"/>
        <v>0</v>
      </c>
      <c r="Y68" s="66">
        <f t="shared" si="57"/>
        <v>0</v>
      </c>
      <c r="Z68" s="66">
        <f t="shared" si="57"/>
        <v>0</v>
      </c>
      <c r="AA68" s="66">
        <f t="shared" si="57"/>
        <v>0</v>
      </c>
      <c r="AB68" s="66">
        <f t="shared" si="57"/>
        <v>0</v>
      </c>
      <c r="AC68" s="66">
        <f t="shared" si="57"/>
        <v>0</v>
      </c>
      <c r="AD68" s="66">
        <f t="shared" si="57"/>
        <v>0</v>
      </c>
      <c r="AE68" s="66">
        <f t="shared" si="57"/>
        <v>0</v>
      </c>
      <c r="AF68" s="66">
        <f t="shared" si="57"/>
        <v>0</v>
      </c>
      <c r="AG68" s="66">
        <f t="shared" si="57"/>
        <v>0</v>
      </c>
      <c r="AH68" s="66">
        <f t="shared" si="57"/>
        <v>0</v>
      </c>
      <c r="AJ68" s="66">
        <f t="shared" ref="AJ68:BN68" si="58">AJ22+AJ33+AJ40+AJ49+AJ56</f>
        <v>0</v>
      </c>
      <c r="AK68" s="66">
        <f t="shared" si="58"/>
        <v>0</v>
      </c>
      <c r="AL68" s="66">
        <f t="shared" si="58"/>
        <v>0</v>
      </c>
      <c r="AM68" s="66">
        <f t="shared" si="58"/>
        <v>0</v>
      </c>
      <c r="AN68" s="66">
        <f t="shared" si="58"/>
        <v>0</v>
      </c>
      <c r="AO68" s="66">
        <f t="shared" si="58"/>
        <v>0</v>
      </c>
      <c r="AP68" s="66">
        <f t="shared" si="58"/>
        <v>0</v>
      </c>
      <c r="AQ68" s="66">
        <f t="shared" si="58"/>
        <v>0</v>
      </c>
      <c r="AR68" s="66">
        <f t="shared" si="58"/>
        <v>0</v>
      </c>
      <c r="AS68" s="66">
        <f t="shared" si="58"/>
        <v>0</v>
      </c>
      <c r="AT68" s="66">
        <f t="shared" si="58"/>
        <v>0</v>
      </c>
      <c r="AU68" s="66">
        <f t="shared" si="58"/>
        <v>0</v>
      </c>
      <c r="AV68" s="66">
        <f t="shared" si="58"/>
        <v>0</v>
      </c>
      <c r="AW68" s="66">
        <f t="shared" si="58"/>
        <v>0</v>
      </c>
      <c r="AX68" s="66">
        <f t="shared" si="58"/>
        <v>0</v>
      </c>
      <c r="AY68" s="66">
        <f t="shared" si="58"/>
        <v>0</v>
      </c>
      <c r="AZ68" s="66">
        <f t="shared" si="58"/>
        <v>0</v>
      </c>
      <c r="BA68" s="66">
        <f t="shared" si="58"/>
        <v>0</v>
      </c>
      <c r="BB68" s="66">
        <f t="shared" si="58"/>
        <v>0</v>
      </c>
      <c r="BC68" s="66">
        <f t="shared" si="58"/>
        <v>0</v>
      </c>
      <c r="BD68" s="66">
        <f t="shared" si="58"/>
        <v>0</v>
      </c>
      <c r="BE68" s="66">
        <f t="shared" si="58"/>
        <v>0</v>
      </c>
      <c r="BF68" s="66">
        <f t="shared" si="58"/>
        <v>0</v>
      </c>
      <c r="BG68" s="66">
        <f t="shared" si="58"/>
        <v>0</v>
      </c>
      <c r="BH68" s="66">
        <f t="shared" si="58"/>
        <v>0</v>
      </c>
      <c r="BI68" s="66">
        <f t="shared" si="58"/>
        <v>0</v>
      </c>
      <c r="BJ68" s="66">
        <f t="shared" si="58"/>
        <v>0</v>
      </c>
      <c r="BK68" s="66">
        <f t="shared" si="58"/>
        <v>0</v>
      </c>
      <c r="BL68" s="66">
        <f t="shared" si="58"/>
        <v>0</v>
      </c>
      <c r="BM68" s="66">
        <f t="shared" si="58"/>
        <v>0</v>
      </c>
      <c r="BN68" s="66">
        <f t="shared" si="58"/>
        <v>0</v>
      </c>
    </row>
    <row r="69" spans="1:66" outlineLevel="1">
      <c r="B69" s="1" t="s">
        <v>214</v>
      </c>
      <c r="C69" s="54" t="s">
        <v>153</v>
      </c>
      <c r="D69" s="66">
        <f t="shared" ref="D69:AH69" si="59">D17+D63</f>
        <v>0</v>
      </c>
      <c r="E69" s="66">
        <f t="shared" si="59"/>
        <v>0.11115567617476181</v>
      </c>
      <c r="F69" s="66">
        <f t="shared" si="59"/>
        <v>0.13118888837203158</v>
      </c>
      <c r="G69" s="66">
        <f t="shared" si="59"/>
        <v>0.15255741135720563</v>
      </c>
      <c r="H69" s="66">
        <f t="shared" si="59"/>
        <v>0.17538394461564832</v>
      </c>
      <c r="I69" s="66">
        <f t="shared" si="59"/>
        <v>0.19980381408338102</v>
      </c>
      <c r="J69" s="66">
        <f t="shared" si="59"/>
        <v>0.22596629802168339</v>
      </c>
      <c r="K69" s="66">
        <f t="shared" si="59"/>
        <v>0.25403609252362946</v>
      </c>
      <c r="L69" s="66">
        <f t="shared" si="59"/>
        <v>0.28419493136326046</v>
      </c>
      <c r="M69" s="66">
        <f t="shared" si="59"/>
        <v>0.31664337644798546</v>
      </c>
      <c r="N69" s="66">
        <f t="shared" si="59"/>
        <v>0.35160279684799467</v>
      </c>
      <c r="O69" s="66">
        <f t="shared" si="59"/>
        <v>0.40450479741699941</v>
      </c>
      <c r="P69" s="66">
        <f t="shared" si="59"/>
        <v>0.46076467642367458</v>
      </c>
      <c r="Q69" s="66">
        <f t="shared" si="59"/>
        <v>0.52068576347281703</v>
      </c>
      <c r="R69" s="66">
        <f t="shared" si="59"/>
        <v>0.58460250719032447</v>
      </c>
      <c r="S69" s="66">
        <f t="shared" si="59"/>
        <v>0.652883741557853</v>
      </c>
      <c r="T69" s="66">
        <f t="shared" si="59"/>
        <v>0.72593629621614397</v>
      </c>
      <c r="U69" s="66">
        <f t="shared" si="59"/>
        <v>0.80420898697504606</v>
      </c>
      <c r="V69" s="66">
        <f t="shared" si="59"/>
        <v>0.88819702658622091</v>
      </c>
      <c r="W69" s="66">
        <f t="shared" si="59"/>
        <v>0.97844690005476598</v>
      </c>
      <c r="X69" s="66">
        <f t="shared" si="59"/>
        <v>1.0755617534308615</v>
      </c>
      <c r="Y69" s="66">
        <f t="shared" si="59"/>
        <v>1.1689170004680181</v>
      </c>
      <c r="Z69" s="66">
        <f t="shared" si="59"/>
        <v>1.2702905759536429</v>
      </c>
      <c r="AA69" s="66">
        <f t="shared" si="59"/>
        <v>1.3804898576881308</v>
      </c>
      <c r="AB69" s="66">
        <f t="shared" si="59"/>
        <v>1.5004066862132093</v>
      </c>
      <c r="AC69" s="66">
        <f t="shared" si="59"/>
        <v>1.6310262550392316</v>
      </c>
      <c r="AD69" s="66">
        <f t="shared" si="59"/>
        <v>1.7734369374210295</v>
      </c>
      <c r="AE69" s="66">
        <f t="shared" si="59"/>
        <v>1.9288411483548</v>
      </c>
      <c r="AF69" s="66">
        <f t="shared" si="59"/>
        <v>2.0985673508644238</v>
      </c>
      <c r="AG69" s="66">
        <f t="shared" si="59"/>
        <v>2.2840833271370493</v>
      </c>
      <c r="AH69" s="66">
        <f t="shared" si="59"/>
        <v>2.4870108477697737</v>
      </c>
      <c r="AJ69" s="66">
        <f t="shared" ref="AJ69:BN69" si="60">AJ17+AJ63</f>
        <v>0</v>
      </c>
      <c r="AK69" s="66">
        <f t="shared" si="60"/>
        <v>0.11115567617476181</v>
      </c>
      <c r="AL69" s="66">
        <f t="shared" si="60"/>
        <v>0.13118888837203158</v>
      </c>
      <c r="AM69" s="66">
        <f t="shared" si="60"/>
        <v>0.15255741135720563</v>
      </c>
      <c r="AN69" s="66">
        <f t="shared" si="60"/>
        <v>0.17538394461564832</v>
      </c>
      <c r="AO69" s="66">
        <f t="shared" si="60"/>
        <v>0.19980381408338102</v>
      </c>
      <c r="AP69" s="66">
        <f t="shared" si="60"/>
        <v>0.22596629802168339</v>
      </c>
      <c r="AQ69" s="66">
        <f t="shared" si="60"/>
        <v>0.25403609252362946</v>
      </c>
      <c r="AR69" s="66">
        <f t="shared" si="60"/>
        <v>0.28419493136326046</v>
      </c>
      <c r="AS69" s="66">
        <f t="shared" si="60"/>
        <v>0.31664337644798546</v>
      </c>
      <c r="AT69" s="66">
        <f t="shared" si="60"/>
        <v>0.35160279684799467</v>
      </c>
      <c r="AU69" s="66">
        <f t="shared" si="60"/>
        <v>0.40450479741699941</v>
      </c>
      <c r="AV69" s="66">
        <f t="shared" si="60"/>
        <v>0.46076467642367458</v>
      </c>
      <c r="AW69" s="66">
        <f t="shared" si="60"/>
        <v>0.52068576347281703</v>
      </c>
      <c r="AX69" s="66">
        <f t="shared" si="60"/>
        <v>0.58460250719032447</v>
      </c>
      <c r="AY69" s="66">
        <f t="shared" si="60"/>
        <v>0.652883741557853</v>
      </c>
      <c r="AZ69" s="66">
        <f t="shared" si="60"/>
        <v>0.72593629621614397</v>
      </c>
      <c r="BA69" s="66">
        <f t="shared" si="60"/>
        <v>0.80420898697504606</v>
      </c>
      <c r="BB69" s="66">
        <f t="shared" si="60"/>
        <v>0.88819702658622091</v>
      </c>
      <c r="BC69" s="66">
        <f t="shared" si="60"/>
        <v>0.97844690005476598</v>
      </c>
      <c r="BD69" s="66">
        <f t="shared" si="60"/>
        <v>1.0755617534308615</v>
      </c>
      <c r="BE69" s="66">
        <f t="shared" si="60"/>
        <v>1.1689170004680181</v>
      </c>
      <c r="BF69" s="66">
        <f t="shared" si="60"/>
        <v>1.2702905759536429</v>
      </c>
      <c r="BG69" s="66">
        <f t="shared" si="60"/>
        <v>1.3804898576881308</v>
      </c>
      <c r="BH69" s="66">
        <f t="shared" si="60"/>
        <v>1.5004066862132093</v>
      </c>
      <c r="BI69" s="66">
        <f t="shared" si="60"/>
        <v>1.6310262550392316</v>
      </c>
      <c r="BJ69" s="66">
        <f t="shared" si="60"/>
        <v>1.7734369374210295</v>
      </c>
      <c r="BK69" s="66">
        <f t="shared" si="60"/>
        <v>1.9288411483548</v>
      </c>
      <c r="BL69" s="66">
        <f t="shared" si="60"/>
        <v>2.0985673508644238</v>
      </c>
      <c r="BM69" s="66">
        <f t="shared" si="60"/>
        <v>2.2840833271370493</v>
      </c>
      <c r="BN69" s="66">
        <f t="shared" si="60"/>
        <v>2.4870108477697737</v>
      </c>
    </row>
    <row r="70" spans="1:66">
      <c r="A70" s="69" t="s">
        <v>215</v>
      </c>
      <c r="B70" s="69"/>
      <c r="C70" s="70" t="s">
        <v>153</v>
      </c>
      <c r="D70" s="71">
        <f t="shared" ref="D70:AH70" si="61">D12+D69-D67-D68</f>
        <v>116.10918671199683</v>
      </c>
      <c r="E70" s="71">
        <f t="shared" si="61"/>
        <v>118.90263464589736</v>
      </c>
      <c r="F70" s="71">
        <f t="shared" si="61"/>
        <v>121.67086719908123</v>
      </c>
      <c r="G70" s="71">
        <f t="shared" si="61"/>
        <v>124.50797900036801</v>
      </c>
      <c r="H70" s="71">
        <f t="shared" si="61"/>
        <v>127.41577013053886</v>
      </c>
      <c r="I70" s="71">
        <f t="shared" si="61"/>
        <v>130.39609482270538</v>
      </c>
      <c r="J70" s="71">
        <f t="shared" si="61"/>
        <v>132.38057360210362</v>
      </c>
      <c r="K70" s="71">
        <f t="shared" si="61"/>
        <v>134.39792327835056</v>
      </c>
      <c r="L70" s="71">
        <f t="shared" si="61"/>
        <v>136.44882883351363</v>
      </c>
      <c r="M70" s="71">
        <f t="shared" si="61"/>
        <v>138.53400236105341</v>
      </c>
      <c r="N70" s="71">
        <f t="shared" si="61"/>
        <v>140.65418518176276</v>
      </c>
      <c r="O70" s="71">
        <f t="shared" si="61"/>
        <v>141.63267172719023</v>
      </c>
      <c r="P70" s="71">
        <f t="shared" si="61"/>
        <v>142.6181917696737</v>
      </c>
      <c r="Q70" s="71">
        <f t="shared" si="61"/>
        <v>143.61102035337183</v>
      </c>
      <c r="R70" s="71">
        <f t="shared" si="61"/>
        <v>144.61146260249186</v>
      </c>
      <c r="S70" s="71">
        <f t="shared" si="61"/>
        <v>145.61985696846625</v>
      </c>
      <c r="T70" s="71">
        <f t="shared" si="61"/>
        <v>146.5701122695877</v>
      </c>
      <c r="U70" s="71">
        <f t="shared" si="61"/>
        <v>147.52785546108439</v>
      </c>
      <c r="V70" s="71">
        <f t="shared" si="61"/>
        <v>148.49353028097923</v>
      </c>
      <c r="W70" s="71">
        <f t="shared" si="61"/>
        <v>149.46763037751873</v>
      </c>
      <c r="X70" s="71">
        <f t="shared" si="61"/>
        <v>150.45070467465004</v>
      </c>
      <c r="Y70" s="71">
        <f t="shared" si="61"/>
        <v>150.77988651631756</v>
      </c>
      <c r="Z70" s="71">
        <f t="shared" si="61"/>
        <v>151.11227520544037</v>
      </c>
      <c r="AA70" s="71">
        <f t="shared" si="61"/>
        <v>151.44857473497296</v>
      </c>
      <c r="AB70" s="71">
        <f t="shared" si="61"/>
        <v>151.78957198866146</v>
      </c>
      <c r="AC70" s="71">
        <f t="shared" si="61"/>
        <v>152.13614560967855</v>
      </c>
      <c r="AD70" s="71">
        <f t="shared" si="61"/>
        <v>152.28039040577119</v>
      </c>
      <c r="AE70" s="71">
        <f t="shared" si="61"/>
        <v>152.43096421902331</v>
      </c>
      <c r="AF70" s="71">
        <f t="shared" si="61"/>
        <v>152.58907770129829</v>
      </c>
      <c r="AG70" s="71">
        <f t="shared" si="61"/>
        <v>152.75607911334276</v>
      </c>
      <c r="AH70" s="71">
        <f t="shared" si="61"/>
        <v>152.93346897087773</v>
      </c>
      <c r="AJ70" s="71">
        <f t="shared" ref="AJ70:BN70" si="62">AJ12+AJ69-AJ67-AJ68</f>
        <v>116.10918671199683</v>
      </c>
      <c r="AK70" s="71">
        <f t="shared" si="62"/>
        <v>118.90263464589736</v>
      </c>
      <c r="AL70" s="71">
        <f t="shared" si="62"/>
        <v>121.67086719908123</v>
      </c>
      <c r="AM70" s="71">
        <f t="shared" si="62"/>
        <v>124.50797900036801</v>
      </c>
      <c r="AN70" s="71">
        <f t="shared" si="62"/>
        <v>127.41577013053886</v>
      </c>
      <c r="AO70" s="71">
        <f t="shared" si="62"/>
        <v>130.39609482270538</v>
      </c>
      <c r="AP70" s="71">
        <f t="shared" si="62"/>
        <v>132.38057360210362</v>
      </c>
      <c r="AQ70" s="71">
        <f t="shared" si="62"/>
        <v>134.39792327835056</v>
      </c>
      <c r="AR70" s="71">
        <f t="shared" si="62"/>
        <v>136.44882883351363</v>
      </c>
      <c r="AS70" s="71">
        <f t="shared" si="62"/>
        <v>138.53400236105341</v>
      </c>
      <c r="AT70" s="71">
        <f t="shared" si="62"/>
        <v>140.65418518176276</v>
      </c>
      <c r="AU70" s="71">
        <f t="shared" si="62"/>
        <v>141.63267172719023</v>
      </c>
      <c r="AV70" s="71">
        <f t="shared" si="62"/>
        <v>142.6181917696737</v>
      </c>
      <c r="AW70" s="71">
        <f t="shared" si="62"/>
        <v>143.61102035337183</v>
      </c>
      <c r="AX70" s="71">
        <f t="shared" si="62"/>
        <v>144.61146260249186</v>
      </c>
      <c r="AY70" s="71">
        <f t="shared" si="62"/>
        <v>145.61985696846625</v>
      </c>
      <c r="AZ70" s="71">
        <f t="shared" si="62"/>
        <v>146.5701122695877</v>
      </c>
      <c r="BA70" s="71">
        <f t="shared" si="62"/>
        <v>147.52785546108439</v>
      </c>
      <c r="BB70" s="71">
        <f t="shared" si="62"/>
        <v>148.49353028097923</v>
      </c>
      <c r="BC70" s="71">
        <f t="shared" si="62"/>
        <v>149.46763037751873</v>
      </c>
      <c r="BD70" s="71">
        <f t="shared" si="62"/>
        <v>150.45070467465004</v>
      </c>
      <c r="BE70" s="71">
        <f t="shared" si="62"/>
        <v>150.77988651631756</v>
      </c>
      <c r="BF70" s="71">
        <f t="shared" si="62"/>
        <v>151.11227520544037</v>
      </c>
      <c r="BG70" s="71">
        <f t="shared" si="62"/>
        <v>151.44857473497296</v>
      </c>
      <c r="BH70" s="71">
        <f t="shared" si="62"/>
        <v>151.78957198866146</v>
      </c>
      <c r="BI70" s="71">
        <f t="shared" si="62"/>
        <v>152.13614560967855</v>
      </c>
      <c r="BJ70" s="71">
        <f t="shared" si="62"/>
        <v>152.28039040577119</v>
      </c>
      <c r="BK70" s="71">
        <f t="shared" si="62"/>
        <v>152.43096421902331</v>
      </c>
      <c r="BL70" s="71">
        <f t="shared" si="62"/>
        <v>152.58907770129829</v>
      </c>
      <c r="BM70" s="71">
        <f t="shared" si="62"/>
        <v>152.75607911334276</v>
      </c>
      <c r="BN70" s="71">
        <f t="shared" si="62"/>
        <v>152.93346897087773</v>
      </c>
    </row>
    <row r="71" spans="1:66" s="67" customFormat="1">
      <c r="A71" s="752"/>
      <c r="B71" s="58" t="s">
        <v>7</v>
      </c>
      <c r="C71" s="59" t="s">
        <v>153</v>
      </c>
      <c r="D71" s="60">
        <f>D24+D35+D42+D51+D58+D64</f>
        <v>41.944590154283404</v>
      </c>
      <c r="E71" s="60">
        <f t="shared" ref="E71:AH71" si="63">E24+E35+E42+E51+E58+E64</f>
        <v>43.436950119700171</v>
      </c>
      <c r="F71" s="60">
        <f t="shared" si="63"/>
        <v>44.924294038668179</v>
      </c>
      <c r="G71" s="60">
        <f t="shared" si="63"/>
        <v>46.452962552205037</v>
      </c>
      <c r="H71" s="60">
        <f t="shared" si="63"/>
        <v>48.024059424910462</v>
      </c>
      <c r="I71" s="60">
        <f t="shared" si="63"/>
        <v>49.638720652984766</v>
      </c>
      <c r="J71" s="60">
        <f t="shared" si="63"/>
        <v>50.628598571011274</v>
      </c>
      <c r="K71" s="60">
        <f t="shared" si="63"/>
        <v>51.637176483325106</v>
      </c>
      <c r="L71" s="60">
        <f t="shared" si="63"/>
        <v>52.664852893056135</v>
      </c>
      <c r="M71" s="60">
        <f t="shared" si="63"/>
        <v>53.712040788859291</v>
      </c>
      <c r="N71" s="60">
        <f t="shared" si="63"/>
        <v>54.779168702948745</v>
      </c>
      <c r="O71" s="60">
        <f t="shared" si="63"/>
        <v>55.290423185923999</v>
      </c>
      <c r="P71" s="60">
        <f t="shared" si="63"/>
        <v>55.807550181103508</v>
      </c>
      <c r="Q71" s="60">
        <f t="shared" si="63"/>
        <v>56.330734154667987</v>
      </c>
      <c r="R71" s="60">
        <f t="shared" si="63"/>
        <v>56.860175117529074</v>
      </c>
      <c r="S71" s="60">
        <f t="shared" si="63"/>
        <v>57.396090228673557</v>
      </c>
      <c r="T71" s="60">
        <f t="shared" si="63"/>
        <v>57.897137593324523</v>
      </c>
      <c r="U71" s="60">
        <f t="shared" si="63"/>
        <v>58.404366546399821</v>
      </c>
      <c r="V71" s="60">
        <f t="shared" si="63"/>
        <v>58.918045953460172</v>
      </c>
      <c r="W71" s="60">
        <f t="shared" si="63"/>
        <v>59.438469974670134</v>
      </c>
      <c r="X71" s="60">
        <f t="shared" si="63"/>
        <v>59.965960706978329</v>
      </c>
      <c r="Y71" s="60">
        <f t="shared" si="63"/>
        <v>59.96665902259695</v>
      </c>
      <c r="Z71" s="60">
        <f t="shared" si="63"/>
        <v>59.968139335540066</v>
      </c>
      <c r="AA71" s="60">
        <f t="shared" si="63"/>
        <v>59.970752820508586</v>
      </c>
      <c r="AB71" s="60">
        <f t="shared" si="63"/>
        <v>59.974891528647163</v>
      </c>
      <c r="AC71" s="60">
        <f t="shared" si="63"/>
        <v>59.980992739584238</v>
      </c>
      <c r="AD71" s="60">
        <f t="shared" si="63"/>
        <v>59.858876067900702</v>
      </c>
      <c r="AE71" s="60">
        <f t="shared" si="63"/>
        <v>59.738926066982572</v>
      </c>
      <c r="AF71" s="60">
        <f t="shared" si="63"/>
        <v>59.621742680508611</v>
      </c>
      <c r="AG71" s="60">
        <f t="shared" si="63"/>
        <v>59.507993571564633</v>
      </c>
      <c r="AH71" s="60">
        <f t="shared" si="63"/>
        <v>59.398421307131557</v>
      </c>
      <c r="AJ71" s="60">
        <f>AJ24+AJ35+AJ42+AJ51+AJ58+AJ64</f>
        <v>41.944590154283404</v>
      </c>
      <c r="AK71" s="60">
        <f t="shared" ref="AK71:BN71" si="64">AK24+AK35+AK42+AK51+AK58+AK64</f>
        <v>43.436950119700171</v>
      </c>
      <c r="AL71" s="60">
        <f t="shared" si="64"/>
        <v>44.924294038668179</v>
      </c>
      <c r="AM71" s="60">
        <f t="shared" si="64"/>
        <v>46.452962552205037</v>
      </c>
      <c r="AN71" s="60">
        <f t="shared" si="64"/>
        <v>48.024059424910462</v>
      </c>
      <c r="AO71" s="60">
        <f t="shared" si="64"/>
        <v>49.638720652984766</v>
      </c>
      <c r="AP71" s="60">
        <f t="shared" si="64"/>
        <v>50.628598571011274</v>
      </c>
      <c r="AQ71" s="60">
        <f t="shared" si="64"/>
        <v>51.637176483325106</v>
      </c>
      <c r="AR71" s="60">
        <f t="shared" si="64"/>
        <v>52.664852893056135</v>
      </c>
      <c r="AS71" s="60">
        <f t="shared" si="64"/>
        <v>53.712040788859291</v>
      </c>
      <c r="AT71" s="60">
        <f t="shared" si="64"/>
        <v>54.779168702948745</v>
      </c>
      <c r="AU71" s="60">
        <f t="shared" si="64"/>
        <v>55.290423185923999</v>
      </c>
      <c r="AV71" s="60">
        <f t="shared" si="64"/>
        <v>55.807550181103508</v>
      </c>
      <c r="AW71" s="60">
        <f t="shared" si="64"/>
        <v>56.330734154667987</v>
      </c>
      <c r="AX71" s="60">
        <f t="shared" si="64"/>
        <v>56.860175117529074</v>
      </c>
      <c r="AY71" s="60">
        <f t="shared" si="64"/>
        <v>57.396090228673557</v>
      </c>
      <c r="AZ71" s="60">
        <f t="shared" si="64"/>
        <v>57.897137593324523</v>
      </c>
      <c r="BA71" s="60">
        <f t="shared" si="64"/>
        <v>58.404366546399821</v>
      </c>
      <c r="BB71" s="60">
        <f t="shared" si="64"/>
        <v>58.918045953460172</v>
      </c>
      <c r="BC71" s="60">
        <f t="shared" si="64"/>
        <v>59.438469974670134</v>
      </c>
      <c r="BD71" s="60">
        <f t="shared" si="64"/>
        <v>59.965960706978329</v>
      </c>
      <c r="BE71" s="60">
        <f t="shared" si="64"/>
        <v>59.96665902259695</v>
      </c>
      <c r="BF71" s="60">
        <f t="shared" si="64"/>
        <v>59.968139335540066</v>
      </c>
      <c r="BG71" s="60">
        <f t="shared" si="64"/>
        <v>59.970752820508586</v>
      </c>
      <c r="BH71" s="60">
        <f t="shared" si="64"/>
        <v>59.974891528647163</v>
      </c>
      <c r="BI71" s="60">
        <f t="shared" si="64"/>
        <v>59.980992739584238</v>
      </c>
      <c r="BJ71" s="60">
        <f t="shared" si="64"/>
        <v>59.858876067900702</v>
      </c>
      <c r="BK71" s="60">
        <f t="shared" si="64"/>
        <v>59.738926066982572</v>
      </c>
      <c r="BL71" s="60">
        <f t="shared" si="64"/>
        <v>59.621742680508611</v>
      </c>
      <c r="BM71" s="60">
        <f t="shared" si="64"/>
        <v>59.507993571564633</v>
      </c>
      <c r="BN71" s="60">
        <f t="shared" si="64"/>
        <v>59.398421307131557</v>
      </c>
    </row>
    <row r="72" spans="1:66">
      <c r="A72" s="753"/>
      <c r="B72" s="1" t="s">
        <v>8</v>
      </c>
      <c r="C72" s="54" t="s">
        <v>153</v>
      </c>
      <c r="D72" s="44">
        <f>D25+D36+D43+D52+D59+D65+D11</f>
        <v>27.181969038530035</v>
      </c>
      <c r="E72" s="44">
        <f t="shared" ref="E72:AH72" si="65">E25+E36+E43+E52+E59+E65+E11</f>
        <v>27.865845110346878</v>
      </c>
      <c r="F72" s="44">
        <f t="shared" si="65"/>
        <v>28.568693126830727</v>
      </c>
      <c r="G72" s="44">
        <f t="shared" si="65"/>
        <v>29.291023795548039</v>
      </c>
      <c r="H72" s="44">
        <f t="shared" si="65"/>
        <v>30.033361062953912</v>
      </c>
      <c r="I72" s="44">
        <f t="shared" si="65"/>
        <v>30.796242448839209</v>
      </c>
      <c r="J72" s="44">
        <f t="shared" si="65"/>
        <v>31.211962526255114</v>
      </c>
      <c r="K72" s="44">
        <f t="shared" si="65"/>
        <v>31.634361884111595</v>
      </c>
      <c r="L72" s="44">
        <f t="shared" si="65"/>
        <v>32.063557568279819</v>
      </c>
      <c r="M72" s="44">
        <f t="shared" si="65"/>
        <v>32.499668722314034</v>
      </c>
      <c r="N72" s="44">
        <f t="shared" si="65"/>
        <v>32.942816624807612</v>
      </c>
      <c r="O72" s="44">
        <f t="shared" si="65"/>
        <v>32.817802469995428</v>
      </c>
      <c r="P72" s="44">
        <f t="shared" si="65"/>
        <v>32.686176032684557</v>
      </c>
      <c r="Q72" s="44">
        <f t="shared" si="65"/>
        <v>32.547808217187296</v>
      </c>
      <c r="R72" s="44">
        <f t="shared" si="65"/>
        <v>32.402567900384518</v>
      </c>
      <c r="S72" s="44">
        <f t="shared" si="65"/>
        <v>32.250321902870148</v>
      </c>
      <c r="T72" s="44">
        <f t="shared" si="65"/>
        <v>32.06806568236189</v>
      </c>
      <c r="U72" s="44">
        <f t="shared" si="65"/>
        <v>31.878099031821975</v>
      </c>
      <c r="V72" s="44">
        <f t="shared" si="65"/>
        <v>31.680276301499738</v>
      </c>
      <c r="W72" s="44">
        <f t="shared" si="65"/>
        <v>31.474449588828559</v>
      </c>
      <c r="X72" s="44">
        <f t="shared" si="65"/>
        <v>31.260468706666494</v>
      </c>
      <c r="Y72" s="44">
        <f t="shared" si="65"/>
        <v>30.936414592199238</v>
      </c>
      <c r="Z72" s="44">
        <f t="shared" si="65"/>
        <v>30.604243471983747</v>
      </c>
      <c r="AA72" s="44">
        <f t="shared" si="65"/>
        <v>30.26382682908023</v>
      </c>
      <c r="AB72" s="44">
        <f t="shared" si="65"/>
        <v>29.915034344697254</v>
      </c>
      <c r="AC72" s="44">
        <f t="shared" si="65"/>
        <v>29.557733874288619</v>
      </c>
      <c r="AD72" s="44">
        <f t="shared" si="65"/>
        <v>29.119919811940232</v>
      </c>
      <c r="AE72" s="44">
        <f t="shared" si="65"/>
        <v>28.672873666792739</v>
      </c>
      <c r="AF72" s="44">
        <f t="shared" si="65"/>
        <v>28.21645548642875</v>
      </c>
      <c r="AG72" s="44">
        <f t="shared" si="65"/>
        <v>27.750523384491661</v>
      </c>
      <c r="AH72" s="44">
        <f t="shared" si="65"/>
        <v>27.274933515170083</v>
      </c>
      <c r="AI72" s="54" t="s">
        <v>165</v>
      </c>
      <c r="AJ72" s="44">
        <f>AJ25+AJ36+AJ43+AJ52+AJ59+AJ65+AJ11</f>
        <v>27.181969038530035</v>
      </c>
      <c r="AK72" s="44">
        <f t="shared" ref="AK72:BN72" si="66">AK25+AK36+AK43+AK52+AK59+AK65+AK11</f>
        <v>27.865845110346878</v>
      </c>
      <c r="AL72" s="44">
        <f t="shared" si="66"/>
        <v>28.568693126830727</v>
      </c>
      <c r="AM72" s="44">
        <f t="shared" si="66"/>
        <v>29.291023795548039</v>
      </c>
      <c r="AN72" s="44">
        <f t="shared" si="66"/>
        <v>30.033361062953912</v>
      </c>
      <c r="AO72" s="44">
        <f t="shared" si="66"/>
        <v>30.796242448839209</v>
      </c>
      <c r="AP72" s="44">
        <f t="shared" si="66"/>
        <v>31.211962526255114</v>
      </c>
      <c r="AQ72" s="44">
        <f t="shared" si="66"/>
        <v>31.634361884111595</v>
      </c>
      <c r="AR72" s="44">
        <f t="shared" si="66"/>
        <v>32.063557568279819</v>
      </c>
      <c r="AS72" s="44">
        <f t="shared" si="66"/>
        <v>32.499668722314034</v>
      </c>
      <c r="AT72" s="44">
        <f t="shared" si="66"/>
        <v>32.942816624807612</v>
      </c>
      <c r="AU72" s="44">
        <f t="shared" si="66"/>
        <v>32.817802469995428</v>
      </c>
      <c r="AV72" s="44">
        <f t="shared" si="66"/>
        <v>32.686176032684557</v>
      </c>
      <c r="AW72" s="44">
        <f t="shared" si="66"/>
        <v>32.547808217187296</v>
      </c>
      <c r="AX72" s="44">
        <f t="shared" si="66"/>
        <v>32.402567900384518</v>
      </c>
      <c r="AY72" s="44">
        <f t="shared" si="66"/>
        <v>32.250321902870148</v>
      </c>
      <c r="AZ72" s="44">
        <f t="shared" si="66"/>
        <v>32.06806568236189</v>
      </c>
      <c r="BA72" s="44">
        <f t="shared" si="66"/>
        <v>31.878099031821975</v>
      </c>
      <c r="BB72" s="44">
        <f t="shared" si="66"/>
        <v>31.680276301499738</v>
      </c>
      <c r="BC72" s="44">
        <f t="shared" si="66"/>
        <v>31.474449588828559</v>
      </c>
      <c r="BD72" s="44">
        <f t="shared" si="66"/>
        <v>31.260468706666494</v>
      </c>
      <c r="BE72" s="44">
        <f t="shared" si="66"/>
        <v>30.936414592199238</v>
      </c>
      <c r="BF72" s="44">
        <f t="shared" si="66"/>
        <v>30.604243471983747</v>
      </c>
      <c r="BG72" s="44">
        <f t="shared" si="66"/>
        <v>30.26382682908023</v>
      </c>
      <c r="BH72" s="44">
        <f t="shared" si="66"/>
        <v>29.915034344697254</v>
      </c>
      <c r="BI72" s="44">
        <f t="shared" si="66"/>
        <v>29.557733874288619</v>
      </c>
      <c r="BJ72" s="44">
        <f t="shared" si="66"/>
        <v>29.119919811940232</v>
      </c>
      <c r="BK72" s="44">
        <f t="shared" si="66"/>
        <v>28.672873666792739</v>
      </c>
      <c r="BL72" s="44">
        <f t="shared" si="66"/>
        <v>28.21645548642875</v>
      </c>
      <c r="BM72" s="44">
        <f t="shared" si="66"/>
        <v>27.750523384491661</v>
      </c>
      <c r="BN72" s="44">
        <f t="shared" si="66"/>
        <v>27.274933515170083</v>
      </c>
    </row>
    <row r="73" spans="1:66" s="68" customFormat="1">
      <c r="A73" s="754"/>
      <c r="B73" s="62" t="s">
        <v>166</v>
      </c>
      <c r="C73" s="283" t="s">
        <v>153</v>
      </c>
      <c r="D73" s="284">
        <f t="shared" ref="D73" si="67">D26+D37+D44+D53+D60+D66</f>
        <v>46.982627519183382</v>
      </c>
      <c r="E73" s="284">
        <f t="shared" ref="E73:AH73" si="68">E26+E37+E44+E53+E60+E66</f>
        <v>47.599839415850298</v>
      </c>
      <c r="F73" s="284">
        <f t="shared" si="68"/>
        <v>48.177880033582312</v>
      </c>
      <c r="G73" s="284">
        <f t="shared" si="68"/>
        <v>48.76399265261491</v>
      </c>
      <c r="H73" s="284">
        <f t="shared" si="68"/>
        <v>49.358349642674483</v>
      </c>
      <c r="I73" s="284">
        <f t="shared" si="68"/>
        <v>49.961131720881411</v>
      </c>
      <c r="J73" s="284">
        <f t="shared" si="68"/>
        <v>50.5400125048372</v>
      </c>
      <c r="K73" s="284">
        <f t="shared" si="68"/>
        <v>51.12638491091387</v>
      </c>
      <c r="L73" s="284">
        <f t="shared" si="68"/>
        <v>51.720418372177662</v>
      </c>
      <c r="M73" s="284">
        <f t="shared" si="68"/>
        <v>52.322292849880071</v>
      </c>
      <c r="N73" s="284">
        <f t="shared" si="68"/>
        <v>52.932199854006399</v>
      </c>
      <c r="O73" s="284">
        <f t="shared" si="68"/>
        <v>53.524446071270823</v>
      </c>
      <c r="P73" s="284">
        <f t="shared" si="68"/>
        <v>54.124465555885628</v>
      </c>
      <c r="Q73" s="284">
        <f t="shared" si="68"/>
        <v>54.732477981516553</v>
      </c>
      <c r="R73" s="284">
        <f t="shared" si="68"/>
        <v>55.348719584578262</v>
      </c>
      <c r="S73" s="284">
        <f t="shared" si="68"/>
        <v>55.973444836922525</v>
      </c>
      <c r="T73" s="284">
        <f t="shared" si="68"/>
        <v>56.604908993901262</v>
      </c>
      <c r="U73" s="284">
        <f t="shared" si="68"/>
        <v>57.245389882862582</v>
      </c>
      <c r="V73" s="284">
        <f t="shared" si="68"/>
        <v>57.895208026019311</v>
      </c>
      <c r="W73" s="284">
        <f t="shared" si="68"/>
        <v>58.554710814020019</v>
      </c>
      <c r="X73" s="284">
        <f t="shared" si="68"/>
        <v>59.224275261005225</v>
      </c>
      <c r="Y73" s="284">
        <f t="shared" si="68"/>
        <v>59.876812901521397</v>
      </c>
      <c r="Z73" s="284">
        <f t="shared" si="68"/>
        <v>60.539892397916532</v>
      </c>
      <c r="AA73" s="284">
        <f t="shared" si="68"/>
        <v>61.213995085384155</v>
      </c>
      <c r="AB73" s="284">
        <f t="shared" si="68"/>
        <v>61.899646115317047</v>
      </c>
      <c r="AC73" s="284">
        <f t="shared" si="68"/>
        <v>62.597418995805675</v>
      </c>
      <c r="AD73" s="284">
        <f t="shared" si="68"/>
        <v>63.301594525930277</v>
      </c>
      <c r="AE73" s="284">
        <f t="shared" si="68"/>
        <v>64.019164485248012</v>
      </c>
      <c r="AF73" s="284">
        <f t="shared" si="68"/>
        <v>64.750879534360948</v>
      </c>
      <c r="AG73" s="284">
        <f t="shared" si="68"/>
        <v>65.497562157286453</v>
      </c>
      <c r="AH73" s="284">
        <f t="shared" si="68"/>
        <v>66.260114148576079</v>
      </c>
      <c r="AJ73" s="284">
        <f t="shared" ref="AJ73:BN73" si="69">AJ26+AJ37+AJ44+AJ53+AJ60+AJ66</f>
        <v>46.982627519183382</v>
      </c>
      <c r="AK73" s="284">
        <f t="shared" si="69"/>
        <v>47.599839415850298</v>
      </c>
      <c r="AL73" s="284">
        <f t="shared" si="69"/>
        <v>48.177880033582312</v>
      </c>
      <c r="AM73" s="284">
        <f t="shared" si="69"/>
        <v>48.76399265261491</v>
      </c>
      <c r="AN73" s="284">
        <f t="shared" si="69"/>
        <v>49.358349642674483</v>
      </c>
      <c r="AO73" s="284">
        <f t="shared" si="69"/>
        <v>49.961131720881411</v>
      </c>
      <c r="AP73" s="284">
        <f t="shared" si="69"/>
        <v>50.5400125048372</v>
      </c>
      <c r="AQ73" s="284">
        <f t="shared" si="69"/>
        <v>51.12638491091387</v>
      </c>
      <c r="AR73" s="284">
        <f t="shared" si="69"/>
        <v>51.720418372177662</v>
      </c>
      <c r="AS73" s="284">
        <f t="shared" si="69"/>
        <v>52.322292849880071</v>
      </c>
      <c r="AT73" s="284">
        <f t="shared" si="69"/>
        <v>52.932199854006399</v>
      </c>
      <c r="AU73" s="284">
        <f t="shared" si="69"/>
        <v>53.524446071270823</v>
      </c>
      <c r="AV73" s="284">
        <f t="shared" si="69"/>
        <v>54.124465555885628</v>
      </c>
      <c r="AW73" s="284">
        <f t="shared" si="69"/>
        <v>54.732477981516553</v>
      </c>
      <c r="AX73" s="284">
        <f t="shared" si="69"/>
        <v>55.348719584578262</v>
      </c>
      <c r="AY73" s="284">
        <f t="shared" si="69"/>
        <v>55.973444836922525</v>
      </c>
      <c r="AZ73" s="284">
        <f t="shared" si="69"/>
        <v>56.604908993901262</v>
      </c>
      <c r="BA73" s="284">
        <f t="shared" si="69"/>
        <v>57.245389882862582</v>
      </c>
      <c r="BB73" s="284">
        <f t="shared" si="69"/>
        <v>57.895208026019311</v>
      </c>
      <c r="BC73" s="284">
        <f t="shared" si="69"/>
        <v>58.554710814020019</v>
      </c>
      <c r="BD73" s="284">
        <f t="shared" si="69"/>
        <v>59.224275261005225</v>
      </c>
      <c r="BE73" s="284">
        <f t="shared" si="69"/>
        <v>59.876812901521397</v>
      </c>
      <c r="BF73" s="284">
        <f t="shared" si="69"/>
        <v>60.539892397916532</v>
      </c>
      <c r="BG73" s="284">
        <f t="shared" si="69"/>
        <v>61.213995085384155</v>
      </c>
      <c r="BH73" s="284">
        <f t="shared" si="69"/>
        <v>61.899646115317047</v>
      </c>
      <c r="BI73" s="284">
        <f t="shared" si="69"/>
        <v>62.597418995805675</v>
      </c>
      <c r="BJ73" s="284">
        <f t="shared" si="69"/>
        <v>63.301594525930277</v>
      </c>
      <c r="BK73" s="284">
        <f t="shared" si="69"/>
        <v>64.019164485248012</v>
      </c>
      <c r="BL73" s="284">
        <f t="shared" si="69"/>
        <v>64.750879534360948</v>
      </c>
      <c r="BM73" s="284">
        <f t="shared" si="69"/>
        <v>65.497562157286453</v>
      </c>
      <c r="BN73" s="284">
        <f t="shared" si="69"/>
        <v>66.260114148576079</v>
      </c>
    </row>
    <row r="74" spans="1:66">
      <c r="A74" s="512"/>
      <c r="C74" s="5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row>
    <row r="75" spans="1:66" outlineLevel="1">
      <c r="A75" s="58" t="s">
        <v>216</v>
      </c>
      <c r="B75" s="58" t="s">
        <v>197</v>
      </c>
      <c r="C75" s="100" t="s">
        <v>153</v>
      </c>
      <c r="D75" s="101">
        <f t="shared" ref="D75:AH75" si="70">D34</f>
        <v>45.090956546267236</v>
      </c>
      <c r="E75" s="101">
        <f t="shared" si="70"/>
        <v>45.58695706827617</v>
      </c>
      <c r="F75" s="101">
        <f t="shared" si="70"/>
        <v>46.088413596027202</v>
      </c>
      <c r="G75" s="101">
        <f t="shared" si="70"/>
        <v>46.595386145583497</v>
      </c>
      <c r="H75" s="101">
        <f t="shared" si="70"/>
        <v>47.10793539318491</v>
      </c>
      <c r="I75" s="101">
        <f t="shared" si="70"/>
        <v>47.626122682509937</v>
      </c>
      <c r="J75" s="101">
        <f t="shared" si="70"/>
        <v>48.150010032017541</v>
      </c>
      <c r="K75" s="101">
        <f t="shared" si="70"/>
        <v>48.679660142369727</v>
      </c>
      <c r="L75" s="101">
        <f t="shared" si="70"/>
        <v>49.215136403935787</v>
      </c>
      <c r="M75" s="101">
        <f t="shared" si="70"/>
        <v>49.756502904379076</v>
      </c>
      <c r="N75" s="101">
        <f t="shared" si="70"/>
        <v>50.30382443632724</v>
      </c>
      <c r="O75" s="101">
        <f t="shared" si="70"/>
        <v>50.857166505126834</v>
      </c>
      <c r="P75" s="101">
        <f t="shared" si="70"/>
        <v>51.416595336683223</v>
      </c>
      <c r="Q75" s="101">
        <f t="shared" si="70"/>
        <v>51.982177885386733</v>
      </c>
      <c r="R75" s="101">
        <f t="shared" si="70"/>
        <v>52.553981842125985</v>
      </c>
      <c r="S75" s="101">
        <f t="shared" si="70"/>
        <v>53.132075642389367</v>
      </c>
      <c r="T75" s="101">
        <f t="shared" si="70"/>
        <v>53.716528474455643</v>
      </c>
      <c r="U75" s="101">
        <f t="shared" si="70"/>
        <v>54.307410287674649</v>
      </c>
      <c r="V75" s="101">
        <f t="shared" si="70"/>
        <v>54.904791800839064</v>
      </c>
      <c r="W75" s="101">
        <f t="shared" si="70"/>
        <v>55.508744510648285</v>
      </c>
      <c r="X75" s="101">
        <f t="shared" si="70"/>
        <v>56.119340700265411</v>
      </c>
      <c r="Y75" s="101">
        <f t="shared" si="70"/>
        <v>56.736653447968322</v>
      </c>
      <c r="Z75" s="101">
        <f t="shared" si="70"/>
        <v>57.360756635895967</v>
      </c>
      <c r="AA75" s="101">
        <f t="shared" si="70"/>
        <v>57.991724958890821</v>
      </c>
      <c r="AB75" s="101">
        <f t="shared" si="70"/>
        <v>58.629633933438612</v>
      </c>
      <c r="AC75" s="101">
        <f t="shared" si="70"/>
        <v>59.274559906706429</v>
      </c>
      <c r="AD75" s="101">
        <f t="shared" si="70"/>
        <v>59.926580065680191</v>
      </c>
      <c r="AE75" s="101">
        <f t="shared" si="70"/>
        <v>60.585772446402665</v>
      </c>
      <c r="AF75" s="101">
        <f t="shared" si="70"/>
        <v>61.252215943313089</v>
      </c>
      <c r="AG75" s="101">
        <f t="shared" si="70"/>
        <v>61.925990318689529</v>
      </c>
      <c r="AH75" s="101">
        <f t="shared" si="70"/>
        <v>62.607176212195107</v>
      </c>
      <c r="AJ75" s="101">
        <f t="shared" ref="AJ75:BN75" si="71">AJ34</f>
        <v>45.090956546267236</v>
      </c>
      <c r="AK75" s="101">
        <f t="shared" si="71"/>
        <v>45.58695706827617</v>
      </c>
      <c r="AL75" s="101">
        <f t="shared" si="71"/>
        <v>46.088413596027202</v>
      </c>
      <c r="AM75" s="101">
        <f t="shared" si="71"/>
        <v>46.595386145583497</v>
      </c>
      <c r="AN75" s="101">
        <f t="shared" si="71"/>
        <v>47.10793539318491</v>
      </c>
      <c r="AO75" s="101">
        <f t="shared" si="71"/>
        <v>47.626122682509937</v>
      </c>
      <c r="AP75" s="101">
        <f t="shared" si="71"/>
        <v>48.150010032017541</v>
      </c>
      <c r="AQ75" s="101">
        <f t="shared" si="71"/>
        <v>48.679660142369727</v>
      </c>
      <c r="AR75" s="101">
        <f t="shared" si="71"/>
        <v>49.215136403935787</v>
      </c>
      <c r="AS75" s="101">
        <f t="shared" si="71"/>
        <v>49.756502904379076</v>
      </c>
      <c r="AT75" s="101">
        <f t="shared" si="71"/>
        <v>50.30382443632724</v>
      </c>
      <c r="AU75" s="101">
        <f t="shared" si="71"/>
        <v>50.857166505126834</v>
      </c>
      <c r="AV75" s="101">
        <f t="shared" si="71"/>
        <v>51.416595336683223</v>
      </c>
      <c r="AW75" s="101">
        <f t="shared" si="71"/>
        <v>51.982177885386733</v>
      </c>
      <c r="AX75" s="101">
        <f t="shared" si="71"/>
        <v>52.553981842125985</v>
      </c>
      <c r="AY75" s="101">
        <f t="shared" si="71"/>
        <v>53.132075642389367</v>
      </c>
      <c r="AZ75" s="101">
        <f t="shared" si="71"/>
        <v>53.716528474455643</v>
      </c>
      <c r="BA75" s="101">
        <f t="shared" si="71"/>
        <v>54.307410287674649</v>
      </c>
      <c r="BB75" s="101">
        <f t="shared" si="71"/>
        <v>54.904791800839064</v>
      </c>
      <c r="BC75" s="101">
        <f t="shared" si="71"/>
        <v>55.508744510648285</v>
      </c>
      <c r="BD75" s="101">
        <f t="shared" si="71"/>
        <v>56.119340700265411</v>
      </c>
      <c r="BE75" s="101">
        <f t="shared" si="71"/>
        <v>56.736653447968322</v>
      </c>
      <c r="BF75" s="101">
        <f t="shared" si="71"/>
        <v>57.360756635895967</v>
      </c>
      <c r="BG75" s="101">
        <f t="shared" si="71"/>
        <v>57.991724958890821</v>
      </c>
      <c r="BH75" s="101">
        <f t="shared" si="71"/>
        <v>58.629633933438612</v>
      </c>
      <c r="BI75" s="101">
        <f t="shared" si="71"/>
        <v>59.274559906706429</v>
      </c>
      <c r="BJ75" s="101">
        <f t="shared" si="71"/>
        <v>59.926580065680191</v>
      </c>
      <c r="BK75" s="101">
        <f t="shared" si="71"/>
        <v>60.585772446402665</v>
      </c>
      <c r="BL75" s="101">
        <f t="shared" si="71"/>
        <v>61.252215943313089</v>
      </c>
      <c r="BM75" s="101">
        <f t="shared" si="71"/>
        <v>61.925990318689529</v>
      </c>
      <c r="BN75" s="101">
        <f t="shared" si="71"/>
        <v>62.607176212195107</v>
      </c>
    </row>
    <row r="76" spans="1:66" outlineLevel="1">
      <c r="A76"/>
      <c r="B76" t="s">
        <v>217</v>
      </c>
      <c r="C76" s="54" t="s">
        <v>153</v>
      </c>
      <c r="D76" s="44">
        <f>'BTX Recycling HC'!C77</f>
        <v>0</v>
      </c>
      <c r="E76" s="44">
        <f>'BTX Recycling HC'!D77</f>
        <v>0.17529900581089697</v>
      </c>
      <c r="F76" s="44">
        <f>'BTX Recycling HC'!E77</f>
        <v>0.35446220325416222</v>
      </c>
      <c r="G76" s="44">
        <f>'BTX Recycling HC'!F77</f>
        <v>0.53642662367519955</v>
      </c>
      <c r="H76" s="44">
        <f>'BTX Recycling HC'!G77</f>
        <v>0.72005486335455959</v>
      </c>
      <c r="I76" s="44">
        <f>'BTX Recycling HC'!H77</f>
        <v>0.90414660634899935</v>
      </c>
      <c r="J76" s="44">
        <f>'BTX Recycling HC'!I77</f>
        <v>1.0935173693966376</v>
      </c>
      <c r="K76" s="44">
        <f>'BTX Recycling HC'!J77</f>
        <v>1.2880885481564222</v>
      </c>
      <c r="L76" s="44">
        <f>'BTX Recycling HC'!K77</f>
        <v>1.4877696178540032</v>
      </c>
      <c r="M76" s="44">
        <f>'BTX Recycling HC'!L77</f>
        <v>1.6924580033293051</v>
      </c>
      <c r="N76" s="44">
        <f>'BTX Recycling HC'!M77</f>
        <v>1.9020389794963721</v>
      </c>
      <c r="O76" s="44">
        <f>'BTX Recycling HC'!N77</f>
        <v>2.2461893309760508</v>
      </c>
      <c r="P76" s="44">
        <f>'BTX Recycling HC'!O77</f>
        <v>2.5924654881756148</v>
      </c>
      <c r="Q76" s="44">
        <f>'BTX Recycling HC'!P77</f>
        <v>2.9390694557461656</v>
      </c>
      <c r="R76" s="44">
        <f>'BTX Recycling HC'!Q77</f>
        <v>3.2841502014749149</v>
      </c>
      <c r="S76" s="44">
        <f>'BTX Recycling HC'!R77</f>
        <v>3.6258197432826287</v>
      </c>
      <c r="T76" s="44">
        <f>'BTX Recycling HC'!S77</f>
        <v>3.9724148768828411</v>
      </c>
      <c r="U76" s="44">
        <f>'BTX Recycling HC'!T77</f>
        <v>4.3238860328674615</v>
      </c>
      <c r="V76" s="44">
        <f>'BTX Recycling HC'!U77</f>
        <v>4.6801807251216605</v>
      </c>
      <c r="W76" s="44">
        <f>'BTX Recycling HC'!V77</f>
        <v>5.0412435447166182</v>
      </c>
      <c r="X76" s="44">
        <f>'BTX Recycling HC'!W77</f>
        <v>5.4070161557859056</v>
      </c>
      <c r="Y76" s="44">
        <f>'BTX Recycling HC'!X77</f>
        <v>6.0193659800407406</v>
      </c>
      <c r="Z76" s="44">
        <f>'BTX Recycling HC'!Y77</f>
        <v>6.6402310250360159</v>
      </c>
      <c r="AA76" s="44">
        <f>'BTX Recycling HC'!Z77</f>
        <v>7.2695264606790992</v>
      </c>
      <c r="AB76" s="44">
        <f>'BTX Recycling HC'!AA77</f>
        <v>7.9071628734554515</v>
      </c>
      <c r="AC76" s="44">
        <f>'BTX Recycling HC'!AB77</f>
        <v>8.5530462608627893</v>
      </c>
      <c r="AD76" s="44">
        <f>'BTX Recycling HC'!AC77</f>
        <v>9.2071813749205145</v>
      </c>
      <c r="AE76" s="44">
        <f>'BTX Recycling HC'!AD77</f>
        <v>9.8694839563815364</v>
      </c>
      <c r="AF76" s="44">
        <f>'BTX Recycling HC'!AE77</f>
        <v>10.539865645385575</v>
      </c>
      <c r="AG76" s="44">
        <f>'BTX Recycling HC'!AF77</f>
        <v>11.218233978847323</v>
      </c>
      <c r="AH76" s="44">
        <f>'BTX Recycling HC'!AG77</f>
        <v>11.904492390195134</v>
      </c>
      <c r="AJ76" s="44">
        <f>D76</f>
        <v>0</v>
      </c>
      <c r="AK76" s="44">
        <f t="shared" ref="AK76:AZ77" si="72">E76</f>
        <v>0.17529900581089697</v>
      </c>
      <c r="AL76" s="44">
        <f t="shared" si="72"/>
        <v>0.35446220325416222</v>
      </c>
      <c r="AM76" s="44">
        <f t="shared" si="72"/>
        <v>0.53642662367519955</v>
      </c>
      <c r="AN76" s="44">
        <f t="shared" si="72"/>
        <v>0.72005486335455959</v>
      </c>
      <c r="AO76" s="44">
        <f t="shared" si="72"/>
        <v>0.90414660634899935</v>
      </c>
      <c r="AP76" s="44">
        <f t="shared" si="72"/>
        <v>1.0935173693966376</v>
      </c>
      <c r="AQ76" s="44">
        <f t="shared" si="72"/>
        <v>1.2880885481564222</v>
      </c>
      <c r="AR76" s="44">
        <f t="shared" si="72"/>
        <v>1.4877696178540032</v>
      </c>
      <c r="AS76" s="44">
        <f t="shared" si="72"/>
        <v>1.6924580033293051</v>
      </c>
      <c r="AT76" s="44">
        <f t="shared" si="72"/>
        <v>1.9020389794963721</v>
      </c>
      <c r="AU76" s="44">
        <f t="shared" si="72"/>
        <v>2.2461893309760508</v>
      </c>
      <c r="AV76" s="44">
        <f t="shared" si="72"/>
        <v>2.5924654881756148</v>
      </c>
      <c r="AW76" s="44">
        <f t="shared" si="72"/>
        <v>2.9390694557461656</v>
      </c>
      <c r="AX76" s="44">
        <f t="shared" si="72"/>
        <v>3.2841502014749149</v>
      </c>
      <c r="AY76" s="44">
        <f t="shared" si="72"/>
        <v>3.6258197432826287</v>
      </c>
      <c r="AZ76" s="44">
        <f t="shared" si="72"/>
        <v>3.9724148768828411</v>
      </c>
      <c r="BA76" s="44">
        <f t="shared" ref="BA76:BN77" si="73">U76</f>
        <v>4.3238860328674615</v>
      </c>
      <c r="BB76" s="44">
        <f t="shared" si="73"/>
        <v>4.6801807251216605</v>
      </c>
      <c r="BC76" s="44">
        <f t="shared" si="73"/>
        <v>5.0412435447166182</v>
      </c>
      <c r="BD76" s="44">
        <f t="shared" si="73"/>
        <v>5.4070161557859056</v>
      </c>
      <c r="BE76" s="44">
        <f t="shared" si="73"/>
        <v>6.0193659800407406</v>
      </c>
      <c r="BF76" s="44">
        <f t="shared" si="73"/>
        <v>6.6402310250360159</v>
      </c>
      <c r="BG76" s="44">
        <f t="shared" si="73"/>
        <v>7.2695264606790992</v>
      </c>
      <c r="BH76" s="44">
        <f t="shared" si="73"/>
        <v>7.9071628734554515</v>
      </c>
      <c r="BI76" s="44">
        <f t="shared" si="73"/>
        <v>8.5530462608627893</v>
      </c>
      <c r="BJ76" s="44">
        <f t="shared" si="73"/>
        <v>9.2071813749205145</v>
      </c>
      <c r="BK76" s="44">
        <f t="shared" si="73"/>
        <v>9.8694839563815364</v>
      </c>
      <c r="BL76" s="44">
        <f t="shared" si="73"/>
        <v>10.539865645385575</v>
      </c>
      <c r="BM76" s="44">
        <f t="shared" si="73"/>
        <v>11.218233978847323</v>
      </c>
      <c r="BN76" s="44">
        <f t="shared" si="73"/>
        <v>11.904492390195134</v>
      </c>
    </row>
    <row r="77" spans="1:66" outlineLevel="1">
      <c r="A77"/>
      <c r="B77" s="181" t="s">
        <v>218</v>
      </c>
      <c r="C77" s="54" t="s">
        <v>153</v>
      </c>
      <c r="D77" s="44">
        <f>'BTX Recycling HC'!C172</f>
        <v>0</v>
      </c>
      <c r="E77" s="44">
        <f>'BTX Recycling HC'!D172</f>
        <v>1.4132867079701891E-3</v>
      </c>
      <c r="F77" s="44">
        <f>'BTX Recycling HC'!E172</f>
        <v>2.8539551704593802E-3</v>
      </c>
      <c r="G77" s="44">
        <f>'BTX Recycling HC'!F172</f>
        <v>4.3076370593622794E-3</v>
      </c>
      <c r="H77" s="44">
        <f>'BTX Recycling HC'!G172</f>
        <v>5.7591722715901487E-3</v>
      </c>
      <c r="I77" s="44">
        <f>'BTX Recycling HC'!H172</f>
        <v>7.1928277656026817E-3</v>
      </c>
      <c r="J77" s="44">
        <f>'BTX Recycling HC'!I172</f>
        <v>8.6221324116223137E-3</v>
      </c>
      <c r="K77" s="44">
        <f>'BTX Recycling HC'!J172</f>
        <v>1.003984525288195E-2</v>
      </c>
      <c r="L77" s="44">
        <f>'BTX Recycling HC'!K172</f>
        <v>1.1438338270231867E-2</v>
      </c>
      <c r="M77" s="44">
        <f>'BTX Recycling HC'!L172</f>
        <v>1.2809606423530247E-2</v>
      </c>
      <c r="N77" s="44">
        <f>'BTX Recycling HC'!M172</f>
        <v>1.4145279677018403E-2</v>
      </c>
      <c r="O77" s="44">
        <f>'BTX Recycling HC'!N172</f>
        <v>1.6923860193083333E-2</v>
      </c>
      <c r="P77" s="44">
        <f>'BTX Recycling HC'!O172</f>
        <v>1.9587348346535013E-2</v>
      </c>
      <c r="Q77" s="44">
        <f>'BTX Recycling HC'!P172</f>
        <v>2.2161113161325494E-2</v>
      </c>
      <c r="R77" s="44">
        <f>'BTX Recycling HC'!Q172</f>
        <v>2.4571624918470474E-2</v>
      </c>
      <c r="S77" s="44">
        <f>'BTX Recycling HC'!R172</f>
        <v>2.6790263334282024E-2</v>
      </c>
      <c r="T77" s="44">
        <f>'BTX Recycling HC'!S172</f>
        <v>2.8850718817980948E-2</v>
      </c>
      <c r="U77" s="44">
        <f>'BTX Recycling HC'!T172</f>
        <v>3.0737142635528594E-2</v>
      </c>
      <c r="V77" s="44">
        <f>'BTX Recycling HC'!U172</f>
        <v>3.243320415369657E-2</v>
      </c>
      <c r="W77" s="44">
        <f>'BTX Recycling HC'!V172</f>
        <v>3.3922092213089845E-2</v>
      </c>
      <c r="X77" s="44">
        <f>'BTX Recycling HC'!W172</f>
        <v>3.5186517052958666E-2</v>
      </c>
      <c r="Y77" s="44">
        <f>'BTX Recycling HC'!X172</f>
        <v>3.7786551862118579E-2</v>
      </c>
      <c r="Z77" s="44">
        <f>'BTX Recycling HC'!Y172</f>
        <v>4.0012444167266195E-2</v>
      </c>
      <c r="AA77" s="44">
        <f>'BTX Recycling HC'!Z172</f>
        <v>4.1972121618737104E-2</v>
      </c>
      <c r="AB77" s="44">
        <f>'BTX Recycling HC'!AA172</f>
        <v>4.3504590110014452E-2</v>
      </c>
      <c r="AC77" s="44">
        <f>'BTX Recycling HC'!AB172</f>
        <v>4.4574168581543734E-2</v>
      </c>
      <c r="AD77" s="44">
        <f>'BTX Recycling HC'!AC172</f>
        <v>4.5144498921920496E-2</v>
      </c>
      <c r="AE77" s="44">
        <f>'BTX Recycling HC'!AD172</f>
        <v>4.5177593835937883E-2</v>
      </c>
      <c r="AF77" s="44">
        <f>'BTX Recycling HC'!AE172</f>
        <v>4.4634275757044511E-2</v>
      </c>
      <c r="AG77" s="44">
        <f>'BTX Recycling HC'!AF172</f>
        <v>4.3474172024548237E-2</v>
      </c>
      <c r="AH77" s="44">
        <f>'BTX Recycling HC'!AG172</f>
        <v>4.1655711040334671E-2</v>
      </c>
      <c r="AJ77" s="44">
        <f>D77</f>
        <v>0</v>
      </c>
      <c r="AK77" s="44">
        <f t="shared" si="72"/>
        <v>1.4132867079701891E-3</v>
      </c>
      <c r="AL77" s="44">
        <f t="shared" si="72"/>
        <v>2.8539551704593802E-3</v>
      </c>
      <c r="AM77" s="44">
        <f t="shared" si="72"/>
        <v>4.3076370593622794E-3</v>
      </c>
      <c r="AN77" s="44">
        <f t="shared" si="72"/>
        <v>5.7591722715901487E-3</v>
      </c>
      <c r="AO77" s="44">
        <f t="shared" si="72"/>
        <v>7.1928277656026817E-3</v>
      </c>
      <c r="AP77" s="44">
        <f t="shared" si="72"/>
        <v>8.6221324116223137E-3</v>
      </c>
      <c r="AQ77" s="44">
        <f t="shared" si="72"/>
        <v>1.003984525288195E-2</v>
      </c>
      <c r="AR77" s="44">
        <f t="shared" si="72"/>
        <v>1.1438338270231867E-2</v>
      </c>
      <c r="AS77" s="44">
        <f t="shared" si="72"/>
        <v>1.2809606423530247E-2</v>
      </c>
      <c r="AT77" s="44">
        <f t="shared" si="72"/>
        <v>1.4145279677018403E-2</v>
      </c>
      <c r="AU77" s="44">
        <f t="shared" si="72"/>
        <v>1.6923860193083333E-2</v>
      </c>
      <c r="AV77" s="44">
        <f t="shared" si="72"/>
        <v>1.9587348346535013E-2</v>
      </c>
      <c r="AW77" s="44">
        <f t="shared" si="72"/>
        <v>2.2161113161325494E-2</v>
      </c>
      <c r="AX77" s="44">
        <f t="shared" si="72"/>
        <v>2.4571624918470474E-2</v>
      </c>
      <c r="AY77" s="44">
        <f t="shared" si="72"/>
        <v>2.6790263334282024E-2</v>
      </c>
      <c r="AZ77" s="44">
        <f t="shared" si="72"/>
        <v>2.8850718817980948E-2</v>
      </c>
      <c r="BA77" s="44">
        <f t="shared" si="73"/>
        <v>3.0737142635528594E-2</v>
      </c>
      <c r="BB77" s="44">
        <f t="shared" si="73"/>
        <v>3.243320415369657E-2</v>
      </c>
      <c r="BC77" s="44">
        <f t="shared" si="73"/>
        <v>3.3922092213089845E-2</v>
      </c>
      <c r="BD77" s="44">
        <f t="shared" si="73"/>
        <v>3.5186517052958666E-2</v>
      </c>
      <c r="BE77" s="44">
        <f t="shared" si="73"/>
        <v>3.7786551862118579E-2</v>
      </c>
      <c r="BF77" s="44">
        <f t="shared" si="73"/>
        <v>4.0012444167266195E-2</v>
      </c>
      <c r="BG77" s="44">
        <f t="shared" si="73"/>
        <v>4.1972121618737104E-2</v>
      </c>
      <c r="BH77" s="44">
        <f t="shared" si="73"/>
        <v>4.3504590110014452E-2</v>
      </c>
      <c r="BI77" s="44">
        <f t="shared" si="73"/>
        <v>4.4574168581543734E-2</v>
      </c>
      <c r="BJ77" s="44">
        <f t="shared" si="73"/>
        <v>4.5144498921920496E-2</v>
      </c>
      <c r="BK77" s="44">
        <f t="shared" si="73"/>
        <v>4.5177593835937883E-2</v>
      </c>
      <c r="BL77" s="44">
        <f t="shared" si="73"/>
        <v>4.4634275757044511E-2</v>
      </c>
      <c r="BM77" s="44">
        <f t="shared" si="73"/>
        <v>4.3474172024548237E-2</v>
      </c>
      <c r="BN77" s="44">
        <f t="shared" si="73"/>
        <v>4.1655711040334671E-2</v>
      </c>
    </row>
    <row r="78" spans="1:66" outlineLevel="1">
      <c r="A78" s="62"/>
      <c r="B78" s="62" t="s">
        <v>219</v>
      </c>
      <c r="C78" s="63" t="s">
        <v>153</v>
      </c>
      <c r="D78" s="64">
        <f>D75-D76-D77</f>
        <v>45.090956546267236</v>
      </c>
      <c r="E78" s="64">
        <f t="shared" ref="E78:AG78" si="74">E75-E76-E77</f>
        <v>45.410244775757299</v>
      </c>
      <c r="F78" s="64">
        <f t="shared" si="74"/>
        <v>45.731097437602578</v>
      </c>
      <c r="G78" s="64">
        <f t="shared" si="74"/>
        <v>46.054651884848937</v>
      </c>
      <c r="H78" s="64">
        <f t="shared" si="74"/>
        <v>46.382121357558759</v>
      </c>
      <c r="I78" s="64">
        <f t="shared" si="74"/>
        <v>46.714783248395335</v>
      </c>
      <c r="J78" s="64">
        <f t="shared" si="74"/>
        <v>47.047870530209281</v>
      </c>
      <c r="K78" s="64">
        <f t="shared" si="74"/>
        <v>47.38153174896042</v>
      </c>
      <c r="L78" s="64">
        <f t="shared" si="74"/>
        <v>47.71592844781155</v>
      </c>
      <c r="M78" s="64">
        <f t="shared" si="74"/>
        <v>48.051235294626238</v>
      </c>
      <c r="N78" s="64">
        <f t="shared" si="74"/>
        <v>48.387640177153848</v>
      </c>
      <c r="O78" s="64">
        <f t="shared" si="74"/>
        <v>48.594053313957701</v>
      </c>
      <c r="P78" s="64">
        <f t="shared" si="74"/>
        <v>48.804542500161077</v>
      </c>
      <c r="Q78" s="64">
        <f t="shared" si="74"/>
        <v>49.020947316479244</v>
      </c>
      <c r="R78" s="64">
        <f t="shared" si="74"/>
        <v>49.245260015732597</v>
      </c>
      <c r="S78" s="64">
        <f t="shared" si="74"/>
        <v>49.479465635772456</v>
      </c>
      <c r="T78" s="64">
        <f t="shared" si="74"/>
        <v>49.715262878754821</v>
      </c>
      <c r="U78" s="64">
        <f t="shared" si="74"/>
        <v>49.952787112171656</v>
      </c>
      <c r="V78" s="64">
        <f t="shared" si="74"/>
        <v>50.192177871563707</v>
      </c>
      <c r="W78" s="64">
        <f t="shared" si="74"/>
        <v>50.433578873718574</v>
      </c>
      <c r="X78" s="64">
        <f t="shared" si="74"/>
        <v>50.677138027426551</v>
      </c>
      <c r="Y78" s="64">
        <f t="shared" si="74"/>
        <v>50.679500916065464</v>
      </c>
      <c r="Z78" s="64">
        <f t="shared" si="74"/>
        <v>50.680513166692684</v>
      </c>
      <c r="AA78" s="64">
        <f t="shared" si="74"/>
        <v>50.680226376592991</v>
      </c>
      <c r="AB78" s="64">
        <f t="shared" si="74"/>
        <v>50.678966469873153</v>
      </c>
      <c r="AC78" s="64">
        <f t="shared" si="74"/>
        <v>50.676939477262103</v>
      </c>
      <c r="AD78" s="64">
        <f t="shared" si="74"/>
        <v>50.674254191837754</v>
      </c>
      <c r="AE78" s="64">
        <f t="shared" si="74"/>
        <v>50.671110896185191</v>
      </c>
      <c r="AF78" s="64">
        <f t="shared" si="74"/>
        <v>50.667716022170467</v>
      </c>
      <c r="AG78" s="64">
        <f t="shared" si="74"/>
        <v>50.66428216781766</v>
      </c>
      <c r="AH78" s="64">
        <f>AH75-AH76-AH77</f>
        <v>50.661028110959634</v>
      </c>
      <c r="AJ78" s="64">
        <f>AJ75-AJ76-AJ77</f>
        <v>45.090956546267236</v>
      </c>
      <c r="AK78" s="64">
        <f t="shared" ref="AK78:BM78" si="75">AK75-AK76-AK77</f>
        <v>45.410244775757299</v>
      </c>
      <c r="AL78" s="64">
        <f t="shared" si="75"/>
        <v>45.731097437602578</v>
      </c>
      <c r="AM78" s="64">
        <f t="shared" si="75"/>
        <v>46.054651884848937</v>
      </c>
      <c r="AN78" s="64">
        <f t="shared" si="75"/>
        <v>46.382121357558759</v>
      </c>
      <c r="AO78" s="64">
        <f t="shared" si="75"/>
        <v>46.714783248395335</v>
      </c>
      <c r="AP78" s="64">
        <f t="shared" si="75"/>
        <v>47.047870530209281</v>
      </c>
      <c r="AQ78" s="64">
        <f t="shared" si="75"/>
        <v>47.38153174896042</v>
      </c>
      <c r="AR78" s="64">
        <f t="shared" si="75"/>
        <v>47.71592844781155</v>
      </c>
      <c r="AS78" s="64">
        <f t="shared" si="75"/>
        <v>48.051235294626238</v>
      </c>
      <c r="AT78" s="64">
        <f t="shared" si="75"/>
        <v>48.387640177153848</v>
      </c>
      <c r="AU78" s="64">
        <f t="shared" si="75"/>
        <v>48.594053313957701</v>
      </c>
      <c r="AV78" s="64">
        <f t="shared" si="75"/>
        <v>48.804542500161077</v>
      </c>
      <c r="AW78" s="64">
        <f t="shared" si="75"/>
        <v>49.020947316479244</v>
      </c>
      <c r="AX78" s="64">
        <f t="shared" si="75"/>
        <v>49.245260015732597</v>
      </c>
      <c r="AY78" s="64">
        <f t="shared" si="75"/>
        <v>49.479465635772456</v>
      </c>
      <c r="AZ78" s="64">
        <f t="shared" si="75"/>
        <v>49.715262878754821</v>
      </c>
      <c r="BA78" s="64">
        <f t="shared" si="75"/>
        <v>49.952787112171656</v>
      </c>
      <c r="BB78" s="64">
        <f t="shared" si="75"/>
        <v>50.192177871563707</v>
      </c>
      <c r="BC78" s="64">
        <f t="shared" si="75"/>
        <v>50.433578873718574</v>
      </c>
      <c r="BD78" s="64">
        <f t="shared" si="75"/>
        <v>50.677138027426551</v>
      </c>
      <c r="BE78" s="64">
        <f t="shared" si="75"/>
        <v>50.679500916065464</v>
      </c>
      <c r="BF78" s="64">
        <f t="shared" si="75"/>
        <v>50.680513166692684</v>
      </c>
      <c r="BG78" s="64">
        <f t="shared" si="75"/>
        <v>50.680226376592991</v>
      </c>
      <c r="BH78" s="64">
        <f t="shared" si="75"/>
        <v>50.678966469873153</v>
      </c>
      <c r="BI78" s="64">
        <f t="shared" si="75"/>
        <v>50.676939477262103</v>
      </c>
      <c r="BJ78" s="64">
        <f t="shared" si="75"/>
        <v>50.674254191837754</v>
      </c>
      <c r="BK78" s="64">
        <f t="shared" si="75"/>
        <v>50.671110896185191</v>
      </c>
      <c r="BL78" s="64">
        <f t="shared" si="75"/>
        <v>50.667716022170467</v>
      </c>
      <c r="BM78" s="64">
        <f t="shared" si="75"/>
        <v>50.66428216781766</v>
      </c>
      <c r="BN78" s="64">
        <f>BN75-BN76-BN77</f>
        <v>50.661028110959634</v>
      </c>
    </row>
    <row r="79" spans="1:66" s="67" customFormat="1" outlineLevel="1">
      <c r="A79" s="752"/>
      <c r="B79" s="58" t="s">
        <v>7</v>
      </c>
      <c r="C79" s="59" t="s">
        <v>153</v>
      </c>
      <c r="D79" s="60">
        <f>D35-'Overall recycling rates'!$G$60/SUM('Overall recycling rates'!$G$60:$G$62)*('BTX Recycling HC'!C78+'BTX Recycling HC'!C173)-'Overall recycling rates'!$E$60/SUM('Overall recycling rates'!$E$60:$E$62)*('BTX Recycling HC'!C79+'BTX Recycling HC'!C174)-'Overall recycling rates'!$H$60/SUM('Overall recycling rates'!$H$60:$H$62)*('BTX Recycling HC'!C80+'BTX Recycling HC'!C175)-'Overall recycling rates'!$I$60/SUM('Overall recycling rates'!$I$60:$I$62)*('BTX Recycling HC'!C81+'BTX Recycling HC'!C176)</f>
        <v>7.8426966561118325</v>
      </c>
      <c r="E79" s="60">
        <f>E35-'Overall recycling rates'!$G$60/SUM('Overall recycling rates'!$G$60:$G$62)*('BTX Recycling HC'!D78+'BTX Recycling HC'!D173)-'Overall recycling rates'!$E$60/SUM('Overall recycling rates'!$E$60:$E$62)*('BTX Recycling HC'!D79+'BTX Recycling HC'!D174)-'Overall recycling rates'!$H$60/SUM('Overall recycling rates'!$H$60:$H$62)*('BTX Recycling HC'!D80+'BTX Recycling HC'!D175)-'Overall recycling rates'!$I$60/SUM('Overall recycling rates'!$I$60:$I$62)*('BTX Recycling HC'!D81+'BTX Recycling HC'!D176)</f>
        <v>7.9050732132646155</v>
      </c>
      <c r="F79" s="60">
        <f>F35-'Overall recycling rates'!$G$60/SUM('Overall recycling rates'!$G$60:$G$62)*('BTX Recycling HC'!E78+'BTX Recycling HC'!E173)-'Overall recycling rates'!$E$60/SUM('Overall recycling rates'!$E$60:$E$62)*('BTX Recycling HC'!E79+'BTX Recycling HC'!E174)-'Overall recycling rates'!$H$60/SUM('Overall recycling rates'!$H$60:$H$62)*('BTX Recycling HC'!E80+'BTX Recycling HC'!E175)-'Overall recycling rates'!$I$60/SUM('Overall recycling rates'!$I$60:$I$62)*('BTX Recycling HC'!E81+'BTX Recycling HC'!E176)</f>
        <v>7.9641742460452836</v>
      </c>
      <c r="G79" s="60">
        <f>G35-'Overall recycling rates'!$G$60/SUM('Overall recycling rates'!$G$60:$G$62)*('BTX Recycling HC'!F78+'BTX Recycling HC'!F173)-'Overall recycling rates'!$E$60/SUM('Overall recycling rates'!$E$60:$E$62)*('BTX Recycling HC'!F79+'BTX Recycling HC'!F174)-'Overall recycling rates'!$H$60/SUM('Overall recycling rates'!$H$60:$H$62)*('BTX Recycling HC'!F80+'BTX Recycling HC'!F175)-'Overall recycling rates'!$I$60/SUM('Overall recycling rates'!$I$60:$I$62)*('BTX Recycling HC'!F81+'BTX Recycling HC'!F176)</f>
        <v>8.0199260352514017</v>
      </c>
      <c r="H79" s="60">
        <f>H35-'Overall recycling rates'!$G$60/SUM('Overall recycling rates'!$G$60:$G$62)*('BTX Recycling HC'!G78+'BTX Recycling HC'!G173)-'Overall recycling rates'!$E$60/SUM('Overall recycling rates'!$E$60:$E$62)*('BTX Recycling HC'!G79+'BTX Recycling HC'!G174)-'Overall recycling rates'!$H$60/SUM('Overall recycling rates'!$H$60:$H$62)*('BTX Recycling HC'!G80+'BTX Recycling HC'!G175)-'Overall recycling rates'!$I$60/SUM('Overall recycling rates'!$I$60:$I$62)*('BTX Recycling HC'!G81+'BTX Recycling HC'!G176)</f>
        <v>8.0723089151997698</v>
      </c>
      <c r="I79" s="60">
        <f>I35-'Overall recycling rates'!$G$60/SUM('Overall recycling rates'!$G$60:$G$62)*('BTX Recycling HC'!H78+'BTX Recycling HC'!H173)-'Overall recycling rates'!$E$60/SUM('Overall recycling rates'!$E$60:$E$62)*('BTX Recycling HC'!H79+'BTX Recycling HC'!H174)-'Overall recycling rates'!$H$60/SUM('Overall recycling rates'!$H$60:$H$62)*('BTX Recycling HC'!H80+'BTX Recycling HC'!H175)-'Overall recycling rates'!$I$60/SUM('Overall recycling rates'!$I$60:$I$62)*('BTX Recycling HC'!H81+'BTX Recycling HC'!H176)</f>
        <v>8.1213607504459162</v>
      </c>
      <c r="J79" s="60">
        <f>J35-'Overall recycling rates'!$G$60/SUM('Overall recycling rates'!$G$60:$G$62)*('BTX Recycling HC'!I78+'BTX Recycling HC'!I173)-'Overall recycling rates'!$E$60/SUM('Overall recycling rates'!$E$60:$E$62)*('BTX Recycling HC'!I79+'BTX Recycling HC'!I174)-'Overall recycling rates'!$H$60/SUM('Overall recycling rates'!$H$60:$H$62)*('BTX Recycling HC'!I80+'BTX Recycling HC'!I175)-'Overall recycling rates'!$I$60/SUM('Overall recycling rates'!$I$60:$I$62)*('BTX Recycling HC'!I81+'BTX Recycling HC'!I176)</f>
        <v>8.1667112613973547</v>
      </c>
      <c r="K79" s="60">
        <f>K35-'Overall recycling rates'!$G$60/SUM('Overall recycling rates'!$G$60:$G$62)*('BTX Recycling HC'!J78+'BTX Recycling HC'!J173)-'Overall recycling rates'!$E$60/SUM('Overall recycling rates'!$E$60:$E$62)*('BTX Recycling HC'!J79+'BTX Recycling HC'!J174)-'Overall recycling rates'!$H$60/SUM('Overall recycling rates'!$H$60:$H$62)*('BTX Recycling HC'!J80+'BTX Recycling HC'!J175)-'Overall recycling rates'!$I$60/SUM('Overall recycling rates'!$I$60:$I$62)*('BTX Recycling HC'!J81+'BTX Recycling HC'!J176)</f>
        <v>8.2081973582116934</v>
      </c>
      <c r="L79" s="60">
        <f>L35-'Overall recycling rates'!$G$60/SUM('Overall recycling rates'!$G$60:$G$62)*('BTX Recycling HC'!K78+'BTX Recycling HC'!K173)-'Overall recycling rates'!$E$60/SUM('Overall recycling rates'!$E$60:$E$62)*('BTX Recycling HC'!K79+'BTX Recycling HC'!K174)-'Overall recycling rates'!$H$60/SUM('Overall recycling rates'!$H$60:$H$62)*('BTX Recycling HC'!K80+'BTX Recycling HC'!K175)-'Overall recycling rates'!$I$60/SUM('Overall recycling rates'!$I$60:$I$62)*('BTX Recycling HC'!K81+'BTX Recycling HC'!K176)</f>
        <v>8.2456610558788999</v>
      </c>
      <c r="M79" s="60">
        <f>M35-'Overall recycling rates'!$G$60/SUM('Overall recycling rates'!$G$60:$G$62)*('BTX Recycling HC'!L78+'BTX Recycling HC'!L173)-'Overall recycling rates'!$E$60/SUM('Overall recycling rates'!$E$60:$E$62)*('BTX Recycling HC'!L79+'BTX Recycling HC'!L174)-'Overall recycling rates'!$H$60/SUM('Overall recycling rates'!$H$60:$H$62)*('BTX Recycling HC'!L80+'BTX Recycling HC'!L175)-'Overall recycling rates'!$I$60/SUM('Overall recycling rates'!$I$60:$I$62)*('BTX Recycling HC'!L81+'BTX Recycling HC'!L176)</f>
        <v>8.2789501726907098</v>
      </c>
      <c r="N79" s="60">
        <f>N35-'Overall recycling rates'!$G$60/SUM('Overall recycling rates'!$G$60:$G$62)*('BTX Recycling HC'!M78+'BTX Recycling HC'!M173)-'Overall recycling rates'!$E$60/SUM('Overall recycling rates'!$E$60:$E$62)*('BTX Recycling HC'!M79+'BTX Recycling HC'!M174)-'Overall recycling rates'!$H$60/SUM('Overall recycling rates'!$H$60:$H$62)*('BTX Recycling HC'!M80+'BTX Recycling HC'!M175)-'Overall recycling rates'!$I$60/SUM('Overall recycling rates'!$I$60:$I$62)*('BTX Recycling HC'!M81+'BTX Recycling HC'!M176)</f>
        <v>8.3079190330978836</v>
      </c>
      <c r="O79" s="60">
        <f>O35-'Overall recycling rates'!$G$60/SUM('Overall recycling rates'!$G$60:$G$62)*('BTX Recycling HC'!N78+'BTX Recycling HC'!N173)-'Overall recycling rates'!$E$60/SUM('Overall recycling rates'!$E$60:$E$62)*('BTX Recycling HC'!N79+'BTX Recycling HC'!N174)-'Overall recycling rates'!$H$60/SUM('Overall recycling rates'!$H$60:$H$62)*('BTX Recycling HC'!N80+'BTX Recycling HC'!N175)-'Overall recycling rates'!$I$60/SUM('Overall recycling rates'!$I$60:$I$62)*('BTX Recycling HC'!N81+'BTX Recycling HC'!N176)</f>
        <v>8.3142094638857635</v>
      </c>
      <c r="P79" s="60">
        <f>P35-'Overall recycling rates'!$G$60/SUM('Overall recycling rates'!$G$60:$G$62)*('BTX Recycling HC'!O78+'BTX Recycling HC'!O173)-'Overall recycling rates'!$E$60/SUM('Overall recycling rates'!$E$60:$E$62)*('BTX Recycling HC'!O79+'BTX Recycling HC'!O174)-'Overall recycling rates'!$H$60/SUM('Overall recycling rates'!$H$60:$H$62)*('BTX Recycling HC'!O80+'BTX Recycling HC'!O175)-'Overall recycling rates'!$I$60/SUM('Overall recycling rates'!$I$60:$I$62)*('BTX Recycling HC'!O81+'BTX Recycling HC'!O176)</f>
        <v>8.3132815149711963</v>
      </c>
      <c r="Q79" s="60">
        <f>Q35-'Overall recycling rates'!$G$60/SUM('Overall recycling rates'!$G$60:$G$62)*('BTX Recycling HC'!P78+'BTX Recycling HC'!P173)-'Overall recycling rates'!$E$60/SUM('Overall recycling rates'!$E$60:$E$62)*('BTX Recycling HC'!P79+'BTX Recycling HC'!P174)-'Overall recycling rates'!$H$60/SUM('Overall recycling rates'!$H$60:$H$62)*('BTX Recycling HC'!P80+'BTX Recycling HC'!P175)-'Overall recycling rates'!$I$60/SUM('Overall recycling rates'!$I$60:$I$62)*('BTX Recycling HC'!P81+'BTX Recycling HC'!P176)</f>
        <v>8.3053329183260924</v>
      </c>
      <c r="R79" s="60">
        <f>R35-'Overall recycling rates'!$G$60/SUM('Overall recycling rates'!$G$60:$G$62)*('BTX Recycling HC'!Q78+'BTX Recycling HC'!Q173)-'Overall recycling rates'!$E$60/SUM('Overall recycling rates'!$E$60:$E$62)*('BTX Recycling HC'!Q79+'BTX Recycling HC'!Q174)-'Overall recycling rates'!$H$60/SUM('Overall recycling rates'!$H$60:$H$62)*('BTX Recycling HC'!Q80+'BTX Recycling HC'!Q175)-'Overall recycling rates'!$I$60/SUM('Overall recycling rates'!$I$60:$I$62)*('BTX Recycling HC'!Q81+'BTX Recycling HC'!Q176)</f>
        <v>8.290723206084575</v>
      </c>
      <c r="S79" s="60">
        <f>S35-'Overall recycling rates'!$G$60/SUM('Overall recycling rates'!$G$60:$G$62)*('BTX Recycling HC'!R78+'BTX Recycling HC'!R173)-'Overall recycling rates'!$E$60/SUM('Overall recycling rates'!$E$60:$E$62)*('BTX Recycling HC'!R79+'BTX Recycling HC'!R174)-'Overall recycling rates'!$H$60/SUM('Overall recycling rates'!$H$60:$H$62)*('BTX Recycling HC'!R80+'BTX Recycling HC'!R175)-'Overall recycling rates'!$I$60/SUM('Overall recycling rates'!$I$60:$I$62)*('BTX Recycling HC'!R81+'BTX Recycling HC'!R176)</f>
        <v>8.2698735246635753</v>
      </c>
      <c r="T79" s="60">
        <f>T35-'Overall recycling rates'!$G$60/SUM('Overall recycling rates'!$G$60:$G$62)*('BTX Recycling HC'!S78+'BTX Recycling HC'!S173)-'Overall recycling rates'!$E$60/SUM('Overall recycling rates'!$E$60:$E$62)*('BTX Recycling HC'!S79+'BTX Recycling HC'!S174)-'Overall recycling rates'!$H$60/SUM('Overall recycling rates'!$H$60:$H$62)*('BTX Recycling HC'!S80+'BTX Recycling HC'!S175)-'Overall recycling rates'!$I$60/SUM('Overall recycling rates'!$I$60:$I$62)*('BTX Recycling HC'!S81+'BTX Recycling HC'!S176)</f>
        <v>8.2412980074055717</v>
      </c>
      <c r="U79" s="60">
        <f>U35-'Overall recycling rates'!$G$60/SUM('Overall recycling rates'!$G$60:$G$62)*('BTX Recycling HC'!T78+'BTX Recycling HC'!T173)-'Overall recycling rates'!$E$60/SUM('Overall recycling rates'!$E$60:$E$62)*('BTX Recycling HC'!T79+'BTX Recycling HC'!T174)-'Overall recycling rates'!$H$60/SUM('Overall recycling rates'!$H$60:$H$62)*('BTX Recycling HC'!T80+'BTX Recycling HC'!T175)-'Overall recycling rates'!$I$60/SUM('Overall recycling rates'!$I$60:$I$62)*('BTX Recycling HC'!T81+'BTX Recycling HC'!T176)</f>
        <v>8.2048538151387884</v>
      </c>
      <c r="V79" s="60">
        <f>V35-'Overall recycling rates'!$G$60/SUM('Overall recycling rates'!$G$60:$G$62)*('BTX Recycling HC'!U78+'BTX Recycling HC'!U173)-'Overall recycling rates'!$E$60/SUM('Overall recycling rates'!$E$60:$E$62)*('BTX Recycling HC'!U79+'BTX Recycling HC'!U174)-'Overall recycling rates'!$H$60/SUM('Overall recycling rates'!$H$60:$H$62)*('BTX Recycling HC'!U80+'BTX Recycling HC'!U175)-'Overall recycling rates'!$I$60/SUM('Overall recycling rates'!$I$60:$I$62)*('BTX Recycling HC'!U81+'BTX Recycling HC'!U176)</f>
        <v>8.1604012106915373</v>
      </c>
      <c r="W79" s="60">
        <f>W35-'Overall recycling rates'!$G$60/SUM('Overall recycling rates'!$G$60:$G$62)*('BTX Recycling HC'!V78+'BTX Recycling HC'!V173)-'Overall recycling rates'!$E$60/SUM('Overall recycling rates'!$E$60:$E$62)*('BTX Recycling HC'!V79+'BTX Recycling HC'!V174)-'Overall recycling rates'!$H$60/SUM('Overall recycling rates'!$H$60:$H$62)*('BTX Recycling HC'!V80+'BTX Recycling HC'!V175)-'Overall recycling rates'!$I$60/SUM('Overall recycling rates'!$I$60:$I$62)*('BTX Recycling HC'!V81+'BTX Recycling HC'!V176)</f>
        <v>8.1078037203597564</v>
      </c>
      <c r="X79" s="60">
        <f>X35-'Overall recycling rates'!$G$60/SUM('Overall recycling rates'!$G$60:$G$62)*('BTX Recycling HC'!W78+'BTX Recycling HC'!W173)-'Overall recycling rates'!$E$60/SUM('Overall recycling rates'!$E$60:$E$62)*('BTX Recycling HC'!W79+'BTX Recycling HC'!W174)-'Overall recycling rates'!$H$60/SUM('Overall recycling rates'!$H$60:$H$62)*('BTX Recycling HC'!W80+'BTX Recycling HC'!W175)-'Overall recycling rates'!$I$60/SUM('Overall recycling rates'!$I$60:$I$62)*('BTX Recycling HC'!W81+'BTX Recycling HC'!W176)</f>
        <v>8.0469282950257721</v>
      </c>
      <c r="Y79" s="60">
        <f>Y35-'Overall recycling rates'!$G$60/SUM('Overall recycling rates'!$G$60:$G$62)*('BTX Recycling HC'!X78+'BTX Recycling HC'!X173)-'Overall recycling rates'!$E$60/SUM('Overall recycling rates'!$E$60:$E$62)*('BTX Recycling HC'!X79+'BTX Recycling HC'!X174)-'Overall recycling rates'!$H$60/SUM('Overall recycling rates'!$H$60:$H$62)*('BTX Recycling HC'!X80+'BTX Recycling HC'!X175)-'Overall recycling rates'!$I$60/SUM('Overall recycling rates'!$I$60:$I$62)*('BTX Recycling HC'!X81+'BTX Recycling HC'!X176)</f>
        <v>7.916208477931689</v>
      </c>
      <c r="Z79" s="60">
        <f>Z35-'Overall recycling rates'!$G$60/SUM('Overall recycling rates'!$G$60:$G$62)*('BTX Recycling HC'!Y78+'BTX Recycling HC'!Y173)-'Overall recycling rates'!$E$60/SUM('Overall recycling rates'!$E$60:$E$62)*('BTX Recycling HC'!Y79+'BTX Recycling HC'!Y174)-'Overall recycling rates'!$H$60/SUM('Overall recycling rates'!$H$60:$H$62)*('BTX Recycling HC'!Y80+'BTX Recycling HC'!Y175)-'Overall recycling rates'!$I$60/SUM('Overall recycling rates'!$I$60:$I$62)*('BTX Recycling HC'!Y81+'BTX Recycling HC'!Y176)</f>
        <v>7.7703383532670474</v>
      </c>
      <c r="AA79" s="60">
        <f>AA35-'Overall recycling rates'!$G$60/SUM('Overall recycling rates'!$G$60:$G$62)*('BTX Recycling HC'!Z78+'BTX Recycling HC'!Z173)-'Overall recycling rates'!$E$60/SUM('Overall recycling rates'!$E$60:$E$62)*('BTX Recycling HC'!Z79+'BTX Recycling HC'!Z174)-'Overall recycling rates'!$H$60/SUM('Overall recycling rates'!$H$60:$H$62)*('BTX Recycling HC'!Z80+'BTX Recycling HC'!Z175)-'Overall recycling rates'!$I$60/SUM('Overall recycling rates'!$I$60:$I$62)*('BTX Recycling HC'!Z81+'BTX Recycling HC'!Z176)</f>
        <v>7.6089794668792692</v>
      </c>
      <c r="AB79" s="60">
        <f>AB35-'Overall recycling rates'!$G$60/SUM('Overall recycling rates'!$G$60:$G$62)*('BTX Recycling HC'!AA78+'BTX Recycling HC'!AA173)-'Overall recycling rates'!$E$60/SUM('Overall recycling rates'!$E$60:$E$62)*('BTX Recycling HC'!AA79+'BTX Recycling HC'!AA174)-'Overall recycling rates'!$H$60/SUM('Overall recycling rates'!$H$60:$H$62)*('BTX Recycling HC'!AA80+'BTX Recycling HC'!AA175)-'Overall recycling rates'!$I$60/SUM('Overall recycling rates'!$I$60:$I$62)*('BTX Recycling HC'!AA81+'BTX Recycling HC'!AA176)</f>
        <v>7.4319725165522836</v>
      </c>
      <c r="AC79" s="60">
        <f>AC35-'Overall recycling rates'!$G$60/SUM('Overall recycling rates'!$G$60:$G$62)*('BTX Recycling HC'!AB78+'BTX Recycling HC'!AB173)-'Overall recycling rates'!$E$60/SUM('Overall recycling rates'!$E$60:$E$62)*('BTX Recycling HC'!AB79+'BTX Recycling HC'!AB174)-'Overall recycling rates'!$H$60/SUM('Overall recycling rates'!$H$60:$H$62)*('BTX Recycling HC'!AB80+'BTX Recycling HC'!AB175)-'Overall recycling rates'!$I$60/SUM('Overall recycling rates'!$I$60:$I$62)*('BTX Recycling HC'!AB81+'BTX Recycling HC'!AB176)</f>
        <v>7.2390814201775395</v>
      </c>
      <c r="AD79" s="60">
        <f>AD35-'Overall recycling rates'!$G$60/SUM('Overall recycling rates'!$G$60:$G$62)*('BTX Recycling HC'!AC78+'BTX Recycling HC'!AC173)-'Overall recycling rates'!$E$60/SUM('Overall recycling rates'!$E$60:$E$62)*('BTX Recycling HC'!AC79+'BTX Recycling HC'!AC174)-'Overall recycling rates'!$H$60/SUM('Overall recycling rates'!$H$60:$H$62)*('BTX Recycling HC'!AC80+'BTX Recycling HC'!AC175)-'Overall recycling rates'!$I$60/SUM('Overall recycling rates'!$I$60:$I$62)*('BTX Recycling HC'!AC81+'BTX Recycling HC'!AC176)</f>
        <v>7.0300439386672098</v>
      </c>
      <c r="AE79" s="60">
        <f>AE35-'Overall recycling rates'!$G$60/SUM('Overall recycling rates'!$G$60:$G$62)*('BTX Recycling HC'!AD78+'BTX Recycling HC'!AD173)-'Overall recycling rates'!$E$60/SUM('Overall recycling rates'!$E$60:$E$62)*('BTX Recycling HC'!AD79+'BTX Recycling HC'!AD174)-'Overall recycling rates'!$H$60/SUM('Overall recycling rates'!$H$60:$H$62)*('BTX Recycling HC'!AD80+'BTX Recycling HC'!AD175)-'Overall recycling rates'!$I$60/SUM('Overall recycling rates'!$I$60:$I$62)*('BTX Recycling HC'!AD81+'BTX Recycling HC'!AD176)</f>
        <v>6.8046265649705644</v>
      </c>
      <c r="AF79" s="60">
        <f>AF35-'Overall recycling rates'!$G$60/SUM('Overall recycling rates'!$G$60:$G$62)*('BTX Recycling HC'!AE78+'BTX Recycling HC'!AE173)-'Overall recycling rates'!$E$60/SUM('Overall recycling rates'!$E$60:$E$62)*('BTX Recycling HC'!AE79+'BTX Recycling HC'!AE174)-'Overall recycling rates'!$H$60/SUM('Overall recycling rates'!$H$60:$H$62)*('BTX Recycling HC'!AE80+'BTX Recycling HC'!AE175)-'Overall recycling rates'!$I$60/SUM('Overall recycling rates'!$I$60:$I$62)*('BTX Recycling HC'!AE81+'BTX Recycling HC'!AE176)</f>
        <v>6.5626012610535067</v>
      </c>
      <c r="AG79" s="60">
        <f>AG35-'Overall recycling rates'!$G$60/SUM('Overall recycling rates'!$G$60:$G$62)*('BTX Recycling HC'!AF78+'BTX Recycling HC'!AF173)-'Overall recycling rates'!$E$60/SUM('Overall recycling rates'!$E$60:$E$62)*('BTX Recycling HC'!AF79+'BTX Recycling HC'!AF174)-'Overall recycling rates'!$H$60/SUM('Overall recycling rates'!$H$60:$H$62)*('BTX Recycling HC'!AF80+'BTX Recycling HC'!AF175)-'Overall recycling rates'!$I$60/SUM('Overall recycling rates'!$I$60:$I$62)*('BTX Recycling HC'!AF81+'BTX Recycling HC'!AF176)</f>
        <v>6.3037456753046488</v>
      </c>
      <c r="AH79" s="60">
        <f>AH35-'Overall recycling rates'!$G$60/SUM('Overall recycling rates'!$G$60:$G$62)*('BTX Recycling HC'!AG78+'BTX Recycling HC'!AG173)-'Overall recycling rates'!$E$60/SUM('Overall recycling rates'!$E$60:$E$62)*('BTX Recycling HC'!AG79+'BTX Recycling HC'!AG174)-'Overall recycling rates'!$H$60/SUM('Overall recycling rates'!$H$60:$H$62)*('BTX Recycling HC'!AG80+'BTX Recycling HC'!AG175)-'Overall recycling rates'!$I$60/SUM('Overall recycling rates'!$I$60:$I$62)*('BTX Recycling HC'!AG81+'BTX Recycling HC'!AG176)</f>
        <v>6.0278433585717979</v>
      </c>
      <c r="AI79" s="60"/>
      <c r="AJ79" s="60">
        <f>AJ35-'Overall recycling rates'!$G$60/SUM('Overall recycling rates'!$G$60:$G$62)*('BTX Recycling HC'!C78+'BTX Recycling HC'!C173)-'Overall recycling rates'!$E$60/SUM('Overall recycling rates'!$E$60:$E$62)*('BTX Recycling HC'!C79+'BTX Recycling HC'!C174)-'Overall recycling rates'!$H$60/SUM('Overall recycling rates'!$H$60:$H$62)*('BTX Recycling HC'!C80+'BTX Recycling HC'!C175)-'Overall recycling rates'!$I$60/SUM('Overall recycling rates'!$I$60:$I$62)*('BTX Recycling HC'!C81+'BTX Recycling HC'!C176)</f>
        <v>7.8426966561118325</v>
      </c>
      <c r="AK79" s="60">
        <f>AK35-'Overall recycling rates'!$G$60/SUM('Overall recycling rates'!$G$60:$G$62)*('BTX Recycling HC'!D78+'BTX Recycling HC'!D173)-'Overall recycling rates'!$E$60/SUM('Overall recycling rates'!$E$60:$E$62)*('BTX Recycling HC'!D79+'BTX Recycling HC'!D174)-'Overall recycling rates'!$H$60/SUM('Overall recycling rates'!$H$60:$H$62)*('BTX Recycling HC'!D80+'BTX Recycling HC'!D175)-'Overall recycling rates'!$I$60/SUM('Overall recycling rates'!$I$60:$I$62)*('BTX Recycling HC'!D81+'BTX Recycling HC'!D176)</f>
        <v>7.9050732132646155</v>
      </c>
      <c r="AL79" s="60">
        <f>AL35-'Overall recycling rates'!$G$60/SUM('Overall recycling rates'!$G$60:$G$62)*('BTX Recycling HC'!E78+'BTX Recycling HC'!E173)-'Overall recycling rates'!$E$60/SUM('Overall recycling rates'!$E$60:$E$62)*('BTX Recycling HC'!E79+'BTX Recycling HC'!E174)-'Overall recycling rates'!$H$60/SUM('Overall recycling rates'!$H$60:$H$62)*('BTX Recycling HC'!E80+'BTX Recycling HC'!E175)-'Overall recycling rates'!$I$60/SUM('Overall recycling rates'!$I$60:$I$62)*('BTX Recycling HC'!E81+'BTX Recycling HC'!E176)</f>
        <v>7.9641742460452836</v>
      </c>
      <c r="AM79" s="60">
        <f>AM35-'Overall recycling rates'!$G$60/SUM('Overall recycling rates'!$G$60:$G$62)*('BTX Recycling HC'!F78+'BTX Recycling HC'!F173)-'Overall recycling rates'!$E$60/SUM('Overall recycling rates'!$E$60:$E$62)*('BTX Recycling HC'!F79+'BTX Recycling HC'!F174)-'Overall recycling rates'!$H$60/SUM('Overall recycling rates'!$H$60:$H$62)*('BTX Recycling HC'!F80+'BTX Recycling HC'!F175)-'Overall recycling rates'!$I$60/SUM('Overall recycling rates'!$I$60:$I$62)*('BTX Recycling HC'!F81+'BTX Recycling HC'!F176)</f>
        <v>8.0199260352514017</v>
      </c>
      <c r="AN79" s="60">
        <f>AN35-'Overall recycling rates'!$G$60/SUM('Overall recycling rates'!$G$60:$G$62)*('BTX Recycling HC'!G78+'BTX Recycling HC'!G173)-'Overall recycling rates'!$E$60/SUM('Overall recycling rates'!$E$60:$E$62)*('BTX Recycling HC'!G79+'BTX Recycling HC'!G174)-'Overall recycling rates'!$H$60/SUM('Overall recycling rates'!$H$60:$H$62)*('BTX Recycling HC'!G80+'BTX Recycling HC'!G175)-'Overall recycling rates'!$I$60/SUM('Overall recycling rates'!$I$60:$I$62)*('BTX Recycling HC'!G81+'BTX Recycling HC'!G176)</f>
        <v>8.0723089151997698</v>
      </c>
      <c r="AO79" s="60">
        <f>AO35-'Overall recycling rates'!$G$60/SUM('Overall recycling rates'!$G$60:$G$62)*('BTX Recycling HC'!H78+'BTX Recycling HC'!H173)-'Overall recycling rates'!$E$60/SUM('Overall recycling rates'!$E$60:$E$62)*('BTX Recycling HC'!H79+'BTX Recycling HC'!H174)-'Overall recycling rates'!$H$60/SUM('Overall recycling rates'!$H$60:$H$62)*('BTX Recycling HC'!H80+'BTX Recycling HC'!H175)-'Overall recycling rates'!$I$60/SUM('Overall recycling rates'!$I$60:$I$62)*('BTX Recycling HC'!H81+'BTX Recycling HC'!H176)</f>
        <v>8.1213607504459162</v>
      </c>
      <c r="AP79" s="60">
        <f>AP35-'Overall recycling rates'!$G$60/SUM('Overall recycling rates'!$G$60:$G$62)*('BTX Recycling HC'!I78+'BTX Recycling HC'!I173)-'Overall recycling rates'!$E$60/SUM('Overall recycling rates'!$E$60:$E$62)*('BTX Recycling HC'!I79+'BTX Recycling HC'!I174)-'Overall recycling rates'!$H$60/SUM('Overall recycling rates'!$H$60:$H$62)*('BTX Recycling HC'!I80+'BTX Recycling HC'!I175)-'Overall recycling rates'!$I$60/SUM('Overall recycling rates'!$I$60:$I$62)*('BTX Recycling HC'!I81+'BTX Recycling HC'!I176)</f>
        <v>8.1667112613973547</v>
      </c>
      <c r="AQ79" s="60">
        <f>AQ35-'Overall recycling rates'!$G$60/SUM('Overall recycling rates'!$G$60:$G$62)*('BTX Recycling HC'!J78+'BTX Recycling HC'!J173)-'Overall recycling rates'!$E$60/SUM('Overall recycling rates'!$E$60:$E$62)*('BTX Recycling HC'!J79+'BTX Recycling HC'!J174)-'Overall recycling rates'!$H$60/SUM('Overall recycling rates'!$H$60:$H$62)*('BTX Recycling HC'!J80+'BTX Recycling HC'!J175)-'Overall recycling rates'!$I$60/SUM('Overall recycling rates'!$I$60:$I$62)*('BTX Recycling HC'!J81+'BTX Recycling HC'!J176)</f>
        <v>8.2081973582116934</v>
      </c>
      <c r="AR79" s="60">
        <f>AR35-'Overall recycling rates'!$G$60/SUM('Overall recycling rates'!$G$60:$G$62)*('BTX Recycling HC'!K78+'BTX Recycling HC'!K173)-'Overall recycling rates'!$E$60/SUM('Overall recycling rates'!$E$60:$E$62)*('BTX Recycling HC'!K79+'BTX Recycling HC'!K174)-'Overall recycling rates'!$H$60/SUM('Overall recycling rates'!$H$60:$H$62)*('BTX Recycling HC'!K80+'BTX Recycling HC'!K175)-'Overall recycling rates'!$I$60/SUM('Overall recycling rates'!$I$60:$I$62)*('BTX Recycling HC'!K81+'BTX Recycling HC'!K176)</f>
        <v>8.2456610558788999</v>
      </c>
      <c r="AS79" s="60">
        <f>AS35-'Overall recycling rates'!$G$60/SUM('Overall recycling rates'!$G$60:$G$62)*('BTX Recycling HC'!L78+'BTX Recycling HC'!L173)-'Overall recycling rates'!$E$60/SUM('Overall recycling rates'!$E$60:$E$62)*('BTX Recycling HC'!L79+'BTX Recycling HC'!L174)-'Overall recycling rates'!$H$60/SUM('Overall recycling rates'!$H$60:$H$62)*('BTX Recycling HC'!L80+'BTX Recycling HC'!L175)-'Overall recycling rates'!$I$60/SUM('Overall recycling rates'!$I$60:$I$62)*('BTX Recycling HC'!L81+'BTX Recycling HC'!L176)</f>
        <v>8.2789501726907098</v>
      </c>
      <c r="AT79" s="60">
        <f>AT35-'Overall recycling rates'!$G$60/SUM('Overall recycling rates'!$G$60:$G$62)*('BTX Recycling HC'!M78+'BTX Recycling HC'!M173)-'Overall recycling rates'!$E$60/SUM('Overall recycling rates'!$E$60:$E$62)*('BTX Recycling HC'!M79+'BTX Recycling HC'!M174)-'Overall recycling rates'!$H$60/SUM('Overall recycling rates'!$H$60:$H$62)*('BTX Recycling HC'!M80+'BTX Recycling HC'!M175)-'Overall recycling rates'!$I$60/SUM('Overall recycling rates'!$I$60:$I$62)*('BTX Recycling HC'!M81+'BTX Recycling HC'!M176)</f>
        <v>8.3079190330978836</v>
      </c>
      <c r="AU79" s="60">
        <f>AU35-'Overall recycling rates'!$G$60/SUM('Overall recycling rates'!$G$60:$G$62)*('BTX Recycling HC'!N78+'BTX Recycling HC'!N173)-'Overall recycling rates'!$E$60/SUM('Overall recycling rates'!$E$60:$E$62)*('BTX Recycling HC'!N79+'BTX Recycling HC'!N174)-'Overall recycling rates'!$H$60/SUM('Overall recycling rates'!$H$60:$H$62)*('BTX Recycling HC'!N80+'BTX Recycling HC'!N175)-'Overall recycling rates'!$I$60/SUM('Overall recycling rates'!$I$60:$I$62)*('BTX Recycling HC'!N81+'BTX Recycling HC'!N176)</f>
        <v>8.3142094638857635</v>
      </c>
      <c r="AV79" s="60">
        <f>AV35-'Overall recycling rates'!$G$60/SUM('Overall recycling rates'!$G$60:$G$62)*('BTX Recycling HC'!O78+'BTX Recycling HC'!O173)-'Overall recycling rates'!$E$60/SUM('Overall recycling rates'!$E$60:$E$62)*('BTX Recycling HC'!O79+'BTX Recycling HC'!O174)-'Overall recycling rates'!$H$60/SUM('Overall recycling rates'!$H$60:$H$62)*('BTX Recycling HC'!O80+'BTX Recycling HC'!O175)-'Overall recycling rates'!$I$60/SUM('Overall recycling rates'!$I$60:$I$62)*('BTX Recycling HC'!O81+'BTX Recycling HC'!O176)</f>
        <v>8.3132815149711963</v>
      </c>
      <c r="AW79" s="60">
        <f>AW35-'Overall recycling rates'!$G$60/SUM('Overall recycling rates'!$G$60:$G$62)*('BTX Recycling HC'!P78+'BTX Recycling HC'!P173)-'Overall recycling rates'!$E$60/SUM('Overall recycling rates'!$E$60:$E$62)*('BTX Recycling HC'!P79+'BTX Recycling HC'!P174)-'Overall recycling rates'!$H$60/SUM('Overall recycling rates'!$H$60:$H$62)*('BTX Recycling HC'!P80+'BTX Recycling HC'!P175)-'Overall recycling rates'!$I$60/SUM('Overall recycling rates'!$I$60:$I$62)*('BTX Recycling HC'!P81+'BTX Recycling HC'!P176)</f>
        <v>8.3053329183260924</v>
      </c>
      <c r="AX79" s="60">
        <f>AX35-'Overall recycling rates'!$G$60/SUM('Overall recycling rates'!$G$60:$G$62)*('BTX Recycling HC'!Q78+'BTX Recycling HC'!Q173)-'Overall recycling rates'!$E$60/SUM('Overall recycling rates'!$E$60:$E$62)*('BTX Recycling HC'!Q79+'BTX Recycling HC'!Q174)-'Overall recycling rates'!$H$60/SUM('Overall recycling rates'!$H$60:$H$62)*('BTX Recycling HC'!Q80+'BTX Recycling HC'!Q175)-'Overall recycling rates'!$I$60/SUM('Overall recycling rates'!$I$60:$I$62)*('BTX Recycling HC'!Q81+'BTX Recycling HC'!Q176)</f>
        <v>8.290723206084575</v>
      </c>
      <c r="AY79" s="60">
        <f>AY35-'Overall recycling rates'!$G$60/SUM('Overall recycling rates'!$G$60:$G$62)*('BTX Recycling HC'!R78+'BTX Recycling HC'!R173)-'Overall recycling rates'!$E$60/SUM('Overall recycling rates'!$E$60:$E$62)*('BTX Recycling HC'!R79+'BTX Recycling HC'!R174)-'Overall recycling rates'!$H$60/SUM('Overall recycling rates'!$H$60:$H$62)*('BTX Recycling HC'!R80+'BTX Recycling HC'!R175)-'Overall recycling rates'!$I$60/SUM('Overall recycling rates'!$I$60:$I$62)*('BTX Recycling HC'!R81+'BTX Recycling HC'!R176)</f>
        <v>8.2698735246635753</v>
      </c>
      <c r="AZ79" s="60">
        <f>AZ35-'Overall recycling rates'!$G$60/SUM('Overall recycling rates'!$G$60:$G$62)*('BTX Recycling HC'!S78+'BTX Recycling HC'!S173)-'Overall recycling rates'!$E$60/SUM('Overall recycling rates'!$E$60:$E$62)*('BTX Recycling HC'!S79+'BTX Recycling HC'!S174)-'Overall recycling rates'!$H$60/SUM('Overall recycling rates'!$H$60:$H$62)*('BTX Recycling HC'!S80+'BTX Recycling HC'!S175)-'Overall recycling rates'!$I$60/SUM('Overall recycling rates'!$I$60:$I$62)*('BTX Recycling HC'!S81+'BTX Recycling HC'!S176)</f>
        <v>8.2412980074055717</v>
      </c>
      <c r="BA79" s="60">
        <f>BA35-'Overall recycling rates'!$G$60/SUM('Overall recycling rates'!$G$60:$G$62)*('BTX Recycling HC'!T78+'BTX Recycling HC'!T173)-'Overall recycling rates'!$E$60/SUM('Overall recycling rates'!$E$60:$E$62)*('BTX Recycling HC'!T79+'BTX Recycling HC'!T174)-'Overall recycling rates'!$H$60/SUM('Overall recycling rates'!$H$60:$H$62)*('BTX Recycling HC'!T80+'BTX Recycling HC'!T175)-'Overall recycling rates'!$I$60/SUM('Overall recycling rates'!$I$60:$I$62)*('BTX Recycling HC'!T81+'BTX Recycling HC'!T176)</f>
        <v>8.2048538151387884</v>
      </c>
      <c r="BB79" s="60">
        <f>BB35-'Overall recycling rates'!$G$60/SUM('Overall recycling rates'!$G$60:$G$62)*('BTX Recycling HC'!U78+'BTX Recycling HC'!U173)-'Overall recycling rates'!$E$60/SUM('Overall recycling rates'!$E$60:$E$62)*('BTX Recycling HC'!U79+'BTX Recycling HC'!U174)-'Overall recycling rates'!$H$60/SUM('Overall recycling rates'!$H$60:$H$62)*('BTX Recycling HC'!U80+'BTX Recycling HC'!U175)-'Overall recycling rates'!$I$60/SUM('Overall recycling rates'!$I$60:$I$62)*('BTX Recycling HC'!U81+'BTX Recycling HC'!U176)</f>
        <v>8.1604012106915373</v>
      </c>
      <c r="BC79" s="60">
        <f>BC35-'Overall recycling rates'!$G$60/SUM('Overall recycling rates'!$G$60:$G$62)*('BTX Recycling HC'!V78+'BTX Recycling HC'!V173)-'Overall recycling rates'!$E$60/SUM('Overall recycling rates'!$E$60:$E$62)*('BTX Recycling HC'!V79+'BTX Recycling HC'!V174)-'Overall recycling rates'!$H$60/SUM('Overall recycling rates'!$H$60:$H$62)*('BTX Recycling HC'!V80+'BTX Recycling HC'!V175)-'Overall recycling rates'!$I$60/SUM('Overall recycling rates'!$I$60:$I$62)*('BTX Recycling HC'!V81+'BTX Recycling HC'!V176)</f>
        <v>8.1078037203597564</v>
      </c>
      <c r="BD79" s="60">
        <f>BD35-'Overall recycling rates'!$G$60/SUM('Overall recycling rates'!$G$60:$G$62)*('BTX Recycling HC'!W78+'BTX Recycling HC'!W173)-'Overall recycling rates'!$E$60/SUM('Overall recycling rates'!$E$60:$E$62)*('BTX Recycling HC'!W79+'BTX Recycling HC'!W174)-'Overall recycling rates'!$H$60/SUM('Overall recycling rates'!$H$60:$H$62)*('BTX Recycling HC'!W80+'BTX Recycling HC'!W175)-'Overall recycling rates'!$I$60/SUM('Overall recycling rates'!$I$60:$I$62)*('BTX Recycling HC'!W81+'BTX Recycling HC'!W176)</f>
        <v>8.0469282950257721</v>
      </c>
      <c r="BE79" s="60">
        <f>BE35-'Overall recycling rates'!$G$60/SUM('Overall recycling rates'!$G$60:$G$62)*('BTX Recycling HC'!X78+'BTX Recycling HC'!X173)-'Overall recycling rates'!$E$60/SUM('Overall recycling rates'!$E$60:$E$62)*('BTX Recycling HC'!X79+'BTX Recycling HC'!X174)-'Overall recycling rates'!$H$60/SUM('Overall recycling rates'!$H$60:$H$62)*('BTX Recycling HC'!X80+'BTX Recycling HC'!X175)-'Overall recycling rates'!$I$60/SUM('Overall recycling rates'!$I$60:$I$62)*('BTX Recycling HC'!X81+'BTX Recycling HC'!X176)</f>
        <v>7.916208477931689</v>
      </c>
      <c r="BF79" s="60">
        <f>BF35-'Overall recycling rates'!$G$60/SUM('Overall recycling rates'!$G$60:$G$62)*('BTX Recycling HC'!Y78+'BTX Recycling HC'!Y173)-'Overall recycling rates'!$E$60/SUM('Overall recycling rates'!$E$60:$E$62)*('BTX Recycling HC'!Y79+'BTX Recycling HC'!Y174)-'Overall recycling rates'!$H$60/SUM('Overall recycling rates'!$H$60:$H$62)*('BTX Recycling HC'!Y80+'BTX Recycling HC'!Y175)-'Overall recycling rates'!$I$60/SUM('Overall recycling rates'!$I$60:$I$62)*('BTX Recycling HC'!Y81+'BTX Recycling HC'!Y176)</f>
        <v>7.7703383532670474</v>
      </c>
      <c r="BG79" s="60">
        <f>BG35-'Overall recycling rates'!$G$60/SUM('Overall recycling rates'!$G$60:$G$62)*('BTX Recycling HC'!Z78+'BTX Recycling HC'!Z173)-'Overall recycling rates'!$E$60/SUM('Overall recycling rates'!$E$60:$E$62)*('BTX Recycling HC'!Z79+'BTX Recycling HC'!Z174)-'Overall recycling rates'!$H$60/SUM('Overall recycling rates'!$H$60:$H$62)*('BTX Recycling HC'!Z80+'BTX Recycling HC'!Z175)-'Overall recycling rates'!$I$60/SUM('Overall recycling rates'!$I$60:$I$62)*('BTX Recycling HC'!Z81+'BTX Recycling HC'!Z176)</f>
        <v>7.6089794668792692</v>
      </c>
      <c r="BH79" s="60">
        <f>BH35-'Overall recycling rates'!$G$60/SUM('Overall recycling rates'!$G$60:$G$62)*('BTX Recycling HC'!AA78+'BTX Recycling HC'!AA173)-'Overall recycling rates'!$E$60/SUM('Overall recycling rates'!$E$60:$E$62)*('BTX Recycling HC'!AA79+'BTX Recycling HC'!AA174)-'Overall recycling rates'!$H$60/SUM('Overall recycling rates'!$H$60:$H$62)*('BTX Recycling HC'!AA80+'BTX Recycling HC'!AA175)-'Overall recycling rates'!$I$60/SUM('Overall recycling rates'!$I$60:$I$62)*('BTX Recycling HC'!AA81+'BTX Recycling HC'!AA176)</f>
        <v>7.4319725165522836</v>
      </c>
      <c r="BI79" s="60">
        <f>BI35-'Overall recycling rates'!$G$60/SUM('Overall recycling rates'!$G$60:$G$62)*('BTX Recycling HC'!AB78+'BTX Recycling HC'!AB173)-'Overall recycling rates'!$E$60/SUM('Overall recycling rates'!$E$60:$E$62)*('BTX Recycling HC'!AB79+'BTX Recycling HC'!AB174)-'Overall recycling rates'!$H$60/SUM('Overall recycling rates'!$H$60:$H$62)*('BTX Recycling HC'!AB80+'BTX Recycling HC'!AB175)-'Overall recycling rates'!$I$60/SUM('Overall recycling rates'!$I$60:$I$62)*('BTX Recycling HC'!AB81+'BTX Recycling HC'!AB176)</f>
        <v>7.2390814201775395</v>
      </c>
      <c r="BJ79" s="60">
        <f>BJ35-'Overall recycling rates'!$G$60/SUM('Overall recycling rates'!$G$60:$G$62)*('BTX Recycling HC'!AC78+'BTX Recycling HC'!AC173)-'Overall recycling rates'!$E$60/SUM('Overall recycling rates'!$E$60:$E$62)*('BTX Recycling HC'!AC79+'BTX Recycling HC'!AC174)-'Overall recycling rates'!$H$60/SUM('Overall recycling rates'!$H$60:$H$62)*('BTX Recycling HC'!AC80+'BTX Recycling HC'!AC175)-'Overall recycling rates'!$I$60/SUM('Overall recycling rates'!$I$60:$I$62)*('BTX Recycling HC'!AC81+'BTX Recycling HC'!AC176)</f>
        <v>7.0300439386672098</v>
      </c>
      <c r="BK79" s="60">
        <f>BK35-'Overall recycling rates'!$G$60/SUM('Overall recycling rates'!$G$60:$G$62)*('BTX Recycling HC'!AD78+'BTX Recycling HC'!AD173)-'Overall recycling rates'!$E$60/SUM('Overall recycling rates'!$E$60:$E$62)*('BTX Recycling HC'!AD79+'BTX Recycling HC'!AD174)-'Overall recycling rates'!$H$60/SUM('Overall recycling rates'!$H$60:$H$62)*('BTX Recycling HC'!AD80+'BTX Recycling HC'!AD175)-'Overall recycling rates'!$I$60/SUM('Overall recycling rates'!$I$60:$I$62)*('BTX Recycling HC'!AD81+'BTX Recycling HC'!AD176)</f>
        <v>6.8046265649705644</v>
      </c>
      <c r="BL79" s="60">
        <f>BL35-'Overall recycling rates'!$G$60/SUM('Overall recycling rates'!$G$60:$G$62)*('BTX Recycling HC'!AE78+'BTX Recycling HC'!AE173)-'Overall recycling rates'!$E$60/SUM('Overall recycling rates'!$E$60:$E$62)*('BTX Recycling HC'!AE79+'BTX Recycling HC'!AE174)-'Overall recycling rates'!$H$60/SUM('Overall recycling rates'!$H$60:$H$62)*('BTX Recycling HC'!AE80+'BTX Recycling HC'!AE175)-'Overall recycling rates'!$I$60/SUM('Overall recycling rates'!$I$60:$I$62)*('BTX Recycling HC'!AE81+'BTX Recycling HC'!AE176)</f>
        <v>6.5626012610535067</v>
      </c>
      <c r="BM79" s="60">
        <f>BM35-'Overall recycling rates'!$G$60/SUM('Overall recycling rates'!$G$60:$G$62)*('BTX Recycling HC'!AF78+'BTX Recycling HC'!AF173)-'Overall recycling rates'!$E$60/SUM('Overall recycling rates'!$E$60:$E$62)*('BTX Recycling HC'!AF79+'BTX Recycling HC'!AF174)-'Overall recycling rates'!$H$60/SUM('Overall recycling rates'!$H$60:$H$62)*('BTX Recycling HC'!AF80+'BTX Recycling HC'!AF175)-'Overall recycling rates'!$I$60/SUM('Overall recycling rates'!$I$60:$I$62)*('BTX Recycling HC'!AF81+'BTX Recycling HC'!AF176)</f>
        <v>6.3037456753046488</v>
      </c>
      <c r="BN79" s="60">
        <f>BN35-'Overall recycling rates'!$G$60/SUM('Overall recycling rates'!$G$60:$G$62)*('BTX Recycling HC'!AG78+'BTX Recycling HC'!AG173)-'Overall recycling rates'!$E$60/SUM('Overall recycling rates'!$E$60:$E$62)*('BTX Recycling HC'!AG79+'BTX Recycling HC'!AG174)-'Overall recycling rates'!$H$60/SUM('Overall recycling rates'!$H$60:$H$62)*('BTX Recycling HC'!AG80+'BTX Recycling HC'!AG175)-'Overall recycling rates'!$I$60/SUM('Overall recycling rates'!$I$60:$I$62)*('BTX Recycling HC'!AG81+'BTX Recycling HC'!AG176)</f>
        <v>6.0278433585717979</v>
      </c>
    </row>
    <row r="80" spans="1:66" outlineLevel="1">
      <c r="A80" s="753"/>
      <c r="B80" s="1" t="s">
        <v>8</v>
      </c>
      <c r="C80" s="54" t="s">
        <v>153</v>
      </c>
      <c r="D80" s="44">
        <f>D36-'Overall recycling rates'!$G$61/SUM('Overall recycling rates'!$G$60:$G$62)*('BTX Recycling HC'!C78+'BTX Recycling HC'!C173)-'Overall recycling rates'!$E$61/SUM('Overall recycling rates'!$E$60:$E$62)*('BTX Recycling HC'!C79+'BTX Recycling HC'!C174)-'Overall recycling rates'!$H$61/SUM('Overall recycling rates'!$H$60:$H$62)*('BTX Recycling HC'!C80+'BTX Recycling HC'!C175)-'Overall recycling rates'!$I$61/SUM('Overall recycling rates'!$I$60:$I$62)*('BTX Recycling HC'!C81+'BTX Recycling HC'!C176)</f>
        <v>3.690958960657742</v>
      </c>
      <c r="E80" s="44">
        <f>E36-'Overall recycling rates'!$G$61/SUM('Overall recycling rates'!$G$60:$G$62)*('BTX Recycling HC'!D78+'BTX Recycling HC'!D173)-'Overall recycling rates'!$E$61/SUM('Overall recycling rates'!$E$60:$E$62)*('BTX Recycling HC'!D79+'BTX Recycling HC'!D174)-'Overall recycling rates'!$H$61/SUM('Overall recycling rates'!$H$60:$H$62)*('BTX Recycling HC'!D80+'BTX Recycling HC'!D175)-'Overall recycling rates'!$I$61/SUM('Overall recycling rates'!$I$60:$I$62)*('BTX Recycling HC'!D81+'BTX Recycling HC'!D176)</f>
        <v>3.7117366148685496</v>
      </c>
      <c r="F80" s="44">
        <f>F36-'Overall recycling rates'!$G$61/SUM('Overall recycling rates'!$G$60:$G$62)*('BTX Recycling HC'!E78+'BTX Recycling HC'!E173)-'Overall recycling rates'!$E$61/SUM('Overall recycling rates'!$E$60:$E$62)*('BTX Recycling HC'!E79+'BTX Recycling HC'!E174)-'Overall recycling rates'!$H$61/SUM('Overall recycling rates'!$H$60:$H$62)*('BTX Recycling HC'!E80+'BTX Recycling HC'!E175)-'Overall recycling rates'!$I$61/SUM('Overall recycling rates'!$I$60:$I$62)*('BTX Recycling HC'!E81+'BTX Recycling HC'!E176)</f>
        <v>3.7324932860813727</v>
      </c>
      <c r="G80" s="44">
        <f>G36-'Overall recycling rates'!$G$61/SUM('Overall recycling rates'!$G$60:$G$62)*('BTX Recycling HC'!F78+'BTX Recycling HC'!F173)-'Overall recycling rates'!$E$61/SUM('Overall recycling rates'!$E$60:$E$62)*('BTX Recycling HC'!F79+'BTX Recycling HC'!F174)-'Overall recycling rates'!$H$61/SUM('Overall recycling rates'!$H$60:$H$62)*('BTX Recycling HC'!F80+'BTX Recycling HC'!F175)-'Overall recycling rates'!$I$61/SUM('Overall recycling rates'!$I$60:$I$62)*('BTX Recycling HC'!F81+'BTX Recycling HC'!F176)</f>
        <v>3.7533533529199103</v>
      </c>
      <c r="H80" s="44">
        <f>H36-'Overall recycling rates'!$G$61/SUM('Overall recycling rates'!$G$60:$G$62)*('BTX Recycling HC'!G78+'BTX Recycling HC'!G173)-'Overall recycling rates'!$E$61/SUM('Overall recycling rates'!$E$60:$E$62)*('BTX Recycling HC'!G79+'BTX Recycling HC'!G174)-'Overall recycling rates'!$H$61/SUM('Overall recycling rates'!$H$60:$H$62)*('BTX Recycling HC'!G80+'BTX Recycling HC'!G175)-'Overall recycling rates'!$I$61/SUM('Overall recycling rates'!$I$60:$I$62)*('BTX Recycling HC'!G81+'BTX Recycling HC'!G176)</f>
        <v>3.7744501671415249</v>
      </c>
      <c r="I80" s="44">
        <f>I36-'Overall recycling rates'!$G$61/SUM('Overall recycling rates'!$G$60:$G$62)*('BTX Recycling HC'!H78+'BTX Recycling HC'!H173)-'Overall recycling rates'!$E$61/SUM('Overall recycling rates'!$E$60:$E$62)*('BTX Recycling HC'!H79+'BTX Recycling HC'!H174)-'Overall recycling rates'!$H$61/SUM('Overall recycling rates'!$H$60:$H$62)*('BTX Recycling HC'!H80+'BTX Recycling HC'!H175)-'Overall recycling rates'!$I$61/SUM('Overall recycling rates'!$I$60:$I$62)*('BTX Recycling HC'!H81+'BTX Recycling HC'!H176)</f>
        <v>3.7959247741726951</v>
      </c>
      <c r="J80" s="44">
        <f>J36-'Overall recycling rates'!$G$61/SUM('Overall recycling rates'!$G$60:$G$62)*('BTX Recycling HC'!I78+'BTX Recycling HC'!I173)-'Overall recycling rates'!$E$61/SUM('Overall recycling rates'!$E$60:$E$62)*('BTX Recycling HC'!I79+'BTX Recycling HC'!I174)-'Overall recycling rates'!$H$61/SUM('Overall recycling rates'!$H$60:$H$62)*('BTX Recycling HC'!I80+'BTX Recycling HC'!I175)-'Overall recycling rates'!$I$61/SUM('Overall recycling rates'!$I$60:$I$62)*('BTX Recycling HC'!I81+'BTX Recycling HC'!I176)</f>
        <v>3.8172433749521462</v>
      </c>
      <c r="K80" s="44">
        <f>K36-'Overall recycling rates'!$G$61/SUM('Overall recycling rates'!$G$60:$G$62)*('BTX Recycling HC'!J78+'BTX Recycling HC'!J173)-'Overall recycling rates'!$E$61/SUM('Overall recycling rates'!$E$60:$E$62)*('BTX Recycling HC'!J79+'BTX Recycling HC'!J174)-'Overall recycling rates'!$H$61/SUM('Overall recycling rates'!$H$60:$H$62)*('BTX Recycling HC'!J80+'BTX Recycling HC'!J175)-'Overall recycling rates'!$I$61/SUM('Overall recycling rates'!$I$60:$I$62)*('BTX Recycling HC'!J81+'BTX Recycling HC'!J176)</f>
        <v>3.8384201871545516</v>
      </c>
      <c r="L80" s="44">
        <f>L36-'Overall recycling rates'!$G$61/SUM('Overall recycling rates'!$G$60:$G$62)*('BTX Recycling HC'!K78+'BTX Recycling HC'!K173)-'Overall recycling rates'!$E$61/SUM('Overall recycling rates'!$E$60:$E$62)*('BTX Recycling HC'!K79+'BTX Recycling HC'!K174)-'Overall recycling rates'!$H$61/SUM('Overall recycling rates'!$H$60:$H$62)*('BTX Recycling HC'!K80+'BTX Recycling HC'!K175)-'Overall recycling rates'!$I$61/SUM('Overall recycling rates'!$I$60:$I$62)*('BTX Recycling HC'!K81+'BTX Recycling HC'!K176)</f>
        <v>3.8594710234671257</v>
      </c>
      <c r="M80" s="44">
        <f>M36-'Overall recycling rates'!$G$61/SUM('Overall recycling rates'!$G$60:$G$62)*('BTX Recycling HC'!L78+'BTX Recycling HC'!L173)-'Overall recycling rates'!$E$61/SUM('Overall recycling rates'!$E$60:$E$62)*('BTX Recycling HC'!L79+'BTX Recycling HC'!L174)-'Overall recycling rates'!$H$61/SUM('Overall recycling rates'!$H$60:$H$62)*('BTX Recycling HC'!L80+'BTX Recycling HC'!L175)-'Overall recycling rates'!$I$61/SUM('Overall recycling rates'!$I$60:$I$62)*('BTX Recycling HC'!L81+'BTX Recycling HC'!L176)</f>
        <v>3.8804133166381112</v>
      </c>
      <c r="N80" s="44">
        <f>N36-'Overall recycling rates'!$G$61/SUM('Overall recycling rates'!$G$60:$G$62)*('BTX Recycling HC'!M78+'BTX Recycling HC'!M173)-'Overall recycling rates'!$E$61/SUM('Overall recycling rates'!$E$60:$E$62)*('BTX Recycling HC'!M79+'BTX Recycling HC'!M174)-'Overall recycling rates'!$H$61/SUM('Overall recycling rates'!$H$60:$H$62)*('BTX Recycling HC'!M80+'BTX Recycling HC'!M175)-'Overall recycling rates'!$I$61/SUM('Overall recycling rates'!$I$60:$I$62)*('BTX Recycling HC'!M81+'BTX Recycling HC'!M176)</f>
        <v>3.9012661405649434</v>
      </c>
      <c r="O80" s="44">
        <f>O36-'Overall recycling rates'!$G$61/SUM('Overall recycling rates'!$G$60:$G$62)*('BTX Recycling HC'!N78+'BTX Recycling HC'!N173)-'Overall recycling rates'!$E$61/SUM('Overall recycling rates'!$E$60:$E$62)*('BTX Recycling HC'!N79+'BTX Recycling HC'!N174)-'Overall recycling rates'!$H$61/SUM('Overall recycling rates'!$H$60:$H$62)*('BTX Recycling HC'!N80+'BTX Recycling HC'!N175)-'Overall recycling rates'!$I$61/SUM('Overall recycling rates'!$I$60:$I$62)*('BTX Recycling HC'!N81+'BTX Recycling HC'!N176)</f>
        <v>3.9072591264019265</v>
      </c>
      <c r="P80" s="44">
        <f>P36-'Overall recycling rates'!$G$61/SUM('Overall recycling rates'!$G$60:$G$62)*('BTX Recycling HC'!O78+'BTX Recycling HC'!O173)-'Overall recycling rates'!$E$61/SUM('Overall recycling rates'!$E$60:$E$62)*('BTX Recycling HC'!O79+'BTX Recycling HC'!O174)-'Overall recycling rates'!$H$61/SUM('Overall recycling rates'!$H$60:$H$62)*('BTX Recycling HC'!O80+'BTX Recycling HC'!O175)-'Overall recycling rates'!$I$61/SUM('Overall recycling rates'!$I$60:$I$62)*('BTX Recycling HC'!O81+'BTX Recycling HC'!O176)</f>
        <v>3.9134688439765828</v>
      </c>
      <c r="Q80" s="44">
        <f>Q36-'Overall recycling rates'!$G$61/SUM('Overall recycling rates'!$G$60:$G$62)*('BTX Recycling HC'!P78+'BTX Recycling HC'!P173)-'Overall recycling rates'!$E$61/SUM('Overall recycling rates'!$E$60:$E$62)*('BTX Recycling HC'!P79+'BTX Recycling HC'!P174)-'Overall recycling rates'!$H$61/SUM('Overall recycling rates'!$H$60:$H$62)*('BTX Recycling HC'!P80+'BTX Recycling HC'!P175)-'Overall recycling rates'!$I$61/SUM('Overall recycling rates'!$I$60:$I$62)*('BTX Recycling HC'!P81+'BTX Recycling HC'!P176)</f>
        <v>3.9200979497409705</v>
      </c>
      <c r="R80" s="44">
        <f>R36-'Overall recycling rates'!$G$61/SUM('Overall recycling rates'!$G$60:$G$62)*('BTX Recycling HC'!Q78+'BTX Recycling HC'!Q173)-'Overall recycling rates'!$E$61/SUM('Overall recycling rates'!$E$60:$E$62)*('BTX Recycling HC'!Q79+'BTX Recycling HC'!Q174)-'Overall recycling rates'!$H$61/SUM('Overall recycling rates'!$H$60:$H$62)*('BTX Recycling HC'!Q80+'BTX Recycling HC'!Q175)-'Overall recycling rates'!$I$61/SUM('Overall recycling rates'!$I$60:$I$62)*('BTX Recycling HC'!Q81+'BTX Recycling HC'!Q176)</f>
        <v>3.9273751819210467</v>
      </c>
      <c r="S80" s="44">
        <f>S36-'Overall recycling rates'!$G$61/SUM('Overall recycling rates'!$G$60:$G$62)*('BTX Recycling HC'!R78+'BTX Recycling HC'!R173)-'Overall recycling rates'!$E$61/SUM('Overall recycling rates'!$E$60:$E$62)*('BTX Recycling HC'!R79+'BTX Recycling HC'!R174)-'Overall recycling rates'!$H$61/SUM('Overall recycling rates'!$H$60:$H$62)*('BTX Recycling HC'!R80+'BTX Recycling HC'!R175)-'Overall recycling rates'!$I$61/SUM('Overall recycling rates'!$I$60:$I$62)*('BTX Recycling HC'!R81+'BTX Recycling HC'!R176)</f>
        <v>3.9355258686747492</v>
      </c>
      <c r="T80" s="44">
        <f>T36-'Overall recycling rates'!$G$61/SUM('Overall recycling rates'!$G$60:$G$62)*('BTX Recycling HC'!S78+'BTX Recycling HC'!S173)-'Overall recycling rates'!$E$61/SUM('Overall recycling rates'!$E$60:$E$62)*('BTX Recycling HC'!S79+'BTX Recycling HC'!S174)-'Overall recycling rates'!$H$61/SUM('Overall recycling rates'!$H$60:$H$62)*('BTX Recycling HC'!S80+'BTX Recycling HC'!S175)-'Overall recycling rates'!$I$61/SUM('Overall recycling rates'!$I$60:$I$62)*('BTX Recycling HC'!S81+'BTX Recycling HC'!S176)</f>
        <v>3.9436171797559147</v>
      </c>
      <c r="U80" s="44">
        <f>U36-'Overall recycling rates'!$G$61/SUM('Overall recycling rates'!$G$60:$G$62)*('BTX Recycling HC'!T78+'BTX Recycling HC'!T173)-'Overall recycling rates'!$E$61/SUM('Overall recycling rates'!$E$60:$E$62)*('BTX Recycling HC'!T79+'BTX Recycling HC'!T174)-'Overall recycling rates'!$H$61/SUM('Overall recycling rates'!$H$60:$H$62)*('BTX Recycling HC'!T80+'BTX Recycling HC'!T175)-'Overall recycling rates'!$I$61/SUM('Overall recycling rates'!$I$60:$I$62)*('BTX Recycling HC'!T81+'BTX Recycling HC'!T176)</f>
        <v>3.9516648478849064</v>
      </c>
      <c r="V80" s="44">
        <f>V36-'Overall recycling rates'!$G$61/SUM('Overall recycling rates'!$G$60:$G$62)*('BTX Recycling HC'!U78+'BTX Recycling HC'!U173)-'Overall recycling rates'!$E$61/SUM('Overall recycling rates'!$E$60:$E$62)*('BTX Recycling HC'!U79+'BTX Recycling HC'!U174)-'Overall recycling rates'!$H$61/SUM('Overall recycling rates'!$H$60:$H$62)*('BTX Recycling HC'!U80+'BTX Recycling HC'!U175)-'Overall recycling rates'!$I$61/SUM('Overall recycling rates'!$I$60:$I$62)*('BTX Recycling HC'!U81+'BTX Recycling HC'!U176)</f>
        <v>3.95968537655751</v>
      </c>
      <c r="W80" s="44">
        <f>W36-'Overall recycling rates'!$G$61/SUM('Overall recycling rates'!$G$60:$G$62)*('BTX Recycling HC'!V78+'BTX Recycling HC'!V173)-'Overall recycling rates'!$E$61/SUM('Overall recycling rates'!$E$60:$E$62)*('BTX Recycling HC'!V79+'BTX Recycling HC'!V174)-'Overall recycling rates'!$H$61/SUM('Overall recycling rates'!$H$60:$H$62)*('BTX Recycling HC'!V80+'BTX Recycling HC'!V175)-'Overall recycling rates'!$I$61/SUM('Overall recycling rates'!$I$60:$I$62)*('BTX Recycling HC'!V81+'BTX Recycling HC'!V176)</f>
        <v>3.9676960520039795</v>
      </c>
      <c r="X80" s="44">
        <f>X36-'Overall recycling rates'!$G$61/SUM('Overall recycling rates'!$G$60:$G$62)*('BTX Recycling HC'!W78+'BTX Recycling HC'!W173)-'Overall recycling rates'!$E$61/SUM('Overall recycling rates'!$E$60:$E$62)*('BTX Recycling HC'!W79+'BTX Recycling HC'!W174)-'Overall recycling rates'!$H$61/SUM('Overall recycling rates'!$H$60:$H$62)*('BTX Recycling HC'!W80+'BTX Recycling HC'!W175)-'Overall recycling rates'!$I$61/SUM('Overall recycling rates'!$I$60:$I$62)*('BTX Recycling HC'!W81+'BTX Recycling HC'!W176)</f>
        <v>3.975714954775512</v>
      </c>
      <c r="Y80" s="44">
        <f>Y36-'Overall recycling rates'!$G$61/SUM('Overall recycling rates'!$G$60:$G$62)*('BTX Recycling HC'!X78+'BTX Recycling HC'!X173)-'Overall recycling rates'!$E$61/SUM('Overall recycling rates'!$E$60:$E$62)*('BTX Recycling HC'!X79+'BTX Recycling HC'!X174)-'Overall recycling rates'!$H$61/SUM('Overall recycling rates'!$H$60:$H$62)*('BTX Recycling HC'!X80+'BTX Recycling HC'!X175)-'Overall recycling rates'!$I$61/SUM('Overall recycling rates'!$I$60:$I$62)*('BTX Recycling HC'!X81+'BTX Recycling HC'!X176)</f>
        <v>3.9562035474323682</v>
      </c>
      <c r="Z80" s="44">
        <f>Z36-'Overall recycling rates'!$G$61/SUM('Overall recycling rates'!$G$60:$G$62)*('BTX Recycling HC'!Y78+'BTX Recycling HC'!Y173)-'Overall recycling rates'!$E$61/SUM('Overall recycling rates'!$E$60:$E$62)*('BTX Recycling HC'!Y79+'BTX Recycling HC'!Y174)-'Overall recycling rates'!$H$61/SUM('Overall recycling rates'!$H$60:$H$62)*('BTX Recycling HC'!Y80+'BTX Recycling HC'!Y175)-'Overall recycling rates'!$I$61/SUM('Overall recycling rates'!$I$60:$I$62)*('BTX Recycling HC'!Y81+'BTX Recycling HC'!Y176)</f>
        <v>3.9362803079285644</v>
      </c>
      <c r="AA80" s="44">
        <f>AA36-'Overall recycling rates'!$G$61/SUM('Overall recycling rates'!$G$60:$G$62)*('BTX Recycling HC'!Z78+'BTX Recycling HC'!Z173)-'Overall recycling rates'!$E$61/SUM('Overall recycling rates'!$E$60:$E$62)*('BTX Recycling HC'!Z79+'BTX Recycling HC'!Z174)-'Overall recycling rates'!$H$61/SUM('Overall recycling rates'!$H$60:$H$62)*('BTX Recycling HC'!Z80+'BTX Recycling HC'!Z175)-'Overall recycling rates'!$I$61/SUM('Overall recycling rates'!$I$60:$I$62)*('BTX Recycling HC'!Z81+'BTX Recycling HC'!Z176)</f>
        <v>3.915938035884162</v>
      </c>
      <c r="AB80" s="44">
        <f>AB36-'Overall recycling rates'!$G$61/SUM('Overall recycling rates'!$G$60:$G$62)*('BTX Recycling HC'!AA78+'BTX Recycling HC'!AA173)-'Overall recycling rates'!$E$61/SUM('Overall recycling rates'!$E$60:$E$62)*('BTX Recycling HC'!AA79+'BTX Recycling HC'!AA174)-'Overall recycling rates'!$H$61/SUM('Overall recycling rates'!$H$60:$H$62)*('BTX Recycling HC'!AA80+'BTX Recycling HC'!AA175)-'Overall recycling rates'!$I$61/SUM('Overall recycling rates'!$I$60:$I$62)*('BTX Recycling HC'!AA81+'BTX Recycling HC'!AA176)</f>
        <v>3.8952340060343285</v>
      </c>
      <c r="AC80" s="44">
        <f>AC36-'Overall recycling rates'!$G$61/SUM('Overall recycling rates'!$G$60:$G$62)*('BTX Recycling HC'!AB78+'BTX Recycling HC'!AB173)-'Overall recycling rates'!$E$61/SUM('Overall recycling rates'!$E$60:$E$62)*('BTX Recycling HC'!AB79+'BTX Recycling HC'!AB174)-'Overall recycling rates'!$H$61/SUM('Overall recycling rates'!$H$60:$H$62)*('BTX Recycling HC'!AB80+'BTX Recycling HC'!AB175)-'Overall recycling rates'!$I$61/SUM('Overall recycling rates'!$I$60:$I$62)*('BTX Recycling HC'!AB81+'BTX Recycling HC'!AB176)</f>
        <v>3.8741976519737999</v>
      </c>
      <c r="AD80" s="44">
        <f>AD36-'Overall recycling rates'!$G$61/SUM('Overall recycling rates'!$G$60:$G$62)*('BTX Recycling HC'!AC78+'BTX Recycling HC'!AC173)-'Overall recycling rates'!$E$61/SUM('Overall recycling rates'!$E$60:$E$62)*('BTX Recycling HC'!AC79+'BTX Recycling HC'!AC174)-'Overall recycling rates'!$H$61/SUM('Overall recycling rates'!$H$60:$H$62)*('BTX Recycling HC'!AC80+'BTX Recycling HC'!AC175)-'Overall recycling rates'!$I$61/SUM('Overall recycling rates'!$I$60:$I$62)*('BTX Recycling HC'!AC81+'BTX Recycling HC'!AC176)</f>
        <v>3.8528481307075522</v>
      </c>
      <c r="AE80" s="44">
        <f>AE36-'Overall recycling rates'!$G$61/SUM('Overall recycling rates'!$G$60:$G$62)*('BTX Recycling HC'!AD78+'BTX Recycling HC'!AD173)-'Overall recycling rates'!$E$61/SUM('Overall recycling rates'!$E$60:$E$62)*('BTX Recycling HC'!AD79+'BTX Recycling HC'!AD174)-'Overall recycling rates'!$H$61/SUM('Overall recycling rates'!$H$60:$H$62)*('BTX Recycling HC'!AD80+'BTX Recycling HC'!AD175)-'Overall recycling rates'!$I$61/SUM('Overall recycling rates'!$I$60:$I$62)*('BTX Recycling HC'!AD81+'BTX Recycling HC'!AD176)</f>
        <v>3.8312157254811972</v>
      </c>
      <c r="AF80" s="44">
        <f>AF36-'Overall recycling rates'!$G$61/SUM('Overall recycling rates'!$G$60:$G$62)*('BTX Recycling HC'!AE78+'BTX Recycling HC'!AE173)-'Overall recycling rates'!$E$61/SUM('Overall recycling rates'!$E$60:$E$62)*('BTX Recycling HC'!AE79+'BTX Recycling HC'!AE174)-'Overall recycling rates'!$H$61/SUM('Overall recycling rates'!$H$60:$H$62)*('BTX Recycling HC'!AE80+'BTX Recycling HC'!AE175)-'Overall recycling rates'!$I$61/SUM('Overall recycling rates'!$I$60:$I$62)*('BTX Recycling HC'!AE81+'BTX Recycling HC'!AE176)</f>
        <v>3.8093322128655873</v>
      </c>
      <c r="AG80" s="44">
        <f>AG36-'Overall recycling rates'!$G$61/SUM('Overall recycling rates'!$G$60:$G$62)*('BTX Recycling HC'!AF78+'BTX Recycling HC'!AF173)-'Overall recycling rates'!$E$61/SUM('Overall recycling rates'!$E$60:$E$62)*('BTX Recycling HC'!AF79+'BTX Recycling HC'!AF174)-'Overall recycling rates'!$H$61/SUM('Overall recycling rates'!$H$60:$H$62)*('BTX Recycling HC'!AF80+'BTX Recycling HC'!AF175)-'Overall recycling rates'!$I$61/SUM('Overall recycling rates'!$I$60:$I$62)*('BTX Recycling HC'!AF81+'BTX Recycling HC'!AF176)</f>
        <v>3.7872308910203469</v>
      </c>
      <c r="AH80" s="44">
        <f>AH36-'Overall recycling rates'!$G$61/SUM('Overall recycling rates'!$G$60:$G$62)*('BTX Recycling HC'!AG78+'BTX Recycling HC'!AG173)-'Overall recycling rates'!$E$61/SUM('Overall recycling rates'!$E$60:$E$62)*('BTX Recycling HC'!AG79+'BTX Recycling HC'!AG174)-'Overall recycling rates'!$H$61/SUM('Overall recycling rates'!$H$60:$H$62)*('BTX Recycling HC'!AG80+'BTX Recycling HC'!AG175)-'Overall recycling rates'!$I$61/SUM('Overall recycling rates'!$I$60:$I$62)*('BTX Recycling HC'!AG81+'BTX Recycling HC'!AG176)</f>
        <v>3.7649466075577038</v>
      </c>
      <c r="AJ80" s="44">
        <f>AJ36-'Overall recycling rates'!$G$61/SUM('Overall recycling rates'!$G$60:$G$62)*('BTX Recycling HC'!C78+'BTX Recycling HC'!C173)-'Overall recycling rates'!$E$61/SUM('Overall recycling rates'!$E$60:$E$62)*('BTX Recycling HC'!C79+'BTX Recycling HC'!C174)-'Overall recycling rates'!$H$61/SUM('Overall recycling rates'!$H$60:$H$62)*('BTX Recycling HC'!C80+'BTX Recycling HC'!C175)-'Overall recycling rates'!$I$61/SUM('Overall recycling rates'!$I$60:$I$62)*('BTX Recycling HC'!C81+'BTX Recycling HC'!C176)</f>
        <v>3.690958960657742</v>
      </c>
      <c r="AK80" s="44">
        <f>AK36-'Overall recycling rates'!$G$61/SUM('Overall recycling rates'!$G$60:$G$62)*('BTX Recycling HC'!D78+'BTX Recycling HC'!D173)-'Overall recycling rates'!$E$61/SUM('Overall recycling rates'!$E$60:$E$62)*('BTX Recycling HC'!D79+'BTX Recycling HC'!D174)-'Overall recycling rates'!$H$61/SUM('Overall recycling rates'!$H$60:$H$62)*('BTX Recycling HC'!D80+'BTX Recycling HC'!D175)-'Overall recycling rates'!$I$61/SUM('Overall recycling rates'!$I$60:$I$62)*('BTX Recycling HC'!D81+'BTX Recycling HC'!D176)</f>
        <v>3.7117366148685496</v>
      </c>
      <c r="AL80" s="44">
        <f>AL36-'Overall recycling rates'!$G$61/SUM('Overall recycling rates'!$G$60:$G$62)*('BTX Recycling HC'!E78+'BTX Recycling HC'!E173)-'Overall recycling rates'!$E$61/SUM('Overall recycling rates'!$E$60:$E$62)*('BTX Recycling HC'!E79+'BTX Recycling HC'!E174)-'Overall recycling rates'!$H$61/SUM('Overall recycling rates'!$H$60:$H$62)*('BTX Recycling HC'!E80+'BTX Recycling HC'!E175)-'Overall recycling rates'!$I$61/SUM('Overall recycling rates'!$I$60:$I$62)*('BTX Recycling HC'!E81+'BTX Recycling HC'!E176)</f>
        <v>3.7324932860813727</v>
      </c>
      <c r="AM80" s="44">
        <f>AM36-'Overall recycling rates'!$G$61/SUM('Overall recycling rates'!$G$60:$G$62)*('BTX Recycling HC'!F78+'BTX Recycling HC'!F173)-'Overall recycling rates'!$E$61/SUM('Overall recycling rates'!$E$60:$E$62)*('BTX Recycling HC'!F79+'BTX Recycling HC'!F174)-'Overall recycling rates'!$H$61/SUM('Overall recycling rates'!$H$60:$H$62)*('BTX Recycling HC'!F80+'BTX Recycling HC'!F175)-'Overall recycling rates'!$I$61/SUM('Overall recycling rates'!$I$60:$I$62)*('BTX Recycling HC'!F81+'BTX Recycling HC'!F176)</f>
        <v>3.7533533529199103</v>
      </c>
      <c r="AN80" s="44">
        <f>AN36-'Overall recycling rates'!$G$61/SUM('Overall recycling rates'!$G$60:$G$62)*('BTX Recycling HC'!G78+'BTX Recycling HC'!G173)-'Overall recycling rates'!$E$61/SUM('Overall recycling rates'!$E$60:$E$62)*('BTX Recycling HC'!G79+'BTX Recycling HC'!G174)-'Overall recycling rates'!$H$61/SUM('Overall recycling rates'!$H$60:$H$62)*('BTX Recycling HC'!G80+'BTX Recycling HC'!G175)-'Overall recycling rates'!$I$61/SUM('Overall recycling rates'!$I$60:$I$62)*('BTX Recycling HC'!G81+'BTX Recycling HC'!G176)</f>
        <v>3.7744501671415249</v>
      </c>
      <c r="AO80" s="44">
        <f>AO36-'Overall recycling rates'!$G$61/SUM('Overall recycling rates'!$G$60:$G$62)*('BTX Recycling HC'!H78+'BTX Recycling HC'!H173)-'Overall recycling rates'!$E$61/SUM('Overall recycling rates'!$E$60:$E$62)*('BTX Recycling HC'!H79+'BTX Recycling HC'!H174)-'Overall recycling rates'!$H$61/SUM('Overall recycling rates'!$H$60:$H$62)*('BTX Recycling HC'!H80+'BTX Recycling HC'!H175)-'Overall recycling rates'!$I$61/SUM('Overall recycling rates'!$I$60:$I$62)*('BTX Recycling HC'!H81+'BTX Recycling HC'!H176)</f>
        <v>3.7959247741726951</v>
      </c>
      <c r="AP80" s="44">
        <f>AP36-'Overall recycling rates'!$G$61/SUM('Overall recycling rates'!$G$60:$G$62)*('BTX Recycling HC'!I78+'BTX Recycling HC'!I173)-'Overall recycling rates'!$E$61/SUM('Overall recycling rates'!$E$60:$E$62)*('BTX Recycling HC'!I79+'BTX Recycling HC'!I174)-'Overall recycling rates'!$H$61/SUM('Overall recycling rates'!$H$60:$H$62)*('BTX Recycling HC'!I80+'BTX Recycling HC'!I175)-'Overall recycling rates'!$I$61/SUM('Overall recycling rates'!$I$60:$I$62)*('BTX Recycling HC'!I81+'BTX Recycling HC'!I176)</f>
        <v>3.8172433749521462</v>
      </c>
      <c r="AQ80" s="44">
        <f>AQ36-'Overall recycling rates'!$G$61/SUM('Overall recycling rates'!$G$60:$G$62)*('BTX Recycling HC'!J78+'BTX Recycling HC'!J173)-'Overall recycling rates'!$E$61/SUM('Overall recycling rates'!$E$60:$E$62)*('BTX Recycling HC'!J79+'BTX Recycling HC'!J174)-'Overall recycling rates'!$H$61/SUM('Overall recycling rates'!$H$60:$H$62)*('BTX Recycling HC'!J80+'BTX Recycling HC'!J175)-'Overall recycling rates'!$I$61/SUM('Overall recycling rates'!$I$60:$I$62)*('BTX Recycling HC'!J81+'BTX Recycling HC'!J176)</f>
        <v>3.8384201871545516</v>
      </c>
      <c r="AR80" s="44">
        <f>AR36-'Overall recycling rates'!$G$61/SUM('Overall recycling rates'!$G$60:$G$62)*('BTX Recycling HC'!K78+'BTX Recycling HC'!K173)-'Overall recycling rates'!$E$61/SUM('Overall recycling rates'!$E$60:$E$62)*('BTX Recycling HC'!K79+'BTX Recycling HC'!K174)-'Overall recycling rates'!$H$61/SUM('Overall recycling rates'!$H$60:$H$62)*('BTX Recycling HC'!K80+'BTX Recycling HC'!K175)-'Overall recycling rates'!$I$61/SUM('Overall recycling rates'!$I$60:$I$62)*('BTX Recycling HC'!K81+'BTX Recycling HC'!K176)</f>
        <v>3.8594710234671257</v>
      </c>
      <c r="AS80" s="44">
        <f>AS36-'Overall recycling rates'!$G$61/SUM('Overall recycling rates'!$G$60:$G$62)*('BTX Recycling HC'!L78+'BTX Recycling HC'!L173)-'Overall recycling rates'!$E$61/SUM('Overall recycling rates'!$E$60:$E$62)*('BTX Recycling HC'!L79+'BTX Recycling HC'!L174)-'Overall recycling rates'!$H$61/SUM('Overall recycling rates'!$H$60:$H$62)*('BTX Recycling HC'!L80+'BTX Recycling HC'!L175)-'Overall recycling rates'!$I$61/SUM('Overall recycling rates'!$I$60:$I$62)*('BTX Recycling HC'!L81+'BTX Recycling HC'!L176)</f>
        <v>3.8804133166381112</v>
      </c>
      <c r="AT80" s="44">
        <f>AT36-'Overall recycling rates'!$G$61/SUM('Overall recycling rates'!$G$60:$G$62)*('BTX Recycling HC'!M78+'BTX Recycling HC'!M173)-'Overall recycling rates'!$E$61/SUM('Overall recycling rates'!$E$60:$E$62)*('BTX Recycling HC'!M79+'BTX Recycling HC'!M174)-'Overall recycling rates'!$H$61/SUM('Overall recycling rates'!$H$60:$H$62)*('BTX Recycling HC'!M80+'BTX Recycling HC'!M175)-'Overall recycling rates'!$I$61/SUM('Overall recycling rates'!$I$60:$I$62)*('BTX Recycling HC'!M81+'BTX Recycling HC'!M176)</f>
        <v>3.9012661405649434</v>
      </c>
      <c r="AU80" s="44">
        <f>AU36-'Overall recycling rates'!$G$61/SUM('Overall recycling rates'!$G$60:$G$62)*('BTX Recycling HC'!N78+'BTX Recycling HC'!N173)-'Overall recycling rates'!$E$61/SUM('Overall recycling rates'!$E$60:$E$62)*('BTX Recycling HC'!N79+'BTX Recycling HC'!N174)-'Overall recycling rates'!$H$61/SUM('Overall recycling rates'!$H$60:$H$62)*('BTX Recycling HC'!N80+'BTX Recycling HC'!N175)-'Overall recycling rates'!$I$61/SUM('Overall recycling rates'!$I$60:$I$62)*('BTX Recycling HC'!N81+'BTX Recycling HC'!N176)</f>
        <v>3.9072591264019265</v>
      </c>
      <c r="AV80" s="44">
        <f>AV36-'Overall recycling rates'!$G$61/SUM('Overall recycling rates'!$G$60:$G$62)*('BTX Recycling HC'!O78+'BTX Recycling HC'!O173)-'Overall recycling rates'!$E$61/SUM('Overall recycling rates'!$E$60:$E$62)*('BTX Recycling HC'!O79+'BTX Recycling HC'!O174)-'Overall recycling rates'!$H$61/SUM('Overall recycling rates'!$H$60:$H$62)*('BTX Recycling HC'!O80+'BTX Recycling HC'!O175)-'Overall recycling rates'!$I$61/SUM('Overall recycling rates'!$I$60:$I$62)*('BTX Recycling HC'!O81+'BTX Recycling HC'!O176)</f>
        <v>3.9134688439765828</v>
      </c>
      <c r="AW80" s="44">
        <f>AW36-'Overall recycling rates'!$G$61/SUM('Overall recycling rates'!$G$60:$G$62)*('BTX Recycling HC'!P78+'BTX Recycling HC'!P173)-'Overall recycling rates'!$E$61/SUM('Overall recycling rates'!$E$60:$E$62)*('BTX Recycling HC'!P79+'BTX Recycling HC'!P174)-'Overall recycling rates'!$H$61/SUM('Overall recycling rates'!$H$60:$H$62)*('BTX Recycling HC'!P80+'BTX Recycling HC'!P175)-'Overall recycling rates'!$I$61/SUM('Overall recycling rates'!$I$60:$I$62)*('BTX Recycling HC'!P81+'BTX Recycling HC'!P176)</f>
        <v>3.9200979497409705</v>
      </c>
      <c r="AX80" s="44">
        <f>AX36-'Overall recycling rates'!$G$61/SUM('Overall recycling rates'!$G$60:$G$62)*('BTX Recycling HC'!Q78+'BTX Recycling HC'!Q173)-'Overall recycling rates'!$E$61/SUM('Overall recycling rates'!$E$60:$E$62)*('BTX Recycling HC'!Q79+'BTX Recycling HC'!Q174)-'Overall recycling rates'!$H$61/SUM('Overall recycling rates'!$H$60:$H$62)*('BTX Recycling HC'!Q80+'BTX Recycling HC'!Q175)-'Overall recycling rates'!$I$61/SUM('Overall recycling rates'!$I$60:$I$62)*('BTX Recycling HC'!Q81+'BTX Recycling HC'!Q176)</f>
        <v>3.9273751819210467</v>
      </c>
      <c r="AY80" s="44">
        <f>AY36-'Overall recycling rates'!$G$61/SUM('Overall recycling rates'!$G$60:$G$62)*('BTX Recycling HC'!R78+'BTX Recycling HC'!R173)-'Overall recycling rates'!$E$61/SUM('Overall recycling rates'!$E$60:$E$62)*('BTX Recycling HC'!R79+'BTX Recycling HC'!R174)-'Overall recycling rates'!$H$61/SUM('Overall recycling rates'!$H$60:$H$62)*('BTX Recycling HC'!R80+'BTX Recycling HC'!R175)-'Overall recycling rates'!$I$61/SUM('Overall recycling rates'!$I$60:$I$62)*('BTX Recycling HC'!R81+'BTX Recycling HC'!R176)</f>
        <v>3.9355258686747492</v>
      </c>
      <c r="AZ80" s="44">
        <f>AZ36-'Overall recycling rates'!$G$61/SUM('Overall recycling rates'!$G$60:$G$62)*('BTX Recycling HC'!S78+'BTX Recycling HC'!S173)-'Overall recycling rates'!$E$61/SUM('Overall recycling rates'!$E$60:$E$62)*('BTX Recycling HC'!S79+'BTX Recycling HC'!S174)-'Overall recycling rates'!$H$61/SUM('Overall recycling rates'!$H$60:$H$62)*('BTX Recycling HC'!S80+'BTX Recycling HC'!S175)-'Overall recycling rates'!$I$61/SUM('Overall recycling rates'!$I$60:$I$62)*('BTX Recycling HC'!S81+'BTX Recycling HC'!S176)</f>
        <v>3.9436171797559147</v>
      </c>
      <c r="BA80" s="44">
        <f>BA36-'Overall recycling rates'!$G$61/SUM('Overall recycling rates'!$G$60:$G$62)*('BTX Recycling HC'!T78+'BTX Recycling HC'!T173)-'Overall recycling rates'!$E$61/SUM('Overall recycling rates'!$E$60:$E$62)*('BTX Recycling HC'!T79+'BTX Recycling HC'!T174)-'Overall recycling rates'!$H$61/SUM('Overall recycling rates'!$H$60:$H$62)*('BTX Recycling HC'!T80+'BTX Recycling HC'!T175)-'Overall recycling rates'!$I$61/SUM('Overall recycling rates'!$I$60:$I$62)*('BTX Recycling HC'!T81+'BTX Recycling HC'!T176)</f>
        <v>3.9516648478849064</v>
      </c>
      <c r="BB80" s="44">
        <f>BB36-'Overall recycling rates'!$G$61/SUM('Overall recycling rates'!$G$60:$G$62)*('BTX Recycling HC'!U78+'BTX Recycling HC'!U173)-'Overall recycling rates'!$E$61/SUM('Overall recycling rates'!$E$60:$E$62)*('BTX Recycling HC'!U79+'BTX Recycling HC'!U174)-'Overall recycling rates'!$H$61/SUM('Overall recycling rates'!$H$60:$H$62)*('BTX Recycling HC'!U80+'BTX Recycling HC'!U175)-'Overall recycling rates'!$I$61/SUM('Overall recycling rates'!$I$60:$I$62)*('BTX Recycling HC'!U81+'BTX Recycling HC'!U176)</f>
        <v>3.95968537655751</v>
      </c>
      <c r="BC80" s="44">
        <f>BC36-'Overall recycling rates'!$G$61/SUM('Overall recycling rates'!$G$60:$G$62)*('BTX Recycling HC'!V78+'BTX Recycling HC'!V173)-'Overall recycling rates'!$E$61/SUM('Overall recycling rates'!$E$60:$E$62)*('BTX Recycling HC'!V79+'BTX Recycling HC'!V174)-'Overall recycling rates'!$H$61/SUM('Overall recycling rates'!$H$60:$H$62)*('BTX Recycling HC'!V80+'BTX Recycling HC'!V175)-'Overall recycling rates'!$I$61/SUM('Overall recycling rates'!$I$60:$I$62)*('BTX Recycling HC'!V81+'BTX Recycling HC'!V176)</f>
        <v>3.9676960520039795</v>
      </c>
      <c r="BD80" s="44">
        <f>BD36-'Overall recycling rates'!$G$61/SUM('Overall recycling rates'!$G$60:$G$62)*('BTX Recycling HC'!W78+'BTX Recycling HC'!W173)-'Overall recycling rates'!$E$61/SUM('Overall recycling rates'!$E$60:$E$62)*('BTX Recycling HC'!W79+'BTX Recycling HC'!W174)-'Overall recycling rates'!$H$61/SUM('Overall recycling rates'!$H$60:$H$62)*('BTX Recycling HC'!W80+'BTX Recycling HC'!W175)-'Overall recycling rates'!$I$61/SUM('Overall recycling rates'!$I$60:$I$62)*('BTX Recycling HC'!W81+'BTX Recycling HC'!W176)</f>
        <v>3.975714954775512</v>
      </c>
      <c r="BE80" s="44">
        <f>BE36-'Overall recycling rates'!$G$61/SUM('Overall recycling rates'!$G$60:$G$62)*('BTX Recycling HC'!X78+'BTX Recycling HC'!X173)-'Overall recycling rates'!$E$61/SUM('Overall recycling rates'!$E$60:$E$62)*('BTX Recycling HC'!X79+'BTX Recycling HC'!X174)-'Overall recycling rates'!$H$61/SUM('Overall recycling rates'!$H$60:$H$62)*('BTX Recycling HC'!X80+'BTX Recycling HC'!X175)-'Overall recycling rates'!$I$61/SUM('Overall recycling rates'!$I$60:$I$62)*('BTX Recycling HC'!X81+'BTX Recycling HC'!X176)</f>
        <v>3.9562035474323682</v>
      </c>
      <c r="BF80" s="44">
        <f>BF36-'Overall recycling rates'!$G$61/SUM('Overall recycling rates'!$G$60:$G$62)*('BTX Recycling HC'!Y78+'BTX Recycling HC'!Y173)-'Overall recycling rates'!$E$61/SUM('Overall recycling rates'!$E$60:$E$62)*('BTX Recycling HC'!Y79+'BTX Recycling HC'!Y174)-'Overall recycling rates'!$H$61/SUM('Overall recycling rates'!$H$60:$H$62)*('BTX Recycling HC'!Y80+'BTX Recycling HC'!Y175)-'Overall recycling rates'!$I$61/SUM('Overall recycling rates'!$I$60:$I$62)*('BTX Recycling HC'!Y81+'BTX Recycling HC'!Y176)</f>
        <v>3.9362803079285644</v>
      </c>
      <c r="BG80" s="44">
        <f>BG36-'Overall recycling rates'!$G$61/SUM('Overall recycling rates'!$G$60:$G$62)*('BTX Recycling HC'!Z78+'BTX Recycling HC'!Z173)-'Overall recycling rates'!$E$61/SUM('Overall recycling rates'!$E$60:$E$62)*('BTX Recycling HC'!Z79+'BTX Recycling HC'!Z174)-'Overall recycling rates'!$H$61/SUM('Overall recycling rates'!$H$60:$H$62)*('BTX Recycling HC'!Z80+'BTX Recycling HC'!Z175)-'Overall recycling rates'!$I$61/SUM('Overall recycling rates'!$I$60:$I$62)*('BTX Recycling HC'!Z81+'BTX Recycling HC'!Z176)</f>
        <v>3.915938035884162</v>
      </c>
      <c r="BH80" s="44">
        <f>BH36-'Overall recycling rates'!$G$61/SUM('Overall recycling rates'!$G$60:$G$62)*('BTX Recycling HC'!AA78+'BTX Recycling HC'!AA173)-'Overall recycling rates'!$E$61/SUM('Overall recycling rates'!$E$60:$E$62)*('BTX Recycling HC'!AA79+'BTX Recycling HC'!AA174)-'Overall recycling rates'!$H$61/SUM('Overall recycling rates'!$H$60:$H$62)*('BTX Recycling HC'!AA80+'BTX Recycling HC'!AA175)-'Overall recycling rates'!$I$61/SUM('Overall recycling rates'!$I$60:$I$62)*('BTX Recycling HC'!AA81+'BTX Recycling HC'!AA176)</f>
        <v>3.8952340060343285</v>
      </c>
      <c r="BI80" s="44">
        <f>BI36-'Overall recycling rates'!$G$61/SUM('Overall recycling rates'!$G$60:$G$62)*('BTX Recycling HC'!AB78+'BTX Recycling HC'!AB173)-'Overall recycling rates'!$E$61/SUM('Overall recycling rates'!$E$60:$E$62)*('BTX Recycling HC'!AB79+'BTX Recycling HC'!AB174)-'Overall recycling rates'!$H$61/SUM('Overall recycling rates'!$H$60:$H$62)*('BTX Recycling HC'!AB80+'BTX Recycling HC'!AB175)-'Overall recycling rates'!$I$61/SUM('Overall recycling rates'!$I$60:$I$62)*('BTX Recycling HC'!AB81+'BTX Recycling HC'!AB176)</f>
        <v>3.8741976519737999</v>
      </c>
      <c r="BJ80" s="44">
        <f>BJ36-'Overall recycling rates'!$G$61/SUM('Overall recycling rates'!$G$60:$G$62)*('BTX Recycling HC'!AC78+'BTX Recycling HC'!AC173)-'Overall recycling rates'!$E$61/SUM('Overall recycling rates'!$E$60:$E$62)*('BTX Recycling HC'!AC79+'BTX Recycling HC'!AC174)-'Overall recycling rates'!$H$61/SUM('Overall recycling rates'!$H$60:$H$62)*('BTX Recycling HC'!AC80+'BTX Recycling HC'!AC175)-'Overall recycling rates'!$I$61/SUM('Overall recycling rates'!$I$60:$I$62)*('BTX Recycling HC'!AC81+'BTX Recycling HC'!AC176)</f>
        <v>3.8528481307075522</v>
      </c>
      <c r="BK80" s="44">
        <f>BK36-'Overall recycling rates'!$G$61/SUM('Overall recycling rates'!$G$60:$G$62)*('BTX Recycling HC'!AD78+'BTX Recycling HC'!AD173)-'Overall recycling rates'!$E$61/SUM('Overall recycling rates'!$E$60:$E$62)*('BTX Recycling HC'!AD79+'BTX Recycling HC'!AD174)-'Overall recycling rates'!$H$61/SUM('Overall recycling rates'!$H$60:$H$62)*('BTX Recycling HC'!AD80+'BTX Recycling HC'!AD175)-'Overall recycling rates'!$I$61/SUM('Overall recycling rates'!$I$60:$I$62)*('BTX Recycling HC'!AD81+'BTX Recycling HC'!AD176)</f>
        <v>3.8312157254811972</v>
      </c>
      <c r="BL80" s="44">
        <f>BL36-'Overall recycling rates'!$G$61/SUM('Overall recycling rates'!$G$60:$G$62)*('BTX Recycling HC'!AE78+'BTX Recycling HC'!AE173)-'Overall recycling rates'!$E$61/SUM('Overall recycling rates'!$E$60:$E$62)*('BTX Recycling HC'!AE79+'BTX Recycling HC'!AE174)-'Overall recycling rates'!$H$61/SUM('Overall recycling rates'!$H$60:$H$62)*('BTX Recycling HC'!AE80+'BTX Recycling HC'!AE175)-'Overall recycling rates'!$I$61/SUM('Overall recycling rates'!$I$60:$I$62)*('BTX Recycling HC'!AE81+'BTX Recycling HC'!AE176)</f>
        <v>3.8093322128655873</v>
      </c>
      <c r="BM80" s="44">
        <f>BM36-'Overall recycling rates'!$G$61/SUM('Overall recycling rates'!$G$60:$G$62)*('BTX Recycling HC'!AF78+'BTX Recycling HC'!AF173)-'Overall recycling rates'!$E$61/SUM('Overall recycling rates'!$E$60:$E$62)*('BTX Recycling HC'!AF79+'BTX Recycling HC'!AF174)-'Overall recycling rates'!$H$61/SUM('Overall recycling rates'!$H$60:$H$62)*('BTX Recycling HC'!AF80+'BTX Recycling HC'!AF175)-'Overall recycling rates'!$I$61/SUM('Overall recycling rates'!$I$60:$I$62)*('BTX Recycling HC'!AF81+'BTX Recycling HC'!AF176)</f>
        <v>3.7872308910203469</v>
      </c>
      <c r="BN80" s="44">
        <f>BN36-'Overall recycling rates'!$G$61/SUM('Overall recycling rates'!$G$60:$G$62)*('BTX Recycling HC'!AG78+'BTX Recycling HC'!AG173)-'Overall recycling rates'!$E$61/SUM('Overall recycling rates'!$E$60:$E$62)*('BTX Recycling HC'!AG79+'BTX Recycling HC'!AG174)-'Overall recycling rates'!$H$61/SUM('Overall recycling rates'!$H$60:$H$62)*('BTX Recycling HC'!AG80+'BTX Recycling HC'!AG175)-'Overall recycling rates'!$I$61/SUM('Overall recycling rates'!$I$60:$I$62)*('BTX Recycling HC'!AG81+'BTX Recycling HC'!AG176)</f>
        <v>3.7649466075577038</v>
      </c>
    </row>
    <row r="81" spans="1:66" s="68" customFormat="1" outlineLevel="1">
      <c r="A81" s="754"/>
      <c r="B81" s="62" t="s">
        <v>166</v>
      </c>
      <c r="C81" s="283" t="s">
        <v>153</v>
      </c>
      <c r="D81" s="284">
        <f>D37-'Overall recycling rates'!$G$62/SUM('Overall recycling rates'!$G$60:$G$62)*('BTX Recycling HC'!C78+'BTX Recycling HC'!C173)-'Overall recycling rates'!$E$62/SUM('Overall recycling rates'!$E$60:$E$62)*('BTX Recycling HC'!C79+'BTX Recycling HC'!C174)-'Overall recycling rates'!$H$62/SUM('Overall recycling rates'!$H$60:$H$62)*('BTX Recycling HC'!C80+'BTX Recycling HC'!C175)-'Overall recycling rates'!$I$62/SUM('Overall recycling rates'!$I$60:$I$62)*('BTX Recycling HC'!C81+'BTX Recycling HC'!C176)</f>
        <v>33.557300929497657</v>
      </c>
      <c r="E81" s="284">
        <f>E37-'Overall recycling rates'!$G$62/SUM('Overall recycling rates'!$G$60:$G$62)*('BTX Recycling HC'!D78+'BTX Recycling HC'!D173)-'Overall recycling rates'!$E$62/SUM('Overall recycling rates'!$E$60:$E$62)*('BTX Recycling HC'!D79+'BTX Recycling HC'!D174)-'Overall recycling rates'!$H$62/SUM('Overall recycling rates'!$H$60:$H$62)*('BTX Recycling HC'!D80+'BTX Recycling HC'!D175)-'Overall recycling rates'!$I$62/SUM('Overall recycling rates'!$I$60:$I$62)*('BTX Recycling HC'!D81+'BTX Recycling HC'!D176)</f>
        <v>33.793434947624135</v>
      </c>
      <c r="F81" s="284">
        <f>F37-'Overall recycling rates'!$G$62/SUM('Overall recycling rates'!$G$60:$G$62)*('BTX Recycling HC'!E78+'BTX Recycling HC'!E173)-'Overall recycling rates'!$E$62/SUM('Overall recycling rates'!$E$60:$E$62)*('BTX Recycling HC'!E79+'BTX Recycling HC'!E174)-'Overall recycling rates'!$H$62/SUM('Overall recycling rates'!$H$60:$H$62)*('BTX Recycling HC'!E80+'BTX Recycling HC'!E175)-'Overall recycling rates'!$I$62/SUM('Overall recycling rates'!$I$60:$I$62)*('BTX Recycling HC'!E81+'BTX Recycling HC'!E176)</f>
        <v>34.034429905475925</v>
      </c>
      <c r="G81" s="284">
        <f>G37-'Overall recycling rates'!$G$62/SUM('Overall recycling rates'!$G$60:$G$62)*('BTX Recycling HC'!F78+'BTX Recycling HC'!F173)-'Overall recycling rates'!$E$62/SUM('Overall recycling rates'!$E$60:$E$62)*('BTX Recycling HC'!F79+'BTX Recycling HC'!F174)-'Overall recycling rates'!$H$62/SUM('Overall recycling rates'!$H$60:$H$62)*('BTX Recycling HC'!F80+'BTX Recycling HC'!F175)-'Overall recycling rates'!$I$62/SUM('Overall recycling rates'!$I$60:$I$62)*('BTX Recycling HC'!F81+'BTX Recycling HC'!F176)</f>
        <v>34.281372496677619</v>
      </c>
      <c r="H81" s="284">
        <f>H37-'Overall recycling rates'!$G$62/SUM('Overall recycling rates'!$G$60:$G$62)*('BTX Recycling HC'!G78+'BTX Recycling HC'!G173)-'Overall recycling rates'!$E$62/SUM('Overall recycling rates'!$E$60:$E$62)*('BTX Recycling HC'!G79+'BTX Recycling HC'!G174)-'Overall recycling rates'!$H$62/SUM('Overall recycling rates'!$H$60:$H$62)*('BTX Recycling HC'!G80+'BTX Recycling HC'!G175)-'Overall recycling rates'!$I$62/SUM('Overall recycling rates'!$I$60:$I$62)*('BTX Recycling HC'!G81+'BTX Recycling HC'!G176)</f>
        <v>34.535362275217466</v>
      </c>
      <c r="I81" s="284">
        <f>I37-'Overall recycling rates'!$G$62/SUM('Overall recycling rates'!$G$60:$G$62)*('BTX Recycling HC'!H78+'BTX Recycling HC'!H173)-'Overall recycling rates'!$E$62/SUM('Overall recycling rates'!$E$60:$E$62)*('BTX Recycling HC'!H79+'BTX Recycling HC'!H174)-'Overall recycling rates'!$H$62/SUM('Overall recycling rates'!$H$60:$H$62)*('BTX Recycling HC'!H80+'BTX Recycling HC'!H175)-'Overall recycling rates'!$I$62/SUM('Overall recycling rates'!$I$60:$I$62)*('BTX Recycling HC'!H81+'BTX Recycling HC'!H176)</f>
        <v>34.797497723776715</v>
      </c>
      <c r="J81" s="284">
        <f>J37-'Overall recycling rates'!$G$62/SUM('Overall recycling rates'!$G$60:$G$62)*('BTX Recycling HC'!I78+'BTX Recycling HC'!I173)-'Overall recycling rates'!$E$62/SUM('Overall recycling rates'!$E$60:$E$62)*('BTX Recycling HC'!I79+'BTX Recycling HC'!I174)-'Overall recycling rates'!$H$62/SUM('Overall recycling rates'!$H$60:$H$62)*('BTX Recycling HC'!I80+'BTX Recycling HC'!I175)-'Overall recycling rates'!$I$62/SUM('Overall recycling rates'!$I$60:$I$62)*('BTX Recycling HC'!I81+'BTX Recycling HC'!I176)</f>
        <v>35.063915893859772</v>
      </c>
      <c r="K81" s="284">
        <f>K37-'Overall recycling rates'!$G$62/SUM('Overall recycling rates'!$G$60:$G$62)*('BTX Recycling HC'!J78+'BTX Recycling HC'!J173)-'Overall recycling rates'!$E$62/SUM('Overall recycling rates'!$E$60:$E$62)*('BTX Recycling HC'!J79+'BTX Recycling HC'!J174)-'Overall recycling rates'!$H$62/SUM('Overall recycling rates'!$H$60:$H$62)*('BTX Recycling HC'!J80+'BTX Recycling HC'!J175)-'Overall recycling rates'!$I$62/SUM('Overall recycling rates'!$I$60:$I$62)*('BTX Recycling HC'!J81+'BTX Recycling HC'!J176)</f>
        <v>35.334914203594174</v>
      </c>
      <c r="L81" s="284">
        <f>L37-'Overall recycling rates'!$G$62/SUM('Overall recycling rates'!$G$60:$G$62)*('BTX Recycling HC'!K78+'BTX Recycling HC'!K173)-'Overall recycling rates'!$E$62/SUM('Overall recycling rates'!$E$60:$E$62)*('BTX Recycling HC'!K79+'BTX Recycling HC'!K174)-'Overall recycling rates'!$H$62/SUM('Overall recycling rates'!$H$60:$H$62)*('BTX Recycling HC'!K80+'BTX Recycling HC'!K175)-'Overall recycling rates'!$I$62/SUM('Overall recycling rates'!$I$60:$I$62)*('BTX Recycling HC'!K81+'BTX Recycling HC'!K176)</f>
        <v>35.610796368465522</v>
      </c>
      <c r="M81" s="284">
        <f>M37-'Overall recycling rates'!$G$62/SUM('Overall recycling rates'!$G$60:$G$62)*('BTX Recycling HC'!L78+'BTX Recycling HC'!L173)-'Overall recycling rates'!$E$62/SUM('Overall recycling rates'!$E$60:$E$62)*('BTX Recycling HC'!L79+'BTX Recycling HC'!L174)-'Overall recycling rates'!$H$62/SUM('Overall recycling rates'!$H$60:$H$62)*('BTX Recycling HC'!L80+'BTX Recycling HC'!L175)-'Overall recycling rates'!$I$62/SUM('Overall recycling rates'!$I$60:$I$62)*('BTX Recycling HC'!L81+'BTX Recycling HC'!L176)</f>
        <v>35.891871805297413</v>
      </c>
      <c r="N81" s="284">
        <f>N37-'Overall recycling rates'!$G$62/SUM('Overall recycling rates'!$G$60:$G$62)*('BTX Recycling HC'!M78+'BTX Recycling HC'!M173)-'Overall recycling rates'!$E$62/SUM('Overall recycling rates'!$E$60:$E$62)*('BTX Recycling HC'!M79+'BTX Recycling HC'!M174)-'Overall recycling rates'!$H$62/SUM('Overall recycling rates'!$H$60:$H$62)*('BTX Recycling HC'!M80+'BTX Recycling HC'!M175)-'Overall recycling rates'!$I$62/SUM('Overall recycling rates'!$I$60:$I$62)*('BTX Recycling HC'!M81+'BTX Recycling HC'!M176)</f>
        <v>36.17845500349101</v>
      </c>
      <c r="O81" s="284">
        <f>O37-'Overall recycling rates'!$G$62/SUM('Overall recycling rates'!$G$60:$G$62)*('BTX Recycling HC'!N78+'BTX Recycling HC'!N173)-'Overall recycling rates'!$E$62/SUM('Overall recycling rates'!$E$60:$E$62)*('BTX Recycling HC'!N79+'BTX Recycling HC'!N174)-'Overall recycling rates'!$H$62/SUM('Overall recycling rates'!$H$60:$H$62)*('BTX Recycling HC'!N80+'BTX Recycling HC'!N175)-'Overall recycling rates'!$I$62/SUM('Overall recycling rates'!$I$60:$I$62)*('BTX Recycling HC'!N81+'BTX Recycling HC'!N176)</f>
        <v>36.372584723670002</v>
      </c>
      <c r="P81" s="284">
        <f>P37-'Overall recycling rates'!$G$62/SUM('Overall recycling rates'!$G$60:$G$62)*('BTX Recycling HC'!O78+'BTX Recycling HC'!O173)-'Overall recycling rates'!$E$62/SUM('Overall recycling rates'!$E$60:$E$62)*('BTX Recycling HC'!O79+'BTX Recycling HC'!O174)-'Overall recycling rates'!$H$62/SUM('Overall recycling rates'!$H$60:$H$62)*('BTX Recycling HC'!O80+'BTX Recycling HC'!O175)-'Overall recycling rates'!$I$62/SUM('Overall recycling rates'!$I$60:$I$62)*('BTX Recycling HC'!O81+'BTX Recycling HC'!O176)</f>
        <v>36.577792141213287</v>
      </c>
      <c r="Q81" s="284">
        <f>Q37-'Overall recycling rates'!$G$62/SUM('Overall recycling rates'!$G$60:$G$62)*('BTX Recycling HC'!P78+'BTX Recycling HC'!P173)-'Overall recycling rates'!$E$62/SUM('Overall recycling rates'!$E$60:$E$62)*('BTX Recycling HC'!P79+'BTX Recycling HC'!P174)-'Overall recycling rates'!$H$62/SUM('Overall recycling rates'!$H$60:$H$62)*('BTX Recycling HC'!P80+'BTX Recycling HC'!P175)-'Overall recycling rates'!$I$62/SUM('Overall recycling rates'!$I$60:$I$62)*('BTX Recycling HC'!P81+'BTX Recycling HC'!P176)</f>
        <v>36.795516448412172</v>
      </c>
      <c r="R81" s="284">
        <f>R37-'Overall recycling rates'!$G$62/SUM('Overall recycling rates'!$G$60:$G$62)*('BTX Recycling HC'!Q78+'BTX Recycling HC'!Q173)-'Overall recycling rates'!$E$62/SUM('Overall recycling rates'!$E$60:$E$62)*('BTX Recycling HC'!Q79+'BTX Recycling HC'!Q174)-'Overall recycling rates'!$H$62/SUM('Overall recycling rates'!$H$60:$H$62)*('BTX Recycling HC'!Q80+'BTX Recycling HC'!Q175)-'Overall recycling rates'!$I$62/SUM('Overall recycling rates'!$I$60:$I$62)*('BTX Recycling HC'!Q81+'BTX Recycling HC'!Q176)</f>
        <v>37.027161627726962</v>
      </c>
      <c r="S81" s="284">
        <f>S37-'Overall recycling rates'!$G$62/SUM('Overall recycling rates'!$G$60:$G$62)*('BTX Recycling HC'!R78+'BTX Recycling HC'!R173)-'Overall recycling rates'!$E$62/SUM('Overall recycling rates'!$E$60:$E$62)*('BTX Recycling HC'!R79+'BTX Recycling HC'!R174)-'Overall recycling rates'!$H$62/SUM('Overall recycling rates'!$H$60:$H$62)*('BTX Recycling HC'!R80+'BTX Recycling HC'!R175)-'Overall recycling rates'!$I$62/SUM('Overall recycling rates'!$I$60:$I$62)*('BTX Recycling HC'!R81+'BTX Recycling HC'!R176)</f>
        <v>37.274066242434124</v>
      </c>
      <c r="T81" s="284">
        <f>T37-'Overall recycling rates'!$G$62/SUM('Overall recycling rates'!$G$60:$G$62)*('BTX Recycling HC'!S78+'BTX Recycling HC'!S173)-'Overall recycling rates'!$E$62/SUM('Overall recycling rates'!$E$60:$E$62)*('BTX Recycling HC'!S79+'BTX Recycling HC'!S174)-'Overall recycling rates'!$H$62/SUM('Overall recycling rates'!$H$60:$H$62)*('BTX Recycling HC'!S80+'BTX Recycling HC'!S175)-'Overall recycling rates'!$I$62/SUM('Overall recycling rates'!$I$60:$I$62)*('BTX Recycling HC'!S81+'BTX Recycling HC'!S176)</f>
        <v>37.53034769159332</v>
      </c>
      <c r="U81" s="284">
        <f>U37-'Overall recycling rates'!$G$62/SUM('Overall recycling rates'!$G$60:$G$62)*('BTX Recycling HC'!T78+'BTX Recycling HC'!T173)-'Overall recycling rates'!$E$62/SUM('Overall recycling rates'!$E$60:$E$62)*('BTX Recycling HC'!T79+'BTX Recycling HC'!T174)-'Overall recycling rates'!$H$62/SUM('Overall recycling rates'!$H$60:$H$62)*('BTX Recycling HC'!T80+'BTX Recycling HC'!T175)-'Overall recycling rates'!$I$62/SUM('Overall recycling rates'!$I$60:$I$62)*('BTX Recycling HC'!T81+'BTX Recycling HC'!T176)</f>
        <v>37.796268449147952</v>
      </c>
      <c r="V81" s="284">
        <f>V37-'Overall recycling rates'!$G$62/SUM('Overall recycling rates'!$G$60:$G$62)*('BTX Recycling HC'!U78+'BTX Recycling HC'!U173)-'Overall recycling rates'!$E$62/SUM('Overall recycling rates'!$E$60:$E$62)*('BTX Recycling HC'!U79+'BTX Recycling HC'!U174)-'Overall recycling rates'!$H$62/SUM('Overall recycling rates'!$H$60:$H$62)*('BTX Recycling HC'!U80+'BTX Recycling HC'!U175)-'Overall recycling rates'!$I$62/SUM('Overall recycling rates'!$I$60:$I$62)*('BTX Recycling HC'!U81+'BTX Recycling HC'!U176)</f>
        <v>38.072091284314652</v>
      </c>
      <c r="W81" s="284">
        <f>W37-'Overall recycling rates'!$G$62/SUM('Overall recycling rates'!$G$60:$G$62)*('BTX Recycling HC'!V78+'BTX Recycling HC'!V173)-'Overall recycling rates'!$E$62/SUM('Overall recycling rates'!$E$60:$E$62)*('BTX Recycling HC'!V79+'BTX Recycling HC'!V174)-'Overall recycling rates'!$H$62/SUM('Overall recycling rates'!$H$60:$H$62)*('BTX Recycling HC'!V80+'BTX Recycling HC'!V175)-'Overall recycling rates'!$I$62/SUM('Overall recycling rates'!$I$60:$I$62)*('BTX Recycling HC'!V81+'BTX Recycling HC'!V176)</f>
        <v>38.358079101354825</v>
      </c>
      <c r="X81" s="284">
        <f>X37-'Overall recycling rates'!$G$62/SUM('Overall recycling rates'!$G$60:$G$62)*('BTX Recycling HC'!W78+'BTX Recycling HC'!W173)-'Overall recycling rates'!$E$62/SUM('Overall recycling rates'!$E$60:$E$62)*('BTX Recycling HC'!W79+'BTX Recycling HC'!W174)-'Overall recycling rates'!$H$62/SUM('Overall recycling rates'!$H$60:$H$62)*('BTX Recycling HC'!W80+'BTX Recycling HC'!W175)-'Overall recycling rates'!$I$62/SUM('Overall recycling rates'!$I$60:$I$62)*('BTX Recycling HC'!W81+'BTX Recycling HC'!W176)</f>
        <v>38.654494777625253</v>
      </c>
      <c r="Y81" s="284">
        <f>Y37-'Overall recycling rates'!$G$62/SUM('Overall recycling rates'!$G$60:$G$62)*('BTX Recycling HC'!X78+'BTX Recycling HC'!X173)-'Overall recycling rates'!$E$62/SUM('Overall recycling rates'!$E$60:$E$62)*('BTX Recycling HC'!X79+'BTX Recycling HC'!X174)-'Overall recycling rates'!$H$62/SUM('Overall recycling rates'!$H$60:$H$62)*('BTX Recycling HC'!X80+'BTX Recycling HC'!X175)-'Overall recycling rates'!$I$62/SUM('Overall recycling rates'!$I$60:$I$62)*('BTX Recycling HC'!X81+'BTX Recycling HC'!X176)</f>
        <v>38.807088890701394</v>
      </c>
      <c r="Z81" s="284">
        <f>Z37-'Overall recycling rates'!$G$62/SUM('Overall recycling rates'!$G$60:$G$62)*('BTX Recycling HC'!Y78+'BTX Recycling HC'!Y173)-'Overall recycling rates'!$E$62/SUM('Overall recycling rates'!$E$60:$E$62)*('BTX Recycling HC'!Y79+'BTX Recycling HC'!Y174)-'Overall recycling rates'!$H$62/SUM('Overall recycling rates'!$H$60:$H$62)*('BTX Recycling HC'!Y80+'BTX Recycling HC'!Y175)-'Overall recycling rates'!$I$62/SUM('Overall recycling rates'!$I$60:$I$62)*('BTX Recycling HC'!Y81+'BTX Recycling HC'!Y176)</f>
        <v>38.973894505497057</v>
      </c>
      <c r="AA81" s="284">
        <f>AA37-'Overall recycling rates'!$G$62/SUM('Overall recycling rates'!$G$60:$G$62)*('BTX Recycling HC'!Z78+'BTX Recycling HC'!Z173)-'Overall recycling rates'!$E$62/SUM('Overall recycling rates'!$E$60:$E$62)*('BTX Recycling HC'!Z79+'BTX Recycling HC'!Z174)-'Overall recycling rates'!$H$62/SUM('Overall recycling rates'!$H$60:$H$62)*('BTX Recycling HC'!Z80+'BTX Recycling HC'!Z175)-'Overall recycling rates'!$I$62/SUM('Overall recycling rates'!$I$60:$I$62)*('BTX Recycling HC'!Z81+'BTX Recycling HC'!Z176)</f>
        <v>39.155308873829533</v>
      </c>
      <c r="AB81" s="284">
        <f>AB37-'Overall recycling rates'!$G$62/SUM('Overall recycling rates'!$G$60:$G$62)*('BTX Recycling HC'!AA78+'BTX Recycling HC'!AA173)-'Overall recycling rates'!$E$62/SUM('Overall recycling rates'!$E$60:$E$62)*('BTX Recycling HC'!AA79+'BTX Recycling HC'!AA174)-'Overall recycling rates'!$H$62/SUM('Overall recycling rates'!$H$60:$H$62)*('BTX Recycling HC'!AA80+'BTX Recycling HC'!AA175)-'Overall recycling rates'!$I$62/SUM('Overall recycling rates'!$I$60:$I$62)*('BTX Recycling HC'!AA81+'BTX Recycling HC'!AA176)</f>
        <v>39.35175994728651</v>
      </c>
      <c r="AC81" s="284">
        <f>AC37-'Overall recycling rates'!$G$62/SUM('Overall recycling rates'!$G$60:$G$62)*('BTX Recycling HC'!AB78+'BTX Recycling HC'!AB173)-'Overall recycling rates'!$E$62/SUM('Overall recycling rates'!$E$60:$E$62)*('BTX Recycling HC'!AB79+'BTX Recycling HC'!AB174)-'Overall recycling rates'!$H$62/SUM('Overall recycling rates'!$H$60:$H$62)*('BTX Recycling HC'!AB80+'BTX Recycling HC'!AB175)-'Overall recycling rates'!$I$62/SUM('Overall recycling rates'!$I$60:$I$62)*('BTX Recycling HC'!AB81+'BTX Recycling HC'!AB176)</f>
        <v>39.563660405110745</v>
      </c>
      <c r="AD81" s="284">
        <f>AD37-'Overall recycling rates'!$G$62/SUM('Overall recycling rates'!$G$60:$G$62)*('BTX Recycling HC'!AC78+'BTX Recycling HC'!AC173)-'Overall recycling rates'!$E$62/SUM('Overall recycling rates'!$E$60:$E$62)*('BTX Recycling HC'!AC79+'BTX Recycling HC'!AC174)-'Overall recycling rates'!$H$62/SUM('Overall recycling rates'!$H$60:$H$62)*('BTX Recycling HC'!AC80+'BTX Recycling HC'!AC175)-'Overall recycling rates'!$I$62/SUM('Overall recycling rates'!$I$60:$I$62)*('BTX Recycling HC'!AC81+'BTX Recycling HC'!AC176)</f>
        <v>39.791362122462978</v>
      </c>
      <c r="AE81" s="284">
        <f>AE37-'Overall recycling rates'!$G$62/SUM('Overall recycling rates'!$G$60:$G$62)*('BTX Recycling HC'!AD78+'BTX Recycling HC'!AD173)-'Overall recycling rates'!$E$62/SUM('Overall recycling rates'!$E$60:$E$62)*('BTX Recycling HC'!AD79+'BTX Recycling HC'!AD174)-'Overall recycling rates'!$H$62/SUM('Overall recycling rates'!$H$60:$H$62)*('BTX Recycling HC'!AD80+'BTX Recycling HC'!AD175)-'Overall recycling rates'!$I$62/SUM('Overall recycling rates'!$I$60:$I$62)*('BTX Recycling HC'!AD81+'BTX Recycling HC'!AD176)</f>
        <v>40.035268605733407</v>
      </c>
      <c r="AF81" s="284">
        <f>AF37-'Overall recycling rates'!$G$62/SUM('Overall recycling rates'!$G$60:$G$62)*('BTX Recycling HC'!AE78+'BTX Recycling HC'!AE173)-'Overall recycling rates'!$E$62/SUM('Overall recycling rates'!$E$60:$E$62)*('BTX Recycling HC'!AE79+'BTX Recycling HC'!AE174)-'Overall recycling rates'!$H$62/SUM('Overall recycling rates'!$H$60:$H$62)*('BTX Recycling HC'!AE80+'BTX Recycling HC'!AE175)-'Overall recycling rates'!$I$62/SUM('Overall recycling rates'!$I$60:$I$62)*('BTX Recycling HC'!AE81+'BTX Recycling HC'!AE176)</f>
        <v>40.29578254825136</v>
      </c>
      <c r="AG81" s="284">
        <f>AG37-'Overall recycling rates'!$G$62/SUM('Overall recycling rates'!$G$60:$G$62)*('BTX Recycling HC'!AF78+'BTX Recycling HC'!AF173)-'Overall recycling rates'!$E$62/SUM('Overall recycling rates'!$E$60:$E$62)*('BTX Recycling HC'!AF79+'BTX Recycling HC'!AF174)-'Overall recycling rates'!$H$62/SUM('Overall recycling rates'!$H$60:$H$62)*('BTX Recycling HC'!AF80+'BTX Recycling HC'!AF175)-'Overall recycling rates'!$I$62/SUM('Overall recycling rates'!$I$60:$I$62)*('BTX Recycling HC'!AF81+'BTX Recycling HC'!AF176)</f>
        <v>40.573305601492635</v>
      </c>
      <c r="AH81" s="284">
        <f>AH37-'Overall recycling rates'!$G$62/SUM('Overall recycling rates'!$G$60:$G$62)*('BTX Recycling HC'!AG78+'BTX Recycling HC'!AG173)-'Overall recycling rates'!$E$62/SUM('Overall recycling rates'!$E$60:$E$62)*('BTX Recycling HC'!AG79+'BTX Recycling HC'!AG174)-'Overall recycling rates'!$H$62/SUM('Overall recycling rates'!$H$60:$H$62)*('BTX Recycling HC'!AG80+'BTX Recycling HC'!AG175)-'Overall recycling rates'!$I$62/SUM('Overall recycling rates'!$I$60:$I$62)*('BTX Recycling HC'!AG81+'BTX Recycling HC'!AG176)</f>
        <v>40.86823814483013</v>
      </c>
      <c r="AJ81" s="284">
        <f>AJ37-'Overall recycling rates'!$G$62/SUM('Overall recycling rates'!$G$60:$G$62)*('BTX Recycling HC'!C78+'BTX Recycling HC'!C173)-'Overall recycling rates'!$E$62/SUM('Overall recycling rates'!$E$60:$E$62)*('BTX Recycling HC'!C79+'BTX Recycling HC'!C174)-'Overall recycling rates'!$H$62/SUM('Overall recycling rates'!$H$60:$H$62)*('BTX Recycling HC'!C80+'BTX Recycling HC'!C175)-'Overall recycling rates'!$I$62/SUM('Overall recycling rates'!$I$60:$I$62)*('BTX Recycling HC'!C81+'BTX Recycling HC'!C176)</f>
        <v>33.557300929497657</v>
      </c>
      <c r="AK81" s="284">
        <f>AK37-'Overall recycling rates'!$G$62/SUM('Overall recycling rates'!$G$60:$G$62)*('BTX Recycling HC'!D78+'BTX Recycling HC'!D173)-'Overall recycling rates'!$E$62/SUM('Overall recycling rates'!$E$60:$E$62)*('BTX Recycling HC'!D79+'BTX Recycling HC'!D174)-'Overall recycling rates'!$H$62/SUM('Overall recycling rates'!$H$60:$H$62)*('BTX Recycling HC'!D80+'BTX Recycling HC'!D175)-'Overall recycling rates'!$I$62/SUM('Overall recycling rates'!$I$60:$I$62)*('BTX Recycling HC'!D81+'BTX Recycling HC'!D176)</f>
        <v>33.793434947624135</v>
      </c>
      <c r="AL81" s="284">
        <f>AL37-'Overall recycling rates'!$G$62/SUM('Overall recycling rates'!$G$60:$G$62)*('BTX Recycling HC'!E78+'BTX Recycling HC'!E173)-'Overall recycling rates'!$E$62/SUM('Overall recycling rates'!$E$60:$E$62)*('BTX Recycling HC'!E79+'BTX Recycling HC'!E174)-'Overall recycling rates'!$H$62/SUM('Overall recycling rates'!$H$60:$H$62)*('BTX Recycling HC'!E80+'BTX Recycling HC'!E175)-'Overall recycling rates'!$I$62/SUM('Overall recycling rates'!$I$60:$I$62)*('BTX Recycling HC'!E81+'BTX Recycling HC'!E176)</f>
        <v>34.034429905475925</v>
      </c>
      <c r="AM81" s="284">
        <f>AM37-'Overall recycling rates'!$G$62/SUM('Overall recycling rates'!$G$60:$G$62)*('BTX Recycling HC'!F78+'BTX Recycling HC'!F173)-'Overall recycling rates'!$E$62/SUM('Overall recycling rates'!$E$60:$E$62)*('BTX Recycling HC'!F79+'BTX Recycling HC'!F174)-'Overall recycling rates'!$H$62/SUM('Overall recycling rates'!$H$60:$H$62)*('BTX Recycling HC'!F80+'BTX Recycling HC'!F175)-'Overall recycling rates'!$I$62/SUM('Overall recycling rates'!$I$60:$I$62)*('BTX Recycling HC'!F81+'BTX Recycling HC'!F176)</f>
        <v>34.281372496677619</v>
      </c>
      <c r="AN81" s="284">
        <f>AN37-'Overall recycling rates'!$G$62/SUM('Overall recycling rates'!$G$60:$G$62)*('BTX Recycling HC'!G78+'BTX Recycling HC'!G173)-'Overall recycling rates'!$E$62/SUM('Overall recycling rates'!$E$60:$E$62)*('BTX Recycling HC'!G79+'BTX Recycling HC'!G174)-'Overall recycling rates'!$H$62/SUM('Overall recycling rates'!$H$60:$H$62)*('BTX Recycling HC'!G80+'BTX Recycling HC'!G175)-'Overall recycling rates'!$I$62/SUM('Overall recycling rates'!$I$60:$I$62)*('BTX Recycling HC'!G81+'BTX Recycling HC'!G176)</f>
        <v>34.535362275217466</v>
      </c>
      <c r="AO81" s="284">
        <f>AO37-'Overall recycling rates'!$G$62/SUM('Overall recycling rates'!$G$60:$G$62)*('BTX Recycling HC'!H78+'BTX Recycling HC'!H173)-'Overall recycling rates'!$E$62/SUM('Overall recycling rates'!$E$60:$E$62)*('BTX Recycling HC'!H79+'BTX Recycling HC'!H174)-'Overall recycling rates'!$H$62/SUM('Overall recycling rates'!$H$60:$H$62)*('BTX Recycling HC'!H80+'BTX Recycling HC'!H175)-'Overall recycling rates'!$I$62/SUM('Overall recycling rates'!$I$60:$I$62)*('BTX Recycling HC'!H81+'BTX Recycling HC'!H176)</f>
        <v>34.797497723776715</v>
      </c>
      <c r="AP81" s="284">
        <f>AP37-'Overall recycling rates'!$G$62/SUM('Overall recycling rates'!$G$60:$G$62)*('BTX Recycling HC'!I78+'BTX Recycling HC'!I173)-'Overall recycling rates'!$E$62/SUM('Overall recycling rates'!$E$60:$E$62)*('BTX Recycling HC'!I79+'BTX Recycling HC'!I174)-'Overall recycling rates'!$H$62/SUM('Overall recycling rates'!$H$60:$H$62)*('BTX Recycling HC'!I80+'BTX Recycling HC'!I175)-'Overall recycling rates'!$I$62/SUM('Overall recycling rates'!$I$60:$I$62)*('BTX Recycling HC'!I81+'BTX Recycling HC'!I176)</f>
        <v>35.063915893859772</v>
      </c>
      <c r="AQ81" s="284">
        <f>AQ37-'Overall recycling rates'!$G$62/SUM('Overall recycling rates'!$G$60:$G$62)*('BTX Recycling HC'!J78+'BTX Recycling HC'!J173)-'Overall recycling rates'!$E$62/SUM('Overall recycling rates'!$E$60:$E$62)*('BTX Recycling HC'!J79+'BTX Recycling HC'!J174)-'Overall recycling rates'!$H$62/SUM('Overall recycling rates'!$H$60:$H$62)*('BTX Recycling HC'!J80+'BTX Recycling HC'!J175)-'Overall recycling rates'!$I$62/SUM('Overall recycling rates'!$I$60:$I$62)*('BTX Recycling HC'!J81+'BTX Recycling HC'!J176)</f>
        <v>35.334914203594174</v>
      </c>
      <c r="AR81" s="284">
        <f>AR37-'Overall recycling rates'!$G$62/SUM('Overall recycling rates'!$G$60:$G$62)*('BTX Recycling HC'!K78+'BTX Recycling HC'!K173)-'Overall recycling rates'!$E$62/SUM('Overall recycling rates'!$E$60:$E$62)*('BTX Recycling HC'!K79+'BTX Recycling HC'!K174)-'Overall recycling rates'!$H$62/SUM('Overall recycling rates'!$H$60:$H$62)*('BTX Recycling HC'!K80+'BTX Recycling HC'!K175)-'Overall recycling rates'!$I$62/SUM('Overall recycling rates'!$I$60:$I$62)*('BTX Recycling HC'!K81+'BTX Recycling HC'!K176)</f>
        <v>35.610796368465522</v>
      </c>
      <c r="AS81" s="284">
        <f>AS37-'Overall recycling rates'!$G$62/SUM('Overall recycling rates'!$G$60:$G$62)*('BTX Recycling HC'!L78+'BTX Recycling HC'!L173)-'Overall recycling rates'!$E$62/SUM('Overall recycling rates'!$E$60:$E$62)*('BTX Recycling HC'!L79+'BTX Recycling HC'!L174)-'Overall recycling rates'!$H$62/SUM('Overall recycling rates'!$H$60:$H$62)*('BTX Recycling HC'!L80+'BTX Recycling HC'!L175)-'Overall recycling rates'!$I$62/SUM('Overall recycling rates'!$I$60:$I$62)*('BTX Recycling HC'!L81+'BTX Recycling HC'!L176)</f>
        <v>35.891871805297413</v>
      </c>
      <c r="AT81" s="284">
        <f>AT37-'Overall recycling rates'!$G$62/SUM('Overall recycling rates'!$G$60:$G$62)*('BTX Recycling HC'!M78+'BTX Recycling HC'!M173)-'Overall recycling rates'!$E$62/SUM('Overall recycling rates'!$E$60:$E$62)*('BTX Recycling HC'!M79+'BTX Recycling HC'!M174)-'Overall recycling rates'!$H$62/SUM('Overall recycling rates'!$H$60:$H$62)*('BTX Recycling HC'!M80+'BTX Recycling HC'!M175)-'Overall recycling rates'!$I$62/SUM('Overall recycling rates'!$I$60:$I$62)*('BTX Recycling HC'!M81+'BTX Recycling HC'!M176)</f>
        <v>36.17845500349101</v>
      </c>
      <c r="AU81" s="284">
        <f>AU37-'Overall recycling rates'!$G$62/SUM('Overall recycling rates'!$G$60:$G$62)*('BTX Recycling HC'!N78+'BTX Recycling HC'!N173)-'Overall recycling rates'!$E$62/SUM('Overall recycling rates'!$E$60:$E$62)*('BTX Recycling HC'!N79+'BTX Recycling HC'!N174)-'Overall recycling rates'!$H$62/SUM('Overall recycling rates'!$H$60:$H$62)*('BTX Recycling HC'!N80+'BTX Recycling HC'!N175)-'Overall recycling rates'!$I$62/SUM('Overall recycling rates'!$I$60:$I$62)*('BTX Recycling HC'!N81+'BTX Recycling HC'!N176)</f>
        <v>36.372584723670002</v>
      </c>
      <c r="AV81" s="284">
        <f>AV37-'Overall recycling rates'!$G$62/SUM('Overall recycling rates'!$G$60:$G$62)*('BTX Recycling HC'!O78+'BTX Recycling HC'!O173)-'Overall recycling rates'!$E$62/SUM('Overall recycling rates'!$E$60:$E$62)*('BTX Recycling HC'!O79+'BTX Recycling HC'!O174)-'Overall recycling rates'!$H$62/SUM('Overall recycling rates'!$H$60:$H$62)*('BTX Recycling HC'!O80+'BTX Recycling HC'!O175)-'Overall recycling rates'!$I$62/SUM('Overall recycling rates'!$I$60:$I$62)*('BTX Recycling HC'!O81+'BTX Recycling HC'!O176)</f>
        <v>36.577792141213287</v>
      </c>
      <c r="AW81" s="284">
        <f>AW37-'Overall recycling rates'!$G$62/SUM('Overall recycling rates'!$G$60:$G$62)*('BTX Recycling HC'!P78+'BTX Recycling HC'!P173)-'Overall recycling rates'!$E$62/SUM('Overall recycling rates'!$E$60:$E$62)*('BTX Recycling HC'!P79+'BTX Recycling HC'!P174)-'Overall recycling rates'!$H$62/SUM('Overall recycling rates'!$H$60:$H$62)*('BTX Recycling HC'!P80+'BTX Recycling HC'!P175)-'Overall recycling rates'!$I$62/SUM('Overall recycling rates'!$I$60:$I$62)*('BTX Recycling HC'!P81+'BTX Recycling HC'!P176)</f>
        <v>36.795516448412172</v>
      </c>
      <c r="AX81" s="284">
        <f>AX37-'Overall recycling rates'!$G$62/SUM('Overall recycling rates'!$G$60:$G$62)*('BTX Recycling HC'!Q78+'BTX Recycling HC'!Q173)-'Overall recycling rates'!$E$62/SUM('Overall recycling rates'!$E$60:$E$62)*('BTX Recycling HC'!Q79+'BTX Recycling HC'!Q174)-'Overall recycling rates'!$H$62/SUM('Overall recycling rates'!$H$60:$H$62)*('BTX Recycling HC'!Q80+'BTX Recycling HC'!Q175)-'Overall recycling rates'!$I$62/SUM('Overall recycling rates'!$I$60:$I$62)*('BTX Recycling HC'!Q81+'BTX Recycling HC'!Q176)</f>
        <v>37.027161627726962</v>
      </c>
      <c r="AY81" s="284">
        <f>AY37-'Overall recycling rates'!$G$62/SUM('Overall recycling rates'!$G$60:$G$62)*('BTX Recycling HC'!R78+'BTX Recycling HC'!R173)-'Overall recycling rates'!$E$62/SUM('Overall recycling rates'!$E$60:$E$62)*('BTX Recycling HC'!R79+'BTX Recycling HC'!R174)-'Overall recycling rates'!$H$62/SUM('Overall recycling rates'!$H$60:$H$62)*('BTX Recycling HC'!R80+'BTX Recycling HC'!R175)-'Overall recycling rates'!$I$62/SUM('Overall recycling rates'!$I$60:$I$62)*('BTX Recycling HC'!R81+'BTX Recycling HC'!R176)</f>
        <v>37.274066242434124</v>
      </c>
      <c r="AZ81" s="284">
        <f>AZ37-'Overall recycling rates'!$G$62/SUM('Overall recycling rates'!$G$60:$G$62)*('BTX Recycling HC'!S78+'BTX Recycling HC'!S173)-'Overall recycling rates'!$E$62/SUM('Overall recycling rates'!$E$60:$E$62)*('BTX Recycling HC'!S79+'BTX Recycling HC'!S174)-'Overall recycling rates'!$H$62/SUM('Overall recycling rates'!$H$60:$H$62)*('BTX Recycling HC'!S80+'BTX Recycling HC'!S175)-'Overall recycling rates'!$I$62/SUM('Overall recycling rates'!$I$60:$I$62)*('BTX Recycling HC'!S81+'BTX Recycling HC'!S176)</f>
        <v>37.53034769159332</v>
      </c>
      <c r="BA81" s="284">
        <f>BA37-'Overall recycling rates'!$G$62/SUM('Overall recycling rates'!$G$60:$G$62)*('BTX Recycling HC'!T78+'BTX Recycling HC'!T173)-'Overall recycling rates'!$E$62/SUM('Overall recycling rates'!$E$60:$E$62)*('BTX Recycling HC'!T79+'BTX Recycling HC'!T174)-'Overall recycling rates'!$H$62/SUM('Overall recycling rates'!$H$60:$H$62)*('BTX Recycling HC'!T80+'BTX Recycling HC'!T175)-'Overall recycling rates'!$I$62/SUM('Overall recycling rates'!$I$60:$I$62)*('BTX Recycling HC'!T81+'BTX Recycling HC'!T176)</f>
        <v>37.796268449147952</v>
      </c>
      <c r="BB81" s="284">
        <f>BB37-'Overall recycling rates'!$G$62/SUM('Overall recycling rates'!$G$60:$G$62)*('BTX Recycling HC'!U78+'BTX Recycling HC'!U173)-'Overall recycling rates'!$E$62/SUM('Overall recycling rates'!$E$60:$E$62)*('BTX Recycling HC'!U79+'BTX Recycling HC'!U174)-'Overall recycling rates'!$H$62/SUM('Overall recycling rates'!$H$60:$H$62)*('BTX Recycling HC'!U80+'BTX Recycling HC'!U175)-'Overall recycling rates'!$I$62/SUM('Overall recycling rates'!$I$60:$I$62)*('BTX Recycling HC'!U81+'BTX Recycling HC'!U176)</f>
        <v>38.072091284314652</v>
      </c>
      <c r="BC81" s="284">
        <f>BC37-'Overall recycling rates'!$G$62/SUM('Overall recycling rates'!$G$60:$G$62)*('BTX Recycling HC'!V78+'BTX Recycling HC'!V173)-'Overall recycling rates'!$E$62/SUM('Overall recycling rates'!$E$60:$E$62)*('BTX Recycling HC'!V79+'BTX Recycling HC'!V174)-'Overall recycling rates'!$H$62/SUM('Overall recycling rates'!$H$60:$H$62)*('BTX Recycling HC'!V80+'BTX Recycling HC'!V175)-'Overall recycling rates'!$I$62/SUM('Overall recycling rates'!$I$60:$I$62)*('BTX Recycling HC'!V81+'BTX Recycling HC'!V176)</f>
        <v>38.358079101354825</v>
      </c>
      <c r="BD81" s="284">
        <f>BD37-'Overall recycling rates'!$G$62/SUM('Overall recycling rates'!$G$60:$G$62)*('BTX Recycling HC'!W78+'BTX Recycling HC'!W173)-'Overall recycling rates'!$E$62/SUM('Overall recycling rates'!$E$60:$E$62)*('BTX Recycling HC'!W79+'BTX Recycling HC'!W174)-'Overall recycling rates'!$H$62/SUM('Overall recycling rates'!$H$60:$H$62)*('BTX Recycling HC'!W80+'BTX Recycling HC'!W175)-'Overall recycling rates'!$I$62/SUM('Overall recycling rates'!$I$60:$I$62)*('BTX Recycling HC'!W81+'BTX Recycling HC'!W176)</f>
        <v>38.654494777625253</v>
      </c>
      <c r="BE81" s="284">
        <f>BE37-'Overall recycling rates'!$G$62/SUM('Overall recycling rates'!$G$60:$G$62)*('BTX Recycling HC'!X78+'BTX Recycling HC'!X173)-'Overall recycling rates'!$E$62/SUM('Overall recycling rates'!$E$60:$E$62)*('BTX Recycling HC'!X79+'BTX Recycling HC'!X174)-'Overall recycling rates'!$H$62/SUM('Overall recycling rates'!$H$60:$H$62)*('BTX Recycling HC'!X80+'BTX Recycling HC'!X175)-'Overall recycling rates'!$I$62/SUM('Overall recycling rates'!$I$60:$I$62)*('BTX Recycling HC'!X81+'BTX Recycling HC'!X176)</f>
        <v>38.807088890701394</v>
      </c>
      <c r="BF81" s="284">
        <f>BF37-'Overall recycling rates'!$G$62/SUM('Overall recycling rates'!$G$60:$G$62)*('BTX Recycling HC'!Y78+'BTX Recycling HC'!Y173)-'Overall recycling rates'!$E$62/SUM('Overall recycling rates'!$E$60:$E$62)*('BTX Recycling HC'!Y79+'BTX Recycling HC'!Y174)-'Overall recycling rates'!$H$62/SUM('Overall recycling rates'!$H$60:$H$62)*('BTX Recycling HC'!Y80+'BTX Recycling HC'!Y175)-'Overall recycling rates'!$I$62/SUM('Overall recycling rates'!$I$60:$I$62)*('BTX Recycling HC'!Y81+'BTX Recycling HC'!Y176)</f>
        <v>38.973894505497057</v>
      </c>
      <c r="BG81" s="284">
        <f>BG37-'Overall recycling rates'!$G$62/SUM('Overall recycling rates'!$G$60:$G$62)*('BTX Recycling HC'!Z78+'BTX Recycling HC'!Z173)-'Overall recycling rates'!$E$62/SUM('Overall recycling rates'!$E$60:$E$62)*('BTX Recycling HC'!Z79+'BTX Recycling HC'!Z174)-'Overall recycling rates'!$H$62/SUM('Overall recycling rates'!$H$60:$H$62)*('BTX Recycling HC'!Z80+'BTX Recycling HC'!Z175)-'Overall recycling rates'!$I$62/SUM('Overall recycling rates'!$I$60:$I$62)*('BTX Recycling HC'!Z81+'BTX Recycling HC'!Z176)</f>
        <v>39.155308873829533</v>
      </c>
      <c r="BH81" s="284">
        <f>BH37-'Overall recycling rates'!$G$62/SUM('Overall recycling rates'!$G$60:$G$62)*('BTX Recycling HC'!AA78+'BTX Recycling HC'!AA173)-'Overall recycling rates'!$E$62/SUM('Overall recycling rates'!$E$60:$E$62)*('BTX Recycling HC'!AA79+'BTX Recycling HC'!AA174)-'Overall recycling rates'!$H$62/SUM('Overall recycling rates'!$H$60:$H$62)*('BTX Recycling HC'!AA80+'BTX Recycling HC'!AA175)-'Overall recycling rates'!$I$62/SUM('Overall recycling rates'!$I$60:$I$62)*('BTX Recycling HC'!AA81+'BTX Recycling HC'!AA176)</f>
        <v>39.35175994728651</v>
      </c>
      <c r="BI81" s="284">
        <f>BI37-'Overall recycling rates'!$G$62/SUM('Overall recycling rates'!$G$60:$G$62)*('BTX Recycling HC'!AB78+'BTX Recycling HC'!AB173)-'Overall recycling rates'!$E$62/SUM('Overall recycling rates'!$E$60:$E$62)*('BTX Recycling HC'!AB79+'BTX Recycling HC'!AB174)-'Overall recycling rates'!$H$62/SUM('Overall recycling rates'!$H$60:$H$62)*('BTX Recycling HC'!AB80+'BTX Recycling HC'!AB175)-'Overall recycling rates'!$I$62/SUM('Overall recycling rates'!$I$60:$I$62)*('BTX Recycling HC'!AB81+'BTX Recycling HC'!AB176)</f>
        <v>39.563660405110745</v>
      </c>
      <c r="BJ81" s="284">
        <f>BJ37-'Overall recycling rates'!$G$62/SUM('Overall recycling rates'!$G$60:$G$62)*('BTX Recycling HC'!AC78+'BTX Recycling HC'!AC173)-'Overall recycling rates'!$E$62/SUM('Overall recycling rates'!$E$60:$E$62)*('BTX Recycling HC'!AC79+'BTX Recycling HC'!AC174)-'Overall recycling rates'!$H$62/SUM('Overall recycling rates'!$H$60:$H$62)*('BTX Recycling HC'!AC80+'BTX Recycling HC'!AC175)-'Overall recycling rates'!$I$62/SUM('Overall recycling rates'!$I$60:$I$62)*('BTX Recycling HC'!AC81+'BTX Recycling HC'!AC176)</f>
        <v>39.791362122462978</v>
      </c>
      <c r="BK81" s="284">
        <f>BK37-'Overall recycling rates'!$G$62/SUM('Overall recycling rates'!$G$60:$G$62)*('BTX Recycling HC'!AD78+'BTX Recycling HC'!AD173)-'Overall recycling rates'!$E$62/SUM('Overall recycling rates'!$E$60:$E$62)*('BTX Recycling HC'!AD79+'BTX Recycling HC'!AD174)-'Overall recycling rates'!$H$62/SUM('Overall recycling rates'!$H$60:$H$62)*('BTX Recycling HC'!AD80+'BTX Recycling HC'!AD175)-'Overall recycling rates'!$I$62/SUM('Overall recycling rates'!$I$60:$I$62)*('BTX Recycling HC'!AD81+'BTX Recycling HC'!AD176)</f>
        <v>40.035268605733407</v>
      </c>
      <c r="BL81" s="284">
        <f>BL37-'Overall recycling rates'!$G$62/SUM('Overall recycling rates'!$G$60:$G$62)*('BTX Recycling HC'!AE78+'BTX Recycling HC'!AE173)-'Overall recycling rates'!$E$62/SUM('Overall recycling rates'!$E$60:$E$62)*('BTX Recycling HC'!AE79+'BTX Recycling HC'!AE174)-'Overall recycling rates'!$H$62/SUM('Overall recycling rates'!$H$60:$H$62)*('BTX Recycling HC'!AE80+'BTX Recycling HC'!AE175)-'Overall recycling rates'!$I$62/SUM('Overall recycling rates'!$I$60:$I$62)*('BTX Recycling HC'!AE81+'BTX Recycling HC'!AE176)</f>
        <v>40.29578254825136</v>
      </c>
      <c r="BM81" s="284">
        <f>BM37-'Overall recycling rates'!$G$62/SUM('Overall recycling rates'!$G$60:$G$62)*('BTX Recycling HC'!AF78+'BTX Recycling HC'!AF173)-'Overall recycling rates'!$E$62/SUM('Overall recycling rates'!$E$60:$E$62)*('BTX Recycling HC'!AF79+'BTX Recycling HC'!AF174)-'Overall recycling rates'!$H$62/SUM('Overall recycling rates'!$H$60:$H$62)*('BTX Recycling HC'!AF80+'BTX Recycling HC'!AF175)-'Overall recycling rates'!$I$62/SUM('Overall recycling rates'!$I$60:$I$62)*('BTX Recycling HC'!AF81+'BTX Recycling HC'!AF176)</f>
        <v>40.573305601492635</v>
      </c>
      <c r="BN81" s="284">
        <f>BN37-'Overall recycling rates'!$G$62/SUM('Overall recycling rates'!$G$60:$G$62)*('BTX Recycling HC'!AG78+'BTX Recycling HC'!AG173)-'Overall recycling rates'!$E$62/SUM('Overall recycling rates'!$E$60:$E$62)*('BTX Recycling HC'!AG79+'BTX Recycling HC'!AG174)-'Overall recycling rates'!$H$62/SUM('Overall recycling rates'!$H$60:$H$62)*('BTX Recycling HC'!AG80+'BTX Recycling HC'!AG175)-'Overall recycling rates'!$I$62/SUM('Overall recycling rates'!$I$60:$I$62)*('BTX Recycling HC'!AG81+'BTX Recycling HC'!AG176)</f>
        <v>40.86823814483013</v>
      </c>
    </row>
    <row r="82" spans="1:66" outlineLevel="1">
      <c r="A82" s="58" t="s">
        <v>220</v>
      </c>
      <c r="B82" s="58" t="s">
        <v>197</v>
      </c>
      <c r="C82" s="100" t="s">
        <v>153</v>
      </c>
      <c r="D82" s="101">
        <f t="shared" ref="D82:AH82" si="76">D23</f>
        <v>4.4906157306135288</v>
      </c>
      <c r="E82" s="101">
        <f t="shared" si="76"/>
        <v>4.5488916376888815</v>
      </c>
      <c r="F82" s="101">
        <f t="shared" si="76"/>
        <v>4.6079054484219419</v>
      </c>
      <c r="G82" s="101">
        <f t="shared" si="76"/>
        <v>4.6676663365425783</v>
      </c>
      <c r="H82" s="101">
        <f t="shared" si="76"/>
        <v>4.7281835882205403</v>
      </c>
      <c r="I82" s="101">
        <f t="shared" si="76"/>
        <v>4.7894666034280649</v>
      </c>
      <c r="J82" s="101">
        <f t="shared" si="76"/>
        <v>4.8515248973188472</v>
      </c>
      <c r="K82" s="101">
        <f t="shared" si="76"/>
        <v>4.9143681016235625</v>
      </c>
      <c r="L82" s="101">
        <f t="shared" si="76"/>
        <v>4.9780059660621472</v>
      </c>
      <c r="M82" s="101">
        <f t="shared" si="76"/>
        <v>5.0424483597730267</v>
      </c>
      <c r="N82" s="101">
        <f t="shared" si="76"/>
        <v>5.1077052727594987</v>
      </c>
      <c r="O82" s="101">
        <f t="shared" si="76"/>
        <v>5.1889740585003112</v>
      </c>
      <c r="P82" s="101">
        <f t="shared" si="76"/>
        <v>5.2714104751833171</v>
      </c>
      <c r="Q82" s="101">
        <f t="shared" si="76"/>
        <v>5.3550303525670149</v>
      </c>
      <c r="R82" s="101">
        <f t="shared" si="76"/>
        <v>5.4398497271123025</v>
      </c>
      <c r="S82" s="101">
        <f t="shared" si="76"/>
        <v>5.5258848446115945</v>
      </c>
      <c r="T82" s="101">
        <f t="shared" si="76"/>
        <v>5.6131521628507288</v>
      </c>
      <c r="U82" s="101">
        <f t="shared" si="76"/>
        <v>5.7016683543040774</v>
      </c>
      <c r="V82" s="101">
        <f t="shared" si="76"/>
        <v>5.7914503088632641</v>
      </c>
      <c r="W82" s="101">
        <f t="shared" si="76"/>
        <v>5.8825151365999027</v>
      </c>
      <c r="X82" s="101">
        <f t="shared" si="76"/>
        <v>5.974880170562777</v>
      </c>
      <c r="Y82" s="101">
        <f t="shared" si="76"/>
        <v>6.0572726198989777</v>
      </c>
      <c r="Z82" s="101">
        <f t="shared" si="76"/>
        <v>6.1407532423080582</v>
      </c>
      <c r="AA82" s="101">
        <f t="shared" si="76"/>
        <v>6.2253359917085591</v>
      </c>
      <c r="AB82" s="101">
        <f t="shared" si="76"/>
        <v>6.3110349971569661</v>
      </c>
      <c r="AC82" s="101">
        <f t="shared" si="76"/>
        <v>6.3978645650103516</v>
      </c>
      <c r="AD82" s="101">
        <f t="shared" si="76"/>
        <v>6.4858391811153879</v>
      </c>
      <c r="AE82" s="101">
        <f t="shared" si="76"/>
        <v>6.5749735130240543</v>
      </c>
      <c r="AF82" s="101">
        <f t="shared" si="76"/>
        <v>6.6652824122363352</v>
      </c>
      <c r="AG82" s="101">
        <f t="shared" si="76"/>
        <v>6.7567809164702535</v>
      </c>
      <c r="AH82" s="101">
        <f t="shared" si="76"/>
        <v>6.8494842519595691</v>
      </c>
      <c r="AJ82" s="101">
        <f t="shared" ref="AJ82:BN82" si="77">AJ23</f>
        <v>4.4906157306135288</v>
      </c>
      <c r="AK82" s="101">
        <f t="shared" si="77"/>
        <v>4.5488916376888815</v>
      </c>
      <c r="AL82" s="101">
        <f t="shared" si="77"/>
        <v>4.6079054484219419</v>
      </c>
      <c r="AM82" s="101">
        <f t="shared" si="77"/>
        <v>4.6676663365425783</v>
      </c>
      <c r="AN82" s="101">
        <f t="shared" si="77"/>
        <v>4.7281835882205403</v>
      </c>
      <c r="AO82" s="101">
        <f t="shared" si="77"/>
        <v>4.7894666034280649</v>
      </c>
      <c r="AP82" s="101">
        <f t="shared" si="77"/>
        <v>4.8515248973188472</v>
      </c>
      <c r="AQ82" s="101">
        <f t="shared" si="77"/>
        <v>4.9143681016235625</v>
      </c>
      <c r="AR82" s="101">
        <f t="shared" si="77"/>
        <v>4.9780059660621472</v>
      </c>
      <c r="AS82" s="101">
        <f t="shared" si="77"/>
        <v>5.0424483597730267</v>
      </c>
      <c r="AT82" s="101">
        <f t="shared" si="77"/>
        <v>5.1077052727594987</v>
      </c>
      <c r="AU82" s="101">
        <f t="shared" si="77"/>
        <v>5.1889740585003112</v>
      </c>
      <c r="AV82" s="101">
        <f t="shared" si="77"/>
        <v>5.2714104751833171</v>
      </c>
      <c r="AW82" s="101">
        <f t="shared" si="77"/>
        <v>5.3550303525670149</v>
      </c>
      <c r="AX82" s="101">
        <f t="shared" si="77"/>
        <v>5.4398497271123025</v>
      </c>
      <c r="AY82" s="101">
        <f t="shared" si="77"/>
        <v>5.5258848446115945</v>
      </c>
      <c r="AZ82" s="101">
        <f t="shared" si="77"/>
        <v>5.6131521628507288</v>
      </c>
      <c r="BA82" s="101">
        <f t="shared" si="77"/>
        <v>5.7016683543040774</v>
      </c>
      <c r="BB82" s="101">
        <f t="shared" si="77"/>
        <v>5.7914503088632641</v>
      </c>
      <c r="BC82" s="101">
        <f t="shared" si="77"/>
        <v>5.8825151365999027</v>
      </c>
      <c r="BD82" s="101">
        <f t="shared" si="77"/>
        <v>5.974880170562777</v>
      </c>
      <c r="BE82" s="101">
        <f t="shared" si="77"/>
        <v>6.0572726198989777</v>
      </c>
      <c r="BF82" s="101">
        <f t="shared" si="77"/>
        <v>6.1407532423080582</v>
      </c>
      <c r="BG82" s="101">
        <f t="shared" si="77"/>
        <v>6.2253359917085591</v>
      </c>
      <c r="BH82" s="101">
        <f t="shared" si="77"/>
        <v>6.3110349971569661</v>
      </c>
      <c r="BI82" s="101">
        <f t="shared" si="77"/>
        <v>6.3978645650103516</v>
      </c>
      <c r="BJ82" s="101">
        <f t="shared" si="77"/>
        <v>6.4858391811153879</v>
      </c>
      <c r="BK82" s="101">
        <f t="shared" si="77"/>
        <v>6.5749735130240543</v>
      </c>
      <c r="BL82" s="101">
        <f t="shared" si="77"/>
        <v>6.6652824122363352</v>
      </c>
      <c r="BM82" s="101">
        <f t="shared" si="77"/>
        <v>6.7567809164702535</v>
      </c>
      <c r="BN82" s="101">
        <f t="shared" si="77"/>
        <v>6.8494842519595691</v>
      </c>
    </row>
    <row r="83" spans="1:66" outlineLevel="1">
      <c r="A83"/>
      <c r="B83" t="s">
        <v>217</v>
      </c>
      <c r="C83" s="54" t="s">
        <v>153</v>
      </c>
      <c r="D83" s="44">
        <f>'BTX Recycling HC'!C152</f>
        <v>0</v>
      </c>
      <c r="E83" s="44">
        <f>'BTX Recycling HC'!D152</f>
        <v>2.6106924829568251E-3</v>
      </c>
      <c r="F83" s="44">
        <f>'BTX Recycling HC'!E152</f>
        <v>6.0468839649850583E-3</v>
      </c>
      <c r="G83" s="44">
        <f>'BTX Recycling HC'!F152</f>
        <v>1.0376575741341595E-2</v>
      </c>
      <c r="H83" s="44">
        <f>'BTX Recycling HC'!G152</f>
        <v>1.5660332446949209E-2</v>
      </c>
      <c r="I83" s="44">
        <f>'BTX Recycling HC'!H152</f>
        <v>2.1949632748058605E-2</v>
      </c>
      <c r="J83" s="44">
        <f>'BTX Recycling HC'!I152</f>
        <v>2.9356493653727514E-2</v>
      </c>
      <c r="K83" s="44">
        <f>'BTX Recycling HC'!J152</f>
        <v>3.7964544433566595E-2</v>
      </c>
      <c r="L83" s="44">
        <f>'BTX Recycling HC'!K152</f>
        <v>4.785928015810452E-2</v>
      </c>
      <c r="M83" s="44">
        <f>'BTX Recycling HC'!L152</f>
        <v>5.9127865111417086E-2</v>
      </c>
      <c r="N83" s="44">
        <f>'BTX Recycling HC'!M152</f>
        <v>7.185892007392243E-2</v>
      </c>
      <c r="O83" s="44">
        <f>'BTX Recycling HC'!N152</f>
        <v>9.2641337982030836E-2</v>
      </c>
      <c r="P83" s="44">
        <f>'BTX Recycling HC'!O152</f>
        <v>0.11620229758950823</v>
      </c>
      <c r="Q83" s="44">
        <f>'BTX Recycling HC'!P152</f>
        <v>0.14289356160967154</v>
      </c>
      <c r="R83" s="44">
        <f>'BTX Recycling HC'!Q152</f>
        <v>0.17257239868756241</v>
      </c>
      <c r="S83" s="44">
        <f>'BTX Recycling HC'!R152</f>
        <v>0.2052606166542168</v>
      </c>
      <c r="T83" s="44">
        <f>'BTX Recycling HC'!S152</f>
        <v>0.24139071737812584</v>
      </c>
      <c r="U83" s="44">
        <f>'BTX Recycling HC'!T152</f>
        <v>0.28113546312653759</v>
      </c>
      <c r="V83" s="44">
        <f>'BTX Recycling HC'!U152</f>
        <v>0.32467140732902616</v>
      </c>
      <c r="W83" s="44">
        <f>'BTX Recycling HC'!V152</f>
        <v>0.37217884969198828</v>
      </c>
      <c r="X83" s="44">
        <f>'BTX Recycling HC'!W152</f>
        <v>0.42384178622025043</v>
      </c>
      <c r="Y83" s="44">
        <f>'BTX Recycling HC'!X152</f>
        <v>0.49830654824495685</v>
      </c>
      <c r="Z83" s="44">
        <f>'BTX Recycling HC'!Y152</f>
        <v>0.57970668564514172</v>
      </c>
      <c r="AA83" s="44">
        <f>'BTX Recycling HC'!Z152</f>
        <v>0.67033372147260173</v>
      </c>
      <c r="AB83" s="44">
        <f>'BTX Recycling HC'!AA152</f>
        <v>0.76909610531725658</v>
      </c>
      <c r="AC83" s="44">
        <f>'BTX Recycling HC'!AB152</f>
        <v>0.8763914215863341</v>
      </c>
      <c r="AD83" s="44">
        <f>'BTX Recycling HC'!AC152</f>
        <v>0.99263634663953115</v>
      </c>
      <c r="AE83" s="44">
        <f>'BTX Recycling HC'!AD152</f>
        <v>1.118251346271615</v>
      </c>
      <c r="AF83" s="44">
        <f>'BTX Recycling HC'!AE152</f>
        <v>1.2536670308191817</v>
      </c>
      <c r="AG83" s="44">
        <f>'BTX Recycling HC'!AF152</f>
        <v>1.3993241367957376</v>
      </c>
      <c r="AH83" s="44">
        <f>'BTX Recycling HC'!AG152</f>
        <v>1.5556734990177621</v>
      </c>
      <c r="AI83" s="44"/>
      <c r="AJ83" s="44">
        <f>D83</f>
        <v>0</v>
      </c>
      <c r="AK83" s="44">
        <f t="shared" ref="AK83:BN83" si="78">E83</f>
        <v>2.6106924829568251E-3</v>
      </c>
      <c r="AL83" s="44">
        <f t="shared" si="78"/>
        <v>6.0468839649850583E-3</v>
      </c>
      <c r="AM83" s="44">
        <f t="shared" si="78"/>
        <v>1.0376575741341595E-2</v>
      </c>
      <c r="AN83" s="44">
        <f t="shared" si="78"/>
        <v>1.5660332446949209E-2</v>
      </c>
      <c r="AO83" s="44">
        <f t="shared" si="78"/>
        <v>2.1949632748058605E-2</v>
      </c>
      <c r="AP83" s="44">
        <f t="shared" si="78"/>
        <v>2.9356493653727514E-2</v>
      </c>
      <c r="AQ83" s="44">
        <f t="shared" si="78"/>
        <v>3.7964544433566595E-2</v>
      </c>
      <c r="AR83" s="44">
        <f t="shared" si="78"/>
        <v>4.785928015810452E-2</v>
      </c>
      <c r="AS83" s="44">
        <f t="shared" si="78"/>
        <v>5.9127865111417086E-2</v>
      </c>
      <c r="AT83" s="44">
        <f t="shared" si="78"/>
        <v>7.185892007392243E-2</v>
      </c>
      <c r="AU83" s="44">
        <f t="shared" si="78"/>
        <v>9.2641337982030836E-2</v>
      </c>
      <c r="AV83" s="44">
        <f t="shared" si="78"/>
        <v>0.11620229758950823</v>
      </c>
      <c r="AW83" s="44">
        <f t="shared" si="78"/>
        <v>0.14289356160967154</v>
      </c>
      <c r="AX83" s="44">
        <f t="shared" si="78"/>
        <v>0.17257239868756241</v>
      </c>
      <c r="AY83" s="44">
        <f t="shared" si="78"/>
        <v>0.2052606166542168</v>
      </c>
      <c r="AZ83" s="44">
        <f t="shared" si="78"/>
        <v>0.24139071737812584</v>
      </c>
      <c r="BA83" s="44">
        <f t="shared" si="78"/>
        <v>0.28113546312653759</v>
      </c>
      <c r="BB83" s="44">
        <f t="shared" si="78"/>
        <v>0.32467140732902616</v>
      </c>
      <c r="BC83" s="44">
        <f t="shared" si="78"/>
        <v>0.37217884969198828</v>
      </c>
      <c r="BD83" s="44">
        <f t="shared" si="78"/>
        <v>0.42384178622025043</v>
      </c>
      <c r="BE83" s="44">
        <f t="shared" si="78"/>
        <v>0.49830654824495685</v>
      </c>
      <c r="BF83" s="44">
        <f t="shared" si="78"/>
        <v>0.57970668564514172</v>
      </c>
      <c r="BG83" s="44">
        <f t="shared" si="78"/>
        <v>0.67033372147260173</v>
      </c>
      <c r="BH83" s="44">
        <f t="shared" si="78"/>
        <v>0.76909610531725658</v>
      </c>
      <c r="BI83" s="44">
        <f t="shared" si="78"/>
        <v>0.8763914215863341</v>
      </c>
      <c r="BJ83" s="44">
        <f t="shared" si="78"/>
        <v>0.99263634663953115</v>
      </c>
      <c r="BK83" s="44">
        <f t="shared" si="78"/>
        <v>1.118251346271615</v>
      </c>
      <c r="BL83" s="44">
        <f t="shared" si="78"/>
        <v>1.2536670308191817</v>
      </c>
      <c r="BM83" s="44">
        <f t="shared" si="78"/>
        <v>1.3993241367957376</v>
      </c>
      <c r="BN83" s="44">
        <f t="shared" si="78"/>
        <v>1.5556734990177621</v>
      </c>
    </row>
    <row r="84" spans="1:66" outlineLevel="1">
      <c r="A84" s="62"/>
      <c r="B84" s="62" t="s">
        <v>219</v>
      </c>
      <c r="C84" s="63" t="s">
        <v>153</v>
      </c>
      <c r="D84" s="64">
        <f>D82-D83</f>
        <v>4.4906157306135288</v>
      </c>
      <c r="E84" s="64">
        <f t="shared" ref="E84:AG84" si="79">E82-E83</f>
        <v>4.5462809452059245</v>
      </c>
      <c r="F84" s="64">
        <f t="shared" si="79"/>
        <v>4.6018585644569567</v>
      </c>
      <c r="G84" s="64">
        <f t="shared" si="79"/>
        <v>4.6572897608012367</v>
      </c>
      <c r="H84" s="64">
        <f t="shared" si="79"/>
        <v>4.7125232557735908</v>
      </c>
      <c r="I84" s="64">
        <f t="shared" si="79"/>
        <v>4.7675169706800062</v>
      </c>
      <c r="J84" s="64">
        <f t="shared" si="79"/>
        <v>4.8221684036651196</v>
      </c>
      <c r="K84" s="64">
        <f t="shared" si="79"/>
        <v>4.8764035571899962</v>
      </c>
      <c r="L84" s="64">
        <f t="shared" si="79"/>
        <v>4.9301466859040426</v>
      </c>
      <c r="M84" s="64">
        <f t="shared" si="79"/>
        <v>4.9833204946616094</v>
      </c>
      <c r="N84" s="64">
        <f t="shared" si="79"/>
        <v>5.0358463526855761</v>
      </c>
      <c r="O84" s="64">
        <f t="shared" si="79"/>
        <v>5.09633272051828</v>
      </c>
      <c r="P84" s="64">
        <f t="shared" si="79"/>
        <v>5.155208177593809</v>
      </c>
      <c r="Q84" s="64">
        <f t="shared" si="79"/>
        <v>5.2121367909573433</v>
      </c>
      <c r="R84" s="64">
        <f t="shared" si="79"/>
        <v>5.2672773284247398</v>
      </c>
      <c r="S84" s="64">
        <f t="shared" si="79"/>
        <v>5.3206242279573779</v>
      </c>
      <c r="T84" s="64">
        <f t="shared" si="79"/>
        <v>5.371761445472603</v>
      </c>
      <c r="U84" s="64">
        <f t="shared" si="79"/>
        <v>5.4205328911775394</v>
      </c>
      <c r="V84" s="64">
        <f t="shared" si="79"/>
        <v>5.4667789015342381</v>
      </c>
      <c r="W84" s="64">
        <f t="shared" si="79"/>
        <v>5.510336286907914</v>
      </c>
      <c r="X84" s="64">
        <f t="shared" si="79"/>
        <v>5.5510383843425268</v>
      </c>
      <c r="Y84" s="64">
        <f t="shared" si="79"/>
        <v>5.5589660716540212</v>
      </c>
      <c r="Z84" s="64">
        <f t="shared" si="79"/>
        <v>5.5610465566629168</v>
      </c>
      <c r="AA84" s="64">
        <f t="shared" si="79"/>
        <v>5.5550022702359572</v>
      </c>
      <c r="AB84" s="64">
        <f t="shared" si="79"/>
        <v>5.5419388918397097</v>
      </c>
      <c r="AC84" s="64">
        <f t="shared" si="79"/>
        <v>5.5214731434240178</v>
      </c>
      <c r="AD84" s="64">
        <f t="shared" si="79"/>
        <v>5.4932028344758566</v>
      </c>
      <c r="AE84" s="64">
        <f t="shared" si="79"/>
        <v>5.4567221667524395</v>
      </c>
      <c r="AF84" s="64">
        <f t="shared" si="79"/>
        <v>5.4116153814171533</v>
      </c>
      <c r="AG84" s="64">
        <f t="shared" si="79"/>
        <v>5.3574567796745161</v>
      </c>
      <c r="AH84" s="64">
        <f>AH82-AH83</f>
        <v>5.2938107529418073</v>
      </c>
      <c r="AJ84" s="64">
        <f>AJ82-AJ83</f>
        <v>4.4906157306135288</v>
      </c>
      <c r="AK84" s="64">
        <f t="shared" ref="AK84:BN84" si="80">AK82-AK83</f>
        <v>4.5462809452059245</v>
      </c>
      <c r="AL84" s="64">
        <f t="shared" si="80"/>
        <v>4.6018585644569567</v>
      </c>
      <c r="AM84" s="64">
        <f t="shared" si="80"/>
        <v>4.6572897608012367</v>
      </c>
      <c r="AN84" s="64">
        <f t="shared" si="80"/>
        <v>4.7125232557735908</v>
      </c>
      <c r="AO84" s="64">
        <f t="shared" si="80"/>
        <v>4.7675169706800062</v>
      </c>
      <c r="AP84" s="64">
        <f t="shared" si="80"/>
        <v>4.8221684036651196</v>
      </c>
      <c r="AQ84" s="64">
        <f t="shared" si="80"/>
        <v>4.8764035571899962</v>
      </c>
      <c r="AR84" s="64">
        <f t="shared" si="80"/>
        <v>4.9301466859040426</v>
      </c>
      <c r="AS84" s="64">
        <f t="shared" si="80"/>
        <v>4.9833204946616094</v>
      </c>
      <c r="AT84" s="64">
        <f t="shared" si="80"/>
        <v>5.0358463526855761</v>
      </c>
      <c r="AU84" s="64">
        <f t="shared" si="80"/>
        <v>5.09633272051828</v>
      </c>
      <c r="AV84" s="64">
        <f t="shared" si="80"/>
        <v>5.155208177593809</v>
      </c>
      <c r="AW84" s="64">
        <f t="shared" si="80"/>
        <v>5.2121367909573433</v>
      </c>
      <c r="AX84" s="64">
        <f t="shared" si="80"/>
        <v>5.2672773284247398</v>
      </c>
      <c r="AY84" s="64">
        <f t="shared" si="80"/>
        <v>5.3206242279573779</v>
      </c>
      <c r="AZ84" s="64">
        <f t="shared" si="80"/>
        <v>5.371761445472603</v>
      </c>
      <c r="BA84" s="64">
        <f t="shared" si="80"/>
        <v>5.4205328911775394</v>
      </c>
      <c r="BB84" s="64">
        <f t="shared" si="80"/>
        <v>5.4667789015342381</v>
      </c>
      <c r="BC84" s="64">
        <f t="shared" si="80"/>
        <v>5.510336286907914</v>
      </c>
      <c r="BD84" s="64">
        <f t="shared" si="80"/>
        <v>5.5510383843425268</v>
      </c>
      <c r="BE84" s="64">
        <f t="shared" si="80"/>
        <v>5.5589660716540212</v>
      </c>
      <c r="BF84" s="64">
        <f t="shared" si="80"/>
        <v>5.5610465566629168</v>
      </c>
      <c r="BG84" s="64">
        <f t="shared" si="80"/>
        <v>5.5550022702359572</v>
      </c>
      <c r="BH84" s="64">
        <f t="shared" si="80"/>
        <v>5.5419388918397097</v>
      </c>
      <c r="BI84" s="64">
        <f t="shared" si="80"/>
        <v>5.5214731434240178</v>
      </c>
      <c r="BJ84" s="64">
        <f t="shared" si="80"/>
        <v>5.4932028344758566</v>
      </c>
      <c r="BK84" s="64">
        <f t="shared" si="80"/>
        <v>5.4567221667524395</v>
      </c>
      <c r="BL84" s="64">
        <f t="shared" si="80"/>
        <v>5.4116153814171533</v>
      </c>
      <c r="BM84" s="64">
        <f t="shared" si="80"/>
        <v>5.3574567796745161</v>
      </c>
      <c r="BN84" s="64">
        <f t="shared" si="80"/>
        <v>5.2938107529418073</v>
      </c>
    </row>
    <row r="85" spans="1:66" s="67" customFormat="1" outlineLevel="1">
      <c r="A85" s="752"/>
      <c r="B85" s="58" t="s">
        <v>7</v>
      </c>
      <c r="C85" s="59" t="s">
        <v>153</v>
      </c>
      <c r="D85" s="60">
        <f>D24-'Overall recycling rates'!$G$60/SUM('Overall recycling rates'!$G$60:$G$62)*('BTX Recycling HC'!C153)-'Overall recycling rates'!$E$60/SUM('Overall recycling rates'!$E$60:$E$62)*('BTX Recycling HC'!C154)-'Overall recycling rates'!$H$60/SUM('Overall recycling rates'!$H$60:$H$62)*('BTX Recycling HC'!C155)-'Overall recycling rates'!$I$60/SUM('Overall recycling rates'!$I$60:$I$62)*('BTX Recycling HC'!C156)</f>
        <v>2.5999466924200116</v>
      </c>
      <c r="E85" s="60">
        <f>E24-'Overall recycling rates'!$G$60/SUM('Overall recycling rates'!$G$60:$G$62)*('BTX Recycling HC'!D153)-'Overall recycling rates'!$E$60/SUM('Overall recycling rates'!$E$60:$E$62)*('BTX Recycling HC'!D154)-'Overall recycling rates'!$H$60/SUM('Overall recycling rates'!$H$60:$H$62)*('BTX Recycling HC'!D155)-'Overall recycling rates'!$I$60/SUM('Overall recycling rates'!$I$60:$I$62)*('BTX Recycling HC'!D156)</f>
        <v>2.6317488350860376</v>
      </c>
      <c r="F85" s="60">
        <f>F24-'Overall recycling rates'!$G$60/SUM('Overall recycling rates'!$G$60:$G$62)*('BTX Recycling HC'!E153)-'Overall recycling rates'!$E$60/SUM('Overall recycling rates'!$E$60:$E$62)*('BTX Recycling HC'!E154)-'Overall recycling rates'!$H$60/SUM('Overall recycling rates'!$H$60:$H$62)*('BTX Recycling HC'!E155)-'Overall recycling rates'!$I$60/SUM('Overall recycling rates'!$I$60:$I$62)*('BTX Recycling HC'!E156)</f>
        <v>2.6633889018952215</v>
      </c>
      <c r="G85" s="60">
        <f>G24-'Overall recycling rates'!$G$60/SUM('Overall recycling rates'!$G$60:$G$62)*('BTX Recycling HC'!F153)-'Overall recycling rates'!$E$60/SUM('Overall recycling rates'!$E$60:$E$62)*('BTX Recycling HC'!F154)-'Overall recycling rates'!$H$60/SUM('Overall recycling rates'!$H$60:$H$62)*('BTX Recycling HC'!F155)-'Overall recycling rates'!$I$60/SUM('Overall recycling rates'!$I$60:$I$62)*('BTX Recycling HC'!F156)</f>
        <v>2.6948338613556344</v>
      </c>
      <c r="H85" s="60">
        <f>H24-'Overall recycling rates'!$G$60/SUM('Overall recycling rates'!$G$60:$G$62)*('BTX Recycling HC'!G153)-'Overall recycling rates'!$E$60/SUM('Overall recycling rates'!$E$60:$E$62)*('BTX Recycling HC'!G154)-'Overall recycling rates'!$H$60/SUM('Overall recycling rates'!$H$60:$H$62)*('BTX Recycling HC'!G155)-'Overall recycling rates'!$I$60/SUM('Overall recycling rates'!$I$60:$I$62)*('BTX Recycling HC'!G156)</f>
        <v>2.7260575234811606</v>
      </c>
      <c r="I85" s="60">
        <f>I24-'Overall recycling rates'!$G$60/SUM('Overall recycling rates'!$G$60:$G$62)*('BTX Recycling HC'!H153)-'Overall recycling rates'!$E$60/SUM('Overall recycling rates'!$E$60:$E$62)*('BTX Recycling HC'!H154)-'Overall recycling rates'!$H$60/SUM('Overall recycling rates'!$H$60:$H$62)*('BTX Recycling HC'!H155)-'Overall recycling rates'!$I$60/SUM('Overall recycling rates'!$I$60:$I$62)*('BTX Recycling HC'!H156)</f>
        <v>2.7570415650360265</v>
      </c>
      <c r="J85" s="60">
        <f>J24-'Overall recycling rates'!$G$60/SUM('Overall recycling rates'!$G$60:$G$62)*('BTX Recycling HC'!I153)-'Overall recycling rates'!$E$60/SUM('Overall recycling rates'!$E$60:$E$62)*('BTX Recycling HC'!I154)-'Overall recycling rates'!$H$60/SUM('Overall recycling rates'!$H$60:$H$62)*('BTX Recycling HC'!I155)-'Overall recycling rates'!$I$60/SUM('Overall recycling rates'!$I$60:$I$62)*('BTX Recycling HC'!I156)</f>
        <v>2.7877248270778514</v>
      </c>
      <c r="K85" s="60">
        <f>K24-'Overall recycling rates'!$G$60/SUM('Overall recycling rates'!$G$60:$G$62)*('BTX Recycling HC'!J153)-'Overall recycling rates'!$E$60/SUM('Overall recycling rates'!$E$60:$E$62)*('BTX Recycling HC'!J154)-'Overall recycling rates'!$H$60/SUM('Overall recycling rates'!$H$60:$H$62)*('BTX Recycling HC'!J155)-'Overall recycling rates'!$I$60/SUM('Overall recycling rates'!$I$60:$I$62)*('BTX Recycling HC'!J156)</f>
        <v>2.8180688267810243</v>
      </c>
      <c r="L85" s="60">
        <f>L24-'Overall recycling rates'!$G$60/SUM('Overall recycling rates'!$G$60:$G$62)*('BTX Recycling HC'!K153)-'Overall recycling rates'!$E$60/SUM('Overall recycling rates'!$E$60:$E$62)*('BTX Recycling HC'!K154)-'Overall recycling rates'!$H$60/SUM('Overall recycling rates'!$H$60:$H$62)*('BTX Recycling HC'!K155)-'Overall recycling rates'!$I$60/SUM('Overall recycling rates'!$I$60:$I$62)*('BTX Recycling HC'!K156)</f>
        <v>2.8480354287463854</v>
      </c>
      <c r="M85" s="60">
        <f>M24-'Overall recycling rates'!$G$60/SUM('Overall recycling rates'!$G$60:$G$62)*('BTX Recycling HC'!L153)-'Overall recycling rates'!$E$60/SUM('Overall recycling rates'!$E$60:$E$62)*('BTX Recycling HC'!L154)-'Overall recycling rates'!$H$60/SUM('Overall recycling rates'!$H$60:$H$62)*('BTX Recycling HC'!L155)-'Overall recycling rates'!$I$60/SUM('Overall recycling rates'!$I$60:$I$62)*('BTX Recycling HC'!L156)</f>
        <v>2.8775870305380904</v>
      </c>
      <c r="N85" s="60">
        <f>N24-'Overall recycling rates'!$G$60/SUM('Overall recycling rates'!$G$60:$G$62)*('BTX Recycling HC'!M153)-'Overall recycling rates'!$E$60/SUM('Overall recycling rates'!$E$60:$E$62)*('BTX Recycling HC'!M154)-'Overall recycling rates'!$H$60/SUM('Overall recycling rates'!$H$60:$H$62)*('BTX Recycling HC'!M155)-'Overall recycling rates'!$I$60/SUM('Overall recycling rates'!$I$60:$I$62)*('BTX Recycling HC'!M156)</f>
        <v>2.9066867539237187</v>
      </c>
      <c r="O85" s="60">
        <f>O24-'Overall recycling rates'!$G$60/SUM('Overall recycling rates'!$G$60:$G$62)*('BTX Recycling HC'!N153)-'Overall recycling rates'!$E$60/SUM('Overall recycling rates'!$E$60:$E$62)*('BTX Recycling HC'!N154)-'Overall recycling rates'!$H$60/SUM('Overall recycling rates'!$H$60:$H$62)*('BTX Recycling HC'!N155)-'Overall recycling rates'!$I$60/SUM('Overall recycling rates'!$I$60:$I$62)*('BTX Recycling HC'!N156)</f>
        <v>2.9395360243243767</v>
      </c>
      <c r="P85" s="60">
        <f>P24-'Overall recycling rates'!$G$60/SUM('Overall recycling rates'!$G$60:$G$62)*('BTX Recycling HC'!O153)-'Overall recycling rates'!$E$60/SUM('Overall recycling rates'!$E$60:$E$62)*('BTX Recycling HC'!O154)-'Overall recycling rates'!$H$60/SUM('Overall recycling rates'!$H$60:$H$62)*('BTX Recycling HC'!O155)-'Overall recycling rates'!$I$60/SUM('Overall recycling rates'!$I$60:$I$62)*('BTX Recycling HC'!O156)</f>
        <v>2.9713276013702328</v>
      </c>
      <c r="Q85" s="60">
        <f>Q24-'Overall recycling rates'!$G$60/SUM('Overall recycling rates'!$G$60:$G$62)*('BTX Recycling HC'!P153)-'Overall recycling rates'!$E$60/SUM('Overall recycling rates'!$E$60:$E$62)*('BTX Recycling HC'!P154)-'Overall recycling rates'!$H$60/SUM('Overall recycling rates'!$H$60:$H$62)*('BTX Recycling HC'!P155)-'Overall recycling rates'!$I$60/SUM('Overall recycling rates'!$I$60:$I$62)*('BTX Recycling HC'!P156)</f>
        <v>3.0018676879033444</v>
      </c>
      <c r="R85" s="60">
        <f>R24-'Overall recycling rates'!$G$60/SUM('Overall recycling rates'!$G$60:$G$62)*('BTX Recycling HC'!Q153)-'Overall recycling rates'!$E$60/SUM('Overall recycling rates'!$E$60:$E$62)*('BTX Recycling HC'!Q154)-'Overall recycling rates'!$H$60/SUM('Overall recycling rates'!$H$60:$H$62)*('BTX Recycling HC'!Q155)-'Overall recycling rates'!$I$60/SUM('Overall recycling rates'!$I$60:$I$62)*('BTX Recycling HC'!Q156)</f>
        <v>3.0313088623526392</v>
      </c>
      <c r="S85" s="60">
        <f>S24-'Overall recycling rates'!$G$60/SUM('Overall recycling rates'!$G$60:$G$62)*('BTX Recycling HC'!R153)-'Overall recycling rates'!$E$60/SUM('Overall recycling rates'!$E$60:$E$62)*('BTX Recycling HC'!R154)-'Overall recycling rates'!$H$60/SUM('Overall recycling rates'!$H$60:$H$62)*('BTX Recycling HC'!R155)-'Overall recycling rates'!$I$60/SUM('Overall recycling rates'!$I$60:$I$62)*('BTX Recycling HC'!R156)</f>
        <v>3.0596889084626451</v>
      </c>
      <c r="T85" s="60">
        <f>T24-'Overall recycling rates'!$G$60/SUM('Overall recycling rates'!$G$60:$G$62)*('BTX Recycling HC'!S153)-'Overall recycling rates'!$E$60/SUM('Overall recycling rates'!$E$60:$E$62)*('BTX Recycling HC'!S154)-'Overall recycling rates'!$H$60/SUM('Overall recycling rates'!$H$60:$H$62)*('BTX Recycling HC'!S155)-'Overall recycling rates'!$I$60/SUM('Overall recycling rates'!$I$60:$I$62)*('BTX Recycling HC'!S156)</f>
        <v>3.0867681777225577</v>
      </c>
      <c r="U85" s="60">
        <f>U24-'Overall recycling rates'!$G$60/SUM('Overall recycling rates'!$G$60:$G$62)*('BTX Recycling HC'!T153)-'Overall recycling rates'!$E$60/SUM('Overall recycling rates'!$E$60:$E$62)*('BTX Recycling HC'!T154)-'Overall recycling rates'!$H$60/SUM('Overall recycling rates'!$H$60:$H$62)*('BTX Recycling HC'!T155)-'Overall recycling rates'!$I$60/SUM('Overall recycling rates'!$I$60:$I$62)*('BTX Recycling HC'!T156)</f>
        <v>3.1124900429495743</v>
      </c>
      <c r="V85" s="60">
        <f>V24-'Overall recycling rates'!$G$60/SUM('Overall recycling rates'!$G$60:$G$62)*('BTX Recycling HC'!U153)-'Overall recycling rates'!$E$60/SUM('Overall recycling rates'!$E$60:$E$62)*('BTX Recycling HC'!U154)-'Overall recycling rates'!$H$60/SUM('Overall recycling rates'!$H$60:$H$62)*('BTX Recycling HC'!U155)-'Overall recycling rates'!$I$60/SUM('Overall recycling rates'!$I$60:$I$62)*('BTX Recycling HC'!U156)</f>
        <v>3.1367988075904796</v>
      </c>
      <c r="W85" s="60">
        <f>W24-'Overall recycling rates'!$G$60/SUM('Overall recycling rates'!$G$60:$G$62)*('BTX Recycling HC'!V153)-'Overall recycling rates'!$E$60/SUM('Overall recycling rates'!$E$60:$E$62)*('BTX Recycling HC'!V154)-'Overall recycling rates'!$H$60/SUM('Overall recycling rates'!$H$60:$H$62)*('BTX Recycling HC'!V155)-'Overall recycling rates'!$I$60/SUM('Overall recycling rates'!$I$60:$I$62)*('BTX Recycling HC'!V156)</f>
        <v>3.1596398285105414</v>
      </c>
      <c r="X85" s="60">
        <f>X24-'Overall recycling rates'!$G$60/SUM('Overall recycling rates'!$G$60:$G$62)*('BTX Recycling HC'!W153)-'Overall recycling rates'!$E$60/SUM('Overall recycling rates'!$E$60:$E$62)*('BTX Recycling HC'!W154)-'Overall recycling rates'!$H$60/SUM('Overall recycling rates'!$H$60:$H$62)*('BTX Recycling HC'!W155)-'Overall recycling rates'!$I$60/SUM('Overall recycling rates'!$I$60:$I$62)*('BTX Recycling HC'!W156)</f>
        <v>3.1809596408517593</v>
      </c>
      <c r="Y85" s="60">
        <f>Y24-'Overall recycling rates'!$G$60/SUM('Overall recycling rates'!$G$60:$G$62)*('BTX Recycling HC'!X153)-'Overall recycling rates'!$E$60/SUM('Overall recycling rates'!$E$60:$E$62)*('BTX Recycling HC'!X154)-'Overall recycling rates'!$H$60/SUM('Overall recycling rates'!$H$60:$H$62)*('BTX Recycling HC'!X155)-'Overall recycling rates'!$I$60/SUM('Overall recycling rates'!$I$60:$I$62)*('BTX Recycling HC'!X156)</f>
        <v>3.1821209140350004</v>
      </c>
      <c r="Z85" s="60">
        <f>Z24-'Overall recycling rates'!$G$60/SUM('Overall recycling rates'!$G$60:$G$62)*('BTX Recycling HC'!Y153)-'Overall recycling rates'!$E$60/SUM('Overall recycling rates'!$E$60:$E$62)*('BTX Recycling HC'!Y154)-'Overall recycling rates'!$H$60/SUM('Overall recycling rates'!$H$60:$H$62)*('BTX Recycling HC'!Y155)-'Overall recycling rates'!$I$60/SUM('Overall recycling rates'!$I$60:$I$62)*('BTX Recycling HC'!Y156)</f>
        <v>3.1801373733920855</v>
      </c>
      <c r="AA85" s="60">
        <f>AA24-'Overall recycling rates'!$G$60/SUM('Overall recycling rates'!$G$60:$G$62)*('BTX Recycling HC'!Z153)-'Overall recycling rates'!$E$60/SUM('Overall recycling rates'!$E$60:$E$62)*('BTX Recycling HC'!Z154)-'Overall recycling rates'!$H$60/SUM('Overall recycling rates'!$H$60:$H$62)*('BTX Recycling HC'!Z155)-'Overall recycling rates'!$I$60/SUM('Overall recycling rates'!$I$60:$I$62)*('BTX Recycling HC'!Z156)</f>
        <v>3.1736438732690586</v>
      </c>
      <c r="AB85" s="60">
        <f>AB24-'Overall recycling rates'!$G$60/SUM('Overall recycling rates'!$G$60:$G$62)*('BTX Recycling HC'!AA153)-'Overall recycling rates'!$E$60/SUM('Overall recycling rates'!$E$60:$E$62)*('BTX Recycling HC'!AA154)-'Overall recycling rates'!$H$60/SUM('Overall recycling rates'!$H$60:$H$62)*('BTX Recycling HC'!AA155)-'Overall recycling rates'!$I$60/SUM('Overall recycling rates'!$I$60:$I$62)*('BTX Recycling HC'!AA156)</f>
        <v>3.1634788258252549</v>
      </c>
      <c r="AC85" s="60">
        <f>AC24-'Overall recycling rates'!$G$60/SUM('Overall recycling rates'!$G$60:$G$62)*('BTX Recycling HC'!AB153)-'Overall recycling rates'!$E$60/SUM('Overall recycling rates'!$E$60:$E$62)*('BTX Recycling HC'!AB154)-'Overall recycling rates'!$H$60/SUM('Overall recycling rates'!$H$60:$H$62)*('BTX Recycling HC'!AB155)-'Overall recycling rates'!$I$60/SUM('Overall recycling rates'!$I$60:$I$62)*('BTX Recycling HC'!AB156)</f>
        <v>3.1495164308448822</v>
      </c>
      <c r="AD85" s="60">
        <f>AD24-'Overall recycling rates'!$G$60/SUM('Overall recycling rates'!$G$60:$G$62)*('BTX Recycling HC'!AC153)-'Overall recycling rates'!$E$60/SUM('Overall recycling rates'!$E$60:$E$62)*('BTX Recycling HC'!AC154)-'Overall recycling rates'!$H$60/SUM('Overall recycling rates'!$H$60:$H$62)*('BTX Recycling HC'!AC155)-'Overall recycling rates'!$I$60/SUM('Overall recycling rates'!$I$60:$I$62)*('BTX Recycling HC'!AC156)</f>
        <v>3.1316266640159314</v>
      </c>
      <c r="AE85" s="60">
        <f>AE24-'Overall recycling rates'!$G$60/SUM('Overall recycling rates'!$G$60:$G$62)*('BTX Recycling HC'!AD153)-'Overall recycling rates'!$E$60/SUM('Overall recycling rates'!$E$60:$E$62)*('BTX Recycling HC'!AD154)-'Overall recycling rates'!$H$60/SUM('Overall recycling rates'!$H$60:$H$62)*('BTX Recycling HC'!AD155)-'Overall recycling rates'!$I$60/SUM('Overall recycling rates'!$I$60:$I$62)*('BTX Recycling HC'!AD156)</f>
        <v>3.1096852840575964</v>
      </c>
      <c r="AF85" s="60">
        <f>AF24-'Overall recycling rates'!$G$60/SUM('Overall recycling rates'!$G$60:$G$62)*('BTX Recycling HC'!AE153)-'Overall recycling rates'!$E$60/SUM('Overall recycling rates'!$E$60:$E$62)*('BTX Recycling HC'!AE154)-'Overall recycling rates'!$H$60/SUM('Overall recycling rates'!$H$60:$H$62)*('BTX Recycling HC'!AE155)-'Overall recycling rates'!$I$60/SUM('Overall recycling rates'!$I$60:$I$62)*('BTX Recycling HC'!AE156)</f>
        <v>3.0835699919662147</v>
      </c>
      <c r="AG85" s="60">
        <f>AG24-'Overall recycling rates'!$G$60/SUM('Overall recycling rates'!$G$60:$G$62)*('BTX Recycling HC'!AF153)-'Overall recycling rates'!$E$60/SUM('Overall recycling rates'!$E$60:$E$62)*('BTX Recycling HC'!AF154)-'Overall recycling rates'!$H$60/SUM('Overall recycling rates'!$H$60:$H$62)*('BTX Recycling HC'!AF155)-'Overall recycling rates'!$I$60/SUM('Overall recycling rates'!$I$60:$I$62)*('BTX Recycling HC'!AF156)</f>
        <v>3.0531606883362432</v>
      </c>
      <c r="AH85" s="60">
        <f>AH24-'Overall recycling rates'!$G$60/SUM('Overall recycling rates'!$G$60:$G$62)*('BTX Recycling HC'!AG153)-'Overall recycling rates'!$E$60/SUM('Overall recycling rates'!$E$60:$E$62)*('BTX Recycling HC'!AG154)-'Overall recycling rates'!$H$60/SUM('Overall recycling rates'!$H$60:$H$62)*('BTX Recycling HC'!AG155)-'Overall recycling rates'!$I$60/SUM('Overall recycling rates'!$I$60:$I$62)*('BTX Recycling HC'!AG156)</f>
        <v>3.0183397359594122</v>
      </c>
      <c r="AJ85" s="60">
        <f>AJ24-'Overall recycling rates'!$G$60/SUM('Overall recycling rates'!$G$60:$G$62)*('BTX Recycling HC'!C153)-'Overall recycling rates'!$E$60/SUM('Overall recycling rates'!$E$60:$E$62)*('BTX Recycling HC'!C154)-'Overall recycling rates'!$H$60/SUM('Overall recycling rates'!$H$60:$H$62)*('BTX Recycling HC'!C155)-'Overall recycling rates'!$I$60/SUM('Overall recycling rates'!$I$60:$I$62)*('BTX Recycling HC'!C156)</f>
        <v>2.5999466924200116</v>
      </c>
      <c r="AK85" s="60">
        <f>AK24-'Overall recycling rates'!$G$60/SUM('Overall recycling rates'!$G$60:$G$62)*('BTX Recycling HC'!D153)-'Overall recycling rates'!$E$60/SUM('Overall recycling rates'!$E$60:$E$62)*('BTX Recycling HC'!D154)-'Overall recycling rates'!$H$60/SUM('Overall recycling rates'!$H$60:$H$62)*('BTX Recycling HC'!D155)-'Overall recycling rates'!$I$60/SUM('Overall recycling rates'!$I$60:$I$62)*('BTX Recycling HC'!D156)</f>
        <v>2.6317488350860376</v>
      </c>
      <c r="AL85" s="60">
        <f>AL24-'Overall recycling rates'!$G$60/SUM('Overall recycling rates'!$G$60:$G$62)*('BTX Recycling HC'!E153)-'Overall recycling rates'!$E$60/SUM('Overall recycling rates'!$E$60:$E$62)*('BTX Recycling HC'!E154)-'Overall recycling rates'!$H$60/SUM('Overall recycling rates'!$H$60:$H$62)*('BTX Recycling HC'!E155)-'Overall recycling rates'!$I$60/SUM('Overall recycling rates'!$I$60:$I$62)*('BTX Recycling HC'!E156)</f>
        <v>2.6633889018952215</v>
      </c>
      <c r="AM85" s="60">
        <f>AM24-'Overall recycling rates'!$G$60/SUM('Overall recycling rates'!$G$60:$G$62)*('BTX Recycling HC'!F153)-'Overall recycling rates'!$E$60/SUM('Overall recycling rates'!$E$60:$E$62)*('BTX Recycling HC'!F154)-'Overall recycling rates'!$H$60/SUM('Overall recycling rates'!$H$60:$H$62)*('BTX Recycling HC'!F155)-'Overall recycling rates'!$I$60/SUM('Overall recycling rates'!$I$60:$I$62)*('BTX Recycling HC'!F156)</f>
        <v>2.6948338613556344</v>
      </c>
      <c r="AN85" s="60">
        <f>AN24-'Overall recycling rates'!$G$60/SUM('Overall recycling rates'!$G$60:$G$62)*('BTX Recycling HC'!G153)-'Overall recycling rates'!$E$60/SUM('Overall recycling rates'!$E$60:$E$62)*('BTX Recycling HC'!G154)-'Overall recycling rates'!$H$60/SUM('Overall recycling rates'!$H$60:$H$62)*('BTX Recycling HC'!G155)-'Overall recycling rates'!$I$60/SUM('Overall recycling rates'!$I$60:$I$62)*('BTX Recycling HC'!G156)</f>
        <v>2.7260575234811606</v>
      </c>
      <c r="AO85" s="60">
        <f>AO24-'Overall recycling rates'!$G$60/SUM('Overall recycling rates'!$G$60:$G$62)*('BTX Recycling HC'!H153)-'Overall recycling rates'!$E$60/SUM('Overall recycling rates'!$E$60:$E$62)*('BTX Recycling HC'!H154)-'Overall recycling rates'!$H$60/SUM('Overall recycling rates'!$H$60:$H$62)*('BTX Recycling HC'!H155)-'Overall recycling rates'!$I$60/SUM('Overall recycling rates'!$I$60:$I$62)*('BTX Recycling HC'!H156)</f>
        <v>2.7570415650360265</v>
      </c>
      <c r="AP85" s="60">
        <f>AP24-'Overall recycling rates'!$G$60/SUM('Overall recycling rates'!$G$60:$G$62)*('BTX Recycling HC'!I153)-'Overall recycling rates'!$E$60/SUM('Overall recycling rates'!$E$60:$E$62)*('BTX Recycling HC'!I154)-'Overall recycling rates'!$H$60/SUM('Overall recycling rates'!$H$60:$H$62)*('BTX Recycling HC'!I155)-'Overall recycling rates'!$I$60/SUM('Overall recycling rates'!$I$60:$I$62)*('BTX Recycling HC'!I156)</f>
        <v>2.7877248270778514</v>
      </c>
      <c r="AQ85" s="60">
        <f>AQ24-'Overall recycling rates'!$G$60/SUM('Overall recycling rates'!$G$60:$G$62)*('BTX Recycling HC'!J153)-'Overall recycling rates'!$E$60/SUM('Overall recycling rates'!$E$60:$E$62)*('BTX Recycling HC'!J154)-'Overall recycling rates'!$H$60/SUM('Overall recycling rates'!$H$60:$H$62)*('BTX Recycling HC'!J155)-'Overall recycling rates'!$I$60/SUM('Overall recycling rates'!$I$60:$I$62)*('BTX Recycling HC'!J156)</f>
        <v>2.8180688267810243</v>
      </c>
      <c r="AR85" s="60">
        <f>AR24-'Overall recycling rates'!$G$60/SUM('Overall recycling rates'!$G$60:$G$62)*('BTX Recycling HC'!K153)-'Overall recycling rates'!$E$60/SUM('Overall recycling rates'!$E$60:$E$62)*('BTX Recycling HC'!K154)-'Overall recycling rates'!$H$60/SUM('Overall recycling rates'!$H$60:$H$62)*('BTX Recycling HC'!K155)-'Overall recycling rates'!$I$60/SUM('Overall recycling rates'!$I$60:$I$62)*('BTX Recycling HC'!K156)</f>
        <v>2.8480354287463854</v>
      </c>
      <c r="AS85" s="60">
        <f>AS24-'Overall recycling rates'!$G$60/SUM('Overall recycling rates'!$G$60:$G$62)*('BTX Recycling HC'!L153)-'Overall recycling rates'!$E$60/SUM('Overall recycling rates'!$E$60:$E$62)*('BTX Recycling HC'!L154)-'Overall recycling rates'!$H$60/SUM('Overall recycling rates'!$H$60:$H$62)*('BTX Recycling HC'!L155)-'Overall recycling rates'!$I$60/SUM('Overall recycling rates'!$I$60:$I$62)*('BTX Recycling HC'!L156)</f>
        <v>2.8775870305380904</v>
      </c>
      <c r="AT85" s="60">
        <f>AT24-'Overall recycling rates'!$G$60/SUM('Overall recycling rates'!$G$60:$G$62)*('BTX Recycling HC'!M153)-'Overall recycling rates'!$E$60/SUM('Overall recycling rates'!$E$60:$E$62)*('BTX Recycling HC'!M154)-'Overall recycling rates'!$H$60/SUM('Overall recycling rates'!$H$60:$H$62)*('BTX Recycling HC'!M155)-'Overall recycling rates'!$I$60/SUM('Overall recycling rates'!$I$60:$I$62)*('BTX Recycling HC'!M156)</f>
        <v>2.9066867539237187</v>
      </c>
      <c r="AU85" s="60">
        <f>AU24-'Overall recycling rates'!$G$60/SUM('Overall recycling rates'!$G$60:$G$62)*('BTX Recycling HC'!N153)-'Overall recycling rates'!$E$60/SUM('Overall recycling rates'!$E$60:$E$62)*('BTX Recycling HC'!N154)-'Overall recycling rates'!$H$60/SUM('Overall recycling rates'!$H$60:$H$62)*('BTX Recycling HC'!N155)-'Overall recycling rates'!$I$60/SUM('Overall recycling rates'!$I$60:$I$62)*('BTX Recycling HC'!N156)</f>
        <v>2.9395360243243767</v>
      </c>
      <c r="AV85" s="60">
        <f>AV24-'Overall recycling rates'!$G$60/SUM('Overall recycling rates'!$G$60:$G$62)*('BTX Recycling HC'!O153)-'Overall recycling rates'!$E$60/SUM('Overall recycling rates'!$E$60:$E$62)*('BTX Recycling HC'!O154)-'Overall recycling rates'!$H$60/SUM('Overall recycling rates'!$H$60:$H$62)*('BTX Recycling HC'!O155)-'Overall recycling rates'!$I$60/SUM('Overall recycling rates'!$I$60:$I$62)*('BTX Recycling HC'!O156)</f>
        <v>2.9713276013702328</v>
      </c>
      <c r="AW85" s="60">
        <f>AW24-'Overall recycling rates'!$G$60/SUM('Overall recycling rates'!$G$60:$G$62)*('BTX Recycling HC'!P153)-'Overall recycling rates'!$E$60/SUM('Overall recycling rates'!$E$60:$E$62)*('BTX Recycling HC'!P154)-'Overall recycling rates'!$H$60/SUM('Overall recycling rates'!$H$60:$H$62)*('BTX Recycling HC'!P155)-'Overall recycling rates'!$I$60/SUM('Overall recycling rates'!$I$60:$I$62)*('BTX Recycling HC'!P156)</f>
        <v>3.0018676879033444</v>
      </c>
      <c r="AX85" s="60">
        <f>AX24-'Overall recycling rates'!$G$60/SUM('Overall recycling rates'!$G$60:$G$62)*('BTX Recycling HC'!Q153)-'Overall recycling rates'!$E$60/SUM('Overall recycling rates'!$E$60:$E$62)*('BTX Recycling HC'!Q154)-'Overall recycling rates'!$H$60/SUM('Overall recycling rates'!$H$60:$H$62)*('BTX Recycling HC'!Q155)-'Overall recycling rates'!$I$60/SUM('Overall recycling rates'!$I$60:$I$62)*('BTX Recycling HC'!Q156)</f>
        <v>3.0313088623526392</v>
      </c>
      <c r="AY85" s="60">
        <f>AY24-'Overall recycling rates'!$G$60/SUM('Overall recycling rates'!$G$60:$G$62)*('BTX Recycling HC'!R153)-'Overall recycling rates'!$E$60/SUM('Overall recycling rates'!$E$60:$E$62)*('BTX Recycling HC'!R154)-'Overall recycling rates'!$H$60/SUM('Overall recycling rates'!$H$60:$H$62)*('BTX Recycling HC'!R155)-'Overall recycling rates'!$I$60/SUM('Overall recycling rates'!$I$60:$I$62)*('BTX Recycling HC'!R156)</f>
        <v>3.0596889084626451</v>
      </c>
      <c r="AZ85" s="60">
        <f>AZ24-'Overall recycling rates'!$G$60/SUM('Overall recycling rates'!$G$60:$G$62)*('BTX Recycling HC'!S153)-'Overall recycling rates'!$E$60/SUM('Overall recycling rates'!$E$60:$E$62)*('BTX Recycling HC'!S154)-'Overall recycling rates'!$H$60/SUM('Overall recycling rates'!$H$60:$H$62)*('BTX Recycling HC'!S155)-'Overall recycling rates'!$I$60/SUM('Overall recycling rates'!$I$60:$I$62)*('BTX Recycling HC'!S156)</f>
        <v>3.0867681777225577</v>
      </c>
      <c r="BA85" s="60">
        <f>BA24-'Overall recycling rates'!$G$60/SUM('Overall recycling rates'!$G$60:$G$62)*('BTX Recycling HC'!T153)-'Overall recycling rates'!$E$60/SUM('Overall recycling rates'!$E$60:$E$62)*('BTX Recycling HC'!T154)-'Overall recycling rates'!$H$60/SUM('Overall recycling rates'!$H$60:$H$62)*('BTX Recycling HC'!T155)-'Overall recycling rates'!$I$60/SUM('Overall recycling rates'!$I$60:$I$62)*('BTX Recycling HC'!T156)</f>
        <v>3.1124900429495743</v>
      </c>
      <c r="BB85" s="60">
        <f>BB24-'Overall recycling rates'!$G$60/SUM('Overall recycling rates'!$G$60:$G$62)*('BTX Recycling HC'!U153)-'Overall recycling rates'!$E$60/SUM('Overall recycling rates'!$E$60:$E$62)*('BTX Recycling HC'!U154)-'Overall recycling rates'!$H$60/SUM('Overall recycling rates'!$H$60:$H$62)*('BTX Recycling HC'!U155)-'Overall recycling rates'!$I$60/SUM('Overall recycling rates'!$I$60:$I$62)*('BTX Recycling HC'!U156)</f>
        <v>3.1367988075904796</v>
      </c>
      <c r="BC85" s="60">
        <f>BC24-'Overall recycling rates'!$G$60/SUM('Overall recycling rates'!$G$60:$G$62)*('BTX Recycling HC'!V153)-'Overall recycling rates'!$E$60/SUM('Overall recycling rates'!$E$60:$E$62)*('BTX Recycling HC'!V154)-'Overall recycling rates'!$H$60/SUM('Overall recycling rates'!$H$60:$H$62)*('BTX Recycling HC'!V155)-'Overall recycling rates'!$I$60/SUM('Overall recycling rates'!$I$60:$I$62)*('BTX Recycling HC'!V156)</f>
        <v>3.1596398285105414</v>
      </c>
      <c r="BD85" s="60">
        <f>BD24-'Overall recycling rates'!$G$60/SUM('Overall recycling rates'!$G$60:$G$62)*('BTX Recycling HC'!W153)-'Overall recycling rates'!$E$60/SUM('Overall recycling rates'!$E$60:$E$62)*('BTX Recycling HC'!W154)-'Overall recycling rates'!$H$60/SUM('Overall recycling rates'!$H$60:$H$62)*('BTX Recycling HC'!W155)-'Overall recycling rates'!$I$60/SUM('Overall recycling rates'!$I$60:$I$62)*('BTX Recycling HC'!W156)</f>
        <v>3.1809596408517593</v>
      </c>
      <c r="BE85" s="60">
        <f>BE24-'Overall recycling rates'!$G$60/SUM('Overall recycling rates'!$G$60:$G$62)*('BTX Recycling HC'!X153)-'Overall recycling rates'!$E$60/SUM('Overall recycling rates'!$E$60:$E$62)*('BTX Recycling HC'!X154)-'Overall recycling rates'!$H$60/SUM('Overall recycling rates'!$H$60:$H$62)*('BTX Recycling HC'!X155)-'Overall recycling rates'!$I$60/SUM('Overall recycling rates'!$I$60:$I$62)*('BTX Recycling HC'!X156)</f>
        <v>3.1821209140350004</v>
      </c>
      <c r="BF85" s="60">
        <f>BF24-'Overall recycling rates'!$G$60/SUM('Overall recycling rates'!$G$60:$G$62)*('BTX Recycling HC'!Y153)-'Overall recycling rates'!$E$60/SUM('Overall recycling rates'!$E$60:$E$62)*('BTX Recycling HC'!Y154)-'Overall recycling rates'!$H$60/SUM('Overall recycling rates'!$H$60:$H$62)*('BTX Recycling HC'!Y155)-'Overall recycling rates'!$I$60/SUM('Overall recycling rates'!$I$60:$I$62)*('BTX Recycling HC'!Y156)</f>
        <v>3.1801373733920855</v>
      </c>
      <c r="BG85" s="60">
        <f>BG24-'Overall recycling rates'!$G$60/SUM('Overall recycling rates'!$G$60:$G$62)*('BTX Recycling HC'!Z153)-'Overall recycling rates'!$E$60/SUM('Overall recycling rates'!$E$60:$E$62)*('BTX Recycling HC'!Z154)-'Overall recycling rates'!$H$60/SUM('Overall recycling rates'!$H$60:$H$62)*('BTX Recycling HC'!Z155)-'Overall recycling rates'!$I$60/SUM('Overall recycling rates'!$I$60:$I$62)*('BTX Recycling HC'!Z156)</f>
        <v>3.1736438732690586</v>
      </c>
      <c r="BH85" s="60">
        <f>BH24-'Overall recycling rates'!$G$60/SUM('Overall recycling rates'!$G$60:$G$62)*('BTX Recycling HC'!AA153)-'Overall recycling rates'!$E$60/SUM('Overall recycling rates'!$E$60:$E$62)*('BTX Recycling HC'!AA154)-'Overall recycling rates'!$H$60/SUM('Overall recycling rates'!$H$60:$H$62)*('BTX Recycling HC'!AA155)-'Overall recycling rates'!$I$60/SUM('Overall recycling rates'!$I$60:$I$62)*('BTX Recycling HC'!AA156)</f>
        <v>3.1634788258252549</v>
      </c>
      <c r="BI85" s="60">
        <f>BI24-'Overall recycling rates'!$G$60/SUM('Overall recycling rates'!$G$60:$G$62)*('BTX Recycling HC'!AB153)-'Overall recycling rates'!$E$60/SUM('Overall recycling rates'!$E$60:$E$62)*('BTX Recycling HC'!AB154)-'Overall recycling rates'!$H$60/SUM('Overall recycling rates'!$H$60:$H$62)*('BTX Recycling HC'!AB155)-'Overall recycling rates'!$I$60/SUM('Overall recycling rates'!$I$60:$I$62)*('BTX Recycling HC'!AB156)</f>
        <v>3.1495164308448822</v>
      </c>
      <c r="BJ85" s="60">
        <f>BJ24-'Overall recycling rates'!$G$60/SUM('Overall recycling rates'!$G$60:$G$62)*('BTX Recycling HC'!AC153)-'Overall recycling rates'!$E$60/SUM('Overall recycling rates'!$E$60:$E$62)*('BTX Recycling HC'!AC154)-'Overall recycling rates'!$H$60/SUM('Overall recycling rates'!$H$60:$H$62)*('BTX Recycling HC'!AC155)-'Overall recycling rates'!$I$60/SUM('Overall recycling rates'!$I$60:$I$62)*('BTX Recycling HC'!AC156)</f>
        <v>3.1316266640159314</v>
      </c>
      <c r="BK85" s="60">
        <f>BK24-'Overall recycling rates'!$G$60/SUM('Overall recycling rates'!$G$60:$G$62)*('BTX Recycling HC'!AD153)-'Overall recycling rates'!$E$60/SUM('Overall recycling rates'!$E$60:$E$62)*('BTX Recycling HC'!AD154)-'Overall recycling rates'!$H$60/SUM('Overall recycling rates'!$H$60:$H$62)*('BTX Recycling HC'!AD155)-'Overall recycling rates'!$I$60/SUM('Overall recycling rates'!$I$60:$I$62)*('BTX Recycling HC'!AD156)</f>
        <v>3.1096852840575964</v>
      </c>
      <c r="BL85" s="60">
        <f>BL24-'Overall recycling rates'!$G$60/SUM('Overall recycling rates'!$G$60:$G$62)*('BTX Recycling HC'!AE153)-'Overall recycling rates'!$E$60/SUM('Overall recycling rates'!$E$60:$E$62)*('BTX Recycling HC'!AE154)-'Overall recycling rates'!$H$60/SUM('Overall recycling rates'!$H$60:$H$62)*('BTX Recycling HC'!AE155)-'Overall recycling rates'!$I$60/SUM('Overall recycling rates'!$I$60:$I$62)*('BTX Recycling HC'!AE156)</f>
        <v>3.0835699919662147</v>
      </c>
      <c r="BM85" s="60">
        <f>BM24-'Overall recycling rates'!$G$60/SUM('Overall recycling rates'!$G$60:$G$62)*('BTX Recycling HC'!AF153)-'Overall recycling rates'!$E$60/SUM('Overall recycling rates'!$E$60:$E$62)*('BTX Recycling HC'!AF154)-'Overall recycling rates'!$H$60/SUM('Overall recycling rates'!$H$60:$H$62)*('BTX Recycling HC'!AF155)-'Overall recycling rates'!$I$60/SUM('Overall recycling rates'!$I$60:$I$62)*('BTX Recycling HC'!AF156)</f>
        <v>3.0531606883362432</v>
      </c>
      <c r="BN85" s="60">
        <f>BN24-'Overall recycling rates'!$G$60/SUM('Overall recycling rates'!$G$60:$G$62)*('BTX Recycling HC'!AG153)-'Overall recycling rates'!$E$60/SUM('Overall recycling rates'!$E$60:$E$62)*('BTX Recycling HC'!AG154)-'Overall recycling rates'!$H$60/SUM('Overall recycling rates'!$H$60:$H$62)*('BTX Recycling HC'!AG155)-'Overall recycling rates'!$I$60/SUM('Overall recycling rates'!$I$60:$I$62)*('BTX Recycling HC'!AG156)</f>
        <v>3.0183397359594122</v>
      </c>
    </row>
    <row r="86" spans="1:66" outlineLevel="1">
      <c r="A86" s="753"/>
      <c r="B86" s="1" t="s">
        <v>8</v>
      </c>
      <c r="C86" s="54" t="s">
        <v>153</v>
      </c>
      <c r="D86" s="44">
        <f>D25-'Overall recycling rates'!$G$61/SUM('Overall recycling rates'!$G$60:$G$62)*('BTX Recycling HC'!C153)-'Overall recycling rates'!$E$61/SUM('Overall recycling rates'!$E$60:$E$62)*('BTX Recycling HC'!C154)-'Overall recycling rates'!$H$61/SUM('Overall recycling rates'!$H$60:$H$62)*('BTX Recycling HC'!C155)-'Overall recycling rates'!$I$61/SUM('Overall recycling rates'!$I$60:$I$62)*('BTX Recycling HC'!C156)</f>
        <v>1.1465929107008392</v>
      </c>
      <c r="E86" s="44">
        <f>E25-'Overall recycling rates'!$G$61/SUM('Overall recycling rates'!$G$60:$G$62)*('BTX Recycling HC'!D153)-'Overall recycling rates'!$E$61/SUM('Overall recycling rates'!$E$60:$E$62)*('BTX Recycling HC'!D154)-'Overall recycling rates'!$H$61/SUM('Overall recycling rates'!$H$60:$H$62)*('BTX Recycling HC'!D155)-'Overall recycling rates'!$I$61/SUM('Overall recycling rates'!$I$60:$I$62)*('BTX Recycling HC'!D156)</f>
        <v>1.1610683063202576</v>
      </c>
      <c r="F86" s="44">
        <f>F25-'Overall recycling rates'!$G$61/SUM('Overall recycling rates'!$G$60:$G$62)*('BTX Recycling HC'!E153)-'Overall recycling rates'!$E$61/SUM('Overall recycling rates'!$E$60:$E$62)*('BTX Recycling HC'!E154)-'Overall recycling rates'!$H$61/SUM('Overall recycling rates'!$H$60:$H$62)*('BTX Recycling HC'!E155)-'Overall recycling rates'!$I$61/SUM('Overall recycling rates'!$I$60:$I$62)*('BTX Recycling HC'!E156)</f>
        <v>1.1755841229919499</v>
      </c>
      <c r="G86" s="44">
        <f>G25-'Overall recycling rates'!$G$61/SUM('Overall recycling rates'!$G$60:$G$62)*('BTX Recycling HC'!F153)-'Overall recycling rates'!$E$61/SUM('Overall recycling rates'!$E$60:$E$62)*('BTX Recycling HC'!F154)-'Overall recycling rates'!$H$61/SUM('Overall recycling rates'!$H$60:$H$62)*('BTX Recycling HC'!F155)-'Overall recycling rates'!$I$61/SUM('Overall recycling rates'!$I$60:$I$62)*('BTX Recycling HC'!F156)</f>
        <v>1.1901217608202785</v>
      </c>
      <c r="H86" s="44">
        <f>H25-'Overall recycling rates'!$G$61/SUM('Overall recycling rates'!$G$60:$G$62)*('BTX Recycling HC'!G153)-'Overall recycling rates'!$E$61/SUM('Overall recycling rates'!$E$60:$E$62)*('BTX Recycling HC'!G154)-'Overall recycling rates'!$H$61/SUM('Overall recycling rates'!$H$60:$H$62)*('BTX Recycling HC'!G155)-'Overall recycling rates'!$I$61/SUM('Overall recycling rates'!$I$60:$I$62)*('BTX Recycling HC'!G156)</f>
        <v>1.2046627228278484</v>
      </c>
      <c r="I86" s="44">
        <f>I25-'Overall recycling rates'!$G$61/SUM('Overall recycling rates'!$G$60:$G$62)*('BTX Recycling HC'!H153)-'Overall recycling rates'!$E$61/SUM('Overall recycling rates'!$E$60:$E$62)*('BTX Recycling HC'!H154)-'Overall recycling rates'!$H$61/SUM('Overall recycling rates'!$H$60:$H$62)*('BTX Recycling HC'!H155)-'Overall recycling rates'!$I$61/SUM('Overall recycling rates'!$I$60:$I$62)*('BTX Recycling HC'!H156)</f>
        <v>1.2191890421819291</v>
      </c>
      <c r="J86" s="44">
        <f>J25-'Overall recycling rates'!$G$61/SUM('Overall recycling rates'!$G$60:$G$62)*('BTX Recycling HC'!I153)-'Overall recycling rates'!$E$61/SUM('Overall recycling rates'!$E$60:$E$62)*('BTX Recycling HC'!I154)-'Overall recycling rates'!$H$61/SUM('Overall recycling rates'!$H$60:$H$62)*('BTX Recycling HC'!I155)-'Overall recycling rates'!$I$61/SUM('Overall recycling rates'!$I$60:$I$62)*('BTX Recycling HC'!I156)</f>
        <v>1.2336716589707655</v>
      </c>
      <c r="K86" s="44">
        <f>K25-'Overall recycling rates'!$G$61/SUM('Overall recycling rates'!$G$60:$G$62)*('BTX Recycling HC'!J153)-'Overall recycling rates'!$E$61/SUM('Overall recycling rates'!$E$60:$E$62)*('BTX Recycling HC'!J154)-'Overall recycling rates'!$H$61/SUM('Overall recycling rates'!$H$60:$H$62)*('BTX Recycling HC'!J155)-'Overall recycling rates'!$I$61/SUM('Overall recycling rates'!$I$60:$I$62)*('BTX Recycling HC'!J156)</f>
        <v>1.2480846218887289</v>
      </c>
      <c r="L86" s="44">
        <f>L25-'Overall recycling rates'!$G$61/SUM('Overall recycling rates'!$G$60:$G$62)*('BTX Recycling HC'!K153)-'Overall recycling rates'!$E$61/SUM('Overall recycling rates'!$E$60:$E$62)*('BTX Recycling HC'!K154)-'Overall recycling rates'!$H$61/SUM('Overall recycling rates'!$H$60:$H$62)*('BTX Recycling HC'!K155)-'Overall recycling rates'!$I$61/SUM('Overall recycling rates'!$I$60:$I$62)*('BTX Recycling HC'!K156)</f>
        <v>1.2624002931994509</v>
      </c>
      <c r="M86" s="44">
        <f>M25-'Overall recycling rates'!$G$61/SUM('Overall recycling rates'!$G$60:$G$62)*('BTX Recycling HC'!L153)-'Overall recycling rates'!$E$61/SUM('Overall recycling rates'!$E$60:$E$62)*('BTX Recycling HC'!L154)-'Overall recycling rates'!$H$61/SUM('Overall recycling rates'!$H$60:$H$62)*('BTX Recycling HC'!L155)-'Overall recycling rates'!$I$61/SUM('Overall recycling rates'!$I$60:$I$62)*('BTX Recycling HC'!L156)</f>
        <v>1.2765893462792119</v>
      </c>
      <c r="N86" s="44">
        <f>N25-'Overall recycling rates'!$G$61/SUM('Overall recycling rates'!$G$60:$G$62)*('BTX Recycling HC'!M153)-'Overall recycling rates'!$E$61/SUM('Overall recycling rates'!$E$60:$E$62)*('BTX Recycling HC'!M154)-'Overall recycling rates'!$H$61/SUM('Overall recycling rates'!$H$60:$H$62)*('BTX Recycling HC'!M155)-'Overall recycling rates'!$I$61/SUM('Overall recycling rates'!$I$60:$I$62)*('BTX Recycling HC'!M156)</f>
        <v>1.2906207710502571</v>
      </c>
      <c r="O86" s="44">
        <f>O25-'Overall recycling rates'!$G$61/SUM('Overall recycling rates'!$G$60:$G$62)*('BTX Recycling HC'!N153)-'Overall recycling rates'!$E$61/SUM('Overall recycling rates'!$E$60:$E$62)*('BTX Recycling HC'!N154)-'Overall recycling rates'!$H$61/SUM('Overall recycling rates'!$H$60:$H$62)*('BTX Recycling HC'!N155)-'Overall recycling rates'!$I$61/SUM('Overall recycling rates'!$I$60:$I$62)*('BTX Recycling HC'!N156)</f>
        <v>1.3071026115523017</v>
      </c>
      <c r="P86" s="44">
        <f>P25-'Overall recycling rates'!$G$61/SUM('Overall recycling rates'!$G$60:$G$62)*('BTX Recycling HC'!O153)-'Overall recycling rates'!$E$61/SUM('Overall recycling rates'!$E$60:$E$62)*('BTX Recycling HC'!O154)-'Overall recycling rates'!$H$61/SUM('Overall recycling rates'!$H$60:$H$62)*('BTX Recycling HC'!O155)-'Overall recycling rates'!$I$61/SUM('Overall recycling rates'!$I$60:$I$62)*('BTX Recycling HC'!O156)</f>
        <v>1.3231701687433046</v>
      </c>
      <c r="Q86" s="44">
        <f>Q25-'Overall recycling rates'!$G$61/SUM('Overall recycling rates'!$G$60:$G$62)*('BTX Recycling HC'!P153)-'Overall recycling rates'!$E$61/SUM('Overall recycling rates'!$E$60:$E$62)*('BTX Recycling HC'!P154)-'Overall recycling rates'!$H$61/SUM('Overall recycling rates'!$H$60:$H$62)*('BTX Recycling HC'!P155)-'Overall recycling rates'!$I$61/SUM('Overall recycling rates'!$I$60:$I$62)*('BTX Recycling HC'!P156)</f>
        <v>1.3387231153678991</v>
      </c>
      <c r="R86" s="44">
        <f>R25-'Overall recycling rates'!$G$61/SUM('Overall recycling rates'!$G$60:$G$62)*('BTX Recycling HC'!Q153)-'Overall recycling rates'!$E$61/SUM('Overall recycling rates'!$E$60:$E$62)*('BTX Recycling HC'!Q154)-'Overall recycling rates'!$H$61/SUM('Overall recycling rates'!$H$60:$H$62)*('BTX Recycling HC'!Q155)-'Overall recycling rates'!$I$61/SUM('Overall recycling rates'!$I$60:$I$62)*('BTX Recycling HC'!Q156)</f>
        <v>1.3537556168153093</v>
      </c>
      <c r="S86" s="44">
        <f>S25-'Overall recycling rates'!$G$61/SUM('Overall recycling rates'!$G$60:$G$62)*('BTX Recycling HC'!R153)-'Overall recycling rates'!$E$61/SUM('Overall recycling rates'!$E$60:$E$62)*('BTX Recycling HC'!R154)-'Overall recycling rates'!$H$61/SUM('Overall recycling rates'!$H$60:$H$62)*('BTX Recycling HC'!R155)-'Overall recycling rates'!$I$61/SUM('Overall recycling rates'!$I$60:$I$62)*('BTX Recycling HC'!R156)</f>
        <v>1.368230211976702</v>
      </c>
      <c r="T86" s="44">
        <f>T25-'Overall recycling rates'!$G$61/SUM('Overall recycling rates'!$G$60:$G$62)*('BTX Recycling HC'!S153)-'Overall recycling rates'!$E$61/SUM('Overall recycling rates'!$E$60:$E$62)*('BTX Recycling HC'!S154)-'Overall recycling rates'!$H$61/SUM('Overall recycling rates'!$H$60:$H$62)*('BTX Recycling HC'!S155)-'Overall recycling rates'!$I$61/SUM('Overall recycling rates'!$I$60:$I$62)*('BTX Recycling HC'!S156)</f>
        <v>1.3820224606427338</v>
      </c>
      <c r="U86" s="44">
        <f>U25-'Overall recycling rates'!$G$61/SUM('Overall recycling rates'!$G$60:$G$62)*('BTX Recycling HC'!T153)-'Overall recycling rates'!$E$61/SUM('Overall recycling rates'!$E$60:$E$62)*('BTX Recycling HC'!T154)-'Overall recycling rates'!$H$61/SUM('Overall recycling rates'!$H$60:$H$62)*('BTX Recycling HC'!T155)-'Overall recycling rates'!$I$61/SUM('Overall recycling rates'!$I$60:$I$62)*('BTX Recycling HC'!T156)</f>
        <v>1.3950567069149369</v>
      </c>
      <c r="V86" s="44">
        <f>V25-'Overall recycling rates'!$G$61/SUM('Overall recycling rates'!$G$60:$G$62)*('BTX Recycling HC'!U153)-'Overall recycling rates'!$E$61/SUM('Overall recycling rates'!$E$60:$E$62)*('BTX Recycling HC'!U154)-'Overall recycling rates'!$H$61/SUM('Overall recycling rates'!$H$60:$H$62)*('BTX Recycling HC'!U155)-'Overall recycling rates'!$I$61/SUM('Overall recycling rates'!$I$60:$I$62)*('BTX Recycling HC'!U156)</f>
        <v>1.4072536586578557</v>
      </c>
      <c r="W86" s="44">
        <f>W25-'Overall recycling rates'!$G$61/SUM('Overall recycling rates'!$G$60:$G$62)*('BTX Recycling HC'!V153)-'Overall recycling rates'!$E$61/SUM('Overall recycling rates'!$E$60:$E$62)*('BTX Recycling HC'!V154)-'Overall recycling rates'!$H$61/SUM('Overall recycling rates'!$H$60:$H$62)*('BTX Recycling HC'!V155)-'Overall recycling rates'!$I$61/SUM('Overall recycling rates'!$I$60:$I$62)*('BTX Recycling HC'!V156)</f>
        <v>1.4185303197753292</v>
      </c>
      <c r="X86" s="44">
        <f>X25-'Overall recycling rates'!$G$61/SUM('Overall recycling rates'!$G$60:$G$62)*('BTX Recycling HC'!W153)-'Overall recycling rates'!$E$61/SUM('Overall recycling rates'!$E$60:$E$62)*('BTX Recycling HC'!W154)-'Overall recycling rates'!$H$61/SUM('Overall recycling rates'!$H$60:$H$62)*('BTX Recycling HC'!W155)-'Overall recycling rates'!$I$61/SUM('Overall recycling rates'!$I$60:$I$62)*('BTX Recycling HC'!W156)</f>
        <v>1.4287999247693797</v>
      </c>
      <c r="Y86" s="44">
        <f>Y25-'Overall recycling rates'!$G$61/SUM('Overall recycling rates'!$G$60:$G$62)*('BTX Recycling HC'!X153)-'Overall recycling rates'!$E$61/SUM('Overall recycling rates'!$E$60:$E$62)*('BTX Recycling HC'!X154)-'Overall recycling rates'!$H$61/SUM('Overall recycling rates'!$H$60:$H$62)*('BTX Recycling HC'!X155)-'Overall recycling rates'!$I$61/SUM('Overall recycling rates'!$I$60:$I$62)*('BTX Recycling HC'!X156)</f>
        <v>1.4308116019106978</v>
      </c>
      <c r="Z86" s="44">
        <f>Z25-'Overall recycling rates'!$G$61/SUM('Overall recycling rates'!$G$60:$G$62)*('BTX Recycling HC'!Y153)-'Overall recycling rates'!$E$61/SUM('Overall recycling rates'!$E$60:$E$62)*('BTX Recycling HC'!Y154)-'Overall recycling rates'!$H$61/SUM('Overall recycling rates'!$H$60:$H$62)*('BTX Recycling HC'!Y155)-'Overall recycling rates'!$I$61/SUM('Overall recycling rates'!$I$60:$I$62)*('BTX Recycling HC'!Y156)</f>
        <v>1.4308488315507393</v>
      </c>
      <c r="AA86" s="44">
        <f>AA25-'Overall recycling rates'!$G$61/SUM('Overall recycling rates'!$G$60:$G$62)*('BTX Recycling HC'!Z153)-'Overall recycling rates'!$E$61/SUM('Overall recycling rates'!$E$60:$E$62)*('BTX Recycling HC'!Z154)-'Overall recycling rates'!$H$61/SUM('Overall recycling rates'!$H$60:$H$62)*('BTX Recycling HC'!Z155)-'Overall recycling rates'!$I$61/SUM('Overall recycling rates'!$I$60:$I$62)*('BTX Recycling HC'!Z156)</f>
        <v>1.4282790667377321</v>
      </c>
      <c r="AB86" s="44">
        <f>AB25-'Overall recycling rates'!$G$61/SUM('Overall recycling rates'!$G$60:$G$62)*('BTX Recycling HC'!AA153)-'Overall recycling rates'!$E$61/SUM('Overall recycling rates'!$E$60:$E$62)*('BTX Recycling HC'!AA154)-'Overall recycling rates'!$H$61/SUM('Overall recycling rates'!$H$60:$H$62)*('BTX Recycling HC'!AA155)-'Overall recycling rates'!$I$61/SUM('Overall recycling rates'!$I$60:$I$62)*('BTX Recycling HC'!AA156)</f>
        <v>1.4232578460897756</v>
      </c>
      <c r="AC86" s="44">
        <f>AC25-'Overall recycling rates'!$G$61/SUM('Overall recycling rates'!$G$60:$G$62)*('BTX Recycling HC'!AB153)-'Overall recycling rates'!$E$61/SUM('Overall recycling rates'!$E$60:$E$62)*('BTX Recycling HC'!AB154)-'Overall recycling rates'!$H$61/SUM('Overall recycling rates'!$H$60:$H$62)*('BTX Recycling HC'!AB155)-'Overall recycling rates'!$I$61/SUM('Overall recycling rates'!$I$60:$I$62)*('BTX Recycling HC'!AB156)</f>
        <v>1.4155890885061673</v>
      </c>
      <c r="AD86" s="44">
        <f>AD25-'Overall recycling rates'!$G$61/SUM('Overall recycling rates'!$G$60:$G$62)*('BTX Recycling HC'!AC153)-'Overall recycling rates'!$E$61/SUM('Overall recycling rates'!$E$60:$E$62)*('BTX Recycling HC'!AC154)-'Overall recycling rates'!$H$61/SUM('Overall recycling rates'!$H$60:$H$62)*('BTX Recycling HC'!AC155)-'Overall recycling rates'!$I$61/SUM('Overall recycling rates'!$I$60:$I$62)*('BTX Recycling HC'!AC156)</f>
        <v>1.4050653568707703</v>
      </c>
      <c r="AE86" s="44">
        <f>AE25-'Overall recycling rates'!$G$61/SUM('Overall recycling rates'!$G$60:$G$62)*('BTX Recycling HC'!AD153)-'Overall recycling rates'!$E$61/SUM('Overall recycling rates'!$E$60:$E$62)*('BTX Recycling HC'!AD154)-'Overall recycling rates'!$H$61/SUM('Overall recycling rates'!$H$60:$H$62)*('BTX Recycling HC'!AD155)-'Overall recycling rates'!$I$61/SUM('Overall recycling rates'!$I$60:$I$62)*('BTX Recycling HC'!AD156)</f>
        <v>1.3914713896390696</v>
      </c>
      <c r="AF86" s="44">
        <f>AF25-'Overall recycling rates'!$G$61/SUM('Overall recycling rates'!$G$60:$G$62)*('BTX Recycling HC'!AE153)-'Overall recycling rates'!$E$61/SUM('Overall recycling rates'!$E$60:$E$62)*('BTX Recycling HC'!AE154)-'Overall recycling rates'!$H$61/SUM('Overall recycling rates'!$H$60:$H$62)*('BTX Recycling HC'!AE155)-'Overall recycling rates'!$I$61/SUM('Overall recycling rates'!$I$60:$I$62)*('BTX Recycling HC'!AE156)</f>
        <v>1.3745823661673267</v>
      </c>
      <c r="AG86" s="44">
        <f>AG25-'Overall recycling rates'!$G$61/SUM('Overall recycling rates'!$G$60:$G$62)*('BTX Recycling HC'!AF153)-'Overall recycling rates'!$E$61/SUM('Overall recycling rates'!$E$60:$E$62)*('BTX Recycling HC'!AF154)-'Overall recycling rates'!$H$61/SUM('Overall recycling rates'!$H$60:$H$62)*('BTX Recycling HC'!AF155)-'Overall recycling rates'!$I$61/SUM('Overall recycling rates'!$I$60:$I$62)*('BTX Recycling HC'!AF156)</f>
        <v>1.3541637022122663</v>
      </c>
      <c r="AH86" s="44">
        <f>AH25-'Overall recycling rates'!$G$61/SUM('Overall recycling rates'!$G$60:$G$62)*('BTX Recycling HC'!AG153)-'Overall recycling rates'!$E$61/SUM('Overall recycling rates'!$E$60:$E$62)*('BTX Recycling HC'!AG154)-'Overall recycling rates'!$H$61/SUM('Overall recycling rates'!$H$60:$H$62)*('BTX Recycling HC'!AG155)-'Overall recycling rates'!$I$61/SUM('Overall recycling rates'!$I$60:$I$62)*('BTX Recycling HC'!AG156)</f>
        <v>1.3299708484516888</v>
      </c>
      <c r="AJ86" s="44">
        <f>AJ25-'Overall recycling rates'!$G$61/SUM('Overall recycling rates'!$G$60:$G$62)*('BTX Recycling HC'!C153)-'Overall recycling rates'!$E$61/SUM('Overall recycling rates'!$E$60:$E$62)*('BTX Recycling HC'!C154)-'Overall recycling rates'!$H$61/SUM('Overall recycling rates'!$H$60:$H$62)*('BTX Recycling HC'!C155)-'Overall recycling rates'!$I$61/SUM('Overall recycling rates'!$I$60:$I$62)*('BTX Recycling HC'!C156)</f>
        <v>1.1465929107008392</v>
      </c>
      <c r="AK86" s="44">
        <f>AK25-'Overall recycling rates'!$G$61/SUM('Overall recycling rates'!$G$60:$G$62)*('BTX Recycling HC'!D153)-'Overall recycling rates'!$E$61/SUM('Overall recycling rates'!$E$60:$E$62)*('BTX Recycling HC'!D154)-'Overall recycling rates'!$H$61/SUM('Overall recycling rates'!$H$60:$H$62)*('BTX Recycling HC'!D155)-'Overall recycling rates'!$I$61/SUM('Overall recycling rates'!$I$60:$I$62)*('BTX Recycling HC'!D156)</f>
        <v>1.1610683063202576</v>
      </c>
      <c r="AL86" s="44">
        <f>AL25-'Overall recycling rates'!$G$61/SUM('Overall recycling rates'!$G$60:$G$62)*('BTX Recycling HC'!E153)-'Overall recycling rates'!$E$61/SUM('Overall recycling rates'!$E$60:$E$62)*('BTX Recycling HC'!E154)-'Overall recycling rates'!$H$61/SUM('Overall recycling rates'!$H$60:$H$62)*('BTX Recycling HC'!E155)-'Overall recycling rates'!$I$61/SUM('Overall recycling rates'!$I$60:$I$62)*('BTX Recycling HC'!E156)</f>
        <v>1.1755841229919499</v>
      </c>
      <c r="AM86" s="44">
        <f>AM25-'Overall recycling rates'!$G$61/SUM('Overall recycling rates'!$G$60:$G$62)*('BTX Recycling HC'!F153)-'Overall recycling rates'!$E$61/SUM('Overall recycling rates'!$E$60:$E$62)*('BTX Recycling HC'!F154)-'Overall recycling rates'!$H$61/SUM('Overall recycling rates'!$H$60:$H$62)*('BTX Recycling HC'!F155)-'Overall recycling rates'!$I$61/SUM('Overall recycling rates'!$I$60:$I$62)*('BTX Recycling HC'!F156)</f>
        <v>1.1901217608202785</v>
      </c>
      <c r="AN86" s="44">
        <f>AN25-'Overall recycling rates'!$G$61/SUM('Overall recycling rates'!$G$60:$G$62)*('BTX Recycling HC'!G153)-'Overall recycling rates'!$E$61/SUM('Overall recycling rates'!$E$60:$E$62)*('BTX Recycling HC'!G154)-'Overall recycling rates'!$H$61/SUM('Overall recycling rates'!$H$60:$H$62)*('BTX Recycling HC'!G155)-'Overall recycling rates'!$I$61/SUM('Overall recycling rates'!$I$60:$I$62)*('BTX Recycling HC'!G156)</f>
        <v>1.2046627228278484</v>
      </c>
      <c r="AO86" s="44">
        <f>AO25-'Overall recycling rates'!$G$61/SUM('Overall recycling rates'!$G$60:$G$62)*('BTX Recycling HC'!H153)-'Overall recycling rates'!$E$61/SUM('Overall recycling rates'!$E$60:$E$62)*('BTX Recycling HC'!H154)-'Overall recycling rates'!$H$61/SUM('Overall recycling rates'!$H$60:$H$62)*('BTX Recycling HC'!H155)-'Overall recycling rates'!$I$61/SUM('Overall recycling rates'!$I$60:$I$62)*('BTX Recycling HC'!H156)</f>
        <v>1.2191890421819291</v>
      </c>
      <c r="AP86" s="44">
        <f>AP25-'Overall recycling rates'!$G$61/SUM('Overall recycling rates'!$G$60:$G$62)*('BTX Recycling HC'!I153)-'Overall recycling rates'!$E$61/SUM('Overall recycling rates'!$E$60:$E$62)*('BTX Recycling HC'!I154)-'Overall recycling rates'!$H$61/SUM('Overall recycling rates'!$H$60:$H$62)*('BTX Recycling HC'!I155)-'Overall recycling rates'!$I$61/SUM('Overall recycling rates'!$I$60:$I$62)*('BTX Recycling HC'!I156)</f>
        <v>1.2336716589707655</v>
      </c>
      <c r="AQ86" s="44">
        <f>AQ25-'Overall recycling rates'!$G$61/SUM('Overall recycling rates'!$G$60:$G$62)*('BTX Recycling HC'!J153)-'Overall recycling rates'!$E$61/SUM('Overall recycling rates'!$E$60:$E$62)*('BTX Recycling HC'!J154)-'Overall recycling rates'!$H$61/SUM('Overall recycling rates'!$H$60:$H$62)*('BTX Recycling HC'!J155)-'Overall recycling rates'!$I$61/SUM('Overall recycling rates'!$I$60:$I$62)*('BTX Recycling HC'!J156)</f>
        <v>1.2480846218887289</v>
      </c>
      <c r="AR86" s="44">
        <f>AR25-'Overall recycling rates'!$G$61/SUM('Overall recycling rates'!$G$60:$G$62)*('BTX Recycling HC'!K153)-'Overall recycling rates'!$E$61/SUM('Overall recycling rates'!$E$60:$E$62)*('BTX Recycling HC'!K154)-'Overall recycling rates'!$H$61/SUM('Overall recycling rates'!$H$60:$H$62)*('BTX Recycling HC'!K155)-'Overall recycling rates'!$I$61/SUM('Overall recycling rates'!$I$60:$I$62)*('BTX Recycling HC'!K156)</f>
        <v>1.2624002931994509</v>
      </c>
      <c r="AS86" s="44">
        <f>AS25-'Overall recycling rates'!$G$61/SUM('Overall recycling rates'!$G$60:$G$62)*('BTX Recycling HC'!L153)-'Overall recycling rates'!$E$61/SUM('Overall recycling rates'!$E$60:$E$62)*('BTX Recycling HC'!L154)-'Overall recycling rates'!$H$61/SUM('Overall recycling rates'!$H$60:$H$62)*('BTX Recycling HC'!L155)-'Overall recycling rates'!$I$61/SUM('Overall recycling rates'!$I$60:$I$62)*('BTX Recycling HC'!L156)</f>
        <v>1.2765893462792119</v>
      </c>
      <c r="AT86" s="44">
        <f>AT25-'Overall recycling rates'!$G$61/SUM('Overall recycling rates'!$G$60:$G$62)*('BTX Recycling HC'!M153)-'Overall recycling rates'!$E$61/SUM('Overall recycling rates'!$E$60:$E$62)*('BTX Recycling HC'!M154)-'Overall recycling rates'!$H$61/SUM('Overall recycling rates'!$H$60:$H$62)*('BTX Recycling HC'!M155)-'Overall recycling rates'!$I$61/SUM('Overall recycling rates'!$I$60:$I$62)*('BTX Recycling HC'!M156)</f>
        <v>1.2906207710502571</v>
      </c>
      <c r="AU86" s="44">
        <f>AU25-'Overall recycling rates'!$G$61/SUM('Overall recycling rates'!$G$60:$G$62)*('BTX Recycling HC'!N153)-'Overall recycling rates'!$E$61/SUM('Overall recycling rates'!$E$60:$E$62)*('BTX Recycling HC'!N154)-'Overall recycling rates'!$H$61/SUM('Overall recycling rates'!$H$60:$H$62)*('BTX Recycling HC'!N155)-'Overall recycling rates'!$I$61/SUM('Overall recycling rates'!$I$60:$I$62)*('BTX Recycling HC'!N156)</f>
        <v>1.3071026115523017</v>
      </c>
      <c r="AV86" s="44">
        <f>AV25-'Overall recycling rates'!$G$61/SUM('Overall recycling rates'!$G$60:$G$62)*('BTX Recycling HC'!O153)-'Overall recycling rates'!$E$61/SUM('Overall recycling rates'!$E$60:$E$62)*('BTX Recycling HC'!O154)-'Overall recycling rates'!$H$61/SUM('Overall recycling rates'!$H$60:$H$62)*('BTX Recycling HC'!O155)-'Overall recycling rates'!$I$61/SUM('Overall recycling rates'!$I$60:$I$62)*('BTX Recycling HC'!O156)</f>
        <v>1.3231701687433046</v>
      </c>
      <c r="AW86" s="44">
        <f>AW25-'Overall recycling rates'!$G$61/SUM('Overall recycling rates'!$G$60:$G$62)*('BTX Recycling HC'!P153)-'Overall recycling rates'!$E$61/SUM('Overall recycling rates'!$E$60:$E$62)*('BTX Recycling HC'!P154)-'Overall recycling rates'!$H$61/SUM('Overall recycling rates'!$H$60:$H$62)*('BTX Recycling HC'!P155)-'Overall recycling rates'!$I$61/SUM('Overall recycling rates'!$I$60:$I$62)*('BTX Recycling HC'!P156)</f>
        <v>1.3387231153678991</v>
      </c>
      <c r="AX86" s="44">
        <f>AX25-'Overall recycling rates'!$G$61/SUM('Overall recycling rates'!$G$60:$G$62)*('BTX Recycling HC'!Q153)-'Overall recycling rates'!$E$61/SUM('Overall recycling rates'!$E$60:$E$62)*('BTX Recycling HC'!Q154)-'Overall recycling rates'!$H$61/SUM('Overall recycling rates'!$H$60:$H$62)*('BTX Recycling HC'!Q155)-'Overall recycling rates'!$I$61/SUM('Overall recycling rates'!$I$60:$I$62)*('BTX Recycling HC'!Q156)</f>
        <v>1.3537556168153093</v>
      </c>
      <c r="AY86" s="44">
        <f>AY25-'Overall recycling rates'!$G$61/SUM('Overall recycling rates'!$G$60:$G$62)*('BTX Recycling HC'!R153)-'Overall recycling rates'!$E$61/SUM('Overall recycling rates'!$E$60:$E$62)*('BTX Recycling HC'!R154)-'Overall recycling rates'!$H$61/SUM('Overall recycling rates'!$H$60:$H$62)*('BTX Recycling HC'!R155)-'Overall recycling rates'!$I$61/SUM('Overall recycling rates'!$I$60:$I$62)*('BTX Recycling HC'!R156)</f>
        <v>1.368230211976702</v>
      </c>
      <c r="AZ86" s="44">
        <f>AZ25-'Overall recycling rates'!$G$61/SUM('Overall recycling rates'!$G$60:$G$62)*('BTX Recycling HC'!S153)-'Overall recycling rates'!$E$61/SUM('Overall recycling rates'!$E$60:$E$62)*('BTX Recycling HC'!S154)-'Overall recycling rates'!$H$61/SUM('Overall recycling rates'!$H$60:$H$62)*('BTX Recycling HC'!S155)-'Overall recycling rates'!$I$61/SUM('Overall recycling rates'!$I$60:$I$62)*('BTX Recycling HC'!S156)</f>
        <v>1.3820224606427338</v>
      </c>
      <c r="BA86" s="44">
        <f>BA25-'Overall recycling rates'!$G$61/SUM('Overall recycling rates'!$G$60:$G$62)*('BTX Recycling HC'!T153)-'Overall recycling rates'!$E$61/SUM('Overall recycling rates'!$E$60:$E$62)*('BTX Recycling HC'!T154)-'Overall recycling rates'!$H$61/SUM('Overall recycling rates'!$H$60:$H$62)*('BTX Recycling HC'!T155)-'Overall recycling rates'!$I$61/SUM('Overall recycling rates'!$I$60:$I$62)*('BTX Recycling HC'!T156)</f>
        <v>1.3950567069149369</v>
      </c>
      <c r="BB86" s="44">
        <f>BB25-'Overall recycling rates'!$G$61/SUM('Overall recycling rates'!$G$60:$G$62)*('BTX Recycling HC'!U153)-'Overall recycling rates'!$E$61/SUM('Overall recycling rates'!$E$60:$E$62)*('BTX Recycling HC'!U154)-'Overall recycling rates'!$H$61/SUM('Overall recycling rates'!$H$60:$H$62)*('BTX Recycling HC'!U155)-'Overall recycling rates'!$I$61/SUM('Overall recycling rates'!$I$60:$I$62)*('BTX Recycling HC'!U156)</f>
        <v>1.4072536586578557</v>
      </c>
      <c r="BC86" s="44">
        <f>BC25-'Overall recycling rates'!$G$61/SUM('Overall recycling rates'!$G$60:$G$62)*('BTX Recycling HC'!V153)-'Overall recycling rates'!$E$61/SUM('Overall recycling rates'!$E$60:$E$62)*('BTX Recycling HC'!V154)-'Overall recycling rates'!$H$61/SUM('Overall recycling rates'!$H$60:$H$62)*('BTX Recycling HC'!V155)-'Overall recycling rates'!$I$61/SUM('Overall recycling rates'!$I$60:$I$62)*('BTX Recycling HC'!V156)</f>
        <v>1.4185303197753292</v>
      </c>
      <c r="BD86" s="44">
        <f>BD25-'Overall recycling rates'!$G$61/SUM('Overall recycling rates'!$G$60:$G$62)*('BTX Recycling HC'!W153)-'Overall recycling rates'!$E$61/SUM('Overall recycling rates'!$E$60:$E$62)*('BTX Recycling HC'!W154)-'Overall recycling rates'!$H$61/SUM('Overall recycling rates'!$H$60:$H$62)*('BTX Recycling HC'!W155)-'Overall recycling rates'!$I$61/SUM('Overall recycling rates'!$I$60:$I$62)*('BTX Recycling HC'!W156)</f>
        <v>1.4287999247693797</v>
      </c>
      <c r="BE86" s="44">
        <f>BE25-'Overall recycling rates'!$G$61/SUM('Overall recycling rates'!$G$60:$G$62)*('BTX Recycling HC'!X153)-'Overall recycling rates'!$E$61/SUM('Overall recycling rates'!$E$60:$E$62)*('BTX Recycling HC'!X154)-'Overall recycling rates'!$H$61/SUM('Overall recycling rates'!$H$60:$H$62)*('BTX Recycling HC'!X155)-'Overall recycling rates'!$I$61/SUM('Overall recycling rates'!$I$60:$I$62)*('BTX Recycling HC'!X156)</f>
        <v>1.4308116019106978</v>
      </c>
      <c r="BF86" s="44">
        <f>BF25-'Overall recycling rates'!$G$61/SUM('Overall recycling rates'!$G$60:$G$62)*('BTX Recycling HC'!Y153)-'Overall recycling rates'!$E$61/SUM('Overall recycling rates'!$E$60:$E$62)*('BTX Recycling HC'!Y154)-'Overall recycling rates'!$H$61/SUM('Overall recycling rates'!$H$60:$H$62)*('BTX Recycling HC'!Y155)-'Overall recycling rates'!$I$61/SUM('Overall recycling rates'!$I$60:$I$62)*('BTX Recycling HC'!Y156)</f>
        <v>1.4308488315507393</v>
      </c>
      <c r="BG86" s="44">
        <f>BG25-'Overall recycling rates'!$G$61/SUM('Overall recycling rates'!$G$60:$G$62)*('BTX Recycling HC'!Z153)-'Overall recycling rates'!$E$61/SUM('Overall recycling rates'!$E$60:$E$62)*('BTX Recycling HC'!Z154)-'Overall recycling rates'!$H$61/SUM('Overall recycling rates'!$H$60:$H$62)*('BTX Recycling HC'!Z155)-'Overall recycling rates'!$I$61/SUM('Overall recycling rates'!$I$60:$I$62)*('BTX Recycling HC'!Z156)</f>
        <v>1.4282790667377321</v>
      </c>
      <c r="BH86" s="44">
        <f>BH25-'Overall recycling rates'!$G$61/SUM('Overall recycling rates'!$G$60:$G$62)*('BTX Recycling HC'!AA153)-'Overall recycling rates'!$E$61/SUM('Overall recycling rates'!$E$60:$E$62)*('BTX Recycling HC'!AA154)-'Overall recycling rates'!$H$61/SUM('Overall recycling rates'!$H$60:$H$62)*('BTX Recycling HC'!AA155)-'Overall recycling rates'!$I$61/SUM('Overall recycling rates'!$I$60:$I$62)*('BTX Recycling HC'!AA156)</f>
        <v>1.4232578460897756</v>
      </c>
      <c r="BI86" s="44">
        <f>BI25-'Overall recycling rates'!$G$61/SUM('Overall recycling rates'!$G$60:$G$62)*('BTX Recycling HC'!AB153)-'Overall recycling rates'!$E$61/SUM('Overall recycling rates'!$E$60:$E$62)*('BTX Recycling HC'!AB154)-'Overall recycling rates'!$H$61/SUM('Overall recycling rates'!$H$60:$H$62)*('BTX Recycling HC'!AB155)-'Overall recycling rates'!$I$61/SUM('Overall recycling rates'!$I$60:$I$62)*('BTX Recycling HC'!AB156)</f>
        <v>1.4155890885061673</v>
      </c>
      <c r="BJ86" s="44">
        <f>BJ25-'Overall recycling rates'!$G$61/SUM('Overall recycling rates'!$G$60:$G$62)*('BTX Recycling HC'!AC153)-'Overall recycling rates'!$E$61/SUM('Overall recycling rates'!$E$60:$E$62)*('BTX Recycling HC'!AC154)-'Overall recycling rates'!$H$61/SUM('Overall recycling rates'!$H$60:$H$62)*('BTX Recycling HC'!AC155)-'Overall recycling rates'!$I$61/SUM('Overall recycling rates'!$I$60:$I$62)*('BTX Recycling HC'!AC156)</f>
        <v>1.4050653568707703</v>
      </c>
      <c r="BK86" s="44">
        <f>BK25-'Overall recycling rates'!$G$61/SUM('Overall recycling rates'!$G$60:$G$62)*('BTX Recycling HC'!AD153)-'Overall recycling rates'!$E$61/SUM('Overall recycling rates'!$E$60:$E$62)*('BTX Recycling HC'!AD154)-'Overall recycling rates'!$H$61/SUM('Overall recycling rates'!$H$60:$H$62)*('BTX Recycling HC'!AD155)-'Overall recycling rates'!$I$61/SUM('Overall recycling rates'!$I$60:$I$62)*('BTX Recycling HC'!AD156)</f>
        <v>1.3914713896390696</v>
      </c>
      <c r="BL86" s="44">
        <f>BL25-'Overall recycling rates'!$G$61/SUM('Overall recycling rates'!$G$60:$G$62)*('BTX Recycling HC'!AE153)-'Overall recycling rates'!$E$61/SUM('Overall recycling rates'!$E$60:$E$62)*('BTX Recycling HC'!AE154)-'Overall recycling rates'!$H$61/SUM('Overall recycling rates'!$H$60:$H$62)*('BTX Recycling HC'!AE155)-'Overall recycling rates'!$I$61/SUM('Overall recycling rates'!$I$60:$I$62)*('BTX Recycling HC'!AE156)</f>
        <v>1.3745823661673267</v>
      </c>
      <c r="BM86" s="44">
        <f>BM25-'Overall recycling rates'!$G$61/SUM('Overall recycling rates'!$G$60:$G$62)*('BTX Recycling HC'!AF153)-'Overall recycling rates'!$E$61/SUM('Overall recycling rates'!$E$60:$E$62)*('BTX Recycling HC'!AF154)-'Overall recycling rates'!$H$61/SUM('Overall recycling rates'!$H$60:$H$62)*('BTX Recycling HC'!AF155)-'Overall recycling rates'!$I$61/SUM('Overall recycling rates'!$I$60:$I$62)*('BTX Recycling HC'!AF156)</f>
        <v>1.3541637022122663</v>
      </c>
      <c r="BN86" s="44">
        <f>BN25-'Overall recycling rates'!$G$61/SUM('Overall recycling rates'!$G$60:$G$62)*('BTX Recycling HC'!AG153)-'Overall recycling rates'!$E$61/SUM('Overall recycling rates'!$E$60:$E$62)*('BTX Recycling HC'!AG154)-'Overall recycling rates'!$H$61/SUM('Overall recycling rates'!$H$60:$H$62)*('BTX Recycling HC'!AG155)-'Overall recycling rates'!$I$61/SUM('Overall recycling rates'!$I$60:$I$62)*('BTX Recycling HC'!AG156)</f>
        <v>1.3299708484516888</v>
      </c>
    </row>
    <row r="87" spans="1:66" s="68" customFormat="1" outlineLevel="1">
      <c r="A87" s="754"/>
      <c r="B87" s="62" t="s">
        <v>166</v>
      </c>
      <c r="C87" s="283" t="s">
        <v>153</v>
      </c>
      <c r="D87" s="284">
        <f>D26-'Overall recycling rates'!$G$62/SUM('Overall recycling rates'!$G$60:$G$62)*('BTX Recycling HC'!C153)-'Overall recycling rates'!$E$62/SUM('Overall recycling rates'!$E$60:$E$62)*('BTX Recycling HC'!C154)-'Overall recycling rates'!$H$62/SUM('Overall recycling rates'!$H$60:$H$62)*('BTX Recycling HC'!C155)-'Overall recycling rates'!$I$62/SUM('Overall recycling rates'!$I$60:$I$62)*('BTX Recycling HC'!C156)</f>
        <v>0.74407612749267826</v>
      </c>
      <c r="E87" s="284">
        <f>E26-'Overall recycling rates'!$G$62/SUM('Overall recycling rates'!$G$60:$G$62)*('BTX Recycling HC'!D153)-'Overall recycling rates'!$E$62/SUM('Overall recycling rates'!$E$60:$E$62)*('BTX Recycling HC'!D154)-'Overall recycling rates'!$H$62/SUM('Overall recycling rates'!$H$60:$H$62)*('BTX Recycling HC'!D155)-'Overall recycling rates'!$I$62/SUM('Overall recycling rates'!$I$60:$I$62)*('BTX Recycling HC'!D156)</f>
        <v>0.75346380379963018</v>
      </c>
      <c r="F87" s="284">
        <f>F26-'Overall recycling rates'!$G$62/SUM('Overall recycling rates'!$G$60:$G$62)*('BTX Recycling HC'!E153)-'Overall recycling rates'!$E$62/SUM('Overall recycling rates'!$E$60:$E$62)*('BTX Recycling HC'!E154)-'Overall recycling rates'!$H$62/SUM('Overall recycling rates'!$H$60:$H$62)*('BTX Recycling HC'!E155)-'Overall recycling rates'!$I$62/SUM('Overall recycling rates'!$I$60:$I$62)*('BTX Recycling HC'!E156)</f>
        <v>0.76288553956978589</v>
      </c>
      <c r="G87" s="284">
        <f>G26-'Overall recycling rates'!$G$62/SUM('Overall recycling rates'!$G$60:$G$62)*('BTX Recycling HC'!F153)-'Overall recycling rates'!$E$62/SUM('Overall recycling rates'!$E$60:$E$62)*('BTX Recycling HC'!F154)-'Overall recycling rates'!$H$62/SUM('Overall recycling rates'!$H$60:$H$62)*('BTX Recycling HC'!F155)-'Overall recycling rates'!$I$62/SUM('Overall recycling rates'!$I$60:$I$62)*('BTX Recycling HC'!F156)</f>
        <v>0.77233413862532396</v>
      </c>
      <c r="H87" s="284">
        <f>H26-'Overall recycling rates'!$G$62/SUM('Overall recycling rates'!$G$60:$G$62)*('BTX Recycling HC'!G153)-'Overall recycling rates'!$E$62/SUM('Overall recycling rates'!$E$60:$E$62)*('BTX Recycling HC'!G154)-'Overall recycling rates'!$H$62/SUM('Overall recycling rates'!$H$60:$H$62)*('BTX Recycling HC'!G155)-'Overall recycling rates'!$I$62/SUM('Overall recycling rates'!$I$60:$I$62)*('BTX Recycling HC'!G156)</f>
        <v>0.78180300946458303</v>
      </c>
      <c r="I87" s="284">
        <f>I26-'Overall recycling rates'!$G$62/SUM('Overall recycling rates'!$G$60:$G$62)*('BTX Recycling HC'!H153)-'Overall recycling rates'!$E$62/SUM('Overall recycling rates'!$E$60:$E$62)*('BTX Recycling HC'!H154)-'Overall recycling rates'!$H$62/SUM('Overall recycling rates'!$H$60:$H$62)*('BTX Recycling HC'!H155)-'Overall recycling rates'!$I$62/SUM('Overall recycling rates'!$I$60:$I$62)*('BTX Recycling HC'!H156)</f>
        <v>0.79128636346205106</v>
      </c>
      <c r="J87" s="284">
        <f>J26-'Overall recycling rates'!$G$62/SUM('Overall recycling rates'!$G$60:$G$62)*('BTX Recycling HC'!I153)-'Overall recycling rates'!$E$62/SUM('Overall recycling rates'!$E$60:$E$62)*('BTX Recycling HC'!I154)-'Overall recycling rates'!$H$62/SUM('Overall recycling rates'!$H$60:$H$62)*('BTX Recycling HC'!I155)-'Overall recycling rates'!$I$62/SUM('Overall recycling rates'!$I$60:$I$62)*('BTX Recycling HC'!I156)</f>
        <v>0.80077191761650268</v>
      </c>
      <c r="K87" s="284">
        <f>K26-'Overall recycling rates'!$G$62/SUM('Overall recycling rates'!$G$60:$G$62)*('BTX Recycling HC'!J153)-'Overall recycling rates'!$E$62/SUM('Overall recycling rates'!$E$60:$E$62)*('BTX Recycling HC'!J154)-'Overall recycling rates'!$H$62/SUM('Overall recycling rates'!$H$60:$H$62)*('BTX Recycling HC'!J155)-'Overall recycling rates'!$I$62/SUM('Overall recycling rates'!$I$60:$I$62)*('BTX Recycling HC'!J156)</f>
        <v>0.81025010852024359</v>
      </c>
      <c r="L87" s="284">
        <f>L26-'Overall recycling rates'!$G$62/SUM('Overall recycling rates'!$G$60:$G$62)*('BTX Recycling HC'!K153)-'Overall recycling rates'!$E$62/SUM('Overall recycling rates'!$E$60:$E$62)*('BTX Recycling HC'!K154)-'Overall recycling rates'!$H$62/SUM('Overall recycling rates'!$H$60:$H$62)*('BTX Recycling HC'!K155)-'Overall recycling rates'!$I$62/SUM('Overall recycling rates'!$I$60:$I$62)*('BTX Recycling HC'!K156)</f>
        <v>0.81971096395820664</v>
      </c>
      <c r="M87" s="284">
        <f>M26-'Overall recycling rates'!$G$62/SUM('Overall recycling rates'!$G$60:$G$62)*('BTX Recycling HC'!L153)-'Overall recycling rates'!$E$62/SUM('Overall recycling rates'!$E$60:$E$62)*('BTX Recycling HC'!L154)-'Overall recycling rates'!$H$62/SUM('Overall recycling rates'!$H$60:$H$62)*('BTX Recycling HC'!L155)-'Overall recycling rates'!$I$62/SUM('Overall recycling rates'!$I$60:$I$62)*('BTX Recycling HC'!L156)</f>
        <v>0.8291441178443073</v>
      </c>
      <c r="N87" s="284">
        <f>N26-'Overall recycling rates'!$G$62/SUM('Overall recycling rates'!$G$60:$G$62)*('BTX Recycling HC'!M153)-'Overall recycling rates'!$E$62/SUM('Overall recycling rates'!$E$60:$E$62)*('BTX Recycling HC'!M154)-'Overall recycling rates'!$H$62/SUM('Overall recycling rates'!$H$60:$H$62)*('BTX Recycling HC'!M155)-'Overall recycling rates'!$I$62/SUM('Overall recycling rates'!$I$60:$I$62)*('BTX Recycling HC'!M156)</f>
        <v>0.83853882771160093</v>
      </c>
      <c r="O87" s="284">
        <f>O26-'Overall recycling rates'!$G$62/SUM('Overall recycling rates'!$G$60:$G$62)*('BTX Recycling HC'!N153)-'Overall recycling rates'!$E$62/SUM('Overall recycling rates'!$E$60:$E$62)*('BTX Recycling HC'!N154)-'Overall recycling rates'!$H$62/SUM('Overall recycling rates'!$H$60:$H$62)*('BTX Recycling HC'!N155)-'Overall recycling rates'!$I$62/SUM('Overall recycling rates'!$I$60:$I$62)*('BTX Recycling HC'!N156)</f>
        <v>0.84969408464160223</v>
      </c>
      <c r="P87" s="284">
        <f>P26-'Overall recycling rates'!$G$62/SUM('Overall recycling rates'!$G$60:$G$62)*('BTX Recycling HC'!O153)-'Overall recycling rates'!$E$62/SUM('Overall recycling rates'!$E$60:$E$62)*('BTX Recycling HC'!O154)-'Overall recycling rates'!$H$62/SUM('Overall recycling rates'!$H$60:$H$62)*('BTX Recycling HC'!O155)-'Overall recycling rates'!$I$62/SUM('Overall recycling rates'!$I$60:$I$62)*('BTX Recycling HC'!O156)</f>
        <v>0.86071040748027194</v>
      </c>
      <c r="Q87" s="284">
        <f>Q26-'Overall recycling rates'!$G$62/SUM('Overall recycling rates'!$G$60:$G$62)*('BTX Recycling HC'!P153)-'Overall recycling rates'!$E$62/SUM('Overall recycling rates'!$E$60:$E$62)*('BTX Recycling HC'!P154)-'Overall recycling rates'!$H$62/SUM('Overall recycling rates'!$H$60:$H$62)*('BTX Recycling HC'!P155)-'Overall recycling rates'!$I$62/SUM('Overall recycling rates'!$I$60:$I$62)*('BTX Recycling HC'!P156)</f>
        <v>0.87154598768609981</v>
      </c>
      <c r="R87" s="284">
        <f>R26-'Overall recycling rates'!$G$62/SUM('Overall recycling rates'!$G$60:$G$62)*('BTX Recycling HC'!Q153)-'Overall recycling rates'!$E$62/SUM('Overall recycling rates'!$E$60:$E$62)*('BTX Recycling HC'!Q154)-'Overall recycling rates'!$H$62/SUM('Overall recycling rates'!$H$60:$H$62)*('BTX Recycling HC'!Q155)-'Overall recycling rates'!$I$62/SUM('Overall recycling rates'!$I$60:$I$62)*('BTX Recycling HC'!Q156)</f>
        <v>0.882212849256792</v>
      </c>
      <c r="S87" s="284">
        <f>S26-'Overall recycling rates'!$G$62/SUM('Overall recycling rates'!$G$60:$G$62)*('BTX Recycling HC'!R153)-'Overall recycling rates'!$E$62/SUM('Overall recycling rates'!$E$60:$E$62)*('BTX Recycling HC'!R154)-'Overall recycling rates'!$H$62/SUM('Overall recycling rates'!$H$60:$H$62)*('BTX Recycling HC'!R155)-'Overall recycling rates'!$I$62/SUM('Overall recycling rates'!$I$60:$I$62)*('BTX Recycling HC'!R156)</f>
        <v>0.892705107518031</v>
      </c>
      <c r="T87" s="284">
        <f>T26-'Overall recycling rates'!$G$62/SUM('Overall recycling rates'!$G$60:$G$62)*('BTX Recycling HC'!S153)-'Overall recycling rates'!$E$62/SUM('Overall recycling rates'!$E$60:$E$62)*('BTX Recycling HC'!S154)-'Overall recycling rates'!$H$62/SUM('Overall recycling rates'!$H$60:$H$62)*('BTX Recycling HC'!S155)-'Overall recycling rates'!$I$62/SUM('Overall recycling rates'!$I$60:$I$62)*('BTX Recycling HC'!S156)</f>
        <v>0.90297080710731259</v>
      </c>
      <c r="U87" s="284">
        <f>U26-'Overall recycling rates'!$G$62/SUM('Overall recycling rates'!$G$60:$G$62)*('BTX Recycling HC'!T153)-'Overall recycling rates'!$E$62/SUM('Overall recycling rates'!$E$60:$E$62)*('BTX Recycling HC'!T154)-'Overall recycling rates'!$H$62/SUM('Overall recycling rates'!$H$60:$H$62)*('BTX Recycling HC'!T155)-'Overall recycling rates'!$I$62/SUM('Overall recycling rates'!$I$60:$I$62)*('BTX Recycling HC'!T156)</f>
        <v>0.91298614131302935</v>
      </c>
      <c r="V87" s="284">
        <f>V26-'Overall recycling rates'!$G$62/SUM('Overall recycling rates'!$G$60:$G$62)*('BTX Recycling HC'!U153)-'Overall recycling rates'!$E$62/SUM('Overall recycling rates'!$E$60:$E$62)*('BTX Recycling HC'!U154)-'Overall recycling rates'!$H$62/SUM('Overall recycling rates'!$H$60:$H$62)*('BTX Recycling HC'!U155)-'Overall recycling rates'!$I$62/SUM('Overall recycling rates'!$I$60:$I$62)*('BTX Recycling HC'!U156)</f>
        <v>0.92272643528590237</v>
      </c>
      <c r="W87" s="284">
        <f>W26-'Overall recycling rates'!$G$62/SUM('Overall recycling rates'!$G$60:$G$62)*('BTX Recycling HC'!V153)-'Overall recycling rates'!$E$62/SUM('Overall recycling rates'!$E$60:$E$62)*('BTX Recycling HC'!V154)-'Overall recycling rates'!$H$62/SUM('Overall recycling rates'!$H$60:$H$62)*('BTX Recycling HC'!V155)-'Overall recycling rates'!$I$62/SUM('Overall recycling rates'!$I$60:$I$62)*('BTX Recycling HC'!V156)</f>
        <v>0.93216613862204389</v>
      </c>
      <c r="X87" s="284">
        <f>X26-'Overall recycling rates'!$G$62/SUM('Overall recycling rates'!$G$60:$G$62)*('BTX Recycling HC'!W153)-'Overall recycling rates'!$E$62/SUM('Overall recycling rates'!$E$60:$E$62)*('BTX Recycling HC'!W154)-'Overall recycling rates'!$H$62/SUM('Overall recycling rates'!$H$60:$H$62)*('BTX Recycling HC'!W155)-'Overall recycling rates'!$I$62/SUM('Overall recycling rates'!$I$60:$I$62)*('BTX Recycling HC'!W156)</f>
        <v>0.9412788187213873</v>
      </c>
      <c r="Y87" s="284">
        <f>Y26-'Overall recycling rates'!$G$62/SUM('Overall recycling rates'!$G$60:$G$62)*('BTX Recycling HC'!X153)-'Overall recycling rates'!$E$62/SUM('Overall recycling rates'!$E$60:$E$62)*('BTX Recycling HC'!X154)-'Overall recycling rates'!$H$62/SUM('Overall recycling rates'!$H$60:$H$62)*('BTX Recycling HC'!X155)-'Overall recycling rates'!$I$62/SUM('Overall recycling rates'!$I$60:$I$62)*('BTX Recycling HC'!X156)</f>
        <v>0.9460335557083237</v>
      </c>
      <c r="Z87" s="284">
        <f>Z26-'Overall recycling rates'!$G$62/SUM('Overall recycling rates'!$G$60:$G$62)*('BTX Recycling HC'!Y153)-'Overall recycling rates'!$E$62/SUM('Overall recycling rates'!$E$60:$E$62)*('BTX Recycling HC'!Y154)-'Overall recycling rates'!$H$62/SUM('Overall recycling rates'!$H$60:$H$62)*('BTX Recycling HC'!Y155)-'Overall recycling rates'!$I$62/SUM('Overall recycling rates'!$I$60:$I$62)*('BTX Recycling HC'!Y156)</f>
        <v>0.95006035172009284</v>
      </c>
      <c r="AA87" s="284">
        <f>AA26-'Overall recycling rates'!$G$62/SUM('Overall recycling rates'!$G$60:$G$62)*('BTX Recycling HC'!Z153)-'Overall recycling rates'!$E$62/SUM('Overall recycling rates'!$E$60:$E$62)*('BTX Recycling HC'!Z154)-'Overall recycling rates'!$H$62/SUM('Overall recycling rates'!$H$60:$H$62)*('BTX Recycling HC'!Z155)-'Overall recycling rates'!$I$62/SUM('Overall recycling rates'!$I$60:$I$62)*('BTX Recycling HC'!Z156)</f>
        <v>0.95307933022916758</v>
      </c>
      <c r="AB87" s="284">
        <f>AB26-'Overall recycling rates'!$G$62/SUM('Overall recycling rates'!$G$60:$G$62)*('BTX Recycling HC'!AA153)-'Overall recycling rates'!$E$62/SUM('Overall recycling rates'!$E$60:$E$62)*('BTX Recycling HC'!AA154)-'Overall recycling rates'!$H$62/SUM('Overall recycling rates'!$H$60:$H$62)*('BTX Recycling HC'!AA155)-'Overall recycling rates'!$I$62/SUM('Overall recycling rates'!$I$60:$I$62)*('BTX Recycling HC'!AA156)</f>
        <v>0.9552022199246798</v>
      </c>
      <c r="AC87" s="284">
        <f>AC26-'Overall recycling rates'!$G$62/SUM('Overall recycling rates'!$G$60:$G$62)*('BTX Recycling HC'!AB153)-'Overall recycling rates'!$E$62/SUM('Overall recycling rates'!$E$60:$E$62)*('BTX Recycling HC'!AB154)-'Overall recycling rates'!$H$62/SUM('Overall recycling rates'!$H$60:$H$62)*('BTX Recycling HC'!AB155)-'Overall recycling rates'!$I$62/SUM('Overall recycling rates'!$I$60:$I$62)*('BTX Recycling HC'!AB156)</f>
        <v>0.95636762407296816</v>
      </c>
      <c r="AD87" s="284">
        <f>AD26-'Overall recycling rates'!$G$62/SUM('Overall recycling rates'!$G$60:$G$62)*('BTX Recycling HC'!AC153)-'Overall recycling rates'!$E$62/SUM('Overall recycling rates'!$E$60:$E$62)*('BTX Recycling HC'!AC154)-'Overall recycling rates'!$H$62/SUM('Overall recycling rates'!$H$60:$H$62)*('BTX Recycling HC'!AC155)-'Overall recycling rates'!$I$62/SUM('Overall recycling rates'!$I$60:$I$62)*('BTX Recycling HC'!AC156)</f>
        <v>0.95651081358915535</v>
      </c>
      <c r="AE87" s="284">
        <f>AE26-'Overall recycling rates'!$G$62/SUM('Overall recycling rates'!$G$60:$G$62)*('BTX Recycling HC'!AD153)-'Overall recycling rates'!$E$62/SUM('Overall recycling rates'!$E$60:$E$62)*('BTX Recycling HC'!AD154)-'Overall recycling rates'!$H$62/SUM('Overall recycling rates'!$H$60:$H$62)*('BTX Recycling HC'!AD155)-'Overall recycling rates'!$I$62/SUM('Overall recycling rates'!$I$60:$I$62)*('BTX Recycling HC'!AD156)</f>
        <v>0.95556549305577421</v>
      </c>
      <c r="AF87" s="284">
        <f>AF26-'Overall recycling rates'!$G$62/SUM('Overall recycling rates'!$G$60:$G$62)*('BTX Recycling HC'!AE153)-'Overall recycling rates'!$E$62/SUM('Overall recycling rates'!$E$60:$E$62)*('BTX Recycling HC'!AE154)-'Overall recycling rates'!$H$62/SUM('Overall recycling rates'!$H$60:$H$62)*('BTX Recycling HC'!AE155)-'Overall recycling rates'!$I$62/SUM('Overall recycling rates'!$I$60:$I$62)*('BTX Recycling HC'!AE156)</f>
        <v>0.95346302328361232</v>
      </c>
      <c r="AG87" s="284">
        <f>AG26-'Overall recycling rates'!$G$62/SUM('Overall recycling rates'!$G$60:$G$62)*('BTX Recycling HC'!AF153)-'Overall recycling rates'!$E$62/SUM('Overall recycling rates'!$E$60:$E$62)*('BTX Recycling HC'!AF154)-'Overall recycling rates'!$H$62/SUM('Overall recycling rates'!$H$60:$H$62)*('BTX Recycling HC'!AF155)-'Overall recycling rates'!$I$62/SUM('Overall recycling rates'!$I$60:$I$62)*('BTX Recycling HC'!AF156)</f>
        <v>0.95013238912600617</v>
      </c>
      <c r="AH87" s="284">
        <f>AH26-'Overall recycling rates'!$G$62/SUM('Overall recycling rates'!$G$60:$G$62)*('BTX Recycling HC'!AG153)-'Overall recycling rates'!$E$62/SUM('Overall recycling rates'!$E$60:$E$62)*('BTX Recycling HC'!AG154)-'Overall recycling rates'!$H$62/SUM('Overall recycling rates'!$H$60:$H$62)*('BTX Recycling HC'!AG155)-'Overall recycling rates'!$I$62/SUM('Overall recycling rates'!$I$60:$I$62)*('BTX Recycling HC'!AG156)</f>
        <v>0.94550016853070651</v>
      </c>
      <c r="AJ87" s="284">
        <f>AJ26-'Overall recycling rates'!$G$62/SUM('Overall recycling rates'!$G$60:$G$62)*('BTX Recycling HC'!C153)-'Overall recycling rates'!$E$62/SUM('Overall recycling rates'!$E$60:$E$62)*('BTX Recycling HC'!C154)-'Overall recycling rates'!$H$62/SUM('Overall recycling rates'!$H$60:$H$62)*('BTX Recycling HC'!C155)-'Overall recycling rates'!$I$62/SUM('Overall recycling rates'!$I$60:$I$62)*('BTX Recycling HC'!C156)</f>
        <v>0.74407612749267826</v>
      </c>
      <c r="AK87" s="284">
        <f>AK26-'Overall recycling rates'!$G$62/SUM('Overall recycling rates'!$G$60:$G$62)*('BTX Recycling HC'!D153)-'Overall recycling rates'!$E$62/SUM('Overall recycling rates'!$E$60:$E$62)*('BTX Recycling HC'!D154)-'Overall recycling rates'!$H$62/SUM('Overall recycling rates'!$H$60:$H$62)*('BTX Recycling HC'!D155)-'Overall recycling rates'!$I$62/SUM('Overall recycling rates'!$I$60:$I$62)*('BTX Recycling HC'!D156)</f>
        <v>0.75346380379963018</v>
      </c>
      <c r="AL87" s="284">
        <f>AL26-'Overall recycling rates'!$G$62/SUM('Overall recycling rates'!$G$60:$G$62)*('BTX Recycling HC'!E153)-'Overall recycling rates'!$E$62/SUM('Overall recycling rates'!$E$60:$E$62)*('BTX Recycling HC'!E154)-'Overall recycling rates'!$H$62/SUM('Overall recycling rates'!$H$60:$H$62)*('BTX Recycling HC'!E155)-'Overall recycling rates'!$I$62/SUM('Overall recycling rates'!$I$60:$I$62)*('BTX Recycling HC'!E156)</f>
        <v>0.76288553956978589</v>
      </c>
      <c r="AM87" s="284">
        <f>AM26-'Overall recycling rates'!$G$62/SUM('Overall recycling rates'!$G$60:$G$62)*('BTX Recycling HC'!F153)-'Overall recycling rates'!$E$62/SUM('Overall recycling rates'!$E$60:$E$62)*('BTX Recycling HC'!F154)-'Overall recycling rates'!$H$62/SUM('Overall recycling rates'!$H$60:$H$62)*('BTX Recycling HC'!F155)-'Overall recycling rates'!$I$62/SUM('Overall recycling rates'!$I$60:$I$62)*('BTX Recycling HC'!F156)</f>
        <v>0.77233413862532396</v>
      </c>
      <c r="AN87" s="284">
        <f>AN26-'Overall recycling rates'!$G$62/SUM('Overall recycling rates'!$G$60:$G$62)*('BTX Recycling HC'!G153)-'Overall recycling rates'!$E$62/SUM('Overall recycling rates'!$E$60:$E$62)*('BTX Recycling HC'!G154)-'Overall recycling rates'!$H$62/SUM('Overall recycling rates'!$H$60:$H$62)*('BTX Recycling HC'!G155)-'Overall recycling rates'!$I$62/SUM('Overall recycling rates'!$I$60:$I$62)*('BTX Recycling HC'!G156)</f>
        <v>0.78180300946458303</v>
      </c>
      <c r="AO87" s="284">
        <f>AO26-'Overall recycling rates'!$G$62/SUM('Overall recycling rates'!$G$60:$G$62)*('BTX Recycling HC'!H153)-'Overall recycling rates'!$E$62/SUM('Overall recycling rates'!$E$60:$E$62)*('BTX Recycling HC'!H154)-'Overall recycling rates'!$H$62/SUM('Overall recycling rates'!$H$60:$H$62)*('BTX Recycling HC'!H155)-'Overall recycling rates'!$I$62/SUM('Overall recycling rates'!$I$60:$I$62)*('BTX Recycling HC'!H156)</f>
        <v>0.79128636346205106</v>
      </c>
      <c r="AP87" s="284">
        <f>AP26-'Overall recycling rates'!$G$62/SUM('Overall recycling rates'!$G$60:$G$62)*('BTX Recycling HC'!I153)-'Overall recycling rates'!$E$62/SUM('Overall recycling rates'!$E$60:$E$62)*('BTX Recycling HC'!I154)-'Overall recycling rates'!$H$62/SUM('Overall recycling rates'!$H$60:$H$62)*('BTX Recycling HC'!I155)-'Overall recycling rates'!$I$62/SUM('Overall recycling rates'!$I$60:$I$62)*('BTX Recycling HC'!I156)</f>
        <v>0.80077191761650268</v>
      </c>
      <c r="AQ87" s="284">
        <f>AQ26-'Overall recycling rates'!$G$62/SUM('Overall recycling rates'!$G$60:$G$62)*('BTX Recycling HC'!J153)-'Overall recycling rates'!$E$62/SUM('Overall recycling rates'!$E$60:$E$62)*('BTX Recycling HC'!J154)-'Overall recycling rates'!$H$62/SUM('Overall recycling rates'!$H$60:$H$62)*('BTX Recycling HC'!J155)-'Overall recycling rates'!$I$62/SUM('Overall recycling rates'!$I$60:$I$62)*('BTX Recycling HC'!J156)</f>
        <v>0.81025010852024359</v>
      </c>
      <c r="AR87" s="284">
        <f>AR26-'Overall recycling rates'!$G$62/SUM('Overall recycling rates'!$G$60:$G$62)*('BTX Recycling HC'!K153)-'Overall recycling rates'!$E$62/SUM('Overall recycling rates'!$E$60:$E$62)*('BTX Recycling HC'!K154)-'Overall recycling rates'!$H$62/SUM('Overall recycling rates'!$H$60:$H$62)*('BTX Recycling HC'!K155)-'Overall recycling rates'!$I$62/SUM('Overall recycling rates'!$I$60:$I$62)*('BTX Recycling HC'!K156)</f>
        <v>0.81971096395820664</v>
      </c>
      <c r="AS87" s="284">
        <f>AS26-'Overall recycling rates'!$G$62/SUM('Overall recycling rates'!$G$60:$G$62)*('BTX Recycling HC'!L153)-'Overall recycling rates'!$E$62/SUM('Overall recycling rates'!$E$60:$E$62)*('BTX Recycling HC'!L154)-'Overall recycling rates'!$H$62/SUM('Overall recycling rates'!$H$60:$H$62)*('BTX Recycling HC'!L155)-'Overall recycling rates'!$I$62/SUM('Overall recycling rates'!$I$60:$I$62)*('BTX Recycling HC'!L156)</f>
        <v>0.8291441178443073</v>
      </c>
      <c r="AT87" s="284">
        <f>AT26-'Overall recycling rates'!$G$62/SUM('Overall recycling rates'!$G$60:$G$62)*('BTX Recycling HC'!M153)-'Overall recycling rates'!$E$62/SUM('Overall recycling rates'!$E$60:$E$62)*('BTX Recycling HC'!M154)-'Overall recycling rates'!$H$62/SUM('Overall recycling rates'!$H$60:$H$62)*('BTX Recycling HC'!M155)-'Overall recycling rates'!$I$62/SUM('Overall recycling rates'!$I$60:$I$62)*('BTX Recycling HC'!M156)</f>
        <v>0.83853882771160093</v>
      </c>
      <c r="AU87" s="284">
        <f>AU26-'Overall recycling rates'!$G$62/SUM('Overall recycling rates'!$G$60:$G$62)*('BTX Recycling HC'!N153)-'Overall recycling rates'!$E$62/SUM('Overall recycling rates'!$E$60:$E$62)*('BTX Recycling HC'!N154)-'Overall recycling rates'!$H$62/SUM('Overall recycling rates'!$H$60:$H$62)*('BTX Recycling HC'!N155)-'Overall recycling rates'!$I$62/SUM('Overall recycling rates'!$I$60:$I$62)*('BTX Recycling HC'!N156)</f>
        <v>0.84969408464160223</v>
      </c>
      <c r="AV87" s="284">
        <f>AV26-'Overall recycling rates'!$G$62/SUM('Overall recycling rates'!$G$60:$G$62)*('BTX Recycling HC'!O153)-'Overall recycling rates'!$E$62/SUM('Overall recycling rates'!$E$60:$E$62)*('BTX Recycling HC'!O154)-'Overall recycling rates'!$H$62/SUM('Overall recycling rates'!$H$60:$H$62)*('BTX Recycling HC'!O155)-'Overall recycling rates'!$I$62/SUM('Overall recycling rates'!$I$60:$I$62)*('BTX Recycling HC'!O156)</f>
        <v>0.86071040748027194</v>
      </c>
      <c r="AW87" s="284">
        <f>AW26-'Overall recycling rates'!$G$62/SUM('Overall recycling rates'!$G$60:$G$62)*('BTX Recycling HC'!P153)-'Overall recycling rates'!$E$62/SUM('Overall recycling rates'!$E$60:$E$62)*('BTX Recycling HC'!P154)-'Overall recycling rates'!$H$62/SUM('Overall recycling rates'!$H$60:$H$62)*('BTX Recycling HC'!P155)-'Overall recycling rates'!$I$62/SUM('Overall recycling rates'!$I$60:$I$62)*('BTX Recycling HC'!P156)</f>
        <v>0.87154598768609981</v>
      </c>
      <c r="AX87" s="284">
        <f>AX26-'Overall recycling rates'!$G$62/SUM('Overall recycling rates'!$G$60:$G$62)*('BTX Recycling HC'!Q153)-'Overall recycling rates'!$E$62/SUM('Overall recycling rates'!$E$60:$E$62)*('BTX Recycling HC'!Q154)-'Overall recycling rates'!$H$62/SUM('Overall recycling rates'!$H$60:$H$62)*('BTX Recycling HC'!Q155)-'Overall recycling rates'!$I$62/SUM('Overall recycling rates'!$I$60:$I$62)*('BTX Recycling HC'!Q156)</f>
        <v>0.882212849256792</v>
      </c>
      <c r="AY87" s="284">
        <f>AY26-'Overall recycling rates'!$G$62/SUM('Overall recycling rates'!$G$60:$G$62)*('BTX Recycling HC'!R153)-'Overall recycling rates'!$E$62/SUM('Overall recycling rates'!$E$60:$E$62)*('BTX Recycling HC'!R154)-'Overall recycling rates'!$H$62/SUM('Overall recycling rates'!$H$60:$H$62)*('BTX Recycling HC'!R155)-'Overall recycling rates'!$I$62/SUM('Overall recycling rates'!$I$60:$I$62)*('BTX Recycling HC'!R156)</f>
        <v>0.892705107518031</v>
      </c>
      <c r="AZ87" s="284">
        <f>AZ26-'Overall recycling rates'!$G$62/SUM('Overall recycling rates'!$G$60:$G$62)*('BTX Recycling HC'!S153)-'Overall recycling rates'!$E$62/SUM('Overall recycling rates'!$E$60:$E$62)*('BTX Recycling HC'!S154)-'Overall recycling rates'!$H$62/SUM('Overall recycling rates'!$H$60:$H$62)*('BTX Recycling HC'!S155)-'Overall recycling rates'!$I$62/SUM('Overall recycling rates'!$I$60:$I$62)*('BTX Recycling HC'!S156)</f>
        <v>0.90297080710731259</v>
      </c>
      <c r="BA87" s="284">
        <f>BA26-'Overall recycling rates'!$G$62/SUM('Overall recycling rates'!$G$60:$G$62)*('BTX Recycling HC'!T153)-'Overall recycling rates'!$E$62/SUM('Overall recycling rates'!$E$60:$E$62)*('BTX Recycling HC'!T154)-'Overall recycling rates'!$H$62/SUM('Overall recycling rates'!$H$60:$H$62)*('BTX Recycling HC'!T155)-'Overall recycling rates'!$I$62/SUM('Overall recycling rates'!$I$60:$I$62)*('BTX Recycling HC'!T156)</f>
        <v>0.91298614131302935</v>
      </c>
      <c r="BB87" s="284">
        <f>BB26-'Overall recycling rates'!$G$62/SUM('Overall recycling rates'!$G$60:$G$62)*('BTX Recycling HC'!U153)-'Overall recycling rates'!$E$62/SUM('Overall recycling rates'!$E$60:$E$62)*('BTX Recycling HC'!U154)-'Overall recycling rates'!$H$62/SUM('Overall recycling rates'!$H$60:$H$62)*('BTX Recycling HC'!U155)-'Overall recycling rates'!$I$62/SUM('Overall recycling rates'!$I$60:$I$62)*('BTX Recycling HC'!U156)</f>
        <v>0.92272643528590237</v>
      </c>
      <c r="BC87" s="284">
        <f>BC26-'Overall recycling rates'!$G$62/SUM('Overall recycling rates'!$G$60:$G$62)*('BTX Recycling HC'!V153)-'Overall recycling rates'!$E$62/SUM('Overall recycling rates'!$E$60:$E$62)*('BTX Recycling HC'!V154)-'Overall recycling rates'!$H$62/SUM('Overall recycling rates'!$H$60:$H$62)*('BTX Recycling HC'!V155)-'Overall recycling rates'!$I$62/SUM('Overall recycling rates'!$I$60:$I$62)*('BTX Recycling HC'!V156)</f>
        <v>0.93216613862204389</v>
      </c>
      <c r="BD87" s="284">
        <f>BD26-'Overall recycling rates'!$G$62/SUM('Overall recycling rates'!$G$60:$G$62)*('BTX Recycling HC'!W153)-'Overall recycling rates'!$E$62/SUM('Overall recycling rates'!$E$60:$E$62)*('BTX Recycling HC'!W154)-'Overall recycling rates'!$H$62/SUM('Overall recycling rates'!$H$60:$H$62)*('BTX Recycling HC'!W155)-'Overall recycling rates'!$I$62/SUM('Overall recycling rates'!$I$60:$I$62)*('BTX Recycling HC'!W156)</f>
        <v>0.9412788187213873</v>
      </c>
      <c r="BE87" s="284">
        <f>BE26-'Overall recycling rates'!$G$62/SUM('Overall recycling rates'!$G$60:$G$62)*('BTX Recycling HC'!X153)-'Overall recycling rates'!$E$62/SUM('Overall recycling rates'!$E$60:$E$62)*('BTX Recycling HC'!X154)-'Overall recycling rates'!$H$62/SUM('Overall recycling rates'!$H$60:$H$62)*('BTX Recycling HC'!X155)-'Overall recycling rates'!$I$62/SUM('Overall recycling rates'!$I$60:$I$62)*('BTX Recycling HC'!X156)</f>
        <v>0.9460335557083237</v>
      </c>
      <c r="BF87" s="284">
        <f>BF26-'Overall recycling rates'!$G$62/SUM('Overall recycling rates'!$G$60:$G$62)*('BTX Recycling HC'!Y153)-'Overall recycling rates'!$E$62/SUM('Overall recycling rates'!$E$60:$E$62)*('BTX Recycling HC'!Y154)-'Overall recycling rates'!$H$62/SUM('Overall recycling rates'!$H$60:$H$62)*('BTX Recycling HC'!Y155)-'Overall recycling rates'!$I$62/SUM('Overall recycling rates'!$I$60:$I$62)*('BTX Recycling HC'!Y156)</f>
        <v>0.95006035172009284</v>
      </c>
      <c r="BG87" s="284">
        <f>BG26-'Overall recycling rates'!$G$62/SUM('Overall recycling rates'!$G$60:$G$62)*('BTX Recycling HC'!Z153)-'Overall recycling rates'!$E$62/SUM('Overall recycling rates'!$E$60:$E$62)*('BTX Recycling HC'!Z154)-'Overall recycling rates'!$H$62/SUM('Overall recycling rates'!$H$60:$H$62)*('BTX Recycling HC'!Z155)-'Overall recycling rates'!$I$62/SUM('Overall recycling rates'!$I$60:$I$62)*('BTX Recycling HC'!Z156)</f>
        <v>0.95307933022916758</v>
      </c>
      <c r="BH87" s="284">
        <f>BH26-'Overall recycling rates'!$G$62/SUM('Overall recycling rates'!$G$60:$G$62)*('BTX Recycling HC'!AA153)-'Overall recycling rates'!$E$62/SUM('Overall recycling rates'!$E$60:$E$62)*('BTX Recycling HC'!AA154)-'Overall recycling rates'!$H$62/SUM('Overall recycling rates'!$H$60:$H$62)*('BTX Recycling HC'!AA155)-'Overall recycling rates'!$I$62/SUM('Overall recycling rates'!$I$60:$I$62)*('BTX Recycling HC'!AA156)</f>
        <v>0.9552022199246798</v>
      </c>
      <c r="BI87" s="284">
        <f>BI26-'Overall recycling rates'!$G$62/SUM('Overall recycling rates'!$G$60:$G$62)*('BTX Recycling HC'!AB153)-'Overall recycling rates'!$E$62/SUM('Overall recycling rates'!$E$60:$E$62)*('BTX Recycling HC'!AB154)-'Overall recycling rates'!$H$62/SUM('Overall recycling rates'!$H$60:$H$62)*('BTX Recycling HC'!AB155)-'Overall recycling rates'!$I$62/SUM('Overall recycling rates'!$I$60:$I$62)*('BTX Recycling HC'!AB156)</f>
        <v>0.95636762407296816</v>
      </c>
      <c r="BJ87" s="284">
        <f>BJ26-'Overall recycling rates'!$G$62/SUM('Overall recycling rates'!$G$60:$G$62)*('BTX Recycling HC'!AC153)-'Overall recycling rates'!$E$62/SUM('Overall recycling rates'!$E$60:$E$62)*('BTX Recycling HC'!AC154)-'Overall recycling rates'!$H$62/SUM('Overall recycling rates'!$H$60:$H$62)*('BTX Recycling HC'!AC155)-'Overall recycling rates'!$I$62/SUM('Overall recycling rates'!$I$60:$I$62)*('BTX Recycling HC'!AC156)</f>
        <v>0.95651081358915535</v>
      </c>
      <c r="BK87" s="284">
        <f>BK26-'Overall recycling rates'!$G$62/SUM('Overall recycling rates'!$G$60:$G$62)*('BTX Recycling HC'!AD153)-'Overall recycling rates'!$E$62/SUM('Overall recycling rates'!$E$60:$E$62)*('BTX Recycling HC'!AD154)-'Overall recycling rates'!$H$62/SUM('Overall recycling rates'!$H$60:$H$62)*('BTX Recycling HC'!AD155)-'Overall recycling rates'!$I$62/SUM('Overall recycling rates'!$I$60:$I$62)*('BTX Recycling HC'!AD156)</f>
        <v>0.95556549305577421</v>
      </c>
      <c r="BL87" s="284">
        <f>BL26-'Overall recycling rates'!$G$62/SUM('Overall recycling rates'!$G$60:$G$62)*('BTX Recycling HC'!AE153)-'Overall recycling rates'!$E$62/SUM('Overall recycling rates'!$E$60:$E$62)*('BTX Recycling HC'!AE154)-'Overall recycling rates'!$H$62/SUM('Overall recycling rates'!$H$60:$H$62)*('BTX Recycling HC'!AE155)-'Overall recycling rates'!$I$62/SUM('Overall recycling rates'!$I$60:$I$62)*('BTX Recycling HC'!AE156)</f>
        <v>0.95346302328361232</v>
      </c>
      <c r="BM87" s="284">
        <f>BM26-'Overall recycling rates'!$G$62/SUM('Overall recycling rates'!$G$60:$G$62)*('BTX Recycling HC'!AF153)-'Overall recycling rates'!$E$62/SUM('Overall recycling rates'!$E$60:$E$62)*('BTX Recycling HC'!AF154)-'Overall recycling rates'!$H$62/SUM('Overall recycling rates'!$H$60:$H$62)*('BTX Recycling HC'!AF155)-'Overall recycling rates'!$I$62/SUM('Overall recycling rates'!$I$60:$I$62)*('BTX Recycling HC'!AF156)</f>
        <v>0.95013238912600617</v>
      </c>
      <c r="BN87" s="284">
        <f>BN26-'Overall recycling rates'!$G$62/SUM('Overall recycling rates'!$G$60:$G$62)*('BTX Recycling HC'!AG153)-'Overall recycling rates'!$E$62/SUM('Overall recycling rates'!$E$60:$E$62)*('BTX Recycling HC'!AG154)-'Overall recycling rates'!$H$62/SUM('Overall recycling rates'!$H$60:$H$62)*('BTX Recycling HC'!AG155)-'Overall recycling rates'!$I$62/SUM('Overall recycling rates'!$I$60:$I$62)*('BTX Recycling HC'!AG156)</f>
        <v>0.94550016853070651</v>
      </c>
    </row>
    <row r="88" spans="1:66" outlineLevel="1">
      <c r="A88" s="58" t="s">
        <v>221</v>
      </c>
      <c r="B88" s="58" t="s">
        <v>197</v>
      </c>
      <c r="C88" s="54" t="s">
        <v>153</v>
      </c>
      <c r="D88" s="66">
        <f t="shared" ref="D88:AH88" si="81">D50</f>
        <v>13.012248975360578</v>
      </c>
      <c r="E88" s="66">
        <f t="shared" si="81"/>
        <v>13.154802763545836</v>
      </c>
      <c r="F88" s="66">
        <f t="shared" si="81"/>
        <v>13.298918278882523</v>
      </c>
      <c r="G88" s="66">
        <f t="shared" si="81"/>
        <v>13.444612630643752</v>
      </c>
      <c r="H88" s="66">
        <f t="shared" si="81"/>
        <v>13.591903115540774</v>
      </c>
      <c r="I88" s="66">
        <f t="shared" si="81"/>
        <v>13.740807219776427</v>
      </c>
      <c r="J88" s="66">
        <f t="shared" si="81"/>
        <v>13.891342621121082</v>
      </c>
      <c r="K88" s="66">
        <f t="shared" si="81"/>
        <v>14.043527191011336</v>
      </c>
      <c r="L88" s="66">
        <f t="shared" si="81"/>
        <v>14.197378996671693</v>
      </c>
      <c r="M88" s="66">
        <f t="shared" si="81"/>
        <v>14.352916303259487</v>
      </c>
      <c r="N88" s="66">
        <f t="shared" si="81"/>
        <v>14.510157576033313</v>
      </c>
      <c r="O88" s="66">
        <f t="shared" si="81"/>
        <v>14.669121482545197</v>
      </c>
      <c r="P88" s="66">
        <f t="shared" si="81"/>
        <v>14.829826894856803</v>
      </c>
      <c r="Q88" s="66">
        <f t="shared" si="81"/>
        <v>14.992292891779897</v>
      </c>
      <c r="R88" s="66">
        <f t="shared" si="81"/>
        <v>15.156538761141379</v>
      </c>
      <c r="S88" s="66">
        <f t="shared" si="81"/>
        <v>15.322584002073109</v>
      </c>
      <c r="T88" s="66">
        <f t="shared" si="81"/>
        <v>15.490448327326833</v>
      </c>
      <c r="U88" s="66">
        <f t="shared" si="81"/>
        <v>15.66015166561446</v>
      </c>
      <c r="V88" s="66">
        <f t="shared" si="81"/>
        <v>15.831714163973984</v>
      </c>
      <c r="W88" s="66">
        <f t="shared" si="81"/>
        <v>16.005156190161326</v>
      </c>
      <c r="X88" s="66">
        <f t="shared" si="81"/>
        <v>16.180498335068371</v>
      </c>
      <c r="Y88" s="66">
        <f t="shared" si="81"/>
        <v>16.357761415167509</v>
      </c>
      <c r="Z88" s="66">
        <f t="shared" si="81"/>
        <v>16.53696647498294</v>
      </c>
      <c r="AA88" s="66">
        <f t="shared" si="81"/>
        <v>16.718134789589072</v>
      </c>
      <c r="AB88" s="66">
        <f t="shared" si="81"/>
        <v>16.901287867136272</v>
      </c>
      <c r="AC88" s="66">
        <f t="shared" si="81"/>
        <v>17.0864474514043</v>
      </c>
      <c r="AD88" s="66">
        <f t="shared" si="81"/>
        <v>17.27363552438371</v>
      </c>
      <c r="AE88" s="66">
        <f t="shared" si="81"/>
        <v>17.462874308885535</v>
      </c>
      <c r="AF88" s="66">
        <f t="shared" si="81"/>
        <v>17.654186271179562</v>
      </c>
      <c r="AG88" s="66">
        <f t="shared" si="81"/>
        <v>17.847594123661501</v>
      </c>
      <c r="AH88" s="66">
        <f t="shared" si="81"/>
        <v>18.043120827549398</v>
      </c>
      <c r="AJ88" s="66">
        <f t="shared" ref="AJ88:BN88" si="82">AJ50</f>
        <v>13.012248975360578</v>
      </c>
      <c r="AK88" s="66">
        <f t="shared" si="82"/>
        <v>13.154802763545836</v>
      </c>
      <c r="AL88" s="66">
        <f t="shared" si="82"/>
        <v>13.298918278882523</v>
      </c>
      <c r="AM88" s="66">
        <f t="shared" si="82"/>
        <v>13.444612630643752</v>
      </c>
      <c r="AN88" s="66">
        <f t="shared" si="82"/>
        <v>13.591903115540774</v>
      </c>
      <c r="AO88" s="66">
        <f t="shared" si="82"/>
        <v>13.740807219776427</v>
      </c>
      <c r="AP88" s="66">
        <f t="shared" si="82"/>
        <v>13.891342621121082</v>
      </c>
      <c r="AQ88" s="66">
        <f t="shared" si="82"/>
        <v>14.043527191011336</v>
      </c>
      <c r="AR88" s="66">
        <f t="shared" si="82"/>
        <v>14.197378996671693</v>
      </c>
      <c r="AS88" s="66">
        <f t="shared" si="82"/>
        <v>14.352916303259487</v>
      </c>
      <c r="AT88" s="66">
        <f t="shared" si="82"/>
        <v>14.510157576033313</v>
      </c>
      <c r="AU88" s="66">
        <f t="shared" si="82"/>
        <v>14.669121482545197</v>
      </c>
      <c r="AV88" s="66">
        <f t="shared" si="82"/>
        <v>14.829826894856803</v>
      </c>
      <c r="AW88" s="66">
        <f t="shared" si="82"/>
        <v>14.992292891779897</v>
      </c>
      <c r="AX88" s="66">
        <f t="shared" si="82"/>
        <v>15.156538761141379</v>
      </c>
      <c r="AY88" s="66">
        <f t="shared" si="82"/>
        <v>15.322584002073109</v>
      </c>
      <c r="AZ88" s="66">
        <f t="shared" si="82"/>
        <v>15.490448327326833</v>
      </c>
      <c r="BA88" s="66">
        <f t="shared" si="82"/>
        <v>15.66015166561446</v>
      </c>
      <c r="BB88" s="66">
        <f t="shared" si="82"/>
        <v>15.831714163973984</v>
      </c>
      <c r="BC88" s="66">
        <f t="shared" si="82"/>
        <v>16.005156190161326</v>
      </c>
      <c r="BD88" s="66">
        <f t="shared" si="82"/>
        <v>16.180498335068371</v>
      </c>
      <c r="BE88" s="66">
        <f t="shared" si="82"/>
        <v>16.357761415167509</v>
      </c>
      <c r="BF88" s="66">
        <f t="shared" si="82"/>
        <v>16.53696647498294</v>
      </c>
      <c r="BG88" s="66">
        <f t="shared" si="82"/>
        <v>16.718134789589072</v>
      </c>
      <c r="BH88" s="66">
        <f t="shared" si="82"/>
        <v>16.901287867136272</v>
      </c>
      <c r="BI88" s="66">
        <f t="shared" si="82"/>
        <v>17.0864474514043</v>
      </c>
      <c r="BJ88" s="66">
        <f t="shared" si="82"/>
        <v>17.27363552438371</v>
      </c>
      <c r="BK88" s="66">
        <f t="shared" si="82"/>
        <v>17.462874308885535</v>
      </c>
      <c r="BL88" s="66">
        <f t="shared" si="82"/>
        <v>17.654186271179562</v>
      </c>
      <c r="BM88" s="66">
        <f t="shared" si="82"/>
        <v>17.847594123661501</v>
      </c>
      <c r="BN88" s="66">
        <f t="shared" si="82"/>
        <v>18.043120827549398</v>
      </c>
    </row>
    <row r="89" spans="1:66" outlineLevel="1">
      <c r="A89"/>
      <c r="B89" t="s">
        <v>217</v>
      </c>
      <c r="C89" s="54" t="s">
        <v>153</v>
      </c>
      <c r="D89" s="44">
        <f>'BTX Recycling HC'!C214</f>
        <v>0</v>
      </c>
      <c r="E89" s="44">
        <f>'BTX Recycling HC'!D214</f>
        <v>-1.072732726938698E-2</v>
      </c>
      <c r="F89" s="44">
        <f>'BTX Recycling HC'!E214</f>
        <v>1.3453319674309169E-2</v>
      </c>
      <c r="G89" s="44">
        <f>'BTX Recycling HC'!F214</f>
        <v>4.0455022530981849E-2</v>
      </c>
      <c r="H89" s="44">
        <f>'BTX Recycling HC'!G214</f>
        <v>7.0323073520251911E-2</v>
      </c>
      <c r="I89" s="44">
        <f>'BTX Recycling HC'!H214</f>
        <v>0.10306997341614982</v>
      </c>
      <c r="J89" s="44">
        <f>'BTX Recycling HC'!I214</f>
        <v>0.13920965424580123</v>
      </c>
      <c r="K89" s="44">
        <f>'BTX Recycling HC'!J214</f>
        <v>0.17893347038534418</v>
      </c>
      <c r="L89" s="44">
        <f>'BTX Recycling HC'!K214</f>
        <v>0.22243503204622173</v>
      </c>
      <c r="M89" s="44">
        <f>'BTX Recycling HC'!L214</f>
        <v>0.26990969276705629</v>
      </c>
      <c r="N89" s="44">
        <f>'BTX Recycling HC'!M214</f>
        <v>0.32155400517229743</v>
      </c>
      <c r="O89" s="44">
        <f>'BTX Recycling HC'!N214</f>
        <v>0.39259132405301844</v>
      </c>
      <c r="P89" s="44">
        <f>'BTX Recycling HC'!O214</f>
        <v>0.47004253528092921</v>
      </c>
      <c r="Q89" s="44">
        <f>'BTX Recycling HC'!P214</f>
        <v>0.55389872698522302</v>
      </c>
      <c r="R89" s="44">
        <f>'BTX Recycling HC'!Q214</f>
        <v>0.64408704451991394</v>
      </c>
      <c r="S89" s="44">
        <f>'BTX Recycling HC'!R214</f>
        <v>0.74046769517366917</v>
      </c>
      <c r="T89" s="44">
        <f>'BTX Recycling HC'!S214</f>
        <v>0.84454872887598498</v>
      </c>
      <c r="U89" s="44">
        <f>'BTX Recycling HC'!T214</f>
        <v>0.95664930975373808</v>
      </c>
      <c r="V89" s="44">
        <f>'BTX Recycling HC'!U214</f>
        <v>1.0770934204623286</v>
      </c>
      <c r="W89" s="44">
        <f>'BTX Recycling HC'!V214</f>
        <v>1.2062097070208648</v>
      </c>
      <c r="X89" s="44">
        <f>'BTX Recycling HC'!W214</f>
        <v>1.3443313151878873</v>
      </c>
      <c r="Y89" s="44">
        <f>'BTX Recycling HC'!X214</f>
        <v>1.5320475214058478</v>
      </c>
      <c r="Z89" s="44">
        <f>'BTX Recycling HC'!Y214</f>
        <v>1.7341885866783651</v>
      </c>
      <c r="AA89" s="44">
        <f>'BTX Recycling HC'!Z214</f>
        <v>1.9513198989887743</v>
      </c>
      <c r="AB89" s="44">
        <f>'BTX Recycling HC'!AA214</f>
        <v>2.1840147729687045</v>
      </c>
      <c r="AC89" s="44">
        <f>'BTX Recycling HC'!AB214</f>
        <v>2.4328541964244046</v>
      </c>
      <c r="AD89" s="44">
        <f>'BTX Recycling HC'!AC214</f>
        <v>2.6984531172516619</v>
      </c>
      <c r="AE89" s="44">
        <f>'BTX Recycling HC'!AD214</f>
        <v>2.9814151216505826</v>
      </c>
      <c r="AF89" s="44">
        <f>'BTX Recycling HC'!AE214</f>
        <v>3.282351665682266</v>
      </c>
      <c r="AG89" s="44">
        <f>'BTX Recycling HC'!AF214</f>
        <v>3.6018818313283361</v>
      </c>
      <c r="AH89" s="44">
        <f>'BTX Recycling HC'!AG214</f>
        <v>3.9406320710234755</v>
      </c>
      <c r="AJ89" s="44">
        <f>D89</f>
        <v>0</v>
      </c>
      <c r="AK89" s="44">
        <f>E89</f>
        <v>-1.072732726938698E-2</v>
      </c>
      <c r="AL89" s="44">
        <f>F89</f>
        <v>1.3453319674309169E-2</v>
      </c>
      <c r="AM89" s="44">
        <f t="shared" ref="AM89:BB90" si="83">G89</f>
        <v>4.0455022530981849E-2</v>
      </c>
      <c r="AN89" s="44">
        <f t="shared" si="83"/>
        <v>7.0323073520251911E-2</v>
      </c>
      <c r="AO89" s="44">
        <f t="shared" si="83"/>
        <v>0.10306997341614982</v>
      </c>
      <c r="AP89" s="44">
        <f t="shared" si="83"/>
        <v>0.13920965424580123</v>
      </c>
      <c r="AQ89" s="44">
        <f t="shared" si="83"/>
        <v>0.17893347038534418</v>
      </c>
      <c r="AR89" s="44">
        <f t="shared" si="83"/>
        <v>0.22243503204622173</v>
      </c>
      <c r="AS89" s="44">
        <f t="shared" si="83"/>
        <v>0.26990969276705629</v>
      </c>
      <c r="AT89" s="44">
        <f t="shared" si="83"/>
        <v>0.32155400517229743</v>
      </c>
      <c r="AU89" s="44">
        <f t="shared" si="83"/>
        <v>0.39259132405301844</v>
      </c>
      <c r="AV89" s="44">
        <f t="shared" si="83"/>
        <v>0.47004253528092921</v>
      </c>
      <c r="AW89" s="44">
        <f t="shared" si="83"/>
        <v>0.55389872698522302</v>
      </c>
      <c r="AX89" s="44">
        <f t="shared" si="83"/>
        <v>0.64408704451991394</v>
      </c>
      <c r="AY89" s="44">
        <f t="shared" si="83"/>
        <v>0.74046769517366917</v>
      </c>
      <c r="AZ89" s="44">
        <f t="shared" si="83"/>
        <v>0.84454872887598498</v>
      </c>
      <c r="BA89" s="44">
        <f t="shared" si="83"/>
        <v>0.95664930975373808</v>
      </c>
      <c r="BB89" s="44">
        <f t="shared" si="83"/>
        <v>1.0770934204623286</v>
      </c>
      <c r="BC89" s="44">
        <f t="shared" ref="BC89:BN90" si="84">W89</f>
        <v>1.2062097070208648</v>
      </c>
      <c r="BD89" s="44">
        <f t="shared" si="84"/>
        <v>1.3443313151878873</v>
      </c>
      <c r="BE89" s="44">
        <f t="shared" si="84"/>
        <v>1.5320475214058478</v>
      </c>
      <c r="BF89" s="44">
        <f t="shared" si="84"/>
        <v>1.7341885866783651</v>
      </c>
      <c r="BG89" s="44">
        <f t="shared" si="84"/>
        <v>1.9513198989887743</v>
      </c>
      <c r="BH89" s="44">
        <f t="shared" si="84"/>
        <v>2.1840147729687045</v>
      </c>
      <c r="BI89" s="44">
        <f t="shared" si="84"/>
        <v>2.4328541964244046</v>
      </c>
      <c r="BJ89" s="44">
        <f t="shared" si="84"/>
        <v>2.6984531172516619</v>
      </c>
      <c r="BK89" s="44">
        <f t="shared" si="84"/>
        <v>2.9814151216505826</v>
      </c>
      <c r="BL89" s="44">
        <f t="shared" si="84"/>
        <v>3.282351665682266</v>
      </c>
      <c r="BM89" s="44">
        <f t="shared" si="84"/>
        <v>3.6018818313283361</v>
      </c>
      <c r="BN89" s="44">
        <f t="shared" si="84"/>
        <v>3.9406320710234755</v>
      </c>
    </row>
    <row r="90" spans="1:66" outlineLevel="1">
      <c r="A90"/>
      <c r="B90" t="s">
        <v>222</v>
      </c>
      <c r="C90" s="54" t="s">
        <v>153</v>
      </c>
      <c r="D90" s="44">
        <f>'BTX Recycling HC'!C87</f>
        <v>0</v>
      </c>
      <c r="E90" s="44">
        <f>'BTX Recycling HC'!D87</f>
        <v>1.890371981892508E-2</v>
      </c>
      <c r="F90" s="44">
        <f>'BTX Recycling HC'!E87</f>
        <v>3.6893132935282458E-2</v>
      </c>
      <c r="G90" s="44">
        <f>'BTX Recycling HC'!F87</f>
        <v>5.3804946639568585E-2</v>
      </c>
      <c r="H90" s="44">
        <f>'BTX Recycling HC'!G87</f>
        <v>6.9482166003106749E-2</v>
      </c>
      <c r="I90" s="44">
        <f>'BTX Recycling HC'!H87</f>
        <v>8.3776385713499657E-2</v>
      </c>
      <c r="J90" s="44">
        <f>'BTX Recycling HC'!I87</f>
        <v>9.7622935588367377E-2</v>
      </c>
      <c r="K90" s="44">
        <f>'BTX Recycling HC'!J87</f>
        <v>0.11097501067398124</v>
      </c>
      <c r="L90" s="44">
        <f>'BTX Recycling HC'!K87</f>
        <v>0.12378558492079078</v>
      </c>
      <c r="M90" s="44">
        <f>'BTX Recycling HC'!L87</f>
        <v>0.13600754474452476</v>
      </c>
      <c r="N90" s="44">
        <f>'BTX Recycling HC'!M87</f>
        <v>0.14759382671856608</v>
      </c>
      <c r="O90" s="44">
        <f>'BTX Recycling HC'!N87</f>
        <v>0.17598671693632956</v>
      </c>
      <c r="P90" s="44">
        <f>'BTX Recycling HC'!O87</f>
        <v>0.20245661220430095</v>
      </c>
      <c r="Q90" s="44">
        <f>'BTX Recycling HC'!P87</f>
        <v>0.22679668184039031</v>
      </c>
      <c r="R90" s="44">
        <f>'BTX Recycling HC'!Q87</f>
        <v>0.24881593059544188</v>
      </c>
      <c r="S90" s="44">
        <f>'BTX Recycling HC'!R87</f>
        <v>0.26834152015254115</v>
      </c>
      <c r="T90" s="44">
        <f>'BTX Recycling HC'!S87</f>
        <v>0.28645681075185275</v>
      </c>
      <c r="U90" s="44">
        <f>'BTX Recycling HC'!T87</f>
        <v>0.30311718567116902</v>
      </c>
      <c r="V90" s="44">
        <f>'BTX Recycling HC'!U87</f>
        <v>0.3182783163570429</v>
      </c>
      <c r="W90" s="44">
        <f>'BTX Recycling HC'!V87</f>
        <v>0.33189620147845161</v>
      </c>
      <c r="X90" s="44">
        <f>'BTX Recycling HC'!W87</f>
        <v>0.34392720623838163</v>
      </c>
      <c r="Y90" s="44">
        <f>'BTX Recycling HC'!X87</f>
        <v>0.3704394354487846</v>
      </c>
      <c r="Z90" s="44">
        <f>'BTX Recycling HC'!Y87</f>
        <v>0.39453080893601017</v>
      </c>
      <c r="AA90" s="44">
        <f>'BTX Recycling HC'!Z87</f>
        <v>0.41613342424091743</v>
      </c>
      <c r="AB90" s="44">
        <f>'BTX Recycling HC'!AA87</f>
        <v>0.43517992121782773</v>
      </c>
      <c r="AC90" s="44">
        <f>'BTX Recycling HC'!AB87</f>
        <v>0.45160353754296417</v>
      </c>
      <c r="AD90" s="44">
        <f>'BTX Recycling HC'!AC87</f>
        <v>0.46534635281898146</v>
      </c>
      <c r="AE90" s="44">
        <f>'BTX Recycling HC'!AD87</f>
        <v>0.47634329045988172</v>
      </c>
      <c r="AF90" s="44">
        <f>'BTX Recycling HC'!AE87</f>
        <v>0.4845298802483668</v>
      </c>
      <c r="AG90" s="44">
        <f>'BTX Recycling HC'!AF87</f>
        <v>0.48984230814582636</v>
      </c>
      <c r="AH90" s="43">
        <f>'BTX Recycling HC'!AG87</f>
        <v>0.49221746625172363</v>
      </c>
      <c r="AJ90" s="44">
        <f>D90</f>
        <v>0</v>
      </c>
      <c r="AK90" s="44">
        <f t="shared" ref="AK90:AZ90" si="85">E90</f>
        <v>1.890371981892508E-2</v>
      </c>
      <c r="AL90" s="44">
        <f t="shared" si="85"/>
        <v>3.6893132935282458E-2</v>
      </c>
      <c r="AM90" s="44">
        <f t="shared" si="85"/>
        <v>5.3804946639568585E-2</v>
      </c>
      <c r="AN90" s="44">
        <f t="shared" si="85"/>
        <v>6.9482166003106749E-2</v>
      </c>
      <c r="AO90" s="44">
        <f t="shared" si="85"/>
        <v>8.3776385713499657E-2</v>
      </c>
      <c r="AP90" s="44">
        <f t="shared" si="85"/>
        <v>9.7622935588367377E-2</v>
      </c>
      <c r="AQ90" s="44">
        <f t="shared" si="85"/>
        <v>0.11097501067398124</v>
      </c>
      <c r="AR90" s="44">
        <f t="shared" si="85"/>
        <v>0.12378558492079078</v>
      </c>
      <c r="AS90" s="44">
        <f t="shared" si="85"/>
        <v>0.13600754474452476</v>
      </c>
      <c r="AT90" s="44">
        <f t="shared" si="85"/>
        <v>0.14759382671856608</v>
      </c>
      <c r="AU90" s="44">
        <f t="shared" si="85"/>
        <v>0.17598671693632956</v>
      </c>
      <c r="AV90" s="44">
        <f t="shared" si="85"/>
        <v>0.20245661220430095</v>
      </c>
      <c r="AW90" s="44">
        <f t="shared" si="85"/>
        <v>0.22679668184039031</v>
      </c>
      <c r="AX90" s="44">
        <f t="shared" si="85"/>
        <v>0.24881593059544188</v>
      </c>
      <c r="AY90" s="44">
        <f t="shared" si="85"/>
        <v>0.26834152015254115</v>
      </c>
      <c r="AZ90" s="44">
        <f t="shared" si="85"/>
        <v>0.28645681075185275</v>
      </c>
      <c r="BA90" s="44">
        <f t="shared" si="83"/>
        <v>0.30311718567116902</v>
      </c>
      <c r="BB90" s="44">
        <f t="shared" si="83"/>
        <v>0.3182783163570429</v>
      </c>
      <c r="BC90" s="44">
        <f t="shared" si="84"/>
        <v>0.33189620147845161</v>
      </c>
      <c r="BD90" s="44">
        <f t="shared" si="84"/>
        <v>0.34392720623838163</v>
      </c>
      <c r="BE90" s="44">
        <f t="shared" si="84"/>
        <v>0.3704394354487846</v>
      </c>
      <c r="BF90" s="44">
        <f t="shared" si="84"/>
        <v>0.39453080893601017</v>
      </c>
      <c r="BG90" s="44">
        <f t="shared" si="84"/>
        <v>0.41613342424091743</v>
      </c>
      <c r="BH90" s="44">
        <f t="shared" si="84"/>
        <v>0.43517992121782773</v>
      </c>
      <c r="BI90" s="44">
        <f t="shared" si="84"/>
        <v>0.45160353754296417</v>
      </c>
      <c r="BJ90" s="44">
        <f t="shared" si="84"/>
        <v>0.46534635281898146</v>
      </c>
      <c r="BK90" s="44">
        <f t="shared" si="84"/>
        <v>0.47634329045988172</v>
      </c>
      <c r="BL90" s="44">
        <f t="shared" si="84"/>
        <v>0.4845298802483668</v>
      </c>
      <c r="BM90" s="44">
        <f t="shared" si="84"/>
        <v>0.48984230814582636</v>
      </c>
      <c r="BN90" s="43">
        <f t="shared" si="84"/>
        <v>0.49221746625172363</v>
      </c>
    </row>
    <row r="91" spans="1:66" outlineLevel="1">
      <c r="A91" s="62"/>
      <c r="B91" s="62" t="s">
        <v>219</v>
      </c>
      <c r="C91" s="54" t="s">
        <v>153</v>
      </c>
      <c r="D91" s="64">
        <f>IF(D88-D89-D90&lt;0,0,D88-D89-D90)</f>
        <v>13.012248975360578</v>
      </c>
      <c r="E91" s="64">
        <f t="shared" ref="E91:AG91" si="86">IF(E88-E89-E90&lt;0,0,E88-E89-E90)</f>
        <v>13.1466263709963</v>
      </c>
      <c r="F91" s="64">
        <f t="shared" si="86"/>
        <v>13.248571826272931</v>
      </c>
      <c r="G91" s="64">
        <f t="shared" si="86"/>
        <v>13.350352661473202</v>
      </c>
      <c r="H91" s="64">
        <f t="shared" si="86"/>
        <v>13.452097876017415</v>
      </c>
      <c r="I91" s="64">
        <f t="shared" si="86"/>
        <v>13.553960860646779</v>
      </c>
      <c r="J91" s="64">
        <f t="shared" si="86"/>
        <v>13.654510031286913</v>
      </c>
      <c r="K91" s="64">
        <f t="shared" si="86"/>
        <v>13.753618709952011</v>
      </c>
      <c r="L91" s="64">
        <f t="shared" si="86"/>
        <v>13.85115837970468</v>
      </c>
      <c r="M91" s="64">
        <f t="shared" si="86"/>
        <v>13.946999065747907</v>
      </c>
      <c r="N91" s="64">
        <f t="shared" si="86"/>
        <v>14.04100974414245</v>
      </c>
      <c r="O91" s="64">
        <f t="shared" si="86"/>
        <v>14.10054344155585</v>
      </c>
      <c r="P91" s="64">
        <f t="shared" si="86"/>
        <v>14.157327747371571</v>
      </c>
      <c r="Q91" s="64">
        <f t="shared" si="86"/>
        <v>14.211597482954284</v>
      </c>
      <c r="R91" s="64">
        <f t="shared" si="86"/>
        <v>14.263635786026024</v>
      </c>
      <c r="S91" s="64">
        <f t="shared" si="86"/>
        <v>14.313774786746899</v>
      </c>
      <c r="T91" s="64">
        <f t="shared" si="86"/>
        <v>14.359442787698995</v>
      </c>
      <c r="U91" s="64">
        <f t="shared" si="86"/>
        <v>14.400385170189553</v>
      </c>
      <c r="V91" s="64">
        <f t="shared" si="86"/>
        <v>14.436342427154612</v>
      </c>
      <c r="W91" s="64">
        <f t="shared" si="86"/>
        <v>14.46705028166201</v>
      </c>
      <c r="X91" s="64">
        <f t="shared" si="86"/>
        <v>14.492239813642103</v>
      </c>
      <c r="Y91" s="64">
        <f t="shared" si="86"/>
        <v>14.455274458312878</v>
      </c>
      <c r="Z91" s="64">
        <f t="shared" si="86"/>
        <v>14.408247079368566</v>
      </c>
      <c r="AA91" s="64">
        <f t="shared" si="86"/>
        <v>14.350681466359379</v>
      </c>
      <c r="AB91" s="64">
        <f t="shared" si="86"/>
        <v>14.28209317294974</v>
      </c>
      <c r="AC91" s="64">
        <f t="shared" si="86"/>
        <v>14.201989717436932</v>
      </c>
      <c r="AD91" s="64">
        <f t="shared" si="86"/>
        <v>14.109836054313067</v>
      </c>
      <c r="AE91" s="64">
        <f t="shared" si="86"/>
        <v>14.00511589677507</v>
      </c>
      <c r="AF91" s="64">
        <f t="shared" si="86"/>
        <v>13.887304725248928</v>
      </c>
      <c r="AG91" s="64">
        <f t="shared" si="86"/>
        <v>13.755869984187338</v>
      </c>
      <c r="AH91" s="581">
        <f>IF(AH88-AH89-AH90&lt;0,0,AH88-AH89-AH90)</f>
        <v>13.610271290274198</v>
      </c>
      <c r="AI91" s="44"/>
      <c r="AJ91" s="64">
        <f>IF(AJ88-AJ89-AJ90&lt;0,0,AJ88-AJ89-AJ90)</f>
        <v>13.012248975360578</v>
      </c>
      <c r="AK91" s="64">
        <f t="shared" ref="AK91:BN91" si="87">IF(AK88-AK89-AK90&lt;0,0,AK88-AK89-AK90)</f>
        <v>13.1466263709963</v>
      </c>
      <c r="AL91" s="64">
        <f t="shared" si="87"/>
        <v>13.248571826272931</v>
      </c>
      <c r="AM91" s="64">
        <f t="shared" si="87"/>
        <v>13.350352661473202</v>
      </c>
      <c r="AN91" s="64">
        <f t="shared" si="87"/>
        <v>13.452097876017415</v>
      </c>
      <c r="AO91" s="64">
        <f t="shared" si="87"/>
        <v>13.553960860646779</v>
      </c>
      <c r="AP91" s="64">
        <f t="shared" si="87"/>
        <v>13.654510031286913</v>
      </c>
      <c r="AQ91" s="64">
        <f t="shared" si="87"/>
        <v>13.753618709952011</v>
      </c>
      <c r="AR91" s="64">
        <f t="shared" si="87"/>
        <v>13.85115837970468</v>
      </c>
      <c r="AS91" s="64">
        <f t="shared" si="87"/>
        <v>13.946999065747907</v>
      </c>
      <c r="AT91" s="64">
        <f t="shared" si="87"/>
        <v>14.04100974414245</v>
      </c>
      <c r="AU91" s="64">
        <f t="shared" si="87"/>
        <v>14.10054344155585</v>
      </c>
      <c r="AV91" s="64">
        <f t="shared" si="87"/>
        <v>14.157327747371571</v>
      </c>
      <c r="AW91" s="64">
        <f t="shared" si="87"/>
        <v>14.211597482954284</v>
      </c>
      <c r="AX91" s="64">
        <f t="shared" si="87"/>
        <v>14.263635786026024</v>
      </c>
      <c r="AY91" s="64">
        <f t="shared" si="87"/>
        <v>14.313774786746899</v>
      </c>
      <c r="AZ91" s="64">
        <f t="shared" si="87"/>
        <v>14.359442787698995</v>
      </c>
      <c r="BA91" s="64">
        <f t="shared" si="87"/>
        <v>14.400385170189553</v>
      </c>
      <c r="BB91" s="64">
        <f t="shared" si="87"/>
        <v>14.436342427154612</v>
      </c>
      <c r="BC91" s="64">
        <f t="shared" si="87"/>
        <v>14.46705028166201</v>
      </c>
      <c r="BD91" s="64">
        <f t="shared" si="87"/>
        <v>14.492239813642103</v>
      </c>
      <c r="BE91" s="64">
        <f t="shared" si="87"/>
        <v>14.455274458312878</v>
      </c>
      <c r="BF91" s="64">
        <f t="shared" si="87"/>
        <v>14.408247079368566</v>
      </c>
      <c r="BG91" s="64">
        <f t="shared" si="87"/>
        <v>14.350681466359379</v>
      </c>
      <c r="BH91" s="64">
        <f t="shared" si="87"/>
        <v>14.28209317294974</v>
      </c>
      <c r="BI91" s="64">
        <f t="shared" si="87"/>
        <v>14.201989717436932</v>
      </c>
      <c r="BJ91" s="64">
        <f t="shared" si="87"/>
        <v>14.109836054313067</v>
      </c>
      <c r="BK91" s="64">
        <f t="shared" si="87"/>
        <v>14.00511589677507</v>
      </c>
      <c r="BL91" s="64">
        <f t="shared" si="87"/>
        <v>13.887304725248928</v>
      </c>
      <c r="BM91" s="64">
        <f t="shared" si="87"/>
        <v>13.755869984187338</v>
      </c>
      <c r="BN91" s="64">
        <f t="shared" si="87"/>
        <v>13.610271290274198</v>
      </c>
    </row>
    <row r="92" spans="1:66" s="67" customFormat="1" outlineLevel="1">
      <c r="A92" s="752"/>
      <c r="B92" s="58" t="s">
        <v>7</v>
      </c>
      <c r="C92" s="59" t="s">
        <v>153</v>
      </c>
      <c r="D92" s="60">
        <f>D51</f>
        <v>0</v>
      </c>
      <c r="E92" s="60">
        <f t="shared" ref="E92:AH92" si="88">E51</f>
        <v>0</v>
      </c>
      <c r="F92" s="60">
        <f t="shared" si="88"/>
        <v>0</v>
      </c>
      <c r="G92" s="60">
        <f t="shared" si="88"/>
        <v>0</v>
      </c>
      <c r="H92" s="60">
        <f t="shared" si="88"/>
        <v>0</v>
      </c>
      <c r="I92" s="60">
        <f t="shared" si="88"/>
        <v>0</v>
      </c>
      <c r="J92" s="60">
        <f t="shared" si="88"/>
        <v>0</v>
      </c>
      <c r="K92" s="60">
        <f t="shared" si="88"/>
        <v>0</v>
      </c>
      <c r="L92" s="60">
        <f t="shared" si="88"/>
        <v>0</v>
      </c>
      <c r="M92" s="60">
        <f t="shared" si="88"/>
        <v>0</v>
      </c>
      <c r="N92" s="60">
        <f t="shared" si="88"/>
        <v>0</v>
      </c>
      <c r="O92" s="60">
        <f t="shared" si="88"/>
        <v>0</v>
      </c>
      <c r="P92" s="60">
        <f t="shared" si="88"/>
        <v>0</v>
      </c>
      <c r="Q92" s="60">
        <f t="shared" si="88"/>
        <v>0</v>
      </c>
      <c r="R92" s="60">
        <f t="shared" si="88"/>
        <v>0</v>
      </c>
      <c r="S92" s="60">
        <f t="shared" si="88"/>
        <v>0</v>
      </c>
      <c r="T92" s="60">
        <f t="shared" si="88"/>
        <v>0</v>
      </c>
      <c r="U92" s="60">
        <f t="shared" si="88"/>
        <v>0</v>
      </c>
      <c r="V92" s="60">
        <f t="shared" si="88"/>
        <v>0</v>
      </c>
      <c r="W92" s="60">
        <f t="shared" si="88"/>
        <v>0</v>
      </c>
      <c r="X92" s="60">
        <f t="shared" si="88"/>
        <v>0</v>
      </c>
      <c r="Y92" s="60">
        <f t="shared" si="88"/>
        <v>0</v>
      </c>
      <c r="Z92" s="60">
        <f t="shared" si="88"/>
        <v>0</v>
      </c>
      <c r="AA92" s="60">
        <f t="shared" si="88"/>
        <v>0</v>
      </c>
      <c r="AB92" s="60">
        <f t="shared" si="88"/>
        <v>0</v>
      </c>
      <c r="AC92" s="60">
        <f t="shared" si="88"/>
        <v>0</v>
      </c>
      <c r="AD92" s="60">
        <f t="shared" si="88"/>
        <v>0</v>
      </c>
      <c r="AE92" s="60">
        <f t="shared" si="88"/>
        <v>0</v>
      </c>
      <c r="AF92" s="60">
        <f t="shared" si="88"/>
        <v>0</v>
      </c>
      <c r="AG92" s="60">
        <f t="shared" si="88"/>
        <v>0</v>
      </c>
      <c r="AH92" s="582">
        <f t="shared" si="88"/>
        <v>0</v>
      </c>
      <c r="AJ92" s="60">
        <f>AJ51</f>
        <v>0</v>
      </c>
      <c r="AK92" s="60">
        <f t="shared" ref="AK92:BN92" si="89">AK51</f>
        <v>0</v>
      </c>
      <c r="AL92" s="60">
        <f t="shared" si="89"/>
        <v>0</v>
      </c>
      <c r="AM92" s="60">
        <f t="shared" si="89"/>
        <v>0</v>
      </c>
      <c r="AN92" s="60">
        <f t="shared" si="89"/>
        <v>0</v>
      </c>
      <c r="AO92" s="60">
        <f t="shared" si="89"/>
        <v>0</v>
      </c>
      <c r="AP92" s="60">
        <f t="shared" si="89"/>
        <v>0</v>
      </c>
      <c r="AQ92" s="60">
        <f t="shared" si="89"/>
        <v>0</v>
      </c>
      <c r="AR92" s="60">
        <f t="shared" si="89"/>
        <v>0</v>
      </c>
      <c r="AS92" s="60">
        <f t="shared" si="89"/>
        <v>0</v>
      </c>
      <c r="AT92" s="60">
        <f t="shared" si="89"/>
        <v>0</v>
      </c>
      <c r="AU92" s="60">
        <f t="shared" si="89"/>
        <v>0</v>
      </c>
      <c r="AV92" s="60">
        <f t="shared" si="89"/>
        <v>0</v>
      </c>
      <c r="AW92" s="60">
        <f t="shared" si="89"/>
        <v>0</v>
      </c>
      <c r="AX92" s="60">
        <f t="shared" si="89"/>
        <v>0</v>
      </c>
      <c r="AY92" s="60">
        <f t="shared" si="89"/>
        <v>0</v>
      </c>
      <c r="AZ92" s="60">
        <f t="shared" si="89"/>
        <v>0</v>
      </c>
      <c r="BA92" s="60">
        <f t="shared" si="89"/>
        <v>0</v>
      </c>
      <c r="BB92" s="60">
        <f t="shared" si="89"/>
        <v>0</v>
      </c>
      <c r="BC92" s="60">
        <f t="shared" si="89"/>
        <v>0</v>
      </c>
      <c r="BD92" s="60">
        <f t="shared" si="89"/>
        <v>0</v>
      </c>
      <c r="BE92" s="60">
        <f t="shared" si="89"/>
        <v>0</v>
      </c>
      <c r="BF92" s="60">
        <f t="shared" si="89"/>
        <v>0</v>
      </c>
      <c r="BG92" s="60">
        <f t="shared" si="89"/>
        <v>0</v>
      </c>
      <c r="BH92" s="60">
        <f t="shared" si="89"/>
        <v>0</v>
      </c>
      <c r="BI92" s="60">
        <f t="shared" si="89"/>
        <v>0</v>
      </c>
      <c r="BJ92" s="60">
        <f t="shared" si="89"/>
        <v>0</v>
      </c>
      <c r="BK92" s="60">
        <f t="shared" si="89"/>
        <v>0</v>
      </c>
      <c r="BL92" s="60">
        <f t="shared" si="89"/>
        <v>0</v>
      </c>
      <c r="BM92" s="60">
        <f t="shared" si="89"/>
        <v>0</v>
      </c>
      <c r="BN92" s="60">
        <f t="shared" si="89"/>
        <v>0</v>
      </c>
    </row>
    <row r="93" spans="1:66" outlineLevel="1">
      <c r="A93" s="753"/>
      <c r="B93" s="1" t="s">
        <v>8</v>
      </c>
      <c r="C93" s="54" t="s">
        <v>153</v>
      </c>
      <c r="D93" s="44">
        <f>D52-'Overall recycling rates'!$G$61/SUM('Overall recycling rates'!$G$61:$G$62)*('BTX Recycling HC'!C215+'BTX Recycling HC'!C88)-'Overall recycling rates'!$E$61/SUM('Overall recycling rates'!$E$61:$E$62)*('BTX Recycling HC'!C216+'BTX Recycling HC'!C89)-'Overall recycling rates'!$H$61/SUM('Overall recycling rates'!$H$61:$H$62)*('BTX Recycling HC'!C217+'BTX Recycling HC'!C90)-'Overall recycling rates'!$I$61/SUM('Overall recycling rates'!$I$61:$I$62)*('BTX Recycling HC'!C218+'BTX Recycling HC'!C91)</f>
        <v>1.4471127044065453</v>
      </c>
      <c r="E93" s="44">
        <f>E52-'Overall recycling rates'!$G$61/SUM('Overall recycling rates'!$G$61:$G$62)*('BTX Recycling HC'!D215+'BTX Recycling HC'!D88)-'Overall recycling rates'!$E$61/SUM('Overall recycling rates'!$E$61:$E$62)*('BTX Recycling HC'!D216+'BTX Recycling HC'!D89)-'Overall recycling rates'!$H$61/SUM('Overall recycling rates'!$H$61:$H$62)*('BTX Recycling HC'!D217+'BTX Recycling HC'!D90)-'Overall recycling rates'!$I$61/SUM('Overall recycling rates'!$I$61:$I$62)*('BTX Recycling HC'!D218+'BTX Recycling HC'!D91)</f>
        <v>1.4574065821552242</v>
      </c>
      <c r="F93" s="44">
        <f>F52-'Overall recycling rates'!$G$61/SUM('Overall recycling rates'!$G$61:$G$62)*('BTX Recycling HC'!E215+'BTX Recycling HC'!E88)-'Overall recycling rates'!$E$61/SUM('Overall recycling rates'!$E$61:$E$62)*('BTX Recycling HC'!E216+'BTX Recycling HC'!E89)-'Overall recycling rates'!$H$61/SUM('Overall recycling rates'!$H$61:$H$62)*('BTX Recycling HC'!E217+'BTX Recycling HC'!E90)-'Overall recycling rates'!$I$61/SUM('Overall recycling rates'!$I$61:$I$62)*('BTX Recycling HC'!E218+'BTX Recycling HC'!E91)</f>
        <v>1.4625763592744321</v>
      </c>
      <c r="G93" s="44">
        <f>G52-'Overall recycling rates'!$G$61/SUM('Overall recycling rates'!$G$61:$G$62)*('BTX Recycling HC'!F215+'BTX Recycling HC'!F88)-'Overall recycling rates'!$E$61/SUM('Overall recycling rates'!$E$61:$E$62)*('BTX Recycling HC'!F216+'BTX Recycling HC'!F89)-'Overall recycling rates'!$H$61/SUM('Overall recycling rates'!$H$61:$H$62)*('BTX Recycling HC'!F217+'BTX Recycling HC'!F90)-'Overall recycling rates'!$I$61/SUM('Overall recycling rates'!$I$61:$I$62)*('BTX Recycling HC'!F218+'BTX Recycling HC'!F91)</f>
        <v>1.4672578767383408</v>
      </c>
      <c r="H93" s="44">
        <f>H52-'Overall recycling rates'!$G$61/SUM('Overall recycling rates'!$G$61:$G$62)*('BTX Recycling HC'!G215+'BTX Recycling HC'!G88)-'Overall recycling rates'!$E$61/SUM('Overall recycling rates'!$E$61:$E$62)*('BTX Recycling HC'!G216+'BTX Recycling HC'!G89)-'Overall recycling rates'!$H$61/SUM('Overall recycling rates'!$H$61:$H$62)*('BTX Recycling HC'!G217+'BTX Recycling HC'!G90)-'Overall recycling rates'!$I$61/SUM('Overall recycling rates'!$I$61:$I$62)*('BTX Recycling HC'!G218+'BTX Recycling HC'!G91)</f>
        <v>1.4715098891356917</v>
      </c>
      <c r="I93" s="44">
        <f>I52-'Overall recycling rates'!$G$61/SUM('Overall recycling rates'!$G$61:$G$62)*('BTX Recycling HC'!H215+'BTX Recycling HC'!H88)-'Overall recycling rates'!$E$61/SUM('Overall recycling rates'!$E$61:$E$62)*('BTX Recycling HC'!H216+'BTX Recycling HC'!H89)-'Overall recycling rates'!$H$61/SUM('Overall recycling rates'!$H$61:$H$62)*('BTX Recycling HC'!H217+'BTX Recycling HC'!H90)-'Overall recycling rates'!$I$61/SUM('Overall recycling rates'!$I$61:$I$62)*('BTX Recycling HC'!H218+'BTX Recycling HC'!H91)</f>
        <v>1.4754017391620433</v>
      </c>
      <c r="J93" s="44">
        <f>J52-'Overall recycling rates'!$G$61/SUM('Overall recycling rates'!$G$61:$G$62)*('BTX Recycling HC'!I215+'BTX Recycling HC'!I88)-'Overall recycling rates'!$E$61/SUM('Overall recycling rates'!$E$61:$E$62)*('BTX Recycling HC'!I216+'BTX Recycling HC'!I89)-'Overall recycling rates'!$H$61/SUM('Overall recycling rates'!$H$61:$H$62)*('BTX Recycling HC'!I217+'BTX Recycling HC'!I90)-'Overall recycling rates'!$I$61/SUM('Overall recycling rates'!$I$61:$I$62)*('BTX Recycling HC'!I218+'BTX Recycling HC'!I91)</f>
        <v>1.4787379709367678</v>
      </c>
      <c r="K93" s="44">
        <f>K52-'Overall recycling rates'!$G$61/SUM('Overall recycling rates'!$G$61:$G$62)*('BTX Recycling HC'!J215+'BTX Recycling HC'!J88)-'Overall recycling rates'!$E$61/SUM('Overall recycling rates'!$E$61:$E$62)*('BTX Recycling HC'!J216+'BTX Recycling HC'!J89)-'Overall recycling rates'!$H$61/SUM('Overall recycling rates'!$H$61:$H$62)*('BTX Recycling HC'!J217+'BTX Recycling HC'!J90)-'Overall recycling rates'!$I$61/SUM('Overall recycling rates'!$I$61:$I$62)*('BTX Recycling HC'!J218+'BTX Recycling HC'!J91)</f>
        <v>1.4815182469700068</v>
      </c>
      <c r="L93" s="44">
        <f>L52-'Overall recycling rates'!$G$61/SUM('Overall recycling rates'!$G$61:$G$62)*('BTX Recycling HC'!K215+'BTX Recycling HC'!K88)-'Overall recycling rates'!$E$61/SUM('Overall recycling rates'!$E$61:$E$62)*('BTX Recycling HC'!K216+'BTX Recycling HC'!K89)-'Overall recycling rates'!$H$61/SUM('Overall recycling rates'!$H$61:$H$62)*('BTX Recycling HC'!K217+'BTX Recycling HC'!K90)-'Overall recycling rates'!$I$61/SUM('Overall recycling rates'!$I$61:$I$62)*('BTX Recycling HC'!K218+'BTX Recycling HC'!K91)</f>
        <v>1.483744174683516</v>
      </c>
      <c r="M93" s="44">
        <f>M52-'Overall recycling rates'!$G$61/SUM('Overall recycling rates'!$G$61:$G$62)*('BTX Recycling HC'!L215+'BTX Recycling HC'!L88)-'Overall recycling rates'!$E$61/SUM('Overall recycling rates'!$E$61:$E$62)*('BTX Recycling HC'!L216+'BTX Recycling HC'!L89)-'Overall recycling rates'!$H$61/SUM('Overall recycling rates'!$H$61:$H$62)*('BTX Recycling HC'!L217+'BTX Recycling HC'!L90)-'Overall recycling rates'!$I$61/SUM('Overall recycling rates'!$I$61:$I$62)*('BTX Recycling HC'!L218+'BTX Recycling HC'!L91)</f>
        <v>1.4854193633574577</v>
      </c>
      <c r="N93" s="44">
        <f>N52-'Overall recycling rates'!$G$61/SUM('Overall recycling rates'!$G$61:$G$62)*('BTX Recycling HC'!M215+'BTX Recycling HC'!M88)-'Overall recycling rates'!$E$61/SUM('Overall recycling rates'!$E$61:$E$62)*('BTX Recycling HC'!M216+'BTX Recycling HC'!M89)-'Overall recycling rates'!$H$61/SUM('Overall recycling rates'!$H$61:$H$62)*('BTX Recycling HC'!M217+'BTX Recycling HC'!M90)-'Overall recycling rates'!$I$61/SUM('Overall recycling rates'!$I$61:$I$62)*('BTX Recycling HC'!M218+'BTX Recycling HC'!M91)</f>
        <v>1.4865494752371333</v>
      </c>
      <c r="O93" s="44">
        <f>O52-'Overall recycling rates'!$G$61/SUM('Overall recycling rates'!$G$61:$G$62)*('BTX Recycling HC'!N215+'BTX Recycling HC'!N88)-'Overall recycling rates'!$E$61/SUM('Overall recycling rates'!$E$61:$E$62)*('BTX Recycling HC'!N216+'BTX Recycling HC'!N89)-'Overall recycling rates'!$H$61/SUM('Overall recycling rates'!$H$61:$H$62)*('BTX Recycling HC'!N217+'BTX Recycling HC'!N90)-'Overall recycling rates'!$I$61/SUM('Overall recycling rates'!$I$61:$I$62)*('BTX Recycling HC'!N218+'BTX Recycling HC'!N91)</f>
        <v>1.4807399048192793</v>
      </c>
      <c r="P93" s="44">
        <f>P52-'Overall recycling rates'!$G$61/SUM('Overall recycling rates'!$G$61:$G$62)*('BTX Recycling HC'!O215+'BTX Recycling HC'!O88)-'Overall recycling rates'!$E$61/SUM('Overall recycling rates'!$E$61:$E$62)*('BTX Recycling HC'!O216+'BTX Recycling HC'!O89)-'Overall recycling rates'!$H$61/SUM('Overall recycling rates'!$H$61:$H$62)*('BTX Recycling HC'!O217+'BTX Recycling HC'!O90)-'Overall recycling rates'!$I$61/SUM('Overall recycling rates'!$I$61:$I$62)*('BTX Recycling HC'!O218+'BTX Recycling HC'!O91)</f>
        <v>1.4740329599038893</v>
      </c>
      <c r="Q93" s="44">
        <f>Q52-'Overall recycling rates'!$G$61/SUM('Overall recycling rates'!$G$61:$G$62)*('BTX Recycling HC'!P215+'BTX Recycling HC'!P88)-'Overall recycling rates'!$E$61/SUM('Overall recycling rates'!$E$61:$E$62)*('BTX Recycling HC'!P216+'BTX Recycling HC'!P89)-'Overall recycling rates'!$H$61/SUM('Overall recycling rates'!$H$61:$H$62)*('BTX Recycling HC'!P217+'BTX Recycling HC'!P90)-'Overall recycling rates'!$I$61/SUM('Overall recycling rates'!$I$61:$I$62)*('BTX Recycling HC'!P218+'BTX Recycling HC'!P91)</f>
        <v>1.4665550144671637</v>
      </c>
      <c r="R93" s="44">
        <f>R52-'Overall recycling rates'!$G$61/SUM('Overall recycling rates'!$G$61:$G$62)*('BTX Recycling HC'!Q215+'BTX Recycling HC'!Q88)-'Overall recycling rates'!$E$61/SUM('Overall recycling rates'!$E$61:$E$62)*('BTX Recycling HC'!Q216+'BTX Recycling HC'!Q89)-'Overall recycling rates'!$H$61/SUM('Overall recycling rates'!$H$61:$H$62)*('BTX Recycling HC'!Q217+'BTX Recycling HC'!Q90)-'Overall recycling rates'!$I$61/SUM('Overall recycling rates'!$I$61:$I$62)*('BTX Recycling HC'!Q218+'BTX Recycling HC'!Q91)</f>
        <v>1.4584468901602552</v>
      </c>
      <c r="S93" s="44">
        <f>S52-'Overall recycling rates'!$G$61/SUM('Overall recycling rates'!$G$61:$G$62)*('BTX Recycling HC'!R215+'BTX Recycling HC'!R88)-'Overall recycling rates'!$E$61/SUM('Overall recycling rates'!$E$61:$E$62)*('BTX Recycling HC'!R216+'BTX Recycling HC'!R89)-'Overall recycling rates'!$H$61/SUM('Overall recycling rates'!$H$61:$H$62)*('BTX Recycling HC'!R217+'BTX Recycling HC'!R90)-'Overall recycling rates'!$I$61/SUM('Overall recycling rates'!$I$61:$I$62)*('BTX Recycling HC'!R218+'BTX Recycling HC'!R91)</f>
        <v>1.449862679540074</v>
      </c>
      <c r="T93" s="44">
        <f>T52-'Overall recycling rates'!$G$61/SUM('Overall recycling rates'!$G$61:$G$62)*('BTX Recycling HC'!S215+'BTX Recycling HC'!S88)-'Overall recycling rates'!$E$61/SUM('Overall recycling rates'!$E$61:$E$62)*('BTX Recycling HC'!S216+'BTX Recycling HC'!S89)-'Overall recycling rates'!$H$61/SUM('Overall recycling rates'!$H$61:$H$62)*('BTX Recycling HC'!S217+'BTX Recycling HC'!S90)-'Overall recycling rates'!$I$61/SUM('Overall recycling rates'!$I$61:$I$62)*('BTX Recycling HC'!S218+'BTX Recycling HC'!S91)</f>
        <v>1.4403498783758089</v>
      </c>
      <c r="U93" s="44">
        <f>U52-'Overall recycling rates'!$G$61/SUM('Overall recycling rates'!$G$61:$G$62)*('BTX Recycling HC'!T215+'BTX Recycling HC'!T88)-'Overall recycling rates'!$E$61/SUM('Overall recycling rates'!$E$61:$E$62)*('BTX Recycling HC'!T216+'BTX Recycling HC'!T89)-'Overall recycling rates'!$H$61/SUM('Overall recycling rates'!$H$61:$H$62)*('BTX Recycling HC'!T217+'BTX Recycling HC'!T90)-'Overall recycling rates'!$I$61/SUM('Overall recycling rates'!$I$61:$I$62)*('BTX Recycling HC'!T218+'BTX Recycling HC'!T91)</f>
        <v>1.4299288738005478</v>
      </c>
      <c r="V93" s="44">
        <f>V52-'Overall recycling rates'!$G$61/SUM('Overall recycling rates'!$G$61:$G$62)*('BTX Recycling HC'!U215+'BTX Recycling HC'!U88)-'Overall recycling rates'!$E$61/SUM('Overall recycling rates'!$E$61:$E$62)*('BTX Recycling HC'!U216+'BTX Recycling HC'!U89)-'Overall recycling rates'!$H$61/SUM('Overall recycling rates'!$H$61:$H$62)*('BTX Recycling HC'!U217+'BTX Recycling HC'!U90)-'Overall recycling rates'!$I$61/SUM('Overall recycling rates'!$I$61:$I$62)*('BTX Recycling HC'!U218+'BTX Recycling HC'!U91)</f>
        <v>1.4186213920724031</v>
      </c>
      <c r="W93" s="44">
        <f>W52-'Overall recycling rates'!$G$61/SUM('Overall recycling rates'!$G$61:$G$62)*('BTX Recycling HC'!V215+'BTX Recycling HC'!V88)-'Overall recycling rates'!$E$61/SUM('Overall recycling rates'!$E$61:$E$62)*('BTX Recycling HC'!V216+'BTX Recycling HC'!V89)-'Overall recycling rates'!$H$61/SUM('Overall recycling rates'!$H$61:$H$62)*('BTX Recycling HC'!V217+'BTX Recycling HC'!V90)-'Overall recycling rates'!$I$61/SUM('Overall recycling rates'!$I$61:$I$62)*('BTX Recycling HC'!V218+'BTX Recycling HC'!V91)</f>
        <v>1.4064504908730713</v>
      </c>
      <c r="X93" s="44">
        <f>X52-'Overall recycling rates'!$G$61/SUM('Overall recycling rates'!$G$61:$G$62)*('BTX Recycling HC'!W215+'BTX Recycling HC'!W88)-'Overall recycling rates'!$E$61/SUM('Overall recycling rates'!$E$61:$E$62)*('BTX Recycling HC'!W216+'BTX Recycling HC'!W89)-'Overall recycling rates'!$H$61/SUM('Overall recycling rates'!$H$61:$H$62)*('BTX Recycling HC'!W217+'BTX Recycling HC'!W90)-'Overall recycling rates'!$I$61/SUM('Overall recycling rates'!$I$61:$I$62)*('BTX Recycling HC'!W218+'BTX Recycling HC'!W91)</f>
        <v>1.3934405499739024</v>
      </c>
      <c r="Y93" s="44">
        <f>Y52-'Overall recycling rates'!$G$61/SUM('Overall recycling rates'!$G$61:$G$62)*('BTX Recycling HC'!X215+'BTX Recycling HC'!X88)-'Overall recycling rates'!$E$61/SUM('Overall recycling rates'!$E$61:$E$62)*('BTX Recycling HC'!X216+'BTX Recycling HC'!X89)-'Overall recycling rates'!$H$61/SUM('Overall recycling rates'!$H$61:$H$62)*('BTX Recycling HC'!X217+'BTX Recycling HC'!X90)-'Overall recycling rates'!$I$61/SUM('Overall recycling rates'!$I$61:$I$62)*('BTX Recycling HC'!X218+'BTX Recycling HC'!X91)</f>
        <v>1.3680596254095507</v>
      </c>
      <c r="Z93" s="44">
        <f>Z52-'Overall recycling rates'!$G$61/SUM('Overall recycling rates'!$G$61:$G$62)*('BTX Recycling HC'!Y215+'BTX Recycling HC'!Y88)-'Overall recycling rates'!$E$61/SUM('Overall recycling rates'!$E$61:$E$62)*('BTX Recycling HC'!Y216+'BTX Recycling HC'!Y89)-'Overall recycling rates'!$H$61/SUM('Overall recycling rates'!$H$61:$H$62)*('BTX Recycling HC'!Y217+'BTX Recycling HC'!Y90)-'Overall recycling rates'!$I$61/SUM('Overall recycling rates'!$I$61:$I$62)*('BTX Recycling HC'!Y218+'BTX Recycling HC'!Y91)</f>
        <v>1.3411164193868708</v>
      </c>
      <c r="AA93" s="44">
        <f>AA52-'Overall recycling rates'!$G$61/SUM('Overall recycling rates'!$G$61:$G$62)*('BTX Recycling HC'!Z215+'BTX Recycling HC'!Z88)-'Overall recycling rates'!$E$61/SUM('Overall recycling rates'!$E$61:$E$62)*('BTX Recycling HC'!Z216+'BTX Recycling HC'!Z89)-'Overall recycling rates'!$H$61/SUM('Overall recycling rates'!$H$61:$H$62)*('BTX Recycling HC'!Z217+'BTX Recycling HC'!Z90)-'Overall recycling rates'!$I$61/SUM('Overall recycling rates'!$I$61:$I$62)*('BTX Recycling HC'!Z218+'BTX Recycling HC'!Z91)</f>
        <v>1.3126440474022687</v>
      </c>
      <c r="AB93" s="44">
        <f>AB52-'Overall recycling rates'!$G$61/SUM('Overall recycling rates'!$G$61:$G$62)*('BTX Recycling HC'!AA215+'BTX Recycling HC'!AA88)-'Overall recycling rates'!$E$61/SUM('Overall recycling rates'!$E$61:$E$62)*('BTX Recycling HC'!AA216+'BTX Recycling HC'!AA89)-'Overall recycling rates'!$H$61/SUM('Overall recycling rates'!$H$61:$H$62)*('BTX Recycling HC'!AA217+'BTX Recycling HC'!AA90)-'Overall recycling rates'!$I$61/SUM('Overall recycling rates'!$I$61:$I$62)*('BTX Recycling HC'!AA218+'BTX Recycling HC'!AA91)</f>
        <v>1.2826774952964606</v>
      </c>
      <c r="AC93" s="44">
        <f>AC52-'Overall recycling rates'!$G$61/SUM('Overall recycling rates'!$G$61:$G$62)*('BTX Recycling HC'!AB215+'BTX Recycling HC'!AB88)-'Overall recycling rates'!$E$61/SUM('Overall recycling rates'!$E$61:$E$62)*('BTX Recycling HC'!AB216+'BTX Recycling HC'!AB89)-'Overall recycling rates'!$H$61/SUM('Overall recycling rates'!$H$61:$H$62)*('BTX Recycling HC'!AB217+'BTX Recycling HC'!AB90)-'Overall recycling rates'!$I$61/SUM('Overall recycling rates'!$I$61:$I$62)*('BTX Recycling HC'!AB218+'BTX Recycling HC'!AB91)</f>
        <v>1.2512536012057689</v>
      </c>
      <c r="AD93" s="44">
        <f>AD52-'Overall recycling rates'!$G$61/SUM('Overall recycling rates'!$G$61:$G$62)*('BTX Recycling HC'!AC215+'BTX Recycling HC'!AC88)-'Overall recycling rates'!$E$61/SUM('Overall recycling rates'!$E$61:$E$62)*('BTX Recycling HC'!AC216+'BTX Recycling HC'!AC89)-'Overall recycling rates'!$H$61/SUM('Overall recycling rates'!$H$61:$H$62)*('BTX Recycling HC'!AC217+'BTX Recycling HC'!AC90)-'Overall recycling rates'!$I$61/SUM('Overall recycling rates'!$I$61:$I$62)*('BTX Recycling HC'!AC218+'BTX Recycling HC'!AC91)</f>
        <v>1.2184038108838449</v>
      </c>
      <c r="AE93" s="44">
        <f>AE52-'Overall recycling rates'!$G$61/SUM('Overall recycling rates'!$G$61:$G$62)*('BTX Recycling HC'!AD215+'BTX Recycling HC'!AD88)-'Overall recycling rates'!$E$61/SUM('Overall recycling rates'!$E$61:$E$62)*('BTX Recycling HC'!AD216+'BTX Recycling HC'!AD89)-'Overall recycling rates'!$H$61/SUM('Overall recycling rates'!$H$61:$H$62)*('BTX Recycling HC'!AD217+'BTX Recycling HC'!AD90)-'Overall recycling rates'!$I$61/SUM('Overall recycling rates'!$I$61:$I$62)*('BTX Recycling HC'!AD218+'BTX Recycling HC'!AD91)</f>
        <v>1.1841670261516768</v>
      </c>
      <c r="AF93" s="44">
        <f>AF52-'Overall recycling rates'!$G$61/SUM('Overall recycling rates'!$G$61:$G$62)*('BTX Recycling HC'!AE215+'BTX Recycling HC'!AE88)-'Overall recycling rates'!$E$61/SUM('Overall recycling rates'!$E$61:$E$62)*('BTX Recycling HC'!AE216+'BTX Recycling HC'!AE89)-'Overall recycling rates'!$H$61/SUM('Overall recycling rates'!$H$61:$H$62)*('BTX Recycling HC'!AE217+'BTX Recycling HC'!AE90)-'Overall recycling rates'!$I$61/SUM('Overall recycling rates'!$I$61:$I$62)*('BTX Recycling HC'!AE218+'BTX Recycling HC'!AE91)</f>
        <v>1.1485838418053618</v>
      </c>
      <c r="AG93" s="44">
        <f>AG52-'Overall recycling rates'!$G$61/SUM('Overall recycling rates'!$G$61:$G$62)*('BTX Recycling HC'!AF215+'BTX Recycling HC'!AF88)-'Overall recycling rates'!$E$61/SUM('Overall recycling rates'!$E$61:$E$62)*('BTX Recycling HC'!AF216+'BTX Recycling HC'!AF89)-'Overall recycling rates'!$H$61/SUM('Overall recycling rates'!$H$61:$H$62)*('BTX Recycling HC'!AF217+'BTX Recycling HC'!AF90)-'Overall recycling rates'!$I$61/SUM('Overall recycling rates'!$I$61:$I$62)*('BTX Recycling HC'!AF218+'BTX Recycling HC'!AF91)</f>
        <v>1.1116965224430462</v>
      </c>
      <c r="AH93" s="44">
        <f>AH52-'Overall recycling rates'!$G$61/SUM('Overall recycling rates'!$G$61:$G$62)*('BTX Recycling HC'!AG215+'BTX Recycling HC'!AG88)-'Overall recycling rates'!$E$61/SUM('Overall recycling rates'!$E$61:$E$62)*('BTX Recycling HC'!AG216+'BTX Recycling HC'!AG89)-'Overall recycling rates'!$H$61/SUM('Overall recycling rates'!$H$61:$H$62)*('BTX Recycling HC'!AG217+'BTX Recycling HC'!AG90)-'Overall recycling rates'!$I$61/SUM('Overall recycling rates'!$I$61:$I$62)*('BTX Recycling HC'!AG218+'BTX Recycling HC'!AG91)</f>
        <v>1.073548977359664</v>
      </c>
      <c r="AJ93" s="44">
        <f>AJ52-'Overall recycling rates'!$G$61/SUM('Overall recycling rates'!$G$61:$G$62)*('BTX Recycling HC'!C215+'BTX Recycling HC'!C88)-'Overall recycling rates'!$E$61/SUM('Overall recycling rates'!$E$61:$E$62)*('BTX Recycling HC'!C216+'BTX Recycling HC'!C89)-'Overall recycling rates'!$H$61/SUM('Overall recycling rates'!$H$61:$H$62)*('BTX Recycling HC'!C217+'BTX Recycling HC'!C90)-'Overall recycling rates'!$I$61/SUM('Overall recycling rates'!$I$61:$I$62)*('BTX Recycling HC'!C218+'BTX Recycling HC'!C91)</f>
        <v>1.4471127044065453</v>
      </c>
      <c r="AK93" s="44">
        <f>AK52-'Overall recycling rates'!$G$61/SUM('Overall recycling rates'!$G$61:$G$62)*('BTX Recycling HC'!D215+'BTX Recycling HC'!D88)-'Overall recycling rates'!$E$61/SUM('Overall recycling rates'!$E$61:$E$62)*('BTX Recycling HC'!D216+'BTX Recycling HC'!D89)-'Overall recycling rates'!$H$61/SUM('Overall recycling rates'!$H$61:$H$62)*('BTX Recycling HC'!D217+'BTX Recycling HC'!D90)-'Overall recycling rates'!$I$61/SUM('Overall recycling rates'!$I$61:$I$62)*('BTX Recycling HC'!D218+'BTX Recycling HC'!D91)</f>
        <v>1.4574065821552242</v>
      </c>
      <c r="AL93" s="44">
        <f>AL52-'Overall recycling rates'!$G$61/SUM('Overall recycling rates'!$G$61:$G$62)*('BTX Recycling HC'!E215+'BTX Recycling HC'!E88)-'Overall recycling rates'!$E$61/SUM('Overall recycling rates'!$E$61:$E$62)*('BTX Recycling HC'!E216+'BTX Recycling HC'!E89)-'Overall recycling rates'!$H$61/SUM('Overall recycling rates'!$H$61:$H$62)*('BTX Recycling HC'!E217+'BTX Recycling HC'!E90)-'Overall recycling rates'!$I$61/SUM('Overall recycling rates'!$I$61:$I$62)*('BTX Recycling HC'!E218+'BTX Recycling HC'!E91)</f>
        <v>1.4625763592744321</v>
      </c>
      <c r="AM93" s="44">
        <f>AM52-'Overall recycling rates'!$G$61/SUM('Overall recycling rates'!$G$61:$G$62)*('BTX Recycling HC'!F215+'BTX Recycling HC'!F88)-'Overall recycling rates'!$E$61/SUM('Overall recycling rates'!$E$61:$E$62)*('BTX Recycling HC'!F216+'BTX Recycling HC'!F89)-'Overall recycling rates'!$H$61/SUM('Overall recycling rates'!$H$61:$H$62)*('BTX Recycling HC'!F217+'BTX Recycling HC'!F90)-'Overall recycling rates'!$I$61/SUM('Overall recycling rates'!$I$61:$I$62)*('BTX Recycling HC'!F218+'BTX Recycling HC'!F91)</f>
        <v>1.4672578767383408</v>
      </c>
      <c r="AN93" s="44">
        <f>AN52-'Overall recycling rates'!$G$61/SUM('Overall recycling rates'!$G$61:$G$62)*('BTX Recycling HC'!G215+'BTX Recycling HC'!G88)-'Overall recycling rates'!$E$61/SUM('Overall recycling rates'!$E$61:$E$62)*('BTX Recycling HC'!G216+'BTX Recycling HC'!G89)-'Overall recycling rates'!$H$61/SUM('Overall recycling rates'!$H$61:$H$62)*('BTX Recycling HC'!G217+'BTX Recycling HC'!G90)-'Overall recycling rates'!$I$61/SUM('Overall recycling rates'!$I$61:$I$62)*('BTX Recycling HC'!G218+'BTX Recycling HC'!G91)</f>
        <v>1.4715098891356917</v>
      </c>
      <c r="AO93" s="44">
        <f>AO52-'Overall recycling rates'!$G$61/SUM('Overall recycling rates'!$G$61:$G$62)*('BTX Recycling HC'!H215+'BTX Recycling HC'!H88)-'Overall recycling rates'!$E$61/SUM('Overall recycling rates'!$E$61:$E$62)*('BTX Recycling HC'!H216+'BTX Recycling HC'!H89)-'Overall recycling rates'!$H$61/SUM('Overall recycling rates'!$H$61:$H$62)*('BTX Recycling HC'!H217+'BTX Recycling HC'!H90)-'Overall recycling rates'!$I$61/SUM('Overall recycling rates'!$I$61:$I$62)*('BTX Recycling HC'!H218+'BTX Recycling HC'!H91)</f>
        <v>1.4754017391620433</v>
      </c>
      <c r="AP93" s="44">
        <f>AP52-'Overall recycling rates'!$G$61/SUM('Overall recycling rates'!$G$61:$G$62)*('BTX Recycling HC'!I215+'BTX Recycling HC'!I88)-'Overall recycling rates'!$E$61/SUM('Overall recycling rates'!$E$61:$E$62)*('BTX Recycling HC'!I216+'BTX Recycling HC'!I89)-'Overall recycling rates'!$H$61/SUM('Overall recycling rates'!$H$61:$H$62)*('BTX Recycling HC'!I217+'BTX Recycling HC'!I90)-'Overall recycling rates'!$I$61/SUM('Overall recycling rates'!$I$61:$I$62)*('BTX Recycling HC'!I218+'BTX Recycling HC'!I91)</f>
        <v>1.4787379709367678</v>
      </c>
      <c r="AQ93" s="44">
        <f>AQ52-'Overall recycling rates'!$G$61/SUM('Overall recycling rates'!$G$61:$G$62)*('BTX Recycling HC'!J215+'BTX Recycling HC'!J88)-'Overall recycling rates'!$E$61/SUM('Overall recycling rates'!$E$61:$E$62)*('BTX Recycling HC'!J216+'BTX Recycling HC'!J89)-'Overall recycling rates'!$H$61/SUM('Overall recycling rates'!$H$61:$H$62)*('BTX Recycling HC'!J217+'BTX Recycling HC'!J90)-'Overall recycling rates'!$I$61/SUM('Overall recycling rates'!$I$61:$I$62)*('BTX Recycling HC'!J218+'BTX Recycling HC'!J91)</f>
        <v>1.4815182469700068</v>
      </c>
      <c r="AR93" s="44">
        <f>AR52-'Overall recycling rates'!$G$61/SUM('Overall recycling rates'!$G$61:$G$62)*('BTX Recycling HC'!K215+'BTX Recycling HC'!K88)-'Overall recycling rates'!$E$61/SUM('Overall recycling rates'!$E$61:$E$62)*('BTX Recycling HC'!K216+'BTX Recycling HC'!K89)-'Overall recycling rates'!$H$61/SUM('Overall recycling rates'!$H$61:$H$62)*('BTX Recycling HC'!K217+'BTX Recycling HC'!K90)-'Overall recycling rates'!$I$61/SUM('Overall recycling rates'!$I$61:$I$62)*('BTX Recycling HC'!K218+'BTX Recycling HC'!K91)</f>
        <v>1.483744174683516</v>
      </c>
      <c r="AS93" s="44">
        <f>AS52-'Overall recycling rates'!$G$61/SUM('Overall recycling rates'!$G$61:$G$62)*('BTX Recycling HC'!L215+'BTX Recycling HC'!L88)-'Overall recycling rates'!$E$61/SUM('Overall recycling rates'!$E$61:$E$62)*('BTX Recycling HC'!L216+'BTX Recycling HC'!L89)-'Overall recycling rates'!$H$61/SUM('Overall recycling rates'!$H$61:$H$62)*('BTX Recycling HC'!L217+'BTX Recycling HC'!L90)-'Overall recycling rates'!$I$61/SUM('Overall recycling rates'!$I$61:$I$62)*('BTX Recycling HC'!L218+'BTX Recycling HC'!L91)</f>
        <v>1.4854193633574577</v>
      </c>
      <c r="AT93" s="44">
        <f>AT52-'Overall recycling rates'!$G$61/SUM('Overall recycling rates'!$G$61:$G$62)*('BTX Recycling HC'!M215+'BTX Recycling HC'!M88)-'Overall recycling rates'!$E$61/SUM('Overall recycling rates'!$E$61:$E$62)*('BTX Recycling HC'!M216+'BTX Recycling HC'!M89)-'Overall recycling rates'!$H$61/SUM('Overall recycling rates'!$H$61:$H$62)*('BTX Recycling HC'!M217+'BTX Recycling HC'!M90)-'Overall recycling rates'!$I$61/SUM('Overall recycling rates'!$I$61:$I$62)*('BTX Recycling HC'!M218+'BTX Recycling HC'!M91)</f>
        <v>1.4865494752371333</v>
      </c>
      <c r="AU93" s="44">
        <f>AU52-'Overall recycling rates'!$G$61/SUM('Overall recycling rates'!$G$61:$G$62)*('BTX Recycling HC'!N215+'BTX Recycling HC'!N88)-'Overall recycling rates'!$E$61/SUM('Overall recycling rates'!$E$61:$E$62)*('BTX Recycling HC'!N216+'BTX Recycling HC'!N89)-'Overall recycling rates'!$H$61/SUM('Overall recycling rates'!$H$61:$H$62)*('BTX Recycling HC'!N217+'BTX Recycling HC'!N90)-'Overall recycling rates'!$I$61/SUM('Overall recycling rates'!$I$61:$I$62)*('BTX Recycling HC'!N218+'BTX Recycling HC'!N91)</f>
        <v>1.4807399048192793</v>
      </c>
      <c r="AV93" s="44">
        <f>AV52-'Overall recycling rates'!$G$61/SUM('Overall recycling rates'!$G$61:$G$62)*('BTX Recycling HC'!O215+'BTX Recycling HC'!O88)-'Overall recycling rates'!$E$61/SUM('Overall recycling rates'!$E$61:$E$62)*('BTX Recycling HC'!O216+'BTX Recycling HC'!O89)-'Overall recycling rates'!$H$61/SUM('Overall recycling rates'!$H$61:$H$62)*('BTX Recycling HC'!O217+'BTX Recycling HC'!O90)-'Overall recycling rates'!$I$61/SUM('Overall recycling rates'!$I$61:$I$62)*('BTX Recycling HC'!O218+'BTX Recycling HC'!O91)</f>
        <v>1.4740329599038893</v>
      </c>
      <c r="AW93" s="44">
        <f>AW52-'Overall recycling rates'!$G$61/SUM('Overall recycling rates'!$G$61:$G$62)*('BTX Recycling HC'!P215+'BTX Recycling HC'!P88)-'Overall recycling rates'!$E$61/SUM('Overall recycling rates'!$E$61:$E$62)*('BTX Recycling HC'!P216+'BTX Recycling HC'!P89)-'Overall recycling rates'!$H$61/SUM('Overall recycling rates'!$H$61:$H$62)*('BTX Recycling HC'!P217+'BTX Recycling HC'!P90)-'Overall recycling rates'!$I$61/SUM('Overall recycling rates'!$I$61:$I$62)*('BTX Recycling HC'!P218+'BTX Recycling HC'!P91)</f>
        <v>1.4665550144671637</v>
      </c>
      <c r="AX93" s="44">
        <f>AX52-'Overall recycling rates'!$G$61/SUM('Overall recycling rates'!$G$61:$G$62)*('BTX Recycling HC'!Q215+'BTX Recycling HC'!Q88)-'Overall recycling rates'!$E$61/SUM('Overall recycling rates'!$E$61:$E$62)*('BTX Recycling HC'!Q216+'BTX Recycling HC'!Q89)-'Overall recycling rates'!$H$61/SUM('Overall recycling rates'!$H$61:$H$62)*('BTX Recycling HC'!Q217+'BTX Recycling HC'!Q90)-'Overall recycling rates'!$I$61/SUM('Overall recycling rates'!$I$61:$I$62)*('BTX Recycling HC'!Q218+'BTX Recycling HC'!Q91)</f>
        <v>1.4584468901602552</v>
      </c>
      <c r="AY93" s="44">
        <f>AY52-'Overall recycling rates'!$G$61/SUM('Overall recycling rates'!$G$61:$G$62)*('BTX Recycling HC'!R215+'BTX Recycling HC'!R88)-'Overall recycling rates'!$E$61/SUM('Overall recycling rates'!$E$61:$E$62)*('BTX Recycling HC'!R216+'BTX Recycling HC'!R89)-'Overall recycling rates'!$H$61/SUM('Overall recycling rates'!$H$61:$H$62)*('BTX Recycling HC'!R217+'BTX Recycling HC'!R90)-'Overall recycling rates'!$I$61/SUM('Overall recycling rates'!$I$61:$I$62)*('BTX Recycling HC'!R218+'BTX Recycling HC'!R91)</f>
        <v>1.449862679540074</v>
      </c>
      <c r="AZ93" s="44">
        <f>AZ52-'Overall recycling rates'!$G$61/SUM('Overall recycling rates'!$G$61:$G$62)*('BTX Recycling HC'!S215+'BTX Recycling HC'!S88)-'Overall recycling rates'!$E$61/SUM('Overall recycling rates'!$E$61:$E$62)*('BTX Recycling HC'!S216+'BTX Recycling HC'!S89)-'Overall recycling rates'!$H$61/SUM('Overall recycling rates'!$H$61:$H$62)*('BTX Recycling HC'!S217+'BTX Recycling HC'!S90)-'Overall recycling rates'!$I$61/SUM('Overall recycling rates'!$I$61:$I$62)*('BTX Recycling HC'!S218+'BTX Recycling HC'!S91)</f>
        <v>1.4403498783758089</v>
      </c>
      <c r="BA93" s="44">
        <f>BA52-'Overall recycling rates'!$G$61/SUM('Overall recycling rates'!$G$61:$G$62)*('BTX Recycling HC'!T215+'BTX Recycling HC'!T88)-'Overall recycling rates'!$E$61/SUM('Overall recycling rates'!$E$61:$E$62)*('BTX Recycling HC'!T216+'BTX Recycling HC'!T89)-'Overall recycling rates'!$H$61/SUM('Overall recycling rates'!$H$61:$H$62)*('BTX Recycling HC'!T217+'BTX Recycling HC'!T90)-'Overall recycling rates'!$I$61/SUM('Overall recycling rates'!$I$61:$I$62)*('BTX Recycling HC'!T218+'BTX Recycling HC'!T91)</f>
        <v>1.4299288738005478</v>
      </c>
      <c r="BB93" s="44">
        <f>BB52-'Overall recycling rates'!$G$61/SUM('Overall recycling rates'!$G$61:$G$62)*('BTX Recycling HC'!U215+'BTX Recycling HC'!U88)-'Overall recycling rates'!$E$61/SUM('Overall recycling rates'!$E$61:$E$62)*('BTX Recycling HC'!U216+'BTX Recycling HC'!U89)-'Overall recycling rates'!$H$61/SUM('Overall recycling rates'!$H$61:$H$62)*('BTX Recycling HC'!U217+'BTX Recycling HC'!U90)-'Overall recycling rates'!$I$61/SUM('Overall recycling rates'!$I$61:$I$62)*('BTX Recycling HC'!U218+'BTX Recycling HC'!U91)</f>
        <v>1.4186213920724031</v>
      </c>
      <c r="BC93" s="44">
        <f>BC52-'Overall recycling rates'!$G$61/SUM('Overall recycling rates'!$G$61:$G$62)*('BTX Recycling HC'!V215+'BTX Recycling HC'!V88)-'Overall recycling rates'!$E$61/SUM('Overall recycling rates'!$E$61:$E$62)*('BTX Recycling HC'!V216+'BTX Recycling HC'!V89)-'Overall recycling rates'!$H$61/SUM('Overall recycling rates'!$H$61:$H$62)*('BTX Recycling HC'!V217+'BTX Recycling HC'!V90)-'Overall recycling rates'!$I$61/SUM('Overall recycling rates'!$I$61:$I$62)*('BTX Recycling HC'!V218+'BTX Recycling HC'!V91)</f>
        <v>1.4064504908730713</v>
      </c>
      <c r="BD93" s="44">
        <f>BD52-'Overall recycling rates'!$G$61/SUM('Overall recycling rates'!$G$61:$G$62)*('BTX Recycling HC'!W215+'BTX Recycling HC'!W88)-'Overall recycling rates'!$E$61/SUM('Overall recycling rates'!$E$61:$E$62)*('BTX Recycling HC'!W216+'BTX Recycling HC'!W89)-'Overall recycling rates'!$H$61/SUM('Overall recycling rates'!$H$61:$H$62)*('BTX Recycling HC'!W217+'BTX Recycling HC'!W90)-'Overall recycling rates'!$I$61/SUM('Overall recycling rates'!$I$61:$I$62)*('BTX Recycling HC'!W218+'BTX Recycling HC'!W91)</f>
        <v>1.3934405499739024</v>
      </c>
      <c r="BE93" s="44">
        <f>BE52-'Overall recycling rates'!$G$61/SUM('Overall recycling rates'!$G$61:$G$62)*('BTX Recycling HC'!X215+'BTX Recycling HC'!X88)-'Overall recycling rates'!$E$61/SUM('Overall recycling rates'!$E$61:$E$62)*('BTX Recycling HC'!X216+'BTX Recycling HC'!X89)-'Overall recycling rates'!$H$61/SUM('Overall recycling rates'!$H$61:$H$62)*('BTX Recycling HC'!X217+'BTX Recycling HC'!X90)-'Overall recycling rates'!$I$61/SUM('Overall recycling rates'!$I$61:$I$62)*('BTX Recycling HC'!X218+'BTX Recycling HC'!X91)</f>
        <v>1.3680596254095507</v>
      </c>
      <c r="BF93" s="44">
        <f>BF52-'Overall recycling rates'!$G$61/SUM('Overall recycling rates'!$G$61:$G$62)*('BTX Recycling HC'!Y215+'BTX Recycling HC'!Y88)-'Overall recycling rates'!$E$61/SUM('Overall recycling rates'!$E$61:$E$62)*('BTX Recycling HC'!Y216+'BTX Recycling HC'!Y89)-'Overall recycling rates'!$H$61/SUM('Overall recycling rates'!$H$61:$H$62)*('BTX Recycling HC'!Y217+'BTX Recycling HC'!Y90)-'Overall recycling rates'!$I$61/SUM('Overall recycling rates'!$I$61:$I$62)*('BTX Recycling HC'!Y218+'BTX Recycling HC'!Y91)</f>
        <v>1.3411164193868708</v>
      </c>
      <c r="BG93" s="44">
        <f>BG52-'Overall recycling rates'!$G$61/SUM('Overall recycling rates'!$G$61:$G$62)*('BTX Recycling HC'!Z215+'BTX Recycling HC'!Z88)-'Overall recycling rates'!$E$61/SUM('Overall recycling rates'!$E$61:$E$62)*('BTX Recycling HC'!Z216+'BTX Recycling HC'!Z89)-'Overall recycling rates'!$H$61/SUM('Overall recycling rates'!$H$61:$H$62)*('BTX Recycling HC'!Z217+'BTX Recycling HC'!Z90)-'Overall recycling rates'!$I$61/SUM('Overall recycling rates'!$I$61:$I$62)*('BTX Recycling HC'!Z218+'BTX Recycling HC'!Z91)</f>
        <v>1.3126440474022687</v>
      </c>
      <c r="BH93" s="44">
        <f>BH52-'Overall recycling rates'!$G$61/SUM('Overall recycling rates'!$G$61:$G$62)*('BTX Recycling HC'!AA215+'BTX Recycling HC'!AA88)-'Overall recycling rates'!$E$61/SUM('Overall recycling rates'!$E$61:$E$62)*('BTX Recycling HC'!AA216+'BTX Recycling HC'!AA89)-'Overall recycling rates'!$H$61/SUM('Overall recycling rates'!$H$61:$H$62)*('BTX Recycling HC'!AA217+'BTX Recycling HC'!AA90)-'Overall recycling rates'!$I$61/SUM('Overall recycling rates'!$I$61:$I$62)*('BTX Recycling HC'!AA218+'BTX Recycling HC'!AA91)</f>
        <v>1.2826774952964606</v>
      </c>
      <c r="BI93" s="44">
        <f>BI52-'Overall recycling rates'!$G$61/SUM('Overall recycling rates'!$G$61:$G$62)*('BTX Recycling HC'!AB215+'BTX Recycling HC'!AB88)-'Overall recycling rates'!$E$61/SUM('Overall recycling rates'!$E$61:$E$62)*('BTX Recycling HC'!AB216+'BTX Recycling HC'!AB89)-'Overall recycling rates'!$H$61/SUM('Overall recycling rates'!$H$61:$H$62)*('BTX Recycling HC'!AB217+'BTX Recycling HC'!AB90)-'Overall recycling rates'!$I$61/SUM('Overall recycling rates'!$I$61:$I$62)*('BTX Recycling HC'!AB218+'BTX Recycling HC'!AB91)</f>
        <v>1.2512536012057689</v>
      </c>
      <c r="BJ93" s="44">
        <f>BJ52-'Overall recycling rates'!$G$61/SUM('Overall recycling rates'!$G$61:$G$62)*('BTX Recycling HC'!AC215+'BTX Recycling HC'!AC88)-'Overall recycling rates'!$E$61/SUM('Overall recycling rates'!$E$61:$E$62)*('BTX Recycling HC'!AC216+'BTX Recycling HC'!AC89)-'Overall recycling rates'!$H$61/SUM('Overall recycling rates'!$H$61:$H$62)*('BTX Recycling HC'!AC217+'BTX Recycling HC'!AC90)-'Overall recycling rates'!$I$61/SUM('Overall recycling rates'!$I$61:$I$62)*('BTX Recycling HC'!AC218+'BTX Recycling HC'!AC91)</f>
        <v>1.2184038108838449</v>
      </c>
      <c r="BK93" s="44">
        <f>BK52-'Overall recycling rates'!$G$61/SUM('Overall recycling rates'!$G$61:$G$62)*('BTX Recycling HC'!AD215+'BTX Recycling HC'!AD88)-'Overall recycling rates'!$E$61/SUM('Overall recycling rates'!$E$61:$E$62)*('BTX Recycling HC'!AD216+'BTX Recycling HC'!AD89)-'Overall recycling rates'!$H$61/SUM('Overall recycling rates'!$H$61:$H$62)*('BTX Recycling HC'!AD217+'BTX Recycling HC'!AD90)-'Overall recycling rates'!$I$61/SUM('Overall recycling rates'!$I$61:$I$62)*('BTX Recycling HC'!AD218+'BTX Recycling HC'!AD91)</f>
        <v>1.1841670261516768</v>
      </c>
      <c r="BL93" s="44">
        <f>BL52-'Overall recycling rates'!$G$61/SUM('Overall recycling rates'!$G$61:$G$62)*('BTX Recycling HC'!AE215+'BTX Recycling HC'!AE88)-'Overall recycling rates'!$E$61/SUM('Overall recycling rates'!$E$61:$E$62)*('BTX Recycling HC'!AE216+'BTX Recycling HC'!AE89)-'Overall recycling rates'!$H$61/SUM('Overall recycling rates'!$H$61:$H$62)*('BTX Recycling HC'!AE217+'BTX Recycling HC'!AE90)-'Overall recycling rates'!$I$61/SUM('Overall recycling rates'!$I$61:$I$62)*('BTX Recycling HC'!AE218+'BTX Recycling HC'!AE91)</f>
        <v>1.1485838418053618</v>
      </c>
      <c r="BM93" s="44">
        <f>BM52-'Overall recycling rates'!$G$61/SUM('Overall recycling rates'!$G$61:$G$62)*('BTX Recycling HC'!AF215+'BTX Recycling HC'!AF88)-'Overall recycling rates'!$E$61/SUM('Overall recycling rates'!$E$61:$E$62)*('BTX Recycling HC'!AF216+'BTX Recycling HC'!AF89)-'Overall recycling rates'!$H$61/SUM('Overall recycling rates'!$H$61:$H$62)*('BTX Recycling HC'!AF217+'BTX Recycling HC'!AF90)-'Overall recycling rates'!$I$61/SUM('Overall recycling rates'!$I$61:$I$62)*('BTX Recycling HC'!AF218+'BTX Recycling HC'!AF91)</f>
        <v>1.1116965224430462</v>
      </c>
      <c r="BN93" s="44">
        <f>BN52-'Overall recycling rates'!$G$61/SUM('Overall recycling rates'!$G$61:$G$62)*('BTX Recycling HC'!AG215+'BTX Recycling HC'!AG88)-'Overall recycling rates'!$E$61/SUM('Overall recycling rates'!$E$61:$E$62)*('BTX Recycling HC'!AG216+'BTX Recycling HC'!AG89)-'Overall recycling rates'!$H$61/SUM('Overall recycling rates'!$H$61:$H$62)*('BTX Recycling HC'!AG217+'BTX Recycling HC'!AG90)-'Overall recycling rates'!$I$61/SUM('Overall recycling rates'!$I$61:$I$62)*('BTX Recycling HC'!AG218+'BTX Recycling HC'!AG91)</f>
        <v>1.073548977359664</v>
      </c>
    </row>
    <row r="94" spans="1:66" s="68" customFormat="1" outlineLevel="1">
      <c r="A94" s="754"/>
      <c r="B94" s="62" t="s">
        <v>166</v>
      </c>
      <c r="C94" s="283" t="s">
        <v>153</v>
      </c>
      <c r="D94" s="284">
        <f>D53-'Overall recycling rates'!$G$62/SUM('Overall recycling rates'!$G$61:$G$62)*('BTX Recycling HC'!C215+'BTX Recycling HC'!C88)-'Overall recycling rates'!$E$62/SUM('Overall recycling rates'!$E$61:$E$62)*('BTX Recycling HC'!C216+'BTX Recycling HC'!C89)-'Overall recycling rates'!$H$62/SUM('Overall recycling rates'!$H$61:$H$62)*('BTX Recycling HC'!C217+'BTX Recycling HC'!C90)-'Overall recycling rates'!$I$62/SUM('Overall recycling rates'!$I$61:$I$62)*('BTX Recycling HC'!C218+'BTX Recycling HC'!C91)</f>
        <v>11.565136270954032</v>
      </c>
      <c r="E94" s="284">
        <f>E53-'Overall recycling rates'!$G$62/SUM('Overall recycling rates'!$G$61:$G$62)*('BTX Recycling HC'!D215+'BTX Recycling HC'!D88)-'Overall recycling rates'!$E$62/SUM('Overall recycling rates'!$E$61:$E$62)*('BTX Recycling HC'!D216+'BTX Recycling HC'!D89)-'Overall recycling rates'!$H$62/SUM('Overall recycling rates'!$H$61:$H$62)*('BTX Recycling HC'!D217+'BTX Recycling HC'!D90)-'Overall recycling rates'!$I$62/SUM('Overall recycling rates'!$I$61:$I$62)*('BTX Recycling HC'!D218+'BTX Recycling HC'!D91)</f>
        <v>11.689219788841074</v>
      </c>
      <c r="F94" s="284">
        <f>F53-'Overall recycling rates'!$G$62/SUM('Overall recycling rates'!$G$61:$G$62)*('BTX Recycling HC'!E215+'BTX Recycling HC'!E88)-'Overall recycling rates'!$E$62/SUM('Overall recycling rates'!$E$61:$E$62)*('BTX Recycling HC'!E216+'BTX Recycling HC'!E89)-'Overall recycling rates'!$H$62/SUM('Overall recycling rates'!$H$61:$H$62)*('BTX Recycling HC'!E217+'BTX Recycling HC'!E90)-'Overall recycling rates'!$I$62/SUM('Overall recycling rates'!$I$61:$I$62)*('BTX Recycling HC'!E218+'BTX Recycling HC'!E91)</f>
        <v>11.785995466998497</v>
      </c>
      <c r="G94" s="284">
        <f>G53-'Overall recycling rates'!$G$62/SUM('Overall recycling rates'!$G$61:$G$62)*('BTX Recycling HC'!F215+'BTX Recycling HC'!F88)-'Overall recycling rates'!$E$62/SUM('Overall recycling rates'!$E$61:$E$62)*('BTX Recycling HC'!F216+'BTX Recycling HC'!F89)-'Overall recycling rates'!$H$62/SUM('Overall recycling rates'!$H$61:$H$62)*('BTX Recycling HC'!F217+'BTX Recycling HC'!F90)-'Overall recycling rates'!$I$62/SUM('Overall recycling rates'!$I$61:$I$62)*('BTX Recycling HC'!F218+'BTX Recycling HC'!F91)</f>
        <v>11.883094784734858</v>
      </c>
      <c r="H94" s="284">
        <f>H53-'Overall recycling rates'!$G$62/SUM('Overall recycling rates'!$G$61:$G$62)*('BTX Recycling HC'!G215+'BTX Recycling HC'!G88)-'Overall recycling rates'!$E$62/SUM('Overall recycling rates'!$E$61:$E$62)*('BTX Recycling HC'!G216+'BTX Recycling HC'!G89)-'Overall recycling rates'!$H$62/SUM('Overall recycling rates'!$H$61:$H$62)*('BTX Recycling HC'!G217+'BTX Recycling HC'!G90)-'Overall recycling rates'!$I$62/SUM('Overall recycling rates'!$I$61:$I$62)*('BTX Recycling HC'!G218+'BTX Recycling HC'!G91)</f>
        <v>11.980587986881723</v>
      </c>
      <c r="I94" s="284">
        <f>I53-'Overall recycling rates'!$G$62/SUM('Overall recycling rates'!$G$61:$G$62)*('BTX Recycling HC'!H215+'BTX Recycling HC'!H88)-'Overall recycling rates'!$E$62/SUM('Overall recycling rates'!$E$61:$E$62)*('BTX Recycling HC'!H216+'BTX Recycling HC'!H89)-'Overall recycling rates'!$H$62/SUM('Overall recycling rates'!$H$61:$H$62)*('BTX Recycling HC'!H217+'BTX Recycling HC'!H90)-'Overall recycling rates'!$I$62/SUM('Overall recycling rates'!$I$61:$I$62)*('BTX Recycling HC'!H218+'BTX Recycling HC'!H91)</f>
        <v>12.078559121484732</v>
      </c>
      <c r="J94" s="284">
        <f>J53-'Overall recycling rates'!$G$62/SUM('Overall recycling rates'!$G$61:$G$62)*('BTX Recycling HC'!I215+'BTX Recycling HC'!I88)-'Overall recycling rates'!$E$62/SUM('Overall recycling rates'!$E$61:$E$62)*('BTX Recycling HC'!I216+'BTX Recycling HC'!I89)-'Overall recycling rates'!$H$62/SUM('Overall recycling rates'!$H$61:$H$62)*('BTX Recycling HC'!I217+'BTX Recycling HC'!I90)-'Overall recycling rates'!$I$62/SUM('Overall recycling rates'!$I$61:$I$62)*('BTX Recycling HC'!I218+'BTX Recycling HC'!I91)</f>
        <v>12.175772060350143</v>
      </c>
      <c r="K94" s="284">
        <f>K53-'Overall recycling rates'!$G$62/SUM('Overall recycling rates'!$G$61:$G$62)*('BTX Recycling HC'!J215+'BTX Recycling HC'!J88)-'Overall recycling rates'!$E$62/SUM('Overall recycling rates'!$E$61:$E$62)*('BTX Recycling HC'!J216+'BTX Recycling HC'!J89)-'Overall recycling rates'!$H$62/SUM('Overall recycling rates'!$H$61:$H$62)*('BTX Recycling HC'!J217+'BTX Recycling HC'!J90)-'Overall recycling rates'!$I$62/SUM('Overall recycling rates'!$I$61:$I$62)*('BTX Recycling HC'!J218+'BTX Recycling HC'!J91)</f>
        <v>12.272100462982003</v>
      </c>
      <c r="L94" s="284">
        <f>L53-'Overall recycling rates'!$G$62/SUM('Overall recycling rates'!$G$61:$G$62)*('BTX Recycling HC'!K215+'BTX Recycling HC'!K88)-'Overall recycling rates'!$E$62/SUM('Overall recycling rates'!$E$61:$E$62)*('BTX Recycling HC'!K216+'BTX Recycling HC'!K89)-'Overall recycling rates'!$H$62/SUM('Overall recycling rates'!$H$61:$H$62)*('BTX Recycling HC'!K217+'BTX Recycling HC'!K90)-'Overall recycling rates'!$I$62/SUM('Overall recycling rates'!$I$61:$I$62)*('BTX Recycling HC'!K218+'BTX Recycling HC'!K91)</f>
        <v>12.367414205021163</v>
      </c>
      <c r="M94" s="284">
        <f>M53-'Overall recycling rates'!$G$62/SUM('Overall recycling rates'!$G$61:$G$62)*('BTX Recycling HC'!L215+'BTX Recycling HC'!L88)-'Overall recycling rates'!$E$62/SUM('Overall recycling rates'!$E$61:$E$62)*('BTX Recycling HC'!L216+'BTX Recycling HC'!L89)-'Overall recycling rates'!$H$62/SUM('Overall recycling rates'!$H$61:$H$62)*('BTX Recycling HC'!L217+'BTX Recycling HC'!L90)-'Overall recycling rates'!$I$62/SUM('Overall recycling rates'!$I$61:$I$62)*('BTX Recycling HC'!L218+'BTX Recycling HC'!L91)</f>
        <v>12.461579702390448</v>
      </c>
      <c r="N94" s="284">
        <f>N53-'Overall recycling rates'!$G$62/SUM('Overall recycling rates'!$G$61:$G$62)*('BTX Recycling HC'!M215+'BTX Recycling HC'!M88)-'Overall recycling rates'!$E$62/SUM('Overall recycling rates'!$E$61:$E$62)*('BTX Recycling HC'!M216+'BTX Recycling HC'!M89)-'Overall recycling rates'!$H$62/SUM('Overall recycling rates'!$H$61:$H$62)*('BTX Recycling HC'!M217+'BTX Recycling HC'!M90)-'Overall recycling rates'!$I$62/SUM('Overall recycling rates'!$I$61:$I$62)*('BTX Recycling HC'!M218+'BTX Recycling HC'!M91)</f>
        <v>12.554460268905316</v>
      </c>
      <c r="O94" s="284">
        <f>O53-'Overall recycling rates'!$G$62/SUM('Overall recycling rates'!$G$61:$G$62)*('BTX Recycling HC'!N215+'BTX Recycling HC'!N88)-'Overall recycling rates'!$E$62/SUM('Overall recycling rates'!$E$61:$E$62)*('BTX Recycling HC'!N216+'BTX Recycling HC'!N89)-'Overall recycling rates'!$H$62/SUM('Overall recycling rates'!$H$61:$H$62)*('BTX Recycling HC'!N217+'BTX Recycling HC'!N90)-'Overall recycling rates'!$I$62/SUM('Overall recycling rates'!$I$61:$I$62)*('BTX Recycling HC'!N218+'BTX Recycling HC'!N91)</f>
        <v>12.619803536736569</v>
      </c>
      <c r="P94" s="284">
        <f>P53-'Overall recycling rates'!$G$62/SUM('Overall recycling rates'!$G$61:$G$62)*('BTX Recycling HC'!O215+'BTX Recycling HC'!O88)-'Overall recycling rates'!$E$62/SUM('Overall recycling rates'!$E$61:$E$62)*('BTX Recycling HC'!O216+'BTX Recycling HC'!O89)-'Overall recycling rates'!$H$62/SUM('Overall recycling rates'!$H$61:$H$62)*('BTX Recycling HC'!O217+'BTX Recycling HC'!O90)-'Overall recycling rates'!$I$62/SUM('Overall recycling rates'!$I$61:$I$62)*('BTX Recycling HC'!O218+'BTX Recycling HC'!O91)</f>
        <v>12.683294787467682</v>
      </c>
      <c r="Q94" s="284">
        <f>Q53-'Overall recycling rates'!$G$62/SUM('Overall recycling rates'!$G$61:$G$62)*('BTX Recycling HC'!P215+'BTX Recycling HC'!P88)-'Overall recycling rates'!$E$62/SUM('Overall recycling rates'!$E$61:$E$62)*('BTX Recycling HC'!P216+'BTX Recycling HC'!P89)-'Overall recycling rates'!$H$62/SUM('Overall recycling rates'!$H$61:$H$62)*('BTX Recycling HC'!P217+'BTX Recycling HC'!P90)-'Overall recycling rates'!$I$62/SUM('Overall recycling rates'!$I$61:$I$62)*('BTX Recycling HC'!P218+'BTX Recycling HC'!P91)</f>
        <v>12.745042468487119</v>
      </c>
      <c r="R94" s="284">
        <f>R53-'Overall recycling rates'!$G$62/SUM('Overall recycling rates'!$G$61:$G$62)*('BTX Recycling HC'!Q215+'BTX Recycling HC'!Q88)-'Overall recycling rates'!$E$62/SUM('Overall recycling rates'!$E$61:$E$62)*('BTX Recycling HC'!Q216+'BTX Recycling HC'!Q89)-'Overall recycling rates'!$H$62/SUM('Overall recycling rates'!$H$61:$H$62)*('BTX Recycling HC'!Q217+'BTX Recycling HC'!Q90)-'Overall recycling rates'!$I$62/SUM('Overall recycling rates'!$I$61:$I$62)*('BTX Recycling HC'!Q218+'BTX Recycling HC'!Q91)</f>
        <v>12.805188895865765</v>
      </c>
      <c r="S94" s="284">
        <f>S53-'Overall recycling rates'!$G$62/SUM('Overall recycling rates'!$G$61:$G$62)*('BTX Recycling HC'!R215+'BTX Recycling HC'!R88)-'Overall recycling rates'!$E$62/SUM('Overall recycling rates'!$E$61:$E$62)*('BTX Recycling HC'!R216+'BTX Recycling HC'!R89)-'Overall recycling rates'!$H$62/SUM('Overall recycling rates'!$H$61:$H$62)*('BTX Recycling HC'!R217+'BTX Recycling HC'!R90)-'Overall recycling rates'!$I$62/SUM('Overall recycling rates'!$I$61:$I$62)*('BTX Recycling HC'!R218+'BTX Recycling HC'!R91)</f>
        <v>12.863912107206822</v>
      </c>
      <c r="T94" s="284">
        <f>T53-'Overall recycling rates'!$G$62/SUM('Overall recycling rates'!$G$61:$G$62)*('BTX Recycling HC'!S215+'BTX Recycling HC'!S88)-'Overall recycling rates'!$E$62/SUM('Overall recycling rates'!$E$61:$E$62)*('BTX Recycling HC'!S216+'BTX Recycling HC'!S89)-'Overall recycling rates'!$H$62/SUM('Overall recycling rates'!$H$61:$H$62)*('BTX Recycling HC'!S217+'BTX Recycling HC'!S90)-'Overall recycling rates'!$I$62/SUM('Overall recycling rates'!$I$61:$I$62)*('BTX Recycling HC'!S218+'BTX Recycling HC'!S91)</f>
        <v>12.919092909323185</v>
      </c>
      <c r="U94" s="284">
        <f>U53-'Overall recycling rates'!$G$62/SUM('Overall recycling rates'!$G$61:$G$62)*('BTX Recycling HC'!T215+'BTX Recycling HC'!T88)-'Overall recycling rates'!$E$62/SUM('Overall recycling rates'!$E$61:$E$62)*('BTX Recycling HC'!T216+'BTX Recycling HC'!T89)-'Overall recycling rates'!$H$62/SUM('Overall recycling rates'!$H$61:$H$62)*('BTX Recycling HC'!T217+'BTX Recycling HC'!T90)-'Overall recycling rates'!$I$62/SUM('Overall recycling rates'!$I$61:$I$62)*('BTX Recycling HC'!T218+'BTX Recycling HC'!T91)</f>
        <v>12.970456296389004</v>
      </c>
      <c r="V94" s="284">
        <f>V53-'Overall recycling rates'!$G$62/SUM('Overall recycling rates'!$G$61:$G$62)*('BTX Recycling HC'!U215+'BTX Recycling HC'!U88)-'Overall recycling rates'!$E$62/SUM('Overall recycling rates'!$E$61:$E$62)*('BTX Recycling HC'!U216+'BTX Recycling HC'!U89)-'Overall recycling rates'!$H$62/SUM('Overall recycling rates'!$H$61:$H$62)*('BTX Recycling HC'!U217+'BTX Recycling HC'!U90)-'Overall recycling rates'!$I$62/SUM('Overall recycling rates'!$I$61:$I$62)*('BTX Recycling HC'!U218+'BTX Recycling HC'!U91)</f>
        <v>13.017721035082209</v>
      </c>
      <c r="W94" s="284">
        <f>W53-'Overall recycling rates'!$G$62/SUM('Overall recycling rates'!$G$61:$G$62)*('BTX Recycling HC'!V215+'BTX Recycling HC'!V88)-'Overall recycling rates'!$E$62/SUM('Overall recycling rates'!$E$61:$E$62)*('BTX Recycling HC'!V216+'BTX Recycling HC'!V89)-'Overall recycling rates'!$H$62/SUM('Overall recycling rates'!$H$61:$H$62)*('BTX Recycling HC'!V217+'BTX Recycling HC'!V90)-'Overall recycling rates'!$I$62/SUM('Overall recycling rates'!$I$61:$I$62)*('BTX Recycling HC'!V218+'BTX Recycling HC'!V91)</f>
        <v>13.060599790788936</v>
      </c>
      <c r="X94" s="284">
        <f>X53-'Overall recycling rates'!$G$62/SUM('Overall recycling rates'!$G$61:$G$62)*('BTX Recycling HC'!W215+'BTX Recycling HC'!W88)-'Overall recycling rates'!$E$62/SUM('Overall recycling rates'!$E$61:$E$62)*('BTX Recycling HC'!W216+'BTX Recycling HC'!W89)-'Overall recycling rates'!$H$62/SUM('Overall recycling rates'!$H$61:$H$62)*('BTX Recycling HC'!W217+'BTX Recycling HC'!W90)-'Overall recycling rates'!$I$62/SUM('Overall recycling rates'!$I$61:$I$62)*('BTX Recycling HC'!W218+'BTX Recycling HC'!W91)</f>
        <v>13.098799263668198</v>
      </c>
      <c r="Y94" s="284">
        <f>Y53-'Overall recycling rates'!$G$62/SUM('Overall recycling rates'!$G$61:$G$62)*('BTX Recycling HC'!X215+'BTX Recycling HC'!X88)-'Overall recycling rates'!$E$62/SUM('Overall recycling rates'!$E$61:$E$62)*('BTX Recycling HC'!X216+'BTX Recycling HC'!X89)-'Overall recycling rates'!$H$62/SUM('Overall recycling rates'!$H$61:$H$62)*('BTX Recycling HC'!X217+'BTX Recycling HC'!X90)-'Overall recycling rates'!$I$62/SUM('Overall recycling rates'!$I$61:$I$62)*('BTX Recycling HC'!X218+'BTX Recycling HC'!X91)</f>
        <v>13.087214832903326</v>
      </c>
      <c r="Z94" s="284">
        <f>Z53-'Overall recycling rates'!$G$62/SUM('Overall recycling rates'!$G$61:$G$62)*('BTX Recycling HC'!Y215+'BTX Recycling HC'!Y88)-'Overall recycling rates'!$E$62/SUM('Overall recycling rates'!$E$61:$E$62)*('BTX Recycling HC'!Y216+'BTX Recycling HC'!Y89)-'Overall recycling rates'!$H$62/SUM('Overall recycling rates'!$H$61:$H$62)*('BTX Recycling HC'!Y217+'BTX Recycling HC'!Y90)-'Overall recycling rates'!$I$62/SUM('Overall recycling rates'!$I$61:$I$62)*('BTX Recycling HC'!Y218+'BTX Recycling HC'!Y91)</f>
        <v>13.067130659981691</v>
      </c>
      <c r="AA94" s="284">
        <f>AA53-'Overall recycling rates'!$G$62/SUM('Overall recycling rates'!$G$61:$G$62)*('BTX Recycling HC'!Z215+'BTX Recycling HC'!Z88)-'Overall recycling rates'!$E$62/SUM('Overall recycling rates'!$E$61:$E$62)*('BTX Recycling HC'!Z216+'BTX Recycling HC'!Z89)-'Overall recycling rates'!$H$62/SUM('Overall recycling rates'!$H$61:$H$62)*('BTX Recycling HC'!Z217+'BTX Recycling HC'!Z90)-'Overall recycling rates'!$I$62/SUM('Overall recycling rates'!$I$61:$I$62)*('BTX Recycling HC'!Z218+'BTX Recycling HC'!Z91)</f>
        <v>13.038037418957108</v>
      </c>
      <c r="AB94" s="284">
        <f>AB53-'Overall recycling rates'!$G$62/SUM('Overall recycling rates'!$G$61:$G$62)*('BTX Recycling HC'!AA215+'BTX Recycling HC'!AA88)-'Overall recycling rates'!$E$62/SUM('Overall recycling rates'!$E$61:$E$62)*('BTX Recycling HC'!AA216+'BTX Recycling HC'!AA89)-'Overall recycling rates'!$H$62/SUM('Overall recycling rates'!$H$61:$H$62)*('BTX Recycling HC'!AA217+'BTX Recycling HC'!AA90)-'Overall recycling rates'!$I$62/SUM('Overall recycling rates'!$I$61:$I$62)*('BTX Recycling HC'!AA218+'BTX Recycling HC'!AA91)</f>
        <v>12.999415677653277</v>
      </c>
      <c r="AC94" s="284">
        <f>AC53-'Overall recycling rates'!$G$62/SUM('Overall recycling rates'!$G$61:$G$62)*('BTX Recycling HC'!AB215+'BTX Recycling HC'!AB88)-'Overall recycling rates'!$E$62/SUM('Overall recycling rates'!$E$61:$E$62)*('BTX Recycling HC'!AB216+'BTX Recycling HC'!AB89)-'Overall recycling rates'!$H$62/SUM('Overall recycling rates'!$H$61:$H$62)*('BTX Recycling HC'!AB217+'BTX Recycling HC'!AB90)-'Overall recycling rates'!$I$62/SUM('Overall recycling rates'!$I$61:$I$62)*('BTX Recycling HC'!AB218+'BTX Recycling HC'!AB91)</f>
        <v>12.950736116231161</v>
      </c>
      <c r="AD94" s="284">
        <f>AD53-'Overall recycling rates'!$G$62/SUM('Overall recycling rates'!$G$61:$G$62)*('BTX Recycling HC'!AC215+'BTX Recycling HC'!AC88)-'Overall recycling rates'!$E$62/SUM('Overall recycling rates'!$E$61:$E$62)*('BTX Recycling HC'!AC216+'BTX Recycling HC'!AC89)-'Overall recycling rates'!$H$62/SUM('Overall recycling rates'!$H$61:$H$62)*('BTX Recycling HC'!AC217+'BTX Recycling HC'!AC90)-'Overall recycling rates'!$I$62/SUM('Overall recycling rates'!$I$61:$I$62)*('BTX Recycling HC'!AC218+'BTX Recycling HC'!AC91)</f>
        <v>12.89143224342922</v>
      </c>
      <c r="AE94" s="284">
        <f>AE53-'Overall recycling rates'!$G$62/SUM('Overall recycling rates'!$G$61:$G$62)*('BTX Recycling HC'!AD215+'BTX Recycling HC'!AD88)-'Overall recycling rates'!$E$62/SUM('Overall recycling rates'!$E$61:$E$62)*('BTX Recycling HC'!AD216+'BTX Recycling HC'!AD89)-'Overall recycling rates'!$H$62/SUM('Overall recycling rates'!$H$61:$H$62)*('BTX Recycling HC'!AD217+'BTX Recycling HC'!AD90)-'Overall recycling rates'!$I$62/SUM('Overall recycling rates'!$I$61:$I$62)*('BTX Recycling HC'!AD218+'BTX Recycling HC'!AD91)</f>
        <v>12.820948870623393</v>
      </c>
      <c r="AF94" s="284">
        <f>AF53-'Overall recycling rates'!$G$62/SUM('Overall recycling rates'!$G$61:$G$62)*('BTX Recycling HC'!AE215+'BTX Recycling HC'!AE88)-'Overall recycling rates'!$E$62/SUM('Overall recycling rates'!$E$61:$E$62)*('BTX Recycling HC'!AE216+'BTX Recycling HC'!AE89)-'Overall recycling rates'!$H$62/SUM('Overall recycling rates'!$H$61:$H$62)*('BTX Recycling HC'!AE217+'BTX Recycling HC'!AE90)-'Overall recycling rates'!$I$62/SUM('Overall recycling rates'!$I$61:$I$62)*('BTX Recycling HC'!AE218+'BTX Recycling HC'!AE91)</f>
        <v>12.738720883443566</v>
      </c>
      <c r="AG94" s="284">
        <f>AG53-'Overall recycling rates'!$G$62/SUM('Overall recycling rates'!$G$61:$G$62)*('BTX Recycling HC'!AF215+'BTX Recycling HC'!AF88)-'Overall recycling rates'!$E$62/SUM('Overall recycling rates'!$E$61:$E$62)*('BTX Recycling HC'!AF216+'BTX Recycling HC'!AF89)-'Overall recycling rates'!$H$62/SUM('Overall recycling rates'!$H$61:$H$62)*('BTX Recycling HC'!AF217+'BTX Recycling HC'!AF90)-'Overall recycling rates'!$I$62/SUM('Overall recycling rates'!$I$61:$I$62)*('BTX Recycling HC'!AF218+'BTX Recycling HC'!AF91)</f>
        <v>12.644173461744291</v>
      </c>
      <c r="AH94" s="284">
        <f>AH53-'Overall recycling rates'!$G$62/SUM('Overall recycling rates'!$G$61:$G$62)*('BTX Recycling HC'!AG215+'BTX Recycling HC'!AG88)-'Overall recycling rates'!$E$62/SUM('Overall recycling rates'!$E$61:$E$62)*('BTX Recycling HC'!AG216+'BTX Recycling HC'!AG89)-'Overall recycling rates'!$H$62/SUM('Overall recycling rates'!$H$61:$H$62)*('BTX Recycling HC'!AG217+'BTX Recycling HC'!AG90)-'Overall recycling rates'!$I$62/SUM('Overall recycling rates'!$I$61:$I$62)*('BTX Recycling HC'!AG218+'BTX Recycling HC'!AG91)</f>
        <v>12.536722312914533</v>
      </c>
      <c r="AJ94" s="284">
        <f>AJ53-'Overall recycling rates'!$G$62/SUM('Overall recycling rates'!$G$61:$G$62)*('BTX Recycling HC'!C215+'BTX Recycling HC'!C88)-'Overall recycling rates'!$E$62/SUM('Overall recycling rates'!$E$61:$E$62)*('BTX Recycling HC'!C216+'BTX Recycling HC'!C89)-'Overall recycling rates'!$H$62/SUM('Overall recycling rates'!$H$61:$H$62)*('BTX Recycling HC'!C217+'BTX Recycling HC'!C90)-'Overall recycling rates'!$I$62/SUM('Overall recycling rates'!$I$61:$I$62)*('BTX Recycling HC'!C218+'BTX Recycling HC'!C91)</f>
        <v>11.565136270954032</v>
      </c>
      <c r="AK94" s="284">
        <f>AK53-'Overall recycling rates'!$G$62/SUM('Overall recycling rates'!$G$61:$G$62)*('BTX Recycling HC'!D215+'BTX Recycling HC'!D88)-'Overall recycling rates'!$E$62/SUM('Overall recycling rates'!$E$61:$E$62)*('BTX Recycling HC'!D216+'BTX Recycling HC'!D89)-'Overall recycling rates'!$H$62/SUM('Overall recycling rates'!$H$61:$H$62)*('BTX Recycling HC'!D217+'BTX Recycling HC'!D90)-'Overall recycling rates'!$I$62/SUM('Overall recycling rates'!$I$61:$I$62)*('BTX Recycling HC'!D218+'BTX Recycling HC'!D91)</f>
        <v>11.689219788841074</v>
      </c>
      <c r="AL94" s="284">
        <f>AL53-'Overall recycling rates'!$G$62/SUM('Overall recycling rates'!$G$61:$G$62)*('BTX Recycling HC'!E215+'BTX Recycling HC'!E88)-'Overall recycling rates'!$E$62/SUM('Overall recycling rates'!$E$61:$E$62)*('BTX Recycling HC'!E216+'BTX Recycling HC'!E89)-'Overall recycling rates'!$H$62/SUM('Overall recycling rates'!$H$61:$H$62)*('BTX Recycling HC'!E217+'BTX Recycling HC'!E90)-'Overall recycling rates'!$I$62/SUM('Overall recycling rates'!$I$61:$I$62)*('BTX Recycling HC'!E218+'BTX Recycling HC'!E91)</f>
        <v>11.785995466998497</v>
      </c>
      <c r="AM94" s="284">
        <f>AM53-'Overall recycling rates'!$G$62/SUM('Overall recycling rates'!$G$61:$G$62)*('BTX Recycling HC'!F215+'BTX Recycling HC'!F88)-'Overall recycling rates'!$E$62/SUM('Overall recycling rates'!$E$61:$E$62)*('BTX Recycling HC'!F216+'BTX Recycling HC'!F89)-'Overall recycling rates'!$H$62/SUM('Overall recycling rates'!$H$61:$H$62)*('BTX Recycling HC'!F217+'BTX Recycling HC'!F90)-'Overall recycling rates'!$I$62/SUM('Overall recycling rates'!$I$61:$I$62)*('BTX Recycling HC'!F218+'BTX Recycling HC'!F91)</f>
        <v>11.883094784734858</v>
      </c>
      <c r="AN94" s="284">
        <f>AN53-'Overall recycling rates'!$G$62/SUM('Overall recycling rates'!$G$61:$G$62)*('BTX Recycling HC'!G215+'BTX Recycling HC'!G88)-'Overall recycling rates'!$E$62/SUM('Overall recycling rates'!$E$61:$E$62)*('BTX Recycling HC'!G216+'BTX Recycling HC'!G89)-'Overall recycling rates'!$H$62/SUM('Overall recycling rates'!$H$61:$H$62)*('BTX Recycling HC'!G217+'BTX Recycling HC'!G90)-'Overall recycling rates'!$I$62/SUM('Overall recycling rates'!$I$61:$I$62)*('BTX Recycling HC'!G218+'BTX Recycling HC'!G91)</f>
        <v>11.980587986881723</v>
      </c>
      <c r="AO94" s="284">
        <f>AO53-'Overall recycling rates'!$G$62/SUM('Overall recycling rates'!$G$61:$G$62)*('BTX Recycling HC'!H215+'BTX Recycling HC'!H88)-'Overall recycling rates'!$E$62/SUM('Overall recycling rates'!$E$61:$E$62)*('BTX Recycling HC'!H216+'BTX Recycling HC'!H89)-'Overall recycling rates'!$H$62/SUM('Overall recycling rates'!$H$61:$H$62)*('BTX Recycling HC'!H217+'BTX Recycling HC'!H90)-'Overall recycling rates'!$I$62/SUM('Overall recycling rates'!$I$61:$I$62)*('BTX Recycling HC'!H218+'BTX Recycling HC'!H91)</f>
        <v>12.078559121484732</v>
      </c>
      <c r="AP94" s="284">
        <f>AP53-'Overall recycling rates'!$G$62/SUM('Overall recycling rates'!$G$61:$G$62)*('BTX Recycling HC'!I215+'BTX Recycling HC'!I88)-'Overall recycling rates'!$E$62/SUM('Overall recycling rates'!$E$61:$E$62)*('BTX Recycling HC'!I216+'BTX Recycling HC'!I89)-'Overall recycling rates'!$H$62/SUM('Overall recycling rates'!$H$61:$H$62)*('BTX Recycling HC'!I217+'BTX Recycling HC'!I90)-'Overall recycling rates'!$I$62/SUM('Overall recycling rates'!$I$61:$I$62)*('BTX Recycling HC'!I218+'BTX Recycling HC'!I91)</f>
        <v>12.175772060350143</v>
      </c>
      <c r="AQ94" s="284">
        <f>AQ53-'Overall recycling rates'!$G$62/SUM('Overall recycling rates'!$G$61:$G$62)*('BTX Recycling HC'!J215+'BTX Recycling HC'!J88)-'Overall recycling rates'!$E$62/SUM('Overall recycling rates'!$E$61:$E$62)*('BTX Recycling HC'!J216+'BTX Recycling HC'!J89)-'Overall recycling rates'!$H$62/SUM('Overall recycling rates'!$H$61:$H$62)*('BTX Recycling HC'!J217+'BTX Recycling HC'!J90)-'Overall recycling rates'!$I$62/SUM('Overall recycling rates'!$I$61:$I$62)*('BTX Recycling HC'!J218+'BTX Recycling HC'!J91)</f>
        <v>12.272100462982003</v>
      </c>
      <c r="AR94" s="284">
        <f>AR53-'Overall recycling rates'!$G$62/SUM('Overall recycling rates'!$G$61:$G$62)*('BTX Recycling HC'!K215+'BTX Recycling HC'!K88)-'Overall recycling rates'!$E$62/SUM('Overall recycling rates'!$E$61:$E$62)*('BTX Recycling HC'!K216+'BTX Recycling HC'!K89)-'Overall recycling rates'!$H$62/SUM('Overall recycling rates'!$H$61:$H$62)*('BTX Recycling HC'!K217+'BTX Recycling HC'!K90)-'Overall recycling rates'!$I$62/SUM('Overall recycling rates'!$I$61:$I$62)*('BTX Recycling HC'!K218+'BTX Recycling HC'!K91)</f>
        <v>12.367414205021163</v>
      </c>
      <c r="AS94" s="284">
        <f>AS53-'Overall recycling rates'!$G$62/SUM('Overall recycling rates'!$G$61:$G$62)*('BTX Recycling HC'!L215+'BTX Recycling HC'!L88)-'Overall recycling rates'!$E$62/SUM('Overall recycling rates'!$E$61:$E$62)*('BTX Recycling HC'!L216+'BTX Recycling HC'!L89)-'Overall recycling rates'!$H$62/SUM('Overall recycling rates'!$H$61:$H$62)*('BTX Recycling HC'!L217+'BTX Recycling HC'!L90)-'Overall recycling rates'!$I$62/SUM('Overall recycling rates'!$I$61:$I$62)*('BTX Recycling HC'!L218+'BTX Recycling HC'!L91)</f>
        <v>12.461579702390448</v>
      </c>
      <c r="AT94" s="284">
        <f>AT53-'Overall recycling rates'!$G$62/SUM('Overall recycling rates'!$G$61:$G$62)*('BTX Recycling HC'!M215+'BTX Recycling HC'!M88)-'Overall recycling rates'!$E$62/SUM('Overall recycling rates'!$E$61:$E$62)*('BTX Recycling HC'!M216+'BTX Recycling HC'!M89)-'Overall recycling rates'!$H$62/SUM('Overall recycling rates'!$H$61:$H$62)*('BTX Recycling HC'!M217+'BTX Recycling HC'!M90)-'Overall recycling rates'!$I$62/SUM('Overall recycling rates'!$I$61:$I$62)*('BTX Recycling HC'!M218+'BTX Recycling HC'!M91)</f>
        <v>12.554460268905316</v>
      </c>
      <c r="AU94" s="284">
        <f>AU53-'Overall recycling rates'!$G$62/SUM('Overall recycling rates'!$G$61:$G$62)*('BTX Recycling HC'!N215+'BTX Recycling HC'!N88)-'Overall recycling rates'!$E$62/SUM('Overall recycling rates'!$E$61:$E$62)*('BTX Recycling HC'!N216+'BTX Recycling HC'!N89)-'Overall recycling rates'!$H$62/SUM('Overall recycling rates'!$H$61:$H$62)*('BTX Recycling HC'!N217+'BTX Recycling HC'!N90)-'Overall recycling rates'!$I$62/SUM('Overall recycling rates'!$I$61:$I$62)*('BTX Recycling HC'!N218+'BTX Recycling HC'!N91)</f>
        <v>12.619803536736569</v>
      </c>
      <c r="AV94" s="284">
        <f>AV53-'Overall recycling rates'!$G$62/SUM('Overall recycling rates'!$G$61:$G$62)*('BTX Recycling HC'!O215+'BTX Recycling HC'!O88)-'Overall recycling rates'!$E$62/SUM('Overall recycling rates'!$E$61:$E$62)*('BTX Recycling HC'!O216+'BTX Recycling HC'!O89)-'Overall recycling rates'!$H$62/SUM('Overall recycling rates'!$H$61:$H$62)*('BTX Recycling HC'!O217+'BTX Recycling HC'!O90)-'Overall recycling rates'!$I$62/SUM('Overall recycling rates'!$I$61:$I$62)*('BTX Recycling HC'!O218+'BTX Recycling HC'!O91)</f>
        <v>12.683294787467682</v>
      </c>
      <c r="AW94" s="284">
        <f>AW53-'Overall recycling rates'!$G$62/SUM('Overall recycling rates'!$G$61:$G$62)*('BTX Recycling HC'!P215+'BTX Recycling HC'!P88)-'Overall recycling rates'!$E$62/SUM('Overall recycling rates'!$E$61:$E$62)*('BTX Recycling HC'!P216+'BTX Recycling HC'!P89)-'Overall recycling rates'!$H$62/SUM('Overall recycling rates'!$H$61:$H$62)*('BTX Recycling HC'!P217+'BTX Recycling HC'!P90)-'Overall recycling rates'!$I$62/SUM('Overall recycling rates'!$I$61:$I$62)*('BTX Recycling HC'!P218+'BTX Recycling HC'!P91)</f>
        <v>12.745042468487119</v>
      </c>
      <c r="AX94" s="284">
        <f>AX53-'Overall recycling rates'!$G$62/SUM('Overall recycling rates'!$G$61:$G$62)*('BTX Recycling HC'!Q215+'BTX Recycling HC'!Q88)-'Overall recycling rates'!$E$62/SUM('Overall recycling rates'!$E$61:$E$62)*('BTX Recycling HC'!Q216+'BTX Recycling HC'!Q89)-'Overall recycling rates'!$H$62/SUM('Overall recycling rates'!$H$61:$H$62)*('BTX Recycling HC'!Q217+'BTX Recycling HC'!Q90)-'Overall recycling rates'!$I$62/SUM('Overall recycling rates'!$I$61:$I$62)*('BTX Recycling HC'!Q218+'BTX Recycling HC'!Q91)</f>
        <v>12.805188895865765</v>
      </c>
      <c r="AY94" s="284">
        <f>AY53-'Overall recycling rates'!$G$62/SUM('Overall recycling rates'!$G$61:$G$62)*('BTX Recycling HC'!R215+'BTX Recycling HC'!R88)-'Overall recycling rates'!$E$62/SUM('Overall recycling rates'!$E$61:$E$62)*('BTX Recycling HC'!R216+'BTX Recycling HC'!R89)-'Overall recycling rates'!$H$62/SUM('Overall recycling rates'!$H$61:$H$62)*('BTX Recycling HC'!R217+'BTX Recycling HC'!R90)-'Overall recycling rates'!$I$62/SUM('Overall recycling rates'!$I$61:$I$62)*('BTX Recycling HC'!R218+'BTX Recycling HC'!R91)</f>
        <v>12.863912107206822</v>
      </c>
      <c r="AZ94" s="284">
        <f>AZ53-'Overall recycling rates'!$G$62/SUM('Overall recycling rates'!$G$61:$G$62)*('BTX Recycling HC'!S215+'BTX Recycling HC'!S88)-'Overall recycling rates'!$E$62/SUM('Overall recycling rates'!$E$61:$E$62)*('BTX Recycling HC'!S216+'BTX Recycling HC'!S89)-'Overall recycling rates'!$H$62/SUM('Overall recycling rates'!$H$61:$H$62)*('BTX Recycling HC'!S217+'BTX Recycling HC'!S90)-'Overall recycling rates'!$I$62/SUM('Overall recycling rates'!$I$61:$I$62)*('BTX Recycling HC'!S218+'BTX Recycling HC'!S91)</f>
        <v>12.919092909323185</v>
      </c>
      <c r="BA94" s="284">
        <f>BA53-'Overall recycling rates'!$G$62/SUM('Overall recycling rates'!$G$61:$G$62)*('BTX Recycling HC'!T215+'BTX Recycling HC'!T88)-'Overall recycling rates'!$E$62/SUM('Overall recycling rates'!$E$61:$E$62)*('BTX Recycling HC'!T216+'BTX Recycling HC'!T89)-'Overall recycling rates'!$H$62/SUM('Overall recycling rates'!$H$61:$H$62)*('BTX Recycling HC'!T217+'BTX Recycling HC'!T90)-'Overall recycling rates'!$I$62/SUM('Overall recycling rates'!$I$61:$I$62)*('BTX Recycling HC'!T218+'BTX Recycling HC'!T91)</f>
        <v>12.970456296389004</v>
      </c>
      <c r="BB94" s="284">
        <f>BB53-'Overall recycling rates'!$G$62/SUM('Overall recycling rates'!$G$61:$G$62)*('BTX Recycling HC'!U215+'BTX Recycling HC'!U88)-'Overall recycling rates'!$E$62/SUM('Overall recycling rates'!$E$61:$E$62)*('BTX Recycling HC'!U216+'BTX Recycling HC'!U89)-'Overall recycling rates'!$H$62/SUM('Overall recycling rates'!$H$61:$H$62)*('BTX Recycling HC'!U217+'BTX Recycling HC'!U90)-'Overall recycling rates'!$I$62/SUM('Overall recycling rates'!$I$61:$I$62)*('BTX Recycling HC'!U218+'BTX Recycling HC'!U91)</f>
        <v>13.017721035082209</v>
      </c>
      <c r="BC94" s="284">
        <f>BC53-'Overall recycling rates'!$G$62/SUM('Overall recycling rates'!$G$61:$G$62)*('BTX Recycling HC'!V215+'BTX Recycling HC'!V88)-'Overall recycling rates'!$E$62/SUM('Overall recycling rates'!$E$61:$E$62)*('BTX Recycling HC'!V216+'BTX Recycling HC'!V89)-'Overall recycling rates'!$H$62/SUM('Overall recycling rates'!$H$61:$H$62)*('BTX Recycling HC'!V217+'BTX Recycling HC'!V90)-'Overall recycling rates'!$I$62/SUM('Overall recycling rates'!$I$61:$I$62)*('BTX Recycling HC'!V218+'BTX Recycling HC'!V91)</f>
        <v>13.060599790788936</v>
      </c>
      <c r="BD94" s="284">
        <f>BD53-'Overall recycling rates'!$G$62/SUM('Overall recycling rates'!$G$61:$G$62)*('BTX Recycling HC'!W215+'BTX Recycling HC'!W88)-'Overall recycling rates'!$E$62/SUM('Overall recycling rates'!$E$61:$E$62)*('BTX Recycling HC'!W216+'BTX Recycling HC'!W89)-'Overall recycling rates'!$H$62/SUM('Overall recycling rates'!$H$61:$H$62)*('BTX Recycling HC'!W217+'BTX Recycling HC'!W90)-'Overall recycling rates'!$I$62/SUM('Overall recycling rates'!$I$61:$I$62)*('BTX Recycling HC'!W218+'BTX Recycling HC'!W91)</f>
        <v>13.098799263668198</v>
      </c>
      <c r="BE94" s="284">
        <f>BE53-'Overall recycling rates'!$G$62/SUM('Overall recycling rates'!$G$61:$G$62)*('BTX Recycling HC'!X215+'BTX Recycling HC'!X88)-'Overall recycling rates'!$E$62/SUM('Overall recycling rates'!$E$61:$E$62)*('BTX Recycling HC'!X216+'BTX Recycling HC'!X89)-'Overall recycling rates'!$H$62/SUM('Overall recycling rates'!$H$61:$H$62)*('BTX Recycling HC'!X217+'BTX Recycling HC'!X90)-'Overall recycling rates'!$I$62/SUM('Overall recycling rates'!$I$61:$I$62)*('BTX Recycling HC'!X218+'BTX Recycling HC'!X91)</f>
        <v>13.087214832903326</v>
      </c>
      <c r="BF94" s="284">
        <f>BF53-'Overall recycling rates'!$G$62/SUM('Overall recycling rates'!$G$61:$G$62)*('BTX Recycling HC'!Y215+'BTX Recycling HC'!Y88)-'Overall recycling rates'!$E$62/SUM('Overall recycling rates'!$E$61:$E$62)*('BTX Recycling HC'!Y216+'BTX Recycling HC'!Y89)-'Overall recycling rates'!$H$62/SUM('Overall recycling rates'!$H$61:$H$62)*('BTX Recycling HC'!Y217+'BTX Recycling HC'!Y90)-'Overall recycling rates'!$I$62/SUM('Overall recycling rates'!$I$61:$I$62)*('BTX Recycling HC'!Y218+'BTX Recycling HC'!Y91)</f>
        <v>13.067130659981691</v>
      </c>
      <c r="BG94" s="284">
        <f>BG53-'Overall recycling rates'!$G$62/SUM('Overall recycling rates'!$G$61:$G$62)*('BTX Recycling HC'!Z215+'BTX Recycling HC'!Z88)-'Overall recycling rates'!$E$62/SUM('Overall recycling rates'!$E$61:$E$62)*('BTX Recycling HC'!Z216+'BTX Recycling HC'!Z89)-'Overall recycling rates'!$H$62/SUM('Overall recycling rates'!$H$61:$H$62)*('BTX Recycling HC'!Z217+'BTX Recycling HC'!Z90)-'Overall recycling rates'!$I$62/SUM('Overall recycling rates'!$I$61:$I$62)*('BTX Recycling HC'!Z218+'BTX Recycling HC'!Z91)</f>
        <v>13.038037418957108</v>
      </c>
      <c r="BH94" s="284">
        <f>BH53-'Overall recycling rates'!$G$62/SUM('Overall recycling rates'!$G$61:$G$62)*('BTX Recycling HC'!AA215+'BTX Recycling HC'!AA88)-'Overall recycling rates'!$E$62/SUM('Overall recycling rates'!$E$61:$E$62)*('BTX Recycling HC'!AA216+'BTX Recycling HC'!AA89)-'Overall recycling rates'!$H$62/SUM('Overall recycling rates'!$H$61:$H$62)*('BTX Recycling HC'!AA217+'BTX Recycling HC'!AA90)-'Overall recycling rates'!$I$62/SUM('Overall recycling rates'!$I$61:$I$62)*('BTX Recycling HC'!AA218+'BTX Recycling HC'!AA91)</f>
        <v>12.999415677653277</v>
      </c>
      <c r="BI94" s="284">
        <f>BI53-'Overall recycling rates'!$G$62/SUM('Overall recycling rates'!$G$61:$G$62)*('BTX Recycling HC'!AB215+'BTX Recycling HC'!AB88)-'Overall recycling rates'!$E$62/SUM('Overall recycling rates'!$E$61:$E$62)*('BTX Recycling HC'!AB216+'BTX Recycling HC'!AB89)-'Overall recycling rates'!$H$62/SUM('Overall recycling rates'!$H$61:$H$62)*('BTX Recycling HC'!AB217+'BTX Recycling HC'!AB90)-'Overall recycling rates'!$I$62/SUM('Overall recycling rates'!$I$61:$I$62)*('BTX Recycling HC'!AB218+'BTX Recycling HC'!AB91)</f>
        <v>12.950736116231161</v>
      </c>
      <c r="BJ94" s="284">
        <f>BJ53-'Overall recycling rates'!$G$62/SUM('Overall recycling rates'!$G$61:$G$62)*('BTX Recycling HC'!AC215+'BTX Recycling HC'!AC88)-'Overall recycling rates'!$E$62/SUM('Overall recycling rates'!$E$61:$E$62)*('BTX Recycling HC'!AC216+'BTX Recycling HC'!AC89)-'Overall recycling rates'!$H$62/SUM('Overall recycling rates'!$H$61:$H$62)*('BTX Recycling HC'!AC217+'BTX Recycling HC'!AC90)-'Overall recycling rates'!$I$62/SUM('Overall recycling rates'!$I$61:$I$62)*('BTX Recycling HC'!AC218+'BTX Recycling HC'!AC91)</f>
        <v>12.89143224342922</v>
      </c>
      <c r="BK94" s="284">
        <f>BK53-'Overall recycling rates'!$G$62/SUM('Overall recycling rates'!$G$61:$G$62)*('BTX Recycling HC'!AD215+'BTX Recycling HC'!AD88)-'Overall recycling rates'!$E$62/SUM('Overall recycling rates'!$E$61:$E$62)*('BTX Recycling HC'!AD216+'BTX Recycling HC'!AD89)-'Overall recycling rates'!$H$62/SUM('Overall recycling rates'!$H$61:$H$62)*('BTX Recycling HC'!AD217+'BTX Recycling HC'!AD90)-'Overall recycling rates'!$I$62/SUM('Overall recycling rates'!$I$61:$I$62)*('BTX Recycling HC'!AD218+'BTX Recycling HC'!AD91)</f>
        <v>12.820948870623393</v>
      </c>
      <c r="BL94" s="284">
        <f>BL53-'Overall recycling rates'!$G$62/SUM('Overall recycling rates'!$G$61:$G$62)*('BTX Recycling HC'!AE215+'BTX Recycling HC'!AE88)-'Overall recycling rates'!$E$62/SUM('Overall recycling rates'!$E$61:$E$62)*('BTX Recycling HC'!AE216+'BTX Recycling HC'!AE89)-'Overall recycling rates'!$H$62/SUM('Overall recycling rates'!$H$61:$H$62)*('BTX Recycling HC'!AE217+'BTX Recycling HC'!AE90)-'Overall recycling rates'!$I$62/SUM('Overall recycling rates'!$I$61:$I$62)*('BTX Recycling HC'!AE218+'BTX Recycling HC'!AE91)</f>
        <v>12.738720883443566</v>
      </c>
      <c r="BM94" s="284">
        <f>BM53-'Overall recycling rates'!$G$62/SUM('Overall recycling rates'!$G$61:$G$62)*('BTX Recycling HC'!AF215+'BTX Recycling HC'!AF88)-'Overall recycling rates'!$E$62/SUM('Overall recycling rates'!$E$61:$E$62)*('BTX Recycling HC'!AF216+'BTX Recycling HC'!AF89)-'Overall recycling rates'!$H$62/SUM('Overall recycling rates'!$H$61:$H$62)*('BTX Recycling HC'!AF217+'BTX Recycling HC'!AF90)-'Overall recycling rates'!$I$62/SUM('Overall recycling rates'!$I$61:$I$62)*('BTX Recycling HC'!AF218+'BTX Recycling HC'!AF91)</f>
        <v>12.644173461744291</v>
      </c>
      <c r="BN94" s="284">
        <f>BN53-'Overall recycling rates'!$G$62/SUM('Overall recycling rates'!$G$61:$G$62)*('BTX Recycling HC'!AG215+'BTX Recycling HC'!AG88)-'Overall recycling rates'!$E$62/SUM('Overall recycling rates'!$E$61:$E$62)*('BTX Recycling HC'!AG216+'BTX Recycling HC'!AG89)-'Overall recycling rates'!$H$62/SUM('Overall recycling rates'!$H$61:$H$62)*('BTX Recycling HC'!AG217+'BTX Recycling HC'!AG90)-'Overall recycling rates'!$I$62/SUM('Overall recycling rates'!$I$61:$I$62)*('BTX Recycling HC'!AG218+'BTX Recycling HC'!AG91)</f>
        <v>12.536722312914533</v>
      </c>
    </row>
    <row r="95" spans="1:66" outlineLevel="1">
      <c r="A95" s="58" t="s">
        <v>223</v>
      </c>
      <c r="B95" s="58" t="s">
        <v>197</v>
      </c>
      <c r="C95" s="100" t="s">
        <v>153</v>
      </c>
      <c r="D95" s="101">
        <f t="shared" ref="D95:AH95" si="90">D41</f>
        <v>14.733107457344531</v>
      </c>
      <c r="E95" s="101">
        <f t="shared" si="90"/>
        <v>14.894513858633186</v>
      </c>
      <c r="F95" s="101">
        <f t="shared" si="90"/>
        <v>15.057688524115418</v>
      </c>
      <c r="G95" s="101">
        <f t="shared" si="90"/>
        <v>15.222650825750664</v>
      </c>
      <c r="H95" s="101">
        <f t="shared" si="90"/>
        <v>15.389420347725022</v>
      </c>
      <c r="I95" s="101">
        <f t="shared" si="90"/>
        <v>15.558016888776274</v>
      </c>
      <c r="J95" s="101">
        <f t="shared" si="90"/>
        <v>15.728460464544376</v>
      </c>
      <c r="K95" s="101">
        <f t="shared" si="90"/>
        <v>15.900771309947697</v>
      </c>
      <c r="L95" s="101">
        <f t="shared" si="90"/>
        <v>16.074969881585289</v>
      </c>
      <c r="M95" s="101">
        <f t="shared" si="90"/>
        <v>16.25107686016548</v>
      </c>
      <c r="N95" s="101">
        <f t="shared" si="90"/>
        <v>16.429113152961069</v>
      </c>
      <c r="O95" s="101">
        <f t="shared" si="90"/>
        <v>16.609099896291422</v>
      </c>
      <c r="P95" s="101">
        <f t="shared" si="90"/>
        <v>16.791058458031756</v>
      </c>
      <c r="Q95" s="101">
        <f t="shared" si="90"/>
        <v>16.975010440149916</v>
      </c>
      <c r="R95" s="101">
        <f t="shared" si="90"/>
        <v>17.160977681270939</v>
      </c>
      <c r="S95" s="101">
        <f t="shared" si="90"/>
        <v>17.348982259269729</v>
      </c>
      <c r="T95" s="101">
        <f t="shared" si="90"/>
        <v>17.539046493892108</v>
      </c>
      <c r="U95" s="101">
        <f t="shared" si="90"/>
        <v>17.731192949404608</v>
      </c>
      <c r="V95" s="101">
        <f t="shared" si="90"/>
        <v>17.925444437273278</v>
      </c>
      <c r="W95" s="101">
        <f t="shared" si="90"/>
        <v>18.121824018871845</v>
      </c>
      <c r="X95" s="101">
        <f t="shared" si="90"/>
        <v>18.320355008219533</v>
      </c>
      <c r="Y95" s="101">
        <f t="shared" si="90"/>
        <v>18.521060974748895</v>
      </c>
      <c r="Z95" s="101">
        <f t="shared" si="90"/>
        <v>18.723965746103953</v>
      </c>
      <c r="AA95" s="101">
        <f t="shared" si="90"/>
        <v>18.929093410968989</v>
      </c>
      <c r="AB95" s="101">
        <f t="shared" si="90"/>
        <v>19.136468321928334</v>
      </c>
      <c r="AC95" s="101">
        <f t="shared" si="90"/>
        <v>19.346115098357501</v>
      </c>
      <c r="AD95" s="101">
        <f t="shared" si="90"/>
        <v>19.558058629345961</v>
      </c>
      <c r="AE95" s="101">
        <f t="shared" si="90"/>
        <v>19.772324076651959</v>
      </c>
      <c r="AF95" s="101">
        <f t="shared" si="90"/>
        <v>19.988936877689699</v>
      </c>
      <c r="AG95" s="101">
        <f t="shared" si="90"/>
        <v>20.207922748549255</v>
      </c>
      <c r="AH95" s="101">
        <f t="shared" si="90"/>
        <v>20.429307687049551</v>
      </c>
      <c r="AJ95" s="101">
        <f t="shared" ref="AJ95:BN95" si="91">AJ41</f>
        <v>14.733107457344531</v>
      </c>
      <c r="AK95" s="101">
        <f t="shared" si="91"/>
        <v>14.894513858633186</v>
      </c>
      <c r="AL95" s="101">
        <f t="shared" si="91"/>
        <v>15.057688524115418</v>
      </c>
      <c r="AM95" s="101">
        <f t="shared" si="91"/>
        <v>15.222650825750664</v>
      </c>
      <c r="AN95" s="101">
        <f t="shared" si="91"/>
        <v>15.389420347725022</v>
      </c>
      <c r="AO95" s="101">
        <f t="shared" si="91"/>
        <v>15.558016888776274</v>
      </c>
      <c r="AP95" s="101">
        <f t="shared" si="91"/>
        <v>15.728460464544376</v>
      </c>
      <c r="AQ95" s="101">
        <f t="shared" si="91"/>
        <v>15.900771309947697</v>
      </c>
      <c r="AR95" s="101">
        <f t="shared" si="91"/>
        <v>16.074969881585289</v>
      </c>
      <c r="AS95" s="101">
        <f t="shared" si="91"/>
        <v>16.25107686016548</v>
      </c>
      <c r="AT95" s="101">
        <f t="shared" si="91"/>
        <v>16.429113152961069</v>
      </c>
      <c r="AU95" s="101">
        <f t="shared" si="91"/>
        <v>16.609099896291422</v>
      </c>
      <c r="AV95" s="101">
        <f t="shared" si="91"/>
        <v>16.791058458031756</v>
      </c>
      <c r="AW95" s="101">
        <f t="shared" si="91"/>
        <v>16.975010440149916</v>
      </c>
      <c r="AX95" s="101">
        <f t="shared" si="91"/>
        <v>17.160977681270939</v>
      </c>
      <c r="AY95" s="101">
        <f t="shared" si="91"/>
        <v>17.348982259269729</v>
      </c>
      <c r="AZ95" s="101">
        <f t="shared" si="91"/>
        <v>17.539046493892108</v>
      </c>
      <c r="BA95" s="101">
        <f t="shared" si="91"/>
        <v>17.731192949404608</v>
      </c>
      <c r="BB95" s="101">
        <f t="shared" si="91"/>
        <v>17.925444437273278</v>
      </c>
      <c r="BC95" s="101">
        <f t="shared" si="91"/>
        <v>18.121824018871845</v>
      </c>
      <c r="BD95" s="101">
        <f t="shared" si="91"/>
        <v>18.320355008219533</v>
      </c>
      <c r="BE95" s="101">
        <f t="shared" si="91"/>
        <v>18.521060974748895</v>
      </c>
      <c r="BF95" s="101">
        <f t="shared" si="91"/>
        <v>18.723965746103953</v>
      </c>
      <c r="BG95" s="101">
        <f t="shared" si="91"/>
        <v>18.929093410968989</v>
      </c>
      <c r="BH95" s="101">
        <f t="shared" si="91"/>
        <v>19.136468321928334</v>
      </c>
      <c r="BI95" s="101">
        <f t="shared" si="91"/>
        <v>19.346115098357501</v>
      </c>
      <c r="BJ95" s="101">
        <f t="shared" si="91"/>
        <v>19.558058629345961</v>
      </c>
      <c r="BK95" s="101">
        <f t="shared" si="91"/>
        <v>19.772324076651959</v>
      </c>
      <c r="BL95" s="101">
        <f t="shared" si="91"/>
        <v>19.988936877689699</v>
      </c>
      <c r="BM95" s="101">
        <f t="shared" si="91"/>
        <v>20.207922748549255</v>
      </c>
      <c r="BN95" s="101">
        <f t="shared" si="91"/>
        <v>20.429307687049551</v>
      </c>
    </row>
    <row r="96" spans="1:66" outlineLevel="1">
      <c r="A96"/>
      <c r="B96" t="s">
        <v>217</v>
      </c>
      <c r="C96" s="54" t="s">
        <v>153</v>
      </c>
      <c r="D96" s="44">
        <f>'BTX Recycling HC'!C251</f>
        <v>0</v>
      </c>
      <c r="E96" s="44">
        <f>'BTX Recycling HC'!D251</f>
        <v>3.4039389417713818E-3</v>
      </c>
      <c r="F96" s="44">
        <f>'BTX Recycling HC'!E251</f>
        <v>7.3024491368407773E-3</v>
      </c>
      <c r="G96" s="44">
        <f>'BTX Recycling HC'!F251</f>
        <v>1.1702537479041191E-2</v>
      </c>
      <c r="H96" s="44">
        <f>'BTX Recycling HC'!G251</f>
        <v>1.6605035663419511E-2</v>
      </c>
      <c r="I96" s="44">
        <f>'BTX Recycling HC'!H251</f>
        <v>2.2004216797951958E-2</v>
      </c>
      <c r="J96" s="44">
        <f>'BTX Recycling HC'!I251</f>
        <v>2.7960200361766285E-2</v>
      </c>
      <c r="K96" s="44">
        <f>'BTX Recycling HC'!J251</f>
        <v>3.449496036906459E-2</v>
      </c>
      <c r="L96" s="44">
        <f>'BTX Recycling HC'!K251</f>
        <v>4.1630054873085923E-2</v>
      </c>
      <c r="M96" s="44">
        <f>'BTX Recycling HC'!L251</f>
        <v>4.9386544691289419E-2</v>
      </c>
      <c r="N96" s="44">
        <f>'BTX Recycling HC'!M251</f>
        <v>5.7784910750598939E-2</v>
      </c>
      <c r="O96" s="44">
        <f>'BTX Recycling HC'!N251</f>
        <v>7.2831823663293618E-2</v>
      </c>
      <c r="P96" s="44">
        <f>'BTX Recycling HC'!O251</f>
        <v>8.9037192952566874E-2</v>
      </c>
      <c r="Q96" s="44">
        <f>'BTX Recycling HC'!P251</f>
        <v>0.10636010457576073</v>
      </c>
      <c r="R96" s="44">
        <f>'BTX Recycling HC'!Q251</f>
        <v>0.12474703533851901</v>
      </c>
      <c r="S96" s="44">
        <f>'BTX Recycling HC'!R251</f>
        <v>0.14413190970019166</v>
      </c>
      <c r="T96" s="44">
        <f>'BTX Recycling HC'!S251</f>
        <v>0.16474304223597677</v>
      </c>
      <c r="U96" s="44">
        <f>'BTX Recycling HC'!T251</f>
        <v>0.18660694628630964</v>
      </c>
      <c r="V96" s="44">
        <f>'BTX Recycling HC'!U251</f>
        <v>0.20974995788612089</v>
      </c>
      <c r="W96" s="44">
        <f>'BTX Recycling HC'!V251</f>
        <v>0.23419821306939409</v>
      </c>
      <c r="X96" s="44">
        <f>'BTX Recycling HC'!W251</f>
        <v>0.25997762492407217</v>
      </c>
      <c r="Y96" s="44">
        <f>'BTX Recycling HC'!X251</f>
        <v>0.29886499455250859</v>
      </c>
      <c r="Z96" s="44">
        <f>'BTX Recycling HC'!Y251</f>
        <v>0.33997713181861183</v>
      </c>
      <c r="AA96" s="44">
        <f>'BTX Recycling HC'!Z251</f>
        <v>0.38335815512189791</v>
      </c>
      <c r="AB96" s="44">
        <f>'BTX Recycling HC'!AA251</f>
        <v>0.42905185981503774</v>
      </c>
      <c r="AC96" s="44">
        <f>'BTX Recycling HC'!AB251</f>
        <v>0.47710168358046334</v>
      </c>
      <c r="AD96" s="44">
        <f>'BTX Recycling HC'!AC251</f>
        <v>0.52755571393408363</v>
      </c>
      <c r="AE96" s="44">
        <f>'BTX Recycling HC'!AD251</f>
        <v>0.58045807567859953</v>
      </c>
      <c r="AF96" s="44">
        <f>'BTX Recycling HC'!AE251</f>
        <v>0.63585257411162621</v>
      </c>
      <c r="AG96" s="44">
        <f>'BTX Recycling HC'!AF251</f>
        <v>0.6937826635791694</v>
      </c>
      <c r="AH96" s="44">
        <f>'BTX Recycling HC'!AG251</f>
        <v>0.75429141574799741</v>
      </c>
      <c r="AJ96" s="44">
        <f>D96</f>
        <v>0</v>
      </c>
      <c r="AK96" s="44">
        <f>E96</f>
        <v>3.4039389417713818E-3</v>
      </c>
      <c r="AL96" s="44">
        <f t="shared" ref="AL96:BA99" si="92">F96</f>
        <v>7.3024491368407773E-3</v>
      </c>
      <c r="AM96" s="44">
        <f t="shared" si="92"/>
        <v>1.1702537479041191E-2</v>
      </c>
      <c r="AN96" s="44">
        <f t="shared" si="92"/>
        <v>1.6605035663419511E-2</v>
      </c>
      <c r="AO96" s="44">
        <f t="shared" si="92"/>
        <v>2.2004216797951958E-2</v>
      </c>
      <c r="AP96" s="44">
        <f t="shared" si="92"/>
        <v>2.7960200361766285E-2</v>
      </c>
      <c r="AQ96" s="44">
        <f t="shared" si="92"/>
        <v>3.449496036906459E-2</v>
      </c>
      <c r="AR96" s="44">
        <f t="shared" si="92"/>
        <v>4.1630054873085923E-2</v>
      </c>
      <c r="AS96" s="44">
        <f t="shared" si="92"/>
        <v>4.9386544691289419E-2</v>
      </c>
      <c r="AT96" s="44">
        <f t="shared" si="92"/>
        <v>5.7784910750598939E-2</v>
      </c>
      <c r="AU96" s="44">
        <f t="shared" si="92"/>
        <v>7.2831823663293618E-2</v>
      </c>
      <c r="AV96" s="44">
        <f t="shared" si="92"/>
        <v>8.9037192952566874E-2</v>
      </c>
      <c r="AW96" s="44">
        <f t="shared" si="92"/>
        <v>0.10636010457576073</v>
      </c>
      <c r="AX96" s="44">
        <f t="shared" si="92"/>
        <v>0.12474703533851901</v>
      </c>
      <c r="AY96" s="44">
        <f t="shared" si="92"/>
        <v>0.14413190970019166</v>
      </c>
      <c r="AZ96" s="44">
        <f t="shared" si="92"/>
        <v>0.16474304223597677</v>
      </c>
      <c r="BA96" s="44">
        <f t="shared" si="92"/>
        <v>0.18660694628630964</v>
      </c>
      <c r="BB96" s="44">
        <f t="shared" ref="BB96:BN99" si="93">V96</f>
        <v>0.20974995788612089</v>
      </c>
      <c r="BC96" s="44">
        <f t="shared" si="93"/>
        <v>0.23419821306939409</v>
      </c>
      <c r="BD96" s="44">
        <f t="shared" si="93"/>
        <v>0.25997762492407217</v>
      </c>
      <c r="BE96" s="44">
        <f t="shared" si="93"/>
        <v>0.29886499455250859</v>
      </c>
      <c r="BF96" s="44">
        <f t="shared" si="93"/>
        <v>0.33997713181861183</v>
      </c>
      <c r="BG96" s="44">
        <f t="shared" si="93"/>
        <v>0.38335815512189791</v>
      </c>
      <c r="BH96" s="44">
        <f t="shared" si="93"/>
        <v>0.42905185981503774</v>
      </c>
      <c r="BI96" s="44">
        <f t="shared" si="93"/>
        <v>0.47710168358046334</v>
      </c>
      <c r="BJ96" s="44">
        <f t="shared" si="93"/>
        <v>0.52755571393408363</v>
      </c>
      <c r="BK96" s="44">
        <f t="shared" si="93"/>
        <v>0.58045807567859953</v>
      </c>
      <c r="BL96" s="44">
        <f t="shared" si="93"/>
        <v>0.63585257411162621</v>
      </c>
      <c r="BM96" s="44">
        <f t="shared" si="93"/>
        <v>0.6937826635791694</v>
      </c>
      <c r="BN96" s="44">
        <f t="shared" si="93"/>
        <v>0.75429141574799741</v>
      </c>
    </row>
    <row r="97" spans="1:66" outlineLevel="1">
      <c r="A97"/>
      <c r="B97" t="s">
        <v>222</v>
      </c>
      <c r="C97" s="54" t="s">
        <v>153</v>
      </c>
      <c r="D97" s="44">
        <f>'BTX Recycling HC'!C117</f>
        <v>0</v>
      </c>
      <c r="E97" s="44">
        <f>'BTX Recycling HC'!D117</f>
        <v>0.15776687501715392</v>
      </c>
      <c r="F97" s="44">
        <f>'BTX Recycling HC'!E117</f>
        <v>0.31714027152073054</v>
      </c>
      <c r="G97" s="44">
        <f>'BTX Recycling HC'!F117</f>
        <v>0.47719087643690328</v>
      </c>
      <c r="H97" s="44">
        <f>'BTX Recycling HC'!G117</f>
        <v>0.63693865638742508</v>
      </c>
      <c r="I97" s="44">
        <f>'BTX Recycling HC'!H117</f>
        <v>0.79536252496630588</v>
      </c>
      <c r="J97" s="44">
        <f>'BTX Recycling HC'!I117</f>
        <v>0.95826451125494438</v>
      </c>
      <c r="K97" s="44">
        <f>'BTX Recycling HC'!J117</f>
        <v>1.1256005540476939</v>
      </c>
      <c r="L97" s="44">
        <f>'BTX Recycling HC'!K117</f>
        <v>1.2973170442263289</v>
      </c>
      <c r="M97" s="44">
        <f>'BTX Recycling HC'!L117</f>
        <v>1.4733506368827345</v>
      </c>
      <c r="N97" s="44">
        <f>'BTX Recycling HC'!M117</f>
        <v>1.6536280850991565</v>
      </c>
      <c r="O97" s="44">
        <f>'BTX Recycling HC'!N117</f>
        <v>1.9651332445046199</v>
      </c>
      <c r="P97" s="44">
        <f>'BTX Recycling HC'!O117</f>
        <v>2.2788292285291334</v>
      </c>
      <c r="Q97" s="44">
        <f>'BTX Recycling HC'!P117</f>
        <v>2.5931480481011278</v>
      </c>
      <c r="R97" s="44">
        <f>'BTX Recycling HC'!Q117</f>
        <v>2.9064651411869802</v>
      </c>
      <c r="S97" s="44">
        <f>'BTX Recycling HC'!R117</f>
        <v>3.2171129059897341</v>
      </c>
      <c r="T97" s="44">
        <f>'BTX Recycling HC'!S117</f>
        <v>3.5337522751239812</v>
      </c>
      <c r="U97" s="44">
        <f>'BTX Recycling HC'!T117</f>
        <v>3.8563787139565386</v>
      </c>
      <c r="V97" s="44">
        <f>'BTX Recycling HC'!U117</f>
        <v>4.1849846519195708</v>
      </c>
      <c r="W97" s="44">
        <f>'BTX Recycling HC'!V117</f>
        <v>4.519559438866251</v>
      </c>
      <c r="X97" s="44">
        <f>'BTX Recycling HC'!W117</f>
        <v>4.8600893030476939</v>
      </c>
      <c r="Y97" s="44">
        <f>'BTX Recycling HC'!X117</f>
        <v>5.3651287828306398</v>
      </c>
      <c r="Z97" s="44">
        <f>'BTX Recycling HC'!Y117</f>
        <v>5.8797055691074771</v>
      </c>
      <c r="AA97" s="44">
        <f>'BTX Recycling HC'!Z117</f>
        <v>6.4038122146913867</v>
      </c>
      <c r="AB97" s="44">
        <f>'BTX Recycling HC'!AA117</f>
        <v>6.9374368511428859</v>
      </c>
      <c r="AC97" s="44">
        <f>'BTX Recycling HC'!AB117</f>
        <v>7.4805631300726549</v>
      </c>
      <c r="AD97" s="44">
        <f>'BTX Recycling HC'!AC117</f>
        <v>8.0332671521792243</v>
      </c>
      <c r="AE97" s="44">
        <f>'BTX Recycling HC'!AD117</f>
        <v>8.5955395218004185</v>
      </c>
      <c r="AF97" s="44">
        <f>'BTX Recycling HC'!AE117</f>
        <v>9.1673667675609707</v>
      </c>
      <c r="AG97" s="44">
        <f>'BTX Recycling HC'!AF117</f>
        <v>9.7487312915903086</v>
      </c>
      <c r="AH97" s="44">
        <f>'BTX Recycling HC'!AG117</f>
        <v>10.33961132058961</v>
      </c>
      <c r="AJ97" s="44">
        <f t="shared" ref="AJ97:AY99" si="94">D97</f>
        <v>0</v>
      </c>
      <c r="AK97" s="44">
        <f t="shared" si="94"/>
        <v>0.15776687501715392</v>
      </c>
      <c r="AL97" s="44">
        <f t="shared" si="94"/>
        <v>0.31714027152073054</v>
      </c>
      <c r="AM97" s="44">
        <f t="shared" si="94"/>
        <v>0.47719087643690328</v>
      </c>
      <c r="AN97" s="44">
        <f t="shared" si="94"/>
        <v>0.63693865638742508</v>
      </c>
      <c r="AO97" s="44">
        <f t="shared" si="94"/>
        <v>0.79536252496630588</v>
      </c>
      <c r="AP97" s="44">
        <f t="shared" si="94"/>
        <v>0.95826451125494438</v>
      </c>
      <c r="AQ97" s="44">
        <f t="shared" si="94"/>
        <v>1.1256005540476939</v>
      </c>
      <c r="AR97" s="44">
        <f t="shared" si="94"/>
        <v>1.2973170442263289</v>
      </c>
      <c r="AS97" s="44">
        <f t="shared" si="94"/>
        <v>1.4733506368827345</v>
      </c>
      <c r="AT97" s="44">
        <f t="shared" si="94"/>
        <v>1.6536280850991565</v>
      </c>
      <c r="AU97" s="44">
        <f t="shared" si="94"/>
        <v>1.9651332445046199</v>
      </c>
      <c r="AV97" s="44">
        <f t="shared" si="94"/>
        <v>2.2788292285291334</v>
      </c>
      <c r="AW97" s="44">
        <f t="shared" si="94"/>
        <v>2.5931480481011278</v>
      </c>
      <c r="AX97" s="44">
        <f t="shared" si="94"/>
        <v>2.9064651411869802</v>
      </c>
      <c r="AY97" s="44">
        <f t="shared" si="94"/>
        <v>3.2171129059897341</v>
      </c>
      <c r="AZ97" s="44">
        <f t="shared" si="92"/>
        <v>3.5337522751239812</v>
      </c>
      <c r="BA97" s="44">
        <f t="shared" si="92"/>
        <v>3.8563787139565386</v>
      </c>
      <c r="BB97" s="44">
        <f t="shared" si="93"/>
        <v>4.1849846519195708</v>
      </c>
      <c r="BC97" s="44">
        <f t="shared" si="93"/>
        <v>4.519559438866251</v>
      </c>
      <c r="BD97" s="44">
        <f t="shared" si="93"/>
        <v>4.8600893030476939</v>
      </c>
      <c r="BE97" s="44">
        <f t="shared" si="93"/>
        <v>5.3651287828306398</v>
      </c>
      <c r="BF97" s="44">
        <f t="shared" si="93"/>
        <v>5.8797055691074771</v>
      </c>
      <c r="BG97" s="44">
        <f t="shared" si="93"/>
        <v>6.4038122146913867</v>
      </c>
      <c r="BH97" s="44">
        <f t="shared" si="93"/>
        <v>6.9374368511428859</v>
      </c>
      <c r="BI97" s="44">
        <f t="shared" si="93"/>
        <v>7.4805631300726549</v>
      </c>
      <c r="BJ97" s="44">
        <f t="shared" si="93"/>
        <v>8.0332671521792243</v>
      </c>
      <c r="BK97" s="44">
        <f t="shared" si="93"/>
        <v>8.5955395218004185</v>
      </c>
      <c r="BL97" s="44">
        <f t="shared" si="93"/>
        <v>9.1673667675609707</v>
      </c>
      <c r="BM97" s="44">
        <f t="shared" si="93"/>
        <v>9.7487312915903086</v>
      </c>
      <c r="BN97" s="44">
        <f t="shared" si="93"/>
        <v>10.33961132058961</v>
      </c>
    </row>
    <row r="98" spans="1:66" outlineLevel="1">
      <c r="A98" s="181"/>
      <c r="B98" s="181" t="s">
        <v>218</v>
      </c>
      <c r="C98" s="176" t="s">
        <v>153</v>
      </c>
      <c r="D98" s="238">
        <f>'BTX Recycling HC'!C162</f>
        <v>0</v>
      </c>
      <c r="E98" s="238">
        <f>'BTX Recycling HC'!D162</f>
        <v>6.1242424012041621E-3</v>
      </c>
      <c r="F98" s="238">
        <f>'BTX Recycling HC'!E162</f>
        <v>1.2367139071990645E-2</v>
      </c>
      <c r="G98" s="238">
        <f>'BTX Recycling HC'!F162</f>
        <v>1.8666427257236547E-2</v>
      </c>
      <c r="H98" s="238">
        <f>'BTX Recycling HC'!G162</f>
        <v>2.4956413176890648E-2</v>
      </c>
      <c r="I98" s="238">
        <f>'BTX Recycling HC'!H162</f>
        <v>3.1168920317611631E-2</v>
      </c>
      <c r="J98" s="238">
        <f>'BTX Recycling HC'!I162</f>
        <v>3.7362573783696701E-2</v>
      </c>
      <c r="K98" s="238">
        <f>'BTX Recycling HC'!J162</f>
        <v>4.35059960958218E-2</v>
      </c>
      <c r="L98" s="238">
        <f>'BTX Recycling HC'!K162</f>
        <v>4.9566132504338098E-2</v>
      </c>
      <c r="M98" s="238">
        <f>'BTX Recycling HC'!L162</f>
        <v>5.5508294501964414E-2</v>
      </c>
      <c r="N98" s="238">
        <f>'BTX Recycling HC'!M162</f>
        <v>6.1296211933746431E-2</v>
      </c>
      <c r="O98" s="238">
        <f>'BTX Recycling HC'!N162</f>
        <v>7.3336727503361121E-2</v>
      </c>
      <c r="P98" s="238">
        <f>'BTX Recycling HC'!O162</f>
        <v>8.4878509501651739E-2</v>
      </c>
      <c r="Q98" s="238">
        <f>'BTX Recycling HC'!P162</f>
        <v>9.6031490365743821E-2</v>
      </c>
      <c r="R98" s="238">
        <f>'BTX Recycling HC'!Q162</f>
        <v>0.10647704131337207</v>
      </c>
      <c r="S98" s="238">
        <f>'BTX Recycling HC'!R162</f>
        <v>0.11609114111522215</v>
      </c>
      <c r="T98" s="238">
        <f>'BTX Recycling HC'!S162</f>
        <v>0.1250197815445841</v>
      </c>
      <c r="U98" s="238">
        <f>'BTX Recycling HC'!T162</f>
        <v>0.13319428475395725</v>
      </c>
      <c r="V98" s="238">
        <f>'BTX Recycling HC'!U162</f>
        <v>0.14054388466601844</v>
      </c>
      <c r="W98" s="238">
        <f>'BTX Recycling HC'!V162</f>
        <v>0.14699573292338933</v>
      </c>
      <c r="X98" s="238">
        <f>'BTX Recycling HC'!W162</f>
        <v>0.15247490722948756</v>
      </c>
      <c r="Y98" s="238">
        <f>'BTX Recycling HC'!X162</f>
        <v>0.16374172473584719</v>
      </c>
      <c r="Z98" s="238">
        <f>'BTX Recycling HC'!Y162</f>
        <v>0.1733872580581535</v>
      </c>
      <c r="AA98" s="238">
        <f>'BTX Recycling HC'!Z162</f>
        <v>0.1818791936811941</v>
      </c>
      <c r="AB98" s="238">
        <f>'BTX Recycling HC'!AA162</f>
        <v>0.18851989047672932</v>
      </c>
      <c r="AC98" s="238">
        <f>'BTX Recycling HC'!AB162</f>
        <v>0.19315473052002285</v>
      </c>
      <c r="AD98" s="238">
        <f>'BTX Recycling HC'!AC162</f>
        <v>0.19562616199498886</v>
      </c>
      <c r="AE98" s="238">
        <f>'BTX Recycling HC'!AD162</f>
        <v>0.19576957328906416</v>
      </c>
      <c r="AF98" s="238">
        <f>'BTX Recycling HC'!AE162</f>
        <v>0.19341519494719292</v>
      </c>
      <c r="AG98" s="238">
        <f>'BTX Recycling HC'!AF162</f>
        <v>0.18838807877304234</v>
      </c>
      <c r="AH98" s="238">
        <f>'BTX Recycling HC'!AG162</f>
        <v>0.18050808117478362</v>
      </c>
      <c r="AJ98" s="44">
        <f t="shared" si="94"/>
        <v>0</v>
      </c>
      <c r="AK98" s="44">
        <f t="shared" si="94"/>
        <v>6.1242424012041621E-3</v>
      </c>
      <c r="AL98" s="44">
        <f t="shared" si="94"/>
        <v>1.2367139071990645E-2</v>
      </c>
      <c r="AM98" s="44">
        <f t="shared" si="94"/>
        <v>1.8666427257236547E-2</v>
      </c>
      <c r="AN98" s="44">
        <f t="shared" si="94"/>
        <v>2.4956413176890648E-2</v>
      </c>
      <c r="AO98" s="44">
        <f t="shared" si="94"/>
        <v>3.1168920317611631E-2</v>
      </c>
      <c r="AP98" s="44">
        <f t="shared" si="94"/>
        <v>3.7362573783696701E-2</v>
      </c>
      <c r="AQ98" s="44">
        <f t="shared" si="94"/>
        <v>4.35059960958218E-2</v>
      </c>
      <c r="AR98" s="44">
        <f t="shared" si="94"/>
        <v>4.9566132504338098E-2</v>
      </c>
      <c r="AS98" s="44">
        <f t="shared" si="94"/>
        <v>5.5508294501964414E-2</v>
      </c>
      <c r="AT98" s="44">
        <f t="shared" si="94"/>
        <v>6.1296211933746431E-2</v>
      </c>
      <c r="AU98" s="44">
        <f t="shared" si="94"/>
        <v>7.3336727503361121E-2</v>
      </c>
      <c r="AV98" s="44">
        <f t="shared" si="94"/>
        <v>8.4878509501651739E-2</v>
      </c>
      <c r="AW98" s="44">
        <f t="shared" si="94"/>
        <v>9.6031490365743821E-2</v>
      </c>
      <c r="AX98" s="44">
        <f t="shared" si="94"/>
        <v>0.10647704131337207</v>
      </c>
      <c r="AY98" s="44">
        <f t="shared" si="94"/>
        <v>0.11609114111522215</v>
      </c>
      <c r="AZ98" s="44">
        <f t="shared" si="92"/>
        <v>0.1250197815445841</v>
      </c>
      <c r="BA98" s="44">
        <f t="shared" si="92"/>
        <v>0.13319428475395725</v>
      </c>
      <c r="BB98" s="44">
        <f t="shared" si="93"/>
        <v>0.14054388466601844</v>
      </c>
      <c r="BC98" s="44">
        <f t="shared" si="93"/>
        <v>0.14699573292338933</v>
      </c>
      <c r="BD98" s="44">
        <f t="shared" si="93"/>
        <v>0.15247490722948756</v>
      </c>
      <c r="BE98" s="44">
        <f t="shared" si="93"/>
        <v>0.16374172473584719</v>
      </c>
      <c r="BF98" s="44">
        <f t="shared" si="93"/>
        <v>0.1733872580581535</v>
      </c>
      <c r="BG98" s="44">
        <f t="shared" si="93"/>
        <v>0.1818791936811941</v>
      </c>
      <c r="BH98" s="44">
        <f t="shared" si="93"/>
        <v>0.18851989047672932</v>
      </c>
      <c r="BI98" s="44">
        <f t="shared" si="93"/>
        <v>0.19315473052002285</v>
      </c>
      <c r="BJ98" s="44">
        <f t="shared" si="93"/>
        <v>0.19562616199498886</v>
      </c>
      <c r="BK98" s="44">
        <f t="shared" si="93"/>
        <v>0.19576957328906416</v>
      </c>
      <c r="BL98" s="44">
        <f t="shared" si="93"/>
        <v>0.19341519494719292</v>
      </c>
      <c r="BM98" s="44">
        <f t="shared" si="93"/>
        <v>0.18838807877304234</v>
      </c>
      <c r="BN98" s="44">
        <f t="shared" si="93"/>
        <v>0.18050808117478362</v>
      </c>
    </row>
    <row r="99" spans="1:66" outlineLevel="1">
      <c r="A99" s="181"/>
      <c r="B99" s="181" t="s">
        <v>224</v>
      </c>
      <c r="C99" s="176" t="s">
        <v>153</v>
      </c>
      <c r="D99" s="238">
        <f>'BTX Recycling HC'!C224</f>
        <v>0</v>
      </c>
      <c r="E99" s="238">
        <f>'BTX Recycling HC'!D224</f>
        <v>-1.072732726938698E-2</v>
      </c>
      <c r="F99" s="238">
        <f>'BTX Recycling HC'!E224</f>
        <v>1.3453319674309169E-2</v>
      </c>
      <c r="G99" s="238">
        <f>'BTX Recycling HC'!F224</f>
        <v>4.0455022530981849E-2</v>
      </c>
      <c r="H99" s="238">
        <f>'BTX Recycling HC'!G224</f>
        <v>7.0323073520251911E-2</v>
      </c>
      <c r="I99" s="238">
        <f>'BTX Recycling HC'!H224</f>
        <v>0.10306997341614982</v>
      </c>
      <c r="J99" s="238">
        <f>'BTX Recycling HC'!I224</f>
        <v>0.13920965424580123</v>
      </c>
      <c r="K99" s="238">
        <f>'BTX Recycling HC'!J224</f>
        <v>0.17893347038534418</v>
      </c>
      <c r="L99" s="238">
        <f>'BTX Recycling HC'!K224</f>
        <v>0.22243503204622173</v>
      </c>
      <c r="M99" s="238">
        <f>'BTX Recycling HC'!L224</f>
        <v>0.26990969276705629</v>
      </c>
      <c r="N99" s="238">
        <f>'BTX Recycling HC'!M224</f>
        <v>0.32155400517229743</v>
      </c>
      <c r="O99" s="238">
        <f>'BTX Recycling HC'!N224</f>
        <v>0.39259132405301844</v>
      </c>
      <c r="P99" s="238">
        <f>'BTX Recycling HC'!O224</f>
        <v>0.47004253528092921</v>
      </c>
      <c r="Q99" s="238">
        <f>'BTX Recycling HC'!P224</f>
        <v>0.55389872698522302</v>
      </c>
      <c r="R99" s="238">
        <f>'BTX Recycling HC'!Q224</f>
        <v>0.64408704451991394</v>
      </c>
      <c r="S99" s="238">
        <f>'BTX Recycling HC'!R224</f>
        <v>0.74046769517366917</v>
      </c>
      <c r="T99" s="238">
        <f>'BTX Recycling HC'!S224</f>
        <v>0.84454872887598498</v>
      </c>
      <c r="U99" s="238">
        <f>'BTX Recycling HC'!T224</f>
        <v>0.95664930975373808</v>
      </c>
      <c r="V99" s="238">
        <f>'BTX Recycling HC'!U224</f>
        <v>1.0770934204623286</v>
      </c>
      <c r="W99" s="238">
        <f>'BTX Recycling HC'!V224</f>
        <v>1.2062097070208648</v>
      </c>
      <c r="X99" s="238">
        <f>'BTX Recycling HC'!W224</f>
        <v>1.3443313151878873</v>
      </c>
      <c r="Y99" s="238">
        <f>'BTX Recycling HC'!X224</f>
        <v>1.5320475214058478</v>
      </c>
      <c r="Z99" s="238">
        <f>'BTX Recycling HC'!Y224</f>
        <v>1.7341885866783651</v>
      </c>
      <c r="AA99" s="238">
        <f>'BTX Recycling HC'!Z224</f>
        <v>1.9513198989887743</v>
      </c>
      <c r="AB99" s="238">
        <f>'BTX Recycling HC'!AA224</f>
        <v>2.1840147729687045</v>
      </c>
      <c r="AC99" s="238">
        <f>'BTX Recycling HC'!AB224</f>
        <v>2.4328541964244046</v>
      </c>
      <c r="AD99" s="238">
        <f>'BTX Recycling HC'!AC224</f>
        <v>2.6984531172516619</v>
      </c>
      <c r="AE99" s="238">
        <f>'BTX Recycling HC'!AD224</f>
        <v>2.9814151216505826</v>
      </c>
      <c r="AF99" s="238">
        <f>'BTX Recycling HC'!AE224</f>
        <v>3.282351665682266</v>
      </c>
      <c r="AG99" s="238">
        <f>'BTX Recycling HC'!AF224</f>
        <v>3.6018818313283361</v>
      </c>
      <c r="AH99" s="238">
        <f>'BTX Recycling HC'!AG224</f>
        <v>3.9406320710234755</v>
      </c>
      <c r="AJ99" s="44">
        <f t="shared" si="94"/>
        <v>0</v>
      </c>
      <c r="AK99" s="44">
        <f t="shared" si="94"/>
        <v>-1.072732726938698E-2</v>
      </c>
      <c r="AL99" s="44">
        <f t="shared" si="94"/>
        <v>1.3453319674309169E-2</v>
      </c>
      <c r="AM99" s="44">
        <f t="shared" si="94"/>
        <v>4.0455022530981849E-2</v>
      </c>
      <c r="AN99" s="44">
        <f t="shared" si="94"/>
        <v>7.0323073520251911E-2</v>
      </c>
      <c r="AO99" s="44">
        <f t="shared" si="94"/>
        <v>0.10306997341614982</v>
      </c>
      <c r="AP99" s="44">
        <f t="shared" si="94"/>
        <v>0.13920965424580123</v>
      </c>
      <c r="AQ99" s="44">
        <f t="shared" si="94"/>
        <v>0.17893347038534418</v>
      </c>
      <c r="AR99" s="44">
        <f t="shared" si="94"/>
        <v>0.22243503204622173</v>
      </c>
      <c r="AS99" s="44">
        <f t="shared" si="94"/>
        <v>0.26990969276705629</v>
      </c>
      <c r="AT99" s="44">
        <f t="shared" si="94"/>
        <v>0.32155400517229743</v>
      </c>
      <c r="AU99" s="44">
        <f t="shared" si="94"/>
        <v>0.39259132405301844</v>
      </c>
      <c r="AV99" s="44">
        <f t="shared" si="94"/>
        <v>0.47004253528092921</v>
      </c>
      <c r="AW99" s="44">
        <f t="shared" si="94"/>
        <v>0.55389872698522302</v>
      </c>
      <c r="AX99" s="44">
        <f t="shared" si="94"/>
        <v>0.64408704451991394</v>
      </c>
      <c r="AY99" s="44">
        <f t="shared" si="94"/>
        <v>0.74046769517366917</v>
      </c>
      <c r="AZ99" s="44">
        <f t="shared" si="92"/>
        <v>0.84454872887598498</v>
      </c>
      <c r="BA99" s="44">
        <f t="shared" si="92"/>
        <v>0.95664930975373808</v>
      </c>
      <c r="BB99" s="44">
        <f t="shared" si="93"/>
        <v>1.0770934204623286</v>
      </c>
      <c r="BC99" s="44">
        <f t="shared" si="93"/>
        <v>1.2062097070208648</v>
      </c>
      <c r="BD99" s="44">
        <f t="shared" si="93"/>
        <v>1.3443313151878873</v>
      </c>
      <c r="BE99" s="44">
        <f t="shared" si="93"/>
        <v>1.5320475214058478</v>
      </c>
      <c r="BF99" s="44">
        <f t="shared" si="93"/>
        <v>1.7341885866783651</v>
      </c>
      <c r="BG99" s="44">
        <f t="shared" si="93"/>
        <v>1.9513198989887743</v>
      </c>
      <c r="BH99" s="44">
        <f t="shared" si="93"/>
        <v>2.1840147729687045</v>
      </c>
      <c r="BI99" s="44">
        <f t="shared" si="93"/>
        <v>2.4328541964244046</v>
      </c>
      <c r="BJ99" s="44">
        <f t="shared" si="93"/>
        <v>2.6984531172516619</v>
      </c>
      <c r="BK99" s="44">
        <f t="shared" si="93"/>
        <v>2.9814151216505826</v>
      </c>
      <c r="BL99" s="44">
        <f t="shared" si="93"/>
        <v>3.282351665682266</v>
      </c>
      <c r="BM99" s="44">
        <f t="shared" si="93"/>
        <v>3.6018818313283361</v>
      </c>
      <c r="BN99" s="44">
        <f t="shared" si="93"/>
        <v>3.9406320710234755</v>
      </c>
    </row>
    <row r="100" spans="1:66" outlineLevel="1">
      <c r="A100" s="239"/>
      <c r="B100" s="239" t="s">
        <v>219</v>
      </c>
      <c r="C100" s="240" t="s">
        <v>153</v>
      </c>
      <c r="D100" s="241">
        <f>D95-D96-D97-D98-D99</f>
        <v>14.733107457344531</v>
      </c>
      <c r="E100" s="241">
        <f t="shared" ref="E100:AG100" si="95">E95-E96-E97-E98-E99</f>
        <v>14.737946129542443</v>
      </c>
      <c r="F100" s="241">
        <f t="shared" si="95"/>
        <v>14.707425344711549</v>
      </c>
      <c r="G100" s="241">
        <f t="shared" si="95"/>
        <v>14.674635962046501</v>
      </c>
      <c r="H100" s="241">
        <f t="shared" si="95"/>
        <v>14.640597168977035</v>
      </c>
      <c r="I100" s="241">
        <f t="shared" si="95"/>
        <v>14.606411253278255</v>
      </c>
      <c r="J100" s="241">
        <f t="shared" si="95"/>
        <v>14.565663524898168</v>
      </c>
      <c r="K100" s="241">
        <f t="shared" si="95"/>
        <v>14.518236329049772</v>
      </c>
      <c r="L100" s="241">
        <f t="shared" si="95"/>
        <v>14.464021617935314</v>
      </c>
      <c r="M100" s="241">
        <f t="shared" si="95"/>
        <v>14.402921691322437</v>
      </c>
      <c r="N100" s="241">
        <f t="shared" si="95"/>
        <v>14.33484994000527</v>
      </c>
      <c r="O100" s="241">
        <f t="shared" si="95"/>
        <v>14.105206776567128</v>
      </c>
      <c r="P100" s="241">
        <f t="shared" si="95"/>
        <v>13.868270991767474</v>
      </c>
      <c r="Q100" s="241">
        <f t="shared" si="95"/>
        <v>13.625572070122061</v>
      </c>
      <c r="R100" s="241">
        <f t="shared" si="95"/>
        <v>13.379201418912153</v>
      </c>
      <c r="S100" s="241">
        <f t="shared" si="95"/>
        <v>13.131178607290913</v>
      </c>
      <c r="T100" s="241">
        <f t="shared" si="95"/>
        <v>12.870982666111583</v>
      </c>
      <c r="U100" s="241">
        <f t="shared" si="95"/>
        <v>12.598363694654065</v>
      </c>
      <c r="V100" s="241">
        <f t="shared" si="95"/>
        <v>12.31307252233924</v>
      </c>
      <c r="W100" s="241">
        <f t="shared" si="95"/>
        <v>12.014860926991945</v>
      </c>
      <c r="X100" s="241">
        <f t="shared" si="95"/>
        <v>11.703481857830392</v>
      </c>
      <c r="Y100" s="241">
        <f t="shared" si="95"/>
        <v>11.161277951224051</v>
      </c>
      <c r="Z100" s="241">
        <f t="shared" si="95"/>
        <v>10.596707200441347</v>
      </c>
      <c r="AA100" s="241">
        <f t="shared" si="95"/>
        <v>10.008723948485736</v>
      </c>
      <c r="AB100" s="241">
        <f t="shared" si="95"/>
        <v>9.3974449475249777</v>
      </c>
      <c r="AC100" s="241">
        <f t="shared" si="95"/>
        <v>8.762441357759954</v>
      </c>
      <c r="AD100" s="241">
        <f t="shared" si="95"/>
        <v>8.1031564839860017</v>
      </c>
      <c r="AE100" s="241">
        <f t="shared" si="95"/>
        <v>7.4191417842332932</v>
      </c>
      <c r="AF100" s="241">
        <f t="shared" si="95"/>
        <v>6.7099506753876428</v>
      </c>
      <c r="AG100" s="241">
        <f t="shared" si="95"/>
        <v>5.9751388832783956</v>
      </c>
      <c r="AH100" s="241">
        <f>AH95-AH96-AH97-AH98-AH99</f>
        <v>5.2142647985136854</v>
      </c>
      <c r="AJ100" s="241">
        <f>AJ95-AJ96-AJ97-AJ98-AJ99</f>
        <v>14.733107457344531</v>
      </c>
      <c r="AK100" s="241">
        <f t="shared" ref="AK100:BN100" si="96">AK95-AK96-AK97-AK98-AK99</f>
        <v>14.737946129542443</v>
      </c>
      <c r="AL100" s="241">
        <f t="shared" si="96"/>
        <v>14.707425344711549</v>
      </c>
      <c r="AM100" s="241">
        <f t="shared" si="96"/>
        <v>14.674635962046501</v>
      </c>
      <c r="AN100" s="241">
        <f t="shared" si="96"/>
        <v>14.640597168977035</v>
      </c>
      <c r="AO100" s="241">
        <f t="shared" si="96"/>
        <v>14.606411253278255</v>
      </c>
      <c r="AP100" s="241">
        <f t="shared" si="96"/>
        <v>14.565663524898168</v>
      </c>
      <c r="AQ100" s="241">
        <f t="shared" si="96"/>
        <v>14.518236329049772</v>
      </c>
      <c r="AR100" s="241">
        <f t="shared" si="96"/>
        <v>14.464021617935314</v>
      </c>
      <c r="AS100" s="241">
        <f t="shared" si="96"/>
        <v>14.402921691322437</v>
      </c>
      <c r="AT100" s="241">
        <f t="shared" si="96"/>
        <v>14.33484994000527</v>
      </c>
      <c r="AU100" s="241">
        <f t="shared" si="96"/>
        <v>14.105206776567128</v>
      </c>
      <c r="AV100" s="241">
        <f t="shared" si="96"/>
        <v>13.868270991767474</v>
      </c>
      <c r="AW100" s="241">
        <f t="shared" si="96"/>
        <v>13.625572070122061</v>
      </c>
      <c r="AX100" s="241">
        <f t="shared" si="96"/>
        <v>13.379201418912153</v>
      </c>
      <c r="AY100" s="241">
        <f t="shared" si="96"/>
        <v>13.131178607290913</v>
      </c>
      <c r="AZ100" s="241">
        <f t="shared" si="96"/>
        <v>12.870982666111583</v>
      </c>
      <c r="BA100" s="241">
        <f t="shared" si="96"/>
        <v>12.598363694654065</v>
      </c>
      <c r="BB100" s="241">
        <f t="shared" si="96"/>
        <v>12.31307252233924</v>
      </c>
      <c r="BC100" s="241">
        <f t="shared" si="96"/>
        <v>12.014860926991945</v>
      </c>
      <c r="BD100" s="241">
        <f t="shared" si="96"/>
        <v>11.703481857830392</v>
      </c>
      <c r="BE100" s="241">
        <f t="shared" si="96"/>
        <v>11.161277951224051</v>
      </c>
      <c r="BF100" s="241">
        <f t="shared" si="96"/>
        <v>10.596707200441347</v>
      </c>
      <c r="BG100" s="241">
        <f t="shared" si="96"/>
        <v>10.008723948485736</v>
      </c>
      <c r="BH100" s="241">
        <f t="shared" si="96"/>
        <v>9.3974449475249777</v>
      </c>
      <c r="BI100" s="241">
        <f t="shared" si="96"/>
        <v>8.762441357759954</v>
      </c>
      <c r="BJ100" s="241">
        <f t="shared" si="96"/>
        <v>8.1031564839860017</v>
      </c>
      <c r="BK100" s="241">
        <f t="shared" si="96"/>
        <v>7.4191417842332932</v>
      </c>
      <c r="BL100" s="241">
        <f t="shared" si="96"/>
        <v>6.7099506753876428</v>
      </c>
      <c r="BM100" s="241">
        <f t="shared" si="96"/>
        <v>5.9751388832783956</v>
      </c>
      <c r="BN100" s="241">
        <f t="shared" si="96"/>
        <v>5.2142647985136854</v>
      </c>
    </row>
    <row r="101" spans="1:66" s="67" customFormat="1" outlineLevel="1">
      <c r="A101" s="752"/>
      <c r="B101" s="58" t="s">
        <v>7</v>
      </c>
      <c r="C101" s="59" t="s">
        <v>153</v>
      </c>
      <c r="D101" s="60">
        <f>D42-'Overall recycling rates'!$G$60/SUM('Overall recycling rates'!$G$60:$G$62)*('BTX Recycling HC'!C225+'BTX Recycling HC'!C252+'BTX Recycling HC'!C163+'BTX Recycling HC'!C118)-'Overall recycling rates'!$E$60/SUM('Overall recycling rates'!$E$60:$E$62)*('BTX Recycling HC'!C226+'BTX Recycling HC'!C253+'BTX Recycling HC'!C164+'BTX Recycling HC'!C119)-'Overall recycling rates'!$H$60/SUM('Overall recycling rates'!$H$60:$H$62)*('BTX Recycling HC'!C227+'BTX Recycling HC'!C254+'BTX Recycling HC'!C165+'BTX Recycling HC'!C120)-'Overall recycling rates'!$I$60/SUM('Overall recycling rates'!$I$60:$I$62)*('BTX Recycling HC'!C228+'BTX Recycling HC'!C255+'BTX Recycling HC'!C166+'BTX Recycling HC'!C121)</f>
        <v>12.002819069097551</v>
      </c>
      <c r="E101" s="60">
        <f>E42-'Overall recycling rates'!$G$60/SUM('Overall recycling rates'!$G$60:$G$62)*('BTX Recycling HC'!D225+'BTX Recycling HC'!D252+'BTX Recycling HC'!D163+'BTX Recycling HC'!D118)-'Overall recycling rates'!$E$60/SUM('Overall recycling rates'!$E$60:$E$62)*('BTX Recycling HC'!D226+'BTX Recycling HC'!D253+'BTX Recycling HC'!D164+'BTX Recycling HC'!D119)-'Overall recycling rates'!$H$60/SUM('Overall recycling rates'!$H$60:$H$62)*('BTX Recycling HC'!D227+'BTX Recycling HC'!D254+'BTX Recycling HC'!D165+'BTX Recycling HC'!D120)-'Overall recycling rates'!$I$60/SUM('Overall recycling rates'!$I$60:$I$62)*('BTX Recycling HC'!D228+'BTX Recycling HC'!D255+'BTX Recycling HC'!D166+'BTX Recycling HC'!D121)</f>
        <v>12.079179342695511</v>
      </c>
      <c r="F101" s="60">
        <f>F42-'Overall recycling rates'!$G$60/SUM('Overall recycling rates'!$G$60:$G$62)*('BTX Recycling HC'!E225+'BTX Recycling HC'!E252+'BTX Recycling HC'!E163+'BTX Recycling HC'!E118)-'Overall recycling rates'!$E$60/SUM('Overall recycling rates'!$E$60:$E$62)*('BTX Recycling HC'!E226+'BTX Recycling HC'!E253+'BTX Recycling HC'!E164+'BTX Recycling HC'!E119)-'Overall recycling rates'!$H$60/SUM('Overall recycling rates'!$H$60:$H$62)*('BTX Recycling HC'!E227+'BTX Recycling HC'!E254+'BTX Recycling HC'!E165+'BTX Recycling HC'!E120)-'Overall recycling rates'!$I$60/SUM('Overall recycling rates'!$I$60:$I$62)*('BTX Recycling HC'!E228+'BTX Recycling HC'!E255+'BTX Recycling HC'!E166+'BTX Recycling HC'!E121)</f>
        <v>12.148839242115157</v>
      </c>
      <c r="G101" s="60">
        <f>G42-'Overall recycling rates'!$G$60/SUM('Overall recycling rates'!$G$60:$G$62)*('BTX Recycling HC'!F225+'BTX Recycling HC'!F252+'BTX Recycling HC'!F163+'BTX Recycling HC'!F118)-'Overall recycling rates'!$E$60/SUM('Overall recycling rates'!$E$60:$E$62)*('BTX Recycling HC'!F226+'BTX Recycling HC'!F253+'BTX Recycling HC'!F164+'BTX Recycling HC'!F119)-'Overall recycling rates'!$H$60/SUM('Overall recycling rates'!$H$60:$H$62)*('BTX Recycling HC'!F227+'BTX Recycling HC'!F254+'BTX Recycling HC'!F165+'BTX Recycling HC'!F120)-'Overall recycling rates'!$I$60/SUM('Overall recycling rates'!$I$60:$I$62)*('BTX Recycling HC'!F228+'BTX Recycling HC'!F255+'BTX Recycling HC'!F166+'BTX Recycling HC'!F121)</f>
        <v>12.213139596797888</v>
      </c>
      <c r="H101" s="60">
        <f>H42-'Overall recycling rates'!$G$60/SUM('Overall recycling rates'!$G$60:$G$62)*('BTX Recycling HC'!G225+'BTX Recycling HC'!G252+'BTX Recycling HC'!G163+'BTX Recycling HC'!G118)-'Overall recycling rates'!$E$60/SUM('Overall recycling rates'!$E$60:$E$62)*('BTX Recycling HC'!G226+'BTX Recycling HC'!G253+'BTX Recycling HC'!G164+'BTX Recycling HC'!G119)-'Overall recycling rates'!$H$60/SUM('Overall recycling rates'!$H$60:$H$62)*('BTX Recycling HC'!G227+'BTX Recycling HC'!G254+'BTX Recycling HC'!G165+'BTX Recycling HC'!G120)-'Overall recycling rates'!$I$60/SUM('Overall recycling rates'!$I$60:$I$62)*('BTX Recycling HC'!G228+'BTX Recycling HC'!G255+'BTX Recycling HC'!G166+'BTX Recycling HC'!G121)</f>
        <v>12.272207574858831</v>
      </c>
      <c r="I101" s="60">
        <f>I42-'Overall recycling rates'!$G$60/SUM('Overall recycling rates'!$G$60:$G$62)*('BTX Recycling HC'!H225+'BTX Recycling HC'!H252+'BTX Recycling HC'!H163+'BTX Recycling HC'!H118)-'Overall recycling rates'!$E$60/SUM('Overall recycling rates'!$E$60:$E$62)*('BTX Recycling HC'!H226+'BTX Recycling HC'!H253+'BTX Recycling HC'!H164+'BTX Recycling HC'!H119)-'Overall recycling rates'!$H$60/SUM('Overall recycling rates'!$H$60:$H$62)*('BTX Recycling HC'!H227+'BTX Recycling HC'!H254+'BTX Recycling HC'!H165+'BTX Recycling HC'!H120)-'Overall recycling rates'!$I$60/SUM('Overall recycling rates'!$I$60:$I$62)*('BTX Recycling HC'!H228+'BTX Recycling HC'!H255+'BTX Recycling HC'!H166+'BTX Recycling HC'!H121)</f>
        <v>12.326260415620819</v>
      </c>
      <c r="J101" s="60">
        <f>J42-'Overall recycling rates'!$G$60/SUM('Overall recycling rates'!$G$60:$G$62)*('BTX Recycling HC'!I225+'BTX Recycling HC'!I252+'BTX Recycling HC'!I163+'BTX Recycling HC'!I118)-'Overall recycling rates'!$E$60/SUM('Overall recycling rates'!$E$60:$E$62)*('BTX Recycling HC'!I226+'BTX Recycling HC'!I253+'BTX Recycling HC'!I164+'BTX Recycling HC'!I119)-'Overall recycling rates'!$H$60/SUM('Overall recycling rates'!$H$60:$H$62)*('BTX Recycling HC'!I227+'BTX Recycling HC'!I254+'BTX Recycling HC'!I165+'BTX Recycling HC'!I120)-'Overall recycling rates'!$I$60/SUM('Overall recycling rates'!$I$60:$I$62)*('BTX Recycling HC'!I228+'BTX Recycling HC'!I255+'BTX Recycling HC'!I166+'BTX Recycling HC'!I121)</f>
        <v>12.374590434059776</v>
      </c>
      <c r="K101" s="60">
        <f>K42-'Overall recycling rates'!$G$60/SUM('Overall recycling rates'!$G$60:$G$62)*('BTX Recycling HC'!J225+'BTX Recycling HC'!J252+'BTX Recycling HC'!J163+'BTX Recycling HC'!J118)-'Overall recycling rates'!$E$60/SUM('Overall recycling rates'!$E$60:$E$62)*('BTX Recycling HC'!J226+'BTX Recycling HC'!J253+'BTX Recycling HC'!J164+'BTX Recycling HC'!J119)-'Overall recycling rates'!$H$60/SUM('Overall recycling rates'!$H$60:$H$62)*('BTX Recycling HC'!J227+'BTX Recycling HC'!J254+'BTX Recycling HC'!J165+'BTX Recycling HC'!J120)-'Overall recycling rates'!$I$60/SUM('Overall recycling rates'!$I$60:$I$62)*('BTX Recycling HC'!J228+'BTX Recycling HC'!J255+'BTX Recycling HC'!J166+'BTX Recycling HC'!J121)</f>
        <v>12.416975244733711</v>
      </c>
      <c r="L101" s="60">
        <f>L42-'Overall recycling rates'!$G$60/SUM('Overall recycling rates'!$G$60:$G$62)*('BTX Recycling HC'!K225+'BTX Recycling HC'!K252+'BTX Recycling HC'!K163+'BTX Recycling HC'!K118)-'Overall recycling rates'!$E$60/SUM('Overall recycling rates'!$E$60:$E$62)*('BTX Recycling HC'!K226+'BTX Recycling HC'!K253+'BTX Recycling HC'!K164+'BTX Recycling HC'!K119)-'Overall recycling rates'!$H$60/SUM('Overall recycling rates'!$H$60:$H$62)*('BTX Recycling HC'!K227+'BTX Recycling HC'!K254+'BTX Recycling HC'!K165+'BTX Recycling HC'!K120)-'Overall recycling rates'!$I$60/SUM('Overall recycling rates'!$I$60:$I$62)*('BTX Recycling HC'!K228+'BTX Recycling HC'!K255+'BTX Recycling HC'!K166+'BTX Recycling HC'!K121)</f>
        <v>12.453199916710984</v>
      </c>
      <c r="M101" s="60">
        <f>M42-'Overall recycling rates'!$G$60/SUM('Overall recycling rates'!$G$60:$G$62)*('BTX Recycling HC'!L225+'BTX Recycling HC'!L252+'BTX Recycling HC'!L163+'BTX Recycling HC'!L118)-'Overall recycling rates'!$E$60/SUM('Overall recycling rates'!$E$60:$E$62)*('BTX Recycling HC'!L226+'BTX Recycling HC'!L253+'BTX Recycling HC'!L164+'BTX Recycling HC'!L119)-'Overall recycling rates'!$H$60/SUM('Overall recycling rates'!$H$60:$H$62)*('BTX Recycling HC'!L227+'BTX Recycling HC'!L254+'BTX Recycling HC'!L165+'BTX Recycling HC'!L120)-'Overall recycling rates'!$I$60/SUM('Overall recycling rates'!$I$60:$I$62)*('BTX Recycling HC'!L228+'BTX Recycling HC'!L255+'BTX Recycling HC'!L166+'BTX Recycling HC'!L121)</f>
        <v>12.483057942546901</v>
      </c>
      <c r="N101" s="60">
        <f>N42-'Overall recycling rates'!$G$60/SUM('Overall recycling rates'!$G$60:$G$62)*('BTX Recycling HC'!M225+'BTX Recycling HC'!M252+'BTX Recycling HC'!M163+'BTX Recycling HC'!M118)-'Overall recycling rates'!$E$60/SUM('Overall recycling rates'!$E$60:$E$62)*('BTX Recycling HC'!M226+'BTX Recycling HC'!M253+'BTX Recycling HC'!M164+'BTX Recycling HC'!M119)-'Overall recycling rates'!$H$60/SUM('Overall recycling rates'!$H$60:$H$62)*('BTX Recycling HC'!M227+'BTX Recycling HC'!M254+'BTX Recycling HC'!M165+'BTX Recycling HC'!M120)-'Overall recycling rates'!$I$60/SUM('Overall recycling rates'!$I$60:$I$62)*('BTX Recycling HC'!M228+'BTX Recycling HC'!M255+'BTX Recycling HC'!M166+'BTX Recycling HC'!M121)</f>
        <v>12.506352215322437</v>
      </c>
      <c r="O101" s="60">
        <f>O42-'Overall recycling rates'!$G$60/SUM('Overall recycling rates'!$G$60:$G$62)*('BTX Recycling HC'!N225+'BTX Recycling HC'!N252+'BTX Recycling HC'!N163+'BTX Recycling HC'!N118)-'Overall recycling rates'!$E$60/SUM('Overall recycling rates'!$E$60:$E$62)*('BTX Recycling HC'!N226+'BTX Recycling HC'!N253+'BTX Recycling HC'!N164+'BTX Recycling HC'!N119)-'Overall recycling rates'!$H$60/SUM('Overall recycling rates'!$H$60:$H$62)*('BTX Recycling HC'!N227+'BTX Recycling HC'!N254+'BTX Recycling HC'!N165+'BTX Recycling HC'!N120)-'Overall recycling rates'!$I$60/SUM('Overall recycling rates'!$I$60:$I$62)*('BTX Recycling HC'!N228+'BTX Recycling HC'!N255+'BTX Recycling HC'!N166+'BTX Recycling HC'!N121)</f>
        <v>12.485353263254215</v>
      </c>
      <c r="P101" s="60">
        <f>P42-'Overall recycling rates'!$G$60/SUM('Overall recycling rates'!$G$60:$G$62)*('BTX Recycling HC'!O225+'BTX Recycling HC'!O252+'BTX Recycling HC'!O163+'BTX Recycling HC'!O118)-'Overall recycling rates'!$E$60/SUM('Overall recycling rates'!$E$60:$E$62)*('BTX Recycling HC'!O226+'BTX Recycling HC'!O253+'BTX Recycling HC'!O164+'BTX Recycling HC'!O119)-'Overall recycling rates'!$H$60/SUM('Overall recycling rates'!$H$60:$H$62)*('BTX Recycling HC'!O227+'BTX Recycling HC'!O254+'BTX Recycling HC'!O165+'BTX Recycling HC'!O120)-'Overall recycling rates'!$I$60/SUM('Overall recycling rates'!$I$60:$I$62)*('BTX Recycling HC'!O228+'BTX Recycling HC'!O255+'BTX Recycling HC'!O166+'BTX Recycling HC'!O121)</f>
        <v>12.452833419650281</v>
      </c>
      <c r="Q101" s="60">
        <f>Q42-'Overall recycling rates'!$G$60/SUM('Overall recycling rates'!$G$60:$G$62)*('BTX Recycling HC'!P225+'BTX Recycling HC'!P252+'BTX Recycling HC'!P163+'BTX Recycling HC'!P118)-'Overall recycling rates'!$E$60/SUM('Overall recycling rates'!$E$60:$E$62)*('BTX Recycling HC'!P226+'BTX Recycling HC'!P253+'BTX Recycling HC'!P164+'BTX Recycling HC'!P119)-'Overall recycling rates'!$H$60/SUM('Overall recycling rates'!$H$60:$H$62)*('BTX Recycling HC'!P227+'BTX Recycling HC'!P254+'BTX Recycling HC'!P165+'BTX Recycling HC'!P120)-'Overall recycling rates'!$I$60/SUM('Overall recycling rates'!$I$60:$I$62)*('BTX Recycling HC'!P228+'BTX Recycling HC'!P255+'BTX Recycling HC'!P166+'BTX Recycling HC'!P121)</f>
        <v>12.409089752274351</v>
      </c>
      <c r="R101" s="60">
        <f>R42-'Overall recycling rates'!$G$60/SUM('Overall recycling rates'!$G$60:$G$62)*('BTX Recycling HC'!Q225+'BTX Recycling HC'!Q252+'BTX Recycling HC'!Q163+'BTX Recycling HC'!Q118)-'Overall recycling rates'!$E$60/SUM('Overall recycling rates'!$E$60:$E$62)*('BTX Recycling HC'!Q226+'BTX Recycling HC'!Q253+'BTX Recycling HC'!Q164+'BTX Recycling HC'!Q119)-'Overall recycling rates'!$H$60/SUM('Overall recycling rates'!$H$60:$H$62)*('BTX Recycling HC'!Q227+'BTX Recycling HC'!Q254+'BTX Recycling HC'!Q165+'BTX Recycling HC'!Q120)-'Overall recycling rates'!$I$60/SUM('Overall recycling rates'!$I$60:$I$62)*('BTX Recycling HC'!Q228+'BTX Recycling HC'!Q255+'BTX Recycling HC'!Q166+'BTX Recycling HC'!Q121)</f>
        <v>12.354865737924186</v>
      </c>
      <c r="S101" s="60">
        <f>S42-'Overall recycling rates'!$G$60/SUM('Overall recycling rates'!$G$60:$G$62)*('BTX Recycling HC'!R225+'BTX Recycling HC'!R252+'BTX Recycling HC'!R163+'BTX Recycling HC'!R118)-'Overall recycling rates'!$E$60/SUM('Overall recycling rates'!$E$60:$E$62)*('BTX Recycling HC'!R226+'BTX Recycling HC'!R253+'BTX Recycling HC'!R164+'BTX Recycling HC'!R119)-'Overall recycling rates'!$H$60/SUM('Overall recycling rates'!$H$60:$H$62)*('BTX Recycling HC'!R227+'BTX Recycling HC'!R254+'BTX Recycling HC'!R165+'BTX Recycling HC'!R120)-'Overall recycling rates'!$I$60/SUM('Overall recycling rates'!$I$60:$I$62)*('BTX Recycling HC'!R228+'BTX Recycling HC'!R255+'BTX Recycling HC'!R166+'BTX Recycling HC'!R121)</f>
        <v>12.290916798651185</v>
      </c>
      <c r="T101" s="60">
        <f>T42-'Overall recycling rates'!$G$60/SUM('Overall recycling rates'!$G$60:$G$62)*('BTX Recycling HC'!S225+'BTX Recycling HC'!S252+'BTX Recycling HC'!S163+'BTX Recycling HC'!S118)-'Overall recycling rates'!$E$60/SUM('Overall recycling rates'!$E$60:$E$62)*('BTX Recycling HC'!S226+'BTX Recycling HC'!S253+'BTX Recycling HC'!S164+'BTX Recycling HC'!S119)-'Overall recycling rates'!$H$60/SUM('Overall recycling rates'!$H$60:$H$62)*('BTX Recycling HC'!S227+'BTX Recycling HC'!S254+'BTX Recycling HC'!S165+'BTX Recycling HC'!S120)-'Overall recycling rates'!$I$60/SUM('Overall recycling rates'!$I$60:$I$62)*('BTX Recycling HC'!S228+'BTX Recycling HC'!S255+'BTX Recycling HC'!S166+'BTX Recycling HC'!S121)</f>
        <v>12.214351425444516</v>
      </c>
      <c r="U101" s="60">
        <f>U42-'Overall recycling rates'!$G$60/SUM('Overall recycling rates'!$G$60:$G$62)*('BTX Recycling HC'!T225+'BTX Recycling HC'!T252+'BTX Recycling HC'!T163+'BTX Recycling HC'!T118)-'Overall recycling rates'!$E$60/SUM('Overall recycling rates'!$E$60:$E$62)*('BTX Recycling HC'!T226+'BTX Recycling HC'!T253+'BTX Recycling HC'!T164+'BTX Recycling HC'!T119)-'Overall recycling rates'!$H$60/SUM('Overall recycling rates'!$H$60:$H$62)*('BTX Recycling HC'!T227+'BTX Recycling HC'!T254+'BTX Recycling HC'!T165+'BTX Recycling HC'!T120)-'Overall recycling rates'!$I$60/SUM('Overall recycling rates'!$I$60:$I$62)*('BTX Recycling HC'!T228+'BTX Recycling HC'!T255+'BTX Recycling HC'!T166+'BTX Recycling HC'!T121)</f>
        <v>12.12489396417606</v>
      </c>
      <c r="V101" s="60">
        <f>V42-'Overall recycling rates'!$G$60/SUM('Overall recycling rates'!$G$60:$G$62)*('BTX Recycling HC'!U225+'BTX Recycling HC'!U252+'BTX Recycling HC'!U163+'BTX Recycling HC'!U118)-'Overall recycling rates'!$E$60/SUM('Overall recycling rates'!$E$60:$E$62)*('BTX Recycling HC'!U226+'BTX Recycling HC'!U253+'BTX Recycling HC'!U164+'BTX Recycling HC'!U119)-'Overall recycling rates'!$H$60/SUM('Overall recycling rates'!$H$60:$H$62)*('BTX Recycling HC'!U227+'BTX Recycling HC'!U254+'BTX Recycling HC'!U165+'BTX Recycling HC'!U120)-'Overall recycling rates'!$I$60/SUM('Overall recycling rates'!$I$60:$I$62)*('BTX Recycling HC'!U228+'BTX Recycling HC'!U255+'BTX Recycling HC'!U166+'BTX Recycling HC'!U121)</f>
        <v>12.02227205694953</v>
      </c>
      <c r="W101" s="60">
        <f>W42-'Overall recycling rates'!$G$60/SUM('Overall recycling rates'!$G$60:$G$62)*('BTX Recycling HC'!V225+'BTX Recycling HC'!V252+'BTX Recycling HC'!V163+'BTX Recycling HC'!V118)-'Overall recycling rates'!$E$60/SUM('Overall recycling rates'!$E$60:$E$62)*('BTX Recycling HC'!V226+'BTX Recycling HC'!V253+'BTX Recycling HC'!V164+'BTX Recycling HC'!V119)-'Overall recycling rates'!$H$60/SUM('Overall recycling rates'!$H$60:$H$62)*('BTX Recycling HC'!V227+'BTX Recycling HC'!V254+'BTX Recycling HC'!V165+'BTX Recycling HC'!V120)-'Overall recycling rates'!$I$60/SUM('Overall recycling rates'!$I$60:$I$62)*('BTX Recycling HC'!V228+'BTX Recycling HC'!V255+'BTX Recycling HC'!V166+'BTX Recycling HC'!V121)</f>
        <v>11.90621691646516</v>
      </c>
      <c r="X101" s="60">
        <f>X42-'Overall recycling rates'!$G$60/SUM('Overall recycling rates'!$G$60:$G$62)*('BTX Recycling HC'!W225+'BTX Recycling HC'!W252+'BTX Recycling HC'!W163+'BTX Recycling HC'!W118)-'Overall recycling rates'!$E$60/SUM('Overall recycling rates'!$E$60:$E$62)*('BTX Recycling HC'!W226+'BTX Recycling HC'!W253+'BTX Recycling HC'!W164+'BTX Recycling HC'!W119)-'Overall recycling rates'!$H$60/SUM('Overall recycling rates'!$H$60:$H$62)*('BTX Recycling HC'!W227+'BTX Recycling HC'!W254+'BTX Recycling HC'!W165+'BTX Recycling HC'!W120)-'Overall recycling rates'!$I$60/SUM('Overall recycling rates'!$I$60:$I$62)*('BTX Recycling HC'!W228+'BTX Recycling HC'!W255+'BTX Recycling HC'!W166+'BTX Recycling HC'!W121)</f>
        <v>11.776463601965188</v>
      </c>
      <c r="Y101" s="60">
        <f>Y42-'Overall recycling rates'!$G$60/SUM('Overall recycling rates'!$G$60:$G$62)*('BTX Recycling HC'!X225+'BTX Recycling HC'!X252+'BTX Recycling HC'!X163+'BTX Recycling HC'!X118)-'Overall recycling rates'!$E$60/SUM('Overall recycling rates'!$E$60:$E$62)*('BTX Recycling HC'!X226+'BTX Recycling HC'!X253+'BTX Recycling HC'!X164+'BTX Recycling HC'!X119)-'Overall recycling rates'!$H$60/SUM('Overall recycling rates'!$H$60:$H$62)*('BTX Recycling HC'!X227+'BTX Recycling HC'!X254+'BTX Recycling HC'!X165+'BTX Recycling HC'!X120)-'Overall recycling rates'!$I$60/SUM('Overall recycling rates'!$I$60:$I$62)*('BTX Recycling HC'!X228+'BTX Recycling HC'!X255+'BTX Recycling HC'!X166+'BTX Recycling HC'!X121)</f>
        <v>11.553362176025917</v>
      </c>
      <c r="Z101" s="60">
        <f>Z42-'Overall recycling rates'!$G$60/SUM('Overall recycling rates'!$G$60:$G$62)*('BTX Recycling HC'!Y225+'BTX Recycling HC'!Y252+'BTX Recycling HC'!Y163+'BTX Recycling HC'!Y118)-'Overall recycling rates'!$E$60/SUM('Overall recycling rates'!$E$60:$E$62)*('BTX Recycling HC'!Y226+'BTX Recycling HC'!Y253+'BTX Recycling HC'!Y164+'BTX Recycling HC'!Y119)-'Overall recycling rates'!$H$60/SUM('Overall recycling rates'!$H$60:$H$62)*('BTX Recycling HC'!Y227+'BTX Recycling HC'!Y254+'BTX Recycling HC'!Y165+'BTX Recycling HC'!Y120)-'Overall recycling rates'!$I$60/SUM('Overall recycling rates'!$I$60:$I$62)*('BTX Recycling HC'!Y228+'BTX Recycling HC'!Y255+'BTX Recycling HC'!Y166+'BTX Recycling HC'!Y121)</f>
        <v>11.308210351898786</v>
      </c>
      <c r="AA101" s="60">
        <f>AA42-'Overall recycling rates'!$G$60/SUM('Overall recycling rates'!$G$60:$G$62)*('BTX Recycling HC'!Z225+'BTX Recycling HC'!Z252+'BTX Recycling HC'!Z163+'BTX Recycling HC'!Z118)-'Overall recycling rates'!$E$60/SUM('Overall recycling rates'!$E$60:$E$62)*('BTX Recycling HC'!Z226+'BTX Recycling HC'!Z253+'BTX Recycling HC'!Z164+'BTX Recycling HC'!Z119)-'Overall recycling rates'!$H$60/SUM('Overall recycling rates'!$H$60:$H$62)*('BTX Recycling HC'!Z227+'BTX Recycling HC'!Z254+'BTX Recycling HC'!Z165+'BTX Recycling HC'!Z120)-'Overall recycling rates'!$I$60/SUM('Overall recycling rates'!$I$60:$I$62)*('BTX Recycling HC'!Z228+'BTX Recycling HC'!Z255+'BTX Recycling HC'!Z166+'BTX Recycling HC'!Z121)</f>
        <v>11.040192284493905</v>
      </c>
      <c r="AB101" s="60">
        <f>AB42-'Overall recycling rates'!$G$60/SUM('Overall recycling rates'!$G$60:$G$62)*('BTX Recycling HC'!AA225+'BTX Recycling HC'!AA252+'BTX Recycling HC'!AA163+'BTX Recycling HC'!AA118)-'Overall recycling rates'!$E$60/SUM('Overall recycling rates'!$E$60:$E$62)*('BTX Recycling HC'!AA226+'BTX Recycling HC'!AA253+'BTX Recycling HC'!AA164+'BTX Recycling HC'!AA119)-'Overall recycling rates'!$H$60/SUM('Overall recycling rates'!$H$60:$H$62)*('BTX Recycling HC'!AA227+'BTX Recycling HC'!AA254+'BTX Recycling HC'!AA165+'BTX Recycling HC'!AA120)-'Overall recycling rates'!$I$60/SUM('Overall recycling rates'!$I$60:$I$62)*('BTX Recycling HC'!AA228+'BTX Recycling HC'!AA255+'BTX Recycling HC'!AA166+'BTX Recycling HC'!AA121)</f>
        <v>10.749250455819423</v>
      </c>
      <c r="AC101" s="60">
        <f>AC42-'Overall recycling rates'!$G$60/SUM('Overall recycling rates'!$G$60:$G$62)*('BTX Recycling HC'!AB225+'BTX Recycling HC'!AB252+'BTX Recycling HC'!AB163+'BTX Recycling HC'!AB118)-'Overall recycling rates'!$E$60/SUM('Overall recycling rates'!$E$60:$E$62)*('BTX Recycling HC'!AB226+'BTX Recycling HC'!AB253+'BTX Recycling HC'!AB164+'BTX Recycling HC'!AB119)-'Overall recycling rates'!$H$60/SUM('Overall recycling rates'!$H$60:$H$62)*('BTX Recycling HC'!AB227+'BTX Recycling HC'!AB254+'BTX Recycling HC'!AB165+'BTX Recycling HC'!AB120)-'Overall recycling rates'!$I$60/SUM('Overall recycling rates'!$I$60:$I$62)*('BTX Recycling HC'!AB228+'BTX Recycling HC'!AB255+'BTX Recycling HC'!AB166+'BTX Recycling HC'!AB121)</f>
        <v>10.434975934307886</v>
      </c>
      <c r="AD101" s="60">
        <f>AD42-'Overall recycling rates'!$G$60/SUM('Overall recycling rates'!$G$60:$G$62)*('BTX Recycling HC'!AC225+'BTX Recycling HC'!AC252+'BTX Recycling HC'!AC163+'BTX Recycling HC'!AC118)-'Overall recycling rates'!$E$60/SUM('Overall recycling rates'!$E$60:$E$62)*('BTX Recycling HC'!AC226+'BTX Recycling HC'!AC253+'BTX Recycling HC'!AC164+'BTX Recycling HC'!AC119)-'Overall recycling rates'!$H$60/SUM('Overall recycling rates'!$H$60:$H$62)*('BTX Recycling HC'!AC227+'BTX Recycling HC'!AC254+'BTX Recycling HC'!AC165+'BTX Recycling HC'!AC120)-'Overall recycling rates'!$I$60/SUM('Overall recycling rates'!$I$60:$I$62)*('BTX Recycling HC'!AC228+'BTX Recycling HC'!AC255+'BTX Recycling HC'!AC166+'BTX Recycling HC'!AC121)</f>
        <v>10.096910940872684</v>
      </c>
      <c r="AE101" s="60">
        <f>AE42-'Overall recycling rates'!$G$60/SUM('Overall recycling rates'!$G$60:$G$62)*('BTX Recycling HC'!AD225+'BTX Recycling HC'!AD252+'BTX Recycling HC'!AD163+'BTX Recycling HC'!AD118)-'Overall recycling rates'!$E$60/SUM('Overall recycling rates'!$E$60:$E$62)*('BTX Recycling HC'!AD226+'BTX Recycling HC'!AD253+'BTX Recycling HC'!AD164+'BTX Recycling HC'!AD119)-'Overall recycling rates'!$H$60/SUM('Overall recycling rates'!$H$60:$H$62)*('BTX Recycling HC'!AD227+'BTX Recycling HC'!AD254+'BTX Recycling HC'!AD165+'BTX Recycling HC'!AD120)-'Overall recycling rates'!$I$60/SUM('Overall recycling rates'!$I$60:$I$62)*('BTX Recycling HC'!AD228+'BTX Recycling HC'!AD255+'BTX Recycling HC'!AD166+'BTX Recycling HC'!AD121)</f>
        <v>9.7346449057456574</v>
      </c>
      <c r="AF101" s="60">
        <f>AF42-'Overall recycling rates'!$G$60/SUM('Overall recycling rates'!$G$60:$G$62)*('BTX Recycling HC'!AE225+'BTX Recycling HC'!AE252+'BTX Recycling HC'!AE163+'BTX Recycling HC'!AE118)-'Overall recycling rates'!$E$60/SUM('Overall recycling rates'!$E$60:$E$62)*('BTX Recycling HC'!AE226+'BTX Recycling HC'!AE253+'BTX Recycling HC'!AE164+'BTX Recycling HC'!AE119)-'Overall recycling rates'!$H$60/SUM('Overall recycling rates'!$H$60:$H$62)*('BTX Recycling HC'!AE227+'BTX Recycling HC'!AE254+'BTX Recycling HC'!AE165+'BTX Recycling HC'!AE120)-'Overall recycling rates'!$I$60/SUM('Overall recycling rates'!$I$60:$I$62)*('BTX Recycling HC'!AE228+'BTX Recycling HC'!AE255+'BTX Recycling HC'!AE166+'BTX Recycling HC'!AE121)</f>
        <v>9.3477731180459536</v>
      </c>
      <c r="AG101" s="60">
        <f>AG42-'Overall recycling rates'!$G$60/SUM('Overall recycling rates'!$G$60:$G$62)*('BTX Recycling HC'!AF225+'BTX Recycling HC'!AF252+'BTX Recycling HC'!AF163+'BTX Recycling HC'!AF118)-'Overall recycling rates'!$E$60/SUM('Overall recycling rates'!$E$60:$E$62)*('BTX Recycling HC'!AF226+'BTX Recycling HC'!AF253+'BTX Recycling HC'!AF164+'BTX Recycling HC'!AF119)-'Overall recycling rates'!$H$60/SUM('Overall recycling rates'!$H$60:$H$62)*('BTX Recycling HC'!AF227+'BTX Recycling HC'!AF254+'BTX Recycling HC'!AF165+'BTX Recycling HC'!AF120)-'Overall recycling rates'!$I$60/SUM('Overall recycling rates'!$I$60:$I$62)*('BTX Recycling HC'!AF228+'BTX Recycling HC'!AF255+'BTX Recycling HC'!AF166+'BTX Recycling HC'!AF121)</f>
        <v>8.9358970528497501</v>
      </c>
      <c r="AH101" s="60">
        <f>AH42-'Overall recycling rates'!$G$60/SUM('Overall recycling rates'!$G$60:$G$62)*('BTX Recycling HC'!AG225+'BTX Recycling HC'!AG252+'BTX Recycling HC'!AG163+'BTX Recycling HC'!AG118)-'Overall recycling rates'!$E$60/SUM('Overall recycling rates'!$E$60:$E$62)*('BTX Recycling HC'!AG226+'BTX Recycling HC'!AG253+'BTX Recycling HC'!AG164+'BTX Recycling HC'!AG119)-'Overall recycling rates'!$H$60/SUM('Overall recycling rates'!$H$60:$H$62)*('BTX Recycling HC'!AG227+'BTX Recycling HC'!AG254+'BTX Recycling HC'!AG165+'BTX Recycling HC'!AG120)-'Overall recycling rates'!$I$60/SUM('Overall recycling rates'!$I$60:$I$62)*('BTX Recycling HC'!AG228+'BTX Recycling HC'!AG255+'BTX Recycling HC'!AG166+'BTX Recycling HC'!AG121)</f>
        <v>8.4986246977276174</v>
      </c>
      <c r="AJ101" s="60">
        <f>AJ42-'Overall recycling rates'!$G$60/SUM('Overall recycling rates'!$G$60:$G$62)*('BTX Recycling HC'!C225+'BTX Recycling HC'!C252+'BTX Recycling HC'!C163+'BTX Recycling HC'!C118)-'Overall recycling rates'!$E$60/SUM('Overall recycling rates'!$E$60:$E$62)*('BTX Recycling HC'!C226+'BTX Recycling HC'!C253+'BTX Recycling HC'!C164+'BTX Recycling HC'!C119)-'Overall recycling rates'!$H$60/SUM('Overall recycling rates'!$H$60:$H$62)*('BTX Recycling HC'!C227+'BTX Recycling HC'!C254+'BTX Recycling HC'!C165+'BTX Recycling HC'!C120)-'Overall recycling rates'!$I$60/SUM('Overall recycling rates'!$I$60:$I$62)*('BTX Recycling HC'!C228+'BTX Recycling HC'!C255+'BTX Recycling HC'!C166+'BTX Recycling HC'!C121)</f>
        <v>12.002819069097551</v>
      </c>
      <c r="AK101" s="60">
        <f>AK42-'Overall recycling rates'!$G$60/SUM('Overall recycling rates'!$G$60:$G$62)*('BTX Recycling HC'!D225+'BTX Recycling HC'!D252+'BTX Recycling HC'!D163+'BTX Recycling HC'!D118)-'Overall recycling rates'!$E$60/SUM('Overall recycling rates'!$E$60:$E$62)*('BTX Recycling HC'!D226+'BTX Recycling HC'!D253+'BTX Recycling HC'!D164+'BTX Recycling HC'!D119)-'Overall recycling rates'!$H$60/SUM('Overall recycling rates'!$H$60:$H$62)*('BTX Recycling HC'!D227+'BTX Recycling HC'!D254+'BTX Recycling HC'!D165+'BTX Recycling HC'!D120)-'Overall recycling rates'!$I$60/SUM('Overall recycling rates'!$I$60:$I$62)*('BTX Recycling HC'!D228+'BTX Recycling HC'!D255+'BTX Recycling HC'!D166+'BTX Recycling HC'!D121)</f>
        <v>12.079179342695511</v>
      </c>
      <c r="AL101" s="60">
        <f>AL42-'Overall recycling rates'!$G$60/SUM('Overall recycling rates'!$G$60:$G$62)*('BTX Recycling HC'!E225+'BTX Recycling HC'!E252+'BTX Recycling HC'!E163+'BTX Recycling HC'!E118)-'Overall recycling rates'!$E$60/SUM('Overall recycling rates'!$E$60:$E$62)*('BTX Recycling HC'!E226+'BTX Recycling HC'!E253+'BTX Recycling HC'!E164+'BTX Recycling HC'!E119)-'Overall recycling rates'!$H$60/SUM('Overall recycling rates'!$H$60:$H$62)*('BTX Recycling HC'!E227+'BTX Recycling HC'!E254+'BTX Recycling HC'!E165+'BTX Recycling HC'!E120)-'Overall recycling rates'!$I$60/SUM('Overall recycling rates'!$I$60:$I$62)*('BTX Recycling HC'!E228+'BTX Recycling HC'!E255+'BTX Recycling HC'!E166+'BTX Recycling HC'!E121)</f>
        <v>12.148839242115157</v>
      </c>
      <c r="AM101" s="60">
        <f>AM42-'Overall recycling rates'!$G$60/SUM('Overall recycling rates'!$G$60:$G$62)*('BTX Recycling HC'!F225+'BTX Recycling HC'!F252+'BTX Recycling HC'!F163+'BTX Recycling HC'!F118)-'Overall recycling rates'!$E$60/SUM('Overall recycling rates'!$E$60:$E$62)*('BTX Recycling HC'!F226+'BTX Recycling HC'!F253+'BTX Recycling HC'!F164+'BTX Recycling HC'!F119)-'Overall recycling rates'!$H$60/SUM('Overall recycling rates'!$H$60:$H$62)*('BTX Recycling HC'!F227+'BTX Recycling HC'!F254+'BTX Recycling HC'!F165+'BTX Recycling HC'!F120)-'Overall recycling rates'!$I$60/SUM('Overall recycling rates'!$I$60:$I$62)*('BTX Recycling HC'!F228+'BTX Recycling HC'!F255+'BTX Recycling HC'!F166+'BTX Recycling HC'!F121)</f>
        <v>12.213139596797888</v>
      </c>
      <c r="AN101" s="60">
        <f>AN42-'Overall recycling rates'!$G$60/SUM('Overall recycling rates'!$G$60:$G$62)*('BTX Recycling HC'!G225+'BTX Recycling HC'!G252+'BTX Recycling HC'!G163+'BTX Recycling HC'!G118)-'Overall recycling rates'!$E$60/SUM('Overall recycling rates'!$E$60:$E$62)*('BTX Recycling HC'!G226+'BTX Recycling HC'!G253+'BTX Recycling HC'!G164+'BTX Recycling HC'!G119)-'Overall recycling rates'!$H$60/SUM('Overall recycling rates'!$H$60:$H$62)*('BTX Recycling HC'!G227+'BTX Recycling HC'!G254+'BTX Recycling HC'!G165+'BTX Recycling HC'!G120)-'Overall recycling rates'!$I$60/SUM('Overall recycling rates'!$I$60:$I$62)*('BTX Recycling HC'!G228+'BTX Recycling HC'!G255+'BTX Recycling HC'!G166+'BTX Recycling HC'!G121)</f>
        <v>12.272207574858831</v>
      </c>
      <c r="AO101" s="60">
        <f>AO42-'Overall recycling rates'!$G$60/SUM('Overall recycling rates'!$G$60:$G$62)*('BTX Recycling HC'!H225+'BTX Recycling HC'!H252+'BTX Recycling HC'!H163+'BTX Recycling HC'!H118)-'Overall recycling rates'!$E$60/SUM('Overall recycling rates'!$E$60:$E$62)*('BTX Recycling HC'!H226+'BTX Recycling HC'!H253+'BTX Recycling HC'!H164+'BTX Recycling HC'!H119)-'Overall recycling rates'!$H$60/SUM('Overall recycling rates'!$H$60:$H$62)*('BTX Recycling HC'!H227+'BTX Recycling HC'!H254+'BTX Recycling HC'!H165+'BTX Recycling HC'!H120)-'Overall recycling rates'!$I$60/SUM('Overall recycling rates'!$I$60:$I$62)*('BTX Recycling HC'!H228+'BTX Recycling HC'!H255+'BTX Recycling HC'!H166+'BTX Recycling HC'!H121)</f>
        <v>12.326260415620819</v>
      </c>
      <c r="AP101" s="60">
        <f>AP42-'Overall recycling rates'!$G$60/SUM('Overall recycling rates'!$G$60:$G$62)*('BTX Recycling HC'!I225+'BTX Recycling HC'!I252+'BTX Recycling HC'!I163+'BTX Recycling HC'!I118)-'Overall recycling rates'!$E$60/SUM('Overall recycling rates'!$E$60:$E$62)*('BTX Recycling HC'!I226+'BTX Recycling HC'!I253+'BTX Recycling HC'!I164+'BTX Recycling HC'!I119)-'Overall recycling rates'!$H$60/SUM('Overall recycling rates'!$H$60:$H$62)*('BTX Recycling HC'!I227+'BTX Recycling HC'!I254+'BTX Recycling HC'!I165+'BTX Recycling HC'!I120)-'Overall recycling rates'!$I$60/SUM('Overall recycling rates'!$I$60:$I$62)*('BTX Recycling HC'!I228+'BTX Recycling HC'!I255+'BTX Recycling HC'!I166+'BTX Recycling HC'!I121)</f>
        <v>12.374590434059776</v>
      </c>
      <c r="AQ101" s="60">
        <f>AQ42-'Overall recycling rates'!$G$60/SUM('Overall recycling rates'!$G$60:$G$62)*('BTX Recycling HC'!J225+'BTX Recycling HC'!J252+'BTX Recycling HC'!J163+'BTX Recycling HC'!J118)-'Overall recycling rates'!$E$60/SUM('Overall recycling rates'!$E$60:$E$62)*('BTX Recycling HC'!J226+'BTX Recycling HC'!J253+'BTX Recycling HC'!J164+'BTX Recycling HC'!J119)-'Overall recycling rates'!$H$60/SUM('Overall recycling rates'!$H$60:$H$62)*('BTX Recycling HC'!J227+'BTX Recycling HC'!J254+'BTX Recycling HC'!J165+'BTX Recycling HC'!J120)-'Overall recycling rates'!$I$60/SUM('Overall recycling rates'!$I$60:$I$62)*('BTX Recycling HC'!J228+'BTX Recycling HC'!J255+'BTX Recycling HC'!J166+'BTX Recycling HC'!J121)</f>
        <v>12.416975244733711</v>
      </c>
      <c r="AR101" s="60">
        <f>AR42-'Overall recycling rates'!$G$60/SUM('Overall recycling rates'!$G$60:$G$62)*('BTX Recycling HC'!K225+'BTX Recycling HC'!K252+'BTX Recycling HC'!K163+'BTX Recycling HC'!K118)-'Overall recycling rates'!$E$60/SUM('Overall recycling rates'!$E$60:$E$62)*('BTX Recycling HC'!K226+'BTX Recycling HC'!K253+'BTX Recycling HC'!K164+'BTX Recycling HC'!K119)-'Overall recycling rates'!$H$60/SUM('Overall recycling rates'!$H$60:$H$62)*('BTX Recycling HC'!K227+'BTX Recycling HC'!K254+'BTX Recycling HC'!K165+'BTX Recycling HC'!K120)-'Overall recycling rates'!$I$60/SUM('Overall recycling rates'!$I$60:$I$62)*('BTX Recycling HC'!K228+'BTX Recycling HC'!K255+'BTX Recycling HC'!K166+'BTX Recycling HC'!K121)</f>
        <v>12.453199916710984</v>
      </c>
      <c r="AS101" s="60">
        <f>AS42-'Overall recycling rates'!$G$60/SUM('Overall recycling rates'!$G$60:$G$62)*('BTX Recycling HC'!L225+'BTX Recycling HC'!L252+'BTX Recycling HC'!L163+'BTX Recycling HC'!L118)-'Overall recycling rates'!$E$60/SUM('Overall recycling rates'!$E$60:$E$62)*('BTX Recycling HC'!L226+'BTX Recycling HC'!L253+'BTX Recycling HC'!L164+'BTX Recycling HC'!L119)-'Overall recycling rates'!$H$60/SUM('Overall recycling rates'!$H$60:$H$62)*('BTX Recycling HC'!L227+'BTX Recycling HC'!L254+'BTX Recycling HC'!L165+'BTX Recycling HC'!L120)-'Overall recycling rates'!$I$60/SUM('Overall recycling rates'!$I$60:$I$62)*('BTX Recycling HC'!L228+'BTX Recycling HC'!L255+'BTX Recycling HC'!L166+'BTX Recycling HC'!L121)</f>
        <v>12.483057942546901</v>
      </c>
      <c r="AT101" s="60">
        <f>AT42-'Overall recycling rates'!$G$60/SUM('Overall recycling rates'!$G$60:$G$62)*('BTX Recycling HC'!M225+'BTX Recycling HC'!M252+'BTX Recycling HC'!M163+'BTX Recycling HC'!M118)-'Overall recycling rates'!$E$60/SUM('Overall recycling rates'!$E$60:$E$62)*('BTX Recycling HC'!M226+'BTX Recycling HC'!M253+'BTX Recycling HC'!M164+'BTX Recycling HC'!M119)-'Overall recycling rates'!$H$60/SUM('Overall recycling rates'!$H$60:$H$62)*('BTX Recycling HC'!M227+'BTX Recycling HC'!M254+'BTX Recycling HC'!M165+'BTX Recycling HC'!M120)-'Overall recycling rates'!$I$60/SUM('Overall recycling rates'!$I$60:$I$62)*('BTX Recycling HC'!M228+'BTX Recycling HC'!M255+'BTX Recycling HC'!M166+'BTX Recycling HC'!M121)</f>
        <v>12.506352215322437</v>
      </c>
      <c r="AU101" s="60">
        <f>AU42-'Overall recycling rates'!$G$60/SUM('Overall recycling rates'!$G$60:$G$62)*('BTX Recycling HC'!N225+'BTX Recycling HC'!N252+'BTX Recycling HC'!N163+'BTX Recycling HC'!N118)-'Overall recycling rates'!$E$60/SUM('Overall recycling rates'!$E$60:$E$62)*('BTX Recycling HC'!N226+'BTX Recycling HC'!N253+'BTX Recycling HC'!N164+'BTX Recycling HC'!N119)-'Overall recycling rates'!$H$60/SUM('Overall recycling rates'!$H$60:$H$62)*('BTX Recycling HC'!N227+'BTX Recycling HC'!N254+'BTX Recycling HC'!N165+'BTX Recycling HC'!N120)-'Overall recycling rates'!$I$60/SUM('Overall recycling rates'!$I$60:$I$62)*('BTX Recycling HC'!N228+'BTX Recycling HC'!N255+'BTX Recycling HC'!N166+'BTX Recycling HC'!N121)</f>
        <v>12.485353263254215</v>
      </c>
      <c r="AV101" s="60">
        <f>AV42-'Overall recycling rates'!$G$60/SUM('Overall recycling rates'!$G$60:$G$62)*('BTX Recycling HC'!O225+'BTX Recycling HC'!O252+'BTX Recycling HC'!O163+'BTX Recycling HC'!O118)-'Overall recycling rates'!$E$60/SUM('Overall recycling rates'!$E$60:$E$62)*('BTX Recycling HC'!O226+'BTX Recycling HC'!O253+'BTX Recycling HC'!O164+'BTX Recycling HC'!O119)-'Overall recycling rates'!$H$60/SUM('Overall recycling rates'!$H$60:$H$62)*('BTX Recycling HC'!O227+'BTX Recycling HC'!O254+'BTX Recycling HC'!O165+'BTX Recycling HC'!O120)-'Overall recycling rates'!$I$60/SUM('Overall recycling rates'!$I$60:$I$62)*('BTX Recycling HC'!O228+'BTX Recycling HC'!O255+'BTX Recycling HC'!O166+'BTX Recycling HC'!O121)</f>
        <v>12.452833419650281</v>
      </c>
      <c r="AW101" s="60">
        <f>AW42-'Overall recycling rates'!$G$60/SUM('Overall recycling rates'!$G$60:$G$62)*('BTX Recycling HC'!P225+'BTX Recycling HC'!P252+'BTX Recycling HC'!P163+'BTX Recycling HC'!P118)-'Overall recycling rates'!$E$60/SUM('Overall recycling rates'!$E$60:$E$62)*('BTX Recycling HC'!P226+'BTX Recycling HC'!P253+'BTX Recycling HC'!P164+'BTX Recycling HC'!P119)-'Overall recycling rates'!$H$60/SUM('Overall recycling rates'!$H$60:$H$62)*('BTX Recycling HC'!P227+'BTX Recycling HC'!P254+'BTX Recycling HC'!P165+'BTX Recycling HC'!P120)-'Overall recycling rates'!$I$60/SUM('Overall recycling rates'!$I$60:$I$62)*('BTX Recycling HC'!P228+'BTX Recycling HC'!P255+'BTX Recycling HC'!P166+'BTX Recycling HC'!P121)</f>
        <v>12.409089752274351</v>
      </c>
      <c r="AX101" s="60">
        <f>AX42-'Overall recycling rates'!$G$60/SUM('Overall recycling rates'!$G$60:$G$62)*('BTX Recycling HC'!Q225+'BTX Recycling HC'!Q252+'BTX Recycling HC'!Q163+'BTX Recycling HC'!Q118)-'Overall recycling rates'!$E$60/SUM('Overall recycling rates'!$E$60:$E$62)*('BTX Recycling HC'!Q226+'BTX Recycling HC'!Q253+'BTX Recycling HC'!Q164+'BTX Recycling HC'!Q119)-'Overall recycling rates'!$H$60/SUM('Overall recycling rates'!$H$60:$H$62)*('BTX Recycling HC'!Q227+'BTX Recycling HC'!Q254+'BTX Recycling HC'!Q165+'BTX Recycling HC'!Q120)-'Overall recycling rates'!$I$60/SUM('Overall recycling rates'!$I$60:$I$62)*('BTX Recycling HC'!Q228+'BTX Recycling HC'!Q255+'BTX Recycling HC'!Q166+'BTX Recycling HC'!Q121)</f>
        <v>12.354865737924186</v>
      </c>
      <c r="AY101" s="60">
        <f>AY42-'Overall recycling rates'!$G$60/SUM('Overall recycling rates'!$G$60:$G$62)*('BTX Recycling HC'!R225+'BTX Recycling HC'!R252+'BTX Recycling HC'!R163+'BTX Recycling HC'!R118)-'Overall recycling rates'!$E$60/SUM('Overall recycling rates'!$E$60:$E$62)*('BTX Recycling HC'!R226+'BTX Recycling HC'!R253+'BTX Recycling HC'!R164+'BTX Recycling HC'!R119)-'Overall recycling rates'!$H$60/SUM('Overall recycling rates'!$H$60:$H$62)*('BTX Recycling HC'!R227+'BTX Recycling HC'!R254+'BTX Recycling HC'!R165+'BTX Recycling HC'!R120)-'Overall recycling rates'!$I$60/SUM('Overall recycling rates'!$I$60:$I$62)*('BTX Recycling HC'!R228+'BTX Recycling HC'!R255+'BTX Recycling HC'!R166+'BTX Recycling HC'!R121)</f>
        <v>12.290916798651185</v>
      </c>
      <c r="AZ101" s="60">
        <f>AZ42-'Overall recycling rates'!$G$60/SUM('Overall recycling rates'!$G$60:$G$62)*('BTX Recycling HC'!S225+'BTX Recycling HC'!S252+'BTX Recycling HC'!S163+'BTX Recycling HC'!S118)-'Overall recycling rates'!$E$60/SUM('Overall recycling rates'!$E$60:$E$62)*('BTX Recycling HC'!S226+'BTX Recycling HC'!S253+'BTX Recycling HC'!S164+'BTX Recycling HC'!S119)-'Overall recycling rates'!$H$60/SUM('Overall recycling rates'!$H$60:$H$62)*('BTX Recycling HC'!S227+'BTX Recycling HC'!S254+'BTX Recycling HC'!S165+'BTX Recycling HC'!S120)-'Overall recycling rates'!$I$60/SUM('Overall recycling rates'!$I$60:$I$62)*('BTX Recycling HC'!S228+'BTX Recycling HC'!S255+'BTX Recycling HC'!S166+'BTX Recycling HC'!S121)</f>
        <v>12.214351425444516</v>
      </c>
      <c r="BA101" s="60">
        <f>BA42-'Overall recycling rates'!$G$60/SUM('Overall recycling rates'!$G$60:$G$62)*('BTX Recycling HC'!T225+'BTX Recycling HC'!T252+'BTX Recycling HC'!T163+'BTX Recycling HC'!T118)-'Overall recycling rates'!$E$60/SUM('Overall recycling rates'!$E$60:$E$62)*('BTX Recycling HC'!T226+'BTX Recycling HC'!T253+'BTX Recycling HC'!T164+'BTX Recycling HC'!T119)-'Overall recycling rates'!$H$60/SUM('Overall recycling rates'!$H$60:$H$62)*('BTX Recycling HC'!T227+'BTX Recycling HC'!T254+'BTX Recycling HC'!T165+'BTX Recycling HC'!T120)-'Overall recycling rates'!$I$60/SUM('Overall recycling rates'!$I$60:$I$62)*('BTX Recycling HC'!T228+'BTX Recycling HC'!T255+'BTX Recycling HC'!T166+'BTX Recycling HC'!T121)</f>
        <v>12.12489396417606</v>
      </c>
      <c r="BB101" s="60">
        <f>BB42-'Overall recycling rates'!$G$60/SUM('Overall recycling rates'!$G$60:$G$62)*('BTX Recycling HC'!U225+'BTX Recycling HC'!U252+'BTX Recycling HC'!U163+'BTX Recycling HC'!U118)-'Overall recycling rates'!$E$60/SUM('Overall recycling rates'!$E$60:$E$62)*('BTX Recycling HC'!U226+'BTX Recycling HC'!U253+'BTX Recycling HC'!U164+'BTX Recycling HC'!U119)-'Overall recycling rates'!$H$60/SUM('Overall recycling rates'!$H$60:$H$62)*('BTX Recycling HC'!U227+'BTX Recycling HC'!U254+'BTX Recycling HC'!U165+'BTX Recycling HC'!U120)-'Overall recycling rates'!$I$60/SUM('Overall recycling rates'!$I$60:$I$62)*('BTX Recycling HC'!U228+'BTX Recycling HC'!U255+'BTX Recycling HC'!U166+'BTX Recycling HC'!U121)</f>
        <v>12.02227205694953</v>
      </c>
      <c r="BC101" s="60">
        <f>BC42-'Overall recycling rates'!$G$60/SUM('Overall recycling rates'!$G$60:$G$62)*('BTX Recycling HC'!V225+'BTX Recycling HC'!V252+'BTX Recycling HC'!V163+'BTX Recycling HC'!V118)-'Overall recycling rates'!$E$60/SUM('Overall recycling rates'!$E$60:$E$62)*('BTX Recycling HC'!V226+'BTX Recycling HC'!V253+'BTX Recycling HC'!V164+'BTX Recycling HC'!V119)-'Overall recycling rates'!$H$60/SUM('Overall recycling rates'!$H$60:$H$62)*('BTX Recycling HC'!V227+'BTX Recycling HC'!V254+'BTX Recycling HC'!V165+'BTX Recycling HC'!V120)-'Overall recycling rates'!$I$60/SUM('Overall recycling rates'!$I$60:$I$62)*('BTX Recycling HC'!V228+'BTX Recycling HC'!V255+'BTX Recycling HC'!V166+'BTX Recycling HC'!V121)</f>
        <v>11.90621691646516</v>
      </c>
      <c r="BD101" s="60">
        <f>BD42-'Overall recycling rates'!$G$60/SUM('Overall recycling rates'!$G$60:$G$62)*('BTX Recycling HC'!W225+'BTX Recycling HC'!W252+'BTX Recycling HC'!W163+'BTX Recycling HC'!W118)-'Overall recycling rates'!$E$60/SUM('Overall recycling rates'!$E$60:$E$62)*('BTX Recycling HC'!W226+'BTX Recycling HC'!W253+'BTX Recycling HC'!W164+'BTX Recycling HC'!W119)-'Overall recycling rates'!$H$60/SUM('Overall recycling rates'!$H$60:$H$62)*('BTX Recycling HC'!W227+'BTX Recycling HC'!W254+'BTX Recycling HC'!W165+'BTX Recycling HC'!W120)-'Overall recycling rates'!$I$60/SUM('Overall recycling rates'!$I$60:$I$62)*('BTX Recycling HC'!W228+'BTX Recycling HC'!W255+'BTX Recycling HC'!W166+'BTX Recycling HC'!W121)</f>
        <v>11.776463601965188</v>
      </c>
      <c r="BE101" s="60">
        <f>BE42-'Overall recycling rates'!$G$60/SUM('Overall recycling rates'!$G$60:$G$62)*('BTX Recycling HC'!X225+'BTX Recycling HC'!X252+'BTX Recycling HC'!X163+'BTX Recycling HC'!X118)-'Overall recycling rates'!$E$60/SUM('Overall recycling rates'!$E$60:$E$62)*('BTX Recycling HC'!X226+'BTX Recycling HC'!X253+'BTX Recycling HC'!X164+'BTX Recycling HC'!X119)-'Overall recycling rates'!$H$60/SUM('Overall recycling rates'!$H$60:$H$62)*('BTX Recycling HC'!X227+'BTX Recycling HC'!X254+'BTX Recycling HC'!X165+'BTX Recycling HC'!X120)-'Overall recycling rates'!$I$60/SUM('Overall recycling rates'!$I$60:$I$62)*('BTX Recycling HC'!X228+'BTX Recycling HC'!X255+'BTX Recycling HC'!X166+'BTX Recycling HC'!X121)</f>
        <v>11.553362176025917</v>
      </c>
      <c r="BF101" s="60">
        <f>BF42-'Overall recycling rates'!$G$60/SUM('Overall recycling rates'!$G$60:$G$62)*('BTX Recycling HC'!Y225+'BTX Recycling HC'!Y252+'BTX Recycling HC'!Y163+'BTX Recycling HC'!Y118)-'Overall recycling rates'!$E$60/SUM('Overall recycling rates'!$E$60:$E$62)*('BTX Recycling HC'!Y226+'BTX Recycling HC'!Y253+'BTX Recycling HC'!Y164+'BTX Recycling HC'!Y119)-'Overall recycling rates'!$H$60/SUM('Overall recycling rates'!$H$60:$H$62)*('BTX Recycling HC'!Y227+'BTX Recycling HC'!Y254+'BTX Recycling HC'!Y165+'BTX Recycling HC'!Y120)-'Overall recycling rates'!$I$60/SUM('Overall recycling rates'!$I$60:$I$62)*('BTX Recycling HC'!Y228+'BTX Recycling HC'!Y255+'BTX Recycling HC'!Y166+'BTX Recycling HC'!Y121)</f>
        <v>11.308210351898786</v>
      </c>
      <c r="BG101" s="60">
        <f>BG42-'Overall recycling rates'!$G$60/SUM('Overall recycling rates'!$G$60:$G$62)*('BTX Recycling HC'!Z225+'BTX Recycling HC'!Z252+'BTX Recycling HC'!Z163+'BTX Recycling HC'!Z118)-'Overall recycling rates'!$E$60/SUM('Overall recycling rates'!$E$60:$E$62)*('BTX Recycling HC'!Z226+'BTX Recycling HC'!Z253+'BTX Recycling HC'!Z164+'BTX Recycling HC'!Z119)-'Overall recycling rates'!$H$60/SUM('Overall recycling rates'!$H$60:$H$62)*('BTX Recycling HC'!Z227+'BTX Recycling HC'!Z254+'BTX Recycling HC'!Z165+'BTX Recycling HC'!Z120)-'Overall recycling rates'!$I$60/SUM('Overall recycling rates'!$I$60:$I$62)*('BTX Recycling HC'!Z228+'BTX Recycling HC'!Z255+'BTX Recycling HC'!Z166+'BTX Recycling HC'!Z121)</f>
        <v>11.040192284493905</v>
      </c>
      <c r="BH101" s="60">
        <f>BH42-'Overall recycling rates'!$G$60/SUM('Overall recycling rates'!$G$60:$G$62)*('BTX Recycling HC'!AA225+'BTX Recycling HC'!AA252+'BTX Recycling HC'!AA163+'BTX Recycling HC'!AA118)-'Overall recycling rates'!$E$60/SUM('Overall recycling rates'!$E$60:$E$62)*('BTX Recycling HC'!AA226+'BTX Recycling HC'!AA253+'BTX Recycling HC'!AA164+'BTX Recycling HC'!AA119)-'Overall recycling rates'!$H$60/SUM('Overall recycling rates'!$H$60:$H$62)*('BTX Recycling HC'!AA227+'BTX Recycling HC'!AA254+'BTX Recycling HC'!AA165+'BTX Recycling HC'!AA120)-'Overall recycling rates'!$I$60/SUM('Overall recycling rates'!$I$60:$I$62)*('BTX Recycling HC'!AA228+'BTX Recycling HC'!AA255+'BTX Recycling HC'!AA166+'BTX Recycling HC'!AA121)</f>
        <v>10.749250455819423</v>
      </c>
      <c r="BI101" s="60">
        <f>BI42-'Overall recycling rates'!$G$60/SUM('Overall recycling rates'!$G$60:$G$62)*('BTX Recycling HC'!AB225+'BTX Recycling HC'!AB252+'BTX Recycling HC'!AB163+'BTX Recycling HC'!AB118)-'Overall recycling rates'!$E$60/SUM('Overall recycling rates'!$E$60:$E$62)*('BTX Recycling HC'!AB226+'BTX Recycling HC'!AB253+'BTX Recycling HC'!AB164+'BTX Recycling HC'!AB119)-'Overall recycling rates'!$H$60/SUM('Overall recycling rates'!$H$60:$H$62)*('BTX Recycling HC'!AB227+'BTX Recycling HC'!AB254+'BTX Recycling HC'!AB165+'BTX Recycling HC'!AB120)-'Overall recycling rates'!$I$60/SUM('Overall recycling rates'!$I$60:$I$62)*('BTX Recycling HC'!AB228+'BTX Recycling HC'!AB255+'BTX Recycling HC'!AB166+'BTX Recycling HC'!AB121)</f>
        <v>10.434975934307886</v>
      </c>
      <c r="BJ101" s="60">
        <f>BJ42-'Overall recycling rates'!$G$60/SUM('Overall recycling rates'!$G$60:$G$62)*('BTX Recycling HC'!AC225+'BTX Recycling HC'!AC252+'BTX Recycling HC'!AC163+'BTX Recycling HC'!AC118)-'Overall recycling rates'!$E$60/SUM('Overall recycling rates'!$E$60:$E$62)*('BTX Recycling HC'!AC226+'BTX Recycling HC'!AC253+'BTX Recycling HC'!AC164+'BTX Recycling HC'!AC119)-'Overall recycling rates'!$H$60/SUM('Overall recycling rates'!$H$60:$H$62)*('BTX Recycling HC'!AC227+'BTX Recycling HC'!AC254+'BTX Recycling HC'!AC165+'BTX Recycling HC'!AC120)-'Overall recycling rates'!$I$60/SUM('Overall recycling rates'!$I$60:$I$62)*('BTX Recycling HC'!AC228+'BTX Recycling HC'!AC255+'BTX Recycling HC'!AC166+'BTX Recycling HC'!AC121)</f>
        <v>10.096910940872684</v>
      </c>
      <c r="BK101" s="60">
        <f>BK42-'Overall recycling rates'!$G$60/SUM('Overall recycling rates'!$G$60:$G$62)*('BTX Recycling HC'!AD225+'BTX Recycling HC'!AD252+'BTX Recycling HC'!AD163+'BTX Recycling HC'!AD118)-'Overall recycling rates'!$E$60/SUM('Overall recycling rates'!$E$60:$E$62)*('BTX Recycling HC'!AD226+'BTX Recycling HC'!AD253+'BTX Recycling HC'!AD164+'BTX Recycling HC'!AD119)-'Overall recycling rates'!$H$60/SUM('Overall recycling rates'!$H$60:$H$62)*('BTX Recycling HC'!AD227+'BTX Recycling HC'!AD254+'BTX Recycling HC'!AD165+'BTX Recycling HC'!AD120)-'Overall recycling rates'!$I$60/SUM('Overall recycling rates'!$I$60:$I$62)*('BTX Recycling HC'!AD228+'BTX Recycling HC'!AD255+'BTX Recycling HC'!AD166+'BTX Recycling HC'!AD121)</f>
        <v>9.7346449057456574</v>
      </c>
      <c r="BL101" s="60">
        <f>BL42-'Overall recycling rates'!$G$60/SUM('Overall recycling rates'!$G$60:$G$62)*('BTX Recycling HC'!AE225+'BTX Recycling HC'!AE252+'BTX Recycling HC'!AE163+'BTX Recycling HC'!AE118)-'Overall recycling rates'!$E$60/SUM('Overall recycling rates'!$E$60:$E$62)*('BTX Recycling HC'!AE226+'BTX Recycling HC'!AE253+'BTX Recycling HC'!AE164+'BTX Recycling HC'!AE119)-'Overall recycling rates'!$H$60/SUM('Overall recycling rates'!$H$60:$H$62)*('BTX Recycling HC'!AE227+'BTX Recycling HC'!AE254+'BTX Recycling HC'!AE165+'BTX Recycling HC'!AE120)-'Overall recycling rates'!$I$60/SUM('Overall recycling rates'!$I$60:$I$62)*('BTX Recycling HC'!AE228+'BTX Recycling HC'!AE255+'BTX Recycling HC'!AE166+'BTX Recycling HC'!AE121)</f>
        <v>9.3477731180459536</v>
      </c>
      <c r="BM101" s="60">
        <f>BM42-'Overall recycling rates'!$G$60/SUM('Overall recycling rates'!$G$60:$G$62)*('BTX Recycling HC'!AF225+'BTX Recycling HC'!AF252+'BTX Recycling HC'!AF163+'BTX Recycling HC'!AF118)-'Overall recycling rates'!$E$60/SUM('Overall recycling rates'!$E$60:$E$62)*('BTX Recycling HC'!AF226+'BTX Recycling HC'!AF253+'BTX Recycling HC'!AF164+'BTX Recycling HC'!AF119)-'Overall recycling rates'!$H$60/SUM('Overall recycling rates'!$H$60:$H$62)*('BTX Recycling HC'!AF227+'BTX Recycling HC'!AF254+'BTX Recycling HC'!AF165+'BTX Recycling HC'!AF120)-'Overall recycling rates'!$I$60/SUM('Overall recycling rates'!$I$60:$I$62)*('BTX Recycling HC'!AF228+'BTX Recycling HC'!AF255+'BTX Recycling HC'!AF166+'BTX Recycling HC'!AF121)</f>
        <v>8.9358970528497501</v>
      </c>
      <c r="BN101" s="60">
        <f>BN42-'Overall recycling rates'!$G$60/SUM('Overall recycling rates'!$G$60:$G$62)*('BTX Recycling HC'!AG225+'BTX Recycling HC'!AG252+'BTX Recycling HC'!AG163+'BTX Recycling HC'!AG118)-'Overall recycling rates'!$E$60/SUM('Overall recycling rates'!$E$60:$E$62)*('BTX Recycling HC'!AG226+'BTX Recycling HC'!AG253+'BTX Recycling HC'!AG164+'BTX Recycling HC'!AG119)-'Overall recycling rates'!$H$60/SUM('Overall recycling rates'!$H$60:$H$62)*('BTX Recycling HC'!AG227+'BTX Recycling HC'!AG254+'BTX Recycling HC'!AG165+'BTX Recycling HC'!AG120)-'Overall recycling rates'!$I$60/SUM('Overall recycling rates'!$I$60:$I$62)*('BTX Recycling HC'!AG228+'BTX Recycling HC'!AG255+'BTX Recycling HC'!AG166+'BTX Recycling HC'!AG121)</f>
        <v>8.4986246977276174</v>
      </c>
    </row>
    <row r="102" spans="1:66" outlineLevel="1">
      <c r="A102" s="753"/>
      <c r="B102" s="1" t="s">
        <v>8</v>
      </c>
      <c r="C102" s="54" t="s">
        <v>153</v>
      </c>
      <c r="D102" s="44">
        <f>D43-'Overall recycling rates'!$G$61/SUM('Overall recycling rates'!$G$60:$G$62)*('BTX Recycling HC'!C225+'BTX Recycling HC'!C252+'BTX Recycling HC'!C163+'BTX Recycling HC'!C118)-'Overall recycling rates'!$E$61/SUM('Overall recycling rates'!$E$60:$E$62)*('BTX Recycling HC'!C226+'BTX Recycling HC'!C253+'BTX Recycling HC'!C164+'BTX Recycling HC'!C119)-'Overall recycling rates'!$H$61/SUM('Overall recycling rates'!$H$60:$H$62)*('BTX Recycling HC'!C227+'BTX Recycling HC'!C254+'BTX Recycling HC'!C165+'BTX Recycling HC'!C120)-'Overall recycling rates'!$I$61/SUM('Overall recycling rates'!$I$60:$I$62)*('BTX Recycling HC'!C228+'BTX Recycling HC'!C255+'BTX Recycling HC'!C166+'BTX Recycling HC'!C121)</f>
        <v>2.5611801774531888</v>
      </c>
      <c r="E102" s="44">
        <f>E43-'Overall recycling rates'!$G$61/SUM('Overall recycling rates'!$G$60:$G$62)*('BTX Recycling HC'!D225+'BTX Recycling HC'!D252+'BTX Recycling HC'!D163+'BTX Recycling HC'!D118)-'Overall recycling rates'!$E$61/SUM('Overall recycling rates'!$E$60:$E$62)*('BTX Recycling HC'!D226+'BTX Recycling HC'!D253+'BTX Recycling HC'!D164+'BTX Recycling HC'!D119)-'Overall recycling rates'!$H$61/SUM('Overall recycling rates'!$H$60:$H$62)*('BTX Recycling HC'!D227+'BTX Recycling HC'!D254+'BTX Recycling HC'!D165+'BTX Recycling HC'!D120)-'Overall recycling rates'!$I$61/SUM('Overall recycling rates'!$I$60:$I$62)*('BTX Recycling HC'!D228+'BTX Recycling HC'!D255+'BTX Recycling HC'!D166+'BTX Recycling HC'!D121)</f>
        <v>2.5589588417221534</v>
      </c>
      <c r="F102" s="44">
        <f>F43-'Overall recycling rates'!$G$61/SUM('Overall recycling rates'!$G$60:$G$62)*('BTX Recycling HC'!E225+'BTX Recycling HC'!E252+'BTX Recycling HC'!E163+'BTX Recycling HC'!E118)-'Overall recycling rates'!$E$61/SUM('Overall recycling rates'!$E$60:$E$62)*('BTX Recycling HC'!E226+'BTX Recycling HC'!E253+'BTX Recycling HC'!E164+'BTX Recycling HC'!E119)-'Overall recycling rates'!$H$61/SUM('Overall recycling rates'!$H$60:$H$62)*('BTX Recycling HC'!E227+'BTX Recycling HC'!E254+'BTX Recycling HC'!E165+'BTX Recycling HC'!E120)-'Overall recycling rates'!$I$61/SUM('Overall recycling rates'!$I$60:$I$62)*('BTX Recycling HC'!E228+'BTX Recycling HC'!E255+'BTX Recycling HC'!E166+'BTX Recycling HC'!E121)</f>
        <v>2.5507818656880907</v>
      </c>
      <c r="G102" s="44">
        <f>G43-'Overall recycling rates'!$G$61/SUM('Overall recycling rates'!$G$60:$G$62)*('BTX Recycling HC'!F225+'BTX Recycling HC'!F252+'BTX Recycling HC'!F163+'BTX Recycling HC'!F118)-'Overall recycling rates'!$E$61/SUM('Overall recycling rates'!$E$60:$E$62)*('BTX Recycling HC'!F226+'BTX Recycling HC'!F253+'BTX Recycling HC'!F164+'BTX Recycling HC'!F119)-'Overall recycling rates'!$H$61/SUM('Overall recycling rates'!$H$60:$H$62)*('BTX Recycling HC'!F227+'BTX Recycling HC'!F254+'BTX Recycling HC'!F165+'BTX Recycling HC'!F120)-'Overall recycling rates'!$I$61/SUM('Overall recycling rates'!$I$60:$I$62)*('BTX Recycling HC'!F228+'BTX Recycling HC'!F255+'BTX Recycling HC'!F166+'BTX Recycling HC'!F121)</f>
        <v>2.5406837330248839</v>
      </c>
      <c r="H102" s="44">
        <f>H43-'Overall recycling rates'!$G$61/SUM('Overall recycling rates'!$G$60:$G$62)*('BTX Recycling HC'!G225+'BTX Recycling HC'!G252+'BTX Recycling HC'!G163+'BTX Recycling HC'!G118)-'Overall recycling rates'!$E$61/SUM('Overall recycling rates'!$E$60:$E$62)*('BTX Recycling HC'!G226+'BTX Recycling HC'!G253+'BTX Recycling HC'!G164+'BTX Recycling HC'!G119)-'Overall recycling rates'!$H$61/SUM('Overall recycling rates'!$H$60:$H$62)*('BTX Recycling HC'!G227+'BTX Recycling HC'!G254+'BTX Recycling HC'!G165+'BTX Recycling HC'!G120)-'Overall recycling rates'!$I$61/SUM('Overall recycling rates'!$I$60:$I$62)*('BTX Recycling HC'!G228+'BTX Recycling HC'!G255+'BTX Recycling HC'!G166+'BTX Recycling HC'!G121)</f>
        <v>2.5287936835144236</v>
      </c>
      <c r="I102" s="44">
        <f>I43-'Overall recycling rates'!$G$61/SUM('Overall recycling rates'!$G$60:$G$62)*('BTX Recycling HC'!H225+'BTX Recycling HC'!H252+'BTX Recycling HC'!H163+'BTX Recycling HC'!H118)-'Overall recycling rates'!$E$61/SUM('Overall recycling rates'!$E$60:$E$62)*('BTX Recycling HC'!H226+'BTX Recycling HC'!H253+'BTX Recycling HC'!H164+'BTX Recycling HC'!H119)-'Overall recycling rates'!$H$61/SUM('Overall recycling rates'!$H$60:$H$62)*('BTX Recycling HC'!H227+'BTX Recycling HC'!H254+'BTX Recycling HC'!H165+'BTX Recycling HC'!H120)-'Overall recycling rates'!$I$61/SUM('Overall recycling rates'!$I$60:$I$62)*('BTX Recycling HC'!H228+'BTX Recycling HC'!H255+'BTX Recycling HC'!H166+'BTX Recycling HC'!H121)</f>
        <v>2.5152737721430136</v>
      </c>
      <c r="J102" s="44">
        <f>J43-'Overall recycling rates'!$G$61/SUM('Overall recycling rates'!$G$60:$G$62)*('BTX Recycling HC'!I225+'BTX Recycling HC'!I252+'BTX Recycling HC'!I163+'BTX Recycling HC'!I118)-'Overall recycling rates'!$E$61/SUM('Overall recycling rates'!$E$60:$E$62)*('BTX Recycling HC'!I226+'BTX Recycling HC'!I253+'BTX Recycling HC'!I164+'BTX Recycling HC'!I119)-'Overall recycling rates'!$H$61/SUM('Overall recycling rates'!$H$60:$H$62)*('BTX Recycling HC'!I227+'BTX Recycling HC'!I254+'BTX Recycling HC'!I165+'BTX Recycling HC'!I120)-'Overall recycling rates'!$I$61/SUM('Overall recycling rates'!$I$60:$I$62)*('BTX Recycling HC'!I228+'BTX Recycling HC'!I255+'BTX Recycling HC'!I166+'BTX Recycling HC'!I121)</f>
        <v>2.4992425543799253</v>
      </c>
      <c r="K102" s="44">
        <f>K43-'Overall recycling rates'!$G$61/SUM('Overall recycling rates'!$G$60:$G$62)*('BTX Recycling HC'!J225+'BTX Recycling HC'!J252+'BTX Recycling HC'!J163+'BTX Recycling HC'!J118)-'Overall recycling rates'!$E$61/SUM('Overall recycling rates'!$E$60:$E$62)*('BTX Recycling HC'!J226+'BTX Recycling HC'!J253+'BTX Recycling HC'!J164+'BTX Recycling HC'!J119)-'Overall recycling rates'!$H$61/SUM('Overall recycling rates'!$H$60:$H$62)*('BTX Recycling HC'!J227+'BTX Recycling HC'!J254+'BTX Recycling HC'!J165+'BTX Recycling HC'!J120)-'Overall recycling rates'!$I$61/SUM('Overall recycling rates'!$I$60:$I$62)*('BTX Recycling HC'!J228+'BTX Recycling HC'!J255+'BTX Recycling HC'!J166+'BTX Recycling HC'!J121)</f>
        <v>2.4806215440066786</v>
      </c>
      <c r="L102" s="44">
        <f>L43-'Overall recycling rates'!$G$61/SUM('Overall recycling rates'!$G$60:$G$62)*('BTX Recycling HC'!K225+'BTX Recycling HC'!K252+'BTX Recycling HC'!K163+'BTX Recycling HC'!K118)-'Overall recycling rates'!$E$61/SUM('Overall recycling rates'!$E$60:$E$62)*('BTX Recycling HC'!K226+'BTX Recycling HC'!K253+'BTX Recycling HC'!K164+'BTX Recycling HC'!K119)-'Overall recycling rates'!$H$61/SUM('Overall recycling rates'!$H$60:$H$62)*('BTX Recycling HC'!K227+'BTX Recycling HC'!K254+'BTX Recycling HC'!K165+'BTX Recycling HC'!K120)-'Overall recycling rates'!$I$61/SUM('Overall recycling rates'!$I$60:$I$62)*('BTX Recycling HC'!K228+'BTX Recycling HC'!K255+'BTX Recycling HC'!K166+'BTX Recycling HC'!K121)</f>
        <v>2.459335451662005</v>
      </c>
      <c r="M102" s="44">
        <f>M43-'Overall recycling rates'!$G$61/SUM('Overall recycling rates'!$G$60:$G$62)*('BTX Recycling HC'!L225+'BTX Recycling HC'!L252+'BTX Recycling HC'!L163+'BTX Recycling HC'!L118)-'Overall recycling rates'!$E$61/SUM('Overall recycling rates'!$E$60:$E$62)*('BTX Recycling HC'!L226+'BTX Recycling HC'!L253+'BTX Recycling HC'!L164+'BTX Recycling HC'!L119)-'Overall recycling rates'!$H$61/SUM('Overall recycling rates'!$H$60:$H$62)*('BTX Recycling HC'!L227+'BTX Recycling HC'!L254+'BTX Recycling HC'!L165+'BTX Recycling HC'!L120)-'Overall recycling rates'!$I$61/SUM('Overall recycling rates'!$I$60:$I$62)*('BTX Recycling HC'!L228+'BTX Recycling HC'!L255+'BTX Recycling HC'!L166+'BTX Recycling HC'!L121)</f>
        <v>2.4353125635260113</v>
      </c>
      <c r="N102" s="44">
        <f>N43-'Overall recycling rates'!$G$61/SUM('Overall recycling rates'!$G$60:$G$62)*('BTX Recycling HC'!M225+'BTX Recycling HC'!M252+'BTX Recycling HC'!M163+'BTX Recycling HC'!M118)-'Overall recycling rates'!$E$61/SUM('Overall recycling rates'!$E$60:$E$62)*('BTX Recycling HC'!M226+'BTX Recycling HC'!M253+'BTX Recycling HC'!M164+'BTX Recycling HC'!M119)-'Overall recycling rates'!$H$61/SUM('Overall recycling rates'!$H$60:$H$62)*('BTX Recycling HC'!M227+'BTX Recycling HC'!M254+'BTX Recycling HC'!M165+'BTX Recycling HC'!M120)-'Overall recycling rates'!$I$61/SUM('Overall recycling rates'!$I$60:$I$62)*('BTX Recycling HC'!M228+'BTX Recycling HC'!M255+'BTX Recycling HC'!M166+'BTX Recycling HC'!M121)</f>
        <v>2.4084851228722353</v>
      </c>
      <c r="O102" s="44">
        <f>O43-'Overall recycling rates'!$G$61/SUM('Overall recycling rates'!$G$60:$G$62)*('BTX Recycling HC'!N225+'BTX Recycling HC'!N252+'BTX Recycling HC'!N163+'BTX Recycling HC'!N118)-'Overall recycling rates'!$E$61/SUM('Overall recycling rates'!$E$60:$E$62)*('BTX Recycling HC'!N226+'BTX Recycling HC'!N253+'BTX Recycling HC'!N164+'BTX Recycling HC'!N119)-'Overall recycling rates'!$H$61/SUM('Overall recycling rates'!$H$60:$H$62)*('BTX Recycling HC'!N227+'BTX Recycling HC'!N254+'BTX Recycling HC'!N165+'BTX Recycling HC'!N120)-'Overall recycling rates'!$I$61/SUM('Overall recycling rates'!$I$60:$I$62)*('BTX Recycling HC'!N228+'BTX Recycling HC'!N255+'BTX Recycling HC'!N166+'BTX Recycling HC'!N121)</f>
        <v>2.3533831102018361</v>
      </c>
      <c r="P102" s="44">
        <f>P43-'Overall recycling rates'!$G$61/SUM('Overall recycling rates'!$G$60:$G$62)*('BTX Recycling HC'!O225+'BTX Recycling HC'!O252+'BTX Recycling HC'!O163+'BTX Recycling HC'!O118)-'Overall recycling rates'!$E$61/SUM('Overall recycling rates'!$E$60:$E$62)*('BTX Recycling HC'!O226+'BTX Recycling HC'!O253+'BTX Recycling HC'!O164+'BTX Recycling HC'!O119)-'Overall recycling rates'!$H$61/SUM('Overall recycling rates'!$H$60:$H$62)*('BTX Recycling HC'!O227+'BTX Recycling HC'!O254+'BTX Recycling HC'!O165+'BTX Recycling HC'!O120)-'Overall recycling rates'!$I$61/SUM('Overall recycling rates'!$I$60:$I$62)*('BTX Recycling HC'!O228+'BTX Recycling HC'!O255+'BTX Recycling HC'!O166+'BTX Recycling HC'!O121)</f>
        <v>2.2940720627326567</v>
      </c>
      <c r="Q102" s="44">
        <f>Q43-'Overall recycling rates'!$G$61/SUM('Overall recycling rates'!$G$60:$G$62)*('BTX Recycling HC'!P225+'BTX Recycling HC'!P252+'BTX Recycling HC'!P163+'BTX Recycling HC'!P118)-'Overall recycling rates'!$E$61/SUM('Overall recycling rates'!$E$60:$E$62)*('BTX Recycling HC'!P226+'BTX Recycling HC'!P253+'BTX Recycling HC'!P164+'BTX Recycling HC'!P119)-'Overall recycling rates'!$H$61/SUM('Overall recycling rates'!$H$60:$H$62)*('BTX Recycling HC'!P227+'BTX Recycling HC'!P254+'BTX Recycling HC'!P165+'BTX Recycling HC'!P120)-'Overall recycling rates'!$I$61/SUM('Overall recycling rates'!$I$60:$I$62)*('BTX Recycling HC'!P228+'BTX Recycling HC'!P255+'BTX Recycling HC'!P166+'BTX Recycling HC'!P121)</f>
        <v>2.2308003328995674</v>
      </c>
      <c r="R102" s="44">
        <f>R43-'Overall recycling rates'!$G$61/SUM('Overall recycling rates'!$G$60:$G$62)*('BTX Recycling HC'!Q225+'BTX Recycling HC'!Q252+'BTX Recycling HC'!Q163+'BTX Recycling HC'!Q118)-'Overall recycling rates'!$E$61/SUM('Overall recycling rates'!$E$60:$E$62)*('BTX Recycling HC'!Q226+'BTX Recycling HC'!Q253+'BTX Recycling HC'!Q164+'BTX Recycling HC'!Q119)-'Overall recycling rates'!$H$61/SUM('Overall recycling rates'!$H$60:$H$62)*('BTX Recycling HC'!Q227+'BTX Recycling HC'!Q254+'BTX Recycling HC'!Q165+'BTX Recycling HC'!Q120)-'Overall recycling rates'!$I$61/SUM('Overall recycling rates'!$I$60:$I$62)*('BTX Recycling HC'!Q228+'BTX Recycling HC'!Q255+'BTX Recycling HC'!Q166+'BTX Recycling HC'!Q121)</f>
        <v>2.1639540657174665</v>
      </c>
      <c r="S102" s="44">
        <f>S43-'Overall recycling rates'!$G$61/SUM('Overall recycling rates'!$G$60:$G$62)*('BTX Recycling HC'!R225+'BTX Recycling HC'!R252+'BTX Recycling HC'!R163+'BTX Recycling HC'!R118)-'Overall recycling rates'!$E$61/SUM('Overall recycling rates'!$E$60:$E$62)*('BTX Recycling HC'!R226+'BTX Recycling HC'!R253+'BTX Recycling HC'!R164+'BTX Recycling HC'!R119)-'Overall recycling rates'!$H$61/SUM('Overall recycling rates'!$H$60:$H$62)*('BTX Recycling HC'!R227+'BTX Recycling HC'!R254+'BTX Recycling HC'!R165+'BTX Recycling HC'!R120)-'Overall recycling rates'!$I$61/SUM('Overall recycling rates'!$I$60:$I$62)*('BTX Recycling HC'!R228+'BTX Recycling HC'!R255+'BTX Recycling HC'!R166+'BTX Recycling HC'!R121)</f>
        <v>2.0939362906418717</v>
      </c>
      <c r="T102" s="44">
        <f>T43-'Overall recycling rates'!$G$61/SUM('Overall recycling rates'!$G$60:$G$62)*('BTX Recycling HC'!S225+'BTX Recycling HC'!S252+'BTX Recycling HC'!S163+'BTX Recycling HC'!S118)-'Overall recycling rates'!$E$61/SUM('Overall recycling rates'!$E$60:$E$62)*('BTX Recycling HC'!S226+'BTX Recycling HC'!S253+'BTX Recycling HC'!S164+'BTX Recycling HC'!S119)-'Overall recycling rates'!$H$61/SUM('Overall recycling rates'!$H$60:$H$62)*('BTX Recycling HC'!S227+'BTX Recycling HC'!S254+'BTX Recycling HC'!S165+'BTX Recycling HC'!S120)-'Overall recycling rates'!$I$61/SUM('Overall recycling rates'!$I$60:$I$62)*('BTX Recycling HC'!S228+'BTX Recycling HC'!S255+'BTX Recycling HC'!S166+'BTX Recycling HC'!S121)</f>
        <v>2.0188724116006949</v>
      </c>
      <c r="U102" s="44">
        <f>U43-'Overall recycling rates'!$G$61/SUM('Overall recycling rates'!$G$60:$G$62)*('BTX Recycling HC'!T225+'BTX Recycling HC'!T252+'BTX Recycling HC'!T163+'BTX Recycling HC'!T118)-'Overall recycling rates'!$E$61/SUM('Overall recycling rates'!$E$60:$E$62)*('BTX Recycling HC'!T226+'BTX Recycling HC'!T253+'BTX Recycling HC'!T164+'BTX Recycling HC'!T119)-'Overall recycling rates'!$H$61/SUM('Overall recycling rates'!$H$60:$H$62)*('BTX Recycling HC'!T227+'BTX Recycling HC'!T254+'BTX Recycling HC'!T165+'BTX Recycling HC'!T120)-'Overall recycling rates'!$I$61/SUM('Overall recycling rates'!$I$60:$I$62)*('BTX Recycling HC'!T228+'BTX Recycling HC'!T255+'BTX Recycling HC'!T166+'BTX Recycling HC'!T121)</f>
        <v>1.9386604578430555</v>
      </c>
      <c r="V102" s="44">
        <f>V43-'Overall recycling rates'!$G$61/SUM('Overall recycling rates'!$G$60:$G$62)*('BTX Recycling HC'!U225+'BTX Recycling HC'!U252+'BTX Recycling HC'!U163+'BTX Recycling HC'!U118)-'Overall recycling rates'!$E$61/SUM('Overall recycling rates'!$E$60:$E$62)*('BTX Recycling HC'!U226+'BTX Recycling HC'!U253+'BTX Recycling HC'!U164+'BTX Recycling HC'!U119)-'Overall recycling rates'!$H$61/SUM('Overall recycling rates'!$H$60:$H$62)*('BTX Recycling HC'!U227+'BTX Recycling HC'!U254+'BTX Recycling HC'!U165+'BTX Recycling HC'!U120)-'Overall recycling rates'!$I$61/SUM('Overall recycling rates'!$I$60:$I$62)*('BTX Recycling HC'!U228+'BTX Recycling HC'!U255+'BTX Recycling HC'!U166+'BTX Recycling HC'!U121)</f>
        <v>1.8532004502941075</v>
      </c>
      <c r="W102" s="44">
        <f>W43-'Overall recycling rates'!$G$61/SUM('Overall recycling rates'!$G$60:$G$62)*('BTX Recycling HC'!V225+'BTX Recycling HC'!V252+'BTX Recycling HC'!V163+'BTX Recycling HC'!V118)-'Overall recycling rates'!$E$61/SUM('Overall recycling rates'!$E$60:$E$62)*('BTX Recycling HC'!V226+'BTX Recycling HC'!V253+'BTX Recycling HC'!V164+'BTX Recycling HC'!V119)-'Overall recycling rates'!$H$61/SUM('Overall recycling rates'!$H$60:$H$62)*('BTX Recycling HC'!V227+'BTX Recycling HC'!V254+'BTX Recycling HC'!V165+'BTX Recycling HC'!V120)-'Overall recycling rates'!$I$61/SUM('Overall recycling rates'!$I$60:$I$62)*('BTX Recycling HC'!V228+'BTX Recycling HC'!V255+'BTX Recycling HC'!V166+'BTX Recycling HC'!V121)</f>
        <v>1.7623945531226601</v>
      </c>
      <c r="X102" s="44">
        <f>X43-'Overall recycling rates'!$G$61/SUM('Overall recycling rates'!$G$60:$G$62)*('BTX Recycling HC'!W225+'BTX Recycling HC'!W252+'BTX Recycling HC'!W163+'BTX Recycling HC'!W118)-'Overall recycling rates'!$E$61/SUM('Overall recycling rates'!$E$60:$E$62)*('BTX Recycling HC'!W226+'BTX Recycling HC'!W253+'BTX Recycling HC'!W164+'BTX Recycling HC'!W119)-'Overall recycling rates'!$H$61/SUM('Overall recycling rates'!$H$60:$H$62)*('BTX Recycling HC'!W227+'BTX Recycling HC'!W254+'BTX Recycling HC'!W165+'BTX Recycling HC'!W120)-'Overall recycling rates'!$I$61/SUM('Overall recycling rates'!$I$60:$I$62)*('BTX Recycling HC'!W228+'BTX Recycling HC'!W255+'BTX Recycling HC'!W166+'BTX Recycling HC'!W121)</f>
        <v>1.6661472264571699</v>
      </c>
      <c r="Y102" s="44">
        <f>Y43-'Overall recycling rates'!$G$61/SUM('Overall recycling rates'!$G$60:$G$62)*('BTX Recycling HC'!X225+'BTX Recycling HC'!X252+'BTX Recycling HC'!X163+'BTX Recycling HC'!X118)-'Overall recycling rates'!$E$61/SUM('Overall recycling rates'!$E$60:$E$62)*('BTX Recycling HC'!X226+'BTX Recycling HC'!X253+'BTX Recycling HC'!X164+'BTX Recycling HC'!X119)-'Overall recycling rates'!$H$61/SUM('Overall recycling rates'!$H$60:$H$62)*('BTX Recycling HC'!X227+'BTX Recycling HC'!X254+'BTX Recycling HC'!X165+'BTX Recycling HC'!X120)-'Overall recycling rates'!$I$61/SUM('Overall recycling rates'!$I$60:$I$62)*('BTX Recycling HC'!X228+'BTX Recycling HC'!X255+'BTX Recycling HC'!X166+'BTX Recycling HC'!X121)</f>
        <v>1.5212377815916995</v>
      </c>
      <c r="Z102" s="44">
        <f>Z43-'Overall recycling rates'!$G$61/SUM('Overall recycling rates'!$G$60:$G$62)*('BTX Recycling HC'!Y225+'BTX Recycling HC'!Y252+'BTX Recycling HC'!Y163+'BTX Recycling HC'!Y118)-'Overall recycling rates'!$E$61/SUM('Overall recycling rates'!$E$60:$E$62)*('BTX Recycling HC'!Y226+'BTX Recycling HC'!Y253+'BTX Recycling HC'!Y164+'BTX Recycling HC'!Y119)-'Overall recycling rates'!$H$61/SUM('Overall recycling rates'!$H$60:$H$62)*('BTX Recycling HC'!Y227+'BTX Recycling HC'!Y254+'BTX Recycling HC'!Y165+'BTX Recycling HC'!Y120)-'Overall recycling rates'!$I$61/SUM('Overall recycling rates'!$I$60:$I$62)*('BTX Recycling HC'!Y228+'BTX Recycling HC'!Y255+'BTX Recycling HC'!Y166+'BTX Recycling HC'!Y121)</f>
        <v>1.3676350228316798</v>
      </c>
      <c r="AA102" s="44">
        <f>AA43-'Overall recycling rates'!$G$61/SUM('Overall recycling rates'!$G$60:$G$62)*('BTX Recycling HC'!Z225+'BTX Recycling HC'!Z252+'BTX Recycling HC'!Z163+'BTX Recycling HC'!Z118)-'Overall recycling rates'!$E$61/SUM('Overall recycling rates'!$E$60:$E$62)*('BTX Recycling HC'!Z226+'BTX Recycling HC'!Z253+'BTX Recycling HC'!Z164+'BTX Recycling HC'!Z119)-'Overall recycling rates'!$H$61/SUM('Overall recycling rates'!$H$60:$H$62)*('BTX Recycling HC'!Z227+'BTX Recycling HC'!Z254+'BTX Recycling HC'!Z165+'BTX Recycling HC'!Z120)-'Overall recycling rates'!$I$61/SUM('Overall recycling rates'!$I$60:$I$62)*('BTX Recycling HC'!Z228+'BTX Recycling HC'!Z255+'BTX Recycling HC'!Z166+'BTX Recycling HC'!Z121)</f>
        <v>1.2050404315836807</v>
      </c>
      <c r="AB102" s="44">
        <f>AB43-'Overall recycling rates'!$G$61/SUM('Overall recycling rates'!$G$60:$G$62)*('BTX Recycling HC'!AA225+'BTX Recycling HC'!AA252+'BTX Recycling HC'!AA163+'BTX Recycling HC'!AA118)-'Overall recycling rates'!$E$61/SUM('Overall recycling rates'!$E$60:$E$62)*('BTX Recycling HC'!AA226+'BTX Recycling HC'!AA253+'BTX Recycling HC'!AA164+'BTX Recycling HC'!AA119)-'Overall recycling rates'!$H$61/SUM('Overall recycling rates'!$H$60:$H$62)*('BTX Recycling HC'!AA227+'BTX Recycling HC'!AA254+'BTX Recycling HC'!AA165+'BTX Recycling HC'!AA120)-'Overall recycling rates'!$I$61/SUM('Overall recycling rates'!$I$60:$I$62)*('BTX Recycling HC'!AA228+'BTX Recycling HC'!AA255+'BTX Recycling HC'!AA166+'BTX Recycling HC'!AA121)</f>
        <v>1.0334329149548145</v>
      </c>
      <c r="AC102" s="44">
        <f>AC43-'Overall recycling rates'!$G$61/SUM('Overall recycling rates'!$G$60:$G$62)*('BTX Recycling HC'!AB225+'BTX Recycling HC'!AB252+'BTX Recycling HC'!AB163+'BTX Recycling HC'!AB118)-'Overall recycling rates'!$E$61/SUM('Overall recycling rates'!$E$60:$E$62)*('BTX Recycling HC'!AB226+'BTX Recycling HC'!AB253+'BTX Recycling HC'!AB164+'BTX Recycling HC'!AB119)-'Overall recycling rates'!$H$61/SUM('Overall recycling rates'!$H$60:$H$62)*('BTX Recycling HC'!AB227+'BTX Recycling HC'!AB254+'BTX Recycling HC'!AB165+'BTX Recycling HC'!AB120)-'Overall recycling rates'!$I$61/SUM('Overall recycling rates'!$I$60:$I$62)*('BTX Recycling HC'!AB228+'BTX Recycling HC'!AB255+'BTX Recycling HC'!AB166+'BTX Recycling HC'!AB121)</f>
        <v>0.85266891943778345</v>
      </c>
      <c r="AD102" s="44">
        <f>AD43-'Overall recycling rates'!$G$61/SUM('Overall recycling rates'!$G$60:$G$62)*('BTX Recycling HC'!AC225+'BTX Recycling HC'!AC252+'BTX Recycling HC'!AC163+'BTX Recycling HC'!AC118)-'Overall recycling rates'!$E$61/SUM('Overall recycling rates'!$E$60:$E$62)*('BTX Recycling HC'!AC226+'BTX Recycling HC'!AC253+'BTX Recycling HC'!AC164+'BTX Recycling HC'!AC119)-'Overall recycling rates'!$H$61/SUM('Overall recycling rates'!$H$60:$H$62)*('BTX Recycling HC'!AC227+'BTX Recycling HC'!AC254+'BTX Recycling HC'!AC165+'BTX Recycling HC'!AC120)-'Overall recycling rates'!$I$61/SUM('Overall recycling rates'!$I$60:$I$62)*('BTX Recycling HC'!AC228+'BTX Recycling HC'!AC255+'BTX Recycling HC'!AC166+'BTX Recycling HC'!AC121)</f>
        <v>0.66258131001411358</v>
      </c>
      <c r="AE102" s="44">
        <f>AE43-'Overall recycling rates'!$G$61/SUM('Overall recycling rates'!$G$60:$G$62)*('BTX Recycling HC'!AD225+'BTX Recycling HC'!AD252+'BTX Recycling HC'!AD163+'BTX Recycling HC'!AD118)-'Overall recycling rates'!$E$61/SUM('Overall recycling rates'!$E$60:$E$62)*('BTX Recycling HC'!AD226+'BTX Recycling HC'!AD253+'BTX Recycling HC'!AD164+'BTX Recycling HC'!AD119)-'Overall recycling rates'!$H$61/SUM('Overall recycling rates'!$H$60:$H$62)*('BTX Recycling HC'!AD227+'BTX Recycling HC'!AD254+'BTX Recycling HC'!AD165+'BTX Recycling HC'!AD120)-'Overall recycling rates'!$I$61/SUM('Overall recycling rates'!$I$60:$I$62)*('BTX Recycling HC'!AD228+'BTX Recycling HC'!AD255+'BTX Recycling HC'!AD166+'BTX Recycling HC'!AD121)</f>
        <v>0.46302965605631674</v>
      </c>
      <c r="AF102" s="44">
        <f>AF43-'Overall recycling rates'!$G$61/SUM('Overall recycling rates'!$G$60:$G$62)*('BTX Recycling HC'!AE225+'BTX Recycling HC'!AE252+'BTX Recycling HC'!AE163+'BTX Recycling HC'!AE118)-'Overall recycling rates'!$E$61/SUM('Overall recycling rates'!$E$60:$E$62)*('BTX Recycling HC'!AE226+'BTX Recycling HC'!AE253+'BTX Recycling HC'!AE164+'BTX Recycling HC'!AE119)-'Overall recycling rates'!$H$61/SUM('Overall recycling rates'!$H$60:$H$62)*('BTX Recycling HC'!AE227+'BTX Recycling HC'!AE254+'BTX Recycling HC'!AE165+'BTX Recycling HC'!AE120)-'Overall recycling rates'!$I$61/SUM('Overall recycling rates'!$I$60:$I$62)*('BTX Recycling HC'!AE228+'BTX Recycling HC'!AE255+'BTX Recycling HC'!AE166+'BTX Recycling HC'!AE121)</f>
        <v>0.25387830095510444</v>
      </c>
      <c r="AG102" s="44">
        <f>AG43-'Overall recycling rates'!$G$61/SUM('Overall recycling rates'!$G$60:$G$62)*('BTX Recycling HC'!AF225+'BTX Recycling HC'!AF252+'BTX Recycling HC'!AF163+'BTX Recycling HC'!AF118)-'Overall recycling rates'!$E$61/SUM('Overall recycling rates'!$E$60:$E$62)*('BTX Recycling HC'!AF226+'BTX Recycling HC'!AF253+'BTX Recycling HC'!AF164+'BTX Recycling HC'!AF119)-'Overall recycling rates'!$H$61/SUM('Overall recycling rates'!$H$60:$H$62)*('BTX Recycling HC'!AF227+'BTX Recycling HC'!AF254+'BTX Recycling HC'!AF165+'BTX Recycling HC'!AF120)-'Overall recycling rates'!$I$61/SUM('Overall recycling rates'!$I$60:$I$62)*('BTX Recycling HC'!AF228+'BTX Recycling HC'!AF255+'BTX Recycling HC'!AF166+'BTX Recycling HC'!AF121)</f>
        <v>3.4996625683372695E-2</v>
      </c>
      <c r="AH102" s="44">
        <f>AH43-'Overall recycling rates'!$G$61/SUM('Overall recycling rates'!$G$60:$G$62)*('BTX Recycling HC'!AG225+'BTX Recycling HC'!AG252+'BTX Recycling HC'!AG163+'BTX Recycling HC'!AG118)-'Overall recycling rates'!$E$61/SUM('Overall recycling rates'!$E$60:$E$62)*('BTX Recycling HC'!AG226+'BTX Recycling HC'!AG253+'BTX Recycling HC'!AG164+'BTX Recycling HC'!AG119)-'Overall recycling rates'!$H$61/SUM('Overall recycling rates'!$H$60:$H$62)*('BTX Recycling HC'!AG227+'BTX Recycling HC'!AG254+'BTX Recycling HC'!AG165+'BTX Recycling HC'!AG120)-'Overall recycling rates'!$I$61/SUM('Overall recycling rates'!$I$60:$I$62)*('BTX Recycling HC'!AG228+'BTX Recycling HC'!AG255+'BTX Recycling HC'!AG166+'BTX Recycling HC'!AG121)</f>
        <v>-0.193740686067984</v>
      </c>
      <c r="AJ102" s="44">
        <f>AJ43-'Overall recycling rates'!$G$61/SUM('Overall recycling rates'!$G$60:$G$62)*('BTX Recycling HC'!C225+'BTX Recycling HC'!C252+'BTX Recycling HC'!C163+'BTX Recycling HC'!C118)-'Overall recycling rates'!$E$61/SUM('Overall recycling rates'!$E$60:$E$62)*('BTX Recycling HC'!C226+'BTX Recycling HC'!C253+'BTX Recycling HC'!C164+'BTX Recycling HC'!C119)-'Overall recycling rates'!$H$61/SUM('Overall recycling rates'!$H$60:$H$62)*('BTX Recycling HC'!C227+'BTX Recycling HC'!C254+'BTX Recycling HC'!C165+'BTX Recycling HC'!C120)-'Overall recycling rates'!$I$61/SUM('Overall recycling rates'!$I$60:$I$62)*('BTX Recycling HC'!C228+'BTX Recycling HC'!C255+'BTX Recycling HC'!C166+'BTX Recycling HC'!C121)</f>
        <v>2.5611801774531888</v>
      </c>
      <c r="AK102" s="44">
        <f>AK43-'Overall recycling rates'!$G$61/SUM('Overall recycling rates'!$G$60:$G$62)*('BTX Recycling HC'!D225+'BTX Recycling HC'!D252+'BTX Recycling HC'!D163+'BTX Recycling HC'!D118)-'Overall recycling rates'!$E$61/SUM('Overall recycling rates'!$E$60:$E$62)*('BTX Recycling HC'!D226+'BTX Recycling HC'!D253+'BTX Recycling HC'!D164+'BTX Recycling HC'!D119)-'Overall recycling rates'!$H$61/SUM('Overall recycling rates'!$H$60:$H$62)*('BTX Recycling HC'!D227+'BTX Recycling HC'!D254+'BTX Recycling HC'!D165+'BTX Recycling HC'!D120)-'Overall recycling rates'!$I$61/SUM('Overall recycling rates'!$I$60:$I$62)*('BTX Recycling HC'!D228+'BTX Recycling HC'!D255+'BTX Recycling HC'!D166+'BTX Recycling HC'!D121)</f>
        <v>2.5589588417221534</v>
      </c>
      <c r="AL102" s="44">
        <f>AL43-'Overall recycling rates'!$G$61/SUM('Overall recycling rates'!$G$60:$G$62)*('BTX Recycling HC'!E225+'BTX Recycling HC'!E252+'BTX Recycling HC'!E163+'BTX Recycling HC'!E118)-'Overall recycling rates'!$E$61/SUM('Overall recycling rates'!$E$60:$E$62)*('BTX Recycling HC'!E226+'BTX Recycling HC'!E253+'BTX Recycling HC'!E164+'BTX Recycling HC'!E119)-'Overall recycling rates'!$H$61/SUM('Overall recycling rates'!$H$60:$H$62)*('BTX Recycling HC'!E227+'BTX Recycling HC'!E254+'BTX Recycling HC'!E165+'BTX Recycling HC'!E120)-'Overall recycling rates'!$I$61/SUM('Overall recycling rates'!$I$60:$I$62)*('BTX Recycling HC'!E228+'BTX Recycling HC'!E255+'BTX Recycling HC'!E166+'BTX Recycling HC'!E121)</f>
        <v>2.5507818656880907</v>
      </c>
      <c r="AM102" s="44">
        <f>AM43-'Overall recycling rates'!$G$61/SUM('Overall recycling rates'!$G$60:$G$62)*('BTX Recycling HC'!F225+'BTX Recycling HC'!F252+'BTX Recycling HC'!F163+'BTX Recycling HC'!F118)-'Overall recycling rates'!$E$61/SUM('Overall recycling rates'!$E$60:$E$62)*('BTX Recycling HC'!F226+'BTX Recycling HC'!F253+'BTX Recycling HC'!F164+'BTX Recycling HC'!F119)-'Overall recycling rates'!$H$61/SUM('Overall recycling rates'!$H$60:$H$62)*('BTX Recycling HC'!F227+'BTX Recycling HC'!F254+'BTX Recycling HC'!F165+'BTX Recycling HC'!F120)-'Overall recycling rates'!$I$61/SUM('Overall recycling rates'!$I$60:$I$62)*('BTX Recycling HC'!F228+'BTX Recycling HC'!F255+'BTX Recycling HC'!F166+'BTX Recycling HC'!F121)</f>
        <v>2.5406837330248839</v>
      </c>
      <c r="AN102" s="44">
        <f>AN43-'Overall recycling rates'!$G$61/SUM('Overall recycling rates'!$G$60:$G$62)*('BTX Recycling HC'!G225+'BTX Recycling HC'!G252+'BTX Recycling HC'!G163+'BTX Recycling HC'!G118)-'Overall recycling rates'!$E$61/SUM('Overall recycling rates'!$E$60:$E$62)*('BTX Recycling HC'!G226+'BTX Recycling HC'!G253+'BTX Recycling HC'!G164+'BTX Recycling HC'!G119)-'Overall recycling rates'!$H$61/SUM('Overall recycling rates'!$H$60:$H$62)*('BTX Recycling HC'!G227+'BTX Recycling HC'!G254+'BTX Recycling HC'!G165+'BTX Recycling HC'!G120)-'Overall recycling rates'!$I$61/SUM('Overall recycling rates'!$I$60:$I$62)*('BTX Recycling HC'!G228+'BTX Recycling HC'!G255+'BTX Recycling HC'!G166+'BTX Recycling HC'!G121)</f>
        <v>2.5287936835144236</v>
      </c>
      <c r="AO102" s="44">
        <f>AO43-'Overall recycling rates'!$G$61/SUM('Overall recycling rates'!$G$60:$G$62)*('BTX Recycling HC'!H225+'BTX Recycling HC'!H252+'BTX Recycling HC'!H163+'BTX Recycling HC'!H118)-'Overall recycling rates'!$E$61/SUM('Overall recycling rates'!$E$60:$E$62)*('BTX Recycling HC'!H226+'BTX Recycling HC'!H253+'BTX Recycling HC'!H164+'BTX Recycling HC'!H119)-'Overall recycling rates'!$H$61/SUM('Overall recycling rates'!$H$60:$H$62)*('BTX Recycling HC'!H227+'BTX Recycling HC'!H254+'BTX Recycling HC'!H165+'BTX Recycling HC'!H120)-'Overall recycling rates'!$I$61/SUM('Overall recycling rates'!$I$60:$I$62)*('BTX Recycling HC'!H228+'BTX Recycling HC'!H255+'BTX Recycling HC'!H166+'BTX Recycling HC'!H121)</f>
        <v>2.5152737721430136</v>
      </c>
      <c r="AP102" s="44">
        <f>AP43-'Overall recycling rates'!$G$61/SUM('Overall recycling rates'!$G$60:$G$62)*('BTX Recycling HC'!I225+'BTX Recycling HC'!I252+'BTX Recycling HC'!I163+'BTX Recycling HC'!I118)-'Overall recycling rates'!$E$61/SUM('Overall recycling rates'!$E$60:$E$62)*('BTX Recycling HC'!I226+'BTX Recycling HC'!I253+'BTX Recycling HC'!I164+'BTX Recycling HC'!I119)-'Overall recycling rates'!$H$61/SUM('Overall recycling rates'!$H$60:$H$62)*('BTX Recycling HC'!I227+'BTX Recycling HC'!I254+'BTX Recycling HC'!I165+'BTX Recycling HC'!I120)-'Overall recycling rates'!$I$61/SUM('Overall recycling rates'!$I$60:$I$62)*('BTX Recycling HC'!I228+'BTX Recycling HC'!I255+'BTX Recycling HC'!I166+'BTX Recycling HC'!I121)</f>
        <v>2.4992425543799253</v>
      </c>
      <c r="AQ102" s="44">
        <f>AQ43-'Overall recycling rates'!$G$61/SUM('Overall recycling rates'!$G$60:$G$62)*('BTX Recycling HC'!J225+'BTX Recycling HC'!J252+'BTX Recycling HC'!J163+'BTX Recycling HC'!J118)-'Overall recycling rates'!$E$61/SUM('Overall recycling rates'!$E$60:$E$62)*('BTX Recycling HC'!J226+'BTX Recycling HC'!J253+'BTX Recycling HC'!J164+'BTX Recycling HC'!J119)-'Overall recycling rates'!$H$61/SUM('Overall recycling rates'!$H$60:$H$62)*('BTX Recycling HC'!J227+'BTX Recycling HC'!J254+'BTX Recycling HC'!J165+'BTX Recycling HC'!J120)-'Overall recycling rates'!$I$61/SUM('Overall recycling rates'!$I$60:$I$62)*('BTX Recycling HC'!J228+'BTX Recycling HC'!J255+'BTX Recycling HC'!J166+'BTX Recycling HC'!J121)</f>
        <v>2.4806215440066786</v>
      </c>
      <c r="AR102" s="44">
        <f>AR43-'Overall recycling rates'!$G$61/SUM('Overall recycling rates'!$G$60:$G$62)*('BTX Recycling HC'!K225+'BTX Recycling HC'!K252+'BTX Recycling HC'!K163+'BTX Recycling HC'!K118)-'Overall recycling rates'!$E$61/SUM('Overall recycling rates'!$E$60:$E$62)*('BTX Recycling HC'!K226+'BTX Recycling HC'!K253+'BTX Recycling HC'!K164+'BTX Recycling HC'!K119)-'Overall recycling rates'!$H$61/SUM('Overall recycling rates'!$H$60:$H$62)*('BTX Recycling HC'!K227+'BTX Recycling HC'!K254+'BTX Recycling HC'!K165+'BTX Recycling HC'!K120)-'Overall recycling rates'!$I$61/SUM('Overall recycling rates'!$I$60:$I$62)*('BTX Recycling HC'!K228+'BTX Recycling HC'!K255+'BTX Recycling HC'!K166+'BTX Recycling HC'!K121)</f>
        <v>2.459335451662005</v>
      </c>
      <c r="AS102" s="44">
        <f>AS43-'Overall recycling rates'!$G$61/SUM('Overall recycling rates'!$G$60:$G$62)*('BTX Recycling HC'!L225+'BTX Recycling HC'!L252+'BTX Recycling HC'!L163+'BTX Recycling HC'!L118)-'Overall recycling rates'!$E$61/SUM('Overall recycling rates'!$E$60:$E$62)*('BTX Recycling HC'!L226+'BTX Recycling HC'!L253+'BTX Recycling HC'!L164+'BTX Recycling HC'!L119)-'Overall recycling rates'!$H$61/SUM('Overall recycling rates'!$H$60:$H$62)*('BTX Recycling HC'!L227+'BTX Recycling HC'!L254+'BTX Recycling HC'!L165+'BTX Recycling HC'!L120)-'Overall recycling rates'!$I$61/SUM('Overall recycling rates'!$I$60:$I$62)*('BTX Recycling HC'!L228+'BTX Recycling HC'!L255+'BTX Recycling HC'!L166+'BTX Recycling HC'!L121)</f>
        <v>2.4353125635260113</v>
      </c>
      <c r="AT102" s="44">
        <f>AT43-'Overall recycling rates'!$G$61/SUM('Overall recycling rates'!$G$60:$G$62)*('BTX Recycling HC'!M225+'BTX Recycling HC'!M252+'BTX Recycling HC'!M163+'BTX Recycling HC'!M118)-'Overall recycling rates'!$E$61/SUM('Overall recycling rates'!$E$60:$E$62)*('BTX Recycling HC'!M226+'BTX Recycling HC'!M253+'BTX Recycling HC'!M164+'BTX Recycling HC'!M119)-'Overall recycling rates'!$H$61/SUM('Overall recycling rates'!$H$60:$H$62)*('BTX Recycling HC'!M227+'BTX Recycling HC'!M254+'BTX Recycling HC'!M165+'BTX Recycling HC'!M120)-'Overall recycling rates'!$I$61/SUM('Overall recycling rates'!$I$60:$I$62)*('BTX Recycling HC'!M228+'BTX Recycling HC'!M255+'BTX Recycling HC'!M166+'BTX Recycling HC'!M121)</f>
        <v>2.4084851228722353</v>
      </c>
      <c r="AU102" s="44">
        <f>AU43-'Overall recycling rates'!$G$61/SUM('Overall recycling rates'!$G$60:$G$62)*('BTX Recycling HC'!N225+'BTX Recycling HC'!N252+'BTX Recycling HC'!N163+'BTX Recycling HC'!N118)-'Overall recycling rates'!$E$61/SUM('Overall recycling rates'!$E$60:$E$62)*('BTX Recycling HC'!N226+'BTX Recycling HC'!N253+'BTX Recycling HC'!N164+'BTX Recycling HC'!N119)-'Overall recycling rates'!$H$61/SUM('Overall recycling rates'!$H$60:$H$62)*('BTX Recycling HC'!N227+'BTX Recycling HC'!N254+'BTX Recycling HC'!N165+'BTX Recycling HC'!N120)-'Overall recycling rates'!$I$61/SUM('Overall recycling rates'!$I$60:$I$62)*('BTX Recycling HC'!N228+'BTX Recycling HC'!N255+'BTX Recycling HC'!N166+'BTX Recycling HC'!N121)</f>
        <v>2.3533831102018361</v>
      </c>
      <c r="AV102" s="44">
        <f>AV43-'Overall recycling rates'!$G$61/SUM('Overall recycling rates'!$G$60:$G$62)*('BTX Recycling HC'!O225+'BTX Recycling HC'!O252+'BTX Recycling HC'!O163+'BTX Recycling HC'!O118)-'Overall recycling rates'!$E$61/SUM('Overall recycling rates'!$E$60:$E$62)*('BTX Recycling HC'!O226+'BTX Recycling HC'!O253+'BTX Recycling HC'!O164+'BTX Recycling HC'!O119)-'Overall recycling rates'!$H$61/SUM('Overall recycling rates'!$H$60:$H$62)*('BTX Recycling HC'!O227+'BTX Recycling HC'!O254+'BTX Recycling HC'!O165+'BTX Recycling HC'!O120)-'Overall recycling rates'!$I$61/SUM('Overall recycling rates'!$I$60:$I$62)*('BTX Recycling HC'!O228+'BTX Recycling HC'!O255+'BTX Recycling HC'!O166+'BTX Recycling HC'!O121)</f>
        <v>2.2940720627326567</v>
      </c>
      <c r="AW102" s="44">
        <f>AW43-'Overall recycling rates'!$G$61/SUM('Overall recycling rates'!$G$60:$G$62)*('BTX Recycling HC'!P225+'BTX Recycling HC'!P252+'BTX Recycling HC'!P163+'BTX Recycling HC'!P118)-'Overall recycling rates'!$E$61/SUM('Overall recycling rates'!$E$60:$E$62)*('BTX Recycling HC'!P226+'BTX Recycling HC'!P253+'BTX Recycling HC'!P164+'BTX Recycling HC'!P119)-'Overall recycling rates'!$H$61/SUM('Overall recycling rates'!$H$60:$H$62)*('BTX Recycling HC'!P227+'BTX Recycling HC'!P254+'BTX Recycling HC'!P165+'BTX Recycling HC'!P120)-'Overall recycling rates'!$I$61/SUM('Overall recycling rates'!$I$60:$I$62)*('BTX Recycling HC'!P228+'BTX Recycling HC'!P255+'BTX Recycling HC'!P166+'BTX Recycling HC'!P121)</f>
        <v>2.2308003328995674</v>
      </c>
      <c r="AX102" s="44">
        <f>AX43-'Overall recycling rates'!$G$61/SUM('Overall recycling rates'!$G$60:$G$62)*('BTX Recycling HC'!Q225+'BTX Recycling HC'!Q252+'BTX Recycling HC'!Q163+'BTX Recycling HC'!Q118)-'Overall recycling rates'!$E$61/SUM('Overall recycling rates'!$E$60:$E$62)*('BTX Recycling HC'!Q226+'BTX Recycling HC'!Q253+'BTX Recycling HC'!Q164+'BTX Recycling HC'!Q119)-'Overall recycling rates'!$H$61/SUM('Overall recycling rates'!$H$60:$H$62)*('BTX Recycling HC'!Q227+'BTX Recycling HC'!Q254+'BTX Recycling HC'!Q165+'BTX Recycling HC'!Q120)-'Overall recycling rates'!$I$61/SUM('Overall recycling rates'!$I$60:$I$62)*('BTX Recycling HC'!Q228+'BTX Recycling HC'!Q255+'BTX Recycling HC'!Q166+'BTX Recycling HC'!Q121)</f>
        <v>2.1639540657174665</v>
      </c>
      <c r="AY102" s="44">
        <f>AY43-'Overall recycling rates'!$G$61/SUM('Overall recycling rates'!$G$60:$G$62)*('BTX Recycling HC'!R225+'BTX Recycling HC'!R252+'BTX Recycling HC'!R163+'BTX Recycling HC'!R118)-'Overall recycling rates'!$E$61/SUM('Overall recycling rates'!$E$60:$E$62)*('BTX Recycling HC'!R226+'BTX Recycling HC'!R253+'BTX Recycling HC'!R164+'BTX Recycling HC'!R119)-'Overall recycling rates'!$H$61/SUM('Overall recycling rates'!$H$60:$H$62)*('BTX Recycling HC'!R227+'BTX Recycling HC'!R254+'BTX Recycling HC'!R165+'BTX Recycling HC'!R120)-'Overall recycling rates'!$I$61/SUM('Overall recycling rates'!$I$60:$I$62)*('BTX Recycling HC'!R228+'BTX Recycling HC'!R255+'BTX Recycling HC'!R166+'BTX Recycling HC'!R121)</f>
        <v>2.0939362906418717</v>
      </c>
      <c r="AZ102" s="44">
        <f>AZ43-'Overall recycling rates'!$G$61/SUM('Overall recycling rates'!$G$60:$G$62)*('BTX Recycling HC'!S225+'BTX Recycling HC'!S252+'BTX Recycling HC'!S163+'BTX Recycling HC'!S118)-'Overall recycling rates'!$E$61/SUM('Overall recycling rates'!$E$60:$E$62)*('BTX Recycling HC'!S226+'BTX Recycling HC'!S253+'BTX Recycling HC'!S164+'BTX Recycling HC'!S119)-'Overall recycling rates'!$H$61/SUM('Overall recycling rates'!$H$60:$H$62)*('BTX Recycling HC'!S227+'BTX Recycling HC'!S254+'BTX Recycling HC'!S165+'BTX Recycling HC'!S120)-'Overall recycling rates'!$I$61/SUM('Overall recycling rates'!$I$60:$I$62)*('BTX Recycling HC'!S228+'BTX Recycling HC'!S255+'BTX Recycling HC'!S166+'BTX Recycling HC'!S121)</f>
        <v>2.0188724116006949</v>
      </c>
      <c r="BA102" s="44">
        <f>BA43-'Overall recycling rates'!$G$61/SUM('Overall recycling rates'!$G$60:$G$62)*('BTX Recycling HC'!T225+'BTX Recycling HC'!T252+'BTX Recycling HC'!T163+'BTX Recycling HC'!T118)-'Overall recycling rates'!$E$61/SUM('Overall recycling rates'!$E$60:$E$62)*('BTX Recycling HC'!T226+'BTX Recycling HC'!T253+'BTX Recycling HC'!T164+'BTX Recycling HC'!T119)-'Overall recycling rates'!$H$61/SUM('Overall recycling rates'!$H$60:$H$62)*('BTX Recycling HC'!T227+'BTX Recycling HC'!T254+'BTX Recycling HC'!T165+'BTX Recycling HC'!T120)-'Overall recycling rates'!$I$61/SUM('Overall recycling rates'!$I$60:$I$62)*('BTX Recycling HC'!T228+'BTX Recycling HC'!T255+'BTX Recycling HC'!T166+'BTX Recycling HC'!T121)</f>
        <v>1.9386604578430555</v>
      </c>
      <c r="BB102" s="44">
        <f>BB43-'Overall recycling rates'!$G$61/SUM('Overall recycling rates'!$G$60:$G$62)*('BTX Recycling HC'!U225+'BTX Recycling HC'!U252+'BTX Recycling HC'!U163+'BTX Recycling HC'!U118)-'Overall recycling rates'!$E$61/SUM('Overall recycling rates'!$E$60:$E$62)*('BTX Recycling HC'!U226+'BTX Recycling HC'!U253+'BTX Recycling HC'!U164+'BTX Recycling HC'!U119)-'Overall recycling rates'!$H$61/SUM('Overall recycling rates'!$H$60:$H$62)*('BTX Recycling HC'!U227+'BTX Recycling HC'!U254+'BTX Recycling HC'!U165+'BTX Recycling HC'!U120)-'Overall recycling rates'!$I$61/SUM('Overall recycling rates'!$I$60:$I$62)*('BTX Recycling HC'!U228+'BTX Recycling HC'!U255+'BTX Recycling HC'!U166+'BTX Recycling HC'!U121)</f>
        <v>1.8532004502941075</v>
      </c>
      <c r="BC102" s="44">
        <f>BC43-'Overall recycling rates'!$G$61/SUM('Overall recycling rates'!$G$60:$G$62)*('BTX Recycling HC'!V225+'BTX Recycling HC'!V252+'BTX Recycling HC'!V163+'BTX Recycling HC'!V118)-'Overall recycling rates'!$E$61/SUM('Overall recycling rates'!$E$60:$E$62)*('BTX Recycling HC'!V226+'BTX Recycling HC'!V253+'BTX Recycling HC'!V164+'BTX Recycling HC'!V119)-'Overall recycling rates'!$H$61/SUM('Overall recycling rates'!$H$60:$H$62)*('BTX Recycling HC'!V227+'BTX Recycling HC'!V254+'BTX Recycling HC'!V165+'BTX Recycling HC'!V120)-'Overall recycling rates'!$I$61/SUM('Overall recycling rates'!$I$60:$I$62)*('BTX Recycling HC'!V228+'BTX Recycling HC'!V255+'BTX Recycling HC'!V166+'BTX Recycling HC'!V121)</f>
        <v>1.7623945531226601</v>
      </c>
      <c r="BD102" s="44">
        <f>BD43-'Overall recycling rates'!$G$61/SUM('Overall recycling rates'!$G$60:$G$62)*('BTX Recycling HC'!W225+'BTX Recycling HC'!W252+'BTX Recycling HC'!W163+'BTX Recycling HC'!W118)-'Overall recycling rates'!$E$61/SUM('Overall recycling rates'!$E$60:$E$62)*('BTX Recycling HC'!W226+'BTX Recycling HC'!W253+'BTX Recycling HC'!W164+'BTX Recycling HC'!W119)-'Overall recycling rates'!$H$61/SUM('Overall recycling rates'!$H$60:$H$62)*('BTX Recycling HC'!W227+'BTX Recycling HC'!W254+'BTX Recycling HC'!W165+'BTX Recycling HC'!W120)-'Overall recycling rates'!$I$61/SUM('Overall recycling rates'!$I$60:$I$62)*('BTX Recycling HC'!W228+'BTX Recycling HC'!W255+'BTX Recycling HC'!W166+'BTX Recycling HC'!W121)</f>
        <v>1.6661472264571699</v>
      </c>
      <c r="BE102" s="44">
        <f>BE43-'Overall recycling rates'!$G$61/SUM('Overall recycling rates'!$G$60:$G$62)*('BTX Recycling HC'!X225+'BTX Recycling HC'!X252+'BTX Recycling HC'!X163+'BTX Recycling HC'!X118)-'Overall recycling rates'!$E$61/SUM('Overall recycling rates'!$E$60:$E$62)*('BTX Recycling HC'!X226+'BTX Recycling HC'!X253+'BTX Recycling HC'!X164+'BTX Recycling HC'!X119)-'Overall recycling rates'!$H$61/SUM('Overall recycling rates'!$H$60:$H$62)*('BTX Recycling HC'!X227+'BTX Recycling HC'!X254+'BTX Recycling HC'!X165+'BTX Recycling HC'!X120)-'Overall recycling rates'!$I$61/SUM('Overall recycling rates'!$I$60:$I$62)*('BTX Recycling HC'!X228+'BTX Recycling HC'!X255+'BTX Recycling HC'!X166+'BTX Recycling HC'!X121)</f>
        <v>1.5212377815916995</v>
      </c>
      <c r="BF102" s="44">
        <f>BF43-'Overall recycling rates'!$G$61/SUM('Overall recycling rates'!$G$60:$G$62)*('BTX Recycling HC'!Y225+'BTX Recycling HC'!Y252+'BTX Recycling HC'!Y163+'BTX Recycling HC'!Y118)-'Overall recycling rates'!$E$61/SUM('Overall recycling rates'!$E$60:$E$62)*('BTX Recycling HC'!Y226+'BTX Recycling HC'!Y253+'BTX Recycling HC'!Y164+'BTX Recycling HC'!Y119)-'Overall recycling rates'!$H$61/SUM('Overall recycling rates'!$H$60:$H$62)*('BTX Recycling HC'!Y227+'BTX Recycling HC'!Y254+'BTX Recycling HC'!Y165+'BTX Recycling HC'!Y120)-'Overall recycling rates'!$I$61/SUM('Overall recycling rates'!$I$60:$I$62)*('BTX Recycling HC'!Y228+'BTX Recycling HC'!Y255+'BTX Recycling HC'!Y166+'BTX Recycling HC'!Y121)</f>
        <v>1.3676350228316798</v>
      </c>
      <c r="BG102" s="44">
        <f>BG43-'Overall recycling rates'!$G$61/SUM('Overall recycling rates'!$G$60:$G$62)*('BTX Recycling HC'!Z225+'BTX Recycling HC'!Z252+'BTX Recycling HC'!Z163+'BTX Recycling HC'!Z118)-'Overall recycling rates'!$E$61/SUM('Overall recycling rates'!$E$60:$E$62)*('BTX Recycling HC'!Z226+'BTX Recycling HC'!Z253+'BTX Recycling HC'!Z164+'BTX Recycling HC'!Z119)-'Overall recycling rates'!$H$61/SUM('Overall recycling rates'!$H$60:$H$62)*('BTX Recycling HC'!Z227+'BTX Recycling HC'!Z254+'BTX Recycling HC'!Z165+'BTX Recycling HC'!Z120)-'Overall recycling rates'!$I$61/SUM('Overall recycling rates'!$I$60:$I$62)*('BTX Recycling HC'!Z228+'BTX Recycling HC'!Z255+'BTX Recycling HC'!Z166+'BTX Recycling HC'!Z121)</f>
        <v>1.2050404315836807</v>
      </c>
      <c r="BH102" s="44">
        <f>BH43-'Overall recycling rates'!$G$61/SUM('Overall recycling rates'!$G$60:$G$62)*('BTX Recycling HC'!AA225+'BTX Recycling HC'!AA252+'BTX Recycling HC'!AA163+'BTX Recycling HC'!AA118)-'Overall recycling rates'!$E$61/SUM('Overall recycling rates'!$E$60:$E$62)*('BTX Recycling HC'!AA226+'BTX Recycling HC'!AA253+'BTX Recycling HC'!AA164+'BTX Recycling HC'!AA119)-'Overall recycling rates'!$H$61/SUM('Overall recycling rates'!$H$60:$H$62)*('BTX Recycling HC'!AA227+'BTX Recycling HC'!AA254+'BTX Recycling HC'!AA165+'BTX Recycling HC'!AA120)-'Overall recycling rates'!$I$61/SUM('Overall recycling rates'!$I$60:$I$62)*('BTX Recycling HC'!AA228+'BTX Recycling HC'!AA255+'BTX Recycling HC'!AA166+'BTX Recycling HC'!AA121)</f>
        <v>1.0334329149548145</v>
      </c>
      <c r="BI102" s="44">
        <f>BI43-'Overall recycling rates'!$G$61/SUM('Overall recycling rates'!$G$60:$G$62)*('BTX Recycling HC'!AB225+'BTX Recycling HC'!AB252+'BTX Recycling HC'!AB163+'BTX Recycling HC'!AB118)-'Overall recycling rates'!$E$61/SUM('Overall recycling rates'!$E$60:$E$62)*('BTX Recycling HC'!AB226+'BTX Recycling HC'!AB253+'BTX Recycling HC'!AB164+'BTX Recycling HC'!AB119)-'Overall recycling rates'!$H$61/SUM('Overall recycling rates'!$H$60:$H$62)*('BTX Recycling HC'!AB227+'BTX Recycling HC'!AB254+'BTX Recycling HC'!AB165+'BTX Recycling HC'!AB120)-'Overall recycling rates'!$I$61/SUM('Overall recycling rates'!$I$60:$I$62)*('BTX Recycling HC'!AB228+'BTX Recycling HC'!AB255+'BTX Recycling HC'!AB166+'BTX Recycling HC'!AB121)</f>
        <v>0.85266891943778345</v>
      </c>
      <c r="BJ102" s="44">
        <f>BJ43-'Overall recycling rates'!$G$61/SUM('Overall recycling rates'!$G$60:$G$62)*('BTX Recycling HC'!AC225+'BTX Recycling HC'!AC252+'BTX Recycling HC'!AC163+'BTX Recycling HC'!AC118)-'Overall recycling rates'!$E$61/SUM('Overall recycling rates'!$E$60:$E$62)*('BTX Recycling HC'!AC226+'BTX Recycling HC'!AC253+'BTX Recycling HC'!AC164+'BTX Recycling HC'!AC119)-'Overall recycling rates'!$H$61/SUM('Overall recycling rates'!$H$60:$H$62)*('BTX Recycling HC'!AC227+'BTX Recycling HC'!AC254+'BTX Recycling HC'!AC165+'BTX Recycling HC'!AC120)-'Overall recycling rates'!$I$61/SUM('Overall recycling rates'!$I$60:$I$62)*('BTX Recycling HC'!AC228+'BTX Recycling HC'!AC255+'BTX Recycling HC'!AC166+'BTX Recycling HC'!AC121)</f>
        <v>0.66258131001411358</v>
      </c>
      <c r="BK102" s="44">
        <f>BK43-'Overall recycling rates'!$G$61/SUM('Overall recycling rates'!$G$60:$G$62)*('BTX Recycling HC'!AD225+'BTX Recycling HC'!AD252+'BTX Recycling HC'!AD163+'BTX Recycling HC'!AD118)-'Overall recycling rates'!$E$61/SUM('Overall recycling rates'!$E$60:$E$62)*('BTX Recycling HC'!AD226+'BTX Recycling HC'!AD253+'BTX Recycling HC'!AD164+'BTX Recycling HC'!AD119)-'Overall recycling rates'!$H$61/SUM('Overall recycling rates'!$H$60:$H$62)*('BTX Recycling HC'!AD227+'BTX Recycling HC'!AD254+'BTX Recycling HC'!AD165+'BTX Recycling HC'!AD120)-'Overall recycling rates'!$I$61/SUM('Overall recycling rates'!$I$60:$I$62)*('BTX Recycling HC'!AD228+'BTX Recycling HC'!AD255+'BTX Recycling HC'!AD166+'BTX Recycling HC'!AD121)</f>
        <v>0.46302965605631674</v>
      </c>
      <c r="BL102" s="44">
        <f>BL43-'Overall recycling rates'!$G$61/SUM('Overall recycling rates'!$G$60:$G$62)*('BTX Recycling HC'!AE225+'BTX Recycling HC'!AE252+'BTX Recycling HC'!AE163+'BTX Recycling HC'!AE118)-'Overall recycling rates'!$E$61/SUM('Overall recycling rates'!$E$60:$E$62)*('BTX Recycling HC'!AE226+'BTX Recycling HC'!AE253+'BTX Recycling HC'!AE164+'BTX Recycling HC'!AE119)-'Overall recycling rates'!$H$61/SUM('Overall recycling rates'!$H$60:$H$62)*('BTX Recycling HC'!AE227+'BTX Recycling HC'!AE254+'BTX Recycling HC'!AE165+'BTX Recycling HC'!AE120)-'Overall recycling rates'!$I$61/SUM('Overall recycling rates'!$I$60:$I$62)*('BTX Recycling HC'!AE228+'BTX Recycling HC'!AE255+'BTX Recycling HC'!AE166+'BTX Recycling HC'!AE121)</f>
        <v>0.25387830095510444</v>
      </c>
      <c r="BM102" s="44">
        <f>BM43-'Overall recycling rates'!$G$61/SUM('Overall recycling rates'!$G$60:$G$62)*('BTX Recycling HC'!AF225+'BTX Recycling HC'!AF252+'BTX Recycling HC'!AF163+'BTX Recycling HC'!AF118)-'Overall recycling rates'!$E$61/SUM('Overall recycling rates'!$E$60:$E$62)*('BTX Recycling HC'!AF226+'BTX Recycling HC'!AF253+'BTX Recycling HC'!AF164+'BTX Recycling HC'!AF119)-'Overall recycling rates'!$H$61/SUM('Overall recycling rates'!$H$60:$H$62)*('BTX Recycling HC'!AF227+'BTX Recycling HC'!AF254+'BTX Recycling HC'!AF165+'BTX Recycling HC'!AF120)-'Overall recycling rates'!$I$61/SUM('Overall recycling rates'!$I$60:$I$62)*('BTX Recycling HC'!AF228+'BTX Recycling HC'!AF255+'BTX Recycling HC'!AF166+'BTX Recycling HC'!AF121)</f>
        <v>3.4996625683372695E-2</v>
      </c>
      <c r="BN102" s="44">
        <f>BN43-'Overall recycling rates'!$G$61/SUM('Overall recycling rates'!$G$60:$G$62)*('BTX Recycling HC'!AG225+'BTX Recycling HC'!AG252+'BTX Recycling HC'!AG163+'BTX Recycling HC'!AG118)-'Overall recycling rates'!$E$61/SUM('Overall recycling rates'!$E$60:$E$62)*('BTX Recycling HC'!AG226+'BTX Recycling HC'!AG253+'BTX Recycling HC'!AG164+'BTX Recycling HC'!AG119)-'Overall recycling rates'!$H$61/SUM('Overall recycling rates'!$H$60:$H$62)*('BTX Recycling HC'!AG227+'BTX Recycling HC'!AG254+'BTX Recycling HC'!AG165+'BTX Recycling HC'!AG120)-'Overall recycling rates'!$I$61/SUM('Overall recycling rates'!$I$60:$I$62)*('BTX Recycling HC'!AG228+'BTX Recycling HC'!AG255+'BTX Recycling HC'!AG166+'BTX Recycling HC'!AG121)</f>
        <v>-0.193740686067984</v>
      </c>
    </row>
    <row r="103" spans="1:66" s="68" customFormat="1" outlineLevel="1">
      <c r="A103" s="754"/>
      <c r="B103" s="62" t="s">
        <v>166</v>
      </c>
      <c r="C103" s="283" t="s">
        <v>153</v>
      </c>
      <c r="D103" s="284">
        <f>D44-'Overall recycling rates'!$G$62/SUM('Overall recycling rates'!$G$60:$G$62)*('BTX Recycling HC'!C225+'BTX Recycling HC'!C252+'BTX Recycling HC'!C163+'BTX Recycling HC'!C118)-'Overall recycling rates'!$E$62/SUM('Overall recycling rates'!$E$60:$E$62)*('BTX Recycling HC'!C226+'BTX Recycling HC'!C253+'BTX Recycling HC'!C164+'BTX Recycling HC'!C119)-'Overall recycling rates'!$H$62/SUM('Overall recycling rates'!$H$60:$H$62)*('BTX Recycling HC'!C227+'BTX Recycling HC'!C254+'BTX Recycling HC'!C165+'BTX Recycling HC'!C120)-'Overall recycling rates'!$I$62/SUM('Overall recycling rates'!$I$60:$I$62)*('BTX Recycling HC'!C228+'BTX Recycling HC'!C255+'BTX Recycling HC'!C166+'BTX Recycling HC'!C121)</f>
        <v>0.16910821079379051</v>
      </c>
      <c r="E103" s="284">
        <f>E44-'Overall recycling rates'!$G$62/SUM('Overall recycling rates'!$G$60:$G$62)*('BTX Recycling HC'!D225+'BTX Recycling HC'!D252+'BTX Recycling HC'!D163+'BTX Recycling HC'!D118)-'Overall recycling rates'!$E$62/SUM('Overall recycling rates'!$E$60:$E$62)*('BTX Recycling HC'!D226+'BTX Recycling HC'!D253+'BTX Recycling HC'!D164+'BTX Recycling HC'!D119)-'Overall recycling rates'!$H$62/SUM('Overall recycling rates'!$H$60:$H$62)*('BTX Recycling HC'!D227+'BTX Recycling HC'!D254+'BTX Recycling HC'!D165+'BTX Recycling HC'!D120)-'Overall recycling rates'!$I$62/SUM('Overall recycling rates'!$I$60:$I$62)*('BTX Recycling HC'!D228+'BTX Recycling HC'!D255+'BTX Recycling HC'!D166+'BTX Recycling HC'!D121)</f>
        <v>9.9807945124777503E-2</v>
      </c>
      <c r="F103" s="284">
        <f>F44-'Overall recycling rates'!$G$62/SUM('Overall recycling rates'!$G$60:$G$62)*('BTX Recycling HC'!E225+'BTX Recycling HC'!E252+'BTX Recycling HC'!E163+'BTX Recycling HC'!E118)-'Overall recycling rates'!$E$62/SUM('Overall recycling rates'!$E$60:$E$62)*('BTX Recycling HC'!E226+'BTX Recycling HC'!E253+'BTX Recycling HC'!E164+'BTX Recycling HC'!E119)-'Overall recycling rates'!$H$62/SUM('Overall recycling rates'!$H$60:$H$62)*('BTX Recycling HC'!E227+'BTX Recycling HC'!E254+'BTX Recycling HC'!E165+'BTX Recycling HC'!E120)-'Overall recycling rates'!$I$62/SUM('Overall recycling rates'!$I$60:$I$62)*('BTX Recycling HC'!E228+'BTX Recycling HC'!E255+'BTX Recycling HC'!E166+'BTX Recycling HC'!E121)</f>
        <v>7.8042369083011522E-3</v>
      </c>
      <c r="G103" s="284">
        <f>G44-'Overall recycling rates'!$G$62/SUM('Overall recycling rates'!$G$60:$G$62)*('BTX Recycling HC'!F225+'BTX Recycling HC'!F252+'BTX Recycling HC'!F163+'BTX Recycling HC'!F118)-'Overall recycling rates'!$E$62/SUM('Overall recycling rates'!$E$60:$E$62)*('BTX Recycling HC'!F226+'BTX Recycling HC'!F253+'BTX Recycling HC'!F164+'BTX Recycling HC'!F119)-'Overall recycling rates'!$H$62/SUM('Overall recycling rates'!$H$60:$H$62)*('BTX Recycling HC'!F227+'BTX Recycling HC'!F254+'BTX Recycling HC'!F165+'BTX Recycling HC'!F120)-'Overall recycling rates'!$I$62/SUM('Overall recycling rates'!$I$60:$I$62)*('BTX Recycling HC'!F228+'BTX Recycling HC'!F255+'BTX Recycling HC'!F166+'BTX Recycling HC'!F121)</f>
        <v>-7.9187367776268475E-2</v>
      </c>
      <c r="H103" s="284">
        <f>H44-'Overall recycling rates'!$G$62/SUM('Overall recycling rates'!$G$60:$G$62)*('BTX Recycling HC'!G225+'BTX Recycling HC'!G252+'BTX Recycling HC'!G163+'BTX Recycling HC'!G118)-'Overall recycling rates'!$E$62/SUM('Overall recycling rates'!$E$60:$E$62)*('BTX Recycling HC'!G226+'BTX Recycling HC'!G253+'BTX Recycling HC'!G164+'BTX Recycling HC'!G119)-'Overall recycling rates'!$H$62/SUM('Overall recycling rates'!$H$60:$H$62)*('BTX Recycling HC'!G227+'BTX Recycling HC'!G254+'BTX Recycling HC'!G165+'BTX Recycling HC'!G120)-'Overall recycling rates'!$I$62/SUM('Overall recycling rates'!$I$60:$I$62)*('BTX Recycling HC'!G228+'BTX Recycling HC'!G255+'BTX Recycling HC'!G166+'BTX Recycling HC'!G121)</f>
        <v>-0.16040408939621739</v>
      </c>
      <c r="I103" s="284">
        <f>I44-'Overall recycling rates'!$G$62/SUM('Overall recycling rates'!$G$60:$G$62)*('BTX Recycling HC'!H225+'BTX Recycling HC'!H252+'BTX Recycling HC'!H163+'BTX Recycling HC'!H118)-'Overall recycling rates'!$E$62/SUM('Overall recycling rates'!$E$60:$E$62)*('BTX Recycling HC'!H226+'BTX Recycling HC'!H253+'BTX Recycling HC'!H164+'BTX Recycling HC'!H119)-'Overall recycling rates'!$H$62/SUM('Overall recycling rates'!$H$60:$H$62)*('BTX Recycling HC'!H227+'BTX Recycling HC'!H254+'BTX Recycling HC'!H165+'BTX Recycling HC'!H120)-'Overall recycling rates'!$I$62/SUM('Overall recycling rates'!$I$60:$I$62)*('BTX Recycling HC'!H228+'BTX Recycling HC'!H255+'BTX Recycling HC'!H166+'BTX Recycling HC'!H121)</f>
        <v>-0.23512293448557739</v>
      </c>
      <c r="J103" s="284">
        <f>J44-'Overall recycling rates'!$G$62/SUM('Overall recycling rates'!$G$60:$G$62)*('BTX Recycling HC'!I225+'BTX Recycling HC'!I252+'BTX Recycling HC'!I163+'BTX Recycling HC'!I118)-'Overall recycling rates'!$E$62/SUM('Overall recycling rates'!$E$60:$E$62)*('BTX Recycling HC'!I226+'BTX Recycling HC'!I253+'BTX Recycling HC'!I164+'BTX Recycling HC'!I119)-'Overall recycling rates'!$H$62/SUM('Overall recycling rates'!$H$60:$H$62)*('BTX Recycling HC'!I227+'BTX Recycling HC'!I254+'BTX Recycling HC'!I165+'BTX Recycling HC'!I120)-'Overall recycling rates'!$I$62/SUM('Overall recycling rates'!$I$60:$I$62)*('BTX Recycling HC'!I228+'BTX Recycling HC'!I255+'BTX Recycling HC'!I166+'BTX Recycling HC'!I121)</f>
        <v>-0.30816946354153418</v>
      </c>
      <c r="K103" s="284">
        <f>K44-'Overall recycling rates'!$G$62/SUM('Overall recycling rates'!$G$60:$G$62)*('BTX Recycling HC'!J225+'BTX Recycling HC'!J252+'BTX Recycling HC'!J163+'BTX Recycling HC'!J118)-'Overall recycling rates'!$E$62/SUM('Overall recycling rates'!$E$60:$E$62)*('BTX Recycling HC'!J226+'BTX Recycling HC'!J253+'BTX Recycling HC'!J164+'BTX Recycling HC'!J119)-'Overall recycling rates'!$H$62/SUM('Overall recycling rates'!$H$60:$H$62)*('BTX Recycling HC'!J227+'BTX Recycling HC'!J254+'BTX Recycling HC'!J165+'BTX Recycling HC'!J120)-'Overall recycling rates'!$I$62/SUM('Overall recycling rates'!$I$60:$I$62)*('BTX Recycling HC'!J228+'BTX Recycling HC'!J255+'BTX Recycling HC'!J166+'BTX Recycling HC'!J121)</f>
        <v>-0.3793604596906171</v>
      </c>
      <c r="L103" s="284">
        <f>L44-'Overall recycling rates'!$G$62/SUM('Overall recycling rates'!$G$60:$G$62)*('BTX Recycling HC'!K225+'BTX Recycling HC'!K252+'BTX Recycling HC'!K163+'BTX Recycling HC'!K118)-'Overall recycling rates'!$E$62/SUM('Overall recycling rates'!$E$60:$E$62)*('BTX Recycling HC'!K226+'BTX Recycling HC'!K253+'BTX Recycling HC'!K164+'BTX Recycling HC'!K119)-'Overall recycling rates'!$H$62/SUM('Overall recycling rates'!$H$60:$H$62)*('BTX Recycling HC'!K227+'BTX Recycling HC'!K254+'BTX Recycling HC'!K165+'BTX Recycling HC'!K120)-'Overall recycling rates'!$I$62/SUM('Overall recycling rates'!$I$60:$I$62)*('BTX Recycling HC'!K228+'BTX Recycling HC'!K255+'BTX Recycling HC'!K166+'BTX Recycling HC'!K121)</f>
        <v>-0.44851375043767522</v>
      </c>
      <c r="M103" s="284">
        <f>M44-'Overall recycling rates'!$G$62/SUM('Overall recycling rates'!$G$60:$G$62)*('BTX Recycling HC'!L225+'BTX Recycling HC'!L252+'BTX Recycling HC'!L163+'BTX Recycling HC'!L118)-'Overall recycling rates'!$E$62/SUM('Overall recycling rates'!$E$60:$E$62)*('BTX Recycling HC'!L226+'BTX Recycling HC'!L253+'BTX Recycling HC'!L164+'BTX Recycling HC'!L119)-'Overall recycling rates'!$H$62/SUM('Overall recycling rates'!$H$60:$H$62)*('BTX Recycling HC'!L227+'BTX Recycling HC'!L254+'BTX Recycling HC'!L165+'BTX Recycling HC'!L120)-'Overall recycling rates'!$I$62/SUM('Overall recycling rates'!$I$60:$I$62)*('BTX Recycling HC'!L228+'BTX Recycling HC'!L255+'BTX Recycling HC'!L166+'BTX Recycling HC'!L121)</f>
        <v>-0.51544881475047799</v>
      </c>
      <c r="N103" s="284">
        <f>N44-'Overall recycling rates'!$G$62/SUM('Overall recycling rates'!$G$60:$G$62)*('BTX Recycling HC'!M225+'BTX Recycling HC'!M252+'BTX Recycling HC'!M163+'BTX Recycling HC'!M118)-'Overall recycling rates'!$E$62/SUM('Overall recycling rates'!$E$60:$E$62)*('BTX Recycling HC'!M226+'BTX Recycling HC'!M253+'BTX Recycling HC'!M164+'BTX Recycling HC'!M119)-'Overall recycling rates'!$H$62/SUM('Overall recycling rates'!$H$60:$H$62)*('BTX Recycling HC'!M227+'BTX Recycling HC'!M254+'BTX Recycling HC'!M165+'BTX Recycling HC'!M120)-'Overall recycling rates'!$I$62/SUM('Overall recycling rates'!$I$60:$I$62)*('BTX Recycling HC'!M228+'BTX Recycling HC'!M255+'BTX Recycling HC'!M166+'BTX Recycling HC'!M121)</f>
        <v>-0.57998739818940348</v>
      </c>
      <c r="O103" s="284">
        <f>O44-'Overall recycling rates'!$G$62/SUM('Overall recycling rates'!$G$60:$G$62)*('BTX Recycling HC'!N225+'BTX Recycling HC'!N252+'BTX Recycling HC'!N163+'BTX Recycling HC'!N118)-'Overall recycling rates'!$E$62/SUM('Overall recycling rates'!$E$60:$E$62)*('BTX Recycling HC'!N226+'BTX Recycling HC'!N253+'BTX Recycling HC'!N164+'BTX Recycling HC'!N119)-'Overall recycling rates'!$H$62/SUM('Overall recycling rates'!$H$60:$H$62)*('BTX Recycling HC'!N227+'BTX Recycling HC'!N254+'BTX Recycling HC'!N165+'BTX Recycling HC'!N120)-'Overall recycling rates'!$I$62/SUM('Overall recycling rates'!$I$60:$I$62)*('BTX Recycling HC'!N228+'BTX Recycling HC'!N255+'BTX Recycling HC'!N166+'BTX Recycling HC'!N121)</f>
        <v>-0.73352959688891872</v>
      </c>
      <c r="P103" s="284">
        <f>P44-'Overall recycling rates'!$G$62/SUM('Overall recycling rates'!$G$60:$G$62)*('BTX Recycling HC'!O225+'BTX Recycling HC'!O252+'BTX Recycling HC'!O163+'BTX Recycling HC'!O118)-'Overall recycling rates'!$E$62/SUM('Overall recycling rates'!$E$60:$E$62)*('BTX Recycling HC'!O226+'BTX Recycling HC'!O253+'BTX Recycling HC'!O164+'BTX Recycling HC'!O119)-'Overall recycling rates'!$H$62/SUM('Overall recycling rates'!$H$60:$H$62)*('BTX Recycling HC'!O227+'BTX Recycling HC'!O254+'BTX Recycling HC'!O165+'BTX Recycling HC'!O120)-'Overall recycling rates'!$I$62/SUM('Overall recycling rates'!$I$60:$I$62)*('BTX Recycling HC'!O228+'BTX Recycling HC'!O255+'BTX Recycling HC'!O166+'BTX Recycling HC'!O121)</f>
        <v>-0.87863449061546151</v>
      </c>
      <c r="Q103" s="284">
        <f>Q44-'Overall recycling rates'!$G$62/SUM('Overall recycling rates'!$G$60:$G$62)*('BTX Recycling HC'!P225+'BTX Recycling HC'!P252+'BTX Recycling HC'!P163+'BTX Recycling HC'!P118)-'Overall recycling rates'!$E$62/SUM('Overall recycling rates'!$E$60:$E$62)*('BTX Recycling HC'!P226+'BTX Recycling HC'!P253+'BTX Recycling HC'!P164+'BTX Recycling HC'!P119)-'Overall recycling rates'!$H$62/SUM('Overall recycling rates'!$H$60:$H$62)*('BTX Recycling HC'!P227+'BTX Recycling HC'!P254+'BTX Recycling HC'!P165+'BTX Recycling HC'!P120)-'Overall recycling rates'!$I$62/SUM('Overall recycling rates'!$I$60:$I$62)*('BTX Recycling HC'!P228+'BTX Recycling HC'!P255+'BTX Recycling HC'!P166+'BTX Recycling HC'!P121)</f>
        <v>-1.0143180150518563</v>
      </c>
      <c r="R103" s="284">
        <f>R44-'Overall recycling rates'!$G$62/SUM('Overall recycling rates'!$G$60:$G$62)*('BTX Recycling HC'!Q225+'BTX Recycling HC'!Q252+'BTX Recycling HC'!Q163+'BTX Recycling HC'!Q118)-'Overall recycling rates'!$E$62/SUM('Overall recycling rates'!$E$60:$E$62)*('BTX Recycling HC'!Q226+'BTX Recycling HC'!Q253+'BTX Recycling HC'!Q164+'BTX Recycling HC'!Q119)-'Overall recycling rates'!$H$62/SUM('Overall recycling rates'!$H$60:$H$62)*('BTX Recycling HC'!Q227+'BTX Recycling HC'!Q254+'BTX Recycling HC'!Q165+'BTX Recycling HC'!Q120)-'Overall recycling rates'!$I$62/SUM('Overall recycling rates'!$I$60:$I$62)*('BTX Recycling HC'!Q228+'BTX Recycling HC'!Q255+'BTX Recycling HC'!Q166+'BTX Recycling HC'!Q121)</f>
        <v>-1.1396183847294961</v>
      </c>
      <c r="S103" s="284">
        <f>S44-'Overall recycling rates'!$G$62/SUM('Overall recycling rates'!$G$60:$G$62)*('BTX Recycling HC'!R225+'BTX Recycling HC'!R252+'BTX Recycling HC'!R163+'BTX Recycling HC'!R118)-'Overall recycling rates'!$E$62/SUM('Overall recycling rates'!$E$60:$E$62)*('BTX Recycling HC'!R226+'BTX Recycling HC'!R253+'BTX Recycling HC'!R164+'BTX Recycling HC'!R119)-'Overall recycling rates'!$H$62/SUM('Overall recycling rates'!$H$60:$H$62)*('BTX Recycling HC'!R227+'BTX Recycling HC'!R254+'BTX Recycling HC'!R165+'BTX Recycling HC'!R120)-'Overall recycling rates'!$I$62/SUM('Overall recycling rates'!$I$60:$I$62)*('BTX Recycling HC'!R228+'BTX Recycling HC'!R255+'BTX Recycling HC'!R166+'BTX Recycling HC'!R121)</f>
        <v>-1.2536744820021437</v>
      </c>
      <c r="T103" s="284">
        <f>T44-'Overall recycling rates'!$G$62/SUM('Overall recycling rates'!$G$60:$G$62)*('BTX Recycling HC'!S225+'BTX Recycling HC'!S252+'BTX Recycling HC'!S163+'BTX Recycling HC'!S118)-'Overall recycling rates'!$E$62/SUM('Overall recycling rates'!$E$60:$E$62)*('BTX Recycling HC'!S226+'BTX Recycling HC'!S253+'BTX Recycling HC'!S164+'BTX Recycling HC'!S119)-'Overall recycling rates'!$H$62/SUM('Overall recycling rates'!$H$60:$H$62)*('BTX Recycling HC'!S227+'BTX Recycling HC'!S254+'BTX Recycling HC'!S165+'BTX Recycling HC'!S120)-'Overall recycling rates'!$I$62/SUM('Overall recycling rates'!$I$60:$I$62)*('BTX Recycling HC'!S228+'BTX Recycling HC'!S255+'BTX Recycling HC'!S166+'BTX Recycling HC'!S121)</f>
        <v>-1.3622411709336282</v>
      </c>
      <c r="U103" s="284">
        <f>U44-'Overall recycling rates'!$G$62/SUM('Overall recycling rates'!$G$60:$G$62)*('BTX Recycling HC'!T225+'BTX Recycling HC'!T252+'BTX Recycling HC'!T163+'BTX Recycling HC'!T118)-'Overall recycling rates'!$E$62/SUM('Overall recycling rates'!$E$60:$E$62)*('BTX Recycling HC'!T226+'BTX Recycling HC'!T253+'BTX Recycling HC'!T164+'BTX Recycling HC'!T119)-'Overall recycling rates'!$H$62/SUM('Overall recycling rates'!$H$60:$H$62)*('BTX Recycling HC'!T227+'BTX Recycling HC'!T254+'BTX Recycling HC'!T165+'BTX Recycling HC'!T120)-'Overall recycling rates'!$I$62/SUM('Overall recycling rates'!$I$60:$I$62)*('BTX Recycling HC'!T228+'BTX Recycling HC'!T255+'BTX Recycling HC'!T166+'BTX Recycling HC'!T121)</f>
        <v>-1.4651907273650484</v>
      </c>
      <c r="V103" s="284">
        <f>V44-'Overall recycling rates'!$G$62/SUM('Overall recycling rates'!$G$60:$G$62)*('BTX Recycling HC'!U225+'BTX Recycling HC'!U252+'BTX Recycling HC'!U163+'BTX Recycling HC'!U118)-'Overall recycling rates'!$E$62/SUM('Overall recycling rates'!$E$60:$E$62)*('BTX Recycling HC'!U226+'BTX Recycling HC'!U253+'BTX Recycling HC'!U164+'BTX Recycling HC'!U119)-'Overall recycling rates'!$H$62/SUM('Overall recycling rates'!$H$60:$H$62)*('BTX Recycling HC'!U227+'BTX Recycling HC'!U254+'BTX Recycling HC'!U165+'BTX Recycling HC'!U120)-'Overall recycling rates'!$I$62/SUM('Overall recycling rates'!$I$60:$I$62)*('BTX Recycling HC'!U228+'BTX Recycling HC'!U255+'BTX Recycling HC'!U166+'BTX Recycling HC'!U121)</f>
        <v>-1.5623999849043968</v>
      </c>
      <c r="W103" s="284">
        <f>W44-'Overall recycling rates'!$G$62/SUM('Overall recycling rates'!$G$60:$G$62)*('BTX Recycling HC'!V225+'BTX Recycling HC'!V252+'BTX Recycling HC'!V163+'BTX Recycling HC'!V118)-'Overall recycling rates'!$E$62/SUM('Overall recycling rates'!$E$60:$E$62)*('BTX Recycling HC'!V226+'BTX Recycling HC'!V253+'BTX Recycling HC'!V164+'BTX Recycling HC'!V119)-'Overall recycling rates'!$H$62/SUM('Overall recycling rates'!$H$60:$H$62)*('BTX Recycling HC'!V227+'BTX Recycling HC'!V254+'BTX Recycling HC'!V165+'BTX Recycling HC'!V120)-'Overall recycling rates'!$I$62/SUM('Overall recycling rates'!$I$60:$I$62)*('BTX Recycling HC'!V228+'BTX Recycling HC'!V255+'BTX Recycling HC'!V166+'BTX Recycling HC'!V121)</f>
        <v>-1.6537505425958714</v>
      </c>
      <c r="X103" s="284">
        <f>X44-'Overall recycling rates'!$G$62/SUM('Overall recycling rates'!$G$60:$G$62)*('BTX Recycling HC'!W225+'BTX Recycling HC'!W252+'BTX Recycling HC'!W163+'BTX Recycling HC'!W118)-'Overall recycling rates'!$E$62/SUM('Overall recycling rates'!$E$60:$E$62)*('BTX Recycling HC'!W226+'BTX Recycling HC'!W253+'BTX Recycling HC'!W164+'BTX Recycling HC'!W119)-'Overall recycling rates'!$H$62/SUM('Overall recycling rates'!$H$60:$H$62)*('BTX Recycling HC'!W227+'BTX Recycling HC'!W254+'BTX Recycling HC'!W165+'BTX Recycling HC'!W120)-'Overall recycling rates'!$I$62/SUM('Overall recycling rates'!$I$60:$I$62)*('BTX Recycling HC'!W228+'BTX Recycling HC'!W255+'BTX Recycling HC'!W166+'BTX Recycling HC'!W121)</f>
        <v>-1.7391289705919608</v>
      </c>
      <c r="Y103" s="284">
        <f>Y44-'Overall recycling rates'!$G$62/SUM('Overall recycling rates'!$G$60:$G$62)*('BTX Recycling HC'!X225+'BTX Recycling HC'!X252+'BTX Recycling HC'!X163+'BTX Recycling HC'!X118)-'Overall recycling rates'!$E$62/SUM('Overall recycling rates'!$E$60:$E$62)*('BTX Recycling HC'!X226+'BTX Recycling HC'!X253+'BTX Recycling HC'!X164+'BTX Recycling HC'!X119)-'Overall recycling rates'!$H$62/SUM('Overall recycling rates'!$H$60:$H$62)*('BTX Recycling HC'!X227+'BTX Recycling HC'!X254+'BTX Recycling HC'!X165+'BTX Recycling HC'!X120)-'Overall recycling rates'!$I$62/SUM('Overall recycling rates'!$I$60:$I$62)*('BTX Recycling HC'!X228+'BTX Recycling HC'!X255+'BTX Recycling HC'!X166+'BTX Recycling HC'!X121)</f>
        <v>-1.913322006393561</v>
      </c>
      <c r="Z103" s="284">
        <f>Z44-'Overall recycling rates'!$G$62/SUM('Overall recycling rates'!$G$60:$G$62)*('BTX Recycling HC'!Y225+'BTX Recycling HC'!Y252+'BTX Recycling HC'!Y163+'BTX Recycling HC'!Y118)-'Overall recycling rates'!$E$62/SUM('Overall recycling rates'!$E$60:$E$62)*('BTX Recycling HC'!Y226+'BTX Recycling HC'!Y253+'BTX Recycling HC'!Y164+'BTX Recycling HC'!Y119)-'Overall recycling rates'!$H$62/SUM('Overall recycling rates'!$H$60:$H$62)*('BTX Recycling HC'!Y227+'BTX Recycling HC'!Y254+'BTX Recycling HC'!Y165+'BTX Recycling HC'!Y120)-'Overall recycling rates'!$I$62/SUM('Overall recycling rates'!$I$60:$I$62)*('BTX Recycling HC'!Y228+'BTX Recycling HC'!Y255+'BTX Recycling HC'!Y166+'BTX Recycling HC'!Y121)</f>
        <v>-2.0791381742891155</v>
      </c>
      <c r="AA103" s="284">
        <f>AA44-'Overall recycling rates'!$G$62/SUM('Overall recycling rates'!$G$60:$G$62)*('BTX Recycling HC'!Z225+'BTX Recycling HC'!Z252+'BTX Recycling HC'!Z163+'BTX Recycling HC'!Z118)-'Overall recycling rates'!$E$62/SUM('Overall recycling rates'!$E$60:$E$62)*('BTX Recycling HC'!Z226+'BTX Recycling HC'!Z253+'BTX Recycling HC'!Z164+'BTX Recycling HC'!Z119)-'Overall recycling rates'!$H$62/SUM('Overall recycling rates'!$H$60:$H$62)*('BTX Recycling HC'!Z227+'BTX Recycling HC'!Z254+'BTX Recycling HC'!Z165+'BTX Recycling HC'!Z120)-'Overall recycling rates'!$I$62/SUM('Overall recycling rates'!$I$60:$I$62)*('BTX Recycling HC'!Z228+'BTX Recycling HC'!Z255+'BTX Recycling HC'!Z166+'BTX Recycling HC'!Z121)</f>
        <v>-2.2365087675918449</v>
      </c>
      <c r="AB103" s="284">
        <f>AB44-'Overall recycling rates'!$G$62/SUM('Overall recycling rates'!$G$60:$G$62)*('BTX Recycling HC'!AA225+'BTX Recycling HC'!AA252+'BTX Recycling HC'!AA163+'BTX Recycling HC'!AA118)-'Overall recycling rates'!$E$62/SUM('Overall recycling rates'!$E$60:$E$62)*('BTX Recycling HC'!AA226+'BTX Recycling HC'!AA253+'BTX Recycling HC'!AA164+'BTX Recycling HC'!AA119)-'Overall recycling rates'!$H$62/SUM('Overall recycling rates'!$H$60:$H$62)*('BTX Recycling HC'!AA227+'BTX Recycling HC'!AA254+'BTX Recycling HC'!AA165+'BTX Recycling HC'!AA120)-'Overall recycling rates'!$I$62/SUM('Overall recycling rates'!$I$60:$I$62)*('BTX Recycling HC'!AA228+'BTX Recycling HC'!AA255+'BTX Recycling HC'!AA166+'BTX Recycling HC'!AA121)</f>
        <v>-2.3852384232492545</v>
      </c>
      <c r="AC103" s="284">
        <f>AC44-'Overall recycling rates'!$G$62/SUM('Overall recycling rates'!$G$60:$G$62)*('BTX Recycling HC'!AB225+'BTX Recycling HC'!AB252+'BTX Recycling HC'!AB163+'BTX Recycling HC'!AB118)-'Overall recycling rates'!$E$62/SUM('Overall recycling rates'!$E$60:$E$62)*('BTX Recycling HC'!AB226+'BTX Recycling HC'!AB253+'BTX Recycling HC'!AB164+'BTX Recycling HC'!AB119)-'Overall recycling rates'!$H$62/SUM('Overall recycling rates'!$H$60:$H$62)*('BTX Recycling HC'!AB227+'BTX Recycling HC'!AB254+'BTX Recycling HC'!AB165+'BTX Recycling HC'!AB120)-'Overall recycling rates'!$I$62/SUM('Overall recycling rates'!$I$60:$I$62)*('BTX Recycling HC'!AB228+'BTX Recycling HC'!AB255+'BTX Recycling HC'!AB166+'BTX Recycling HC'!AB121)</f>
        <v>-2.5252034959857061</v>
      </c>
      <c r="AD103" s="284">
        <f>AD44-'Overall recycling rates'!$G$62/SUM('Overall recycling rates'!$G$60:$G$62)*('BTX Recycling HC'!AC225+'BTX Recycling HC'!AC252+'BTX Recycling HC'!AC163+'BTX Recycling HC'!AC118)-'Overall recycling rates'!$E$62/SUM('Overall recycling rates'!$E$60:$E$62)*('BTX Recycling HC'!AC226+'BTX Recycling HC'!AC253+'BTX Recycling HC'!AC164+'BTX Recycling HC'!AC119)-'Overall recycling rates'!$H$62/SUM('Overall recycling rates'!$H$60:$H$62)*('BTX Recycling HC'!AC227+'BTX Recycling HC'!AC254+'BTX Recycling HC'!AC165+'BTX Recycling HC'!AC120)-'Overall recycling rates'!$I$62/SUM('Overall recycling rates'!$I$60:$I$62)*('BTX Recycling HC'!AC228+'BTX Recycling HC'!AC255+'BTX Recycling HC'!AC166+'BTX Recycling HC'!AC121)</f>
        <v>-2.6563357669007863</v>
      </c>
      <c r="AE103" s="284">
        <f>AE44-'Overall recycling rates'!$G$62/SUM('Overall recycling rates'!$G$60:$G$62)*('BTX Recycling HC'!AD225+'BTX Recycling HC'!AD252+'BTX Recycling HC'!AD163+'BTX Recycling HC'!AD118)-'Overall recycling rates'!$E$62/SUM('Overall recycling rates'!$E$60:$E$62)*('BTX Recycling HC'!AD226+'BTX Recycling HC'!AD253+'BTX Recycling HC'!AD164+'BTX Recycling HC'!AD119)-'Overall recycling rates'!$H$62/SUM('Overall recycling rates'!$H$60:$H$62)*('BTX Recycling HC'!AD227+'BTX Recycling HC'!AD254+'BTX Recycling HC'!AD165+'BTX Recycling HC'!AD120)-'Overall recycling rates'!$I$62/SUM('Overall recycling rates'!$I$60:$I$62)*('BTX Recycling HC'!AD228+'BTX Recycling HC'!AD255+'BTX Recycling HC'!AD166+'BTX Recycling HC'!AD121)</f>
        <v>-2.7785327775686746</v>
      </c>
      <c r="AF103" s="284">
        <f>AF44-'Overall recycling rates'!$G$62/SUM('Overall recycling rates'!$G$60:$G$62)*('BTX Recycling HC'!AE225+'BTX Recycling HC'!AE252+'BTX Recycling HC'!AE163+'BTX Recycling HC'!AE118)-'Overall recycling rates'!$E$62/SUM('Overall recycling rates'!$E$60:$E$62)*('BTX Recycling HC'!AE226+'BTX Recycling HC'!AE253+'BTX Recycling HC'!AE164+'BTX Recycling HC'!AE119)-'Overall recycling rates'!$H$62/SUM('Overall recycling rates'!$H$60:$H$62)*('BTX Recycling HC'!AE227+'BTX Recycling HC'!AE254+'BTX Recycling HC'!AE165+'BTX Recycling HC'!AE120)-'Overall recycling rates'!$I$62/SUM('Overall recycling rates'!$I$60:$I$62)*('BTX Recycling HC'!AE228+'BTX Recycling HC'!AE255+'BTX Recycling HC'!AE166+'BTX Recycling HC'!AE121)</f>
        <v>-2.891700743613407</v>
      </c>
      <c r="AG103" s="284">
        <f>AG44-'Overall recycling rates'!$G$62/SUM('Overall recycling rates'!$G$60:$G$62)*('BTX Recycling HC'!AF225+'BTX Recycling HC'!AF252+'BTX Recycling HC'!AF163+'BTX Recycling HC'!AF118)-'Overall recycling rates'!$E$62/SUM('Overall recycling rates'!$E$60:$E$62)*('BTX Recycling HC'!AF226+'BTX Recycling HC'!AF253+'BTX Recycling HC'!AF164+'BTX Recycling HC'!AF119)-'Overall recycling rates'!$H$62/SUM('Overall recycling rates'!$H$60:$H$62)*('BTX Recycling HC'!AF227+'BTX Recycling HC'!AF254+'BTX Recycling HC'!AF165+'BTX Recycling HC'!AF120)-'Overall recycling rates'!$I$62/SUM('Overall recycling rates'!$I$60:$I$62)*('BTX Recycling HC'!AF228+'BTX Recycling HC'!AF255+'BTX Recycling HC'!AF166+'BTX Recycling HC'!AF121)</f>
        <v>-2.995754795254717</v>
      </c>
      <c r="AH103" s="284">
        <f>AH44-'Overall recycling rates'!$G$62/SUM('Overall recycling rates'!$G$60:$G$62)*('BTX Recycling HC'!AG225+'BTX Recycling HC'!AG252+'BTX Recycling HC'!AG163+'BTX Recycling HC'!AG118)-'Overall recycling rates'!$E$62/SUM('Overall recycling rates'!$E$60:$E$62)*('BTX Recycling HC'!AG226+'BTX Recycling HC'!AG253+'BTX Recycling HC'!AG164+'BTX Recycling HC'!AG119)-'Overall recycling rates'!$H$62/SUM('Overall recycling rates'!$H$60:$H$62)*('BTX Recycling HC'!AG227+'BTX Recycling HC'!AG254+'BTX Recycling HC'!AG165+'BTX Recycling HC'!AG120)-'Overall recycling rates'!$I$62/SUM('Overall recycling rates'!$I$60:$I$62)*('BTX Recycling HC'!AG228+'BTX Recycling HC'!AG255+'BTX Recycling HC'!AG166+'BTX Recycling HC'!AG121)</f>
        <v>-3.0906192131459456</v>
      </c>
      <c r="AJ103" s="284">
        <f>AJ44-'Overall recycling rates'!$G$62/SUM('Overall recycling rates'!$G$60:$G$62)*('BTX Recycling HC'!C225+'BTX Recycling HC'!C252+'BTX Recycling HC'!C163+'BTX Recycling HC'!C118)-'Overall recycling rates'!$E$62/SUM('Overall recycling rates'!$E$60:$E$62)*('BTX Recycling HC'!C226+'BTX Recycling HC'!C253+'BTX Recycling HC'!C164+'BTX Recycling HC'!C119)-'Overall recycling rates'!$H$62/SUM('Overall recycling rates'!$H$60:$H$62)*('BTX Recycling HC'!C227+'BTX Recycling HC'!C254+'BTX Recycling HC'!C165+'BTX Recycling HC'!C120)-'Overall recycling rates'!$I$62/SUM('Overall recycling rates'!$I$60:$I$62)*('BTX Recycling HC'!C228+'BTX Recycling HC'!C255+'BTX Recycling HC'!C166+'BTX Recycling HC'!C121)</f>
        <v>0.16910821079379051</v>
      </c>
      <c r="AK103" s="284">
        <f>AK44-'Overall recycling rates'!$G$62/SUM('Overall recycling rates'!$G$60:$G$62)*('BTX Recycling HC'!D225+'BTX Recycling HC'!D252+'BTX Recycling HC'!D163+'BTX Recycling HC'!D118)-'Overall recycling rates'!$E$62/SUM('Overall recycling rates'!$E$60:$E$62)*('BTX Recycling HC'!D226+'BTX Recycling HC'!D253+'BTX Recycling HC'!D164+'BTX Recycling HC'!D119)-'Overall recycling rates'!$H$62/SUM('Overall recycling rates'!$H$60:$H$62)*('BTX Recycling HC'!D227+'BTX Recycling HC'!D254+'BTX Recycling HC'!D165+'BTX Recycling HC'!D120)-'Overall recycling rates'!$I$62/SUM('Overall recycling rates'!$I$60:$I$62)*('BTX Recycling HC'!D228+'BTX Recycling HC'!D255+'BTX Recycling HC'!D166+'BTX Recycling HC'!D121)</f>
        <v>9.9807945124777503E-2</v>
      </c>
      <c r="AL103" s="284">
        <f>AL44-'Overall recycling rates'!$G$62/SUM('Overall recycling rates'!$G$60:$G$62)*('BTX Recycling HC'!E225+'BTX Recycling HC'!E252+'BTX Recycling HC'!E163+'BTX Recycling HC'!E118)-'Overall recycling rates'!$E$62/SUM('Overall recycling rates'!$E$60:$E$62)*('BTX Recycling HC'!E226+'BTX Recycling HC'!E253+'BTX Recycling HC'!E164+'BTX Recycling HC'!E119)-'Overall recycling rates'!$H$62/SUM('Overall recycling rates'!$H$60:$H$62)*('BTX Recycling HC'!E227+'BTX Recycling HC'!E254+'BTX Recycling HC'!E165+'BTX Recycling HC'!E120)-'Overall recycling rates'!$I$62/SUM('Overall recycling rates'!$I$60:$I$62)*('BTX Recycling HC'!E228+'BTX Recycling HC'!E255+'BTX Recycling HC'!E166+'BTX Recycling HC'!E121)</f>
        <v>7.8042369083011522E-3</v>
      </c>
      <c r="AM103" s="284">
        <f>AM44-'Overall recycling rates'!$G$62/SUM('Overall recycling rates'!$G$60:$G$62)*('BTX Recycling HC'!F225+'BTX Recycling HC'!F252+'BTX Recycling HC'!F163+'BTX Recycling HC'!F118)-'Overall recycling rates'!$E$62/SUM('Overall recycling rates'!$E$60:$E$62)*('BTX Recycling HC'!F226+'BTX Recycling HC'!F253+'BTX Recycling HC'!F164+'BTX Recycling HC'!F119)-'Overall recycling rates'!$H$62/SUM('Overall recycling rates'!$H$60:$H$62)*('BTX Recycling HC'!F227+'BTX Recycling HC'!F254+'BTX Recycling HC'!F165+'BTX Recycling HC'!F120)-'Overall recycling rates'!$I$62/SUM('Overall recycling rates'!$I$60:$I$62)*('BTX Recycling HC'!F228+'BTX Recycling HC'!F255+'BTX Recycling HC'!F166+'BTX Recycling HC'!F121)</f>
        <v>-7.9187367776268475E-2</v>
      </c>
      <c r="AN103" s="284">
        <f>AN44-'Overall recycling rates'!$G$62/SUM('Overall recycling rates'!$G$60:$G$62)*('BTX Recycling HC'!G225+'BTX Recycling HC'!G252+'BTX Recycling HC'!G163+'BTX Recycling HC'!G118)-'Overall recycling rates'!$E$62/SUM('Overall recycling rates'!$E$60:$E$62)*('BTX Recycling HC'!G226+'BTX Recycling HC'!G253+'BTX Recycling HC'!G164+'BTX Recycling HC'!G119)-'Overall recycling rates'!$H$62/SUM('Overall recycling rates'!$H$60:$H$62)*('BTX Recycling HC'!G227+'BTX Recycling HC'!G254+'BTX Recycling HC'!G165+'BTX Recycling HC'!G120)-'Overall recycling rates'!$I$62/SUM('Overall recycling rates'!$I$60:$I$62)*('BTX Recycling HC'!G228+'BTX Recycling HC'!G255+'BTX Recycling HC'!G166+'BTX Recycling HC'!G121)</f>
        <v>-0.16040408939621739</v>
      </c>
      <c r="AO103" s="284">
        <f>AO44-'Overall recycling rates'!$G$62/SUM('Overall recycling rates'!$G$60:$G$62)*('BTX Recycling HC'!H225+'BTX Recycling HC'!H252+'BTX Recycling HC'!H163+'BTX Recycling HC'!H118)-'Overall recycling rates'!$E$62/SUM('Overall recycling rates'!$E$60:$E$62)*('BTX Recycling HC'!H226+'BTX Recycling HC'!H253+'BTX Recycling HC'!H164+'BTX Recycling HC'!H119)-'Overall recycling rates'!$H$62/SUM('Overall recycling rates'!$H$60:$H$62)*('BTX Recycling HC'!H227+'BTX Recycling HC'!H254+'BTX Recycling HC'!H165+'BTX Recycling HC'!H120)-'Overall recycling rates'!$I$62/SUM('Overall recycling rates'!$I$60:$I$62)*('BTX Recycling HC'!H228+'BTX Recycling HC'!H255+'BTX Recycling HC'!H166+'BTX Recycling HC'!H121)</f>
        <v>-0.23512293448557739</v>
      </c>
      <c r="AP103" s="284">
        <f>AP44-'Overall recycling rates'!$G$62/SUM('Overall recycling rates'!$G$60:$G$62)*('BTX Recycling HC'!I225+'BTX Recycling HC'!I252+'BTX Recycling HC'!I163+'BTX Recycling HC'!I118)-'Overall recycling rates'!$E$62/SUM('Overall recycling rates'!$E$60:$E$62)*('BTX Recycling HC'!I226+'BTX Recycling HC'!I253+'BTX Recycling HC'!I164+'BTX Recycling HC'!I119)-'Overall recycling rates'!$H$62/SUM('Overall recycling rates'!$H$60:$H$62)*('BTX Recycling HC'!I227+'BTX Recycling HC'!I254+'BTX Recycling HC'!I165+'BTX Recycling HC'!I120)-'Overall recycling rates'!$I$62/SUM('Overall recycling rates'!$I$60:$I$62)*('BTX Recycling HC'!I228+'BTX Recycling HC'!I255+'BTX Recycling HC'!I166+'BTX Recycling HC'!I121)</f>
        <v>-0.30816946354153418</v>
      </c>
      <c r="AQ103" s="284">
        <f>AQ44-'Overall recycling rates'!$G$62/SUM('Overall recycling rates'!$G$60:$G$62)*('BTX Recycling HC'!J225+'BTX Recycling HC'!J252+'BTX Recycling HC'!J163+'BTX Recycling HC'!J118)-'Overall recycling rates'!$E$62/SUM('Overall recycling rates'!$E$60:$E$62)*('BTX Recycling HC'!J226+'BTX Recycling HC'!J253+'BTX Recycling HC'!J164+'BTX Recycling HC'!J119)-'Overall recycling rates'!$H$62/SUM('Overall recycling rates'!$H$60:$H$62)*('BTX Recycling HC'!J227+'BTX Recycling HC'!J254+'BTX Recycling HC'!J165+'BTX Recycling HC'!J120)-'Overall recycling rates'!$I$62/SUM('Overall recycling rates'!$I$60:$I$62)*('BTX Recycling HC'!J228+'BTX Recycling HC'!J255+'BTX Recycling HC'!J166+'BTX Recycling HC'!J121)</f>
        <v>-0.3793604596906171</v>
      </c>
      <c r="AR103" s="284">
        <f>AR44-'Overall recycling rates'!$G$62/SUM('Overall recycling rates'!$G$60:$G$62)*('BTX Recycling HC'!K225+'BTX Recycling HC'!K252+'BTX Recycling HC'!K163+'BTX Recycling HC'!K118)-'Overall recycling rates'!$E$62/SUM('Overall recycling rates'!$E$60:$E$62)*('BTX Recycling HC'!K226+'BTX Recycling HC'!K253+'BTX Recycling HC'!K164+'BTX Recycling HC'!K119)-'Overall recycling rates'!$H$62/SUM('Overall recycling rates'!$H$60:$H$62)*('BTX Recycling HC'!K227+'BTX Recycling HC'!K254+'BTX Recycling HC'!K165+'BTX Recycling HC'!K120)-'Overall recycling rates'!$I$62/SUM('Overall recycling rates'!$I$60:$I$62)*('BTX Recycling HC'!K228+'BTX Recycling HC'!K255+'BTX Recycling HC'!K166+'BTX Recycling HC'!K121)</f>
        <v>-0.44851375043767522</v>
      </c>
      <c r="AS103" s="284">
        <f>AS44-'Overall recycling rates'!$G$62/SUM('Overall recycling rates'!$G$60:$G$62)*('BTX Recycling HC'!L225+'BTX Recycling HC'!L252+'BTX Recycling HC'!L163+'BTX Recycling HC'!L118)-'Overall recycling rates'!$E$62/SUM('Overall recycling rates'!$E$60:$E$62)*('BTX Recycling HC'!L226+'BTX Recycling HC'!L253+'BTX Recycling HC'!L164+'BTX Recycling HC'!L119)-'Overall recycling rates'!$H$62/SUM('Overall recycling rates'!$H$60:$H$62)*('BTX Recycling HC'!L227+'BTX Recycling HC'!L254+'BTX Recycling HC'!L165+'BTX Recycling HC'!L120)-'Overall recycling rates'!$I$62/SUM('Overall recycling rates'!$I$60:$I$62)*('BTX Recycling HC'!L228+'BTX Recycling HC'!L255+'BTX Recycling HC'!L166+'BTX Recycling HC'!L121)</f>
        <v>-0.51544881475047799</v>
      </c>
      <c r="AT103" s="284">
        <f>AT44-'Overall recycling rates'!$G$62/SUM('Overall recycling rates'!$G$60:$G$62)*('BTX Recycling HC'!M225+'BTX Recycling HC'!M252+'BTX Recycling HC'!M163+'BTX Recycling HC'!M118)-'Overall recycling rates'!$E$62/SUM('Overall recycling rates'!$E$60:$E$62)*('BTX Recycling HC'!M226+'BTX Recycling HC'!M253+'BTX Recycling HC'!M164+'BTX Recycling HC'!M119)-'Overall recycling rates'!$H$62/SUM('Overall recycling rates'!$H$60:$H$62)*('BTX Recycling HC'!M227+'BTX Recycling HC'!M254+'BTX Recycling HC'!M165+'BTX Recycling HC'!M120)-'Overall recycling rates'!$I$62/SUM('Overall recycling rates'!$I$60:$I$62)*('BTX Recycling HC'!M228+'BTX Recycling HC'!M255+'BTX Recycling HC'!M166+'BTX Recycling HC'!M121)</f>
        <v>-0.57998739818940348</v>
      </c>
      <c r="AU103" s="284">
        <f>AU44-'Overall recycling rates'!$G$62/SUM('Overall recycling rates'!$G$60:$G$62)*('BTX Recycling HC'!N225+'BTX Recycling HC'!N252+'BTX Recycling HC'!N163+'BTX Recycling HC'!N118)-'Overall recycling rates'!$E$62/SUM('Overall recycling rates'!$E$60:$E$62)*('BTX Recycling HC'!N226+'BTX Recycling HC'!N253+'BTX Recycling HC'!N164+'BTX Recycling HC'!N119)-'Overall recycling rates'!$H$62/SUM('Overall recycling rates'!$H$60:$H$62)*('BTX Recycling HC'!N227+'BTX Recycling HC'!N254+'BTX Recycling HC'!N165+'BTX Recycling HC'!N120)-'Overall recycling rates'!$I$62/SUM('Overall recycling rates'!$I$60:$I$62)*('BTX Recycling HC'!N228+'BTX Recycling HC'!N255+'BTX Recycling HC'!N166+'BTX Recycling HC'!N121)</f>
        <v>-0.73352959688891872</v>
      </c>
      <c r="AV103" s="284">
        <f>AV44-'Overall recycling rates'!$G$62/SUM('Overall recycling rates'!$G$60:$G$62)*('BTX Recycling HC'!O225+'BTX Recycling HC'!O252+'BTX Recycling HC'!O163+'BTX Recycling HC'!O118)-'Overall recycling rates'!$E$62/SUM('Overall recycling rates'!$E$60:$E$62)*('BTX Recycling HC'!O226+'BTX Recycling HC'!O253+'BTX Recycling HC'!O164+'BTX Recycling HC'!O119)-'Overall recycling rates'!$H$62/SUM('Overall recycling rates'!$H$60:$H$62)*('BTX Recycling HC'!O227+'BTX Recycling HC'!O254+'BTX Recycling HC'!O165+'BTX Recycling HC'!O120)-'Overall recycling rates'!$I$62/SUM('Overall recycling rates'!$I$60:$I$62)*('BTX Recycling HC'!O228+'BTX Recycling HC'!O255+'BTX Recycling HC'!O166+'BTX Recycling HC'!O121)</f>
        <v>-0.87863449061546151</v>
      </c>
      <c r="AW103" s="284">
        <f>AW44-'Overall recycling rates'!$G$62/SUM('Overall recycling rates'!$G$60:$G$62)*('BTX Recycling HC'!P225+'BTX Recycling HC'!P252+'BTX Recycling HC'!P163+'BTX Recycling HC'!P118)-'Overall recycling rates'!$E$62/SUM('Overall recycling rates'!$E$60:$E$62)*('BTX Recycling HC'!P226+'BTX Recycling HC'!P253+'BTX Recycling HC'!P164+'BTX Recycling HC'!P119)-'Overall recycling rates'!$H$62/SUM('Overall recycling rates'!$H$60:$H$62)*('BTX Recycling HC'!P227+'BTX Recycling HC'!P254+'BTX Recycling HC'!P165+'BTX Recycling HC'!P120)-'Overall recycling rates'!$I$62/SUM('Overall recycling rates'!$I$60:$I$62)*('BTX Recycling HC'!P228+'BTX Recycling HC'!P255+'BTX Recycling HC'!P166+'BTX Recycling HC'!P121)</f>
        <v>-1.0143180150518563</v>
      </c>
      <c r="AX103" s="284">
        <f>AX44-'Overall recycling rates'!$G$62/SUM('Overall recycling rates'!$G$60:$G$62)*('BTX Recycling HC'!Q225+'BTX Recycling HC'!Q252+'BTX Recycling HC'!Q163+'BTX Recycling HC'!Q118)-'Overall recycling rates'!$E$62/SUM('Overall recycling rates'!$E$60:$E$62)*('BTX Recycling HC'!Q226+'BTX Recycling HC'!Q253+'BTX Recycling HC'!Q164+'BTX Recycling HC'!Q119)-'Overall recycling rates'!$H$62/SUM('Overall recycling rates'!$H$60:$H$62)*('BTX Recycling HC'!Q227+'BTX Recycling HC'!Q254+'BTX Recycling HC'!Q165+'BTX Recycling HC'!Q120)-'Overall recycling rates'!$I$62/SUM('Overall recycling rates'!$I$60:$I$62)*('BTX Recycling HC'!Q228+'BTX Recycling HC'!Q255+'BTX Recycling HC'!Q166+'BTX Recycling HC'!Q121)</f>
        <v>-1.1396183847294961</v>
      </c>
      <c r="AY103" s="284">
        <f>AY44-'Overall recycling rates'!$G$62/SUM('Overall recycling rates'!$G$60:$G$62)*('BTX Recycling HC'!R225+'BTX Recycling HC'!R252+'BTX Recycling HC'!R163+'BTX Recycling HC'!R118)-'Overall recycling rates'!$E$62/SUM('Overall recycling rates'!$E$60:$E$62)*('BTX Recycling HC'!R226+'BTX Recycling HC'!R253+'BTX Recycling HC'!R164+'BTX Recycling HC'!R119)-'Overall recycling rates'!$H$62/SUM('Overall recycling rates'!$H$60:$H$62)*('BTX Recycling HC'!R227+'BTX Recycling HC'!R254+'BTX Recycling HC'!R165+'BTX Recycling HC'!R120)-'Overall recycling rates'!$I$62/SUM('Overall recycling rates'!$I$60:$I$62)*('BTX Recycling HC'!R228+'BTX Recycling HC'!R255+'BTX Recycling HC'!R166+'BTX Recycling HC'!R121)</f>
        <v>-1.2536744820021437</v>
      </c>
      <c r="AZ103" s="284">
        <f>AZ44-'Overall recycling rates'!$G$62/SUM('Overall recycling rates'!$G$60:$G$62)*('BTX Recycling HC'!S225+'BTX Recycling HC'!S252+'BTX Recycling HC'!S163+'BTX Recycling HC'!S118)-'Overall recycling rates'!$E$62/SUM('Overall recycling rates'!$E$60:$E$62)*('BTX Recycling HC'!S226+'BTX Recycling HC'!S253+'BTX Recycling HC'!S164+'BTX Recycling HC'!S119)-'Overall recycling rates'!$H$62/SUM('Overall recycling rates'!$H$60:$H$62)*('BTX Recycling HC'!S227+'BTX Recycling HC'!S254+'BTX Recycling HC'!S165+'BTX Recycling HC'!S120)-'Overall recycling rates'!$I$62/SUM('Overall recycling rates'!$I$60:$I$62)*('BTX Recycling HC'!S228+'BTX Recycling HC'!S255+'BTX Recycling HC'!S166+'BTX Recycling HC'!S121)</f>
        <v>-1.3622411709336282</v>
      </c>
      <c r="BA103" s="284">
        <f>BA44-'Overall recycling rates'!$G$62/SUM('Overall recycling rates'!$G$60:$G$62)*('BTX Recycling HC'!T225+'BTX Recycling HC'!T252+'BTX Recycling HC'!T163+'BTX Recycling HC'!T118)-'Overall recycling rates'!$E$62/SUM('Overall recycling rates'!$E$60:$E$62)*('BTX Recycling HC'!T226+'BTX Recycling HC'!T253+'BTX Recycling HC'!T164+'BTX Recycling HC'!T119)-'Overall recycling rates'!$H$62/SUM('Overall recycling rates'!$H$60:$H$62)*('BTX Recycling HC'!T227+'BTX Recycling HC'!T254+'BTX Recycling HC'!T165+'BTX Recycling HC'!T120)-'Overall recycling rates'!$I$62/SUM('Overall recycling rates'!$I$60:$I$62)*('BTX Recycling HC'!T228+'BTX Recycling HC'!T255+'BTX Recycling HC'!T166+'BTX Recycling HC'!T121)</f>
        <v>-1.4651907273650484</v>
      </c>
      <c r="BB103" s="284">
        <f>BB44-'Overall recycling rates'!$G$62/SUM('Overall recycling rates'!$G$60:$G$62)*('BTX Recycling HC'!U225+'BTX Recycling HC'!U252+'BTX Recycling HC'!U163+'BTX Recycling HC'!U118)-'Overall recycling rates'!$E$62/SUM('Overall recycling rates'!$E$60:$E$62)*('BTX Recycling HC'!U226+'BTX Recycling HC'!U253+'BTX Recycling HC'!U164+'BTX Recycling HC'!U119)-'Overall recycling rates'!$H$62/SUM('Overall recycling rates'!$H$60:$H$62)*('BTX Recycling HC'!U227+'BTX Recycling HC'!U254+'BTX Recycling HC'!U165+'BTX Recycling HC'!U120)-'Overall recycling rates'!$I$62/SUM('Overall recycling rates'!$I$60:$I$62)*('BTX Recycling HC'!U228+'BTX Recycling HC'!U255+'BTX Recycling HC'!U166+'BTX Recycling HC'!U121)</f>
        <v>-1.5623999849043968</v>
      </c>
      <c r="BC103" s="284">
        <f>BC44-'Overall recycling rates'!$G$62/SUM('Overall recycling rates'!$G$60:$G$62)*('BTX Recycling HC'!V225+'BTX Recycling HC'!V252+'BTX Recycling HC'!V163+'BTX Recycling HC'!V118)-'Overall recycling rates'!$E$62/SUM('Overall recycling rates'!$E$60:$E$62)*('BTX Recycling HC'!V226+'BTX Recycling HC'!V253+'BTX Recycling HC'!V164+'BTX Recycling HC'!V119)-'Overall recycling rates'!$H$62/SUM('Overall recycling rates'!$H$60:$H$62)*('BTX Recycling HC'!V227+'BTX Recycling HC'!V254+'BTX Recycling HC'!V165+'BTX Recycling HC'!V120)-'Overall recycling rates'!$I$62/SUM('Overall recycling rates'!$I$60:$I$62)*('BTX Recycling HC'!V228+'BTX Recycling HC'!V255+'BTX Recycling HC'!V166+'BTX Recycling HC'!V121)</f>
        <v>-1.6537505425958714</v>
      </c>
      <c r="BD103" s="284">
        <f>BD44-'Overall recycling rates'!$G$62/SUM('Overall recycling rates'!$G$60:$G$62)*('BTX Recycling HC'!W225+'BTX Recycling HC'!W252+'BTX Recycling HC'!W163+'BTX Recycling HC'!W118)-'Overall recycling rates'!$E$62/SUM('Overall recycling rates'!$E$60:$E$62)*('BTX Recycling HC'!W226+'BTX Recycling HC'!W253+'BTX Recycling HC'!W164+'BTX Recycling HC'!W119)-'Overall recycling rates'!$H$62/SUM('Overall recycling rates'!$H$60:$H$62)*('BTX Recycling HC'!W227+'BTX Recycling HC'!W254+'BTX Recycling HC'!W165+'BTX Recycling HC'!W120)-'Overall recycling rates'!$I$62/SUM('Overall recycling rates'!$I$60:$I$62)*('BTX Recycling HC'!W228+'BTX Recycling HC'!W255+'BTX Recycling HC'!W166+'BTX Recycling HC'!W121)</f>
        <v>-1.7391289705919608</v>
      </c>
      <c r="BE103" s="284">
        <f>BE44-'Overall recycling rates'!$G$62/SUM('Overall recycling rates'!$G$60:$G$62)*('BTX Recycling HC'!X225+'BTX Recycling HC'!X252+'BTX Recycling HC'!X163+'BTX Recycling HC'!X118)-'Overall recycling rates'!$E$62/SUM('Overall recycling rates'!$E$60:$E$62)*('BTX Recycling HC'!X226+'BTX Recycling HC'!X253+'BTX Recycling HC'!X164+'BTX Recycling HC'!X119)-'Overall recycling rates'!$H$62/SUM('Overall recycling rates'!$H$60:$H$62)*('BTX Recycling HC'!X227+'BTX Recycling HC'!X254+'BTX Recycling HC'!X165+'BTX Recycling HC'!X120)-'Overall recycling rates'!$I$62/SUM('Overall recycling rates'!$I$60:$I$62)*('BTX Recycling HC'!X228+'BTX Recycling HC'!X255+'BTX Recycling HC'!X166+'BTX Recycling HC'!X121)</f>
        <v>-1.913322006393561</v>
      </c>
      <c r="BF103" s="284">
        <f>BF44-'Overall recycling rates'!$G$62/SUM('Overall recycling rates'!$G$60:$G$62)*('BTX Recycling HC'!Y225+'BTX Recycling HC'!Y252+'BTX Recycling HC'!Y163+'BTX Recycling HC'!Y118)-'Overall recycling rates'!$E$62/SUM('Overall recycling rates'!$E$60:$E$62)*('BTX Recycling HC'!Y226+'BTX Recycling HC'!Y253+'BTX Recycling HC'!Y164+'BTX Recycling HC'!Y119)-'Overall recycling rates'!$H$62/SUM('Overall recycling rates'!$H$60:$H$62)*('BTX Recycling HC'!Y227+'BTX Recycling HC'!Y254+'BTX Recycling HC'!Y165+'BTX Recycling HC'!Y120)-'Overall recycling rates'!$I$62/SUM('Overall recycling rates'!$I$60:$I$62)*('BTX Recycling HC'!Y228+'BTX Recycling HC'!Y255+'BTX Recycling HC'!Y166+'BTX Recycling HC'!Y121)</f>
        <v>-2.0791381742891155</v>
      </c>
      <c r="BG103" s="284">
        <f>BG44-'Overall recycling rates'!$G$62/SUM('Overall recycling rates'!$G$60:$G$62)*('BTX Recycling HC'!Z225+'BTX Recycling HC'!Z252+'BTX Recycling HC'!Z163+'BTX Recycling HC'!Z118)-'Overall recycling rates'!$E$62/SUM('Overall recycling rates'!$E$60:$E$62)*('BTX Recycling HC'!Z226+'BTX Recycling HC'!Z253+'BTX Recycling HC'!Z164+'BTX Recycling HC'!Z119)-'Overall recycling rates'!$H$62/SUM('Overall recycling rates'!$H$60:$H$62)*('BTX Recycling HC'!Z227+'BTX Recycling HC'!Z254+'BTX Recycling HC'!Z165+'BTX Recycling HC'!Z120)-'Overall recycling rates'!$I$62/SUM('Overall recycling rates'!$I$60:$I$62)*('BTX Recycling HC'!Z228+'BTX Recycling HC'!Z255+'BTX Recycling HC'!Z166+'BTX Recycling HC'!Z121)</f>
        <v>-2.2365087675918449</v>
      </c>
      <c r="BH103" s="284">
        <f>BH44-'Overall recycling rates'!$G$62/SUM('Overall recycling rates'!$G$60:$G$62)*('BTX Recycling HC'!AA225+'BTX Recycling HC'!AA252+'BTX Recycling HC'!AA163+'BTX Recycling HC'!AA118)-'Overall recycling rates'!$E$62/SUM('Overall recycling rates'!$E$60:$E$62)*('BTX Recycling HC'!AA226+'BTX Recycling HC'!AA253+'BTX Recycling HC'!AA164+'BTX Recycling HC'!AA119)-'Overall recycling rates'!$H$62/SUM('Overall recycling rates'!$H$60:$H$62)*('BTX Recycling HC'!AA227+'BTX Recycling HC'!AA254+'BTX Recycling HC'!AA165+'BTX Recycling HC'!AA120)-'Overall recycling rates'!$I$62/SUM('Overall recycling rates'!$I$60:$I$62)*('BTX Recycling HC'!AA228+'BTX Recycling HC'!AA255+'BTX Recycling HC'!AA166+'BTX Recycling HC'!AA121)</f>
        <v>-2.3852384232492545</v>
      </c>
      <c r="BI103" s="284">
        <f>BI44-'Overall recycling rates'!$G$62/SUM('Overall recycling rates'!$G$60:$G$62)*('BTX Recycling HC'!AB225+'BTX Recycling HC'!AB252+'BTX Recycling HC'!AB163+'BTX Recycling HC'!AB118)-'Overall recycling rates'!$E$62/SUM('Overall recycling rates'!$E$60:$E$62)*('BTX Recycling HC'!AB226+'BTX Recycling HC'!AB253+'BTX Recycling HC'!AB164+'BTX Recycling HC'!AB119)-'Overall recycling rates'!$H$62/SUM('Overall recycling rates'!$H$60:$H$62)*('BTX Recycling HC'!AB227+'BTX Recycling HC'!AB254+'BTX Recycling HC'!AB165+'BTX Recycling HC'!AB120)-'Overall recycling rates'!$I$62/SUM('Overall recycling rates'!$I$60:$I$62)*('BTX Recycling HC'!AB228+'BTX Recycling HC'!AB255+'BTX Recycling HC'!AB166+'BTX Recycling HC'!AB121)</f>
        <v>-2.5252034959857061</v>
      </c>
      <c r="BJ103" s="284">
        <f>BJ44-'Overall recycling rates'!$G$62/SUM('Overall recycling rates'!$G$60:$G$62)*('BTX Recycling HC'!AC225+'BTX Recycling HC'!AC252+'BTX Recycling HC'!AC163+'BTX Recycling HC'!AC118)-'Overall recycling rates'!$E$62/SUM('Overall recycling rates'!$E$60:$E$62)*('BTX Recycling HC'!AC226+'BTX Recycling HC'!AC253+'BTX Recycling HC'!AC164+'BTX Recycling HC'!AC119)-'Overall recycling rates'!$H$62/SUM('Overall recycling rates'!$H$60:$H$62)*('BTX Recycling HC'!AC227+'BTX Recycling HC'!AC254+'BTX Recycling HC'!AC165+'BTX Recycling HC'!AC120)-'Overall recycling rates'!$I$62/SUM('Overall recycling rates'!$I$60:$I$62)*('BTX Recycling HC'!AC228+'BTX Recycling HC'!AC255+'BTX Recycling HC'!AC166+'BTX Recycling HC'!AC121)</f>
        <v>-2.6563357669007863</v>
      </c>
      <c r="BK103" s="284">
        <f>BK44-'Overall recycling rates'!$G$62/SUM('Overall recycling rates'!$G$60:$G$62)*('BTX Recycling HC'!AD225+'BTX Recycling HC'!AD252+'BTX Recycling HC'!AD163+'BTX Recycling HC'!AD118)-'Overall recycling rates'!$E$62/SUM('Overall recycling rates'!$E$60:$E$62)*('BTX Recycling HC'!AD226+'BTX Recycling HC'!AD253+'BTX Recycling HC'!AD164+'BTX Recycling HC'!AD119)-'Overall recycling rates'!$H$62/SUM('Overall recycling rates'!$H$60:$H$62)*('BTX Recycling HC'!AD227+'BTX Recycling HC'!AD254+'BTX Recycling HC'!AD165+'BTX Recycling HC'!AD120)-'Overall recycling rates'!$I$62/SUM('Overall recycling rates'!$I$60:$I$62)*('BTX Recycling HC'!AD228+'BTX Recycling HC'!AD255+'BTX Recycling HC'!AD166+'BTX Recycling HC'!AD121)</f>
        <v>-2.7785327775686746</v>
      </c>
      <c r="BL103" s="284">
        <f>BL44-'Overall recycling rates'!$G$62/SUM('Overall recycling rates'!$G$60:$G$62)*('BTX Recycling HC'!AE225+'BTX Recycling HC'!AE252+'BTX Recycling HC'!AE163+'BTX Recycling HC'!AE118)-'Overall recycling rates'!$E$62/SUM('Overall recycling rates'!$E$60:$E$62)*('BTX Recycling HC'!AE226+'BTX Recycling HC'!AE253+'BTX Recycling HC'!AE164+'BTX Recycling HC'!AE119)-'Overall recycling rates'!$H$62/SUM('Overall recycling rates'!$H$60:$H$62)*('BTX Recycling HC'!AE227+'BTX Recycling HC'!AE254+'BTX Recycling HC'!AE165+'BTX Recycling HC'!AE120)-'Overall recycling rates'!$I$62/SUM('Overall recycling rates'!$I$60:$I$62)*('BTX Recycling HC'!AE228+'BTX Recycling HC'!AE255+'BTX Recycling HC'!AE166+'BTX Recycling HC'!AE121)</f>
        <v>-2.891700743613407</v>
      </c>
      <c r="BM103" s="284">
        <f>BM44-'Overall recycling rates'!$G$62/SUM('Overall recycling rates'!$G$60:$G$62)*('BTX Recycling HC'!AF225+'BTX Recycling HC'!AF252+'BTX Recycling HC'!AF163+'BTX Recycling HC'!AF118)-'Overall recycling rates'!$E$62/SUM('Overall recycling rates'!$E$60:$E$62)*('BTX Recycling HC'!AF226+'BTX Recycling HC'!AF253+'BTX Recycling HC'!AF164+'BTX Recycling HC'!AF119)-'Overall recycling rates'!$H$62/SUM('Overall recycling rates'!$H$60:$H$62)*('BTX Recycling HC'!AF227+'BTX Recycling HC'!AF254+'BTX Recycling HC'!AF165+'BTX Recycling HC'!AF120)-'Overall recycling rates'!$I$62/SUM('Overall recycling rates'!$I$60:$I$62)*('BTX Recycling HC'!AF228+'BTX Recycling HC'!AF255+'BTX Recycling HC'!AF166+'BTX Recycling HC'!AF121)</f>
        <v>-2.995754795254717</v>
      </c>
      <c r="BN103" s="284">
        <f>BN44-'Overall recycling rates'!$G$62/SUM('Overall recycling rates'!$G$60:$G$62)*('BTX Recycling HC'!AG225+'BTX Recycling HC'!AG252+'BTX Recycling HC'!AG163+'BTX Recycling HC'!AG118)-'Overall recycling rates'!$E$62/SUM('Overall recycling rates'!$E$60:$E$62)*('BTX Recycling HC'!AG226+'BTX Recycling HC'!AG253+'BTX Recycling HC'!AG164+'BTX Recycling HC'!AG119)-'Overall recycling rates'!$H$62/SUM('Overall recycling rates'!$H$60:$H$62)*('BTX Recycling HC'!AG227+'BTX Recycling HC'!AG254+'BTX Recycling HC'!AG165+'BTX Recycling HC'!AG120)-'Overall recycling rates'!$I$62/SUM('Overall recycling rates'!$I$60:$I$62)*('BTX Recycling HC'!AG228+'BTX Recycling HC'!AG255+'BTX Recycling HC'!AG166+'BTX Recycling HC'!AG121)</f>
        <v>-3.0906192131459456</v>
      </c>
    </row>
    <row r="104" spans="1:66" outlineLevel="1">
      <c r="A104" s="178" t="s">
        <v>225</v>
      </c>
      <c r="B104" s="242" t="s">
        <v>197</v>
      </c>
      <c r="C104" s="243" t="s">
        <v>153</v>
      </c>
      <c r="D104" s="180">
        <f>D57+D63</f>
        <v>31.171306671622546</v>
      </c>
      <c r="E104" s="180">
        <f t="shared" ref="E104:AH104" si="97">E57+E63</f>
        <v>33.177023964050697</v>
      </c>
      <c r="F104" s="180">
        <f t="shared" si="97"/>
        <v>35.150460275473257</v>
      </c>
      <c r="G104" s="180">
        <f t="shared" si="97"/>
        <v>37.185649964674241</v>
      </c>
      <c r="H104" s="180">
        <f t="shared" si="97"/>
        <v>39.284332369841074</v>
      </c>
      <c r="I104" s="180">
        <f t="shared" si="97"/>
        <v>41.448300505812703</v>
      </c>
      <c r="J104" s="180">
        <f t="shared" si="97"/>
        <v>42.609113200741405</v>
      </c>
      <c r="K104" s="180">
        <f t="shared" si="97"/>
        <v>43.795425085205615</v>
      </c>
      <c r="L104" s="180">
        <f t="shared" si="97"/>
        <v>45.007858477123783</v>
      </c>
      <c r="M104" s="180">
        <f t="shared" si="97"/>
        <v>46.24706231753111</v>
      </c>
      <c r="N104" s="180">
        <f t="shared" si="97"/>
        <v>47.513714283340626</v>
      </c>
      <c r="O104" s="180">
        <f t="shared" si="97"/>
        <v>47.87325944021174</v>
      </c>
      <c r="P104" s="180">
        <f t="shared" si="97"/>
        <v>48.237455248428155</v>
      </c>
      <c r="Q104" s="180">
        <f t="shared" si="97"/>
        <v>48.606598826415308</v>
      </c>
      <c r="R104" s="180">
        <f t="shared" si="97"/>
        <v>48.981018142286324</v>
      </c>
      <c r="S104" s="180">
        <f t="shared" si="97"/>
        <v>49.361075275232693</v>
      </c>
      <c r="T104" s="180">
        <f t="shared" si="97"/>
        <v>49.680703469592274</v>
      </c>
      <c r="U104" s="180">
        <f t="shared" si="97"/>
        <v>50.00555491957941</v>
      </c>
      <c r="V104" s="180">
        <f t="shared" si="97"/>
        <v>50.336099430024703</v>
      </c>
      <c r="W104" s="180">
        <f t="shared" si="97"/>
        <v>50.672857558912661</v>
      </c>
      <c r="X104" s="180">
        <f t="shared" si="97"/>
        <v>51.016405998199318</v>
      </c>
      <c r="Y104" s="180">
        <f t="shared" si="97"/>
        <v>50.523841805384038</v>
      </c>
      <c r="Z104" s="180">
        <f t="shared" si="97"/>
        <v>50.028413393293306</v>
      </c>
      <c r="AA104" s="180">
        <f t="shared" si="97"/>
        <v>49.530790358057658</v>
      </c>
      <c r="AB104" s="180">
        <f t="shared" si="97"/>
        <v>49.031725161574741</v>
      </c>
      <c r="AC104" s="180">
        <f t="shared" si="97"/>
        <v>48.532062003724533</v>
      </c>
      <c r="AD104" s="180">
        <f t="shared" si="97"/>
        <v>47.823861231178256</v>
      </c>
      <c r="AE104" s="180">
        <f t="shared" si="97"/>
        <v>47.115746210904909</v>
      </c>
      <c r="AF104" s="180">
        <f t="shared" si="97"/>
        <v>46.408893109442324</v>
      </c>
      <c r="AG104" s="180">
        <f t="shared" si="97"/>
        <v>45.704615695914605</v>
      </c>
      <c r="AH104" s="180">
        <f t="shared" si="97"/>
        <v>45.004379992124115</v>
      </c>
      <c r="AI104" s="180"/>
      <c r="AJ104" s="180">
        <f>AJ57+AJ63</f>
        <v>31.171306671622546</v>
      </c>
      <c r="AK104" s="180">
        <f t="shared" ref="AK104:BN104" si="98">AK57+AK63</f>
        <v>33.177023964050697</v>
      </c>
      <c r="AL104" s="180">
        <f t="shared" si="98"/>
        <v>35.150460275473257</v>
      </c>
      <c r="AM104" s="180">
        <f t="shared" si="98"/>
        <v>37.185649964674241</v>
      </c>
      <c r="AN104" s="180">
        <f t="shared" si="98"/>
        <v>39.284332369841074</v>
      </c>
      <c r="AO104" s="180">
        <f t="shared" si="98"/>
        <v>41.448300505812703</v>
      </c>
      <c r="AP104" s="180">
        <f t="shared" si="98"/>
        <v>42.609113200741405</v>
      </c>
      <c r="AQ104" s="180">
        <f t="shared" si="98"/>
        <v>43.795425085205615</v>
      </c>
      <c r="AR104" s="180">
        <f t="shared" si="98"/>
        <v>45.007858477123783</v>
      </c>
      <c r="AS104" s="180">
        <f t="shared" si="98"/>
        <v>46.24706231753111</v>
      </c>
      <c r="AT104" s="180">
        <f t="shared" si="98"/>
        <v>47.513714283340626</v>
      </c>
      <c r="AU104" s="180">
        <f t="shared" si="98"/>
        <v>47.87325944021174</v>
      </c>
      <c r="AV104" s="180">
        <f t="shared" si="98"/>
        <v>48.237455248428155</v>
      </c>
      <c r="AW104" s="180">
        <f t="shared" si="98"/>
        <v>48.606598826415308</v>
      </c>
      <c r="AX104" s="180">
        <f t="shared" si="98"/>
        <v>48.981018142286324</v>
      </c>
      <c r="AY104" s="180">
        <f t="shared" si="98"/>
        <v>49.361075275232693</v>
      </c>
      <c r="AZ104" s="180">
        <f t="shared" si="98"/>
        <v>49.680703469592274</v>
      </c>
      <c r="BA104" s="180">
        <f t="shared" si="98"/>
        <v>50.00555491957941</v>
      </c>
      <c r="BB104" s="180">
        <f t="shared" si="98"/>
        <v>50.336099430024703</v>
      </c>
      <c r="BC104" s="180">
        <f t="shared" si="98"/>
        <v>50.672857558912661</v>
      </c>
      <c r="BD104" s="180">
        <f t="shared" si="98"/>
        <v>51.016405998199318</v>
      </c>
      <c r="BE104" s="180">
        <f t="shared" si="98"/>
        <v>50.523841805384038</v>
      </c>
      <c r="BF104" s="180">
        <f t="shared" si="98"/>
        <v>50.028413393293306</v>
      </c>
      <c r="BG104" s="180">
        <f t="shared" si="98"/>
        <v>49.530790358057658</v>
      </c>
      <c r="BH104" s="180">
        <f t="shared" si="98"/>
        <v>49.031725161574741</v>
      </c>
      <c r="BI104" s="180">
        <f t="shared" si="98"/>
        <v>48.532062003724533</v>
      </c>
      <c r="BJ104" s="180">
        <f t="shared" si="98"/>
        <v>47.823861231178256</v>
      </c>
      <c r="BK104" s="180">
        <f t="shared" si="98"/>
        <v>47.115746210904909</v>
      </c>
      <c r="BL104" s="180">
        <f t="shared" si="98"/>
        <v>46.408893109442324</v>
      </c>
      <c r="BM104" s="180">
        <f t="shared" si="98"/>
        <v>45.704615695914605</v>
      </c>
      <c r="BN104" s="180">
        <f t="shared" si="98"/>
        <v>45.004379992124115</v>
      </c>
    </row>
    <row r="105" spans="1:66" outlineLevel="1">
      <c r="A105" s="178"/>
      <c r="B105" s="181" t="s">
        <v>217</v>
      </c>
      <c r="C105" s="176" t="s">
        <v>153</v>
      </c>
      <c r="D105" s="238">
        <f>'BTX Recycling HC'!C268</f>
        <v>0</v>
      </c>
      <c r="E105" s="238">
        <f>'BTX Recycling HC'!D268</f>
        <v>7.4875470925794274E-2</v>
      </c>
      <c r="F105" s="238">
        <f>'BTX Recycling HC'!E268</f>
        <v>0.150881856199644</v>
      </c>
      <c r="G105" s="238">
        <f>'BTX Recycling HC'!F268</f>
        <v>0.22757634017961259</v>
      </c>
      <c r="H105" s="238">
        <f>'BTX Recycling HC'!G268</f>
        <v>0.30448885236267176</v>
      </c>
      <c r="I105" s="238">
        <f>'BTX Recycling HC'!H268</f>
        <v>0.38112671371263052</v>
      </c>
      <c r="J105" s="238">
        <f>'BTX Recycling HC'!I268</f>
        <v>0.45997849784188449</v>
      </c>
      <c r="K105" s="238">
        <f>'BTX Recycling HC'!J268</f>
        <v>0.54102171055101944</v>
      </c>
      <c r="L105" s="238">
        <f>'BTX Recycling HC'!K268</f>
        <v>0.62422919498146412</v>
      </c>
      <c r="M105" s="238">
        <f>'BTX Recycling HC'!L268</f>
        <v>0.70956904799303488</v>
      </c>
      <c r="N105" s="238">
        <f>'BTX Recycling HC'!M268</f>
        <v>0.79700454720369873</v>
      </c>
      <c r="O105" s="238">
        <f>'BTX Recycling HC'!N268</f>
        <v>0.94466525674818846</v>
      </c>
      <c r="P105" s="238">
        <f>'BTX Recycling HC'!O268</f>
        <v>1.093358476339561</v>
      </c>
      <c r="Q105" s="238">
        <f>'BTX Recycling HC'!P268</f>
        <v>1.242334828183294</v>
      </c>
      <c r="R105" s="238">
        <f>'BTX Recycling HC'!Q268</f>
        <v>1.3908193785769756</v>
      </c>
      <c r="S105" s="238">
        <f>'BTX Recycling HC'!R268</f>
        <v>1.5380181570731328</v>
      </c>
      <c r="T105" s="238">
        <f>'BTX Recycling HC'!S268</f>
        <v>1.6878383603821785</v>
      </c>
      <c r="U105" s="238">
        <f>'BTX Recycling HC'!T268</f>
        <v>1.8402752592403129</v>
      </c>
      <c r="V105" s="238">
        <f>'BTX Recycling HC'!U268</f>
        <v>1.9953228801333234</v>
      </c>
      <c r="W105" s="238">
        <f>'BTX Recycling HC'!V268</f>
        <v>2.1529739900917213</v>
      </c>
      <c r="X105" s="238">
        <f>'BTX Recycling HC'!W268</f>
        <v>2.3132200821207292</v>
      </c>
      <c r="Y105" s="238">
        <f>'BTX Recycling HC'!X268</f>
        <v>2.5635584527291648</v>
      </c>
      <c r="Z105" s="238">
        <f>'BTX Recycling HC'!Y268</f>
        <v>2.8182714039767851</v>
      </c>
      <c r="AA105" s="238">
        <f>'BTX Recycling HC'!Z268</f>
        <v>3.0773522248501006</v>
      </c>
      <c r="AB105" s="238">
        <f>'BTX Recycling HC'!AA268</f>
        <v>3.3407923388477494</v>
      </c>
      <c r="AC105" s="238">
        <f>'BTX Recycling HC'!AB268</f>
        <v>3.6085812824659591</v>
      </c>
      <c r="AD105" s="238">
        <f>'BTX Recycling HC'!AC268</f>
        <v>3.8807521939422287</v>
      </c>
      <c r="AE105" s="238">
        <f>'BTX Recycling HC'!AD268</f>
        <v>4.1572986805550665</v>
      </c>
      <c r="AF105" s="238">
        <f>'BTX Recycling HC'!AE268</f>
        <v>4.4382126633616883</v>
      </c>
      <c r="AG105" s="238">
        <f>'BTX Recycling HC'!AF268</f>
        <v>4.7234843585146731</v>
      </c>
      <c r="AH105" s="238">
        <f>'BTX Recycling HC'!AG268</f>
        <v>5.0131022592812542</v>
      </c>
      <c r="AJ105" s="238">
        <f>D105</f>
        <v>0</v>
      </c>
      <c r="AK105" s="238">
        <f t="shared" ref="AK105:AZ107" si="99">E105</f>
        <v>7.4875470925794274E-2</v>
      </c>
      <c r="AL105" s="238">
        <f t="shared" si="99"/>
        <v>0.150881856199644</v>
      </c>
      <c r="AM105" s="238">
        <f t="shared" si="99"/>
        <v>0.22757634017961259</v>
      </c>
      <c r="AN105" s="238">
        <f t="shared" si="99"/>
        <v>0.30448885236267176</v>
      </c>
      <c r="AO105" s="238">
        <f t="shared" si="99"/>
        <v>0.38112671371263052</v>
      </c>
      <c r="AP105" s="238">
        <f t="shared" si="99"/>
        <v>0.45997849784188449</v>
      </c>
      <c r="AQ105" s="238">
        <f t="shared" si="99"/>
        <v>0.54102171055101944</v>
      </c>
      <c r="AR105" s="238">
        <f t="shared" si="99"/>
        <v>0.62422919498146412</v>
      </c>
      <c r="AS105" s="238">
        <f t="shared" si="99"/>
        <v>0.70956904799303488</v>
      </c>
      <c r="AT105" s="238">
        <f t="shared" si="99"/>
        <v>0.79700454720369873</v>
      </c>
      <c r="AU105" s="238">
        <f t="shared" si="99"/>
        <v>0.94466525674818846</v>
      </c>
      <c r="AV105" s="238">
        <f t="shared" si="99"/>
        <v>1.093358476339561</v>
      </c>
      <c r="AW105" s="238">
        <f t="shared" si="99"/>
        <v>1.242334828183294</v>
      </c>
      <c r="AX105" s="238">
        <f t="shared" si="99"/>
        <v>1.3908193785769756</v>
      </c>
      <c r="AY105" s="238">
        <f t="shared" si="99"/>
        <v>1.5380181570731328</v>
      </c>
      <c r="AZ105" s="238">
        <f t="shared" si="99"/>
        <v>1.6878383603821785</v>
      </c>
      <c r="BA105" s="238">
        <f t="shared" ref="BA105:BN107" si="100">U105</f>
        <v>1.8402752592403129</v>
      </c>
      <c r="BB105" s="238">
        <f t="shared" si="100"/>
        <v>1.9953228801333234</v>
      </c>
      <c r="BC105" s="238">
        <f t="shared" si="100"/>
        <v>2.1529739900917213</v>
      </c>
      <c r="BD105" s="238">
        <f t="shared" si="100"/>
        <v>2.3132200821207292</v>
      </c>
      <c r="BE105" s="238">
        <f t="shared" si="100"/>
        <v>2.5635584527291648</v>
      </c>
      <c r="BF105" s="238">
        <f t="shared" si="100"/>
        <v>2.8182714039767851</v>
      </c>
      <c r="BG105" s="238">
        <f t="shared" si="100"/>
        <v>3.0773522248501006</v>
      </c>
      <c r="BH105" s="238">
        <f t="shared" si="100"/>
        <v>3.3407923388477494</v>
      </c>
      <c r="BI105" s="238">
        <f t="shared" si="100"/>
        <v>3.6085812824659591</v>
      </c>
      <c r="BJ105" s="238">
        <f t="shared" si="100"/>
        <v>3.8807521939422287</v>
      </c>
      <c r="BK105" s="238">
        <f t="shared" si="100"/>
        <v>4.1572986805550665</v>
      </c>
      <c r="BL105" s="238">
        <f t="shared" si="100"/>
        <v>4.4382126633616883</v>
      </c>
      <c r="BM105" s="238">
        <f t="shared" si="100"/>
        <v>4.7234843585146731</v>
      </c>
      <c r="BN105" s="238">
        <f t="shared" si="100"/>
        <v>5.0131022592812542</v>
      </c>
    </row>
    <row r="106" spans="1:66" outlineLevel="1">
      <c r="A106"/>
      <c r="B106" t="s">
        <v>222</v>
      </c>
      <c r="C106" s="54" t="s">
        <v>153</v>
      </c>
      <c r="D106" s="44">
        <f>'BTX Recycling HC'!C107</f>
        <v>0</v>
      </c>
      <c r="E106" s="44">
        <f>'BTX Recycling HC'!D107</f>
        <v>3.2335358262726488E-2</v>
      </c>
      <c r="F106" s="44">
        <f>'BTX Recycling HC'!E107</f>
        <v>6.4797410008607281E-2</v>
      </c>
      <c r="G106" s="44">
        <f>'BTX Recycling HC'!F107</f>
        <v>9.7186179687230423E-2</v>
      </c>
      <c r="H106" s="44">
        <f>'BTX Recycling HC'!G107</f>
        <v>0.12929356125982194</v>
      </c>
      <c r="I106" s="44">
        <f>'BTX Recycling HC'!H107</f>
        <v>0.16090550703081319</v>
      </c>
      <c r="J106" s="44">
        <f>'BTX Recycling HC'!I107</f>
        <v>0.19325513060321498</v>
      </c>
      <c r="K106" s="44">
        <f>'BTX Recycling HC'!J107</f>
        <v>0.22632580108369649</v>
      </c>
      <c r="L106" s="44">
        <f>'BTX Recycling HC'!K107</f>
        <v>0.26009909959385402</v>
      </c>
      <c r="M106" s="44">
        <f>'BTX Recycling HC'!L107</f>
        <v>0.29455480932891676</v>
      </c>
      <c r="N106" s="44">
        <f>'BTX Recycling HC'!M107</f>
        <v>0.32967091033648965</v>
      </c>
      <c r="O106" s="44">
        <f>'BTX Recycling HC'!N107</f>
        <v>0.3918811792132465</v>
      </c>
      <c r="P106" s="44">
        <f>'BTX Recycling HC'!O107</f>
        <v>0.45414046795274199</v>
      </c>
      <c r="Q106" s="44">
        <f>'BTX Recycling HC'!P107</f>
        <v>0.51612393793290956</v>
      </c>
      <c r="R106" s="44">
        <f>'BTX Recycling HC'!Q107</f>
        <v>0.57749929449407622</v>
      </c>
      <c r="S106" s="44">
        <f>'BTX Recycling HC'!R107</f>
        <v>0.63792968876505163</v>
      </c>
      <c r="T106" s="44">
        <f>'BTX Recycling HC'!S107</f>
        <v>0.69919858222547737</v>
      </c>
      <c r="U106" s="44">
        <f>'BTX Recycling HC'!T107</f>
        <v>0.76129697888659131</v>
      </c>
      <c r="V106" s="44">
        <f>'BTX Recycling HC'!U107</f>
        <v>0.82421537984631699</v>
      </c>
      <c r="W106" s="44">
        <f>'BTX Recycling HC'!V107</f>
        <v>0.88794378244904881</v>
      </c>
      <c r="X106" s="44">
        <f>'BTX Recycling HC'!W107</f>
        <v>0.95247167978937819</v>
      </c>
      <c r="Y106" s="44">
        <f>'BTX Recycling HC'!X107</f>
        <v>1.0497596011970807</v>
      </c>
      <c r="Z106" s="44">
        <f>'BTX Recycling HC'!Y107</f>
        <v>1.148350019975348</v>
      </c>
      <c r="AA106" s="44">
        <f>'BTX Recycling HC'!Z107</f>
        <v>1.2482291451602709</v>
      </c>
      <c r="AB106" s="44">
        <f>'BTX Recycling HC'!AA107</f>
        <v>1.349382475840206</v>
      </c>
      <c r="AC106" s="44">
        <f>'BTX Recycling HC'!AB107</f>
        <v>1.4517948005721522</v>
      </c>
      <c r="AD106" s="44">
        <f>'BTX Recycling HC'!AC107</f>
        <v>1.5554694468286434</v>
      </c>
      <c r="AE106" s="44">
        <f>'BTX Recycling HC'!AD107</f>
        <v>1.6603927842326067</v>
      </c>
      <c r="AF106" s="44">
        <f>'BTX Recycling HC'!AE107</f>
        <v>1.7665505474258407</v>
      </c>
      <c r="AG106" s="44">
        <f>'BTX Recycling HC'!AF107</f>
        <v>1.8739278358910703</v>
      </c>
      <c r="AH106" s="44">
        <f>'BTX Recycling HC'!AG107</f>
        <v>1.9825091141398148</v>
      </c>
      <c r="AJ106" s="238">
        <f t="shared" ref="AJ106:AJ107" si="101">D106</f>
        <v>0</v>
      </c>
      <c r="AK106" s="238">
        <f t="shared" si="99"/>
        <v>3.2335358262726488E-2</v>
      </c>
      <c r="AL106" s="238">
        <f t="shared" si="99"/>
        <v>6.4797410008607281E-2</v>
      </c>
      <c r="AM106" s="238">
        <f t="shared" si="99"/>
        <v>9.7186179687230423E-2</v>
      </c>
      <c r="AN106" s="238">
        <f t="shared" si="99"/>
        <v>0.12929356125982194</v>
      </c>
      <c r="AO106" s="238">
        <f t="shared" si="99"/>
        <v>0.16090550703081319</v>
      </c>
      <c r="AP106" s="238">
        <f t="shared" si="99"/>
        <v>0.19325513060321498</v>
      </c>
      <c r="AQ106" s="238">
        <f t="shared" si="99"/>
        <v>0.22632580108369649</v>
      </c>
      <c r="AR106" s="238">
        <f t="shared" si="99"/>
        <v>0.26009909959385402</v>
      </c>
      <c r="AS106" s="238">
        <f t="shared" si="99"/>
        <v>0.29455480932891676</v>
      </c>
      <c r="AT106" s="238">
        <f t="shared" si="99"/>
        <v>0.32967091033648965</v>
      </c>
      <c r="AU106" s="238">
        <f t="shared" si="99"/>
        <v>0.3918811792132465</v>
      </c>
      <c r="AV106" s="238">
        <f t="shared" si="99"/>
        <v>0.45414046795274199</v>
      </c>
      <c r="AW106" s="238">
        <f t="shared" si="99"/>
        <v>0.51612393793290956</v>
      </c>
      <c r="AX106" s="238">
        <f t="shared" si="99"/>
        <v>0.57749929449407622</v>
      </c>
      <c r="AY106" s="238">
        <f t="shared" si="99"/>
        <v>0.63792968876505163</v>
      </c>
      <c r="AZ106" s="238">
        <f t="shared" si="99"/>
        <v>0.69919858222547737</v>
      </c>
      <c r="BA106" s="238">
        <f t="shared" si="100"/>
        <v>0.76129697888659131</v>
      </c>
      <c r="BB106" s="238">
        <f t="shared" si="100"/>
        <v>0.82421537984631699</v>
      </c>
      <c r="BC106" s="238">
        <f t="shared" si="100"/>
        <v>0.88794378244904881</v>
      </c>
      <c r="BD106" s="238">
        <f t="shared" si="100"/>
        <v>0.95247167978937819</v>
      </c>
      <c r="BE106" s="238">
        <f t="shared" si="100"/>
        <v>1.0497596011970807</v>
      </c>
      <c r="BF106" s="238">
        <f t="shared" si="100"/>
        <v>1.148350019975348</v>
      </c>
      <c r="BG106" s="238">
        <f t="shared" si="100"/>
        <v>1.2482291451602709</v>
      </c>
      <c r="BH106" s="238">
        <f t="shared" si="100"/>
        <v>1.349382475840206</v>
      </c>
      <c r="BI106" s="238">
        <f t="shared" si="100"/>
        <v>1.4517948005721522</v>
      </c>
      <c r="BJ106" s="238">
        <f t="shared" si="100"/>
        <v>1.5554694468286434</v>
      </c>
      <c r="BK106" s="238">
        <f t="shared" si="100"/>
        <v>1.6603927842326067</v>
      </c>
      <c r="BL106" s="238">
        <f t="shared" si="100"/>
        <v>1.7665505474258407</v>
      </c>
      <c r="BM106" s="238">
        <f t="shared" si="100"/>
        <v>1.8739278358910703</v>
      </c>
      <c r="BN106" s="238">
        <f t="shared" si="100"/>
        <v>1.9825091141398148</v>
      </c>
    </row>
    <row r="107" spans="1:66" outlineLevel="1">
      <c r="A107" s="181"/>
      <c r="B107" s="181" t="s">
        <v>218</v>
      </c>
      <c r="C107" s="176" t="s">
        <v>153</v>
      </c>
      <c r="D107" s="238">
        <f>'BTX Recycling HC'!C182</f>
        <v>0</v>
      </c>
      <c r="E107" s="238">
        <f>'BTX Recycling HC'!D182</f>
        <v>4.2398601239105726E-3</v>
      </c>
      <c r="F107" s="238">
        <f>'BTX Recycling HC'!E182</f>
        <v>8.5618655113781413E-3</v>
      </c>
      <c r="G107" s="238">
        <f>'BTX Recycling HC'!F182</f>
        <v>1.2922911178086844E-2</v>
      </c>
      <c r="H107" s="238">
        <f>'BTX Recycling HC'!G182</f>
        <v>1.7277516814770445E-2</v>
      </c>
      <c r="I107" s="238">
        <f>'BTX Recycling HC'!H182</f>
        <v>2.1578483296808046E-2</v>
      </c>
      <c r="J107" s="238">
        <f>'BTX Recycling HC'!I182</f>
        <v>2.5866397234866952E-2</v>
      </c>
      <c r="K107" s="238">
        <f>'BTX Recycling HC'!J182</f>
        <v>3.0119535758645857E-2</v>
      </c>
      <c r="L107" s="238">
        <f>'BTX Recycling HC'!K182</f>
        <v>3.4315014810695599E-2</v>
      </c>
      <c r="M107" s="238">
        <f>'BTX Recycling HC'!L182</f>
        <v>3.8428819270590733E-2</v>
      </c>
      <c r="N107" s="238">
        <f>'BTX Recycling HC'!M182</f>
        <v>4.2435839031055217E-2</v>
      </c>
      <c r="O107" s="238">
        <f>'BTX Recycling HC'!N182</f>
        <v>5.0771580579250006E-2</v>
      </c>
      <c r="P107" s="238">
        <f>'BTX Recycling HC'!O182</f>
        <v>5.876204503960504E-2</v>
      </c>
      <c r="Q107" s="238">
        <f>'BTX Recycling HC'!P182</f>
        <v>6.6483339483976486E-2</v>
      </c>
      <c r="R107" s="238">
        <f>'BTX Recycling HC'!Q182</f>
        <v>7.3714874755411428E-2</v>
      </c>
      <c r="S107" s="238">
        <f>'BTX Recycling HC'!R182</f>
        <v>8.0370790002846082E-2</v>
      </c>
      <c r="T107" s="238">
        <f>'BTX Recycling HC'!S182</f>
        <v>8.6552156453942833E-2</v>
      </c>
      <c r="U107" s="238">
        <f>'BTX Recycling HC'!T182</f>
        <v>9.2211427906585777E-2</v>
      </c>
      <c r="V107" s="238">
        <f>'BTX Recycling HC'!U182</f>
        <v>9.7299612461089688E-2</v>
      </c>
      <c r="W107" s="238">
        <f>'BTX Recycling HC'!V182</f>
        <v>0.10176627663926952</v>
      </c>
      <c r="X107" s="238">
        <f>'BTX Recycling HC'!W182</f>
        <v>0.10555955115887598</v>
      </c>
      <c r="Y107" s="238">
        <f>'BTX Recycling HC'!X182</f>
        <v>0.11335965558635575</v>
      </c>
      <c r="Z107" s="238">
        <f>'BTX Recycling HC'!Y182</f>
        <v>0.1200373325017986</v>
      </c>
      <c r="AA107" s="238">
        <f>'BTX Recycling HC'!Z182</f>
        <v>0.1259163648562113</v>
      </c>
      <c r="AB107" s="238">
        <f>'BTX Recycling HC'!AA182</f>
        <v>0.13051377033004335</v>
      </c>
      <c r="AC107" s="238">
        <f>'BTX Recycling HC'!AB182</f>
        <v>0.13372250574463121</v>
      </c>
      <c r="AD107" s="238">
        <f>'BTX Recycling HC'!AC182</f>
        <v>0.1354334967657615</v>
      </c>
      <c r="AE107" s="238">
        <f>'BTX Recycling HC'!AD182</f>
        <v>0.13553278150781362</v>
      </c>
      <c r="AF107" s="238">
        <f>'BTX Recycling HC'!AE182</f>
        <v>0.13390282727113356</v>
      </c>
      <c r="AG107" s="238">
        <f>'BTX Recycling HC'!AF182</f>
        <v>0.13042251607364472</v>
      </c>
      <c r="AH107" s="238">
        <f>'BTX Recycling HC'!AG182</f>
        <v>0.12496713312100402</v>
      </c>
      <c r="AJ107" s="238">
        <f t="shared" si="101"/>
        <v>0</v>
      </c>
      <c r="AK107" s="238">
        <f t="shared" si="99"/>
        <v>4.2398601239105726E-3</v>
      </c>
      <c r="AL107" s="238">
        <f t="shared" si="99"/>
        <v>8.5618655113781413E-3</v>
      </c>
      <c r="AM107" s="238">
        <f t="shared" si="99"/>
        <v>1.2922911178086844E-2</v>
      </c>
      <c r="AN107" s="238">
        <f t="shared" si="99"/>
        <v>1.7277516814770445E-2</v>
      </c>
      <c r="AO107" s="238">
        <f t="shared" si="99"/>
        <v>2.1578483296808046E-2</v>
      </c>
      <c r="AP107" s="238">
        <f t="shared" si="99"/>
        <v>2.5866397234866952E-2</v>
      </c>
      <c r="AQ107" s="238">
        <f t="shared" si="99"/>
        <v>3.0119535758645857E-2</v>
      </c>
      <c r="AR107" s="238">
        <f t="shared" si="99"/>
        <v>3.4315014810695599E-2</v>
      </c>
      <c r="AS107" s="238">
        <f t="shared" si="99"/>
        <v>3.8428819270590733E-2</v>
      </c>
      <c r="AT107" s="238">
        <f t="shared" si="99"/>
        <v>4.2435839031055217E-2</v>
      </c>
      <c r="AU107" s="238">
        <f t="shared" si="99"/>
        <v>5.0771580579250006E-2</v>
      </c>
      <c r="AV107" s="238">
        <f t="shared" si="99"/>
        <v>5.876204503960504E-2</v>
      </c>
      <c r="AW107" s="238">
        <f t="shared" si="99"/>
        <v>6.6483339483976486E-2</v>
      </c>
      <c r="AX107" s="238">
        <f t="shared" si="99"/>
        <v>7.3714874755411428E-2</v>
      </c>
      <c r="AY107" s="238">
        <f t="shared" si="99"/>
        <v>8.0370790002846082E-2</v>
      </c>
      <c r="AZ107" s="238">
        <f t="shared" si="99"/>
        <v>8.6552156453942833E-2</v>
      </c>
      <c r="BA107" s="238">
        <f t="shared" si="100"/>
        <v>9.2211427906585777E-2</v>
      </c>
      <c r="BB107" s="238">
        <f t="shared" si="100"/>
        <v>9.7299612461089688E-2</v>
      </c>
      <c r="BC107" s="238">
        <f t="shared" si="100"/>
        <v>0.10176627663926952</v>
      </c>
      <c r="BD107" s="238">
        <f t="shared" si="100"/>
        <v>0.10555955115887598</v>
      </c>
      <c r="BE107" s="238">
        <f t="shared" si="100"/>
        <v>0.11335965558635575</v>
      </c>
      <c r="BF107" s="238">
        <f t="shared" si="100"/>
        <v>0.1200373325017986</v>
      </c>
      <c r="BG107" s="238">
        <f t="shared" si="100"/>
        <v>0.1259163648562113</v>
      </c>
      <c r="BH107" s="238">
        <f t="shared" si="100"/>
        <v>0.13051377033004335</v>
      </c>
      <c r="BI107" s="238">
        <f t="shared" si="100"/>
        <v>0.13372250574463121</v>
      </c>
      <c r="BJ107" s="238">
        <f t="shared" si="100"/>
        <v>0.1354334967657615</v>
      </c>
      <c r="BK107" s="238">
        <f t="shared" si="100"/>
        <v>0.13553278150781362</v>
      </c>
      <c r="BL107" s="238">
        <f t="shared" si="100"/>
        <v>0.13390282727113356</v>
      </c>
      <c r="BM107" s="238">
        <f t="shared" si="100"/>
        <v>0.13042251607364472</v>
      </c>
      <c r="BN107" s="238">
        <f t="shared" si="100"/>
        <v>0.12496713312100402</v>
      </c>
    </row>
    <row r="108" spans="1:66" outlineLevel="1">
      <c r="A108" s="181"/>
      <c r="B108" s="181" t="s">
        <v>226</v>
      </c>
      <c r="C108" s="176" t="s">
        <v>153</v>
      </c>
      <c r="D108" s="238">
        <f>'BTX Recycling HC'!C234</f>
        <v>0</v>
      </c>
      <c r="E108" s="238">
        <f>'BTX Recycling HC'!D234</f>
        <v>-1.072732726938698E-2</v>
      </c>
      <c r="F108" s="238">
        <f>'BTX Recycling HC'!E234</f>
        <v>1.3453319674309169E-2</v>
      </c>
      <c r="G108" s="238">
        <f>'BTX Recycling HC'!F234</f>
        <v>4.0455022530981849E-2</v>
      </c>
      <c r="H108" s="238">
        <f>'BTX Recycling HC'!G234</f>
        <v>7.0323073520251911E-2</v>
      </c>
      <c r="I108" s="238">
        <f>'BTX Recycling HC'!H234</f>
        <v>0.10306997341614982</v>
      </c>
      <c r="J108" s="238">
        <f>'BTX Recycling HC'!I234</f>
        <v>0.13920965424580123</v>
      </c>
      <c r="K108" s="238">
        <f>'BTX Recycling HC'!J234</f>
        <v>0.17893347038534418</v>
      </c>
      <c r="L108" s="238">
        <f>'BTX Recycling HC'!K234</f>
        <v>0.22243503204622173</v>
      </c>
      <c r="M108" s="238">
        <f>'BTX Recycling HC'!L234</f>
        <v>0.26990969276705629</v>
      </c>
      <c r="N108" s="238">
        <f>'BTX Recycling HC'!M234</f>
        <v>0.32155400517229743</v>
      </c>
      <c r="O108" s="238">
        <f>'BTX Recycling HC'!N234</f>
        <v>0.39259132405301844</v>
      </c>
      <c r="P108" s="238">
        <f>'BTX Recycling HC'!O234</f>
        <v>0.47004253528092921</v>
      </c>
      <c r="Q108" s="238">
        <f>'BTX Recycling HC'!P234</f>
        <v>0.55389872698522302</v>
      </c>
      <c r="R108" s="238">
        <f>'BTX Recycling HC'!Q234</f>
        <v>0.64408704451991394</v>
      </c>
      <c r="S108" s="238">
        <f>'BTX Recycling HC'!R234</f>
        <v>0.74046769517366917</v>
      </c>
      <c r="T108" s="238">
        <f>'BTX Recycling HC'!S234</f>
        <v>0.84454872887598498</v>
      </c>
      <c r="U108" s="238">
        <f>'BTX Recycling HC'!T234</f>
        <v>0.95664930975373808</v>
      </c>
      <c r="V108" s="238">
        <f>'BTX Recycling HC'!U234</f>
        <v>1.0770934204623286</v>
      </c>
      <c r="W108" s="238">
        <f>'BTX Recycling HC'!V234</f>
        <v>1.2062097070208648</v>
      </c>
      <c r="X108" s="238">
        <f>'BTX Recycling HC'!W234</f>
        <v>1.3443313151878873</v>
      </c>
      <c r="Y108" s="238">
        <f>'BTX Recycling HC'!X234</f>
        <v>1.5320475214058478</v>
      </c>
      <c r="Z108" s="238">
        <f>'BTX Recycling HC'!Y234</f>
        <v>1.7341885866783651</v>
      </c>
      <c r="AA108" s="238">
        <f>'BTX Recycling HC'!Z234</f>
        <v>1.9513198989887743</v>
      </c>
      <c r="AB108" s="238">
        <f>'BTX Recycling HC'!AA234</f>
        <v>2.1840147729687045</v>
      </c>
      <c r="AC108" s="238">
        <f>'BTX Recycling HC'!AB234</f>
        <v>2.4328541964244046</v>
      </c>
      <c r="AD108" s="238">
        <f>'BTX Recycling HC'!AC234</f>
        <v>2.6984531172516619</v>
      </c>
      <c r="AE108" s="238">
        <f>'BTX Recycling HC'!AD234</f>
        <v>2.9814151216505826</v>
      </c>
      <c r="AF108" s="238">
        <f>'BTX Recycling HC'!AE234</f>
        <v>3.282351665682266</v>
      </c>
      <c r="AG108" s="238">
        <f>'BTX Recycling HC'!AF234</f>
        <v>3.6018818313283361</v>
      </c>
      <c r="AH108" s="238">
        <f>'BTX Recycling HC'!AG234</f>
        <v>3.9406320710234755</v>
      </c>
      <c r="AJ108" s="238">
        <f t="shared" ref="AJ108" si="102">D108</f>
        <v>0</v>
      </c>
      <c r="AK108" s="238">
        <f t="shared" ref="AK108" si="103">E108</f>
        <v>-1.072732726938698E-2</v>
      </c>
      <c r="AL108" s="238">
        <f t="shared" ref="AL108" si="104">F108</f>
        <v>1.3453319674309169E-2</v>
      </c>
      <c r="AM108" s="238">
        <f t="shared" ref="AM108" si="105">G108</f>
        <v>4.0455022530981849E-2</v>
      </c>
      <c r="AN108" s="238">
        <f t="shared" ref="AN108" si="106">H108</f>
        <v>7.0323073520251911E-2</v>
      </c>
      <c r="AO108" s="238">
        <f t="shared" ref="AO108" si="107">I108</f>
        <v>0.10306997341614982</v>
      </c>
      <c r="AP108" s="238">
        <f t="shared" ref="AP108" si="108">J108</f>
        <v>0.13920965424580123</v>
      </c>
      <c r="AQ108" s="238">
        <f t="shared" ref="AQ108" si="109">K108</f>
        <v>0.17893347038534418</v>
      </c>
      <c r="AR108" s="238">
        <f t="shared" ref="AR108" si="110">L108</f>
        <v>0.22243503204622173</v>
      </c>
      <c r="AS108" s="238">
        <f t="shared" ref="AS108" si="111">M108</f>
        <v>0.26990969276705629</v>
      </c>
      <c r="AT108" s="238">
        <f t="shared" ref="AT108" si="112">N108</f>
        <v>0.32155400517229743</v>
      </c>
      <c r="AU108" s="238">
        <f t="shared" ref="AU108" si="113">O108</f>
        <v>0.39259132405301844</v>
      </c>
      <c r="AV108" s="238">
        <f t="shared" ref="AV108" si="114">P108</f>
        <v>0.47004253528092921</v>
      </c>
      <c r="AW108" s="238">
        <f t="shared" ref="AW108" si="115">Q108</f>
        <v>0.55389872698522302</v>
      </c>
      <c r="AX108" s="238">
        <f t="shared" ref="AX108" si="116">R108</f>
        <v>0.64408704451991394</v>
      </c>
      <c r="AY108" s="238">
        <f t="shared" ref="AY108" si="117">S108</f>
        <v>0.74046769517366917</v>
      </c>
      <c r="AZ108" s="238">
        <f t="shared" ref="AZ108" si="118">T108</f>
        <v>0.84454872887598498</v>
      </c>
      <c r="BA108" s="238">
        <f t="shared" ref="BA108" si="119">U108</f>
        <v>0.95664930975373808</v>
      </c>
      <c r="BB108" s="238">
        <f t="shared" ref="BB108" si="120">V108</f>
        <v>1.0770934204623286</v>
      </c>
      <c r="BC108" s="238">
        <f t="shared" ref="BC108" si="121">W108</f>
        <v>1.2062097070208648</v>
      </c>
      <c r="BD108" s="238">
        <f t="shared" ref="BD108" si="122">X108</f>
        <v>1.3443313151878873</v>
      </c>
      <c r="BE108" s="238">
        <f t="shared" ref="BE108" si="123">Y108</f>
        <v>1.5320475214058478</v>
      </c>
      <c r="BF108" s="238">
        <f t="shared" ref="BF108" si="124">Z108</f>
        <v>1.7341885866783651</v>
      </c>
      <c r="BG108" s="238">
        <f t="shared" ref="BG108" si="125">AA108</f>
        <v>1.9513198989887743</v>
      </c>
      <c r="BH108" s="238">
        <f t="shared" ref="BH108" si="126">AB108</f>
        <v>2.1840147729687045</v>
      </c>
      <c r="BI108" s="238">
        <f t="shared" ref="BI108" si="127">AC108</f>
        <v>2.4328541964244046</v>
      </c>
      <c r="BJ108" s="238">
        <f t="shared" ref="BJ108" si="128">AD108</f>
        <v>2.6984531172516619</v>
      </c>
      <c r="BK108" s="238">
        <f t="shared" ref="BK108" si="129">AE108</f>
        <v>2.9814151216505826</v>
      </c>
      <c r="BL108" s="238">
        <f t="shared" ref="BL108" si="130">AF108</f>
        <v>3.282351665682266</v>
      </c>
      <c r="BM108" s="238">
        <f t="shared" ref="BM108" si="131">AG108</f>
        <v>3.6018818313283361</v>
      </c>
      <c r="BN108" s="238">
        <f t="shared" ref="BN108" si="132">AH108</f>
        <v>3.9406320710234755</v>
      </c>
    </row>
    <row r="109" spans="1:66" outlineLevel="1">
      <c r="A109" s="178"/>
      <c r="B109" s="239" t="s">
        <v>219</v>
      </c>
      <c r="C109" s="179" t="s">
        <v>153</v>
      </c>
      <c r="D109" s="241">
        <f>D104-D105-D106-D107-D108</f>
        <v>31.171306671622546</v>
      </c>
      <c r="E109" s="241">
        <f t="shared" ref="E109:AH109" si="133">E104-E105-E106-E107-E108</f>
        <v>33.076300602007649</v>
      </c>
      <c r="F109" s="241">
        <f t="shared" si="133"/>
        <v>34.912765824079315</v>
      </c>
      <c r="G109" s="241">
        <f t="shared" si="133"/>
        <v>36.807509511098331</v>
      </c>
      <c r="H109" s="241">
        <f t="shared" si="133"/>
        <v>38.762949365883557</v>
      </c>
      <c r="I109" s="241">
        <f t="shared" si="133"/>
        <v>40.781619828356305</v>
      </c>
      <c r="J109" s="241">
        <f t="shared" si="133"/>
        <v>41.790803520815643</v>
      </c>
      <c r="K109" s="241">
        <f t="shared" si="133"/>
        <v>42.819024567426908</v>
      </c>
      <c r="L109" s="241">
        <f t="shared" si="133"/>
        <v>43.866780135691549</v>
      </c>
      <c r="M109" s="241">
        <f t="shared" si="133"/>
        <v>44.93459994817151</v>
      </c>
      <c r="N109" s="241">
        <f t="shared" si="133"/>
        <v>46.023048981597086</v>
      </c>
      <c r="O109" s="241">
        <f t="shared" si="133"/>
        <v>46.093350099618043</v>
      </c>
      <c r="P109" s="241">
        <f t="shared" si="133"/>
        <v>46.161151723815316</v>
      </c>
      <c r="Q109" s="241">
        <f t="shared" si="133"/>
        <v>46.227757993829904</v>
      </c>
      <c r="R109" s="241">
        <f t="shared" si="133"/>
        <v>46.294897549939947</v>
      </c>
      <c r="S109" s="241">
        <f t="shared" si="133"/>
        <v>46.364288944217996</v>
      </c>
      <c r="T109" s="241">
        <f t="shared" si="133"/>
        <v>46.36256564165469</v>
      </c>
      <c r="U109" s="241">
        <f t="shared" si="133"/>
        <v>46.355121943792184</v>
      </c>
      <c r="V109" s="241">
        <f t="shared" si="133"/>
        <v>46.342168137121647</v>
      </c>
      <c r="W109" s="241">
        <f t="shared" si="133"/>
        <v>46.323963802711752</v>
      </c>
      <c r="X109" s="241">
        <f t="shared" si="133"/>
        <v>46.300823369942449</v>
      </c>
      <c r="Y109" s="241">
        <f t="shared" si="133"/>
        <v>45.26511657446558</v>
      </c>
      <c r="Z109" s="241">
        <f t="shared" si="133"/>
        <v>44.207566050161006</v>
      </c>
      <c r="AA109" s="241">
        <f t="shared" si="133"/>
        <v>43.127972724202301</v>
      </c>
      <c r="AB109" s="241">
        <f t="shared" si="133"/>
        <v>42.027021803588042</v>
      </c>
      <c r="AC109" s="241">
        <f t="shared" si="133"/>
        <v>40.905109218517381</v>
      </c>
      <c r="AD109" s="241">
        <f t="shared" si="133"/>
        <v>39.553752976389958</v>
      </c>
      <c r="AE109" s="241">
        <f t="shared" si="133"/>
        <v>38.18110684295884</v>
      </c>
      <c r="AF109" s="241">
        <f t="shared" si="133"/>
        <v>36.787875405701392</v>
      </c>
      <c r="AG109" s="241">
        <f t="shared" si="133"/>
        <v>35.374899154106885</v>
      </c>
      <c r="AH109" s="241">
        <f t="shared" si="133"/>
        <v>33.943169414558568</v>
      </c>
      <c r="AJ109" s="241">
        <f>AJ104-AJ105-AJ106-AJ107-AJ108</f>
        <v>31.171306671622546</v>
      </c>
      <c r="AK109" s="241">
        <f t="shared" ref="AK109:BN109" si="134">AK104-AK105-AK106-AK107-AK108</f>
        <v>33.076300602007649</v>
      </c>
      <c r="AL109" s="241">
        <f t="shared" si="134"/>
        <v>34.912765824079315</v>
      </c>
      <c r="AM109" s="241">
        <f t="shared" si="134"/>
        <v>36.807509511098331</v>
      </c>
      <c r="AN109" s="241">
        <f t="shared" si="134"/>
        <v>38.762949365883557</v>
      </c>
      <c r="AO109" s="241">
        <f t="shared" si="134"/>
        <v>40.781619828356305</v>
      </c>
      <c r="AP109" s="241">
        <f t="shared" si="134"/>
        <v>41.790803520815643</v>
      </c>
      <c r="AQ109" s="241">
        <f t="shared" si="134"/>
        <v>42.819024567426908</v>
      </c>
      <c r="AR109" s="241">
        <f t="shared" si="134"/>
        <v>43.866780135691549</v>
      </c>
      <c r="AS109" s="241">
        <f t="shared" si="134"/>
        <v>44.93459994817151</v>
      </c>
      <c r="AT109" s="241">
        <f t="shared" si="134"/>
        <v>46.023048981597086</v>
      </c>
      <c r="AU109" s="241">
        <f t="shared" si="134"/>
        <v>46.093350099618043</v>
      </c>
      <c r="AV109" s="241">
        <f t="shared" si="134"/>
        <v>46.161151723815316</v>
      </c>
      <c r="AW109" s="241">
        <f t="shared" si="134"/>
        <v>46.227757993829904</v>
      </c>
      <c r="AX109" s="241">
        <f t="shared" si="134"/>
        <v>46.294897549939947</v>
      </c>
      <c r="AY109" s="241">
        <f t="shared" si="134"/>
        <v>46.364288944217996</v>
      </c>
      <c r="AZ109" s="241">
        <f t="shared" si="134"/>
        <v>46.36256564165469</v>
      </c>
      <c r="BA109" s="241">
        <f t="shared" si="134"/>
        <v>46.355121943792184</v>
      </c>
      <c r="BB109" s="241">
        <f t="shared" si="134"/>
        <v>46.342168137121647</v>
      </c>
      <c r="BC109" s="241">
        <f t="shared" si="134"/>
        <v>46.323963802711752</v>
      </c>
      <c r="BD109" s="241">
        <f t="shared" si="134"/>
        <v>46.300823369942449</v>
      </c>
      <c r="BE109" s="241">
        <f t="shared" si="134"/>
        <v>45.26511657446558</v>
      </c>
      <c r="BF109" s="241">
        <f t="shared" si="134"/>
        <v>44.207566050161006</v>
      </c>
      <c r="BG109" s="241">
        <f t="shared" si="134"/>
        <v>43.127972724202301</v>
      </c>
      <c r="BH109" s="241">
        <f t="shared" si="134"/>
        <v>42.027021803588042</v>
      </c>
      <c r="BI109" s="241">
        <f t="shared" si="134"/>
        <v>40.905109218517381</v>
      </c>
      <c r="BJ109" s="241">
        <f t="shared" si="134"/>
        <v>39.553752976389958</v>
      </c>
      <c r="BK109" s="241">
        <f t="shared" si="134"/>
        <v>38.18110684295884</v>
      </c>
      <c r="BL109" s="241">
        <f t="shared" si="134"/>
        <v>36.787875405701392</v>
      </c>
      <c r="BM109" s="241">
        <f t="shared" si="134"/>
        <v>35.374899154106885</v>
      </c>
      <c r="BN109" s="241">
        <f t="shared" si="134"/>
        <v>33.943169414558568</v>
      </c>
    </row>
    <row r="110" spans="1:66" s="67" customFormat="1" outlineLevel="1">
      <c r="A110" s="752"/>
      <c r="B110" s="58" t="s">
        <v>7</v>
      </c>
      <c r="C110" s="59" t="s">
        <v>153</v>
      </c>
      <c r="D110" s="60">
        <f>D58+D64-'Overall recycling rates'!$G$60/SUM('Overall recycling rates'!$G$60:$G$62)*('BTX Recycling HC'!C183+'BTX Recycling HC'!C235+'BTX Recycling HC'!C269+'BTX Recycling HC'!C108)-'Overall recycling rates'!$E$60/SUM('Overall recycling rates'!$E$60:$E$62)*('BTX Recycling HC'!C184+'BTX Recycling HC'!C236+'BTX Recycling HC'!C270+'BTX Recycling HC'!C109)-'Overall recycling rates'!$H$60/SUM('Overall recycling rates'!$H$60:$H$62)*('BTX Recycling HC'!C185+'BTX Recycling HC'!C237+'BTX Recycling HC'!C271+'BTX Recycling HC'!C110)-'Overall recycling rates'!$I$60/SUM('Overall recycling rates'!$I$60:$I$62)*('BTX Recycling HC'!C186+'BTX Recycling HC'!C238+'BTX Recycling HC'!C272+'BTX Recycling HC'!C111)</f>
        <v>19.499127736654014</v>
      </c>
      <c r="E110" s="60">
        <f>E58+E64-'Overall recycling rates'!$G$60/SUM('Overall recycling rates'!$G$60:$G$62)*('BTX Recycling HC'!D183+'BTX Recycling HC'!D235+'BTX Recycling HC'!D269+'BTX Recycling HC'!D108)-'Overall recycling rates'!$E$60/SUM('Overall recycling rates'!$E$60:$E$62)*('BTX Recycling HC'!D184+'BTX Recycling HC'!D236+'BTX Recycling HC'!D270+'BTX Recycling HC'!D109)-'Overall recycling rates'!$H$60/SUM('Overall recycling rates'!$H$60:$H$62)*('BTX Recycling HC'!D185+'BTX Recycling HC'!D237+'BTX Recycling HC'!D271+'BTX Recycling HC'!D110)-'Overall recycling rates'!$I$60/SUM('Overall recycling rates'!$I$60:$I$62)*('BTX Recycling HC'!D186+'BTX Recycling HC'!D238+'BTX Recycling HC'!D272+'BTX Recycling HC'!D111)</f>
        <v>20.675698799231657</v>
      </c>
      <c r="F110" s="60">
        <f>F58+F64-'Overall recycling rates'!$G$60/SUM('Overall recycling rates'!$G$60:$G$62)*('BTX Recycling HC'!E183+'BTX Recycling HC'!E235+'BTX Recycling HC'!E269+'BTX Recycling HC'!E108)-'Overall recycling rates'!$E$60/SUM('Overall recycling rates'!$E$60:$E$62)*('BTX Recycling HC'!E184+'BTX Recycling HC'!E236+'BTX Recycling HC'!E270+'BTX Recycling HC'!E109)-'Overall recycling rates'!$H$60/SUM('Overall recycling rates'!$H$60:$H$62)*('BTX Recycling HC'!E185+'BTX Recycling HC'!E237+'BTX Recycling HC'!E271+'BTX Recycling HC'!E110)-'Overall recycling rates'!$I$60/SUM('Overall recycling rates'!$I$60:$I$62)*('BTX Recycling HC'!E186+'BTX Recycling HC'!E238+'BTX Recycling HC'!E272+'BTX Recycling HC'!E111)</f>
        <v>21.841404824823883</v>
      </c>
      <c r="G110" s="60">
        <f>G58+G64-'Overall recycling rates'!$G$60/SUM('Overall recycling rates'!$G$60:$G$62)*('BTX Recycling HC'!F183+'BTX Recycling HC'!F235+'BTX Recycling HC'!F269+'BTX Recycling HC'!F108)-'Overall recycling rates'!$E$60/SUM('Overall recycling rates'!$E$60:$E$62)*('BTX Recycling HC'!F184+'BTX Recycling HC'!F236+'BTX Recycling HC'!F270+'BTX Recycling HC'!F109)-'Overall recycling rates'!$H$60/SUM('Overall recycling rates'!$H$60:$H$62)*('BTX Recycling HC'!F185+'BTX Recycling HC'!F237+'BTX Recycling HC'!F271+'BTX Recycling HC'!F110)-'Overall recycling rates'!$I$60/SUM('Overall recycling rates'!$I$60:$I$62)*('BTX Recycling HC'!F186+'BTX Recycling HC'!F238+'BTX Recycling HC'!F272+'BTX Recycling HC'!F111)</f>
        <v>23.044216838275407</v>
      </c>
      <c r="H110" s="60">
        <f>H58+H64-'Overall recycling rates'!$G$60/SUM('Overall recycling rates'!$G$60:$G$62)*('BTX Recycling HC'!G183+'BTX Recycling HC'!G235+'BTX Recycling HC'!G269+'BTX Recycling HC'!G108)-'Overall recycling rates'!$E$60/SUM('Overall recycling rates'!$E$60:$E$62)*('BTX Recycling HC'!G184+'BTX Recycling HC'!G236+'BTX Recycling HC'!G270+'BTX Recycling HC'!G109)-'Overall recycling rates'!$H$60/SUM('Overall recycling rates'!$H$60:$H$62)*('BTX Recycling HC'!G185+'BTX Recycling HC'!G237+'BTX Recycling HC'!G271+'BTX Recycling HC'!G110)-'Overall recycling rates'!$I$60/SUM('Overall recycling rates'!$I$60:$I$62)*('BTX Recycling HC'!G186+'BTX Recycling HC'!G238+'BTX Recycling HC'!G272+'BTX Recycling HC'!G111)</f>
        <v>24.285600263872706</v>
      </c>
      <c r="I110" s="60">
        <f>I58+I64-'Overall recycling rates'!$G$60/SUM('Overall recycling rates'!$G$60:$G$62)*('BTX Recycling HC'!H183+'BTX Recycling HC'!H235+'BTX Recycling HC'!H269+'BTX Recycling HC'!H108)-'Overall recycling rates'!$E$60/SUM('Overall recycling rates'!$E$60:$E$62)*('BTX Recycling HC'!H184+'BTX Recycling HC'!H236+'BTX Recycling HC'!H270+'BTX Recycling HC'!H109)-'Overall recycling rates'!$H$60/SUM('Overall recycling rates'!$H$60:$H$62)*('BTX Recycling HC'!H185+'BTX Recycling HC'!H237+'BTX Recycling HC'!H271+'BTX Recycling HC'!H110)-'Overall recycling rates'!$I$60/SUM('Overall recycling rates'!$I$60:$I$62)*('BTX Recycling HC'!H186+'BTX Recycling HC'!H238+'BTX Recycling HC'!H272+'BTX Recycling HC'!H111)</f>
        <v>25.56708099582378</v>
      </c>
      <c r="J110" s="60">
        <f>J58+J64-'Overall recycling rates'!$G$60/SUM('Overall recycling rates'!$G$60:$G$62)*('BTX Recycling HC'!I183+'BTX Recycling HC'!I235+'BTX Recycling HC'!I269+'BTX Recycling HC'!I108)-'Overall recycling rates'!$E$60/SUM('Overall recycling rates'!$E$60:$E$62)*('BTX Recycling HC'!I184+'BTX Recycling HC'!I236+'BTX Recycling HC'!I270+'BTX Recycling HC'!I109)-'Overall recycling rates'!$H$60/SUM('Overall recycling rates'!$H$60:$H$62)*('BTX Recycling HC'!I185+'BTX Recycling HC'!I237+'BTX Recycling HC'!I271+'BTX Recycling HC'!I110)-'Overall recycling rates'!$I$60/SUM('Overall recycling rates'!$I$60:$I$62)*('BTX Recycling HC'!I186+'BTX Recycling HC'!I238+'BTX Recycling HC'!I272+'BTX Recycling HC'!I111)</f>
        <v>26.218310107024561</v>
      </c>
      <c r="K110" s="60">
        <f>K58+K64-'Overall recycling rates'!$G$60/SUM('Overall recycling rates'!$G$60:$G$62)*('BTX Recycling HC'!J183+'BTX Recycling HC'!J235+'BTX Recycling HC'!J269+'BTX Recycling HC'!J108)-'Overall recycling rates'!$E$60/SUM('Overall recycling rates'!$E$60:$E$62)*('BTX Recycling HC'!J184+'BTX Recycling HC'!J236+'BTX Recycling HC'!J270+'BTX Recycling HC'!J109)-'Overall recycling rates'!$H$60/SUM('Overall recycling rates'!$H$60:$H$62)*('BTX Recycling HC'!J185+'BTX Recycling HC'!J237+'BTX Recycling HC'!J271+'BTX Recycling HC'!J110)-'Overall recycling rates'!$I$60/SUM('Overall recycling rates'!$I$60:$I$62)*('BTX Recycling HC'!J186+'BTX Recycling HC'!J238+'BTX Recycling HC'!J272+'BTX Recycling HC'!J111)</f>
        <v>26.882737773574746</v>
      </c>
      <c r="L110" s="60">
        <f>L58+L64-'Overall recycling rates'!$G$60/SUM('Overall recycling rates'!$G$60:$G$62)*('BTX Recycling HC'!K183+'BTX Recycling HC'!K235+'BTX Recycling HC'!K269+'BTX Recycling HC'!K108)-'Overall recycling rates'!$E$60/SUM('Overall recycling rates'!$E$60:$E$62)*('BTX Recycling HC'!K184+'BTX Recycling HC'!K236+'BTX Recycling HC'!K270+'BTX Recycling HC'!K109)-'Overall recycling rates'!$H$60/SUM('Overall recycling rates'!$H$60:$H$62)*('BTX Recycling HC'!K185+'BTX Recycling HC'!K237+'BTX Recycling HC'!K271+'BTX Recycling HC'!K110)-'Overall recycling rates'!$I$60/SUM('Overall recycling rates'!$I$60:$I$62)*('BTX Recycling HC'!K186+'BTX Recycling HC'!K238+'BTX Recycling HC'!K272+'BTX Recycling HC'!K111)</f>
        <v>27.560733731685385</v>
      </c>
      <c r="M110" s="60">
        <f>M58+M64-'Overall recycling rates'!$G$60/SUM('Overall recycling rates'!$G$60:$G$62)*('BTX Recycling HC'!L183+'BTX Recycling HC'!L235+'BTX Recycling HC'!L269+'BTX Recycling HC'!L108)-'Overall recycling rates'!$E$60/SUM('Overall recycling rates'!$E$60:$E$62)*('BTX Recycling HC'!L184+'BTX Recycling HC'!L236+'BTX Recycling HC'!L270+'BTX Recycling HC'!L109)-'Overall recycling rates'!$H$60/SUM('Overall recycling rates'!$H$60:$H$62)*('BTX Recycling HC'!L185+'BTX Recycling HC'!L237+'BTX Recycling HC'!L271+'BTX Recycling HC'!L110)-'Overall recycling rates'!$I$60/SUM('Overall recycling rates'!$I$60:$I$62)*('BTX Recycling HC'!L186+'BTX Recycling HC'!L238+'BTX Recycling HC'!L272+'BTX Recycling HC'!L111)</f>
        <v>28.25268669955954</v>
      </c>
      <c r="N110" s="60">
        <f>N58+N64-'Overall recycling rates'!$G$60/SUM('Overall recycling rates'!$G$60:$G$62)*('BTX Recycling HC'!M183+'BTX Recycling HC'!M235+'BTX Recycling HC'!M269+'BTX Recycling HC'!M108)-'Overall recycling rates'!$E$60/SUM('Overall recycling rates'!$E$60:$E$62)*('BTX Recycling HC'!M184+'BTX Recycling HC'!M236+'BTX Recycling HC'!M270+'BTX Recycling HC'!M109)-'Overall recycling rates'!$H$60/SUM('Overall recycling rates'!$H$60:$H$62)*('BTX Recycling HC'!M185+'BTX Recycling HC'!M237+'BTX Recycling HC'!M271+'BTX Recycling HC'!M110)-'Overall recycling rates'!$I$60/SUM('Overall recycling rates'!$I$60:$I$62)*('BTX Recycling HC'!M186+'BTX Recycling HC'!M238+'BTX Recycling HC'!M272+'BTX Recycling HC'!M111)</f>
        <v>28.959005560714093</v>
      </c>
      <c r="O110" s="60">
        <f>O58+O64-'Overall recycling rates'!$G$60/SUM('Overall recycling rates'!$G$60:$G$62)*('BTX Recycling HC'!N183+'BTX Recycling HC'!N235+'BTX Recycling HC'!N269+'BTX Recycling HC'!N108)-'Overall recycling rates'!$E$60/SUM('Overall recycling rates'!$E$60:$E$62)*('BTX Recycling HC'!N184+'BTX Recycling HC'!N236+'BTX Recycling HC'!N270+'BTX Recycling HC'!N109)-'Overall recycling rates'!$H$60/SUM('Overall recycling rates'!$H$60:$H$62)*('BTX Recycling HC'!N185+'BTX Recycling HC'!N237+'BTX Recycling HC'!N271+'BTX Recycling HC'!N110)-'Overall recycling rates'!$I$60/SUM('Overall recycling rates'!$I$60:$I$62)*('BTX Recycling HC'!N186+'BTX Recycling HC'!N238+'BTX Recycling HC'!N272+'BTX Recycling HC'!N111)</f>
        <v>29.044721769720336</v>
      </c>
      <c r="P110" s="60">
        <f>P58+P64-'Overall recycling rates'!$G$60/SUM('Overall recycling rates'!$G$60:$G$62)*('BTX Recycling HC'!O183+'BTX Recycling HC'!O235+'BTX Recycling HC'!O269+'BTX Recycling HC'!O108)-'Overall recycling rates'!$E$60/SUM('Overall recycling rates'!$E$60:$E$62)*('BTX Recycling HC'!O184+'BTX Recycling HC'!O236+'BTX Recycling HC'!O270+'BTX Recycling HC'!O109)-'Overall recycling rates'!$H$60/SUM('Overall recycling rates'!$H$60:$H$62)*('BTX Recycling HC'!O185+'BTX Recycling HC'!O237+'BTX Recycling HC'!O271+'BTX Recycling HC'!O110)-'Overall recycling rates'!$I$60/SUM('Overall recycling rates'!$I$60:$I$62)*('BTX Recycling HC'!O186+'BTX Recycling HC'!O238+'BTX Recycling HC'!O272+'BTX Recycling HC'!O111)</f>
        <v>29.130798404310649</v>
      </c>
      <c r="Q110" s="60">
        <f>Q58+Q64-'Overall recycling rates'!$G$60/SUM('Overall recycling rates'!$G$60:$G$62)*('BTX Recycling HC'!P183+'BTX Recycling HC'!P235+'BTX Recycling HC'!P269+'BTX Recycling HC'!P108)-'Overall recycling rates'!$E$60/SUM('Overall recycling rates'!$E$60:$E$62)*('BTX Recycling HC'!P184+'BTX Recycling HC'!P236+'BTX Recycling HC'!P270+'BTX Recycling HC'!P109)-'Overall recycling rates'!$H$60/SUM('Overall recycling rates'!$H$60:$H$62)*('BTX Recycling HC'!P185+'BTX Recycling HC'!P237+'BTX Recycling HC'!P271+'BTX Recycling HC'!P110)-'Overall recycling rates'!$I$60/SUM('Overall recycling rates'!$I$60:$I$62)*('BTX Recycling HC'!P186+'BTX Recycling HC'!P238+'BTX Recycling HC'!P272+'BTX Recycling HC'!P111)</f>
        <v>29.217928522233372</v>
      </c>
      <c r="R110" s="60">
        <f>R58+R64-'Overall recycling rates'!$G$60/SUM('Overall recycling rates'!$G$60:$G$62)*('BTX Recycling HC'!Q183+'BTX Recycling HC'!Q235+'BTX Recycling HC'!Q269+'BTX Recycling HC'!Q108)-'Overall recycling rates'!$E$60/SUM('Overall recycling rates'!$E$60:$E$62)*('BTX Recycling HC'!Q184+'BTX Recycling HC'!Q236+'BTX Recycling HC'!Q270+'BTX Recycling HC'!Q109)-'Overall recycling rates'!$H$60/SUM('Overall recycling rates'!$H$60:$H$62)*('BTX Recycling HC'!Q185+'BTX Recycling HC'!Q237+'BTX Recycling HC'!Q271+'BTX Recycling HC'!Q110)-'Overall recycling rates'!$I$60/SUM('Overall recycling rates'!$I$60:$I$62)*('BTX Recycling HC'!Q186+'BTX Recycling HC'!Q238+'BTX Recycling HC'!Q272+'BTX Recycling HC'!Q111)</f>
        <v>29.307063457569694</v>
      </c>
      <c r="S110" s="60">
        <f>S58+S64-'Overall recycling rates'!$G$60/SUM('Overall recycling rates'!$G$60:$G$62)*('BTX Recycling HC'!R183+'BTX Recycling HC'!R235+'BTX Recycling HC'!R269+'BTX Recycling HC'!R108)-'Overall recycling rates'!$E$60/SUM('Overall recycling rates'!$E$60:$E$62)*('BTX Recycling HC'!R184+'BTX Recycling HC'!R236+'BTX Recycling HC'!R270+'BTX Recycling HC'!R109)-'Overall recycling rates'!$H$60/SUM('Overall recycling rates'!$H$60:$H$62)*('BTX Recycling HC'!R185+'BTX Recycling HC'!R237+'BTX Recycling HC'!R271+'BTX Recycling HC'!R110)-'Overall recycling rates'!$I$60/SUM('Overall recycling rates'!$I$60:$I$62)*('BTX Recycling HC'!R186+'BTX Recycling HC'!R238+'BTX Recycling HC'!R272+'BTX Recycling HC'!R111)</f>
        <v>29.399108379776894</v>
      </c>
      <c r="T110" s="60">
        <f>T58+T64-'Overall recycling rates'!$G$60/SUM('Overall recycling rates'!$G$60:$G$62)*('BTX Recycling HC'!S183+'BTX Recycling HC'!S235+'BTX Recycling HC'!S269+'BTX Recycling HC'!S108)-'Overall recycling rates'!$E$60/SUM('Overall recycling rates'!$E$60:$E$62)*('BTX Recycling HC'!S184+'BTX Recycling HC'!S236+'BTX Recycling HC'!S270+'BTX Recycling HC'!S109)-'Overall recycling rates'!$H$60/SUM('Overall recycling rates'!$H$60:$H$62)*('BTX Recycling HC'!S185+'BTX Recycling HC'!S237+'BTX Recycling HC'!S271+'BTX Recycling HC'!S110)-'Overall recycling rates'!$I$60/SUM('Overall recycling rates'!$I$60:$I$62)*('BTX Recycling HC'!S186+'BTX Recycling HC'!S238+'BTX Recycling HC'!S272+'BTX Recycling HC'!S111)</f>
        <v>29.449340896440674</v>
      </c>
      <c r="U110" s="60">
        <f>U58+U64-'Overall recycling rates'!$G$60/SUM('Overall recycling rates'!$G$60:$G$62)*('BTX Recycling HC'!T183+'BTX Recycling HC'!T235+'BTX Recycling HC'!T269+'BTX Recycling HC'!T108)-'Overall recycling rates'!$E$60/SUM('Overall recycling rates'!$E$60:$E$62)*('BTX Recycling HC'!T184+'BTX Recycling HC'!T236+'BTX Recycling HC'!T270+'BTX Recycling HC'!T109)-'Overall recycling rates'!$H$60/SUM('Overall recycling rates'!$H$60:$H$62)*('BTX Recycling HC'!T185+'BTX Recycling HC'!T237+'BTX Recycling HC'!T271+'BTX Recycling HC'!T110)-'Overall recycling rates'!$I$60/SUM('Overall recycling rates'!$I$60:$I$62)*('BTX Recycling HC'!T186+'BTX Recycling HC'!T238+'BTX Recycling HC'!T272+'BTX Recycling HC'!T111)</f>
        <v>29.498758125611143</v>
      </c>
      <c r="V110" s="60">
        <f>V58+V64-'Overall recycling rates'!$G$60/SUM('Overall recycling rates'!$G$60:$G$62)*('BTX Recycling HC'!U183+'BTX Recycling HC'!U235+'BTX Recycling HC'!U269+'BTX Recycling HC'!U108)-'Overall recycling rates'!$E$60/SUM('Overall recycling rates'!$E$60:$E$62)*('BTX Recycling HC'!U184+'BTX Recycling HC'!U236+'BTX Recycling HC'!U270+'BTX Recycling HC'!U109)-'Overall recycling rates'!$H$60/SUM('Overall recycling rates'!$H$60:$H$62)*('BTX Recycling HC'!U185+'BTX Recycling HC'!U237+'BTX Recycling HC'!U271+'BTX Recycling HC'!U110)-'Overall recycling rates'!$I$60/SUM('Overall recycling rates'!$I$60:$I$62)*('BTX Recycling HC'!U186+'BTX Recycling HC'!U238+'BTX Recycling HC'!U272+'BTX Recycling HC'!U111)</f>
        <v>29.547577559281059</v>
      </c>
      <c r="W110" s="60">
        <f>W58+W64-'Overall recycling rates'!$G$60/SUM('Overall recycling rates'!$G$60:$G$62)*('BTX Recycling HC'!V183+'BTX Recycling HC'!V235+'BTX Recycling HC'!V269+'BTX Recycling HC'!V108)-'Overall recycling rates'!$E$60/SUM('Overall recycling rates'!$E$60:$E$62)*('BTX Recycling HC'!V184+'BTX Recycling HC'!V236+'BTX Recycling HC'!V270+'BTX Recycling HC'!V109)-'Overall recycling rates'!$H$60/SUM('Overall recycling rates'!$H$60:$H$62)*('BTX Recycling HC'!V185+'BTX Recycling HC'!V237+'BTX Recycling HC'!V271+'BTX Recycling HC'!V110)-'Overall recycling rates'!$I$60/SUM('Overall recycling rates'!$I$60:$I$62)*('BTX Recycling HC'!V186+'BTX Recycling HC'!V238+'BTX Recycling HC'!V272+'BTX Recycling HC'!V111)</f>
        <v>29.59604283170701</v>
      </c>
      <c r="X110" s="60">
        <f>X58+X64-'Overall recycling rates'!$G$60/SUM('Overall recycling rates'!$G$60:$G$62)*('BTX Recycling HC'!W183+'BTX Recycling HC'!W235+'BTX Recycling HC'!W269+'BTX Recycling HC'!W108)-'Overall recycling rates'!$E$60/SUM('Overall recycling rates'!$E$60:$E$62)*('BTX Recycling HC'!W184+'BTX Recycling HC'!W236+'BTX Recycling HC'!W270+'BTX Recycling HC'!W109)-'Overall recycling rates'!$H$60/SUM('Overall recycling rates'!$H$60:$H$62)*('BTX Recycling HC'!W185+'BTX Recycling HC'!W237+'BTX Recycling HC'!W271+'BTX Recycling HC'!W110)-'Overall recycling rates'!$I$60/SUM('Overall recycling rates'!$I$60:$I$62)*('BTX Recycling HC'!W186+'BTX Recycling HC'!W238+'BTX Recycling HC'!W272+'BTX Recycling HC'!W111)</f>
        <v>29.644426364769554</v>
      </c>
      <c r="Y110" s="60">
        <f>Y58+Y64-'Overall recycling rates'!$G$60/SUM('Overall recycling rates'!$G$60:$G$62)*('BTX Recycling HC'!X183+'BTX Recycling HC'!X235+'BTX Recycling HC'!X269+'BTX Recycling HC'!X108)-'Overall recycling rates'!$E$60/SUM('Overall recycling rates'!$E$60:$E$62)*('BTX Recycling HC'!X184+'BTX Recycling HC'!X236+'BTX Recycling HC'!X270+'BTX Recycling HC'!X109)-'Overall recycling rates'!$H$60/SUM('Overall recycling rates'!$H$60:$H$62)*('BTX Recycling HC'!X185+'BTX Recycling HC'!X237+'BTX Recycling HC'!X271+'BTX Recycling HC'!X110)-'Overall recycling rates'!$I$60/SUM('Overall recycling rates'!$I$60:$I$62)*('BTX Recycling HC'!X186+'BTX Recycling HC'!X238+'BTX Recycling HC'!X272+'BTX Recycling HC'!X111)</f>
        <v>29.087804908792997</v>
      </c>
      <c r="Z110" s="60">
        <f>Z58+Z64-'Overall recycling rates'!$G$60/SUM('Overall recycling rates'!$G$60:$G$62)*('BTX Recycling HC'!Y183+'BTX Recycling HC'!Y235+'BTX Recycling HC'!Y269+'BTX Recycling HC'!Y108)-'Overall recycling rates'!$E$60/SUM('Overall recycling rates'!$E$60:$E$62)*('BTX Recycling HC'!Y184+'BTX Recycling HC'!Y236+'BTX Recycling HC'!Y270+'BTX Recycling HC'!Y109)-'Overall recycling rates'!$H$60/SUM('Overall recycling rates'!$H$60:$H$62)*('BTX Recycling HC'!Y185+'BTX Recycling HC'!Y237+'BTX Recycling HC'!Y271+'BTX Recycling HC'!Y110)-'Overall recycling rates'!$I$60/SUM('Overall recycling rates'!$I$60:$I$62)*('BTX Recycling HC'!Y186+'BTX Recycling HC'!Y238+'BTX Recycling HC'!Y272+'BTX Recycling HC'!Y111)</f>
        <v>28.522716219870922</v>
      </c>
      <c r="AA110" s="60">
        <f>AA58+AA64-'Overall recycling rates'!$G$60/SUM('Overall recycling rates'!$G$60:$G$62)*('BTX Recycling HC'!Z183+'BTX Recycling HC'!Z235+'BTX Recycling HC'!Z269+'BTX Recycling HC'!Z108)-'Overall recycling rates'!$E$60/SUM('Overall recycling rates'!$E$60:$E$62)*('BTX Recycling HC'!Z184+'BTX Recycling HC'!Z236+'BTX Recycling HC'!Z270+'BTX Recycling HC'!Z109)-'Overall recycling rates'!$H$60/SUM('Overall recycling rates'!$H$60:$H$62)*('BTX Recycling HC'!Z185+'BTX Recycling HC'!Z237+'BTX Recycling HC'!Z271+'BTX Recycling HC'!Z110)-'Overall recycling rates'!$I$60/SUM('Overall recycling rates'!$I$60:$I$62)*('BTX Recycling HC'!Z186+'BTX Recycling HC'!Z238+'BTX Recycling HC'!Z272+'BTX Recycling HC'!Z111)</f>
        <v>27.949186337267328</v>
      </c>
      <c r="AB110" s="60">
        <f>AB58+AB64-'Overall recycling rates'!$G$60/SUM('Overall recycling rates'!$G$60:$G$62)*('BTX Recycling HC'!AA183+'BTX Recycling HC'!AA235+'BTX Recycling HC'!AA269+'BTX Recycling HC'!AA108)-'Overall recycling rates'!$E$60/SUM('Overall recycling rates'!$E$60:$E$62)*('BTX Recycling HC'!AA184+'BTX Recycling HC'!AA236+'BTX Recycling HC'!AA270+'BTX Recycling HC'!AA109)-'Overall recycling rates'!$H$60/SUM('Overall recycling rates'!$H$60:$H$62)*('BTX Recycling HC'!AA185+'BTX Recycling HC'!AA237+'BTX Recycling HC'!AA271+'BTX Recycling HC'!AA110)-'Overall recycling rates'!$I$60/SUM('Overall recycling rates'!$I$60:$I$62)*('BTX Recycling HC'!AA186+'BTX Recycling HC'!AA238+'BTX Recycling HC'!AA272+'BTX Recycling HC'!AA111)</f>
        <v>27.367804792175267</v>
      </c>
      <c r="AC110" s="60">
        <f>AC58+AC64-'Overall recycling rates'!$G$60/SUM('Overall recycling rates'!$G$60:$G$62)*('BTX Recycling HC'!AB183+'BTX Recycling HC'!AB235+'BTX Recycling HC'!AB269+'BTX Recycling HC'!AB108)-'Overall recycling rates'!$E$60/SUM('Overall recycling rates'!$E$60:$E$62)*('BTX Recycling HC'!AB184+'BTX Recycling HC'!AB236+'BTX Recycling HC'!AB270+'BTX Recycling HC'!AB109)-'Overall recycling rates'!$H$60/SUM('Overall recycling rates'!$H$60:$H$62)*('BTX Recycling HC'!AB185+'BTX Recycling HC'!AB237+'BTX Recycling HC'!AB271+'BTX Recycling HC'!AB110)-'Overall recycling rates'!$I$60/SUM('Overall recycling rates'!$I$60:$I$62)*('BTX Recycling HC'!AB186+'BTX Recycling HC'!AB238+'BTX Recycling HC'!AB272+'BTX Recycling HC'!AB111)</f>
        <v>26.77896041059871</v>
      </c>
      <c r="AD110" s="60">
        <f>AD58+AD64-'Overall recycling rates'!$G$60/SUM('Overall recycling rates'!$G$60:$G$62)*('BTX Recycling HC'!AC183+'BTX Recycling HC'!AC235+'BTX Recycling HC'!AC269+'BTX Recycling HC'!AC108)-'Overall recycling rates'!$E$60/SUM('Overall recycling rates'!$E$60:$E$62)*('BTX Recycling HC'!AC184+'BTX Recycling HC'!AC236+'BTX Recycling HC'!AC270+'BTX Recycling HC'!AC109)-'Overall recycling rates'!$H$60/SUM('Overall recycling rates'!$H$60:$H$62)*('BTX Recycling HC'!AC185+'BTX Recycling HC'!AC237+'BTX Recycling HC'!AC271+'BTX Recycling HC'!AC110)-'Overall recycling rates'!$I$60/SUM('Overall recycling rates'!$I$60:$I$62)*('BTX Recycling HC'!AC186+'BTX Recycling HC'!AC238+'BTX Recycling HC'!AC272+'BTX Recycling HC'!AC111)</f>
        <v>26.05238440531215</v>
      </c>
      <c r="AE110" s="60">
        <f>AE58+AE64-'Overall recycling rates'!$G$60/SUM('Overall recycling rates'!$G$60:$G$62)*('BTX Recycling HC'!AD183+'BTX Recycling HC'!AD235+'BTX Recycling HC'!AD269+'BTX Recycling HC'!AD108)-'Overall recycling rates'!$E$60/SUM('Overall recycling rates'!$E$60:$E$62)*('BTX Recycling HC'!AD184+'BTX Recycling HC'!AD236+'BTX Recycling HC'!AD270+'BTX Recycling HC'!AD109)-'Overall recycling rates'!$H$60/SUM('Overall recycling rates'!$H$60:$H$62)*('BTX Recycling HC'!AD185+'BTX Recycling HC'!AD237+'BTX Recycling HC'!AD271+'BTX Recycling HC'!AD110)-'Overall recycling rates'!$I$60/SUM('Overall recycling rates'!$I$60:$I$62)*('BTX Recycling HC'!AD186+'BTX Recycling HC'!AD238+'BTX Recycling HC'!AD272+'BTX Recycling HC'!AD111)</f>
        <v>25.31840842458854</v>
      </c>
      <c r="AF110" s="60">
        <f>AF58+AF64-'Overall recycling rates'!$G$60/SUM('Overall recycling rates'!$G$60:$G$62)*('BTX Recycling HC'!AE183+'BTX Recycling HC'!AE235+'BTX Recycling HC'!AE269+'BTX Recycling HC'!AE108)-'Overall recycling rates'!$E$60/SUM('Overall recycling rates'!$E$60:$E$62)*('BTX Recycling HC'!AE184+'BTX Recycling HC'!AE236+'BTX Recycling HC'!AE270+'BTX Recycling HC'!AE109)-'Overall recycling rates'!$H$60/SUM('Overall recycling rates'!$H$60:$H$62)*('BTX Recycling HC'!AE185+'BTX Recycling HC'!AE237+'BTX Recycling HC'!AE271+'BTX Recycling HC'!AE110)-'Overall recycling rates'!$I$60/SUM('Overall recycling rates'!$I$60:$I$62)*('BTX Recycling HC'!AE186+'BTX Recycling HC'!AE238+'BTX Recycling HC'!AE272+'BTX Recycling HC'!AE111)</f>
        <v>24.577580819382362</v>
      </c>
      <c r="AG110" s="60">
        <f>AG58+AG64-'Overall recycling rates'!$G$60/SUM('Overall recycling rates'!$G$60:$G$62)*('BTX Recycling HC'!AF183+'BTX Recycling HC'!AF235+'BTX Recycling HC'!AF269+'BTX Recycling HC'!AF108)-'Overall recycling rates'!$E$60/SUM('Overall recycling rates'!$E$60:$E$62)*('BTX Recycling HC'!AF184+'BTX Recycling HC'!AF236+'BTX Recycling HC'!AF270+'BTX Recycling HC'!AF109)-'Overall recycling rates'!$H$60/SUM('Overall recycling rates'!$H$60:$H$62)*('BTX Recycling HC'!AF185+'BTX Recycling HC'!AF237+'BTX Recycling HC'!AF271+'BTX Recycling HC'!AF110)-'Overall recycling rates'!$I$60/SUM('Overall recycling rates'!$I$60:$I$62)*('BTX Recycling HC'!AF186+'BTX Recycling HC'!AF238+'BTX Recycling HC'!AF272+'BTX Recycling HC'!AF111)</f>
        <v>23.830518950800716</v>
      </c>
      <c r="AH110" s="60">
        <f>AH58+AH64-'Overall recycling rates'!$G$60/SUM('Overall recycling rates'!$G$60:$G$62)*('BTX Recycling HC'!AG183+'BTX Recycling HC'!AG235+'BTX Recycling HC'!AG269+'BTX Recycling HC'!AG108)-'Overall recycling rates'!$E$60/SUM('Overall recycling rates'!$E$60:$E$62)*('BTX Recycling HC'!AG184+'BTX Recycling HC'!AG236+'BTX Recycling HC'!AG270+'BTX Recycling HC'!AG109)-'Overall recycling rates'!$H$60/SUM('Overall recycling rates'!$H$60:$H$62)*('BTX Recycling HC'!AG185+'BTX Recycling HC'!AG237+'BTX Recycling HC'!AG271+'BTX Recycling HC'!AG110)-'Overall recycling rates'!$I$60/SUM('Overall recycling rates'!$I$60:$I$62)*('BTX Recycling HC'!AG186+'BTX Recycling HC'!AG238+'BTX Recycling HC'!AG272+'BTX Recycling HC'!AG111)</f>
        <v>23.077916350505795</v>
      </c>
      <c r="AJ110" s="60">
        <f>AJ58+AJ64-'Overall recycling rates'!$G$60/SUM('Overall recycling rates'!$G$60:$G$62)*('BTX Recycling HC'!C183+'BTX Recycling HC'!C235+'BTX Recycling HC'!C269+'BTX Recycling HC'!C108)-'Overall recycling rates'!$E$60/SUM('Overall recycling rates'!$E$60:$E$62)*('BTX Recycling HC'!C184+'BTX Recycling HC'!C236+'BTX Recycling HC'!C270+'BTX Recycling HC'!C109)-'Overall recycling rates'!$H$60/SUM('Overall recycling rates'!$H$60:$H$62)*('BTX Recycling HC'!C185+'BTX Recycling HC'!C237+'BTX Recycling HC'!C271+'BTX Recycling HC'!C110)-'Overall recycling rates'!$I$60/SUM('Overall recycling rates'!$I$60:$I$62)*('BTX Recycling HC'!C186+'BTX Recycling HC'!C238+'BTX Recycling HC'!C272+'BTX Recycling HC'!C111)</f>
        <v>19.499127736654014</v>
      </c>
      <c r="AK110" s="60">
        <f>AK58+AK64-'Overall recycling rates'!$G$60/SUM('Overall recycling rates'!$G$60:$G$62)*('BTX Recycling HC'!D183+'BTX Recycling HC'!D235+'BTX Recycling HC'!D269+'BTX Recycling HC'!D108)-'Overall recycling rates'!$E$60/SUM('Overall recycling rates'!$E$60:$E$62)*('BTX Recycling HC'!D184+'BTX Recycling HC'!D236+'BTX Recycling HC'!D270+'BTX Recycling HC'!D109)-'Overall recycling rates'!$H$60/SUM('Overall recycling rates'!$H$60:$H$62)*('BTX Recycling HC'!D185+'BTX Recycling HC'!D237+'BTX Recycling HC'!D271+'BTX Recycling HC'!D110)-'Overall recycling rates'!$I$60/SUM('Overall recycling rates'!$I$60:$I$62)*('BTX Recycling HC'!D186+'BTX Recycling HC'!D238+'BTX Recycling HC'!D272+'BTX Recycling HC'!D111)</f>
        <v>20.675698799231657</v>
      </c>
      <c r="AL110" s="60">
        <f>AL58+AL64-'Overall recycling rates'!$G$60/SUM('Overall recycling rates'!$G$60:$G$62)*('BTX Recycling HC'!E183+'BTX Recycling HC'!E235+'BTX Recycling HC'!E269+'BTX Recycling HC'!E108)-'Overall recycling rates'!$E$60/SUM('Overall recycling rates'!$E$60:$E$62)*('BTX Recycling HC'!E184+'BTX Recycling HC'!E236+'BTX Recycling HC'!E270+'BTX Recycling HC'!E109)-'Overall recycling rates'!$H$60/SUM('Overall recycling rates'!$H$60:$H$62)*('BTX Recycling HC'!E185+'BTX Recycling HC'!E237+'BTX Recycling HC'!E271+'BTX Recycling HC'!E110)-'Overall recycling rates'!$I$60/SUM('Overall recycling rates'!$I$60:$I$62)*('BTX Recycling HC'!E186+'BTX Recycling HC'!E238+'BTX Recycling HC'!E272+'BTX Recycling HC'!E111)</f>
        <v>21.841404824823883</v>
      </c>
      <c r="AM110" s="60">
        <f>AM58+AM64-'Overall recycling rates'!$G$60/SUM('Overall recycling rates'!$G$60:$G$62)*('BTX Recycling HC'!F183+'BTX Recycling HC'!F235+'BTX Recycling HC'!F269+'BTX Recycling HC'!F108)-'Overall recycling rates'!$E$60/SUM('Overall recycling rates'!$E$60:$E$62)*('BTX Recycling HC'!F184+'BTX Recycling HC'!F236+'BTX Recycling HC'!F270+'BTX Recycling HC'!F109)-'Overall recycling rates'!$H$60/SUM('Overall recycling rates'!$H$60:$H$62)*('BTX Recycling HC'!F185+'BTX Recycling HC'!F237+'BTX Recycling HC'!F271+'BTX Recycling HC'!F110)-'Overall recycling rates'!$I$60/SUM('Overall recycling rates'!$I$60:$I$62)*('BTX Recycling HC'!F186+'BTX Recycling HC'!F238+'BTX Recycling HC'!F272+'BTX Recycling HC'!F111)</f>
        <v>23.044216838275407</v>
      </c>
      <c r="AN110" s="60">
        <f>AN58+AN64-'Overall recycling rates'!$G$60/SUM('Overall recycling rates'!$G$60:$G$62)*('BTX Recycling HC'!G183+'BTX Recycling HC'!G235+'BTX Recycling HC'!G269+'BTX Recycling HC'!G108)-'Overall recycling rates'!$E$60/SUM('Overall recycling rates'!$E$60:$E$62)*('BTX Recycling HC'!G184+'BTX Recycling HC'!G236+'BTX Recycling HC'!G270+'BTX Recycling HC'!G109)-'Overall recycling rates'!$H$60/SUM('Overall recycling rates'!$H$60:$H$62)*('BTX Recycling HC'!G185+'BTX Recycling HC'!G237+'BTX Recycling HC'!G271+'BTX Recycling HC'!G110)-'Overall recycling rates'!$I$60/SUM('Overall recycling rates'!$I$60:$I$62)*('BTX Recycling HC'!G186+'BTX Recycling HC'!G238+'BTX Recycling HC'!G272+'BTX Recycling HC'!G111)</f>
        <v>24.285600263872706</v>
      </c>
      <c r="AO110" s="60">
        <f>AO58+AO64-'Overall recycling rates'!$G$60/SUM('Overall recycling rates'!$G$60:$G$62)*('BTX Recycling HC'!H183+'BTX Recycling HC'!H235+'BTX Recycling HC'!H269+'BTX Recycling HC'!H108)-'Overall recycling rates'!$E$60/SUM('Overall recycling rates'!$E$60:$E$62)*('BTX Recycling HC'!H184+'BTX Recycling HC'!H236+'BTX Recycling HC'!H270+'BTX Recycling HC'!H109)-'Overall recycling rates'!$H$60/SUM('Overall recycling rates'!$H$60:$H$62)*('BTX Recycling HC'!H185+'BTX Recycling HC'!H237+'BTX Recycling HC'!H271+'BTX Recycling HC'!H110)-'Overall recycling rates'!$I$60/SUM('Overall recycling rates'!$I$60:$I$62)*('BTX Recycling HC'!H186+'BTX Recycling HC'!H238+'BTX Recycling HC'!H272+'BTX Recycling HC'!H111)</f>
        <v>25.56708099582378</v>
      </c>
      <c r="AP110" s="60">
        <f>AP58+AP64-'Overall recycling rates'!$G$60/SUM('Overall recycling rates'!$G$60:$G$62)*('BTX Recycling HC'!I183+'BTX Recycling HC'!I235+'BTX Recycling HC'!I269+'BTX Recycling HC'!I108)-'Overall recycling rates'!$E$60/SUM('Overall recycling rates'!$E$60:$E$62)*('BTX Recycling HC'!I184+'BTX Recycling HC'!I236+'BTX Recycling HC'!I270+'BTX Recycling HC'!I109)-'Overall recycling rates'!$H$60/SUM('Overall recycling rates'!$H$60:$H$62)*('BTX Recycling HC'!I185+'BTX Recycling HC'!I237+'BTX Recycling HC'!I271+'BTX Recycling HC'!I110)-'Overall recycling rates'!$I$60/SUM('Overall recycling rates'!$I$60:$I$62)*('BTX Recycling HC'!I186+'BTX Recycling HC'!I238+'BTX Recycling HC'!I272+'BTX Recycling HC'!I111)</f>
        <v>26.218310107024561</v>
      </c>
      <c r="AQ110" s="60">
        <f>AQ58+AQ64-'Overall recycling rates'!$G$60/SUM('Overall recycling rates'!$G$60:$G$62)*('BTX Recycling HC'!J183+'BTX Recycling HC'!J235+'BTX Recycling HC'!J269+'BTX Recycling HC'!J108)-'Overall recycling rates'!$E$60/SUM('Overall recycling rates'!$E$60:$E$62)*('BTX Recycling HC'!J184+'BTX Recycling HC'!J236+'BTX Recycling HC'!J270+'BTX Recycling HC'!J109)-'Overall recycling rates'!$H$60/SUM('Overall recycling rates'!$H$60:$H$62)*('BTX Recycling HC'!J185+'BTX Recycling HC'!J237+'BTX Recycling HC'!J271+'BTX Recycling HC'!J110)-'Overall recycling rates'!$I$60/SUM('Overall recycling rates'!$I$60:$I$62)*('BTX Recycling HC'!J186+'BTX Recycling HC'!J238+'BTX Recycling HC'!J272+'BTX Recycling HC'!J111)</f>
        <v>26.882737773574746</v>
      </c>
      <c r="AR110" s="60">
        <f>AR58+AR64-'Overall recycling rates'!$G$60/SUM('Overall recycling rates'!$G$60:$G$62)*('BTX Recycling HC'!K183+'BTX Recycling HC'!K235+'BTX Recycling HC'!K269+'BTX Recycling HC'!K108)-'Overall recycling rates'!$E$60/SUM('Overall recycling rates'!$E$60:$E$62)*('BTX Recycling HC'!K184+'BTX Recycling HC'!K236+'BTX Recycling HC'!K270+'BTX Recycling HC'!K109)-'Overall recycling rates'!$H$60/SUM('Overall recycling rates'!$H$60:$H$62)*('BTX Recycling HC'!K185+'BTX Recycling HC'!K237+'BTX Recycling HC'!K271+'BTX Recycling HC'!K110)-'Overall recycling rates'!$I$60/SUM('Overall recycling rates'!$I$60:$I$62)*('BTX Recycling HC'!K186+'BTX Recycling HC'!K238+'BTX Recycling HC'!K272+'BTX Recycling HC'!K111)</f>
        <v>27.560733731685385</v>
      </c>
      <c r="AS110" s="60">
        <f>AS58+AS64-'Overall recycling rates'!$G$60/SUM('Overall recycling rates'!$G$60:$G$62)*('BTX Recycling HC'!L183+'BTX Recycling HC'!L235+'BTX Recycling HC'!L269+'BTX Recycling HC'!L108)-'Overall recycling rates'!$E$60/SUM('Overall recycling rates'!$E$60:$E$62)*('BTX Recycling HC'!L184+'BTX Recycling HC'!L236+'BTX Recycling HC'!L270+'BTX Recycling HC'!L109)-'Overall recycling rates'!$H$60/SUM('Overall recycling rates'!$H$60:$H$62)*('BTX Recycling HC'!L185+'BTX Recycling HC'!L237+'BTX Recycling HC'!L271+'BTX Recycling HC'!L110)-'Overall recycling rates'!$I$60/SUM('Overall recycling rates'!$I$60:$I$62)*('BTX Recycling HC'!L186+'BTX Recycling HC'!L238+'BTX Recycling HC'!L272+'BTX Recycling HC'!L111)</f>
        <v>28.25268669955954</v>
      </c>
      <c r="AT110" s="60">
        <f>AT58+AT64-'Overall recycling rates'!$G$60/SUM('Overall recycling rates'!$G$60:$G$62)*('BTX Recycling HC'!M183+'BTX Recycling HC'!M235+'BTX Recycling HC'!M269+'BTX Recycling HC'!M108)-'Overall recycling rates'!$E$60/SUM('Overall recycling rates'!$E$60:$E$62)*('BTX Recycling HC'!M184+'BTX Recycling HC'!M236+'BTX Recycling HC'!M270+'BTX Recycling HC'!M109)-'Overall recycling rates'!$H$60/SUM('Overall recycling rates'!$H$60:$H$62)*('BTX Recycling HC'!M185+'BTX Recycling HC'!M237+'BTX Recycling HC'!M271+'BTX Recycling HC'!M110)-'Overall recycling rates'!$I$60/SUM('Overall recycling rates'!$I$60:$I$62)*('BTX Recycling HC'!M186+'BTX Recycling HC'!M238+'BTX Recycling HC'!M272+'BTX Recycling HC'!M111)</f>
        <v>28.959005560714093</v>
      </c>
      <c r="AU110" s="60">
        <f>AU58+AU64-'Overall recycling rates'!$G$60/SUM('Overall recycling rates'!$G$60:$G$62)*('BTX Recycling HC'!N183+'BTX Recycling HC'!N235+'BTX Recycling HC'!N269+'BTX Recycling HC'!N108)-'Overall recycling rates'!$E$60/SUM('Overall recycling rates'!$E$60:$E$62)*('BTX Recycling HC'!N184+'BTX Recycling HC'!N236+'BTX Recycling HC'!N270+'BTX Recycling HC'!N109)-'Overall recycling rates'!$H$60/SUM('Overall recycling rates'!$H$60:$H$62)*('BTX Recycling HC'!N185+'BTX Recycling HC'!N237+'BTX Recycling HC'!N271+'BTX Recycling HC'!N110)-'Overall recycling rates'!$I$60/SUM('Overall recycling rates'!$I$60:$I$62)*('BTX Recycling HC'!N186+'BTX Recycling HC'!N238+'BTX Recycling HC'!N272+'BTX Recycling HC'!N111)</f>
        <v>29.044721769720336</v>
      </c>
      <c r="AV110" s="60">
        <f>AV58+AV64-'Overall recycling rates'!$G$60/SUM('Overall recycling rates'!$G$60:$G$62)*('BTX Recycling HC'!O183+'BTX Recycling HC'!O235+'BTX Recycling HC'!O269+'BTX Recycling HC'!O108)-'Overall recycling rates'!$E$60/SUM('Overall recycling rates'!$E$60:$E$62)*('BTX Recycling HC'!O184+'BTX Recycling HC'!O236+'BTX Recycling HC'!O270+'BTX Recycling HC'!O109)-'Overall recycling rates'!$H$60/SUM('Overall recycling rates'!$H$60:$H$62)*('BTX Recycling HC'!O185+'BTX Recycling HC'!O237+'BTX Recycling HC'!O271+'BTX Recycling HC'!O110)-'Overall recycling rates'!$I$60/SUM('Overall recycling rates'!$I$60:$I$62)*('BTX Recycling HC'!O186+'BTX Recycling HC'!O238+'BTX Recycling HC'!O272+'BTX Recycling HC'!O111)</f>
        <v>29.130798404310649</v>
      </c>
      <c r="AW110" s="60">
        <f>AW58+AW64-'Overall recycling rates'!$G$60/SUM('Overall recycling rates'!$G$60:$G$62)*('BTX Recycling HC'!P183+'BTX Recycling HC'!P235+'BTX Recycling HC'!P269+'BTX Recycling HC'!P108)-'Overall recycling rates'!$E$60/SUM('Overall recycling rates'!$E$60:$E$62)*('BTX Recycling HC'!P184+'BTX Recycling HC'!P236+'BTX Recycling HC'!P270+'BTX Recycling HC'!P109)-'Overall recycling rates'!$H$60/SUM('Overall recycling rates'!$H$60:$H$62)*('BTX Recycling HC'!P185+'BTX Recycling HC'!P237+'BTX Recycling HC'!P271+'BTX Recycling HC'!P110)-'Overall recycling rates'!$I$60/SUM('Overall recycling rates'!$I$60:$I$62)*('BTX Recycling HC'!P186+'BTX Recycling HC'!P238+'BTX Recycling HC'!P272+'BTX Recycling HC'!P111)</f>
        <v>29.217928522233372</v>
      </c>
      <c r="AX110" s="60">
        <f>AX58+AX64-'Overall recycling rates'!$G$60/SUM('Overall recycling rates'!$G$60:$G$62)*('BTX Recycling HC'!Q183+'BTX Recycling HC'!Q235+'BTX Recycling HC'!Q269+'BTX Recycling HC'!Q108)-'Overall recycling rates'!$E$60/SUM('Overall recycling rates'!$E$60:$E$62)*('BTX Recycling HC'!Q184+'BTX Recycling HC'!Q236+'BTX Recycling HC'!Q270+'BTX Recycling HC'!Q109)-'Overall recycling rates'!$H$60/SUM('Overall recycling rates'!$H$60:$H$62)*('BTX Recycling HC'!Q185+'BTX Recycling HC'!Q237+'BTX Recycling HC'!Q271+'BTX Recycling HC'!Q110)-'Overall recycling rates'!$I$60/SUM('Overall recycling rates'!$I$60:$I$62)*('BTX Recycling HC'!Q186+'BTX Recycling HC'!Q238+'BTX Recycling HC'!Q272+'BTX Recycling HC'!Q111)</f>
        <v>29.307063457569694</v>
      </c>
      <c r="AY110" s="60">
        <f>AY58+AY64-'Overall recycling rates'!$G$60/SUM('Overall recycling rates'!$G$60:$G$62)*('BTX Recycling HC'!R183+'BTX Recycling HC'!R235+'BTX Recycling HC'!R269+'BTX Recycling HC'!R108)-'Overall recycling rates'!$E$60/SUM('Overall recycling rates'!$E$60:$E$62)*('BTX Recycling HC'!R184+'BTX Recycling HC'!R236+'BTX Recycling HC'!R270+'BTX Recycling HC'!R109)-'Overall recycling rates'!$H$60/SUM('Overall recycling rates'!$H$60:$H$62)*('BTX Recycling HC'!R185+'BTX Recycling HC'!R237+'BTX Recycling HC'!R271+'BTX Recycling HC'!R110)-'Overall recycling rates'!$I$60/SUM('Overall recycling rates'!$I$60:$I$62)*('BTX Recycling HC'!R186+'BTX Recycling HC'!R238+'BTX Recycling HC'!R272+'BTX Recycling HC'!R111)</f>
        <v>29.399108379776894</v>
      </c>
      <c r="AZ110" s="60">
        <f>AZ58+AZ64-'Overall recycling rates'!$G$60/SUM('Overall recycling rates'!$G$60:$G$62)*('BTX Recycling HC'!S183+'BTX Recycling HC'!S235+'BTX Recycling HC'!S269+'BTX Recycling HC'!S108)-'Overall recycling rates'!$E$60/SUM('Overall recycling rates'!$E$60:$E$62)*('BTX Recycling HC'!S184+'BTX Recycling HC'!S236+'BTX Recycling HC'!S270+'BTX Recycling HC'!S109)-'Overall recycling rates'!$H$60/SUM('Overall recycling rates'!$H$60:$H$62)*('BTX Recycling HC'!S185+'BTX Recycling HC'!S237+'BTX Recycling HC'!S271+'BTX Recycling HC'!S110)-'Overall recycling rates'!$I$60/SUM('Overall recycling rates'!$I$60:$I$62)*('BTX Recycling HC'!S186+'BTX Recycling HC'!S238+'BTX Recycling HC'!S272+'BTX Recycling HC'!S111)</f>
        <v>29.449340896440674</v>
      </c>
      <c r="BA110" s="60">
        <f>BA58+BA64-'Overall recycling rates'!$G$60/SUM('Overall recycling rates'!$G$60:$G$62)*('BTX Recycling HC'!T183+'BTX Recycling HC'!T235+'BTX Recycling HC'!T269+'BTX Recycling HC'!T108)-'Overall recycling rates'!$E$60/SUM('Overall recycling rates'!$E$60:$E$62)*('BTX Recycling HC'!T184+'BTX Recycling HC'!T236+'BTX Recycling HC'!T270+'BTX Recycling HC'!T109)-'Overall recycling rates'!$H$60/SUM('Overall recycling rates'!$H$60:$H$62)*('BTX Recycling HC'!T185+'BTX Recycling HC'!T237+'BTX Recycling HC'!T271+'BTX Recycling HC'!T110)-'Overall recycling rates'!$I$60/SUM('Overall recycling rates'!$I$60:$I$62)*('BTX Recycling HC'!T186+'BTX Recycling HC'!T238+'BTX Recycling HC'!T272+'BTX Recycling HC'!T111)</f>
        <v>29.498758125611143</v>
      </c>
      <c r="BB110" s="60">
        <f>BB58+BB64-'Overall recycling rates'!$G$60/SUM('Overall recycling rates'!$G$60:$G$62)*('BTX Recycling HC'!U183+'BTX Recycling HC'!U235+'BTX Recycling HC'!U269+'BTX Recycling HC'!U108)-'Overall recycling rates'!$E$60/SUM('Overall recycling rates'!$E$60:$E$62)*('BTX Recycling HC'!U184+'BTX Recycling HC'!U236+'BTX Recycling HC'!U270+'BTX Recycling HC'!U109)-'Overall recycling rates'!$H$60/SUM('Overall recycling rates'!$H$60:$H$62)*('BTX Recycling HC'!U185+'BTX Recycling HC'!U237+'BTX Recycling HC'!U271+'BTX Recycling HC'!U110)-'Overall recycling rates'!$I$60/SUM('Overall recycling rates'!$I$60:$I$62)*('BTX Recycling HC'!U186+'BTX Recycling HC'!U238+'BTX Recycling HC'!U272+'BTX Recycling HC'!U111)</f>
        <v>29.547577559281059</v>
      </c>
      <c r="BC110" s="60">
        <f>BC58+BC64-'Overall recycling rates'!$G$60/SUM('Overall recycling rates'!$G$60:$G$62)*('BTX Recycling HC'!V183+'BTX Recycling HC'!V235+'BTX Recycling HC'!V269+'BTX Recycling HC'!V108)-'Overall recycling rates'!$E$60/SUM('Overall recycling rates'!$E$60:$E$62)*('BTX Recycling HC'!V184+'BTX Recycling HC'!V236+'BTX Recycling HC'!V270+'BTX Recycling HC'!V109)-'Overall recycling rates'!$H$60/SUM('Overall recycling rates'!$H$60:$H$62)*('BTX Recycling HC'!V185+'BTX Recycling HC'!V237+'BTX Recycling HC'!V271+'BTX Recycling HC'!V110)-'Overall recycling rates'!$I$60/SUM('Overall recycling rates'!$I$60:$I$62)*('BTX Recycling HC'!V186+'BTX Recycling HC'!V238+'BTX Recycling HC'!V272+'BTX Recycling HC'!V111)</f>
        <v>29.59604283170701</v>
      </c>
      <c r="BD110" s="60">
        <f>BD58+BD64-'Overall recycling rates'!$G$60/SUM('Overall recycling rates'!$G$60:$G$62)*('BTX Recycling HC'!W183+'BTX Recycling HC'!W235+'BTX Recycling HC'!W269+'BTX Recycling HC'!W108)-'Overall recycling rates'!$E$60/SUM('Overall recycling rates'!$E$60:$E$62)*('BTX Recycling HC'!W184+'BTX Recycling HC'!W236+'BTX Recycling HC'!W270+'BTX Recycling HC'!W109)-'Overall recycling rates'!$H$60/SUM('Overall recycling rates'!$H$60:$H$62)*('BTX Recycling HC'!W185+'BTX Recycling HC'!W237+'BTX Recycling HC'!W271+'BTX Recycling HC'!W110)-'Overall recycling rates'!$I$60/SUM('Overall recycling rates'!$I$60:$I$62)*('BTX Recycling HC'!W186+'BTX Recycling HC'!W238+'BTX Recycling HC'!W272+'BTX Recycling HC'!W111)</f>
        <v>29.644426364769554</v>
      </c>
      <c r="BE110" s="60">
        <f>BE58+BE64-'Overall recycling rates'!$G$60/SUM('Overall recycling rates'!$G$60:$G$62)*('BTX Recycling HC'!X183+'BTX Recycling HC'!X235+'BTX Recycling HC'!X269+'BTX Recycling HC'!X108)-'Overall recycling rates'!$E$60/SUM('Overall recycling rates'!$E$60:$E$62)*('BTX Recycling HC'!X184+'BTX Recycling HC'!X236+'BTX Recycling HC'!X270+'BTX Recycling HC'!X109)-'Overall recycling rates'!$H$60/SUM('Overall recycling rates'!$H$60:$H$62)*('BTX Recycling HC'!X185+'BTX Recycling HC'!X237+'BTX Recycling HC'!X271+'BTX Recycling HC'!X110)-'Overall recycling rates'!$I$60/SUM('Overall recycling rates'!$I$60:$I$62)*('BTX Recycling HC'!X186+'BTX Recycling HC'!X238+'BTX Recycling HC'!X272+'BTX Recycling HC'!X111)</f>
        <v>29.087804908792997</v>
      </c>
      <c r="BF110" s="60">
        <f>BF58+BF64-'Overall recycling rates'!$G$60/SUM('Overall recycling rates'!$G$60:$G$62)*('BTX Recycling HC'!Y183+'BTX Recycling HC'!Y235+'BTX Recycling HC'!Y269+'BTX Recycling HC'!Y108)-'Overall recycling rates'!$E$60/SUM('Overall recycling rates'!$E$60:$E$62)*('BTX Recycling HC'!Y184+'BTX Recycling HC'!Y236+'BTX Recycling HC'!Y270+'BTX Recycling HC'!Y109)-'Overall recycling rates'!$H$60/SUM('Overall recycling rates'!$H$60:$H$62)*('BTX Recycling HC'!Y185+'BTX Recycling HC'!Y237+'BTX Recycling HC'!Y271+'BTX Recycling HC'!Y110)-'Overall recycling rates'!$I$60/SUM('Overall recycling rates'!$I$60:$I$62)*('BTX Recycling HC'!Y186+'BTX Recycling HC'!Y238+'BTX Recycling HC'!Y272+'BTX Recycling HC'!Y111)</f>
        <v>28.522716219870922</v>
      </c>
      <c r="BG110" s="60">
        <f>BG58+BG64-'Overall recycling rates'!$G$60/SUM('Overall recycling rates'!$G$60:$G$62)*('BTX Recycling HC'!Z183+'BTX Recycling HC'!Z235+'BTX Recycling HC'!Z269+'BTX Recycling HC'!Z108)-'Overall recycling rates'!$E$60/SUM('Overall recycling rates'!$E$60:$E$62)*('BTX Recycling HC'!Z184+'BTX Recycling HC'!Z236+'BTX Recycling HC'!Z270+'BTX Recycling HC'!Z109)-'Overall recycling rates'!$H$60/SUM('Overall recycling rates'!$H$60:$H$62)*('BTX Recycling HC'!Z185+'BTX Recycling HC'!Z237+'BTX Recycling HC'!Z271+'BTX Recycling HC'!Z110)-'Overall recycling rates'!$I$60/SUM('Overall recycling rates'!$I$60:$I$62)*('BTX Recycling HC'!Z186+'BTX Recycling HC'!Z238+'BTX Recycling HC'!Z272+'BTX Recycling HC'!Z111)</f>
        <v>27.949186337267328</v>
      </c>
      <c r="BH110" s="60">
        <f>BH58+BH64-'Overall recycling rates'!$G$60/SUM('Overall recycling rates'!$G$60:$G$62)*('BTX Recycling HC'!AA183+'BTX Recycling HC'!AA235+'BTX Recycling HC'!AA269+'BTX Recycling HC'!AA108)-'Overall recycling rates'!$E$60/SUM('Overall recycling rates'!$E$60:$E$62)*('BTX Recycling HC'!AA184+'BTX Recycling HC'!AA236+'BTX Recycling HC'!AA270+'BTX Recycling HC'!AA109)-'Overall recycling rates'!$H$60/SUM('Overall recycling rates'!$H$60:$H$62)*('BTX Recycling HC'!AA185+'BTX Recycling HC'!AA237+'BTX Recycling HC'!AA271+'BTX Recycling HC'!AA110)-'Overall recycling rates'!$I$60/SUM('Overall recycling rates'!$I$60:$I$62)*('BTX Recycling HC'!AA186+'BTX Recycling HC'!AA238+'BTX Recycling HC'!AA272+'BTX Recycling HC'!AA111)</f>
        <v>27.367804792175267</v>
      </c>
      <c r="BI110" s="60">
        <f>BI58+BI64-'Overall recycling rates'!$G$60/SUM('Overall recycling rates'!$G$60:$G$62)*('BTX Recycling HC'!AB183+'BTX Recycling HC'!AB235+'BTX Recycling HC'!AB269+'BTX Recycling HC'!AB108)-'Overall recycling rates'!$E$60/SUM('Overall recycling rates'!$E$60:$E$62)*('BTX Recycling HC'!AB184+'BTX Recycling HC'!AB236+'BTX Recycling HC'!AB270+'BTX Recycling HC'!AB109)-'Overall recycling rates'!$H$60/SUM('Overall recycling rates'!$H$60:$H$62)*('BTX Recycling HC'!AB185+'BTX Recycling HC'!AB237+'BTX Recycling HC'!AB271+'BTX Recycling HC'!AB110)-'Overall recycling rates'!$I$60/SUM('Overall recycling rates'!$I$60:$I$62)*('BTX Recycling HC'!AB186+'BTX Recycling HC'!AB238+'BTX Recycling HC'!AB272+'BTX Recycling HC'!AB111)</f>
        <v>26.77896041059871</v>
      </c>
      <c r="BJ110" s="60">
        <f>BJ58+BJ64-'Overall recycling rates'!$G$60/SUM('Overall recycling rates'!$G$60:$G$62)*('BTX Recycling HC'!AC183+'BTX Recycling HC'!AC235+'BTX Recycling HC'!AC269+'BTX Recycling HC'!AC108)-'Overall recycling rates'!$E$60/SUM('Overall recycling rates'!$E$60:$E$62)*('BTX Recycling HC'!AC184+'BTX Recycling HC'!AC236+'BTX Recycling HC'!AC270+'BTX Recycling HC'!AC109)-'Overall recycling rates'!$H$60/SUM('Overall recycling rates'!$H$60:$H$62)*('BTX Recycling HC'!AC185+'BTX Recycling HC'!AC237+'BTX Recycling HC'!AC271+'BTX Recycling HC'!AC110)-'Overall recycling rates'!$I$60/SUM('Overall recycling rates'!$I$60:$I$62)*('BTX Recycling HC'!AC186+'BTX Recycling HC'!AC238+'BTX Recycling HC'!AC272+'BTX Recycling HC'!AC111)</f>
        <v>26.05238440531215</v>
      </c>
      <c r="BK110" s="60">
        <f>BK58+BK64-'Overall recycling rates'!$G$60/SUM('Overall recycling rates'!$G$60:$G$62)*('BTX Recycling HC'!AD183+'BTX Recycling HC'!AD235+'BTX Recycling HC'!AD269+'BTX Recycling HC'!AD108)-'Overall recycling rates'!$E$60/SUM('Overall recycling rates'!$E$60:$E$62)*('BTX Recycling HC'!AD184+'BTX Recycling HC'!AD236+'BTX Recycling HC'!AD270+'BTX Recycling HC'!AD109)-'Overall recycling rates'!$H$60/SUM('Overall recycling rates'!$H$60:$H$62)*('BTX Recycling HC'!AD185+'BTX Recycling HC'!AD237+'BTX Recycling HC'!AD271+'BTX Recycling HC'!AD110)-'Overall recycling rates'!$I$60/SUM('Overall recycling rates'!$I$60:$I$62)*('BTX Recycling HC'!AD186+'BTX Recycling HC'!AD238+'BTX Recycling HC'!AD272+'BTX Recycling HC'!AD111)</f>
        <v>25.31840842458854</v>
      </c>
      <c r="BL110" s="60">
        <f>BL58+BL64-'Overall recycling rates'!$G$60/SUM('Overall recycling rates'!$G$60:$G$62)*('BTX Recycling HC'!AE183+'BTX Recycling HC'!AE235+'BTX Recycling HC'!AE269+'BTX Recycling HC'!AE108)-'Overall recycling rates'!$E$60/SUM('Overall recycling rates'!$E$60:$E$62)*('BTX Recycling HC'!AE184+'BTX Recycling HC'!AE236+'BTX Recycling HC'!AE270+'BTX Recycling HC'!AE109)-'Overall recycling rates'!$H$60/SUM('Overall recycling rates'!$H$60:$H$62)*('BTX Recycling HC'!AE185+'BTX Recycling HC'!AE237+'BTX Recycling HC'!AE271+'BTX Recycling HC'!AE110)-'Overall recycling rates'!$I$60/SUM('Overall recycling rates'!$I$60:$I$62)*('BTX Recycling HC'!AE186+'BTX Recycling HC'!AE238+'BTX Recycling HC'!AE272+'BTX Recycling HC'!AE111)</f>
        <v>24.577580819382362</v>
      </c>
      <c r="BM110" s="60">
        <f>BM58+BM64-'Overall recycling rates'!$G$60/SUM('Overall recycling rates'!$G$60:$G$62)*('BTX Recycling HC'!AF183+'BTX Recycling HC'!AF235+'BTX Recycling HC'!AF269+'BTX Recycling HC'!AF108)-'Overall recycling rates'!$E$60/SUM('Overall recycling rates'!$E$60:$E$62)*('BTX Recycling HC'!AF184+'BTX Recycling HC'!AF236+'BTX Recycling HC'!AF270+'BTX Recycling HC'!AF109)-'Overall recycling rates'!$H$60/SUM('Overall recycling rates'!$H$60:$H$62)*('BTX Recycling HC'!AF185+'BTX Recycling HC'!AF237+'BTX Recycling HC'!AF271+'BTX Recycling HC'!AF110)-'Overall recycling rates'!$I$60/SUM('Overall recycling rates'!$I$60:$I$62)*('BTX Recycling HC'!AF186+'BTX Recycling HC'!AF238+'BTX Recycling HC'!AF272+'BTX Recycling HC'!AF111)</f>
        <v>23.830518950800716</v>
      </c>
      <c r="BN110" s="60">
        <f>BN58+BN64-'Overall recycling rates'!$G$60/SUM('Overall recycling rates'!$G$60:$G$62)*('BTX Recycling HC'!AG183+'BTX Recycling HC'!AG235+'BTX Recycling HC'!AG269+'BTX Recycling HC'!AG108)-'Overall recycling rates'!$E$60/SUM('Overall recycling rates'!$E$60:$E$62)*('BTX Recycling HC'!AG184+'BTX Recycling HC'!AG236+'BTX Recycling HC'!AG270+'BTX Recycling HC'!AG109)-'Overall recycling rates'!$H$60/SUM('Overall recycling rates'!$H$60:$H$62)*('BTX Recycling HC'!AG185+'BTX Recycling HC'!AG237+'BTX Recycling HC'!AG271+'BTX Recycling HC'!AG110)-'Overall recycling rates'!$I$60/SUM('Overall recycling rates'!$I$60:$I$62)*('BTX Recycling HC'!AG186+'BTX Recycling HC'!AG238+'BTX Recycling HC'!AG272+'BTX Recycling HC'!AG111)</f>
        <v>23.077916350505795</v>
      </c>
    </row>
    <row r="111" spans="1:66" outlineLevel="1">
      <c r="A111" s="753"/>
      <c r="B111" s="1" t="s">
        <v>8</v>
      </c>
      <c r="C111" s="54" t="s">
        <v>153</v>
      </c>
      <c r="D111" s="44">
        <f>D59+D65-'Overall recycling rates'!$G$61/SUM('Overall recycling rates'!$G$60:$G$62)*('BTX Recycling HC'!C183+'BTX Recycling HC'!C235+'BTX Recycling HC'!C269+'BTX Recycling HC'!C108)-'Overall recycling rates'!$E$61/SUM('Overall recycling rates'!$E$60:$E$62)*('BTX Recycling HC'!C184+'BTX Recycling HC'!C236+'BTX Recycling HC'!C270+'BTX Recycling HC'!C109)-'Overall recycling rates'!$H$61/SUM('Overall recycling rates'!$H$60:$H$62)*('BTX Recycling HC'!C185+'BTX Recycling HC'!C237+'BTX Recycling HC'!C271+'BTX Recycling HC'!C110)-'Overall recycling rates'!$I$61/SUM('Overall recycling rates'!$I$60:$I$62)*('BTX Recycling HC'!C186+'BTX Recycling HC'!C238+'BTX Recycling HC'!C272+'BTX Recycling HC'!C111)</f>
        <v>10.725172954523309</v>
      </c>
      <c r="E111" s="44">
        <f>E59+E65-'Overall recycling rates'!$G$61/SUM('Overall recycling rates'!$G$60:$G$62)*('BTX Recycling HC'!D183+'BTX Recycling HC'!D235+'BTX Recycling HC'!D269+'BTX Recycling HC'!D108)-'Overall recycling rates'!$E$61/SUM('Overall recycling rates'!$E$60:$E$62)*('BTX Recycling HC'!D184+'BTX Recycling HC'!D236+'BTX Recycling HC'!D270+'BTX Recycling HC'!D109)-'Overall recycling rates'!$H$61/SUM('Overall recycling rates'!$H$60:$H$62)*('BTX Recycling HC'!D185+'BTX Recycling HC'!D237+'BTX Recycling HC'!D271+'BTX Recycling HC'!D110)-'Overall recycling rates'!$I$61/SUM('Overall recycling rates'!$I$60:$I$62)*('BTX Recycling HC'!D186+'BTX Recycling HC'!D238+'BTX Recycling HC'!D272+'BTX Recycling HC'!D111)</f>
        <v>11.360693633473376</v>
      </c>
      <c r="F111" s="44">
        <f>F59+F65-'Overall recycling rates'!$G$61/SUM('Overall recycling rates'!$G$60:$G$62)*('BTX Recycling HC'!E183+'BTX Recycling HC'!E235+'BTX Recycling HC'!E269+'BTX Recycling HC'!E108)-'Overall recycling rates'!$E$61/SUM('Overall recycling rates'!$E$60:$E$62)*('BTX Recycling HC'!E184+'BTX Recycling HC'!E236+'BTX Recycling HC'!E270+'BTX Recycling HC'!E109)-'Overall recycling rates'!$H$61/SUM('Overall recycling rates'!$H$60:$H$62)*('BTX Recycling HC'!E185+'BTX Recycling HC'!E237+'BTX Recycling HC'!E271+'BTX Recycling HC'!E110)-'Overall recycling rates'!$I$61/SUM('Overall recycling rates'!$I$60:$I$62)*('BTX Recycling HC'!E186+'BTX Recycling HC'!E238+'BTX Recycling HC'!E272+'BTX Recycling HC'!E111)</f>
        <v>12.011940015717633</v>
      </c>
      <c r="G111" s="44">
        <f>G59+G65-'Overall recycling rates'!$G$61/SUM('Overall recycling rates'!$G$60:$G$62)*('BTX Recycling HC'!F183+'BTX Recycling HC'!F235+'BTX Recycling HC'!F269+'BTX Recycling HC'!F108)-'Overall recycling rates'!$E$61/SUM('Overall recycling rates'!$E$60:$E$62)*('BTX Recycling HC'!F184+'BTX Recycling HC'!F236+'BTX Recycling HC'!F270+'BTX Recycling HC'!F109)-'Overall recycling rates'!$H$61/SUM('Overall recycling rates'!$H$60:$H$62)*('BTX Recycling HC'!F185+'BTX Recycling HC'!F237+'BTX Recycling HC'!F271+'BTX Recycling HC'!F110)-'Overall recycling rates'!$I$61/SUM('Overall recycling rates'!$I$60:$I$62)*('BTX Recycling HC'!F186+'BTX Recycling HC'!F238+'BTX Recycling HC'!F272+'BTX Recycling HC'!F111)</f>
        <v>12.683509610636127</v>
      </c>
      <c r="H111" s="44">
        <f>H59+H65-'Overall recycling rates'!$G$61/SUM('Overall recycling rates'!$G$60:$G$62)*('BTX Recycling HC'!G183+'BTX Recycling HC'!G235+'BTX Recycling HC'!G269+'BTX Recycling HC'!G108)-'Overall recycling rates'!$E$61/SUM('Overall recycling rates'!$E$60:$E$62)*('BTX Recycling HC'!G184+'BTX Recycling HC'!G236+'BTX Recycling HC'!G270+'BTX Recycling HC'!G109)-'Overall recycling rates'!$H$61/SUM('Overall recycling rates'!$H$60:$H$62)*('BTX Recycling HC'!G185+'BTX Recycling HC'!G237+'BTX Recycling HC'!G271+'BTX Recycling HC'!G110)-'Overall recycling rates'!$I$61/SUM('Overall recycling rates'!$I$60:$I$62)*('BTX Recycling HC'!G186+'BTX Recycling HC'!G238+'BTX Recycling HC'!G272+'BTX Recycling HC'!G111)</f>
        <v>13.37608764718744</v>
      </c>
      <c r="I111" s="44">
        <f>I59+I65-'Overall recycling rates'!$G$61/SUM('Overall recycling rates'!$G$60:$G$62)*('BTX Recycling HC'!H183+'BTX Recycling HC'!H235+'BTX Recycling HC'!H269+'BTX Recycling HC'!H108)-'Overall recycling rates'!$E$61/SUM('Overall recycling rates'!$E$60:$E$62)*('BTX Recycling HC'!H184+'BTX Recycling HC'!H236+'BTX Recycling HC'!H270+'BTX Recycling HC'!H109)-'Overall recycling rates'!$H$61/SUM('Overall recycling rates'!$H$60:$H$62)*('BTX Recycling HC'!H185+'BTX Recycling HC'!H237+'BTX Recycling HC'!H271+'BTX Recycling HC'!H110)-'Overall recycling rates'!$I$61/SUM('Overall recycling rates'!$I$60:$I$62)*('BTX Recycling HC'!H186+'BTX Recycling HC'!H238+'BTX Recycling HC'!H272+'BTX Recycling HC'!H111)</f>
        <v>14.090384232589308</v>
      </c>
      <c r="J111" s="44">
        <f>J59+J65-'Overall recycling rates'!$G$61/SUM('Overall recycling rates'!$G$60:$G$62)*('BTX Recycling HC'!I183+'BTX Recycling HC'!I235+'BTX Recycling HC'!I269+'BTX Recycling HC'!I108)-'Overall recycling rates'!$E$61/SUM('Overall recycling rates'!$E$60:$E$62)*('BTX Recycling HC'!I184+'BTX Recycling HC'!I236+'BTX Recycling HC'!I270+'BTX Recycling HC'!I109)-'Overall recycling rates'!$H$61/SUM('Overall recycling rates'!$H$60:$H$62)*('BTX Recycling HC'!I185+'BTX Recycling HC'!I237+'BTX Recycling HC'!I271+'BTX Recycling HC'!I110)-'Overall recycling rates'!$I$61/SUM('Overall recycling rates'!$I$60:$I$62)*('BTX Recycling HC'!I186+'BTX Recycling HC'!I238+'BTX Recycling HC'!I272+'BTX Recycling HC'!I111)</f>
        <v>14.457974858180739</v>
      </c>
      <c r="K111" s="44">
        <f>K59+K65-'Overall recycling rates'!$G$61/SUM('Overall recycling rates'!$G$60:$G$62)*('BTX Recycling HC'!J183+'BTX Recycling HC'!J235+'BTX Recycling HC'!J269+'BTX Recycling HC'!J108)-'Overall recycling rates'!$E$61/SUM('Overall recycling rates'!$E$60:$E$62)*('BTX Recycling HC'!J184+'BTX Recycling HC'!J236+'BTX Recycling HC'!J270+'BTX Recycling HC'!J109)-'Overall recycling rates'!$H$61/SUM('Overall recycling rates'!$H$60:$H$62)*('BTX Recycling HC'!J185+'BTX Recycling HC'!J237+'BTX Recycling HC'!J271+'BTX Recycling HC'!J110)-'Overall recycling rates'!$I$61/SUM('Overall recycling rates'!$I$60:$I$62)*('BTX Recycling HC'!J186+'BTX Recycling HC'!J238+'BTX Recycling HC'!J272+'BTX Recycling HC'!J111)</f>
        <v>14.832722446210758</v>
      </c>
      <c r="L111" s="44">
        <f>L59+L65-'Overall recycling rates'!$G$61/SUM('Overall recycling rates'!$G$60:$G$62)*('BTX Recycling HC'!K183+'BTX Recycling HC'!K235+'BTX Recycling HC'!K269+'BTX Recycling HC'!K108)-'Overall recycling rates'!$E$61/SUM('Overall recycling rates'!$E$60:$E$62)*('BTX Recycling HC'!K184+'BTX Recycling HC'!K236+'BTX Recycling HC'!K270+'BTX Recycling HC'!K109)-'Overall recycling rates'!$H$61/SUM('Overall recycling rates'!$H$60:$H$62)*('BTX Recycling HC'!K185+'BTX Recycling HC'!K237+'BTX Recycling HC'!K271+'BTX Recycling HC'!K110)-'Overall recycling rates'!$I$61/SUM('Overall recycling rates'!$I$60:$I$62)*('BTX Recycling HC'!K186+'BTX Recycling HC'!K238+'BTX Recycling HC'!K272+'BTX Recycling HC'!K111)</f>
        <v>15.214768487984582</v>
      </c>
      <c r="M111" s="44">
        <f>M59+M65-'Overall recycling rates'!$G$61/SUM('Overall recycling rates'!$G$60:$G$62)*('BTX Recycling HC'!L183+'BTX Recycling HC'!L235+'BTX Recycling HC'!L269+'BTX Recycling HC'!L108)-'Overall recycling rates'!$E$61/SUM('Overall recycling rates'!$E$60:$E$62)*('BTX Recycling HC'!L184+'BTX Recycling HC'!L236+'BTX Recycling HC'!L270+'BTX Recycling HC'!L109)-'Overall recycling rates'!$H$61/SUM('Overall recycling rates'!$H$60:$H$62)*('BTX Recycling HC'!L185+'BTX Recycling HC'!L237+'BTX Recycling HC'!L271+'BTX Recycling HC'!L110)-'Overall recycling rates'!$I$61/SUM('Overall recycling rates'!$I$60:$I$62)*('BTX Recycling HC'!L186+'BTX Recycling HC'!L238+'BTX Recycling HC'!L272+'BTX Recycling HC'!L111)</f>
        <v>15.604258794714342</v>
      </c>
      <c r="N111" s="44">
        <f>N59+N65-'Overall recycling rates'!$G$61/SUM('Overall recycling rates'!$G$60:$G$62)*('BTX Recycling HC'!M183+'BTX Recycling HC'!M235+'BTX Recycling HC'!M269+'BTX Recycling HC'!M108)-'Overall recycling rates'!$E$61/SUM('Overall recycling rates'!$E$60:$E$62)*('BTX Recycling HC'!M184+'BTX Recycling HC'!M236+'BTX Recycling HC'!M270+'BTX Recycling HC'!M109)-'Overall recycling rates'!$H$61/SUM('Overall recycling rates'!$H$60:$H$62)*('BTX Recycling HC'!M185+'BTX Recycling HC'!M237+'BTX Recycling HC'!M271+'BTX Recycling HC'!M110)-'Overall recycling rates'!$I$61/SUM('Overall recycling rates'!$I$60:$I$62)*('BTX Recycling HC'!M186+'BTX Recycling HC'!M238+'BTX Recycling HC'!M272+'BTX Recycling HC'!M111)</f>
        <v>16.001343644286095</v>
      </c>
      <c r="O111" s="44">
        <f>O59+O65-'Overall recycling rates'!$G$61/SUM('Overall recycling rates'!$G$60:$G$62)*('BTX Recycling HC'!N183+'BTX Recycling HC'!N235+'BTX Recycling HC'!N269+'BTX Recycling HC'!N108)-'Overall recycling rates'!$E$61/SUM('Overall recycling rates'!$E$60:$E$62)*('BTX Recycling HC'!N184+'BTX Recycling HC'!N236+'BTX Recycling HC'!N270+'BTX Recycling HC'!N109)-'Overall recycling rates'!$H$61/SUM('Overall recycling rates'!$H$60:$H$62)*('BTX Recycling HC'!N185+'BTX Recycling HC'!N237+'BTX Recycling HC'!N271+'BTX Recycling HC'!N110)-'Overall recycling rates'!$I$61/SUM('Overall recycling rates'!$I$60:$I$62)*('BTX Recycling HC'!N186+'BTX Recycling HC'!N238+'BTX Recycling HC'!N272+'BTX Recycling HC'!N111)</f>
        <v>16.065943449149291</v>
      </c>
      <c r="P111" s="44">
        <f>P59+P65-'Overall recycling rates'!$G$61/SUM('Overall recycling rates'!$G$60:$G$62)*('BTX Recycling HC'!O183+'BTX Recycling HC'!O235+'BTX Recycling HC'!O269+'BTX Recycling HC'!O108)-'Overall recycling rates'!$E$61/SUM('Overall recycling rates'!$E$60:$E$62)*('BTX Recycling HC'!O184+'BTX Recycling HC'!O236+'BTX Recycling HC'!O270+'BTX Recycling HC'!O109)-'Overall recycling rates'!$H$61/SUM('Overall recycling rates'!$H$60:$H$62)*('BTX Recycling HC'!O185+'BTX Recycling HC'!O237+'BTX Recycling HC'!O271+'BTX Recycling HC'!O110)-'Overall recycling rates'!$I$61/SUM('Overall recycling rates'!$I$60:$I$62)*('BTX Recycling HC'!O186+'BTX Recycling HC'!O238+'BTX Recycling HC'!O272+'BTX Recycling HC'!O111)</f>
        <v>16.130155573553946</v>
      </c>
      <c r="Q111" s="44">
        <f>Q59+Q65-'Overall recycling rates'!$G$61/SUM('Overall recycling rates'!$G$60:$G$62)*('BTX Recycling HC'!P183+'BTX Recycling HC'!P235+'BTX Recycling HC'!P269+'BTX Recycling HC'!P108)-'Overall recycling rates'!$E$61/SUM('Overall recycling rates'!$E$60:$E$62)*('BTX Recycling HC'!P184+'BTX Recycling HC'!P236+'BTX Recycling HC'!P270+'BTX Recycling HC'!P109)-'Overall recycling rates'!$H$61/SUM('Overall recycling rates'!$H$60:$H$62)*('BTX Recycling HC'!P185+'BTX Recycling HC'!P237+'BTX Recycling HC'!P271+'BTX Recycling HC'!P110)-'Overall recycling rates'!$I$61/SUM('Overall recycling rates'!$I$60:$I$62)*('BTX Recycling HC'!P186+'BTX Recycling HC'!P238+'BTX Recycling HC'!P272+'BTX Recycling HC'!P111)</f>
        <v>16.194172430779695</v>
      </c>
      <c r="R111" s="44">
        <f>R59+R65-'Overall recycling rates'!$G$61/SUM('Overall recycling rates'!$G$60:$G$62)*('BTX Recycling HC'!Q183+'BTX Recycling HC'!Q235+'BTX Recycling HC'!Q269+'BTX Recycling HC'!Q108)-'Overall recycling rates'!$E$61/SUM('Overall recycling rates'!$E$60:$E$62)*('BTX Recycling HC'!Q184+'BTX Recycling HC'!Q236+'BTX Recycling HC'!Q270+'BTX Recycling HC'!Q109)-'Overall recycling rates'!$H$61/SUM('Overall recycling rates'!$H$60:$H$62)*('BTX Recycling HC'!Q185+'BTX Recycling HC'!Q237+'BTX Recycling HC'!Q271+'BTX Recycling HC'!Q110)-'Overall recycling rates'!$I$61/SUM('Overall recycling rates'!$I$60:$I$62)*('BTX Recycling HC'!Q186+'BTX Recycling HC'!Q238+'BTX Recycling HC'!Q272+'BTX Recycling HC'!Q111)</f>
        <v>16.258259650057603</v>
      </c>
      <c r="S111" s="44">
        <f>S59+S65-'Overall recycling rates'!$G$61/SUM('Overall recycling rates'!$G$60:$G$62)*('BTX Recycling HC'!R183+'BTX Recycling HC'!R235+'BTX Recycling HC'!R269+'BTX Recycling HC'!R108)-'Overall recycling rates'!$E$61/SUM('Overall recycling rates'!$E$60:$E$62)*('BTX Recycling HC'!R184+'BTX Recycling HC'!R236+'BTX Recycling HC'!R270+'BTX Recycling HC'!R109)-'Overall recycling rates'!$H$61/SUM('Overall recycling rates'!$H$60:$H$62)*('BTX Recycling HC'!R185+'BTX Recycling HC'!R237+'BTX Recycling HC'!R271+'BTX Recycling HC'!R110)-'Overall recycling rates'!$I$61/SUM('Overall recycling rates'!$I$60:$I$62)*('BTX Recycling HC'!R186+'BTX Recycling HC'!R238+'BTX Recycling HC'!R272+'BTX Recycling HC'!R111)</f>
        <v>16.322671564897426</v>
      </c>
      <c r="T111" s="44">
        <f>T59+T65-'Overall recycling rates'!$G$61/SUM('Overall recycling rates'!$G$60:$G$62)*('BTX Recycling HC'!S183+'BTX Recycling HC'!S235+'BTX Recycling HC'!S269+'BTX Recycling HC'!S108)-'Overall recycling rates'!$E$61/SUM('Overall recycling rates'!$E$60:$E$62)*('BTX Recycling HC'!S184+'BTX Recycling HC'!S236+'BTX Recycling HC'!S270+'BTX Recycling HC'!S109)-'Overall recycling rates'!$H$61/SUM('Overall recycling rates'!$H$60:$H$62)*('BTX Recycling HC'!S185+'BTX Recycling HC'!S237+'BTX Recycling HC'!S271+'BTX Recycling HC'!S110)-'Overall recycling rates'!$I$61/SUM('Overall recycling rates'!$I$60:$I$62)*('BTX Recycling HC'!S186+'BTX Recycling HC'!S238+'BTX Recycling HC'!S272+'BTX Recycling HC'!S111)</f>
        <v>16.363282169717625</v>
      </c>
      <c r="U111" s="44">
        <f>U59+U65-'Overall recycling rates'!$G$61/SUM('Overall recycling rates'!$G$60:$G$62)*('BTX Recycling HC'!T183+'BTX Recycling HC'!T235+'BTX Recycling HC'!T269+'BTX Recycling HC'!T108)-'Overall recycling rates'!$E$61/SUM('Overall recycling rates'!$E$60:$E$62)*('BTX Recycling HC'!T184+'BTX Recycling HC'!T236+'BTX Recycling HC'!T270+'BTX Recycling HC'!T109)-'Overall recycling rates'!$H$61/SUM('Overall recycling rates'!$H$60:$H$62)*('BTX Recycling HC'!T185+'BTX Recycling HC'!T237+'BTX Recycling HC'!T271+'BTX Recycling HC'!T110)-'Overall recycling rates'!$I$61/SUM('Overall recycling rates'!$I$60:$I$62)*('BTX Recycling HC'!T186+'BTX Recycling HC'!T238+'BTX Recycling HC'!T272+'BTX Recycling HC'!T111)</f>
        <v>16.402508427036516</v>
      </c>
      <c r="V111" s="44">
        <f>V59+V65-'Overall recycling rates'!$G$61/SUM('Overall recycling rates'!$G$60:$G$62)*('BTX Recycling HC'!U183+'BTX Recycling HC'!U235+'BTX Recycling HC'!U269+'BTX Recycling HC'!U108)-'Overall recycling rates'!$E$61/SUM('Overall recycling rates'!$E$60:$E$62)*('BTX Recycling HC'!U184+'BTX Recycling HC'!U236+'BTX Recycling HC'!U270+'BTX Recycling HC'!U109)-'Overall recycling rates'!$H$61/SUM('Overall recycling rates'!$H$60:$H$62)*('BTX Recycling HC'!U185+'BTX Recycling HC'!U237+'BTX Recycling HC'!U271+'BTX Recycling HC'!U110)-'Overall recycling rates'!$I$61/SUM('Overall recycling rates'!$I$60:$I$62)*('BTX Recycling HC'!U186+'BTX Recycling HC'!U238+'BTX Recycling HC'!U272+'BTX Recycling HC'!U111)</f>
        <v>16.440324797672865</v>
      </c>
      <c r="W111" s="44">
        <f>W59+W65-'Overall recycling rates'!$G$61/SUM('Overall recycling rates'!$G$60:$G$62)*('BTX Recycling HC'!V183+'BTX Recycling HC'!V235+'BTX Recycling HC'!V269+'BTX Recycling HC'!V108)-'Overall recycling rates'!$E$61/SUM('Overall recycling rates'!$E$60:$E$62)*('BTX Recycling HC'!V184+'BTX Recycling HC'!V236+'BTX Recycling HC'!V270+'BTX Recycling HC'!V109)-'Overall recycling rates'!$H$61/SUM('Overall recycling rates'!$H$60:$H$62)*('BTX Recycling HC'!V185+'BTX Recycling HC'!V237+'BTX Recycling HC'!V271+'BTX Recycling HC'!V110)-'Overall recycling rates'!$I$61/SUM('Overall recycling rates'!$I$60:$I$62)*('BTX Recycling HC'!V186+'BTX Recycling HC'!V238+'BTX Recycling HC'!V272+'BTX Recycling HC'!V111)</f>
        <v>16.476706511534726</v>
      </c>
      <c r="X111" s="44">
        <f>X59+X65-'Overall recycling rates'!$G$61/SUM('Overall recycling rates'!$G$60:$G$62)*('BTX Recycling HC'!W183+'BTX Recycling HC'!W235+'BTX Recycling HC'!W269+'BTX Recycling HC'!W108)-'Overall recycling rates'!$E$61/SUM('Overall recycling rates'!$E$60:$E$62)*('BTX Recycling HC'!W184+'BTX Recycling HC'!W236+'BTX Recycling HC'!W270+'BTX Recycling HC'!W109)-'Overall recycling rates'!$H$61/SUM('Overall recycling rates'!$H$60:$H$62)*('BTX Recycling HC'!W185+'BTX Recycling HC'!W237+'BTX Recycling HC'!W271+'BTX Recycling HC'!W110)-'Overall recycling rates'!$I$61/SUM('Overall recycling rates'!$I$60:$I$62)*('BTX Recycling HC'!W186+'BTX Recycling HC'!W238+'BTX Recycling HC'!W272+'BTX Recycling HC'!W111)</f>
        <v>16.511629617521358</v>
      </c>
      <c r="Y111" s="44">
        <f>Y59+Y65-'Overall recycling rates'!$G$61/SUM('Overall recycling rates'!$G$60:$G$62)*('BTX Recycling HC'!X183+'BTX Recycling HC'!X235+'BTX Recycling HC'!X269+'BTX Recycling HC'!X108)-'Overall recycling rates'!$E$61/SUM('Overall recycling rates'!$E$60:$E$62)*('BTX Recycling HC'!X184+'BTX Recycling HC'!X236+'BTX Recycling HC'!X270+'BTX Recycling HC'!X109)-'Overall recycling rates'!$H$61/SUM('Overall recycling rates'!$H$60:$H$62)*('BTX Recycling HC'!X185+'BTX Recycling HC'!X237+'BTX Recycling HC'!X271+'BTX Recycling HC'!X110)-'Overall recycling rates'!$I$61/SUM('Overall recycling rates'!$I$60:$I$62)*('BTX Recycling HC'!X186+'BTX Recycling HC'!X238+'BTX Recycling HC'!X272+'BTX Recycling HC'!X111)</f>
        <v>16.225972783370349</v>
      </c>
      <c r="Z111" s="44">
        <f>Z59+Z65-'Overall recycling rates'!$G$61/SUM('Overall recycling rates'!$G$60:$G$62)*('BTX Recycling HC'!Y183+'BTX Recycling HC'!Y235+'BTX Recycling HC'!Y269+'BTX Recycling HC'!Y108)-'Overall recycling rates'!$E$61/SUM('Overall recycling rates'!$E$60:$E$62)*('BTX Recycling HC'!Y184+'BTX Recycling HC'!Y236+'BTX Recycling HC'!Y270+'BTX Recycling HC'!Y109)-'Overall recycling rates'!$H$61/SUM('Overall recycling rates'!$H$60:$H$62)*('BTX Recycling HC'!Y185+'BTX Recycling HC'!Y237+'BTX Recycling HC'!Y271+'BTX Recycling HC'!Y110)-'Overall recycling rates'!$I$61/SUM('Overall recycling rates'!$I$60:$I$62)*('BTX Recycling HC'!Y186+'BTX Recycling HC'!Y238+'BTX Recycling HC'!Y272+'BTX Recycling HC'!Y111)</f>
        <v>15.934028916492151</v>
      </c>
      <c r="AA111" s="44">
        <f>AA59+AA65-'Overall recycling rates'!$G$61/SUM('Overall recycling rates'!$G$60:$G$62)*('BTX Recycling HC'!Z183+'BTX Recycling HC'!Z235+'BTX Recycling HC'!Z269+'BTX Recycling HC'!Z108)-'Overall recycling rates'!$E$61/SUM('Overall recycling rates'!$E$60:$E$62)*('BTX Recycling HC'!Z184+'BTX Recycling HC'!Z236+'BTX Recycling HC'!Z270+'BTX Recycling HC'!Z109)-'Overall recycling rates'!$H$61/SUM('Overall recycling rates'!$H$60:$H$62)*('BTX Recycling HC'!Z185+'BTX Recycling HC'!Z237+'BTX Recycling HC'!Z271+'BTX Recycling HC'!Z110)-'Overall recycling rates'!$I$61/SUM('Overall recycling rates'!$I$60:$I$62)*('BTX Recycling HC'!Z186+'BTX Recycling HC'!Z238+'BTX Recycling HC'!Z272+'BTX Recycling HC'!Z111)</f>
        <v>15.635622669458447</v>
      </c>
      <c r="AB111" s="44">
        <f>AB59+AB65-'Overall recycling rates'!$G$61/SUM('Overall recycling rates'!$G$60:$G$62)*('BTX Recycling HC'!AA183+'BTX Recycling HC'!AA235+'BTX Recycling HC'!AA269+'BTX Recycling HC'!AA108)-'Overall recycling rates'!$E$61/SUM('Overall recycling rates'!$E$60:$E$62)*('BTX Recycling HC'!AA184+'BTX Recycling HC'!AA236+'BTX Recycling HC'!AA270+'BTX Recycling HC'!AA109)-'Overall recycling rates'!$H$61/SUM('Overall recycling rates'!$H$60:$H$62)*('BTX Recycling HC'!AA185+'BTX Recycling HC'!AA237+'BTX Recycling HC'!AA271+'BTX Recycling HC'!AA110)-'Overall recycling rates'!$I$61/SUM('Overall recycling rates'!$I$60:$I$62)*('BTX Recycling HC'!AA186+'BTX Recycling HC'!AA238+'BTX Recycling HC'!AA272+'BTX Recycling HC'!AA111)</f>
        <v>15.330769312700571</v>
      </c>
      <c r="AC111" s="44">
        <f>AC59+AC65-'Overall recycling rates'!$G$61/SUM('Overall recycling rates'!$G$60:$G$62)*('BTX Recycling HC'!AB183+'BTX Recycling HC'!AB235+'BTX Recycling HC'!AB269+'BTX Recycling HC'!AB108)-'Overall recycling rates'!$E$61/SUM('Overall recycling rates'!$E$60:$E$62)*('BTX Recycling HC'!AB184+'BTX Recycling HC'!AB236+'BTX Recycling HC'!AB270+'BTX Recycling HC'!AB109)-'Overall recycling rates'!$H$61/SUM('Overall recycling rates'!$H$60:$H$62)*('BTX Recycling HC'!AB185+'BTX Recycling HC'!AB237+'BTX Recycling HC'!AB271+'BTX Recycling HC'!AB110)-'Overall recycling rates'!$I$61/SUM('Overall recycling rates'!$I$60:$I$62)*('BTX Recycling HC'!AB186+'BTX Recycling HC'!AB238+'BTX Recycling HC'!AB272+'BTX Recycling HC'!AB111)</f>
        <v>15.019397807628319</v>
      </c>
      <c r="AD111" s="44">
        <f>AD59+AD65-'Overall recycling rates'!$G$61/SUM('Overall recycling rates'!$G$60:$G$62)*('BTX Recycling HC'!AC183+'BTX Recycling HC'!AC235+'BTX Recycling HC'!AC269+'BTX Recycling HC'!AC108)-'Overall recycling rates'!$E$61/SUM('Overall recycling rates'!$E$60:$E$62)*('BTX Recycling HC'!AC184+'BTX Recycling HC'!AC236+'BTX Recycling HC'!AC270+'BTX Recycling HC'!AC109)-'Overall recycling rates'!$H$61/SUM('Overall recycling rates'!$H$60:$H$62)*('BTX Recycling HC'!AC185+'BTX Recycling HC'!AC237+'BTX Recycling HC'!AC271+'BTX Recycling HC'!AC110)-'Overall recycling rates'!$I$61/SUM('Overall recycling rates'!$I$60:$I$62)*('BTX Recycling HC'!AC186+'BTX Recycling HC'!AC238+'BTX Recycling HC'!AC272+'BTX Recycling HC'!AC111)</f>
        <v>14.629551430217472</v>
      </c>
      <c r="AE111" s="44">
        <f>AE59+AE65-'Overall recycling rates'!$G$61/SUM('Overall recycling rates'!$G$60:$G$62)*('BTX Recycling HC'!AD183+'BTX Recycling HC'!AD235+'BTX Recycling HC'!AD269+'BTX Recycling HC'!AD108)-'Overall recycling rates'!$E$61/SUM('Overall recycling rates'!$E$60:$E$62)*('BTX Recycling HC'!AD184+'BTX Recycling HC'!AD236+'BTX Recycling HC'!AD270+'BTX Recycling HC'!AD109)-'Overall recycling rates'!$H$61/SUM('Overall recycling rates'!$H$60:$H$62)*('BTX Recycling HC'!AD185+'BTX Recycling HC'!AD237+'BTX Recycling HC'!AD271+'BTX Recycling HC'!AD110)-'Overall recycling rates'!$I$61/SUM('Overall recycling rates'!$I$60:$I$62)*('BTX Recycling HC'!AD186+'BTX Recycling HC'!AD238+'BTX Recycling HC'!AD272+'BTX Recycling HC'!AD111)</f>
        <v>14.232576965929557</v>
      </c>
      <c r="AF111" s="44">
        <f>AF59+AF65-'Overall recycling rates'!$G$61/SUM('Overall recycling rates'!$G$60:$G$62)*('BTX Recycling HC'!AE183+'BTX Recycling HC'!AE235+'BTX Recycling HC'!AE269+'BTX Recycling HC'!AE108)-'Overall recycling rates'!$E$61/SUM('Overall recycling rates'!$E$60:$E$62)*('BTX Recycling HC'!AE184+'BTX Recycling HC'!AE236+'BTX Recycling HC'!AE270+'BTX Recycling HC'!AE109)-'Overall recycling rates'!$H$61/SUM('Overall recycling rates'!$H$60:$H$62)*('BTX Recycling HC'!AE185+'BTX Recycling HC'!AE237+'BTX Recycling HC'!AE271+'BTX Recycling HC'!AE110)-'Overall recycling rates'!$I$61/SUM('Overall recycling rates'!$I$60:$I$62)*('BTX Recycling HC'!AE186+'BTX Recycling HC'!AE238+'BTX Recycling HC'!AE272+'BTX Recycling HC'!AE111)</f>
        <v>13.828403397672986</v>
      </c>
      <c r="AG111" s="44">
        <f>AG59+AG65-'Overall recycling rates'!$G$61/SUM('Overall recycling rates'!$G$60:$G$62)*('BTX Recycling HC'!AF183+'BTX Recycling HC'!AF235+'BTX Recycling HC'!AF269+'BTX Recycling HC'!AF108)-'Overall recycling rates'!$E$61/SUM('Overall recycling rates'!$E$60:$E$62)*('BTX Recycling HC'!AF184+'BTX Recycling HC'!AF236+'BTX Recycling HC'!AF270+'BTX Recycling HC'!AF109)-'Overall recycling rates'!$H$61/SUM('Overall recycling rates'!$H$60:$H$62)*('BTX Recycling HC'!AF185+'BTX Recycling HC'!AF237+'BTX Recycling HC'!AF271+'BTX Recycling HC'!AF110)-'Overall recycling rates'!$I$61/SUM('Overall recycling rates'!$I$60:$I$62)*('BTX Recycling HC'!AF186+'BTX Recycling HC'!AF238+'BTX Recycling HC'!AF272+'BTX Recycling HC'!AF111)</f>
        <v>13.416961564485922</v>
      </c>
      <c r="AH111" s="44">
        <f>AH59+AH65-'Overall recycling rates'!$G$61/SUM('Overall recycling rates'!$G$60:$G$62)*('BTX Recycling HC'!AG183+'BTX Recycling HC'!AG235+'BTX Recycling HC'!AG269+'BTX Recycling HC'!AG108)-'Overall recycling rates'!$E$61/SUM('Overall recycling rates'!$E$60:$E$62)*('BTX Recycling HC'!AG184+'BTX Recycling HC'!AG236+'BTX Recycling HC'!AG270+'BTX Recycling HC'!AG109)-'Overall recycling rates'!$H$61/SUM('Overall recycling rates'!$H$60:$H$62)*('BTX Recycling HC'!AG185+'BTX Recycling HC'!AG237+'BTX Recycling HC'!AG271+'BTX Recycling HC'!AG110)-'Overall recycling rates'!$I$61/SUM('Overall recycling rates'!$I$60:$I$62)*('BTX Recycling HC'!AG186+'BTX Recycling HC'!AG238+'BTX Recycling HC'!AG272+'BTX Recycling HC'!AG111)</f>
        <v>12.998184268125472</v>
      </c>
      <c r="AJ111" s="44">
        <f>AJ59+AJ65-'Overall recycling rates'!$G$61/SUM('Overall recycling rates'!$G$60:$G$62)*('BTX Recycling HC'!C183+'BTX Recycling HC'!C235+'BTX Recycling HC'!C269+'BTX Recycling HC'!C108)-'Overall recycling rates'!$E$61/SUM('Overall recycling rates'!$E$60:$E$62)*('BTX Recycling HC'!C184+'BTX Recycling HC'!C236+'BTX Recycling HC'!C270+'BTX Recycling HC'!C109)-'Overall recycling rates'!$H$61/SUM('Overall recycling rates'!$H$60:$H$62)*('BTX Recycling HC'!C185+'BTX Recycling HC'!C237+'BTX Recycling HC'!C271+'BTX Recycling HC'!C110)-'Overall recycling rates'!$I$61/SUM('Overall recycling rates'!$I$60:$I$62)*('BTX Recycling HC'!C186+'BTX Recycling HC'!C238+'BTX Recycling HC'!C272+'BTX Recycling HC'!C111)</f>
        <v>10.725172954523309</v>
      </c>
      <c r="AK111" s="44">
        <f>AK59+AK65-'Overall recycling rates'!$G$61/SUM('Overall recycling rates'!$G$60:$G$62)*('BTX Recycling HC'!D183+'BTX Recycling HC'!D235+'BTX Recycling HC'!D269+'BTX Recycling HC'!D108)-'Overall recycling rates'!$E$61/SUM('Overall recycling rates'!$E$60:$E$62)*('BTX Recycling HC'!D184+'BTX Recycling HC'!D236+'BTX Recycling HC'!D270+'BTX Recycling HC'!D109)-'Overall recycling rates'!$H$61/SUM('Overall recycling rates'!$H$60:$H$62)*('BTX Recycling HC'!D185+'BTX Recycling HC'!D237+'BTX Recycling HC'!D271+'BTX Recycling HC'!D110)-'Overall recycling rates'!$I$61/SUM('Overall recycling rates'!$I$60:$I$62)*('BTX Recycling HC'!D186+'BTX Recycling HC'!D238+'BTX Recycling HC'!D272+'BTX Recycling HC'!D111)</f>
        <v>11.360693633473376</v>
      </c>
      <c r="AL111" s="44">
        <f>AL59+AL65-'Overall recycling rates'!$G$61/SUM('Overall recycling rates'!$G$60:$G$62)*('BTX Recycling HC'!E183+'BTX Recycling HC'!E235+'BTX Recycling HC'!E269+'BTX Recycling HC'!E108)-'Overall recycling rates'!$E$61/SUM('Overall recycling rates'!$E$60:$E$62)*('BTX Recycling HC'!E184+'BTX Recycling HC'!E236+'BTX Recycling HC'!E270+'BTX Recycling HC'!E109)-'Overall recycling rates'!$H$61/SUM('Overall recycling rates'!$H$60:$H$62)*('BTX Recycling HC'!E185+'BTX Recycling HC'!E237+'BTX Recycling HC'!E271+'BTX Recycling HC'!E110)-'Overall recycling rates'!$I$61/SUM('Overall recycling rates'!$I$60:$I$62)*('BTX Recycling HC'!E186+'BTX Recycling HC'!E238+'BTX Recycling HC'!E272+'BTX Recycling HC'!E111)</f>
        <v>12.011940015717633</v>
      </c>
      <c r="AM111" s="44">
        <f>AM59+AM65-'Overall recycling rates'!$G$61/SUM('Overall recycling rates'!$G$60:$G$62)*('BTX Recycling HC'!F183+'BTX Recycling HC'!F235+'BTX Recycling HC'!F269+'BTX Recycling HC'!F108)-'Overall recycling rates'!$E$61/SUM('Overall recycling rates'!$E$60:$E$62)*('BTX Recycling HC'!F184+'BTX Recycling HC'!F236+'BTX Recycling HC'!F270+'BTX Recycling HC'!F109)-'Overall recycling rates'!$H$61/SUM('Overall recycling rates'!$H$60:$H$62)*('BTX Recycling HC'!F185+'BTX Recycling HC'!F237+'BTX Recycling HC'!F271+'BTX Recycling HC'!F110)-'Overall recycling rates'!$I$61/SUM('Overall recycling rates'!$I$60:$I$62)*('BTX Recycling HC'!F186+'BTX Recycling HC'!F238+'BTX Recycling HC'!F272+'BTX Recycling HC'!F111)</f>
        <v>12.683509610636127</v>
      </c>
      <c r="AN111" s="44">
        <f>AN59+AN65-'Overall recycling rates'!$G$61/SUM('Overall recycling rates'!$G$60:$G$62)*('BTX Recycling HC'!G183+'BTX Recycling HC'!G235+'BTX Recycling HC'!G269+'BTX Recycling HC'!G108)-'Overall recycling rates'!$E$61/SUM('Overall recycling rates'!$E$60:$E$62)*('BTX Recycling HC'!G184+'BTX Recycling HC'!G236+'BTX Recycling HC'!G270+'BTX Recycling HC'!G109)-'Overall recycling rates'!$H$61/SUM('Overall recycling rates'!$H$60:$H$62)*('BTX Recycling HC'!G185+'BTX Recycling HC'!G237+'BTX Recycling HC'!G271+'BTX Recycling HC'!G110)-'Overall recycling rates'!$I$61/SUM('Overall recycling rates'!$I$60:$I$62)*('BTX Recycling HC'!G186+'BTX Recycling HC'!G238+'BTX Recycling HC'!G272+'BTX Recycling HC'!G111)</f>
        <v>13.37608764718744</v>
      </c>
      <c r="AO111" s="44">
        <f>AO59+AO65-'Overall recycling rates'!$G$61/SUM('Overall recycling rates'!$G$60:$G$62)*('BTX Recycling HC'!H183+'BTX Recycling HC'!H235+'BTX Recycling HC'!H269+'BTX Recycling HC'!H108)-'Overall recycling rates'!$E$61/SUM('Overall recycling rates'!$E$60:$E$62)*('BTX Recycling HC'!H184+'BTX Recycling HC'!H236+'BTX Recycling HC'!H270+'BTX Recycling HC'!H109)-'Overall recycling rates'!$H$61/SUM('Overall recycling rates'!$H$60:$H$62)*('BTX Recycling HC'!H185+'BTX Recycling HC'!H237+'BTX Recycling HC'!H271+'BTX Recycling HC'!H110)-'Overall recycling rates'!$I$61/SUM('Overall recycling rates'!$I$60:$I$62)*('BTX Recycling HC'!H186+'BTX Recycling HC'!H238+'BTX Recycling HC'!H272+'BTX Recycling HC'!H111)</f>
        <v>14.090384232589308</v>
      </c>
      <c r="AP111" s="44">
        <f>AP59+AP65-'Overall recycling rates'!$G$61/SUM('Overall recycling rates'!$G$60:$G$62)*('BTX Recycling HC'!I183+'BTX Recycling HC'!I235+'BTX Recycling HC'!I269+'BTX Recycling HC'!I108)-'Overall recycling rates'!$E$61/SUM('Overall recycling rates'!$E$60:$E$62)*('BTX Recycling HC'!I184+'BTX Recycling HC'!I236+'BTX Recycling HC'!I270+'BTX Recycling HC'!I109)-'Overall recycling rates'!$H$61/SUM('Overall recycling rates'!$H$60:$H$62)*('BTX Recycling HC'!I185+'BTX Recycling HC'!I237+'BTX Recycling HC'!I271+'BTX Recycling HC'!I110)-'Overall recycling rates'!$I$61/SUM('Overall recycling rates'!$I$60:$I$62)*('BTX Recycling HC'!I186+'BTX Recycling HC'!I238+'BTX Recycling HC'!I272+'BTX Recycling HC'!I111)</f>
        <v>14.457974858180739</v>
      </c>
      <c r="AQ111" s="44">
        <f>AQ59+AQ65-'Overall recycling rates'!$G$61/SUM('Overall recycling rates'!$G$60:$G$62)*('BTX Recycling HC'!J183+'BTX Recycling HC'!J235+'BTX Recycling HC'!J269+'BTX Recycling HC'!J108)-'Overall recycling rates'!$E$61/SUM('Overall recycling rates'!$E$60:$E$62)*('BTX Recycling HC'!J184+'BTX Recycling HC'!J236+'BTX Recycling HC'!J270+'BTX Recycling HC'!J109)-'Overall recycling rates'!$H$61/SUM('Overall recycling rates'!$H$60:$H$62)*('BTX Recycling HC'!J185+'BTX Recycling HC'!J237+'BTX Recycling HC'!J271+'BTX Recycling HC'!J110)-'Overall recycling rates'!$I$61/SUM('Overall recycling rates'!$I$60:$I$62)*('BTX Recycling HC'!J186+'BTX Recycling HC'!J238+'BTX Recycling HC'!J272+'BTX Recycling HC'!J111)</f>
        <v>14.832722446210758</v>
      </c>
      <c r="AR111" s="44">
        <f>AR59+AR65-'Overall recycling rates'!$G$61/SUM('Overall recycling rates'!$G$60:$G$62)*('BTX Recycling HC'!K183+'BTX Recycling HC'!K235+'BTX Recycling HC'!K269+'BTX Recycling HC'!K108)-'Overall recycling rates'!$E$61/SUM('Overall recycling rates'!$E$60:$E$62)*('BTX Recycling HC'!K184+'BTX Recycling HC'!K236+'BTX Recycling HC'!K270+'BTX Recycling HC'!K109)-'Overall recycling rates'!$H$61/SUM('Overall recycling rates'!$H$60:$H$62)*('BTX Recycling HC'!K185+'BTX Recycling HC'!K237+'BTX Recycling HC'!K271+'BTX Recycling HC'!K110)-'Overall recycling rates'!$I$61/SUM('Overall recycling rates'!$I$60:$I$62)*('BTX Recycling HC'!K186+'BTX Recycling HC'!K238+'BTX Recycling HC'!K272+'BTX Recycling HC'!K111)</f>
        <v>15.214768487984582</v>
      </c>
      <c r="AS111" s="44">
        <f>AS59+AS65-'Overall recycling rates'!$G$61/SUM('Overall recycling rates'!$G$60:$G$62)*('BTX Recycling HC'!L183+'BTX Recycling HC'!L235+'BTX Recycling HC'!L269+'BTX Recycling HC'!L108)-'Overall recycling rates'!$E$61/SUM('Overall recycling rates'!$E$60:$E$62)*('BTX Recycling HC'!L184+'BTX Recycling HC'!L236+'BTX Recycling HC'!L270+'BTX Recycling HC'!L109)-'Overall recycling rates'!$H$61/SUM('Overall recycling rates'!$H$60:$H$62)*('BTX Recycling HC'!L185+'BTX Recycling HC'!L237+'BTX Recycling HC'!L271+'BTX Recycling HC'!L110)-'Overall recycling rates'!$I$61/SUM('Overall recycling rates'!$I$60:$I$62)*('BTX Recycling HC'!L186+'BTX Recycling HC'!L238+'BTX Recycling HC'!L272+'BTX Recycling HC'!L111)</f>
        <v>15.604258794714342</v>
      </c>
      <c r="AT111" s="44">
        <f>AT59+AT65-'Overall recycling rates'!$G$61/SUM('Overall recycling rates'!$G$60:$G$62)*('BTX Recycling HC'!M183+'BTX Recycling HC'!M235+'BTX Recycling HC'!M269+'BTX Recycling HC'!M108)-'Overall recycling rates'!$E$61/SUM('Overall recycling rates'!$E$60:$E$62)*('BTX Recycling HC'!M184+'BTX Recycling HC'!M236+'BTX Recycling HC'!M270+'BTX Recycling HC'!M109)-'Overall recycling rates'!$H$61/SUM('Overall recycling rates'!$H$60:$H$62)*('BTX Recycling HC'!M185+'BTX Recycling HC'!M237+'BTX Recycling HC'!M271+'BTX Recycling HC'!M110)-'Overall recycling rates'!$I$61/SUM('Overall recycling rates'!$I$60:$I$62)*('BTX Recycling HC'!M186+'BTX Recycling HC'!M238+'BTX Recycling HC'!M272+'BTX Recycling HC'!M111)</f>
        <v>16.001343644286095</v>
      </c>
      <c r="AU111" s="44">
        <f>AU59+AU65-'Overall recycling rates'!$G$61/SUM('Overall recycling rates'!$G$60:$G$62)*('BTX Recycling HC'!N183+'BTX Recycling HC'!N235+'BTX Recycling HC'!N269+'BTX Recycling HC'!N108)-'Overall recycling rates'!$E$61/SUM('Overall recycling rates'!$E$60:$E$62)*('BTX Recycling HC'!N184+'BTX Recycling HC'!N236+'BTX Recycling HC'!N270+'BTX Recycling HC'!N109)-'Overall recycling rates'!$H$61/SUM('Overall recycling rates'!$H$60:$H$62)*('BTX Recycling HC'!N185+'BTX Recycling HC'!N237+'BTX Recycling HC'!N271+'BTX Recycling HC'!N110)-'Overall recycling rates'!$I$61/SUM('Overall recycling rates'!$I$60:$I$62)*('BTX Recycling HC'!N186+'BTX Recycling HC'!N238+'BTX Recycling HC'!N272+'BTX Recycling HC'!N111)</f>
        <v>16.065943449149291</v>
      </c>
      <c r="AV111" s="44">
        <f>AV59+AV65-'Overall recycling rates'!$G$61/SUM('Overall recycling rates'!$G$60:$G$62)*('BTX Recycling HC'!O183+'BTX Recycling HC'!O235+'BTX Recycling HC'!O269+'BTX Recycling HC'!O108)-'Overall recycling rates'!$E$61/SUM('Overall recycling rates'!$E$60:$E$62)*('BTX Recycling HC'!O184+'BTX Recycling HC'!O236+'BTX Recycling HC'!O270+'BTX Recycling HC'!O109)-'Overall recycling rates'!$H$61/SUM('Overall recycling rates'!$H$60:$H$62)*('BTX Recycling HC'!O185+'BTX Recycling HC'!O237+'BTX Recycling HC'!O271+'BTX Recycling HC'!O110)-'Overall recycling rates'!$I$61/SUM('Overall recycling rates'!$I$60:$I$62)*('BTX Recycling HC'!O186+'BTX Recycling HC'!O238+'BTX Recycling HC'!O272+'BTX Recycling HC'!O111)</f>
        <v>16.130155573553946</v>
      </c>
      <c r="AW111" s="44">
        <f>AW59+AW65-'Overall recycling rates'!$G$61/SUM('Overall recycling rates'!$G$60:$G$62)*('BTX Recycling HC'!P183+'BTX Recycling HC'!P235+'BTX Recycling HC'!P269+'BTX Recycling HC'!P108)-'Overall recycling rates'!$E$61/SUM('Overall recycling rates'!$E$60:$E$62)*('BTX Recycling HC'!P184+'BTX Recycling HC'!P236+'BTX Recycling HC'!P270+'BTX Recycling HC'!P109)-'Overall recycling rates'!$H$61/SUM('Overall recycling rates'!$H$60:$H$62)*('BTX Recycling HC'!P185+'BTX Recycling HC'!P237+'BTX Recycling HC'!P271+'BTX Recycling HC'!P110)-'Overall recycling rates'!$I$61/SUM('Overall recycling rates'!$I$60:$I$62)*('BTX Recycling HC'!P186+'BTX Recycling HC'!P238+'BTX Recycling HC'!P272+'BTX Recycling HC'!P111)</f>
        <v>16.194172430779695</v>
      </c>
      <c r="AX111" s="44">
        <f>AX59+AX65-'Overall recycling rates'!$G$61/SUM('Overall recycling rates'!$G$60:$G$62)*('BTX Recycling HC'!Q183+'BTX Recycling HC'!Q235+'BTX Recycling HC'!Q269+'BTX Recycling HC'!Q108)-'Overall recycling rates'!$E$61/SUM('Overall recycling rates'!$E$60:$E$62)*('BTX Recycling HC'!Q184+'BTX Recycling HC'!Q236+'BTX Recycling HC'!Q270+'BTX Recycling HC'!Q109)-'Overall recycling rates'!$H$61/SUM('Overall recycling rates'!$H$60:$H$62)*('BTX Recycling HC'!Q185+'BTX Recycling HC'!Q237+'BTX Recycling HC'!Q271+'BTX Recycling HC'!Q110)-'Overall recycling rates'!$I$61/SUM('Overall recycling rates'!$I$60:$I$62)*('BTX Recycling HC'!Q186+'BTX Recycling HC'!Q238+'BTX Recycling HC'!Q272+'BTX Recycling HC'!Q111)</f>
        <v>16.258259650057603</v>
      </c>
      <c r="AY111" s="44">
        <f>AY59+AY65-'Overall recycling rates'!$G$61/SUM('Overall recycling rates'!$G$60:$G$62)*('BTX Recycling HC'!R183+'BTX Recycling HC'!R235+'BTX Recycling HC'!R269+'BTX Recycling HC'!R108)-'Overall recycling rates'!$E$61/SUM('Overall recycling rates'!$E$60:$E$62)*('BTX Recycling HC'!R184+'BTX Recycling HC'!R236+'BTX Recycling HC'!R270+'BTX Recycling HC'!R109)-'Overall recycling rates'!$H$61/SUM('Overall recycling rates'!$H$60:$H$62)*('BTX Recycling HC'!R185+'BTX Recycling HC'!R237+'BTX Recycling HC'!R271+'BTX Recycling HC'!R110)-'Overall recycling rates'!$I$61/SUM('Overall recycling rates'!$I$60:$I$62)*('BTX Recycling HC'!R186+'BTX Recycling HC'!R238+'BTX Recycling HC'!R272+'BTX Recycling HC'!R111)</f>
        <v>16.322671564897426</v>
      </c>
      <c r="AZ111" s="44">
        <f>AZ59+AZ65-'Overall recycling rates'!$G$61/SUM('Overall recycling rates'!$G$60:$G$62)*('BTX Recycling HC'!S183+'BTX Recycling HC'!S235+'BTX Recycling HC'!S269+'BTX Recycling HC'!S108)-'Overall recycling rates'!$E$61/SUM('Overall recycling rates'!$E$60:$E$62)*('BTX Recycling HC'!S184+'BTX Recycling HC'!S236+'BTX Recycling HC'!S270+'BTX Recycling HC'!S109)-'Overall recycling rates'!$H$61/SUM('Overall recycling rates'!$H$60:$H$62)*('BTX Recycling HC'!S185+'BTX Recycling HC'!S237+'BTX Recycling HC'!S271+'BTX Recycling HC'!S110)-'Overall recycling rates'!$I$61/SUM('Overall recycling rates'!$I$60:$I$62)*('BTX Recycling HC'!S186+'BTX Recycling HC'!S238+'BTX Recycling HC'!S272+'BTX Recycling HC'!S111)</f>
        <v>16.363282169717625</v>
      </c>
      <c r="BA111" s="44">
        <f>BA59+BA65-'Overall recycling rates'!$G$61/SUM('Overall recycling rates'!$G$60:$G$62)*('BTX Recycling HC'!T183+'BTX Recycling HC'!T235+'BTX Recycling HC'!T269+'BTX Recycling HC'!T108)-'Overall recycling rates'!$E$61/SUM('Overall recycling rates'!$E$60:$E$62)*('BTX Recycling HC'!T184+'BTX Recycling HC'!T236+'BTX Recycling HC'!T270+'BTX Recycling HC'!T109)-'Overall recycling rates'!$H$61/SUM('Overall recycling rates'!$H$60:$H$62)*('BTX Recycling HC'!T185+'BTX Recycling HC'!T237+'BTX Recycling HC'!T271+'BTX Recycling HC'!T110)-'Overall recycling rates'!$I$61/SUM('Overall recycling rates'!$I$60:$I$62)*('BTX Recycling HC'!T186+'BTX Recycling HC'!T238+'BTX Recycling HC'!T272+'BTX Recycling HC'!T111)</f>
        <v>16.402508427036516</v>
      </c>
      <c r="BB111" s="44">
        <f>BB59+BB65-'Overall recycling rates'!$G$61/SUM('Overall recycling rates'!$G$60:$G$62)*('BTX Recycling HC'!U183+'BTX Recycling HC'!U235+'BTX Recycling HC'!U269+'BTX Recycling HC'!U108)-'Overall recycling rates'!$E$61/SUM('Overall recycling rates'!$E$60:$E$62)*('BTX Recycling HC'!U184+'BTX Recycling HC'!U236+'BTX Recycling HC'!U270+'BTX Recycling HC'!U109)-'Overall recycling rates'!$H$61/SUM('Overall recycling rates'!$H$60:$H$62)*('BTX Recycling HC'!U185+'BTX Recycling HC'!U237+'BTX Recycling HC'!U271+'BTX Recycling HC'!U110)-'Overall recycling rates'!$I$61/SUM('Overall recycling rates'!$I$60:$I$62)*('BTX Recycling HC'!U186+'BTX Recycling HC'!U238+'BTX Recycling HC'!U272+'BTX Recycling HC'!U111)</f>
        <v>16.440324797672865</v>
      </c>
      <c r="BC111" s="44">
        <f>BC59+BC65-'Overall recycling rates'!$G$61/SUM('Overall recycling rates'!$G$60:$G$62)*('BTX Recycling HC'!V183+'BTX Recycling HC'!V235+'BTX Recycling HC'!V269+'BTX Recycling HC'!V108)-'Overall recycling rates'!$E$61/SUM('Overall recycling rates'!$E$60:$E$62)*('BTX Recycling HC'!V184+'BTX Recycling HC'!V236+'BTX Recycling HC'!V270+'BTX Recycling HC'!V109)-'Overall recycling rates'!$H$61/SUM('Overall recycling rates'!$H$60:$H$62)*('BTX Recycling HC'!V185+'BTX Recycling HC'!V237+'BTX Recycling HC'!V271+'BTX Recycling HC'!V110)-'Overall recycling rates'!$I$61/SUM('Overall recycling rates'!$I$60:$I$62)*('BTX Recycling HC'!V186+'BTX Recycling HC'!V238+'BTX Recycling HC'!V272+'BTX Recycling HC'!V111)</f>
        <v>16.476706511534726</v>
      </c>
      <c r="BD111" s="44">
        <f>BD59+BD65-'Overall recycling rates'!$G$61/SUM('Overall recycling rates'!$G$60:$G$62)*('BTX Recycling HC'!W183+'BTX Recycling HC'!W235+'BTX Recycling HC'!W269+'BTX Recycling HC'!W108)-'Overall recycling rates'!$E$61/SUM('Overall recycling rates'!$E$60:$E$62)*('BTX Recycling HC'!W184+'BTX Recycling HC'!W236+'BTX Recycling HC'!W270+'BTX Recycling HC'!W109)-'Overall recycling rates'!$H$61/SUM('Overall recycling rates'!$H$60:$H$62)*('BTX Recycling HC'!W185+'BTX Recycling HC'!W237+'BTX Recycling HC'!W271+'BTX Recycling HC'!W110)-'Overall recycling rates'!$I$61/SUM('Overall recycling rates'!$I$60:$I$62)*('BTX Recycling HC'!W186+'BTX Recycling HC'!W238+'BTX Recycling HC'!W272+'BTX Recycling HC'!W111)</f>
        <v>16.511629617521358</v>
      </c>
      <c r="BE111" s="44">
        <f>BE59+BE65-'Overall recycling rates'!$G$61/SUM('Overall recycling rates'!$G$60:$G$62)*('BTX Recycling HC'!X183+'BTX Recycling HC'!X235+'BTX Recycling HC'!X269+'BTX Recycling HC'!X108)-'Overall recycling rates'!$E$61/SUM('Overall recycling rates'!$E$60:$E$62)*('BTX Recycling HC'!X184+'BTX Recycling HC'!X236+'BTX Recycling HC'!X270+'BTX Recycling HC'!X109)-'Overall recycling rates'!$H$61/SUM('Overall recycling rates'!$H$60:$H$62)*('BTX Recycling HC'!X185+'BTX Recycling HC'!X237+'BTX Recycling HC'!X271+'BTX Recycling HC'!X110)-'Overall recycling rates'!$I$61/SUM('Overall recycling rates'!$I$60:$I$62)*('BTX Recycling HC'!X186+'BTX Recycling HC'!X238+'BTX Recycling HC'!X272+'BTX Recycling HC'!X111)</f>
        <v>16.225972783370349</v>
      </c>
      <c r="BF111" s="44">
        <f>BF59+BF65-'Overall recycling rates'!$G$61/SUM('Overall recycling rates'!$G$60:$G$62)*('BTX Recycling HC'!Y183+'BTX Recycling HC'!Y235+'BTX Recycling HC'!Y269+'BTX Recycling HC'!Y108)-'Overall recycling rates'!$E$61/SUM('Overall recycling rates'!$E$60:$E$62)*('BTX Recycling HC'!Y184+'BTX Recycling HC'!Y236+'BTX Recycling HC'!Y270+'BTX Recycling HC'!Y109)-'Overall recycling rates'!$H$61/SUM('Overall recycling rates'!$H$60:$H$62)*('BTX Recycling HC'!Y185+'BTX Recycling HC'!Y237+'BTX Recycling HC'!Y271+'BTX Recycling HC'!Y110)-'Overall recycling rates'!$I$61/SUM('Overall recycling rates'!$I$60:$I$62)*('BTX Recycling HC'!Y186+'BTX Recycling HC'!Y238+'BTX Recycling HC'!Y272+'BTX Recycling HC'!Y111)</f>
        <v>15.934028916492151</v>
      </c>
      <c r="BG111" s="44">
        <f>BG59+BG65-'Overall recycling rates'!$G$61/SUM('Overall recycling rates'!$G$60:$G$62)*('BTX Recycling HC'!Z183+'BTX Recycling HC'!Z235+'BTX Recycling HC'!Z269+'BTX Recycling HC'!Z108)-'Overall recycling rates'!$E$61/SUM('Overall recycling rates'!$E$60:$E$62)*('BTX Recycling HC'!Z184+'BTX Recycling HC'!Z236+'BTX Recycling HC'!Z270+'BTX Recycling HC'!Z109)-'Overall recycling rates'!$H$61/SUM('Overall recycling rates'!$H$60:$H$62)*('BTX Recycling HC'!Z185+'BTX Recycling HC'!Z237+'BTX Recycling HC'!Z271+'BTX Recycling HC'!Z110)-'Overall recycling rates'!$I$61/SUM('Overall recycling rates'!$I$60:$I$62)*('BTX Recycling HC'!Z186+'BTX Recycling HC'!Z238+'BTX Recycling HC'!Z272+'BTX Recycling HC'!Z111)</f>
        <v>15.635622669458447</v>
      </c>
      <c r="BH111" s="44">
        <f>BH59+BH65-'Overall recycling rates'!$G$61/SUM('Overall recycling rates'!$G$60:$G$62)*('BTX Recycling HC'!AA183+'BTX Recycling HC'!AA235+'BTX Recycling HC'!AA269+'BTX Recycling HC'!AA108)-'Overall recycling rates'!$E$61/SUM('Overall recycling rates'!$E$60:$E$62)*('BTX Recycling HC'!AA184+'BTX Recycling HC'!AA236+'BTX Recycling HC'!AA270+'BTX Recycling HC'!AA109)-'Overall recycling rates'!$H$61/SUM('Overall recycling rates'!$H$60:$H$62)*('BTX Recycling HC'!AA185+'BTX Recycling HC'!AA237+'BTX Recycling HC'!AA271+'BTX Recycling HC'!AA110)-'Overall recycling rates'!$I$61/SUM('Overall recycling rates'!$I$60:$I$62)*('BTX Recycling HC'!AA186+'BTX Recycling HC'!AA238+'BTX Recycling HC'!AA272+'BTX Recycling HC'!AA111)</f>
        <v>15.330769312700571</v>
      </c>
      <c r="BI111" s="44">
        <f>BI59+BI65-'Overall recycling rates'!$G$61/SUM('Overall recycling rates'!$G$60:$G$62)*('BTX Recycling HC'!AB183+'BTX Recycling HC'!AB235+'BTX Recycling HC'!AB269+'BTX Recycling HC'!AB108)-'Overall recycling rates'!$E$61/SUM('Overall recycling rates'!$E$60:$E$62)*('BTX Recycling HC'!AB184+'BTX Recycling HC'!AB236+'BTX Recycling HC'!AB270+'BTX Recycling HC'!AB109)-'Overall recycling rates'!$H$61/SUM('Overall recycling rates'!$H$60:$H$62)*('BTX Recycling HC'!AB185+'BTX Recycling HC'!AB237+'BTX Recycling HC'!AB271+'BTX Recycling HC'!AB110)-'Overall recycling rates'!$I$61/SUM('Overall recycling rates'!$I$60:$I$62)*('BTX Recycling HC'!AB186+'BTX Recycling HC'!AB238+'BTX Recycling HC'!AB272+'BTX Recycling HC'!AB111)</f>
        <v>15.019397807628319</v>
      </c>
      <c r="BJ111" s="44">
        <f>BJ59+BJ65-'Overall recycling rates'!$G$61/SUM('Overall recycling rates'!$G$60:$G$62)*('BTX Recycling HC'!AC183+'BTX Recycling HC'!AC235+'BTX Recycling HC'!AC269+'BTX Recycling HC'!AC108)-'Overall recycling rates'!$E$61/SUM('Overall recycling rates'!$E$60:$E$62)*('BTX Recycling HC'!AC184+'BTX Recycling HC'!AC236+'BTX Recycling HC'!AC270+'BTX Recycling HC'!AC109)-'Overall recycling rates'!$H$61/SUM('Overall recycling rates'!$H$60:$H$62)*('BTX Recycling HC'!AC185+'BTX Recycling HC'!AC237+'BTX Recycling HC'!AC271+'BTX Recycling HC'!AC110)-'Overall recycling rates'!$I$61/SUM('Overall recycling rates'!$I$60:$I$62)*('BTX Recycling HC'!AC186+'BTX Recycling HC'!AC238+'BTX Recycling HC'!AC272+'BTX Recycling HC'!AC111)</f>
        <v>14.629551430217472</v>
      </c>
      <c r="BK111" s="44">
        <f>BK59+BK65-'Overall recycling rates'!$G$61/SUM('Overall recycling rates'!$G$60:$G$62)*('BTX Recycling HC'!AD183+'BTX Recycling HC'!AD235+'BTX Recycling HC'!AD269+'BTX Recycling HC'!AD108)-'Overall recycling rates'!$E$61/SUM('Overall recycling rates'!$E$60:$E$62)*('BTX Recycling HC'!AD184+'BTX Recycling HC'!AD236+'BTX Recycling HC'!AD270+'BTX Recycling HC'!AD109)-'Overall recycling rates'!$H$61/SUM('Overall recycling rates'!$H$60:$H$62)*('BTX Recycling HC'!AD185+'BTX Recycling HC'!AD237+'BTX Recycling HC'!AD271+'BTX Recycling HC'!AD110)-'Overall recycling rates'!$I$61/SUM('Overall recycling rates'!$I$60:$I$62)*('BTX Recycling HC'!AD186+'BTX Recycling HC'!AD238+'BTX Recycling HC'!AD272+'BTX Recycling HC'!AD111)</f>
        <v>14.232576965929557</v>
      </c>
      <c r="BL111" s="44">
        <f>BL59+BL65-'Overall recycling rates'!$G$61/SUM('Overall recycling rates'!$G$60:$G$62)*('BTX Recycling HC'!AE183+'BTX Recycling HC'!AE235+'BTX Recycling HC'!AE269+'BTX Recycling HC'!AE108)-'Overall recycling rates'!$E$61/SUM('Overall recycling rates'!$E$60:$E$62)*('BTX Recycling HC'!AE184+'BTX Recycling HC'!AE236+'BTX Recycling HC'!AE270+'BTX Recycling HC'!AE109)-'Overall recycling rates'!$H$61/SUM('Overall recycling rates'!$H$60:$H$62)*('BTX Recycling HC'!AE185+'BTX Recycling HC'!AE237+'BTX Recycling HC'!AE271+'BTX Recycling HC'!AE110)-'Overall recycling rates'!$I$61/SUM('Overall recycling rates'!$I$60:$I$62)*('BTX Recycling HC'!AE186+'BTX Recycling HC'!AE238+'BTX Recycling HC'!AE272+'BTX Recycling HC'!AE111)</f>
        <v>13.828403397672986</v>
      </c>
      <c r="BM111" s="44">
        <f>BM59+BM65-'Overall recycling rates'!$G$61/SUM('Overall recycling rates'!$G$60:$G$62)*('BTX Recycling HC'!AF183+'BTX Recycling HC'!AF235+'BTX Recycling HC'!AF269+'BTX Recycling HC'!AF108)-'Overall recycling rates'!$E$61/SUM('Overall recycling rates'!$E$60:$E$62)*('BTX Recycling HC'!AF184+'BTX Recycling HC'!AF236+'BTX Recycling HC'!AF270+'BTX Recycling HC'!AF109)-'Overall recycling rates'!$H$61/SUM('Overall recycling rates'!$H$60:$H$62)*('BTX Recycling HC'!AF185+'BTX Recycling HC'!AF237+'BTX Recycling HC'!AF271+'BTX Recycling HC'!AF110)-'Overall recycling rates'!$I$61/SUM('Overall recycling rates'!$I$60:$I$62)*('BTX Recycling HC'!AF186+'BTX Recycling HC'!AF238+'BTX Recycling HC'!AF272+'BTX Recycling HC'!AF111)</f>
        <v>13.416961564485922</v>
      </c>
      <c r="BN111" s="44">
        <f>BN59+BN65-'Overall recycling rates'!$G$61/SUM('Overall recycling rates'!$G$60:$G$62)*('BTX Recycling HC'!AG183+'BTX Recycling HC'!AG235+'BTX Recycling HC'!AG269+'BTX Recycling HC'!AG108)-'Overall recycling rates'!$E$61/SUM('Overall recycling rates'!$E$60:$E$62)*('BTX Recycling HC'!AG184+'BTX Recycling HC'!AG236+'BTX Recycling HC'!AG270+'BTX Recycling HC'!AG109)-'Overall recycling rates'!$H$61/SUM('Overall recycling rates'!$H$60:$H$62)*('BTX Recycling HC'!AG185+'BTX Recycling HC'!AG237+'BTX Recycling HC'!AG271+'BTX Recycling HC'!AG110)-'Overall recycling rates'!$I$61/SUM('Overall recycling rates'!$I$60:$I$62)*('BTX Recycling HC'!AG186+'BTX Recycling HC'!AG238+'BTX Recycling HC'!AG272+'BTX Recycling HC'!AG111)</f>
        <v>12.998184268125472</v>
      </c>
    </row>
    <row r="112" spans="1:66" s="68" customFormat="1" outlineLevel="1">
      <c r="A112" s="754"/>
      <c r="B112" s="62" t="s">
        <v>166</v>
      </c>
      <c r="C112" s="283" t="s">
        <v>153</v>
      </c>
      <c r="D112" s="284">
        <f>D60+D66-'Overall recycling rates'!$G$62/SUM('Overall recycling rates'!$G$60:$G$62)*('BTX Recycling HC'!C183+'BTX Recycling HC'!C235+'BTX Recycling HC'!C269+'BTX Recycling HC'!C108)-'Overall recycling rates'!$E$62/SUM('Overall recycling rates'!$E$60:$E$62)*('BTX Recycling HC'!C184+'BTX Recycling HC'!C236+'BTX Recycling HC'!C270+'BTX Recycling HC'!C109)-'Overall recycling rates'!$H$62/SUM('Overall recycling rates'!$H$60:$H$62)*('BTX Recycling HC'!C185+'BTX Recycling HC'!C237+'BTX Recycling HC'!C271+'BTX Recycling HC'!C110)-'Overall recycling rates'!$I$62/SUM('Overall recycling rates'!$I$60:$I$62)*('BTX Recycling HC'!C186+'BTX Recycling HC'!C238+'BTX Recycling HC'!C272+'BTX Recycling HC'!C111)</f>
        <v>0.94700598044522621</v>
      </c>
      <c r="E112" s="284">
        <f>E60+E66-'Overall recycling rates'!$G$62/SUM('Overall recycling rates'!$G$60:$G$62)*('BTX Recycling HC'!D183+'BTX Recycling HC'!D235+'BTX Recycling HC'!D269+'BTX Recycling HC'!D108)-'Overall recycling rates'!$E$62/SUM('Overall recycling rates'!$E$60:$E$62)*('BTX Recycling HC'!D184+'BTX Recycling HC'!D236+'BTX Recycling HC'!D270+'BTX Recycling HC'!D109)-'Overall recycling rates'!$H$62/SUM('Overall recycling rates'!$H$60:$H$62)*('BTX Recycling HC'!D185+'BTX Recycling HC'!D237+'BTX Recycling HC'!D271+'BTX Recycling HC'!D110)-'Overall recycling rates'!$I$62/SUM('Overall recycling rates'!$I$60:$I$62)*('BTX Recycling HC'!D186+'BTX Recycling HC'!D238+'BTX Recycling HC'!D272+'BTX Recycling HC'!D111)</f>
        <v>1.0399081693026195</v>
      </c>
      <c r="F112" s="284">
        <f>F60+F66-'Overall recycling rates'!$G$62/SUM('Overall recycling rates'!$G$60:$G$62)*('BTX Recycling HC'!E183+'BTX Recycling HC'!E235+'BTX Recycling HC'!E269+'BTX Recycling HC'!E108)-'Overall recycling rates'!$E$62/SUM('Overall recycling rates'!$E$60:$E$62)*('BTX Recycling HC'!E184+'BTX Recycling HC'!E236+'BTX Recycling HC'!E270+'BTX Recycling HC'!E109)-'Overall recycling rates'!$H$62/SUM('Overall recycling rates'!$H$60:$H$62)*('BTX Recycling HC'!E185+'BTX Recycling HC'!E237+'BTX Recycling HC'!E271+'BTX Recycling HC'!E110)-'Overall recycling rates'!$I$62/SUM('Overall recycling rates'!$I$60:$I$62)*('BTX Recycling HC'!E186+'BTX Recycling HC'!E238+'BTX Recycling HC'!E272+'BTX Recycling HC'!E111)</f>
        <v>1.0594209835378028</v>
      </c>
      <c r="G112" s="284">
        <f>G60+G66-'Overall recycling rates'!$G$62/SUM('Overall recycling rates'!$G$60:$G$62)*('BTX Recycling HC'!F183+'BTX Recycling HC'!F235+'BTX Recycling HC'!F269+'BTX Recycling HC'!F108)-'Overall recycling rates'!$E$62/SUM('Overall recycling rates'!$E$60:$E$62)*('BTX Recycling HC'!F184+'BTX Recycling HC'!F236+'BTX Recycling HC'!F270+'BTX Recycling HC'!F109)-'Overall recycling rates'!$H$62/SUM('Overall recycling rates'!$H$60:$H$62)*('BTX Recycling HC'!F185+'BTX Recycling HC'!F237+'BTX Recycling HC'!F271+'BTX Recycling HC'!F110)-'Overall recycling rates'!$I$62/SUM('Overall recycling rates'!$I$60:$I$62)*('BTX Recycling HC'!F186+'BTX Recycling HC'!F238+'BTX Recycling HC'!F272+'BTX Recycling HC'!F111)</f>
        <v>1.0797830621867921</v>
      </c>
      <c r="H112" s="284">
        <f>H60+H66-'Overall recycling rates'!$G$62/SUM('Overall recycling rates'!$G$60:$G$62)*('BTX Recycling HC'!G183+'BTX Recycling HC'!G235+'BTX Recycling HC'!G269+'BTX Recycling HC'!G108)-'Overall recycling rates'!$E$62/SUM('Overall recycling rates'!$E$60:$E$62)*('BTX Recycling HC'!G184+'BTX Recycling HC'!G236+'BTX Recycling HC'!G270+'BTX Recycling HC'!G109)-'Overall recycling rates'!$H$62/SUM('Overall recycling rates'!$H$60:$H$62)*('BTX Recycling HC'!G185+'BTX Recycling HC'!G237+'BTX Recycling HC'!G271+'BTX Recycling HC'!G110)-'Overall recycling rates'!$I$62/SUM('Overall recycling rates'!$I$60:$I$62)*('BTX Recycling HC'!G186+'BTX Recycling HC'!G238+'BTX Recycling HC'!G272+'BTX Recycling HC'!G111)</f>
        <v>1.1012614548234105</v>
      </c>
      <c r="I112" s="284">
        <f>I60+I66-'Overall recycling rates'!$G$62/SUM('Overall recycling rates'!$G$60:$G$62)*('BTX Recycling HC'!H183+'BTX Recycling HC'!H235+'BTX Recycling HC'!H269+'BTX Recycling HC'!H108)-'Overall recycling rates'!$E$62/SUM('Overall recycling rates'!$E$60:$E$62)*('BTX Recycling HC'!H184+'BTX Recycling HC'!H236+'BTX Recycling HC'!H270+'BTX Recycling HC'!H109)-'Overall recycling rates'!$H$62/SUM('Overall recycling rates'!$H$60:$H$62)*('BTX Recycling HC'!H185+'BTX Recycling HC'!H237+'BTX Recycling HC'!H271+'BTX Recycling HC'!H110)-'Overall recycling rates'!$I$62/SUM('Overall recycling rates'!$I$60:$I$62)*('BTX Recycling HC'!H186+'BTX Recycling HC'!H238+'BTX Recycling HC'!H272+'BTX Recycling HC'!H111)</f>
        <v>1.1241545999432179</v>
      </c>
      <c r="J112" s="284">
        <f>J60+J66-'Overall recycling rates'!$G$62/SUM('Overall recycling rates'!$G$60:$G$62)*('BTX Recycling HC'!I183+'BTX Recycling HC'!I235+'BTX Recycling HC'!I269+'BTX Recycling HC'!I108)-'Overall recycling rates'!$E$62/SUM('Overall recycling rates'!$E$60:$E$62)*('BTX Recycling HC'!I184+'BTX Recycling HC'!I236+'BTX Recycling HC'!I270+'BTX Recycling HC'!I109)-'Overall recycling rates'!$H$62/SUM('Overall recycling rates'!$H$60:$H$62)*('BTX Recycling HC'!I185+'BTX Recycling HC'!I237+'BTX Recycling HC'!I271+'BTX Recycling HC'!I110)-'Overall recycling rates'!$I$62/SUM('Overall recycling rates'!$I$60:$I$62)*('BTX Recycling HC'!I186+'BTX Recycling HC'!I238+'BTX Recycling HC'!I272+'BTX Recycling HC'!I111)</f>
        <v>1.1145185556103334</v>
      </c>
      <c r="K112" s="284">
        <f>K60+K66-'Overall recycling rates'!$G$62/SUM('Overall recycling rates'!$G$60:$G$62)*('BTX Recycling HC'!J183+'BTX Recycling HC'!J235+'BTX Recycling HC'!J269+'BTX Recycling HC'!J108)-'Overall recycling rates'!$E$62/SUM('Overall recycling rates'!$E$60:$E$62)*('BTX Recycling HC'!J184+'BTX Recycling HC'!J236+'BTX Recycling HC'!J270+'BTX Recycling HC'!J109)-'Overall recycling rates'!$H$62/SUM('Overall recycling rates'!$H$60:$H$62)*('BTX Recycling HC'!J185+'BTX Recycling HC'!J237+'BTX Recycling HC'!J271+'BTX Recycling HC'!J110)-'Overall recycling rates'!$I$62/SUM('Overall recycling rates'!$I$60:$I$62)*('BTX Recycling HC'!J186+'BTX Recycling HC'!J238+'BTX Recycling HC'!J272+'BTX Recycling HC'!J111)</f>
        <v>1.1035643476413977</v>
      </c>
      <c r="L112" s="284">
        <f>L60+L66-'Overall recycling rates'!$G$62/SUM('Overall recycling rates'!$G$60:$G$62)*('BTX Recycling HC'!K183+'BTX Recycling HC'!K235+'BTX Recycling HC'!K269+'BTX Recycling HC'!K108)-'Overall recycling rates'!$E$62/SUM('Overall recycling rates'!$E$60:$E$62)*('BTX Recycling HC'!K184+'BTX Recycling HC'!K236+'BTX Recycling HC'!K270+'BTX Recycling HC'!K109)-'Overall recycling rates'!$H$62/SUM('Overall recycling rates'!$H$60:$H$62)*('BTX Recycling HC'!K185+'BTX Recycling HC'!K237+'BTX Recycling HC'!K271+'BTX Recycling HC'!K110)-'Overall recycling rates'!$I$62/SUM('Overall recycling rates'!$I$60:$I$62)*('BTX Recycling HC'!K186+'BTX Recycling HC'!K238+'BTX Recycling HC'!K272+'BTX Recycling HC'!K111)</f>
        <v>1.091277916021582</v>
      </c>
      <c r="M112" s="284">
        <f>M60+M66-'Overall recycling rates'!$G$62/SUM('Overall recycling rates'!$G$60:$G$62)*('BTX Recycling HC'!L183+'BTX Recycling HC'!L235+'BTX Recycling HC'!L269+'BTX Recycling HC'!L108)-'Overall recycling rates'!$E$62/SUM('Overall recycling rates'!$E$60:$E$62)*('BTX Recycling HC'!L184+'BTX Recycling HC'!L236+'BTX Recycling HC'!L270+'BTX Recycling HC'!L109)-'Overall recycling rates'!$H$62/SUM('Overall recycling rates'!$H$60:$H$62)*('BTX Recycling HC'!L185+'BTX Recycling HC'!L237+'BTX Recycling HC'!L271+'BTX Recycling HC'!L110)-'Overall recycling rates'!$I$62/SUM('Overall recycling rates'!$I$60:$I$62)*('BTX Recycling HC'!L186+'BTX Recycling HC'!L238+'BTX Recycling HC'!L272+'BTX Recycling HC'!L111)</f>
        <v>1.0776544538976305</v>
      </c>
      <c r="N112" s="284">
        <f>N60+N66-'Overall recycling rates'!$G$62/SUM('Overall recycling rates'!$G$60:$G$62)*('BTX Recycling HC'!M183+'BTX Recycling HC'!M235+'BTX Recycling HC'!M269+'BTX Recycling HC'!M108)-'Overall recycling rates'!$E$62/SUM('Overall recycling rates'!$E$60:$E$62)*('BTX Recycling HC'!M184+'BTX Recycling HC'!M236+'BTX Recycling HC'!M270+'BTX Recycling HC'!M109)-'Overall recycling rates'!$H$62/SUM('Overall recycling rates'!$H$60:$H$62)*('BTX Recycling HC'!M185+'BTX Recycling HC'!M237+'BTX Recycling HC'!M271+'BTX Recycling HC'!M110)-'Overall recycling rates'!$I$62/SUM('Overall recycling rates'!$I$60:$I$62)*('BTX Recycling HC'!M186+'BTX Recycling HC'!M238+'BTX Recycling HC'!M272+'BTX Recycling HC'!M111)</f>
        <v>1.062699776596892</v>
      </c>
      <c r="O112" s="284">
        <f>O60+O66-'Overall recycling rates'!$G$62/SUM('Overall recycling rates'!$G$60:$G$62)*('BTX Recycling HC'!N183+'BTX Recycling HC'!N235+'BTX Recycling HC'!N269+'BTX Recycling HC'!N108)-'Overall recycling rates'!$E$62/SUM('Overall recycling rates'!$E$60:$E$62)*('BTX Recycling HC'!N184+'BTX Recycling HC'!N236+'BTX Recycling HC'!N270+'BTX Recycling HC'!N109)-'Overall recycling rates'!$H$62/SUM('Overall recycling rates'!$H$60:$H$62)*('BTX Recycling HC'!N185+'BTX Recycling HC'!N237+'BTX Recycling HC'!N271+'BTX Recycling HC'!N110)-'Overall recycling rates'!$I$62/SUM('Overall recycling rates'!$I$60:$I$62)*('BTX Recycling HC'!N186+'BTX Recycling HC'!N238+'BTX Recycling HC'!N272+'BTX Recycling HC'!N111)</f>
        <v>0.98268488074841387</v>
      </c>
      <c r="P112" s="284">
        <f>P60+P66-'Overall recycling rates'!$G$62/SUM('Overall recycling rates'!$G$60:$G$62)*('BTX Recycling HC'!O183+'BTX Recycling HC'!O235+'BTX Recycling HC'!O269+'BTX Recycling HC'!O108)-'Overall recycling rates'!$E$62/SUM('Overall recycling rates'!$E$60:$E$62)*('BTX Recycling HC'!O184+'BTX Recycling HC'!O236+'BTX Recycling HC'!O270+'BTX Recycling HC'!O109)-'Overall recycling rates'!$H$62/SUM('Overall recycling rates'!$H$60:$H$62)*('BTX Recycling HC'!O185+'BTX Recycling HC'!O237+'BTX Recycling HC'!O271+'BTX Recycling HC'!O110)-'Overall recycling rates'!$I$62/SUM('Overall recycling rates'!$I$60:$I$62)*('BTX Recycling HC'!O186+'BTX Recycling HC'!O238+'BTX Recycling HC'!O272+'BTX Recycling HC'!O111)</f>
        <v>0.90019774595071722</v>
      </c>
      <c r="Q112" s="284">
        <f>Q60+Q66-'Overall recycling rates'!$G$62/SUM('Overall recycling rates'!$G$60:$G$62)*('BTX Recycling HC'!P183+'BTX Recycling HC'!P235+'BTX Recycling HC'!P269+'BTX Recycling HC'!P108)-'Overall recycling rates'!$E$62/SUM('Overall recycling rates'!$E$60:$E$62)*('BTX Recycling HC'!P184+'BTX Recycling HC'!P236+'BTX Recycling HC'!P270+'BTX Recycling HC'!P109)-'Overall recycling rates'!$H$62/SUM('Overall recycling rates'!$H$60:$H$62)*('BTX Recycling HC'!P185+'BTX Recycling HC'!P237+'BTX Recycling HC'!P271+'BTX Recycling HC'!P110)-'Overall recycling rates'!$I$62/SUM('Overall recycling rates'!$I$60:$I$62)*('BTX Recycling HC'!P186+'BTX Recycling HC'!P238+'BTX Recycling HC'!P272+'BTX Recycling HC'!P111)</f>
        <v>0.81565704081683821</v>
      </c>
      <c r="R112" s="284">
        <f>R60+R66-'Overall recycling rates'!$G$62/SUM('Overall recycling rates'!$G$60:$G$62)*('BTX Recycling HC'!Q183+'BTX Recycling HC'!Q235+'BTX Recycling HC'!Q269+'BTX Recycling HC'!Q108)-'Overall recycling rates'!$E$62/SUM('Overall recycling rates'!$E$60:$E$62)*('BTX Recycling HC'!Q184+'BTX Recycling HC'!Q236+'BTX Recycling HC'!Q270+'BTX Recycling HC'!Q109)-'Overall recycling rates'!$H$62/SUM('Overall recycling rates'!$H$60:$H$62)*('BTX Recycling HC'!Q185+'BTX Recycling HC'!Q237+'BTX Recycling HC'!Q271+'BTX Recycling HC'!Q110)-'Overall recycling rates'!$I$62/SUM('Overall recycling rates'!$I$60:$I$62)*('BTX Recycling HC'!Q186+'BTX Recycling HC'!Q238+'BTX Recycling HC'!Q272+'BTX Recycling HC'!Q111)</f>
        <v>0.72957444231265134</v>
      </c>
      <c r="S112" s="284">
        <f>S60+S66-'Overall recycling rates'!$G$62/SUM('Overall recycling rates'!$G$60:$G$62)*('BTX Recycling HC'!R183+'BTX Recycling HC'!R235+'BTX Recycling HC'!R269+'BTX Recycling HC'!R108)-'Overall recycling rates'!$E$62/SUM('Overall recycling rates'!$E$60:$E$62)*('BTX Recycling HC'!R184+'BTX Recycling HC'!R236+'BTX Recycling HC'!R270+'BTX Recycling HC'!R109)-'Overall recycling rates'!$H$62/SUM('Overall recycling rates'!$H$60:$H$62)*('BTX Recycling HC'!R185+'BTX Recycling HC'!R237+'BTX Recycling HC'!R271+'BTX Recycling HC'!R110)-'Overall recycling rates'!$I$62/SUM('Overall recycling rates'!$I$60:$I$62)*('BTX Recycling HC'!R186+'BTX Recycling HC'!R238+'BTX Recycling HC'!R272+'BTX Recycling HC'!R111)</f>
        <v>0.64250899954366725</v>
      </c>
      <c r="T112" s="284">
        <f>T60+T66-'Overall recycling rates'!$G$62/SUM('Overall recycling rates'!$G$60:$G$62)*('BTX Recycling HC'!S183+'BTX Recycling HC'!S235+'BTX Recycling HC'!S269+'BTX Recycling HC'!S108)-'Overall recycling rates'!$E$62/SUM('Overall recycling rates'!$E$60:$E$62)*('BTX Recycling HC'!S184+'BTX Recycling HC'!S236+'BTX Recycling HC'!S270+'BTX Recycling HC'!S109)-'Overall recycling rates'!$H$62/SUM('Overall recycling rates'!$H$60:$H$62)*('BTX Recycling HC'!S185+'BTX Recycling HC'!S237+'BTX Recycling HC'!S271+'BTX Recycling HC'!S110)-'Overall recycling rates'!$I$62/SUM('Overall recycling rates'!$I$60:$I$62)*('BTX Recycling HC'!S186+'BTX Recycling HC'!S238+'BTX Recycling HC'!S272+'BTX Recycling HC'!S111)</f>
        <v>0.54994257549639236</v>
      </c>
      <c r="U112" s="284">
        <f>U60+U66-'Overall recycling rates'!$G$62/SUM('Overall recycling rates'!$G$60:$G$62)*('BTX Recycling HC'!T183+'BTX Recycling HC'!T235+'BTX Recycling HC'!T269+'BTX Recycling HC'!T108)-'Overall recycling rates'!$E$62/SUM('Overall recycling rates'!$E$60:$E$62)*('BTX Recycling HC'!T184+'BTX Recycling HC'!T236+'BTX Recycling HC'!T270+'BTX Recycling HC'!T109)-'Overall recycling rates'!$H$62/SUM('Overall recycling rates'!$H$60:$H$62)*('BTX Recycling HC'!T185+'BTX Recycling HC'!T237+'BTX Recycling HC'!T271+'BTX Recycling HC'!T110)-'Overall recycling rates'!$I$62/SUM('Overall recycling rates'!$I$60:$I$62)*('BTX Recycling HC'!T186+'BTX Recycling HC'!T238+'BTX Recycling HC'!T272+'BTX Recycling HC'!T111)</f>
        <v>0.45385539114451967</v>
      </c>
      <c r="V112" s="284">
        <f>V60+V66-'Overall recycling rates'!$G$62/SUM('Overall recycling rates'!$G$60:$G$62)*('BTX Recycling HC'!U183+'BTX Recycling HC'!U235+'BTX Recycling HC'!U269+'BTX Recycling HC'!U108)-'Overall recycling rates'!$E$62/SUM('Overall recycling rates'!$E$60:$E$62)*('BTX Recycling HC'!U184+'BTX Recycling HC'!U236+'BTX Recycling HC'!U270+'BTX Recycling HC'!U109)-'Overall recycling rates'!$H$62/SUM('Overall recycling rates'!$H$60:$H$62)*('BTX Recycling HC'!U185+'BTX Recycling HC'!U237+'BTX Recycling HC'!U271+'BTX Recycling HC'!U110)-'Overall recycling rates'!$I$62/SUM('Overall recycling rates'!$I$60:$I$62)*('BTX Recycling HC'!U186+'BTX Recycling HC'!U238+'BTX Recycling HC'!U272+'BTX Recycling HC'!U111)</f>
        <v>0.3542657801677222</v>
      </c>
      <c r="W112" s="284">
        <f>W60+W66-'Overall recycling rates'!$G$62/SUM('Overall recycling rates'!$G$60:$G$62)*('BTX Recycling HC'!V183+'BTX Recycling HC'!V235+'BTX Recycling HC'!V269+'BTX Recycling HC'!V108)-'Overall recycling rates'!$E$62/SUM('Overall recycling rates'!$E$60:$E$62)*('BTX Recycling HC'!V184+'BTX Recycling HC'!V236+'BTX Recycling HC'!V270+'BTX Recycling HC'!V109)-'Overall recycling rates'!$H$62/SUM('Overall recycling rates'!$H$60:$H$62)*('BTX Recycling HC'!V185+'BTX Recycling HC'!V237+'BTX Recycling HC'!V271+'BTX Recycling HC'!V110)-'Overall recycling rates'!$I$62/SUM('Overall recycling rates'!$I$60:$I$62)*('BTX Recycling HC'!V186+'BTX Recycling HC'!V238+'BTX Recycling HC'!V272+'BTX Recycling HC'!V111)</f>
        <v>0.25121445947002424</v>
      </c>
      <c r="X112" s="284">
        <f>X60+X66-'Overall recycling rates'!$G$62/SUM('Overall recycling rates'!$G$60:$G$62)*('BTX Recycling HC'!W183+'BTX Recycling HC'!W235+'BTX Recycling HC'!W269+'BTX Recycling HC'!W108)-'Overall recycling rates'!$E$62/SUM('Overall recycling rates'!$E$60:$E$62)*('BTX Recycling HC'!W184+'BTX Recycling HC'!W236+'BTX Recycling HC'!W270+'BTX Recycling HC'!W109)-'Overall recycling rates'!$H$62/SUM('Overall recycling rates'!$H$60:$H$62)*('BTX Recycling HC'!W185+'BTX Recycling HC'!W237+'BTX Recycling HC'!W271+'BTX Recycling HC'!W110)-'Overall recycling rates'!$I$62/SUM('Overall recycling rates'!$I$60:$I$62)*('BTX Recycling HC'!W186+'BTX Recycling HC'!W238+'BTX Recycling HC'!W272+'BTX Recycling HC'!W111)</f>
        <v>0.14476738765153105</v>
      </c>
      <c r="Y112" s="284">
        <f>Y60+Y66-'Overall recycling rates'!$G$62/SUM('Overall recycling rates'!$G$60:$G$62)*('BTX Recycling HC'!X183+'BTX Recycling HC'!X235+'BTX Recycling HC'!X269+'BTX Recycling HC'!X108)-'Overall recycling rates'!$E$62/SUM('Overall recycling rates'!$E$60:$E$62)*('BTX Recycling HC'!X184+'BTX Recycling HC'!X236+'BTX Recycling HC'!X270+'BTX Recycling HC'!X109)-'Overall recycling rates'!$H$62/SUM('Overall recycling rates'!$H$60:$H$62)*('BTX Recycling HC'!X185+'BTX Recycling HC'!X237+'BTX Recycling HC'!X271+'BTX Recycling HC'!X110)-'Overall recycling rates'!$I$62/SUM('Overall recycling rates'!$I$60:$I$62)*('BTX Recycling HC'!X186+'BTX Recycling HC'!X238+'BTX Recycling HC'!X272+'BTX Recycling HC'!X111)</f>
        <v>-4.8661117697758133E-2</v>
      </c>
      <c r="Z112" s="284">
        <f>Z60+Z66-'Overall recycling rates'!$G$62/SUM('Overall recycling rates'!$G$60:$G$62)*('BTX Recycling HC'!Y183+'BTX Recycling HC'!Y235+'BTX Recycling HC'!Y269+'BTX Recycling HC'!Y108)-'Overall recycling rates'!$E$62/SUM('Overall recycling rates'!$E$60:$E$62)*('BTX Recycling HC'!Y184+'BTX Recycling HC'!Y236+'BTX Recycling HC'!Y270+'BTX Recycling HC'!Y109)-'Overall recycling rates'!$H$62/SUM('Overall recycling rates'!$H$60:$H$62)*('BTX Recycling HC'!Y185+'BTX Recycling HC'!Y237+'BTX Recycling HC'!Y271+'BTX Recycling HC'!Y110)-'Overall recycling rates'!$I$62/SUM('Overall recycling rates'!$I$60:$I$62)*('BTX Recycling HC'!Y186+'BTX Recycling HC'!Y238+'BTX Recycling HC'!Y272+'BTX Recycling HC'!Y111)</f>
        <v>-0.2491790862020663</v>
      </c>
      <c r="AA112" s="284">
        <f>AA60+AA66-'Overall recycling rates'!$G$62/SUM('Overall recycling rates'!$G$60:$G$62)*('BTX Recycling HC'!Z183+'BTX Recycling HC'!Z235+'BTX Recycling HC'!Z269+'BTX Recycling HC'!Z108)-'Overall recycling rates'!$E$62/SUM('Overall recycling rates'!$E$60:$E$62)*('BTX Recycling HC'!Z184+'BTX Recycling HC'!Z236+'BTX Recycling HC'!Z270+'BTX Recycling HC'!Z109)-'Overall recycling rates'!$H$62/SUM('Overall recycling rates'!$H$60:$H$62)*('BTX Recycling HC'!Z185+'BTX Recycling HC'!Z237+'BTX Recycling HC'!Z271+'BTX Recycling HC'!Z110)-'Overall recycling rates'!$I$62/SUM('Overall recycling rates'!$I$60:$I$62)*('BTX Recycling HC'!Z186+'BTX Recycling HC'!Z238+'BTX Recycling HC'!Z272+'BTX Recycling HC'!Z111)</f>
        <v>-0.45683628252347808</v>
      </c>
      <c r="AB112" s="284">
        <f>AB60+AB66-'Overall recycling rates'!$G$62/SUM('Overall recycling rates'!$G$60:$G$62)*('BTX Recycling HC'!AA183+'BTX Recycling HC'!AA235+'BTX Recycling HC'!AA269+'BTX Recycling HC'!AA108)-'Overall recycling rates'!$E$62/SUM('Overall recycling rates'!$E$60:$E$62)*('BTX Recycling HC'!AA184+'BTX Recycling HC'!AA236+'BTX Recycling HC'!AA270+'BTX Recycling HC'!AA109)-'Overall recycling rates'!$H$62/SUM('Overall recycling rates'!$H$60:$H$62)*('BTX Recycling HC'!AA185+'BTX Recycling HC'!AA237+'BTX Recycling HC'!AA271+'BTX Recycling HC'!AA110)-'Overall recycling rates'!$I$62/SUM('Overall recycling rates'!$I$60:$I$62)*('BTX Recycling HC'!AA186+'BTX Recycling HC'!AA238+'BTX Recycling HC'!AA272+'BTX Recycling HC'!AA111)</f>
        <v>-0.67155230128780152</v>
      </c>
      <c r="AC112" s="284">
        <f>AC60+AC66-'Overall recycling rates'!$G$62/SUM('Overall recycling rates'!$G$60:$G$62)*('BTX Recycling HC'!AB183+'BTX Recycling HC'!AB235+'BTX Recycling HC'!AB269+'BTX Recycling HC'!AB108)-'Overall recycling rates'!$E$62/SUM('Overall recycling rates'!$E$60:$E$62)*('BTX Recycling HC'!AB184+'BTX Recycling HC'!AB236+'BTX Recycling HC'!AB270+'BTX Recycling HC'!AB109)-'Overall recycling rates'!$H$62/SUM('Overall recycling rates'!$H$60:$H$62)*('BTX Recycling HC'!AB185+'BTX Recycling HC'!AB237+'BTX Recycling HC'!AB271+'BTX Recycling HC'!AB110)-'Overall recycling rates'!$I$62/SUM('Overall recycling rates'!$I$60:$I$62)*('BTX Recycling HC'!AB186+'BTX Recycling HC'!AB238+'BTX Recycling HC'!AB272+'BTX Recycling HC'!AB111)</f>
        <v>-0.89324899970964289</v>
      </c>
      <c r="AD112" s="284">
        <f>AD60+AD66-'Overall recycling rates'!$G$62/SUM('Overall recycling rates'!$G$60:$G$62)*('BTX Recycling HC'!AC183+'BTX Recycling HC'!AC235+'BTX Recycling HC'!AC269+'BTX Recycling HC'!AC108)-'Overall recycling rates'!$E$62/SUM('Overall recycling rates'!$E$60:$E$62)*('BTX Recycling HC'!AC184+'BTX Recycling HC'!AC236+'BTX Recycling HC'!AC270+'BTX Recycling HC'!AC109)-'Overall recycling rates'!$H$62/SUM('Overall recycling rates'!$H$60:$H$62)*('BTX Recycling HC'!AC185+'BTX Recycling HC'!AC237+'BTX Recycling HC'!AC271+'BTX Recycling HC'!AC110)-'Overall recycling rates'!$I$62/SUM('Overall recycling rates'!$I$60:$I$62)*('BTX Recycling HC'!AC186+'BTX Recycling HC'!AC238+'BTX Recycling HC'!AC272+'BTX Recycling HC'!AC111)</f>
        <v>-1.1281828591396554</v>
      </c>
      <c r="AE112" s="284">
        <f>AE60+AE66-'Overall recycling rates'!$G$62/SUM('Overall recycling rates'!$G$60:$G$62)*('BTX Recycling HC'!AD183+'BTX Recycling HC'!AD235+'BTX Recycling HC'!AD269+'BTX Recycling HC'!AD108)-'Overall recycling rates'!$E$62/SUM('Overall recycling rates'!$E$60:$E$62)*('BTX Recycling HC'!AD184+'BTX Recycling HC'!AD236+'BTX Recycling HC'!AD270+'BTX Recycling HC'!AD109)-'Overall recycling rates'!$H$62/SUM('Overall recycling rates'!$H$60:$H$62)*('BTX Recycling HC'!AD185+'BTX Recycling HC'!AD237+'BTX Recycling HC'!AD271+'BTX Recycling HC'!AD110)-'Overall recycling rates'!$I$62/SUM('Overall recycling rates'!$I$60:$I$62)*('BTX Recycling HC'!AD186+'BTX Recycling HC'!AD238+'BTX Recycling HC'!AD272+'BTX Recycling HC'!AD111)</f>
        <v>-1.3698785475592641</v>
      </c>
      <c r="AF112" s="284">
        <f>AF60+AF66-'Overall recycling rates'!$G$62/SUM('Overall recycling rates'!$G$60:$G$62)*('BTX Recycling HC'!AE183+'BTX Recycling HC'!AE235+'BTX Recycling HC'!AE269+'BTX Recycling HC'!AE108)-'Overall recycling rates'!$E$62/SUM('Overall recycling rates'!$E$60:$E$62)*('BTX Recycling HC'!AE184+'BTX Recycling HC'!AE236+'BTX Recycling HC'!AE270+'BTX Recycling HC'!AE109)-'Overall recycling rates'!$H$62/SUM('Overall recycling rates'!$H$60:$H$62)*('BTX Recycling HC'!AE185+'BTX Recycling HC'!AE237+'BTX Recycling HC'!AE271+'BTX Recycling HC'!AE110)-'Overall recycling rates'!$I$62/SUM('Overall recycling rates'!$I$60:$I$62)*('BTX Recycling HC'!AE186+'BTX Recycling HC'!AE238+'BTX Recycling HC'!AE272+'BTX Recycling HC'!AE111)</f>
        <v>-1.6181088113539512</v>
      </c>
      <c r="AG112" s="284">
        <f>AG60+AG66-'Overall recycling rates'!$G$62/SUM('Overall recycling rates'!$G$60:$G$62)*('BTX Recycling HC'!AF183+'BTX Recycling HC'!AF235+'BTX Recycling HC'!AF269+'BTX Recycling HC'!AF108)-'Overall recycling rates'!$E$62/SUM('Overall recycling rates'!$E$60:$E$62)*('BTX Recycling HC'!AF184+'BTX Recycling HC'!AF236+'BTX Recycling HC'!AF270+'BTX Recycling HC'!AF109)-'Overall recycling rates'!$H$62/SUM('Overall recycling rates'!$H$60:$H$62)*('BTX Recycling HC'!AF185+'BTX Recycling HC'!AF237+'BTX Recycling HC'!AF271+'BTX Recycling HC'!AF110)-'Overall recycling rates'!$I$62/SUM('Overall recycling rates'!$I$60:$I$62)*('BTX Recycling HC'!AF186+'BTX Recycling HC'!AF238+'BTX Recycling HC'!AF272+'BTX Recycling HC'!AF111)</f>
        <v>-1.8725813611797606</v>
      </c>
      <c r="AH112" s="284">
        <f>AH60+AH66-'Overall recycling rates'!$G$62/SUM('Overall recycling rates'!$G$60:$G$62)*('BTX Recycling HC'!AG183+'BTX Recycling HC'!AG235+'BTX Recycling HC'!AG269+'BTX Recycling HC'!AG108)-'Overall recycling rates'!$E$62/SUM('Overall recycling rates'!$E$60:$E$62)*('BTX Recycling HC'!AG184+'BTX Recycling HC'!AG236+'BTX Recycling HC'!AG270+'BTX Recycling HC'!AG109)-'Overall recycling rates'!$H$62/SUM('Overall recycling rates'!$H$60:$H$62)*('BTX Recycling HC'!AG185+'BTX Recycling HC'!AG237+'BTX Recycling HC'!AG271+'BTX Recycling HC'!AG110)-'Overall recycling rates'!$I$62/SUM('Overall recycling rates'!$I$60:$I$62)*('BTX Recycling HC'!AG186+'BTX Recycling HC'!AG238+'BTX Recycling HC'!AG272+'BTX Recycling HC'!AG111)</f>
        <v>-2.1329312040727011</v>
      </c>
      <c r="AJ112" s="284">
        <f>AJ60+AJ66-'Overall recycling rates'!$G$62/SUM('Overall recycling rates'!$G$60:$G$62)*('BTX Recycling HC'!C183+'BTX Recycling HC'!C235+'BTX Recycling HC'!C269+'BTX Recycling HC'!C108)-'Overall recycling rates'!$E$62/SUM('Overall recycling rates'!$E$60:$E$62)*('BTX Recycling HC'!C184+'BTX Recycling HC'!C236+'BTX Recycling HC'!C270+'BTX Recycling HC'!C109)-'Overall recycling rates'!$H$62/SUM('Overall recycling rates'!$H$60:$H$62)*('BTX Recycling HC'!C185+'BTX Recycling HC'!C237+'BTX Recycling HC'!C271+'BTX Recycling HC'!C110)-'Overall recycling rates'!$I$62/SUM('Overall recycling rates'!$I$60:$I$62)*('BTX Recycling HC'!C186+'BTX Recycling HC'!C238+'BTX Recycling HC'!C272+'BTX Recycling HC'!C111)</f>
        <v>0.94700598044522621</v>
      </c>
      <c r="AK112" s="284">
        <f>AK60+AK66-'Overall recycling rates'!$G$62/SUM('Overall recycling rates'!$G$60:$G$62)*('BTX Recycling HC'!D183+'BTX Recycling HC'!D235+'BTX Recycling HC'!D269+'BTX Recycling HC'!D108)-'Overall recycling rates'!$E$62/SUM('Overall recycling rates'!$E$60:$E$62)*('BTX Recycling HC'!D184+'BTX Recycling HC'!D236+'BTX Recycling HC'!D270+'BTX Recycling HC'!D109)-'Overall recycling rates'!$H$62/SUM('Overall recycling rates'!$H$60:$H$62)*('BTX Recycling HC'!D185+'BTX Recycling HC'!D237+'BTX Recycling HC'!D271+'BTX Recycling HC'!D110)-'Overall recycling rates'!$I$62/SUM('Overall recycling rates'!$I$60:$I$62)*('BTX Recycling HC'!D186+'BTX Recycling HC'!D238+'BTX Recycling HC'!D272+'BTX Recycling HC'!D111)</f>
        <v>1.0399081693026195</v>
      </c>
      <c r="AL112" s="284">
        <f>AL60+AL66-'Overall recycling rates'!$G$62/SUM('Overall recycling rates'!$G$60:$G$62)*('BTX Recycling HC'!E183+'BTX Recycling HC'!E235+'BTX Recycling HC'!E269+'BTX Recycling HC'!E108)-'Overall recycling rates'!$E$62/SUM('Overall recycling rates'!$E$60:$E$62)*('BTX Recycling HC'!E184+'BTX Recycling HC'!E236+'BTX Recycling HC'!E270+'BTX Recycling HC'!E109)-'Overall recycling rates'!$H$62/SUM('Overall recycling rates'!$H$60:$H$62)*('BTX Recycling HC'!E185+'BTX Recycling HC'!E237+'BTX Recycling HC'!E271+'BTX Recycling HC'!E110)-'Overall recycling rates'!$I$62/SUM('Overall recycling rates'!$I$60:$I$62)*('BTX Recycling HC'!E186+'BTX Recycling HC'!E238+'BTX Recycling HC'!E272+'BTX Recycling HC'!E111)</f>
        <v>1.0594209835378028</v>
      </c>
      <c r="AM112" s="284">
        <f>AM60+AM66-'Overall recycling rates'!$G$62/SUM('Overall recycling rates'!$G$60:$G$62)*('BTX Recycling HC'!F183+'BTX Recycling HC'!F235+'BTX Recycling HC'!F269+'BTX Recycling HC'!F108)-'Overall recycling rates'!$E$62/SUM('Overall recycling rates'!$E$60:$E$62)*('BTX Recycling HC'!F184+'BTX Recycling HC'!F236+'BTX Recycling HC'!F270+'BTX Recycling HC'!F109)-'Overall recycling rates'!$H$62/SUM('Overall recycling rates'!$H$60:$H$62)*('BTX Recycling HC'!F185+'BTX Recycling HC'!F237+'BTX Recycling HC'!F271+'BTX Recycling HC'!F110)-'Overall recycling rates'!$I$62/SUM('Overall recycling rates'!$I$60:$I$62)*('BTX Recycling HC'!F186+'BTX Recycling HC'!F238+'BTX Recycling HC'!F272+'BTX Recycling HC'!F111)</f>
        <v>1.0797830621867921</v>
      </c>
      <c r="AN112" s="284">
        <f>AN60+AN66-'Overall recycling rates'!$G$62/SUM('Overall recycling rates'!$G$60:$G$62)*('BTX Recycling HC'!G183+'BTX Recycling HC'!G235+'BTX Recycling HC'!G269+'BTX Recycling HC'!G108)-'Overall recycling rates'!$E$62/SUM('Overall recycling rates'!$E$60:$E$62)*('BTX Recycling HC'!G184+'BTX Recycling HC'!G236+'BTX Recycling HC'!G270+'BTX Recycling HC'!G109)-'Overall recycling rates'!$H$62/SUM('Overall recycling rates'!$H$60:$H$62)*('BTX Recycling HC'!G185+'BTX Recycling HC'!G237+'BTX Recycling HC'!G271+'BTX Recycling HC'!G110)-'Overall recycling rates'!$I$62/SUM('Overall recycling rates'!$I$60:$I$62)*('BTX Recycling HC'!G186+'BTX Recycling HC'!G238+'BTX Recycling HC'!G272+'BTX Recycling HC'!G111)</f>
        <v>1.1012614548234105</v>
      </c>
      <c r="AO112" s="284">
        <f>AO60+AO66-'Overall recycling rates'!$G$62/SUM('Overall recycling rates'!$G$60:$G$62)*('BTX Recycling HC'!H183+'BTX Recycling HC'!H235+'BTX Recycling HC'!H269+'BTX Recycling HC'!H108)-'Overall recycling rates'!$E$62/SUM('Overall recycling rates'!$E$60:$E$62)*('BTX Recycling HC'!H184+'BTX Recycling HC'!H236+'BTX Recycling HC'!H270+'BTX Recycling HC'!H109)-'Overall recycling rates'!$H$62/SUM('Overall recycling rates'!$H$60:$H$62)*('BTX Recycling HC'!H185+'BTX Recycling HC'!H237+'BTX Recycling HC'!H271+'BTX Recycling HC'!H110)-'Overall recycling rates'!$I$62/SUM('Overall recycling rates'!$I$60:$I$62)*('BTX Recycling HC'!H186+'BTX Recycling HC'!H238+'BTX Recycling HC'!H272+'BTX Recycling HC'!H111)</f>
        <v>1.1241545999432179</v>
      </c>
      <c r="AP112" s="284">
        <f>AP60+AP66-'Overall recycling rates'!$G$62/SUM('Overall recycling rates'!$G$60:$G$62)*('BTX Recycling HC'!I183+'BTX Recycling HC'!I235+'BTX Recycling HC'!I269+'BTX Recycling HC'!I108)-'Overall recycling rates'!$E$62/SUM('Overall recycling rates'!$E$60:$E$62)*('BTX Recycling HC'!I184+'BTX Recycling HC'!I236+'BTX Recycling HC'!I270+'BTX Recycling HC'!I109)-'Overall recycling rates'!$H$62/SUM('Overall recycling rates'!$H$60:$H$62)*('BTX Recycling HC'!I185+'BTX Recycling HC'!I237+'BTX Recycling HC'!I271+'BTX Recycling HC'!I110)-'Overall recycling rates'!$I$62/SUM('Overall recycling rates'!$I$60:$I$62)*('BTX Recycling HC'!I186+'BTX Recycling HC'!I238+'BTX Recycling HC'!I272+'BTX Recycling HC'!I111)</f>
        <v>1.1145185556103334</v>
      </c>
      <c r="AQ112" s="284">
        <f>AQ60+AQ66-'Overall recycling rates'!$G$62/SUM('Overall recycling rates'!$G$60:$G$62)*('BTX Recycling HC'!J183+'BTX Recycling HC'!J235+'BTX Recycling HC'!J269+'BTX Recycling HC'!J108)-'Overall recycling rates'!$E$62/SUM('Overall recycling rates'!$E$60:$E$62)*('BTX Recycling HC'!J184+'BTX Recycling HC'!J236+'BTX Recycling HC'!J270+'BTX Recycling HC'!J109)-'Overall recycling rates'!$H$62/SUM('Overall recycling rates'!$H$60:$H$62)*('BTX Recycling HC'!J185+'BTX Recycling HC'!J237+'BTX Recycling HC'!J271+'BTX Recycling HC'!J110)-'Overall recycling rates'!$I$62/SUM('Overall recycling rates'!$I$60:$I$62)*('BTX Recycling HC'!J186+'BTX Recycling HC'!J238+'BTX Recycling HC'!J272+'BTX Recycling HC'!J111)</f>
        <v>1.1035643476413977</v>
      </c>
      <c r="AR112" s="284">
        <f>AR60+AR66-'Overall recycling rates'!$G$62/SUM('Overall recycling rates'!$G$60:$G$62)*('BTX Recycling HC'!K183+'BTX Recycling HC'!K235+'BTX Recycling HC'!K269+'BTX Recycling HC'!K108)-'Overall recycling rates'!$E$62/SUM('Overall recycling rates'!$E$60:$E$62)*('BTX Recycling HC'!K184+'BTX Recycling HC'!K236+'BTX Recycling HC'!K270+'BTX Recycling HC'!K109)-'Overall recycling rates'!$H$62/SUM('Overall recycling rates'!$H$60:$H$62)*('BTX Recycling HC'!K185+'BTX Recycling HC'!K237+'BTX Recycling HC'!K271+'BTX Recycling HC'!K110)-'Overall recycling rates'!$I$62/SUM('Overall recycling rates'!$I$60:$I$62)*('BTX Recycling HC'!K186+'BTX Recycling HC'!K238+'BTX Recycling HC'!K272+'BTX Recycling HC'!K111)</f>
        <v>1.091277916021582</v>
      </c>
      <c r="AS112" s="284">
        <f>AS60+AS66-'Overall recycling rates'!$G$62/SUM('Overall recycling rates'!$G$60:$G$62)*('BTX Recycling HC'!L183+'BTX Recycling HC'!L235+'BTX Recycling HC'!L269+'BTX Recycling HC'!L108)-'Overall recycling rates'!$E$62/SUM('Overall recycling rates'!$E$60:$E$62)*('BTX Recycling HC'!L184+'BTX Recycling HC'!L236+'BTX Recycling HC'!L270+'BTX Recycling HC'!L109)-'Overall recycling rates'!$H$62/SUM('Overall recycling rates'!$H$60:$H$62)*('BTX Recycling HC'!L185+'BTX Recycling HC'!L237+'BTX Recycling HC'!L271+'BTX Recycling HC'!L110)-'Overall recycling rates'!$I$62/SUM('Overall recycling rates'!$I$60:$I$62)*('BTX Recycling HC'!L186+'BTX Recycling HC'!L238+'BTX Recycling HC'!L272+'BTX Recycling HC'!L111)</f>
        <v>1.0776544538976305</v>
      </c>
      <c r="AT112" s="284">
        <f>AT60+AT66-'Overall recycling rates'!$G$62/SUM('Overall recycling rates'!$G$60:$G$62)*('BTX Recycling HC'!M183+'BTX Recycling HC'!M235+'BTX Recycling HC'!M269+'BTX Recycling HC'!M108)-'Overall recycling rates'!$E$62/SUM('Overall recycling rates'!$E$60:$E$62)*('BTX Recycling HC'!M184+'BTX Recycling HC'!M236+'BTX Recycling HC'!M270+'BTX Recycling HC'!M109)-'Overall recycling rates'!$H$62/SUM('Overall recycling rates'!$H$60:$H$62)*('BTX Recycling HC'!M185+'BTX Recycling HC'!M237+'BTX Recycling HC'!M271+'BTX Recycling HC'!M110)-'Overall recycling rates'!$I$62/SUM('Overall recycling rates'!$I$60:$I$62)*('BTX Recycling HC'!M186+'BTX Recycling HC'!M238+'BTX Recycling HC'!M272+'BTX Recycling HC'!M111)</f>
        <v>1.062699776596892</v>
      </c>
      <c r="AU112" s="284">
        <f>AU60+AU66-'Overall recycling rates'!$G$62/SUM('Overall recycling rates'!$G$60:$G$62)*('BTX Recycling HC'!N183+'BTX Recycling HC'!N235+'BTX Recycling HC'!N269+'BTX Recycling HC'!N108)-'Overall recycling rates'!$E$62/SUM('Overall recycling rates'!$E$60:$E$62)*('BTX Recycling HC'!N184+'BTX Recycling HC'!N236+'BTX Recycling HC'!N270+'BTX Recycling HC'!N109)-'Overall recycling rates'!$H$62/SUM('Overall recycling rates'!$H$60:$H$62)*('BTX Recycling HC'!N185+'BTX Recycling HC'!N237+'BTX Recycling HC'!N271+'BTX Recycling HC'!N110)-'Overall recycling rates'!$I$62/SUM('Overall recycling rates'!$I$60:$I$62)*('BTX Recycling HC'!N186+'BTX Recycling HC'!N238+'BTX Recycling HC'!N272+'BTX Recycling HC'!N111)</f>
        <v>0.98268488074841387</v>
      </c>
      <c r="AV112" s="284">
        <f>AV60+AV66-'Overall recycling rates'!$G$62/SUM('Overall recycling rates'!$G$60:$G$62)*('BTX Recycling HC'!O183+'BTX Recycling HC'!O235+'BTX Recycling HC'!O269+'BTX Recycling HC'!O108)-'Overall recycling rates'!$E$62/SUM('Overall recycling rates'!$E$60:$E$62)*('BTX Recycling HC'!O184+'BTX Recycling HC'!O236+'BTX Recycling HC'!O270+'BTX Recycling HC'!O109)-'Overall recycling rates'!$H$62/SUM('Overall recycling rates'!$H$60:$H$62)*('BTX Recycling HC'!O185+'BTX Recycling HC'!O237+'BTX Recycling HC'!O271+'BTX Recycling HC'!O110)-'Overall recycling rates'!$I$62/SUM('Overall recycling rates'!$I$60:$I$62)*('BTX Recycling HC'!O186+'BTX Recycling HC'!O238+'BTX Recycling HC'!O272+'BTX Recycling HC'!O111)</f>
        <v>0.90019774595071722</v>
      </c>
      <c r="AW112" s="284">
        <f>AW60+AW66-'Overall recycling rates'!$G$62/SUM('Overall recycling rates'!$G$60:$G$62)*('BTX Recycling HC'!P183+'BTX Recycling HC'!P235+'BTX Recycling HC'!P269+'BTX Recycling HC'!P108)-'Overall recycling rates'!$E$62/SUM('Overall recycling rates'!$E$60:$E$62)*('BTX Recycling HC'!P184+'BTX Recycling HC'!P236+'BTX Recycling HC'!P270+'BTX Recycling HC'!P109)-'Overall recycling rates'!$H$62/SUM('Overall recycling rates'!$H$60:$H$62)*('BTX Recycling HC'!P185+'BTX Recycling HC'!P237+'BTX Recycling HC'!P271+'BTX Recycling HC'!P110)-'Overall recycling rates'!$I$62/SUM('Overall recycling rates'!$I$60:$I$62)*('BTX Recycling HC'!P186+'BTX Recycling HC'!P238+'BTX Recycling HC'!P272+'BTX Recycling HC'!P111)</f>
        <v>0.81565704081683821</v>
      </c>
      <c r="AX112" s="284">
        <f>AX60+AX66-'Overall recycling rates'!$G$62/SUM('Overall recycling rates'!$G$60:$G$62)*('BTX Recycling HC'!Q183+'BTX Recycling HC'!Q235+'BTX Recycling HC'!Q269+'BTX Recycling HC'!Q108)-'Overall recycling rates'!$E$62/SUM('Overall recycling rates'!$E$60:$E$62)*('BTX Recycling HC'!Q184+'BTX Recycling HC'!Q236+'BTX Recycling HC'!Q270+'BTX Recycling HC'!Q109)-'Overall recycling rates'!$H$62/SUM('Overall recycling rates'!$H$60:$H$62)*('BTX Recycling HC'!Q185+'BTX Recycling HC'!Q237+'BTX Recycling HC'!Q271+'BTX Recycling HC'!Q110)-'Overall recycling rates'!$I$62/SUM('Overall recycling rates'!$I$60:$I$62)*('BTX Recycling HC'!Q186+'BTX Recycling HC'!Q238+'BTX Recycling HC'!Q272+'BTX Recycling HC'!Q111)</f>
        <v>0.72957444231265134</v>
      </c>
      <c r="AY112" s="284">
        <f>AY60+AY66-'Overall recycling rates'!$G$62/SUM('Overall recycling rates'!$G$60:$G$62)*('BTX Recycling HC'!R183+'BTX Recycling HC'!R235+'BTX Recycling HC'!R269+'BTX Recycling HC'!R108)-'Overall recycling rates'!$E$62/SUM('Overall recycling rates'!$E$60:$E$62)*('BTX Recycling HC'!R184+'BTX Recycling HC'!R236+'BTX Recycling HC'!R270+'BTX Recycling HC'!R109)-'Overall recycling rates'!$H$62/SUM('Overall recycling rates'!$H$60:$H$62)*('BTX Recycling HC'!R185+'BTX Recycling HC'!R237+'BTX Recycling HC'!R271+'BTX Recycling HC'!R110)-'Overall recycling rates'!$I$62/SUM('Overall recycling rates'!$I$60:$I$62)*('BTX Recycling HC'!R186+'BTX Recycling HC'!R238+'BTX Recycling HC'!R272+'BTX Recycling HC'!R111)</f>
        <v>0.64250899954366725</v>
      </c>
      <c r="AZ112" s="284">
        <f>AZ60+AZ66-'Overall recycling rates'!$G$62/SUM('Overall recycling rates'!$G$60:$G$62)*('BTX Recycling HC'!S183+'BTX Recycling HC'!S235+'BTX Recycling HC'!S269+'BTX Recycling HC'!S108)-'Overall recycling rates'!$E$62/SUM('Overall recycling rates'!$E$60:$E$62)*('BTX Recycling HC'!S184+'BTX Recycling HC'!S236+'BTX Recycling HC'!S270+'BTX Recycling HC'!S109)-'Overall recycling rates'!$H$62/SUM('Overall recycling rates'!$H$60:$H$62)*('BTX Recycling HC'!S185+'BTX Recycling HC'!S237+'BTX Recycling HC'!S271+'BTX Recycling HC'!S110)-'Overall recycling rates'!$I$62/SUM('Overall recycling rates'!$I$60:$I$62)*('BTX Recycling HC'!S186+'BTX Recycling HC'!S238+'BTX Recycling HC'!S272+'BTX Recycling HC'!S111)</f>
        <v>0.54994257549639236</v>
      </c>
      <c r="BA112" s="284">
        <f>BA60+BA66-'Overall recycling rates'!$G$62/SUM('Overall recycling rates'!$G$60:$G$62)*('BTX Recycling HC'!T183+'BTX Recycling HC'!T235+'BTX Recycling HC'!T269+'BTX Recycling HC'!T108)-'Overall recycling rates'!$E$62/SUM('Overall recycling rates'!$E$60:$E$62)*('BTX Recycling HC'!T184+'BTX Recycling HC'!T236+'BTX Recycling HC'!T270+'BTX Recycling HC'!T109)-'Overall recycling rates'!$H$62/SUM('Overall recycling rates'!$H$60:$H$62)*('BTX Recycling HC'!T185+'BTX Recycling HC'!T237+'BTX Recycling HC'!T271+'BTX Recycling HC'!T110)-'Overall recycling rates'!$I$62/SUM('Overall recycling rates'!$I$60:$I$62)*('BTX Recycling HC'!T186+'BTX Recycling HC'!T238+'BTX Recycling HC'!T272+'BTX Recycling HC'!T111)</f>
        <v>0.45385539114451967</v>
      </c>
      <c r="BB112" s="284">
        <f>BB60+BB66-'Overall recycling rates'!$G$62/SUM('Overall recycling rates'!$G$60:$G$62)*('BTX Recycling HC'!U183+'BTX Recycling HC'!U235+'BTX Recycling HC'!U269+'BTX Recycling HC'!U108)-'Overall recycling rates'!$E$62/SUM('Overall recycling rates'!$E$60:$E$62)*('BTX Recycling HC'!U184+'BTX Recycling HC'!U236+'BTX Recycling HC'!U270+'BTX Recycling HC'!U109)-'Overall recycling rates'!$H$62/SUM('Overall recycling rates'!$H$60:$H$62)*('BTX Recycling HC'!U185+'BTX Recycling HC'!U237+'BTX Recycling HC'!U271+'BTX Recycling HC'!U110)-'Overall recycling rates'!$I$62/SUM('Overall recycling rates'!$I$60:$I$62)*('BTX Recycling HC'!U186+'BTX Recycling HC'!U238+'BTX Recycling HC'!U272+'BTX Recycling HC'!U111)</f>
        <v>0.3542657801677222</v>
      </c>
      <c r="BC112" s="284">
        <f>BC60+BC66-'Overall recycling rates'!$G$62/SUM('Overall recycling rates'!$G$60:$G$62)*('BTX Recycling HC'!V183+'BTX Recycling HC'!V235+'BTX Recycling HC'!V269+'BTX Recycling HC'!V108)-'Overall recycling rates'!$E$62/SUM('Overall recycling rates'!$E$60:$E$62)*('BTX Recycling HC'!V184+'BTX Recycling HC'!V236+'BTX Recycling HC'!V270+'BTX Recycling HC'!V109)-'Overall recycling rates'!$H$62/SUM('Overall recycling rates'!$H$60:$H$62)*('BTX Recycling HC'!V185+'BTX Recycling HC'!V237+'BTX Recycling HC'!V271+'BTX Recycling HC'!V110)-'Overall recycling rates'!$I$62/SUM('Overall recycling rates'!$I$60:$I$62)*('BTX Recycling HC'!V186+'BTX Recycling HC'!V238+'BTX Recycling HC'!V272+'BTX Recycling HC'!V111)</f>
        <v>0.25121445947002424</v>
      </c>
      <c r="BD112" s="284">
        <f>BD60+BD66-'Overall recycling rates'!$G$62/SUM('Overall recycling rates'!$G$60:$G$62)*('BTX Recycling HC'!W183+'BTX Recycling HC'!W235+'BTX Recycling HC'!W269+'BTX Recycling HC'!W108)-'Overall recycling rates'!$E$62/SUM('Overall recycling rates'!$E$60:$E$62)*('BTX Recycling HC'!W184+'BTX Recycling HC'!W236+'BTX Recycling HC'!W270+'BTX Recycling HC'!W109)-'Overall recycling rates'!$H$62/SUM('Overall recycling rates'!$H$60:$H$62)*('BTX Recycling HC'!W185+'BTX Recycling HC'!W237+'BTX Recycling HC'!W271+'BTX Recycling HC'!W110)-'Overall recycling rates'!$I$62/SUM('Overall recycling rates'!$I$60:$I$62)*('BTX Recycling HC'!W186+'BTX Recycling HC'!W238+'BTX Recycling HC'!W272+'BTX Recycling HC'!W111)</f>
        <v>0.14476738765153105</v>
      </c>
      <c r="BE112" s="284">
        <f>BE60+BE66-'Overall recycling rates'!$G$62/SUM('Overall recycling rates'!$G$60:$G$62)*('BTX Recycling HC'!X183+'BTX Recycling HC'!X235+'BTX Recycling HC'!X269+'BTX Recycling HC'!X108)-'Overall recycling rates'!$E$62/SUM('Overall recycling rates'!$E$60:$E$62)*('BTX Recycling HC'!X184+'BTX Recycling HC'!X236+'BTX Recycling HC'!X270+'BTX Recycling HC'!X109)-'Overall recycling rates'!$H$62/SUM('Overall recycling rates'!$H$60:$H$62)*('BTX Recycling HC'!X185+'BTX Recycling HC'!X237+'BTX Recycling HC'!X271+'BTX Recycling HC'!X110)-'Overall recycling rates'!$I$62/SUM('Overall recycling rates'!$I$60:$I$62)*('BTX Recycling HC'!X186+'BTX Recycling HC'!X238+'BTX Recycling HC'!X272+'BTX Recycling HC'!X111)</f>
        <v>-4.8661117697758133E-2</v>
      </c>
      <c r="BF112" s="284">
        <f>BF60+BF66-'Overall recycling rates'!$G$62/SUM('Overall recycling rates'!$G$60:$G$62)*('BTX Recycling HC'!Y183+'BTX Recycling HC'!Y235+'BTX Recycling HC'!Y269+'BTX Recycling HC'!Y108)-'Overall recycling rates'!$E$62/SUM('Overall recycling rates'!$E$60:$E$62)*('BTX Recycling HC'!Y184+'BTX Recycling HC'!Y236+'BTX Recycling HC'!Y270+'BTX Recycling HC'!Y109)-'Overall recycling rates'!$H$62/SUM('Overall recycling rates'!$H$60:$H$62)*('BTX Recycling HC'!Y185+'BTX Recycling HC'!Y237+'BTX Recycling HC'!Y271+'BTX Recycling HC'!Y110)-'Overall recycling rates'!$I$62/SUM('Overall recycling rates'!$I$60:$I$62)*('BTX Recycling HC'!Y186+'BTX Recycling HC'!Y238+'BTX Recycling HC'!Y272+'BTX Recycling HC'!Y111)</f>
        <v>-0.2491790862020663</v>
      </c>
      <c r="BG112" s="284">
        <f>BG60+BG66-'Overall recycling rates'!$G$62/SUM('Overall recycling rates'!$G$60:$G$62)*('BTX Recycling HC'!Z183+'BTX Recycling HC'!Z235+'BTX Recycling HC'!Z269+'BTX Recycling HC'!Z108)-'Overall recycling rates'!$E$62/SUM('Overall recycling rates'!$E$60:$E$62)*('BTX Recycling HC'!Z184+'BTX Recycling HC'!Z236+'BTX Recycling HC'!Z270+'BTX Recycling HC'!Z109)-'Overall recycling rates'!$H$62/SUM('Overall recycling rates'!$H$60:$H$62)*('BTX Recycling HC'!Z185+'BTX Recycling HC'!Z237+'BTX Recycling HC'!Z271+'BTX Recycling HC'!Z110)-'Overall recycling rates'!$I$62/SUM('Overall recycling rates'!$I$60:$I$62)*('BTX Recycling HC'!Z186+'BTX Recycling HC'!Z238+'BTX Recycling HC'!Z272+'BTX Recycling HC'!Z111)</f>
        <v>-0.45683628252347808</v>
      </c>
      <c r="BH112" s="284">
        <f>BH60+BH66-'Overall recycling rates'!$G$62/SUM('Overall recycling rates'!$G$60:$G$62)*('BTX Recycling HC'!AA183+'BTX Recycling HC'!AA235+'BTX Recycling HC'!AA269+'BTX Recycling HC'!AA108)-'Overall recycling rates'!$E$62/SUM('Overall recycling rates'!$E$60:$E$62)*('BTX Recycling HC'!AA184+'BTX Recycling HC'!AA236+'BTX Recycling HC'!AA270+'BTX Recycling HC'!AA109)-'Overall recycling rates'!$H$62/SUM('Overall recycling rates'!$H$60:$H$62)*('BTX Recycling HC'!AA185+'BTX Recycling HC'!AA237+'BTX Recycling HC'!AA271+'BTX Recycling HC'!AA110)-'Overall recycling rates'!$I$62/SUM('Overall recycling rates'!$I$60:$I$62)*('BTX Recycling HC'!AA186+'BTX Recycling HC'!AA238+'BTX Recycling HC'!AA272+'BTX Recycling HC'!AA111)</f>
        <v>-0.67155230128780152</v>
      </c>
      <c r="BI112" s="284">
        <f>BI60+BI66-'Overall recycling rates'!$G$62/SUM('Overall recycling rates'!$G$60:$G$62)*('BTX Recycling HC'!AB183+'BTX Recycling HC'!AB235+'BTX Recycling HC'!AB269+'BTX Recycling HC'!AB108)-'Overall recycling rates'!$E$62/SUM('Overall recycling rates'!$E$60:$E$62)*('BTX Recycling HC'!AB184+'BTX Recycling HC'!AB236+'BTX Recycling HC'!AB270+'BTX Recycling HC'!AB109)-'Overall recycling rates'!$H$62/SUM('Overall recycling rates'!$H$60:$H$62)*('BTX Recycling HC'!AB185+'BTX Recycling HC'!AB237+'BTX Recycling HC'!AB271+'BTX Recycling HC'!AB110)-'Overall recycling rates'!$I$62/SUM('Overall recycling rates'!$I$60:$I$62)*('BTX Recycling HC'!AB186+'BTX Recycling HC'!AB238+'BTX Recycling HC'!AB272+'BTX Recycling HC'!AB111)</f>
        <v>-0.89324899970964289</v>
      </c>
      <c r="BJ112" s="284">
        <f>BJ60+BJ66-'Overall recycling rates'!$G$62/SUM('Overall recycling rates'!$G$60:$G$62)*('BTX Recycling HC'!AC183+'BTX Recycling HC'!AC235+'BTX Recycling HC'!AC269+'BTX Recycling HC'!AC108)-'Overall recycling rates'!$E$62/SUM('Overall recycling rates'!$E$60:$E$62)*('BTX Recycling HC'!AC184+'BTX Recycling HC'!AC236+'BTX Recycling HC'!AC270+'BTX Recycling HC'!AC109)-'Overall recycling rates'!$H$62/SUM('Overall recycling rates'!$H$60:$H$62)*('BTX Recycling HC'!AC185+'BTX Recycling HC'!AC237+'BTX Recycling HC'!AC271+'BTX Recycling HC'!AC110)-'Overall recycling rates'!$I$62/SUM('Overall recycling rates'!$I$60:$I$62)*('BTX Recycling HC'!AC186+'BTX Recycling HC'!AC238+'BTX Recycling HC'!AC272+'BTX Recycling HC'!AC111)</f>
        <v>-1.1281828591396554</v>
      </c>
      <c r="BK112" s="284">
        <f>BK60+BK66-'Overall recycling rates'!$G$62/SUM('Overall recycling rates'!$G$60:$G$62)*('BTX Recycling HC'!AD183+'BTX Recycling HC'!AD235+'BTX Recycling HC'!AD269+'BTX Recycling HC'!AD108)-'Overall recycling rates'!$E$62/SUM('Overall recycling rates'!$E$60:$E$62)*('BTX Recycling HC'!AD184+'BTX Recycling HC'!AD236+'BTX Recycling HC'!AD270+'BTX Recycling HC'!AD109)-'Overall recycling rates'!$H$62/SUM('Overall recycling rates'!$H$60:$H$62)*('BTX Recycling HC'!AD185+'BTX Recycling HC'!AD237+'BTX Recycling HC'!AD271+'BTX Recycling HC'!AD110)-'Overall recycling rates'!$I$62/SUM('Overall recycling rates'!$I$60:$I$62)*('BTX Recycling HC'!AD186+'BTX Recycling HC'!AD238+'BTX Recycling HC'!AD272+'BTX Recycling HC'!AD111)</f>
        <v>-1.3698785475592641</v>
      </c>
      <c r="BL112" s="284">
        <f>BL60+BL66-'Overall recycling rates'!$G$62/SUM('Overall recycling rates'!$G$60:$G$62)*('BTX Recycling HC'!AE183+'BTX Recycling HC'!AE235+'BTX Recycling HC'!AE269+'BTX Recycling HC'!AE108)-'Overall recycling rates'!$E$62/SUM('Overall recycling rates'!$E$60:$E$62)*('BTX Recycling HC'!AE184+'BTX Recycling HC'!AE236+'BTX Recycling HC'!AE270+'BTX Recycling HC'!AE109)-'Overall recycling rates'!$H$62/SUM('Overall recycling rates'!$H$60:$H$62)*('BTX Recycling HC'!AE185+'BTX Recycling HC'!AE237+'BTX Recycling HC'!AE271+'BTX Recycling HC'!AE110)-'Overall recycling rates'!$I$62/SUM('Overall recycling rates'!$I$60:$I$62)*('BTX Recycling HC'!AE186+'BTX Recycling HC'!AE238+'BTX Recycling HC'!AE272+'BTX Recycling HC'!AE111)</f>
        <v>-1.6181088113539512</v>
      </c>
      <c r="BM112" s="284">
        <f>BM60+BM66-'Overall recycling rates'!$G$62/SUM('Overall recycling rates'!$G$60:$G$62)*('BTX Recycling HC'!AF183+'BTX Recycling HC'!AF235+'BTX Recycling HC'!AF269+'BTX Recycling HC'!AF108)-'Overall recycling rates'!$E$62/SUM('Overall recycling rates'!$E$60:$E$62)*('BTX Recycling HC'!AF184+'BTX Recycling HC'!AF236+'BTX Recycling HC'!AF270+'BTX Recycling HC'!AF109)-'Overall recycling rates'!$H$62/SUM('Overall recycling rates'!$H$60:$H$62)*('BTX Recycling HC'!AF185+'BTX Recycling HC'!AF237+'BTX Recycling HC'!AF271+'BTX Recycling HC'!AF110)-'Overall recycling rates'!$I$62/SUM('Overall recycling rates'!$I$60:$I$62)*('BTX Recycling HC'!AF186+'BTX Recycling HC'!AF238+'BTX Recycling HC'!AF272+'BTX Recycling HC'!AF111)</f>
        <v>-1.8725813611797606</v>
      </c>
      <c r="BN112" s="284">
        <f>BN60+BN66-'Overall recycling rates'!$G$62/SUM('Overall recycling rates'!$G$60:$G$62)*('BTX Recycling HC'!AG183+'BTX Recycling HC'!AG235+'BTX Recycling HC'!AG269+'BTX Recycling HC'!AG108)-'Overall recycling rates'!$E$62/SUM('Overall recycling rates'!$E$60:$E$62)*('BTX Recycling HC'!AG184+'BTX Recycling HC'!AG236+'BTX Recycling HC'!AG270+'BTX Recycling HC'!AG109)-'Overall recycling rates'!$H$62/SUM('Overall recycling rates'!$H$60:$H$62)*('BTX Recycling HC'!AG185+'BTX Recycling HC'!AG237+'BTX Recycling HC'!AG271+'BTX Recycling HC'!AG110)-'Overall recycling rates'!$I$62/SUM('Overall recycling rates'!$I$60:$I$62)*('BTX Recycling HC'!AG186+'BTX Recycling HC'!AG238+'BTX Recycling HC'!AG272+'BTX Recycling HC'!AG111)</f>
        <v>-2.1329312040727011</v>
      </c>
    </row>
    <row r="113" spans="1:67" outlineLevel="1">
      <c r="A113" s="58" t="s">
        <v>67</v>
      </c>
      <c r="B113" s="58" t="s">
        <v>227</v>
      </c>
      <c r="C113" s="100" t="s">
        <v>153</v>
      </c>
      <c r="D113" s="101">
        <f>D77+D97+D98+D106+D107+D90+D99+D108</f>
        <v>0</v>
      </c>
      <c r="E113" s="101">
        <f t="shared" ref="E113:AG113" si="135">E77+E97+E98+E106+E107+E90+E99+E108</f>
        <v>0.19932868779311647</v>
      </c>
      <c r="F113" s="101">
        <f t="shared" si="135"/>
        <v>0.46952041356706686</v>
      </c>
      <c r="G113" s="101">
        <f t="shared" si="135"/>
        <v>0.74498902332035166</v>
      </c>
      <c r="H113" s="101">
        <f t="shared" si="135"/>
        <v>1.0243536329541088</v>
      </c>
      <c r="I113" s="101">
        <f t="shared" si="135"/>
        <v>1.3061245959229406</v>
      </c>
      <c r="J113" s="101">
        <f t="shared" si="135"/>
        <v>1.5994129893683151</v>
      </c>
      <c r="K113" s="101">
        <f t="shared" si="135"/>
        <v>1.9044336836834097</v>
      </c>
      <c r="L113" s="101">
        <f t="shared" si="135"/>
        <v>2.2213912784186824</v>
      </c>
      <c r="M113" s="101">
        <f t="shared" si="135"/>
        <v>2.5504790966863742</v>
      </c>
      <c r="N113" s="101">
        <f t="shared" si="135"/>
        <v>2.8918781631406274</v>
      </c>
      <c r="O113" s="101">
        <f t="shared" si="135"/>
        <v>3.4592159570359273</v>
      </c>
      <c r="P113" s="101">
        <f t="shared" si="135"/>
        <v>4.0387392821358272</v>
      </c>
      <c r="Q113" s="101">
        <f t="shared" si="135"/>
        <v>4.6285420648559192</v>
      </c>
      <c r="R113" s="101">
        <f t="shared" si="135"/>
        <v>5.2257179963035805</v>
      </c>
      <c r="S113" s="101">
        <f t="shared" si="135"/>
        <v>5.8275716997070166</v>
      </c>
      <c r="T113" s="101">
        <f t="shared" si="135"/>
        <v>6.4489277826697888</v>
      </c>
      <c r="U113" s="101">
        <f t="shared" si="135"/>
        <v>7.0902343533178458</v>
      </c>
      <c r="V113" s="101">
        <f t="shared" si="135"/>
        <v>7.7519418903283928</v>
      </c>
      <c r="W113" s="101">
        <f t="shared" si="135"/>
        <v>8.434502938611228</v>
      </c>
      <c r="X113" s="101">
        <f t="shared" si="135"/>
        <v>9.1383717948925511</v>
      </c>
      <c r="Y113" s="101">
        <f t="shared" si="135"/>
        <v>10.16431079447252</v>
      </c>
      <c r="Z113" s="101">
        <f t="shared" si="135"/>
        <v>11.224400606102783</v>
      </c>
      <c r="AA113" s="101">
        <f t="shared" si="135"/>
        <v>12.320582262226267</v>
      </c>
      <c r="AB113" s="101">
        <f t="shared" si="135"/>
        <v>13.452567045055115</v>
      </c>
      <c r="AC113" s="101">
        <f t="shared" si="135"/>
        <v>14.621121265882778</v>
      </c>
      <c r="AD113" s="101">
        <f t="shared" si="135"/>
        <v>15.827193344012844</v>
      </c>
      <c r="AE113" s="101">
        <f t="shared" si="135"/>
        <v>17.071585788426891</v>
      </c>
      <c r="AF113" s="101">
        <f t="shared" si="135"/>
        <v>18.355102824575081</v>
      </c>
      <c r="AG113" s="101">
        <f t="shared" si="135"/>
        <v>19.678549865155112</v>
      </c>
      <c r="AH113" s="580">
        <f>AH77+AH97+AH98+AH106+AH107+AH90+AH99+AH108</f>
        <v>21.04273296836422</v>
      </c>
      <c r="AI113" s="44"/>
      <c r="AJ113" s="101">
        <f>AJ77+AJ97+AJ98+AJ106+AJ107+AJ90+AJ99+AJ108</f>
        <v>0</v>
      </c>
      <c r="AK113" s="101">
        <f t="shared" ref="AK113:BN113" si="136">AK77+AK97+AK98+AK106+AK107+AK90+AK99+AK108</f>
        <v>0.19932868779311647</v>
      </c>
      <c r="AL113" s="101">
        <f t="shared" si="136"/>
        <v>0.46952041356706686</v>
      </c>
      <c r="AM113" s="101">
        <f t="shared" si="136"/>
        <v>0.74498902332035166</v>
      </c>
      <c r="AN113" s="101">
        <f t="shared" si="136"/>
        <v>1.0243536329541088</v>
      </c>
      <c r="AO113" s="101">
        <f t="shared" si="136"/>
        <v>1.3061245959229406</v>
      </c>
      <c r="AP113" s="101">
        <f t="shared" si="136"/>
        <v>1.5994129893683151</v>
      </c>
      <c r="AQ113" s="101">
        <f t="shared" si="136"/>
        <v>1.9044336836834097</v>
      </c>
      <c r="AR113" s="101">
        <f t="shared" si="136"/>
        <v>2.2213912784186824</v>
      </c>
      <c r="AS113" s="101">
        <f t="shared" si="136"/>
        <v>2.5504790966863742</v>
      </c>
      <c r="AT113" s="101">
        <f t="shared" si="136"/>
        <v>2.8918781631406274</v>
      </c>
      <c r="AU113" s="101">
        <f t="shared" si="136"/>
        <v>3.4592159570359273</v>
      </c>
      <c r="AV113" s="101">
        <f t="shared" si="136"/>
        <v>4.0387392821358272</v>
      </c>
      <c r="AW113" s="101">
        <f t="shared" si="136"/>
        <v>4.6285420648559192</v>
      </c>
      <c r="AX113" s="101">
        <f t="shared" si="136"/>
        <v>5.2257179963035805</v>
      </c>
      <c r="AY113" s="101">
        <f t="shared" si="136"/>
        <v>5.8275716997070166</v>
      </c>
      <c r="AZ113" s="101">
        <f t="shared" si="136"/>
        <v>6.4489277826697888</v>
      </c>
      <c r="BA113" s="101">
        <f t="shared" si="136"/>
        <v>7.0902343533178458</v>
      </c>
      <c r="BB113" s="101">
        <f t="shared" si="136"/>
        <v>7.7519418903283928</v>
      </c>
      <c r="BC113" s="101">
        <f t="shared" si="136"/>
        <v>8.434502938611228</v>
      </c>
      <c r="BD113" s="101">
        <f t="shared" si="136"/>
        <v>9.1383717948925511</v>
      </c>
      <c r="BE113" s="101">
        <f t="shared" si="136"/>
        <v>10.16431079447252</v>
      </c>
      <c r="BF113" s="101">
        <f t="shared" si="136"/>
        <v>11.224400606102783</v>
      </c>
      <c r="BG113" s="101">
        <f t="shared" si="136"/>
        <v>12.320582262226267</v>
      </c>
      <c r="BH113" s="101">
        <f t="shared" si="136"/>
        <v>13.452567045055115</v>
      </c>
      <c r="BI113" s="101">
        <f t="shared" si="136"/>
        <v>14.621121265882778</v>
      </c>
      <c r="BJ113" s="101">
        <f t="shared" si="136"/>
        <v>15.827193344012844</v>
      </c>
      <c r="BK113" s="101">
        <f t="shared" si="136"/>
        <v>17.071585788426891</v>
      </c>
      <c r="BL113" s="101">
        <f t="shared" si="136"/>
        <v>18.355102824575081</v>
      </c>
      <c r="BM113" s="101">
        <f t="shared" si="136"/>
        <v>19.678549865155112</v>
      </c>
      <c r="BN113" s="101">
        <f t="shared" si="136"/>
        <v>21.04273296836422</v>
      </c>
    </row>
    <row r="114" spans="1:67" outlineLevel="1">
      <c r="A114" s="68"/>
      <c r="B114" s="62" t="s">
        <v>228</v>
      </c>
      <c r="C114" s="63" t="s">
        <v>153</v>
      </c>
      <c r="D114" s="64">
        <f>D76+D83+D96+D105+IF(D91=0,0,D89)</f>
        <v>0</v>
      </c>
      <c r="E114" s="64">
        <f t="shared" ref="E114:AG114" si="137">E76+E83+E96+E105+IF(E91=0,0,E89)</f>
        <v>0.24546178089203247</v>
      </c>
      <c r="F114" s="64">
        <f t="shared" si="137"/>
        <v>0.53214671222994125</v>
      </c>
      <c r="G114" s="64">
        <f t="shared" si="137"/>
        <v>0.82653709960617672</v>
      </c>
      <c r="H114" s="64">
        <f t="shared" si="137"/>
        <v>1.1271321573478521</v>
      </c>
      <c r="I114" s="64">
        <f t="shared" si="137"/>
        <v>1.4322971430237901</v>
      </c>
      <c r="J114" s="64">
        <f t="shared" si="137"/>
        <v>1.7500222154998171</v>
      </c>
      <c r="K114" s="64">
        <f t="shared" si="137"/>
        <v>2.080503233895417</v>
      </c>
      <c r="L114" s="64">
        <f t="shared" si="137"/>
        <v>2.4239231799128795</v>
      </c>
      <c r="M114" s="64">
        <f t="shared" si="137"/>
        <v>2.7804511538921028</v>
      </c>
      <c r="N114" s="64">
        <f t="shared" si="137"/>
        <v>3.1502413626968897</v>
      </c>
      <c r="O114" s="64">
        <f t="shared" si="137"/>
        <v>3.7489190734225821</v>
      </c>
      <c r="P114" s="64">
        <f t="shared" si="137"/>
        <v>4.3611059903381797</v>
      </c>
      <c r="Q114" s="64">
        <f t="shared" si="137"/>
        <v>4.9845566771001151</v>
      </c>
      <c r="R114" s="64">
        <f t="shared" si="137"/>
        <v>5.6163760585978855</v>
      </c>
      <c r="S114" s="64">
        <f t="shared" si="137"/>
        <v>6.2536981218838399</v>
      </c>
      <c r="T114" s="64">
        <f t="shared" si="137"/>
        <v>6.9109357257551078</v>
      </c>
      <c r="U114" s="64">
        <f t="shared" si="137"/>
        <v>7.5885530112743602</v>
      </c>
      <c r="V114" s="64">
        <f t="shared" si="137"/>
        <v>8.2870183909324595</v>
      </c>
      <c r="W114" s="64">
        <f t="shared" si="137"/>
        <v>9.0068043045905863</v>
      </c>
      <c r="X114" s="64">
        <f t="shared" si="137"/>
        <v>9.7483869642388434</v>
      </c>
      <c r="Y114" s="64">
        <f t="shared" si="137"/>
        <v>10.912143496973219</v>
      </c>
      <c r="Z114" s="64">
        <f t="shared" si="137"/>
        <v>12.11237483315492</v>
      </c>
      <c r="AA114" s="64">
        <f t="shared" si="137"/>
        <v>13.351890461112475</v>
      </c>
      <c r="AB114" s="64">
        <f t="shared" si="137"/>
        <v>14.630117950404202</v>
      </c>
      <c r="AC114" s="64">
        <f t="shared" si="137"/>
        <v>15.947974844919949</v>
      </c>
      <c r="AD114" s="64">
        <f t="shared" si="137"/>
        <v>17.306578746688018</v>
      </c>
      <c r="AE114" s="64">
        <f t="shared" si="137"/>
        <v>18.706907180537399</v>
      </c>
      <c r="AF114" s="64">
        <f t="shared" si="137"/>
        <v>20.149949579360339</v>
      </c>
      <c r="AG114" s="64">
        <f t="shared" si="137"/>
        <v>21.636706969065237</v>
      </c>
      <c r="AH114" s="438">
        <f>AH76+AH83+AH96+AH105+IF(AH91=0,0,AH89)</f>
        <v>23.168191635265625</v>
      </c>
      <c r="AI114" s="44">
        <f>AH114+AH113</f>
        <v>44.210924603629849</v>
      </c>
      <c r="AJ114" s="64">
        <f t="shared" ref="AJ114:BM114" si="138">AJ76+AJ83+AJ96+AJ105+IF(AJ91=0,0,AJ89)</f>
        <v>0</v>
      </c>
      <c r="AK114" s="64">
        <f t="shared" si="138"/>
        <v>0.24546178089203247</v>
      </c>
      <c r="AL114" s="64">
        <f t="shared" si="138"/>
        <v>0.53214671222994125</v>
      </c>
      <c r="AM114" s="64">
        <f t="shared" si="138"/>
        <v>0.82653709960617672</v>
      </c>
      <c r="AN114" s="64">
        <f t="shared" si="138"/>
        <v>1.1271321573478521</v>
      </c>
      <c r="AO114" s="64">
        <f t="shared" si="138"/>
        <v>1.4322971430237901</v>
      </c>
      <c r="AP114" s="64">
        <f t="shared" si="138"/>
        <v>1.7500222154998171</v>
      </c>
      <c r="AQ114" s="64">
        <f t="shared" si="138"/>
        <v>2.080503233895417</v>
      </c>
      <c r="AR114" s="64">
        <f t="shared" si="138"/>
        <v>2.4239231799128795</v>
      </c>
      <c r="AS114" s="64">
        <f t="shared" si="138"/>
        <v>2.7804511538921028</v>
      </c>
      <c r="AT114" s="64">
        <f t="shared" si="138"/>
        <v>3.1502413626968897</v>
      </c>
      <c r="AU114" s="64">
        <f t="shared" si="138"/>
        <v>3.7489190734225821</v>
      </c>
      <c r="AV114" s="64">
        <f t="shared" si="138"/>
        <v>4.3611059903381797</v>
      </c>
      <c r="AW114" s="64">
        <f t="shared" si="138"/>
        <v>4.9845566771001151</v>
      </c>
      <c r="AX114" s="64">
        <f t="shared" si="138"/>
        <v>5.6163760585978855</v>
      </c>
      <c r="AY114" s="64">
        <f t="shared" si="138"/>
        <v>6.2536981218838399</v>
      </c>
      <c r="AZ114" s="64">
        <f t="shared" si="138"/>
        <v>6.9109357257551078</v>
      </c>
      <c r="BA114" s="64">
        <f t="shared" si="138"/>
        <v>7.5885530112743602</v>
      </c>
      <c r="BB114" s="64">
        <f t="shared" si="138"/>
        <v>8.2870183909324595</v>
      </c>
      <c r="BC114" s="64">
        <f t="shared" si="138"/>
        <v>9.0068043045905863</v>
      </c>
      <c r="BD114" s="64">
        <f t="shared" si="138"/>
        <v>9.7483869642388434</v>
      </c>
      <c r="BE114" s="64">
        <f t="shared" si="138"/>
        <v>10.912143496973219</v>
      </c>
      <c r="BF114" s="64">
        <f t="shared" si="138"/>
        <v>12.11237483315492</v>
      </c>
      <c r="BG114" s="64">
        <f t="shared" si="138"/>
        <v>13.351890461112475</v>
      </c>
      <c r="BH114" s="64">
        <f t="shared" si="138"/>
        <v>14.630117950404202</v>
      </c>
      <c r="BI114" s="64">
        <f t="shared" si="138"/>
        <v>15.947974844919949</v>
      </c>
      <c r="BJ114" s="64">
        <f t="shared" si="138"/>
        <v>17.306578746688018</v>
      </c>
      <c r="BK114" s="64">
        <f t="shared" si="138"/>
        <v>18.706907180537399</v>
      </c>
      <c r="BL114" s="64">
        <f t="shared" si="138"/>
        <v>20.149949579360339</v>
      </c>
      <c r="BM114" s="64">
        <f t="shared" si="138"/>
        <v>21.636706969065237</v>
      </c>
      <c r="BN114" s="64">
        <f>BN76+BN83+BN96+BN105+IF(BN91=0,0,BN89)</f>
        <v>23.168191635265625</v>
      </c>
    </row>
    <row r="115" spans="1:67">
      <c r="A115" s="102" t="s">
        <v>229</v>
      </c>
      <c r="B115" s="102"/>
      <c r="C115" s="103" t="s">
        <v>153</v>
      </c>
      <c r="D115" s="105">
        <f>D70-D113-D114</f>
        <v>116.10918671199683</v>
      </c>
      <c r="E115" s="105">
        <f t="shared" ref="E115:AH115" si="139">E70-E113-E114</f>
        <v>118.45784417721222</v>
      </c>
      <c r="F115" s="105">
        <f t="shared" si="139"/>
        <v>120.66920007328422</v>
      </c>
      <c r="G115" s="105">
        <f t="shared" si="139"/>
        <v>122.93645287744148</v>
      </c>
      <c r="H115" s="105">
        <f t="shared" si="139"/>
        <v>125.2642843402369</v>
      </c>
      <c r="I115" s="105">
        <f t="shared" si="139"/>
        <v>127.65767308375865</v>
      </c>
      <c r="J115" s="105">
        <f t="shared" si="139"/>
        <v>129.03113839723548</v>
      </c>
      <c r="K115" s="105">
        <f t="shared" si="139"/>
        <v>130.41298636077173</v>
      </c>
      <c r="L115" s="105">
        <f t="shared" si="139"/>
        <v>131.80351437518206</v>
      </c>
      <c r="M115" s="105">
        <f t="shared" si="139"/>
        <v>133.20307211047492</v>
      </c>
      <c r="N115" s="105">
        <f t="shared" si="139"/>
        <v>134.61206565592522</v>
      </c>
      <c r="O115" s="105">
        <f t="shared" si="139"/>
        <v>134.42453669673174</v>
      </c>
      <c r="P115" s="105">
        <f t="shared" si="139"/>
        <v>134.21834649719969</v>
      </c>
      <c r="Q115" s="105">
        <f t="shared" si="139"/>
        <v>133.99792161141582</v>
      </c>
      <c r="R115" s="105">
        <f t="shared" si="139"/>
        <v>133.76936854759037</v>
      </c>
      <c r="S115" s="105">
        <f t="shared" si="139"/>
        <v>133.53858714687539</v>
      </c>
      <c r="T115" s="105">
        <f t="shared" si="139"/>
        <v>133.2102487611628</v>
      </c>
      <c r="U115" s="105">
        <f t="shared" si="139"/>
        <v>132.84906809649218</v>
      </c>
      <c r="V115" s="105">
        <f t="shared" si="139"/>
        <v>132.45456999971839</v>
      </c>
      <c r="W115" s="105">
        <f t="shared" si="139"/>
        <v>132.02632313431693</v>
      </c>
      <c r="X115" s="105">
        <f t="shared" si="139"/>
        <v>131.56394591551864</v>
      </c>
      <c r="Y115" s="105">
        <f t="shared" si="139"/>
        <v>129.70343222487182</v>
      </c>
      <c r="Z115" s="105">
        <f t="shared" si="139"/>
        <v>127.77549976618266</v>
      </c>
      <c r="AA115" s="105">
        <f t="shared" si="139"/>
        <v>125.77610201163424</v>
      </c>
      <c r="AB115" s="105">
        <f t="shared" si="139"/>
        <v>123.70688699320216</v>
      </c>
      <c r="AC115" s="105">
        <f t="shared" si="139"/>
        <v>121.56704949887582</v>
      </c>
      <c r="AD115" s="105">
        <f t="shared" si="139"/>
        <v>119.14661831507033</v>
      </c>
      <c r="AE115" s="105">
        <f t="shared" si="139"/>
        <v>116.65247125005902</v>
      </c>
      <c r="AF115" s="105">
        <f t="shared" si="139"/>
        <v>114.08402529736287</v>
      </c>
      <c r="AG115" s="105">
        <f t="shared" si="139"/>
        <v>111.44082227912241</v>
      </c>
      <c r="AH115" s="579">
        <f t="shared" si="139"/>
        <v>108.72254436724788</v>
      </c>
      <c r="AI115" s="44">
        <f>AH70-AH115</f>
        <v>44.210924603629849</v>
      </c>
      <c r="AJ115" s="105">
        <f t="shared" ref="AJ115:BN115" si="140">AJ70-AJ113-AJ114</f>
        <v>116.10918671199683</v>
      </c>
      <c r="AK115" s="105">
        <f t="shared" si="140"/>
        <v>118.45784417721222</v>
      </c>
      <c r="AL115" s="105">
        <f t="shared" si="140"/>
        <v>120.66920007328422</v>
      </c>
      <c r="AM115" s="105">
        <f t="shared" si="140"/>
        <v>122.93645287744148</v>
      </c>
      <c r="AN115" s="105">
        <f t="shared" si="140"/>
        <v>125.2642843402369</v>
      </c>
      <c r="AO115" s="105">
        <f t="shared" si="140"/>
        <v>127.65767308375865</v>
      </c>
      <c r="AP115" s="105">
        <f t="shared" si="140"/>
        <v>129.03113839723548</v>
      </c>
      <c r="AQ115" s="105">
        <f t="shared" si="140"/>
        <v>130.41298636077173</v>
      </c>
      <c r="AR115" s="105">
        <f t="shared" si="140"/>
        <v>131.80351437518206</v>
      </c>
      <c r="AS115" s="105">
        <f t="shared" si="140"/>
        <v>133.20307211047492</v>
      </c>
      <c r="AT115" s="105">
        <f t="shared" si="140"/>
        <v>134.61206565592522</v>
      </c>
      <c r="AU115" s="105">
        <f t="shared" si="140"/>
        <v>134.42453669673174</v>
      </c>
      <c r="AV115" s="105">
        <f t="shared" si="140"/>
        <v>134.21834649719969</v>
      </c>
      <c r="AW115" s="105">
        <f t="shared" si="140"/>
        <v>133.99792161141582</v>
      </c>
      <c r="AX115" s="105">
        <f t="shared" si="140"/>
        <v>133.76936854759037</v>
      </c>
      <c r="AY115" s="105">
        <f t="shared" si="140"/>
        <v>133.53858714687539</v>
      </c>
      <c r="AZ115" s="105">
        <f t="shared" si="140"/>
        <v>133.2102487611628</v>
      </c>
      <c r="BA115" s="105">
        <f t="shared" si="140"/>
        <v>132.84906809649218</v>
      </c>
      <c r="BB115" s="105">
        <f t="shared" si="140"/>
        <v>132.45456999971839</v>
      </c>
      <c r="BC115" s="105">
        <f t="shared" si="140"/>
        <v>132.02632313431693</v>
      </c>
      <c r="BD115" s="105">
        <f t="shared" si="140"/>
        <v>131.56394591551864</v>
      </c>
      <c r="BE115" s="105">
        <f t="shared" si="140"/>
        <v>129.70343222487182</v>
      </c>
      <c r="BF115" s="105">
        <f t="shared" si="140"/>
        <v>127.77549976618266</v>
      </c>
      <c r="BG115" s="105">
        <f t="shared" si="140"/>
        <v>125.77610201163424</v>
      </c>
      <c r="BH115" s="105">
        <f t="shared" si="140"/>
        <v>123.70688699320216</v>
      </c>
      <c r="BI115" s="105">
        <f t="shared" si="140"/>
        <v>121.56704949887582</v>
      </c>
      <c r="BJ115" s="105">
        <f t="shared" si="140"/>
        <v>119.14661831507033</v>
      </c>
      <c r="BK115" s="105">
        <f t="shared" si="140"/>
        <v>116.65247125005902</v>
      </c>
      <c r="BL115" s="105">
        <f t="shared" si="140"/>
        <v>114.08402529736287</v>
      </c>
      <c r="BM115" s="105">
        <f t="shared" si="140"/>
        <v>111.44082227912241</v>
      </c>
      <c r="BN115" s="579">
        <f t="shared" si="140"/>
        <v>108.72254436724788</v>
      </c>
      <c r="BO115" s="44"/>
    </row>
    <row r="116" spans="1:67" s="67" customFormat="1">
      <c r="A116" s="752"/>
      <c r="B116" s="58" t="s">
        <v>7</v>
      </c>
      <c r="C116" s="59" t="s">
        <v>153</v>
      </c>
      <c r="D116" s="60">
        <f>D79+D85+D92+D101+D110</f>
        <v>41.944590154283404</v>
      </c>
      <c r="E116" s="60">
        <f t="shared" ref="E116:AH118" si="141">E79+E85+E92+E101+E110</f>
        <v>43.291700190277822</v>
      </c>
      <c r="F116" s="60">
        <f t="shared" si="141"/>
        <v>44.617807214879548</v>
      </c>
      <c r="G116" s="60">
        <f t="shared" si="141"/>
        <v>45.972116331680326</v>
      </c>
      <c r="H116" s="60">
        <f t="shared" si="141"/>
        <v>47.356174277412464</v>
      </c>
      <c r="I116" s="60">
        <f t="shared" si="141"/>
        <v>48.771743726926545</v>
      </c>
      <c r="J116" s="60">
        <f t="shared" si="141"/>
        <v>49.547336629559538</v>
      </c>
      <c r="K116" s="60">
        <f t="shared" si="141"/>
        <v>50.325979203301173</v>
      </c>
      <c r="L116" s="60">
        <f t="shared" si="141"/>
        <v>51.107630133021658</v>
      </c>
      <c r="M116" s="60">
        <f t="shared" si="141"/>
        <v>51.892281845335241</v>
      </c>
      <c r="N116" s="60">
        <f t="shared" si="141"/>
        <v>52.679963563058138</v>
      </c>
      <c r="O116" s="60">
        <f t="shared" si="141"/>
        <v>52.783820521184694</v>
      </c>
      <c r="P116" s="60">
        <f t="shared" si="141"/>
        <v>52.868240940302357</v>
      </c>
      <c r="Q116" s="60">
        <f t="shared" si="141"/>
        <v>52.934218880737163</v>
      </c>
      <c r="R116" s="60">
        <f t="shared" si="141"/>
        <v>52.983961263931093</v>
      </c>
      <c r="S116" s="60">
        <f t="shared" si="141"/>
        <v>53.0195876115543</v>
      </c>
      <c r="T116" s="60">
        <f t="shared" si="141"/>
        <v>52.991758507013316</v>
      </c>
      <c r="U116" s="60">
        <f t="shared" si="141"/>
        <v>52.940995947875564</v>
      </c>
      <c r="V116" s="60">
        <f t="shared" si="141"/>
        <v>52.867049634512604</v>
      </c>
      <c r="W116" s="60">
        <f t="shared" si="141"/>
        <v>52.769703297042469</v>
      </c>
      <c r="X116" s="60">
        <f t="shared" si="141"/>
        <v>52.648777902612274</v>
      </c>
      <c r="Y116" s="60">
        <f t="shared" si="141"/>
        <v>51.739496476785604</v>
      </c>
      <c r="Z116" s="60">
        <f t="shared" si="141"/>
        <v>50.781402298428844</v>
      </c>
      <c r="AA116" s="60">
        <f t="shared" si="141"/>
        <v>49.772001961909559</v>
      </c>
      <c r="AB116" s="60">
        <f t="shared" si="141"/>
        <v>48.712506590372229</v>
      </c>
      <c r="AC116" s="60">
        <f t="shared" si="141"/>
        <v>47.602534195929017</v>
      </c>
      <c r="AD116" s="60">
        <f t="shared" si="141"/>
        <v>46.310965948867974</v>
      </c>
      <c r="AE116" s="60">
        <f t="shared" si="141"/>
        <v>44.967365179362361</v>
      </c>
      <c r="AF116" s="60">
        <f t="shared" si="141"/>
        <v>43.571525190448035</v>
      </c>
      <c r="AG116" s="60">
        <f t="shared" si="141"/>
        <v>42.123322367291358</v>
      </c>
      <c r="AH116" s="436">
        <f t="shared" si="141"/>
        <v>40.622724142764625</v>
      </c>
      <c r="AI116" s="60"/>
      <c r="AJ116" s="60">
        <f>AJ79+AJ85+AJ92+AJ101+AJ110</f>
        <v>41.944590154283404</v>
      </c>
      <c r="AK116" s="60">
        <f t="shared" ref="AK116:BN116" si="142">AK79+AK85+AK92+AK101+AK110</f>
        <v>43.291700190277822</v>
      </c>
      <c r="AL116" s="60">
        <f t="shared" si="142"/>
        <v>44.617807214879548</v>
      </c>
      <c r="AM116" s="60">
        <f t="shared" si="142"/>
        <v>45.972116331680326</v>
      </c>
      <c r="AN116" s="60">
        <f t="shared" si="142"/>
        <v>47.356174277412464</v>
      </c>
      <c r="AO116" s="60">
        <f t="shared" si="142"/>
        <v>48.771743726926545</v>
      </c>
      <c r="AP116" s="60">
        <f t="shared" si="142"/>
        <v>49.547336629559538</v>
      </c>
      <c r="AQ116" s="60">
        <f t="shared" si="142"/>
        <v>50.325979203301173</v>
      </c>
      <c r="AR116" s="60">
        <f t="shared" si="142"/>
        <v>51.107630133021658</v>
      </c>
      <c r="AS116" s="60">
        <f t="shared" si="142"/>
        <v>51.892281845335241</v>
      </c>
      <c r="AT116" s="60">
        <f t="shared" si="142"/>
        <v>52.679963563058138</v>
      </c>
      <c r="AU116" s="60">
        <f t="shared" si="142"/>
        <v>52.783820521184694</v>
      </c>
      <c r="AV116" s="60">
        <f t="shared" si="142"/>
        <v>52.868240940302357</v>
      </c>
      <c r="AW116" s="60">
        <f t="shared" si="142"/>
        <v>52.934218880737163</v>
      </c>
      <c r="AX116" s="60">
        <f t="shared" si="142"/>
        <v>52.983961263931093</v>
      </c>
      <c r="AY116" s="60">
        <f t="shared" si="142"/>
        <v>53.0195876115543</v>
      </c>
      <c r="AZ116" s="60">
        <f t="shared" si="142"/>
        <v>52.991758507013316</v>
      </c>
      <c r="BA116" s="60">
        <f t="shared" si="142"/>
        <v>52.940995947875564</v>
      </c>
      <c r="BB116" s="60">
        <f t="shared" si="142"/>
        <v>52.867049634512604</v>
      </c>
      <c r="BC116" s="60">
        <f t="shared" si="142"/>
        <v>52.769703297042469</v>
      </c>
      <c r="BD116" s="60">
        <f t="shared" si="142"/>
        <v>52.648777902612274</v>
      </c>
      <c r="BE116" s="60">
        <f t="shared" si="142"/>
        <v>51.739496476785604</v>
      </c>
      <c r="BF116" s="60">
        <f t="shared" si="142"/>
        <v>50.781402298428844</v>
      </c>
      <c r="BG116" s="60">
        <f t="shared" si="142"/>
        <v>49.772001961909559</v>
      </c>
      <c r="BH116" s="60">
        <f t="shared" si="142"/>
        <v>48.712506590372229</v>
      </c>
      <c r="BI116" s="60">
        <f t="shared" si="142"/>
        <v>47.602534195929017</v>
      </c>
      <c r="BJ116" s="60">
        <f t="shared" si="142"/>
        <v>46.310965948867974</v>
      </c>
      <c r="BK116" s="60">
        <f t="shared" si="142"/>
        <v>44.967365179362361</v>
      </c>
      <c r="BL116" s="60">
        <f t="shared" si="142"/>
        <v>43.571525190448035</v>
      </c>
      <c r="BM116" s="60">
        <f t="shared" si="142"/>
        <v>42.123322367291358</v>
      </c>
      <c r="BN116" s="436">
        <f t="shared" si="142"/>
        <v>40.622724142764625</v>
      </c>
      <c r="BO116" s="60"/>
    </row>
    <row r="117" spans="1:67">
      <c r="A117" s="753"/>
      <c r="B117" s="1" t="s">
        <v>8</v>
      </c>
      <c r="C117" s="54" t="s">
        <v>153</v>
      </c>
      <c r="D117" s="44">
        <f>D80+D86+D93+D102+D111+D11</f>
        <v>27.181969038530035</v>
      </c>
      <c r="E117" s="44">
        <f t="shared" ref="E117:AH117" si="143">E80+E86+E93+E102+E111+E11</f>
        <v>27.790309332242146</v>
      </c>
      <c r="F117" s="44">
        <f t="shared" si="143"/>
        <v>28.400856725914362</v>
      </c>
      <c r="G117" s="44">
        <f t="shared" si="143"/>
        <v>29.026939431312808</v>
      </c>
      <c r="H117" s="44">
        <f t="shared" si="143"/>
        <v>29.669499425833472</v>
      </c>
      <c r="I117" s="44">
        <f t="shared" si="143"/>
        <v>30.329554482650973</v>
      </c>
      <c r="J117" s="44">
        <f t="shared" si="143"/>
        <v>30.636992803780689</v>
      </c>
      <c r="K117" s="44">
        <f t="shared" si="143"/>
        <v>30.945538494423371</v>
      </c>
      <c r="L117" s="44">
        <f t="shared" si="143"/>
        <v>31.255198539131602</v>
      </c>
      <c r="M117" s="44">
        <f t="shared" si="143"/>
        <v>31.565989000460345</v>
      </c>
      <c r="N117" s="44">
        <f t="shared" si="143"/>
        <v>31.877935614351671</v>
      </c>
      <c r="O117" s="44">
        <f t="shared" si="143"/>
        <v>31.549478546639378</v>
      </c>
      <c r="P117" s="44">
        <f t="shared" si="143"/>
        <v>31.206744965400816</v>
      </c>
      <c r="Q117" s="44">
        <f t="shared" si="143"/>
        <v>30.850258800328255</v>
      </c>
      <c r="R117" s="44">
        <f t="shared" si="143"/>
        <v>30.480887853226623</v>
      </c>
      <c r="S117" s="44">
        <f t="shared" si="143"/>
        <v>30.099481560620561</v>
      </c>
      <c r="T117" s="44">
        <f t="shared" si="143"/>
        <v>29.678377441562883</v>
      </c>
      <c r="U117" s="44">
        <f t="shared" si="143"/>
        <v>29.239696597987141</v>
      </c>
      <c r="V117" s="44">
        <f t="shared" si="143"/>
        <v>28.78311581525967</v>
      </c>
      <c r="W117" s="44">
        <f t="shared" si="143"/>
        <v>28.308310889634463</v>
      </c>
      <c r="X117" s="44">
        <f t="shared" si="143"/>
        <v>27.814956735831956</v>
      </c>
      <c r="Y117" s="44">
        <f t="shared" si="143"/>
        <v>27.085581592864511</v>
      </c>
      <c r="Z117" s="44">
        <f t="shared" si="143"/>
        <v>26.331329211046132</v>
      </c>
      <c r="AA117" s="44">
        <f t="shared" si="143"/>
        <v>25.551019476824173</v>
      </c>
      <c r="AB117" s="44">
        <f t="shared" si="143"/>
        <v>24.744793282502492</v>
      </c>
      <c r="AC117" s="44">
        <f t="shared" si="143"/>
        <v>23.912203653227255</v>
      </c>
      <c r="AD117" s="44">
        <f t="shared" si="143"/>
        <v>22.980865812761458</v>
      </c>
      <c r="AE117" s="44">
        <f t="shared" si="143"/>
        <v>22.021734426412024</v>
      </c>
      <c r="AF117" s="44">
        <f t="shared" si="143"/>
        <v>21.034343206903664</v>
      </c>
      <c r="AG117" s="44">
        <f t="shared" si="143"/>
        <v>20.018224615902579</v>
      </c>
      <c r="AH117" s="44">
        <f t="shared" si="143"/>
        <v>18.972910015426546</v>
      </c>
      <c r="AI117" s="44"/>
      <c r="AJ117" s="44">
        <f>AJ80+AJ86+AJ93+AJ102+AJ111+AJ11</f>
        <v>27.181969038530035</v>
      </c>
      <c r="AK117" s="44">
        <f t="shared" ref="AK117:BN117" si="144">AK80+AK86+AK93+AK102+AK111+AK11</f>
        <v>27.790309332242146</v>
      </c>
      <c r="AL117" s="44">
        <f t="shared" si="144"/>
        <v>28.400856725914362</v>
      </c>
      <c r="AM117" s="44">
        <f t="shared" si="144"/>
        <v>29.026939431312808</v>
      </c>
      <c r="AN117" s="44">
        <f t="shared" si="144"/>
        <v>29.669499425833472</v>
      </c>
      <c r="AO117" s="44">
        <f t="shared" si="144"/>
        <v>30.329554482650973</v>
      </c>
      <c r="AP117" s="44">
        <f t="shared" si="144"/>
        <v>30.636992803780689</v>
      </c>
      <c r="AQ117" s="44">
        <f t="shared" si="144"/>
        <v>30.945538494423371</v>
      </c>
      <c r="AR117" s="44">
        <f t="shared" si="144"/>
        <v>31.255198539131602</v>
      </c>
      <c r="AS117" s="44">
        <f t="shared" si="144"/>
        <v>31.565989000460345</v>
      </c>
      <c r="AT117" s="44">
        <f t="shared" si="144"/>
        <v>31.877935614351671</v>
      </c>
      <c r="AU117" s="44">
        <f t="shared" si="144"/>
        <v>31.549478546639378</v>
      </c>
      <c r="AV117" s="44">
        <f t="shared" si="144"/>
        <v>31.206744965400816</v>
      </c>
      <c r="AW117" s="44">
        <f t="shared" si="144"/>
        <v>30.850258800328255</v>
      </c>
      <c r="AX117" s="44">
        <f t="shared" si="144"/>
        <v>30.480887853226623</v>
      </c>
      <c r="AY117" s="44">
        <f t="shared" si="144"/>
        <v>30.099481560620561</v>
      </c>
      <c r="AZ117" s="44">
        <f t="shared" si="144"/>
        <v>29.678377441562883</v>
      </c>
      <c r="BA117" s="44">
        <f t="shared" si="144"/>
        <v>29.239696597987141</v>
      </c>
      <c r="BB117" s="44">
        <f t="shared" si="144"/>
        <v>28.78311581525967</v>
      </c>
      <c r="BC117" s="44">
        <f t="shared" si="144"/>
        <v>28.308310889634463</v>
      </c>
      <c r="BD117" s="44">
        <f t="shared" si="144"/>
        <v>27.814956735831956</v>
      </c>
      <c r="BE117" s="44">
        <f t="shared" si="144"/>
        <v>27.085581592864511</v>
      </c>
      <c r="BF117" s="44">
        <f t="shared" si="144"/>
        <v>26.331329211046132</v>
      </c>
      <c r="BG117" s="44">
        <f t="shared" si="144"/>
        <v>25.551019476824173</v>
      </c>
      <c r="BH117" s="44">
        <f t="shared" si="144"/>
        <v>24.744793282502492</v>
      </c>
      <c r="BI117" s="44">
        <f t="shared" si="144"/>
        <v>23.912203653227255</v>
      </c>
      <c r="BJ117" s="44">
        <f t="shared" si="144"/>
        <v>22.980865812761458</v>
      </c>
      <c r="BK117" s="44">
        <f t="shared" si="144"/>
        <v>22.021734426412024</v>
      </c>
      <c r="BL117" s="44">
        <f t="shared" si="144"/>
        <v>21.034343206903664</v>
      </c>
      <c r="BM117" s="44">
        <f t="shared" si="144"/>
        <v>20.018224615902579</v>
      </c>
      <c r="BN117" s="44">
        <f t="shared" si="144"/>
        <v>18.972910015426546</v>
      </c>
    </row>
    <row r="118" spans="1:67" s="68" customFormat="1">
      <c r="A118" s="754"/>
      <c r="B118" s="62" t="s">
        <v>166</v>
      </c>
      <c r="C118" s="283" t="s">
        <v>153</v>
      </c>
      <c r="D118" s="284">
        <f t="shared" ref="D118" si="145">D81+D87+D94+D103+D112</f>
        <v>46.982627519183374</v>
      </c>
      <c r="E118" s="284">
        <f t="shared" si="141"/>
        <v>47.375834654692241</v>
      </c>
      <c r="F118" s="284">
        <f t="shared" si="141"/>
        <v>47.650536132490316</v>
      </c>
      <c r="G118" s="284">
        <f t="shared" si="141"/>
        <v>47.937397114448324</v>
      </c>
      <c r="H118" s="284">
        <f t="shared" si="141"/>
        <v>48.238610636990963</v>
      </c>
      <c r="I118" s="284">
        <f t="shared" si="141"/>
        <v>48.556374874181138</v>
      </c>
      <c r="J118" s="284">
        <f t="shared" si="141"/>
        <v>48.846808963895214</v>
      </c>
      <c r="K118" s="284">
        <f t="shared" si="141"/>
        <v>49.141468663047199</v>
      </c>
      <c r="L118" s="284">
        <f t="shared" si="141"/>
        <v>49.440685703028798</v>
      </c>
      <c r="M118" s="284">
        <f t="shared" si="141"/>
        <v>49.744801264679325</v>
      </c>
      <c r="N118" s="284">
        <f t="shared" si="141"/>
        <v>50.05416647851542</v>
      </c>
      <c r="O118" s="284">
        <f t="shared" si="141"/>
        <v>50.09123762890767</v>
      </c>
      <c r="P118" s="284">
        <f t="shared" si="141"/>
        <v>50.143360591496496</v>
      </c>
      <c r="Q118" s="284">
        <f t="shared" si="141"/>
        <v>50.213443930350373</v>
      </c>
      <c r="R118" s="284">
        <f t="shared" si="141"/>
        <v>50.304519430432684</v>
      </c>
      <c r="S118" s="284">
        <f t="shared" si="141"/>
        <v>50.419517974700497</v>
      </c>
      <c r="T118" s="284">
        <f t="shared" si="141"/>
        <v>50.540112812586585</v>
      </c>
      <c r="U118" s="284">
        <f t="shared" si="141"/>
        <v>50.668375550629456</v>
      </c>
      <c r="V118" s="284">
        <f t="shared" si="141"/>
        <v>50.804404549946092</v>
      </c>
      <c r="W118" s="284">
        <f t="shared" si="141"/>
        <v>50.948308947639958</v>
      </c>
      <c r="X118" s="284">
        <f t="shared" si="141"/>
        <v>51.100211277074408</v>
      </c>
      <c r="Y118" s="284">
        <f t="shared" si="141"/>
        <v>50.878354155221729</v>
      </c>
      <c r="Z118" s="284">
        <f t="shared" si="141"/>
        <v>50.662768256707658</v>
      </c>
      <c r="AA118" s="284">
        <f t="shared" si="141"/>
        <v>50.45308057290049</v>
      </c>
      <c r="AB118" s="284">
        <f t="shared" si="141"/>
        <v>50.249587120327405</v>
      </c>
      <c r="AC118" s="284">
        <f t="shared" si="141"/>
        <v>50.052311649719528</v>
      </c>
      <c r="AD118" s="284">
        <f t="shared" si="141"/>
        <v>49.85478655344091</v>
      </c>
      <c r="AE118" s="284">
        <f t="shared" si="141"/>
        <v>49.663371644284638</v>
      </c>
      <c r="AF118" s="284">
        <f t="shared" si="141"/>
        <v>49.478156900011179</v>
      </c>
      <c r="AG118" s="284">
        <f t="shared" si="141"/>
        <v>49.299275295928453</v>
      </c>
      <c r="AH118" s="437">
        <f t="shared" si="141"/>
        <v>49.126910209056717</v>
      </c>
      <c r="AJ118" s="284">
        <f t="shared" ref="AJ118:BN118" si="146">AJ81+AJ87+AJ94+AJ103+AJ112</f>
        <v>46.982627519183374</v>
      </c>
      <c r="AK118" s="284">
        <f t="shared" si="146"/>
        <v>47.375834654692241</v>
      </c>
      <c r="AL118" s="284">
        <f t="shared" si="146"/>
        <v>47.650536132490316</v>
      </c>
      <c r="AM118" s="284">
        <f t="shared" si="146"/>
        <v>47.937397114448324</v>
      </c>
      <c r="AN118" s="284">
        <f t="shared" si="146"/>
        <v>48.238610636990963</v>
      </c>
      <c r="AO118" s="284">
        <f t="shared" si="146"/>
        <v>48.556374874181138</v>
      </c>
      <c r="AP118" s="284">
        <f t="shared" si="146"/>
        <v>48.846808963895214</v>
      </c>
      <c r="AQ118" s="284">
        <f t="shared" si="146"/>
        <v>49.141468663047199</v>
      </c>
      <c r="AR118" s="284">
        <f t="shared" si="146"/>
        <v>49.440685703028798</v>
      </c>
      <c r="AS118" s="284">
        <f t="shared" si="146"/>
        <v>49.744801264679325</v>
      </c>
      <c r="AT118" s="284">
        <f t="shared" si="146"/>
        <v>50.05416647851542</v>
      </c>
      <c r="AU118" s="284">
        <f t="shared" si="146"/>
        <v>50.09123762890767</v>
      </c>
      <c r="AV118" s="284">
        <f t="shared" si="146"/>
        <v>50.143360591496496</v>
      </c>
      <c r="AW118" s="284">
        <f t="shared" si="146"/>
        <v>50.213443930350373</v>
      </c>
      <c r="AX118" s="284">
        <f t="shared" si="146"/>
        <v>50.304519430432684</v>
      </c>
      <c r="AY118" s="284">
        <f t="shared" si="146"/>
        <v>50.419517974700497</v>
      </c>
      <c r="AZ118" s="284">
        <f t="shared" si="146"/>
        <v>50.540112812586585</v>
      </c>
      <c r="BA118" s="284">
        <f t="shared" si="146"/>
        <v>50.668375550629456</v>
      </c>
      <c r="BB118" s="284">
        <f t="shared" si="146"/>
        <v>50.804404549946092</v>
      </c>
      <c r="BC118" s="284">
        <f t="shared" si="146"/>
        <v>50.948308947639958</v>
      </c>
      <c r="BD118" s="284">
        <f t="shared" si="146"/>
        <v>51.100211277074408</v>
      </c>
      <c r="BE118" s="284">
        <f t="shared" si="146"/>
        <v>50.878354155221729</v>
      </c>
      <c r="BF118" s="284">
        <f t="shared" si="146"/>
        <v>50.662768256707658</v>
      </c>
      <c r="BG118" s="284">
        <f t="shared" si="146"/>
        <v>50.45308057290049</v>
      </c>
      <c r="BH118" s="284">
        <f t="shared" si="146"/>
        <v>50.249587120327405</v>
      </c>
      <c r="BI118" s="284">
        <f t="shared" si="146"/>
        <v>50.052311649719528</v>
      </c>
      <c r="BJ118" s="284">
        <f t="shared" si="146"/>
        <v>49.85478655344091</v>
      </c>
      <c r="BK118" s="284">
        <f t="shared" si="146"/>
        <v>49.663371644284638</v>
      </c>
      <c r="BL118" s="284">
        <f t="shared" si="146"/>
        <v>49.478156900011179</v>
      </c>
      <c r="BM118" s="284">
        <f t="shared" si="146"/>
        <v>49.299275295928453</v>
      </c>
      <c r="BN118" s="437">
        <f t="shared" si="146"/>
        <v>49.126910209056717</v>
      </c>
    </row>
    <row r="119" spans="1:67">
      <c r="A119" s="1" t="s">
        <v>230</v>
      </c>
      <c r="C119" s="59" t="s">
        <v>153</v>
      </c>
      <c r="D119" s="66">
        <f>'BTX Recycling HC'!C364</f>
        <v>3.6713971786805374E-6</v>
      </c>
      <c r="E119" s="66">
        <f>'BTX Recycling HC'!D364</f>
        <v>8.1918691807742126E-6</v>
      </c>
      <c r="F119" s="66">
        <f>'BTX Recycling HC'!E364</f>
        <v>1.7788270148439697E-5</v>
      </c>
      <c r="G119" s="66">
        <f>'BTX Recycling HC'!F364</f>
        <v>3.8266618193931967E-5</v>
      </c>
      <c r="H119" s="66">
        <f>'BTX Recycling HC'!G364</f>
        <v>8.1505062716887266E-5</v>
      </c>
      <c r="I119" s="66">
        <f>'BTX Recycling HC'!H364</f>
        <v>1.7170325838728308E-4</v>
      </c>
      <c r="J119" s="66">
        <f>'BTX Recycling HC'!I364</f>
        <v>3.5796900409637062E-4</v>
      </c>
      <c r="K119" s="66">
        <f>'BTX Recycling HC'!J364</f>
        <v>7.3685386651147042E-4</v>
      </c>
      <c r="L119" s="66">
        <f>'BTX Recycling HC'!K364</f>
        <v>1.4927818931201613E-3</v>
      </c>
      <c r="M119" s="66">
        <f>'BTX Recycling HC'!L364</f>
        <v>2.9637436729587317E-3</v>
      </c>
      <c r="N119" s="66">
        <f>'BTX Recycling HC'!M364</f>
        <v>5.7601021966935595E-3</v>
      </c>
      <c r="O119" s="66">
        <f>'BTX Recycling HC'!N364</f>
        <v>1.0318836142898555E-2</v>
      </c>
      <c r="P119" s="66">
        <f>'BTX Recycling HC'!O364</f>
        <v>1.7828997655701811E-2</v>
      </c>
      <c r="Q119" s="66">
        <f>'BTX Recycling HC'!P364</f>
        <v>2.9359150810980388E-2</v>
      </c>
      <c r="R119" s="66">
        <f>'BTX Recycling HC'!Q364</f>
        <v>4.5756722596116454E-2</v>
      </c>
      <c r="S119" s="66">
        <f>'BTX Recycling HC'!R364</f>
        <v>6.7194316397979639E-2</v>
      </c>
      <c r="T119" s="66">
        <f>'BTX Recycling HC'!S364</f>
        <v>9.2924641961733098E-2</v>
      </c>
      <c r="U119" s="66">
        <f>'BTX Recycling HC'!T364</f>
        <v>0.12125552243366119</v>
      </c>
      <c r="V119" s="66">
        <f>'BTX Recycling HC'!U364</f>
        <v>0.15000413597015239</v>
      </c>
      <c r="W119" s="66">
        <f>'BTX Recycling HC'!V364</f>
        <v>0.17713564839723506</v>
      </c>
      <c r="X119" s="66">
        <f>'BTX Recycling HC'!W364</f>
        <v>0.20122995475769459</v>
      </c>
      <c r="Y119" s="66">
        <f>'BTX Recycling HC'!X364</f>
        <v>0.20773304045820737</v>
      </c>
      <c r="Z119" s="66">
        <f>'BTX Recycling HC'!Y364</f>
        <v>0.2366103594609322</v>
      </c>
      <c r="AA119" s="66">
        <f>'BTX Recycling HC'!Z364</f>
        <v>0.26752344922838939</v>
      </c>
      <c r="AB119" s="66">
        <f>'BTX Recycling HC'!AA364</f>
        <v>0.29867479958722148</v>
      </c>
      <c r="AC119" s="66">
        <f>'BTX Recycling HC'!AB364</f>
        <v>0.33134685558212773</v>
      </c>
      <c r="AD119" s="66">
        <f>'BTX Recycling HC'!AC364</f>
        <v>0.36748232903207367</v>
      </c>
      <c r="AE119" s="66">
        <f>'BTX Recycling HC'!AD364</f>
        <v>0.40960149957525932</v>
      </c>
      <c r="AF119" s="66">
        <f>'BTX Recycling HC'!AE364</f>
        <v>0.4604218647806716</v>
      </c>
      <c r="AG119" s="66">
        <f>'BTX Recycling HC'!AF364</f>
        <v>0.52204978007729408</v>
      </c>
      <c r="AH119" s="66">
        <f>'BTX Recycling HC'!AG364</f>
        <v>0.59492135597398943</v>
      </c>
      <c r="AJ119" s="43">
        <f>'BTX Recycling LC'!C364</f>
        <v>3.6713971786805374E-6</v>
      </c>
      <c r="AK119" s="43">
        <f>'BTX Recycling LC'!D364</f>
        <v>8.1918691807742126E-6</v>
      </c>
      <c r="AL119" s="43">
        <f>'BTX Recycling LC'!E364</f>
        <v>1.7788270148439697E-5</v>
      </c>
      <c r="AM119" s="43">
        <f>'BTX Recycling LC'!F364</f>
        <v>3.8266618193931967E-5</v>
      </c>
      <c r="AN119" s="43">
        <f>'BTX Recycling LC'!G364</f>
        <v>8.1505062716887266E-5</v>
      </c>
      <c r="AO119" s="43">
        <f>'BTX Recycling LC'!H364</f>
        <v>1.7170325838728308E-4</v>
      </c>
      <c r="AP119" s="43">
        <f>'BTX Recycling LC'!I364</f>
        <v>3.5796900409637062E-4</v>
      </c>
      <c r="AQ119" s="43">
        <f>'BTX Recycling LC'!J364</f>
        <v>7.3685386651147042E-4</v>
      </c>
      <c r="AR119" s="43">
        <f>'BTX Recycling LC'!K364</f>
        <v>1.4927818931201613E-3</v>
      </c>
      <c r="AS119" s="43">
        <f>'BTX Recycling LC'!L364</f>
        <v>2.9637436729587317E-3</v>
      </c>
      <c r="AT119" s="43">
        <f>'BTX Recycling LC'!M364</f>
        <v>5.7601021966935595E-3</v>
      </c>
      <c r="AU119" s="43">
        <f>'BTX Recycling LC'!N364</f>
        <v>1.0318836142898555E-2</v>
      </c>
      <c r="AV119" s="43">
        <f>'BTX Recycling LC'!O364</f>
        <v>1.7828997655701811E-2</v>
      </c>
      <c r="AW119" s="43">
        <f>'BTX Recycling LC'!P364</f>
        <v>2.9359150810980388E-2</v>
      </c>
      <c r="AX119" s="43">
        <f>'BTX Recycling LC'!Q364</f>
        <v>4.5756722596116454E-2</v>
      </c>
      <c r="AY119" s="43">
        <f>'BTX Recycling LC'!R364</f>
        <v>6.7194316397979639E-2</v>
      </c>
      <c r="AZ119" s="43">
        <f>'BTX Recycling LC'!S364</f>
        <v>9.2924641961733098E-2</v>
      </c>
      <c r="BA119" s="43">
        <f>'BTX Recycling LC'!T364</f>
        <v>0.12125552243366119</v>
      </c>
      <c r="BB119" s="43">
        <f>'BTX Recycling LC'!U364</f>
        <v>0.15000413597015239</v>
      </c>
      <c r="BC119" s="43">
        <f>'BTX Recycling LC'!V364</f>
        <v>0.17713564839723506</v>
      </c>
      <c r="BD119" s="43">
        <f>'BTX Recycling LC'!W364</f>
        <v>0.20122995475769459</v>
      </c>
      <c r="BE119" s="43">
        <f>'BTX Recycling LC'!X364</f>
        <v>0.20773304045820737</v>
      </c>
      <c r="BF119" s="43">
        <f>'BTX Recycling LC'!Y364</f>
        <v>0.2366103594609322</v>
      </c>
      <c r="BG119" s="43">
        <f>'BTX Recycling LC'!Z364</f>
        <v>0.26752344922838939</v>
      </c>
      <c r="BH119" s="43">
        <f>'BTX Recycling LC'!AA364</f>
        <v>0.29867479958722148</v>
      </c>
      <c r="BI119" s="43">
        <f>'BTX Recycling LC'!AB364</f>
        <v>0.33134685558212773</v>
      </c>
      <c r="BJ119" s="43">
        <f>'BTX Recycling LC'!AC364</f>
        <v>0.36748232903207367</v>
      </c>
      <c r="BK119" s="43">
        <f>'BTX Recycling LC'!AD364</f>
        <v>0.40960149957525932</v>
      </c>
      <c r="BL119" s="43">
        <f>'BTX Recycling LC'!AE364</f>
        <v>0.4604218647806716</v>
      </c>
      <c r="BM119" s="43">
        <f>'BTX Recycling LC'!AF364</f>
        <v>0.52204978007729408</v>
      </c>
      <c r="BN119" s="43">
        <f>'BTX Recycling LC'!AG364</f>
        <v>0.59492135597398943</v>
      </c>
    </row>
    <row r="120" spans="1:67">
      <c r="A120" s="1" t="s">
        <v>231</v>
      </c>
      <c r="C120" s="283" t="s">
        <v>153</v>
      </c>
      <c r="D120" s="66">
        <f>'BTX Recycling HC'!C366</f>
        <v>2.1477883961671542E-5</v>
      </c>
      <c r="E120" s="66">
        <f>'BTX Recycling HC'!D366</f>
        <v>4.7922904314344524E-5</v>
      </c>
      <c r="F120" s="66">
        <f>'BTX Recycling HC'!E366</f>
        <v>1.0406240009814467E-4</v>
      </c>
      <c r="G120" s="66">
        <f>'BTX Recycling HC'!F366</f>
        <v>2.2386191010536138E-4</v>
      </c>
      <c r="H120" s="66">
        <f>'BTX Recycling HC'!G366</f>
        <v>4.7680928925025707E-4</v>
      </c>
      <c r="I120" s="66">
        <f>'BTX Recycling HC'!H366</f>
        <v>1.0044739046207846E-3</v>
      </c>
      <c r="J120" s="66">
        <f>'BTX Recycling HC'!I366</f>
        <v>2.0941391948827806E-3</v>
      </c>
      <c r="K120" s="66">
        <f>'BTX Recycling HC'!J366</f>
        <v>4.3106373599519129E-3</v>
      </c>
      <c r="L120" s="66">
        <f>'BTX Recycling HC'!K366</f>
        <v>8.7328596499172215E-3</v>
      </c>
      <c r="M120" s="66">
        <f>'BTX Recycling HC'!L366</f>
        <v>1.7338070386278062E-2</v>
      </c>
      <c r="N120" s="66">
        <f>'BTX Recycling HC'!M366</f>
        <v>3.3696928054080887E-2</v>
      </c>
      <c r="O120" s="66">
        <f>'BTX Recycling HC'!N366</f>
        <v>6.0365782973208014E-2</v>
      </c>
      <c r="P120" s="66">
        <f>'BTX Recycling HC'!O366</f>
        <v>0.10430065835037174</v>
      </c>
      <c r="Q120" s="66">
        <f>'BTX Recycling HC'!P366</f>
        <v>0.17175271528592093</v>
      </c>
      <c r="R120" s="66">
        <f>'BTX Recycling HC'!Q366</f>
        <v>0.26767945023561207</v>
      </c>
      <c r="S120" s="66">
        <f>'BTX Recycling HC'!R366</f>
        <v>0.39309060290728837</v>
      </c>
      <c r="T120" s="66">
        <f>'BTX Recycling HC'!S366</f>
        <v>0.54361448247101851</v>
      </c>
      <c r="U120" s="66">
        <f>'BTX Recycling HC'!T366</f>
        <v>0.70935175732689282</v>
      </c>
      <c r="V120" s="66">
        <f>'BTX Recycling HC'!U366</f>
        <v>0.87753279455741284</v>
      </c>
      <c r="W120" s="66">
        <f>'BTX Recycling HC'!V366</f>
        <v>1.0362536975960095</v>
      </c>
      <c r="X120" s="66">
        <f>'BTX Recycling HC'!W366</f>
        <v>1.1772067710340888</v>
      </c>
      <c r="Y120" s="66">
        <f>'BTX Recycling HC'!X366</f>
        <v>1.2152501951777592</v>
      </c>
      <c r="Z120" s="66">
        <f>'BTX Recycling HC'!Y366</f>
        <v>1.3841841667639112</v>
      </c>
      <c r="AA120" s="66">
        <f>'BTX Recycling HC'!Z366</f>
        <v>1.5650275140262735</v>
      </c>
      <c r="AB120" s="66">
        <f>'BTX Recycling HC'!AA366</f>
        <v>1.7472646994066974</v>
      </c>
      <c r="AC120" s="66">
        <f>'BTX Recycling HC'!AB366</f>
        <v>1.9383980999340753</v>
      </c>
      <c r="AD120" s="66">
        <f>'BTX Recycling HC'!AC366</f>
        <v>2.1497926911171867</v>
      </c>
      <c r="AE120" s="66">
        <f>'BTX Recycling HC'!AD366</f>
        <v>2.3961922533169679</v>
      </c>
      <c r="AF120" s="66">
        <f>'BTX Recycling HC'!AE366</f>
        <v>2.6934943030951652</v>
      </c>
      <c r="AG120" s="66">
        <f>'BTX Recycling HC'!AF366</f>
        <v>3.0540211404601934</v>
      </c>
      <c r="AH120" s="66">
        <f>'BTX Recycling HC'!AG366</f>
        <v>3.4803240368893542</v>
      </c>
      <c r="AJ120" s="43">
        <f>'BTX Recycling LC'!C366</f>
        <v>1.0738941980835771E-5</v>
      </c>
      <c r="AK120" s="43">
        <f>'BTX Recycling LC'!D366</f>
        <v>2.3961452157172262E-5</v>
      </c>
      <c r="AL120" s="43">
        <f>'BTX Recycling LC'!E366</f>
        <v>5.2031200049072336E-5</v>
      </c>
      <c r="AM120" s="43">
        <f>'BTX Recycling LC'!F366</f>
        <v>1.1193095505268069E-4</v>
      </c>
      <c r="AN120" s="43">
        <f>'BTX Recycling LC'!G366</f>
        <v>2.3840464462512853E-4</v>
      </c>
      <c r="AO120" s="43">
        <f>'BTX Recycling LC'!H366</f>
        <v>5.0223695231039231E-4</v>
      </c>
      <c r="AP120" s="43">
        <f>'BTX Recycling LC'!I366</f>
        <v>1.0470695974413903E-3</v>
      </c>
      <c r="AQ120" s="43">
        <f>'BTX Recycling LC'!J366</f>
        <v>2.1553186799759564E-3</v>
      </c>
      <c r="AR120" s="43">
        <f>'BTX Recycling LC'!K366</f>
        <v>4.3664298249586108E-3</v>
      </c>
      <c r="AS120" s="43">
        <f>'BTX Recycling LC'!L366</f>
        <v>8.6690351931390311E-3</v>
      </c>
      <c r="AT120" s="43">
        <f>'BTX Recycling LC'!M366</f>
        <v>1.6848464027040443E-2</v>
      </c>
      <c r="AU120" s="43">
        <f>'BTX Recycling LC'!N366</f>
        <v>3.0182891486604007E-2</v>
      </c>
      <c r="AV120" s="43">
        <f>'BTX Recycling LC'!O366</f>
        <v>5.2150329175185868E-2</v>
      </c>
      <c r="AW120" s="43">
        <f>'BTX Recycling LC'!P366</f>
        <v>8.5876357642960463E-2</v>
      </c>
      <c r="AX120" s="43">
        <f>'BTX Recycling LC'!Q366</f>
        <v>0.13383972511780604</v>
      </c>
      <c r="AY120" s="43">
        <f>'BTX Recycling LC'!R366</f>
        <v>0.19654530145364418</v>
      </c>
      <c r="AZ120" s="43">
        <f>'BTX Recycling LC'!S366</f>
        <v>0.27180724123550926</v>
      </c>
      <c r="BA120" s="43">
        <f>'BTX Recycling LC'!T366</f>
        <v>0.35467587866344641</v>
      </c>
      <c r="BB120" s="43">
        <f>'BTX Recycling LC'!U366</f>
        <v>0.43876639727870642</v>
      </c>
      <c r="BC120" s="43">
        <f>'BTX Recycling LC'!V366</f>
        <v>0.51812684879800475</v>
      </c>
      <c r="BD120" s="43">
        <f>'BTX Recycling LC'!W366</f>
        <v>0.58860338551704439</v>
      </c>
      <c r="BE120" s="43">
        <f>'BTX Recycling LC'!X366</f>
        <v>0.60762509758887961</v>
      </c>
      <c r="BF120" s="43">
        <f>'BTX Recycling LC'!Y366</f>
        <v>0.6920920833819556</v>
      </c>
      <c r="BG120" s="43">
        <f>'BTX Recycling LC'!Z366</f>
        <v>0.78251375701313675</v>
      </c>
      <c r="BH120" s="43">
        <f>'BTX Recycling LC'!AA366</f>
        <v>0.87363234970334869</v>
      </c>
      <c r="BI120" s="43">
        <f>'BTX Recycling LC'!AB366</f>
        <v>0.96919904996703765</v>
      </c>
      <c r="BJ120" s="43">
        <f>'BTX Recycling LC'!AC366</f>
        <v>1.0748963455585934</v>
      </c>
      <c r="BK120" s="43">
        <f>'BTX Recycling LC'!AD366</f>
        <v>1.198096126658484</v>
      </c>
      <c r="BL120" s="43">
        <f>'BTX Recycling LC'!AE366</f>
        <v>1.3467471515475826</v>
      </c>
      <c r="BM120" s="43">
        <f>'BTX Recycling LC'!AF366</f>
        <v>1.5270105702300967</v>
      </c>
      <c r="BN120" s="43">
        <f>'BTX Recycling LC'!AG366</f>
        <v>1.7401620184446771</v>
      </c>
    </row>
    <row r="121" spans="1:67" s="104" customFormat="1">
      <c r="A121" s="102" t="s">
        <v>232</v>
      </c>
      <c r="B121" s="102"/>
      <c r="C121" s="103" t="s">
        <v>153</v>
      </c>
      <c r="D121" s="105">
        <f>D115-D119-D120</f>
        <v>116.10916156271568</v>
      </c>
      <c r="E121" s="105">
        <f t="shared" ref="E121:AH121" si="147">E115-E119-E120</f>
        <v>118.45778806243872</v>
      </c>
      <c r="F121" s="105">
        <f t="shared" si="147"/>
        <v>120.66907822261398</v>
      </c>
      <c r="G121" s="105">
        <f t="shared" si="147"/>
        <v>122.93619074891319</v>
      </c>
      <c r="H121" s="105">
        <f t="shared" si="147"/>
        <v>125.26372602588492</v>
      </c>
      <c r="I121" s="105">
        <f t="shared" si="147"/>
        <v>127.65649690659565</v>
      </c>
      <c r="J121" s="105">
        <f t="shared" si="147"/>
        <v>129.0286862890365</v>
      </c>
      <c r="K121" s="105">
        <f t="shared" si="147"/>
        <v>130.40793886954526</v>
      </c>
      <c r="L121" s="105">
        <f t="shared" si="147"/>
        <v>131.79328873363903</v>
      </c>
      <c r="M121" s="105">
        <f t="shared" si="147"/>
        <v>133.1827702964157</v>
      </c>
      <c r="N121" s="105">
        <f t="shared" si="147"/>
        <v>134.57260862567446</v>
      </c>
      <c r="O121" s="105">
        <f t="shared" si="147"/>
        <v>134.35385207761564</v>
      </c>
      <c r="P121" s="105">
        <f t="shared" si="147"/>
        <v>134.09621684119361</v>
      </c>
      <c r="Q121" s="105">
        <f t="shared" si="147"/>
        <v>133.79680974531891</v>
      </c>
      <c r="R121" s="105">
        <f t="shared" si="147"/>
        <v>133.45593237475865</v>
      </c>
      <c r="S121" s="105">
        <f t="shared" si="147"/>
        <v>133.07830222757013</v>
      </c>
      <c r="T121" s="105">
        <f t="shared" si="147"/>
        <v>132.57370963673006</v>
      </c>
      <c r="U121" s="105">
        <f t="shared" si="147"/>
        <v>132.01846081673162</v>
      </c>
      <c r="V121" s="105">
        <f t="shared" si="147"/>
        <v>131.4270330691908</v>
      </c>
      <c r="W121" s="105">
        <f t="shared" si="147"/>
        <v>130.81293378832368</v>
      </c>
      <c r="X121" s="105">
        <f t="shared" si="147"/>
        <v>130.18550918972684</v>
      </c>
      <c r="Y121" s="105">
        <f t="shared" si="147"/>
        <v>128.28044898923585</v>
      </c>
      <c r="Z121" s="105">
        <f t="shared" si="147"/>
        <v>126.15470523995782</v>
      </c>
      <c r="AA121" s="105">
        <f t="shared" si="147"/>
        <v>123.94355104837958</v>
      </c>
      <c r="AB121" s="105">
        <f t="shared" si="147"/>
        <v>121.66094749420824</v>
      </c>
      <c r="AC121" s="105">
        <f t="shared" si="147"/>
        <v>119.29730454335962</v>
      </c>
      <c r="AD121" s="105">
        <f t="shared" si="147"/>
        <v>116.62934329492107</v>
      </c>
      <c r="AE121" s="105">
        <f t="shared" si="147"/>
        <v>113.84667749716679</v>
      </c>
      <c r="AF121" s="105">
        <f t="shared" si="147"/>
        <v>110.93010912948704</v>
      </c>
      <c r="AG121" s="105">
        <f t="shared" si="147"/>
        <v>107.86475135858493</v>
      </c>
      <c r="AH121" s="105">
        <f t="shared" si="147"/>
        <v>104.64729897438453</v>
      </c>
      <c r="AI121" s="193"/>
      <c r="AJ121" s="105">
        <f>AJ115-AJ119-AJ120</f>
        <v>116.10917230165767</v>
      </c>
      <c r="AK121" s="105">
        <f t="shared" ref="AK121:BN121" si="148">AK115-AK119-AK120</f>
        <v>118.45781202389088</v>
      </c>
      <c r="AL121" s="105">
        <f t="shared" si="148"/>
        <v>120.66913025381402</v>
      </c>
      <c r="AM121" s="105">
        <f t="shared" si="148"/>
        <v>122.93630267986823</v>
      </c>
      <c r="AN121" s="105">
        <f t="shared" si="148"/>
        <v>125.26396443052955</v>
      </c>
      <c r="AO121" s="105">
        <f t="shared" si="148"/>
        <v>127.65699914354795</v>
      </c>
      <c r="AP121" s="105">
        <f t="shared" si="148"/>
        <v>129.02973335863396</v>
      </c>
      <c r="AQ121" s="105">
        <f t="shared" si="148"/>
        <v>130.41009418822526</v>
      </c>
      <c r="AR121" s="105">
        <f t="shared" si="148"/>
        <v>131.79765516346399</v>
      </c>
      <c r="AS121" s="105">
        <f t="shared" si="148"/>
        <v>133.19143933160882</v>
      </c>
      <c r="AT121" s="105">
        <f t="shared" si="148"/>
        <v>134.58945708970148</v>
      </c>
      <c r="AU121" s="105">
        <f t="shared" si="148"/>
        <v>134.38403496910223</v>
      </c>
      <c r="AV121" s="105">
        <f t="shared" si="148"/>
        <v>134.1483671703688</v>
      </c>
      <c r="AW121" s="105">
        <f t="shared" si="148"/>
        <v>133.88268610296186</v>
      </c>
      <c r="AX121" s="105">
        <f t="shared" si="148"/>
        <v>133.58977209987646</v>
      </c>
      <c r="AY121" s="105">
        <f t="shared" si="148"/>
        <v>133.27484752902376</v>
      </c>
      <c r="AZ121" s="105">
        <f t="shared" si="148"/>
        <v>132.84551687796557</v>
      </c>
      <c r="BA121" s="105">
        <f t="shared" si="148"/>
        <v>132.37313669539506</v>
      </c>
      <c r="BB121" s="105">
        <f t="shared" si="148"/>
        <v>131.86579946646953</v>
      </c>
      <c r="BC121" s="105">
        <f t="shared" si="148"/>
        <v>131.33106063712168</v>
      </c>
      <c r="BD121" s="105">
        <f t="shared" si="148"/>
        <v>130.77411257524389</v>
      </c>
      <c r="BE121" s="105">
        <f t="shared" si="148"/>
        <v>128.88807408682473</v>
      </c>
      <c r="BF121" s="105">
        <f t="shared" si="148"/>
        <v>126.84679732333979</v>
      </c>
      <c r="BG121" s="105">
        <f t="shared" si="148"/>
        <v>124.72606480539271</v>
      </c>
      <c r="BH121" s="105">
        <f t="shared" si="148"/>
        <v>122.5345798439116</v>
      </c>
      <c r="BI121" s="105">
        <f t="shared" si="148"/>
        <v>120.26650359332666</v>
      </c>
      <c r="BJ121" s="105">
        <f t="shared" si="148"/>
        <v>117.70423964047966</v>
      </c>
      <c r="BK121" s="105">
        <f t="shared" si="148"/>
        <v>115.04477362382528</v>
      </c>
      <c r="BL121" s="105">
        <f t="shared" si="148"/>
        <v>112.27685628103461</v>
      </c>
      <c r="BM121" s="105">
        <f t="shared" si="148"/>
        <v>109.39176192881501</v>
      </c>
      <c r="BN121" s="105">
        <f t="shared" si="148"/>
        <v>106.3874609928292</v>
      </c>
    </row>
    <row r="122" spans="1:67" s="67" customFormat="1">
      <c r="A122" s="752"/>
      <c r="B122" s="58" t="s">
        <v>7</v>
      </c>
      <c r="C122" s="59" t="s">
        <v>153</v>
      </c>
      <c r="D122" s="60">
        <f>D116-D120*D116/SUM(D116:D118)</f>
        <v>41.94458239537073</v>
      </c>
      <c r="E122" s="60">
        <f t="shared" ref="E122:AH122" si="149">E116-E120*E116/SUM(E116:E118)</f>
        <v>43.29168267633419</v>
      </c>
      <c r="F122" s="60">
        <f t="shared" si="149"/>
        <v>44.617768737487609</v>
      </c>
      <c r="G122" s="60">
        <f t="shared" si="149"/>
        <v>45.972032618464816</v>
      </c>
      <c r="H122" s="60">
        <f t="shared" si="149"/>
        <v>47.355994019616574</v>
      </c>
      <c r="I122" s="60">
        <f t="shared" si="149"/>
        <v>48.771359966650543</v>
      </c>
      <c r="J122" s="60">
        <f t="shared" si="149"/>
        <v>49.546532490179487</v>
      </c>
      <c r="K122" s="60">
        <f t="shared" si="149"/>
        <v>50.324315741308745</v>
      </c>
      <c r="L122" s="60">
        <f t="shared" si="149"/>
        <v>51.104243912531956</v>
      </c>
      <c r="M122" s="60">
        <f t="shared" si="149"/>
        <v>51.885527406260493</v>
      </c>
      <c r="N122" s="60">
        <f t="shared" si="149"/>
        <v>52.666776387499795</v>
      </c>
      <c r="O122" s="60">
        <f t="shared" si="149"/>
        <v>52.760116986604046</v>
      </c>
      <c r="P122" s="60">
        <f t="shared" si="149"/>
        <v>52.827157195197401</v>
      </c>
      <c r="Q122" s="60">
        <f t="shared" si="149"/>
        <v>52.866370098345811</v>
      </c>
      <c r="R122" s="60">
        <f t="shared" si="149"/>
        <v>52.877937607122185</v>
      </c>
      <c r="S122" s="60">
        <f t="shared" si="149"/>
        <v>52.863516605372403</v>
      </c>
      <c r="T122" s="60">
        <f t="shared" si="149"/>
        <v>52.775505721331122</v>
      </c>
      <c r="U122" s="60">
        <f t="shared" si="149"/>
        <v>52.658315842938848</v>
      </c>
      <c r="V122" s="60">
        <f t="shared" si="149"/>
        <v>52.516796941790275</v>
      </c>
      <c r="W122" s="60">
        <f t="shared" si="149"/>
        <v>52.355522254471339</v>
      </c>
      <c r="X122" s="60">
        <f t="shared" si="149"/>
        <v>52.177687609581511</v>
      </c>
      <c r="Y122" s="60">
        <f t="shared" si="149"/>
        <v>51.254725703080851</v>
      </c>
      <c r="Z122" s="60">
        <f t="shared" si="149"/>
        <v>50.231290476082783</v>
      </c>
      <c r="AA122" s="60">
        <f t="shared" si="149"/>
        <v>49.152690731455358</v>
      </c>
      <c r="AB122" s="60">
        <f t="shared" si="149"/>
        <v>48.024479874530201</v>
      </c>
      <c r="AC122" s="60">
        <f t="shared" si="149"/>
        <v>46.843507286764059</v>
      </c>
      <c r="AD122" s="60">
        <f t="shared" si="149"/>
        <v>45.475365429748074</v>
      </c>
      <c r="AE122" s="60">
        <f t="shared" si="149"/>
        <v>44.043677485992482</v>
      </c>
      <c r="AF122" s="60">
        <f t="shared" si="149"/>
        <v>42.542812760537373</v>
      </c>
      <c r="AG122" s="60">
        <f t="shared" si="149"/>
        <v>40.968938234213866</v>
      </c>
      <c r="AH122" s="60">
        <f t="shared" si="149"/>
        <v>39.322347628392144</v>
      </c>
      <c r="AJ122" s="60">
        <f>AJ116-AJ120*AJ116/SUM(AJ116:AJ118)</f>
        <v>41.944586274827067</v>
      </c>
      <c r="AK122" s="60">
        <f t="shared" ref="AK122:BN122" si="150">AK116-AK120*AK116/SUM(AK116:AK118)</f>
        <v>43.291691433306006</v>
      </c>
      <c r="AL122" s="60">
        <f t="shared" si="150"/>
        <v>44.617787976183578</v>
      </c>
      <c r="AM122" s="60">
        <f t="shared" si="150"/>
        <v>45.972074475072574</v>
      </c>
      <c r="AN122" s="60">
        <f t="shared" si="150"/>
        <v>47.356084148514519</v>
      </c>
      <c r="AO122" s="60">
        <f t="shared" si="150"/>
        <v>48.77155184678854</v>
      </c>
      <c r="AP122" s="60">
        <f t="shared" si="150"/>
        <v>49.546934559869513</v>
      </c>
      <c r="AQ122" s="60">
        <f t="shared" si="150"/>
        <v>50.325147472304963</v>
      </c>
      <c r="AR122" s="60">
        <f t="shared" si="150"/>
        <v>51.105937022776807</v>
      </c>
      <c r="AS122" s="60">
        <f t="shared" si="150"/>
        <v>51.888904625797871</v>
      </c>
      <c r="AT122" s="60">
        <f t="shared" si="150"/>
        <v>52.673369975278966</v>
      </c>
      <c r="AU122" s="60">
        <f t="shared" si="150"/>
        <v>52.77196875389437</v>
      </c>
      <c r="AV122" s="60">
        <f t="shared" si="150"/>
        <v>52.847699067749879</v>
      </c>
      <c r="AW122" s="60">
        <f t="shared" si="150"/>
        <v>52.900294489541487</v>
      </c>
      <c r="AX122" s="60">
        <f t="shared" si="150"/>
        <v>52.930949435526642</v>
      </c>
      <c r="AY122" s="60">
        <f t="shared" si="150"/>
        <v>52.941552108463355</v>
      </c>
      <c r="AZ122" s="60">
        <f t="shared" si="150"/>
        <v>52.883632114172222</v>
      </c>
      <c r="BA122" s="60">
        <f t="shared" si="150"/>
        <v>52.799655895407206</v>
      </c>
      <c r="BB122" s="60">
        <f t="shared" si="150"/>
        <v>52.691923288151443</v>
      </c>
      <c r="BC122" s="60">
        <f t="shared" si="150"/>
        <v>52.562612775756904</v>
      </c>
      <c r="BD122" s="60">
        <f t="shared" si="150"/>
        <v>52.413232756096889</v>
      </c>
      <c r="BE122" s="60">
        <f t="shared" si="150"/>
        <v>51.497111089933227</v>
      </c>
      <c r="BF122" s="60">
        <f t="shared" si="150"/>
        <v>50.50634638725581</v>
      </c>
      <c r="BG122" s="60">
        <f t="shared" si="150"/>
        <v>49.462346346682459</v>
      </c>
      <c r="BH122" s="60">
        <f t="shared" si="150"/>
        <v>48.368493232451215</v>
      </c>
      <c r="BI122" s="60">
        <f t="shared" si="150"/>
        <v>47.223020741346538</v>
      </c>
      <c r="BJ122" s="60">
        <f t="shared" si="150"/>
        <v>45.893165689308027</v>
      </c>
      <c r="BK122" s="60">
        <f t="shared" si="150"/>
        <v>44.505521332677418</v>
      </c>
      <c r="BL122" s="60">
        <f t="shared" si="150"/>
        <v>43.057168975492708</v>
      </c>
      <c r="BM122" s="60">
        <f t="shared" si="150"/>
        <v>41.546130300752615</v>
      </c>
      <c r="BN122" s="60">
        <f t="shared" si="150"/>
        <v>39.972535885578381</v>
      </c>
    </row>
    <row r="123" spans="1:67">
      <c r="A123" s="753"/>
      <c r="B123" s="1" t="s">
        <v>8</v>
      </c>
      <c r="C123" s="54" t="s">
        <v>153</v>
      </c>
      <c r="D123" s="44">
        <f>D117-D119*'Overall recycling rates'!$G$61/SUM('Overall recycling rates'!$G$61:$G$62)-D120*D117/SUM(D116:D118)</f>
        <v>27.181963602105995</v>
      </c>
      <c r="E123" s="44">
        <f>E117-E119*'Overall recycling rates'!$G$61/SUM('Overall recycling rates'!$G$61:$G$62)-E120*E117/SUM(E116:E118)</f>
        <v>27.790297178458033</v>
      </c>
      <c r="F123" s="44">
        <f>F117-F119*'Overall recycling rates'!$G$61/SUM('Overall recycling rates'!$G$61:$G$62)-F120*F117/SUM(F116:F118)</f>
        <v>28.400830255393704</v>
      </c>
      <c r="G123" s="44">
        <f>G117-G119*'Overall recycling rates'!$G$61/SUM('Overall recycling rates'!$G$61:$G$62)-G120*G117/SUM(G116:G118)</f>
        <v>29.026882318833287</v>
      </c>
      <c r="H123" s="44">
        <f>H117-H119*'Overall recycling rates'!$G$61/SUM('Overall recycling rates'!$G$61:$G$62)-H120*H117/SUM(H116:H118)</f>
        <v>29.669377426758725</v>
      </c>
      <c r="I123" s="44">
        <f>I117-I119*'Overall recycling rates'!$G$61/SUM('Overall recycling rates'!$G$61:$G$62)-I120*I117/SUM(I116:I118)</f>
        <v>30.32929673927956</v>
      </c>
      <c r="J123" s="44">
        <f>J117-J119*'Overall recycling rates'!$G$61/SUM('Overall recycling rates'!$G$61:$G$62)-J120*J117/SUM(J116:J118)</f>
        <v>30.636455763681536</v>
      </c>
      <c r="K123" s="44">
        <f>K117-K119*'Overall recycling rates'!$G$61/SUM('Overall recycling rates'!$G$61:$G$62)-K120*K117/SUM(K116:K118)</f>
        <v>30.944433681861938</v>
      </c>
      <c r="L123" s="44">
        <f>L117-L119*'Overall recycling rates'!$G$61/SUM('Overall recycling rates'!$G$61:$G$62)-L120*L117/SUM(L116:L118)</f>
        <v>31.252961659677606</v>
      </c>
      <c r="M123" s="44">
        <f>M117-M119*'Overall recycling rates'!$G$61/SUM('Overall recycling rates'!$G$61:$G$62)-M120*M117/SUM(M116:M118)</f>
        <v>31.561550683769042</v>
      </c>
      <c r="N123" s="44">
        <f>N117-N119*'Overall recycling rates'!$G$61/SUM('Overall recycling rates'!$G$61:$G$62)-N120*N117/SUM(N116:N118)</f>
        <v>31.869315141546881</v>
      </c>
      <c r="O123" s="44">
        <f>O117-O119*'Overall recycling rates'!$G$61/SUM('Overall recycling rates'!$G$61:$G$62)-O120*O117/SUM(O116:O118)</f>
        <v>31.534163105489014</v>
      </c>
      <c r="P123" s="44">
        <f>P117-P119*'Overall recycling rates'!$G$61/SUM('Overall recycling rates'!$G$61:$G$62)-P120*P117/SUM(P116:P118)</f>
        <v>31.180511510329833</v>
      </c>
      <c r="Q123" s="44">
        <f>Q117-Q119*'Overall recycling rates'!$G$61/SUM('Overall recycling rates'!$G$61:$G$62)-Q120*Q117/SUM(Q116:Q118)</f>
        <v>30.807451201273455</v>
      </c>
      <c r="R123" s="44">
        <f>R117-R119*'Overall recycling rates'!$G$61/SUM('Overall recycling rates'!$G$61:$G$62)-R120*R117/SUM(R116:R118)</f>
        <v>30.414805337221843</v>
      </c>
      <c r="S123" s="44">
        <f>S117-S119*'Overall recycling rates'!$G$61/SUM('Overall recycling rates'!$G$61:$G$62)-S120*S117/SUM(S116:S118)</f>
        <v>30.003406494370541</v>
      </c>
      <c r="T123" s="44">
        <f>T117-T119*'Overall recycling rates'!$G$61/SUM('Overall recycling rates'!$G$61:$G$62)-T120*T117/SUM(T116:T118)</f>
        <v>29.54692937303502</v>
      </c>
      <c r="U123" s="44">
        <f>U117-U119*'Overall recycling rates'!$G$61/SUM('Overall recycling rates'!$G$61:$G$62)-U120*U117/SUM(U116:U118)</f>
        <v>29.070085305146844</v>
      </c>
      <c r="V123" s="44">
        <f>V117-V119*'Overall recycling rates'!$G$61/SUM('Overall recycling rates'!$G$61:$G$62)-V120*V117/SUM(V116:V118)</f>
        <v>28.575740855025714</v>
      </c>
      <c r="W123" s="44">
        <f>W117-W119*'Overall recycling rates'!$G$61/SUM('Overall recycling rates'!$G$61:$G$62)-W120*W117/SUM(W116:W118)</f>
        <v>28.066423906968996</v>
      </c>
      <c r="X123" s="44">
        <f>X117-X119*'Overall recycling rates'!$G$61/SUM('Overall recycling rates'!$G$61:$G$62)-X120*X117/SUM(X116:X118)</f>
        <v>27.543695199174696</v>
      </c>
      <c r="Y123" s="44">
        <f>Y117-Y119*'Overall recycling rates'!$G$61/SUM('Overall recycling rates'!$G$61:$G$62)-Y120*Y117/SUM(Y116:Y118)</f>
        <v>26.808702194066989</v>
      </c>
      <c r="Z123" s="44">
        <f>Z117-Z119*'Overall recycling rates'!$G$61/SUM('Overall recycling rates'!$G$61:$G$62)-Z120*Z117/SUM(Z116:Z118)</f>
        <v>26.019769722897543</v>
      </c>
      <c r="AA123" s="44">
        <f>AA117-AA119*'Overall recycling rates'!$G$61/SUM('Overall recycling rates'!$G$61:$G$62)-AA120*AA117/SUM(AA116:AA118)</f>
        <v>25.203337356198841</v>
      </c>
      <c r="AB123" s="44">
        <f>AB117-AB119*'Overall recycling rates'!$G$61/SUM('Overall recycling rates'!$G$61:$G$62)-AB120*AB117/SUM(AB116:AB118)</f>
        <v>24.362076000976185</v>
      </c>
      <c r="AC123" s="44">
        <f>AC117-AC119*'Overall recycling rates'!$G$61/SUM('Overall recycling rates'!$G$61:$G$62)-AC120*AC117/SUM(AC116:AC118)</f>
        <v>23.494071699060253</v>
      </c>
      <c r="AD123" s="44">
        <f>AD117-AD119*'Overall recycling rates'!$G$61/SUM('Overall recycling rates'!$G$61:$G$62)-AD120*AD117/SUM(AD116:AD118)</f>
        <v>22.52534792635246</v>
      </c>
      <c r="AE123" s="44">
        <f>AE117-AE119*'Overall recycling rates'!$G$61/SUM('Overall recycling rates'!$G$61:$G$62)-AE120*AE117/SUM(AE116:AE118)</f>
        <v>21.523827163022514</v>
      </c>
      <c r="AF123" s="44">
        <f>AF117-AF119*'Overall recycling rates'!$G$61/SUM('Overall recycling rates'!$G$61:$G$62)-AF120*AF117/SUM(AF116:AF118)</f>
        <v>20.486523568376395</v>
      </c>
      <c r="AG123" s="44">
        <f>AG117-AG119*'Overall recycling rates'!$G$61/SUM('Overall recycling rates'!$G$61:$G$62)-AG120*AG117/SUM(AG116:AG118)</f>
        <v>19.411569813522597</v>
      </c>
      <c r="AH123" s="44">
        <f>AH117-AH119*'Overall recycling rates'!$G$61/SUM('Overall recycling rates'!$G$61:$G$62)-AH120*AH117/SUM(AH116:AH118)</f>
        <v>18.299404888034957</v>
      </c>
      <c r="AI123" s="54" t="s">
        <v>165</v>
      </c>
      <c r="AJ123" s="44">
        <f>AJ117-AJ119*'Overall recycling rates'!$G$61/SUM('Overall recycling rates'!$G$61:$G$62)-AJ120*AJ117/SUM(AJ116:AJ118)</f>
        <v>27.181966116167082</v>
      </c>
      <c r="AK123" s="44">
        <f>AK117-AK119*'Overall recycling rates'!$G$61/SUM('Overall recycling rates'!$G$61:$G$62)-AK120*AK117/SUM(AK116:AK118)</f>
        <v>27.790302799834752</v>
      </c>
      <c r="AL123" s="44">
        <f>AL117-AL119*'Overall recycling rates'!$G$61/SUM('Overall recycling rates'!$G$61:$G$62)-AL120*AL117/SUM(AL116:AL118)</f>
        <v>28.400842501523265</v>
      </c>
      <c r="AM123" s="44">
        <f>AM117-AM119*'Overall recycling rates'!$G$61/SUM('Overall recycling rates'!$G$61:$G$62)-AM120*AM117/SUM(AM116:AM118)</f>
        <v>29.026908747227608</v>
      </c>
      <c r="AN123" s="44">
        <f>AN117-AN119*'Overall recycling rates'!$G$61/SUM('Overall recycling rates'!$G$61:$G$62)-AN120*AN117/SUM(AN116:AN118)</f>
        <v>29.669433894142895</v>
      </c>
      <c r="AO123" s="44">
        <f>AO117-AO119*'Overall recycling rates'!$G$61/SUM('Overall recycling rates'!$G$61:$G$62)-AO120*AO117/SUM(AO116:AO118)</f>
        <v>30.329416063270358</v>
      </c>
      <c r="AP123" s="44">
        <f>AP117-AP119*'Overall recycling rates'!$G$61/SUM('Overall recycling rates'!$G$61:$G$62)-AP120*AP117/SUM(AP116:AP118)</f>
        <v>30.636704378582717</v>
      </c>
      <c r="AQ123" s="44">
        <f>AQ117-AQ119*'Overall recycling rates'!$G$61/SUM('Overall recycling rates'!$G$61:$G$62)-AQ120*AQ117/SUM(AQ116:AQ118)</f>
        <v>30.94494511480309</v>
      </c>
      <c r="AR123" s="44">
        <f>AR117-AR119*'Overall recycling rates'!$G$61/SUM('Overall recycling rates'!$G$61:$G$62)-AR120*AR117/SUM(AR116:AR118)</f>
        <v>31.253997092091783</v>
      </c>
      <c r="AS123" s="44">
        <f>AS117-AS119*'Overall recycling rates'!$G$61/SUM('Overall recycling rates'!$G$61:$G$62)-AS120*AS117/SUM(AS116:AS118)</f>
        <v>31.563605040813634</v>
      </c>
      <c r="AT123" s="44">
        <f>AT117-AT119*'Overall recycling rates'!$G$61/SUM('Overall recycling rates'!$G$61:$G$62)-AT120*AT117/SUM(AT116:AT118)</f>
        <v>31.873305082930202</v>
      </c>
      <c r="AU123" s="44">
        <f>AU117-AU119*'Overall recycling rates'!$G$61/SUM('Overall recycling rates'!$G$61:$G$62)-AU120*AU117/SUM(AU116:AU118)</f>
        <v>31.541247039053768</v>
      </c>
      <c r="AV123" s="44">
        <f>AV117-AV119*'Overall recycling rates'!$G$61/SUM('Overall recycling rates'!$G$61:$G$62)-AV120*AV117/SUM(AV116:AV118)</f>
        <v>31.192636842409271</v>
      </c>
      <c r="AW123" s="44">
        <f>AW117-AW119*'Overall recycling rates'!$G$61/SUM('Overall recycling rates'!$G$61:$G$62)-AW120*AW117/SUM(AW116:AW118)</f>
        <v>30.827222462097915</v>
      </c>
      <c r="AX123" s="44">
        <f>AX117-AX119*'Overall recycling rates'!$G$61/SUM('Overall recycling rates'!$G$61:$G$62)-AX120*AX117/SUM(AX116:AX118)</f>
        <v>30.445302256628104</v>
      </c>
      <c r="AY123" s="44">
        <f>AY117-AY119*'Overall recycling rates'!$G$61/SUM('Overall recycling rates'!$G$61:$G$62)-AY120*AY117/SUM(AY116:AY118)</f>
        <v>30.047707634612678</v>
      </c>
      <c r="AZ123" s="44">
        <f>AZ117-AZ119*'Overall recycling rates'!$G$61/SUM('Overall recycling rates'!$G$61:$G$62)-AZ120*AZ117/SUM(AZ116:AZ118)</f>
        <v>29.607486259398929</v>
      </c>
      <c r="BA123" s="44">
        <f>BA117-BA119*'Overall recycling rates'!$G$61/SUM('Overall recycling rates'!$G$61:$G$62)-BA120*BA117/SUM(BA116:BA118)</f>
        <v>29.148148442746056</v>
      </c>
      <c r="BB123" s="44">
        <f>BB117-BB119*'Overall recycling rates'!$G$61/SUM('Overall recycling rates'!$G$61:$G$62)-BB120*BB117/SUM(BB116:BB118)</f>
        <v>28.671087237024796</v>
      </c>
      <c r="BC123" s="44">
        <f>BC117-BC119*'Overall recycling rates'!$G$61/SUM('Overall recycling rates'!$G$61:$G$62)-BC120*BC117/SUM(BC116:BC118)</f>
        <v>28.17751763106763</v>
      </c>
      <c r="BD123" s="44">
        <f>BD117-BD119*'Overall recycling rates'!$G$61/SUM('Overall recycling rates'!$G$61:$G$62)-BD120*BD117/SUM(BD116:BD118)</f>
        <v>27.66813641738834</v>
      </c>
      <c r="BE123" s="44">
        <f>BE117-BE119*'Overall recycling rates'!$G$61/SUM('Overall recycling rates'!$G$61:$G$62)-BE120*BE117/SUM(BE116:BE118)</f>
        <v>26.935590734148811</v>
      </c>
      <c r="BF123" s="44">
        <f>BF117-BF119*'Overall recycling rates'!$G$61/SUM('Overall recycling rates'!$G$61:$G$62)-BF120*BF117/SUM(BF116:BF118)</f>
        <v>26.16239256158913</v>
      </c>
      <c r="BG123" s="44">
        <f>BG117-BG119*'Overall recycling rates'!$G$61/SUM('Overall recycling rates'!$G$61:$G$62)-BG120*BG117/SUM(BG116:BG118)</f>
        <v>25.362302564426365</v>
      </c>
      <c r="BH123" s="44">
        <f>BH117-BH119*'Overall recycling rates'!$G$61/SUM('Overall recycling rates'!$G$61:$G$62)-BH120*BH117/SUM(BH116:BH118)</f>
        <v>24.53682659428393</v>
      </c>
      <c r="BI123" s="44">
        <f>BI117-BI119*'Overall recycling rates'!$G$61/SUM('Overall recycling rates'!$G$61:$G$62)-BI120*BI117/SUM(BI116:BI118)</f>
        <v>23.684712873283541</v>
      </c>
      <c r="BJ123" s="44">
        <f>BJ117-BJ119*'Overall recycling rates'!$G$61/SUM('Overall recycling rates'!$G$61:$G$62)-BJ120*BJ117/SUM(BJ116:BJ118)</f>
        <v>22.732672725236704</v>
      </c>
      <c r="BK123" s="44">
        <f>BK117-BK119*'Overall recycling rates'!$G$61/SUM('Overall recycling rates'!$G$61:$G$62)-BK120*BK117/SUM(BK116:BK118)</f>
        <v>21.750004580747579</v>
      </c>
      <c r="BL123" s="44">
        <f>BL117-BL119*'Overall recycling rates'!$G$61/SUM('Overall recycling rates'!$G$61:$G$62)-BL120*BL117/SUM(BL116:BL118)</f>
        <v>20.734831267239002</v>
      </c>
      <c r="BM123" s="44">
        <f>BM117-BM119*'Overall recycling rates'!$G$61/SUM('Overall recycling rates'!$G$61:$G$62)-BM120*BM117/SUM(BM116:BM118)</f>
        <v>19.685868225545804</v>
      </c>
      <c r="BN123" s="44">
        <f>BN117-BN119*'Overall recycling rates'!$G$61/SUM('Overall recycling rates'!$G$61:$G$62)-BN120*BN117/SUM(BN116:BN118)</f>
        <v>18.603076381195482</v>
      </c>
      <c r="BO123" s="54" t="s">
        <v>165</v>
      </c>
    </row>
    <row r="124" spans="1:67" s="68" customFormat="1">
      <c r="A124" s="754"/>
      <c r="B124" s="62" t="s">
        <v>166</v>
      </c>
      <c r="C124" s="283" t="s">
        <v>153</v>
      </c>
      <c r="D124" s="284">
        <f>D118-D119*'Overall recycling rates'!$G$62/SUM('Overall recycling rates'!$G$61:$G$62)-D120*D118/SUM(D116:D118)</f>
        <v>46.982615565238945</v>
      </c>
      <c r="E124" s="284">
        <f>E118-E119*'Overall recycling rates'!$G$62/SUM('Overall recycling rates'!$G$61:$G$62)-E120*E118/SUM(E116:E118)</f>
        <v>47.375808207646493</v>
      </c>
      <c r="F124" s="284">
        <f>F118-F119*'Overall recycling rates'!$G$62/SUM('Overall recycling rates'!$G$61:$G$62)-F120*F118/SUM(F116:F118)</f>
        <v>47.650479229732667</v>
      </c>
      <c r="G124" s="284">
        <f>G118-G119*'Overall recycling rates'!$G$62/SUM('Overall recycling rates'!$G$61:$G$62)-G120*G118/SUM(G116:G118)</f>
        <v>47.937275811615059</v>
      </c>
      <c r="H124" s="284">
        <f>H118-H119*'Overall recycling rates'!$G$62/SUM('Overall recycling rates'!$G$61:$G$62)-H120*H118/SUM(H116:H118)</f>
        <v>48.238354579509632</v>
      </c>
      <c r="I124" s="284">
        <f>I118-I119*'Overall recycling rates'!$G$62/SUM('Overall recycling rates'!$G$61:$G$62)-I120*I118/SUM(I116:I118)</f>
        <v>48.555840200665543</v>
      </c>
      <c r="J124" s="284">
        <f>J118-J119*'Overall recycling rates'!$G$62/SUM('Overall recycling rates'!$G$61:$G$62)-J120*J118/SUM(J116:J118)</f>
        <v>48.845698035175431</v>
      </c>
      <c r="K124" s="284">
        <f>K118-K119*'Overall recycling rates'!$G$62/SUM('Overall recycling rates'!$G$61:$G$62)-K120*K118/SUM(K116:K118)</f>
        <v>49.139189446374594</v>
      </c>
      <c r="L124" s="284">
        <f>L118-L119*'Overall recycling rates'!$G$62/SUM('Overall recycling rates'!$G$61:$G$62)-L120*L118/SUM(L116:L118)</f>
        <v>49.436083161429451</v>
      </c>
      <c r="M124" s="284">
        <f>M118-M119*'Overall recycling rates'!$G$62/SUM('Overall recycling rates'!$G$61:$G$62)-M120*M118/SUM(M116:M118)</f>
        <v>49.735692206386133</v>
      </c>
      <c r="N124" s="284">
        <f>N118-N119*'Overall recycling rates'!$G$62/SUM('Overall recycling rates'!$G$61:$G$62)-N120*N118/SUM(N116:N118)</f>
        <v>50.036517096627776</v>
      </c>
      <c r="O124" s="284">
        <f>O118-O119*'Overall recycling rates'!$G$62/SUM('Overall recycling rates'!$G$61:$G$62)-O120*O118/SUM(O116:O118)</f>
        <v>50.059571985522574</v>
      </c>
      <c r="P124" s="284">
        <f>P118-P119*'Overall recycling rates'!$G$62/SUM('Overall recycling rates'!$G$61:$G$62)-P120*P118/SUM(P116:P118)</f>
        <v>50.088548135666365</v>
      </c>
      <c r="Q124" s="284">
        <f>Q118-Q119*'Overall recycling rates'!$G$62/SUM('Overall recycling rates'!$G$61:$G$62)-Q120*Q118/SUM(Q116:Q118)</f>
        <v>50.122988445699626</v>
      </c>
      <c r="R124" s="284">
        <f>R118-R119*'Overall recycling rates'!$G$62/SUM('Overall recycling rates'!$G$61:$G$62)-R120*R118/SUM(R116:R118)</f>
        <v>50.16318943041464</v>
      </c>
      <c r="S124" s="284">
        <f>S118-S119*'Overall recycling rates'!$G$62/SUM('Overall recycling rates'!$G$61:$G$62)-S120*S118/SUM(S116:S118)</f>
        <v>50.211379127827151</v>
      </c>
      <c r="T124" s="284">
        <f>T118-T119*'Overall recycling rates'!$G$62/SUM('Overall recycling rates'!$G$61:$G$62)-T120*T118/SUM(T116:T118)</f>
        <v>50.25127454236388</v>
      </c>
      <c r="U124" s="284">
        <f>U118-U119*'Overall recycling rates'!$G$62/SUM('Overall recycling rates'!$G$61:$G$62)-U120*U118/SUM(U116:U118)</f>
        <v>50.290059668645917</v>
      </c>
      <c r="V124" s="284">
        <f>V118-V119*'Overall recycling rates'!$G$62/SUM('Overall recycling rates'!$G$61:$G$62)-V120*V118/SUM(V116:V118)</f>
        <v>50.334495272374809</v>
      </c>
      <c r="W124" s="284">
        <f>W118-W119*'Overall recycling rates'!$G$62/SUM('Overall recycling rates'!$G$61:$G$62)-W120*W118/SUM(W116:W118)</f>
        <v>50.390987626883309</v>
      </c>
      <c r="X124" s="284">
        <f>X118-X119*'Overall recycling rates'!$G$62/SUM('Overall recycling rates'!$G$61:$G$62)-X120*X118/SUM(X116:X118)</f>
        <v>50.464126380970647</v>
      </c>
      <c r="Y124" s="284">
        <f>Y118-Y119*'Overall recycling rates'!$G$62/SUM('Overall recycling rates'!$G$61:$G$62)-Y120*Y118/SUM(Y116:Y118)</f>
        <v>50.217021092088032</v>
      </c>
      <c r="Z124" s="284">
        <f>Z118-Z119*'Overall recycling rates'!$G$62/SUM('Overall recycling rates'!$G$61:$G$62)-Z120*Z118/SUM(Z116:Z118)</f>
        <v>49.903645040977466</v>
      </c>
      <c r="AA124" s="284">
        <f>AA118-AA119*'Overall recycling rates'!$G$62/SUM('Overall recycling rates'!$G$61:$G$62)-AA120*AA118/SUM(AA116:AA118)</f>
        <v>49.587522960725359</v>
      </c>
      <c r="AB124" s="284">
        <f>AB118-AB119*'Overall recycling rates'!$G$62/SUM('Overall recycling rates'!$G$61:$G$62)-AB120*AB118/SUM(AB116:AB118)</f>
        <v>49.27439161870182</v>
      </c>
      <c r="AC124" s="284">
        <f>AC118-AC119*'Overall recycling rates'!$G$62/SUM('Overall recycling rates'!$G$61:$G$62)-AC120*AC118/SUM(AC116:AC118)</f>
        <v>48.959725557535293</v>
      </c>
      <c r="AD124" s="284">
        <f>AD118-AD119*'Overall recycling rates'!$G$62/SUM('Overall recycling rates'!$G$61:$G$62)-AD120*AD118/SUM(AD116:AD118)</f>
        <v>48.628629938820545</v>
      </c>
      <c r="AE124" s="284">
        <f>AE118-AE119*'Overall recycling rates'!$G$62/SUM('Overall recycling rates'!$G$61:$G$62)-AE120*AE118/SUM(AE116:AE118)</f>
        <v>48.279172848151802</v>
      </c>
      <c r="AF124" s="284">
        <f>AF118-AF119*'Overall recycling rates'!$G$62/SUM('Overall recycling rates'!$G$61:$G$62)-AF120*AF118/SUM(AF116:AF118)</f>
        <v>47.900772800573279</v>
      </c>
      <c r="AG124" s="284">
        <f>AG118-AG119*'Overall recycling rates'!$G$62/SUM('Overall recycling rates'!$G$61:$G$62)-AG120*AG118/SUM(AG116:AG118)</f>
        <v>47.484243310848441</v>
      </c>
      <c r="AH124" s="284">
        <f>AH118-AH119*'Overall recycling rates'!$G$62/SUM('Overall recycling rates'!$G$61:$G$62)-AH120*AH118/SUM(AH116:AH118)</f>
        <v>47.025546457957446</v>
      </c>
      <c r="AJ124" s="284">
        <f>AJ118-AJ119*'Overall recycling rates'!$G$62/SUM('Overall recycling rates'!$G$61:$G$62)-AJ120*AJ118/SUM(AJ116:AJ118)</f>
        <v>46.982619910663502</v>
      </c>
      <c r="AK124" s="284">
        <f>AK118-AK119*'Overall recycling rates'!$G$62/SUM('Overall recycling rates'!$G$61:$G$62)-AK120*AK118/SUM(AK116:AK118)</f>
        <v>47.375817790750119</v>
      </c>
      <c r="AL124" s="284">
        <f>AL118-AL119*'Overall recycling rates'!$G$62/SUM('Overall recycling rates'!$G$61:$G$62)-AL120*AL118/SUM(AL116:AL118)</f>
        <v>47.650499776107189</v>
      </c>
      <c r="AM124" s="284">
        <f>AM118-AM119*'Overall recycling rates'!$G$62/SUM('Overall recycling rates'!$G$61:$G$62)-AM120*AM118/SUM(AM116:AM118)</f>
        <v>47.937319457568037</v>
      </c>
      <c r="AN124" s="284">
        <f>AN118-AN119*'Overall recycling rates'!$G$62/SUM('Overall recycling rates'!$G$61:$G$62)-AN120*AN118/SUM(AN116:AN118)</f>
        <v>48.238446387872138</v>
      </c>
      <c r="AO124" s="284">
        <f>AO118-AO119*'Overall recycling rates'!$G$62/SUM('Overall recycling rates'!$G$61:$G$62)-AO120*AO118/SUM(AO116:AO118)</f>
        <v>48.556031233489058</v>
      </c>
      <c r="AP124" s="284">
        <f>AP118-AP119*'Overall recycling rates'!$G$62/SUM('Overall recycling rates'!$G$61:$G$62)-AP120*AP118/SUM(AP116:AP118)</f>
        <v>48.846094420181672</v>
      </c>
      <c r="AQ124" s="284">
        <f>AQ118-AQ119*'Overall recycling rates'!$G$62/SUM('Overall recycling rates'!$G$61:$G$62)-AQ120*AQ118/SUM(AQ116:AQ118)</f>
        <v>49.140001601117206</v>
      </c>
      <c r="AR124" s="284">
        <f>AR118-AR119*'Overall recycling rates'!$G$62/SUM('Overall recycling rates'!$G$61:$G$62)-AR120*AR118/SUM(AR116:AR118)</f>
        <v>49.437721048595385</v>
      </c>
      <c r="AS124" s="284">
        <f>AS118-AS119*'Overall recycling rates'!$G$62/SUM('Overall recycling rates'!$G$61:$G$62)-AS120*AS118/SUM(AS116:AS118)</f>
        <v>49.738929664997315</v>
      </c>
      <c r="AT124" s="284">
        <f>AT118-AT119*'Overall recycling rates'!$G$62/SUM('Overall recycling rates'!$G$61:$G$62)-AT120*AT118/SUM(AT116:AT118)</f>
        <v>50.04278203149233</v>
      </c>
      <c r="AU124" s="284">
        <f>AU118-AU119*'Overall recycling rates'!$G$62/SUM('Overall recycling rates'!$G$61:$G$62)-AU120*AU118/SUM(AU116:AU118)</f>
        <v>50.070819176154103</v>
      </c>
      <c r="AV124" s="284">
        <f>AV118-AV119*'Overall recycling rates'!$G$62/SUM('Overall recycling rates'!$G$61:$G$62)-AV120*AV118/SUM(AV116:AV118)</f>
        <v>50.108031260209628</v>
      </c>
      <c r="AW124" s="284">
        <f>AW118-AW119*'Overall recycling rates'!$G$62/SUM('Overall recycling rates'!$G$61:$G$62)-AW120*AW118/SUM(AW116:AW118)</f>
        <v>50.155169151322447</v>
      </c>
      <c r="AX124" s="284">
        <f>AX118-AX119*'Overall recycling rates'!$G$62/SUM('Overall recycling rates'!$G$61:$G$62)-AX120*AX118/SUM(AX116:AX118)</f>
        <v>50.213520407721731</v>
      </c>
      <c r="AY124" s="284">
        <f>AY118-AY119*'Overall recycling rates'!$G$62/SUM('Overall recycling rates'!$G$61:$G$62)-AY120*AY118/SUM(AY116:AY118)</f>
        <v>50.285587785947705</v>
      </c>
      <c r="AZ124" s="284">
        <f>AZ118-AZ119*'Overall recycling rates'!$G$62/SUM('Overall recycling rates'!$G$61:$G$62)-AZ120*AZ118/SUM(AZ116:AZ118)</f>
        <v>50.354398504394389</v>
      </c>
      <c r="BA124" s="284">
        <f>BA118-BA119*'Overall recycling rates'!$G$62/SUM('Overall recycling rates'!$G$61:$G$62)-BA120*BA118/SUM(BA116:BA118)</f>
        <v>50.425332357241793</v>
      </c>
      <c r="BB124" s="284">
        <f>BB118-BB119*'Overall recycling rates'!$G$62/SUM('Overall recycling rates'!$G$61:$G$62)-BB120*BB118/SUM(BB116:BB118)</f>
        <v>50.502788941293275</v>
      </c>
      <c r="BC124" s="284">
        <f>BC118-BC119*'Overall recycling rates'!$G$62/SUM('Overall recycling rates'!$G$61:$G$62)-BC120*BC118/SUM(BC116:BC118)</f>
        <v>50.590930230297111</v>
      </c>
      <c r="BD124" s="284">
        <f>BD118-BD119*'Overall recycling rates'!$G$62/SUM('Overall recycling rates'!$G$61:$G$62)-BD120*BD118/SUM(BD116:BD118)</f>
        <v>50.692743401758669</v>
      </c>
      <c r="BE124" s="284">
        <f>BE118-BE119*'Overall recycling rates'!$G$62/SUM('Overall recycling rates'!$G$61:$G$62)-BE120*BE118/SUM(BE116:BE118)</f>
        <v>50.455372262742713</v>
      </c>
      <c r="BF124" s="284">
        <f>BF118-BF119*'Overall recycling rates'!$G$62/SUM('Overall recycling rates'!$G$61:$G$62)-BF120*BF118/SUM(BF116:BF118)</f>
        <v>50.178058374494803</v>
      </c>
      <c r="BG124" s="284">
        <f>BG118-BG119*'Overall recycling rates'!$G$62/SUM('Overall recycling rates'!$G$61:$G$62)-BG120*BG118/SUM(BG116:BG118)</f>
        <v>49.901415894283872</v>
      </c>
      <c r="BH124" s="284">
        <f>BH118-BH119*'Overall recycling rates'!$G$62/SUM('Overall recycling rates'!$G$61:$G$62)-BH120*BH118/SUM(BH116:BH118)</f>
        <v>49.629260017176406</v>
      </c>
      <c r="BI124" s="284">
        <f>BI118-BI119*'Overall recycling rates'!$G$62/SUM('Overall recycling rates'!$G$61:$G$62)-BI120*BI118/SUM(BI116:BI118)</f>
        <v>49.358769978696557</v>
      </c>
      <c r="BJ124" s="284">
        <f>BJ118-BJ119*'Overall recycling rates'!$G$62/SUM('Overall recycling rates'!$G$61:$G$62)-BJ120*BJ118/SUM(BJ116:BJ118)</f>
        <v>49.078401225934947</v>
      </c>
      <c r="BK124" s="284">
        <f>BK118-BK119*'Overall recycling rates'!$G$62/SUM('Overall recycling rates'!$G$61:$G$62)-BK120*BK118/SUM(BK116:BK118)</f>
        <v>48.789247710400282</v>
      </c>
      <c r="BL124" s="284">
        <f>BL118-BL119*'Overall recycling rates'!$G$62/SUM('Overall recycling rates'!$G$61:$G$62)-BL120*BL118/SUM(BL116:BL118)</f>
        <v>48.484856038302922</v>
      </c>
      <c r="BM124" s="284">
        <f>BM118-BM119*'Overall recycling rates'!$G$62/SUM('Overall recycling rates'!$G$61:$G$62)-BM120*BM118/SUM(BM116:BM118)</f>
        <v>48.159763402516582</v>
      </c>
      <c r="BN124" s="284">
        <f>BN118-BN119*'Overall recycling rates'!$G$62/SUM('Overall recycling rates'!$G$61:$G$62)-BN120*BN118/SUM(BN116:BN118)</f>
        <v>47.811848726055359</v>
      </c>
    </row>
    <row r="125" spans="1:67" s="426" customFormat="1">
      <c r="A125" s="425" t="s">
        <v>233</v>
      </c>
      <c r="C125" s="429" t="s">
        <v>153</v>
      </c>
      <c r="D125" s="430">
        <f>'BTX Recycling HC'!C373</f>
        <v>5.2955726726823178</v>
      </c>
      <c r="E125" s="430">
        <f>'BTX Recycling HC'!D373</f>
        <v>5.9223605843914164</v>
      </c>
      <c r="F125" s="430">
        <f>'BTX Recycling HC'!E373</f>
        <v>6.4624701379014109</v>
      </c>
      <c r="G125" s="430">
        <f>'BTX Recycling HC'!F373</f>
        <v>7.0088147250323782</v>
      </c>
      <c r="H125" s="430">
        <f>'BTX Recycling HC'!G373</f>
        <v>7.5575540660055269</v>
      </c>
      <c r="I125" s="430">
        <f>'BTX Recycling HC'!H373</f>
        <v>8.1045788651076585</v>
      </c>
      <c r="J125" s="430">
        <f>'BTX Recycling HC'!I373</f>
        <v>8.6641302711224011</v>
      </c>
      <c r="K125" s="430">
        <f>'BTX Recycling HC'!J373</f>
        <v>9.2349298679337899</v>
      </c>
      <c r="L125" s="430">
        <f>'BTX Recycling HC'!K373</f>
        <v>9.8150425576898357</v>
      </c>
      <c r="M125" s="430">
        <f>'BTX Recycling HC'!L373</f>
        <v>10.401426700039673</v>
      </c>
      <c r="N125" s="430">
        <f>'BTX Recycling HC'!M373</f>
        <v>10.98912063278412</v>
      </c>
      <c r="O125" s="430">
        <f>'BTX Recycling HC'!N373</f>
        <v>11.110099814386173</v>
      </c>
      <c r="P125" s="430">
        <f>'BTX Recycling HC'!O373</f>
        <v>11.17893617459422</v>
      </c>
      <c r="Q125" s="430">
        <f>'BTX Recycling HC'!P373</f>
        <v>11.187781152879989</v>
      </c>
      <c r="R125" s="430">
        <f>'BTX Recycling HC'!Q373</f>
        <v>11.127976045581187</v>
      </c>
      <c r="S125" s="430">
        <f>'BTX Recycling HC'!R373</f>
        <v>10.996980396258349</v>
      </c>
      <c r="T125" s="430">
        <f>'BTX Recycling HC'!S373</f>
        <v>10.819421624045827</v>
      </c>
      <c r="U125" s="430">
        <f>'BTX Recycling HC'!T373</f>
        <v>10.605901419746809</v>
      </c>
      <c r="V125" s="430">
        <f>'BTX Recycling HC'!U373</f>
        <v>10.370362649682834</v>
      </c>
      <c r="W125" s="430">
        <f>'BTX Recycling HC'!V373</f>
        <v>10.125715079342376</v>
      </c>
      <c r="X125" s="430">
        <f>'BTX Recycling HC'!W373</f>
        <v>9.8806385903563889</v>
      </c>
      <c r="Y125" s="430">
        <f>'BTX Recycling HC'!X373</f>
        <v>9.0337695208072439</v>
      </c>
      <c r="Z125" s="430">
        <f>'BTX Recycling HC'!Y373</f>
        <v>9.3273225063201846</v>
      </c>
      <c r="AA125" s="430">
        <f>'BTX Recycling HC'!Z373</f>
        <v>9.7151915357338456</v>
      </c>
      <c r="AB125" s="430">
        <f>'BTX Recycling HC'!AA373</f>
        <v>10.084779476729912</v>
      </c>
      <c r="AC125" s="430">
        <f>'BTX Recycling HC'!AB373</f>
        <v>10.426446873147686</v>
      </c>
      <c r="AD125" s="430">
        <f>'BTX Recycling HC'!AC373</f>
        <v>10.726126335734495</v>
      </c>
      <c r="AE125" s="430">
        <f>'BTX Recycling HC'!AD373</f>
        <v>10.965653938371332</v>
      </c>
      <c r="AF125" s="430">
        <f>'BTX Recycling HC'!AE373</f>
        <v>11.125483719980735</v>
      </c>
      <c r="AG125" s="430">
        <f>'BTX Recycling HC'!AF373</f>
        <v>11.190225098020049</v>
      </c>
      <c r="AH125" s="430">
        <f>'BTX Recycling HC'!AG373</f>
        <v>11.155897913939327</v>
      </c>
      <c r="AI125" s="101"/>
      <c r="AJ125" s="430">
        <f>'BTX Recycling LC'!C373</f>
        <v>5.2955834116242988</v>
      </c>
      <c r="AK125" s="430">
        <f>'BTX Recycling LC'!D373</f>
        <v>5.9223845458435731</v>
      </c>
      <c r="AL125" s="430">
        <f>'BTX Recycling LC'!E373</f>
        <v>6.4625221691014598</v>
      </c>
      <c r="AM125" s="430">
        <f>'BTX Recycling LC'!F373</f>
        <v>7.0089266559874304</v>
      </c>
      <c r="AN125" s="430">
        <f>'BTX Recycling LC'!G373</f>
        <v>7.5577924706501527</v>
      </c>
      <c r="AO125" s="430">
        <f>'BTX Recycling LC'!H373</f>
        <v>8.1050811020599678</v>
      </c>
      <c r="AP125" s="430">
        <f>'BTX Recycling LC'!I373</f>
        <v>8.6651773407198416</v>
      </c>
      <c r="AQ125" s="430">
        <f>'BTX Recycling LC'!J373</f>
        <v>9.2370851866137649</v>
      </c>
      <c r="AR125" s="430">
        <f>'BTX Recycling LC'!K373</f>
        <v>9.8194089875147945</v>
      </c>
      <c r="AS125" s="430">
        <f>'BTX Recycling LC'!L373</f>
        <v>10.410095735232813</v>
      </c>
      <c r="AT125" s="430">
        <f>'BTX Recycling LC'!M373</f>
        <v>11.00596909681116</v>
      </c>
      <c r="AU125" s="430">
        <f>'BTX Recycling LC'!N373</f>
        <v>11.140282705872776</v>
      </c>
      <c r="AV125" s="430">
        <f>'BTX Recycling LC'!O373</f>
        <v>11.231086503769406</v>
      </c>
      <c r="AW125" s="430">
        <f>'BTX Recycling LC'!P373</f>
        <v>11.273657510522948</v>
      </c>
      <c r="AX125" s="430">
        <f>'BTX Recycling LC'!Q373</f>
        <v>11.261815770698993</v>
      </c>
      <c r="AY125" s="430">
        <f>'BTX Recycling LC'!R373</f>
        <v>11.193525697711992</v>
      </c>
      <c r="AZ125" s="430">
        <f>'BTX Recycling LC'!S373</f>
        <v>11.091228865281336</v>
      </c>
      <c r="BA125" s="430">
        <f>'BTX Recycling LC'!T373</f>
        <v>10.960577298410255</v>
      </c>
      <c r="BB125" s="430">
        <f>'BTX Recycling LC'!U373</f>
        <v>10.809129046961539</v>
      </c>
      <c r="BC125" s="430">
        <f>'BTX Recycling LC'!V373</f>
        <v>10.643841928140381</v>
      </c>
      <c r="BD125" s="430">
        <f>'BTX Recycling LC'!W373</f>
        <v>10.469241975873432</v>
      </c>
      <c r="BE125" s="430">
        <f>'BTX Recycling LC'!X373</f>
        <v>9.6413946183961237</v>
      </c>
      <c r="BF125" s="430">
        <f>'BTX Recycling LC'!Y373</f>
        <v>10.019414589702139</v>
      </c>
      <c r="BG125" s="430">
        <f>'BTX Recycling LC'!Z373</f>
        <v>10.497705292746982</v>
      </c>
      <c r="BH125" s="430">
        <f>'BTX Recycling LC'!AA373</f>
        <v>10.95841182643326</v>
      </c>
      <c r="BI125" s="430">
        <f>'BTX Recycling LC'!AB373</f>
        <v>11.395645923114722</v>
      </c>
      <c r="BJ125" s="430">
        <f>'BTX Recycling LC'!AC373</f>
        <v>11.801022681293087</v>
      </c>
      <c r="BK125" s="430">
        <f>'BTX Recycling LC'!AD373</f>
        <v>12.163750065029816</v>
      </c>
      <c r="BL125" s="430">
        <f>'BTX Recycling LC'!AE373</f>
        <v>12.472230871528319</v>
      </c>
      <c r="BM125" s="430">
        <f>'BTX Recycling LC'!AF373</f>
        <v>12.717235668250146</v>
      </c>
      <c r="BN125" s="430">
        <f>'BTX Recycling LC'!AG373</f>
        <v>12.896059932384006</v>
      </c>
    </row>
    <row r="126" spans="1:67" s="428" customFormat="1">
      <c r="A126" s="427" t="s">
        <v>234</v>
      </c>
      <c r="C126" s="431" t="s">
        <v>153</v>
      </c>
      <c r="D126" s="432">
        <f>'BTX Recycling HC'!C374</f>
        <v>53.295119039485314</v>
      </c>
      <c r="E126" s="432">
        <f>'BTX Recycling HC'!D374</f>
        <v>55.135376068632269</v>
      </c>
      <c r="F126" s="432">
        <f>'BTX Recycling HC'!E374</f>
        <v>56.78235866719546</v>
      </c>
      <c r="G126" s="432">
        <f>'BTX Recycling HC'!F374</f>
        <v>58.320532717602575</v>
      </c>
      <c r="H126" s="432">
        <f>'BTX Recycling HC'!G374</f>
        <v>59.738382746566081</v>
      </c>
      <c r="I126" s="432">
        <f>'BTX Recycling HC'!H374</f>
        <v>61.024995410050678</v>
      </c>
      <c r="J126" s="432">
        <f>'BTX Recycling HC'!I374</f>
        <v>62.304244603034896</v>
      </c>
      <c r="K126" s="432">
        <f>'BTX Recycling HC'!J374</f>
        <v>63.573673638337866</v>
      </c>
      <c r="L126" s="432">
        <f>'BTX Recycling HC'!K374</f>
        <v>64.83018444108086</v>
      </c>
      <c r="M126" s="432">
        <f>'BTX Recycling HC'!L374</f>
        <v>66.069590634159908</v>
      </c>
      <c r="N126" s="432">
        <f>'BTX Recycling HC'!M374</f>
        <v>67.285807012162181</v>
      </c>
      <c r="O126" s="432">
        <f>'BTX Recycling HC'!N374</f>
        <v>67.928298204566943</v>
      </c>
      <c r="P126" s="432">
        <f>'BTX Recycling HC'!O374</f>
        <v>68.408252560261644</v>
      </c>
      <c r="Q126" s="432">
        <f>'BTX Recycling HC'!P374</f>
        <v>68.719332763601983</v>
      </c>
      <c r="R126" s="432">
        <f>'BTX Recycling HC'!Q374</f>
        <v>68.846549482721585</v>
      </c>
      <c r="S126" s="432">
        <f>'BTX Recycling HC'!R374</f>
        <v>68.785927323511601</v>
      </c>
      <c r="T126" s="432">
        <f>'BTX Recycling HC'!S374</f>
        <v>68.665391690354554</v>
      </c>
      <c r="U126" s="432">
        <f>'BTX Recycling HC'!T374</f>
        <v>68.495419181042891</v>
      </c>
      <c r="V126" s="432">
        <f>'BTX Recycling HC'!U374</f>
        <v>68.289834397842824</v>
      </c>
      <c r="W126" s="432">
        <f>'BTX Recycling HC'!V374</f>
        <v>68.061435835350096</v>
      </c>
      <c r="X126" s="432">
        <f>'BTX Recycling HC'!W374</f>
        <v>67.818799257639412</v>
      </c>
      <c r="Y126" s="432">
        <f>'BTX Recycling HC'!X374</f>
        <v>66.961102222970666</v>
      </c>
      <c r="Z126" s="432">
        <f>'BTX Recycling HC'!Y374</f>
        <v>65.888195256935532</v>
      </c>
      <c r="AA126" s="432">
        <f>'BTX Recycling HC'!Z374</f>
        <v>64.745387366154446</v>
      </c>
      <c r="AB126" s="432">
        <f>'BTX Recycling HC'!AA374</f>
        <v>63.535033070478903</v>
      </c>
      <c r="AC126" s="432">
        <f>'BTX Recycling HC'!AB374</f>
        <v>62.246463053265174</v>
      </c>
      <c r="AD126" s="432">
        <f>'BTX Recycling HC'!AC374</f>
        <v>60.865067962908924</v>
      </c>
      <c r="AE126" s="432">
        <f>'BTX Recycling HC'!AD374</f>
        <v>59.371633899288952</v>
      </c>
      <c r="AF126" s="432">
        <f>'BTX Recycling HC'!AE374</f>
        <v>57.745577303547854</v>
      </c>
      <c r="AG126" s="432">
        <f>'BTX Recycling HC'!AF374</f>
        <v>55.970483117736123</v>
      </c>
      <c r="AH126" s="432">
        <f>'BTX Recycling HC'!AG374</f>
        <v>54.041360579780019</v>
      </c>
      <c r="AI126" s="64"/>
      <c r="AJ126" s="432">
        <f>'BTX Recycling LC'!C374</f>
        <v>53.295129778427295</v>
      </c>
      <c r="AK126" s="432">
        <f>'BTX Recycling LC'!D374</f>
        <v>55.135400030084419</v>
      </c>
      <c r="AL126" s="432">
        <f>'BTX Recycling LC'!E374</f>
        <v>56.782410698395509</v>
      </c>
      <c r="AM126" s="432">
        <f>'BTX Recycling LC'!F374</f>
        <v>58.320644648557625</v>
      </c>
      <c r="AN126" s="432">
        <f>'BTX Recycling LC'!G374</f>
        <v>59.738621151210708</v>
      </c>
      <c r="AO126" s="432">
        <f>'BTX Recycling LC'!H374</f>
        <v>61.025497647002986</v>
      </c>
      <c r="AP126" s="432">
        <f>'BTX Recycling LC'!I374</f>
        <v>62.305291672632336</v>
      </c>
      <c r="AQ126" s="432">
        <f>'BTX Recycling LC'!J374</f>
        <v>63.575828957017848</v>
      </c>
      <c r="AR126" s="432">
        <f>'BTX Recycling LC'!K374</f>
        <v>64.834550870905815</v>
      </c>
      <c r="AS126" s="432">
        <f>'BTX Recycling LC'!L374</f>
        <v>66.078259669353045</v>
      </c>
      <c r="AT126" s="432">
        <f>'BTX Recycling LC'!M374</f>
        <v>67.302655476189216</v>
      </c>
      <c r="AU126" s="432">
        <f>'BTX Recycling LC'!N374</f>
        <v>67.958481096053546</v>
      </c>
      <c r="AV126" s="432">
        <f>'BTX Recycling LC'!O374</f>
        <v>68.460402889436821</v>
      </c>
      <c r="AW126" s="432">
        <f>'BTX Recycling LC'!P374</f>
        <v>68.805209121244943</v>
      </c>
      <c r="AX126" s="432">
        <f>'BTX Recycling LC'!Q374</f>
        <v>68.980389207839394</v>
      </c>
      <c r="AY126" s="432">
        <f>'BTX Recycling LC'!R374</f>
        <v>68.982472624965254</v>
      </c>
      <c r="AZ126" s="432">
        <f>'BTX Recycling LC'!S374</f>
        <v>68.937198931590061</v>
      </c>
      <c r="BA126" s="432">
        <f>'BTX Recycling LC'!T374</f>
        <v>68.850095059706334</v>
      </c>
      <c r="BB126" s="432">
        <f>'BTX Recycling LC'!U374</f>
        <v>68.728600795121523</v>
      </c>
      <c r="BC126" s="432">
        <f>'BTX Recycling LC'!V374</f>
        <v>68.579562684148101</v>
      </c>
      <c r="BD126" s="432">
        <f>'BTX Recycling LC'!W374</f>
        <v>68.407402643156459</v>
      </c>
      <c r="BE126" s="432">
        <f>'BTX Recycling LC'!X374</f>
        <v>67.568727320559546</v>
      </c>
      <c r="BF126" s="432">
        <f>'BTX Recycling LC'!Y374</f>
        <v>66.580287340317483</v>
      </c>
      <c r="BG126" s="432">
        <f>'BTX Recycling LC'!Z374</f>
        <v>65.527901123167581</v>
      </c>
      <c r="BH126" s="432">
        <f>'BTX Recycling LC'!AA374</f>
        <v>64.408665420182245</v>
      </c>
      <c r="BI126" s="432">
        <f>'BTX Recycling LC'!AB374</f>
        <v>63.215662103232212</v>
      </c>
      <c r="BJ126" s="432">
        <f>'BTX Recycling LC'!AC374</f>
        <v>61.939964308467523</v>
      </c>
      <c r="BK126" s="432">
        <f>'BTX Recycling LC'!AD374</f>
        <v>60.569730025947436</v>
      </c>
      <c r="BL126" s="432">
        <f>'BTX Recycling LC'!AE374</f>
        <v>59.092324455095437</v>
      </c>
      <c r="BM126" s="432">
        <f>'BTX Recycling LC'!AF374</f>
        <v>57.49749368796622</v>
      </c>
      <c r="BN126" s="432">
        <f>'BTX Recycling LC'!AG374</f>
        <v>55.781522598224697</v>
      </c>
    </row>
    <row r="128" spans="1:67" s="104" customFormat="1">
      <c r="A128" s="102" t="s">
        <v>232</v>
      </c>
      <c r="B128" s="102"/>
      <c r="C128" s="103" t="s">
        <v>153</v>
      </c>
      <c r="D128" s="105">
        <f>D121</f>
        <v>116.10916156271568</v>
      </c>
      <c r="E128" s="105">
        <f t="shared" ref="E128:AH128" si="151">E121</f>
        <v>118.45778806243872</v>
      </c>
      <c r="F128" s="105">
        <f t="shared" si="151"/>
        <v>120.66907822261398</v>
      </c>
      <c r="G128" s="105">
        <f t="shared" si="151"/>
        <v>122.93619074891319</v>
      </c>
      <c r="H128" s="105">
        <f t="shared" si="151"/>
        <v>125.26372602588492</v>
      </c>
      <c r="I128" s="105">
        <f t="shared" si="151"/>
        <v>127.65649690659565</v>
      </c>
      <c r="J128" s="105">
        <f t="shared" si="151"/>
        <v>129.0286862890365</v>
      </c>
      <c r="K128" s="105">
        <f t="shared" si="151"/>
        <v>130.40793886954526</v>
      </c>
      <c r="L128" s="105">
        <f t="shared" si="151"/>
        <v>131.79328873363903</v>
      </c>
      <c r="M128" s="105">
        <f t="shared" si="151"/>
        <v>133.1827702964157</v>
      </c>
      <c r="N128" s="105">
        <f t="shared" si="151"/>
        <v>134.57260862567446</v>
      </c>
      <c r="O128" s="105">
        <f t="shared" si="151"/>
        <v>134.35385207761564</v>
      </c>
      <c r="P128" s="105">
        <f t="shared" si="151"/>
        <v>134.09621684119361</v>
      </c>
      <c r="Q128" s="105">
        <f t="shared" si="151"/>
        <v>133.79680974531891</v>
      </c>
      <c r="R128" s="105">
        <f t="shared" si="151"/>
        <v>133.45593237475865</v>
      </c>
      <c r="S128" s="105">
        <f t="shared" si="151"/>
        <v>133.07830222757013</v>
      </c>
      <c r="T128" s="105">
        <f t="shared" si="151"/>
        <v>132.57370963673006</v>
      </c>
      <c r="U128" s="105">
        <f t="shared" si="151"/>
        <v>132.01846081673162</v>
      </c>
      <c r="V128" s="105">
        <f t="shared" si="151"/>
        <v>131.4270330691908</v>
      </c>
      <c r="W128" s="105">
        <f t="shared" si="151"/>
        <v>130.81293378832368</v>
      </c>
      <c r="X128" s="105">
        <f t="shared" si="151"/>
        <v>130.18550918972684</v>
      </c>
      <c r="Y128" s="105">
        <f t="shared" si="151"/>
        <v>128.28044898923585</v>
      </c>
      <c r="Z128" s="105">
        <f t="shared" si="151"/>
        <v>126.15470523995782</v>
      </c>
      <c r="AA128" s="105">
        <f t="shared" si="151"/>
        <v>123.94355104837958</v>
      </c>
      <c r="AB128" s="105">
        <f t="shared" si="151"/>
        <v>121.66094749420824</v>
      </c>
      <c r="AC128" s="105">
        <f t="shared" si="151"/>
        <v>119.29730454335962</v>
      </c>
      <c r="AD128" s="105">
        <f t="shared" si="151"/>
        <v>116.62934329492107</v>
      </c>
      <c r="AE128" s="105">
        <f t="shared" si="151"/>
        <v>113.84667749716679</v>
      </c>
      <c r="AF128" s="105">
        <f t="shared" si="151"/>
        <v>110.93010912948704</v>
      </c>
      <c r="AG128" s="105">
        <f t="shared" si="151"/>
        <v>107.86475135858493</v>
      </c>
      <c r="AH128" s="105">
        <f t="shared" si="151"/>
        <v>104.64729897438453</v>
      </c>
      <c r="AI128" s="193"/>
      <c r="AJ128" s="105">
        <f>AJ121</f>
        <v>116.10917230165767</v>
      </c>
      <c r="AK128" s="105">
        <f t="shared" ref="AK128:BN128" si="152">AK121</f>
        <v>118.45781202389088</v>
      </c>
      <c r="AL128" s="105">
        <f t="shared" si="152"/>
        <v>120.66913025381402</v>
      </c>
      <c r="AM128" s="105">
        <f t="shared" si="152"/>
        <v>122.93630267986823</v>
      </c>
      <c r="AN128" s="105">
        <f t="shared" si="152"/>
        <v>125.26396443052955</v>
      </c>
      <c r="AO128" s="105">
        <f t="shared" si="152"/>
        <v>127.65699914354795</v>
      </c>
      <c r="AP128" s="105">
        <f t="shared" si="152"/>
        <v>129.02973335863396</v>
      </c>
      <c r="AQ128" s="105">
        <f t="shared" si="152"/>
        <v>130.41009418822526</v>
      </c>
      <c r="AR128" s="105">
        <f t="shared" si="152"/>
        <v>131.79765516346399</v>
      </c>
      <c r="AS128" s="105">
        <f t="shared" si="152"/>
        <v>133.19143933160882</v>
      </c>
      <c r="AT128" s="105">
        <f t="shared" si="152"/>
        <v>134.58945708970148</v>
      </c>
      <c r="AU128" s="105">
        <f t="shared" si="152"/>
        <v>134.38403496910223</v>
      </c>
      <c r="AV128" s="105">
        <f t="shared" si="152"/>
        <v>134.1483671703688</v>
      </c>
      <c r="AW128" s="105">
        <f t="shared" si="152"/>
        <v>133.88268610296186</v>
      </c>
      <c r="AX128" s="105">
        <f t="shared" si="152"/>
        <v>133.58977209987646</v>
      </c>
      <c r="AY128" s="105">
        <f t="shared" si="152"/>
        <v>133.27484752902376</v>
      </c>
      <c r="AZ128" s="105">
        <f t="shared" si="152"/>
        <v>132.84551687796557</v>
      </c>
      <c r="BA128" s="105">
        <f t="shared" si="152"/>
        <v>132.37313669539506</v>
      </c>
      <c r="BB128" s="105">
        <f t="shared" si="152"/>
        <v>131.86579946646953</v>
      </c>
      <c r="BC128" s="105">
        <f t="shared" si="152"/>
        <v>131.33106063712168</v>
      </c>
      <c r="BD128" s="105">
        <f t="shared" si="152"/>
        <v>130.77411257524389</v>
      </c>
      <c r="BE128" s="105">
        <f t="shared" si="152"/>
        <v>128.88807408682473</v>
      </c>
      <c r="BF128" s="105">
        <f t="shared" si="152"/>
        <v>126.84679732333979</v>
      </c>
      <c r="BG128" s="105">
        <f t="shared" si="152"/>
        <v>124.72606480539271</v>
      </c>
      <c r="BH128" s="105">
        <f t="shared" si="152"/>
        <v>122.5345798439116</v>
      </c>
      <c r="BI128" s="105">
        <f t="shared" si="152"/>
        <v>120.26650359332666</v>
      </c>
      <c r="BJ128" s="105">
        <f t="shared" si="152"/>
        <v>117.70423964047966</v>
      </c>
      <c r="BK128" s="105">
        <f t="shared" si="152"/>
        <v>115.04477362382528</v>
      </c>
      <c r="BL128" s="105">
        <f t="shared" si="152"/>
        <v>112.27685628103461</v>
      </c>
      <c r="BM128" s="105">
        <f t="shared" si="152"/>
        <v>109.39176192881501</v>
      </c>
      <c r="BN128" s="105">
        <f t="shared" si="152"/>
        <v>106.3874609928292</v>
      </c>
    </row>
    <row r="129" spans="1:67" s="67" customFormat="1">
      <c r="A129" s="752"/>
      <c r="B129" s="58" t="s">
        <v>7</v>
      </c>
      <c r="C129" s="59" t="s">
        <v>153</v>
      </c>
      <c r="D129" s="60">
        <f>D$128*'Yearly Demand - BTX'!$C16</f>
        <v>51.832289605000035</v>
      </c>
      <c r="E129" s="60">
        <f>E$128*'Yearly Demand - BTX'!$C16</f>
        <v>52.880739936301993</v>
      </c>
      <c r="F129" s="60">
        <f>F$128*'Yearly Demand - BTX'!$C16</f>
        <v>53.867881953695523</v>
      </c>
      <c r="G129" s="60">
        <f>G$128*'Yearly Demand - BTX'!$C16</f>
        <v>54.879943632969578</v>
      </c>
      <c r="H129" s="60">
        <f>H$128*'Yearly Demand - BTX'!$C16</f>
        <v>55.918978631742597</v>
      </c>
      <c r="I129" s="60">
        <f>I$128*'Yearly Demand - BTX'!$C16</f>
        <v>56.98713545570191</v>
      </c>
      <c r="J129" s="60">
        <f>J$128*'Yearly Demand - BTX'!$C16</f>
        <v>57.599694503638567</v>
      </c>
      <c r="K129" s="60">
        <f>K$128*'Yearly Demand - BTX'!$C16</f>
        <v>58.215406633751222</v>
      </c>
      <c r="L129" s="60">
        <f>L$128*'Yearly Demand - BTX'!$C16</f>
        <v>58.833840652165605</v>
      </c>
      <c r="M129" s="60">
        <f>M$128*'Yearly Demand - BTX'!$C16</f>
        <v>59.454119102146031</v>
      </c>
      <c r="N129" s="60">
        <f>N$128*'Yearly Demand - BTX'!$C16</f>
        <v>60.07455681624802</v>
      </c>
      <c r="O129" s="60">
        <f>O$128*'Yearly Demand - BTX'!$C16</f>
        <v>59.976901707905427</v>
      </c>
      <c r="P129" s="60">
        <f>P$128*'Yearly Demand - BTX'!$C16</f>
        <v>59.861890764695175</v>
      </c>
      <c r="Q129" s="60">
        <f>Q$128*'Yearly Demand - BTX'!$C16</f>
        <v>59.728232446141327</v>
      </c>
      <c r="R129" s="60">
        <f>R$128*'Yearly Demand - BTX'!$C16</f>
        <v>59.576061382696629</v>
      </c>
      <c r="S129" s="60">
        <f>S$128*'Yearly Demand - BTX'!$C16</f>
        <v>59.407483512619763</v>
      </c>
      <c r="T129" s="60">
        <f>T$128*'Yearly Demand - BTX'!$C16</f>
        <v>59.182228339393546</v>
      </c>
      <c r="U129" s="60">
        <f>U$128*'Yearly Demand - BTX'!$C16</f>
        <v>58.934359719435868</v>
      </c>
      <c r="V129" s="60">
        <f>V$128*'Yearly Demand - BTX'!$C16</f>
        <v>58.670340464810465</v>
      </c>
      <c r="W129" s="60">
        <f>W$128*'Yearly Demand - BTX'!$C16</f>
        <v>58.396200411228783</v>
      </c>
      <c r="X129" s="60">
        <f>X$128*'Yearly Demand - BTX'!$C16</f>
        <v>58.116111802698043</v>
      </c>
      <c r="Y129" s="60">
        <f>Y$128*'Yearly Demand - BTX'!$C16</f>
        <v>57.265673898420587</v>
      </c>
      <c r="Z129" s="60">
        <f>Z$128*'Yearly Demand - BTX'!$C16</f>
        <v>56.316720653425506</v>
      </c>
      <c r="AA129" s="60">
        <f>AA$128*'Yearly Demand - BTX'!$C16</f>
        <v>55.329639333771951</v>
      </c>
      <c r="AB129" s="60">
        <f>AB$128*'Yearly Demand - BTX'!$C16</f>
        <v>54.3106623049067</v>
      </c>
      <c r="AC129" s="60">
        <f>AC$128*'Yearly Demand - BTX'!$C16</f>
        <v>53.255508479814026</v>
      </c>
      <c r="AD129" s="60">
        <f>AD$128*'Yearly Demand - BTX'!$C16</f>
        <v>52.064503926660919</v>
      </c>
      <c r="AE129" s="60">
        <f>AE$128*'Yearly Demand - BTX'!$C16</f>
        <v>50.82229411684137</v>
      </c>
      <c r="AF129" s="60">
        <f>AF$128*'Yearly Demand - BTX'!$C16</f>
        <v>49.520308862174758</v>
      </c>
      <c r="AG129" s="60">
        <f>AG$128*'Yearly Demand - BTX'!$C16</f>
        <v>48.151902531563927</v>
      </c>
      <c r="AH129" s="60">
        <f>AH$128*'Yearly Demand - BTX'!$C16</f>
        <v>46.715599646213285</v>
      </c>
      <c r="AJ129" s="60">
        <f>AJ$128*'Yearly Demand - BTX'!$C16</f>
        <v>51.832294398971015</v>
      </c>
      <c r="AK129" s="60">
        <f>AK$128*'Yearly Demand - BTX'!$C16</f>
        <v>52.880750632933605</v>
      </c>
      <c r="AL129" s="60">
        <f>AL$128*'Yearly Demand - BTX'!$C16</f>
        <v>53.867905180942998</v>
      </c>
      <c r="AM129" s="60">
        <f>AM$128*'Yearly Demand - BTX'!$C16</f>
        <v>54.879993600066051</v>
      </c>
      <c r="AN129" s="60">
        <f>AN$128*'Yearly Demand - BTX'!$C16</f>
        <v>55.919085057957524</v>
      </c>
      <c r="AO129" s="60">
        <f>AO$128*'Yearly Demand - BTX'!$C16</f>
        <v>56.987359659294562</v>
      </c>
      <c r="AP129" s="60">
        <f>AP$128*'Yearly Demand - BTX'!$C16</f>
        <v>57.600161925966674</v>
      </c>
      <c r="AQ129" s="60">
        <f>AQ$128*'Yearly Demand - BTX'!$C16</f>
        <v>58.216368789540731</v>
      </c>
      <c r="AR129" s="60">
        <f>AR$128*'Yearly Demand - BTX'!$C16</f>
        <v>58.835789870058328</v>
      </c>
      <c r="AS129" s="60">
        <f>AS$128*'Yearly Demand - BTX'!$C16</f>
        <v>59.45798904605639</v>
      </c>
      <c r="AT129" s="60">
        <f>AT$128*'Yearly Demand - BTX'!$C16</f>
        <v>60.082078138899</v>
      </c>
      <c r="AU129" s="60">
        <f>AU$128*'Yearly Demand - BTX'!$C16</f>
        <v>59.990375652179878</v>
      </c>
      <c r="AV129" s="60">
        <f>AV$128*'Yearly Demand - BTX'!$C16</f>
        <v>59.885171192599607</v>
      </c>
      <c r="AW129" s="60">
        <f>AW$128*'Yearly Demand - BTX'!$C16</f>
        <v>59.766568510063102</v>
      </c>
      <c r="AX129" s="60">
        <f>AX$128*'Yearly Demand - BTX'!$C16</f>
        <v>59.635808772993762</v>
      </c>
      <c r="AY129" s="60">
        <f>AY$128*'Yearly Demand - BTX'!$C16</f>
        <v>59.495223298596457</v>
      </c>
      <c r="AZ129" s="60">
        <f>AZ$128*'Yearly Demand - BTX'!$C16</f>
        <v>59.303565807125111</v>
      </c>
      <c r="BA129" s="60">
        <f>BA$128*'Yearly Demand - BTX'!$C16</f>
        <v>59.092690574739322</v>
      </c>
      <c r="BB129" s="60">
        <f>BB$128*'Yearly Demand - BTX'!$C16</f>
        <v>58.866210167653932</v>
      </c>
      <c r="BC129" s="60">
        <f>BC$128*'Yearly Demand - BTX'!$C16</f>
        <v>58.627497412409163</v>
      </c>
      <c r="BD129" s="60">
        <f>BD$128*'Yearly Demand - BTX'!$C16</f>
        <v>58.378870233901807</v>
      </c>
      <c r="BE129" s="60">
        <f>BE$128*'Yearly Demand - BTX'!$C16</f>
        <v>57.536923811912395</v>
      </c>
      <c r="BF129" s="60">
        <f>BF$128*'Yearly Demand - BTX'!$C16</f>
        <v>56.625677473166256</v>
      </c>
      <c r="BG129" s="60">
        <f>BG$128*'Yearly Demand - BTX'!$C16</f>
        <v>55.67896129189748</v>
      </c>
      <c r="BH129" s="60">
        <f>BH$128*'Yearly Demand - BTX'!$C16</f>
        <v>54.700660513046913</v>
      </c>
      <c r="BI129" s="60">
        <f>BI$128*'Yearly Demand - BTX'!$C16</f>
        <v>53.688168617624498</v>
      </c>
      <c r="BJ129" s="60">
        <f>BJ$128*'Yearly Demand - BTX'!$C16</f>
        <v>52.544348393096541</v>
      </c>
      <c r="BK129" s="60">
        <f>BK$128*'Yearly Demand - BTX'!$C16</f>
        <v>51.357136196275803</v>
      </c>
      <c r="BL129" s="60">
        <f>BL$128*'Yearly Demand - BTX'!$C16</f>
        <v>50.12151024408309</v>
      </c>
      <c r="BM129" s="60">
        <f>BM$128*'Yearly Demand - BTX'!$C16</f>
        <v>48.833575304330537</v>
      </c>
      <c r="BN129" s="60">
        <f>BN$128*'Yearly Demand - BTX'!$C16</f>
        <v>47.492425354759348</v>
      </c>
    </row>
    <row r="130" spans="1:67">
      <c r="A130" s="753"/>
      <c r="B130" s="1" t="s">
        <v>8</v>
      </c>
      <c r="C130" s="54" t="s">
        <v>153</v>
      </c>
      <c r="D130" s="44">
        <f>D$128*'Yearly Demand - BTX'!$C17</f>
        <v>14.015257795291385</v>
      </c>
      <c r="E130" s="44">
        <f>E$128*'Yearly Demand - BTX'!$C17</f>
        <v>14.298754854571168</v>
      </c>
      <c r="F130" s="44">
        <f>F$128*'Yearly Demand - BTX'!$C17</f>
        <v>14.565674374425829</v>
      </c>
      <c r="G130" s="44">
        <f>G$128*'Yearly Demand - BTX'!$C17</f>
        <v>14.83933207791252</v>
      </c>
      <c r="H130" s="44">
        <f>H$128*'Yearly Demand - BTX'!$C17</f>
        <v>15.120283266391937</v>
      </c>
      <c r="I130" s="44">
        <f>I$128*'Yearly Demand - BTX'!$C17</f>
        <v>15.409108887788861</v>
      </c>
      <c r="J130" s="44">
        <f>J$128*'Yearly Demand - BTX'!$C17</f>
        <v>15.574742569748423</v>
      </c>
      <c r="K130" s="44">
        <f>K$128*'Yearly Demand - BTX'!$C17</f>
        <v>15.741228833368627</v>
      </c>
      <c r="L130" s="44">
        <f>L$128*'Yearly Demand - BTX'!$C17</f>
        <v>15.908451085434056</v>
      </c>
      <c r="M130" s="44">
        <f>M$128*'Yearly Demand - BTX'!$C17</f>
        <v>16.076172064915944</v>
      </c>
      <c r="N130" s="44">
        <f>N$128*'Yearly Demand - BTX'!$C17</f>
        <v>16.243936108822307</v>
      </c>
      <c r="O130" s="44">
        <f>O$128*'Yearly Demand - BTX'!$C17</f>
        <v>16.217530531741328</v>
      </c>
      <c r="P130" s="44">
        <f>P$128*'Yearly Demand - BTX'!$C17</f>
        <v>16.186432001642519</v>
      </c>
      <c r="Q130" s="44">
        <f>Q$128*'Yearly Demand - BTX'!$C17</f>
        <v>16.150291290798123</v>
      </c>
      <c r="R130" s="44">
        <f>R$128*'Yearly Demand - BTX'!$C17</f>
        <v>16.109144802780442</v>
      </c>
      <c r="S130" s="44">
        <f>S$128*'Yearly Demand - BTX'!$C17</f>
        <v>16.063561975440308</v>
      </c>
      <c r="T130" s="44">
        <f>T$128*'Yearly Demand - BTX'!$C17</f>
        <v>16.002653816712474</v>
      </c>
      <c r="U130" s="44">
        <f>U$128*'Yearly Demand - BTX'!$C17</f>
        <v>15.935631066327646</v>
      </c>
      <c r="V130" s="44">
        <f>V$128*'Yearly Demand - BTX'!$C17</f>
        <v>15.864241244564134</v>
      </c>
      <c r="W130" s="44">
        <f>W$128*'Yearly Demand - BTX'!$C17</f>
        <v>15.790114796509414</v>
      </c>
      <c r="X130" s="44">
        <f>X$128*'Yearly Demand - BTX'!$C17</f>
        <v>15.714379881382222</v>
      </c>
      <c r="Y130" s="44">
        <f>Y$128*'Yearly Demand - BTX'!$C17</f>
        <v>15.484424643861976</v>
      </c>
      <c r="Z130" s="44">
        <f>Z$128*'Yearly Demand - BTX'!$C17</f>
        <v>15.227831225634867</v>
      </c>
      <c r="AA130" s="44">
        <f>AA$128*'Yearly Demand - BTX'!$C17</f>
        <v>14.960928118222718</v>
      </c>
      <c r="AB130" s="44">
        <f>AB$128*'Yearly Demand - BTX'!$C17</f>
        <v>14.685400529998082</v>
      </c>
      <c r="AC130" s="44">
        <f>AC$128*'Yearly Demand - BTX'!$C17</f>
        <v>14.400090870998664</v>
      </c>
      <c r="AD130" s="44">
        <f>AD$128*'Yearly Demand - BTX'!$C17</f>
        <v>14.078047681801086</v>
      </c>
      <c r="AE130" s="44">
        <f>AE$128*'Yearly Demand - BTX'!$C17</f>
        <v>13.742158782176222</v>
      </c>
      <c r="AF130" s="44">
        <f>AF$128*'Yearly Demand - BTX'!$C17</f>
        <v>13.39010682520343</v>
      </c>
      <c r="AG130" s="44">
        <f>AG$128*'Yearly Demand - BTX'!$C17</f>
        <v>13.020094857019616</v>
      </c>
      <c r="AH130" s="44">
        <f>AH$128*'Yearly Demand - BTX'!$C17</f>
        <v>12.6317239136614</v>
      </c>
      <c r="AI130" s="54" t="s">
        <v>235</v>
      </c>
      <c r="AJ130" s="44">
        <f>AJ$128*'Yearly Demand - BTX'!$C17</f>
        <v>14.015259091563257</v>
      </c>
      <c r="AK130" s="44">
        <f>AK$128*'Yearly Demand - BTX'!$C17</f>
        <v>14.298757746900462</v>
      </c>
      <c r="AL130" s="44">
        <f>AL$128*'Yearly Demand - BTX'!$C17</f>
        <v>14.565680654986917</v>
      </c>
      <c r="AM130" s="44">
        <f>AM$128*'Yearly Demand - BTX'!$C17</f>
        <v>14.839345588829049</v>
      </c>
      <c r="AN130" s="44">
        <f>AN$128*'Yearly Demand - BTX'!$C17</f>
        <v>15.120312043643526</v>
      </c>
      <c r="AO130" s="44">
        <f>AO$128*'Yearly Demand - BTX'!$C17</f>
        <v>15.409169511604123</v>
      </c>
      <c r="AP130" s="44">
        <f>AP$128*'Yearly Demand - BTX'!$C17</f>
        <v>15.574868959002643</v>
      </c>
      <c r="AQ130" s="44">
        <f>AQ$128*'Yearly Demand - BTX'!$C17</f>
        <v>15.741488996705652</v>
      </c>
      <c r="AR130" s="44">
        <f>AR$128*'Yearly Demand - BTX'!$C17</f>
        <v>15.908978146682438</v>
      </c>
      <c r="AS130" s="44">
        <f>AS$128*'Yearly Demand - BTX'!$C17</f>
        <v>16.077218483315946</v>
      </c>
      <c r="AT130" s="44">
        <f>AT$128*'Yearly Demand - BTX'!$C17</f>
        <v>16.24596984641558</v>
      </c>
      <c r="AU130" s="44">
        <f>AU$128*'Yearly Demand - BTX'!$C17</f>
        <v>16.221173836020665</v>
      </c>
      <c r="AV130" s="44">
        <f>AV$128*'Yearly Demand - BTX'!$C17</f>
        <v>16.192726942521105</v>
      </c>
      <c r="AW130" s="44">
        <f>AW$128*'Yearly Demand - BTX'!$C17</f>
        <v>16.160657219504241</v>
      </c>
      <c r="AX130" s="44">
        <f>AX$128*'Yearly Demand - BTX'!$C17</f>
        <v>16.125300274282694</v>
      </c>
      <c r="AY130" s="44">
        <f>AY$128*'Yearly Demand - BTX'!$C17</f>
        <v>16.087286486333774</v>
      </c>
      <c r="AZ130" s="44">
        <f>AZ$128*'Yearly Demand - BTX'!$C17</f>
        <v>16.035463015446418</v>
      </c>
      <c r="BA130" s="44">
        <f>BA$128*'Yearly Demand - BTX'!$C17</f>
        <v>15.978443139090352</v>
      </c>
      <c r="BB130" s="44">
        <f>BB$128*'Yearly Demand - BTX'!$C17</f>
        <v>15.917203681696634</v>
      </c>
      <c r="BC130" s="44">
        <f>BC$128*'Yearly Demand - BTX'!$C17</f>
        <v>15.852656642982431</v>
      </c>
      <c r="BD130" s="44">
        <f>BD$128*'Yearly Demand - BTX'!$C17</f>
        <v>15.785428781194893</v>
      </c>
      <c r="BE130" s="44">
        <f>BE$128*'Yearly Demand - BTX'!$C17</f>
        <v>15.557769608815473</v>
      </c>
      <c r="BF130" s="44">
        <f>BF$128*'Yearly Demand - BTX'!$C17</f>
        <v>15.31137199740626</v>
      </c>
      <c r="BG130" s="44">
        <f>BG$128*'Yearly Demand - BTX'!$C17</f>
        <v>15.055383472867383</v>
      </c>
      <c r="BH130" s="44">
        <f>BH$128*'Yearly Demand - BTX'!$C17</f>
        <v>14.790854590940423</v>
      </c>
      <c r="BI130" s="44">
        <f>BI$128*'Yearly Demand - BTX'!$C17</f>
        <v>14.517080558611752</v>
      </c>
      <c r="BJ130" s="44">
        <f>BJ$128*'Yearly Demand - BTX'!$C17</f>
        <v>14.207795835895569</v>
      </c>
      <c r="BK130" s="44">
        <f>BK$128*'Yearly Demand - BTX'!$C17</f>
        <v>13.886778085706277</v>
      </c>
      <c r="BL130" s="44">
        <f>BL$128*'Yearly Demand - BTX'!$C17</f>
        <v>13.552669436628529</v>
      </c>
      <c r="BM130" s="44">
        <f>BM$128*'Yearly Demand - BTX'!$C17</f>
        <v>13.204416632406392</v>
      </c>
      <c r="BN130" s="44">
        <f>BN$128*'Yearly Demand - BTX'!$C17</f>
        <v>12.841774688000196</v>
      </c>
      <c r="BO130" s="54" t="s">
        <v>235</v>
      </c>
    </row>
    <row r="131" spans="1:67" s="68" customFormat="1">
      <c r="A131" s="754"/>
      <c r="B131" s="62" t="s">
        <v>166</v>
      </c>
      <c r="C131" s="283" t="s">
        <v>153</v>
      </c>
      <c r="D131" s="284">
        <f>D$128*SUM('Yearly Demand - BTX'!$C18,'Yearly Demand - BTX'!$C19,'Yearly Demand - BTX'!$C20)</f>
        <v>50.26161416242428</v>
      </c>
      <c r="E131" s="284">
        <f>E$128*SUM('Yearly Demand - BTX'!$C18,'Yearly Demand - BTX'!$C19,'Yearly Demand - BTX'!$C20)</f>
        <v>51.278293271565573</v>
      </c>
      <c r="F131" s="284">
        <f>F$128*SUM('Yearly Demand - BTX'!$C18,'Yearly Demand - BTX'!$C19,'Yearly Demand - BTX'!$C20)</f>
        <v>52.235521894492635</v>
      </c>
      <c r="G131" s="284">
        <f>G$128*SUM('Yearly Demand - BTX'!$C18,'Yearly Demand - BTX'!$C19,'Yearly Demand - BTX'!$C20)</f>
        <v>53.216915038031104</v>
      </c>
      <c r="H131" s="284">
        <f>H$128*SUM('Yearly Demand - BTX'!$C18,'Yearly Demand - BTX'!$C19,'Yearly Demand - BTX'!$C20)</f>
        <v>54.224464127750402</v>
      </c>
      <c r="I131" s="284">
        <f>I$128*SUM('Yearly Demand - BTX'!$C18,'Yearly Demand - BTX'!$C19,'Yearly Demand - BTX'!$C20)</f>
        <v>55.260252563104885</v>
      </c>
      <c r="J131" s="284">
        <f>J$128*SUM('Yearly Demand - BTX'!$C18,'Yearly Demand - BTX'!$C19,'Yearly Demand - BTX'!$C20)</f>
        <v>55.854249215649524</v>
      </c>
      <c r="K131" s="284">
        <f>K$128*SUM('Yearly Demand - BTX'!$C18,'Yearly Demand - BTX'!$C19,'Yearly Demand - BTX'!$C20)</f>
        <v>56.451303402425431</v>
      </c>
      <c r="L131" s="284">
        <f>L$128*SUM('Yearly Demand - BTX'!$C18,'Yearly Demand - BTX'!$C19,'Yearly Demand - BTX'!$C20)</f>
        <v>57.05099699603938</v>
      </c>
      <c r="M131" s="284">
        <f>M$128*SUM('Yearly Demand - BTX'!$C18,'Yearly Demand - BTX'!$C19,'Yearly Demand - BTX'!$C20)</f>
        <v>57.652479129353729</v>
      </c>
      <c r="N131" s="284">
        <f>N$128*SUM('Yearly Demand - BTX'!$C18,'Yearly Demand - BTX'!$C19,'Yearly Demand - BTX'!$C20)</f>
        <v>58.254115700604146</v>
      </c>
      <c r="O131" s="284">
        <f>O$128*SUM('Yearly Demand - BTX'!$C18,'Yearly Demand - BTX'!$C19,'Yearly Demand - BTX'!$C20)</f>
        <v>58.159419837968898</v>
      </c>
      <c r="P131" s="284">
        <f>P$128*SUM('Yearly Demand - BTX'!$C18,'Yearly Demand - BTX'!$C19,'Yearly Demand - BTX'!$C20)</f>
        <v>58.047894074855932</v>
      </c>
      <c r="Q131" s="284">
        <f>Q$128*SUM('Yearly Demand - BTX'!$C18,'Yearly Demand - BTX'!$C19,'Yearly Demand - BTX'!$C20)</f>
        <v>57.918286008379475</v>
      </c>
      <c r="R131" s="284">
        <f>R$128*SUM('Yearly Demand - BTX'!$C18,'Yearly Demand - BTX'!$C19,'Yearly Demand - BTX'!$C20)</f>
        <v>57.770726189281582</v>
      </c>
      <c r="S131" s="284">
        <f>S$128*SUM('Yearly Demand - BTX'!$C18,'Yearly Demand - BTX'!$C19,'Yearly Demand - BTX'!$C20)</f>
        <v>57.607256739510078</v>
      </c>
      <c r="T131" s="284">
        <f>T$128*SUM('Yearly Demand - BTX'!$C18,'Yearly Demand - BTX'!$C19,'Yearly Demand - BTX'!$C20)</f>
        <v>57.388827480624052</v>
      </c>
      <c r="U131" s="284">
        <f>U$128*SUM('Yearly Demand - BTX'!$C18,'Yearly Demand - BTX'!$C19,'Yearly Demand - BTX'!$C20)</f>
        <v>57.14847003096812</v>
      </c>
      <c r="V131" s="284">
        <f>V$128*SUM('Yearly Demand - BTX'!$C18,'Yearly Demand - BTX'!$C19,'Yearly Demand - BTX'!$C20)</f>
        <v>56.892451359816214</v>
      </c>
      <c r="W131" s="284">
        <f>W$128*SUM('Yearly Demand - BTX'!$C18,'Yearly Demand - BTX'!$C19,'Yearly Demand - BTX'!$C20)</f>
        <v>56.626618580585493</v>
      </c>
      <c r="X131" s="284">
        <f>X$128*SUM('Yearly Demand - BTX'!$C18,'Yearly Demand - BTX'!$C19,'Yearly Demand - BTX'!$C20)</f>
        <v>56.355017505646593</v>
      </c>
      <c r="Y131" s="284">
        <f>Y$128*SUM('Yearly Demand - BTX'!$C18,'Yearly Demand - BTX'!$C19,'Yearly Demand - BTX'!$C20)</f>
        <v>55.5303504469533</v>
      </c>
      <c r="Z131" s="284">
        <f>Z$128*SUM('Yearly Demand - BTX'!$C18,'Yearly Demand - BTX'!$C19,'Yearly Demand - BTX'!$C20)</f>
        <v>54.610153360897463</v>
      </c>
      <c r="AA131" s="284">
        <f>AA$128*SUM('Yearly Demand - BTX'!$C18,'Yearly Demand - BTX'!$C19,'Yearly Demand - BTX'!$C20)</f>
        <v>53.652983596384921</v>
      </c>
      <c r="AB131" s="284">
        <f>AB$128*SUM('Yearly Demand - BTX'!$C18,'Yearly Demand - BTX'!$C19,'Yearly Demand - BTX'!$C20)</f>
        <v>52.664884659303475</v>
      </c>
      <c r="AC131" s="284">
        <f>AC$128*SUM('Yearly Demand - BTX'!$C18,'Yearly Demand - BTX'!$C19,'Yearly Demand - BTX'!$C20)</f>
        <v>51.641705192546937</v>
      </c>
      <c r="AD131" s="284">
        <f>AD$128*SUM('Yearly Demand - BTX'!$C18,'Yearly Demand - BTX'!$C19,'Yearly Demand - BTX'!$C20)</f>
        <v>50.486791686459078</v>
      </c>
      <c r="AE131" s="284">
        <f>AE$128*SUM('Yearly Demand - BTX'!$C18,'Yearly Demand - BTX'!$C19,'Yearly Demand - BTX'!$C20)</f>
        <v>49.282224598149213</v>
      </c>
      <c r="AF131" s="284">
        <f>AF$128*SUM('Yearly Demand - BTX'!$C18,'Yearly Demand - BTX'!$C19,'Yearly Demand - BTX'!$C20)</f>
        <v>48.01969344210886</v>
      </c>
      <c r="AG131" s="284">
        <f>AG$128*SUM('Yearly Demand - BTX'!$C18,'Yearly Demand - BTX'!$C19,'Yearly Demand - BTX'!$C20)</f>
        <v>46.692753970001391</v>
      </c>
      <c r="AH131" s="284">
        <f>AH$128*SUM('Yearly Demand - BTX'!$C18,'Yearly Demand - BTX'!$C19,'Yearly Demand - BTX'!$C20)</f>
        <v>45.299975414509852</v>
      </c>
      <c r="AI131" s="284"/>
      <c r="AJ131" s="284">
        <f>AJ$128*SUM('Yearly Demand - BTX'!$C18,'Yearly Demand - BTX'!$C19,'Yearly Demand - BTX'!$C20)</f>
        <v>50.261618811123405</v>
      </c>
      <c r="AK131" s="284">
        <f>AK$128*SUM('Yearly Demand - BTX'!$C18,'Yearly Demand - BTX'!$C19,'Yearly Demand - BTX'!$C20)</f>
        <v>51.278303644056827</v>
      </c>
      <c r="AL131" s="284">
        <f>AL$128*SUM('Yearly Demand - BTX'!$C18,'Yearly Demand - BTX'!$C19,'Yearly Demand - BTX'!$C20)</f>
        <v>52.235544417884121</v>
      </c>
      <c r="AM131" s="284">
        <f>AM$128*SUM('Yearly Demand - BTX'!$C18,'Yearly Demand - BTX'!$C19,'Yearly Demand - BTX'!$C20)</f>
        <v>53.216963490973143</v>
      </c>
      <c r="AN131" s="284">
        <f>AN$128*SUM('Yearly Demand - BTX'!$C18,'Yearly Demand - BTX'!$C19,'Yearly Demand - BTX'!$C20)</f>
        <v>54.224567328928515</v>
      </c>
      <c r="AO131" s="284">
        <f>AO$128*SUM('Yearly Demand - BTX'!$C18,'Yearly Demand - BTX'!$C19,'Yearly Demand - BTX'!$C20)</f>
        <v>55.260469972649275</v>
      </c>
      <c r="AP131" s="284">
        <f>AP$128*SUM('Yearly Demand - BTX'!$C18,'Yearly Demand - BTX'!$C19,'Yearly Demand - BTX'!$C20)</f>
        <v>55.854702473664659</v>
      </c>
      <c r="AQ131" s="284">
        <f>AQ$128*SUM('Yearly Demand - BTX'!$C18,'Yearly Demand - BTX'!$C19,'Yearly Demand - BTX'!$C20)</f>
        <v>56.452236401978894</v>
      </c>
      <c r="AR131" s="284">
        <f>AR$128*SUM('Yearly Demand - BTX'!$C18,'Yearly Demand - BTX'!$C19,'Yearly Demand - BTX'!$C20)</f>
        <v>57.052887146723229</v>
      </c>
      <c r="AS131" s="284">
        <f>AS$128*SUM('Yearly Demand - BTX'!$C18,'Yearly Demand - BTX'!$C19,'Yearly Demand - BTX'!$C20)</f>
        <v>57.656231802236498</v>
      </c>
      <c r="AT131" s="284">
        <f>AT$128*SUM('Yearly Demand - BTX'!$C18,'Yearly Demand - BTX'!$C19,'Yearly Demand - BTX'!$C20)</f>
        <v>58.261409104386914</v>
      </c>
      <c r="AU131" s="284">
        <f>AU$128*SUM('Yearly Demand - BTX'!$C18,'Yearly Demand - BTX'!$C19,'Yearly Demand - BTX'!$C20)</f>
        <v>58.172485480901699</v>
      </c>
      <c r="AV131" s="284">
        <f>AV$128*SUM('Yearly Demand - BTX'!$C18,'Yearly Demand - BTX'!$C19,'Yearly Demand - BTX'!$C20)</f>
        <v>58.070469035248102</v>
      </c>
      <c r="AW131" s="284">
        <f>AW$128*SUM('Yearly Demand - BTX'!$C18,'Yearly Demand - BTX'!$C19,'Yearly Demand - BTX'!$C20)</f>
        <v>57.955460373394523</v>
      </c>
      <c r="AX131" s="284">
        <f>AX$128*SUM('Yearly Demand - BTX'!$C18,'Yearly Demand - BTX'!$C19,'Yearly Demand - BTX'!$C20)</f>
        <v>57.828663052600014</v>
      </c>
      <c r="AY131" s="284">
        <f>AY$128*SUM('Yearly Demand - BTX'!$C18,'Yearly Demand - BTX'!$C19,'Yearly Demand - BTX'!$C20)</f>
        <v>57.692337744093535</v>
      </c>
      <c r="AZ131" s="284">
        <f>AZ$128*SUM('Yearly Demand - BTX'!$C18,'Yearly Demand - BTX'!$C19,'Yearly Demand - BTX'!$C20)</f>
        <v>57.506488055394051</v>
      </c>
      <c r="BA131" s="284">
        <f>BA$128*SUM('Yearly Demand - BTX'!$C18,'Yearly Demand - BTX'!$C19,'Yearly Demand - BTX'!$C20)</f>
        <v>57.302002981565401</v>
      </c>
      <c r="BB131" s="284">
        <f>BB$128*SUM('Yearly Demand - BTX'!$C18,'Yearly Demand - BTX'!$C19,'Yearly Demand - BTX'!$C20)</f>
        <v>57.082385617118966</v>
      </c>
      <c r="BC131" s="284">
        <f>BC$128*SUM('Yearly Demand - BTX'!$C18,'Yearly Demand - BTX'!$C19,'Yearly Demand - BTX'!$C20)</f>
        <v>56.850906581730101</v>
      </c>
      <c r="BD131" s="284">
        <f>BD$128*SUM('Yearly Demand - BTX'!$C18,'Yearly Demand - BTX'!$C19,'Yearly Demand - BTX'!$C20)</f>
        <v>56.609813560147209</v>
      </c>
      <c r="BE131" s="284">
        <f>BE$128*SUM('Yearly Demand - BTX'!$C18,'Yearly Demand - BTX'!$C19,'Yearly Demand - BTX'!$C20)</f>
        <v>55.793380666096873</v>
      </c>
      <c r="BF131" s="284">
        <f>BF$128*SUM('Yearly Demand - BTX'!$C18,'Yearly Demand - BTX'!$C19,'Yearly Demand - BTX'!$C20)</f>
        <v>54.909747852767282</v>
      </c>
      <c r="BG131" s="284">
        <f>BG$128*SUM('Yearly Demand - BTX'!$C18,'Yearly Demand - BTX'!$C19,'Yearly Demand - BTX'!$C20)</f>
        <v>53.991720040627861</v>
      </c>
      <c r="BH131" s="284">
        <f>BH$128*SUM('Yearly Demand - BTX'!$C18,'Yearly Demand - BTX'!$C19,'Yearly Demand - BTX'!$C20)</f>
        <v>53.043064739924276</v>
      </c>
      <c r="BI131" s="284">
        <f>BI$128*SUM('Yearly Demand - BTX'!$C18,'Yearly Demand - BTX'!$C19,'Yearly Demand - BTX'!$C20)</f>
        <v>52.061254417090424</v>
      </c>
      <c r="BJ131" s="284">
        <f>BJ$128*SUM('Yearly Demand - BTX'!$C18,'Yearly Demand - BTX'!$C19,'Yearly Demand - BTX'!$C20)</f>
        <v>50.952095411487555</v>
      </c>
      <c r="BK131" s="284">
        <f>BK$128*SUM('Yearly Demand - BTX'!$C18,'Yearly Demand - BTX'!$C19,'Yearly Demand - BTX'!$C20)</f>
        <v>49.800859341843207</v>
      </c>
      <c r="BL131" s="284">
        <f>BL$128*SUM('Yearly Demand - BTX'!$C18,'Yearly Demand - BTX'!$C19,'Yearly Demand - BTX'!$C20)</f>
        <v>48.602676600323001</v>
      </c>
      <c r="BM131" s="284">
        <f>BM$128*SUM('Yearly Demand - BTX'!$C18,'Yearly Demand - BTX'!$C19,'Yearly Demand - BTX'!$C20)</f>
        <v>47.353769992078099</v>
      </c>
      <c r="BN131" s="284">
        <f>BN$128*SUM('Yearly Demand - BTX'!$C18,'Yearly Demand - BTX'!$C19,'Yearly Demand - BTX'!$C20)</f>
        <v>46.053260950069671</v>
      </c>
    </row>
  </sheetData>
  <mergeCells count="19">
    <mergeCell ref="A101:A103"/>
    <mergeCell ref="A110:A112"/>
    <mergeCell ref="A116:A118"/>
    <mergeCell ref="A129:A131"/>
    <mergeCell ref="A35:A37"/>
    <mergeCell ref="A122:A124"/>
    <mergeCell ref="A42:A44"/>
    <mergeCell ref="A51:A53"/>
    <mergeCell ref="A58:A60"/>
    <mergeCell ref="A64:A66"/>
    <mergeCell ref="A71:A73"/>
    <mergeCell ref="A79:A81"/>
    <mergeCell ref="A85:A87"/>
    <mergeCell ref="A92:A94"/>
    <mergeCell ref="D1:AH1"/>
    <mergeCell ref="AJ1:BN1"/>
    <mergeCell ref="A5:A7"/>
    <mergeCell ref="A13:A15"/>
    <mergeCell ref="A24:A26"/>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46A8-9693-4D43-80E3-538E00E2E060}">
  <sheetPr>
    <tabColor theme="9"/>
  </sheetPr>
  <dimension ref="A1:CJ78"/>
  <sheetViews>
    <sheetView zoomScale="90" zoomScaleNormal="90" workbookViewId="0">
      <pane xSplit="3" ySplit="3" topLeftCell="D4" activePane="bottomRight" state="frozen"/>
      <selection pane="topRight" activeCell="D1" sqref="D1"/>
      <selection pane="bottomLeft" activeCell="A4" sqref="A4"/>
      <selection pane="bottomRight" activeCell="B20" sqref="B20"/>
    </sheetView>
  </sheetViews>
  <sheetFormatPr baseColWidth="10" defaultColWidth="8.83203125" defaultRowHeight="15" outlineLevelRow="2" outlineLevelCol="1"/>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5" max="35" width="16.5" bestFit="1" customWidth="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5" bestFit="1" customWidth="1" collapsed="1"/>
    <col min="67" max="68" width="8.83203125" bestFit="1" customWidth="1"/>
    <col min="69" max="69" width="27" customWidth="1"/>
    <col min="70" max="70" width="37.5" bestFit="1" customWidth="1"/>
    <col min="71" max="97" width="8.83203125" bestFit="1" customWidth="1"/>
  </cols>
  <sheetData>
    <row r="1" spans="1:88">
      <c r="D1" s="748" t="s">
        <v>64</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65</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row>
    <row r="2" spans="1:88" s="53" customFormat="1">
      <c r="A2" s="52" t="s">
        <v>236</v>
      </c>
      <c r="B2" s="52"/>
      <c r="C2" s="52"/>
      <c r="AI2"/>
    </row>
    <row r="3" spans="1:88" s="1" customFormat="1" ht="16" thickBo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row>
    <row r="4" spans="1:88" s="554" customFormat="1">
      <c r="A4" s="550" t="s">
        <v>237</v>
      </c>
      <c r="B4" s="551"/>
      <c r="C4" s="552" t="s">
        <v>153</v>
      </c>
      <c r="D4" s="553">
        <f>'Yearly Demand - C4'!O5</f>
        <v>14.947368421052632</v>
      </c>
      <c r="E4" s="553">
        <f>'Yearly Demand - C4'!P5</f>
        <v>15.331407031113367</v>
      </c>
      <c r="F4" s="553">
        <f>'Yearly Demand - C4'!Q5</f>
        <v>15.725312639154138</v>
      </c>
      <c r="G4" s="553">
        <f>'Yearly Demand - C4'!R5</f>
        <v>16.129338755229892</v>
      </c>
      <c r="H4" s="553">
        <f>'Yearly Demand - C4'!S5</f>
        <v>16.543745402759424</v>
      </c>
      <c r="I4" s="553">
        <f>'Yearly Demand - C4'!T5</f>
        <v>16.968799285871444</v>
      </c>
      <c r="J4" s="553">
        <f>'Yearly Demand - C4'!U5</f>
        <v>17.381667623855559</v>
      </c>
      <c r="K4" s="553">
        <f>'Yearly Demand - C4'!V5</f>
        <v>17.804581473112339</v>
      </c>
      <c r="L4" s="553">
        <f>'Yearly Demand - C4'!W5</f>
        <v>18.237785251262231</v>
      </c>
      <c r="M4" s="553">
        <f>'Yearly Demand - C4'!X5</f>
        <v>18.681529322857759</v>
      </c>
      <c r="N4" s="553">
        <f>'Yearly Demand - C4'!Y5</f>
        <v>19.136070144078495</v>
      </c>
      <c r="O4" s="553">
        <f>'Yearly Demand - C4'!Z5</f>
        <v>19.545918749372461</v>
      </c>
      <c r="P4" s="553">
        <f>'Yearly Demand - C4'!AA5</f>
        <v>19.964545326214225</v>
      </c>
      <c r="Q4" s="553">
        <f>'Yearly Demand - C4'!AB5</f>
        <v>20.392137877645641</v>
      </c>
      <c r="R4" s="553">
        <f>'Yearly Demand - C4'!AC5</f>
        <v>20.82888843328162</v>
      </c>
      <c r="S4" s="553">
        <f>'Yearly Demand - C4'!AD5</f>
        <v>21.274993135549639</v>
      </c>
      <c r="T4" s="553">
        <f>'Yearly Demand - C4'!AE5</f>
        <v>21.525497628002075</v>
      </c>
      <c r="U4" s="553">
        <f>'Yearly Demand - C4'!AF5</f>
        <v>21.778951710160086</v>
      </c>
      <c r="V4" s="553">
        <f>'Yearly Demand - C4'!AG5</f>
        <v>22.035390112256838</v>
      </c>
      <c r="W4" s="553">
        <f>'Yearly Demand - C4'!AH5</f>
        <v>22.29484797346003</v>
      </c>
      <c r="X4" s="553">
        <f>'Yearly Demand - C4'!AI5</f>
        <v>22.557360846686933</v>
      </c>
      <c r="Y4" s="553">
        <f>'Yearly Demand - C4'!AJ5</f>
        <v>22.802623116794138</v>
      </c>
      <c r="Z4" s="553">
        <f>'Yearly Demand - C4'!AK5</f>
        <v>23.050552081003854</v>
      </c>
      <c r="AA4" s="553">
        <f>'Yearly Demand - C4'!AL5</f>
        <v>23.301176733818313</v>
      </c>
      <c r="AB4" s="553">
        <f>'Yearly Demand - C4'!AM5</f>
        <v>23.554526384991924</v>
      </c>
      <c r="AC4" s="553">
        <f>'Yearly Demand - C4'!AN5</f>
        <v>23.810630662958982</v>
      </c>
      <c r="AD4" s="553">
        <f>'Yearly Demand - C4'!AO5</f>
        <v>24.054451507660676</v>
      </c>
      <c r="AE4" s="553">
        <f>'Yearly Demand - C4'!AP5</f>
        <v>24.300769077676058</v>
      </c>
      <c r="AF4" s="553">
        <f>'Yearly Demand - C4'!AQ5</f>
        <v>24.549608939470946</v>
      </c>
      <c r="AG4" s="553">
        <f>'Yearly Demand - C4'!AR5</f>
        <v>24.800996921311754</v>
      </c>
      <c r="AH4" s="553">
        <f>'Yearly Demand - C4'!AS5</f>
        <v>25.054959115946328</v>
      </c>
      <c r="AJ4" s="553">
        <f>D4</f>
        <v>14.947368421052632</v>
      </c>
      <c r="AK4" s="553">
        <f t="shared" ref="AK4:AZ4" si="5">E4</f>
        <v>15.331407031113367</v>
      </c>
      <c r="AL4" s="553">
        <f t="shared" si="5"/>
        <v>15.725312639154138</v>
      </c>
      <c r="AM4" s="553">
        <f t="shared" si="5"/>
        <v>16.129338755229892</v>
      </c>
      <c r="AN4" s="553">
        <f t="shared" si="5"/>
        <v>16.543745402759424</v>
      </c>
      <c r="AO4" s="553">
        <f t="shared" si="5"/>
        <v>16.968799285871444</v>
      </c>
      <c r="AP4" s="553">
        <f t="shared" si="5"/>
        <v>17.381667623855559</v>
      </c>
      <c r="AQ4" s="553">
        <f t="shared" si="5"/>
        <v>17.804581473112339</v>
      </c>
      <c r="AR4" s="553">
        <f t="shared" si="5"/>
        <v>18.237785251262231</v>
      </c>
      <c r="AS4" s="553">
        <f t="shared" si="5"/>
        <v>18.681529322857759</v>
      </c>
      <c r="AT4" s="553">
        <f t="shared" si="5"/>
        <v>19.136070144078495</v>
      </c>
      <c r="AU4" s="553">
        <f t="shared" si="5"/>
        <v>19.545918749372461</v>
      </c>
      <c r="AV4" s="553">
        <f t="shared" si="5"/>
        <v>19.964545326214225</v>
      </c>
      <c r="AW4" s="553">
        <f t="shared" si="5"/>
        <v>20.392137877645641</v>
      </c>
      <c r="AX4" s="553">
        <f t="shared" si="5"/>
        <v>20.82888843328162</v>
      </c>
      <c r="AY4" s="553">
        <f t="shared" si="5"/>
        <v>21.274993135549639</v>
      </c>
      <c r="AZ4" s="553">
        <f t="shared" si="5"/>
        <v>21.525497628002075</v>
      </c>
      <c r="BA4" s="553">
        <f t="shared" ref="BA4:BN4" si="6">U4</f>
        <v>21.778951710160086</v>
      </c>
      <c r="BB4" s="553">
        <f t="shared" si="6"/>
        <v>22.035390112256838</v>
      </c>
      <c r="BC4" s="553">
        <f t="shared" si="6"/>
        <v>22.29484797346003</v>
      </c>
      <c r="BD4" s="553">
        <f t="shared" si="6"/>
        <v>22.557360846686933</v>
      </c>
      <c r="BE4" s="553">
        <f t="shared" si="6"/>
        <v>22.802623116794138</v>
      </c>
      <c r="BF4" s="553">
        <f t="shared" si="6"/>
        <v>23.050552081003854</v>
      </c>
      <c r="BG4" s="553">
        <f t="shared" si="6"/>
        <v>23.301176733818313</v>
      </c>
      <c r="BH4" s="553">
        <f t="shared" si="6"/>
        <v>23.554526384991924</v>
      </c>
      <c r="BI4" s="553">
        <f t="shared" si="6"/>
        <v>23.810630662958982</v>
      </c>
      <c r="BJ4" s="553">
        <f t="shared" si="6"/>
        <v>24.054451507660676</v>
      </c>
      <c r="BK4" s="553">
        <f t="shared" si="6"/>
        <v>24.300769077676058</v>
      </c>
      <c r="BL4" s="553">
        <f t="shared" si="6"/>
        <v>24.549608939470946</v>
      </c>
      <c r="BM4" s="553">
        <f t="shared" si="6"/>
        <v>24.800996921311754</v>
      </c>
      <c r="BN4" s="553">
        <f t="shared" si="6"/>
        <v>25.054959115946328</v>
      </c>
    </row>
    <row r="5" spans="1:88">
      <c r="C5" s="54"/>
      <c r="BY5" s="30" t="s">
        <v>168</v>
      </c>
      <c r="BZ5" s="543"/>
      <c r="CA5" s="544"/>
      <c r="CB5" s="541"/>
      <c r="CD5" s="543"/>
      <c r="CE5" s="545">
        <f>-BN7+AH11-AH15</f>
        <v>0</v>
      </c>
      <c r="CF5" s="546">
        <f>-AH21</f>
        <v>0</v>
      </c>
      <c r="CG5" s="540">
        <f>-AH27</f>
        <v>0</v>
      </c>
      <c r="CH5" s="546">
        <f>-AH37</f>
        <v>0</v>
      </c>
      <c r="CJ5" s="543"/>
    </row>
    <row r="6" spans="1:88" outlineLevel="1">
      <c r="A6" s="58" t="s">
        <v>169</v>
      </c>
      <c r="B6" s="58" t="s">
        <v>170</v>
      </c>
      <c r="C6" s="67"/>
      <c r="D6" s="60">
        <v>0</v>
      </c>
      <c r="E6" s="60">
        <f>$D$6*(1+'Demand Breakdown - C4'!$K$28)^(E3-$D$3)</f>
        <v>0</v>
      </c>
      <c r="F6" s="60">
        <f>$D$6*(1+'Demand Breakdown - C4'!$K$28)^(F3-$D$3)</f>
        <v>0</v>
      </c>
      <c r="G6" s="60">
        <f>$D$6*(1+'Demand Breakdown - C4'!$K$28)^(G3-$D$3)</f>
        <v>0</v>
      </c>
      <c r="H6" s="60">
        <f>$D$6*(1+'Demand Breakdown - C4'!$K$28)^(H3-$D$3)</f>
        <v>0</v>
      </c>
      <c r="I6" s="60">
        <f>$D$6*(1+'Demand Breakdown - C4'!$K$28)^(I3-$D$3)</f>
        <v>0</v>
      </c>
      <c r="J6" s="60">
        <f>$D$6*(1+'Demand Breakdown - C4'!$K$28)^(J3-$D$3)</f>
        <v>0</v>
      </c>
      <c r="K6" s="60">
        <f>$D$6*(1+'Demand Breakdown - C4'!$K$28)^(K3-$D$3)</f>
        <v>0</v>
      </c>
      <c r="L6" s="60">
        <f>$D$6*(1+'Demand Breakdown - C4'!$K$28)^(L3-$D$3)</f>
        <v>0</v>
      </c>
      <c r="M6" s="60">
        <f>$D$6*(1+'Demand Breakdown - C4'!$K$28)^(M3-$D$3)</f>
        <v>0</v>
      </c>
      <c r="N6" s="60">
        <f>$D$6*(1+'Demand Breakdown - C4'!$K$28)^(N3-$D$3)</f>
        <v>0</v>
      </c>
      <c r="O6" s="60">
        <f>$D$6*(1+'Demand Breakdown - C4'!$K$28)^(O3-$D$3)</f>
        <v>0</v>
      </c>
      <c r="P6" s="60">
        <f>$D$6*(1+'Demand Breakdown - C4'!$K$28)^(P3-$D$3)</f>
        <v>0</v>
      </c>
      <c r="Q6" s="60">
        <f>$D$6*(1+'Demand Breakdown - C4'!$K$28)^(Q3-$D$3)</f>
        <v>0</v>
      </c>
      <c r="R6" s="60">
        <f>$D$6*(1+'Demand Breakdown - C4'!$K$28)^(R3-$D$3)</f>
        <v>0</v>
      </c>
      <c r="S6" s="60">
        <f>$D$6*(1+'Demand Breakdown - C4'!$K$28)^(S3-$D$3)</f>
        <v>0</v>
      </c>
      <c r="T6" s="60">
        <f>$D$6*(1+'Demand Breakdown - C4'!$K$28)^(T3-$D$3)</f>
        <v>0</v>
      </c>
      <c r="U6" s="60">
        <f>$D$6*(1+'Demand Breakdown - C4'!$K$28)^(U3-$D$3)</f>
        <v>0</v>
      </c>
      <c r="V6" s="60">
        <f>$D$6*(1+'Demand Breakdown - C4'!$K$28)^(V3-$D$3)</f>
        <v>0</v>
      </c>
      <c r="W6" s="60">
        <f>$D$6*(1+'Demand Breakdown - C4'!$K$28)^(W3-$D$3)</f>
        <v>0</v>
      </c>
      <c r="X6" s="60">
        <f>$D$6*(1+'Demand Breakdown - C4'!$K$28)^(X3-$D$3)</f>
        <v>0</v>
      </c>
      <c r="Y6" s="60">
        <f>$D$6*(1+'Demand Breakdown - C4'!$K$28)^(Y3-$D$3)</f>
        <v>0</v>
      </c>
      <c r="Z6" s="60">
        <f>$D$6*(1+'Demand Breakdown - C4'!$K$28)^(Z3-$D$3)</f>
        <v>0</v>
      </c>
      <c r="AA6" s="60">
        <f>$D$6*(1+'Demand Breakdown - C4'!$K$28)^(AA3-$D$3)</f>
        <v>0</v>
      </c>
      <c r="AB6" s="60">
        <f>$D$6*(1+'Demand Breakdown - C4'!$K$28)^(AB3-$D$3)</f>
        <v>0</v>
      </c>
      <c r="AC6" s="60">
        <f>$D$6*(1+'Demand Breakdown - C4'!$K$28)^(AC3-$D$3)</f>
        <v>0</v>
      </c>
      <c r="AD6" s="60">
        <f>$D$6*(1+'Demand Breakdown - C4'!$K$28)^(AD3-$D$3)</f>
        <v>0</v>
      </c>
      <c r="AE6" s="60">
        <f>$D$6*(1+'Demand Breakdown - C4'!$K$28)^(AE3-$D$3)</f>
        <v>0</v>
      </c>
      <c r="AF6" s="60">
        <f>$D$6*(1+'Demand Breakdown - C4'!$K$28)^(AF3-$D$3)</f>
        <v>0</v>
      </c>
      <c r="AG6" s="60">
        <f>$D$6*(1+'Demand Breakdown - C4'!$K$28)^(AG3-$D$3)</f>
        <v>0</v>
      </c>
      <c r="AH6" s="60">
        <f>$D$6*(1+'Demand Breakdown - C4'!$K$28)^(AH3-$D$3)</f>
        <v>0</v>
      </c>
      <c r="AJ6" s="60">
        <f t="shared" ref="AJ6:AY10" si="7">D6</f>
        <v>0</v>
      </c>
      <c r="AK6" s="60">
        <f t="shared" si="7"/>
        <v>0</v>
      </c>
      <c r="AL6" s="60">
        <f t="shared" si="7"/>
        <v>0</v>
      </c>
      <c r="AM6" s="60">
        <f t="shared" si="7"/>
        <v>0</v>
      </c>
      <c r="AN6" s="60">
        <f t="shared" si="7"/>
        <v>0</v>
      </c>
      <c r="AO6" s="60">
        <f t="shared" si="7"/>
        <v>0</v>
      </c>
      <c r="AP6" s="60">
        <f t="shared" si="7"/>
        <v>0</v>
      </c>
      <c r="AQ6" s="60">
        <f t="shared" si="7"/>
        <v>0</v>
      </c>
      <c r="AR6" s="60">
        <f t="shared" si="7"/>
        <v>0</v>
      </c>
      <c r="AS6" s="60">
        <f t="shared" si="7"/>
        <v>0</v>
      </c>
      <c r="AT6" s="60">
        <f t="shared" si="7"/>
        <v>0</v>
      </c>
      <c r="AU6" s="60">
        <f t="shared" si="7"/>
        <v>0</v>
      </c>
      <c r="AV6" s="60">
        <f t="shared" si="7"/>
        <v>0</v>
      </c>
      <c r="AW6" s="60">
        <f t="shared" si="7"/>
        <v>0</v>
      </c>
      <c r="AX6" s="60">
        <f t="shared" si="7"/>
        <v>0</v>
      </c>
      <c r="AY6" s="60">
        <f t="shared" si="7"/>
        <v>0</v>
      </c>
      <c r="AZ6" s="60">
        <f t="shared" ref="AZ6:BN10" si="8">T6</f>
        <v>0</v>
      </c>
      <c r="BA6" s="60">
        <f t="shared" si="8"/>
        <v>0</v>
      </c>
      <c r="BB6" s="60">
        <f t="shared" si="8"/>
        <v>0</v>
      </c>
      <c r="BC6" s="60">
        <f t="shared" si="8"/>
        <v>0</v>
      </c>
      <c r="BD6" s="60">
        <f t="shared" si="8"/>
        <v>0</v>
      </c>
      <c r="BE6" s="60">
        <f t="shared" si="8"/>
        <v>0</v>
      </c>
      <c r="BF6" s="60">
        <f t="shared" si="8"/>
        <v>0</v>
      </c>
      <c r="BG6" s="60">
        <f t="shared" si="8"/>
        <v>0</v>
      </c>
      <c r="BH6" s="60">
        <f t="shared" si="8"/>
        <v>0</v>
      </c>
      <c r="BI6" s="60">
        <f t="shared" si="8"/>
        <v>0</v>
      </c>
      <c r="BJ6" s="60">
        <f t="shared" si="8"/>
        <v>0</v>
      </c>
      <c r="BK6" s="60">
        <f t="shared" si="8"/>
        <v>0</v>
      </c>
      <c r="BL6" s="60">
        <f t="shared" si="8"/>
        <v>0</v>
      </c>
      <c r="BM6" s="60">
        <f t="shared" si="8"/>
        <v>0</v>
      </c>
      <c r="BN6" s="60">
        <f t="shared" si="8"/>
        <v>0</v>
      </c>
      <c r="BQ6" t="s">
        <v>171</v>
      </c>
      <c r="BY6" s="30" t="s">
        <v>172</v>
      </c>
      <c r="CF6" s="43">
        <f>-AH24</f>
        <v>0</v>
      </c>
      <c r="CG6" s="43">
        <f>-AH28</f>
        <v>0</v>
      </c>
      <c r="CH6" s="43">
        <f>-AH38</f>
        <v>0</v>
      </c>
    </row>
    <row r="7" spans="1:88" outlineLevel="1">
      <c r="B7" s="1" t="s">
        <v>173</v>
      </c>
      <c r="D7" s="44">
        <f>D6*('R&amp;S - Transportation'!$D$19*(D3-$D$3)/10)</f>
        <v>0</v>
      </c>
      <c r="E7" s="44">
        <f>E6*'R&amp;S - Transportation'!$B$9*'R&amp;S - Transportation'!$D$19*(E3-$D$3)/10</f>
        <v>0</v>
      </c>
      <c r="F7" s="44">
        <f>F6*'R&amp;S - Transportation'!$B$9*'R&amp;S - Transportation'!$D$19*(F3-$D$3)/10</f>
        <v>0</v>
      </c>
      <c r="G7" s="44">
        <f>G6*'R&amp;S - Transportation'!$B$9*'R&amp;S - Transportation'!$D$19*(G3-$D$3)/10</f>
        <v>0</v>
      </c>
      <c r="H7" s="44">
        <f>H6*'R&amp;S - Transportation'!$B$9*'R&amp;S - Transportation'!$D$19*(H3-$D$3)/10</f>
        <v>0</v>
      </c>
      <c r="I7" s="44">
        <f>I6*'R&amp;S - Transportation'!$B$9*'R&amp;S - Transportation'!$D$19*(I3-$D$3)/10</f>
        <v>0</v>
      </c>
      <c r="J7" s="44">
        <f>J6*'R&amp;S - Transportation'!$B$9*'R&amp;S - Transportation'!$D$19*(J3-$D$3)/10</f>
        <v>0</v>
      </c>
      <c r="K7" s="44">
        <f>K6*'R&amp;S - Transportation'!$B$9*'R&amp;S - Transportation'!$D$19*(K3-$D$3)/10</f>
        <v>0</v>
      </c>
      <c r="L7" s="44">
        <f>L6*'R&amp;S - Transportation'!$B$9*'R&amp;S - Transportation'!$D$19*(L3-$D$3)/10</f>
        <v>0</v>
      </c>
      <c r="M7" s="44">
        <f>M6*'R&amp;S - Transportation'!$B$9*'R&amp;S - Transportation'!$D$19*(M3-$D$3)/10</f>
        <v>0</v>
      </c>
      <c r="N7" s="44">
        <f>N6*'R&amp;S - Transportation'!$B$9*'R&amp;S - Transportation'!$D$19*(N3-$D$3)/10</f>
        <v>0</v>
      </c>
      <c r="O7" s="44">
        <f>O6*'R&amp;S - Transportation'!$B$9*('R&amp;S - Transportation'!$D$19+('R&amp;S - Transportation'!$D$20-'R&amp;S - Transportation'!$D$19)*(O3-$N$3)/10)</f>
        <v>0</v>
      </c>
      <c r="P7" s="44">
        <f>P6*'R&amp;S - Transportation'!$B$9*('R&amp;S - Transportation'!$D$19+('R&amp;S - Transportation'!$D$20-'R&amp;S - Transportation'!$D$19)*(P3-$N$3)/10)</f>
        <v>0</v>
      </c>
      <c r="Q7" s="44">
        <f>Q6*'R&amp;S - Transportation'!$B$9*('R&amp;S - Transportation'!$D$19+('R&amp;S - Transportation'!$D$20-'R&amp;S - Transportation'!$D$19)*(Q3-$N$3)/10)</f>
        <v>0</v>
      </c>
      <c r="R7" s="44">
        <f>R6*'R&amp;S - Transportation'!$B$9*('R&amp;S - Transportation'!$D$19+('R&amp;S - Transportation'!$D$20-'R&amp;S - Transportation'!$D$19)*(R3-$N$3)/10)</f>
        <v>0</v>
      </c>
      <c r="S7" s="44">
        <f>S6*'R&amp;S - Transportation'!$B$9*('R&amp;S - Transportation'!$D$19+('R&amp;S - Transportation'!$D$20-'R&amp;S - Transportation'!$D$19)*(S3-$N$3)/10)</f>
        <v>0</v>
      </c>
      <c r="T7" s="44">
        <f>T6*'R&amp;S - Transportation'!$B$9*('R&amp;S - Transportation'!$D$19+('R&amp;S - Transportation'!$D$20-'R&amp;S - Transportation'!$D$19)*(T3-$N$3)/10)</f>
        <v>0</v>
      </c>
      <c r="U7" s="44">
        <f>U6*'R&amp;S - Transportation'!$B$9*('R&amp;S - Transportation'!$D$19+('R&amp;S - Transportation'!$D$20-'R&amp;S - Transportation'!$D$19)*(U3-$N$3)/10)</f>
        <v>0</v>
      </c>
      <c r="V7" s="44">
        <f>V6*'R&amp;S - Transportation'!$B$9*('R&amp;S - Transportation'!$D$19+('R&amp;S - Transportation'!$D$20-'R&amp;S - Transportation'!$D$19)*(V3-$N$3)/10)</f>
        <v>0</v>
      </c>
      <c r="W7" s="44">
        <f>W6*'R&amp;S - Transportation'!$B$9*('R&amp;S - Transportation'!$D$19+('R&amp;S - Transportation'!$D$20-'R&amp;S - Transportation'!$D$19)*(W3-$N$3)/10)</f>
        <v>0</v>
      </c>
      <c r="X7" s="44">
        <f>X6*'R&amp;S - Transportation'!$B$9*('R&amp;S - Transportation'!$D$19+('R&amp;S - Transportation'!$D$20-'R&amp;S - Transportation'!$D$19)*(X3-$N$3)/10)</f>
        <v>0</v>
      </c>
      <c r="Y7" s="44">
        <f>Y6*'R&amp;S - Transportation'!$B$9*('R&amp;S - Transportation'!$D$20+('R&amp;S - Transportation'!$D$21-'R&amp;S - Transportation'!$D$20)*(Y3-$X$3)/10)</f>
        <v>0</v>
      </c>
      <c r="Z7" s="44">
        <f>Z6*'R&amp;S - Transportation'!$B$9*('R&amp;S - Transportation'!$D$20+('R&amp;S - Transportation'!$D$21-'R&amp;S - Transportation'!$D$20)*(Z3-$X$3)/10)</f>
        <v>0</v>
      </c>
      <c r="AA7" s="44">
        <f>AA6*'R&amp;S - Transportation'!$B$9*('R&amp;S - Transportation'!$D$20+('R&amp;S - Transportation'!$D$21-'R&amp;S - Transportation'!$D$20)*(AA3-$X$3)/10)</f>
        <v>0</v>
      </c>
      <c r="AB7" s="44">
        <f>AB6*'R&amp;S - Transportation'!$B$9*('R&amp;S - Transportation'!$D$20+('R&amp;S - Transportation'!$D$21-'R&amp;S - Transportation'!$D$20)*(AB3-$X$3)/10)</f>
        <v>0</v>
      </c>
      <c r="AC7" s="44">
        <f>AC6*'R&amp;S - Transportation'!$B$9*('R&amp;S - Transportation'!$D$20+('R&amp;S - Transportation'!$D$21-'R&amp;S - Transportation'!$D$20)*(AC3-$X$3)/10)</f>
        <v>0</v>
      </c>
      <c r="AD7" s="44">
        <f>AD6*'R&amp;S - Transportation'!$B$9*('R&amp;S - Transportation'!$D$20+('R&amp;S - Transportation'!$D$21-'R&amp;S - Transportation'!$D$20)*(AD3-$X$3)/10)</f>
        <v>0</v>
      </c>
      <c r="AE7" s="44">
        <f>AE6*'R&amp;S - Transportation'!$B$9*('R&amp;S - Transportation'!$D$20+('R&amp;S - Transportation'!$D$21-'R&amp;S - Transportation'!$D$20)*(AE3-$X$3)/10)</f>
        <v>0</v>
      </c>
      <c r="AF7" s="44">
        <f>AF6*'R&amp;S - Transportation'!$B$9*('R&amp;S - Transportation'!$D$20+('R&amp;S - Transportation'!$D$21-'R&amp;S - Transportation'!$D$20)*(AF3-$X$3)/10)</f>
        <v>0</v>
      </c>
      <c r="AG7" s="44">
        <f>AG6*'R&amp;S - Transportation'!$B$9*('R&amp;S - Transportation'!$D$20+('R&amp;S - Transportation'!$D$21-'R&amp;S - Transportation'!$D$20)*(AG3-$X$3)/10)</f>
        <v>0</v>
      </c>
      <c r="AH7" s="44">
        <f>AH6*'R&amp;S - Transportation'!$B$9*('R&amp;S - Transportation'!$D$20+('R&amp;S - Transportation'!$D$21-'R&amp;S - Transportation'!$D$20)*(AH3-$X$3)/10)</f>
        <v>0</v>
      </c>
      <c r="AJ7" s="44">
        <f t="shared" si="7"/>
        <v>0</v>
      </c>
      <c r="AK7" s="44">
        <f t="shared" si="7"/>
        <v>0</v>
      </c>
      <c r="AL7" s="44">
        <f t="shared" si="7"/>
        <v>0</v>
      </c>
      <c r="AM7" s="44">
        <f t="shared" si="7"/>
        <v>0</v>
      </c>
      <c r="AN7" s="44">
        <f t="shared" si="7"/>
        <v>0</v>
      </c>
      <c r="AO7" s="44">
        <f t="shared" si="7"/>
        <v>0</v>
      </c>
      <c r="AP7" s="44">
        <f t="shared" si="7"/>
        <v>0</v>
      </c>
      <c r="AQ7" s="44">
        <f t="shared" si="7"/>
        <v>0</v>
      </c>
      <c r="AR7" s="44">
        <f t="shared" si="7"/>
        <v>0</v>
      </c>
      <c r="AS7" s="44">
        <f t="shared" si="7"/>
        <v>0</v>
      </c>
      <c r="AT7" s="44">
        <f t="shared" si="7"/>
        <v>0</v>
      </c>
      <c r="AU7" s="44">
        <f t="shared" si="7"/>
        <v>0</v>
      </c>
      <c r="AV7" s="44">
        <f t="shared" si="7"/>
        <v>0</v>
      </c>
      <c r="AW7" s="44">
        <f t="shared" si="7"/>
        <v>0</v>
      </c>
      <c r="AX7" s="44">
        <f t="shared" si="7"/>
        <v>0</v>
      </c>
      <c r="AY7" s="44">
        <f t="shared" si="7"/>
        <v>0</v>
      </c>
      <c r="AZ7" s="44">
        <f t="shared" si="8"/>
        <v>0</v>
      </c>
      <c r="BA7" s="44">
        <f t="shared" si="8"/>
        <v>0</v>
      </c>
      <c r="BB7" s="44">
        <f t="shared" si="8"/>
        <v>0</v>
      </c>
      <c r="BC7" s="44">
        <f t="shared" si="8"/>
        <v>0</v>
      </c>
      <c r="BD7" s="44">
        <f t="shared" si="8"/>
        <v>0</v>
      </c>
      <c r="BE7" s="44">
        <f t="shared" si="8"/>
        <v>0</v>
      </c>
      <c r="BF7" s="44">
        <f t="shared" si="8"/>
        <v>0</v>
      </c>
      <c r="BG7" s="44">
        <f t="shared" si="8"/>
        <v>0</v>
      </c>
      <c r="BH7" s="44">
        <f t="shared" si="8"/>
        <v>0</v>
      </c>
      <c r="BI7" s="44">
        <f t="shared" si="8"/>
        <v>0</v>
      </c>
      <c r="BJ7" s="44">
        <f t="shared" si="8"/>
        <v>0</v>
      </c>
      <c r="BK7" s="44">
        <f t="shared" si="8"/>
        <v>0</v>
      </c>
      <c r="BL7" s="44">
        <f t="shared" si="8"/>
        <v>0</v>
      </c>
      <c r="BM7" s="44">
        <f t="shared" si="8"/>
        <v>0</v>
      </c>
      <c r="BN7" s="44">
        <f t="shared" si="8"/>
        <v>0</v>
      </c>
      <c r="BQ7" t="s">
        <v>174</v>
      </c>
      <c r="BR7" s="44" t="e">
        <f>#REF!-#REF!</f>
        <v>#REF!</v>
      </c>
      <c r="BY7" s="30" t="s">
        <v>175</v>
      </c>
      <c r="CA7" s="539" t="e">
        <f>#REF!-#REF!</f>
        <v>#REF!</v>
      </c>
      <c r="CC7" s="538">
        <f>65</f>
        <v>65</v>
      </c>
      <c r="CI7" s="44">
        <f>AH42</f>
        <v>0</v>
      </c>
    </row>
    <row r="8" spans="1:88" outlineLevel="1">
      <c r="B8" s="1" t="s">
        <v>176</v>
      </c>
      <c r="D8" s="44">
        <f>D6-D7</f>
        <v>0</v>
      </c>
      <c r="E8" s="44">
        <f t="shared" ref="E8:AH8" si="9">E6-E7</f>
        <v>0</v>
      </c>
      <c r="F8" s="44">
        <f t="shared" si="9"/>
        <v>0</v>
      </c>
      <c r="G8" s="44">
        <f t="shared" si="9"/>
        <v>0</v>
      </c>
      <c r="H8" s="44">
        <f t="shared" si="9"/>
        <v>0</v>
      </c>
      <c r="I8" s="44">
        <f t="shared" si="9"/>
        <v>0</v>
      </c>
      <c r="J8" s="44">
        <f t="shared" si="9"/>
        <v>0</v>
      </c>
      <c r="K8" s="44">
        <f t="shared" si="9"/>
        <v>0</v>
      </c>
      <c r="L8" s="44">
        <f t="shared" si="9"/>
        <v>0</v>
      </c>
      <c r="M8" s="44">
        <f t="shared" si="9"/>
        <v>0</v>
      </c>
      <c r="N8" s="44">
        <f t="shared" si="9"/>
        <v>0</v>
      </c>
      <c r="O8" s="44">
        <f t="shared" si="9"/>
        <v>0</v>
      </c>
      <c r="P8" s="44">
        <f t="shared" si="9"/>
        <v>0</v>
      </c>
      <c r="Q8" s="44">
        <f t="shared" si="9"/>
        <v>0</v>
      </c>
      <c r="R8" s="44">
        <f t="shared" si="9"/>
        <v>0</v>
      </c>
      <c r="S8" s="44">
        <f t="shared" si="9"/>
        <v>0</v>
      </c>
      <c r="T8" s="44">
        <f t="shared" si="9"/>
        <v>0</v>
      </c>
      <c r="U8" s="44">
        <f t="shared" si="9"/>
        <v>0</v>
      </c>
      <c r="V8" s="44">
        <f t="shared" si="9"/>
        <v>0</v>
      </c>
      <c r="W8" s="44">
        <f t="shared" si="9"/>
        <v>0</v>
      </c>
      <c r="X8" s="44">
        <f t="shared" si="9"/>
        <v>0</v>
      </c>
      <c r="Y8" s="44">
        <f t="shared" si="9"/>
        <v>0</v>
      </c>
      <c r="Z8" s="44">
        <f t="shared" si="9"/>
        <v>0</v>
      </c>
      <c r="AA8" s="44">
        <f t="shared" si="9"/>
        <v>0</v>
      </c>
      <c r="AB8" s="44">
        <f t="shared" si="9"/>
        <v>0</v>
      </c>
      <c r="AC8" s="44">
        <f t="shared" si="9"/>
        <v>0</v>
      </c>
      <c r="AD8" s="44">
        <f t="shared" si="9"/>
        <v>0</v>
      </c>
      <c r="AE8" s="44">
        <f t="shared" si="9"/>
        <v>0</v>
      </c>
      <c r="AF8" s="44">
        <f t="shared" si="9"/>
        <v>0</v>
      </c>
      <c r="AG8" s="44">
        <f t="shared" si="9"/>
        <v>0</v>
      </c>
      <c r="AH8" s="44">
        <f t="shared" si="9"/>
        <v>0</v>
      </c>
      <c r="AJ8" s="44">
        <f t="shared" si="7"/>
        <v>0</v>
      </c>
      <c r="AK8" s="44">
        <f t="shared" si="7"/>
        <v>0</v>
      </c>
      <c r="AL8" s="44">
        <f t="shared" si="7"/>
        <v>0</v>
      </c>
      <c r="AM8" s="44">
        <f t="shared" si="7"/>
        <v>0</v>
      </c>
      <c r="AN8" s="44">
        <f t="shared" si="7"/>
        <v>0</v>
      </c>
      <c r="AO8" s="44">
        <f t="shared" si="7"/>
        <v>0</v>
      </c>
      <c r="AP8" s="44">
        <f t="shared" si="7"/>
        <v>0</v>
      </c>
      <c r="AQ8" s="44">
        <f t="shared" si="7"/>
        <v>0</v>
      </c>
      <c r="AR8" s="44">
        <f t="shared" si="7"/>
        <v>0</v>
      </c>
      <c r="AS8" s="44">
        <f t="shared" si="7"/>
        <v>0</v>
      </c>
      <c r="AT8" s="44">
        <f t="shared" si="7"/>
        <v>0</v>
      </c>
      <c r="AU8" s="44">
        <f t="shared" si="7"/>
        <v>0</v>
      </c>
      <c r="AV8" s="44">
        <f t="shared" si="7"/>
        <v>0</v>
      </c>
      <c r="AW8" s="44">
        <f t="shared" si="7"/>
        <v>0</v>
      </c>
      <c r="AX8" s="44">
        <f t="shared" si="7"/>
        <v>0</v>
      </c>
      <c r="AY8" s="44">
        <f t="shared" si="7"/>
        <v>0</v>
      </c>
      <c r="AZ8" s="44">
        <f t="shared" si="8"/>
        <v>0</v>
      </c>
      <c r="BA8" s="44">
        <f t="shared" si="8"/>
        <v>0</v>
      </c>
      <c r="BB8" s="44">
        <f t="shared" si="8"/>
        <v>0</v>
      </c>
      <c r="BC8" s="44">
        <f t="shared" si="8"/>
        <v>0</v>
      </c>
      <c r="BD8" s="44">
        <f t="shared" si="8"/>
        <v>0</v>
      </c>
      <c r="BE8" s="44">
        <f t="shared" si="8"/>
        <v>0</v>
      </c>
      <c r="BF8" s="44">
        <f t="shared" si="8"/>
        <v>0</v>
      </c>
      <c r="BG8" s="44">
        <f t="shared" si="8"/>
        <v>0</v>
      </c>
      <c r="BH8" s="44">
        <f t="shared" si="8"/>
        <v>0</v>
      </c>
      <c r="BI8" s="44">
        <f t="shared" si="8"/>
        <v>0</v>
      </c>
      <c r="BJ8" s="44">
        <f t="shared" si="8"/>
        <v>0</v>
      </c>
      <c r="BK8" s="44">
        <f t="shared" si="8"/>
        <v>0</v>
      </c>
      <c r="BL8" s="44">
        <f t="shared" si="8"/>
        <v>0</v>
      </c>
      <c r="BM8" s="44">
        <f t="shared" si="8"/>
        <v>0</v>
      </c>
      <c r="BN8" s="44">
        <f t="shared" si="8"/>
        <v>0</v>
      </c>
    </row>
    <row r="9" spans="1:88" outlineLevel="1">
      <c r="A9" s="1" t="s">
        <v>238</v>
      </c>
      <c r="C9" s="1"/>
      <c r="D9" s="66">
        <f t="shared" ref="D9:AH9" si="10">D4-D7</f>
        <v>14.947368421052632</v>
      </c>
      <c r="E9" s="66">
        <f t="shared" si="10"/>
        <v>15.331407031113367</v>
      </c>
      <c r="F9" s="66">
        <f t="shared" si="10"/>
        <v>15.725312639154138</v>
      </c>
      <c r="G9" s="66">
        <f t="shared" si="10"/>
        <v>16.129338755229892</v>
      </c>
      <c r="H9" s="66">
        <f t="shared" si="10"/>
        <v>16.543745402759424</v>
      </c>
      <c r="I9" s="66">
        <f t="shared" si="10"/>
        <v>16.968799285871444</v>
      </c>
      <c r="J9" s="66">
        <f t="shared" si="10"/>
        <v>17.381667623855559</v>
      </c>
      <c r="K9" s="66">
        <f t="shared" si="10"/>
        <v>17.804581473112339</v>
      </c>
      <c r="L9" s="66">
        <f t="shared" si="10"/>
        <v>18.237785251262231</v>
      </c>
      <c r="M9" s="66">
        <f t="shared" si="10"/>
        <v>18.681529322857759</v>
      </c>
      <c r="N9" s="66">
        <f t="shared" si="10"/>
        <v>19.136070144078495</v>
      </c>
      <c r="O9" s="66">
        <f t="shared" si="10"/>
        <v>19.545918749372461</v>
      </c>
      <c r="P9" s="66">
        <f t="shared" si="10"/>
        <v>19.964545326214225</v>
      </c>
      <c r="Q9" s="66">
        <f t="shared" si="10"/>
        <v>20.392137877645641</v>
      </c>
      <c r="R9" s="66">
        <f t="shared" si="10"/>
        <v>20.82888843328162</v>
      </c>
      <c r="S9" s="66">
        <f t="shared" si="10"/>
        <v>21.274993135549639</v>
      </c>
      <c r="T9" s="66">
        <f t="shared" si="10"/>
        <v>21.525497628002075</v>
      </c>
      <c r="U9" s="66">
        <f t="shared" si="10"/>
        <v>21.778951710160086</v>
      </c>
      <c r="V9" s="66">
        <f t="shared" si="10"/>
        <v>22.035390112256838</v>
      </c>
      <c r="W9" s="66">
        <f t="shared" si="10"/>
        <v>22.29484797346003</v>
      </c>
      <c r="X9" s="66">
        <f t="shared" si="10"/>
        <v>22.557360846686933</v>
      </c>
      <c r="Y9" s="66">
        <f t="shared" si="10"/>
        <v>22.802623116794138</v>
      </c>
      <c r="Z9" s="66">
        <f t="shared" si="10"/>
        <v>23.050552081003854</v>
      </c>
      <c r="AA9" s="66">
        <f t="shared" si="10"/>
        <v>23.301176733818313</v>
      </c>
      <c r="AB9" s="66">
        <f t="shared" si="10"/>
        <v>23.554526384991924</v>
      </c>
      <c r="AC9" s="66">
        <f t="shared" si="10"/>
        <v>23.810630662958982</v>
      </c>
      <c r="AD9" s="66">
        <f t="shared" si="10"/>
        <v>24.054451507660676</v>
      </c>
      <c r="AE9" s="66">
        <f t="shared" si="10"/>
        <v>24.300769077676058</v>
      </c>
      <c r="AF9" s="66">
        <f t="shared" si="10"/>
        <v>24.549608939470946</v>
      </c>
      <c r="AG9" s="66">
        <f t="shared" si="10"/>
        <v>24.800996921311754</v>
      </c>
      <c r="AH9" s="66">
        <f t="shared" si="10"/>
        <v>25.054959115946328</v>
      </c>
      <c r="AJ9" s="66">
        <f t="shared" si="7"/>
        <v>14.947368421052632</v>
      </c>
      <c r="AK9" s="66">
        <f t="shared" si="7"/>
        <v>15.331407031113367</v>
      </c>
      <c r="AL9" s="66">
        <f t="shared" si="7"/>
        <v>15.725312639154138</v>
      </c>
      <c r="AM9" s="66">
        <f t="shared" si="7"/>
        <v>16.129338755229892</v>
      </c>
      <c r="AN9" s="66">
        <f t="shared" si="7"/>
        <v>16.543745402759424</v>
      </c>
      <c r="AO9" s="66">
        <f t="shared" si="7"/>
        <v>16.968799285871444</v>
      </c>
      <c r="AP9" s="66">
        <f t="shared" si="7"/>
        <v>17.381667623855559</v>
      </c>
      <c r="AQ9" s="66">
        <f t="shared" si="7"/>
        <v>17.804581473112339</v>
      </c>
      <c r="AR9" s="66">
        <f t="shared" si="7"/>
        <v>18.237785251262231</v>
      </c>
      <c r="AS9" s="66">
        <f t="shared" si="7"/>
        <v>18.681529322857759</v>
      </c>
      <c r="AT9" s="66">
        <f t="shared" si="7"/>
        <v>19.136070144078495</v>
      </c>
      <c r="AU9" s="66">
        <f t="shared" si="7"/>
        <v>19.545918749372461</v>
      </c>
      <c r="AV9" s="66">
        <f t="shared" si="7"/>
        <v>19.964545326214225</v>
      </c>
      <c r="AW9" s="66">
        <f t="shared" si="7"/>
        <v>20.392137877645641</v>
      </c>
      <c r="AX9" s="66">
        <f t="shared" si="7"/>
        <v>20.82888843328162</v>
      </c>
      <c r="AY9" s="66">
        <f t="shared" si="7"/>
        <v>21.274993135549639</v>
      </c>
      <c r="AZ9" s="66">
        <f t="shared" si="8"/>
        <v>21.525497628002075</v>
      </c>
      <c r="BA9" s="66">
        <f t="shared" si="8"/>
        <v>21.778951710160086</v>
      </c>
      <c r="BB9" s="66">
        <f t="shared" si="8"/>
        <v>22.035390112256838</v>
      </c>
      <c r="BC9" s="66">
        <f t="shared" si="8"/>
        <v>22.29484797346003</v>
      </c>
      <c r="BD9" s="66">
        <f t="shared" si="8"/>
        <v>22.557360846686933</v>
      </c>
      <c r="BE9" s="66">
        <f t="shared" si="8"/>
        <v>22.802623116794138</v>
      </c>
      <c r="BF9" s="66">
        <f t="shared" si="8"/>
        <v>23.050552081003854</v>
      </c>
      <c r="BG9" s="66">
        <f t="shared" si="8"/>
        <v>23.301176733818313</v>
      </c>
      <c r="BH9" s="66">
        <f t="shared" si="8"/>
        <v>23.554526384991924</v>
      </c>
      <c r="BI9" s="66">
        <f t="shared" si="8"/>
        <v>23.810630662958982</v>
      </c>
      <c r="BJ9" s="66">
        <f t="shared" si="8"/>
        <v>24.054451507660676</v>
      </c>
      <c r="BK9" s="66">
        <f t="shared" si="8"/>
        <v>24.300769077676058</v>
      </c>
      <c r="BL9" s="66">
        <f t="shared" si="8"/>
        <v>24.549608939470946</v>
      </c>
      <c r="BM9" s="66">
        <f t="shared" si="8"/>
        <v>24.800996921311754</v>
      </c>
      <c r="BN9" s="66">
        <f t="shared" si="8"/>
        <v>25.054959115946328</v>
      </c>
      <c r="BQ9" s="1" t="s">
        <v>178</v>
      </c>
      <c r="BR9" t="s">
        <v>179</v>
      </c>
      <c r="BS9" s="44" t="e">
        <f>#REF!</f>
        <v>#REF!</v>
      </c>
    </row>
    <row r="10" spans="1:88" s="1" customFormat="1" ht="16" outlineLevel="1">
      <c r="A10" s="58" t="s">
        <v>185</v>
      </c>
      <c r="B10" s="58" t="s">
        <v>186</v>
      </c>
      <c r="C10" s="100" t="s">
        <v>153</v>
      </c>
      <c r="D10" s="101">
        <f>'Demand Breakdown - C4'!O28</f>
        <v>8.1566721804511282</v>
      </c>
      <c r="E10" s="101">
        <f>D10*(1+'Demand Breakdown - C4'!$K$28)</f>
        <v>8.2732337029546006</v>
      </c>
      <c r="F10" s="101">
        <f>E10*(1+'Demand Breakdown - C4'!$K$28)</f>
        <v>8.3914609278704955</v>
      </c>
      <c r="G10" s="101">
        <f>F10*(1+'Demand Breakdown - C4'!$K$28)</f>
        <v>8.511377658632977</v>
      </c>
      <c r="H10" s="101">
        <f>G10*(1+'Demand Breakdown - C4'!$K$28)</f>
        <v>8.6330080388350936</v>
      </c>
      <c r="I10" s="101">
        <f>H10*(1+'Demand Breakdown - C4'!$K$28)</f>
        <v>8.7563765570897623</v>
      </c>
      <c r="J10" s="101">
        <f>I10*(1+'Demand Breakdown - C4'!$K$28)</f>
        <v>8.8815080519602159</v>
      </c>
      <c r="K10" s="101">
        <f>J10*(1+'Demand Breakdown - C4'!$K$28)</f>
        <v>9.0084277169609077</v>
      </c>
      <c r="L10" s="101">
        <f>K10*(1+'Demand Breakdown - C4'!$K$28)</f>
        <v>9.1371611056298843</v>
      </c>
      <c r="M10" s="101">
        <f>L10*(1+'Demand Breakdown - C4'!$K$28)</f>
        <v>9.2677341366736332</v>
      </c>
      <c r="N10" s="101">
        <f>M10*(1+'Demand Breakdown - C4'!$K$28)</f>
        <v>9.4001730991854657</v>
      </c>
      <c r="O10" s="101">
        <f>N10*(1+'Demand Breakdown - C4'!$K$28)</f>
        <v>9.5345046579384665</v>
      </c>
      <c r="P10" s="101">
        <f>O10*(1+'Demand Breakdown - C4'!$K$28)</f>
        <v>9.6707558587540774</v>
      </c>
      <c r="Q10" s="101">
        <f>P10*(1+'Demand Breakdown - C4'!$K$28)</f>
        <v>9.8089541339474042</v>
      </c>
      <c r="R10" s="101">
        <f>Q10*(1+'Demand Breakdown - C4'!$K$28)</f>
        <v>9.9491273078503415</v>
      </c>
      <c r="S10" s="101">
        <f>R10*(1+'Demand Breakdown - C4'!$K$28)</f>
        <v>10.091303602413618</v>
      </c>
      <c r="T10" s="101">
        <f>S10*(1+'Demand Breakdown - C4'!$K$28)</f>
        <v>10.235511642888898</v>
      </c>
      <c r="U10" s="101">
        <f>T10*(1+'Demand Breakdown - C4'!$K$28)</f>
        <v>10.381780463592094</v>
      </c>
      <c r="V10" s="101">
        <f>U10*(1+'Demand Breakdown - C4'!$K$28)</f>
        <v>10.530139513749011</v>
      </c>
      <c r="W10" s="101">
        <f>V10*(1+'Demand Breakdown - C4'!$K$28)</f>
        <v>10.680618663424568</v>
      </c>
      <c r="X10" s="101">
        <f>W10*(1+'Demand Breakdown - C4'!$K$28)</f>
        <v>10.833248209536706</v>
      </c>
      <c r="Y10" s="101">
        <f>X10*(1+'Demand Breakdown - C4'!$K$28)</f>
        <v>10.988058881956272</v>
      </c>
      <c r="Z10" s="101">
        <f>Y10*(1+'Demand Breakdown - C4'!$K$28)</f>
        <v>11.145081849694051</v>
      </c>
      <c r="AA10" s="101">
        <f>Z10*(1+'Demand Breakdown - C4'!$K$28)</f>
        <v>11.304348727176222</v>
      </c>
      <c r="AB10" s="101">
        <f>AA10*(1+'Demand Breakdown - C4'!$K$28)</f>
        <v>11.465891580609492</v>
      </c>
      <c r="AC10" s="101">
        <f>AB10*(1+'Demand Breakdown - C4'!$K$28)</f>
        <v>11.629742934437182</v>
      </c>
      <c r="AD10" s="101">
        <f>AC10*(1+'Demand Breakdown - C4'!$K$28)</f>
        <v>11.795935777887587</v>
      </c>
      <c r="AE10" s="101">
        <f>AD10*(1+'Demand Breakdown - C4'!$K$28)</f>
        <v>11.9645035716159</v>
      </c>
      <c r="AF10" s="101">
        <f>AE10*(1+'Demand Breakdown - C4'!$K$28)</f>
        <v>12.135480254441056</v>
      </c>
      <c r="AG10" s="101">
        <f>AF10*(1+'Demand Breakdown - C4'!$K$28)</f>
        <v>12.308900250178857</v>
      </c>
      <c r="AH10" s="101">
        <f>AG10*(1+'Demand Breakdown - C4'!$K$28)</f>
        <v>12.484798474572724</v>
      </c>
      <c r="AJ10" s="101">
        <f>D10</f>
        <v>8.1566721804511282</v>
      </c>
      <c r="AK10" s="101">
        <f t="shared" si="7"/>
        <v>8.2732337029546006</v>
      </c>
      <c r="AL10" s="101">
        <f t="shared" si="7"/>
        <v>8.3914609278704955</v>
      </c>
      <c r="AM10" s="101">
        <f t="shared" si="7"/>
        <v>8.511377658632977</v>
      </c>
      <c r="AN10" s="101">
        <f t="shared" si="7"/>
        <v>8.6330080388350936</v>
      </c>
      <c r="AO10" s="101">
        <f t="shared" si="7"/>
        <v>8.7563765570897623</v>
      </c>
      <c r="AP10" s="101">
        <f t="shared" si="7"/>
        <v>8.8815080519602159</v>
      </c>
      <c r="AQ10" s="101">
        <f t="shared" si="7"/>
        <v>9.0084277169609077</v>
      </c>
      <c r="AR10" s="101">
        <f t="shared" si="7"/>
        <v>9.1371611056298843</v>
      </c>
      <c r="AS10" s="101">
        <f t="shared" si="7"/>
        <v>9.2677341366736332</v>
      </c>
      <c r="AT10" s="101">
        <f t="shared" si="7"/>
        <v>9.4001730991854657</v>
      </c>
      <c r="AU10" s="101">
        <f t="shared" si="7"/>
        <v>9.5345046579384665</v>
      </c>
      <c r="AV10" s="101">
        <f t="shared" si="7"/>
        <v>9.6707558587540774</v>
      </c>
      <c r="AW10" s="101">
        <f t="shared" si="7"/>
        <v>9.8089541339474042</v>
      </c>
      <c r="AX10" s="101">
        <f t="shared" si="7"/>
        <v>9.9491273078503415</v>
      </c>
      <c r="AY10" s="101">
        <f t="shared" si="7"/>
        <v>10.091303602413618</v>
      </c>
      <c r="AZ10" s="101">
        <f t="shared" si="8"/>
        <v>10.235511642888898</v>
      </c>
      <c r="BA10" s="101">
        <f t="shared" si="8"/>
        <v>10.381780463592094</v>
      </c>
      <c r="BB10" s="101">
        <f t="shared" si="8"/>
        <v>10.530139513749011</v>
      </c>
      <c r="BC10" s="101">
        <f t="shared" si="8"/>
        <v>10.680618663424568</v>
      </c>
      <c r="BD10" s="101">
        <f t="shared" si="8"/>
        <v>10.833248209536706</v>
      </c>
      <c r="BE10" s="101">
        <f t="shared" si="8"/>
        <v>10.988058881956272</v>
      </c>
      <c r="BF10" s="101">
        <f t="shared" si="8"/>
        <v>11.145081849694051</v>
      </c>
      <c r="BG10" s="101">
        <f t="shared" si="8"/>
        <v>11.304348727176222</v>
      </c>
      <c r="BH10" s="101">
        <f t="shared" si="8"/>
        <v>11.465891580609492</v>
      </c>
      <c r="BI10" s="101">
        <f t="shared" si="8"/>
        <v>11.629742934437182</v>
      </c>
      <c r="BJ10" s="101">
        <f t="shared" si="8"/>
        <v>11.795935777887587</v>
      </c>
      <c r="BK10" s="101">
        <f t="shared" si="8"/>
        <v>11.9645035716159</v>
      </c>
      <c r="BL10" s="101">
        <f t="shared" si="8"/>
        <v>12.135480254441056</v>
      </c>
      <c r="BM10" s="101">
        <f t="shared" si="8"/>
        <v>12.308900250178857</v>
      </c>
      <c r="BN10" s="101">
        <f t="shared" si="8"/>
        <v>12.484798474572724</v>
      </c>
      <c r="BR10" s="1" t="s">
        <v>187</v>
      </c>
      <c r="BS10" s="66">
        <f>AH6</f>
        <v>0</v>
      </c>
      <c r="BY10" s="30" t="s">
        <v>188</v>
      </c>
      <c r="BZ10" s="143">
        <f>D4</f>
        <v>14.947368421052632</v>
      </c>
      <c r="CA10" s="137"/>
      <c r="CB10" s="143" t="s">
        <v>167</v>
      </c>
      <c r="CC10" s="137"/>
      <c r="CD10" s="137"/>
      <c r="CE10" s="137"/>
      <c r="CF10" s="137"/>
      <c r="CG10" s="548" t="s">
        <v>167</v>
      </c>
      <c r="CI10" s="140"/>
    </row>
    <row r="11" spans="1:88" outlineLevel="1">
      <c r="B11" s="1" t="s">
        <v>189</v>
      </c>
      <c r="C11" s="54" t="s">
        <v>153</v>
      </c>
      <c r="D11" s="44">
        <v>0</v>
      </c>
      <c r="E11" s="44">
        <v>0</v>
      </c>
      <c r="F11" s="44">
        <v>0</v>
      </c>
      <c r="G11" s="44">
        <v>0</v>
      </c>
      <c r="H11" s="44">
        <v>0</v>
      </c>
      <c r="I11" s="44">
        <v>0</v>
      </c>
      <c r="J11" s="44">
        <v>0</v>
      </c>
      <c r="K11" s="44">
        <v>0</v>
      </c>
      <c r="L11" s="44">
        <v>0</v>
      </c>
      <c r="M11" s="44">
        <v>0</v>
      </c>
      <c r="N11" s="44">
        <v>0</v>
      </c>
      <c r="O11" s="44">
        <v>0</v>
      </c>
      <c r="P11" s="44">
        <v>0</v>
      </c>
      <c r="Q11" s="44">
        <v>0</v>
      </c>
      <c r="R11" s="44">
        <v>0</v>
      </c>
      <c r="S11" s="44">
        <v>0</v>
      </c>
      <c r="T11" s="44">
        <v>0</v>
      </c>
      <c r="U11" s="44">
        <v>0</v>
      </c>
      <c r="V11" s="44">
        <v>0</v>
      </c>
      <c r="W11" s="44">
        <v>0</v>
      </c>
      <c r="X11" s="44">
        <v>0</v>
      </c>
      <c r="Y11" s="44">
        <v>0</v>
      </c>
      <c r="Z11" s="44">
        <v>0</v>
      </c>
      <c r="AA11" s="44">
        <v>0</v>
      </c>
      <c r="AB11" s="44">
        <v>0</v>
      </c>
      <c r="AC11" s="44">
        <v>0</v>
      </c>
      <c r="AD11" s="44">
        <v>0</v>
      </c>
      <c r="AE11" s="44">
        <v>0</v>
      </c>
      <c r="AF11" s="44">
        <v>0</v>
      </c>
      <c r="AG11" s="44">
        <v>0</v>
      </c>
      <c r="AH11" s="44">
        <v>0</v>
      </c>
      <c r="AJ11" s="44">
        <v>0</v>
      </c>
      <c r="AK11" s="44">
        <v>0</v>
      </c>
      <c r="AL11" s="44">
        <v>0</v>
      </c>
      <c r="AM11" s="44">
        <v>0</v>
      </c>
      <c r="AN11" s="44">
        <v>0</v>
      </c>
      <c r="AO11" s="44">
        <v>0</v>
      </c>
      <c r="AP11" s="44">
        <v>0</v>
      </c>
      <c r="AQ11" s="44">
        <v>0</v>
      </c>
      <c r="AR11" s="44">
        <v>0</v>
      </c>
      <c r="AS11" s="44">
        <v>0</v>
      </c>
      <c r="AT11" s="44">
        <v>0</v>
      </c>
      <c r="AU11" s="44">
        <v>0</v>
      </c>
      <c r="AV11" s="44">
        <v>0</v>
      </c>
      <c r="AW11" s="44">
        <v>0</v>
      </c>
      <c r="AX11" s="44">
        <v>0</v>
      </c>
      <c r="AY11" s="44">
        <v>0</v>
      </c>
      <c r="AZ11" s="44">
        <v>0</v>
      </c>
      <c r="BA11" s="44">
        <v>0</v>
      </c>
      <c r="BB11" s="44">
        <v>0</v>
      </c>
      <c r="BC11" s="44">
        <v>0</v>
      </c>
      <c r="BD11" s="44">
        <v>0</v>
      </c>
      <c r="BE11" s="44">
        <v>0</v>
      </c>
      <c r="BF11" s="44">
        <v>0</v>
      </c>
      <c r="BG11" s="44">
        <v>0</v>
      </c>
      <c r="BH11" s="44">
        <v>0</v>
      </c>
      <c r="BI11" s="44">
        <v>0</v>
      </c>
      <c r="BJ11" s="44">
        <v>0</v>
      </c>
      <c r="BK11" s="44">
        <v>0</v>
      </c>
      <c r="BL11" s="44">
        <v>0</v>
      </c>
      <c r="BM11" s="44">
        <v>0</v>
      </c>
      <c r="BN11" s="44">
        <v>0</v>
      </c>
      <c r="BR11" t="s">
        <v>190</v>
      </c>
      <c r="BS11" s="44" t="e">
        <f>#REF!</f>
        <v>#REF!</v>
      </c>
      <c r="BY11" s="30" t="s">
        <v>183</v>
      </c>
      <c r="BZ11" s="137"/>
      <c r="CA11" s="137"/>
      <c r="CB11" s="137"/>
      <c r="CC11" s="137"/>
      <c r="CD11" s="143">
        <f>AH43</f>
        <v>0</v>
      </c>
      <c r="CE11" s="137"/>
      <c r="CF11" s="137"/>
      <c r="CG11" s="137"/>
    </row>
    <row r="12" spans="1:88" outlineLevel="1">
      <c r="B12" s="1" t="s">
        <v>191</v>
      </c>
      <c r="C12" s="54" t="s">
        <v>153</v>
      </c>
      <c r="D12" s="44">
        <f>SUM(D10:D11)</f>
        <v>8.1566721804511282</v>
      </c>
      <c r="E12" s="44">
        <f t="shared" ref="E12:AH12" si="11">SUM(E10:E11)</f>
        <v>8.2732337029546006</v>
      </c>
      <c r="F12" s="44">
        <f t="shared" si="11"/>
        <v>8.3914609278704955</v>
      </c>
      <c r="G12" s="44">
        <f t="shared" si="11"/>
        <v>8.511377658632977</v>
      </c>
      <c r="H12" s="44">
        <f t="shared" si="11"/>
        <v>8.6330080388350936</v>
      </c>
      <c r="I12" s="44">
        <f t="shared" si="11"/>
        <v>8.7563765570897623</v>
      </c>
      <c r="J12" s="44">
        <f t="shared" si="11"/>
        <v>8.8815080519602159</v>
      </c>
      <c r="K12" s="44">
        <f t="shared" si="11"/>
        <v>9.0084277169609077</v>
      </c>
      <c r="L12" s="44">
        <f t="shared" si="11"/>
        <v>9.1371611056298843</v>
      </c>
      <c r="M12" s="44">
        <f t="shared" si="11"/>
        <v>9.2677341366736332</v>
      </c>
      <c r="N12" s="44">
        <f t="shared" si="11"/>
        <v>9.4001730991854657</v>
      </c>
      <c r="O12" s="44">
        <f>SUM(O10:O11)</f>
        <v>9.5345046579384665</v>
      </c>
      <c r="P12" s="44">
        <f t="shared" si="11"/>
        <v>9.6707558587540774</v>
      </c>
      <c r="Q12" s="44">
        <f t="shared" si="11"/>
        <v>9.8089541339474042</v>
      </c>
      <c r="R12" s="44">
        <f t="shared" si="11"/>
        <v>9.9491273078503415</v>
      </c>
      <c r="S12" s="44">
        <f t="shared" si="11"/>
        <v>10.091303602413618</v>
      </c>
      <c r="T12" s="44">
        <f t="shared" si="11"/>
        <v>10.235511642888898</v>
      </c>
      <c r="U12" s="44">
        <f t="shared" si="11"/>
        <v>10.381780463592094</v>
      </c>
      <c r="V12" s="44">
        <f t="shared" si="11"/>
        <v>10.530139513749011</v>
      </c>
      <c r="W12" s="44">
        <f t="shared" si="11"/>
        <v>10.680618663424568</v>
      </c>
      <c r="X12" s="44">
        <f t="shared" si="11"/>
        <v>10.833248209536706</v>
      </c>
      <c r="Y12" s="44">
        <f t="shared" si="11"/>
        <v>10.988058881956272</v>
      </c>
      <c r="Z12" s="44">
        <f t="shared" si="11"/>
        <v>11.145081849694051</v>
      </c>
      <c r="AA12" s="44">
        <f t="shared" si="11"/>
        <v>11.304348727176222</v>
      </c>
      <c r="AB12" s="44">
        <f t="shared" si="11"/>
        <v>11.465891580609492</v>
      </c>
      <c r="AC12" s="44">
        <f t="shared" si="11"/>
        <v>11.629742934437182</v>
      </c>
      <c r="AD12" s="44">
        <f t="shared" si="11"/>
        <v>11.795935777887587</v>
      </c>
      <c r="AE12" s="44">
        <f t="shared" si="11"/>
        <v>11.9645035716159</v>
      </c>
      <c r="AF12" s="44">
        <f t="shared" si="11"/>
        <v>12.135480254441056</v>
      </c>
      <c r="AG12" s="44">
        <f t="shared" si="11"/>
        <v>12.308900250178857</v>
      </c>
      <c r="AH12" s="44">
        <f t="shared" si="11"/>
        <v>12.484798474572724</v>
      </c>
      <c r="AJ12" s="44">
        <f>SUM(AJ10:AJ11)</f>
        <v>8.1566721804511282</v>
      </c>
      <c r="AK12" s="44">
        <f t="shared" ref="AK12:AT12" si="12">SUM(AK10:AK11)</f>
        <v>8.2732337029546006</v>
      </c>
      <c r="AL12" s="44">
        <f t="shared" si="12"/>
        <v>8.3914609278704955</v>
      </c>
      <c r="AM12" s="44">
        <f t="shared" si="12"/>
        <v>8.511377658632977</v>
      </c>
      <c r="AN12" s="44">
        <f t="shared" si="12"/>
        <v>8.6330080388350936</v>
      </c>
      <c r="AO12" s="44">
        <f t="shared" si="12"/>
        <v>8.7563765570897623</v>
      </c>
      <c r="AP12" s="44">
        <f t="shared" si="12"/>
        <v>8.8815080519602159</v>
      </c>
      <c r="AQ12" s="44">
        <f t="shared" si="12"/>
        <v>9.0084277169609077</v>
      </c>
      <c r="AR12" s="44">
        <f t="shared" si="12"/>
        <v>9.1371611056298843</v>
      </c>
      <c r="AS12" s="44">
        <f t="shared" si="12"/>
        <v>9.2677341366736332</v>
      </c>
      <c r="AT12" s="44">
        <f t="shared" si="12"/>
        <v>9.4001730991854657</v>
      </c>
      <c r="AU12" s="44">
        <f>SUM(AU10:AU11)</f>
        <v>9.5345046579384665</v>
      </c>
      <c r="AV12" s="44">
        <f t="shared" ref="AV12:BN12" si="13">SUM(AV10:AV11)</f>
        <v>9.6707558587540774</v>
      </c>
      <c r="AW12" s="44">
        <f t="shared" si="13"/>
        <v>9.8089541339474042</v>
      </c>
      <c r="AX12" s="44">
        <f t="shared" si="13"/>
        <v>9.9491273078503415</v>
      </c>
      <c r="AY12" s="44">
        <f t="shared" si="13"/>
        <v>10.091303602413618</v>
      </c>
      <c r="AZ12" s="44">
        <f t="shared" si="13"/>
        <v>10.235511642888898</v>
      </c>
      <c r="BA12" s="44">
        <f t="shared" si="13"/>
        <v>10.381780463592094</v>
      </c>
      <c r="BB12" s="44">
        <f t="shared" si="13"/>
        <v>10.530139513749011</v>
      </c>
      <c r="BC12" s="44">
        <f t="shared" si="13"/>
        <v>10.680618663424568</v>
      </c>
      <c r="BD12" s="44">
        <f t="shared" si="13"/>
        <v>10.833248209536706</v>
      </c>
      <c r="BE12" s="44">
        <f t="shared" si="13"/>
        <v>10.988058881956272</v>
      </c>
      <c r="BF12" s="44">
        <f t="shared" si="13"/>
        <v>11.145081849694051</v>
      </c>
      <c r="BG12" s="44">
        <f t="shared" si="13"/>
        <v>11.304348727176222</v>
      </c>
      <c r="BH12" s="44">
        <f t="shared" si="13"/>
        <v>11.465891580609492</v>
      </c>
      <c r="BI12" s="44">
        <f t="shared" si="13"/>
        <v>11.629742934437182</v>
      </c>
      <c r="BJ12" s="44">
        <f t="shared" si="13"/>
        <v>11.795935777887587</v>
      </c>
      <c r="BK12" s="44">
        <f t="shared" si="13"/>
        <v>11.9645035716159</v>
      </c>
      <c r="BL12" s="44">
        <f t="shared" si="13"/>
        <v>12.135480254441056</v>
      </c>
      <c r="BM12" s="44">
        <f t="shared" si="13"/>
        <v>12.308900250178857</v>
      </c>
      <c r="BN12" s="44">
        <f t="shared" si="13"/>
        <v>12.484798474572724</v>
      </c>
      <c r="BR12" t="s">
        <v>192</v>
      </c>
      <c r="BS12" s="44" t="e">
        <f>#REF!</f>
        <v>#REF!</v>
      </c>
      <c r="BY12" s="30" t="s">
        <v>28</v>
      </c>
      <c r="BZ12" s="137"/>
      <c r="CA12" s="137"/>
      <c r="CB12" s="137"/>
      <c r="CC12" s="137"/>
      <c r="CD12" s="137"/>
      <c r="CE12" s="143">
        <f>AH44</f>
        <v>0</v>
      </c>
      <c r="CF12" s="137"/>
      <c r="CG12" s="137"/>
    </row>
    <row r="13" spans="1:88" outlineLevel="1">
      <c r="B13" s="61" t="s">
        <v>77</v>
      </c>
      <c r="C13" s="54" t="s">
        <v>153</v>
      </c>
      <c r="D13" s="44">
        <v>0</v>
      </c>
      <c r="E13" s="44">
        <f>E12*'R&amp;S - Transportation'!$B$15*('R&amp;S - Transportation'!$B$10*'R&amp;S - Transportation'!$B$19*(E$3-$D$3)/10)</f>
        <v>0</v>
      </c>
      <c r="F13" s="44">
        <f>F12*'R&amp;S - Transportation'!$B$15*('R&amp;S - Transportation'!$B$10*'R&amp;S - Transportation'!$B$19*(F$3-$D$3)/10)</f>
        <v>0</v>
      </c>
      <c r="G13" s="44">
        <f>G12*'R&amp;S - Transportation'!$B$15*('R&amp;S - Transportation'!$B$10*'R&amp;S - Transportation'!$B$19*(G$3-$D$3)/10)</f>
        <v>0</v>
      </c>
      <c r="H13" s="44">
        <f>H12*'R&amp;S - Transportation'!$B$15*('R&amp;S - Transportation'!$B$10*'R&amp;S - Transportation'!$B$19*(H$3-$D$3)/10)</f>
        <v>0</v>
      </c>
      <c r="I13" s="44">
        <f>I12*'R&amp;S - Transportation'!$B$15*('R&amp;S - Transportation'!$B$10*'R&amp;S - Transportation'!$B$19*(I$3-$D$3)/10)</f>
        <v>0</v>
      </c>
      <c r="J13" s="44">
        <f>J12*'R&amp;S - Transportation'!$B$15*('R&amp;S - Transportation'!$B$10*'R&amp;S - Transportation'!$B$19*(J$3-$D$3)/10)</f>
        <v>0</v>
      </c>
      <c r="K13" s="44">
        <f>K12*'R&amp;S - Transportation'!$B$15*('R&amp;S - Transportation'!$B$10*'R&amp;S - Transportation'!$B$19*(K$3-$D$3)/10)</f>
        <v>0</v>
      </c>
      <c r="L13" s="44">
        <f>L12*'R&amp;S - Transportation'!$B$15*('R&amp;S - Transportation'!$B$10*'R&amp;S - Transportation'!$B$19*(L$3-$D$3)/10)</f>
        <v>0</v>
      </c>
      <c r="M13" s="44">
        <f>M12*'R&amp;S - Transportation'!$B$15*('R&amp;S - Transportation'!$B$10*'R&amp;S - Transportation'!$B$19*(M$3-$D$3)/10)</f>
        <v>0</v>
      </c>
      <c r="N13" s="44">
        <f>N12*'R&amp;S - Transportation'!$B$15*('R&amp;S - Transportation'!$B$10*'R&amp;S - Transportation'!$B$19*(N$3-$D$3)/10)</f>
        <v>0</v>
      </c>
      <c r="O13" s="44">
        <f>O12*('R&amp;S - Transportation'!$B$15*('R&amp;S - Transportation'!$B$10*('R&amp;S - Transportation'!$B$19+('R&amp;S - Transportation'!$B$20-'R&amp;S - Transportation'!$B$19)*(O3-$N$3)/10)))</f>
        <v>0</v>
      </c>
      <c r="P13" s="44">
        <f>P12*('R&amp;S - Transportation'!$B$15*('R&amp;S - Transportation'!$B$10*('R&amp;S - Transportation'!$B$19+('R&amp;S - Transportation'!$B$20-'R&amp;S - Transportation'!$B$19)*(P3-$N$3)/10)))</f>
        <v>0</v>
      </c>
      <c r="Q13" s="44">
        <f>Q12*('R&amp;S - Transportation'!$B$15*('R&amp;S - Transportation'!$B$10*('R&amp;S - Transportation'!$B$19+('R&amp;S - Transportation'!$B$20-'R&amp;S - Transportation'!$B$19)*(Q3-$N$3)/10)))</f>
        <v>0</v>
      </c>
      <c r="R13" s="44">
        <f>R12*('R&amp;S - Transportation'!$B$15*('R&amp;S - Transportation'!$B$10*('R&amp;S - Transportation'!$B$19+('R&amp;S - Transportation'!$B$20-'R&amp;S - Transportation'!$B$19)*(R3-$N$3)/10)))</f>
        <v>0</v>
      </c>
      <c r="S13" s="44">
        <f>S12*('R&amp;S - Transportation'!$B$15*('R&amp;S - Transportation'!$B$10*('R&amp;S - Transportation'!$B$19+('R&amp;S - Transportation'!$B$20-'R&amp;S - Transportation'!$B$19)*(S3-$N$3)/10)))</f>
        <v>0</v>
      </c>
      <c r="T13" s="44">
        <f>T12*('R&amp;S - Transportation'!$B$15*('R&amp;S - Transportation'!$B$10*('R&amp;S - Transportation'!$B$19+('R&amp;S - Transportation'!$B$20-'R&amp;S - Transportation'!$B$19)*(T3-$N$3)/10)))</f>
        <v>0</v>
      </c>
      <c r="U13" s="44">
        <f>U12*('R&amp;S - Transportation'!$B$15*('R&amp;S - Transportation'!$B$10*('R&amp;S - Transportation'!$B$19+('R&amp;S - Transportation'!$B$20-'R&amp;S - Transportation'!$B$19)*(U3-$N$3)/10)))</f>
        <v>0</v>
      </c>
      <c r="V13" s="44">
        <f>V12*('R&amp;S - Transportation'!$B$15*('R&amp;S - Transportation'!$B$10*('R&amp;S - Transportation'!$B$19+('R&amp;S - Transportation'!$B$20-'R&amp;S - Transportation'!$B$19)*(V3-$N$3)/10)))</f>
        <v>0</v>
      </c>
      <c r="W13" s="44">
        <f>W12*('R&amp;S - Transportation'!$B$15*('R&amp;S - Transportation'!$B$10*('R&amp;S - Transportation'!$B$19+('R&amp;S - Transportation'!$B$20-'R&amp;S - Transportation'!$B$19)*(W3-$N$3)/10)))</f>
        <v>0</v>
      </c>
      <c r="X13" s="44">
        <f>X12*('R&amp;S - Transportation'!$B$15*('R&amp;S - Transportation'!$B$10*('R&amp;S - Transportation'!$B$19+('R&amp;S - Transportation'!$B$20-'R&amp;S - Transportation'!$B$19)*(X3-$N$3)/10)))</f>
        <v>0</v>
      </c>
      <c r="Y13" s="44">
        <f>Y12*('R&amp;S - Transportation'!$B$15*('R&amp;S - Transportation'!$B$10*('R&amp;S - Transportation'!$B$20+('R&amp;S - Transportation'!$B$21-'R&amp;S - Transportation'!$B$20)*(Y3-$X$3)/10)))</f>
        <v>0</v>
      </c>
      <c r="Z13" s="44">
        <f>Z12*('R&amp;S - Transportation'!$B$15*('R&amp;S - Transportation'!$B$10*('R&amp;S - Transportation'!$B$20+('R&amp;S - Transportation'!$B$21-'R&amp;S - Transportation'!$B$20)*(Z3-$X$3)/10)))</f>
        <v>0</v>
      </c>
      <c r="AA13" s="44">
        <f>AA12*('R&amp;S - Transportation'!$B$15*('R&amp;S - Transportation'!$B$10*('R&amp;S - Transportation'!$B$20+('R&amp;S - Transportation'!$B$21-'R&amp;S - Transportation'!$B$20)*(AA3-$X$3)/10)))</f>
        <v>0</v>
      </c>
      <c r="AB13" s="44">
        <f>AB12*('R&amp;S - Transportation'!$B$15*('R&amp;S - Transportation'!$B$10*('R&amp;S - Transportation'!$B$20+('R&amp;S - Transportation'!$B$21-'R&amp;S - Transportation'!$B$20)*(AB3-$X$3)/10)))</f>
        <v>0</v>
      </c>
      <c r="AC13" s="44">
        <f>AC12*('R&amp;S - Transportation'!$B$15*('R&amp;S - Transportation'!$B$10*('R&amp;S - Transportation'!$B$20+('R&amp;S - Transportation'!$B$21-'R&amp;S - Transportation'!$B$20)*(AC3-$X$3)/10)))</f>
        <v>0</v>
      </c>
      <c r="AD13" s="44">
        <f>AD12*('R&amp;S - Transportation'!$B$15*('R&amp;S - Transportation'!$B$10*('R&amp;S - Transportation'!$B$20+('R&amp;S - Transportation'!$B$21-'R&amp;S - Transportation'!$B$20)*(AD3-$X$3)/10)))</f>
        <v>0</v>
      </c>
      <c r="AE13" s="44">
        <f>AE12*('R&amp;S - Transportation'!$B$15*('R&amp;S - Transportation'!$B$10*('R&amp;S - Transportation'!$B$20+('R&amp;S - Transportation'!$B$21-'R&amp;S - Transportation'!$B$20)*(AE3-$X$3)/10)))</f>
        <v>0</v>
      </c>
      <c r="AF13" s="44">
        <f>AF12*('R&amp;S - Transportation'!$B$15*('R&amp;S - Transportation'!$B$10*('R&amp;S - Transportation'!$B$20+('R&amp;S - Transportation'!$B$21-'R&amp;S - Transportation'!$B$20)*(AF3-$X$3)/10)))</f>
        <v>0</v>
      </c>
      <c r="AG13" s="44">
        <f>AG12*('R&amp;S - Transportation'!$B$15*('R&amp;S - Transportation'!$B$10*('R&amp;S - Transportation'!$B$20+('R&amp;S - Transportation'!$B$21-'R&amp;S - Transportation'!$B$20)*(AG3-$X$3)/10)))</f>
        <v>0</v>
      </c>
      <c r="AH13" s="44">
        <f>AH12*('R&amp;S - Transportation'!$B$15*('R&amp;S - Transportation'!$B$10*('R&amp;S - Transportation'!$B$20+('R&amp;S - Transportation'!$B$21-'R&amp;S - Transportation'!$B$20)*(AH3-$X$3)/10)))</f>
        <v>0</v>
      </c>
      <c r="AJ13" s="44">
        <v>0</v>
      </c>
      <c r="AK13" s="44">
        <f>AK12*'R&amp;S - Transportation'!$B$16*('R&amp;S - Transportation'!$B$10*'R&amp;S - Transportation'!$B$19*(AK$3-$D$3)/10)</f>
        <v>0</v>
      </c>
      <c r="AL13" s="44">
        <f>AL12*'R&amp;S - Transportation'!$B$16*('R&amp;S - Transportation'!$B$10*'R&amp;S - Transportation'!$B$19*(AL$3-$D$3)/10)</f>
        <v>0</v>
      </c>
      <c r="AM13" s="44">
        <f>AM12*'R&amp;S - Transportation'!$B$16*('R&amp;S - Transportation'!$B$10*'R&amp;S - Transportation'!$B$19*(AM$3-$D$3)/10)</f>
        <v>0</v>
      </c>
      <c r="AN13" s="44">
        <f>AN12*'R&amp;S - Transportation'!$B$16*('R&amp;S - Transportation'!$B$10*'R&amp;S - Transportation'!$B$19*(AN$3-$D$3)/10)</f>
        <v>0</v>
      </c>
      <c r="AO13" s="44">
        <f>AO12*'R&amp;S - Transportation'!$B$16*('R&amp;S - Transportation'!$B$10*'R&amp;S - Transportation'!$B$19*(AO$3-$D$3)/10)</f>
        <v>0</v>
      </c>
      <c r="AP13" s="44">
        <f>AP12*'R&amp;S - Transportation'!$B$16*('R&amp;S - Transportation'!$B$10*'R&amp;S - Transportation'!$B$19*(AP$3-$D$3)/10)</f>
        <v>0</v>
      </c>
      <c r="AQ13" s="44">
        <f>AQ12*'R&amp;S - Transportation'!$B$16*('R&amp;S - Transportation'!$B$10*'R&amp;S - Transportation'!$B$19*(AQ$3-$D$3)/10)</f>
        <v>0</v>
      </c>
      <c r="AR13" s="44">
        <f>AR12*'R&amp;S - Transportation'!$B$16*('R&amp;S - Transportation'!$B$10*'R&amp;S - Transportation'!$B$19*(AR$3-$D$3)/10)</f>
        <v>0</v>
      </c>
      <c r="AS13" s="44">
        <f>AS12*'R&amp;S - Transportation'!$B$16*('R&amp;S - Transportation'!$B$10*'R&amp;S - Transportation'!$B$19*(AS$3-$D$3)/10)</f>
        <v>0</v>
      </c>
      <c r="AT13" s="44">
        <f>AT12*'R&amp;S - Transportation'!$B$16*('R&amp;S - Transportation'!$B$10*'R&amp;S - Transportation'!$B$19*(AT$3-$D$3)/10)</f>
        <v>0</v>
      </c>
      <c r="AU13" s="44">
        <f>AU12*('R&amp;S - Transportation'!$B$16*('R&amp;S - Transportation'!$B$10*('R&amp;S - Transportation'!$B$19+('R&amp;S - Transportation'!$B$20-'R&amp;S - Transportation'!$B$19)*(AU3-$N$3)/10)))</f>
        <v>0</v>
      </c>
      <c r="AV13" s="44">
        <f>AV12*('R&amp;S - Transportation'!$B$16*('R&amp;S - Transportation'!$B$10*('R&amp;S - Transportation'!$B$19+('R&amp;S - Transportation'!$B$20-'R&amp;S - Transportation'!$B$19)*(AV3-$N$3)/10)))</f>
        <v>0</v>
      </c>
      <c r="AW13" s="44">
        <f>AW12*('R&amp;S - Transportation'!$B$16*('R&amp;S - Transportation'!$B$10*('R&amp;S - Transportation'!$B$19+('R&amp;S - Transportation'!$B$20-'R&amp;S - Transportation'!$B$19)*(AW3-$N$3)/10)))</f>
        <v>0</v>
      </c>
      <c r="AX13" s="44">
        <f>AX12*('R&amp;S - Transportation'!$B$16*('R&amp;S - Transportation'!$B$10*('R&amp;S - Transportation'!$B$19+('R&amp;S - Transportation'!$B$20-'R&amp;S - Transportation'!$B$19)*(AX3-$N$3)/10)))</f>
        <v>0</v>
      </c>
      <c r="AY13" s="44">
        <f>AY12*('R&amp;S - Transportation'!$B$16*('R&amp;S - Transportation'!$B$10*('R&amp;S - Transportation'!$B$19+('R&amp;S - Transportation'!$B$20-'R&amp;S - Transportation'!$B$19)*(AY3-$N$3)/10)))</f>
        <v>0</v>
      </c>
      <c r="AZ13" s="44">
        <f>AZ12*('R&amp;S - Transportation'!$B$16*('R&amp;S - Transportation'!$B$10*('R&amp;S - Transportation'!$B$19+('R&amp;S - Transportation'!$B$20-'R&amp;S - Transportation'!$B$19)*(AZ3-$N$3)/10)))</f>
        <v>0</v>
      </c>
      <c r="BA13" s="44">
        <f>BA12*('R&amp;S - Transportation'!$B$16*('R&amp;S - Transportation'!$B$10*('R&amp;S - Transportation'!$B$19+('R&amp;S - Transportation'!$B$20-'R&amp;S - Transportation'!$B$19)*(BA3-$N$3)/10)))</f>
        <v>0</v>
      </c>
      <c r="BB13" s="44">
        <f>BB12*('R&amp;S - Transportation'!$B$16*('R&amp;S - Transportation'!$B$10*('R&amp;S - Transportation'!$B$19+('R&amp;S - Transportation'!$B$20-'R&amp;S - Transportation'!$B$19)*(BB3-$N$3)/10)))</f>
        <v>0</v>
      </c>
      <c r="BC13" s="44">
        <f>BC12*('R&amp;S - Transportation'!$B$16*('R&amp;S - Transportation'!$B$10*('R&amp;S - Transportation'!$B$19+('R&amp;S - Transportation'!$B$20-'R&amp;S - Transportation'!$B$19)*(BC3-$N$3)/10)))</f>
        <v>0</v>
      </c>
      <c r="BD13" s="44">
        <f>BD12*('R&amp;S - Transportation'!$B$16*('R&amp;S - Transportation'!$B$10*('R&amp;S - Transportation'!$B$19+('R&amp;S - Transportation'!$B$20-'R&amp;S - Transportation'!$B$19)*(BD3-$N$3)/10)))</f>
        <v>0</v>
      </c>
      <c r="BE13" s="44">
        <f>BE12*('R&amp;S - Transportation'!$B$16*('R&amp;S - Transportation'!$B$10*('R&amp;S - Transportation'!$B$20+('R&amp;S - Transportation'!$B$21-'R&amp;S - Transportation'!$B$20)*(BE3-$X$3)/10)))</f>
        <v>0</v>
      </c>
      <c r="BF13" s="44">
        <f>BF12*('R&amp;S - Transportation'!$B$16*('R&amp;S - Transportation'!$B$10*('R&amp;S - Transportation'!$B$20+('R&amp;S - Transportation'!$B$21-'R&amp;S - Transportation'!$B$20)*(BF3-$X$3)/10)))</f>
        <v>0</v>
      </c>
      <c r="BG13" s="44">
        <f>BG12*('R&amp;S - Transportation'!$B$16*('R&amp;S - Transportation'!$B$10*('R&amp;S - Transportation'!$B$20+('R&amp;S - Transportation'!$B$21-'R&amp;S - Transportation'!$B$20)*(BG3-$X$3)/10)))</f>
        <v>0</v>
      </c>
      <c r="BH13" s="44">
        <f>BH12*('R&amp;S - Transportation'!$B$16*('R&amp;S - Transportation'!$B$10*('R&amp;S - Transportation'!$B$20+('R&amp;S - Transportation'!$B$21-'R&amp;S - Transportation'!$B$20)*(BH3-$X$3)/10)))</f>
        <v>0</v>
      </c>
      <c r="BI13" s="44">
        <f>BI12*('R&amp;S - Transportation'!$B$16*('R&amp;S - Transportation'!$B$10*('R&amp;S - Transportation'!$B$20+('R&amp;S - Transportation'!$B$21-'R&amp;S - Transportation'!$B$20)*(BI3-$X$3)/10)))</f>
        <v>0</v>
      </c>
      <c r="BJ13" s="44">
        <f>BJ12*('R&amp;S - Transportation'!$B$16*('R&amp;S - Transportation'!$B$10*('R&amp;S - Transportation'!$B$20+('R&amp;S - Transportation'!$B$21-'R&amp;S - Transportation'!$B$20)*(BJ3-$X$3)/10)))</f>
        <v>0</v>
      </c>
      <c r="BK13" s="44">
        <f>BK12*('R&amp;S - Transportation'!$B$16*('R&amp;S - Transportation'!$B$10*('R&amp;S - Transportation'!$B$20+('R&amp;S - Transportation'!$B$21-'R&amp;S - Transportation'!$B$20)*(BK3-$X$3)/10)))</f>
        <v>0</v>
      </c>
      <c r="BL13" s="44">
        <f>BL12*('R&amp;S - Transportation'!$B$16*('R&amp;S - Transportation'!$B$10*('R&amp;S - Transportation'!$B$20+('R&amp;S - Transportation'!$B$21-'R&amp;S - Transportation'!$B$20)*(BL3-$X$3)/10)))</f>
        <v>0</v>
      </c>
      <c r="BM13" s="44">
        <f>BM12*('R&amp;S - Transportation'!$B$16*('R&amp;S - Transportation'!$B$10*('R&amp;S - Transportation'!$B$20+('R&amp;S - Transportation'!$B$21-'R&amp;S - Transportation'!$B$20)*(BM3-$X$3)/10)))</f>
        <v>0</v>
      </c>
      <c r="BN13" s="44">
        <f>BN12*('R&amp;S - Transportation'!$B$16*('R&amp;S - Transportation'!$B$10*('R&amp;S - Transportation'!$B$20+('R&amp;S - Transportation'!$B$21-'R&amp;S - Transportation'!$B$20)*(BN3-$X$3)/10)))</f>
        <v>0</v>
      </c>
      <c r="BS13" s="442" t="e">
        <f>SUM(BS9:BS12)</f>
        <v>#REF!</v>
      </c>
      <c r="BY13" s="30" t="s">
        <v>193</v>
      </c>
      <c r="BZ13" s="137"/>
      <c r="CA13" s="137"/>
      <c r="CB13" s="137"/>
      <c r="CC13" s="137"/>
      <c r="CD13" s="137"/>
      <c r="CE13" s="137"/>
      <c r="CF13" s="143">
        <f>SUM(AH71:AH72)</f>
        <v>1.946164612283301</v>
      </c>
      <c r="CG13" s="137"/>
    </row>
    <row r="14" spans="1:88" outlineLevel="1">
      <c r="B14" s="61" t="s">
        <v>194</v>
      </c>
      <c r="C14" s="54" t="s">
        <v>153</v>
      </c>
      <c r="D14" s="44">
        <v>0</v>
      </c>
      <c r="E14" s="44">
        <f>E12*'R&amp;S - Transportation'!$B$15*('R&amp;S - Transportation'!$B$11*'R&amp;S - Transportation'!$B$19*(E$3-$D$3)/10)</f>
        <v>0</v>
      </c>
      <c r="F14" s="44">
        <f>F12*'R&amp;S - Transportation'!$B$15*('R&amp;S - Transportation'!$B$11*'R&amp;S - Transportation'!$B$19*(F$3-$D$3)/10)</f>
        <v>0</v>
      </c>
      <c r="G14" s="44">
        <f>G12*'R&amp;S - Transportation'!$B$15*('R&amp;S - Transportation'!$B$11*'R&amp;S - Transportation'!$B$19*(G$3-$D$3)/10)</f>
        <v>0</v>
      </c>
      <c r="H14" s="44">
        <f>H12*'R&amp;S - Transportation'!$B$15*('R&amp;S - Transportation'!$B$11*'R&amp;S - Transportation'!$B$19*(H$3-$D$3)/10)</f>
        <v>0</v>
      </c>
      <c r="I14" s="44">
        <f>I12*'R&amp;S - Transportation'!$B$15*('R&amp;S - Transportation'!$B$11*'R&amp;S - Transportation'!$B$19*(I$3-$D$3)/10)</f>
        <v>0</v>
      </c>
      <c r="J14" s="44">
        <f>J12*'R&amp;S - Transportation'!$B$15*('R&amp;S - Transportation'!$B$11*'R&amp;S - Transportation'!$B$19*(J$3-$D$3)/10)</f>
        <v>0</v>
      </c>
      <c r="K14" s="44">
        <f>K12*'R&amp;S - Transportation'!$B$15*('R&amp;S - Transportation'!$B$11*'R&amp;S - Transportation'!$B$19*(K$3-$D$3)/10)</f>
        <v>0</v>
      </c>
      <c r="L14" s="44">
        <f>L12*'R&amp;S - Transportation'!$B$15*('R&amp;S - Transportation'!$B$11*'R&amp;S - Transportation'!$B$19*(L$3-$D$3)/10)</f>
        <v>0</v>
      </c>
      <c r="M14" s="44">
        <f>M12*'R&amp;S - Transportation'!$B$15*('R&amp;S - Transportation'!$B$11*'R&amp;S - Transportation'!$B$19*(M$3-$D$3)/10)</f>
        <v>0</v>
      </c>
      <c r="N14" s="44">
        <f>N12*'R&amp;S - Transportation'!$B$15*('R&amp;S - Transportation'!$B$11*'R&amp;S - Transportation'!$B$19*(N$3-$D$3)/10)</f>
        <v>0</v>
      </c>
      <c r="O14" s="44">
        <f>O12*('R&amp;S - Transportation'!$B$15*('R&amp;S - Transportation'!$B$11*('R&amp;S - Transportation'!$B$19+('R&amp;S - Transportation'!$B$20-'R&amp;S - Transportation'!$B$19)*(O3-$N$3)/10)))</f>
        <v>0</v>
      </c>
      <c r="P14" s="44">
        <f>P12*('R&amp;S - Transportation'!$B$15*('R&amp;S - Transportation'!$B$11*('R&amp;S - Transportation'!$B$19+('R&amp;S - Transportation'!$B$20-'R&amp;S - Transportation'!$B$19)*(P3-$N$3)/10)))</f>
        <v>0</v>
      </c>
      <c r="Q14" s="44">
        <f>Q12*('R&amp;S - Transportation'!$B$15*('R&amp;S - Transportation'!$B$11*('R&amp;S - Transportation'!$B$19+('R&amp;S - Transportation'!$B$20-'R&amp;S - Transportation'!$B$19)*(Q3-$N$3)/10)))</f>
        <v>0</v>
      </c>
      <c r="R14" s="44">
        <f>R12*('R&amp;S - Transportation'!$B$15*('R&amp;S - Transportation'!$B$11*('R&amp;S - Transportation'!$B$19+('R&amp;S - Transportation'!$B$20-'R&amp;S - Transportation'!$B$19)*(R3-$N$3)/10)))</f>
        <v>0</v>
      </c>
      <c r="S14" s="44">
        <f>S12*('R&amp;S - Transportation'!$B$15*('R&amp;S - Transportation'!$B$11*('R&amp;S - Transportation'!$B$19+('R&amp;S - Transportation'!$B$20-'R&amp;S - Transportation'!$B$19)*(S3-$N$3)/10)))</f>
        <v>0</v>
      </c>
      <c r="T14" s="44">
        <f>T12*('R&amp;S - Transportation'!$B$15*('R&amp;S - Transportation'!$B$11*('R&amp;S - Transportation'!$B$19+('R&amp;S - Transportation'!$B$20-'R&amp;S - Transportation'!$B$19)*(T3-$N$3)/10)))</f>
        <v>0</v>
      </c>
      <c r="U14" s="44">
        <f>U12*('R&amp;S - Transportation'!$B$15*('R&amp;S - Transportation'!$B$11*('R&amp;S - Transportation'!$B$19+('R&amp;S - Transportation'!$B$20-'R&amp;S - Transportation'!$B$19)*(U3-$N$3)/10)))</f>
        <v>0</v>
      </c>
      <c r="V14" s="44">
        <f>V12*('R&amp;S - Transportation'!$B$15*('R&amp;S - Transportation'!$B$11*('R&amp;S - Transportation'!$B$19+('R&amp;S - Transportation'!$B$20-'R&amp;S - Transportation'!$B$19)*(V3-$N$3)/10)))</f>
        <v>0</v>
      </c>
      <c r="W14" s="44">
        <f>W12*('R&amp;S - Transportation'!$B$15*('R&amp;S - Transportation'!$B$11*('R&amp;S - Transportation'!$B$19+('R&amp;S - Transportation'!$B$20-'R&amp;S - Transportation'!$B$19)*(W3-$N$3)/10)))</f>
        <v>0</v>
      </c>
      <c r="X14" s="44">
        <f>X12*('R&amp;S - Transportation'!$B$15*('R&amp;S - Transportation'!$B$11*('R&amp;S - Transportation'!$B$19+('R&amp;S - Transportation'!$B$20-'R&amp;S - Transportation'!$B$19)*(X3-$N$3)/10)))</f>
        <v>0</v>
      </c>
      <c r="Y14" s="44">
        <f>Y12*('R&amp;S - Transportation'!$B$15*('R&amp;S - Transportation'!$B$11*('R&amp;S - Transportation'!$B$20+('R&amp;S - Transportation'!$B$21-'R&amp;S - Transportation'!$B$20)*(Y3-$X$3)/10)))</f>
        <v>0</v>
      </c>
      <c r="Z14" s="44">
        <f>Z12*('R&amp;S - Transportation'!$B$15*('R&amp;S - Transportation'!$B$11*('R&amp;S - Transportation'!$B$20+('R&amp;S - Transportation'!$B$21-'R&amp;S - Transportation'!$B$20)*(Z3-$X$3)/10)))</f>
        <v>0</v>
      </c>
      <c r="AA14" s="44">
        <f>AA12*('R&amp;S - Transportation'!$B$15*('R&amp;S - Transportation'!$B$11*('R&amp;S - Transportation'!$B$20+('R&amp;S - Transportation'!$B$21-'R&amp;S - Transportation'!$B$20)*(AA3-$X$3)/10)))</f>
        <v>0</v>
      </c>
      <c r="AB14" s="44">
        <f>AB12*('R&amp;S - Transportation'!$B$15*('R&amp;S - Transportation'!$B$11*('R&amp;S - Transportation'!$B$20+('R&amp;S - Transportation'!$B$21-'R&amp;S - Transportation'!$B$20)*(AB3-$X$3)/10)))</f>
        <v>0</v>
      </c>
      <c r="AC14" s="44">
        <f>AC12*('R&amp;S - Transportation'!$B$15*('R&amp;S - Transportation'!$B$11*('R&amp;S - Transportation'!$B$20+('R&amp;S - Transportation'!$B$21-'R&amp;S - Transportation'!$B$20)*(AC3-$X$3)/10)))</f>
        <v>0</v>
      </c>
      <c r="AD14" s="44">
        <f>AD12*('R&amp;S - Transportation'!$B$15*('R&amp;S - Transportation'!$B$11*('R&amp;S - Transportation'!$B$20+('R&amp;S - Transportation'!$B$21-'R&amp;S - Transportation'!$B$20)*(AD3-$X$3)/10)))</f>
        <v>0</v>
      </c>
      <c r="AE14" s="44">
        <f>AE12*('R&amp;S - Transportation'!$B$15*('R&amp;S - Transportation'!$B$11*('R&amp;S - Transportation'!$B$20+('R&amp;S - Transportation'!$B$21-'R&amp;S - Transportation'!$B$20)*(AE3-$X$3)/10)))</f>
        <v>0</v>
      </c>
      <c r="AF14" s="44">
        <f>AF12*('R&amp;S - Transportation'!$B$15*('R&amp;S - Transportation'!$B$11*('R&amp;S - Transportation'!$B$20+('R&amp;S - Transportation'!$B$21-'R&amp;S - Transportation'!$B$20)*(AF3-$X$3)/10)))</f>
        <v>0</v>
      </c>
      <c r="AG14" s="44">
        <f>AG12*('R&amp;S - Transportation'!$B$15*('R&amp;S - Transportation'!$B$11*('R&amp;S - Transportation'!$B$20+('R&amp;S - Transportation'!$B$21-'R&amp;S - Transportation'!$B$20)*(AG3-$X$3)/10)))</f>
        <v>0</v>
      </c>
      <c r="AH14" s="44">
        <f>AH12*('R&amp;S - Transportation'!$B$15*('R&amp;S - Transportation'!$B$11*('R&amp;S - Transportation'!$B$20+('R&amp;S - Transportation'!$B$21-'R&amp;S - Transportation'!$B$20)*(AH3-$X$3)/10)))</f>
        <v>0</v>
      </c>
      <c r="AJ14" s="44">
        <v>0</v>
      </c>
      <c r="AK14" s="44">
        <f>AK12*'R&amp;S - Transportation'!$B$16*('R&amp;S - Transportation'!$B$11*'R&amp;S - Transportation'!$B$19*(AK$3-$D$3)/10)</f>
        <v>0</v>
      </c>
      <c r="AL14" s="44">
        <f>AL12*'R&amp;S - Transportation'!$B$16*('R&amp;S - Transportation'!$B$11*'R&amp;S - Transportation'!$B$19*(AL$3-$D$3)/10)</f>
        <v>0</v>
      </c>
      <c r="AM14" s="44">
        <f>AM12*'R&amp;S - Transportation'!$B$16*('R&amp;S - Transportation'!$B$11*'R&amp;S - Transportation'!$B$19*(AM$3-$D$3)/10)</f>
        <v>0</v>
      </c>
      <c r="AN14" s="44">
        <f>AN12*'R&amp;S - Transportation'!$B$16*('R&amp;S - Transportation'!$B$11*'R&amp;S - Transportation'!$B$19*(AN$3-$D$3)/10)</f>
        <v>0</v>
      </c>
      <c r="AO14" s="44">
        <f>AO12*'R&amp;S - Transportation'!$B$16*('R&amp;S - Transportation'!$B$11*'R&amp;S - Transportation'!$B$19*(AO$3-$D$3)/10)</f>
        <v>0</v>
      </c>
      <c r="AP14" s="44">
        <f>AP12*'R&amp;S - Transportation'!$B$16*('R&amp;S - Transportation'!$B$11*'R&amp;S - Transportation'!$B$19*(AP$3-$D$3)/10)</f>
        <v>0</v>
      </c>
      <c r="AQ14" s="44">
        <f>AQ12*'R&amp;S - Transportation'!$B$16*('R&amp;S - Transportation'!$B$11*'R&amp;S - Transportation'!$B$19*(AQ$3-$D$3)/10)</f>
        <v>0</v>
      </c>
      <c r="AR14" s="44">
        <f>AR12*'R&amp;S - Transportation'!$B$16*('R&amp;S - Transportation'!$B$11*'R&amp;S - Transportation'!$B$19*(AR$3-$D$3)/10)</f>
        <v>0</v>
      </c>
      <c r="AS14" s="44">
        <f>AS12*'R&amp;S - Transportation'!$B$16*('R&amp;S - Transportation'!$B$11*'R&amp;S - Transportation'!$B$19*(AS$3-$D$3)/10)</f>
        <v>0</v>
      </c>
      <c r="AT14" s="44">
        <f>AT12*'R&amp;S - Transportation'!$B$16*('R&amp;S - Transportation'!$B$11*'R&amp;S - Transportation'!$B$19*(AT$3-$D$3)/10)</f>
        <v>0</v>
      </c>
      <c r="AU14" s="44">
        <f>AU12*('R&amp;S - Transportation'!$B$16*('R&amp;S - Transportation'!$B$11*('R&amp;S - Transportation'!$B$19+('R&amp;S - Transportation'!$B$20-'R&amp;S - Transportation'!$B$19)*(AU3-$N$3)/10)))</f>
        <v>0</v>
      </c>
      <c r="AV14" s="44">
        <f>AV12*('R&amp;S - Transportation'!$B$16*('R&amp;S - Transportation'!$B$11*('R&amp;S - Transportation'!$B$19+('R&amp;S - Transportation'!$B$20-'R&amp;S - Transportation'!$B$19)*(AV3-$N$3)/10)))</f>
        <v>0</v>
      </c>
      <c r="AW14" s="44">
        <f>AW12*('R&amp;S - Transportation'!$B$16*('R&amp;S - Transportation'!$B$11*('R&amp;S - Transportation'!$B$19+('R&amp;S - Transportation'!$B$20-'R&amp;S - Transportation'!$B$19)*(AW3-$N$3)/10)))</f>
        <v>0</v>
      </c>
      <c r="AX14" s="44">
        <f>AX12*('R&amp;S - Transportation'!$B$16*('R&amp;S - Transportation'!$B$11*('R&amp;S - Transportation'!$B$19+('R&amp;S - Transportation'!$B$20-'R&amp;S - Transportation'!$B$19)*(AX3-$N$3)/10)))</f>
        <v>0</v>
      </c>
      <c r="AY14" s="44">
        <f>AY12*('R&amp;S - Transportation'!$B$16*('R&amp;S - Transportation'!$B$11*('R&amp;S - Transportation'!$B$19+('R&amp;S - Transportation'!$B$20-'R&amp;S - Transportation'!$B$19)*(AY3-$N$3)/10)))</f>
        <v>0</v>
      </c>
      <c r="AZ14" s="44">
        <f>AZ12*('R&amp;S - Transportation'!$B$16*('R&amp;S - Transportation'!$B$11*('R&amp;S - Transportation'!$B$19+('R&amp;S - Transportation'!$B$20-'R&amp;S - Transportation'!$B$19)*(AZ3-$N$3)/10)))</f>
        <v>0</v>
      </c>
      <c r="BA14" s="44">
        <f>BA12*('R&amp;S - Transportation'!$B$16*('R&amp;S - Transportation'!$B$11*('R&amp;S - Transportation'!$B$19+('R&amp;S - Transportation'!$B$20-'R&amp;S - Transportation'!$B$19)*(BA3-$N$3)/10)))</f>
        <v>0</v>
      </c>
      <c r="BB14" s="44">
        <f>BB12*('R&amp;S - Transportation'!$B$16*('R&amp;S - Transportation'!$B$11*('R&amp;S - Transportation'!$B$19+('R&amp;S - Transportation'!$B$20-'R&amp;S - Transportation'!$B$19)*(BB3-$N$3)/10)))</f>
        <v>0</v>
      </c>
      <c r="BC14" s="44">
        <f>BC12*('R&amp;S - Transportation'!$B$16*('R&amp;S - Transportation'!$B$11*('R&amp;S - Transportation'!$B$19+('R&amp;S - Transportation'!$B$20-'R&amp;S - Transportation'!$B$19)*(BC3-$N$3)/10)))</f>
        <v>0</v>
      </c>
      <c r="BD14" s="44">
        <f>BD12*('R&amp;S - Transportation'!$B$16*('R&amp;S - Transportation'!$B$11*('R&amp;S - Transportation'!$B$19+('R&amp;S - Transportation'!$B$20-'R&amp;S - Transportation'!$B$19)*(BD3-$N$3)/10)))</f>
        <v>0</v>
      </c>
      <c r="BE14" s="44">
        <f>BE12*('R&amp;S - Transportation'!$B$16*('R&amp;S - Transportation'!$B$11*('R&amp;S - Transportation'!$B$20+('R&amp;S - Transportation'!$B$21-'R&amp;S - Transportation'!$B$20)*(BE3-$X$3)/10)))</f>
        <v>0</v>
      </c>
      <c r="BF14" s="44">
        <f>BF12*('R&amp;S - Transportation'!$B$16*('R&amp;S - Transportation'!$B$11*('R&amp;S - Transportation'!$B$20+('R&amp;S - Transportation'!$B$21-'R&amp;S - Transportation'!$B$20)*(BF3-$X$3)/10)))</f>
        <v>0</v>
      </c>
      <c r="BG14" s="44">
        <f>BG12*('R&amp;S - Transportation'!$B$16*('R&amp;S - Transportation'!$B$11*('R&amp;S - Transportation'!$B$20+('R&amp;S - Transportation'!$B$21-'R&amp;S - Transportation'!$B$20)*(BG3-$X$3)/10)))</f>
        <v>0</v>
      </c>
      <c r="BH14" s="44">
        <f>BH12*('R&amp;S - Transportation'!$B$16*('R&amp;S - Transportation'!$B$11*('R&amp;S - Transportation'!$B$20+('R&amp;S - Transportation'!$B$21-'R&amp;S - Transportation'!$B$20)*(BH3-$X$3)/10)))</f>
        <v>0</v>
      </c>
      <c r="BI14" s="44">
        <f>BI12*('R&amp;S - Transportation'!$B$16*('R&amp;S - Transportation'!$B$11*('R&amp;S - Transportation'!$B$20+('R&amp;S - Transportation'!$B$21-'R&amp;S - Transportation'!$B$20)*(BI3-$X$3)/10)))</f>
        <v>0</v>
      </c>
      <c r="BJ14" s="44">
        <f>BJ12*('R&amp;S - Transportation'!$B$16*('R&amp;S - Transportation'!$B$11*('R&amp;S - Transportation'!$B$20+('R&amp;S - Transportation'!$B$21-'R&amp;S - Transportation'!$B$20)*(BJ3-$X$3)/10)))</f>
        <v>0</v>
      </c>
      <c r="BK14" s="44">
        <f>BK12*('R&amp;S - Transportation'!$B$16*('R&amp;S - Transportation'!$B$11*('R&amp;S - Transportation'!$B$20+('R&amp;S - Transportation'!$B$21-'R&amp;S - Transportation'!$B$20)*(BK3-$X$3)/10)))</f>
        <v>0</v>
      </c>
      <c r="BL14" s="44">
        <f>BL12*('R&amp;S - Transportation'!$B$16*('R&amp;S - Transportation'!$B$11*('R&amp;S - Transportation'!$B$20+('R&amp;S - Transportation'!$B$21-'R&amp;S - Transportation'!$B$20)*(BL3-$X$3)/10)))</f>
        <v>0</v>
      </c>
      <c r="BM14" s="44">
        <f>BM12*('R&amp;S - Transportation'!$B$16*('R&amp;S - Transportation'!$B$11*('R&amp;S - Transportation'!$B$20+('R&amp;S - Transportation'!$B$21-'R&amp;S - Transportation'!$B$20)*(BM3-$X$3)/10)))</f>
        <v>0</v>
      </c>
      <c r="BN14" s="44">
        <f>BN12*('R&amp;S - Transportation'!$B$16*('R&amp;S - Transportation'!$B$11*('R&amp;S - Transportation'!$B$20+('R&amp;S - Transportation'!$B$21-'R&amp;S - Transportation'!$B$20)*(BN3-$X$3)/10)))</f>
        <v>0</v>
      </c>
      <c r="BR14" t="s">
        <v>53</v>
      </c>
      <c r="BS14" s="44">
        <f>AH4</f>
        <v>25.054959115946328</v>
      </c>
      <c r="BY14" s="30" t="s">
        <v>195</v>
      </c>
      <c r="BZ14" s="137"/>
      <c r="CA14" s="137"/>
      <c r="CB14" s="137"/>
      <c r="CC14" s="137"/>
      <c r="CD14" s="137"/>
      <c r="CE14" s="137"/>
      <c r="CF14" s="143">
        <f>SUM(AH74:AH75)</f>
        <v>0</v>
      </c>
      <c r="CG14" s="137"/>
    </row>
    <row r="15" spans="1:88" outlineLevel="1">
      <c r="B15" s="1" t="s">
        <v>168</v>
      </c>
      <c r="C15" s="54" t="s">
        <v>153</v>
      </c>
      <c r="D15" s="44">
        <f>SUM(D13:D14)</f>
        <v>0</v>
      </c>
      <c r="E15" s="44">
        <f t="shared" ref="E15:AG15" si="14">SUM(E13:E14)</f>
        <v>0</v>
      </c>
      <c r="F15" s="44">
        <f t="shared" si="14"/>
        <v>0</v>
      </c>
      <c r="G15" s="44">
        <f t="shared" si="14"/>
        <v>0</v>
      </c>
      <c r="H15" s="44">
        <f t="shared" si="14"/>
        <v>0</v>
      </c>
      <c r="I15" s="44">
        <f t="shared" si="14"/>
        <v>0</v>
      </c>
      <c r="J15" s="44">
        <f t="shared" si="14"/>
        <v>0</v>
      </c>
      <c r="K15" s="44">
        <f t="shared" si="14"/>
        <v>0</v>
      </c>
      <c r="L15" s="44">
        <f t="shared" si="14"/>
        <v>0</v>
      </c>
      <c r="M15" s="44">
        <f t="shared" si="14"/>
        <v>0</v>
      </c>
      <c r="N15" s="44">
        <f t="shared" si="14"/>
        <v>0</v>
      </c>
      <c r="O15" s="44">
        <f t="shared" si="14"/>
        <v>0</v>
      </c>
      <c r="P15" s="44">
        <f t="shared" si="14"/>
        <v>0</v>
      </c>
      <c r="Q15" s="44">
        <f t="shared" si="14"/>
        <v>0</v>
      </c>
      <c r="R15" s="44">
        <f t="shared" si="14"/>
        <v>0</v>
      </c>
      <c r="S15" s="44">
        <f t="shared" si="14"/>
        <v>0</v>
      </c>
      <c r="T15" s="44">
        <f t="shared" si="14"/>
        <v>0</v>
      </c>
      <c r="U15" s="44">
        <f t="shared" si="14"/>
        <v>0</v>
      </c>
      <c r="V15" s="44">
        <f t="shared" si="14"/>
        <v>0</v>
      </c>
      <c r="W15" s="44">
        <f t="shared" si="14"/>
        <v>0</v>
      </c>
      <c r="X15" s="44">
        <f t="shared" si="14"/>
        <v>0</v>
      </c>
      <c r="Y15" s="44">
        <f t="shared" si="14"/>
        <v>0</v>
      </c>
      <c r="Z15" s="44">
        <f t="shared" si="14"/>
        <v>0</v>
      </c>
      <c r="AA15" s="44">
        <f t="shared" si="14"/>
        <v>0</v>
      </c>
      <c r="AB15" s="44">
        <f t="shared" si="14"/>
        <v>0</v>
      </c>
      <c r="AC15" s="44">
        <f t="shared" si="14"/>
        <v>0</v>
      </c>
      <c r="AD15" s="44">
        <f t="shared" si="14"/>
        <v>0</v>
      </c>
      <c r="AE15" s="44">
        <f t="shared" si="14"/>
        <v>0</v>
      </c>
      <c r="AF15" s="44">
        <f t="shared" si="14"/>
        <v>0</v>
      </c>
      <c r="AG15" s="44">
        <f t="shared" si="14"/>
        <v>0</v>
      </c>
      <c r="AH15" s="44">
        <f>SUM(AH13:AH14)</f>
        <v>0</v>
      </c>
      <c r="AJ15" s="44">
        <f>SUM(AJ13:AJ14)</f>
        <v>0</v>
      </c>
      <c r="AK15" s="44">
        <f t="shared" ref="AK15:BM15" si="15">SUM(AK13:AK14)</f>
        <v>0</v>
      </c>
      <c r="AL15" s="44">
        <f t="shared" si="15"/>
        <v>0</v>
      </c>
      <c r="AM15" s="44">
        <f t="shared" si="15"/>
        <v>0</v>
      </c>
      <c r="AN15" s="44">
        <f t="shared" si="15"/>
        <v>0</v>
      </c>
      <c r="AO15" s="44">
        <f t="shared" si="15"/>
        <v>0</v>
      </c>
      <c r="AP15" s="44">
        <f t="shared" si="15"/>
        <v>0</v>
      </c>
      <c r="AQ15" s="44">
        <f t="shared" si="15"/>
        <v>0</v>
      </c>
      <c r="AR15" s="44">
        <f t="shared" si="15"/>
        <v>0</v>
      </c>
      <c r="AS15" s="44">
        <f t="shared" si="15"/>
        <v>0</v>
      </c>
      <c r="AT15" s="44">
        <f t="shared" si="15"/>
        <v>0</v>
      </c>
      <c r="AU15" s="44">
        <f t="shared" si="15"/>
        <v>0</v>
      </c>
      <c r="AV15" s="44">
        <f t="shared" si="15"/>
        <v>0</v>
      </c>
      <c r="AW15" s="44">
        <f t="shared" si="15"/>
        <v>0</v>
      </c>
      <c r="AX15" s="44">
        <f t="shared" si="15"/>
        <v>0</v>
      </c>
      <c r="AY15" s="44">
        <f t="shared" si="15"/>
        <v>0</v>
      </c>
      <c r="AZ15" s="44">
        <f t="shared" si="15"/>
        <v>0</v>
      </c>
      <c r="BA15" s="44">
        <f t="shared" si="15"/>
        <v>0</v>
      </c>
      <c r="BB15" s="44">
        <f t="shared" si="15"/>
        <v>0</v>
      </c>
      <c r="BC15" s="44">
        <f t="shared" si="15"/>
        <v>0</v>
      </c>
      <c r="BD15" s="44">
        <f t="shared" si="15"/>
        <v>0</v>
      </c>
      <c r="BE15" s="44">
        <f t="shared" si="15"/>
        <v>0</v>
      </c>
      <c r="BF15" s="44">
        <f t="shared" si="15"/>
        <v>0</v>
      </c>
      <c r="BG15" s="44">
        <f t="shared" si="15"/>
        <v>0</v>
      </c>
      <c r="BH15" s="44">
        <f t="shared" si="15"/>
        <v>0</v>
      </c>
      <c r="BI15" s="44">
        <f t="shared" si="15"/>
        <v>0</v>
      </c>
      <c r="BJ15" s="44">
        <f t="shared" si="15"/>
        <v>0</v>
      </c>
      <c r="BK15" s="44">
        <f t="shared" si="15"/>
        <v>0</v>
      </c>
      <c r="BL15" s="44">
        <f t="shared" si="15"/>
        <v>0</v>
      </c>
      <c r="BM15" s="44">
        <f t="shared" si="15"/>
        <v>0</v>
      </c>
      <c r="BN15" s="44">
        <f>SUM(BN13:BN14)</f>
        <v>0</v>
      </c>
      <c r="BY15" s="30" t="s">
        <v>175</v>
      </c>
      <c r="BZ15" s="137"/>
      <c r="CA15" s="143">
        <f>AH4-D4</f>
        <v>10.107590694893696</v>
      </c>
      <c r="CB15" s="137"/>
      <c r="CC15" s="549">
        <f>AH11+AH45</f>
        <v>0</v>
      </c>
      <c r="CD15" s="137"/>
      <c r="CE15" s="137"/>
      <c r="CF15" s="137"/>
      <c r="CG15" s="137"/>
    </row>
    <row r="16" spans="1:88" outlineLevel="1">
      <c r="B16" s="1" t="s">
        <v>172</v>
      </c>
      <c r="C16" s="54" t="s">
        <v>153</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Q16" t="s">
        <v>196</v>
      </c>
      <c r="BR16">
        <v>2020</v>
      </c>
      <c r="BS16">
        <v>2050</v>
      </c>
    </row>
    <row r="17" spans="1:75" outlineLevel="1">
      <c r="B17" s="1" t="s">
        <v>197</v>
      </c>
      <c r="C17" s="65" t="s">
        <v>153</v>
      </c>
      <c r="D17" s="66">
        <f>D12-D15-D16</f>
        <v>8.1566721804511282</v>
      </c>
      <c r="E17" s="66">
        <f t="shared" ref="E17:AH17" si="16">E12-E15-E16</f>
        <v>8.2732337029546006</v>
      </c>
      <c r="F17" s="66">
        <f t="shared" si="16"/>
        <v>8.3914609278704955</v>
      </c>
      <c r="G17" s="66">
        <f t="shared" si="16"/>
        <v>8.511377658632977</v>
      </c>
      <c r="H17" s="66">
        <f t="shared" si="16"/>
        <v>8.6330080388350936</v>
      </c>
      <c r="I17" s="66">
        <f t="shared" si="16"/>
        <v>8.7563765570897623</v>
      </c>
      <c r="J17" s="66">
        <f t="shared" si="16"/>
        <v>8.8815080519602159</v>
      </c>
      <c r="K17" s="66">
        <f t="shared" si="16"/>
        <v>9.0084277169609077</v>
      </c>
      <c r="L17" s="66">
        <f t="shared" si="16"/>
        <v>9.1371611056298843</v>
      </c>
      <c r="M17" s="66">
        <f t="shared" si="16"/>
        <v>9.2677341366736332</v>
      </c>
      <c r="N17" s="66">
        <f t="shared" si="16"/>
        <v>9.4001730991854657</v>
      </c>
      <c r="O17" s="66">
        <f t="shared" si="16"/>
        <v>9.5345046579384665</v>
      </c>
      <c r="P17" s="66">
        <f t="shared" si="16"/>
        <v>9.6707558587540774</v>
      </c>
      <c r="Q17" s="66">
        <f t="shared" si="16"/>
        <v>9.8089541339474042</v>
      </c>
      <c r="R17" s="66">
        <f t="shared" si="16"/>
        <v>9.9491273078503415</v>
      </c>
      <c r="S17" s="66">
        <f t="shared" si="16"/>
        <v>10.091303602413618</v>
      </c>
      <c r="T17" s="66">
        <f t="shared" si="16"/>
        <v>10.235511642888898</v>
      </c>
      <c r="U17" s="66">
        <f t="shared" si="16"/>
        <v>10.381780463592094</v>
      </c>
      <c r="V17" s="66">
        <f t="shared" si="16"/>
        <v>10.530139513749011</v>
      </c>
      <c r="W17" s="66">
        <f t="shared" si="16"/>
        <v>10.680618663424568</v>
      </c>
      <c r="X17" s="66">
        <f t="shared" si="16"/>
        <v>10.833248209536706</v>
      </c>
      <c r="Y17" s="66">
        <f t="shared" si="16"/>
        <v>10.988058881956272</v>
      </c>
      <c r="Z17" s="66">
        <f t="shared" si="16"/>
        <v>11.145081849694051</v>
      </c>
      <c r="AA17" s="66">
        <f t="shared" si="16"/>
        <v>11.304348727176222</v>
      </c>
      <c r="AB17" s="66">
        <f t="shared" si="16"/>
        <v>11.465891580609492</v>
      </c>
      <c r="AC17" s="66">
        <f t="shared" si="16"/>
        <v>11.629742934437182</v>
      </c>
      <c r="AD17" s="66">
        <f t="shared" si="16"/>
        <v>11.795935777887587</v>
      </c>
      <c r="AE17" s="66">
        <f t="shared" si="16"/>
        <v>11.9645035716159</v>
      </c>
      <c r="AF17" s="66">
        <f t="shared" si="16"/>
        <v>12.135480254441056</v>
      </c>
      <c r="AG17" s="66">
        <f t="shared" si="16"/>
        <v>12.308900250178857</v>
      </c>
      <c r="AH17" s="66">
        <f t="shared" si="16"/>
        <v>12.484798474572724</v>
      </c>
      <c r="AJ17" s="66">
        <f>AJ12-AJ15-AJ16</f>
        <v>8.1566721804511282</v>
      </c>
      <c r="AK17" s="66">
        <f t="shared" ref="AK17:BN17" si="17">AK12-AK15-AK16</f>
        <v>8.2732337029546006</v>
      </c>
      <c r="AL17" s="66">
        <f t="shared" si="17"/>
        <v>8.3914609278704955</v>
      </c>
      <c r="AM17" s="66">
        <f t="shared" si="17"/>
        <v>8.511377658632977</v>
      </c>
      <c r="AN17" s="66">
        <f t="shared" si="17"/>
        <v>8.6330080388350936</v>
      </c>
      <c r="AO17" s="66">
        <f t="shared" si="17"/>
        <v>8.7563765570897623</v>
      </c>
      <c r="AP17" s="66">
        <f t="shared" si="17"/>
        <v>8.8815080519602159</v>
      </c>
      <c r="AQ17" s="66">
        <f t="shared" si="17"/>
        <v>9.0084277169609077</v>
      </c>
      <c r="AR17" s="66">
        <f t="shared" si="17"/>
        <v>9.1371611056298843</v>
      </c>
      <c r="AS17" s="66">
        <f t="shared" si="17"/>
        <v>9.2677341366736332</v>
      </c>
      <c r="AT17" s="66">
        <f t="shared" si="17"/>
        <v>9.4001730991854657</v>
      </c>
      <c r="AU17" s="66">
        <f t="shared" si="17"/>
        <v>9.5345046579384665</v>
      </c>
      <c r="AV17" s="66">
        <f t="shared" si="17"/>
        <v>9.6707558587540774</v>
      </c>
      <c r="AW17" s="66">
        <f t="shared" si="17"/>
        <v>9.8089541339474042</v>
      </c>
      <c r="AX17" s="66">
        <f t="shared" si="17"/>
        <v>9.9491273078503415</v>
      </c>
      <c r="AY17" s="66">
        <f t="shared" si="17"/>
        <v>10.091303602413618</v>
      </c>
      <c r="AZ17" s="66">
        <f t="shared" si="17"/>
        <v>10.235511642888898</v>
      </c>
      <c r="BA17" s="66">
        <f t="shared" si="17"/>
        <v>10.381780463592094</v>
      </c>
      <c r="BB17" s="66">
        <f t="shared" si="17"/>
        <v>10.530139513749011</v>
      </c>
      <c r="BC17" s="66">
        <f t="shared" si="17"/>
        <v>10.680618663424568</v>
      </c>
      <c r="BD17" s="66">
        <f t="shared" si="17"/>
        <v>10.833248209536706</v>
      </c>
      <c r="BE17" s="66">
        <f t="shared" si="17"/>
        <v>10.988058881956272</v>
      </c>
      <c r="BF17" s="66">
        <f t="shared" si="17"/>
        <v>11.145081849694051</v>
      </c>
      <c r="BG17" s="66">
        <f t="shared" si="17"/>
        <v>11.304348727176222</v>
      </c>
      <c r="BH17" s="66">
        <f t="shared" si="17"/>
        <v>11.465891580609492</v>
      </c>
      <c r="BI17" s="66">
        <f t="shared" si="17"/>
        <v>11.629742934437182</v>
      </c>
      <c r="BJ17" s="66">
        <f t="shared" si="17"/>
        <v>11.795935777887587</v>
      </c>
      <c r="BK17" s="66">
        <f t="shared" si="17"/>
        <v>11.9645035716159</v>
      </c>
      <c r="BL17" s="66">
        <f t="shared" si="17"/>
        <v>12.135480254441056</v>
      </c>
      <c r="BM17" s="66">
        <f t="shared" si="17"/>
        <v>12.308900250178857</v>
      </c>
      <c r="BN17" s="66">
        <f t="shared" si="17"/>
        <v>12.484798474572724</v>
      </c>
      <c r="BR17" s="44" t="e">
        <f>SUM(D10,D18,D26,D30,#REF!,D36)</f>
        <v>#REF!</v>
      </c>
      <c r="BS17" s="44" t="e">
        <f>SUM(AH10,AH18,AH26,AH30,#REF!,AH36)</f>
        <v>#REF!</v>
      </c>
    </row>
    <row r="18" spans="1:75" s="58" customFormat="1" outlineLevel="1">
      <c r="A18" s="58" t="s">
        <v>198</v>
      </c>
      <c r="B18" s="58" t="s">
        <v>199</v>
      </c>
      <c r="C18" s="100" t="s">
        <v>153</v>
      </c>
      <c r="D18" s="101">
        <f>'Demand Breakdown - C4'!O26</f>
        <v>5.631954887218045E-2</v>
      </c>
      <c r="E18" s="101">
        <f>D18*(1+'Demand Breakdown - C4'!$K$26)</f>
        <v>5.7124373709812576E-2</v>
      </c>
      <c r="F18" s="101">
        <f>E18*(1+'Demand Breakdown - C4'!$K$26)</f>
        <v>5.7940699758520439E-2</v>
      </c>
      <c r="G18" s="101">
        <f>F18*(1+'Demand Breakdown - C4'!$K$26)</f>
        <v>5.8768691374385056E-2</v>
      </c>
      <c r="H18" s="101">
        <f>G18*(1+'Demand Breakdown - C4'!$K$26)</f>
        <v>5.9608515262189764E-2</v>
      </c>
      <c r="I18" s="101">
        <f>H18*(1+'Demand Breakdown - C4'!$K$26)</f>
        <v>6.0460340508983974E-2</v>
      </c>
      <c r="J18" s="101">
        <f>I18*(1+'Demand Breakdown - C4'!$K$26)</f>
        <v>6.1324338618126535E-2</v>
      </c>
      <c r="K18" s="101">
        <f>J18*(1+'Demand Breakdown - C4'!$K$26)</f>
        <v>6.2200683543815569E-2</v>
      </c>
      <c r="L18" s="101">
        <f>K18*(1+'Demand Breakdown - C4'!$K$26)</f>
        <v>6.3089551726111789E-2</v>
      </c>
      <c r="M18" s="101">
        <f>L18*(1+'Demand Breakdown - C4'!$K$26)</f>
        <v>6.3991122126462296E-2</v>
      </c>
      <c r="N18" s="101">
        <f>M18*(1+'Demand Breakdown - C4'!$K$26)</f>
        <v>6.4905576263731973E-2</v>
      </c>
      <c r="O18" s="101">
        <f>N18*(1+'Demand Breakdown - C4'!$K$26)</f>
        <v>6.5833098250749886E-2</v>
      </c>
      <c r="P18" s="101">
        <f>O18*(1+'Demand Breakdown - C4'!$K$26)</f>
        <v>6.6773874831377852E-2</v>
      </c>
      <c r="Q18" s="101">
        <f>P18*(1+'Demand Breakdown - C4'!$K$26)</f>
        <v>6.7728095418108744E-2</v>
      </c>
      <c r="R18" s="101">
        <f>Q18*(1+'Demand Breakdown - C4'!$K$26)</f>
        <v>6.8695952130202145E-2</v>
      </c>
      <c r="S18" s="101">
        <f>R18*(1+'Demand Breakdown - C4'!$K$26)</f>
        <v>6.9677639832364899E-2</v>
      </c>
      <c r="T18" s="101">
        <f>S18*(1+'Demand Breakdown - C4'!$K$26)</f>
        <v>7.0673356173984472E-2</v>
      </c>
      <c r="U18" s="101">
        <f>T18*(1+'Demand Breakdown - C4'!$K$26)</f>
        <v>7.1683301628922946E-2</v>
      </c>
      <c r="V18" s="101">
        <f>U18*(1+'Demand Breakdown - C4'!$K$26)</f>
        <v>7.2707679535879699E-2</v>
      </c>
      <c r="W18" s="101">
        <f>V18*(1+'Demand Breakdown - C4'!$K$26)</f>
        <v>7.3746696139330825E-2</v>
      </c>
      <c r="X18" s="101">
        <f>W18*(1+'Demand Breakdown - C4'!$K$26)</f>
        <v>7.4800560631053711E-2</v>
      </c>
      <c r="Y18" s="101">
        <f>X18*(1+'Demand Breakdown - C4'!$K$26)</f>
        <v>7.5869485192244873E-2</v>
      </c>
      <c r="Z18" s="101">
        <f>Y18*(1+'Demand Breakdown - C4'!$K$26)</f>
        <v>7.6953685036239769E-2</v>
      </c>
      <c r="AA18" s="101">
        <f>Z18*(1+'Demand Breakdown - C4'!$K$26)</f>
        <v>7.805337845184307E-2</v>
      </c>
      <c r="AB18" s="101">
        <f>AA18*(1+'Demand Breakdown - C4'!$K$26)</f>
        <v>7.91687868472781E-2</v>
      </c>
      <c r="AC18" s="101">
        <f>AB18*(1+'Demand Breakdown - C4'!$K$26)</f>
        <v>8.0300134794764347E-2</v>
      </c>
      <c r="AD18" s="101">
        <f>AC18*(1+'Demand Breakdown - C4'!$K$26)</f>
        <v>8.1447650075732042E-2</v>
      </c>
      <c r="AE18" s="101">
        <f>AD18*(1+'Demand Breakdown - C4'!$K$26)</f>
        <v>8.2611563726682796E-2</v>
      </c>
      <c r="AF18" s="101">
        <f>AE18*(1+'Demand Breakdown - C4'!$K$26)</f>
        <v>8.3792110085705668E-2</v>
      </c>
      <c r="AG18" s="101">
        <f>AF18*(1+'Demand Breakdown - C4'!$K$26)</f>
        <v>8.4989526839657908E-2</v>
      </c>
      <c r="AH18" s="101">
        <f>AG18*(1+'Demand Breakdown - C4'!$K$26)</f>
        <v>8.6204055072019975E-2</v>
      </c>
      <c r="AJ18" s="101">
        <f>D18</f>
        <v>5.631954887218045E-2</v>
      </c>
      <c r="AK18" s="101">
        <f t="shared" ref="AK18:BN18" si="18">E18</f>
        <v>5.7124373709812576E-2</v>
      </c>
      <c r="AL18" s="101">
        <f t="shared" si="18"/>
        <v>5.7940699758520439E-2</v>
      </c>
      <c r="AM18" s="101">
        <f t="shared" si="18"/>
        <v>5.8768691374385056E-2</v>
      </c>
      <c r="AN18" s="101">
        <f t="shared" si="18"/>
        <v>5.9608515262189764E-2</v>
      </c>
      <c r="AO18" s="101">
        <f t="shared" si="18"/>
        <v>6.0460340508983974E-2</v>
      </c>
      <c r="AP18" s="101">
        <f t="shared" si="18"/>
        <v>6.1324338618126535E-2</v>
      </c>
      <c r="AQ18" s="101">
        <f t="shared" si="18"/>
        <v>6.2200683543815569E-2</v>
      </c>
      <c r="AR18" s="101">
        <f t="shared" si="18"/>
        <v>6.3089551726111789E-2</v>
      </c>
      <c r="AS18" s="101">
        <f t="shared" si="18"/>
        <v>6.3991122126462296E-2</v>
      </c>
      <c r="AT18" s="101">
        <f t="shared" si="18"/>
        <v>6.4905576263731973E-2</v>
      </c>
      <c r="AU18" s="101">
        <f t="shared" si="18"/>
        <v>6.5833098250749886E-2</v>
      </c>
      <c r="AV18" s="101">
        <f t="shared" si="18"/>
        <v>6.6773874831377852E-2</v>
      </c>
      <c r="AW18" s="101">
        <f t="shared" si="18"/>
        <v>6.7728095418108744E-2</v>
      </c>
      <c r="AX18" s="101">
        <f t="shared" si="18"/>
        <v>6.8695952130202145E-2</v>
      </c>
      <c r="AY18" s="101">
        <f t="shared" si="18"/>
        <v>6.9677639832364899E-2</v>
      </c>
      <c r="AZ18" s="101">
        <f t="shared" si="18"/>
        <v>7.0673356173984472E-2</v>
      </c>
      <c r="BA18" s="101">
        <f t="shared" si="18"/>
        <v>7.1683301628922946E-2</v>
      </c>
      <c r="BB18" s="101">
        <f t="shared" si="18"/>
        <v>7.2707679535879699E-2</v>
      </c>
      <c r="BC18" s="101">
        <f t="shared" si="18"/>
        <v>7.3746696139330825E-2</v>
      </c>
      <c r="BD18" s="101">
        <f t="shared" si="18"/>
        <v>7.4800560631053711E-2</v>
      </c>
      <c r="BE18" s="101">
        <f t="shared" si="18"/>
        <v>7.5869485192244873E-2</v>
      </c>
      <c r="BF18" s="101">
        <f t="shared" si="18"/>
        <v>7.6953685036239769E-2</v>
      </c>
      <c r="BG18" s="101">
        <f t="shared" si="18"/>
        <v>7.805337845184307E-2</v>
      </c>
      <c r="BH18" s="101">
        <f t="shared" si="18"/>
        <v>7.91687868472781E-2</v>
      </c>
      <c r="BI18" s="101">
        <f t="shared" si="18"/>
        <v>8.0300134794764347E-2</v>
      </c>
      <c r="BJ18" s="101">
        <f t="shared" si="18"/>
        <v>8.1447650075732042E-2</v>
      </c>
      <c r="BK18" s="101">
        <f t="shared" si="18"/>
        <v>8.2611563726682796E-2</v>
      </c>
      <c r="BL18" s="101">
        <f t="shared" si="18"/>
        <v>8.3792110085705668E-2</v>
      </c>
      <c r="BM18" s="101">
        <f t="shared" si="18"/>
        <v>8.4989526839657908E-2</v>
      </c>
      <c r="BN18" s="101">
        <f t="shared" si="18"/>
        <v>8.6204055072019975E-2</v>
      </c>
      <c r="BR18" s="101" t="e">
        <f>#REF!</f>
        <v>#REF!</v>
      </c>
      <c r="BS18" s="101" t="e">
        <f>#REF!</f>
        <v>#REF!</v>
      </c>
    </row>
    <row r="19" spans="1:75" outlineLevel="1">
      <c r="B19" s="61" t="s">
        <v>25</v>
      </c>
      <c r="C19" s="54" t="s">
        <v>153</v>
      </c>
      <c r="D19" s="44">
        <v>0</v>
      </c>
      <c r="E19" s="44">
        <f>E18*'R&amp;S - Packaging and hh goods'!$C$7*('R&amp;S - Packaging and hh goods'!$B$14*'R&amp;S - Packaging and hh goods'!$B$19*('Yearly HC Ethylene'!E$3-'Yearly HC Ethylene'!$D$3)/10)</f>
        <v>0</v>
      </c>
      <c r="F19" s="44">
        <f>F18*'R&amp;S - Packaging and hh goods'!$C$7*('R&amp;S - Packaging and hh goods'!$B$14*'R&amp;S - Packaging and hh goods'!$B$19*('Yearly HC Ethylene'!F$3-'Yearly HC Ethylene'!$D$3)/10)</f>
        <v>0</v>
      </c>
      <c r="G19" s="44">
        <f>G18*'R&amp;S - Packaging and hh goods'!$C$7*('R&amp;S - Packaging and hh goods'!$B$14*'R&amp;S - Packaging and hh goods'!$B$19*('Yearly HC Ethylene'!G$3-'Yearly HC Ethylene'!$D$3)/10)</f>
        <v>0</v>
      </c>
      <c r="H19" s="44">
        <f>H18*'R&amp;S - Packaging and hh goods'!$C$7*('R&amp;S - Packaging and hh goods'!$B$14*'R&amp;S - Packaging and hh goods'!$B$19*('Yearly HC Ethylene'!H$3-'Yearly HC Ethylene'!$D$3)/10)</f>
        <v>0</v>
      </c>
      <c r="I19" s="44">
        <f>I18*'R&amp;S - Packaging and hh goods'!$C$7*('R&amp;S - Packaging and hh goods'!$B$14*'R&amp;S - Packaging and hh goods'!$B$19*('Yearly HC Ethylene'!I$3-'Yearly HC Ethylene'!$D$3)/10)</f>
        <v>0</v>
      </c>
      <c r="J19" s="44">
        <f>J18*'R&amp;S - Packaging and hh goods'!$C$7*('R&amp;S - Packaging and hh goods'!$B$14*'R&amp;S - Packaging and hh goods'!$B$19*('Yearly HC Ethylene'!J$3-'Yearly HC Ethylene'!$D$3)/10)</f>
        <v>0</v>
      </c>
      <c r="K19" s="44">
        <f>K18*'R&amp;S - Packaging and hh goods'!$C$7*('R&amp;S - Packaging and hh goods'!$B$14*'R&amp;S - Packaging and hh goods'!$B$19*('Yearly HC Ethylene'!K$3-'Yearly HC Ethylene'!$D$3)/10)</f>
        <v>0</v>
      </c>
      <c r="L19" s="44">
        <f>L18*'R&amp;S - Packaging and hh goods'!$C$7*('R&amp;S - Packaging and hh goods'!$B$14*'R&amp;S - Packaging and hh goods'!$B$19*('Yearly HC Ethylene'!L$3-'Yearly HC Ethylene'!$D$3)/10)</f>
        <v>0</v>
      </c>
      <c r="M19" s="44">
        <f>M18*'R&amp;S - Packaging and hh goods'!$C$7*('R&amp;S - Packaging and hh goods'!$B$14*'R&amp;S - Packaging and hh goods'!$B$19*('Yearly HC Ethylene'!M$3-'Yearly HC Ethylene'!$D$3)/10)</f>
        <v>0</v>
      </c>
      <c r="N19" s="44">
        <f>N18*'R&amp;S - Packaging and hh goods'!$C$7*('R&amp;S - Packaging and hh goods'!$B$14*'R&amp;S - Packaging and hh goods'!$B$19*('Yearly HC Ethylene'!N$3-'Yearly HC Ethylene'!$D$3)/10)</f>
        <v>0</v>
      </c>
      <c r="O19" s="44">
        <f>O18*'R&amp;S - Packaging and hh goods'!$C$7*('R&amp;S - Packaging and hh goods'!$B$14*('R&amp;S - Packaging and hh goods'!$B$19+('R&amp;S - Packaging and hh goods'!$B$20-'R&amp;S - Packaging and hh goods'!$B$19)*('Yearly HC Ethylene'!O$3-'Yearly HC Ethylene'!$N$3)/10))</f>
        <v>0</v>
      </c>
      <c r="P19" s="44">
        <f>P18*'R&amp;S - Packaging and hh goods'!$C$7*('R&amp;S - Packaging and hh goods'!$B$14*('R&amp;S - Packaging and hh goods'!$B$19+('R&amp;S - Packaging and hh goods'!$B$20-'R&amp;S - Packaging and hh goods'!$B$19)*('Yearly HC Ethylene'!P$3-'Yearly HC Ethylene'!$N$3)/10))</f>
        <v>0</v>
      </c>
      <c r="Q19" s="44">
        <f>Q18*'R&amp;S - Packaging and hh goods'!$C$7*('R&amp;S - Packaging and hh goods'!$B$14*('R&amp;S - Packaging and hh goods'!$B$19+('R&amp;S - Packaging and hh goods'!$B$20-'R&amp;S - Packaging and hh goods'!$B$19)*('Yearly HC Ethylene'!Q$3-'Yearly HC Ethylene'!$N$3)/10))</f>
        <v>0</v>
      </c>
      <c r="R19" s="44">
        <f>R18*'R&amp;S - Packaging and hh goods'!$C$7*('R&amp;S - Packaging and hh goods'!$B$14*('R&amp;S - Packaging and hh goods'!$B$19+('R&amp;S - Packaging and hh goods'!$B$20-'R&amp;S - Packaging and hh goods'!$B$19)*('Yearly HC Ethylene'!R$3-'Yearly HC Ethylene'!$N$3)/10))</f>
        <v>0</v>
      </c>
      <c r="S19" s="44">
        <f>S18*'R&amp;S - Packaging and hh goods'!$C$7*('R&amp;S - Packaging and hh goods'!$B$14*('R&amp;S - Packaging and hh goods'!$B$19+('R&amp;S - Packaging and hh goods'!$B$20-'R&amp;S - Packaging and hh goods'!$B$19)*('Yearly HC Ethylene'!S$3-'Yearly HC Ethylene'!$N$3)/10))</f>
        <v>0</v>
      </c>
      <c r="T19" s="44">
        <f>T18*'R&amp;S - Packaging and hh goods'!$C$7*('R&amp;S - Packaging and hh goods'!$B$14*('R&amp;S - Packaging and hh goods'!$B$19+('R&amp;S - Packaging and hh goods'!$B$20-'R&amp;S - Packaging and hh goods'!$B$19)*('Yearly HC Ethylene'!T$3-'Yearly HC Ethylene'!$N$3)/10))</f>
        <v>0</v>
      </c>
      <c r="U19" s="44">
        <f>U18*'R&amp;S - Packaging and hh goods'!$C$7*('R&amp;S - Packaging and hh goods'!$B$14*('R&amp;S - Packaging and hh goods'!$B$19+('R&amp;S - Packaging and hh goods'!$B$20-'R&amp;S - Packaging and hh goods'!$B$19)*('Yearly HC Ethylene'!U$3-'Yearly HC Ethylene'!$N$3)/10))</f>
        <v>0</v>
      </c>
      <c r="V19" s="44">
        <f>V18*'R&amp;S - Packaging and hh goods'!$C$7*('R&amp;S - Packaging and hh goods'!$B$14*('R&amp;S - Packaging and hh goods'!$B$19+('R&amp;S - Packaging and hh goods'!$B$20-'R&amp;S - Packaging and hh goods'!$B$19)*('Yearly HC Ethylene'!V$3-'Yearly HC Ethylene'!$N$3)/10))</f>
        <v>0</v>
      </c>
      <c r="W19" s="44">
        <f>W18*'R&amp;S - Packaging and hh goods'!$C$7*('R&amp;S - Packaging and hh goods'!$B$14*('R&amp;S - Packaging and hh goods'!$B$19+('R&amp;S - Packaging and hh goods'!$B$20-'R&amp;S - Packaging and hh goods'!$B$19)*('Yearly HC Ethylene'!W$3-'Yearly HC Ethylene'!$N$3)/10))</f>
        <v>0</v>
      </c>
      <c r="X19" s="44">
        <f>X18*'R&amp;S - Packaging and hh goods'!$C$7*('R&amp;S - Packaging and hh goods'!$B$14*('R&amp;S - Packaging and hh goods'!$B$19+('R&amp;S - Packaging and hh goods'!$B$20-'R&amp;S - Packaging and hh goods'!$B$19)*('Yearly HC Ethylene'!X$3-'Yearly HC Ethylene'!$N$3)/10))</f>
        <v>0</v>
      </c>
      <c r="Y19" s="44">
        <f>Y18*'R&amp;S - Packaging and hh goods'!$C$7*('R&amp;S - Packaging and hh goods'!$B$14*('R&amp;S - Packaging and hh goods'!$B$20+('R&amp;S - Packaging and hh goods'!$B$21-'R&amp;S - Packaging and hh goods'!$B$20)*('Yearly HC Ethylene'!Y$3-'Yearly HC Ethylene'!$X$3)/10))</f>
        <v>0</v>
      </c>
      <c r="Z19" s="44">
        <f>Z18*'R&amp;S - Packaging and hh goods'!$C$7*('R&amp;S - Packaging and hh goods'!$B$14*('R&amp;S - Packaging and hh goods'!$B$20+('R&amp;S - Packaging and hh goods'!$B$21-'R&amp;S - Packaging and hh goods'!$B$20)*('Yearly HC Ethylene'!Z$3-'Yearly HC Ethylene'!$X$3)/10))</f>
        <v>0</v>
      </c>
      <c r="AA19" s="44">
        <f>AA18*'R&amp;S - Packaging and hh goods'!$C$7*('R&amp;S - Packaging and hh goods'!$B$14*('R&amp;S - Packaging and hh goods'!$B$20+('R&amp;S - Packaging and hh goods'!$B$21-'R&amp;S - Packaging and hh goods'!$B$20)*('Yearly HC Ethylene'!AA$3-'Yearly HC Ethylene'!$X$3)/10))</f>
        <v>0</v>
      </c>
      <c r="AB19" s="44">
        <f>AB18*'R&amp;S - Packaging and hh goods'!$C$7*('R&amp;S - Packaging and hh goods'!$B$14*('R&amp;S - Packaging and hh goods'!$B$20+('R&amp;S - Packaging and hh goods'!$B$21-'R&amp;S - Packaging and hh goods'!$B$20)*('Yearly HC Ethylene'!AB$3-'Yearly HC Ethylene'!$X$3)/10))</f>
        <v>0</v>
      </c>
      <c r="AC19" s="44">
        <f>AC18*'R&amp;S - Packaging and hh goods'!$C$7*('R&amp;S - Packaging and hh goods'!$B$14*('R&amp;S - Packaging and hh goods'!$B$20+('R&amp;S - Packaging and hh goods'!$B$21-'R&amp;S - Packaging and hh goods'!$B$20)*('Yearly HC Ethylene'!AC$3-'Yearly HC Ethylene'!$X$3)/10))</f>
        <v>0</v>
      </c>
      <c r="AD19" s="44">
        <f>AD18*'R&amp;S - Packaging and hh goods'!$C$7*('R&amp;S - Packaging and hh goods'!$B$14*('R&amp;S - Packaging and hh goods'!$B$20+('R&amp;S - Packaging and hh goods'!$B$21-'R&amp;S - Packaging and hh goods'!$B$20)*('Yearly HC Ethylene'!AD$3-'Yearly HC Ethylene'!$X$3)/10))</f>
        <v>0</v>
      </c>
      <c r="AE19" s="44">
        <f>AE18*'R&amp;S - Packaging and hh goods'!$C$7*('R&amp;S - Packaging and hh goods'!$B$14*('R&amp;S - Packaging and hh goods'!$B$20+('R&amp;S - Packaging and hh goods'!$B$21-'R&amp;S - Packaging and hh goods'!$B$20)*('Yearly HC Ethylene'!AE$3-'Yearly HC Ethylene'!$X$3)/10))</f>
        <v>0</v>
      </c>
      <c r="AF19" s="44">
        <f>AF18*'R&amp;S - Packaging and hh goods'!$C$7*('R&amp;S - Packaging and hh goods'!$B$14*('R&amp;S - Packaging and hh goods'!$B$20+('R&amp;S - Packaging and hh goods'!$B$21-'R&amp;S - Packaging and hh goods'!$B$20)*('Yearly HC Ethylene'!AF$3-'Yearly HC Ethylene'!$X$3)/10))</f>
        <v>0</v>
      </c>
      <c r="AG19" s="44">
        <f>AG18*'R&amp;S - Packaging and hh goods'!$C$7*('R&amp;S - Packaging and hh goods'!$B$14*('R&amp;S - Packaging and hh goods'!$B$20+('R&amp;S - Packaging and hh goods'!$B$21-'R&amp;S - Packaging and hh goods'!$B$20)*('Yearly HC Ethylene'!AG$3-'Yearly HC Ethylene'!$X$3)/10))</f>
        <v>0</v>
      </c>
      <c r="AH19" s="44">
        <f>AH18*'R&amp;S - Packaging and hh goods'!$C$7*('R&amp;S - Packaging and hh goods'!$B$14*('R&amp;S - Packaging and hh goods'!$B$20+('R&amp;S - Packaging and hh goods'!$B$21-'R&amp;S - Packaging and hh goods'!$B$20)*('Yearly HC Ethylene'!AH$3-'Yearly HC Ethylene'!$X$3)/10))</f>
        <v>0</v>
      </c>
      <c r="AJ19" s="44">
        <v>0</v>
      </c>
      <c r="AK19" s="44">
        <f>AK18*'R&amp;S - Packaging and hh goods'!$C$7*('R&amp;S - Packaging and hh goods'!$B$15*'R&amp;S - Packaging and hh goods'!$B$19*(AK$3-$D$3)/10)</f>
        <v>0</v>
      </c>
      <c r="AL19" s="44">
        <f>AL18*'R&amp;S - Packaging and hh goods'!$C$7*('R&amp;S - Packaging and hh goods'!$B$15*'R&amp;S - Packaging and hh goods'!$B$19*(AL$3-$D$3)/10)</f>
        <v>0</v>
      </c>
      <c r="AM19" s="44">
        <f>AM18*'R&amp;S - Packaging and hh goods'!$C$7*('R&amp;S - Packaging and hh goods'!$B$15*'R&amp;S - Packaging and hh goods'!$B$19*(AM$3-$D$3)/10)</f>
        <v>0</v>
      </c>
      <c r="AN19" s="44">
        <f>AN18*'R&amp;S - Packaging and hh goods'!$C$7*('R&amp;S - Packaging and hh goods'!$B$15*'R&amp;S - Packaging and hh goods'!$B$19*(AN$3-$D$3)/10)</f>
        <v>0</v>
      </c>
      <c r="AO19" s="44">
        <f>AO18*'R&amp;S - Packaging and hh goods'!$C$7*('R&amp;S - Packaging and hh goods'!$B$15*'R&amp;S - Packaging and hh goods'!$B$19*(AO$3-$D$3)/10)</f>
        <v>0</v>
      </c>
      <c r="AP19" s="44">
        <f>AP18*'R&amp;S - Packaging and hh goods'!$C$7*('R&amp;S - Packaging and hh goods'!$B$15*'R&amp;S - Packaging and hh goods'!$B$19*(AP$3-$D$3)/10)</f>
        <v>0</v>
      </c>
      <c r="AQ19" s="44">
        <f>AQ18*'R&amp;S - Packaging and hh goods'!$C$7*('R&amp;S - Packaging and hh goods'!$B$15*'R&amp;S - Packaging and hh goods'!$B$19*(AQ$3-$D$3)/10)</f>
        <v>0</v>
      </c>
      <c r="AR19" s="44">
        <f>AR18*'R&amp;S - Packaging and hh goods'!$C$7*('R&amp;S - Packaging and hh goods'!$B$15*'R&amp;S - Packaging and hh goods'!$B$19*(AR$3-$D$3)/10)</f>
        <v>0</v>
      </c>
      <c r="AS19" s="44">
        <f>AS18*'R&amp;S - Packaging and hh goods'!$C$7*('R&amp;S - Packaging and hh goods'!$B$15*'R&amp;S - Packaging and hh goods'!$B$19*(AS$3-$D$3)/10)</f>
        <v>0</v>
      </c>
      <c r="AT19" s="44">
        <f>AT18*'R&amp;S - Packaging and hh goods'!$C$7*('R&amp;S - Packaging and hh goods'!$B$15*'R&amp;S - Packaging and hh goods'!$B$19*(AT$3-$D$3)/10)</f>
        <v>0</v>
      </c>
      <c r="AU19" s="44">
        <f>AU18*'R&amp;S - Packaging and hh goods'!$C$7*('R&amp;S - Packaging and hh goods'!$B$15*('R&amp;S - Packaging and hh goods'!$B$19+('R&amp;S - Packaging and hh goods'!$B$20-'R&amp;S - Packaging and hh goods'!$B$19)*(AU$3-$N$3)/10))</f>
        <v>0</v>
      </c>
      <c r="AV19" s="44">
        <f>AV18*'R&amp;S - Packaging and hh goods'!$C$7*('R&amp;S - Packaging and hh goods'!$B$15*('R&amp;S - Packaging and hh goods'!$B$19+('R&amp;S - Packaging and hh goods'!$B$20-'R&amp;S - Packaging and hh goods'!$B$19)*(AV$3-$N$3)/10))</f>
        <v>0</v>
      </c>
      <c r="AW19" s="44">
        <f>AW18*'R&amp;S - Packaging and hh goods'!$C$7*('R&amp;S - Packaging and hh goods'!$B$15*('R&amp;S - Packaging and hh goods'!$B$19+('R&amp;S - Packaging and hh goods'!$B$20-'R&amp;S - Packaging and hh goods'!$B$19)*(AW$3-$N$3)/10))</f>
        <v>0</v>
      </c>
      <c r="AX19" s="44">
        <f>AX18*'R&amp;S - Packaging and hh goods'!$C$7*('R&amp;S - Packaging and hh goods'!$B$15*('R&amp;S - Packaging and hh goods'!$B$19+('R&amp;S - Packaging and hh goods'!$B$20-'R&amp;S - Packaging and hh goods'!$B$19)*(AX$3-$N$3)/10))</f>
        <v>0</v>
      </c>
      <c r="AY19" s="44">
        <f>AY18*'R&amp;S - Packaging and hh goods'!$C$7*('R&amp;S - Packaging and hh goods'!$B$15*('R&amp;S - Packaging and hh goods'!$B$19+('R&amp;S - Packaging and hh goods'!$B$20-'R&amp;S - Packaging and hh goods'!$B$19)*(AY$3-$N$3)/10))</f>
        <v>0</v>
      </c>
      <c r="AZ19" s="44">
        <f>AZ18*'R&amp;S - Packaging and hh goods'!$C$7*('R&amp;S - Packaging and hh goods'!$B$15*('R&amp;S - Packaging and hh goods'!$B$19+('R&amp;S - Packaging and hh goods'!$B$20-'R&amp;S - Packaging and hh goods'!$B$19)*(AZ$3-$N$3)/10))</f>
        <v>0</v>
      </c>
      <c r="BA19" s="44">
        <f>BA18*'R&amp;S - Packaging and hh goods'!$C$7*('R&amp;S - Packaging and hh goods'!$B$15*('R&amp;S - Packaging and hh goods'!$B$19+('R&amp;S - Packaging and hh goods'!$B$20-'R&amp;S - Packaging and hh goods'!$B$19)*(BA$3-$N$3)/10))</f>
        <v>0</v>
      </c>
      <c r="BB19" s="44">
        <f>BB18*'R&amp;S - Packaging and hh goods'!$C$7*('R&amp;S - Packaging and hh goods'!$B$15*('R&amp;S - Packaging and hh goods'!$B$19+('R&amp;S - Packaging and hh goods'!$B$20-'R&amp;S - Packaging and hh goods'!$B$19)*(BB$3-$N$3)/10))</f>
        <v>0</v>
      </c>
      <c r="BC19" s="44">
        <f>BC18*'R&amp;S - Packaging and hh goods'!$C$7*('R&amp;S - Packaging and hh goods'!$B$15*('R&amp;S - Packaging and hh goods'!$B$19+('R&amp;S - Packaging and hh goods'!$B$20-'R&amp;S - Packaging and hh goods'!$B$19)*(BC$3-$N$3)/10))</f>
        <v>0</v>
      </c>
      <c r="BD19" s="44">
        <f>BD18*'R&amp;S - Packaging and hh goods'!$C$7*('R&amp;S - Packaging and hh goods'!$B$15*('R&amp;S - Packaging and hh goods'!$B$19+('R&amp;S - Packaging and hh goods'!$B$20-'R&amp;S - Packaging and hh goods'!$B$19)*(BD$3-$N$3)/10))</f>
        <v>0</v>
      </c>
      <c r="BE19" s="44">
        <f>BE18*'R&amp;S - Packaging and hh goods'!$C$7*('R&amp;S - Packaging and hh goods'!$B$15*('R&amp;S - Packaging and hh goods'!$B$20+('R&amp;S - Packaging and hh goods'!$B$21-'R&amp;S - Packaging and hh goods'!$B$20)*(BE$3-$X$3)/10))</f>
        <v>0</v>
      </c>
      <c r="BF19" s="44">
        <f>BF18*'R&amp;S - Packaging and hh goods'!$C$7*('R&amp;S - Packaging and hh goods'!$B$15*('R&amp;S - Packaging and hh goods'!$B$20+('R&amp;S - Packaging and hh goods'!$B$21-'R&amp;S - Packaging and hh goods'!$B$20)*(BF$3-$X$3)/10))</f>
        <v>0</v>
      </c>
      <c r="BG19" s="44">
        <f>BG18*'R&amp;S - Packaging and hh goods'!$C$7*('R&amp;S - Packaging and hh goods'!$B$15*('R&amp;S - Packaging and hh goods'!$B$20+('R&amp;S - Packaging and hh goods'!$B$21-'R&amp;S - Packaging and hh goods'!$B$20)*(BG$3-$X$3)/10))</f>
        <v>0</v>
      </c>
      <c r="BH19" s="44">
        <f>BH18*'R&amp;S - Packaging and hh goods'!$C$7*('R&amp;S - Packaging and hh goods'!$B$15*('R&amp;S - Packaging and hh goods'!$B$20+('R&amp;S - Packaging and hh goods'!$B$21-'R&amp;S - Packaging and hh goods'!$B$20)*(BH$3-$X$3)/10))</f>
        <v>0</v>
      </c>
      <c r="BI19" s="44">
        <f>BI18*'R&amp;S - Packaging and hh goods'!$C$7*('R&amp;S - Packaging and hh goods'!$B$15*('R&amp;S - Packaging and hh goods'!$B$20+('R&amp;S - Packaging and hh goods'!$B$21-'R&amp;S - Packaging and hh goods'!$B$20)*(BI$3-$X$3)/10))</f>
        <v>0</v>
      </c>
      <c r="BJ19" s="44">
        <f>BJ18*'R&amp;S - Packaging and hh goods'!$C$7*('R&amp;S - Packaging and hh goods'!$B$15*('R&amp;S - Packaging and hh goods'!$B$20+('R&amp;S - Packaging and hh goods'!$B$21-'R&amp;S - Packaging and hh goods'!$B$20)*(BJ$3-$X$3)/10))</f>
        <v>0</v>
      </c>
      <c r="BK19" s="44">
        <f>BK18*'R&amp;S - Packaging and hh goods'!$C$7*('R&amp;S - Packaging and hh goods'!$B$15*('R&amp;S - Packaging and hh goods'!$B$20+('R&amp;S - Packaging and hh goods'!$B$21-'R&amp;S - Packaging and hh goods'!$B$20)*(BK$3-$X$3)/10))</f>
        <v>0</v>
      </c>
      <c r="BL19" s="44">
        <f>BL18*'R&amp;S - Packaging and hh goods'!$C$7*('R&amp;S - Packaging and hh goods'!$B$15*('R&amp;S - Packaging and hh goods'!$B$20+('R&amp;S - Packaging and hh goods'!$B$21-'R&amp;S - Packaging and hh goods'!$B$20)*(BL$3-$X$3)/10))</f>
        <v>0</v>
      </c>
      <c r="BM19" s="44">
        <f>BM18*'R&amp;S - Packaging and hh goods'!$C$7*('R&amp;S - Packaging and hh goods'!$B$15*('R&amp;S - Packaging and hh goods'!$B$20+('R&amp;S - Packaging and hh goods'!$B$21-'R&amp;S - Packaging and hh goods'!$B$20)*(BM$3-$X$3)/10))</f>
        <v>0</v>
      </c>
      <c r="BN19" s="44">
        <f>BN18*'R&amp;S - Packaging and hh goods'!$C$7*('R&amp;S - Packaging and hh goods'!$B$15*('R&amp;S - Packaging and hh goods'!$B$20+('R&amp;S - Packaging and hh goods'!$B$21-'R&amp;S - Packaging and hh goods'!$B$20)*(BN$3-$X$3)/10))</f>
        <v>0</v>
      </c>
    </row>
    <row r="20" spans="1:75" outlineLevel="1">
      <c r="B20" s="61" t="s">
        <v>200</v>
      </c>
      <c r="C20" s="54" t="s">
        <v>153</v>
      </c>
      <c r="D20" s="44">
        <v>0</v>
      </c>
      <c r="E20" s="44">
        <f>E18*'R&amp;S - Packaging and hh goods'!$C$8*('R&amp;S - Packaging and hh goods'!$B$14*'R&amp;S - Packaging and hh goods'!$C$19*('Yearly HC Ethylene'!E$3-'Yearly HC Ethylene'!$D$3)/10)</f>
        <v>0</v>
      </c>
      <c r="F20" s="44">
        <f>F18*'R&amp;S - Packaging and hh goods'!$C$8*('R&amp;S - Packaging and hh goods'!$B$14*'R&amp;S - Packaging and hh goods'!$C$19*('Yearly HC Ethylene'!F$3-'Yearly HC Ethylene'!$D$3)/10)</f>
        <v>0</v>
      </c>
      <c r="G20" s="44">
        <f>G18*'R&amp;S - Packaging and hh goods'!$C$8*('R&amp;S - Packaging and hh goods'!$B$14*'R&amp;S - Packaging and hh goods'!$C$19*('Yearly HC Ethylene'!G$3-'Yearly HC Ethylene'!$D$3)/10)</f>
        <v>0</v>
      </c>
      <c r="H20" s="44">
        <f>H18*'R&amp;S - Packaging and hh goods'!$C$8*('R&amp;S - Packaging and hh goods'!$B$14*'R&amp;S - Packaging and hh goods'!$C$19*('Yearly HC Ethylene'!H$3-'Yearly HC Ethylene'!$D$3)/10)</f>
        <v>0</v>
      </c>
      <c r="I20" s="44">
        <f>I18*'R&amp;S - Packaging and hh goods'!$C$8*('R&amp;S - Packaging and hh goods'!$B$14*'R&amp;S - Packaging and hh goods'!$C$19*('Yearly HC Ethylene'!I$3-'Yearly HC Ethylene'!$D$3)/10)</f>
        <v>0</v>
      </c>
      <c r="J20" s="44">
        <f>J18*'R&amp;S - Packaging and hh goods'!$C$8*('R&amp;S - Packaging and hh goods'!$B$14*'R&amp;S - Packaging and hh goods'!$C$19*('Yearly HC Ethylene'!J$3-'Yearly HC Ethylene'!$D$3)/10)</f>
        <v>0</v>
      </c>
      <c r="K20" s="44">
        <f>K18*'R&amp;S - Packaging and hh goods'!$C$8*('R&amp;S - Packaging and hh goods'!$B$14*'R&amp;S - Packaging and hh goods'!$C$19*('Yearly HC Ethylene'!K$3-'Yearly HC Ethylene'!$D$3)/10)</f>
        <v>0</v>
      </c>
      <c r="L20" s="44">
        <f>L18*'R&amp;S - Packaging and hh goods'!$C$8*('R&amp;S - Packaging and hh goods'!$B$14*'R&amp;S - Packaging and hh goods'!$C$19*('Yearly HC Ethylene'!L$3-'Yearly HC Ethylene'!$D$3)/10)</f>
        <v>0</v>
      </c>
      <c r="M20" s="44">
        <f>M18*'R&amp;S - Packaging and hh goods'!$C$8*('R&amp;S - Packaging and hh goods'!$B$14*'R&amp;S - Packaging and hh goods'!$C$19*('Yearly HC Ethylene'!M$3-'Yearly HC Ethylene'!$D$3)/10)</f>
        <v>0</v>
      </c>
      <c r="N20" s="44">
        <f>N18*'R&amp;S - Packaging and hh goods'!$C$8*('R&amp;S - Packaging and hh goods'!$B$14*'R&amp;S - Packaging and hh goods'!$C$19*('Yearly HC Ethylene'!N$3-'Yearly HC Ethylene'!$D$3)/10)</f>
        <v>0</v>
      </c>
      <c r="O20" s="44">
        <f>O18*'R&amp;S - Packaging and hh goods'!$C$8*('R&amp;S - Packaging and hh goods'!$B$14*('R&amp;S - Packaging and hh goods'!$C$19+('R&amp;S - Packaging and hh goods'!$C$20-'R&amp;S - Packaging and hh goods'!$C$19)*('Yearly HC Ethylene'!O$3-'Yearly HC Ethylene'!$N$3)/10))</f>
        <v>0</v>
      </c>
      <c r="P20" s="44">
        <f>P18*'R&amp;S - Packaging and hh goods'!$C$8*('R&amp;S - Packaging and hh goods'!$B$14*('R&amp;S - Packaging and hh goods'!$C$19+('R&amp;S - Packaging and hh goods'!$C$20-'R&amp;S - Packaging and hh goods'!$C$19)*('Yearly HC Ethylene'!P$3-'Yearly HC Ethylene'!$N$3)/10))</f>
        <v>0</v>
      </c>
      <c r="Q20" s="44">
        <f>Q18*'R&amp;S - Packaging and hh goods'!$C$8*('R&amp;S - Packaging and hh goods'!$B$14*('R&amp;S - Packaging and hh goods'!$C$19+('R&amp;S - Packaging and hh goods'!$C$20-'R&amp;S - Packaging and hh goods'!$C$19)*('Yearly HC Ethylene'!Q$3-'Yearly HC Ethylene'!$N$3)/10))</f>
        <v>0</v>
      </c>
      <c r="R20" s="44">
        <f>R18*'R&amp;S - Packaging and hh goods'!$C$8*('R&amp;S - Packaging and hh goods'!$B$14*('R&amp;S - Packaging and hh goods'!$C$19+('R&amp;S - Packaging and hh goods'!$C$20-'R&amp;S - Packaging and hh goods'!$C$19)*('Yearly HC Ethylene'!R$3-'Yearly HC Ethylene'!$N$3)/10))</f>
        <v>0</v>
      </c>
      <c r="S20" s="44">
        <f>S18*'R&amp;S - Packaging and hh goods'!$C$8*('R&amp;S - Packaging and hh goods'!$B$14*('R&amp;S - Packaging and hh goods'!$C$19+('R&amp;S - Packaging and hh goods'!$C$20-'R&amp;S - Packaging and hh goods'!$C$19)*('Yearly HC Ethylene'!S$3-'Yearly HC Ethylene'!$N$3)/10))</f>
        <v>0</v>
      </c>
      <c r="T20" s="44">
        <f>T18*'R&amp;S - Packaging and hh goods'!$C$8*('R&amp;S - Packaging and hh goods'!$B$14*('R&amp;S - Packaging and hh goods'!$C$19+('R&amp;S - Packaging and hh goods'!$C$20-'R&amp;S - Packaging and hh goods'!$C$19)*('Yearly HC Ethylene'!T$3-'Yearly HC Ethylene'!$N$3)/10))</f>
        <v>0</v>
      </c>
      <c r="U20" s="44">
        <f>U18*'R&amp;S - Packaging and hh goods'!$C$8*('R&amp;S - Packaging and hh goods'!$B$14*('R&amp;S - Packaging and hh goods'!$C$19+('R&amp;S - Packaging and hh goods'!$C$20-'R&amp;S - Packaging and hh goods'!$C$19)*('Yearly HC Ethylene'!U$3-'Yearly HC Ethylene'!$N$3)/10))</f>
        <v>0</v>
      </c>
      <c r="V20" s="44">
        <f>V18*'R&amp;S - Packaging and hh goods'!$C$8*('R&amp;S - Packaging and hh goods'!$B$14*('R&amp;S - Packaging and hh goods'!$C$19+('R&amp;S - Packaging and hh goods'!$C$20-'R&amp;S - Packaging and hh goods'!$C$19)*('Yearly HC Ethylene'!V$3-'Yearly HC Ethylene'!$N$3)/10))</f>
        <v>0</v>
      </c>
      <c r="W20" s="44">
        <f>W18*'R&amp;S - Packaging and hh goods'!$C$8*('R&amp;S - Packaging and hh goods'!$B$14*('R&amp;S - Packaging and hh goods'!$C$19+('R&amp;S - Packaging and hh goods'!$C$20-'R&amp;S - Packaging and hh goods'!$C$19)*('Yearly HC Ethylene'!W$3-'Yearly HC Ethylene'!$N$3)/10))</f>
        <v>0</v>
      </c>
      <c r="X20" s="44">
        <f>X18*'R&amp;S - Packaging and hh goods'!$C$8*('R&amp;S - Packaging and hh goods'!$B$14*('R&amp;S - Packaging and hh goods'!$C$19+('R&amp;S - Packaging and hh goods'!$C$20-'R&amp;S - Packaging and hh goods'!$C$19)*('Yearly HC Ethylene'!X$3-'Yearly HC Ethylene'!$N$3)/10))</f>
        <v>0</v>
      </c>
      <c r="Y20" s="44">
        <f>Y18*'R&amp;S - Packaging and hh goods'!$C$8*('R&amp;S - Packaging and hh goods'!$B$14*('R&amp;S - Packaging and hh goods'!$C$20+('R&amp;S - Packaging and hh goods'!$C$21-'R&amp;S - Packaging and hh goods'!$C$20)*('Yearly HC Ethylene'!Y$3-'Yearly HC Ethylene'!$X$3)/10))</f>
        <v>0</v>
      </c>
      <c r="Z20" s="44">
        <f>Z18*'R&amp;S - Packaging and hh goods'!$C$8*('R&amp;S - Packaging and hh goods'!$B$14*('R&amp;S - Packaging and hh goods'!$C$20+('R&amp;S - Packaging and hh goods'!$C$21-'R&amp;S - Packaging and hh goods'!$C$20)*('Yearly HC Ethylene'!Z$3-'Yearly HC Ethylene'!$X$3)/10))</f>
        <v>0</v>
      </c>
      <c r="AA20" s="44">
        <f>AA18*'R&amp;S - Packaging and hh goods'!$C$8*('R&amp;S - Packaging and hh goods'!$B$14*('R&amp;S - Packaging and hh goods'!$C$20+('R&amp;S - Packaging and hh goods'!$C$21-'R&amp;S - Packaging and hh goods'!$C$20)*('Yearly HC Ethylene'!AA$3-'Yearly HC Ethylene'!$X$3)/10))</f>
        <v>0</v>
      </c>
      <c r="AB20" s="44">
        <f>AB18*'R&amp;S - Packaging and hh goods'!$C$8*('R&amp;S - Packaging and hh goods'!$B$14*('R&amp;S - Packaging and hh goods'!$C$20+('R&amp;S - Packaging and hh goods'!$C$21-'R&amp;S - Packaging and hh goods'!$C$20)*('Yearly HC Ethylene'!AB$3-'Yearly HC Ethylene'!$X$3)/10))</f>
        <v>0</v>
      </c>
      <c r="AC20" s="44">
        <f>AC18*'R&amp;S - Packaging and hh goods'!$C$8*('R&amp;S - Packaging and hh goods'!$B$14*('R&amp;S - Packaging and hh goods'!$C$20+('R&amp;S - Packaging and hh goods'!$C$21-'R&amp;S - Packaging and hh goods'!$C$20)*('Yearly HC Ethylene'!AC$3-'Yearly HC Ethylene'!$X$3)/10))</f>
        <v>0</v>
      </c>
      <c r="AD20" s="44">
        <f>AD18*'R&amp;S - Packaging and hh goods'!$C$8*('R&amp;S - Packaging and hh goods'!$B$14*('R&amp;S - Packaging and hh goods'!$C$20+('R&amp;S - Packaging and hh goods'!$C$21-'R&amp;S - Packaging and hh goods'!$C$20)*('Yearly HC Ethylene'!AD$3-'Yearly HC Ethylene'!$X$3)/10))</f>
        <v>0</v>
      </c>
      <c r="AE20" s="44">
        <f>AE18*'R&amp;S - Packaging and hh goods'!$C$8*('R&amp;S - Packaging and hh goods'!$B$14*('R&amp;S - Packaging and hh goods'!$C$20+('R&amp;S - Packaging and hh goods'!$C$21-'R&amp;S - Packaging and hh goods'!$C$20)*('Yearly HC Ethylene'!AE$3-'Yearly HC Ethylene'!$X$3)/10))</f>
        <v>0</v>
      </c>
      <c r="AF20" s="44">
        <f>AF18*'R&amp;S - Packaging and hh goods'!$C$8*('R&amp;S - Packaging and hh goods'!$B$14*('R&amp;S - Packaging and hh goods'!$C$20+('R&amp;S - Packaging and hh goods'!$C$21-'R&amp;S - Packaging and hh goods'!$C$20)*('Yearly HC Ethylene'!AF$3-'Yearly HC Ethylene'!$X$3)/10))</f>
        <v>0</v>
      </c>
      <c r="AG20" s="44">
        <f>AG18*'R&amp;S - Packaging and hh goods'!$C$8*('R&amp;S - Packaging and hh goods'!$B$14*('R&amp;S - Packaging and hh goods'!$C$20+('R&amp;S - Packaging and hh goods'!$C$21-'R&amp;S - Packaging and hh goods'!$C$20)*('Yearly HC Ethylene'!AG$3-'Yearly HC Ethylene'!$X$3)/10))</f>
        <v>0</v>
      </c>
      <c r="AH20" s="44">
        <f>AH18*'R&amp;S - Packaging and hh goods'!$C$8*('R&amp;S - Packaging and hh goods'!$B$14*('R&amp;S - Packaging and hh goods'!$C$20+('R&amp;S - Packaging and hh goods'!$C$21-'R&amp;S - Packaging and hh goods'!$C$20)*('Yearly HC Ethylene'!AH$3-'Yearly HC Ethylene'!$X$3)/10))</f>
        <v>0</v>
      </c>
      <c r="AJ20" s="44">
        <v>0</v>
      </c>
      <c r="AK20" s="44">
        <f>AK18*'R&amp;S - Packaging and hh goods'!$C$8*('R&amp;S - Packaging and hh goods'!$B$15*'R&amp;S - Packaging and hh goods'!$C$19*(AK$3-$D$3)/10)</f>
        <v>0</v>
      </c>
      <c r="AL20" s="44">
        <f>AL18*'R&amp;S - Packaging and hh goods'!$C$8*('R&amp;S - Packaging and hh goods'!$B$15*'R&amp;S - Packaging and hh goods'!$C$19*(AL$3-$D$3)/10)</f>
        <v>0</v>
      </c>
      <c r="AM20" s="44">
        <f>AM18*'R&amp;S - Packaging and hh goods'!$C$8*('R&amp;S - Packaging and hh goods'!$B$15*'R&amp;S - Packaging and hh goods'!$C$19*(AM$3-$D$3)/10)</f>
        <v>0</v>
      </c>
      <c r="AN20" s="44">
        <f>AN18*'R&amp;S - Packaging and hh goods'!$C$8*('R&amp;S - Packaging and hh goods'!$B$15*'R&amp;S - Packaging and hh goods'!$C$19*(AN$3-$D$3)/10)</f>
        <v>0</v>
      </c>
      <c r="AO20" s="44">
        <f>AO18*'R&amp;S - Packaging and hh goods'!$C$8*('R&amp;S - Packaging and hh goods'!$B$15*'R&amp;S - Packaging and hh goods'!$C$19*(AO$3-$D$3)/10)</f>
        <v>0</v>
      </c>
      <c r="AP20" s="44">
        <f>AP18*'R&amp;S - Packaging and hh goods'!$C$8*('R&amp;S - Packaging and hh goods'!$B$15*'R&amp;S - Packaging and hh goods'!$C$19*(AP$3-$D$3)/10)</f>
        <v>0</v>
      </c>
      <c r="AQ20" s="44">
        <f>AQ18*'R&amp;S - Packaging and hh goods'!$C$8*('R&amp;S - Packaging and hh goods'!$B$15*'R&amp;S - Packaging and hh goods'!$C$19*(AQ$3-$D$3)/10)</f>
        <v>0</v>
      </c>
      <c r="AR20" s="44">
        <f>AR18*'R&amp;S - Packaging and hh goods'!$C$8*('R&amp;S - Packaging and hh goods'!$B$15*'R&amp;S - Packaging and hh goods'!$C$19*(AR$3-$D$3)/10)</f>
        <v>0</v>
      </c>
      <c r="AS20" s="44">
        <f>AS18*'R&amp;S - Packaging and hh goods'!$C$8*('R&amp;S - Packaging and hh goods'!$B$15*'R&amp;S - Packaging and hh goods'!$C$19*(AS$3-$D$3)/10)</f>
        <v>0</v>
      </c>
      <c r="AT20" s="44">
        <f>AT18*'R&amp;S - Packaging and hh goods'!$C$8*('R&amp;S - Packaging and hh goods'!$B$15*'R&amp;S - Packaging and hh goods'!$C$19*(AT$3-$D$3)/10)</f>
        <v>0</v>
      </c>
      <c r="AU20" s="44">
        <f>AU18*'R&amp;S - Packaging and hh goods'!$C$8*('R&amp;S - Packaging and hh goods'!$B$15*('R&amp;S - Packaging and hh goods'!$C$19+('R&amp;S - Packaging and hh goods'!$C$20-'R&amp;S - Packaging and hh goods'!$C$19)*(AU$3-$N$3)/10))</f>
        <v>0</v>
      </c>
      <c r="AV20" s="44">
        <f>AV18*'R&amp;S - Packaging and hh goods'!$C$8*('R&amp;S - Packaging and hh goods'!$B$15*('R&amp;S - Packaging and hh goods'!$C$19+('R&amp;S - Packaging and hh goods'!$C$20-'R&amp;S - Packaging and hh goods'!$C$19)*(AV$3-$N$3)/10))</f>
        <v>0</v>
      </c>
      <c r="AW20" s="44">
        <f>AW18*'R&amp;S - Packaging and hh goods'!$C$8*('R&amp;S - Packaging and hh goods'!$B$15*('R&amp;S - Packaging and hh goods'!$C$19+('R&amp;S - Packaging and hh goods'!$C$20-'R&amp;S - Packaging and hh goods'!$C$19)*(AW$3-$N$3)/10))</f>
        <v>0</v>
      </c>
      <c r="AX20" s="44">
        <f>AX18*'R&amp;S - Packaging and hh goods'!$C$8*('R&amp;S - Packaging and hh goods'!$B$15*('R&amp;S - Packaging and hh goods'!$C$19+('R&amp;S - Packaging and hh goods'!$C$20-'R&amp;S - Packaging and hh goods'!$C$19)*(AX$3-$N$3)/10))</f>
        <v>0</v>
      </c>
      <c r="AY20" s="44">
        <f>AY18*'R&amp;S - Packaging and hh goods'!$C$8*('R&amp;S - Packaging and hh goods'!$B$15*('R&amp;S - Packaging and hh goods'!$C$19+('R&amp;S - Packaging and hh goods'!$C$20-'R&amp;S - Packaging and hh goods'!$C$19)*(AY$3-$N$3)/10))</f>
        <v>0</v>
      </c>
      <c r="AZ20" s="44">
        <f>AZ18*'R&amp;S - Packaging and hh goods'!$C$8*('R&amp;S - Packaging and hh goods'!$B$15*('R&amp;S - Packaging and hh goods'!$C$19+('R&amp;S - Packaging and hh goods'!$C$20-'R&amp;S - Packaging and hh goods'!$C$19)*(AZ$3-$N$3)/10))</f>
        <v>0</v>
      </c>
      <c r="BA20" s="44">
        <f>BA18*'R&amp;S - Packaging and hh goods'!$C$8*('R&amp;S - Packaging and hh goods'!$B$15*('R&amp;S - Packaging and hh goods'!$C$19+('R&amp;S - Packaging and hh goods'!$C$20-'R&amp;S - Packaging and hh goods'!$C$19)*(BA$3-$N$3)/10))</f>
        <v>0</v>
      </c>
      <c r="BB20" s="44">
        <f>BB18*'R&amp;S - Packaging and hh goods'!$C$8*('R&amp;S - Packaging and hh goods'!$B$15*('R&amp;S - Packaging and hh goods'!$C$19+('R&amp;S - Packaging and hh goods'!$C$20-'R&amp;S - Packaging and hh goods'!$C$19)*(BB$3-$N$3)/10))</f>
        <v>0</v>
      </c>
      <c r="BC20" s="44">
        <f>BC18*'R&amp;S - Packaging and hh goods'!$C$8*('R&amp;S - Packaging and hh goods'!$B$15*('R&amp;S - Packaging and hh goods'!$C$19+('R&amp;S - Packaging and hh goods'!$C$20-'R&amp;S - Packaging and hh goods'!$C$19)*(BC$3-$N$3)/10))</f>
        <v>0</v>
      </c>
      <c r="BD20" s="44">
        <f>BD18*'R&amp;S - Packaging and hh goods'!$C$8*('R&amp;S - Packaging and hh goods'!$B$15*('R&amp;S - Packaging and hh goods'!$C$19+('R&amp;S - Packaging and hh goods'!$C$20-'R&amp;S - Packaging and hh goods'!$C$19)*(BD$3-$N$3)/10))</f>
        <v>0</v>
      </c>
      <c r="BE20" s="44">
        <f>BE18*'R&amp;S - Packaging and hh goods'!$C$8*('R&amp;S - Packaging and hh goods'!$B$15*('R&amp;S - Packaging and hh goods'!$C$20+('R&amp;S - Packaging and hh goods'!$C$21-'R&amp;S - Packaging and hh goods'!$C$20)*(BE$3-$X$3)/10))</f>
        <v>0</v>
      </c>
      <c r="BF20" s="44">
        <f>BF18*'R&amp;S - Packaging and hh goods'!$C$8*('R&amp;S - Packaging and hh goods'!$B$15*('R&amp;S - Packaging and hh goods'!$C$20+('R&amp;S - Packaging and hh goods'!$C$21-'R&amp;S - Packaging and hh goods'!$C$20)*(BF$3-$X$3)/10))</f>
        <v>0</v>
      </c>
      <c r="BG20" s="44">
        <f>BG18*'R&amp;S - Packaging and hh goods'!$C$8*('R&amp;S - Packaging and hh goods'!$B$15*('R&amp;S - Packaging and hh goods'!$C$20+('R&amp;S - Packaging and hh goods'!$C$21-'R&amp;S - Packaging and hh goods'!$C$20)*(BG$3-$X$3)/10))</f>
        <v>0</v>
      </c>
      <c r="BH20" s="44">
        <f>BH18*'R&amp;S - Packaging and hh goods'!$C$8*('R&amp;S - Packaging and hh goods'!$B$15*('R&amp;S - Packaging and hh goods'!$C$20+('R&amp;S - Packaging and hh goods'!$C$21-'R&amp;S - Packaging and hh goods'!$C$20)*(BH$3-$X$3)/10))</f>
        <v>0</v>
      </c>
      <c r="BI20" s="44">
        <f>BI18*'R&amp;S - Packaging and hh goods'!$C$8*('R&amp;S - Packaging and hh goods'!$B$15*('R&amp;S - Packaging and hh goods'!$C$20+('R&amp;S - Packaging and hh goods'!$C$21-'R&amp;S - Packaging and hh goods'!$C$20)*(BI$3-$X$3)/10))</f>
        <v>0</v>
      </c>
      <c r="BJ20" s="44">
        <f>BJ18*'R&amp;S - Packaging and hh goods'!$C$8*('R&amp;S - Packaging and hh goods'!$B$15*('R&amp;S - Packaging and hh goods'!$C$20+('R&amp;S - Packaging and hh goods'!$C$21-'R&amp;S - Packaging and hh goods'!$C$20)*(BJ$3-$X$3)/10))</f>
        <v>0</v>
      </c>
      <c r="BK20" s="44">
        <f>BK18*'R&amp;S - Packaging and hh goods'!$C$8*('R&amp;S - Packaging and hh goods'!$B$15*('R&amp;S - Packaging and hh goods'!$C$20+('R&amp;S - Packaging and hh goods'!$C$21-'R&amp;S - Packaging and hh goods'!$C$20)*(BK$3-$X$3)/10))</f>
        <v>0</v>
      </c>
      <c r="BL20" s="44">
        <f>BL18*'R&amp;S - Packaging and hh goods'!$C$8*('R&amp;S - Packaging and hh goods'!$B$15*('R&amp;S - Packaging and hh goods'!$C$20+('R&amp;S - Packaging and hh goods'!$C$21-'R&amp;S - Packaging and hh goods'!$C$20)*(BL$3-$X$3)/10))</f>
        <v>0</v>
      </c>
      <c r="BM20" s="44">
        <f>BM18*'R&amp;S - Packaging and hh goods'!$C$8*('R&amp;S - Packaging and hh goods'!$B$15*('R&amp;S - Packaging and hh goods'!$C$20+('R&amp;S - Packaging and hh goods'!$C$21-'R&amp;S - Packaging and hh goods'!$C$20)*(BM$3-$X$3)/10))</f>
        <v>0</v>
      </c>
      <c r="BN20" s="44">
        <f>BN18*'R&amp;S - Packaging and hh goods'!$C$8*('R&amp;S - Packaging and hh goods'!$B$15*('R&amp;S - Packaging and hh goods'!$C$20+('R&amp;S - Packaging and hh goods'!$C$21-'R&amp;S - Packaging and hh goods'!$C$20)*(BN$3-$X$3)/10))</f>
        <v>0</v>
      </c>
      <c r="BQ20" s="1" t="s">
        <v>201</v>
      </c>
      <c r="BR20" t="s">
        <v>179</v>
      </c>
      <c r="BS20" s="44" t="e">
        <f>#REF!</f>
        <v>#REF!</v>
      </c>
      <c r="BU20" t="str" cm="1">
        <f t="array" ref="BU20:BW24">'Sankey Methanol_detailed'!Q21:S25</f>
        <v>Fuel</v>
      </c>
      <c r="BV20" s="44">
        <v>28.587862624213781</v>
      </c>
      <c r="BW20" s="169">
        <v>0.27471012342412782</v>
      </c>
    </row>
    <row r="21" spans="1:75" outlineLevel="1">
      <c r="B21" s="1" t="s">
        <v>168</v>
      </c>
      <c r="C21" s="54" t="s">
        <v>153</v>
      </c>
      <c r="D21" s="44">
        <f>SUM(D19:D20)</f>
        <v>0</v>
      </c>
      <c r="E21" s="44">
        <f t="shared" ref="E21:AH21" si="19">SUM(E19:E20)</f>
        <v>0</v>
      </c>
      <c r="F21" s="44">
        <f t="shared" si="19"/>
        <v>0</v>
      </c>
      <c r="G21" s="44">
        <f t="shared" si="19"/>
        <v>0</v>
      </c>
      <c r="H21" s="44">
        <f t="shared" si="19"/>
        <v>0</v>
      </c>
      <c r="I21" s="44">
        <f t="shared" si="19"/>
        <v>0</v>
      </c>
      <c r="J21" s="44">
        <f t="shared" si="19"/>
        <v>0</v>
      </c>
      <c r="K21" s="44">
        <f t="shared" si="19"/>
        <v>0</v>
      </c>
      <c r="L21" s="44">
        <f t="shared" si="19"/>
        <v>0</v>
      </c>
      <c r="M21" s="44">
        <f t="shared" si="19"/>
        <v>0</v>
      </c>
      <c r="N21" s="44">
        <f t="shared" si="19"/>
        <v>0</v>
      </c>
      <c r="O21" s="44">
        <f t="shared" si="19"/>
        <v>0</v>
      </c>
      <c r="P21" s="44">
        <f t="shared" si="19"/>
        <v>0</v>
      </c>
      <c r="Q21" s="44">
        <f t="shared" si="19"/>
        <v>0</v>
      </c>
      <c r="R21" s="44">
        <f t="shared" si="19"/>
        <v>0</v>
      </c>
      <c r="S21" s="44">
        <f t="shared" si="19"/>
        <v>0</v>
      </c>
      <c r="T21" s="44">
        <f t="shared" si="19"/>
        <v>0</v>
      </c>
      <c r="U21" s="44">
        <f t="shared" si="19"/>
        <v>0</v>
      </c>
      <c r="V21" s="44">
        <f t="shared" si="19"/>
        <v>0</v>
      </c>
      <c r="W21" s="44">
        <f t="shared" si="19"/>
        <v>0</v>
      </c>
      <c r="X21" s="44">
        <f t="shared" si="19"/>
        <v>0</v>
      </c>
      <c r="Y21" s="44">
        <f t="shared" si="19"/>
        <v>0</v>
      </c>
      <c r="Z21" s="44">
        <f t="shared" si="19"/>
        <v>0</v>
      </c>
      <c r="AA21" s="44">
        <f t="shared" si="19"/>
        <v>0</v>
      </c>
      <c r="AB21" s="44">
        <f t="shared" si="19"/>
        <v>0</v>
      </c>
      <c r="AC21" s="44">
        <f t="shared" si="19"/>
        <v>0</v>
      </c>
      <c r="AD21" s="44">
        <f t="shared" si="19"/>
        <v>0</v>
      </c>
      <c r="AE21" s="44">
        <f t="shared" si="19"/>
        <v>0</v>
      </c>
      <c r="AF21" s="44">
        <f t="shared" si="19"/>
        <v>0</v>
      </c>
      <c r="AG21" s="44">
        <f t="shared" si="19"/>
        <v>0</v>
      </c>
      <c r="AH21" s="44">
        <f t="shared" si="19"/>
        <v>0</v>
      </c>
      <c r="AJ21" s="44">
        <f>SUM(AJ19:AJ20)</f>
        <v>0</v>
      </c>
      <c r="AK21" s="44">
        <f t="shared" ref="AK21:BM21" si="20">SUM(AK19:AK20)</f>
        <v>0</v>
      </c>
      <c r="AL21" s="44">
        <f t="shared" si="20"/>
        <v>0</v>
      </c>
      <c r="AM21" s="44">
        <f t="shared" si="20"/>
        <v>0</v>
      </c>
      <c r="AN21" s="44">
        <f t="shared" si="20"/>
        <v>0</v>
      </c>
      <c r="AO21" s="44">
        <f t="shared" si="20"/>
        <v>0</v>
      </c>
      <c r="AP21" s="44">
        <f t="shared" si="20"/>
        <v>0</v>
      </c>
      <c r="AQ21" s="44">
        <f t="shared" si="20"/>
        <v>0</v>
      </c>
      <c r="AR21" s="44">
        <f t="shared" si="20"/>
        <v>0</v>
      </c>
      <c r="AS21" s="44">
        <f t="shared" si="20"/>
        <v>0</v>
      </c>
      <c r="AT21" s="44">
        <f t="shared" si="20"/>
        <v>0</v>
      </c>
      <c r="AU21" s="44">
        <f t="shared" si="20"/>
        <v>0</v>
      </c>
      <c r="AV21" s="44">
        <f t="shared" si="20"/>
        <v>0</v>
      </c>
      <c r="AW21" s="44">
        <f t="shared" si="20"/>
        <v>0</v>
      </c>
      <c r="AX21" s="44">
        <f t="shared" si="20"/>
        <v>0</v>
      </c>
      <c r="AY21" s="44">
        <f t="shared" si="20"/>
        <v>0</v>
      </c>
      <c r="AZ21" s="44">
        <f t="shared" si="20"/>
        <v>0</v>
      </c>
      <c r="BA21" s="44">
        <f t="shared" si="20"/>
        <v>0</v>
      </c>
      <c r="BB21" s="44">
        <f t="shared" si="20"/>
        <v>0</v>
      </c>
      <c r="BC21" s="44">
        <f t="shared" si="20"/>
        <v>0</v>
      </c>
      <c r="BD21" s="44">
        <f t="shared" si="20"/>
        <v>0</v>
      </c>
      <c r="BE21" s="44">
        <f t="shared" si="20"/>
        <v>0</v>
      </c>
      <c r="BF21" s="44">
        <f t="shared" si="20"/>
        <v>0</v>
      </c>
      <c r="BG21" s="44">
        <f t="shared" si="20"/>
        <v>0</v>
      </c>
      <c r="BH21" s="44">
        <f t="shared" si="20"/>
        <v>0</v>
      </c>
      <c r="BI21" s="44">
        <f t="shared" si="20"/>
        <v>0</v>
      </c>
      <c r="BJ21" s="44">
        <f t="shared" si="20"/>
        <v>0</v>
      </c>
      <c r="BK21" s="44">
        <f t="shared" si="20"/>
        <v>0</v>
      </c>
      <c r="BL21" s="44">
        <f t="shared" si="20"/>
        <v>0</v>
      </c>
      <c r="BM21" s="44">
        <f t="shared" si="20"/>
        <v>0</v>
      </c>
      <c r="BN21" s="44">
        <f>SUM(BN19:BN20)</f>
        <v>0</v>
      </c>
      <c r="BR21" t="s">
        <v>187</v>
      </c>
      <c r="BS21" s="44">
        <f>D6</f>
        <v>0</v>
      </c>
      <c r="BU21" t="str">
        <v>Major Polymers</v>
      </c>
      <c r="BV21" s="44">
        <v>28.851572700948026</v>
      </c>
      <c r="BW21" s="169">
        <v>0.27724419981452192</v>
      </c>
    </row>
    <row r="22" spans="1:75" outlineLevel="1">
      <c r="B22" s="61" t="s">
        <v>202</v>
      </c>
      <c r="C22" s="54" t="s">
        <v>153</v>
      </c>
      <c r="D22" s="44">
        <v>0</v>
      </c>
      <c r="E22" s="44">
        <f>E18*'R&amp;S - Packaging and hh goods'!$C$9*('R&amp;S - Packaging and hh goods'!$C$14*'R&amp;S - Packaging and hh goods'!$D$19*('Yearly HC Ethylene'!E$3-'Yearly HC Ethylene'!$D$3)/10)</f>
        <v>0</v>
      </c>
      <c r="F22" s="44">
        <f>F18*'R&amp;S - Packaging and hh goods'!$C$9*('R&amp;S - Packaging and hh goods'!$C$14*'R&amp;S - Packaging and hh goods'!$D$19*('Yearly HC Ethylene'!F$3-'Yearly HC Ethylene'!$D$3)/10)</f>
        <v>0</v>
      </c>
      <c r="G22" s="44">
        <f>G18*'R&amp;S - Packaging and hh goods'!$C$9*('R&amp;S - Packaging and hh goods'!$C$14*'R&amp;S - Packaging and hh goods'!$D$19*('Yearly HC Ethylene'!G$3-'Yearly HC Ethylene'!$D$3)/10)</f>
        <v>0</v>
      </c>
      <c r="H22" s="44">
        <f>H18*'R&amp;S - Packaging and hh goods'!$C$9*('R&amp;S - Packaging and hh goods'!$C$14*'R&amp;S - Packaging and hh goods'!$D$19*('Yearly HC Ethylene'!H$3-'Yearly HC Ethylene'!$D$3)/10)</f>
        <v>0</v>
      </c>
      <c r="I22" s="44">
        <f>I18*'R&amp;S - Packaging and hh goods'!$C$9*('R&amp;S - Packaging and hh goods'!$C$14*'R&amp;S - Packaging and hh goods'!$D$19*('Yearly HC Ethylene'!I$3-'Yearly HC Ethylene'!$D$3)/10)</f>
        <v>0</v>
      </c>
      <c r="J22" s="44">
        <f>J18*'R&amp;S - Packaging and hh goods'!$C$9*('R&amp;S - Packaging and hh goods'!$C$14*'R&amp;S - Packaging and hh goods'!$D$19*('Yearly HC Ethylene'!J$3-'Yearly HC Ethylene'!$D$3)/10)</f>
        <v>0</v>
      </c>
      <c r="K22" s="44">
        <f>K18*'R&amp;S - Packaging and hh goods'!$C$9*('R&amp;S - Packaging and hh goods'!$C$14*'R&amp;S - Packaging and hh goods'!$D$19*('Yearly HC Ethylene'!K$3-'Yearly HC Ethylene'!$D$3)/10)</f>
        <v>0</v>
      </c>
      <c r="L22" s="44">
        <f>L18*'R&amp;S - Packaging and hh goods'!$C$9*('R&amp;S - Packaging and hh goods'!$C$14*'R&amp;S - Packaging and hh goods'!$D$19*('Yearly HC Ethylene'!L$3-'Yearly HC Ethylene'!$D$3)/10)</f>
        <v>0</v>
      </c>
      <c r="M22" s="44">
        <f>M18*'R&amp;S - Packaging and hh goods'!$C$9*('R&amp;S - Packaging and hh goods'!$C$14*'R&amp;S - Packaging and hh goods'!$D$19*('Yearly HC Ethylene'!M$3-'Yearly HC Ethylene'!$D$3)/10)</f>
        <v>0</v>
      </c>
      <c r="N22" s="44">
        <f>N18*'R&amp;S - Packaging and hh goods'!$C$9*('R&amp;S - Packaging and hh goods'!$C$14*'R&amp;S - Packaging and hh goods'!$D$19*('Yearly HC Ethylene'!N$3-'Yearly HC Ethylene'!$D$3)/10)</f>
        <v>0</v>
      </c>
      <c r="O22" s="44">
        <f>O18*'R&amp;S - Packaging and hh goods'!$C$9*('R&amp;S - Packaging and hh goods'!$C$14*'R&amp;S - Packaging and hh goods'!$D$19*('Yearly HC Ethylene'!O$3-'Yearly HC Ethylene'!$D$3)/10)</f>
        <v>0</v>
      </c>
      <c r="P22" s="44">
        <f>P18*'R&amp;S - Packaging and hh goods'!$C$9*('R&amp;S - Packaging and hh goods'!$C$14*'R&amp;S - Packaging and hh goods'!$D$19*('Yearly HC Ethylene'!P$3-'Yearly HC Ethylene'!$D$3)/10)</f>
        <v>0</v>
      </c>
      <c r="Q22" s="44">
        <f>Q18*'R&amp;S - Packaging and hh goods'!$C$9*('R&amp;S - Packaging and hh goods'!$C$14*'R&amp;S - Packaging and hh goods'!$D$19*('Yearly HC Ethylene'!Q$3-'Yearly HC Ethylene'!$D$3)/10)</f>
        <v>0</v>
      </c>
      <c r="R22" s="44">
        <f>R18*'R&amp;S - Packaging and hh goods'!$C$9*('R&amp;S - Packaging and hh goods'!$C$14*'R&amp;S - Packaging and hh goods'!$D$19*('Yearly HC Ethylene'!R$3-'Yearly HC Ethylene'!$D$3)/10)</f>
        <v>0</v>
      </c>
      <c r="S22" s="44">
        <f>S18*'R&amp;S - Packaging and hh goods'!$C$9*('R&amp;S - Packaging and hh goods'!$C$14*'R&amp;S - Packaging and hh goods'!$D$19*('Yearly HC Ethylene'!S$3-'Yearly HC Ethylene'!$D$3)/10)</f>
        <v>0</v>
      </c>
      <c r="T22" s="44">
        <f>T18*'R&amp;S - Packaging and hh goods'!$C$9*('R&amp;S - Packaging and hh goods'!$C$14*'R&amp;S - Packaging and hh goods'!$D$19*('Yearly HC Ethylene'!T$3-'Yearly HC Ethylene'!$D$3)/10)</f>
        <v>0</v>
      </c>
      <c r="U22" s="44">
        <f>U18*'R&amp;S - Packaging and hh goods'!$C$9*('R&amp;S - Packaging and hh goods'!$C$14*'R&amp;S - Packaging and hh goods'!$D$19*('Yearly HC Ethylene'!U$3-'Yearly HC Ethylene'!$D$3)/10)</f>
        <v>0</v>
      </c>
      <c r="V22" s="44">
        <f>V18*'R&amp;S - Packaging and hh goods'!$C$9*('R&amp;S - Packaging and hh goods'!$C$14*'R&amp;S - Packaging and hh goods'!$D$19*('Yearly HC Ethylene'!V$3-'Yearly HC Ethylene'!$D$3)/10)</f>
        <v>0</v>
      </c>
      <c r="W22" s="44">
        <f>W18*'R&amp;S - Packaging and hh goods'!$C$9*('R&amp;S - Packaging and hh goods'!$C$14*'R&amp;S - Packaging and hh goods'!$D$19*('Yearly HC Ethylene'!W$3-'Yearly HC Ethylene'!$D$3)/10)</f>
        <v>0</v>
      </c>
      <c r="X22" s="44">
        <f>X18*'R&amp;S - Packaging and hh goods'!$C$9*('R&amp;S - Packaging and hh goods'!$C$14*'R&amp;S - Packaging and hh goods'!$D$19*('Yearly HC Ethylene'!X$3-'Yearly HC Ethylene'!$D$3)/10)</f>
        <v>0</v>
      </c>
      <c r="Y22" s="44">
        <f>Y18*'R&amp;S - Packaging and hh goods'!$C$9*('R&amp;S - Packaging and hh goods'!$C$14*('R&amp;S - Packaging and hh goods'!$D$20+('R&amp;S - Packaging and hh goods'!$D$21-'R&amp;S - Packaging and hh goods'!$D$20)*('Yearly HC Ethylene'!Y$3-'Yearly HC Ethylene'!$X$3)/10))</f>
        <v>0</v>
      </c>
      <c r="Z22" s="44">
        <f>Z18*'R&amp;S - Packaging and hh goods'!$C$9*('R&amp;S - Packaging and hh goods'!$C$14*('R&amp;S - Packaging and hh goods'!$D$20+('R&amp;S - Packaging and hh goods'!$D$21-'R&amp;S - Packaging and hh goods'!$D$20)*('Yearly HC Ethylene'!Z$3-'Yearly HC Ethylene'!$X$3)/10))</f>
        <v>0</v>
      </c>
      <c r="AA22" s="44">
        <f>AA18*'R&amp;S - Packaging and hh goods'!$C$9*('R&amp;S - Packaging and hh goods'!$C$14*('R&amp;S - Packaging and hh goods'!$D$20+('R&amp;S - Packaging and hh goods'!$D$21-'R&amp;S - Packaging and hh goods'!$D$20)*('Yearly HC Ethylene'!AA$3-'Yearly HC Ethylene'!$X$3)/10))</f>
        <v>0</v>
      </c>
      <c r="AB22" s="44">
        <f>AB18*'R&amp;S - Packaging and hh goods'!$C$9*('R&amp;S - Packaging and hh goods'!$C$14*('R&amp;S - Packaging and hh goods'!$D$20+('R&amp;S - Packaging and hh goods'!$D$21-'R&amp;S - Packaging and hh goods'!$D$20)*('Yearly HC Ethylene'!AB$3-'Yearly HC Ethylene'!$X$3)/10))</f>
        <v>0</v>
      </c>
      <c r="AC22" s="44">
        <f>AC18*'R&amp;S - Packaging and hh goods'!$C$9*('R&amp;S - Packaging and hh goods'!$C$14*('R&amp;S - Packaging and hh goods'!$D$20+('R&amp;S - Packaging and hh goods'!$D$21-'R&amp;S - Packaging and hh goods'!$D$20)*('Yearly HC Ethylene'!AC$3-'Yearly HC Ethylene'!$X$3)/10))</f>
        <v>0</v>
      </c>
      <c r="AD22" s="44">
        <f>AD18*'R&amp;S - Packaging and hh goods'!$C$9*('R&amp;S - Packaging and hh goods'!$C$14*('R&amp;S - Packaging and hh goods'!$D$20+('R&amp;S - Packaging and hh goods'!$D$21-'R&amp;S - Packaging and hh goods'!$D$20)*('Yearly HC Ethylene'!AD$3-'Yearly HC Ethylene'!$X$3)/10))</f>
        <v>0</v>
      </c>
      <c r="AE22" s="44">
        <f>AE18*'R&amp;S - Packaging and hh goods'!$C$9*('R&amp;S - Packaging and hh goods'!$C$14*('R&amp;S - Packaging and hh goods'!$D$20+('R&amp;S - Packaging and hh goods'!$D$21-'R&amp;S - Packaging and hh goods'!$D$20)*('Yearly HC Ethylene'!AE$3-'Yearly HC Ethylene'!$X$3)/10))</f>
        <v>0</v>
      </c>
      <c r="AF22" s="44">
        <f>AF18*'R&amp;S - Packaging and hh goods'!$C$9*('R&amp;S - Packaging and hh goods'!$C$14*('R&amp;S - Packaging and hh goods'!$D$20+('R&amp;S - Packaging and hh goods'!$D$21-'R&amp;S - Packaging and hh goods'!$D$20)*('Yearly HC Ethylene'!AF$3-'Yearly HC Ethylene'!$X$3)/10))</f>
        <v>0</v>
      </c>
      <c r="AG22" s="44">
        <f>AG18*'R&amp;S - Packaging and hh goods'!$C$9*('R&amp;S - Packaging and hh goods'!$C$14*('R&amp;S - Packaging and hh goods'!$D$20+('R&amp;S - Packaging and hh goods'!$D$21-'R&amp;S - Packaging and hh goods'!$D$20)*('Yearly HC Ethylene'!AG$3-'Yearly HC Ethylene'!$X$3)/10))</f>
        <v>0</v>
      </c>
      <c r="AH22" s="44">
        <f>AH18*'R&amp;S - Packaging and hh goods'!$C$9*('R&amp;S - Packaging and hh goods'!$C$14*('R&amp;S - Packaging and hh goods'!$D$20+('R&amp;S - Packaging and hh goods'!$D$21-'R&amp;S - Packaging and hh goods'!$D$20)*('Yearly HC Ethylene'!AH$3-'Yearly HC Ethylene'!$X$3)/10))</f>
        <v>0</v>
      </c>
      <c r="AJ22" s="44">
        <v>0</v>
      </c>
      <c r="AK22" s="44">
        <f>AK18*'R&amp;S - Packaging and hh goods'!$C$9*('R&amp;S - Packaging and hh goods'!$C$15*'R&amp;S - Packaging and hh goods'!$D$19*(AK$3-$D$3)/10)</f>
        <v>0</v>
      </c>
      <c r="AL22" s="44">
        <f>AL18*'R&amp;S - Packaging and hh goods'!$C$9*('R&amp;S - Packaging and hh goods'!$C$15*'R&amp;S - Packaging and hh goods'!$D$19*(AL$3-$D$3)/10)</f>
        <v>0</v>
      </c>
      <c r="AM22" s="44">
        <f>AM18*'R&amp;S - Packaging and hh goods'!$C$9*('R&amp;S - Packaging and hh goods'!$C$15*'R&amp;S - Packaging and hh goods'!$D$19*(AM$3-$D$3)/10)</f>
        <v>0</v>
      </c>
      <c r="AN22" s="44">
        <f>AN18*'R&amp;S - Packaging and hh goods'!$C$9*('R&amp;S - Packaging and hh goods'!$C$15*'R&amp;S - Packaging and hh goods'!$D$19*(AN$3-$D$3)/10)</f>
        <v>0</v>
      </c>
      <c r="AO22" s="44">
        <f>AO18*'R&amp;S - Packaging and hh goods'!$C$9*('R&amp;S - Packaging and hh goods'!$C$15*'R&amp;S - Packaging and hh goods'!$D$19*(AO$3-$D$3)/10)</f>
        <v>0</v>
      </c>
      <c r="AP22" s="44">
        <f>AP18*'R&amp;S - Packaging and hh goods'!$C$9*('R&amp;S - Packaging and hh goods'!$C$15*'R&amp;S - Packaging and hh goods'!$D$19*(AP$3-$D$3)/10)</f>
        <v>0</v>
      </c>
      <c r="AQ22" s="44">
        <f>AQ18*'R&amp;S - Packaging and hh goods'!$C$9*('R&amp;S - Packaging and hh goods'!$C$15*'R&amp;S - Packaging and hh goods'!$D$19*(AQ$3-$D$3)/10)</f>
        <v>0</v>
      </c>
      <c r="AR22" s="44">
        <f>AR18*'R&amp;S - Packaging and hh goods'!$C$9*('R&amp;S - Packaging and hh goods'!$C$15*'R&amp;S - Packaging and hh goods'!$D$19*(AR$3-$D$3)/10)</f>
        <v>0</v>
      </c>
      <c r="AS22" s="44">
        <f>AS18*'R&amp;S - Packaging and hh goods'!$C$9*('R&amp;S - Packaging and hh goods'!$C$15*'R&amp;S - Packaging and hh goods'!$D$19*(AS$3-$D$3)/10)</f>
        <v>0</v>
      </c>
      <c r="AT22" s="44">
        <f>AT18*'R&amp;S - Packaging and hh goods'!$C$9*('R&amp;S - Packaging and hh goods'!$C$15*'R&amp;S - Packaging and hh goods'!$D$19*(AT$3-$D$3)/10)</f>
        <v>0</v>
      </c>
      <c r="AU22" s="44">
        <f>AU18*'R&amp;S - Packaging and hh goods'!$C$9*('R&amp;S - Packaging and hh goods'!$C$15*'R&amp;S - Packaging and hh goods'!$D$19*(AU$3-$D$3)/10)</f>
        <v>0</v>
      </c>
      <c r="AV22" s="44">
        <f>AV18*'R&amp;S - Packaging and hh goods'!$C$9*('R&amp;S - Packaging and hh goods'!$C$15*'R&amp;S - Packaging and hh goods'!$D$19*(AV$3-$D$3)/10)</f>
        <v>0</v>
      </c>
      <c r="AW22" s="44">
        <f>AW18*'R&amp;S - Packaging and hh goods'!$C$9*('R&amp;S - Packaging and hh goods'!$C$15*'R&amp;S - Packaging and hh goods'!$D$19*(AW$3-$D$3)/10)</f>
        <v>0</v>
      </c>
      <c r="AX22" s="44">
        <f>AX18*'R&amp;S - Packaging and hh goods'!$C$9*('R&amp;S - Packaging and hh goods'!$C$15*'R&amp;S - Packaging and hh goods'!$D$19*(AX$3-$D$3)/10)</f>
        <v>0</v>
      </c>
      <c r="AY22" s="44">
        <f>AY18*'R&amp;S - Packaging and hh goods'!$C$9*('R&amp;S - Packaging and hh goods'!$C$15*'R&amp;S - Packaging and hh goods'!$D$19*(AY$3-$D$3)/10)</f>
        <v>0</v>
      </c>
      <c r="AZ22" s="44">
        <f>AZ18*'R&amp;S - Packaging and hh goods'!$C$9*('R&amp;S - Packaging and hh goods'!$C$15*'R&amp;S - Packaging and hh goods'!$D$19*(AZ$3-$D$3)/10)</f>
        <v>0</v>
      </c>
      <c r="BA22" s="44">
        <f>BA18*'R&amp;S - Packaging and hh goods'!$C$9*('R&amp;S - Packaging and hh goods'!$C$15*'R&amp;S - Packaging and hh goods'!$D$19*(BA$3-$D$3)/10)</f>
        <v>0</v>
      </c>
      <c r="BB22" s="44">
        <f>BB18*'R&amp;S - Packaging and hh goods'!$C$9*('R&amp;S - Packaging and hh goods'!$C$15*'R&amp;S - Packaging and hh goods'!$D$19*(BB$3-$D$3)/10)</f>
        <v>0</v>
      </c>
      <c r="BC22" s="44">
        <f>BC18*'R&amp;S - Packaging and hh goods'!$C$9*('R&amp;S - Packaging and hh goods'!$C$15*'R&amp;S - Packaging and hh goods'!$D$19*(BC$3-$D$3)/10)</f>
        <v>0</v>
      </c>
      <c r="BD22" s="44">
        <f>BD18*'R&amp;S - Packaging and hh goods'!$C$9*('R&amp;S - Packaging and hh goods'!$C$15*'R&amp;S - Packaging and hh goods'!$D$19*(BD$3-$D$3)/10)</f>
        <v>0</v>
      </c>
      <c r="BE22" s="44">
        <f>BE18*'R&amp;S - Packaging and hh goods'!$C$9*('R&amp;S - Packaging and hh goods'!$C$15*('R&amp;S - Packaging and hh goods'!$D$20+('R&amp;S - Packaging and hh goods'!$D$21-'R&amp;S - Packaging and hh goods'!$D$20)*(BE$3-$X$3)/10))</f>
        <v>0</v>
      </c>
      <c r="BF22" s="44">
        <f>BF18*'R&amp;S - Packaging and hh goods'!$C$9*('R&amp;S - Packaging and hh goods'!$C$15*('R&amp;S - Packaging and hh goods'!$D$20+('R&amp;S - Packaging and hh goods'!$D$21-'R&amp;S - Packaging and hh goods'!$D$20)*(BF$3-$X$3)/10))</f>
        <v>0</v>
      </c>
      <c r="BG22" s="44">
        <f>BG18*'R&amp;S - Packaging and hh goods'!$C$9*('R&amp;S - Packaging and hh goods'!$C$15*('R&amp;S - Packaging and hh goods'!$D$20+('R&amp;S - Packaging and hh goods'!$D$21-'R&amp;S - Packaging and hh goods'!$D$20)*(BG$3-$X$3)/10))</f>
        <v>0</v>
      </c>
      <c r="BH22" s="44">
        <f>BH18*'R&amp;S - Packaging and hh goods'!$C$9*('R&amp;S - Packaging and hh goods'!$C$15*('R&amp;S - Packaging and hh goods'!$D$20+('R&amp;S - Packaging and hh goods'!$D$21-'R&amp;S - Packaging and hh goods'!$D$20)*(BH$3-$X$3)/10))</f>
        <v>0</v>
      </c>
      <c r="BI22" s="44">
        <f>BI18*'R&amp;S - Packaging and hh goods'!$C$9*('R&amp;S - Packaging and hh goods'!$C$15*('R&amp;S - Packaging and hh goods'!$D$20+('R&amp;S - Packaging and hh goods'!$D$21-'R&amp;S - Packaging and hh goods'!$D$20)*(BI$3-$X$3)/10))</f>
        <v>0</v>
      </c>
      <c r="BJ22" s="44">
        <f>BJ18*'R&amp;S - Packaging and hh goods'!$C$9*('R&amp;S - Packaging and hh goods'!$C$15*('R&amp;S - Packaging and hh goods'!$D$20+('R&amp;S - Packaging and hh goods'!$D$21-'R&amp;S - Packaging and hh goods'!$D$20)*(BJ$3-$X$3)/10))</f>
        <v>0</v>
      </c>
      <c r="BK22" s="44">
        <f>BK18*'R&amp;S - Packaging and hh goods'!$C$9*('R&amp;S - Packaging and hh goods'!$C$15*('R&amp;S - Packaging and hh goods'!$D$20+('R&amp;S - Packaging and hh goods'!$D$21-'R&amp;S - Packaging and hh goods'!$D$20)*(BK$3-$X$3)/10))</f>
        <v>0</v>
      </c>
      <c r="BL22" s="44">
        <f>BL18*'R&amp;S - Packaging and hh goods'!$C$9*('R&amp;S - Packaging and hh goods'!$C$15*('R&amp;S - Packaging and hh goods'!$D$20+('R&amp;S - Packaging and hh goods'!$D$21-'R&amp;S - Packaging and hh goods'!$D$20)*(BL$3-$X$3)/10))</f>
        <v>0</v>
      </c>
      <c r="BM22" s="44">
        <f>BM18*'R&amp;S - Packaging and hh goods'!$C$9*('R&amp;S - Packaging and hh goods'!$C$15*('R&amp;S - Packaging and hh goods'!$D$20+('R&amp;S - Packaging and hh goods'!$D$21-'R&amp;S - Packaging and hh goods'!$D$20)*(BM$3-$X$3)/10))</f>
        <v>0</v>
      </c>
      <c r="BN22" s="44">
        <f>BN18*'R&amp;S - Packaging and hh goods'!$C$9*('R&amp;S - Packaging and hh goods'!$C$15*('R&amp;S - Packaging and hh goods'!$D$20+('R&amp;S - Packaging and hh goods'!$D$21-'R&amp;S - Packaging and hh goods'!$D$20)*(BN$3-$X$3)/10))</f>
        <v>0</v>
      </c>
      <c r="BR22" t="s">
        <v>190</v>
      </c>
      <c r="BS22" s="44" t="e">
        <f>#REF!</f>
        <v>#REF!</v>
      </c>
      <c r="BU22" t="str">
        <v>Minor Polymers</v>
      </c>
      <c r="BV22" s="44">
        <v>22.580763290736638</v>
      </c>
      <c r="BW22" s="169">
        <v>0.21698594092708512</v>
      </c>
    </row>
    <row r="23" spans="1:75" outlineLevel="1">
      <c r="B23" s="61" t="s">
        <v>203</v>
      </c>
      <c r="C23" s="54" t="s">
        <v>153</v>
      </c>
      <c r="D23" s="44">
        <v>0</v>
      </c>
      <c r="E23" s="44">
        <f>E18*'R&amp;S - Packaging and hh goods'!$C$10*('R&amp;S - Packaging and hh goods'!$C$14*'R&amp;S - Packaging and hh goods'!$E$19*('Yearly HC Ethylene'!E$3-'Yearly HC Ethylene'!$D$3)/10)</f>
        <v>0</v>
      </c>
      <c r="F23" s="44">
        <f>F18*'R&amp;S - Packaging and hh goods'!$C$10*('R&amp;S - Packaging and hh goods'!$C$14*'R&amp;S - Packaging and hh goods'!$E$19*('Yearly HC Ethylene'!F$3-'Yearly HC Ethylene'!$D$3)/10)</f>
        <v>0</v>
      </c>
      <c r="G23" s="44">
        <f>G18*'R&amp;S - Packaging and hh goods'!$C$10*('R&amp;S - Packaging and hh goods'!$C$14*'R&amp;S - Packaging and hh goods'!$E$19*('Yearly HC Ethylene'!G$3-'Yearly HC Ethylene'!$D$3)/10)</f>
        <v>0</v>
      </c>
      <c r="H23" s="44">
        <f>H18*'R&amp;S - Packaging and hh goods'!$C$10*('R&amp;S - Packaging and hh goods'!$C$14*'R&amp;S - Packaging and hh goods'!$E$19*('Yearly HC Ethylene'!H$3-'Yearly HC Ethylene'!$D$3)/10)</f>
        <v>0</v>
      </c>
      <c r="I23" s="44">
        <f>I18*'R&amp;S - Packaging and hh goods'!$C$10*('R&amp;S - Packaging and hh goods'!$C$14*'R&amp;S - Packaging and hh goods'!$E$19*('Yearly HC Ethylene'!I$3-'Yearly HC Ethylene'!$D$3)/10)</f>
        <v>0</v>
      </c>
      <c r="J23" s="44">
        <f>J18*'R&amp;S - Packaging and hh goods'!$C$10*('R&amp;S - Packaging and hh goods'!$C$14*'R&amp;S - Packaging and hh goods'!$E$19*('Yearly HC Ethylene'!J$3-'Yearly HC Ethylene'!$D$3)/10)</f>
        <v>0</v>
      </c>
      <c r="K23" s="44">
        <f>K18*'R&amp;S - Packaging and hh goods'!$C$10*('R&amp;S - Packaging and hh goods'!$C$14*'R&amp;S - Packaging and hh goods'!$E$19*('Yearly HC Ethylene'!K$3-'Yearly HC Ethylene'!$D$3)/10)</f>
        <v>0</v>
      </c>
      <c r="L23" s="44">
        <f>L18*'R&amp;S - Packaging and hh goods'!$C$10*('R&amp;S - Packaging and hh goods'!$C$14*'R&amp;S - Packaging and hh goods'!$E$19*('Yearly HC Ethylene'!L$3-'Yearly HC Ethylene'!$D$3)/10)</f>
        <v>0</v>
      </c>
      <c r="M23" s="44">
        <f>M18*'R&amp;S - Packaging and hh goods'!$C$10*('R&amp;S - Packaging and hh goods'!$C$14*'R&amp;S - Packaging and hh goods'!$E$19*('Yearly HC Ethylene'!M$3-'Yearly HC Ethylene'!$D$3)/10)</f>
        <v>0</v>
      </c>
      <c r="N23" s="44">
        <f>N18*'R&amp;S - Packaging and hh goods'!$C$10*('R&amp;S - Packaging and hh goods'!$C$14*'R&amp;S - Packaging and hh goods'!$E$19*('Yearly HC Ethylene'!N$3-'Yearly HC Ethylene'!$D$3)/10)</f>
        <v>0</v>
      </c>
      <c r="O23" s="44">
        <f>O18*'R&amp;S - Packaging and hh goods'!$C$10*('R&amp;S - Packaging and hh goods'!$C$14*'R&amp;S - Packaging and hh goods'!$E$19*('Yearly HC Ethylene'!O$3-'Yearly HC Ethylene'!$D$3)/10)</f>
        <v>0</v>
      </c>
      <c r="P23" s="44">
        <f>P18*'R&amp;S - Packaging and hh goods'!$C$10*('R&amp;S - Packaging and hh goods'!$C$14*('R&amp;S - Packaging and hh goods'!$E$19+('R&amp;S - Packaging and hh goods'!$E$20-'R&amp;S - Packaging and hh goods'!$E$19)*('Yearly HC Ethylene'!P$3-'Yearly HC Ethylene'!$O$3)/10))</f>
        <v>0</v>
      </c>
      <c r="Q23" s="44">
        <f>Q18*'R&amp;S - Packaging and hh goods'!$C$10*('R&amp;S - Packaging and hh goods'!$C$14*('R&amp;S - Packaging and hh goods'!$E$19+('R&amp;S - Packaging and hh goods'!$E$20-'R&amp;S - Packaging and hh goods'!$E$19)*('Yearly HC Ethylene'!Q$3-'Yearly HC Ethylene'!$O$3)/10))</f>
        <v>0</v>
      </c>
      <c r="R23" s="44">
        <f>R18*'R&amp;S - Packaging and hh goods'!$C$10*('R&amp;S - Packaging and hh goods'!$C$14*('R&amp;S - Packaging and hh goods'!$E$19+('R&amp;S - Packaging and hh goods'!$E$20-'R&amp;S - Packaging and hh goods'!$E$19)*('Yearly HC Ethylene'!R$3-'Yearly HC Ethylene'!$O$3)/10))</f>
        <v>0</v>
      </c>
      <c r="S23" s="44">
        <f>S18*'R&amp;S - Packaging and hh goods'!$C$10*('R&amp;S - Packaging and hh goods'!$C$14*('R&amp;S - Packaging and hh goods'!$E$19+('R&amp;S - Packaging and hh goods'!$E$20-'R&amp;S - Packaging and hh goods'!$E$19)*('Yearly HC Ethylene'!S$3-'Yearly HC Ethylene'!$O$3)/10))</f>
        <v>0</v>
      </c>
      <c r="T23" s="44">
        <f>T18*'R&amp;S - Packaging and hh goods'!$C$10*('R&amp;S - Packaging and hh goods'!$C$14*('R&amp;S - Packaging and hh goods'!$E$19+('R&amp;S - Packaging and hh goods'!$E$20-'R&amp;S - Packaging and hh goods'!$E$19)*('Yearly HC Ethylene'!T$3-'Yearly HC Ethylene'!$O$3)/10))</f>
        <v>0</v>
      </c>
      <c r="U23" s="44">
        <f>U18*'R&amp;S - Packaging and hh goods'!$C$10*('R&amp;S - Packaging and hh goods'!$C$14*('R&amp;S - Packaging and hh goods'!$E$19+('R&amp;S - Packaging and hh goods'!$E$20-'R&amp;S - Packaging and hh goods'!$E$19)*('Yearly HC Ethylene'!U$3-'Yearly HC Ethylene'!$O$3)/10))</f>
        <v>0</v>
      </c>
      <c r="V23" s="44">
        <f>V18*'R&amp;S - Packaging and hh goods'!$C$10*('R&amp;S - Packaging and hh goods'!$C$14*('R&amp;S - Packaging and hh goods'!$E$19+('R&amp;S - Packaging and hh goods'!$E$20-'R&amp;S - Packaging and hh goods'!$E$19)*('Yearly HC Ethylene'!V$3-'Yearly HC Ethylene'!$O$3)/10))</f>
        <v>0</v>
      </c>
      <c r="W23" s="44">
        <f>W18*'R&amp;S - Packaging and hh goods'!$C$10*('R&amp;S - Packaging and hh goods'!$C$14*('R&amp;S - Packaging and hh goods'!$E$19+('R&amp;S - Packaging and hh goods'!$E$20-'R&amp;S - Packaging and hh goods'!$E$19)*('Yearly HC Ethylene'!W$3-'Yearly HC Ethylene'!$O$3)/10))</f>
        <v>0</v>
      </c>
      <c r="X23" s="44">
        <f>X18*'R&amp;S - Packaging and hh goods'!$C$10*('R&amp;S - Packaging and hh goods'!$C$14*('R&amp;S - Packaging and hh goods'!$E$19+('R&amp;S - Packaging and hh goods'!$E$20-'R&amp;S - Packaging and hh goods'!$E$19)*('Yearly HC Ethylene'!X$3-'Yearly HC Ethylene'!$O$3)/10))</f>
        <v>0</v>
      </c>
      <c r="Y23" s="44">
        <f>Y18*'R&amp;S - Packaging and hh goods'!$C$10*('R&amp;S - Packaging and hh goods'!$C$14*('R&amp;S - Packaging and hh goods'!$E$20+('R&amp;S - Packaging and hh goods'!$E$21-'R&amp;S - Packaging and hh goods'!$E$20)*('Yearly HC Ethylene'!Y$3-'Yearly HC Ethylene'!$X$3)/10))</f>
        <v>0</v>
      </c>
      <c r="Z23" s="44">
        <f>Z18*'R&amp;S - Packaging and hh goods'!$C$10*('R&amp;S - Packaging and hh goods'!$C$14*('R&amp;S - Packaging and hh goods'!$E$20+('R&amp;S - Packaging and hh goods'!$E$21-'R&amp;S - Packaging and hh goods'!$E$20)*('Yearly HC Ethylene'!Z$3-'Yearly HC Ethylene'!$X$3)/10))</f>
        <v>0</v>
      </c>
      <c r="AA23" s="44">
        <f>AA18*'R&amp;S - Packaging and hh goods'!$C$10*('R&amp;S - Packaging and hh goods'!$C$14*('R&amp;S - Packaging and hh goods'!$E$20+('R&amp;S - Packaging and hh goods'!$E$21-'R&amp;S - Packaging and hh goods'!$E$20)*('Yearly HC Ethylene'!AA$3-'Yearly HC Ethylene'!$X$3)/10))</f>
        <v>0</v>
      </c>
      <c r="AB23" s="44">
        <f>AB18*'R&amp;S - Packaging and hh goods'!$C$10*('R&amp;S - Packaging and hh goods'!$C$14*('R&amp;S - Packaging and hh goods'!$E$20+('R&amp;S - Packaging and hh goods'!$E$21-'R&amp;S - Packaging and hh goods'!$E$20)*('Yearly HC Ethylene'!AB$3-'Yearly HC Ethylene'!$X$3)/10))</f>
        <v>0</v>
      </c>
      <c r="AC23" s="44">
        <f>AC18*'R&amp;S - Packaging and hh goods'!$C$10*('R&amp;S - Packaging and hh goods'!$C$14*('R&amp;S - Packaging and hh goods'!$E$20+('R&amp;S - Packaging and hh goods'!$E$21-'R&amp;S - Packaging and hh goods'!$E$20)*('Yearly HC Ethylene'!AC$3-'Yearly HC Ethylene'!$X$3)/10))</f>
        <v>0</v>
      </c>
      <c r="AD23" s="44">
        <f>AD18*'R&amp;S - Packaging and hh goods'!$C$10*('R&amp;S - Packaging and hh goods'!$C$14*('R&amp;S - Packaging and hh goods'!$E$20+('R&amp;S - Packaging and hh goods'!$E$21-'R&amp;S - Packaging and hh goods'!$E$20)*('Yearly HC Ethylene'!AD$3-'Yearly HC Ethylene'!$X$3)/10))</f>
        <v>0</v>
      </c>
      <c r="AE23" s="44">
        <f>AE18*'R&amp;S - Packaging and hh goods'!$C$10*('R&amp;S - Packaging and hh goods'!$C$14*('R&amp;S - Packaging and hh goods'!$E$20+('R&amp;S - Packaging and hh goods'!$E$21-'R&amp;S - Packaging and hh goods'!$E$20)*('Yearly HC Ethylene'!AE$3-'Yearly HC Ethylene'!$X$3)/10))</f>
        <v>0</v>
      </c>
      <c r="AF23" s="44">
        <f>AF18*'R&amp;S - Packaging and hh goods'!$C$10*('R&amp;S - Packaging and hh goods'!$C$14*('R&amp;S - Packaging and hh goods'!$E$20+('R&amp;S - Packaging and hh goods'!$E$21-'R&amp;S - Packaging and hh goods'!$E$20)*('Yearly HC Ethylene'!AF$3-'Yearly HC Ethylene'!$X$3)/10))</f>
        <v>0</v>
      </c>
      <c r="AG23" s="44">
        <f>AG18*'R&amp;S - Packaging and hh goods'!$C$10*('R&amp;S - Packaging and hh goods'!$C$14*('R&amp;S - Packaging and hh goods'!$E$20+('R&amp;S - Packaging and hh goods'!$E$21-'R&amp;S - Packaging and hh goods'!$E$20)*('Yearly HC Ethylene'!AG$3-'Yearly HC Ethylene'!$X$3)/10))</f>
        <v>0</v>
      </c>
      <c r="AH23" s="44">
        <f>AH18*'R&amp;S - Packaging and hh goods'!$C$10*('R&amp;S - Packaging and hh goods'!$C$14*('R&amp;S - Packaging and hh goods'!$E$20+('R&amp;S - Packaging and hh goods'!$E$21-'R&amp;S - Packaging and hh goods'!$E$20)*('Yearly HC Ethylene'!AH$3-'Yearly HC Ethylene'!$X$3)/10))</f>
        <v>0</v>
      </c>
      <c r="AJ23" s="44">
        <v>0</v>
      </c>
      <c r="AK23" s="44">
        <f>AK18*'R&amp;S - Packaging and hh goods'!$C$10*('R&amp;S - Packaging and hh goods'!$C$15*'R&amp;S - Packaging and hh goods'!$E$19*(AK$3-$D$3)/10)</f>
        <v>0</v>
      </c>
      <c r="AL23" s="44">
        <f>AL18*'R&amp;S - Packaging and hh goods'!$C$10*('R&amp;S - Packaging and hh goods'!$C$15*'R&amp;S - Packaging and hh goods'!$E$19*(AL$3-$D$3)/10)</f>
        <v>0</v>
      </c>
      <c r="AM23" s="44">
        <f>AM18*'R&amp;S - Packaging and hh goods'!$C$10*('R&amp;S - Packaging and hh goods'!$C$15*'R&amp;S - Packaging and hh goods'!$E$19*(AM$3-$D$3)/10)</f>
        <v>0</v>
      </c>
      <c r="AN23" s="44">
        <f>AN18*'R&amp;S - Packaging and hh goods'!$C$10*('R&amp;S - Packaging and hh goods'!$C$15*'R&amp;S - Packaging and hh goods'!$E$19*(AN$3-$D$3)/10)</f>
        <v>0</v>
      </c>
      <c r="AO23" s="44">
        <f>AO18*'R&amp;S - Packaging and hh goods'!$C$10*('R&amp;S - Packaging and hh goods'!$C$15*'R&amp;S - Packaging and hh goods'!$E$19*(AO$3-$D$3)/10)</f>
        <v>0</v>
      </c>
      <c r="AP23" s="44">
        <f>AP18*'R&amp;S - Packaging and hh goods'!$C$10*('R&amp;S - Packaging and hh goods'!$C$15*'R&amp;S - Packaging and hh goods'!$E$19*(AP$3-$D$3)/10)</f>
        <v>0</v>
      </c>
      <c r="AQ23" s="44">
        <f>AQ18*'R&amp;S - Packaging and hh goods'!$C$10*('R&amp;S - Packaging and hh goods'!$C$15*'R&amp;S - Packaging and hh goods'!$E$19*(AQ$3-$D$3)/10)</f>
        <v>0</v>
      </c>
      <c r="AR23" s="44">
        <f>AR18*'R&amp;S - Packaging and hh goods'!$C$10*('R&amp;S - Packaging and hh goods'!$C$15*'R&amp;S - Packaging and hh goods'!$E$19*(AR$3-$D$3)/10)</f>
        <v>0</v>
      </c>
      <c r="AS23" s="44">
        <f>AS18*'R&amp;S - Packaging and hh goods'!$C$10*('R&amp;S - Packaging and hh goods'!$C$15*'R&amp;S - Packaging and hh goods'!$E$19*(AS$3-$D$3)/10)</f>
        <v>0</v>
      </c>
      <c r="AT23" s="44">
        <f>AT18*'R&amp;S - Packaging and hh goods'!$C$10*('R&amp;S - Packaging and hh goods'!$C$15*'R&amp;S - Packaging and hh goods'!$E$19*(AT$3-$D$3)/10)</f>
        <v>0</v>
      </c>
      <c r="AU23" s="44">
        <f>AU18*'R&amp;S - Packaging and hh goods'!$C$10*('R&amp;S - Packaging and hh goods'!$C$15*'R&amp;S - Packaging and hh goods'!$E$19*(AU$3-$D$3)/10)</f>
        <v>0</v>
      </c>
      <c r="AV23" s="44">
        <f>AV18*'R&amp;S - Packaging and hh goods'!$C$10*('R&amp;S - Packaging and hh goods'!$C$15*('R&amp;S - Packaging and hh goods'!$E$19+('R&amp;S - Packaging and hh goods'!$E$20-'R&amp;S - Packaging and hh goods'!$E$19)*(AV$3-$O$3)/10))</f>
        <v>0</v>
      </c>
      <c r="AW23" s="44">
        <f>AW18*'R&amp;S - Packaging and hh goods'!$C$10*('R&amp;S - Packaging and hh goods'!$C$15*('R&amp;S - Packaging and hh goods'!$E$19+('R&amp;S - Packaging and hh goods'!$E$20-'R&amp;S - Packaging and hh goods'!$E$19)*(AW$3-$O$3)/10))</f>
        <v>0</v>
      </c>
      <c r="AX23" s="44">
        <f>AX18*'R&amp;S - Packaging and hh goods'!$C$10*('R&amp;S - Packaging and hh goods'!$C$15*('R&amp;S - Packaging and hh goods'!$E$19+('R&amp;S - Packaging and hh goods'!$E$20-'R&amp;S - Packaging and hh goods'!$E$19)*(AX$3-$O$3)/10))</f>
        <v>0</v>
      </c>
      <c r="AY23" s="44">
        <f>AY18*'R&amp;S - Packaging and hh goods'!$C$10*('R&amp;S - Packaging and hh goods'!$C$15*('R&amp;S - Packaging and hh goods'!$E$19+('R&amp;S - Packaging and hh goods'!$E$20-'R&amp;S - Packaging and hh goods'!$E$19)*(AY$3-$O$3)/10))</f>
        <v>0</v>
      </c>
      <c r="AZ23" s="44">
        <f>AZ18*'R&amp;S - Packaging and hh goods'!$C$10*('R&amp;S - Packaging and hh goods'!$C$15*('R&amp;S - Packaging and hh goods'!$E$19+('R&amp;S - Packaging and hh goods'!$E$20-'R&amp;S - Packaging and hh goods'!$E$19)*(AZ$3-$O$3)/10))</f>
        <v>0</v>
      </c>
      <c r="BA23" s="44">
        <f>BA18*'R&amp;S - Packaging and hh goods'!$C$10*('R&amp;S - Packaging and hh goods'!$C$15*('R&amp;S - Packaging and hh goods'!$E$19+('R&amp;S - Packaging and hh goods'!$E$20-'R&amp;S - Packaging and hh goods'!$E$19)*(BA$3-$O$3)/10))</f>
        <v>0</v>
      </c>
      <c r="BB23" s="44">
        <f>BB18*'R&amp;S - Packaging and hh goods'!$C$10*('R&amp;S - Packaging and hh goods'!$C$15*('R&amp;S - Packaging and hh goods'!$E$19+('R&amp;S - Packaging and hh goods'!$E$20-'R&amp;S - Packaging and hh goods'!$E$19)*(BB$3-$O$3)/10))</f>
        <v>0</v>
      </c>
      <c r="BC23" s="44">
        <f>BC18*'R&amp;S - Packaging and hh goods'!$C$10*('R&amp;S - Packaging and hh goods'!$C$15*('R&amp;S - Packaging and hh goods'!$E$19+('R&amp;S - Packaging and hh goods'!$E$20-'R&amp;S - Packaging and hh goods'!$E$19)*(BC$3-$O$3)/10))</f>
        <v>0</v>
      </c>
      <c r="BD23" s="44">
        <f>BD18*'R&amp;S - Packaging and hh goods'!$C$10*('R&amp;S - Packaging and hh goods'!$C$15*('R&amp;S - Packaging and hh goods'!$E$19+('R&amp;S - Packaging and hh goods'!$E$20-'R&amp;S - Packaging and hh goods'!$E$19)*(BD$3-$O$3)/10))</f>
        <v>0</v>
      </c>
      <c r="BE23" s="44">
        <f>BE18*'R&amp;S - Packaging and hh goods'!$C$10*('R&amp;S - Packaging and hh goods'!$C$15*('R&amp;S - Packaging and hh goods'!$E$20+('R&amp;S - Packaging and hh goods'!$E$21-'R&amp;S - Packaging and hh goods'!$E$20)*(BE$3-$X$3)/10))</f>
        <v>0</v>
      </c>
      <c r="BF23" s="44">
        <f>BF18*'R&amp;S - Packaging and hh goods'!$C$10*('R&amp;S - Packaging and hh goods'!$C$15*('R&amp;S - Packaging and hh goods'!$E$20+('R&amp;S - Packaging and hh goods'!$E$21-'R&amp;S - Packaging and hh goods'!$E$20)*(BF$3-$X$3)/10))</f>
        <v>0</v>
      </c>
      <c r="BG23" s="44">
        <f>BG18*'R&amp;S - Packaging and hh goods'!$C$10*('R&amp;S - Packaging and hh goods'!$C$15*('R&amp;S - Packaging and hh goods'!$E$20+('R&amp;S - Packaging and hh goods'!$E$21-'R&amp;S - Packaging and hh goods'!$E$20)*(BG$3-$X$3)/10))</f>
        <v>0</v>
      </c>
      <c r="BH23" s="44">
        <f>BH18*'R&amp;S - Packaging and hh goods'!$C$10*('R&amp;S - Packaging and hh goods'!$C$15*('R&amp;S - Packaging and hh goods'!$E$20+('R&amp;S - Packaging and hh goods'!$E$21-'R&amp;S - Packaging and hh goods'!$E$20)*(BH$3-$X$3)/10))</f>
        <v>0</v>
      </c>
      <c r="BI23" s="44">
        <f>BI18*'R&amp;S - Packaging and hh goods'!$C$10*('R&amp;S - Packaging and hh goods'!$C$15*('R&amp;S - Packaging and hh goods'!$E$20+('R&amp;S - Packaging and hh goods'!$E$21-'R&amp;S - Packaging and hh goods'!$E$20)*(BI$3-$X$3)/10))</f>
        <v>0</v>
      </c>
      <c r="BJ23" s="44">
        <f>BJ18*'R&amp;S - Packaging and hh goods'!$C$10*('R&amp;S - Packaging and hh goods'!$C$15*('R&amp;S - Packaging and hh goods'!$E$20+('R&amp;S - Packaging and hh goods'!$E$21-'R&amp;S - Packaging and hh goods'!$E$20)*(BJ$3-$X$3)/10))</f>
        <v>0</v>
      </c>
      <c r="BK23" s="44">
        <f>BK18*'R&amp;S - Packaging and hh goods'!$C$10*('R&amp;S - Packaging and hh goods'!$C$15*('R&amp;S - Packaging and hh goods'!$E$20+('R&amp;S - Packaging and hh goods'!$E$21-'R&amp;S - Packaging and hh goods'!$E$20)*(BK$3-$X$3)/10))</f>
        <v>0</v>
      </c>
      <c r="BL23" s="44">
        <f>BL18*'R&amp;S - Packaging and hh goods'!$C$10*('R&amp;S - Packaging and hh goods'!$C$15*('R&amp;S - Packaging and hh goods'!$E$20+('R&amp;S - Packaging and hh goods'!$E$21-'R&amp;S - Packaging and hh goods'!$E$20)*(BL$3-$X$3)/10))</f>
        <v>0</v>
      </c>
      <c r="BM23" s="44">
        <f>BM18*'R&amp;S - Packaging and hh goods'!$C$10*('R&amp;S - Packaging and hh goods'!$C$15*('R&amp;S - Packaging and hh goods'!$E$20+('R&amp;S - Packaging and hh goods'!$E$21-'R&amp;S - Packaging and hh goods'!$E$20)*(BM$3-$X$3)/10))</f>
        <v>0</v>
      </c>
      <c r="BN23" s="44">
        <f>BN18*'R&amp;S - Packaging and hh goods'!$C$10*('R&amp;S - Packaging and hh goods'!$C$15*('R&amp;S - Packaging and hh goods'!$E$20+('R&amp;S - Packaging and hh goods'!$E$21-'R&amp;S - Packaging and hh goods'!$E$20)*(BN$3-$X$3)/10))</f>
        <v>0</v>
      </c>
      <c r="BR23" t="s">
        <v>192</v>
      </c>
      <c r="BS23" s="44" t="e">
        <f>#REF!</f>
        <v>#REF!</v>
      </c>
      <c r="BU23" t="str">
        <v>Other</v>
      </c>
      <c r="BV23" s="44">
        <v>24.045360628442481</v>
      </c>
      <c r="BW23" s="169">
        <v>0.23105973583426512</v>
      </c>
    </row>
    <row r="24" spans="1:75" outlineLevel="1">
      <c r="B24" s="1" t="s">
        <v>172</v>
      </c>
      <c r="C24" s="54" t="s">
        <v>153</v>
      </c>
      <c r="D24" s="44">
        <f>SUM(D22:D23)</f>
        <v>0</v>
      </c>
      <c r="E24" s="44">
        <f t="shared" ref="E24:AH24" si="21">SUM(E22:E23)</f>
        <v>0</v>
      </c>
      <c r="F24" s="44">
        <f t="shared" si="21"/>
        <v>0</v>
      </c>
      <c r="G24" s="44">
        <f t="shared" si="21"/>
        <v>0</v>
      </c>
      <c r="H24" s="44">
        <f t="shared" si="21"/>
        <v>0</v>
      </c>
      <c r="I24" s="44">
        <f t="shared" si="21"/>
        <v>0</v>
      </c>
      <c r="J24" s="44">
        <f t="shared" si="21"/>
        <v>0</v>
      </c>
      <c r="K24" s="44">
        <f t="shared" si="21"/>
        <v>0</v>
      </c>
      <c r="L24" s="44">
        <f t="shared" si="21"/>
        <v>0</v>
      </c>
      <c r="M24" s="44">
        <f t="shared" si="21"/>
        <v>0</v>
      </c>
      <c r="N24" s="44">
        <f t="shared" si="21"/>
        <v>0</v>
      </c>
      <c r="O24" s="44">
        <f t="shared" si="21"/>
        <v>0</v>
      </c>
      <c r="P24" s="44">
        <f t="shared" si="21"/>
        <v>0</v>
      </c>
      <c r="Q24" s="44">
        <f t="shared" si="21"/>
        <v>0</v>
      </c>
      <c r="R24" s="44">
        <f t="shared" si="21"/>
        <v>0</v>
      </c>
      <c r="S24" s="44">
        <f t="shared" si="21"/>
        <v>0</v>
      </c>
      <c r="T24" s="44">
        <f t="shared" si="21"/>
        <v>0</v>
      </c>
      <c r="U24" s="44">
        <f t="shared" si="21"/>
        <v>0</v>
      </c>
      <c r="V24" s="44">
        <f t="shared" si="21"/>
        <v>0</v>
      </c>
      <c r="W24" s="44">
        <f t="shared" si="21"/>
        <v>0</v>
      </c>
      <c r="X24" s="44">
        <f t="shared" si="21"/>
        <v>0</v>
      </c>
      <c r="Y24" s="44">
        <f t="shared" si="21"/>
        <v>0</v>
      </c>
      <c r="Z24" s="44">
        <f t="shared" si="21"/>
        <v>0</v>
      </c>
      <c r="AA24" s="44">
        <f t="shared" si="21"/>
        <v>0</v>
      </c>
      <c r="AB24" s="44">
        <f t="shared" si="21"/>
        <v>0</v>
      </c>
      <c r="AC24" s="44">
        <f t="shared" si="21"/>
        <v>0</v>
      </c>
      <c r="AD24" s="44">
        <f t="shared" si="21"/>
        <v>0</v>
      </c>
      <c r="AE24" s="44">
        <f t="shared" si="21"/>
        <v>0</v>
      </c>
      <c r="AF24" s="44">
        <f t="shared" si="21"/>
        <v>0</v>
      </c>
      <c r="AG24" s="44">
        <f t="shared" si="21"/>
        <v>0</v>
      </c>
      <c r="AH24" s="44">
        <f t="shared" si="21"/>
        <v>0</v>
      </c>
      <c r="AJ24" s="44">
        <f>SUM(AJ22:AJ23)</f>
        <v>0</v>
      </c>
      <c r="AK24" s="44">
        <f t="shared" ref="AK24:BN24" si="22">SUM(AK22:AK23)</f>
        <v>0</v>
      </c>
      <c r="AL24" s="44">
        <f t="shared" si="22"/>
        <v>0</v>
      </c>
      <c r="AM24" s="44">
        <f t="shared" si="22"/>
        <v>0</v>
      </c>
      <c r="AN24" s="44">
        <f t="shared" si="22"/>
        <v>0</v>
      </c>
      <c r="AO24" s="44">
        <f t="shared" si="22"/>
        <v>0</v>
      </c>
      <c r="AP24" s="44">
        <f t="shared" si="22"/>
        <v>0</v>
      </c>
      <c r="AQ24" s="44">
        <f t="shared" si="22"/>
        <v>0</v>
      </c>
      <c r="AR24" s="44">
        <f t="shared" si="22"/>
        <v>0</v>
      </c>
      <c r="AS24" s="44">
        <f t="shared" si="22"/>
        <v>0</v>
      </c>
      <c r="AT24" s="44">
        <f t="shared" si="22"/>
        <v>0</v>
      </c>
      <c r="AU24" s="44">
        <f t="shared" si="22"/>
        <v>0</v>
      </c>
      <c r="AV24" s="44">
        <f t="shared" si="22"/>
        <v>0</v>
      </c>
      <c r="AW24" s="44">
        <f t="shared" si="22"/>
        <v>0</v>
      </c>
      <c r="AX24" s="44">
        <f t="shared" si="22"/>
        <v>0</v>
      </c>
      <c r="AY24" s="44">
        <f t="shared" si="22"/>
        <v>0</v>
      </c>
      <c r="AZ24" s="44">
        <f t="shared" si="22"/>
        <v>0</v>
      </c>
      <c r="BA24" s="44">
        <f t="shared" si="22"/>
        <v>0</v>
      </c>
      <c r="BB24" s="44">
        <f t="shared" si="22"/>
        <v>0</v>
      </c>
      <c r="BC24" s="44">
        <f t="shared" si="22"/>
        <v>0</v>
      </c>
      <c r="BD24" s="44">
        <f t="shared" si="22"/>
        <v>0</v>
      </c>
      <c r="BE24" s="44">
        <f t="shared" si="22"/>
        <v>0</v>
      </c>
      <c r="BF24" s="44">
        <f t="shared" si="22"/>
        <v>0</v>
      </c>
      <c r="BG24" s="44">
        <f t="shared" si="22"/>
        <v>0</v>
      </c>
      <c r="BH24" s="44">
        <f t="shared" si="22"/>
        <v>0</v>
      </c>
      <c r="BI24" s="44">
        <f t="shared" si="22"/>
        <v>0</v>
      </c>
      <c r="BJ24" s="44">
        <f t="shared" si="22"/>
        <v>0</v>
      </c>
      <c r="BK24" s="44">
        <f t="shared" si="22"/>
        <v>0</v>
      </c>
      <c r="BL24" s="44">
        <f t="shared" si="22"/>
        <v>0</v>
      </c>
      <c r="BM24" s="44">
        <f t="shared" si="22"/>
        <v>0</v>
      </c>
      <c r="BN24" s="44">
        <f t="shared" si="22"/>
        <v>0</v>
      </c>
      <c r="BS24" s="442" t="e">
        <f>SUM(BS20:BS23)</f>
        <v>#REF!</v>
      </c>
      <c r="BU24" t="str">
        <v>Total</v>
      </c>
      <c r="BV24" s="44">
        <v>104.06555924434093</v>
      </c>
      <c r="BW24" s="169">
        <v>0</v>
      </c>
    </row>
    <row r="25" spans="1:75" s="68" customFormat="1" outlineLevel="1">
      <c r="A25" s="62"/>
      <c r="B25" s="62" t="s">
        <v>197</v>
      </c>
      <c r="C25" s="63" t="s">
        <v>153</v>
      </c>
      <c r="D25" s="64">
        <f>D18-D21-D24</f>
        <v>5.631954887218045E-2</v>
      </c>
      <c r="E25" s="64">
        <f t="shared" ref="E25:AG25" si="23">E18-E21-E24</f>
        <v>5.7124373709812576E-2</v>
      </c>
      <c r="F25" s="64">
        <f t="shared" si="23"/>
        <v>5.7940699758520439E-2</v>
      </c>
      <c r="G25" s="64">
        <f t="shared" si="23"/>
        <v>5.8768691374385056E-2</v>
      </c>
      <c r="H25" s="64">
        <f t="shared" si="23"/>
        <v>5.9608515262189764E-2</v>
      </c>
      <c r="I25" s="64">
        <f t="shared" si="23"/>
        <v>6.0460340508983974E-2</v>
      </c>
      <c r="J25" s="64">
        <f t="shared" si="23"/>
        <v>6.1324338618126535E-2</v>
      </c>
      <c r="K25" s="64">
        <f t="shared" si="23"/>
        <v>6.2200683543815569E-2</v>
      </c>
      <c r="L25" s="64">
        <f t="shared" si="23"/>
        <v>6.3089551726111789E-2</v>
      </c>
      <c r="M25" s="64">
        <f t="shared" si="23"/>
        <v>6.3991122126462296E-2</v>
      </c>
      <c r="N25" s="64">
        <f t="shared" si="23"/>
        <v>6.4905576263731973E-2</v>
      </c>
      <c r="O25" s="241">
        <f t="shared" si="23"/>
        <v>6.5833098250749886E-2</v>
      </c>
      <c r="P25" s="64">
        <f t="shared" si="23"/>
        <v>6.6773874831377852E-2</v>
      </c>
      <c r="Q25" s="64">
        <f t="shared" si="23"/>
        <v>6.7728095418108744E-2</v>
      </c>
      <c r="R25" s="64">
        <f t="shared" si="23"/>
        <v>6.8695952130202145E-2</v>
      </c>
      <c r="S25" s="64">
        <f t="shared" si="23"/>
        <v>6.9677639832364899E-2</v>
      </c>
      <c r="T25" s="64">
        <f t="shared" si="23"/>
        <v>7.0673356173984472E-2</v>
      </c>
      <c r="U25" s="64">
        <f t="shared" si="23"/>
        <v>7.1683301628922946E-2</v>
      </c>
      <c r="V25" s="64">
        <f t="shared" si="23"/>
        <v>7.2707679535879699E-2</v>
      </c>
      <c r="W25" s="64">
        <f t="shared" si="23"/>
        <v>7.3746696139330825E-2</v>
      </c>
      <c r="X25" s="64">
        <f>X18-X21-X24</f>
        <v>7.4800560631053711E-2</v>
      </c>
      <c r="Y25" s="241">
        <f t="shared" si="23"/>
        <v>7.5869485192244873E-2</v>
      </c>
      <c r="Z25" s="64">
        <f t="shared" si="23"/>
        <v>7.6953685036239769E-2</v>
      </c>
      <c r="AA25" s="64">
        <f t="shared" si="23"/>
        <v>7.805337845184307E-2</v>
      </c>
      <c r="AB25" s="64">
        <f t="shared" si="23"/>
        <v>7.91687868472781E-2</v>
      </c>
      <c r="AC25" s="64">
        <f t="shared" si="23"/>
        <v>8.0300134794764347E-2</v>
      </c>
      <c r="AD25" s="64">
        <f t="shared" si="23"/>
        <v>8.1447650075732042E-2</v>
      </c>
      <c r="AE25" s="64">
        <f t="shared" si="23"/>
        <v>8.2611563726682796E-2</v>
      </c>
      <c r="AF25" s="64">
        <f t="shared" si="23"/>
        <v>8.3792110085705668E-2</v>
      </c>
      <c r="AG25" s="64">
        <f t="shared" si="23"/>
        <v>8.4989526839657908E-2</v>
      </c>
      <c r="AH25" s="64">
        <f>AH18-AH21-AH24</f>
        <v>8.6204055072019975E-2</v>
      </c>
      <c r="AJ25" s="64">
        <f>AJ18-AJ21-AJ24</f>
        <v>5.631954887218045E-2</v>
      </c>
      <c r="AK25" s="64">
        <f t="shared" ref="AK25:BC25" si="24">AK18-AK21-AK24</f>
        <v>5.7124373709812576E-2</v>
      </c>
      <c r="AL25" s="64">
        <f t="shared" si="24"/>
        <v>5.7940699758520439E-2</v>
      </c>
      <c r="AM25" s="64">
        <f t="shared" si="24"/>
        <v>5.8768691374385056E-2</v>
      </c>
      <c r="AN25" s="64">
        <f t="shared" si="24"/>
        <v>5.9608515262189764E-2</v>
      </c>
      <c r="AO25" s="64">
        <f t="shared" si="24"/>
        <v>6.0460340508983974E-2</v>
      </c>
      <c r="AP25" s="64">
        <f t="shared" si="24"/>
        <v>6.1324338618126535E-2</v>
      </c>
      <c r="AQ25" s="64">
        <f t="shared" si="24"/>
        <v>6.2200683543815569E-2</v>
      </c>
      <c r="AR25" s="64">
        <f t="shared" si="24"/>
        <v>6.3089551726111789E-2</v>
      </c>
      <c r="AS25" s="64">
        <f t="shared" si="24"/>
        <v>6.3991122126462296E-2</v>
      </c>
      <c r="AT25" s="64">
        <f t="shared" si="24"/>
        <v>6.4905576263731973E-2</v>
      </c>
      <c r="AU25" s="241">
        <f t="shared" si="24"/>
        <v>6.5833098250749886E-2</v>
      </c>
      <c r="AV25" s="64">
        <f t="shared" si="24"/>
        <v>6.6773874831377852E-2</v>
      </c>
      <c r="AW25" s="64">
        <f t="shared" si="24"/>
        <v>6.7728095418108744E-2</v>
      </c>
      <c r="AX25" s="64">
        <f t="shared" si="24"/>
        <v>6.8695952130202145E-2</v>
      </c>
      <c r="AY25" s="64">
        <f t="shared" si="24"/>
        <v>6.9677639832364899E-2</v>
      </c>
      <c r="AZ25" s="64">
        <f t="shared" si="24"/>
        <v>7.0673356173984472E-2</v>
      </c>
      <c r="BA25" s="64">
        <f t="shared" si="24"/>
        <v>7.1683301628922946E-2</v>
      </c>
      <c r="BB25" s="64">
        <f t="shared" si="24"/>
        <v>7.2707679535879699E-2</v>
      </c>
      <c r="BC25" s="64">
        <f t="shared" si="24"/>
        <v>7.3746696139330825E-2</v>
      </c>
      <c r="BD25" s="64">
        <f>BD18-BD21-BD24</f>
        <v>7.4800560631053711E-2</v>
      </c>
      <c r="BE25" s="241">
        <f t="shared" ref="BE25:BM25" si="25">BE18-BE21-BE24</f>
        <v>7.5869485192244873E-2</v>
      </c>
      <c r="BF25" s="64">
        <f t="shared" si="25"/>
        <v>7.6953685036239769E-2</v>
      </c>
      <c r="BG25" s="64">
        <f t="shared" si="25"/>
        <v>7.805337845184307E-2</v>
      </c>
      <c r="BH25" s="64">
        <f t="shared" si="25"/>
        <v>7.91687868472781E-2</v>
      </c>
      <c r="BI25" s="64">
        <f t="shared" si="25"/>
        <v>8.0300134794764347E-2</v>
      </c>
      <c r="BJ25" s="64">
        <f t="shared" si="25"/>
        <v>8.1447650075732042E-2</v>
      </c>
      <c r="BK25" s="64">
        <f t="shared" si="25"/>
        <v>8.2611563726682796E-2</v>
      </c>
      <c r="BL25" s="64">
        <f t="shared" si="25"/>
        <v>8.3792110085705668E-2</v>
      </c>
      <c r="BM25" s="64">
        <f t="shared" si="25"/>
        <v>8.4989526839657908E-2</v>
      </c>
      <c r="BN25" s="64">
        <f>BN18-BN21-BN24</f>
        <v>8.6204055072019975E-2</v>
      </c>
      <c r="BR25" s="68" t="s">
        <v>53</v>
      </c>
      <c r="BS25" s="284">
        <f>D4</f>
        <v>14.947368421052632</v>
      </c>
    </row>
    <row r="26" spans="1:75" s="1" customFormat="1" outlineLevel="1">
      <c r="A26" s="1" t="s">
        <v>204</v>
      </c>
      <c r="B26" s="1" t="s">
        <v>199</v>
      </c>
      <c r="C26" s="65" t="s">
        <v>153</v>
      </c>
      <c r="D26" s="66">
        <f>'Demand Breakdown - C4'!O27</f>
        <v>1.8779766917293235</v>
      </c>
      <c r="E26" s="66">
        <f>D26*(1+'Demand Breakdown - C4'!$K$27)</f>
        <v>1.9048135950118452</v>
      </c>
      <c r="F26" s="66">
        <f>E26*(1+'Demand Breakdown - C4'!$K$27)</f>
        <v>1.9320340064502282</v>
      </c>
      <c r="G26" s="66">
        <f>F26*(1+'Demand Breakdown - C4'!$K$27)</f>
        <v>1.9596434065018882</v>
      </c>
      <c r="H26" s="66">
        <f>G26*(1+'Demand Breakdown - C4'!$K$27)</f>
        <v>1.9876473539417761</v>
      </c>
      <c r="I26" s="66">
        <f>H26*(1+'Demand Breakdown - C4'!$K$27)</f>
        <v>2.0160514869815613</v>
      </c>
      <c r="J26" s="66">
        <f>I26*(1+'Demand Breakdown - C4'!$K$27)</f>
        <v>2.044861524404809</v>
      </c>
      <c r="K26" s="66">
        <f>J26*(1+'Demand Breakdown - C4'!$K$27)</f>
        <v>2.0740832667183775</v>
      </c>
      <c r="L26" s="66">
        <f>K26*(1+'Demand Breakdown - C4'!$K$27)</f>
        <v>2.1037225973202722</v>
      </c>
      <c r="M26" s="66">
        <f>L26*(1+'Demand Breakdown - C4'!$K$27)</f>
        <v>2.133785483684187</v>
      </c>
      <c r="N26" s="66">
        <f>M26*(1+'Demand Breakdown - C4'!$K$27)</f>
        <v>2.1642779785609738</v>
      </c>
      <c r="O26" s="66">
        <f>N26*(1+'Demand Breakdown - C4'!$K$27)</f>
        <v>2.1952062211972803</v>
      </c>
      <c r="P26" s="66">
        <f>O26*(1+'Demand Breakdown - C4'!$K$27)</f>
        <v>2.2265764385716036</v>
      </c>
      <c r="Q26" s="66">
        <f>P26*(1+'Demand Breakdown - C4'!$K$27)</f>
        <v>2.2583949466480076</v>
      </c>
      <c r="R26" s="66">
        <f>Q26*(1+'Demand Breakdown - C4'!$K$27)</f>
        <v>2.2906681516477554</v>
      </c>
      <c r="S26" s="66">
        <f>R26*(1+'Demand Breakdown - C4'!$K$27)</f>
        <v>2.3234025513391146</v>
      </c>
      <c r="T26" s="66">
        <f>S26*(1+'Demand Breakdown - C4'!$K$27)</f>
        <v>2.3566047363455933</v>
      </c>
      <c r="U26" s="66">
        <f>T26*(1+'Demand Breakdown - C4'!$K$27)</f>
        <v>2.3902813914728736</v>
      </c>
      <c r="V26" s="66">
        <f>U26*(1+'Demand Breakdown - C4'!$K$27)</f>
        <v>2.4244392970547044</v>
      </c>
      <c r="W26" s="66">
        <f>V26*(1+'Demand Breakdown - C4'!$K$27)</f>
        <v>2.4590853303180289</v>
      </c>
      <c r="X26" s="66">
        <f>W26*(1+'Demand Breakdown - C4'!$K$27)</f>
        <v>2.4942264667676204</v>
      </c>
      <c r="Y26" s="66">
        <f>X26*(1+'Demand Breakdown - C4'!$K$27)</f>
        <v>2.5298697815905054</v>
      </c>
      <c r="Z26" s="66">
        <f>Y26*(1+'Demand Breakdown - C4'!$K$27)</f>
        <v>2.5660224510804546</v>
      </c>
      <c r="AA26" s="66">
        <f>Z26*(1+'Demand Breakdown - C4'!$K$27)</f>
        <v>2.6026917540828323</v>
      </c>
      <c r="AB26" s="66">
        <f>AA26*(1+'Demand Breakdown - C4'!$K$27)</f>
        <v>2.6398850734600918</v>
      </c>
      <c r="AC26" s="66">
        <f>AB26*(1+'Demand Breakdown - C4'!$K$27)</f>
        <v>2.6776098975782139</v>
      </c>
      <c r="AD26" s="66">
        <f>AC26*(1+'Demand Breakdown - C4'!$K$27)</f>
        <v>2.715873821814387</v>
      </c>
      <c r="AE26" s="66">
        <f>AD26*(1+'Demand Breakdown - C4'!$K$27)</f>
        <v>2.7546845500862323</v>
      </c>
      <c r="AF26" s="66">
        <f>AE26*(1+'Demand Breakdown - C4'!$K$27)</f>
        <v>2.7940498964028819</v>
      </c>
      <c r="AG26" s="66">
        <f>AF26*(1+'Demand Breakdown - C4'!$K$27)</f>
        <v>2.8339777864382243</v>
      </c>
      <c r="AH26" s="66">
        <f>AG26*(1+'Demand Breakdown - C4'!$K$27)</f>
        <v>2.8744762591266273</v>
      </c>
      <c r="AJ26" s="66">
        <f>D26</f>
        <v>1.8779766917293235</v>
      </c>
      <c r="AK26" s="66">
        <f t="shared" ref="AK26:BN26" si="26">E26</f>
        <v>1.9048135950118452</v>
      </c>
      <c r="AL26" s="66">
        <f t="shared" si="26"/>
        <v>1.9320340064502282</v>
      </c>
      <c r="AM26" s="66">
        <f t="shared" si="26"/>
        <v>1.9596434065018882</v>
      </c>
      <c r="AN26" s="66">
        <f t="shared" si="26"/>
        <v>1.9876473539417761</v>
      </c>
      <c r="AO26" s="66">
        <f t="shared" si="26"/>
        <v>2.0160514869815613</v>
      </c>
      <c r="AP26" s="66">
        <f t="shared" si="26"/>
        <v>2.044861524404809</v>
      </c>
      <c r="AQ26" s="66">
        <f t="shared" si="26"/>
        <v>2.0740832667183775</v>
      </c>
      <c r="AR26" s="66">
        <f t="shared" si="26"/>
        <v>2.1037225973202722</v>
      </c>
      <c r="AS26" s="66">
        <f t="shared" si="26"/>
        <v>2.133785483684187</v>
      </c>
      <c r="AT26" s="66">
        <f t="shared" si="26"/>
        <v>2.1642779785609738</v>
      </c>
      <c r="AU26" s="66">
        <f t="shared" si="26"/>
        <v>2.1952062211972803</v>
      </c>
      <c r="AV26" s="66">
        <f t="shared" si="26"/>
        <v>2.2265764385716036</v>
      </c>
      <c r="AW26" s="66">
        <f t="shared" si="26"/>
        <v>2.2583949466480076</v>
      </c>
      <c r="AX26" s="66">
        <f t="shared" si="26"/>
        <v>2.2906681516477554</v>
      </c>
      <c r="AY26" s="66">
        <f t="shared" si="26"/>
        <v>2.3234025513391146</v>
      </c>
      <c r="AZ26" s="66">
        <f t="shared" si="26"/>
        <v>2.3566047363455933</v>
      </c>
      <c r="BA26" s="66">
        <f t="shared" si="26"/>
        <v>2.3902813914728736</v>
      </c>
      <c r="BB26" s="66">
        <f t="shared" si="26"/>
        <v>2.4244392970547044</v>
      </c>
      <c r="BC26" s="66">
        <f t="shared" si="26"/>
        <v>2.4590853303180289</v>
      </c>
      <c r="BD26" s="66">
        <f t="shared" si="26"/>
        <v>2.4942264667676204</v>
      </c>
      <c r="BE26" s="66">
        <f t="shared" si="26"/>
        <v>2.5298697815905054</v>
      </c>
      <c r="BF26" s="66">
        <f t="shared" si="26"/>
        <v>2.5660224510804546</v>
      </c>
      <c r="BG26" s="66">
        <f t="shared" si="26"/>
        <v>2.6026917540828323</v>
      </c>
      <c r="BH26" s="66">
        <f t="shared" si="26"/>
        <v>2.6398850734600918</v>
      </c>
      <c r="BI26" s="66">
        <f t="shared" si="26"/>
        <v>2.6776098975782139</v>
      </c>
      <c r="BJ26" s="66">
        <f t="shared" si="26"/>
        <v>2.715873821814387</v>
      </c>
      <c r="BK26" s="66">
        <f t="shared" si="26"/>
        <v>2.7546845500862323</v>
      </c>
      <c r="BL26" s="66">
        <f t="shared" si="26"/>
        <v>2.7940498964028819</v>
      </c>
      <c r="BM26" s="66">
        <f t="shared" si="26"/>
        <v>2.8339777864382243</v>
      </c>
      <c r="BN26" s="66">
        <f t="shared" si="26"/>
        <v>2.8744762591266273</v>
      </c>
    </row>
    <row r="27" spans="1:75" outlineLevel="1">
      <c r="B27" s="1" t="s">
        <v>168</v>
      </c>
      <c r="C27" s="54" t="s">
        <v>153</v>
      </c>
      <c r="D27">
        <v>0</v>
      </c>
      <c r="E27" s="43">
        <f>E26*'R&amp;S - Buildings'!$H$7*'R&amp;S - Buildings'!$B$11*'R&amp;S - Buildings'!$B$15*('Yearly Butadiene'!E$3-'Yearly Butadiene'!$D$3)/10</f>
        <v>0</v>
      </c>
      <c r="F27" s="43">
        <f>F26*'R&amp;S - Buildings'!$H$7*'R&amp;S - Buildings'!$B$11*'R&amp;S - Buildings'!$B$15*('Yearly Butadiene'!F$3-'Yearly Butadiene'!$D$3)/10</f>
        <v>0</v>
      </c>
      <c r="G27" s="43">
        <f>G26*'R&amp;S - Buildings'!$H$7*'R&amp;S - Buildings'!$B$11*'R&amp;S - Buildings'!$B$15*('Yearly Butadiene'!G$3-'Yearly Butadiene'!$D$3)/10</f>
        <v>0</v>
      </c>
      <c r="H27" s="43">
        <f>H26*'R&amp;S - Buildings'!$H$7*'R&amp;S - Buildings'!$B$11*'R&amp;S - Buildings'!$B$15*('Yearly Butadiene'!H$3-'Yearly Butadiene'!$D$3)/10</f>
        <v>0</v>
      </c>
      <c r="I27" s="43">
        <f>I26*'R&amp;S - Buildings'!$H$7*'R&amp;S - Buildings'!$B$11*'R&amp;S - Buildings'!$B$15*('Yearly Butadiene'!I$3-'Yearly Butadiene'!$D$3)/10</f>
        <v>0</v>
      </c>
      <c r="J27" s="43">
        <f>J26*'R&amp;S - Buildings'!$H$7*'R&amp;S - Buildings'!$B$11*'R&amp;S - Buildings'!$B$15*('Yearly Butadiene'!J$3-'Yearly Butadiene'!$D$3)/10</f>
        <v>0</v>
      </c>
      <c r="K27" s="43">
        <f>K26*'R&amp;S - Buildings'!$H$7*'R&amp;S - Buildings'!$B$11*'R&amp;S - Buildings'!$B$15*('Yearly Butadiene'!K$3-'Yearly Butadiene'!$D$3)/10</f>
        <v>0</v>
      </c>
      <c r="L27" s="43">
        <f>L26*'R&amp;S - Buildings'!$H$7*'R&amp;S - Buildings'!$B$11*'R&amp;S - Buildings'!$B$15*('Yearly Butadiene'!L$3-'Yearly Butadiene'!$D$3)/10</f>
        <v>0</v>
      </c>
      <c r="M27" s="43">
        <f>M26*'R&amp;S - Buildings'!$H$7*'R&amp;S - Buildings'!$B$11*'R&amp;S - Buildings'!$B$15*('Yearly Butadiene'!M$3-'Yearly Butadiene'!$D$3)/10</f>
        <v>0</v>
      </c>
      <c r="N27" s="43">
        <f>N26*'R&amp;S - Buildings'!$H$7*'R&amp;S - Buildings'!$B$11*'R&amp;S - Buildings'!$B$15*('Yearly Butadiene'!N$3-'Yearly Butadiene'!$D$3)/10</f>
        <v>0</v>
      </c>
      <c r="O27" s="43">
        <f>O26*'R&amp;S - Buildings'!$H$7*('R&amp;S - Buildings'!$B$11*('R&amp;S - Buildings'!$B$15+('R&amp;S - Buildings'!$B$16-'R&amp;S - Buildings'!$B$15)*('Yearly Butadiene'!O$3-'Yearly Butadiene'!$N$3)/10))</f>
        <v>0</v>
      </c>
      <c r="P27" s="43">
        <f>P26*'R&amp;S - Buildings'!$H$7*('R&amp;S - Buildings'!$B$11*('R&amp;S - Buildings'!$B$15+('R&amp;S - Buildings'!$B$16-'R&amp;S - Buildings'!$B$15)*('Yearly Butadiene'!P$3-'Yearly Butadiene'!$N$3)/10))</f>
        <v>0</v>
      </c>
      <c r="Q27" s="43">
        <f>Q26*'R&amp;S - Buildings'!$H$7*('R&amp;S - Buildings'!$B$11*('R&amp;S - Buildings'!$B$15+('R&amp;S - Buildings'!$B$16-'R&amp;S - Buildings'!$B$15)*('Yearly Butadiene'!Q$3-'Yearly Butadiene'!$N$3)/10))</f>
        <v>0</v>
      </c>
      <c r="R27" s="43">
        <f>R26*'R&amp;S - Buildings'!$H$7*('R&amp;S - Buildings'!$B$11*('R&amp;S - Buildings'!$B$15+('R&amp;S - Buildings'!$B$16-'R&amp;S - Buildings'!$B$15)*('Yearly Butadiene'!R$3-'Yearly Butadiene'!$N$3)/10))</f>
        <v>0</v>
      </c>
      <c r="S27" s="43">
        <f>S26*'R&amp;S - Buildings'!$H$7*('R&amp;S - Buildings'!$B$11*('R&amp;S - Buildings'!$B$15+('R&amp;S - Buildings'!$B$16-'R&amp;S - Buildings'!$B$15)*('Yearly Butadiene'!S$3-'Yearly Butadiene'!$N$3)/10))</f>
        <v>0</v>
      </c>
      <c r="T27" s="43">
        <f>T26*'R&amp;S - Buildings'!$H$7*('R&amp;S - Buildings'!$B$11*('R&amp;S - Buildings'!$B$15+('R&amp;S - Buildings'!$B$16-'R&amp;S - Buildings'!$B$15)*('Yearly Butadiene'!T$3-'Yearly Butadiene'!$N$3)/10))</f>
        <v>0</v>
      </c>
      <c r="U27" s="43">
        <f>U26*'R&amp;S - Buildings'!$H$7*('R&amp;S - Buildings'!$B$11*('R&amp;S - Buildings'!$B$15+('R&amp;S - Buildings'!$B$16-'R&amp;S - Buildings'!$B$15)*('Yearly Butadiene'!U$3-'Yearly Butadiene'!$N$3)/10))</f>
        <v>0</v>
      </c>
      <c r="V27" s="43">
        <f>V26*'R&amp;S - Buildings'!$H$7*('R&amp;S - Buildings'!$B$11*('R&amp;S - Buildings'!$B$15+('R&amp;S - Buildings'!$B$16-'R&amp;S - Buildings'!$B$15)*('Yearly Butadiene'!V$3-'Yearly Butadiene'!$N$3)/10))</f>
        <v>0</v>
      </c>
      <c r="W27" s="43">
        <f>W26*'R&amp;S - Buildings'!$H$7*('R&amp;S - Buildings'!$B$11*('R&amp;S - Buildings'!$B$15+('R&amp;S - Buildings'!$B$16-'R&amp;S - Buildings'!$B$15)*('Yearly Butadiene'!W$3-'Yearly Butadiene'!$N$3)/10))</f>
        <v>0</v>
      </c>
      <c r="X27" s="43">
        <f>X26*'R&amp;S - Buildings'!$H$7*('R&amp;S - Buildings'!$B$11*('R&amp;S - Buildings'!$B$15+('R&amp;S - Buildings'!$B$16-'R&amp;S - Buildings'!$B$15)*('Yearly Butadiene'!X$3-'Yearly Butadiene'!$N$3)/10))</f>
        <v>0</v>
      </c>
      <c r="Y27" s="43">
        <f>Y26*'R&amp;S - Buildings'!$H$7*('R&amp;S - Buildings'!$B$11*('R&amp;S - Buildings'!$B$16+('R&amp;S - Buildings'!$B$17-'R&amp;S - Buildings'!$B$16)*('Yearly Butadiene'!Y$3-'Yearly Butadiene'!$X$3)/10))</f>
        <v>0</v>
      </c>
      <c r="Z27" s="43">
        <f>Z26*'R&amp;S - Buildings'!$H$7*('R&amp;S - Buildings'!$B$11*('R&amp;S - Buildings'!$B$16+('R&amp;S - Buildings'!$B$17-'R&amp;S - Buildings'!$B$16)*('Yearly Butadiene'!Z$3-'Yearly Butadiene'!$X$3)/10))</f>
        <v>0</v>
      </c>
      <c r="AA27" s="43">
        <f>AA26*'R&amp;S - Buildings'!$H$7*('R&amp;S - Buildings'!$B$11*('R&amp;S - Buildings'!$B$16+('R&amp;S - Buildings'!$B$17-'R&amp;S - Buildings'!$B$16)*('Yearly Butadiene'!AA$3-'Yearly Butadiene'!$X$3)/10))</f>
        <v>0</v>
      </c>
      <c r="AB27" s="43">
        <f>AB26*'R&amp;S - Buildings'!$H$7*('R&amp;S - Buildings'!$B$11*('R&amp;S - Buildings'!$B$16+('R&amp;S - Buildings'!$B$17-'R&amp;S - Buildings'!$B$16)*('Yearly Butadiene'!AB$3-'Yearly Butadiene'!$X$3)/10))</f>
        <v>0</v>
      </c>
      <c r="AC27" s="43">
        <f>AC26*'R&amp;S - Buildings'!$H$7*('R&amp;S - Buildings'!$B$11*('R&amp;S - Buildings'!$B$16+('R&amp;S - Buildings'!$B$17-'R&amp;S - Buildings'!$B$16)*('Yearly Butadiene'!AC$3-'Yearly Butadiene'!$X$3)/10))</f>
        <v>0</v>
      </c>
      <c r="AD27" s="43">
        <f>AD26*'R&amp;S - Buildings'!$H$7*('R&amp;S - Buildings'!$B$11*('R&amp;S - Buildings'!$B$16+('R&amp;S - Buildings'!$B$17-'R&amp;S - Buildings'!$B$16)*('Yearly Butadiene'!AD$3-'Yearly Butadiene'!$X$3)/10))</f>
        <v>0</v>
      </c>
      <c r="AE27" s="43">
        <f>AE26*'R&amp;S - Buildings'!$H$7*('R&amp;S - Buildings'!$B$11*('R&amp;S - Buildings'!$B$16+('R&amp;S - Buildings'!$B$17-'R&amp;S - Buildings'!$B$16)*('Yearly Butadiene'!AE$3-'Yearly Butadiene'!$X$3)/10))</f>
        <v>0</v>
      </c>
      <c r="AF27" s="43">
        <f>AF26*'R&amp;S - Buildings'!$H$7*('R&amp;S - Buildings'!$B$11*('R&amp;S - Buildings'!$B$16+('R&amp;S - Buildings'!$B$17-'R&amp;S - Buildings'!$B$16)*('Yearly Butadiene'!AF$3-'Yearly Butadiene'!$X$3)/10))</f>
        <v>0</v>
      </c>
      <c r="AG27" s="43">
        <f>AG26*'R&amp;S - Buildings'!$H$7*('R&amp;S - Buildings'!$B$11*('R&amp;S - Buildings'!$B$16+('R&amp;S - Buildings'!$B$17-'R&amp;S - Buildings'!$B$16)*('Yearly Butadiene'!AG$3-'Yearly Butadiene'!$X$3)/10))</f>
        <v>0</v>
      </c>
      <c r="AH27" s="43">
        <f>AH26*'R&amp;S - Buildings'!$H$7*('R&amp;S - Buildings'!$B$11*('R&amp;S - Buildings'!$B$16+('R&amp;S - Buildings'!$B$17-'R&amp;S - Buildings'!$B$16)*('Yearly Butadiene'!AH$3-'Yearly Butadiene'!$X$3)/10))</f>
        <v>0</v>
      </c>
      <c r="AJ27">
        <v>0</v>
      </c>
      <c r="AK27" s="43">
        <f>AK26*'R&amp;S - Buildings'!$H$7*'R&amp;S - Buildings'!$B$12*'R&amp;S - Buildings'!$B$15*('Yearly Butadiene'!AK$3-'Yearly Butadiene'!$D$3)/10</f>
        <v>0</v>
      </c>
      <c r="AL27" s="43">
        <f>AL26*'R&amp;S - Buildings'!$H$7*'R&amp;S - Buildings'!$B$12*'R&amp;S - Buildings'!$B$15*('Yearly Butadiene'!AL$3-'Yearly Butadiene'!$D$3)/10</f>
        <v>0</v>
      </c>
      <c r="AM27" s="43">
        <f>AM26*'R&amp;S - Buildings'!$H$7*'R&amp;S - Buildings'!$B$12*'R&amp;S - Buildings'!$B$15*('Yearly Butadiene'!AM$3-'Yearly Butadiene'!$D$3)/10</f>
        <v>0</v>
      </c>
      <c r="AN27" s="43">
        <f>AN26*'R&amp;S - Buildings'!$H$7*'R&amp;S - Buildings'!$B$12*'R&amp;S - Buildings'!$B$15*('Yearly Butadiene'!AN$3-'Yearly Butadiene'!$D$3)/10</f>
        <v>0</v>
      </c>
      <c r="AO27" s="43">
        <f>AO26*'R&amp;S - Buildings'!$H$7*'R&amp;S - Buildings'!$B$12*'R&amp;S - Buildings'!$B$15*('Yearly Butadiene'!AO$3-'Yearly Butadiene'!$D$3)/10</f>
        <v>0</v>
      </c>
      <c r="AP27" s="43">
        <f>AP26*'R&amp;S - Buildings'!$H$7*'R&amp;S - Buildings'!$B$12*'R&amp;S - Buildings'!$B$15*('Yearly Butadiene'!AP$3-'Yearly Butadiene'!$D$3)/10</f>
        <v>0</v>
      </c>
      <c r="AQ27" s="43">
        <f>AQ26*'R&amp;S - Buildings'!$H$7*'R&amp;S - Buildings'!$B$12*'R&amp;S - Buildings'!$B$15*('Yearly Butadiene'!AQ$3-'Yearly Butadiene'!$D$3)/10</f>
        <v>0</v>
      </c>
      <c r="AR27" s="43">
        <f>AR26*'R&amp;S - Buildings'!$H$7*'R&amp;S - Buildings'!$B$12*'R&amp;S - Buildings'!$B$15*('Yearly Butadiene'!AR$3-'Yearly Butadiene'!$D$3)/10</f>
        <v>0</v>
      </c>
      <c r="AS27" s="43">
        <f>AS26*'R&amp;S - Buildings'!$H$7*'R&amp;S - Buildings'!$B$12*'R&amp;S - Buildings'!$B$15*('Yearly Butadiene'!AS$3-'Yearly Butadiene'!$D$3)/10</f>
        <v>0</v>
      </c>
      <c r="AT27" s="43">
        <f>AT26*'R&amp;S - Buildings'!$H$7*'R&amp;S - Buildings'!$B$12*'R&amp;S - Buildings'!$B$15*('Yearly Butadiene'!AT$3-'Yearly Butadiene'!$D$3)/10</f>
        <v>0</v>
      </c>
      <c r="AU27" s="43">
        <f>AU26*'R&amp;S - Buildings'!$H$7*('R&amp;S - Buildings'!$B$12*('R&amp;S - Buildings'!$B$15+('R&amp;S - Buildings'!$B$16-'R&amp;S - Buildings'!$B$15)*('Yearly Butadiene'!AU$3-'Yearly Butadiene'!$N$3)/10))</f>
        <v>0</v>
      </c>
      <c r="AV27" s="43">
        <f>AV26*'R&amp;S - Buildings'!$H$7*('R&amp;S - Buildings'!$B$12*('R&amp;S - Buildings'!$B$15+('R&amp;S - Buildings'!$B$16-'R&amp;S - Buildings'!$B$15)*('Yearly Butadiene'!AV$3-'Yearly Butadiene'!$N$3)/10))</f>
        <v>0</v>
      </c>
      <c r="AW27" s="43">
        <f>AW26*'R&amp;S - Buildings'!$H$7*('R&amp;S - Buildings'!$B$12*('R&amp;S - Buildings'!$B$15+('R&amp;S - Buildings'!$B$16-'R&amp;S - Buildings'!$B$15)*('Yearly Butadiene'!AW$3-'Yearly Butadiene'!$N$3)/10))</f>
        <v>0</v>
      </c>
      <c r="AX27" s="43">
        <f>AX26*'R&amp;S - Buildings'!$H$7*('R&amp;S - Buildings'!$B$12*('R&amp;S - Buildings'!$B$15+('R&amp;S - Buildings'!$B$16-'R&amp;S - Buildings'!$B$15)*('Yearly Butadiene'!AX$3-'Yearly Butadiene'!$N$3)/10))</f>
        <v>0</v>
      </c>
      <c r="AY27" s="43">
        <f>AY26*'R&amp;S - Buildings'!$H$7*('R&amp;S - Buildings'!$B$12*('R&amp;S - Buildings'!$B$15+('R&amp;S - Buildings'!$B$16-'R&amp;S - Buildings'!$B$15)*('Yearly Butadiene'!AY$3-'Yearly Butadiene'!$N$3)/10))</f>
        <v>0</v>
      </c>
      <c r="AZ27" s="43">
        <f>AZ26*'R&amp;S - Buildings'!$H$7*('R&amp;S - Buildings'!$B$12*('R&amp;S - Buildings'!$B$15+('R&amp;S - Buildings'!$B$16-'R&amp;S - Buildings'!$B$15)*('Yearly Butadiene'!AZ$3-'Yearly Butadiene'!$N$3)/10))</f>
        <v>0</v>
      </c>
      <c r="BA27" s="43">
        <f>BA26*'R&amp;S - Buildings'!$H$7*('R&amp;S - Buildings'!$B$12*('R&amp;S - Buildings'!$B$15+('R&amp;S - Buildings'!$B$16-'R&amp;S - Buildings'!$B$15)*('Yearly Butadiene'!BA$3-'Yearly Butadiene'!$N$3)/10))</f>
        <v>0</v>
      </c>
      <c r="BB27" s="43">
        <f>BB26*'R&amp;S - Buildings'!$H$7*('R&amp;S - Buildings'!$B$12*('R&amp;S - Buildings'!$B$15+('R&amp;S - Buildings'!$B$16-'R&amp;S - Buildings'!$B$15)*('Yearly Butadiene'!BB$3-'Yearly Butadiene'!$N$3)/10))</f>
        <v>0</v>
      </c>
      <c r="BC27" s="43">
        <f>BC26*'R&amp;S - Buildings'!$H$7*('R&amp;S - Buildings'!$B$12*('R&amp;S - Buildings'!$B$15+('R&amp;S - Buildings'!$B$16-'R&amp;S - Buildings'!$B$15)*('Yearly Butadiene'!BC$3-'Yearly Butadiene'!$N$3)/10))</f>
        <v>0</v>
      </c>
      <c r="BD27" s="43">
        <f>BD26*'R&amp;S - Buildings'!$H$7*('R&amp;S - Buildings'!$B$12*('R&amp;S - Buildings'!$B$15+('R&amp;S - Buildings'!$B$16-'R&amp;S - Buildings'!$B$15)*('Yearly Butadiene'!BD$3-'Yearly Butadiene'!$N$3)/10))</f>
        <v>0</v>
      </c>
      <c r="BE27" s="43">
        <f>BE26*'R&amp;S - Buildings'!$H$7*('R&amp;S - Buildings'!$B$12*('R&amp;S - Buildings'!$B$16+('R&amp;S - Buildings'!$B$17-'R&amp;S - Buildings'!$B$16)*('Yearly Butadiene'!BE$3-'Yearly Butadiene'!$X$3)/10))</f>
        <v>0</v>
      </c>
      <c r="BF27" s="43">
        <f>BF26*'R&amp;S - Buildings'!$H$7*('R&amp;S - Buildings'!$B$12*('R&amp;S - Buildings'!$B$16+('R&amp;S - Buildings'!$B$17-'R&amp;S - Buildings'!$B$16)*('Yearly Butadiene'!BF$3-'Yearly Butadiene'!$X$3)/10))</f>
        <v>0</v>
      </c>
      <c r="BG27" s="43">
        <f>BG26*'R&amp;S - Buildings'!$H$7*('R&amp;S - Buildings'!$B$12*('R&amp;S - Buildings'!$B$16+('R&amp;S - Buildings'!$B$17-'R&amp;S - Buildings'!$B$16)*('Yearly Butadiene'!BG$3-'Yearly Butadiene'!$X$3)/10))</f>
        <v>0</v>
      </c>
      <c r="BH27" s="43">
        <f>BH26*'R&amp;S - Buildings'!$H$7*('R&amp;S - Buildings'!$B$12*('R&amp;S - Buildings'!$B$16+('R&amp;S - Buildings'!$B$17-'R&amp;S - Buildings'!$B$16)*('Yearly Butadiene'!BH$3-'Yearly Butadiene'!$X$3)/10))</f>
        <v>0</v>
      </c>
      <c r="BI27" s="43">
        <f>BI26*'R&amp;S - Buildings'!$H$7*('R&amp;S - Buildings'!$B$12*('R&amp;S - Buildings'!$B$16+('R&amp;S - Buildings'!$B$17-'R&amp;S - Buildings'!$B$16)*('Yearly Butadiene'!BI$3-'Yearly Butadiene'!$X$3)/10))</f>
        <v>0</v>
      </c>
      <c r="BJ27" s="43">
        <f>BJ26*'R&amp;S - Buildings'!$H$7*('R&amp;S - Buildings'!$B$12*('R&amp;S - Buildings'!$B$16+('R&amp;S - Buildings'!$B$17-'R&amp;S - Buildings'!$B$16)*('Yearly Butadiene'!BJ$3-'Yearly Butadiene'!$X$3)/10))</f>
        <v>0</v>
      </c>
      <c r="BK27" s="43">
        <f>BK26*'R&amp;S - Buildings'!$H$7*('R&amp;S - Buildings'!$B$12*('R&amp;S - Buildings'!$B$16+('R&amp;S - Buildings'!$B$17-'R&amp;S - Buildings'!$B$16)*('Yearly Butadiene'!BK$3-'Yearly Butadiene'!$X$3)/10))</f>
        <v>0</v>
      </c>
      <c r="BL27" s="43">
        <f>BL26*'R&amp;S - Buildings'!$H$7*('R&amp;S - Buildings'!$B$12*('R&amp;S - Buildings'!$B$16+('R&amp;S - Buildings'!$B$17-'R&amp;S - Buildings'!$B$16)*('Yearly Butadiene'!BL$3-'Yearly Butadiene'!$X$3)/10))</f>
        <v>0</v>
      </c>
      <c r="BM27" s="43">
        <f>BM26*'R&amp;S - Buildings'!$H$7*('R&amp;S - Buildings'!$B$12*('R&amp;S - Buildings'!$B$16+('R&amp;S - Buildings'!$B$17-'R&amp;S - Buildings'!$B$16)*('Yearly Butadiene'!BM$3-'Yearly Butadiene'!$X$3)/10))</f>
        <v>0</v>
      </c>
      <c r="BN27" s="43">
        <f>BN26*'R&amp;S - Buildings'!$H$7*('R&amp;S - Buildings'!$B$12*('R&amp;S - Buildings'!$B$16+('R&amp;S - Buildings'!$B$17-'R&amp;S - Buildings'!$B$16)*('Yearly Butadiene'!BN$3-'Yearly Butadiene'!$X$3)/10))</f>
        <v>0</v>
      </c>
    </row>
    <row r="28" spans="1:75" outlineLevel="1">
      <c r="B28" s="1" t="s">
        <v>172</v>
      </c>
      <c r="C28" s="54" t="s">
        <v>153</v>
      </c>
      <c r="D28">
        <v>0</v>
      </c>
      <c r="E28" s="43">
        <f>E26*'R&amp;S - Buildings'!$H$8*'R&amp;S - Buildings'!$C$11*'R&amp;S - Buildings'!$B$15*('Yearly Butadiene'!E$3-'Yearly Butadiene'!$D$3)/10</f>
        <v>0</v>
      </c>
      <c r="F28" s="43">
        <f>F26*'R&amp;S - Buildings'!$H$8*'R&amp;S - Buildings'!$C$11*'R&amp;S - Buildings'!$B$15*('Yearly Butadiene'!F$3-'Yearly Butadiene'!$D$3)/10</f>
        <v>0</v>
      </c>
      <c r="G28" s="43">
        <f>G26*'R&amp;S - Buildings'!$H$8*'R&amp;S - Buildings'!$C$11*'R&amp;S - Buildings'!$B$15*('Yearly Butadiene'!G$3-'Yearly Butadiene'!$D$3)/10</f>
        <v>0</v>
      </c>
      <c r="H28" s="43">
        <f>H26*'R&amp;S - Buildings'!$H$8*'R&amp;S - Buildings'!$C$11*'R&amp;S - Buildings'!$B$15*('Yearly Butadiene'!H$3-'Yearly Butadiene'!$D$3)/10</f>
        <v>0</v>
      </c>
      <c r="I28" s="43">
        <f>I26*'R&amp;S - Buildings'!$H$8*'R&amp;S - Buildings'!$C$11*'R&amp;S - Buildings'!$B$15*('Yearly Butadiene'!I$3-'Yearly Butadiene'!$D$3)/10</f>
        <v>0</v>
      </c>
      <c r="J28" s="43">
        <f>J26*'R&amp;S - Buildings'!$H$8*'R&amp;S - Buildings'!$C$11*'R&amp;S - Buildings'!$B$15*('Yearly Butadiene'!J$3-'Yearly Butadiene'!$D$3)/10</f>
        <v>0</v>
      </c>
      <c r="K28" s="43">
        <f>K26*'R&amp;S - Buildings'!$H$8*'R&amp;S - Buildings'!$C$11*'R&amp;S - Buildings'!$B$15*('Yearly Butadiene'!K$3-'Yearly Butadiene'!$D$3)/10</f>
        <v>0</v>
      </c>
      <c r="L28" s="43">
        <f>L26*'R&amp;S - Buildings'!$H$8*'R&amp;S - Buildings'!$C$11*'R&amp;S - Buildings'!$B$15*('Yearly Butadiene'!L$3-'Yearly Butadiene'!$D$3)/10</f>
        <v>0</v>
      </c>
      <c r="M28" s="43">
        <f>M26*'R&amp;S - Buildings'!$H$8*'R&amp;S - Buildings'!$C$11*'R&amp;S - Buildings'!$B$15*('Yearly Butadiene'!M$3-'Yearly Butadiene'!$D$3)/10</f>
        <v>0</v>
      </c>
      <c r="N28" s="43">
        <f>N26*'R&amp;S - Buildings'!$H$8*'R&amp;S - Buildings'!$C$11*'R&amp;S - Buildings'!$B$15*('Yearly Butadiene'!N$3-'Yearly Butadiene'!$D$3)/10</f>
        <v>0</v>
      </c>
      <c r="O28" s="43">
        <f>O26*'R&amp;S - Buildings'!$H$8*'R&amp;S - Buildings'!$C$11*('R&amp;S - Buildings'!$B$15+('R&amp;S - Buildings'!$B$16-'R&amp;S - Buildings'!$B$15)*('Yearly Butadiene'!O$3-'Yearly Butadiene'!$N$3)/10)</f>
        <v>0</v>
      </c>
      <c r="P28" s="43">
        <f>P26*'R&amp;S - Buildings'!$H$8*'R&amp;S - Buildings'!$C$11*('R&amp;S - Buildings'!$B$15+('R&amp;S - Buildings'!$B$16-'R&amp;S - Buildings'!$B$15)*('Yearly Butadiene'!P$3-'Yearly Butadiene'!$N$3)/10)</f>
        <v>0</v>
      </c>
      <c r="Q28" s="43">
        <f>Q26*'R&amp;S - Buildings'!$H$8*'R&amp;S - Buildings'!$C$11*('R&amp;S - Buildings'!$B$15+('R&amp;S - Buildings'!$B$16-'R&amp;S - Buildings'!$B$15)*('Yearly Butadiene'!Q$3-'Yearly Butadiene'!$N$3)/10)</f>
        <v>0</v>
      </c>
      <c r="R28" s="43">
        <f>R26*'R&amp;S - Buildings'!$H$8*'R&amp;S - Buildings'!$C$11*('R&amp;S - Buildings'!$B$15+('R&amp;S - Buildings'!$B$16-'R&amp;S - Buildings'!$B$15)*('Yearly Butadiene'!R$3-'Yearly Butadiene'!$N$3)/10)</f>
        <v>0</v>
      </c>
      <c r="S28" s="43">
        <f>S26*'R&amp;S - Buildings'!$H$8*'R&amp;S - Buildings'!$C$11*('R&amp;S - Buildings'!$B$15+('R&amp;S - Buildings'!$B$16-'R&amp;S - Buildings'!$B$15)*('Yearly Butadiene'!S$3-'Yearly Butadiene'!$N$3)/10)</f>
        <v>0</v>
      </c>
      <c r="T28" s="43">
        <f>T26*'R&amp;S - Buildings'!$H$8*'R&amp;S - Buildings'!$C$11*('R&amp;S - Buildings'!$B$15+('R&amp;S - Buildings'!$B$16-'R&amp;S - Buildings'!$B$15)*('Yearly Butadiene'!T$3-'Yearly Butadiene'!$N$3)/10)</f>
        <v>0</v>
      </c>
      <c r="U28" s="43">
        <f>U26*'R&amp;S - Buildings'!$H$8*'R&amp;S - Buildings'!$C$11*('R&amp;S - Buildings'!$B$15+('R&amp;S - Buildings'!$B$16-'R&amp;S - Buildings'!$B$15)*('Yearly Butadiene'!U$3-'Yearly Butadiene'!$N$3)/10)</f>
        <v>0</v>
      </c>
      <c r="V28" s="43">
        <f>V26*'R&amp;S - Buildings'!$H$8*'R&amp;S - Buildings'!$C$11*('R&amp;S - Buildings'!$B$15+('R&amp;S - Buildings'!$B$16-'R&amp;S - Buildings'!$B$15)*('Yearly Butadiene'!V$3-'Yearly Butadiene'!$N$3)/10)</f>
        <v>0</v>
      </c>
      <c r="W28" s="43">
        <f>W26*'R&amp;S - Buildings'!$H$8*'R&amp;S - Buildings'!$C$11*('R&amp;S - Buildings'!$B$15+('R&amp;S - Buildings'!$B$16-'R&amp;S - Buildings'!$B$15)*('Yearly Butadiene'!W$3-'Yearly Butadiene'!$N$3)/10)</f>
        <v>0</v>
      </c>
      <c r="X28" s="43">
        <f>X26*'R&amp;S - Buildings'!$H$8*'R&amp;S - Buildings'!$C$11*('R&amp;S - Buildings'!$B$15+('R&amp;S - Buildings'!$B$16-'R&amp;S - Buildings'!$B$15)*('Yearly Butadiene'!X$3-'Yearly Butadiene'!$N$3)/10)</f>
        <v>0</v>
      </c>
      <c r="Y28" s="43">
        <f>Y26*'R&amp;S - Buildings'!$H$8*'R&amp;S - Buildings'!$C$11*('R&amp;S - Buildings'!$B$16+('R&amp;S - Buildings'!$B$17-'R&amp;S - Buildings'!$B$16)*('Yearly Butadiene'!Y$3-'Yearly Butadiene'!$X$3)/10)</f>
        <v>0</v>
      </c>
      <c r="Z28" s="43">
        <f>Z26*'R&amp;S - Buildings'!$H$8*'R&amp;S - Buildings'!$C$11*('R&amp;S - Buildings'!$B$16+('R&amp;S - Buildings'!$B$17-'R&amp;S - Buildings'!$B$16)*('Yearly Butadiene'!Z$3-'Yearly Butadiene'!$X$3)/10)</f>
        <v>0</v>
      </c>
      <c r="AA28" s="43">
        <f>AA26*'R&amp;S - Buildings'!$H$8*'R&amp;S - Buildings'!$C$11*('R&amp;S - Buildings'!$B$16+('R&amp;S - Buildings'!$B$17-'R&amp;S - Buildings'!$B$16)*('Yearly Butadiene'!AA$3-'Yearly Butadiene'!$X$3)/10)</f>
        <v>0</v>
      </c>
      <c r="AB28" s="43">
        <f>AB26*'R&amp;S - Buildings'!$H$8*'R&amp;S - Buildings'!$C$11*('R&amp;S - Buildings'!$B$16+('R&amp;S - Buildings'!$B$17-'R&amp;S - Buildings'!$B$16)*('Yearly Butadiene'!AB$3-'Yearly Butadiene'!$X$3)/10)</f>
        <v>0</v>
      </c>
      <c r="AC28" s="43">
        <f>AC26*'R&amp;S - Buildings'!$H$8*'R&amp;S - Buildings'!$C$11*('R&amp;S - Buildings'!$B$16+('R&amp;S - Buildings'!$B$17-'R&amp;S - Buildings'!$B$16)*('Yearly Butadiene'!AC$3-'Yearly Butadiene'!$X$3)/10)</f>
        <v>0</v>
      </c>
      <c r="AD28" s="43">
        <f>AD26*'R&amp;S - Buildings'!$H$8*'R&amp;S - Buildings'!$C$11*('R&amp;S - Buildings'!$B$16+('R&amp;S - Buildings'!$B$17-'R&amp;S - Buildings'!$B$16)*('Yearly Butadiene'!AD$3-'Yearly Butadiene'!$X$3)/10)</f>
        <v>0</v>
      </c>
      <c r="AE28" s="43">
        <f>AE26*'R&amp;S - Buildings'!$H$8*'R&amp;S - Buildings'!$C$11*('R&amp;S - Buildings'!$B$16+('R&amp;S - Buildings'!$B$17-'R&amp;S - Buildings'!$B$16)*('Yearly Butadiene'!AE$3-'Yearly Butadiene'!$X$3)/10)</f>
        <v>0</v>
      </c>
      <c r="AF28" s="43">
        <f>AF26*'R&amp;S - Buildings'!$H$8*'R&amp;S - Buildings'!$C$11*('R&amp;S - Buildings'!$B$16+('R&amp;S - Buildings'!$B$17-'R&amp;S - Buildings'!$B$16)*('Yearly Butadiene'!AF$3-'Yearly Butadiene'!$X$3)/10)</f>
        <v>0</v>
      </c>
      <c r="AG28" s="43">
        <f>AG26*'R&amp;S - Buildings'!$H$8*'R&amp;S - Buildings'!$C$11*('R&amp;S - Buildings'!$B$16+('R&amp;S - Buildings'!$B$17-'R&amp;S - Buildings'!$B$16)*('Yearly Butadiene'!AG$3-'Yearly Butadiene'!$X$3)/10)</f>
        <v>0</v>
      </c>
      <c r="AH28" s="43">
        <f>AH26*'R&amp;S - Buildings'!$H$8*'R&amp;S - Buildings'!$C$11*('R&amp;S - Buildings'!$B$16+('R&amp;S - Buildings'!$B$17-'R&amp;S - Buildings'!$B$16)*('Yearly Butadiene'!AH$3-'Yearly Butadiene'!$X$3)/10)</f>
        <v>0</v>
      </c>
      <c r="AJ28">
        <v>0</v>
      </c>
      <c r="AK28" s="43">
        <f>AK26*'R&amp;S - Buildings'!$H$8*'R&amp;S - Buildings'!$C$12*'R&amp;S - Buildings'!$B$15*('Yearly Butadiene'!AK$3-'Yearly Butadiene'!$D$3)/10</f>
        <v>0</v>
      </c>
      <c r="AL28" s="43">
        <f>AL26*'R&amp;S - Buildings'!$H$8*'R&amp;S - Buildings'!$C$12*'R&amp;S - Buildings'!$B$15*('Yearly Butadiene'!AL$3-'Yearly Butadiene'!$D$3)/10</f>
        <v>0</v>
      </c>
      <c r="AM28" s="43">
        <f>AM26*'R&amp;S - Buildings'!$H$8*'R&amp;S - Buildings'!$C$12*'R&amp;S - Buildings'!$B$15*('Yearly Butadiene'!AM$3-'Yearly Butadiene'!$D$3)/10</f>
        <v>0</v>
      </c>
      <c r="AN28" s="43">
        <f>AN26*'R&amp;S - Buildings'!$H$8*'R&amp;S - Buildings'!$C$12*'R&amp;S - Buildings'!$B$15*('Yearly Butadiene'!AN$3-'Yearly Butadiene'!$D$3)/10</f>
        <v>0</v>
      </c>
      <c r="AO28" s="43">
        <f>AO26*'R&amp;S - Buildings'!$H$8*'R&amp;S - Buildings'!$C$12*'R&amp;S - Buildings'!$B$15*('Yearly Butadiene'!AO$3-'Yearly Butadiene'!$D$3)/10</f>
        <v>0</v>
      </c>
      <c r="AP28" s="43">
        <f>AP26*'R&amp;S - Buildings'!$H$8*'R&amp;S - Buildings'!$C$12*'R&amp;S - Buildings'!$B$15*('Yearly Butadiene'!AP$3-'Yearly Butadiene'!$D$3)/10</f>
        <v>0</v>
      </c>
      <c r="AQ28" s="43">
        <f>AQ26*'R&amp;S - Buildings'!$H$8*'R&amp;S - Buildings'!$C$12*'R&amp;S - Buildings'!$B$15*('Yearly Butadiene'!AQ$3-'Yearly Butadiene'!$D$3)/10</f>
        <v>0</v>
      </c>
      <c r="AR28" s="43">
        <f>AR26*'R&amp;S - Buildings'!$H$8*'R&amp;S - Buildings'!$C$12*'R&amp;S - Buildings'!$B$15*('Yearly Butadiene'!AR$3-'Yearly Butadiene'!$D$3)/10</f>
        <v>0</v>
      </c>
      <c r="AS28" s="43">
        <f>AS26*'R&amp;S - Buildings'!$H$8*'R&amp;S - Buildings'!$C$12*'R&amp;S - Buildings'!$B$15*('Yearly Butadiene'!AS$3-'Yearly Butadiene'!$D$3)/10</f>
        <v>0</v>
      </c>
      <c r="AT28" s="43">
        <f>AT26*'R&amp;S - Buildings'!$H$8*'R&amp;S - Buildings'!$C$12*'R&amp;S - Buildings'!$B$15*('Yearly Butadiene'!AT$3-'Yearly Butadiene'!$D$3)/10</f>
        <v>0</v>
      </c>
      <c r="AU28" s="43">
        <f>AU26*'R&amp;S - Buildings'!$H$8*'R&amp;S - Buildings'!$C$12*('R&amp;S - Buildings'!$B$15+('R&amp;S - Buildings'!$B$16-'R&amp;S - Buildings'!$B$15)*('Yearly Butadiene'!AU$3-'Yearly Butadiene'!$N$3)/10)</f>
        <v>0</v>
      </c>
      <c r="AV28" s="43">
        <f>AV26*'R&amp;S - Buildings'!$H$8*'R&amp;S - Buildings'!$C$12*('R&amp;S - Buildings'!$B$15+('R&amp;S - Buildings'!$B$16-'R&amp;S - Buildings'!$B$15)*('Yearly Butadiene'!AV$3-'Yearly Butadiene'!$N$3)/10)</f>
        <v>0</v>
      </c>
      <c r="AW28" s="43">
        <f>AW26*'R&amp;S - Buildings'!$H$8*'R&amp;S - Buildings'!$C$12*('R&amp;S - Buildings'!$B$15+('R&amp;S - Buildings'!$B$16-'R&amp;S - Buildings'!$B$15)*('Yearly Butadiene'!AW$3-'Yearly Butadiene'!$N$3)/10)</f>
        <v>0</v>
      </c>
      <c r="AX28" s="43">
        <f>AX26*'R&amp;S - Buildings'!$H$8*'R&amp;S - Buildings'!$C$12*('R&amp;S - Buildings'!$B$15+('R&amp;S - Buildings'!$B$16-'R&amp;S - Buildings'!$B$15)*('Yearly Butadiene'!AX$3-'Yearly Butadiene'!$N$3)/10)</f>
        <v>0</v>
      </c>
      <c r="AY28" s="43">
        <f>AY26*'R&amp;S - Buildings'!$H$8*'R&amp;S - Buildings'!$C$12*('R&amp;S - Buildings'!$B$15+('R&amp;S - Buildings'!$B$16-'R&amp;S - Buildings'!$B$15)*('Yearly Butadiene'!AY$3-'Yearly Butadiene'!$N$3)/10)</f>
        <v>0</v>
      </c>
      <c r="AZ28" s="43">
        <f>AZ26*'R&amp;S - Buildings'!$H$8*'R&amp;S - Buildings'!$C$12*('R&amp;S - Buildings'!$B$15+('R&amp;S - Buildings'!$B$16-'R&amp;S - Buildings'!$B$15)*('Yearly Butadiene'!AZ$3-'Yearly Butadiene'!$N$3)/10)</f>
        <v>0</v>
      </c>
      <c r="BA28" s="43">
        <f>BA26*'R&amp;S - Buildings'!$H$8*'R&amp;S - Buildings'!$C$12*('R&amp;S - Buildings'!$B$15+('R&amp;S - Buildings'!$B$16-'R&amp;S - Buildings'!$B$15)*('Yearly Butadiene'!BA$3-'Yearly Butadiene'!$N$3)/10)</f>
        <v>0</v>
      </c>
      <c r="BB28" s="43">
        <f>BB26*'R&amp;S - Buildings'!$H$8*'R&amp;S - Buildings'!$C$12*('R&amp;S - Buildings'!$B$15+('R&amp;S - Buildings'!$B$16-'R&amp;S - Buildings'!$B$15)*('Yearly Butadiene'!BB$3-'Yearly Butadiene'!$N$3)/10)</f>
        <v>0</v>
      </c>
      <c r="BC28" s="43">
        <f>BC26*'R&amp;S - Buildings'!$H$8*'R&amp;S - Buildings'!$C$12*('R&amp;S - Buildings'!$B$15+('R&amp;S - Buildings'!$B$16-'R&amp;S - Buildings'!$B$15)*('Yearly Butadiene'!BC$3-'Yearly Butadiene'!$N$3)/10)</f>
        <v>0</v>
      </c>
      <c r="BD28" s="43">
        <f>BD26*'R&amp;S - Buildings'!$H$8*'R&amp;S - Buildings'!$C$12*('R&amp;S - Buildings'!$B$15+('R&amp;S - Buildings'!$B$16-'R&amp;S - Buildings'!$B$15)*('Yearly Butadiene'!BD$3-'Yearly Butadiene'!$N$3)/10)</f>
        <v>0</v>
      </c>
      <c r="BE28" s="43">
        <f>BE26*'R&amp;S - Buildings'!$H$8*'R&amp;S - Buildings'!$C$12*('R&amp;S - Buildings'!$B$16+('R&amp;S - Buildings'!$B$17-'R&amp;S - Buildings'!$B$16)*('Yearly Butadiene'!BE$3-'Yearly Butadiene'!$X$3)/10)</f>
        <v>0</v>
      </c>
      <c r="BF28" s="43">
        <f>BF26*'R&amp;S - Buildings'!$H$8*'R&amp;S - Buildings'!$C$12*('R&amp;S - Buildings'!$B$16+('R&amp;S - Buildings'!$B$17-'R&amp;S - Buildings'!$B$16)*('Yearly Butadiene'!BF$3-'Yearly Butadiene'!$X$3)/10)</f>
        <v>0</v>
      </c>
      <c r="BG28" s="43">
        <f>BG26*'R&amp;S - Buildings'!$H$8*'R&amp;S - Buildings'!$C$12*('R&amp;S - Buildings'!$B$16+('R&amp;S - Buildings'!$B$17-'R&amp;S - Buildings'!$B$16)*('Yearly Butadiene'!BG$3-'Yearly Butadiene'!$X$3)/10)</f>
        <v>0</v>
      </c>
      <c r="BH28" s="43">
        <f>BH26*'R&amp;S - Buildings'!$H$8*'R&amp;S - Buildings'!$C$12*('R&amp;S - Buildings'!$B$16+('R&amp;S - Buildings'!$B$17-'R&amp;S - Buildings'!$B$16)*('Yearly Butadiene'!BH$3-'Yearly Butadiene'!$X$3)/10)</f>
        <v>0</v>
      </c>
      <c r="BI28" s="43">
        <f>BI26*'R&amp;S - Buildings'!$H$8*'R&amp;S - Buildings'!$C$12*('R&amp;S - Buildings'!$B$16+('R&amp;S - Buildings'!$B$17-'R&amp;S - Buildings'!$B$16)*('Yearly Butadiene'!BI$3-'Yearly Butadiene'!$X$3)/10)</f>
        <v>0</v>
      </c>
      <c r="BJ28" s="43">
        <f>BJ26*'R&amp;S - Buildings'!$H$8*'R&amp;S - Buildings'!$C$12*('R&amp;S - Buildings'!$B$16+('R&amp;S - Buildings'!$B$17-'R&amp;S - Buildings'!$B$16)*('Yearly Butadiene'!BJ$3-'Yearly Butadiene'!$X$3)/10)</f>
        <v>0</v>
      </c>
      <c r="BK28" s="43">
        <f>BK26*'R&amp;S - Buildings'!$H$8*'R&amp;S - Buildings'!$C$12*('R&amp;S - Buildings'!$B$16+('R&amp;S - Buildings'!$B$17-'R&amp;S - Buildings'!$B$16)*('Yearly Butadiene'!BK$3-'Yearly Butadiene'!$X$3)/10)</f>
        <v>0</v>
      </c>
      <c r="BL28" s="43">
        <f>BL26*'R&amp;S - Buildings'!$H$8*'R&amp;S - Buildings'!$C$12*('R&amp;S - Buildings'!$B$16+('R&amp;S - Buildings'!$B$17-'R&amp;S - Buildings'!$B$16)*('Yearly Butadiene'!BL$3-'Yearly Butadiene'!$X$3)/10)</f>
        <v>0</v>
      </c>
      <c r="BM28" s="43">
        <f>BM26*'R&amp;S - Buildings'!$H$8*'R&amp;S - Buildings'!$C$12*('R&amp;S - Buildings'!$B$16+('R&amp;S - Buildings'!$B$17-'R&amp;S - Buildings'!$B$16)*('Yearly Butadiene'!BM$3-'Yearly Butadiene'!$X$3)/10)</f>
        <v>0</v>
      </c>
      <c r="BN28" s="43">
        <f>BN26*'R&amp;S - Buildings'!$H$8*'R&amp;S - Buildings'!$C$12*('R&amp;S - Buildings'!$B$16+('R&amp;S - Buildings'!$B$17-'R&amp;S - Buildings'!$B$16)*('Yearly Butadiene'!BN$3-'Yearly Butadiene'!$X$3)/10)</f>
        <v>0</v>
      </c>
    </row>
    <row r="29" spans="1:75" outlineLevel="1">
      <c r="B29" s="1" t="s">
        <v>197</v>
      </c>
      <c r="C29" s="65" t="s">
        <v>153</v>
      </c>
      <c r="D29" s="66">
        <f>D26-D27-D28</f>
        <v>1.8779766917293235</v>
      </c>
      <c r="E29" s="66">
        <f t="shared" ref="E29:AG29" si="27">E26-E27-E28</f>
        <v>1.9048135950118452</v>
      </c>
      <c r="F29" s="66">
        <f t="shared" si="27"/>
        <v>1.9320340064502282</v>
      </c>
      <c r="G29" s="66">
        <f t="shared" si="27"/>
        <v>1.9596434065018882</v>
      </c>
      <c r="H29" s="66">
        <f t="shared" si="27"/>
        <v>1.9876473539417761</v>
      </c>
      <c r="I29" s="66">
        <f t="shared" si="27"/>
        <v>2.0160514869815613</v>
      </c>
      <c r="J29" s="66">
        <f t="shared" si="27"/>
        <v>2.044861524404809</v>
      </c>
      <c r="K29" s="66">
        <f t="shared" si="27"/>
        <v>2.0740832667183775</v>
      </c>
      <c r="L29" s="66">
        <f t="shared" si="27"/>
        <v>2.1037225973202722</v>
      </c>
      <c r="M29" s="66">
        <f t="shared" si="27"/>
        <v>2.133785483684187</v>
      </c>
      <c r="N29" s="66">
        <f t="shared" si="27"/>
        <v>2.1642779785609738</v>
      </c>
      <c r="O29" s="66">
        <f t="shared" si="27"/>
        <v>2.1952062211972803</v>
      </c>
      <c r="P29" s="66">
        <f t="shared" si="27"/>
        <v>2.2265764385716036</v>
      </c>
      <c r="Q29" s="66">
        <f t="shared" si="27"/>
        <v>2.2583949466480076</v>
      </c>
      <c r="R29" s="66">
        <f t="shared" si="27"/>
        <v>2.2906681516477554</v>
      </c>
      <c r="S29" s="66">
        <f t="shared" si="27"/>
        <v>2.3234025513391146</v>
      </c>
      <c r="T29" s="66">
        <f t="shared" si="27"/>
        <v>2.3566047363455933</v>
      </c>
      <c r="U29" s="66">
        <f t="shared" si="27"/>
        <v>2.3902813914728736</v>
      </c>
      <c r="V29" s="66">
        <f t="shared" si="27"/>
        <v>2.4244392970547044</v>
      </c>
      <c r="W29" s="66">
        <f t="shared" si="27"/>
        <v>2.4590853303180289</v>
      </c>
      <c r="X29" s="66">
        <f t="shared" si="27"/>
        <v>2.4942264667676204</v>
      </c>
      <c r="Y29" s="66">
        <f t="shared" si="27"/>
        <v>2.5298697815905054</v>
      </c>
      <c r="Z29" s="66">
        <f t="shared" si="27"/>
        <v>2.5660224510804546</v>
      </c>
      <c r="AA29" s="66">
        <f t="shared" si="27"/>
        <v>2.6026917540828323</v>
      </c>
      <c r="AB29" s="66">
        <f t="shared" si="27"/>
        <v>2.6398850734600918</v>
      </c>
      <c r="AC29" s="66">
        <f t="shared" si="27"/>
        <v>2.6776098975782139</v>
      </c>
      <c r="AD29" s="66">
        <f t="shared" si="27"/>
        <v>2.715873821814387</v>
      </c>
      <c r="AE29" s="66">
        <f t="shared" si="27"/>
        <v>2.7546845500862323</v>
      </c>
      <c r="AF29" s="66">
        <f t="shared" si="27"/>
        <v>2.7940498964028819</v>
      </c>
      <c r="AG29" s="66">
        <f t="shared" si="27"/>
        <v>2.8339777864382243</v>
      </c>
      <c r="AH29" s="66">
        <f>AH26-AH27-AH28</f>
        <v>2.8744762591266273</v>
      </c>
      <c r="AJ29" s="66">
        <f>AJ26-AJ27-AJ28</f>
        <v>1.8779766917293235</v>
      </c>
      <c r="AK29" s="66">
        <f t="shared" ref="AK29:BM29" si="28">AK26-AK27-AK28</f>
        <v>1.9048135950118452</v>
      </c>
      <c r="AL29" s="66">
        <f t="shared" si="28"/>
        <v>1.9320340064502282</v>
      </c>
      <c r="AM29" s="66">
        <f t="shared" si="28"/>
        <v>1.9596434065018882</v>
      </c>
      <c r="AN29" s="66">
        <f t="shared" si="28"/>
        <v>1.9876473539417761</v>
      </c>
      <c r="AO29" s="66">
        <f t="shared" si="28"/>
        <v>2.0160514869815613</v>
      </c>
      <c r="AP29" s="66">
        <f t="shared" si="28"/>
        <v>2.044861524404809</v>
      </c>
      <c r="AQ29" s="66">
        <f t="shared" si="28"/>
        <v>2.0740832667183775</v>
      </c>
      <c r="AR29" s="66">
        <f t="shared" si="28"/>
        <v>2.1037225973202722</v>
      </c>
      <c r="AS29" s="66">
        <f t="shared" si="28"/>
        <v>2.133785483684187</v>
      </c>
      <c r="AT29" s="66">
        <f t="shared" si="28"/>
        <v>2.1642779785609738</v>
      </c>
      <c r="AU29" s="66">
        <f t="shared" si="28"/>
        <v>2.1952062211972803</v>
      </c>
      <c r="AV29" s="66">
        <f t="shared" si="28"/>
        <v>2.2265764385716036</v>
      </c>
      <c r="AW29" s="66">
        <f t="shared" si="28"/>
        <v>2.2583949466480076</v>
      </c>
      <c r="AX29" s="66">
        <f t="shared" si="28"/>
        <v>2.2906681516477554</v>
      </c>
      <c r="AY29" s="66">
        <f t="shared" si="28"/>
        <v>2.3234025513391146</v>
      </c>
      <c r="AZ29" s="66">
        <f t="shared" si="28"/>
        <v>2.3566047363455933</v>
      </c>
      <c r="BA29" s="66">
        <f t="shared" si="28"/>
        <v>2.3902813914728736</v>
      </c>
      <c r="BB29" s="66">
        <f t="shared" si="28"/>
        <v>2.4244392970547044</v>
      </c>
      <c r="BC29" s="66">
        <f t="shared" si="28"/>
        <v>2.4590853303180289</v>
      </c>
      <c r="BD29" s="66">
        <f t="shared" si="28"/>
        <v>2.4942264667676204</v>
      </c>
      <c r="BE29" s="66">
        <f t="shared" si="28"/>
        <v>2.5298697815905054</v>
      </c>
      <c r="BF29" s="66">
        <f t="shared" si="28"/>
        <v>2.5660224510804546</v>
      </c>
      <c r="BG29" s="66">
        <f t="shared" si="28"/>
        <v>2.6026917540828323</v>
      </c>
      <c r="BH29" s="66">
        <f t="shared" si="28"/>
        <v>2.6398850734600918</v>
      </c>
      <c r="BI29" s="66">
        <f t="shared" si="28"/>
        <v>2.6776098975782139</v>
      </c>
      <c r="BJ29" s="66">
        <f t="shared" si="28"/>
        <v>2.715873821814387</v>
      </c>
      <c r="BK29" s="66">
        <f t="shared" si="28"/>
        <v>2.7546845500862323</v>
      </c>
      <c r="BL29" s="66">
        <f t="shared" si="28"/>
        <v>2.7940498964028819</v>
      </c>
      <c r="BM29" s="66">
        <f t="shared" si="28"/>
        <v>2.8339777864382243</v>
      </c>
      <c r="BN29" s="66">
        <f>BN26-BN27-BN28</f>
        <v>2.8744762591266273</v>
      </c>
    </row>
    <row r="30" spans="1:75" s="67" customFormat="1" outlineLevel="1">
      <c r="A30" s="58" t="s">
        <v>205</v>
      </c>
      <c r="B30" s="58" t="s">
        <v>199</v>
      </c>
      <c r="C30" s="59" t="s">
        <v>153</v>
      </c>
      <c r="D30" s="580">
        <f>'Demand Breakdown - C4'!O29</f>
        <v>0.15963789473684212</v>
      </c>
      <c r="E30" s="580">
        <f>D30*(1+'Demand Breakdown - C4'!$K$29)</f>
        <v>0.16191917264627823</v>
      </c>
      <c r="F30" s="580">
        <f>E30*(1+'Demand Breakdown - C4'!$K$29)</f>
        <v>0.16423305076576258</v>
      </c>
      <c r="G30" s="580">
        <f>F30*(1+'Demand Breakdown - C4'!$K$29)</f>
        <v>0.16657999496299628</v>
      </c>
      <c r="H30" s="580">
        <f>G30*(1+'Demand Breakdown - C4'!$K$29)</f>
        <v>0.16896047776308271</v>
      </c>
      <c r="I30" s="580">
        <f>H30*(1+'Demand Breakdown - C4'!$K$29)</f>
        <v>0.17137497844366414</v>
      </c>
      <c r="J30" s="580">
        <f>I30*(1+'Demand Breakdown - C4'!$K$29)</f>
        <v>0.17382398313141761</v>
      </c>
      <c r="K30" s="580">
        <f>J30*(1+'Demand Breakdown - C4'!$K$29)</f>
        <v>0.17630798489992994</v>
      </c>
      <c r="L30" s="580">
        <f>K30*(1+'Demand Breakdown - C4'!$K$29)</f>
        <v>0.17882748386897129</v>
      </c>
      <c r="M30" s="580">
        <f>L30*(1+'Demand Breakdown - C4'!$K$29)</f>
        <v>0.18138298730518754</v>
      </c>
      <c r="N30" s="580">
        <f>M30*(1+'Demand Breakdown - C4'!$K$29)</f>
        <v>0.18397500972423136</v>
      </c>
      <c r="O30" s="580">
        <f>N30*(1+'Demand Breakdown - C4'!$K$29)</f>
        <v>0.18660407299435305</v>
      </c>
      <c r="P30" s="580">
        <f>O30*(1+'Demand Breakdown - C4'!$K$29)</f>
        <v>0.1892707064414714</v>
      </c>
      <c r="Q30" s="580">
        <f>P30*(1+'Demand Breakdown - C4'!$K$29)</f>
        <v>0.19197544695574634</v>
      </c>
      <c r="R30" s="580">
        <f>Q30*(1+'Demand Breakdown - C4'!$K$29)</f>
        <v>0.19471883909967441</v>
      </c>
      <c r="S30" s="580">
        <f>R30*(1+'Demand Breakdown - C4'!$K$29)</f>
        <v>0.19750143521772892</v>
      </c>
      <c r="T30" s="580">
        <f>S30*(1+'Demand Breakdown - C4'!$K$29)</f>
        <v>0.20032379554756702</v>
      </c>
      <c r="U30" s="580">
        <f>T30*(1+'Demand Breakdown - C4'!$K$29)</f>
        <v>0.20318648833282582</v>
      </c>
      <c r="V30" s="580">
        <f>U30*(1+'Demand Breakdown - C4'!$K$29)</f>
        <v>0.20609008993753053</v>
      </c>
      <c r="W30" s="580">
        <f>V30*(1+'Demand Breakdown - C4'!$K$29)</f>
        <v>0.20903518496213741</v>
      </c>
      <c r="X30" s="580">
        <f>W30*(1+'Demand Breakdown - C4'!$K$29)</f>
        <v>0.21202236636123514</v>
      </c>
      <c r="Y30" s="580">
        <f>X30*(1+'Demand Breakdown - C4'!$K$29)</f>
        <v>0.21505223556292807</v>
      </c>
      <c r="Z30" s="580">
        <f>Y30*(1+'Demand Breakdown - C4'!$K$29)</f>
        <v>0.21812540258992555</v>
      </c>
      <c r="AA30" s="580">
        <f>Z30*(1+'Demand Breakdown - C4'!$K$29)</f>
        <v>0.22124248618236167</v>
      </c>
      <c r="AB30" s="580">
        <f>AA30*(1+'Demand Breakdown - C4'!$K$29)</f>
        <v>0.22440411392237011</v>
      </c>
      <c r="AC30" s="580">
        <f>AB30*(1+'Demand Breakdown - C4'!$K$29)</f>
        <v>0.2276109223604392</v>
      </c>
      <c r="AD30" s="580">
        <f>AC30*(1+'Demand Breakdown - C4'!$K$29)</f>
        <v>0.23086355714357265</v>
      </c>
      <c r="AE30" s="580">
        <f>AD30*(1+'Demand Breakdown - C4'!$K$29)</f>
        <v>0.23416267314528177</v>
      </c>
      <c r="AF30" s="580">
        <f>AE30*(1+'Demand Breakdown - C4'!$K$29)</f>
        <v>0.23750893459743533</v>
      </c>
      <c r="AG30" s="580">
        <f>AF30*(1+'Demand Breakdown - C4'!$K$29)</f>
        <v>0.24090301522399343</v>
      </c>
      <c r="AH30" s="580">
        <f>AG30*(1+'Demand Breakdown - C4'!$K$29)</f>
        <v>0.24434559837665271</v>
      </c>
      <c r="AJ30" s="580">
        <f>D30</f>
        <v>0.15963789473684212</v>
      </c>
      <c r="AK30" s="580">
        <f t="shared" ref="AK30:BN30" si="29">E30</f>
        <v>0.16191917264627823</v>
      </c>
      <c r="AL30" s="580">
        <f t="shared" si="29"/>
        <v>0.16423305076576258</v>
      </c>
      <c r="AM30" s="580">
        <f t="shared" si="29"/>
        <v>0.16657999496299628</v>
      </c>
      <c r="AN30" s="580">
        <f t="shared" si="29"/>
        <v>0.16896047776308271</v>
      </c>
      <c r="AO30" s="580">
        <f t="shared" si="29"/>
        <v>0.17137497844366414</v>
      </c>
      <c r="AP30" s="580">
        <f t="shared" si="29"/>
        <v>0.17382398313141761</v>
      </c>
      <c r="AQ30" s="580">
        <f t="shared" si="29"/>
        <v>0.17630798489992994</v>
      </c>
      <c r="AR30" s="580">
        <f t="shared" si="29"/>
        <v>0.17882748386897129</v>
      </c>
      <c r="AS30" s="580">
        <f t="shared" si="29"/>
        <v>0.18138298730518754</v>
      </c>
      <c r="AT30" s="580">
        <f t="shared" si="29"/>
        <v>0.18397500972423136</v>
      </c>
      <c r="AU30" s="580">
        <f t="shared" si="29"/>
        <v>0.18660407299435305</v>
      </c>
      <c r="AV30" s="580">
        <f t="shared" si="29"/>
        <v>0.1892707064414714</v>
      </c>
      <c r="AW30" s="580">
        <f t="shared" si="29"/>
        <v>0.19197544695574634</v>
      </c>
      <c r="AX30" s="580">
        <f t="shared" si="29"/>
        <v>0.19471883909967441</v>
      </c>
      <c r="AY30" s="580">
        <f t="shared" si="29"/>
        <v>0.19750143521772892</v>
      </c>
      <c r="AZ30" s="580">
        <f t="shared" si="29"/>
        <v>0.20032379554756702</v>
      </c>
      <c r="BA30" s="580">
        <f t="shared" si="29"/>
        <v>0.20318648833282582</v>
      </c>
      <c r="BB30" s="580">
        <f t="shared" si="29"/>
        <v>0.20609008993753053</v>
      </c>
      <c r="BC30" s="580">
        <f t="shared" si="29"/>
        <v>0.20903518496213741</v>
      </c>
      <c r="BD30" s="580">
        <f t="shared" si="29"/>
        <v>0.21202236636123514</v>
      </c>
      <c r="BE30" s="580">
        <f t="shared" si="29"/>
        <v>0.21505223556292807</v>
      </c>
      <c r="BF30" s="580">
        <f t="shared" si="29"/>
        <v>0.21812540258992555</v>
      </c>
      <c r="BG30" s="580">
        <f t="shared" si="29"/>
        <v>0.22124248618236167</v>
      </c>
      <c r="BH30" s="580">
        <f t="shared" si="29"/>
        <v>0.22440411392237011</v>
      </c>
      <c r="BI30" s="580">
        <f t="shared" si="29"/>
        <v>0.2276109223604392</v>
      </c>
      <c r="BJ30" s="580">
        <f t="shared" si="29"/>
        <v>0.23086355714357265</v>
      </c>
      <c r="BK30" s="580">
        <f t="shared" si="29"/>
        <v>0.23416267314528177</v>
      </c>
      <c r="BL30" s="580">
        <f t="shared" si="29"/>
        <v>0.23750893459743533</v>
      </c>
      <c r="BM30" s="580">
        <f t="shared" si="29"/>
        <v>0.24090301522399343</v>
      </c>
      <c r="BN30" s="580">
        <f t="shared" si="29"/>
        <v>0.24434559837665271</v>
      </c>
    </row>
    <row r="31" spans="1:75" outlineLevel="1">
      <c r="B31" s="61" t="s">
        <v>206</v>
      </c>
      <c r="C31" s="54" t="s">
        <v>153</v>
      </c>
      <c r="D31" s="43">
        <f>D30*'R&amp;S - Apparel'!$C$7*'R&amp;S - Apparel'!$B$13*'R&amp;S - Apparel'!$B$17*(D$3-$D$3)/10</f>
        <v>0</v>
      </c>
      <c r="E31" s="43">
        <f>E30*'R&amp;S - Apparel'!$C$7*'R&amp;S - Apparel'!$B$13*'R&amp;S - Apparel'!$B$17*(E$3-$D$3)/10</f>
        <v>0</v>
      </c>
      <c r="F31" s="43">
        <f>F30*'R&amp;S - Apparel'!$C$7*'R&amp;S - Apparel'!$B$13*'R&amp;S - Apparel'!$B$17*(F$3-$D$3)/10</f>
        <v>0</v>
      </c>
      <c r="G31" s="43">
        <f>G30*'R&amp;S - Apparel'!$C$7*'R&amp;S - Apparel'!$B$13*'R&amp;S - Apparel'!$B$17*(G$3-$D$3)/10</f>
        <v>0</v>
      </c>
      <c r="H31" s="43">
        <f>H30*'R&amp;S - Apparel'!$C$7*'R&amp;S - Apparel'!$B$13*'R&amp;S - Apparel'!$B$17*(H$3-$D$3)/10</f>
        <v>0</v>
      </c>
      <c r="I31" s="43">
        <f>I30*'R&amp;S - Apparel'!$C$7*'R&amp;S - Apparel'!$B$13*'R&amp;S - Apparel'!$B$17*(I$3-$D$3)/10</f>
        <v>0</v>
      </c>
      <c r="J31" s="43">
        <f>J30*'R&amp;S - Apparel'!$C$7*'R&amp;S - Apparel'!$B$13*'R&amp;S - Apparel'!$B$17*(J$3-$D$3)/10</f>
        <v>0</v>
      </c>
      <c r="K31" s="43">
        <f>K30*'R&amp;S - Apparel'!$C$7*'R&amp;S - Apparel'!$B$13*'R&amp;S - Apparel'!$B$17*(K$3-$D$3)/10</f>
        <v>0</v>
      </c>
      <c r="L31" s="43">
        <f>L30*'R&amp;S - Apparel'!$C$7*'R&amp;S - Apparel'!$B$13*'R&amp;S - Apparel'!$B$17*(L$3-$D$3)/10</f>
        <v>0</v>
      </c>
      <c r="M31" s="43">
        <f>M30*'R&amp;S - Apparel'!$C$7*'R&amp;S - Apparel'!$B$13*'R&amp;S - Apparel'!$B$17*(M$3-$D$3)/10</f>
        <v>0</v>
      </c>
      <c r="N31" s="43">
        <f>N30*'R&amp;S - Apparel'!$C$7*'R&amp;S - Apparel'!$B$13*'R&amp;S - Apparel'!$B$17*(N$3-$D$3)/10</f>
        <v>0</v>
      </c>
      <c r="O31" s="43">
        <f>O30*'R&amp;S - Apparel'!$C$7*'R&amp;S - Apparel'!$B$13*('R&amp;S - Apparel'!$B$17+('R&amp;S - Apparel'!$B$18-'R&amp;S - Apparel'!$B$17)*(O$3-$N$3)/10)</f>
        <v>0</v>
      </c>
      <c r="P31" s="43">
        <f>P30*'R&amp;S - Apparel'!$C$7*'R&amp;S - Apparel'!$B$13*('R&amp;S - Apparel'!$B$17+('R&amp;S - Apparel'!$B$18-'R&amp;S - Apparel'!$B$17)*(P$3-$N$3)/10)</f>
        <v>0</v>
      </c>
      <c r="Q31" s="43">
        <f>Q30*'R&amp;S - Apparel'!$C$7*'R&amp;S - Apparel'!$B$13*('R&amp;S - Apparel'!$B$17+('R&amp;S - Apparel'!$B$18-'R&amp;S - Apparel'!$B$17)*(Q$3-$N$3)/10)</f>
        <v>0</v>
      </c>
      <c r="R31" s="43">
        <f>R30*'R&amp;S - Apparel'!$C$7*'R&amp;S - Apparel'!$B$13*('R&amp;S - Apparel'!$B$17+('R&amp;S - Apparel'!$B$18-'R&amp;S - Apparel'!$B$17)*(R$3-$N$3)/10)</f>
        <v>0</v>
      </c>
      <c r="S31" s="43">
        <f>S30*'R&amp;S - Apparel'!$C$7*'R&amp;S - Apparel'!$B$13*('R&amp;S - Apparel'!$B$17+('R&amp;S - Apparel'!$B$18-'R&amp;S - Apparel'!$B$17)*(S$3-$N$3)/10)</f>
        <v>0</v>
      </c>
      <c r="T31" s="43">
        <f>T30*'R&amp;S - Apparel'!$C$7*'R&amp;S - Apparel'!$B$13*('R&amp;S - Apparel'!$B$17+('R&amp;S - Apparel'!$B$18-'R&amp;S - Apparel'!$B$17)*(T$3-$N$3)/10)</f>
        <v>0</v>
      </c>
      <c r="U31" s="43">
        <f>U30*'R&amp;S - Apparel'!$C$7*'R&amp;S - Apparel'!$B$13*('R&amp;S - Apparel'!$B$17+('R&amp;S - Apparel'!$B$18-'R&amp;S - Apparel'!$B$17)*(U$3-$N$3)/10)</f>
        <v>0</v>
      </c>
      <c r="V31" s="43">
        <f>V30*'R&amp;S - Apparel'!$C$7*'R&amp;S - Apparel'!$B$13*('R&amp;S - Apparel'!$B$17+('R&amp;S - Apparel'!$B$18-'R&amp;S - Apparel'!$B$17)*(V$3-$N$3)/10)</f>
        <v>0</v>
      </c>
      <c r="W31" s="43">
        <f>W30*'R&amp;S - Apparel'!$C$7*'R&amp;S - Apparel'!$B$13*('R&amp;S - Apparel'!$B$17+('R&amp;S - Apparel'!$B$18-'R&amp;S - Apparel'!$B$17)*(W$3-$N$3)/10)</f>
        <v>0</v>
      </c>
      <c r="X31" s="43">
        <f>X30*'R&amp;S - Apparel'!$C$7*'R&amp;S - Apparel'!$B$13*('R&amp;S - Apparel'!$B$17+('R&amp;S - Apparel'!$B$18-'R&amp;S - Apparel'!$B$17)*(X$3-$N$3)/10)</f>
        <v>0</v>
      </c>
      <c r="Y31" s="43">
        <f>Y30*'R&amp;S - Apparel'!$C$7*'R&amp;S - Apparel'!$B$13*('R&amp;S - Apparel'!$B$18+('R&amp;S - Apparel'!$B$19-'R&amp;S - Apparel'!$B$18)*(Y$3-$X$3)/10)</f>
        <v>0</v>
      </c>
      <c r="Z31" s="43">
        <f>Z30*'R&amp;S - Apparel'!$C$7*'R&amp;S - Apparel'!$B$13*('R&amp;S - Apparel'!$B$18+('R&amp;S - Apparel'!$B$19-'R&amp;S - Apparel'!$B$18)*(Z$3-$X$3)/10)</f>
        <v>0</v>
      </c>
      <c r="AA31" s="43">
        <f>AA30*'R&amp;S - Apparel'!$C$7*'R&amp;S - Apparel'!$B$13*('R&amp;S - Apparel'!$B$18+('R&amp;S - Apparel'!$B$19-'R&amp;S - Apparel'!$B$18)*(AA$3-$X$3)/10)</f>
        <v>0</v>
      </c>
      <c r="AB31" s="43">
        <f>AB30*'R&amp;S - Apparel'!$C$7*'R&amp;S - Apparel'!$B$13*('R&amp;S - Apparel'!$B$18+('R&amp;S - Apparel'!$B$19-'R&amp;S - Apparel'!$B$18)*(AB$3-$X$3)/10)</f>
        <v>0</v>
      </c>
      <c r="AC31" s="43">
        <f>AC30*'R&amp;S - Apparel'!$C$7*'R&amp;S - Apparel'!$B$13*('R&amp;S - Apparel'!$B$18+('R&amp;S - Apparel'!$B$19-'R&amp;S - Apparel'!$B$18)*(AC$3-$X$3)/10)</f>
        <v>0</v>
      </c>
      <c r="AD31" s="43">
        <f>AD30*'R&amp;S - Apparel'!$C$7*'R&amp;S - Apparel'!$B$13*('R&amp;S - Apparel'!$B$18+('R&amp;S - Apparel'!$B$19-'R&amp;S - Apparel'!$B$18)*(AD$3-$X$3)/10)</f>
        <v>0</v>
      </c>
      <c r="AE31" s="43">
        <f>AE30*'R&amp;S - Apparel'!$C$7*'R&amp;S - Apparel'!$B$13*('R&amp;S - Apparel'!$B$18+('R&amp;S - Apparel'!$B$19-'R&amp;S - Apparel'!$B$18)*(AE$3-$X$3)/10)</f>
        <v>0</v>
      </c>
      <c r="AF31" s="43">
        <f>AF30*'R&amp;S - Apparel'!$C$7*'R&amp;S - Apparel'!$B$13*('R&amp;S - Apparel'!$B$18+('R&amp;S - Apparel'!$B$19-'R&amp;S - Apparel'!$B$18)*(AF$3-$X$3)/10)</f>
        <v>0</v>
      </c>
      <c r="AG31" s="43">
        <f>AG30*'R&amp;S - Apparel'!$C$7*'R&amp;S - Apparel'!$B$13*('R&amp;S - Apparel'!$B$18+('R&amp;S - Apparel'!$B$19-'R&amp;S - Apparel'!$B$18)*(AG$3-$X$3)/10)</f>
        <v>0</v>
      </c>
      <c r="AH31" s="43">
        <f>AH30*'R&amp;S - Apparel'!$C$7*'R&amp;S - Apparel'!$B$13*('R&amp;S - Apparel'!$B$18+('R&amp;S - Apparel'!$B$19-'R&amp;S - Apparel'!$B$18)*(AH$3-$X$3)/10)</f>
        <v>0</v>
      </c>
      <c r="AJ31" s="43">
        <f>AJ30*'R&amp;S - Apparel'!$C$7*'R&amp;S - Apparel'!$B$14*'R&amp;S - Apparel'!$B$17*(AJ$3-$D$3)/10</f>
        <v>0</v>
      </c>
      <c r="AK31" s="43">
        <f>AK30*'R&amp;S - Apparel'!$C$7*'R&amp;S - Apparel'!$B$14*'R&amp;S - Apparel'!$B$17*(AK$3-$D$3)/10</f>
        <v>0</v>
      </c>
      <c r="AL31" s="43">
        <f>AL30*'R&amp;S - Apparel'!$C$7*'R&amp;S - Apparel'!$B$14*'R&amp;S - Apparel'!$B$17*(AL$3-$D$3)/10</f>
        <v>0</v>
      </c>
      <c r="AM31" s="43">
        <f>AM30*'R&amp;S - Apparel'!$C$7*'R&amp;S - Apparel'!$B$14*'R&amp;S - Apparel'!$B$17*(AM$3-$D$3)/10</f>
        <v>0</v>
      </c>
      <c r="AN31" s="43">
        <f>AN30*'R&amp;S - Apparel'!$C$7*'R&amp;S - Apparel'!$B$14*'R&amp;S - Apparel'!$B$17*(AN$3-$D$3)/10</f>
        <v>0</v>
      </c>
      <c r="AO31" s="43">
        <f>AO30*'R&amp;S - Apparel'!$C$7*'R&amp;S - Apparel'!$B$14*'R&amp;S - Apparel'!$B$17*(AO$3-$D$3)/10</f>
        <v>0</v>
      </c>
      <c r="AP31" s="43">
        <f>AP30*'R&amp;S - Apparel'!$C$7*'R&amp;S - Apparel'!$B$14*'R&amp;S - Apparel'!$B$17*(AP$3-$D$3)/10</f>
        <v>0</v>
      </c>
      <c r="AQ31" s="43">
        <f>AQ30*'R&amp;S - Apparel'!$C$7*'R&amp;S - Apparel'!$B$14*'R&amp;S - Apparel'!$B$17*(AQ$3-$D$3)/10</f>
        <v>0</v>
      </c>
      <c r="AR31" s="43">
        <f>AR30*'R&amp;S - Apparel'!$C$7*'R&amp;S - Apparel'!$B$14*'R&amp;S - Apparel'!$B$17*(AR$3-$D$3)/10</f>
        <v>0</v>
      </c>
      <c r="AS31" s="43">
        <f>AS30*'R&amp;S - Apparel'!$C$7*'R&amp;S - Apparel'!$B$14*'R&amp;S - Apparel'!$B$17*(AS$3-$D$3)/10</f>
        <v>0</v>
      </c>
      <c r="AT31" s="43">
        <f>AT30*'R&amp;S - Apparel'!$C$7*'R&amp;S - Apparel'!$B$14*'R&amp;S - Apparel'!$B$17*(AT$3-$D$3)/10</f>
        <v>0</v>
      </c>
      <c r="AU31" s="43">
        <f>AU30*'R&amp;S - Apparel'!$C$7*'R&amp;S - Apparel'!$B$14*('R&amp;S - Apparel'!$B$17+('R&amp;S - Apparel'!$B$18-'R&amp;S - Apparel'!$B$17)*(AU$3-$N$3)/10)</f>
        <v>0</v>
      </c>
      <c r="AV31" s="43">
        <f>AV30*'R&amp;S - Apparel'!$C$7*'R&amp;S - Apparel'!$B$14*('R&amp;S - Apparel'!$B$17+('R&amp;S - Apparel'!$B$18-'R&amp;S - Apparel'!$B$17)*(AV$3-$N$3)/10)</f>
        <v>0</v>
      </c>
      <c r="AW31" s="43">
        <f>AW30*'R&amp;S - Apparel'!$C$7*'R&amp;S - Apparel'!$B$14*('R&amp;S - Apparel'!$B$17+('R&amp;S - Apparel'!$B$18-'R&amp;S - Apparel'!$B$17)*(AW$3-$N$3)/10)</f>
        <v>0</v>
      </c>
      <c r="AX31" s="43">
        <f>AX30*'R&amp;S - Apparel'!$C$7*'R&amp;S - Apparel'!$B$14*('R&amp;S - Apparel'!$B$17+('R&amp;S - Apparel'!$B$18-'R&amp;S - Apparel'!$B$17)*(AX$3-$N$3)/10)</f>
        <v>0</v>
      </c>
      <c r="AY31" s="43">
        <f>AY30*'R&amp;S - Apparel'!$C$7*'R&amp;S - Apparel'!$B$14*('R&amp;S - Apparel'!$B$17+('R&amp;S - Apparel'!$B$18-'R&amp;S - Apparel'!$B$17)*(AY$3-$N$3)/10)</f>
        <v>0</v>
      </c>
      <c r="AZ31" s="43">
        <f>AZ30*'R&amp;S - Apparel'!$C$7*'R&amp;S - Apparel'!$B$14*('R&amp;S - Apparel'!$B$17+('R&amp;S - Apparel'!$B$18-'R&amp;S - Apparel'!$B$17)*(AZ$3-$N$3)/10)</f>
        <v>0</v>
      </c>
      <c r="BA31" s="43">
        <f>BA30*'R&amp;S - Apparel'!$C$7*'R&amp;S - Apparel'!$B$14*('R&amp;S - Apparel'!$B$17+('R&amp;S - Apparel'!$B$18-'R&amp;S - Apparel'!$B$17)*(BA$3-$N$3)/10)</f>
        <v>0</v>
      </c>
      <c r="BB31" s="43">
        <f>BB30*'R&amp;S - Apparel'!$C$7*'R&amp;S - Apparel'!$B$14*('R&amp;S - Apparel'!$B$17+('R&amp;S - Apparel'!$B$18-'R&amp;S - Apparel'!$B$17)*(BB$3-$N$3)/10)</f>
        <v>0</v>
      </c>
      <c r="BC31" s="43">
        <f>BC30*'R&amp;S - Apparel'!$C$7*'R&amp;S - Apparel'!$B$14*('R&amp;S - Apparel'!$B$17+('R&amp;S - Apparel'!$B$18-'R&amp;S - Apparel'!$B$17)*(BC$3-$N$3)/10)</f>
        <v>0</v>
      </c>
      <c r="BD31" s="43">
        <f>BD30*'R&amp;S - Apparel'!$C$7*'R&amp;S - Apparel'!$B$14*('R&amp;S - Apparel'!$B$17+('R&amp;S - Apparel'!$B$18-'R&amp;S - Apparel'!$B$17)*(BD$3-$N$3)/10)</f>
        <v>0</v>
      </c>
      <c r="BE31" s="43">
        <f>BE30*'R&amp;S - Apparel'!$C$7*'R&amp;S - Apparel'!$B$14*('R&amp;S - Apparel'!$B$18+('R&amp;S - Apparel'!$B$19-'R&amp;S - Apparel'!$B$18)*(BE$3-$X$3)/10)</f>
        <v>0</v>
      </c>
      <c r="BF31" s="43">
        <f>BF30*'R&amp;S - Apparel'!$C$7*'R&amp;S - Apparel'!$B$14*('R&amp;S - Apparel'!$B$18+('R&amp;S - Apparel'!$B$19-'R&amp;S - Apparel'!$B$18)*(BF$3-$X$3)/10)</f>
        <v>0</v>
      </c>
      <c r="BG31" s="43">
        <f>BG30*'R&amp;S - Apparel'!$C$7*'R&amp;S - Apparel'!$B$14*('R&amp;S - Apparel'!$B$18+('R&amp;S - Apparel'!$B$19-'R&amp;S - Apparel'!$B$18)*(BG$3-$X$3)/10)</f>
        <v>0</v>
      </c>
      <c r="BH31" s="43">
        <f>BH30*'R&amp;S - Apparel'!$C$7*'R&amp;S - Apparel'!$B$14*('R&amp;S - Apparel'!$B$18+('R&amp;S - Apparel'!$B$19-'R&amp;S - Apparel'!$B$18)*(BH$3-$X$3)/10)</f>
        <v>0</v>
      </c>
      <c r="BI31" s="43">
        <f>BI30*'R&amp;S - Apparel'!$C$7*'R&amp;S - Apparel'!$B$14*('R&amp;S - Apparel'!$B$18+('R&amp;S - Apparel'!$B$19-'R&amp;S - Apparel'!$B$18)*(BI$3-$X$3)/10)</f>
        <v>0</v>
      </c>
      <c r="BJ31" s="43">
        <f>BJ30*'R&amp;S - Apparel'!$C$7*'R&amp;S - Apparel'!$B$14*('R&amp;S - Apparel'!$B$18+('R&amp;S - Apparel'!$B$19-'R&amp;S - Apparel'!$B$18)*(BJ$3-$X$3)/10)</f>
        <v>0</v>
      </c>
      <c r="BK31" s="43">
        <f>BK30*'R&amp;S - Apparel'!$C$7*'R&amp;S - Apparel'!$B$14*('R&amp;S - Apparel'!$B$18+('R&amp;S - Apparel'!$B$19-'R&amp;S - Apparel'!$B$18)*(BK$3-$X$3)/10)</f>
        <v>0</v>
      </c>
      <c r="BL31" s="43">
        <f>BL30*'R&amp;S - Apparel'!$C$7*'R&amp;S - Apparel'!$B$14*('R&amp;S - Apparel'!$B$18+('R&amp;S - Apparel'!$B$19-'R&amp;S - Apparel'!$B$18)*(BL$3-$X$3)/10)</f>
        <v>0</v>
      </c>
      <c r="BM31" s="43">
        <f>BM30*'R&amp;S - Apparel'!$C$7*'R&amp;S - Apparel'!$B$14*('R&amp;S - Apparel'!$B$18+('R&amp;S - Apparel'!$B$19-'R&amp;S - Apparel'!$B$18)*(BM$3-$X$3)/10)</f>
        <v>0</v>
      </c>
      <c r="BN31" s="43">
        <f>BN30*'R&amp;S - Apparel'!$C$7*'R&amp;S - Apparel'!$B$14*('R&amp;S - Apparel'!$B$18+('R&amp;S - Apparel'!$B$19-'R&amp;S - Apparel'!$B$18)*(BN$3-$X$3)/10)</f>
        <v>0</v>
      </c>
    </row>
    <row r="32" spans="1:75" outlineLevel="1">
      <c r="B32" s="61" t="s">
        <v>207</v>
      </c>
      <c r="C32" s="54" t="s">
        <v>153</v>
      </c>
      <c r="D32" s="43">
        <f>D30*'R&amp;S - Apparel'!$C$8*'R&amp;S - Apparel'!$B$13*'R&amp;S - Apparel'!$C$17*(D$3-$D$3)/10</f>
        <v>0</v>
      </c>
      <c r="E32" s="43">
        <f>E30*'R&amp;S - Apparel'!$C$8*'R&amp;S - Apparel'!$B$13*'R&amp;S - Apparel'!$C$17*(E$3-$D$3)/10</f>
        <v>0</v>
      </c>
      <c r="F32" s="43">
        <f>F30*'R&amp;S - Apparel'!$C$8*'R&amp;S - Apparel'!$B$13*'R&amp;S - Apparel'!$C$17*(F$3-$D$3)/10</f>
        <v>0</v>
      </c>
      <c r="G32" s="43">
        <f>G30*'R&amp;S - Apparel'!$C$8*'R&amp;S - Apparel'!$B$13*'R&amp;S - Apparel'!$C$17*(G$3-$D$3)/10</f>
        <v>0</v>
      </c>
      <c r="H32" s="43">
        <f>H30*'R&amp;S - Apparel'!$C$8*'R&amp;S - Apparel'!$B$13*'R&amp;S - Apparel'!$C$17*(H$3-$D$3)/10</f>
        <v>0</v>
      </c>
      <c r="I32" s="43">
        <f>I30*'R&amp;S - Apparel'!$C$8*'R&amp;S - Apparel'!$B$13*'R&amp;S - Apparel'!$C$17*(I$3-$D$3)/10</f>
        <v>0</v>
      </c>
      <c r="J32" s="43">
        <f>J30*'R&amp;S - Apparel'!$C$8*'R&amp;S - Apparel'!$B$13*'R&amp;S - Apparel'!$C$17*(J$3-$D$3)/10</f>
        <v>0</v>
      </c>
      <c r="K32" s="43">
        <f>K30*'R&amp;S - Apparel'!$C$8*'R&amp;S - Apparel'!$B$13*'R&amp;S - Apparel'!$C$17*(K$3-$D$3)/10</f>
        <v>0</v>
      </c>
      <c r="L32" s="43">
        <f>L30*'R&amp;S - Apparel'!$C$8*'R&amp;S - Apparel'!$B$13*'R&amp;S - Apparel'!$C$17*(L$3-$D$3)/10</f>
        <v>0</v>
      </c>
      <c r="M32" s="43">
        <f>M30*'R&amp;S - Apparel'!$C$8*'R&amp;S - Apparel'!$B$13*'R&amp;S - Apparel'!$C$17*(M$3-$D$3)/10</f>
        <v>0</v>
      </c>
      <c r="N32" s="43">
        <f>N30*'R&amp;S - Apparel'!$C$8*'R&amp;S - Apparel'!$B$13*'R&amp;S - Apparel'!$C$17*(N$3-$D$3)/10</f>
        <v>0</v>
      </c>
      <c r="O32" s="43">
        <f>O30*'R&amp;S - Apparel'!$C$8*'R&amp;S - Apparel'!$B$13*('R&amp;S - Apparel'!$C$17+('R&amp;S - Apparel'!$C$18-'R&amp;S - Apparel'!$C$17)*(O$3-$N$3)/10)</f>
        <v>0</v>
      </c>
      <c r="P32" s="43">
        <f>P30*'R&amp;S - Apparel'!$C$8*'R&amp;S - Apparel'!$B$13*('R&amp;S - Apparel'!$C$17+('R&amp;S - Apparel'!$C$18-'R&amp;S - Apparel'!$C$17)*(P$3-$N$3)/10)</f>
        <v>0</v>
      </c>
      <c r="Q32" s="43">
        <f>Q30*'R&amp;S - Apparel'!$C$8*'R&amp;S - Apparel'!$B$13*('R&amp;S - Apparel'!$C$17+('R&amp;S - Apparel'!$C$18-'R&amp;S - Apparel'!$C$17)*(Q$3-$N$3)/10)</f>
        <v>0</v>
      </c>
      <c r="R32" s="43">
        <f>R30*'R&amp;S - Apparel'!$C$8*'R&amp;S - Apparel'!$B$13*('R&amp;S - Apparel'!$C$17+('R&amp;S - Apparel'!$C$18-'R&amp;S - Apparel'!$C$17)*(R$3-$N$3)/10)</f>
        <v>0</v>
      </c>
      <c r="S32" s="43">
        <f>S30*'R&amp;S - Apparel'!$C$8*'R&amp;S - Apparel'!$B$13*('R&amp;S - Apparel'!$C$17+('R&amp;S - Apparel'!$C$18-'R&amp;S - Apparel'!$C$17)*(S$3-$N$3)/10)</f>
        <v>0</v>
      </c>
      <c r="T32" s="43">
        <f>T30*'R&amp;S - Apparel'!$C$8*'R&amp;S - Apparel'!$B$13*('R&amp;S - Apparel'!$C$17+('R&amp;S - Apparel'!$C$18-'R&amp;S - Apparel'!$C$17)*(T$3-$N$3)/10)</f>
        <v>0</v>
      </c>
      <c r="U32" s="43">
        <f>U30*'R&amp;S - Apparel'!$C$8*'R&amp;S - Apparel'!$B$13*('R&amp;S - Apparel'!$C$17+('R&amp;S - Apparel'!$C$18-'R&amp;S - Apparel'!$C$17)*(U$3-$N$3)/10)</f>
        <v>0</v>
      </c>
      <c r="V32" s="43">
        <f>V30*'R&amp;S - Apparel'!$C$8*'R&amp;S - Apparel'!$B$13*('R&amp;S - Apparel'!$C$17+('R&amp;S - Apparel'!$C$18-'R&amp;S - Apparel'!$C$17)*(V$3-$N$3)/10)</f>
        <v>0</v>
      </c>
      <c r="W32" s="43">
        <f>W30*'R&amp;S - Apparel'!$C$8*'R&amp;S - Apparel'!$B$13*('R&amp;S - Apparel'!$C$17+('R&amp;S - Apparel'!$C$18-'R&amp;S - Apparel'!$C$17)*(W$3-$N$3)/10)</f>
        <v>0</v>
      </c>
      <c r="X32" s="43">
        <f>X30*'R&amp;S - Apparel'!$C$8*'R&amp;S - Apparel'!$B$13*('R&amp;S - Apparel'!$C$17+('R&amp;S - Apparel'!$C$18-'R&amp;S - Apparel'!$C$17)*(X$3-$N$3)/10)</f>
        <v>0</v>
      </c>
      <c r="Y32" s="43">
        <f>Y30*'R&amp;S - Apparel'!$C$8*'R&amp;S - Apparel'!$B$13*('R&amp;S - Apparel'!$C$18+('R&amp;S - Apparel'!$C$19-'R&amp;S - Apparel'!$C$18)*(Y$3-$X$3)/10)</f>
        <v>0</v>
      </c>
      <c r="Z32" s="43">
        <f>Z30*'R&amp;S - Apparel'!$C$8*'R&amp;S - Apparel'!$B$13*('R&amp;S - Apparel'!$C$18+('R&amp;S - Apparel'!$C$19-'R&amp;S - Apparel'!$C$18)*(Z$3-$X$3)/10)</f>
        <v>0</v>
      </c>
      <c r="AA32" s="43">
        <f>AA30*'R&amp;S - Apparel'!$C$8*'R&amp;S - Apparel'!$B$13*('R&amp;S - Apparel'!$C$18+('R&amp;S - Apparel'!$C$19-'R&amp;S - Apparel'!$C$18)*(AA$3-$X$3)/10)</f>
        <v>0</v>
      </c>
      <c r="AB32" s="43">
        <f>AB30*'R&amp;S - Apparel'!$C$8*'R&amp;S - Apparel'!$B$13*('R&amp;S - Apparel'!$C$18+('R&amp;S - Apparel'!$C$19-'R&amp;S - Apparel'!$C$18)*(AB$3-$X$3)/10)</f>
        <v>0</v>
      </c>
      <c r="AC32" s="43">
        <f>AC30*'R&amp;S - Apparel'!$C$8*'R&amp;S - Apparel'!$B$13*('R&amp;S - Apparel'!$C$18+('R&amp;S - Apparel'!$C$19-'R&amp;S - Apparel'!$C$18)*(AC$3-$X$3)/10)</f>
        <v>0</v>
      </c>
      <c r="AD32" s="43">
        <f>AD30*'R&amp;S - Apparel'!$C$8*'R&amp;S - Apparel'!$B$13*('R&amp;S - Apparel'!$C$18+('R&amp;S - Apparel'!$C$19-'R&amp;S - Apparel'!$C$18)*(AD$3-$X$3)/10)</f>
        <v>0</v>
      </c>
      <c r="AE32" s="43">
        <f>AE30*'R&amp;S - Apparel'!$C$8*'R&amp;S - Apparel'!$B$13*('R&amp;S - Apparel'!$C$18+('R&amp;S - Apparel'!$C$19-'R&amp;S - Apparel'!$C$18)*(AE$3-$X$3)/10)</f>
        <v>0</v>
      </c>
      <c r="AF32" s="43">
        <f>AF30*'R&amp;S - Apparel'!$C$8*'R&amp;S - Apparel'!$B$13*('R&amp;S - Apparel'!$C$18+('R&amp;S - Apparel'!$C$19-'R&amp;S - Apparel'!$C$18)*(AF$3-$X$3)/10)</f>
        <v>0</v>
      </c>
      <c r="AG32" s="43">
        <f>AG30*'R&amp;S - Apparel'!$C$8*'R&amp;S - Apparel'!$B$13*('R&amp;S - Apparel'!$C$18+('R&amp;S - Apparel'!$C$19-'R&amp;S - Apparel'!$C$18)*(AG$3-$X$3)/10)</f>
        <v>0</v>
      </c>
      <c r="AH32" s="43">
        <f>AH30*'R&amp;S - Apparel'!$C$8*'R&amp;S - Apparel'!$B$13*('R&amp;S - Apparel'!$C$18+('R&amp;S - Apparel'!$C$19-'R&amp;S - Apparel'!$C$18)*(AH$3-$X$3)/10)</f>
        <v>0</v>
      </c>
      <c r="AJ32" s="43">
        <f>AJ30*'R&amp;S - Apparel'!$C$8*'R&amp;S - Apparel'!$B$14*'R&amp;S - Apparel'!$C$17*(AJ$3-$D$3)/10</f>
        <v>0</v>
      </c>
      <c r="AK32" s="43">
        <f>AK30*'R&amp;S - Apparel'!$C$8*'R&amp;S - Apparel'!$B$14*'R&amp;S - Apparel'!$C$17*(AK$3-$D$3)/10</f>
        <v>0</v>
      </c>
      <c r="AL32" s="43">
        <f>AL30*'R&amp;S - Apparel'!$C$8*'R&amp;S - Apparel'!$B$14*'R&amp;S - Apparel'!$C$17*(AL$3-$D$3)/10</f>
        <v>0</v>
      </c>
      <c r="AM32" s="43">
        <f>AM30*'R&amp;S - Apparel'!$C$8*'R&amp;S - Apparel'!$B$14*'R&amp;S - Apparel'!$C$17*(AM$3-$D$3)/10</f>
        <v>0</v>
      </c>
      <c r="AN32" s="43">
        <f>AN30*'R&amp;S - Apparel'!$C$8*'R&amp;S - Apparel'!$B$14*'R&amp;S - Apparel'!$C$17*(AN$3-$D$3)/10</f>
        <v>0</v>
      </c>
      <c r="AO32" s="43">
        <f>AO30*'R&amp;S - Apparel'!$C$8*'R&amp;S - Apparel'!$B$14*'R&amp;S - Apparel'!$C$17*(AO$3-$D$3)/10</f>
        <v>0</v>
      </c>
      <c r="AP32" s="43">
        <f>AP30*'R&amp;S - Apparel'!$C$8*'R&amp;S - Apparel'!$B$14*'R&amp;S - Apparel'!$C$17*(AP$3-$D$3)/10</f>
        <v>0</v>
      </c>
      <c r="AQ32" s="43">
        <f>AQ30*'R&amp;S - Apparel'!$C$8*'R&amp;S - Apparel'!$B$14*'R&amp;S - Apparel'!$C$17*(AQ$3-$D$3)/10</f>
        <v>0</v>
      </c>
      <c r="AR32" s="43">
        <f>AR30*'R&amp;S - Apparel'!$C$8*'R&amp;S - Apparel'!$B$14*'R&amp;S - Apparel'!$C$17*(AR$3-$D$3)/10</f>
        <v>0</v>
      </c>
      <c r="AS32" s="43">
        <f>AS30*'R&amp;S - Apparel'!$C$8*'R&amp;S - Apparel'!$B$14*'R&amp;S - Apparel'!$C$17*(AS$3-$D$3)/10</f>
        <v>0</v>
      </c>
      <c r="AT32" s="43">
        <f>AT30*'R&amp;S - Apparel'!$C$8*'R&amp;S - Apparel'!$B$14*'R&amp;S - Apparel'!$C$17*(AT$3-$D$3)/10</f>
        <v>0</v>
      </c>
      <c r="AU32" s="43">
        <f>AU30*'R&amp;S - Apparel'!$C$8*'R&amp;S - Apparel'!$B$14*('R&amp;S - Apparel'!$C$17+('R&amp;S - Apparel'!$C$18-'R&amp;S - Apparel'!$C$17)*(AU$3-$N$3)/10)</f>
        <v>0</v>
      </c>
      <c r="AV32" s="43">
        <f>AV30*'R&amp;S - Apparel'!$C$8*'R&amp;S - Apparel'!$B$14*('R&amp;S - Apparel'!$C$17+('R&amp;S - Apparel'!$C$18-'R&amp;S - Apparel'!$C$17)*(AV$3-$N$3)/10)</f>
        <v>0</v>
      </c>
      <c r="AW32" s="43">
        <f>AW30*'R&amp;S - Apparel'!$C$8*'R&amp;S - Apparel'!$B$14*('R&amp;S - Apparel'!$C$17+('R&amp;S - Apparel'!$C$18-'R&amp;S - Apparel'!$C$17)*(AW$3-$N$3)/10)</f>
        <v>0</v>
      </c>
      <c r="AX32" s="43">
        <f>AX30*'R&amp;S - Apparel'!$C$8*'R&amp;S - Apparel'!$B$14*('R&amp;S - Apparel'!$C$17+('R&amp;S - Apparel'!$C$18-'R&amp;S - Apparel'!$C$17)*(AX$3-$N$3)/10)</f>
        <v>0</v>
      </c>
      <c r="AY32" s="43">
        <f>AY30*'R&amp;S - Apparel'!$C$8*'R&amp;S - Apparel'!$B$14*('R&amp;S - Apparel'!$C$17+('R&amp;S - Apparel'!$C$18-'R&amp;S - Apparel'!$C$17)*(AY$3-$N$3)/10)</f>
        <v>0</v>
      </c>
      <c r="AZ32" s="43">
        <f>AZ30*'R&amp;S - Apparel'!$C$8*'R&amp;S - Apparel'!$B$14*('R&amp;S - Apparel'!$C$17+('R&amp;S - Apparel'!$C$18-'R&amp;S - Apparel'!$C$17)*(AZ$3-$N$3)/10)</f>
        <v>0</v>
      </c>
      <c r="BA32" s="43">
        <f>BA30*'R&amp;S - Apparel'!$C$8*'R&amp;S - Apparel'!$B$14*('R&amp;S - Apparel'!$C$17+('R&amp;S - Apparel'!$C$18-'R&amp;S - Apparel'!$C$17)*(BA$3-$N$3)/10)</f>
        <v>0</v>
      </c>
      <c r="BB32" s="43">
        <f>BB30*'R&amp;S - Apparel'!$C$8*'R&amp;S - Apparel'!$B$14*('R&amp;S - Apparel'!$C$17+('R&amp;S - Apparel'!$C$18-'R&amp;S - Apparel'!$C$17)*(BB$3-$N$3)/10)</f>
        <v>0</v>
      </c>
      <c r="BC32" s="43">
        <f>BC30*'R&amp;S - Apparel'!$C$8*'R&amp;S - Apparel'!$B$14*('R&amp;S - Apparel'!$C$17+('R&amp;S - Apparel'!$C$18-'R&amp;S - Apparel'!$C$17)*(BC$3-$N$3)/10)</f>
        <v>0</v>
      </c>
      <c r="BD32" s="43">
        <f>BD30*'R&amp;S - Apparel'!$C$8*'R&amp;S - Apparel'!$B$14*('R&amp;S - Apparel'!$C$17+('R&amp;S - Apparel'!$C$18-'R&amp;S - Apparel'!$C$17)*(BD$3-$N$3)/10)</f>
        <v>0</v>
      </c>
      <c r="BE32" s="43">
        <f>BE30*'R&amp;S - Apparel'!$C$8*'R&amp;S - Apparel'!$B$14*('R&amp;S - Apparel'!$C$18+('R&amp;S - Apparel'!$C$19-'R&amp;S - Apparel'!$C$18)*(BE$3-$X$3)/10)</f>
        <v>0</v>
      </c>
      <c r="BF32" s="43">
        <f>BF30*'R&amp;S - Apparel'!$C$8*'R&amp;S - Apparel'!$B$14*('R&amp;S - Apparel'!$C$18+('R&amp;S - Apparel'!$C$19-'R&amp;S - Apparel'!$C$18)*(BF$3-$X$3)/10)</f>
        <v>0</v>
      </c>
      <c r="BG32" s="43">
        <f>BG30*'R&amp;S - Apparel'!$C$8*'R&amp;S - Apparel'!$B$14*('R&amp;S - Apparel'!$C$18+('R&amp;S - Apparel'!$C$19-'R&amp;S - Apparel'!$C$18)*(BG$3-$X$3)/10)</f>
        <v>0</v>
      </c>
      <c r="BH32" s="43">
        <f>BH30*'R&amp;S - Apparel'!$C$8*'R&amp;S - Apparel'!$B$14*('R&amp;S - Apparel'!$C$18+('R&amp;S - Apparel'!$C$19-'R&amp;S - Apparel'!$C$18)*(BH$3-$X$3)/10)</f>
        <v>0</v>
      </c>
      <c r="BI32" s="43">
        <f>BI30*'R&amp;S - Apparel'!$C$8*'R&amp;S - Apparel'!$B$14*('R&amp;S - Apparel'!$C$18+('R&amp;S - Apparel'!$C$19-'R&amp;S - Apparel'!$C$18)*(BI$3-$X$3)/10)</f>
        <v>0</v>
      </c>
      <c r="BJ32" s="43">
        <f>BJ30*'R&amp;S - Apparel'!$C$8*'R&amp;S - Apparel'!$B$14*('R&amp;S - Apparel'!$C$18+('R&amp;S - Apparel'!$C$19-'R&amp;S - Apparel'!$C$18)*(BJ$3-$X$3)/10)</f>
        <v>0</v>
      </c>
      <c r="BK32" s="43">
        <f>BK30*'R&amp;S - Apparel'!$C$8*'R&amp;S - Apparel'!$B$14*('R&amp;S - Apparel'!$C$18+('R&amp;S - Apparel'!$C$19-'R&amp;S - Apparel'!$C$18)*(BK$3-$X$3)/10)</f>
        <v>0</v>
      </c>
      <c r="BL32" s="43">
        <f>BL30*'R&amp;S - Apparel'!$C$8*'R&amp;S - Apparel'!$B$14*('R&amp;S - Apparel'!$C$18+('R&amp;S - Apparel'!$C$19-'R&amp;S - Apparel'!$C$18)*(BL$3-$X$3)/10)</f>
        <v>0</v>
      </c>
      <c r="BM32" s="43">
        <f>BM30*'R&amp;S - Apparel'!$C$8*'R&amp;S - Apparel'!$B$14*('R&amp;S - Apparel'!$C$18+('R&amp;S - Apparel'!$C$19-'R&amp;S - Apparel'!$C$18)*(BM$3-$X$3)/10)</f>
        <v>0</v>
      </c>
      <c r="BN32" s="43">
        <f>BN30*'R&amp;S - Apparel'!$C$8*'R&amp;S - Apparel'!$B$14*('R&amp;S - Apparel'!$C$18+('R&amp;S - Apparel'!$C$19-'R&amp;S - Apparel'!$C$18)*(BN$3-$X$3)/10)</f>
        <v>0</v>
      </c>
    </row>
    <row r="33" spans="1:66" outlineLevel="1">
      <c r="B33" s="1" t="s">
        <v>168</v>
      </c>
      <c r="C33" s="54" t="s">
        <v>153</v>
      </c>
      <c r="D33" s="43">
        <f>SUM(D31:D32)</f>
        <v>0</v>
      </c>
      <c r="E33" s="43">
        <f>SUM(E31:E32)</f>
        <v>0</v>
      </c>
      <c r="F33" s="43">
        <f t="shared" ref="F33:AH33" si="30">SUM(F31:F32)</f>
        <v>0</v>
      </c>
      <c r="G33" s="43">
        <f t="shared" si="30"/>
        <v>0</v>
      </c>
      <c r="H33" s="43">
        <f t="shared" si="30"/>
        <v>0</v>
      </c>
      <c r="I33" s="43">
        <f t="shared" si="30"/>
        <v>0</v>
      </c>
      <c r="J33" s="43">
        <f t="shared" si="30"/>
        <v>0</v>
      </c>
      <c r="K33" s="43">
        <f t="shared" si="30"/>
        <v>0</v>
      </c>
      <c r="L33" s="43">
        <f t="shared" si="30"/>
        <v>0</v>
      </c>
      <c r="M33" s="43">
        <f t="shared" si="30"/>
        <v>0</v>
      </c>
      <c r="N33" s="43">
        <f t="shared" si="30"/>
        <v>0</v>
      </c>
      <c r="O33" s="43">
        <f>SUM(O31:O32)</f>
        <v>0</v>
      </c>
      <c r="P33" s="43">
        <f t="shared" si="30"/>
        <v>0</v>
      </c>
      <c r="Q33" s="43">
        <f t="shared" si="30"/>
        <v>0</v>
      </c>
      <c r="R33" s="43">
        <f t="shared" si="30"/>
        <v>0</v>
      </c>
      <c r="S33" s="43">
        <f t="shared" si="30"/>
        <v>0</v>
      </c>
      <c r="T33" s="43">
        <f t="shared" si="30"/>
        <v>0</v>
      </c>
      <c r="U33" s="43">
        <f t="shared" si="30"/>
        <v>0</v>
      </c>
      <c r="V33" s="43">
        <f t="shared" si="30"/>
        <v>0</v>
      </c>
      <c r="W33" s="43">
        <f t="shared" si="30"/>
        <v>0</v>
      </c>
      <c r="X33" s="43">
        <f t="shared" si="30"/>
        <v>0</v>
      </c>
      <c r="Y33" s="43">
        <f t="shared" si="30"/>
        <v>0</v>
      </c>
      <c r="Z33" s="43">
        <f t="shared" si="30"/>
        <v>0</v>
      </c>
      <c r="AA33" s="43">
        <f t="shared" si="30"/>
        <v>0</v>
      </c>
      <c r="AB33" s="43">
        <f t="shared" si="30"/>
        <v>0</v>
      </c>
      <c r="AC33" s="43">
        <f t="shared" si="30"/>
        <v>0</v>
      </c>
      <c r="AD33" s="43">
        <f t="shared" si="30"/>
        <v>0</v>
      </c>
      <c r="AE33" s="43">
        <f t="shared" si="30"/>
        <v>0</v>
      </c>
      <c r="AF33" s="43">
        <f t="shared" si="30"/>
        <v>0</v>
      </c>
      <c r="AG33" s="43">
        <f t="shared" si="30"/>
        <v>0</v>
      </c>
      <c r="AH33" s="43">
        <f t="shared" si="30"/>
        <v>0</v>
      </c>
      <c r="AJ33" s="43">
        <f>SUM(AJ31:AJ32)</f>
        <v>0</v>
      </c>
      <c r="AK33" s="43">
        <f>SUM(AK31:AK32)</f>
        <v>0</v>
      </c>
      <c r="AL33" s="43">
        <f t="shared" ref="AL33:AT33" si="31">SUM(AL31:AL32)</f>
        <v>0</v>
      </c>
      <c r="AM33" s="43">
        <f t="shared" si="31"/>
        <v>0</v>
      </c>
      <c r="AN33" s="43">
        <f t="shared" si="31"/>
        <v>0</v>
      </c>
      <c r="AO33" s="43">
        <f t="shared" si="31"/>
        <v>0</v>
      </c>
      <c r="AP33" s="43">
        <f t="shared" si="31"/>
        <v>0</v>
      </c>
      <c r="AQ33" s="43">
        <f t="shared" si="31"/>
        <v>0</v>
      </c>
      <c r="AR33" s="43">
        <f t="shared" si="31"/>
        <v>0</v>
      </c>
      <c r="AS33" s="43">
        <f t="shared" si="31"/>
        <v>0</v>
      </c>
      <c r="AT33" s="43">
        <f t="shared" si="31"/>
        <v>0</v>
      </c>
      <c r="AU33" s="43">
        <f>SUM(AU31:AU32)</f>
        <v>0</v>
      </c>
      <c r="AV33" s="43">
        <f t="shared" ref="AV33:BN33" si="32">SUM(AV31:AV32)</f>
        <v>0</v>
      </c>
      <c r="AW33" s="43">
        <f t="shared" si="32"/>
        <v>0</v>
      </c>
      <c r="AX33" s="43">
        <f t="shared" si="32"/>
        <v>0</v>
      </c>
      <c r="AY33" s="43">
        <f t="shared" si="32"/>
        <v>0</v>
      </c>
      <c r="AZ33" s="43">
        <f t="shared" si="32"/>
        <v>0</v>
      </c>
      <c r="BA33" s="43">
        <f t="shared" si="32"/>
        <v>0</v>
      </c>
      <c r="BB33" s="43">
        <f t="shared" si="32"/>
        <v>0</v>
      </c>
      <c r="BC33" s="43">
        <f t="shared" si="32"/>
        <v>0</v>
      </c>
      <c r="BD33" s="43">
        <f t="shared" si="32"/>
        <v>0</v>
      </c>
      <c r="BE33" s="43">
        <f t="shared" si="32"/>
        <v>0</v>
      </c>
      <c r="BF33" s="43">
        <f t="shared" si="32"/>
        <v>0</v>
      </c>
      <c r="BG33" s="43">
        <f t="shared" si="32"/>
        <v>0</v>
      </c>
      <c r="BH33" s="43">
        <f t="shared" si="32"/>
        <v>0</v>
      </c>
      <c r="BI33" s="43">
        <f t="shared" si="32"/>
        <v>0</v>
      </c>
      <c r="BJ33" s="43">
        <f t="shared" si="32"/>
        <v>0</v>
      </c>
      <c r="BK33" s="43">
        <f t="shared" si="32"/>
        <v>0</v>
      </c>
      <c r="BL33" s="43">
        <f t="shared" si="32"/>
        <v>0</v>
      </c>
      <c r="BM33" s="43">
        <f t="shared" si="32"/>
        <v>0</v>
      </c>
      <c r="BN33" s="43">
        <f t="shared" si="32"/>
        <v>0</v>
      </c>
    </row>
    <row r="34" spans="1:66" outlineLevel="1">
      <c r="B34" s="1" t="s">
        <v>172</v>
      </c>
      <c r="C34" s="54" t="s">
        <v>153</v>
      </c>
      <c r="D34" s="43">
        <f>D30*'R&amp;S - Apparel'!$C$10*'R&amp;S - Apparel'!$B$13*'R&amp;S - Apparel'!$D$17*(D$3-$D$3)/10</f>
        <v>0</v>
      </c>
      <c r="E34" s="43">
        <f>E30*'R&amp;S - Apparel'!$C$10*'R&amp;S - Apparel'!$B$13*'R&amp;S - Apparel'!$D$17*(E$3-$D$3)/10</f>
        <v>0</v>
      </c>
      <c r="F34" s="43">
        <f>F30*'R&amp;S - Apparel'!$C$10*'R&amp;S - Apparel'!$B$13*'R&amp;S - Apparel'!$D$17*(F$3-$D$3)/10</f>
        <v>0</v>
      </c>
      <c r="G34" s="43">
        <f>G30*'R&amp;S - Apparel'!$C$10*'R&amp;S - Apparel'!$B$13*'R&amp;S - Apparel'!$D$17*(G$3-$D$3)/10</f>
        <v>0</v>
      </c>
      <c r="H34" s="43">
        <f>H30*'R&amp;S - Apparel'!$C$10*'R&amp;S - Apparel'!$B$13*'R&amp;S - Apparel'!$D$17*(H$3-$D$3)/10</f>
        <v>0</v>
      </c>
      <c r="I34" s="43">
        <f>I30*'R&amp;S - Apparel'!$C$10*'R&amp;S - Apparel'!$B$13*'R&amp;S - Apparel'!$D$17*(I$3-$D$3)/10</f>
        <v>0</v>
      </c>
      <c r="J34" s="43">
        <f>J30*'R&amp;S - Apparel'!$C$10*'R&amp;S - Apparel'!$B$13*'R&amp;S - Apparel'!$D$17*(J$3-$D$3)/10</f>
        <v>0</v>
      </c>
      <c r="K34" s="43">
        <f>K30*'R&amp;S - Apparel'!$C$10*'R&amp;S - Apparel'!$B$13*'R&amp;S - Apparel'!$D$17*(K$3-$D$3)/10</f>
        <v>0</v>
      </c>
      <c r="L34" s="43">
        <f>L30*'R&amp;S - Apparel'!$C$10*'R&amp;S - Apparel'!$B$13*'R&amp;S - Apparel'!$D$17*(L$3-$D$3)/10</f>
        <v>0</v>
      </c>
      <c r="M34" s="43">
        <f>M30*'R&amp;S - Apparel'!$C$10*'R&amp;S - Apparel'!$B$13*'R&amp;S - Apparel'!$D$17*(M$3-$D$3)/10</f>
        <v>0</v>
      </c>
      <c r="N34" s="43">
        <f>N30*'R&amp;S - Apparel'!$C$10*'R&amp;S - Apparel'!$B$13*'R&amp;S - Apparel'!$D$17*(N$3-$D$3)/10</f>
        <v>0</v>
      </c>
      <c r="O34" s="43">
        <f>O30*'R&amp;S - Apparel'!$C$10*'R&amp;S - Apparel'!$B$13*('R&amp;S - Apparel'!$D$17+('R&amp;S - Apparel'!$D$18-'R&amp;S - Apparel'!$D$17)*(O$3-$N$3)/10)</f>
        <v>0</v>
      </c>
      <c r="P34" s="43">
        <f>P30*'R&amp;S - Apparel'!$C$10*'R&amp;S - Apparel'!$B$13*('R&amp;S - Apparel'!$D$17+('R&amp;S - Apparel'!$D$18-'R&amp;S - Apparel'!$D$17)*(P$3-$N$3)/10)</f>
        <v>0</v>
      </c>
      <c r="Q34" s="43">
        <f>Q30*'R&amp;S - Apparel'!$C$10*'R&amp;S - Apparel'!$B$13*('R&amp;S - Apparel'!$D$17+('R&amp;S - Apparel'!$D$18-'R&amp;S - Apparel'!$D$17)*(Q$3-$N$3)/10)</f>
        <v>0</v>
      </c>
      <c r="R34" s="43">
        <f>R30*'R&amp;S - Apparel'!$C$10*'R&amp;S - Apparel'!$B$13*('R&amp;S - Apparel'!$D$17+('R&amp;S - Apparel'!$D$18-'R&amp;S - Apparel'!$D$17)*(R$3-$N$3)/10)</f>
        <v>0</v>
      </c>
      <c r="S34" s="43">
        <f>S30*'R&amp;S - Apparel'!$C$10*'R&amp;S - Apparel'!$B$13*('R&amp;S - Apparel'!$D$17+('R&amp;S - Apparel'!$D$18-'R&amp;S - Apparel'!$D$17)*(S$3-$N$3)/10)</f>
        <v>0</v>
      </c>
      <c r="T34" s="43">
        <f>T30*'R&amp;S - Apparel'!$C$10*'R&amp;S - Apparel'!$B$13*('R&amp;S - Apparel'!$D$17+('R&amp;S - Apparel'!$D$18-'R&amp;S - Apparel'!$D$17)*(T$3-$N$3)/10)</f>
        <v>0</v>
      </c>
      <c r="U34" s="43">
        <f>U30*'R&amp;S - Apparel'!$C$10*'R&amp;S - Apparel'!$B$13*('R&amp;S - Apparel'!$D$17+('R&amp;S - Apparel'!$D$18-'R&amp;S - Apparel'!$D$17)*(U$3-$N$3)/10)</f>
        <v>0</v>
      </c>
      <c r="V34" s="43">
        <f>V30*'R&amp;S - Apparel'!$C$10*'R&amp;S - Apparel'!$B$13*('R&amp;S - Apparel'!$D$17+('R&amp;S - Apparel'!$D$18-'R&amp;S - Apparel'!$D$17)*(V$3-$N$3)/10)</f>
        <v>0</v>
      </c>
      <c r="W34" s="43">
        <f>W30*'R&amp;S - Apparel'!$C$10*'R&amp;S - Apparel'!$B$13*('R&amp;S - Apparel'!$D$17+('R&amp;S - Apparel'!$D$18-'R&amp;S - Apparel'!$D$17)*(W$3-$N$3)/10)</f>
        <v>0</v>
      </c>
      <c r="X34" s="43">
        <f>X30*'R&amp;S - Apparel'!$C$10*'R&amp;S - Apparel'!$B$13*('R&amp;S - Apparel'!$D$17+('R&amp;S - Apparel'!$D$18-'R&amp;S - Apparel'!$D$17)*(X$3-$N$3)/10)</f>
        <v>0</v>
      </c>
      <c r="Y34" s="43">
        <f>Y30*'R&amp;S - Apparel'!$C$10*'R&amp;S - Apparel'!$B$13*('R&amp;S - Apparel'!$D$18+('R&amp;S - Apparel'!$D$19-'R&amp;S - Apparel'!$D$18)*(Y$3-$X$3)/10)</f>
        <v>0</v>
      </c>
      <c r="Z34" s="43">
        <f>Z30*'R&amp;S - Apparel'!$C$10*'R&amp;S - Apparel'!$B$13*('R&amp;S - Apparel'!$D$18+('R&amp;S - Apparel'!$D$19-'R&amp;S - Apparel'!$D$18)*(Z$3-$X$3)/10)</f>
        <v>0</v>
      </c>
      <c r="AA34" s="43">
        <f>AA30*'R&amp;S - Apparel'!$C$10*'R&amp;S - Apparel'!$B$13*('R&amp;S - Apparel'!$D$18+('R&amp;S - Apparel'!$D$19-'R&amp;S - Apparel'!$D$18)*(AA$3-$X$3)/10)</f>
        <v>0</v>
      </c>
      <c r="AB34" s="43">
        <f>AB30*'R&amp;S - Apparel'!$C$10*'R&amp;S - Apparel'!$B$13*('R&amp;S - Apparel'!$D$18+('R&amp;S - Apparel'!$D$19-'R&amp;S - Apparel'!$D$18)*(AB$3-$X$3)/10)</f>
        <v>0</v>
      </c>
      <c r="AC34" s="43">
        <f>AC30*'R&amp;S - Apparel'!$C$10*'R&amp;S - Apparel'!$B$13*('R&amp;S - Apparel'!$D$18+('R&amp;S - Apparel'!$D$19-'R&amp;S - Apparel'!$D$18)*(AC$3-$X$3)/10)</f>
        <v>0</v>
      </c>
      <c r="AD34" s="43">
        <f>AD30*'R&amp;S - Apparel'!$C$10*'R&amp;S - Apparel'!$B$13*('R&amp;S - Apparel'!$D$18+('R&amp;S - Apparel'!$D$19-'R&amp;S - Apparel'!$D$18)*(AD$3-$X$3)/10)</f>
        <v>0</v>
      </c>
      <c r="AE34" s="43">
        <f>AE30*'R&amp;S - Apparel'!$C$10*'R&amp;S - Apparel'!$B$13*('R&amp;S - Apparel'!$D$18+('R&amp;S - Apparel'!$D$19-'R&amp;S - Apparel'!$D$18)*(AE$3-$X$3)/10)</f>
        <v>0</v>
      </c>
      <c r="AF34" s="43">
        <f>AF30*'R&amp;S - Apparel'!$C$10*'R&amp;S - Apparel'!$B$13*('R&amp;S - Apparel'!$D$18+('R&amp;S - Apparel'!$D$19-'R&amp;S - Apparel'!$D$18)*(AF$3-$X$3)/10)</f>
        <v>0</v>
      </c>
      <c r="AG34" s="43">
        <f>AG30*'R&amp;S - Apparel'!$C$10*'R&amp;S - Apparel'!$B$13*('R&amp;S - Apparel'!$D$18+('R&amp;S - Apparel'!$D$19-'R&amp;S - Apparel'!$D$18)*(AG$3-$X$3)/10)</f>
        <v>0</v>
      </c>
      <c r="AH34" s="43">
        <f>AH30*'R&amp;S - Apparel'!$C$10*'R&amp;S - Apparel'!$B$13*('R&amp;S - Apparel'!$D$18+('R&amp;S - Apparel'!$D$19-'R&amp;S - Apparel'!$D$18)*(AH$3-$X$3)/10)</f>
        <v>0</v>
      </c>
      <c r="AJ34" s="43">
        <f>AJ30*'R&amp;S - Apparel'!$C$10*'R&amp;S - Apparel'!$B$14*'R&amp;S - Apparel'!$D$17*(AJ$3-$D$3)/10</f>
        <v>0</v>
      </c>
      <c r="AK34" s="43">
        <f>AK30*'R&amp;S - Apparel'!$C$10*'R&amp;S - Apparel'!$B$14*'R&amp;S - Apparel'!$D$17*(AK$3-$D$3)/10</f>
        <v>0</v>
      </c>
      <c r="AL34" s="43">
        <f>AL30*'R&amp;S - Apparel'!$C$10*'R&amp;S - Apparel'!$B$14*'R&amp;S - Apparel'!$D$17*(AL$3-$D$3)/10</f>
        <v>0</v>
      </c>
      <c r="AM34" s="43">
        <f>AM30*'R&amp;S - Apparel'!$C$10*'R&amp;S - Apparel'!$B$14*'R&amp;S - Apparel'!$D$17*(AM$3-$D$3)/10</f>
        <v>0</v>
      </c>
      <c r="AN34" s="43">
        <f>AN30*'R&amp;S - Apparel'!$C$10*'R&amp;S - Apparel'!$B$14*'R&amp;S - Apparel'!$D$17*(AN$3-$D$3)/10</f>
        <v>0</v>
      </c>
      <c r="AO34" s="43">
        <f>AO30*'R&amp;S - Apparel'!$C$10*'R&amp;S - Apparel'!$B$14*'R&amp;S - Apparel'!$D$17*(AO$3-$D$3)/10</f>
        <v>0</v>
      </c>
      <c r="AP34" s="43">
        <f>AP30*'R&amp;S - Apparel'!$C$10*'R&amp;S - Apparel'!$B$14*'R&amp;S - Apparel'!$D$17*(AP$3-$D$3)/10</f>
        <v>0</v>
      </c>
      <c r="AQ34" s="43">
        <f>AQ30*'R&amp;S - Apparel'!$C$10*'R&amp;S - Apparel'!$B$14*'R&amp;S - Apparel'!$D$17*(AQ$3-$D$3)/10</f>
        <v>0</v>
      </c>
      <c r="AR34" s="43">
        <f>AR30*'R&amp;S - Apparel'!$C$10*'R&amp;S - Apparel'!$B$14*'R&amp;S - Apparel'!$D$17*(AR$3-$D$3)/10</f>
        <v>0</v>
      </c>
      <c r="AS34" s="43">
        <f>AS30*'R&amp;S - Apparel'!$C$10*'R&amp;S - Apparel'!$B$14*'R&amp;S - Apparel'!$D$17*(AS$3-$D$3)/10</f>
        <v>0</v>
      </c>
      <c r="AT34" s="43">
        <f>AT30*'R&amp;S - Apparel'!$C$10*'R&amp;S - Apparel'!$B$14*'R&amp;S - Apparel'!$D$17*(AT$3-$D$3)/10</f>
        <v>0</v>
      </c>
      <c r="AU34" s="43">
        <f>AU30*'R&amp;S - Apparel'!$C$10*'R&amp;S - Apparel'!$B$14*('R&amp;S - Apparel'!$D$17+('R&amp;S - Apparel'!$D$18-'R&amp;S - Apparel'!$D$17)*(AU$3-$N$3)/10)</f>
        <v>0</v>
      </c>
      <c r="AV34" s="43">
        <f>AV30*'R&amp;S - Apparel'!$C$10*'R&amp;S - Apparel'!$B$14*('R&amp;S - Apparel'!$D$17+('R&amp;S - Apparel'!$D$18-'R&amp;S - Apparel'!$D$17)*(AV$3-$N$3)/10)</f>
        <v>0</v>
      </c>
      <c r="AW34" s="43">
        <f>AW30*'R&amp;S - Apparel'!$C$10*'R&amp;S - Apparel'!$B$14*('R&amp;S - Apparel'!$D$17+('R&amp;S - Apparel'!$D$18-'R&amp;S - Apparel'!$D$17)*(AW$3-$N$3)/10)</f>
        <v>0</v>
      </c>
      <c r="AX34" s="43">
        <f>AX30*'R&amp;S - Apparel'!$C$10*'R&amp;S - Apparel'!$B$14*('R&amp;S - Apparel'!$D$17+('R&amp;S - Apparel'!$D$18-'R&amp;S - Apparel'!$D$17)*(AX$3-$N$3)/10)</f>
        <v>0</v>
      </c>
      <c r="AY34" s="43">
        <f>AY30*'R&amp;S - Apparel'!$C$10*'R&amp;S - Apparel'!$B$14*('R&amp;S - Apparel'!$D$17+('R&amp;S - Apparel'!$D$18-'R&amp;S - Apparel'!$D$17)*(AY$3-$N$3)/10)</f>
        <v>0</v>
      </c>
      <c r="AZ34" s="43">
        <f>AZ30*'R&amp;S - Apparel'!$C$10*'R&amp;S - Apparel'!$B$14*('R&amp;S - Apparel'!$D$17+('R&amp;S - Apparel'!$D$18-'R&amp;S - Apparel'!$D$17)*(AZ$3-$N$3)/10)</f>
        <v>0</v>
      </c>
      <c r="BA34" s="43">
        <f>BA30*'R&amp;S - Apparel'!$C$10*'R&amp;S - Apparel'!$B$14*('R&amp;S - Apparel'!$D$17+('R&amp;S - Apparel'!$D$18-'R&amp;S - Apparel'!$D$17)*(BA$3-$N$3)/10)</f>
        <v>0</v>
      </c>
      <c r="BB34" s="43">
        <f>BB30*'R&amp;S - Apparel'!$C$10*'R&amp;S - Apparel'!$B$14*('R&amp;S - Apparel'!$D$17+('R&amp;S - Apparel'!$D$18-'R&amp;S - Apparel'!$D$17)*(BB$3-$N$3)/10)</f>
        <v>0</v>
      </c>
      <c r="BC34" s="43">
        <f>BC30*'R&amp;S - Apparel'!$C$10*'R&amp;S - Apparel'!$B$14*('R&amp;S - Apparel'!$D$17+('R&amp;S - Apparel'!$D$18-'R&amp;S - Apparel'!$D$17)*(BC$3-$N$3)/10)</f>
        <v>0</v>
      </c>
      <c r="BD34" s="43">
        <f>BD30*'R&amp;S - Apparel'!$C$10*'R&amp;S - Apparel'!$B$14*('R&amp;S - Apparel'!$D$17+('R&amp;S - Apparel'!$D$18-'R&amp;S - Apparel'!$D$17)*(BD$3-$N$3)/10)</f>
        <v>0</v>
      </c>
      <c r="BE34" s="43">
        <f>BE30*'R&amp;S - Apparel'!$C$10*'R&amp;S - Apparel'!$B$14*('R&amp;S - Apparel'!$D$18+('R&amp;S - Apparel'!$D$19-'R&amp;S - Apparel'!$D$18)*(BE$3-$X$3)/10)</f>
        <v>0</v>
      </c>
      <c r="BF34" s="43">
        <f>BF30*'R&amp;S - Apparel'!$C$10*'R&amp;S - Apparel'!$B$14*('R&amp;S - Apparel'!$D$18+('R&amp;S - Apparel'!$D$19-'R&amp;S - Apparel'!$D$18)*(BF$3-$X$3)/10)</f>
        <v>0</v>
      </c>
      <c r="BG34" s="43">
        <f>BG30*'R&amp;S - Apparel'!$C$10*'R&amp;S - Apparel'!$B$14*('R&amp;S - Apparel'!$D$18+('R&amp;S - Apparel'!$D$19-'R&amp;S - Apparel'!$D$18)*(BG$3-$X$3)/10)</f>
        <v>0</v>
      </c>
      <c r="BH34" s="43">
        <f>BH30*'R&amp;S - Apparel'!$C$10*'R&amp;S - Apparel'!$B$14*('R&amp;S - Apparel'!$D$18+('R&amp;S - Apparel'!$D$19-'R&amp;S - Apparel'!$D$18)*(BH$3-$X$3)/10)</f>
        <v>0</v>
      </c>
      <c r="BI34" s="43">
        <f>BI30*'R&amp;S - Apparel'!$C$10*'R&amp;S - Apparel'!$B$14*('R&amp;S - Apparel'!$D$18+('R&amp;S - Apparel'!$D$19-'R&amp;S - Apparel'!$D$18)*(BI$3-$X$3)/10)</f>
        <v>0</v>
      </c>
      <c r="BJ34" s="43">
        <f>BJ30*'R&amp;S - Apparel'!$C$10*'R&amp;S - Apparel'!$B$14*('R&amp;S - Apparel'!$D$18+('R&amp;S - Apparel'!$D$19-'R&amp;S - Apparel'!$D$18)*(BJ$3-$X$3)/10)</f>
        <v>0</v>
      </c>
      <c r="BK34" s="43">
        <f>BK30*'R&amp;S - Apparel'!$C$10*'R&amp;S - Apparel'!$B$14*('R&amp;S - Apparel'!$D$18+('R&amp;S - Apparel'!$D$19-'R&amp;S - Apparel'!$D$18)*(BK$3-$X$3)/10)</f>
        <v>0</v>
      </c>
      <c r="BL34" s="43">
        <f>BL30*'R&amp;S - Apparel'!$C$10*'R&amp;S - Apparel'!$B$14*('R&amp;S - Apparel'!$D$18+('R&amp;S - Apparel'!$D$19-'R&amp;S - Apparel'!$D$18)*(BL$3-$X$3)/10)</f>
        <v>0</v>
      </c>
      <c r="BM34" s="43">
        <f>BM30*'R&amp;S - Apparel'!$C$10*'R&amp;S - Apparel'!$B$14*('R&amp;S - Apparel'!$D$18+('R&amp;S - Apparel'!$D$19-'R&amp;S - Apparel'!$D$18)*(BM$3-$X$3)/10)</f>
        <v>0</v>
      </c>
      <c r="BN34" s="43">
        <f>BN30*'R&amp;S - Apparel'!$C$10*'R&amp;S - Apparel'!$B$14*('R&amp;S - Apparel'!$D$18+('R&amp;S - Apparel'!$D$19-'R&amp;S - Apparel'!$D$18)*(BN$3-$X$3)/10)</f>
        <v>0</v>
      </c>
    </row>
    <row r="35" spans="1:66" s="68" customFormat="1" outlineLevel="1">
      <c r="A35" s="62"/>
      <c r="B35" s="62" t="s">
        <v>197</v>
      </c>
      <c r="C35" s="283" t="s">
        <v>153</v>
      </c>
      <c r="D35" s="438">
        <f>D30-D33-D34</f>
        <v>0.15963789473684212</v>
      </c>
      <c r="E35" s="438">
        <f t="shared" ref="E35:AG35" si="33">E30-E33-E34</f>
        <v>0.16191917264627823</v>
      </c>
      <c r="F35" s="438">
        <f t="shared" si="33"/>
        <v>0.16423305076576258</v>
      </c>
      <c r="G35" s="438">
        <f t="shared" si="33"/>
        <v>0.16657999496299628</v>
      </c>
      <c r="H35" s="438">
        <f t="shared" si="33"/>
        <v>0.16896047776308271</v>
      </c>
      <c r="I35" s="438">
        <f t="shared" si="33"/>
        <v>0.17137497844366414</v>
      </c>
      <c r="J35" s="438">
        <f t="shared" si="33"/>
        <v>0.17382398313141761</v>
      </c>
      <c r="K35" s="438">
        <f t="shared" si="33"/>
        <v>0.17630798489992994</v>
      </c>
      <c r="L35" s="438">
        <f t="shared" si="33"/>
        <v>0.17882748386897129</v>
      </c>
      <c r="M35" s="438">
        <f t="shared" si="33"/>
        <v>0.18138298730518754</v>
      </c>
      <c r="N35" s="438">
        <f t="shared" si="33"/>
        <v>0.18397500972423136</v>
      </c>
      <c r="O35" s="438">
        <f t="shared" si="33"/>
        <v>0.18660407299435305</v>
      </c>
      <c r="P35" s="438">
        <f t="shared" si="33"/>
        <v>0.1892707064414714</v>
      </c>
      <c r="Q35" s="438">
        <f t="shared" si="33"/>
        <v>0.19197544695574634</v>
      </c>
      <c r="R35" s="438">
        <f t="shared" si="33"/>
        <v>0.19471883909967441</v>
      </c>
      <c r="S35" s="438">
        <f t="shared" si="33"/>
        <v>0.19750143521772892</v>
      </c>
      <c r="T35" s="438">
        <f t="shared" si="33"/>
        <v>0.20032379554756702</v>
      </c>
      <c r="U35" s="438">
        <f t="shared" si="33"/>
        <v>0.20318648833282582</v>
      </c>
      <c r="V35" s="438">
        <f t="shared" si="33"/>
        <v>0.20609008993753053</v>
      </c>
      <c r="W35" s="438">
        <f t="shared" si="33"/>
        <v>0.20903518496213741</v>
      </c>
      <c r="X35" s="438">
        <f t="shared" si="33"/>
        <v>0.21202236636123514</v>
      </c>
      <c r="Y35" s="438">
        <f t="shared" si="33"/>
        <v>0.21505223556292807</v>
      </c>
      <c r="Z35" s="438">
        <f t="shared" si="33"/>
        <v>0.21812540258992555</v>
      </c>
      <c r="AA35" s="438">
        <f t="shared" si="33"/>
        <v>0.22124248618236167</v>
      </c>
      <c r="AB35" s="438">
        <f t="shared" si="33"/>
        <v>0.22440411392237011</v>
      </c>
      <c r="AC35" s="438">
        <f t="shared" si="33"/>
        <v>0.2276109223604392</v>
      </c>
      <c r="AD35" s="438">
        <f t="shared" si="33"/>
        <v>0.23086355714357265</v>
      </c>
      <c r="AE35" s="438">
        <f t="shared" si="33"/>
        <v>0.23416267314528177</v>
      </c>
      <c r="AF35" s="438">
        <f t="shared" si="33"/>
        <v>0.23750893459743533</v>
      </c>
      <c r="AG35" s="438">
        <f t="shared" si="33"/>
        <v>0.24090301522399343</v>
      </c>
      <c r="AH35" s="438">
        <f>AH30-AH33-AH34</f>
        <v>0.24434559837665271</v>
      </c>
      <c r="AJ35" s="438">
        <f>AJ30-AJ33-AJ34</f>
        <v>0.15963789473684212</v>
      </c>
      <c r="AK35" s="438">
        <f t="shared" ref="AK35:BM35" si="34">AK30-AK33-AK34</f>
        <v>0.16191917264627823</v>
      </c>
      <c r="AL35" s="438">
        <f t="shared" si="34"/>
        <v>0.16423305076576258</v>
      </c>
      <c r="AM35" s="438">
        <f t="shared" si="34"/>
        <v>0.16657999496299628</v>
      </c>
      <c r="AN35" s="438">
        <f t="shared" si="34"/>
        <v>0.16896047776308271</v>
      </c>
      <c r="AO35" s="438">
        <f t="shared" si="34"/>
        <v>0.17137497844366414</v>
      </c>
      <c r="AP35" s="438">
        <f t="shared" si="34"/>
        <v>0.17382398313141761</v>
      </c>
      <c r="AQ35" s="438">
        <f t="shared" si="34"/>
        <v>0.17630798489992994</v>
      </c>
      <c r="AR35" s="438">
        <f t="shared" si="34"/>
        <v>0.17882748386897129</v>
      </c>
      <c r="AS35" s="438">
        <f t="shared" si="34"/>
        <v>0.18138298730518754</v>
      </c>
      <c r="AT35" s="438">
        <f t="shared" si="34"/>
        <v>0.18397500972423136</v>
      </c>
      <c r="AU35" s="438">
        <f t="shared" si="34"/>
        <v>0.18660407299435305</v>
      </c>
      <c r="AV35" s="438">
        <f t="shared" si="34"/>
        <v>0.1892707064414714</v>
      </c>
      <c r="AW35" s="438">
        <f t="shared" si="34"/>
        <v>0.19197544695574634</v>
      </c>
      <c r="AX35" s="438">
        <f t="shared" si="34"/>
        <v>0.19471883909967441</v>
      </c>
      <c r="AY35" s="438">
        <f t="shared" si="34"/>
        <v>0.19750143521772892</v>
      </c>
      <c r="AZ35" s="438">
        <f t="shared" si="34"/>
        <v>0.20032379554756702</v>
      </c>
      <c r="BA35" s="438">
        <f t="shared" si="34"/>
        <v>0.20318648833282582</v>
      </c>
      <c r="BB35" s="438">
        <f t="shared" si="34"/>
        <v>0.20609008993753053</v>
      </c>
      <c r="BC35" s="438">
        <f t="shared" si="34"/>
        <v>0.20903518496213741</v>
      </c>
      <c r="BD35" s="438">
        <f t="shared" si="34"/>
        <v>0.21202236636123514</v>
      </c>
      <c r="BE35" s="438">
        <f t="shared" si="34"/>
        <v>0.21505223556292807</v>
      </c>
      <c r="BF35" s="438">
        <f t="shared" si="34"/>
        <v>0.21812540258992555</v>
      </c>
      <c r="BG35" s="438">
        <f t="shared" si="34"/>
        <v>0.22124248618236167</v>
      </c>
      <c r="BH35" s="438">
        <f t="shared" si="34"/>
        <v>0.22440411392237011</v>
      </c>
      <c r="BI35" s="438">
        <f t="shared" si="34"/>
        <v>0.2276109223604392</v>
      </c>
      <c r="BJ35" s="438">
        <f t="shared" si="34"/>
        <v>0.23086355714357265</v>
      </c>
      <c r="BK35" s="438">
        <f t="shared" si="34"/>
        <v>0.23416267314528177</v>
      </c>
      <c r="BL35" s="438">
        <f t="shared" si="34"/>
        <v>0.23750893459743533</v>
      </c>
      <c r="BM35" s="438">
        <f t="shared" si="34"/>
        <v>0.24090301522399343</v>
      </c>
      <c r="BN35" s="438">
        <f>BN30-BN33-BN34</f>
        <v>0.24434559837665271</v>
      </c>
    </row>
    <row r="36" spans="1:66" outlineLevel="1">
      <c r="A36" s="1" t="s">
        <v>208</v>
      </c>
      <c r="B36" s="1" t="s">
        <v>209</v>
      </c>
      <c r="C36" s="54" t="s">
        <v>153</v>
      </c>
      <c r="D36" s="44">
        <f>D4-D10-D18-D26-D30-D6</f>
        <v>4.696762105263157</v>
      </c>
      <c r="E36" s="44">
        <f t="shared" ref="E36:AH36" si="35">E4-E10-E18-E26-E30-E6</f>
        <v>4.9343161867908307</v>
      </c>
      <c r="F36" s="44">
        <f t="shared" si="35"/>
        <v>5.1796439543091317</v>
      </c>
      <c r="G36" s="44">
        <f t="shared" si="35"/>
        <v>5.4329690037576457</v>
      </c>
      <c r="H36" s="44">
        <f t="shared" si="35"/>
        <v>5.6945210169572809</v>
      </c>
      <c r="I36" s="44">
        <f t="shared" si="35"/>
        <v>5.9645359228474728</v>
      </c>
      <c r="J36" s="44">
        <f t="shared" si="35"/>
        <v>6.220149725740991</v>
      </c>
      <c r="K36" s="44">
        <f t="shared" si="35"/>
        <v>6.4835618209893084</v>
      </c>
      <c r="L36" s="44">
        <f t="shared" si="35"/>
        <v>6.754984512716991</v>
      </c>
      <c r="M36" s="44">
        <f t="shared" si="35"/>
        <v>7.0346355930682893</v>
      </c>
      <c r="N36" s="44">
        <f t="shared" si="35"/>
        <v>7.3227384803440927</v>
      </c>
      <c r="O36" s="44">
        <f t="shared" si="35"/>
        <v>7.5637706989916129</v>
      </c>
      <c r="P36" s="44">
        <f t="shared" si="35"/>
        <v>7.8111684476156942</v>
      </c>
      <c r="Q36" s="44">
        <f t="shared" si="35"/>
        <v>8.0650852546763758</v>
      </c>
      <c r="R36" s="44">
        <f t="shared" si="35"/>
        <v>8.325678182553645</v>
      </c>
      <c r="S36" s="44">
        <f t="shared" si="35"/>
        <v>8.5931079067468126</v>
      </c>
      <c r="T36" s="44">
        <f t="shared" si="35"/>
        <v>8.6623840970460328</v>
      </c>
      <c r="U36" s="44">
        <f t="shared" si="35"/>
        <v>8.732020065133371</v>
      </c>
      <c r="V36" s="44">
        <f t="shared" si="35"/>
        <v>8.8020135319797124</v>
      </c>
      <c r="W36" s="44">
        <f t="shared" si="35"/>
        <v>8.8723620986159641</v>
      </c>
      <c r="X36" s="44">
        <f t="shared" si="35"/>
        <v>8.9430632433903163</v>
      </c>
      <c r="Y36" s="44">
        <f t="shared" si="35"/>
        <v>8.9937727324921877</v>
      </c>
      <c r="Z36" s="44">
        <f t="shared" si="35"/>
        <v>9.0443686926031823</v>
      </c>
      <c r="AA36" s="44">
        <f t="shared" si="35"/>
        <v>9.0948403879250534</v>
      </c>
      <c r="AB36" s="44">
        <f t="shared" si="35"/>
        <v>9.1451768301526908</v>
      </c>
      <c r="AC36" s="44">
        <f t="shared" si="35"/>
        <v>9.1953667737883809</v>
      </c>
      <c r="AD36" s="44">
        <f t="shared" si="35"/>
        <v>9.2303307007393958</v>
      </c>
      <c r="AE36" s="44">
        <f t="shared" si="35"/>
        <v>9.2648067191019621</v>
      </c>
      <c r="AF36" s="44">
        <f t="shared" si="35"/>
        <v>9.2987777439438677</v>
      </c>
      <c r="AG36" s="44">
        <f t="shared" si="35"/>
        <v>9.3322263426310208</v>
      </c>
      <c r="AH36" s="44">
        <f t="shared" si="35"/>
        <v>9.3651347287983047</v>
      </c>
      <c r="AJ36" s="44">
        <f t="shared" ref="AJ36:BN36" si="36">AJ4-AJ10-AJ18-AJ26-AJ30-AJ6</f>
        <v>4.696762105263157</v>
      </c>
      <c r="AK36" s="44">
        <f t="shared" si="36"/>
        <v>4.9343161867908307</v>
      </c>
      <c r="AL36" s="44">
        <f t="shared" si="36"/>
        <v>5.1796439543091317</v>
      </c>
      <c r="AM36" s="44">
        <f t="shared" si="36"/>
        <v>5.4329690037576457</v>
      </c>
      <c r="AN36" s="44">
        <f t="shared" si="36"/>
        <v>5.6945210169572809</v>
      </c>
      <c r="AO36" s="44">
        <f t="shared" si="36"/>
        <v>5.9645359228474728</v>
      </c>
      <c r="AP36" s="44">
        <f t="shared" si="36"/>
        <v>6.220149725740991</v>
      </c>
      <c r="AQ36" s="44">
        <f t="shared" si="36"/>
        <v>6.4835618209893084</v>
      </c>
      <c r="AR36" s="44">
        <f t="shared" si="36"/>
        <v>6.754984512716991</v>
      </c>
      <c r="AS36" s="44">
        <f t="shared" si="36"/>
        <v>7.0346355930682893</v>
      </c>
      <c r="AT36" s="44">
        <f t="shared" si="36"/>
        <v>7.3227384803440927</v>
      </c>
      <c r="AU36" s="44">
        <f t="shared" si="36"/>
        <v>7.5637706989916129</v>
      </c>
      <c r="AV36" s="44">
        <f t="shared" si="36"/>
        <v>7.8111684476156942</v>
      </c>
      <c r="AW36" s="44">
        <f t="shared" si="36"/>
        <v>8.0650852546763758</v>
      </c>
      <c r="AX36" s="44">
        <f t="shared" si="36"/>
        <v>8.325678182553645</v>
      </c>
      <c r="AY36" s="44">
        <f t="shared" si="36"/>
        <v>8.5931079067468126</v>
      </c>
      <c r="AZ36" s="44">
        <f t="shared" si="36"/>
        <v>8.6623840970460328</v>
      </c>
      <c r="BA36" s="44">
        <f t="shared" si="36"/>
        <v>8.732020065133371</v>
      </c>
      <c r="BB36" s="44">
        <f t="shared" si="36"/>
        <v>8.8020135319797124</v>
      </c>
      <c r="BC36" s="44">
        <f t="shared" si="36"/>
        <v>8.8723620986159641</v>
      </c>
      <c r="BD36" s="44">
        <f t="shared" si="36"/>
        <v>8.9430632433903163</v>
      </c>
      <c r="BE36" s="44">
        <f t="shared" si="36"/>
        <v>8.9937727324921877</v>
      </c>
      <c r="BF36" s="44">
        <f t="shared" si="36"/>
        <v>9.0443686926031823</v>
      </c>
      <c r="BG36" s="44">
        <f t="shared" si="36"/>
        <v>9.0948403879250534</v>
      </c>
      <c r="BH36" s="44">
        <f t="shared" si="36"/>
        <v>9.1451768301526908</v>
      </c>
      <c r="BI36" s="44">
        <f t="shared" si="36"/>
        <v>9.1953667737883809</v>
      </c>
      <c r="BJ36" s="44">
        <f t="shared" si="36"/>
        <v>9.2303307007393958</v>
      </c>
      <c r="BK36" s="44">
        <f t="shared" si="36"/>
        <v>9.2648067191019621</v>
      </c>
      <c r="BL36" s="44">
        <f t="shared" si="36"/>
        <v>9.2987777439438677</v>
      </c>
      <c r="BM36" s="44">
        <f t="shared" si="36"/>
        <v>9.3322263426310208</v>
      </c>
      <c r="BN36" s="44">
        <f t="shared" si="36"/>
        <v>9.3651347287983047</v>
      </c>
    </row>
    <row r="37" spans="1:66" outlineLevel="1">
      <c r="B37" s="1" t="s">
        <v>168</v>
      </c>
      <c r="C37" s="54" t="s">
        <v>153</v>
      </c>
      <c r="D37">
        <v>0</v>
      </c>
      <c r="E37" s="43">
        <f>E36*'R&amp;S - Others'!$D$7*'R&amp;S - Others'!$B$11*'R&amp;S - Others'!$B$15*(E$3-$D$3)/10</f>
        <v>0</v>
      </c>
      <c r="F37" s="43">
        <f>F36*'R&amp;S - Others'!$D$7*'R&amp;S - Others'!$B$11*'R&amp;S - Others'!$B$15*(F$3-$D$3)/10</f>
        <v>0</v>
      </c>
      <c r="G37" s="43">
        <f>G36*'R&amp;S - Others'!$D$7*'R&amp;S - Others'!$B$11*'R&amp;S - Others'!$B$15*(G$3-$D$3)/10</f>
        <v>0</v>
      </c>
      <c r="H37" s="43">
        <f>H36*'R&amp;S - Others'!$D$7*'R&amp;S - Others'!$B$11*'R&amp;S - Others'!$B$15*(H$3-$D$3)/10</f>
        <v>0</v>
      </c>
      <c r="I37" s="43">
        <f>I36*'R&amp;S - Others'!$D$7*'R&amp;S - Others'!$B$11*'R&amp;S - Others'!$B$15*(I$3-$D$3)/10</f>
        <v>0</v>
      </c>
      <c r="J37" s="43">
        <f>J36*'R&amp;S - Others'!$D$7*'R&amp;S - Others'!$B$11*'R&amp;S - Others'!$B$15*(J$3-$D$3)/10</f>
        <v>0</v>
      </c>
      <c r="K37" s="43">
        <f>K36*'R&amp;S - Others'!$D$7*'R&amp;S - Others'!$B$11*'R&amp;S - Others'!$B$15*(K$3-$D$3)/10</f>
        <v>0</v>
      </c>
      <c r="L37" s="43">
        <f>L36*'R&amp;S - Others'!$D$7*'R&amp;S - Others'!$B$11*'R&amp;S - Others'!$B$15*(L$3-$D$3)/10</f>
        <v>0</v>
      </c>
      <c r="M37" s="43">
        <f>M36*'R&amp;S - Others'!$D$7*'R&amp;S - Others'!$B$11*'R&amp;S - Others'!$B$15*(M$3-$D$3)/10</f>
        <v>0</v>
      </c>
      <c r="N37" s="43">
        <f>N36*'R&amp;S - Others'!$D$7*'R&amp;S - Others'!$B$11*'R&amp;S - Others'!$B$15*(N$3-$D$3)/10</f>
        <v>0</v>
      </c>
      <c r="O37" s="43">
        <f>O36*'R&amp;S - Others'!$D$7*'R&amp;S - Others'!$B$11*('R&amp;S - Others'!$B$15+('R&amp;S - Others'!$B$16-'R&amp;S - Others'!$B$15)*(O$3-$N$3)/10)</f>
        <v>0</v>
      </c>
      <c r="P37" s="43">
        <f>P36*'R&amp;S - Others'!$D$7*'R&amp;S - Others'!$B$11*('R&amp;S - Others'!$B$15+('R&amp;S - Others'!$B$16-'R&amp;S - Others'!$B$15)*(P$3-$N$3)/10)</f>
        <v>0</v>
      </c>
      <c r="Q37" s="43">
        <f>Q36*'R&amp;S - Others'!$D$7*'R&amp;S - Others'!$B$11*('R&amp;S - Others'!$B$15+('R&amp;S - Others'!$B$16-'R&amp;S - Others'!$B$15)*(Q$3-$N$3)/10)</f>
        <v>0</v>
      </c>
      <c r="R37" s="43">
        <f>R36*'R&amp;S - Others'!$D$7*'R&amp;S - Others'!$B$11*('R&amp;S - Others'!$B$15+('R&amp;S - Others'!$B$16-'R&amp;S - Others'!$B$15)*(R$3-$N$3)/10)</f>
        <v>0</v>
      </c>
      <c r="S37" s="43">
        <f>S36*'R&amp;S - Others'!$D$7*'R&amp;S - Others'!$B$11*('R&amp;S - Others'!$B$15+('R&amp;S - Others'!$B$16-'R&amp;S - Others'!$B$15)*(S$3-$N$3)/10)</f>
        <v>0</v>
      </c>
      <c r="T37" s="43">
        <f>T36*'R&amp;S - Others'!$D$7*'R&amp;S - Others'!$B$11*('R&amp;S - Others'!$B$15+('R&amp;S - Others'!$B$16-'R&amp;S - Others'!$B$15)*(T$3-$N$3)/10)</f>
        <v>0</v>
      </c>
      <c r="U37" s="43">
        <f>U36*'R&amp;S - Others'!$D$7*'R&amp;S - Others'!$B$11*('R&amp;S - Others'!$B$15+('R&amp;S - Others'!$B$16-'R&amp;S - Others'!$B$15)*(U$3-$N$3)/10)</f>
        <v>0</v>
      </c>
      <c r="V37" s="43">
        <f>V36*'R&amp;S - Others'!$D$7*'R&amp;S - Others'!$B$11*('R&amp;S - Others'!$B$15+('R&amp;S - Others'!$B$16-'R&amp;S - Others'!$B$15)*(V$3-$N$3)/10)</f>
        <v>0</v>
      </c>
      <c r="W37" s="43">
        <f>W36*'R&amp;S - Others'!$D$7*'R&amp;S - Others'!$B$11*('R&amp;S - Others'!$B$15+('R&amp;S - Others'!$B$16-'R&amp;S - Others'!$B$15)*(W$3-$N$3)/10)</f>
        <v>0</v>
      </c>
      <c r="X37" s="43">
        <f>X36*'R&amp;S - Others'!$D$7*'R&amp;S - Others'!$B$11*('R&amp;S - Others'!$B$15+('R&amp;S - Others'!$B$16-'R&amp;S - Others'!$B$15)*(X$3-$N$3)/10)</f>
        <v>0</v>
      </c>
      <c r="Y37" s="43">
        <f>Y36*'R&amp;S - Others'!$D$7*'R&amp;S - Others'!$B$11*('R&amp;S - Others'!$B$16+('R&amp;S - Others'!$B$17-'R&amp;S - Others'!$B$16)*(Y$3-$X$3)/10)</f>
        <v>0</v>
      </c>
      <c r="Z37" s="43">
        <f>Z36*'R&amp;S - Others'!$D$7*'R&amp;S - Others'!$B$11*('R&amp;S - Others'!$B$16+('R&amp;S - Others'!$B$17-'R&amp;S - Others'!$B$16)*(Z$3-$X$3)/10)</f>
        <v>0</v>
      </c>
      <c r="AA37" s="43">
        <f>AA36*'R&amp;S - Others'!$D$7*'R&amp;S - Others'!$B$11*('R&amp;S - Others'!$B$16+('R&amp;S - Others'!$B$17-'R&amp;S - Others'!$B$16)*(AA$3-$X$3)/10)</f>
        <v>0</v>
      </c>
      <c r="AB37" s="43">
        <f>AB36*'R&amp;S - Others'!$D$7*'R&amp;S - Others'!$B$11*('R&amp;S - Others'!$B$16+('R&amp;S - Others'!$B$17-'R&amp;S - Others'!$B$16)*(AB$3-$X$3)/10)</f>
        <v>0</v>
      </c>
      <c r="AC37" s="43">
        <f>AC36*'R&amp;S - Others'!$D$7*'R&amp;S - Others'!$B$11*('R&amp;S - Others'!$B$16+('R&amp;S - Others'!$B$17-'R&amp;S - Others'!$B$16)*(AC$3-$X$3)/10)</f>
        <v>0</v>
      </c>
      <c r="AD37" s="43">
        <f>AD36*'R&amp;S - Others'!$D$7*'R&amp;S - Others'!$B$11*('R&amp;S - Others'!$B$16+('R&amp;S - Others'!$B$17-'R&amp;S - Others'!$B$16)*(AD$3-$X$3)/10)</f>
        <v>0</v>
      </c>
      <c r="AE37" s="43">
        <f>AE36*'R&amp;S - Others'!$D$7*'R&amp;S - Others'!$B$11*('R&amp;S - Others'!$B$16+('R&amp;S - Others'!$B$17-'R&amp;S - Others'!$B$16)*(AE$3-$X$3)/10)</f>
        <v>0</v>
      </c>
      <c r="AF37" s="43">
        <f>AF36*'R&amp;S - Others'!$D$7*'R&amp;S - Others'!$B$11*('R&amp;S - Others'!$B$16+('R&amp;S - Others'!$B$17-'R&amp;S - Others'!$B$16)*(AF$3-$X$3)/10)</f>
        <v>0</v>
      </c>
      <c r="AG37" s="43">
        <f>AG36*'R&amp;S - Others'!$D$7*'R&amp;S - Others'!$B$11*('R&amp;S - Others'!$B$16+('R&amp;S - Others'!$B$17-'R&amp;S - Others'!$B$16)*(AG$3-$X$3)/10)</f>
        <v>0</v>
      </c>
      <c r="AH37" s="43">
        <f>AH36*'R&amp;S - Others'!$D$7*'R&amp;S - Others'!$B$11*('R&amp;S - Others'!$B$16+('R&amp;S - Others'!$B$17-'R&amp;S - Others'!$B$16)*(AH$3-$X$3)/10)</f>
        <v>0</v>
      </c>
      <c r="AJ37">
        <v>0</v>
      </c>
      <c r="AK37" s="43">
        <f>AK36*'R&amp;S - Others'!$D$7*'R&amp;S - Others'!$B$12*'R&amp;S - Others'!$B$15*(AK$3-$D$3)/10</f>
        <v>0</v>
      </c>
      <c r="AL37" s="43">
        <f>AL36*'R&amp;S - Others'!$D$7*'R&amp;S - Others'!$B$12*'R&amp;S - Others'!$B$15*(AL$3-$D$3)/10</f>
        <v>0</v>
      </c>
      <c r="AM37" s="43">
        <f>AM36*'R&amp;S - Others'!$D$7*'R&amp;S - Others'!$B$12*'R&amp;S - Others'!$B$15*(AM$3-$D$3)/10</f>
        <v>0</v>
      </c>
      <c r="AN37" s="43">
        <f>AN36*'R&amp;S - Others'!$D$7*'R&amp;S - Others'!$B$12*'R&amp;S - Others'!$B$15*(AN$3-$D$3)/10</f>
        <v>0</v>
      </c>
      <c r="AO37" s="43">
        <f>AO36*'R&amp;S - Others'!$D$7*'R&amp;S - Others'!$B$12*'R&amp;S - Others'!$B$15*(AO$3-$D$3)/10</f>
        <v>0</v>
      </c>
      <c r="AP37" s="43">
        <f>AP36*'R&amp;S - Others'!$D$7*'R&amp;S - Others'!$B$12*'R&amp;S - Others'!$B$15*(AP$3-$D$3)/10</f>
        <v>0</v>
      </c>
      <c r="AQ37" s="43">
        <f>AQ36*'R&amp;S - Others'!$D$7*'R&amp;S - Others'!$B$12*'R&amp;S - Others'!$B$15*(AQ$3-$D$3)/10</f>
        <v>0</v>
      </c>
      <c r="AR37" s="43">
        <f>AR36*'R&amp;S - Others'!$D$7*'R&amp;S - Others'!$B$12*'R&amp;S - Others'!$B$15*(AR$3-$D$3)/10</f>
        <v>0</v>
      </c>
      <c r="AS37" s="43">
        <f>AS36*'R&amp;S - Others'!$D$7*'R&amp;S - Others'!$B$12*'R&amp;S - Others'!$B$15*(AS$3-$D$3)/10</f>
        <v>0</v>
      </c>
      <c r="AT37" s="43">
        <f>AT36*'R&amp;S - Others'!$D$7*'R&amp;S - Others'!$B$12*'R&amp;S - Others'!$B$15*(AT$3-$D$3)/10</f>
        <v>0</v>
      </c>
      <c r="AU37" s="43">
        <f>AU36*'R&amp;S - Others'!$D$7*'R&amp;S - Others'!$B$12*('R&amp;S - Others'!$B$15+('R&amp;S - Others'!$B$16-'R&amp;S - Others'!$B$15)*(AU$3-$N$3)/10)</f>
        <v>0</v>
      </c>
      <c r="AV37" s="43">
        <f>AV36*'R&amp;S - Others'!$D$7*'R&amp;S - Others'!$B$12*('R&amp;S - Others'!$B$15+('R&amp;S - Others'!$B$16-'R&amp;S - Others'!$B$15)*(AV$3-$N$3)/10)</f>
        <v>0</v>
      </c>
      <c r="AW37" s="43">
        <f>AW36*'R&amp;S - Others'!$D$7*'R&amp;S - Others'!$B$12*('R&amp;S - Others'!$B$15+('R&amp;S - Others'!$B$16-'R&amp;S - Others'!$B$15)*(AW$3-$N$3)/10)</f>
        <v>0</v>
      </c>
      <c r="AX37" s="43">
        <f>AX36*'R&amp;S - Others'!$D$7*'R&amp;S - Others'!$B$12*('R&amp;S - Others'!$B$15+('R&amp;S - Others'!$B$16-'R&amp;S - Others'!$B$15)*(AX$3-$N$3)/10)</f>
        <v>0</v>
      </c>
      <c r="AY37" s="43">
        <f>AY36*'R&amp;S - Others'!$D$7*'R&amp;S - Others'!$B$12*('R&amp;S - Others'!$B$15+('R&amp;S - Others'!$B$16-'R&amp;S - Others'!$B$15)*(AY$3-$N$3)/10)</f>
        <v>0</v>
      </c>
      <c r="AZ37" s="43">
        <f>AZ36*'R&amp;S - Others'!$D$7*'R&amp;S - Others'!$B$12*('R&amp;S - Others'!$B$15+('R&amp;S - Others'!$B$16-'R&amp;S - Others'!$B$15)*(AZ$3-$N$3)/10)</f>
        <v>0</v>
      </c>
      <c r="BA37" s="43">
        <f>BA36*'R&amp;S - Others'!$D$7*'R&amp;S - Others'!$B$12*('R&amp;S - Others'!$B$15+('R&amp;S - Others'!$B$16-'R&amp;S - Others'!$B$15)*(BA$3-$N$3)/10)</f>
        <v>0</v>
      </c>
      <c r="BB37" s="43">
        <f>BB36*'R&amp;S - Others'!$D$7*'R&amp;S - Others'!$B$12*('R&amp;S - Others'!$B$15+('R&amp;S - Others'!$B$16-'R&amp;S - Others'!$B$15)*(BB$3-$N$3)/10)</f>
        <v>0</v>
      </c>
      <c r="BC37" s="43">
        <f>BC36*'R&amp;S - Others'!$D$7*'R&amp;S - Others'!$B$12*('R&amp;S - Others'!$B$15+('R&amp;S - Others'!$B$16-'R&amp;S - Others'!$B$15)*(BC$3-$N$3)/10)</f>
        <v>0</v>
      </c>
      <c r="BD37" s="43">
        <f>BD36*'R&amp;S - Others'!$D$7*'R&amp;S - Others'!$B$12*('R&amp;S - Others'!$B$15+('R&amp;S - Others'!$B$16-'R&amp;S - Others'!$B$15)*(BD$3-$N$3)/10)</f>
        <v>0</v>
      </c>
      <c r="BE37" s="43">
        <f>BE36*'R&amp;S - Others'!$D$7*'R&amp;S - Others'!$B$12*('R&amp;S - Others'!$B$16+('R&amp;S - Others'!$B$17-'R&amp;S - Others'!$B$16)*(BE$3-$X$3)/10)</f>
        <v>0</v>
      </c>
      <c r="BF37" s="43">
        <f>BF36*'R&amp;S - Others'!$D$7*'R&amp;S - Others'!$B$12*('R&amp;S - Others'!$B$16+('R&amp;S - Others'!$B$17-'R&amp;S - Others'!$B$16)*(BF$3-$X$3)/10)</f>
        <v>0</v>
      </c>
      <c r="BG37" s="43">
        <f>BG36*'R&amp;S - Others'!$D$7*'R&amp;S - Others'!$B$12*('R&amp;S - Others'!$B$16+('R&amp;S - Others'!$B$17-'R&amp;S - Others'!$B$16)*(BG$3-$X$3)/10)</f>
        <v>0</v>
      </c>
      <c r="BH37" s="43">
        <f>BH36*'R&amp;S - Others'!$D$7*'R&amp;S - Others'!$B$12*('R&amp;S - Others'!$B$16+('R&amp;S - Others'!$B$17-'R&amp;S - Others'!$B$16)*(BH$3-$X$3)/10)</f>
        <v>0</v>
      </c>
      <c r="BI37" s="43">
        <f>BI36*'R&amp;S - Others'!$D$7*'R&amp;S - Others'!$B$12*('R&amp;S - Others'!$B$16+('R&amp;S - Others'!$B$17-'R&amp;S - Others'!$B$16)*(BI$3-$X$3)/10)</f>
        <v>0</v>
      </c>
      <c r="BJ37" s="43">
        <f>BJ36*'R&amp;S - Others'!$D$7*'R&amp;S - Others'!$B$12*('R&amp;S - Others'!$B$16+('R&amp;S - Others'!$B$17-'R&amp;S - Others'!$B$16)*(BJ$3-$X$3)/10)</f>
        <v>0</v>
      </c>
      <c r="BK37" s="43">
        <f>BK36*'R&amp;S - Others'!$D$7*'R&amp;S - Others'!$B$12*('R&amp;S - Others'!$B$16+('R&amp;S - Others'!$B$17-'R&amp;S - Others'!$B$16)*(BK$3-$X$3)/10)</f>
        <v>0</v>
      </c>
      <c r="BL37" s="43">
        <f>BL36*'R&amp;S - Others'!$D$7*'R&amp;S - Others'!$B$12*('R&amp;S - Others'!$B$16+('R&amp;S - Others'!$B$17-'R&amp;S - Others'!$B$16)*(BL$3-$X$3)/10)</f>
        <v>0</v>
      </c>
      <c r="BM37" s="43">
        <f>BM36*'R&amp;S - Others'!$D$7*'R&amp;S - Others'!$B$12*('R&amp;S - Others'!$B$16+('R&amp;S - Others'!$B$17-'R&amp;S - Others'!$B$16)*(BM$3-$X$3)/10)</f>
        <v>0</v>
      </c>
      <c r="BN37" s="43">
        <f>BN36*'R&amp;S - Others'!$D$7*'R&amp;S - Others'!$B$12*('R&amp;S - Others'!$B$16+('R&amp;S - Others'!$B$17-'R&amp;S - Others'!$B$16)*(BN$3-$X$3)/10)</f>
        <v>0</v>
      </c>
    </row>
    <row r="38" spans="1:66" outlineLevel="1">
      <c r="B38" s="1" t="s">
        <v>172</v>
      </c>
      <c r="C38" s="54" t="s">
        <v>153</v>
      </c>
      <c r="D38">
        <v>0</v>
      </c>
      <c r="E38" s="43">
        <f>E36*'R&amp;S - Others'!$D$8*'R&amp;S - Others'!$B$11*'R&amp;S - Others'!$C$15*(E$3-$D$3)/10</f>
        <v>0</v>
      </c>
      <c r="F38" s="43">
        <f>F36*'R&amp;S - Others'!$D$8*'R&amp;S - Others'!$B$11*'R&amp;S - Others'!$C$15*(F$3-$D$3)/10</f>
        <v>0</v>
      </c>
      <c r="G38" s="43">
        <f>G36*'R&amp;S - Others'!$D$8*'R&amp;S - Others'!$B$11*'R&amp;S - Others'!$C$15*(G$3-$D$3)/10</f>
        <v>0</v>
      </c>
      <c r="H38" s="43">
        <f>H36*'R&amp;S - Others'!$D$8*'R&amp;S - Others'!$B$11*'R&amp;S - Others'!$C$15*(H$3-$D$3)/10</f>
        <v>0</v>
      </c>
      <c r="I38" s="43">
        <f>I36*'R&amp;S - Others'!$D$8*'R&amp;S - Others'!$B$11*'R&amp;S - Others'!$C$15*(I$3-$D$3)/10</f>
        <v>0</v>
      </c>
      <c r="J38" s="43">
        <f>J36*'R&amp;S - Others'!$D$8*'R&amp;S - Others'!$B$11*'R&amp;S - Others'!$C$15*(J$3-$D$3)/10</f>
        <v>0</v>
      </c>
      <c r="K38" s="43">
        <f>K36*'R&amp;S - Others'!$D$8*'R&amp;S - Others'!$B$11*'R&amp;S - Others'!$C$15*(K$3-$D$3)/10</f>
        <v>0</v>
      </c>
      <c r="L38" s="43">
        <f>L36*'R&amp;S - Others'!$D$8*'R&amp;S - Others'!$B$11*'R&amp;S - Others'!$C$15*(L$3-$D$3)/10</f>
        <v>0</v>
      </c>
      <c r="M38" s="43">
        <f>M36*'R&amp;S - Others'!$D$8*'R&amp;S - Others'!$B$11*'R&amp;S - Others'!$C$15*(M$3-$D$3)/10</f>
        <v>0</v>
      </c>
      <c r="N38" s="43">
        <f>N36*'R&amp;S - Others'!$D$8*'R&amp;S - Others'!$B$11*'R&amp;S - Others'!$C$15*(N$3-$D$3)/10</f>
        <v>0</v>
      </c>
      <c r="O38" s="43">
        <f>O36*'R&amp;S - Others'!$D$8*'R&amp;S - Others'!$B$11*'R&amp;S - Others'!$C$15*(O$3-$D$3)/10</f>
        <v>0</v>
      </c>
      <c r="P38" s="43">
        <f>P36*'R&amp;S - Others'!$D$8*'R&amp;S - Others'!$B$11*'R&amp;S - Others'!$C$15*(P$3-$D$3)/10</f>
        <v>0</v>
      </c>
      <c r="Q38" s="43">
        <f>Q36*'R&amp;S - Others'!$D$8*'R&amp;S - Others'!$B$11*'R&amp;S - Others'!$C$15*(Q$3-$D$3)/10</f>
        <v>0</v>
      </c>
      <c r="R38" s="43">
        <f>R36*'R&amp;S - Others'!$D$8*'R&amp;S - Others'!$B$11*'R&amp;S - Others'!$C$15*(R$3-$D$3)/10</f>
        <v>0</v>
      </c>
      <c r="S38" s="43">
        <f>S36*'R&amp;S - Others'!$D$8*'R&amp;S - Others'!$B$11*'R&amp;S - Others'!$C$15*(S$3-$D$3)/10</f>
        <v>0</v>
      </c>
      <c r="T38" s="43">
        <f>T36*'R&amp;S - Others'!$D$8*'R&amp;S - Others'!$B$11*'R&amp;S - Others'!$C$15*(T$3-$D$3)/10</f>
        <v>0</v>
      </c>
      <c r="U38" s="43">
        <f>U36*'R&amp;S - Others'!$D$8*'R&amp;S - Others'!$B$11*'R&amp;S - Others'!$C$15*(U$3-$D$3)/10</f>
        <v>0</v>
      </c>
      <c r="V38" s="43">
        <f>V36*'R&amp;S - Others'!$D$8*'R&amp;S - Others'!$B$11*'R&amp;S - Others'!$C$15*(V$3-$D$3)/10</f>
        <v>0</v>
      </c>
      <c r="W38" s="43">
        <f>W36*'R&amp;S - Others'!$D$8*'R&amp;S - Others'!$B$11*'R&amp;S - Others'!$C$15*(W$3-$D$3)/10</f>
        <v>0</v>
      </c>
      <c r="X38" s="43">
        <f>X36*'R&amp;S - Others'!$D$8*'R&amp;S - Others'!$B$11*'R&amp;S - Others'!$C$15*(X$3-$D$3)/10</f>
        <v>0</v>
      </c>
      <c r="Y38" s="43">
        <f>Y36*'R&amp;S - Others'!$D$8*'R&amp;S - Others'!$B$11*('R&amp;S - Others'!$C$16+('R&amp;S - Others'!$C$17-'R&amp;S - Others'!$C$16)*(Y$3-$X$3)/10)</f>
        <v>0</v>
      </c>
      <c r="Z38" s="43">
        <f>Z36*'R&amp;S - Others'!$D$8*'R&amp;S - Others'!$B$11*('R&amp;S - Others'!$C$16+('R&amp;S - Others'!$C$17-'R&amp;S - Others'!$C$16)*(Z$3-$X$3)/10)</f>
        <v>0</v>
      </c>
      <c r="AA38" s="43">
        <f>AA36*'R&amp;S - Others'!$D$8*'R&amp;S - Others'!$B$11*('R&amp;S - Others'!$C$16+('R&amp;S - Others'!$C$17-'R&amp;S - Others'!$C$16)*(AA$3-$X$3)/10)</f>
        <v>0</v>
      </c>
      <c r="AB38" s="43">
        <f>AB36*'R&amp;S - Others'!$D$8*'R&amp;S - Others'!$B$11*('R&amp;S - Others'!$C$16+('R&amp;S - Others'!$C$17-'R&amp;S - Others'!$C$16)*(AB$3-$X$3)/10)</f>
        <v>0</v>
      </c>
      <c r="AC38" s="43">
        <f>AC36*'R&amp;S - Others'!$D$8*'R&amp;S - Others'!$B$11*('R&amp;S - Others'!$C$16+('R&amp;S - Others'!$C$17-'R&amp;S - Others'!$C$16)*(AC$3-$X$3)/10)</f>
        <v>0</v>
      </c>
      <c r="AD38" s="43">
        <f>AD36*'R&amp;S - Others'!$D$8*'R&amp;S - Others'!$B$11*('R&amp;S - Others'!$C$16+('R&amp;S - Others'!$C$17-'R&amp;S - Others'!$C$16)*(AD$3-$X$3)/10)</f>
        <v>0</v>
      </c>
      <c r="AE38" s="43">
        <f>AE36*'R&amp;S - Others'!$D$8*'R&amp;S - Others'!$B$11*('R&amp;S - Others'!$C$16+('R&amp;S - Others'!$C$17-'R&amp;S - Others'!$C$16)*(AE$3-$X$3)/10)</f>
        <v>0</v>
      </c>
      <c r="AF38" s="43">
        <f>AF36*'R&amp;S - Others'!$D$8*'R&amp;S - Others'!$B$11*('R&amp;S - Others'!$C$16+('R&amp;S - Others'!$C$17-'R&amp;S - Others'!$C$16)*(AF$3-$X$3)/10)</f>
        <v>0</v>
      </c>
      <c r="AG38" s="43">
        <f>AG36*'R&amp;S - Others'!$D$8*'R&amp;S - Others'!$B$11*('R&amp;S - Others'!$C$16+('R&amp;S - Others'!$C$17-'R&amp;S - Others'!$C$16)*(AG$3-$X$3)/10)</f>
        <v>0</v>
      </c>
      <c r="AH38" s="43">
        <f>AH36*'R&amp;S - Others'!$D$8*'R&amp;S - Others'!$B$11*('R&amp;S - Others'!$C$16+('R&amp;S - Others'!$C$17-'R&amp;S - Others'!$C$16)*(AH$3-$X$3)/10)</f>
        <v>0</v>
      </c>
      <c r="AJ38">
        <v>0</v>
      </c>
      <c r="AK38" s="43">
        <f>AK36*'R&amp;S - Others'!$D$8*'R&amp;S - Others'!$B$12*'R&amp;S - Others'!$C$15*(AK$3-$D$3)/10</f>
        <v>0</v>
      </c>
      <c r="AL38" s="43">
        <f>AL36*'R&amp;S - Others'!$D$8*'R&amp;S - Others'!$B$12*'R&amp;S - Others'!$C$15*(AL$3-$D$3)/10</f>
        <v>0</v>
      </c>
      <c r="AM38" s="43">
        <f>AM36*'R&amp;S - Others'!$D$8*'R&amp;S - Others'!$B$12*'R&amp;S - Others'!$C$15*(AM$3-$D$3)/10</f>
        <v>0</v>
      </c>
      <c r="AN38" s="43">
        <f>AN36*'R&amp;S - Others'!$D$8*'R&amp;S - Others'!$B$12*'R&amp;S - Others'!$C$15*(AN$3-$D$3)/10</f>
        <v>0</v>
      </c>
      <c r="AO38" s="43">
        <f>AO36*'R&amp;S - Others'!$D$8*'R&amp;S - Others'!$B$12*'R&amp;S - Others'!$C$15*(AO$3-$D$3)/10</f>
        <v>0</v>
      </c>
      <c r="AP38" s="43">
        <f>AP36*'R&amp;S - Others'!$D$8*'R&amp;S - Others'!$B$12*'R&amp;S - Others'!$C$15*(AP$3-$D$3)/10</f>
        <v>0</v>
      </c>
      <c r="AQ38" s="43">
        <f>AQ36*'R&amp;S - Others'!$D$8*'R&amp;S - Others'!$B$12*'R&amp;S - Others'!$C$15*(AQ$3-$D$3)/10</f>
        <v>0</v>
      </c>
      <c r="AR38" s="43">
        <f>AR36*'R&amp;S - Others'!$D$8*'R&amp;S - Others'!$B$12*'R&amp;S - Others'!$C$15*(AR$3-$D$3)/10</f>
        <v>0</v>
      </c>
      <c r="AS38" s="43">
        <f>AS36*'R&amp;S - Others'!$D$8*'R&amp;S - Others'!$B$12*'R&amp;S - Others'!$C$15*(AS$3-$D$3)/10</f>
        <v>0</v>
      </c>
      <c r="AT38" s="43">
        <f>AT36*'R&amp;S - Others'!$D$8*'R&amp;S - Others'!$B$12*'R&amp;S - Others'!$C$15*(AT$3-$D$3)/10</f>
        <v>0</v>
      </c>
      <c r="AU38" s="43">
        <f>AU36*'R&amp;S - Others'!$D$8*'R&amp;S - Others'!$B$12*'R&amp;S - Others'!$C$15*(AU$3-$D$3)/10</f>
        <v>0</v>
      </c>
      <c r="AV38" s="43">
        <f>AV36*'R&amp;S - Others'!$D$8*'R&amp;S - Others'!$B$12*'R&amp;S - Others'!$C$15*(AV$3-$D$3)/10</f>
        <v>0</v>
      </c>
      <c r="AW38" s="43">
        <f>AW36*'R&amp;S - Others'!$D$8*'R&amp;S - Others'!$B$12*'R&amp;S - Others'!$C$15*(AW$3-$D$3)/10</f>
        <v>0</v>
      </c>
      <c r="AX38" s="43">
        <f>AX36*'R&amp;S - Others'!$D$8*'R&amp;S - Others'!$B$12*'R&amp;S - Others'!$C$15*(AX$3-$D$3)/10</f>
        <v>0</v>
      </c>
      <c r="AY38" s="43">
        <f>AY36*'R&amp;S - Others'!$D$8*'R&amp;S - Others'!$B$12*'R&amp;S - Others'!$C$15*(AY$3-$D$3)/10</f>
        <v>0</v>
      </c>
      <c r="AZ38" s="43">
        <f>AZ36*'R&amp;S - Others'!$D$8*'R&amp;S - Others'!$B$12*'R&amp;S - Others'!$C$15*(AZ$3-$D$3)/10</f>
        <v>0</v>
      </c>
      <c r="BA38" s="43">
        <f>BA36*'R&amp;S - Others'!$D$8*'R&amp;S - Others'!$B$12*'R&amp;S - Others'!$C$15*(BA$3-$D$3)/10</f>
        <v>0</v>
      </c>
      <c r="BB38" s="43">
        <f>BB36*'R&amp;S - Others'!$D$8*'R&amp;S - Others'!$B$12*'R&amp;S - Others'!$C$15*(BB$3-$D$3)/10</f>
        <v>0</v>
      </c>
      <c r="BC38" s="43">
        <f>BC36*'R&amp;S - Others'!$D$8*'R&amp;S - Others'!$B$12*'R&amp;S - Others'!$C$15*(BC$3-$D$3)/10</f>
        <v>0</v>
      </c>
      <c r="BD38" s="43">
        <f>BD36*'R&amp;S - Others'!$D$8*'R&amp;S - Others'!$B$12*'R&amp;S - Others'!$C$15*(BD$3-$D$3)/10</f>
        <v>0</v>
      </c>
      <c r="BE38" s="43">
        <f>BE36*'R&amp;S - Others'!$D$8*'R&amp;S - Others'!$B$12*('R&amp;S - Others'!$C$16+('R&amp;S - Others'!$C$17-'R&amp;S - Others'!$C$16)*(BE$3-$X$3)/10)</f>
        <v>0</v>
      </c>
      <c r="BF38" s="43">
        <f>BF36*'R&amp;S - Others'!$D$8*'R&amp;S - Others'!$B$12*('R&amp;S - Others'!$C$16+('R&amp;S - Others'!$C$17-'R&amp;S - Others'!$C$16)*(BF$3-$X$3)/10)</f>
        <v>0</v>
      </c>
      <c r="BG38" s="43">
        <f>BG36*'R&amp;S - Others'!$D$8*'R&amp;S - Others'!$B$12*('R&amp;S - Others'!$C$16+('R&amp;S - Others'!$C$17-'R&amp;S - Others'!$C$16)*(BG$3-$X$3)/10)</f>
        <v>0</v>
      </c>
      <c r="BH38" s="43">
        <f>BH36*'R&amp;S - Others'!$D$8*'R&amp;S - Others'!$B$12*('R&amp;S - Others'!$C$16+('R&amp;S - Others'!$C$17-'R&amp;S - Others'!$C$16)*(BH$3-$X$3)/10)</f>
        <v>0</v>
      </c>
      <c r="BI38" s="43">
        <f>BI36*'R&amp;S - Others'!$D$8*'R&amp;S - Others'!$B$12*('R&amp;S - Others'!$C$16+('R&amp;S - Others'!$C$17-'R&amp;S - Others'!$C$16)*(BI$3-$X$3)/10)</f>
        <v>0</v>
      </c>
      <c r="BJ38" s="43">
        <f>BJ36*'R&amp;S - Others'!$D$8*'R&amp;S - Others'!$B$12*('R&amp;S - Others'!$C$16+('R&amp;S - Others'!$C$17-'R&amp;S - Others'!$C$16)*(BJ$3-$X$3)/10)</f>
        <v>0</v>
      </c>
      <c r="BK38" s="43">
        <f>BK36*'R&amp;S - Others'!$D$8*'R&amp;S - Others'!$B$12*('R&amp;S - Others'!$C$16+('R&amp;S - Others'!$C$17-'R&amp;S - Others'!$C$16)*(BK$3-$X$3)/10)</f>
        <v>0</v>
      </c>
      <c r="BL38" s="43">
        <f>BL36*'R&amp;S - Others'!$D$8*'R&amp;S - Others'!$B$12*('R&amp;S - Others'!$C$16+('R&amp;S - Others'!$C$17-'R&amp;S - Others'!$C$16)*(BL$3-$X$3)/10)</f>
        <v>0</v>
      </c>
      <c r="BM38" s="43">
        <f>BM36*'R&amp;S - Others'!$D$8*'R&amp;S - Others'!$B$12*('R&amp;S - Others'!$C$16+('R&amp;S - Others'!$C$17-'R&amp;S - Others'!$C$16)*(BM$3-$X$3)/10)</f>
        <v>0</v>
      </c>
      <c r="BN38" s="43">
        <f>BN36*'R&amp;S - Others'!$D$8*'R&amp;S - Others'!$B$12*('R&amp;S - Others'!$C$16+('R&amp;S - Others'!$C$17-'R&amp;S - Others'!$C$16)*(BN$3-$X$3)/10)</f>
        <v>0</v>
      </c>
    </row>
    <row r="39" spans="1:66" outlineLevel="1">
      <c r="A39" s="178"/>
      <c r="B39" s="178" t="s">
        <v>197</v>
      </c>
      <c r="C39" s="179" t="s">
        <v>153</v>
      </c>
      <c r="D39" s="180">
        <f>D36-D37-D38</f>
        <v>4.696762105263157</v>
      </c>
      <c r="E39" s="180">
        <f t="shared" ref="E39:AH39" si="37">E36-E37-E38</f>
        <v>4.9343161867908307</v>
      </c>
      <c r="F39" s="180">
        <f t="shared" si="37"/>
        <v>5.1796439543091317</v>
      </c>
      <c r="G39" s="180">
        <f t="shared" si="37"/>
        <v>5.4329690037576457</v>
      </c>
      <c r="H39" s="180">
        <f t="shared" si="37"/>
        <v>5.6945210169572809</v>
      </c>
      <c r="I39" s="180">
        <f t="shared" si="37"/>
        <v>5.9645359228474728</v>
      </c>
      <c r="J39" s="180">
        <f t="shared" si="37"/>
        <v>6.220149725740991</v>
      </c>
      <c r="K39" s="180">
        <f t="shared" si="37"/>
        <v>6.4835618209893084</v>
      </c>
      <c r="L39" s="180">
        <f t="shared" si="37"/>
        <v>6.754984512716991</v>
      </c>
      <c r="M39" s="180">
        <f t="shared" si="37"/>
        <v>7.0346355930682893</v>
      </c>
      <c r="N39" s="180">
        <f t="shared" si="37"/>
        <v>7.3227384803440927</v>
      </c>
      <c r="O39" s="180">
        <f t="shared" si="37"/>
        <v>7.5637706989916129</v>
      </c>
      <c r="P39" s="180">
        <f t="shared" si="37"/>
        <v>7.8111684476156942</v>
      </c>
      <c r="Q39" s="180">
        <f t="shared" si="37"/>
        <v>8.0650852546763758</v>
      </c>
      <c r="R39" s="180">
        <f t="shared" si="37"/>
        <v>8.325678182553645</v>
      </c>
      <c r="S39" s="180">
        <f t="shared" si="37"/>
        <v>8.5931079067468126</v>
      </c>
      <c r="T39" s="180">
        <f t="shared" si="37"/>
        <v>8.6623840970460328</v>
      </c>
      <c r="U39" s="180">
        <f t="shared" si="37"/>
        <v>8.732020065133371</v>
      </c>
      <c r="V39" s="180">
        <f t="shared" si="37"/>
        <v>8.8020135319797124</v>
      </c>
      <c r="W39" s="180">
        <f t="shared" si="37"/>
        <v>8.8723620986159641</v>
      </c>
      <c r="X39" s="180">
        <f t="shared" si="37"/>
        <v>8.9430632433903163</v>
      </c>
      <c r="Y39" s="180">
        <f t="shared" si="37"/>
        <v>8.9937727324921877</v>
      </c>
      <c r="Z39" s="180">
        <f t="shared" si="37"/>
        <v>9.0443686926031823</v>
      </c>
      <c r="AA39" s="180">
        <f t="shared" si="37"/>
        <v>9.0948403879250534</v>
      </c>
      <c r="AB39" s="180">
        <f t="shared" si="37"/>
        <v>9.1451768301526908</v>
      </c>
      <c r="AC39" s="180">
        <f t="shared" si="37"/>
        <v>9.1953667737883809</v>
      </c>
      <c r="AD39" s="180">
        <f t="shared" si="37"/>
        <v>9.2303307007393958</v>
      </c>
      <c r="AE39" s="180">
        <f t="shared" si="37"/>
        <v>9.2648067191019621</v>
      </c>
      <c r="AF39" s="180">
        <f t="shared" si="37"/>
        <v>9.2987777439438677</v>
      </c>
      <c r="AG39" s="180">
        <f t="shared" si="37"/>
        <v>9.3322263426310208</v>
      </c>
      <c r="AH39" s="180">
        <f t="shared" si="37"/>
        <v>9.3651347287983047</v>
      </c>
      <c r="AJ39" s="180">
        <f>AJ36-AJ37-AJ38</f>
        <v>4.696762105263157</v>
      </c>
      <c r="AK39" s="180">
        <f t="shared" ref="AK39:BN39" si="38">AK36-AK37-AK38</f>
        <v>4.9343161867908307</v>
      </c>
      <c r="AL39" s="180">
        <f t="shared" si="38"/>
        <v>5.1796439543091317</v>
      </c>
      <c r="AM39" s="180">
        <f t="shared" si="38"/>
        <v>5.4329690037576457</v>
      </c>
      <c r="AN39" s="180">
        <f t="shared" si="38"/>
        <v>5.6945210169572809</v>
      </c>
      <c r="AO39" s="180">
        <f t="shared" si="38"/>
        <v>5.9645359228474728</v>
      </c>
      <c r="AP39" s="180">
        <f t="shared" si="38"/>
        <v>6.220149725740991</v>
      </c>
      <c r="AQ39" s="180">
        <f t="shared" si="38"/>
        <v>6.4835618209893084</v>
      </c>
      <c r="AR39" s="180">
        <f t="shared" si="38"/>
        <v>6.754984512716991</v>
      </c>
      <c r="AS39" s="180">
        <f t="shared" si="38"/>
        <v>7.0346355930682893</v>
      </c>
      <c r="AT39" s="180">
        <f t="shared" si="38"/>
        <v>7.3227384803440927</v>
      </c>
      <c r="AU39" s="180">
        <f t="shared" si="38"/>
        <v>7.5637706989916129</v>
      </c>
      <c r="AV39" s="180">
        <f t="shared" si="38"/>
        <v>7.8111684476156942</v>
      </c>
      <c r="AW39" s="180">
        <f t="shared" si="38"/>
        <v>8.0650852546763758</v>
      </c>
      <c r="AX39" s="180">
        <f t="shared" si="38"/>
        <v>8.325678182553645</v>
      </c>
      <c r="AY39" s="180">
        <f t="shared" si="38"/>
        <v>8.5931079067468126</v>
      </c>
      <c r="AZ39" s="180">
        <f t="shared" si="38"/>
        <v>8.6623840970460328</v>
      </c>
      <c r="BA39" s="180">
        <f t="shared" si="38"/>
        <v>8.732020065133371</v>
      </c>
      <c r="BB39" s="180">
        <f t="shared" si="38"/>
        <v>8.8020135319797124</v>
      </c>
      <c r="BC39" s="180">
        <f t="shared" si="38"/>
        <v>8.8723620986159641</v>
      </c>
      <c r="BD39" s="180">
        <f t="shared" si="38"/>
        <v>8.9430632433903163</v>
      </c>
      <c r="BE39" s="180">
        <f t="shared" si="38"/>
        <v>8.9937727324921877</v>
      </c>
      <c r="BF39" s="180">
        <f t="shared" si="38"/>
        <v>9.0443686926031823</v>
      </c>
      <c r="BG39" s="180">
        <f t="shared" si="38"/>
        <v>9.0948403879250534</v>
      </c>
      <c r="BH39" s="180">
        <f t="shared" si="38"/>
        <v>9.1451768301526908</v>
      </c>
      <c r="BI39" s="180">
        <f t="shared" si="38"/>
        <v>9.1953667737883809</v>
      </c>
      <c r="BJ39" s="180">
        <f t="shared" si="38"/>
        <v>9.2303307007393958</v>
      </c>
      <c r="BK39" s="180">
        <f t="shared" si="38"/>
        <v>9.2648067191019621</v>
      </c>
      <c r="BL39" s="180">
        <f t="shared" si="38"/>
        <v>9.2987777439438677</v>
      </c>
      <c r="BM39" s="180">
        <f t="shared" si="38"/>
        <v>9.3322263426310208</v>
      </c>
      <c r="BN39" s="180">
        <f t="shared" si="38"/>
        <v>9.3651347287983047</v>
      </c>
    </row>
    <row r="40" spans="1:66" s="67" customFormat="1" outlineLevel="2">
      <c r="B40" s="58" t="s">
        <v>210</v>
      </c>
      <c r="C40" s="59" t="s">
        <v>153</v>
      </c>
      <c r="D40" s="60">
        <v>0</v>
      </c>
      <c r="E40" s="60">
        <v>0</v>
      </c>
      <c r="F40" s="60">
        <v>0</v>
      </c>
      <c r="G40" s="60">
        <v>0</v>
      </c>
      <c r="H40" s="60">
        <v>0</v>
      </c>
      <c r="I40" s="60">
        <v>0</v>
      </c>
      <c r="J40" s="60">
        <v>0</v>
      </c>
      <c r="K40" s="60">
        <v>0</v>
      </c>
      <c r="L40" s="60">
        <v>0</v>
      </c>
      <c r="M40" s="60">
        <v>0</v>
      </c>
      <c r="N40" s="60">
        <v>0</v>
      </c>
      <c r="O40" s="60">
        <v>0</v>
      </c>
      <c r="P40" s="60">
        <v>0</v>
      </c>
      <c r="Q40" s="60">
        <v>0</v>
      </c>
      <c r="R40" s="60">
        <v>0</v>
      </c>
      <c r="S40" s="60">
        <v>0</v>
      </c>
      <c r="T40" s="60">
        <v>0</v>
      </c>
      <c r="U40" s="60">
        <v>0</v>
      </c>
      <c r="V40" s="60">
        <v>0</v>
      </c>
      <c r="W40" s="60">
        <v>0</v>
      </c>
      <c r="X40" s="60">
        <v>0</v>
      </c>
      <c r="Y40" s="60">
        <v>0</v>
      </c>
      <c r="Z40" s="60">
        <v>0</v>
      </c>
      <c r="AA40" s="60">
        <v>0</v>
      </c>
      <c r="AB40" s="60">
        <v>0</v>
      </c>
      <c r="AC40" s="60">
        <v>0</v>
      </c>
      <c r="AD40" s="60">
        <v>0</v>
      </c>
      <c r="AE40" s="60">
        <v>0</v>
      </c>
      <c r="AF40" s="60">
        <v>0</v>
      </c>
      <c r="AG40" s="60">
        <v>0</v>
      </c>
      <c r="AH40" s="60">
        <v>0</v>
      </c>
      <c r="AJ40" s="60">
        <f>D40</f>
        <v>0</v>
      </c>
      <c r="AK40" s="60">
        <f t="shared" ref="AK40:AZ41" si="39">E40</f>
        <v>0</v>
      </c>
      <c r="AL40" s="60">
        <f t="shared" si="39"/>
        <v>0</v>
      </c>
      <c r="AM40" s="60">
        <f t="shared" si="39"/>
        <v>0</v>
      </c>
      <c r="AN40" s="60">
        <f t="shared" si="39"/>
        <v>0</v>
      </c>
      <c r="AO40" s="60">
        <f t="shared" si="39"/>
        <v>0</v>
      </c>
      <c r="AP40" s="60">
        <f t="shared" si="39"/>
        <v>0</v>
      </c>
      <c r="AQ40" s="60">
        <f t="shared" si="39"/>
        <v>0</v>
      </c>
      <c r="AR40" s="60">
        <f t="shared" si="39"/>
        <v>0</v>
      </c>
      <c r="AS40" s="60">
        <f t="shared" si="39"/>
        <v>0</v>
      </c>
      <c r="AT40" s="60">
        <f t="shared" si="39"/>
        <v>0</v>
      </c>
      <c r="AU40" s="60">
        <f t="shared" si="39"/>
        <v>0</v>
      </c>
      <c r="AV40" s="60">
        <f t="shared" si="39"/>
        <v>0</v>
      </c>
      <c r="AW40" s="60">
        <f t="shared" si="39"/>
        <v>0</v>
      </c>
      <c r="AX40" s="60">
        <f t="shared" si="39"/>
        <v>0</v>
      </c>
      <c r="AY40" s="60">
        <f t="shared" si="39"/>
        <v>0</v>
      </c>
      <c r="AZ40" s="60">
        <f t="shared" si="39"/>
        <v>0</v>
      </c>
      <c r="BA40" s="60">
        <f t="shared" ref="BA40:BN41" si="40">U40</f>
        <v>0</v>
      </c>
      <c r="BB40" s="60">
        <f t="shared" si="40"/>
        <v>0</v>
      </c>
      <c r="BC40" s="60">
        <f t="shared" si="40"/>
        <v>0</v>
      </c>
      <c r="BD40" s="60">
        <f t="shared" si="40"/>
        <v>0</v>
      </c>
      <c r="BE40" s="60">
        <f t="shared" si="40"/>
        <v>0</v>
      </c>
      <c r="BF40" s="60">
        <f t="shared" si="40"/>
        <v>0</v>
      </c>
      <c r="BG40" s="60">
        <f t="shared" si="40"/>
        <v>0</v>
      </c>
      <c r="BH40" s="60">
        <f t="shared" si="40"/>
        <v>0</v>
      </c>
      <c r="BI40" s="60">
        <f t="shared" si="40"/>
        <v>0</v>
      </c>
      <c r="BJ40" s="60">
        <f t="shared" si="40"/>
        <v>0</v>
      </c>
      <c r="BK40" s="60">
        <f t="shared" si="40"/>
        <v>0</v>
      </c>
      <c r="BL40" s="60">
        <f t="shared" si="40"/>
        <v>0</v>
      </c>
      <c r="BM40" s="60">
        <f t="shared" si="40"/>
        <v>0</v>
      </c>
      <c r="BN40" s="60">
        <f t="shared" si="40"/>
        <v>0</v>
      </c>
    </row>
    <row r="41" spans="1:66" outlineLevel="2">
      <c r="B41" s="1" t="s">
        <v>211</v>
      </c>
      <c r="C41" s="54" t="s">
        <v>153</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4">
        <v>0</v>
      </c>
      <c r="AH41" s="44">
        <v>0</v>
      </c>
      <c r="AJ41" s="44">
        <f>D41</f>
        <v>0</v>
      </c>
      <c r="AK41" s="44">
        <f t="shared" si="39"/>
        <v>0</v>
      </c>
      <c r="AL41" s="44">
        <f t="shared" si="39"/>
        <v>0</v>
      </c>
      <c r="AM41" s="44">
        <f t="shared" si="39"/>
        <v>0</v>
      </c>
      <c r="AN41" s="44">
        <f t="shared" si="39"/>
        <v>0</v>
      </c>
      <c r="AO41" s="44">
        <f t="shared" si="39"/>
        <v>0</v>
      </c>
      <c r="AP41" s="44">
        <f t="shared" si="39"/>
        <v>0</v>
      </c>
      <c r="AQ41" s="44">
        <f t="shared" si="39"/>
        <v>0</v>
      </c>
      <c r="AR41" s="44">
        <f t="shared" si="39"/>
        <v>0</v>
      </c>
      <c r="AS41" s="44">
        <f t="shared" si="39"/>
        <v>0</v>
      </c>
      <c r="AT41" s="44">
        <f t="shared" si="39"/>
        <v>0</v>
      </c>
      <c r="AU41" s="44">
        <f t="shared" si="39"/>
        <v>0</v>
      </c>
      <c r="AV41" s="44">
        <f t="shared" si="39"/>
        <v>0</v>
      </c>
      <c r="AW41" s="44">
        <f t="shared" si="39"/>
        <v>0</v>
      </c>
      <c r="AX41" s="44">
        <f t="shared" si="39"/>
        <v>0</v>
      </c>
      <c r="AY41" s="44">
        <f t="shared" si="39"/>
        <v>0</v>
      </c>
      <c r="AZ41" s="44">
        <f t="shared" si="39"/>
        <v>0</v>
      </c>
      <c r="BA41" s="44">
        <f t="shared" si="40"/>
        <v>0</v>
      </c>
      <c r="BB41" s="44">
        <f t="shared" si="40"/>
        <v>0</v>
      </c>
      <c r="BC41" s="44">
        <f t="shared" si="40"/>
        <v>0</v>
      </c>
      <c r="BD41" s="44">
        <f t="shared" si="40"/>
        <v>0</v>
      </c>
      <c r="BE41" s="44">
        <f t="shared" si="40"/>
        <v>0</v>
      </c>
      <c r="BF41" s="44">
        <f t="shared" si="40"/>
        <v>0</v>
      </c>
      <c r="BG41" s="44">
        <f t="shared" si="40"/>
        <v>0</v>
      </c>
      <c r="BH41" s="44">
        <f t="shared" si="40"/>
        <v>0</v>
      </c>
      <c r="BI41" s="44">
        <f t="shared" si="40"/>
        <v>0</v>
      </c>
      <c r="BJ41" s="44">
        <f t="shared" si="40"/>
        <v>0</v>
      </c>
      <c r="BK41" s="44">
        <f t="shared" si="40"/>
        <v>0</v>
      </c>
      <c r="BL41" s="44">
        <f t="shared" si="40"/>
        <v>0</v>
      </c>
      <c r="BM41" s="44">
        <f t="shared" si="40"/>
        <v>0</v>
      </c>
      <c r="BN41" s="44">
        <f t="shared" si="40"/>
        <v>0</v>
      </c>
    </row>
    <row r="42" spans="1:66" s="193" customFormat="1" ht="15.5" customHeight="1" outlineLevel="1">
      <c r="A42" s="189" t="s">
        <v>212</v>
      </c>
      <c r="B42" s="190" t="s">
        <v>213</v>
      </c>
      <c r="C42" s="191" t="s">
        <v>153</v>
      </c>
      <c r="D42" s="192">
        <f>D40+D41</f>
        <v>0</v>
      </c>
      <c r="E42" s="192">
        <f t="shared" ref="E42:AH42" si="41">E40+E41</f>
        <v>0</v>
      </c>
      <c r="F42" s="192">
        <f t="shared" si="41"/>
        <v>0</v>
      </c>
      <c r="G42" s="192">
        <f t="shared" si="41"/>
        <v>0</v>
      </c>
      <c r="H42" s="192">
        <f t="shared" si="41"/>
        <v>0</v>
      </c>
      <c r="I42" s="192">
        <f t="shared" si="41"/>
        <v>0</v>
      </c>
      <c r="J42" s="192">
        <f t="shared" si="41"/>
        <v>0</v>
      </c>
      <c r="K42" s="192">
        <f t="shared" si="41"/>
        <v>0</v>
      </c>
      <c r="L42" s="192">
        <f t="shared" si="41"/>
        <v>0</v>
      </c>
      <c r="M42" s="192">
        <f t="shared" si="41"/>
        <v>0</v>
      </c>
      <c r="N42" s="192">
        <f t="shared" si="41"/>
        <v>0</v>
      </c>
      <c r="O42" s="192">
        <f t="shared" si="41"/>
        <v>0</v>
      </c>
      <c r="P42" s="192">
        <f t="shared" si="41"/>
        <v>0</v>
      </c>
      <c r="Q42" s="192">
        <f t="shared" si="41"/>
        <v>0</v>
      </c>
      <c r="R42" s="192">
        <f t="shared" si="41"/>
        <v>0</v>
      </c>
      <c r="S42" s="192">
        <f t="shared" si="41"/>
        <v>0</v>
      </c>
      <c r="T42" s="192">
        <f t="shared" si="41"/>
        <v>0</v>
      </c>
      <c r="U42" s="192">
        <f t="shared" si="41"/>
        <v>0</v>
      </c>
      <c r="V42" s="192">
        <f t="shared" si="41"/>
        <v>0</v>
      </c>
      <c r="W42" s="192">
        <f t="shared" si="41"/>
        <v>0</v>
      </c>
      <c r="X42" s="192">
        <f t="shared" si="41"/>
        <v>0</v>
      </c>
      <c r="Y42" s="192">
        <f t="shared" si="41"/>
        <v>0</v>
      </c>
      <c r="Z42" s="192">
        <f t="shared" si="41"/>
        <v>0</v>
      </c>
      <c r="AA42" s="192">
        <f t="shared" si="41"/>
        <v>0</v>
      </c>
      <c r="AB42" s="192">
        <f t="shared" si="41"/>
        <v>0</v>
      </c>
      <c r="AC42" s="192">
        <f t="shared" si="41"/>
        <v>0</v>
      </c>
      <c r="AD42" s="192">
        <f t="shared" si="41"/>
        <v>0</v>
      </c>
      <c r="AE42" s="192">
        <f t="shared" si="41"/>
        <v>0</v>
      </c>
      <c r="AF42" s="192">
        <f t="shared" si="41"/>
        <v>0</v>
      </c>
      <c r="AG42" s="192">
        <f t="shared" si="41"/>
        <v>0</v>
      </c>
      <c r="AH42" s="192">
        <f t="shared" si="41"/>
        <v>0</v>
      </c>
      <c r="AJ42" s="192">
        <f>AJ40+AJ41</f>
        <v>0</v>
      </c>
      <c r="AK42" s="192">
        <f t="shared" ref="AK42:BN42" si="42">AK40+AK41</f>
        <v>0</v>
      </c>
      <c r="AL42" s="192">
        <f t="shared" si="42"/>
        <v>0</v>
      </c>
      <c r="AM42" s="192">
        <f t="shared" si="42"/>
        <v>0</v>
      </c>
      <c r="AN42" s="192">
        <f t="shared" si="42"/>
        <v>0</v>
      </c>
      <c r="AO42" s="192">
        <f t="shared" si="42"/>
        <v>0</v>
      </c>
      <c r="AP42" s="192">
        <f t="shared" si="42"/>
        <v>0</v>
      </c>
      <c r="AQ42" s="192">
        <f t="shared" si="42"/>
        <v>0</v>
      </c>
      <c r="AR42" s="192">
        <f t="shared" si="42"/>
        <v>0</v>
      </c>
      <c r="AS42" s="192">
        <f t="shared" si="42"/>
        <v>0</v>
      </c>
      <c r="AT42" s="192">
        <f t="shared" si="42"/>
        <v>0</v>
      </c>
      <c r="AU42" s="192">
        <f t="shared" si="42"/>
        <v>0</v>
      </c>
      <c r="AV42" s="192">
        <f t="shared" si="42"/>
        <v>0</v>
      </c>
      <c r="AW42" s="192">
        <f t="shared" si="42"/>
        <v>0</v>
      </c>
      <c r="AX42" s="192">
        <f t="shared" si="42"/>
        <v>0</v>
      </c>
      <c r="AY42" s="192">
        <f t="shared" si="42"/>
        <v>0</v>
      </c>
      <c r="AZ42" s="192">
        <f t="shared" si="42"/>
        <v>0</v>
      </c>
      <c r="BA42" s="192">
        <f t="shared" si="42"/>
        <v>0</v>
      </c>
      <c r="BB42" s="192">
        <f t="shared" si="42"/>
        <v>0</v>
      </c>
      <c r="BC42" s="192">
        <f t="shared" si="42"/>
        <v>0</v>
      </c>
      <c r="BD42" s="192">
        <f t="shared" si="42"/>
        <v>0</v>
      </c>
      <c r="BE42" s="192">
        <f t="shared" si="42"/>
        <v>0</v>
      </c>
      <c r="BF42" s="192">
        <f t="shared" si="42"/>
        <v>0</v>
      </c>
      <c r="BG42" s="192">
        <f t="shared" si="42"/>
        <v>0</v>
      </c>
      <c r="BH42" s="192">
        <f t="shared" si="42"/>
        <v>0</v>
      </c>
      <c r="BI42" s="192">
        <f t="shared" si="42"/>
        <v>0</v>
      </c>
      <c r="BJ42" s="192">
        <f t="shared" si="42"/>
        <v>0</v>
      </c>
      <c r="BK42" s="192">
        <f t="shared" si="42"/>
        <v>0</v>
      </c>
      <c r="BL42" s="192">
        <f t="shared" si="42"/>
        <v>0</v>
      </c>
      <c r="BM42" s="192">
        <f t="shared" si="42"/>
        <v>0</v>
      </c>
      <c r="BN42" s="192">
        <f t="shared" si="42"/>
        <v>0</v>
      </c>
    </row>
    <row r="43" spans="1:66" outlineLevel="1">
      <c r="A43" s="1" t="s">
        <v>67</v>
      </c>
      <c r="B43" s="1" t="s">
        <v>168</v>
      </c>
      <c r="C43" s="54" t="s">
        <v>153</v>
      </c>
      <c r="D43" s="66">
        <f t="shared" ref="D43:AH43" si="43">D15+D21+D27+D33+D37</f>
        <v>0</v>
      </c>
      <c r="E43" s="66">
        <f t="shared" si="43"/>
        <v>0</v>
      </c>
      <c r="F43" s="66">
        <f t="shared" si="43"/>
        <v>0</v>
      </c>
      <c r="G43" s="66">
        <f t="shared" si="43"/>
        <v>0</v>
      </c>
      <c r="H43" s="66">
        <f t="shared" si="43"/>
        <v>0</v>
      </c>
      <c r="I43" s="66">
        <f t="shared" si="43"/>
        <v>0</v>
      </c>
      <c r="J43" s="66">
        <f t="shared" si="43"/>
        <v>0</v>
      </c>
      <c r="K43" s="66">
        <f t="shared" si="43"/>
        <v>0</v>
      </c>
      <c r="L43" s="66">
        <f t="shared" si="43"/>
        <v>0</v>
      </c>
      <c r="M43" s="66">
        <f t="shared" si="43"/>
        <v>0</v>
      </c>
      <c r="N43" s="66">
        <f t="shared" si="43"/>
        <v>0</v>
      </c>
      <c r="O43" s="66">
        <f t="shared" si="43"/>
        <v>0</v>
      </c>
      <c r="P43" s="66">
        <f t="shared" si="43"/>
        <v>0</v>
      </c>
      <c r="Q43" s="66">
        <f t="shared" si="43"/>
        <v>0</v>
      </c>
      <c r="R43" s="66">
        <f t="shared" si="43"/>
        <v>0</v>
      </c>
      <c r="S43" s="66">
        <f t="shared" si="43"/>
        <v>0</v>
      </c>
      <c r="T43" s="66">
        <f t="shared" si="43"/>
        <v>0</v>
      </c>
      <c r="U43" s="66">
        <f t="shared" si="43"/>
        <v>0</v>
      </c>
      <c r="V43" s="66">
        <f t="shared" si="43"/>
        <v>0</v>
      </c>
      <c r="W43" s="66">
        <f t="shared" si="43"/>
        <v>0</v>
      </c>
      <c r="X43" s="66">
        <f t="shared" si="43"/>
        <v>0</v>
      </c>
      <c r="Y43" s="66">
        <f t="shared" si="43"/>
        <v>0</v>
      </c>
      <c r="Z43" s="66">
        <f t="shared" si="43"/>
        <v>0</v>
      </c>
      <c r="AA43" s="66">
        <f t="shared" si="43"/>
        <v>0</v>
      </c>
      <c r="AB43" s="66">
        <f t="shared" si="43"/>
        <v>0</v>
      </c>
      <c r="AC43" s="66">
        <f t="shared" si="43"/>
        <v>0</v>
      </c>
      <c r="AD43" s="66">
        <f t="shared" si="43"/>
        <v>0</v>
      </c>
      <c r="AE43" s="66">
        <f t="shared" si="43"/>
        <v>0</v>
      </c>
      <c r="AF43" s="66">
        <f t="shared" si="43"/>
        <v>0</v>
      </c>
      <c r="AG43" s="66">
        <f t="shared" si="43"/>
        <v>0</v>
      </c>
      <c r="AH43" s="66">
        <f t="shared" si="43"/>
        <v>0</v>
      </c>
      <c r="AJ43" s="66">
        <f t="shared" ref="AJ43:BN43" si="44">AJ15+AJ21+AJ27+AJ33+AJ37</f>
        <v>0</v>
      </c>
      <c r="AK43" s="66">
        <f t="shared" si="44"/>
        <v>0</v>
      </c>
      <c r="AL43" s="66">
        <f t="shared" si="44"/>
        <v>0</v>
      </c>
      <c r="AM43" s="66">
        <f t="shared" si="44"/>
        <v>0</v>
      </c>
      <c r="AN43" s="66">
        <f t="shared" si="44"/>
        <v>0</v>
      </c>
      <c r="AO43" s="66">
        <f t="shared" si="44"/>
        <v>0</v>
      </c>
      <c r="AP43" s="66">
        <f t="shared" si="44"/>
        <v>0</v>
      </c>
      <c r="AQ43" s="66">
        <f t="shared" si="44"/>
        <v>0</v>
      </c>
      <c r="AR43" s="66">
        <f t="shared" si="44"/>
        <v>0</v>
      </c>
      <c r="AS43" s="66">
        <f t="shared" si="44"/>
        <v>0</v>
      </c>
      <c r="AT43" s="66">
        <f t="shared" si="44"/>
        <v>0</v>
      </c>
      <c r="AU43" s="66">
        <f t="shared" si="44"/>
        <v>0</v>
      </c>
      <c r="AV43" s="66">
        <f t="shared" si="44"/>
        <v>0</v>
      </c>
      <c r="AW43" s="66">
        <f t="shared" si="44"/>
        <v>0</v>
      </c>
      <c r="AX43" s="66">
        <f t="shared" si="44"/>
        <v>0</v>
      </c>
      <c r="AY43" s="66">
        <f t="shared" si="44"/>
        <v>0</v>
      </c>
      <c r="AZ43" s="66">
        <f t="shared" si="44"/>
        <v>0</v>
      </c>
      <c r="BA43" s="66">
        <f t="shared" si="44"/>
        <v>0</v>
      </c>
      <c r="BB43" s="66">
        <f t="shared" si="44"/>
        <v>0</v>
      </c>
      <c r="BC43" s="66">
        <f t="shared" si="44"/>
        <v>0</v>
      </c>
      <c r="BD43" s="66">
        <f t="shared" si="44"/>
        <v>0</v>
      </c>
      <c r="BE43" s="66">
        <f t="shared" si="44"/>
        <v>0</v>
      </c>
      <c r="BF43" s="66">
        <f t="shared" si="44"/>
        <v>0</v>
      </c>
      <c r="BG43" s="66">
        <f t="shared" si="44"/>
        <v>0</v>
      </c>
      <c r="BH43" s="66">
        <f t="shared" si="44"/>
        <v>0</v>
      </c>
      <c r="BI43" s="66">
        <f t="shared" si="44"/>
        <v>0</v>
      </c>
      <c r="BJ43" s="66">
        <f t="shared" si="44"/>
        <v>0</v>
      </c>
      <c r="BK43" s="66">
        <f t="shared" si="44"/>
        <v>0</v>
      </c>
      <c r="BL43" s="66">
        <f t="shared" si="44"/>
        <v>0</v>
      </c>
      <c r="BM43" s="66">
        <f t="shared" si="44"/>
        <v>0</v>
      </c>
      <c r="BN43" s="66">
        <f t="shared" si="44"/>
        <v>0</v>
      </c>
    </row>
    <row r="44" spans="1:66" outlineLevel="1">
      <c r="B44" s="1" t="s">
        <v>172</v>
      </c>
      <c r="C44" s="54" t="s">
        <v>153</v>
      </c>
      <c r="D44" s="66">
        <f t="shared" ref="D44:AH44" si="45">D16+D24+D28+D34+D38</f>
        <v>0</v>
      </c>
      <c r="E44" s="66">
        <f t="shared" si="45"/>
        <v>0</v>
      </c>
      <c r="F44" s="66">
        <f t="shared" si="45"/>
        <v>0</v>
      </c>
      <c r="G44" s="66">
        <f t="shared" si="45"/>
        <v>0</v>
      </c>
      <c r="H44" s="66">
        <f t="shared" si="45"/>
        <v>0</v>
      </c>
      <c r="I44" s="66">
        <f t="shared" si="45"/>
        <v>0</v>
      </c>
      <c r="J44" s="66">
        <f t="shared" si="45"/>
        <v>0</v>
      </c>
      <c r="K44" s="66">
        <f t="shared" si="45"/>
        <v>0</v>
      </c>
      <c r="L44" s="66">
        <f t="shared" si="45"/>
        <v>0</v>
      </c>
      <c r="M44" s="66">
        <f t="shared" si="45"/>
        <v>0</v>
      </c>
      <c r="N44" s="66">
        <f t="shared" si="45"/>
        <v>0</v>
      </c>
      <c r="O44" s="66">
        <f t="shared" si="45"/>
        <v>0</v>
      </c>
      <c r="P44" s="66">
        <f t="shared" si="45"/>
        <v>0</v>
      </c>
      <c r="Q44" s="66">
        <f t="shared" si="45"/>
        <v>0</v>
      </c>
      <c r="R44" s="66">
        <f t="shared" si="45"/>
        <v>0</v>
      </c>
      <c r="S44" s="66">
        <f t="shared" si="45"/>
        <v>0</v>
      </c>
      <c r="T44" s="66">
        <f t="shared" si="45"/>
        <v>0</v>
      </c>
      <c r="U44" s="66">
        <f t="shared" si="45"/>
        <v>0</v>
      </c>
      <c r="V44" s="66">
        <f t="shared" si="45"/>
        <v>0</v>
      </c>
      <c r="W44" s="66">
        <f t="shared" si="45"/>
        <v>0</v>
      </c>
      <c r="X44" s="66">
        <f t="shared" si="45"/>
        <v>0</v>
      </c>
      <c r="Y44" s="66">
        <f t="shared" si="45"/>
        <v>0</v>
      </c>
      <c r="Z44" s="66">
        <f t="shared" si="45"/>
        <v>0</v>
      </c>
      <c r="AA44" s="66">
        <f t="shared" si="45"/>
        <v>0</v>
      </c>
      <c r="AB44" s="66">
        <f t="shared" si="45"/>
        <v>0</v>
      </c>
      <c r="AC44" s="66">
        <f t="shared" si="45"/>
        <v>0</v>
      </c>
      <c r="AD44" s="66">
        <f t="shared" si="45"/>
        <v>0</v>
      </c>
      <c r="AE44" s="66">
        <f t="shared" si="45"/>
        <v>0</v>
      </c>
      <c r="AF44" s="66">
        <f t="shared" si="45"/>
        <v>0</v>
      </c>
      <c r="AG44" s="66">
        <f t="shared" si="45"/>
        <v>0</v>
      </c>
      <c r="AH44" s="66">
        <f t="shared" si="45"/>
        <v>0</v>
      </c>
      <c r="AJ44" s="66">
        <f t="shared" ref="AJ44:BN44" si="46">AJ16+AJ24+AJ28+AJ34+AJ38</f>
        <v>0</v>
      </c>
      <c r="AK44" s="66">
        <f t="shared" si="46"/>
        <v>0</v>
      </c>
      <c r="AL44" s="66">
        <f t="shared" si="46"/>
        <v>0</v>
      </c>
      <c r="AM44" s="66">
        <f t="shared" si="46"/>
        <v>0</v>
      </c>
      <c r="AN44" s="66">
        <f t="shared" si="46"/>
        <v>0</v>
      </c>
      <c r="AO44" s="66">
        <f t="shared" si="46"/>
        <v>0</v>
      </c>
      <c r="AP44" s="66">
        <f t="shared" si="46"/>
        <v>0</v>
      </c>
      <c r="AQ44" s="66">
        <f t="shared" si="46"/>
        <v>0</v>
      </c>
      <c r="AR44" s="66">
        <f t="shared" si="46"/>
        <v>0</v>
      </c>
      <c r="AS44" s="66">
        <f t="shared" si="46"/>
        <v>0</v>
      </c>
      <c r="AT44" s="66">
        <f t="shared" si="46"/>
        <v>0</v>
      </c>
      <c r="AU44" s="66">
        <f t="shared" si="46"/>
        <v>0</v>
      </c>
      <c r="AV44" s="66">
        <f t="shared" si="46"/>
        <v>0</v>
      </c>
      <c r="AW44" s="66">
        <f t="shared" si="46"/>
        <v>0</v>
      </c>
      <c r="AX44" s="66">
        <f t="shared" si="46"/>
        <v>0</v>
      </c>
      <c r="AY44" s="66">
        <f t="shared" si="46"/>
        <v>0</v>
      </c>
      <c r="AZ44" s="66">
        <f t="shared" si="46"/>
        <v>0</v>
      </c>
      <c r="BA44" s="66">
        <f t="shared" si="46"/>
        <v>0</v>
      </c>
      <c r="BB44" s="66">
        <f t="shared" si="46"/>
        <v>0</v>
      </c>
      <c r="BC44" s="66">
        <f t="shared" si="46"/>
        <v>0</v>
      </c>
      <c r="BD44" s="66">
        <f t="shared" si="46"/>
        <v>0</v>
      </c>
      <c r="BE44" s="66">
        <f t="shared" si="46"/>
        <v>0</v>
      </c>
      <c r="BF44" s="66">
        <f t="shared" si="46"/>
        <v>0</v>
      </c>
      <c r="BG44" s="66">
        <f t="shared" si="46"/>
        <v>0</v>
      </c>
      <c r="BH44" s="66">
        <f t="shared" si="46"/>
        <v>0</v>
      </c>
      <c r="BI44" s="66">
        <f t="shared" si="46"/>
        <v>0</v>
      </c>
      <c r="BJ44" s="66">
        <f t="shared" si="46"/>
        <v>0</v>
      </c>
      <c r="BK44" s="66">
        <f t="shared" si="46"/>
        <v>0</v>
      </c>
      <c r="BL44" s="66">
        <f t="shared" si="46"/>
        <v>0</v>
      </c>
      <c r="BM44" s="66">
        <f t="shared" si="46"/>
        <v>0</v>
      </c>
      <c r="BN44" s="66">
        <f t="shared" si="46"/>
        <v>0</v>
      </c>
    </row>
    <row r="45" spans="1:66" outlineLevel="1">
      <c r="B45" s="1" t="s">
        <v>214</v>
      </c>
      <c r="C45" s="54" t="s">
        <v>153</v>
      </c>
      <c r="D45" s="66">
        <f t="shared" ref="D45:AH45" si="47">D11+D42</f>
        <v>0</v>
      </c>
      <c r="E45" s="66">
        <f t="shared" si="47"/>
        <v>0</v>
      </c>
      <c r="F45" s="66">
        <f t="shared" si="47"/>
        <v>0</v>
      </c>
      <c r="G45" s="66">
        <f t="shared" si="47"/>
        <v>0</v>
      </c>
      <c r="H45" s="66">
        <f t="shared" si="47"/>
        <v>0</v>
      </c>
      <c r="I45" s="66">
        <f t="shared" si="47"/>
        <v>0</v>
      </c>
      <c r="J45" s="66">
        <f t="shared" si="47"/>
        <v>0</v>
      </c>
      <c r="K45" s="66">
        <f t="shared" si="47"/>
        <v>0</v>
      </c>
      <c r="L45" s="66">
        <f t="shared" si="47"/>
        <v>0</v>
      </c>
      <c r="M45" s="66">
        <f t="shared" si="47"/>
        <v>0</v>
      </c>
      <c r="N45" s="66">
        <f t="shared" si="47"/>
        <v>0</v>
      </c>
      <c r="O45" s="66">
        <f t="shared" si="47"/>
        <v>0</v>
      </c>
      <c r="P45" s="66">
        <f t="shared" si="47"/>
        <v>0</v>
      </c>
      <c r="Q45" s="66">
        <f t="shared" si="47"/>
        <v>0</v>
      </c>
      <c r="R45" s="66">
        <f t="shared" si="47"/>
        <v>0</v>
      </c>
      <c r="S45" s="66">
        <f t="shared" si="47"/>
        <v>0</v>
      </c>
      <c r="T45" s="66">
        <f t="shared" si="47"/>
        <v>0</v>
      </c>
      <c r="U45" s="66">
        <f t="shared" si="47"/>
        <v>0</v>
      </c>
      <c r="V45" s="66">
        <f t="shared" si="47"/>
        <v>0</v>
      </c>
      <c r="W45" s="66">
        <f t="shared" si="47"/>
        <v>0</v>
      </c>
      <c r="X45" s="66">
        <f t="shared" si="47"/>
        <v>0</v>
      </c>
      <c r="Y45" s="66">
        <f t="shared" si="47"/>
        <v>0</v>
      </c>
      <c r="Z45" s="66">
        <f t="shared" si="47"/>
        <v>0</v>
      </c>
      <c r="AA45" s="66">
        <f t="shared" si="47"/>
        <v>0</v>
      </c>
      <c r="AB45" s="66">
        <f t="shared" si="47"/>
        <v>0</v>
      </c>
      <c r="AC45" s="66">
        <f t="shared" si="47"/>
        <v>0</v>
      </c>
      <c r="AD45" s="66">
        <f t="shared" si="47"/>
        <v>0</v>
      </c>
      <c r="AE45" s="66">
        <f t="shared" si="47"/>
        <v>0</v>
      </c>
      <c r="AF45" s="66">
        <f t="shared" si="47"/>
        <v>0</v>
      </c>
      <c r="AG45" s="66">
        <f t="shared" si="47"/>
        <v>0</v>
      </c>
      <c r="AH45" s="66">
        <f t="shared" si="47"/>
        <v>0</v>
      </c>
      <c r="AJ45" s="66">
        <f t="shared" ref="AJ45:BN45" si="48">AJ11+AJ42</f>
        <v>0</v>
      </c>
      <c r="AK45" s="66">
        <f t="shared" si="48"/>
        <v>0</v>
      </c>
      <c r="AL45" s="66">
        <f t="shared" si="48"/>
        <v>0</v>
      </c>
      <c r="AM45" s="66">
        <f t="shared" si="48"/>
        <v>0</v>
      </c>
      <c r="AN45" s="66">
        <f t="shared" si="48"/>
        <v>0</v>
      </c>
      <c r="AO45" s="66">
        <f t="shared" si="48"/>
        <v>0</v>
      </c>
      <c r="AP45" s="66">
        <f t="shared" si="48"/>
        <v>0</v>
      </c>
      <c r="AQ45" s="66">
        <f t="shared" si="48"/>
        <v>0</v>
      </c>
      <c r="AR45" s="66">
        <f t="shared" si="48"/>
        <v>0</v>
      </c>
      <c r="AS45" s="66">
        <f t="shared" si="48"/>
        <v>0</v>
      </c>
      <c r="AT45" s="66">
        <f t="shared" si="48"/>
        <v>0</v>
      </c>
      <c r="AU45" s="66">
        <f t="shared" si="48"/>
        <v>0</v>
      </c>
      <c r="AV45" s="66">
        <f t="shared" si="48"/>
        <v>0</v>
      </c>
      <c r="AW45" s="66">
        <f t="shared" si="48"/>
        <v>0</v>
      </c>
      <c r="AX45" s="66">
        <f t="shared" si="48"/>
        <v>0</v>
      </c>
      <c r="AY45" s="66">
        <f t="shared" si="48"/>
        <v>0</v>
      </c>
      <c r="AZ45" s="66">
        <f t="shared" si="48"/>
        <v>0</v>
      </c>
      <c r="BA45" s="66">
        <f t="shared" si="48"/>
        <v>0</v>
      </c>
      <c r="BB45" s="66">
        <f t="shared" si="48"/>
        <v>0</v>
      </c>
      <c r="BC45" s="66">
        <f t="shared" si="48"/>
        <v>0</v>
      </c>
      <c r="BD45" s="66">
        <f t="shared" si="48"/>
        <v>0</v>
      </c>
      <c r="BE45" s="66">
        <f t="shared" si="48"/>
        <v>0</v>
      </c>
      <c r="BF45" s="66">
        <f t="shared" si="48"/>
        <v>0</v>
      </c>
      <c r="BG45" s="66">
        <f t="shared" si="48"/>
        <v>0</v>
      </c>
      <c r="BH45" s="66">
        <f t="shared" si="48"/>
        <v>0</v>
      </c>
      <c r="BI45" s="66">
        <f t="shared" si="48"/>
        <v>0</v>
      </c>
      <c r="BJ45" s="66">
        <f t="shared" si="48"/>
        <v>0</v>
      </c>
      <c r="BK45" s="66">
        <f t="shared" si="48"/>
        <v>0</v>
      </c>
      <c r="BL45" s="66">
        <f t="shared" si="48"/>
        <v>0</v>
      </c>
      <c r="BM45" s="66">
        <f t="shared" si="48"/>
        <v>0</v>
      </c>
      <c r="BN45" s="66">
        <f t="shared" si="48"/>
        <v>0</v>
      </c>
    </row>
    <row r="46" spans="1:66" s="193" customFormat="1">
      <c r="A46" s="102" t="s">
        <v>239</v>
      </c>
      <c r="B46" s="102"/>
      <c r="C46" s="103" t="s">
        <v>153</v>
      </c>
      <c r="D46" s="105">
        <f t="shared" ref="D46:AH46" si="49">D9+D45-D43-D44</f>
        <v>14.947368421052632</v>
      </c>
      <c r="E46" s="105">
        <f t="shared" si="49"/>
        <v>15.331407031113367</v>
      </c>
      <c r="F46" s="105">
        <f t="shared" si="49"/>
        <v>15.725312639154138</v>
      </c>
      <c r="G46" s="105">
        <f t="shared" si="49"/>
        <v>16.129338755229892</v>
      </c>
      <c r="H46" s="105">
        <f t="shared" si="49"/>
        <v>16.543745402759424</v>
      </c>
      <c r="I46" s="105">
        <f t="shared" si="49"/>
        <v>16.968799285871444</v>
      </c>
      <c r="J46" s="105">
        <f t="shared" si="49"/>
        <v>17.381667623855559</v>
      </c>
      <c r="K46" s="105">
        <f t="shared" si="49"/>
        <v>17.804581473112339</v>
      </c>
      <c r="L46" s="105">
        <f t="shared" si="49"/>
        <v>18.237785251262231</v>
      </c>
      <c r="M46" s="105">
        <f t="shared" si="49"/>
        <v>18.681529322857759</v>
      </c>
      <c r="N46" s="105">
        <f t="shared" si="49"/>
        <v>19.136070144078495</v>
      </c>
      <c r="O46" s="105">
        <f t="shared" si="49"/>
        <v>19.545918749372461</v>
      </c>
      <c r="P46" s="105">
        <f t="shared" si="49"/>
        <v>19.964545326214225</v>
      </c>
      <c r="Q46" s="105">
        <f t="shared" si="49"/>
        <v>20.392137877645641</v>
      </c>
      <c r="R46" s="105">
        <f t="shared" si="49"/>
        <v>20.82888843328162</v>
      </c>
      <c r="S46" s="105">
        <f t="shared" si="49"/>
        <v>21.274993135549639</v>
      </c>
      <c r="T46" s="105">
        <f t="shared" si="49"/>
        <v>21.525497628002075</v>
      </c>
      <c r="U46" s="105">
        <f t="shared" si="49"/>
        <v>21.778951710160086</v>
      </c>
      <c r="V46" s="105">
        <f t="shared" si="49"/>
        <v>22.035390112256838</v>
      </c>
      <c r="W46" s="105">
        <f t="shared" si="49"/>
        <v>22.29484797346003</v>
      </c>
      <c r="X46" s="105">
        <f t="shared" si="49"/>
        <v>22.557360846686933</v>
      </c>
      <c r="Y46" s="105">
        <f t="shared" si="49"/>
        <v>22.802623116794138</v>
      </c>
      <c r="Z46" s="105">
        <f t="shared" si="49"/>
        <v>23.050552081003854</v>
      </c>
      <c r="AA46" s="105">
        <f t="shared" si="49"/>
        <v>23.301176733818313</v>
      </c>
      <c r="AB46" s="105">
        <f t="shared" si="49"/>
        <v>23.554526384991924</v>
      </c>
      <c r="AC46" s="105">
        <f t="shared" si="49"/>
        <v>23.810630662958982</v>
      </c>
      <c r="AD46" s="105">
        <f t="shared" si="49"/>
        <v>24.054451507660676</v>
      </c>
      <c r="AE46" s="105">
        <f t="shared" si="49"/>
        <v>24.300769077676058</v>
      </c>
      <c r="AF46" s="105">
        <f t="shared" si="49"/>
        <v>24.549608939470946</v>
      </c>
      <c r="AG46" s="105">
        <f t="shared" si="49"/>
        <v>24.800996921311754</v>
      </c>
      <c r="AH46" s="105">
        <f t="shared" si="49"/>
        <v>25.054959115946328</v>
      </c>
      <c r="AJ46" s="105">
        <f t="shared" ref="AJ46:BN46" si="50">AJ9+AJ45-AJ43-AJ44</f>
        <v>14.947368421052632</v>
      </c>
      <c r="AK46" s="105">
        <f t="shared" si="50"/>
        <v>15.331407031113367</v>
      </c>
      <c r="AL46" s="105">
        <f t="shared" si="50"/>
        <v>15.725312639154138</v>
      </c>
      <c r="AM46" s="105">
        <f t="shared" si="50"/>
        <v>16.129338755229892</v>
      </c>
      <c r="AN46" s="105">
        <f t="shared" si="50"/>
        <v>16.543745402759424</v>
      </c>
      <c r="AO46" s="105">
        <f t="shared" si="50"/>
        <v>16.968799285871444</v>
      </c>
      <c r="AP46" s="105">
        <f t="shared" si="50"/>
        <v>17.381667623855559</v>
      </c>
      <c r="AQ46" s="105">
        <f t="shared" si="50"/>
        <v>17.804581473112339</v>
      </c>
      <c r="AR46" s="105">
        <f t="shared" si="50"/>
        <v>18.237785251262231</v>
      </c>
      <c r="AS46" s="105">
        <f t="shared" si="50"/>
        <v>18.681529322857759</v>
      </c>
      <c r="AT46" s="105">
        <f t="shared" si="50"/>
        <v>19.136070144078495</v>
      </c>
      <c r="AU46" s="105">
        <f t="shared" si="50"/>
        <v>19.545918749372461</v>
      </c>
      <c r="AV46" s="105">
        <f t="shared" si="50"/>
        <v>19.964545326214225</v>
      </c>
      <c r="AW46" s="105">
        <f t="shared" si="50"/>
        <v>20.392137877645641</v>
      </c>
      <c r="AX46" s="105">
        <f t="shared" si="50"/>
        <v>20.82888843328162</v>
      </c>
      <c r="AY46" s="105">
        <f t="shared" si="50"/>
        <v>21.274993135549639</v>
      </c>
      <c r="AZ46" s="105">
        <f t="shared" si="50"/>
        <v>21.525497628002075</v>
      </c>
      <c r="BA46" s="105">
        <f t="shared" si="50"/>
        <v>21.778951710160086</v>
      </c>
      <c r="BB46" s="105">
        <f t="shared" si="50"/>
        <v>22.035390112256838</v>
      </c>
      <c r="BC46" s="105">
        <f t="shared" si="50"/>
        <v>22.29484797346003</v>
      </c>
      <c r="BD46" s="105">
        <f t="shared" si="50"/>
        <v>22.557360846686933</v>
      </c>
      <c r="BE46" s="105">
        <f t="shared" si="50"/>
        <v>22.802623116794138</v>
      </c>
      <c r="BF46" s="105">
        <f t="shared" si="50"/>
        <v>23.050552081003854</v>
      </c>
      <c r="BG46" s="105">
        <f t="shared" si="50"/>
        <v>23.301176733818313</v>
      </c>
      <c r="BH46" s="105">
        <f t="shared" si="50"/>
        <v>23.554526384991924</v>
      </c>
      <c r="BI46" s="105">
        <f t="shared" si="50"/>
        <v>23.810630662958982</v>
      </c>
      <c r="BJ46" s="105">
        <f t="shared" si="50"/>
        <v>24.054451507660676</v>
      </c>
      <c r="BK46" s="105">
        <f t="shared" si="50"/>
        <v>24.300769077676058</v>
      </c>
      <c r="BL46" s="105">
        <f t="shared" si="50"/>
        <v>24.549608939470946</v>
      </c>
      <c r="BM46" s="105">
        <f t="shared" si="50"/>
        <v>24.800996921311754</v>
      </c>
      <c r="BN46" s="105">
        <f t="shared" si="50"/>
        <v>25.054959115946328</v>
      </c>
    </row>
    <row r="47" spans="1:66">
      <c r="A47" s="512"/>
      <c r="C47" s="5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row>
    <row r="48" spans="1:66" outlineLevel="1">
      <c r="A48" s="58" t="s">
        <v>216</v>
      </c>
      <c r="B48" s="58" t="s">
        <v>197</v>
      </c>
      <c r="C48" s="100" t="s">
        <v>153</v>
      </c>
      <c r="D48" s="101">
        <f t="shared" ref="D48:AH48" si="51">D25</f>
        <v>5.631954887218045E-2</v>
      </c>
      <c r="E48" s="101">
        <f t="shared" si="51"/>
        <v>5.7124373709812576E-2</v>
      </c>
      <c r="F48" s="101">
        <f t="shared" si="51"/>
        <v>5.7940699758520439E-2</v>
      </c>
      <c r="G48" s="101">
        <f t="shared" si="51"/>
        <v>5.8768691374385056E-2</v>
      </c>
      <c r="H48" s="101">
        <f t="shared" si="51"/>
        <v>5.9608515262189764E-2</v>
      </c>
      <c r="I48" s="101">
        <f t="shared" si="51"/>
        <v>6.0460340508983974E-2</v>
      </c>
      <c r="J48" s="101">
        <f t="shared" si="51"/>
        <v>6.1324338618126535E-2</v>
      </c>
      <c r="K48" s="101">
        <f t="shared" si="51"/>
        <v>6.2200683543815569E-2</v>
      </c>
      <c r="L48" s="101">
        <f t="shared" si="51"/>
        <v>6.3089551726111789E-2</v>
      </c>
      <c r="M48" s="101">
        <f t="shared" si="51"/>
        <v>6.3991122126462296E-2</v>
      </c>
      <c r="N48" s="101">
        <f t="shared" si="51"/>
        <v>6.4905576263731973E-2</v>
      </c>
      <c r="O48" s="101">
        <f t="shared" si="51"/>
        <v>6.5833098250749886E-2</v>
      </c>
      <c r="P48" s="101">
        <f t="shared" si="51"/>
        <v>6.6773874831377852E-2</v>
      </c>
      <c r="Q48" s="101">
        <f t="shared" si="51"/>
        <v>6.7728095418108744E-2</v>
      </c>
      <c r="R48" s="101">
        <f t="shared" si="51"/>
        <v>6.8695952130202145E-2</v>
      </c>
      <c r="S48" s="101">
        <f t="shared" si="51"/>
        <v>6.9677639832364899E-2</v>
      </c>
      <c r="T48" s="101">
        <f t="shared" si="51"/>
        <v>7.0673356173984472E-2</v>
      </c>
      <c r="U48" s="101">
        <f t="shared" si="51"/>
        <v>7.1683301628922946E-2</v>
      </c>
      <c r="V48" s="101">
        <f t="shared" si="51"/>
        <v>7.2707679535879699E-2</v>
      </c>
      <c r="W48" s="101">
        <f t="shared" si="51"/>
        <v>7.3746696139330825E-2</v>
      </c>
      <c r="X48" s="101">
        <f t="shared" si="51"/>
        <v>7.4800560631053711E-2</v>
      </c>
      <c r="Y48" s="101">
        <f t="shared" si="51"/>
        <v>7.5869485192244873E-2</v>
      </c>
      <c r="Z48" s="101">
        <f t="shared" si="51"/>
        <v>7.6953685036239769E-2</v>
      </c>
      <c r="AA48" s="101">
        <f t="shared" si="51"/>
        <v>7.805337845184307E-2</v>
      </c>
      <c r="AB48" s="101">
        <f t="shared" si="51"/>
        <v>7.91687868472781E-2</v>
      </c>
      <c r="AC48" s="101">
        <f t="shared" si="51"/>
        <v>8.0300134794764347E-2</v>
      </c>
      <c r="AD48" s="101">
        <f t="shared" si="51"/>
        <v>8.1447650075732042E-2</v>
      </c>
      <c r="AE48" s="101">
        <f t="shared" si="51"/>
        <v>8.2611563726682796E-2</v>
      </c>
      <c r="AF48" s="101">
        <f t="shared" si="51"/>
        <v>8.3792110085705668E-2</v>
      </c>
      <c r="AG48" s="101">
        <f t="shared" si="51"/>
        <v>8.4989526839657908E-2</v>
      </c>
      <c r="AH48" s="101">
        <f t="shared" si="51"/>
        <v>8.6204055072019975E-2</v>
      </c>
      <c r="AJ48" s="101">
        <f t="shared" ref="AJ48:BN48" si="52">AJ25</f>
        <v>5.631954887218045E-2</v>
      </c>
      <c r="AK48" s="101">
        <f t="shared" si="52"/>
        <v>5.7124373709812576E-2</v>
      </c>
      <c r="AL48" s="101">
        <f t="shared" si="52"/>
        <v>5.7940699758520439E-2</v>
      </c>
      <c r="AM48" s="101">
        <f t="shared" si="52"/>
        <v>5.8768691374385056E-2</v>
      </c>
      <c r="AN48" s="101">
        <f t="shared" si="52"/>
        <v>5.9608515262189764E-2</v>
      </c>
      <c r="AO48" s="101">
        <f t="shared" si="52"/>
        <v>6.0460340508983974E-2</v>
      </c>
      <c r="AP48" s="101">
        <f t="shared" si="52"/>
        <v>6.1324338618126535E-2</v>
      </c>
      <c r="AQ48" s="101">
        <f t="shared" si="52"/>
        <v>6.2200683543815569E-2</v>
      </c>
      <c r="AR48" s="101">
        <f t="shared" si="52"/>
        <v>6.3089551726111789E-2</v>
      </c>
      <c r="AS48" s="101">
        <f t="shared" si="52"/>
        <v>6.3991122126462296E-2</v>
      </c>
      <c r="AT48" s="101">
        <f t="shared" si="52"/>
        <v>6.4905576263731973E-2</v>
      </c>
      <c r="AU48" s="101">
        <f t="shared" si="52"/>
        <v>6.5833098250749886E-2</v>
      </c>
      <c r="AV48" s="101">
        <f t="shared" si="52"/>
        <v>6.6773874831377852E-2</v>
      </c>
      <c r="AW48" s="101">
        <f t="shared" si="52"/>
        <v>6.7728095418108744E-2</v>
      </c>
      <c r="AX48" s="101">
        <f t="shared" si="52"/>
        <v>6.8695952130202145E-2</v>
      </c>
      <c r="AY48" s="101">
        <f t="shared" si="52"/>
        <v>6.9677639832364899E-2</v>
      </c>
      <c r="AZ48" s="101">
        <f t="shared" si="52"/>
        <v>7.0673356173984472E-2</v>
      </c>
      <c r="BA48" s="101">
        <f t="shared" si="52"/>
        <v>7.1683301628922946E-2</v>
      </c>
      <c r="BB48" s="101">
        <f t="shared" si="52"/>
        <v>7.2707679535879699E-2</v>
      </c>
      <c r="BC48" s="101">
        <f t="shared" si="52"/>
        <v>7.3746696139330825E-2</v>
      </c>
      <c r="BD48" s="101">
        <f t="shared" si="52"/>
        <v>7.4800560631053711E-2</v>
      </c>
      <c r="BE48" s="101">
        <f t="shared" si="52"/>
        <v>7.5869485192244873E-2</v>
      </c>
      <c r="BF48" s="101">
        <f t="shared" si="52"/>
        <v>7.6953685036239769E-2</v>
      </c>
      <c r="BG48" s="101">
        <f t="shared" si="52"/>
        <v>7.805337845184307E-2</v>
      </c>
      <c r="BH48" s="101">
        <f t="shared" si="52"/>
        <v>7.91687868472781E-2</v>
      </c>
      <c r="BI48" s="101">
        <f t="shared" si="52"/>
        <v>8.0300134794764347E-2</v>
      </c>
      <c r="BJ48" s="101">
        <f t="shared" si="52"/>
        <v>8.1447650075732042E-2</v>
      </c>
      <c r="BK48" s="101">
        <f t="shared" si="52"/>
        <v>8.2611563726682796E-2</v>
      </c>
      <c r="BL48" s="101">
        <f t="shared" si="52"/>
        <v>8.3792110085705668E-2</v>
      </c>
      <c r="BM48" s="101">
        <f t="shared" si="52"/>
        <v>8.4989526839657908E-2</v>
      </c>
      <c r="BN48" s="101">
        <f t="shared" si="52"/>
        <v>8.6204055072019975E-2</v>
      </c>
    </row>
    <row r="49" spans="1:66" outlineLevel="1">
      <c r="A49"/>
      <c r="B49" t="s">
        <v>217</v>
      </c>
      <c r="C49" s="54" t="s">
        <v>153</v>
      </c>
      <c r="D49" s="44">
        <f>'Butadiene Recycling HC'!C73</f>
        <v>0</v>
      </c>
      <c r="E49" s="44">
        <f>'Butadiene Recycling HC'!D73</f>
        <v>0</v>
      </c>
      <c r="F49" s="44">
        <f>'Butadiene Recycling HC'!E73</f>
        <v>0</v>
      </c>
      <c r="G49" s="44">
        <f>'Butadiene Recycling HC'!F73</f>
        <v>0</v>
      </c>
      <c r="H49" s="44">
        <f>'Butadiene Recycling HC'!G73</f>
        <v>0</v>
      </c>
      <c r="I49" s="44">
        <f>'Butadiene Recycling HC'!H73</f>
        <v>0</v>
      </c>
      <c r="J49" s="44">
        <f>'Butadiene Recycling HC'!I73</f>
        <v>0</v>
      </c>
      <c r="K49" s="44">
        <f>'Butadiene Recycling HC'!J73</f>
        <v>0</v>
      </c>
      <c r="L49" s="44">
        <f>'Butadiene Recycling HC'!K73</f>
        <v>0</v>
      </c>
      <c r="M49" s="44">
        <f>'Butadiene Recycling HC'!L73</f>
        <v>0</v>
      </c>
      <c r="N49" s="44">
        <f>'Butadiene Recycling HC'!M73</f>
        <v>0</v>
      </c>
      <c r="O49" s="44">
        <f>'Butadiene Recycling HC'!N73</f>
        <v>0</v>
      </c>
      <c r="P49" s="44">
        <f>'Butadiene Recycling HC'!O73</f>
        <v>0</v>
      </c>
      <c r="Q49" s="44">
        <f>'Butadiene Recycling HC'!P73</f>
        <v>0</v>
      </c>
      <c r="R49" s="44">
        <f>'Butadiene Recycling HC'!Q73</f>
        <v>0</v>
      </c>
      <c r="S49" s="44">
        <f>'Butadiene Recycling HC'!R73</f>
        <v>0</v>
      </c>
      <c r="T49" s="44">
        <f>'Butadiene Recycling HC'!S73</f>
        <v>0</v>
      </c>
      <c r="U49" s="44">
        <f>'Butadiene Recycling HC'!T73</f>
        <v>0</v>
      </c>
      <c r="V49" s="44">
        <f>'Butadiene Recycling HC'!U73</f>
        <v>0</v>
      </c>
      <c r="W49" s="44">
        <f>'Butadiene Recycling HC'!V73</f>
        <v>0</v>
      </c>
      <c r="X49" s="44">
        <f>'Butadiene Recycling HC'!W73</f>
        <v>0</v>
      </c>
      <c r="Y49" s="44">
        <f>'Butadiene Recycling HC'!X73</f>
        <v>0</v>
      </c>
      <c r="Z49" s="44">
        <f>'Butadiene Recycling HC'!Y73</f>
        <v>0</v>
      </c>
      <c r="AA49" s="44">
        <f>'Butadiene Recycling HC'!Z73</f>
        <v>0</v>
      </c>
      <c r="AB49" s="44">
        <f>'Butadiene Recycling HC'!AA73</f>
        <v>0</v>
      </c>
      <c r="AC49" s="44">
        <f>'Butadiene Recycling HC'!AB73</f>
        <v>0</v>
      </c>
      <c r="AD49" s="44">
        <f>'Butadiene Recycling HC'!AC73</f>
        <v>0</v>
      </c>
      <c r="AE49" s="44">
        <f>'Butadiene Recycling HC'!AD73</f>
        <v>0</v>
      </c>
      <c r="AF49" s="44">
        <f>'Butadiene Recycling HC'!AE73</f>
        <v>0</v>
      </c>
      <c r="AG49" s="44">
        <f>'Butadiene Recycling HC'!AF73</f>
        <v>0</v>
      </c>
      <c r="AH49" s="44">
        <f>'Butadiene Recycling HC'!AG73</f>
        <v>0</v>
      </c>
      <c r="AJ49" s="44">
        <f>D49</f>
        <v>0</v>
      </c>
      <c r="AK49" s="44">
        <f t="shared" ref="AK49:AZ50" si="53">E49</f>
        <v>0</v>
      </c>
      <c r="AL49" s="44">
        <f t="shared" si="53"/>
        <v>0</v>
      </c>
      <c r="AM49" s="44">
        <f t="shared" si="53"/>
        <v>0</v>
      </c>
      <c r="AN49" s="44">
        <f t="shared" si="53"/>
        <v>0</v>
      </c>
      <c r="AO49" s="44">
        <f t="shared" si="53"/>
        <v>0</v>
      </c>
      <c r="AP49" s="44">
        <f t="shared" si="53"/>
        <v>0</v>
      </c>
      <c r="AQ49" s="44">
        <f t="shared" si="53"/>
        <v>0</v>
      </c>
      <c r="AR49" s="44">
        <f t="shared" si="53"/>
        <v>0</v>
      </c>
      <c r="AS49" s="44">
        <f t="shared" si="53"/>
        <v>0</v>
      </c>
      <c r="AT49" s="44">
        <f t="shared" si="53"/>
        <v>0</v>
      </c>
      <c r="AU49" s="44">
        <f t="shared" si="53"/>
        <v>0</v>
      </c>
      <c r="AV49" s="44">
        <f t="shared" si="53"/>
        <v>0</v>
      </c>
      <c r="AW49" s="44">
        <f t="shared" si="53"/>
        <v>0</v>
      </c>
      <c r="AX49" s="44">
        <f t="shared" si="53"/>
        <v>0</v>
      </c>
      <c r="AY49" s="44">
        <f t="shared" si="53"/>
        <v>0</v>
      </c>
      <c r="AZ49" s="44">
        <f t="shared" si="53"/>
        <v>0</v>
      </c>
      <c r="BA49" s="44">
        <f t="shared" ref="BA49:BN50" si="54">U49</f>
        <v>0</v>
      </c>
      <c r="BB49" s="44">
        <f t="shared" si="54"/>
        <v>0</v>
      </c>
      <c r="BC49" s="44">
        <f t="shared" si="54"/>
        <v>0</v>
      </c>
      <c r="BD49" s="44">
        <f t="shared" si="54"/>
        <v>0</v>
      </c>
      <c r="BE49" s="44">
        <f t="shared" si="54"/>
        <v>0</v>
      </c>
      <c r="BF49" s="44">
        <f t="shared" si="54"/>
        <v>0</v>
      </c>
      <c r="BG49" s="44">
        <f t="shared" si="54"/>
        <v>0</v>
      </c>
      <c r="BH49" s="44">
        <f t="shared" si="54"/>
        <v>0</v>
      </c>
      <c r="BI49" s="44">
        <f t="shared" si="54"/>
        <v>0</v>
      </c>
      <c r="BJ49" s="44">
        <f t="shared" si="54"/>
        <v>0</v>
      </c>
      <c r="BK49" s="44">
        <f t="shared" si="54"/>
        <v>0</v>
      </c>
      <c r="BL49" s="44">
        <f t="shared" si="54"/>
        <v>0</v>
      </c>
      <c r="BM49" s="44">
        <f t="shared" si="54"/>
        <v>0</v>
      </c>
      <c r="BN49" s="44">
        <f t="shared" si="54"/>
        <v>0</v>
      </c>
    </row>
    <row r="50" spans="1:66" outlineLevel="1">
      <c r="A50"/>
      <c r="B50" s="181" t="s">
        <v>218</v>
      </c>
      <c r="C50" s="54" t="s">
        <v>153</v>
      </c>
      <c r="D50" s="44">
        <f>'Butadiene Recycling HC'!C112</f>
        <v>0</v>
      </c>
      <c r="E50" s="44">
        <f>'Butadiene Recycling HC'!D112</f>
        <v>0</v>
      </c>
      <c r="F50" s="44">
        <f>'Butadiene Recycling HC'!E112</f>
        <v>0</v>
      </c>
      <c r="G50" s="44">
        <f>'Butadiene Recycling HC'!F112</f>
        <v>0</v>
      </c>
      <c r="H50" s="44">
        <f>'Butadiene Recycling HC'!G112</f>
        <v>0</v>
      </c>
      <c r="I50" s="44">
        <f>'Butadiene Recycling HC'!H112</f>
        <v>0</v>
      </c>
      <c r="J50" s="44">
        <f>'Butadiene Recycling HC'!I112</f>
        <v>0</v>
      </c>
      <c r="K50" s="44">
        <f>'Butadiene Recycling HC'!J112</f>
        <v>0</v>
      </c>
      <c r="L50" s="44">
        <f>'Butadiene Recycling HC'!K112</f>
        <v>0</v>
      </c>
      <c r="M50" s="44">
        <f>'Butadiene Recycling HC'!L112</f>
        <v>0</v>
      </c>
      <c r="N50" s="44">
        <f>'Butadiene Recycling HC'!M112</f>
        <v>0</v>
      </c>
      <c r="O50" s="44">
        <f>'Butadiene Recycling HC'!N112</f>
        <v>0</v>
      </c>
      <c r="P50" s="44">
        <f>'Butadiene Recycling HC'!O112</f>
        <v>0</v>
      </c>
      <c r="Q50" s="44">
        <f>'Butadiene Recycling HC'!P112</f>
        <v>0</v>
      </c>
      <c r="R50" s="44">
        <f>'Butadiene Recycling HC'!Q112</f>
        <v>0</v>
      </c>
      <c r="S50" s="44">
        <f>'Butadiene Recycling HC'!R112</f>
        <v>0</v>
      </c>
      <c r="T50" s="44">
        <f>'Butadiene Recycling HC'!S112</f>
        <v>0</v>
      </c>
      <c r="U50" s="44">
        <f>'Butadiene Recycling HC'!T112</f>
        <v>0</v>
      </c>
      <c r="V50" s="44">
        <f>'Butadiene Recycling HC'!U112</f>
        <v>0</v>
      </c>
      <c r="W50" s="44">
        <f>'Butadiene Recycling HC'!V112</f>
        <v>0</v>
      </c>
      <c r="X50" s="44">
        <f>'Butadiene Recycling HC'!W112</f>
        <v>0</v>
      </c>
      <c r="Y50" s="44">
        <f>'Butadiene Recycling HC'!X112</f>
        <v>0</v>
      </c>
      <c r="Z50" s="44">
        <f>'Butadiene Recycling HC'!Y112</f>
        <v>0</v>
      </c>
      <c r="AA50" s="44">
        <f>'Butadiene Recycling HC'!Z112</f>
        <v>0</v>
      </c>
      <c r="AB50" s="44">
        <f>'Butadiene Recycling HC'!AA112</f>
        <v>0</v>
      </c>
      <c r="AC50" s="44">
        <f>'Butadiene Recycling HC'!AB112</f>
        <v>0</v>
      </c>
      <c r="AD50" s="44">
        <f>'Butadiene Recycling HC'!AC112</f>
        <v>0</v>
      </c>
      <c r="AE50" s="44">
        <f>'Butadiene Recycling HC'!AD112</f>
        <v>0</v>
      </c>
      <c r="AF50" s="44">
        <f>'Butadiene Recycling HC'!AE112</f>
        <v>0</v>
      </c>
      <c r="AG50" s="44">
        <f>'Butadiene Recycling HC'!AF112</f>
        <v>0</v>
      </c>
      <c r="AH50" s="44">
        <f>'Butadiene Recycling HC'!AG112</f>
        <v>0</v>
      </c>
      <c r="AJ50" s="44">
        <f>D50</f>
        <v>0</v>
      </c>
      <c r="AK50" s="44">
        <f t="shared" si="53"/>
        <v>0</v>
      </c>
      <c r="AL50" s="44">
        <f t="shared" si="53"/>
        <v>0</v>
      </c>
      <c r="AM50" s="44">
        <f t="shared" si="53"/>
        <v>0</v>
      </c>
      <c r="AN50" s="44">
        <f t="shared" si="53"/>
        <v>0</v>
      </c>
      <c r="AO50" s="44">
        <f t="shared" si="53"/>
        <v>0</v>
      </c>
      <c r="AP50" s="44">
        <f t="shared" si="53"/>
        <v>0</v>
      </c>
      <c r="AQ50" s="44">
        <f t="shared" si="53"/>
        <v>0</v>
      </c>
      <c r="AR50" s="44">
        <f t="shared" si="53"/>
        <v>0</v>
      </c>
      <c r="AS50" s="44">
        <f t="shared" si="53"/>
        <v>0</v>
      </c>
      <c r="AT50" s="44">
        <f t="shared" si="53"/>
        <v>0</v>
      </c>
      <c r="AU50" s="44">
        <f t="shared" si="53"/>
        <v>0</v>
      </c>
      <c r="AV50" s="44">
        <f t="shared" si="53"/>
        <v>0</v>
      </c>
      <c r="AW50" s="44">
        <f t="shared" si="53"/>
        <v>0</v>
      </c>
      <c r="AX50" s="44">
        <f t="shared" si="53"/>
        <v>0</v>
      </c>
      <c r="AY50" s="44">
        <f t="shared" si="53"/>
        <v>0</v>
      </c>
      <c r="AZ50" s="44">
        <f t="shared" si="53"/>
        <v>0</v>
      </c>
      <c r="BA50" s="44">
        <f t="shared" si="54"/>
        <v>0</v>
      </c>
      <c r="BB50" s="44">
        <f t="shared" si="54"/>
        <v>0</v>
      </c>
      <c r="BC50" s="44">
        <f t="shared" si="54"/>
        <v>0</v>
      </c>
      <c r="BD50" s="44">
        <f t="shared" si="54"/>
        <v>0</v>
      </c>
      <c r="BE50" s="44">
        <f t="shared" si="54"/>
        <v>0</v>
      </c>
      <c r="BF50" s="44">
        <f t="shared" si="54"/>
        <v>0</v>
      </c>
      <c r="BG50" s="44">
        <f t="shared" si="54"/>
        <v>0</v>
      </c>
      <c r="BH50" s="44">
        <f t="shared" si="54"/>
        <v>0</v>
      </c>
      <c r="BI50" s="44">
        <f t="shared" si="54"/>
        <v>0</v>
      </c>
      <c r="BJ50" s="44">
        <f t="shared" si="54"/>
        <v>0</v>
      </c>
      <c r="BK50" s="44">
        <f t="shared" si="54"/>
        <v>0</v>
      </c>
      <c r="BL50" s="44">
        <f t="shared" si="54"/>
        <v>0</v>
      </c>
      <c r="BM50" s="44">
        <f t="shared" si="54"/>
        <v>0</v>
      </c>
      <c r="BN50" s="44">
        <f t="shared" si="54"/>
        <v>0</v>
      </c>
    </row>
    <row r="51" spans="1:66" outlineLevel="1">
      <c r="A51" s="62"/>
      <c r="B51" s="62" t="s">
        <v>219</v>
      </c>
      <c r="C51" s="63" t="s">
        <v>153</v>
      </c>
      <c r="D51" s="64">
        <f>D48-D49-D50</f>
        <v>5.631954887218045E-2</v>
      </c>
      <c r="E51" s="64">
        <f t="shared" ref="E51:AG51" si="55">E48-E49-E50</f>
        <v>5.7124373709812576E-2</v>
      </c>
      <c r="F51" s="64">
        <f t="shared" si="55"/>
        <v>5.7940699758520439E-2</v>
      </c>
      <c r="G51" s="64">
        <f t="shared" si="55"/>
        <v>5.8768691374385056E-2</v>
      </c>
      <c r="H51" s="64">
        <f t="shared" si="55"/>
        <v>5.9608515262189764E-2</v>
      </c>
      <c r="I51" s="64">
        <f t="shared" si="55"/>
        <v>6.0460340508983974E-2</v>
      </c>
      <c r="J51" s="64">
        <f t="shared" si="55"/>
        <v>6.1324338618126535E-2</v>
      </c>
      <c r="K51" s="64">
        <f t="shared" si="55"/>
        <v>6.2200683543815569E-2</v>
      </c>
      <c r="L51" s="64">
        <f t="shared" si="55"/>
        <v>6.3089551726111789E-2</v>
      </c>
      <c r="M51" s="64">
        <f t="shared" si="55"/>
        <v>6.3991122126462296E-2</v>
      </c>
      <c r="N51" s="64">
        <f t="shared" si="55"/>
        <v>6.4905576263731973E-2</v>
      </c>
      <c r="O51" s="64">
        <f t="shared" si="55"/>
        <v>6.5833098250749886E-2</v>
      </c>
      <c r="P51" s="64">
        <f t="shared" si="55"/>
        <v>6.6773874831377852E-2</v>
      </c>
      <c r="Q51" s="64">
        <f t="shared" si="55"/>
        <v>6.7728095418108744E-2</v>
      </c>
      <c r="R51" s="64">
        <f t="shared" si="55"/>
        <v>6.8695952130202145E-2</v>
      </c>
      <c r="S51" s="64">
        <f t="shared" si="55"/>
        <v>6.9677639832364899E-2</v>
      </c>
      <c r="T51" s="64">
        <f t="shared" si="55"/>
        <v>7.0673356173984472E-2</v>
      </c>
      <c r="U51" s="64">
        <f t="shared" si="55"/>
        <v>7.1683301628922946E-2</v>
      </c>
      <c r="V51" s="64">
        <f t="shared" si="55"/>
        <v>7.2707679535879699E-2</v>
      </c>
      <c r="W51" s="64">
        <f t="shared" si="55"/>
        <v>7.3746696139330825E-2</v>
      </c>
      <c r="X51" s="64">
        <f t="shared" si="55"/>
        <v>7.4800560631053711E-2</v>
      </c>
      <c r="Y51" s="64">
        <f t="shared" si="55"/>
        <v>7.5869485192244873E-2</v>
      </c>
      <c r="Z51" s="64">
        <f t="shared" si="55"/>
        <v>7.6953685036239769E-2</v>
      </c>
      <c r="AA51" s="64">
        <f t="shared" si="55"/>
        <v>7.805337845184307E-2</v>
      </c>
      <c r="AB51" s="64">
        <f t="shared" si="55"/>
        <v>7.91687868472781E-2</v>
      </c>
      <c r="AC51" s="64">
        <f t="shared" si="55"/>
        <v>8.0300134794764347E-2</v>
      </c>
      <c r="AD51" s="64">
        <f t="shared" si="55"/>
        <v>8.1447650075732042E-2</v>
      </c>
      <c r="AE51" s="64">
        <f t="shared" si="55"/>
        <v>8.2611563726682796E-2</v>
      </c>
      <c r="AF51" s="64">
        <f t="shared" si="55"/>
        <v>8.3792110085705668E-2</v>
      </c>
      <c r="AG51" s="64">
        <f t="shared" si="55"/>
        <v>8.4989526839657908E-2</v>
      </c>
      <c r="AH51" s="64">
        <f>AH48-AH49-AH50</f>
        <v>8.6204055072019975E-2</v>
      </c>
      <c r="AJ51" s="64">
        <f>AJ48-AJ49-AJ50</f>
        <v>5.631954887218045E-2</v>
      </c>
      <c r="AK51" s="64">
        <f t="shared" ref="AK51:BM51" si="56">AK48-AK49-AK50</f>
        <v>5.7124373709812576E-2</v>
      </c>
      <c r="AL51" s="64">
        <f t="shared" si="56"/>
        <v>5.7940699758520439E-2</v>
      </c>
      <c r="AM51" s="64">
        <f t="shared" si="56"/>
        <v>5.8768691374385056E-2</v>
      </c>
      <c r="AN51" s="64">
        <f t="shared" si="56"/>
        <v>5.9608515262189764E-2</v>
      </c>
      <c r="AO51" s="64">
        <f t="shared" si="56"/>
        <v>6.0460340508983974E-2</v>
      </c>
      <c r="AP51" s="64">
        <f t="shared" si="56"/>
        <v>6.1324338618126535E-2</v>
      </c>
      <c r="AQ51" s="64">
        <f t="shared" si="56"/>
        <v>6.2200683543815569E-2</v>
      </c>
      <c r="AR51" s="64">
        <f t="shared" si="56"/>
        <v>6.3089551726111789E-2</v>
      </c>
      <c r="AS51" s="64">
        <f t="shared" si="56"/>
        <v>6.3991122126462296E-2</v>
      </c>
      <c r="AT51" s="64">
        <f t="shared" si="56"/>
        <v>6.4905576263731973E-2</v>
      </c>
      <c r="AU51" s="64">
        <f t="shared" si="56"/>
        <v>6.5833098250749886E-2</v>
      </c>
      <c r="AV51" s="64">
        <f t="shared" si="56"/>
        <v>6.6773874831377852E-2</v>
      </c>
      <c r="AW51" s="64">
        <f t="shared" si="56"/>
        <v>6.7728095418108744E-2</v>
      </c>
      <c r="AX51" s="64">
        <f t="shared" si="56"/>
        <v>6.8695952130202145E-2</v>
      </c>
      <c r="AY51" s="64">
        <f t="shared" si="56"/>
        <v>6.9677639832364899E-2</v>
      </c>
      <c r="AZ51" s="64">
        <f t="shared" si="56"/>
        <v>7.0673356173984472E-2</v>
      </c>
      <c r="BA51" s="64">
        <f t="shared" si="56"/>
        <v>7.1683301628922946E-2</v>
      </c>
      <c r="BB51" s="64">
        <f t="shared" si="56"/>
        <v>7.2707679535879699E-2</v>
      </c>
      <c r="BC51" s="64">
        <f t="shared" si="56"/>
        <v>7.3746696139330825E-2</v>
      </c>
      <c r="BD51" s="64">
        <f t="shared" si="56"/>
        <v>7.4800560631053711E-2</v>
      </c>
      <c r="BE51" s="64">
        <f t="shared" si="56"/>
        <v>7.5869485192244873E-2</v>
      </c>
      <c r="BF51" s="64">
        <f t="shared" si="56"/>
        <v>7.6953685036239769E-2</v>
      </c>
      <c r="BG51" s="64">
        <f t="shared" si="56"/>
        <v>7.805337845184307E-2</v>
      </c>
      <c r="BH51" s="64">
        <f t="shared" si="56"/>
        <v>7.91687868472781E-2</v>
      </c>
      <c r="BI51" s="64">
        <f t="shared" si="56"/>
        <v>8.0300134794764347E-2</v>
      </c>
      <c r="BJ51" s="64">
        <f t="shared" si="56"/>
        <v>8.1447650075732042E-2</v>
      </c>
      <c r="BK51" s="64">
        <f t="shared" si="56"/>
        <v>8.2611563726682796E-2</v>
      </c>
      <c r="BL51" s="64">
        <f t="shared" si="56"/>
        <v>8.3792110085705668E-2</v>
      </c>
      <c r="BM51" s="64">
        <f t="shared" si="56"/>
        <v>8.4989526839657908E-2</v>
      </c>
      <c r="BN51" s="64">
        <f>BN48-BN49-BN50</f>
        <v>8.6204055072019975E-2</v>
      </c>
    </row>
    <row r="52" spans="1:66" outlineLevel="1">
      <c r="A52" s="58" t="s">
        <v>220</v>
      </c>
      <c r="B52" s="58" t="s">
        <v>197</v>
      </c>
      <c r="C52" s="100" t="s">
        <v>153</v>
      </c>
      <c r="D52" s="101">
        <f t="shared" ref="D52:AH52" si="57">D17</f>
        <v>8.1566721804511282</v>
      </c>
      <c r="E52" s="101">
        <f t="shared" si="57"/>
        <v>8.2732337029546006</v>
      </c>
      <c r="F52" s="101">
        <f t="shared" si="57"/>
        <v>8.3914609278704955</v>
      </c>
      <c r="G52" s="101">
        <f t="shared" si="57"/>
        <v>8.511377658632977</v>
      </c>
      <c r="H52" s="101">
        <f t="shared" si="57"/>
        <v>8.6330080388350936</v>
      </c>
      <c r="I52" s="101">
        <f t="shared" si="57"/>
        <v>8.7563765570897623</v>
      </c>
      <c r="J52" s="101">
        <f t="shared" si="57"/>
        <v>8.8815080519602159</v>
      </c>
      <c r="K52" s="101">
        <f t="shared" si="57"/>
        <v>9.0084277169609077</v>
      </c>
      <c r="L52" s="101">
        <f t="shared" si="57"/>
        <v>9.1371611056298843</v>
      </c>
      <c r="M52" s="101">
        <f t="shared" si="57"/>
        <v>9.2677341366736332</v>
      </c>
      <c r="N52" s="101">
        <f t="shared" si="57"/>
        <v>9.4001730991854657</v>
      </c>
      <c r="O52" s="101">
        <f t="shared" si="57"/>
        <v>9.5345046579384665</v>
      </c>
      <c r="P52" s="101">
        <f t="shared" si="57"/>
        <v>9.6707558587540774</v>
      </c>
      <c r="Q52" s="101">
        <f t="shared" si="57"/>
        <v>9.8089541339474042</v>
      </c>
      <c r="R52" s="101">
        <f t="shared" si="57"/>
        <v>9.9491273078503415</v>
      </c>
      <c r="S52" s="101">
        <f t="shared" si="57"/>
        <v>10.091303602413618</v>
      </c>
      <c r="T52" s="101">
        <f t="shared" si="57"/>
        <v>10.235511642888898</v>
      </c>
      <c r="U52" s="101">
        <f t="shared" si="57"/>
        <v>10.381780463592094</v>
      </c>
      <c r="V52" s="101">
        <f t="shared" si="57"/>
        <v>10.530139513749011</v>
      </c>
      <c r="W52" s="101">
        <f t="shared" si="57"/>
        <v>10.680618663424568</v>
      </c>
      <c r="X52" s="101">
        <f t="shared" si="57"/>
        <v>10.833248209536706</v>
      </c>
      <c r="Y52" s="101">
        <f t="shared" si="57"/>
        <v>10.988058881956272</v>
      </c>
      <c r="Z52" s="101">
        <f t="shared" si="57"/>
        <v>11.145081849694051</v>
      </c>
      <c r="AA52" s="101">
        <f t="shared" si="57"/>
        <v>11.304348727176222</v>
      </c>
      <c r="AB52" s="101">
        <f t="shared" si="57"/>
        <v>11.465891580609492</v>
      </c>
      <c r="AC52" s="101">
        <f t="shared" si="57"/>
        <v>11.629742934437182</v>
      </c>
      <c r="AD52" s="101">
        <f t="shared" si="57"/>
        <v>11.795935777887587</v>
      </c>
      <c r="AE52" s="101">
        <f t="shared" si="57"/>
        <v>11.9645035716159</v>
      </c>
      <c r="AF52" s="101">
        <f t="shared" si="57"/>
        <v>12.135480254441056</v>
      </c>
      <c r="AG52" s="101">
        <f t="shared" si="57"/>
        <v>12.308900250178857</v>
      </c>
      <c r="AH52" s="101">
        <f t="shared" si="57"/>
        <v>12.484798474572724</v>
      </c>
      <c r="AJ52" s="101">
        <f t="shared" ref="AJ52:BN52" si="58">AJ17</f>
        <v>8.1566721804511282</v>
      </c>
      <c r="AK52" s="101">
        <f t="shared" si="58"/>
        <v>8.2732337029546006</v>
      </c>
      <c r="AL52" s="101">
        <f t="shared" si="58"/>
        <v>8.3914609278704955</v>
      </c>
      <c r="AM52" s="101">
        <f t="shared" si="58"/>
        <v>8.511377658632977</v>
      </c>
      <c r="AN52" s="101">
        <f t="shared" si="58"/>
        <v>8.6330080388350936</v>
      </c>
      <c r="AO52" s="101">
        <f t="shared" si="58"/>
        <v>8.7563765570897623</v>
      </c>
      <c r="AP52" s="101">
        <f t="shared" si="58"/>
        <v>8.8815080519602159</v>
      </c>
      <c r="AQ52" s="101">
        <f t="shared" si="58"/>
        <v>9.0084277169609077</v>
      </c>
      <c r="AR52" s="101">
        <f t="shared" si="58"/>
        <v>9.1371611056298843</v>
      </c>
      <c r="AS52" s="101">
        <f t="shared" si="58"/>
        <v>9.2677341366736332</v>
      </c>
      <c r="AT52" s="101">
        <f t="shared" si="58"/>
        <v>9.4001730991854657</v>
      </c>
      <c r="AU52" s="101">
        <f t="shared" si="58"/>
        <v>9.5345046579384665</v>
      </c>
      <c r="AV52" s="101">
        <f t="shared" si="58"/>
        <v>9.6707558587540774</v>
      </c>
      <c r="AW52" s="101">
        <f t="shared" si="58"/>
        <v>9.8089541339474042</v>
      </c>
      <c r="AX52" s="101">
        <f t="shared" si="58"/>
        <v>9.9491273078503415</v>
      </c>
      <c r="AY52" s="101">
        <f t="shared" si="58"/>
        <v>10.091303602413618</v>
      </c>
      <c r="AZ52" s="101">
        <f t="shared" si="58"/>
        <v>10.235511642888898</v>
      </c>
      <c r="BA52" s="101">
        <f t="shared" si="58"/>
        <v>10.381780463592094</v>
      </c>
      <c r="BB52" s="101">
        <f t="shared" si="58"/>
        <v>10.530139513749011</v>
      </c>
      <c r="BC52" s="101">
        <f t="shared" si="58"/>
        <v>10.680618663424568</v>
      </c>
      <c r="BD52" s="101">
        <f t="shared" si="58"/>
        <v>10.833248209536706</v>
      </c>
      <c r="BE52" s="101">
        <f t="shared" si="58"/>
        <v>10.988058881956272</v>
      </c>
      <c r="BF52" s="101">
        <f t="shared" si="58"/>
        <v>11.145081849694051</v>
      </c>
      <c r="BG52" s="101">
        <f t="shared" si="58"/>
        <v>11.304348727176222</v>
      </c>
      <c r="BH52" s="101">
        <f t="shared" si="58"/>
        <v>11.465891580609492</v>
      </c>
      <c r="BI52" s="101">
        <f t="shared" si="58"/>
        <v>11.629742934437182</v>
      </c>
      <c r="BJ52" s="101">
        <f t="shared" si="58"/>
        <v>11.795935777887587</v>
      </c>
      <c r="BK52" s="101">
        <f t="shared" si="58"/>
        <v>11.9645035716159</v>
      </c>
      <c r="BL52" s="101">
        <f t="shared" si="58"/>
        <v>12.135480254441056</v>
      </c>
      <c r="BM52" s="101">
        <f t="shared" si="58"/>
        <v>12.308900250178857</v>
      </c>
      <c r="BN52" s="101">
        <f t="shared" si="58"/>
        <v>12.484798474572724</v>
      </c>
    </row>
    <row r="53" spans="1:66" outlineLevel="1">
      <c r="A53"/>
      <c r="B53" t="s">
        <v>217</v>
      </c>
      <c r="C53" s="54" t="s">
        <v>153</v>
      </c>
      <c r="D53" s="44">
        <f>'Butadiene Recycling HC'!C108</f>
        <v>0</v>
      </c>
      <c r="E53" s="44">
        <f>'Butadiene Recycling HC'!D108</f>
        <v>3.4450816091453657E-3</v>
      </c>
      <c r="F53" s="44">
        <f>'Butadiene Recycling HC'!E108</f>
        <v>7.938106885249617E-3</v>
      </c>
      <c r="G53" s="44">
        <f>'Butadiene Recycling HC'!F108</f>
        <v>1.3530711596759292E-2</v>
      </c>
      <c r="H53" s="44">
        <f>'Butadiene Recycling HC'!G108</f>
        <v>2.0261864508349756E-2</v>
      </c>
      <c r="I53" s="44">
        <f>'Butadiene Recycling HC'!H108</f>
        <v>2.8156495720251532E-2</v>
      </c>
      <c r="J53" s="44">
        <f>'Butadiene Recycling HC'!I108</f>
        <v>3.7304641596000325E-2</v>
      </c>
      <c r="K53" s="44">
        <f>'Butadiene Recycling HC'!J108</f>
        <v>4.7766693371041086E-2</v>
      </c>
      <c r="L53" s="44">
        <f>'Butadiene Recycling HC'!K108</f>
        <v>5.9602417928327552E-2</v>
      </c>
      <c r="M53" s="44">
        <f>'Butadiene Recycling HC'!L108</f>
        <v>7.2870749372194565E-2</v>
      </c>
      <c r="N53" s="44">
        <f>'Butadiene Recycling HC'!M108</f>
        <v>8.7629575745957186E-2</v>
      </c>
      <c r="O53" s="44">
        <f>'Butadiene Recycling HC'!N108</f>
        <v>0.10378681159027671</v>
      </c>
      <c r="P53" s="44">
        <f>'Butadiene Recycling HC'!O108</f>
        <v>0.12132107216791799</v>
      </c>
      <c r="Q53" s="44">
        <f>'Butadiene Recycling HC'!P108</f>
        <v>0.14019613959243163</v>
      </c>
      <c r="R53" s="44">
        <f>'Butadiene Recycling HC'!Q108</f>
        <v>0.1603606946982076</v>
      </c>
      <c r="S53" s="44">
        <f>'Butadiene Recycling HC'!R108</f>
        <v>0.18174824493427949</v>
      </c>
      <c r="T53" s="44">
        <f>'Butadiene Recycling HC'!S108</f>
        <v>0.20464529696882761</v>
      </c>
      <c r="U53" s="44">
        <f>'Butadiene Recycling HC'!T108</f>
        <v>0.22908614809433434</v>
      </c>
      <c r="V53" s="44">
        <f>'Butadiene Recycling HC'!U108</f>
        <v>0.25510490115999562</v>
      </c>
      <c r="W53" s="44">
        <f>'Butadiene Recycling HC'!V108</f>
        <v>0.28273543570334558</v>
      </c>
      <c r="X53" s="44">
        <f>'Butadiene Recycling HC'!W108</f>
        <v>0.31201137874170515</v>
      </c>
      <c r="Y53" s="44">
        <f>'Butadiene Recycling HC'!X108</f>
        <v>0.34296985281476555</v>
      </c>
      <c r="Z53" s="44">
        <f>'Butadiene Recycling HC'!Y108</f>
        <v>0.37564497682906473</v>
      </c>
      <c r="AA53" s="44">
        <f>'Butadiene Recycling HC'!Z108</f>
        <v>0.41007064550381084</v>
      </c>
      <c r="AB53" s="44">
        <f>'Butadiene Recycling HC'!AA108</f>
        <v>0.44628050295413763</v>
      </c>
      <c r="AC53" s="44">
        <f>'Butadiene Recycling HC'!AB108</f>
        <v>0.48430791600423295</v>
      </c>
      <c r="AD53" s="44">
        <f>'Butadiene Recycling HC'!AC108</f>
        <v>0.52419090302671556</v>
      </c>
      <c r="AE53" s="44">
        <f>'Butadiene Recycling HC'!AD108</f>
        <v>0.56596338691152248</v>
      </c>
      <c r="AF53" s="44">
        <f>'Butadiene Recycling HC'!AE108</f>
        <v>0.60965904282435379</v>
      </c>
      <c r="AG53" s="44">
        <f>'Butadiene Recycling HC'!AF108</f>
        <v>0.65531127396043687</v>
      </c>
      <c r="AH53" s="44">
        <f>'Butadiene Recycling HC'!AG108</f>
        <v>0.70295318708186272</v>
      </c>
      <c r="AI53" s="44"/>
      <c r="AJ53" s="44">
        <f>D53</f>
        <v>0</v>
      </c>
      <c r="AK53" s="44">
        <f t="shared" ref="AK53:BN53" si="59">E53</f>
        <v>3.4450816091453657E-3</v>
      </c>
      <c r="AL53" s="44">
        <f t="shared" si="59"/>
        <v>7.938106885249617E-3</v>
      </c>
      <c r="AM53" s="44">
        <f t="shared" si="59"/>
        <v>1.3530711596759292E-2</v>
      </c>
      <c r="AN53" s="44">
        <f t="shared" si="59"/>
        <v>2.0261864508349756E-2</v>
      </c>
      <c r="AO53" s="44">
        <f t="shared" si="59"/>
        <v>2.8156495720251532E-2</v>
      </c>
      <c r="AP53" s="44">
        <f t="shared" si="59"/>
        <v>3.7304641596000325E-2</v>
      </c>
      <c r="AQ53" s="44">
        <f t="shared" si="59"/>
        <v>4.7766693371041086E-2</v>
      </c>
      <c r="AR53" s="44">
        <f t="shared" si="59"/>
        <v>5.9602417928327552E-2</v>
      </c>
      <c r="AS53" s="44">
        <f t="shared" si="59"/>
        <v>7.2870749372194565E-2</v>
      </c>
      <c r="AT53" s="44">
        <f t="shared" si="59"/>
        <v>8.7629575745957186E-2</v>
      </c>
      <c r="AU53" s="44">
        <f t="shared" si="59"/>
        <v>0.10378681159027671</v>
      </c>
      <c r="AV53" s="44">
        <f t="shared" si="59"/>
        <v>0.12132107216791799</v>
      </c>
      <c r="AW53" s="44">
        <f t="shared" si="59"/>
        <v>0.14019613959243163</v>
      </c>
      <c r="AX53" s="44">
        <f t="shared" si="59"/>
        <v>0.1603606946982076</v>
      </c>
      <c r="AY53" s="44">
        <f t="shared" si="59"/>
        <v>0.18174824493427949</v>
      </c>
      <c r="AZ53" s="44">
        <f t="shared" si="59"/>
        <v>0.20464529696882761</v>
      </c>
      <c r="BA53" s="44">
        <f t="shared" si="59"/>
        <v>0.22908614809433434</v>
      </c>
      <c r="BB53" s="44">
        <f t="shared" si="59"/>
        <v>0.25510490115999562</v>
      </c>
      <c r="BC53" s="44">
        <f t="shared" si="59"/>
        <v>0.28273543570334558</v>
      </c>
      <c r="BD53" s="44">
        <f t="shared" si="59"/>
        <v>0.31201137874170515</v>
      </c>
      <c r="BE53" s="44">
        <f t="shared" si="59"/>
        <v>0.34296985281476555</v>
      </c>
      <c r="BF53" s="44">
        <f t="shared" si="59"/>
        <v>0.37564497682906473</v>
      </c>
      <c r="BG53" s="44">
        <f t="shared" si="59"/>
        <v>0.41007064550381084</v>
      </c>
      <c r="BH53" s="44">
        <f t="shared" si="59"/>
        <v>0.44628050295413763</v>
      </c>
      <c r="BI53" s="44">
        <f t="shared" si="59"/>
        <v>0.48430791600423295</v>
      </c>
      <c r="BJ53" s="44">
        <f t="shared" si="59"/>
        <v>0.52419090302671556</v>
      </c>
      <c r="BK53" s="44">
        <f t="shared" si="59"/>
        <v>0.56596338691152248</v>
      </c>
      <c r="BL53" s="44">
        <f t="shared" si="59"/>
        <v>0.60965904282435379</v>
      </c>
      <c r="BM53" s="44">
        <f t="shared" si="59"/>
        <v>0.65531127396043687</v>
      </c>
      <c r="BN53" s="44">
        <f t="shared" si="59"/>
        <v>0.70295318708186272</v>
      </c>
    </row>
    <row r="54" spans="1:66" outlineLevel="1">
      <c r="A54" s="62"/>
      <c r="B54" s="62" t="s">
        <v>219</v>
      </c>
      <c r="C54" s="63" t="s">
        <v>153</v>
      </c>
      <c r="D54" s="64">
        <f>D52-D53</f>
        <v>8.1566721804511282</v>
      </c>
      <c r="E54" s="64">
        <f t="shared" ref="E54:AG54" si="60">E52-E53</f>
        <v>8.2697886213454552</v>
      </c>
      <c r="F54" s="64">
        <f t="shared" si="60"/>
        <v>8.3835228209852453</v>
      </c>
      <c r="G54" s="64">
        <f t="shared" si="60"/>
        <v>8.4978469470362175</v>
      </c>
      <c r="H54" s="64">
        <f t="shared" si="60"/>
        <v>8.6127461743267446</v>
      </c>
      <c r="I54" s="64">
        <f t="shared" si="60"/>
        <v>8.7282200613695107</v>
      </c>
      <c r="J54" s="64">
        <f t="shared" si="60"/>
        <v>8.8442034103642158</v>
      </c>
      <c r="K54" s="64">
        <f t="shared" si="60"/>
        <v>8.960661023589866</v>
      </c>
      <c r="L54" s="64">
        <f t="shared" si="60"/>
        <v>9.0775586877015559</v>
      </c>
      <c r="M54" s="64">
        <f t="shared" si="60"/>
        <v>9.1948633873014387</v>
      </c>
      <c r="N54" s="64">
        <f t="shared" si="60"/>
        <v>9.3125435234395084</v>
      </c>
      <c r="O54" s="64">
        <f t="shared" si="60"/>
        <v>9.4307178463481893</v>
      </c>
      <c r="P54" s="64">
        <f t="shared" si="60"/>
        <v>9.5494347865861595</v>
      </c>
      <c r="Q54" s="64">
        <f t="shared" si="60"/>
        <v>9.6687579943549729</v>
      </c>
      <c r="R54" s="64">
        <f t="shared" si="60"/>
        <v>9.7887666131521343</v>
      </c>
      <c r="S54" s="64">
        <f t="shared" si="60"/>
        <v>9.9095553574793378</v>
      </c>
      <c r="T54" s="64">
        <f t="shared" si="60"/>
        <v>10.030866345920071</v>
      </c>
      <c r="U54" s="64">
        <f t="shared" si="60"/>
        <v>10.15269431549776</v>
      </c>
      <c r="V54" s="64">
        <f t="shared" si="60"/>
        <v>10.275034612589016</v>
      </c>
      <c r="W54" s="64">
        <f t="shared" si="60"/>
        <v>10.397883227721222</v>
      </c>
      <c r="X54" s="64">
        <f t="shared" si="60"/>
        <v>10.521236830795001</v>
      </c>
      <c r="Y54" s="64">
        <f t="shared" si="60"/>
        <v>10.645089029141506</v>
      </c>
      <c r="Z54" s="64">
        <f t="shared" si="60"/>
        <v>10.769436872864986</v>
      </c>
      <c r="AA54" s="64">
        <f t="shared" si="60"/>
        <v>10.894278081672411</v>
      </c>
      <c r="AB54" s="64">
        <f t="shared" si="60"/>
        <v>11.019611077655355</v>
      </c>
      <c r="AC54" s="64">
        <f t="shared" si="60"/>
        <v>11.145435018432948</v>
      </c>
      <c r="AD54" s="64">
        <f t="shared" si="60"/>
        <v>11.271744874860872</v>
      </c>
      <c r="AE54" s="64">
        <f t="shared" si="60"/>
        <v>11.398540184704377</v>
      </c>
      <c r="AF54" s="64">
        <f t="shared" si="60"/>
        <v>11.525821211616702</v>
      </c>
      <c r="AG54" s="64">
        <f t="shared" si="60"/>
        <v>11.653588976218419</v>
      </c>
      <c r="AH54" s="64">
        <f>AH52-AH53</f>
        <v>11.781845287490862</v>
      </c>
      <c r="AJ54" s="64">
        <f>AJ52-AJ53</f>
        <v>8.1566721804511282</v>
      </c>
      <c r="AK54" s="64">
        <f t="shared" ref="AK54:BN54" si="61">AK52-AK53</f>
        <v>8.2697886213454552</v>
      </c>
      <c r="AL54" s="64">
        <f t="shared" si="61"/>
        <v>8.3835228209852453</v>
      </c>
      <c r="AM54" s="64">
        <f t="shared" si="61"/>
        <v>8.4978469470362175</v>
      </c>
      <c r="AN54" s="64">
        <f t="shared" si="61"/>
        <v>8.6127461743267446</v>
      </c>
      <c r="AO54" s="64">
        <f t="shared" si="61"/>
        <v>8.7282200613695107</v>
      </c>
      <c r="AP54" s="64">
        <f t="shared" si="61"/>
        <v>8.8442034103642158</v>
      </c>
      <c r="AQ54" s="64">
        <f t="shared" si="61"/>
        <v>8.960661023589866</v>
      </c>
      <c r="AR54" s="64">
        <f t="shared" si="61"/>
        <v>9.0775586877015559</v>
      </c>
      <c r="AS54" s="64">
        <f t="shared" si="61"/>
        <v>9.1948633873014387</v>
      </c>
      <c r="AT54" s="64">
        <f t="shared" si="61"/>
        <v>9.3125435234395084</v>
      </c>
      <c r="AU54" s="64">
        <f t="shared" si="61"/>
        <v>9.4307178463481893</v>
      </c>
      <c r="AV54" s="64">
        <f t="shared" si="61"/>
        <v>9.5494347865861595</v>
      </c>
      <c r="AW54" s="64">
        <f t="shared" si="61"/>
        <v>9.6687579943549729</v>
      </c>
      <c r="AX54" s="64">
        <f t="shared" si="61"/>
        <v>9.7887666131521343</v>
      </c>
      <c r="AY54" s="64">
        <f t="shared" si="61"/>
        <v>9.9095553574793378</v>
      </c>
      <c r="AZ54" s="64">
        <f t="shared" si="61"/>
        <v>10.030866345920071</v>
      </c>
      <c r="BA54" s="64">
        <f t="shared" si="61"/>
        <v>10.15269431549776</v>
      </c>
      <c r="BB54" s="64">
        <f t="shared" si="61"/>
        <v>10.275034612589016</v>
      </c>
      <c r="BC54" s="64">
        <f t="shared" si="61"/>
        <v>10.397883227721222</v>
      </c>
      <c r="BD54" s="64">
        <f t="shared" si="61"/>
        <v>10.521236830795001</v>
      </c>
      <c r="BE54" s="64">
        <f t="shared" si="61"/>
        <v>10.645089029141506</v>
      </c>
      <c r="BF54" s="64">
        <f t="shared" si="61"/>
        <v>10.769436872864986</v>
      </c>
      <c r="BG54" s="64">
        <f t="shared" si="61"/>
        <v>10.894278081672411</v>
      </c>
      <c r="BH54" s="64">
        <f t="shared" si="61"/>
        <v>11.019611077655355</v>
      </c>
      <c r="BI54" s="64">
        <f t="shared" si="61"/>
        <v>11.145435018432948</v>
      </c>
      <c r="BJ54" s="64">
        <f t="shared" si="61"/>
        <v>11.271744874860872</v>
      </c>
      <c r="BK54" s="64">
        <f t="shared" si="61"/>
        <v>11.398540184704377</v>
      </c>
      <c r="BL54" s="64">
        <f t="shared" si="61"/>
        <v>11.525821211616702</v>
      </c>
      <c r="BM54" s="64">
        <f t="shared" si="61"/>
        <v>11.653588976218419</v>
      </c>
      <c r="BN54" s="64">
        <f t="shared" si="61"/>
        <v>11.781845287490862</v>
      </c>
    </row>
    <row r="55" spans="1:66" outlineLevel="1">
      <c r="A55" s="58" t="s">
        <v>221</v>
      </c>
      <c r="B55" s="58" t="s">
        <v>197</v>
      </c>
      <c r="C55" s="54" t="s">
        <v>153</v>
      </c>
      <c r="D55" s="66">
        <f t="shared" ref="D55:AH55" si="62">D35</f>
        <v>0.15963789473684212</v>
      </c>
      <c r="E55" s="66">
        <f t="shared" si="62"/>
        <v>0.16191917264627823</v>
      </c>
      <c r="F55" s="66">
        <f t="shared" si="62"/>
        <v>0.16423305076576258</v>
      </c>
      <c r="G55" s="66">
        <f t="shared" si="62"/>
        <v>0.16657999496299628</v>
      </c>
      <c r="H55" s="66">
        <f t="shared" si="62"/>
        <v>0.16896047776308271</v>
      </c>
      <c r="I55" s="66">
        <f t="shared" si="62"/>
        <v>0.17137497844366414</v>
      </c>
      <c r="J55" s="66">
        <f t="shared" si="62"/>
        <v>0.17382398313141761</v>
      </c>
      <c r="K55" s="66">
        <f t="shared" si="62"/>
        <v>0.17630798489992994</v>
      </c>
      <c r="L55" s="66">
        <f t="shared" si="62"/>
        <v>0.17882748386897129</v>
      </c>
      <c r="M55" s="66">
        <f t="shared" si="62"/>
        <v>0.18138298730518754</v>
      </c>
      <c r="N55" s="66">
        <f t="shared" si="62"/>
        <v>0.18397500972423136</v>
      </c>
      <c r="O55" s="66">
        <f t="shared" si="62"/>
        <v>0.18660407299435305</v>
      </c>
      <c r="P55" s="66">
        <f t="shared" si="62"/>
        <v>0.1892707064414714</v>
      </c>
      <c r="Q55" s="66">
        <f t="shared" si="62"/>
        <v>0.19197544695574634</v>
      </c>
      <c r="R55" s="66">
        <f t="shared" si="62"/>
        <v>0.19471883909967441</v>
      </c>
      <c r="S55" s="66">
        <f t="shared" si="62"/>
        <v>0.19750143521772892</v>
      </c>
      <c r="T55" s="66">
        <f t="shared" si="62"/>
        <v>0.20032379554756702</v>
      </c>
      <c r="U55" s="66">
        <f t="shared" si="62"/>
        <v>0.20318648833282582</v>
      </c>
      <c r="V55" s="66">
        <f t="shared" si="62"/>
        <v>0.20609008993753053</v>
      </c>
      <c r="W55" s="66">
        <f t="shared" si="62"/>
        <v>0.20903518496213741</v>
      </c>
      <c r="X55" s="66">
        <f t="shared" si="62"/>
        <v>0.21202236636123514</v>
      </c>
      <c r="Y55" s="66">
        <f t="shared" si="62"/>
        <v>0.21505223556292807</v>
      </c>
      <c r="Z55" s="66">
        <f t="shared" si="62"/>
        <v>0.21812540258992555</v>
      </c>
      <c r="AA55" s="66">
        <f t="shared" si="62"/>
        <v>0.22124248618236167</v>
      </c>
      <c r="AB55" s="66">
        <f t="shared" si="62"/>
        <v>0.22440411392237011</v>
      </c>
      <c r="AC55" s="66">
        <f t="shared" si="62"/>
        <v>0.2276109223604392</v>
      </c>
      <c r="AD55" s="66">
        <f t="shared" si="62"/>
        <v>0.23086355714357265</v>
      </c>
      <c r="AE55" s="66">
        <f t="shared" si="62"/>
        <v>0.23416267314528177</v>
      </c>
      <c r="AF55" s="66">
        <f t="shared" si="62"/>
        <v>0.23750893459743533</v>
      </c>
      <c r="AG55" s="66">
        <f t="shared" si="62"/>
        <v>0.24090301522399343</v>
      </c>
      <c r="AH55" s="66">
        <f t="shared" si="62"/>
        <v>0.24434559837665271</v>
      </c>
      <c r="AJ55" s="66">
        <f t="shared" ref="AJ55:BN55" si="63">AJ35</f>
        <v>0.15963789473684212</v>
      </c>
      <c r="AK55" s="66">
        <f t="shared" si="63"/>
        <v>0.16191917264627823</v>
      </c>
      <c r="AL55" s="66">
        <f t="shared" si="63"/>
        <v>0.16423305076576258</v>
      </c>
      <c r="AM55" s="66">
        <f t="shared" si="63"/>
        <v>0.16657999496299628</v>
      </c>
      <c r="AN55" s="66">
        <f t="shared" si="63"/>
        <v>0.16896047776308271</v>
      </c>
      <c r="AO55" s="66">
        <f t="shared" si="63"/>
        <v>0.17137497844366414</v>
      </c>
      <c r="AP55" s="66">
        <f t="shared" si="63"/>
        <v>0.17382398313141761</v>
      </c>
      <c r="AQ55" s="66">
        <f t="shared" si="63"/>
        <v>0.17630798489992994</v>
      </c>
      <c r="AR55" s="66">
        <f t="shared" si="63"/>
        <v>0.17882748386897129</v>
      </c>
      <c r="AS55" s="66">
        <f t="shared" si="63"/>
        <v>0.18138298730518754</v>
      </c>
      <c r="AT55" s="66">
        <f t="shared" si="63"/>
        <v>0.18397500972423136</v>
      </c>
      <c r="AU55" s="66">
        <f t="shared" si="63"/>
        <v>0.18660407299435305</v>
      </c>
      <c r="AV55" s="66">
        <f t="shared" si="63"/>
        <v>0.1892707064414714</v>
      </c>
      <c r="AW55" s="66">
        <f t="shared" si="63"/>
        <v>0.19197544695574634</v>
      </c>
      <c r="AX55" s="66">
        <f t="shared" si="63"/>
        <v>0.19471883909967441</v>
      </c>
      <c r="AY55" s="66">
        <f t="shared" si="63"/>
        <v>0.19750143521772892</v>
      </c>
      <c r="AZ55" s="66">
        <f t="shared" si="63"/>
        <v>0.20032379554756702</v>
      </c>
      <c r="BA55" s="66">
        <f t="shared" si="63"/>
        <v>0.20318648833282582</v>
      </c>
      <c r="BB55" s="66">
        <f t="shared" si="63"/>
        <v>0.20609008993753053</v>
      </c>
      <c r="BC55" s="66">
        <f t="shared" si="63"/>
        <v>0.20903518496213741</v>
      </c>
      <c r="BD55" s="66">
        <f t="shared" si="63"/>
        <v>0.21202236636123514</v>
      </c>
      <c r="BE55" s="66">
        <f t="shared" si="63"/>
        <v>0.21505223556292807</v>
      </c>
      <c r="BF55" s="66">
        <f t="shared" si="63"/>
        <v>0.21812540258992555</v>
      </c>
      <c r="BG55" s="66">
        <f t="shared" si="63"/>
        <v>0.22124248618236167</v>
      </c>
      <c r="BH55" s="66">
        <f t="shared" si="63"/>
        <v>0.22440411392237011</v>
      </c>
      <c r="BI55" s="66">
        <f t="shared" si="63"/>
        <v>0.2276109223604392</v>
      </c>
      <c r="BJ55" s="66">
        <f t="shared" si="63"/>
        <v>0.23086355714357265</v>
      </c>
      <c r="BK55" s="66">
        <f t="shared" si="63"/>
        <v>0.23416267314528177</v>
      </c>
      <c r="BL55" s="66">
        <f t="shared" si="63"/>
        <v>0.23750893459743533</v>
      </c>
      <c r="BM55" s="66">
        <f t="shared" si="63"/>
        <v>0.24090301522399343</v>
      </c>
      <c r="BN55" s="66">
        <f t="shared" si="63"/>
        <v>0.24434559837665271</v>
      </c>
    </row>
    <row r="56" spans="1:66" outlineLevel="1">
      <c r="A56"/>
      <c r="B56" t="s">
        <v>217</v>
      </c>
      <c r="C56" s="54" t="s">
        <v>153</v>
      </c>
      <c r="D56" s="44">
        <f>'Butadiene Recycling HC'!C137</f>
        <v>0</v>
      </c>
      <c r="E56" s="44">
        <f>'Butadiene Recycling HC'!D137</f>
        <v>0</v>
      </c>
      <c r="F56" s="44">
        <f>'Butadiene Recycling HC'!E137</f>
        <v>0</v>
      </c>
      <c r="G56" s="44">
        <f>'Butadiene Recycling HC'!F137</f>
        <v>0</v>
      </c>
      <c r="H56" s="44">
        <f>'Butadiene Recycling HC'!G137</f>
        <v>0</v>
      </c>
      <c r="I56" s="44">
        <f>'Butadiene Recycling HC'!H137</f>
        <v>0</v>
      </c>
      <c r="J56" s="44">
        <f>'Butadiene Recycling HC'!I137</f>
        <v>0</v>
      </c>
      <c r="K56" s="44">
        <f>'Butadiene Recycling HC'!J137</f>
        <v>0</v>
      </c>
      <c r="L56" s="44">
        <f>'Butadiene Recycling HC'!K137</f>
        <v>0</v>
      </c>
      <c r="M56" s="44">
        <f>'Butadiene Recycling HC'!L137</f>
        <v>0</v>
      </c>
      <c r="N56" s="44">
        <f>'Butadiene Recycling HC'!M137</f>
        <v>0</v>
      </c>
      <c r="O56" s="44">
        <f>'Butadiene Recycling HC'!N137</f>
        <v>0</v>
      </c>
      <c r="P56" s="44">
        <f>'Butadiene Recycling HC'!O137</f>
        <v>0</v>
      </c>
      <c r="Q56" s="44">
        <f>'Butadiene Recycling HC'!P137</f>
        <v>0</v>
      </c>
      <c r="R56" s="44">
        <f>'Butadiene Recycling HC'!Q137</f>
        <v>0</v>
      </c>
      <c r="S56" s="44">
        <f>'Butadiene Recycling HC'!R137</f>
        <v>0</v>
      </c>
      <c r="T56" s="44">
        <f>'Butadiene Recycling HC'!S137</f>
        <v>0</v>
      </c>
      <c r="U56" s="44">
        <f>'Butadiene Recycling HC'!T137</f>
        <v>0</v>
      </c>
      <c r="V56" s="44">
        <f>'Butadiene Recycling HC'!U137</f>
        <v>0</v>
      </c>
      <c r="W56" s="44">
        <f>'Butadiene Recycling HC'!V137</f>
        <v>0</v>
      </c>
      <c r="X56" s="44">
        <f>'Butadiene Recycling HC'!W137</f>
        <v>0</v>
      </c>
      <c r="Y56" s="44">
        <f>'Butadiene Recycling HC'!X137</f>
        <v>0</v>
      </c>
      <c r="Z56" s="44">
        <f>'Butadiene Recycling HC'!Y137</f>
        <v>0</v>
      </c>
      <c r="AA56" s="44">
        <f>'Butadiene Recycling HC'!Z137</f>
        <v>0</v>
      </c>
      <c r="AB56" s="44">
        <f>'Butadiene Recycling HC'!AA137</f>
        <v>0</v>
      </c>
      <c r="AC56" s="44">
        <f>'Butadiene Recycling HC'!AB137</f>
        <v>0</v>
      </c>
      <c r="AD56" s="44">
        <f>'Butadiene Recycling HC'!AC137</f>
        <v>0</v>
      </c>
      <c r="AE56" s="44">
        <f>'Butadiene Recycling HC'!AD137</f>
        <v>0</v>
      </c>
      <c r="AF56" s="44">
        <f>'Butadiene Recycling HC'!AE137</f>
        <v>0</v>
      </c>
      <c r="AG56" s="44">
        <f>'Butadiene Recycling HC'!AF137</f>
        <v>0</v>
      </c>
      <c r="AH56" s="44">
        <f>'Butadiene Recycling HC'!AG137</f>
        <v>0</v>
      </c>
      <c r="AJ56" s="44">
        <f>D56</f>
        <v>0</v>
      </c>
      <c r="AK56" s="44">
        <f>E56</f>
        <v>0</v>
      </c>
      <c r="AL56" s="44">
        <f>F56</f>
        <v>0</v>
      </c>
      <c r="AM56" s="44">
        <f t="shared" ref="AM56:BB57" si="64">G56</f>
        <v>0</v>
      </c>
      <c r="AN56" s="44">
        <f t="shared" si="64"/>
        <v>0</v>
      </c>
      <c r="AO56" s="44">
        <f t="shared" si="64"/>
        <v>0</v>
      </c>
      <c r="AP56" s="44">
        <f t="shared" si="64"/>
        <v>0</v>
      </c>
      <c r="AQ56" s="44">
        <f t="shared" si="64"/>
        <v>0</v>
      </c>
      <c r="AR56" s="44">
        <f t="shared" si="64"/>
        <v>0</v>
      </c>
      <c r="AS56" s="44">
        <f t="shared" si="64"/>
        <v>0</v>
      </c>
      <c r="AT56" s="44">
        <f t="shared" si="64"/>
        <v>0</v>
      </c>
      <c r="AU56" s="44">
        <f t="shared" si="64"/>
        <v>0</v>
      </c>
      <c r="AV56" s="44">
        <f t="shared" si="64"/>
        <v>0</v>
      </c>
      <c r="AW56" s="44">
        <f t="shared" si="64"/>
        <v>0</v>
      </c>
      <c r="AX56" s="44">
        <f t="shared" si="64"/>
        <v>0</v>
      </c>
      <c r="AY56" s="44">
        <f t="shared" si="64"/>
        <v>0</v>
      </c>
      <c r="AZ56" s="44">
        <f t="shared" si="64"/>
        <v>0</v>
      </c>
      <c r="BA56" s="44">
        <f t="shared" si="64"/>
        <v>0</v>
      </c>
      <c r="BB56" s="44">
        <f t="shared" si="64"/>
        <v>0</v>
      </c>
      <c r="BC56" s="44">
        <f t="shared" ref="BC56:BN57" si="65">W56</f>
        <v>0</v>
      </c>
      <c r="BD56" s="44">
        <f t="shared" si="65"/>
        <v>0</v>
      </c>
      <c r="BE56" s="44">
        <f t="shared" si="65"/>
        <v>0</v>
      </c>
      <c r="BF56" s="44">
        <f t="shared" si="65"/>
        <v>0</v>
      </c>
      <c r="BG56" s="44">
        <f t="shared" si="65"/>
        <v>0</v>
      </c>
      <c r="BH56" s="44">
        <f t="shared" si="65"/>
        <v>0</v>
      </c>
      <c r="BI56" s="44">
        <f t="shared" si="65"/>
        <v>0</v>
      </c>
      <c r="BJ56" s="44">
        <f t="shared" si="65"/>
        <v>0</v>
      </c>
      <c r="BK56" s="44">
        <f t="shared" si="65"/>
        <v>0</v>
      </c>
      <c r="BL56" s="44">
        <f t="shared" si="65"/>
        <v>0</v>
      </c>
      <c r="BM56" s="44">
        <f t="shared" si="65"/>
        <v>0</v>
      </c>
      <c r="BN56" s="44">
        <f t="shared" si="65"/>
        <v>0</v>
      </c>
    </row>
    <row r="57" spans="1:66" outlineLevel="1">
      <c r="A57"/>
      <c r="B57" t="s">
        <v>222</v>
      </c>
      <c r="C57" s="54" t="s">
        <v>153</v>
      </c>
      <c r="D57" s="44">
        <f>'Butadiene Recycling HC'!C75</f>
        <v>0</v>
      </c>
      <c r="E57" s="44">
        <f>'Butadiene Recycling HC'!D75</f>
        <v>0</v>
      </c>
      <c r="F57" s="44">
        <f>'Butadiene Recycling HC'!E75</f>
        <v>0</v>
      </c>
      <c r="G57" s="44">
        <f>'Butadiene Recycling HC'!F75</f>
        <v>0</v>
      </c>
      <c r="H57" s="44">
        <f>'Butadiene Recycling HC'!G75</f>
        <v>0</v>
      </c>
      <c r="I57" s="44">
        <f>'Butadiene Recycling HC'!H75</f>
        <v>0</v>
      </c>
      <c r="J57" s="44">
        <f>'Butadiene Recycling HC'!I75</f>
        <v>0</v>
      </c>
      <c r="K57" s="44">
        <f>'Butadiene Recycling HC'!J75</f>
        <v>0</v>
      </c>
      <c r="L57" s="44">
        <f>'Butadiene Recycling HC'!K75</f>
        <v>0</v>
      </c>
      <c r="M57" s="44">
        <f>'Butadiene Recycling HC'!L75</f>
        <v>0</v>
      </c>
      <c r="N57" s="44">
        <f>'Butadiene Recycling HC'!M75</f>
        <v>0</v>
      </c>
      <c r="O57" s="44">
        <f>'Butadiene Recycling HC'!N75</f>
        <v>0</v>
      </c>
      <c r="P57" s="44">
        <f>'Butadiene Recycling HC'!O75</f>
        <v>0</v>
      </c>
      <c r="Q57" s="44">
        <f>'Butadiene Recycling HC'!P75</f>
        <v>0</v>
      </c>
      <c r="R57" s="44">
        <f>'Butadiene Recycling HC'!Q75</f>
        <v>0</v>
      </c>
      <c r="S57" s="44">
        <f>'Butadiene Recycling HC'!R75</f>
        <v>0</v>
      </c>
      <c r="T57" s="44">
        <f>'Butadiene Recycling HC'!S75</f>
        <v>0</v>
      </c>
      <c r="U57" s="44">
        <f>'Butadiene Recycling HC'!T75</f>
        <v>0</v>
      </c>
      <c r="V57" s="44">
        <f>'Butadiene Recycling HC'!U75</f>
        <v>0</v>
      </c>
      <c r="W57" s="44">
        <f>'Butadiene Recycling HC'!V75</f>
        <v>0</v>
      </c>
      <c r="X57" s="44">
        <f>'Butadiene Recycling HC'!W75</f>
        <v>0</v>
      </c>
      <c r="Y57" s="44">
        <f>'Butadiene Recycling HC'!X75</f>
        <v>0</v>
      </c>
      <c r="Z57" s="44">
        <f>'Butadiene Recycling HC'!Y75</f>
        <v>0</v>
      </c>
      <c r="AA57" s="44">
        <f>'Butadiene Recycling HC'!Z75</f>
        <v>0</v>
      </c>
      <c r="AB57" s="44">
        <f>'Butadiene Recycling HC'!AA75</f>
        <v>0</v>
      </c>
      <c r="AC57" s="44">
        <f>'Butadiene Recycling HC'!AB75</f>
        <v>0</v>
      </c>
      <c r="AD57" s="44">
        <f>'Butadiene Recycling HC'!AC75</f>
        <v>0</v>
      </c>
      <c r="AE57" s="44">
        <f>'Butadiene Recycling HC'!AD75</f>
        <v>0</v>
      </c>
      <c r="AF57" s="44">
        <f>'Butadiene Recycling HC'!AE75</f>
        <v>0</v>
      </c>
      <c r="AG57" s="44">
        <f>'Butadiene Recycling HC'!AF75</f>
        <v>0</v>
      </c>
      <c r="AH57" s="44">
        <f>'Butadiene Recycling HC'!AG75</f>
        <v>0</v>
      </c>
      <c r="AJ57" s="44">
        <f>D57</f>
        <v>0</v>
      </c>
      <c r="AK57" s="44">
        <f t="shared" ref="AK57:AZ57" si="66">E57</f>
        <v>0</v>
      </c>
      <c r="AL57" s="44">
        <f t="shared" si="66"/>
        <v>0</v>
      </c>
      <c r="AM57" s="44">
        <f t="shared" si="66"/>
        <v>0</v>
      </c>
      <c r="AN57" s="44">
        <f t="shared" si="66"/>
        <v>0</v>
      </c>
      <c r="AO57" s="44">
        <f t="shared" si="66"/>
        <v>0</v>
      </c>
      <c r="AP57" s="44">
        <f t="shared" si="66"/>
        <v>0</v>
      </c>
      <c r="AQ57" s="44">
        <f t="shared" si="66"/>
        <v>0</v>
      </c>
      <c r="AR57" s="44">
        <f t="shared" si="66"/>
        <v>0</v>
      </c>
      <c r="AS57" s="44">
        <f t="shared" si="66"/>
        <v>0</v>
      </c>
      <c r="AT57" s="44">
        <f t="shared" si="66"/>
        <v>0</v>
      </c>
      <c r="AU57" s="44">
        <f t="shared" si="66"/>
        <v>0</v>
      </c>
      <c r="AV57" s="44">
        <f t="shared" si="66"/>
        <v>0</v>
      </c>
      <c r="AW57" s="44">
        <f t="shared" si="66"/>
        <v>0</v>
      </c>
      <c r="AX57" s="44">
        <f t="shared" si="66"/>
        <v>0</v>
      </c>
      <c r="AY57" s="44">
        <f t="shared" si="66"/>
        <v>0</v>
      </c>
      <c r="AZ57" s="44">
        <f t="shared" si="66"/>
        <v>0</v>
      </c>
      <c r="BA57" s="44">
        <f t="shared" si="64"/>
        <v>0</v>
      </c>
      <c r="BB57" s="44">
        <f t="shared" si="64"/>
        <v>0</v>
      </c>
      <c r="BC57" s="44">
        <f t="shared" si="65"/>
        <v>0</v>
      </c>
      <c r="BD57" s="44">
        <f t="shared" si="65"/>
        <v>0</v>
      </c>
      <c r="BE57" s="44">
        <f t="shared" si="65"/>
        <v>0</v>
      </c>
      <c r="BF57" s="44">
        <f t="shared" si="65"/>
        <v>0</v>
      </c>
      <c r="BG57" s="44">
        <f t="shared" si="65"/>
        <v>0</v>
      </c>
      <c r="BH57" s="44">
        <f t="shared" si="65"/>
        <v>0</v>
      </c>
      <c r="BI57" s="44">
        <f t="shared" si="65"/>
        <v>0</v>
      </c>
      <c r="BJ57" s="44">
        <f t="shared" si="65"/>
        <v>0</v>
      </c>
      <c r="BK57" s="44">
        <f t="shared" si="65"/>
        <v>0</v>
      </c>
      <c r="BL57" s="44">
        <f t="shared" si="65"/>
        <v>0</v>
      </c>
      <c r="BM57" s="44">
        <f t="shared" si="65"/>
        <v>0</v>
      </c>
      <c r="BN57" s="43">
        <f t="shared" si="65"/>
        <v>0</v>
      </c>
    </row>
    <row r="58" spans="1:66" outlineLevel="1">
      <c r="A58" s="62"/>
      <c r="B58" s="62" t="s">
        <v>219</v>
      </c>
      <c r="C58" s="54" t="s">
        <v>153</v>
      </c>
      <c r="D58" s="64">
        <f>IF(D55-D56-D57&lt;0,0,D55-D56-D57)</f>
        <v>0.15963789473684212</v>
      </c>
      <c r="E58" s="64">
        <f t="shared" ref="E58:AG58" si="67">IF(E55-E56-E57&lt;0,0,E55-E56-E57)</f>
        <v>0.16191917264627823</v>
      </c>
      <c r="F58" s="64">
        <f t="shared" si="67"/>
        <v>0.16423305076576258</v>
      </c>
      <c r="G58" s="64">
        <f t="shared" si="67"/>
        <v>0.16657999496299628</v>
      </c>
      <c r="H58" s="64">
        <f t="shared" si="67"/>
        <v>0.16896047776308271</v>
      </c>
      <c r="I58" s="64">
        <f t="shared" si="67"/>
        <v>0.17137497844366414</v>
      </c>
      <c r="J58" s="64">
        <f t="shared" si="67"/>
        <v>0.17382398313141761</v>
      </c>
      <c r="K58" s="64">
        <f t="shared" si="67"/>
        <v>0.17630798489992994</v>
      </c>
      <c r="L58" s="64">
        <f t="shared" si="67"/>
        <v>0.17882748386897129</v>
      </c>
      <c r="M58" s="64">
        <f t="shared" si="67"/>
        <v>0.18138298730518754</v>
      </c>
      <c r="N58" s="64">
        <f t="shared" si="67"/>
        <v>0.18397500972423136</v>
      </c>
      <c r="O58" s="64">
        <f t="shared" si="67"/>
        <v>0.18660407299435305</v>
      </c>
      <c r="P58" s="64">
        <f t="shared" si="67"/>
        <v>0.1892707064414714</v>
      </c>
      <c r="Q58" s="64">
        <f t="shared" si="67"/>
        <v>0.19197544695574634</v>
      </c>
      <c r="R58" s="64">
        <f t="shared" si="67"/>
        <v>0.19471883909967441</v>
      </c>
      <c r="S58" s="64">
        <f t="shared" si="67"/>
        <v>0.19750143521772892</v>
      </c>
      <c r="T58" s="64">
        <f t="shared" si="67"/>
        <v>0.20032379554756702</v>
      </c>
      <c r="U58" s="64">
        <f t="shared" si="67"/>
        <v>0.20318648833282582</v>
      </c>
      <c r="V58" s="64">
        <f t="shared" si="67"/>
        <v>0.20609008993753053</v>
      </c>
      <c r="W58" s="64">
        <f t="shared" si="67"/>
        <v>0.20903518496213741</v>
      </c>
      <c r="X58" s="64">
        <f t="shared" si="67"/>
        <v>0.21202236636123514</v>
      </c>
      <c r="Y58" s="64">
        <f t="shared" si="67"/>
        <v>0.21505223556292807</v>
      </c>
      <c r="Z58" s="64">
        <f t="shared" si="67"/>
        <v>0.21812540258992555</v>
      </c>
      <c r="AA58" s="64">
        <f t="shared" si="67"/>
        <v>0.22124248618236167</v>
      </c>
      <c r="AB58" s="64">
        <f t="shared" si="67"/>
        <v>0.22440411392237011</v>
      </c>
      <c r="AC58" s="64">
        <f t="shared" si="67"/>
        <v>0.2276109223604392</v>
      </c>
      <c r="AD58" s="64">
        <f t="shared" si="67"/>
        <v>0.23086355714357265</v>
      </c>
      <c r="AE58" s="64">
        <f t="shared" si="67"/>
        <v>0.23416267314528177</v>
      </c>
      <c r="AF58" s="64">
        <f t="shared" si="67"/>
        <v>0.23750893459743533</v>
      </c>
      <c r="AG58" s="64">
        <f t="shared" si="67"/>
        <v>0.24090301522399343</v>
      </c>
      <c r="AH58" s="581">
        <f>IF(AH55-AH56-AH57&lt;0,0,AH55-AH56-AH57)</f>
        <v>0.24434559837665271</v>
      </c>
      <c r="AI58" s="44"/>
      <c r="AJ58" s="64">
        <f>IF(AJ55-AJ56-AJ57&lt;0,0,AJ55-AJ56-AJ57)</f>
        <v>0.15963789473684212</v>
      </c>
      <c r="AK58" s="64">
        <f t="shared" ref="AK58:BN58" si="68">IF(AK55-AK56-AK57&lt;0,0,AK55-AK56-AK57)</f>
        <v>0.16191917264627823</v>
      </c>
      <c r="AL58" s="64">
        <f t="shared" si="68"/>
        <v>0.16423305076576258</v>
      </c>
      <c r="AM58" s="64">
        <f t="shared" si="68"/>
        <v>0.16657999496299628</v>
      </c>
      <c r="AN58" s="64">
        <f t="shared" si="68"/>
        <v>0.16896047776308271</v>
      </c>
      <c r="AO58" s="64">
        <f t="shared" si="68"/>
        <v>0.17137497844366414</v>
      </c>
      <c r="AP58" s="64">
        <f t="shared" si="68"/>
        <v>0.17382398313141761</v>
      </c>
      <c r="AQ58" s="64">
        <f t="shared" si="68"/>
        <v>0.17630798489992994</v>
      </c>
      <c r="AR58" s="64">
        <f t="shared" si="68"/>
        <v>0.17882748386897129</v>
      </c>
      <c r="AS58" s="64">
        <f t="shared" si="68"/>
        <v>0.18138298730518754</v>
      </c>
      <c r="AT58" s="64">
        <f t="shared" si="68"/>
        <v>0.18397500972423136</v>
      </c>
      <c r="AU58" s="64">
        <f t="shared" si="68"/>
        <v>0.18660407299435305</v>
      </c>
      <c r="AV58" s="64">
        <f t="shared" si="68"/>
        <v>0.1892707064414714</v>
      </c>
      <c r="AW58" s="64">
        <f t="shared" si="68"/>
        <v>0.19197544695574634</v>
      </c>
      <c r="AX58" s="64">
        <f t="shared" si="68"/>
        <v>0.19471883909967441</v>
      </c>
      <c r="AY58" s="64">
        <f t="shared" si="68"/>
        <v>0.19750143521772892</v>
      </c>
      <c r="AZ58" s="64">
        <f t="shared" si="68"/>
        <v>0.20032379554756702</v>
      </c>
      <c r="BA58" s="64">
        <f t="shared" si="68"/>
        <v>0.20318648833282582</v>
      </c>
      <c r="BB58" s="64">
        <f t="shared" si="68"/>
        <v>0.20609008993753053</v>
      </c>
      <c r="BC58" s="64">
        <f t="shared" si="68"/>
        <v>0.20903518496213741</v>
      </c>
      <c r="BD58" s="64">
        <f t="shared" si="68"/>
        <v>0.21202236636123514</v>
      </c>
      <c r="BE58" s="64">
        <f t="shared" si="68"/>
        <v>0.21505223556292807</v>
      </c>
      <c r="BF58" s="64">
        <f t="shared" si="68"/>
        <v>0.21812540258992555</v>
      </c>
      <c r="BG58" s="64">
        <f t="shared" si="68"/>
        <v>0.22124248618236167</v>
      </c>
      <c r="BH58" s="64">
        <f t="shared" si="68"/>
        <v>0.22440411392237011</v>
      </c>
      <c r="BI58" s="64">
        <f t="shared" si="68"/>
        <v>0.2276109223604392</v>
      </c>
      <c r="BJ58" s="64">
        <f t="shared" si="68"/>
        <v>0.23086355714357265</v>
      </c>
      <c r="BK58" s="64">
        <f t="shared" si="68"/>
        <v>0.23416267314528177</v>
      </c>
      <c r="BL58" s="64">
        <f t="shared" si="68"/>
        <v>0.23750893459743533</v>
      </c>
      <c r="BM58" s="64">
        <f t="shared" si="68"/>
        <v>0.24090301522399343</v>
      </c>
      <c r="BN58" s="64">
        <f t="shared" si="68"/>
        <v>0.24434559837665271</v>
      </c>
    </row>
    <row r="59" spans="1:66" outlineLevel="1">
      <c r="A59" s="58" t="s">
        <v>223</v>
      </c>
      <c r="B59" s="58" t="s">
        <v>197</v>
      </c>
      <c r="C59" s="100" t="s">
        <v>153</v>
      </c>
      <c r="D59" s="101">
        <f t="shared" ref="D59:AH59" si="69">D29</f>
        <v>1.8779766917293235</v>
      </c>
      <c r="E59" s="101">
        <f t="shared" si="69"/>
        <v>1.9048135950118452</v>
      </c>
      <c r="F59" s="101">
        <f t="shared" si="69"/>
        <v>1.9320340064502282</v>
      </c>
      <c r="G59" s="101">
        <f t="shared" si="69"/>
        <v>1.9596434065018882</v>
      </c>
      <c r="H59" s="101">
        <f t="shared" si="69"/>
        <v>1.9876473539417761</v>
      </c>
      <c r="I59" s="101">
        <f t="shared" si="69"/>
        <v>2.0160514869815613</v>
      </c>
      <c r="J59" s="101">
        <f t="shared" si="69"/>
        <v>2.044861524404809</v>
      </c>
      <c r="K59" s="101">
        <f t="shared" si="69"/>
        <v>2.0740832667183775</v>
      </c>
      <c r="L59" s="101">
        <f t="shared" si="69"/>
        <v>2.1037225973202722</v>
      </c>
      <c r="M59" s="101">
        <f t="shared" si="69"/>
        <v>2.133785483684187</v>
      </c>
      <c r="N59" s="101">
        <f t="shared" si="69"/>
        <v>2.1642779785609738</v>
      </c>
      <c r="O59" s="101">
        <f t="shared" si="69"/>
        <v>2.1952062211972803</v>
      </c>
      <c r="P59" s="101">
        <f t="shared" si="69"/>
        <v>2.2265764385716036</v>
      </c>
      <c r="Q59" s="101">
        <f t="shared" si="69"/>
        <v>2.2583949466480076</v>
      </c>
      <c r="R59" s="101">
        <f t="shared" si="69"/>
        <v>2.2906681516477554</v>
      </c>
      <c r="S59" s="101">
        <f t="shared" si="69"/>
        <v>2.3234025513391146</v>
      </c>
      <c r="T59" s="101">
        <f t="shared" si="69"/>
        <v>2.3566047363455933</v>
      </c>
      <c r="U59" s="101">
        <f t="shared" si="69"/>
        <v>2.3902813914728736</v>
      </c>
      <c r="V59" s="101">
        <f t="shared" si="69"/>
        <v>2.4244392970547044</v>
      </c>
      <c r="W59" s="101">
        <f t="shared" si="69"/>
        <v>2.4590853303180289</v>
      </c>
      <c r="X59" s="101">
        <f t="shared" si="69"/>
        <v>2.4942264667676204</v>
      </c>
      <c r="Y59" s="101">
        <f t="shared" si="69"/>
        <v>2.5298697815905054</v>
      </c>
      <c r="Z59" s="101">
        <f t="shared" si="69"/>
        <v>2.5660224510804546</v>
      </c>
      <c r="AA59" s="101">
        <f t="shared" si="69"/>
        <v>2.6026917540828323</v>
      </c>
      <c r="AB59" s="101">
        <f t="shared" si="69"/>
        <v>2.6398850734600918</v>
      </c>
      <c r="AC59" s="101">
        <f t="shared" si="69"/>
        <v>2.6776098975782139</v>
      </c>
      <c r="AD59" s="101">
        <f t="shared" si="69"/>
        <v>2.715873821814387</v>
      </c>
      <c r="AE59" s="101">
        <f t="shared" si="69"/>
        <v>2.7546845500862323</v>
      </c>
      <c r="AF59" s="101">
        <f t="shared" si="69"/>
        <v>2.7940498964028819</v>
      </c>
      <c r="AG59" s="101">
        <f t="shared" si="69"/>
        <v>2.8339777864382243</v>
      </c>
      <c r="AH59" s="101">
        <f t="shared" si="69"/>
        <v>2.8744762591266273</v>
      </c>
      <c r="AJ59" s="101">
        <f t="shared" ref="AJ59:BN59" si="70">AJ29</f>
        <v>1.8779766917293235</v>
      </c>
      <c r="AK59" s="101">
        <f t="shared" si="70"/>
        <v>1.9048135950118452</v>
      </c>
      <c r="AL59" s="101">
        <f t="shared" si="70"/>
        <v>1.9320340064502282</v>
      </c>
      <c r="AM59" s="101">
        <f t="shared" si="70"/>
        <v>1.9596434065018882</v>
      </c>
      <c r="AN59" s="101">
        <f t="shared" si="70"/>
        <v>1.9876473539417761</v>
      </c>
      <c r="AO59" s="101">
        <f t="shared" si="70"/>
        <v>2.0160514869815613</v>
      </c>
      <c r="AP59" s="101">
        <f t="shared" si="70"/>
        <v>2.044861524404809</v>
      </c>
      <c r="AQ59" s="101">
        <f t="shared" si="70"/>
        <v>2.0740832667183775</v>
      </c>
      <c r="AR59" s="101">
        <f t="shared" si="70"/>
        <v>2.1037225973202722</v>
      </c>
      <c r="AS59" s="101">
        <f t="shared" si="70"/>
        <v>2.133785483684187</v>
      </c>
      <c r="AT59" s="101">
        <f t="shared" si="70"/>
        <v>2.1642779785609738</v>
      </c>
      <c r="AU59" s="101">
        <f t="shared" si="70"/>
        <v>2.1952062211972803</v>
      </c>
      <c r="AV59" s="101">
        <f t="shared" si="70"/>
        <v>2.2265764385716036</v>
      </c>
      <c r="AW59" s="101">
        <f t="shared" si="70"/>
        <v>2.2583949466480076</v>
      </c>
      <c r="AX59" s="101">
        <f t="shared" si="70"/>
        <v>2.2906681516477554</v>
      </c>
      <c r="AY59" s="101">
        <f t="shared" si="70"/>
        <v>2.3234025513391146</v>
      </c>
      <c r="AZ59" s="101">
        <f t="shared" si="70"/>
        <v>2.3566047363455933</v>
      </c>
      <c r="BA59" s="101">
        <f t="shared" si="70"/>
        <v>2.3902813914728736</v>
      </c>
      <c r="BB59" s="101">
        <f t="shared" si="70"/>
        <v>2.4244392970547044</v>
      </c>
      <c r="BC59" s="101">
        <f t="shared" si="70"/>
        <v>2.4590853303180289</v>
      </c>
      <c r="BD59" s="101">
        <f t="shared" si="70"/>
        <v>2.4942264667676204</v>
      </c>
      <c r="BE59" s="101">
        <f t="shared" si="70"/>
        <v>2.5298697815905054</v>
      </c>
      <c r="BF59" s="101">
        <f t="shared" si="70"/>
        <v>2.5660224510804546</v>
      </c>
      <c r="BG59" s="101">
        <f t="shared" si="70"/>
        <v>2.6026917540828323</v>
      </c>
      <c r="BH59" s="101">
        <f t="shared" si="70"/>
        <v>2.6398850734600918</v>
      </c>
      <c r="BI59" s="101">
        <f t="shared" si="70"/>
        <v>2.6776098975782139</v>
      </c>
      <c r="BJ59" s="101">
        <f t="shared" si="70"/>
        <v>2.715873821814387</v>
      </c>
      <c r="BK59" s="101">
        <f t="shared" si="70"/>
        <v>2.7546845500862323</v>
      </c>
      <c r="BL59" s="101">
        <f t="shared" si="70"/>
        <v>2.7940498964028819</v>
      </c>
      <c r="BM59" s="101">
        <f t="shared" si="70"/>
        <v>2.8339777864382243</v>
      </c>
      <c r="BN59" s="101">
        <f t="shared" si="70"/>
        <v>2.8744762591266273</v>
      </c>
    </row>
    <row r="60" spans="1:66" outlineLevel="1">
      <c r="A60"/>
      <c r="B60" t="s">
        <v>217</v>
      </c>
      <c r="C60" s="54" t="s">
        <v>153</v>
      </c>
      <c r="D60" s="44">
        <f>'Butadiene Recycling HC'!C151</f>
        <v>0</v>
      </c>
      <c r="E60" s="44">
        <f>'Butadiene Recycling HC'!D151</f>
        <v>6.8575510127137293E-4</v>
      </c>
      <c r="F60" s="44">
        <f>'Butadiene Recycling HC'!E151</f>
        <v>1.4137798758990748E-3</v>
      </c>
      <c r="G60" s="44">
        <f>'Butadiene Recycling HC'!F151</f>
        <v>2.1803177816155017E-3</v>
      </c>
      <c r="H60" s="44">
        <f>'Butadiene Recycling HC'!G151</f>
        <v>2.9810552488453018E-3</v>
      </c>
      <c r="I60" s="44">
        <f>'Butadiene Recycling HC'!H151</f>
        <v>3.8111588287271458E-3</v>
      </c>
      <c r="J60" s="44">
        <f>'Butadiene Recycling HC'!I151</f>
        <v>4.67538696680581E-3</v>
      </c>
      <c r="K60" s="44">
        <f>'Butadiene Recycling HC'!J151</f>
        <v>5.5737262490058786E-3</v>
      </c>
      <c r="L60" s="44">
        <f>'Butadiene Recycling HC'!K151</f>
        <v>6.5060985696927774E-3</v>
      </c>
      <c r="M60" s="44">
        <f>'Butadiene Recycling HC'!L151</f>
        <v>7.4723593626091784E-3</v>
      </c>
      <c r="N60" s="44">
        <f>'Butadiene Recycling HC'!M151</f>
        <v>8.4722959688281318E-3</v>
      </c>
      <c r="O60" s="44">
        <f>'Butadiene Recycling HC'!N151</f>
        <v>9.4920255900893084E-3</v>
      </c>
      <c r="P60" s="44">
        <f>'Butadiene Recycling HC'!O151</f>
        <v>1.0526647660798702E-2</v>
      </c>
      <c r="Q60" s="44">
        <f>'Butadiene Recycling HC'!P151</f>
        <v>1.1570993579342994E-2</v>
      </c>
      <c r="R60" s="44">
        <f>'Butadiene Recycling HC'!Q151</f>
        <v>1.2619667941422514E-2</v>
      </c>
      <c r="S60" s="44">
        <f>'Butadiene Recycling HC'!R151</f>
        <v>1.3667093518410865E-2</v>
      </c>
      <c r="T60" s="44">
        <f>'Butadiene Recycling HC'!S151</f>
        <v>1.4734057644551869E-2</v>
      </c>
      <c r="U60" s="44">
        <f>'Butadiene Recycling HC'!T151</f>
        <v>1.5820536392552507E-2</v>
      </c>
      <c r="V60" s="44">
        <f>'Butadiene Recycling HC'!U151</f>
        <v>1.6926496686890214E-2</v>
      </c>
      <c r="W60" s="44">
        <f>'Butadiene Recycling HC'!V151</f>
        <v>1.8051896186725893E-2</v>
      </c>
      <c r="X60" s="44">
        <f>'Butadiene Recycling HC'!W151</f>
        <v>1.9196683173433635E-2</v>
      </c>
      <c r="Y60" s="44">
        <f>'Butadiene Recycling HC'!X151</f>
        <v>2.0361020705099583E-2</v>
      </c>
      <c r="Z60" s="44">
        <f>'Butadiene Recycling HC'!Y151</f>
        <v>2.1544877458779924E-2</v>
      </c>
      <c r="AA60" s="44">
        <f>'Butadiene Recycling HC'!Z151</f>
        <v>2.2748213782914663E-2</v>
      </c>
      <c r="AB60" s="44">
        <f>'Butadiene Recycling HC'!AA151</f>
        <v>2.3970981600412514E-2</v>
      </c>
      <c r="AC60" s="44">
        <f>'Butadiene Recycling HC'!AB151</f>
        <v>2.5213124315565019E-2</v>
      </c>
      <c r="AD60" s="44">
        <f>'Butadiene Recycling HC'!AC151</f>
        <v>2.6474827021831491E-2</v>
      </c>
      <c r="AE60" s="44">
        <f>'Butadiene Recycling HC'!AD151</f>
        <v>2.7756052501347869E-2</v>
      </c>
      <c r="AF60" s="44">
        <f>'Butadiene Recycling HC'!AE151</f>
        <v>2.9056755923110099E-2</v>
      </c>
      <c r="AG60" s="44">
        <f>'Butadiene Recycling HC'!AF151</f>
        <v>3.0376884761938429E-2</v>
      </c>
      <c r="AH60" s="44">
        <f>'Butadiene Recycling HC'!AG151</f>
        <v>3.1716378720642334E-2</v>
      </c>
      <c r="AJ60" s="44">
        <f>D60</f>
        <v>0</v>
      </c>
      <c r="AK60" s="44">
        <f>E60</f>
        <v>6.8575510127137293E-4</v>
      </c>
      <c r="AL60" s="44">
        <f t="shared" ref="AL60:BA63" si="71">F60</f>
        <v>1.4137798758990748E-3</v>
      </c>
      <c r="AM60" s="44">
        <f t="shared" si="71"/>
        <v>2.1803177816155017E-3</v>
      </c>
      <c r="AN60" s="44">
        <f t="shared" si="71"/>
        <v>2.9810552488453018E-3</v>
      </c>
      <c r="AO60" s="44">
        <f t="shared" si="71"/>
        <v>3.8111588287271458E-3</v>
      </c>
      <c r="AP60" s="44">
        <f t="shared" si="71"/>
        <v>4.67538696680581E-3</v>
      </c>
      <c r="AQ60" s="44">
        <f t="shared" si="71"/>
        <v>5.5737262490058786E-3</v>
      </c>
      <c r="AR60" s="44">
        <f t="shared" si="71"/>
        <v>6.5060985696927774E-3</v>
      </c>
      <c r="AS60" s="44">
        <f t="shared" si="71"/>
        <v>7.4723593626091784E-3</v>
      </c>
      <c r="AT60" s="44">
        <f t="shared" si="71"/>
        <v>8.4722959688281318E-3</v>
      </c>
      <c r="AU60" s="44">
        <f t="shared" si="71"/>
        <v>9.4920255900893084E-3</v>
      </c>
      <c r="AV60" s="44">
        <f t="shared" si="71"/>
        <v>1.0526647660798702E-2</v>
      </c>
      <c r="AW60" s="44">
        <f t="shared" si="71"/>
        <v>1.1570993579342994E-2</v>
      </c>
      <c r="AX60" s="44">
        <f t="shared" si="71"/>
        <v>1.2619667941422514E-2</v>
      </c>
      <c r="AY60" s="44">
        <f t="shared" si="71"/>
        <v>1.3667093518410865E-2</v>
      </c>
      <c r="AZ60" s="44">
        <f t="shared" si="71"/>
        <v>1.4734057644551869E-2</v>
      </c>
      <c r="BA60" s="44">
        <f t="shared" si="71"/>
        <v>1.5820536392552507E-2</v>
      </c>
      <c r="BB60" s="44">
        <f t="shared" ref="BB60:BN63" si="72">V60</f>
        <v>1.6926496686890214E-2</v>
      </c>
      <c r="BC60" s="44">
        <f t="shared" si="72"/>
        <v>1.8051896186725893E-2</v>
      </c>
      <c r="BD60" s="44">
        <f t="shared" si="72"/>
        <v>1.9196683173433635E-2</v>
      </c>
      <c r="BE60" s="44">
        <f t="shared" si="72"/>
        <v>2.0361020705099583E-2</v>
      </c>
      <c r="BF60" s="44">
        <f t="shared" si="72"/>
        <v>2.1544877458779924E-2</v>
      </c>
      <c r="BG60" s="44">
        <f t="shared" si="72"/>
        <v>2.2748213782914663E-2</v>
      </c>
      <c r="BH60" s="44">
        <f t="shared" si="72"/>
        <v>2.3970981600412514E-2</v>
      </c>
      <c r="BI60" s="44">
        <f t="shared" si="72"/>
        <v>2.5213124315565019E-2</v>
      </c>
      <c r="BJ60" s="44">
        <f t="shared" si="72"/>
        <v>2.6474827021831491E-2</v>
      </c>
      <c r="BK60" s="44">
        <f t="shared" si="72"/>
        <v>2.7756052501347869E-2</v>
      </c>
      <c r="BL60" s="44">
        <f t="shared" si="72"/>
        <v>2.9056755923110099E-2</v>
      </c>
      <c r="BM60" s="44">
        <f t="shared" si="72"/>
        <v>3.0376884761938429E-2</v>
      </c>
      <c r="BN60" s="44">
        <f t="shared" si="72"/>
        <v>3.1716378720642334E-2</v>
      </c>
    </row>
    <row r="61" spans="1:66" outlineLevel="1">
      <c r="A61"/>
      <c r="B61" t="s">
        <v>222</v>
      </c>
      <c r="C61" s="54" t="s">
        <v>153</v>
      </c>
      <c r="D61" s="44">
        <f>'Butadiene Recycling HC'!C81</f>
        <v>0</v>
      </c>
      <c r="E61" s="44">
        <f>'Butadiene Recycling HC'!D81</f>
        <v>0</v>
      </c>
      <c r="F61" s="44">
        <f>'Butadiene Recycling HC'!E81</f>
        <v>0</v>
      </c>
      <c r="G61" s="44">
        <f>'Butadiene Recycling HC'!F81</f>
        <v>0</v>
      </c>
      <c r="H61" s="44">
        <f>'Butadiene Recycling HC'!G81</f>
        <v>0</v>
      </c>
      <c r="I61" s="44">
        <f>'Butadiene Recycling HC'!H81</f>
        <v>0</v>
      </c>
      <c r="J61" s="44">
        <f>'Butadiene Recycling HC'!I81</f>
        <v>0</v>
      </c>
      <c r="K61" s="44">
        <f>'Butadiene Recycling HC'!J81</f>
        <v>0</v>
      </c>
      <c r="L61" s="44">
        <f>'Butadiene Recycling HC'!K81</f>
        <v>0</v>
      </c>
      <c r="M61" s="44">
        <f>'Butadiene Recycling HC'!L81</f>
        <v>0</v>
      </c>
      <c r="N61" s="44">
        <f>'Butadiene Recycling HC'!M81</f>
        <v>0</v>
      </c>
      <c r="O61" s="44">
        <f>'Butadiene Recycling HC'!N81</f>
        <v>0</v>
      </c>
      <c r="P61" s="44">
        <f>'Butadiene Recycling HC'!O81</f>
        <v>0</v>
      </c>
      <c r="Q61" s="44">
        <f>'Butadiene Recycling HC'!P81</f>
        <v>0</v>
      </c>
      <c r="R61" s="44">
        <f>'Butadiene Recycling HC'!Q81</f>
        <v>0</v>
      </c>
      <c r="S61" s="44">
        <f>'Butadiene Recycling HC'!R81</f>
        <v>0</v>
      </c>
      <c r="T61" s="44">
        <f>'Butadiene Recycling HC'!S81</f>
        <v>0</v>
      </c>
      <c r="U61" s="44">
        <f>'Butadiene Recycling HC'!T81</f>
        <v>0</v>
      </c>
      <c r="V61" s="44">
        <f>'Butadiene Recycling HC'!U81</f>
        <v>0</v>
      </c>
      <c r="W61" s="44">
        <f>'Butadiene Recycling HC'!V81</f>
        <v>0</v>
      </c>
      <c r="X61" s="44">
        <f>'Butadiene Recycling HC'!W81</f>
        <v>0</v>
      </c>
      <c r="Y61" s="44">
        <f>'Butadiene Recycling HC'!X81</f>
        <v>0</v>
      </c>
      <c r="Z61" s="44">
        <f>'Butadiene Recycling HC'!Y81</f>
        <v>0</v>
      </c>
      <c r="AA61" s="44">
        <f>'Butadiene Recycling HC'!Z81</f>
        <v>0</v>
      </c>
      <c r="AB61" s="44">
        <f>'Butadiene Recycling HC'!AA81</f>
        <v>0</v>
      </c>
      <c r="AC61" s="44">
        <f>'Butadiene Recycling HC'!AB81</f>
        <v>0</v>
      </c>
      <c r="AD61" s="44">
        <f>'Butadiene Recycling HC'!AC81</f>
        <v>0</v>
      </c>
      <c r="AE61" s="44">
        <f>'Butadiene Recycling HC'!AD81</f>
        <v>0</v>
      </c>
      <c r="AF61" s="44">
        <f>'Butadiene Recycling HC'!AE81</f>
        <v>0</v>
      </c>
      <c r="AG61" s="44">
        <f>'Butadiene Recycling HC'!AF81</f>
        <v>0</v>
      </c>
      <c r="AH61" s="44">
        <f>'Butadiene Recycling HC'!AG81</f>
        <v>0</v>
      </c>
      <c r="AJ61" s="44">
        <f t="shared" ref="AJ61:AY63" si="73">D61</f>
        <v>0</v>
      </c>
      <c r="AK61" s="44">
        <f t="shared" si="73"/>
        <v>0</v>
      </c>
      <c r="AL61" s="44">
        <f t="shared" si="73"/>
        <v>0</v>
      </c>
      <c r="AM61" s="44">
        <f t="shared" si="73"/>
        <v>0</v>
      </c>
      <c r="AN61" s="44">
        <f t="shared" si="73"/>
        <v>0</v>
      </c>
      <c r="AO61" s="44">
        <f t="shared" si="73"/>
        <v>0</v>
      </c>
      <c r="AP61" s="44">
        <f t="shared" si="73"/>
        <v>0</v>
      </c>
      <c r="AQ61" s="44">
        <f t="shared" si="73"/>
        <v>0</v>
      </c>
      <c r="AR61" s="44">
        <f t="shared" si="73"/>
        <v>0</v>
      </c>
      <c r="AS61" s="44">
        <f t="shared" si="73"/>
        <v>0</v>
      </c>
      <c r="AT61" s="44">
        <f t="shared" si="73"/>
        <v>0</v>
      </c>
      <c r="AU61" s="44">
        <f t="shared" si="73"/>
        <v>0</v>
      </c>
      <c r="AV61" s="44">
        <f t="shared" si="73"/>
        <v>0</v>
      </c>
      <c r="AW61" s="44">
        <f t="shared" si="73"/>
        <v>0</v>
      </c>
      <c r="AX61" s="44">
        <f t="shared" si="73"/>
        <v>0</v>
      </c>
      <c r="AY61" s="44">
        <f t="shared" si="73"/>
        <v>0</v>
      </c>
      <c r="AZ61" s="44">
        <f t="shared" si="71"/>
        <v>0</v>
      </c>
      <c r="BA61" s="44">
        <f t="shared" si="71"/>
        <v>0</v>
      </c>
      <c r="BB61" s="44">
        <f t="shared" si="72"/>
        <v>0</v>
      </c>
      <c r="BC61" s="44">
        <f t="shared" si="72"/>
        <v>0</v>
      </c>
      <c r="BD61" s="44">
        <f t="shared" si="72"/>
        <v>0</v>
      </c>
      <c r="BE61" s="44">
        <f t="shared" si="72"/>
        <v>0</v>
      </c>
      <c r="BF61" s="44">
        <f t="shared" si="72"/>
        <v>0</v>
      </c>
      <c r="BG61" s="44">
        <f t="shared" si="72"/>
        <v>0</v>
      </c>
      <c r="BH61" s="44">
        <f t="shared" si="72"/>
        <v>0</v>
      </c>
      <c r="BI61" s="44">
        <f t="shared" si="72"/>
        <v>0</v>
      </c>
      <c r="BJ61" s="44">
        <f t="shared" si="72"/>
        <v>0</v>
      </c>
      <c r="BK61" s="44">
        <f t="shared" si="72"/>
        <v>0</v>
      </c>
      <c r="BL61" s="44">
        <f t="shared" si="72"/>
        <v>0</v>
      </c>
      <c r="BM61" s="44">
        <f t="shared" si="72"/>
        <v>0</v>
      </c>
      <c r="BN61" s="44">
        <f t="shared" si="72"/>
        <v>0</v>
      </c>
    </row>
    <row r="62" spans="1:66" outlineLevel="1">
      <c r="A62" s="181"/>
      <c r="B62" s="181" t="s">
        <v>218</v>
      </c>
      <c r="C62" s="176" t="s">
        <v>153</v>
      </c>
      <c r="D62" s="238">
        <f>'Butadiene Recycling HC'!C110</f>
        <v>0</v>
      </c>
      <c r="E62" s="238">
        <f>'Butadiene Recycling HC'!D110</f>
        <v>4.225012498373637E-2</v>
      </c>
      <c r="F62" s="238">
        <f>'Butadiene Recycling HC'!E110</f>
        <v>8.5363867248392344E-2</v>
      </c>
      <c r="G62" s="238">
        <f>'Butadiene Recycling HC'!F110</f>
        <v>0.12903706107457963</v>
      </c>
      <c r="H62" s="238">
        <f>'Butadiene Recycling HC'!G110</f>
        <v>0.17294962698923894</v>
      </c>
      <c r="I62" s="238">
        <f>'Butadiene Recycling HC'!H110</f>
        <v>0.21676943042518537</v>
      </c>
      <c r="J62" s="238">
        <f>'Butadiene Recycling HC'!I110</f>
        <v>0.26128880011248878</v>
      </c>
      <c r="K62" s="238">
        <f>'Butadiene Recycling HC'!J110</f>
        <v>0.30644653005976108</v>
      </c>
      <c r="L62" s="238">
        <f>'Butadiene Recycling HC'!K110</f>
        <v>0.35217837916707451</v>
      </c>
      <c r="M62" s="238">
        <f>'Butadiene Recycling HC'!L110</f>
        <v>0.39841717289585488</v>
      </c>
      <c r="N62" s="238">
        <f>'Butadiene Recycling HC'!M110</f>
        <v>0.44509291715113763</v>
      </c>
      <c r="O62" s="238">
        <f>'Butadiene Recycling HC'!N110</f>
        <v>0.49105004527989926</v>
      </c>
      <c r="P62" s="238">
        <f>'Butadiene Recycling HC'!O110</f>
        <v>0.53601242991714315</v>
      </c>
      <c r="Q62" s="238">
        <f>'Butadiene Recycling HC'!P110</f>
        <v>0.5797054866925303</v>
      </c>
      <c r="R62" s="238">
        <f>'Butadiene Recycling HC'!Q110</f>
        <v>0.62185890858326076</v>
      </c>
      <c r="S62" s="238">
        <f>'Butadiene Recycling HC'!R110</f>
        <v>0.66220940277370965</v>
      </c>
      <c r="T62" s="238">
        <f>'Butadiene Recycling HC'!S110</f>
        <v>0.7022423817865947</v>
      </c>
      <c r="U62" s="238">
        <f>'Butadiene Recycling HC'!T110</f>
        <v>0.7419248396469299</v>
      </c>
      <c r="V62" s="238">
        <f>'Butadiene Recycling HC'!U110</f>
        <v>0.78122344836486601</v>
      </c>
      <c r="W62" s="238">
        <f>'Butadiene Recycling HC'!V110</f>
        <v>0.8201045779654047</v>
      </c>
      <c r="X62" s="238">
        <f>'Butadiene Recycling HC'!W110</f>
        <v>0.85853431707902261</v>
      </c>
      <c r="Y62" s="238">
        <f>'Butadiene Recycling HC'!X110</f>
        <v>0.89649128385316146</v>
      </c>
      <c r="Z62" s="238">
        <f>'Butadiene Recycling HC'!Y110</f>
        <v>0.93394232512708142</v>
      </c>
      <c r="AA62" s="238">
        <f>'Butadiene Recycling HC'!Z110</f>
        <v>0.97085403767036638</v>
      </c>
      <c r="AB62" s="238">
        <f>'Butadiene Recycling HC'!AA110</f>
        <v>1.0071927870281758</v>
      </c>
      <c r="AC62" s="238">
        <f>'Butadiene Recycling HC'!AB110</f>
        <v>1.042924726820313</v>
      </c>
      <c r="AD62" s="238">
        <f>'Butadiene Recycling HC'!AC110</f>
        <v>1.0780285129003939</v>
      </c>
      <c r="AE62" s="238">
        <f>'Butadiene Recycling HC'!AD110</f>
        <v>1.1124709284269221</v>
      </c>
      <c r="AF62" s="238">
        <f>'Butadiene Recycling HC'!AE110</f>
        <v>1.1462185670023883</v>
      </c>
      <c r="AG62" s="238">
        <f>'Butadiene Recycling HC'!AF110</f>
        <v>1.1792378503699843</v>
      </c>
      <c r="AH62" s="238">
        <f>'Butadiene Recycling HC'!AG110</f>
        <v>1.2114950464807959</v>
      </c>
      <c r="AJ62" s="44">
        <f t="shared" si="73"/>
        <v>0</v>
      </c>
      <c r="AK62" s="44">
        <f t="shared" si="73"/>
        <v>4.225012498373637E-2</v>
      </c>
      <c r="AL62" s="44">
        <f t="shared" si="73"/>
        <v>8.5363867248392344E-2</v>
      </c>
      <c r="AM62" s="44">
        <f t="shared" si="73"/>
        <v>0.12903706107457963</v>
      </c>
      <c r="AN62" s="44">
        <f t="shared" si="73"/>
        <v>0.17294962698923894</v>
      </c>
      <c r="AO62" s="44">
        <f t="shared" si="73"/>
        <v>0.21676943042518537</v>
      </c>
      <c r="AP62" s="44">
        <f t="shared" si="73"/>
        <v>0.26128880011248878</v>
      </c>
      <c r="AQ62" s="44">
        <f t="shared" si="73"/>
        <v>0.30644653005976108</v>
      </c>
      <c r="AR62" s="44">
        <f t="shared" si="73"/>
        <v>0.35217837916707451</v>
      </c>
      <c r="AS62" s="44">
        <f t="shared" si="73"/>
        <v>0.39841717289585488</v>
      </c>
      <c r="AT62" s="44">
        <f t="shared" si="73"/>
        <v>0.44509291715113763</v>
      </c>
      <c r="AU62" s="44">
        <f t="shared" si="73"/>
        <v>0.49105004527989926</v>
      </c>
      <c r="AV62" s="44">
        <f t="shared" si="73"/>
        <v>0.53601242991714315</v>
      </c>
      <c r="AW62" s="44">
        <f t="shared" si="73"/>
        <v>0.5797054866925303</v>
      </c>
      <c r="AX62" s="44">
        <f t="shared" si="73"/>
        <v>0.62185890858326076</v>
      </c>
      <c r="AY62" s="44">
        <f t="shared" si="73"/>
        <v>0.66220940277370965</v>
      </c>
      <c r="AZ62" s="44">
        <f t="shared" si="71"/>
        <v>0.7022423817865947</v>
      </c>
      <c r="BA62" s="44">
        <f t="shared" si="71"/>
        <v>0.7419248396469299</v>
      </c>
      <c r="BB62" s="44">
        <f t="shared" si="72"/>
        <v>0.78122344836486601</v>
      </c>
      <c r="BC62" s="44">
        <f t="shared" si="72"/>
        <v>0.8201045779654047</v>
      </c>
      <c r="BD62" s="44">
        <f t="shared" si="72"/>
        <v>0.85853431707902261</v>
      </c>
      <c r="BE62" s="44">
        <f t="shared" si="72"/>
        <v>0.89649128385316146</v>
      </c>
      <c r="BF62" s="44">
        <f t="shared" si="72"/>
        <v>0.93394232512708142</v>
      </c>
      <c r="BG62" s="44">
        <f t="shared" si="72"/>
        <v>0.97085403767036638</v>
      </c>
      <c r="BH62" s="44">
        <f t="shared" si="72"/>
        <v>1.0071927870281758</v>
      </c>
      <c r="BI62" s="44">
        <f t="shared" si="72"/>
        <v>1.042924726820313</v>
      </c>
      <c r="BJ62" s="44">
        <f t="shared" si="72"/>
        <v>1.0780285129003939</v>
      </c>
      <c r="BK62" s="44">
        <f t="shared" si="72"/>
        <v>1.1124709284269221</v>
      </c>
      <c r="BL62" s="44">
        <f t="shared" si="72"/>
        <v>1.1462185670023883</v>
      </c>
      <c r="BM62" s="44">
        <f t="shared" si="72"/>
        <v>1.1792378503699843</v>
      </c>
      <c r="BN62" s="44">
        <f t="shared" si="72"/>
        <v>1.2114950464807959</v>
      </c>
    </row>
    <row r="63" spans="1:66" outlineLevel="1">
      <c r="A63" s="181"/>
      <c r="B63" s="181" t="s">
        <v>224</v>
      </c>
      <c r="C63" s="176" t="s">
        <v>153</v>
      </c>
      <c r="D63" s="238">
        <f>'Butadiene Recycling HC'!C140</f>
        <v>0</v>
      </c>
      <c r="E63" s="238">
        <f>'Butadiene Recycling HC'!D140</f>
        <v>0</v>
      </c>
      <c r="F63" s="238">
        <f>'Butadiene Recycling HC'!E140</f>
        <v>0</v>
      </c>
      <c r="G63" s="238">
        <f>'Butadiene Recycling HC'!F140</f>
        <v>0</v>
      </c>
      <c r="H63" s="238">
        <f>'Butadiene Recycling HC'!G140</f>
        <v>0</v>
      </c>
      <c r="I63" s="238">
        <f>'Butadiene Recycling HC'!H140</f>
        <v>0</v>
      </c>
      <c r="J63" s="238">
        <f>'Butadiene Recycling HC'!I140</f>
        <v>0</v>
      </c>
      <c r="K63" s="238">
        <f>'Butadiene Recycling HC'!J140</f>
        <v>0</v>
      </c>
      <c r="L63" s="238">
        <f>'Butadiene Recycling HC'!K140</f>
        <v>0</v>
      </c>
      <c r="M63" s="238">
        <f>'Butadiene Recycling HC'!L140</f>
        <v>0</v>
      </c>
      <c r="N63" s="238">
        <f>'Butadiene Recycling HC'!M140</f>
        <v>0</v>
      </c>
      <c r="O63" s="238">
        <f>'Butadiene Recycling HC'!N140</f>
        <v>0</v>
      </c>
      <c r="P63" s="238">
        <f>'Butadiene Recycling HC'!O140</f>
        <v>0</v>
      </c>
      <c r="Q63" s="238">
        <f>'Butadiene Recycling HC'!P140</f>
        <v>0</v>
      </c>
      <c r="R63" s="238">
        <f>'Butadiene Recycling HC'!Q140</f>
        <v>0</v>
      </c>
      <c r="S63" s="238">
        <f>'Butadiene Recycling HC'!R140</f>
        <v>0</v>
      </c>
      <c r="T63" s="238">
        <f>'Butadiene Recycling HC'!S140</f>
        <v>0</v>
      </c>
      <c r="U63" s="238">
        <f>'Butadiene Recycling HC'!T140</f>
        <v>0</v>
      </c>
      <c r="V63" s="238">
        <f>'Butadiene Recycling HC'!U140</f>
        <v>0</v>
      </c>
      <c r="W63" s="238">
        <f>'Butadiene Recycling HC'!V140</f>
        <v>0</v>
      </c>
      <c r="X63" s="238">
        <f>'Butadiene Recycling HC'!W140</f>
        <v>0</v>
      </c>
      <c r="Y63" s="238">
        <f>'Butadiene Recycling HC'!X140</f>
        <v>0</v>
      </c>
      <c r="Z63" s="238">
        <f>'Butadiene Recycling HC'!Y140</f>
        <v>0</v>
      </c>
      <c r="AA63" s="238">
        <f>'Butadiene Recycling HC'!Z140</f>
        <v>0</v>
      </c>
      <c r="AB63" s="238">
        <f>'Butadiene Recycling HC'!AA140</f>
        <v>0</v>
      </c>
      <c r="AC63" s="238">
        <f>'Butadiene Recycling HC'!AB140</f>
        <v>0</v>
      </c>
      <c r="AD63" s="238">
        <f>'Butadiene Recycling HC'!AC140</f>
        <v>0</v>
      </c>
      <c r="AE63" s="238">
        <f>'Butadiene Recycling HC'!AD140</f>
        <v>0</v>
      </c>
      <c r="AF63" s="238">
        <f>'Butadiene Recycling HC'!AE140</f>
        <v>0</v>
      </c>
      <c r="AG63" s="238">
        <f>'Butadiene Recycling HC'!AF140</f>
        <v>0</v>
      </c>
      <c r="AH63" s="238">
        <f>'Butadiene Recycling HC'!AG140</f>
        <v>0</v>
      </c>
      <c r="AJ63" s="44">
        <f t="shared" si="73"/>
        <v>0</v>
      </c>
      <c r="AK63" s="44">
        <f t="shared" si="73"/>
        <v>0</v>
      </c>
      <c r="AL63" s="44">
        <f t="shared" si="73"/>
        <v>0</v>
      </c>
      <c r="AM63" s="44">
        <f t="shared" si="73"/>
        <v>0</v>
      </c>
      <c r="AN63" s="44">
        <f t="shared" si="73"/>
        <v>0</v>
      </c>
      <c r="AO63" s="44">
        <f t="shared" si="73"/>
        <v>0</v>
      </c>
      <c r="AP63" s="44">
        <f t="shared" si="73"/>
        <v>0</v>
      </c>
      <c r="AQ63" s="44">
        <f t="shared" si="73"/>
        <v>0</v>
      </c>
      <c r="AR63" s="44">
        <f t="shared" si="73"/>
        <v>0</v>
      </c>
      <c r="AS63" s="44">
        <f t="shared" si="73"/>
        <v>0</v>
      </c>
      <c r="AT63" s="44">
        <f t="shared" si="73"/>
        <v>0</v>
      </c>
      <c r="AU63" s="44">
        <f t="shared" si="73"/>
        <v>0</v>
      </c>
      <c r="AV63" s="44">
        <f t="shared" si="73"/>
        <v>0</v>
      </c>
      <c r="AW63" s="44">
        <f t="shared" si="73"/>
        <v>0</v>
      </c>
      <c r="AX63" s="44">
        <f t="shared" si="73"/>
        <v>0</v>
      </c>
      <c r="AY63" s="44">
        <f t="shared" si="73"/>
        <v>0</v>
      </c>
      <c r="AZ63" s="44">
        <f t="shared" si="71"/>
        <v>0</v>
      </c>
      <c r="BA63" s="44">
        <f t="shared" si="71"/>
        <v>0</v>
      </c>
      <c r="BB63" s="44">
        <f t="shared" si="72"/>
        <v>0</v>
      </c>
      <c r="BC63" s="44">
        <f t="shared" si="72"/>
        <v>0</v>
      </c>
      <c r="BD63" s="44">
        <f t="shared" si="72"/>
        <v>0</v>
      </c>
      <c r="BE63" s="44">
        <f t="shared" si="72"/>
        <v>0</v>
      </c>
      <c r="BF63" s="44">
        <f t="shared" si="72"/>
        <v>0</v>
      </c>
      <c r="BG63" s="44">
        <f t="shared" si="72"/>
        <v>0</v>
      </c>
      <c r="BH63" s="44">
        <f t="shared" si="72"/>
        <v>0</v>
      </c>
      <c r="BI63" s="44">
        <f t="shared" si="72"/>
        <v>0</v>
      </c>
      <c r="BJ63" s="44">
        <f t="shared" si="72"/>
        <v>0</v>
      </c>
      <c r="BK63" s="44">
        <f t="shared" si="72"/>
        <v>0</v>
      </c>
      <c r="BL63" s="44">
        <f t="shared" si="72"/>
        <v>0</v>
      </c>
      <c r="BM63" s="44">
        <f t="shared" si="72"/>
        <v>0</v>
      </c>
      <c r="BN63" s="44">
        <f t="shared" si="72"/>
        <v>0</v>
      </c>
    </row>
    <row r="64" spans="1:66" outlineLevel="1">
      <c r="A64" s="239"/>
      <c r="B64" s="239" t="s">
        <v>219</v>
      </c>
      <c r="C64" s="240" t="s">
        <v>153</v>
      </c>
      <c r="D64" s="241">
        <f>D59-D60-D61-D62-D63</f>
        <v>1.8779766917293235</v>
      </c>
      <c r="E64" s="241">
        <f t="shared" ref="E64:AG64" si="74">E59-E60-E61-E62-E63</f>
        <v>1.8618777149268375</v>
      </c>
      <c r="F64" s="241">
        <f t="shared" si="74"/>
        <v>1.8452563593259368</v>
      </c>
      <c r="G64" s="241">
        <f t="shared" si="74"/>
        <v>1.828426027645693</v>
      </c>
      <c r="H64" s="241">
        <f t="shared" si="74"/>
        <v>1.8117166717036917</v>
      </c>
      <c r="I64" s="241">
        <f t="shared" si="74"/>
        <v>1.7954708977276486</v>
      </c>
      <c r="J64" s="241">
        <f t="shared" si="74"/>
        <v>1.7788973373255144</v>
      </c>
      <c r="K64" s="241">
        <f t="shared" si="74"/>
        <v>1.7620630104096104</v>
      </c>
      <c r="L64" s="241">
        <f t="shared" si="74"/>
        <v>1.745038119583505</v>
      </c>
      <c r="M64" s="241">
        <f t="shared" si="74"/>
        <v>1.7278959514257228</v>
      </c>
      <c r="N64" s="241">
        <f t="shared" si="74"/>
        <v>1.7107127654410084</v>
      </c>
      <c r="O64" s="241">
        <f t="shared" si="74"/>
        <v>1.6946641503272915</v>
      </c>
      <c r="P64" s="241">
        <f t="shared" si="74"/>
        <v>1.6800373609936616</v>
      </c>
      <c r="Q64" s="241">
        <f t="shared" si="74"/>
        <v>1.667118466376134</v>
      </c>
      <c r="R64" s="241">
        <f t="shared" si="74"/>
        <v>1.6561895751230722</v>
      </c>
      <c r="S64" s="241">
        <f t="shared" si="74"/>
        <v>1.6475260550469941</v>
      </c>
      <c r="T64" s="241">
        <f t="shared" si="74"/>
        <v>1.6396282969144464</v>
      </c>
      <c r="U64" s="241">
        <f t="shared" si="74"/>
        <v>1.6325360154333914</v>
      </c>
      <c r="V64" s="241">
        <f t="shared" si="74"/>
        <v>1.6262893520029484</v>
      </c>
      <c r="W64" s="241">
        <f t="shared" si="74"/>
        <v>1.6209288561658983</v>
      </c>
      <c r="X64" s="241">
        <f t="shared" si="74"/>
        <v>1.6164954665151638</v>
      </c>
      <c r="Y64" s="241">
        <f t="shared" si="74"/>
        <v>1.6130174770322441</v>
      </c>
      <c r="Z64" s="241">
        <f t="shared" si="74"/>
        <v>1.6105352484945934</v>
      </c>
      <c r="AA64" s="241">
        <f t="shared" si="74"/>
        <v>1.6090895026295513</v>
      </c>
      <c r="AB64" s="241">
        <f t="shared" si="74"/>
        <v>1.6087213048315037</v>
      </c>
      <c r="AC64" s="241">
        <f t="shared" si="74"/>
        <v>1.609472046442336</v>
      </c>
      <c r="AD64" s="241">
        <f t="shared" si="74"/>
        <v>1.6113704818921617</v>
      </c>
      <c r="AE64" s="241">
        <f t="shared" si="74"/>
        <v>1.6144575691579623</v>
      </c>
      <c r="AF64" s="241">
        <f t="shared" si="74"/>
        <v>1.6187745734773835</v>
      </c>
      <c r="AG64" s="241">
        <f t="shared" si="74"/>
        <v>1.6243630513063017</v>
      </c>
      <c r="AH64" s="241">
        <f>AH59-AH60-AH61-AH62-AH63</f>
        <v>1.6312648339251892</v>
      </c>
      <c r="AJ64" s="241">
        <f>AJ59-AJ60-AJ61-AJ62-AJ63</f>
        <v>1.8779766917293235</v>
      </c>
      <c r="AK64" s="241">
        <f t="shared" ref="AK64:BN64" si="75">AK59-AK60-AK61-AK62-AK63</f>
        <v>1.8618777149268375</v>
      </c>
      <c r="AL64" s="241">
        <f t="shared" si="75"/>
        <v>1.8452563593259368</v>
      </c>
      <c r="AM64" s="241">
        <f t="shared" si="75"/>
        <v>1.828426027645693</v>
      </c>
      <c r="AN64" s="241">
        <f t="shared" si="75"/>
        <v>1.8117166717036917</v>
      </c>
      <c r="AO64" s="241">
        <f t="shared" si="75"/>
        <v>1.7954708977276486</v>
      </c>
      <c r="AP64" s="241">
        <f t="shared" si="75"/>
        <v>1.7788973373255144</v>
      </c>
      <c r="AQ64" s="241">
        <f t="shared" si="75"/>
        <v>1.7620630104096104</v>
      </c>
      <c r="AR64" s="241">
        <f t="shared" si="75"/>
        <v>1.745038119583505</v>
      </c>
      <c r="AS64" s="241">
        <f t="shared" si="75"/>
        <v>1.7278959514257228</v>
      </c>
      <c r="AT64" s="241">
        <f t="shared" si="75"/>
        <v>1.7107127654410084</v>
      </c>
      <c r="AU64" s="241">
        <f t="shared" si="75"/>
        <v>1.6946641503272915</v>
      </c>
      <c r="AV64" s="241">
        <f t="shared" si="75"/>
        <v>1.6800373609936616</v>
      </c>
      <c r="AW64" s="241">
        <f t="shared" si="75"/>
        <v>1.667118466376134</v>
      </c>
      <c r="AX64" s="241">
        <f t="shared" si="75"/>
        <v>1.6561895751230722</v>
      </c>
      <c r="AY64" s="241">
        <f t="shared" si="75"/>
        <v>1.6475260550469941</v>
      </c>
      <c r="AZ64" s="241">
        <f t="shared" si="75"/>
        <v>1.6396282969144464</v>
      </c>
      <c r="BA64" s="241">
        <f t="shared" si="75"/>
        <v>1.6325360154333914</v>
      </c>
      <c r="BB64" s="241">
        <f t="shared" si="75"/>
        <v>1.6262893520029484</v>
      </c>
      <c r="BC64" s="241">
        <f t="shared" si="75"/>
        <v>1.6209288561658983</v>
      </c>
      <c r="BD64" s="241">
        <f t="shared" si="75"/>
        <v>1.6164954665151638</v>
      </c>
      <c r="BE64" s="241">
        <f t="shared" si="75"/>
        <v>1.6130174770322441</v>
      </c>
      <c r="BF64" s="241">
        <f t="shared" si="75"/>
        <v>1.6105352484945934</v>
      </c>
      <c r="BG64" s="241">
        <f t="shared" si="75"/>
        <v>1.6090895026295513</v>
      </c>
      <c r="BH64" s="241">
        <f t="shared" si="75"/>
        <v>1.6087213048315037</v>
      </c>
      <c r="BI64" s="241">
        <f t="shared" si="75"/>
        <v>1.609472046442336</v>
      </c>
      <c r="BJ64" s="241">
        <f t="shared" si="75"/>
        <v>1.6113704818921617</v>
      </c>
      <c r="BK64" s="241">
        <f t="shared" si="75"/>
        <v>1.6144575691579623</v>
      </c>
      <c r="BL64" s="241">
        <f t="shared" si="75"/>
        <v>1.6187745734773835</v>
      </c>
      <c r="BM64" s="241">
        <f t="shared" si="75"/>
        <v>1.6243630513063017</v>
      </c>
      <c r="BN64" s="241">
        <f t="shared" si="75"/>
        <v>1.6312648339251892</v>
      </c>
    </row>
    <row r="65" spans="1:67" outlineLevel="1">
      <c r="A65" s="178" t="s">
        <v>225</v>
      </c>
      <c r="B65" s="242" t="s">
        <v>197</v>
      </c>
      <c r="C65" s="243" t="s">
        <v>153</v>
      </c>
      <c r="D65" s="180">
        <f t="shared" ref="D65:AH65" si="76">D39+D42</f>
        <v>4.696762105263157</v>
      </c>
      <c r="E65" s="180">
        <f t="shared" si="76"/>
        <v>4.9343161867908307</v>
      </c>
      <c r="F65" s="180">
        <f t="shared" si="76"/>
        <v>5.1796439543091317</v>
      </c>
      <c r="G65" s="180">
        <f t="shared" si="76"/>
        <v>5.4329690037576457</v>
      </c>
      <c r="H65" s="180">
        <f t="shared" si="76"/>
        <v>5.6945210169572809</v>
      </c>
      <c r="I65" s="180">
        <f t="shared" si="76"/>
        <v>5.9645359228474728</v>
      </c>
      <c r="J65" s="180">
        <f t="shared" si="76"/>
        <v>6.220149725740991</v>
      </c>
      <c r="K65" s="180">
        <f t="shared" si="76"/>
        <v>6.4835618209893084</v>
      </c>
      <c r="L65" s="180">
        <f t="shared" si="76"/>
        <v>6.754984512716991</v>
      </c>
      <c r="M65" s="180">
        <f t="shared" si="76"/>
        <v>7.0346355930682893</v>
      </c>
      <c r="N65" s="180">
        <f t="shared" si="76"/>
        <v>7.3227384803440927</v>
      </c>
      <c r="O65" s="180">
        <f t="shared" si="76"/>
        <v>7.5637706989916129</v>
      </c>
      <c r="P65" s="180">
        <f t="shared" si="76"/>
        <v>7.8111684476156942</v>
      </c>
      <c r="Q65" s="180">
        <f t="shared" si="76"/>
        <v>8.0650852546763758</v>
      </c>
      <c r="R65" s="180">
        <f t="shared" si="76"/>
        <v>8.325678182553645</v>
      </c>
      <c r="S65" s="180">
        <f t="shared" si="76"/>
        <v>8.5931079067468126</v>
      </c>
      <c r="T65" s="180">
        <f t="shared" si="76"/>
        <v>8.6623840970460328</v>
      </c>
      <c r="U65" s="180">
        <f t="shared" si="76"/>
        <v>8.732020065133371</v>
      </c>
      <c r="V65" s="180">
        <f t="shared" si="76"/>
        <v>8.8020135319797124</v>
      </c>
      <c r="W65" s="180">
        <f t="shared" si="76"/>
        <v>8.8723620986159641</v>
      </c>
      <c r="X65" s="180">
        <f t="shared" si="76"/>
        <v>8.9430632433903163</v>
      </c>
      <c r="Y65" s="180">
        <f t="shared" si="76"/>
        <v>8.9937727324921877</v>
      </c>
      <c r="Z65" s="180">
        <f t="shared" si="76"/>
        <v>9.0443686926031823</v>
      </c>
      <c r="AA65" s="180">
        <f t="shared" si="76"/>
        <v>9.0948403879250534</v>
      </c>
      <c r="AB65" s="180">
        <f t="shared" si="76"/>
        <v>9.1451768301526908</v>
      </c>
      <c r="AC65" s="180">
        <f t="shared" si="76"/>
        <v>9.1953667737883809</v>
      </c>
      <c r="AD65" s="180">
        <f t="shared" si="76"/>
        <v>9.2303307007393958</v>
      </c>
      <c r="AE65" s="180">
        <f t="shared" si="76"/>
        <v>9.2648067191019621</v>
      </c>
      <c r="AF65" s="180">
        <f t="shared" si="76"/>
        <v>9.2987777439438677</v>
      </c>
      <c r="AG65" s="180">
        <f t="shared" si="76"/>
        <v>9.3322263426310208</v>
      </c>
      <c r="AH65" s="180">
        <f t="shared" si="76"/>
        <v>9.3651347287983047</v>
      </c>
      <c r="AI65" s="180"/>
      <c r="AJ65" s="180">
        <f t="shared" ref="AJ65:BN65" si="77">AJ39+AJ42</f>
        <v>4.696762105263157</v>
      </c>
      <c r="AK65" s="180">
        <f t="shared" si="77"/>
        <v>4.9343161867908307</v>
      </c>
      <c r="AL65" s="180">
        <f t="shared" si="77"/>
        <v>5.1796439543091317</v>
      </c>
      <c r="AM65" s="180">
        <f t="shared" si="77"/>
        <v>5.4329690037576457</v>
      </c>
      <c r="AN65" s="180">
        <f t="shared" si="77"/>
        <v>5.6945210169572809</v>
      </c>
      <c r="AO65" s="180">
        <f t="shared" si="77"/>
        <v>5.9645359228474728</v>
      </c>
      <c r="AP65" s="180">
        <f t="shared" si="77"/>
        <v>6.220149725740991</v>
      </c>
      <c r="AQ65" s="180">
        <f t="shared" si="77"/>
        <v>6.4835618209893084</v>
      </c>
      <c r="AR65" s="180">
        <f t="shared" si="77"/>
        <v>6.754984512716991</v>
      </c>
      <c r="AS65" s="180">
        <f t="shared" si="77"/>
        <v>7.0346355930682893</v>
      </c>
      <c r="AT65" s="180">
        <f t="shared" si="77"/>
        <v>7.3227384803440927</v>
      </c>
      <c r="AU65" s="180">
        <f t="shared" si="77"/>
        <v>7.5637706989916129</v>
      </c>
      <c r="AV65" s="180">
        <f t="shared" si="77"/>
        <v>7.8111684476156942</v>
      </c>
      <c r="AW65" s="180">
        <f t="shared" si="77"/>
        <v>8.0650852546763758</v>
      </c>
      <c r="AX65" s="180">
        <f t="shared" si="77"/>
        <v>8.325678182553645</v>
      </c>
      <c r="AY65" s="180">
        <f t="shared" si="77"/>
        <v>8.5931079067468126</v>
      </c>
      <c r="AZ65" s="180">
        <f t="shared" si="77"/>
        <v>8.6623840970460328</v>
      </c>
      <c r="BA65" s="180">
        <f t="shared" si="77"/>
        <v>8.732020065133371</v>
      </c>
      <c r="BB65" s="180">
        <f t="shared" si="77"/>
        <v>8.8020135319797124</v>
      </c>
      <c r="BC65" s="180">
        <f t="shared" si="77"/>
        <v>8.8723620986159641</v>
      </c>
      <c r="BD65" s="180">
        <f t="shared" si="77"/>
        <v>8.9430632433903163</v>
      </c>
      <c r="BE65" s="180">
        <f t="shared" si="77"/>
        <v>8.9937727324921877</v>
      </c>
      <c r="BF65" s="180">
        <f t="shared" si="77"/>
        <v>9.0443686926031823</v>
      </c>
      <c r="BG65" s="180">
        <f t="shared" si="77"/>
        <v>9.0948403879250534</v>
      </c>
      <c r="BH65" s="180">
        <f t="shared" si="77"/>
        <v>9.1451768301526908</v>
      </c>
      <c r="BI65" s="180">
        <f t="shared" si="77"/>
        <v>9.1953667737883809</v>
      </c>
      <c r="BJ65" s="180">
        <f t="shared" si="77"/>
        <v>9.2303307007393958</v>
      </c>
      <c r="BK65" s="180">
        <f t="shared" si="77"/>
        <v>9.2648067191019621</v>
      </c>
      <c r="BL65" s="180">
        <f t="shared" si="77"/>
        <v>9.2987777439438677</v>
      </c>
      <c r="BM65" s="180">
        <f t="shared" si="77"/>
        <v>9.3322263426310208</v>
      </c>
      <c r="BN65" s="180">
        <f t="shared" si="77"/>
        <v>9.3651347287983047</v>
      </c>
    </row>
    <row r="66" spans="1:67" outlineLevel="1">
      <c r="A66" s="178"/>
      <c r="B66" s="181" t="s">
        <v>217</v>
      </c>
      <c r="C66" s="176" t="s">
        <v>153</v>
      </c>
      <c r="D66" s="238">
        <f>'Butadiene Recycling HC'!C160</f>
        <v>0</v>
      </c>
      <c r="E66" s="238">
        <f>'Butadiene Recycling HC'!D160</f>
        <v>0</v>
      </c>
      <c r="F66" s="238">
        <f>'Butadiene Recycling HC'!E160</f>
        <v>0</v>
      </c>
      <c r="G66" s="238">
        <f>'Butadiene Recycling HC'!F160</f>
        <v>0</v>
      </c>
      <c r="H66" s="238">
        <f>'Butadiene Recycling HC'!G160</f>
        <v>0</v>
      </c>
      <c r="I66" s="238">
        <f>'Butadiene Recycling HC'!H160</f>
        <v>0</v>
      </c>
      <c r="J66" s="238">
        <f>'Butadiene Recycling HC'!I160</f>
        <v>0</v>
      </c>
      <c r="K66" s="238">
        <f>'Butadiene Recycling HC'!J160</f>
        <v>0</v>
      </c>
      <c r="L66" s="238">
        <f>'Butadiene Recycling HC'!K160</f>
        <v>0</v>
      </c>
      <c r="M66" s="238">
        <f>'Butadiene Recycling HC'!L160</f>
        <v>0</v>
      </c>
      <c r="N66" s="238">
        <f>'Butadiene Recycling HC'!M160</f>
        <v>0</v>
      </c>
      <c r="O66" s="238">
        <f>'Butadiene Recycling HC'!N160</f>
        <v>0</v>
      </c>
      <c r="P66" s="238">
        <f>'Butadiene Recycling HC'!O160</f>
        <v>0</v>
      </c>
      <c r="Q66" s="238">
        <f>'Butadiene Recycling HC'!P160</f>
        <v>0</v>
      </c>
      <c r="R66" s="238">
        <f>'Butadiene Recycling HC'!Q160</f>
        <v>0</v>
      </c>
      <c r="S66" s="238">
        <f>'Butadiene Recycling HC'!R160</f>
        <v>0</v>
      </c>
      <c r="T66" s="238">
        <f>'Butadiene Recycling HC'!S160</f>
        <v>0</v>
      </c>
      <c r="U66" s="238">
        <f>'Butadiene Recycling HC'!T160</f>
        <v>0</v>
      </c>
      <c r="V66" s="238">
        <f>'Butadiene Recycling HC'!U160</f>
        <v>0</v>
      </c>
      <c r="W66" s="238">
        <f>'Butadiene Recycling HC'!V160</f>
        <v>0</v>
      </c>
      <c r="X66" s="238">
        <f>'Butadiene Recycling HC'!W160</f>
        <v>0</v>
      </c>
      <c r="Y66" s="238">
        <f>'Butadiene Recycling HC'!X160</f>
        <v>0</v>
      </c>
      <c r="Z66" s="238">
        <f>'Butadiene Recycling HC'!Y160</f>
        <v>0</v>
      </c>
      <c r="AA66" s="238">
        <f>'Butadiene Recycling HC'!Z160</f>
        <v>0</v>
      </c>
      <c r="AB66" s="238">
        <f>'Butadiene Recycling HC'!AA160</f>
        <v>0</v>
      </c>
      <c r="AC66" s="238">
        <f>'Butadiene Recycling HC'!AB160</f>
        <v>0</v>
      </c>
      <c r="AD66" s="238">
        <f>'Butadiene Recycling HC'!AC160</f>
        <v>0</v>
      </c>
      <c r="AE66" s="238">
        <f>'Butadiene Recycling HC'!AD160</f>
        <v>0</v>
      </c>
      <c r="AF66" s="238">
        <f>'Butadiene Recycling HC'!AE160</f>
        <v>0</v>
      </c>
      <c r="AG66" s="238">
        <f>'Butadiene Recycling HC'!AF160</f>
        <v>0</v>
      </c>
      <c r="AH66" s="238">
        <f>'Butadiene Recycling HC'!AG160</f>
        <v>0</v>
      </c>
      <c r="AJ66" s="238">
        <f>D66</f>
        <v>0</v>
      </c>
      <c r="AK66" s="238">
        <f t="shared" ref="AK66:AZ69" si="78">E66</f>
        <v>0</v>
      </c>
      <c r="AL66" s="238">
        <f t="shared" si="78"/>
        <v>0</v>
      </c>
      <c r="AM66" s="238">
        <f t="shared" si="78"/>
        <v>0</v>
      </c>
      <c r="AN66" s="238">
        <f t="shared" si="78"/>
        <v>0</v>
      </c>
      <c r="AO66" s="238">
        <f t="shared" si="78"/>
        <v>0</v>
      </c>
      <c r="AP66" s="238">
        <f t="shared" si="78"/>
        <v>0</v>
      </c>
      <c r="AQ66" s="238">
        <f t="shared" si="78"/>
        <v>0</v>
      </c>
      <c r="AR66" s="238">
        <f t="shared" si="78"/>
        <v>0</v>
      </c>
      <c r="AS66" s="238">
        <f t="shared" si="78"/>
        <v>0</v>
      </c>
      <c r="AT66" s="238">
        <f t="shared" si="78"/>
        <v>0</v>
      </c>
      <c r="AU66" s="238">
        <f t="shared" si="78"/>
        <v>0</v>
      </c>
      <c r="AV66" s="238">
        <f t="shared" si="78"/>
        <v>0</v>
      </c>
      <c r="AW66" s="238">
        <f t="shared" si="78"/>
        <v>0</v>
      </c>
      <c r="AX66" s="238">
        <f t="shared" si="78"/>
        <v>0</v>
      </c>
      <c r="AY66" s="238">
        <f t="shared" si="78"/>
        <v>0</v>
      </c>
      <c r="AZ66" s="238">
        <f t="shared" si="78"/>
        <v>0</v>
      </c>
      <c r="BA66" s="238">
        <f t="shared" ref="BA66:BN69" si="79">U66</f>
        <v>0</v>
      </c>
      <c r="BB66" s="238">
        <f t="shared" si="79"/>
        <v>0</v>
      </c>
      <c r="BC66" s="238">
        <f t="shared" si="79"/>
        <v>0</v>
      </c>
      <c r="BD66" s="238">
        <f t="shared" si="79"/>
        <v>0</v>
      </c>
      <c r="BE66" s="238">
        <f t="shared" si="79"/>
        <v>0</v>
      </c>
      <c r="BF66" s="238">
        <f t="shared" si="79"/>
        <v>0</v>
      </c>
      <c r="BG66" s="238">
        <f t="shared" si="79"/>
        <v>0</v>
      </c>
      <c r="BH66" s="238">
        <f t="shared" si="79"/>
        <v>0</v>
      </c>
      <c r="BI66" s="238">
        <f t="shared" si="79"/>
        <v>0</v>
      </c>
      <c r="BJ66" s="238">
        <f t="shared" si="79"/>
        <v>0</v>
      </c>
      <c r="BK66" s="238">
        <f t="shared" si="79"/>
        <v>0</v>
      </c>
      <c r="BL66" s="238">
        <f t="shared" si="79"/>
        <v>0</v>
      </c>
      <c r="BM66" s="238">
        <f t="shared" si="79"/>
        <v>0</v>
      </c>
      <c r="BN66" s="238">
        <f t="shared" si="79"/>
        <v>0</v>
      </c>
    </row>
    <row r="67" spans="1:67" outlineLevel="1">
      <c r="A67"/>
      <c r="B67" t="s">
        <v>222</v>
      </c>
      <c r="C67" s="54" t="s">
        <v>153</v>
      </c>
      <c r="D67" s="44">
        <f>'Butadiene Recycling HC'!C78</f>
        <v>0</v>
      </c>
      <c r="E67" s="44">
        <f>'Butadiene Recycling HC'!D78</f>
        <v>0</v>
      </c>
      <c r="F67" s="44">
        <f>'Butadiene Recycling HC'!E78</f>
        <v>0</v>
      </c>
      <c r="G67" s="44">
        <f>'Butadiene Recycling HC'!F78</f>
        <v>0</v>
      </c>
      <c r="H67" s="44">
        <f>'Butadiene Recycling HC'!G78</f>
        <v>0</v>
      </c>
      <c r="I67" s="44">
        <f>'Butadiene Recycling HC'!H78</f>
        <v>0</v>
      </c>
      <c r="J67" s="44">
        <f>'Butadiene Recycling HC'!I78</f>
        <v>0</v>
      </c>
      <c r="K67" s="44">
        <f>'Butadiene Recycling HC'!J78</f>
        <v>0</v>
      </c>
      <c r="L67" s="44">
        <f>'Butadiene Recycling HC'!K78</f>
        <v>0</v>
      </c>
      <c r="M67" s="44">
        <f>'Butadiene Recycling HC'!L78</f>
        <v>0</v>
      </c>
      <c r="N67" s="44">
        <f>'Butadiene Recycling HC'!M78</f>
        <v>0</v>
      </c>
      <c r="O67" s="44">
        <f>'Butadiene Recycling HC'!N78</f>
        <v>0</v>
      </c>
      <c r="P67" s="44">
        <f>'Butadiene Recycling HC'!O78</f>
        <v>0</v>
      </c>
      <c r="Q67" s="44">
        <f>'Butadiene Recycling HC'!P78</f>
        <v>0</v>
      </c>
      <c r="R67" s="44">
        <f>'Butadiene Recycling HC'!Q78</f>
        <v>0</v>
      </c>
      <c r="S67" s="44">
        <f>'Butadiene Recycling HC'!R78</f>
        <v>0</v>
      </c>
      <c r="T67" s="44">
        <f>'Butadiene Recycling HC'!S78</f>
        <v>0</v>
      </c>
      <c r="U67" s="44">
        <f>'Butadiene Recycling HC'!T78</f>
        <v>0</v>
      </c>
      <c r="V67" s="44">
        <f>'Butadiene Recycling HC'!U78</f>
        <v>0</v>
      </c>
      <c r="W67" s="44">
        <f>'Butadiene Recycling HC'!V78</f>
        <v>0</v>
      </c>
      <c r="X67" s="44">
        <f>'Butadiene Recycling HC'!W78</f>
        <v>0</v>
      </c>
      <c r="Y67" s="44">
        <f>'Butadiene Recycling HC'!X78</f>
        <v>0</v>
      </c>
      <c r="Z67" s="44">
        <f>'Butadiene Recycling HC'!Y78</f>
        <v>0</v>
      </c>
      <c r="AA67" s="44">
        <f>'Butadiene Recycling HC'!Z78</f>
        <v>0</v>
      </c>
      <c r="AB67" s="44">
        <f>'Butadiene Recycling HC'!AA78</f>
        <v>0</v>
      </c>
      <c r="AC67" s="44">
        <f>'Butadiene Recycling HC'!AB78</f>
        <v>0</v>
      </c>
      <c r="AD67" s="44">
        <f>'Butadiene Recycling HC'!AC78</f>
        <v>0</v>
      </c>
      <c r="AE67" s="44">
        <f>'Butadiene Recycling HC'!AD78</f>
        <v>0</v>
      </c>
      <c r="AF67" s="44">
        <f>'Butadiene Recycling HC'!AE78</f>
        <v>0</v>
      </c>
      <c r="AG67" s="44">
        <f>'Butadiene Recycling HC'!AF78</f>
        <v>0</v>
      </c>
      <c r="AH67" s="44">
        <f>'Butadiene Recycling HC'!AG78</f>
        <v>0</v>
      </c>
      <c r="AJ67" s="238">
        <f t="shared" ref="AJ67:AJ69" si="80">D67</f>
        <v>0</v>
      </c>
      <c r="AK67" s="238">
        <f t="shared" si="78"/>
        <v>0</v>
      </c>
      <c r="AL67" s="238">
        <f t="shared" si="78"/>
        <v>0</v>
      </c>
      <c r="AM67" s="238">
        <f t="shared" si="78"/>
        <v>0</v>
      </c>
      <c r="AN67" s="238">
        <f t="shared" si="78"/>
        <v>0</v>
      </c>
      <c r="AO67" s="238">
        <f t="shared" si="78"/>
        <v>0</v>
      </c>
      <c r="AP67" s="238">
        <f t="shared" si="78"/>
        <v>0</v>
      </c>
      <c r="AQ67" s="238">
        <f t="shared" si="78"/>
        <v>0</v>
      </c>
      <c r="AR67" s="238">
        <f t="shared" si="78"/>
        <v>0</v>
      </c>
      <c r="AS67" s="238">
        <f t="shared" si="78"/>
        <v>0</v>
      </c>
      <c r="AT67" s="238">
        <f t="shared" si="78"/>
        <v>0</v>
      </c>
      <c r="AU67" s="238">
        <f t="shared" si="78"/>
        <v>0</v>
      </c>
      <c r="AV67" s="238">
        <f t="shared" si="78"/>
        <v>0</v>
      </c>
      <c r="AW67" s="238">
        <f t="shared" si="78"/>
        <v>0</v>
      </c>
      <c r="AX67" s="238">
        <f t="shared" si="78"/>
        <v>0</v>
      </c>
      <c r="AY67" s="238">
        <f t="shared" si="78"/>
        <v>0</v>
      </c>
      <c r="AZ67" s="238">
        <f t="shared" si="78"/>
        <v>0</v>
      </c>
      <c r="BA67" s="238">
        <f t="shared" si="79"/>
        <v>0</v>
      </c>
      <c r="BB67" s="238">
        <f t="shared" si="79"/>
        <v>0</v>
      </c>
      <c r="BC67" s="238">
        <f t="shared" si="79"/>
        <v>0</v>
      </c>
      <c r="BD67" s="238">
        <f t="shared" si="79"/>
        <v>0</v>
      </c>
      <c r="BE67" s="238">
        <f t="shared" si="79"/>
        <v>0</v>
      </c>
      <c r="BF67" s="238">
        <f t="shared" si="79"/>
        <v>0</v>
      </c>
      <c r="BG67" s="238">
        <f t="shared" si="79"/>
        <v>0</v>
      </c>
      <c r="BH67" s="238">
        <f t="shared" si="79"/>
        <v>0</v>
      </c>
      <c r="BI67" s="238">
        <f t="shared" si="79"/>
        <v>0</v>
      </c>
      <c r="BJ67" s="238">
        <f t="shared" si="79"/>
        <v>0</v>
      </c>
      <c r="BK67" s="238">
        <f t="shared" si="79"/>
        <v>0</v>
      </c>
      <c r="BL67" s="238">
        <f t="shared" si="79"/>
        <v>0</v>
      </c>
      <c r="BM67" s="238">
        <f t="shared" si="79"/>
        <v>0</v>
      </c>
      <c r="BN67" s="238">
        <f t="shared" si="79"/>
        <v>0</v>
      </c>
    </row>
    <row r="68" spans="1:67" outlineLevel="1">
      <c r="A68" s="181"/>
      <c r="B68" s="181" t="s">
        <v>218</v>
      </c>
      <c r="C68" s="176" t="s">
        <v>153</v>
      </c>
      <c r="D68" s="238">
        <f>'Butadiene Recycling HC'!C112</f>
        <v>0</v>
      </c>
      <c r="E68" s="238">
        <f>'Butadiene Recycling HC'!D112</f>
        <v>0</v>
      </c>
      <c r="F68" s="238">
        <f>'Butadiene Recycling HC'!E112</f>
        <v>0</v>
      </c>
      <c r="G68" s="238">
        <f>'Butadiene Recycling HC'!F112</f>
        <v>0</v>
      </c>
      <c r="H68" s="238">
        <f>'Butadiene Recycling HC'!G112</f>
        <v>0</v>
      </c>
      <c r="I68" s="238">
        <f>'Butadiene Recycling HC'!H112</f>
        <v>0</v>
      </c>
      <c r="J68" s="238">
        <f>'Butadiene Recycling HC'!I112</f>
        <v>0</v>
      </c>
      <c r="K68" s="238">
        <f>'Butadiene Recycling HC'!J112</f>
        <v>0</v>
      </c>
      <c r="L68" s="238">
        <f>'Butadiene Recycling HC'!K112</f>
        <v>0</v>
      </c>
      <c r="M68" s="238">
        <f>'Butadiene Recycling HC'!L112</f>
        <v>0</v>
      </c>
      <c r="N68" s="238">
        <f>'Butadiene Recycling HC'!M112</f>
        <v>0</v>
      </c>
      <c r="O68" s="238">
        <f>'Butadiene Recycling HC'!N112</f>
        <v>0</v>
      </c>
      <c r="P68" s="238">
        <f>'Butadiene Recycling HC'!O112</f>
        <v>0</v>
      </c>
      <c r="Q68" s="238">
        <f>'Butadiene Recycling HC'!P112</f>
        <v>0</v>
      </c>
      <c r="R68" s="238">
        <f>'Butadiene Recycling HC'!Q112</f>
        <v>0</v>
      </c>
      <c r="S68" s="238">
        <f>'Butadiene Recycling HC'!R112</f>
        <v>0</v>
      </c>
      <c r="T68" s="238">
        <f>'Butadiene Recycling HC'!S112</f>
        <v>0</v>
      </c>
      <c r="U68" s="238">
        <f>'Butadiene Recycling HC'!T112</f>
        <v>0</v>
      </c>
      <c r="V68" s="238">
        <f>'Butadiene Recycling HC'!U112</f>
        <v>0</v>
      </c>
      <c r="W68" s="238">
        <f>'Butadiene Recycling HC'!V112</f>
        <v>0</v>
      </c>
      <c r="X68" s="238">
        <f>'Butadiene Recycling HC'!W112</f>
        <v>0</v>
      </c>
      <c r="Y68" s="238">
        <f>'Butadiene Recycling HC'!X112</f>
        <v>0</v>
      </c>
      <c r="Z68" s="238">
        <f>'Butadiene Recycling HC'!Y112</f>
        <v>0</v>
      </c>
      <c r="AA68" s="238">
        <f>'Butadiene Recycling HC'!Z112</f>
        <v>0</v>
      </c>
      <c r="AB68" s="238">
        <f>'Butadiene Recycling HC'!AA112</f>
        <v>0</v>
      </c>
      <c r="AC68" s="238">
        <f>'Butadiene Recycling HC'!AB112</f>
        <v>0</v>
      </c>
      <c r="AD68" s="238">
        <f>'Butadiene Recycling HC'!AC112</f>
        <v>0</v>
      </c>
      <c r="AE68" s="238">
        <f>'Butadiene Recycling HC'!AD112</f>
        <v>0</v>
      </c>
      <c r="AF68" s="238">
        <f>'Butadiene Recycling HC'!AE112</f>
        <v>0</v>
      </c>
      <c r="AG68" s="238">
        <f>'Butadiene Recycling HC'!AF112</f>
        <v>0</v>
      </c>
      <c r="AH68" s="238">
        <f>'Butadiene Recycling HC'!AG112</f>
        <v>0</v>
      </c>
      <c r="AJ68" s="238">
        <f t="shared" si="80"/>
        <v>0</v>
      </c>
      <c r="AK68" s="238">
        <f t="shared" si="78"/>
        <v>0</v>
      </c>
      <c r="AL68" s="238">
        <f t="shared" si="78"/>
        <v>0</v>
      </c>
      <c r="AM68" s="238">
        <f t="shared" si="78"/>
        <v>0</v>
      </c>
      <c r="AN68" s="238">
        <f t="shared" si="78"/>
        <v>0</v>
      </c>
      <c r="AO68" s="238">
        <f t="shared" si="78"/>
        <v>0</v>
      </c>
      <c r="AP68" s="238">
        <f t="shared" si="78"/>
        <v>0</v>
      </c>
      <c r="AQ68" s="238">
        <f t="shared" si="78"/>
        <v>0</v>
      </c>
      <c r="AR68" s="238">
        <f t="shared" si="78"/>
        <v>0</v>
      </c>
      <c r="AS68" s="238">
        <f t="shared" si="78"/>
        <v>0</v>
      </c>
      <c r="AT68" s="238">
        <f t="shared" si="78"/>
        <v>0</v>
      </c>
      <c r="AU68" s="238">
        <f t="shared" si="78"/>
        <v>0</v>
      </c>
      <c r="AV68" s="238">
        <f t="shared" si="78"/>
        <v>0</v>
      </c>
      <c r="AW68" s="238">
        <f t="shared" si="78"/>
        <v>0</v>
      </c>
      <c r="AX68" s="238">
        <f t="shared" si="78"/>
        <v>0</v>
      </c>
      <c r="AY68" s="238">
        <f t="shared" si="78"/>
        <v>0</v>
      </c>
      <c r="AZ68" s="238">
        <f t="shared" si="78"/>
        <v>0</v>
      </c>
      <c r="BA68" s="238">
        <f t="shared" si="79"/>
        <v>0</v>
      </c>
      <c r="BB68" s="238">
        <f t="shared" si="79"/>
        <v>0</v>
      </c>
      <c r="BC68" s="238">
        <f t="shared" si="79"/>
        <v>0</v>
      </c>
      <c r="BD68" s="238">
        <f t="shared" si="79"/>
        <v>0</v>
      </c>
      <c r="BE68" s="238">
        <f t="shared" si="79"/>
        <v>0</v>
      </c>
      <c r="BF68" s="238">
        <f t="shared" si="79"/>
        <v>0</v>
      </c>
      <c r="BG68" s="238">
        <f t="shared" si="79"/>
        <v>0</v>
      </c>
      <c r="BH68" s="238">
        <f t="shared" si="79"/>
        <v>0</v>
      </c>
      <c r="BI68" s="238">
        <f t="shared" si="79"/>
        <v>0</v>
      </c>
      <c r="BJ68" s="238">
        <f t="shared" si="79"/>
        <v>0</v>
      </c>
      <c r="BK68" s="238">
        <f t="shared" si="79"/>
        <v>0</v>
      </c>
      <c r="BL68" s="238">
        <f t="shared" si="79"/>
        <v>0</v>
      </c>
      <c r="BM68" s="238">
        <f t="shared" si="79"/>
        <v>0</v>
      </c>
      <c r="BN68" s="238">
        <f t="shared" si="79"/>
        <v>0</v>
      </c>
    </row>
    <row r="69" spans="1:67" outlineLevel="1">
      <c r="A69" s="181"/>
      <c r="B69" s="181" t="s">
        <v>226</v>
      </c>
      <c r="C69" s="176" t="s">
        <v>153</v>
      </c>
      <c r="D69" s="238">
        <f>'Butadiene Recycling HC'!C142</f>
        <v>0</v>
      </c>
      <c r="E69" s="238">
        <f>'Butadiene Recycling HC'!D142</f>
        <v>0</v>
      </c>
      <c r="F69" s="238">
        <f>'Butadiene Recycling HC'!E142</f>
        <v>0</v>
      </c>
      <c r="G69" s="238">
        <f>'Butadiene Recycling HC'!F142</f>
        <v>0</v>
      </c>
      <c r="H69" s="238">
        <f>'Butadiene Recycling HC'!G142</f>
        <v>0</v>
      </c>
      <c r="I69" s="238">
        <f>'Butadiene Recycling HC'!H142</f>
        <v>0</v>
      </c>
      <c r="J69" s="238">
        <f>'Butadiene Recycling HC'!I142</f>
        <v>0</v>
      </c>
      <c r="K69" s="238">
        <f>'Butadiene Recycling HC'!J142</f>
        <v>0</v>
      </c>
      <c r="L69" s="238">
        <f>'Butadiene Recycling HC'!K142</f>
        <v>0</v>
      </c>
      <c r="M69" s="238">
        <f>'Butadiene Recycling HC'!L142</f>
        <v>0</v>
      </c>
      <c r="N69" s="238">
        <f>'Butadiene Recycling HC'!M142</f>
        <v>0</v>
      </c>
      <c r="O69" s="238">
        <f>'Butadiene Recycling HC'!N142</f>
        <v>0</v>
      </c>
      <c r="P69" s="238">
        <f>'Butadiene Recycling HC'!O142</f>
        <v>0</v>
      </c>
      <c r="Q69" s="238">
        <f>'Butadiene Recycling HC'!P142</f>
        <v>0</v>
      </c>
      <c r="R69" s="238">
        <f>'Butadiene Recycling HC'!Q142</f>
        <v>0</v>
      </c>
      <c r="S69" s="238">
        <f>'Butadiene Recycling HC'!R142</f>
        <v>0</v>
      </c>
      <c r="T69" s="238">
        <f>'Butadiene Recycling HC'!S142</f>
        <v>0</v>
      </c>
      <c r="U69" s="238">
        <f>'Butadiene Recycling HC'!T142</f>
        <v>0</v>
      </c>
      <c r="V69" s="238">
        <f>'Butadiene Recycling HC'!U142</f>
        <v>0</v>
      </c>
      <c r="W69" s="238">
        <f>'Butadiene Recycling HC'!V142</f>
        <v>0</v>
      </c>
      <c r="X69" s="238">
        <f>'Butadiene Recycling HC'!W142</f>
        <v>0</v>
      </c>
      <c r="Y69" s="238">
        <f>'Butadiene Recycling HC'!X142</f>
        <v>0</v>
      </c>
      <c r="Z69" s="238">
        <f>'Butadiene Recycling HC'!Y142</f>
        <v>0</v>
      </c>
      <c r="AA69" s="238">
        <f>'Butadiene Recycling HC'!Z142</f>
        <v>0</v>
      </c>
      <c r="AB69" s="238">
        <f>'Butadiene Recycling HC'!AA142</f>
        <v>0</v>
      </c>
      <c r="AC69" s="238">
        <f>'Butadiene Recycling HC'!AB142</f>
        <v>0</v>
      </c>
      <c r="AD69" s="238">
        <f>'Butadiene Recycling HC'!AC142</f>
        <v>0</v>
      </c>
      <c r="AE69" s="238">
        <f>'Butadiene Recycling HC'!AD142</f>
        <v>0</v>
      </c>
      <c r="AF69" s="238">
        <f>'Butadiene Recycling HC'!AE142</f>
        <v>0</v>
      </c>
      <c r="AG69" s="238">
        <f>'Butadiene Recycling HC'!AF142</f>
        <v>0</v>
      </c>
      <c r="AH69" s="238">
        <f>'Butadiene Recycling HC'!AG142</f>
        <v>0</v>
      </c>
      <c r="AJ69" s="238">
        <f t="shared" si="80"/>
        <v>0</v>
      </c>
      <c r="AK69" s="238">
        <f t="shared" si="78"/>
        <v>0</v>
      </c>
      <c r="AL69" s="238">
        <f t="shared" si="78"/>
        <v>0</v>
      </c>
      <c r="AM69" s="238">
        <f t="shared" si="78"/>
        <v>0</v>
      </c>
      <c r="AN69" s="238">
        <f t="shared" si="78"/>
        <v>0</v>
      </c>
      <c r="AO69" s="238">
        <f t="shared" si="78"/>
        <v>0</v>
      </c>
      <c r="AP69" s="238">
        <f t="shared" si="78"/>
        <v>0</v>
      </c>
      <c r="AQ69" s="238">
        <f t="shared" si="78"/>
        <v>0</v>
      </c>
      <c r="AR69" s="238">
        <f t="shared" si="78"/>
        <v>0</v>
      </c>
      <c r="AS69" s="238">
        <f t="shared" si="78"/>
        <v>0</v>
      </c>
      <c r="AT69" s="238">
        <f t="shared" si="78"/>
        <v>0</v>
      </c>
      <c r="AU69" s="238">
        <f t="shared" si="78"/>
        <v>0</v>
      </c>
      <c r="AV69" s="238">
        <f t="shared" si="78"/>
        <v>0</v>
      </c>
      <c r="AW69" s="238">
        <f t="shared" si="78"/>
        <v>0</v>
      </c>
      <c r="AX69" s="238">
        <f t="shared" si="78"/>
        <v>0</v>
      </c>
      <c r="AY69" s="238">
        <f t="shared" si="78"/>
        <v>0</v>
      </c>
      <c r="AZ69" s="238">
        <f t="shared" si="78"/>
        <v>0</v>
      </c>
      <c r="BA69" s="238">
        <f t="shared" si="79"/>
        <v>0</v>
      </c>
      <c r="BB69" s="238">
        <f t="shared" si="79"/>
        <v>0</v>
      </c>
      <c r="BC69" s="238">
        <f t="shared" si="79"/>
        <v>0</v>
      </c>
      <c r="BD69" s="238">
        <f t="shared" si="79"/>
        <v>0</v>
      </c>
      <c r="BE69" s="238">
        <f t="shared" si="79"/>
        <v>0</v>
      </c>
      <c r="BF69" s="238">
        <f t="shared" si="79"/>
        <v>0</v>
      </c>
      <c r="BG69" s="238">
        <f t="shared" si="79"/>
        <v>0</v>
      </c>
      <c r="BH69" s="238">
        <f t="shared" si="79"/>
        <v>0</v>
      </c>
      <c r="BI69" s="238">
        <f t="shared" si="79"/>
        <v>0</v>
      </c>
      <c r="BJ69" s="238">
        <f t="shared" si="79"/>
        <v>0</v>
      </c>
      <c r="BK69" s="238">
        <f t="shared" si="79"/>
        <v>0</v>
      </c>
      <c r="BL69" s="238">
        <f t="shared" si="79"/>
        <v>0</v>
      </c>
      <c r="BM69" s="238">
        <f t="shared" si="79"/>
        <v>0</v>
      </c>
      <c r="BN69" s="238">
        <f t="shared" si="79"/>
        <v>0</v>
      </c>
    </row>
    <row r="70" spans="1:67" outlineLevel="1">
      <c r="A70" s="178"/>
      <c r="B70" s="239" t="s">
        <v>219</v>
      </c>
      <c r="C70" s="179" t="s">
        <v>153</v>
      </c>
      <c r="D70" s="241">
        <f>D65-D66-D67-D68-D69</f>
        <v>4.696762105263157</v>
      </c>
      <c r="E70" s="241">
        <f t="shared" ref="E70:AH70" si="81">E65-E66-E67-E68-E69</f>
        <v>4.9343161867908307</v>
      </c>
      <c r="F70" s="241">
        <f t="shared" si="81"/>
        <v>5.1796439543091317</v>
      </c>
      <c r="G70" s="241">
        <f t="shared" si="81"/>
        <v>5.4329690037576457</v>
      </c>
      <c r="H70" s="241">
        <f t="shared" si="81"/>
        <v>5.6945210169572809</v>
      </c>
      <c r="I70" s="241">
        <f t="shared" si="81"/>
        <v>5.9645359228474728</v>
      </c>
      <c r="J70" s="241">
        <f t="shared" si="81"/>
        <v>6.220149725740991</v>
      </c>
      <c r="K70" s="241">
        <f t="shared" si="81"/>
        <v>6.4835618209893084</v>
      </c>
      <c r="L70" s="241">
        <f t="shared" si="81"/>
        <v>6.754984512716991</v>
      </c>
      <c r="M70" s="241">
        <f t="shared" si="81"/>
        <v>7.0346355930682893</v>
      </c>
      <c r="N70" s="241">
        <f t="shared" si="81"/>
        <v>7.3227384803440927</v>
      </c>
      <c r="O70" s="241">
        <f t="shared" si="81"/>
        <v>7.5637706989916129</v>
      </c>
      <c r="P70" s="241">
        <f t="shared" si="81"/>
        <v>7.8111684476156942</v>
      </c>
      <c r="Q70" s="241">
        <f t="shared" si="81"/>
        <v>8.0650852546763758</v>
      </c>
      <c r="R70" s="241">
        <f t="shared" si="81"/>
        <v>8.325678182553645</v>
      </c>
      <c r="S70" s="241">
        <f t="shared" si="81"/>
        <v>8.5931079067468126</v>
      </c>
      <c r="T70" s="241">
        <f t="shared" si="81"/>
        <v>8.6623840970460328</v>
      </c>
      <c r="U70" s="241">
        <f t="shared" si="81"/>
        <v>8.732020065133371</v>
      </c>
      <c r="V70" s="241">
        <f t="shared" si="81"/>
        <v>8.8020135319797124</v>
      </c>
      <c r="W70" s="241">
        <f t="shared" si="81"/>
        <v>8.8723620986159641</v>
      </c>
      <c r="X70" s="241">
        <f t="shared" si="81"/>
        <v>8.9430632433903163</v>
      </c>
      <c r="Y70" s="241">
        <f t="shared" si="81"/>
        <v>8.9937727324921877</v>
      </c>
      <c r="Z70" s="241">
        <f t="shared" si="81"/>
        <v>9.0443686926031823</v>
      </c>
      <c r="AA70" s="241">
        <f t="shared" si="81"/>
        <v>9.0948403879250534</v>
      </c>
      <c r="AB70" s="241">
        <f t="shared" si="81"/>
        <v>9.1451768301526908</v>
      </c>
      <c r="AC70" s="241">
        <f t="shared" si="81"/>
        <v>9.1953667737883809</v>
      </c>
      <c r="AD70" s="241">
        <f t="shared" si="81"/>
        <v>9.2303307007393958</v>
      </c>
      <c r="AE70" s="241">
        <f t="shared" si="81"/>
        <v>9.2648067191019621</v>
      </c>
      <c r="AF70" s="241">
        <f t="shared" si="81"/>
        <v>9.2987777439438677</v>
      </c>
      <c r="AG70" s="241">
        <f t="shared" si="81"/>
        <v>9.3322263426310208</v>
      </c>
      <c r="AH70" s="241">
        <f t="shared" si="81"/>
        <v>9.3651347287983047</v>
      </c>
      <c r="AJ70" s="241">
        <f>AJ65-AJ66-AJ67-AJ68-AJ69</f>
        <v>4.696762105263157</v>
      </c>
      <c r="AK70" s="241">
        <f t="shared" ref="AK70:BN70" si="82">AK65-AK66-AK67-AK68-AK69</f>
        <v>4.9343161867908307</v>
      </c>
      <c r="AL70" s="241">
        <f t="shared" si="82"/>
        <v>5.1796439543091317</v>
      </c>
      <c r="AM70" s="241">
        <f t="shared" si="82"/>
        <v>5.4329690037576457</v>
      </c>
      <c r="AN70" s="241">
        <f t="shared" si="82"/>
        <v>5.6945210169572809</v>
      </c>
      <c r="AO70" s="241">
        <f t="shared" si="82"/>
        <v>5.9645359228474728</v>
      </c>
      <c r="AP70" s="241">
        <f t="shared" si="82"/>
        <v>6.220149725740991</v>
      </c>
      <c r="AQ70" s="241">
        <f t="shared" si="82"/>
        <v>6.4835618209893084</v>
      </c>
      <c r="AR70" s="241">
        <f t="shared" si="82"/>
        <v>6.754984512716991</v>
      </c>
      <c r="AS70" s="241">
        <f t="shared" si="82"/>
        <v>7.0346355930682893</v>
      </c>
      <c r="AT70" s="241">
        <f t="shared" si="82"/>
        <v>7.3227384803440927</v>
      </c>
      <c r="AU70" s="241">
        <f t="shared" si="82"/>
        <v>7.5637706989916129</v>
      </c>
      <c r="AV70" s="241">
        <f t="shared" si="82"/>
        <v>7.8111684476156942</v>
      </c>
      <c r="AW70" s="241">
        <f t="shared" si="82"/>
        <v>8.0650852546763758</v>
      </c>
      <c r="AX70" s="241">
        <f t="shared" si="82"/>
        <v>8.325678182553645</v>
      </c>
      <c r="AY70" s="241">
        <f t="shared" si="82"/>
        <v>8.5931079067468126</v>
      </c>
      <c r="AZ70" s="241">
        <f t="shared" si="82"/>
        <v>8.6623840970460328</v>
      </c>
      <c r="BA70" s="241">
        <f t="shared" si="82"/>
        <v>8.732020065133371</v>
      </c>
      <c r="BB70" s="241">
        <f t="shared" si="82"/>
        <v>8.8020135319797124</v>
      </c>
      <c r="BC70" s="241">
        <f t="shared" si="82"/>
        <v>8.8723620986159641</v>
      </c>
      <c r="BD70" s="241">
        <f t="shared" si="82"/>
        <v>8.9430632433903163</v>
      </c>
      <c r="BE70" s="241">
        <f t="shared" si="82"/>
        <v>8.9937727324921877</v>
      </c>
      <c r="BF70" s="241">
        <f t="shared" si="82"/>
        <v>9.0443686926031823</v>
      </c>
      <c r="BG70" s="241">
        <f t="shared" si="82"/>
        <v>9.0948403879250534</v>
      </c>
      <c r="BH70" s="241">
        <f t="shared" si="82"/>
        <v>9.1451768301526908</v>
      </c>
      <c r="BI70" s="241">
        <f t="shared" si="82"/>
        <v>9.1953667737883809</v>
      </c>
      <c r="BJ70" s="241">
        <f t="shared" si="82"/>
        <v>9.2303307007393958</v>
      </c>
      <c r="BK70" s="241">
        <f t="shared" si="82"/>
        <v>9.2648067191019621</v>
      </c>
      <c r="BL70" s="241">
        <f t="shared" si="82"/>
        <v>9.2987777439438677</v>
      </c>
      <c r="BM70" s="241">
        <f t="shared" si="82"/>
        <v>9.3322263426310208</v>
      </c>
      <c r="BN70" s="241">
        <f t="shared" si="82"/>
        <v>9.3651347287983047</v>
      </c>
    </row>
    <row r="71" spans="1:67" outlineLevel="1">
      <c r="A71" s="58" t="s">
        <v>67</v>
      </c>
      <c r="B71" s="58" t="s">
        <v>227</v>
      </c>
      <c r="C71" s="100" t="s">
        <v>153</v>
      </c>
      <c r="D71" s="101">
        <f t="shared" ref="D71:AH71" si="83">D50+D61+D62+D67+D68+D57+D63+D69</f>
        <v>0</v>
      </c>
      <c r="E71" s="101">
        <f t="shared" si="83"/>
        <v>4.225012498373637E-2</v>
      </c>
      <c r="F71" s="101">
        <f t="shared" si="83"/>
        <v>8.5363867248392344E-2</v>
      </c>
      <c r="G71" s="101">
        <f t="shared" si="83"/>
        <v>0.12903706107457963</v>
      </c>
      <c r="H71" s="101">
        <f t="shared" si="83"/>
        <v>0.17294962698923894</v>
      </c>
      <c r="I71" s="101">
        <f t="shared" si="83"/>
        <v>0.21676943042518537</v>
      </c>
      <c r="J71" s="101">
        <f t="shared" si="83"/>
        <v>0.26128880011248878</v>
      </c>
      <c r="K71" s="101">
        <f t="shared" si="83"/>
        <v>0.30644653005976108</v>
      </c>
      <c r="L71" s="101">
        <f t="shared" si="83"/>
        <v>0.35217837916707451</v>
      </c>
      <c r="M71" s="101">
        <f t="shared" si="83"/>
        <v>0.39841717289585488</v>
      </c>
      <c r="N71" s="101">
        <f t="shared" si="83"/>
        <v>0.44509291715113763</v>
      </c>
      <c r="O71" s="101">
        <f t="shared" si="83"/>
        <v>0.49105004527989926</v>
      </c>
      <c r="P71" s="101">
        <f t="shared" si="83"/>
        <v>0.53601242991714315</v>
      </c>
      <c r="Q71" s="101">
        <f t="shared" si="83"/>
        <v>0.5797054866925303</v>
      </c>
      <c r="R71" s="101">
        <f t="shared" si="83"/>
        <v>0.62185890858326076</v>
      </c>
      <c r="S71" s="101">
        <f t="shared" si="83"/>
        <v>0.66220940277370965</v>
      </c>
      <c r="T71" s="101">
        <f t="shared" si="83"/>
        <v>0.7022423817865947</v>
      </c>
      <c r="U71" s="101">
        <f t="shared" si="83"/>
        <v>0.7419248396469299</v>
      </c>
      <c r="V71" s="101">
        <f t="shared" si="83"/>
        <v>0.78122344836486601</v>
      </c>
      <c r="W71" s="101">
        <f t="shared" si="83"/>
        <v>0.8201045779654047</v>
      </c>
      <c r="X71" s="101">
        <f t="shared" si="83"/>
        <v>0.85853431707902261</v>
      </c>
      <c r="Y71" s="101">
        <f t="shared" si="83"/>
        <v>0.89649128385316146</v>
      </c>
      <c r="Z71" s="101">
        <f t="shared" si="83"/>
        <v>0.93394232512708142</v>
      </c>
      <c r="AA71" s="101">
        <f t="shared" si="83"/>
        <v>0.97085403767036638</v>
      </c>
      <c r="AB71" s="101">
        <f t="shared" si="83"/>
        <v>1.0071927870281758</v>
      </c>
      <c r="AC71" s="101">
        <f t="shared" si="83"/>
        <v>1.042924726820313</v>
      </c>
      <c r="AD71" s="101">
        <f t="shared" si="83"/>
        <v>1.0780285129003939</v>
      </c>
      <c r="AE71" s="101">
        <f t="shared" si="83"/>
        <v>1.1124709284269221</v>
      </c>
      <c r="AF71" s="101">
        <f t="shared" si="83"/>
        <v>1.1462185670023883</v>
      </c>
      <c r="AG71" s="101">
        <f t="shared" si="83"/>
        <v>1.1792378503699843</v>
      </c>
      <c r="AH71" s="580">
        <f t="shared" si="83"/>
        <v>1.2114950464807959</v>
      </c>
      <c r="AI71" s="44"/>
      <c r="AJ71" s="101">
        <f t="shared" ref="AJ71:BN71" si="84">AJ50+AJ61+AJ62+AJ67+AJ68+AJ57+AJ63+AJ69</f>
        <v>0</v>
      </c>
      <c r="AK71" s="101">
        <f t="shared" si="84"/>
        <v>4.225012498373637E-2</v>
      </c>
      <c r="AL71" s="101">
        <f t="shared" si="84"/>
        <v>8.5363867248392344E-2</v>
      </c>
      <c r="AM71" s="101">
        <f t="shared" si="84"/>
        <v>0.12903706107457963</v>
      </c>
      <c r="AN71" s="101">
        <f t="shared" si="84"/>
        <v>0.17294962698923894</v>
      </c>
      <c r="AO71" s="101">
        <f t="shared" si="84"/>
        <v>0.21676943042518537</v>
      </c>
      <c r="AP71" s="101">
        <f t="shared" si="84"/>
        <v>0.26128880011248878</v>
      </c>
      <c r="AQ71" s="101">
        <f t="shared" si="84"/>
        <v>0.30644653005976108</v>
      </c>
      <c r="AR71" s="101">
        <f t="shared" si="84"/>
        <v>0.35217837916707451</v>
      </c>
      <c r="AS71" s="101">
        <f t="shared" si="84"/>
        <v>0.39841717289585488</v>
      </c>
      <c r="AT71" s="101">
        <f t="shared" si="84"/>
        <v>0.44509291715113763</v>
      </c>
      <c r="AU71" s="101">
        <f t="shared" si="84"/>
        <v>0.49105004527989926</v>
      </c>
      <c r="AV71" s="101">
        <f t="shared" si="84"/>
        <v>0.53601242991714315</v>
      </c>
      <c r="AW71" s="101">
        <f t="shared" si="84"/>
        <v>0.5797054866925303</v>
      </c>
      <c r="AX71" s="101">
        <f t="shared" si="84"/>
        <v>0.62185890858326076</v>
      </c>
      <c r="AY71" s="101">
        <f t="shared" si="84"/>
        <v>0.66220940277370965</v>
      </c>
      <c r="AZ71" s="101">
        <f t="shared" si="84"/>
        <v>0.7022423817865947</v>
      </c>
      <c r="BA71" s="101">
        <f t="shared" si="84"/>
        <v>0.7419248396469299</v>
      </c>
      <c r="BB71" s="101">
        <f t="shared" si="84"/>
        <v>0.78122344836486601</v>
      </c>
      <c r="BC71" s="101">
        <f t="shared" si="84"/>
        <v>0.8201045779654047</v>
      </c>
      <c r="BD71" s="101">
        <f t="shared" si="84"/>
        <v>0.85853431707902261</v>
      </c>
      <c r="BE71" s="101">
        <f t="shared" si="84"/>
        <v>0.89649128385316146</v>
      </c>
      <c r="BF71" s="101">
        <f t="shared" si="84"/>
        <v>0.93394232512708142</v>
      </c>
      <c r="BG71" s="101">
        <f t="shared" si="84"/>
        <v>0.97085403767036638</v>
      </c>
      <c r="BH71" s="101">
        <f t="shared" si="84"/>
        <v>1.0071927870281758</v>
      </c>
      <c r="BI71" s="101">
        <f t="shared" si="84"/>
        <v>1.042924726820313</v>
      </c>
      <c r="BJ71" s="101">
        <f t="shared" si="84"/>
        <v>1.0780285129003939</v>
      </c>
      <c r="BK71" s="101">
        <f t="shared" si="84"/>
        <v>1.1124709284269221</v>
      </c>
      <c r="BL71" s="101">
        <f t="shared" si="84"/>
        <v>1.1462185670023883</v>
      </c>
      <c r="BM71" s="101">
        <f t="shared" si="84"/>
        <v>1.1792378503699843</v>
      </c>
      <c r="BN71" s="101">
        <f t="shared" si="84"/>
        <v>1.2114950464807959</v>
      </c>
    </row>
    <row r="72" spans="1:67" outlineLevel="1">
      <c r="A72" s="68"/>
      <c r="B72" s="62" t="s">
        <v>228</v>
      </c>
      <c r="C72" s="63" t="s">
        <v>153</v>
      </c>
      <c r="D72" s="64">
        <f t="shared" ref="D72:AH72" si="85">D49+D53+D60+D66+IF(D58=0,0,D56)</f>
        <v>0</v>
      </c>
      <c r="E72" s="64">
        <f t="shared" si="85"/>
        <v>4.1308367104167382E-3</v>
      </c>
      <c r="F72" s="64">
        <f t="shared" si="85"/>
        <v>9.3518867611486912E-3</v>
      </c>
      <c r="G72" s="64">
        <f t="shared" si="85"/>
        <v>1.5711029378374795E-2</v>
      </c>
      <c r="H72" s="64">
        <f t="shared" si="85"/>
        <v>2.3242919757195057E-2</v>
      </c>
      <c r="I72" s="64">
        <f t="shared" si="85"/>
        <v>3.196765454897868E-2</v>
      </c>
      <c r="J72" s="64">
        <f t="shared" si="85"/>
        <v>4.1980028562806138E-2</v>
      </c>
      <c r="K72" s="64">
        <f t="shared" si="85"/>
        <v>5.3340419620046965E-2</v>
      </c>
      <c r="L72" s="64">
        <f t="shared" si="85"/>
        <v>6.6108516498020325E-2</v>
      </c>
      <c r="M72" s="64">
        <f t="shared" si="85"/>
        <v>8.0343108734803742E-2</v>
      </c>
      <c r="N72" s="64">
        <f t="shared" si="85"/>
        <v>9.610187171478532E-2</v>
      </c>
      <c r="O72" s="64">
        <f t="shared" si="85"/>
        <v>0.11327883718036602</v>
      </c>
      <c r="P72" s="64">
        <f t="shared" si="85"/>
        <v>0.13184771982871668</v>
      </c>
      <c r="Q72" s="64">
        <f t="shared" si="85"/>
        <v>0.15176713317177462</v>
      </c>
      <c r="R72" s="64">
        <f t="shared" si="85"/>
        <v>0.17298036263963013</v>
      </c>
      <c r="S72" s="64">
        <f t="shared" si="85"/>
        <v>0.19541533845269035</v>
      </c>
      <c r="T72" s="64">
        <f t="shared" si="85"/>
        <v>0.21937935461337948</v>
      </c>
      <c r="U72" s="64">
        <f t="shared" si="85"/>
        <v>0.24490668448688685</v>
      </c>
      <c r="V72" s="64">
        <f t="shared" si="85"/>
        <v>0.27203139784688585</v>
      </c>
      <c r="W72" s="64">
        <f t="shared" si="85"/>
        <v>0.30078733189007145</v>
      </c>
      <c r="X72" s="64">
        <f t="shared" si="85"/>
        <v>0.3312080619151388</v>
      </c>
      <c r="Y72" s="64">
        <f t="shared" si="85"/>
        <v>0.36333087351986515</v>
      </c>
      <c r="Z72" s="64">
        <f t="shared" si="85"/>
        <v>0.39718985428784465</v>
      </c>
      <c r="AA72" s="64">
        <f t="shared" si="85"/>
        <v>0.43281885928672548</v>
      </c>
      <c r="AB72" s="64">
        <f t="shared" si="85"/>
        <v>0.47025148455455013</v>
      </c>
      <c r="AC72" s="64">
        <f t="shared" si="85"/>
        <v>0.50952104031979795</v>
      </c>
      <c r="AD72" s="64">
        <f t="shared" si="85"/>
        <v>0.55066573004854702</v>
      </c>
      <c r="AE72" s="64">
        <f t="shared" si="85"/>
        <v>0.59371943941287031</v>
      </c>
      <c r="AF72" s="64">
        <f t="shared" si="85"/>
        <v>0.63871579874746387</v>
      </c>
      <c r="AG72" s="64">
        <f t="shared" si="85"/>
        <v>0.68568815872237532</v>
      </c>
      <c r="AH72" s="438">
        <f t="shared" si="85"/>
        <v>0.73466956580250509</v>
      </c>
      <c r="AI72" s="44">
        <f>SUM(AH71:AH72)</f>
        <v>1.946164612283301</v>
      </c>
      <c r="AJ72" s="64">
        <f t="shared" ref="AJ72:BN72" si="86">AJ49+AJ53+AJ60+AJ66+IF(AJ58=0,0,AJ56)</f>
        <v>0</v>
      </c>
      <c r="AK72" s="64">
        <f t="shared" si="86"/>
        <v>4.1308367104167382E-3</v>
      </c>
      <c r="AL72" s="64">
        <f t="shared" si="86"/>
        <v>9.3518867611486912E-3</v>
      </c>
      <c r="AM72" s="64">
        <f t="shared" si="86"/>
        <v>1.5711029378374795E-2</v>
      </c>
      <c r="AN72" s="64">
        <f t="shared" si="86"/>
        <v>2.3242919757195057E-2</v>
      </c>
      <c r="AO72" s="64">
        <f t="shared" si="86"/>
        <v>3.196765454897868E-2</v>
      </c>
      <c r="AP72" s="64">
        <f t="shared" si="86"/>
        <v>4.1980028562806138E-2</v>
      </c>
      <c r="AQ72" s="64">
        <f t="shared" si="86"/>
        <v>5.3340419620046965E-2</v>
      </c>
      <c r="AR72" s="64">
        <f t="shared" si="86"/>
        <v>6.6108516498020325E-2</v>
      </c>
      <c r="AS72" s="64">
        <f t="shared" si="86"/>
        <v>8.0343108734803742E-2</v>
      </c>
      <c r="AT72" s="64">
        <f t="shared" si="86"/>
        <v>9.610187171478532E-2</v>
      </c>
      <c r="AU72" s="64">
        <f t="shared" si="86"/>
        <v>0.11327883718036602</v>
      </c>
      <c r="AV72" s="64">
        <f t="shared" si="86"/>
        <v>0.13184771982871668</v>
      </c>
      <c r="AW72" s="64">
        <f t="shared" si="86"/>
        <v>0.15176713317177462</v>
      </c>
      <c r="AX72" s="64">
        <f t="shared" si="86"/>
        <v>0.17298036263963013</v>
      </c>
      <c r="AY72" s="64">
        <f t="shared" si="86"/>
        <v>0.19541533845269035</v>
      </c>
      <c r="AZ72" s="64">
        <f t="shared" si="86"/>
        <v>0.21937935461337948</v>
      </c>
      <c r="BA72" s="64">
        <f t="shared" si="86"/>
        <v>0.24490668448688685</v>
      </c>
      <c r="BB72" s="64">
        <f t="shared" si="86"/>
        <v>0.27203139784688585</v>
      </c>
      <c r="BC72" s="64">
        <f t="shared" si="86"/>
        <v>0.30078733189007145</v>
      </c>
      <c r="BD72" s="64">
        <f t="shared" si="86"/>
        <v>0.3312080619151388</v>
      </c>
      <c r="BE72" s="64">
        <f t="shared" si="86"/>
        <v>0.36333087351986515</v>
      </c>
      <c r="BF72" s="64">
        <f t="shared" si="86"/>
        <v>0.39718985428784465</v>
      </c>
      <c r="BG72" s="64">
        <f t="shared" si="86"/>
        <v>0.43281885928672548</v>
      </c>
      <c r="BH72" s="64">
        <f t="shared" si="86"/>
        <v>0.47025148455455013</v>
      </c>
      <c r="BI72" s="64">
        <f t="shared" si="86"/>
        <v>0.50952104031979795</v>
      </c>
      <c r="BJ72" s="64">
        <f t="shared" si="86"/>
        <v>0.55066573004854702</v>
      </c>
      <c r="BK72" s="64">
        <f t="shared" si="86"/>
        <v>0.59371943941287031</v>
      </c>
      <c r="BL72" s="64">
        <f t="shared" si="86"/>
        <v>0.63871579874746387</v>
      </c>
      <c r="BM72" s="64">
        <f t="shared" si="86"/>
        <v>0.68568815872237532</v>
      </c>
      <c r="BN72" s="64">
        <f t="shared" si="86"/>
        <v>0.73466956580250509</v>
      </c>
    </row>
    <row r="73" spans="1:67">
      <c r="A73" s="102" t="s">
        <v>240</v>
      </c>
      <c r="B73" s="102"/>
      <c r="C73" s="103" t="s">
        <v>153</v>
      </c>
      <c r="D73" s="105">
        <f t="shared" ref="D73:AH73" si="87">D46-D71-D72</f>
        <v>14.947368421052632</v>
      </c>
      <c r="E73" s="105">
        <f t="shared" si="87"/>
        <v>15.285026069419214</v>
      </c>
      <c r="F73" s="105">
        <f t="shared" si="87"/>
        <v>15.630596885144596</v>
      </c>
      <c r="G73" s="105">
        <f t="shared" si="87"/>
        <v>15.984590664776936</v>
      </c>
      <c r="H73" s="105">
        <f t="shared" si="87"/>
        <v>16.347552856012989</v>
      </c>
      <c r="I73" s="105">
        <f t="shared" si="87"/>
        <v>16.720062200897281</v>
      </c>
      <c r="J73" s="105">
        <f t="shared" si="87"/>
        <v>17.078398795180263</v>
      </c>
      <c r="K73" s="105">
        <f t="shared" si="87"/>
        <v>17.444794523432531</v>
      </c>
      <c r="L73" s="105">
        <f t="shared" si="87"/>
        <v>17.819498355597137</v>
      </c>
      <c r="M73" s="105">
        <f t="shared" si="87"/>
        <v>18.2027690412271</v>
      </c>
      <c r="N73" s="105">
        <f t="shared" si="87"/>
        <v>18.594875355212572</v>
      </c>
      <c r="O73" s="105">
        <f t="shared" si="87"/>
        <v>18.941589866912196</v>
      </c>
      <c r="P73" s="105">
        <f t="shared" si="87"/>
        <v>19.296685176468365</v>
      </c>
      <c r="Q73" s="105">
        <f t="shared" si="87"/>
        <v>19.660665257781339</v>
      </c>
      <c r="R73" s="105">
        <f t="shared" si="87"/>
        <v>20.034049162058729</v>
      </c>
      <c r="S73" s="105">
        <f t="shared" si="87"/>
        <v>20.41736839432324</v>
      </c>
      <c r="T73" s="105">
        <f t="shared" si="87"/>
        <v>20.603875891602101</v>
      </c>
      <c r="U73" s="105">
        <f t="shared" si="87"/>
        <v>20.792120186026271</v>
      </c>
      <c r="V73" s="105">
        <f t="shared" si="87"/>
        <v>20.982135266045088</v>
      </c>
      <c r="W73" s="105">
        <f t="shared" si="87"/>
        <v>21.173956063604553</v>
      </c>
      <c r="X73" s="105">
        <f t="shared" si="87"/>
        <v>21.367618467692772</v>
      </c>
      <c r="Y73" s="105">
        <f t="shared" si="87"/>
        <v>21.542800959421111</v>
      </c>
      <c r="Z73" s="105">
        <f t="shared" si="87"/>
        <v>21.719419901588928</v>
      </c>
      <c r="AA73" s="105">
        <f t="shared" si="87"/>
        <v>21.897503836861219</v>
      </c>
      <c r="AB73" s="105">
        <f t="shared" si="87"/>
        <v>22.077082113409201</v>
      </c>
      <c r="AC73" s="105">
        <f t="shared" si="87"/>
        <v>22.258184895818871</v>
      </c>
      <c r="AD73" s="105">
        <f t="shared" si="87"/>
        <v>22.425757264711738</v>
      </c>
      <c r="AE73" s="105">
        <f t="shared" si="87"/>
        <v>22.594578709836266</v>
      </c>
      <c r="AF73" s="105">
        <f t="shared" si="87"/>
        <v>22.764674573721095</v>
      </c>
      <c r="AG73" s="105">
        <f t="shared" si="87"/>
        <v>22.936070912219396</v>
      </c>
      <c r="AH73" s="579">
        <f t="shared" si="87"/>
        <v>23.108794503663027</v>
      </c>
      <c r="AI73" s="44">
        <f>AH46-AH73</f>
        <v>1.946164612283301</v>
      </c>
      <c r="AJ73" s="105">
        <f t="shared" ref="AJ73:BN73" si="88">AJ46-AJ71-AJ72</f>
        <v>14.947368421052632</v>
      </c>
      <c r="AK73" s="105">
        <f t="shared" si="88"/>
        <v>15.285026069419214</v>
      </c>
      <c r="AL73" s="105">
        <f t="shared" si="88"/>
        <v>15.630596885144596</v>
      </c>
      <c r="AM73" s="105">
        <f t="shared" si="88"/>
        <v>15.984590664776936</v>
      </c>
      <c r="AN73" s="105">
        <f t="shared" si="88"/>
        <v>16.347552856012989</v>
      </c>
      <c r="AO73" s="105">
        <f t="shared" si="88"/>
        <v>16.720062200897281</v>
      </c>
      <c r="AP73" s="105">
        <f t="shared" si="88"/>
        <v>17.078398795180263</v>
      </c>
      <c r="AQ73" s="105">
        <f t="shared" si="88"/>
        <v>17.444794523432531</v>
      </c>
      <c r="AR73" s="105">
        <f t="shared" si="88"/>
        <v>17.819498355597137</v>
      </c>
      <c r="AS73" s="105">
        <f t="shared" si="88"/>
        <v>18.2027690412271</v>
      </c>
      <c r="AT73" s="105">
        <f t="shared" si="88"/>
        <v>18.594875355212572</v>
      </c>
      <c r="AU73" s="105">
        <f t="shared" si="88"/>
        <v>18.941589866912196</v>
      </c>
      <c r="AV73" s="105">
        <f t="shared" si="88"/>
        <v>19.296685176468365</v>
      </c>
      <c r="AW73" s="105">
        <f t="shared" si="88"/>
        <v>19.660665257781339</v>
      </c>
      <c r="AX73" s="105">
        <f t="shared" si="88"/>
        <v>20.034049162058729</v>
      </c>
      <c r="AY73" s="105">
        <f t="shared" si="88"/>
        <v>20.41736839432324</v>
      </c>
      <c r="AZ73" s="105">
        <f t="shared" si="88"/>
        <v>20.603875891602101</v>
      </c>
      <c r="BA73" s="105">
        <f t="shared" si="88"/>
        <v>20.792120186026271</v>
      </c>
      <c r="BB73" s="105">
        <f t="shared" si="88"/>
        <v>20.982135266045088</v>
      </c>
      <c r="BC73" s="105">
        <f t="shared" si="88"/>
        <v>21.173956063604553</v>
      </c>
      <c r="BD73" s="105">
        <f t="shared" si="88"/>
        <v>21.367618467692772</v>
      </c>
      <c r="BE73" s="105">
        <f t="shared" si="88"/>
        <v>21.542800959421111</v>
      </c>
      <c r="BF73" s="105">
        <f t="shared" si="88"/>
        <v>21.719419901588928</v>
      </c>
      <c r="BG73" s="105">
        <f t="shared" si="88"/>
        <v>21.897503836861219</v>
      </c>
      <c r="BH73" s="105">
        <f t="shared" si="88"/>
        <v>22.077082113409201</v>
      </c>
      <c r="BI73" s="105">
        <f t="shared" si="88"/>
        <v>22.258184895818871</v>
      </c>
      <c r="BJ73" s="105">
        <f t="shared" si="88"/>
        <v>22.425757264711738</v>
      </c>
      <c r="BK73" s="105">
        <f t="shared" si="88"/>
        <v>22.594578709836266</v>
      </c>
      <c r="BL73" s="105">
        <f t="shared" si="88"/>
        <v>22.764674573721095</v>
      </c>
      <c r="BM73" s="105">
        <f t="shared" si="88"/>
        <v>22.936070912219396</v>
      </c>
      <c r="BN73" s="579">
        <f t="shared" si="88"/>
        <v>23.108794503663027</v>
      </c>
      <c r="BO73" s="44"/>
    </row>
    <row r="74" spans="1:67">
      <c r="A74" s="1" t="s">
        <v>230</v>
      </c>
      <c r="C74" s="59" t="s">
        <v>153</v>
      </c>
      <c r="D74" s="44">
        <f>'Butadiene Recycling HC'!C252</f>
        <v>0</v>
      </c>
      <c r="E74" s="44">
        <f>'Butadiene Recycling HC'!D252</f>
        <v>0</v>
      </c>
      <c r="F74" s="44">
        <f>'Butadiene Recycling HC'!E252</f>
        <v>0</v>
      </c>
      <c r="G74" s="44">
        <f>'Butadiene Recycling HC'!F252</f>
        <v>0</v>
      </c>
      <c r="H74" s="44">
        <f>'Butadiene Recycling HC'!G252</f>
        <v>0</v>
      </c>
      <c r="I74" s="44">
        <f>'Butadiene Recycling HC'!H252</f>
        <v>0</v>
      </c>
      <c r="J74" s="44">
        <f>'Butadiene Recycling HC'!I252</f>
        <v>0</v>
      </c>
      <c r="K74" s="44">
        <f>'Butadiene Recycling HC'!J252</f>
        <v>0</v>
      </c>
      <c r="L74" s="44">
        <f>'Butadiene Recycling HC'!K252</f>
        <v>0</v>
      </c>
      <c r="M74" s="44">
        <f>'Butadiene Recycling HC'!L252</f>
        <v>0</v>
      </c>
      <c r="N74" s="44">
        <f>'Butadiene Recycling HC'!M252</f>
        <v>0</v>
      </c>
      <c r="O74" s="44">
        <f>'Butadiene Recycling HC'!N252</f>
        <v>0</v>
      </c>
      <c r="P74" s="44">
        <f>'Butadiene Recycling HC'!O252</f>
        <v>0</v>
      </c>
      <c r="Q74" s="44">
        <f>'Butadiene Recycling HC'!P252</f>
        <v>0</v>
      </c>
      <c r="R74" s="44">
        <f>'Butadiene Recycling HC'!Q252</f>
        <v>0</v>
      </c>
      <c r="S74" s="44">
        <f>'Butadiene Recycling HC'!R252</f>
        <v>0</v>
      </c>
      <c r="T74" s="44">
        <f>'Butadiene Recycling HC'!S252</f>
        <v>0</v>
      </c>
      <c r="U74" s="44">
        <f>'Butadiene Recycling HC'!T252</f>
        <v>0</v>
      </c>
      <c r="V74" s="44">
        <f>'Butadiene Recycling HC'!U252</f>
        <v>0</v>
      </c>
      <c r="W74" s="44">
        <f>'Butadiene Recycling HC'!V252</f>
        <v>0</v>
      </c>
      <c r="X74" s="44">
        <f>'Butadiene Recycling HC'!W252</f>
        <v>0</v>
      </c>
      <c r="Y74" s="44">
        <f>'Butadiene Recycling HC'!X252</f>
        <v>0</v>
      </c>
      <c r="Z74" s="44">
        <f>'Butadiene Recycling HC'!Y252</f>
        <v>0</v>
      </c>
      <c r="AA74" s="44">
        <f>'Butadiene Recycling HC'!Z252</f>
        <v>0</v>
      </c>
      <c r="AB74" s="44">
        <f>'Butadiene Recycling HC'!AA252</f>
        <v>0</v>
      </c>
      <c r="AC74" s="44">
        <f>'Butadiene Recycling HC'!AB252</f>
        <v>0</v>
      </c>
      <c r="AD74" s="44">
        <f>'Butadiene Recycling HC'!AC252</f>
        <v>0</v>
      </c>
      <c r="AE74" s="44">
        <f>'Butadiene Recycling HC'!AD252</f>
        <v>0</v>
      </c>
      <c r="AF74" s="44">
        <f>'Butadiene Recycling HC'!AE252</f>
        <v>0</v>
      </c>
      <c r="AG74" s="44">
        <f>'Butadiene Recycling HC'!AF252</f>
        <v>0</v>
      </c>
      <c r="AH74" s="44">
        <f>'Butadiene Recycling HC'!AG252</f>
        <v>0</v>
      </c>
      <c r="AJ74" s="43">
        <f>'Butadiene Recycling LC'!C252</f>
        <v>0</v>
      </c>
      <c r="AK74" s="43">
        <f>'Butadiene Recycling LC'!D252</f>
        <v>0</v>
      </c>
      <c r="AL74" s="43">
        <f>'Butadiene Recycling LC'!E252</f>
        <v>0</v>
      </c>
      <c r="AM74" s="43">
        <f>'Butadiene Recycling LC'!F252</f>
        <v>0</v>
      </c>
      <c r="AN74" s="43">
        <f>'Butadiene Recycling LC'!G252</f>
        <v>0</v>
      </c>
      <c r="AO74" s="43">
        <f>'Butadiene Recycling LC'!H252</f>
        <v>0</v>
      </c>
      <c r="AP74" s="43">
        <f>'Butadiene Recycling LC'!I252</f>
        <v>0</v>
      </c>
      <c r="AQ74" s="43">
        <f>'Butadiene Recycling LC'!J252</f>
        <v>0</v>
      </c>
      <c r="AR74" s="43">
        <f>'Butadiene Recycling LC'!K252</f>
        <v>0</v>
      </c>
      <c r="AS74" s="43">
        <f>'Butadiene Recycling LC'!L252</f>
        <v>0</v>
      </c>
      <c r="AT74" s="43">
        <f>'Butadiene Recycling LC'!M252</f>
        <v>0</v>
      </c>
      <c r="AU74" s="43">
        <f>'Butadiene Recycling LC'!N252</f>
        <v>0</v>
      </c>
      <c r="AV74" s="43">
        <f>'Butadiene Recycling LC'!O252</f>
        <v>0</v>
      </c>
      <c r="AW74" s="43">
        <f>'Butadiene Recycling LC'!P252</f>
        <v>0</v>
      </c>
      <c r="AX74" s="43">
        <f>'Butadiene Recycling LC'!Q252</f>
        <v>0</v>
      </c>
      <c r="AY74" s="43">
        <f>'Butadiene Recycling LC'!R252</f>
        <v>0</v>
      </c>
      <c r="AZ74" s="43">
        <f>'Butadiene Recycling LC'!S252</f>
        <v>0</v>
      </c>
      <c r="BA74" s="43">
        <f>'Butadiene Recycling LC'!T252</f>
        <v>0</v>
      </c>
      <c r="BB74" s="43">
        <f>'Butadiene Recycling LC'!U252</f>
        <v>0</v>
      </c>
      <c r="BC74" s="43">
        <f>'Butadiene Recycling LC'!V252</f>
        <v>0</v>
      </c>
      <c r="BD74" s="43">
        <f>'Butadiene Recycling LC'!W252</f>
        <v>0</v>
      </c>
      <c r="BE74" s="43">
        <f>'Butadiene Recycling LC'!X252</f>
        <v>0</v>
      </c>
      <c r="BF74" s="43">
        <f>'Butadiene Recycling LC'!Y252</f>
        <v>0</v>
      </c>
      <c r="BG74" s="43">
        <f>'Butadiene Recycling LC'!Z252</f>
        <v>0</v>
      </c>
      <c r="BH74" s="43">
        <f>'Butadiene Recycling LC'!AA252</f>
        <v>0</v>
      </c>
      <c r="BI74" s="43">
        <f>'Butadiene Recycling LC'!AB252</f>
        <v>0</v>
      </c>
      <c r="BJ74" s="43">
        <f>'Butadiene Recycling LC'!AC252</f>
        <v>0</v>
      </c>
      <c r="BK74" s="43">
        <f>'Butadiene Recycling LC'!AD252</f>
        <v>0</v>
      </c>
      <c r="BL74" s="43">
        <f>'Butadiene Recycling LC'!AE252</f>
        <v>0</v>
      </c>
      <c r="BM74" s="43">
        <f>'Butadiene Recycling LC'!AF252</f>
        <v>0</v>
      </c>
      <c r="BN74" s="43">
        <f>'Butadiene Recycling LC'!AG252</f>
        <v>0</v>
      </c>
    </row>
    <row r="75" spans="1:67">
      <c r="A75" s="1" t="s">
        <v>231</v>
      </c>
      <c r="C75" s="283" t="s">
        <v>153</v>
      </c>
      <c r="D75" s="44">
        <f>'Butadiene Recycling HC'!C254</f>
        <v>0</v>
      </c>
      <c r="E75" s="44">
        <f>'Butadiene Recycling HC'!D254</f>
        <v>6.1703242424152686E-6</v>
      </c>
      <c r="F75" s="44">
        <f>'Butadiene Recycling HC'!E254</f>
        <v>1.2986976714877305E-5</v>
      </c>
      <c r="G75" s="44">
        <f>'Butadiene Recycling HC'!F254</f>
        <v>2.7162967642181868E-5</v>
      </c>
      <c r="H75" s="44">
        <f>'Butadiene Recycling HC'!G254</f>
        <v>5.640409721116989E-5</v>
      </c>
      <c r="I75" s="44">
        <f>'Butadiene Recycling HC'!H254</f>
        <v>1.1612754898445536E-4</v>
      </c>
      <c r="J75" s="44">
        <f>'Butadiene Recycling HC'!I254</f>
        <v>2.3713107270624683E-4</v>
      </c>
      <c r="K75" s="44">
        <f>'Butadiene Recycling HC'!J254</f>
        <v>4.7904411970714391E-4</v>
      </c>
      <c r="L75" s="44">
        <f>'Butadiene Recycling HC'!K254</f>
        <v>9.5417483076200575E-4</v>
      </c>
      <c r="M75" s="44">
        <f>'Butadiene Recycling HC'!L254</f>
        <v>1.8656404483796377E-3</v>
      </c>
      <c r="N75" s="44">
        <f>'Butadiene Recycling HC'!M254</f>
        <v>0</v>
      </c>
      <c r="O75" s="44">
        <f>'Butadiene Recycling HC'!N254</f>
        <v>6.5811023905394481E-3</v>
      </c>
      <c r="P75" s="44">
        <f>'Butadiene Recycling HC'!O254</f>
        <v>1.168940956810053E-2</v>
      </c>
      <c r="Q75" s="44">
        <f>'Butadiene Recycling HC'!P254</f>
        <v>1.9802467765776606E-2</v>
      </c>
      <c r="R75" s="44">
        <f>'Butadiene Recycling HC'!Q254</f>
        <v>3.1778519154121825E-2</v>
      </c>
      <c r="S75" s="44">
        <f>'Butadiene Recycling HC'!R254</f>
        <v>4.8099543888435535E-2</v>
      </c>
      <c r="T75" s="44">
        <f>'Butadiene Recycling HC'!S254</f>
        <v>6.8632942296339636E-2</v>
      </c>
      <c r="U75" s="44">
        <f>'Butadiene Recycling HC'!T254</f>
        <v>9.2512561283273412E-2</v>
      </c>
      <c r="V75" s="44">
        <f>'Butadiene Recycling HC'!U254</f>
        <v>0.11837190576817636</v>
      </c>
      <c r="W75" s="44">
        <f>'Butadiene Recycling HC'!V254</f>
        <v>0.14477573350124331</v>
      </c>
      <c r="X75" s="44">
        <f>'Butadiene Recycling HC'!W254</f>
        <v>0</v>
      </c>
      <c r="Y75" s="44">
        <f>'Butadiene Recycling HC'!X254</f>
        <v>0.19523188341831474</v>
      </c>
      <c r="Z75" s="44">
        <f>'Butadiene Recycling HC'!Y254</f>
        <v>0.21858530457351152</v>
      </c>
      <c r="AA75" s="44">
        <f>'Butadiene Recycling HC'!Z254</f>
        <v>0.24105214738603528</v>
      </c>
      <c r="AB75" s="44">
        <f>'Butadiene Recycling HC'!AA254</f>
        <v>0.26346021661773983</v>
      </c>
      <c r="AC75" s="44">
        <f>'Butadiene Recycling HC'!AB254</f>
        <v>0.28708363215678784</v>
      </c>
      <c r="AD75" s="44">
        <f>'Butadiene Recycling HC'!AC254</f>
        <v>0.31367324020608084</v>
      </c>
      <c r="AE75" s="44">
        <f>'Butadiene Recycling HC'!AD254</f>
        <v>0.34539133478675377</v>
      </c>
      <c r="AF75" s="44">
        <f>'Butadiene Recycling HC'!AE254</f>
        <v>0.38451546841452172</v>
      </c>
      <c r="AG75" s="44">
        <f>'Butadiene Recycling HC'!AF254</f>
        <v>0.43281049759648227</v>
      </c>
      <c r="AH75" s="44">
        <f>'Butadiene Recycling HC'!AG254</f>
        <v>0</v>
      </c>
      <c r="AJ75" s="43">
        <f>'Butadiene Recycling LC'!C254</f>
        <v>0</v>
      </c>
      <c r="AK75" s="43">
        <f>'Butadiene Recycling LC'!D254</f>
        <v>6.1703242424152686E-6</v>
      </c>
      <c r="AL75" s="43">
        <f>'Butadiene Recycling LC'!E254</f>
        <v>1.2986976714877305E-5</v>
      </c>
      <c r="AM75" s="43">
        <f>'Butadiene Recycling LC'!F254</f>
        <v>2.7162967642181868E-5</v>
      </c>
      <c r="AN75" s="43">
        <f>'Butadiene Recycling LC'!G254</f>
        <v>5.640409721116989E-5</v>
      </c>
      <c r="AO75" s="43">
        <f>'Butadiene Recycling LC'!H254</f>
        <v>1.1612754898445536E-4</v>
      </c>
      <c r="AP75" s="43">
        <f>'Butadiene Recycling LC'!I254</f>
        <v>2.3713107270624683E-4</v>
      </c>
      <c r="AQ75" s="43">
        <f>'Butadiene Recycling LC'!J254</f>
        <v>4.7904411970714391E-4</v>
      </c>
      <c r="AR75" s="43">
        <f>'Butadiene Recycling LC'!K254</f>
        <v>9.5417483076200575E-4</v>
      </c>
      <c r="AS75" s="43">
        <f>'Butadiene Recycling LC'!L254</f>
        <v>1.8656404483796377E-3</v>
      </c>
      <c r="AT75" s="43">
        <f>'Butadiene Recycling LC'!M254</f>
        <v>0</v>
      </c>
      <c r="AU75" s="43">
        <f>'Butadiene Recycling LC'!N254</f>
        <v>6.5811023905394481E-3</v>
      </c>
      <c r="AV75" s="43">
        <f>'Butadiene Recycling LC'!O254</f>
        <v>1.168940956810053E-2</v>
      </c>
      <c r="AW75" s="43">
        <f>'Butadiene Recycling LC'!P254</f>
        <v>1.9802467765776606E-2</v>
      </c>
      <c r="AX75" s="43">
        <f>'Butadiene Recycling LC'!Q254</f>
        <v>3.1778519154121825E-2</v>
      </c>
      <c r="AY75" s="43">
        <f>'Butadiene Recycling LC'!R254</f>
        <v>4.8099543888435535E-2</v>
      </c>
      <c r="AZ75" s="43">
        <f>'Butadiene Recycling LC'!S254</f>
        <v>6.8632942296339636E-2</v>
      </c>
      <c r="BA75" s="43">
        <f>'Butadiene Recycling LC'!T254</f>
        <v>9.2512561283273412E-2</v>
      </c>
      <c r="BB75" s="43">
        <f>'Butadiene Recycling LC'!U254</f>
        <v>0.11837190576817636</v>
      </c>
      <c r="BC75" s="43">
        <f>'Butadiene Recycling LC'!V254</f>
        <v>0.14477573350124331</v>
      </c>
      <c r="BD75" s="43">
        <f>'Butadiene Recycling LC'!W254</f>
        <v>0</v>
      </c>
      <c r="BE75" s="43">
        <f>'Butadiene Recycling LC'!X254</f>
        <v>0.19523188341831474</v>
      </c>
      <c r="BF75" s="43">
        <f>'Butadiene Recycling LC'!Y254</f>
        <v>0.21858530457351152</v>
      </c>
      <c r="BG75" s="43">
        <f>'Butadiene Recycling LC'!Z254</f>
        <v>0.24105214738603528</v>
      </c>
      <c r="BH75" s="43">
        <f>'Butadiene Recycling LC'!AA254</f>
        <v>0.26346021661773983</v>
      </c>
      <c r="BI75" s="43">
        <f>'Butadiene Recycling LC'!AB254</f>
        <v>0.28708363215678784</v>
      </c>
      <c r="BJ75" s="43">
        <f>'Butadiene Recycling LC'!AC254</f>
        <v>0.31367324020608084</v>
      </c>
      <c r="BK75" s="43">
        <f>'Butadiene Recycling LC'!AD254</f>
        <v>0.34539133478675377</v>
      </c>
      <c r="BL75" s="43">
        <f>'Butadiene Recycling LC'!AE254</f>
        <v>0.38451546841452172</v>
      </c>
      <c r="BM75" s="43">
        <f>'Butadiene Recycling LC'!AF254</f>
        <v>0.43281049759648227</v>
      </c>
      <c r="BN75" s="43">
        <f>'Butadiene Recycling LC'!AG254</f>
        <v>0</v>
      </c>
    </row>
    <row r="76" spans="1:67" s="104" customFormat="1">
      <c r="A76" s="102" t="s">
        <v>241</v>
      </c>
      <c r="B76" s="102"/>
      <c r="C76" s="103" t="s">
        <v>153</v>
      </c>
      <c r="D76" s="105">
        <f t="shared" ref="D76:AH76" si="89">D73-D74-D75</f>
        <v>14.947368421052632</v>
      </c>
      <c r="E76" s="105">
        <f t="shared" si="89"/>
        <v>15.285019899094971</v>
      </c>
      <c r="F76" s="105">
        <f t="shared" si="89"/>
        <v>15.630583898167881</v>
      </c>
      <c r="G76" s="105">
        <f t="shared" si="89"/>
        <v>15.984563501809294</v>
      </c>
      <c r="H76" s="105">
        <f t="shared" si="89"/>
        <v>16.347496451915777</v>
      </c>
      <c r="I76" s="105">
        <f t="shared" si="89"/>
        <v>16.719946073348297</v>
      </c>
      <c r="J76" s="105">
        <f t="shared" si="89"/>
        <v>17.078161664107558</v>
      </c>
      <c r="K76" s="105">
        <f t="shared" si="89"/>
        <v>17.444315479312824</v>
      </c>
      <c r="L76" s="105">
        <f t="shared" si="89"/>
        <v>17.818544180766374</v>
      </c>
      <c r="M76" s="105">
        <f t="shared" si="89"/>
        <v>18.200903400778721</v>
      </c>
      <c r="N76" s="105">
        <f t="shared" si="89"/>
        <v>18.594875355212572</v>
      </c>
      <c r="O76" s="105">
        <f t="shared" si="89"/>
        <v>18.935008764521655</v>
      </c>
      <c r="P76" s="105">
        <f t="shared" si="89"/>
        <v>19.284995766900266</v>
      </c>
      <c r="Q76" s="105">
        <f t="shared" si="89"/>
        <v>19.640862790015564</v>
      </c>
      <c r="R76" s="105">
        <f t="shared" si="89"/>
        <v>20.002270642904605</v>
      </c>
      <c r="S76" s="105">
        <f t="shared" si="89"/>
        <v>20.369268850434803</v>
      </c>
      <c r="T76" s="105">
        <f t="shared" si="89"/>
        <v>20.535242949305761</v>
      </c>
      <c r="U76" s="105">
        <f t="shared" si="89"/>
        <v>20.699607624742995</v>
      </c>
      <c r="V76" s="105">
        <f t="shared" si="89"/>
        <v>20.863763360276913</v>
      </c>
      <c r="W76" s="105">
        <f t="shared" si="89"/>
        <v>21.029180330103308</v>
      </c>
      <c r="X76" s="105">
        <f t="shared" si="89"/>
        <v>21.367618467692772</v>
      </c>
      <c r="Y76" s="105">
        <f t="shared" si="89"/>
        <v>21.347569076002795</v>
      </c>
      <c r="Z76" s="105">
        <f t="shared" si="89"/>
        <v>21.500834597015416</v>
      </c>
      <c r="AA76" s="105">
        <f t="shared" si="89"/>
        <v>21.656451689475183</v>
      </c>
      <c r="AB76" s="105">
        <f t="shared" si="89"/>
        <v>21.81362189679146</v>
      </c>
      <c r="AC76" s="105">
        <f t="shared" si="89"/>
        <v>21.971101263662085</v>
      </c>
      <c r="AD76" s="105">
        <f t="shared" si="89"/>
        <v>22.112084024505656</v>
      </c>
      <c r="AE76" s="105">
        <f t="shared" si="89"/>
        <v>22.249187375049512</v>
      </c>
      <c r="AF76" s="105">
        <f t="shared" si="89"/>
        <v>22.380159105306575</v>
      </c>
      <c r="AG76" s="105">
        <f t="shared" si="89"/>
        <v>22.503260414622915</v>
      </c>
      <c r="AH76" s="105">
        <f t="shared" si="89"/>
        <v>23.108794503663027</v>
      </c>
      <c r="AI76" s="193"/>
      <c r="AJ76" s="105">
        <f t="shared" ref="AJ76:BN76" si="90">AJ73-AJ74-AJ75</f>
        <v>14.947368421052632</v>
      </c>
      <c r="AK76" s="105">
        <f t="shared" si="90"/>
        <v>15.285019899094971</v>
      </c>
      <c r="AL76" s="105">
        <f t="shared" si="90"/>
        <v>15.630583898167881</v>
      </c>
      <c r="AM76" s="105">
        <f t="shared" si="90"/>
        <v>15.984563501809294</v>
      </c>
      <c r="AN76" s="105">
        <f t="shared" si="90"/>
        <v>16.347496451915777</v>
      </c>
      <c r="AO76" s="105">
        <f t="shared" si="90"/>
        <v>16.719946073348297</v>
      </c>
      <c r="AP76" s="105">
        <f t="shared" si="90"/>
        <v>17.078161664107558</v>
      </c>
      <c r="AQ76" s="105">
        <f t="shared" si="90"/>
        <v>17.444315479312824</v>
      </c>
      <c r="AR76" s="105">
        <f t="shared" si="90"/>
        <v>17.818544180766374</v>
      </c>
      <c r="AS76" s="105">
        <f t="shared" si="90"/>
        <v>18.200903400778721</v>
      </c>
      <c r="AT76" s="105">
        <f t="shared" si="90"/>
        <v>18.594875355212572</v>
      </c>
      <c r="AU76" s="105">
        <f t="shared" si="90"/>
        <v>18.935008764521655</v>
      </c>
      <c r="AV76" s="105">
        <f t="shared" si="90"/>
        <v>19.284995766900266</v>
      </c>
      <c r="AW76" s="105">
        <f t="shared" si="90"/>
        <v>19.640862790015564</v>
      </c>
      <c r="AX76" s="105">
        <f t="shared" si="90"/>
        <v>20.002270642904605</v>
      </c>
      <c r="AY76" s="105">
        <f t="shared" si="90"/>
        <v>20.369268850434803</v>
      </c>
      <c r="AZ76" s="105">
        <f t="shared" si="90"/>
        <v>20.535242949305761</v>
      </c>
      <c r="BA76" s="105">
        <f t="shared" si="90"/>
        <v>20.699607624742995</v>
      </c>
      <c r="BB76" s="105">
        <f t="shared" si="90"/>
        <v>20.863763360276913</v>
      </c>
      <c r="BC76" s="105">
        <f t="shared" si="90"/>
        <v>21.029180330103308</v>
      </c>
      <c r="BD76" s="105">
        <f t="shared" si="90"/>
        <v>21.367618467692772</v>
      </c>
      <c r="BE76" s="105">
        <f t="shared" si="90"/>
        <v>21.347569076002795</v>
      </c>
      <c r="BF76" s="105">
        <f t="shared" si="90"/>
        <v>21.500834597015416</v>
      </c>
      <c r="BG76" s="105">
        <f t="shared" si="90"/>
        <v>21.656451689475183</v>
      </c>
      <c r="BH76" s="105">
        <f t="shared" si="90"/>
        <v>21.81362189679146</v>
      </c>
      <c r="BI76" s="105">
        <f t="shared" si="90"/>
        <v>21.971101263662085</v>
      </c>
      <c r="BJ76" s="105">
        <f t="shared" si="90"/>
        <v>22.112084024505656</v>
      </c>
      <c r="BK76" s="105">
        <f t="shared" si="90"/>
        <v>22.249187375049512</v>
      </c>
      <c r="BL76" s="105">
        <f t="shared" si="90"/>
        <v>22.380159105306575</v>
      </c>
      <c r="BM76" s="105">
        <f t="shared" si="90"/>
        <v>22.503260414622915</v>
      </c>
      <c r="BN76" s="105">
        <f t="shared" si="90"/>
        <v>23.108794503663027</v>
      </c>
    </row>
    <row r="77" spans="1:67" s="426" customFormat="1">
      <c r="A77" s="425" t="s">
        <v>233</v>
      </c>
      <c r="C77" s="429" t="s">
        <v>153</v>
      </c>
      <c r="D77" s="430">
        <f>'Butadiene Recycling HC'!C261</f>
        <v>4.9675667212869898</v>
      </c>
      <c r="E77" s="430">
        <f>'Butadiene Recycling HC'!D261</f>
        <v>5.1187664269315523</v>
      </c>
      <c r="F77" s="430">
        <f>'Butadiene Recycling HC'!E261</f>
        <v>5.2607330388771567</v>
      </c>
      <c r="G77" s="430">
        <f>'Butadiene Recycling HC'!F261</f>
        <v>5.3924644393678012</v>
      </c>
      <c r="H77" s="430">
        <f>'Butadiene Recycling HC'!G261</f>
        <v>5.5130144155711127</v>
      </c>
      <c r="I77" s="430">
        <f>'Butadiene Recycling HC'!H261</f>
        <v>5.6215039930718502</v>
      </c>
      <c r="J77" s="430">
        <f>'Butadiene Recycling HC'!I261</f>
        <v>5.7294665853322746</v>
      </c>
      <c r="K77" s="430">
        <f>'Butadiene Recycling HC'!J261</f>
        <v>5.836787260421664</v>
      </c>
      <c r="L77" s="430">
        <f>'Butadiene Recycling HC'!K261</f>
        <v>5.943349606194519</v>
      </c>
      <c r="M77" s="430">
        <f>'Butadiene Recycling HC'!L261</f>
        <v>6.0490359234736584</v>
      </c>
      <c r="N77" s="430">
        <f>'Butadiene Recycling HC'!M261</f>
        <v>6.1537274265573148</v>
      </c>
      <c r="O77" s="430">
        <f>'Butadiene Recycling HC'!N261</f>
        <v>6.2483515579178093</v>
      </c>
      <c r="P77" s="430">
        <f>'Butadiene Recycling HC'!O261</f>
        <v>6.3323666466639175</v>
      </c>
      <c r="Q77" s="430">
        <f>'Butadiene Recycling HC'!P261</f>
        <v>6.4052830023555956</v>
      </c>
      <c r="R77" s="430">
        <f>'Butadiene Recycling HC'!Q261</f>
        <v>6.4666676183175262</v>
      </c>
      <c r="S77" s="430">
        <f>'Butadiene Recycling HC'!R261</f>
        <v>6.5161484106872418</v>
      </c>
      <c r="T77" s="430">
        <f>'Butadiene Recycling HC'!S261</f>
        <v>6.5652250312386062</v>
      </c>
      <c r="U77" s="430">
        <f>'Butadiene Recycling HC'!T261</f>
        <v>6.6138817695079322</v>
      </c>
      <c r="V77" s="430">
        <f>'Butadiene Recycling HC'!U261</f>
        <v>6.6621029243843619</v>
      </c>
      <c r="W77" s="430">
        <f>'Butadiene Recycling HC'!V261</f>
        <v>6.7098728119122679</v>
      </c>
      <c r="X77" s="430">
        <f>'Butadiene Recycling HC'!W261</f>
        <v>6.7571757731627828</v>
      </c>
      <c r="Y77" s="430">
        <f>'Butadiene Recycling HC'!X261</f>
        <v>6.8040711241849134</v>
      </c>
      <c r="Z77" s="430">
        <f>'Butadiene Recycling HC'!Y261</f>
        <v>6.8505449273275998</v>
      </c>
      <c r="AA77" s="430">
        <f>'Butadiene Recycling HC'!Z261</f>
        <v>6.896583265592751</v>
      </c>
      <c r="AB77" s="430">
        <f>'Butadiene Recycling HC'!AA261</f>
        <v>6.9421722490300324</v>
      </c>
      <c r="AC77" s="430">
        <f>'Butadiene Recycling HC'!AB261</f>
        <v>6.9872980211777591</v>
      </c>
      <c r="AD77" s="430">
        <f>'Butadiene Recycling HC'!AC261</f>
        <v>7.0320132472372485</v>
      </c>
      <c r="AE77" s="430">
        <f>'Butadiene Recycling HC'!AD261</f>
        <v>7.076305500064259</v>
      </c>
      <c r="AF77" s="430">
        <f>'Butadiene Recycling HC'!AE261</f>
        <v>7.120162381056641</v>
      </c>
      <c r="AG77" s="430">
        <f>'Butadiene Recycling HC'!AF261</f>
        <v>7.1635715254484271</v>
      </c>
      <c r="AH77" s="430">
        <f>'Butadiene Recycling HC'!AG261</f>
        <v>7.2065206076344772</v>
      </c>
      <c r="AI77" s="101"/>
      <c r="AJ77" s="430">
        <f>'Butadiene Recycling LC'!C261</f>
        <v>4.9675667212869898</v>
      </c>
      <c r="AK77" s="430">
        <f>'Butadiene Recycling LC'!D261</f>
        <v>5.1187664269315523</v>
      </c>
      <c r="AL77" s="430">
        <f>'Butadiene Recycling LC'!E261</f>
        <v>5.2607330388771567</v>
      </c>
      <c r="AM77" s="430">
        <f>'Butadiene Recycling LC'!F261</f>
        <v>5.3924644393678012</v>
      </c>
      <c r="AN77" s="430">
        <f>'Butadiene Recycling LC'!G261</f>
        <v>5.5130144155711127</v>
      </c>
      <c r="AO77" s="430">
        <f>'Butadiene Recycling LC'!H261</f>
        <v>5.6215039930718502</v>
      </c>
      <c r="AP77" s="430">
        <f>'Butadiene Recycling LC'!I261</f>
        <v>5.7294665853322746</v>
      </c>
      <c r="AQ77" s="430">
        <f>'Butadiene Recycling LC'!J261</f>
        <v>5.836787260421664</v>
      </c>
      <c r="AR77" s="430">
        <f>'Butadiene Recycling LC'!K261</f>
        <v>5.943349606194519</v>
      </c>
      <c r="AS77" s="430">
        <f>'Butadiene Recycling LC'!L261</f>
        <v>6.0490359234736584</v>
      </c>
      <c r="AT77" s="430">
        <f>'Butadiene Recycling LC'!M261</f>
        <v>6.1537274265573148</v>
      </c>
      <c r="AU77" s="430">
        <f>'Butadiene Recycling LC'!N261</f>
        <v>6.2483515579178093</v>
      </c>
      <c r="AV77" s="430">
        <f>'Butadiene Recycling LC'!O261</f>
        <v>6.3323666466639175</v>
      </c>
      <c r="AW77" s="430">
        <f>'Butadiene Recycling LC'!P261</f>
        <v>6.4052830023555956</v>
      </c>
      <c r="AX77" s="430">
        <f>'Butadiene Recycling LC'!Q261</f>
        <v>6.4666676183175262</v>
      </c>
      <c r="AY77" s="430">
        <f>'Butadiene Recycling LC'!R261</f>
        <v>6.5161484106872418</v>
      </c>
      <c r="AZ77" s="430">
        <f>'Butadiene Recycling LC'!S261</f>
        <v>6.5652250312386062</v>
      </c>
      <c r="BA77" s="430">
        <f>'Butadiene Recycling LC'!T261</f>
        <v>6.6138817695079322</v>
      </c>
      <c r="BB77" s="430">
        <f>'Butadiene Recycling LC'!U261</f>
        <v>6.6621029243843619</v>
      </c>
      <c r="BC77" s="430">
        <f>'Butadiene Recycling LC'!V261</f>
        <v>6.7098728119122679</v>
      </c>
      <c r="BD77" s="430">
        <f>'Butadiene Recycling LC'!W261</f>
        <v>6.7571757731627828</v>
      </c>
      <c r="BE77" s="430">
        <f>'Butadiene Recycling LC'!X261</f>
        <v>6.8040711241849134</v>
      </c>
      <c r="BF77" s="430">
        <f>'Butadiene Recycling LC'!Y261</f>
        <v>6.8505449273275998</v>
      </c>
      <c r="BG77" s="430">
        <f>'Butadiene Recycling LC'!Z261</f>
        <v>6.896583265592751</v>
      </c>
      <c r="BH77" s="430">
        <f>'Butadiene Recycling LC'!AA261</f>
        <v>6.9421722490300324</v>
      </c>
      <c r="BI77" s="430">
        <f>'Butadiene Recycling LC'!AB261</f>
        <v>6.9872980211777591</v>
      </c>
      <c r="BJ77" s="430">
        <f>'Butadiene Recycling LC'!AC261</f>
        <v>7.0320132472372485</v>
      </c>
      <c r="BK77" s="430">
        <f>'Butadiene Recycling LC'!AD261</f>
        <v>7.076305500064259</v>
      </c>
      <c r="BL77" s="430">
        <f>'Butadiene Recycling LC'!AE261</f>
        <v>7.120162381056641</v>
      </c>
      <c r="BM77" s="430">
        <f>'Butadiene Recycling LC'!AF261</f>
        <v>7.1635715254484271</v>
      </c>
      <c r="BN77" s="430">
        <f>'Butadiene Recycling LC'!AG261</f>
        <v>7.2065206076344772</v>
      </c>
    </row>
    <row r="78" spans="1:67" s="428" customFormat="1">
      <c r="A78" s="427" t="s">
        <v>234</v>
      </c>
      <c r="C78" s="431" t="s">
        <v>153</v>
      </c>
      <c r="D78" s="432">
        <f>'Butadiene Recycling HC'!C262</f>
        <v>4.9675667212869898</v>
      </c>
      <c r="E78" s="432">
        <f>'Butadiene Recycling HC'!D262</f>
        <v>5.1187664269315523</v>
      </c>
      <c r="F78" s="432">
        <f>'Butadiene Recycling HC'!E262</f>
        <v>5.2607330388771567</v>
      </c>
      <c r="G78" s="432">
        <f>'Butadiene Recycling HC'!F262</f>
        <v>5.3924644393678012</v>
      </c>
      <c r="H78" s="432">
        <f>'Butadiene Recycling HC'!G262</f>
        <v>5.5130144155711127</v>
      </c>
      <c r="I78" s="432">
        <f>'Butadiene Recycling HC'!H262</f>
        <v>5.6215039930718502</v>
      </c>
      <c r="J78" s="432">
        <f>'Butadiene Recycling HC'!I262</f>
        <v>5.7294665853322746</v>
      </c>
      <c r="K78" s="432">
        <f>'Butadiene Recycling HC'!J262</f>
        <v>5.836787260421664</v>
      </c>
      <c r="L78" s="432">
        <f>'Butadiene Recycling HC'!K262</f>
        <v>5.943349606194519</v>
      </c>
      <c r="M78" s="432">
        <f>'Butadiene Recycling HC'!L262</f>
        <v>6.0490359234736584</v>
      </c>
      <c r="N78" s="432">
        <f>'Butadiene Recycling HC'!M262</f>
        <v>6.1537274265573148</v>
      </c>
      <c r="O78" s="432">
        <f>'Butadiene Recycling HC'!N262</f>
        <v>6.2483515579178093</v>
      </c>
      <c r="P78" s="432">
        <f>'Butadiene Recycling HC'!O262</f>
        <v>6.3323666466639175</v>
      </c>
      <c r="Q78" s="432">
        <f>'Butadiene Recycling HC'!P262</f>
        <v>6.4052830023555956</v>
      </c>
      <c r="R78" s="432">
        <f>'Butadiene Recycling HC'!Q262</f>
        <v>6.4666676183175262</v>
      </c>
      <c r="S78" s="432">
        <f>'Butadiene Recycling HC'!R262</f>
        <v>6.5161484106872418</v>
      </c>
      <c r="T78" s="432">
        <f>'Butadiene Recycling HC'!S262</f>
        <v>6.5652250312386062</v>
      </c>
      <c r="U78" s="432">
        <f>'Butadiene Recycling HC'!T262</f>
        <v>6.6138817695079322</v>
      </c>
      <c r="V78" s="432">
        <f>'Butadiene Recycling HC'!U262</f>
        <v>6.6621029243843619</v>
      </c>
      <c r="W78" s="432">
        <f>'Butadiene Recycling HC'!V262</f>
        <v>6.7098728119122679</v>
      </c>
      <c r="X78" s="432">
        <f>'Butadiene Recycling HC'!W262</f>
        <v>6.7571757731627828</v>
      </c>
      <c r="Y78" s="432">
        <f>'Butadiene Recycling HC'!X262</f>
        <v>6.8040711241849134</v>
      </c>
      <c r="Z78" s="432">
        <f>'Butadiene Recycling HC'!Y262</f>
        <v>6.8505449273275998</v>
      </c>
      <c r="AA78" s="432">
        <f>'Butadiene Recycling HC'!Z262</f>
        <v>6.896583265592751</v>
      </c>
      <c r="AB78" s="432">
        <f>'Butadiene Recycling HC'!AA262</f>
        <v>6.9421722490300324</v>
      </c>
      <c r="AC78" s="432">
        <f>'Butadiene Recycling HC'!AB262</f>
        <v>6.9872980211777591</v>
      </c>
      <c r="AD78" s="432">
        <f>'Butadiene Recycling HC'!AC262</f>
        <v>7.0320132472372485</v>
      </c>
      <c r="AE78" s="432">
        <f>'Butadiene Recycling HC'!AD262</f>
        <v>7.076305500064259</v>
      </c>
      <c r="AF78" s="432">
        <f>'Butadiene Recycling HC'!AE262</f>
        <v>7.120162381056641</v>
      </c>
      <c r="AG78" s="432">
        <f>'Butadiene Recycling HC'!AF262</f>
        <v>7.1635715254484271</v>
      </c>
      <c r="AH78" s="432">
        <f>'Butadiene Recycling HC'!AG262</f>
        <v>7.2065206076344772</v>
      </c>
      <c r="AI78" s="64"/>
      <c r="AJ78" s="432">
        <f>'Butadiene Recycling LC'!C262</f>
        <v>4.9675667212869898</v>
      </c>
      <c r="AK78" s="432">
        <f>'Butadiene Recycling LC'!D262</f>
        <v>5.1187664269315523</v>
      </c>
      <c r="AL78" s="432">
        <f>'Butadiene Recycling LC'!E262</f>
        <v>5.2607330388771567</v>
      </c>
      <c r="AM78" s="432">
        <f>'Butadiene Recycling LC'!F262</f>
        <v>5.3924644393678012</v>
      </c>
      <c r="AN78" s="432">
        <f>'Butadiene Recycling LC'!G262</f>
        <v>5.5130144155711127</v>
      </c>
      <c r="AO78" s="432">
        <f>'Butadiene Recycling LC'!H262</f>
        <v>5.6215039930718502</v>
      </c>
      <c r="AP78" s="432">
        <f>'Butadiene Recycling LC'!I262</f>
        <v>5.7294665853322746</v>
      </c>
      <c r="AQ78" s="432">
        <f>'Butadiene Recycling LC'!J262</f>
        <v>5.836787260421664</v>
      </c>
      <c r="AR78" s="432">
        <f>'Butadiene Recycling LC'!K262</f>
        <v>5.943349606194519</v>
      </c>
      <c r="AS78" s="432">
        <f>'Butadiene Recycling LC'!L262</f>
        <v>6.0490359234736584</v>
      </c>
      <c r="AT78" s="432">
        <f>'Butadiene Recycling LC'!M262</f>
        <v>6.1537274265573148</v>
      </c>
      <c r="AU78" s="432">
        <f>'Butadiene Recycling LC'!N262</f>
        <v>6.2483515579178093</v>
      </c>
      <c r="AV78" s="432">
        <f>'Butadiene Recycling LC'!O262</f>
        <v>6.3323666466639175</v>
      </c>
      <c r="AW78" s="432">
        <f>'Butadiene Recycling LC'!P262</f>
        <v>6.4052830023555956</v>
      </c>
      <c r="AX78" s="432">
        <f>'Butadiene Recycling LC'!Q262</f>
        <v>6.4666676183175262</v>
      </c>
      <c r="AY78" s="432">
        <f>'Butadiene Recycling LC'!R262</f>
        <v>6.5161484106872418</v>
      </c>
      <c r="AZ78" s="432">
        <f>'Butadiene Recycling LC'!S262</f>
        <v>6.5652250312386062</v>
      </c>
      <c r="BA78" s="432">
        <f>'Butadiene Recycling LC'!T262</f>
        <v>6.6138817695079322</v>
      </c>
      <c r="BB78" s="432">
        <f>'Butadiene Recycling LC'!U262</f>
        <v>6.6621029243843619</v>
      </c>
      <c r="BC78" s="432">
        <f>'Butadiene Recycling LC'!V262</f>
        <v>6.7098728119122679</v>
      </c>
      <c r="BD78" s="432">
        <f>'Butadiene Recycling LC'!W262</f>
        <v>6.7571757731627828</v>
      </c>
      <c r="BE78" s="432">
        <f>'Butadiene Recycling LC'!X262</f>
        <v>6.8040711241849134</v>
      </c>
      <c r="BF78" s="432">
        <f>'Butadiene Recycling LC'!Y262</f>
        <v>6.8505449273275998</v>
      </c>
      <c r="BG78" s="432">
        <f>'Butadiene Recycling LC'!Z262</f>
        <v>6.896583265592751</v>
      </c>
      <c r="BH78" s="432">
        <f>'Butadiene Recycling LC'!AA262</f>
        <v>6.9421722490300324</v>
      </c>
      <c r="BI78" s="432">
        <f>'Butadiene Recycling LC'!AB262</f>
        <v>6.9872980211777591</v>
      </c>
      <c r="BJ78" s="432">
        <f>'Butadiene Recycling LC'!AC262</f>
        <v>7.0320132472372485</v>
      </c>
      <c r="BK78" s="432">
        <f>'Butadiene Recycling LC'!AD262</f>
        <v>7.076305500064259</v>
      </c>
      <c r="BL78" s="432">
        <f>'Butadiene Recycling LC'!AE262</f>
        <v>7.120162381056641</v>
      </c>
      <c r="BM78" s="432">
        <f>'Butadiene Recycling LC'!AF262</f>
        <v>7.1635715254484271</v>
      </c>
      <c r="BN78" s="432">
        <f>'Butadiene Recycling LC'!AG262</f>
        <v>7.2065206076344772</v>
      </c>
    </row>
  </sheetData>
  <mergeCells count="2">
    <mergeCell ref="D1:AH1"/>
    <mergeCell ref="AJ1:BN1"/>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48E91-F1E2-4555-A624-59109D0309BA}">
  <sheetPr>
    <tabColor theme="9"/>
  </sheetPr>
  <dimension ref="A1:CK128"/>
  <sheetViews>
    <sheetView zoomScale="85" zoomScaleNormal="85" workbookViewId="0">
      <pane xSplit="3" ySplit="3" topLeftCell="D4" activePane="bottomRight" state="frozen"/>
      <selection pane="topRight" activeCell="D1" sqref="D1"/>
      <selection pane="bottomLeft" activeCell="A4" sqref="A4"/>
      <selection pane="bottomRight" activeCell="AA12" sqref="AA12"/>
    </sheetView>
  </sheetViews>
  <sheetFormatPr baseColWidth="10" defaultColWidth="8.83203125" defaultRowHeight="15" outlineLevelRow="1" outlineLevelCol="1"/>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customWidth="1" outlineLevel="1"/>
    <col min="16" max="23" width="8.83203125" customWidth="1" outlineLevel="1"/>
    <col min="24" max="24" width="8.6640625"/>
    <col min="25" max="25" width="7.1640625" customWidth="1" outlineLevel="1"/>
    <col min="26" max="33" width="8.83203125" customWidth="1" outlineLevel="1"/>
    <col min="34" max="34" width="8.6640625"/>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33203125" bestFit="1" customWidth="1" collapsed="1"/>
    <col min="67" max="67" width="8.83203125" customWidth="1"/>
    <col min="68" max="68" width="8.83203125" bestFit="1" customWidth="1"/>
    <col min="69" max="69" width="27" customWidth="1"/>
    <col min="70" max="70" width="37.5" bestFit="1" customWidth="1"/>
    <col min="71" max="97" width="8.83203125" bestFit="1" customWidth="1"/>
  </cols>
  <sheetData>
    <row r="1" spans="1:89">
      <c r="D1" s="748" t="s">
        <v>64</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65</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row>
    <row r="2" spans="1:89" s="53" customFormat="1">
      <c r="A2" s="52" t="s">
        <v>6</v>
      </c>
      <c r="B2" s="52"/>
      <c r="C2" s="52"/>
    </row>
    <row r="3" spans="1:89"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 si="1">AK3+1</f>
        <v>2022</v>
      </c>
      <c r="AM3" s="1">
        <f t="shared" ref="AM3" si="2">AL3+1</f>
        <v>2023</v>
      </c>
      <c r="AN3" s="1">
        <f t="shared" ref="AN3" si="3">AM3+1</f>
        <v>2024</v>
      </c>
      <c r="AO3" s="1">
        <f t="shared" ref="AO3" si="4">AN3+1</f>
        <v>2025</v>
      </c>
      <c r="AP3" s="1">
        <f t="shared" ref="AP3" si="5">AO3+1</f>
        <v>2026</v>
      </c>
      <c r="AQ3" s="1">
        <f t="shared" ref="AQ3" si="6">AP3+1</f>
        <v>2027</v>
      </c>
      <c r="AR3" s="1">
        <f t="shared" ref="AR3" si="7">AQ3+1</f>
        <v>2028</v>
      </c>
      <c r="AS3" s="1">
        <f t="shared" ref="AS3" si="8">AR3+1</f>
        <v>2029</v>
      </c>
      <c r="AT3" s="1">
        <f t="shared" ref="AT3" si="9">AS3+1</f>
        <v>2030</v>
      </c>
      <c r="AU3" s="1">
        <f t="shared" ref="AU3" si="10">AT3+1</f>
        <v>2031</v>
      </c>
      <c r="AV3" s="1">
        <f t="shared" ref="AV3" si="11">AU3+1</f>
        <v>2032</v>
      </c>
      <c r="AW3" s="1">
        <f t="shared" ref="AW3" si="12">AV3+1</f>
        <v>2033</v>
      </c>
      <c r="AX3" s="1">
        <f>AW3+1</f>
        <v>2034</v>
      </c>
      <c r="AY3" s="1">
        <f t="shared" ref="AY3" si="13">AX3+1</f>
        <v>2035</v>
      </c>
      <c r="AZ3" s="1">
        <f t="shared" ref="AZ3" si="14">AY3+1</f>
        <v>2036</v>
      </c>
      <c r="BA3" s="1">
        <f t="shared" ref="BA3" si="15">AZ3+1</f>
        <v>2037</v>
      </c>
      <c r="BB3" s="1">
        <f t="shared" ref="BB3" si="16">BA3+1</f>
        <v>2038</v>
      </c>
      <c r="BC3" s="1">
        <f t="shared" ref="BC3" si="17">BB3+1</f>
        <v>2039</v>
      </c>
      <c r="BD3" s="1">
        <f t="shared" ref="BD3" si="18">BC3+1</f>
        <v>2040</v>
      </c>
      <c r="BE3" s="1">
        <f t="shared" ref="BE3" si="19">BD3+1</f>
        <v>2041</v>
      </c>
      <c r="BF3" s="1">
        <f t="shared" ref="BF3" si="20">BE3+1</f>
        <v>2042</v>
      </c>
      <c r="BG3" s="1">
        <f t="shared" ref="BG3" si="21">BF3+1</f>
        <v>2043</v>
      </c>
      <c r="BH3" s="1">
        <f t="shared" ref="BH3" si="22">BG3+1</f>
        <v>2044</v>
      </c>
      <c r="BI3" s="1">
        <f>BH3+1</f>
        <v>2045</v>
      </c>
      <c r="BJ3" s="1">
        <f t="shared" ref="BJ3" si="23">BI3+1</f>
        <v>2046</v>
      </c>
      <c r="BK3" s="1">
        <f t="shared" ref="BK3" si="24">BJ3+1</f>
        <v>2047</v>
      </c>
      <c r="BL3" s="1">
        <f t="shared" ref="BL3" si="25">BK3+1</f>
        <v>2048</v>
      </c>
      <c r="BM3" s="1">
        <f>BL3+1</f>
        <v>2049</v>
      </c>
      <c r="BN3" s="1">
        <f t="shared" ref="BN3" si="26">BM3+1</f>
        <v>2050</v>
      </c>
    </row>
    <row r="4" spans="1:89" s="67" customFormat="1">
      <c r="A4" s="518" t="s">
        <v>242</v>
      </c>
      <c r="B4" s="58"/>
      <c r="C4" s="59" t="s">
        <v>153</v>
      </c>
      <c r="D4" s="60">
        <f>'Yearly Demand - Methanol'!G10</f>
        <v>102.16223893794903</v>
      </c>
      <c r="E4" s="67">
        <f>$D4+($N4-$D4)/($N$3-$D$3)*(E$3-$D$3)</f>
        <v>106.84601504415413</v>
      </c>
      <c r="F4" s="67">
        <f t="shared" ref="F4:M4" si="27">$D4+($N4-$D4)/($N$3-$D$3)*(F$3-$D$3)</f>
        <v>111.52979115035922</v>
      </c>
      <c r="G4" s="67">
        <f t="shared" si="27"/>
        <v>116.21356725656432</v>
      </c>
      <c r="H4" s="67">
        <f t="shared" si="27"/>
        <v>120.89734336276942</v>
      </c>
      <c r="I4" s="67">
        <f t="shared" si="27"/>
        <v>125.58111946897452</v>
      </c>
      <c r="J4" s="67">
        <f t="shared" si="27"/>
        <v>130.26489557517959</v>
      </c>
      <c r="K4" s="67">
        <f t="shared" si="27"/>
        <v>134.94867168138472</v>
      </c>
      <c r="L4" s="67">
        <f t="shared" si="27"/>
        <v>139.6324477875898</v>
      </c>
      <c r="M4" s="67">
        <f t="shared" si="27"/>
        <v>144.3162238937949</v>
      </c>
      <c r="N4" s="60">
        <f>'Yearly Demand - Methanol'!J10</f>
        <v>149</v>
      </c>
      <c r="O4" s="60">
        <f>$N$4+($S$4-$N$4)/($S$3-$N$3)*(O3-$N$3)</f>
        <v>151</v>
      </c>
      <c r="P4" s="60">
        <f t="shared" ref="P4:R4" si="28">$N$4+($S$4-$N$4)/($S$3-$N$3)*(P3-$N$3)</f>
        <v>153</v>
      </c>
      <c r="Q4" s="60">
        <f t="shared" si="28"/>
        <v>155</v>
      </c>
      <c r="R4" s="60">
        <f t="shared" si="28"/>
        <v>157</v>
      </c>
      <c r="S4" s="60">
        <f>'Yearly Demand - Methanol'!K10</f>
        <v>159</v>
      </c>
      <c r="T4" s="60">
        <f>$S$4+($X$4-$S$4)/($X$3-$S$3)*(T3-$S$3)</f>
        <v>160.80000000000001</v>
      </c>
      <c r="U4" s="60">
        <f t="shared" ref="U4:W4" si="29">$S$4+($X$4-$S$4)/($X$3-$S$3)*(U3-$S$3)</f>
        <v>162.6</v>
      </c>
      <c r="V4" s="60">
        <f t="shared" si="29"/>
        <v>164.4</v>
      </c>
      <c r="W4" s="60">
        <f t="shared" si="29"/>
        <v>166.2</v>
      </c>
      <c r="X4" s="60">
        <f>'Yearly Demand - Methanol'!L10</f>
        <v>168</v>
      </c>
      <c r="Y4" s="60">
        <f>$X$4+($AC$4-$X$4)/($AC$3-$X$3)*(Y3-$X$3)</f>
        <v>169.4</v>
      </c>
      <c r="Z4" s="60">
        <f t="shared" ref="Z4:AB4" si="30">$X$4+($AC$4-$X$4)/($AC$3-$X$3)*(Z3-$X$3)</f>
        <v>170.8</v>
      </c>
      <c r="AA4" s="60">
        <f t="shared" si="30"/>
        <v>172.2</v>
      </c>
      <c r="AB4" s="60">
        <f t="shared" si="30"/>
        <v>173.6</v>
      </c>
      <c r="AC4" s="60">
        <f>'Yearly Demand - Methanol'!M10</f>
        <v>175</v>
      </c>
      <c r="AD4" s="60">
        <f>$AC$4+($AH$4-$AC$4)/($AH$3-$AC$3)*(AD3-$AC$3)</f>
        <v>176.4</v>
      </c>
      <c r="AE4" s="60">
        <f t="shared" ref="AE4:AG4" si="31">$AC$4+($AH$4-$AC$4)/($AH$3-$AC$3)*(AE3-$AC$3)</f>
        <v>177.8</v>
      </c>
      <c r="AF4" s="60">
        <f t="shared" si="31"/>
        <v>179.2</v>
      </c>
      <c r="AG4" s="60">
        <f t="shared" si="31"/>
        <v>180.6</v>
      </c>
      <c r="AH4" s="60">
        <f>'Yearly Demand - Methanol'!N10</f>
        <v>182</v>
      </c>
      <c r="AJ4" s="60">
        <f>D4</f>
        <v>102.16223893794903</v>
      </c>
      <c r="AK4" s="60">
        <f t="shared" ref="AK4:BN4" si="32">E4</f>
        <v>106.84601504415413</v>
      </c>
      <c r="AL4" s="60">
        <f t="shared" si="32"/>
        <v>111.52979115035922</v>
      </c>
      <c r="AM4" s="60">
        <f t="shared" si="32"/>
        <v>116.21356725656432</v>
      </c>
      <c r="AN4" s="60">
        <f t="shared" si="32"/>
        <v>120.89734336276942</v>
      </c>
      <c r="AO4" s="60">
        <f t="shared" si="32"/>
        <v>125.58111946897452</v>
      </c>
      <c r="AP4" s="60">
        <f t="shared" si="32"/>
        <v>130.26489557517959</v>
      </c>
      <c r="AQ4" s="60">
        <f t="shared" si="32"/>
        <v>134.94867168138472</v>
      </c>
      <c r="AR4" s="60">
        <f t="shared" si="32"/>
        <v>139.6324477875898</v>
      </c>
      <c r="AS4" s="60">
        <f t="shared" si="32"/>
        <v>144.3162238937949</v>
      </c>
      <c r="AT4" s="60">
        <f t="shared" si="32"/>
        <v>149</v>
      </c>
      <c r="AU4" s="60">
        <f t="shared" si="32"/>
        <v>151</v>
      </c>
      <c r="AV4" s="60">
        <f t="shared" si="32"/>
        <v>153</v>
      </c>
      <c r="AW4" s="60">
        <f t="shared" si="32"/>
        <v>155</v>
      </c>
      <c r="AX4" s="60">
        <f t="shared" si="32"/>
        <v>157</v>
      </c>
      <c r="AY4" s="60">
        <f t="shared" si="32"/>
        <v>159</v>
      </c>
      <c r="AZ4" s="60">
        <f t="shared" si="32"/>
        <v>160.80000000000001</v>
      </c>
      <c r="BA4" s="60">
        <f t="shared" si="32"/>
        <v>162.6</v>
      </c>
      <c r="BB4" s="60">
        <f t="shared" si="32"/>
        <v>164.4</v>
      </c>
      <c r="BC4" s="60">
        <f t="shared" si="32"/>
        <v>166.2</v>
      </c>
      <c r="BD4" s="60">
        <f t="shared" si="32"/>
        <v>168</v>
      </c>
      <c r="BE4" s="60">
        <f t="shared" si="32"/>
        <v>169.4</v>
      </c>
      <c r="BF4" s="60">
        <f t="shared" si="32"/>
        <v>170.8</v>
      </c>
      <c r="BG4" s="60">
        <f t="shared" si="32"/>
        <v>172.2</v>
      </c>
      <c r="BH4" s="60">
        <f t="shared" si="32"/>
        <v>173.6</v>
      </c>
      <c r="BI4" s="60">
        <f t="shared" si="32"/>
        <v>175</v>
      </c>
      <c r="BJ4" s="60">
        <f t="shared" si="32"/>
        <v>176.4</v>
      </c>
      <c r="BK4" s="60">
        <f t="shared" si="32"/>
        <v>177.8</v>
      </c>
      <c r="BL4" s="60">
        <f t="shared" si="32"/>
        <v>179.2</v>
      </c>
      <c r="BM4" s="60">
        <f t="shared" si="32"/>
        <v>180.6</v>
      </c>
      <c r="BN4" s="60">
        <f t="shared" si="32"/>
        <v>182</v>
      </c>
    </row>
    <row r="5" spans="1:89">
      <c r="A5" s="519" t="s">
        <v>243</v>
      </c>
      <c r="C5" s="54" t="s">
        <v>153</v>
      </c>
      <c r="D5" s="44">
        <f>'Yearly Demand - Methanol'!G8</f>
        <v>31.201972235932139</v>
      </c>
      <c r="E5" s="44">
        <f t="shared" ref="E5:AG5" si="33">$D$5+($AH$5-$D$5)/($AH$3-$D$3)*(E3-$D$3)</f>
        <v>31.457144589972497</v>
      </c>
      <c r="F5" s="44">
        <f t="shared" si="33"/>
        <v>31.712316944012855</v>
      </c>
      <c r="G5" s="44">
        <f t="shared" si="33"/>
        <v>31.967489298053209</v>
      </c>
      <c r="H5" s="44">
        <f t="shared" si="33"/>
        <v>32.222661652093571</v>
      </c>
      <c r="I5" s="44">
        <f t="shared" si="33"/>
        <v>32.477834006133925</v>
      </c>
      <c r="J5" s="44">
        <f t="shared" si="33"/>
        <v>32.733006360174279</v>
      </c>
      <c r="K5" s="44">
        <f t="shared" si="33"/>
        <v>32.988178714214641</v>
      </c>
      <c r="L5" s="44">
        <f t="shared" si="33"/>
        <v>33.243351068254995</v>
      </c>
      <c r="M5" s="44">
        <f t="shared" si="33"/>
        <v>33.498523422295357</v>
      </c>
      <c r="N5" s="44">
        <f t="shared" si="33"/>
        <v>33.753695776335711</v>
      </c>
      <c r="O5" s="44">
        <f t="shared" si="33"/>
        <v>34.008868130376065</v>
      </c>
      <c r="P5" s="44">
        <f t="shared" si="33"/>
        <v>34.264040484416427</v>
      </c>
      <c r="Q5" s="44">
        <f t="shared" si="33"/>
        <v>34.519212838456781</v>
      </c>
      <c r="R5" s="44">
        <f t="shared" si="33"/>
        <v>34.774385192497142</v>
      </c>
      <c r="S5" s="44">
        <f t="shared" si="33"/>
        <v>35.029557546537497</v>
      </c>
      <c r="T5" s="44">
        <f t="shared" si="33"/>
        <v>35.284729900577851</v>
      </c>
      <c r="U5" s="44">
        <f t="shared" si="33"/>
        <v>35.539902254618212</v>
      </c>
      <c r="V5" s="44">
        <f t="shared" si="33"/>
        <v>35.795074608658567</v>
      </c>
      <c r="W5" s="44">
        <f t="shared" si="33"/>
        <v>36.050246962698928</v>
      </c>
      <c r="X5" s="44">
        <f t="shared" si="33"/>
        <v>36.305419316739282</v>
      </c>
      <c r="Y5" s="44">
        <f t="shared" si="33"/>
        <v>36.560591670779637</v>
      </c>
      <c r="Z5" s="44">
        <f t="shared" si="33"/>
        <v>36.815764024819998</v>
      </c>
      <c r="AA5" s="44">
        <f t="shared" si="33"/>
        <v>37.070936378860353</v>
      </c>
      <c r="AB5" s="44">
        <f t="shared" si="33"/>
        <v>37.326108732900707</v>
      </c>
      <c r="AC5" s="44">
        <f t="shared" si="33"/>
        <v>37.581281086941068</v>
      </c>
      <c r="AD5" s="44">
        <f t="shared" si="33"/>
        <v>37.836453440981423</v>
      </c>
      <c r="AE5" s="44">
        <f t="shared" si="33"/>
        <v>38.091625795021784</v>
      </c>
      <c r="AF5" s="44">
        <f t="shared" si="33"/>
        <v>38.346798149062138</v>
      </c>
      <c r="AG5" s="44">
        <f t="shared" si="33"/>
        <v>38.601970503102493</v>
      </c>
      <c r="AH5" s="44">
        <f>'Yearly Demand - Methanol'!N8</f>
        <v>38.857142857142854</v>
      </c>
      <c r="AJ5" s="44">
        <f t="shared" ref="AJ5:AJ6" si="34">D5</f>
        <v>31.201972235932139</v>
      </c>
      <c r="AK5" s="44">
        <f t="shared" ref="AK5:AK8" si="35">E5</f>
        <v>31.457144589972497</v>
      </c>
      <c r="AL5" s="44">
        <f t="shared" ref="AL5:AL8" si="36">F5</f>
        <v>31.712316944012855</v>
      </c>
      <c r="AM5" s="44">
        <f t="shared" ref="AM5:AM8" si="37">G5</f>
        <v>31.967489298053209</v>
      </c>
      <c r="AN5" s="44">
        <f t="shared" ref="AN5:AN8" si="38">H5</f>
        <v>32.222661652093571</v>
      </c>
      <c r="AO5" s="44">
        <f t="shared" ref="AO5:AO8" si="39">I5</f>
        <v>32.477834006133925</v>
      </c>
      <c r="AP5" s="44">
        <f t="shared" ref="AP5:AP8" si="40">J5</f>
        <v>32.733006360174279</v>
      </c>
      <c r="AQ5" s="44">
        <f t="shared" ref="AQ5:AQ8" si="41">K5</f>
        <v>32.988178714214641</v>
      </c>
      <c r="AR5" s="44">
        <f t="shared" ref="AR5:AR8" si="42">L5</f>
        <v>33.243351068254995</v>
      </c>
      <c r="AS5" s="44">
        <f t="shared" ref="AS5:AS8" si="43">M5</f>
        <v>33.498523422295357</v>
      </c>
      <c r="AT5" s="44">
        <f t="shared" ref="AT5:AT8" si="44">N5</f>
        <v>33.753695776335711</v>
      </c>
      <c r="AU5" s="44">
        <f t="shared" ref="AU5:AU8" si="45">O5</f>
        <v>34.008868130376065</v>
      </c>
      <c r="AV5" s="44">
        <f t="shared" ref="AV5:AV8" si="46">P5</f>
        <v>34.264040484416427</v>
      </c>
      <c r="AW5" s="44">
        <f t="shared" ref="AW5:AW8" si="47">Q5</f>
        <v>34.519212838456781</v>
      </c>
      <c r="AX5" s="44">
        <f t="shared" ref="AX5:AX8" si="48">R5</f>
        <v>34.774385192497142</v>
      </c>
      <c r="AY5" s="44">
        <f t="shared" ref="AY5:AY8" si="49">S5</f>
        <v>35.029557546537497</v>
      </c>
      <c r="AZ5" s="44">
        <f t="shared" ref="AZ5:AZ8" si="50">T5</f>
        <v>35.284729900577851</v>
      </c>
      <c r="BA5" s="44">
        <f t="shared" ref="BA5:BA8" si="51">U5</f>
        <v>35.539902254618212</v>
      </c>
      <c r="BB5" s="44">
        <f t="shared" ref="BB5:BB8" si="52">V5</f>
        <v>35.795074608658567</v>
      </c>
      <c r="BC5" s="44">
        <f t="shared" ref="BC5:BC8" si="53">W5</f>
        <v>36.050246962698928</v>
      </c>
      <c r="BD5" s="44">
        <f t="shared" ref="BD5:BD8" si="54">X5</f>
        <v>36.305419316739282</v>
      </c>
      <c r="BE5" s="44">
        <f t="shared" ref="BE5:BE8" si="55">Y5</f>
        <v>36.560591670779637</v>
      </c>
      <c r="BF5" s="44">
        <f t="shared" ref="BF5:BF8" si="56">Z5</f>
        <v>36.815764024819998</v>
      </c>
      <c r="BG5" s="44">
        <f t="shared" ref="BG5:BG8" si="57">AA5</f>
        <v>37.070936378860353</v>
      </c>
      <c r="BH5" s="44">
        <f t="shared" ref="BH5:BH8" si="58">AB5</f>
        <v>37.326108732900707</v>
      </c>
      <c r="BI5" s="44">
        <f t="shared" ref="BI5:BI8" si="59">AC5</f>
        <v>37.581281086941068</v>
      </c>
      <c r="BJ5" s="44">
        <f t="shared" ref="BJ5:BJ8" si="60">AD5</f>
        <v>37.836453440981423</v>
      </c>
      <c r="BK5" s="44">
        <f t="shared" ref="BK5:BK8" si="61">AE5</f>
        <v>38.091625795021784</v>
      </c>
      <c r="BL5" s="44">
        <f t="shared" ref="BL5:BL8" si="62">AF5</f>
        <v>38.346798149062138</v>
      </c>
      <c r="BM5" s="44">
        <f t="shared" ref="BM5:BM8" si="63">AG5</f>
        <v>38.601970503102493</v>
      </c>
      <c r="BN5" s="44">
        <f t="shared" ref="BN5:BN8" si="64">AH5</f>
        <v>38.857142857142854</v>
      </c>
    </row>
    <row r="6" spans="1:89" s="62" customFormat="1">
      <c r="A6" s="520" t="s">
        <v>244</v>
      </c>
      <c r="C6" s="63" t="s">
        <v>153</v>
      </c>
      <c r="D6" s="64">
        <f t="shared" ref="D6:AG6" si="65">D4-D5</f>
        <v>70.960266702016895</v>
      </c>
      <c r="E6" s="64">
        <f t="shared" si="65"/>
        <v>75.388870454181628</v>
      </c>
      <c r="F6" s="64">
        <f t="shared" si="65"/>
        <v>79.817474206346361</v>
      </c>
      <c r="G6" s="64">
        <f t="shared" si="65"/>
        <v>84.246077958511108</v>
      </c>
      <c r="H6" s="64">
        <f t="shared" si="65"/>
        <v>88.674681710675856</v>
      </c>
      <c r="I6" s="64">
        <f t="shared" si="65"/>
        <v>93.103285462840603</v>
      </c>
      <c r="J6" s="64">
        <f t="shared" si="65"/>
        <v>97.531889215005322</v>
      </c>
      <c r="K6" s="64">
        <f t="shared" si="65"/>
        <v>101.96049296717008</v>
      </c>
      <c r="L6" s="64">
        <f t="shared" si="65"/>
        <v>106.3890967193348</v>
      </c>
      <c r="M6" s="64">
        <f t="shared" si="65"/>
        <v>110.81770047149953</v>
      </c>
      <c r="N6" s="64">
        <f t="shared" si="65"/>
        <v>115.24630422366428</v>
      </c>
      <c r="O6" s="64">
        <f t="shared" si="65"/>
        <v>116.99113186962393</v>
      </c>
      <c r="P6" s="64">
        <f t="shared" si="65"/>
        <v>118.73595951558357</v>
      </c>
      <c r="Q6" s="64">
        <f t="shared" si="65"/>
        <v>120.48078716154322</v>
      </c>
      <c r="R6" s="64">
        <f t="shared" si="65"/>
        <v>122.22561480750286</v>
      </c>
      <c r="S6" s="64">
        <f t="shared" si="65"/>
        <v>123.97044245346251</v>
      </c>
      <c r="T6" s="64">
        <f t="shared" si="65"/>
        <v>125.51527009942217</v>
      </c>
      <c r="U6" s="64">
        <f t="shared" si="65"/>
        <v>127.06009774538178</v>
      </c>
      <c r="V6" s="64">
        <f t="shared" si="65"/>
        <v>128.60492539134145</v>
      </c>
      <c r="W6" s="64">
        <f t="shared" si="65"/>
        <v>130.14975303730105</v>
      </c>
      <c r="X6" s="64">
        <f t="shared" si="65"/>
        <v>131.69458068326071</v>
      </c>
      <c r="Y6" s="64">
        <f t="shared" si="65"/>
        <v>132.83940832922036</v>
      </c>
      <c r="Z6" s="64">
        <f t="shared" si="65"/>
        <v>133.98423597518001</v>
      </c>
      <c r="AA6" s="64">
        <f t="shared" si="65"/>
        <v>135.12906362113964</v>
      </c>
      <c r="AB6" s="64">
        <f t="shared" si="65"/>
        <v>136.27389126709929</v>
      </c>
      <c r="AC6" s="64">
        <f t="shared" si="65"/>
        <v>137.41871891305894</v>
      </c>
      <c r="AD6" s="64">
        <f t="shared" si="65"/>
        <v>138.56354655901859</v>
      </c>
      <c r="AE6" s="64">
        <f t="shared" si="65"/>
        <v>139.70837420497821</v>
      </c>
      <c r="AF6" s="64">
        <f t="shared" si="65"/>
        <v>140.85320185093786</v>
      </c>
      <c r="AG6" s="64">
        <f t="shared" si="65"/>
        <v>141.99802949689752</v>
      </c>
      <c r="AH6" s="64">
        <f>AH4-AH5</f>
        <v>143.14285714285714</v>
      </c>
      <c r="AJ6" s="64">
        <f t="shared" si="34"/>
        <v>70.960266702016895</v>
      </c>
      <c r="AK6" s="64">
        <f t="shared" si="35"/>
        <v>75.388870454181628</v>
      </c>
      <c r="AL6" s="64">
        <f t="shared" si="36"/>
        <v>79.817474206346361</v>
      </c>
      <c r="AM6" s="64">
        <f t="shared" si="37"/>
        <v>84.246077958511108</v>
      </c>
      <c r="AN6" s="64">
        <f t="shared" si="38"/>
        <v>88.674681710675856</v>
      </c>
      <c r="AO6" s="64">
        <f t="shared" si="39"/>
        <v>93.103285462840603</v>
      </c>
      <c r="AP6" s="64">
        <f t="shared" si="40"/>
        <v>97.531889215005322</v>
      </c>
      <c r="AQ6" s="64">
        <f t="shared" si="41"/>
        <v>101.96049296717008</v>
      </c>
      <c r="AR6" s="64">
        <f t="shared" si="42"/>
        <v>106.3890967193348</v>
      </c>
      <c r="AS6" s="64">
        <f t="shared" si="43"/>
        <v>110.81770047149953</v>
      </c>
      <c r="AT6" s="64">
        <f t="shared" si="44"/>
        <v>115.24630422366428</v>
      </c>
      <c r="AU6" s="64">
        <f t="shared" si="45"/>
        <v>116.99113186962393</v>
      </c>
      <c r="AV6" s="64">
        <f t="shared" si="46"/>
        <v>118.73595951558357</v>
      </c>
      <c r="AW6" s="64">
        <f t="shared" si="47"/>
        <v>120.48078716154322</v>
      </c>
      <c r="AX6" s="64">
        <f t="shared" si="48"/>
        <v>122.22561480750286</v>
      </c>
      <c r="AY6" s="64">
        <f t="shared" si="49"/>
        <v>123.97044245346251</v>
      </c>
      <c r="AZ6" s="64">
        <f t="shared" si="50"/>
        <v>125.51527009942217</v>
      </c>
      <c r="BA6" s="64">
        <f t="shared" si="51"/>
        <v>127.06009774538178</v>
      </c>
      <c r="BB6" s="64">
        <f t="shared" si="52"/>
        <v>128.60492539134145</v>
      </c>
      <c r="BC6" s="64">
        <f t="shared" si="53"/>
        <v>130.14975303730105</v>
      </c>
      <c r="BD6" s="64">
        <f t="shared" si="54"/>
        <v>131.69458068326071</v>
      </c>
      <c r="BE6" s="64">
        <f t="shared" si="55"/>
        <v>132.83940832922036</v>
      </c>
      <c r="BF6" s="64">
        <f t="shared" si="56"/>
        <v>133.98423597518001</v>
      </c>
      <c r="BG6" s="64">
        <f t="shared" si="57"/>
        <v>135.12906362113964</v>
      </c>
      <c r="BH6" s="64">
        <f t="shared" si="58"/>
        <v>136.27389126709929</v>
      </c>
      <c r="BI6" s="64">
        <f t="shared" si="59"/>
        <v>137.41871891305894</v>
      </c>
      <c r="BJ6" s="64">
        <f t="shared" si="60"/>
        <v>138.56354655901859</v>
      </c>
      <c r="BK6" s="64">
        <f t="shared" si="61"/>
        <v>139.70837420497821</v>
      </c>
      <c r="BL6" s="64">
        <f t="shared" si="62"/>
        <v>140.85320185093786</v>
      </c>
      <c r="BM6" s="64">
        <f t="shared" si="63"/>
        <v>141.99802949689752</v>
      </c>
      <c r="BN6" s="64">
        <f t="shared" si="64"/>
        <v>143.14285714285714</v>
      </c>
      <c r="BO6" s="283" t="s">
        <v>245</v>
      </c>
    </row>
    <row r="7" spans="1:89" ht="96">
      <c r="A7" s="753"/>
      <c r="B7" s="1" t="s">
        <v>246</v>
      </c>
      <c r="C7" s="54" t="s">
        <v>153</v>
      </c>
      <c r="D7" s="44">
        <f>'Sankey Methanol_detailed'!H9</f>
        <v>7.192774760698633</v>
      </c>
      <c r="E7" s="44">
        <f t="shared" ref="E7:T7" si="66">$D7/$D$6*E$6</f>
        <v>7.6416731481225399</v>
      </c>
      <c r="F7" s="44">
        <f t="shared" si="66"/>
        <v>8.0905715355464469</v>
      </c>
      <c r="G7" s="44">
        <f t="shared" si="66"/>
        <v>8.5394699229703548</v>
      </c>
      <c r="H7" s="44">
        <f t="shared" si="66"/>
        <v>8.9883683103942644</v>
      </c>
      <c r="I7" s="44">
        <f t="shared" si="66"/>
        <v>9.4372666978181723</v>
      </c>
      <c r="J7" s="44">
        <f t="shared" si="66"/>
        <v>9.8861650852420784</v>
      </c>
      <c r="K7" s="44">
        <f t="shared" si="66"/>
        <v>10.335063472665988</v>
      </c>
      <c r="L7" s="44">
        <f t="shared" si="66"/>
        <v>10.783961860089894</v>
      </c>
      <c r="M7" s="44">
        <f t="shared" si="66"/>
        <v>11.2328602475138</v>
      </c>
      <c r="N7" s="44">
        <f t="shared" si="66"/>
        <v>11.68175863493771</v>
      </c>
      <c r="O7" s="44">
        <f t="shared" si="66"/>
        <v>11.858620318763244</v>
      </c>
      <c r="P7" s="44">
        <f t="shared" si="66"/>
        <v>12.035482002588779</v>
      </c>
      <c r="Q7" s="44">
        <f t="shared" si="66"/>
        <v>12.212343686414314</v>
      </c>
      <c r="R7" s="44">
        <f t="shared" si="66"/>
        <v>12.389205370239848</v>
      </c>
      <c r="S7" s="44">
        <f t="shared" si="66"/>
        <v>12.566067054065384</v>
      </c>
      <c r="T7" s="44">
        <f t="shared" si="66"/>
        <v>12.722656055458923</v>
      </c>
      <c r="U7" s="44">
        <f t="shared" ref="U7:AH7" si="67">$D7/$D$6*U$6</f>
        <v>12.87924505685246</v>
      </c>
      <c r="V7" s="44">
        <f t="shared" si="67"/>
        <v>13.035834058246001</v>
      </c>
      <c r="W7" s="44">
        <f t="shared" si="67"/>
        <v>13.192423059639536</v>
      </c>
      <c r="X7" s="44">
        <f t="shared" si="67"/>
        <v>13.349012061033076</v>
      </c>
      <c r="Y7" s="44">
        <f t="shared" si="67"/>
        <v>13.465055697562624</v>
      </c>
      <c r="Z7" s="44">
        <f t="shared" si="67"/>
        <v>13.581099334092171</v>
      </c>
      <c r="AA7" s="44">
        <f t="shared" si="67"/>
        <v>13.697142970621716</v>
      </c>
      <c r="AB7" s="44">
        <f t="shared" si="67"/>
        <v>13.813186607151264</v>
      </c>
      <c r="AC7" s="44">
        <f t="shared" si="67"/>
        <v>13.929230243680811</v>
      </c>
      <c r="AD7" s="44">
        <f t="shared" si="67"/>
        <v>14.04527388021036</v>
      </c>
      <c r="AE7" s="44">
        <f t="shared" si="67"/>
        <v>14.161317516739903</v>
      </c>
      <c r="AF7" s="44">
        <f t="shared" si="67"/>
        <v>14.277361153269451</v>
      </c>
      <c r="AG7" s="44">
        <f t="shared" si="67"/>
        <v>14.393404789798998</v>
      </c>
      <c r="AH7" s="44">
        <f t="shared" si="67"/>
        <v>14.509448426328543</v>
      </c>
      <c r="AJ7" s="44">
        <f t="shared" ref="AJ7:AJ8" si="68">D7</f>
        <v>7.192774760698633</v>
      </c>
      <c r="AK7" s="44">
        <f t="shared" si="35"/>
        <v>7.6416731481225399</v>
      </c>
      <c r="AL7" s="44">
        <f t="shared" si="36"/>
        <v>8.0905715355464469</v>
      </c>
      <c r="AM7" s="44">
        <f t="shared" si="37"/>
        <v>8.5394699229703548</v>
      </c>
      <c r="AN7" s="44">
        <f t="shared" si="38"/>
        <v>8.9883683103942644</v>
      </c>
      <c r="AO7" s="44">
        <f t="shared" si="39"/>
        <v>9.4372666978181723</v>
      </c>
      <c r="AP7" s="44">
        <f t="shared" si="40"/>
        <v>9.8861650852420784</v>
      </c>
      <c r="AQ7" s="44">
        <f t="shared" si="41"/>
        <v>10.335063472665988</v>
      </c>
      <c r="AR7" s="44">
        <f t="shared" si="42"/>
        <v>10.783961860089894</v>
      </c>
      <c r="AS7" s="44">
        <f t="shared" si="43"/>
        <v>11.2328602475138</v>
      </c>
      <c r="AT7" s="44">
        <f t="shared" si="44"/>
        <v>11.68175863493771</v>
      </c>
      <c r="AU7" s="44">
        <f t="shared" si="45"/>
        <v>11.858620318763244</v>
      </c>
      <c r="AV7" s="44">
        <f t="shared" si="46"/>
        <v>12.035482002588779</v>
      </c>
      <c r="AW7" s="44">
        <f t="shared" si="47"/>
        <v>12.212343686414314</v>
      </c>
      <c r="AX7" s="44">
        <f t="shared" si="48"/>
        <v>12.389205370239848</v>
      </c>
      <c r="AY7" s="44">
        <f t="shared" si="49"/>
        <v>12.566067054065384</v>
      </c>
      <c r="AZ7" s="44">
        <f t="shared" si="50"/>
        <v>12.722656055458923</v>
      </c>
      <c r="BA7" s="44">
        <f t="shared" si="51"/>
        <v>12.87924505685246</v>
      </c>
      <c r="BB7" s="44">
        <f t="shared" si="52"/>
        <v>13.035834058246001</v>
      </c>
      <c r="BC7" s="44">
        <f t="shared" si="53"/>
        <v>13.192423059639536</v>
      </c>
      <c r="BD7" s="44">
        <f t="shared" si="54"/>
        <v>13.349012061033076</v>
      </c>
      <c r="BE7" s="44">
        <f t="shared" si="55"/>
        <v>13.465055697562624</v>
      </c>
      <c r="BF7" s="44">
        <f t="shared" si="56"/>
        <v>13.581099334092171</v>
      </c>
      <c r="BG7" s="44">
        <f t="shared" si="57"/>
        <v>13.697142970621716</v>
      </c>
      <c r="BH7" s="44">
        <f t="shared" si="58"/>
        <v>13.813186607151264</v>
      </c>
      <c r="BI7" s="44">
        <f t="shared" si="59"/>
        <v>13.929230243680811</v>
      </c>
      <c r="BJ7" s="44">
        <f t="shared" si="60"/>
        <v>14.04527388021036</v>
      </c>
      <c r="BK7" s="44">
        <f t="shared" si="61"/>
        <v>14.161317516739903</v>
      </c>
      <c r="BL7" s="44">
        <f t="shared" si="62"/>
        <v>14.277361153269451</v>
      </c>
      <c r="BM7" s="44">
        <f t="shared" si="63"/>
        <v>14.393404789798998</v>
      </c>
      <c r="BN7" s="44">
        <f t="shared" si="64"/>
        <v>14.509448426328543</v>
      </c>
      <c r="BY7" s="30"/>
      <c r="BZ7" s="139" t="s">
        <v>154</v>
      </c>
      <c r="CA7" s="535" t="s">
        <v>155</v>
      </c>
      <c r="CB7" s="139" t="s">
        <v>156</v>
      </c>
      <c r="CC7" s="536" t="s">
        <v>157</v>
      </c>
      <c r="CD7" s="537" t="s">
        <v>158</v>
      </c>
      <c r="CE7" s="537" t="s">
        <v>159</v>
      </c>
      <c r="CF7" s="139" t="s">
        <v>160</v>
      </c>
      <c r="CG7" s="139" t="s">
        <v>161</v>
      </c>
      <c r="CH7" s="139" t="s">
        <v>162</v>
      </c>
      <c r="CI7" s="139" t="s">
        <v>163</v>
      </c>
      <c r="CJ7" s="139" t="s">
        <v>164</v>
      </c>
    </row>
    <row r="8" spans="1:89">
      <c r="A8" s="753"/>
      <c r="B8" s="1" t="s">
        <v>247</v>
      </c>
      <c r="C8" s="54" t="s">
        <v>153</v>
      </c>
      <c r="D8" s="44">
        <f>D11</f>
        <v>28.065001267929215</v>
      </c>
      <c r="E8" s="44">
        <f t="shared" ref="E8:AH8" si="69">E11</f>
        <v>28.710496297091584</v>
      </c>
      <c r="F8" s="44">
        <f t="shared" si="69"/>
        <v>29.37083771192469</v>
      </c>
      <c r="G8" s="44">
        <f t="shared" si="69"/>
        <v>30.046366979298952</v>
      </c>
      <c r="H8" s="44">
        <f t="shared" si="69"/>
        <v>30.737433419822828</v>
      </c>
      <c r="I8" s="44">
        <f t="shared" si="69"/>
        <v>31.444394388478745</v>
      </c>
      <c r="J8" s="44">
        <f t="shared" si="69"/>
        <v>32.16761545941376</v>
      </c>
      <c r="K8" s="44">
        <f t="shared" si="69"/>
        <v>32.907470614980269</v>
      </c>
      <c r="L8" s="44">
        <f t="shared" si="69"/>
        <v>33.664342439124809</v>
      </c>
      <c r="M8" s="44">
        <f t="shared" si="69"/>
        <v>34.438622315224677</v>
      </c>
      <c r="N8" s="44">
        <f t="shared" si="69"/>
        <v>35.230710628474846</v>
      </c>
      <c r="O8" s="44">
        <f t="shared" si="69"/>
        <v>36.041016972929761</v>
      </c>
      <c r="P8" s="44">
        <f t="shared" si="69"/>
        <v>36.869960363307143</v>
      </c>
      <c r="Q8" s="44">
        <f t="shared" si="69"/>
        <v>37.717969451663201</v>
      </c>
      <c r="R8" s="44">
        <f t="shared" si="69"/>
        <v>38.585482749051458</v>
      </c>
      <c r="S8" s="44">
        <f t="shared" si="69"/>
        <v>39.472948852279629</v>
      </c>
      <c r="T8" s="44">
        <f t="shared" si="69"/>
        <v>40.380826675882055</v>
      </c>
      <c r="U8" s="44">
        <f t="shared" si="69"/>
        <v>41.309585689427344</v>
      </c>
      <c r="V8" s="44">
        <f t="shared" si="69"/>
        <v>42.259706160284168</v>
      </c>
      <c r="W8" s="44">
        <f t="shared" si="69"/>
        <v>43.231679401970695</v>
      </c>
      <c r="X8" s="44">
        <f t="shared" si="69"/>
        <v>44.226008028216022</v>
      </c>
      <c r="Y8" s="44">
        <f t="shared" si="69"/>
        <v>45.243206212864983</v>
      </c>
      <c r="Z8" s="44">
        <f t="shared" si="69"/>
        <v>46.283799955760877</v>
      </c>
      <c r="AA8" s="44">
        <f t="shared" si="69"/>
        <v>47.348327354743368</v>
      </c>
      <c r="AB8" s="44">
        <f t="shared" si="69"/>
        <v>48.437338883902463</v>
      </c>
      <c r="AC8" s="44">
        <f t="shared" si="69"/>
        <v>49.551397678232213</v>
      </c>
      <c r="AD8" s="44">
        <f t="shared" si="69"/>
        <v>50.691079824831547</v>
      </c>
      <c r="AE8" s="44">
        <f t="shared" si="69"/>
        <v>51.85697466080267</v>
      </c>
      <c r="AF8" s="44">
        <f t="shared" si="69"/>
        <v>53.049685078001126</v>
      </c>
      <c r="AG8" s="44">
        <f t="shared" si="69"/>
        <v>54.269827834795151</v>
      </c>
      <c r="AH8" s="44">
        <f t="shared" si="69"/>
        <v>55.518033874995439</v>
      </c>
      <c r="AJ8" s="44">
        <f t="shared" si="68"/>
        <v>28.065001267929215</v>
      </c>
      <c r="AK8" s="44">
        <f t="shared" si="35"/>
        <v>28.710496297091584</v>
      </c>
      <c r="AL8" s="44">
        <f t="shared" si="36"/>
        <v>29.37083771192469</v>
      </c>
      <c r="AM8" s="44">
        <f t="shared" si="37"/>
        <v>30.046366979298952</v>
      </c>
      <c r="AN8" s="44">
        <f t="shared" si="38"/>
        <v>30.737433419822828</v>
      </c>
      <c r="AO8" s="44">
        <f t="shared" si="39"/>
        <v>31.444394388478745</v>
      </c>
      <c r="AP8" s="44">
        <f t="shared" si="40"/>
        <v>32.16761545941376</v>
      </c>
      <c r="AQ8" s="44">
        <f t="shared" si="41"/>
        <v>32.907470614980269</v>
      </c>
      <c r="AR8" s="44">
        <f t="shared" si="42"/>
        <v>33.664342439124809</v>
      </c>
      <c r="AS8" s="44">
        <f t="shared" si="43"/>
        <v>34.438622315224677</v>
      </c>
      <c r="AT8" s="44">
        <f t="shared" si="44"/>
        <v>35.230710628474846</v>
      </c>
      <c r="AU8" s="44">
        <f t="shared" si="45"/>
        <v>36.041016972929761</v>
      </c>
      <c r="AV8" s="44">
        <f t="shared" si="46"/>
        <v>36.869960363307143</v>
      </c>
      <c r="AW8" s="44">
        <f t="shared" si="47"/>
        <v>37.717969451663201</v>
      </c>
      <c r="AX8" s="44">
        <f t="shared" si="48"/>
        <v>38.585482749051458</v>
      </c>
      <c r="AY8" s="44">
        <f t="shared" si="49"/>
        <v>39.472948852279629</v>
      </c>
      <c r="AZ8" s="44">
        <f t="shared" si="50"/>
        <v>40.380826675882055</v>
      </c>
      <c r="BA8" s="44">
        <f t="shared" si="51"/>
        <v>41.309585689427344</v>
      </c>
      <c r="BB8" s="44">
        <f t="shared" si="52"/>
        <v>42.259706160284168</v>
      </c>
      <c r="BC8" s="44">
        <f t="shared" si="53"/>
        <v>43.231679401970695</v>
      </c>
      <c r="BD8" s="44">
        <f t="shared" si="54"/>
        <v>44.226008028216022</v>
      </c>
      <c r="BE8" s="44">
        <f t="shared" si="55"/>
        <v>45.243206212864983</v>
      </c>
      <c r="BF8" s="44">
        <f t="shared" si="56"/>
        <v>46.283799955760877</v>
      </c>
      <c r="BG8" s="44">
        <f t="shared" si="57"/>
        <v>47.348327354743368</v>
      </c>
      <c r="BH8" s="44">
        <f t="shared" si="58"/>
        <v>48.437338883902463</v>
      </c>
      <c r="BI8" s="44">
        <f t="shared" si="59"/>
        <v>49.551397678232213</v>
      </c>
      <c r="BJ8" s="44">
        <f t="shared" si="60"/>
        <v>50.691079824831547</v>
      </c>
      <c r="BK8" s="44">
        <f t="shared" si="61"/>
        <v>51.85697466080267</v>
      </c>
      <c r="BL8" s="44">
        <f t="shared" si="62"/>
        <v>53.049685078001126</v>
      </c>
      <c r="BM8" s="44">
        <f t="shared" si="63"/>
        <v>54.269827834795151</v>
      </c>
      <c r="BN8" s="44">
        <f t="shared" si="64"/>
        <v>55.518033874995439</v>
      </c>
    </row>
    <row r="9" spans="1:89" s="68" customFormat="1">
      <c r="A9" s="754"/>
      <c r="B9" s="62" t="s">
        <v>248</v>
      </c>
      <c r="C9" s="283" t="s">
        <v>153</v>
      </c>
      <c r="D9" s="284">
        <f>D6-D7-D8</f>
        <v>35.70249067338905</v>
      </c>
      <c r="E9" s="284">
        <f t="shared" ref="E9:AH9" si="70">E6-E7-E8</f>
        <v>39.036701008967512</v>
      </c>
      <c r="F9" s="284">
        <f t="shared" si="70"/>
        <v>42.356064958875223</v>
      </c>
      <c r="G9" s="284">
        <f t="shared" si="70"/>
        <v>45.660241056241802</v>
      </c>
      <c r="H9" s="284">
        <f t="shared" si="70"/>
        <v>48.948879980458763</v>
      </c>
      <c r="I9" s="284">
        <f t="shared" si="70"/>
        <v>52.221624376543687</v>
      </c>
      <c r="J9" s="284">
        <f t="shared" si="70"/>
        <v>55.478108670349478</v>
      </c>
      <c r="K9" s="284">
        <f t="shared" si="70"/>
        <v>58.71795887952382</v>
      </c>
      <c r="L9" s="284">
        <f t="shared" si="70"/>
        <v>61.940792420120104</v>
      </c>
      <c r="M9" s="284">
        <f t="shared" si="70"/>
        <v>65.146217908761059</v>
      </c>
      <c r="N9" s="284">
        <f t="shared" si="70"/>
        <v>68.333834960251721</v>
      </c>
      <c r="O9" s="284">
        <f t="shared" si="70"/>
        <v>69.091494577930916</v>
      </c>
      <c r="P9" s="284">
        <f t="shared" si="70"/>
        <v>69.830517149687651</v>
      </c>
      <c r="Q9" s="284">
        <f t="shared" si="70"/>
        <v>70.550474023465711</v>
      </c>
      <c r="R9" s="284">
        <f t="shared" si="70"/>
        <v>71.250926688211564</v>
      </c>
      <c r="S9" s="284">
        <f t="shared" si="70"/>
        <v>71.931426547117496</v>
      </c>
      <c r="T9" s="284">
        <f t="shared" si="70"/>
        <v>72.411787368081178</v>
      </c>
      <c r="U9" s="284">
        <f t="shared" si="70"/>
        <v>72.871266999101977</v>
      </c>
      <c r="V9" s="284">
        <f t="shared" si="70"/>
        <v>73.30938517281129</v>
      </c>
      <c r="W9" s="284">
        <f t="shared" si="70"/>
        <v>73.725650575690821</v>
      </c>
      <c r="X9" s="284">
        <f t="shared" si="70"/>
        <v>74.119560594011602</v>
      </c>
      <c r="Y9" s="284">
        <f t="shared" si="70"/>
        <v>74.131146418792753</v>
      </c>
      <c r="Z9" s="284">
        <f t="shared" si="70"/>
        <v>74.119336685326971</v>
      </c>
      <c r="AA9" s="284">
        <f t="shared" si="70"/>
        <v>74.083593295774563</v>
      </c>
      <c r="AB9" s="284">
        <f t="shared" si="70"/>
        <v>74.023365776045551</v>
      </c>
      <c r="AC9" s="284">
        <f t="shared" si="70"/>
        <v>73.938090991145913</v>
      </c>
      <c r="AD9" s="284">
        <f t="shared" si="70"/>
        <v>73.827192853976683</v>
      </c>
      <c r="AE9" s="284">
        <f t="shared" si="70"/>
        <v>73.690082027435636</v>
      </c>
      <c r="AF9" s="284">
        <f t="shared" si="70"/>
        <v>73.526155619667293</v>
      </c>
      <c r="AG9" s="284">
        <f t="shared" si="70"/>
        <v>73.334796872303372</v>
      </c>
      <c r="AH9" s="284">
        <f t="shared" si="70"/>
        <v>73.115374841533168</v>
      </c>
      <c r="AJ9" s="284">
        <f>AJ6-AJ7-AJ8</f>
        <v>35.70249067338905</v>
      </c>
      <c r="AK9" s="284">
        <f t="shared" ref="AK9" si="71">AK6-AK7-AK8</f>
        <v>39.036701008967512</v>
      </c>
      <c r="AL9" s="284">
        <f t="shared" ref="AL9" si="72">AL6-AL7-AL8</f>
        <v>42.356064958875223</v>
      </c>
      <c r="AM9" s="284">
        <f t="shared" ref="AM9" si="73">AM6-AM7-AM8</f>
        <v>45.660241056241802</v>
      </c>
      <c r="AN9" s="284">
        <f t="shared" ref="AN9" si="74">AN6-AN7-AN8</f>
        <v>48.948879980458763</v>
      </c>
      <c r="AO9" s="284">
        <f t="shared" ref="AO9" si="75">AO6-AO7-AO8</f>
        <v>52.221624376543687</v>
      </c>
      <c r="AP9" s="284">
        <f t="shared" ref="AP9" si="76">AP6-AP7-AP8</f>
        <v>55.478108670349478</v>
      </c>
      <c r="AQ9" s="284">
        <f t="shared" ref="AQ9" si="77">AQ6-AQ7-AQ8</f>
        <v>58.71795887952382</v>
      </c>
      <c r="AR9" s="284">
        <f t="shared" ref="AR9" si="78">AR6-AR7-AR8</f>
        <v>61.940792420120104</v>
      </c>
      <c r="AS9" s="284">
        <f t="shared" ref="AS9" si="79">AS6-AS7-AS8</f>
        <v>65.146217908761059</v>
      </c>
      <c r="AT9" s="284">
        <f t="shared" ref="AT9" si="80">AT6-AT7-AT8</f>
        <v>68.333834960251721</v>
      </c>
      <c r="AU9" s="284">
        <f t="shared" ref="AU9" si="81">AU6-AU7-AU8</f>
        <v>69.091494577930916</v>
      </c>
      <c r="AV9" s="284">
        <f t="shared" ref="AV9" si="82">AV6-AV7-AV8</f>
        <v>69.830517149687651</v>
      </c>
      <c r="AW9" s="284">
        <f t="shared" ref="AW9" si="83">AW6-AW7-AW8</f>
        <v>70.550474023465711</v>
      </c>
      <c r="AX9" s="284">
        <f t="shared" ref="AX9" si="84">AX6-AX7-AX8</f>
        <v>71.250926688211564</v>
      </c>
      <c r="AY9" s="284">
        <f t="shared" ref="AY9" si="85">AY6-AY7-AY8</f>
        <v>71.931426547117496</v>
      </c>
      <c r="AZ9" s="284">
        <f t="shared" ref="AZ9" si="86">AZ6-AZ7-AZ8</f>
        <v>72.411787368081178</v>
      </c>
      <c r="BA9" s="284">
        <f t="shared" ref="BA9" si="87">BA6-BA7-BA8</f>
        <v>72.871266999101977</v>
      </c>
      <c r="BB9" s="284">
        <f t="shared" ref="BB9" si="88">BB6-BB7-BB8</f>
        <v>73.30938517281129</v>
      </c>
      <c r="BC9" s="284">
        <f t="shared" ref="BC9" si="89">BC6-BC7-BC8</f>
        <v>73.725650575690821</v>
      </c>
      <c r="BD9" s="284">
        <f t="shared" ref="BD9" si="90">BD6-BD7-BD8</f>
        <v>74.119560594011602</v>
      </c>
      <c r="BE9" s="284">
        <f t="shared" ref="BE9" si="91">BE6-BE7-BE8</f>
        <v>74.131146418792753</v>
      </c>
      <c r="BF9" s="284">
        <f t="shared" ref="BF9" si="92">BF6-BF7-BF8</f>
        <v>74.119336685326971</v>
      </c>
      <c r="BG9" s="284">
        <f t="shared" ref="BG9" si="93">BG6-BG7-BG8</f>
        <v>74.083593295774563</v>
      </c>
      <c r="BH9" s="284">
        <f t="shared" ref="BH9" si="94">BH6-BH7-BH8</f>
        <v>74.023365776045551</v>
      </c>
      <c r="BI9" s="284">
        <f t="shared" ref="BI9" si="95">BI6-BI7-BI8</f>
        <v>73.938090991145913</v>
      </c>
      <c r="BJ9" s="284">
        <f t="shared" ref="BJ9" si="96">BJ6-BJ7-BJ8</f>
        <v>73.827192853976683</v>
      </c>
      <c r="BK9" s="284">
        <f t="shared" ref="BK9" si="97">BK6-BK7-BK8</f>
        <v>73.690082027435636</v>
      </c>
      <c r="BL9" s="284">
        <f t="shared" ref="BL9" si="98">BL6-BL7-BL8</f>
        <v>73.526155619667293</v>
      </c>
      <c r="BM9" s="284">
        <f t="shared" ref="BM9" si="99">BM6-BM7-BM8</f>
        <v>73.334796872303372</v>
      </c>
      <c r="BN9" s="284">
        <f t="shared" ref="BN9" si="100">BN6-BN7-BN8</f>
        <v>73.115374841533168</v>
      </c>
      <c r="BY9" s="30" t="s">
        <v>67</v>
      </c>
      <c r="BZ9" s="534">
        <f>AJ6</f>
        <v>70.960266702016895</v>
      </c>
      <c r="CB9" s="541" t="s">
        <v>167</v>
      </c>
      <c r="CC9" s="538"/>
      <c r="CD9" s="542" t="s">
        <v>167</v>
      </c>
      <c r="CE9" s="541"/>
      <c r="CF9" s="543"/>
      <c r="CG9" s="538"/>
      <c r="CI9" s="543"/>
      <c r="CJ9" s="68" t="s">
        <v>167</v>
      </c>
      <c r="CK9" s="547"/>
    </row>
    <row r="10" spans="1:89">
      <c r="C10" s="54"/>
      <c r="BY10" s="30" t="s">
        <v>168</v>
      </c>
      <c r="BZ10" s="543"/>
      <c r="CA10" s="544"/>
      <c r="CB10" s="541"/>
      <c r="CD10" s="543"/>
      <c r="CE10" s="545">
        <f>-BN12+AH19-AH23</f>
        <v>-54.277413250473089</v>
      </c>
      <c r="CF10" s="546">
        <f>-AH32</f>
        <v>0</v>
      </c>
      <c r="CG10" s="540">
        <f>-AH41</f>
        <v>0</v>
      </c>
      <c r="CH10" s="546">
        <f>-AH57</f>
        <v>0</v>
      </c>
      <c r="CJ10" s="543"/>
    </row>
    <row r="11" spans="1:89">
      <c r="A11" s="58" t="s">
        <v>169</v>
      </c>
      <c r="B11" s="58" t="s">
        <v>170</v>
      </c>
      <c r="C11" s="67"/>
      <c r="D11" s="60">
        <f>'R&amp;S - Transportation'!F4</f>
        <v>28.065001267929215</v>
      </c>
      <c r="E11" s="60">
        <f>$D$11*(1+'R&amp;S - Transportation'!$B$6)^(E3-$D$3)</f>
        <v>28.710496297091584</v>
      </c>
      <c r="F11" s="60">
        <f>$D$11*(1+'R&amp;S - Transportation'!$B$6)^(F3-$D$3)</f>
        <v>29.37083771192469</v>
      </c>
      <c r="G11" s="60">
        <f>$D$11*(1+'R&amp;S - Transportation'!$B$6)^(G3-$D$3)</f>
        <v>30.046366979298952</v>
      </c>
      <c r="H11" s="60">
        <f>$D$11*(1+'R&amp;S - Transportation'!$B$6)^(H3-$D$3)</f>
        <v>30.737433419822828</v>
      </c>
      <c r="I11" s="60">
        <f>$D$11*(1+'R&amp;S - Transportation'!$B$6)^(I3-$D$3)</f>
        <v>31.444394388478745</v>
      </c>
      <c r="J11" s="60">
        <f>$D$11*(1+'R&amp;S - Transportation'!$B$6)^(J3-$D$3)</f>
        <v>32.16761545941376</v>
      </c>
      <c r="K11" s="60">
        <f>$D$11*(1+'R&amp;S - Transportation'!$B$6)^(K3-$D$3)</f>
        <v>32.907470614980269</v>
      </c>
      <c r="L11" s="60">
        <f>$D$11*(1+'R&amp;S - Transportation'!$B$6)^(L3-$D$3)</f>
        <v>33.664342439124809</v>
      </c>
      <c r="M11" s="60">
        <f>$D$11*(1+'R&amp;S - Transportation'!$B$6)^(M3-$D$3)</f>
        <v>34.438622315224677</v>
      </c>
      <c r="N11" s="60">
        <f>$D$11*(1+'R&amp;S - Transportation'!$B$6)^(N3-$D$3)</f>
        <v>35.230710628474846</v>
      </c>
      <c r="O11" s="60">
        <f>$D$11*(1+'R&amp;S - Transportation'!$B$6)^(O3-$D$3)</f>
        <v>36.041016972929761</v>
      </c>
      <c r="P11" s="60">
        <f>$D$11*(1+'R&amp;S - Transportation'!$B$6)^(P3-$D$3)</f>
        <v>36.869960363307143</v>
      </c>
      <c r="Q11" s="60">
        <f>$D$11*(1+'R&amp;S - Transportation'!$B$6)^(Q3-$D$3)</f>
        <v>37.717969451663201</v>
      </c>
      <c r="R11" s="60">
        <f>$D$11*(1+'R&amp;S - Transportation'!$B$6)^(R3-$D$3)</f>
        <v>38.585482749051458</v>
      </c>
      <c r="S11" s="60">
        <f>$D$11*(1+'R&amp;S - Transportation'!$B$6)^(S3-$D$3)</f>
        <v>39.472948852279629</v>
      </c>
      <c r="T11" s="60">
        <f>$D$11*(1+'R&amp;S - Transportation'!$B$6)^(T3-$D$3)</f>
        <v>40.380826675882055</v>
      </c>
      <c r="U11" s="60">
        <f>$D$11*(1+'R&amp;S - Transportation'!$B$6)^(U3-$D$3)</f>
        <v>41.309585689427344</v>
      </c>
      <c r="V11" s="60">
        <f>$D$11*(1+'R&amp;S - Transportation'!$B$6)^(V3-$D$3)</f>
        <v>42.259706160284168</v>
      </c>
      <c r="W11" s="60">
        <f>$D$11*(1+'R&amp;S - Transportation'!$B$6)^(W3-$D$3)</f>
        <v>43.231679401970695</v>
      </c>
      <c r="X11" s="60">
        <f>$D$11*(1+'R&amp;S - Transportation'!$B$6)^(X3-$D$3)</f>
        <v>44.226008028216022</v>
      </c>
      <c r="Y11" s="60">
        <f>$D$11*(1+'R&amp;S - Transportation'!$B$6)^(Y3-$D$3)</f>
        <v>45.243206212864983</v>
      </c>
      <c r="Z11" s="60">
        <f>$D$11*(1+'R&amp;S - Transportation'!$B$6)^(Z3-$D$3)</f>
        <v>46.283799955760877</v>
      </c>
      <c r="AA11" s="60">
        <f>$D$11*(1+'R&amp;S - Transportation'!$B$6)^(AA3-$D$3)</f>
        <v>47.348327354743368</v>
      </c>
      <c r="AB11" s="60">
        <f>$D$11*(1+'R&amp;S - Transportation'!$B$6)^(AB3-$D$3)</f>
        <v>48.437338883902463</v>
      </c>
      <c r="AC11" s="60">
        <f>$D$11*(1+'R&amp;S - Transportation'!$B$6)^(AC3-$D$3)</f>
        <v>49.551397678232213</v>
      </c>
      <c r="AD11" s="60">
        <f>$D$11*(1+'R&amp;S - Transportation'!$B$6)^(AD3-$D$3)</f>
        <v>50.691079824831547</v>
      </c>
      <c r="AE11" s="60">
        <f>$D$11*(1+'R&amp;S - Transportation'!$B$6)^(AE3-$D$3)</f>
        <v>51.85697466080267</v>
      </c>
      <c r="AF11" s="60">
        <f>$D$11*(1+'R&amp;S - Transportation'!$B$6)^(AF3-$D$3)</f>
        <v>53.049685078001126</v>
      </c>
      <c r="AG11" s="60">
        <f>$D$11*(1+'R&amp;S - Transportation'!$B$6)^(AG3-$D$3)</f>
        <v>54.269827834795151</v>
      </c>
      <c r="AH11" s="60">
        <f>$D$11*(1+'R&amp;S - Transportation'!$B$6)^(AH3-$D$3)</f>
        <v>55.518033874995439</v>
      </c>
      <c r="AJ11" s="60">
        <f>D11</f>
        <v>28.065001267929215</v>
      </c>
      <c r="AK11" s="60">
        <f t="shared" ref="AK11:BN11" si="101">E11</f>
        <v>28.710496297091584</v>
      </c>
      <c r="AL11" s="60">
        <f t="shared" si="101"/>
        <v>29.37083771192469</v>
      </c>
      <c r="AM11" s="60">
        <f t="shared" si="101"/>
        <v>30.046366979298952</v>
      </c>
      <c r="AN11" s="60">
        <f t="shared" si="101"/>
        <v>30.737433419822828</v>
      </c>
      <c r="AO11" s="60">
        <f t="shared" si="101"/>
        <v>31.444394388478745</v>
      </c>
      <c r="AP11" s="60">
        <f t="shared" si="101"/>
        <v>32.16761545941376</v>
      </c>
      <c r="AQ11" s="60">
        <f t="shared" si="101"/>
        <v>32.907470614980269</v>
      </c>
      <c r="AR11" s="60">
        <f t="shared" si="101"/>
        <v>33.664342439124809</v>
      </c>
      <c r="AS11" s="60">
        <f t="shared" si="101"/>
        <v>34.438622315224677</v>
      </c>
      <c r="AT11" s="60">
        <f t="shared" si="101"/>
        <v>35.230710628474846</v>
      </c>
      <c r="AU11" s="60">
        <f t="shared" si="101"/>
        <v>36.041016972929761</v>
      </c>
      <c r="AV11" s="60">
        <f t="shared" si="101"/>
        <v>36.869960363307143</v>
      </c>
      <c r="AW11" s="60">
        <f t="shared" si="101"/>
        <v>37.717969451663201</v>
      </c>
      <c r="AX11" s="60">
        <f t="shared" si="101"/>
        <v>38.585482749051458</v>
      </c>
      <c r="AY11" s="60">
        <f t="shared" si="101"/>
        <v>39.472948852279629</v>
      </c>
      <c r="AZ11" s="60">
        <f t="shared" si="101"/>
        <v>40.380826675882055</v>
      </c>
      <c r="BA11" s="60">
        <f t="shared" si="101"/>
        <v>41.309585689427344</v>
      </c>
      <c r="BB11" s="60">
        <f t="shared" si="101"/>
        <v>42.259706160284168</v>
      </c>
      <c r="BC11" s="60">
        <f t="shared" si="101"/>
        <v>43.231679401970695</v>
      </c>
      <c r="BD11" s="60">
        <f t="shared" si="101"/>
        <v>44.226008028216022</v>
      </c>
      <c r="BE11" s="60">
        <f t="shared" si="101"/>
        <v>45.243206212864983</v>
      </c>
      <c r="BF11" s="60">
        <f t="shared" si="101"/>
        <v>46.283799955760877</v>
      </c>
      <c r="BG11" s="60">
        <f t="shared" si="101"/>
        <v>47.348327354743368</v>
      </c>
      <c r="BH11" s="60">
        <f t="shared" si="101"/>
        <v>48.437338883902463</v>
      </c>
      <c r="BI11" s="60">
        <f t="shared" si="101"/>
        <v>49.551397678232213</v>
      </c>
      <c r="BJ11" s="60">
        <f t="shared" si="101"/>
        <v>50.691079824831547</v>
      </c>
      <c r="BK11" s="60">
        <f t="shared" si="101"/>
        <v>51.85697466080267</v>
      </c>
      <c r="BL11" s="60">
        <f t="shared" si="101"/>
        <v>53.049685078001126</v>
      </c>
      <c r="BM11" s="60">
        <f t="shared" si="101"/>
        <v>54.269827834795151</v>
      </c>
      <c r="BN11" s="60">
        <f t="shared" si="101"/>
        <v>55.518033874995439</v>
      </c>
      <c r="BQ11" t="s">
        <v>171</v>
      </c>
      <c r="BY11" s="30" t="s">
        <v>172</v>
      </c>
      <c r="CF11" s="43">
        <f>-AH35</f>
        <v>0</v>
      </c>
      <c r="CG11" s="43">
        <f>-AH42</f>
        <v>0</v>
      </c>
      <c r="CH11" s="43">
        <f>-AH58</f>
        <v>0</v>
      </c>
    </row>
    <row r="12" spans="1:89">
      <c r="B12" s="1" t="s">
        <v>173</v>
      </c>
      <c r="D12" s="44">
        <f>D11*('R&amp;S - Transportation'!$D$19*(D3-$D$3)/10)</f>
        <v>0</v>
      </c>
      <c r="E12" s="44">
        <f>E11*'R&amp;S - Transportation'!$B$9*'R&amp;S - Transportation'!$D$19*(E3-$D$3)/10</f>
        <v>0.57420992594183173</v>
      </c>
      <c r="F12" s="44">
        <f>F11*'R&amp;S - Transportation'!$B$9*'R&amp;S - Transportation'!$D$19*(F3-$D$3)/10</f>
        <v>1.1748335084769876</v>
      </c>
      <c r="G12" s="44">
        <f>G11*'R&amp;S - Transportation'!$B$9*'R&amp;S - Transportation'!$D$19*(G3-$D$3)/10</f>
        <v>1.8027820187579373</v>
      </c>
      <c r="H12" s="44">
        <f>H11*'R&amp;S - Transportation'!$B$9*'R&amp;S - Transportation'!$D$19*(H3-$D$3)/10</f>
        <v>2.4589946735858264</v>
      </c>
      <c r="I12" s="44">
        <f>I11*'R&amp;S - Transportation'!$B$9*'R&amp;S - Transportation'!$D$19*(I3-$D$3)/10</f>
        <v>3.1444394388478747</v>
      </c>
      <c r="J12" s="44">
        <f>J11*'R&amp;S - Transportation'!$B$9*'R&amp;S - Transportation'!$D$19*(J3-$D$3)/10</f>
        <v>3.8601138551296517</v>
      </c>
      <c r="K12" s="44">
        <f>K11*'R&amp;S - Transportation'!$B$9*'R&amp;S - Transportation'!$D$19*(K3-$D$3)/10</f>
        <v>4.6070458860972376</v>
      </c>
      <c r="L12" s="44">
        <f>L11*'R&amp;S - Transportation'!$B$9*'R&amp;S - Transportation'!$D$19*(L3-$D$3)/10</f>
        <v>5.3862947902599698</v>
      </c>
      <c r="M12" s="44">
        <f>M11*'R&amp;S - Transportation'!$B$9*'R&amp;S - Transportation'!$D$19*(M3-$D$3)/10</f>
        <v>6.1989520167404422</v>
      </c>
      <c r="N12" s="44">
        <f>N11*'R&amp;S - Transportation'!$B$9*'R&amp;S - Transportation'!$D$19*(N3-$D$3)/10</f>
        <v>7.0461421256949688</v>
      </c>
      <c r="O12" s="44">
        <f>O11*'R&amp;S - Transportation'!$B$9*('R&amp;S - Transportation'!$D$19+('R&amp;S - Transportation'!$D$20-'R&amp;S - Transportation'!$D$19)*(O3-$N$3)/10)</f>
        <v>9.0102542432324402</v>
      </c>
      <c r="P12" s="44">
        <f>P11*'R&amp;S - Transportation'!$B$9*('R&amp;S - Transportation'!$D$19+('R&amp;S - Transportation'!$D$20-'R&amp;S - Transportation'!$D$19)*(P3-$N$3)/10)</f>
        <v>11.060988108992143</v>
      </c>
      <c r="Q12" s="44">
        <f>Q11*'R&amp;S - Transportation'!$B$9*('R&amp;S - Transportation'!$D$19+('R&amp;S - Transportation'!$D$20-'R&amp;S - Transportation'!$D$19)*(Q3-$N$3)/10)</f>
        <v>13.201289308082119</v>
      </c>
      <c r="R12" s="44">
        <f>R11*'R&amp;S - Transportation'!$B$9*('R&amp;S - Transportation'!$D$19+('R&amp;S - Transportation'!$D$20-'R&amp;S - Transportation'!$D$19)*(R3-$N$3)/10)</f>
        <v>15.434193099620584</v>
      </c>
      <c r="S12" s="44">
        <f>S11*'R&amp;S - Transportation'!$B$9*('R&amp;S - Transportation'!$D$19+('R&amp;S - Transportation'!$D$20-'R&amp;S - Transportation'!$D$19)*(S3-$N$3)/10)</f>
        <v>17.76282698352583</v>
      </c>
      <c r="T12" s="44">
        <f>T11*'R&amp;S - Transportation'!$B$9*('R&amp;S - Transportation'!$D$19+('R&amp;S - Transportation'!$D$20-'R&amp;S - Transportation'!$D$19)*(T3-$N$3)/10)</f>
        <v>20.190413337941024</v>
      </c>
      <c r="U12" s="44">
        <f>U11*'R&amp;S - Transportation'!$B$9*('R&amp;S - Transportation'!$D$19+('R&amp;S - Transportation'!$D$20-'R&amp;S - Transportation'!$D$19)*(U3-$N$3)/10)</f>
        <v>22.720272129185041</v>
      </c>
      <c r="V12" s="44">
        <f>V11*'R&amp;S - Transportation'!$B$9*('R&amp;S - Transportation'!$D$19+('R&amp;S - Transportation'!$D$20-'R&amp;S - Transportation'!$D$19)*(V3-$N$3)/10)</f>
        <v>25.3558236961705</v>
      </c>
      <c r="W12" s="44">
        <f>W11*'R&amp;S - Transportation'!$B$9*('R&amp;S - Transportation'!$D$19+('R&amp;S - Transportation'!$D$20-'R&amp;S - Transportation'!$D$19)*(W3-$N$3)/10)</f>
        <v>28.100591611280947</v>
      </c>
      <c r="X12" s="44">
        <f>X11*'R&amp;S - Transportation'!$B$9*('R&amp;S - Transportation'!$D$19+('R&amp;S - Transportation'!$D$20-'R&amp;S - Transportation'!$D$19)*(X3-$N$3)/10)</f>
        <v>30.958205619751212</v>
      </c>
      <c r="Y12" s="44">
        <f>Y11*'R&amp;S - Transportation'!$B$9*('R&amp;S - Transportation'!$D$20+('R&amp;S - Transportation'!$D$21-'R&amp;S - Transportation'!$D$20)*(Y3-$X$3)/10)</f>
        <v>33.027540535391438</v>
      </c>
      <c r="Z12" s="44">
        <f>Z11*'R&amp;S - Transportation'!$B$9*('R&amp;S - Transportation'!$D$20+('R&amp;S - Transportation'!$D$21-'R&amp;S - Transportation'!$D$20)*(Z3-$X$3)/10)</f>
        <v>35.17568796637827</v>
      </c>
      <c r="AA12" s="44">
        <f>AA11*'R&amp;S - Transportation'!$B$9*('R&amp;S - Transportation'!$D$20+('R&amp;S - Transportation'!$D$21-'R&amp;S - Transportation'!$D$20)*(AA3-$X$3)/10)</f>
        <v>37.405178610247255</v>
      </c>
      <c r="AB12" s="44">
        <f>AB11*'R&amp;S - Transportation'!$B$9*('R&amp;S - Transportation'!$D$20+('R&amp;S - Transportation'!$D$21-'R&amp;S - Transportation'!$D$20)*(AB3-$X$3)/10)</f>
        <v>39.718617884800018</v>
      </c>
      <c r="AC12" s="44">
        <f>AC11*'R&amp;S - Transportation'!$B$9*('R&amp;S - Transportation'!$D$20+('R&amp;S - Transportation'!$D$21-'R&amp;S - Transportation'!$D$20)*(AC3-$X$3)/10)</f>
        <v>42.118688026497381</v>
      </c>
      <c r="AD12" s="44">
        <f>AD11*'R&amp;S - Transportation'!$B$9*('R&amp;S - Transportation'!$D$20+('R&amp;S - Transportation'!$D$21-'R&amp;S - Transportation'!$D$20)*(AD3-$X$3)/10)</f>
        <v>44.60815024585176</v>
      </c>
      <c r="AE12" s="44">
        <f>AE11*'R&amp;S - Transportation'!$B$9*('R&amp;S - Transportation'!$D$20+('R&amp;S - Transportation'!$D$21-'R&amp;S - Transportation'!$D$20)*(AE3-$X$3)/10)</f>
        <v>47.18984694133043</v>
      </c>
      <c r="AF12" s="44">
        <f>AF11*'R&amp;S - Transportation'!$B$9*('R&amp;S - Transportation'!$D$20+('R&amp;S - Transportation'!$D$21-'R&amp;S - Transportation'!$D$20)*(AF3-$X$3)/10)</f>
        <v>49.866703973321059</v>
      </c>
      <c r="AG12" s="44">
        <f>AG11*'R&amp;S - Transportation'!$B$9*('R&amp;S - Transportation'!$D$20+('R&amp;S - Transportation'!$D$21-'R&amp;S - Transportation'!$D$20)*(AG3-$X$3)/10)</f>
        <v>52.641732999751298</v>
      </c>
      <c r="AH12" s="44">
        <f>AH11*'R&amp;S - Transportation'!$B$9*('R&amp;S - Transportation'!$D$20+('R&amp;S - Transportation'!$D$21-'R&amp;S - Transportation'!$D$20)*(AH3-$X$3)/10)</f>
        <v>55.518033874995439</v>
      </c>
      <c r="AJ12" s="44">
        <f t="shared" ref="AJ12:AJ14" si="102">D12</f>
        <v>0</v>
      </c>
      <c r="AK12" s="44">
        <f t="shared" ref="AK12:AK14" si="103">E12</f>
        <v>0.57420992594183173</v>
      </c>
      <c r="AL12" s="44">
        <f t="shared" ref="AL12:AL14" si="104">F12</f>
        <v>1.1748335084769876</v>
      </c>
      <c r="AM12" s="44">
        <f t="shared" ref="AM12:AM14" si="105">G12</f>
        <v>1.8027820187579373</v>
      </c>
      <c r="AN12" s="44">
        <f t="shared" ref="AN12:AN14" si="106">H12</f>
        <v>2.4589946735858264</v>
      </c>
      <c r="AO12" s="44">
        <f t="shared" ref="AO12:AO14" si="107">I12</f>
        <v>3.1444394388478747</v>
      </c>
      <c r="AP12" s="44">
        <f t="shared" ref="AP12:AP14" si="108">J12</f>
        <v>3.8601138551296517</v>
      </c>
      <c r="AQ12" s="44">
        <f t="shared" ref="AQ12:AQ14" si="109">K12</f>
        <v>4.6070458860972376</v>
      </c>
      <c r="AR12" s="44">
        <f t="shared" ref="AR12:AR14" si="110">L12</f>
        <v>5.3862947902599698</v>
      </c>
      <c r="AS12" s="44">
        <f t="shared" ref="AS12:AS14" si="111">M12</f>
        <v>6.1989520167404422</v>
      </c>
      <c r="AT12" s="44">
        <f t="shared" ref="AT12:AT14" si="112">N12</f>
        <v>7.0461421256949688</v>
      </c>
      <c r="AU12" s="44">
        <f t="shared" ref="AU12:AU14" si="113">O12</f>
        <v>9.0102542432324402</v>
      </c>
      <c r="AV12" s="44">
        <f t="shared" ref="AV12:AV14" si="114">P12</f>
        <v>11.060988108992143</v>
      </c>
      <c r="AW12" s="44">
        <f t="shared" ref="AW12:AW14" si="115">Q12</f>
        <v>13.201289308082119</v>
      </c>
      <c r="AX12" s="44">
        <f t="shared" ref="AX12:AX14" si="116">R12</f>
        <v>15.434193099620584</v>
      </c>
      <c r="AY12" s="44">
        <f t="shared" ref="AY12:AY14" si="117">S12</f>
        <v>17.76282698352583</v>
      </c>
      <c r="AZ12" s="44">
        <f t="shared" ref="AZ12:AZ14" si="118">T12</f>
        <v>20.190413337941024</v>
      </c>
      <c r="BA12" s="44">
        <f t="shared" ref="BA12:BA14" si="119">U12</f>
        <v>22.720272129185041</v>
      </c>
      <c r="BB12" s="44">
        <f t="shared" ref="BB12:BB14" si="120">V12</f>
        <v>25.3558236961705</v>
      </c>
      <c r="BC12" s="44">
        <f t="shared" ref="BC12:BC14" si="121">W12</f>
        <v>28.100591611280947</v>
      </c>
      <c r="BD12" s="44">
        <f t="shared" ref="BD12:BD14" si="122">X12</f>
        <v>30.958205619751212</v>
      </c>
      <c r="BE12" s="44">
        <f t="shared" ref="BE12:BE14" si="123">Y12</f>
        <v>33.027540535391438</v>
      </c>
      <c r="BF12" s="44">
        <f t="shared" ref="BF12:BF14" si="124">Z12</f>
        <v>35.17568796637827</v>
      </c>
      <c r="BG12" s="44">
        <f t="shared" ref="BG12:BG14" si="125">AA12</f>
        <v>37.405178610247255</v>
      </c>
      <c r="BH12" s="44">
        <f t="shared" ref="BH12:BH14" si="126">AB12</f>
        <v>39.718617884800018</v>
      </c>
      <c r="BI12" s="44">
        <f t="shared" ref="BI12:BI14" si="127">AC12</f>
        <v>42.118688026497381</v>
      </c>
      <c r="BJ12" s="44">
        <f t="shared" ref="BJ12:BJ14" si="128">AD12</f>
        <v>44.60815024585176</v>
      </c>
      <c r="BK12" s="44">
        <f t="shared" ref="BK12:BK14" si="129">AE12</f>
        <v>47.18984694133043</v>
      </c>
      <c r="BL12" s="44">
        <f t="shared" ref="BL12:BL14" si="130">AF12</f>
        <v>49.866703973321059</v>
      </c>
      <c r="BM12" s="44">
        <f t="shared" ref="BM12:BM14" si="131">AG12</f>
        <v>52.641732999751298</v>
      </c>
      <c r="BN12" s="44">
        <f t="shared" ref="BN12:BN14" si="132">AH12</f>
        <v>55.518033874995439</v>
      </c>
      <c r="BQ12" t="s">
        <v>174</v>
      </c>
      <c r="BR12" s="44">
        <f>AH6-D6</f>
        <v>72.182590440840244</v>
      </c>
      <c r="BY12" s="30" t="s">
        <v>175</v>
      </c>
      <c r="CA12" s="539">
        <f>AH6-D6</f>
        <v>72.182590440840244</v>
      </c>
      <c r="CC12" s="538">
        <f>65</f>
        <v>65</v>
      </c>
      <c r="CI12" s="44">
        <f>AH65</f>
        <v>1.2159793468079723</v>
      </c>
    </row>
    <row r="13" spans="1:89">
      <c r="B13" s="1" t="s">
        <v>176</v>
      </c>
      <c r="D13" s="44">
        <f>D11-D12</f>
        <v>28.065001267929215</v>
      </c>
      <c r="E13" s="44">
        <f t="shared" ref="E13:AH13" si="133">E11-E12</f>
        <v>28.136286371149751</v>
      </c>
      <c r="F13" s="44">
        <f t="shared" si="133"/>
        <v>28.196004203447703</v>
      </c>
      <c r="G13" s="44">
        <f t="shared" si="133"/>
        <v>28.243584960541014</v>
      </c>
      <c r="H13" s="44">
        <f t="shared" si="133"/>
        <v>28.278438746237001</v>
      </c>
      <c r="I13" s="44">
        <f t="shared" si="133"/>
        <v>28.29995494963087</v>
      </c>
      <c r="J13" s="44">
        <f t="shared" si="133"/>
        <v>28.307501604284109</v>
      </c>
      <c r="K13" s="44">
        <f t="shared" si="133"/>
        <v>28.30042472888303</v>
      </c>
      <c r="L13" s="44">
        <f t="shared" si="133"/>
        <v>28.278047648864838</v>
      </c>
      <c r="M13" s="44">
        <f t="shared" si="133"/>
        <v>28.239670298484235</v>
      </c>
      <c r="N13" s="44">
        <f t="shared" si="133"/>
        <v>28.184568502779875</v>
      </c>
      <c r="O13" s="44">
        <f t="shared" si="133"/>
        <v>27.030762729697322</v>
      </c>
      <c r="P13" s="44">
        <f t="shared" si="133"/>
        <v>25.808972254315002</v>
      </c>
      <c r="Q13" s="44">
        <f t="shared" si="133"/>
        <v>24.516680143581084</v>
      </c>
      <c r="R13" s="44">
        <f t="shared" si="133"/>
        <v>23.151289649430872</v>
      </c>
      <c r="S13" s="44">
        <f t="shared" si="133"/>
        <v>21.710121868753799</v>
      </c>
      <c r="T13" s="44">
        <f t="shared" si="133"/>
        <v>20.190413337941031</v>
      </c>
      <c r="U13" s="44">
        <f t="shared" si="133"/>
        <v>18.589313560242303</v>
      </c>
      <c r="V13" s="44">
        <f t="shared" si="133"/>
        <v>16.903882464113668</v>
      </c>
      <c r="W13" s="44">
        <f t="shared" si="133"/>
        <v>15.131087790689747</v>
      </c>
      <c r="X13" s="44">
        <f t="shared" si="133"/>
        <v>13.26780240846481</v>
      </c>
      <c r="Y13" s="44">
        <f t="shared" si="133"/>
        <v>12.215665677473545</v>
      </c>
      <c r="Z13" s="44">
        <f t="shared" si="133"/>
        <v>11.108111989382607</v>
      </c>
      <c r="AA13" s="44">
        <f t="shared" si="133"/>
        <v>9.9431487444961135</v>
      </c>
      <c r="AB13" s="44">
        <f t="shared" si="133"/>
        <v>8.7187209991024446</v>
      </c>
      <c r="AC13" s="44">
        <f t="shared" si="133"/>
        <v>7.4327096517348323</v>
      </c>
      <c r="AD13" s="44">
        <f t="shared" si="133"/>
        <v>6.0829295789797868</v>
      </c>
      <c r="AE13" s="44">
        <f t="shared" si="133"/>
        <v>4.6671277194722407</v>
      </c>
      <c r="AF13" s="44">
        <f t="shared" si="133"/>
        <v>3.1829811046800671</v>
      </c>
      <c r="AG13" s="44">
        <f t="shared" si="133"/>
        <v>1.6280948350438535</v>
      </c>
      <c r="AH13" s="44">
        <f t="shared" si="133"/>
        <v>0</v>
      </c>
      <c r="AJ13" s="44">
        <f t="shared" si="102"/>
        <v>28.065001267929215</v>
      </c>
      <c r="AK13" s="44">
        <f t="shared" si="103"/>
        <v>28.136286371149751</v>
      </c>
      <c r="AL13" s="44">
        <f t="shared" si="104"/>
        <v>28.196004203447703</v>
      </c>
      <c r="AM13" s="44">
        <f t="shared" si="105"/>
        <v>28.243584960541014</v>
      </c>
      <c r="AN13" s="44">
        <f t="shared" si="106"/>
        <v>28.278438746237001</v>
      </c>
      <c r="AO13" s="44">
        <f t="shared" si="107"/>
        <v>28.29995494963087</v>
      </c>
      <c r="AP13" s="44">
        <f t="shared" si="108"/>
        <v>28.307501604284109</v>
      </c>
      <c r="AQ13" s="44">
        <f t="shared" si="109"/>
        <v>28.30042472888303</v>
      </c>
      <c r="AR13" s="44">
        <f t="shared" si="110"/>
        <v>28.278047648864838</v>
      </c>
      <c r="AS13" s="44">
        <f t="shared" si="111"/>
        <v>28.239670298484235</v>
      </c>
      <c r="AT13" s="44">
        <f t="shared" si="112"/>
        <v>28.184568502779875</v>
      </c>
      <c r="AU13" s="44">
        <f t="shared" si="113"/>
        <v>27.030762729697322</v>
      </c>
      <c r="AV13" s="44">
        <f t="shared" si="114"/>
        <v>25.808972254315002</v>
      </c>
      <c r="AW13" s="44">
        <f t="shared" si="115"/>
        <v>24.516680143581084</v>
      </c>
      <c r="AX13" s="44">
        <f t="shared" si="116"/>
        <v>23.151289649430872</v>
      </c>
      <c r="AY13" s="44">
        <f t="shared" si="117"/>
        <v>21.710121868753799</v>
      </c>
      <c r="AZ13" s="44">
        <f t="shared" si="118"/>
        <v>20.190413337941031</v>
      </c>
      <c r="BA13" s="44">
        <f t="shared" si="119"/>
        <v>18.589313560242303</v>
      </c>
      <c r="BB13" s="44">
        <f t="shared" si="120"/>
        <v>16.903882464113668</v>
      </c>
      <c r="BC13" s="44">
        <f t="shared" si="121"/>
        <v>15.131087790689747</v>
      </c>
      <c r="BD13" s="44">
        <f t="shared" si="122"/>
        <v>13.26780240846481</v>
      </c>
      <c r="BE13" s="44">
        <f t="shared" si="123"/>
        <v>12.215665677473545</v>
      </c>
      <c r="BF13" s="44">
        <f t="shared" si="124"/>
        <v>11.108111989382607</v>
      </c>
      <c r="BG13" s="44">
        <f t="shared" si="125"/>
        <v>9.9431487444961135</v>
      </c>
      <c r="BH13" s="44">
        <f t="shared" si="126"/>
        <v>8.7187209991024446</v>
      </c>
      <c r="BI13" s="44">
        <f t="shared" si="127"/>
        <v>7.4327096517348323</v>
      </c>
      <c r="BJ13" s="44">
        <f t="shared" si="128"/>
        <v>6.0829295789797868</v>
      </c>
      <c r="BK13" s="44">
        <f t="shared" si="129"/>
        <v>4.6671277194722407</v>
      </c>
      <c r="BL13" s="44">
        <f t="shared" si="130"/>
        <v>3.1829811046800671</v>
      </c>
      <c r="BM13" s="44">
        <f t="shared" si="131"/>
        <v>1.6280948350438535</v>
      </c>
      <c r="BN13" s="44">
        <f t="shared" si="132"/>
        <v>0</v>
      </c>
    </row>
    <row r="14" spans="1:89">
      <c r="A14" s="1" t="s">
        <v>249</v>
      </c>
      <c r="C14" s="1"/>
      <c r="D14" s="66">
        <f t="shared" ref="D14:AH14" si="134">D6-D12</f>
        <v>70.960266702016895</v>
      </c>
      <c r="E14" s="66">
        <f t="shared" si="134"/>
        <v>74.814660528239799</v>
      </c>
      <c r="F14" s="66">
        <f t="shared" si="134"/>
        <v>78.642640697869368</v>
      </c>
      <c r="G14" s="66">
        <f t="shared" si="134"/>
        <v>82.44329593975317</v>
      </c>
      <c r="H14" s="66">
        <f t="shared" si="134"/>
        <v>86.215687037090035</v>
      </c>
      <c r="I14" s="66">
        <f t="shared" si="134"/>
        <v>89.958846023992734</v>
      </c>
      <c r="J14" s="66">
        <f t="shared" si="134"/>
        <v>93.671775359875667</v>
      </c>
      <c r="K14" s="66">
        <f t="shared" si="134"/>
        <v>97.353447081072844</v>
      </c>
      <c r="L14" s="66">
        <f t="shared" si="134"/>
        <v>101.00280192907483</v>
      </c>
      <c r="M14" s="66">
        <f t="shared" si="134"/>
        <v>104.6187484547591</v>
      </c>
      <c r="N14" s="66">
        <f t="shared" si="134"/>
        <v>108.20016209796931</v>
      </c>
      <c r="O14" s="66">
        <f t="shared" si="134"/>
        <v>107.98087762639149</v>
      </c>
      <c r="P14" s="66">
        <f t="shared" si="134"/>
        <v>107.67497140659142</v>
      </c>
      <c r="Q14" s="66">
        <f t="shared" si="134"/>
        <v>107.27949785346109</v>
      </c>
      <c r="R14" s="66">
        <f t="shared" si="134"/>
        <v>106.79142170788228</v>
      </c>
      <c r="S14" s="66">
        <f t="shared" si="134"/>
        <v>106.20761546993668</v>
      </c>
      <c r="T14" s="66">
        <f t="shared" si="134"/>
        <v>105.32485676148114</v>
      </c>
      <c r="U14" s="66">
        <f t="shared" si="134"/>
        <v>104.33982561619675</v>
      </c>
      <c r="V14" s="66">
        <f t="shared" si="134"/>
        <v>103.24910169517095</v>
      </c>
      <c r="W14" s="66">
        <f t="shared" si="134"/>
        <v>102.04916142602011</v>
      </c>
      <c r="X14" s="66">
        <f t="shared" si="134"/>
        <v>100.7363750635095</v>
      </c>
      <c r="Y14" s="66">
        <f t="shared" si="134"/>
        <v>99.811867793828924</v>
      </c>
      <c r="Z14" s="66">
        <f t="shared" si="134"/>
        <v>98.80854800880175</v>
      </c>
      <c r="AA14" s="66">
        <f t="shared" si="134"/>
        <v>97.723885010892388</v>
      </c>
      <c r="AB14" s="66">
        <f t="shared" si="134"/>
        <v>96.555273382299276</v>
      </c>
      <c r="AC14" s="66">
        <f t="shared" si="134"/>
        <v>95.300030886561558</v>
      </c>
      <c r="AD14" s="66">
        <f t="shared" si="134"/>
        <v>93.95539631316683</v>
      </c>
      <c r="AE14" s="66">
        <f t="shared" si="134"/>
        <v>92.518527263647783</v>
      </c>
      <c r="AF14" s="66">
        <f t="shared" si="134"/>
        <v>90.986497877616813</v>
      </c>
      <c r="AG14" s="66">
        <f t="shared" si="134"/>
        <v>89.356296497146218</v>
      </c>
      <c r="AH14" s="66">
        <f t="shared" si="134"/>
        <v>87.6248232678617</v>
      </c>
      <c r="AJ14" s="66">
        <f t="shared" si="102"/>
        <v>70.960266702016895</v>
      </c>
      <c r="AK14" s="66">
        <f t="shared" si="103"/>
        <v>74.814660528239799</v>
      </c>
      <c r="AL14" s="66">
        <f t="shared" si="104"/>
        <v>78.642640697869368</v>
      </c>
      <c r="AM14" s="66">
        <f t="shared" si="105"/>
        <v>82.44329593975317</v>
      </c>
      <c r="AN14" s="66">
        <f t="shared" si="106"/>
        <v>86.215687037090035</v>
      </c>
      <c r="AO14" s="66">
        <f t="shared" si="107"/>
        <v>89.958846023992734</v>
      </c>
      <c r="AP14" s="66">
        <f t="shared" si="108"/>
        <v>93.671775359875667</v>
      </c>
      <c r="AQ14" s="66">
        <f t="shared" si="109"/>
        <v>97.353447081072844</v>
      </c>
      <c r="AR14" s="66">
        <f t="shared" si="110"/>
        <v>101.00280192907483</v>
      </c>
      <c r="AS14" s="66">
        <f t="shared" si="111"/>
        <v>104.6187484547591</v>
      </c>
      <c r="AT14" s="66">
        <f t="shared" si="112"/>
        <v>108.20016209796931</v>
      </c>
      <c r="AU14" s="66">
        <f t="shared" si="113"/>
        <v>107.98087762639149</v>
      </c>
      <c r="AV14" s="66">
        <f t="shared" si="114"/>
        <v>107.67497140659142</v>
      </c>
      <c r="AW14" s="66">
        <f t="shared" si="115"/>
        <v>107.27949785346109</v>
      </c>
      <c r="AX14" s="66">
        <f t="shared" si="116"/>
        <v>106.79142170788228</v>
      </c>
      <c r="AY14" s="66">
        <f t="shared" si="117"/>
        <v>106.20761546993668</v>
      </c>
      <c r="AZ14" s="66">
        <f t="shared" si="118"/>
        <v>105.32485676148114</v>
      </c>
      <c r="BA14" s="66">
        <f t="shared" si="119"/>
        <v>104.33982561619675</v>
      </c>
      <c r="BB14" s="66">
        <f t="shared" si="120"/>
        <v>103.24910169517095</v>
      </c>
      <c r="BC14" s="66">
        <f t="shared" si="121"/>
        <v>102.04916142602011</v>
      </c>
      <c r="BD14" s="66">
        <f t="shared" si="122"/>
        <v>100.7363750635095</v>
      </c>
      <c r="BE14" s="66">
        <f t="shared" si="123"/>
        <v>99.811867793828924</v>
      </c>
      <c r="BF14" s="66">
        <f t="shared" si="124"/>
        <v>98.80854800880175</v>
      </c>
      <c r="BG14" s="66">
        <f t="shared" si="125"/>
        <v>97.723885010892388</v>
      </c>
      <c r="BH14" s="66">
        <f t="shared" si="126"/>
        <v>96.555273382299276</v>
      </c>
      <c r="BI14" s="66">
        <f t="shared" si="127"/>
        <v>95.300030886561558</v>
      </c>
      <c r="BJ14" s="66">
        <f t="shared" si="128"/>
        <v>93.95539631316683</v>
      </c>
      <c r="BK14" s="66">
        <f t="shared" si="129"/>
        <v>92.518527263647783</v>
      </c>
      <c r="BL14" s="66">
        <f t="shared" si="130"/>
        <v>90.986497877616813</v>
      </c>
      <c r="BM14" s="66">
        <f t="shared" si="131"/>
        <v>89.356296497146218</v>
      </c>
      <c r="BN14" s="66">
        <f t="shared" si="132"/>
        <v>87.6248232678617</v>
      </c>
      <c r="BQ14" s="1" t="s">
        <v>178</v>
      </c>
      <c r="BR14" t="s">
        <v>179</v>
      </c>
      <c r="BS14" s="44">
        <f>AH5</f>
        <v>38.857142857142854</v>
      </c>
    </row>
    <row r="15" spans="1:89" s="67" customFormat="1">
      <c r="A15" s="752"/>
      <c r="B15" s="58" t="s">
        <v>246</v>
      </c>
      <c r="C15" s="59" t="s">
        <v>153</v>
      </c>
      <c r="D15" s="60">
        <f t="shared" ref="D15:AH15" si="135">D7</f>
        <v>7.192774760698633</v>
      </c>
      <c r="E15" s="60">
        <f t="shared" si="135"/>
        <v>7.6416731481225399</v>
      </c>
      <c r="F15" s="60">
        <f t="shared" si="135"/>
        <v>8.0905715355464469</v>
      </c>
      <c r="G15" s="60">
        <f t="shared" si="135"/>
        <v>8.5394699229703548</v>
      </c>
      <c r="H15" s="60">
        <f t="shared" si="135"/>
        <v>8.9883683103942644</v>
      </c>
      <c r="I15" s="60">
        <f t="shared" si="135"/>
        <v>9.4372666978181723</v>
      </c>
      <c r="J15" s="60">
        <f t="shared" si="135"/>
        <v>9.8861650852420784</v>
      </c>
      <c r="K15" s="60">
        <f t="shared" si="135"/>
        <v>10.335063472665988</v>
      </c>
      <c r="L15" s="60">
        <f t="shared" si="135"/>
        <v>10.783961860089894</v>
      </c>
      <c r="M15" s="60">
        <f t="shared" si="135"/>
        <v>11.2328602475138</v>
      </c>
      <c r="N15" s="60">
        <f t="shared" si="135"/>
        <v>11.68175863493771</v>
      </c>
      <c r="O15" s="60">
        <f t="shared" si="135"/>
        <v>11.858620318763244</v>
      </c>
      <c r="P15" s="60">
        <f t="shared" si="135"/>
        <v>12.035482002588779</v>
      </c>
      <c r="Q15" s="60">
        <f t="shared" si="135"/>
        <v>12.212343686414314</v>
      </c>
      <c r="R15" s="60">
        <f t="shared" si="135"/>
        <v>12.389205370239848</v>
      </c>
      <c r="S15" s="60">
        <f t="shared" si="135"/>
        <v>12.566067054065384</v>
      </c>
      <c r="T15" s="60">
        <f t="shared" si="135"/>
        <v>12.722656055458923</v>
      </c>
      <c r="U15" s="60">
        <f t="shared" si="135"/>
        <v>12.87924505685246</v>
      </c>
      <c r="V15" s="60">
        <f t="shared" si="135"/>
        <v>13.035834058246001</v>
      </c>
      <c r="W15" s="60">
        <f t="shared" si="135"/>
        <v>13.192423059639536</v>
      </c>
      <c r="X15" s="60">
        <f t="shared" si="135"/>
        <v>13.349012061033076</v>
      </c>
      <c r="Y15" s="60">
        <f t="shared" si="135"/>
        <v>13.465055697562624</v>
      </c>
      <c r="Z15" s="60">
        <f t="shared" si="135"/>
        <v>13.581099334092171</v>
      </c>
      <c r="AA15" s="60">
        <f t="shared" si="135"/>
        <v>13.697142970621716</v>
      </c>
      <c r="AB15" s="60">
        <f t="shared" si="135"/>
        <v>13.813186607151264</v>
      </c>
      <c r="AC15" s="60">
        <f t="shared" si="135"/>
        <v>13.929230243680811</v>
      </c>
      <c r="AD15" s="60">
        <f t="shared" si="135"/>
        <v>14.04527388021036</v>
      </c>
      <c r="AE15" s="60">
        <f t="shared" si="135"/>
        <v>14.161317516739903</v>
      </c>
      <c r="AF15" s="60">
        <f t="shared" si="135"/>
        <v>14.277361153269451</v>
      </c>
      <c r="AG15" s="60">
        <f t="shared" si="135"/>
        <v>14.393404789798998</v>
      </c>
      <c r="AH15" s="60">
        <f t="shared" si="135"/>
        <v>14.509448426328543</v>
      </c>
      <c r="AJ15" s="60">
        <f t="shared" ref="AJ15:AJ17" si="136">D15</f>
        <v>7.192774760698633</v>
      </c>
      <c r="AK15" s="60">
        <f t="shared" ref="AK15:AK18" si="137">E15</f>
        <v>7.6416731481225399</v>
      </c>
      <c r="AL15" s="60">
        <f t="shared" ref="AL15:AL18" si="138">F15</f>
        <v>8.0905715355464469</v>
      </c>
      <c r="AM15" s="60">
        <f t="shared" ref="AM15:AM18" si="139">G15</f>
        <v>8.5394699229703548</v>
      </c>
      <c r="AN15" s="60">
        <f t="shared" ref="AN15:AN18" si="140">H15</f>
        <v>8.9883683103942644</v>
      </c>
      <c r="AO15" s="60">
        <f t="shared" ref="AO15:AO18" si="141">I15</f>
        <v>9.4372666978181723</v>
      </c>
      <c r="AP15" s="60">
        <f t="shared" ref="AP15:AP18" si="142">J15</f>
        <v>9.8861650852420784</v>
      </c>
      <c r="AQ15" s="60">
        <f t="shared" ref="AQ15:AQ18" si="143">K15</f>
        <v>10.335063472665988</v>
      </c>
      <c r="AR15" s="60">
        <f t="shared" ref="AR15:AR18" si="144">L15</f>
        <v>10.783961860089894</v>
      </c>
      <c r="AS15" s="60">
        <f t="shared" ref="AS15:AS18" si="145">M15</f>
        <v>11.2328602475138</v>
      </c>
      <c r="AT15" s="60">
        <f t="shared" ref="AT15:AT18" si="146">N15</f>
        <v>11.68175863493771</v>
      </c>
      <c r="AU15" s="60">
        <f t="shared" ref="AU15:AU18" si="147">O15</f>
        <v>11.858620318763244</v>
      </c>
      <c r="AV15" s="60">
        <f t="shared" ref="AV15:AV18" si="148">P15</f>
        <v>12.035482002588779</v>
      </c>
      <c r="AW15" s="60">
        <f t="shared" ref="AW15:AW18" si="149">Q15</f>
        <v>12.212343686414314</v>
      </c>
      <c r="AX15" s="60">
        <f t="shared" ref="AX15:AX18" si="150">R15</f>
        <v>12.389205370239848</v>
      </c>
      <c r="AY15" s="60">
        <f t="shared" ref="AY15:AY18" si="151">S15</f>
        <v>12.566067054065384</v>
      </c>
      <c r="AZ15" s="60">
        <f t="shared" ref="AZ15:AZ18" si="152">T15</f>
        <v>12.722656055458923</v>
      </c>
      <c r="BA15" s="60">
        <f t="shared" ref="BA15:BA18" si="153">U15</f>
        <v>12.87924505685246</v>
      </c>
      <c r="BB15" s="60">
        <f t="shared" ref="BB15:BB18" si="154">V15</f>
        <v>13.035834058246001</v>
      </c>
      <c r="BC15" s="60">
        <f t="shared" ref="BC15:BC18" si="155">W15</f>
        <v>13.192423059639536</v>
      </c>
      <c r="BD15" s="60">
        <f t="shared" ref="BD15:BD18" si="156">X15</f>
        <v>13.349012061033076</v>
      </c>
      <c r="BE15" s="60">
        <f t="shared" ref="BE15:BE18" si="157">Y15</f>
        <v>13.465055697562624</v>
      </c>
      <c r="BF15" s="60">
        <f t="shared" ref="BF15:BF18" si="158">Z15</f>
        <v>13.581099334092171</v>
      </c>
      <c r="BG15" s="60">
        <f t="shared" ref="BG15:BG18" si="159">AA15</f>
        <v>13.697142970621716</v>
      </c>
      <c r="BH15" s="60">
        <f t="shared" ref="BH15:BH18" si="160">AB15</f>
        <v>13.813186607151264</v>
      </c>
      <c r="BI15" s="60">
        <f t="shared" ref="BI15:BI18" si="161">AC15</f>
        <v>13.929230243680811</v>
      </c>
      <c r="BJ15" s="60">
        <f t="shared" ref="BJ15:BJ18" si="162">AD15</f>
        <v>14.04527388021036</v>
      </c>
      <c r="BK15" s="60">
        <f t="shared" ref="BK15:BK18" si="163">AE15</f>
        <v>14.161317516739903</v>
      </c>
      <c r="BL15" s="60">
        <f t="shared" ref="BL15:BL18" si="164">AF15</f>
        <v>14.277361153269451</v>
      </c>
      <c r="BM15" s="60">
        <f t="shared" ref="BM15:BM18" si="165">AG15</f>
        <v>14.393404789798998</v>
      </c>
      <c r="BN15" s="60">
        <f t="shared" ref="BN15:BN18" si="166">AH15</f>
        <v>14.509448426328543</v>
      </c>
    </row>
    <row r="16" spans="1:89" ht="64">
      <c r="A16" s="753"/>
      <c r="B16" s="1" t="s">
        <v>247</v>
      </c>
      <c r="C16" s="54" t="s">
        <v>153</v>
      </c>
      <c r="D16" s="44">
        <f t="shared" ref="D16:AH16" si="167">D8-D12</f>
        <v>28.065001267929215</v>
      </c>
      <c r="E16" s="44">
        <f t="shared" si="167"/>
        <v>28.136286371149751</v>
      </c>
      <c r="F16" s="44">
        <f t="shared" si="167"/>
        <v>28.196004203447703</v>
      </c>
      <c r="G16" s="44">
        <f t="shared" si="167"/>
        <v>28.243584960541014</v>
      </c>
      <c r="H16" s="44">
        <f t="shared" si="167"/>
        <v>28.278438746237001</v>
      </c>
      <c r="I16" s="44">
        <f t="shared" si="167"/>
        <v>28.29995494963087</v>
      </c>
      <c r="J16" s="44">
        <f t="shared" si="167"/>
        <v>28.307501604284109</v>
      </c>
      <c r="K16" s="44">
        <f t="shared" si="167"/>
        <v>28.30042472888303</v>
      </c>
      <c r="L16" s="44">
        <f t="shared" si="167"/>
        <v>28.278047648864838</v>
      </c>
      <c r="M16" s="44">
        <f t="shared" si="167"/>
        <v>28.239670298484235</v>
      </c>
      <c r="N16" s="44">
        <f t="shared" si="167"/>
        <v>28.184568502779875</v>
      </c>
      <c r="O16" s="44">
        <f t="shared" si="167"/>
        <v>27.030762729697322</v>
      </c>
      <c r="P16" s="44">
        <f t="shared" si="167"/>
        <v>25.808972254315002</v>
      </c>
      <c r="Q16" s="44">
        <f t="shared" si="167"/>
        <v>24.516680143581084</v>
      </c>
      <c r="R16" s="44">
        <f t="shared" si="167"/>
        <v>23.151289649430872</v>
      </c>
      <c r="S16" s="44">
        <f t="shared" si="167"/>
        <v>21.710121868753799</v>
      </c>
      <c r="T16" s="44">
        <f t="shared" si="167"/>
        <v>20.190413337941031</v>
      </c>
      <c r="U16" s="44">
        <f t="shared" si="167"/>
        <v>18.589313560242303</v>
      </c>
      <c r="V16" s="44">
        <f t="shared" si="167"/>
        <v>16.903882464113668</v>
      </c>
      <c r="W16" s="44">
        <f t="shared" si="167"/>
        <v>15.131087790689747</v>
      </c>
      <c r="X16" s="44">
        <f t="shared" si="167"/>
        <v>13.26780240846481</v>
      </c>
      <c r="Y16" s="44">
        <f t="shared" si="167"/>
        <v>12.215665677473545</v>
      </c>
      <c r="Z16" s="44">
        <f t="shared" si="167"/>
        <v>11.108111989382607</v>
      </c>
      <c r="AA16" s="44">
        <f t="shared" si="167"/>
        <v>9.9431487444961135</v>
      </c>
      <c r="AB16" s="44">
        <f t="shared" si="167"/>
        <v>8.7187209991024446</v>
      </c>
      <c r="AC16" s="44">
        <f t="shared" si="167"/>
        <v>7.4327096517348323</v>
      </c>
      <c r="AD16" s="44">
        <f t="shared" si="167"/>
        <v>6.0829295789797868</v>
      </c>
      <c r="AE16" s="44">
        <f t="shared" si="167"/>
        <v>4.6671277194722407</v>
      </c>
      <c r="AF16" s="44">
        <f t="shared" si="167"/>
        <v>3.1829811046800671</v>
      </c>
      <c r="AG16" s="44">
        <f t="shared" si="167"/>
        <v>1.6280948350438535</v>
      </c>
      <c r="AH16" s="44">
        <f t="shared" si="167"/>
        <v>0</v>
      </c>
      <c r="AJ16" s="44">
        <f t="shared" si="136"/>
        <v>28.065001267929215</v>
      </c>
      <c r="AK16" s="44">
        <f t="shared" si="137"/>
        <v>28.136286371149751</v>
      </c>
      <c r="AL16" s="44">
        <f t="shared" si="138"/>
        <v>28.196004203447703</v>
      </c>
      <c r="AM16" s="44">
        <f t="shared" si="139"/>
        <v>28.243584960541014</v>
      </c>
      <c r="AN16" s="44">
        <f t="shared" si="140"/>
        <v>28.278438746237001</v>
      </c>
      <c r="AO16" s="44">
        <f t="shared" si="141"/>
        <v>28.29995494963087</v>
      </c>
      <c r="AP16" s="44">
        <f t="shared" si="142"/>
        <v>28.307501604284109</v>
      </c>
      <c r="AQ16" s="44">
        <f t="shared" si="143"/>
        <v>28.30042472888303</v>
      </c>
      <c r="AR16" s="44">
        <f t="shared" si="144"/>
        <v>28.278047648864838</v>
      </c>
      <c r="AS16" s="44">
        <f t="shared" si="145"/>
        <v>28.239670298484235</v>
      </c>
      <c r="AT16" s="44">
        <f t="shared" si="146"/>
        <v>28.184568502779875</v>
      </c>
      <c r="AU16" s="44">
        <f t="shared" si="147"/>
        <v>27.030762729697322</v>
      </c>
      <c r="AV16" s="44">
        <f t="shared" si="148"/>
        <v>25.808972254315002</v>
      </c>
      <c r="AW16" s="44">
        <f t="shared" si="149"/>
        <v>24.516680143581084</v>
      </c>
      <c r="AX16" s="44">
        <f t="shared" si="150"/>
        <v>23.151289649430872</v>
      </c>
      <c r="AY16" s="44">
        <f t="shared" si="151"/>
        <v>21.710121868753799</v>
      </c>
      <c r="AZ16" s="44">
        <f t="shared" si="152"/>
        <v>20.190413337941031</v>
      </c>
      <c r="BA16" s="44">
        <f t="shared" si="153"/>
        <v>18.589313560242303</v>
      </c>
      <c r="BB16" s="44">
        <f t="shared" si="154"/>
        <v>16.903882464113668</v>
      </c>
      <c r="BC16" s="44">
        <f t="shared" si="155"/>
        <v>15.131087790689747</v>
      </c>
      <c r="BD16" s="44">
        <f t="shared" si="156"/>
        <v>13.26780240846481</v>
      </c>
      <c r="BE16" s="44">
        <f t="shared" si="157"/>
        <v>12.215665677473545</v>
      </c>
      <c r="BF16" s="44">
        <f t="shared" si="158"/>
        <v>11.108111989382607</v>
      </c>
      <c r="BG16" s="44">
        <f t="shared" si="159"/>
        <v>9.9431487444961135</v>
      </c>
      <c r="BH16" s="44">
        <f t="shared" si="160"/>
        <v>8.7187209991024446</v>
      </c>
      <c r="BI16" s="44">
        <f t="shared" si="161"/>
        <v>7.4327096517348323</v>
      </c>
      <c r="BJ16" s="44">
        <f t="shared" si="162"/>
        <v>6.0829295789797868</v>
      </c>
      <c r="BK16" s="44">
        <f t="shared" si="163"/>
        <v>4.6671277194722407</v>
      </c>
      <c r="BL16" s="44">
        <f t="shared" si="164"/>
        <v>3.1829811046800671</v>
      </c>
      <c r="BM16" s="44">
        <f t="shared" si="165"/>
        <v>1.6280948350438535</v>
      </c>
      <c r="BN16" s="44">
        <f t="shared" si="166"/>
        <v>0</v>
      </c>
      <c r="BY16" s="30"/>
      <c r="BZ16" s="139" t="s">
        <v>1</v>
      </c>
      <c r="CA16" s="139" t="s">
        <v>180</v>
      </c>
      <c r="CB16" s="139"/>
      <c r="CC16" s="139" t="s">
        <v>181</v>
      </c>
      <c r="CD16" s="139" t="s">
        <v>182</v>
      </c>
      <c r="CE16" s="139" t="s">
        <v>183</v>
      </c>
      <c r="CF16" s="263" t="s">
        <v>28</v>
      </c>
      <c r="CG16" s="139" t="s">
        <v>51</v>
      </c>
      <c r="CH16" s="139" t="s">
        <v>184</v>
      </c>
    </row>
    <row r="17" spans="1:87" s="68" customFormat="1">
      <c r="A17" s="754"/>
      <c r="B17" s="62" t="s">
        <v>248</v>
      </c>
      <c r="C17" s="283" t="s">
        <v>153</v>
      </c>
      <c r="D17" s="284">
        <f>D9</f>
        <v>35.70249067338905</v>
      </c>
      <c r="E17" s="284">
        <f t="shared" ref="E17:AH17" si="168">E9</f>
        <v>39.036701008967512</v>
      </c>
      <c r="F17" s="284">
        <f t="shared" si="168"/>
        <v>42.356064958875223</v>
      </c>
      <c r="G17" s="284">
        <f t="shared" si="168"/>
        <v>45.660241056241802</v>
      </c>
      <c r="H17" s="284">
        <f t="shared" si="168"/>
        <v>48.948879980458763</v>
      </c>
      <c r="I17" s="284">
        <f t="shared" si="168"/>
        <v>52.221624376543687</v>
      </c>
      <c r="J17" s="284">
        <f t="shared" si="168"/>
        <v>55.478108670349478</v>
      </c>
      <c r="K17" s="284">
        <f t="shared" si="168"/>
        <v>58.71795887952382</v>
      </c>
      <c r="L17" s="284">
        <f t="shared" si="168"/>
        <v>61.940792420120104</v>
      </c>
      <c r="M17" s="284">
        <f t="shared" si="168"/>
        <v>65.146217908761059</v>
      </c>
      <c r="N17" s="284">
        <f t="shared" si="168"/>
        <v>68.333834960251721</v>
      </c>
      <c r="O17" s="284">
        <f t="shared" si="168"/>
        <v>69.091494577930916</v>
      </c>
      <c r="P17" s="284">
        <f t="shared" si="168"/>
        <v>69.830517149687651</v>
      </c>
      <c r="Q17" s="284">
        <f t="shared" si="168"/>
        <v>70.550474023465711</v>
      </c>
      <c r="R17" s="284">
        <f t="shared" si="168"/>
        <v>71.250926688211564</v>
      </c>
      <c r="S17" s="284">
        <f t="shared" si="168"/>
        <v>71.931426547117496</v>
      </c>
      <c r="T17" s="284">
        <f t="shared" si="168"/>
        <v>72.411787368081178</v>
      </c>
      <c r="U17" s="284">
        <f t="shared" si="168"/>
        <v>72.871266999101977</v>
      </c>
      <c r="V17" s="284">
        <f t="shared" si="168"/>
        <v>73.30938517281129</v>
      </c>
      <c r="W17" s="284">
        <f t="shared" si="168"/>
        <v>73.725650575690821</v>
      </c>
      <c r="X17" s="284">
        <f t="shared" si="168"/>
        <v>74.119560594011602</v>
      </c>
      <c r="Y17" s="284">
        <f t="shared" si="168"/>
        <v>74.131146418792753</v>
      </c>
      <c r="Z17" s="284">
        <f t="shared" si="168"/>
        <v>74.119336685326971</v>
      </c>
      <c r="AA17" s="284">
        <f t="shared" si="168"/>
        <v>74.083593295774563</v>
      </c>
      <c r="AB17" s="284">
        <f t="shared" si="168"/>
        <v>74.023365776045551</v>
      </c>
      <c r="AC17" s="284">
        <f t="shared" si="168"/>
        <v>73.938090991145913</v>
      </c>
      <c r="AD17" s="284">
        <f t="shared" si="168"/>
        <v>73.827192853976683</v>
      </c>
      <c r="AE17" s="284">
        <f t="shared" si="168"/>
        <v>73.690082027435636</v>
      </c>
      <c r="AF17" s="284">
        <f t="shared" si="168"/>
        <v>73.526155619667293</v>
      </c>
      <c r="AG17" s="284">
        <f t="shared" si="168"/>
        <v>73.334796872303372</v>
      </c>
      <c r="AH17" s="284">
        <f t="shared" si="168"/>
        <v>73.115374841533168</v>
      </c>
      <c r="AJ17" s="284">
        <f t="shared" si="136"/>
        <v>35.70249067338905</v>
      </c>
      <c r="AK17" s="284">
        <f t="shared" si="137"/>
        <v>39.036701008967512</v>
      </c>
      <c r="AL17" s="284">
        <f t="shared" si="138"/>
        <v>42.356064958875223</v>
      </c>
      <c r="AM17" s="284">
        <f t="shared" si="139"/>
        <v>45.660241056241802</v>
      </c>
      <c r="AN17" s="284">
        <f t="shared" si="140"/>
        <v>48.948879980458763</v>
      </c>
      <c r="AO17" s="284">
        <f t="shared" si="141"/>
        <v>52.221624376543687</v>
      </c>
      <c r="AP17" s="284">
        <f t="shared" si="142"/>
        <v>55.478108670349478</v>
      </c>
      <c r="AQ17" s="284">
        <f t="shared" si="143"/>
        <v>58.71795887952382</v>
      </c>
      <c r="AR17" s="284">
        <f t="shared" si="144"/>
        <v>61.940792420120104</v>
      </c>
      <c r="AS17" s="284">
        <f t="shared" si="145"/>
        <v>65.146217908761059</v>
      </c>
      <c r="AT17" s="284">
        <f t="shared" si="146"/>
        <v>68.333834960251721</v>
      </c>
      <c r="AU17" s="284">
        <f t="shared" si="147"/>
        <v>69.091494577930916</v>
      </c>
      <c r="AV17" s="284">
        <f t="shared" si="148"/>
        <v>69.830517149687651</v>
      </c>
      <c r="AW17" s="284">
        <f t="shared" si="149"/>
        <v>70.550474023465711</v>
      </c>
      <c r="AX17" s="284">
        <f t="shared" si="150"/>
        <v>71.250926688211564</v>
      </c>
      <c r="AY17" s="284">
        <f t="shared" si="151"/>
        <v>71.931426547117496</v>
      </c>
      <c r="AZ17" s="284">
        <f t="shared" si="152"/>
        <v>72.411787368081178</v>
      </c>
      <c r="BA17" s="284">
        <f t="shared" si="153"/>
        <v>72.871266999101977</v>
      </c>
      <c r="BB17" s="284">
        <f t="shared" si="154"/>
        <v>73.30938517281129</v>
      </c>
      <c r="BC17" s="284">
        <f t="shared" si="155"/>
        <v>73.725650575690821</v>
      </c>
      <c r="BD17" s="284">
        <f t="shared" si="156"/>
        <v>74.119560594011602</v>
      </c>
      <c r="BE17" s="284">
        <f t="shared" si="157"/>
        <v>74.131146418792753</v>
      </c>
      <c r="BF17" s="284">
        <f t="shared" si="158"/>
        <v>74.119336685326971</v>
      </c>
      <c r="BG17" s="284">
        <f t="shared" si="159"/>
        <v>74.083593295774563</v>
      </c>
      <c r="BH17" s="284">
        <f t="shared" si="160"/>
        <v>74.023365776045551</v>
      </c>
      <c r="BI17" s="284">
        <f t="shared" si="161"/>
        <v>73.938090991145913</v>
      </c>
      <c r="BJ17" s="284">
        <f t="shared" si="162"/>
        <v>73.827192853976683</v>
      </c>
      <c r="BK17" s="284">
        <f t="shared" si="163"/>
        <v>73.690082027435636</v>
      </c>
      <c r="BL17" s="284">
        <f t="shared" si="164"/>
        <v>73.526155619667293</v>
      </c>
      <c r="BM17" s="284">
        <f t="shared" si="165"/>
        <v>73.334796872303372</v>
      </c>
      <c r="BN17" s="284">
        <f t="shared" si="166"/>
        <v>73.115374841533168</v>
      </c>
      <c r="BY17" s="138"/>
      <c r="CA17" s="139"/>
      <c r="CC17" s="139"/>
      <c r="CD17" s="139"/>
      <c r="CE17" s="139"/>
      <c r="CF17" s="139"/>
      <c r="CG17" s="139"/>
      <c r="CH17" s="139"/>
      <c r="CI17" s="139"/>
    </row>
    <row r="18" spans="1:87" s="1" customFormat="1" ht="16">
      <c r="A18" s="58" t="s">
        <v>250</v>
      </c>
      <c r="B18" s="58" t="s">
        <v>186</v>
      </c>
      <c r="C18" s="100" t="s">
        <v>153</v>
      </c>
      <c r="D18" s="101">
        <f>'Demand - Industry shares'!L84</f>
        <v>7.4818743268684171</v>
      </c>
      <c r="E18" s="101">
        <f>D18*(1+'Demand Breakdown - Methanol'!$N$39)</f>
        <v>7.6090661904251791</v>
      </c>
      <c r="F18" s="101">
        <f>E18*(1+'Demand Breakdown - Methanol'!$N$39)</f>
        <v>7.7384203156624061</v>
      </c>
      <c r="G18" s="101">
        <f>F18*(1+'Demand Breakdown - Methanol'!$N$39)</f>
        <v>7.8699734610286658</v>
      </c>
      <c r="H18" s="101">
        <f>G18*(1+'Demand Breakdown - Methanol'!$N$39)</f>
        <v>8.0037630098661516</v>
      </c>
      <c r="I18" s="101">
        <f>H18*(1+'Demand Breakdown - Methanol'!$N$39)</f>
        <v>8.1398269810338757</v>
      </c>
      <c r="J18" s="101">
        <f>I18*(1+'Demand Breakdown - Methanol'!$N$39)</f>
        <v>8.2782040397114507</v>
      </c>
      <c r="K18" s="101">
        <f>J18*(1+'Demand Breakdown - Methanol'!$N$39)</f>
        <v>8.4189335083865444</v>
      </c>
      <c r="L18" s="101">
        <f>K18*(1+'Demand Breakdown - Methanol'!$N$39)</f>
        <v>8.5620553780291146</v>
      </c>
      <c r="M18" s="101">
        <f>L18*(1+'Demand Breakdown - Methanol'!$N$39)</f>
        <v>8.7076103194556094</v>
      </c>
      <c r="N18" s="101">
        <f>M18*(1+'Demand Breakdown - Methanol'!$N$39)</f>
        <v>8.8556396948863547</v>
      </c>
      <c r="O18" s="101">
        <f>N18*(1+'Demand Breakdown - Methanol'!$N$39)</f>
        <v>9.0061855696994222</v>
      </c>
      <c r="P18" s="101">
        <f>O18*(1+'Demand Breakdown - Methanol'!$N$39)</f>
        <v>9.1592907243843111</v>
      </c>
      <c r="Q18" s="101">
        <f>P18*(1+'Demand Breakdown - Methanol'!$N$39)</f>
        <v>9.3149986666988429</v>
      </c>
      <c r="R18" s="101">
        <f>Q18*(1+'Demand Breakdown - Methanol'!$N$39)</f>
        <v>9.4733536440327217</v>
      </c>
      <c r="S18" s="101">
        <f>R18*(1+'Demand Breakdown - Methanol'!$N$39)</f>
        <v>9.6344006559812776</v>
      </c>
      <c r="T18" s="101">
        <f>S18*(1+'Demand Breakdown - Methanol'!$N$39)</f>
        <v>9.7981854671329582</v>
      </c>
      <c r="U18" s="101">
        <f>T18*(1+'Demand Breakdown - Methanol'!$N$39)</f>
        <v>9.964754620074217</v>
      </c>
      <c r="V18" s="101">
        <f>U18*(1+'Demand Breakdown - Methanol'!$N$39)</f>
        <v>10.134155448615477</v>
      </c>
      <c r="W18" s="101">
        <f>V18*(1+'Demand Breakdown - Methanol'!$N$39)</f>
        <v>10.30643609124194</v>
      </c>
      <c r="X18" s="101">
        <f>W18*(1+'Demand Breakdown - Methanol'!$N$39)</f>
        <v>10.481645504793052</v>
      </c>
      <c r="Y18" s="101">
        <f>X18*(1+'Demand Breakdown - Methanol'!$N$39)</f>
        <v>10.659833478374534</v>
      </c>
      <c r="Z18" s="101">
        <f>Y18*(1+'Demand Breakdown - Methanol'!$N$39)</f>
        <v>10.841050647506899</v>
      </c>
      <c r="AA18" s="101">
        <f>Z18*(1+'Demand Breakdown - Methanol'!$N$39)</f>
        <v>11.025348508514515</v>
      </c>
      <c r="AB18" s="101">
        <f>AA18*(1+'Demand Breakdown - Methanol'!$N$39)</f>
        <v>11.212779433159261</v>
      </c>
      <c r="AC18" s="101">
        <f>AB18*(1+'Demand Breakdown - Methanol'!$N$39)</f>
        <v>11.403396683522967</v>
      </c>
      <c r="AD18" s="101">
        <f>AC18*(1+'Demand Breakdown - Methanol'!$N$39)</f>
        <v>11.597254427142856</v>
      </c>
      <c r="AE18" s="101">
        <f>AD18*(1+'Demand Breakdown - Methanol'!$N$39)</f>
        <v>11.794407752404283</v>
      </c>
      <c r="AF18" s="101">
        <f>AE18*(1+'Demand Breakdown - Methanol'!$N$39)</f>
        <v>11.994912684195155</v>
      </c>
      <c r="AG18" s="101">
        <f>AF18*(1+'Demand Breakdown - Methanol'!$N$39)</f>
        <v>12.198826199826472</v>
      </c>
      <c r="AH18" s="101">
        <f>AG18*(1+'Demand Breakdown - Methanol'!$N$39)</f>
        <v>12.406206245223521</v>
      </c>
      <c r="AJ18" s="101">
        <f>D18</f>
        <v>7.4818743268684171</v>
      </c>
      <c r="AK18" s="101">
        <f t="shared" si="137"/>
        <v>7.6090661904251791</v>
      </c>
      <c r="AL18" s="101">
        <f t="shared" si="138"/>
        <v>7.7384203156624061</v>
      </c>
      <c r="AM18" s="101">
        <f t="shared" si="139"/>
        <v>7.8699734610286658</v>
      </c>
      <c r="AN18" s="101">
        <f t="shared" si="140"/>
        <v>8.0037630098661516</v>
      </c>
      <c r="AO18" s="101">
        <f t="shared" si="141"/>
        <v>8.1398269810338757</v>
      </c>
      <c r="AP18" s="101">
        <f t="shared" si="142"/>
        <v>8.2782040397114507</v>
      </c>
      <c r="AQ18" s="101">
        <f t="shared" si="143"/>
        <v>8.4189335083865444</v>
      </c>
      <c r="AR18" s="101">
        <f t="shared" si="144"/>
        <v>8.5620553780291146</v>
      </c>
      <c r="AS18" s="101">
        <f t="shared" si="145"/>
        <v>8.7076103194556094</v>
      </c>
      <c r="AT18" s="101">
        <f t="shared" si="146"/>
        <v>8.8556396948863547</v>
      </c>
      <c r="AU18" s="101">
        <f t="shared" si="147"/>
        <v>9.0061855696994222</v>
      </c>
      <c r="AV18" s="101">
        <f t="shared" si="148"/>
        <v>9.1592907243843111</v>
      </c>
      <c r="AW18" s="101">
        <f t="shared" si="149"/>
        <v>9.3149986666988429</v>
      </c>
      <c r="AX18" s="101">
        <f t="shared" si="150"/>
        <v>9.4733536440327217</v>
      </c>
      <c r="AY18" s="101">
        <f t="shared" si="151"/>
        <v>9.6344006559812776</v>
      </c>
      <c r="AZ18" s="101">
        <f t="shared" si="152"/>
        <v>9.7981854671329582</v>
      </c>
      <c r="BA18" s="101">
        <f t="shared" si="153"/>
        <v>9.964754620074217</v>
      </c>
      <c r="BB18" s="101">
        <f t="shared" si="154"/>
        <v>10.134155448615477</v>
      </c>
      <c r="BC18" s="101">
        <f t="shared" si="155"/>
        <v>10.30643609124194</v>
      </c>
      <c r="BD18" s="101">
        <f t="shared" si="156"/>
        <v>10.481645504793052</v>
      </c>
      <c r="BE18" s="101">
        <f t="shared" si="157"/>
        <v>10.659833478374534</v>
      </c>
      <c r="BF18" s="101">
        <f t="shared" si="158"/>
        <v>10.841050647506899</v>
      </c>
      <c r="BG18" s="101">
        <f t="shared" si="159"/>
        <v>11.025348508514515</v>
      </c>
      <c r="BH18" s="101">
        <f t="shared" si="160"/>
        <v>11.212779433159261</v>
      </c>
      <c r="BI18" s="101">
        <f t="shared" si="161"/>
        <v>11.403396683522967</v>
      </c>
      <c r="BJ18" s="101">
        <f t="shared" si="162"/>
        <v>11.597254427142856</v>
      </c>
      <c r="BK18" s="101">
        <f t="shared" si="163"/>
        <v>11.794407752404283</v>
      </c>
      <c r="BL18" s="101">
        <f t="shared" si="164"/>
        <v>11.994912684195155</v>
      </c>
      <c r="BM18" s="101">
        <f t="shared" si="165"/>
        <v>12.198826199826472</v>
      </c>
      <c r="BN18" s="101">
        <f t="shared" si="166"/>
        <v>12.406206245223521</v>
      </c>
      <c r="BR18" s="1" t="s">
        <v>187</v>
      </c>
      <c r="BS18" s="66">
        <f>AH11</f>
        <v>55.518033874995439</v>
      </c>
      <c r="BY18" s="30" t="s">
        <v>188</v>
      </c>
      <c r="BZ18" s="143">
        <v>71</v>
      </c>
      <c r="CA18" s="137"/>
      <c r="CB18" s="137"/>
      <c r="CC18" s="143" t="s">
        <v>167</v>
      </c>
      <c r="CD18" s="137"/>
      <c r="CE18" s="137"/>
      <c r="CF18" s="137"/>
      <c r="CG18" s="137"/>
      <c r="CH18" s="548" t="s">
        <v>167</v>
      </c>
      <c r="CI18" s="140"/>
    </row>
    <row r="19" spans="1:87">
      <c r="B19" s="1" t="s">
        <v>189</v>
      </c>
      <c r="C19" s="54" t="s">
        <v>153</v>
      </c>
      <c r="D19" s="44">
        <v>0</v>
      </c>
      <c r="E19" s="44">
        <f>E18*('R&amp;S - Transportation'!$B$8*'R&amp;S - Transportation'!$D$19*(E3-$D$3)/10)</f>
        <v>1.5218132380850362E-2</v>
      </c>
      <c r="F19" s="44">
        <f>F18*('R&amp;S - Transportation'!$B$8*'R&amp;S - Transportation'!$D$19*(F3-$D$3)/10)</f>
        <v>3.0953681262649631E-2</v>
      </c>
      <c r="G19" s="44">
        <f>G18*('R&amp;S - Transportation'!$B$8*'R&amp;S - Transportation'!$D$19*(G3-$D$3)/10)</f>
        <v>4.7219840766172E-2</v>
      </c>
      <c r="H19" s="44">
        <f>H18*('R&amp;S - Transportation'!$B$8*'R&amp;S - Transportation'!$D$19*(H3-$D$3)/10)</f>
        <v>6.4030104078929229E-2</v>
      </c>
      <c r="I19" s="44">
        <f>I18*('R&amp;S - Transportation'!$B$8*'R&amp;S - Transportation'!$D$19*(I3-$D$3)/10)</f>
        <v>8.1398269810338778E-2</v>
      </c>
      <c r="J19" s="44">
        <f>J18*('R&amp;S - Transportation'!$B$8*'R&amp;S - Transportation'!$D$19*(J3-$D$3)/10)</f>
        <v>9.933844847653743E-2</v>
      </c>
      <c r="K19" s="44">
        <f>K18*('R&amp;S - Transportation'!$B$8*'R&amp;S - Transportation'!$D$19*(K3-$D$3)/10)</f>
        <v>0.11786506911741164</v>
      </c>
      <c r="L19" s="44">
        <f>L18*('R&amp;S - Transportation'!$B$8*'R&amp;S - Transportation'!$D$19*(L3-$D$3)/10)</f>
        <v>0.13699288604846588</v>
      </c>
      <c r="M19" s="44">
        <f>M18*('R&amp;S - Transportation'!$B$8*'R&amp;S - Transportation'!$D$19*(M3-$D$3)/10)</f>
        <v>0.15673698575020101</v>
      </c>
      <c r="N19" s="44">
        <f>N18*('R&amp;S - Transportation'!$B$8*'R&amp;S - Transportation'!$D$19*(N3-$D$3)/10)</f>
        <v>0.17711279389772713</v>
      </c>
      <c r="O19" s="44">
        <f>O18*('R&amp;S - Transportation'!$B$8*('R&amp;S - Transportation'!$D$19+('R&amp;S - Transportation'!$D$20-'R&amp;S - Transportation'!$D$19)*(O3-$N$3)/10))</f>
        <v>0.22515463924248558</v>
      </c>
      <c r="P19" s="44">
        <f>P18*('R&amp;S - Transportation'!$B$8*('R&amp;S - Transportation'!$D$19+('R&amp;S - Transportation'!$D$20-'R&amp;S - Transportation'!$D$19)*(P3-$N$3)/10))</f>
        <v>0.27477872173152934</v>
      </c>
      <c r="Q19" s="44">
        <f>Q18*('R&amp;S - Transportation'!$B$8*('R&amp;S - Transportation'!$D$19+('R&amp;S - Transportation'!$D$20-'R&amp;S - Transportation'!$D$19)*(Q3-$N$3)/10))</f>
        <v>0.32602495333445947</v>
      </c>
      <c r="R19" s="44">
        <f>R18*('R&amp;S - Transportation'!$B$8*('R&amp;S - Transportation'!$D$19+('R&amp;S - Transportation'!$D$20-'R&amp;S - Transportation'!$D$19)*(R3-$N$3)/10))</f>
        <v>0.37893414576130896</v>
      </c>
      <c r="S19" s="44">
        <f>S18*('R&amp;S - Transportation'!$B$8*('R&amp;S - Transportation'!$D$19+('R&amp;S - Transportation'!$D$20-'R&amp;S - Transportation'!$D$19)*(S3-$N$3)/10))</f>
        <v>0.4335480295191575</v>
      </c>
      <c r="T19" s="44">
        <f>T18*('R&amp;S - Transportation'!$B$8*('R&amp;S - Transportation'!$D$19+('R&amp;S - Transportation'!$D$20-'R&amp;S - Transportation'!$D$19)*(T3-$N$3)/10))</f>
        <v>0.48990927335664786</v>
      </c>
      <c r="U19" s="44">
        <f>U18*('R&amp;S - Transportation'!$B$8*('R&amp;S - Transportation'!$D$19+('R&amp;S - Transportation'!$D$20-'R&amp;S - Transportation'!$D$19)*(U3-$N$3)/10))</f>
        <v>0.54806150410408205</v>
      </c>
      <c r="V19" s="44">
        <f>V18*('R&amp;S - Transportation'!$B$8*('R&amp;S - Transportation'!$D$19+('R&amp;S - Transportation'!$D$20-'R&amp;S - Transportation'!$D$19)*(V3-$N$3)/10))</f>
        <v>0.60804932691692859</v>
      </c>
      <c r="W19" s="44">
        <f>W18*('R&amp;S - Transportation'!$B$8*('R&amp;S - Transportation'!$D$19+('R&amp;S - Transportation'!$D$20-'R&amp;S - Transportation'!$D$19)*(W3-$N$3)/10))</f>
        <v>0.66991834593072597</v>
      </c>
      <c r="X19" s="44">
        <f>X18*('R&amp;S - Transportation'!$B$8*('R&amp;S - Transportation'!$D$19+('R&amp;S - Transportation'!$D$20-'R&amp;S - Transportation'!$D$19)*(X3-$N$3)/10))</f>
        <v>0.73371518533551361</v>
      </c>
      <c r="Y19" s="44">
        <f>Y18*('R&amp;S - Transportation'!$B$8*('R&amp;S - Transportation'!$D$20+('R&amp;S - Transportation'!$D$21-'R&amp;S - Transportation'!$D$20)*(Y3-$X$3)/10))</f>
        <v>0.77816784392134086</v>
      </c>
      <c r="Z19" s="44">
        <f>Z18*('R&amp;S - Transportation'!$B$8*('R&amp;S - Transportation'!$D$20+('R&amp;S - Transportation'!$D$21-'R&amp;S - Transportation'!$D$20)*(Z3-$X$3)/10))</f>
        <v>0.82391984921052441</v>
      </c>
      <c r="AA19" s="44">
        <f>AA18*('R&amp;S - Transportation'!$B$8*('R&amp;S - Transportation'!$D$20+('R&amp;S - Transportation'!$D$21-'R&amp;S - Transportation'!$D$20)*(AA3-$X$3)/10))</f>
        <v>0.87100253217264667</v>
      </c>
      <c r="AB19" s="44">
        <f>AB18*('R&amp;S - Transportation'!$B$8*('R&amp;S - Transportation'!$D$20+('R&amp;S - Transportation'!$D$21-'R&amp;S - Transportation'!$D$20)*(AB3-$X$3)/10))</f>
        <v>0.91944791351905941</v>
      </c>
      <c r="AC19" s="44">
        <f>AC18*('R&amp;S - Transportation'!$B$8*('R&amp;S - Transportation'!$D$20+('R&amp;S - Transportation'!$D$21-'R&amp;S - Transportation'!$D$20)*(AC3-$X$3)/10))</f>
        <v>0.96928871809945227</v>
      </c>
      <c r="AD19" s="44">
        <f>AD18*('R&amp;S - Transportation'!$B$8*('R&amp;S - Transportation'!$D$20+('R&amp;S - Transportation'!$D$21-'R&amp;S - Transportation'!$D$20)*(AD3-$X$3)/10))</f>
        <v>1.0205583895885715</v>
      </c>
      <c r="AE19" s="44">
        <f>AE18*('R&amp;S - Transportation'!$B$8*('R&amp;S - Transportation'!$D$20+('R&amp;S - Transportation'!$D$21-'R&amp;S - Transportation'!$D$20)*(AE3-$X$3)/10))</f>
        <v>1.0732911054687899</v>
      </c>
      <c r="AF19" s="44">
        <f>AF18*('R&amp;S - Transportation'!$B$8*('R&amp;S - Transportation'!$D$20+('R&amp;S - Transportation'!$D$21-'R&amp;S - Transportation'!$D$20)*(AF3-$X$3)/10))</f>
        <v>1.1275217923143446</v>
      </c>
      <c r="AG19" s="44">
        <f>AG18*('R&amp;S - Transportation'!$B$8*('R&amp;S - Transportation'!$D$20+('R&amp;S - Transportation'!$D$21-'R&amp;S - Transportation'!$D$20)*(AG3-$X$3)/10))</f>
        <v>1.1832861413831679</v>
      </c>
      <c r="AH19" s="44">
        <f>AH18*('R&amp;S - Transportation'!$B$8*('R&amp;S - Transportation'!$D$20+('R&amp;S - Transportation'!$D$21-'R&amp;S - Transportation'!$D$20)*(AH3-$X$3)/10))</f>
        <v>1.2406206245223521</v>
      </c>
      <c r="AJ19" s="44">
        <v>0</v>
      </c>
      <c r="AK19" s="44">
        <f>AK18*('R&amp;S - Transportation'!$B$8*'R&amp;S - Transportation'!$D$19*(AK3-$D$3)/10)</f>
        <v>1.5218132380850362E-2</v>
      </c>
      <c r="AL19" s="44">
        <f>AL18*('R&amp;S - Transportation'!$B$8*'R&amp;S - Transportation'!$D$19*(AL3-$D$3)/10)</f>
        <v>3.0953681262649631E-2</v>
      </c>
      <c r="AM19" s="44">
        <f>AM18*('R&amp;S - Transportation'!$B$8*'R&amp;S - Transportation'!$D$19*(AM3-$D$3)/10)</f>
        <v>4.7219840766172E-2</v>
      </c>
      <c r="AN19" s="44">
        <f>AN18*('R&amp;S - Transportation'!$B$8*'R&amp;S - Transportation'!$D$19*(AN3-$D$3)/10)</f>
        <v>6.4030104078929229E-2</v>
      </c>
      <c r="AO19" s="44">
        <f>AO18*('R&amp;S - Transportation'!$B$8*'R&amp;S - Transportation'!$D$19*(AO3-$D$3)/10)</f>
        <v>8.1398269810338778E-2</v>
      </c>
      <c r="AP19" s="44">
        <f>AP18*('R&amp;S - Transportation'!$B$8*'R&amp;S - Transportation'!$D$19*(AP3-$D$3)/10)</f>
        <v>9.933844847653743E-2</v>
      </c>
      <c r="AQ19" s="44">
        <f>AQ18*('R&amp;S - Transportation'!$B$8*'R&amp;S - Transportation'!$D$19*(AQ3-$D$3)/10)</f>
        <v>0.11786506911741164</v>
      </c>
      <c r="AR19" s="44">
        <f>AR18*('R&amp;S - Transportation'!$B$8*'R&amp;S - Transportation'!$D$19*(AR3-$D$3)/10)</f>
        <v>0.13699288604846588</v>
      </c>
      <c r="AS19" s="44">
        <f>AS18*('R&amp;S - Transportation'!$B$8*'R&amp;S - Transportation'!$D$19*(AS3-$D$3)/10)</f>
        <v>0.15673698575020101</v>
      </c>
      <c r="AT19" s="44">
        <f>AT18*('R&amp;S - Transportation'!$B$8*'R&amp;S - Transportation'!$D$19*(AT3-$D$3)/10)</f>
        <v>0.17711279389772713</v>
      </c>
      <c r="AU19" s="44">
        <f>AU18*('R&amp;S - Transportation'!$B$8*('R&amp;S - Transportation'!$D$19+('R&amp;S - Transportation'!$D$20-'R&amp;S - Transportation'!$D$19)*(AU3-$N$3)/10))</f>
        <v>0.22515463924248558</v>
      </c>
      <c r="AV19" s="44">
        <f>AV18*('R&amp;S - Transportation'!$B$8*('R&amp;S - Transportation'!$D$19+('R&amp;S - Transportation'!$D$20-'R&amp;S - Transportation'!$D$19)*(AV3-$N$3)/10))</f>
        <v>0.27477872173152934</v>
      </c>
      <c r="AW19" s="44">
        <f>AW18*('R&amp;S - Transportation'!$B$8*('R&amp;S - Transportation'!$D$19+('R&amp;S - Transportation'!$D$20-'R&amp;S - Transportation'!$D$19)*(AW3-$N$3)/10))</f>
        <v>0.32602495333445947</v>
      </c>
      <c r="AX19" s="44">
        <f>AX18*('R&amp;S - Transportation'!$B$8*('R&amp;S - Transportation'!$D$19+('R&amp;S - Transportation'!$D$20-'R&amp;S - Transportation'!$D$19)*(AX3-$N$3)/10))</f>
        <v>0.37893414576130896</v>
      </c>
      <c r="AY19" s="44">
        <f>AY18*('R&amp;S - Transportation'!$B$8*('R&amp;S - Transportation'!$D$19+('R&amp;S - Transportation'!$D$20-'R&amp;S - Transportation'!$D$19)*(AY3-$N$3)/10))</f>
        <v>0.4335480295191575</v>
      </c>
      <c r="AZ19" s="44">
        <f>AZ18*('R&amp;S - Transportation'!$B$8*('R&amp;S - Transportation'!$D$19+('R&amp;S - Transportation'!$D$20-'R&amp;S - Transportation'!$D$19)*(AZ3-$N$3)/10))</f>
        <v>0.48990927335664786</v>
      </c>
      <c r="BA19" s="44">
        <f>BA18*('R&amp;S - Transportation'!$B$8*('R&amp;S - Transportation'!$D$19+('R&amp;S - Transportation'!$D$20-'R&amp;S - Transportation'!$D$19)*(BA3-$N$3)/10))</f>
        <v>0.54806150410408205</v>
      </c>
      <c r="BB19" s="44">
        <f>BB18*('R&amp;S - Transportation'!$B$8*('R&amp;S - Transportation'!$D$19+('R&amp;S - Transportation'!$D$20-'R&amp;S - Transportation'!$D$19)*(BB3-$N$3)/10))</f>
        <v>0.60804932691692859</v>
      </c>
      <c r="BC19" s="44">
        <f>BC18*('R&amp;S - Transportation'!$B$8*('R&amp;S - Transportation'!$D$19+('R&amp;S - Transportation'!$D$20-'R&amp;S - Transportation'!$D$19)*(BC3-$N$3)/10))</f>
        <v>0.66991834593072597</v>
      </c>
      <c r="BD19" s="44">
        <f>BD18*('R&amp;S - Transportation'!$B$8*('R&amp;S - Transportation'!$D$19+('R&amp;S - Transportation'!$D$20-'R&amp;S - Transportation'!$D$19)*(BD3-$N$3)/10))</f>
        <v>0.73371518533551361</v>
      </c>
      <c r="BE19" s="44">
        <f>BE18*('R&amp;S - Transportation'!$B$8*('R&amp;S - Transportation'!$D$20+('R&amp;S - Transportation'!$D$21-'R&amp;S - Transportation'!$D$20)*(BE3-$X$3)/10))</f>
        <v>0.77816784392134086</v>
      </c>
      <c r="BF19" s="44">
        <f>BF18*('R&amp;S - Transportation'!$B$8*('R&amp;S - Transportation'!$D$20+('R&amp;S - Transportation'!$D$21-'R&amp;S - Transportation'!$D$20)*(BF3-$X$3)/10))</f>
        <v>0.82391984921052441</v>
      </c>
      <c r="BG19" s="44">
        <f>BG18*('R&amp;S - Transportation'!$B$8*('R&amp;S - Transportation'!$D$20+('R&amp;S - Transportation'!$D$21-'R&amp;S - Transportation'!$D$20)*(BG3-$X$3)/10))</f>
        <v>0.87100253217264667</v>
      </c>
      <c r="BH19" s="44">
        <f>BH18*('R&amp;S - Transportation'!$B$8*('R&amp;S - Transportation'!$D$20+('R&amp;S - Transportation'!$D$21-'R&amp;S - Transportation'!$D$20)*(BH3-$X$3)/10))</f>
        <v>0.91944791351905941</v>
      </c>
      <c r="BI19" s="44">
        <f>BI18*('R&amp;S - Transportation'!$B$8*('R&amp;S - Transportation'!$D$20+('R&amp;S - Transportation'!$D$21-'R&amp;S - Transportation'!$D$20)*(BI3-$X$3)/10))</f>
        <v>0.96928871809945227</v>
      </c>
      <c r="BJ19" s="44">
        <f>BJ18*('R&amp;S - Transportation'!$B$8*('R&amp;S - Transportation'!$D$20+('R&amp;S - Transportation'!$D$21-'R&amp;S - Transportation'!$D$20)*(BJ3-$X$3)/10))</f>
        <v>1.0205583895885715</v>
      </c>
      <c r="BK19" s="44">
        <f>BK18*('R&amp;S - Transportation'!$B$8*('R&amp;S - Transportation'!$D$20+('R&amp;S - Transportation'!$D$21-'R&amp;S - Transportation'!$D$20)*(BK3-$X$3)/10))</f>
        <v>1.0732911054687899</v>
      </c>
      <c r="BL19" s="44">
        <f>BL18*('R&amp;S - Transportation'!$B$8*('R&amp;S - Transportation'!$D$20+('R&amp;S - Transportation'!$D$21-'R&amp;S - Transportation'!$D$20)*(BL3-$X$3)/10))</f>
        <v>1.1275217923143446</v>
      </c>
      <c r="BM19" s="44">
        <f>BM18*('R&amp;S - Transportation'!$B$8*('R&amp;S - Transportation'!$D$20+('R&amp;S - Transportation'!$D$21-'R&amp;S - Transportation'!$D$20)*(BM3-$X$3)/10))</f>
        <v>1.1832861413831679</v>
      </c>
      <c r="BN19" s="44">
        <f>BN18*('R&amp;S - Transportation'!$B$8*('R&amp;S - Transportation'!$D$20+('R&amp;S - Transportation'!$D$21-'R&amp;S - Transportation'!$D$20)*(BN3-$X$3)/10))</f>
        <v>1.2406206245223521</v>
      </c>
      <c r="BR19" t="s">
        <v>190</v>
      </c>
      <c r="BS19" s="44" t="e">
        <f>#REF!</f>
        <v>#REF!</v>
      </c>
      <c r="BY19" s="30" t="s">
        <v>183</v>
      </c>
      <c r="BZ19" s="137"/>
      <c r="CA19" s="137"/>
      <c r="CB19" s="137"/>
      <c r="CC19" s="137"/>
      <c r="CD19" s="137"/>
      <c r="CE19" s="143">
        <f>-SUM(CE10:CH10)</f>
        <v>54.277413250473089</v>
      </c>
      <c r="CF19" s="137"/>
      <c r="CG19" s="137"/>
      <c r="CH19" s="137"/>
    </row>
    <row r="20" spans="1:87">
      <c r="B20" s="1" t="s">
        <v>191</v>
      </c>
      <c r="C20" s="54" t="s">
        <v>153</v>
      </c>
      <c r="D20" s="44">
        <f>SUM(D18:D19)</f>
        <v>7.4818743268684171</v>
      </c>
      <c r="E20" s="44">
        <f t="shared" ref="E20:AH20" si="169">SUM(E18:E19)</f>
        <v>7.6242843228060293</v>
      </c>
      <c r="F20" s="44">
        <f t="shared" si="169"/>
        <v>7.7693739969250553</v>
      </c>
      <c r="G20" s="44">
        <f t="shared" si="169"/>
        <v>7.9171933017948382</v>
      </c>
      <c r="H20" s="44">
        <f t="shared" si="169"/>
        <v>8.0677931139450809</v>
      </c>
      <c r="I20" s="44">
        <f t="shared" si="169"/>
        <v>8.2212252508442152</v>
      </c>
      <c r="J20" s="44">
        <f t="shared" si="169"/>
        <v>8.3775424881879879</v>
      </c>
      <c r="K20" s="44">
        <f t="shared" si="169"/>
        <v>8.5367985775039568</v>
      </c>
      <c r="L20" s="44">
        <f t="shared" si="169"/>
        <v>8.6990482640775806</v>
      </c>
      <c r="M20" s="44">
        <f t="shared" si="169"/>
        <v>8.8643473052058113</v>
      </c>
      <c r="N20" s="44">
        <f t="shared" si="169"/>
        <v>9.032752488784082</v>
      </c>
      <c r="O20" s="44">
        <f>SUM(O18:O19)</f>
        <v>9.2313402089419085</v>
      </c>
      <c r="P20" s="44">
        <f t="shared" si="169"/>
        <v>9.4340694461158403</v>
      </c>
      <c r="Q20" s="44">
        <f t="shared" si="169"/>
        <v>9.6410236200333017</v>
      </c>
      <c r="R20" s="44">
        <f t="shared" si="169"/>
        <v>9.8522877897940315</v>
      </c>
      <c r="S20" s="44">
        <f t="shared" si="169"/>
        <v>10.067948685500435</v>
      </c>
      <c r="T20" s="44">
        <f t="shared" si="169"/>
        <v>10.288094740489607</v>
      </c>
      <c r="U20" s="44">
        <f t="shared" si="169"/>
        <v>10.512816124178299</v>
      </c>
      <c r="V20" s="44">
        <f t="shared" si="169"/>
        <v>10.742204775532405</v>
      </c>
      <c r="W20" s="44">
        <f t="shared" si="169"/>
        <v>10.976354437172667</v>
      </c>
      <c r="X20" s="44">
        <f t="shared" si="169"/>
        <v>11.215360690128566</v>
      </c>
      <c r="Y20" s="44">
        <f t="shared" si="169"/>
        <v>11.438001322295875</v>
      </c>
      <c r="Z20" s="44">
        <f t="shared" si="169"/>
        <v>11.664970496717423</v>
      </c>
      <c r="AA20" s="44">
        <f t="shared" si="169"/>
        <v>11.896351040687161</v>
      </c>
      <c r="AB20" s="44">
        <f t="shared" si="169"/>
        <v>12.13222734667832</v>
      </c>
      <c r="AC20" s="44">
        <f t="shared" si="169"/>
        <v>12.372685401622419</v>
      </c>
      <c r="AD20" s="44">
        <f t="shared" si="169"/>
        <v>12.617812816731426</v>
      </c>
      <c r="AE20" s="44">
        <f t="shared" si="169"/>
        <v>12.867698857873073</v>
      </c>
      <c r="AF20" s="44">
        <f t="shared" si="169"/>
        <v>13.1224344765095</v>
      </c>
      <c r="AG20" s="44">
        <f t="shared" si="169"/>
        <v>13.382112341209639</v>
      </c>
      <c r="AH20" s="44">
        <f t="shared" si="169"/>
        <v>13.646826869745873</v>
      </c>
      <c r="AJ20" s="44">
        <f>SUM(AJ18:AJ19)</f>
        <v>7.4818743268684171</v>
      </c>
      <c r="AK20" s="44">
        <f t="shared" ref="AK20:AT20" si="170">SUM(AK18:AK19)</f>
        <v>7.6242843228060293</v>
      </c>
      <c r="AL20" s="44">
        <f t="shared" si="170"/>
        <v>7.7693739969250553</v>
      </c>
      <c r="AM20" s="44">
        <f t="shared" si="170"/>
        <v>7.9171933017948382</v>
      </c>
      <c r="AN20" s="44">
        <f t="shared" si="170"/>
        <v>8.0677931139450809</v>
      </c>
      <c r="AO20" s="44">
        <f t="shared" si="170"/>
        <v>8.2212252508442152</v>
      </c>
      <c r="AP20" s="44">
        <f t="shared" si="170"/>
        <v>8.3775424881879879</v>
      </c>
      <c r="AQ20" s="44">
        <f t="shared" si="170"/>
        <v>8.5367985775039568</v>
      </c>
      <c r="AR20" s="44">
        <f t="shared" si="170"/>
        <v>8.6990482640775806</v>
      </c>
      <c r="AS20" s="44">
        <f t="shared" si="170"/>
        <v>8.8643473052058113</v>
      </c>
      <c r="AT20" s="44">
        <f t="shared" si="170"/>
        <v>9.032752488784082</v>
      </c>
      <c r="AU20" s="44">
        <f>SUM(AU18:AU19)</f>
        <v>9.2313402089419085</v>
      </c>
      <c r="AV20" s="44">
        <f t="shared" ref="AV20:BN20" si="171">SUM(AV18:AV19)</f>
        <v>9.4340694461158403</v>
      </c>
      <c r="AW20" s="44">
        <f t="shared" si="171"/>
        <v>9.6410236200333017</v>
      </c>
      <c r="AX20" s="44">
        <f t="shared" si="171"/>
        <v>9.8522877897940315</v>
      </c>
      <c r="AY20" s="44">
        <f t="shared" si="171"/>
        <v>10.067948685500435</v>
      </c>
      <c r="AZ20" s="44">
        <f t="shared" si="171"/>
        <v>10.288094740489607</v>
      </c>
      <c r="BA20" s="44">
        <f t="shared" si="171"/>
        <v>10.512816124178299</v>
      </c>
      <c r="BB20" s="44">
        <f t="shared" si="171"/>
        <v>10.742204775532405</v>
      </c>
      <c r="BC20" s="44">
        <f t="shared" si="171"/>
        <v>10.976354437172667</v>
      </c>
      <c r="BD20" s="44">
        <f t="shared" si="171"/>
        <v>11.215360690128566</v>
      </c>
      <c r="BE20" s="44">
        <f t="shared" si="171"/>
        <v>11.438001322295875</v>
      </c>
      <c r="BF20" s="44">
        <f t="shared" si="171"/>
        <v>11.664970496717423</v>
      </c>
      <c r="BG20" s="44">
        <f t="shared" si="171"/>
        <v>11.896351040687161</v>
      </c>
      <c r="BH20" s="44">
        <f t="shared" si="171"/>
        <v>12.13222734667832</v>
      </c>
      <c r="BI20" s="44">
        <f t="shared" si="171"/>
        <v>12.372685401622419</v>
      </c>
      <c r="BJ20" s="44">
        <f t="shared" si="171"/>
        <v>12.617812816731426</v>
      </c>
      <c r="BK20" s="44">
        <f t="shared" si="171"/>
        <v>12.867698857873073</v>
      </c>
      <c r="BL20" s="44">
        <f t="shared" si="171"/>
        <v>13.1224344765095</v>
      </c>
      <c r="BM20" s="44">
        <f t="shared" si="171"/>
        <v>13.382112341209639</v>
      </c>
      <c r="BN20" s="44">
        <f t="shared" si="171"/>
        <v>13.646826869745873</v>
      </c>
      <c r="BR20" t="s">
        <v>192</v>
      </c>
      <c r="BS20" s="44" t="e">
        <f>#REF!</f>
        <v>#REF!</v>
      </c>
      <c r="BY20" s="30" t="s">
        <v>28</v>
      </c>
      <c r="BZ20" s="137"/>
      <c r="CA20" s="137"/>
      <c r="CB20" s="137"/>
      <c r="CC20" s="137"/>
      <c r="CD20" s="137"/>
      <c r="CE20" s="137"/>
      <c r="CF20" s="143">
        <f>-SUM(CE11:CH11)</f>
        <v>0</v>
      </c>
      <c r="CG20" s="137"/>
      <c r="CH20" s="137"/>
    </row>
    <row r="21" spans="1:87">
      <c r="B21" s="61" t="s">
        <v>77</v>
      </c>
      <c r="C21" s="54" t="s">
        <v>153</v>
      </c>
      <c r="D21" s="44">
        <v>0</v>
      </c>
      <c r="E21" s="44">
        <f>E20*'R&amp;S - Transportation'!$B$15*('R&amp;S - Transportation'!$B$10*'R&amp;S - Transportation'!$B$19*(E$3-$D$3)/10)</f>
        <v>0</v>
      </c>
      <c r="F21" s="44">
        <f>F20*'R&amp;S - Transportation'!$B$15*('R&amp;S - Transportation'!$B$10*'R&amp;S - Transportation'!$B$19*(F$3-$D$3)/10)</f>
        <v>0</v>
      </c>
      <c r="G21" s="44">
        <f>G20*'R&amp;S - Transportation'!$B$15*('R&amp;S - Transportation'!$B$10*'R&amp;S - Transportation'!$B$19*(G$3-$D$3)/10)</f>
        <v>0</v>
      </c>
      <c r="H21" s="44">
        <f>H20*'R&amp;S - Transportation'!$B$15*('R&amp;S - Transportation'!$B$10*'R&amp;S - Transportation'!$B$19*(H$3-$D$3)/10)</f>
        <v>0</v>
      </c>
      <c r="I21" s="44">
        <f>I20*'R&amp;S - Transportation'!$B$15*('R&amp;S - Transportation'!$B$10*'R&amp;S - Transportation'!$B$19*(I$3-$D$3)/10)</f>
        <v>0</v>
      </c>
      <c r="J21" s="44">
        <f>J20*'R&amp;S - Transportation'!$B$15*('R&amp;S - Transportation'!$B$10*'R&amp;S - Transportation'!$B$19*(J$3-$D$3)/10)</f>
        <v>0</v>
      </c>
      <c r="K21" s="44">
        <f>K20*'R&amp;S - Transportation'!$B$15*('R&amp;S - Transportation'!$B$10*'R&amp;S - Transportation'!$B$19*(K$3-$D$3)/10)</f>
        <v>0</v>
      </c>
      <c r="L21" s="44">
        <f>L20*'R&amp;S - Transportation'!$B$15*('R&amp;S - Transportation'!$B$10*'R&amp;S - Transportation'!$B$19*(L$3-$D$3)/10)</f>
        <v>0</v>
      </c>
      <c r="M21" s="44">
        <f>M20*'R&amp;S - Transportation'!$B$15*('R&amp;S - Transportation'!$B$10*'R&amp;S - Transportation'!$B$19*(M$3-$D$3)/10)</f>
        <v>0</v>
      </c>
      <c r="N21" s="44">
        <f>N20*'R&amp;S - Transportation'!$B$15*('R&amp;S - Transportation'!$B$10*'R&amp;S - Transportation'!$B$19*(N$3-$D$3)/10)</f>
        <v>0</v>
      </c>
      <c r="O21" s="44">
        <f>O20*('R&amp;S - Transportation'!$B$15*('R&amp;S - Transportation'!$B$10*('R&amp;S - Transportation'!$B$19+('R&amp;S - Transportation'!$B$20-'R&amp;S - Transportation'!$B$19)*(O3-$N$3)/10)))</f>
        <v>0</v>
      </c>
      <c r="P21" s="44">
        <f>P20*('R&amp;S - Transportation'!$B$15*('R&amp;S - Transportation'!$B$10*('R&amp;S - Transportation'!$B$19+('R&amp;S - Transportation'!$B$20-'R&amp;S - Transportation'!$B$19)*(P3-$N$3)/10)))</f>
        <v>0</v>
      </c>
      <c r="Q21" s="44">
        <f>Q20*('R&amp;S - Transportation'!$B$15*('R&amp;S - Transportation'!$B$10*('R&amp;S - Transportation'!$B$19+('R&amp;S - Transportation'!$B$20-'R&amp;S - Transportation'!$B$19)*(Q3-$N$3)/10)))</f>
        <v>0</v>
      </c>
      <c r="R21" s="44">
        <f>R20*('R&amp;S - Transportation'!$B$15*('R&amp;S - Transportation'!$B$10*('R&amp;S - Transportation'!$B$19+('R&amp;S - Transportation'!$B$20-'R&amp;S - Transportation'!$B$19)*(R3-$N$3)/10)))</f>
        <v>0</v>
      </c>
      <c r="S21" s="44">
        <f>S20*('R&amp;S - Transportation'!$B$15*('R&amp;S - Transportation'!$B$10*('R&amp;S - Transportation'!$B$19+('R&amp;S - Transportation'!$B$20-'R&amp;S - Transportation'!$B$19)*(S3-$N$3)/10)))</f>
        <v>0</v>
      </c>
      <c r="T21" s="44">
        <f>T20*('R&amp;S - Transportation'!$B$15*('R&amp;S - Transportation'!$B$10*('R&amp;S - Transportation'!$B$19+('R&amp;S - Transportation'!$B$20-'R&amp;S - Transportation'!$B$19)*(T3-$N$3)/10)))</f>
        <v>0</v>
      </c>
      <c r="U21" s="44">
        <f>U20*('R&amp;S - Transportation'!$B$15*('R&amp;S - Transportation'!$B$10*('R&amp;S - Transportation'!$B$19+('R&amp;S - Transportation'!$B$20-'R&amp;S - Transportation'!$B$19)*(U3-$N$3)/10)))</f>
        <v>0</v>
      </c>
      <c r="V21" s="44">
        <f>V20*('R&amp;S - Transportation'!$B$15*('R&amp;S - Transportation'!$B$10*('R&amp;S - Transportation'!$B$19+('R&amp;S - Transportation'!$B$20-'R&amp;S - Transportation'!$B$19)*(V3-$N$3)/10)))</f>
        <v>0</v>
      </c>
      <c r="W21" s="44">
        <f>W20*('R&amp;S - Transportation'!$B$15*('R&amp;S - Transportation'!$B$10*('R&amp;S - Transportation'!$B$19+('R&amp;S - Transportation'!$B$20-'R&amp;S - Transportation'!$B$19)*(W3-$N$3)/10)))</f>
        <v>0</v>
      </c>
      <c r="X21" s="44">
        <f>X20*('R&amp;S - Transportation'!$B$15*('R&amp;S - Transportation'!$B$10*('R&amp;S - Transportation'!$B$19+('R&amp;S - Transportation'!$B$20-'R&amp;S - Transportation'!$B$19)*(X3-$N$3)/10)))</f>
        <v>0</v>
      </c>
      <c r="Y21" s="44">
        <f>Y20*('R&amp;S - Transportation'!$B$15*('R&amp;S - Transportation'!$B$10*('R&amp;S - Transportation'!$B$20+('R&amp;S - Transportation'!$B$21-'R&amp;S - Transportation'!$B$20)*(Y3-$X$3)/10)))</f>
        <v>0</v>
      </c>
      <c r="Z21" s="44">
        <f>Z20*('R&amp;S - Transportation'!$B$15*('R&amp;S - Transportation'!$B$10*('R&amp;S - Transportation'!$B$20+('R&amp;S - Transportation'!$B$21-'R&amp;S - Transportation'!$B$20)*(Z3-$X$3)/10)))</f>
        <v>0</v>
      </c>
      <c r="AA21" s="44">
        <f>AA20*('R&amp;S - Transportation'!$B$15*('R&amp;S - Transportation'!$B$10*('R&amp;S - Transportation'!$B$20+('R&amp;S - Transportation'!$B$21-'R&amp;S - Transportation'!$B$20)*(AA3-$X$3)/10)))</f>
        <v>0</v>
      </c>
      <c r="AB21" s="44">
        <f>AB20*('R&amp;S - Transportation'!$B$15*('R&amp;S - Transportation'!$B$10*('R&amp;S - Transportation'!$B$20+('R&amp;S - Transportation'!$B$21-'R&amp;S - Transportation'!$B$20)*(AB3-$X$3)/10)))</f>
        <v>0</v>
      </c>
      <c r="AC21" s="44">
        <f>AC20*('R&amp;S - Transportation'!$B$15*('R&amp;S - Transportation'!$B$10*('R&amp;S - Transportation'!$B$20+('R&amp;S - Transportation'!$B$21-'R&amp;S - Transportation'!$B$20)*(AC3-$X$3)/10)))</f>
        <v>0</v>
      </c>
      <c r="AD21" s="44">
        <f>AD20*('R&amp;S - Transportation'!$B$15*('R&amp;S - Transportation'!$B$10*('R&amp;S - Transportation'!$B$20+('R&amp;S - Transportation'!$B$21-'R&amp;S - Transportation'!$B$20)*(AD3-$X$3)/10)))</f>
        <v>0</v>
      </c>
      <c r="AE21" s="44">
        <f>AE20*('R&amp;S - Transportation'!$B$15*('R&amp;S - Transportation'!$B$10*('R&amp;S - Transportation'!$B$20+('R&amp;S - Transportation'!$B$21-'R&amp;S - Transportation'!$B$20)*(AE3-$X$3)/10)))</f>
        <v>0</v>
      </c>
      <c r="AF21" s="44">
        <f>AF20*('R&amp;S - Transportation'!$B$15*('R&amp;S - Transportation'!$B$10*('R&amp;S - Transportation'!$B$20+('R&amp;S - Transportation'!$B$21-'R&amp;S - Transportation'!$B$20)*(AF3-$X$3)/10)))</f>
        <v>0</v>
      </c>
      <c r="AG21" s="44">
        <f>AG20*('R&amp;S - Transportation'!$B$15*('R&amp;S - Transportation'!$B$10*('R&amp;S - Transportation'!$B$20+('R&amp;S - Transportation'!$B$21-'R&amp;S - Transportation'!$B$20)*(AG3-$X$3)/10)))</f>
        <v>0</v>
      </c>
      <c r="AH21" s="44">
        <f>AH20*('R&amp;S - Transportation'!$B$15*('R&amp;S - Transportation'!$B$10*('R&amp;S - Transportation'!$B$20+('R&amp;S - Transportation'!$B$21-'R&amp;S - Transportation'!$B$20)*(AH3-$X$3)/10)))</f>
        <v>0</v>
      </c>
      <c r="AJ21" s="44">
        <v>0</v>
      </c>
      <c r="AK21" s="44">
        <f>AK20*'R&amp;S - Transportation'!$B$16*('R&amp;S - Transportation'!$B$10*'R&amp;S - Transportation'!$B$19*(AK$3-$D$3)/10)</f>
        <v>0</v>
      </c>
      <c r="AL21" s="44">
        <f>AL20*'R&amp;S - Transportation'!$B$16*('R&amp;S - Transportation'!$B$10*'R&amp;S - Transportation'!$B$19*(AL$3-$D$3)/10)</f>
        <v>0</v>
      </c>
      <c r="AM21" s="44">
        <f>AM20*'R&amp;S - Transportation'!$B$16*('R&amp;S - Transportation'!$B$10*'R&amp;S - Transportation'!$B$19*(AM$3-$D$3)/10)</f>
        <v>0</v>
      </c>
      <c r="AN21" s="44">
        <f>AN20*'R&amp;S - Transportation'!$B$16*('R&amp;S - Transportation'!$B$10*'R&amp;S - Transportation'!$B$19*(AN$3-$D$3)/10)</f>
        <v>0</v>
      </c>
      <c r="AO21" s="44">
        <f>AO20*'R&amp;S - Transportation'!$B$16*('R&amp;S - Transportation'!$B$10*'R&amp;S - Transportation'!$B$19*(AO$3-$D$3)/10)</f>
        <v>0</v>
      </c>
      <c r="AP21" s="44">
        <f>AP20*'R&amp;S - Transportation'!$B$16*('R&amp;S - Transportation'!$B$10*'R&amp;S - Transportation'!$B$19*(AP$3-$D$3)/10)</f>
        <v>0</v>
      </c>
      <c r="AQ21" s="44">
        <f>AQ20*'R&amp;S - Transportation'!$B$16*('R&amp;S - Transportation'!$B$10*'R&amp;S - Transportation'!$B$19*(AQ$3-$D$3)/10)</f>
        <v>0</v>
      </c>
      <c r="AR21" s="44">
        <f>AR20*'R&amp;S - Transportation'!$B$16*('R&amp;S - Transportation'!$B$10*'R&amp;S - Transportation'!$B$19*(AR$3-$D$3)/10)</f>
        <v>0</v>
      </c>
      <c r="AS21" s="44">
        <f>AS20*'R&amp;S - Transportation'!$B$16*('R&amp;S - Transportation'!$B$10*'R&amp;S - Transportation'!$B$19*(AS$3-$D$3)/10)</f>
        <v>0</v>
      </c>
      <c r="AT21" s="44">
        <f>AT20*'R&amp;S - Transportation'!$B$16*('R&amp;S - Transportation'!$B$10*'R&amp;S - Transportation'!$B$19*(AT$3-$D$3)/10)</f>
        <v>0</v>
      </c>
      <c r="AU21" s="44">
        <f>AU20*('R&amp;S - Transportation'!$B$16*('R&amp;S - Transportation'!$B$10*('R&amp;S - Transportation'!$B$19+('R&amp;S - Transportation'!$B$20-'R&amp;S - Transportation'!$B$19)*(AU3-$N$3)/10)))</f>
        <v>0</v>
      </c>
      <c r="AV21" s="44">
        <f>AV20*('R&amp;S - Transportation'!$B$16*('R&amp;S - Transportation'!$B$10*('R&amp;S - Transportation'!$B$19+('R&amp;S - Transportation'!$B$20-'R&amp;S - Transportation'!$B$19)*(AV3-$N$3)/10)))</f>
        <v>0</v>
      </c>
      <c r="AW21" s="44">
        <f>AW20*('R&amp;S - Transportation'!$B$16*('R&amp;S - Transportation'!$B$10*('R&amp;S - Transportation'!$B$19+('R&amp;S - Transportation'!$B$20-'R&amp;S - Transportation'!$B$19)*(AW3-$N$3)/10)))</f>
        <v>0</v>
      </c>
      <c r="AX21" s="44">
        <f>AX20*('R&amp;S - Transportation'!$B$16*('R&amp;S - Transportation'!$B$10*('R&amp;S - Transportation'!$B$19+('R&amp;S - Transportation'!$B$20-'R&amp;S - Transportation'!$B$19)*(AX3-$N$3)/10)))</f>
        <v>0</v>
      </c>
      <c r="AY21" s="44">
        <f>AY20*('R&amp;S - Transportation'!$B$16*('R&amp;S - Transportation'!$B$10*('R&amp;S - Transportation'!$B$19+('R&amp;S - Transportation'!$B$20-'R&amp;S - Transportation'!$B$19)*(AY3-$N$3)/10)))</f>
        <v>0</v>
      </c>
      <c r="AZ21" s="44">
        <f>AZ20*('R&amp;S - Transportation'!$B$16*('R&amp;S - Transportation'!$B$10*('R&amp;S - Transportation'!$B$19+('R&amp;S - Transportation'!$B$20-'R&amp;S - Transportation'!$B$19)*(AZ3-$N$3)/10)))</f>
        <v>0</v>
      </c>
      <c r="BA21" s="44">
        <f>BA20*('R&amp;S - Transportation'!$B$16*('R&amp;S - Transportation'!$B$10*('R&amp;S - Transportation'!$B$19+('R&amp;S - Transportation'!$B$20-'R&amp;S - Transportation'!$B$19)*(BA3-$N$3)/10)))</f>
        <v>0</v>
      </c>
      <c r="BB21" s="44">
        <f>BB20*('R&amp;S - Transportation'!$B$16*('R&amp;S - Transportation'!$B$10*('R&amp;S - Transportation'!$B$19+('R&amp;S - Transportation'!$B$20-'R&amp;S - Transportation'!$B$19)*(BB3-$N$3)/10)))</f>
        <v>0</v>
      </c>
      <c r="BC21" s="44">
        <f>BC20*('R&amp;S - Transportation'!$B$16*('R&amp;S - Transportation'!$B$10*('R&amp;S - Transportation'!$B$19+('R&amp;S - Transportation'!$B$20-'R&amp;S - Transportation'!$B$19)*(BC3-$N$3)/10)))</f>
        <v>0</v>
      </c>
      <c r="BD21" s="44">
        <f>BD20*('R&amp;S - Transportation'!$B$16*('R&amp;S - Transportation'!$B$10*('R&amp;S - Transportation'!$B$19+('R&amp;S - Transportation'!$B$20-'R&amp;S - Transportation'!$B$19)*(BD3-$N$3)/10)))</f>
        <v>0</v>
      </c>
      <c r="BE21" s="44">
        <f>BE20*('R&amp;S - Transportation'!$B$16*('R&amp;S - Transportation'!$B$10*('R&amp;S - Transportation'!$B$20+('R&amp;S - Transportation'!$B$21-'R&amp;S - Transportation'!$B$20)*(BE3-$X$3)/10)))</f>
        <v>0</v>
      </c>
      <c r="BF21" s="44">
        <f>BF20*('R&amp;S - Transportation'!$B$16*('R&amp;S - Transportation'!$B$10*('R&amp;S - Transportation'!$B$20+('R&amp;S - Transportation'!$B$21-'R&amp;S - Transportation'!$B$20)*(BF3-$X$3)/10)))</f>
        <v>0</v>
      </c>
      <c r="BG21" s="44">
        <f>BG20*('R&amp;S - Transportation'!$B$16*('R&amp;S - Transportation'!$B$10*('R&amp;S - Transportation'!$B$20+('R&amp;S - Transportation'!$B$21-'R&amp;S - Transportation'!$B$20)*(BG3-$X$3)/10)))</f>
        <v>0</v>
      </c>
      <c r="BH21" s="44">
        <f>BH20*('R&amp;S - Transportation'!$B$16*('R&amp;S - Transportation'!$B$10*('R&amp;S - Transportation'!$B$20+('R&amp;S - Transportation'!$B$21-'R&amp;S - Transportation'!$B$20)*(BH3-$X$3)/10)))</f>
        <v>0</v>
      </c>
      <c r="BI21" s="44">
        <f>BI20*('R&amp;S - Transportation'!$B$16*('R&amp;S - Transportation'!$B$10*('R&amp;S - Transportation'!$B$20+('R&amp;S - Transportation'!$B$21-'R&amp;S - Transportation'!$B$20)*(BI3-$X$3)/10)))</f>
        <v>0</v>
      </c>
      <c r="BJ21" s="44">
        <f>BJ20*('R&amp;S - Transportation'!$B$16*('R&amp;S - Transportation'!$B$10*('R&amp;S - Transportation'!$B$20+('R&amp;S - Transportation'!$B$21-'R&amp;S - Transportation'!$B$20)*(BJ3-$X$3)/10)))</f>
        <v>0</v>
      </c>
      <c r="BK21" s="44">
        <f>BK20*('R&amp;S - Transportation'!$B$16*('R&amp;S - Transportation'!$B$10*('R&amp;S - Transportation'!$B$20+('R&amp;S - Transportation'!$B$21-'R&amp;S - Transportation'!$B$20)*(BK3-$X$3)/10)))</f>
        <v>0</v>
      </c>
      <c r="BL21" s="44">
        <f>BL20*('R&amp;S - Transportation'!$B$16*('R&amp;S - Transportation'!$B$10*('R&amp;S - Transportation'!$B$20+('R&amp;S - Transportation'!$B$21-'R&amp;S - Transportation'!$B$20)*(BL3-$X$3)/10)))</f>
        <v>0</v>
      </c>
      <c r="BM21" s="44">
        <f>BM20*('R&amp;S - Transportation'!$B$16*('R&amp;S - Transportation'!$B$10*('R&amp;S - Transportation'!$B$20+('R&amp;S - Transportation'!$B$21-'R&amp;S - Transportation'!$B$20)*(BM3-$X$3)/10)))</f>
        <v>0</v>
      </c>
      <c r="BN21" s="44">
        <f>BN20*('R&amp;S - Transportation'!$B$16*('R&amp;S - Transportation'!$B$10*('R&amp;S - Transportation'!$B$20+('R&amp;S - Transportation'!$B$21-'R&amp;S - Transportation'!$B$20)*(BN3-$X$3)/10)))</f>
        <v>0</v>
      </c>
      <c r="BS21" s="442" t="e">
        <f>SUM(BS14:BS20)</f>
        <v>#REF!</v>
      </c>
      <c r="BY21" s="30" t="s">
        <v>193</v>
      </c>
      <c r="BZ21" s="137"/>
      <c r="CA21" s="137"/>
      <c r="CB21" s="137"/>
      <c r="CC21" s="137"/>
      <c r="CD21" s="137"/>
      <c r="CE21" s="137"/>
      <c r="CF21" s="137"/>
      <c r="CG21" s="143">
        <f>SUM(AH114:AH115)</f>
        <v>4.5736219516420027</v>
      </c>
      <c r="CH21" s="137"/>
    </row>
    <row r="22" spans="1:87">
      <c r="B22" s="61" t="s">
        <v>194</v>
      </c>
      <c r="C22" s="54" t="s">
        <v>153</v>
      </c>
      <c r="D22" s="44">
        <v>0</v>
      </c>
      <c r="E22" s="44">
        <f>E20*'R&amp;S - Transportation'!$B$15*('R&amp;S - Transportation'!$B$11*'R&amp;S - Transportation'!$B$19*(E$3-$D$3)/10)</f>
        <v>0</v>
      </c>
      <c r="F22" s="44">
        <f>F20*'R&amp;S - Transportation'!$B$15*('R&amp;S - Transportation'!$B$11*'R&amp;S - Transportation'!$B$19*(F$3-$D$3)/10)</f>
        <v>0</v>
      </c>
      <c r="G22" s="44">
        <f>G20*'R&amp;S - Transportation'!$B$15*('R&amp;S - Transportation'!$B$11*'R&amp;S - Transportation'!$B$19*(G$3-$D$3)/10)</f>
        <v>0</v>
      </c>
      <c r="H22" s="44">
        <f>H20*'R&amp;S - Transportation'!$B$15*('R&amp;S - Transportation'!$B$11*'R&amp;S - Transportation'!$B$19*(H$3-$D$3)/10)</f>
        <v>0</v>
      </c>
      <c r="I22" s="44">
        <f>I20*'R&amp;S - Transportation'!$B$15*('R&amp;S - Transportation'!$B$11*'R&amp;S - Transportation'!$B$19*(I$3-$D$3)/10)</f>
        <v>0</v>
      </c>
      <c r="J22" s="44">
        <f>J20*'R&amp;S - Transportation'!$B$15*('R&amp;S - Transportation'!$B$11*'R&amp;S - Transportation'!$B$19*(J$3-$D$3)/10)</f>
        <v>0</v>
      </c>
      <c r="K22" s="44">
        <f>K20*'R&amp;S - Transportation'!$B$15*('R&amp;S - Transportation'!$B$11*'R&amp;S - Transportation'!$B$19*(K$3-$D$3)/10)</f>
        <v>0</v>
      </c>
      <c r="L22" s="44">
        <f>L20*'R&amp;S - Transportation'!$B$15*('R&amp;S - Transportation'!$B$11*'R&amp;S - Transportation'!$B$19*(L$3-$D$3)/10)</f>
        <v>0</v>
      </c>
      <c r="M22" s="44">
        <f>M20*'R&amp;S - Transportation'!$B$15*('R&amp;S - Transportation'!$B$11*'R&amp;S - Transportation'!$B$19*(M$3-$D$3)/10)</f>
        <v>0</v>
      </c>
      <c r="N22" s="44">
        <f>N20*'R&amp;S - Transportation'!$B$15*('R&amp;S - Transportation'!$B$11*'R&amp;S - Transportation'!$B$19*(N$3-$D$3)/10)</f>
        <v>0</v>
      </c>
      <c r="O22" s="44">
        <f>O20*('R&amp;S - Transportation'!$B$15*('R&amp;S - Transportation'!$B$11*('R&amp;S - Transportation'!$B$19+('R&amp;S - Transportation'!$B$20-'R&amp;S - Transportation'!$B$19)*(O3-$N$3)/10)))</f>
        <v>0</v>
      </c>
      <c r="P22" s="44">
        <f>P20*('R&amp;S - Transportation'!$B$15*('R&amp;S - Transportation'!$B$11*('R&amp;S - Transportation'!$B$19+('R&amp;S - Transportation'!$B$20-'R&amp;S - Transportation'!$B$19)*(P3-$N$3)/10)))</f>
        <v>0</v>
      </c>
      <c r="Q22" s="44">
        <f>Q20*('R&amp;S - Transportation'!$B$15*('R&amp;S - Transportation'!$B$11*('R&amp;S - Transportation'!$B$19+('R&amp;S - Transportation'!$B$20-'R&amp;S - Transportation'!$B$19)*(Q3-$N$3)/10)))</f>
        <v>0</v>
      </c>
      <c r="R22" s="44">
        <f>R20*('R&amp;S - Transportation'!$B$15*('R&amp;S - Transportation'!$B$11*('R&amp;S - Transportation'!$B$19+('R&amp;S - Transportation'!$B$20-'R&amp;S - Transportation'!$B$19)*(R3-$N$3)/10)))</f>
        <v>0</v>
      </c>
      <c r="S22" s="44">
        <f>S20*('R&amp;S - Transportation'!$B$15*('R&amp;S - Transportation'!$B$11*('R&amp;S - Transportation'!$B$19+('R&amp;S - Transportation'!$B$20-'R&amp;S - Transportation'!$B$19)*(S3-$N$3)/10)))</f>
        <v>0</v>
      </c>
      <c r="T22" s="44">
        <f>T20*('R&amp;S - Transportation'!$B$15*('R&amp;S - Transportation'!$B$11*('R&amp;S - Transportation'!$B$19+('R&amp;S - Transportation'!$B$20-'R&amp;S - Transportation'!$B$19)*(T3-$N$3)/10)))</f>
        <v>0</v>
      </c>
      <c r="U22" s="44">
        <f>U20*('R&amp;S - Transportation'!$B$15*('R&amp;S - Transportation'!$B$11*('R&amp;S - Transportation'!$B$19+('R&amp;S - Transportation'!$B$20-'R&amp;S - Transportation'!$B$19)*(U3-$N$3)/10)))</f>
        <v>0</v>
      </c>
      <c r="V22" s="44">
        <f>V20*('R&amp;S - Transportation'!$B$15*('R&amp;S - Transportation'!$B$11*('R&amp;S - Transportation'!$B$19+('R&amp;S - Transportation'!$B$20-'R&amp;S - Transportation'!$B$19)*(V3-$N$3)/10)))</f>
        <v>0</v>
      </c>
      <c r="W22" s="44">
        <f>W20*('R&amp;S - Transportation'!$B$15*('R&amp;S - Transportation'!$B$11*('R&amp;S - Transportation'!$B$19+('R&amp;S - Transportation'!$B$20-'R&amp;S - Transportation'!$B$19)*(W3-$N$3)/10)))</f>
        <v>0</v>
      </c>
      <c r="X22" s="44">
        <f>X20*('R&amp;S - Transportation'!$B$15*('R&amp;S - Transportation'!$B$11*('R&amp;S - Transportation'!$B$19+('R&amp;S - Transportation'!$B$20-'R&amp;S - Transportation'!$B$19)*(X3-$N$3)/10)))</f>
        <v>0</v>
      </c>
      <c r="Y22" s="44">
        <f>Y20*('R&amp;S - Transportation'!$B$15*('R&amp;S - Transportation'!$B$11*('R&amp;S - Transportation'!$B$20+('R&amp;S - Transportation'!$B$21-'R&amp;S - Transportation'!$B$20)*(Y3-$X$3)/10)))</f>
        <v>0</v>
      </c>
      <c r="Z22" s="44">
        <f>Z20*('R&amp;S - Transportation'!$B$15*('R&amp;S - Transportation'!$B$11*('R&amp;S - Transportation'!$B$20+('R&amp;S - Transportation'!$B$21-'R&amp;S - Transportation'!$B$20)*(Z3-$X$3)/10)))</f>
        <v>0</v>
      </c>
      <c r="AA22" s="44">
        <f>AA20*('R&amp;S - Transportation'!$B$15*('R&amp;S - Transportation'!$B$11*('R&amp;S - Transportation'!$B$20+('R&amp;S - Transportation'!$B$21-'R&amp;S - Transportation'!$B$20)*(AA3-$X$3)/10)))</f>
        <v>0</v>
      </c>
      <c r="AB22" s="44">
        <f>AB20*('R&amp;S - Transportation'!$B$15*('R&amp;S - Transportation'!$B$11*('R&amp;S - Transportation'!$B$20+('R&amp;S - Transportation'!$B$21-'R&amp;S - Transportation'!$B$20)*(AB3-$X$3)/10)))</f>
        <v>0</v>
      </c>
      <c r="AC22" s="44">
        <f>AC20*('R&amp;S - Transportation'!$B$15*('R&amp;S - Transportation'!$B$11*('R&amp;S - Transportation'!$B$20+('R&amp;S - Transportation'!$B$21-'R&amp;S - Transportation'!$B$20)*(AC3-$X$3)/10)))</f>
        <v>0</v>
      </c>
      <c r="AD22" s="44">
        <f>AD20*('R&amp;S - Transportation'!$B$15*('R&amp;S - Transportation'!$B$11*('R&amp;S - Transportation'!$B$20+('R&amp;S - Transportation'!$B$21-'R&amp;S - Transportation'!$B$20)*(AD3-$X$3)/10)))</f>
        <v>0</v>
      </c>
      <c r="AE22" s="44">
        <f>AE20*('R&amp;S - Transportation'!$B$15*('R&amp;S - Transportation'!$B$11*('R&amp;S - Transportation'!$B$20+('R&amp;S - Transportation'!$B$21-'R&amp;S - Transportation'!$B$20)*(AE3-$X$3)/10)))</f>
        <v>0</v>
      </c>
      <c r="AF22" s="44">
        <f>AF20*('R&amp;S - Transportation'!$B$15*('R&amp;S - Transportation'!$B$11*('R&amp;S - Transportation'!$B$20+('R&amp;S - Transportation'!$B$21-'R&amp;S - Transportation'!$B$20)*(AF3-$X$3)/10)))</f>
        <v>0</v>
      </c>
      <c r="AG22" s="44">
        <f>AG20*('R&amp;S - Transportation'!$B$15*('R&amp;S - Transportation'!$B$11*('R&amp;S - Transportation'!$B$20+('R&amp;S - Transportation'!$B$21-'R&amp;S - Transportation'!$B$20)*(AG3-$X$3)/10)))</f>
        <v>0</v>
      </c>
      <c r="AH22" s="44">
        <f>AH20*('R&amp;S - Transportation'!$B$15*('R&amp;S - Transportation'!$B$11*('R&amp;S - Transportation'!$B$20+('R&amp;S - Transportation'!$B$21-'R&amp;S - Transportation'!$B$20)*(AH3-$X$3)/10)))</f>
        <v>0</v>
      </c>
      <c r="AJ22" s="44">
        <v>0</v>
      </c>
      <c r="AK22" s="44">
        <f>AK20*'R&amp;S - Transportation'!$B$16*('R&amp;S - Transportation'!$B$11*'R&amp;S - Transportation'!$B$19*(AK$3-$D$3)/10)</f>
        <v>0</v>
      </c>
      <c r="AL22" s="44">
        <f>AL20*'R&amp;S - Transportation'!$B$16*('R&amp;S - Transportation'!$B$11*'R&amp;S - Transportation'!$B$19*(AL$3-$D$3)/10)</f>
        <v>0</v>
      </c>
      <c r="AM22" s="44">
        <f>AM20*'R&amp;S - Transportation'!$B$16*('R&amp;S - Transportation'!$B$11*'R&amp;S - Transportation'!$B$19*(AM$3-$D$3)/10)</f>
        <v>0</v>
      </c>
      <c r="AN22" s="44">
        <f>AN20*'R&amp;S - Transportation'!$B$16*('R&amp;S - Transportation'!$B$11*'R&amp;S - Transportation'!$B$19*(AN$3-$D$3)/10)</f>
        <v>0</v>
      </c>
      <c r="AO22" s="44">
        <f>AO20*'R&amp;S - Transportation'!$B$16*('R&amp;S - Transportation'!$B$11*'R&amp;S - Transportation'!$B$19*(AO$3-$D$3)/10)</f>
        <v>0</v>
      </c>
      <c r="AP22" s="44">
        <f>AP20*'R&amp;S - Transportation'!$B$16*('R&amp;S - Transportation'!$B$11*'R&amp;S - Transportation'!$B$19*(AP$3-$D$3)/10)</f>
        <v>0</v>
      </c>
      <c r="AQ22" s="44">
        <f>AQ20*'R&amp;S - Transportation'!$B$16*('R&amp;S - Transportation'!$B$11*'R&amp;S - Transportation'!$B$19*(AQ$3-$D$3)/10)</f>
        <v>0</v>
      </c>
      <c r="AR22" s="44">
        <f>AR20*'R&amp;S - Transportation'!$B$16*('R&amp;S - Transportation'!$B$11*'R&amp;S - Transportation'!$B$19*(AR$3-$D$3)/10)</f>
        <v>0</v>
      </c>
      <c r="AS22" s="44">
        <f>AS20*'R&amp;S - Transportation'!$B$16*('R&amp;S - Transportation'!$B$11*'R&amp;S - Transportation'!$B$19*(AS$3-$D$3)/10)</f>
        <v>0</v>
      </c>
      <c r="AT22" s="44">
        <f>AT20*'R&amp;S - Transportation'!$B$16*('R&amp;S - Transportation'!$B$11*'R&amp;S - Transportation'!$B$19*(AT$3-$D$3)/10)</f>
        <v>0</v>
      </c>
      <c r="AU22" s="44">
        <f>AU20*('R&amp;S - Transportation'!$B$16*('R&amp;S - Transportation'!$B$11*('R&amp;S - Transportation'!$B$19+('R&amp;S - Transportation'!$B$20-'R&amp;S - Transportation'!$B$19)*(AU3-$N$3)/10)))</f>
        <v>0</v>
      </c>
      <c r="AV22" s="44">
        <f>AV20*('R&amp;S - Transportation'!$B$16*('R&amp;S - Transportation'!$B$11*('R&amp;S - Transportation'!$B$19+('R&amp;S - Transportation'!$B$20-'R&amp;S - Transportation'!$B$19)*(AV3-$N$3)/10)))</f>
        <v>0</v>
      </c>
      <c r="AW22" s="44">
        <f>AW20*('R&amp;S - Transportation'!$B$16*('R&amp;S - Transportation'!$B$11*('R&amp;S - Transportation'!$B$19+('R&amp;S - Transportation'!$B$20-'R&amp;S - Transportation'!$B$19)*(AW3-$N$3)/10)))</f>
        <v>0</v>
      </c>
      <c r="AX22" s="44">
        <f>AX20*('R&amp;S - Transportation'!$B$16*('R&amp;S - Transportation'!$B$11*('R&amp;S - Transportation'!$B$19+('R&amp;S - Transportation'!$B$20-'R&amp;S - Transportation'!$B$19)*(AX3-$N$3)/10)))</f>
        <v>0</v>
      </c>
      <c r="AY22" s="44">
        <f>AY20*('R&amp;S - Transportation'!$B$16*('R&amp;S - Transportation'!$B$11*('R&amp;S - Transportation'!$B$19+('R&amp;S - Transportation'!$B$20-'R&amp;S - Transportation'!$B$19)*(AY3-$N$3)/10)))</f>
        <v>0</v>
      </c>
      <c r="AZ22" s="44">
        <f>AZ20*('R&amp;S - Transportation'!$B$16*('R&amp;S - Transportation'!$B$11*('R&amp;S - Transportation'!$B$19+('R&amp;S - Transportation'!$B$20-'R&amp;S - Transportation'!$B$19)*(AZ3-$N$3)/10)))</f>
        <v>0</v>
      </c>
      <c r="BA22" s="44">
        <f>BA20*('R&amp;S - Transportation'!$B$16*('R&amp;S - Transportation'!$B$11*('R&amp;S - Transportation'!$B$19+('R&amp;S - Transportation'!$B$20-'R&amp;S - Transportation'!$B$19)*(BA3-$N$3)/10)))</f>
        <v>0</v>
      </c>
      <c r="BB22" s="44">
        <f>BB20*('R&amp;S - Transportation'!$B$16*('R&amp;S - Transportation'!$B$11*('R&amp;S - Transportation'!$B$19+('R&amp;S - Transportation'!$B$20-'R&amp;S - Transportation'!$B$19)*(BB3-$N$3)/10)))</f>
        <v>0</v>
      </c>
      <c r="BC22" s="44">
        <f>BC20*('R&amp;S - Transportation'!$B$16*('R&amp;S - Transportation'!$B$11*('R&amp;S - Transportation'!$B$19+('R&amp;S - Transportation'!$B$20-'R&amp;S - Transportation'!$B$19)*(BC3-$N$3)/10)))</f>
        <v>0</v>
      </c>
      <c r="BD22" s="44">
        <f>BD20*('R&amp;S - Transportation'!$B$16*('R&amp;S - Transportation'!$B$11*('R&amp;S - Transportation'!$B$19+('R&amp;S - Transportation'!$B$20-'R&amp;S - Transportation'!$B$19)*(BD3-$N$3)/10)))</f>
        <v>0</v>
      </c>
      <c r="BE22" s="44">
        <f>BE20*('R&amp;S - Transportation'!$B$16*('R&amp;S - Transportation'!$B$11*('R&amp;S - Transportation'!$B$20+('R&amp;S - Transportation'!$B$21-'R&amp;S - Transportation'!$B$20)*(BE3-$X$3)/10)))</f>
        <v>0</v>
      </c>
      <c r="BF22" s="44">
        <f>BF20*('R&amp;S - Transportation'!$B$16*('R&amp;S - Transportation'!$B$11*('R&amp;S - Transportation'!$B$20+('R&amp;S - Transportation'!$B$21-'R&amp;S - Transportation'!$B$20)*(BF3-$X$3)/10)))</f>
        <v>0</v>
      </c>
      <c r="BG22" s="44">
        <f>BG20*('R&amp;S - Transportation'!$B$16*('R&amp;S - Transportation'!$B$11*('R&amp;S - Transportation'!$B$20+('R&amp;S - Transportation'!$B$21-'R&amp;S - Transportation'!$B$20)*(BG3-$X$3)/10)))</f>
        <v>0</v>
      </c>
      <c r="BH22" s="44">
        <f>BH20*('R&amp;S - Transportation'!$B$16*('R&amp;S - Transportation'!$B$11*('R&amp;S - Transportation'!$B$20+('R&amp;S - Transportation'!$B$21-'R&amp;S - Transportation'!$B$20)*(BH3-$X$3)/10)))</f>
        <v>0</v>
      </c>
      <c r="BI22" s="44">
        <f>BI20*('R&amp;S - Transportation'!$B$16*('R&amp;S - Transportation'!$B$11*('R&amp;S - Transportation'!$B$20+('R&amp;S - Transportation'!$B$21-'R&amp;S - Transportation'!$B$20)*(BI3-$X$3)/10)))</f>
        <v>0</v>
      </c>
      <c r="BJ22" s="44">
        <f>BJ20*('R&amp;S - Transportation'!$B$16*('R&amp;S - Transportation'!$B$11*('R&amp;S - Transportation'!$B$20+('R&amp;S - Transportation'!$B$21-'R&amp;S - Transportation'!$B$20)*(BJ3-$X$3)/10)))</f>
        <v>0</v>
      </c>
      <c r="BK22" s="44">
        <f>BK20*('R&amp;S - Transportation'!$B$16*('R&amp;S - Transportation'!$B$11*('R&amp;S - Transportation'!$B$20+('R&amp;S - Transportation'!$B$21-'R&amp;S - Transportation'!$B$20)*(BK3-$X$3)/10)))</f>
        <v>0</v>
      </c>
      <c r="BL22" s="44">
        <f>BL20*('R&amp;S - Transportation'!$B$16*('R&amp;S - Transportation'!$B$11*('R&amp;S - Transportation'!$B$20+('R&amp;S - Transportation'!$B$21-'R&amp;S - Transportation'!$B$20)*(BL3-$X$3)/10)))</f>
        <v>0</v>
      </c>
      <c r="BM22" s="44">
        <f>BM20*('R&amp;S - Transportation'!$B$16*('R&amp;S - Transportation'!$B$11*('R&amp;S - Transportation'!$B$20+('R&amp;S - Transportation'!$B$21-'R&amp;S - Transportation'!$B$20)*(BM3-$X$3)/10)))</f>
        <v>0</v>
      </c>
      <c r="BN22" s="44">
        <f>BN20*('R&amp;S - Transportation'!$B$16*('R&amp;S - Transportation'!$B$11*('R&amp;S - Transportation'!$B$20+('R&amp;S - Transportation'!$B$21-'R&amp;S - Transportation'!$B$20)*(BN3-$X$3)/10)))</f>
        <v>0</v>
      </c>
      <c r="BR22" t="s">
        <v>53</v>
      </c>
      <c r="BS22" s="44">
        <f>AH4</f>
        <v>182</v>
      </c>
      <c r="BY22" s="30" t="s">
        <v>195</v>
      </c>
      <c r="BZ22" s="137"/>
      <c r="CA22" s="137"/>
      <c r="CB22" s="137"/>
      <c r="CC22" s="137"/>
      <c r="CD22" s="137"/>
      <c r="CE22" s="137"/>
      <c r="CF22" s="137"/>
      <c r="CG22" s="143">
        <f>SUM(AH120:AH121)</f>
        <v>0.61041628990598817</v>
      </c>
      <c r="CH22" s="137"/>
    </row>
    <row r="23" spans="1:87">
      <c r="B23" s="1" t="s">
        <v>168</v>
      </c>
      <c r="C23" s="54" t="s">
        <v>153</v>
      </c>
      <c r="D23" s="44">
        <f>SUM(D21:D22)</f>
        <v>0</v>
      </c>
      <c r="E23" s="44">
        <f t="shared" ref="E23:AG23" si="172">SUM(E21:E22)</f>
        <v>0</v>
      </c>
      <c r="F23" s="44">
        <f t="shared" si="172"/>
        <v>0</v>
      </c>
      <c r="G23" s="44">
        <f t="shared" si="172"/>
        <v>0</v>
      </c>
      <c r="H23" s="44">
        <f t="shared" si="172"/>
        <v>0</v>
      </c>
      <c r="I23" s="44">
        <f t="shared" si="172"/>
        <v>0</v>
      </c>
      <c r="J23" s="44">
        <f t="shared" si="172"/>
        <v>0</v>
      </c>
      <c r="K23" s="44">
        <f t="shared" si="172"/>
        <v>0</v>
      </c>
      <c r="L23" s="44">
        <f t="shared" si="172"/>
        <v>0</v>
      </c>
      <c r="M23" s="44">
        <f t="shared" si="172"/>
        <v>0</v>
      </c>
      <c r="N23" s="44">
        <f t="shared" si="172"/>
        <v>0</v>
      </c>
      <c r="O23" s="44">
        <f t="shared" si="172"/>
        <v>0</v>
      </c>
      <c r="P23" s="44">
        <f t="shared" si="172"/>
        <v>0</v>
      </c>
      <c r="Q23" s="44">
        <f t="shared" si="172"/>
        <v>0</v>
      </c>
      <c r="R23" s="44">
        <f t="shared" si="172"/>
        <v>0</v>
      </c>
      <c r="S23" s="44">
        <f t="shared" si="172"/>
        <v>0</v>
      </c>
      <c r="T23" s="44">
        <f t="shared" si="172"/>
        <v>0</v>
      </c>
      <c r="U23" s="44">
        <f t="shared" si="172"/>
        <v>0</v>
      </c>
      <c r="V23" s="44">
        <f t="shared" si="172"/>
        <v>0</v>
      </c>
      <c r="W23" s="44">
        <f t="shared" si="172"/>
        <v>0</v>
      </c>
      <c r="X23" s="44">
        <f t="shared" si="172"/>
        <v>0</v>
      </c>
      <c r="Y23" s="44">
        <f t="shared" si="172"/>
        <v>0</v>
      </c>
      <c r="Z23" s="44">
        <f t="shared" si="172"/>
        <v>0</v>
      </c>
      <c r="AA23" s="44">
        <f t="shared" si="172"/>
        <v>0</v>
      </c>
      <c r="AB23" s="44">
        <f t="shared" si="172"/>
        <v>0</v>
      </c>
      <c r="AC23" s="44">
        <f t="shared" si="172"/>
        <v>0</v>
      </c>
      <c r="AD23" s="44">
        <f t="shared" si="172"/>
        <v>0</v>
      </c>
      <c r="AE23" s="44">
        <f t="shared" si="172"/>
        <v>0</v>
      </c>
      <c r="AF23" s="44">
        <f t="shared" si="172"/>
        <v>0</v>
      </c>
      <c r="AG23" s="44">
        <f t="shared" si="172"/>
        <v>0</v>
      </c>
      <c r="AH23" s="44">
        <f>SUM(AH21:AH22)</f>
        <v>0</v>
      </c>
      <c r="AJ23" s="44">
        <f>SUM(AJ21:AJ22)</f>
        <v>0</v>
      </c>
      <c r="AK23" s="44">
        <f t="shared" ref="AK23:BM23" si="173">SUM(AK21:AK22)</f>
        <v>0</v>
      </c>
      <c r="AL23" s="44">
        <f t="shared" si="173"/>
        <v>0</v>
      </c>
      <c r="AM23" s="44">
        <f t="shared" si="173"/>
        <v>0</v>
      </c>
      <c r="AN23" s="44">
        <f t="shared" si="173"/>
        <v>0</v>
      </c>
      <c r="AO23" s="44">
        <f t="shared" si="173"/>
        <v>0</v>
      </c>
      <c r="AP23" s="44">
        <f t="shared" si="173"/>
        <v>0</v>
      </c>
      <c r="AQ23" s="44">
        <f t="shared" si="173"/>
        <v>0</v>
      </c>
      <c r="AR23" s="44">
        <f t="shared" si="173"/>
        <v>0</v>
      </c>
      <c r="AS23" s="44">
        <f t="shared" si="173"/>
        <v>0</v>
      </c>
      <c r="AT23" s="44">
        <f t="shared" si="173"/>
        <v>0</v>
      </c>
      <c r="AU23" s="44">
        <f t="shared" si="173"/>
        <v>0</v>
      </c>
      <c r="AV23" s="44">
        <f t="shared" si="173"/>
        <v>0</v>
      </c>
      <c r="AW23" s="44">
        <f t="shared" si="173"/>
        <v>0</v>
      </c>
      <c r="AX23" s="44">
        <f t="shared" si="173"/>
        <v>0</v>
      </c>
      <c r="AY23" s="44">
        <f t="shared" si="173"/>
        <v>0</v>
      </c>
      <c r="AZ23" s="44">
        <f t="shared" si="173"/>
        <v>0</v>
      </c>
      <c r="BA23" s="44">
        <f t="shared" si="173"/>
        <v>0</v>
      </c>
      <c r="BB23" s="44">
        <f t="shared" si="173"/>
        <v>0</v>
      </c>
      <c r="BC23" s="44">
        <f t="shared" si="173"/>
        <v>0</v>
      </c>
      <c r="BD23" s="44">
        <f t="shared" si="173"/>
        <v>0</v>
      </c>
      <c r="BE23" s="44">
        <f t="shared" si="173"/>
        <v>0</v>
      </c>
      <c r="BF23" s="44">
        <f t="shared" si="173"/>
        <v>0</v>
      </c>
      <c r="BG23" s="44">
        <f t="shared" si="173"/>
        <v>0</v>
      </c>
      <c r="BH23" s="44">
        <f t="shared" si="173"/>
        <v>0</v>
      </c>
      <c r="BI23" s="44">
        <f t="shared" si="173"/>
        <v>0</v>
      </c>
      <c r="BJ23" s="44">
        <f t="shared" si="173"/>
        <v>0</v>
      </c>
      <c r="BK23" s="44">
        <f t="shared" si="173"/>
        <v>0</v>
      </c>
      <c r="BL23" s="44">
        <f t="shared" si="173"/>
        <v>0</v>
      </c>
      <c r="BM23" s="44">
        <f t="shared" si="173"/>
        <v>0</v>
      </c>
      <c r="BN23" s="44">
        <f>SUM(BN21:BN22)</f>
        <v>0</v>
      </c>
      <c r="BY23" s="30" t="s">
        <v>175</v>
      </c>
      <c r="BZ23" s="137"/>
      <c r="CA23" s="143">
        <v>72.099999999999994</v>
      </c>
      <c r="CB23" s="143">
        <v>300</v>
      </c>
      <c r="CC23" s="137"/>
      <c r="CD23" s="549">
        <f>CI12</f>
        <v>1.2159793468079723</v>
      </c>
      <c r="CE23" s="137"/>
      <c r="CF23" s="137"/>
      <c r="CG23" s="137"/>
      <c r="CH23" s="137"/>
    </row>
    <row r="24" spans="1:87">
      <c r="B24" s="1" t="s">
        <v>172</v>
      </c>
      <c r="C24" s="54" t="s">
        <v>153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Q24" t="s">
        <v>196</v>
      </c>
      <c r="BR24">
        <v>2020</v>
      </c>
      <c r="BS24">
        <v>2050</v>
      </c>
    </row>
    <row r="25" spans="1:87">
      <c r="B25" s="1" t="s">
        <v>197</v>
      </c>
      <c r="C25" s="65" t="s">
        <v>153</v>
      </c>
      <c r="D25" s="66">
        <f>D20-D23-D24</f>
        <v>7.4818743268684171</v>
      </c>
      <c r="E25" s="66">
        <f t="shared" ref="E25:AH25" si="174">E20-E23-E24</f>
        <v>7.6242843228060293</v>
      </c>
      <c r="F25" s="66">
        <f t="shared" si="174"/>
        <v>7.7693739969250553</v>
      </c>
      <c r="G25" s="66">
        <f t="shared" si="174"/>
        <v>7.9171933017948382</v>
      </c>
      <c r="H25" s="66">
        <f t="shared" si="174"/>
        <v>8.0677931139450809</v>
      </c>
      <c r="I25" s="66">
        <f t="shared" si="174"/>
        <v>8.2212252508442152</v>
      </c>
      <c r="J25" s="66">
        <f t="shared" si="174"/>
        <v>8.3775424881879879</v>
      </c>
      <c r="K25" s="66">
        <f t="shared" si="174"/>
        <v>8.5367985775039568</v>
      </c>
      <c r="L25" s="66">
        <f t="shared" si="174"/>
        <v>8.6990482640775806</v>
      </c>
      <c r="M25" s="66">
        <f t="shared" si="174"/>
        <v>8.8643473052058113</v>
      </c>
      <c r="N25" s="66">
        <f t="shared" si="174"/>
        <v>9.032752488784082</v>
      </c>
      <c r="O25" s="66">
        <f t="shared" si="174"/>
        <v>9.2313402089419085</v>
      </c>
      <c r="P25" s="66">
        <f t="shared" si="174"/>
        <v>9.4340694461158403</v>
      </c>
      <c r="Q25" s="66">
        <f t="shared" si="174"/>
        <v>9.6410236200333017</v>
      </c>
      <c r="R25" s="66">
        <f t="shared" si="174"/>
        <v>9.8522877897940315</v>
      </c>
      <c r="S25" s="66">
        <f t="shared" si="174"/>
        <v>10.067948685500435</v>
      </c>
      <c r="T25" s="66">
        <f t="shared" si="174"/>
        <v>10.288094740489607</v>
      </c>
      <c r="U25" s="66">
        <f t="shared" si="174"/>
        <v>10.512816124178299</v>
      </c>
      <c r="V25" s="66">
        <f t="shared" si="174"/>
        <v>10.742204775532405</v>
      </c>
      <c r="W25" s="66">
        <f t="shared" si="174"/>
        <v>10.976354437172667</v>
      </c>
      <c r="X25" s="66">
        <f t="shared" si="174"/>
        <v>11.215360690128566</v>
      </c>
      <c r="Y25" s="66">
        <f t="shared" si="174"/>
        <v>11.438001322295875</v>
      </c>
      <c r="Z25" s="66">
        <f t="shared" si="174"/>
        <v>11.664970496717423</v>
      </c>
      <c r="AA25" s="66">
        <f t="shared" si="174"/>
        <v>11.896351040687161</v>
      </c>
      <c r="AB25" s="66">
        <f t="shared" si="174"/>
        <v>12.13222734667832</v>
      </c>
      <c r="AC25" s="66">
        <f t="shared" si="174"/>
        <v>12.372685401622419</v>
      </c>
      <c r="AD25" s="66">
        <f t="shared" si="174"/>
        <v>12.617812816731426</v>
      </c>
      <c r="AE25" s="66">
        <f t="shared" si="174"/>
        <v>12.867698857873073</v>
      </c>
      <c r="AF25" s="66">
        <f t="shared" si="174"/>
        <v>13.1224344765095</v>
      </c>
      <c r="AG25" s="66">
        <f t="shared" si="174"/>
        <v>13.382112341209639</v>
      </c>
      <c r="AH25" s="66">
        <f t="shared" si="174"/>
        <v>13.646826869745873</v>
      </c>
      <c r="AJ25" s="66">
        <f>AJ20-AJ23-AJ24</f>
        <v>7.4818743268684171</v>
      </c>
      <c r="AK25" s="66">
        <f t="shared" ref="AK25" si="175">AK20-AK23-AK24</f>
        <v>7.6242843228060293</v>
      </c>
      <c r="AL25" s="66">
        <f t="shared" ref="AL25" si="176">AL20-AL23-AL24</f>
        <v>7.7693739969250553</v>
      </c>
      <c r="AM25" s="66">
        <f t="shared" ref="AM25" si="177">AM20-AM23-AM24</f>
        <v>7.9171933017948382</v>
      </c>
      <c r="AN25" s="66">
        <f t="shared" ref="AN25" si="178">AN20-AN23-AN24</f>
        <v>8.0677931139450809</v>
      </c>
      <c r="AO25" s="66">
        <f t="shared" ref="AO25" si="179">AO20-AO23-AO24</f>
        <v>8.2212252508442152</v>
      </c>
      <c r="AP25" s="66">
        <f t="shared" ref="AP25" si="180">AP20-AP23-AP24</f>
        <v>8.3775424881879879</v>
      </c>
      <c r="AQ25" s="66">
        <f t="shared" ref="AQ25" si="181">AQ20-AQ23-AQ24</f>
        <v>8.5367985775039568</v>
      </c>
      <c r="AR25" s="66">
        <f t="shared" ref="AR25" si="182">AR20-AR23-AR24</f>
        <v>8.6990482640775806</v>
      </c>
      <c r="AS25" s="66">
        <f t="shared" ref="AS25" si="183">AS20-AS23-AS24</f>
        <v>8.8643473052058113</v>
      </c>
      <c r="AT25" s="66">
        <f t="shared" ref="AT25" si="184">AT20-AT23-AT24</f>
        <v>9.032752488784082</v>
      </c>
      <c r="AU25" s="66">
        <f t="shared" ref="AU25" si="185">AU20-AU23-AU24</f>
        <v>9.2313402089419085</v>
      </c>
      <c r="AV25" s="66">
        <f t="shared" ref="AV25" si="186">AV20-AV23-AV24</f>
        <v>9.4340694461158403</v>
      </c>
      <c r="AW25" s="66">
        <f t="shared" ref="AW25" si="187">AW20-AW23-AW24</f>
        <v>9.6410236200333017</v>
      </c>
      <c r="AX25" s="66">
        <f t="shared" ref="AX25" si="188">AX20-AX23-AX24</f>
        <v>9.8522877897940315</v>
      </c>
      <c r="AY25" s="66">
        <f t="shared" ref="AY25" si="189">AY20-AY23-AY24</f>
        <v>10.067948685500435</v>
      </c>
      <c r="AZ25" s="66">
        <f t="shared" ref="AZ25" si="190">AZ20-AZ23-AZ24</f>
        <v>10.288094740489607</v>
      </c>
      <c r="BA25" s="66">
        <f t="shared" ref="BA25" si="191">BA20-BA23-BA24</f>
        <v>10.512816124178299</v>
      </c>
      <c r="BB25" s="66">
        <f t="shared" ref="BB25" si="192">BB20-BB23-BB24</f>
        <v>10.742204775532405</v>
      </c>
      <c r="BC25" s="66">
        <f t="shared" ref="BC25" si="193">BC20-BC23-BC24</f>
        <v>10.976354437172667</v>
      </c>
      <c r="BD25" s="66">
        <f t="shared" ref="BD25" si="194">BD20-BD23-BD24</f>
        <v>11.215360690128566</v>
      </c>
      <c r="BE25" s="66">
        <f t="shared" ref="BE25" si="195">BE20-BE23-BE24</f>
        <v>11.438001322295875</v>
      </c>
      <c r="BF25" s="66">
        <f t="shared" ref="BF25" si="196">BF20-BF23-BF24</f>
        <v>11.664970496717423</v>
      </c>
      <c r="BG25" s="66">
        <f t="shared" ref="BG25" si="197">BG20-BG23-BG24</f>
        <v>11.896351040687161</v>
      </c>
      <c r="BH25" s="66">
        <f t="shared" ref="BH25" si="198">BH20-BH23-BH24</f>
        <v>12.13222734667832</v>
      </c>
      <c r="BI25" s="66">
        <f t="shared" ref="BI25" si="199">BI20-BI23-BI24</f>
        <v>12.372685401622419</v>
      </c>
      <c r="BJ25" s="66">
        <f t="shared" ref="BJ25" si="200">BJ20-BJ23-BJ24</f>
        <v>12.617812816731426</v>
      </c>
      <c r="BK25" s="66">
        <f t="shared" ref="BK25" si="201">BK20-BK23-BK24</f>
        <v>12.867698857873073</v>
      </c>
      <c r="BL25" s="66">
        <f t="shared" ref="BL25" si="202">BL20-BL23-BL24</f>
        <v>13.1224344765095</v>
      </c>
      <c r="BM25" s="66">
        <f t="shared" ref="BM25" si="203">BM20-BM23-BM24</f>
        <v>13.382112341209639</v>
      </c>
      <c r="BN25" s="66">
        <f t="shared" ref="BN25" si="204">BN20-BN23-BN24</f>
        <v>13.646826869745873</v>
      </c>
      <c r="BR25" s="44" t="e">
        <f>SUM(D18,D29,D40,D47,#REF!,D56)</f>
        <v>#REF!</v>
      </c>
      <c r="BS25" s="44" t="e">
        <f>SUM(AH18,AH29,AH40,AH47,#REF!,AH56)</f>
        <v>#REF!</v>
      </c>
    </row>
    <row r="26" spans="1:87" s="67" customFormat="1">
      <c r="A26" s="752"/>
      <c r="B26" s="58" t="s">
        <v>246</v>
      </c>
      <c r="C26" s="59" t="s">
        <v>153</v>
      </c>
      <c r="D26" s="60">
        <f>D$7/(D$7+D$9)*D25</f>
        <v>1.2545775454801726</v>
      </c>
      <c r="E26" s="60">
        <f t="shared" ref="E26" si="205">E$7/(E$7+E$9)*E25</f>
        <v>1.2481644837749544</v>
      </c>
      <c r="F26" s="60">
        <f t="shared" ref="F26" si="206">F$7/(F$7+F$9)*F25</f>
        <v>1.2460429570064087</v>
      </c>
      <c r="G26" s="60">
        <f t="shared" ref="G26" si="207">G$7/(G$7+G$9)*G25</f>
        <v>1.2473984243375411</v>
      </c>
      <c r="H26" s="60">
        <f t="shared" ref="H26" si="208">H$7/(H$7+H$9)*H25</f>
        <v>1.2516351414578608</v>
      </c>
      <c r="I26" s="60">
        <f t="shared" ref="I26" si="209">I$7/(I$7+I$9)*I25</f>
        <v>1.2583083140675335</v>
      </c>
      <c r="J26" s="60">
        <f t="shared" ref="J26" si="210">J$7/(J$7+J$9)*J25</f>
        <v>1.2670800620617495</v>
      </c>
      <c r="K26" s="60">
        <f t="shared" ref="K26" si="211">K$7/(K$7+K$9)*K25</f>
        <v>1.2776899858470887</v>
      </c>
      <c r="L26" s="60">
        <f t="shared" ref="L26" si="212">L$7/(L$7+L$9)*L25</f>
        <v>1.2899349833131255</v>
      </c>
      <c r="M26" s="60">
        <f t="shared" ref="M26" si="213">M$7/(M$7+M$9)*M25</f>
        <v>1.3036550959815714</v>
      </c>
      <c r="N26" s="60">
        <f t="shared" ref="N26" si="214">N$7/(N$7+N$9)*N25</f>
        <v>1.3187233843060855</v>
      </c>
      <c r="O26" s="60">
        <f t="shared" ref="O26" si="215">O$7/(O$7+O$9)*O25</f>
        <v>1.352326166687692</v>
      </c>
      <c r="P26" s="60">
        <f t="shared" ref="P26" si="216">P$7/(P$7+P$9)*P25</f>
        <v>1.386944204011985</v>
      </c>
      <c r="Q26" s="60">
        <f t="shared" ref="Q26" si="217">Q$7/(Q$7+Q$9)*Q25</f>
        <v>1.4226134053266954</v>
      </c>
      <c r="R26" s="60">
        <f t="shared" ref="R26" si="218">R$7/(R$7+R$9)*R25</f>
        <v>1.4593714021058979</v>
      </c>
      <c r="S26" s="60">
        <f t="shared" ref="S26" si="219">S$7/(S$7+S$9)*S25</f>
        <v>1.4972576450139443</v>
      </c>
      <c r="T26" s="60">
        <f t="shared" ref="T26" si="220">T$7/(T$7+T$9)*T25</f>
        <v>1.5374727969741202</v>
      </c>
      <c r="U26" s="60">
        <f t="shared" ref="U26" si="221">U$7/(U$7+U$9)*U25</f>
        <v>1.5789659076621261</v>
      </c>
      <c r="V26" s="60">
        <f t="shared" ref="V26" si="222">V$7/(V$7+V$9)*V25</f>
        <v>1.6217875189917852</v>
      </c>
      <c r="W26" s="60">
        <f t="shared" ref="W26" si="223">W$7/(W$7+W$9)*W25</f>
        <v>1.6659908041136495</v>
      </c>
      <c r="X26" s="60">
        <f t="shared" ref="X26" si="224">X$7/(X$7+X$9)*X25</f>
        <v>1.7116317389995481</v>
      </c>
      <c r="Y26" s="60">
        <f t="shared" ref="Y26" si="225">Y$7/(Y$7+Y$9)*Y25</f>
        <v>1.7582192053136121</v>
      </c>
      <c r="Z26" s="60">
        <f t="shared" ref="Z26" si="226">Z$7/(Z$7+Z$9)*Z25</f>
        <v>1.8064120343722676</v>
      </c>
      <c r="AA26" s="60">
        <f t="shared" ref="AA26" si="227">AA$7/(AA$7+AA$9)*AA25</f>
        <v>1.8562845102881023</v>
      </c>
      <c r="AB26" s="60">
        <f t="shared" ref="AB26" si="228">AB$7/(AB$7+AB$9)*AB25</f>
        <v>1.9079155061658628</v>
      </c>
      <c r="AC26" s="60">
        <f t="shared" ref="AC26" si="229">AC$7/(AC$7+AC$9)*AC25</f>
        <v>1.9613888447929413</v>
      </c>
      <c r="AD26" s="60">
        <f t="shared" ref="AD26" si="230">AD$7/(AD$7+AD$9)*AD25</f>
        <v>2.016793693937275</v>
      </c>
      <c r="AE26" s="60">
        <f t="shared" ref="AE26" si="231">AE$7/(AE$7+AE$9)*AE25</f>
        <v>2.0742250001891205</v>
      </c>
      <c r="AF26" s="60">
        <f t="shared" ref="AF26" si="232">AF$7/(AF$7+AF$9)*AF25</f>
        <v>2.1337839658033793</v>
      </c>
      <c r="AG26" s="60">
        <f t="shared" ref="AG26" si="233">AG$7/(AG$7+AG$9)*AG25</f>
        <v>2.1955785735979854</v>
      </c>
      <c r="AH26" s="60">
        <f t="shared" ref="AH26" si="234">AH$7/(AH$7+AH$9)*AH25</f>
        <v>2.2597241656547338</v>
      </c>
      <c r="AJ26" s="60">
        <f>AJ$7/(AJ$7+AJ$9)*AJ25</f>
        <v>1.2545775454801726</v>
      </c>
      <c r="AK26" s="60">
        <f t="shared" ref="AK26" si="235">AK$7/(AK$7+AK$9)*AK25</f>
        <v>1.2481644837749544</v>
      </c>
      <c r="AL26" s="60">
        <f t="shared" ref="AL26" si="236">AL$7/(AL$7+AL$9)*AL25</f>
        <v>1.2460429570064087</v>
      </c>
      <c r="AM26" s="60">
        <f t="shared" ref="AM26" si="237">AM$7/(AM$7+AM$9)*AM25</f>
        <v>1.2473984243375411</v>
      </c>
      <c r="AN26" s="60">
        <f t="shared" ref="AN26" si="238">AN$7/(AN$7+AN$9)*AN25</f>
        <v>1.2516351414578608</v>
      </c>
      <c r="AO26" s="60">
        <f t="shared" ref="AO26" si="239">AO$7/(AO$7+AO$9)*AO25</f>
        <v>1.2583083140675335</v>
      </c>
      <c r="AP26" s="60">
        <f t="shared" ref="AP26" si="240">AP$7/(AP$7+AP$9)*AP25</f>
        <v>1.2670800620617495</v>
      </c>
      <c r="AQ26" s="60">
        <f t="shared" ref="AQ26" si="241">AQ$7/(AQ$7+AQ$9)*AQ25</f>
        <v>1.2776899858470887</v>
      </c>
      <c r="AR26" s="60">
        <f t="shared" ref="AR26" si="242">AR$7/(AR$7+AR$9)*AR25</f>
        <v>1.2899349833131255</v>
      </c>
      <c r="AS26" s="60">
        <f t="shared" ref="AS26" si="243">AS$7/(AS$7+AS$9)*AS25</f>
        <v>1.3036550959815714</v>
      </c>
      <c r="AT26" s="60">
        <f t="shared" ref="AT26" si="244">AT$7/(AT$7+AT$9)*AT25</f>
        <v>1.3187233843060855</v>
      </c>
      <c r="AU26" s="60">
        <f t="shared" ref="AU26" si="245">AU$7/(AU$7+AU$9)*AU25</f>
        <v>1.352326166687692</v>
      </c>
      <c r="AV26" s="60">
        <f t="shared" ref="AV26" si="246">AV$7/(AV$7+AV$9)*AV25</f>
        <v>1.386944204011985</v>
      </c>
      <c r="AW26" s="60">
        <f t="shared" ref="AW26" si="247">AW$7/(AW$7+AW$9)*AW25</f>
        <v>1.4226134053266954</v>
      </c>
      <c r="AX26" s="60">
        <f t="shared" ref="AX26" si="248">AX$7/(AX$7+AX$9)*AX25</f>
        <v>1.4593714021058979</v>
      </c>
      <c r="AY26" s="60">
        <f t="shared" ref="AY26" si="249">AY$7/(AY$7+AY$9)*AY25</f>
        <v>1.4972576450139443</v>
      </c>
      <c r="AZ26" s="60">
        <f t="shared" ref="AZ26" si="250">AZ$7/(AZ$7+AZ$9)*AZ25</f>
        <v>1.5374727969741202</v>
      </c>
      <c r="BA26" s="60">
        <f t="shared" ref="BA26" si="251">BA$7/(BA$7+BA$9)*BA25</f>
        <v>1.5789659076621261</v>
      </c>
      <c r="BB26" s="60">
        <f t="shared" ref="BB26" si="252">BB$7/(BB$7+BB$9)*BB25</f>
        <v>1.6217875189917852</v>
      </c>
      <c r="BC26" s="60">
        <f t="shared" ref="BC26" si="253">BC$7/(BC$7+BC$9)*BC25</f>
        <v>1.6659908041136495</v>
      </c>
      <c r="BD26" s="60">
        <f t="shared" ref="BD26" si="254">BD$7/(BD$7+BD$9)*BD25</f>
        <v>1.7116317389995481</v>
      </c>
      <c r="BE26" s="60">
        <f t="shared" ref="BE26" si="255">BE$7/(BE$7+BE$9)*BE25</f>
        <v>1.7582192053136121</v>
      </c>
      <c r="BF26" s="60">
        <f t="shared" ref="BF26" si="256">BF$7/(BF$7+BF$9)*BF25</f>
        <v>1.8064120343722676</v>
      </c>
      <c r="BG26" s="60">
        <f t="shared" ref="BG26" si="257">BG$7/(BG$7+BG$9)*BG25</f>
        <v>1.8562845102881023</v>
      </c>
      <c r="BH26" s="60">
        <f t="shared" ref="BH26" si="258">BH$7/(BH$7+BH$9)*BH25</f>
        <v>1.9079155061658628</v>
      </c>
      <c r="BI26" s="60">
        <f t="shared" ref="BI26" si="259">BI$7/(BI$7+BI$9)*BI25</f>
        <v>1.9613888447929413</v>
      </c>
      <c r="BJ26" s="60">
        <f t="shared" ref="BJ26" si="260">BJ$7/(BJ$7+BJ$9)*BJ25</f>
        <v>2.016793693937275</v>
      </c>
      <c r="BK26" s="60">
        <f t="shared" ref="BK26" si="261">BK$7/(BK$7+BK$9)*BK25</f>
        <v>2.0742250001891205</v>
      </c>
      <c r="BL26" s="60">
        <f t="shared" ref="BL26" si="262">BL$7/(BL$7+BL$9)*BL25</f>
        <v>2.1337839658033793</v>
      </c>
      <c r="BM26" s="60">
        <f t="shared" ref="BM26" si="263">BM$7/(BM$7+BM$9)*BM25</f>
        <v>2.1955785735979854</v>
      </c>
      <c r="BN26" s="60">
        <f t="shared" ref="BN26" si="264">BN$7/(BN$7+BN$9)*BN25</f>
        <v>2.2597241656547338</v>
      </c>
    </row>
    <row r="27" spans="1:87">
      <c r="A27" s="753"/>
      <c r="B27" s="1" t="s">
        <v>247</v>
      </c>
      <c r="C27" s="54" t="s">
        <v>153</v>
      </c>
      <c r="D27" s="44">
        <v>0</v>
      </c>
      <c r="E27" s="44">
        <v>0</v>
      </c>
      <c r="F27" s="44">
        <v>0</v>
      </c>
      <c r="G27" s="44">
        <v>0</v>
      </c>
      <c r="H27" s="44">
        <v>0</v>
      </c>
      <c r="I27" s="44">
        <v>0</v>
      </c>
      <c r="J27" s="44">
        <v>0</v>
      </c>
      <c r="K27" s="44">
        <v>0</v>
      </c>
      <c r="L27" s="44">
        <v>0</v>
      </c>
      <c r="M27" s="44">
        <v>0</v>
      </c>
      <c r="N27" s="44">
        <v>0</v>
      </c>
      <c r="O27" s="44">
        <v>0</v>
      </c>
      <c r="P27" s="44">
        <v>0</v>
      </c>
      <c r="Q27" s="44">
        <v>0</v>
      </c>
      <c r="R27" s="44">
        <v>0</v>
      </c>
      <c r="S27" s="44">
        <v>0</v>
      </c>
      <c r="T27" s="44">
        <v>0</v>
      </c>
      <c r="U27" s="44">
        <v>0</v>
      </c>
      <c r="V27" s="44">
        <v>0</v>
      </c>
      <c r="W27" s="44">
        <v>0</v>
      </c>
      <c r="X27" s="44">
        <v>0</v>
      </c>
      <c r="Y27" s="44">
        <v>0</v>
      </c>
      <c r="Z27" s="44">
        <v>0</v>
      </c>
      <c r="AA27" s="44">
        <v>0</v>
      </c>
      <c r="AB27" s="44">
        <v>0</v>
      </c>
      <c r="AC27" s="44">
        <v>0</v>
      </c>
      <c r="AD27" s="44">
        <v>0</v>
      </c>
      <c r="AE27" s="44">
        <v>0</v>
      </c>
      <c r="AF27" s="44">
        <v>0</v>
      </c>
      <c r="AG27" s="44">
        <v>0</v>
      </c>
      <c r="AH27" s="44">
        <v>0</v>
      </c>
      <c r="AJ27" s="44">
        <v>0</v>
      </c>
      <c r="AK27" s="44">
        <v>0</v>
      </c>
      <c r="AL27" s="44">
        <v>0</v>
      </c>
      <c r="AM27" s="44">
        <v>0</v>
      </c>
      <c r="AN27" s="44">
        <v>0</v>
      </c>
      <c r="AO27" s="44">
        <v>0</v>
      </c>
      <c r="AP27" s="44">
        <v>0</v>
      </c>
      <c r="AQ27" s="44">
        <v>0</v>
      </c>
      <c r="AR27" s="44">
        <v>0</v>
      </c>
      <c r="AS27" s="44">
        <v>0</v>
      </c>
      <c r="AT27" s="44">
        <v>0</v>
      </c>
      <c r="AU27" s="44">
        <v>0</v>
      </c>
      <c r="AV27" s="44">
        <v>0</v>
      </c>
      <c r="AW27" s="44">
        <v>0</v>
      </c>
      <c r="AX27" s="44">
        <v>0</v>
      </c>
      <c r="AY27" s="44">
        <v>0</v>
      </c>
      <c r="AZ27" s="44">
        <v>0</v>
      </c>
      <c r="BA27" s="44">
        <v>0</v>
      </c>
      <c r="BB27" s="44">
        <v>0</v>
      </c>
      <c r="BC27" s="44">
        <v>0</v>
      </c>
      <c r="BD27" s="44">
        <v>0</v>
      </c>
      <c r="BE27" s="44">
        <v>0</v>
      </c>
      <c r="BF27" s="44">
        <v>0</v>
      </c>
      <c r="BG27" s="44">
        <v>0</v>
      </c>
      <c r="BH27" s="44">
        <v>0</v>
      </c>
      <c r="BI27" s="44">
        <v>0</v>
      </c>
      <c r="BJ27" s="44">
        <v>0</v>
      </c>
      <c r="BK27" s="44">
        <v>0</v>
      </c>
      <c r="BL27" s="44">
        <v>0</v>
      </c>
      <c r="BM27" s="44">
        <v>0</v>
      </c>
      <c r="BN27" s="44">
        <v>0</v>
      </c>
    </row>
    <row r="28" spans="1:87" s="68" customFormat="1">
      <c r="A28" s="754"/>
      <c r="B28" s="62" t="s">
        <v>248</v>
      </c>
      <c r="C28" s="283" t="s">
        <v>153</v>
      </c>
      <c r="D28" s="284">
        <f>D$9/(D$7+D$9)*D25</f>
        <v>6.2272967813882438</v>
      </c>
      <c r="E28" s="284">
        <f t="shared" ref="E28:AH28" si="265">E$9/(E$7+E$9)*E25</f>
        <v>6.376119839031074</v>
      </c>
      <c r="F28" s="284">
        <f t="shared" si="265"/>
        <v>6.5233310399186468</v>
      </c>
      <c r="G28" s="284">
        <f t="shared" si="265"/>
        <v>6.6697948774572966</v>
      </c>
      <c r="H28" s="284">
        <f t="shared" si="265"/>
        <v>6.8161579724872201</v>
      </c>
      <c r="I28" s="284">
        <f t="shared" si="265"/>
        <v>6.962916936776681</v>
      </c>
      <c r="J28" s="284">
        <f t="shared" si="265"/>
        <v>7.1104624261262392</v>
      </c>
      <c r="K28" s="284">
        <f t="shared" si="265"/>
        <v>7.2591085916568678</v>
      </c>
      <c r="L28" s="284">
        <f t="shared" si="265"/>
        <v>7.4091132807644557</v>
      </c>
      <c r="M28" s="284">
        <f t="shared" si="265"/>
        <v>7.5606922092242401</v>
      </c>
      <c r="N28" s="284">
        <f t="shared" si="265"/>
        <v>7.7140291044779961</v>
      </c>
      <c r="O28" s="284">
        <f t="shared" si="265"/>
        <v>7.8790140422542159</v>
      </c>
      <c r="P28" s="284">
        <f t="shared" si="265"/>
        <v>8.0471252421038546</v>
      </c>
      <c r="Q28" s="284">
        <f t="shared" si="265"/>
        <v>8.2184102147066067</v>
      </c>
      <c r="R28" s="284">
        <f t="shared" si="265"/>
        <v>8.3929163876881336</v>
      </c>
      <c r="S28" s="284">
        <f t="shared" si="265"/>
        <v>8.5706910404864889</v>
      </c>
      <c r="T28" s="284">
        <f t="shared" si="265"/>
        <v>8.7506219435154851</v>
      </c>
      <c r="U28" s="284">
        <f t="shared" si="265"/>
        <v>8.9338502165161735</v>
      </c>
      <c r="V28" s="284">
        <f t="shared" si="265"/>
        <v>9.1204172565406214</v>
      </c>
      <c r="W28" s="284">
        <f t="shared" si="265"/>
        <v>9.3103636330590156</v>
      </c>
      <c r="X28" s="284">
        <f t="shared" si="265"/>
        <v>9.5037289511290179</v>
      </c>
      <c r="Y28" s="284">
        <f t="shared" si="265"/>
        <v>9.6797821169822633</v>
      </c>
      <c r="Z28" s="284">
        <f t="shared" si="265"/>
        <v>9.8585584623451563</v>
      </c>
      <c r="AA28" s="284">
        <f t="shared" si="265"/>
        <v>10.040066530399059</v>
      </c>
      <c r="AB28" s="284">
        <f t="shared" si="265"/>
        <v>10.224311840512456</v>
      </c>
      <c r="AC28" s="284">
        <f t="shared" si="265"/>
        <v>10.411296556829479</v>
      </c>
      <c r="AD28" s="284">
        <f t="shared" si="265"/>
        <v>10.601019122794153</v>
      </c>
      <c r="AE28" s="284">
        <f t="shared" si="265"/>
        <v>10.793473857683953</v>
      </c>
      <c r="AF28" s="284">
        <f t="shared" si="265"/>
        <v>10.988650510706121</v>
      </c>
      <c r="AG28" s="284">
        <f t="shared" si="265"/>
        <v>11.186533767611655</v>
      </c>
      <c r="AH28" s="284">
        <f t="shared" si="265"/>
        <v>11.387102704091138</v>
      </c>
      <c r="AJ28" s="284">
        <f>AJ$9/(AJ$7+AJ$9)*AJ25</f>
        <v>6.2272967813882438</v>
      </c>
      <c r="AK28" s="284">
        <f t="shared" ref="AK28:BN28" si="266">AK$9/(AK$7+AK$9)*AK25</f>
        <v>6.376119839031074</v>
      </c>
      <c r="AL28" s="284">
        <f t="shared" si="266"/>
        <v>6.5233310399186468</v>
      </c>
      <c r="AM28" s="284">
        <f t="shared" si="266"/>
        <v>6.6697948774572966</v>
      </c>
      <c r="AN28" s="284">
        <f t="shared" si="266"/>
        <v>6.8161579724872201</v>
      </c>
      <c r="AO28" s="284">
        <f t="shared" si="266"/>
        <v>6.962916936776681</v>
      </c>
      <c r="AP28" s="284">
        <f t="shared" si="266"/>
        <v>7.1104624261262392</v>
      </c>
      <c r="AQ28" s="284">
        <f t="shared" si="266"/>
        <v>7.2591085916568678</v>
      </c>
      <c r="AR28" s="284">
        <f t="shared" si="266"/>
        <v>7.4091132807644557</v>
      </c>
      <c r="AS28" s="284">
        <f t="shared" si="266"/>
        <v>7.5606922092242401</v>
      </c>
      <c r="AT28" s="284">
        <f t="shared" si="266"/>
        <v>7.7140291044779961</v>
      </c>
      <c r="AU28" s="284">
        <f t="shared" si="266"/>
        <v>7.8790140422542159</v>
      </c>
      <c r="AV28" s="284">
        <f t="shared" si="266"/>
        <v>8.0471252421038546</v>
      </c>
      <c r="AW28" s="284">
        <f t="shared" si="266"/>
        <v>8.2184102147066067</v>
      </c>
      <c r="AX28" s="284">
        <f t="shared" si="266"/>
        <v>8.3929163876881336</v>
      </c>
      <c r="AY28" s="284">
        <f t="shared" si="266"/>
        <v>8.5706910404864889</v>
      </c>
      <c r="AZ28" s="284">
        <f t="shared" si="266"/>
        <v>8.7506219435154851</v>
      </c>
      <c r="BA28" s="284">
        <f t="shared" si="266"/>
        <v>8.9338502165161735</v>
      </c>
      <c r="BB28" s="284">
        <f t="shared" si="266"/>
        <v>9.1204172565406214</v>
      </c>
      <c r="BC28" s="284">
        <f t="shared" si="266"/>
        <v>9.3103636330590156</v>
      </c>
      <c r="BD28" s="284">
        <f t="shared" si="266"/>
        <v>9.5037289511290179</v>
      </c>
      <c r="BE28" s="284">
        <f t="shared" si="266"/>
        <v>9.6797821169822633</v>
      </c>
      <c r="BF28" s="284">
        <f t="shared" si="266"/>
        <v>9.8585584623451563</v>
      </c>
      <c r="BG28" s="284">
        <f t="shared" si="266"/>
        <v>10.040066530399059</v>
      </c>
      <c r="BH28" s="284">
        <f t="shared" si="266"/>
        <v>10.224311840512456</v>
      </c>
      <c r="BI28" s="284">
        <f t="shared" si="266"/>
        <v>10.411296556829479</v>
      </c>
      <c r="BJ28" s="284">
        <f t="shared" si="266"/>
        <v>10.601019122794153</v>
      </c>
      <c r="BK28" s="284">
        <f t="shared" si="266"/>
        <v>10.793473857683953</v>
      </c>
      <c r="BL28" s="284">
        <f t="shared" si="266"/>
        <v>10.988650510706121</v>
      </c>
      <c r="BM28" s="284">
        <f t="shared" si="266"/>
        <v>11.186533767611655</v>
      </c>
      <c r="BN28" s="284">
        <f t="shared" si="266"/>
        <v>11.387102704091138</v>
      </c>
    </row>
    <row r="29" spans="1:87" s="1" customFormat="1">
      <c r="A29" s="1" t="s">
        <v>198</v>
      </c>
      <c r="B29" s="1" t="s">
        <v>199</v>
      </c>
      <c r="C29" s="65" t="s">
        <v>153</v>
      </c>
      <c r="D29" s="66">
        <f>'Demand - Industry shares'!L82+'Demand - Industry shares'!L86</f>
        <v>4.3918200345154137</v>
      </c>
      <c r="E29" s="66">
        <f>D29*(1+'Demand Breakdown - Methanol'!$N$37)</f>
        <v>4.4533055149986298</v>
      </c>
      <c r="F29" s="66">
        <f>E29*(1+'Demand Breakdown - Methanol'!$N$37)</f>
        <v>4.5156517922086108</v>
      </c>
      <c r="G29" s="66">
        <f>F29*(1+'Demand Breakdown - Methanol'!$N$37)</f>
        <v>4.5788709172995317</v>
      </c>
      <c r="H29" s="66">
        <f>G29*(1+'Demand Breakdown - Methanol'!$N$37)</f>
        <v>4.6429751101417249</v>
      </c>
      <c r="I29" s="66">
        <f>H29*(1+'Demand Breakdown - Methanol'!$N$37)</f>
        <v>4.7079767616837094</v>
      </c>
      <c r="J29" s="66">
        <f>I29*(1+'Demand Breakdown - Methanol'!$N$37)</f>
        <v>4.7738884363472813</v>
      </c>
      <c r="K29" s="66">
        <f>J29*(1+'Demand Breakdown - Methanol'!$N$37)</f>
        <v>4.8407228744561435</v>
      </c>
      <c r="L29" s="66">
        <f>K29*(1+'Demand Breakdown - Methanol'!$N$37)</f>
        <v>4.9084929946985296</v>
      </c>
      <c r="M29" s="66">
        <f>L29*(1+'Demand Breakdown - Methanol'!$N$37)</f>
        <v>4.9772118966243095</v>
      </c>
      <c r="N29" s="66">
        <f>M29*(1+'Demand Breakdown - Methanol'!$N$37)</f>
        <v>5.0468928631770495</v>
      </c>
      <c r="O29" s="66">
        <f>N29*(1+'Demand Breakdown - Methanol'!$N$37)</f>
        <v>5.1175493632615279</v>
      </c>
      <c r="P29" s="66">
        <f>O29*(1+'Demand Breakdown - Methanol'!$N$37)</f>
        <v>5.1891950543471896</v>
      </c>
      <c r="Q29" s="66">
        <f>P29*(1+'Demand Breakdown - Methanol'!$N$37)</f>
        <v>5.2618437851080504</v>
      </c>
      <c r="R29" s="66">
        <f>Q29*(1+'Demand Breakdown - Methanol'!$N$37)</f>
        <v>5.3355095980995628</v>
      </c>
      <c r="S29" s="66">
        <f>R29*(1+'Demand Breakdown - Methanol'!$N$37)</f>
        <v>5.4102067324729566</v>
      </c>
      <c r="T29" s="66">
        <f>S29*(1+'Demand Breakdown - Methanol'!$N$37)</f>
        <v>5.485949626727578</v>
      </c>
      <c r="U29" s="66">
        <f>T29*(1+'Demand Breakdown - Methanol'!$N$37)</f>
        <v>5.5627529215017644</v>
      </c>
      <c r="V29" s="66">
        <f>U29*(1+'Demand Breakdown - Methanol'!$N$37)</f>
        <v>5.6406314624027889</v>
      </c>
      <c r="W29" s="66">
        <f>V29*(1+'Demand Breakdown - Methanol'!$N$37)</f>
        <v>5.7196003028764277</v>
      </c>
      <c r="X29" s="66">
        <f>W29*(1+'Demand Breakdown - Methanol'!$N$37)</f>
        <v>5.7996747071166981</v>
      </c>
      <c r="Y29" s="66">
        <f>X29*(1+'Demand Breakdown - Methanol'!$N$37)</f>
        <v>5.8808701530163319</v>
      </c>
      <c r="Z29" s="66">
        <f>Y29*(1+'Demand Breakdown - Methanol'!$N$37)</f>
        <v>5.9632023351585604</v>
      </c>
      <c r="AA29" s="66">
        <f>Z29*(1+'Demand Breakdown - Methanol'!$N$37)</f>
        <v>6.0466871678507799</v>
      </c>
      <c r="AB29" s="66">
        <f>AA29*(1+'Demand Breakdown - Methanol'!$N$37)</f>
        <v>6.1313407882006912</v>
      </c>
      <c r="AC29" s="66">
        <f>AB29*(1+'Demand Breakdown - Methanol'!$N$37)</f>
        <v>6.2171795592355013</v>
      </c>
      <c r="AD29" s="66">
        <f>AC29*(1+'Demand Breakdown - Methanol'!$N$37)</f>
        <v>6.3042200730647986</v>
      </c>
      <c r="AE29" s="66">
        <f>AD29*(1+'Demand Breakdown - Methanol'!$N$37)</f>
        <v>6.392479154087706</v>
      </c>
      <c r="AF29" s="66">
        <f>AE29*(1+'Demand Breakdown - Methanol'!$N$37)</f>
        <v>6.4819738622449341</v>
      </c>
      <c r="AG29" s="66">
        <f>AF29*(1+'Demand Breakdown - Methanol'!$N$37)</f>
        <v>6.5727214963163636</v>
      </c>
      <c r="AH29" s="66">
        <f>AG29*(1+'Demand Breakdown - Methanol'!$N$37)</f>
        <v>6.6647395972647931</v>
      </c>
      <c r="AJ29" s="66">
        <f>D29</f>
        <v>4.3918200345154137</v>
      </c>
      <c r="AK29" s="66">
        <f>AJ29*(1+'Demand Breakdown - Methanol'!$N$37)</f>
        <v>4.4533055149986298</v>
      </c>
      <c r="AL29" s="66">
        <f>AK29*(1+'Demand Breakdown - Methanol'!$N$37)</f>
        <v>4.5156517922086108</v>
      </c>
      <c r="AM29" s="66">
        <f>AL29*(1+'Demand Breakdown - Methanol'!$N$37)</f>
        <v>4.5788709172995317</v>
      </c>
      <c r="AN29" s="66">
        <f>AM29*(1+'Demand Breakdown - Methanol'!$N$37)</f>
        <v>4.6429751101417249</v>
      </c>
      <c r="AO29" s="66">
        <f>AN29*(1+'Demand Breakdown - Methanol'!$N$37)</f>
        <v>4.7079767616837094</v>
      </c>
      <c r="AP29" s="66">
        <f>AO29*(1+'Demand Breakdown - Methanol'!$N$37)</f>
        <v>4.7738884363472813</v>
      </c>
      <c r="AQ29" s="66">
        <f>AP29*(1+'Demand Breakdown - Methanol'!$N$37)</f>
        <v>4.8407228744561435</v>
      </c>
      <c r="AR29" s="66">
        <f>AQ29*(1+'Demand Breakdown - Methanol'!$N$37)</f>
        <v>4.9084929946985296</v>
      </c>
      <c r="AS29" s="66">
        <f>AR29*(1+'Demand Breakdown - Methanol'!$N$37)</f>
        <v>4.9772118966243095</v>
      </c>
      <c r="AT29" s="66">
        <f>AS29*(1+'Demand Breakdown - Methanol'!$N$37)</f>
        <v>5.0468928631770495</v>
      </c>
      <c r="AU29" s="66">
        <f>AT29*(1+'Demand Breakdown - Methanol'!$N$37)</f>
        <v>5.1175493632615279</v>
      </c>
      <c r="AV29" s="66">
        <f>AU29*(1+'Demand Breakdown - Methanol'!$N$37)</f>
        <v>5.1891950543471896</v>
      </c>
      <c r="AW29" s="66">
        <f>AV29*(1+'Demand Breakdown - Methanol'!$N$37)</f>
        <v>5.2618437851080504</v>
      </c>
      <c r="AX29" s="66">
        <f>AW29*(1+'Demand Breakdown - Methanol'!$N$37)</f>
        <v>5.3355095980995628</v>
      </c>
      <c r="AY29" s="66">
        <f>AX29*(1+'Demand Breakdown - Methanol'!$N$37)</f>
        <v>5.4102067324729566</v>
      </c>
      <c r="AZ29" s="66">
        <f>AY29*(1+'Demand Breakdown - Methanol'!$N$37)</f>
        <v>5.485949626727578</v>
      </c>
      <c r="BA29" s="66">
        <f>AZ29*(1+'Demand Breakdown - Methanol'!$N$37)</f>
        <v>5.5627529215017644</v>
      </c>
      <c r="BB29" s="66">
        <f>BA29*(1+'Demand Breakdown - Methanol'!$N$37)</f>
        <v>5.6406314624027889</v>
      </c>
      <c r="BC29" s="66">
        <f>BB29*(1+'Demand Breakdown - Methanol'!$N$37)</f>
        <v>5.7196003028764277</v>
      </c>
      <c r="BD29" s="66">
        <f>BC29*(1+'Demand Breakdown - Methanol'!$N$37)</f>
        <v>5.7996747071166981</v>
      </c>
      <c r="BE29" s="66">
        <f>BD29*(1+'Demand Breakdown - Methanol'!$N$37)</f>
        <v>5.8808701530163319</v>
      </c>
      <c r="BF29" s="66">
        <f>BE29*(1+'Demand Breakdown - Methanol'!$N$37)</f>
        <v>5.9632023351585604</v>
      </c>
      <c r="BG29" s="66">
        <f>BF29*(1+'Demand Breakdown - Methanol'!$N$37)</f>
        <v>6.0466871678507799</v>
      </c>
      <c r="BH29" s="66">
        <f>BG29*(1+'Demand Breakdown - Methanol'!$N$37)</f>
        <v>6.1313407882006912</v>
      </c>
      <c r="BI29" s="66">
        <f>BH29*(1+'Demand Breakdown - Methanol'!$N$37)</f>
        <v>6.2171795592355013</v>
      </c>
      <c r="BJ29" s="66">
        <f>BI29*(1+'Demand Breakdown - Methanol'!$N$37)</f>
        <v>6.3042200730647986</v>
      </c>
      <c r="BK29" s="66">
        <f>BJ29*(1+'Demand Breakdown - Methanol'!$N$37)</f>
        <v>6.392479154087706</v>
      </c>
      <c r="BL29" s="66">
        <f>BK29*(1+'Demand Breakdown - Methanol'!$N$37)</f>
        <v>6.4819738622449341</v>
      </c>
      <c r="BM29" s="66">
        <f>BL29*(1+'Demand Breakdown - Methanol'!$N$37)</f>
        <v>6.5727214963163636</v>
      </c>
      <c r="BN29" s="66">
        <f>BM29*(1+'Demand Breakdown - Methanol'!$N$37)</f>
        <v>6.6647395972647931</v>
      </c>
      <c r="BR29" s="66" t="e">
        <f>#REF!</f>
        <v>#REF!</v>
      </c>
      <c r="BS29" s="66" t="e">
        <f>#REF!</f>
        <v>#REF!</v>
      </c>
    </row>
    <row r="30" spans="1:87">
      <c r="B30" s="61" t="s">
        <v>25</v>
      </c>
      <c r="C30" s="54" t="s">
        <v>153</v>
      </c>
      <c r="D30" s="43">
        <v>0</v>
      </c>
      <c r="E30" s="43">
        <f>E29*'R&amp;S - Packaging and hh goods'!$D$7*('R&amp;S - Packaging and hh goods'!$F$14*'R&amp;S - Packaging and hh goods'!$U$19*(E$3-$D$3)/10)</f>
        <v>0</v>
      </c>
      <c r="F30" s="43">
        <f>F29*'R&amp;S - Packaging and hh goods'!$D$7*('R&amp;S - Packaging and hh goods'!$F$14*'R&amp;S - Packaging and hh goods'!$U$19*(F$3-$D$3)/10)</f>
        <v>0</v>
      </c>
      <c r="G30" s="43">
        <f>G29*'R&amp;S - Packaging and hh goods'!$D$7*('R&amp;S - Packaging and hh goods'!$F$14*'R&amp;S - Packaging and hh goods'!$U$19*(G$3-$D$3)/10)</f>
        <v>0</v>
      </c>
      <c r="H30" s="43">
        <f>H29*'R&amp;S - Packaging and hh goods'!$D$7*('R&amp;S - Packaging and hh goods'!$F$14*'R&amp;S - Packaging and hh goods'!$U$19*(H$3-$D$3)/10)</f>
        <v>0</v>
      </c>
      <c r="I30" s="43">
        <f>I29*'R&amp;S - Packaging and hh goods'!$D$7*('R&amp;S - Packaging and hh goods'!$F$14*'R&amp;S - Packaging and hh goods'!$U$19*(I$3-$D$3)/10)</f>
        <v>0</v>
      </c>
      <c r="J30" s="43">
        <f>J29*'R&amp;S - Packaging and hh goods'!$D$7*('R&amp;S - Packaging and hh goods'!$F$14*'R&amp;S - Packaging and hh goods'!$U$19*(J$3-$D$3)/10)</f>
        <v>0</v>
      </c>
      <c r="K30" s="43">
        <f>K29*'R&amp;S - Packaging and hh goods'!$D$7*('R&amp;S - Packaging and hh goods'!$F$14*'R&amp;S - Packaging and hh goods'!$U$19*(K$3-$D$3)/10)</f>
        <v>0</v>
      </c>
      <c r="L30" s="43">
        <f>L29*'R&amp;S - Packaging and hh goods'!$D$7*('R&amp;S - Packaging and hh goods'!$F$14*'R&amp;S - Packaging and hh goods'!$U$19*(L$3-$D$3)/10)</f>
        <v>0</v>
      </c>
      <c r="M30" s="43">
        <f>M29*'R&amp;S - Packaging and hh goods'!$D$7*('R&amp;S - Packaging and hh goods'!$F$14*'R&amp;S - Packaging and hh goods'!$U$19*(M$3-$D$3)/10)</f>
        <v>0</v>
      </c>
      <c r="N30" s="43">
        <f>N29*'R&amp;S - Packaging and hh goods'!$D$7*('R&amp;S - Packaging and hh goods'!$F$14*'R&amp;S - Packaging and hh goods'!$U$19*(N$3-$D$3)/10)</f>
        <v>0</v>
      </c>
      <c r="O30" s="43">
        <f>O29*('R&amp;S - Packaging and hh goods'!$D$7*'R&amp;S - Packaging and hh goods'!$F$14*('R&amp;S - Packaging and hh goods'!$U$19+('R&amp;S - Packaging and hh goods'!$U$20-'R&amp;S - Packaging and hh goods'!$U$19)*(O$3-$N$3)/10))</f>
        <v>0</v>
      </c>
      <c r="P30" s="43">
        <f>P29*('R&amp;S - Packaging and hh goods'!$D$7*'R&amp;S - Packaging and hh goods'!$F$14*('R&amp;S - Packaging and hh goods'!$U$19+('R&amp;S - Packaging and hh goods'!$U$20-'R&amp;S - Packaging and hh goods'!$U$19)*(P$3-$N$3)/10))</f>
        <v>0</v>
      </c>
      <c r="Q30" s="43">
        <f>Q29*('R&amp;S - Packaging and hh goods'!$D$7*'R&amp;S - Packaging and hh goods'!$F$14*('R&amp;S - Packaging and hh goods'!$U$19+('R&amp;S - Packaging and hh goods'!$U$20-'R&amp;S - Packaging and hh goods'!$U$19)*(Q$3-$N$3)/10))</f>
        <v>0</v>
      </c>
      <c r="R30" s="43">
        <f>R29*('R&amp;S - Packaging and hh goods'!$D$7*'R&amp;S - Packaging and hh goods'!$F$14*('R&amp;S - Packaging and hh goods'!$U$19+('R&amp;S - Packaging and hh goods'!$U$20-'R&amp;S - Packaging and hh goods'!$U$19)*(R$3-$N$3)/10))</f>
        <v>0</v>
      </c>
      <c r="S30" s="43">
        <f>S29*('R&amp;S - Packaging and hh goods'!$D$7*'R&amp;S - Packaging and hh goods'!$F$14*('R&amp;S - Packaging and hh goods'!$U$19+('R&amp;S - Packaging and hh goods'!$U$20-'R&amp;S - Packaging and hh goods'!$U$19)*(S$3-$N$3)/10))</f>
        <v>0</v>
      </c>
      <c r="T30" s="43">
        <f>T29*('R&amp;S - Packaging and hh goods'!$D$7*'R&amp;S - Packaging and hh goods'!$F$14*('R&amp;S - Packaging and hh goods'!$U$19+('R&amp;S - Packaging and hh goods'!$U$20-'R&amp;S - Packaging and hh goods'!$U$19)*(T$3-$N$3)/10))</f>
        <v>0</v>
      </c>
      <c r="U30" s="43">
        <f>U29*('R&amp;S - Packaging and hh goods'!$D$7*'R&amp;S - Packaging and hh goods'!$F$14*('R&amp;S - Packaging and hh goods'!$U$19+('R&amp;S - Packaging and hh goods'!$U$20-'R&amp;S - Packaging and hh goods'!$U$19)*(U$3-$N$3)/10))</f>
        <v>0</v>
      </c>
      <c r="V30" s="43">
        <f>V29*('R&amp;S - Packaging and hh goods'!$D$7*'R&amp;S - Packaging and hh goods'!$F$14*('R&amp;S - Packaging and hh goods'!$U$19+('R&amp;S - Packaging and hh goods'!$U$20-'R&amp;S - Packaging and hh goods'!$U$19)*(V$3-$N$3)/10))</f>
        <v>0</v>
      </c>
      <c r="W30" s="43">
        <f>W29*('R&amp;S - Packaging and hh goods'!$D$7*'R&amp;S - Packaging and hh goods'!$F$14*('R&amp;S - Packaging and hh goods'!$U$19+('R&amp;S - Packaging and hh goods'!$U$20-'R&amp;S - Packaging and hh goods'!$U$19)*(W$3-$N$3)/10))</f>
        <v>0</v>
      </c>
      <c r="X30" s="43">
        <f>X29*('R&amp;S - Packaging and hh goods'!$D$7*'R&amp;S - Packaging and hh goods'!$F$14*('R&amp;S - Packaging and hh goods'!$U$19+('R&amp;S - Packaging and hh goods'!$U$20-'R&amp;S - Packaging and hh goods'!$U$19)*(X$3-$N$3)/10))</f>
        <v>0</v>
      </c>
      <c r="Y30" s="43">
        <f>Y29*('R&amp;S - Packaging and hh goods'!$D$7*'R&amp;S - Packaging and hh goods'!$F$14*('R&amp;S - Packaging and hh goods'!$U$20+('R&amp;S - Packaging and hh goods'!$U$21-'R&amp;S - Packaging and hh goods'!$U$20)*(Y$3-$X$3)/10))</f>
        <v>0</v>
      </c>
      <c r="Z30" s="43">
        <f>Z29*('R&amp;S - Packaging and hh goods'!$D$7*'R&amp;S - Packaging and hh goods'!$F$14*('R&amp;S - Packaging and hh goods'!$U$20+('R&amp;S - Packaging and hh goods'!$U$21-'R&amp;S - Packaging and hh goods'!$U$20)*(Z$3-$X$3)/10))</f>
        <v>0</v>
      </c>
      <c r="AA30" s="43">
        <f>AA29*('R&amp;S - Packaging and hh goods'!$D$7*'R&amp;S - Packaging and hh goods'!$F$14*('R&amp;S - Packaging and hh goods'!$U$20+('R&amp;S - Packaging and hh goods'!$U$21-'R&amp;S - Packaging and hh goods'!$U$20)*(AA$3-$X$3)/10))</f>
        <v>0</v>
      </c>
      <c r="AB30" s="43">
        <f>AB29*('R&amp;S - Packaging and hh goods'!$D$7*'R&amp;S - Packaging and hh goods'!$F$14*('R&amp;S - Packaging and hh goods'!$U$20+('R&amp;S - Packaging and hh goods'!$U$21-'R&amp;S - Packaging and hh goods'!$U$20)*(AB$3-$X$3)/10))</f>
        <v>0</v>
      </c>
      <c r="AC30" s="43">
        <f>AC29*('R&amp;S - Packaging and hh goods'!$D$7*'R&amp;S - Packaging and hh goods'!$F$14*('R&amp;S - Packaging and hh goods'!$U$20+('R&amp;S - Packaging and hh goods'!$U$21-'R&amp;S - Packaging and hh goods'!$U$20)*(AC$3-$X$3)/10))</f>
        <v>0</v>
      </c>
      <c r="AD30" s="43">
        <f>AD29*('R&amp;S - Packaging and hh goods'!$D$7*'R&amp;S - Packaging and hh goods'!$F$14*('R&amp;S - Packaging and hh goods'!$U$20+('R&amp;S - Packaging and hh goods'!$U$21-'R&amp;S - Packaging and hh goods'!$U$20)*(AD$3-$X$3)/10))</f>
        <v>0</v>
      </c>
      <c r="AE30" s="43">
        <f>AE29*('R&amp;S - Packaging and hh goods'!$D$7*'R&amp;S - Packaging and hh goods'!$F$14*('R&amp;S - Packaging and hh goods'!$U$20+('R&amp;S - Packaging and hh goods'!$U$21-'R&amp;S - Packaging and hh goods'!$U$20)*(AE$3-$X$3)/10))</f>
        <v>0</v>
      </c>
      <c r="AF30" s="43">
        <f>AF29*('R&amp;S - Packaging and hh goods'!$D$7*'R&amp;S - Packaging and hh goods'!$F$14*('R&amp;S - Packaging and hh goods'!$U$20+('R&amp;S - Packaging and hh goods'!$U$21-'R&amp;S - Packaging and hh goods'!$U$20)*(AF$3-$X$3)/10))</f>
        <v>0</v>
      </c>
      <c r="AG30" s="43">
        <f>AG29*('R&amp;S - Packaging and hh goods'!$D$7*'R&amp;S - Packaging and hh goods'!$F$14*('R&amp;S - Packaging and hh goods'!$U$20+('R&amp;S - Packaging and hh goods'!$U$21-'R&amp;S - Packaging and hh goods'!$U$20)*(AG$3-$X$3)/10))</f>
        <v>0</v>
      </c>
      <c r="AH30" s="43">
        <f>AH29*('R&amp;S - Packaging and hh goods'!$D$7*'R&amp;S - Packaging and hh goods'!$F$14*('R&amp;S - Packaging and hh goods'!$U$20+('R&amp;S - Packaging and hh goods'!$U$21-'R&amp;S - Packaging and hh goods'!$U$20)*(AH$3-$X$3)/10))</f>
        <v>0</v>
      </c>
      <c r="AJ30" s="43">
        <v>0</v>
      </c>
      <c r="AK30" s="43">
        <f>AK29*'R&amp;S - Packaging and hh goods'!$D$7*('R&amp;S - Packaging and hh goods'!$F$15*'R&amp;S - Packaging and hh goods'!$U$19*(AK$3-$D$3)/10)</f>
        <v>0</v>
      </c>
      <c r="AL30" s="43">
        <f>AL29*'R&amp;S - Packaging and hh goods'!$D$7*('R&amp;S - Packaging and hh goods'!$F$15*'R&amp;S - Packaging and hh goods'!$U$19*(AL$3-$D$3)/10)</f>
        <v>0</v>
      </c>
      <c r="AM30" s="43">
        <f>AM29*'R&amp;S - Packaging and hh goods'!$D$7*('R&amp;S - Packaging and hh goods'!$F$15*'R&amp;S - Packaging and hh goods'!$U$19*(AM$3-$D$3)/10)</f>
        <v>0</v>
      </c>
      <c r="AN30" s="43">
        <f>AN29*'R&amp;S - Packaging and hh goods'!$D$7*('R&amp;S - Packaging and hh goods'!$F$15*'R&amp;S - Packaging and hh goods'!$U$19*(AN$3-$D$3)/10)</f>
        <v>0</v>
      </c>
      <c r="AO30" s="43">
        <f>AO29*'R&amp;S - Packaging and hh goods'!$D$7*('R&amp;S - Packaging and hh goods'!$F$15*'R&amp;S - Packaging and hh goods'!$U$19*(AO$3-$D$3)/10)</f>
        <v>0</v>
      </c>
      <c r="AP30" s="43">
        <f>AP29*'R&amp;S - Packaging and hh goods'!$D$7*('R&amp;S - Packaging and hh goods'!$F$15*'R&amp;S - Packaging and hh goods'!$U$19*(AP$3-$D$3)/10)</f>
        <v>0</v>
      </c>
      <c r="AQ30" s="43">
        <f>AQ29*'R&amp;S - Packaging and hh goods'!$D$7*('R&amp;S - Packaging and hh goods'!$F$15*'R&amp;S - Packaging and hh goods'!$U$19*(AQ$3-$D$3)/10)</f>
        <v>0</v>
      </c>
      <c r="AR30" s="43">
        <f>AR29*'R&amp;S - Packaging and hh goods'!$D$7*('R&amp;S - Packaging and hh goods'!$F$15*'R&amp;S - Packaging and hh goods'!$U$19*(AR$3-$D$3)/10)</f>
        <v>0</v>
      </c>
      <c r="AS30" s="43">
        <f>AS29*'R&amp;S - Packaging and hh goods'!$D$7*('R&amp;S - Packaging and hh goods'!$F$15*'R&amp;S - Packaging and hh goods'!$U$19*(AS$3-$D$3)/10)</f>
        <v>0</v>
      </c>
      <c r="AT30" s="43">
        <f>AT29*'R&amp;S - Packaging and hh goods'!$D$7*('R&amp;S - Packaging and hh goods'!$F$15*'R&amp;S - Packaging and hh goods'!$U$19*(AT$3-$D$3)/10)</f>
        <v>0</v>
      </c>
      <c r="AU30" s="43">
        <f>AU29*('R&amp;S - Packaging and hh goods'!$D$7*'R&amp;S - Packaging and hh goods'!$F$15*('R&amp;S - Packaging and hh goods'!$U$19+('R&amp;S - Packaging and hh goods'!$U$20-'R&amp;S - Packaging and hh goods'!$U$19)*(AU$3-$N$3)/10))</f>
        <v>0</v>
      </c>
      <c r="AV30" s="43">
        <f>AV29*('R&amp;S - Packaging and hh goods'!$D$7*'R&amp;S - Packaging and hh goods'!$F$15*('R&amp;S - Packaging and hh goods'!$U$19+('R&amp;S - Packaging and hh goods'!$U$20-'R&amp;S - Packaging and hh goods'!$U$19)*(AV$3-$N$3)/10))</f>
        <v>0</v>
      </c>
      <c r="AW30" s="43">
        <f>AW29*('R&amp;S - Packaging and hh goods'!$D$7*'R&amp;S - Packaging and hh goods'!$F$15*('R&amp;S - Packaging and hh goods'!$U$19+('R&amp;S - Packaging and hh goods'!$U$20-'R&amp;S - Packaging and hh goods'!$U$19)*(AW$3-$N$3)/10))</f>
        <v>0</v>
      </c>
      <c r="AX30" s="43">
        <f>AX29*('R&amp;S - Packaging and hh goods'!$D$7*'R&amp;S - Packaging and hh goods'!$F$15*('R&amp;S - Packaging and hh goods'!$U$19+('R&amp;S - Packaging and hh goods'!$U$20-'R&amp;S - Packaging and hh goods'!$U$19)*(AX$3-$N$3)/10))</f>
        <v>0</v>
      </c>
      <c r="AY30" s="43">
        <f>AY29*('R&amp;S - Packaging and hh goods'!$D$7*'R&amp;S - Packaging and hh goods'!$F$15*('R&amp;S - Packaging and hh goods'!$U$19+('R&amp;S - Packaging and hh goods'!$U$20-'R&amp;S - Packaging and hh goods'!$U$19)*(AY$3-$N$3)/10))</f>
        <v>0</v>
      </c>
      <c r="AZ30" s="43">
        <f>AZ29*('R&amp;S - Packaging and hh goods'!$D$7*'R&amp;S - Packaging and hh goods'!$F$15*('R&amp;S - Packaging and hh goods'!$U$19+('R&amp;S - Packaging and hh goods'!$U$20-'R&amp;S - Packaging and hh goods'!$U$19)*(AZ$3-$N$3)/10))</f>
        <v>0</v>
      </c>
      <c r="BA30" s="43">
        <f>BA29*('R&amp;S - Packaging and hh goods'!$D$7*'R&amp;S - Packaging and hh goods'!$F$15*('R&amp;S - Packaging and hh goods'!$U$19+('R&amp;S - Packaging and hh goods'!$U$20-'R&amp;S - Packaging and hh goods'!$U$19)*(BA$3-$N$3)/10))</f>
        <v>0</v>
      </c>
      <c r="BB30" s="43">
        <f>BB29*('R&amp;S - Packaging and hh goods'!$D$7*'R&amp;S - Packaging and hh goods'!$F$15*('R&amp;S - Packaging and hh goods'!$U$19+('R&amp;S - Packaging and hh goods'!$U$20-'R&amp;S - Packaging and hh goods'!$U$19)*(BB$3-$N$3)/10))</f>
        <v>0</v>
      </c>
      <c r="BC30" s="43">
        <f>BC29*('R&amp;S - Packaging and hh goods'!$D$7*'R&amp;S - Packaging and hh goods'!$F$15*('R&amp;S - Packaging and hh goods'!$U$19+('R&amp;S - Packaging and hh goods'!$U$20-'R&amp;S - Packaging and hh goods'!$U$19)*(BC$3-$N$3)/10))</f>
        <v>0</v>
      </c>
      <c r="BD30" s="43">
        <f>BD29*('R&amp;S - Packaging and hh goods'!$D$7*'R&amp;S - Packaging and hh goods'!$F$15*('R&amp;S - Packaging and hh goods'!$U$19+('R&amp;S - Packaging and hh goods'!$U$20-'R&amp;S - Packaging and hh goods'!$U$19)*(BD$3-$N$3)/10))</f>
        <v>0</v>
      </c>
      <c r="BE30" s="43">
        <f>BE29*('R&amp;S - Packaging and hh goods'!$D$7*'R&amp;S - Packaging and hh goods'!$F$15*('R&amp;S - Packaging and hh goods'!$U$20+('R&amp;S - Packaging and hh goods'!$U$21-'R&amp;S - Packaging and hh goods'!$U$20)*(BE$3-$X$3)/10))</f>
        <v>0</v>
      </c>
      <c r="BF30" s="43">
        <f>BF29*('R&amp;S - Packaging and hh goods'!$D$7*'R&amp;S - Packaging and hh goods'!$F$15*('R&amp;S - Packaging and hh goods'!$U$20+('R&amp;S - Packaging and hh goods'!$U$21-'R&amp;S - Packaging and hh goods'!$U$20)*(BF$3-$X$3)/10))</f>
        <v>0</v>
      </c>
      <c r="BG30" s="43">
        <f>BG29*('R&amp;S - Packaging and hh goods'!$D$7*'R&amp;S - Packaging and hh goods'!$F$15*('R&amp;S - Packaging and hh goods'!$U$20+('R&amp;S - Packaging and hh goods'!$U$21-'R&amp;S - Packaging and hh goods'!$U$20)*(BG$3-$X$3)/10))</f>
        <v>0</v>
      </c>
      <c r="BH30" s="43">
        <f>BH29*('R&amp;S - Packaging and hh goods'!$D$7*'R&amp;S - Packaging and hh goods'!$F$15*('R&amp;S - Packaging and hh goods'!$U$20+('R&amp;S - Packaging and hh goods'!$U$21-'R&amp;S - Packaging and hh goods'!$U$20)*(BH$3-$X$3)/10))</f>
        <v>0</v>
      </c>
      <c r="BI30" s="43">
        <f>BI29*('R&amp;S - Packaging and hh goods'!$D$7*'R&amp;S - Packaging and hh goods'!$F$15*('R&amp;S - Packaging and hh goods'!$U$20+('R&amp;S - Packaging and hh goods'!$U$21-'R&amp;S - Packaging and hh goods'!$U$20)*(BI$3-$X$3)/10))</f>
        <v>0</v>
      </c>
      <c r="BJ30" s="43">
        <f>BJ29*('R&amp;S - Packaging and hh goods'!$D$7*'R&amp;S - Packaging and hh goods'!$F$15*('R&amp;S - Packaging and hh goods'!$U$20+('R&amp;S - Packaging and hh goods'!$U$21-'R&amp;S - Packaging and hh goods'!$U$20)*(BJ$3-$X$3)/10))</f>
        <v>0</v>
      </c>
      <c r="BK30" s="43">
        <f>BK29*('R&amp;S - Packaging and hh goods'!$D$7*'R&amp;S - Packaging and hh goods'!$F$15*('R&amp;S - Packaging and hh goods'!$U$20+('R&amp;S - Packaging and hh goods'!$U$21-'R&amp;S - Packaging and hh goods'!$U$20)*(BK$3-$X$3)/10))</f>
        <v>0</v>
      </c>
      <c r="BL30" s="43">
        <f>BL29*('R&amp;S - Packaging and hh goods'!$D$7*'R&amp;S - Packaging and hh goods'!$F$15*('R&amp;S - Packaging and hh goods'!$U$20+('R&amp;S - Packaging and hh goods'!$U$21-'R&amp;S - Packaging and hh goods'!$U$20)*(BL$3-$X$3)/10))</f>
        <v>0</v>
      </c>
      <c r="BM30" s="43">
        <f>BM29*('R&amp;S - Packaging and hh goods'!$D$7*'R&amp;S - Packaging and hh goods'!$F$15*('R&amp;S - Packaging and hh goods'!$U$20+('R&amp;S - Packaging and hh goods'!$U$21-'R&amp;S - Packaging and hh goods'!$U$20)*(BM$3-$X$3)/10))</f>
        <v>0</v>
      </c>
      <c r="BN30" s="43">
        <f>BN29*('R&amp;S - Packaging and hh goods'!$D$7*'R&amp;S - Packaging and hh goods'!$F$15*('R&amp;S - Packaging and hh goods'!$U$20+('R&amp;S - Packaging and hh goods'!$U$21-'R&amp;S - Packaging and hh goods'!$U$20)*(BN$3-$X$3)/10))</f>
        <v>0</v>
      </c>
    </row>
    <row r="31" spans="1:87">
      <c r="B31" s="61" t="s">
        <v>200</v>
      </c>
      <c r="C31" s="54" t="s">
        <v>153</v>
      </c>
      <c r="D31" s="43">
        <v>0</v>
      </c>
      <c r="E31" s="43">
        <f>E29*'R&amp;S - Packaging and hh goods'!$D$8*('R&amp;S - Packaging and hh goods'!$F$14*'R&amp;S - Packaging and hh goods'!$V$19*(E$3-$D$3)/10)</f>
        <v>0</v>
      </c>
      <c r="F31" s="43">
        <f>F29*'R&amp;S - Packaging and hh goods'!$D$8*('R&amp;S - Packaging and hh goods'!$F$14*'R&amp;S - Packaging and hh goods'!$V$19*('Yearly Methanol'!F$3-'Yearly Methanol'!$D$3)/10)</f>
        <v>0</v>
      </c>
      <c r="G31" s="43">
        <f>G29*'R&amp;S - Packaging and hh goods'!$D$8*('R&amp;S - Packaging and hh goods'!$F$14*'R&amp;S - Packaging and hh goods'!$V$19*('Yearly Methanol'!G$3-'Yearly Methanol'!$D$3)/10)</f>
        <v>0</v>
      </c>
      <c r="H31" s="43">
        <f>H29*'R&amp;S - Packaging and hh goods'!$D$8*('R&amp;S - Packaging and hh goods'!$F$14*'R&amp;S - Packaging and hh goods'!$V$19*('Yearly Methanol'!H$3-'Yearly Methanol'!$D$3)/10)</f>
        <v>0</v>
      </c>
      <c r="I31" s="43">
        <f>I29*'R&amp;S - Packaging and hh goods'!$D$8*('R&amp;S - Packaging and hh goods'!$F$14*'R&amp;S - Packaging and hh goods'!$V$19*('Yearly Methanol'!I$3-'Yearly Methanol'!$D$3)/10)</f>
        <v>0</v>
      </c>
      <c r="J31" s="43">
        <f>J29*'R&amp;S - Packaging and hh goods'!$D$8*('R&amp;S - Packaging and hh goods'!$F$14*'R&amp;S - Packaging and hh goods'!$V$19*('Yearly Methanol'!J$3-'Yearly Methanol'!$D$3)/10)</f>
        <v>0</v>
      </c>
      <c r="K31" s="43">
        <f>K29*'R&amp;S - Packaging and hh goods'!$D$8*('R&amp;S - Packaging and hh goods'!$F$14*'R&amp;S - Packaging and hh goods'!$V$19*('Yearly Methanol'!K$3-'Yearly Methanol'!$D$3)/10)</f>
        <v>0</v>
      </c>
      <c r="L31" s="43">
        <f>L29*'R&amp;S - Packaging and hh goods'!$D$8*('R&amp;S - Packaging and hh goods'!$F$14*'R&amp;S - Packaging and hh goods'!$V$19*('Yearly Methanol'!L$3-'Yearly Methanol'!$D$3)/10)</f>
        <v>0</v>
      </c>
      <c r="M31" s="43">
        <f>M29*'R&amp;S - Packaging and hh goods'!$D$8*('R&amp;S - Packaging and hh goods'!$F$14*'R&amp;S - Packaging and hh goods'!$V$19*('Yearly Methanol'!M$3-'Yearly Methanol'!$D$3)/10)</f>
        <v>0</v>
      </c>
      <c r="N31" s="43">
        <f>N29*'R&amp;S - Packaging and hh goods'!$D$8*('R&amp;S - Packaging and hh goods'!$F$14*'R&amp;S - Packaging and hh goods'!$V$19*('Yearly Methanol'!N$3-'Yearly Methanol'!$D$3)/10)</f>
        <v>0</v>
      </c>
      <c r="O31" s="43">
        <f>O29*'R&amp;S - Packaging and hh goods'!$D$8*'R&amp;S - Packaging and hh goods'!$F$14*('R&amp;S - Packaging and hh goods'!$V$19+('R&amp;S - Packaging and hh goods'!$V$20-'R&amp;S - Packaging and hh goods'!$V$19)*(O$3-$N$3)/10)</f>
        <v>0</v>
      </c>
      <c r="P31" s="43">
        <f>P29*'R&amp;S - Packaging and hh goods'!$D$8*'R&amp;S - Packaging and hh goods'!$F$14*('R&amp;S - Packaging and hh goods'!$V$19+('R&amp;S - Packaging and hh goods'!$V$20-'R&amp;S - Packaging and hh goods'!$V$19)*(P$3-$N$3)/10)</f>
        <v>0</v>
      </c>
      <c r="Q31" s="43">
        <f>Q29*'R&amp;S - Packaging and hh goods'!$D$8*'R&amp;S - Packaging and hh goods'!$F$14*('R&amp;S - Packaging and hh goods'!$V$19+('R&amp;S - Packaging and hh goods'!$V$20-'R&amp;S - Packaging and hh goods'!$V$19)*(Q$3-$N$3)/10)</f>
        <v>0</v>
      </c>
      <c r="R31" s="43">
        <f>R29*'R&amp;S - Packaging and hh goods'!$D$8*'R&amp;S - Packaging and hh goods'!$F$14*('R&amp;S - Packaging and hh goods'!$V$19+('R&amp;S - Packaging and hh goods'!$V$20-'R&amp;S - Packaging and hh goods'!$V$19)*(R$3-$N$3)/10)</f>
        <v>0</v>
      </c>
      <c r="S31" s="43">
        <f>S29*'R&amp;S - Packaging and hh goods'!$D$8*'R&amp;S - Packaging and hh goods'!$F$14*('R&amp;S - Packaging and hh goods'!$V$19+('R&amp;S - Packaging and hh goods'!$V$20-'R&amp;S - Packaging and hh goods'!$V$19)*(S$3-$N$3)/10)</f>
        <v>0</v>
      </c>
      <c r="T31" s="43">
        <f>T29*'R&amp;S - Packaging and hh goods'!$D$8*'R&amp;S - Packaging and hh goods'!$F$14*('R&amp;S - Packaging and hh goods'!$V$19+('R&amp;S - Packaging and hh goods'!$V$20-'R&amp;S - Packaging and hh goods'!$V$19)*(T$3-$N$3)/10)</f>
        <v>0</v>
      </c>
      <c r="U31" s="43">
        <f>U29*'R&amp;S - Packaging and hh goods'!$D$8*'R&amp;S - Packaging and hh goods'!$F$14*('R&amp;S - Packaging and hh goods'!$V$19+('R&amp;S - Packaging and hh goods'!$V$20-'R&amp;S - Packaging and hh goods'!$V$19)*(U$3-$N$3)/10)</f>
        <v>0</v>
      </c>
      <c r="V31" s="43">
        <f>V29*'R&amp;S - Packaging and hh goods'!$D$8*'R&amp;S - Packaging and hh goods'!$F$14*('R&amp;S - Packaging and hh goods'!$V$19+('R&amp;S - Packaging and hh goods'!$V$20-'R&amp;S - Packaging and hh goods'!$V$19)*(V$3-$N$3)/10)</f>
        <v>0</v>
      </c>
      <c r="W31" s="43">
        <f>W29*'R&amp;S - Packaging and hh goods'!$D$8*'R&amp;S - Packaging and hh goods'!$F$14*('R&amp;S - Packaging and hh goods'!$V$19+('R&amp;S - Packaging and hh goods'!$V$20-'R&amp;S - Packaging and hh goods'!$V$19)*(W$3-$N$3)/10)</f>
        <v>0</v>
      </c>
      <c r="X31" s="43">
        <f>X29*'R&amp;S - Packaging and hh goods'!$D$8*'R&amp;S - Packaging and hh goods'!$F$14*('R&amp;S - Packaging and hh goods'!$V$19+('R&amp;S - Packaging and hh goods'!$V$20-'R&amp;S - Packaging and hh goods'!$V$19)*(X$3-$N$3)/10)</f>
        <v>0</v>
      </c>
      <c r="Y31" s="43">
        <f>Y29*'R&amp;S - Packaging and hh goods'!$D$8*'R&amp;S - Packaging and hh goods'!$F$14*('R&amp;S - Packaging and hh goods'!$V$20+('R&amp;S - Packaging and hh goods'!$V$21-'R&amp;S - Packaging and hh goods'!$V$20)*(Y$3-$X$3)/10)</f>
        <v>0</v>
      </c>
      <c r="Z31" s="43">
        <f>Z29*'R&amp;S - Packaging and hh goods'!$D$8*'R&amp;S - Packaging and hh goods'!$F$14*('R&amp;S - Packaging and hh goods'!$V$20+('R&amp;S - Packaging and hh goods'!$V$21-'R&amp;S - Packaging and hh goods'!$V$20)*(Z$3-$X$3)/10)</f>
        <v>0</v>
      </c>
      <c r="AA31" s="43">
        <f>AA29*'R&amp;S - Packaging and hh goods'!$D$8*'R&amp;S - Packaging and hh goods'!$F$14*('R&amp;S - Packaging and hh goods'!$V$20+('R&amp;S - Packaging and hh goods'!$V$21-'R&amp;S - Packaging and hh goods'!$V$20)*(AA$3-$X$3)/10)</f>
        <v>0</v>
      </c>
      <c r="AB31" s="43">
        <f>AB29*'R&amp;S - Packaging and hh goods'!$D$8*'R&amp;S - Packaging and hh goods'!$F$14*('R&amp;S - Packaging and hh goods'!$V$20+('R&amp;S - Packaging and hh goods'!$V$21-'R&amp;S - Packaging and hh goods'!$V$20)*(AB$3-$X$3)/10)</f>
        <v>0</v>
      </c>
      <c r="AC31" s="43">
        <f>AC29*'R&amp;S - Packaging and hh goods'!$D$8*'R&amp;S - Packaging and hh goods'!$F$14*('R&amp;S - Packaging and hh goods'!$V$20+('R&amp;S - Packaging and hh goods'!$V$21-'R&amp;S - Packaging and hh goods'!$V$20)*(AC$3-$X$3)/10)</f>
        <v>0</v>
      </c>
      <c r="AD31" s="43">
        <f>AD29*'R&amp;S - Packaging and hh goods'!$D$8*'R&amp;S - Packaging and hh goods'!$F$14*('R&amp;S - Packaging and hh goods'!$V$20+('R&amp;S - Packaging and hh goods'!$V$21-'R&amp;S - Packaging and hh goods'!$V$20)*(AD$3-$X$3)/10)</f>
        <v>0</v>
      </c>
      <c r="AE31" s="43">
        <f>AE29*'R&amp;S - Packaging and hh goods'!$D$8*'R&amp;S - Packaging and hh goods'!$F$14*('R&amp;S - Packaging and hh goods'!$V$20+('R&amp;S - Packaging and hh goods'!$V$21-'R&amp;S - Packaging and hh goods'!$V$20)*(AE$3-$X$3)/10)</f>
        <v>0</v>
      </c>
      <c r="AF31" s="43">
        <f>AF29*'R&amp;S - Packaging and hh goods'!$D$8*'R&amp;S - Packaging and hh goods'!$F$14*('R&amp;S - Packaging and hh goods'!$V$20+('R&amp;S - Packaging and hh goods'!$V$21-'R&amp;S - Packaging and hh goods'!$V$20)*(AF$3-$X$3)/10)</f>
        <v>0</v>
      </c>
      <c r="AG31" s="43">
        <f>AG29*'R&amp;S - Packaging and hh goods'!$D$8*'R&amp;S - Packaging and hh goods'!$F$14*('R&amp;S - Packaging and hh goods'!$V$20+('R&amp;S - Packaging and hh goods'!$V$21-'R&amp;S - Packaging and hh goods'!$V$20)*(AG$3-$X$3)/10)</f>
        <v>0</v>
      </c>
      <c r="AH31" s="43">
        <f>AH29*'R&amp;S - Packaging and hh goods'!$D$8*'R&amp;S - Packaging and hh goods'!$F$14*('R&amp;S - Packaging and hh goods'!$V$20+('R&amp;S - Packaging and hh goods'!$V$21-'R&amp;S - Packaging and hh goods'!$V$20)*(AH$3-$X$3)/10)</f>
        <v>0</v>
      </c>
      <c r="AJ31" s="43">
        <v>0</v>
      </c>
      <c r="AK31" s="43">
        <f>AK29*'R&amp;S - Packaging and hh goods'!$D$8*('R&amp;S - Packaging and hh goods'!$F$15*'R&amp;S - Packaging and hh goods'!$V$19*(AK$3-$D$3)/10)</f>
        <v>0</v>
      </c>
      <c r="AL31" s="43">
        <f>AL29*'R&amp;S - Packaging and hh goods'!$D$8*('R&amp;S - Packaging and hh goods'!$F$15*'R&amp;S - Packaging and hh goods'!$V$19*('Yearly Methanol'!AL$3-'Yearly Methanol'!$D$3)/10)</f>
        <v>0</v>
      </c>
      <c r="AM31" s="43">
        <f>AM29*'R&amp;S - Packaging and hh goods'!$D$8*('R&amp;S - Packaging and hh goods'!$F$15*'R&amp;S - Packaging and hh goods'!$V$19*('Yearly Methanol'!AM$3-'Yearly Methanol'!$D$3)/10)</f>
        <v>0</v>
      </c>
      <c r="AN31" s="43">
        <f>AN29*'R&amp;S - Packaging and hh goods'!$D$8*('R&amp;S - Packaging and hh goods'!$F$15*'R&amp;S - Packaging and hh goods'!$V$19*('Yearly Methanol'!AN$3-'Yearly Methanol'!$D$3)/10)</f>
        <v>0</v>
      </c>
      <c r="AO31" s="43">
        <f>AO29*'R&amp;S - Packaging and hh goods'!$D$8*('R&amp;S - Packaging and hh goods'!$F$15*'R&amp;S - Packaging and hh goods'!$V$19*('Yearly Methanol'!AO$3-'Yearly Methanol'!$D$3)/10)</f>
        <v>0</v>
      </c>
      <c r="AP31" s="43">
        <f>AP29*'R&amp;S - Packaging and hh goods'!$D$8*('R&amp;S - Packaging and hh goods'!$F$15*'R&amp;S - Packaging and hh goods'!$V$19*('Yearly Methanol'!AP$3-'Yearly Methanol'!$D$3)/10)</f>
        <v>0</v>
      </c>
      <c r="AQ31" s="43">
        <f>AQ29*'R&amp;S - Packaging and hh goods'!$D$8*('R&amp;S - Packaging and hh goods'!$F$15*'R&amp;S - Packaging and hh goods'!$V$19*('Yearly Methanol'!AQ$3-'Yearly Methanol'!$D$3)/10)</f>
        <v>0</v>
      </c>
      <c r="AR31" s="43">
        <f>AR29*'R&amp;S - Packaging and hh goods'!$D$8*('R&amp;S - Packaging and hh goods'!$F$15*'R&amp;S - Packaging and hh goods'!$V$19*('Yearly Methanol'!AR$3-'Yearly Methanol'!$D$3)/10)</f>
        <v>0</v>
      </c>
      <c r="AS31" s="43">
        <f>AS29*'R&amp;S - Packaging and hh goods'!$D$8*('R&amp;S - Packaging and hh goods'!$F$15*'R&amp;S - Packaging and hh goods'!$V$19*('Yearly Methanol'!AS$3-'Yearly Methanol'!$D$3)/10)</f>
        <v>0</v>
      </c>
      <c r="AT31" s="43">
        <f>AT29*'R&amp;S - Packaging and hh goods'!$D$8*('R&amp;S - Packaging and hh goods'!$F$15*'R&amp;S - Packaging and hh goods'!$V$19*('Yearly Methanol'!AT$3-'Yearly Methanol'!$D$3)/10)</f>
        <v>0</v>
      </c>
      <c r="AU31" s="43">
        <f>AU29*'R&amp;S - Packaging and hh goods'!$D$8*'R&amp;S - Packaging and hh goods'!$F$15*('R&amp;S - Packaging and hh goods'!$V$19+('R&amp;S - Packaging and hh goods'!$V$20-'R&amp;S - Packaging and hh goods'!$V$19)*(AU$3-$N$3)/10)</f>
        <v>0</v>
      </c>
      <c r="AV31" s="43">
        <f>AV29*'R&amp;S - Packaging and hh goods'!$D$8*'R&amp;S - Packaging and hh goods'!$F$15*('R&amp;S - Packaging and hh goods'!$V$19+('R&amp;S - Packaging and hh goods'!$V$20-'R&amp;S - Packaging and hh goods'!$V$19)*(AV$3-$N$3)/10)</f>
        <v>0</v>
      </c>
      <c r="AW31" s="43">
        <f>AW29*'R&amp;S - Packaging and hh goods'!$D$8*'R&amp;S - Packaging and hh goods'!$F$15*('R&amp;S - Packaging and hh goods'!$V$19+('R&amp;S - Packaging and hh goods'!$V$20-'R&amp;S - Packaging and hh goods'!$V$19)*(AW$3-$N$3)/10)</f>
        <v>0</v>
      </c>
      <c r="AX31" s="43">
        <f>AX29*'R&amp;S - Packaging and hh goods'!$D$8*'R&amp;S - Packaging and hh goods'!$F$15*('R&amp;S - Packaging and hh goods'!$V$19+('R&amp;S - Packaging and hh goods'!$V$20-'R&amp;S - Packaging and hh goods'!$V$19)*(AX$3-$N$3)/10)</f>
        <v>0</v>
      </c>
      <c r="AY31" s="43">
        <f>AY29*'R&amp;S - Packaging and hh goods'!$D$8*'R&amp;S - Packaging and hh goods'!$F$15*('R&amp;S - Packaging and hh goods'!$V$19+('R&amp;S - Packaging and hh goods'!$V$20-'R&amp;S - Packaging and hh goods'!$V$19)*(AY$3-$N$3)/10)</f>
        <v>0</v>
      </c>
      <c r="AZ31" s="43">
        <f>AZ29*'R&amp;S - Packaging and hh goods'!$D$8*'R&amp;S - Packaging and hh goods'!$F$15*('R&amp;S - Packaging and hh goods'!$V$19+('R&amp;S - Packaging and hh goods'!$V$20-'R&amp;S - Packaging and hh goods'!$V$19)*(AZ$3-$N$3)/10)</f>
        <v>0</v>
      </c>
      <c r="BA31" s="43">
        <f>BA29*'R&amp;S - Packaging and hh goods'!$D$8*'R&amp;S - Packaging and hh goods'!$F$15*('R&amp;S - Packaging and hh goods'!$V$19+('R&amp;S - Packaging and hh goods'!$V$20-'R&amp;S - Packaging and hh goods'!$V$19)*(BA$3-$N$3)/10)</f>
        <v>0</v>
      </c>
      <c r="BB31" s="43">
        <f>BB29*'R&amp;S - Packaging and hh goods'!$D$8*'R&amp;S - Packaging and hh goods'!$F$15*('R&amp;S - Packaging and hh goods'!$V$19+('R&amp;S - Packaging and hh goods'!$V$20-'R&amp;S - Packaging and hh goods'!$V$19)*(BB$3-$N$3)/10)</f>
        <v>0</v>
      </c>
      <c r="BC31" s="43">
        <f>BC29*'R&amp;S - Packaging and hh goods'!$D$8*'R&amp;S - Packaging and hh goods'!$F$15*('R&amp;S - Packaging and hh goods'!$V$19+('R&amp;S - Packaging and hh goods'!$V$20-'R&amp;S - Packaging and hh goods'!$V$19)*(BC$3-$N$3)/10)</f>
        <v>0</v>
      </c>
      <c r="BD31" s="43">
        <f>BD29*'R&amp;S - Packaging and hh goods'!$D$8*'R&amp;S - Packaging and hh goods'!$F$15*('R&amp;S - Packaging and hh goods'!$V$19+('R&amp;S - Packaging and hh goods'!$V$20-'R&amp;S - Packaging and hh goods'!$V$19)*(BD$3-$N$3)/10)</f>
        <v>0</v>
      </c>
      <c r="BE31" s="43">
        <f>BE29*'R&amp;S - Packaging and hh goods'!$D$8*'R&amp;S - Packaging and hh goods'!$F$15*('R&amp;S - Packaging and hh goods'!$V$20+('R&amp;S - Packaging and hh goods'!$V$21-'R&amp;S - Packaging and hh goods'!$V$20)*(BE$3-$X$3)/10)</f>
        <v>0</v>
      </c>
      <c r="BF31" s="43">
        <f>BF29*'R&amp;S - Packaging and hh goods'!$D$8*'R&amp;S - Packaging and hh goods'!$F$15*('R&amp;S - Packaging and hh goods'!$V$20+('R&amp;S - Packaging and hh goods'!$V$21-'R&amp;S - Packaging and hh goods'!$V$20)*(BF$3-$X$3)/10)</f>
        <v>0</v>
      </c>
      <c r="BG31" s="43">
        <f>BG29*'R&amp;S - Packaging and hh goods'!$D$8*'R&amp;S - Packaging and hh goods'!$F$15*('R&amp;S - Packaging and hh goods'!$V$20+('R&amp;S - Packaging and hh goods'!$V$21-'R&amp;S - Packaging and hh goods'!$V$20)*(BG$3-$X$3)/10)</f>
        <v>0</v>
      </c>
      <c r="BH31" s="43">
        <f>BH29*'R&amp;S - Packaging and hh goods'!$D$8*'R&amp;S - Packaging and hh goods'!$F$15*('R&amp;S - Packaging and hh goods'!$V$20+('R&amp;S - Packaging and hh goods'!$V$21-'R&amp;S - Packaging and hh goods'!$V$20)*(BH$3-$X$3)/10)</f>
        <v>0</v>
      </c>
      <c r="BI31" s="43">
        <f>BI29*'R&amp;S - Packaging and hh goods'!$D$8*'R&amp;S - Packaging and hh goods'!$F$15*('R&amp;S - Packaging and hh goods'!$V$20+('R&amp;S - Packaging and hh goods'!$V$21-'R&amp;S - Packaging and hh goods'!$V$20)*(BI$3-$X$3)/10)</f>
        <v>0</v>
      </c>
      <c r="BJ31" s="43">
        <f>BJ29*'R&amp;S - Packaging and hh goods'!$D$8*'R&amp;S - Packaging and hh goods'!$F$15*('R&amp;S - Packaging and hh goods'!$V$20+('R&amp;S - Packaging and hh goods'!$V$21-'R&amp;S - Packaging and hh goods'!$V$20)*(BJ$3-$X$3)/10)</f>
        <v>0</v>
      </c>
      <c r="BK31" s="43">
        <f>BK29*'R&amp;S - Packaging and hh goods'!$D$8*'R&amp;S - Packaging and hh goods'!$F$15*('R&amp;S - Packaging and hh goods'!$V$20+('R&amp;S - Packaging and hh goods'!$V$21-'R&amp;S - Packaging and hh goods'!$V$20)*(BK$3-$X$3)/10)</f>
        <v>0</v>
      </c>
      <c r="BL31" s="43">
        <f>BL29*'R&amp;S - Packaging and hh goods'!$D$8*'R&amp;S - Packaging and hh goods'!$F$15*('R&amp;S - Packaging and hh goods'!$V$20+('R&amp;S - Packaging and hh goods'!$V$21-'R&amp;S - Packaging and hh goods'!$V$20)*(BL$3-$X$3)/10)</f>
        <v>0</v>
      </c>
      <c r="BM31" s="43">
        <f>BM29*'R&amp;S - Packaging and hh goods'!$D$8*'R&amp;S - Packaging and hh goods'!$F$15*('R&amp;S - Packaging and hh goods'!$V$20+('R&amp;S - Packaging and hh goods'!$V$21-'R&amp;S - Packaging and hh goods'!$V$20)*(BM$3-$X$3)/10)</f>
        <v>0</v>
      </c>
      <c r="BN31" s="43">
        <f>BN29*'R&amp;S - Packaging and hh goods'!$D$8*'R&amp;S - Packaging and hh goods'!$F$15*('R&amp;S - Packaging and hh goods'!$V$20+('R&amp;S - Packaging and hh goods'!$V$21-'R&amp;S - Packaging and hh goods'!$V$20)*(BN$3-$X$3)/10)</f>
        <v>0</v>
      </c>
      <c r="BQ31" s="1" t="s">
        <v>201</v>
      </c>
      <c r="BR31" t="s">
        <v>179</v>
      </c>
      <c r="BS31" s="44">
        <f>D5</f>
        <v>31.201972235932139</v>
      </c>
      <c r="BU31" t="str" cm="1">
        <f t="array" ref="BU31:BW35">'Sankey Methanol_detailed'!Q21:S25</f>
        <v>Fuel</v>
      </c>
      <c r="BV31" s="44">
        <v>28.587862624213781</v>
      </c>
      <c r="BW31" s="2">
        <v>0.27471012342412782</v>
      </c>
    </row>
    <row r="32" spans="1:87">
      <c r="B32" s="1" t="s">
        <v>168</v>
      </c>
      <c r="C32" s="54" t="s">
        <v>153</v>
      </c>
      <c r="D32" s="43">
        <f>SUM(D30:D31)</f>
        <v>0</v>
      </c>
      <c r="E32" s="43">
        <f t="shared" ref="E32:Y32" si="267">SUM(E30:E31)</f>
        <v>0</v>
      </c>
      <c r="F32" s="43">
        <f t="shared" si="267"/>
        <v>0</v>
      </c>
      <c r="G32" s="43">
        <f t="shared" si="267"/>
        <v>0</v>
      </c>
      <c r="H32" s="43">
        <f t="shared" si="267"/>
        <v>0</v>
      </c>
      <c r="I32" s="43">
        <f t="shared" si="267"/>
        <v>0</v>
      </c>
      <c r="J32" s="43">
        <f t="shared" si="267"/>
        <v>0</v>
      </c>
      <c r="K32" s="43">
        <f t="shared" si="267"/>
        <v>0</v>
      </c>
      <c r="L32" s="43">
        <f t="shared" si="267"/>
        <v>0</v>
      </c>
      <c r="M32" s="43">
        <f t="shared" si="267"/>
        <v>0</v>
      </c>
      <c r="N32" s="43">
        <f t="shared" si="267"/>
        <v>0</v>
      </c>
      <c r="O32" s="43">
        <f t="shared" si="267"/>
        <v>0</v>
      </c>
      <c r="P32" s="43">
        <f t="shared" ref="P32:X32" si="268">SUM(P30:P31)</f>
        <v>0</v>
      </c>
      <c r="Q32" s="43">
        <f t="shared" si="268"/>
        <v>0</v>
      </c>
      <c r="R32" s="43">
        <f t="shared" si="268"/>
        <v>0</v>
      </c>
      <c r="S32" s="43">
        <f t="shared" si="268"/>
        <v>0</v>
      </c>
      <c r="T32" s="43">
        <f t="shared" si="268"/>
        <v>0</v>
      </c>
      <c r="U32" s="43">
        <f t="shared" si="268"/>
        <v>0</v>
      </c>
      <c r="V32" s="43">
        <f t="shared" si="268"/>
        <v>0</v>
      </c>
      <c r="W32" s="43">
        <f t="shared" si="268"/>
        <v>0</v>
      </c>
      <c r="X32" s="43">
        <f t="shared" si="268"/>
        <v>0</v>
      </c>
      <c r="Y32" s="43">
        <f t="shared" si="267"/>
        <v>0</v>
      </c>
      <c r="Z32" s="43">
        <f t="shared" ref="Z32:AH32" si="269">SUM(Z30:Z31)</f>
        <v>0</v>
      </c>
      <c r="AA32" s="43">
        <f t="shared" si="269"/>
        <v>0</v>
      </c>
      <c r="AB32" s="43">
        <f t="shared" si="269"/>
        <v>0</v>
      </c>
      <c r="AC32" s="43">
        <f t="shared" si="269"/>
        <v>0</v>
      </c>
      <c r="AD32" s="43">
        <f t="shared" si="269"/>
        <v>0</v>
      </c>
      <c r="AE32" s="43">
        <f t="shared" si="269"/>
        <v>0</v>
      </c>
      <c r="AF32" s="43">
        <f t="shared" si="269"/>
        <v>0</v>
      </c>
      <c r="AG32" s="43">
        <f t="shared" si="269"/>
        <v>0</v>
      </c>
      <c r="AH32" s="43">
        <f t="shared" si="269"/>
        <v>0</v>
      </c>
      <c r="AJ32" s="43">
        <f>SUM(AJ30:AJ31)</f>
        <v>0</v>
      </c>
      <c r="AK32" s="43">
        <f t="shared" ref="AK32:BN32" si="270">SUM(AK30:AK31)</f>
        <v>0</v>
      </c>
      <c r="AL32" s="43">
        <f t="shared" si="270"/>
        <v>0</v>
      </c>
      <c r="AM32" s="43">
        <f t="shared" si="270"/>
        <v>0</v>
      </c>
      <c r="AN32" s="43">
        <f t="shared" si="270"/>
        <v>0</v>
      </c>
      <c r="AO32" s="43">
        <f t="shared" si="270"/>
        <v>0</v>
      </c>
      <c r="AP32" s="43">
        <f t="shared" si="270"/>
        <v>0</v>
      </c>
      <c r="AQ32" s="43">
        <f t="shared" si="270"/>
        <v>0</v>
      </c>
      <c r="AR32" s="43">
        <f t="shared" si="270"/>
        <v>0</v>
      </c>
      <c r="AS32" s="43">
        <f t="shared" si="270"/>
        <v>0</v>
      </c>
      <c r="AT32" s="43">
        <f t="shared" si="270"/>
        <v>0</v>
      </c>
      <c r="AU32" s="43">
        <f t="shared" si="270"/>
        <v>0</v>
      </c>
      <c r="AV32" s="43">
        <f t="shared" si="270"/>
        <v>0</v>
      </c>
      <c r="AW32" s="43">
        <f t="shared" si="270"/>
        <v>0</v>
      </c>
      <c r="AX32" s="43">
        <f t="shared" si="270"/>
        <v>0</v>
      </c>
      <c r="AY32" s="43">
        <f t="shared" si="270"/>
        <v>0</v>
      </c>
      <c r="AZ32" s="43">
        <f t="shared" si="270"/>
        <v>0</v>
      </c>
      <c r="BA32" s="43">
        <f t="shared" si="270"/>
        <v>0</v>
      </c>
      <c r="BB32" s="43">
        <f t="shared" si="270"/>
        <v>0</v>
      </c>
      <c r="BC32" s="43">
        <f t="shared" si="270"/>
        <v>0</v>
      </c>
      <c r="BD32" s="43">
        <f t="shared" si="270"/>
        <v>0</v>
      </c>
      <c r="BE32" s="43">
        <f t="shared" si="270"/>
        <v>0</v>
      </c>
      <c r="BF32" s="43">
        <f t="shared" si="270"/>
        <v>0</v>
      </c>
      <c r="BG32" s="43">
        <f t="shared" si="270"/>
        <v>0</v>
      </c>
      <c r="BH32" s="43">
        <f t="shared" si="270"/>
        <v>0</v>
      </c>
      <c r="BI32" s="43">
        <f t="shared" si="270"/>
        <v>0</v>
      </c>
      <c r="BJ32" s="43">
        <f t="shared" si="270"/>
        <v>0</v>
      </c>
      <c r="BK32" s="43">
        <f t="shared" si="270"/>
        <v>0</v>
      </c>
      <c r="BL32" s="43">
        <f t="shared" si="270"/>
        <v>0</v>
      </c>
      <c r="BM32" s="43">
        <f t="shared" si="270"/>
        <v>0</v>
      </c>
      <c r="BN32" s="43">
        <f t="shared" si="270"/>
        <v>0</v>
      </c>
      <c r="BR32" t="s">
        <v>187</v>
      </c>
      <c r="BS32" s="44">
        <f>D11</f>
        <v>28.065001267929215</v>
      </c>
      <c r="BU32" t="str">
        <v>Major Polymers</v>
      </c>
      <c r="BV32" s="44">
        <v>28.851572700948026</v>
      </c>
      <c r="BW32" s="2">
        <v>0.27724419981452192</v>
      </c>
    </row>
    <row r="33" spans="1:75">
      <c r="B33" s="61" t="s">
        <v>202</v>
      </c>
      <c r="C33" s="54" t="s">
        <v>153</v>
      </c>
      <c r="D33" s="43">
        <v>0</v>
      </c>
      <c r="E33" s="43">
        <f>E29*'R&amp;S - Packaging and hh goods'!$D$9*('R&amp;S - Packaging and hh goods'!$G$14*'R&amp;S - Packaging and hh goods'!$W$19*(E$3-$D$3)/10)</f>
        <v>0</v>
      </c>
      <c r="F33" s="43">
        <f>F29*'R&amp;S - Packaging and hh goods'!$D$9*('R&amp;S - Packaging and hh goods'!$G$14*'R&amp;S - Packaging and hh goods'!$W$19*('Yearly Methanol'!F$3-'Yearly Methanol'!$D$3)/10)</f>
        <v>0</v>
      </c>
      <c r="G33" s="43">
        <f>G29*'R&amp;S - Packaging and hh goods'!$D$9*('R&amp;S - Packaging and hh goods'!$G$14*'R&amp;S - Packaging and hh goods'!$W$19*('Yearly Methanol'!G$3-'Yearly Methanol'!$D$3)/10)</f>
        <v>0</v>
      </c>
      <c r="H33" s="43">
        <f>H29*'R&amp;S - Packaging and hh goods'!$D$9*('R&amp;S - Packaging and hh goods'!$G$14*'R&amp;S - Packaging and hh goods'!$W$19*('Yearly Methanol'!H$3-'Yearly Methanol'!$D$3)/10)</f>
        <v>0</v>
      </c>
      <c r="I33" s="43">
        <f>I29*'R&amp;S - Packaging and hh goods'!$D$9*('R&amp;S - Packaging and hh goods'!$G$14*'R&amp;S - Packaging and hh goods'!$W$19*('Yearly Methanol'!I$3-'Yearly Methanol'!$D$3)/10)</f>
        <v>0</v>
      </c>
      <c r="J33" s="43">
        <f>J29*'R&amp;S - Packaging and hh goods'!$D$9*('R&amp;S - Packaging and hh goods'!$G$14*'R&amp;S - Packaging and hh goods'!$W$19*('Yearly Methanol'!J$3-'Yearly Methanol'!$D$3)/10)</f>
        <v>0</v>
      </c>
      <c r="K33" s="43">
        <f>K29*'R&amp;S - Packaging and hh goods'!$D$9*('R&amp;S - Packaging and hh goods'!$G$14*'R&amp;S - Packaging and hh goods'!$W$19*('Yearly Methanol'!K$3-'Yearly Methanol'!$D$3)/10)</f>
        <v>0</v>
      </c>
      <c r="L33" s="43">
        <f>L29*'R&amp;S - Packaging and hh goods'!$D$9*('R&amp;S - Packaging and hh goods'!$G$14*'R&amp;S - Packaging and hh goods'!$W$19*('Yearly Methanol'!L$3-'Yearly Methanol'!$D$3)/10)</f>
        <v>0</v>
      </c>
      <c r="M33" s="43">
        <f>M29*'R&amp;S - Packaging and hh goods'!$D$9*('R&amp;S - Packaging and hh goods'!$G$14*'R&amp;S - Packaging and hh goods'!$W$19*('Yearly Methanol'!M$3-'Yearly Methanol'!$D$3)/10)</f>
        <v>0</v>
      </c>
      <c r="N33" s="43">
        <f>N29*'R&amp;S - Packaging and hh goods'!$D$9*('R&amp;S - Packaging and hh goods'!$G$14*'R&amp;S - Packaging and hh goods'!$W$19*('Yearly Methanol'!N$3-'Yearly Methanol'!$D$3)/10)</f>
        <v>0</v>
      </c>
      <c r="O33" s="43">
        <f>O29*'R&amp;S - Packaging and hh goods'!$D$9*'R&amp;S - Packaging and hh goods'!$G$14*('R&amp;S - Packaging and hh goods'!$W$19+('R&amp;S - Packaging and hh goods'!$W$20-'R&amp;S - Packaging and hh goods'!$W$19)*('Yearly Methanol'!O$3-'Yearly Methanol'!$N$3)/10)</f>
        <v>0</v>
      </c>
      <c r="P33" s="43">
        <f>P29*'R&amp;S - Packaging and hh goods'!$D$9*'R&amp;S - Packaging and hh goods'!$G$14*('R&amp;S - Packaging and hh goods'!$W$19+('R&amp;S - Packaging and hh goods'!$W$20-'R&amp;S - Packaging and hh goods'!$W$19)*('Yearly Methanol'!P$3-'Yearly Methanol'!$N$3)/10)</f>
        <v>0</v>
      </c>
      <c r="Q33" s="43">
        <f>Q29*'R&amp;S - Packaging and hh goods'!$D$9*'R&amp;S - Packaging and hh goods'!$G$14*('R&amp;S - Packaging and hh goods'!$W$19+('R&amp;S - Packaging and hh goods'!$W$20-'R&amp;S - Packaging and hh goods'!$W$19)*('Yearly Methanol'!Q$3-'Yearly Methanol'!$N$3)/10)</f>
        <v>0</v>
      </c>
      <c r="R33" s="43">
        <f>R29*'R&amp;S - Packaging and hh goods'!$D$9*'R&amp;S - Packaging and hh goods'!$G$14*('R&amp;S - Packaging and hh goods'!$W$19+('R&amp;S - Packaging and hh goods'!$W$20-'R&amp;S - Packaging and hh goods'!$W$19)*('Yearly Methanol'!R$3-'Yearly Methanol'!$N$3)/10)</f>
        <v>0</v>
      </c>
      <c r="S33" s="43">
        <f>S29*'R&amp;S - Packaging and hh goods'!$D$9*'R&amp;S - Packaging and hh goods'!$G$14*('R&amp;S - Packaging and hh goods'!$W$19+('R&amp;S - Packaging and hh goods'!$W$20-'R&amp;S - Packaging and hh goods'!$W$19)*('Yearly Methanol'!S$3-'Yearly Methanol'!$N$3)/10)</f>
        <v>0</v>
      </c>
      <c r="T33" s="43">
        <f>T29*'R&amp;S - Packaging and hh goods'!$D$9*'R&amp;S - Packaging and hh goods'!$G$14*('R&amp;S - Packaging and hh goods'!$W$19+('R&amp;S - Packaging and hh goods'!$W$20-'R&amp;S - Packaging and hh goods'!$W$19)*('Yearly Methanol'!T$3-'Yearly Methanol'!$N$3)/10)</f>
        <v>0</v>
      </c>
      <c r="U33" s="43">
        <f>U29*'R&amp;S - Packaging and hh goods'!$D$9*'R&amp;S - Packaging and hh goods'!$G$14*('R&amp;S - Packaging and hh goods'!$W$19+('R&amp;S - Packaging and hh goods'!$W$20-'R&amp;S - Packaging and hh goods'!$W$19)*('Yearly Methanol'!U$3-'Yearly Methanol'!$N$3)/10)</f>
        <v>0</v>
      </c>
      <c r="V33" s="43">
        <f>V29*'R&amp;S - Packaging and hh goods'!$D$9*'R&amp;S - Packaging and hh goods'!$G$14*('R&amp;S - Packaging and hh goods'!$W$19+('R&amp;S - Packaging and hh goods'!$W$20-'R&amp;S - Packaging and hh goods'!$W$19)*('Yearly Methanol'!V$3-'Yearly Methanol'!$N$3)/10)</f>
        <v>0</v>
      </c>
      <c r="W33" s="43">
        <f>W29*'R&amp;S - Packaging and hh goods'!$D$9*'R&amp;S - Packaging and hh goods'!$G$14*('R&amp;S - Packaging and hh goods'!$W$19+('R&amp;S - Packaging and hh goods'!$W$20-'R&amp;S - Packaging and hh goods'!$W$19)*('Yearly Methanol'!W$3-'Yearly Methanol'!$N$3)/10)</f>
        <v>0</v>
      </c>
      <c r="X33" s="43">
        <f>X29*'R&amp;S - Packaging and hh goods'!$D$9*'R&amp;S - Packaging and hh goods'!$G$14*('R&amp;S - Packaging and hh goods'!$W$19+('R&amp;S - Packaging and hh goods'!$W$20-'R&amp;S - Packaging and hh goods'!$W$19)*('Yearly Methanol'!X$3-'Yearly Methanol'!$N$3)/10)</f>
        <v>0</v>
      </c>
      <c r="Y33" s="43">
        <f>Y29*'R&amp;S - Packaging and hh goods'!$D$9*'R&amp;S - Packaging and hh goods'!$G$14*('R&amp;S - Packaging and hh goods'!$W$20+('R&amp;S - Packaging and hh goods'!$W$21-'R&amp;S - Packaging and hh goods'!$W$20)*('Yearly Methanol'!Y$3-'Yearly Methanol'!$X$3)/10)</f>
        <v>0</v>
      </c>
      <c r="Z33" s="43">
        <f>Z29*'R&amp;S - Packaging and hh goods'!$D$9*'R&amp;S - Packaging and hh goods'!$G$14*('R&amp;S - Packaging and hh goods'!$W$20+('R&amp;S - Packaging and hh goods'!$W$21-'R&amp;S - Packaging and hh goods'!$W$20)*('Yearly Methanol'!Z$3-'Yearly Methanol'!$X$3)/10)</f>
        <v>0</v>
      </c>
      <c r="AA33" s="43">
        <f>AA29*'R&amp;S - Packaging and hh goods'!$D$9*'R&amp;S - Packaging and hh goods'!$G$14*('R&amp;S - Packaging and hh goods'!$W$20+('R&amp;S - Packaging and hh goods'!$W$21-'R&amp;S - Packaging and hh goods'!$W$20)*('Yearly Methanol'!AA$3-'Yearly Methanol'!$X$3)/10)</f>
        <v>0</v>
      </c>
      <c r="AB33" s="43">
        <f>AB29*'R&amp;S - Packaging and hh goods'!$D$9*'R&amp;S - Packaging and hh goods'!$G$14*('R&amp;S - Packaging and hh goods'!$W$20+('R&amp;S - Packaging and hh goods'!$W$21-'R&amp;S - Packaging and hh goods'!$W$20)*('Yearly Methanol'!AB$3-'Yearly Methanol'!$X$3)/10)</f>
        <v>0</v>
      </c>
      <c r="AC33" s="43">
        <f>AC29*'R&amp;S - Packaging and hh goods'!$D$9*'R&amp;S - Packaging and hh goods'!$G$14*('R&amp;S - Packaging and hh goods'!$W$20+('R&amp;S - Packaging and hh goods'!$W$21-'R&amp;S - Packaging and hh goods'!$W$20)*('Yearly Methanol'!AC$3-'Yearly Methanol'!$X$3)/10)</f>
        <v>0</v>
      </c>
      <c r="AD33" s="43">
        <f>AD29*'R&amp;S - Packaging and hh goods'!$D$9*'R&amp;S - Packaging and hh goods'!$G$14*('R&amp;S - Packaging and hh goods'!$W$20+('R&amp;S - Packaging and hh goods'!$W$21-'R&amp;S - Packaging and hh goods'!$W$20)*('Yearly Methanol'!AD$3-'Yearly Methanol'!$X$3)/10)</f>
        <v>0</v>
      </c>
      <c r="AE33" s="43">
        <f>AE29*'R&amp;S - Packaging and hh goods'!$D$9*'R&amp;S - Packaging and hh goods'!$G$14*('R&amp;S - Packaging and hh goods'!$W$20+('R&amp;S - Packaging and hh goods'!$W$21-'R&amp;S - Packaging and hh goods'!$W$20)*('Yearly Methanol'!AE$3-'Yearly Methanol'!$X$3)/10)</f>
        <v>0</v>
      </c>
      <c r="AF33" s="43">
        <f>AF29*'R&amp;S - Packaging and hh goods'!$D$9*'R&amp;S - Packaging and hh goods'!$G$14*('R&amp;S - Packaging and hh goods'!$W$20+('R&amp;S - Packaging and hh goods'!$W$21-'R&amp;S - Packaging and hh goods'!$W$20)*('Yearly Methanol'!AF$3-'Yearly Methanol'!$X$3)/10)</f>
        <v>0</v>
      </c>
      <c r="AG33" s="43">
        <f>AG29*'R&amp;S - Packaging and hh goods'!$D$9*'R&amp;S - Packaging and hh goods'!$G$14*('R&amp;S - Packaging and hh goods'!$W$20+('R&amp;S - Packaging and hh goods'!$W$21-'R&amp;S - Packaging and hh goods'!$W$20)*('Yearly Methanol'!AG$3-'Yearly Methanol'!$X$3)/10)</f>
        <v>0</v>
      </c>
      <c r="AH33" s="43">
        <f>AH29*'R&amp;S - Packaging and hh goods'!$D$9*'R&amp;S - Packaging and hh goods'!$G$14*('R&amp;S - Packaging and hh goods'!$W$20+('R&amp;S - Packaging and hh goods'!$W$21-'R&amp;S - Packaging and hh goods'!$W$20)*('Yearly Methanol'!AH$3-'Yearly Methanol'!$X$3)/10)</f>
        <v>0</v>
      </c>
      <c r="AJ33" s="43">
        <v>0</v>
      </c>
      <c r="AK33" s="43">
        <f>AK29*'R&amp;S - Packaging and hh goods'!$D$9*('R&amp;S - Packaging and hh goods'!$G$15*'R&amp;S - Packaging and hh goods'!$W$19*(AK$3-$D$3)/10)</f>
        <v>0</v>
      </c>
      <c r="AL33" s="43">
        <f>AL29*'R&amp;S - Packaging and hh goods'!$D$9*('R&amp;S - Packaging and hh goods'!$G$15*'R&amp;S - Packaging and hh goods'!$W$19*('Yearly Methanol'!AL$3-'Yearly Methanol'!$D$3)/10)</f>
        <v>0</v>
      </c>
      <c r="AM33" s="43">
        <f>AM29*'R&amp;S - Packaging and hh goods'!$D$9*('R&amp;S - Packaging and hh goods'!$G$15*'R&amp;S - Packaging and hh goods'!$W$19*('Yearly Methanol'!AM$3-'Yearly Methanol'!$D$3)/10)</f>
        <v>0</v>
      </c>
      <c r="AN33" s="43">
        <f>AN29*'R&amp;S - Packaging and hh goods'!$D$9*('R&amp;S - Packaging and hh goods'!$G$15*'R&amp;S - Packaging and hh goods'!$W$19*('Yearly Methanol'!AN$3-'Yearly Methanol'!$D$3)/10)</f>
        <v>0</v>
      </c>
      <c r="AO33" s="43">
        <f>AO29*'R&amp;S - Packaging and hh goods'!$D$9*('R&amp;S - Packaging and hh goods'!$G$15*'R&amp;S - Packaging and hh goods'!$W$19*('Yearly Methanol'!AO$3-'Yearly Methanol'!$D$3)/10)</f>
        <v>0</v>
      </c>
      <c r="AP33" s="43">
        <f>AP29*'R&amp;S - Packaging and hh goods'!$D$9*('R&amp;S - Packaging and hh goods'!$G$15*'R&amp;S - Packaging and hh goods'!$W$19*('Yearly Methanol'!AP$3-'Yearly Methanol'!$D$3)/10)</f>
        <v>0</v>
      </c>
      <c r="AQ33" s="43">
        <f>AQ29*'R&amp;S - Packaging and hh goods'!$D$9*('R&amp;S - Packaging and hh goods'!$G$15*'R&amp;S - Packaging and hh goods'!$W$19*('Yearly Methanol'!AQ$3-'Yearly Methanol'!$D$3)/10)</f>
        <v>0</v>
      </c>
      <c r="AR33" s="43">
        <f>AR29*'R&amp;S - Packaging and hh goods'!$D$9*('R&amp;S - Packaging and hh goods'!$G$15*'R&amp;S - Packaging and hh goods'!$W$19*('Yearly Methanol'!AR$3-'Yearly Methanol'!$D$3)/10)</f>
        <v>0</v>
      </c>
      <c r="AS33" s="43">
        <f>AS29*'R&amp;S - Packaging and hh goods'!$D$9*('R&amp;S - Packaging and hh goods'!$G$15*'R&amp;S - Packaging and hh goods'!$W$19*('Yearly Methanol'!AS$3-'Yearly Methanol'!$D$3)/10)</f>
        <v>0</v>
      </c>
      <c r="AT33" s="43">
        <f>AT29*'R&amp;S - Packaging and hh goods'!$D$9*('R&amp;S - Packaging and hh goods'!$G$15*'R&amp;S - Packaging and hh goods'!$W$19*('Yearly Methanol'!AT$3-'Yearly Methanol'!$D$3)/10)</f>
        <v>0</v>
      </c>
      <c r="AU33" s="43">
        <f>AU29*'R&amp;S - Packaging and hh goods'!$D$9*'R&amp;S - Packaging and hh goods'!$G$15*('R&amp;S - Packaging and hh goods'!$W$19+('R&amp;S - Packaging and hh goods'!$W$20-'R&amp;S - Packaging and hh goods'!$W$19)*('Yearly Methanol'!AU$3-'Yearly Methanol'!$N$3)/10)</f>
        <v>0</v>
      </c>
      <c r="AV33" s="43">
        <f>AV29*'R&amp;S - Packaging and hh goods'!$D$9*'R&amp;S - Packaging and hh goods'!$G$15*('R&amp;S - Packaging and hh goods'!$W$19+('R&amp;S - Packaging and hh goods'!$W$20-'R&amp;S - Packaging and hh goods'!$W$19)*('Yearly Methanol'!AV$3-'Yearly Methanol'!$N$3)/10)</f>
        <v>0</v>
      </c>
      <c r="AW33" s="43">
        <f>AW29*'R&amp;S - Packaging and hh goods'!$D$9*'R&amp;S - Packaging and hh goods'!$G$15*('R&amp;S - Packaging and hh goods'!$W$19+('R&amp;S - Packaging and hh goods'!$W$20-'R&amp;S - Packaging and hh goods'!$W$19)*('Yearly Methanol'!AW$3-'Yearly Methanol'!$N$3)/10)</f>
        <v>0</v>
      </c>
      <c r="AX33" s="43">
        <f>AX29*'R&amp;S - Packaging and hh goods'!$D$9*'R&amp;S - Packaging and hh goods'!$G$15*('R&amp;S - Packaging and hh goods'!$W$19+('R&amp;S - Packaging and hh goods'!$W$20-'R&amp;S - Packaging and hh goods'!$W$19)*('Yearly Methanol'!AX$3-'Yearly Methanol'!$N$3)/10)</f>
        <v>0</v>
      </c>
      <c r="AY33" s="43">
        <f>AY29*'R&amp;S - Packaging and hh goods'!$D$9*'R&amp;S - Packaging and hh goods'!$G$15*('R&amp;S - Packaging and hh goods'!$W$19+('R&amp;S - Packaging and hh goods'!$W$20-'R&amp;S - Packaging and hh goods'!$W$19)*('Yearly Methanol'!AY$3-'Yearly Methanol'!$N$3)/10)</f>
        <v>0</v>
      </c>
      <c r="AZ33" s="43">
        <f>AZ29*'R&amp;S - Packaging and hh goods'!$D$9*'R&amp;S - Packaging and hh goods'!$G$15*('R&amp;S - Packaging and hh goods'!$W$19+('R&amp;S - Packaging and hh goods'!$W$20-'R&amp;S - Packaging and hh goods'!$W$19)*('Yearly Methanol'!AZ$3-'Yearly Methanol'!$N$3)/10)</f>
        <v>0</v>
      </c>
      <c r="BA33" s="43">
        <f>BA29*'R&amp;S - Packaging and hh goods'!$D$9*'R&amp;S - Packaging and hh goods'!$G$15*('R&amp;S - Packaging and hh goods'!$W$19+('R&amp;S - Packaging and hh goods'!$W$20-'R&amp;S - Packaging and hh goods'!$W$19)*('Yearly Methanol'!BA$3-'Yearly Methanol'!$N$3)/10)</f>
        <v>0</v>
      </c>
      <c r="BB33" s="43">
        <f>BB29*'R&amp;S - Packaging and hh goods'!$D$9*'R&amp;S - Packaging and hh goods'!$G$15*('R&amp;S - Packaging and hh goods'!$W$19+('R&amp;S - Packaging and hh goods'!$W$20-'R&amp;S - Packaging and hh goods'!$W$19)*('Yearly Methanol'!BB$3-'Yearly Methanol'!$N$3)/10)</f>
        <v>0</v>
      </c>
      <c r="BC33" s="43">
        <f>BC29*'R&amp;S - Packaging and hh goods'!$D$9*'R&amp;S - Packaging and hh goods'!$G$15*('R&amp;S - Packaging and hh goods'!$W$19+('R&amp;S - Packaging and hh goods'!$W$20-'R&amp;S - Packaging and hh goods'!$W$19)*('Yearly Methanol'!BC$3-'Yearly Methanol'!$N$3)/10)</f>
        <v>0</v>
      </c>
      <c r="BD33" s="43">
        <f>BD29*'R&amp;S - Packaging and hh goods'!$D$9*'R&amp;S - Packaging and hh goods'!$G$15*('R&amp;S - Packaging and hh goods'!$W$19+('R&amp;S - Packaging and hh goods'!$W$20-'R&amp;S - Packaging and hh goods'!$W$19)*('Yearly Methanol'!BD$3-'Yearly Methanol'!$N$3)/10)</f>
        <v>0</v>
      </c>
      <c r="BE33" s="43">
        <f>BE29*'R&amp;S - Packaging and hh goods'!$D$9*'R&amp;S - Packaging and hh goods'!$G$15*('R&amp;S - Packaging and hh goods'!$W$20+('R&amp;S - Packaging and hh goods'!$W$21-'R&amp;S - Packaging and hh goods'!$W$20)*('Yearly Methanol'!BE$3-'Yearly Methanol'!$X$3)/10)</f>
        <v>0</v>
      </c>
      <c r="BF33" s="43">
        <f>BF29*'R&amp;S - Packaging and hh goods'!$D$9*'R&amp;S - Packaging and hh goods'!$G$15*('R&amp;S - Packaging and hh goods'!$W$20+('R&amp;S - Packaging and hh goods'!$W$21-'R&amp;S - Packaging and hh goods'!$W$20)*('Yearly Methanol'!BF$3-'Yearly Methanol'!$X$3)/10)</f>
        <v>0</v>
      </c>
      <c r="BG33" s="43">
        <f>BG29*'R&amp;S - Packaging and hh goods'!$D$9*'R&amp;S - Packaging and hh goods'!$G$15*('R&amp;S - Packaging and hh goods'!$W$20+('R&amp;S - Packaging and hh goods'!$W$21-'R&amp;S - Packaging and hh goods'!$W$20)*('Yearly Methanol'!BG$3-'Yearly Methanol'!$X$3)/10)</f>
        <v>0</v>
      </c>
      <c r="BH33" s="43">
        <f>BH29*'R&amp;S - Packaging and hh goods'!$D$9*'R&amp;S - Packaging and hh goods'!$G$15*('R&amp;S - Packaging and hh goods'!$W$20+('R&amp;S - Packaging and hh goods'!$W$21-'R&amp;S - Packaging and hh goods'!$W$20)*('Yearly Methanol'!BH$3-'Yearly Methanol'!$X$3)/10)</f>
        <v>0</v>
      </c>
      <c r="BI33" s="43">
        <f>BI29*'R&amp;S - Packaging and hh goods'!$D$9*'R&amp;S - Packaging and hh goods'!$G$15*('R&amp;S - Packaging and hh goods'!$W$20+('R&amp;S - Packaging and hh goods'!$W$21-'R&amp;S - Packaging and hh goods'!$W$20)*('Yearly Methanol'!BI$3-'Yearly Methanol'!$X$3)/10)</f>
        <v>0</v>
      </c>
      <c r="BJ33" s="43">
        <f>BJ29*'R&amp;S - Packaging and hh goods'!$D$9*'R&amp;S - Packaging and hh goods'!$G$15*('R&amp;S - Packaging and hh goods'!$W$20+('R&amp;S - Packaging and hh goods'!$W$21-'R&amp;S - Packaging and hh goods'!$W$20)*('Yearly Methanol'!BJ$3-'Yearly Methanol'!$X$3)/10)</f>
        <v>0</v>
      </c>
      <c r="BK33" s="43">
        <f>BK29*'R&amp;S - Packaging and hh goods'!$D$9*'R&amp;S - Packaging and hh goods'!$G$15*('R&amp;S - Packaging and hh goods'!$W$20+('R&amp;S - Packaging and hh goods'!$W$21-'R&amp;S - Packaging and hh goods'!$W$20)*('Yearly Methanol'!BK$3-'Yearly Methanol'!$X$3)/10)</f>
        <v>0</v>
      </c>
      <c r="BL33" s="43">
        <f>BL29*'R&amp;S - Packaging and hh goods'!$D$9*'R&amp;S - Packaging and hh goods'!$G$15*('R&amp;S - Packaging and hh goods'!$W$20+('R&amp;S - Packaging and hh goods'!$W$21-'R&amp;S - Packaging and hh goods'!$W$20)*('Yearly Methanol'!BL$3-'Yearly Methanol'!$X$3)/10)</f>
        <v>0</v>
      </c>
      <c r="BM33" s="43">
        <f>BM29*'R&amp;S - Packaging and hh goods'!$D$9*'R&amp;S - Packaging and hh goods'!$G$15*('R&amp;S - Packaging and hh goods'!$W$20+('R&amp;S - Packaging and hh goods'!$W$21-'R&amp;S - Packaging and hh goods'!$W$20)*('Yearly Methanol'!BM$3-'Yearly Methanol'!$X$3)/10)</f>
        <v>0</v>
      </c>
      <c r="BN33" s="43">
        <f>BN29*'R&amp;S - Packaging and hh goods'!$D$9*'R&amp;S - Packaging and hh goods'!$G$15*('R&amp;S - Packaging and hh goods'!$W$20+('R&amp;S - Packaging and hh goods'!$W$21-'R&amp;S - Packaging and hh goods'!$W$20)*('Yearly Methanol'!BN$3-'Yearly Methanol'!$X$3)/10)</f>
        <v>0</v>
      </c>
      <c r="BR33" t="s">
        <v>190</v>
      </c>
      <c r="BS33" s="44" t="e">
        <f>#REF!</f>
        <v>#REF!</v>
      </c>
      <c r="BU33" t="str">
        <v>Minor Polymers</v>
      </c>
      <c r="BV33" s="44">
        <v>22.580763290736638</v>
      </c>
      <c r="BW33" s="2">
        <v>0.21698594092708512</v>
      </c>
    </row>
    <row r="34" spans="1:75">
      <c r="B34" s="61" t="s">
        <v>203</v>
      </c>
      <c r="C34" s="54" t="s">
        <v>153</v>
      </c>
      <c r="D34" s="43">
        <v>0</v>
      </c>
      <c r="E34" s="43">
        <f>E29*'R&amp;S - Packaging and hh goods'!$D$10*('R&amp;S - Packaging and hh goods'!$G$14*'R&amp;S - Packaging and hh goods'!$X$19*(E$3-$D$3)/10)</f>
        <v>0</v>
      </c>
      <c r="F34" s="43">
        <f>F29*'R&amp;S - Packaging and hh goods'!$D$10*('R&amp;S - Packaging and hh goods'!$G$14*'R&amp;S - Packaging and hh goods'!$X$19*('Yearly Methanol'!F$3-'Yearly Methanol'!$D$3)/10)</f>
        <v>0</v>
      </c>
      <c r="G34" s="43">
        <f>G29*'R&amp;S - Packaging and hh goods'!$D$10*('R&amp;S - Packaging and hh goods'!$G$14*'R&amp;S - Packaging and hh goods'!$X$19*('Yearly Methanol'!G$3-'Yearly Methanol'!$D$3)/10)</f>
        <v>0</v>
      </c>
      <c r="H34" s="43">
        <f>H29*'R&amp;S - Packaging and hh goods'!$D$10*('R&amp;S - Packaging and hh goods'!$G$14*'R&amp;S - Packaging and hh goods'!$X$19*('Yearly Methanol'!H$3-'Yearly Methanol'!$D$3)/10)</f>
        <v>0</v>
      </c>
      <c r="I34" s="43">
        <f>I29*'R&amp;S - Packaging and hh goods'!$D$10*('R&amp;S - Packaging and hh goods'!$G$14*'R&amp;S - Packaging and hh goods'!$X$19*('Yearly Methanol'!I$3-'Yearly Methanol'!$D$3)/10)</f>
        <v>0</v>
      </c>
      <c r="J34" s="43">
        <f>J29*'R&amp;S - Packaging and hh goods'!$D$10*('R&amp;S - Packaging and hh goods'!$G$14*'R&amp;S - Packaging and hh goods'!$X$19*('Yearly Methanol'!J$3-'Yearly Methanol'!$D$3)/10)</f>
        <v>0</v>
      </c>
      <c r="K34" s="43">
        <f>K29*'R&amp;S - Packaging and hh goods'!$D$10*('R&amp;S - Packaging and hh goods'!$G$14*'R&amp;S - Packaging and hh goods'!$X$19*('Yearly Methanol'!K$3-'Yearly Methanol'!$D$3)/10)</f>
        <v>0</v>
      </c>
      <c r="L34" s="43">
        <f>L29*'R&amp;S - Packaging and hh goods'!$D$10*('R&amp;S - Packaging and hh goods'!$G$14*'R&amp;S - Packaging and hh goods'!$X$19*('Yearly Methanol'!L$3-'Yearly Methanol'!$D$3)/10)</f>
        <v>0</v>
      </c>
      <c r="M34" s="43">
        <f>M29*'R&amp;S - Packaging and hh goods'!$D$10*('R&amp;S - Packaging and hh goods'!$G$14*'R&amp;S - Packaging and hh goods'!$X$19*('Yearly Methanol'!M$3-'Yearly Methanol'!$D$3)/10)</f>
        <v>0</v>
      </c>
      <c r="N34" s="43">
        <f>N29*'R&amp;S - Packaging and hh goods'!$D$10*('R&amp;S - Packaging and hh goods'!$G$14*'R&amp;S - Packaging and hh goods'!$X$19*('Yearly Methanol'!N$3-'Yearly Methanol'!$D$3)/10)</f>
        <v>0</v>
      </c>
      <c r="O34" s="43">
        <f>O29*'R&amp;S - Packaging and hh goods'!$D$10*'R&amp;S - Packaging and hh goods'!$G$14*('R&amp;S - Packaging and hh goods'!$X$19+('R&amp;S - Packaging and hh goods'!$X$20-'R&amp;S - Packaging and hh goods'!$X$19)*('Yearly Methanol'!O$3-'Yearly Methanol'!$N$3)/10)</f>
        <v>0</v>
      </c>
      <c r="P34" s="43">
        <f>P29*'R&amp;S - Packaging and hh goods'!$D$10*'R&amp;S - Packaging and hh goods'!$G$14*('R&amp;S - Packaging and hh goods'!$X$19+('R&amp;S - Packaging and hh goods'!$X$20-'R&amp;S - Packaging and hh goods'!$X$19)*('Yearly Methanol'!P$3-'Yearly Methanol'!$N$3)/10)</f>
        <v>0</v>
      </c>
      <c r="Q34" s="43">
        <f>Q29*'R&amp;S - Packaging and hh goods'!$D$10*'R&amp;S - Packaging and hh goods'!$G$14*('R&amp;S - Packaging and hh goods'!$X$19+('R&amp;S - Packaging and hh goods'!$X$20-'R&amp;S - Packaging and hh goods'!$X$19)*('Yearly Methanol'!Q$3-'Yearly Methanol'!$N$3)/10)</f>
        <v>0</v>
      </c>
      <c r="R34" s="43">
        <f>R29*'R&amp;S - Packaging and hh goods'!$D$10*'R&amp;S - Packaging and hh goods'!$G$14*('R&amp;S - Packaging and hh goods'!$X$19+('R&amp;S - Packaging and hh goods'!$X$20-'R&amp;S - Packaging and hh goods'!$X$19)*('Yearly Methanol'!R$3-'Yearly Methanol'!$N$3)/10)</f>
        <v>0</v>
      </c>
      <c r="S34" s="43">
        <f>S29*'R&amp;S - Packaging and hh goods'!$D$10*'R&amp;S - Packaging and hh goods'!$G$14*('R&amp;S - Packaging and hh goods'!$X$19+('R&amp;S - Packaging and hh goods'!$X$20-'R&amp;S - Packaging and hh goods'!$X$19)*('Yearly Methanol'!S$3-'Yearly Methanol'!$N$3)/10)</f>
        <v>0</v>
      </c>
      <c r="T34" s="43">
        <f>T29*'R&amp;S - Packaging and hh goods'!$D$10*'R&amp;S - Packaging and hh goods'!$G$14*('R&amp;S - Packaging and hh goods'!$X$19+('R&amp;S - Packaging and hh goods'!$X$20-'R&amp;S - Packaging and hh goods'!$X$19)*('Yearly Methanol'!T$3-'Yearly Methanol'!$N$3)/10)</f>
        <v>0</v>
      </c>
      <c r="U34" s="43">
        <f>U29*'R&amp;S - Packaging and hh goods'!$D$10*'R&amp;S - Packaging and hh goods'!$G$14*('R&amp;S - Packaging and hh goods'!$X$19+('R&amp;S - Packaging and hh goods'!$X$20-'R&amp;S - Packaging and hh goods'!$X$19)*('Yearly Methanol'!U$3-'Yearly Methanol'!$N$3)/10)</f>
        <v>0</v>
      </c>
      <c r="V34" s="43">
        <f>V29*'R&amp;S - Packaging and hh goods'!$D$10*'R&amp;S - Packaging and hh goods'!$G$14*('R&amp;S - Packaging and hh goods'!$X$19+('R&amp;S - Packaging and hh goods'!$X$20-'R&amp;S - Packaging and hh goods'!$X$19)*('Yearly Methanol'!V$3-'Yearly Methanol'!$N$3)/10)</f>
        <v>0</v>
      </c>
      <c r="W34" s="43">
        <f>W29*'R&amp;S - Packaging and hh goods'!$D$10*'R&amp;S - Packaging and hh goods'!$G$14*('R&amp;S - Packaging and hh goods'!$X$19+('R&amp;S - Packaging and hh goods'!$X$20-'R&amp;S - Packaging and hh goods'!$X$19)*('Yearly Methanol'!W$3-'Yearly Methanol'!$N$3)/10)</f>
        <v>0</v>
      </c>
      <c r="X34" s="43">
        <f>X29*'R&amp;S - Packaging and hh goods'!$D$10*'R&amp;S - Packaging and hh goods'!$G$14*('R&amp;S - Packaging and hh goods'!$X$19+('R&amp;S - Packaging and hh goods'!$X$20-'R&amp;S - Packaging and hh goods'!$X$19)*('Yearly Methanol'!X$3-'Yearly Methanol'!$N$3)/10)</f>
        <v>0</v>
      </c>
      <c r="Y34" s="43">
        <f>Y29*'R&amp;S - Packaging and hh goods'!$D$10*'R&amp;S - Packaging and hh goods'!$G$14*('R&amp;S - Packaging and hh goods'!$X$20+('R&amp;S - Packaging and hh goods'!$X$21-'R&amp;S - Packaging and hh goods'!$X$20)*('Yearly Methanol'!Y$3-'Yearly Methanol'!$X$3)/10)</f>
        <v>0</v>
      </c>
      <c r="Z34" s="43">
        <f>Z29*'R&amp;S - Packaging and hh goods'!$D$10*'R&amp;S - Packaging and hh goods'!$G$14*('R&amp;S - Packaging and hh goods'!$X$20+('R&amp;S - Packaging and hh goods'!$X$21-'R&amp;S - Packaging and hh goods'!$X$20)*('Yearly Methanol'!Z$3-'Yearly Methanol'!$X$3)/10)</f>
        <v>0</v>
      </c>
      <c r="AA34" s="43">
        <f>AA29*'R&amp;S - Packaging and hh goods'!$D$10*'R&amp;S - Packaging and hh goods'!$G$14*('R&amp;S - Packaging and hh goods'!$X$20+('R&amp;S - Packaging and hh goods'!$X$21-'R&amp;S - Packaging and hh goods'!$X$20)*('Yearly Methanol'!AA$3-'Yearly Methanol'!$X$3)/10)</f>
        <v>0</v>
      </c>
      <c r="AB34" s="43">
        <f>AB29*'R&amp;S - Packaging and hh goods'!$D$10*'R&amp;S - Packaging and hh goods'!$G$14*('R&amp;S - Packaging and hh goods'!$X$20+('R&amp;S - Packaging and hh goods'!$X$21-'R&amp;S - Packaging and hh goods'!$X$20)*('Yearly Methanol'!AB$3-'Yearly Methanol'!$X$3)/10)</f>
        <v>0</v>
      </c>
      <c r="AC34" s="43">
        <f>AC29*'R&amp;S - Packaging and hh goods'!$D$10*'R&amp;S - Packaging and hh goods'!$G$14*('R&amp;S - Packaging and hh goods'!$X$20+('R&amp;S - Packaging and hh goods'!$X$21-'R&amp;S - Packaging and hh goods'!$X$20)*('Yearly Methanol'!AC$3-'Yearly Methanol'!$X$3)/10)</f>
        <v>0</v>
      </c>
      <c r="AD34" s="43">
        <f>AD29*'R&amp;S - Packaging and hh goods'!$D$10*'R&amp;S - Packaging and hh goods'!$G$14*('R&amp;S - Packaging and hh goods'!$X$20+('R&amp;S - Packaging and hh goods'!$X$21-'R&amp;S - Packaging and hh goods'!$X$20)*('Yearly Methanol'!AD$3-'Yearly Methanol'!$X$3)/10)</f>
        <v>0</v>
      </c>
      <c r="AE34" s="43">
        <f>AE29*'R&amp;S - Packaging and hh goods'!$D$10*'R&amp;S - Packaging and hh goods'!$G$14*('R&amp;S - Packaging and hh goods'!$X$20+('R&amp;S - Packaging and hh goods'!$X$21-'R&amp;S - Packaging and hh goods'!$X$20)*('Yearly Methanol'!AE$3-'Yearly Methanol'!$X$3)/10)</f>
        <v>0</v>
      </c>
      <c r="AF34" s="43">
        <f>AF29*'R&amp;S - Packaging and hh goods'!$D$10*'R&amp;S - Packaging and hh goods'!$G$14*('R&amp;S - Packaging and hh goods'!$X$20+('R&amp;S - Packaging and hh goods'!$X$21-'R&amp;S - Packaging and hh goods'!$X$20)*('Yearly Methanol'!AF$3-'Yearly Methanol'!$X$3)/10)</f>
        <v>0</v>
      </c>
      <c r="AG34" s="43">
        <f>AG29*'R&amp;S - Packaging and hh goods'!$D$10*'R&amp;S - Packaging and hh goods'!$G$14*('R&amp;S - Packaging and hh goods'!$X$20+('R&amp;S - Packaging and hh goods'!$X$21-'R&amp;S - Packaging and hh goods'!$X$20)*('Yearly Methanol'!AG$3-'Yearly Methanol'!$X$3)/10)</f>
        <v>0</v>
      </c>
      <c r="AH34" s="43">
        <f>AH29*'R&amp;S - Packaging and hh goods'!$D$10*'R&amp;S - Packaging and hh goods'!$G$14*('R&amp;S - Packaging and hh goods'!$X$20+('R&amp;S - Packaging and hh goods'!$X$21-'R&amp;S - Packaging and hh goods'!$X$20)*('Yearly Methanol'!AH$3-'Yearly Methanol'!$X$3)/10)</f>
        <v>0</v>
      </c>
      <c r="AJ34" s="43">
        <v>0</v>
      </c>
      <c r="AK34" s="43">
        <f>AK29*'R&amp;S - Packaging and hh goods'!$D$10*('R&amp;S - Packaging and hh goods'!$G$15*'R&amp;S - Packaging and hh goods'!$X$19*(AK$3-$D$3)/10)</f>
        <v>0</v>
      </c>
      <c r="AL34" s="43">
        <f>AL29*'R&amp;S - Packaging and hh goods'!$D$10*('R&amp;S - Packaging and hh goods'!$G$15*'R&amp;S - Packaging and hh goods'!$X$19*('Yearly Methanol'!AL$3-'Yearly Methanol'!$D$3)/10)</f>
        <v>0</v>
      </c>
      <c r="AM34" s="43">
        <f>AM29*'R&amp;S - Packaging and hh goods'!$D$10*('R&amp;S - Packaging and hh goods'!$G$15*'R&amp;S - Packaging and hh goods'!$X$19*('Yearly Methanol'!AM$3-'Yearly Methanol'!$D$3)/10)</f>
        <v>0</v>
      </c>
      <c r="AN34" s="43">
        <f>AN29*'R&amp;S - Packaging and hh goods'!$D$10*('R&amp;S - Packaging and hh goods'!$G$15*'R&amp;S - Packaging and hh goods'!$X$19*('Yearly Methanol'!AN$3-'Yearly Methanol'!$D$3)/10)</f>
        <v>0</v>
      </c>
      <c r="AO34" s="43">
        <f>AO29*'R&amp;S - Packaging and hh goods'!$D$10*('R&amp;S - Packaging and hh goods'!$G$15*'R&amp;S - Packaging and hh goods'!$X$19*('Yearly Methanol'!AO$3-'Yearly Methanol'!$D$3)/10)</f>
        <v>0</v>
      </c>
      <c r="AP34" s="43">
        <f>AP29*'R&amp;S - Packaging and hh goods'!$D$10*('R&amp;S - Packaging and hh goods'!$G$15*'R&amp;S - Packaging and hh goods'!$X$19*('Yearly Methanol'!AP$3-'Yearly Methanol'!$D$3)/10)</f>
        <v>0</v>
      </c>
      <c r="AQ34" s="43">
        <f>AQ29*'R&amp;S - Packaging and hh goods'!$D$10*('R&amp;S - Packaging and hh goods'!$G$15*'R&amp;S - Packaging and hh goods'!$X$19*('Yearly Methanol'!AQ$3-'Yearly Methanol'!$D$3)/10)</f>
        <v>0</v>
      </c>
      <c r="AR34" s="43">
        <f>AR29*'R&amp;S - Packaging and hh goods'!$D$10*('R&amp;S - Packaging and hh goods'!$G$15*'R&amp;S - Packaging and hh goods'!$X$19*('Yearly Methanol'!AR$3-'Yearly Methanol'!$D$3)/10)</f>
        <v>0</v>
      </c>
      <c r="AS34" s="43">
        <f>AS29*'R&amp;S - Packaging and hh goods'!$D$10*('R&amp;S - Packaging and hh goods'!$G$15*'R&amp;S - Packaging and hh goods'!$X$19*('Yearly Methanol'!AS$3-'Yearly Methanol'!$D$3)/10)</f>
        <v>0</v>
      </c>
      <c r="AT34" s="43">
        <f>AT29*'R&amp;S - Packaging and hh goods'!$D$10*('R&amp;S - Packaging and hh goods'!$G$15*'R&amp;S - Packaging and hh goods'!$X$19*('Yearly Methanol'!AT$3-'Yearly Methanol'!$D$3)/10)</f>
        <v>0</v>
      </c>
      <c r="AU34" s="43">
        <f>AU29*'R&amp;S - Packaging and hh goods'!$D$10*'R&amp;S - Packaging and hh goods'!$G$15*('R&amp;S - Packaging and hh goods'!$X$19+('R&amp;S - Packaging and hh goods'!$X$20-'R&amp;S - Packaging and hh goods'!$X$19)*('Yearly Methanol'!AU$3-'Yearly Methanol'!$N$3)/10)</f>
        <v>0</v>
      </c>
      <c r="AV34" s="43">
        <f>AV29*'R&amp;S - Packaging and hh goods'!$D$10*'R&amp;S - Packaging and hh goods'!$G$15*('R&amp;S - Packaging and hh goods'!$X$19+('R&amp;S - Packaging and hh goods'!$X$20-'R&amp;S - Packaging and hh goods'!$X$19)*('Yearly Methanol'!AV$3-'Yearly Methanol'!$N$3)/10)</f>
        <v>0</v>
      </c>
      <c r="AW34" s="43">
        <f>AW29*'R&amp;S - Packaging and hh goods'!$D$10*'R&amp;S - Packaging and hh goods'!$G$15*('R&amp;S - Packaging and hh goods'!$X$19+('R&amp;S - Packaging and hh goods'!$X$20-'R&amp;S - Packaging and hh goods'!$X$19)*('Yearly Methanol'!AW$3-'Yearly Methanol'!$N$3)/10)</f>
        <v>0</v>
      </c>
      <c r="AX34" s="43">
        <f>AX29*'R&amp;S - Packaging and hh goods'!$D$10*'R&amp;S - Packaging and hh goods'!$G$15*('R&amp;S - Packaging and hh goods'!$X$19+('R&amp;S - Packaging and hh goods'!$X$20-'R&amp;S - Packaging and hh goods'!$X$19)*('Yearly Methanol'!AX$3-'Yearly Methanol'!$N$3)/10)</f>
        <v>0</v>
      </c>
      <c r="AY34" s="43">
        <f>AY29*'R&amp;S - Packaging and hh goods'!$D$10*'R&amp;S - Packaging and hh goods'!$G$15*('R&amp;S - Packaging and hh goods'!$X$19+('R&amp;S - Packaging and hh goods'!$X$20-'R&amp;S - Packaging and hh goods'!$X$19)*('Yearly Methanol'!AY$3-'Yearly Methanol'!$N$3)/10)</f>
        <v>0</v>
      </c>
      <c r="AZ34" s="43">
        <f>AZ29*'R&amp;S - Packaging and hh goods'!$D$10*'R&amp;S - Packaging and hh goods'!$G$15*('R&amp;S - Packaging and hh goods'!$X$19+('R&amp;S - Packaging and hh goods'!$X$20-'R&amp;S - Packaging and hh goods'!$X$19)*('Yearly Methanol'!AZ$3-'Yearly Methanol'!$N$3)/10)</f>
        <v>0</v>
      </c>
      <c r="BA34" s="43">
        <f>BA29*'R&amp;S - Packaging and hh goods'!$D$10*'R&amp;S - Packaging and hh goods'!$G$15*('R&amp;S - Packaging and hh goods'!$X$19+('R&amp;S - Packaging and hh goods'!$X$20-'R&amp;S - Packaging and hh goods'!$X$19)*('Yearly Methanol'!BA$3-'Yearly Methanol'!$N$3)/10)</f>
        <v>0</v>
      </c>
      <c r="BB34" s="43">
        <f>BB29*'R&amp;S - Packaging and hh goods'!$D$10*'R&amp;S - Packaging and hh goods'!$G$15*('R&amp;S - Packaging and hh goods'!$X$19+('R&amp;S - Packaging and hh goods'!$X$20-'R&amp;S - Packaging and hh goods'!$X$19)*('Yearly Methanol'!BB$3-'Yearly Methanol'!$N$3)/10)</f>
        <v>0</v>
      </c>
      <c r="BC34" s="43">
        <f>BC29*'R&amp;S - Packaging and hh goods'!$D$10*'R&amp;S - Packaging and hh goods'!$G$15*('R&amp;S - Packaging and hh goods'!$X$19+('R&amp;S - Packaging and hh goods'!$X$20-'R&amp;S - Packaging and hh goods'!$X$19)*('Yearly Methanol'!BC$3-'Yearly Methanol'!$N$3)/10)</f>
        <v>0</v>
      </c>
      <c r="BD34" s="43">
        <f>BD29*'R&amp;S - Packaging and hh goods'!$D$10*'R&amp;S - Packaging and hh goods'!$G$15*('R&amp;S - Packaging and hh goods'!$X$19+('R&amp;S - Packaging and hh goods'!$X$20-'R&amp;S - Packaging and hh goods'!$X$19)*('Yearly Methanol'!BD$3-'Yearly Methanol'!$N$3)/10)</f>
        <v>0</v>
      </c>
      <c r="BE34" s="43">
        <f>BE29*'R&amp;S - Packaging and hh goods'!$D$10*'R&amp;S - Packaging and hh goods'!$G$15*('R&amp;S - Packaging and hh goods'!$X$20+('R&amp;S - Packaging and hh goods'!$X$21-'R&amp;S - Packaging and hh goods'!$X$20)*('Yearly Methanol'!BE$3-'Yearly Methanol'!$X$3)/10)</f>
        <v>0</v>
      </c>
      <c r="BF34" s="43">
        <f>BF29*'R&amp;S - Packaging and hh goods'!$D$10*'R&amp;S - Packaging and hh goods'!$G$15*('R&amp;S - Packaging and hh goods'!$X$20+('R&amp;S - Packaging and hh goods'!$X$21-'R&amp;S - Packaging and hh goods'!$X$20)*('Yearly Methanol'!BF$3-'Yearly Methanol'!$X$3)/10)</f>
        <v>0</v>
      </c>
      <c r="BG34" s="43">
        <f>BG29*'R&amp;S - Packaging and hh goods'!$D$10*'R&amp;S - Packaging and hh goods'!$G$15*('R&amp;S - Packaging and hh goods'!$X$20+('R&amp;S - Packaging and hh goods'!$X$21-'R&amp;S - Packaging and hh goods'!$X$20)*('Yearly Methanol'!BG$3-'Yearly Methanol'!$X$3)/10)</f>
        <v>0</v>
      </c>
      <c r="BH34" s="43">
        <f>BH29*'R&amp;S - Packaging and hh goods'!$D$10*'R&amp;S - Packaging and hh goods'!$G$15*('R&amp;S - Packaging and hh goods'!$X$20+('R&amp;S - Packaging and hh goods'!$X$21-'R&amp;S - Packaging and hh goods'!$X$20)*('Yearly Methanol'!BH$3-'Yearly Methanol'!$X$3)/10)</f>
        <v>0</v>
      </c>
      <c r="BI34" s="43">
        <f>BI29*'R&amp;S - Packaging and hh goods'!$D$10*'R&amp;S - Packaging and hh goods'!$G$15*('R&amp;S - Packaging and hh goods'!$X$20+('R&amp;S - Packaging and hh goods'!$X$21-'R&amp;S - Packaging and hh goods'!$X$20)*('Yearly Methanol'!BI$3-'Yearly Methanol'!$X$3)/10)</f>
        <v>0</v>
      </c>
      <c r="BJ34" s="43">
        <f>BJ29*'R&amp;S - Packaging and hh goods'!$D$10*'R&amp;S - Packaging and hh goods'!$G$15*('R&amp;S - Packaging and hh goods'!$X$20+('R&amp;S - Packaging and hh goods'!$X$21-'R&amp;S - Packaging and hh goods'!$X$20)*('Yearly Methanol'!BJ$3-'Yearly Methanol'!$X$3)/10)</f>
        <v>0</v>
      </c>
      <c r="BK34" s="43">
        <f>BK29*'R&amp;S - Packaging and hh goods'!$D$10*'R&amp;S - Packaging and hh goods'!$G$15*('R&amp;S - Packaging and hh goods'!$X$20+('R&amp;S - Packaging and hh goods'!$X$21-'R&amp;S - Packaging and hh goods'!$X$20)*('Yearly Methanol'!BK$3-'Yearly Methanol'!$X$3)/10)</f>
        <v>0</v>
      </c>
      <c r="BL34" s="43">
        <f>BL29*'R&amp;S - Packaging and hh goods'!$D$10*'R&amp;S - Packaging and hh goods'!$G$15*('R&amp;S - Packaging and hh goods'!$X$20+('R&amp;S - Packaging and hh goods'!$X$21-'R&amp;S - Packaging and hh goods'!$X$20)*('Yearly Methanol'!BL$3-'Yearly Methanol'!$X$3)/10)</f>
        <v>0</v>
      </c>
      <c r="BM34" s="43">
        <f>BM29*'R&amp;S - Packaging and hh goods'!$D$10*'R&amp;S - Packaging and hh goods'!$G$15*('R&amp;S - Packaging and hh goods'!$X$20+('R&amp;S - Packaging and hh goods'!$X$21-'R&amp;S - Packaging and hh goods'!$X$20)*('Yearly Methanol'!BM$3-'Yearly Methanol'!$X$3)/10)</f>
        <v>0</v>
      </c>
      <c r="BN34" s="43">
        <f>BN29*'R&amp;S - Packaging and hh goods'!$D$10*'R&amp;S - Packaging and hh goods'!$G$15*('R&amp;S - Packaging and hh goods'!$X$20+('R&amp;S - Packaging and hh goods'!$X$21-'R&amp;S - Packaging and hh goods'!$X$20)*('Yearly Methanol'!BN$3-'Yearly Methanol'!$X$3)/10)</f>
        <v>0</v>
      </c>
      <c r="BR34" t="s">
        <v>192</v>
      </c>
      <c r="BS34" s="44" t="e">
        <f>#REF!</f>
        <v>#REF!</v>
      </c>
      <c r="BU34" t="str">
        <v>Other</v>
      </c>
      <c r="BV34" s="44">
        <v>24.045360628442481</v>
      </c>
      <c r="BW34" s="2">
        <v>0.23105973583426512</v>
      </c>
    </row>
    <row r="35" spans="1:75">
      <c r="B35" s="1" t="s">
        <v>172</v>
      </c>
      <c r="C35" s="54" t="s">
        <v>153</v>
      </c>
      <c r="D35" s="43">
        <f>SUM(D33:D34)</f>
        <v>0</v>
      </c>
      <c r="E35" s="43">
        <f t="shared" ref="E35:AG35" si="271">SUM(E33:E34)</f>
        <v>0</v>
      </c>
      <c r="F35" s="43">
        <f t="shared" si="271"/>
        <v>0</v>
      </c>
      <c r="G35" s="43">
        <f t="shared" si="271"/>
        <v>0</v>
      </c>
      <c r="H35" s="43">
        <f t="shared" si="271"/>
        <v>0</v>
      </c>
      <c r="I35" s="43">
        <f t="shared" si="271"/>
        <v>0</v>
      </c>
      <c r="J35" s="43">
        <f t="shared" si="271"/>
        <v>0</v>
      </c>
      <c r="K35" s="43">
        <f t="shared" si="271"/>
        <v>0</v>
      </c>
      <c r="L35" s="43">
        <f t="shared" si="271"/>
        <v>0</v>
      </c>
      <c r="M35" s="43">
        <f t="shared" si="271"/>
        <v>0</v>
      </c>
      <c r="N35" s="43">
        <f t="shared" si="271"/>
        <v>0</v>
      </c>
      <c r="O35" s="43">
        <f t="shared" si="271"/>
        <v>0</v>
      </c>
      <c r="P35" s="43">
        <f t="shared" si="271"/>
        <v>0</v>
      </c>
      <c r="Q35" s="43">
        <f t="shared" si="271"/>
        <v>0</v>
      </c>
      <c r="R35" s="43">
        <f t="shared" si="271"/>
        <v>0</v>
      </c>
      <c r="S35" s="43">
        <f t="shared" si="271"/>
        <v>0</v>
      </c>
      <c r="T35" s="43">
        <f t="shared" si="271"/>
        <v>0</v>
      </c>
      <c r="U35" s="43">
        <f t="shared" si="271"/>
        <v>0</v>
      </c>
      <c r="V35" s="43">
        <f t="shared" si="271"/>
        <v>0</v>
      </c>
      <c r="W35" s="43">
        <f t="shared" si="271"/>
        <v>0</v>
      </c>
      <c r="X35" s="43">
        <f t="shared" si="271"/>
        <v>0</v>
      </c>
      <c r="Y35" s="43">
        <f t="shared" si="271"/>
        <v>0</v>
      </c>
      <c r="Z35" s="43">
        <f t="shared" si="271"/>
        <v>0</v>
      </c>
      <c r="AA35" s="43">
        <f t="shared" si="271"/>
        <v>0</v>
      </c>
      <c r="AB35" s="43">
        <f t="shared" si="271"/>
        <v>0</v>
      </c>
      <c r="AC35" s="43">
        <f t="shared" si="271"/>
        <v>0</v>
      </c>
      <c r="AD35" s="43">
        <f t="shared" si="271"/>
        <v>0</v>
      </c>
      <c r="AE35" s="43">
        <f t="shared" si="271"/>
        <v>0</v>
      </c>
      <c r="AF35" s="43">
        <f t="shared" si="271"/>
        <v>0</v>
      </c>
      <c r="AG35" s="43">
        <f t="shared" si="271"/>
        <v>0</v>
      </c>
      <c r="AH35" s="43">
        <f>SUM(AH33:AH34)</f>
        <v>0</v>
      </c>
      <c r="AJ35" s="43">
        <f>SUM(AJ33:AJ34)</f>
        <v>0</v>
      </c>
      <c r="AK35" s="43">
        <f t="shared" ref="AK35:BM35" si="272">SUM(AK33:AK34)</f>
        <v>0</v>
      </c>
      <c r="AL35" s="43">
        <f t="shared" si="272"/>
        <v>0</v>
      </c>
      <c r="AM35" s="43">
        <f t="shared" si="272"/>
        <v>0</v>
      </c>
      <c r="AN35" s="43">
        <f t="shared" si="272"/>
        <v>0</v>
      </c>
      <c r="AO35" s="43">
        <f t="shared" si="272"/>
        <v>0</v>
      </c>
      <c r="AP35" s="43">
        <f t="shared" si="272"/>
        <v>0</v>
      </c>
      <c r="AQ35" s="43">
        <f t="shared" si="272"/>
        <v>0</v>
      </c>
      <c r="AR35" s="43">
        <f t="shared" si="272"/>
        <v>0</v>
      </c>
      <c r="AS35" s="43">
        <f t="shared" si="272"/>
        <v>0</v>
      </c>
      <c r="AT35" s="43">
        <f t="shared" si="272"/>
        <v>0</v>
      </c>
      <c r="AU35" s="43">
        <f t="shared" si="272"/>
        <v>0</v>
      </c>
      <c r="AV35" s="43">
        <f t="shared" si="272"/>
        <v>0</v>
      </c>
      <c r="AW35" s="43">
        <f t="shared" si="272"/>
        <v>0</v>
      </c>
      <c r="AX35" s="43">
        <f t="shared" si="272"/>
        <v>0</v>
      </c>
      <c r="AY35" s="43">
        <f t="shared" si="272"/>
        <v>0</v>
      </c>
      <c r="AZ35" s="43">
        <f t="shared" si="272"/>
        <v>0</v>
      </c>
      <c r="BA35" s="43">
        <f t="shared" si="272"/>
        <v>0</v>
      </c>
      <c r="BB35" s="43">
        <f t="shared" si="272"/>
        <v>0</v>
      </c>
      <c r="BC35" s="43">
        <f t="shared" si="272"/>
        <v>0</v>
      </c>
      <c r="BD35" s="43">
        <f t="shared" si="272"/>
        <v>0</v>
      </c>
      <c r="BE35" s="43">
        <f t="shared" si="272"/>
        <v>0</v>
      </c>
      <c r="BF35" s="43">
        <f t="shared" si="272"/>
        <v>0</v>
      </c>
      <c r="BG35" s="43">
        <f t="shared" si="272"/>
        <v>0</v>
      </c>
      <c r="BH35" s="43">
        <f t="shared" si="272"/>
        <v>0</v>
      </c>
      <c r="BI35" s="43">
        <f t="shared" si="272"/>
        <v>0</v>
      </c>
      <c r="BJ35" s="43">
        <f t="shared" si="272"/>
        <v>0</v>
      </c>
      <c r="BK35" s="43">
        <f t="shared" si="272"/>
        <v>0</v>
      </c>
      <c r="BL35" s="43">
        <f t="shared" si="272"/>
        <v>0</v>
      </c>
      <c r="BM35" s="43">
        <f t="shared" si="272"/>
        <v>0</v>
      </c>
      <c r="BN35" s="43">
        <f>SUM(BN33:BN34)</f>
        <v>0</v>
      </c>
      <c r="BS35" s="442" t="e">
        <f>SUM(BS31:BS34)</f>
        <v>#REF!</v>
      </c>
      <c r="BU35" t="str">
        <v>Total</v>
      </c>
      <c r="BV35" s="44">
        <v>104.06555924434093</v>
      </c>
      <c r="BW35" s="2">
        <v>0</v>
      </c>
    </row>
    <row r="36" spans="1:75">
      <c r="B36" s="1" t="s">
        <v>197</v>
      </c>
      <c r="C36" s="65" t="s">
        <v>153</v>
      </c>
      <c r="D36" s="66">
        <f>D29-D32-D35</f>
        <v>4.3918200345154137</v>
      </c>
      <c r="E36" s="66">
        <f t="shared" ref="E36:AG36" si="273">E29-E32-E35</f>
        <v>4.4533055149986298</v>
      </c>
      <c r="F36" s="66">
        <f t="shared" si="273"/>
        <v>4.5156517922086108</v>
      </c>
      <c r="G36" s="66">
        <f t="shared" si="273"/>
        <v>4.5788709172995317</v>
      </c>
      <c r="H36" s="66">
        <f t="shared" si="273"/>
        <v>4.6429751101417249</v>
      </c>
      <c r="I36" s="66">
        <f t="shared" si="273"/>
        <v>4.7079767616837094</v>
      </c>
      <c r="J36" s="66">
        <f t="shared" si="273"/>
        <v>4.7738884363472813</v>
      </c>
      <c r="K36" s="66">
        <f t="shared" si="273"/>
        <v>4.8407228744561435</v>
      </c>
      <c r="L36" s="66">
        <f t="shared" si="273"/>
        <v>4.9084929946985296</v>
      </c>
      <c r="M36" s="66">
        <f t="shared" si="273"/>
        <v>4.9772118966243095</v>
      </c>
      <c r="N36" s="66">
        <f t="shared" si="273"/>
        <v>5.0468928631770495</v>
      </c>
      <c r="O36" s="66">
        <f t="shared" si="273"/>
        <v>5.1175493632615279</v>
      </c>
      <c r="P36" s="66">
        <f t="shared" si="273"/>
        <v>5.1891950543471896</v>
      </c>
      <c r="Q36" s="66">
        <f t="shared" si="273"/>
        <v>5.2618437851080504</v>
      </c>
      <c r="R36" s="66">
        <f t="shared" si="273"/>
        <v>5.3355095980995628</v>
      </c>
      <c r="S36" s="66">
        <f t="shared" si="273"/>
        <v>5.4102067324729566</v>
      </c>
      <c r="T36" s="66">
        <f t="shared" si="273"/>
        <v>5.485949626727578</v>
      </c>
      <c r="U36" s="66">
        <f t="shared" si="273"/>
        <v>5.5627529215017644</v>
      </c>
      <c r="V36" s="66">
        <f t="shared" si="273"/>
        <v>5.6406314624027889</v>
      </c>
      <c r="W36" s="66">
        <f t="shared" si="273"/>
        <v>5.7196003028764277</v>
      </c>
      <c r="X36" s="66">
        <f t="shared" si="273"/>
        <v>5.7996747071166981</v>
      </c>
      <c r="Y36" s="66">
        <f t="shared" si="273"/>
        <v>5.8808701530163319</v>
      </c>
      <c r="Z36" s="66">
        <f t="shared" si="273"/>
        <v>5.9632023351585604</v>
      </c>
      <c r="AA36" s="66">
        <f t="shared" si="273"/>
        <v>6.0466871678507799</v>
      </c>
      <c r="AB36" s="66">
        <f t="shared" si="273"/>
        <v>6.1313407882006912</v>
      </c>
      <c r="AC36" s="66">
        <f t="shared" si="273"/>
        <v>6.2171795592355013</v>
      </c>
      <c r="AD36" s="66">
        <f t="shared" si="273"/>
        <v>6.3042200730647986</v>
      </c>
      <c r="AE36" s="66">
        <f t="shared" si="273"/>
        <v>6.392479154087706</v>
      </c>
      <c r="AF36" s="66">
        <f t="shared" si="273"/>
        <v>6.4819738622449341</v>
      </c>
      <c r="AG36" s="66">
        <f t="shared" si="273"/>
        <v>6.5727214963163636</v>
      </c>
      <c r="AH36" s="66">
        <f>AH29-AH32-AH35</f>
        <v>6.6647395972647931</v>
      </c>
      <c r="AJ36" s="66">
        <f>AJ29-AJ32-AJ35</f>
        <v>4.3918200345154137</v>
      </c>
      <c r="AK36" s="66">
        <f t="shared" ref="AK36:BM36" si="274">AK29-AK32-AK35</f>
        <v>4.4533055149986298</v>
      </c>
      <c r="AL36" s="66">
        <f t="shared" si="274"/>
        <v>4.5156517922086108</v>
      </c>
      <c r="AM36" s="66">
        <f t="shared" si="274"/>
        <v>4.5788709172995317</v>
      </c>
      <c r="AN36" s="66">
        <f t="shared" si="274"/>
        <v>4.6429751101417249</v>
      </c>
      <c r="AO36" s="66">
        <f t="shared" si="274"/>
        <v>4.7079767616837094</v>
      </c>
      <c r="AP36" s="66">
        <f t="shared" si="274"/>
        <v>4.7738884363472813</v>
      </c>
      <c r="AQ36" s="66">
        <f t="shared" si="274"/>
        <v>4.8407228744561435</v>
      </c>
      <c r="AR36" s="66">
        <f t="shared" si="274"/>
        <v>4.9084929946985296</v>
      </c>
      <c r="AS36" s="66">
        <f t="shared" si="274"/>
        <v>4.9772118966243095</v>
      </c>
      <c r="AT36" s="66">
        <f t="shared" si="274"/>
        <v>5.0468928631770495</v>
      </c>
      <c r="AU36" s="66">
        <f t="shared" si="274"/>
        <v>5.1175493632615279</v>
      </c>
      <c r="AV36" s="66">
        <f t="shared" si="274"/>
        <v>5.1891950543471896</v>
      </c>
      <c r="AW36" s="66">
        <f t="shared" si="274"/>
        <v>5.2618437851080504</v>
      </c>
      <c r="AX36" s="66">
        <f t="shared" si="274"/>
        <v>5.3355095980995628</v>
      </c>
      <c r="AY36" s="66">
        <f t="shared" si="274"/>
        <v>5.4102067324729566</v>
      </c>
      <c r="AZ36" s="66">
        <f t="shared" si="274"/>
        <v>5.485949626727578</v>
      </c>
      <c r="BA36" s="66">
        <f t="shared" si="274"/>
        <v>5.5627529215017644</v>
      </c>
      <c r="BB36" s="66">
        <f t="shared" si="274"/>
        <v>5.6406314624027889</v>
      </c>
      <c r="BC36" s="66">
        <f t="shared" si="274"/>
        <v>5.7196003028764277</v>
      </c>
      <c r="BD36" s="66">
        <f t="shared" si="274"/>
        <v>5.7996747071166981</v>
      </c>
      <c r="BE36" s="66">
        <f t="shared" si="274"/>
        <v>5.8808701530163319</v>
      </c>
      <c r="BF36" s="66">
        <f t="shared" si="274"/>
        <v>5.9632023351585604</v>
      </c>
      <c r="BG36" s="66">
        <f t="shared" si="274"/>
        <v>6.0466871678507799</v>
      </c>
      <c r="BH36" s="66">
        <f t="shared" si="274"/>
        <v>6.1313407882006912</v>
      </c>
      <c r="BI36" s="66">
        <f t="shared" si="274"/>
        <v>6.2171795592355013</v>
      </c>
      <c r="BJ36" s="66">
        <f t="shared" si="274"/>
        <v>6.3042200730647986</v>
      </c>
      <c r="BK36" s="66">
        <f t="shared" si="274"/>
        <v>6.392479154087706</v>
      </c>
      <c r="BL36" s="66">
        <f t="shared" si="274"/>
        <v>6.4819738622449341</v>
      </c>
      <c r="BM36" s="66">
        <f t="shared" si="274"/>
        <v>6.5727214963163636</v>
      </c>
      <c r="BN36" s="66">
        <f>BN29-BN32-BN35</f>
        <v>6.6647395972647931</v>
      </c>
      <c r="BR36" t="s">
        <v>53</v>
      </c>
      <c r="BS36" s="44">
        <f>D4</f>
        <v>102.16223893794903</v>
      </c>
    </row>
    <row r="37" spans="1:75" s="67" customFormat="1">
      <c r="A37" s="752"/>
      <c r="B37" s="58" t="s">
        <v>246</v>
      </c>
      <c r="C37" s="59" t="s">
        <v>153</v>
      </c>
      <c r="D37" s="60">
        <f>D$7/(D$7+D$9)*D36</f>
        <v>0.73643027914893988</v>
      </c>
      <c r="E37" s="60">
        <f t="shared" ref="E37" si="275">E$7/(E$7+E$9)*E36</f>
        <v>0.72904649720286097</v>
      </c>
      <c r="F37" s="60">
        <f t="shared" ref="F37" si="276">F$7/(F$7+F$9)*F36</f>
        <v>0.7242148613519992</v>
      </c>
      <c r="G37" s="60">
        <f t="shared" ref="G37" si="277">G$7/(G$7+G$9)*G36</f>
        <v>0.72142691857600383</v>
      </c>
      <c r="H37" s="60">
        <f t="shared" ref="H37" si="278">H$7/(H$7+H$9)*H36</f>
        <v>0.72030984516977581</v>
      </c>
      <c r="I37" s="60">
        <f t="shared" ref="I37" si="279">I$7/(I$7+I$9)*I36</f>
        <v>0.72058435584829961</v>
      </c>
      <c r="J37" s="60">
        <f t="shared" ref="J37" si="280">J$7/(J$7+J$9)*J36</f>
        <v>0.72203738324592159</v>
      </c>
      <c r="K37" s="60">
        <f t="shared" ref="K37" si="281">K$7/(K$7+K$9)*K36</f>
        <v>0.72450381542935993</v>
      </c>
      <c r="L37" s="60">
        <f t="shared" ref="L37" si="282">L$7/(L$7+L$9)*L36</f>
        <v>0.7278539717218625</v>
      </c>
      <c r="M37" s="60">
        <f t="shared" ref="M37" si="283">M$7/(M$7+M$9)*M36</f>
        <v>0.73198481844273056</v>
      </c>
      <c r="N37" s="60">
        <f t="shared" ref="N37" si="284">N$7/(N$7+N$9)*N36</f>
        <v>0.73681368387134605</v>
      </c>
      <c r="O37" s="60">
        <f t="shared" ref="O37" si="285">O$7/(O$7+O$9)*O36</f>
        <v>0.74968485145319286</v>
      </c>
      <c r="P37" s="60">
        <f t="shared" ref="P37" si="286">P$7/(P$7+P$9)*P36</f>
        <v>0.7628864770629461</v>
      </c>
      <c r="Q37" s="60">
        <f t="shared" ref="Q37" si="287">Q$7/(Q$7+Q$9)*Q36</f>
        <v>0.77642891465126562</v>
      </c>
      <c r="R37" s="60">
        <f t="shared" ref="R37" si="288">R$7/(R$7+R$9)*R36</f>
        <v>0.79032304874346504</v>
      </c>
      <c r="S37" s="60">
        <f t="shared" ref="S37" si="289">S$7/(S$7+S$9)*S36</f>
        <v>0.80458032160683446</v>
      </c>
      <c r="T37" s="60">
        <f t="shared" ref="T37" si="290">T$7/(T$7+T$9)*T36</f>
        <v>0.81983093365862458</v>
      </c>
      <c r="U37" s="60">
        <f t="shared" ref="U37" si="291">U$7/(U$7+U$9)*U36</f>
        <v>0.83549423028510394</v>
      </c>
      <c r="V37" s="60">
        <f t="shared" ref="V37" si="292">V$7/(V$7+V$9)*V36</f>
        <v>0.85158548883684226</v>
      </c>
      <c r="W37" s="60">
        <f t="shared" ref="W37" si="293">W$7/(W$7+W$9)*W36</f>
        <v>0.86812079204798709</v>
      </c>
      <c r="X37" s="60">
        <f t="shared" ref="X37" si="294">X$7/(X$7+X$9)*X36</f>
        <v>0.88511707994476041</v>
      </c>
      <c r="Y37" s="60">
        <f t="shared" ref="Y37" si="295">Y$7/(Y$7+Y$9)*Y36</f>
        <v>0.90399175132403842</v>
      </c>
      <c r="Z37" s="60">
        <f t="shared" ref="Z37" si="296">Z$7/(Z$7+Z$9)*Z36</f>
        <v>0.92344858177382638</v>
      </c>
      <c r="AA37" s="60">
        <f t="shared" ref="AA37" si="297">AA$7/(AA$7+AA$9)*AA36</f>
        <v>0.94351382956423679</v>
      </c>
      <c r="AB37" s="60">
        <f t="shared" ref="AB37" si="298">AB$7/(AB$7+AB$9)*AB36</f>
        <v>0.96421537687373926</v>
      </c>
      <c r="AC37" s="60">
        <f t="shared" ref="AC37" si="299">AC$7/(AC$7+AC$9)*AC36</f>
        <v>0.98558285753876673</v>
      </c>
      <c r="AD37" s="60">
        <f t="shared" ref="AD37" si="300">AD$7/(AD$7+AD$9)*AD36</f>
        <v>1.0076477970643605</v>
      </c>
      <c r="AE37" s="60">
        <f t="shared" ref="AE37" si="301">AE$7/(AE$7+AE$9)*AE36</f>
        <v>1.030443766290331</v>
      </c>
      <c r="AF37" s="60">
        <f t="shared" ref="AF37" si="302">AF$7/(AF$7+AF$9)*AF36</f>
        <v>1.0540065502917149</v>
      </c>
      <c r="AG37" s="60">
        <f t="shared" ref="AG37" si="303">AG$7/(AG$7+AG$9)*AG36</f>
        <v>1.0783743343044341</v>
      </c>
      <c r="AH37" s="60">
        <f t="shared" ref="AH37" si="304">AH$7/(AH$7+AH$9)*AH36</f>
        <v>1.1035879087118297</v>
      </c>
      <c r="AJ37" s="60">
        <f>AJ$7/(AJ$7+AJ$9)*AJ36</f>
        <v>0.73643027914893988</v>
      </c>
      <c r="AK37" s="60">
        <f t="shared" ref="AK37" si="305">AK$7/(AK$7+AK$9)*AK36</f>
        <v>0.72904649720286097</v>
      </c>
      <c r="AL37" s="60">
        <f t="shared" ref="AL37" si="306">AL$7/(AL$7+AL$9)*AL36</f>
        <v>0.7242148613519992</v>
      </c>
      <c r="AM37" s="60">
        <f t="shared" ref="AM37" si="307">AM$7/(AM$7+AM$9)*AM36</f>
        <v>0.72142691857600383</v>
      </c>
      <c r="AN37" s="60">
        <f t="shared" ref="AN37" si="308">AN$7/(AN$7+AN$9)*AN36</f>
        <v>0.72030984516977581</v>
      </c>
      <c r="AO37" s="60">
        <f t="shared" ref="AO37" si="309">AO$7/(AO$7+AO$9)*AO36</f>
        <v>0.72058435584829961</v>
      </c>
      <c r="AP37" s="60">
        <f t="shared" ref="AP37" si="310">AP$7/(AP$7+AP$9)*AP36</f>
        <v>0.72203738324592159</v>
      </c>
      <c r="AQ37" s="60">
        <f t="shared" ref="AQ37" si="311">AQ$7/(AQ$7+AQ$9)*AQ36</f>
        <v>0.72450381542935993</v>
      </c>
      <c r="AR37" s="60">
        <f t="shared" ref="AR37" si="312">AR$7/(AR$7+AR$9)*AR36</f>
        <v>0.7278539717218625</v>
      </c>
      <c r="AS37" s="60">
        <f t="shared" ref="AS37" si="313">AS$7/(AS$7+AS$9)*AS36</f>
        <v>0.73198481844273056</v>
      </c>
      <c r="AT37" s="60">
        <f t="shared" ref="AT37" si="314">AT$7/(AT$7+AT$9)*AT36</f>
        <v>0.73681368387134605</v>
      </c>
      <c r="AU37" s="60">
        <f t="shared" ref="AU37" si="315">AU$7/(AU$7+AU$9)*AU36</f>
        <v>0.74968485145319286</v>
      </c>
      <c r="AV37" s="60">
        <f t="shared" ref="AV37" si="316">AV$7/(AV$7+AV$9)*AV36</f>
        <v>0.7628864770629461</v>
      </c>
      <c r="AW37" s="60">
        <f t="shared" ref="AW37" si="317">AW$7/(AW$7+AW$9)*AW36</f>
        <v>0.77642891465126562</v>
      </c>
      <c r="AX37" s="60">
        <f t="shared" ref="AX37" si="318">AX$7/(AX$7+AX$9)*AX36</f>
        <v>0.79032304874346504</v>
      </c>
      <c r="AY37" s="60">
        <f t="shared" ref="AY37" si="319">AY$7/(AY$7+AY$9)*AY36</f>
        <v>0.80458032160683446</v>
      </c>
      <c r="AZ37" s="60">
        <f t="shared" ref="AZ37" si="320">AZ$7/(AZ$7+AZ$9)*AZ36</f>
        <v>0.81983093365862458</v>
      </c>
      <c r="BA37" s="60">
        <f t="shared" ref="BA37" si="321">BA$7/(BA$7+BA$9)*BA36</f>
        <v>0.83549423028510394</v>
      </c>
      <c r="BB37" s="60">
        <f t="shared" ref="BB37" si="322">BB$7/(BB$7+BB$9)*BB36</f>
        <v>0.85158548883684226</v>
      </c>
      <c r="BC37" s="60">
        <f t="shared" ref="BC37" si="323">BC$7/(BC$7+BC$9)*BC36</f>
        <v>0.86812079204798709</v>
      </c>
      <c r="BD37" s="60">
        <f t="shared" ref="BD37" si="324">BD$7/(BD$7+BD$9)*BD36</f>
        <v>0.88511707994476041</v>
      </c>
      <c r="BE37" s="60">
        <f t="shared" ref="BE37" si="325">BE$7/(BE$7+BE$9)*BE36</f>
        <v>0.90399175132403842</v>
      </c>
      <c r="BF37" s="60">
        <f t="shared" ref="BF37" si="326">BF$7/(BF$7+BF$9)*BF36</f>
        <v>0.92344858177382638</v>
      </c>
      <c r="BG37" s="60">
        <f t="shared" ref="BG37" si="327">BG$7/(BG$7+BG$9)*BG36</f>
        <v>0.94351382956423679</v>
      </c>
      <c r="BH37" s="60">
        <f t="shared" ref="BH37" si="328">BH$7/(BH$7+BH$9)*BH36</f>
        <v>0.96421537687373926</v>
      </c>
      <c r="BI37" s="60">
        <f t="shared" ref="BI37" si="329">BI$7/(BI$7+BI$9)*BI36</f>
        <v>0.98558285753876673</v>
      </c>
      <c r="BJ37" s="60">
        <f t="shared" ref="BJ37" si="330">BJ$7/(BJ$7+BJ$9)*BJ36</f>
        <v>1.0076477970643605</v>
      </c>
      <c r="BK37" s="60">
        <f t="shared" ref="BK37" si="331">BK$7/(BK$7+BK$9)*BK36</f>
        <v>1.030443766290331</v>
      </c>
      <c r="BL37" s="60">
        <f t="shared" ref="BL37" si="332">BL$7/(BL$7+BL$9)*BL36</f>
        <v>1.0540065502917149</v>
      </c>
      <c r="BM37" s="60">
        <f t="shared" ref="BM37" si="333">BM$7/(BM$7+BM$9)*BM36</f>
        <v>1.0783743343044341</v>
      </c>
      <c r="BN37" s="60">
        <f t="shared" ref="BN37" si="334">BN$7/(BN$7+BN$9)*BN36</f>
        <v>1.1035879087118297</v>
      </c>
    </row>
    <row r="38" spans="1:75">
      <c r="A38" s="753"/>
      <c r="B38" s="1" t="s">
        <v>247</v>
      </c>
      <c r="C38" s="54" t="s">
        <v>153</v>
      </c>
      <c r="D38" s="44">
        <v>0</v>
      </c>
      <c r="E38" s="44">
        <v>0</v>
      </c>
      <c r="F38" s="44">
        <v>0</v>
      </c>
      <c r="G38" s="44">
        <v>0</v>
      </c>
      <c r="H38" s="44">
        <v>0</v>
      </c>
      <c r="I38" s="44">
        <v>0</v>
      </c>
      <c r="J38" s="44">
        <v>0</v>
      </c>
      <c r="K38" s="44">
        <v>0</v>
      </c>
      <c r="L38" s="44">
        <v>0</v>
      </c>
      <c r="M38" s="44">
        <v>0</v>
      </c>
      <c r="N38" s="44">
        <v>0</v>
      </c>
      <c r="O38" s="44">
        <v>0</v>
      </c>
      <c r="P38" s="44">
        <v>0</v>
      </c>
      <c r="Q38" s="44">
        <v>0</v>
      </c>
      <c r="R38" s="44">
        <v>0</v>
      </c>
      <c r="S38" s="44">
        <v>0</v>
      </c>
      <c r="T38" s="44">
        <v>0</v>
      </c>
      <c r="U38" s="44">
        <v>0</v>
      </c>
      <c r="V38" s="44">
        <v>0</v>
      </c>
      <c r="W38" s="44">
        <v>0</v>
      </c>
      <c r="X38" s="44">
        <v>0</v>
      </c>
      <c r="Y38" s="44">
        <v>0</v>
      </c>
      <c r="Z38" s="44">
        <v>0</v>
      </c>
      <c r="AA38" s="44">
        <v>0</v>
      </c>
      <c r="AB38" s="44">
        <v>0</v>
      </c>
      <c r="AC38" s="44">
        <v>0</v>
      </c>
      <c r="AD38" s="44">
        <v>0</v>
      </c>
      <c r="AE38" s="44">
        <v>0</v>
      </c>
      <c r="AF38" s="44">
        <v>0</v>
      </c>
      <c r="AG38" s="44">
        <v>0</v>
      </c>
      <c r="AH38" s="44">
        <v>0</v>
      </c>
      <c r="AJ38" s="44">
        <v>0</v>
      </c>
      <c r="AK38" s="44">
        <v>0</v>
      </c>
      <c r="AL38" s="44">
        <v>0</v>
      </c>
      <c r="AM38" s="44">
        <v>0</v>
      </c>
      <c r="AN38" s="44">
        <v>0</v>
      </c>
      <c r="AO38" s="44">
        <v>0</v>
      </c>
      <c r="AP38" s="44">
        <v>0</v>
      </c>
      <c r="AQ38" s="44">
        <v>0</v>
      </c>
      <c r="AR38" s="44">
        <v>0</v>
      </c>
      <c r="AS38" s="44">
        <v>0</v>
      </c>
      <c r="AT38" s="44">
        <v>0</v>
      </c>
      <c r="AU38" s="44">
        <v>0</v>
      </c>
      <c r="AV38" s="44">
        <v>0</v>
      </c>
      <c r="AW38" s="44">
        <v>0</v>
      </c>
      <c r="AX38" s="44">
        <v>0</v>
      </c>
      <c r="AY38" s="44">
        <v>0</v>
      </c>
      <c r="AZ38" s="44">
        <v>0</v>
      </c>
      <c r="BA38" s="44">
        <v>0</v>
      </c>
      <c r="BB38" s="44">
        <v>0</v>
      </c>
      <c r="BC38" s="44">
        <v>0</v>
      </c>
      <c r="BD38" s="44">
        <v>0</v>
      </c>
      <c r="BE38" s="44">
        <v>0</v>
      </c>
      <c r="BF38" s="44">
        <v>0</v>
      </c>
      <c r="BG38" s="44">
        <v>0</v>
      </c>
      <c r="BH38" s="44">
        <v>0</v>
      </c>
      <c r="BI38" s="44">
        <v>0</v>
      </c>
      <c r="BJ38" s="44">
        <v>0</v>
      </c>
      <c r="BK38" s="44">
        <v>0</v>
      </c>
      <c r="BL38" s="44">
        <v>0</v>
      </c>
      <c r="BM38" s="44">
        <v>0</v>
      </c>
      <c r="BN38" s="44">
        <v>0</v>
      </c>
    </row>
    <row r="39" spans="1:75" s="68" customFormat="1">
      <c r="A39" s="754"/>
      <c r="B39" s="62" t="s">
        <v>248</v>
      </c>
      <c r="C39" s="283" t="s">
        <v>153</v>
      </c>
      <c r="D39" s="284">
        <f>D$9/(D$7+D$9)*D36</f>
        <v>3.6553897553664738</v>
      </c>
      <c r="E39" s="284">
        <f t="shared" ref="E39:AH39" si="335">E$9/(E$7+E$9)*E36</f>
        <v>3.7242590177957684</v>
      </c>
      <c r="F39" s="284">
        <f t="shared" si="335"/>
        <v>3.7914369308566118</v>
      </c>
      <c r="G39" s="284">
        <f t="shared" si="335"/>
        <v>3.8574439987235278</v>
      </c>
      <c r="H39" s="284">
        <f t="shared" si="335"/>
        <v>3.9226652649719491</v>
      </c>
      <c r="I39" s="284">
        <f t="shared" si="335"/>
        <v>3.9873924058354095</v>
      </c>
      <c r="J39" s="284">
        <f t="shared" si="335"/>
        <v>4.0518510531013598</v>
      </c>
      <c r="K39" s="284">
        <f t="shared" si="335"/>
        <v>4.1162190590267835</v>
      </c>
      <c r="L39" s="284">
        <f t="shared" si="335"/>
        <v>4.1806390229766679</v>
      </c>
      <c r="M39" s="284">
        <f t="shared" si="335"/>
        <v>4.2452270781815793</v>
      </c>
      <c r="N39" s="284">
        <f t="shared" si="335"/>
        <v>4.3100791793057036</v>
      </c>
      <c r="O39" s="284">
        <f t="shared" si="335"/>
        <v>4.3678645118083352</v>
      </c>
      <c r="P39" s="284">
        <f t="shared" si="335"/>
        <v>4.4263085772842432</v>
      </c>
      <c r="Q39" s="284">
        <f t="shared" si="335"/>
        <v>4.4854148704567844</v>
      </c>
      <c r="R39" s="284">
        <f t="shared" si="335"/>
        <v>4.5451865493560977</v>
      </c>
      <c r="S39" s="284">
        <f t="shared" si="335"/>
        <v>4.6056264108661216</v>
      </c>
      <c r="T39" s="284">
        <f t="shared" si="335"/>
        <v>4.6661186930689533</v>
      </c>
      <c r="U39" s="284">
        <f t="shared" si="335"/>
        <v>4.7272586912166608</v>
      </c>
      <c r="V39" s="284">
        <f t="shared" si="335"/>
        <v>4.7890459735659467</v>
      </c>
      <c r="W39" s="284">
        <f t="shared" si="335"/>
        <v>4.8514795108284403</v>
      </c>
      <c r="X39" s="284">
        <f t="shared" si="335"/>
        <v>4.9145576271719378</v>
      </c>
      <c r="Y39" s="284">
        <f t="shared" si="335"/>
        <v>4.9768784016922938</v>
      </c>
      <c r="Z39" s="284">
        <f t="shared" si="335"/>
        <v>5.0397537533847343</v>
      </c>
      <c r="AA39" s="284">
        <f t="shared" si="335"/>
        <v>5.1031733382865436</v>
      </c>
      <c r="AB39" s="284">
        <f t="shared" si="335"/>
        <v>5.1671254113269516</v>
      </c>
      <c r="AC39" s="284">
        <f t="shared" si="335"/>
        <v>5.2315967016967351</v>
      </c>
      <c r="AD39" s="284">
        <f t="shared" si="335"/>
        <v>5.2965722760004388</v>
      </c>
      <c r="AE39" s="284">
        <f t="shared" si="335"/>
        <v>5.3620353877973752</v>
      </c>
      <c r="AF39" s="284">
        <f t="shared" si="335"/>
        <v>5.4279673119532195</v>
      </c>
      <c r="AG39" s="284">
        <f t="shared" si="335"/>
        <v>5.4943471620119295</v>
      </c>
      <c r="AH39" s="284">
        <f t="shared" si="335"/>
        <v>5.5611516885529637</v>
      </c>
      <c r="AJ39" s="284">
        <f>AJ$9/(AJ$7+AJ$9)*AJ36</f>
        <v>3.6553897553664738</v>
      </c>
      <c r="AK39" s="284">
        <f t="shared" ref="AK39:BN39" si="336">AK$9/(AK$7+AK$9)*AK36</f>
        <v>3.7242590177957684</v>
      </c>
      <c r="AL39" s="284">
        <f t="shared" si="336"/>
        <v>3.7914369308566118</v>
      </c>
      <c r="AM39" s="284">
        <f t="shared" si="336"/>
        <v>3.8574439987235278</v>
      </c>
      <c r="AN39" s="284">
        <f t="shared" si="336"/>
        <v>3.9226652649719491</v>
      </c>
      <c r="AO39" s="284">
        <f t="shared" si="336"/>
        <v>3.9873924058354095</v>
      </c>
      <c r="AP39" s="284">
        <f t="shared" si="336"/>
        <v>4.0518510531013598</v>
      </c>
      <c r="AQ39" s="284">
        <f t="shared" si="336"/>
        <v>4.1162190590267835</v>
      </c>
      <c r="AR39" s="284">
        <f t="shared" si="336"/>
        <v>4.1806390229766679</v>
      </c>
      <c r="AS39" s="284">
        <f t="shared" si="336"/>
        <v>4.2452270781815793</v>
      </c>
      <c r="AT39" s="284">
        <f t="shared" si="336"/>
        <v>4.3100791793057036</v>
      </c>
      <c r="AU39" s="284">
        <f t="shared" si="336"/>
        <v>4.3678645118083352</v>
      </c>
      <c r="AV39" s="284">
        <f t="shared" si="336"/>
        <v>4.4263085772842432</v>
      </c>
      <c r="AW39" s="284">
        <f t="shared" si="336"/>
        <v>4.4854148704567844</v>
      </c>
      <c r="AX39" s="284">
        <f t="shared" si="336"/>
        <v>4.5451865493560977</v>
      </c>
      <c r="AY39" s="284">
        <f t="shared" si="336"/>
        <v>4.6056264108661216</v>
      </c>
      <c r="AZ39" s="284">
        <f t="shared" si="336"/>
        <v>4.6661186930689533</v>
      </c>
      <c r="BA39" s="284">
        <f t="shared" si="336"/>
        <v>4.7272586912166608</v>
      </c>
      <c r="BB39" s="284">
        <f t="shared" si="336"/>
        <v>4.7890459735659467</v>
      </c>
      <c r="BC39" s="284">
        <f t="shared" si="336"/>
        <v>4.8514795108284403</v>
      </c>
      <c r="BD39" s="284">
        <f t="shared" si="336"/>
        <v>4.9145576271719378</v>
      </c>
      <c r="BE39" s="284">
        <f t="shared" si="336"/>
        <v>4.9768784016922938</v>
      </c>
      <c r="BF39" s="284">
        <f t="shared" si="336"/>
        <v>5.0397537533847343</v>
      </c>
      <c r="BG39" s="284">
        <f t="shared" si="336"/>
        <v>5.1031733382865436</v>
      </c>
      <c r="BH39" s="284">
        <f t="shared" si="336"/>
        <v>5.1671254113269516</v>
      </c>
      <c r="BI39" s="284">
        <f t="shared" si="336"/>
        <v>5.2315967016967351</v>
      </c>
      <c r="BJ39" s="284">
        <f t="shared" si="336"/>
        <v>5.2965722760004388</v>
      </c>
      <c r="BK39" s="284">
        <f t="shared" si="336"/>
        <v>5.3620353877973752</v>
      </c>
      <c r="BL39" s="284">
        <f t="shared" si="336"/>
        <v>5.4279673119532195</v>
      </c>
      <c r="BM39" s="284">
        <f t="shared" si="336"/>
        <v>5.4943471620119295</v>
      </c>
      <c r="BN39" s="284">
        <f t="shared" si="336"/>
        <v>5.5611516885529637</v>
      </c>
    </row>
    <row r="40" spans="1:75" s="1" customFormat="1">
      <c r="A40" s="58" t="s">
        <v>204</v>
      </c>
      <c r="B40" s="58" t="s">
        <v>199</v>
      </c>
      <c r="C40" s="100" t="s">
        <v>153</v>
      </c>
      <c r="D40" s="101">
        <f>'Demand - Industry shares'!L83</f>
        <v>3.219812080101577</v>
      </c>
      <c r="E40" s="101">
        <f>D40*(1+'Demand Breakdown - Methanol'!$N$38)</f>
        <v>3.2745488854633034</v>
      </c>
      <c r="F40" s="101">
        <f>E40*(1+'Demand Breakdown - Methanol'!$N$38)</f>
        <v>3.3302162165161793</v>
      </c>
      <c r="G40" s="101">
        <f>F40*(1+'Demand Breakdown - Methanol'!$N$38)</f>
        <v>3.3868298921969542</v>
      </c>
      <c r="H40" s="101">
        <f>G40*(1+'Demand Breakdown - Methanol'!$N$38)</f>
        <v>3.4444060003643022</v>
      </c>
      <c r="I40" s="101">
        <f>H40*(1+'Demand Breakdown - Methanol'!$N$38)</f>
        <v>3.5029609023704951</v>
      </c>
      <c r="J40" s="101">
        <f>I40*(1+'Demand Breakdown - Methanol'!$N$38)</f>
        <v>3.562511237710793</v>
      </c>
      <c r="K40" s="101">
        <f>J40*(1+'Demand Breakdown - Methanol'!$N$38)</f>
        <v>3.6230739287518761</v>
      </c>
      <c r="L40" s="101">
        <f>K40*(1+'Demand Breakdown - Methanol'!$N$38)</f>
        <v>3.6846661855406575</v>
      </c>
      <c r="M40" s="101">
        <f>L40*(1+'Demand Breakdown - Methanol'!$N$38)</f>
        <v>3.7473055106948485</v>
      </c>
      <c r="N40" s="101">
        <f>M40*(1+'Demand Breakdown - Methanol'!$N$38)</f>
        <v>3.8110097043766604</v>
      </c>
      <c r="O40" s="101">
        <f>N40*(1+'Demand Breakdown - Methanol'!$N$38)</f>
        <v>3.8757968693510634</v>
      </c>
      <c r="P40" s="101">
        <f>O40*(1+'Demand Breakdown - Methanol'!$N$38)</f>
        <v>3.941685416130031</v>
      </c>
      <c r="Q40" s="101">
        <f>P40*(1+'Demand Breakdown - Methanol'!$N$38)</f>
        <v>4.0086940682042416</v>
      </c>
      <c r="R40" s="101">
        <f>Q40*(1+'Demand Breakdown - Methanol'!$N$38)</f>
        <v>4.0768418673637132</v>
      </c>
      <c r="S40" s="101">
        <f>R40*(1+'Demand Breakdown - Methanol'!$N$38)</f>
        <v>4.1461481791088959</v>
      </c>
      <c r="T40" s="101">
        <f>S40*(1+'Demand Breakdown - Methanol'!$N$38)</f>
        <v>4.216632698153747</v>
      </c>
      <c r="U40" s="101">
        <f>T40*(1+'Demand Breakdown - Methanol'!$N$38)</f>
        <v>4.28831545402236</v>
      </c>
      <c r="V40" s="101">
        <f>U40*(1+'Demand Breakdown - Methanol'!$N$38)</f>
        <v>4.3612168167407397</v>
      </c>
      <c r="W40" s="101">
        <f>V40*(1+'Demand Breakdown - Methanol'!$N$38)</f>
        <v>4.4353575026253322</v>
      </c>
      <c r="X40" s="101">
        <f>W40*(1+'Demand Breakdown - Methanol'!$N$38)</f>
        <v>4.5107585801699628</v>
      </c>
      <c r="Y40" s="101">
        <f>X40*(1+'Demand Breakdown - Methanol'!$N$38)</f>
        <v>4.5874414760328515</v>
      </c>
      <c r="Z40" s="101">
        <f>Y40*(1+'Demand Breakdown - Methanol'!$N$38)</f>
        <v>4.6654279811254096</v>
      </c>
      <c r="AA40" s="101">
        <f>Z40*(1+'Demand Breakdown - Methanol'!$N$38)</f>
        <v>4.7447402568045414</v>
      </c>
      <c r="AB40" s="101">
        <f>AA40*(1+'Demand Breakdown - Methanol'!$N$38)</f>
        <v>4.8254008411702181</v>
      </c>
      <c r="AC40" s="101">
        <f>AB40*(1+'Demand Breakdown - Methanol'!$N$38)</f>
        <v>4.9074326554701111</v>
      </c>
      <c r="AD40" s="101">
        <f>AC40*(1+'Demand Breakdown - Methanol'!$N$38)</f>
        <v>4.9908590106131028</v>
      </c>
      <c r="AE40" s="101">
        <f>AD40*(1+'Demand Breakdown - Methanol'!$N$38)</f>
        <v>5.0757036137935252</v>
      </c>
      <c r="AF40" s="101">
        <f>AE40*(1+'Demand Breakdown - Methanol'!$N$38)</f>
        <v>5.1619905752280149</v>
      </c>
      <c r="AG40" s="101">
        <f>AF40*(1+'Demand Breakdown - Methanol'!$N$38)</f>
        <v>5.2497444150068908</v>
      </c>
      <c r="AH40" s="101">
        <f>AG40*(1+'Demand Breakdown - Methanol'!$N$38)</f>
        <v>5.3389900700620077</v>
      </c>
      <c r="AJ40" s="101">
        <f>D40</f>
        <v>3.219812080101577</v>
      </c>
      <c r="AK40" s="101">
        <f>AJ40*(1+'Demand Breakdown - Methanol'!$N$38)</f>
        <v>3.2745488854633034</v>
      </c>
      <c r="AL40" s="101">
        <f>AK40*(1+'Demand Breakdown - Methanol'!$N$38)</f>
        <v>3.3302162165161793</v>
      </c>
      <c r="AM40" s="101">
        <f>AL40*(1+'Demand Breakdown - Methanol'!$N$38)</f>
        <v>3.3868298921969542</v>
      </c>
      <c r="AN40" s="101">
        <f>AM40*(1+'Demand Breakdown - Methanol'!$N$38)</f>
        <v>3.4444060003643022</v>
      </c>
      <c r="AO40" s="101">
        <f>AN40*(1+'Demand Breakdown - Methanol'!$N$38)</f>
        <v>3.5029609023704951</v>
      </c>
      <c r="AP40" s="101">
        <f>AO40*(1+'Demand Breakdown - Methanol'!$N$38)</f>
        <v>3.562511237710793</v>
      </c>
      <c r="AQ40" s="101">
        <f>AP40*(1+'Demand Breakdown - Methanol'!$N$38)</f>
        <v>3.6230739287518761</v>
      </c>
      <c r="AR40" s="101">
        <f>AQ40*(1+'Demand Breakdown - Methanol'!$N$38)</f>
        <v>3.6846661855406575</v>
      </c>
      <c r="AS40" s="101">
        <f>AR40*(1+'Demand Breakdown - Methanol'!$N$38)</f>
        <v>3.7473055106948485</v>
      </c>
      <c r="AT40" s="101">
        <f>AS40*(1+'Demand Breakdown - Methanol'!$N$38)</f>
        <v>3.8110097043766604</v>
      </c>
      <c r="AU40" s="101">
        <f>AT40*(1+'Demand Breakdown - Methanol'!$N$38)</f>
        <v>3.8757968693510634</v>
      </c>
      <c r="AV40" s="101">
        <f>AU40*(1+'Demand Breakdown - Methanol'!$N$38)</f>
        <v>3.941685416130031</v>
      </c>
      <c r="AW40" s="101">
        <f>AV40*(1+'Demand Breakdown - Methanol'!$N$38)</f>
        <v>4.0086940682042416</v>
      </c>
      <c r="AX40" s="101">
        <f>AW40*(1+'Demand Breakdown - Methanol'!$N$38)</f>
        <v>4.0768418673637132</v>
      </c>
      <c r="AY40" s="101">
        <f>AX40*(1+'Demand Breakdown - Methanol'!$N$38)</f>
        <v>4.1461481791088959</v>
      </c>
      <c r="AZ40" s="101">
        <f>AY40*(1+'Demand Breakdown - Methanol'!$N$38)</f>
        <v>4.216632698153747</v>
      </c>
      <c r="BA40" s="101">
        <f>AZ40*(1+'Demand Breakdown - Methanol'!$N$38)</f>
        <v>4.28831545402236</v>
      </c>
      <c r="BB40" s="101">
        <f>BA40*(1+'Demand Breakdown - Methanol'!$N$38)</f>
        <v>4.3612168167407397</v>
      </c>
      <c r="BC40" s="101">
        <f>BB40*(1+'Demand Breakdown - Methanol'!$N$38)</f>
        <v>4.4353575026253322</v>
      </c>
      <c r="BD40" s="101">
        <f>BC40*(1+'Demand Breakdown - Methanol'!$N$38)</f>
        <v>4.5107585801699628</v>
      </c>
      <c r="BE40" s="101">
        <f>BD40*(1+'Demand Breakdown - Methanol'!$N$38)</f>
        <v>4.5874414760328515</v>
      </c>
      <c r="BF40" s="101">
        <f>BE40*(1+'Demand Breakdown - Methanol'!$N$38)</f>
        <v>4.6654279811254096</v>
      </c>
      <c r="BG40" s="101">
        <f>BF40*(1+'Demand Breakdown - Methanol'!$N$38)</f>
        <v>4.7447402568045414</v>
      </c>
      <c r="BH40" s="101">
        <f>BG40*(1+'Demand Breakdown - Methanol'!$N$38)</f>
        <v>4.8254008411702181</v>
      </c>
      <c r="BI40" s="101">
        <f>BH40*(1+'Demand Breakdown - Methanol'!$N$38)</f>
        <v>4.9074326554701111</v>
      </c>
      <c r="BJ40" s="101">
        <f>BI40*(1+'Demand Breakdown - Methanol'!$N$38)</f>
        <v>4.9908590106131028</v>
      </c>
      <c r="BK40" s="101">
        <f>BJ40*(1+'Demand Breakdown - Methanol'!$N$38)</f>
        <v>5.0757036137935252</v>
      </c>
      <c r="BL40" s="101">
        <f>BK40*(1+'Demand Breakdown - Methanol'!$N$38)</f>
        <v>5.1619905752280149</v>
      </c>
      <c r="BM40" s="101">
        <f>BL40*(1+'Demand Breakdown - Methanol'!$N$38)</f>
        <v>5.2497444150068908</v>
      </c>
      <c r="BN40" s="101">
        <f>BM40*(1+'Demand Breakdown - Methanol'!$N$38)</f>
        <v>5.3389900700620077</v>
      </c>
    </row>
    <row r="41" spans="1:75">
      <c r="B41" s="1" t="s">
        <v>168</v>
      </c>
      <c r="C41" s="54" t="s">
        <v>153</v>
      </c>
      <c r="D41">
        <v>0</v>
      </c>
      <c r="E41" s="43">
        <f>E40*'R&amp;S - Buildings'!$D$7*'R&amp;S - Buildings'!$B$11*'R&amp;S - Buildings'!$B$15*('Yearly Methanol'!E$3-'Yearly Methanol'!$D$3)/10</f>
        <v>0</v>
      </c>
      <c r="F41" s="43">
        <f>F40*'R&amp;S - Buildings'!$D$7*'R&amp;S - Buildings'!$B$11*'R&amp;S - Buildings'!$B$15*('Yearly Methanol'!F$3-'Yearly Methanol'!$D$3)/10</f>
        <v>0</v>
      </c>
      <c r="G41" s="43">
        <f>G40*'R&amp;S - Buildings'!$D$7*'R&amp;S - Buildings'!$B$11*'R&amp;S - Buildings'!$B$15*('Yearly Methanol'!G$3-'Yearly Methanol'!$D$3)/10</f>
        <v>0</v>
      </c>
      <c r="H41" s="43">
        <f>H40*'R&amp;S - Buildings'!$D$7*'R&amp;S - Buildings'!$B$11*'R&amp;S - Buildings'!$B$15*('Yearly Methanol'!H$3-'Yearly Methanol'!$D$3)/10</f>
        <v>0</v>
      </c>
      <c r="I41" s="43">
        <f>I40*'R&amp;S - Buildings'!$D$7*'R&amp;S - Buildings'!$B$11*'R&amp;S - Buildings'!$B$15*('Yearly Methanol'!I$3-'Yearly Methanol'!$D$3)/10</f>
        <v>0</v>
      </c>
      <c r="J41" s="43">
        <f>J40*'R&amp;S - Buildings'!$D$7*'R&amp;S - Buildings'!$B$11*'R&amp;S - Buildings'!$B$15*('Yearly Methanol'!J$3-'Yearly Methanol'!$D$3)/10</f>
        <v>0</v>
      </c>
      <c r="K41" s="43">
        <f>K40*'R&amp;S - Buildings'!$D$7*'R&amp;S - Buildings'!$B$11*'R&amp;S - Buildings'!$B$15*('Yearly Methanol'!K$3-'Yearly Methanol'!$D$3)/10</f>
        <v>0</v>
      </c>
      <c r="L41" s="43">
        <f>L40*'R&amp;S - Buildings'!$D$7*'R&amp;S - Buildings'!$B$11*'R&amp;S - Buildings'!$B$15*('Yearly Methanol'!L$3-'Yearly Methanol'!$D$3)/10</f>
        <v>0</v>
      </c>
      <c r="M41" s="43">
        <f>M40*'R&amp;S - Buildings'!$D$7*'R&amp;S - Buildings'!$B$11*'R&amp;S - Buildings'!$B$15*('Yearly Methanol'!M$3-'Yearly Methanol'!$D$3)/10</f>
        <v>0</v>
      </c>
      <c r="N41" s="43">
        <f>N40*'R&amp;S - Buildings'!$D$7*'R&amp;S - Buildings'!$B$11*'R&amp;S - Buildings'!$B$15*('Yearly Methanol'!N$3-'Yearly Methanol'!$D$3)/10</f>
        <v>0</v>
      </c>
      <c r="O41" s="43">
        <f>O40*'R&amp;S - Buildings'!$D$7*('R&amp;S - Buildings'!$B$11*('R&amp;S - Buildings'!$B$15+('R&amp;S - Buildings'!$B$16-'R&amp;S - Buildings'!$B$15)*('Yearly Methanol'!O$3-'Yearly Methanol'!$N$3)/10))</f>
        <v>0</v>
      </c>
      <c r="P41" s="43">
        <f>P40*'R&amp;S - Buildings'!$D$7*('R&amp;S - Buildings'!$B$11*('R&amp;S - Buildings'!$B$15+('R&amp;S - Buildings'!$B$16-'R&amp;S - Buildings'!$B$15)*('Yearly Methanol'!P$3-'Yearly Methanol'!$N$3)/10))</f>
        <v>0</v>
      </c>
      <c r="Q41" s="43">
        <f>Q40*'R&amp;S - Buildings'!$D$7*('R&amp;S - Buildings'!$B$11*('R&amp;S - Buildings'!$B$15+('R&amp;S - Buildings'!$B$16-'R&amp;S - Buildings'!$B$15)*('Yearly Methanol'!Q$3-'Yearly Methanol'!$N$3)/10))</f>
        <v>0</v>
      </c>
      <c r="R41" s="43">
        <f>R40*'R&amp;S - Buildings'!$D$7*('R&amp;S - Buildings'!$B$11*('R&amp;S - Buildings'!$B$15+('R&amp;S - Buildings'!$B$16-'R&amp;S - Buildings'!$B$15)*('Yearly Methanol'!R$3-'Yearly Methanol'!$N$3)/10))</f>
        <v>0</v>
      </c>
      <c r="S41" s="43">
        <f>S40*'R&amp;S - Buildings'!$D$7*('R&amp;S - Buildings'!$B$11*('R&amp;S - Buildings'!$B$15+('R&amp;S - Buildings'!$B$16-'R&amp;S - Buildings'!$B$15)*('Yearly Methanol'!S$3-'Yearly Methanol'!$N$3)/10))</f>
        <v>0</v>
      </c>
      <c r="T41" s="43">
        <f>T40*'R&amp;S - Buildings'!$D$7*('R&amp;S - Buildings'!$B$11*('R&amp;S - Buildings'!$B$15+('R&amp;S - Buildings'!$B$16-'R&amp;S - Buildings'!$B$15)*('Yearly Methanol'!T$3-'Yearly Methanol'!$N$3)/10))</f>
        <v>0</v>
      </c>
      <c r="U41" s="43">
        <f>U40*'R&amp;S - Buildings'!$D$7*('R&amp;S - Buildings'!$B$11*('R&amp;S - Buildings'!$B$15+('R&amp;S - Buildings'!$B$16-'R&amp;S - Buildings'!$B$15)*('Yearly Methanol'!U$3-'Yearly Methanol'!$N$3)/10))</f>
        <v>0</v>
      </c>
      <c r="V41" s="43">
        <f>V40*'R&amp;S - Buildings'!$D$7*('R&amp;S - Buildings'!$B$11*('R&amp;S - Buildings'!$B$15+('R&amp;S - Buildings'!$B$16-'R&amp;S - Buildings'!$B$15)*('Yearly Methanol'!V$3-'Yearly Methanol'!$N$3)/10))</f>
        <v>0</v>
      </c>
      <c r="W41" s="43">
        <f>W40*'R&amp;S - Buildings'!$D$7*('R&amp;S - Buildings'!$B$11*('R&amp;S - Buildings'!$B$15+('R&amp;S - Buildings'!$B$16-'R&amp;S - Buildings'!$B$15)*('Yearly Methanol'!W$3-'Yearly Methanol'!$N$3)/10))</f>
        <v>0</v>
      </c>
      <c r="X41" s="43">
        <f>X40*'R&amp;S - Buildings'!$D$7*('R&amp;S - Buildings'!$B$11*('R&amp;S - Buildings'!$B$15+('R&amp;S - Buildings'!$B$16-'R&amp;S - Buildings'!$B$15)*('Yearly Methanol'!X$3-'Yearly Methanol'!$N$3)/10))</f>
        <v>0</v>
      </c>
      <c r="Y41" s="43">
        <f>Y40*'R&amp;S - Buildings'!$D$7*('R&amp;S - Buildings'!$B$11*('R&amp;S - Buildings'!$B$16+('R&amp;S - Buildings'!$B$17-'R&amp;S - Buildings'!$B$16)*('Yearly Methanol'!Y$3-'Yearly Methanol'!$X$3)/10))</f>
        <v>0</v>
      </c>
      <c r="Z41" s="43">
        <f>Z40*'R&amp;S - Buildings'!$D$7*('R&amp;S - Buildings'!$B$11*('R&amp;S - Buildings'!$B$16+('R&amp;S - Buildings'!$B$17-'R&amp;S - Buildings'!$B$16)*('Yearly Methanol'!Z$3-'Yearly Methanol'!$X$3)/10))</f>
        <v>0</v>
      </c>
      <c r="AA41" s="43">
        <f>AA40*'R&amp;S - Buildings'!$D$7*('R&amp;S - Buildings'!$B$11*('R&amp;S - Buildings'!$B$16+('R&amp;S - Buildings'!$B$17-'R&amp;S - Buildings'!$B$16)*('Yearly Methanol'!AA$3-'Yearly Methanol'!$X$3)/10))</f>
        <v>0</v>
      </c>
      <c r="AB41" s="43">
        <f>AB40*'R&amp;S - Buildings'!$D$7*('R&amp;S - Buildings'!$B$11*('R&amp;S - Buildings'!$B$16+('R&amp;S - Buildings'!$B$17-'R&amp;S - Buildings'!$B$16)*('Yearly Methanol'!AB$3-'Yearly Methanol'!$X$3)/10))</f>
        <v>0</v>
      </c>
      <c r="AC41" s="43">
        <f>AC40*'R&amp;S - Buildings'!$D$7*('R&amp;S - Buildings'!$B$11*('R&amp;S - Buildings'!$B$16+('R&amp;S - Buildings'!$B$17-'R&amp;S - Buildings'!$B$16)*('Yearly Methanol'!AC$3-'Yearly Methanol'!$X$3)/10))</f>
        <v>0</v>
      </c>
      <c r="AD41" s="43">
        <f>AD40*'R&amp;S - Buildings'!$D$7*('R&amp;S - Buildings'!$B$11*('R&amp;S - Buildings'!$B$16+('R&amp;S - Buildings'!$B$17-'R&amp;S - Buildings'!$B$16)*('Yearly Methanol'!AD$3-'Yearly Methanol'!$X$3)/10))</f>
        <v>0</v>
      </c>
      <c r="AE41" s="43">
        <f>AE40*'R&amp;S - Buildings'!$D$7*('R&amp;S - Buildings'!$B$11*('R&amp;S - Buildings'!$B$16+('R&amp;S - Buildings'!$B$17-'R&amp;S - Buildings'!$B$16)*('Yearly Methanol'!AE$3-'Yearly Methanol'!$X$3)/10))</f>
        <v>0</v>
      </c>
      <c r="AF41" s="43">
        <f>AF40*'R&amp;S - Buildings'!$D$7*('R&amp;S - Buildings'!$B$11*('R&amp;S - Buildings'!$B$16+('R&amp;S - Buildings'!$B$17-'R&amp;S - Buildings'!$B$16)*('Yearly Methanol'!AF$3-'Yearly Methanol'!$X$3)/10))</f>
        <v>0</v>
      </c>
      <c r="AG41" s="43">
        <f>AG40*'R&amp;S - Buildings'!$D$7*('R&amp;S - Buildings'!$B$11*('R&amp;S - Buildings'!$B$16+('R&amp;S - Buildings'!$B$17-'R&amp;S - Buildings'!$B$16)*('Yearly Methanol'!AG$3-'Yearly Methanol'!$X$3)/10))</f>
        <v>0</v>
      </c>
      <c r="AH41" s="43">
        <f>AH40*'R&amp;S - Buildings'!$D$7*('R&amp;S - Buildings'!$B$11*('R&amp;S - Buildings'!$B$16+('R&amp;S - Buildings'!$B$17-'R&amp;S - Buildings'!$B$16)*('Yearly Methanol'!AH$3-'Yearly Methanol'!$X$3)/10))</f>
        <v>0</v>
      </c>
      <c r="AJ41">
        <v>0</v>
      </c>
      <c r="AK41" s="43">
        <f>AK40*'R&amp;S - Buildings'!$D$7*'R&amp;S - Buildings'!$B$12*'R&amp;S - Buildings'!$B$15*('Yearly Methanol'!AK$3-'Yearly Methanol'!$D$3)/10</f>
        <v>0</v>
      </c>
      <c r="AL41" s="43">
        <f>AL40*'R&amp;S - Buildings'!$D$7*'R&amp;S - Buildings'!$B$12*'R&amp;S - Buildings'!$B$15*('Yearly Methanol'!AL$3-'Yearly Methanol'!$D$3)/10</f>
        <v>0</v>
      </c>
      <c r="AM41" s="43">
        <f>AM40*'R&amp;S - Buildings'!$D$7*'R&amp;S - Buildings'!$B$12*'R&amp;S - Buildings'!$B$15*('Yearly Methanol'!AM$3-'Yearly Methanol'!$D$3)/10</f>
        <v>0</v>
      </c>
      <c r="AN41" s="43">
        <f>AN40*'R&amp;S - Buildings'!$D$7*'R&amp;S - Buildings'!$B$12*'R&amp;S - Buildings'!$B$15*('Yearly Methanol'!AN$3-'Yearly Methanol'!$D$3)/10</f>
        <v>0</v>
      </c>
      <c r="AO41" s="43">
        <f>AO40*'R&amp;S - Buildings'!$D$7*'R&amp;S - Buildings'!$B$12*'R&amp;S - Buildings'!$B$15*('Yearly Methanol'!AO$3-'Yearly Methanol'!$D$3)/10</f>
        <v>0</v>
      </c>
      <c r="AP41" s="43">
        <f>AP40*'R&amp;S - Buildings'!$D$7*'R&amp;S - Buildings'!$B$12*'R&amp;S - Buildings'!$B$15*('Yearly Methanol'!AP$3-'Yearly Methanol'!$D$3)/10</f>
        <v>0</v>
      </c>
      <c r="AQ41" s="43">
        <f>AQ40*'R&amp;S - Buildings'!$D$7*'R&amp;S - Buildings'!$B$12*'R&amp;S - Buildings'!$B$15*('Yearly Methanol'!AQ$3-'Yearly Methanol'!$D$3)/10</f>
        <v>0</v>
      </c>
      <c r="AR41" s="43">
        <f>AR40*'R&amp;S - Buildings'!$D$7*'R&amp;S - Buildings'!$B$12*'R&amp;S - Buildings'!$B$15*('Yearly Methanol'!AR$3-'Yearly Methanol'!$D$3)/10</f>
        <v>0</v>
      </c>
      <c r="AS41" s="43">
        <f>AS40*'R&amp;S - Buildings'!$D$7*'R&amp;S - Buildings'!$B$12*'R&amp;S - Buildings'!$B$15*('Yearly Methanol'!AS$3-'Yearly Methanol'!$D$3)/10</f>
        <v>0</v>
      </c>
      <c r="AT41" s="43">
        <f>AT40*'R&amp;S - Buildings'!$D$7*'R&amp;S - Buildings'!$B$12*'R&amp;S - Buildings'!$B$15*('Yearly Methanol'!AT$3-'Yearly Methanol'!$D$3)/10</f>
        <v>0</v>
      </c>
      <c r="AU41" s="43">
        <f>AU40*'R&amp;S - Buildings'!$D$7*('R&amp;S - Buildings'!$B$12*('R&amp;S - Buildings'!$B$15+('R&amp;S - Buildings'!$B$16-'R&amp;S - Buildings'!$B$15)*('Yearly Methanol'!AU$3-'Yearly Methanol'!$N$3)/10))</f>
        <v>0</v>
      </c>
      <c r="AV41" s="43">
        <f>AV40*'R&amp;S - Buildings'!$D$7*('R&amp;S - Buildings'!$B$12*('R&amp;S - Buildings'!$B$15+('R&amp;S - Buildings'!$B$16-'R&amp;S - Buildings'!$B$15)*('Yearly Methanol'!AV$3-'Yearly Methanol'!$N$3)/10))</f>
        <v>0</v>
      </c>
      <c r="AW41" s="43">
        <f>AW40*'R&amp;S - Buildings'!$D$7*('R&amp;S - Buildings'!$B$12*('R&amp;S - Buildings'!$B$15+('R&amp;S - Buildings'!$B$16-'R&amp;S - Buildings'!$B$15)*('Yearly Methanol'!AW$3-'Yearly Methanol'!$N$3)/10))</f>
        <v>0</v>
      </c>
      <c r="AX41" s="43">
        <f>AX40*'R&amp;S - Buildings'!$D$7*('R&amp;S - Buildings'!$B$12*('R&amp;S - Buildings'!$B$15+('R&amp;S - Buildings'!$B$16-'R&amp;S - Buildings'!$B$15)*('Yearly Methanol'!AX$3-'Yearly Methanol'!$N$3)/10))</f>
        <v>0</v>
      </c>
      <c r="AY41" s="43">
        <f>AY40*'R&amp;S - Buildings'!$D$7*('R&amp;S - Buildings'!$B$12*('R&amp;S - Buildings'!$B$15+('R&amp;S - Buildings'!$B$16-'R&amp;S - Buildings'!$B$15)*('Yearly Methanol'!AY$3-'Yearly Methanol'!$N$3)/10))</f>
        <v>0</v>
      </c>
      <c r="AZ41" s="43">
        <f>AZ40*'R&amp;S - Buildings'!$D$7*('R&amp;S - Buildings'!$B$12*('R&amp;S - Buildings'!$B$15+('R&amp;S - Buildings'!$B$16-'R&amp;S - Buildings'!$B$15)*('Yearly Methanol'!AZ$3-'Yearly Methanol'!$N$3)/10))</f>
        <v>0</v>
      </c>
      <c r="BA41" s="43">
        <f>BA40*'R&amp;S - Buildings'!$D$7*('R&amp;S - Buildings'!$B$12*('R&amp;S - Buildings'!$B$15+('R&amp;S - Buildings'!$B$16-'R&amp;S - Buildings'!$B$15)*('Yearly Methanol'!BA$3-'Yearly Methanol'!$N$3)/10))</f>
        <v>0</v>
      </c>
      <c r="BB41" s="43">
        <f>BB40*'R&amp;S - Buildings'!$D$7*('R&amp;S - Buildings'!$B$12*('R&amp;S - Buildings'!$B$15+('R&amp;S - Buildings'!$B$16-'R&amp;S - Buildings'!$B$15)*('Yearly Methanol'!BB$3-'Yearly Methanol'!$N$3)/10))</f>
        <v>0</v>
      </c>
      <c r="BC41" s="43">
        <f>BC40*'R&amp;S - Buildings'!$D$7*('R&amp;S - Buildings'!$B$12*('R&amp;S - Buildings'!$B$15+('R&amp;S - Buildings'!$B$16-'R&amp;S - Buildings'!$B$15)*('Yearly Methanol'!BC$3-'Yearly Methanol'!$N$3)/10))</f>
        <v>0</v>
      </c>
      <c r="BD41" s="43">
        <f>BD40*'R&amp;S - Buildings'!$D$7*('R&amp;S - Buildings'!$B$12*('R&amp;S - Buildings'!$B$15+('R&amp;S - Buildings'!$B$16-'R&amp;S - Buildings'!$B$15)*('Yearly Methanol'!BD$3-'Yearly Methanol'!$N$3)/10))</f>
        <v>0</v>
      </c>
      <c r="BE41" s="43">
        <f>BE40*'R&amp;S - Buildings'!$D$7*('R&amp;S - Buildings'!$B$12*('R&amp;S - Buildings'!$B$16+('R&amp;S - Buildings'!$B$17-'R&amp;S - Buildings'!$B$16)*('Yearly Methanol'!BE$3-'Yearly Methanol'!$X$3)/10))</f>
        <v>0</v>
      </c>
      <c r="BF41" s="43">
        <f>BF40*'R&amp;S - Buildings'!$D$7*('R&amp;S - Buildings'!$B$12*('R&amp;S - Buildings'!$B$16+('R&amp;S - Buildings'!$B$17-'R&amp;S - Buildings'!$B$16)*('Yearly Methanol'!BF$3-'Yearly Methanol'!$X$3)/10))</f>
        <v>0</v>
      </c>
      <c r="BG41" s="43">
        <f>BG40*'R&amp;S - Buildings'!$D$7*('R&amp;S - Buildings'!$B$12*('R&amp;S - Buildings'!$B$16+('R&amp;S - Buildings'!$B$17-'R&amp;S - Buildings'!$B$16)*('Yearly Methanol'!BG$3-'Yearly Methanol'!$X$3)/10))</f>
        <v>0</v>
      </c>
      <c r="BH41" s="43">
        <f>BH40*'R&amp;S - Buildings'!$D$7*('R&amp;S - Buildings'!$B$12*('R&amp;S - Buildings'!$B$16+('R&amp;S - Buildings'!$B$17-'R&amp;S - Buildings'!$B$16)*('Yearly Methanol'!BH$3-'Yearly Methanol'!$X$3)/10))</f>
        <v>0</v>
      </c>
      <c r="BI41" s="43">
        <f>BI40*'R&amp;S - Buildings'!$D$7*('R&amp;S - Buildings'!$B$12*('R&amp;S - Buildings'!$B$16+('R&amp;S - Buildings'!$B$17-'R&amp;S - Buildings'!$B$16)*('Yearly Methanol'!BI$3-'Yearly Methanol'!$X$3)/10))</f>
        <v>0</v>
      </c>
      <c r="BJ41" s="43">
        <f>BJ40*'R&amp;S - Buildings'!$D$7*('R&amp;S - Buildings'!$B$12*('R&amp;S - Buildings'!$B$16+('R&amp;S - Buildings'!$B$17-'R&amp;S - Buildings'!$B$16)*('Yearly Methanol'!BJ$3-'Yearly Methanol'!$X$3)/10))</f>
        <v>0</v>
      </c>
      <c r="BK41" s="43">
        <f>BK40*'R&amp;S - Buildings'!$D$7*('R&amp;S - Buildings'!$B$12*('R&amp;S - Buildings'!$B$16+('R&amp;S - Buildings'!$B$17-'R&amp;S - Buildings'!$B$16)*('Yearly Methanol'!BK$3-'Yearly Methanol'!$X$3)/10))</f>
        <v>0</v>
      </c>
      <c r="BL41" s="43">
        <f>BL40*'R&amp;S - Buildings'!$D$7*('R&amp;S - Buildings'!$B$12*('R&amp;S - Buildings'!$B$16+('R&amp;S - Buildings'!$B$17-'R&amp;S - Buildings'!$B$16)*('Yearly Methanol'!BL$3-'Yearly Methanol'!$X$3)/10))</f>
        <v>0</v>
      </c>
      <c r="BM41" s="43">
        <f>BM40*'R&amp;S - Buildings'!$D$7*('R&amp;S - Buildings'!$B$12*('R&amp;S - Buildings'!$B$16+('R&amp;S - Buildings'!$B$17-'R&amp;S - Buildings'!$B$16)*('Yearly Methanol'!BM$3-'Yearly Methanol'!$X$3)/10))</f>
        <v>0</v>
      </c>
      <c r="BN41" s="43">
        <f>BN40*'R&amp;S - Buildings'!$D$7*('R&amp;S - Buildings'!$B$12*('R&amp;S - Buildings'!$B$16+('R&amp;S - Buildings'!$B$17-'R&amp;S - Buildings'!$B$16)*('Yearly Methanol'!BN$3-'Yearly Methanol'!$X$3)/10))</f>
        <v>0</v>
      </c>
    </row>
    <row r="42" spans="1:75">
      <c r="B42" s="1" t="s">
        <v>172</v>
      </c>
      <c r="C42" s="54" t="s">
        <v>153</v>
      </c>
      <c r="D42">
        <v>0</v>
      </c>
      <c r="E42" s="43">
        <f>E40*'R&amp;S - Buildings'!$D$8*'R&amp;S - Buildings'!$C$11*'R&amp;S - Buildings'!$B$15*('Yearly Methanol'!E$3-'Yearly Methanol'!$D$3)/10</f>
        <v>0</v>
      </c>
      <c r="F42" s="43">
        <f>F40*'R&amp;S - Buildings'!$D$8*'R&amp;S - Buildings'!$C$11*'R&amp;S - Buildings'!$B$15*('Yearly Methanol'!F$3-'Yearly Methanol'!$D$3)/10</f>
        <v>0</v>
      </c>
      <c r="G42" s="43">
        <f>G40*'R&amp;S - Buildings'!$D$8*'R&amp;S - Buildings'!$C$11*'R&amp;S - Buildings'!$B$15*('Yearly Methanol'!G$3-'Yearly Methanol'!$D$3)/10</f>
        <v>0</v>
      </c>
      <c r="H42" s="43">
        <f>H40*'R&amp;S - Buildings'!$D$8*'R&amp;S - Buildings'!$C$11*'R&amp;S - Buildings'!$B$15*('Yearly Methanol'!H$3-'Yearly Methanol'!$D$3)/10</f>
        <v>0</v>
      </c>
      <c r="I42" s="43">
        <f>I40*'R&amp;S - Buildings'!$D$8*'R&amp;S - Buildings'!$C$11*'R&amp;S - Buildings'!$B$15*('Yearly Methanol'!I$3-'Yearly Methanol'!$D$3)/10</f>
        <v>0</v>
      </c>
      <c r="J42" s="43">
        <f>J40*'R&amp;S - Buildings'!$D$8*'R&amp;S - Buildings'!$C$11*'R&amp;S - Buildings'!$B$15*('Yearly Methanol'!J$3-'Yearly Methanol'!$D$3)/10</f>
        <v>0</v>
      </c>
      <c r="K42" s="43">
        <f>K40*'R&amp;S - Buildings'!$D$8*'R&amp;S - Buildings'!$C$11*'R&amp;S - Buildings'!$B$15*('Yearly Methanol'!K$3-'Yearly Methanol'!$D$3)/10</f>
        <v>0</v>
      </c>
      <c r="L42" s="43">
        <f>L40*'R&amp;S - Buildings'!$D$8*'R&amp;S - Buildings'!$C$11*'R&amp;S - Buildings'!$B$15*('Yearly Methanol'!L$3-'Yearly Methanol'!$D$3)/10</f>
        <v>0</v>
      </c>
      <c r="M42" s="43">
        <f>M40*'R&amp;S - Buildings'!$D$8*'R&amp;S - Buildings'!$C$11*'R&amp;S - Buildings'!$B$15*('Yearly Methanol'!M$3-'Yearly Methanol'!$D$3)/10</f>
        <v>0</v>
      </c>
      <c r="N42" s="43">
        <f>N40*'R&amp;S - Buildings'!$D$8*'R&amp;S - Buildings'!$C$11*'R&amp;S - Buildings'!$B$15*('Yearly Methanol'!N$3-'Yearly Methanol'!$D$3)/10</f>
        <v>0</v>
      </c>
      <c r="O42" s="43">
        <f>O40*'R&amp;S - Buildings'!$D$8*'R&amp;S - Buildings'!$C$11*('R&amp;S - Buildings'!$B$15+('R&amp;S - Buildings'!$B$16-'R&amp;S - Buildings'!$B$15)*('Yearly Methanol'!O$3-'Yearly Methanol'!$N$3)/10)</f>
        <v>0</v>
      </c>
      <c r="P42" s="43">
        <f>P40*'R&amp;S - Buildings'!$D$8*'R&amp;S - Buildings'!$C$11*('R&amp;S - Buildings'!$B$15+('R&amp;S - Buildings'!$B$16-'R&amp;S - Buildings'!$B$15)*('Yearly Methanol'!P$3-'Yearly Methanol'!$N$3)/10)</f>
        <v>0</v>
      </c>
      <c r="Q42" s="43">
        <f>Q40*'R&amp;S - Buildings'!$D$8*'R&amp;S - Buildings'!$C$11*('R&amp;S - Buildings'!$B$15+('R&amp;S - Buildings'!$B$16-'R&amp;S - Buildings'!$B$15)*('Yearly Methanol'!Q$3-'Yearly Methanol'!$N$3)/10)</f>
        <v>0</v>
      </c>
      <c r="R42" s="43">
        <f>R40*'R&amp;S - Buildings'!$D$8*'R&amp;S - Buildings'!$C$11*('R&amp;S - Buildings'!$B$15+('R&amp;S - Buildings'!$B$16-'R&amp;S - Buildings'!$B$15)*('Yearly Methanol'!R$3-'Yearly Methanol'!$N$3)/10)</f>
        <v>0</v>
      </c>
      <c r="S42" s="43">
        <f>S40*'R&amp;S - Buildings'!$D$8*'R&amp;S - Buildings'!$C$11*('R&amp;S - Buildings'!$B$15+('R&amp;S - Buildings'!$B$16-'R&amp;S - Buildings'!$B$15)*('Yearly Methanol'!S$3-'Yearly Methanol'!$N$3)/10)</f>
        <v>0</v>
      </c>
      <c r="T42" s="43">
        <f>T40*'R&amp;S - Buildings'!$D$8*'R&amp;S - Buildings'!$C$11*('R&amp;S - Buildings'!$B$15+('R&amp;S - Buildings'!$B$16-'R&amp;S - Buildings'!$B$15)*('Yearly Methanol'!T$3-'Yearly Methanol'!$N$3)/10)</f>
        <v>0</v>
      </c>
      <c r="U42" s="43">
        <f>U40*'R&amp;S - Buildings'!$D$8*'R&amp;S - Buildings'!$C$11*('R&amp;S - Buildings'!$B$15+('R&amp;S - Buildings'!$B$16-'R&amp;S - Buildings'!$B$15)*('Yearly Methanol'!U$3-'Yearly Methanol'!$N$3)/10)</f>
        <v>0</v>
      </c>
      <c r="V42" s="43">
        <f>V40*'R&amp;S - Buildings'!$D$8*'R&amp;S - Buildings'!$C$11*('R&amp;S - Buildings'!$B$15+('R&amp;S - Buildings'!$B$16-'R&amp;S - Buildings'!$B$15)*('Yearly Methanol'!V$3-'Yearly Methanol'!$N$3)/10)</f>
        <v>0</v>
      </c>
      <c r="W42" s="43">
        <f>W40*'R&amp;S - Buildings'!$D$8*'R&amp;S - Buildings'!$C$11*('R&amp;S - Buildings'!$B$15+('R&amp;S - Buildings'!$B$16-'R&amp;S - Buildings'!$B$15)*('Yearly Methanol'!W$3-'Yearly Methanol'!$N$3)/10)</f>
        <v>0</v>
      </c>
      <c r="X42" s="43">
        <f>X40*'R&amp;S - Buildings'!$D$8*'R&amp;S - Buildings'!$C$11*('R&amp;S - Buildings'!$B$15+('R&amp;S - Buildings'!$B$16-'R&amp;S - Buildings'!$B$15)*('Yearly Methanol'!X$3-'Yearly Methanol'!$N$3)/10)</f>
        <v>0</v>
      </c>
      <c r="Y42" s="43">
        <f>Y40*'R&amp;S - Buildings'!$D$8*'R&amp;S - Buildings'!$C$11*('R&amp;S - Buildings'!$B$16+('R&amp;S - Buildings'!$B$17-'R&amp;S - Buildings'!$B$16)*('Yearly Methanol'!Y$3-'Yearly Methanol'!$X$3)/10)</f>
        <v>0</v>
      </c>
      <c r="Z42" s="43">
        <f>Z40*'R&amp;S - Buildings'!$D$8*'R&amp;S - Buildings'!$C$11*('R&amp;S - Buildings'!$B$16+('R&amp;S - Buildings'!$B$17-'R&amp;S - Buildings'!$B$16)*('Yearly Methanol'!Z$3-'Yearly Methanol'!$X$3)/10)</f>
        <v>0</v>
      </c>
      <c r="AA42" s="43">
        <f>AA40*'R&amp;S - Buildings'!$D$8*'R&amp;S - Buildings'!$C$11*('R&amp;S - Buildings'!$B$16+('R&amp;S - Buildings'!$B$17-'R&amp;S - Buildings'!$B$16)*('Yearly Methanol'!AA$3-'Yearly Methanol'!$X$3)/10)</f>
        <v>0</v>
      </c>
      <c r="AB42" s="43">
        <f>AB40*'R&amp;S - Buildings'!$D$8*'R&amp;S - Buildings'!$C$11*('R&amp;S - Buildings'!$B$16+('R&amp;S - Buildings'!$B$17-'R&amp;S - Buildings'!$B$16)*('Yearly Methanol'!AB$3-'Yearly Methanol'!$X$3)/10)</f>
        <v>0</v>
      </c>
      <c r="AC42" s="43">
        <f>AC40*'R&amp;S - Buildings'!$D$8*'R&amp;S - Buildings'!$C$11*('R&amp;S - Buildings'!$B$16+('R&amp;S - Buildings'!$B$17-'R&amp;S - Buildings'!$B$16)*('Yearly Methanol'!AC$3-'Yearly Methanol'!$X$3)/10)</f>
        <v>0</v>
      </c>
      <c r="AD42" s="43">
        <f>AD40*'R&amp;S - Buildings'!$D$8*'R&amp;S - Buildings'!$C$11*('R&amp;S - Buildings'!$B$16+('R&amp;S - Buildings'!$B$17-'R&amp;S - Buildings'!$B$16)*('Yearly Methanol'!AD$3-'Yearly Methanol'!$X$3)/10)</f>
        <v>0</v>
      </c>
      <c r="AE42" s="43">
        <f>AE40*'R&amp;S - Buildings'!$D$8*'R&amp;S - Buildings'!$C$11*('R&amp;S - Buildings'!$B$16+('R&amp;S - Buildings'!$B$17-'R&amp;S - Buildings'!$B$16)*('Yearly Methanol'!AE$3-'Yearly Methanol'!$X$3)/10)</f>
        <v>0</v>
      </c>
      <c r="AF42" s="43">
        <f>AF40*'R&amp;S - Buildings'!$D$8*'R&amp;S - Buildings'!$C$11*('R&amp;S - Buildings'!$B$16+('R&amp;S - Buildings'!$B$17-'R&amp;S - Buildings'!$B$16)*('Yearly Methanol'!AF$3-'Yearly Methanol'!$X$3)/10)</f>
        <v>0</v>
      </c>
      <c r="AG42" s="43">
        <f>AG40*'R&amp;S - Buildings'!$D$8*'R&amp;S - Buildings'!$C$11*('R&amp;S - Buildings'!$B$16+('R&amp;S - Buildings'!$B$17-'R&amp;S - Buildings'!$B$16)*('Yearly Methanol'!AG$3-'Yearly Methanol'!$X$3)/10)</f>
        <v>0</v>
      </c>
      <c r="AH42" s="43">
        <f>AH40*'R&amp;S - Buildings'!$D$8*'R&amp;S - Buildings'!$C$11*('R&amp;S - Buildings'!$B$16+('R&amp;S - Buildings'!$B$17-'R&amp;S - Buildings'!$B$16)*('Yearly Methanol'!AH$3-'Yearly Methanol'!$X$3)/10)</f>
        <v>0</v>
      </c>
      <c r="AJ42">
        <v>0</v>
      </c>
      <c r="AK42" s="43">
        <f>AK40*'R&amp;S - Buildings'!$D$8*'R&amp;S - Buildings'!$C$12*'R&amp;S - Buildings'!$B$15*('Yearly Methanol'!AK$3-'Yearly Methanol'!$D$3)/10</f>
        <v>0</v>
      </c>
      <c r="AL42" s="43">
        <f>AL40*'R&amp;S - Buildings'!$D$8*'R&amp;S - Buildings'!$C$12*'R&amp;S - Buildings'!$B$15*('Yearly Methanol'!AL$3-'Yearly Methanol'!$D$3)/10</f>
        <v>0</v>
      </c>
      <c r="AM42" s="43">
        <f>AM40*'R&amp;S - Buildings'!$D$8*'R&amp;S - Buildings'!$C$12*'R&amp;S - Buildings'!$B$15*('Yearly Methanol'!AM$3-'Yearly Methanol'!$D$3)/10</f>
        <v>0</v>
      </c>
      <c r="AN42" s="43">
        <f>AN40*'R&amp;S - Buildings'!$D$8*'R&amp;S - Buildings'!$C$12*'R&amp;S - Buildings'!$B$15*('Yearly Methanol'!AN$3-'Yearly Methanol'!$D$3)/10</f>
        <v>0</v>
      </c>
      <c r="AO42" s="43">
        <f>AO40*'R&amp;S - Buildings'!$D$8*'R&amp;S - Buildings'!$C$12*'R&amp;S - Buildings'!$B$15*('Yearly Methanol'!AO$3-'Yearly Methanol'!$D$3)/10</f>
        <v>0</v>
      </c>
      <c r="AP42" s="43">
        <f>AP40*'R&amp;S - Buildings'!$D$8*'R&amp;S - Buildings'!$C$12*'R&amp;S - Buildings'!$B$15*('Yearly Methanol'!AP$3-'Yearly Methanol'!$D$3)/10</f>
        <v>0</v>
      </c>
      <c r="AQ42" s="43">
        <f>AQ40*'R&amp;S - Buildings'!$D$8*'R&amp;S - Buildings'!$C$12*'R&amp;S - Buildings'!$B$15*('Yearly Methanol'!AQ$3-'Yearly Methanol'!$D$3)/10</f>
        <v>0</v>
      </c>
      <c r="AR42" s="43">
        <f>AR40*'R&amp;S - Buildings'!$D$8*'R&amp;S - Buildings'!$C$12*'R&amp;S - Buildings'!$B$15*('Yearly Methanol'!AR$3-'Yearly Methanol'!$D$3)/10</f>
        <v>0</v>
      </c>
      <c r="AS42" s="43">
        <f>AS40*'R&amp;S - Buildings'!$D$8*'R&amp;S - Buildings'!$C$12*'R&amp;S - Buildings'!$B$15*('Yearly Methanol'!AS$3-'Yearly Methanol'!$D$3)/10</f>
        <v>0</v>
      </c>
      <c r="AT42" s="43">
        <f>AT40*'R&amp;S - Buildings'!$D$8*'R&amp;S - Buildings'!$C$12*'R&amp;S - Buildings'!$B$15*('Yearly Methanol'!AT$3-'Yearly Methanol'!$D$3)/10</f>
        <v>0</v>
      </c>
      <c r="AU42" s="43">
        <f>AU40*'R&amp;S - Buildings'!$D$8*'R&amp;S - Buildings'!$C$12*('R&amp;S - Buildings'!$B$15+('R&amp;S - Buildings'!$B$16-'R&amp;S - Buildings'!$B$15)*('Yearly Methanol'!AU$3-'Yearly Methanol'!$N$3)/10)</f>
        <v>0</v>
      </c>
      <c r="AV42" s="43">
        <f>AV40*'R&amp;S - Buildings'!$D$8*'R&amp;S - Buildings'!$C$12*('R&amp;S - Buildings'!$B$15+('R&amp;S - Buildings'!$B$16-'R&amp;S - Buildings'!$B$15)*('Yearly Methanol'!AV$3-'Yearly Methanol'!$N$3)/10)</f>
        <v>0</v>
      </c>
      <c r="AW42" s="43">
        <f>AW40*'R&amp;S - Buildings'!$D$8*'R&amp;S - Buildings'!$C$12*('R&amp;S - Buildings'!$B$15+('R&amp;S - Buildings'!$B$16-'R&amp;S - Buildings'!$B$15)*('Yearly Methanol'!AW$3-'Yearly Methanol'!$N$3)/10)</f>
        <v>0</v>
      </c>
      <c r="AX42" s="43">
        <f>AX40*'R&amp;S - Buildings'!$D$8*'R&amp;S - Buildings'!$C$12*('R&amp;S - Buildings'!$B$15+('R&amp;S - Buildings'!$B$16-'R&amp;S - Buildings'!$B$15)*('Yearly Methanol'!AX$3-'Yearly Methanol'!$N$3)/10)</f>
        <v>0</v>
      </c>
      <c r="AY42" s="43">
        <f>AY40*'R&amp;S - Buildings'!$D$8*'R&amp;S - Buildings'!$C$12*('R&amp;S - Buildings'!$B$15+('R&amp;S - Buildings'!$B$16-'R&amp;S - Buildings'!$B$15)*('Yearly Methanol'!AY$3-'Yearly Methanol'!$N$3)/10)</f>
        <v>0</v>
      </c>
      <c r="AZ42" s="43">
        <f>AZ40*'R&amp;S - Buildings'!$D$8*'R&amp;S - Buildings'!$C$12*('R&amp;S - Buildings'!$B$15+('R&amp;S - Buildings'!$B$16-'R&amp;S - Buildings'!$B$15)*('Yearly Methanol'!AZ$3-'Yearly Methanol'!$N$3)/10)</f>
        <v>0</v>
      </c>
      <c r="BA42" s="43">
        <f>BA40*'R&amp;S - Buildings'!$D$8*'R&amp;S - Buildings'!$C$12*('R&amp;S - Buildings'!$B$15+('R&amp;S - Buildings'!$B$16-'R&amp;S - Buildings'!$B$15)*('Yearly Methanol'!BA$3-'Yearly Methanol'!$N$3)/10)</f>
        <v>0</v>
      </c>
      <c r="BB42" s="43">
        <f>BB40*'R&amp;S - Buildings'!$D$8*'R&amp;S - Buildings'!$C$12*('R&amp;S - Buildings'!$B$15+('R&amp;S - Buildings'!$B$16-'R&amp;S - Buildings'!$B$15)*('Yearly Methanol'!BB$3-'Yearly Methanol'!$N$3)/10)</f>
        <v>0</v>
      </c>
      <c r="BC42" s="43">
        <f>BC40*'R&amp;S - Buildings'!$D$8*'R&amp;S - Buildings'!$C$12*('R&amp;S - Buildings'!$B$15+('R&amp;S - Buildings'!$B$16-'R&amp;S - Buildings'!$B$15)*('Yearly Methanol'!BC$3-'Yearly Methanol'!$N$3)/10)</f>
        <v>0</v>
      </c>
      <c r="BD42" s="43">
        <f>BD40*'R&amp;S - Buildings'!$D$8*'R&amp;S - Buildings'!$C$12*('R&amp;S - Buildings'!$B$15+('R&amp;S - Buildings'!$B$16-'R&amp;S - Buildings'!$B$15)*('Yearly Methanol'!BD$3-'Yearly Methanol'!$N$3)/10)</f>
        <v>0</v>
      </c>
      <c r="BE42" s="43">
        <f>BE40*'R&amp;S - Buildings'!$D$8*'R&amp;S - Buildings'!$C$12*('R&amp;S - Buildings'!$B$16+('R&amp;S - Buildings'!$B$17-'R&amp;S - Buildings'!$B$16)*('Yearly Methanol'!BE$3-'Yearly Methanol'!$X$3)/10)</f>
        <v>0</v>
      </c>
      <c r="BF42" s="43">
        <f>BF40*'R&amp;S - Buildings'!$D$8*'R&amp;S - Buildings'!$C$12*('R&amp;S - Buildings'!$B$16+('R&amp;S - Buildings'!$B$17-'R&amp;S - Buildings'!$B$16)*('Yearly Methanol'!BF$3-'Yearly Methanol'!$X$3)/10)</f>
        <v>0</v>
      </c>
      <c r="BG42" s="43">
        <f>BG40*'R&amp;S - Buildings'!$D$8*'R&amp;S - Buildings'!$C$12*('R&amp;S - Buildings'!$B$16+('R&amp;S - Buildings'!$B$17-'R&amp;S - Buildings'!$B$16)*('Yearly Methanol'!BG$3-'Yearly Methanol'!$X$3)/10)</f>
        <v>0</v>
      </c>
      <c r="BH42" s="43">
        <f>BH40*'R&amp;S - Buildings'!$D$8*'R&amp;S - Buildings'!$C$12*('R&amp;S - Buildings'!$B$16+('R&amp;S - Buildings'!$B$17-'R&amp;S - Buildings'!$B$16)*('Yearly Methanol'!BH$3-'Yearly Methanol'!$X$3)/10)</f>
        <v>0</v>
      </c>
      <c r="BI42" s="43">
        <f>BI40*'R&amp;S - Buildings'!$D$8*'R&amp;S - Buildings'!$C$12*('R&amp;S - Buildings'!$B$16+('R&amp;S - Buildings'!$B$17-'R&amp;S - Buildings'!$B$16)*('Yearly Methanol'!BI$3-'Yearly Methanol'!$X$3)/10)</f>
        <v>0</v>
      </c>
      <c r="BJ42" s="43">
        <f>BJ40*'R&amp;S - Buildings'!$D$8*'R&amp;S - Buildings'!$C$12*('R&amp;S - Buildings'!$B$16+('R&amp;S - Buildings'!$B$17-'R&amp;S - Buildings'!$B$16)*('Yearly Methanol'!BJ$3-'Yearly Methanol'!$X$3)/10)</f>
        <v>0</v>
      </c>
      <c r="BK42" s="43">
        <f>BK40*'R&amp;S - Buildings'!$D$8*'R&amp;S - Buildings'!$C$12*('R&amp;S - Buildings'!$B$16+('R&amp;S - Buildings'!$B$17-'R&amp;S - Buildings'!$B$16)*('Yearly Methanol'!BK$3-'Yearly Methanol'!$X$3)/10)</f>
        <v>0</v>
      </c>
      <c r="BL42" s="43">
        <f>BL40*'R&amp;S - Buildings'!$D$8*'R&amp;S - Buildings'!$C$12*('R&amp;S - Buildings'!$B$16+('R&amp;S - Buildings'!$B$17-'R&amp;S - Buildings'!$B$16)*('Yearly Methanol'!BL$3-'Yearly Methanol'!$X$3)/10)</f>
        <v>0</v>
      </c>
      <c r="BM42" s="43">
        <f>BM40*'R&amp;S - Buildings'!$D$8*'R&amp;S - Buildings'!$C$12*('R&amp;S - Buildings'!$B$16+('R&amp;S - Buildings'!$B$17-'R&amp;S - Buildings'!$B$16)*('Yearly Methanol'!BM$3-'Yearly Methanol'!$X$3)/10)</f>
        <v>0</v>
      </c>
      <c r="BN42" s="43">
        <f>BN40*'R&amp;S - Buildings'!$D$8*'R&amp;S - Buildings'!$C$12*('R&amp;S - Buildings'!$B$16+('R&amp;S - Buildings'!$B$17-'R&amp;S - Buildings'!$B$16)*('Yearly Methanol'!BN$3-'Yearly Methanol'!$X$3)/10)</f>
        <v>0</v>
      </c>
    </row>
    <row r="43" spans="1:75">
      <c r="B43" s="1" t="s">
        <v>197</v>
      </c>
      <c r="C43" s="65" t="s">
        <v>153</v>
      </c>
      <c r="D43" s="66">
        <f>D40-D41-D42</f>
        <v>3.219812080101577</v>
      </c>
      <c r="E43" s="66">
        <f t="shared" ref="E43:AG43" si="337">E40-E41-E42</f>
        <v>3.2745488854633034</v>
      </c>
      <c r="F43" s="66">
        <f t="shared" si="337"/>
        <v>3.3302162165161793</v>
      </c>
      <c r="G43" s="66">
        <f t="shared" si="337"/>
        <v>3.3868298921969542</v>
      </c>
      <c r="H43" s="66">
        <f t="shared" si="337"/>
        <v>3.4444060003643022</v>
      </c>
      <c r="I43" s="66">
        <f t="shared" si="337"/>
        <v>3.5029609023704951</v>
      </c>
      <c r="J43" s="66">
        <f t="shared" si="337"/>
        <v>3.562511237710793</v>
      </c>
      <c r="K43" s="66">
        <f t="shared" si="337"/>
        <v>3.6230739287518761</v>
      </c>
      <c r="L43" s="66">
        <f t="shared" si="337"/>
        <v>3.6846661855406575</v>
      </c>
      <c r="M43" s="66">
        <f t="shared" si="337"/>
        <v>3.7473055106948485</v>
      </c>
      <c r="N43" s="66">
        <f t="shared" si="337"/>
        <v>3.8110097043766604</v>
      </c>
      <c r="O43" s="66">
        <f t="shared" si="337"/>
        <v>3.8757968693510634</v>
      </c>
      <c r="P43" s="66">
        <f t="shared" si="337"/>
        <v>3.941685416130031</v>
      </c>
      <c r="Q43" s="66">
        <f t="shared" si="337"/>
        <v>4.0086940682042416</v>
      </c>
      <c r="R43" s="66">
        <f t="shared" si="337"/>
        <v>4.0768418673637132</v>
      </c>
      <c r="S43" s="66">
        <f t="shared" si="337"/>
        <v>4.1461481791088959</v>
      </c>
      <c r="T43" s="66">
        <f t="shared" si="337"/>
        <v>4.216632698153747</v>
      </c>
      <c r="U43" s="66">
        <f t="shared" si="337"/>
        <v>4.28831545402236</v>
      </c>
      <c r="V43" s="66">
        <f t="shared" si="337"/>
        <v>4.3612168167407397</v>
      </c>
      <c r="W43" s="66">
        <f t="shared" si="337"/>
        <v>4.4353575026253322</v>
      </c>
      <c r="X43" s="66">
        <f t="shared" si="337"/>
        <v>4.5107585801699628</v>
      </c>
      <c r="Y43" s="66">
        <f t="shared" si="337"/>
        <v>4.5874414760328515</v>
      </c>
      <c r="Z43" s="66">
        <f t="shared" si="337"/>
        <v>4.6654279811254096</v>
      </c>
      <c r="AA43" s="66">
        <f t="shared" si="337"/>
        <v>4.7447402568045414</v>
      </c>
      <c r="AB43" s="66">
        <f t="shared" si="337"/>
        <v>4.8254008411702181</v>
      </c>
      <c r="AC43" s="66">
        <f t="shared" si="337"/>
        <v>4.9074326554701111</v>
      </c>
      <c r="AD43" s="66">
        <f t="shared" si="337"/>
        <v>4.9908590106131028</v>
      </c>
      <c r="AE43" s="66">
        <f t="shared" si="337"/>
        <v>5.0757036137935252</v>
      </c>
      <c r="AF43" s="66">
        <f t="shared" si="337"/>
        <v>5.1619905752280149</v>
      </c>
      <c r="AG43" s="66">
        <f t="shared" si="337"/>
        <v>5.2497444150068908</v>
      </c>
      <c r="AH43" s="66">
        <f>AH40-AH41-AH42</f>
        <v>5.3389900700620077</v>
      </c>
      <c r="AJ43" s="66">
        <f>AJ40-AJ41-AJ42</f>
        <v>3.219812080101577</v>
      </c>
      <c r="AK43" s="66">
        <f t="shared" ref="AK43:BM43" si="338">AK40-AK41-AK42</f>
        <v>3.2745488854633034</v>
      </c>
      <c r="AL43" s="66">
        <f t="shared" si="338"/>
        <v>3.3302162165161793</v>
      </c>
      <c r="AM43" s="66">
        <f t="shared" si="338"/>
        <v>3.3868298921969542</v>
      </c>
      <c r="AN43" s="66">
        <f t="shared" si="338"/>
        <v>3.4444060003643022</v>
      </c>
      <c r="AO43" s="66">
        <f t="shared" si="338"/>
        <v>3.5029609023704951</v>
      </c>
      <c r="AP43" s="66">
        <f t="shared" si="338"/>
        <v>3.562511237710793</v>
      </c>
      <c r="AQ43" s="66">
        <f t="shared" si="338"/>
        <v>3.6230739287518761</v>
      </c>
      <c r="AR43" s="66">
        <f t="shared" si="338"/>
        <v>3.6846661855406575</v>
      </c>
      <c r="AS43" s="66">
        <f t="shared" si="338"/>
        <v>3.7473055106948485</v>
      </c>
      <c r="AT43" s="66">
        <f t="shared" si="338"/>
        <v>3.8110097043766604</v>
      </c>
      <c r="AU43" s="66">
        <f t="shared" si="338"/>
        <v>3.8757968693510634</v>
      </c>
      <c r="AV43" s="66">
        <f t="shared" si="338"/>
        <v>3.941685416130031</v>
      </c>
      <c r="AW43" s="66">
        <f t="shared" si="338"/>
        <v>4.0086940682042416</v>
      </c>
      <c r="AX43" s="66">
        <f t="shared" si="338"/>
        <v>4.0768418673637132</v>
      </c>
      <c r="AY43" s="66">
        <f t="shared" si="338"/>
        <v>4.1461481791088959</v>
      </c>
      <c r="AZ43" s="66">
        <f t="shared" si="338"/>
        <v>4.216632698153747</v>
      </c>
      <c r="BA43" s="66">
        <f t="shared" si="338"/>
        <v>4.28831545402236</v>
      </c>
      <c r="BB43" s="66">
        <f t="shared" si="338"/>
        <v>4.3612168167407397</v>
      </c>
      <c r="BC43" s="66">
        <f t="shared" si="338"/>
        <v>4.4353575026253322</v>
      </c>
      <c r="BD43" s="66">
        <f t="shared" si="338"/>
        <v>4.5107585801699628</v>
      </c>
      <c r="BE43" s="66">
        <f t="shared" si="338"/>
        <v>4.5874414760328515</v>
      </c>
      <c r="BF43" s="66">
        <f t="shared" si="338"/>
        <v>4.6654279811254096</v>
      </c>
      <c r="BG43" s="66">
        <f t="shared" si="338"/>
        <v>4.7447402568045414</v>
      </c>
      <c r="BH43" s="66">
        <f t="shared" si="338"/>
        <v>4.8254008411702181</v>
      </c>
      <c r="BI43" s="66">
        <f t="shared" si="338"/>
        <v>4.9074326554701111</v>
      </c>
      <c r="BJ43" s="66">
        <f t="shared" si="338"/>
        <v>4.9908590106131028</v>
      </c>
      <c r="BK43" s="66">
        <f t="shared" si="338"/>
        <v>5.0757036137935252</v>
      </c>
      <c r="BL43" s="66">
        <f t="shared" si="338"/>
        <v>5.1619905752280149</v>
      </c>
      <c r="BM43" s="66">
        <f t="shared" si="338"/>
        <v>5.2497444150068908</v>
      </c>
      <c r="BN43" s="66">
        <f>BN40-BN41-BN42</f>
        <v>5.3389900700620077</v>
      </c>
    </row>
    <row r="44" spans="1:75" s="67" customFormat="1">
      <c r="A44" s="752"/>
      <c r="B44" s="58" t="s">
        <v>246</v>
      </c>
      <c r="C44" s="59" t="s">
        <v>153</v>
      </c>
      <c r="D44" s="60">
        <f>D$7/(D$7+D$9)*D43</f>
        <v>0.53990534455448469</v>
      </c>
      <c r="E44" s="60">
        <f t="shared" ref="E44" si="339">E$7/(E$7+E$9)*E43</f>
        <v>0.5360733475002305</v>
      </c>
      <c r="F44" s="60">
        <f t="shared" ref="F44" si="340">F$7/(F$7+F$9)*F43</f>
        <v>0.53409611424817893</v>
      </c>
      <c r="G44" s="60">
        <f t="shared" ref="G44" si="341">G$7/(G$7+G$9)*G43</f>
        <v>0.53361413697806448</v>
      </c>
      <c r="H44" s="60">
        <f t="shared" ref="H44" si="342">H$7/(H$7+H$9)*H43</f>
        <v>0.53436417253344359</v>
      </c>
      <c r="I44" s="60">
        <f t="shared" ref="I44" si="343">I$7/(I$7+I$9)*I43</f>
        <v>0.53614938075728769</v>
      </c>
      <c r="J44" s="60">
        <f t="shared" ref="J44" si="344">J$7/(J$7+J$9)*J43</f>
        <v>0.53881994230871633</v>
      </c>
      <c r="K44" s="60">
        <f t="shared" ref="K44" si="345">K$7/(K$7+K$9)*K43</f>
        <v>0.54226010309633488</v>
      </c>
      <c r="L44" s="60">
        <f t="shared" ref="L44" si="346">L$7/(L$7+L$9)*L43</f>
        <v>0.54637929004108321</v>
      </c>
      <c r="M44" s="60">
        <f t="shared" ref="M44" si="347">M$7/(M$7+M$9)*M43</f>
        <v>0.55110588033348051</v>
      </c>
      <c r="N44" s="60">
        <f t="shared" ref="N44" si="348">N$7/(N$7+N$9)*N43</f>
        <v>0.55638274393317733</v>
      </c>
      <c r="O44" s="60">
        <f t="shared" ref="O44" si="349">O$7/(O$7+O$9)*O43</f>
        <v>0.56777687795675347</v>
      </c>
      <c r="P44" s="60">
        <f t="shared" ref="P44" si="350">P$7/(P$7+P$9)*P43</f>
        <v>0.57948457695432021</v>
      </c>
      <c r="Q44" s="60">
        <f t="shared" ref="Q44" si="351">Q$7/(Q$7+Q$9)*Q43</f>
        <v>0.59151622732579323</v>
      </c>
      <c r="R44" s="60">
        <f t="shared" ref="R44" si="352">R$7/(R$7+R$9)*R43</f>
        <v>0.60388272846656155</v>
      </c>
      <c r="S44" s="60">
        <f t="shared" ref="S44" si="353">S$7/(S$7+S$9)*S43</f>
        <v>0.61659552034386167</v>
      </c>
      <c r="T44" s="60">
        <f t="shared" ref="T44" si="354">T$7/(T$7+T$9)*T43</f>
        <v>0.63014175430643926</v>
      </c>
      <c r="U44" s="60">
        <f t="shared" ref="U44" si="355">U$7/(U$7+U$9)*U43</f>
        <v>0.64408088405818864</v>
      </c>
      <c r="V44" s="60">
        <f t="shared" ref="V44" si="356">V$7/(V$7+V$9)*V43</f>
        <v>0.65842786921334451</v>
      </c>
      <c r="W44" s="60">
        <f t="shared" ref="W44" si="357">W$7/(W$7+W$9)*W43</f>
        <v>0.67319845169227621</v>
      </c>
      <c r="X44" s="60">
        <f t="shared" ref="X44" si="358">X$7/(X$7+X$9)*X43</f>
        <v>0.68840920645370174</v>
      </c>
      <c r="Y44" s="60">
        <f t="shared" ref="Y44" si="359">Y$7/(Y$7+Y$9)*Y43</f>
        <v>0.70516932802681331</v>
      </c>
      <c r="Z44" s="60">
        <f t="shared" ref="Z44" si="360">Z$7/(Z$7+Z$9)*Z43</f>
        <v>0.72247805967221623</v>
      </c>
      <c r="AA44" s="60">
        <f t="shared" ref="AA44" si="361">AA$7/(AA$7+AA$9)*AA43</f>
        <v>0.7403604528752975</v>
      </c>
      <c r="AB44" s="60">
        <f t="shared" ref="AB44" si="362">AB$7/(AB$7+AB$9)*AB43</f>
        <v>0.75884310648490205</v>
      </c>
      <c r="AC44" s="60">
        <f t="shared" ref="AC44" si="363">AC$7/(AC$7+AC$9)*AC43</f>
        <v>0.77795428838346681</v>
      </c>
      <c r="AD44" s="60">
        <f t="shared" ref="AD44" si="364">AD$7/(AD$7+AD$9)*AD43</f>
        <v>0.79772406883287028</v>
      </c>
      <c r="AE44" s="60">
        <f t="shared" ref="AE44" si="365">AE$7/(AE$7+AE$9)*AE43</f>
        <v>0.81818446682400936</v>
      </c>
      <c r="AF44" s="60">
        <f t="shared" ref="AF44" si="366">AF$7/(AF$7+AF$9)*AF43</f>
        <v>0.83936961093362006</v>
      </c>
      <c r="AG44" s="60">
        <f t="shared" ref="AG44" si="367">AG$7/(AG$7+AG$9)*AG43</f>
        <v>0.86131591639387917</v>
      </c>
      <c r="AH44" s="60">
        <f t="shared" ref="AH44" si="368">AH$7/(AH$7+AH$9)*AH43</f>
        <v>0.88406228031340472</v>
      </c>
      <c r="AJ44" s="60">
        <f>AJ$7/(AJ$7+AJ$9)*AJ43</f>
        <v>0.53990534455448469</v>
      </c>
      <c r="AK44" s="60">
        <f t="shared" ref="AK44" si="369">AK$7/(AK$7+AK$9)*AK43</f>
        <v>0.5360733475002305</v>
      </c>
      <c r="AL44" s="60">
        <f t="shared" ref="AL44" si="370">AL$7/(AL$7+AL$9)*AL43</f>
        <v>0.53409611424817893</v>
      </c>
      <c r="AM44" s="60">
        <f t="shared" ref="AM44" si="371">AM$7/(AM$7+AM$9)*AM43</f>
        <v>0.53361413697806448</v>
      </c>
      <c r="AN44" s="60">
        <f t="shared" ref="AN44" si="372">AN$7/(AN$7+AN$9)*AN43</f>
        <v>0.53436417253344359</v>
      </c>
      <c r="AO44" s="60">
        <f t="shared" ref="AO44" si="373">AO$7/(AO$7+AO$9)*AO43</f>
        <v>0.53614938075728769</v>
      </c>
      <c r="AP44" s="60">
        <f t="shared" ref="AP44" si="374">AP$7/(AP$7+AP$9)*AP43</f>
        <v>0.53881994230871633</v>
      </c>
      <c r="AQ44" s="60">
        <f t="shared" ref="AQ44" si="375">AQ$7/(AQ$7+AQ$9)*AQ43</f>
        <v>0.54226010309633488</v>
      </c>
      <c r="AR44" s="60">
        <f t="shared" ref="AR44" si="376">AR$7/(AR$7+AR$9)*AR43</f>
        <v>0.54637929004108321</v>
      </c>
      <c r="AS44" s="60">
        <f t="shared" ref="AS44" si="377">AS$7/(AS$7+AS$9)*AS43</f>
        <v>0.55110588033348051</v>
      </c>
      <c r="AT44" s="60">
        <f t="shared" ref="AT44" si="378">AT$7/(AT$7+AT$9)*AT43</f>
        <v>0.55638274393317733</v>
      </c>
      <c r="AU44" s="60">
        <f t="shared" ref="AU44" si="379">AU$7/(AU$7+AU$9)*AU43</f>
        <v>0.56777687795675347</v>
      </c>
      <c r="AV44" s="60">
        <f t="shared" ref="AV44" si="380">AV$7/(AV$7+AV$9)*AV43</f>
        <v>0.57948457695432021</v>
      </c>
      <c r="AW44" s="60">
        <f t="shared" ref="AW44" si="381">AW$7/(AW$7+AW$9)*AW43</f>
        <v>0.59151622732579323</v>
      </c>
      <c r="AX44" s="60">
        <f t="shared" ref="AX44" si="382">AX$7/(AX$7+AX$9)*AX43</f>
        <v>0.60388272846656155</v>
      </c>
      <c r="AY44" s="60">
        <f t="shared" ref="AY44" si="383">AY$7/(AY$7+AY$9)*AY43</f>
        <v>0.61659552034386167</v>
      </c>
      <c r="AZ44" s="60">
        <f t="shared" ref="AZ44" si="384">AZ$7/(AZ$7+AZ$9)*AZ43</f>
        <v>0.63014175430643926</v>
      </c>
      <c r="BA44" s="60">
        <f t="shared" ref="BA44" si="385">BA$7/(BA$7+BA$9)*BA43</f>
        <v>0.64408088405818864</v>
      </c>
      <c r="BB44" s="60">
        <f t="shared" ref="BB44" si="386">BB$7/(BB$7+BB$9)*BB43</f>
        <v>0.65842786921334451</v>
      </c>
      <c r="BC44" s="60">
        <f t="shared" ref="BC44" si="387">BC$7/(BC$7+BC$9)*BC43</f>
        <v>0.67319845169227621</v>
      </c>
      <c r="BD44" s="60">
        <f t="shared" ref="BD44" si="388">BD$7/(BD$7+BD$9)*BD43</f>
        <v>0.68840920645370174</v>
      </c>
      <c r="BE44" s="60">
        <f t="shared" ref="BE44" si="389">BE$7/(BE$7+BE$9)*BE43</f>
        <v>0.70516932802681331</v>
      </c>
      <c r="BF44" s="60">
        <f t="shared" ref="BF44" si="390">BF$7/(BF$7+BF$9)*BF43</f>
        <v>0.72247805967221623</v>
      </c>
      <c r="BG44" s="60">
        <f t="shared" ref="BG44" si="391">BG$7/(BG$7+BG$9)*BG43</f>
        <v>0.7403604528752975</v>
      </c>
      <c r="BH44" s="60">
        <f t="shared" ref="BH44" si="392">BH$7/(BH$7+BH$9)*BH43</f>
        <v>0.75884310648490205</v>
      </c>
      <c r="BI44" s="60">
        <f t="shared" ref="BI44" si="393">BI$7/(BI$7+BI$9)*BI43</f>
        <v>0.77795428838346681</v>
      </c>
      <c r="BJ44" s="60">
        <f t="shared" ref="BJ44" si="394">BJ$7/(BJ$7+BJ$9)*BJ43</f>
        <v>0.79772406883287028</v>
      </c>
      <c r="BK44" s="60">
        <f t="shared" ref="BK44" si="395">BK$7/(BK$7+BK$9)*BK43</f>
        <v>0.81818446682400936</v>
      </c>
      <c r="BL44" s="60">
        <f t="shared" ref="BL44" si="396">BL$7/(BL$7+BL$9)*BL43</f>
        <v>0.83936961093362006</v>
      </c>
      <c r="BM44" s="60">
        <f t="shared" ref="BM44" si="397">BM$7/(BM$7+BM$9)*BM43</f>
        <v>0.86131591639387917</v>
      </c>
      <c r="BN44" s="60">
        <f t="shared" ref="BN44" si="398">BN$7/(BN$7+BN$9)*BN43</f>
        <v>0.88406228031340472</v>
      </c>
    </row>
    <row r="45" spans="1:75">
      <c r="A45" s="753"/>
      <c r="B45" s="1" t="s">
        <v>247</v>
      </c>
      <c r="C45" s="54" t="s">
        <v>153</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4">
        <v>0</v>
      </c>
      <c r="AH45" s="44">
        <v>0</v>
      </c>
      <c r="AJ45" s="44">
        <v>0</v>
      </c>
      <c r="AK45" s="44">
        <v>0</v>
      </c>
      <c r="AL45" s="44">
        <v>0</v>
      </c>
      <c r="AM45" s="44">
        <v>0</v>
      </c>
      <c r="AN45" s="44">
        <v>0</v>
      </c>
      <c r="AO45" s="44">
        <v>0</v>
      </c>
      <c r="AP45" s="44">
        <v>0</v>
      </c>
      <c r="AQ45" s="44">
        <v>0</v>
      </c>
      <c r="AR45" s="44">
        <v>0</v>
      </c>
      <c r="AS45" s="44">
        <v>0</v>
      </c>
      <c r="AT45" s="44">
        <v>0</v>
      </c>
      <c r="AU45" s="44">
        <v>0</v>
      </c>
      <c r="AV45" s="44">
        <v>0</v>
      </c>
      <c r="AW45" s="44">
        <v>0</v>
      </c>
      <c r="AX45" s="44">
        <v>0</v>
      </c>
      <c r="AY45" s="44">
        <v>0</v>
      </c>
      <c r="AZ45" s="44">
        <v>0</v>
      </c>
      <c r="BA45" s="44">
        <v>0</v>
      </c>
      <c r="BB45" s="44">
        <v>0</v>
      </c>
      <c r="BC45" s="44">
        <v>0</v>
      </c>
      <c r="BD45" s="44">
        <v>0</v>
      </c>
      <c r="BE45" s="44">
        <v>0</v>
      </c>
      <c r="BF45" s="44">
        <v>0</v>
      </c>
      <c r="BG45" s="44">
        <v>0</v>
      </c>
      <c r="BH45" s="44">
        <v>0</v>
      </c>
      <c r="BI45" s="44">
        <v>0</v>
      </c>
      <c r="BJ45" s="44">
        <v>0</v>
      </c>
      <c r="BK45" s="44">
        <v>0</v>
      </c>
      <c r="BL45" s="44">
        <v>0</v>
      </c>
      <c r="BM45" s="44">
        <v>0</v>
      </c>
      <c r="BN45" s="44">
        <v>0</v>
      </c>
    </row>
    <row r="46" spans="1:75" s="68" customFormat="1">
      <c r="A46" s="754"/>
      <c r="B46" s="62" t="s">
        <v>248</v>
      </c>
      <c r="C46" s="283" t="s">
        <v>153</v>
      </c>
      <c r="D46" s="284">
        <f>D$9/(D$7+D$9)*D43</f>
        <v>2.6799067355470925</v>
      </c>
      <c r="E46" s="284">
        <f t="shared" ref="E46:AH46" si="399">E$9/(E$7+E$9)*E43</f>
        <v>2.7384755379630725</v>
      </c>
      <c r="F46" s="284">
        <f t="shared" si="399"/>
        <v>2.7961201022680005</v>
      </c>
      <c r="G46" s="284">
        <f t="shared" si="399"/>
        <v>2.8532157552188897</v>
      </c>
      <c r="H46" s="284">
        <f t="shared" si="399"/>
        <v>2.9100418278308586</v>
      </c>
      <c r="I46" s="284">
        <f t="shared" si="399"/>
        <v>2.9668115216132072</v>
      </c>
      <c r="J46" s="284">
        <f t="shared" si="399"/>
        <v>3.0236912954020769</v>
      </c>
      <c r="K46" s="284">
        <f t="shared" si="399"/>
        <v>3.0808138256555408</v>
      </c>
      <c r="L46" s="284">
        <f t="shared" si="399"/>
        <v>3.1382868954995748</v>
      </c>
      <c r="M46" s="284">
        <f t="shared" si="399"/>
        <v>3.1961996303613684</v>
      </c>
      <c r="N46" s="284">
        <f t="shared" si="399"/>
        <v>3.254626960443483</v>
      </c>
      <c r="O46" s="284">
        <f t="shared" si="399"/>
        <v>3.30801999139431</v>
      </c>
      <c r="P46" s="284">
        <f t="shared" si="399"/>
        <v>3.3622008391757108</v>
      </c>
      <c r="Q46" s="284">
        <f t="shared" si="399"/>
        <v>3.4171778408784483</v>
      </c>
      <c r="R46" s="284">
        <f t="shared" si="399"/>
        <v>3.4729591388971515</v>
      </c>
      <c r="S46" s="284">
        <f t="shared" si="399"/>
        <v>3.5295526587650339</v>
      </c>
      <c r="T46" s="284">
        <f t="shared" si="399"/>
        <v>3.5864909438473074</v>
      </c>
      <c r="U46" s="284">
        <f t="shared" si="399"/>
        <v>3.6442345699641718</v>
      </c>
      <c r="V46" s="284">
        <f t="shared" si="399"/>
        <v>3.7027889475273956</v>
      </c>
      <c r="W46" s="284">
        <f t="shared" si="399"/>
        <v>3.7621590509330556</v>
      </c>
      <c r="X46" s="284">
        <f t="shared" si="399"/>
        <v>3.822349373716261</v>
      </c>
      <c r="Y46" s="284">
        <f t="shared" si="399"/>
        <v>3.882272148006038</v>
      </c>
      <c r="Z46" s="284">
        <f t="shared" si="399"/>
        <v>3.9429499214531933</v>
      </c>
      <c r="AA46" s="284">
        <f t="shared" si="399"/>
        <v>4.0043798039292442</v>
      </c>
      <c r="AB46" s="284">
        <f t="shared" si="399"/>
        <v>4.0665577346853157</v>
      </c>
      <c r="AC46" s="284">
        <f t="shared" si="399"/>
        <v>4.1294783670866444</v>
      </c>
      <c r="AD46" s="284">
        <f t="shared" si="399"/>
        <v>4.193134941780233</v>
      </c>
      <c r="AE46" s="284">
        <f t="shared" si="399"/>
        <v>4.2575191469695159</v>
      </c>
      <c r="AF46" s="284">
        <f t="shared" si="399"/>
        <v>4.3226209642943951</v>
      </c>
      <c r="AG46" s="284">
        <f t="shared" si="399"/>
        <v>4.3884284986130124</v>
      </c>
      <c r="AH46" s="284">
        <f t="shared" si="399"/>
        <v>4.454927789748603</v>
      </c>
      <c r="AJ46" s="284">
        <f>AJ$9/(AJ$7+AJ$9)*AJ43</f>
        <v>2.6799067355470925</v>
      </c>
      <c r="AK46" s="284">
        <f t="shared" ref="AK46:BN46" si="400">AK$9/(AK$7+AK$9)*AK43</f>
        <v>2.7384755379630725</v>
      </c>
      <c r="AL46" s="284">
        <f t="shared" si="400"/>
        <v>2.7961201022680005</v>
      </c>
      <c r="AM46" s="284">
        <f t="shared" si="400"/>
        <v>2.8532157552188897</v>
      </c>
      <c r="AN46" s="284">
        <f t="shared" si="400"/>
        <v>2.9100418278308586</v>
      </c>
      <c r="AO46" s="284">
        <f t="shared" si="400"/>
        <v>2.9668115216132072</v>
      </c>
      <c r="AP46" s="284">
        <f t="shared" si="400"/>
        <v>3.0236912954020769</v>
      </c>
      <c r="AQ46" s="284">
        <f t="shared" si="400"/>
        <v>3.0808138256555408</v>
      </c>
      <c r="AR46" s="284">
        <f t="shared" si="400"/>
        <v>3.1382868954995748</v>
      </c>
      <c r="AS46" s="284">
        <f t="shared" si="400"/>
        <v>3.1961996303613684</v>
      </c>
      <c r="AT46" s="284">
        <f t="shared" si="400"/>
        <v>3.254626960443483</v>
      </c>
      <c r="AU46" s="284">
        <f t="shared" si="400"/>
        <v>3.30801999139431</v>
      </c>
      <c r="AV46" s="284">
        <f t="shared" si="400"/>
        <v>3.3622008391757108</v>
      </c>
      <c r="AW46" s="284">
        <f t="shared" si="400"/>
        <v>3.4171778408784483</v>
      </c>
      <c r="AX46" s="284">
        <f t="shared" si="400"/>
        <v>3.4729591388971515</v>
      </c>
      <c r="AY46" s="284">
        <f t="shared" si="400"/>
        <v>3.5295526587650339</v>
      </c>
      <c r="AZ46" s="284">
        <f t="shared" si="400"/>
        <v>3.5864909438473074</v>
      </c>
      <c r="BA46" s="284">
        <f t="shared" si="400"/>
        <v>3.6442345699641718</v>
      </c>
      <c r="BB46" s="284">
        <f t="shared" si="400"/>
        <v>3.7027889475273956</v>
      </c>
      <c r="BC46" s="284">
        <f t="shared" si="400"/>
        <v>3.7621590509330556</v>
      </c>
      <c r="BD46" s="284">
        <f t="shared" si="400"/>
        <v>3.822349373716261</v>
      </c>
      <c r="BE46" s="284">
        <f t="shared" si="400"/>
        <v>3.882272148006038</v>
      </c>
      <c r="BF46" s="284">
        <f t="shared" si="400"/>
        <v>3.9429499214531933</v>
      </c>
      <c r="BG46" s="284">
        <f t="shared" si="400"/>
        <v>4.0043798039292442</v>
      </c>
      <c r="BH46" s="284">
        <f t="shared" si="400"/>
        <v>4.0665577346853157</v>
      </c>
      <c r="BI46" s="284">
        <f t="shared" si="400"/>
        <v>4.1294783670866444</v>
      </c>
      <c r="BJ46" s="284">
        <f t="shared" si="400"/>
        <v>4.193134941780233</v>
      </c>
      <c r="BK46" s="284">
        <f t="shared" si="400"/>
        <v>4.2575191469695159</v>
      </c>
      <c r="BL46" s="284">
        <f t="shared" si="400"/>
        <v>4.3226209642943951</v>
      </c>
      <c r="BM46" s="284">
        <f t="shared" si="400"/>
        <v>4.3884284986130124</v>
      </c>
      <c r="BN46" s="284">
        <f t="shared" si="400"/>
        <v>4.454927789748603</v>
      </c>
    </row>
    <row r="47" spans="1:75">
      <c r="A47" s="1" t="s">
        <v>205</v>
      </c>
      <c r="B47" s="58" t="s">
        <v>199</v>
      </c>
      <c r="C47" s="59" t="s">
        <v>153</v>
      </c>
      <c r="D47" s="443">
        <f>'Demand - Industry shares'!L87</f>
        <v>1.4464073070604898E-2</v>
      </c>
      <c r="E47" s="443">
        <f>D47*(1+'Demand Breakdown - Methanol'!$N$42)</f>
        <v>1.47678186050876E-2</v>
      </c>
      <c r="F47" s="443">
        <f>E47*(1+'Demand Breakdown - Methanol'!$N$42)</f>
        <v>1.5077942795794438E-2</v>
      </c>
      <c r="G47" s="443">
        <f>F47*(1+'Demand Breakdown - Methanol'!$N$42)</f>
        <v>1.539457959450612E-2</v>
      </c>
      <c r="H47" s="443">
        <f>G47*(1+'Demand Breakdown - Methanol'!$N$42)</f>
        <v>1.5717865765990748E-2</v>
      </c>
      <c r="I47" s="443">
        <f>H47*(1+'Demand Breakdown - Methanol'!$N$42)</f>
        <v>1.6047940947076553E-2</v>
      </c>
      <c r="J47" s="443">
        <f>I47*(1+'Demand Breakdown - Methanol'!$N$42)</f>
        <v>1.638494770696516E-2</v>
      </c>
      <c r="K47" s="443">
        <f>J47*(1+'Demand Breakdown - Methanol'!$N$42)</f>
        <v>1.6729031608811427E-2</v>
      </c>
      <c r="L47" s="443">
        <f>K47*(1+'Demand Breakdown - Methanol'!$N$42)</f>
        <v>1.7080341272596465E-2</v>
      </c>
      <c r="M47" s="443">
        <f>L47*(1+'Demand Breakdown - Methanol'!$N$42)</f>
        <v>1.7439028439320988E-2</v>
      </c>
      <c r="N47" s="443">
        <f>M47*(1+'Demand Breakdown - Methanol'!$N$42)</f>
        <v>1.7805248036546727E-2</v>
      </c>
      <c r="O47" s="443">
        <f>N47*(1+'Demand Breakdown - Methanol'!$N$42)</f>
        <v>1.8179158245314207E-2</v>
      </c>
      <c r="P47" s="443">
        <f>O47*(1+'Demand Breakdown - Methanol'!$N$42)</f>
        <v>1.8560920568465804E-2</v>
      </c>
      <c r="Q47" s="443">
        <f>P47*(1+'Demand Breakdown - Methanol'!$N$42)</f>
        <v>1.8950699900403583E-2</v>
      </c>
      <c r="R47" s="443">
        <f>Q47*(1+'Demand Breakdown - Methanol'!$N$42)</f>
        <v>1.9348664598312058E-2</v>
      </c>
      <c r="S47" s="443">
        <f>R47*(1+'Demand Breakdown - Methanol'!$N$42)</f>
        <v>1.9754986554876609E-2</v>
      </c>
      <c r="T47" s="443">
        <f>S47*(1+'Demand Breakdown - Methanol'!$N$42)</f>
        <v>2.0169841272529014E-2</v>
      </c>
      <c r="U47" s="443">
        <f>T47*(1+'Demand Breakdown - Methanol'!$N$42)</f>
        <v>2.0593407939252122E-2</v>
      </c>
      <c r="V47" s="443">
        <f>U47*(1+'Demand Breakdown - Methanol'!$N$42)</f>
        <v>2.1025869505976413E-2</v>
      </c>
      <c r="W47" s="443">
        <f>V47*(1+'Demand Breakdown - Methanol'!$N$42)</f>
        <v>2.1467412765601917E-2</v>
      </c>
      <c r="X47" s="443">
        <f>W47*(1+'Demand Breakdown - Methanol'!$N$42)</f>
        <v>2.1918228433679555E-2</v>
      </c>
      <c r="Y47" s="443">
        <f>X47*(1+'Demand Breakdown - Methanol'!$N$42)</f>
        <v>2.2378511230786824E-2</v>
      </c>
      <c r="Z47" s="443">
        <f>Y47*(1+'Demand Breakdown - Methanol'!$N$42)</f>
        <v>2.2848459966633344E-2</v>
      </c>
      <c r="AA47" s="443">
        <f>Z47*(1+'Demand Breakdown - Methanol'!$N$42)</f>
        <v>2.3328277625932644E-2</v>
      </c>
      <c r="AB47" s="443">
        <f>AA47*(1+'Demand Breakdown - Methanol'!$N$42)</f>
        <v>2.3818171456077227E-2</v>
      </c>
      <c r="AC47" s="443">
        <f>AB47*(1+'Demand Breakdown - Methanol'!$N$42)</f>
        <v>2.4318353056654848E-2</v>
      </c>
      <c r="AD47" s="443">
        <f>AC47*(1+'Demand Breakdown - Methanol'!$N$42)</f>
        <v>2.4829038470844597E-2</v>
      </c>
      <c r="AE47" s="443">
        <f>AD47*(1+'Demand Breakdown - Methanol'!$N$42)</f>
        <v>2.535044827873233E-2</v>
      </c>
      <c r="AF47" s="443">
        <f>AE47*(1+'Demand Breakdown - Methanol'!$N$42)</f>
        <v>2.5882807692585708E-2</v>
      </c>
      <c r="AG47" s="443">
        <f>AF47*(1+'Demand Breakdown - Methanol'!$N$42)</f>
        <v>2.6426346654130007E-2</v>
      </c>
      <c r="AH47" s="443">
        <f>AG47*(1+'Demand Breakdown - Methanol'!$N$42)</f>
        <v>2.6981299933866734E-2</v>
      </c>
      <c r="AJ47" s="443">
        <f>D47</f>
        <v>1.4464073070604898E-2</v>
      </c>
      <c r="AK47" s="443">
        <f>AJ47*(1+'Demand Breakdown - Methanol'!$N$42)</f>
        <v>1.47678186050876E-2</v>
      </c>
      <c r="AL47" s="443">
        <f>AK47*(1+'Demand Breakdown - Methanol'!$N$42)</f>
        <v>1.5077942795794438E-2</v>
      </c>
      <c r="AM47" s="443">
        <f>AL47*(1+'Demand Breakdown - Methanol'!$N$42)</f>
        <v>1.539457959450612E-2</v>
      </c>
      <c r="AN47" s="443">
        <f>AM47*(1+'Demand Breakdown - Methanol'!$N$42)</f>
        <v>1.5717865765990748E-2</v>
      </c>
      <c r="AO47" s="443">
        <f>AN47*(1+'Demand Breakdown - Methanol'!$N$42)</f>
        <v>1.6047940947076553E-2</v>
      </c>
      <c r="AP47" s="443">
        <f>AO47*(1+'Demand Breakdown - Methanol'!$N$42)</f>
        <v>1.638494770696516E-2</v>
      </c>
      <c r="AQ47" s="443">
        <f>AP47*(1+'Demand Breakdown - Methanol'!$N$42)</f>
        <v>1.6729031608811427E-2</v>
      </c>
      <c r="AR47" s="443">
        <f>AQ47*(1+'Demand Breakdown - Methanol'!$N$42)</f>
        <v>1.7080341272596465E-2</v>
      </c>
      <c r="AS47" s="443">
        <f>AR47*(1+'Demand Breakdown - Methanol'!$N$42)</f>
        <v>1.7439028439320988E-2</v>
      </c>
      <c r="AT47" s="443">
        <f>AS47*(1+'Demand Breakdown - Methanol'!$N$42)</f>
        <v>1.7805248036546727E-2</v>
      </c>
      <c r="AU47" s="443">
        <f>AT47*(1+'Demand Breakdown - Methanol'!$N$42)</f>
        <v>1.8179158245314207E-2</v>
      </c>
      <c r="AV47" s="443">
        <f>AU47*(1+'Demand Breakdown - Methanol'!$N$42)</f>
        <v>1.8560920568465804E-2</v>
      </c>
      <c r="AW47" s="443">
        <f>AV47*(1+'Demand Breakdown - Methanol'!$N$42)</f>
        <v>1.8950699900403583E-2</v>
      </c>
      <c r="AX47" s="443">
        <f>AW47*(1+'Demand Breakdown - Methanol'!$N$42)</f>
        <v>1.9348664598312058E-2</v>
      </c>
      <c r="AY47" s="443">
        <f>AX47*(1+'Demand Breakdown - Methanol'!$N$42)</f>
        <v>1.9754986554876609E-2</v>
      </c>
      <c r="AZ47" s="443">
        <f>AY47*(1+'Demand Breakdown - Methanol'!$N$42)</f>
        <v>2.0169841272529014E-2</v>
      </c>
      <c r="BA47" s="443">
        <f>AZ47*(1+'Demand Breakdown - Methanol'!$N$42)</f>
        <v>2.0593407939252122E-2</v>
      </c>
      <c r="BB47" s="443">
        <f>BA47*(1+'Demand Breakdown - Methanol'!$N$42)</f>
        <v>2.1025869505976413E-2</v>
      </c>
      <c r="BC47" s="443">
        <f>BB47*(1+'Demand Breakdown - Methanol'!$N$42)</f>
        <v>2.1467412765601917E-2</v>
      </c>
      <c r="BD47" s="443">
        <f>BC47*(1+'Demand Breakdown - Methanol'!$N$42)</f>
        <v>2.1918228433679555E-2</v>
      </c>
      <c r="BE47" s="443">
        <f>BD47*(1+'Demand Breakdown - Methanol'!$N$42)</f>
        <v>2.2378511230786824E-2</v>
      </c>
      <c r="BF47" s="443">
        <f>BE47*(1+'Demand Breakdown - Methanol'!$N$42)</f>
        <v>2.2848459966633344E-2</v>
      </c>
      <c r="BG47" s="443">
        <f>BF47*(1+'Demand Breakdown - Methanol'!$N$42)</f>
        <v>2.3328277625932644E-2</v>
      </c>
      <c r="BH47" s="443">
        <f>BG47*(1+'Demand Breakdown - Methanol'!$N$42)</f>
        <v>2.3818171456077227E-2</v>
      </c>
      <c r="BI47" s="443">
        <f>BH47*(1+'Demand Breakdown - Methanol'!$N$42)</f>
        <v>2.4318353056654848E-2</v>
      </c>
      <c r="BJ47" s="443">
        <f>BI47*(1+'Demand Breakdown - Methanol'!$N$42)</f>
        <v>2.4829038470844597E-2</v>
      </c>
      <c r="BK47" s="443">
        <f>BJ47*(1+'Demand Breakdown - Methanol'!$N$42)</f>
        <v>2.535044827873233E-2</v>
      </c>
      <c r="BL47" s="443">
        <f>BK47*(1+'Demand Breakdown - Methanol'!$N$42)</f>
        <v>2.5882807692585708E-2</v>
      </c>
      <c r="BM47" s="443">
        <f>BL47*(1+'Demand Breakdown - Methanol'!$N$42)</f>
        <v>2.6426346654130007E-2</v>
      </c>
      <c r="BN47" s="443">
        <f>BM47*(1+'Demand Breakdown - Methanol'!$N$42)</f>
        <v>2.6981299933866734E-2</v>
      </c>
    </row>
    <row r="48" spans="1:75">
      <c r="B48" s="61" t="s">
        <v>206</v>
      </c>
      <c r="C48" s="54" t="s">
        <v>153</v>
      </c>
      <c r="D48" s="43">
        <f>D47*'R&amp;S - Apparel'!$C$7*'R&amp;S - Apparel'!$B$13*'R&amp;S - Apparel'!$B$17*(D$3-$D$3)/10</f>
        <v>0</v>
      </c>
      <c r="E48" s="43">
        <f>E47*'R&amp;S - Apparel'!$C$7*'R&amp;S - Apparel'!$B$13*'R&amp;S - Apparel'!$B$17*(E$3-$D$3)/10</f>
        <v>0</v>
      </c>
      <c r="F48" s="43">
        <f>F47*'R&amp;S - Apparel'!$C$7*'R&amp;S - Apparel'!$B$13*'R&amp;S - Apparel'!$B$17*(F$3-$D$3)/10</f>
        <v>0</v>
      </c>
      <c r="G48" s="43">
        <f>G47*'R&amp;S - Apparel'!$C$7*'R&amp;S - Apparel'!$B$13*'R&amp;S - Apparel'!$B$17*(G$3-$D$3)/10</f>
        <v>0</v>
      </c>
      <c r="H48" s="43">
        <f>H47*'R&amp;S - Apparel'!$C$7*'R&amp;S - Apparel'!$B$13*'R&amp;S - Apparel'!$B$17*(H$3-$D$3)/10</f>
        <v>0</v>
      </c>
      <c r="I48" s="43">
        <f>I47*'R&amp;S - Apparel'!$C$7*'R&amp;S - Apparel'!$B$13*'R&amp;S - Apparel'!$B$17*(I$3-$D$3)/10</f>
        <v>0</v>
      </c>
      <c r="J48" s="43">
        <f>J47*'R&amp;S - Apparel'!$C$7*'R&amp;S - Apparel'!$B$13*'R&amp;S - Apparel'!$B$17*(J$3-$D$3)/10</f>
        <v>0</v>
      </c>
      <c r="K48" s="43">
        <f>K47*'R&amp;S - Apparel'!$C$7*'R&amp;S - Apparel'!$B$13*'R&amp;S - Apparel'!$B$17*(K$3-$D$3)/10</f>
        <v>0</v>
      </c>
      <c r="L48" s="43">
        <f>L47*'R&amp;S - Apparel'!$C$7*'R&amp;S - Apparel'!$B$13*'R&amp;S - Apparel'!$B$17*(L$3-$D$3)/10</f>
        <v>0</v>
      </c>
      <c r="M48" s="43">
        <f>M47*'R&amp;S - Apparel'!$C$7*'R&amp;S - Apparel'!$B$13*'R&amp;S - Apparel'!$B$17*(M$3-$D$3)/10</f>
        <v>0</v>
      </c>
      <c r="N48" s="43">
        <f>N47*'R&amp;S - Apparel'!$C$7*'R&amp;S - Apparel'!$B$13*'R&amp;S - Apparel'!$B$17*(N$3-$D$3)/10</f>
        <v>0</v>
      </c>
      <c r="O48" s="43">
        <f>O47*'R&amp;S - Apparel'!$C$7*'R&amp;S - Apparel'!$B$13*('R&amp;S - Apparel'!$B$17+('R&amp;S - Apparel'!$B$18-'R&amp;S - Apparel'!$B$17)*(O$3-$N$3)/10)</f>
        <v>0</v>
      </c>
      <c r="P48" s="43">
        <f>P47*'R&amp;S - Apparel'!$C$7*'R&amp;S - Apparel'!$B$13*('R&amp;S - Apparel'!$B$17+('R&amp;S - Apparel'!$B$18-'R&amp;S - Apparel'!$B$17)*(P$3-$N$3)/10)</f>
        <v>0</v>
      </c>
      <c r="Q48" s="43">
        <f>Q47*'R&amp;S - Apparel'!$C$7*'R&amp;S - Apparel'!$B$13*('R&amp;S - Apparel'!$B$17+('R&amp;S - Apparel'!$B$18-'R&amp;S - Apparel'!$B$17)*(Q$3-$N$3)/10)</f>
        <v>0</v>
      </c>
      <c r="R48" s="43">
        <f>R47*'R&amp;S - Apparel'!$C$7*'R&amp;S - Apparel'!$B$13*('R&amp;S - Apparel'!$B$17+('R&amp;S - Apparel'!$B$18-'R&amp;S - Apparel'!$B$17)*(R$3-$N$3)/10)</f>
        <v>0</v>
      </c>
      <c r="S48" s="43">
        <f>S47*'R&amp;S - Apparel'!$C$7*'R&amp;S - Apparel'!$B$13*('R&amp;S - Apparel'!$B$17+('R&amp;S - Apparel'!$B$18-'R&amp;S - Apparel'!$B$17)*(S$3-$N$3)/10)</f>
        <v>0</v>
      </c>
      <c r="T48" s="43">
        <f>T47*'R&amp;S - Apparel'!$C$7*'R&amp;S - Apparel'!$B$13*('R&amp;S - Apparel'!$B$17+('R&amp;S - Apparel'!$B$18-'R&amp;S - Apparel'!$B$17)*(T$3-$N$3)/10)</f>
        <v>0</v>
      </c>
      <c r="U48" s="43">
        <f>U47*'R&amp;S - Apparel'!$C$7*'R&amp;S - Apparel'!$B$13*('R&amp;S - Apparel'!$B$17+('R&amp;S - Apparel'!$B$18-'R&amp;S - Apparel'!$B$17)*(U$3-$N$3)/10)</f>
        <v>0</v>
      </c>
      <c r="V48" s="43">
        <f>V47*'R&amp;S - Apparel'!$C$7*'R&amp;S - Apparel'!$B$13*('R&amp;S - Apparel'!$B$17+('R&amp;S - Apparel'!$B$18-'R&amp;S - Apparel'!$B$17)*(V$3-$N$3)/10)</f>
        <v>0</v>
      </c>
      <c r="W48" s="43">
        <f>W47*'R&amp;S - Apparel'!$C$7*'R&amp;S - Apparel'!$B$13*('R&amp;S - Apparel'!$B$17+('R&amp;S - Apparel'!$B$18-'R&amp;S - Apparel'!$B$17)*(W$3-$N$3)/10)</f>
        <v>0</v>
      </c>
      <c r="X48" s="43">
        <f>X47*'R&amp;S - Apparel'!$C$7*'R&amp;S - Apparel'!$B$13*('R&amp;S - Apparel'!$B$17+('R&amp;S - Apparel'!$B$18-'R&amp;S - Apparel'!$B$17)*(X$3-$N$3)/10)</f>
        <v>0</v>
      </c>
      <c r="Y48" s="43">
        <f>Y47*'R&amp;S - Apparel'!$C$7*'R&amp;S - Apparel'!$B$13*('R&amp;S - Apparel'!$B$18+('R&amp;S - Apparel'!$B$19-'R&amp;S - Apparel'!$B$18)*(Y$3-$X$3)/10)</f>
        <v>0</v>
      </c>
      <c r="Z48" s="43">
        <f>Z47*'R&amp;S - Apparel'!$C$7*'R&amp;S - Apparel'!$B$13*('R&amp;S - Apparel'!$B$18+('R&amp;S - Apparel'!$B$19-'R&amp;S - Apparel'!$B$18)*(Z$3-$X$3)/10)</f>
        <v>0</v>
      </c>
      <c r="AA48" s="43">
        <f>AA47*'R&amp;S - Apparel'!$C$7*'R&amp;S - Apparel'!$B$13*('R&amp;S - Apparel'!$B$18+('R&amp;S - Apparel'!$B$19-'R&amp;S - Apparel'!$B$18)*(AA$3-$X$3)/10)</f>
        <v>0</v>
      </c>
      <c r="AB48" s="43">
        <f>AB47*'R&amp;S - Apparel'!$C$7*'R&amp;S - Apparel'!$B$13*('R&amp;S - Apparel'!$B$18+('R&amp;S - Apparel'!$B$19-'R&amp;S - Apparel'!$B$18)*(AB$3-$X$3)/10)</f>
        <v>0</v>
      </c>
      <c r="AC48" s="43">
        <f>AC47*'R&amp;S - Apparel'!$C$7*'R&amp;S - Apparel'!$B$13*('R&amp;S - Apparel'!$B$18+('R&amp;S - Apparel'!$B$19-'R&amp;S - Apparel'!$B$18)*(AC$3-$X$3)/10)</f>
        <v>0</v>
      </c>
      <c r="AD48" s="43">
        <f>AD47*'R&amp;S - Apparel'!$C$7*'R&amp;S - Apparel'!$B$13*('R&amp;S - Apparel'!$B$18+('R&amp;S - Apparel'!$B$19-'R&amp;S - Apparel'!$B$18)*(AD$3-$X$3)/10)</f>
        <v>0</v>
      </c>
      <c r="AE48" s="43">
        <f>AE47*'R&amp;S - Apparel'!$C$7*'R&amp;S - Apparel'!$B$13*('R&amp;S - Apparel'!$B$18+('R&amp;S - Apparel'!$B$19-'R&amp;S - Apparel'!$B$18)*(AE$3-$X$3)/10)</f>
        <v>0</v>
      </c>
      <c r="AF48" s="43">
        <f>AF47*'R&amp;S - Apparel'!$C$7*'R&amp;S - Apparel'!$B$13*('R&amp;S - Apparel'!$B$18+('R&amp;S - Apparel'!$B$19-'R&amp;S - Apparel'!$B$18)*(AF$3-$X$3)/10)</f>
        <v>0</v>
      </c>
      <c r="AG48" s="43">
        <f>AG47*'R&amp;S - Apparel'!$C$7*'R&amp;S - Apparel'!$B$13*('R&amp;S - Apparel'!$B$18+('R&amp;S - Apparel'!$B$19-'R&amp;S - Apparel'!$B$18)*(AG$3-$X$3)/10)</f>
        <v>0</v>
      </c>
      <c r="AH48" s="43">
        <f>AH47*'R&amp;S - Apparel'!$C$7*'R&amp;S - Apparel'!$B$13*('R&amp;S - Apparel'!$B$18+('R&amp;S - Apparel'!$B$19-'R&amp;S - Apparel'!$B$18)*(AH$3-$X$3)/10)</f>
        <v>0</v>
      </c>
      <c r="AJ48" s="43">
        <f>AJ47*'R&amp;S - Apparel'!$C$7*'R&amp;S - Apparel'!$B$14*'R&amp;S - Apparel'!$B$17*(AJ$3-$D$3)/10</f>
        <v>0</v>
      </c>
      <c r="AK48" s="43">
        <f>AK47*'R&amp;S - Apparel'!$C$7*'R&amp;S - Apparel'!$B$14*'R&amp;S - Apparel'!$B$17*(AK$3-$D$3)/10</f>
        <v>0</v>
      </c>
      <c r="AL48" s="43">
        <f>AL47*'R&amp;S - Apparel'!$C$7*'R&amp;S - Apparel'!$B$14*'R&amp;S - Apparel'!$B$17*(AL$3-$D$3)/10</f>
        <v>0</v>
      </c>
      <c r="AM48" s="43">
        <f>AM47*'R&amp;S - Apparel'!$C$7*'R&amp;S - Apparel'!$B$14*'R&amp;S - Apparel'!$B$17*(AM$3-$D$3)/10</f>
        <v>0</v>
      </c>
      <c r="AN48" s="43">
        <f>AN47*'R&amp;S - Apparel'!$C$7*'R&amp;S - Apparel'!$B$14*'R&amp;S - Apparel'!$B$17*(AN$3-$D$3)/10</f>
        <v>0</v>
      </c>
      <c r="AO48" s="43">
        <f>AO47*'R&amp;S - Apparel'!$C$7*'R&amp;S - Apparel'!$B$14*'R&amp;S - Apparel'!$B$17*(AO$3-$D$3)/10</f>
        <v>0</v>
      </c>
      <c r="AP48" s="43">
        <f>AP47*'R&amp;S - Apparel'!$C$7*'R&amp;S - Apparel'!$B$14*'R&amp;S - Apparel'!$B$17*(AP$3-$D$3)/10</f>
        <v>0</v>
      </c>
      <c r="AQ48" s="43">
        <f>AQ47*'R&amp;S - Apparel'!$C$7*'R&amp;S - Apparel'!$B$14*'R&amp;S - Apparel'!$B$17*(AQ$3-$D$3)/10</f>
        <v>0</v>
      </c>
      <c r="AR48" s="43">
        <f>AR47*'R&amp;S - Apparel'!$C$7*'R&amp;S - Apparel'!$B$14*'R&amp;S - Apparel'!$B$17*(AR$3-$D$3)/10</f>
        <v>0</v>
      </c>
      <c r="AS48" s="43">
        <f>AS47*'R&amp;S - Apparel'!$C$7*'R&amp;S - Apparel'!$B$14*'R&amp;S - Apparel'!$B$17*(AS$3-$D$3)/10</f>
        <v>0</v>
      </c>
      <c r="AT48" s="43">
        <f>AT47*'R&amp;S - Apparel'!$C$7*'R&amp;S - Apparel'!$B$14*'R&amp;S - Apparel'!$B$17*(AT$3-$D$3)/10</f>
        <v>0</v>
      </c>
      <c r="AU48" s="43">
        <f>AU47*'R&amp;S - Apparel'!$C$7*'R&amp;S - Apparel'!$B$14*('R&amp;S - Apparel'!$B$17+('R&amp;S - Apparel'!$B$18-'R&amp;S - Apparel'!$B$17)*(AU$3-$N$3)/10)</f>
        <v>0</v>
      </c>
      <c r="AV48" s="43">
        <f>AV47*'R&amp;S - Apparel'!$C$7*'R&amp;S - Apparel'!$B$14*('R&amp;S - Apparel'!$B$17+('R&amp;S - Apparel'!$B$18-'R&amp;S - Apparel'!$B$17)*(AV$3-$N$3)/10)</f>
        <v>0</v>
      </c>
      <c r="AW48" s="43">
        <f>AW47*'R&amp;S - Apparel'!$C$7*'R&amp;S - Apparel'!$B$14*('R&amp;S - Apparel'!$B$17+('R&amp;S - Apparel'!$B$18-'R&amp;S - Apparel'!$B$17)*(AW$3-$N$3)/10)</f>
        <v>0</v>
      </c>
      <c r="AX48" s="43">
        <f>AX47*'R&amp;S - Apparel'!$C$7*'R&amp;S - Apparel'!$B$14*('R&amp;S - Apparel'!$B$17+('R&amp;S - Apparel'!$B$18-'R&amp;S - Apparel'!$B$17)*(AX$3-$N$3)/10)</f>
        <v>0</v>
      </c>
      <c r="AY48" s="43">
        <f>AY47*'R&amp;S - Apparel'!$C$7*'R&amp;S - Apparel'!$B$14*('R&amp;S - Apparel'!$B$17+('R&amp;S - Apparel'!$B$18-'R&amp;S - Apparel'!$B$17)*(AY$3-$N$3)/10)</f>
        <v>0</v>
      </c>
      <c r="AZ48" s="43">
        <f>AZ47*'R&amp;S - Apparel'!$C$7*'R&amp;S - Apparel'!$B$14*('R&amp;S - Apparel'!$B$17+('R&amp;S - Apparel'!$B$18-'R&amp;S - Apparel'!$B$17)*(AZ$3-$N$3)/10)</f>
        <v>0</v>
      </c>
      <c r="BA48" s="43">
        <f>BA47*'R&amp;S - Apparel'!$C$7*'R&amp;S - Apparel'!$B$14*('R&amp;S - Apparel'!$B$17+('R&amp;S - Apparel'!$B$18-'R&amp;S - Apparel'!$B$17)*(BA$3-$N$3)/10)</f>
        <v>0</v>
      </c>
      <c r="BB48" s="43">
        <f>BB47*'R&amp;S - Apparel'!$C$7*'R&amp;S - Apparel'!$B$14*('R&amp;S - Apparel'!$B$17+('R&amp;S - Apparel'!$B$18-'R&amp;S - Apparel'!$B$17)*(BB$3-$N$3)/10)</f>
        <v>0</v>
      </c>
      <c r="BC48" s="43">
        <f>BC47*'R&amp;S - Apparel'!$C$7*'R&amp;S - Apparel'!$B$14*('R&amp;S - Apparel'!$B$17+('R&amp;S - Apparel'!$B$18-'R&amp;S - Apparel'!$B$17)*(BC$3-$N$3)/10)</f>
        <v>0</v>
      </c>
      <c r="BD48" s="43">
        <f>BD47*'R&amp;S - Apparel'!$C$7*'R&amp;S - Apparel'!$B$14*('R&amp;S - Apparel'!$B$17+('R&amp;S - Apparel'!$B$18-'R&amp;S - Apparel'!$B$17)*(BD$3-$N$3)/10)</f>
        <v>0</v>
      </c>
      <c r="BE48" s="43">
        <f>BE47*'R&amp;S - Apparel'!$C$7*'R&amp;S - Apparel'!$B$14*('R&amp;S - Apparel'!$B$18+('R&amp;S - Apparel'!$B$19-'R&amp;S - Apparel'!$B$18)*(BE$3-$X$3)/10)</f>
        <v>0</v>
      </c>
      <c r="BF48" s="43">
        <f>BF47*'R&amp;S - Apparel'!$C$7*'R&amp;S - Apparel'!$B$14*('R&amp;S - Apparel'!$B$18+('R&amp;S - Apparel'!$B$19-'R&amp;S - Apparel'!$B$18)*(BF$3-$X$3)/10)</f>
        <v>0</v>
      </c>
      <c r="BG48" s="43">
        <f>BG47*'R&amp;S - Apparel'!$C$7*'R&amp;S - Apparel'!$B$14*('R&amp;S - Apparel'!$B$18+('R&amp;S - Apparel'!$B$19-'R&amp;S - Apparel'!$B$18)*(BG$3-$X$3)/10)</f>
        <v>0</v>
      </c>
      <c r="BH48" s="43">
        <f>BH47*'R&amp;S - Apparel'!$C$7*'R&amp;S - Apparel'!$B$14*('R&amp;S - Apparel'!$B$18+('R&amp;S - Apparel'!$B$19-'R&amp;S - Apparel'!$B$18)*(BH$3-$X$3)/10)</f>
        <v>0</v>
      </c>
      <c r="BI48" s="43">
        <f>BI47*'R&amp;S - Apparel'!$C$7*'R&amp;S - Apparel'!$B$14*('R&amp;S - Apparel'!$B$18+('R&amp;S - Apparel'!$B$19-'R&amp;S - Apparel'!$B$18)*(BI$3-$X$3)/10)</f>
        <v>0</v>
      </c>
      <c r="BJ48" s="43">
        <f>BJ47*'R&amp;S - Apparel'!$C$7*'R&amp;S - Apparel'!$B$14*('R&amp;S - Apparel'!$B$18+('R&amp;S - Apparel'!$B$19-'R&amp;S - Apparel'!$B$18)*(BJ$3-$X$3)/10)</f>
        <v>0</v>
      </c>
      <c r="BK48" s="43">
        <f>BK47*'R&amp;S - Apparel'!$C$7*'R&amp;S - Apparel'!$B$14*('R&amp;S - Apparel'!$B$18+('R&amp;S - Apparel'!$B$19-'R&amp;S - Apparel'!$B$18)*(BK$3-$X$3)/10)</f>
        <v>0</v>
      </c>
      <c r="BL48" s="43">
        <f>BL47*'R&amp;S - Apparel'!$C$7*'R&amp;S - Apparel'!$B$14*('R&amp;S - Apparel'!$B$18+('R&amp;S - Apparel'!$B$19-'R&amp;S - Apparel'!$B$18)*(BL$3-$X$3)/10)</f>
        <v>0</v>
      </c>
      <c r="BM48" s="43">
        <f>BM47*'R&amp;S - Apparel'!$C$7*'R&amp;S - Apparel'!$B$14*('R&amp;S - Apparel'!$B$18+('R&amp;S - Apparel'!$B$19-'R&amp;S - Apparel'!$B$18)*(BM$3-$X$3)/10)</f>
        <v>0</v>
      </c>
      <c r="BN48" s="43">
        <f>BN47*'R&amp;S - Apparel'!$C$7*'R&amp;S - Apparel'!$B$14*('R&amp;S - Apparel'!$B$18+('R&amp;S - Apparel'!$B$19-'R&amp;S - Apparel'!$B$18)*(BN$3-$X$3)/10)</f>
        <v>0</v>
      </c>
    </row>
    <row r="49" spans="1:66">
      <c r="B49" s="61" t="s">
        <v>207</v>
      </c>
      <c r="C49" s="54" t="s">
        <v>153</v>
      </c>
      <c r="D49" s="43">
        <f>D47*'R&amp;S - Apparel'!$C$8*'R&amp;S - Apparel'!$B$13*'R&amp;S - Apparel'!$C$17*(D$3-$D$3)/10</f>
        <v>0</v>
      </c>
      <c r="E49" s="43">
        <f>E47*'R&amp;S - Apparel'!$C$8*'R&amp;S - Apparel'!$B$13*'R&amp;S - Apparel'!$C$17*(E$3-$D$3)/10</f>
        <v>0</v>
      </c>
      <c r="F49" s="43">
        <f>F47*'R&amp;S - Apparel'!$C$8*'R&amp;S - Apparel'!$B$13*'R&amp;S - Apparel'!$C$17*(F$3-$D$3)/10</f>
        <v>0</v>
      </c>
      <c r="G49" s="43">
        <f>G47*'R&amp;S - Apparel'!$C$8*'R&amp;S - Apparel'!$B$13*'R&amp;S - Apparel'!$C$17*(G$3-$D$3)/10</f>
        <v>0</v>
      </c>
      <c r="H49" s="43">
        <f>H47*'R&amp;S - Apparel'!$C$8*'R&amp;S - Apparel'!$B$13*'R&amp;S - Apparel'!$C$17*(H$3-$D$3)/10</f>
        <v>0</v>
      </c>
      <c r="I49" s="43">
        <f>I47*'R&amp;S - Apparel'!$C$8*'R&amp;S - Apparel'!$B$13*'R&amp;S - Apparel'!$C$17*(I$3-$D$3)/10</f>
        <v>0</v>
      </c>
      <c r="J49" s="43">
        <f>J47*'R&amp;S - Apparel'!$C$8*'R&amp;S - Apparel'!$B$13*'R&amp;S - Apparel'!$C$17*(J$3-$D$3)/10</f>
        <v>0</v>
      </c>
      <c r="K49" s="43">
        <f>K47*'R&amp;S - Apparel'!$C$8*'R&amp;S - Apparel'!$B$13*'R&amp;S - Apparel'!$C$17*(K$3-$D$3)/10</f>
        <v>0</v>
      </c>
      <c r="L49" s="43">
        <f>L47*'R&amp;S - Apparel'!$C$8*'R&amp;S - Apparel'!$B$13*'R&amp;S - Apparel'!$C$17*(L$3-$D$3)/10</f>
        <v>0</v>
      </c>
      <c r="M49" s="43">
        <f>M47*'R&amp;S - Apparel'!$C$8*'R&amp;S - Apparel'!$B$13*'R&amp;S - Apparel'!$C$17*(M$3-$D$3)/10</f>
        <v>0</v>
      </c>
      <c r="N49" s="43">
        <f>N47*'R&amp;S - Apparel'!$C$8*'R&amp;S - Apparel'!$B$13*'R&amp;S - Apparel'!$C$17*(N$3-$D$3)/10</f>
        <v>0</v>
      </c>
      <c r="O49" s="43">
        <f>O47*'R&amp;S - Apparel'!$C$8*'R&amp;S - Apparel'!$B$13*('R&amp;S - Apparel'!$C$17+('R&amp;S - Apparel'!$C$18-'R&amp;S - Apparel'!$C$17)*(O$3-$N$3)/10)</f>
        <v>0</v>
      </c>
      <c r="P49" s="43">
        <f>P47*'R&amp;S - Apparel'!$C$8*'R&amp;S - Apparel'!$B$13*('R&amp;S - Apparel'!$C$17+('R&amp;S - Apparel'!$C$18-'R&amp;S - Apparel'!$C$17)*(P$3-$N$3)/10)</f>
        <v>0</v>
      </c>
      <c r="Q49" s="43">
        <f>Q47*'R&amp;S - Apparel'!$C$8*'R&amp;S - Apparel'!$B$13*('R&amp;S - Apparel'!$C$17+('R&amp;S - Apparel'!$C$18-'R&amp;S - Apparel'!$C$17)*(Q$3-$N$3)/10)</f>
        <v>0</v>
      </c>
      <c r="R49" s="43">
        <f>R47*'R&amp;S - Apparel'!$C$8*'R&amp;S - Apparel'!$B$13*('R&amp;S - Apparel'!$C$17+('R&amp;S - Apparel'!$C$18-'R&amp;S - Apparel'!$C$17)*(R$3-$N$3)/10)</f>
        <v>0</v>
      </c>
      <c r="S49" s="43">
        <f>S47*'R&amp;S - Apparel'!$C$8*'R&amp;S - Apparel'!$B$13*('R&amp;S - Apparel'!$C$17+('R&amp;S - Apparel'!$C$18-'R&amp;S - Apparel'!$C$17)*(S$3-$N$3)/10)</f>
        <v>0</v>
      </c>
      <c r="T49" s="43">
        <f>T47*'R&amp;S - Apparel'!$C$8*'R&amp;S - Apparel'!$B$13*('R&amp;S - Apparel'!$C$17+('R&amp;S - Apparel'!$C$18-'R&amp;S - Apparel'!$C$17)*(T$3-$N$3)/10)</f>
        <v>0</v>
      </c>
      <c r="U49" s="43">
        <f>U47*'R&amp;S - Apparel'!$C$8*'R&amp;S - Apparel'!$B$13*('R&amp;S - Apparel'!$C$17+('R&amp;S - Apparel'!$C$18-'R&amp;S - Apparel'!$C$17)*(U$3-$N$3)/10)</f>
        <v>0</v>
      </c>
      <c r="V49" s="43">
        <f>V47*'R&amp;S - Apparel'!$C$8*'R&amp;S - Apparel'!$B$13*('R&amp;S - Apparel'!$C$17+('R&amp;S - Apparel'!$C$18-'R&amp;S - Apparel'!$C$17)*(V$3-$N$3)/10)</f>
        <v>0</v>
      </c>
      <c r="W49" s="43">
        <f>W47*'R&amp;S - Apparel'!$C$8*'R&amp;S - Apparel'!$B$13*('R&amp;S - Apparel'!$C$17+('R&amp;S - Apparel'!$C$18-'R&amp;S - Apparel'!$C$17)*(W$3-$N$3)/10)</f>
        <v>0</v>
      </c>
      <c r="X49" s="43">
        <f>X47*'R&amp;S - Apparel'!$C$8*'R&amp;S - Apparel'!$B$13*('R&amp;S - Apparel'!$C$17+('R&amp;S - Apparel'!$C$18-'R&amp;S - Apparel'!$C$17)*(X$3-$N$3)/10)</f>
        <v>0</v>
      </c>
      <c r="Y49" s="43">
        <f>Y47*'R&amp;S - Apparel'!$C$8*'R&amp;S - Apparel'!$B$13*('R&amp;S - Apparel'!$C$18+('R&amp;S - Apparel'!$C$19-'R&amp;S - Apparel'!$C$18)*(Y$3-$X$3)/10)</f>
        <v>0</v>
      </c>
      <c r="Z49" s="43">
        <f>Z47*'R&amp;S - Apparel'!$C$8*'R&amp;S - Apparel'!$B$13*('R&amp;S - Apparel'!$C$18+('R&amp;S - Apparel'!$C$19-'R&amp;S - Apparel'!$C$18)*(Z$3-$X$3)/10)</f>
        <v>0</v>
      </c>
      <c r="AA49" s="43">
        <f>AA47*'R&amp;S - Apparel'!$C$8*'R&amp;S - Apparel'!$B$13*('R&amp;S - Apparel'!$C$18+('R&amp;S - Apparel'!$C$19-'R&amp;S - Apparel'!$C$18)*(AA$3-$X$3)/10)</f>
        <v>0</v>
      </c>
      <c r="AB49" s="43">
        <f>AB47*'R&amp;S - Apparel'!$C$8*'R&amp;S - Apparel'!$B$13*('R&amp;S - Apparel'!$C$18+('R&amp;S - Apparel'!$C$19-'R&amp;S - Apparel'!$C$18)*(AB$3-$X$3)/10)</f>
        <v>0</v>
      </c>
      <c r="AC49" s="43">
        <f>AC47*'R&amp;S - Apparel'!$C$8*'R&amp;S - Apparel'!$B$13*('R&amp;S - Apparel'!$C$18+('R&amp;S - Apparel'!$C$19-'R&amp;S - Apparel'!$C$18)*(AC$3-$X$3)/10)</f>
        <v>0</v>
      </c>
      <c r="AD49" s="43">
        <f>AD47*'R&amp;S - Apparel'!$C$8*'R&amp;S - Apparel'!$B$13*('R&amp;S - Apparel'!$C$18+('R&amp;S - Apparel'!$C$19-'R&amp;S - Apparel'!$C$18)*(AD$3-$X$3)/10)</f>
        <v>0</v>
      </c>
      <c r="AE49" s="43">
        <f>AE47*'R&amp;S - Apparel'!$C$8*'R&amp;S - Apparel'!$B$13*('R&amp;S - Apparel'!$C$18+('R&amp;S - Apparel'!$C$19-'R&amp;S - Apparel'!$C$18)*(AE$3-$X$3)/10)</f>
        <v>0</v>
      </c>
      <c r="AF49" s="43">
        <f>AF47*'R&amp;S - Apparel'!$C$8*'R&amp;S - Apparel'!$B$13*('R&amp;S - Apparel'!$C$18+('R&amp;S - Apparel'!$C$19-'R&amp;S - Apparel'!$C$18)*(AF$3-$X$3)/10)</f>
        <v>0</v>
      </c>
      <c r="AG49" s="43">
        <f>AG47*'R&amp;S - Apparel'!$C$8*'R&amp;S - Apparel'!$B$13*('R&amp;S - Apparel'!$C$18+('R&amp;S - Apparel'!$C$19-'R&amp;S - Apparel'!$C$18)*(AG$3-$X$3)/10)</f>
        <v>0</v>
      </c>
      <c r="AH49" s="43">
        <f>AH47*'R&amp;S - Apparel'!$C$8*'R&amp;S - Apparel'!$B$13*('R&amp;S - Apparel'!$C$18+('R&amp;S - Apparel'!$C$19-'R&amp;S - Apparel'!$C$18)*(AH$3-$X$3)/10)</f>
        <v>0</v>
      </c>
      <c r="AJ49" s="43">
        <f>AJ47*'R&amp;S - Apparel'!$C$8*'R&amp;S - Apparel'!$B$14*'R&amp;S - Apparel'!$C$17*(AJ$3-$D$3)/10</f>
        <v>0</v>
      </c>
      <c r="AK49" s="43">
        <f>AK47*'R&amp;S - Apparel'!$C$8*'R&amp;S - Apparel'!$B$14*'R&amp;S - Apparel'!$C$17*(AK$3-$D$3)/10</f>
        <v>0</v>
      </c>
      <c r="AL49" s="43">
        <f>AL47*'R&amp;S - Apparel'!$C$8*'R&amp;S - Apparel'!$B$14*'R&amp;S - Apparel'!$C$17*(AL$3-$D$3)/10</f>
        <v>0</v>
      </c>
      <c r="AM49" s="43">
        <f>AM47*'R&amp;S - Apparel'!$C$8*'R&amp;S - Apparel'!$B$14*'R&amp;S - Apparel'!$C$17*(AM$3-$D$3)/10</f>
        <v>0</v>
      </c>
      <c r="AN49" s="43">
        <f>AN47*'R&amp;S - Apparel'!$C$8*'R&amp;S - Apparel'!$B$14*'R&amp;S - Apparel'!$C$17*(AN$3-$D$3)/10</f>
        <v>0</v>
      </c>
      <c r="AO49" s="43">
        <f>AO47*'R&amp;S - Apparel'!$C$8*'R&amp;S - Apparel'!$B$14*'R&amp;S - Apparel'!$C$17*(AO$3-$D$3)/10</f>
        <v>0</v>
      </c>
      <c r="AP49" s="43">
        <f>AP47*'R&amp;S - Apparel'!$C$8*'R&amp;S - Apparel'!$B$14*'R&amp;S - Apparel'!$C$17*(AP$3-$D$3)/10</f>
        <v>0</v>
      </c>
      <c r="AQ49" s="43">
        <f>AQ47*'R&amp;S - Apparel'!$C$8*'R&amp;S - Apparel'!$B$14*'R&amp;S - Apparel'!$C$17*(AQ$3-$D$3)/10</f>
        <v>0</v>
      </c>
      <c r="AR49" s="43">
        <f>AR47*'R&amp;S - Apparel'!$C$8*'R&amp;S - Apparel'!$B$14*'R&amp;S - Apparel'!$C$17*(AR$3-$D$3)/10</f>
        <v>0</v>
      </c>
      <c r="AS49" s="43">
        <f>AS47*'R&amp;S - Apparel'!$C$8*'R&amp;S - Apparel'!$B$14*'R&amp;S - Apparel'!$C$17*(AS$3-$D$3)/10</f>
        <v>0</v>
      </c>
      <c r="AT49" s="43">
        <f>AT47*'R&amp;S - Apparel'!$C$8*'R&amp;S - Apparel'!$B$14*'R&amp;S - Apparel'!$C$17*(AT$3-$D$3)/10</f>
        <v>0</v>
      </c>
      <c r="AU49" s="43">
        <f>AU47*'R&amp;S - Apparel'!$C$8*'R&amp;S - Apparel'!$B$14*('R&amp;S - Apparel'!$C$17+('R&amp;S - Apparel'!$C$18-'R&amp;S - Apparel'!$C$17)*(AU$3-$N$3)/10)</f>
        <v>0</v>
      </c>
      <c r="AV49" s="43">
        <f>AV47*'R&amp;S - Apparel'!$C$8*'R&amp;S - Apparel'!$B$14*('R&amp;S - Apparel'!$C$17+('R&amp;S - Apparel'!$C$18-'R&amp;S - Apparel'!$C$17)*(AV$3-$N$3)/10)</f>
        <v>0</v>
      </c>
      <c r="AW49" s="43">
        <f>AW47*'R&amp;S - Apparel'!$C$8*'R&amp;S - Apparel'!$B$14*('R&amp;S - Apparel'!$C$17+('R&amp;S - Apparel'!$C$18-'R&amp;S - Apparel'!$C$17)*(AW$3-$N$3)/10)</f>
        <v>0</v>
      </c>
      <c r="AX49" s="43">
        <f>AX47*'R&amp;S - Apparel'!$C$8*'R&amp;S - Apparel'!$B$14*('R&amp;S - Apparel'!$C$17+('R&amp;S - Apparel'!$C$18-'R&amp;S - Apparel'!$C$17)*(AX$3-$N$3)/10)</f>
        <v>0</v>
      </c>
      <c r="AY49" s="43">
        <f>AY47*'R&amp;S - Apparel'!$C$8*'R&amp;S - Apparel'!$B$14*('R&amp;S - Apparel'!$C$17+('R&amp;S - Apparel'!$C$18-'R&amp;S - Apparel'!$C$17)*(AY$3-$N$3)/10)</f>
        <v>0</v>
      </c>
      <c r="AZ49" s="43">
        <f>AZ47*'R&amp;S - Apparel'!$C$8*'R&amp;S - Apparel'!$B$14*('R&amp;S - Apparel'!$C$17+('R&amp;S - Apparel'!$C$18-'R&amp;S - Apparel'!$C$17)*(AZ$3-$N$3)/10)</f>
        <v>0</v>
      </c>
      <c r="BA49" s="43">
        <f>BA47*'R&amp;S - Apparel'!$C$8*'R&amp;S - Apparel'!$B$14*('R&amp;S - Apparel'!$C$17+('R&amp;S - Apparel'!$C$18-'R&amp;S - Apparel'!$C$17)*(BA$3-$N$3)/10)</f>
        <v>0</v>
      </c>
      <c r="BB49" s="43">
        <f>BB47*'R&amp;S - Apparel'!$C$8*'R&amp;S - Apparel'!$B$14*('R&amp;S - Apparel'!$C$17+('R&amp;S - Apparel'!$C$18-'R&amp;S - Apparel'!$C$17)*(BB$3-$N$3)/10)</f>
        <v>0</v>
      </c>
      <c r="BC49" s="43">
        <f>BC47*'R&amp;S - Apparel'!$C$8*'R&amp;S - Apparel'!$B$14*('R&amp;S - Apparel'!$C$17+('R&amp;S - Apparel'!$C$18-'R&amp;S - Apparel'!$C$17)*(BC$3-$N$3)/10)</f>
        <v>0</v>
      </c>
      <c r="BD49" s="43">
        <f>BD47*'R&amp;S - Apparel'!$C$8*'R&amp;S - Apparel'!$B$14*('R&amp;S - Apparel'!$C$17+('R&amp;S - Apparel'!$C$18-'R&amp;S - Apparel'!$C$17)*(BD$3-$N$3)/10)</f>
        <v>0</v>
      </c>
      <c r="BE49" s="43">
        <f>BE47*'R&amp;S - Apparel'!$C$8*'R&amp;S - Apparel'!$B$14*('R&amp;S - Apparel'!$C$18+('R&amp;S - Apparel'!$C$19-'R&amp;S - Apparel'!$C$18)*(BE$3-$X$3)/10)</f>
        <v>0</v>
      </c>
      <c r="BF49" s="43">
        <f>BF47*'R&amp;S - Apparel'!$C$8*'R&amp;S - Apparel'!$B$14*('R&amp;S - Apparel'!$C$18+('R&amp;S - Apparel'!$C$19-'R&amp;S - Apparel'!$C$18)*(BF$3-$X$3)/10)</f>
        <v>0</v>
      </c>
      <c r="BG49" s="43">
        <f>BG47*'R&amp;S - Apparel'!$C$8*'R&amp;S - Apparel'!$B$14*('R&amp;S - Apparel'!$C$18+('R&amp;S - Apparel'!$C$19-'R&amp;S - Apparel'!$C$18)*(BG$3-$X$3)/10)</f>
        <v>0</v>
      </c>
      <c r="BH49" s="43">
        <f>BH47*'R&amp;S - Apparel'!$C$8*'R&amp;S - Apparel'!$B$14*('R&amp;S - Apparel'!$C$18+('R&amp;S - Apparel'!$C$19-'R&amp;S - Apparel'!$C$18)*(BH$3-$X$3)/10)</f>
        <v>0</v>
      </c>
      <c r="BI49" s="43">
        <f>BI47*'R&amp;S - Apparel'!$C$8*'R&amp;S - Apparel'!$B$14*('R&amp;S - Apparel'!$C$18+('R&amp;S - Apparel'!$C$19-'R&amp;S - Apparel'!$C$18)*(BI$3-$X$3)/10)</f>
        <v>0</v>
      </c>
      <c r="BJ49" s="43">
        <f>BJ47*'R&amp;S - Apparel'!$C$8*'R&amp;S - Apparel'!$B$14*('R&amp;S - Apparel'!$C$18+('R&amp;S - Apparel'!$C$19-'R&amp;S - Apparel'!$C$18)*(BJ$3-$X$3)/10)</f>
        <v>0</v>
      </c>
      <c r="BK49" s="43">
        <f>BK47*'R&amp;S - Apparel'!$C$8*'R&amp;S - Apparel'!$B$14*('R&amp;S - Apparel'!$C$18+('R&amp;S - Apparel'!$C$19-'R&amp;S - Apparel'!$C$18)*(BK$3-$X$3)/10)</f>
        <v>0</v>
      </c>
      <c r="BL49" s="43">
        <f>BL47*'R&amp;S - Apparel'!$C$8*'R&amp;S - Apparel'!$B$14*('R&amp;S - Apparel'!$C$18+('R&amp;S - Apparel'!$C$19-'R&amp;S - Apparel'!$C$18)*(BL$3-$X$3)/10)</f>
        <v>0</v>
      </c>
      <c r="BM49" s="43">
        <f>BM47*'R&amp;S - Apparel'!$C$8*'R&amp;S - Apparel'!$B$14*('R&amp;S - Apparel'!$C$18+('R&amp;S - Apparel'!$C$19-'R&amp;S - Apparel'!$C$18)*(BM$3-$X$3)/10)</f>
        <v>0</v>
      </c>
      <c r="BN49" s="43">
        <f>BN47*'R&amp;S - Apparel'!$C$8*'R&amp;S - Apparel'!$B$14*('R&amp;S - Apparel'!$C$18+('R&amp;S - Apparel'!$C$19-'R&amp;S - Apparel'!$C$18)*(BN$3-$X$3)/10)</f>
        <v>0</v>
      </c>
    </row>
    <row r="50" spans="1:66">
      <c r="B50" s="1" t="s">
        <v>168</v>
      </c>
      <c r="C50" s="54" t="s">
        <v>153</v>
      </c>
      <c r="D50" s="43">
        <f>SUM(D48:D49)</f>
        <v>0</v>
      </c>
      <c r="E50" s="43">
        <f>SUM(E48:E49)</f>
        <v>0</v>
      </c>
      <c r="F50" s="43">
        <f t="shared" ref="F50:AH50" si="401">SUM(F48:F49)</f>
        <v>0</v>
      </c>
      <c r="G50" s="43">
        <f t="shared" si="401"/>
        <v>0</v>
      </c>
      <c r="H50" s="43">
        <f t="shared" si="401"/>
        <v>0</v>
      </c>
      <c r="I50" s="43">
        <f t="shared" si="401"/>
        <v>0</v>
      </c>
      <c r="J50" s="43">
        <f t="shared" si="401"/>
        <v>0</v>
      </c>
      <c r="K50" s="43">
        <f t="shared" si="401"/>
        <v>0</v>
      </c>
      <c r="L50" s="43">
        <f t="shared" si="401"/>
        <v>0</v>
      </c>
      <c r="M50" s="43">
        <f t="shared" si="401"/>
        <v>0</v>
      </c>
      <c r="N50" s="43">
        <f t="shared" si="401"/>
        <v>0</v>
      </c>
      <c r="O50" s="43">
        <f>SUM(O48:O49)</f>
        <v>0</v>
      </c>
      <c r="P50" s="43">
        <f t="shared" si="401"/>
        <v>0</v>
      </c>
      <c r="Q50" s="43">
        <f t="shared" si="401"/>
        <v>0</v>
      </c>
      <c r="R50" s="43">
        <f t="shared" si="401"/>
        <v>0</v>
      </c>
      <c r="S50" s="43">
        <f t="shared" si="401"/>
        <v>0</v>
      </c>
      <c r="T50" s="43">
        <f t="shared" si="401"/>
        <v>0</v>
      </c>
      <c r="U50" s="43">
        <f t="shared" si="401"/>
        <v>0</v>
      </c>
      <c r="V50" s="43">
        <f t="shared" si="401"/>
        <v>0</v>
      </c>
      <c r="W50" s="43">
        <f t="shared" si="401"/>
        <v>0</v>
      </c>
      <c r="X50" s="43">
        <f t="shared" si="401"/>
        <v>0</v>
      </c>
      <c r="Y50" s="43">
        <f t="shared" ref="Y50:AG50" si="402">SUM(Y48:Y49)</f>
        <v>0</v>
      </c>
      <c r="Z50" s="43">
        <f t="shared" si="402"/>
        <v>0</v>
      </c>
      <c r="AA50" s="43">
        <f t="shared" si="402"/>
        <v>0</v>
      </c>
      <c r="AB50" s="43">
        <f t="shared" si="402"/>
        <v>0</v>
      </c>
      <c r="AC50" s="43">
        <f t="shared" si="402"/>
        <v>0</v>
      </c>
      <c r="AD50" s="43">
        <f t="shared" si="402"/>
        <v>0</v>
      </c>
      <c r="AE50" s="43">
        <f t="shared" si="402"/>
        <v>0</v>
      </c>
      <c r="AF50" s="43">
        <f t="shared" si="402"/>
        <v>0</v>
      </c>
      <c r="AG50" s="43">
        <f t="shared" si="402"/>
        <v>0</v>
      </c>
      <c r="AH50" s="43">
        <f t="shared" si="401"/>
        <v>0</v>
      </c>
      <c r="AJ50" s="43">
        <f>SUM(AJ48:AJ49)</f>
        <v>0</v>
      </c>
      <c r="AK50" s="43">
        <f>SUM(AK48:AK49)</f>
        <v>0</v>
      </c>
      <c r="AL50" s="43">
        <f t="shared" ref="AL50:AT50" si="403">SUM(AL48:AL49)</f>
        <v>0</v>
      </c>
      <c r="AM50" s="43">
        <f t="shared" si="403"/>
        <v>0</v>
      </c>
      <c r="AN50" s="43">
        <f t="shared" si="403"/>
        <v>0</v>
      </c>
      <c r="AO50" s="43">
        <f t="shared" si="403"/>
        <v>0</v>
      </c>
      <c r="AP50" s="43">
        <f t="shared" si="403"/>
        <v>0</v>
      </c>
      <c r="AQ50" s="43">
        <f t="shared" si="403"/>
        <v>0</v>
      </c>
      <c r="AR50" s="43">
        <f t="shared" si="403"/>
        <v>0</v>
      </c>
      <c r="AS50" s="43">
        <f t="shared" si="403"/>
        <v>0</v>
      </c>
      <c r="AT50" s="43">
        <f t="shared" si="403"/>
        <v>0</v>
      </c>
      <c r="AU50" s="43">
        <f>SUM(AU48:AU49)</f>
        <v>0</v>
      </c>
      <c r="AV50" s="43">
        <f t="shared" ref="AV50:BN50" si="404">SUM(AV48:AV49)</f>
        <v>0</v>
      </c>
      <c r="AW50" s="43">
        <f t="shared" si="404"/>
        <v>0</v>
      </c>
      <c r="AX50" s="43">
        <f t="shared" si="404"/>
        <v>0</v>
      </c>
      <c r="AY50" s="43">
        <f t="shared" si="404"/>
        <v>0</v>
      </c>
      <c r="AZ50" s="43">
        <f t="shared" si="404"/>
        <v>0</v>
      </c>
      <c r="BA50" s="43">
        <f t="shared" si="404"/>
        <v>0</v>
      </c>
      <c r="BB50" s="43">
        <f t="shared" si="404"/>
        <v>0</v>
      </c>
      <c r="BC50" s="43">
        <f t="shared" si="404"/>
        <v>0</v>
      </c>
      <c r="BD50" s="43">
        <f t="shared" si="404"/>
        <v>0</v>
      </c>
      <c r="BE50" s="43">
        <f t="shared" si="404"/>
        <v>0</v>
      </c>
      <c r="BF50" s="43">
        <f t="shared" si="404"/>
        <v>0</v>
      </c>
      <c r="BG50" s="43">
        <f t="shared" si="404"/>
        <v>0</v>
      </c>
      <c r="BH50" s="43">
        <f t="shared" si="404"/>
        <v>0</v>
      </c>
      <c r="BI50" s="43">
        <f t="shared" si="404"/>
        <v>0</v>
      </c>
      <c r="BJ50" s="43">
        <f t="shared" si="404"/>
        <v>0</v>
      </c>
      <c r="BK50" s="43">
        <f t="shared" si="404"/>
        <v>0</v>
      </c>
      <c r="BL50" s="43">
        <f t="shared" si="404"/>
        <v>0</v>
      </c>
      <c r="BM50" s="43">
        <f t="shared" si="404"/>
        <v>0</v>
      </c>
      <c r="BN50" s="43">
        <f t="shared" si="404"/>
        <v>0</v>
      </c>
    </row>
    <row r="51" spans="1:66">
      <c r="B51" s="1" t="s">
        <v>172</v>
      </c>
      <c r="C51" s="54" t="s">
        <v>153</v>
      </c>
      <c r="D51" s="43">
        <f>D47*'R&amp;S - Apparel'!$C$10*'R&amp;S - Apparel'!$B$13*'R&amp;S - Apparel'!$D$17*(D$3-$D$3)/10</f>
        <v>0</v>
      </c>
      <c r="E51" s="43">
        <f>E47*'R&amp;S - Apparel'!$C$10*'R&amp;S - Apparel'!$B$13*'R&amp;S - Apparel'!$D$17*(E$3-$D$3)/10</f>
        <v>0</v>
      </c>
      <c r="F51" s="43">
        <f>F47*'R&amp;S - Apparel'!$C$10*'R&amp;S - Apparel'!$B$13*'R&amp;S - Apparel'!$D$17*(F$3-$D$3)/10</f>
        <v>0</v>
      </c>
      <c r="G51" s="43">
        <f>G47*'R&amp;S - Apparel'!$C$10*'R&amp;S - Apparel'!$B$13*'R&amp;S - Apparel'!$D$17*(G$3-$D$3)/10</f>
        <v>0</v>
      </c>
      <c r="H51" s="43">
        <f>H47*'R&amp;S - Apparel'!$C$10*'R&amp;S - Apparel'!$B$13*'R&amp;S - Apparel'!$D$17*(H$3-$D$3)/10</f>
        <v>0</v>
      </c>
      <c r="I51" s="43">
        <f>I47*'R&amp;S - Apparel'!$C$10*'R&amp;S - Apparel'!$B$13*'R&amp;S - Apparel'!$D$17*(I$3-$D$3)/10</f>
        <v>0</v>
      </c>
      <c r="J51" s="43">
        <f>J47*'R&amp;S - Apparel'!$C$10*'R&amp;S - Apparel'!$B$13*'R&amp;S - Apparel'!$D$17*(J$3-$D$3)/10</f>
        <v>0</v>
      </c>
      <c r="K51" s="43">
        <f>K47*'R&amp;S - Apparel'!$C$10*'R&amp;S - Apparel'!$B$13*'R&amp;S - Apparel'!$D$17*(K$3-$D$3)/10</f>
        <v>0</v>
      </c>
      <c r="L51" s="43">
        <f>L47*'R&amp;S - Apparel'!$C$10*'R&amp;S - Apparel'!$B$13*'R&amp;S - Apparel'!$D$17*(L$3-$D$3)/10</f>
        <v>0</v>
      </c>
      <c r="M51" s="43">
        <f>M47*'R&amp;S - Apparel'!$C$10*'R&amp;S - Apparel'!$B$13*'R&amp;S - Apparel'!$D$17*(M$3-$D$3)/10</f>
        <v>0</v>
      </c>
      <c r="N51" s="43">
        <f>N47*'R&amp;S - Apparel'!$C$10*'R&amp;S - Apparel'!$B$13*'R&amp;S - Apparel'!$D$17*(N$3-$D$3)/10</f>
        <v>0</v>
      </c>
      <c r="O51" s="43">
        <f>O47*'R&amp;S - Apparel'!$C$10*'R&amp;S - Apparel'!$B$13*('R&amp;S - Apparel'!$D$17+('R&amp;S - Apparel'!$D$18-'R&amp;S - Apparel'!$D$17)*(O$3-$N$3)/10)</f>
        <v>0</v>
      </c>
      <c r="P51" s="43">
        <f>P47*'R&amp;S - Apparel'!$C$10*'R&amp;S - Apparel'!$B$13*('R&amp;S - Apparel'!$D$17+('R&amp;S - Apparel'!$D$18-'R&amp;S - Apparel'!$D$17)*(P$3-$N$3)/10)</f>
        <v>0</v>
      </c>
      <c r="Q51" s="43">
        <f>Q47*'R&amp;S - Apparel'!$C$10*'R&amp;S - Apparel'!$B$13*('R&amp;S - Apparel'!$D$17+('R&amp;S - Apparel'!$D$18-'R&amp;S - Apparel'!$D$17)*(Q$3-$N$3)/10)</f>
        <v>0</v>
      </c>
      <c r="R51" s="43">
        <f>R47*'R&amp;S - Apparel'!$C$10*'R&amp;S - Apparel'!$B$13*('R&amp;S - Apparel'!$D$17+('R&amp;S - Apparel'!$D$18-'R&amp;S - Apparel'!$D$17)*(R$3-$N$3)/10)</f>
        <v>0</v>
      </c>
      <c r="S51" s="43">
        <f>S47*'R&amp;S - Apparel'!$C$10*'R&amp;S - Apparel'!$B$13*('R&amp;S - Apparel'!$D$17+('R&amp;S - Apparel'!$D$18-'R&amp;S - Apparel'!$D$17)*(S$3-$N$3)/10)</f>
        <v>0</v>
      </c>
      <c r="T51" s="43">
        <f>T47*'R&amp;S - Apparel'!$C$10*'R&amp;S - Apparel'!$B$13*('R&amp;S - Apparel'!$D$17+('R&amp;S - Apparel'!$D$18-'R&amp;S - Apparel'!$D$17)*(T$3-$N$3)/10)</f>
        <v>0</v>
      </c>
      <c r="U51" s="43">
        <f>U47*'R&amp;S - Apparel'!$C$10*'R&amp;S - Apparel'!$B$13*('R&amp;S - Apparel'!$D$17+('R&amp;S - Apparel'!$D$18-'R&amp;S - Apparel'!$D$17)*(U$3-$N$3)/10)</f>
        <v>0</v>
      </c>
      <c r="V51" s="43">
        <f>V47*'R&amp;S - Apparel'!$C$10*'R&amp;S - Apparel'!$B$13*('R&amp;S - Apparel'!$D$17+('R&amp;S - Apparel'!$D$18-'R&amp;S - Apparel'!$D$17)*(V$3-$N$3)/10)</f>
        <v>0</v>
      </c>
      <c r="W51" s="43">
        <f>W47*'R&amp;S - Apparel'!$C$10*'R&amp;S - Apparel'!$B$13*('R&amp;S - Apparel'!$D$17+('R&amp;S - Apparel'!$D$18-'R&amp;S - Apparel'!$D$17)*(W$3-$N$3)/10)</f>
        <v>0</v>
      </c>
      <c r="X51" s="43">
        <f>X47*'R&amp;S - Apparel'!$C$10*'R&amp;S - Apparel'!$B$13*('R&amp;S - Apparel'!$D$17+('R&amp;S - Apparel'!$D$18-'R&amp;S - Apparel'!$D$17)*(X$3-$N$3)/10)</f>
        <v>0</v>
      </c>
      <c r="Y51" s="43">
        <f>Y47*'R&amp;S - Apparel'!$C$10*'R&amp;S - Apparel'!$B$13*('R&amp;S - Apparel'!$D$18+('R&amp;S - Apparel'!$D$19-'R&amp;S - Apparel'!$D$18)*(Y$3-$X$3)/10)</f>
        <v>0</v>
      </c>
      <c r="Z51" s="43">
        <f>Z47*'R&amp;S - Apparel'!$C$10*'R&amp;S - Apparel'!$B$13*('R&amp;S - Apparel'!$D$18+('R&amp;S - Apparel'!$D$19-'R&amp;S - Apparel'!$D$18)*(Z$3-$X$3)/10)</f>
        <v>0</v>
      </c>
      <c r="AA51" s="43">
        <f>AA47*'R&amp;S - Apparel'!$C$10*'R&amp;S - Apparel'!$B$13*('R&amp;S - Apparel'!$D$18+('R&amp;S - Apparel'!$D$19-'R&amp;S - Apparel'!$D$18)*(AA$3-$X$3)/10)</f>
        <v>0</v>
      </c>
      <c r="AB51" s="43">
        <f>AB47*'R&amp;S - Apparel'!$C$10*'R&amp;S - Apparel'!$B$13*('R&amp;S - Apparel'!$D$18+('R&amp;S - Apparel'!$D$19-'R&amp;S - Apparel'!$D$18)*(AB$3-$X$3)/10)</f>
        <v>0</v>
      </c>
      <c r="AC51" s="43">
        <f>AC47*'R&amp;S - Apparel'!$C$10*'R&amp;S - Apparel'!$B$13*('R&amp;S - Apparel'!$D$18+('R&amp;S - Apparel'!$D$19-'R&amp;S - Apparel'!$D$18)*(AC$3-$X$3)/10)</f>
        <v>0</v>
      </c>
      <c r="AD51" s="43">
        <f>AD47*'R&amp;S - Apparel'!$C$10*'R&amp;S - Apparel'!$B$13*('R&amp;S - Apparel'!$D$18+('R&amp;S - Apparel'!$D$19-'R&amp;S - Apparel'!$D$18)*(AD$3-$X$3)/10)</f>
        <v>0</v>
      </c>
      <c r="AE51" s="43">
        <f>AE47*'R&amp;S - Apparel'!$C$10*'R&amp;S - Apparel'!$B$13*('R&amp;S - Apparel'!$D$18+('R&amp;S - Apparel'!$D$19-'R&amp;S - Apparel'!$D$18)*(AE$3-$X$3)/10)</f>
        <v>0</v>
      </c>
      <c r="AF51" s="43">
        <f>AF47*'R&amp;S - Apparel'!$C$10*'R&amp;S - Apparel'!$B$13*('R&amp;S - Apparel'!$D$18+('R&amp;S - Apparel'!$D$19-'R&amp;S - Apparel'!$D$18)*(AF$3-$X$3)/10)</f>
        <v>0</v>
      </c>
      <c r="AG51" s="43">
        <f>AG47*'R&amp;S - Apparel'!$C$10*'R&amp;S - Apparel'!$B$13*('R&amp;S - Apparel'!$D$18+('R&amp;S - Apparel'!$D$19-'R&amp;S - Apparel'!$D$18)*(AG$3-$X$3)/10)</f>
        <v>0</v>
      </c>
      <c r="AH51" s="43">
        <f>AH47*'R&amp;S - Apparel'!$C$10*'R&amp;S - Apparel'!$B$13*('R&amp;S - Apparel'!$D$18+('R&amp;S - Apparel'!$D$19-'R&amp;S - Apparel'!$D$18)*(AH$3-$X$3)/10)</f>
        <v>0</v>
      </c>
      <c r="AJ51" s="43">
        <f>AJ47*'R&amp;S - Apparel'!$C$10*'R&amp;S - Apparel'!$B$14*'R&amp;S - Apparel'!$D$17*(AJ$3-$D$3)/10</f>
        <v>0</v>
      </c>
      <c r="AK51" s="43">
        <f>AK47*'R&amp;S - Apparel'!$C$10*'R&amp;S - Apparel'!$B$14*'R&amp;S - Apparel'!$D$17*(AK$3-$D$3)/10</f>
        <v>0</v>
      </c>
      <c r="AL51" s="43">
        <f>AL47*'R&amp;S - Apparel'!$C$10*'R&amp;S - Apparel'!$B$14*'R&amp;S - Apparel'!$D$17*(AL$3-$D$3)/10</f>
        <v>0</v>
      </c>
      <c r="AM51" s="43">
        <f>AM47*'R&amp;S - Apparel'!$C$10*'R&amp;S - Apparel'!$B$14*'R&amp;S - Apparel'!$D$17*(AM$3-$D$3)/10</f>
        <v>0</v>
      </c>
      <c r="AN51" s="43">
        <f>AN47*'R&amp;S - Apparel'!$C$10*'R&amp;S - Apparel'!$B$14*'R&amp;S - Apparel'!$D$17*(AN$3-$D$3)/10</f>
        <v>0</v>
      </c>
      <c r="AO51" s="43">
        <f>AO47*'R&amp;S - Apparel'!$C$10*'R&amp;S - Apparel'!$B$14*'R&amp;S - Apparel'!$D$17*(AO$3-$D$3)/10</f>
        <v>0</v>
      </c>
      <c r="AP51" s="43">
        <f>AP47*'R&amp;S - Apparel'!$C$10*'R&amp;S - Apparel'!$B$14*'R&amp;S - Apparel'!$D$17*(AP$3-$D$3)/10</f>
        <v>0</v>
      </c>
      <c r="AQ51" s="43">
        <f>AQ47*'R&amp;S - Apparel'!$C$10*'R&amp;S - Apparel'!$B$14*'R&amp;S - Apparel'!$D$17*(AQ$3-$D$3)/10</f>
        <v>0</v>
      </c>
      <c r="AR51" s="43">
        <f>AR47*'R&amp;S - Apparel'!$C$10*'R&amp;S - Apparel'!$B$14*'R&amp;S - Apparel'!$D$17*(AR$3-$D$3)/10</f>
        <v>0</v>
      </c>
      <c r="AS51" s="43">
        <f>AS47*'R&amp;S - Apparel'!$C$10*'R&amp;S - Apparel'!$B$14*'R&amp;S - Apparel'!$D$17*(AS$3-$D$3)/10</f>
        <v>0</v>
      </c>
      <c r="AT51" s="43">
        <f>AT47*'R&amp;S - Apparel'!$C$10*'R&amp;S - Apparel'!$B$14*'R&amp;S - Apparel'!$D$17*(AT$3-$D$3)/10</f>
        <v>0</v>
      </c>
      <c r="AU51" s="43">
        <f>AU47*'R&amp;S - Apparel'!$C$10*'R&amp;S - Apparel'!$B$14*('R&amp;S - Apparel'!$D$17+('R&amp;S - Apparel'!$D$18-'R&amp;S - Apparel'!$D$17)*(AU$3-$N$3)/10)</f>
        <v>0</v>
      </c>
      <c r="AV51" s="43">
        <f>AV47*'R&amp;S - Apparel'!$C$10*'R&amp;S - Apparel'!$B$14*('R&amp;S - Apparel'!$D$17+('R&amp;S - Apparel'!$D$18-'R&amp;S - Apparel'!$D$17)*(AV$3-$N$3)/10)</f>
        <v>0</v>
      </c>
      <c r="AW51" s="43">
        <f>AW47*'R&amp;S - Apparel'!$C$10*'R&amp;S - Apparel'!$B$14*('R&amp;S - Apparel'!$D$17+('R&amp;S - Apparel'!$D$18-'R&amp;S - Apparel'!$D$17)*(AW$3-$N$3)/10)</f>
        <v>0</v>
      </c>
      <c r="AX51" s="43">
        <f>AX47*'R&amp;S - Apparel'!$C$10*'R&amp;S - Apparel'!$B$14*('R&amp;S - Apparel'!$D$17+('R&amp;S - Apparel'!$D$18-'R&amp;S - Apparel'!$D$17)*(AX$3-$N$3)/10)</f>
        <v>0</v>
      </c>
      <c r="AY51" s="43">
        <f>AY47*'R&amp;S - Apparel'!$C$10*'R&amp;S - Apparel'!$B$14*('R&amp;S - Apparel'!$D$17+('R&amp;S - Apparel'!$D$18-'R&amp;S - Apparel'!$D$17)*(AY$3-$N$3)/10)</f>
        <v>0</v>
      </c>
      <c r="AZ51" s="43">
        <f>AZ47*'R&amp;S - Apparel'!$C$10*'R&amp;S - Apparel'!$B$14*('R&amp;S - Apparel'!$D$17+('R&amp;S - Apparel'!$D$18-'R&amp;S - Apparel'!$D$17)*(AZ$3-$N$3)/10)</f>
        <v>0</v>
      </c>
      <c r="BA51" s="43">
        <f>BA47*'R&amp;S - Apparel'!$C$10*'R&amp;S - Apparel'!$B$14*('R&amp;S - Apparel'!$D$17+('R&amp;S - Apparel'!$D$18-'R&amp;S - Apparel'!$D$17)*(BA$3-$N$3)/10)</f>
        <v>0</v>
      </c>
      <c r="BB51" s="43">
        <f>BB47*'R&amp;S - Apparel'!$C$10*'R&amp;S - Apparel'!$B$14*('R&amp;S - Apparel'!$D$17+('R&amp;S - Apparel'!$D$18-'R&amp;S - Apparel'!$D$17)*(BB$3-$N$3)/10)</f>
        <v>0</v>
      </c>
      <c r="BC51" s="43">
        <f>BC47*'R&amp;S - Apparel'!$C$10*'R&amp;S - Apparel'!$B$14*('R&amp;S - Apparel'!$D$17+('R&amp;S - Apparel'!$D$18-'R&amp;S - Apparel'!$D$17)*(BC$3-$N$3)/10)</f>
        <v>0</v>
      </c>
      <c r="BD51" s="43">
        <f>BD47*'R&amp;S - Apparel'!$C$10*'R&amp;S - Apparel'!$B$14*('R&amp;S - Apparel'!$D$17+('R&amp;S - Apparel'!$D$18-'R&amp;S - Apparel'!$D$17)*(BD$3-$N$3)/10)</f>
        <v>0</v>
      </c>
      <c r="BE51" s="43">
        <f>BE47*'R&amp;S - Apparel'!$C$10*'R&amp;S - Apparel'!$B$14*('R&amp;S - Apparel'!$D$18+('R&amp;S - Apparel'!$D$19-'R&amp;S - Apparel'!$D$18)*(BE$3-$X$3)/10)</f>
        <v>0</v>
      </c>
      <c r="BF51" s="43">
        <f>BF47*'R&amp;S - Apparel'!$C$10*'R&amp;S - Apparel'!$B$14*('R&amp;S - Apparel'!$D$18+('R&amp;S - Apparel'!$D$19-'R&amp;S - Apparel'!$D$18)*(BF$3-$X$3)/10)</f>
        <v>0</v>
      </c>
      <c r="BG51" s="43">
        <f>BG47*'R&amp;S - Apparel'!$C$10*'R&amp;S - Apparel'!$B$14*('R&amp;S - Apparel'!$D$18+('R&amp;S - Apparel'!$D$19-'R&amp;S - Apparel'!$D$18)*(BG$3-$X$3)/10)</f>
        <v>0</v>
      </c>
      <c r="BH51" s="43">
        <f>BH47*'R&amp;S - Apparel'!$C$10*'R&amp;S - Apparel'!$B$14*('R&amp;S - Apparel'!$D$18+('R&amp;S - Apparel'!$D$19-'R&amp;S - Apparel'!$D$18)*(BH$3-$X$3)/10)</f>
        <v>0</v>
      </c>
      <c r="BI51" s="43">
        <f>BI47*'R&amp;S - Apparel'!$C$10*'R&amp;S - Apparel'!$B$14*('R&amp;S - Apparel'!$D$18+('R&amp;S - Apparel'!$D$19-'R&amp;S - Apparel'!$D$18)*(BI$3-$X$3)/10)</f>
        <v>0</v>
      </c>
      <c r="BJ51" s="43">
        <f>BJ47*'R&amp;S - Apparel'!$C$10*'R&amp;S - Apparel'!$B$14*('R&amp;S - Apparel'!$D$18+('R&amp;S - Apparel'!$D$19-'R&amp;S - Apparel'!$D$18)*(BJ$3-$X$3)/10)</f>
        <v>0</v>
      </c>
      <c r="BK51" s="43">
        <f>BK47*'R&amp;S - Apparel'!$C$10*'R&amp;S - Apparel'!$B$14*('R&amp;S - Apparel'!$D$18+('R&amp;S - Apparel'!$D$19-'R&amp;S - Apparel'!$D$18)*(BK$3-$X$3)/10)</f>
        <v>0</v>
      </c>
      <c r="BL51" s="43">
        <f>BL47*'R&amp;S - Apparel'!$C$10*'R&amp;S - Apparel'!$B$14*('R&amp;S - Apparel'!$D$18+('R&amp;S - Apparel'!$D$19-'R&amp;S - Apparel'!$D$18)*(BL$3-$X$3)/10)</f>
        <v>0</v>
      </c>
      <c r="BM51" s="43">
        <f>BM47*'R&amp;S - Apparel'!$C$10*'R&amp;S - Apparel'!$B$14*('R&amp;S - Apparel'!$D$18+('R&amp;S - Apparel'!$D$19-'R&amp;S - Apparel'!$D$18)*(BM$3-$X$3)/10)</f>
        <v>0</v>
      </c>
      <c r="BN51" s="43">
        <f>BN47*'R&amp;S - Apparel'!$C$10*'R&amp;S - Apparel'!$B$14*('R&amp;S - Apparel'!$D$18+('R&amp;S - Apparel'!$D$19-'R&amp;S - Apparel'!$D$18)*(BN$3-$X$3)/10)</f>
        <v>0</v>
      </c>
    </row>
    <row r="52" spans="1:66">
      <c r="B52" s="1" t="s">
        <v>197</v>
      </c>
      <c r="C52" s="54" t="s">
        <v>153</v>
      </c>
      <c r="D52" s="443">
        <f>D47-D50-D51</f>
        <v>1.4464073070604898E-2</v>
      </c>
      <c r="E52" s="443">
        <f t="shared" ref="E52:AG52" si="405">E47-E50-E51</f>
        <v>1.47678186050876E-2</v>
      </c>
      <c r="F52" s="443">
        <f t="shared" si="405"/>
        <v>1.5077942795794438E-2</v>
      </c>
      <c r="G52" s="443">
        <f t="shared" si="405"/>
        <v>1.539457959450612E-2</v>
      </c>
      <c r="H52" s="443">
        <f t="shared" si="405"/>
        <v>1.5717865765990748E-2</v>
      </c>
      <c r="I52" s="443">
        <f t="shared" si="405"/>
        <v>1.6047940947076553E-2</v>
      </c>
      <c r="J52" s="443">
        <f t="shared" si="405"/>
        <v>1.638494770696516E-2</v>
      </c>
      <c r="K52" s="443">
        <f t="shared" si="405"/>
        <v>1.6729031608811427E-2</v>
      </c>
      <c r="L52" s="443">
        <f t="shared" si="405"/>
        <v>1.7080341272596465E-2</v>
      </c>
      <c r="M52" s="443">
        <f t="shared" si="405"/>
        <v>1.7439028439320988E-2</v>
      </c>
      <c r="N52" s="443">
        <f t="shared" si="405"/>
        <v>1.7805248036546727E-2</v>
      </c>
      <c r="O52" s="443">
        <f t="shared" si="405"/>
        <v>1.8179158245314207E-2</v>
      </c>
      <c r="P52" s="443">
        <f t="shared" si="405"/>
        <v>1.8560920568465804E-2</v>
      </c>
      <c r="Q52" s="443">
        <f t="shared" si="405"/>
        <v>1.8950699900403583E-2</v>
      </c>
      <c r="R52" s="443">
        <f t="shared" si="405"/>
        <v>1.9348664598312058E-2</v>
      </c>
      <c r="S52" s="443">
        <f t="shared" si="405"/>
        <v>1.9754986554876609E-2</v>
      </c>
      <c r="T52" s="443">
        <f t="shared" si="405"/>
        <v>2.0169841272529014E-2</v>
      </c>
      <c r="U52" s="443">
        <f t="shared" si="405"/>
        <v>2.0593407939252122E-2</v>
      </c>
      <c r="V52" s="443">
        <f t="shared" si="405"/>
        <v>2.1025869505976413E-2</v>
      </c>
      <c r="W52" s="443">
        <f t="shared" si="405"/>
        <v>2.1467412765601917E-2</v>
      </c>
      <c r="X52" s="443">
        <f t="shared" si="405"/>
        <v>2.1918228433679555E-2</v>
      </c>
      <c r="Y52" s="443">
        <f t="shared" si="405"/>
        <v>2.2378511230786824E-2</v>
      </c>
      <c r="Z52" s="443">
        <f t="shared" si="405"/>
        <v>2.2848459966633344E-2</v>
      </c>
      <c r="AA52" s="443">
        <f t="shared" si="405"/>
        <v>2.3328277625932644E-2</v>
      </c>
      <c r="AB52" s="443">
        <f t="shared" si="405"/>
        <v>2.3818171456077227E-2</v>
      </c>
      <c r="AC52" s="443">
        <f t="shared" si="405"/>
        <v>2.4318353056654848E-2</v>
      </c>
      <c r="AD52" s="443">
        <f t="shared" si="405"/>
        <v>2.4829038470844597E-2</v>
      </c>
      <c r="AE52" s="443">
        <f t="shared" si="405"/>
        <v>2.535044827873233E-2</v>
      </c>
      <c r="AF52" s="443">
        <f t="shared" si="405"/>
        <v>2.5882807692585708E-2</v>
      </c>
      <c r="AG52" s="443">
        <f t="shared" si="405"/>
        <v>2.6426346654130007E-2</v>
      </c>
      <c r="AH52" s="443">
        <f>AH47-AH50-AH51</f>
        <v>2.6981299933866734E-2</v>
      </c>
      <c r="AJ52" s="443">
        <f>AJ47-AJ50-AJ51</f>
        <v>1.4464073070604898E-2</v>
      </c>
      <c r="AK52" s="443">
        <f t="shared" ref="AK52:BM52" si="406">AK47-AK50-AK51</f>
        <v>1.47678186050876E-2</v>
      </c>
      <c r="AL52" s="443">
        <f t="shared" si="406"/>
        <v>1.5077942795794438E-2</v>
      </c>
      <c r="AM52" s="443">
        <f t="shared" si="406"/>
        <v>1.539457959450612E-2</v>
      </c>
      <c r="AN52" s="443">
        <f t="shared" si="406"/>
        <v>1.5717865765990748E-2</v>
      </c>
      <c r="AO52" s="443">
        <f t="shared" si="406"/>
        <v>1.6047940947076553E-2</v>
      </c>
      <c r="AP52" s="443">
        <f t="shared" si="406"/>
        <v>1.638494770696516E-2</v>
      </c>
      <c r="AQ52" s="443">
        <f t="shared" si="406"/>
        <v>1.6729031608811427E-2</v>
      </c>
      <c r="AR52" s="443">
        <f t="shared" si="406"/>
        <v>1.7080341272596465E-2</v>
      </c>
      <c r="AS52" s="443">
        <f t="shared" si="406"/>
        <v>1.7439028439320988E-2</v>
      </c>
      <c r="AT52" s="443">
        <f t="shared" si="406"/>
        <v>1.7805248036546727E-2</v>
      </c>
      <c r="AU52" s="443">
        <f t="shared" si="406"/>
        <v>1.8179158245314207E-2</v>
      </c>
      <c r="AV52" s="443">
        <f t="shared" si="406"/>
        <v>1.8560920568465804E-2</v>
      </c>
      <c r="AW52" s="443">
        <f t="shared" si="406"/>
        <v>1.8950699900403583E-2</v>
      </c>
      <c r="AX52" s="443">
        <f t="shared" si="406"/>
        <v>1.9348664598312058E-2</v>
      </c>
      <c r="AY52" s="443">
        <f t="shared" si="406"/>
        <v>1.9754986554876609E-2</v>
      </c>
      <c r="AZ52" s="443">
        <f t="shared" si="406"/>
        <v>2.0169841272529014E-2</v>
      </c>
      <c r="BA52" s="443">
        <f t="shared" si="406"/>
        <v>2.0593407939252122E-2</v>
      </c>
      <c r="BB52" s="443">
        <f t="shared" si="406"/>
        <v>2.1025869505976413E-2</v>
      </c>
      <c r="BC52" s="443">
        <f t="shared" si="406"/>
        <v>2.1467412765601917E-2</v>
      </c>
      <c r="BD52" s="443">
        <f t="shared" si="406"/>
        <v>2.1918228433679555E-2</v>
      </c>
      <c r="BE52" s="443">
        <f t="shared" si="406"/>
        <v>2.2378511230786824E-2</v>
      </c>
      <c r="BF52" s="443">
        <f t="shared" si="406"/>
        <v>2.2848459966633344E-2</v>
      </c>
      <c r="BG52" s="443">
        <f t="shared" si="406"/>
        <v>2.3328277625932644E-2</v>
      </c>
      <c r="BH52" s="443">
        <f t="shared" si="406"/>
        <v>2.3818171456077227E-2</v>
      </c>
      <c r="BI52" s="443">
        <f t="shared" si="406"/>
        <v>2.4318353056654848E-2</v>
      </c>
      <c r="BJ52" s="443">
        <f t="shared" si="406"/>
        <v>2.4829038470844597E-2</v>
      </c>
      <c r="BK52" s="443">
        <f t="shared" si="406"/>
        <v>2.535044827873233E-2</v>
      </c>
      <c r="BL52" s="443">
        <f t="shared" si="406"/>
        <v>2.5882807692585708E-2</v>
      </c>
      <c r="BM52" s="443">
        <f t="shared" si="406"/>
        <v>2.6426346654130007E-2</v>
      </c>
      <c r="BN52" s="443">
        <f>BN47-BN50-BN51</f>
        <v>2.6981299933866734E-2</v>
      </c>
    </row>
    <row r="53" spans="1:66" s="67" customFormat="1">
      <c r="A53" s="752"/>
      <c r="B53" s="58" t="s">
        <v>246</v>
      </c>
      <c r="C53" s="59" t="s">
        <v>153</v>
      </c>
      <c r="D53" s="60">
        <f>D$7/(D$7+D$9)*D52</f>
        <v>2.4253683632989597E-3</v>
      </c>
      <c r="E53" s="60">
        <f t="shared" ref="E53" si="407">E$7/(E$7+E$9)*E52</f>
        <v>2.4176258262778695E-3</v>
      </c>
      <c r="F53" s="60">
        <f t="shared" ref="F53" si="408">F$7/(F$7+F$9)*F52</f>
        <v>2.4181825246514014E-3</v>
      </c>
      <c r="G53" s="60">
        <f t="shared" ref="G53" si="409">G$7/(G$7+G$9)*G52</f>
        <v>2.4255027757339727E-3</v>
      </c>
      <c r="H53" s="60">
        <f t="shared" ref="H53" si="410">H$7/(H$7+H$9)*H52</f>
        <v>2.4384652486225634E-3</v>
      </c>
      <c r="I53" s="60">
        <f t="shared" ref="I53" si="411">I$7/(I$7+I$9)*I52</f>
        <v>2.456234551570965E-3</v>
      </c>
      <c r="J53" s="60">
        <f t="shared" ref="J53" si="412">J$7/(J$7+J$9)*J52</f>
        <v>2.4781778888847417E-3</v>
      </c>
      <c r="K53" s="60">
        <f t="shared" ref="K53" si="413">K$7/(K$7+K$9)*K52</f>
        <v>2.5038093572716563E-3</v>
      </c>
      <c r="L53" s="60">
        <f t="shared" ref="L53" si="414">L$7/(L$7+L$9)*L52</f>
        <v>2.5327517523303991E-3</v>
      </c>
      <c r="M53" s="60">
        <f t="shared" ref="M53" si="415">M$7/(M$7+M$9)*M52</f>
        <v>2.5647097875482563E-3</v>
      </c>
      <c r="N53" s="60">
        <f t="shared" ref="N53" si="416">N$7/(N$7+N$9)*N52</f>
        <v>2.5994509401557732E-3</v>
      </c>
      <c r="O53" s="60">
        <f t="shared" ref="O53" si="417">O$7/(O$7+O$9)*O52</f>
        <v>2.6631183367807581E-3</v>
      </c>
      <c r="P53" s="60">
        <f t="shared" ref="P53" si="418">P$7/(P$7+P$9)*P52</f>
        <v>2.7287228857700726E-3</v>
      </c>
      <c r="Q53" s="60">
        <f t="shared" ref="Q53" si="419">Q$7/(Q$7+Q$9)*Q52</f>
        <v>2.7963337484847163E-3</v>
      </c>
      <c r="R53" s="60">
        <f t="shared" ref="R53" si="420">R$7/(R$7+R$9)*R52</f>
        <v>2.8660234441147733E-3</v>
      </c>
      <c r="S53" s="60">
        <f t="shared" ref="S53" si="421">S$7/(S$7+S$9)*S52</f>
        <v>2.9378680375114043E-3</v>
      </c>
      <c r="T53" s="60">
        <f t="shared" ref="T53" si="422">T$7/(T$7+T$9)*T52</f>
        <v>3.0142201309397592E-3</v>
      </c>
      <c r="U53" s="60">
        <f t="shared" ref="U53" si="423">U$7/(U$7+U$9)*U52</f>
        <v>3.0930141528751598E-3</v>
      </c>
      <c r="V53" s="60">
        <f t="shared" ref="V53" si="424">V$7/(V$7+V$9)*V52</f>
        <v>3.1743476738044663E-3</v>
      </c>
      <c r="W53" s="60">
        <f t="shared" ref="W53" si="425">W$7/(W$7+W$9)*W52</f>
        <v>3.2583233768840583E-3</v>
      </c>
      <c r="X53" s="60">
        <f t="shared" ref="X53" si="426">X$7/(X$7+X$9)*X52</f>
        <v>3.3450493913003364E-3</v>
      </c>
      <c r="Y53" s="60">
        <f t="shared" ref="Y53" si="427">Y$7/(Y$7+Y$9)*Y52</f>
        <v>3.4399653509043331E-3</v>
      </c>
      <c r="Z53" s="60">
        <f t="shared" ref="Z53" si="428">Z$7/(Z$7+Z$9)*Z52</f>
        <v>3.5382629610777048E-3</v>
      </c>
      <c r="AA53" s="60">
        <f t="shared" ref="AA53" si="429">AA$7/(AA$7+AA$9)*AA52</f>
        <v>3.6401010915543676E-3</v>
      </c>
      <c r="AB53" s="60">
        <f t="shared" ref="AB53" si="430">AB$7/(AB$7+AB$9)*AB52</f>
        <v>3.7456484577012756E-3</v>
      </c>
      <c r="AC53" s="60">
        <f t="shared" ref="AC53" si="431">AC$7/(AC$7+AC$9)*AC52</f>
        <v>3.8550843944358741E-3</v>
      </c>
      <c r="AD53" s="60">
        <f t="shared" ref="AD53" si="432">AD$7/(AD$7+AD$9)*AD52</f>
        <v>3.9685997043897381E-3</v>
      </c>
      <c r="AE53" s="60">
        <f t="shared" ref="AE53" si="433">AE$7/(AE$7+AE$9)*AE52</f>
        <v>4.0863975887635382E-3</v>
      </c>
      <c r="AF53" s="60">
        <f t="shared" ref="AF53" si="434">AF$7/(AF$7+AF$9)*AF52</f>
        <v>4.2086946704345211E-3</v>
      </c>
      <c r="AG53" s="60">
        <f t="shared" ref="AG53" si="435">AG$7/(AG$7+AG$9)*AG52</f>
        <v>4.3357221201623837E-3</v>
      </c>
      <c r="AH53" s="60">
        <f t="shared" ref="AH53" si="436">AH$7/(AH$7+AH$9)*AH52</f>
        <v>4.467726898221616E-3</v>
      </c>
      <c r="AJ53" s="60">
        <f>AJ$7/(AJ$7+AJ$9)*AJ52</f>
        <v>2.4253683632989597E-3</v>
      </c>
      <c r="AK53" s="60">
        <f t="shared" ref="AK53" si="437">AK$7/(AK$7+AK$9)*AK52</f>
        <v>2.4176258262778695E-3</v>
      </c>
      <c r="AL53" s="60">
        <f t="shared" ref="AL53" si="438">AL$7/(AL$7+AL$9)*AL52</f>
        <v>2.4181825246514014E-3</v>
      </c>
      <c r="AM53" s="60">
        <f t="shared" ref="AM53" si="439">AM$7/(AM$7+AM$9)*AM52</f>
        <v>2.4255027757339727E-3</v>
      </c>
      <c r="AN53" s="60">
        <f t="shared" ref="AN53" si="440">AN$7/(AN$7+AN$9)*AN52</f>
        <v>2.4384652486225634E-3</v>
      </c>
      <c r="AO53" s="60">
        <f t="shared" ref="AO53" si="441">AO$7/(AO$7+AO$9)*AO52</f>
        <v>2.456234551570965E-3</v>
      </c>
      <c r="AP53" s="60">
        <f t="shared" ref="AP53" si="442">AP$7/(AP$7+AP$9)*AP52</f>
        <v>2.4781778888847417E-3</v>
      </c>
      <c r="AQ53" s="60">
        <f t="shared" ref="AQ53" si="443">AQ$7/(AQ$7+AQ$9)*AQ52</f>
        <v>2.5038093572716563E-3</v>
      </c>
      <c r="AR53" s="60">
        <f t="shared" ref="AR53" si="444">AR$7/(AR$7+AR$9)*AR52</f>
        <v>2.5327517523303991E-3</v>
      </c>
      <c r="AS53" s="60">
        <f t="shared" ref="AS53" si="445">AS$7/(AS$7+AS$9)*AS52</f>
        <v>2.5647097875482563E-3</v>
      </c>
      <c r="AT53" s="60">
        <f t="shared" ref="AT53" si="446">AT$7/(AT$7+AT$9)*AT52</f>
        <v>2.5994509401557732E-3</v>
      </c>
      <c r="AU53" s="60">
        <f t="shared" ref="AU53" si="447">AU$7/(AU$7+AU$9)*AU52</f>
        <v>2.6631183367807581E-3</v>
      </c>
      <c r="AV53" s="60">
        <f t="shared" ref="AV53" si="448">AV$7/(AV$7+AV$9)*AV52</f>
        <v>2.7287228857700726E-3</v>
      </c>
      <c r="AW53" s="60">
        <f t="shared" ref="AW53" si="449">AW$7/(AW$7+AW$9)*AW52</f>
        <v>2.7963337484847163E-3</v>
      </c>
      <c r="AX53" s="60">
        <f t="shared" ref="AX53" si="450">AX$7/(AX$7+AX$9)*AX52</f>
        <v>2.8660234441147733E-3</v>
      </c>
      <c r="AY53" s="60">
        <f t="shared" ref="AY53" si="451">AY$7/(AY$7+AY$9)*AY52</f>
        <v>2.9378680375114043E-3</v>
      </c>
      <c r="AZ53" s="60">
        <f t="shared" ref="AZ53" si="452">AZ$7/(AZ$7+AZ$9)*AZ52</f>
        <v>3.0142201309397592E-3</v>
      </c>
      <c r="BA53" s="60">
        <f t="shared" ref="BA53" si="453">BA$7/(BA$7+BA$9)*BA52</f>
        <v>3.0930141528751598E-3</v>
      </c>
      <c r="BB53" s="60">
        <f t="shared" ref="BB53" si="454">BB$7/(BB$7+BB$9)*BB52</f>
        <v>3.1743476738044663E-3</v>
      </c>
      <c r="BC53" s="60">
        <f t="shared" ref="BC53" si="455">BC$7/(BC$7+BC$9)*BC52</f>
        <v>3.2583233768840583E-3</v>
      </c>
      <c r="BD53" s="60">
        <f t="shared" ref="BD53" si="456">BD$7/(BD$7+BD$9)*BD52</f>
        <v>3.3450493913003364E-3</v>
      </c>
      <c r="BE53" s="60">
        <f t="shared" ref="BE53" si="457">BE$7/(BE$7+BE$9)*BE52</f>
        <v>3.4399653509043331E-3</v>
      </c>
      <c r="BF53" s="60">
        <f t="shared" ref="BF53" si="458">BF$7/(BF$7+BF$9)*BF52</f>
        <v>3.5382629610777048E-3</v>
      </c>
      <c r="BG53" s="60">
        <f t="shared" ref="BG53" si="459">BG$7/(BG$7+BG$9)*BG52</f>
        <v>3.6401010915543676E-3</v>
      </c>
      <c r="BH53" s="60">
        <f t="shared" ref="BH53" si="460">BH$7/(BH$7+BH$9)*BH52</f>
        <v>3.7456484577012756E-3</v>
      </c>
      <c r="BI53" s="60">
        <f t="shared" ref="BI53" si="461">BI$7/(BI$7+BI$9)*BI52</f>
        <v>3.8550843944358741E-3</v>
      </c>
      <c r="BJ53" s="60">
        <f t="shared" ref="BJ53" si="462">BJ$7/(BJ$7+BJ$9)*BJ52</f>
        <v>3.9685997043897381E-3</v>
      </c>
      <c r="BK53" s="60">
        <f t="shared" ref="BK53" si="463">BK$7/(BK$7+BK$9)*BK52</f>
        <v>4.0863975887635382E-3</v>
      </c>
      <c r="BL53" s="60">
        <f t="shared" ref="BL53" si="464">BL$7/(BL$7+BL$9)*BL52</f>
        <v>4.2086946704345211E-3</v>
      </c>
      <c r="BM53" s="60">
        <f t="shared" ref="BM53" si="465">BM$7/(BM$7+BM$9)*BM52</f>
        <v>4.3357221201623837E-3</v>
      </c>
      <c r="BN53" s="60">
        <f t="shared" ref="BN53" si="466">BN$7/(BN$7+BN$9)*BN52</f>
        <v>4.467726898221616E-3</v>
      </c>
    </row>
    <row r="54" spans="1:66">
      <c r="A54" s="753"/>
      <c r="B54" s="1" t="s">
        <v>247</v>
      </c>
      <c r="C54" s="54" t="s">
        <v>153</v>
      </c>
      <c r="D54" s="44">
        <v>0</v>
      </c>
      <c r="E54" s="44">
        <v>0</v>
      </c>
      <c r="F54" s="44">
        <v>0</v>
      </c>
      <c r="G54" s="44">
        <v>0</v>
      </c>
      <c r="H54" s="44">
        <v>0</v>
      </c>
      <c r="I54" s="44">
        <v>0</v>
      </c>
      <c r="J54" s="44">
        <v>0</v>
      </c>
      <c r="K54" s="44">
        <v>0</v>
      </c>
      <c r="L54" s="44">
        <v>0</v>
      </c>
      <c r="M54" s="44">
        <v>0</v>
      </c>
      <c r="N54" s="44">
        <v>0</v>
      </c>
      <c r="O54" s="44">
        <v>0</v>
      </c>
      <c r="P54" s="44">
        <v>0</v>
      </c>
      <c r="Q54" s="44">
        <v>0</v>
      </c>
      <c r="R54" s="44">
        <v>0</v>
      </c>
      <c r="S54" s="44">
        <v>0</v>
      </c>
      <c r="T54" s="44">
        <v>0</v>
      </c>
      <c r="U54" s="44">
        <v>0</v>
      </c>
      <c r="V54" s="44">
        <v>0</v>
      </c>
      <c r="W54" s="44">
        <v>0</v>
      </c>
      <c r="X54" s="44">
        <v>0</v>
      </c>
      <c r="Y54" s="44">
        <v>0</v>
      </c>
      <c r="Z54" s="44">
        <v>0</v>
      </c>
      <c r="AA54" s="44">
        <v>0</v>
      </c>
      <c r="AB54" s="44">
        <v>0</v>
      </c>
      <c r="AC54" s="44">
        <v>0</v>
      </c>
      <c r="AD54" s="44">
        <v>0</v>
      </c>
      <c r="AE54" s="44">
        <v>0</v>
      </c>
      <c r="AF54" s="44">
        <v>0</v>
      </c>
      <c r="AG54" s="44">
        <v>0</v>
      </c>
      <c r="AH54" s="44">
        <v>0</v>
      </c>
      <c r="AJ54" s="44">
        <v>0</v>
      </c>
      <c r="AK54" s="44">
        <v>0</v>
      </c>
      <c r="AL54" s="44">
        <v>0</v>
      </c>
      <c r="AM54" s="44">
        <v>0</v>
      </c>
      <c r="AN54" s="44">
        <v>0</v>
      </c>
      <c r="AO54" s="44">
        <v>0</v>
      </c>
      <c r="AP54" s="44">
        <v>0</v>
      </c>
      <c r="AQ54" s="44">
        <v>0</v>
      </c>
      <c r="AR54" s="44">
        <v>0</v>
      </c>
      <c r="AS54" s="44">
        <v>0</v>
      </c>
      <c r="AT54" s="44">
        <v>0</v>
      </c>
      <c r="AU54" s="44">
        <v>0</v>
      </c>
      <c r="AV54" s="44">
        <v>0</v>
      </c>
      <c r="AW54" s="44">
        <v>0</v>
      </c>
      <c r="AX54" s="44">
        <v>0</v>
      </c>
      <c r="AY54" s="44">
        <v>0</v>
      </c>
      <c r="AZ54" s="44">
        <v>0</v>
      </c>
      <c r="BA54" s="44">
        <v>0</v>
      </c>
      <c r="BB54" s="44">
        <v>0</v>
      </c>
      <c r="BC54" s="44">
        <v>0</v>
      </c>
      <c r="BD54" s="44">
        <v>0</v>
      </c>
      <c r="BE54" s="44">
        <v>0</v>
      </c>
      <c r="BF54" s="44">
        <v>0</v>
      </c>
      <c r="BG54" s="44">
        <v>0</v>
      </c>
      <c r="BH54" s="44">
        <v>0</v>
      </c>
      <c r="BI54" s="44">
        <v>0</v>
      </c>
      <c r="BJ54" s="44">
        <v>0</v>
      </c>
      <c r="BK54" s="44">
        <v>0</v>
      </c>
      <c r="BL54" s="44">
        <v>0</v>
      </c>
      <c r="BM54" s="44">
        <v>0</v>
      </c>
      <c r="BN54" s="44">
        <v>0</v>
      </c>
    </row>
    <row r="55" spans="1:66" s="68" customFormat="1">
      <c r="A55" s="754"/>
      <c r="B55" s="62" t="s">
        <v>248</v>
      </c>
      <c r="C55" s="283" t="s">
        <v>153</v>
      </c>
      <c r="D55" s="284">
        <f>D$9/(D$7+D$9)*D52</f>
        <v>1.2038704707305939E-2</v>
      </c>
      <c r="E55" s="284">
        <f t="shared" ref="E55:AH55" si="467">E$9/(E$7+E$9)*E52</f>
        <v>1.235019277880973E-2</v>
      </c>
      <c r="F55" s="284">
        <f t="shared" si="467"/>
        <v>1.2659760271143038E-2</v>
      </c>
      <c r="G55" s="284">
        <f t="shared" si="467"/>
        <v>1.2969076818772147E-2</v>
      </c>
      <c r="H55" s="284">
        <f t="shared" si="467"/>
        <v>1.3279400517368185E-2</v>
      </c>
      <c r="I55" s="284">
        <f t="shared" si="467"/>
        <v>1.3591706395505587E-2</v>
      </c>
      <c r="J55" s="284">
        <f t="shared" si="467"/>
        <v>1.3906769818080419E-2</v>
      </c>
      <c r="K55" s="284">
        <f t="shared" si="467"/>
        <v>1.4225222251539769E-2</v>
      </c>
      <c r="L55" s="284">
        <f t="shared" si="467"/>
        <v>1.4547589520266068E-2</v>
      </c>
      <c r="M55" s="284">
        <f t="shared" si="467"/>
        <v>1.4874318651772732E-2</v>
      </c>
      <c r="N55" s="284">
        <f t="shared" si="467"/>
        <v>1.5205797096390953E-2</v>
      </c>
      <c r="O55" s="284">
        <f t="shared" si="467"/>
        <v>1.5516039908533449E-2</v>
      </c>
      <c r="P55" s="284">
        <f t="shared" si="467"/>
        <v>1.5832197682695729E-2</v>
      </c>
      <c r="Q55" s="284">
        <f t="shared" si="467"/>
        <v>1.6154366151918866E-2</v>
      </c>
      <c r="R55" s="284">
        <f t="shared" si="467"/>
        <v>1.6482641154197283E-2</v>
      </c>
      <c r="S55" s="284">
        <f t="shared" si="467"/>
        <v>1.6817118517365202E-2</v>
      </c>
      <c r="T55" s="284">
        <f t="shared" si="467"/>
        <v>1.7155621141589254E-2</v>
      </c>
      <c r="U55" s="284">
        <f t="shared" si="467"/>
        <v>1.7500393786376963E-2</v>
      </c>
      <c r="V55" s="284">
        <f t="shared" si="467"/>
        <v>1.7851521832171948E-2</v>
      </c>
      <c r="W55" s="284">
        <f t="shared" si="467"/>
        <v>1.8209089388717858E-2</v>
      </c>
      <c r="X55" s="284">
        <f t="shared" si="467"/>
        <v>1.857317904237922E-2</v>
      </c>
      <c r="Y55" s="284">
        <f t="shared" si="467"/>
        <v>1.8938545879882491E-2</v>
      </c>
      <c r="Z55" s="284">
        <f t="shared" si="467"/>
        <v>1.931019700555564E-2</v>
      </c>
      <c r="AA55" s="284">
        <f t="shared" si="467"/>
        <v>1.9688176534378279E-2</v>
      </c>
      <c r="AB55" s="284">
        <f t="shared" si="467"/>
        <v>2.007252299837595E-2</v>
      </c>
      <c r="AC55" s="284">
        <f t="shared" si="467"/>
        <v>2.0463268662218974E-2</v>
      </c>
      <c r="AD55" s="284">
        <f t="shared" si="467"/>
        <v>2.086043876645486E-2</v>
      </c>
      <c r="AE55" s="284">
        <f t="shared" si="467"/>
        <v>2.1264050689968794E-2</v>
      </c>
      <c r="AF55" s="284">
        <f t="shared" si="467"/>
        <v>2.1674113022151189E-2</v>
      </c>
      <c r="AG55" s="284">
        <f t="shared" si="467"/>
        <v>2.2090624533967623E-2</v>
      </c>
      <c r="AH55" s="284">
        <f t="shared" si="467"/>
        <v>2.2513573035645117E-2</v>
      </c>
      <c r="AJ55" s="284">
        <f>AJ$9/(AJ$7+AJ$9)*AJ52</f>
        <v>1.2038704707305939E-2</v>
      </c>
      <c r="AK55" s="284">
        <f t="shared" ref="AK55:BN55" si="468">AK$9/(AK$7+AK$9)*AK52</f>
        <v>1.235019277880973E-2</v>
      </c>
      <c r="AL55" s="284">
        <f t="shared" si="468"/>
        <v>1.2659760271143038E-2</v>
      </c>
      <c r="AM55" s="284">
        <f t="shared" si="468"/>
        <v>1.2969076818772147E-2</v>
      </c>
      <c r="AN55" s="284">
        <f t="shared" si="468"/>
        <v>1.3279400517368185E-2</v>
      </c>
      <c r="AO55" s="284">
        <f t="shared" si="468"/>
        <v>1.3591706395505587E-2</v>
      </c>
      <c r="AP55" s="284">
        <f t="shared" si="468"/>
        <v>1.3906769818080419E-2</v>
      </c>
      <c r="AQ55" s="284">
        <f t="shared" si="468"/>
        <v>1.4225222251539769E-2</v>
      </c>
      <c r="AR55" s="284">
        <f t="shared" si="468"/>
        <v>1.4547589520266068E-2</v>
      </c>
      <c r="AS55" s="284">
        <f t="shared" si="468"/>
        <v>1.4874318651772732E-2</v>
      </c>
      <c r="AT55" s="284">
        <f t="shared" si="468"/>
        <v>1.5205797096390953E-2</v>
      </c>
      <c r="AU55" s="284">
        <f t="shared" si="468"/>
        <v>1.5516039908533449E-2</v>
      </c>
      <c r="AV55" s="284">
        <f t="shared" si="468"/>
        <v>1.5832197682695729E-2</v>
      </c>
      <c r="AW55" s="284">
        <f t="shared" si="468"/>
        <v>1.6154366151918866E-2</v>
      </c>
      <c r="AX55" s="284">
        <f t="shared" si="468"/>
        <v>1.6482641154197283E-2</v>
      </c>
      <c r="AY55" s="284">
        <f t="shared" si="468"/>
        <v>1.6817118517365202E-2</v>
      </c>
      <c r="AZ55" s="284">
        <f t="shared" si="468"/>
        <v>1.7155621141589254E-2</v>
      </c>
      <c r="BA55" s="284">
        <f t="shared" si="468"/>
        <v>1.7500393786376963E-2</v>
      </c>
      <c r="BB55" s="284">
        <f t="shared" si="468"/>
        <v>1.7851521832171948E-2</v>
      </c>
      <c r="BC55" s="284">
        <f t="shared" si="468"/>
        <v>1.8209089388717858E-2</v>
      </c>
      <c r="BD55" s="284">
        <f t="shared" si="468"/>
        <v>1.857317904237922E-2</v>
      </c>
      <c r="BE55" s="284">
        <f t="shared" si="468"/>
        <v>1.8938545879882491E-2</v>
      </c>
      <c r="BF55" s="284">
        <f t="shared" si="468"/>
        <v>1.931019700555564E-2</v>
      </c>
      <c r="BG55" s="284">
        <f t="shared" si="468"/>
        <v>1.9688176534378279E-2</v>
      </c>
      <c r="BH55" s="284">
        <f t="shared" si="468"/>
        <v>2.007252299837595E-2</v>
      </c>
      <c r="BI55" s="284">
        <f t="shared" si="468"/>
        <v>2.0463268662218974E-2</v>
      </c>
      <c r="BJ55" s="284">
        <f t="shared" si="468"/>
        <v>2.086043876645486E-2</v>
      </c>
      <c r="BK55" s="284">
        <f t="shared" si="468"/>
        <v>2.1264050689968794E-2</v>
      </c>
      <c r="BL55" s="284">
        <f t="shared" si="468"/>
        <v>2.1674113022151189E-2</v>
      </c>
      <c r="BM55" s="284">
        <f t="shared" si="468"/>
        <v>2.2090624533967623E-2</v>
      </c>
      <c r="BN55" s="284">
        <f t="shared" si="468"/>
        <v>2.2513573035645117E-2</v>
      </c>
    </row>
    <row r="56" spans="1:66">
      <c r="A56" s="58" t="s">
        <v>208</v>
      </c>
      <c r="B56" s="58" t="s">
        <v>209</v>
      </c>
      <c r="C56" s="59" t="s">
        <v>153</v>
      </c>
      <c r="D56" s="44">
        <f>D6-D18-D29-D40-D47-D11</f>
        <v>27.787294919531671</v>
      </c>
      <c r="E56" s="44">
        <f t="shared" ref="E56:AH56" si="469">E6-E18-E29-E40-E47-E11</f>
        <v>31.326685747597839</v>
      </c>
      <c r="F56" s="44">
        <f t="shared" si="469"/>
        <v>34.847270227238667</v>
      </c>
      <c r="G56" s="44">
        <f t="shared" si="469"/>
        <v>38.348642129092511</v>
      </c>
      <c r="H56" s="44">
        <f t="shared" si="469"/>
        <v>41.830386304714871</v>
      </c>
      <c r="I56" s="44">
        <f t="shared" si="469"/>
        <v>45.292078488326709</v>
      </c>
      <c r="J56" s="44">
        <f t="shared" si="469"/>
        <v>48.733285094115068</v>
      </c>
      <c r="K56" s="44">
        <f t="shared" si="469"/>
        <v>52.153563008986424</v>
      </c>
      <c r="L56" s="44">
        <f t="shared" si="469"/>
        <v>55.552459380669077</v>
      </c>
      <c r="M56" s="44">
        <f t="shared" si="469"/>
        <v>58.929511401060765</v>
      </c>
      <c r="N56" s="44">
        <f t="shared" si="469"/>
        <v>62.284246084712827</v>
      </c>
      <c r="O56" s="44">
        <f t="shared" si="469"/>
        <v>62.932403936136829</v>
      </c>
      <c r="P56" s="44">
        <f t="shared" si="469"/>
        <v>63.55726703684644</v>
      </c>
      <c r="Q56" s="44">
        <f t="shared" si="469"/>
        <v>64.158330489968478</v>
      </c>
      <c r="R56" s="44">
        <f t="shared" si="469"/>
        <v>64.735078284357087</v>
      </c>
      <c r="S56" s="44">
        <f t="shared" si="469"/>
        <v>65.286983047064879</v>
      </c>
      <c r="T56" s="44">
        <f t="shared" si="469"/>
        <v>65.613505790253299</v>
      </c>
      <c r="U56" s="44">
        <f t="shared" si="469"/>
        <v>65.914095652416847</v>
      </c>
      <c r="V56" s="44">
        <f t="shared" si="469"/>
        <v>66.188189633792305</v>
      </c>
      <c r="W56" s="44">
        <f t="shared" si="469"/>
        <v>66.435212325821055</v>
      </c>
      <c r="X56" s="44">
        <f t="shared" si="469"/>
        <v>66.654575634531312</v>
      </c>
      <c r="Y56" s="44">
        <f t="shared" si="469"/>
        <v>66.445678497700868</v>
      </c>
      <c r="Z56" s="44">
        <f t="shared" si="469"/>
        <v>66.207906595661626</v>
      </c>
      <c r="AA56" s="44">
        <f t="shared" si="469"/>
        <v>65.940632055600503</v>
      </c>
      <c r="AB56" s="44">
        <f t="shared" si="469"/>
        <v>65.643213149210595</v>
      </c>
      <c r="AC56" s="44">
        <f t="shared" si="469"/>
        <v>65.314993983541484</v>
      </c>
      <c r="AD56" s="44">
        <f t="shared" si="469"/>
        <v>64.955304184895439</v>
      </c>
      <c r="AE56" s="44">
        <f t="shared" si="469"/>
        <v>64.563458575611293</v>
      </c>
      <c r="AF56" s="44">
        <f t="shared" si="469"/>
        <v>64.138756843576061</v>
      </c>
      <c r="AG56" s="44">
        <f t="shared" si="469"/>
        <v>63.680483204298511</v>
      </c>
      <c r="AH56" s="44">
        <f t="shared" si="469"/>
        <v>63.187906055377496</v>
      </c>
      <c r="AJ56" s="44">
        <f>AJ6-AJ18-AJ29-AJ40-AJ47-AJ11</f>
        <v>27.787294919531671</v>
      </c>
      <c r="AK56" s="44">
        <f t="shared" ref="AK56:BN56" si="470">AK6-AK18-AK29-AK40-AK47-AK11</f>
        <v>31.326685747597839</v>
      </c>
      <c r="AL56" s="44">
        <f t="shared" si="470"/>
        <v>34.847270227238667</v>
      </c>
      <c r="AM56" s="44">
        <f t="shared" si="470"/>
        <v>38.348642129092511</v>
      </c>
      <c r="AN56" s="44">
        <f t="shared" si="470"/>
        <v>41.830386304714871</v>
      </c>
      <c r="AO56" s="44">
        <f t="shared" si="470"/>
        <v>45.292078488326709</v>
      </c>
      <c r="AP56" s="44">
        <f t="shared" si="470"/>
        <v>48.733285094115068</v>
      </c>
      <c r="AQ56" s="44">
        <f t="shared" si="470"/>
        <v>52.153563008986424</v>
      </c>
      <c r="AR56" s="44">
        <f t="shared" si="470"/>
        <v>55.552459380669077</v>
      </c>
      <c r="AS56" s="44">
        <f t="shared" si="470"/>
        <v>58.929511401060765</v>
      </c>
      <c r="AT56" s="44">
        <f t="shared" si="470"/>
        <v>62.284246084712827</v>
      </c>
      <c r="AU56" s="44">
        <f t="shared" si="470"/>
        <v>62.932403936136829</v>
      </c>
      <c r="AV56" s="44">
        <f t="shared" si="470"/>
        <v>63.55726703684644</v>
      </c>
      <c r="AW56" s="44">
        <f t="shared" si="470"/>
        <v>64.158330489968478</v>
      </c>
      <c r="AX56" s="44">
        <f t="shared" si="470"/>
        <v>64.735078284357087</v>
      </c>
      <c r="AY56" s="44">
        <f t="shared" si="470"/>
        <v>65.286983047064879</v>
      </c>
      <c r="AZ56" s="44">
        <f t="shared" si="470"/>
        <v>65.613505790253299</v>
      </c>
      <c r="BA56" s="44">
        <f t="shared" si="470"/>
        <v>65.914095652416847</v>
      </c>
      <c r="BB56" s="44">
        <f t="shared" si="470"/>
        <v>66.188189633792305</v>
      </c>
      <c r="BC56" s="44">
        <f t="shared" si="470"/>
        <v>66.435212325821055</v>
      </c>
      <c r="BD56" s="44">
        <f t="shared" si="470"/>
        <v>66.654575634531312</v>
      </c>
      <c r="BE56" s="44">
        <f t="shared" si="470"/>
        <v>66.445678497700868</v>
      </c>
      <c r="BF56" s="44">
        <f t="shared" si="470"/>
        <v>66.207906595661626</v>
      </c>
      <c r="BG56" s="44">
        <f t="shared" si="470"/>
        <v>65.940632055600503</v>
      </c>
      <c r="BH56" s="44">
        <f t="shared" si="470"/>
        <v>65.643213149210595</v>
      </c>
      <c r="BI56" s="44">
        <f t="shared" si="470"/>
        <v>65.314993983541484</v>
      </c>
      <c r="BJ56" s="44">
        <f t="shared" si="470"/>
        <v>64.955304184895439</v>
      </c>
      <c r="BK56" s="44">
        <f t="shared" si="470"/>
        <v>64.563458575611293</v>
      </c>
      <c r="BL56" s="44">
        <f t="shared" si="470"/>
        <v>64.138756843576061</v>
      </c>
      <c r="BM56" s="44">
        <f t="shared" si="470"/>
        <v>63.680483204298511</v>
      </c>
      <c r="BN56" s="44">
        <f t="shared" si="470"/>
        <v>63.187906055377496</v>
      </c>
    </row>
    <row r="57" spans="1:66">
      <c r="B57" s="1" t="s">
        <v>168</v>
      </c>
      <c r="C57" s="54" t="s">
        <v>153</v>
      </c>
      <c r="D57">
        <v>0</v>
      </c>
      <c r="E57" s="43">
        <f>E56*'R&amp;S - Others'!$D$7*'R&amp;S - Others'!$B$11*'R&amp;S - Others'!$B$15*(E$3-$D$3)/10</f>
        <v>0</v>
      </c>
      <c r="F57" s="43">
        <f>F56*'R&amp;S - Others'!$D$7*'R&amp;S - Others'!$B$11*'R&amp;S - Others'!$B$15*(F$3-$D$3)/10</f>
        <v>0</v>
      </c>
      <c r="G57" s="43">
        <f>G56*'R&amp;S - Others'!$D$7*'R&amp;S - Others'!$B$11*'R&amp;S - Others'!$B$15*(G$3-$D$3)/10</f>
        <v>0</v>
      </c>
      <c r="H57" s="43">
        <f>H56*'R&amp;S - Others'!$D$7*'R&amp;S - Others'!$B$11*'R&amp;S - Others'!$B$15*(H$3-$D$3)/10</f>
        <v>0</v>
      </c>
      <c r="I57" s="43">
        <f>I56*'R&amp;S - Others'!$D$7*'R&amp;S - Others'!$B$11*'R&amp;S - Others'!$B$15*(I$3-$D$3)/10</f>
        <v>0</v>
      </c>
      <c r="J57" s="43">
        <f>J56*'R&amp;S - Others'!$D$7*'R&amp;S - Others'!$B$11*'R&amp;S - Others'!$B$15*(J$3-$D$3)/10</f>
        <v>0</v>
      </c>
      <c r="K57" s="43">
        <f>K56*'R&amp;S - Others'!$D$7*'R&amp;S - Others'!$B$11*'R&amp;S - Others'!$B$15*(K$3-$D$3)/10</f>
        <v>0</v>
      </c>
      <c r="L57" s="43">
        <f>L56*'R&amp;S - Others'!$D$7*'R&amp;S - Others'!$B$11*'R&amp;S - Others'!$B$15*(L$3-$D$3)/10</f>
        <v>0</v>
      </c>
      <c r="M57" s="43">
        <f>M56*'R&amp;S - Others'!$D$7*'R&amp;S - Others'!$B$11*'R&amp;S - Others'!$B$15*(M$3-$D$3)/10</f>
        <v>0</v>
      </c>
      <c r="N57" s="43">
        <f>N56*'R&amp;S - Others'!$D$7*'R&amp;S - Others'!$B$11*'R&amp;S - Others'!$B$15*(N$3-$D$3)/10</f>
        <v>0</v>
      </c>
      <c r="O57" s="43">
        <f>O56*'R&amp;S - Others'!$D$7*'R&amp;S - Others'!$B$11*('R&amp;S - Others'!$B$15+('R&amp;S - Others'!$B$16-'R&amp;S - Others'!$B$15)*(O$3-$N$3)/10)</f>
        <v>0</v>
      </c>
      <c r="P57" s="43">
        <f>P56*'R&amp;S - Others'!$D$7*'R&amp;S - Others'!$B$11*('R&amp;S - Others'!$B$15+('R&amp;S - Others'!$B$16-'R&amp;S - Others'!$B$15)*(P$3-$N$3)/10)</f>
        <v>0</v>
      </c>
      <c r="Q57" s="43">
        <f>Q56*'R&amp;S - Others'!$D$7*'R&amp;S - Others'!$B$11*('R&amp;S - Others'!$B$15+('R&amp;S - Others'!$B$16-'R&amp;S - Others'!$B$15)*(Q$3-$N$3)/10)</f>
        <v>0</v>
      </c>
      <c r="R57" s="43">
        <f>R56*'R&amp;S - Others'!$D$7*'R&amp;S - Others'!$B$11*('R&amp;S - Others'!$B$15+('R&amp;S - Others'!$B$16-'R&amp;S - Others'!$B$15)*(R$3-$N$3)/10)</f>
        <v>0</v>
      </c>
      <c r="S57" s="43">
        <f>S56*'R&amp;S - Others'!$D$7*'R&amp;S - Others'!$B$11*('R&amp;S - Others'!$B$15+('R&amp;S - Others'!$B$16-'R&amp;S - Others'!$B$15)*(S$3-$N$3)/10)</f>
        <v>0</v>
      </c>
      <c r="T57" s="43">
        <f>T56*'R&amp;S - Others'!$D$7*'R&amp;S - Others'!$B$11*('R&amp;S - Others'!$B$15+('R&amp;S - Others'!$B$16-'R&amp;S - Others'!$B$15)*(T$3-$N$3)/10)</f>
        <v>0</v>
      </c>
      <c r="U57" s="43">
        <f>U56*'R&amp;S - Others'!$D$7*'R&amp;S - Others'!$B$11*('R&amp;S - Others'!$B$15+('R&amp;S - Others'!$B$16-'R&amp;S - Others'!$B$15)*(U$3-$N$3)/10)</f>
        <v>0</v>
      </c>
      <c r="V57" s="43">
        <f>V56*'R&amp;S - Others'!$D$7*'R&amp;S - Others'!$B$11*('R&amp;S - Others'!$B$15+('R&amp;S - Others'!$B$16-'R&amp;S - Others'!$B$15)*(V$3-$N$3)/10)</f>
        <v>0</v>
      </c>
      <c r="W57" s="43">
        <f>W56*'R&amp;S - Others'!$D$7*'R&amp;S - Others'!$B$11*('R&amp;S - Others'!$B$15+('R&amp;S - Others'!$B$16-'R&amp;S - Others'!$B$15)*(W$3-$N$3)/10)</f>
        <v>0</v>
      </c>
      <c r="X57" s="43">
        <f>X56*'R&amp;S - Others'!$D$7*'R&amp;S - Others'!$B$11*('R&amp;S - Others'!$B$15+('R&amp;S - Others'!$B$16-'R&amp;S - Others'!$B$15)*(X$3-$N$3)/10)</f>
        <v>0</v>
      </c>
      <c r="Y57" s="43">
        <f>Y56*'R&amp;S - Others'!$D$7*'R&amp;S - Others'!$B$11*('R&amp;S - Others'!$B$16+('R&amp;S - Others'!$B$17-'R&amp;S - Others'!$B$16)*(Y$3-$X$3)/10)</f>
        <v>0</v>
      </c>
      <c r="Z57" s="43">
        <f>Z56*'R&amp;S - Others'!$D$7*'R&amp;S - Others'!$B$11*('R&amp;S - Others'!$B$16+('R&amp;S - Others'!$B$17-'R&amp;S - Others'!$B$16)*(Z$3-$X$3)/10)</f>
        <v>0</v>
      </c>
      <c r="AA57" s="43">
        <f>AA56*'R&amp;S - Others'!$D$7*'R&amp;S - Others'!$B$11*('R&amp;S - Others'!$B$16+('R&amp;S - Others'!$B$17-'R&amp;S - Others'!$B$16)*(AA$3-$X$3)/10)</f>
        <v>0</v>
      </c>
      <c r="AB57" s="43">
        <f>AB56*'R&amp;S - Others'!$D$7*'R&amp;S - Others'!$B$11*('R&amp;S - Others'!$B$16+('R&amp;S - Others'!$B$17-'R&amp;S - Others'!$B$16)*(AB$3-$X$3)/10)</f>
        <v>0</v>
      </c>
      <c r="AC57" s="43">
        <f>AC56*'R&amp;S - Others'!$D$7*'R&amp;S - Others'!$B$11*('R&amp;S - Others'!$B$16+('R&amp;S - Others'!$B$17-'R&amp;S - Others'!$B$16)*(AC$3-$X$3)/10)</f>
        <v>0</v>
      </c>
      <c r="AD57" s="43">
        <f>AD56*'R&amp;S - Others'!$D$7*'R&amp;S - Others'!$B$11*('R&amp;S - Others'!$B$16+('R&amp;S - Others'!$B$17-'R&amp;S - Others'!$B$16)*(AD$3-$X$3)/10)</f>
        <v>0</v>
      </c>
      <c r="AE57" s="43">
        <f>AE56*'R&amp;S - Others'!$D$7*'R&amp;S - Others'!$B$11*('R&amp;S - Others'!$B$16+('R&amp;S - Others'!$B$17-'R&amp;S - Others'!$B$16)*(AE$3-$X$3)/10)</f>
        <v>0</v>
      </c>
      <c r="AF57" s="43">
        <f>AF56*'R&amp;S - Others'!$D$7*'R&amp;S - Others'!$B$11*('R&amp;S - Others'!$B$16+('R&amp;S - Others'!$B$17-'R&amp;S - Others'!$B$16)*(AF$3-$X$3)/10)</f>
        <v>0</v>
      </c>
      <c r="AG57" s="43">
        <f>AG56*'R&amp;S - Others'!$D$7*'R&amp;S - Others'!$B$11*('R&amp;S - Others'!$B$16+('R&amp;S - Others'!$B$17-'R&amp;S - Others'!$B$16)*(AG$3-$X$3)/10)</f>
        <v>0</v>
      </c>
      <c r="AH57" s="43">
        <f>AH56*'R&amp;S - Others'!$D$7*'R&amp;S - Others'!$B$11*('R&amp;S - Others'!$B$16+('R&amp;S - Others'!$B$17-'R&amp;S - Others'!$B$16)*(AH$3-$X$3)/10)</f>
        <v>0</v>
      </c>
      <c r="AJ57">
        <v>0</v>
      </c>
      <c r="AK57" s="43">
        <f>AK56*'R&amp;S - Others'!$D$7*'R&amp;S - Others'!$B$12*'R&amp;S - Others'!$B$15*(AK$3-$D$3)/10</f>
        <v>0</v>
      </c>
      <c r="AL57" s="43">
        <f>AL56*'R&amp;S - Others'!$D$7*'R&amp;S - Others'!$B$12*'R&amp;S - Others'!$B$15*(AL$3-$D$3)/10</f>
        <v>0</v>
      </c>
      <c r="AM57" s="43">
        <f>AM56*'R&amp;S - Others'!$D$7*'R&amp;S - Others'!$B$12*'R&amp;S - Others'!$B$15*(AM$3-$D$3)/10</f>
        <v>0</v>
      </c>
      <c r="AN57" s="43">
        <f>AN56*'R&amp;S - Others'!$D$7*'R&amp;S - Others'!$B$12*'R&amp;S - Others'!$B$15*(AN$3-$D$3)/10</f>
        <v>0</v>
      </c>
      <c r="AO57" s="43">
        <f>AO56*'R&amp;S - Others'!$D$7*'R&amp;S - Others'!$B$12*'R&amp;S - Others'!$B$15*(AO$3-$D$3)/10</f>
        <v>0</v>
      </c>
      <c r="AP57" s="43">
        <f>AP56*'R&amp;S - Others'!$D$7*'R&amp;S - Others'!$B$12*'R&amp;S - Others'!$B$15*(AP$3-$D$3)/10</f>
        <v>0</v>
      </c>
      <c r="AQ57" s="43">
        <f>AQ56*'R&amp;S - Others'!$D$7*'R&amp;S - Others'!$B$12*'R&amp;S - Others'!$B$15*(AQ$3-$D$3)/10</f>
        <v>0</v>
      </c>
      <c r="AR57" s="43">
        <f>AR56*'R&amp;S - Others'!$D$7*'R&amp;S - Others'!$B$12*'R&amp;S - Others'!$B$15*(AR$3-$D$3)/10</f>
        <v>0</v>
      </c>
      <c r="AS57" s="43">
        <f>AS56*'R&amp;S - Others'!$D$7*'R&amp;S - Others'!$B$12*'R&amp;S - Others'!$B$15*(AS$3-$D$3)/10</f>
        <v>0</v>
      </c>
      <c r="AT57" s="43">
        <f>AT56*'R&amp;S - Others'!$D$7*'R&amp;S - Others'!$B$12*'R&amp;S - Others'!$B$15*(AT$3-$D$3)/10</f>
        <v>0</v>
      </c>
      <c r="AU57" s="43">
        <f>AU56*'R&amp;S - Others'!$D$7*'R&amp;S - Others'!$B$12*('R&amp;S - Others'!$B$15+('R&amp;S - Others'!$B$16-'R&amp;S - Others'!$B$15)*(AU$3-$N$3)/10)</f>
        <v>0</v>
      </c>
      <c r="AV57" s="43">
        <f>AV56*'R&amp;S - Others'!$D$7*'R&amp;S - Others'!$B$12*('R&amp;S - Others'!$B$15+('R&amp;S - Others'!$B$16-'R&amp;S - Others'!$B$15)*(AV$3-$N$3)/10)</f>
        <v>0</v>
      </c>
      <c r="AW57" s="43">
        <f>AW56*'R&amp;S - Others'!$D$7*'R&amp;S - Others'!$B$12*('R&amp;S - Others'!$B$15+('R&amp;S - Others'!$B$16-'R&amp;S - Others'!$B$15)*(AW$3-$N$3)/10)</f>
        <v>0</v>
      </c>
      <c r="AX57" s="43">
        <f>AX56*'R&amp;S - Others'!$D$7*'R&amp;S - Others'!$B$12*('R&amp;S - Others'!$B$15+('R&amp;S - Others'!$B$16-'R&amp;S - Others'!$B$15)*(AX$3-$N$3)/10)</f>
        <v>0</v>
      </c>
      <c r="AY57" s="43">
        <f>AY56*'R&amp;S - Others'!$D$7*'R&amp;S - Others'!$B$12*('R&amp;S - Others'!$B$15+('R&amp;S - Others'!$B$16-'R&amp;S - Others'!$B$15)*(AY$3-$N$3)/10)</f>
        <v>0</v>
      </c>
      <c r="AZ57" s="43">
        <f>AZ56*'R&amp;S - Others'!$D$7*'R&amp;S - Others'!$B$12*('R&amp;S - Others'!$B$15+('R&amp;S - Others'!$B$16-'R&amp;S - Others'!$B$15)*(AZ$3-$N$3)/10)</f>
        <v>0</v>
      </c>
      <c r="BA57" s="43">
        <f>BA56*'R&amp;S - Others'!$D$7*'R&amp;S - Others'!$B$12*('R&amp;S - Others'!$B$15+('R&amp;S - Others'!$B$16-'R&amp;S - Others'!$B$15)*(BA$3-$N$3)/10)</f>
        <v>0</v>
      </c>
      <c r="BB57" s="43">
        <f>BB56*'R&amp;S - Others'!$D$7*'R&amp;S - Others'!$B$12*('R&amp;S - Others'!$B$15+('R&amp;S - Others'!$B$16-'R&amp;S - Others'!$B$15)*(BB$3-$N$3)/10)</f>
        <v>0</v>
      </c>
      <c r="BC57" s="43">
        <f>BC56*'R&amp;S - Others'!$D$7*'R&amp;S - Others'!$B$12*('R&amp;S - Others'!$B$15+('R&amp;S - Others'!$B$16-'R&amp;S - Others'!$B$15)*(BC$3-$N$3)/10)</f>
        <v>0</v>
      </c>
      <c r="BD57" s="43">
        <f>BD56*'R&amp;S - Others'!$D$7*'R&amp;S - Others'!$B$12*('R&amp;S - Others'!$B$15+('R&amp;S - Others'!$B$16-'R&amp;S - Others'!$B$15)*(BD$3-$N$3)/10)</f>
        <v>0</v>
      </c>
      <c r="BE57" s="43">
        <f>BE56*'R&amp;S - Others'!$D$7*'R&amp;S - Others'!$B$12*('R&amp;S - Others'!$B$16+('R&amp;S - Others'!$B$17-'R&amp;S - Others'!$B$16)*(BE$3-$X$3)/10)</f>
        <v>0</v>
      </c>
      <c r="BF57" s="43">
        <f>BF56*'R&amp;S - Others'!$D$7*'R&amp;S - Others'!$B$12*('R&amp;S - Others'!$B$16+('R&amp;S - Others'!$B$17-'R&amp;S - Others'!$B$16)*(BF$3-$X$3)/10)</f>
        <v>0</v>
      </c>
      <c r="BG57" s="43">
        <f>BG56*'R&amp;S - Others'!$D$7*'R&amp;S - Others'!$B$12*('R&amp;S - Others'!$B$16+('R&amp;S - Others'!$B$17-'R&amp;S - Others'!$B$16)*(BG$3-$X$3)/10)</f>
        <v>0</v>
      </c>
      <c r="BH57" s="43">
        <f>BH56*'R&amp;S - Others'!$D$7*'R&amp;S - Others'!$B$12*('R&amp;S - Others'!$B$16+('R&amp;S - Others'!$B$17-'R&amp;S - Others'!$B$16)*(BH$3-$X$3)/10)</f>
        <v>0</v>
      </c>
      <c r="BI57" s="43">
        <f>BI56*'R&amp;S - Others'!$D$7*'R&amp;S - Others'!$B$12*('R&amp;S - Others'!$B$16+('R&amp;S - Others'!$B$17-'R&amp;S - Others'!$B$16)*(BI$3-$X$3)/10)</f>
        <v>0</v>
      </c>
      <c r="BJ57" s="43">
        <f>BJ56*'R&amp;S - Others'!$D$7*'R&amp;S - Others'!$B$12*('R&amp;S - Others'!$B$16+('R&amp;S - Others'!$B$17-'R&amp;S - Others'!$B$16)*(BJ$3-$X$3)/10)</f>
        <v>0</v>
      </c>
      <c r="BK57" s="43">
        <f>BK56*'R&amp;S - Others'!$D$7*'R&amp;S - Others'!$B$12*('R&amp;S - Others'!$B$16+('R&amp;S - Others'!$B$17-'R&amp;S - Others'!$B$16)*(BK$3-$X$3)/10)</f>
        <v>0</v>
      </c>
      <c r="BL57" s="43">
        <f>BL56*'R&amp;S - Others'!$D$7*'R&amp;S - Others'!$B$12*('R&amp;S - Others'!$B$16+('R&amp;S - Others'!$B$17-'R&amp;S - Others'!$B$16)*(BL$3-$X$3)/10)</f>
        <v>0</v>
      </c>
      <c r="BM57" s="43">
        <f>BM56*'R&amp;S - Others'!$D$7*'R&amp;S - Others'!$B$12*('R&amp;S - Others'!$B$16+('R&amp;S - Others'!$B$17-'R&amp;S - Others'!$B$16)*(BM$3-$X$3)/10)</f>
        <v>0</v>
      </c>
      <c r="BN57" s="43">
        <f>BN56*'R&amp;S - Others'!$D$7*'R&amp;S - Others'!$B$12*('R&amp;S - Others'!$B$16+('R&amp;S - Others'!$B$17-'R&amp;S - Others'!$B$16)*(BN$3-$X$3)/10)</f>
        <v>0</v>
      </c>
    </row>
    <row r="58" spans="1:66">
      <c r="B58" s="1" t="s">
        <v>172</v>
      </c>
      <c r="C58" s="54" t="s">
        <v>153</v>
      </c>
      <c r="D58">
        <v>0</v>
      </c>
      <c r="E58" s="43">
        <f>E56*'R&amp;S - Others'!$D$8*'R&amp;S - Others'!$B$11*'R&amp;S - Others'!$C$15*(E$3-$D$3)/10</f>
        <v>0</v>
      </c>
      <c r="F58" s="43">
        <f>F56*'R&amp;S - Others'!$D$8*'R&amp;S - Others'!$B$11*'R&amp;S - Others'!$C$15*(F$3-$D$3)/10</f>
        <v>0</v>
      </c>
      <c r="G58" s="43">
        <f>G56*'R&amp;S - Others'!$D$8*'R&amp;S - Others'!$B$11*'R&amp;S - Others'!$C$15*(G$3-$D$3)/10</f>
        <v>0</v>
      </c>
      <c r="H58" s="43">
        <f>H56*'R&amp;S - Others'!$D$8*'R&amp;S - Others'!$B$11*'R&amp;S - Others'!$C$15*(H$3-$D$3)/10</f>
        <v>0</v>
      </c>
      <c r="I58" s="43">
        <f>I56*'R&amp;S - Others'!$D$8*'R&amp;S - Others'!$B$11*'R&amp;S - Others'!$C$15*(I$3-$D$3)/10</f>
        <v>0</v>
      </c>
      <c r="J58" s="43">
        <f>J56*'R&amp;S - Others'!$D$8*'R&amp;S - Others'!$B$11*'R&amp;S - Others'!$C$15*(J$3-$D$3)/10</f>
        <v>0</v>
      </c>
      <c r="K58" s="43">
        <f>K56*'R&amp;S - Others'!$D$8*'R&amp;S - Others'!$B$11*'R&amp;S - Others'!$C$15*(K$3-$D$3)/10</f>
        <v>0</v>
      </c>
      <c r="L58" s="43">
        <f>L56*'R&amp;S - Others'!$D$8*'R&amp;S - Others'!$B$11*'R&amp;S - Others'!$C$15*(L$3-$D$3)/10</f>
        <v>0</v>
      </c>
      <c r="M58" s="43">
        <f>M56*'R&amp;S - Others'!$D$8*'R&amp;S - Others'!$B$11*'R&amp;S - Others'!$C$15*(M$3-$D$3)/10</f>
        <v>0</v>
      </c>
      <c r="N58" s="43">
        <f>N56*'R&amp;S - Others'!$D$8*'R&amp;S - Others'!$B$11*'R&amp;S - Others'!$C$15*(N$3-$D$3)/10</f>
        <v>0</v>
      </c>
      <c r="O58" s="43">
        <f>O56*'R&amp;S - Others'!$D$8*'R&amp;S - Others'!$B$11*'R&amp;S - Others'!$C$15*(O$3-$D$3)/10</f>
        <v>0</v>
      </c>
      <c r="P58" s="43">
        <f>P56*'R&amp;S - Others'!$D$8*'R&amp;S - Others'!$B$11*'R&amp;S - Others'!$C$15*(P$3-$D$3)/10</f>
        <v>0</v>
      </c>
      <c r="Q58" s="43">
        <f>Q56*'R&amp;S - Others'!$D$8*'R&amp;S - Others'!$B$11*'R&amp;S - Others'!$C$15*(Q$3-$D$3)/10</f>
        <v>0</v>
      </c>
      <c r="R58" s="43">
        <f>R56*'R&amp;S - Others'!$D$8*'R&amp;S - Others'!$B$11*'R&amp;S - Others'!$C$15*(R$3-$D$3)/10</f>
        <v>0</v>
      </c>
      <c r="S58" s="43">
        <f>S56*'R&amp;S - Others'!$D$8*'R&amp;S - Others'!$B$11*'R&amp;S - Others'!$C$15*(S$3-$D$3)/10</f>
        <v>0</v>
      </c>
      <c r="T58" s="43">
        <f>T56*'R&amp;S - Others'!$D$8*'R&amp;S - Others'!$B$11*'R&amp;S - Others'!$C$15*(T$3-$D$3)/10</f>
        <v>0</v>
      </c>
      <c r="U58" s="43">
        <f>U56*'R&amp;S - Others'!$D$8*'R&amp;S - Others'!$B$11*'R&amp;S - Others'!$C$15*(U$3-$D$3)/10</f>
        <v>0</v>
      </c>
      <c r="V58" s="43">
        <f>V56*'R&amp;S - Others'!$D$8*'R&amp;S - Others'!$B$11*'R&amp;S - Others'!$C$15*(V$3-$D$3)/10</f>
        <v>0</v>
      </c>
      <c r="W58" s="43">
        <f>W56*'R&amp;S - Others'!$D$8*'R&amp;S - Others'!$B$11*'R&amp;S - Others'!$C$15*(W$3-$D$3)/10</f>
        <v>0</v>
      </c>
      <c r="X58" s="43">
        <f>X56*'R&amp;S - Others'!$D$8*'R&amp;S - Others'!$B$11*'R&amp;S - Others'!$C$15*(X$3-$D$3)/10</f>
        <v>0</v>
      </c>
      <c r="Y58" s="43">
        <f>Y56*'R&amp;S - Others'!$D$8*'R&amp;S - Others'!$B$11*('R&amp;S - Others'!$C$16+('R&amp;S - Others'!$C$17-'R&amp;S - Others'!$C$16)*(Y$3-$X$3)/10)</f>
        <v>0</v>
      </c>
      <c r="Z58" s="43">
        <f>Z56*'R&amp;S - Others'!$D$8*'R&amp;S - Others'!$B$11*('R&amp;S - Others'!$C$16+('R&amp;S - Others'!$C$17-'R&amp;S - Others'!$C$16)*(Z$3-$X$3)/10)</f>
        <v>0</v>
      </c>
      <c r="AA58" s="43">
        <f>AA56*'R&amp;S - Others'!$D$8*'R&amp;S - Others'!$B$11*('R&amp;S - Others'!$C$16+('R&amp;S - Others'!$C$17-'R&amp;S - Others'!$C$16)*(AA$3-$X$3)/10)</f>
        <v>0</v>
      </c>
      <c r="AB58" s="43">
        <f>AB56*'R&amp;S - Others'!$D$8*'R&amp;S - Others'!$B$11*('R&amp;S - Others'!$C$16+('R&amp;S - Others'!$C$17-'R&amp;S - Others'!$C$16)*(AB$3-$X$3)/10)</f>
        <v>0</v>
      </c>
      <c r="AC58" s="43">
        <f>AC56*'R&amp;S - Others'!$D$8*'R&amp;S - Others'!$B$11*('R&amp;S - Others'!$C$16+('R&amp;S - Others'!$C$17-'R&amp;S - Others'!$C$16)*(AC$3-$X$3)/10)</f>
        <v>0</v>
      </c>
      <c r="AD58" s="43">
        <f>AD56*'R&amp;S - Others'!$D$8*'R&amp;S - Others'!$B$11*('R&amp;S - Others'!$C$16+('R&amp;S - Others'!$C$17-'R&amp;S - Others'!$C$16)*(AD$3-$X$3)/10)</f>
        <v>0</v>
      </c>
      <c r="AE58" s="43">
        <f>AE56*'R&amp;S - Others'!$D$8*'R&amp;S - Others'!$B$11*('R&amp;S - Others'!$C$16+('R&amp;S - Others'!$C$17-'R&amp;S - Others'!$C$16)*(AE$3-$X$3)/10)</f>
        <v>0</v>
      </c>
      <c r="AF58" s="43">
        <f>AF56*'R&amp;S - Others'!$D$8*'R&amp;S - Others'!$B$11*('R&amp;S - Others'!$C$16+('R&amp;S - Others'!$C$17-'R&amp;S - Others'!$C$16)*(AF$3-$X$3)/10)</f>
        <v>0</v>
      </c>
      <c r="AG58" s="43">
        <f>AG56*'R&amp;S - Others'!$D$8*'R&amp;S - Others'!$B$11*('R&amp;S - Others'!$C$16+('R&amp;S - Others'!$C$17-'R&amp;S - Others'!$C$16)*(AG$3-$X$3)/10)</f>
        <v>0</v>
      </c>
      <c r="AH58" s="43">
        <f>AH56*'R&amp;S - Others'!$D$8*'R&amp;S - Others'!$B$11*('R&amp;S - Others'!$C$16+('R&amp;S - Others'!$C$17-'R&amp;S - Others'!$C$16)*(AH$3-$X$3)/10)</f>
        <v>0</v>
      </c>
      <c r="AJ58">
        <v>0</v>
      </c>
      <c r="AK58" s="43">
        <f>AK56*'R&amp;S - Others'!$D$8*'R&amp;S - Others'!$B$12*'R&amp;S - Others'!$C$15*(AK$3-$D$3)/10</f>
        <v>0</v>
      </c>
      <c r="AL58" s="43">
        <f>AL56*'R&amp;S - Others'!$D$8*'R&amp;S - Others'!$B$12*'R&amp;S - Others'!$C$15*(AL$3-$D$3)/10</f>
        <v>0</v>
      </c>
      <c r="AM58" s="43">
        <f>AM56*'R&amp;S - Others'!$D$8*'R&amp;S - Others'!$B$12*'R&amp;S - Others'!$C$15*(AM$3-$D$3)/10</f>
        <v>0</v>
      </c>
      <c r="AN58" s="43">
        <f>AN56*'R&amp;S - Others'!$D$8*'R&amp;S - Others'!$B$12*'R&amp;S - Others'!$C$15*(AN$3-$D$3)/10</f>
        <v>0</v>
      </c>
      <c r="AO58" s="43">
        <f>AO56*'R&amp;S - Others'!$D$8*'R&amp;S - Others'!$B$12*'R&amp;S - Others'!$C$15*(AO$3-$D$3)/10</f>
        <v>0</v>
      </c>
      <c r="AP58" s="43">
        <f>AP56*'R&amp;S - Others'!$D$8*'R&amp;S - Others'!$B$12*'R&amp;S - Others'!$C$15*(AP$3-$D$3)/10</f>
        <v>0</v>
      </c>
      <c r="AQ58" s="43">
        <f>AQ56*'R&amp;S - Others'!$D$8*'R&amp;S - Others'!$B$12*'R&amp;S - Others'!$C$15*(AQ$3-$D$3)/10</f>
        <v>0</v>
      </c>
      <c r="AR58" s="43">
        <f>AR56*'R&amp;S - Others'!$D$8*'R&amp;S - Others'!$B$12*'R&amp;S - Others'!$C$15*(AR$3-$D$3)/10</f>
        <v>0</v>
      </c>
      <c r="AS58" s="43">
        <f>AS56*'R&amp;S - Others'!$D$8*'R&amp;S - Others'!$B$12*'R&amp;S - Others'!$C$15*(AS$3-$D$3)/10</f>
        <v>0</v>
      </c>
      <c r="AT58" s="43">
        <f>AT56*'R&amp;S - Others'!$D$8*'R&amp;S - Others'!$B$12*'R&amp;S - Others'!$C$15*(AT$3-$D$3)/10</f>
        <v>0</v>
      </c>
      <c r="AU58" s="43">
        <f>AU56*'R&amp;S - Others'!$D$8*'R&amp;S - Others'!$B$12*'R&amp;S - Others'!$C$15*(AU$3-$D$3)/10</f>
        <v>0</v>
      </c>
      <c r="AV58" s="43">
        <f>AV56*'R&amp;S - Others'!$D$8*'R&amp;S - Others'!$B$12*'R&amp;S - Others'!$C$15*(AV$3-$D$3)/10</f>
        <v>0</v>
      </c>
      <c r="AW58" s="43">
        <f>AW56*'R&amp;S - Others'!$D$8*'R&amp;S - Others'!$B$12*'R&amp;S - Others'!$C$15*(AW$3-$D$3)/10</f>
        <v>0</v>
      </c>
      <c r="AX58" s="43">
        <f>AX56*'R&amp;S - Others'!$D$8*'R&amp;S - Others'!$B$12*'R&amp;S - Others'!$C$15*(AX$3-$D$3)/10</f>
        <v>0</v>
      </c>
      <c r="AY58" s="43">
        <f>AY56*'R&amp;S - Others'!$D$8*'R&amp;S - Others'!$B$12*'R&amp;S - Others'!$C$15*(AY$3-$D$3)/10</f>
        <v>0</v>
      </c>
      <c r="AZ58" s="43">
        <f>AZ56*'R&amp;S - Others'!$D$8*'R&amp;S - Others'!$B$12*'R&amp;S - Others'!$C$15*(AZ$3-$D$3)/10</f>
        <v>0</v>
      </c>
      <c r="BA58" s="43">
        <f>BA56*'R&amp;S - Others'!$D$8*'R&amp;S - Others'!$B$12*'R&amp;S - Others'!$C$15*(BA$3-$D$3)/10</f>
        <v>0</v>
      </c>
      <c r="BB58" s="43">
        <f>BB56*'R&amp;S - Others'!$D$8*'R&amp;S - Others'!$B$12*'R&amp;S - Others'!$C$15*(BB$3-$D$3)/10</f>
        <v>0</v>
      </c>
      <c r="BC58" s="43">
        <f>BC56*'R&amp;S - Others'!$D$8*'R&amp;S - Others'!$B$12*'R&amp;S - Others'!$C$15*(BC$3-$D$3)/10</f>
        <v>0</v>
      </c>
      <c r="BD58" s="43">
        <f>BD56*'R&amp;S - Others'!$D$8*'R&amp;S - Others'!$B$12*'R&amp;S - Others'!$C$15*(BD$3-$D$3)/10</f>
        <v>0</v>
      </c>
      <c r="BE58" s="43">
        <f>BE56*'R&amp;S - Others'!$D$8*'R&amp;S - Others'!$B$12*('R&amp;S - Others'!$C$16+('R&amp;S - Others'!$C$17-'R&amp;S - Others'!$C$16)*(BE$3-$X$3)/10)</f>
        <v>0</v>
      </c>
      <c r="BF58" s="43">
        <f>BF56*'R&amp;S - Others'!$D$8*'R&amp;S - Others'!$B$12*('R&amp;S - Others'!$C$16+('R&amp;S - Others'!$C$17-'R&amp;S - Others'!$C$16)*(BF$3-$X$3)/10)</f>
        <v>0</v>
      </c>
      <c r="BG58" s="43">
        <f>BG56*'R&amp;S - Others'!$D$8*'R&amp;S - Others'!$B$12*('R&amp;S - Others'!$C$16+('R&amp;S - Others'!$C$17-'R&amp;S - Others'!$C$16)*(BG$3-$X$3)/10)</f>
        <v>0</v>
      </c>
      <c r="BH58" s="43">
        <f>BH56*'R&amp;S - Others'!$D$8*'R&amp;S - Others'!$B$12*('R&amp;S - Others'!$C$16+('R&amp;S - Others'!$C$17-'R&amp;S - Others'!$C$16)*(BH$3-$X$3)/10)</f>
        <v>0</v>
      </c>
      <c r="BI58" s="43">
        <f>BI56*'R&amp;S - Others'!$D$8*'R&amp;S - Others'!$B$12*('R&amp;S - Others'!$C$16+('R&amp;S - Others'!$C$17-'R&amp;S - Others'!$C$16)*(BI$3-$X$3)/10)</f>
        <v>0</v>
      </c>
      <c r="BJ58" s="43">
        <f>BJ56*'R&amp;S - Others'!$D$8*'R&amp;S - Others'!$B$12*('R&amp;S - Others'!$C$16+('R&amp;S - Others'!$C$17-'R&amp;S - Others'!$C$16)*(BJ$3-$X$3)/10)</f>
        <v>0</v>
      </c>
      <c r="BK58" s="43">
        <f>BK56*'R&amp;S - Others'!$D$8*'R&amp;S - Others'!$B$12*('R&amp;S - Others'!$C$16+('R&amp;S - Others'!$C$17-'R&amp;S - Others'!$C$16)*(BK$3-$X$3)/10)</f>
        <v>0</v>
      </c>
      <c r="BL58" s="43">
        <f>BL56*'R&amp;S - Others'!$D$8*'R&amp;S - Others'!$B$12*('R&amp;S - Others'!$C$16+('R&amp;S - Others'!$C$17-'R&amp;S - Others'!$C$16)*(BL$3-$X$3)/10)</f>
        <v>0</v>
      </c>
      <c r="BM58" s="43">
        <f>BM56*'R&amp;S - Others'!$D$8*'R&amp;S - Others'!$B$12*('R&amp;S - Others'!$C$16+('R&amp;S - Others'!$C$17-'R&amp;S - Others'!$C$16)*(BM$3-$X$3)/10)</f>
        <v>0</v>
      </c>
      <c r="BN58" s="43">
        <f>BN56*'R&amp;S - Others'!$D$8*'R&amp;S - Others'!$B$12*('R&amp;S - Others'!$C$16+('R&amp;S - Others'!$C$17-'R&amp;S - Others'!$C$16)*(BN$3-$X$3)/10)</f>
        <v>0</v>
      </c>
    </row>
    <row r="59" spans="1:66">
      <c r="A59" s="178"/>
      <c r="B59" s="178" t="s">
        <v>197</v>
      </c>
      <c r="C59" s="179" t="s">
        <v>153</v>
      </c>
      <c r="D59" s="180">
        <f>D56-D57-D58</f>
        <v>27.787294919531671</v>
      </c>
      <c r="E59" s="180">
        <f t="shared" ref="E59:AH59" si="471">E56-E57-E58</f>
        <v>31.326685747597839</v>
      </c>
      <c r="F59" s="180">
        <f t="shared" si="471"/>
        <v>34.847270227238667</v>
      </c>
      <c r="G59" s="180">
        <f t="shared" si="471"/>
        <v>38.348642129092511</v>
      </c>
      <c r="H59" s="180">
        <f t="shared" si="471"/>
        <v>41.830386304714871</v>
      </c>
      <c r="I59" s="180">
        <f t="shared" si="471"/>
        <v>45.292078488326709</v>
      </c>
      <c r="J59" s="180">
        <f t="shared" si="471"/>
        <v>48.733285094115068</v>
      </c>
      <c r="K59" s="180">
        <f t="shared" si="471"/>
        <v>52.153563008986424</v>
      </c>
      <c r="L59" s="180">
        <f t="shared" si="471"/>
        <v>55.552459380669077</v>
      </c>
      <c r="M59" s="180">
        <f t="shared" si="471"/>
        <v>58.929511401060765</v>
      </c>
      <c r="N59" s="180">
        <f t="shared" si="471"/>
        <v>62.284246084712827</v>
      </c>
      <c r="O59" s="180">
        <f t="shared" si="471"/>
        <v>62.932403936136829</v>
      </c>
      <c r="P59" s="180">
        <f t="shared" si="471"/>
        <v>63.55726703684644</v>
      </c>
      <c r="Q59" s="180">
        <f t="shared" si="471"/>
        <v>64.158330489968478</v>
      </c>
      <c r="R59" s="180">
        <f t="shared" si="471"/>
        <v>64.735078284357087</v>
      </c>
      <c r="S59" s="180">
        <f t="shared" si="471"/>
        <v>65.286983047064879</v>
      </c>
      <c r="T59" s="180">
        <f t="shared" si="471"/>
        <v>65.613505790253299</v>
      </c>
      <c r="U59" s="180">
        <f t="shared" si="471"/>
        <v>65.914095652416847</v>
      </c>
      <c r="V59" s="180">
        <f t="shared" si="471"/>
        <v>66.188189633792305</v>
      </c>
      <c r="W59" s="180">
        <f t="shared" si="471"/>
        <v>66.435212325821055</v>
      </c>
      <c r="X59" s="180">
        <f t="shared" si="471"/>
        <v>66.654575634531312</v>
      </c>
      <c r="Y59" s="180">
        <f t="shared" si="471"/>
        <v>66.445678497700868</v>
      </c>
      <c r="Z59" s="180">
        <f t="shared" si="471"/>
        <v>66.207906595661626</v>
      </c>
      <c r="AA59" s="180">
        <f t="shared" si="471"/>
        <v>65.940632055600503</v>
      </c>
      <c r="AB59" s="180">
        <f t="shared" si="471"/>
        <v>65.643213149210595</v>
      </c>
      <c r="AC59" s="180">
        <f t="shared" si="471"/>
        <v>65.314993983541484</v>
      </c>
      <c r="AD59" s="180">
        <f t="shared" si="471"/>
        <v>64.955304184895439</v>
      </c>
      <c r="AE59" s="180">
        <f t="shared" si="471"/>
        <v>64.563458575611293</v>
      </c>
      <c r="AF59" s="180">
        <f t="shared" si="471"/>
        <v>64.138756843576061</v>
      </c>
      <c r="AG59" s="180">
        <f t="shared" si="471"/>
        <v>63.680483204298511</v>
      </c>
      <c r="AH59" s="180">
        <f t="shared" si="471"/>
        <v>63.187906055377496</v>
      </c>
      <c r="AJ59" s="180">
        <f>AJ56-AJ57-AJ58</f>
        <v>27.787294919531671</v>
      </c>
      <c r="AK59" s="180">
        <f t="shared" ref="AK59" si="472">AK56-AK57-AK58</f>
        <v>31.326685747597839</v>
      </c>
      <c r="AL59" s="180">
        <f t="shared" ref="AL59" si="473">AL56-AL57-AL58</f>
        <v>34.847270227238667</v>
      </c>
      <c r="AM59" s="180">
        <f t="shared" ref="AM59" si="474">AM56-AM57-AM58</f>
        <v>38.348642129092511</v>
      </c>
      <c r="AN59" s="180">
        <f t="shared" ref="AN59" si="475">AN56-AN57-AN58</f>
        <v>41.830386304714871</v>
      </c>
      <c r="AO59" s="180">
        <f t="shared" ref="AO59" si="476">AO56-AO57-AO58</f>
        <v>45.292078488326709</v>
      </c>
      <c r="AP59" s="180">
        <f t="shared" ref="AP59" si="477">AP56-AP57-AP58</f>
        <v>48.733285094115068</v>
      </c>
      <c r="AQ59" s="180">
        <f t="shared" ref="AQ59" si="478">AQ56-AQ57-AQ58</f>
        <v>52.153563008986424</v>
      </c>
      <c r="AR59" s="180">
        <f t="shared" ref="AR59" si="479">AR56-AR57-AR58</f>
        <v>55.552459380669077</v>
      </c>
      <c r="AS59" s="180">
        <f t="shared" ref="AS59" si="480">AS56-AS57-AS58</f>
        <v>58.929511401060765</v>
      </c>
      <c r="AT59" s="180">
        <f t="shared" ref="AT59" si="481">AT56-AT57-AT58</f>
        <v>62.284246084712827</v>
      </c>
      <c r="AU59" s="180">
        <f t="shared" ref="AU59" si="482">AU56-AU57-AU58</f>
        <v>62.932403936136829</v>
      </c>
      <c r="AV59" s="180">
        <f t="shared" ref="AV59" si="483">AV56-AV57-AV58</f>
        <v>63.55726703684644</v>
      </c>
      <c r="AW59" s="180">
        <f t="shared" ref="AW59" si="484">AW56-AW57-AW58</f>
        <v>64.158330489968478</v>
      </c>
      <c r="AX59" s="180">
        <f t="shared" ref="AX59" si="485">AX56-AX57-AX58</f>
        <v>64.735078284357087</v>
      </c>
      <c r="AY59" s="180">
        <f t="shared" ref="AY59" si="486">AY56-AY57-AY58</f>
        <v>65.286983047064879</v>
      </c>
      <c r="AZ59" s="180">
        <f t="shared" ref="AZ59" si="487">AZ56-AZ57-AZ58</f>
        <v>65.613505790253299</v>
      </c>
      <c r="BA59" s="180">
        <f t="shared" ref="BA59" si="488">BA56-BA57-BA58</f>
        <v>65.914095652416847</v>
      </c>
      <c r="BB59" s="180">
        <f t="shared" ref="BB59" si="489">BB56-BB57-BB58</f>
        <v>66.188189633792305</v>
      </c>
      <c r="BC59" s="180">
        <f t="shared" ref="BC59" si="490">BC56-BC57-BC58</f>
        <v>66.435212325821055</v>
      </c>
      <c r="BD59" s="180">
        <f t="shared" ref="BD59" si="491">BD56-BD57-BD58</f>
        <v>66.654575634531312</v>
      </c>
      <c r="BE59" s="180">
        <f t="shared" ref="BE59" si="492">BE56-BE57-BE58</f>
        <v>66.445678497700868</v>
      </c>
      <c r="BF59" s="180">
        <f t="shared" ref="BF59" si="493">BF56-BF57-BF58</f>
        <v>66.207906595661626</v>
      </c>
      <c r="BG59" s="180">
        <f t="shared" ref="BG59" si="494">BG56-BG57-BG58</f>
        <v>65.940632055600503</v>
      </c>
      <c r="BH59" s="180">
        <f t="shared" ref="BH59" si="495">BH56-BH57-BH58</f>
        <v>65.643213149210595</v>
      </c>
      <c r="BI59" s="180">
        <f t="shared" ref="BI59" si="496">BI56-BI57-BI58</f>
        <v>65.314993983541484</v>
      </c>
      <c r="BJ59" s="180">
        <f t="shared" ref="BJ59" si="497">BJ56-BJ57-BJ58</f>
        <v>64.955304184895439</v>
      </c>
      <c r="BK59" s="180">
        <f t="shared" ref="BK59" si="498">BK56-BK57-BK58</f>
        <v>64.563458575611293</v>
      </c>
      <c r="BL59" s="180">
        <f t="shared" ref="BL59" si="499">BL56-BL57-BL58</f>
        <v>64.138756843576061</v>
      </c>
      <c r="BM59" s="180">
        <f t="shared" ref="BM59" si="500">BM56-BM57-BM58</f>
        <v>63.680483204298511</v>
      </c>
      <c r="BN59" s="180">
        <f t="shared" ref="BN59" si="501">BN56-BN57-BN58</f>
        <v>63.187906055377496</v>
      </c>
    </row>
    <row r="60" spans="1:66" s="67" customFormat="1">
      <c r="A60" s="752"/>
      <c r="B60" s="58" t="s">
        <v>246</v>
      </c>
      <c r="C60" s="59" t="s">
        <v>153</v>
      </c>
      <c r="D60" s="60">
        <f>D$7/(D$7+D$9)*D59</f>
        <v>4.6594362231517366</v>
      </c>
      <c r="E60" s="60">
        <f t="shared" ref="E60:AH60" si="502">E$7/(E$7+E$9)*E59</f>
        <v>5.1284625400932145</v>
      </c>
      <c r="F60" s="60">
        <f t="shared" si="502"/>
        <v>5.5887637349849548</v>
      </c>
      <c r="G60" s="60">
        <f t="shared" si="502"/>
        <v>6.0420446923368356</v>
      </c>
      <c r="H60" s="60">
        <f t="shared" si="502"/>
        <v>6.4895542982183567</v>
      </c>
      <c r="I60" s="60">
        <f t="shared" si="502"/>
        <v>6.9322269107525658</v>
      </c>
      <c r="J60" s="60">
        <f t="shared" si="502"/>
        <v>7.3707741845043371</v>
      </c>
      <c r="K60" s="60">
        <f t="shared" si="502"/>
        <v>7.8057464490758317</v>
      </c>
      <c r="L60" s="60">
        <f t="shared" si="502"/>
        <v>8.2375748000065787</v>
      </c>
      <c r="M60" s="60">
        <f t="shared" si="502"/>
        <v>8.6666006189288503</v>
      </c>
      <c r="N60" s="60">
        <f t="shared" si="502"/>
        <v>9.0930966931478512</v>
      </c>
      <c r="O60" s="60">
        <f t="shared" si="502"/>
        <v>9.2191528693699887</v>
      </c>
      <c r="P60" s="60">
        <f t="shared" si="502"/>
        <v>9.3438344548003212</v>
      </c>
      <c r="Q60" s="60">
        <f t="shared" si="502"/>
        <v>9.4670965050591107</v>
      </c>
      <c r="R60" s="60">
        <f t="shared" si="502"/>
        <v>9.5888918367915714</v>
      </c>
      <c r="S60" s="60">
        <f t="shared" si="502"/>
        <v>9.7091709086571356</v>
      </c>
      <c r="T60" s="60">
        <f t="shared" si="502"/>
        <v>9.8054093407209013</v>
      </c>
      <c r="U60" s="60">
        <f t="shared" si="502"/>
        <v>9.8999267789135192</v>
      </c>
      <c r="V60" s="60">
        <f t="shared" si="502"/>
        <v>9.9926581270580623</v>
      </c>
      <c r="W60" s="60">
        <f t="shared" si="502"/>
        <v>10.083534878331168</v>
      </c>
      <c r="X60" s="60">
        <f t="shared" si="502"/>
        <v>10.172484894402617</v>
      </c>
      <c r="Y60" s="60">
        <f t="shared" si="502"/>
        <v>10.21385334315573</v>
      </c>
      <c r="Z60" s="60">
        <f t="shared" si="502"/>
        <v>10.252812836402272</v>
      </c>
      <c r="AA60" s="60">
        <f t="shared" si="502"/>
        <v>10.289253693403785</v>
      </c>
      <c r="AB60" s="60">
        <f t="shared" si="502"/>
        <v>10.323059456697344</v>
      </c>
      <c r="AC60" s="60">
        <f t="shared" si="502"/>
        <v>10.354106359177099</v>
      </c>
      <c r="AD60" s="60">
        <f t="shared" si="502"/>
        <v>10.382262740034038</v>
      </c>
      <c r="AE60" s="60">
        <f t="shared" si="502"/>
        <v>10.407388403736965</v>
      </c>
      <c r="AF60" s="60">
        <f t="shared" si="502"/>
        <v>10.429333915469316</v>
      </c>
      <c r="AG60" s="60">
        <f t="shared" si="502"/>
        <v>10.447939825551185</v>
      </c>
      <c r="AH60" s="60">
        <f t="shared" si="502"/>
        <v>10.463035814355324</v>
      </c>
      <c r="AJ60" s="60">
        <f>AJ$7/(AJ$7+AJ$9)*AJ59</f>
        <v>4.6594362231517366</v>
      </c>
      <c r="AK60" s="60">
        <f t="shared" ref="AK60" si="503">AK$7/(AK$7+AK$9)*AK59</f>
        <v>5.1284625400932145</v>
      </c>
      <c r="AL60" s="60">
        <f t="shared" ref="AL60" si="504">AL$7/(AL$7+AL$9)*AL59</f>
        <v>5.5887637349849548</v>
      </c>
      <c r="AM60" s="60">
        <f t="shared" ref="AM60" si="505">AM$7/(AM$7+AM$9)*AM59</f>
        <v>6.0420446923368356</v>
      </c>
      <c r="AN60" s="60">
        <f t="shared" ref="AN60" si="506">AN$7/(AN$7+AN$9)*AN59</f>
        <v>6.4895542982183567</v>
      </c>
      <c r="AO60" s="60">
        <f t="shared" ref="AO60" si="507">AO$7/(AO$7+AO$9)*AO59</f>
        <v>6.9322269107525658</v>
      </c>
      <c r="AP60" s="60">
        <f t="shared" ref="AP60" si="508">AP$7/(AP$7+AP$9)*AP59</f>
        <v>7.3707741845043371</v>
      </c>
      <c r="AQ60" s="60">
        <f t="shared" ref="AQ60" si="509">AQ$7/(AQ$7+AQ$9)*AQ59</f>
        <v>7.8057464490758317</v>
      </c>
      <c r="AR60" s="60">
        <f t="shared" ref="AR60" si="510">AR$7/(AR$7+AR$9)*AR59</f>
        <v>8.2375748000065787</v>
      </c>
      <c r="AS60" s="60">
        <f t="shared" ref="AS60" si="511">AS$7/(AS$7+AS$9)*AS59</f>
        <v>8.6666006189288503</v>
      </c>
      <c r="AT60" s="60">
        <f t="shared" ref="AT60" si="512">AT$7/(AT$7+AT$9)*AT59</f>
        <v>9.0930966931478512</v>
      </c>
      <c r="AU60" s="60">
        <f t="shared" ref="AU60" si="513">AU$7/(AU$7+AU$9)*AU59</f>
        <v>9.2191528693699887</v>
      </c>
      <c r="AV60" s="60">
        <f t="shared" ref="AV60" si="514">AV$7/(AV$7+AV$9)*AV59</f>
        <v>9.3438344548003212</v>
      </c>
      <c r="AW60" s="60">
        <f t="shared" ref="AW60" si="515">AW$7/(AW$7+AW$9)*AW59</f>
        <v>9.4670965050591107</v>
      </c>
      <c r="AX60" s="60">
        <f t="shared" ref="AX60" si="516">AX$7/(AX$7+AX$9)*AX59</f>
        <v>9.5888918367915714</v>
      </c>
      <c r="AY60" s="60">
        <f t="shared" ref="AY60" si="517">AY$7/(AY$7+AY$9)*AY59</f>
        <v>9.7091709086571356</v>
      </c>
      <c r="AZ60" s="60">
        <f t="shared" ref="AZ60" si="518">AZ$7/(AZ$7+AZ$9)*AZ59</f>
        <v>9.8054093407209013</v>
      </c>
      <c r="BA60" s="60">
        <f t="shared" ref="BA60" si="519">BA$7/(BA$7+BA$9)*BA59</f>
        <v>9.8999267789135192</v>
      </c>
      <c r="BB60" s="60">
        <f t="shared" ref="BB60" si="520">BB$7/(BB$7+BB$9)*BB59</f>
        <v>9.9926581270580623</v>
      </c>
      <c r="BC60" s="60">
        <f t="shared" ref="BC60" si="521">BC$7/(BC$7+BC$9)*BC59</f>
        <v>10.083534878331168</v>
      </c>
      <c r="BD60" s="60">
        <f t="shared" ref="BD60" si="522">BD$7/(BD$7+BD$9)*BD59</f>
        <v>10.172484894402617</v>
      </c>
      <c r="BE60" s="60">
        <f t="shared" ref="BE60" si="523">BE$7/(BE$7+BE$9)*BE59</f>
        <v>10.21385334315573</v>
      </c>
      <c r="BF60" s="60">
        <f t="shared" ref="BF60" si="524">BF$7/(BF$7+BF$9)*BF59</f>
        <v>10.252812836402272</v>
      </c>
      <c r="BG60" s="60">
        <f t="shared" ref="BG60" si="525">BG$7/(BG$7+BG$9)*BG59</f>
        <v>10.289253693403785</v>
      </c>
      <c r="BH60" s="60">
        <f t="shared" ref="BH60" si="526">BH$7/(BH$7+BH$9)*BH59</f>
        <v>10.323059456697344</v>
      </c>
      <c r="BI60" s="60">
        <f t="shared" ref="BI60" si="527">BI$7/(BI$7+BI$9)*BI59</f>
        <v>10.354106359177099</v>
      </c>
      <c r="BJ60" s="60">
        <f t="shared" ref="BJ60" si="528">BJ$7/(BJ$7+BJ$9)*BJ59</f>
        <v>10.382262740034038</v>
      </c>
      <c r="BK60" s="60">
        <f t="shared" ref="BK60" si="529">BK$7/(BK$7+BK$9)*BK59</f>
        <v>10.407388403736965</v>
      </c>
      <c r="BL60" s="60">
        <f t="shared" ref="BL60" si="530">BL$7/(BL$7+BL$9)*BL59</f>
        <v>10.429333915469316</v>
      </c>
      <c r="BM60" s="60">
        <f t="shared" ref="BM60" si="531">BM$7/(BM$7+BM$9)*BM59</f>
        <v>10.447939825551185</v>
      </c>
      <c r="BN60" s="60">
        <f t="shared" ref="BN60" si="532">BN$7/(BN$7+BN$9)*BN59</f>
        <v>10.463035814355324</v>
      </c>
    </row>
    <row r="61" spans="1:66">
      <c r="A61" s="753"/>
      <c r="B61" s="1" t="s">
        <v>247</v>
      </c>
      <c r="C61" s="54" t="s">
        <v>153</v>
      </c>
      <c r="D61" s="44">
        <v>0</v>
      </c>
      <c r="E61" s="44">
        <v>0</v>
      </c>
      <c r="F61" s="44">
        <v>0</v>
      </c>
      <c r="G61" s="44">
        <v>0</v>
      </c>
      <c r="H61" s="44">
        <v>0</v>
      </c>
      <c r="I61" s="44">
        <v>0</v>
      </c>
      <c r="J61" s="44">
        <v>0</v>
      </c>
      <c r="K61" s="44">
        <v>0</v>
      </c>
      <c r="L61" s="44">
        <v>0</v>
      </c>
      <c r="M61" s="44">
        <v>0</v>
      </c>
      <c r="N61" s="44">
        <v>0</v>
      </c>
      <c r="O61" s="44">
        <v>0</v>
      </c>
      <c r="P61" s="44">
        <v>0</v>
      </c>
      <c r="Q61" s="44">
        <v>0</v>
      </c>
      <c r="R61" s="44">
        <v>0</v>
      </c>
      <c r="S61" s="44">
        <v>0</v>
      </c>
      <c r="T61" s="44">
        <v>0</v>
      </c>
      <c r="U61" s="44">
        <v>0</v>
      </c>
      <c r="V61" s="44">
        <v>0</v>
      </c>
      <c r="W61" s="44">
        <v>0</v>
      </c>
      <c r="X61" s="44">
        <v>0</v>
      </c>
      <c r="Y61" s="44">
        <v>0</v>
      </c>
      <c r="Z61" s="44">
        <v>0</v>
      </c>
      <c r="AA61" s="44">
        <v>0</v>
      </c>
      <c r="AB61" s="44">
        <v>0</v>
      </c>
      <c r="AC61" s="44">
        <v>0</v>
      </c>
      <c r="AD61" s="44">
        <v>0</v>
      </c>
      <c r="AE61" s="44">
        <v>0</v>
      </c>
      <c r="AF61" s="44">
        <v>0</v>
      </c>
      <c r="AG61" s="44">
        <v>0</v>
      </c>
      <c r="AH61" s="44">
        <v>0</v>
      </c>
      <c r="AJ61" s="44">
        <v>0</v>
      </c>
      <c r="AK61" s="44">
        <v>0</v>
      </c>
      <c r="AL61" s="44">
        <v>0</v>
      </c>
      <c r="AM61" s="44">
        <v>0</v>
      </c>
      <c r="AN61" s="44">
        <v>0</v>
      </c>
      <c r="AO61" s="44">
        <v>0</v>
      </c>
      <c r="AP61" s="44">
        <v>0</v>
      </c>
      <c r="AQ61" s="44">
        <v>0</v>
      </c>
      <c r="AR61" s="44">
        <v>0</v>
      </c>
      <c r="AS61" s="44">
        <v>0</v>
      </c>
      <c r="AT61" s="44">
        <v>0</v>
      </c>
      <c r="AU61" s="44">
        <v>0</v>
      </c>
      <c r="AV61" s="44">
        <v>0</v>
      </c>
      <c r="AW61" s="44">
        <v>0</v>
      </c>
      <c r="AX61" s="44">
        <v>0</v>
      </c>
      <c r="AY61" s="44">
        <v>0</v>
      </c>
      <c r="AZ61" s="44">
        <v>0</v>
      </c>
      <c r="BA61" s="44">
        <v>0</v>
      </c>
      <c r="BB61" s="44">
        <v>0</v>
      </c>
      <c r="BC61" s="44">
        <v>0</v>
      </c>
      <c r="BD61" s="44">
        <v>0</v>
      </c>
      <c r="BE61" s="44">
        <v>0</v>
      </c>
      <c r="BF61" s="44">
        <v>0</v>
      </c>
      <c r="BG61" s="44">
        <v>0</v>
      </c>
      <c r="BH61" s="44">
        <v>0</v>
      </c>
      <c r="BI61" s="44">
        <v>0</v>
      </c>
      <c r="BJ61" s="44">
        <v>0</v>
      </c>
      <c r="BK61" s="44">
        <v>0</v>
      </c>
      <c r="BL61" s="44">
        <v>0</v>
      </c>
      <c r="BM61" s="44">
        <v>0</v>
      </c>
      <c r="BN61" s="44">
        <v>0</v>
      </c>
    </row>
    <row r="62" spans="1:66" s="68" customFormat="1">
      <c r="A62" s="754"/>
      <c r="B62" s="62" t="s">
        <v>248</v>
      </c>
      <c r="C62" s="283" t="s">
        <v>153</v>
      </c>
      <c r="D62" s="284">
        <f>D$9/(D$7+D$9)*D59</f>
        <v>23.127858696379935</v>
      </c>
      <c r="E62" s="284">
        <f t="shared" ref="E62:AH62" si="533">E$9/(E$7+E$9)*E59</f>
        <v>26.198223207504622</v>
      </c>
      <c r="F62" s="284">
        <f t="shared" si="533"/>
        <v>29.258506492253712</v>
      </c>
      <c r="G62" s="284">
        <f t="shared" si="533"/>
        <v>32.306597436755673</v>
      </c>
      <c r="H62" s="284">
        <f t="shared" si="533"/>
        <v>35.340832006496512</v>
      </c>
      <c r="I62" s="284">
        <f t="shared" si="533"/>
        <v>38.35985157757414</v>
      </c>
      <c r="J62" s="284">
        <f t="shared" si="533"/>
        <v>41.362510909610734</v>
      </c>
      <c r="K62" s="284">
        <f t="shared" si="533"/>
        <v>44.347816559910591</v>
      </c>
      <c r="L62" s="284">
        <f t="shared" si="533"/>
        <v>47.314884580662508</v>
      </c>
      <c r="M62" s="284">
        <f t="shared" si="533"/>
        <v>50.262910782131918</v>
      </c>
      <c r="N62" s="284">
        <f t="shared" si="533"/>
        <v>53.191149391564977</v>
      </c>
      <c r="O62" s="284">
        <f t="shared" si="533"/>
        <v>53.713251066766837</v>
      </c>
      <c r="P62" s="284">
        <f t="shared" si="533"/>
        <v>54.213432582046117</v>
      </c>
      <c r="Q62" s="284">
        <f t="shared" si="533"/>
        <v>54.691233984909367</v>
      </c>
      <c r="R62" s="284">
        <f t="shared" si="533"/>
        <v>55.146186447565512</v>
      </c>
      <c r="S62" s="284">
        <f t="shared" si="533"/>
        <v>55.577812138407744</v>
      </c>
      <c r="T62" s="284">
        <f t="shared" si="533"/>
        <v>55.808096449532393</v>
      </c>
      <c r="U62" s="284">
        <f t="shared" si="533"/>
        <v>56.014168873503337</v>
      </c>
      <c r="V62" s="284">
        <f t="shared" si="533"/>
        <v>56.195531506734248</v>
      </c>
      <c r="W62" s="284">
        <f t="shared" si="533"/>
        <v>56.351677447489884</v>
      </c>
      <c r="X62" s="284">
        <f t="shared" si="533"/>
        <v>56.482090740128697</v>
      </c>
      <c r="Y62" s="284">
        <f t="shared" si="533"/>
        <v>56.231825154545135</v>
      </c>
      <c r="Z62" s="284">
        <f t="shared" si="533"/>
        <v>55.955093759259356</v>
      </c>
      <c r="AA62" s="284">
        <f t="shared" si="533"/>
        <v>55.651378362196724</v>
      </c>
      <c r="AB62" s="284">
        <f t="shared" si="533"/>
        <v>55.320153692513244</v>
      </c>
      <c r="AC62" s="284">
        <f t="shared" si="533"/>
        <v>54.960887624364389</v>
      </c>
      <c r="AD62" s="284">
        <f t="shared" si="533"/>
        <v>54.573041444861403</v>
      </c>
      <c r="AE62" s="284">
        <f t="shared" si="533"/>
        <v>54.156070171874326</v>
      </c>
      <c r="AF62" s="284">
        <f t="shared" si="533"/>
        <v>53.709422928106747</v>
      </c>
      <c r="AG62" s="284">
        <f t="shared" si="533"/>
        <v>53.23254337874733</v>
      </c>
      <c r="AH62" s="284">
        <f t="shared" si="533"/>
        <v>52.724870241022174</v>
      </c>
      <c r="AJ62" s="284">
        <f>AJ$9/(AJ$7+AJ$9)*AJ59</f>
        <v>23.127858696379935</v>
      </c>
      <c r="AK62" s="284">
        <f t="shared" ref="AK62:BN62" si="534">AK$9/(AK$7+AK$9)*AK59</f>
        <v>26.198223207504622</v>
      </c>
      <c r="AL62" s="284">
        <f t="shared" si="534"/>
        <v>29.258506492253712</v>
      </c>
      <c r="AM62" s="284">
        <f t="shared" si="534"/>
        <v>32.306597436755673</v>
      </c>
      <c r="AN62" s="284">
        <f t="shared" si="534"/>
        <v>35.340832006496512</v>
      </c>
      <c r="AO62" s="284">
        <f t="shared" si="534"/>
        <v>38.35985157757414</v>
      </c>
      <c r="AP62" s="284">
        <f t="shared" si="534"/>
        <v>41.362510909610734</v>
      </c>
      <c r="AQ62" s="284">
        <f t="shared" si="534"/>
        <v>44.347816559910591</v>
      </c>
      <c r="AR62" s="284">
        <f t="shared" si="534"/>
        <v>47.314884580662508</v>
      </c>
      <c r="AS62" s="284">
        <f t="shared" si="534"/>
        <v>50.262910782131918</v>
      </c>
      <c r="AT62" s="284">
        <f t="shared" si="534"/>
        <v>53.191149391564977</v>
      </c>
      <c r="AU62" s="284">
        <f t="shared" si="534"/>
        <v>53.713251066766837</v>
      </c>
      <c r="AV62" s="284">
        <f t="shared" si="534"/>
        <v>54.213432582046117</v>
      </c>
      <c r="AW62" s="284">
        <f t="shared" si="534"/>
        <v>54.691233984909367</v>
      </c>
      <c r="AX62" s="284">
        <f t="shared" si="534"/>
        <v>55.146186447565512</v>
      </c>
      <c r="AY62" s="284">
        <f t="shared" si="534"/>
        <v>55.577812138407744</v>
      </c>
      <c r="AZ62" s="284">
        <f t="shared" si="534"/>
        <v>55.808096449532393</v>
      </c>
      <c r="BA62" s="284">
        <f t="shared" si="534"/>
        <v>56.014168873503337</v>
      </c>
      <c r="BB62" s="284">
        <f t="shared" si="534"/>
        <v>56.195531506734248</v>
      </c>
      <c r="BC62" s="284">
        <f t="shared" si="534"/>
        <v>56.351677447489884</v>
      </c>
      <c r="BD62" s="284">
        <f t="shared" si="534"/>
        <v>56.482090740128697</v>
      </c>
      <c r="BE62" s="284">
        <f t="shared" si="534"/>
        <v>56.231825154545135</v>
      </c>
      <c r="BF62" s="284">
        <f t="shared" si="534"/>
        <v>55.955093759259356</v>
      </c>
      <c r="BG62" s="284">
        <f t="shared" si="534"/>
        <v>55.651378362196724</v>
      </c>
      <c r="BH62" s="284">
        <f t="shared" si="534"/>
        <v>55.320153692513244</v>
      </c>
      <c r="BI62" s="284">
        <f t="shared" si="534"/>
        <v>54.960887624364389</v>
      </c>
      <c r="BJ62" s="284">
        <f t="shared" si="534"/>
        <v>54.573041444861403</v>
      </c>
      <c r="BK62" s="284">
        <f t="shared" si="534"/>
        <v>54.156070171874326</v>
      </c>
      <c r="BL62" s="284">
        <f t="shared" si="534"/>
        <v>53.709422928106747</v>
      </c>
      <c r="BM62" s="284">
        <f t="shared" si="534"/>
        <v>53.23254337874733</v>
      </c>
      <c r="BN62" s="284">
        <f t="shared" si="534"/>
        <v>52.724870241022174</v>
      </c>
    </row>
    <row r="63" spans="1:66" s="67" customFormat="1" outlineLevel="1">
      <c r="B63" s="58" t="s">
        <v>210</v>
      </c>
      <c r="C63" s="59" t="s">
        <v>153</v>
      </c>
      <c r="D63" s="60">
        <f>'Demand - Wind'!D38/1000000</f>
        <v>0</v>
      </c>
      <c r="E63" s="60">
        <f>'Demand - Wind'!E38/1000000</f>
        <v>6.129704891101373E-2</v>
      </c>
      <c r="F63" s="60">
        <f>'Demand - Wind'!F38/1000000</f>
        <v>6.7755254540806636E-2</v>
      </c>
      <c r="G63" s="60">
        <f>'Demand - Wind'!G38/1000000</f>
        <v>7.4893891295713597E-2</v>
      </c>
      <c r="H63" s="60">
        <f>'Demand - Wind'!H38/1000000</f>
        <v>8.2784648828025637E-2</v>
      </c>
      <c r="I63" s="60">
        <f>'Demand - Wind'!I38/1000000</f>
        <v>9.1506769951633565E-2</v>
      </c>
      <c r="J63" s="60">
        <f>'Demand - Wind'!J38/1000000</f>
        <v>0.10114784643679577</v>
      </c>
      <c r="K63" s="60">
        <f>'Demand - Wind'!K38/1000000</f>
        <v>0.11180469864917326</v>
      </c>
      <c r="L63" s="60">
        <f>'Demand - Wind'!L38/1000000</f>
        <v>0.1235843478668969</v>
      </c>
      <c r="M63" s="60">
        <f>'Demand - Wind'!M38/1000000</f>
        <v>0.13660509104014423</v>
      </c>
      <c r="N63" s="60">
        <f>'Demand - Wind'!N38/1000000</f>
        <v>0.15099768878648243</v>
      </c>
      <c r="O63" s="60">
        <f>'Demand - Wind'!O38/1000000</f>
        <v>0.16690667855240518</v>
      </c>
      <c r="P63" s="60">
        <f>'Demand - Wind'!P38/1000000</f>
        <v>0.18449182612846571</v>
      </c>
      <c r="Q63" s="60">
        <f>'Demand - Wind'!Q38/1000000</f>
        <v>0.20392973009482734</v>
      </c>
      <c r="R63" s="60">
        <f>'Demand - Wind'!R38/1000000</f>
        <v>0.22541559530984792</v>
      </c>
      <c r="S63" s="60">
        <f>'Demand - Wind'!S38/1000000</f>
        <v>0.24916519325193778</v>
      </c>
      <c r="T63" s="60">
        <f>'Demand - Wind'!T38/1000000</f>
        <v>0.27541702890138564</v>
      </c>
      <c r="U63" s="60">
        <f>'Demand - Wind'!U38/1000000</f>
        <v>0.30443473592303938</v>
      </c>
      <c r="V63" s="60">
        <f>'Demand - Wind'!V38/1000000</f>
        <v>0.33650972420342046</v>
      </c>
      <c r="W63" s="60">
        <f>'Demand - Wind'!W38/1000000</f>
        <v>0.37196410633012905</v>
      </c>
      <c r="X63" s="60">
        <f>'Demand - Wind'!X38/1000000</f>
        <v>0.41115393240266129</v>
      </c>
      <c r="Y63" s="60">
        <f>'Demand - Wind'!Y38/1000000</f>
        <v>0.45447276566018346</v>
      </c>
      <c r="Z63" s="60">
        <f>'Demand - Wind'!Z38/1000000</f>
        <v>0.5023556348344409</v>
      </c>
      <c r="AA63" s="60">
        <f>'Demand - Wind'!AA38/1000000</f>
        <v>0.55528340291926137</v>
      </c>
      <c r="AB63" s="60">
        <f>'Demand - Wind'!AB38/1000000</f>
        <v>0.61378759622993462</v>
      </c>
      <c r="AC63" s="60">
        <f>'Demand - Wind'!AC38/1000000</f>
        <v>0.67845574224825034</v>
      </c>
      <c r="AD63" s="60">
        <f>'Demand - Wind'!AD38/1000000</f>
        <v>0.74993726985839415</v>
      </c>
      <c r="AE63" s="60">
        <f>'Demand - Wind'!AE38/1000000</f>
        <v>0.82895003122676159</v>
      </c>
      <c r="AF63" s="60">
        <f>'Demand - Wind'!AF38/1000000</f>
        <v>0.91628751082153881</v>
      </c>
      <c r="AG63" s="60">
        <f>'Demand - Wind'!AG38/1000000</f>
        <v>1.0128267939685505</v>
      </c>
      <c r="AH63" s="60">
        <f>'Demand - Wind'!AH38/1000000</f>
        <v>1.1195373749674611</v>
      </c>
      <c r="AJ63" s="60">
        <f>D63</f>
        <v>0</v>
      </c>
      <c r="AK63" s="60">
        <f t="shared" ref="AK63:BN64" si="535">E63</f>
        <v>6.129704891101373E-2</v>
      </c>
      <c r="AL63" s="60">
        <f t="shared" si="535"/>
        <v>6.7755254540806636E-2</v>
      </c>
      <c r="AM63" s="60">
        <f t="shared" si="535"/>
        <v>7.4893891295713597E-2</v>
      </c>
      <c r="AN63" s="60">
        <f t="shared" si="535"/>
        <v>8.2784648828025637E-2</v>
      </c>
      <c r="AO63" s="60">
        <f t="shared" si="535"/>
        <v>9.1506769951633565E-2</v>
      </c>
      <c r="AP63" s="60">
        <f t="shared" si="535"/>
        <v>0.10114784643679577</v>
      </c>
      <c r="AQ63" s="60">
        <f t="shared" si="535"/>
        <v>0.11180469864917326</v>
      </c>
      <c r="AR63" s="60">
        <f t="shared" si="535"/>
        <v>0.1235843478668969</v>
      </c>
      <c r="AS63" s="60">
        <f t="shared" si="535"/>
        <v>0.13660509104014423</v>
      </c>
      <c r="AT63" s="60">
        <f t="shared" si="535"/>
        <v>0.15099768878648243</v>
      </c>
      <c r="AU63" s="60">
        <f t="shared" si="535"/>
        <v>0.16690667855240518</v>
      </c>
      <c r="AV63" s="60">
        <f t="shared" si="535"/>
        <v>0.18449182612846571</v>
      </c>
      <c r="AW63" s="60">
        <f t="shared" si="535"/>
        <v>0.20392973009482734</v>
      </c>
      <c r="AX63" s="60">
        <f t="shared" si="535"/>
        <v>0.22541559530984792</v>
      </c>
      <c r="AY63" s="60">
        <f t="shared" si="535"/>
        <v>0.24916519325193778</v>
      </c>
      <c r="AZ63" s="60">
        <f t="shared" si="535"/>
        <v>0.27541702890138564</v>
      </c>
      <c r="BA63" s="60">
        <f t="shared" si="535"/>
        <v>0.30443473592303938</v>
      </c>
      <c r="BB63" s="60">
        <f t="shared" si="535"/>
        <v>0.33650972420342046</v>
      </c>
      <c r="BC63" s="60">
        <f t="shared" si="535"/>
        <v>0.37196410633012905</v>
      </c>
      <c r="BD63" s="60">
        <f t="shared" si="535"/>
        <v>0.41115393240266129</v>
      </c>
      <c r="BE63" s="60">
        <f t="shared" si="535"/>
        <v>0.45447276566018346</v>
      </c>
      <c r="BF63" s="60">
        <f t="shared" si="535"/>
        <v>0.5023556348344409</v>
      </c>
      <c r="BG63" s="60">
        <f t="shared" si="535"/>
        <v>0.55528340291926137</v>
      </c>
      <c r="BH63" s="60">
        <f t="shared" si="535"/>
        <v>0.61378759622993462</v>
      </c>
      <c r="BI63" s="60">
        <f t="shared" si="535"/>
        <v>0.67845574224825034</v>
      </c>
      <c r="BJ63" s="60">
        <f t="shared" si="535"/>
        <v>0.74993726985839415</v>
      </c>
      <c r="BK63" s="60">
        <f t="shared" si="535"/>
        <v>0.82895003122676159</v>
      </c>
      <c r="BL63" s="60">
        <f t="shared" si="535"/>
        <v>0.91628751082153881</v>
      </c>
      <c r="BM63" s="60">
        <f t="shared" si="535"/>
        <v>1.0128267939685505</v>
      </c>
      <c r="BN63" s="60">
        <f t="shared" si="535"/>
        <v>1.1195373749674611</v>
      </c>
    </row>
    <row r="64" spans="1:66" outlineLevel="1">
      <c r="B64" s="1" t="s">
        <v>211</v>
      </c>
      <c r="C64" s="54" t="s">
        <v>153</v>
      </c>
      <c r="D64" s="44">
        <f>'Demand - Solar'!D33/1000000</f>
        <v>0</v>
      </c>
      <c r="E64" s="44">
        <f>'Demand - Solar'!E33/1000000</f>
        <v>2.4710292294198855E-3</v>
      </c>
      <c r="F64" s="44">
        <f>'Demand - Solar'!F33/1000000</f>
        <v>2.8038407140394492E-3</v>
      </c>
      <c r="G64" s="44">
        <f>'Demand - Solar'!G33/1000000</f>
        <v>3.1814770364132329E-3</v>
      </c>
      <c r="H64" s="44">
        <f>'Demand - Solar'!H33/1000000</f>
        <v>3.6099754463734899E-3</v>
      </c>
      <c r="I64" s="44">
        <f>'Demand - Solar'!I33/1000000</f>
        <v>4.0961863229764337E-3</v>
      </c>
      <c r="J64" s="44">
        <f>'Demand - Solar'!J33/1000000</f>
        <v>4.6478826911121518E-3</v>
      </c>
      <c r="K64" s="44">
        <f>'Demand - Solar'!K33/1000000</f>
        <v>5.2738844883995755E-3</v>
      </c>
      <c r="L64" s="44">
        <f>'Demand - Solar'!L33/1000000</f>
        <v>5.9841995690141465E-3</v>
      </c>
      <c r="M64" s="44">
        <f>'Demand - Solar'!M33/1000000</f>
        <v>6.7901836986680618E-3</v>
      </c>
      <c r="N64" s="44">
        <f>'Demand - Solar'!N33/1000000</f>
        <v>7.7047220985735163E-3</v>
      </c>
      <c r="O64" s="44">
        <f>'Demand - Solar'!O33/1000000</f>
        <v>8.7424354407218147E-3</v>
      </c>
      <c r="P64" s="44">
        <f>'Demand - Solar'!P33/1000000</f>
        <v>9.9199135877125633E-3</v>
      </c>
      <c r="Q64" s="44">
        <f>'Demand - Solar'!Q33/1000000</f>
        <v>1.1255980813918345E-2</v>
      </c>
      <c r="R64" s="44">
        <f>'Demand - Solar'!R33/1000000</f>
        <v>1.2771996748059667E-2</v>
      </c>
      <c r="S64" s="44">
        <f>'Demand - Solar'!S33/1000000</f>
        <v>1.4492197848342041E-2</v>
      </c>
      <c r="T64" s="44">
        <f>'Demand - Solar'!T33/1000000</f>
        <v>1.6444084869297892E-2</v>
      </c>
      <c r="U64" s="44">
        <f>'Demand - Solar'!U33/1000000</f>
        <v>1.8658862514743208E-2</v>
      </c>
      <c r="V64" s="44">
        <f>'Demand - Solar'!V33/1000000</f>
        <v>2.1171938305555239E-2</v>
      </c>
      <c r="W64" s="44">
        <f>'Demand - Solar'!W33/1000000</f>
        <v>2.4023488637640918E-2</v>
      </c>
      <c r="X64" s="44">
        <f>'Demand - Solar'!X33/1000000</f>
        <v>2.7259101079631962E-2</v>
      </c>
      <c r="Y64" s="44">
        <f>'Demand - Solar'!Y33/1000000</f>
        <v>3.0930503178682379E-2</v>
      </c>
      <c r="Z64" s="44">
        <f>'Demand - Solar'!Z33/1000000</f>
        <v>3.5096389425743953E-2</v>
      </c>
      <c r="AA64" s="44">
        <f>'Demand - Solar'!AA33/1000000</f>
        <v>3.9823359600965405E-2</v>
      </c>
      <c r="AB64" s="44">
        <f>'Demand - Solar'!AB33/1000000</f>
        <v>4.5186983500488283E-2</v>
      </c>
      <c r="AC64" s="44">
        <f>'Demand - Solar'!AC33/1000000</f>
        <v>5.1273009066364686E-2</v>
      </c>
      <c r="AD64" s="44">
        <f>'Demand - Solar'!AD33/1000000</f>
        <v>5.8178733233899237E-2</v>
      </c>
      <c r="AE64" s="44">
        <f>'Demand - Solar'!AE33/1000000</f>
        <v>6.6014557412071864E-2</v>
      </c>
      <c r="AF64" s="44">
        <f>'Demand - Solar'!AF33/1000000</f>
        <v>7.490575246441572E-2</v>
      </c>
      <c r="AG64" s="44">
        <f>'Demand - Solar'!AG33/1000000</f>
        <v>8.4994461406996888E-2</v>
      </c>
      <c r="AH64" s="44">
        <f>'Demand - Solar'!AH33/1000000</f>
        <v>9.6441971840511176E-2</v>
      </c>
      <c r="AJ64" s="44">
        <f>D64</f>
        <v>0</v>
      </c>
      <c r="AK64" s="44">
        <f t="shared" si="535"/>
        <v>2.4710292294198855E-3</v>
      </c>
      <c r="AL64" s="44">
        <f t="shared" si="535"/>
        <v>2.8038407140394492E-3</v>
      </c>
      <c r="AM64" s="44">
        <f t="shared" si="535"/>
        <v>3.1814770364132329E-3</v>
      </c>
      <c r="AN64" s="44">
        <f t="shared" si="535"/>
        <v>3.6099754463734899E-3</v>
      </c>
      <c r="AO64" s="44">
        <f t="shared" si="535"/>
        <v>4.0961863229764337E-3</v>
      </c>
      <c r="AP64" s="44">
        <f t="shared" si="535"/>
        <v>4.6478826911121518E-3</v>
      </c>
      <c r="AQ64" s="44">
        <f t="shared" si="535"/>
        <v>5.2738844883995755E-3</v>
      </c>
      <c r="AR64" s="44">
        <f t="shared" si="535"/>
        <v>5.9841995690141465E-3</v>
      </c>
      <c r="AS64" s="44">
        <f t="shared" si="535"/>
        <v>6.7901836986680618E-3</v>
      </c>
      <c r="AT64" s="44">
        <f t="shared" si="535"/>
        <v>7.7047220985735163E-3</v>
      </c>
      <c r="AU64" s="44">
        <f t="shared" si="535"/>
        <v>8.7424354407218147E-3</v>
      </c>
      <c r="AV64" s="44">
        <f t="shared" si="535"/>
        <v>9.9199135877125633E-3</v>
      </c>
      <c r="AW64" s="44">
        <f t="shared" si="535"/>
        <v>1.1255980813918345E-2</v>
      </c>
      <c r="AX64" s="44">
        <f t="shared" si="535"/>
        <v>1.2771996748059667E-2</v>
      </c>
      <c r="AY64" s="44">
        <f t="shared" si="535"/>
        <v>1.4492197848342041E-2</v>
      </c>
      <c r="AZ64" s="44">
        <f t="shared" si="535"/>
        <v>1.6444084869297892E-2</v>
      </c>
      <c r="BA64" s="44">
        <f t="shared" si="535"/>
        <v>1.8658862514743208E-2</v>
      </c>
      <c r="BB64" s="44">
        <f t="shared" si="535"/>
        <v>2.1171938305555239E-2</v>
      </c>
      <c r="BC64" s="44">
        <f t="shared" si="535"/>
        <v>2.4023488637640918E-2</v>
      </c>
      <c r="BD64" s="44">
        <f t="shared" si="535"/>
        <v>2.7259101079631962E-2</v>
      </c>
      <c r="BE64" s="44">
        <f t="shared" si="535"/>
        <v>3.0930503178682379E-2</v>
      </c>
      <c r="BF64" s="44">
        <f t="shared" si="535"/>
        <v>3.5096389425743953E-2</v>
      </c>
      <c r="BG64" s="44">
        <f t="shared" si="535"/>
        <v>3.9823359600965405E-2</v>
      </c>
      <c r="BH64" s="44">
        <f t="shared" si="535"/>
        <v>4.5186983500488283E-2</v>
      </c>
      <c r="BI64" s="44">
        <f t="shared" si="535"/>
        <v>5.1273009066364686E-2</v>
      </c>
      <c r="BJ64" s="44">
        <f t="shared" si="535"/>
        <v>5.8178733233899237E-2</v>
      </c>
      <c r="BK64" s="44">
        <f t="shared" si="535"/>
        <v>6.6014557412071864E-2</v>
      </c>
      <c r="BL64" s="44">
        <f t="shared" si="535"/>
        <v>7.490575246441572E-2</v>
      </c>
      <c r="BM64" s="44">
        <f t="shared" si="535"/>
        <v>8.4994461406996888E-2</v>
      </c>
      <c r="BN64" s="44">
        <f t="shared" si="535"/>
        <v>9.6441971840511176E-2</v>
      </c>
    </row>
    <row r="65" spans="1:66" s="193" customFormat="1" ht="15.5" customHeight="1">
      <c r="A65" s="189" t="s">
        <v>212</v>
      </c>
      <c r="B65" s="190" t="s">
        <v>213</v>
      </c>
      <c r="C65" s="191" t="s">
        <v>153</v>
      </c>
      <c r="D65" s="192">
        <f>D63+D64</f>
        <v>0</v>
      </c>
      <c r="E65" s="192">
        <f t="shared" ref="E65:AH65" si="536">E63+E64</f>
        <v>6.3768078140433615E-2</v>
      </c>
      <c r="F65" s="192">
        <f t="shared" si="536"/>
        <v>7.0559095254846091E-2</v>
      </c>
      <c r="G65" s="192">
        <f t="shared" si="536"/>
        <v>7.8075368332126832E-2</v>
      </c>
      <c r="H65" s="192">
        <f t="shared" si="536"/>
        <v>8.6394624274399132E-2</v>
      </c>
      <c r="I65" s="192">
        <f t="shared" si="536"/>
        <v>9.5602956274610004E-2</v>
      </c>
      <c r="J65" s="192">
        <f t="shared" si="536"/>
        <v>0.10579572912790791</v>
      </c>
      <c r="K65" s="192">
        <f t="shared" si="536"/>
        <v>0.11707858313757284</v>
      </c>
      <c r="L65" s="192">
        <f t="shared" si="536"/>
        <v>0.12956854743591104</v>
      </c>
      <c r="M65" s="192">
        <f t="shared" si="536"/>
        <v>0.14339527473881231</v>
      </c>
      <c r="N65" s="192">
        <f t="shared" si="536"/>
        <v>0.15870241088505593</v>
      </c>
      <c r="O65" s="192">
        <f t="shared" si="536"/>
        <v>0.17564911399312699</v>
      </c>
      <c r="P65" s="192">
        <f t="shared" si="536"/>
        <v>0.19441173971617828</v>
      </c>
      <c r="Q65" s="192">
        <f t="shared" si="536"/>
        <v>0.21518571090874569</v>
      </c>
      <c r="R65" s="192">
        <f t="shared" si="536"/>
        <v>0.2381875920579076</v>
      </c>
      <c r="S65" s="192">
        <f t="shared" si="536"/>
        <v>0.2636573911002798</v>
      </c>
      <c r="T65" s="192">
        <f t="shared" si="536"/>
        <v>0.29186111377068352</v>
      </c>
      <c r="U65" s="192">
        <f t="shared" si="536"/>
        <v>0.32309359843778257</v>
      </c>
      <c r="V65" s="192">
        <f t="shared" si="536"/>
        <v>0.35768166250897571</v>
      </c>
      <c r="W65" s="192">
        <f t="shared" si="536"/>
        <v>0.39598759496776997</v>
      </c>
      <c r="X65" s="192">
        <f t="shared" si="536"/>
        <v>0.43841303348229327</v>
      </c>
      <c r="Y65" s="192">
        <f t="shared" si="536"/>
        <v>0.48540326883886586</v>
      </c>
      <c r="Z65" s="192">
        <f t="shared" si="536"/>
        <v>0.5374520242601849</v>
      </c>
      <c r="AA65" s="192">
        <f t="shared" si="536"/>
        <v>0.59510676252022676</v>
      </c>
      <c r="AB65" s="192">
        <f t="shared" si="536"/>
        <v>0.65897457973042295</v>
      </c>
      <c r="AC65" s="192">
        <f t="shared" si="536"/>
        <v>0.72972875131461501</v>
      </c>
      <c r="AD65" s="192">
        <f t="shared" si="536"/>
        <v>0.80811600309229337</v>
      </c>
      <c r="AE65" s="192">
        <f t="shared" si="536"/>
        <v>0.89496458863883344</v>
      </c>
      <c r="AF65" s="192">
        <f t="shared" si="536"/>
        <v>0.99119326328595458</v>
      </c>
      <c r="AG65" s="192">
        <f t="shared" si="536"/>
        <v>1.0978212553755473</v>
      </c>
      <c r="AH65" s="192">
        <f t="shared" si="536"/>
        <v>1.2159793468079723</v>
      </c>
      <c r="AJ65" s="192">
        <f>AJ63+AJ64</f>
        <v>0</v>
      </c>
      <c r="AK65" s="192">
        <f t="shared" ref="AK65:BN65" si="537">AK63+AK64</f>
        <v>6.3768078140433615E-2</v>
      </c>
      <c r="AL65" s="192">
        <f t="shared" si="537"/>
        <v>7.0559095254846091E-2</v>
      </c>
      <c r="AM65" s="192">
        <f t="shared" si="537"/>
        <v>7.8075368332126832E-2</v>
      </c>
      <c r="AN65" s="192">
        <f t="shared" si="537"/>
        <v>8.6394624274399132E-2</v>
      </c>
      <c r="AO65" s="192">
        <f t="shared" si="537"/>
        <v>9.5602956274610004E-2</v>
      </c>
      <c r="AP65" s="192">
        <f t="shared" si="537"/>
        <v>0.10579572912790791</v>
      </c>
      <c r="AQ65" s="192">
        <f t="shared" si="537"/>
        <v>0.11707858313757284</v>
      </c>
      <c r="AR65" s="192">
        <f t="shared" si="537"/>
        <v>0.12956854743591104</v>
      </c>
      <c r="AS65" s="192">
        <f t="shared" si="537"/>
        <v>0.14339527473881231</v>
      </c>
      <c r="AT65" s="192">
        <f t="shared" si="537"/>
        <v>0.15870241088505593</v>
      </c>
      <c r="AU65" s="192">
        <f t="shared" si="537"/>
        <v>0.17564911399312699</v>
      </c>
      <c r="AV65" s="192">
        <f t="shared" si="537"/>
        <v>0.19441173971617828</v>
      </c>
      <c r="AW65" s="192">
        <f t="shared" si="537"/>
        <v>0.21518571090874569</v>
      </c>
      <c r="AX65" s="192">
        <f t="shared" si="537"/>
        <v>0.2381875920579076</v>
      </c>
      <c r="AY65" s="192">
        <f t="shared" si="537"/>
        <v>0.2636573911002798</v>
      </c>
      <c r="AZ65" s="192">
        <f t="shared" si="537"/>
        <v>0.29186111377068352</v>
      </c>
      <c r="BA65" s="192">
        <f t="shared" si="537"/>
        <v>0.32309359843778257</v>
      </c>
      <c r="BB65" s="192">
        <f t="shared" si="537"/>
        <v>0.35768166250897571</v>
      </c>
      <c r="BC65" s="192">
        <f t="shared" si="537"/>
        <v>0.39598759496776997</v>
      </c>
      <c r="BD65" s="192">
        <f t="shared" si="537"/>
        <v>0.43841303348229327</v>
      </c>
      <c r="BE65" s="192">
        <f t="shared" si="537"/>
        <v>0.48540326883886586</v>
      </c>
      <c r="BF65" s="192">
        <f t="shared" si="537"/>
        <v>0.5374520242601849</v>
      </c>
      <c r="BG65" s="192">
        <f t="shared" si="537"/>
        <v>0.59510676252022676</v>
      </c>
      <c r="BH65" s="192">
        <f t="shared" si="537"/>
        <v>0.65897457973042295</v>
      </c>
      <c r="BI65" s="192">
        <f t="shared" si="537"/>
        <v>0.72972875131461501</v>
      </c>
      <c r="BJ65" s="192">
        <f t="shared" si="537"/>
        <v>0.80811600309229337</v>
      </c>
      <c r="BK65" s="192">
        <f t="shared" si="537"/>
        <v>0.89496458863883344</v>
      </c>
      <c r="BL65" s="192">
        <f t="shared" si="537"/>
        <v>0.99119326328595458</v>
      </c>
      <c r="BM65" s="192">
        <f t="shared" si="537"/>
        <v>1.0978212553755473</v>
      </c>
      <c r="BN65" s="192">
        <f t="shared" si="537"/>
        <v>1.2159793468079723</v>
      </c>
    </row>
    <row r="66" spans="1:66">
      <c r="A66" s="753"/>
      <c r="B66" s="1" t="s">
        <v>246</v>
      </c>
      <c r="C66" s="54" t="s">
        <v>153</v>
      </c>
      <c r="D66" s="44">
        <f>D64+0.5*D63</f>
        <v>0</v>
      </c>
      <c r="E66" s="44">
        <f t="shared" ref="E66:AH66" si="538">E64+0.5*E63</f>
        <v>3.311955368492675E-2</v>
      </c>
      <c r="F66" s="44">
        <f t="shared" si="538"/>
        <v>3.6681467984442766E-2</v>
      </c>
      <c r="G66" s="44">
        <f t="shared" si="538"/>
        <v>4.0628422684270034E-2</v>
      </c>
      <c r="H66" s="44">
        <f t="shared" si="538"/>
        <v>4.5002299860386306E-2</v>
      </c>
      <c r="I66" s="44">
        <f t="shared" si="538"/>
        <v>4.9849571298793215E-2</v>
      </c>
      <c r="J66" s="44">
        <f t="shared" si="538"/>
        <v>5.5221805909510036E-2</v>
      </c>
      <c r="K66" s="44">
        <f t="shared" si="538"/>
        <v>6.117623381298621E-2</v>
      </c>
      <c r="L66" s="44">
        <f t="shared" si="538"/>
        <v>6.77763735024626E-2</v>
      </c>
      <c r="M66" s="44">
        <f t="shared" si="538"/>
        <v>7.5092729218740176E-2</v>
      </c>
      <c r="N66" s="44">
        <f t="shared" si="538"/>
        <v>8.3203566491814734E-2</v>
      </c>
      <c r="O66" s="44">
        <f t="shared" si="538"/>
        <v>9.2195774716924403E-2</v>
      </c>
      <c r="P66" s="44">
        <f t="shared" si="538"/>
        <v>0.10216582665194542</v>
      </c>
      <c r="Q66" s="44">
        <f t="shared" si="538"/>
        <v>0.11322084586133202</v>
      </c>
      <c r="R66" s="44">
        <f t="shared" si="538"/>
        <v>0.12547979440298362</v>
      </c>
      <c r="S66" s="44">
        <f t="shared" si="538"/>
        <v>0.13907479447431093</v>
      </c>
      <c r="T66" s="44">
        <f t="shared" si="538"/>
        <v>0.1541525993199907</v>
      </c>
      <c r="U66" s="44">
        <f t="shared" si="538"/>
        <v>0.17087623047626291</v>
      </c>
      <c r="V66" s="44">
        <f t="shared" si="538"/>
        <v>0.18942680040726548</v>
      </c>
      <c r="W66" s="44">
        <f t="shared" si="538"/>
        <v>0.21000554180270545</v>
      </c>
      <c r="X66" s="44">
        <f t="shared" si="538"/>
        <v>0.23283606728096262</v>
      </c>
      <c r="Y66" s="44">
        <f t="shared" si="538"/>
        <v>0.25816688600877413</v>
      </c>
      <c r="Z66" s="44">
        <f t="shared" si="538"/>
        <v>0.2862742068429644</v>
      </c>
      <c r="AA66" s="44">
        <f t="shared" si="538"/>
        <v>0.31746506106059608</v>
      </c>
      <c r="AB66" s="44">
        <f t="shared" si="538"/>
        <v>0.35208078161545558</v>
      </c>
      <c r="AC66" s="44">
        <f t="shared" si="538"/>
        <v>0.39050088019048984</v>
      </c>
      <c r="AD66" s="44">
        <f t="shared" si="538"/>
        <v>0.43314736816309629</v>
      </c>
      <c r="AE66" s="44">
        <f t="shared" si="538"/>
        <v>0.48048957302545264</v>
      </c>
      <c r="AF66" s="44">
        <f t="shared" si="538"/>
        <v>0.53304950787518512</v>
      </c>
      <c r="AG66" s="44">
        <f t="shared" si="538"/>
        <v>0.59140785839127208</v>
      </c>
      <c r="AH66" s="44">
        <f t="shared" si="538"/>
        <v>0.65621065932424172</v>
      </c>
      <c r="AJ66" s="44">
        <f>AJ64+0.5*AJ63</f>
        <v>0</v>
      </c>
      <c r="AK66" s="44">
        <f t="shared" ref="AK66:BN66" si="539">AK64+0.5*AK63</f>
        <v>3.311955368492675E-2</v>
      </c>
      <c r="AL66" s="44">
        <f t="shared" si="539"/>
        <v>3.6681467984442766E-2</v>
      </c>
      <c r="AM66" s="44">
        <f t="shared" si="539"/>
        <v>4.0628422684270034E-2</v>
      </c>
      <c r="AN66" s="44">
        <f t="shared" si="539"/>
        <v>4.5002299860386306E-2</v>
      </c>
      <c r="AO66" s="44">
        <f t="shared" si="539"/>
        <v>4.9849571298793215E-2</v>
      </c>
      <c r="AP66" s="44">
        <f t="shared" si="539"/>
        <v>5.5221805909510036E-2</v>
      </c>
      <c r="AQ66" s="44">
        <f t="shared" si="539"/>
        <v>6.117623381298621E-2</v>
      </c>
      <c r="AR66" s="44">
        <f t="shared" si="539"/>
        <v>6.77763735024626E-2</v>
      </c>
      <c r="AS66" s="44">
        <f t="shared" si="539"/>
        <v>7.5092729218740176E-2</v>
      </c>
      <c r="AT66" s="44">
        <f t="shared" si="539"/>
        <v>8.3203566491814734E-2</v>
      </c>
      <c r="AU66" s="44">
        <f t="shared" si="539"/>
        <v>9.2195774716924403E-2</v>
      </c>
      <c r="AV66" s="44">
        <f t="shared" si="539"/>
        <v>0.10216582665194542</v>
      </c>
      <c r="AW66" s="44">
        <f t="shared" si="539"/>
        <v>0.11322084586133202</v>
      </c>
      <c r="AX66" s="44">
        <f t="shared" si="539"/>
        <v>0.12547979440298362</v>
      </c>
      <c r="AY66" s="44">
        <f t="shared" si="539"/>
        <v>0.13907479447431093</v>
      </c>
      <c r="AZ66" s="44">
        <f t="shared" si="539"/>
        <v>0.1541525993199907</v>
      </c>
      <c r="BA66" s="44">
        <f t="shared" si="539"/>
        <v>0.17087623047626291</v>
      </c>
      <c r="BB66" s="44">
        <f t="shared" si="539"/>
        <v>0.18942680040726548</v>
      </c>
      <c r="BC66" s="44">
        <f t="shared" si="539"/>
        <v>0.21000554180270545</v>
      </c>
      <c r="BD66" s="44">
        <f t="shared" si="539"/>
        <v>0.23283606728096262</v>
      </c>
      <c r="BE66" s="44">
        <f t="shared" si="539"/>
        <v>0.25816688600877413</v>
      </c>
      <c r="BF66" s="44">
        <f t="shared" si="539"/>
        <v>0.2862742068429644</v>
      </c>
      <c r="BG66" s="44">
        <f t="shared" si="539"/>
        <v>0.31746506106059608</v>
      </c>
      <c r="BH66" s="44">
        <f t="shared" si="539"/>
        <v>0.35208078161545558</v>
      </c>
      <c r="BI66" s="44">
        <f t="shared" si="539"/>
        <v>0.39050088019048984</v>
      </c>
      <c r="BJ66" s="44">
        <f t="shared" si="539"/>
        <v>0.43314736816309629</v>
      </c>
      <c r="BK66" s="44">
        <f t="shared" si="539"/>
        <v>0.48048957302545264</v>
      </c>
      <c r="BL66" s="44">
        <f t="shared" si="539"/>
        <v>0.53304950787518512</v>
      </c>
      <c r="BM66" s="44">
        <f t="shared" si="539"/>
        <v>0.59140785839127208</v>
      </c>
      <c r="BN66" s="44">
        <f t="shared" si="539"/>
        <v>0.65621065932424172</v>
      </c>
    </row>
    <row r="67" spans="1:66">
      <c r="A67" s="753"/>
      <c r="B67" s="1" t="s">
        <v>247</v>
      </c>
      <c r="C67" s="54" t="s">
        <v>153</v>
      </c>
      <c r="D67" s="44">
        <v>0</v>
      </c>
      <c r="E67" s="44">
        <v>0</v>
      </c>
      <c r="F67" s="44">
        <v>0</v>
      </c>
      <c r="G67" s="44">
        <v>0</v>
      </c>
      <c r="H67" s="44">
        <v>0</v>
      </c>
      <c r="I67" s="44">
        <v>0</v>
      </c>
      <c r="J67" s="44">
        <v>0</v>
      </c>
      <c r="K67" s="44">
        <v>0</v>
      </c>
      <c r="L67" s="44">
        <v>0</v>
      </c>
      <c r="M67" s="44">
        <v>0</v>
      </c>
      <c r="N67" s="44">
        <v>0</v>
      </c>
      <c r="O67" s="44">
        <v>0</v>
      </c>
      <c r="P67" s="44">
        <v>0</v>
      </c>
      <c r="Q67" s="44">
        <v>0</v>
      </c>
      <c r="R67" s="44">
        <v>0</v>
      </c>
      <c r="S67" s="44">
        <v>0</v>
      </c>
      <c r="T67" s="44">
        <v>0</v>
      </c>
      <c r="U67" s="44">
        <v>0</v>
      </c>
      <c r="V67" s="44">
        <v>0</v>
      </c>
      <c r="W67" s="44">
        <v>0</v>
      </c>
      <c r="X67" s="44">
        <v>0</v>
      </c>
      <c r="Y67" s="44">
        <v>0</v>
      </c>
      <c r="Z67" s="44">
        <v>0</v>
      </c>
      <c r="AA67" s="44">
        <v>0</v>
      </c>
      <c r="AB67" s="44">
        <v>0</v>
      </c>
      <c r="AC67" s="44">
        <v>0</v>
      </c>
      <c r="AD67" s="44">
        <v>0</v>
      </c>
      <c r="AE67" s="44">
        <v>0</v>
      </c>
      <c r="AF67" s="44">
        <v>0</v>
      </c>
      <c r="AG67" s="44">
        <v>0</v>
      </c>
      <c r="AH67" s="44">
        <v>0</v>
      </c>
      <c r="AJ67" s="44">
        <v>0</v>
      </c>
      <c r="AK67" s="44">
        <v>0</v>
      </c>
      <c r="AL67" s="44">
        <v>0</v>
      </c>
      <c r="AM67" s="44">
        <v>0</v>
      </c>
      <c r="AN67" s="44">
        <v>0</v>
      </c>
      <c r="AO67" s="44">
        <v>0</v>
      </c>
      <c r="AP67" s="44">
        <v>0</v>
      </c>
      <c r="AQ67" s="44">
        <v>0</v>
      </c>
      <c r="AR67" s="44">
        <v>0</v>
      </c>
      <c r="AS67" s="44">
        <v>0</v>
      </c>
      <c r="AT67" s="44">
        <v>0</v>
      </c>
      <c r="AU67" s="44">
        <v>0</v>
      </c>
      <c r="AV67" s="44">
        <v>0</v>
      </c>
      <c r="AW67" s="44">
        <v>0</v>
      </c>
      <c r="AX67" s="44">
        <v>0</v>
      </c>
      <c r="AY67" s="44">
        <v>0</v>
      </c>
      <c r="AZ67" s="44">
        <v>0</v>
      </c>
      <c r="BA67" s="44">
        <v>0</v>
      </c>
      <c r="BB67" s="44">
        <v>0</v>
      </c>
      <c r="BC67" s="44">
        <v>0</v>
      </c>
      <c r="BD67" s="44">
        <v>0</v>
      </c>
      <c r="BE67" s="44">
        <v>0</v>
      </c>
      <c r="BF67" s="44">
        <v>0</v>
      </c>
      <c r="BG67" s="44">
        <v>0</v>
      </c>
      <c r="BH67" s="44">
        <v>0</v>
      </c>
      <c r="BI67" s="44">
        <v>0</v>
      </c>
      <c r="BJ67" s="44">
        <v>0</v>
      </c>
      <c r="BK67" s="44">
        <v>0</v>
      </c>
      <c r="BL67" s="44">
        <v>0</v>
      </c>
      <c r="BM67" s="44">
        <v>0</v>
      </c>
      <c r="BN67" s="44">
        <v>0</v>
      </c>
    </row>
    <row r="68" spans="1:66" s="68" customFormat="1">
      <c r="A68" s="754"/>
      <c r="B68" s="62" t="s">
        <v>248</v>
      </c>
      <c r="C68" s="283" t="s">
        <v>153</v>
      </c>
      <c r="D68" s="284">
        <f>0.5*D63</f>
        <v>0</v>
      </c>
      <c r="E68" s="284">
        <f t="shared" ref="E68:AH68" si="540">0.5*E63</f>
        <v>3.0648524455506865E-2</v>
      </c>
      <c r="F68" s="284">
        <f t="shared" si="540"/>
        <v>3.3877627270403318E-2</v>
      </c>
      <c r="G68" s="284">
        <f t="shared" si="540"/>
        <v>3.7446945647856798E-2</v>
      </c>
      <c r="H68" s="284">
        <f t="shared" si="540"/>
        <v>4.1392324414012818E-2</v>
      </c>
      <c r="I68" s="284">
        <f t="shared" si="540"/>
        <v>4.5753384975816783E-2</v>
      </c>
      <c r="J68" s="284">
        <f t="shared" si="540"/>
        <v>5.0573923218397883E-2</v>
      </c>
      <c r="K68" s="284">
        <f t="shared" si="540"/>
        <v>5.5902349324586632E-2</v>
      </c>
      <c r="L68" s="284">
        <f t="shared" si="540"/>
        <v>6.1792173933448449E-2</v>
      </c>
      <c r="M68" s="284">
        <f t="shared" si="540"/>
        <v>6.8302545520072117E-2</v>
      </c>
      <c r="N68" s="284">
        <f t="shared" si="540"/>
        <v>7.5498844393241213E-2</v>
      </c>
      <c r="O68" s="284">
        <f t="shared" si="540"/>
        <v>8.345333927620259E-2</v>
      </c>
      <c r="P68" s="284">
        <f t="shared" si="540"/>
        <v>9.2245913064232854E-2</v>
      </c>
      <c r="Q68" s="284">
        <f t="shared" si="540"/>
        <v>0.10196486504741367</v>
      </c>
      <c r="R68" s="284">
        <f t="shared" si="540"/>
        <v>0.11270779765492396</v>
      </c>
      <c r="S68" s="284">
        <f t="shared" si="540"/>
        <v>0.12458259662596889</v>
      </c>
      <c r="T68" s="284">
        <f t="shared" si="540"/>
        <v>0.13770851445069282</v>
      </c>
      <c r="U68" s="284">
        <f t="shared" si="540"/>
        <v>0.15221736796151969</v>
      </c>
      <c r="V68" s="284">
        <f t="shared" si="540"/>
        <v>0.16825486210171023</v>
      </c>
      <c r="W68" s="284">
        <f t="shared" si="540"/>
        <v>0.18598205316506453</v>
      </c>
      <c r="X68" s="284">
        <f t="shared" si="540"/>
        <v>0.20557696620133065</v>
      </c>
      <c r="Y68" s="284">
        <f t="shared" si="540"/>
        <v>0.22723638283009173</v>
      </c>
      <c r="Z68" s="284">
        <f t="shared" si="540"/>
        <v>0.25117781741722045</v>
      </c>
      <c r="AA68" s="284">
        <f t="shared" si="540"/>
        <v>0.27764170145963069</v>
      </c>
      <c r="AB68" s="284">
        <f t="shared" si="540"/>
        <v>0.30689379811496731</v>
      </c>
      <c r="AC68" s="284">
        <f t="shared" si="540"/>
        <v>0.33922787112412517</v>
      </c>
      <c r="AD68" s="284">
        <f t="shared" si="540"/>
        <v>0.37496863492919708</v>
      </c>
      <c r="AE68" s="284">
        <f t="shared" si="540"/>
        <v>0.41447501561338079</v>
      </c>
      <c r="AF68" s="284">
        <f t="shared" si="540"/>
        <v>0.4581437554107694</v>
      </c>
      <c r="AG68" s="284">
        <f t="shared" si="540"/>
        <v>0.50641339698427523</v>
      </c>
      <c r="AH68" s="284">
        <f t="shared" si="540"/>
        <v>0.55976868748373054</v>
      </c>
      <c r="AJ68" s="284">
        <f>0.5*AJ63</f>
        <v>0</v>
      </c>
      <c r="AK68" s="284">
        <f t="shared" ref="AK68:BN68" si="541">0.5*AK63</f>
        <v>3.0648524455506865E-2</v>
      </c>
      <c r="AL68" s="284">
        <f t="shared" si="541"/>
        <v>3.3877627270403318E-2</v>
      </c>
      <c r="AM68" s="284">
        <f t="shared" si="541"/>
        <v>3.7446945647856798E-2</v>
      </c>
      <c r="AN68" s="284">
        <f t="shared" si="541"/>
        <v>4.1392324414012818E-2</v>
      </c>
      <c r="AO68" s="284">
        <f t="shared" si="541"/>
        <v>4.5753384975816783E-2</v>
      </c>
      <c r="AP68" s="284">
        <f t="shared" si="541"/>
        <v>5.0573923218397883E-2</v>
      </c>
      <c r="AQ68" s="284">
        <f t="shared" si="541"/>
        <v>5.5902349324586632E-2</v>
      </c>
      <c r="AR68" s="284">
        <f t="shared" si="541"/>
        <v>6.1792173933448449E-2</v>
      </c>
      <c r="AS68" s="284">
        <f t="shared" si="541"/>
        <v>6.8302545520072117E-2</v>
      </c>
      <c r="AT68" s="284">
        <f t="shared" si="541"/>
        <v>7.5498844393241213E-2</v>
      </c>
      <c r="AU68" s="284">
        <f t="shared" si="541"/>
        <v>8.345333927620259E-2</v>
      </c>
      <c r="AV68" s="284">
        <f t="shared" si="541"/>
        <v>9.2245913064232854E-2</v>
      </c>
      <c r="AW68" s="284">
        <f t="shared" si="541"/>
        <v>0.10196486504741367</v>
      </c>
      <c r="AX68" s="284">
        <f t="shared" si="541"/>
        <v>0.11270779765492396</v>
      </c>
      <c r="AY68" s="284">
        <f t="shared" si="541"/>
        <v>0.12458259662596889</v>
      </c>
      <c r="AZ68" s="284">
        <f t="shared" si="541"/>
        <v>0.13770851445069282</v>
      </c>
      <c r="BA68" s="284">
        <f t="shared" si="541"/>
        <v>0.15221736796151969</v>
      </c>
      <c r="BB68" s="284">
        <f t="shared" si="541"/>
        <v>0.16825486210171023</v>
      </c>
      <c r="BC68" s="284">
        <f t="shared" si="541"/>
        <v>0.18598205316506453</v>
      </c>
      <c r="BD68" s="284">
        <f t="shared" si="541"/>
        <v>0.20557696620133065</v>
      </c>
      <c r="BE68" s="284">
        <f t="shared" si="541"/>
        <v>0.22723638283009173</v>
      </c>
      <c r="BF68" s="284">
        <f t="shared" si="541"/>
        <v>0.25117781741722045</v>
      </c>
      <c r="BG68" s="284">
        <f t="shared" si="541"/>
        <v>0.27764170145963069</v>
      </c>
      <c r="BH68" s="284">
        <f t="shared" si="541"/>
        <v>0.30689379811496731</v>
      </c>
      <c r="BI68" s="284">
        <f t="shared" si="541"/>
        <v>0.33922787112412517</v>
      </c>
      <c r="BJ68" s="284">
        <f t="shared" si="541"/>
        <v>0.37496863492919708</v>
      </c>
      <c r="BK68" s="284">
        <f t="shared" si="541"/>
        <v>0.41447501561338079</v>
      </c>
      <c r="BL68" s="284">
        <f t="shared" si="541"/>
        <v>0.4581437554107694</v>
      </c>
      <c r="BM68" s="284">
        <f t="shared" si="541"/>
        <v>0.50641339698427523</v>
      </c>
      <c r="BN68" s="284">
        <f t="shared" si="541"/>
        <v>0.55976868748373054</v>
      </c>
    </row>
    <row r="69" spans="1:66">
      <c r="A69" s="1" t="s">
        <v>67</v>
      </c>
      <c r="B69" s="1" t="s">
        <v>168</v>
      </c>
      <c r="C69" s="54" t="s">
        <v>153</v>
      </c>
      <c r="D69" s="66">
        <f t="shared" ref="D69:AH69" si="542">D23+D32+D41+D50+D57</f>
        <v>0</v>
      </c>
      <c r="E69" s="66">
        <f t="shared" si="542"/>
        <v>0</v>
      </c>
      <c r="F69" s="66">
        <f t="shared" si="542"/>
        <v>0</v>
      </c>
      <c r="G69" s="66">
        <f t="shared" si="542"/>
        <v>0</v>
      </c>
      <c r="H69" s="66">
        <f t="shared" si="542"/>
        <v>0</v>
      </c>
      <c r="I69" s="66">
        <f t="shared" si="542"/>
        <v>0</v>
      </c>
      <c r="J69" s="66">
        <f t="shared" si="542"/>
        <v>0</v>
      </c>
      <c r="K69" s="66">
        <f t="shared" si="542"/>
        <v>0</v>
      </c>
      <c r="L69" s="66">
        <f t="shared" si="542"/>
        <v>0</v>
      </c>
      <c r="M69" s="66">
        <f t="shared" si="542"/>
        <v>0</v>
      </c>
      <c r="N69" s="66">
        <f t="shared" si="542"/>
        <v>0</v>
      </c>
      <c r="O69" s="66">
        <f t="shared" si="542"/>
        <v>0</v>
      </c>
      <c r="P69" s="66">
        <f t="shared" si="542"/>
        <v>0</v>
      </c>
      <c r="Q69" s="66">
        <f t="shared" si="542"/>
        <v>0</v>
      </c>
      <c r="R69" s="66">
        <f t="shared" si="542"/>
        <v>0</v>
      </c>
      <c r="S69" s="66">
        <f t="shared" si="542"/>
        <v>0</v>
      </c>
      <c r="T69" s="66">
        <f t="shared" si="542"/>
        <v>0</v>
      </c>
      <c r="U69" s="66">
        <f t="shared" si="542"/>
        <v>0</v>
      </c>
      <c r="V69" s="66">
        <f t="shared" si="542"/>
        <v>0</v>
      </c>
      <c r="W69" s="66">
        <f t="shared" si="542"/>
        <v>0</v>
      </c>
      <c r="X69" s="66">
        <f t="shared" si="542"/>
        <v>0</v>
      </c>
      <c r="Y69" s="66">
        <f t="shared" si="542"/>
        <v>0</v>
      </c>
      <c r="Z69" s="66">
        <f t="shared" si="542"/>
        <v>0</v>
      </c>
      <c r="AA69" s="66">
        <f t="shared" si="542"/>
        <v>0</v>
      </c>
      <c r="AB69" s="66">
        <f t="shared" si="542"/>
        <v>0</v>
      </c>
      <c r="AC69" s="66">
        <f t="shared" si="542"/>
        <v>0</v>
      </c>
      <c r="AD69" s="66">
        <f t="shared" si="542"/>
        <v>0</v>
      </c>
      <c r="AE69" s="66">
        <f t="shared" si="542"/>
        <v>0</v>
      </c>
      <c r="AF69" s="66">
        <f t="shared" si="542"/>
        <v>0</v>
      </c>
      <c r="AG69" s="66">
        <f t="shared" si="542"/>
        <v>0</v>
      </c>
      <c r="AH69" s="66">
        <f t="shared" si="542"/>
        <v>0</v>
      </c>
      <c r="AJ69" s="66">
        <f t="shared" ref="AJ69:BN69" si="543">AJ23+AJ32+AJ41+AJ50+AJ57</f>
        <v>0</v>
      </c>
      <c r="AK69" s="66">
        <f t="shared" si="543"/>
        <v>0</v>
      </c>
      <c r="AL69" s="66">
        <f t="shared" si="543"/>
        <v>0</v>
      </c>
      <c r="AM69" s="66">
        <f t="shared" si="543"/>
        <v>0</v>
      </c>
      <c r="AN69" s="66">
        <f t="shared" si="543"/>
        <v>0</v>
      </c>
      <c r="AO69" s="66">
        <f t="shared" si="543"/>
        <v>0</v>
      </c>
      <c r="AP69" s="66">
        <f t="shared" si="543"/>
        <v>0</v>
      </c>
      <c r="AQ69" s="66">
        <f t="shared" si="543"/>
        <v>0</v>
      </c>
      <c r="AR69" s="66">
        <f t="shared" si="543"/>
        <v>0</v>
      </c>
      <c r="AS69" s="66">
        <f t="shared" si="543"/>
        <v>0</v>
      </c>
      <c r="AT69" s="66">
        <f t="shared" si="543"/>
        <v>0</v>
      </c>
      <c r="AU69" s="66">
        <f t="shared" si="543"/>
        <v>0</v>
      </c>
      <c r="AV69" s="66">
        <f t="shared" si="543"/>
        <v>0</v>
      </c>
      <c r="AW69" s="66">
        <f t="shared" si="543"/>
        <v>0</v>
      </c>
      <c r="AX69" s="66">
        <f t="shared" si="543"/>
        <v>0</v>
      </c>
      <c r="AY69" s="66">
        <f t="shared" si="543"/>
        <v>0</v>
      </c>
      <c r="AZ69" s="66">
        <f t="shared" si="543"/>
        <v>0</v>
      </c>
      <c r="BA69" s="66">
        <f t="shared" si="543"/>
        <v>0</v>
      </c>
      <c r="BB69" s="66">
        <f t="shared" si="543"/>
        <v>0</v>
      </c>
      <c r="BC69" s="66">
        <f t="shared" si="543"/>
        <v>0</v>
      </c>
      <c r="BD69" s="66">
        <f t="shared" si="543"/>
        <v>0</v>
      </c>
      <c r="BE69" s="66">
        <f t="shared" si="543"/>
        <v>0</v>
      </c>
      <c r="BF69" s="66">
        <f t="shared" si="543"/>
        <v>0</v>
      </c>
      <c r="BG69" s="66">
        <f t="shared" si="543"/>
        <v>0</v>
      </c>
      <c r="BH69" s="66">
        <f t="shared" si="543"/>
        <v>0</v>
      </c>
      <c r="BI69" s="66">
        <f t="shared" si="543"/>
        <v>0</v>
      </c>
      <c r="BJ69" s="66">
        <f t="shared" si="543"/>
        <v>0</v>
      </c>
      <c r="BK69" s="66">
        <f t="shared" si="543"/>
        <v>0</v>
      </c>
      <c r="BL69" s="66">
        <f t="shared" si="543"/>
        <v>0</v>
      </c>
      <c r="BM69" s="66">
        <f t="shared" si="543"/>
        <v>0</v>
      </c>
      <c r="BN69" s="66">
        <f t="shared" si="543"/>
        <v>0</v>
      </c>
    </row>
    <row r="70" spans="1:66">
      <c r="B70" s="1" t="s">
        <v>172</v>
      </c>
      <c r="C70" s="54" t="s">
        <v>153</v>
      </c>
      <c r="D70" s="66">
        <f t="shared" ref="D70:AH70" si="544">D24+D35+D42+D51+D58</f>
        <v>0</v>
      </c>
      <c r="E70" s="66">
        <f t="shared" si="544"/>
        <v>0</v>
      </c>
      <c r="F70" s="66">
        <f t="shared" si="544"/>
        <v>0</v>
      </c>
      <c r="G70" s="66">
        <f t="shared" si="544"/>
        <v>0</v>
      </c>
      <c r="H70" s="66">
        <f t="shared" si="544"/>
        <v>0</v>
      </c>
      <c r="I70" s="66">
        <f t="shared" si="544"/>
        <v>0</v>
      </c>
      <c r="J70" s="66">
        <f t="shared" si="544"/>
        <v>0</v>
      </c>
      <c r="K70" s="66">
        <f t="shared" si="544"/>
        <v>0</v>
      </c>
      <c r="L70" s="66">
        <f t="shared" si="544"/>
        <v>0</v>
      </c>
      <c r="M70" s="66">
        <f t="shared" si="544"/>
        <v>0</v>
      </c>
      <c r="N70" s="66">
        <f t="shared" si="544"/>
        <v>0</v>
      </c>
      <c r="O70" s="66">
        <f t="shared" si="544"/>
        <v>0</v>
      </c>
      <c r="P70" s="66">
        <f t="shared" si="544"/>
        <v>0</v>
      </c>
      <c r="Q70" s="66">
        <f t="shared" si="544"/>
        <v>0</v>
      </c>
      <c r="R70" s="66">
        <f t="shared" si="544"/>
        <v>0</v>
      </c>
      <c r="S70" s="66">
        <f t="shared" si="544"/>
        <v>0</v>
      </c>
      <c r="T70" s="66">
        <f t="shared" si="544"/>
        <v>0</v>
      </c>
      <c r="U70" s="66">
        <f t="shared" si="544"/>
        <v>0</v>
      </c>
      <c r="V70" s="66">
        <f t="shared" si="544"/>
        <v>0</v>
      </c>
      <c r="W70" s="66">
        <f t="shared" si="544"/>
        <v>0</v>
      </c>
      <c r="X70" s="66">
        <f t="shared" si="544"/>
        <v>0</v>
      </c>
      <c r="Y70" s="66">
        <f t="shared" si="544"/>
        <v>0</v>
      </c>
      <c r="Z70" s="66">
        <f t="shared" si="544"/>
        <v>0</v>
      </c>
      <c r="AA70" s="66">
        <f t="shared" si="544"/>
        <v>0</v>
      </c>
      <c r="AB70" s="66">
        <f t="shared" si="544"/>
        <v>0</v>
      </c>
      <c r="AC70" s="66">
        <f t="shared" si="544"/>
        <v>0</v>
      </c>
      <c r="AD70" s="66">
        <f t="shared" si="544"/>
        <v>0</v>
      </c>
      <c r="AE70" s="66">
        <f t="shared" si="544"/>
        <v>0</v>
      </c>
      <c r="AF70" s="66">
        <f t="shared" si="544"/>
        <v>0</v>
      </c>
      <c r="AG70" s="66">
        <f t="shared" si="544"/>
        <v>0</v>
      </c>
      <c r="AH70" s="66">
        <f t="shared" si="544"/>
        <v>0</v>
      </c>
      <c r="AJ70" s="66">
        <f t="shared" ref="AJ70:BN70" si="545">AJ24+AJ35+AJ42+AJ51+AJ58</f>
        <v>0</v>
      </c>
      <c r="AK70" s="66">
        <f t="shared" si="545"/>
        <v>0</v>
      </c>
      <c r="AL70" s="66">
        <f t="shared" si="545"/>
        <v>0</v>
      </c>
      <c r="AM70" s="66">
        <f t="shared" si="545"/>
        <v>0</v>
      </c>
      <c r="AN70" s="66">
        <f t="shared" si="545"/>
        <v>0</v>
      </c>
      <c r="AO70" s="66">
        <f t="shared" si="545"/>
        <v>0</v>
      </c>
      <c r="AP70" s="66">
        <f t="shared" si="545"/>
        <v>0</v>
      </c>
      <c r="AQ70" s="66">
        <f t="shared" si="545"/>
        <v>0</v>
      </c>
      <c r="AR70" s="66">
        <f t="shared" si="545"/>
        <v>0</v>
      </c>
      <c r="AS70" s="66">
        <f t="shared" si="545"/>
        <v>0</v>
      </c>
      <c r="AT70" s="66">
        <f t="shared" si="545"/>
        <v>0</v>
      </c>
      <c r="AU70" s="66">
        <f t="shared" si="545"/>
        <v>0</v>
      </c>
      <c r="AV70" s="66">
        <f t="shared" si="545"/>
        <v>0</v>
      </c>
      <c r="AW70" s="66">
        <f t="shared" si="545"/>
        <v>0</v>
      </c>
      <c r="AX70" s="66">
        <f t="shared" si="545"/>
        <v>0</v>
      </c>
      <c r="AY70" s="66">
        <f t="shared" si="545"/>
        <v>0</v>
      </c>
      <c r="AZ70" s="66">
        <f t="shared" si="545"/>
        <v>0</v>
      </c>
      <c r="BA70" s="66">
        <f t="shared" si="545"/>
        <v>0</v>
      </c>
      <c r="BB70" s="66">
        <f t="shared" si="545"/>
        <v>0</v>
      </c>
      <c r="BC70" s="66">
        <f t="shared" si="545"/>
        <v>0</v>
      </c>
      <c r="BD70" s="66">
        <f t="shared" si="545"/>
        <v>0</v>
      </c>
      <c r="BE70" s="66">
        <f t="shared" si="545"/>
        <v>0</v>
      </c>
      <c r="BF70" s="66">
        <f t="shared" si="545"/>
        <v>0</v>
      </c>
      <c r="BG70" s="66">
        <f t="shared" si="545"/>
        <v>0</v>
      </c>
      <c r="BH70" s="66">
        <f t="shared" si="545"/>
        <v>0</v>
      </c>
      <c r="BI70" s="66">
        <f t="shared" si="545"/>
        <v>0</v>
      </c>
      <c r="BJ70" s="66">
        <f t="shared" si="545"/>
        <v>0</v>
      </c>
      <c r="BK70" s="66">
        <f t="shared" si="545"/>
        <v>0</v>
      </c>
      <c r="BL70" s="66">
        <f t="shared" si="545"/>
        <v>0</v>
      </c>
      <c r="BM70" s="66">
        <f t="shared" si="545"/>
        <v>0</v>
      </c>
      <c r="BN70" s="66">
        <f t="shared" si="545"/>
        <v>0</v>
      </c>
    </row>
    <row r="71" spans="1:66">
      <c r="B71" s="1" t="s">
        <v>214</v>
      </c>
      <c r="C71" s="54" t="s">
        <v>153</v>
      </c>
      <c r="D71" s="66">
        <f t="shared" ref="D71:AH71" si="546">D19+D65</f>
        <v>0</v>
      </c>
      <c r="E71" s="66">
        <f t="shared" si="546"/>
        <v>7.8986210521283975E-2</v>
      </c>
      <c r="F71" s="66">
        <f t="shared" si="546"/>
        <v>0.10151277651749573</v>
      </c>
      <c r="G71" s="66">
        <f t="shared" si="546"/>
        <v>0.12529520909829883</v>
      </c>
      <c r="H71" s="66">
        <f t="shared" si="546"/>
        <v>0.15042472835332837</v>
      </c>
      <c r="I71" s="66">
        <f t="shared" si="546"/>
        <v>0.17700122608494878</v>
      </c>
      <c r="J71" s="66">
        <f t="shared" si="546"/>
        <v>0.20513417760444536</v>
      </c>
      <c r="K71" s="66">
        <f t="shared" si="546"/>
        <v>0.23494365225498448</v>
      </c>
      <c r="L71" s="66">
        <f t="shared" si="546"/>
        <v>0.26656143348437689</v>
      </c>
      <c r="M71" s="66">
        <f t="shared" si="546"/>
        <v>0.30013226048901331</v>
      </c>
      <c r="N71" s="66">
        <f t="shared" si="546"/>
        <v>0.33581520478278304</v>
      </c>
      <c r="O71" s="66">
        <f t="shared" si="546"/>
        <v>0.40080375323561257</v>
      </c>
      <c r="P71" s="66">
        <f t="shared" si="546"/>
        <v>0.4691904614477076</v>
      </c>
      <c r="Q71" s="66">
        <f t="shared" si="546"/>
        <v>0.54121066424320519</v>
      </c>
      <c r="R71" s="66">
        <f t="shared" si="546"/>
        <v>0.61712173781921653</v>
      </c>
      <c r="S71" s="66">
        <f t="shared" si="546"/>
        <v>0.69720542061943735</v>
      </c>
      <c r="T71" s="66">
        <f t="shared" si="546"/>
        <v>0.78177038712733138</v>
      </c>
      <c r="U71" s="66">
        <f t="shared" si="546"/>
        <v>0.87115510254186468</v>
      </c>
      <c r="V71" s="66">
        <f t="shared" si="546"/>
        <v>0.9657309894259043</v>
      </c>
      <c r="W71" s="66">
        <f t="shared" si="546"/>
        <v>1.0659059408984959</v>
      </c>
      <c r="X71" s="66">
        <f t="shared" si="546"/>
        <v>1.1721282188178068</v>
      </c>
      <c r="Y71" s="66">
        <f t="shared" si="546"/>
        <v>1.2635711127602067</v>
      </c>
      <c r="Z71" s="66">
        <f t="shared" si="546"/>
        <v>1.3613718734707092</v>
      </c>
      <c r="AA71" s="66">
        <f t="shared" si="546"/>
        <v>1.4661092946928735</v>
      </c>
      <c r="AB71" s="66">
        <f t="shared" si="546"/>
        <v>1.5784224932494824</v>
      </c>
      <c r="AC71" s="66">
        <f t="shared" si="546"/>
        <v>1.6990174694140672</v>
      </c>
      <c r="AD71" s="66">
        <f t="shared" si="546"/>
        <v>1.8286743926808648</v>
      </c>
      <c r="AE71" s="66">
        <f t="shared" si="546"/>
        <v>1.9682556941076235</v>
      </c>
      <c r="AF71" s="66">
        <f t="shared" si="546"/>
        <v>2.1187150556002994</v>
      </c>
      <c r="AG71" s="66">
        <f t="shared" si="546"/>
        <v>2.2811073967587152</v>
      </c>
      <c r="AH71" s="66">
        <f t="shared" si="546"/>
        <v>2.4565999713303244</v>
      </c>
      <c r="AJ71" s="66">
        <f t="shared" ref="AJ71:BN71" si="547">AJ19+AJ65</f>
        <v>0</v>
      </c>
      <c r="AK71" s="66">
        <f t="shared" si="547"/>
        <v>7.8986210521283975E-2</v>
      </c>
      <c r="AL71" s="66">
        <f t="shared" si="547"/>
        <v>0.10151277651749573</v>
      </c>
      <c r="AM71" s="66">
        <f t="shared" si="547"/>
        <v>0.12529520909829883</v>
      </c>
      <c r="AN71" s="66">
        <f t="shared" si="547"/>
        <v>0.15042472835332837</v>
      </c>
      <c r="AO71" s="66">
        <f t="shared" si="547"/>
        <v>0.17700122608494878</v>
      </c>
      <c r="AP71" s="66">
        <f t="shared" si="547"/>
        <v>0.20513417760444536</v>
      </c>
      <c r="AQ71" s="66">
        <f t="shared" si="547"/>
        <v>0.23494365225498448</v>
      </c>
      <c r="AR71" s="66">
        <f t="shared" si="547"/>
        <v>0.26656143348437689</v>
      </c>
      <c r="AS71" s="66">
        <f t="shared" si="547"/>
        <v>0.30013226048901331</v>
      </c>
      <c r="AT71" s="66">
        <f t="shared" si="547"/>
        <v>0.33581520478278304</v>
      </c>
      <c r="AU71" s="66">
        <f t="shared" si="547"/>
        <v>0.40080375323561257</v>
      </c>
      <c r="AV71" s="66">
        <f t="shared" si="547"/>
        <v>0.4691904614477076</v>
      </c>
      <c r="AW71" s="66">
        <f t="shared" si="547"/>
        <v>0.54121066424320519</v>
      </c>
      <c r="AX71" s="66">
        <f t="shared" si="547"/>
        <v>0.61712173781921653</v>
      </c>
      <c r="AY71" s="66">
        <f t="shared" si="547"/>
        <v>0.69720542061943735</v>
      </c>
      <c r="AZ71" s="66">
        <f t="shared" si="547"/>
        <v>0.78177038712733138</v>
      </c>
      <c r="BA71" s="66">
        <f t="shared" si="547"/>
        <v>0.87115510254186468</v>
      </c>
      <c r="BB71" s="66">
        <f t="shared" si="547"/>
        <v>0.9657309894259043</v>
      </c>
      <c r="BC71" s="66">
        <f t="shared" si="547"/>
        <v>1.0659059408984959</v>
      </c>
      <c r="BD71" s="66">
        <f t="shared" si="547"/>
        <v>1.1721282188178068</v>
      </c>
      <c r="BE71" s="66">
        <f t="shared" si="547"/>
        <v>1.2635711127602067</v>
      </c>
      <c r="BF71" s="66">
        <f t="shared" si="547"/>
        <v>1.3613718734707092</v>
      </c>
      <c r="BG71" s="66">
        <f t="shared" si="547"/>
        <v>1.4661092946928735</v>
      </c>
      <c r="BH71" s="66">
        <f t="shared" si="547"/>
        <v>1.5784224932494824</v>
      </c>
      <c r="BI71" s="66">
        <f t="shared" si="547"/>
        <v>1.6990174694140672</v>
      </c>
      <c r="BJ71" s="66">
        <f t="shared" si="547"/>
        <v>1.8286743926808648</v>
      </c>
      <c r="BK71" s="66">
        <f t="shared" si="547"/>
        <v>1.9682556941076235</v>
      </c>
      <c r="BL71" s="66">
        <f t="shared" si="547"/>
        <v>2.1187150556002994</v>
      </c>
      <c r="BM71" s="66">
        <f t="shared" si="547"/>
        <v>2.2811073967587152</v>
      </c>
      <c r="BN71" s="66">
        <f t="shared" si="547"/>
        <v>2.4565999713303244</v>
      </c>
    </row>
    <row r="72" spans="1:66">
      <c r="A72" s="69" t="s">
        <v>251</v>
      </c>
      <c r="B72" s="69"/>
      <c r="C72" s="70" t="s">
        <v>153</v>
      </c>
      <c r="D72" s="71">
        <f t="shared" ref="D72:AH72" si="548">D14+D71-D69-D70</f>
        <v>70.960266702016895</v>
      </c>
      <c r="E72" s="71">
        <f t="shared" si="548"/>
        <v>74.893646738761078</v>
      </c>
      <c r="F72" s="71">
        <f t="shared" si="548"/>
        <v>78.744153474386863</v>
      </c>
      <c r="G72" s="71">
        <f t="shared" si="548"/>
        <v>82.568591148851468</v>
      </c>
      <c r="H72" s="71">
        <f t="shared" si="548"/>
        <v>86.366111765443364</v>
      </c>
      <c r="I72" s="71">
        <f t="shared" si="548"/>
        <v>90.135847250077688</v>
      </c>
      <c r="J72" s="71">
        <f t="shared" si="548"/>
        <v>93.876909537480117</v>
      </c>
      <c r="K72" s="71">
        <f t="shared" si="548"/>
        <v>97.588390733327827</v>
      </c>
      <c r="L72" s="71">
        <f t="shared" si="548"/>
        <v>101.26936336255922</v>
      </c>
      <c r="M72" s="71">
        <f t="shared" si="548"/>
        <v>104.91888071524811</v>
      </c>
      <c r="N72" s="71">
        <f t="shared" si="548"/>
        <v>108.5359773027521</v>
      </c>
      <c r="O72" s="71">
        <f t="shared" si="548"/>
        <v>108.3816813796271</v>
      </c>
      <c r="P72" s="71">
        <f t="shared" si="548"/>
        <v>108.14416186803913</v>
      </c>
      <c r="Q72" s="71">
        <f t="shared" si="548"/>
        <v>107.8207085177043</v>
      </c>
      <c r="R72" s="71">
        <f t="shared" si="548"/>
        <v>107.4085434457015</v>
      </c>
      <c r="S72" s="71">
        <f t="shared" si="548"/>
        <v>106.90482089055612</v>
      </c>
      <c r="T72" s="71">
        <f t="shared" si="548"/>
        <v>106.10662714860848</v>
      </c>
      <c r="U72" s="71">
        <f t="shared" si="548"/>
        <v>105.21098071873861</v>
      </c>
      <c r="V72" s="71">
        <f t="shared" si="548"/>
        <v>104.21483268459686</v>
      </c>
      <c r="W72" s="71">
        <f t="shared" si="548"/>
        <v>103.11506736691859</v>
      </c>
      <c r="X72" s="71">
        <f t="shared" si="548"/>
        <v>101.9085032823273</v>
      </c>
      <c r="Y72" s="71">
        <f t="shared" si="548"/>
        <v>101.07543890658913</v>
      </c>
      <c r="Z72" s="71">
        <f t="shared" si="548"/>
        <v>100.16991988227247</v>
      </c>
      <c r="AA72" s="71">
        <f t="shared" si="548"/>
        <v>99.189994305585259</v>
      </c>
      <c r="AB72" s="71">
        <f t="shared" si="548"/>
        <v>98.133695875548753</v>
      </c>
      <c r="AC72" s="71">
        <f t="shared" si="548"/>
        <v>96.999048355975631</v>
      </c>
      <c r="AD72" s="71">
        <f t="shared" si="548"/>
        <v>95.784070705847697</v>
      </c>
      <c r="AE72" s="71">
        <f t="shared" si="548"/>
        <v>94.486782957755409</v>
      </c>
      <c r="AF72" s="71">
        <f t="shared" si="548"/>
        <v>93.105212933217118</v>
      </c>
      <c r="AG72" s="71">
        <f t="shared" si="548"/>
        <v>91.637403893904931</v>
      </c>
      <c r="AH72" s="71">
        <f t="shared" si="548"/>
        <v>90.08142323919202</v>
      </c>
      <c r="AJ72" s="71">
        <f t="shared" ref="AJ72:BN72" si="549">AJ14+AJ71-AJ69-AJ70</f>
        <v>70.960266702016895</v>
      </c>
      <c r="AK72" s="71">
        <f t="shared" si="549"/>
        <v>74.893646738761078</v>
      </c>
      <c r="AL72" s="71">
        <f t="shared" si="549"/>
        <v>78.744153474386863</v>
      </c>
      <c r="AM72" s="71">
        <f t="shared" si="549"/>
        <v>82.568591148851468</v>
      </c>
      <c r="AN72" s="71">
        <f t="shared" si="549"/>
        <v>86.366111765443364</v>
      </c>
      <c r="AO72" s="71">
        <f t="shared" si="549"/>
        <v>90.135847250077688</v>
      </c>
      <c r="AP72" s="71">
        <f t="shared" si="549"/>
        <v>93.876909537480117</v>
      </c>
      <c r="AQ72" s="71">
        <f t="shared" si="549"/>
        <v>97.588390733327827</v>
      </c>
      <c r="AR72" s="71">
        <f t="shared" si="549"/>
        <v>101.26936336255922</v>
      </c>
      <c r="AS72" s="71">
        <f t="shared" si="549"/>
        <v>104.91888071524811</v>
      </c>
      <c r="AT72" s="71">
        <f t="shared" si="549"/>
        <v>108.5359773027521</v>
      </c>
      <c r="AU72" s="71">
        <f t="shared" si="549"/>
        <v>108.3816813796271</v>
      </c>
      <c r="AV72" s="71">
        <f t="shared" si="549"/>
        <v>108.14416186803913</v>
      </c>
      <c r="AW72" s="71">
        <f t="shared" si="549"/>
        <v>107.8207085177043</v>
      </c>
      <c r="AX72" s="71">
        <f t="shared" si="549"/>
        <v>107.4085434457015</v>
      </c>
      <c r="AY72" s="71">
        <f t="shared" si="549"/>
        <v>106.90482089055612</v>
      </c>
      <c r="AZ72" s="71">
        <f t="shared" si="549"/>
        <v>106.10662714860848</v>
      </c>
      <c r="BA72" s="71">
        <f t="shared" si="549"/>
        <v>105.21098071873861</v>
      </c>
      <c r="BB72" s="71">
        <f t="shared" si="549"/>
        <v>104.21483268459686</v>
      </c>
      <c r="BC72" s="71">
        <f t="shared" si="549"/>
        <v>103.11506736691859</v>
      </c>
      <c r="BD72" s="71">
        <f t="shared" si="549"/>
        <v>101.9085032823273</v>
      </c>
      <c r="BE72" s="71">
        <f t="shared" si="549"/>
        <v>101.07543890658913</v>
      </c>
      <c r="BF72" s="71">
        <f t="shared" si="549"/>
        <v>100.16991988227247</v>
      </c>
      <c r="BG72" s="71">
        <f t="shared" si="549"/>
        <v>99.189994305585259</v>
      </c>
      <c r="BH72" s="71">
        <f t="shared" si="549"/>
        <v>98.133695875548753</v>
      </c>
      <c r="BI72" s="71">
        <f t="shared" si="549"/>
        <v>96.999048355975631</v>
      </c>
      <c r="BJ72" s="71">
        <f t="shared" si="549"/>
        <v>95.784070705847697</v>
      </c>
      <c r="BK72" s="71">
        <f t="shared" si="549"/>
        <v>94.486782957755409</v>
      </c>
      <c r="BL72" s="71">
        <f t="shared" si="549"/>
        <v>93.105212933217118</v>
      </c>
      <c r="BM72" s="71">
        <f t="shared" si="549"/>
        <v>91.637403893904931</v>
      </c>
      <c r="BN72" s="71">
        <f t="shared" si="549"/>
        <v>90.08142323919202</v>
      </c>
    </row>
    <row r="73" spans="1:66" s="67" customFormat="1">
      <c r="A73" s="752"/>
      <c r="B73" s="58" t="s">
        <v>246</v>
      </c>
      <c r="C73" s="59" t="s">
        <v>153</v>
      </c>
      <c r="D73" s="60">
        <f>D26+D37+D44+D53+D60+D66</f>
        <v>7.192774760698633</v>
      </c>
      <c r="E73" s="60">
        <f t="shared" ref="E73:AG73" si="550">E26+E37+E44+E53+E60+E66</f>
        <v>7.6772840480824645</v>
      </c>
      <c r="F73" s="60">
        <f t="shared" si="550"/>
        <v>8.1322173181006345</v>
      </c>
      <c r="G73" s="60">
        <f t="shared" si="550"/>
        <v>8.5875380976884497</v>
      </c>
      <c r="H73" s="60">
        <f t="shared" si="550"/>
        <v>9.0433042224884446</v>
      </c>
      <c r="I73" s="60">
        <f t="shared" si="550"/>
        <v>9.4995747672760515</v>
      </c>
      <c r="J73" s="60">
        <f t="shared" si="550"/>
        <v>9.9564115559191197</v>
      </c>
      <c r="K73" s="60">
        <f t="shared" si="550"/>
        <v>10.413880396618874</v>
      </c>
      <c r="L73" s="60">
        <f t="shared" si="550"/>
        <v>10.872052170337444</v>
      </c>
      <c r="M73" s="60">
        <f t="shared" si="550"/>
        <v>11.331003852692922</v>
      </c>
      <c r="N73" s="60">
        <f t="shared" si="550"/>
        <v>11.79081952269043</v>
      </c>
      <c r="O73" s="60">
        <f t="shared" si="550"/>
        <v>11.983799658521331</v>
      </c>
      <c r="P73" s="60">
        <f t="shared" si="550"/>
        <v>12.178044262367289</v>
      </c>
      <c r="Q73" s="60">
        <f t="shared" si="550"/>
        <v>12.37367223197268</v>
      </c>
      <c r="R73" s="60">
        <f t="shared" si="550"/>
        <v>12.570814833954593</v>
      </c>
      <c r="S73" s="60">
        <f t="shared" si="550"/>
        <v>12.769617058133598</v>
      </c>
      <c r="T73" s="60">
        <f t="shared" si="550"/>
        <v>12.950021645111017</v>
      </c>
      <c r="U73" s="60">
        <f t="shared" si="550"/>
        <v>13.132437045548077</v>
      </c>
      <c r="V73" s="60">
        <f t="shared" si="550"/>
        <v>13.317060152181103</v>
      </c>
      <c r="W73" s="60">
        <f t="shared" si="550"/>
        <v>13.50410879136467</v>
      </c>
      <c r="X73" s="60">
        <f t="shared" si="550"/>
        <v>13.69382403647289</v>
      </c>
      <c r="Y73" s="60">
        <f t="shared" si="550"/>
        <v>13.842840479179873</v>
      </c>
      <c r="Z73" s="60">
        <f t="shared" si="550"/>
        <v>13.994963982024625</v>
      </c>
      <c r="AA73" s="60">
        <f t="shared" si="550"/>
        <v>14.150517648283573</v>
      </c>
      <c r="AB73" s="60">
        <f t="shared" si="550"/>
        <v>14.309859876295004</v>
      </c>
      <c r="AC73" s="60">
        <f t="shared" si="550"/>
        <v>14.4733883144772</v>
      </c>
      <c r="AD73" s="60">
        <f t="shared" si="550"/>
        <v>14.64154426773603</v>
      </c>
      <c r="AE73" s="60">
        <f t="shared" si="550"/>
        <v>14.814817607654643</v>
      </c>
      <c r="AF73" s="60">
        <f t="shared" si="550"/>
        <v>14.99375224504365</v>
      </c>
      <c r="AG73" s="60">
        <f t="shared" si="550"/>
        <v>15.178952230358917</v>
      </c>
      <c r="AH73" s="60">
        <f>AH26+AH37+AH44+AH53+AH60+AH66</f>
        <v>15.371088555257755</v>
      </c>
      <c r="AJ73" s="60">
        <f>AJ26+AJ37+AJ44+AJ53+AJ60+AJ66</f>
        <v>7.192774760698633</v>
      </c>
      <c r="AK73" s="60">
        <f t="shared" ref="AK73:BM73" si="551">AK26+AK37+AK44+AK53+AK60+AK66</f>
        <v>7.6772840480824645</v>
      </c>
      <c r="AL73" s="60">
        <f t="shared" si="551"/>
        <v>8.1322173181006345</v>
      </c>
      <c r="AM73" s="60">
        <f t="shared" si="551"/>
        <v>8.5875380976884497</v>
      </c>
      <c r="AN73" s="60">
        <f t="shared" si="551"/>
        <v>9.0433042224884446</v>
      </c>
      <c r="AO73" s="60">
        <f t="shared" si="551"/>
        <v>9.4995747672760515</v>
      </c>
      <c r="AP73" s="60">
        <f t="shared" si="551"/>
        <v>9.9564115559191197</v>
      </c>
      <c r="AQ73" s="60">
        <f t="shared" si="551"/>
        <v>10.413880396618874</v>
      </c>
      <c r="AR73" s="60">
        <f t="shared" si="551"/>
        <v>10.872052170337444</v>
      </c>
      <c r="AS73" s="60">
        <f t="shared" si="551"/>
        <v>11.331003852692922</v>
      </c>
      <c r="AT73" s="60">
        <f t="shared" si="551"/>
        <v>11.79081952269043</v>
      </c>
      <c r="AU73" s="60">
        <f t="shared" si="551"/>
        <v>11.983799658521331</v>
      </c>
      <c r="AV73" s="60">
        <f t="shared" si="551"/>
        <v>12.178044262367289</v>
      </c>
      <c r="AW73" s="60">
        <f t="shared" si="551"/>
        <v>12.37367223197268</v>
      </c>
      <c r="AX73" s="60">
        <f t="shared" si="551"/>
        <v>12.570814833954593</v>
      </c>
      <c r="AY73" s="60">
        <f t="shared" si="551"/>
        <v>12.769617058133598</v>
      </c>
      <c r="AZ73" s="60">
        <f t="shared" si="551"/>
        <v>12.950021645111017</v>
      </c>
      <c r="BA73" s="60">
        <f t="shared" si="551"/>
        <v>13.132437045548077</v>
      </c>
      <c r="BB73" s="60">
        <f t="shared" si="551"/>
        <v>13.317060152181103</v>
      </c>
      <c r="BC73" s="60">
        <f t="shared" si="551"/>
        <v>13.50410879136467</v>
      </c>
      <c r="BD73" s="60">
        <f t="shared" si="551"/>
        <v>13.69382403647289</v>
      </c>
      <c r="BE73" s="60">
        <f t="shared" si="551"/>
        <v>13.842840479179873</v>
      </c>
      <c r="BF73" s="60">
        <f t="shared" si="551"/>
        <v>13.994963982024625</v>
      </c>
      <c r="BG73" s="60">
        <f t="shared" si="551"/>
        <v>14.150517648283573</v>
      </c>
      <c r="BH73" s="60">
        <f t="shared" si="551"/>
        <v>14.309859876295004</v>
      </c>
      <c r="BI73" s="60">
        <f t="shared" si="551"/>
        <v>14.4733883144772</v>
      </c>
      <c r="BJ73" s="60">
        <f t="shared" si="551"/>
        <v>14.64154426773603</v>
      </c>
      <c r="BK73" s="60">
        <f t="shared" si="551"/>
        <v>14.814817607654643</v>
      </c>
      <c r="BL73" s="60">
        <f t="shared" si="551"/>
        <v>14.99375224504365</v>
      </c>
      <c r="BM73" s="60">
        <f t="shared" si="551"/>
        <v>15.178952230358917</v>
      </c>
      <c r="BN73" s="60">
        <f>BN26+BN37+BN44+BN53+BN60+BN66</f>
        <v>15.371088555257755</v>
      </c>
    </row>
    <row r="74" spans="1:66">
      <c r="A74" s="753"/>
      <c r="B74" s="1" t="s">
        <v>247</v>
      </c>
      <c r="C74" s="54" t="s">
        <v>153</v>
      </c>
      <c r="D74" s="44">
        <f>D16</f>
        <v>28.065001267929215</v>
      </c>
      <c r="E74" s="44">
        <f t="shared" ref="E74:AH74" si="552">E16</f>
        <v>28.136286371149751</v>
      </c>
      <c r="F74" s="44">
        <f t="shared" si="552"/>
        <v>28.196004203447703</v>
      </c>
      <c r="G74" s="44">
        <f t="shared" si="552"/>
        <v>28.243584960541014</v>
      </c>
      <c r="H74" s="44">
        <f t="shared" si="552"/>
        <v>28.278438746237001</v>
      </c>
      <c r="I74" s="44">
        <f t="shared" si="552"/>
        <v>28.29995494963087</v>
      </c>
      <c r="J74" s="44">
        <f t="shared" si="552"/>
        <v>28.307501604284109</v>
      </c>
      <c r="K74" s="44">
        <f t="shared" si="552"/>
        <v>28.30042472888303</v>
      </c>
      <c r="L74" s="44">
        <f t="shared" si="552"/>
        <v>28.278047648864838</v>
      </c>
      <c r="M74" s="44">
        <f t="shared" si="552"/>
        <v>28.239670298484235</v>
      </c>
      <c r="N74" s="44">
        <f t="shared" si="552"/>
        <v>28.184568502779875</v>
      </c>
      <c r="O74" s="44">
        <f t="shared" si="552"/>
        <v>27.030762729697322</v>
      </c>
      <c r="P74" s="44">
        <f t="shared" si="552"/>
        <v>25.808972254315002</v>
      </c>
      <c r="Q74" s="44">
        <f t="shared" si="552"/>
        <v>24.516680143581084</v>
      </c>
      <c r="R74" s="44">
        <f t="shared" si="552"/>
        <v>23.151289649430872</v>
      </c>
      <c r="S74" s="44">
        <f t="shared" si="552"/>
        <v>21.710121868753799</v>
      </c>
      <c r="T74" s="44">
        <f t="shared" si="552"/>
        <v>20.190413337941031</v>
      </c>
      <c r="U74" s="44">
        <f t="shared" si="552"/>
        <v>18.589313560242303</v>
      </c>
      <c r="V74" s="44">
        <f t="shared" si="552"/>
        <v>16.903882464113668</v>
      </c>
      <c r="W74" s="44">
        <f t="shared" si="552"/>
        <v>15.131087790689747</v>
      </c>
      <c r="X74" s="44">
        <f t="shared" si="552"/>
        <v>13.26780240846481</v>
      </c>
      <c r="Y74" s="44">
        <f t="shared" si="552"/>
        <v>12.215665677473545</v>
      </c>
      <c r="Z74" s="44">
        <f t="shared" si="552"/>
        <v>11.108111989382607</v>
      </c>
      <c r="AA74" s="44">
        <f t="shared" si="552"/>
        <v>9.9431487444961135</v>
      </c>
      <c r="AB74" s="44">
        <f t="shared" si="552"/>
        <v>8.7187209991024446</v>
      </c>
      <c r="AC74" s="44">
        <f t="shared" si="552"/>
        <v>7.4327096517348323</v>
      </c>
      <c r="AD74" s="44">
        <f t="shared" si="552"/>
        <v>6.0829295789797868</v>
      </c>
      <c r="AE74" s="44">
        <f t="shared" si="552"/>
        <v>4.6671277194722407</v>
      </c>
      <c r="AF74" s="44">
        <f t="shared" si="552"/>
        <v>3.1829811046800671</v>
      </c>
      <c r="AG74" s="44">
        <f t="shared" si="552"/>
        <v>1.6280948350438535</v>
      </c>
      <c r="AH74" s="44">
        <f t="shared" si="552"/>
        <v>0</v>
      </c>
      <c r="AJ74" s="44">
        <f>AJ16</f>
        <v>28.065001267929215</v>
      </c>
      <c r="AK74" s="44">
        <f t="shared" ref="AK74:BN74" si="553">AK16</f>
        <v>28.136286371149751</v>
      </c>
      <c r="AL74" s="44">
        <f t="shared" si="553"/>
        <v>28.196004203447703</v>
      </c>
      <c r="AM74" s="44">
        <f t="shared" si="553"/>
        <v>28.243584960541014</v>
      </c>
      <c r="AN74" s="44">
        <f t="shared" si="553"/>
        <v>28.278438746237001</v>
      </c>
      <c r="AO74" s="44">
        <f t="shared" si="553"/>
        <v>28.29995494963087</v>
      </c>
      <c r="AP74" s="44">
        <f t="shared" si="553"/>
        <v>28.307501604284109</v>
      </c>
      <c r="AQ74" s="44">
        <f t="shared" si="553"/>
        <v>28.30042472888303</v>
      </c>
      <c r="AR74" s="44">
        <f t="shared" si="553"/>
        <v>28.278047648864838</v>
      </c>
      <c r="AS74" s="44">
        <f t="shared" si="553"/>
        <v>28.239670298484235</v>
      </c>
      <c r="AT74" s="44">
        <f t="shared" si="553"/>
        <v>28.184568502779875</v>
      </c>
      <c r="AU74" s="44">
        <f t="shared" si="553"/>
        <v>27.030762729697322</v>
      </c>
      <c r="AV74" s="44">
        <f t="shared" si="553"/>
        <v>25.808972254315002</v>
      </c>
      <c r="AW74" s="44">
        <f t="shared" si="553"/>
        <v>24.516680143581084</v>
      </c>
      <c r="AX74" s="44">
        <f t="shared" si="553"/>
        <v>23.151289649430872</v>
      </c>
      <c r="AY74" s="44">
        <f t="shared" si="553"/>
        <v>21.710121868753799</v>
      </c>
      <c r="AZ74" s="44">
        <f t="shared" si="553"/>
        <v>20.190413337941031</v>
      </c>
      <c r="BA74" s="44">
        <f t="shared" si="553"/>
        <v>18.589313560242303</v>
      </c>
      <c r="BB74" s="44">
        <f t="shared" si="553"/>
        <v>16.903882464113668</v>
      </c>
      <c r="BC74" s="44">
        <f t="shared" si="553"/>
        <v>15.131087790689747</v>
      </c>
      <c r="BD74" s="44">
        <f t="shared" si="553"/>
        <v>13.26780240846481</v>
      </c>
      <c r="BE74" s="44">
        <f t="shared" si="553"/>
        <v>12.215665677473545</v>
      </c>
      <c r="BF74" s="44">
        <f t="shared" si="553"/>
        <v>11.108111989382607</v>
      </c>
      <c r="BG74" s="44">
        <f t="shared" si="553"/>
        <v>9.9431487444961135</v>
      </c>
      <c r="BH74" s="44">
        <f t="shared" si="553"/>
        <v>8.7187209991024446</v>
      </c>
      <c r="BI74" s="44">
        <f t="shared" si="553"/>
        <v>7.4327096517348323</v>
      </c>
      <c r="BJ74" s="44">
        <f t="shared" si="553"/>
        <v>6.0829295789797868</v>
      </c>
      <c r="BK74" s="44">
        <f t="shared" si="553"/>
        <v>4.6671277194722407</v>
      </c>
      <c r="BL74" s="44">
        <f t="shared" si="553"/>
        <v>3.1829811046800671</v>
      </c>
      <c r="BM74" s="44">
        <f t="shared" si="553"/>
        <v>1.6280948350438535</v>
      </c>
      <c r="BN74" s="44">
        <f t="shared" si="553"/>
        <v>0</v>
      </c>
    </row>
    <row r="75" spans="1:66" s="68" customFormat="1">
      <c r="A75" s="754"/>
      <c r="B75" s="62" t="s">
        <v>248</v>
      </c>
      <c r="C75" s="283" t="s">
        <v>153</v>
      </c>
      <c r="D75" s="284">
        <f>D28+D39+D46+D55+D62+D68</f>
        <v>35.70249067338905</v>
      </c>
      <c r="E75" s="284">
        <f t="shared" ref="E75:AH75" si="554">E28+E39+E46+E55+E62+E68</f>
        <v>39.080076319528857</v>
      </c>
      <c r="F75" s="284">
        <f t="shared" si="554"/>
        <v>42.41593195283852</v>
      </c>
      <c r="G75" s="284">
        <f t="shared" si="554"/>
        <v>45.737468090622016</v>
      </c>
      <c r="H75" s="284">
        <f t="shared" si="554"/>
        <v>49.044368796717919</v>
      </c>
      <c r="I75" s="284">
        <f t="shared" si="554"/>
        <v>52.336317533170764</v>
      </c>
      <c r="J75" s="284">
        <f t="shared" si="554"/>
        <v>55.612996377276893</v>
      </c>
      <c r="K75" s="284">
        <f t="shared" si="554"/>
        <v>58.874085607825904</v>
      </c>
      <c r="L75" s="284">
        <f t="shared" si="554"/>
        <v>62.119263543356915</v>
      </c>
      <c r="M75" s="284">
        <f t="shared" si="554"/>
        <v>65.348206564070949</v>
      </c>
      <c r="N75" s="284">
        <f t="shared" si="554"/>
        <v>68.560589277281792</v>
      </c>
      <c r="O75" s="284">
        <f t="shared" si="554"/>
        <v>69.367118991408432</v>
      </c>
      <c r="P75" s="284">
        <f t="shared" si="554"/>
        <v>70.15714535135686</v>
      </c>
      <c r="Q75" s="284">
        <f t="shared" si="554"/>
        <v>70.930356142150529</v>
      </c>
      <c r="R75" s="284">
        <f t="shared" si="554"/>
        <v>71.686438962316018</v>
      </c>
      <c r="S75" s="284">
        <f t="shared" si="554"/>
        <v>72.425081963668731</v>
      </c>
      <c r="T75" s="284">
        <f t="shared" si="554"/>
        <v>72.966192165556421</v>
      </c>
      <c r="U75" s="284">
        <f t="shared" si="554"/>
        <v>73.489230112948249</v>
      </c>
      <c r="V75" s="284">
        <f t="shared" si="554"/>
        <v>73.993890068302093</v>
      </c>
      <c r="W75" s="284">
        <f t="shared" si="554"/>
        <v>74.479870784864175</v>
      </c>
      <c r="X75" s="284">
        <f t="shared" si="554"/>
        <v>74.946876837389624</v>
      </c>
      <c r="Y75" s="284">
        <f t="shared" si="554"/>
        <v>75.016932749935705</v>
      </c>
      <c r="Z75" s="284">
        <f t="shared" si="554"/>
        <v>75.066843910865217</v>
      </c>
      <c r="AA75" s="284">
        <f t="shared" si="554"/>
        <v>75.096327912805577</v>
      </c>
      <c r="AB75" s="284">
        <f t="shared" si="554"/>
        <v>75.105115000151315</v>
      </c>
      <c r="AC75" s="284">
        <f t="shared" si="554"/>
        <v>75.092950389763587</v>
      </c>
      <c r="AD75" s="284">
        <f t="shared" si="554"/>
        <v>75.059596859131887</v>
      </c>
      <c r="AE75" s="284">
        <f t="shared" si="554"/>
        <v>75.004837630628515</v>
      </c>
      <c r="AF75" s="284">
        <f t="shared" si="554"/>
        <v>74.928479583493399</v>
      </c>
      <c r="AG75" s="284">
        <f t="shared" si="554"/>
        <v>74.830356828502161</v>
      </c>
      <c r="AH75" s="284">
        <f t="shared" si="554"/>
        <v>74.710334683934249</v>
      </c>
      <c r="AJ75" s="284">
        <f>AJ28+AJ39+AJ46+AJ55+AJ62+AJ68</f>
        <v>35.70249067338905</v>
      </c>
      <c r="AK75" s="284">
        <f t="shared" ref="AK75:BN75" si="555">AK28+AK39+AK46+AK55+AK62+AK68</f>
        <v>39.080076319528857</v>
      </c>
      <c r="AL75" s="284">
        <f t="shared" si="555"/>
        <v>42.41593195283852</v>
      </c>
      <c r="AM75" s="284">
        <f t="shared" si="555"/>
        <v>45.737468090622016</v>
      </c>
      <c r="AN75" s="284">
        <f t="shared" si="555"/>
        <v>49.044368796717919</v>
      </c>
      <c r="AO75" s="284">
        <f t="shared" si="555"/>
        <v>52.336317533170764</v>
      </c>
      <c r="AP75" s="284">
        <f t="shared" si="555"/>
        <v>55.612996377276893</v>
      </c>
      <c r="AQ75" s="284">
        <f t="shared" si="555"/>
        <v>58.874085607825904</v>
      </c>
      <c r="AR75" s="284">
        <f t="shared" si="555"/>
        <v>62.119263543356915</v>
      </c>
      <c r="AS75" s="284">
        <f t="shared" si="555"/>
        <v>65.348206564070949</v>
      </c>
      <c r="AT75" s="284">
        <f t="shared" si="555"/>
        <v>68.560589277281792</v>
      </c>
      <c r="AU75" s="284">
        <f t="shared" si="555"/>
        <v>69.367118991408432</v>
      </c>
      <c r="AV75" s="284">
        <f t="shared" si="555"/>
        <v>70.15714535135686</v>
      </c>
      <c r="AW75" s="284">
        <f t="shared" si="555"/>
        <v>70.930356142150529</v>
      </c>
      <c r="AX75" s="284">
        <f t="shared" si="555"/>
        <v>71.686438962316018</v>
      </c>
      <c r="AY75" s="284">
        <f t="shared" si="555"/>
        <v>72.425081963668731</v>
      </c>
      <c r="AZ75" s="284">
        <f t="shared" si="555"/>
        <v>72.966192165556421</v>
      </c>
      <c r="BA75" s="284">
        <f t="shared" si="555"/>
        <v>73.489230112948249</v>
      </c>
      <c r="BB75" s="284">
        <f t="shared" si="555"/>
        <v>73.993890068302093</v>
      </c>
      <c r="BC75" s="284">
        <f t="shared" si="555"/>
        <v>74.479870784864175</v>
      </c>
      <c r="BD75" s="284">
        <f t="shared" si="555"/>
        <v>74.946876837389624</v>
      </c>
      <c r="BE75" s="284">
        <f t="shared" si="555"/>
        <v>75.016932749935705</v>
      </c>
      <c r="BF75" s="284">
        <f t="shared" si="555"/>
        <v>75.066843910865217</v>
      </c>
      <c r="BG75" s="284">
        <f t="shared" si="555"/>
        <v>75.096327912805577</v>
      </c>
      <c r="BH75" s="284">
        <f t="shared" si="555"/>
        <v>75.105115000151315</v>
      </c>
      <c r="BI75" s="284">
        <f t="shared" si="555"/>
        <v>75.092950389763587</v>
      </c>
      <c r="BJ75" s="284">
        <f t="shared" si="555"/>
        <v>75.059596859131887</v>
      </c>
      <c r="BK75" s="284">
        <f t="shared" si="555"/>
        <v>75.004837630628515</v>
      </c>
      <c r="BL75" s="284">
        <f t="shared" si="555"/>
        <v>74.928479583493399</v>
      </c>
      <c r="BM75" s="284">
        <f t="shared" si="555"/>
        <v>74.830356828502161</v>
      </c>
      <c r="BN75" s="284">
        <f t="shared" si="555"/>
        <v>74.710334683934249</v>
      </c>
    </row>
    <row r="76" spans="1:66">
      <c r="A76" s="512"/>
      <c r="C76" s="5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row>
    <row r="77" spans="1:66">
      <c r="A77" s="58" t="s">
        <v>216</v>
      </c>
      <c r="B77" s="58" t="s">
        <v>197</v>
      </c>
      <c r="C77" s="100" t="s">
        <v>153</v>
      </c>
      <c r="D77" s="101">
        <f t="shared" ref="D77:AH77" si="556">D36</f>
        <v>4.3918200345154137</v>
      </c>
      <c r="E77" s="101">
        <f t="shared" si="556"/>
        <v>4.4533055149986298</v>
      </c>
      <c r="F77" s="101">
        <f t="shared" si="556"/>
        <v>4.5156517922086108</v>
      </c>
      <c r="G77" s="101">
        <f t="shared" si="556"/>
        <v>4.5788709172995317</v>
      </c>
      <c r="H77" s="101">
        <f t="shared" si="556"/>
        <v>4.6429751101417249</v>
      </c>
      <c r="I77" s="101">
        <f t="shared" si="556"/>
        <v>4.7079767616837094</v>
      </c>
      <c r="J77" s="101">
        <f t="shared" si="556"/>
        <v>4.7738884363472813</v>
      </c>
      <c r="K77" s="101">
        <f t="shared" si="556"/>
        <v>4.8407228744561435</v>
      </c>
      <c r="L77" s="101">
        <f t="shared" si="556"/>
        <v>4.9084929946985296</v>
      </c>
      <c r="M77" s="101">
        <f t="shared" si="556"/>
        <v>4.9772118966243095</v>
      </c>
      <c r="N77" s="101">
        <f t="shared" si="556"/>
        <v>5.0468928631770495</v>
      </c>
      <c r="O77" s="101">
        <f t="shared" si="556"/>
        <v>5.1175493632615279</v>
      </c>
      <c r="P77" s="101">
        <f t="shared" si="556"/>
        <v>5.1891950543471896</v>
      </c>
      <c r="Q77" s="101">
        <f t="shared" si="556"/>
        <v>5.2618437851080504</v>
      </c>
      <c r="R77" s="101">
        <f t="shared" si="556"/>
        <v>5.3355095980995628</v>
      </c>
      <c r="S77" s="101">
        <f t="shared" si="556"/>
        <v>5.4102067324729566</v>
      </c>
      <c r="T77" s="101">
        <f t="shared" si="556"/>
        <v>5.485949626727578</v>
      </c>
      <c r="U77" s="101">
        <f t="shared" si="556"/>
        <v>5.5627529215017644</v>
      </c>
      <c r="V77" s="101">
        <f t="shared" si="556"/>
        <v>5.6406314624027889</v>
      </c>
      <c r="W77" s="101">
        <f t="shared" si="556"/>
        <v>5.7196003028764277</v>
      </c>
      <c r="X77" s="101">
        <f t="shared" si="556"/>
        <v>5.7996747071166981</v>
      </c>
      <c r="Y77" s="101">
        <f t="shared" si="556"/>
        <v>5.8808701530163319</v>
      </c>
      <c r="Z77" s="101">
        <f t="shared" si="556"/>
        <v>5.9632023351585604</v>
      </c>
      <c r="AA77" s="101">
        <f t="shared" si="556"/>
        <v>6.0466871678507799</v>
      </c>
      <c r="AB77" s="101">
        <f t="shared" si="556"/>
        <v>6.1313407882006912</v>
      </c>
      <c r="AC77" s="101">
        <f t="shared" si="556"/>
        <v>6.2171795592355013</v>
      </c>
      <c r="AD77" s="101">
        <f t="shared" si="556"/>
        <v>6.3042200730647986</v>
      </c>
      <c r="AE77" s="101">
        <f t="shared" si="556"/>
        <v>6.392479154087706</v>
      </c>
      <c r="AF77" s="101">
        <f t="shared" si="556"/>
        <v>6.4819738622449341</v>
      </c>
      <c r="AG77" s="101">
        <f t="shared" si="556"/>
        <v>6.5727214963163636</v>
      </c>
      <c r="AH77" s="101">
        <f t="shared" si="556"/>
        <v>6.6647395972647931</v>
      </c>
      <c r="AJ77" s="101">
        <f t="shared" ref="AJ77:BN77" si="557">AJ36</f>
        <v>4.3918200345154137</v>
      </c>
      <c r="AK77" s="101">
        <f t="shared" si="557"/>
        <v>4.4533055149986298</v>
      </c>
      <c r="AL77" s="101">
        <f t="shared" si="557"/>
        <v>4.5156517922086108</v>
      </c>
      <c r="AM77" s="101">
        <f t="shared" si="557"/>
        <v>4.5788709172995317</v>
      </c>
      <c r="AN77" s="101">
        <f t="shared" si="557"/>
        <v>4.6429751101417249</v>
      </c>
      <c r="AO77" s="101">
        <f t="shared" si="557"/>
        <v>4.7079767616837094</v>
      </c>
      <c r="AP77" s="101">
        <f t="shared" si="557"/>
        <v>4.7738884363472813</v>
      </c>
      <c r="AQ77" s="101">
        <f t="shared" si="557"/>
        <v>4.8407228744561435</v>
      </c>
      <c r="AR77" s="101">
        <f t="shared" si="557"/>
        <v>4.9084929946985296</v>
      </c>
      <c r="AS77" s="101">
        <f t="shared" si="557"/>
        <v>4.9772118966243095</v>
      </c>
      <c r="AT77" s="101">
        <f t="shared" si="557"/>
        <v>5.0468928631770495</v>
      </c>
      <c r="AU77" s="101">
        <f t="shared" si="557"/>
        <v>5.1175493632615279</v>
      </c>
      <c r="AV77" s="101">
        <f t="shared" si="557"/>
        <v>5.1891950543471896</v>
      </c>
      <c r="AW77" s="101">
        <f t="shared" si="557"/>
        <v>5.2618437851080504</v>
      </c>
      <c r="AX77" s="101">
        <f t="shared" si="557"/>
        <v>5.3355095980995628</v>
      </c>
      <c r="AY77" s="101">
        <f t="shared" si="557"/>
        <v>5.4102067324729566</v>
      </c>
      <c r="AZ77" s="101">
        <f t="shared" si="557"/>
        <v>5.485949626727578</v>
      </c>
      <c r="BA77" s="101">
        <f t="shared" si="557"/>
        <v>5.5627529215017644</v>
      </c>
      <c r="BB77" s="101">
        <f t="shared" si="557"/>
        <v>5.6406314624027889</v>
      </c>
      <c r="BC77" s="101">
        <f t="shared" si="557"/>
        <v>5.7196003028764277</v>
      </c>
      <c r="BD77" s="101">
        <f t="shared" si="557"/>
        <v>5.7996747071166981</v>
      </c>
      <c r="BE77" s="101">
        <f t="shared" si="557"/>
        <v>5.8808701530163319</v>
      </c>
      <c r="BF77" s="101">
        <f t="shared" si="557"/>
        <v>5.9632023351585604</v>
      </c>
      <c r="BG77" s="101">
        <f t="shared" si="557"/>
        <v>6.0466871678507799</v>
      </c>
      <c r="BH77" s="101">
        <f t="shared" si="557"/>
        <v>6.1313407882006912</v>
      </c>
      <c r="BI77" s="101">
        <f t="shared" si="557"/>
        <v>6.2171795592355013</v>
      </c>
      <c r="BJ77" s="101">
        <f t="shared" si="557"/>
        <v>6.3042200730647986</v>
      </c>
      <c r="BK77" s="101">
        <f t="shared" si="557"/>
        <v>6.392479154087706</v>
      </c>
      <c r="BL77" s="101">
        <f t="shared" si="557"/>
        <v>6.4819738622449341</v>
      </c>
      <c r="BM77" s="101">
        <f t="shared" si="557"/>
        <v>6.5727214963163636</v>
      </c>
      <c r="BN77" s="101">
        <f t="shared" si="557"/>
        <v>6.6647395972647931</v>
      </c>
    </row>
    <row r="78" spans="1:66">
      <c r="A78"/>
      <c r="B78" t="s">
        <v>217</v>
      </c>
      <c r="C78" s="54" t="s">
        <v>153</v>
      </c>
      <c r="D78" s="44">
        <f>'Methanol Recycling HC'!C76</f>
        <v>0</v>
      </c>
      <c r="E78" s="44">
        <f>'Methanol Recycling HC'!D76</f>
        <v>1.3568176212457234E-2</v>
      </c>
      <c r="F78" s="44">
        <f>'Methanol Recycling HC'!E76</f>
        <v>2.729350924529142E-2</v>
      </c>
      <c r="G78" s="44">
        <f>'Methanol Recycling HC'!F76</f>
        <v>4.1084035547406667E-2</v>
      </c>
      <c r="H78" s="44">
        <f>'Methanol Recycling HC'!G76</f>
        <v>5.484364017359411E-2</v>
      </c>
      <c r="I78" s="44">
        <f>'Methanol Recycling HC'!H76</f>
        <v>6.847316165344805E-2</v>
      </c>
      <c r="J78" s="44">
        <f>'Methanol Recycling HC'!I76</f>
        <v>8.2353729523501812E-2</v>
      </c>
      <c r="K78" s="44">
        <f>'Methanol Recycling HC'!J76</f>
        <v>9.6471012191642225E-2</v>
      </c>
      <c r="L78" s="44">
        <f>'Methanol Recycling HC'!K76</f>
        <v>0.11080981635407805</v>
      </c>
      <c r="M78" s="44">
        <f>'Methanol Recycling HC'!L76</f>
        <v>0.12535410450864376</v>
      </c>
      <c r="N78" s="44">
        <f>'Methanol Recycling HC'!M76</f>
        <v>0.14008701552391917</v>
      </c>
      <c r="O78" s="44">
        <f>'Methanol Recycling HC'!N76</f>
        <v>0.16501558274001055</v>
      </c>
      <c r="P78" s="44">
        <f>'Methanol Recycling HC'!O76</f>
        <v>0.18978607917871243</v>
      </c>
      <c r="Q78" s="44">
        <f>'Methanol Recycling HC'!P76</f>
        <v>0.21425638118798129</v>
      </c>
      <c r="R78" s="44">
        <f>'Methanol Recycling HC'!Q76</f>
        <v>0.23828361477416127</v>
      </c>
      <c r="S78" s="44">
        <f>'Methanol Recycling HC'!R76</f>
        <v>0.26172552493415518</v>
      </c>
      <c r="T78" s="44">
        <f>'Methanol Recycling HC'!S76</f>
        <v>0.28520946853740942</v>
      </c>
      <c r="U78" s="44">
        <f>'Methanol Recycling HC'!T76</f>
        <v>0.30872282423587372</v>
      </c>
      <c r="V78" s="44">
        <f>'Methanol Recycling HC'!U76</f>
        <v>0.3322527733807083</v>
      </c>
      <c r="W78" s="44">
        <f>'Methanol Recycling HC'!V76</f>
        <v>0.35578630662546812</v>
      </c>
      <c r="X78" s="44">
        <f>'Methanol Recycling HC'!W76</f>
        <v>0.3793102307799428</v>
      </c>
      <c r="Y78" s="44">
        <f>'Methanol Recycling HC'!X76</f>
        <v>0.42036900997883136</v>
      </c>
      <c r="Z78" s="44">
        <f>'Methanol Recycling HC'!Y76</f>
        <v>0.46144423362868087</v>
      </c>
      <c r="AA78" s="44">
        <f>'Methanol Recycling HC'!Z76</f>
        <v>0.50251383790675908</v>
      </c>
      <c r="AB78" s="44">
        <f>'Methanol Recycling HC'!AA76</f>
        <v>0.54355546108973352</v>
      </c>
      <c r="AC78" s="44">
        <f>'Methanol Recycling HC'!AB76</f>
        <v>0.58454645451122422</v>
      </c>
      <c r="AD78" s="44">
        <f>'Methanol Recycling HC'!AC76</f>
        <v>0.62547114598438847</v>
      </c>
      <c r="AE78" s="44">
        <f>'Methanol Recycling HC'!AD76</f>
        <v>0.66630751537872346</v>
      </c>
      <c r="AF78" s="44">
        <f>'Methanol Recycling HC'!AE76</f>
        <v>0.70703328612896077</v>
      </c>
      <c r="AG78" s="44">
        <f>'Methanol Recycling HC'!AF76</f>
        <v>0.74762593540473277</v>
      </c>
      <c r="AH78" s="44">
        <f>'Methanol Recycling HC'!AG76</f>
        <v>0.78806270458086525</v>
      </c>
      <c r="AJ78" s="44">
        <f>D78</f>
        <v>0</v>
      </c>
      <c r="AK78" s="44">
        <f t="shared" ref="AK78:BN79" si="558">E78</f>
        <v>1.3568176212457234E-2</v>
      </c>
      <c r="AL78" s="44">
        <f t="shared" si="558"/>
        <v>2.729350924529142E-2</v>
      </c>
      <c r="AM78" s="44">
        <f t="shared" si="558"/>
        <v>4.1084035547406667E-2</v>
      </c>
      <c r="AN78" s="44">
        <f t="shared" si="558"/>
        <v>5.484364017359411E-2</v>
      </c>
      <c r="AO78" s="44">
        <f t="shared" si="558"/>
        <v>6.847316165344805E-2</v>
      </c>
      <c r="AP78" s="44">
        <f t="shared" si="558"/>
        <v>8.2353729523501812E-2</v>
      </c>
      <c r="AQ78" s="44">
        <f t="shared" si="558"/>
        <v>9.6471012191642225E-2</v>
      </c>
      <c r="AR78" s="44">
        <f t="shared" si="558"/>
        <v>0.11080981635407805</v>
      </c>
      <c r="AS78" s="44">
        <f t="shared" si="558"/>
        <v>0.12535410450864376</v>
      </c>
      <c r="AT78" s="44">
        <f t="shared" si="558"/>
        <v>0.14008701552391917</v>
      </c>
      <c r="AU78" s="44">
        <f t="shared" si="558"/>
        <v>0.16501558274001055</v>
      </c>
      <c r="AV78" s="44">
        <f t="shared" si="558"/>
        <v>0.18978607917871243</v>
      </c>
      <c r="AW78" s="44">
        <f t="shared" si="558"/>
        <v>0.21425638118798129</v>
      </c>
      <c r="AX78" s="44">
        <f t="shared" si="558"/>
        <v>0.23828361477416127</v>
      </c>
      <c r="AY78" s="44">
        <f t="shared" si="558"/>
        <v>0.26172552493415518</v>
      </c>
      <c r="AZ78" s="44">
        <f t="shared" si="558"/>
        <v>0.28520946853740942</v>
      </c>
      <c r="BA78" s="44">
        <f t="shared" si="558"/>
        <v>0.30872282423587372</v>
      </c>
      <c r="BB78" s="44">
        <f t="shared" si="558"/>
        <v>0.3322527733807083</v>
      </c>
      <c r="BC78" s="44">
        <f t="shared" si="558"/>
        <v>0.35578630662546812</v>
      </c>
      <c r="BD78" s="44">
        <f t="shared" si="558"/>
        <v>0.3793102307799428</v>
      </c>
      <c r="BE78" s="44">
        <f t="shared" si="558"/>
        <v>0.42036900997883136</v>
      </c>
      <c r="BF78" s="44">
        <f t="shared" si="558"/>
        <v>0.46144423362868087</v>
      </c>
      <c r="BG78" s="44">
        <f t="shared" si="558"/>
        <v>0.50251383790675908</v>
      </c>
      <c r="BH78" s="44">
        <f t="shared" si="558"/>
        <v>0.54355546108973352</v>
      </c>
      <c r="BI78" s="44">
        <f t="shared" si="558"/>
        <v>0.58454645451122422</v>
      </c>
      <c r="BJ78" s="44">
        <f t="shared" si="558"/>
        <v>0.62547114598438847</v>
      </c>
      <c r="BK78" s="44">
        <f t="shared" si="558"/>
        <v>0.66630751537872346</v>
      </c>
      <c r="BL78" s="44">
        <f t="shared" si="558"/>
        <v>0.70703328612896077</v>
      </c>
      <c r="BM78" s="44">
        <f t="shared" si="558"/>
        <v>0.74762593540473277</v>
      </c>
      <c r="BN78" s="44">
        <f t="shared" si="558"/>
        <v>0.78806270458086525</v>
      </c>
    </row>
    <row r="79" spans="1:66">
      <c r="A79"/>
      <c r="B79" s="181" t="s">
        <v>218</v>
      </c>
      <c r="C79" s="54" t="s">
        <v>153</v>
      </c>
      <c r="D79" s="44">
        <f>'Methanol Recycling HC'!C157</f>
        <v>0</v>
      </c>
      <c r="E79" s="44">
        <f>'Methanol Recycling HC'!D157</f>
        <v>2.6140700394466552E-4</v>
      </c>
      <c r="F79" s="44">
        <f>'Methanol Recycling HC'!E157</f>
        <v>5.3032508858054253E-4</v>
      </c>
      <c r="G79" s="44">
        <f>'Methanol Recycling HC'!F157</f>
        <v>8.0409552391344074E-4</v>
      </c>
      <c r="H79" s="44">
        <f>'Methanol Recycling HC'!G157</f>
        <v>1.0798639516371902E-3</v>
      </c>
      <c r="I79" s="44">
        <f>'Methanol Recycling HC'!H157</f>
        <v>1.3546206600752065E-3</v>
      </c>
      <c r="J79" s="44">
        <f>'Methanol Recycling HC'!I157</f>
        <v>1.6307481652678916E-3</v>
      </c>
      <c r="K79" s="44">
        <f>'Methanol Recycling HC'!J157</f>
        <v>1.9068015607071902E-3</v>
      </c>
      <c r="L79" s="44">
        <f>'Methanol Recycling HC'!K157</f>
        <v>2.1812447087912468E-3</v>
      </c>
      <c r="M79" s="44">
        <f>'Methanol Recycling HC'!L157</f>
        <v>2.4524517574204801E-3</v>
      </c>
      <c r="N79" s="44">
        <f>'Methanol Recycling HC'!M157</f>
        <v>2.7187091048969138E-3</v>
      </c>
      <c r="O79" s="44">
        <f>'Methanol Recycling HC'!N157</f>
        <v>3.2605449382702408E-3</v>
      </c>
      <c r="P79" s="44">
        <f>'Methanol Recycling HC'!O157</f>
        <v>3.7841538177466119E-3</v>
      </c>
      <c r="Q79" s="44">
        <f>'Methanol Recycling HC'!P157</f>
        <v>4.2940131313184745E-3</v>
      </c>
      <c r="R79" s="44">
        <f>'Methanol Recycling HC'!Q157</f>
        <v>4.7757026260132089E-3</v>
      </c>
      <c r="S79" s="44">
        <f>'Methanol Recycling HC'!R157</f>
        <v>5.2232680126376076E-3</v>
      </c>
      <c r="T79" s="44">
        <f>'Methanol Recycling HC'!S157</f>
        <v>5.6427442013753069E-3</v>
      </c>
      <c r="U79" s="44">
        <f>'Methanol Recycling HC'!T157</f>
        <v>6.0306662542835539E-3</v>
      </c>
      <c r="V79" s="44">
        <f>'Methanol Recycling HC'!U157</f>
        <v>6.3834524824557398E-3</v>
      </c>
      <c r="W79" s="44">
        <f>'Methanol Recycling HC'!V157</f>
        <v>6.6974044712031109E-3</v>
      </c>
      <c r="X79" s="44">
        <f>'Methanol Recycling HC'!W157</f>
        <v>6.9687072339965741E-3</v>
      </c>
      <c r="Y79" s="44">
        <f>'Methanol Recycling HC'!X157</f>
        <v>7.5033393923282449E-3</v>
      </c>
      <c r="Z79" s="44">
        <f>'Methanol Recycling HC'!Y157</f>
        <v>7.9667856711877569E-3</v>
      </c>
      <c r="AA79" s="44">
        <f>'Methanol Recycling HC'!Z157</f>
        <v>8.3796508025196642E-3</v>
      </c>
      <c r="AB79" s="44">
        <f>'Methanol Recycling HC'!AA157</f>
        <v>8.7095304310445074E-3</v>
      </c>
      <c r="AC79" s="44">
        <f>'Methanol Recycling HC'!AB157</f>
        <v>8.9485850335651006E-3</v>
      </c>
      <c r="AD79" s="44">
        <f>'Methanol Recycling HC'!AC157</f>
        <v>9.0887942452690124E-3</v>
      </c>
      <c r="AE79" s="44">
        <f>'Methanol Recycling HC'!AD157</f>
        <v>9.12176722057393E-3</v>
      </c>
      <c r="AF79" s="44">
        <f>'Methanol Recycling HC'!AE157</f>
        <v>9.0388285722231149E-3</v>
      </c>
      <c r="AG79" s="44">
        <f>'Methanol Recycling HC'!AF157</f>
        <v>8.8310166741315393E-3</v>
      </c>
      <c r="AH79" s="44">
        <f>'Methanol Recycling HC'!AG157</f>
        <v>8.4890821896167739E-3</v>
      </c>
      <c r="AJ79" s="44">
        <f>D79</f>
        <v>0</v>
      </c>
      <c r="AK79" s="44">
        <f t="shared" si="558"/>
        <v>2.6140700394466552E-4</v>
      </c>
      <c r="AL79" s="44">
        <f t="shared" si="558"/>
        <v>5.3032508858054253E-4</v>
      </c>
      <c r="AM79" s="44">
        <f t="shared" si="558"/>
        <v>8.0409552391344074E-4</v>
      </c>
      <c r="AN79" s="44">
        <f t="shared" si="558"/>
        <v>1.0798639516371902E-3</v>
      </c>
      <c r="AO79" s="44">
        <f t="shared" si="558"/>
        <v>1.3546206600752065E-3</v>
      </c>
      <c r="AP79" s="44">
        <f t="shared" si="558"/>
        <v>1.6307481652678916E-3</v>
      </c>
      <c r="AQ79" s="44">
        <f t="shared" si="558"/>
        <v>1.9068015607071902E-3</v>
      </c>
      <c r="AR79" s="44">
        <f t="shared" si="558"/>
        <v>2.1812447087912468E-3</v>
      </c>
      <c r="AS79" s="44">
        <f t="shared" si="558"/>
        <v>2.4524517574204801E-3</v>
      </c>
      <c r="AT79" s="44">
        <f t="shared" si="558"/>
        <v>2.7187091048969138E-3</v>
      </c>
      <c r="AU79" s="44">
        <f t="shared" si="558"/>
        <v>3.2605449382702408E-3</v>
      </c>
      <c r="AV79" s="44">
        <f t="shared" si="558"/>
        <v>3.7841538177466119E-3</v>
      </c>
      <c r="AW79" s="44">
        <f t="shared" si="558"/>
        <v>4.2940131313184745E-3</v>
      </c>
      <c r="AX79" s="44">
        <f t="shared" si="558"/>
        <v>4.7757026260132089E-3</v>
      </c>
      <c r="AY79" s="44">
        <f t="shared" si="558"/>
        <v>5.2232680126376076E-3</v>
      </c>
      <c r="AZ79" s="44">
        <f t="shared" si="558"/>
        <v>5.6427442013753069E-3</v>
      </c>
      <c r="BA79" s="44">
        <f t="shared" si="558"/>
        <v>6.0306662542835539E-3</v>
      </c>
      <c r="BB79" s="44">
        <f t="shared" si="558"/>
        <v>6.3834524824557398E-3</v>
      </c>
      <c r="BC79" s="44">
        <f t="shared" si="558"/>
        <v>6.6974044712031109E-3</v>
      </c>
      <c r="BD79" s="44">
        <f t="shared" si="558"/>
        <v>6.9687072339965741E-3</v>
      </c>
      <c r="BE79" s="44">
        <f t="shared" si="558"/>
        <v>7.5033393923282449E-3</v>
      </c>
      <c r="BF79" s="44">
        <f t="shared" si="558"/>
        <v>7.9667856711877569E-3</v>
      </c>
      <c r="BG79" s="44">
        <f t="shared" si="558"/>
        <v>8.3796508025196642E-3</v>
      </c>
      <c r="BH79" s="44">
        <f t="shared" si="558"/>
        <v>8.7095304310445074E-3</v>
      </c>
      <c r="BI79" s="44">
        <f t="shared" si="558"/>
        <v>8.9485850335651006E-3</v>
      </c>
      <c r="BJ79" s="44">
        <f t="shared" si="558"/>
        <v>9.0887942452690124E-3</v>
      </c>
      <c r="BK79" s="44">
        <f t="shared" si="558"/>
        <v>9.12176722057393E-3</v>
      </c>
      <c r="BL79" s="44">
        <f t="shared" si="558"/>
        <v>9.0388285722231149E-3</v>
      </c>
      <c r="BM79" s="44">
        <f t="shared" si="558"/>
        <v>8.8310166741315393E-3</v>
      </c>
      <c r="BN79" s="44">
        <f t="shared" si="558"/>
        <v>8.4890821896167739E-3</v>
      </c>
    </row>
    <row r="80" spans="1:66">
      <c r="A80" s="62"/>
      <c r="B80" s="62" t="s">
        <v>219</v>
      </c>
      <c r="C80" s="63" t="s">
        <v>153</v>
      </c>
      <c r="D80" s="64">
        <f>D77-D78-D79</f>
        <v>4.3918200345154137</v>
      </c>
      <c r="E80" s="64">
        <f t="shared" ref="E80:AG80" si="559">E77-E78-E79</f>
        <v>4.4394759317822281</v>
      </c>
      <c r="F80" s="64">
        <f t="shared" si="559"/>
        <v>4.4878279578747389</v>
      </c>
      <c r="G80" s="64">
        <f t="shared" si="559"/>
        <v>4.5369827862282115</v>
      </c>
      <c r="H80" s="64">
        <f t="shared" si="559"/>
        <v>4.5870516060164936</v>
      </c>
      <c r="I80" s="64">
        <f t="shared" si="559"/>
        <v>4.638148979370186</v>
      </c>
      <c r="J80" s="64">
        <f t="shared" si="559"/>
        <v>4.6899039586585118</v>
      </c>
      <c r="K80" s="64">
        <f t="shared" si="559"/>
        <v>4.7423450607037934</v>
      </c>
      <c r="L80" s="64">
        <f t="shared" si="559"/>
        <v>4.7955019336356601</v>
      </c>
      <c r="M80" s="64">
        <f t="shared" si="559"/>
        <v>4.8494053403582447</v>
      </c>
      <c r="N80" s="64">
        <f t="shared" si="559"/>
        <v>4.904087138548233</v>
      </c>
      <c r="O80" s="64">
        <f t="shared" si="559"/>
        <v>4.9492732355832469</v>
      </c>
      <c r="P80" s="64">
        <f t="shared" si="559"/>
        <v>4.9956248213507308</v>
      </c>
      <c r="Q80" s="64">
        <f t="shared" si="559"/>
        <v>5.0432933907887509</v>
      </c>
      <c r="R80" s="64">
        <f t="shared" si="559"/>
        <v>5.0924502806993885</v>
      </c>
      <c r="S80" s="64">
        <f t="shared" si="559"/>
        <v>5.1432579395261637</v>
      </c>
      <c r="T80" s="64">
        <f t="shared" si="559"/>
        <v>5.1950974139887931</v>
      </c>
      <c r="U80" s="64">
        <f t="shared" si="559"/>
        <v>5.2479994310116069</v>
      </c>
      <c r="V80" s="64">
        <f t="shared" si="559"/>
        <v>5.301995236539625</v>
      </c>
      <c r="W80" s="64">
        <f t="shared" si="559"/>
        <v>5.3571165917797563</v>
      </c>
      <c r="X80" s="64">
        <f t="shared" si="559"/>
        <v>5.4133957691027588</v>
      </c>
      <c r="Y80" s="64">
        <f t="shared" si="559"/>
        <v>5.4529978036451725</v>
      </c>
      <c r="Z80" s="64">
        <f t="shared" si="559"/>
        <v>5.493791315858692</v>
      </c>
      <c r="AA80" s="64">
        <f t="shared" si="559"/>
        <v>5.5357936791415012</v>
      </c>
      <c r="AB80" s="64">
        <f t="shared" si="559"/>
        <v>5.5790757966799127</v>
      </c>
      <c r="AC80" s="64">
        <f t="shared" si="559"/>
        <v>5.6236845196907126</v>
      </c>
      <c r="AD80" s="64">
        <f t="shared" si="559"/>
        <v>5.6696601328351415</v>
      </c>
      <c r="AE80" s="64">
        <f t="shared" si="559"/>
        <v>5.7170498714884088</v>
      </c>
      <c r="AF80" s="64">
        <f t="shared" si="559"/>
        <v>5.7659017475437508</v>
      </c>
      <c r="AG80" s="64">
        <f t="shared" si="559"/>
        <v>5.8162645442374998</v>
      </c>
      <c r="AH80" s="64">
        <f>AH77-AH78-AH79</f>
        <v>5.8681878104943115</v>
      </c>
      <c r="AJ80" s="64">
        <f>AJ77-AJ78-AJ79</f>
        <v>4.3918200345154137</v>
      </c>
      <c r="AK80" s="64">
        <f t="shared" ref="AK80:BM80" si="560">AK77-AK78-AK79</f>
        <v>4.4394759317822281</v>
      </c>
      <c r="AL80" s="64">
        <f t="shared" si="560"/>
        <v>4.4878279578747389</v>
      </c>
      <c r="AM80" s="64">
        <f t="shared" si="560"/>
        <v>4.5369827862282115</v>
      </c>
      <c r="AN80" s="64">
        <f t="shared" si="560"/>
        <v>4.5870516060164936</v>
      </c>
      <c r="AO80" s="64">
        <f t="shared" si="560"/>
        <v>4.638148979370186</v>
      </c>
      <c r="AP80" s="64">
        <f t="shared" si="560"/>
        <v>4.6899039586585118</v>
      </c>
      <c r="AQ80" s="64">
        <f t="shared" si="560"/>
        <v>4.7423450607037934</v>
      </c>
      <c r="AR80" s="64">
        <f t="shared" si="560"/>
        <v>4.7955019336356601</v>
      </c>
      <c r="AS80" s="64">
        <f t="shared" si="560"/>
        <v>4.8494053403582447</v>
      </c>
      <c r="AT80" s="64">
        <f t="shared" si="560"/>
        <v>4.904087138548233</v>
      </c>
      <c r="AU80" s="64">
        <f t="shared" si="560"/>
        <v>4.9492732355832469</v>
      </c>
      <c r="AV80" s="64">
        <f t="shared" si="560"/>
        <v>4.9956248213507308</v>
      </c>
      <c r="AW80" s="64">
        <f t="shared" si="560"/>
        <v>5.0432933907887509</v>
      </c>
      <c r="AX80" s="64">
        <f t="shared" si="560"/>
        <v>5.0924502806993885</v>
      </c>
      <c r="AY80" s="64">
        <f t="shared" si="560"/>
        <v>5.1432579395261637</v>
      </c>
      <c r="AZ80" s="64">
        <f t="shared" si="560"/>
        <v>5.1950974139887931</v>
      </c>
      <c r="BA80" s="64">
        <f t="shared" si="560"/>
        <v>5.2479994310116069</v>
      </c>
      <c r="BB80" s="64">
        <f t="shared" si="560"/>
        <v>5.301995236539625</v>
      </c>
      <c r="BC80" s="64">
        <f t="shared" si="560"/>
        <v>5.3571165917797563</v>
      </c>
      <c r="BD80" s="64">
        <f t="shared" si="560"/>
        <v>5.4133957691027588</v>
      </c>
      <c r="BE80" s="64">
        <f t="shared" si="560"/>
        <v>5.4529978036451725</v>
      </c>
      <c r="BF80" s="64">
        <f t="shared" si="560"/>
        <v>5.493791315858692</v>
      </c>
      <c r="BG80" s="64">
        <f t="shared" si="560"/>
        <v>5.5357936791415012</v>
      </c>
      <c r="BH80" s="64">
        <f t="shared" si="560"/>
        <v>5.5790757966799127</v>
      </c>
      <c r="BI80" s="64">
        <f t="shared" si="560"/>
        <v>5.6236845196907126</v>
      </c>
      <c r="BJ80" s="64">
        <f t="shared" si="560"/>
        <v>5.6696601328351415</v>
      </c>
      <c r="BK80" s="64">
        <f t="shared" si="560"/>
        <v>5.7170498714884088</v>
      </c>
      <c r="BL80" s="64">
        <f t="shared" si="560"/>
        <v>5.7659017475437508</v>
      </c>
      <c r="BM80" s="64">
        <f t="shared" si="560"/>
        <v>5.8162645442374998</v>
      </c>
      <c r="BN80" s="64">
        <f>BN77-BN78-BN79</f>
        <v>5.8681878104943115</v>
      </c>
    </row>
    <row r="81" spans="1:66" s="67" customFormat="1">
      <c r="A81" s="752"/>
      <c r="B81" s="58" t="s">
        <v>246</v>
      </c>
      <c r="C81" s="59" t="s">
        <v>153</v>
      </c>
      <c r="D81" s="60">
        <f>D37</f>
        <v>0.73643027914893988</v>
      </c>
      <c r="E81" s="60">
        <f t="shared" ref="E81:AH82" si="561">E37</f>
        <v>0.72904649720286097</v>
      </c>
      <c r="F81" s="60">
        <f t="shared" si="561"/>
        <v>0.7242148613519992</v>
      </c>
      <c r="G81" s="60">
        <f t="shared" si="561"/>
        <v>0.72142691857600383</v>
      </c>
      <c r="H81" s="60">
        <f t="shared" si="561"/>
        <v>0.72030984516977581</v>
      </c>
      <c r="I81" s="60">
        <f t="shared" si="561"/>
        <v>0.72058435584829961</v>
      </c>
      <c r="J81" s="60">
        <f t="shared" si="561"/>
        <v>0.72203738324592159</v>
      </c>
      <c r="K81" s="60">
        <f t="shared" si="561"/>
        <v>0.72450381542935993</v>
      </c>
      <c r="L81" s="60">
        <f t="shared" si="561"/>
        <v>0.7278539717218625</v>
      </c>
      <c r="M81" s="60">
        <f t="shared" si="561"/>
        <v>0.73198481844273056</v>
      </c>
      <c r="N81" s="60">
        <f t="shared" si="561"/>
        <v>0.73681368387134605</v>
      </c>
      <c r="O81" s="60">
        <f t="shared" si="561"/>
        <v>0.74968485145319286</v>
      </c>
      <c r="P81" s="60">
        <f t="shared" si="561"/>
        <v>0.7628864770629461</v>
      </c>
      <c r="Q81" s="60">
        <f t="shared" si="561"/>
        <v>0.77642891465126562</v>
      </c>
      <c r="R81" s="60">
        <f t="shared" si="561"/>
        <v>0.79032304874346504</v>
      </c>
      <c r="S81" s="60">
        <f t="shared" si="561"/>
        <v>0.80458032160683446</v>
      </c>
      <c r="T81" s="60">
        <f t="shared" si="561"/>
        <v>0.81983093365862458</v>
      </c>
      <c r="U81" s="60">
        <f t="shared" si="561"/>
        <v>0.83549423028510394</v>
      </c>
      <c r="V81" s="60">
        <f t="shared" si="561"/>
        <v>0.85158548883684226</v>
      </c>
      <c r="W81" s="60">
        <f t="shared" si="561"/>
        <v>0.86812079204798709</v>
      </c>
      <c r="X81" s="60">
        <f t="shared" si="561"/>
        <v>0.88511707994476041</v>
      </c>
      <c r="Y81" s="60">
        <f t="shared" si="561"/>
        <v>0.90399175132403842</v>
      </c>
      <c r="Z81" s="60">
        <f t="shared" si="561"/>
        <v>0.92344858177382638</v>
      </c>
      <c r="AA81" s="60">
        <f t="shared" si="561"/>
        <v>0.94351382956423679</v>
      </c>
      <c r="AB81" s="60">
        <f t="shared" si="561"/>
        <v>0.96421537687373926</v>
      </c>
      <c r="AC81" s="60">
        <f t="shared" si="561"/>
        <v>0.98558285753876673</v>
      </c>
      <c r="AD81" s="60">
        <f t="shared" si="561"/>
        <v>1.0076477970643605</v>
      </c>
      <c r="AE81" s="60">
        <f t="shared" si="561"/>
        <v>1.030443766290331</v>
      </c>
      <c r="AF81" s="60">
        <f t="shared" si="561"/>
        <v>1.0540065502917149</v>
      </c>
      <c r="AG81" s="60">
        <f t="shared" si="561"/>
        <v>1.0783743343044341</v>
      </c>
      <c r="AH81" s="60">
        <f t="shared" si="561"/>
        <v>1.1035879087118297</v>
      </c>
      <c r="AJ81" s="60">
        <f>AJ37</f>
        <v>0.73643027914893988</v>
      </c>
      <c r="AK81" s="60">
        <f t="shared" ref="AK81:BN81" si="562">AK37</f>
        <v>0.72904649720286097</v>
      </c>
      <c r="AL81" s="60">
        <f t="shared" si="562"/>
        <v>0.7242148613519992</v>
      </c>
      <c r="AM81" s="60">
        <f t="shared" si="562"/>
        <v>0.72142691857600383</v>
      </c>
      <c r="AN81" s="60">
        <f t="shared" si="562"/>
        <v>0.72030984516977581</v>
      </c>
      <c r="AO81" s="60">
        <f t="shared" si="562"/>
        <v>0.72058435584829961</v>
      </c>
      <c r="AP81" s="60">
        <f t="shared" si="562"/>
        <v>0.72203738324592159</v>
      </c>
      <c r="AQ81" s="60">
        <f t="shared" si="562"/>
        <v>0.72450381542935993</v>
      </c>
      <c r="AR81" s="60">
        <f t="shared" si="562"/>
        <v>0.7278539717218625</v>
      </c>
      <c r="AS81" s="60">
        <f t="shared" si="562"/>
        <v>0.73198481844273056</v>
      </c>
      <c r="AT81" s="60">
        <f t="shared" si="562"/>
        <v>0.73681368387134605</v>
      </c>
      <c r="AU81" s="60">
        <f t="shared" si="562"/>
        <v>0.74968485145319286</v>
      </c>
      <c r="AV81" s="60">
        <f t="shared" si="562"/>
        <v>0.7628864770629461</v>
      </c>
      <c r="AW81" s="60">
        <f t="shared" si="562"/>
        <v>0.77642891465126562</v>
      </c>
      <c r="AX81" s="60">
        <f t="shared" si="562"/>
        <v>0.79032304874346504</v>
      </c>
      <c r="AY81" s="60">
        <f t="shared" si="562"/>
        <v>0.80458032160683446</v>
      </c>
      <c r="AZ81" s="60">
        <f t="shared" si="562"/>
        <v>0.81983093365862458</v>
      </c>
      <c r="BA81" s="60">
        <f t="shared" si="562"/>
        <v>0.83549423028510394</v>
      </c>
      <c r="BB81" s="60">
        <f t="shared" si="562"/>
        <v>0.85158548883684226</v>
      </c>
      <c r="BC81" s="60">
        <f t="shared" si="562"/>
        <v>0.86812079204798709</v>
      </c>
      <c r="BD81" s="60">
        <f t="shared" si="562"/>
        <v>0.88511707994476041</v>
      </c>
      <c r="BE81" s="60">
        <f t="shared" si="562"/>
        <v>0.90399175132403842</v>
      </c>
      <c r="BF81" s="60">
        <f t="shared" si="562"/>
        <v>0.92344858177382638</v>
      </c>
      <c r="BG81" s="60">
        <f t="shared" si="562"/>
        <v>0.94351382956423679</v>
      </c>
      <c r="BH81" s="60">
        <f t="shared" si="562"/>
        <v>0.96421537687373926</v>
      </c>
      <c r="BI81" s="60">
        <f t="shared" si="562"/>
        <v>0.98558285753876673</v>
      </c>
      <c r="BJ81" s="60">
        <f t="shared" si="562"/>
        <v>1.0076477970643605</v>
      </c>
      <c r="BK81" s="60">
        <f t="shared" si="562"/>
        <v>1.030443766290331</v>
      </c>
      <c r="BL81" s="60">
        <f t="shared" si="562"/>
        <v>1.0540065502917149</v>
      </c>
      <c r="BM81" s="60">
        <f t="shared" si="562"/>
        <v>1.0783743343044341</v>
      </c>
      <c r="BN81" s="60">
        <f t="shared" si="562"/>
        <v>1.1035879087118297</v>
      </c>
    </row>
    <row r="82" spans="1:66">
      <c r="A82" s="753"/>
      <c r="B82" s="1" t="s">
        <v>247</v>
      </c>
      <c r="C82" s="54" t="s">
        <v>153</v>
      </c>
      <c r="D82" s="44">
        <f t="shared" ref="D82:S82" si="563">D38</f>
        <v>0</v>
      </c>
      <c r="E82" s="44">
        <f t="shared" si="563"/>
        <v>0</v>
      </c>
      <c r="F82" s="44">
        <f t="shared" si="563"/>
        <v>0</v>
      </c>
      <c r="G82" s="44">
        <f t="shared" si="563"/>
        <v>0</v>
      </c>
      <c r="H82" s="44">
        <f t="shared" si="563"/>
        <v>0</v>
      </c>
      <c r="I82" s="44">
        <f t="shared" si="563"/>
        <v>0</v>
      </c>
      <c r="J82" s="44">
        <f t="shared" si="563"/>
        <v>0</v>
      </c>
      <c r="K82" s="44">
        <f t="shared" si="563"/>
        <v>0</v>
      </c>
      <c r="L82" s="44">
        <f t="shared" si="563"/>
        <v>0</v>
      </c>
      <c r="M82" s="44">
        <f t="shared" si="563"/>
        <v>0</v>
      </c>
      <c r="N82" s="44">
        <f t="shared" si="563"/>
        <v>0</v>
      </c>
      <c r="O82" s="44">
        <f t="shared" si="563"/>
        <v>0</v>
      </c>
      <c r="P82" s="44">
        <f t="shared" si="563"/>
        <v>0</v>
      </c>
      <c r="Q82" s="44">
        <f t="shared" si="563"/>
        <v>0</v>
      </c>
      <c r="R82" s="44">
        <f t="shared" si="563"/>
        <v>0</v>
      </c>
      <c r="S82" s="44">
        <f t="shared" si="563"/>
        <v>0</v>
      </c>
      <c r="T82" s="44">
        <f t="shared" si="561"/>
        <v>0</v>
      </c>
      <c r="U82" s="44">
        <f t="shared" si="561"/>
        <v>0</v>
      </c>
      <c r="V82" s="44">
        <f t="shared" si="561"/>
        <v>0</v>
      </c>
      <c r="W82" s="44">
        <f t="shared" si="561"/>
        <v>0</v>
      </c>
      <c r="X82" s="44">
        <f t="shared" si="561"/>
        <v>0</v>
      </c>
      <c r="Y82" s="44">
        <f t="shared" si="561"/>
        <v>0</v>
      </c>
      <c r="Z82" s="44">
        <f t="shared" si="561"/>
        <v>0</v>
      </c>
      <c r="AA82" s="44">
        <f t="shared" si="561"/>
        <v>0</v>
      </c>
      <c r="AB82" s="44">
        <f t="shared" si="561"/>
        <v>0</v>
      </c>
      <c r="AC82" s="44">
        <f t="shared" si="561"/>
        <v>0</v>
      </c>
      <c r="AD82" s="44">
        <f t="shared" si="561"/>
        <v>0</v>
      </c>
      <c r="AE82" s="44">
        <f t="shared" si="561"/>
        <v>0</v>
      </c>
      <c r="AF82" s="44">
        <f t="shared" si="561"/>
        <v>0</v>
      </c>
      <c r="AG82" s="44">
        <f t="shared" si="561"/>
        <v>0</v>
      </c>
      <c r="AH82" s="44">
        <f t="shared" si="561"/>
        <v>0</v>
      </c>
      <c r="AJ82" s="44">
        <f t="shared" ref="AJ82:BN82" si="564">AJ38</f>
        <v>0</v>
      </c>
      <c r="AK82" s="44">
        <f t="shared" si="564"/>
        <v>0</v>
      </c>
      <c r="AL82" s="44">
        <f t="shared" si="564"/>
        <v>0</v>
      </c>
      <c r="AM82" s="44">
        <f t="shared" si="564"/>
        <v>0</v>
      </c>
      <c r="AN82" s="44">
        <f t="shared" si="564"/>
        <v>0</v>
      </c>
      <c r="AO82" s="44">
        <f t="shared" si="564"/>
        <v>0</v>
      </c>
      <c r="AP82" s="44">
        <f t="shared" si="564"/>
        <v>0</v>
      </c>
      <c r="AQ82" s="44">
        <f t="shared" si="564"/>
        <v>0</v>
      </c>
      <c r="AR82" s="44">
        <f t="shared" si="564"/>
        <v>0</v>
      </c>
      <c r="AS82" s="44">
        <f t="shared" si="564"/>
        <v>0</v>
      </c>
      <c r="AT82" s="44">
        <f t="shared" si="564"/>
        <v>0</v>
      </c>
      <c r="AU82" s="44">
        <f t="shared" si="564"/>
        <v>0</v>
      </c>
      <c r="AV82" s="44">
        <f t="shared" si="564"/>
        <v>0</v>
      </c>
      <c r="AW82" s="44">
        <f t="shared" si="564"/>
        <v>0</v>
      </c>
      <c r="AX82" s="44">
        <f t="shared" si="564"/>
        <v>0</v>
      </c>
      <c r="AY82" s="44">
        <f t="shared" si="564"/>
        <v>0</v>
      </c>
      <c r="AZ82" s="44">
        <f t="shared" si="564"/>
        <v>0</v>
      </c>
      <c r="BA82" s="44">
        <f t="shared" si="564"/>
        <v>0</v>
      </c>
      <c r="BB82" s="44">
        <f t="shared" si="564"/>
        <v>0</v>
      </c>
      <c r="BC82" s="44">
        <f t="shared" si="564"/>
        <v>0</v>
      </c>
      <c r="BD82" s="44">
        <f t="shared" si="564"/>
        <v>0</v>
      </c>
      <c r="BE82" s="44">
        <f t="shared" si="564"/>
        <v>0</v>
      </c>
      <c r="BF82" s="44">
        <f t="shared" si="564"/>
        <v>0</v>
      </c>
      <c r="BG82" s="44">
        <f t="shared" si="564"/>
        <v>0</v>
      </c>
      <c r="BH82" s="44">
        <f t="shared" si="564"/>
        <v>0</v>
      </c>
      <c r="BI82" s="44">
        <f t="shared" si="564"/>
        <v>0</v>
      </c>
      <c r="BJ82" s="44">
        <f t="shared" si="564"/>
        <v>0</v>
      </c>
      <c r="BK82" s="44">
        <f t="shared" si="564"/>
        <v>0</v>
      </c>
      <c r="BL82" s="44">
        <f t="shared" si="564"/>
        <v>0</v>
      </c>
      <c r="BM82" s="44">
        <f t="shared" si="564"/>
        <v>0</v>
      </c>
      <c r="BN82" s="44">
        <f t="shared" si="564"/>
        <v>0</v>
      </c>
    </row>
    <row r="83" spans="1:66" s="68" customFormat="1">
      <c r="A83" s="754"/>
      <c r="B83" s="62" t="s">
        <v>248</v>
      </c>
      <c r="C83" s="283" t="s">
        <v>153</v>
      </c>
      <c r="D83" s="284">
        <f>D39-(D77-D80)</f>
        <v>3.6553897553664738</v>
      </c>
      <c r="E83" s="284">
        <f t="shared" ref="E83:AH83" si="565">E39-(E77-E80)</f>
        <v>3.7104294345793667</v>
      </c>
      <c r="F83" s="284">
        <f t="shared" si="565"/>
        <v>3.7636130965227399</v>
      </c>
      <c r="G83" s="284">
        <f t="shared" si="565"/>
        <v>3.8155558676522077</v>
      </c>
      <c r="H83" s="284">
        <f t="shared" si="565"/>
        <v>3.8667417608467178</v>
      </c>
      <c r="I83" s="284">
        <f t="shared" si="565"/>
        <v>3.9175646235218862</v>
      </c>
      <c r="J83" s="284">
        <f t="shared" si="565"/>
        <v>3.9678665754125904</v>
      </c>
      <c r="K83" s="284">
        <f t="shared" si="565"/>
        <v>4.0178412452744334</v>
      </c>
      <c r="L83" s="284">
        <f t="shared" si="565"/>
        <v>4.0676479619137984</v>
      </c>
      <c r="M83" s="284">
        <f t="shared" si="565"/>
        <v>4.1174205219155144</v>
      </c>
      <c r="N83" s="284">
        <f t="shared" si="565"/>
        <v>4.167273454676887</v>
      </c>
      <c r="O83" s="284">
        <f t="shared" si="565"/>
        <v>4.1995883841300543</v>
      </c>
      <c r="P83" s="284">
        <f t="shared" si="565"/>
        <v>4.2327383442877844</v>
      </c>
      <c r="Q83" s="284">
        <f t="shared" si="565"/>
        <v>4.266864476137485</v>
      </c>
      <c r="R83" s="284">
        <f t="shared" si="565"/>
        <v>4.3021272319559234</v>
      </c>
      <c r="S83" s="284">
        <f t="shared" si="565"/>
        <v>4.3386776179193287</v>
      </c>
      <c r="T83" s="284">
        <f t="shared" si="565"/>
        <v>4.3752664803301684</v>
      </c>
      <c r="U83" s="284">
        <f t="shared" si="565"/>
        <v>4.4125052007265033</v>
      </c>
      <c r="V83" s="284">
        <f t="shared" si="565"/>
        <v>4.4504097477027829</v>
      </c>
      <c r="W83" s="284">
        <f t="shared" si="565"/>
        <v>4.4889957997317689</v>
      </c>
      <c r="X83" s="284">
        <f t="shared" si="565"/>
        <v>4.5282786891579985</v>
      </c>
      <c r="Y83" s="284">
        <f t="shared" si="565"/>
        <v>4.5490060523211344</v>
      </c>
      <c r="Z83" s="284">
        <f t="shared" si="565"/>
        <v>4.5703427340848659</v>
      </c>
      <c r="AA83" s="284">
        <f t="shared" si="565"/>
        <v>4.592279849577265</v>
      </c>
      <c r="AB83" s="284">
        <f t="shared" si="565"/>
        <v>4.6148604198061731</v>
      </c>
      <c r="AC83" s="284">
        <f t="shared" si="565"/>
        <v>4.6381016621519464</v>
      </c>
      <c r="AD83" s="284">
        <f t="shared" si="565"/>
        <v>4.6620123357707817</v>
      </c>
      <c r="AE83" s="284">
        <f t="shared" si="565"/>
        <v>4.6866061051980781</v>
      </c>
      <c r="AF83" s="284">
        <f t="shared" si="565"/>
        <v>4.7118951972520362</v>
      </c>
      <c r="AG83" s="284">
        <f t="shared" si="565"/>
        <v>4.7378902099330658</v>
      </c>
      <c r="AH83" s="284">
        <f t="shared" si="565"/>
        <v>4.764599901782482</v>
      </c>
      <c r="AJ83" s="284">
        <f>AJ39-(AJ77-AJ80)</f>
        <v>3.6553897553664738</v>
      </c>
      <c r="AK83" s="284">
        <f t="shared" ref="AK83:BM83" si="566">AK39-(AK77-AK80)</f>
        <v>3.7104294345793667</v>
      </c>
      <c r="AL83" s="284">
        <f t="shared" si="566"/>
        <v>3.7636130965227399</v>
      </c>
      <c r="AM83" s="284">
        <f t="shared" si="566"/>
        <v>3.8155558676522077</v>
      </c>
      <c r="AN83" s="284">
        <f t="shared" si="566"/>
        <v>3.8667417608467178</v>
      </c>
      <c r="AO83" s="284">
        <f t="shared" si="566"/>
        <v>3.9175646235218862</v>
      </c>
      <c r="AP83" s="284">
        <f t="shared" si="566"/>
        <v>3.9678665754125904</v>
      </c>
      <c r="AQ83" s="284">
        <f t="shared" si="566"/>
        <v>4.0178412452744334</v>
      </c>
      <c r="AR83" s="284">
        <f t="shared" si="566"/>
        <v>4.0676479619137984</v>
      </c>
      <c r="AS83" s="284">
        <f t="shared" si="566"/>
        <v>4.1174205219155144</v>
      </c>
      <c r="AT83" s="284">
        <f t="shared" si="566"/>
        <v>4.167273454676887</v>
      </c>
      <c r="AU83" s="284">
        <f t="shared" si="566"/>
        <v>4.1995883841300543</v>
      </c>
      <c r="AV83" s="284">
        <f t="shared" si="566"/>
        <v>4.2327383442877844</v>
      </c>
      <c r="AW83" s="284">
        <f t="shared" si="566"/>
        <v>4.266864476137485</v>
      </c>
      <c r="AX83" s="284">
        <f t="shared" si="566"/>
        <v>4.3021272319559234</v>
      </c>
      <c r="AY83" s="284">
        <f t="shared" si="566"/>
        <v>4.3386776179193287</v>
      </c>
      <c r="AZ83" s="284">
        <f t="shared" si="566"/>
        <v>4.3752664803301684</v>
      </c>
      <c r="BA83" s="284">
        <f t="shared" si="566"/>
        <v>4.4125052007265033</v>
      </c>
      <c r="BB83" s="284">
        <f t="shared" si="566"/>
        <v>4.4504097477027829</v>
      </c>
      <c r="BC83" s="284">
        <f t="shared" si="566"/>
        <v>4.4889957997317689</v>
      </c>
      <c r="BD83" s="284">
        <f t="shared" si="566"/>
        <v>4.5282786891579985</v>
      </c>
      <c r="BE83" s="284">
        <f t="shared" si="566"/>
        <v>4.5490060523211344</v>
      </c>
      <c r="BF83" s="284">
        <f t="shared" si="566"/>
        <v>4.5703427340848659</v>
      </c>
      <c r="BG83" s="284">
        <f t="shared" si="566"/>
        <v>4.592279849577265</v>
      </c>
      <c r="BH83" s="284">
        <f t="shared" si="566"/>
        <v>4.6148604198061731</v>
      </c>
      <c r="BI83" s="284">
        <f t="shared" si="566"/>
        <v>4.6381016621519464</v>
      </c>
      <c r="BJ83" s="284">
        <f t="shared" si="566"/>
        <v>4.6620123357707817</v>
      </c>
      <c r="BK83" s="284">
        <f t="shared" si="566"/>
        <v>4.6866061051980781</v>
      </c>
      <c r="BL83" s="284">
        <f t="shared" si="566"/>
        <v>4.7118951972520362</v>
      </c>
      <c r="BM83" s="284">
        <f t="shared" si="566"/>
        <v>4.7378902099330658</v>
      </c>
      <c r="BN83" s="284">
        <f>BN39-(BN77-BN80)</f>
        <v>4.764599901782482</v>
      </c>
    </row>
    <row r="84" spans="1:66">
      <c r="A84" s="58" t="s">
        <v>220</v>
      </c>
      <c r="B84" s="58" t="s">
        <v>197</v>
      </c>
      <c r="C84" s="100" t="s">
        <v>153</v>
      </c>
      <c r="D84" s="101">
        <f t="shared" ref="D84:AH84" si="567">D25</f>
        <v>7.4818743268684171</v>
      </c>
      <c r="E84" s="101">
        <f t="shared" si="567"/>
        <v>7.6242843228060293</v>
      </c>
      <c r="F84" s="101">
        <f t="shared" si="567"/>
        <v>7.7693739969250553</v>
      </c>
      <c r="G84" s="101">
        <f t="shared" si="567"/>
        <v>7.9171933017948382</v>
      </c>
      <c r="H84" s="101">
        <f t="shared" si="567"/>
        <v>8.0677931139450809</v>
      </c>
      <c r="I84" s="101">
        <f t="shared" si="567"/>
        <v>8.2212252508442152</v>
      </c>
      <c r="J84" s="101">
        <f t="shared" si="567"/>
        <v>8.3775424881879879</v>
      </c>
      <c r="K84" s="101">
        <f t="shared" si="567"/>
        <v>8.5367985775039568</v>
      </c>
      <c r="L84" s="101">
        <f t="shared" si="567"/>
        <v>8.6990482640775806</v>
      </c>
      <c r="M84" s="101">
        <f t="shared" si="567"/>
        <v>8.8643473052058113</v>
      </c>
      <c r="N84" s="101">
        <f t="shared" si="567"/>
        <v>9.032752488784082</v>
      </c>
      <c r="O84" s="101">
        <f t="shared" si="567"/>
        <v>9.2313402089419085</v>
      </c>
      <c r="P84" s="101">
        <f t="shared" si="567"/>
        <v>9.4340694461158403</v>
      </c>
      <c r="Q84" s="101">
        <f t="shared" si="567"/>
        <v>9.6410236200333017</v>
      </c>
      <c r="R84" s="101">
        <f t="shared" si="567"/>
        <v>9.8522877897940315</v>
      </c>
      <c r="S84" s="101">
        <f t="shared" si="567"/>
        <v>10.067948685500435</v>
      </c>
      <c r="T84" s="101">
        <f t="shared" si="567"/>
        <v>10.288094740489607</v>
      </c>
      <c r="U84" s="101">
        <f t="shared" si="567"/>
        <v>10.512816124178299</v>
      </c>
      <c r="V84" s="101">
        <f t="shared" si="567"/>
        <v>10.742204775532405</v>
      </c>
      <c r="W84" s="101">
        <f t="shared" si="567"/>
        <v>10.976354437172667</v>
      </c>
      <c r="X84" s="101">
        <f t="shared" si="567"/>
        <v>11.215360690128566</v>
      </c>
      <c r="Y84" s="101">
        <f t="shared" si="567"/>
        <v>11.438001322295875</v>
      </c>
      <c r="Z84" s="101">
        <f t="shared" si="567"/>
        <v>11.664970496717423</v>
      </c>
      <c r="AA84" s="101">
        <f t="shared" si="567"/>
        <v>11.896351040687161</v>
      </c>
      <c r="AB84" s="101">
        <f t="shared" si="567"/>
        <v>12.13222734667832</v>
      </c>
      <c r="AC84" s="101">
        <f t="shared" si="567"/>
        <v>12.372685401622419</v>
      </c>
      <c r="AD84" s="101">
        <f t="shared" si="567"/>
        <v>12.617812816731426</v>
      </c>
      <c r="AE84" s="101">
        <f t="shared" si="567"/>
        <v>12.867698857873073</v>
      </c>
      <c r="AF84" s="101">
        <f t="shared" si="567"/>
        <v>13.1224344765095</v>
      </c>
      <c r="AG84" s="101">
        <f t="shared" si="567"/>
        <v>13.382112341209639</v>
      </c>
      <c r="AH84" s="101">
        <f t="shared" si="567"/>
        <v>13.646826869745873</v>
      </c>
      <c r="AJ84" s="101">
        <f t="shared" ref="AJ84:BN84" si="568">AJ25</f>
        <v>7.4818743268684171</v>
      </c>
      <c r="AK84" s="101">
        <f t="shared" si="568"/>
        <v>7.6242843228060293</v>
      </c>
      <c r="AL84" s="101">
        <f t="shared" si="568"/>
        <v>7.7693739969250553</v>
      </c>
      <c r="AM84" s="101">
        <f t="shared" si="568"/>
        <v>7.9171933017948382</v>
      </c>
      <c r="AN84" s="101">
        <f t="shared" si="568"/>
        <v>8.0677931139450809</v>
      </c>
      <c r="AO84" s="101">
        <f t="shared" si="568"/>
        <v>8.2212252508442152</v>
      </c>
      <c r="AP84" s="101">
        <f t="shared" si="568"/>
        <v>8.3775424881879879</v>
      </c>
      <c r="AQ84" s="101">
        <f t="shared" si="568"/>
        <v>8.5367985775039568</v>
      </c>
      <c r="AR84" s="101">
        <f t="shared" si="568"/>
        <v>8.6990482640775806</v>
      </c>
      <c r="AS84" s="101">
        <f t="shared" si="568"/>
        <v>8.8643473052058113</v>
      </c>
      <c r="AT84" s="101">
        <f t="shared" si="568"/>
        <v>9.032752488784082</v>
      </c>
      <c r="AU84" s="101">
        <f t="shared" si="568"/>
        <v>9.2313402089419085</v>
      </c>
      <c r="AV84" s="101">
        <f t="shared" si="568"/>
        <v>9.4340694461158403</v>
      </c>
      <c r="AW84" s="101">
        <f t="shared" si="568"/>
        <v>9.6410236200333017</v>
      </c>
      <c r="AX84" s="101">
        <f t="shared" si="568"/>
        <v>9.8522877897940315</v>
      </c>
      <c r="AY84" s="101">
        <f t="shared" si="568"/>
        <v>10.067948685500435</v>
      </c>
      <c r="AZ84" s="101">
        <f t="shared" si="568"/>
        <v>10.288094740489607</v>
      </c>
      <c r="BA84" s="101">
        <f t="shared" si="568"/>
        <v>10.512816124178299</v>
      </c>
      <c r="BB84" s="101">
        <f t="shared" si="568"/>
        <v>10.742204775532405</v>
      </c>
      <c r="BC84" s="101">
        <f t="shared" si="568"/>
        <v>10.976354437172667</v>
      </c>
      <c r="BD84" s="101">
        <f t="shared" si="568"/>
        <v>11.215360690128566</v>
      </c>
      <c r="BE84" s="101">
        <f t="shared" si="568"/>
        <v>11.438001322295875</v>
      </c>
      <c r="BF84" s="101">
        <f t="shared" si="568"/>
        <v>11.664970496717423</v>
      </c>
      <c r="BG84" s="101">
        <f t="shared" si="568"/>
        <v>11.896351040687161</v>
      </c>
      <c r="BH84" s="101">
        <f t="shared" si="568"/>
        <v>12.13222734667832</v>
      </c>
      <c r="BI84" s="101">
        <f t="shared" si="568"/>
        <v>12.372685401622419</v>
      </c>
      <c r="BJ84" s="101">
        <f t="shared" si="568"/>
        <v>12.617812816731426</v>
      </c>
      <c r="BK84" s="101">
        <f t="shared" si="568"/>
        <v>12.867698857873073</v>
      </c>
      <c r="BL84" s="101">
        <f t="shared" si="568"/>
        <v>13.1224344765095</v>
      </c>
      <c r="BM84" s="101">
        <f t="shared" si="568"/>
        <v>13.382112341209639</v>
      </c>
      <c r="BN84" s="101">
        <f t="shared" si="568"/>
        <v>13.646826869745873</v>
      </c>
    </row>
    <row r="85" spans="1:66">
      <c r="A85"/>
      <c r="B85" t="s">
        <v>217</v>
      </c>
      <c r="C85" s="54" t="s">
        <v>153</v>
      </c>
      <c r="D85" s="44">
        <f>'Methanol Recycling HC'!C141</f>
        <v>0</v>
      </c>
      <c r="E85" s="44">
        <f>'Methanol Recycling HC'!D141</f>
        <v>4.7734390132554802E-4</v>
      </c>
      <c r="F85" s="44">
        <f>'Methanol Recycling HC'!E141</f>
        <v>1.1100629497215676E-3</v>
      </c>
      <c r="G85" s="44">
        <f>'Methanol Recycling HC'!F141</f>
        <v>1.912692445122603E-3</v>
      </c>
      <c r="H85" s="44">
        <f>'Methanol Recycling HC'!G141</f>
        <v>2.8985316234754871E-3</v>
      </c>
      <c r="I85" s="44">
        <f>'Methanol Recycling HC'!H141</f>
        <v>4.0792976178794758E-3</v>
      </c>
      <c r="J85" s="44">
        <f>'Methanol Recycling HC'!I141</f>
        <v>5.4780253026382496E-3</v>
      </c>
      <c r="K85" s="44">
        <f>'Methanol Recycling HC'!J141</f>
        <v>7.1127061400412988E-3</v>
      </c>
      <c r="L85" s="44">
        <f>'Methanol Recycling HC'!K141</f>
        <v>9.0018322306941456E-3</v>
      </c>
      <c r="M85" s="44">
        <f>'Methanol Recycling HC'!L141</f>
        <v>1.1164357373803991E-2</v>
      </c>
      <c r="N85" s="44">
        <f>'Methanol Recycling HC'!M141</f>
        <v>1.3619654315806242E-2</v>
      </c>
      <c r="O85" s="44">
        <f>'Methanol Recycling HC'!N141</f>
        <v>1.7621214751372176E-2</v>
      </c>
      <c r="P85" s="44">
        <f>'Methanol Recycling HC'!O141</f>
        <v>2.2181182215903032E-2</v>
      </c>
      <c r="Q85" s="44">
        <f>'Methanol Recycling HC'!P141</f>
        <v>2.7371752873635594E-2</v>
      </c>
      <c r="R85" s="44">
        <f>'Methanol Recycling HC'!Q141</f>
        <v>3.3170946382211526E-2</v>
      </c>
      <c r="S85" s="44">
        <f>'Methanol Recycling HC'!R141</f>
        <v>3.9587845884891587E-2</v>
      </c>
      <c r="T85" s="44">
        <f>'Methanol Recycling HC'!S141</f>
        <v>4.67107636070054E-2</v>
      </c>
      <c r="U85" s="44">
        <f>'Methanol Recycling HC'!T141</f>
        <v>5.4578545340414987E-2</v>
      </c>
      <c r="V85" s="44">
        <f>'Methanol Recycling HC'!U141</f>
        <v>6.3230977672512623E-2</v>
      </c>
      <c r="W85" s="44">
        <f>'Methanol Recycling HC'!V141</f>
        <v>7.2708779919363253E-2</v>
      </c>
      <c r="X85" s="44">
        <f>'Methanol Recycling HC'!W141</f>
        <v>8.3053594853099211E-2</v>
      </c>
      <c r="Y85" s="44">
        <f>'Methanol Recycling HC'!X141</f>
        <v>9.7933526646344735E-2</v>
      </c>
      <c r="Z85" s="44">
        <f>'Methanol Recycling HC'!Y141</f>
        <v>0.11426094432415541</v>
      </c>
      <c r="AA85" s="44">
        <f>'Methanol Recycling HC'!Z141</f>
        <v>0.13249787427488272</v>
      </c>
      <c r="AB85" s="44">
        <f>'Methanol Recycling HC'!AA141</f>
        <v>0.1524408059935046</v>
      </c>
      <c r="AC85" s="44">
        <f>'Methanol Recycling HC'!AB141</f>
        <v>0.17417916717008386</v>
      </c>
      <c r="AD85" s="44">
        <f>'Methanol Recycling HC'!AC141</f>
        <v>0.19780661692107587</v>
      </c>
      <c r="AE85" s="44">
        <f>'Methanol Recycling HC'!AD141</f>
        <v>0.22341801803937902</v>
      </c>
      <c r="AF85" s="44">
        <f>'Methanol Recycling HC'!AE141</f>
        <v>0.25111069712364154</v>
      </c>
      <c r="AG85" s="44">
        <f>'Methanol Recycling HC'!AF141</f>
        <v>0.28098444520365112</v>
      </c>
      <c r="AH85" s="44">
        <f>'Methanol Recycling HC'!AG141</f>
        <v>0.31314151614590635</v>
      </c>
      <c r="AI85" s="44"/>
      <c r="AJ85" s="44">
        <f>D85</f>
        <v>0</v>
      </c>
      <c r="AK85" s="44">
        <f t="shared" ref="AK85:BN85" si="569">E85</f>
        <v>4.7734390132554802E-4</v>
      </c>
      <c r="AL85" s="44">
        <f t="shared" si="569"/>
        <v>1.1100629497215676E-3</v>
      </c>
      <c r="AM85" s="44">
        <f t="shared" si="569"/>
        <v>1.912692445122603E-3</v>
      </c>
      <c r="AN85" s="44">
        <f t="shared" si="569"/>
        <v>2.8985316234754871E-3</v>
      </c>
      <c r="AO85" s="44">
        <f t="shared" si="569"/>
        <v>4.0792976178794758E-3</v>
      </c>
      <c r="AP85" s="44">
        <f t="shared" si="569"/>
        <v>5.4780253026382496E-3</v>
      </c>
      <c r="AQ85" s="44">
        <f t="shared" si="569"/>
        <v>7.1127061400412988E-3</v>
      </c>
      <c r="AR85" s="44">
        <f t="shared" si="569"/>
        <v>9.0018322306941456E-3</v>
      </c>
      <c r="AS85" s="44">
        <f t="shared" si="569"/>
        <v>1.1164357373803991E-2</v>
      </c>
      <c r="AT85" s="44">
        <f t="shared" si="569"/>
        <v>1.3619654315806242E-2</v>
      </c>
      <c r="AU85" s="44">
        <f t="shared" si="569"/>
        <v>1.7621214751372176E-2</v>
      </c>
      <c r="AV85" s="44">
        <f t="shared" si="569"/>
        <v>2.2181182215903032E-2</v>
      </c>
      <c r="AW85" s="44">
        <f t="shared" si="569"/>
        <v>2.7371752873635594E-2</v>
      </c>
      <c r="AX85" s="44">
        <f t="shared" si="569"/>
        <v>3.3170946382211526E-2</v>
      </c>
      <c r="AY85" s="44">
        <f t="shared" si="569"/>
        <v>3.9587845884891587E-2</v>
      </c>
      <c r="AZ85" s="44">
        <f t="shared" si="569"/>
        <v>4.67107636070054E-2</v>
      </c>
      <c r="BA85" s="44">
        <f t="shared" si="569"/>
        <v>5.4578545340414987E-2</v>
      </c>
      <c r="BB85" s="44">
        <f t="shared" si="569"/>
        <v>6.3230977672512623E-2</v>
      </c>
      <c r="BC85" s="44">
        <f t="shared" si="569"/>
        <v>7.2708779919363253E-2</v>
      </c>
      <c r="BD85" s="44">
        <f t="shared" si="569"/>
        <v>8.3053594853099211E-2</v>
      </c>
      <c r="BE85" s="44">
        <f t="shared" si="569"/>
        <v>9.7933526646344735E-2</v>
      </c>
      <c r="BF85" s="44">
        <f t="shared" si="569"/>
        <v>0.11426094432415541</v>
      </c>
      <c r="BG85" s="44">
        <f t="shared" si="569"/>
        <v>0.13249787427488272</v>
      </c>
      <c r="BH85" s="44">
        <f t="shared" si="569"/>
        <v>0.1524408059935046</v>
      </c>
      <c r="BI85" s="44">
        <f t="shared" si="569"/>
        <v>0.17417916717008386</v>
      </c>
      <c r="BJ85" s="44">
        <f t="shared" si="569"/>
        <v>0.19780661692107587</v>
      </c>
      <c r="BK85" s="44">
        <f t="shared" si="569"/>
        <v>0.22341801803937902</v>
      </c>
      <c r="BL85" s="44">
        <f t="shared" si="569"/>
        <v>0.25111069712364154</v>
      </c>
      <c r="BM85" s="44">
        <f t="shared" si="569"/>
        <v>0.28098444520365112</v>
      </c>
      <c r="BN85" s="44">
        <f t="shared" si="569"/>
        <v>0.31314151614590635</v>
      </c>
    </row>
    <row r="86" spans="1:66">
      <c r="A86" s="62"/>
      <c r="B86" s="62" t="s">
        <v>219</v>
      </c>
      <c r="C86" s="63" t="s">
        <v>153</v>
      </c>
      <c r="D86" s="64">
        <f>D84-D85</f>
        <v>7.4818743268684171</v>
      </c>
      <c r="E86" s="64">
        <f t="shared" ref="E86:AG86" si="570">E84-E85</f>
        <v>7.623806978904704</v>
      </c>
      <c r="F86" s="64">
        <f t="shared" si="570"/>
        <v>7.7682639339753337</v>
      </c>
      <c r="G86" s="64">
        <f t="shared" si="570"/>
        <v>7.9152806093497157</v>
      </c>
      <c r="H86" s="64">
        <f t="shared" si="570"/>
        <v>8.0648945823216049</v>
      </c>
      <c r="I86" s="64">
        <f t="shared" si="570"/>
        <v>8.2171459532263356</v>
      </c>
      <c r="J86" s="64">
        <f t="shared" si="570"/>
        <v>8.3720644628853496</v>
      </c>
      <c r="K86" s="64">
        <f t="shared" si="570"/>
        <v>8.529685871363915</v>
      </c>
      <c r="L86" s="64">
        <f t="shared" si="570"/>
        <v>8.690046431846886</v>
      </c>
      <c r="M86" s="64">
        <f t="shared" si="570"/>
        <v>8.853182947832007</v>
      </c>
      <c r="N86" s="64">
        <f t="shared" si="570"/>
        <v>9.0191328344682766</v>
      </c>
      <c r="O86" s="64">
        <f t="shared" si="570"/>
        <v>9.2137189941905362</v>
      </c>
      <c r="P86" s="64">
        <f t="shared" si="570"/>
        <v>9.4118882638999377</v>
      </c>
      <c r="Q86" s="64">
        <f t="shared" si="570"/>
        <v>9.6136518671596658</v>
      </c>
      <c r="R86" s="64">
        <f t="shared" si="570"/>
        <v>9.8191168434118197</v>
      </c>
      <c r="S86" s="64">
        <f t="shared" si="570"/>
        <v>10.028360839615543</v>
      </c>
      <c r="T86" s="64">
        <f t="shared" si="570"/>
        <v>10.2413839768826</v>
      </c>
      <c r="U86" s="64">
        <f t="shared" si="570"/>
        <v>10.458237578837883</v>
      </c>
      <c r="V86" s="64">
        <f t="shared" si="570"/>
        <v>10.678973797859893</v>
      </c>
      <c r="W86" s="64">
        <f t="shared" si="570"/>
        <v>10.903645657253303</v>
      </c>
      <c r="X86" s="64">
        <f t="shared" si="570"/>
        <v>11.132307095275467</v>
      </c>
      <c r="Y86" s="64">
        <f t="shared" si="570"/>
        <v>11.34006779564953</v>
      </c>
      <c r="Z86" s="64">
        <f t="shared" si="570"/>
        <v>11.550709552393268</v>
      </c>
      <c r="AA86" s="64">
        <f t="shared" si="570"/>
        <v>11.763853166412279</v>
      </c>
      <c r="AB86" s="64">
        <f t="shared" si="570"/>
        <v>11.979786540684815</v>
      </c>
      <c r="AC86" s="64">
        <f t="shared" si="570"/>
        <v>12.198506234452335</v>
      </c>
      <c r="AD86" s="64">
        <f t="shared" si="570"/>
        <v>12.42000619981035</v>
      </c>
      <c r="AE86" s="64">
        <f t="shared" si="570"/>
        <v>12.644280839833694</v>
      </c>
      <c r="AF86" s="64">
        <f t="shared" si="570"/>
        <v>12.871323779385859</v>
      </c>
      <c r="AG86" s="64">
        <f t="shared" si="570"/>
        <v>13.101127896005988</v>
      </c>
      <c r="AH86" s="64">
        <f>AH84-AH85</f>
        <v>13.333685353599966</v>
      </c>
      <c r="AJ86" s="64">
        <f>AJ84-AJ85</f>
        <v>7.4818743268684171</v>
      </c>
      <c r="AK86" s="64">
        <f t="shared" ref="AK86:BN86" si="571">AK84-AK85</f>
        <v>7.623806978904704</v>
      </c>
      <c r="AL86" s="64">
        <f t="shared" si="571"/>
        <v>7.7682639339753337</v>
      </c>
      <c r="AM86" s="64">
        <f t="shared" si="571"/>
        <v>7.9152806093497157</v>
      </c>
      <c r="AN86" s="64">
        <f t="shared" si="571"/>
        <v>8.0648945823216049</v>
      </c>
      <c r="AO86" s="64">
        <f t="shared" si="571"/>
        <v>8.2171459532263356</v>
      </c>
      <c r="AP86" s="64">
        <f t="shared" si="571"/>
        <v>8.3720644628853496</v>
      </c>
      <c r="AQ86" s="64">
        <f t="shared" si="571"/>
        <v>8.529685871363915</v>
      </c>
      <c r="AR86" s="64">
        <f t="shared" si="571"/>
        <v>8.690046431846886</v>
      </c>
      <c r="AS86" s="64">
        <f t="shared" si="571"/>
        <v>8.853182947832007</v>
      </c>
      <c r="AT86" s="64">
        <f t="shared" si="571"/>
        <v>9.0191328344682766</v>
      </c>
      <c r="AU86" s="64">
        <f t="shared" si="571"/>
        <v>9.2137189941905362</v>
      </c>
      <c r="AV86" s="64">
        <f t="shared" si="571"/>
        <v>9.4118882638999377</v>
      </c>
      <c r="AW86" s="64">
        <f t="shared" si="571"/>
        <v>9.6136518671596658</v>
      </c>
      <c r="AX86" s="64">
        <f t="shared" si="571"/>
        <v>9.8191168434118197</v>
      </c>
      <c r="AY86" s="64">
        <f t="shared" si="571"/>
        <v>10.028360839615543</v>
      </c>
      <c r="AZ86" s="64">
        <f t="shared" si="571"/>
        <v>10.2413839768826</v>
      </c>
      <c r="BA86" s="64">
        <f t="shared" si="571"/>
        <v>10.458237578837883</v>
      </c>
      <c r="BB86" s="64">
        <f t="shared" si="571"/>
        <v>10.678973797859893</v>
      </c>
      <c r="BC86" s="64">
        <f t="shared" si="571"/>
        <v>10.903645657253303</v>
      </c>
      <c r="BD86" s="64">
        <f t="shared" si="571"/>
        <v>11.132307095275467</v>
      </c>
      <c r="BE86" s="64">
        <f t="shared" si="571"/>
        <v>11.34006779564953</v>
      </c>
      <c r="BF86" s="64">
        <f t="shared" si="571"/>
        <v>11.550709552393268</v>
      </c>
      <c r="BG86" s="64">
        <f t="shared" si="571"/>
        <v>11.763853166412279</v>
      </c>
      <c r="BH86" s="64">
        <f t="shared" si="571"/>
        <v>11.979786540684815</v>
      </c>
      <c r="BI86" s="64">
        <f t="shared" si="571"/>
        <v>12.198506234452335</v>
      </c>
      <c r="BJ86" s="64">
        <f t="shared" si="571"/>
        <v>12.42000619981035</v>
      </c>
      <c r="BK86" s="64">
        <f t="shared" si="571"/>
        <v>12.644280839833694</v>
      </c>
      <c r="BL86" s="64">
        <f t="shared" si="571"/>
        <v>12.871323779385859</v>
      </c>
      <c r="BM86" s="64">
        <f t="shared" si="571"/>
        <v>13.101127896005988</v>
      </c>
      <c r="BN86" s="64">
        <f t="shared" si="571"/>
        <v>13.333685353599966</v>
      </c>
    </row>
    <row r="87" spans="1:66" s="67" customFormat="1">
      <c r="A87" s="752"/>
      <c r="B87" s="58" t="s">
        <v>246</v>
      </c>
      <c r="C87" s="59" t="s">
        <v>153</v>
      </c>
      <c r="D87" s="60">
        <f>D26</f>
        <v>1.2545775454801726</v>
      </c>
      <c r="E87" s="60">
        <f t="shared" ref="E87:AH87" si="572">E26</f>
        <v>1.2481644837749544</v>
      </c>
      <c r="F87" s="60">
        <f t="shared" si="572"/>
        <v>1.2460429570064087</v>
      </c>
      <c r="G87" s="60">
        <f t="shared" si="572"/>
        <v>1.2473984243375411</v>
      </c>
      <c r="H87" s="60">
        <f t="shared" si="572"/>
        <v>1.2516351414578608</v>
      </c>
      <c r="I87" s="60">
        <f t="shared" si="572"/>
        <v>1.2583083140675335</v>
      </c>
      <c r="J87" s="60">
        <f t="shared" si="572"/>
        <v>1.2670800620617495</v>
      </c>
      <c r="K87" s="60">
        <f t="shared" si="572"/>
        <v>1.2776899858470887</v>
      </c>
      <c r="L87" s="60">
        <f t="shared" si="572"/>
        <v>1.2899349833131255</v>
      </c>
      <c r="M87" s="60">
        <f t="shared" si="572"/>
        <v>1.3036550959815714</v>
      </c>
      <c r="N87" s="60">
        <f t="shared" si="572"/>
        <v>1.3187233843060855</v>
      </c>
      <c r="O87" s="60">
        <f t="shared" si="572"/>
        <v>1.352326166687692</v>
      </c>
      <c r="P87" s="60">
        <f t="shared" si="572"/>
        <v>1.386944204011985</v>
      </c>
      <c r="Q87" s="60">
        <f t="shared" si="572"/>
        <v>1.4226134053266954</v>
      </c>
      <c r="R87" s="60">
        <f t="shared" si="572"/>
        <v>1.4593714021058979</v>
      </c>
      <c r="S87" s="60">
        <f t="shared" si="572"/>
        <v>1.4972576450139443</v>
      </c>
      <c r="T87" s="60">
        <f t="shared" si="572"/>
        <v>1.5374727969741202</v>
      </c>
      <c r="U87" s="60">
        <f t="shared" si="572"/>
        <v>1.5789659076621261</v>
      </c>
      <c r="V87" s="60">
        <f t="shared" si="572"/>
        <v>1.6217875189917852</v>
      </c>
      <c r="W87" s="60">
        <f t="shared" si="572"/>
        <v>1.6659908041136495</v>
      </c>
      <c r="X87" s="60">
        <f t="shared" si="572"/>
        <v>1.7116317389995481</v>
      </c>
      <c r="Y87" s="60">
        <f t="shared" si="572"/>
        <v>1.7582192053136121</v>
      </c>
      <c r="Z87" s="60">
        <f t="shared" si="572"/>
        <v>1.8064120343722676</v>
      </c>
      <c r="AA87" s="60">
        <f t="shared" si="572"/>
        <v>1.8562845102881023</v>
      </c>
      <c r="AB87" s="60">
        <f t="shared" si="572"/>
        <v>1.9079155061658628</v>
      </c>
      <c r="AC87" s="60">
        <f t="shared" si="572"/>
        <v>1.9613888447929413</v>
      </c>
      <c r="AD87" s="60">
        <f t="shared" si="572"/>
        <v>2.016793693937275</v>
      </c>
      <c r="AE87" s="60">
        <f t="shared" si="572"/>
        <v>2.0742250001891205</v>
      </c>
      <c r="AF87" s="60">
        <f t="shared" si="572"/>
        <v>2.1337839658033793</v>
      </c>
      <c r="AG87" s="60">
        <f t="shared" si="572"/>
        <v>2.1955785735979854</v>
      </c>
      <c r="AH87" s="60">
        <f t="shared" si="572"/>
        <v>2.2597241656547338</v>
      </c>
      <c r="AJ87" s="60">
        <f>AJ26</f>
        <v>1.2545775454801726</v>
      </c>
      <c r="AK87" s="60">
        <f t="shared" ref="AK87:BN87" si="573">AK26</f>
        <v>1.2481644837749544</v>
      </c>
      <c r="AL87" s="60">
        <f t="shared" si="573"/>
        <v>1.2460429570064087</v>
      </c>
      <c r="AM87" s="60">
        <f t="shared" si="573"/>
        <v>1.2473984243375411</v>
      </c>
      <c r="AN87" s="60">
        <f t="shared" si="573"/>
        <v>1.2516351414578608</v>
      </c>
      <c r="AO87" s="60">
        <f t="shared" si="573"/>
        <v>1.2583083140675335</v>
      </c>
      <c r="AP87" s="60">
        <f t="shared" si="573"/>
        <v>1.2670800620617495</v>
      </c>
      <c r="AQ87" s="60">
        <f t="shared" si="573"/>
        <v>1.2776899858470887</v>
      </c>
      <c r="AR87" s="60">
        <f t="shared" si="573"/>
        <v>1.2899349833131255</v>
      </c>
      <c r="AS87" s="60">
        <f t="shared" si="573"/>
        <v>1.3036550959815714</v>
      </c>
      <c r="AT87" s="60">
        <f t="shared" si="573"/>
        <v>1.3187233843060855</v>
      </c>
      <c r="AU87" s="60">
        <f t="shared" si="573"/>
        <v>1.352326166687692</v>
      </c>
      <c r="AV87" s="60">
        <f t="shared" si="573"/>
        <v>1.386944204011985</v>
      </c>
      <c r="AW87" s="60">
        <f t="shared" si="573"/>
        <v>1.4226134053266954</v>
      </c>
      <c r="AX87" s="60">
        <f t="shared" si="573"/>
        <v>1.4593714021058979</v>
      </c>
      <c r="AY87" s="60">
        <f t="shared" si="573"/>
        <v>1.4972576450139443</v>
      </c>
      <c r="AZ87" s="60">
        <f t="shared" si="573"/>
        <v>1.5374727969741202</v>
      </c>
      <c r="BA87" s="60">
        <f t="shared" si="573"/>
        <v>1.5789659076621261</v>
      </c>
      <c r="BB87" s="60">
        <f t="shared" si="573"/>
        <v>1.6217875189917852</v>
      </c>
      <c r="BC87" s="60">
        <f t="shared" si="573"/>
        <v>1.6659908041136495</v>
      </c>
      <c r="BD87" s="60">
        <f t="shared" si="573"/>
        <v>1.7116317389995481</v>
      </c>
      <c r="BE87" s="60">
        <f t="shared" si="573"/>
        <v>1.7582192053136121</v>
      </c>
      <c r="BF87" s="60">
        <f t="shared" si="573"/>
        <v>1.8064120343722676</v>
      </c>
      <c r="BG87" s="60">
        <f t="shared" si="573"/>
        <v>1.8562845102881023</v>
      </c>
      <c r="BH87" s="60">
        <f t="shared" si="573"/>
        <v>1.9079155061658628</v>
      </c>
      <c r="BI87" s="60">
        <f t="shared" si="573"/>
        <v>1.9613888447929413</v>
      </c>
      <c r="BJ87" s="60">
        <f t="shared" si="573"/>
        <v>2.016793693937275</v>
      </c>
      <c r="BK87" s="60">
        <f t="shared" si="573"/>
        <v>2.0742250001891205</v>
      </c>
      <c r="BL87" s="60">
        <f t="shared" si="573"/>
        <v>2.1337839658033793</v>
      </c>
      <c r="BM87" s="60">
        <f t="shared" si="573"/>
        <v>2.1955785735979854</v>
      </c>
      <c r="BN87" s="60">
        <f t="shared" si="573"/>
        <v>2.2597241656547338</v>
      </c>
    </row>
    <row r="88" spans="1:66">
      <c r="A88" s="753"/>
      <c r="B88" s="1" t="s">
        <v>247</v>
      </c>
      <c r="C88" s="54" t="s">
        <v>153</v>
      </c>
      <c r="D88" s="44">
        <f t="shared" ref="D88" si="574">D27</f>
        <v>0</v>
      </c>
      <c r="E88" s="44">
        <v>0</v>
      </c>
      <c r="F88" s="44">
        <v>0</v>
      </c>
      <c r="G88" s="44">
        <v>0</v>
      </c>
      <c r="H88" s="44">
        <v>0</v>
      </c>
      <c r="I88" s="44">
        <v>0</v>
      </c>
      <c r="J88" s="44">
        <v>0</v>
      </c>
      <c r="K88" s="44">
        <v>0</v>
      </c>
      <c r="L88" s="44">
        <v>0</v>
      </c>
      <c r="M88" s="44">
        <v>0</v>
      </c>
      <c r="N88" s="44">
        <v>0</v>
      </c>
      <c r="O88" s="44">
        <v>0</v>
      </c>
      <c r="P88" s="44">
        <v>0</v>
      </c>
      <c r="Q88" s="44">
        <v>0</v>
      </c>
      <c r="R88" s="44">
        <v>0</v>
      </c>
      <c r="S88" s="44">
        <v>0</v>
      </c>
      <c r="T88" s="44">
        <v>0</v>
      </c>
      <c r="U88" s="44">
        <v>0</v>
      </c>
      <c r="V88" s="44">
        <v>0</v>
      </c>
      <c r="W88" s="44">
        <v>0</v>
      </c>
      <c r="X88" s="44">
        <v>0</v>
      </c>
      <c r="Y88" s="44">
        <v>0</v>
      </c>
      <c r="Z88" s="44">
        <v>0</v>
      </c>
      <c r="AA88" s="44">
        <v>0</v>
      </c>
      <c r="AB88" s="44">
        <v>0</v>
      </c>
      <c r="AC88" s="44">
        <v>0</v>
      </c>
      <c r="AD88" s="44">
        <v>0</v>
      </c>
      <c r="AE88" s="44">
        <v>0</v>
      </c>
      <c r="AF88" s="44">
        <v>0</v>
      </c>
      <c r="AG88" s="44">
        <v>0</v>
      </c>
      <c r="AH88" s="44">
        <v>0</v>
      </c>
      <c r="AJ88" s="44">
        <f t="shared" ref="AJ88" si="575">AJ27</f>
        <v>0</v>
      </c>
      <c r="AK88" s="44">
        <v>0</v>
      </c>
      <c r="AL88" s="44">
        <v>0</v>
      </c>
      <c r="AM88" s="44">
        <v>0</v>
      </c>
      <c r="AN88" s="44">
        <v>0</v>
      </c>
      <c r="AO88" s="44">
        <v>0</v>
      </c>
      <c r="AP88" s="44">
        <v>0</v>
      </c>
      <c r="AQ88" s="44">
        <v>0</v>
      </c>
      <c r="AR88" s="44">
        <v>0</v>
      </c>
      <c r="AS88" s="44">
        <v>0</v>
      </c>
      <c r="AT88" s="44">
        <v>0</v>
      </c>
      <c r="AU88" s="44">
        <v>0</v>
      </c>
      <c r="AV88" s="44">
        <v>0</v>
      </c>
      <c r="AW88" s="44">
        <v>0</v>
      </c>
      <c r="AX88" s="44">
        <v>0</v>
      </c>
      <c r="AY88" s="44">
        <v>0</v>
      </c>
      <c r="AZ88" s="44">
        <v>0</v>
      </c>
      <c r="BA88" s="44">
        <v>0</v>
      </c>
      <c r="BB88" s="44">
        <v>0</v>
      </c>
      <c r="BC88" s="44">
        <v>0</v>
      </c>
      <c r="BD88" s="44">
        <v>0</v>
      </c>
      <c r="BE88" s="44">
        <v>0</v>
      </c>
      <c r="BF88" s="44">
        <v>0</v>
      </c>
      <c r="BG88" s="44">
        <v>0</v>
      </c>
      <c r="BH88" s="44">
        <v>0</v>
      </c>
      <c r="BI88" s="44">
        <v>0</v>
      </c>
      <c r="BJ88" s="44">
        <v>0</v>
      </c>
      <c r="BK88" s="44">
        <v>0</v>
      </c>
      <c r="BL88" s="44">
        <v>0</v>
      </c>
      <c r="BM88" s="44">
        <v>0</v>
      </c>
      <c r="BN88" s="44">
        <v>0</v>
      </c>
    </row>
    <row r="89" spans="1:66" s="68" customFormat="1">
      <c r="A89" s="754"/>
      <c r="B89" s="62" t="s">
        <v>248</v>
      </c>
      <c r="C89" s="283" t="s">
        <v>153</v>
      </c>
      <c r="D89" s="284">
        <f>D28-(D84-D86)</f>
        <v>6.2272967813882438</v>
      </c>
      <c r="E89" s="284">
        <f t="shared" ref="E89:AH89" si="576">E28-(E84-E86)</f>
        <v>6.3756424951297488</v>
      </c>
      <c r="F89" s="284">
        <f t="shared" si="576"/>
        <v>6.5222209769689252</v>
      </c>
      <c r="G89" s="284">
        <f t="shared" si="576"/>
        <v>6.6678821850121741</v>
      </c>
      <c r="H89" s="284">
        <f t="shared" si="576"/>
        <v>6.8132594408637441</v>
      </c>
      <c r="I89" s="284">
        <f t="shared" si="576"/>
        <v>6.9588376391588014</v>
      </c>
      <c r="J89" s="284">
        <f t="shared" si="576"/>
        <v>7.1049844008236009</v>
      </c>
      <c r="K89" s="284">
        <f t="shared" si="576"/>
        <v>7.2519958855168261</v>
      </c>
      <c r="L89" s="284">
        <f t="shared" si="576"/>
        <v>7.4001114485337611</v>
      </c>
      <c r="M89" s="284">
        <f t="shared" si="576"/>
        <v>7.5495278518504358</v>
      </c>
      <c r="N89" s="284">
        <f t="shared" si="576"/>
        <v>7.7004094501621907</v>
      </c>
      <c r="O89" s="284">
        <f t="shared" si="576"/>
        <v>7.8613928275028435</v>
      </c>
      <c r="P89" s="284">
        <f t="shared" si="576"/>
        <v>8.024944059887952</v>
      </c>
      <c r="Q89" s="284">
        <f t="shared" si="576"/>
        <v>8.1910384618329708</v>
      </c>
      <c r="R89" s="284">
        <f t="shared" si="576"/>
        <v>8.3597454413059218</v>
      </c>
      <c r="S89" s="284">
        <f t="shared" si="576"/>
        <v>8.5311031946015969</v>
      </c>
      <c r="T89" s="284">
        <f t="shared" si="576"/>
        <v>8.703911179908479</v>
      </c>
      <c r="U89" s="284">
        <f t="shared" si="576"/>
        <v>8.8792716711757578</v>
      </c>
      <c r="V89" s="284">
        <f t="shared" si="576"/>
        <v>9.0571862788681088</v>
      </c>
      <c r="W89" s="284">
        <f t="shared" si="576"/>
        <v>9.2376548531396523</v>
      </c>
      <c r="X89" s="284">
        <f t="shared" si="576"/>
        <v>9.4206753562759182</v>
      </c>
      <c r="Y89" s="284">
        <f t="shared" si="576"/>
        <v>9.5818485903359178</v>
      </c>
      <c r="Z89" s="284">
        <f t="shared" si="576"/>
        <v>9.7442975180210016</v>
      </c>
      <c r="AA89" s="284">
        <f t="shared" si="576"/>
        <v>9.9075686561241767</v>
      </c>
      <c r="AB89" s="284">
        <f t="shared" si="576"/>
        <v>10.071871034518951</v>
      </c>
      <c r="AC89" s="284">
        <f t="shared" si="576"/>
        <v>10.237117389659394</v>
      </c>
      <c r="AD89" s="284">
        <f t="shared" si="576"/>
        <v>10.403212505873077</v>
      </c>
      <c r="AE89" s="284">
        <f t="shared" si="576"/>
        <v>10.570055839644574</v>
      </c>
      <c r="AF89" s="284">
        <f t="shared" si="576"/>
        <v>10.73753981358248</v>
      </c>
      <c r="AG89" s="284">
        <f t="shared" si="576"/>
        <v>10.905549322408003</v>
      </c>
      <c r="AH89" s="284">
        <f t="shared" si="576"/>
        <v>11.073961187945232</v>
      </c>
      <c r="AJ89" s="284">
        <f>AJ28-(AJ84-AJ86)</f>
        <v>6.2272967813882438</v>
      </c>
      <c r="AK89" s="284">
        <f t="shared" ref="AK89:BN89" si="577">AK28-(AK84-AK86)</f>
        <v>6.3756424951297488</v>
      </c>
      <c r="AL89" s="284">
        <f t="shared" si="577"/>
        <v>6.5222209769689252</v>
      </c>
      <c r="AM89" s="284">
        <f t="shared" si="577"/>
        <v>6.6678821850121741</v>
      </c>
      <c r="AN89" s="284">
        <f t="shared" si="577"/>
        <v>6.8132594408637441</v>
      </c>
      <c r="AO89" s="284">
        <f t="shared" si="577"/>
        <v>6.9588376391588014</v>
      </c>
      <c r="AP89" s="284">
        <f t="shared" si="577"/>
        <v>7.1049844008236009</v>
      </c>
      <c r="AQ89" s="284">
        <f t="shared" si="577"/>
        <v>7.2519958855168261</v>
      </c>
      <c r="AR89" s="284">
        <f t="shared" si="577"/>
        <v>7.4001114485337611</v>
      </c>
      <c r="AS89" s="284">
        <f t="shared" si="577"/>
        <v>7.5495278518504358</v>
      </c>
      <c r="AT89" s="284">
        <f t="shared" si="577"/>
        <v>7.7004094501621907</v>
      </c>
      <c r="AU89" s="284">
        <f t="shared" si="577"/>
        <v>7.8613928275028435</v>
      </c>
      <c r="AV89" s="284">
        <f t="shared" si="577"/>
        <v>8.024944059887952</v>
      </c>
      <c r="AW89" s="284">
        <f t="shared" si="577"/>
        <v>8.1910384618329708</v>
      </c>
      <c r="AX89" s="284">
        <f t="shared" si="577"/>
        <v>8.3597454413059218</v>
      </c>
      <c r="AY89" s="284">
        <f t="shared" si="577"/>
        <v>8.5311031946015969</v>
      </c>
      <c r="AZ89" s="284">
        <f t="shared" si="577"/>
        <v>8.703911179908479</v>
      </c>
      <c r="BA89" s="284">
        <f t="shared" si="577"/>
        <v>8.8792716711757578</v>
      </c>
      <c r="BB89" s="284">
        <f t="shared" si="577"/>
        <v>9.0571862788681088</v>
      </c>
      <c r="BC89" s="284">
        <f t="shared" si="577"/>
        <v>9.2376548531396523</v>
      </c>
      <c r="BD89" s="284">
        <f t="shared" si="577"/>
        <v>9.4206753562759182</v>
      </c>
      <c r="BE89" s="284">
        <f t="shared" si="577"/>
        <v>9.5818485903359178</v>
      </c>
      <c r="BF89" s="284">
        <f t="shared" si="577"/>
        <v>9.7442975180210016</v>
      </c>
      <c r="BG89" s="284">
        <f t="shared" si="577"/>
        <v>9.9075686561241767</v>
      </c>
      <c r="BH89" s="284">
        <f t="shared" si="577"/>
        <v>10.071871034518951</v>
      </c>
      <c r="BI89" s="284">
        <f t="shared" si="577"/>
        <v>10.237117389659394</v>
      </c>
      <c r="BJ89" s="284">
        <f t="shared" si="577"/>
        <v>10.403212505873077</v>
      </c>
      <c r="BK89" s="284">
        <f t="shared" si="577"/>
        <v>10.570055839644574</v>
      </c>
      <c r="BL89" s="284">
        <f t="shared" si="577"/>
        <v>10.73753981358248</v>
      </c>
      <c r="BM89" s="284">
        <f t="shared" si="577"/>
        <v>10.905549322408003</v>
      </c>
      <c r="BN89" s="284">
        <f t="shared" si="577"/>
        <v>11.073961187945232</v>
      </c>
    </row>
    <row r="90" spans="1:66">
      <c r="A90" s="58" t="s">
        <v>221</v>
      </c>
      <c r="B90" s="58" t="s">
        <v>197</v>
      </c>
      <c r="C90" s="54" t="s">
        <v>153</v>
      </c>
      <c r="D90" s="66">
        <f t="shared" ref="D90:AH90" si="578">D52</f>
        <v>1.4464073070604898E-2</v>
      </c>
      <c r="E90" s="66">
        <f t="shared" si="578"/>
        <v>1.47678186050876E-2</v>
      </c>
      <c r="F90" s="66">
        <f t="shared" si="578"/>
        <v>1.5077942795794438E-2</v>
      </c>
      <c r="G90" s="66">
        <f t="shared" si="578"/>
        <v>1.539457959450612E-2</v>
      </c>
      <c r="H90" s="66">
        <f t="shared" si="578"/>
        <v>1.5717865765990748E-2</v>
      </c>
      <c r="I90" s="66">
        <f t="shared" si="578"/>
        <v>1.6047940947076553E-2</v>
      </c>
      <c r="J90" s="66">
        <f t="shared" si="578"/>
        <v>1.638494770696516E-2</v>
      </c>
      <c r="K90" s="66">
        <f t="shared" si="578"/>
        <v>1.6729031608811427E-2</v>
      </c>
      <c r="L90" s="66">
        <f t="shared" si="578"/>
        <v>1.7080341272596465E-2</v>
      </c>
      <c r="M90" s="66">
        <f t="shared" si="578"/>
        <v>1.7439028439320988E-2</v>
      </c>
      <c r="N90" s="66">
        <f t="shared" si="578"/>
        <v>1.7805248036546727E-2</v>
      </c>
      <c r="O90" s="66">
        <f t="shared" si="578"/>
        <v>1.8179158245314207E-2</v>
      </c>
      <c r="P90" s="66">
        <f t="shared" si="578"/>
        <v>1.8560920568465804E-2</v>
      </c>
      <c r="Q90" s="66">
        <f t="shared" si="578"/>
        <v>1.8950699900403583E-2</v>
      </c>
      <c r="R90" s="66">
        <f t="shared" si="578"/>
        <v>1.9348664598312058E-2</v>
      </c>
      <c r="S90" s="66">
        <f t="shared" si="578"/>
        <v>1.9754986554876609E-2</v>
      </c>
      <c r="T90" s="66">
        <f t="shared" si="578"/>
        <v>2.0169841272529014E-2</v>
      </c>
      <c r="U90" s="66">
        <f t="shared" si="578"/>
        <v>2.0593407939252122E-2</v>
      </c>
      <c r="V90" s="66">
        <f t="shared" si="578"/>
        <v>2.1025869505976413E-2</v>
      </c>
      <c r="W90" s="66">
        <f t="shared" si="578"/>
        <v>2.1467412765601917E-2</v>
      </c>
      <c r="X90" s="66">
        <f t="shared" si="578"/>
        <v>2.1918228433679555E-2</v>
      </c>
      <c r="Y90" s="66">
        <f t="shared" si="578"/>
        <v>2.2378511230786824E-2</v>
      </c>
      <c r="Z90" s="66">
        <f t="shared" si="578"/>
        <v>2.2848459966633344E-2</v>
      </c>
      <c r="AA90" s="66">
        <f t="shared" si="578"/>
        <v>2.3328277625932644E-2</v>
      </c>
      <c r="AB90" s="66">
        <f t="shared" si="578"/>
        <v>2.3818171456077227E-2</v>
      </c>
      <c r="AC90" s="66">
        <f t="shared" si="578"/>
        <v>2.4318353056654848E-2</v>
      </c>
      <c r="AD90" s="66">
        <f t="shared" si="578"/>
        <v>2.4829038470844597E-2</v>
      </c>
      <c r="AE90" s="66">
        <f t="shared" si="578"/>
        <v>2.535044827873233E-2</v>
      </c>
      <c r="AF90" s="66">
        <f t="shared" si="578"/>
        <v>2.5882807692585708E-2</v>
      </c>
      <c r="AG90" s="66">
        <f t="shared" si="578"/>
        <v>2.6426346654130007E-2</v>
      </c>
      <c r="AH90" s="66">
        <f t="shared" si="578"/>
        <v>2.6981299933866734E-2</v>
      </c>
      <c r="AJ90" s="66">
        <f t="shared" ref="AJ90:BN90" si="579">AJ52</f>
        <v>1.4464073070604898E-2</v>
      </c>
      <c r="AK90" s="66">
        <f t="shared" si="579"/>
        <v>1.47678186050876E-2</v>
      </c>
      <c r="AL90" s="66">
        <f t="shared" si="579"/>
        <v>1.5077942795794438E-2</v>
      </c>
      <c r="AM90" s="66">
        <f t="shared" si="579"/>
        <v>1.539457959450612E-2</v>
      </c>
      <c r="AN90" s="66">
        <f t="shared" si="579"/>
        <v>1.5717865765990748E-2</v>
      </c>
      <c r="AO90" s="66">
        <f t="shared" si="579"/>
        <v>1.6047940947076553E-2</v>
      </c>
      <c r="AP90" s="66">
        <f t="shared" si="579"/>
        <v>1.638494770696516E-2</v>
      </c>
      <c r="AQ90" s="66">
        <f t="shared" si="579"/>
        <v>1.6729031608811427E-2</v>
      </c>
      <c r="AR90" s="66">
        <f t="shared" si="579"/>
        <v>1.7080341272596465E-2</v>
      </c>
      <c r="AS90" s="66">
        <f t="shared" si="579"/>
        <v>1.7439028439320988E-2</v>
      </c>
      <c r="AT90" s="66">
        <f t="shared" si="579"/>
        <v>1.7805248036546727E-2</v>
      </c>
      <c r="AU90" s="66">
        <f t="shared" si="579"/>
        <v>1.8179158245314207E-2</v>
      </c>
      <c r="AV90" s="66">
        <f t="shared" si="579"/>
        <v>1.8560920568465804E-2</v>
      </c>
      <c r="AW90" s="66">
        <f t="shared" si="579"/>
        <v>1.8950699900403583E-2</v>
      </c>
      <c r="AX90" s="66">
        <f t="shared" si="579"/>
        <v>1.9348664598312058E-2</v>
      </c>
      <c r="AY90" s="66">
        <f t="shared" si="579"/>
        <v>1.9754986554876609E-2</v>
      </c>
      <c r="AZ90" s="66">
        <f t="shared" si="579"/>
        <v>2.0169841272529014E-2</v>
      </c>
      <c r="BA90" s="66">
        <f t="shared" si="579"/>
        <v>2.0593407939252122E-2</v>
      </c>
      <c r="BB90" s="66">
        <f t="shared" si="579"/>
        <v>2.1025869505976413E-2</v>
      </c>
      <c r="BC90" s="66">
        <f t="shared" si="579"/>
        <v>2.1467412765601917E-2</v>
      </c>
      <c r="BD90" s="66">
        <f t="shared" si="579"/>
        <v>2.1918228433679555E-2</v>
      </c>
      <c r="BE90" s="66">
        <f t="shared" si="579"/>
        <v>2.2378511230786824E-2</v>
      </c>
      <c r="BF90" s="66">
        <f t="shared" si="579"/>
        <v>2.2848459966633344E-2</v>
      </c>
      <c r="BG90" s="66">
        <f t="shared" si="579"/>
        <v>2.3328277625932644E-2</v>
      </c>
      <c r="BH90" s="66">
        <f t="shared" si="579"/>
        <v>2.3818171456077227E-2</v>
      </c>
      <c r="BI90" s="66">
        <f t="shared" si="579"/>
        <v>2.4318353056654848E-2</v>
      </c>
      <c r="BJ90" s="66">
        <f t="shared" si="579"/>
        <v>2.4829038470844597E-2</v>
      </c>
      <c r="BK90" s="66">
        <f t="shared" si="579"/>
        <v>2.535044827873233E-2</v>
      </c>
      <c r="BL90" s="66">
        <f t="shared" si="579"/>
        <v>2.5882807692585708E-2</v>
      </c>
      <c r="BM90" s="66">
        <f t="shared" si="579"/>
        <v>2.6426346654130007E-2</v>
      </c>
      <c r="BN90" s="66">
        <f t="shared" si="579"/>
        <v>2.6981299933866734E-2</v>
      </c>
    </row>
    <row r="91" spans="1:66">
      <c r="A91"/>
      <c r="B91" t="s">
        <v>217</v>
      </c>
      <c r="C91" s="54" t="s">
        <v>153</v>
      </c>
      <c r="D91" s="44">
        <f>'Methanol Recycling HC'!C195</f>
        <v>0</v>
      </c>
      <c r="E91" s="44">
        <f>'Methanol Recycling HC'!D195</f>
        <v>-5.8355004134645408E-3</v>
      </c>
      <c r="F91" s="44">
        <f>'Methanol Recycling HC'!E195</f>
        <v>-1.8459246249419407E-3</v>
      </c>
      <c r="G91" s="44">
        <f>'Methanol Recycling HC'!F195</f>
        <v>2.6386493237511126E-3</v>
      </c>
      <c r="H91" s="44">
        <f>'Methanol Recycling HC'!G195</f>
        <v>7.6308302665281207E-3</v>
      </c>
      <c r="I91" s="44">
        <f>'Methanol Recycling HC'!H195</f>
        <v>1.3137721716277001E-2</v>
      </c>
      <c r="J91" s="44">
        <f>'Methanol Recycling HC'!I195</f>
        <v>1.924878680193047E-2</v>
      </c>
      <c r="K91" s="44">
        <f>'Methanol Recycling HC'!J195</f>
        <v>2.600138517694104E-2</v>
      </c>
      <c r="L91" s="44">
        <f>'Methanol Recycling HC'!K195</f>
        <v>3.3433512433250989E-2</v>
      </c>
      <c r="M91" s="44">
        <f>'Methanol Recycling HC'!L195</f>
        <v>4.1583706450756978E-2</v>
      </c>
      <c r="N91" s="44">
        <f>'Methanol Recycling HC'!M195</f>
        <v>5.0490946942911875E-2</v>
      </c>
      <c r="O91" s="44">
        <f>'Methanol Recycling HC'!N195</f>
        <v>6.2721278985837708E-2</v>
      </c>
      <c r="P91" s="44">
        <f>'Methanol Recycling HC'!O195</f>
        <v>7.61191382190613E-2</v>
      </c>
      <c r="Q91" s="44">
        <f>'Methanol Recycling HC'!P195</f>
        <v>9.0692161007921351E-2</v>
      </c>
      <c r="R91" s="44">
        <f>'Methanol Recycling HC'!Q195</f>
        <v>0.106436666988976</v>
      </c>
      <c r="S91" s="44">
        <f>'Methanol Recycling HC'!R195</f>
        <v>0.12333698103479268</v>
      </c>
      <c r="T91" s="44">
        <f>'Methanol Recycling HC'!S195</f>
        <v>0.14165889629077164</v>
      </c>
      <c r="U91" s="44">
        <f>'Methanol Recycling HC'!T195</f>
        <v>0.16146707426465662</v>
      </c>
      <c r="V91" s="44">
        <f>'Methanol Recycling HC'!U195</f>
        <v>0.18282729116824586</v>
      </c>
      <c r="W91" s="44">
        <f>'Methanol Recycling HC'!V195</f>
        <v>0.20580640884405643</v>
      </c>
      <c r="X91" s="44">
        <f>'Methanol Recycling HC'!W195</f>
        <v>0.23047234386908935</v>
      </c>
      <c r="Y91" s="44">
        <f>'Methanol Recycling HC'!X195</f>
        <v>0.26389716245155753</v>
      </c>
      <c r="Z91" s="44">
        <f>'Methanol Recycling HC'!Y195</f>
        <v>0.30001633048073484</v>
      </c>
      <c r="AA91" s="44">
        <f>'Methanol Recycling HC'!Z195</f>
        <v>0.33894506581325157</v>
      </c>
      <c r="AB91" s="44">
        <f>'Methanol Recycling HC'!AA195</f>
        <v>0.38080042173964646</v>
      </c>
      <c r="AC91" s="44">
        <f>'Methanol Recycling HC'!AB195</f>
        <v>0.42570123882832001</v>
      </c>
      <c r="AD91" s="44">
        <f>'Methanol Recycling HC'!AC195</f>
        <v>0.47377277942853568</v>
      </c>
      <c r="AE91" s="44">
        <f>'Methanol Recycling HC'!AD195</f>
        <v>0.52513876675286508</v>
      </c>
      <c r="AF91" s="44">
        <f>'Methanol Recycling HC'!AE195</f>
        <v>0.57992474682137152</v>
      </c>
      <c r="AG91" s="44">
        <f>'Methanol Recycling HC'!AF195</f>
        <v>0.63825804167258204</v>
      </c>
      <c r="AH91" s="43">
        <f>'Methanol Recycling HC'!AG195</f>
        <v>0.70026770007826433</v>
      </c>
      <c r="AJ91" s="44">
        <f>D91</f>
        <v>0</v>
      </c>
      <c r="AK91" s="44">
        <f>E91</f>
        <v>-5.8355004134645408E-3</v>
      </c>
      <c r="AL91" s="44">
        <f>F91</f>
        <v>-1.8459246249419407E-3</v>
      </c>
      <c r="AM91" s="44">
        <f t="shared" ref="AK91:BN92" si="580">G91</f>
        <v>2.6386493237511126E-3</v>
      </c>
      <c r="AN91" s="44">
        <f t="shared" si="580"/>
        <v>7.6308302665281207E-3</v>
      </c>
      <c r="AO91" s="44">
        <f t="shared" si="580"/>
        <v>1.3137721716277001E-2</v>
      </c>
      <c r="AP91" s="44">
        <f t="shared" si="580"/>
        <v>1.924878680193047E-2</v>
      </c>
      <c r="AQ91" s="44">
        <f t="shared" si="580"/>
        <v>2.600138517694104E-2</v>
      </c>
      <c r="AR91" s="44">
        <f t="shared" si="580"/>
        <v>3.3433512433250989E-2</v>
      </c>
      <c r="AS91" s="44">
        <f t="shared" si="580"/>
        <v>4.1583706450756978E-2</v>
      </c>
      <c r="AT91" s="44">
        <f t="shared" si="580"/>
        <v>5.0490946942911875E-2</v>
      </c>
      <c r="AU91" s="44">
        <f t="shared" si="580"/>
        <v>6.2721278985837708E-2</v>
      </c>
      <c r="AV91" s="44">
        <f t="shared" si="580"/>
        <v>7.61191382190613E-2</v>
      </c>
      <c r="AW91" s="44">
        <f t="shared" si="580"/>
        <v>9.0692161007921351E-2</v>
      </c>
      <c r="AX91" s="44">
        <f t="shared" si="580"/>
        <v>0.106436666988976</v>
      </c>
      <c r="AY91" s="44">
        <f t="shared" si="580"/>
        <v>0.12333698103479268</v>
      </c>
      <c r="AZ91" s="44">
        <f t="shared" si="580"/>
        <v>0.14165889629077164</v>
      </c>
      <c r="BA91" s="44">
        <f t="shared" si="580"/>
        <v>0.16146707426465662</v>
      </c>
      <c r="BB91" s="44">
        <f t="shared" si="580"/>
        <v>0.18282729116824586</v>
      </c>
      <c r="BC91" s="44">
        <f t="shared" si="580"/>
        <v>0.20580640884405643</v>
      </c>
      <c r="BD91" s="44">
        <f t="shared" si="580"/>
        <v>0.23047234386908935</v>
      </c>
      <c r="BE91" s="44">
        <f t="shared" si="580"/>
        <v>0.26389716245155753</v>
      </c>
      <c r="BF91" s="44">
        <f t="shared" si="580"/>
        <v>0.30001633048073484</v>
      </c>
      <c r="BG91" s="44">
        <f t="shared" si="580"/>
        <v>0.33894506581325157</v>
      </c>
      <c r="BH91" s="44">
        <f t="shared" si="580"/>
        <v>0.38080042173964646</v>
      </c>
      <c r="BI91" s="44">
        <f t="shared" si="580"/>
        <v>0.42570123882832001</v>
      </c>
      <c r="BJ91" s="44">
        <f t="shared" si="580"/>
        <v>0.47377277942853568</v>
      </c>
      <c r="BK91" s="44">
        <f t="shared" si="580"/>
        <v>0.52513876675286508</v>
      </c>
      <c r="BL91" s="44">
        <f t="shared" si="580"/>
        <v>0.57992474682137152</v>
      </c>
      <c r="BM91" s="44">
        <f t="shared" si="580"/>
        <v>0.63825804167258204</v>
      </c>
      <c r="BN91" s="44">
        <f t="shared" si="580"/>
        <v>0.70026770007826433</v>
      </c>
    </row>
    <row r="92" spans="1:66">
      <c r="A92"/>
      <c r="B92" t="s">
        <v>222</v>
      </c>
      <c r="C92" s="54" t="s">
        <v>153</v>
      </c>
      <c r="D92" s="44">
        <f>'Methanol Recycling HC'!C84</f>
        <v>0</v>
      </c>
      <c r="E92" s="44">
        <f>'Methanol Recycling HC'!D84</f>
        <v>1.3692785126497645E-3</v>
      </c>
      <c r="F92" s="44">
        <f>'Methanol Recycling HC'!E84</f>
        <v>2.6469696699784398E-3</v>
      </c>
      <c r="G92" s="44">
        <f>'Methanol Recycling HC'!F84</f>
        <v>3.8209798699435082E-3</v>
      </c>
      <c r="H92" s="44">
        <f>'Methanol Recycling HC'!G84</f>
        <v>4.8800194984570666E-3</v>
      </c>
      <c r="I92" s="44">
        <f>'Methanol Recycling HC'!H84</f>
        <v>5.8137751560531983E-3</v>
      </c>
      <c r="J92" s="44">
        <f>'Methanol Recycling HC'!I84</f>
        <v>6.6983528273779069E-3</v>
      </c>
      <c r="K92" s="44">
        <f>'Methanol Recycling HC'!J84</f>
        <v>7.5305713365617921E-3</v>
      </c>
      <c r="L92" s="44">
        <f>'Methanol Recycling HC'!K84</f>
        <v>8.3073205127998789E-3</v>
      </c>
      <c r="M92" s="44">
        <f>'Methanol Recycling HC'!L84</f>
        <v>9.0255730284241401E-3</v>
      </c>
      <c r="N92" s="44">
        <f>'Methanol Recycling HC'!M84</f>
        <v>9.6823962119744061E-3</v>
      </c>
      <c r="O92" s="44">
        <f>'Methanol Recycling HC'!N84</f>
        <v>1.162564506712873E-2</v>
      </c>
      <c r="P92" s="44">
        <f>'Methanol Recycling HC'!O84</f>
        <v>1.3394288480769935E-2</v>
      </c>
      <c r="Q92" s="44">
        <f>'Methanol Recycling HC'!P84</f>
        <v>1.4975022443059295E-2</v>
      </c>
      <c r="R92" s="44">
        <f>'Methanol Recycling HC'!Q84</f>
        <v>1.6356145727729858E-2</v>
      </c>
      <c r="S92" s="44">
        <f>'Methanol Recycling HC'!R84</f>
        <v>1.7527702438945192E-2</v>
      </c>
      <c r="T92" s="44">
        <f>'Methanol Recycling HC'!S84</f>
        <v>1.8574205439134871E-2</v>
      </c>
      <c r="U92" s="44">
        <f>'Methanol Recycling HC'!T84</f>
        <v>1.9494185224669107E-2</v>
      </c>
      <c r="V92" s="44">
        <f>'Methanol Recycling HC'!U84</f>
        <v>2.0286292630316678E-2</v>
      </c>
      <c r="W92" s="44">
        <f>'Methanol Recycling HC'!V84</f>
        <v>2.0949302055554939E-2</v>
      </c>
      <c r="X92" s="44">
        <f>'Methanol Recycling HC'!W84</f>
        <v>2.1482114603502994E-2</v>
      </c>
      <c r="Y92" s="44">
        <f>'Methanol Recycling HC'!X84</f>
        <v>2.3053031811575614E-2</v>
      </c>
      <c r="Z92" s="44">
        <f>'Methanol Recycling HC'!Y84</f>
        <v>2.4422673046695716E-2</v>
      </c>
      <c r="AA92" s="44">
        <f>'Methanol Recycling HC'!Z84</f>
        <v>2.5589479917535338E-2</v>
      </c>
      <c r="AB92" s="44">
        <f>'Methanol Recycling HC'!AA84</f>
        <v>2.655209092954617E-2</v>
      </c>
      <c r="AC92" s="44">
        <f>'Methanol Recycling HC'!AB84</f>
        <v>2.7309345771337278E-2</v>
      </c>
      <c r="AD92" s="44">
        <f>'Methanol Recycling HC'!AC84</f>
        <v>2.7860864061925991E-2</v>
      </c>
      <c r="AE92" s="44">
        <f>'Methanol Recycling HC'!AD84</f>
        <v>2.8205910685436902E-2</v>
      </c>
      <c r="AF92" s="44">
        <f>'Methanol Recycling HC'!AE84</f>
        <v>2.8343951953157309E-2</v>
      </c>
      <c r="AG92" s="44">
        <f>'Methanol Recycling HC'!AF84</f>
        <v>2.8274659237187333E-2</v>
      </c>
      <c r="AH92" s="43">
        <f>'Methanol Recycling HC'!AG84</f>
        <v>2.7997912469751661E-2</v>
      </c>
      <c r="AJ92" s="44">
        <f>D92</f>
        <v>0</v>
      </c>
      <c r="AK92" s="44">
        <f t="shared" si="580"/>
        <v>1.3692785126497645E-3</v>
      </c>
      <c r="AL92" s="44">
        <f t="shared" si="580"/>
        <v>2.6469696699784398E-3</v>
      </c>
      <c r="AM92" s="44">
        <f t="shared" si="580"/>
        <v>3.8209798699435082E-3</v>
      </c>
      <c r="AN92" s="44">
        <f t="shared" si="580"/>
        <v>4.8800194984570666E-3</v>
      </c>
      <c r="AO92" s="44">
        <f t="shared" si="580"/>
        <v>5.8137751560531983E-3</v>
      </c>
      <c r="AP92" s="44">
        <f t="shared" si="580"/>
        <v>6.6983528273779069E-3</v>
      </c>
      <c r="AQ92" s="44">
        <f t="shared" si="580"/>
        <v>7.5305713365617921E-3</v>
      </c>
      <c r="AR92" s="44">
        <f t="shared" si="580"/>
        <v>8.3073205127998789E-3</v>
      </c>
      <c r="AS92" s="44">
        <f t="shared" si="580"/>
        <v>9.0255730284241401E-3</v>
      </c>
      <c r="AT92" s="44">
        <f t="shared" si="580"/>
        <v>9.6823962119744061E-3</v>
      </c>
      <c r="AU92" s="44">
        <f t="shared" si="580"/>
        <v>1.162564506712873E-2</v>
      </c>
      <c r="AV92" s="44">
        <f t="shared" si="580"/>
        <v>1.3394288480769935E-2</v>
      </c>
      <c r="AW92" s="44">
        <f t="shared" si="580"/>
        <v>1.4975022443059295E-2</v>
      </c>
      <c r="AX92" s="44">
        <f t="shared" si="580"/>
        <v>1.6356145727729858E-2</v>
      </c>
      <c r="AY92" s="44">
        <f t="shared" si="580"/>
        <v>1.7527702438945192E-2</v>
      </c>
      <c r="AZ92" s="44">
        <f t="shared" si="580"/>
        <v>1.8574205439134871E-2</v>
      </c>
      <c r="BA92" s="44">
        <f t="shared" si="580"/>
        <v>1.9494185224669107E-2</v>
      </c>
      <c r="BB92" s="44">
        <f t="shared" si="580"/>
        <v>2.0286292630316678E-2</v>
      </c>
      <c r="BC92" s="44">
        <f t="shared" si="580"/>
        <v>2.0949302055554939E-2</v>
      </c>
      <c r="BD92" s="44">
        <f t="shared" si="580"/>
        <v>2.1482114603502994E-2</v>
      </c>
      <c r="BE92" s="44">
        <f t="shared" si="580"/>
        <v>2.3053031811575614E-2</v>
      </c>
      <c r="BF92" s="44">
        <f t="shared" si="580"/>
        <v>2.4422673046695716E-2</v>
      </c>
      <c r="BG92" s="44">
        <f t="shared" si="580"/>
        <v>2.5589479917535338E-2</v>
      </c>
      <c r="BH92" s="44">
        <f t="shared" si="580"/>
        <v>2.655209092954617E-2</v>
      </c>
      <c r="BI92" s="44">
        <f t="shared" si="580"/>
        <v>2.7309345771337278E-2</v>
      </c>
      <c r="BJ92" s="44">
        <f t="shared" si="580"/>
        <v>2.7860864061925991E-2</v>
      </c>
      <c r="BK92" s="44">
        <f t="shared" si="580"/>
        <v>2.8205910685436902E-2</v>
      </c>
      <c r="BL92" s="44">
        <f t="shared" si="580"/>
        <v>2.8343951953157309E-2</v>
      </c>
      <c r="BM92" s="44">
        <f t="shared" si="580"/>
        <v>2.8274659237187333E-2</v>
      </c>
      <c r="BN92" s="44">
        <f t="shared" si="580"/>
        <v>2.7997912469751661E-2</v>
      </c>
    </row>
    <row r="93" spans="1:66">
      <c r="A93" s="62"/>
      <c r="B93" s="62" t="s">
        <v>219</v>
      </c>
      <c r="C93" s="54" t="s">
        <v>153</v>
      </c>
      <c r="D93" s="64">
        <f>IF(D90-D91-D92&lt;0,0,D90-D91-D92)</f>
        <v>1.4464073070604898E-2</v>
      </c>
      <c r="E93" s="64">
        <f t="shared" ref="E93:AG93" si="581">IF(E90-E91-E92&lt;0,0,E90-E91-E92)</f>
        <v>1.9234040505902376E-2</v>
      </c>
      <c r="F93" s="64">
        <f t="shared" si="581"/>
        <v>1.4276897750757939E-2</v>
      </c>
      <c r="G93" s="64">
        <f t="shared" si="581"/>
        <v>8.9349504008114991E-3</v>
      </c>
      <c r="H93" s="64">
        <f t="shared" si="581"/>
        <v>3.2070160010055603E-3</v>
      </c>
      <c r="I93" s="64">
        <f t="shared" si="581"/>
        <v>0</v>
      </c>
      <c r="J93" s="64">
        <f t="shared" si="581"/>
        <v>0</v>
      </c>
      <c r="K93" s="64">
        <f t="shared" si="581"/>
        <v>0</v>
      </c>
      <c r="L93" s="64">
        <f t="shared" si="581"/>
        <v>0</v>
      </c>
      <c r="M93" s="64">
        <f t="shared" si="581"/>
        <v>0</v>
      </c>
      <c r="N93" s="64">
        <f t="shared" si="581"/>
        <v>0</v>
      </c>
      <c r="O93" s="64">
        <f t="shared" si="581"/>
        <v>0</v>
      </c>
      <c r="P93" s="64">
        <f t="shared" si="581"/>
        <v>0</v>
      </c>
      <c r="Q93" s="64">
        <f t="shared" si="581"/>
        <v>0</v>
      </c>
      <c r="R93" s="64">
        <f t="shared" si="581"/>
        <v>0</v>
      </c>
      <c r="S93" s="64">
        <f t="shared" si="581"/>
        <v>0</v>
      </c>
      <c r="T93" s="64">
        <f t="shared" si="581"/>
        <v>0</v>
      </c>
      <c r="U93" s="64">
        <f t="shared" si="581"/>
        <v>0</v>
      </c>
      <c r="V93" s="64">
        <f t="shared" si="581"/>
        <v>0</v>
      </c>
      <c r="W93" s="64">
        <f t="shared" si="581"/>
        <v>0</v>
      </c>
      <c r="X93" s="64">
        <f t="shared" si="581"/>
        <v>0</v>
      </c>
      <c r="Y93" s="64">
        <f t="shared" si="581"/>
        <v>0</v>
      </c>
      <c r="Z93" s="64">
        <f t="shared" si="581"/>
        <v>0</v>
      </c>
      <c r="AA93" s="64">
        <f t="shared" si="581"/>
        <v>0</v>
      </c>
      <c r="AB93" s="64">
        <f t="shared" si="581"/>
        <v>0</v>
      </c>
      <c r="AC93" s="64">
        <f t="shared" si="581"/>
        <v>0</v>
      </c>
      <c r="AD93" s="64">
        <f t="shared" si="581"/>
        <v>0</v>
      </c>
      <c r="AE93" s="64">
        <f t="shared" si="581"/>
        <v>0</v>
      </c>
      <c r="AF93" s="64">
        <f t="shared" si="581"/>
        <v>0</v>
      </c>
      <c r="AG93" s="64">
        <f t="shared" si="581"/>
        <v>0</v>
      </c>
      <c r="AH93" s="64">
        <f>IF(AH90-AH91-AH92&lt;0,0,AH90-AH91-AH92)</f>
        <v>0</v>
      </c>
      <c r="AJ93" s="64">
        <f>IF(AJ90-AJ91-AJ92&lt;0,0,AJ90-AJ91-AJ92)</f>
        <v>1.4464073070604898E-2</v>
      </c>
      <c r="AK93" s="64">
        <f t="shared" ref="AK93" si="582">IF(AK90-AK91-AK92&lt;0,0,AK90-AK91-AK92)</f>
        <v>1.9234040505902376E-2</v>
      </c>
      <c r="AL93" s="64">
        <f t="shared" ref="AL93" si="583">IF(AL90-AL91-AL92&lt;0,0,AL90-AL91-AL92)</f>
        <v>1.4276897750757939E-2</v>
      </c>
      <c r="AM93" s="64">
        <f t="shared" ref="AM93" si="584">IF(AM90-AM91-AM92&lt;0,0,AM90-AM91-AM92)</f>
        <v>8.9349504008114991E-3</v>
      </c>
      <c r="AN93" s="64">
        <f t="shared" ref="AN93" si="585">IF(AN90-AN91-AN92&lt;0,0,AN90-AN91-AN92)</f>
        <v>3.2070160010055603E-3</v>
      </c>
      <c r="AO93" s="64">
        <f t="shared" ref="AO93" si="586">IF(AO90-AO91-AO92&lt;0,0,AO90-AO91-AO92)</f>
        <v>0</v>
      </c>
      <c r="AP93" s="64">
        <f t="shared" ref="AP93" si="587">IF(AP90-AP91-AP92&lt;0,0,AP90-AP91-AP92)</f>
        <v>0</v>
      </c>
      <c r="AQ93" s="64">
        <f t="shared" ref="AQ93" si="588">IF(AQ90-AQ91-AQ92&lt;0,0,AQ90-AQ91-AQ92)</f>
        <v>0</v>
      </c>
      <c r="AR93" s="64">
        <f t="shared" ref="AR93" si="589">IF(AR90-AR91-AR92&lt;0,0,AR90-AR91-AR92)</f>
        <v>0</v>
      </c>
      <c r="AS93" s="64">
        <f t="shared" ref="AS93" si="590">IF(AS90-AS91-AS92&lt;0,0,AS90-AS91-AS92)</f>
        <v>0</v>
      </c>
      <c r="AT93" s="64">
        <f t="shared" ref="AT93" si="591">IF(AT90-AT91-AT92&lt;0,0,AT90-AT91-AT92)</f>
        <v>0</v>
      </c>
      <c r="AU93" s="64">
        <f t="shared" ref="AU93" si="592">IF(AU90-AU91-AU92&lt;0,0,AU90-AU91-AU92)</f>
        <v>0</v>
      </c>
      <c r="AV93" s="64">
        <f t="shared" ref="AV93" si="593">IF(AV90-AV91-AV92&lt;0,0,AV90-AV91-AV92)</f>
        <v>0</v>
      </c>
      <c r="AW93" s="64">
        <f t="shared" ref="AW93" si="594">IF(AW90-AW91-AW92&lt;0,0,AW90-AW91-AW92)</f>
        <v>0</v>
      </c>
      <c r="AX93" s="64">
        <f t="shared" ref="AX93" si="595">IF(AX90-AX91-AX92&lt;0,0,AX90-AX91-AX92)</f>
        <v>0</v>
      </c>
      <c r="AY93" s="64">
        <f t="shared" ref="AY93" si="596">IF(AY90-AY91-AY92&lt;0,0,AY90-AY91-AY92)</f>
        <v>0</v>
      </c>
      <c r="AZ93" s="64">
        <f t="shared" ref="AZ93" si="597">IF(AZ90-AZ91-AZ92&lt;0,0,AZ90-AZ91-AZ92)</f>
        <v>0</v>
      </c>
      <c r="BA93" s="64">
        <f t="shared" ref="BA93" si="598">IF(BA90-BA91-BA92&lt;0,0,BA90-BA91-BA92)</f>
        <v>0</v>
      </c>
      <c r="BB93" s="64">
        <f t="shared" ref="BB93" si="599">IF(BB90-BB91-BB92&lt;0,0,BB90-BB91-BB92)</f>
        <v>0</v>
      </c>
      <c r="BC93" s="64">
        <f t="shared" ref="BC93" si="600">IF(BC90-BC91-BC92&lt;0,0,BC90-BC91-BC92)</f>
        <v>0</v>
      </c>
      <c r="BD93" s="64">
        <f t="shared" ref="BD93" si="601">IF(BD90-BD91-BD92&lt;0,0,BD90-BD91-BD92)</f>
        <v>0</v>
      </c>
      <c r="BE93" s="64">
        <f t="shared" ref="BE93" si="602">IF(BE90-BE91-BE92&lt;0,0,BE90-BE91-BE92)</f>
        <v>0</v>
      </c>
      <c r="BF93" s="64">
        <f t="shared" ref="BF93" si="603">IF(BF90-BF91-BF92&lt;0,0,BF90-BF91-BF92)</f>
        <v>0</v>
      </c>
      <c r="BG93" s="64">
        <f t="shared" ref="BG93" si="604">IF(BG90-BG91-BG92&lt;0,0,BG90-BG91-BG92)</f>
        <v>0</v>
      </c>
      <c r="BH93" s="64">
        <f t="shared" ref="BH93" si="605">IF(BH90-BH91-BH92&lt;0,0,BH90-BH91-BH92)</f>
        <v>0</v>
      </c>
      <c r="BI93" s="64">
        <f t="shared" ref="BI93" si="606">IF(BI90-BI91-BI92&lt;0,0,BI90-BI91-BI92)</f>
        <v>0</v>
      </c>
      <c r="BJ93" s="64">
        <f t="shared" ref="BJ93" si="607">IF(BJ90-BJ91-BJ92&lt;0,0,BJ90-BJ91-BJ92)</f>
        <v>0</v>
      </c>
      <c r="BK93" s="64">
        <f t="shared" ref="BK93" si="608">IF(BK90-BK91-BK92&lt;0,0,BK90-BK91-BK92)</f>
        <v>0</v>
      </c>
      <c r="BL93" s="64">
        <f t="shared" ref="BL93" si="609">IF(BL90-BL91-BL92&lt;0,0,BL90-BL91-BL92)</f>
        <v>0</v>
      </c>
      <c r="BM93" s="64">
        <f t="shared" ref="BM93" si="610">IF(BM90-BM91-BM92&lt;0,0,BM90-BM91-BM92)</f>
        <v>0</v>
      </c>
      <c r="BN93" s="64">
        <f t="shared" ref="BN93" si="611">IF(BN90-BN91-BN92&lt;0,0,BN90-BN91-BN92)</f>
        <v>0</v>
      </c>
    </row>
    <row r="94" spans="1:66" s="67" customFormat="1">
      <c r="A94" s="752"/>
      <c r="B94" s="58" t="s">
        <v>246</v>
      </c>
      <c r="C94" s="59" t="s">
        <v>153</v>
      </c>
      <c r="D94" s="60">
        <f>D53</f>
        <v>2.4253683632989597E-3</v>
      </c>
      <c r="E94" s="60">
        <f t="shared" ref="E94:AH95" si="612">E53</f>
        <v>2.4176258262778695E-3</v>
      </c>
      <c r="F94" s="60">
        <f t="shared" si="612"/>
        <v>2.4181825246514014E-3</v>
      </c>
      <c r="G94" s="60">
        <f t="shared" si="612"/>
        <v>2.4255027757339727E-3</v>
      </c>
      <c r="H94" s="60">
        <f t="shared" si="612"/>
        <v>2.4384652486225634E-3</v>
      </c>
      <c r="I94" s="60">
        <f t="shared" si="612"/>
        <v>2.456234551570965E-3</v>
      </c>
      <c r="J94" s="60">
        <f t="shared" si="612"/>
        <v>2.4781778888847417E-3</v>
      </c>
      <c r="K94" s="60">
        <f t="shared" si="612"/>
        <v>2.5038093572716563E-3</v>
      </c>
      <c r="L94" s="60">
        <f t="shared" si="612"/>
        <v>2.5327517523303991E-3</v>
      </c>
      <c r="M94" s="60">
        <f t="shared" si="612"/>
        <v>2.5647097875482563E-3</v>
      </c>
      <c r="N94" s="60">
        <f t="shared" si="612"/>
        <v>2.5994509401557732E-3</v>
      </c>
      <c r="O94" s="60">
        <f t="shared" si="612"/>
        <v>2.6631183367807581E-3</v>
      </c>
      <c r="P94" s="60">
        <f t="shared" si="612"/>
        <v>2.7287228857700726E-3</v>
      </c>
      <c r="Q94" s="60">
        <f t="shared" si="612"/>
        <v>2.7963337484847163E-3</v>
      </c>
      <c r="R94" s="60">
        <f t="shared" si="612"/>
        <v>2.8660234441147733E-3</v>
      </c>
      <c r="S94" s="60">
        <f t="shared" si="612"/>
        <v>2.9378680375114043E-3</v>
      </c>
      <c r="T94" s="60">
        <f t="shared" si="612"/>
        <v>3.0142201309397592E-3</v>
      </c>
      <c r="U94" s="60">
        <f t="shared" si="612"/>
        <v>3.0930141528751598E-3</v>
      </c>
      <c r="V94" s="60">
        <f t="shared" si="612"/>
        <v>3.1743476738044663E-3</v>
      </c>
      <c r="W94" s="60">
        <f t="shared" si="612"/>
        <v>3.2583233768840583E-3</v>
      </c>
      <c r="X94" s="60">
        <f t="shared" si="612"/>
        <v>3.3450493913003364E-3</v>
      </c>
      <c r="Y94" s="60">
        <f t="shared" si="612"/>
        <v>3.4399653509043331E-3</v>
      </c>
      <c r="Z94" s="60">
        <f t="shared" si="612"/>
        <v>3.5382629610777048E-3</v>
      </c>
      <c r="AA94" s="60">
        <f t="shared" si="612"/>
        <v>3.6401010915543676E-3</v>
      </c>
      <c r="AB94" s="60">
        <f t="shared" si="612"/>
        <v>3.7456484577012756E-3</v>
      </c>
      <c r="AC94" s="60">
        <f t="shared" si="612"/>
        <v>3.8550843944358741E-3</v>
      </c>
      <c r="AD94" s="60">
        <f t="shared" si="612"/>
        <v>3.9685997043897381E-3</v>
      </c>
      <c r="AE94" s="60">
        <f t="shared" si="612"/>
        <v>4.0863975887635382E-3</v>
      </c>
      <c r="AF94" s="60">
        <f t="shared" si="612"/>
        <v>4.2086946704345211E-3</v>
      </c>
      <c r="AG94" s="60">
        <f t="shared" si="612"/>
        <v>4.3357221201623837E-3</v>
      </c>
      <c r="AH94" s="60">
        <f t="shared" si="612"/>
        <v>4.467726898221616E-3</v>
      </c>
      <c r="AJ94" s="60">
        <f>AJ53</f>
        <v>2.4253683632989597E-3</v>
      </c>
      <c r="AK94" s="60">
        <f t="shared" ref="AK94:BN94" si="613">AK53</f>
        <v>2.4176258262778695E-3</v>
      </c>
      <c r="AL94" s="60">
        <f t="shared" si="613"/>
        <v>2.4181825246514014E-3</v>
      </c>
      <c r="AM94" s="60">
        <f t="shared" si="613"/>
        <v>2.4255027757339727E-3</v>
      </c>
      <c r="AN94" s="60">
        <f t="shared" si="613"/>
        <v>2.4384652486225634E-3</v>
      </c>
      <c r="AO94" s="60">
        <f t="shared" si="613"/>
        <v>2.456234551570965E-3</v>
      </c>
      <c r="AP94" s="60">
        <f t="shared" si="613"/>
        <v>2.4781778888847417E-3</v>
      </c>
      <c r="AQ94" s="60">
        <f t="shared" si="613"/>
        <v>2.5038093572716563E-3</v>
      </c>
      <c r="AR94" s="60">
        <f t="shared" si="613"/>
        <v>2.5327517523303991E-3</v>
      </c>
      <c r="AS94" s="60">
        <f t="shared" si="613"/>
        <v>2.5647097875482563E-3</v>
      </c>
      <c r="AT94" s="60">
        <f t="shared" si="613"/>
        <v>2.5994509401557732E-3</v>
      </c>
      <c r="AU94" s="60">
        <f t="shared" si="613"/>
        <v>2.6631183367807581E-3</v>
      </c>
      <c r="AV94" s="60">
        <f t="shared" si="613"/>
        <v>2.7287228857700726E-3</v>
      </c>
      <c r="AW94" s="60">
        <f t="shared" si="613"/>
        <v>2.7963337484847163E-3</v>
      </c>
      <c r="AX94" s="60">
        <f t="shared" si="613"/>
        <v>2.8660234441147733E-3</v>
      </c>
      <c r="AY94" s="60">
        <f t="shared" si="613"/>
        <v>2.9378680375114043E-3</v>
      </c>
      <c r="AZ94" s="60">
        <f t="shared" si="613"/>
        <v>3.0142201309397592E-3</v>
      </c>
      <c r="BA94" s="60">
        <f t="shared" si="613"/>
        <v>3.0930141528751598E-3</v>
      </c>
      <c r="BB94" s="60">
        <f t="shared" si="613"/>
        <v>3.1743476738044663E-3</v>
      </c>
      <c r="BC94" s="60">
        <f t="shared" si="613"/>
        <v>3.2583233768840583E-3</v>
      </c>
      <c r="BD94" s="60">
        <f t="shared" si="613"/>
        <v>3.3450493913003364E-3</v>
      </c>
      <c r="BE94" s="60">
        <f t="shared" si="613"/>
        <v>3.4399653509043331E-3</v>
      </c>
      <c r="BF94" s="60">
        <f t="shared" si="613"/>
        <v>3.5382629610777048E-3</v>
      </c>
      <c r="BG94" s="60">
        <f t="shared" si="613"/>
        <v>3.6401010915543676E-3</v>
      </c>
      <c r="BH94" s="60">
        <f t="shared" si="613"/>
        <v>3.7456484577012756E-3</v>
      </c>
      <c r="BI94" s="60">
        <f t="shared" si="613"/>
        <v>3.8550843944358741E-3</v>
      </c>
      <c r="BJ94" s="60">
        <f t="shared" si="613"/>
        <v>3.9685997043897381E-3</v>
      </c>
      <c r="BK94" s="60">
        <f t="shared" si="613"/>
        <v>4.0863975887635382E-3</v>
      </c>
      <c r="BL94" s="60">
        <f t="shared" si="613"/>
        <v>4.2086946704345211E-3</v>
      </c>
      <c r="BM94" s="60">
        <f t="shared" si="613"/>
        <v>4.3357221201623837E-3</v>
      </c>
      <c r="BN94" s="60">
        <f t="shared" si="613"/>
        <v>4.467726898221616E-3</v>
      </c>
    </row>
    <row r="95" spans="1:66">
      <c r="A95" s="753"/>
      <c r="B95" s="1" t="s">
        <v>247</v>
      </c>
      <c r="C95" s="54" t="s">
        <v>153</v>
      </c>
      <c r="D95" s="44">
        <f t="shared" ref="D95:S95" si="614">D54</f>
        <v>0</v>
      </c>
      <c r="E95" s="44">
        <f t="shared" si="614"/>
        <v>0</v>
      </c>
      <c r="F95" s="44">
        <f t="shared" si="614"/>
        <v>0</v>
      </c>
      <c r="G95" s="44">
        <f t="shared" si="614"/>
        <v>0</v>
      </c>
      <c r="H95" s="44">
        <f t="shared" si="614"/>
        <v>0</v>
      </c>
      <c r="I95" s="44">
        <f t="shared" si="614"/>
        <v>0</v>
      </c>
      <c r="J95" s="44">
        <f t="shared" si="614"/>
        <v>0</v>
      </c>
      <c r="K95" s="44">
        <f t="shared" si="614"/>
        <v>0</v>
      </c>
      <c r="L95" s="44">
        <f t="shared" si="614"/>
        <v>0</v>
      </c>
      <c r="M95" s="44">
        <f t="shared" si="614"/>
        <v>0</v>
      </c>
      <c r="N95" s="44">
        <f t="shared" si="614"/>
        <v>0</v>
      </c>
      <c r="O95" s="44">
        <f t="shared" si="614"/>
        <v>0</v>
      </c>
      <c r="P95" s="44">
        <f t="shared" si="614"/>
        <v>0</v>
      </c>
      <c r="Q95" s="44">
        <f t="shared" si="614"/>
        <v>0</v>
      </c>
      <c r="R95" s="44">
        <f t="shared" si="614"/>
        <v>0</v>
      </c>
      <c r="S95" s="44">
        <f t="shared" si="614"/>
        <v>0</v>
      </c>
      <c r="T95" s="44">
        <f t="shared" si="612"/>
        <v>0</v>
      </c>
      <c r="U95" s="44">
        <f t="shared" si="612"/>
        <v>0</v>
      </c>
      <c r="V95" s="44">
        <f t="shared" si="612"/>
        <v>0</v>
      </c>
      <c r="W95" s="44">
        <f t="shared" si="612"/>
        <v>0</v>
      </c>
      <c r="X95" s="44">
        <f t="shared" si="612"/>
        <v>0</v>
      </c>
      <c r="Y95" s="44">
        <f t="shared" si="612"/>
        <v>0</v>
      </c>
      <c r="Z95" s="44">
        <f t="shared" si="612"/>
        <v>0</v>
      </c>
      <c r="AA95" s="44">
        <f t="shared" si="612"/>
        <v>0</v>
      </c>
      <c r="AB95" s="44">
        <f t="shared" si="612"/>
        <v>0</v>
      </c>
      <c r="AC95" s="44">
        <f t="shared" si="612"/>
        <v>0</v>
      </c>
      <c r="AD95" s="44">
        <f t="shared" si="612"/>
        <v>0</v>
      </c>
      <c r="AE95" s="44">
        <f t="shared" si="612"/>
        <v>0</v>
      </c>
      <c r="AF95" s="44">
        <f t="shared" si="612"/>
        <v>0</v>
      </c>
      <c r="AG95" s="44">
        <f t="shared" si="612"/>
        <v>0</v>
      </c>
      <c r="AH95" s="44">
        <f t="shared" si="612"/>
        <v>0</v>
      </c>
      <c r="AJ95" s="44">
        <f t="shared" ref="AJ95:BN95" si="615">AJ54</f>
        <v>0</v>
      </c>
      <c r="AK95" s="44">
        <f t="shared" si="615"/>
        <v>0</v>
      </c>
      <c r="AL95" s="44">
        <f t="shared" si="615"/>
        <v>0</v>
      </c>
      <c r="AM95" s="44">
        <f t="shared" si="615"/>
        <v>0</v>
      </c>
      <c r="AN95" s="44">
        <f t="shared" si="615"/>
        <v>0</v>
      </c>
      <c r="AO95" s="44">
        <f t="shared" si="615"/>
        <v>0</v>
      </c>
      <c r="AP95" s="44">
        <f t="shared" si="615"/>
        <v>0</v>
      </c>
      <c r="AQ95" s="44">
        <f t="shared" si="615"/>
        <v>0</v>
      </c>
      <c r="AR95" s="44">
        <f t="shared" si="615"/>
        <v>0</v>
      </c>
      <c r="AS95" s="44">
        <f t="shared" si="615"/>
        <v>0</v>
      </c>
      <c r="AT95" s="44">
        <f t="shared" si="615"/>
        <v>0</v>
      </c>
      <c r="AU95" s="44">
        <f t="shared" si="615"/>
        <v>0</v>
      </c>
      <c r="AV95" s="44">
        <f t="shared" si="615"/>
        <v>0</v>
      </c>
      <c r="AW95" s="44">
        <f t="shared" si="615"/>
        <v>0</v>
      </c>
      <c r="AX95" s="44">
        <f t="shared" si="615"/>
        <v>0</v>
      </c>
      <c r="AY95" s="44">
        <f t="shared" si="615"/>
        <v>0</v>
      </c>
      <c r="AZ95" s="44">
        <f t="shared" si="615"/>
        <v>0</v>
      </c>
      <c r="BA95" s="44">
        <f t="shared" si="615"/>
        <v>0</v>
      </c>
      <c r="BB95" s="44">
        <f t="shared" si="615"/>
        <v>0</v>
      </c>
      <c r="BC95" s="44">
        <f t="shared" si="615"/>
        <v>0</v>
      </c>
      <c r="BD95" s="44">
        <f t="shared" si="615"/>
        <v>0</v>
      </c>
      <c r="BE95" s="44">
        <f t="shared" si="615"/>
        <v>0</v>
      </c>
      <c r="BF95" s="44">
        <f t="shared" si="615"/>
        <v>0</v>
      </c>
      <c r="BG95" s="44">
        <f t="shared" si="615"/>
        <v>0</v>
      </c>
      <c r="BH95" s="44">
        <f t="shared" si="615"/>
        <v>0</v>
      </c>
      <c r="BI95" s="44">
        <f t="shared" si="615"/>
        <v>0</v>
      </c>
      <c r="BJ95" s="44">
        <f t="shared" si="615"/>
        <v>0</v>
      </c>
      <c r="BK95" s="44">
        <f t="shared" si="615"/>
        <v>0</v>
      </c>
      <c r="BL95" s="44">
        <f t="shared" si="615"/>
        <v>0</v>
      </c>
      <c r="BM95" s="44">
        <f t="shared" si="615"/>
        <v>0</v>
      </c>
      <c r="BN95" s="44">
        <f t="shared" si="615"/>
        <v>0</v>
      </c>
    </row>
    <row r="96" spans="1:66" s="68" customFormat="1">
      <c r="A96" s="754"/>
      <c r="B96" s="62" t="s">
        <v>248</v>
      </c>
      <c r="C96" s="283" t="s">
        <v>153</v>
      </c>
      <c r="D96" s="284">
        <f>D55-(D90-D93)</f>
        <v>1.2038704707305939E-2</v>
      </c>
      <c r="E96" s="284">
        <f t="shared" ref="E96:AH96" si="616">E55-(E90-E93)</f>
        <v>1.6816414679624504E-2</v>
      </c>
      <c r="F96" s="284">
        <f t="shared" si="616"/>
        <v>1.1858715226106539E-2</v>
      </c>
      <c r="G96" s="284">
        <f t="shared" si="616"/>
        <v>6.509447625077526E-3</v>
      </c>
      <c r="H96" s="284">
        <f t="shared" si="616"/>
        <v>7.6855075238299771E-4</v>
      </c>
      <c r="I96" s="284">
        <f t="shared" si="616"/>
        <v>-2.4562345515709658E-3</v>
      </c>
      <c r="J96" s="284">
        <f t="shared" si="616"/>
        <v>-2.4781778888847417E-3</v>
      </c>
      <c r="K96" s="284">
        <f t="shared" si="616"/>
        <v>-2.5038093572716576E-3</v>
      </c>
      <c r="L96" s="284">
        <f t="shared" si="616"/>
        <v>-2.5327517523303974E-3</v>
      </c>
      <c r="M96" s="284">
        <f t="shared" si="616"/>
        <v>-2.5647097875482559E-3</v>
      </c>
      <c r="N96" s="284">
        <f t="shared" si="616"/>
        <v>-2.5994509401557741E-3</v>
      </c>
      <c r="O96" s="284">
        <f t="shared" si="616"/>
        <v>-2.6631183367807586E-3</v>
      </c>
      <c r="P96" s="284">
        <f t="shared" si="616"/>
        <v>-2.7287228857700747E-3</v>
      </c>
      <c r="Q96" s="284">
        <f t="shared" si="616"/>
        <v>-2.7963337484847167E-3</v>
      </c>
      <c r="R96" s="284">
        <f t="shared" si="616"/>
        <v>-2.866023444114775E-3</v>
      </c>
      <c r="S96" s="284">
        <f t="shared" si="616"/>
        <v>-2.9378680375114069E-3</v>
      </c>
      <c r="T96" s="284">
        <f t="shared" si="616"/>
        <v>-3.0142201309397605E-3</v>
      </c>
      <c r="U96" s="284">
        <f t="shared" si="616"/>
        <v>-3.0930141528751585E-3</v>
      </c>
      <c r="V96" s="284">
        <f t="shared" si="616"/>
        <v>-3.1743476738044646E-3</v>
      </c>
      <c r="W96" s="284">
        <f t="shared" si="616"/>
        <v>-3.2583233768840592E-3</v>
      </c>
      <c r="X96" s="284">
        <f t="shared" si="616"/>
        <v>-3.3450493913003351E-3</v>
      </c>
      <c r="Y96" s="284">
        <f t="shared" si="616"/>
        <v>-3.4399653509043331E-3</v>
      </c>
      <c r="Z96" s="284">
        <f t="shared" si="616"/>
        <v>-3.5382629610777039E-3</v>
      </c>
      <c r="AA96" s="284">
        <f t="shared" si="616"/>
        <v>-3.6401010915543645E-3</v>
      </c>
      <c r="AB96" s="284">
        <f t="shared" si="616"/>
        <v>-3.7456484577012769E-3</v>
      </c>
      <c r="AC96" s="284">
        <f t="shared" si="616"/>
        <v>-3.8550843944358745E-3</v>
      </c>
      <c r="AD96" s="284">
        <f t="shared" si="616"/>
        <v>-3.9685997043897372E-3</v>
      </c>
      <c r="AE96" s="284">
        <f t="shared" si="616"/>
        <v>-4.0863975887635365E-3</v>
      </c>
      <c r="AF96" s="284">
        <f t="shared" si="616"/>
        <v>-4.2086946704345193E-3</v>
      </c>
      <c r="AG96" s="284">
        <f t="shared" si="616"/>
        <v>-4.3357221201623837E-3</v>
      </c>
      <c r="AH96" s="284">
        <f t="shared" si="616"/>
        <v>-4.4677268982216169E-3</v>
      </c>
      <c r="AJ96" s="284">
        <f>AJ55-(AJ90-AJ93)</f>
        <v>1.2038704707305939E-2</v>
      </c>
      <c r="AK96" s="284">
        <f t="shared" ref="AK96:BN96" si="617">AK55-(AK90-AK93)</f>
        <v>1.6816414679624504E-2</v>
      </c>
      <c r="AL96" s="284">
        <f t="shared" si="617"/>
        <v>1.1858715226106539E-2</v>
      </c>
      <c r="AM96" s="284">
        <f t="shared" si="617"/>
        <v>6.509447625077526E-3</v>
      </c>
      <c r="AN96" s="284">
        <f t="shared" si="617"/>
        <v>7.6855075238299771E-4</v>
      </c>
      <c r="AO96" s="284">
        <f t="shared" si="617"/>
        <v>-2.4562345515709658E-3</v>
      </c>
      <c r="AP96" s="284">
        <f t="shared" si="617"/>
        <v>-2.4781778888847417E-3</v>
      </c>
      <c r="AQ96" s="284">
        <f t="shared" si="617"/>
        <v>-2.5038093572716576E-3</v>
      </c>
      <c r="AR96" s="284">
        <f t="shared" si="617"/>
        <v>-2.5327517523303974E-3</v>
      </c>
      <c r="AS96" s="284">
        <f t="shared" si="617"/>
        <v>-2.5647097875482559E-3</v>
      </c>
      <c r="AT96" s="284">
        <f t="shared" si="617"/>
        <v>-2.5994509401557741E-3</v>
      </c>
      <c r="AU96" s="284">
        <f t="shared" si="617"/>
        <v>-2.6631183367807586E-3</v>
      </c>
      <c r="AV96" s="284">
        <f t="shared" si="617"/>
        <v>-2.7287228857700747E-3</v>
      </c>
      <c r="AW96" s="284">
        <f t="shared" si="617"/>
        <v>-2.7963337484847167E-3</v>
      </c>
      <c r="AX96" s="284">
        <f t="shared" si="617"/>
        <v>-2.866023444114775E-3</v>
      </c>
      <c r="AY96" s="284">
        <f t="shared" si="617"/>
        <v>-2.9378680375114069E-3</v>
      </c>
      <c r="AZ96" s="284">
        <f t="shared" si="617"/>
        <v>-3.0142201309397605E-3</v>
      </c>
      <c r="BA96" s="284">
        <f t="shared" si="617"/>
        <v>-3.0930141528751585E-3</v>
      </c>
      <c r="BB96" s="284">
        <f t="shared" si="617"/>
        <v>-3.1743476738044646E-3</v>
      </c>
      <c r="BC96" s="284">
        <f t="shared" si="617"/>
        <v>-3.2583233768840592E-3</v>
      </c>
      <c r="BD96" s="284">
        <f t="shared" si="617"/>
        <v>-3.3450493913003351E-3</v>
      </c>
      <c r="BE96" s="284">
        <f t="shared" si="617"/>
        <v>-3.4399653509043331E-3</v>
      </c>
      <c r="BF96" s="284">
        <f t="shared" si="617"/>
        <v>-3.5382629610777039E-3</v>
      </c>
      <c r="BG96" s="284">
        <f t="shared" si="617"/>
        <v>-3.6401010915543645E-3</v>
      </c>
      <c r="BH96" s="284">
        <f t="shared" si="617"/>
        <v>-3.7456484577012769E-3</v>
      </c>
      <c r="BI96" s="284">
        <f t="shared" si="617"/>
        <v>-3.8550843944358745E-3</v>
      </c>
      <c r="BJ96" s="284">
        <f t="shared" si="617"/>
        <v>-3.9685997043897372E-3</v>
      </c>
      <c r="BK96" s="284">
        <f t="shared" si="617"/>
        <v>-4.0863975887635365E-3</v>
      </c>
      <c r="BL96" s="284">
        <f t="shared" si="617"/>
        <v>-4.2086946704345193E-3</v>
      </c>
      <c r="BM96" s="284">
        <f t="shared" si="617"/>
        <v>-4.3357221201623837E-3</v>
      </c>
      <c r="BN96" s="284">
        <f t="shared" si="617"/>
        <v>-4.4677268982216169E-3</v>
      </c>
    </row>
    <row r="97" spans="1:66">
      <c r="A97" s="58" t="s">
        <v>223</v>
      </c>
      <c r="B97" s="58" t="s">
        <v>197</v>
      </c>
      <c r="C97" s="100" t="s">
        <v>153</v>
      </c>
      <c r="D97" s="101">
        <f t="shared" ref="D97:AH97" si="618">D43</f>
        <v>3.219812080101577</v>
      </c>
      <c r="E97" s="101">
        <f t="shared" si="618"/>
        <v>3.2745488854633034</v>
      </c>
      <c r="F97" s="101">
        <f t="shared" si="618"/>
        <v>3.3302162165161793</v>
      </c>
      <c r="G97" s="101">
        <f t="shared" si="618"/>
        <v>3.3868298921969542</v>
      </c>
      <c r="H97" s="101">
        <f t="shared" si="618"/>
        <v>3.4444060003643022</v>
      </c>
      <c r="I97" s="101">
        <f t="shared" si="618"/>
        <v>3.5029609023704951</v>
      </c>
      <c r="J97" s="101">
        <f t="shared" si="618"/>
        <v>3.562511237710793</v>
      </c>
      <c r="K97" s="101">
        <f t="shared" si="618"/>
        <v>3.6230739287518761</v>
      </c>
      <c r="L97" s="101">
        <f t="shared" si="618"/>
        <v>3.6846661855406575</v>
      </c>
      <c r="M97" s="101">
        <f t="shared" si="618"/>
        <v>3.7473055106948485</v>
      </c>
      <c r="N97" s="101">
        <f t="shared" si="618"/>
        <v>3.8110097043766604</v>
      </c>
      <c r="O97" s="101">
        <f t="shared" si="618"/>
        <v>3.8757968693510634</v>
      </c>
      <c r="P97" s="101">
        <f t="shared" si="618"/>
        <v>3.941685416130031</v>
      </c>
      <c r="Q97" s="101">
        <f t="shared" si="618"/>
        <v>4.0086940682042416</v>
      </c>
      <c r="R97" s="101">
        <f t="shared" si="618"/>
        <v>4.0768418673637132</v>
      </c>
      <c r="S97" s="101">
        <f t="shared" si="618"/>
        <v>4.1461481791088959</v>
      </c>
      <c r="T97" s="101">
        <f t="shared" si="618"/>
        <v>4.216632698153747</v>
      </c>
      <c r="U97" s="101">
        <f t="shared" si="618"/>
        <v>4.28831545402236</v>
      </c>
      <c r="V97" s="101">
        <f t="shared" si="618"/>
        <v>4.3612168167407397</v>
      </c>
      <c r="W97" s="101">
        <f t="shared" si="618"/>
        <v>4.4353575026253322</v>
      </c>
      <c r="X97" s="101">
        <f t="shared" si="618"/>
        <v>4.5107585801699628</v>
      </c>
      <c r="Y97" s="101">
        <f t="shared" si="618"/>
        <v>4.5874414760328515</v>
      </c>
      <c r="Z97" s="101">
        <f t="shared" si="618"/>
        <v>4.6654279811254096</v>
      </c>
      <c r="AA97" s="101">
        <f t="shared" si="618"/>
        <v>4.7447402568045414</v>
      </c>
      <c r="AB97" s="101">
        <f t="shared" si="618"/>
        <v>4.8254008411702181</v>
      </c>
      <c r="AC97" s="101">
        <f t="shared" si="618"/>
        <v>4.9074326554701111</v>
      </c>
      <c r="AD97" s="101">
        <f t="shared" si="618"/>
        <v>4.9908590106131028</v>
      </c>
      <c r="AE97" s="101">
        <f t="shared" si="618"/>
        <v>5.0757036137935252</v>
      </c>
      <c r="AF97" s="101">
        <f t="shared" si="618"/>
        <v>5.1619905752280149</v>
      </c>
      <c r="AG97" s="101">
        <f t="shared" si="618"/>
        <v>5.2497444150068908</v>
      </c>
      <c r="AH97" s="101">
        <f t="shared" si="618"/>
        <v>5.3389900700620077</v>
      </c>
      <c r="AJ97" s="101">
        <f t="shared" ref="AJ97:BN97" si="619">AJ43</f>
        <v>3.219812080101577</v>
      </c>
      <c r="AK97" s="101">
        <f t="shared" si="619"/>
        <v>3.2745488854633034</v>
      </c>
      <c r="AL97" s="101">
        <f t="shared" si="619"/>
        <v>3.3302162165161793</v>
      </c>
      <c r="AM97" s="101">
        <f t="shared" si="619"/>
        <v>3.3868298921969542</v>
      </c>
      <c r="AN97" s="101">
        <f t="shared" si="619"/>
        <v>3.4444060003643022</v>
      </c>
      <c r="AO97" s="101">
        <f t="shared" si="619"/>
        <v>3.5029609023704951</v>
      </c>
      <c r="AP97" s="101">
        <f t="shared" si="619"/>
        <v>3.562511237710793</v>
      </c>
      <c r="AQ97" s="101">
        <f t="shared" si="619"/>
        <v>3.6230739287518761</v>
      </c>
      <c r="AR97" s="101">
        <f t="shared" si="619"/>
        <v>3.6846661855406575</v>
      </c>
      <c r="AS97" s="101">
        <f t="shared" si="619"/>
        <v>3.7473055106948485</v>
      </c>
      <c r="AT97" s="101">
        <f t="shared" si="619"/>
        <v>3.8110097043766604</v>
      </c>
      <c r="AU97" s="101">
        <f t="shared" si="619"/>
        <v>3.8757968693510634</v>
      </c>
      <c r="AV97" s="101">
        <f t="shared" si="619"/>
        <v>3.941685416130031</v>
      </c>
      <c r="AW97" s="101">
        <f t="shared" si="619"/>
        <v>4.0086940682042416</v>
      </c>
      <c r="AX97" s="101">
        <f t="shared" si="619"/>
        <v>4.0768418673637132</v>
      </c>
      <c r="AY97" s="101">
        <f t="shared" si="619"/>
        <v>4.1461481791088959</v>
      </c>
      <c r="AZ97" s="101">
        <f t="shared" si="619"/>
        <v>4.216632698153747</v>
      </c>
      <c r="BA97" s="101">
        <f t="shared" si="619"/>
        <v>4.28831545402236</v>
      </c>
      <c r="BB97" s="101">
        <f t="shared" si="619"/>
        <v>4.3612168167407397</v>
      </c>
      <c r="BC97" s="101">
        <f t="shared" si="619"/>
        <v>4.4353575026253322</v>
      </c>
      <c r="BD97" s="101">
        <f t="shared" si="619"/>
        <v>4.5107585801699628</v>
      </c>
      <c r="BE97" s="101">
        <f t="shared" si="619"/>
        <v>4.5874414760328515</v>
      </c>
      <c r="BF97" s="101">
        <f t="shared" si="619"/>
        <v>4.6654279811254096</v>
      </c>
      <c r="BG97" s="101">
        <f t="shared" si="619"/>
        <v>4.7447402568045414</v>
      </c>
      <c r="BH97" s="101">
        <f t="shared" si="619"/>
        <v>4.8254008411702181</v>
      </c>
      <c r="BI97" s="101">
        <f t="shared" si="619"/>
        <v>4.9074326554701111</v>
      </c>
      <c r="BJ97" s="101">
        <f t="shared" si="619"/>
        <v>4.9908590106131028</v>
      </c>
      <c r="BK97" s="101">
        <f t="shared" si="619"/>
        <v>5.0757036137935252</v>
      </c>
      <c r="BL97" s="101">
        <f t="shared" si="619"/>
        <v>5.1619905752280149</v>
      </c>
      <c r="BM97" s="101">
        <f t="shared" si="619"/>
        <v>5.2497444150068908</v>
      </c>
      <c r="BN97" s="101">
        <f t="shared" si="619"/>
        <v>5.3389900700620077</v>
      </c>
    </row>
    <row r="98" spans="1:66">
      <c r="A98"/>
      <c r="B98" t="s">
        <v>217</v>
      </c>
      <c r="C98" s="54" t="s">
        <v>153</v>
      </c>
      <c r="D98" s="44">
        <f>'Methanol Recycling HC'!C226</f>
        <v>0</v>
      </c>
      <c r="E98" s="44">
        <f>'Methanol Recycling HC'!D226</f>
        <v>7.6354229962917095E-4</v>
      </c>
      <c r="F98" s="44">
        <f>'Methanol Recycling HC'!E226</f>
        <v>1.6405211194287022E-3</v>
      </c>
      <c r="G98" s="44">
        <f>'Methanol Recycling HC'!F226</f>
        <v>2.6327168919735066E-3</v>
      </c>
      <c r="H98" s="44">
        <f>'Methanol Recycling HC'!G226</f>
        <v>3.7404954352137096E-3</v>
      </c>
      <c r="I98" s="44">
        <f>'Methanol Recycling HC'!H226</f>
        <v>4.9627173425855556E-3</v>
      </c>
      <c r="J98" s="44">
        <f>'Methanol Recycling HC'!I226</f>
        <v>6.3130476033721608E-3</v>
      </c>
      <c r="K98" s="44">
        <f>'Methanol Recycling HC'!J226</f>
        <v>7.7965941431777262E-3</v>
      </c>
      <c r="L98" s="44">
        <f>'Methanol Recycling HC'!K226</f>
        <v>9.4183706783335115E-3</v>
      </c>
      <c r="M98" s="44">
        <f>'Methanol Recycling HC'!L226</f>
        <v>1.11832778942468E-2</v>
      </c>
      <c r="N98" s="44">
        <f>'Methanol Recycling HC'!M226</f>
        <v>1.3096084297857403E-2</v>
      </c>
      <c r="O98" s="44">
        <f>'Methanol Recycling HC'!N226</f>
        <v>1.6517490099657528E-2</v>
      </c>
      <c r="P98" s="44">
        <f>'Methanol Recycling HC'!O226</f>
        <v>2.0206461520006727E-2</v>
      </c>
      <c r="Q98" s="44">
        <f>'Methanol Recycling HC'!P226</f>
        <v>2.4153871390306978E-2</v>
      </c>
      <c r="R98" s="44">
        <f>'Methanol Recycling HC'!Q226</f>
        <v>2.8347682664161194E-2</v>
      </c>
      <c r="S98" s="44">
        <f>'Methanol Recycling HC'!R226</f>
        <v>3.2772958308326404E-2</v>
      </c>
      <c r="T98" s="44">
        <f>'Methanol Recycling HC'!S226</f>
        <v>3.7481646007118681E-2</v>
      </c>
      <c r="U98" s="44">
        <f>'Methanol Recycling HC'!T226</f>
        <v>4.2479907903875944E-2</v>
      </c>
      <c r="V98" s="44">
        <f>'Methanol Recycling HC'!U226</f>
        <v>4.7773865652631101E-2</v>
      </c>
      <c r="W98" s="44">
        <f>'Methanol Recycling HC'!V226</f>
        <v>5.3369595153757492E-2</v>
      </c>
      <c r="X98" s="44">
        <f>'Methanol Recycling HC'!W226</f>
        <v>5.9273121231246312E-2</v>
      </c>
      <c r="Y98" s="44">
        <f>'Methanol Recycling HC'!X226</f>
        <v>6.8169649436664106E-2</v>
      </c>
      <c r="Z98" s="44">
        <f>'Methanol Recycling HC'!Y226</f>
        <v>7.758058431005109E-2</v>
      </c>
      <c r="AA98" s="44">
        <f>'Methanol Recycling HC'!Z226</f>
        <v>8.7516180239551489E-2</v>
      </c>
      <c r="AB98" s="44">
        <f>'Methanol Recycling HC'!AA226</f>
        <v>9.7986617626051806E-2</v>
      </c>
      <c r="AC98" s="44">
        <f>'Methanol Recycling HC'!AB226</f>
        <v>0.10900199485072001</v>
      </c>
      <c r="AD98" s="44">
        <f>'Methanol Recycling HC'!AC226</f>
        <v>0.12057347232054216</v>
      </c>
      <c r="AE98" s="44">
        <f>'Methanol Recycling HC'!AD226</f>
        <v>0.13271130587807609</v>
      </c>
      <c r="AF98" s="44">
        <f>'Methanol Recycling HC'!AE226</f>
        <v>0.14542567809825488</v>
      </c>
      <c r="AG98" s="44">
        <f>'Methanol Recycling HC'!AF226</f>
        <v>0.15872669099239387</v>
      </c>
      <c r="AH98" s="43">
        <f>'Methanol Recycling HC'!AG226</f>
        <v>0.17262435864647313</v>
      </c>
      <c r="AJ98" s="44">
        <f>D98</f>
        <v>0</v>
      </c>
      <c r="AK98" s="44">
        <f>E98</f>
        <v>7.6354229962917095E-4</v>
      </c>
      <c r="AL98" s="44">
        <f t="shared" ref="AK98:BN101" si="620">F98</f>
        <v>1.6405211194287022E-3</v>
      </c>
      <c r="AM98" s="44">
        <f t="shared" si="620"/>
        <v>2.6327168919735066E-3</v>
      </c>
      <c r="AN98" s="44">
        <f t="shared" si="620"/>
        <v>3.7404954352137096E-3</v>
      </c>
      <c r="AO98" s="44">
        <f t="shared" si="620"/>
        <v>4.9627173425855556E-3</v>
      </c>
      <c r="AP98" s="44">
        <f t="shared" si="620"/>
        <v>6.3130476033721608E-3</v>
      </c>
      <c r="AQ98" s="44">
        <f t="shared" si="620"/>
        <v>7.7965941431777262E-3</v>
      </c>
      <c r="AR98" s="44">
        <f t="shared" si="620"/>
        <v>9.4183706783335115E-3</v>
      </c>
      <c r="AS98" s="44">
        <f t="shared" si="620"/>
        <v>1.11832778942468E-2</v>
      </c>
      <c r="AT98" s="44">
        <f t="shared" si="620"/>
        <v>1.3096084297857403E-2</v>
      </c>
      <c r="AU98" s="44">
        <f t="shared" si="620"/>
        <v>1.6517490099657528E-2</v>
      </c>
      <c r="AV98" s="44">
        <f t="shared" si="620"/>
        <v>2.0206461520006727E-2</v>
      </c>
      <c r="AW98" s="44">
        <f t="shared" si="620"/>
        <v>2.4153871390306978E-2</v>
      </c>
      <c r="AX98" s="44">
        <f t="shared" si="620"/>
        <v>2.8347682664161194E-2</v>
      </c>
      <c r="AY98" s="44">
        <f t="shared" si="620"/>
        <v>3.2772958308326404E-2</v>
      </c>
      <c r="AZ98" s="44">
        <f t="shared" si="620"/>
        <v>3.7481646007118681E-2</v>
      </c>
      <c r="BA98" s="44">
        <f t="shared" si="620"/>
        <v>4.2479907903875944E-2</v>
      </c>
      <c r="BB98" s="44">
        <f t="shared" si="620"/>
        <v>4.7773865652631101E-2</v>
      </c>
      <c r="BC98" s="44">
        <f t="shared" si="620"/>
        <v>5.3369595153757492E-2</v>
      </c>
      <c r="BD98" s="44">
        <f t="shared" si="620"/>
        <v>5.9273121231246312E-2</v>
      </c>
      <c r="BE98" s="44">
        <f t="shared" si="620"/>
        <v>6.8169649436664106E-2</v>
      </c>
      <c r="BF98" s="44">
        <f t="shared" si="620"/>
        <v>7.758058431005109E-2</v>
      </c>
      <c r="BG98" s="44">
        <f t="shared" si="620"/>
        <v>8.7516180239551489E-2</v>
      </c>
      <c r="BH98" s="44">
        <f t="shared" si="620"/>
        <v>9.7986617626051806E-2</v>
      </c>
      <c r="BI98" s="44">
        <f t="shared" si="620"/>
        <v>0.10900199485072001</v>
      </c>
      <c r="BJ98" s="44">
        <f t="shared" si="620"/>
        <v>0.12057347232054216</v>
      </c>
      <c r="BK98" s="44">
        <f t="shared" si="620"/>
        <v>0.13271130587807609</v>
      </c>
      <c r="BL98" s="44">
        <f t="shared" si="620"/>
        <v>0.14542567809825488</v>
      </c>
      <c r="BM98" s="44">
        <f t="shared" si="620"/>
        <v>0.15872669099239387</v>
      </c>
      <c r="BN98" s="44">
        <f t="shared" si="620"/>
        <v>0.17262435864647313</v>
      </c>
    </row>
    <row r="99" spans="1:66">
      <c r="A99"/>
      <c r="B99" t="s">
        <v>222</v>
      </c>
      <c r="C99" s="54" t="s">
        <v>153</v>
      </c>
      <c r="D99" s="44">
        <f>'Methanol Recycling HC'!C108</f>
        <v>0</v>
      </c>
      <c r="E99" s="44">
        <f>'Methanol Recycling HC'!D108</f>
        <v>1.1916880508201083E-2</v>
      </c>
      <c r="F99" s="44">
        <f>'Methanol Recycling HC'!E108</f>
        <v>2.382196246222984E-2</v>
      </c>
      <c r="G99" s="44">
        <f>'Methanol Recycling HC'!F108</f>
        <v>3.5637155295974721E-2</v>
      </c>
      <c r="H99" s="44">
        <f>'Methanol Recycling HC'!G108</f>
        <v>4.728191156057393E-2</v>
      </c>
      <c r="I99" s="44">
        <f>'Methanol Recycling HC'!H108</f>
        <v>5.8674128677316667E-2</v>
      </c>
      <c r="J99" s="44">
        <f>'Methanol Recycling HC'!I108</f>
        <v>7.0275865586416686E-2</v>
      </c>
      <c r="K99" s="44">
        <f>'Methanol Recycling HC'!J108</f>
        <v>8.2076731680829462E-2</v>
      </c>
      <c r="L99" s="44">
        <f>'Methanol Recycling HC'!K108</f>
        <v>9.4065608864499606E-2</v>
      </c>
      <c r="M99" s="44">
        <f>'Methanol Recycling HC'!L108</f>
        <v>0.10623065865196663</v>
      </c>
      <c r="N99" s="44">
        <f>'Methanol Recycling HC'!M108</f>
        <v>0.11855933172885103</v>
      </c>
      <c r="O99" s="44">
        <f>'Methanol Recycling HC'!N108</f>
        <v>0.14085172943193458</v>
      </c>
      <c r="P99" s="44">
        <f>'Methanol Recycling HC'!O108</f>
        <v>0.16302040687661573</v>
      </c>
      <c r="Q99" s="44">
        <f>'Methanol Recycling HC'!P108</f>
        <v>0.1849408850587374</v>
      </c>
      <c r="R99" s="44">
        <f>'Methanol Recycling HC'!Q108</f>
        <v>0.20648724332597029</v>
      </c>
      <c r="S99" s="44">
        <f>'Methanol Recycling HC'!R108</f>
        <v>0.22753329998008259</v>
      </c>
      <c r="T99" s="44">
        <f>'Methanol Recycling HC'!S108</f>
        <v>0.2487298453170233</v>
      </c>
      <c r="U99" s="44">
        <f>'Methanol Recycling HC'!T108</f>
        <v>0.27006629770408286</v>
      </c>
      <c r="V99" s="44">
        <f>'Methanol Recycling HC'!U108</f>
        <v>0.291531774074967</v>
      </c>
      <c r="W99" s="44">
        <f>'Methanol Recycling HC'!V108</f>
        <v>0.31311509305952523</v>
      </c>
      <c r="X99" s="44">
        <f>'Methanol Recycling HC'!W108</f>
        <v>0.33480477843508633</v>
      </c>
      <c r="Y99" s="44">
        <f>'Methanol Recycling HC'!X108</f>
        <v>0.36809729548436626</v>
      </c>
      <c r="Z99" s="44">
        <f>'Methanol Recycling HC'!Y108</f>
        <v>0.40158225616672688</v>
      </c>
      <c r="AA99" s="44">
        <f>'Methanol Recycling HC'!Z108</f>
        <v>0.43524231792609186</v>
      </c>
      <c r="AB99" s="44">
        <f>'Methanol Recycling HC'!AA108</f>
        <v>0.46905969625578331</v>
      </c>
      <c r="AC99" s="44">
        <f>'Methanol Recycling HC'!AB108</f>
        <v>0.50301616986756525</v>
      </c>
      <c r="AD99" s="44">
        <f>'Methanol Recycling HC'!AC108</f>
        <v>0.53709989206055875</v>
      </c>
      <c r="AE99" s="44">
        <f>'Methanol Recycling HC'!AD108</f>
        <v>0.57129276428739506</v>
      </c>
      <c r="AF99" s="44">
        <f>'Methanol Recycling HC'!AE108</f>
        <v>0.60557627599467989</v>
      </c>
      <c r="AG99" s="44">
        <f>'Methanol Recycling HC'!AF108</f>
        <v>0.63993150974641444</v>
      </c>
      <c r="AH99" s="43">
        <f>'Methanol Recycling HC'!AG108</f>
        <v>0.67433914673400164</v>
      </c>
      <c r="AJ99" s="44">
        <f t="shared" ref="AJ99:AJ101" si="621">D99</f>
        <v>0</v>
      </c>
      <c r="AK99" s="44">
        <f t="shared" si="620"/>
        <v>1.1916880508201083E-2</v>
      </c>
      <c r="AL99" s="44">
        <f t="shared" si="620"/>
        <v>2.382196246222984E-2</v>
      </c>
      <c r="AM99" s="44">
        <f t="shared" si="620"/>
        <v>3.5637155295974721E-2</v>
      </c>
      <c r="AN99" s="44">
        <f t="shared" si="620"/>
        <v>4.728191156057393E-2</v>
      </c>
      <c r="AO99" s="44">
        <f t="shared" si="620"/>
        <v>5.8674128677316667E-2</v>
      </c>
      <c r="AP99" s="44">
        <f t="shared" si="620"/>
        <v>7.0275865586416686E-2</v>
      </c>
      <c r="AQ99" s="44">
        <f t="shared" si="620"/>
        <v>8.2076731680829462E-2</v>
      </c>
      <c r="AR99" s="44">
        <f t="shared" si="620"/>
        <v>9.4065608864499606E-2</v>
      </c>
      <c r="AS99" s="44">
        <f t="shared" si="620"/>
        <v>0.10623065865196663</v>
      </c>
      <c r="AT99" s="44">
        <f t="shared" si="620"/>
        <v>0.11855933172885103</v>
      </c>
      <c r="AU99" s="44">
        <f t="shared" si="620"/>
        <v>0.14085172943193458</v>
      </c>
      <c r="AV99" s="44">
        <f t="shared" si="620"/>
        <v>0.16302040687661573</v>
      </c>
      <c r="AW99" s="44">
        <f t="shared" si="620"/>
        <v>0.1849408850587374</v>
      </c>
      <c r="AX99" s="44">
        <f t="shared" si="620"/>
        <v>0.20648724332597029</v>
      </c>
      <c r="AY99" s="44">
        <f t="shared" si="620"/>
        <v>0.22753329998008259</v>
      </c>
      <c r="AZ99" s="44">
        <f t="shared" si="620"/>
        <v>0.2487298453170233</v>
      </c>
      <c r="BA99" s="44">
        <f t="shared" si="620"/>
        <v>0.27006629770408286</v>
      </c>
      <c r="BB99" s="44">
        <f t="shared" si="620"/>
        <v>0.291531774074967</v>
      </c>
      <c r="BC99" s="44">
        <f t="shared" si="620"/>
        <v>0.31311509305952523</v>
      </c>
      <c r="BD99" s="44">
        <f t="shared" si="620"/>
        <v>0.33480477843508633</v>
      </c>
      <c r="BE99" s="44">
        <f t="shared" si="620"/>
        <v>0.36809729548436626</v>
      </c>
      <c r="BF99" s="44">
        <f t="shared" si="620"/>
        <v>0.40158225616672688</v>
      </c>
      <c r="BG99" s="44">
        <f t="shared" si="620"/>
        <v>0.43524231792609186</v>
      </c>
      <c r="BH99" s="44">
        <f t="shared" si="620"/>
        <v>0.46905969625578331</v>
      </c>
      <c r="BI99" s="44">
        <f t="shared" si="620"/>
        <v>0.50301616986756525</v>
      </c>
      <c r="BJ99" s="44">
        <f t="shared" si="620"/>
        <v>0.53709989206055875</v>
      </c>
      <c r="BK99" s="44">
        <f t="shared" si="620"/>
        <v>0.57129276428739506</v>
      </c>
      <c r="BL99" s="44">
        <f t="shared" si="620"/>
        <v>0.60557627599467989</v>
      </c>
      <c r="BM99" s="44">
        <f t="shared" si="620"/>
        <v>0.63993150974641444</v>
      </c>
      <c r="BN99" s="44">
        <f t="shared" si="620"/>
        <v>0.67433914673400164</v>
      </c>
    </row>
    <row r="100" spans="1:66">
      <c r="A100" s="181"/>
      <c r="B100" s="181" t="s">
        <v>218</v>
      </c>
      <c r="C100" s="176" t="s">
        <v>153</v>
      </c>
      <c r="D100" s="238">
        <f>'Methanol Recycling HC'!C149</f>
        <v>0</v>
      </c>
      <c r="E100" s="238">
        <f>'Methanol Recycling HC'!D149</f>
        <v>1.1327636837602179E-3</v>
      </c>
      <c r="F100" s="238">
        <f>'Methanol Recycling HC'!E149</f>
        <v>2.2980753838490178E-3</v>
      </c>
      <c r="G100" s="238">
        <f>'Methanol Recycling HC'!F149</f>
        <v>3.4844139369582441E-3</v>
      </c>
      <c r="H100" s="238">
        <f>'Methanol Recycling HC'!G149</f>
        <v>4.67941045709449E-3</v>
      </c>
      <c r="I100" s="238">
        <f>'Methanol Recycling HC'!H149</f>
        <v>5.8700228603258955E-3</v>
      </c>
      <c r="J100" s="238">
        <f>'Methanol Recycling HC'!I149</f>
        <v>7.0665753828275312E-3</v>
      </c>
      <c r="K100" s="238">
        <f>'Methanol Recycling HC'!J149</f>
        <v>8.2628067630644911E-3</v>
      </c>
      <c r="L100" s="238">
        <f>'Methanol Recycling HC'!K149</f>
        <v>9.4520604047620728E-3</v>
      </c>
      <c r="M100" s="238">
        <f>'Methanol Recycling HC'!L149</f>
        <v>1.0627290948822078E-2</v>
      </c>
      <c r="N100" s="238">
        <f>'Methanol Recycling HC'!M149</f>
        <v>1.1781072787886628E-2</v>
      </c>
      <c r="O100" s="238">
        <f>'Methanol Recycling HC'!N149</f>
        <v>1.4129028065837712E-2</v>
      </c>
      <c r="P100" s="238">
        <f>'Methanol Recycling HC'!O149</f>
        <v>1.6397999876901988E-2</v>
      </c>
      <c r="Q100" s="238">
        <f>'Methanol Recycling HC'!P149</f>
        <v>1.8607390235713391E-2</v>
      </c>
      <c r="R100" s="238">
        <f>'Methanol Recycling HC'!Q149</f>
        <v>2.0694711379390572E-2</v>
      </c>
      <c r="S100" s="238">
        <f>'Methanol Recycling HC'!R149</f>
        <v>2.2634161388096305E-2</v>
      </c>
      <c r="T100" s="238">
        <f>'Methanol Recycling HC'!S149</f>
        <v>2.4451891539292996E-2</v>
      </c>
      <c r="U100" s="238">
        <f>'Methanol Recycling HC'!T149</f>
        <v>2.6132887101895395E-2</v>
      </c>
      <c r="V100" s="238">
        <f>'Methanol Recycling HC'!U149</f>
        <v>2.7661627423974874E-2</v>
      </c>
      <c r="W100" s="238">
        <f>'Methanol Recycling HC'!V149</f>
        <v>2.9022086041880151E-2</v>
      </c>
      <c r="X100" s="238">
        <f>'Methanol Recycling HC'!W149</f>
        <v>3.0197731347318495E-2</v>
      </c>
      <c r="Y100" s="238">
        <f>'Methanol Recycling HC'!X149</f>
        <v>3.2514470700089053E-2</v>
      </c>
      <c r="Z100" s="238">
        <f>'Methanol Recycling HC'!Y149</f>
        <v>3.4522737908480289E-2</v>
      </c>
      <c r="AA100" s="238">
        <f>'Methanol Recycling HC'!Z149</f>
        <v>3.6311820144251883E-2</v>
      </c>
      <c r="AB100" s="238">
        <f>'Methanol Recycling HC'!AA149</f>
        <v>3.7741298534526201E-2</v>
      </c>
      <c r="AC100" s="238">
        <f>'Methanol Recycling HC'!AB149</f>
        <v>3.8777201812115442E-2</v>
      </c>
      <c r="AD100" s="238">
        <f>'Methanol Recycling HC'!AC149</f>
        <v>3.9384775062832396E-2</v>
      </c>
      <c r="AE100" s="238">
        <f>'Methanol Recycling HC'!AD149</f>
        <v>3.9527657955820368E-2</v>
      </c>
      <c r="AF100" s="238">
        <f>'Methanol Recycling HC'!AE149</f>
        <v>3.9168257146300171E-2</v>
      </c>
      <c r="AG100" s="238">
        <f>'Methanol Recycling HC'!AF149</f>
        <v>3.8267738921236666E-2</v>
      </c>
      <c r="AH100" s="265">
        <f>'Methanol Recycling HC'!AG149</f>
        <v>3.678602282167269E-2</v>
      </c>
      <c r="AJ100" s="44">
        <f t="shared" si="621"/>
        <v>0</v>
      </c>
      <c r="AK100" s="44">
        <f t="shared" si="620"/>
        <v>1.1327636837602179E-3</v>
      </c>
      <c r="AL100" s="44">
        <f t="shared" si="620"/>
        <v>2.2980753838490178E-3</v>
      </c>
      <c r="AM100" s="44">
        <f t="shared" si="620"/>
        <v>3.4844139369582441E-3</v>
      </c>
      <c r="AN100" s="44">
        <f t="shared" si="620"/>
        <v>4.67941045709449E-3</v>
      </c>
      <c r="AO100" s="44">
        <f t="shared" si="620"/>
        <v>5.8700228603258955E-3</v>
      </c>
      <c r="AP100" s="44">
        <f t="shared" si="620"/>
        <v>7.0665753828275312E-3</v>
      </c>
      <c r="AQ100" s="44">
        <f t="shared" si="620"/>
        <v>8.2628067630644911E-3</v>
      </c>
      <c r="AR100" s="44">
        <f t="shared" si="620"/>
        <v>9.4520604047620728E-3</v>
      </c>
      <c r="AS100" s="44">
        <f t="shared" si="620"/>
        <v>1.0627290948822078E-2</v>
      </c>
      <c r="AT100" s="44">
        <f t="shared" si="620"/>
        <v>1.1781072787886628E-2</v>
      </c>
      <c r="AU100" s="44">
        <f t="shared" si="620"/>
        <v>1.4129028065837712E-2</v>
      </c>
      <c r="AV100" s="44">
        <f t="shared" si="620"/>
        <v>1.6397999876901988E-2</v>
      </c>
      <c r="AW100" s="44">
        <f t="shared" si="620"/>
        <v>1.8607390235713391E-2</v>
      </c>
      <c r="AX100" s="44">
        <f t="shared" si="620"/>
        <v>2.0694711379390572E-2</v>
      </c>
      <c r="AY100" s="44">
        <f t="shared" si="620"/>
        <v>2.2634161388096305E-2</v>
      </c>
      <c r="AZ100" s="44">
        <f t="shared" si="620"/>
        <v>2.4451891539292996E-2</v>
      </c>
      <c r="BA100" s="44">
        <f t="shared" si="620"/>
        <v>2.6132887101895395E-2</v>
      </c>
      <c r="BB100" s="44">
        <f t="shared" si="620"/>
        <v>2.7661627423974874E-2</v>
      </c>
      <c r="BC100" s="44">
        <f t="shared" si="620"/>
        <v>2.9022086041880151E-2</v>
      </c>
      <c r="BD100" s="44">
        <f t="shared" si="620"/>
        <v>3.0197731347318495E-2</v>
      </c>
      <c r="BE100" s="44">
        <f t="shared" si="620"/>
        <v>3.2514470700089053E-2</v>
      </c>
      <c r="BF100" s="44">
        <f t="shared" si="620"/>
        <v>3.4522737908480289E-2</v>
      </c>
      <c r="BG100" s="44">
        <f t="shared" si="620"/>
        <v>3.6311820144251883E-2</v>
      </c>
      <c r="BH100" s="44">
        <f t="shared" si="620"/>
        <v>3.7741298534526201E-2</v>
      </c>
      <c r="BI100" s="44">
        <f t="shared" si="620"/>
        <v>3.8777201812115442E-2</v>
      </c>
      <c r="BJ100" s="44">
        <f t="shared" si="620"/>
        <v>3.9384775062832396E-2</v>
      </c>
      <c r="BK100" s="44">
        <f t="shared" si="620"/>
        <v>3.9527657955820368E-2</v>
      </c>
      <c r="BL100" s="44">
        <f t="shared" si="620"/>
        <v>3.9168257146300171E-2</v>
      </c>
      <c r="BM100" s="44">
        <f t="shared" si="620"/>
        <v>3.8267738921236666E-2</v>
      </c>
      <c r="BN100" s="44">
        <f t="shared" si="620"/>
        <v>3.678602282167269E-2</v>
      </c>
    </row>
    <row r="101" spans="1:66">
      <c r="A101" s="181"/>
      <c r="B101" s="181" t="s">
        <v>224</v>
      </c>
      <c r="C101" s="176" t="s">
        <v>153</v>
      </c>
      <c r="D101" s="238">
        <f>'Methanol Recycling HC'!C203</f>
        <v>0</v>
      </c>
      <c r="E101" s="238">
        <f>'Methanol Recycling HC'!D203</f>
        <v>-5.8355004134645408E-3</v>
      </c>
      <c r="F101" s="238">
        <f>'Methanol Recycling HC'!E203</f>
        <v>-1.8459246249419407E-3</v>
      </c>
      <c r="G101" s="238">
        <f>'Methanol Recycling HC'!F203</f>
        <v>2.6386493237511126E-3</v>
      </c>
      <c r="H101" s="238">
        <f>'Methanol Recycling HC'!G203</f>
        <v>7.6308302665281207E-3</v>
      </c>
      <c r="I101" s="238">
        <f>'Methanol Recycling HC'!H203</f>
        <v>1.3137721716277001E-2</v>
      </c>
      <c r="J101" s="238">
        <f>'Methanol Recycling HC'!I203</f>
        <v>1.924878680193047E-2</v>
      </c>
      <c r="K101" s="238">
        <f>'Methanol Recycling HC'!J203</f>
        <v>2.600138517694104E-2</v>
      </c>
      <c r="L101" s="238">
        <f>'Methanol Recycling HC'!K203</f>
        <v>3.3433512433250989E-2</v>
      </c>
      <c r="M101" s="238">
        <f>'Methanol Recycling HC'!L203</f>
        <v>4.1583706450756978E-2</v>
      </c>
      <c r="N101" s="238">
        <f>'Methanol Recycling HC'!M203</f>
        <v>5.0490946942911875E-2</v>
      </c>
      <c r="O101" s="238">
        <f>'Methanol Recycling HC'!N203</f>
        <v>6.2721278985837708E-2</v>
      </c>
      <c r="P101" s="238">
        <f>'Methanol Recycling HC'!O203</f>
        <v>7.61191382190613E-2</v>
      </c>
      <c r="Q101" s="238">
        <f>'Methanol Recycling HC'!P203</f>
        <v>9.0692161007921351E-2</v>
      </c>
      <c r="R101" s="238">
        <f>'Methanol Recycling HC'!Q203</f>
        <v>0.106436666988976</v>
      </c>
      <c r="S101" s="238">
        <f>'Methanol Recycling HC'!R203</f>
        <v>0.12333698103479268</v>
      </c>
      <c r="T101" s="238">
        <f>'Methanol Recycling HC'!S203</f>
        <v>0.14165889629077164</v>
      </c>
      <c r="U101" s="238">
        <f>'Methanol Recycling HC'!T203</f>
        <v>0.16146707426465662</v>
      </c>
      <c r="V101" s="238">
        <f>'Methanol Recycling HC'!U203</f>
        <v>0.18282729116824586</v>
      </c>
      <c r="W101" s="238">
        <f>'Methanol Recycling HC'!V203</f>
        <v>0.20580640884405643</v>
      </c>
      <c r="X101" s="238">
        <f>'Methanol Recycling HC'!W203</f>
        <v>0.23047234386908935</v>
      </c>
      <c r="Y101" s="238">
        <f>'Methanol Recycling HC'!X203</f>
        <v>0.26389716245155753</v>
      </c>
      <c r="Z101" s="238">
        <f>'Methanol Recycling HC'!Y203</f>
        <v>0.30001633048073484</v>
      </c>
      <c r="AA101" s="238">
        <f>'Methanol Recycling HC'!Z203</f>
        <v>0.33894506581325157</v>
      </c>
      <c r="AB101" s="238">
        <f>'Methanol Recycling HC'!AA203</f>
        <v>0.38080042173964646</v>
      </c>
      <c r="AC101" s="238">
        <f>'Methanol Recycling HC'!AB203</f>
        <v>0.42570123882832001</v>
      </c>
      <c r="AD101" s="238">
        <f>'Methanol Recycling HC'!AC203</f>
        <v>0.47377277942853568</v>
      </c>
      <c r="AE101" s="238">
        <f>'Methanol Recycling HC'!AD203</f>
        <v>0.52513876675286508</v>
      </c>
      <c r="AF101" s="238">
        <f>'Methanol Recycling HC'!AE203</f>
        <v>0.57992474682137152</v>
      </c>
      <c r="AG101" s="238">
        <f>'Methanol Recycling HC'!AF203</f>
        <v>0.63825804167258204</v>
      </c>
      <c r="AH101" s="265">
        <f>'Methanol Recycling HC'!AG203</f>
        <v>0.70026770007826433</v>
      </c>
      <c r="AJ101" s="44">
        <f t="shared" si="621"/>
        <v>0</v>
      </c>
      <c r="AK101" s="44">
        <f t="shared" si="620"/>
        <v>-5.8355004134645408E-3</v>
      </c>
      <c r="AL101" s="44">
        <f t="shared" si="620"/>
        <v>-1.8459246249419407E-3</v>
      </c>
      <c r="AM101" s="44">
        <f t="shared" si="620"/>
        <v>2.6386493237511126E-3</v>
      </c>
      <c r="AN101" s="44">
        <f t="shared" si="620"/>
        <v>7.6308302665281207E-3</v>
      </c>
      <c r="AO101" s="44">
        <f t="shared" si="620"/>
        <v>1.3137721716277001E-2</v>
      </c>
      <c r="AP101" s="44">
        <f t="shared" si="620"/>
        <v>1.924878680193047E-2</v>
      </c>
      <c r="AQ101" s="44">
        <f t="shared" si="620"/>
        <v>2.600138517694104E-2</v>
      </c>
      <c r="AR101" s="44">
        <f t="shared" si="620"/>
        <v>3.3433512433250989E-2</v>
      </c>
      <c r="AS101" s="44">
        <f t="shared" si="620"/>
        <v>4.1583706450756978E-2</v>
      </c>
      <c r="AT101" s="44">
        <f t="shared" si="620"/>
        <v>5.0490946942911875E-2</v>
      </c>
      <c r="AU101" s="44">
        <f t="shared" si="620"/>
        <v>6.2721278985837708E-2</v>
      </c>
      <c r="AV101" s="44">
        <f t="shared" si="620"/>
        <v>7.61191382190613E-2</v>
      </c>
      <c r="AW101" s="44">
        <f t="shared" si="620"/>
        <v>9.0692161007921351E-2</v>
      </c>
      <c r="AX101" s="44">
        <f t="shared" si="620"/>
        <v>0.106436666988976</v>
      </c>
      <c r="AY101" s="44">
        <f t="shared" si="620"/>
        <v>0.12333698103479268</v>
      </c>
      <c r="AZ101" s="44">
        <f t="shared" si="620"/>
        <v>0.14165889629077164</v>
      </c>
      <c r="BA101" s="44">
        <f t="shared" si="620"/>
        <v>0.16146707426465662</v>
      </c>
      <c r="BB101" s="44">
        <f t="shared" si="620"/>
        <v>0.18282729116824586</v>
      </c>
      <c r="BC101" s="44">
        <f t="shared" si="620"/>
        <v>0.20580640884405643</v>
      </c>
      <c r="BD101" s="44">
        <f t="shared" si="620"/>
        <v>0.23047234386908935</v>
      </c>
      <c r="BE101" s="44">
        <f t="shared" si="620"/>
        <v>0.26389716245155753</v>
      </c>
      <c r="BF101" s="44">
        <f t="shared" si="620"/>
        <v>0.30001633048073484</v>
      </c>
      <c r="BG101" s="44">
        <f t="shared" si="620"/>
        <v>0.33894506581325157</v>
      </c>
      <c r="BH101" s="44">
        <f t="shared" si="620"/>
        <v>0.38080042173964646</v>
      </c>
      <c r="BI101" s="44">
        <f t="shared" si="620"/>
        <v>0.42570123882832001</v>
      </c>
      <c r="BJ101" s="44">
        <f t="shared" si="620"/>
        <v>0.47377277942853568</v>
      </c>
      <c r="BK101" s="44">
        <f t="shared" si="620"/>
        <v>0.52513876675286508</v>
      </c>
      <c r="BL101" s="44">
        <f t="shared" si="620"/>
        <v>0.57992474682137152</v>
      </c>
      <c r="BM101" s="44">
        <f t="shared" si="620"/>
        <v>0.63825804167258204</v>
      </c>
      <c r="BN101" s="44">
        <f t="shared" si="620"/>
        <v>0.70026770007826433</v>
      </c>
    </row>
    <row r="102" spans="1:66">
      <c r="A102" s="239"/>
      <c r="B102" s="239" t="s">
        <v>219</v>
      </c>
      <c r="C102" s="240" t="s">
        <v>153</v>
      </c>
      <c r="D102" s="241">
        <f>D97-D98-D99-D100-D101</f>
        <v>3.219812080101577</v>
      </c>
      <c r="E102" s="241">
        <f t="shared" ref="E102:AG102" si="622">E97-E98-E99-E100-E101</f>
        <v>3.2665711993851771</v>
      </c>
      <c r="F102" s="241">
        <f t="shared" si="622"/>
        <v>3.3043015821756136</v>
      </c>
      <c r="G102" s="241">
        <f t="shared" si="622"/>
        <v>3.3424369567482968</v>
      </c>
      <c r="H102" s="241">
        <f t="shared" si="622"/>
        <v>3.3810733526448917</v>
      </c>
      <c r="I102" s="241">
        <f t="shared" si="622"/>
        <v>3.4203163117739899</v>
      </c>
      <c r="J102" s="241">
        <f t="shared" si="622"/>
        <v>3.4596069623362458</v>
      </c>
      <c r="K102" s="241">
        <f t="shared" si="622"/>
        <v>3.4989364109878633</v>
      </c>
      <c r="L102" s="241">
        <f t="shared" si="622"/>
        <v>3.5382966331598111</v>
      </c>
      <c r="M102" s="241">
        <f t="shared" si="622"/>
        <v>3.577680576749056</v>
      </c>
      <c r="N102" s="241">
        <f t="shared" si="622"/>
        <v>3.6170822686191535</v>
      </c>
      <c r="O102" s="241">
        <f t="shared" si="622"/>
        <v>3.6415773427677958</v>
      </c>
      <c r="P102" s="241">
        <f t="shared" si="622"/>
        <v>3.665941409637445</v>
      </c>
      <c r="Q102" s="241">
        <f t="shared" si="622"/>
        <v>3.6902997605115622</v>
      </c>
      <c r="R102" s="241">
        <f t="shared" si="622"/>
        <v>3.7148755630052155</v>
      </c>
      <c r="S102" s="241">
        <f t="shared" si="622"/>
        <v>3.7398707783975977</v>
      </c>
      <c r="T102" s="241">
        <f t="shared" si="622"/>
        <v>3.7643104189995404</v>
      </c>
      <c r="U102" s="241">
        <f t="shared" si="622"/>
        <v>3.7881692870478494</v>
      </c>
      <c r="V102" s="241">
        <f t="shared" si="622"/>
        <v>3.8114222584209214</v>
      </c>
      <c r="W102" s="241">
        <f t="shared" si="622"/>
        <v>3.8340443195261136</v>
      </c>
      <c r="X102" s="241">
        <f t="shared" si="622"/>
        <v>3.8560106052872225</v>
      </c>
      <c r="Y102" s="241">
        <f t="shared" si="622"/>
        <v>3.8547628979601751</v>
      </c>
      <c r="Z102" s="241">
        <f t="shared" si="622"/>
        <v>3.8517260722594164</v>
      </c>
      <c r="AA102" s="241">
        <f t="shared" si="622"/>
        <v>3.8467248726813947</v>
      </c>
      <c r="AB102" s="241">
        <f t="shared" si="622"/>
        <v>3.8398128070142095</v>
      </c>
      <c r="AC102" s="241">
        <f t="shared" si="622"/>
        <v>3.8309360501113909</v>
      </c>
      <c r="AD102" s="241">
        <f t="shared" si="622"/>
        <v>3.8200280917406331</v>
      </c>
      <c r="AE102" s="241">
        <f t="shared" si="622"/>
        <v>3.8070331189193691</v>
      </c>
      <c r="AF102" s="241">
        <f t="shared" si="622"/>
        <v>3.7918956171674085</v>
      </c>
      <c r="AG102" s="241">
        <f t="shared" si="622"/>
        <v>3.7745604336742637</v>
      </c>
      <c r="AH102" s="241">
        <f>AH97-AH98-AH99-AH100-AH101</f>
        <v>3.7549728417815955</v>
      </c>
      <c r="AJ102" s="241">
        <f>AJ97-AJ98-AJ99-AJ100-AJ101</f>
        <v>3.219812080101577</v>
      </c>
      <c r="AK102" s="241">
        <f t="shared" ref="AK102" si="623">AK97-AK98-AK99-AK100-AK101</f>
        <v>3.2665711993851771</v>
      </c>
      <c r="AL102" s="241">
        <f t="shared" ref="AL102" si="624">AL97-AL98-AL99-AL100-AL101</f>
        <v>3.3043015821756136</v>
      </c>
      <c r="AM102" s="241">
        <f t="shared" ref="AM102" si="625">AM97-AM98-AM99-AM100-AM101</f>
        <v>3.3424369567482968</v>
      </c>
      <c r="AN102" s="241">
        <f t="shared" ref="AN102" si="626">AN97-AN98-AN99-AN100-AN101</f>
        <v>3.3810733526448917</v>
      </c>
      <c r="AO102" s="241">
        <f t="shared" ref="AO102" si="627">AO97-AO98-AO99-AO100-AO101</f>
        <v>3.4203163117739899</v>
      </c>
      <c r="AP102" s="241">
        <f t="shared" ref="AP102" si="628">AP97-AP98-AP99-AP100-AP101</f>
        <v>3.4596069623362458</v>
      </c>
      <c r="AQ102" s="241">
        <f t="shared" ref="AQ102" si="629">AQ97-AQ98-AQ99-AQ100-AQ101</f>
        <v>3.4989364109878633</v>
      </c>
      <c r="AR102" s="241">
        <f t="shared" ref="AR102" si="630">AR97-AR98-AR99-AR100-AR101</f>
        <v>3.5382966331598111</v>
      </c>
      <c r="AS102" s="241">
        <f t="shared" ref="AS102" si="631">AS97-AS98-AS99-AS100-AS101</f>
        <v>3.577680576749056</v>
      </c>
      <c r="AT102" s="241">
        <f t="shared" ref="AT102" si="632">AT97-AT98-AT99-AT100-AT101</f>
        <v>3.6170822686191535</v>
      </c>
      <c r="AU102" s="241">
        <f t="shared" ref="AU102" si="633">AU97-AU98-AU99-AU100-AU101</f>
        <v>3.6415773427677958</v>
      </c>
      <c r="AV102" s="241">
        <f t="shared" ref="AV102" si="634">AV97-AV98-AV99-AV100-AV101</f>
        <v>3.665941409637445</v>
      </c>
      <c r="AW102" s="241">
        <f t="shared" ref="AW102" si="635">AW97-AW98-AW99-AW100-AW101</f>
        <v>3.6902997605115622</v>
      </c>
      <c r="AX102" s="241">
        <f t="shared" ref="AX102" si="636">AX97-AX98-AX99-AX100-AX101</f>
        <v>3.7148755630052155</v>
      </c>
      <c r="AY102" s="241">
        <f t="shared" ref="AY102" si="637">AY97-AY98-AY99-AY100-AY101</f>
        <v>3.7398707783975977</v>
      </c>
      <c r="AZ102" s="241">
        <f t="shared" ref="AZ102" si="638">AZ97-AZ98-AZ99-AZ100-AZ101</f>
        <v>3.7643104189995404</v>
      </c>
      <c r="BA102" s="241">
        <f t="shared" ref="BA102" si="639">BA97-BA98-BA99-BA100-BA101</f>
        <v>3.7881692870478494</v>
      </c>
      <c r="BB102" s="241">
        <f t="shared" ref="BB102" si="640">BB97-BB98-BB99-BB100-BB101</f>
        <v>3.8114222584209214</v>
      </c>
      <c r="BC102" s="241">
        <f t="shared" ref="BC102" si="641">BC97-BC98-BC99-BC100-BC101</f>
        <v>3.8340443195261136</v>
      </c>
      <c r="BD102" s="241">
        <f t="shared" ref="BD102" si="642">BD97-BD98-BD99-BD100-BD101</f>
        <v>3.8560106052872225</v>
      </c>
      <c r="BE102" s="241">
        <f t="shared" ref="BE102" si="643">BE97-BE98-BE99-BE100-BE101</f>
        <v>3.8547628979601751</v>
      </c>
      <c r="BF102" s="241">
        <f t="shared" ref="BF102" si="644">BF97-BF98-BF99-BF100-BF101</f>
        <v>3.8517260722594164</v>
      </c>
      <c r="BG102" s="241">
        <f t="shared" ref="BG102" si="645">BG97-BG98-BG99-BG100-BG101</f>
        <v>3.8467248726813947</v>
      </c>
      <c r="BH102" s="241">
        <f t="shared" ref="BH102" si="646">BH97-BH98-BH99-BH100-BH101</f>
        <v>3.8398128070142095</v>
      </c>
      <c r="BI102" s="241">
        <f t="shared" ref="BI102" si="647">BI97-BI98-BI99-BI100-BI101</f>
        <v>3.8309360501113909</v>
      </c>
      <c r="BJ102" s="241">
        <f t="shared" ref="BJ102" si="648">BJ97-BJ98-BJ99-BJ100-BJ101</f>
        <v>3.8200280917406331</v>
      </c>
      <c r="BK102" s="241">
        <f t="shared" ref="BK102" si="649">BK97-BK98-BK99-BK100-BK101</f>
        <v>3.8070331189193691</v>
      </c>
      <c r="BL102" s="241">
        <f t="shared" ref="BL102" si="650">BL97-BL98-BL99-BL100-BL101</f>
        <v>3.7918956171674085</v>
      </c>
      <c r="BM102" s="241">
        <f t="shared" ref="BM102" si="651">BM97-BM98-BM99-BM100-BM101</f>
        <v>3.7745604336742637</v>
      </c>
      <c r="BN102" s="241">
        <f t="shared" ref="BN102" si="652">BN97-BN98-BN99-BN100-BN101</f>
        <v>3.7549728417815955</v>
      </c>
    </row>
    <row r="103" spans="1:66" s="67" customFormat="1">
      <c r="A103" s="752"/>
      <c r="B103" s="58" t="s">
        <v>246</v>
      </c>
      <c r="C103" s="59" t="s">
        <v>153</v>
      </c>
      <c r="D103" s="60">
        <f>D44-0.3*(D97-D102)</f>
        <v>0.53990534455448469</v>
      </c>
      <c r="E103" s="60">
        <f t="shared" ref="E103:AH103" si="653">E44-0.3*(E97-E102)</f>
        <v>0.53368004167679262</v>
      </c>
      <c r="F103" s="60">
        <f t="shared" si="653"/>
        <v>0.52632172394600929</v>
      </c>
      <c r="G103" s="60">
        <f t="shared" si="653"/>
        <v>0.52029625634346721</v>
      </c>
      <c r="H103" s="60">
        <f t="shared" si="653"/>
        <v>0.51536437821762049</v>
      </c>
      <c r="I103" s="60">
        <f t="shared" si="653"/>
        <v>0.5113560035783361</v>
      </c>
      <c r="J103" s="60">
        <f t="shared" si="653"/>
        <v>0.50794865969635217</v>
      </c>
      <c r="K103" s="60">
        <f t="shared" si="653"/>
        <v>0.50501884776713102</v>
      </c>
      <c r="L103" s="60">
        <f t="shared" si="653"/>
        <v>0.50246842432682925</v>
      </c>
      <c r="M103" s="60">
        <f t="shared" si="653"/>
        <v>0.50021840014974273</v>
      </c>
      <c r="N103" s="60">
        <f t="shared" si="653"/>
        <v>0.49820451320592524</v>
      </c>
      <c r="O103" s="60">
        <f t="shared" si="653"/>
        <v>0.49751101998177316</v>
      </c>
      <c r="P103" s="60">
        <f t="shared" si="653"/>
        <v>0.49676137500654438</v>
      </c>
      <c r="Q103" s="60">
        <f t="shared" si="653"/>
        <v>0.49599793501798939</v>
      </c>
      <c r="R103" s="60">
        <f t="shared" si="653"/>
        <v>0.49529283715901223</v>
      </c>
      <c r="S103" s="60">
        <f t="shared" si="653"/>
        <v>0.49471230013047224</v>
      </c>
      <c r="T103" s="60">
        <f t="shared" si="653"/>
        <v>0.49444507056017728</v>
      </c>
      <c r="U103" s="60">
        <f t="shared" si="653"/>
        <v>0.49403703396583543</v>
      </c>
      <c r="V103" s="60">
        <f t="shared" si="653"/>
        <v>0.49348950171739903</v>
      </c>
      <c r="W103" s="60">
        <f t="shared" si="653"/>
        <v>0.49280449676251059</v>
      </c>
      <c r="X103" s="60">
        <f t="shared" si="653"/>
        <v>0.49198481398887967</v>
      </c>
      <c r="Y103" s="60">
        <f t="shared" si="653"/>
        <v>0.48536575460501041</v>
      </c>
      <c r="Z103" s="60">
        <f t="shared" si="653"/>
        <v>0.47836748701241827</v>
      </c>
      <c r="AA103" s="60">
        <f t="shared" si="653"/>
        <v>0.47095583763835352</v>
      </c>
      <c r="AB103" s="60">
        <f t="shared" si="653"/>
        <v>0.46316669623809947</v>
      </c>
      <c r="AC103" s="60">
        <f t="shared" si="653"/>
        <v>0.45500530677585077</v>
      </c>
      <c r="AD103" s="60">
        <f t="shared" si="653"/>
        <v>0.44647479317112937</v>
      </c>
      <c r="AE103" s="60">
        <f t="shared" si="653"/>
        <v>0.43758331836176256</v>
      </c>
      <c r="AF103" s="60">
        <f t="shared" si="653"/>
        <v>0.42834112351543818</v>
      </c>
      <c r="AG103" s="60">
        <f t="shared" si="653"/>
        <v>0.41876072199409103</v>
      </c>
      <c r="AH103" s="60">
        <f t="shared" si="653"/>
        <v>0.40885711182928108</v>
      </c>
      <c r="AJ103" s="60">
        <f>AJ44-0.5*(AJ97-AJ102)</f>
        <v>0.53990534455448469</v>
      </c>
      <c r="AK103" s="60">
        <f t="shared" ref="AK103" si="654">AK44-0.5*(AK97-AK102)</f>
        <v>0.5320845044611674</v>
      </c>
      <c r="AL103" s="60">
        <f t="shared" ref="AL103" si="655">AL44-0.5*(AL97-AL102)</f>
        <v>0.52113879707789612</v>
      </c>
      <c r="AM103" s="60">
        <f t="shared" ref="AM103" si="656">AM44-0.5*(AM97-AM102)</f>
        <v>0.51141766925373577</v>
      </c>
      <c r="AN103" s="60">
        <f t="shared" ref="AN103" si="657">AN44-0.5*(AN97-AN102)</f>
        <v>0.50269784867373835</v>
      </c>
      <c r="AO103" s="60">
        <f t="shared" ref="AO103" si="658">AO44-0.5*(AO97-AO102)</f>
        <v>0.49482708545903509</v>
      </c>
      <c r="AP103" s="60">
        <f t="shared" ref="AP103" si="659">AP44-0.5*(AP97-AP102)</f>
        <v>0.48736780462144269</v>
      </c>
      <c r="AQ103" s="60">
        <f t="shared" ref="AQ103" si="660">AQ44-0.5*(AQ97-AQ102)</f>
        <v>0.48019134421432852</v>
      </c>
      <c r="AR103" s="60">
        <f t="shared" ref="AR103" si="661">AR44-0.5*(AR97-AR102)</f>
        <v>0.47319451385066003</v>
      </c>
      <c r="AS103" s="60">
        <f t="shared" ref="AS103" si="662">AS44-0.5*(AS97-AS102)</f>
        <v>0.46629341336058427</v>
      </c>
      <c r="AT103" s="60">
        <f t="shared" ref="AT103" si="663">AT44-0.5*(AT97-AT102)</f>
        <v>0.45941902605442386</v>
      </c>
      <c r="AU103" s="60">
        <f t="shared" ref="AU103" si="664">AU44-0.5*(AU97-AU102)</f>
        <v>0.45066711466511966</v>
      </c>
      <c r="AV103" s="60">
        <f t="shared" ref="AV103" si="665">AV44-0.5*(AV97-AV102)</f>
        <v>0.4416125737080272</v>
      </c>
      <c r="AW103" s="60">
        <f t="shared" ref="AW103" si="666">AW44-0.5*(AW97-AW102)</f>
        <v>0.43231907347945353</v>
      </c>
      <c r="AX103" s="60">
        <f t="shared" ref="AX103" si="667">AX44-0.5*(AX97-AX102)</f>
        <v>0.42289957628731267</v>
      </c>
      <c r="AY103" s="60">
        <f t="shared" ref="AY103" si="668">AY44-0.5*(AY97-AY102)</f>
        <v>0.4134568199882126</v>
      </c>
      <c r="AZ103" s="60">
        <f t="shared" ref="AZ103" si="669">AZ44-0.5*(AZ97-AZ102)</f>
        <v>0.403980614729336</v>
      </c>
      <c r="BA103" s="60">
        <f t="shared" ref="BA103" si="670">BA44-0.5*(BA97-BA102)</f>
        <v>0.39400780057093332</v>
      </c>
      <c r="BB103" s="60">
        <f t="shared" ref="BB103" si="671">BB44-0.5*(BB97-BB102)</f>
        <v>0.38353059005343537</v>
      </c>
      <c r="BC103" s="60">
        <f t="shared" ref="BC103" si="672">BC44-0.5*(BC97-BC102)</f>
        <v>0.37254186014266688</v>
      </c>
      <c r="BD103" s="60">
        <f t="shared" ref="BD103" si="673">BD44-0.5*(BD97-BD102)</f>
        <v>0.3610352190123316</v>
      </c>
      <c r="BE103" s="60">
        <f t="shared" ref="BE103" si="674">BE44-0.5*(BE97-BE102)</f>
        <v>0.33883003899047515</v>
      </c>
      <c r="BF103" s="60">
        <f t="shared" ref="BF103" si="675">BF44-0.5*(BF97-BF102)</f>
        <v>0.31562710523921966</v>
      </c>
      <c r="BG103" s="60">
        <f t="shared" ref="BG103" si="676">BG44-0.5*(BG97-BG102)</f>
        <v>0.29135276081372419</v>
      </c>
      <c r="BH103" s="60">
        <f t="shared" ref="BH103" si="677">BH44-0.5*(BH97-BH102)</f>
        <v>0.26604908940689775</v>
      </c>
      <c r="BI103" s="60">
        <f t="shared" ref="BI103" si="678">BI44-0.5*(BI97-BI102)</f>
        <v>0.23970598570410673</v>
      </c>
      <c r="BJ103" s="60">
        <f t="shared" ref="BJ103" si="679">BJ44-0.5*(BJ97-BJ102)</f>
        <v>0.21230860939663543</v>
      </c>
      <c r="BK103" s="60">
        <f t="shared" ref="BK103" si="680">BK44-0.5*(BK97-BK102)</f>
        <v>0.18384921938693133</v>
      </c>
      <c r="BL103" s="60">
        <f t="shared" ref="BL103" si="681">BL44-0.5*(BL97-BL102)</f>
        <v>0.15432213190331689</v>
      </c>
      <c r="BM103" s="60">
        <f t="shared" ref="BM103" si="682">BM44-0.5*(BM97-BM102)</f>
        <v>0.12372392572756563</v>
      </c>
      <c r="BN103" s="60">
        <f t="shared" ref="BN103" si="683">BN44-0.5*(BN97-BN102)</f>
        <v>9.2053666173198656E-2</v>
      </c>
    </row>
    <row r="104" spans="1:66">
      <c r="A104" s="753"/>
      <c r="B104" s="1" t="s">
        <v>247</v>
      </c>
      <c r="C104" s="54" t="s">
        <v>153</v>
      </c>
      <c r="D104" s="44">
        <f t="shared" ref="D104" si="684">D45</f>
        <v>0</v>
      </c>
      <c r="E104" s="44">
        <f t="shared" ref="E104:AH104" si="685">E45</f>
        <v>0</v>
      </c>
      <c r="F104" s="44">
        <f t="shared" si="685"/>
        <v>0</v>
      </c>
      <c r="G104" s="44">
        <f t="shared" si="685"/>
        <v>0</v>
      </c>
      <c r="H104" s="44">
        <f t="shared" si="685"/>
        <v>0</v>
      </c>
      <c r="I104" s="44">
        <f t="shared" si="685"/>
        <v>0</v>
      </c>
      <c r="J104" s="44">
        <f t="shared" si="685"/>
        <v>0</v>
      </c>
      <c r="K104" s="44">
        <f t="shared" si="685"/>
        <v>0</v>
      </c>
      <c r="L104" s="44">
        <f t="shared" si="685"/>
        <v>0</v>
      </c>
      <c r="M104" s="44">
        <f t="shared" si="685"/>
        <v>0</v>
      </c>
      <c r="N104" s="44">
        <f t="shared" si="685"/>
        <v>0</v>
      </c>
      <c r="O104" s="44">
        <f t="shared" si="685"/>
        <v>0</v>
      </c>
      <c r="P104" s="44">
        <f t="shared" si="685"/>
        <v>0</v>
      </c>
      <c r="Q104" s="44">
        <f t="shared" si="685"/>
        <v>0</v>
      </c>
      <c r="R104" s="44">
        <f t="shared" si="685"/>
        <v>0</v>
      </c>
      <c r="S104" s="44">
        <f t="shared" si="685"/>
        <v>0</v>
      </c>
      <c r="T104" s="44">
        <f t="shared" si="685"/>
        <v>0</v>
      </c>
      <c r="U104" s="44">
        <f t="shared" si="685"/>
        <v>0</v>
      </c>
      <c r="V104" s="44">
        <f t="shared" si="685"/>
        <v>0</v>
      </c>
      <c r="W104" s="44">
        <f t="shared" si="685"/>
        <v>0</v>
      </c>
      <c r="X104" s="44">
        <f t="shared" si="685"/>
        <v>0</v>
      </c>
      <c r="Y104" s="44">
        <f t="shared" si="685"/>
        <v>0</v>
      </c>
      <c r="Z104" s="44">
        <f t="shared" si="685"/>
        <v>0</v>
      </c>
      <c r="AA104" s="44">
        <f t="shared" si="685"/>
        <v>0</v>
      </c>
      <c r="AB104" s="44">
        <f t="shared" si="685"/>
        <v>0</v>
      </c>
      <c r="AC104" s="44">
        <f t="shared" si="685"/>
        <v>0</v>
      </c>
      <c r="AD104" s="44">
        <f t="shared" si="685"/>
        <v>0</v>
      </c>
      <c r="AE104" s="44">
        <f t="shared" si="685"/>
        <v>0</v>
      </c>
      <c r="AF104" s="44">
        <f t="shared" si="685"/>
        <v>0</v>
      </c>
      <c r="AG104" s="44">
        <f t="shared" si="685"/>
        <v>0</v>
      </c>
      <c r="AH104" s="44">
        <f t="shared" si="685"/>
        <v>0</v>
      </c>
      <c r="AJ104" s="44">
        <f t="shared" ref="AJ104:BN104" si="686">AJ45</f>
        <v>0</v>
      </c>
      <c r="AK104" s="44">
        <f t="shared" si="686"/>
        <v>0</v>
      </c>
      <c r="AL104" s="44">
        <f t="shared" si="686"/>
        <v>0</v>
      </c>
      <c r="AM104" s="44">
        <f t="shared" si="686"/>
        <v>0</v>
      </c>
      <c r="AN104" s="44">
        <f t="shared" si="686"/>
        <v>0</v>
      </c>
      <c r="AO104" s="44">
        <f t="shared" si="686"/>
        <v>0</v>
      </c>
      <c r="AP104" s="44">
        <f t="shared" si="686"/>
        <v>0</v>
      </c>
      <c r="AQ104" s="44">
        <f t="shared" si="686"/>
        <v>0</v>
      </c>
      <c r="AR104" s="44">
        <f t="shared" si="686"/>
        <v>0</v>
      </c>
      <c r="AS104" s="44">
        <f t="shared" si="686"/>
        <v>0</v>
      </c>
      <c r="AT104" s="44">
        <f t="shared" si="686"/>
        <v>0</v>
      </c>
      <c r="AU104" s="44">
        <f t="shared" si="686"/>
        <v>0</v>
      </c>
      <c r="AV104" s="44">
        <f t="shared" si="686"/>
        <v>0</v>
      </c>
      <c r="AW104" s="44">
        <f t="shared" si="686"/>
        <v>0</v>
      </c>
      <c r="AX104" s="44">
        <f t="shared" si="686"/>
        <v>0</v>
      </c>
      <c r="AY104" s="44">
        <f t="shared" si="686"/>
        <v>0</v>
      </c>
      <c r="AZ104" s="44">
        <f t="shared" si="686"/>
        <v>0</v>
      </c>
      <c r="BA104" s="44">
        <f t="shared" si="686"/>
        <v>0</v>
      </c>
      <c r="BB104" s="44">
        <f t="shared" si="686"/>
        <v>0</v>
      </c>
      <c r="BC104" s="44">
        <f t="shared" si="686"/>
        <v>0</v>
      </c>
      <c r="BD104" s="44">
        <f t="shared" si="686"/>
        <v>0</v>
      </c>
      <c r="BE104" s="44">
        <f t="shared" si="686"/>
        <v>0</v>
      </c>
      <c r="BF104" s="44">
        <f t="shared" si="686"/>
        <v>0</v>
      </c>
      <c r="BG104" s="44">
        <f t="shared" si="686"/>
        <v>0</v>
      </c>
      <c r="BH104" s="44">
        <f t="shared" si="686"/>
        <v>0</v>
      </c>
      <c r="BI104" s="44">
        <f t="shared" si="686"/>
        <v>0</v>
      </c>
      <c r="BJ104" s="44">
        <f t="shared" si="686"/>
        <v>0</v>
      </c>
      <c r="BK104" s="44">
        <f t="shared" si="686"/>
        <v>0</v>
      </c>
      <c r="BL104" s="44">
        <f t="shared" si="686"/>
        <v>0</v>
      </c>
      <c r="BM104" s="44">
        <f t="shared" si="686"/>
        <v>0</v>
      </c>
      <c r="BN104" s="44">
        <f t="shared" si="686"/>
        <v>0</v>
      </c>
    </row>
    <row r="105" spans="1:66" s="68" customFormat="1">
      <c r="A105" s="754"/>
      <c r="B105" s="62" t="s">
        <v>248</v>
      </c>
      <c r="C105" s="283" t="s">
        <v>153</v>
      </c>
      <c r="D105" s="284">
        <f>D46-0.7*(D97-D102)</f>
        <v>2.6799067355470925</v>
      </c>
      <c r="E105" s="284">
        <f t="shared" ref="E105:AH105" si="687">E46-0.7*(E97-E102)</f>
        <v>2.7328911577083841</v>
      </c>
      <c r="F105" s="284">
        <f t="shared" si="687"/>
        <v>2.7779798582296045</v>
      </c>
      <c r="G105" s="284">
        <f t="shared" si="687"/>
        <v>2.8221407004048293</v>
      </c>
      <c r="H105" s="284">
        <f t="shared" si="687"/>
        <v>2.8657089744272715</v>
      </c>
      <c r="I105" s="284">
        <f t="shared" si="687"/>
        <v>2.9089603081956534</v>
      </c>
      <c r="J105" s="284">
        <f t="shared" si="687"/>
        <v>2.9516583026398937</v>
      </c>
      <c r="K105" s="284">
        <f t="shared" si="687"/>
        <v>2.993917563220732</v>
      </c>
      <c r="L105" s="284">
        <f t="shared" si="687"/>
        <v>3.0358282088329824</v>
      </c>
      <c r="M105" s="284">
        <f t="shared" si="687"/>
        <v>3.0774621765993135</v>
      </c>
      <c r="N105" s="284">
        <f t="shared" si="687"/>
        <v>3.1188777554132283</v>
      </c>
      <c r="O105" s="284">
        <f t="shared" si="687"/>
        <v>3.1440663227860228</v>
      </c>
      <c r="P105" s="284">
        <f t="shared" si="687"/>
        <v>3.1691800346309007</v>
      </c>
      <c r="Q105" s="284">
        <f t="shared" si="687"/>
        <v>3.1943018254935729</v>
      </c>
      <c r="R105" s="284">
        <f t="shared" si="687"/>
        <v>3.2195827258462031</v>
      </c>
      <c r="S105" s="284">
        <f t="shared" si="687"/>
        <v>3.2451584782671254</v>
      </c>
      <c r="T105" s="284">
        <f t="shared" si="687"/>
        <v>3.2698653484393629</v>
      </c>
      <c r="U105" s="284">
        <f t="shared" si="687"/>
        <v>3.2941322530820143</v>
      </c>
      <c r="V105" s="284">
        <f t="shared" si="687"/>
        <v>3.3179327567035228</v>
      </c>
      <c r="W105" s="284">
        <f t="shared" si="687"/>
        <v>3.3412398227636024</v>
      </c>
      <c r="X105" s="284">
        <f t="shared" si="687"/>
        <v>3.3640257912983431</v>
      </c>
      <c r="Y105" s="284">
        <f t="shared" si="687"/>
        <v>3.3693971433551644</v>
      </c>
      <c r="Z105" s="284">
        <f t="shared" si="687"/>
        <v>3.3733585852469981</v>
      </c>
      <c r="AA105" s="284">
        <f t="shared" si="687"/>
        <v>3.3757690350430414</v>
      </c>
      <c r="AB105" s="284">
        <f t="shared" si="687"/>
        <v>3.3766461107761097</v>
      </c>
      <c r="AC105" s="284">
        <f t="shared" si="687"/>
        <v>3.3759307433355401</v>
      </c>
      <c r="AD105" s="284">
        <f t="shared" si="687"/>
        <v>3.3735532985695045</v>
      </c>
      <c r="AE105" s="284">
        <f t="shared" si="687"/>
        <v>3.3694498005576068</v>
      </c>
      <c r="AF105" s="284">
        <f t="shared" si="687"/>
        <v>3.3635544936519706</v>
      </c>
      <c r="AG105" s="284">
        <f t="shared" si="687"/>
        <v>3.3557997116801737</v>
      </c>
      <c r="AH105" s="284">
        <f t="shared" si="687"/>
        <v>3.3461157299523148</v>
      </c>
      <c r="AJ105" s="284">
        <f>AJ46-0.5*(AJ97-AJ102)</f>
        <v>2.6799067355470925</v>
      </c>
      <c r="AK105" s="284">
        <f t="shared" ref="AK105:BN105" si="688">AK46-0.5*(AK97-AK102)</f>
        <v>2.7344866949240094</v>
      </c>
      <c r="AL105" s="284">
        <f t="shared" si="688"/>
        <v>2.7831627850977174</v>
      </c>
      <c r="AM105" s="284">
        <f t="shared" si="688"/>
        <v>2.831019287494561</v>
      </c>
      <c r="AN105" s="284">
        <f t="shared" si="688"/>
        <v>2.8783755039711534</v>
      </c>
      <c r="AO105" s="284">
        <f t="shared" si="688"/>
        <v>2.9254892263149546</v>
      </c>
      <c r="AP105" s="284">
        <f t="shared" si="688"/>
        <v>2.9722391577148031</v>
      </c>
      <c r="AQ105" s="284">
        <f t="shared" si="688"/>
        <v>3.0187450667735343</v>
      </c>
      <c r="AR105" s="284">
        <f t="shared" si="688"/>
        <v>3.0651021193091514</v>
      </c>
      <c r="AS105" s="284">
        <f t="shared" si="688"/>
        <v>3.1113871633884722</v>
      </c>
      <c r="AT105" s="284">
        <f t="shared" si="688"/>
        <v>3.1576632425647295</v>
      </c>
      <c r="AU105" s="284">
        <f t="shared" si="688"/>
        <v>3.190910228102676</v>
      </c>
      <c r="AV105" s="284">
        <f t="shared" si="688"/>
        <v>3.224328835929418</v>
      </c>
      <c r="AW105" s="284">
        <f t="shared" si="688"/>
        <v>3.2579806870321084</v>
      </c>
      <c r="AX105" s="284">
        <f t="shared" si="688"/>
        <v>3.2919759867179028</v>
      </c>
      <c r="AY105" s="284">
        <f t="shared" si="688"/>
        <v>3.3264139584093848</v>
      </c>
      <c r="AZ105" s="284">
        <f t="shared" si="688"/>
        <v>3.3603298042702043</v>
      </c>
      <c r="BA105" s="284">
        <f t="shared" si="688"/>
        <v>3.3941614864769165</v>
      </c>
      <c r="BB105" s="284">
        <f t="shared" si="688"/>
        <v>3.4278916683674865</v>
      </c>
      <c r="BC105" s="284">
        <f t="shared" si="688"/>
        <v>3.4615024593834463</v>
      </c>
      <c r="BD105" s="284">
        <f t="shared" si="688"/>
        <v>3.4949753862748909</v>
      </c>
      <c r="BE105" s="284">
        <f t="shared" si="688"/>
        <v>3.5159328589697001</v>
      </c>
      <c r="BF105" s="284">
        <f t="shared" si="688"/>
        <v>3.5360989670201968</v>
      </c>
      <c r="BG105" s="284">
        <f t="shared" si="688"/>
        <v>3.5553721118676709</v>
      </c>
      <c r="BH105" s="284">
        <f t="shared" si="688"/>
        <v>3.5737637176073114</v>
      </c>
      <c r="BI105" s="284">
        <f t="shared" si="688"/>
        <v>3.5912300644072843</v>
      </c>
      <c r="BJ105" s="284">
        <f t="shared" si="688"/>
        <v>3.607719482343998</v>
      </c>
      <c r="BK105" s="284">
        <f t="shared" si="688"/>
        <v>3.6231838995324379</v>
      </c>
      <c r="BL105" s="284">
        <f t="shared" si="688"/>
        <v>3.6375734852640917</v>
      </c>
      <c r="BM105" s="284">
        <f t="shared" si="688"/>
        <v>3.6508365079466989</v>
      </c>
      <c r="BN105" s="284">
        <f t="shared" si="688"/>
        <v>3.6629191756083967</v>
      </c>
    </row>
    <row r="106" spans="1:66">
      <c r="A106" s="178" t="s">
        <v>225</v>
      </c>
      <c r="B106" s="242" t="s">
        <v>197</v>
      </c>
      <c r="C106" s="243" t="s">
        <v>153</v>
      </c>
      <c r="D106" s="180">
        <f>D59+D65</f>
        <v>27.787294919531671</v>
      </c>
      <c r="E106" s="180">
        <f t="shared" ref="E106:AH106" si="689">E59+E65</f>
        <v>31.390453825738273</v>
      </c>
      <c r="F106" s="180">
        <f t="shared" si="689"/>
        <v>34.91782932249351</v>
      </c>
      <c r="G106" s="180">
        <f t="shared" si="689"/>
        <v>38.42671749742464</v>
      </c>
      <c r="H106" s="180">
        <f t="shared" si="689"/>
        <v>41.916780928989269</v>
      </c>
      <c r="I106" s="180">
        <f t="shared" si="689"/>
        <v>45.38768144460132</v>
      </c>
      <c r="J106" s="180">
        <f t="shared" si="689"/>
        <v>48.839080823242973</v>
      </c>
      <c r="K106" s="180">
        <f t="shared" si="689"/>
        <v>52.270641592123994</v>
      </c>
      <c r="L106" s="180">
        <f t="shared" si="689"/>
        <v>55.682027928104986</v>
      </c>
      <c r="M106" s="180">
        <f t="shared" si="689"/>
        <v>59.07290667579958</v>
      </c>
      <c r="N106" s="180">
        <f t="shared" si="689"/>
        <v>62.442948495597882</v>
      </c>
      <c r="O106" s="180">
        <f t="shared" si="689"/>
        <v>63.108053050129953</v>
      </c>
      <c r="P106" s="180">
        <f t="shared" si="689"/>
        <v>63.75167877656262</v>
      </c>
      <c r="Q106" s="180">
        <f t="shared" si="689"/>
        <v>64.373516200877219</v>
      </c>
      <c r="R106" s="180">
        <f t="shared" si="689"/>
        <v>64.973265876414999</v>
      </c>
      <c r="S106" s="180">
        <f t="shared" si="689"/>
        <v>65.550640438165161</v>
      </c>
      <c r="T106" s="180">
        <f t="shared" si="689"/>
        <v>65.905366904023978</v>
      </c>
      <c r="U106" s="180">
        <f t="shared" si="689"/>
        <v>66.237189250854627</v>
      </c>
      <c r="V106" s="180">
        <f t="shared" si="689"/>
        <v>66.545871296301286</v>
      </c>
      <c r="W106" s="180">
        <f t="shared" si="689"/>
        <v>66.831199920788819</v>
      </c>
      <c r="X106" s="180">
        <f t="shared" si="689"/>
        <v>67.092988668013604</v>
      </c>
      <c r="Y106" s="180">
        <f t="shared" si="689"/>
        <v>66.931081766539734</v>
      </c>
      <c r="Z106" s="180">
        <f t="shared" si="689"/>
        <v>66.745358619921817</v>
      </c>
      <c r="AA106" s="180">
        <f t="shared" si="689"/>
        <v>66.535738818120734</v>
      </c>
      <c r="AB106" s="180">
        <f t="shared" si="689"/>
        <v>66.302187728941021</v>
      </c>
      <c r="AC106" s="180">
        <f t="shared" si="689"/>
        <v>66.044722734856094</v>
      </c>
      <c r="AD106" s="180">
        <f t="shared" si="689"/>
        <v>65.763420187987734</v>
      </c>
      <c r="AE106" s="180">
        <f t="shared" si="689"/>
        <v>65.458423164250121</v>
      </c>
      <c r="AF106" s="180">
        <f t="shared" si="689"/>
        <v>65.129950106862012</v>
      </c>
      <c r="AG106" s="180">
        <f t="shared" si="689"/>
        <v>64.778304459674061</v>
      </c>
      <c r="AH106" s="180">
        <f t="shared" si="689"/>
        <v>64.403885402185466</v>
      </c>
      <c r="AI106" s="180"/>
      <c r="AJ106" s="180">
        <f>AJ59+AJ65</f>
        <v>27.787294919531671</v>
      </c>
      <c r="AK106" s="180">
        <f t="shared" ref="AK106:BN106" si="690">AK59+AK65</f>
        <v>31.390453825738273</v>
      </c>
      <c r="AL106" s="180">
        <f t="shared" si="690"/>
        <v>34.91782932249351</v>
      </c>
      <c r="AM106" s="180">
        <f t="shared" si="690"/>
        <v>38.42671749742464</v>
      </c>
      <c r="AN106" s="180">
        <f t="shared" si="690"/>
        <v>41.916780928989269</v>
      </c>
      <c r="AO106" s="180">
        <f t="shared" si="690"/>
        <v>45.38768144460132</v>
      </c>
      <c r="AP106" s="180">
        <f t="shared" si="690"/>
        <v>48.839080823242973</v>
      </c>
      <c r="AQ106" s="180">
        <f t="shared" si="690"/>
        <v>52.270641592123994</v>
      </c>
      <c r="AR106" s="180">
        <f t="shared" si="690"/>
        <v>55.682027928104986</v>
      </c>
      <c r="AS106" s="180">
        <f t="shared" si="690"/>
        <v>59.07290667579958</v>
      </c>
      <c r="AT106" s="180">
        <f t="shared" si="690"/>
        <v>62.442948495597882</v>
      </c>
      <c r="AU106" s="180">
        <f t="shared" si="690"/>
        <v>63.108053050129953</v>
      </c>
      <c r="AV106" s="180">
        <f t="shared" si="690"/>
        <v>63.75167877656262</v>
      </c>
      <c r="AW106" s="180">
        <f t="shared" si="690"/>
        <v>64.373516200877219</v>
      </c>
      <c r="AX106" s="180">
        <f t="shared" si="690"/>
        <v>64.973265876414999</v>
      </c>
      <c r="AY106" s="180">
        <f t="shared" si="690"/>
        <v>65.550640438165161</v>
      </c>
      <c r="AZ106" s="180">
        <f t="shared" si="690"/>
        <v>65.905366904023978</v>
      </c>
      <c r="BA106" s="180">
        <f t="shared" si="690"/>
        <v>66.237189250854627</v>
      </c>
      <c r="BB106" s="180">
        <f t="shared" si="690"/>
        <v>66.545871296301286</v>
      </c>
      <c r="BC106" s="180">
        <f t="shared" si="690"/>
        <v>66.831199920788819</v>
      </c>
      <c r="BD106" s="180">
        <f t="shared" si="690"/>
        <v>67.092988668013604</v>
      </c>
      <c r="BE106" s="180">
        <f t="shared" si="690"/>
        <v>66.931081766539734</v>
      </c>
      <c r="BF106" s="180">
        <f t="shared" si="690"/>
        <v>66.745358619921817</v>
      </c>
      <c r="BG106" s="180">
        <f t="shared" si="690"/>
        <v>66.535738818120734</v>
      </c>
      <c r="BH106" s="180">
        <f t="shared" si="690"/>
        <v>66.302187728941021</v>
      </c>
      <c r="BI106" s="180">
        <f t="shared" si="690"/>
        <v>66.044722734856094</v>
      </c>
      <c r="BJ106" s="180">
        <f t="shared" si="690"/>
        <v>65.763420187987734</v>
      </c>
      <c r="BK106" s="180">
        <f t="shared" si="690"/>
        <v>65.458423164250121</v>
      </c>
      <c r="BL106" s="180">
        <f t="shared" si="690"/>
        <v>65.129950106862012</v>
      </c>
      <c r="BM106" s="180">
        <f t="shared" si="690"/>
        <v>64.778304459674061</v>
      </c>
      <c r="BN106" s="180">
        <f t="shared" si="690"/>
        <v>64.403885402185466</v>
      </c>
    </row>
    <row r="107" spans="1:66">
      <c r="A107" s="178"/>
      <c r="B107" s="181" t="s">
        <v>217</v>
      </c>
      <c r="C107" s="176" t="s">
        <v>153</v>
      </c>
      <c r="D107" s="238">
        <f>'Methanol Recycling HC'!C241</f>
        <v>0</v>
      </c>
      <c r="E107" s="238">
        <f>'Methanol Recycling HC'!D241</f>
        <v>2.5359760423074917E-2</v>
      </c>
      <c r="F107" s="238">
        <f>'Methanol Recycling HC'!E241</f>
        <v>5.1102553053775313E-2</v>
      </c>
      <c r="G107" s="238">
        <f>'Methanol Recycling HC'!F241</f>
        <v>7.7078399555374211E-2</v>
      </c>
      <c r="H107" s="238">
        <f>'Methanol Recycling HC'!G241</f>
        <v>0.10312809057410904</v>
      </c>
      <c r="I107" s="238">
        <f>'Methanol Recycling HC'!H241</f>
        <v>0.12908475941560349</v>
      </c>
      <c r="J107" s="238">
        <f>'Methanol Recycling HC'!I241</f>
        <v>0.15579126729762643</v>
      </c>
      <c r="K107" s="238">
        <f>'Methanol Recycling HC'!J241</f>
        <v>0.18323999560354665</v>
      </c>
      <c r="L107" s="238">
        <f>'Methanol Recycling HC'!K241</f>
        <v>0.21142174650904755</v>
      </c>
      <c r="M107" s="238">
        <f>'Methanol Recycling HC'!L241</f>
        <v>0.24032571465982833</v>
      </c>
      <c r="N107" s="238">
        <f>'Methanol Recycling HC'!M241</f>
        <v>0.26993946246051859</v>
      </c>
      <c r="O107" s="238">
        <f>'Methanol Recycling HC'!N241</f>
        <v>0.31995103730137209</v>
      </c>
      <c r="P107" s="238">
        <f>'Methanol Recycling HC'!O241</f>
        <v>0.37031231555109378</v>
      </c>
      <c r="Q107" s="238">
        <f>'Methanol Recycling HC'!P241</f>
        <v>0.42076948857114727</v>
      </c>
      <c r="R107" s="238">
        <f>'Methanol Recycling HC'!Q241</f>
        <v>0.47106009212866762</v>
      </c>
      <c r="S107" s="238">
        <f>'Methanol Recycling HC'!R241</f>
        <v>0.52091521438801669</v>
      </c>
      <c r="T107" s="238">
        <f>'Methanol Recycling HC'!S241</f>
        <v>0.57165819357033387</v>
      </c>
      <c r="U107" s="238">
        <f>'Methanol Recycling HC'!T241</f>
        <v>0.62328742790944036</v>
      </c>
      <c r="V107" s="238">
        <f>'Methanol Recycling HC'!U241</f>
        <v>0.67580089422087464</v>
      </c>
      <c r="W107" s="238">
        <f>'Methanol Recycling HC'!V241</f>
        <v>0.72919614275212008</v>
      </c>
      <c r="X107" s="238">
        <f>'Methanol Recycling HC'!W241</f>
        <v>0.78347029224784892</v>
      </c>
      <c r="Y107" s="238">
        <f>'Methanol Recycling HC'!X241</f>
        <v>0.86825802079014558</v>
      </c>
      <c r="Z107" s="238">
        <f>'Methanol Recycling HC'!Y241</f>
        <v>0.95452738698479256</v>
      </c>
      <c r="AA107" s="238">
        <f>'Methanol Recycling HC'!Z241</f>
        <v>1.0422761178618554</v>
      </c>
      <c r="AB107" s="238">
        <f>'Methanol Recycling HC'!AA241</f>
        <v>1.1315013086246477</v>
      </c>
      <c r="AC107" s="238">
        <f>'Methanol Recycling HC'!AB241</f>
        <v>1.2221994153629203</v>
      </c>
      <c r="AD107" s="238">
        <f>'Methanol Recycling HC'!AC241</f>
        <v>1.314381661749171</v>
      </c>
      <c r="AE107" s="238">
        <f>'Methanol Recycling HC'!AD241</f>
        <v>1.4080458826165774</v>
      </c>
      <c r="AF107" s="238">
        <f>'Methanol Recycling HC'!AE241</f>
        <v>1.5031893416878117</v>
      </c>
      <c r="AG107" s="238">
        <f>'Methanol Recycling HC'!AF241</f>
        <v>1.5998087252471336</v>
      </c>
      <c r="AH107" s="265">
        <f>'Methanol Recycling HC'!AG241</f>
        <v>1.6979001360504569</v>
      </c>
      <c r="AJ107" s="238">
        <f>D107</f>
        <v>0</v>
      </c>
      <c r="AK107" s="238">
        <f t="shared" ref="AK107:BN109" si="691">E107</f>
        <v>2.5359760423074917E-2</v>
      </c>
      <c r="AL107" s="238">
        <f t="shared" si="691"/>
        <v>5.1102553053775313E-2</v>
      </c>
      <c r="AM107" s="238">
        <f t="shared" si="691"/>
        <v>7.7078399555374211E-2</v>
      </c>
      <c r="AN107" s="238">
        <f t="shared" si="691"/>
        <v>0.10312809057410904</v>
      </c>
      <c r="AO107" s="238">
        <f t="shared" si="691"/>
        <v>0.12908475941560349</v>
      </c>
      <c r="AP107" s="238">
        <f t="shared" si="691"/>
        <v>0.15579126729762643</v>
      </c>
      <c r="AQ107" s="238">
        <f t="shared" si="691"/>
        <v>0.18323999560354665</v>
      </c>
      <c r="AR107" s="238">
        <f t="shared" si="691"/>
        <v>0.21142174650904755</v>
      </c>
      <c r="AS107" s="238">
        <f t="shared" si="691"/>
        <v>0.24032571465982833</v>
      </c>
      <c r="AT107" s="238">
        <f t="shared" si="691"/>
        <v>0.26993946246051859</v>
      </c>
      <c r="AU107" s="238">
        <f t="shared" si="691"/>
        <v>0.31995103730137209</v>
      </c>
      <c r="AV107" s="238">
        <f t="shared" si="691"/>
        <v>0.37031231555109378</v>
      </c>
      <c r="AW107" s="238">
        <f t="shared" si="691"/>
        <v>0.42076948857114727</v>
      </c>
      <c r="AX107" s="238">
        <f t="shared" si="691"/>
        <v>0.47106009212866762</v>
      </c>
      <c r="AY107" s="238">
        <f t="shared" si="691"/>
        <v>0.52091521438801669</v>
      </c>
      <c r="AZ107" s="238">
        <f t="shared" si="691"/>
        <v>0.57165819357033387</v>
      </c>
      <c r="BA107" s="238">
        <f t="shared" si="691"/>
        <v>0.62328742790944036</v>
      </c>
      <c r="BB107" s="238">
        <f t="shared" si="691"/>
        <v>0.67580089422087464</v>
      </c>
      <c r="BC107" s="238">
        <f t="shared" si="691"/>
        <v>0.72919614275212008</v>
      </c>
      <c r="BD107" s="238">
        <f t="shared" si="691"/>
        <v>0.78347029224784892</v>
      </c>
      <c r="BE107" s="238">
        <f t="shared" si="691"/>
        <v>0.86825802079014558</v>
      </c>
      <c r="BF107" s="238">
        <f t="shared" si="691"/>
        <v>0.95452738698479256</v>
      </c>
      <c r="BG107" s="238">
        <f t="shared" si="691"/>
        <v>1.0422761178618554</v>
      </c>
      <c r="BH107" s="238">
        <f t="shared" si="691"/>
        <v>1.1315013086246477</v>
      </c>
      <c r="BI107" s="238">
        <f t="shared" si="691"/>
        <v>1.2221994153629203</v>
      </c>
      <c r="BJ107" s="238">
        <f t="shared" si="691"/>
        <v>1.314381661749171</v>
      </c>
      <c r="BK107" s="238">
        <f t="shared" si="691"/>
        <v>1.4080458826165774</v>
      </c>
      <c r="BL107" s="238">
        <f t="shared" si="691"/>
        <v>1.5031893416878117</v>
      </c>
      <c r="BM107" s="238">
        <f t="shared" si="691"/>
        <v>1.5998087252471336</v>
      </c>
      <c r="BN107" s="238">
        <f t="shared" si="691"/>
        <v>1.6979001360504569</v>
      </c>
    </row>
    <row r="108" spans="1:66">
      <c r="A108"/>
      <c r="B108" t="s">
        <v>222</v>
      </c>
      <c r="C108" s="54" t="s">
        <v>153</v>
      </c>
      <c r="D108" s="44">
        <f>'Methanol Recycling HC'!C100</f>
        <v>0</v>
      </c>
      <c r="E108" s="44">
        <f>'Methanol Recycling HC'!D100</f>
        <v>2.4317159982020636E-3</v>
      </c>
      <c r="F108" s="44">
        <f>'Methanol Recycling HC'!E100</f>
        <v>4.8445096600306728E-3</v>
      </c>
      <c r="G108" s="44">
        <f>'Methanol Recycling HC'!F100</f>
        <v>7.2218749144580055E-3</v>
      </c>
      <c r="H108" s="44">
        <f>'Methanol Recycling HC'!G100</f>
        <v>9.5470031673033293E-3</v>
      </c>
      <c r="I108" s="44">
        <f>'Methanol Recycling HC'!H100</f>
        <v>1.1802979867696864E-2</v>
      </c>
      <c r="J108" s="44">
        <f>'Methanol Recycling HC'!I100</f>
        <v>1.408830332921434E-2</v>
      </c>
      <c r="K108" s="44">
        <f>'Methanol Recycling HC'!J100</f>
        <v>1.6400489559184578E-2</v>
      </c>
      <c r="L108" s="44">
        <f>'Methanol Recycling HC'!K100</f>
        <v>1.8736934411134797E-2</v>
      </c>
      <c r="M108" s="44">
        <f>'Methanol Recycling HC'!L100</f>
        <v>2.1094917050883018E-2</v>
      </c>
      <c r="N108" s="44">
        <f>'Methanol Recycling HC'!M100</f>
        <v>2.3471603868460325E-2</v>
      </c>
      <c r="O108" s="44">
        <f>'Methanol Recycling HC'!N100</f>
        <v>2.7907363621896095E-2</v>
      </c>
      <c r="P108" s="44">
        <f>'Methanol Recycling HC'!O100</f>
        <v>3.2288521938150447E-2</v>
      </c>
      <c r="Q108" s="44">
        <f>'Methanol Recycling HC'!P100</f>
        <v>3.6589860907450644E-2</v>
      </c>
      <c r="R108" s="44">
        <f>'Methanol Recycling HC'!Q100</f>
        <v>4.0786192112033465E-2</v>
      </c>
      <c r="S108" s="44">
        <f>'Methanol Recycling HC'!R100</f>
        <v>4.4852598797182092E-2</v>
      </c>
      <c r="T108" s="44">
        <f>'Methanol Recycling HC'!S100</f>
        <v>4.8923660750098394E-2</v>
      </c>
      <c r="U108" s="44">
        <f>'Methanol Recycling HC'!T100</f>
        <v>5.2997172296366885E-2</v>
      </c>
      <c r="V108" s="44">
        <f>'Methanol Recycling HC'!U100</f>
        <v>5.7070894616397416E-2</v>
      </c>
      <c r="W108" s="44">
        <f>'Methanol Recycling HC'!V100</f>
        <v>6.1142556908747051E-2</v>
      </c>
      <c r="X108" s="44">
        <f>'Methanol Recycling HC'!W100</f>
        <v>6.5209857596312384E-2</v>
      </c>
      <c r="Y108" s="44">
        <f>'Methanol Recycling HC'!X100</f>
        <v>7.1590781586671245E-2</v>
      </c>
      <c r="Z108" s="44">
        <f>'Methanol Recycling HC'!Y100</f>
        <v>7.7970089026894479E-2</v>
      </c>
      <c r="AA108" s="44">
        <f>'Methanol Recycling HC'!Z100</f>
        <v>8.4344320547264026E-2</v>
      </c>
      <c r="AB108" s="44">
        <f>'Methanol Recycling HC'!AA100</f>
        <v>9.0709971926777502E-2</v>
      </c>
      <c r="AC108" s="44">
        <f>'Methanol Recycling HC'!AB100</f>
        <v>9.7063495823738202E-2</v>
      </c>
      <c r="AD108" s="44">
        <f>'Methanol Recycling HC'!AC100</f>
        <v>0.10340265436107966</v>
      </c>
      <c r="AE108" s="44">
        <f>'Methanol Recycling HC'!AD100</f>
        <v>0.10972400048385215</v>
      </c>
      <c r="AF108" s="44">
        <f>'Methanol Recycling HC'!AE100</f>
        <v>0.11602404859564418</v>
      </c>
      <c r="AG108" s="44">
        <f>'Methanol Recycling HC'!AF100</f>
        <v>0.12229927616135651</v>
      </c>
      <c r="AH108" s="43">
        <f>'Methanol Recycling HC'!AG100</f>
        <v>0.12854612535614407</v>
      </c>
      <c r="AJ108" s="238">
        <f t="shared" ref="AJ108:AJ109" si="692">D108</f>
        <v>0</v>
      </c>
      <c r="AK108" s="238">
        <f t="shared" si="691"/>
        <v>2.4317159982020636E-3</v>
      </c>
      <c r="AL108" s="238">
        <f t="shared" si="691"/>
        <v>4.8445096600306728E-3</v>
      </c>
      <c r="AM108" s="238">
        <f t="shared" si="691"/>
        <v>7.2218749144580055E-3</v>
      </c>
      <c r="AN108" s="238">
        <f t="shared" si="691"/>
        <v>9.5470031673033293E-3</v>
      </c>
      <c r="AO108" s="238">
        <f t="shared" si="691"/>
        <v>1.1802979867696864E-2</v>
      </c>
      <c r="AP108" s="238">
        <f t="shared" si="691"/>
        <v>1.408830332921434E-2</v>
      </c>
      <c r="AQ108" s="238">
        <f t="shared" si="691"/>
        <v>1.6400489559184578E-2</v>
      </c>
      <c r="AR108" s="238">
        <f t="shared" si="691"/>
        <v>1.8736934411134797E-2</v>
      </c>
      <c r="AS108" s="238">
        <f t="shared" si="691"/>
        <v>2.1094917050883018E-2</v>
      </c>
      <c r="AT108" s="238">
        <f t="shared" si="691"/>
        <v>2.3471603868460325E-2</v>
      </c>
      <c r="AU108" s="238">
        <f t="shared" si="691"/>
        <v>2.7907363621896095E-2</v>
      </c>
      <c r="AV108" s="238">
        <f t="shared" si="691"/>
        <v>3.2288521938150447E-2</v>
      </c>
      <c r="AW108" s="238">
        <f t="shared" si="691"/>
        <v>3.6589860907450644E-2</v>
      </c>
      <c r="AX108" s="238">
        <f t="shared" si="691"/>
        <v>4.0786192112033465E-2</v>
      </c>
      <c r="AY108" s="238">
        <f t="shared" si="691"/>
        <v>4.4852598797182092E-2</v>
      </c>
      <c r="AZ108" s="238">
        <f t="shared" si="691"/>
        <v>4.8923660750098394E-2</v>
      </c>
      <c r="BA108" s="238">
        <f t="shared" si="691"/>
        <v>5.2997172296366885E-2</v>
      </c>
      <c r="BB108" s="238">
        <f t="shared" si="691"/>
        <v>5.7070894616397416E-2</v>
      </c>
      <c r="BC108" s="238">
        <f t="shared" si="691"/>
        <v>6.1142556908747051E-2</v>
      </c>
      <c r="BD108" s="238">
        <f t="shared" si="691"/>
        <v>6.5209857596312384E-2</v>
      </c>
      <c r="BE108" s="238">
        <f t="shared" si="691"/>
        <v>7.1590781586671245E-2</v>
      </c>
      <c r="BF108" s="238">
        <f t="shared" si="691"/>
        <v>7.7970089026894479E-2</v>
      </c>
      <c r="BG108" s="238">
        <f t="shared" si="691"/>
        <v>8.4344320547264026E-2</v>
      </c>
      <c r="BH108" s="238">
        <f t="shared" si="691"/>
        <v>9.0709971926777502E-2</v>
      </c>
      <c r="BI108" s="238">
        <f t="shared" si="691"/>
        <v>9.7063495823738202E-2</v>
      </c>
      <c r="BJ108" s="238">
        <f t="shared" si="691"/>
        <v>0.10340265436107966</v>
      </c>
      <c r="BK108" s="238">
        <f t="shared" si="691"/>
        <v>0.10972400048385215</v>
      </c>
      <c r="BL108" s="238">
        <f t="shared" si="691"/>
        <v>0.11602404859564418</v>
      </c>
      <c r="BM108" s="238">
        <f t="shared" si="691"/>
        <v>0.12229927616135651</v>
      </c>
      <c r="BN108" s="238">
        <f t="shared" si="691"/>
        <v>0.12854612535614407</v>
      </c>
    </row>
    <row r="109" spans="1:66">
      <c r="A109" s="181"/>
      <c r="B109" s="181" t="s">
        <v>218</v>
      </c>
      <c r="C109" s="176" t="s">
        <v>153</v>
      </c>
      <c r="D109" s="238">
        <f>'Methanol Recycling HC'!C165</f>
        <v>0</v>
      </c>
      <c r="E109" s="238">
        <f>'Methanol Recycling HC'!D165</f>
        <v>7.8422101183399633E-4</v>
      </c>
      <c r="F109" s="238">
        <f>'Methanol Recycling HC'!E165</f>
        <v>1.5909752657416272E-3</v>
      </c>
      <c r="G109" s="238">
        <f>'Methanol Recycling HC'!F165</f>
        <v>2.4122865717403222E-3</v>
      </c>
      <c r="H109" s="238">
        <f>'Methanol Recycling HC'!G165</f>
        <v>3.2395918549115695E-3</v>
      </c>
      <c r="I109" s="238">
        <f>'Methanol Recycling HC'!H165</f>
        <v>4.0638619802256188E-3</v>
      </c>
      <c r="J109" s="238">
        <f>'Methanol Recycling HC'!I165</f>
        <v>4.8922444958036746E-3</v>
      </c>
      <c r="K109" s="238">
        <f>'Methanol Recycling HC'!J165</f>
        <v>5.7204046821215694E-3</v>
      </c>
      <c r="L109" s="238">
        <f>'Methanol Recycling HC'!K165</f>
        <v>6.5437341263737403E-3</v>
      </c>
      <c r="M109" s="238">
        <f>'Methanol Recycling HC'!L165</f>
        <v>7.3573552722614385E-3</v>
      </c>
      <c r="N109" s="238">
        <f>'Methanol Recycling HC'!M165</f>
        <v>8.1561273146907413E-3</v>
      </c>
      <c r="O109" s="238">
        <f>'Methanol Recycling HC'!N165</f>
        <v>9.7816348148107215E-3</v>
      </c>
      <c r="P109" s="238">
        <f>'Methanol Recycling HC'!O165</f>
        <v>1.1352461453239836E-2</v>
      </c>
      <c r="Q109" s="238">
        <f>'Methanol Recycling HC'!P165</f>
        <v>1.2882039393955422E-2</v>
      </c>
      <c r="R109" s="238">
        <f>'Methanol Recycling HC'!Q165</f>
        <v>1.4327107878039622E-2</v>
      </c>
      <c r="S109" s="238">
        <f>'Methanol Recycling HC'!R165</f>
        <v>1.5669804037912821E-2</v>
      </c>
      <c r="T109" s="238">
        <f>'Methanol Recycling HC'!S165</f>
        <v>1.6928232604125917E-2</v>
      </c>
      <c r="U109" s="238">
        <f>'Methanol Recycling HC'!T165</f>
        <v>1.8091998762850659E-2</v>
      </c>
      <c r="V109" s="238">
        <f>'Methanol Recycling HC'!U165</f>
        <v>1.9150357447367216E-2</v>
      </c>
      <c r="W109" s="238">
        <f>'Methanol Recycling HC'!V165</f>
        <v>2.0092213413609332E-2</v>
      </c>
      <c r="X109" s="238">
        <f>'Methanol Recycling HC'!W165</f>
        <v>2.0906121701989723E-2</v>
      </c>
      <c r="Y109" s="238">
        <f>'Methanol Recycling HC'!X165</f>
        <v>2.2510018176984732E-2</v>
      </c>
      <c r="Z109" s="238">
        <f>'Methanol Recycling HC'!Y165</f>
        <v>2.3900357013563276E-2</v>
      </c>
      <c r="AA109" s="238">
        <f>'Methanol Recycling HC'!Z165</f>
        <v>2.5138952407558993E-2</v>
      </c>
      <c r="AB109" s="238">
        <f>'Methanol Recycling HC'!AA165</f>
        <v>2.6128591293133527E-2</v>
      </c>
      <c r="AC109" s="238">
        <f>'Methanol Recycling HC'!AB165</f>
        <v>2.6845755100695302E-2</v>
      </c>
      <c r="AD109" s="238">
        <f>'Methanol Recycling HC'!AC165</f>
        <v>2.7266382735807042E-2</v>
      </c>
      <c r="AE109" s="238">
        <f>'Methanol Recycling HC'!AD165</f>
        <v>2.736530166172179E-2</v>
      </c>
      <c r="AF109" s="238">
        <f>'Methanol Recycling HC'!AE165</f>
        <v>2.7116485716669348E-2</v>
      </c>
      <c r="AG109" s="238">
        <f>'Methanol Recycling HC'!AF165</f>
        <v>2.6493050022394615E-2</v>
      </c>
      <c r="AH109" s="265">
        <f>'Methanol Recycling HC'!AG165</f>
        <v>2.5467246568850323E-2</v>
      </c>
      <c r="AJ109" s="238">
        <f t="shared" si="692"/>
        <v>0</v>
      </c>
      <c r="AK109" s="238">
        <f t="shared" si="691"/>
        <v>7.8422101183399633E-4</v>
      </c>
      <c r="AL109" s="238">
        <f t="shared" si="691"/>
        <v>1.5909752657416272E-3</v>
      </c>
      <c r="AM109" s="238">
        <f t="shared" si="691"/>
        <v>2.4122865717403222E-3</v>
      </c>
      <c r="AN109" s="238">
        <f t="shared" si="691"/>
        <v>3.2395918549115695E-3</v>
      </c>
      <c r="AO109" s="238">
        <f t="shared" si="691"/>
        <v>4.0638619802256188E-3</v>
      </c>
      <c r="AP109" s="238">
        <f t="shared" si="691"/>
        <v>4.8922444958036746E-3</v>
      </c>
      <c r="AQ109" s="238">
        <f t="shared" si="691"/>
        <v>5.7204046821215694E-3</v>
      </c>
      <c r="AR109" s="238">
        <f t="shared" si="691"/>
        <v>6.5437341263737403E-3</v>
      </c>
      <c r="AS109" s="238">
        <f t="shared" si="691"/>
        <v>7.3573552722614385E-3</v>
      </c>
      <c r="AT109" s="238">
        <f t="shared" si="691"/>
        <v>8.1561273146907413E-3</v>
      </c>
      <c r="AU109" s="238">
        <f t="shared" si="691"/>
        <v>9.7816348148107215E-3</v>
      </c>
      <c r="AV109" s="238">
        <f t="shared" si="691"/>
        <v>1.1352461453239836E-2</v>
      </c>
      <c r="AW109" s="238">
        <f t="shared" si="691"/>
        <v>1.2882039393955422E-2</v>
      </c>
      <c r="AX109" s="238">
        <f t="shared" si="691"/>
        <v>1.4327107878039622E-2</v>
      </c>
      <c r="AY109" s="238">
        <f t="shared" si="691"/>
        <v>1.5669804037912821E-2</v>
      </c>
      <c r="AZ109" s="238">
        <f t="shared" si="691"/>
        <v>1.6928232604125917E-2</v>
      </c>
      <c r="BA109" s="238">
        <f t="shared" si="691"/>
        <v>1.8091998762850659E-2</v>
      </c>
      <c r="BB109" s="238">
        <f t="shared" si="691"/>
        <v>1.9150357447367216E-2</v>
      </c>
      <c r="BC109" s="238">
        <f t="shared" si="691"/>
        <v>2.0092213413609332E-2</v>
      </c>
      <c r="BD109" s="238">
        <f t="shared" si="691"/>
        <v>2.0906121701989723E-2</v>
      </c>
      <c r="BE109" s="238">
        <f t="shared" si="691"/>
        <v>2.2510018176984732E-2</v>
      </c>
      <c r="BF109" s="238">
        <f t="shared" si="691"/>
        <v>2.3900357013563276E-2</v>
      </c>
      <c r="BG109" s="238">
        <f t="shared" si="691"/>
        <v>2.5138952407558993E-2</v>
      </c>
      <c r="BH109" s="238">
        <f t="shared" si="691"/>
        <v>2.6128591293133527E-2</v>
      </c>
      <c r="BI109" s="238">
        <f t="shared" si="691"/>
        <v>2.6845755100695302E-2</v>
      </c>
      <c r="BJ109" s="238">
        <f t="shared" si="691"/>
        <v>2.7266382735807042E-2</v>
      </c>
      <c r="BK109" s="238">
        <f t="shared" si="691"/>
        <v>2.736530166172179E-2</v>
      </c>
      <c r="BL109" s="238">
        <f t="shared" si="691"/>
        <v>2.7116485716669348E-2</v>
      </c>
      <c r="BM109" s="238">
        <f t="shared" si="691"/>
        <v>2.6493050022394615E-2</v>
      </c>
      <c r="BN109" s="238">
        <f t="shared" si="691"/>
        <v>2.5467246568850323E-2</v>
      </c>
    </row>
    <row r="110" spans="1:66">
      <c r="A110" s="178"/>
      <c r="B110" s="239" t="s">
        <v>219</v>
      </c>
      <c r="C110" s="179" t="s">
        <v>153</v>
      </c>
      <c r="D110" s="241">
        <f t="shared" ref="D110:AH110" si="693">D106-D107-D108-D109</f>
        <v>27.787294919531671</v>
      </c>
      <c r="E110" s="241">
        <f t="shared" si="693"/>
        <v>31.361878128305161</v>
      </c>
      <c r="F110" s="241">
        <f t="shared" si="693"/>
        <v>34.860291284513963</v>
      </c>
      <c r="G110" s="241">
        <f t="shared" si="693"/>
        <v>38.340004936383068</v>
      </c>
      <c r="H110" s="241">
        <f t="shared" si="693"/>
        <v>41.800866243392939</v>
      </c>
      <c r="I110" s="241">
        <f t="shared" si="693"/>
        <v>45.242729843337791</v>
      </c>
      <c r="J110" s="241">
        <f t="shared" si="693"/>
        <v>48.664309008120327</v>
      </c>
      <c r="K110" s="241">
        <f t="shared" si="693"/>
        <v>52.065280702279146</v>
      </c>
      <c r="L110" s="241">
        <f t="shared" si="693"/>
        <v>55.445325513058428</v>
      </c>
      <c r="M110" s="241">
        <f t="shared" si="693"/>
        <v>58.804128688816611</v>
      </c>
      <c r="N110" s="241">
        <f t="shared" si="693"/>
        <v>62.141381301954212</v>
      </c>
      <c r="O110" s="241">
        <f t="shared" si="693"/>
        <v>62.750413014391874</v>
      </c>
      <c r="P110" s="241">
        <f t="shared" si="693"/>
        <v>63.337725477620133</v>
      </c>
      <c r="Q110" s="241">
        <f t="shared" si="693"/>
        <v>63.903274812004668</v>
      </c>
      <c r="R110" s="241">
        <f t="shared" si="693"/>
        <v>64.447092484296249</v>
      </c>
      <c r="S110" s="241">
        <f t="shared" si="693"/>
        <v>64.969202820942058</v>
      </c>
      <c r="T110" s="241">
        <f t="shared" si="693"/>
        <v>65.267856817099428</v>
      </c>
      <c r="U110" s="241">
        <f t="shared" si="693"/>
        <v>65.542812651885953</v>
      </c>
      <c r="V110" s="241">
        <f t="shared" si="693"/>
        <v>65.793849150016641</v>
      </c>
      <c r="W110" s="241">
        <f t="shared" si="693"/>
        <v>66.02076900771435</v>
      </c>
      <c r="X110" s="241">
        <f t="shared" si="693"/>
        <v>66.223402396467449</v>
      </c>
      <c r="Y110" s="241">
        <f t="shared" si="693"/>
        <v>65.968722945985931</v>
      </c>
      <c r="Z110" s="241">
        <f t="shared" si="693"/>
        <v>65.688960786896573</v>
      </c>
      <c r="AA110" s="241">
        <f t="shared" si="693"/>
        <v>65.383979427304055</v>
      </c>
      <c r="AB110" s="241">
        <f t="shared" si="693"/>
        <v>65.053847857096471</v>
      </c>
      <c r="AC110" s="241">
        <f t="shared" si="693"/>
        <v>64.698614068568745</v>
      </c>
      <c r="AD110" s="241">
        <f t="shared" si="693"/>
        <v>64.318369489141688</v>
      </c>
      <c r="AE110" s="241">
        <f t="shared" si="693"/>
        <v>63.913287979487968</v>
      </c>
      <c r="AF110" s="241">
        <f t="shared" si="693"/>
        <v>63.483620230861888</v>
      </c>
      <c r="AG110" s="241">
        <f t="shared" si="693"/>
        <v>63.029703408243172</v>
      </c>
      <c r="AH110" s="241">
        <f t="shared" si="693"/>
        <v>62.551971894210013</v>
      </c>
      <c r="AJ110" s="241">
        <f t="shared" ref="AJ110:BN110" si="694">AJ106-AJ107-AJ108-AJ109</f>
        <v>27.787294919531671</v>
      </c>
      <c r="AK110" s="241">
        <f t="shared" si="694"/>
        <v>31.361878128305161</v>
      </c>
      <c r="AL110" s="241">
        <f t="shared" si="694"/>
        <v>34.860291284513963</v>
      </c>
      <c r="AM110" s="241">
        <f t="shared" si="694"/>
        <v>38.340004936383068</v>
      </c>
      <c r="AN110" s="241">
        <f t="shared" si="694"/>
        <v>41.800866243392939</v>
      </c>
      <c r="AO110" s="241">
        <f t="shared" si="694"/>
        <v>45.242729843337791</v>
      </c>
      <c r="AP110" s="241">
        <f t="shared" si="694"/>
        <v>48.664309008120327</v>
      </c>
      <c r="AQ110" s="241">
        <f t="shared" si="694"/>
        <v>52.065280702279146</v>
      </c>
      <c r="AR110" s="241">
        <f t="shared" si="694"/>
        <v>55.445325513058428</v>
      </c>
      <c r="AS110" s="241">
        <f t="shared" si="694"/>
        <v>58.804128688816611</v>
      </c>
      <c r="AT110" s="241">
        <f t="shared" si="694"/>
        <v>62.141381301954212</v>
      </c>
      <c r="AU110" s="241">
        <f t="shared" si="694"/>
        <v>62.750413014391874</v>
      </c>
      <c r="AV110" s="241">
        <f t="shared" si="694"/>
        <v>63.337725477620133</v>
      </c>
      <c r="AW110" s="241">
        <f t="shared" si="694"/>
        <v>63.903274812004668</v>
      </c>
      <c r="AX110" s="241">
        <f t="shared" si="694"/>
        <v>64.447092484296249</v>
      </c>
      <c r="AY110" s="241">
        <f t="shared" si="694"/>
        <v>64.969202820942058</v>
      </c>
      <c r="AZ110" s="241">
        <f t="shared" si="694"/>
        <v>65.267856817099428</v>
      </c>
      <c r="BA110" s="241">
        <f t="shared" si="694"/>
        <v>65.542812651885953</v>
      </c>
      <c r="BB110" s="241">
        <f t="shared" si="694"/>
        <v>65.793849150016641</v>
      </c>
      <c r="BC110" s="241">
        <f t="shared" si="694"/>
        <v>66.02076900771435</v>
      </c>
      <c r="BD110" s="241">
        <f t="shared" si="694"/>
        <v>66.223402396467449</v>
      </c>
      <c r="BE110" s="241">
        <f t="shared" si="694"/>
        <v>65.968722945985931</v>
      </c>
      <c r="BF110" s="241">
        <f t="shared" si="694"/>
        <v>65.688960786896573</v>
      </c>
      <c r="BG110" s="241">
        <f t="shared" si="694"/>
        <v>65.383979427304055</v>
      </c>
      <c r="BH110" s="241">
        <f t="shared" si="694"/>
        <v>65.053847857096471</v>
      </c>
      <c r="BI110" s="241">
        <f t="shared" si="694"/>
        <v>64.698614068568745</v>
      </c>
      <c r="BJ110" s="241">
        <f t="shared" si="694"/>
        <v>64.318369489141688</v>
      </c>
      <c r="BK110" s="241">
        <f t="shared" si="694"/>
        <v>63.913287979487968</v>
      </c>
      <c r="BL110" s="241">
        <f t="shared" si="694"/>
        <v>63.483620230861888</v>
      </c>
      <c r="BM110" s="241">
        <f t="shared" si="694"/>
        <v>63.029703408243172</v>
      </c>
      <c r="BN110" s="241">
        <f t="shared" si="694"/>
        <v>62.551971894210013</v>
      </c>
    </row>
    <row r="111" spans="1:66" s="67" customFormat="1">
      <c r="A111" s="752"/>
      <c r="B111" s="58" t="s">
        <v>246</v>
      </c>
      <c r="C111" s="59" t="s">
        <v>153</v>
      </c>
      <c r="D111" s="60">
        <f>D60+D66-(D60+D66)/SUM(D$60:D$62,D$66:D$68)*(D$106-D$110)</f>
        <v>4.6594362231517366</v>
      </c>
      <c r="E111" s="60">
        <f t="shared" ref="E111:AH113" si="695">E60+E66-(E60+E66)/SUM(E$60:E$62,E$66:E$68)*(E$106-E$110)</f>
        <v>5.1568833465409467</v>
      </c>
      <c r="F111" s="60">
        <f t="shared" si="695"/>
        <v>5.6161755236674313</v>
      </c>
      <c r="G111" s="60">
        <f t="shared" si="695"/>
        <v>6.0689471400190111</v>
      </c>
      <c r="H111" s="60">
        <f t="shared" si="695"/>
        <v>6.5164862439916558</v>
      </c>
      <c r="I111" s="60">
        <f t="shared" si="695"/>
        <v>6.9597782915731106</v>
      </c>
      <c r="J111" s="60">
        <f t="shared" si="695"/>
        <v>7.3994218867153094</v>
      </c>
      <c r="K111" s="60">
        <f t="shared" si="695"/>
        <v>7.8360151180820745</v>
      </c>
      <c r="L111" s="60">
        <f t="shared" si="695"/>
        <v>8.2700454069317608</v>
      </c>
      <c r="M111" s="60">
        <f t="shared" si="695"/>
        <v>8.7019191966261094</v>
      </c>
      <c r="N111" s="60">
        <f t="shared" si="695"/>
        <v>9.1319834683285332</v>
      </c>
      <c r="O111" s="60">
        <f t="shared" si="695"/>
        <v>9.2585802428941886</v>
      </c>
      <c r="P111" s="60">
        <f t="shared" si="695"/>
        <v>9.3846653793232839</v>
      </c>
      <c r="Q111" s="60">
        <f t="shared" si="695"/>
        <v>9.5103341963125967</v>
      </c>
      <c r="R111" s="60">
        <f t="shared" si="695"/>
        <v>9.6357016766441674</v>
      </c>
      <c r="S111" s="60">
        <f t="shared" si="695"/>
        <v>9.760891247443741</v>
      </c>
      <c r="T111" s="60">
        <f t="shared" si="695"/>
        <v>9.863221968102458</v>
      </c>
      <c r="U111" s="60">
        <f t="shared" si="695"/>
        <v>9.9652289350422159</v>
      </c>
      <c r="V111" s="60">
        <f t="shared" si="695"/>
        <v>10.067019135829497</v>
      </c>
      <c r="W111" s="60">
        <f t="shared" si="695"/>
        <v>10.168715437620532</v>
      </c>
      <c r="X111" s="60">
        <f t="shared" si="695"/>
        <v>10.270458520183411</v>
      </c>
      <c r="Y111" s="60">
        <f t="shared" si="695"/>
        <v>10.3214498100025</v>
      </c>
      <c r="Z111" s="60">
        <f t="shared" si="695"/>
        <v>10.372281905858117</v>
      </c>
      <c r="AA111" s="60">
        <f t="shared" si="695"/>
        <v>10.423112347618883</v>
      </c>
      <c r="AB111" s="60">
        <f t="shared" si="695"/>
        <v>10.474148330602324</v>
      </c>
      <c r="AC111" s="60">
        <f t="shared" si="695"/>
        <v>10.525613074173929</v>
      </c>
      <c r="AD111" s="60">
        <f t="shared" si="695"/>
        <v>10.577757992621619</v>
      </c>
      <c r="AE111" s="60">
        <f t="shared" si="695"/>
        <v>10.630871429154645</v>
      </c>
      <c r="AF111" s="60">
        <f t="shared" si="695"/>
        <v>10.685280503529443</v>
      </c>
      <c r="AG111" s="60">
        <f t="shared" si="695"/>
        <v>10.741355707643203</v>
      </c>
      <c r="AH111" s="60">
        <f t="shared" si="695"/>
        <v>10.799516031726807</v>
      </c>
      <c r="AJ111" s="60">
        <f>AJ60+AJ66-(AJ60+AJ66)/SUM(AJ$60:AJ$62,AJ$66:AJ$68)*(AJ$106-AJ$110)</f>
        <v>4.6594362231517366</v>
      </c>
      <c r="AK111" s="60">
        <f t="shared" ref="AK111:BN111" si="696">AK60+AK66-(AK60+AK66)/SUM(AK$60:AK$62,AK$66:AK$68)*(AK$106-AK$110)</f>
        <v>5.1568833465409467</v>
      </c>
      <c r="AL111" s="60">
        <f t="shared" si="696"/>
        <v>5.6161755236674313</v>
      </c>
      <c r="AM111" s="60">
        <f t="shared" si="696"/>
        <v>6.0689471400190111</v>
      </c>
      <c r="AN111" s="60">
        <f t="shared" si="696"/>
        <v>6.5164862439916558</v>
      </c>
      <c r="AO111" s="60">
        <f t="shared" si="696"/>
        <v>6.9597782915731106</v>
      </c>
      <c r="AP111" s="60">
        <f t="shared" si="696"/>
        <v>7.3994218867153094</v>
      </c>
      <c r="AQ111" s="60">
        <f t="shared" si="696"/>
        <v>7.8360151180820745</v>
      </c>
      <c r="AR111" s="60">
        <f t="shared" si="696"/>
        <v>8.2700454069317608</v>
      </c>
      <c r="AS111" s="60">
        <f t="shared" si="696"/>
        <v>8.7019191966261094</v>
      </c>
      <c r="AT111" s="60">
        <f t="shared" si="696"/>
        <v>9.1319834683285332</v>
      </c>
      <c r="AU111" s="60">
        <f t="shared" si="696"/>
        <v>9.2585802428941886</v>
      </c>
      <c r="AV111" s="60">
        <f t="shared" si="696"/>
        <v>9.3846653793232839</v>
      </c>
      <c r="AW111" s="60">
        <f t="shared" si="696"/>
        <v>9.5103341963125967</v>
      </c>
      <c r="AX111" s="60">
        <f t="shared" si="696"/>
        <v>9.6357016766441674</v>
      </c>
      <c r="AY111" s="60">
        <f t="shared" si="696"/>
        <v>9.760891247443741</v>
      </c>
      <c r="AZ111" s="60">
        <f t="shared" si="696"/>
        <v>9.863221968102458</v>
      </c>
      <c r="BA111" s="60">
        <f t="shared" si="696"/>
        <v>9.9652289350422159</v>
      </c>
      <c r="BB111" s="60">
        <f t="shared" si="696"/>
        <v>10.067019135829497</v>
      </c>
      <c r="BC111" s="60">
        <f t="shared" si="696"/>
        <v>10.168715437620532</v>
      </c>
      <c r="BD111" s="60">
        <f t="shared" si="696"/>
        <v>10.270458520183411</v>
      </c>
      <c r="BE111" s="60">
        <f t="shared" si="696"/>
        <v>10.3214498100025</v>
      </c>
      <c r="BF111" s="60">
        <f t="shared" si="696"/>
        <v>10.372281905858117</v>
      </c>
      <c r="BG111" s="60">
        <f t="shared" si="696"/>
        <v>10.423112347618883</v>
      </c>
      <c r="BH111" s="60">
        <f t="shared" si="696"/>
        <v>10.474148330602324</v>
      </c>
      <c r="BI111" s="60">
        <f t="shared" si="696"/>
        <v>10.525613074173929</v>
      </c>
      <c r="BJ111" s="60">
        <f t="shared" si="696"/>
        <v>10.577757992621619</v>
      </c>
      <c r="BK111" s="60">
        <f t="shared" si="696"/>
        <v>10.630871429154645</v>
      </c>
      <c r="BL111" s="60">
        <f t="shared" si="696"/>
        <v>10.685280503529443</v>
      </c>
      <c r="BM111" s="60">
        <f t="shared" si="696"/>
        <v>10.741355707643203</v>
      </c>
      <c r="BN111" s="60">
        <f t="shared" si="696"/>
        <v>10.799516031726807</v>
      </c>
    </row>
    <row r="112" spans="1:66">
      <c r="A112" s="753"/>
      <c r="B112" s="1" t="s">
        <v>247</v>
      </c>
      <c r="C112" s="54" t="s">
        <v>153</v>
      </c>
      <c r="D112" s="44">
        <f t="shared" ref="D112:S113" si="697">D61+D67-(D61+D67)/SUM(D$60:D$62,D$66:D$68)*(D$106-D$110)</f>
        <v>0</v>
      </c>
      <c r="E112" s="44">
        <f t="shared" si="697"/>
        <v>0</v>
      </c>
      <c r="F112" s="44">
        <f t="shared" si="697"/>
        <v>0</v>
      </c>
      <c r="G112" s="44">
        <f t="shared" si="697"/>
        <v>0</v>
      </c>
      <c r="H112" s="44">
        <f t="shared" si="697"/>
        <v>0</v>
      </c>
      <c r="I112" s="44">
        <f t="shared" si="697"/>
        <v>0</v>
      </c>
      <c r="J112" s="44">
        <f t="shared" si="697"/>
        <v>0</v>
      </c>
      <c r="K112" s="44">
        <f t="shared" si="697"/>
        <v>0</v>
      </c>
      <c r="L112" s="44">
        <f t="shared" si="697"/>
        <v>0</v>
      </c>
      <c r="M112" s="44">
        <f t="shared" si="697"/>
        <v>0</v>
      </c>
      <c r="N112" s="44">
        <f t="shared" si="697"/>
        <v>0</v>
      </c>
      <c r="O112" s="44">
        <f t="shared" si="697"/>
        <v>0</v>
      </c>
      <c r="P112" s="44">
        <f t="shared" si="697"/>
        <v>0</v>
      </c>
      <c r="Q112" s="44">
        <f t="shared" si="697"/>
        <v>0</v>
      </c>
      <c r="R112" s="44">
        <f t="shared" si="697"/>
        <v>0</v>
      </c>
      <c r="S112" s="44">
        <f t="shared" si="697"/>
        <v>0</v>
      </c>
      <c r="T112" s="44">
        <f t="shared" si="695"/>
        <v>0</v>
      </c>
      <c r="U112" s="44">
        <f t="shared" si="695"/>
        <v>0</v>
      </c>
      <c r="V112" s="44">
        <f t="shared" si="695"/>
        <v>0</v>
      </c>
      <c r="W112" s="44">
        <f t="shared" si="695"/>
        <v>0</v>
      </c>
      <c r="X112" s="44">
        <f t="shared" si="695"/>
        <v>0</v>
      </c>
      <c r="Y112" s="44">
        <f t="shared" si="695"/>
        <v>0</v>
      </c>
      <c r="Z112" s="44">
        <f t="shared" si="695"/>
        <v>0</v>
      </c>
      <c r="AA112" s="44">
        <f t="shared" si="695"/>
        <v>0</v>
      </c>
      <c r="AB112" s="44">
        <f t="shared" si="695"/>
        <v>0</v>
      </c>
      <c r="AC112" s="44">
        <f t="shared" si="695"/>
        <v>0</v>
      </c>
      <c r="AD112" s="44">
        <f t="shared" si="695"/>
        <v>0</v>
      </c>
      <c r="AE112" s="44">
        <f t="shared" si="695"/>
        <v>0</v>
      </c>
      <c r="AF112" s="44">
        <f t="shared" si="695"/>
        <v>0</v>
      </c>
      <c r="AG112" s="44">
        <f t="shared" si="695"/>
        <v>0</v>
      </c>
      <c r="AH112" s="44">
        <f t="shared" si="695"/>
        <v>0</v>
      </c>
      <c r="AJ112" s="44">
        <f t="shared" ref="AJ112:BN112" si="698">AJ61+AJ67-(AJ61+AJ67)/SUM(AJ$60:AJ$62,AJ$66:AJ$68)*(AJ$106-AJ$110)</f>
        <v>0</v>
      </c>
      <c r="AK112" s="44">
        <f t="shared" si="698"/>
        <v>0</v>
      </c>
      <c r="AL112" s="44">
        <f t="shared" si="698"/>
        <v>0</v>
      </c>
      <c r="AM112" s="44">
        <f t="shared" si="698"/>
        <v>0</v>
      </c>
      <c r="AN112" s="44">
        <f t="shared" si="698"/>
        <v>0</v>
      </c>
      <c r="AO112" s="44">
        <f t="shared" si="698"/>
        <v>0</v>
      </c>
      <c r="AP112" s="44">
        <f t="shared" si="698"/>
        <v>0</v>
      </c>
      <c r="AQ112" s="44">
        <f t="shared" si="698"/>
        <v>0</v>
      </c>
      <c r="AR112" s="44">
        <f t="shared" si="698"/>
        <v>0</v>
      </c>
      <c r="AS112" s="44">
        <f t="shared" si="698"/>
        <v>0</v>
      </c>
      <c r="AT112" s="44">
        <f t="shared" si="698"/>
        <v>0</v>
      </c>
      <c r="AU112" s="44">
        <f t="shared" si="698"/>
        <v>0</v>
      </c>
      <c r="AV112" s="44">
        <f t="shared" si="698"/>
        <v>0</v>
      </c>
      <c r="AW112" s="44">
        <f t="shared" si="698"/>
        <v>0</v>
      </c>
      <c r="AX112" s="44">
        <f t="shared" si="698"/>
        <v>0</v>
      </c>
      <c r="AY112" s="44">
        <f t="shared" si="698"/>
        <v>0</v>
      </c>
      <c r="AZ112" s="44">
        <f t="shared" si="698"/>
        <v>0</v>
      </c>
      <c r="BA112" s="44">
        <f t="shared" si="698"/>
        <v>0</v>
      </c>
      <c r="BB112" s="44">
        <f t="shared" si="698"/>
        <v>0</v>
      </c>
      <c r="BC112" s="44">
        <f t="shared" si="698"/>
        <v>0</v>
      </c>
      <c r="BD112" s="44">
        <f t="shared" si="698"/>
        <v>0</v>
      </c>
      <c r="BE112" s="44">
        <f t="shared" si="698"/>
        <v>0</v>
      </c>
      <c r="BF112" s="44">
        <f t="shared" si="698"/>
        <v>0</v>
      </c>
      <c r="BG112" s="44">
        <f t="shared" si="698"/>
        <v>0</v>
      </c>
      <c r="BH112" s="44">
        <f t="shared" si="698"/>
        <v>0</v>
      </c>
      <c r="BI112" s="44">
        <f t="shared" si="698"/>
        <v>0</v>
      </c>
      <c r="BJ112" s="44">
        <f t="shared" si="698"/>
        <v>0</v>
      </c>
      <c r="BK112" s="44">
        <f t="shared" si="698"/>
        <v>0</v>
      </c>
      <c r="BL112" s="44">
        <f t="shared" si="698"/>
        <v>0</v>
      </c>
      <c r="BM112" s="44">
        <f t="shared" si="698"/>
        <v>0</v>
      </c>
      <c r="BN112" s="44">
        <f t="shared" si="698"/>
        <v>0</v>
      </c>
    </row>
    <row r="113" spans="1:67" s="68" customFormat="1">
      <c r="A113" s="754"/>
      <c r="B113" s="62" t="s">
        <v>248</v>
      </c>
      <c r="C113" s="283" t="s">
        <v>153</v>
      </c>
      <c r="D113" s="284">
        <f t="shared" si="697"/>
        <v>23.127858696379935</v>
      </c>
      <c r="E113" s="284">
        <f t="shared" si="695"/>
        <v>26.204994781764213</v>
      </c>
      <c r="F113" s="284">
        <f t="shared" si="695"/>
        <v>29.244115760846533</v>
      </c>
      <c r="G113" s="284">
        <f t="shared" si="695"/>
        <v>32.271057796364055</v>
      </c>
      <c r="H113" s="284">
        <f t="shared" si="695"/>
        <v>35.284379999401281</v>
      </c>
      <c r="I113" s="284">
        <f t="shared" si="695"/>
        <v>38.282951551764675</v>
      </c>
      <c r="J113" s="284">
        <f t="shared" si="695"/>
        <v>41.264887121405025</v>
      </c>
      <c r="K113" s="284">
        <f t="shared" si="695"/>
        <v>44.229265584197073</v>
      </c>
      <c r="L113" s="284">
        <f t="shared" si="695"/>
        <v>47.175280106126678</v>
      </c>
      <c r="M113" s="284">
        <f t="shared" si="695"/>
        <v>50.102209492190497</v>
      </c>
      <c r="N113" s="284">
        <f t="shared" si="695"/>
        <v>53.009397833625684</v>
      </c>
      <c r="O113" s="284">
        <f t="shared" si="695"/>
        <v>53.491832771497684</v>
      </c>
      <c r="P113" s="284">
        <f t="shared" si="695"/>
        <v>53.953060098296845</v>
      </c>
      <c r="Q113" s="284">
        <f t="shared" si="695"/>
        <v>54.392940615692076</v>
      </c>
      <c r="R113" s="284">
        <f t="shared" si="695"/>
        <v>54.811390807652074</v>
      </c>
      <c r="S113" s="284">
        <f t="shared" si="695"/>
        <v>55.208311573498314</v>
      </c>
      <c r="T113" s="284">
        <f t="shared" si="695"/>
        <v>55.40463484899697</v>
      </c>
      <c r="U113" s="284">
        <f t="shared" si="695"/>
        <v>55.577583716843748</v>
      </c>
      <c r="V113" s="284">
        <f t="shared" si="695"/>
        <v>55.726830014187144</v>
      </c>
      <c r="W113" s="284">
        <f t="shared" si="695"/>
        <v>55.852053570093815</v>
      </c>
      <c r="X113" s="284">
        <f t="shared" si="695"/>
        <v>55.952943876284039</v>
      </c>
      <c r="Y113" s="284">
        <f t="shared" si="695"/>
        <v>55.647273135983433</v>
      </c>
      <c r="Z113" s="284">
        <f t="shared" si="695"/>
        <v>55.316678881038456</v>
      </c>
      <c r="AA113" s="284">
        <f t="shared" si="695"/>
        <v>54.960867079685173</v>
      </c>
      <c r="AB113" s="284">
        <f t="shared" si="695"/>
        <v>54.579699526494139</v>
      </c>
      <c r="AC113" s="284">
        <f t="shared" si="695"/>
        <v>54.173000994394819</v>
      </c>
      <c r="AD113" s="284">
        <f t="shared" si="695"/>
        <v>53.740611496520067</v>
      </c>
      <c r="AE113" s="284">
        <f t="shared" si="695"/>
        <v>53.28241655033333</v>
      </c>
      <c r="AF113" s="284">
        <f t="shared" si="695"/>
        <v>52.798339727332447</v>
      </c>
      <c r="AG113" s="284">
        <f t="shared" si="695"/>
        <v>52.288347700599971</v>
      </c>
      <c r="AH113" s="284">
        <f t="shared" si="695"/>
        <v>51.75245586248321</v>
      </c>
      <c r="AJ113" s="284">
        <f t="shared" ref="AJ113:BN113" si="699">AJ62+AJ68-(AJ62+AJ68)/SUM(AJ$60:AJ$62,AJ$66:AJ$68)*(AJ$106-AJ$110)</f>
        <v>23.127858696379935</v>
      </c>
      <c r="AK113" s="284">
        <f t="shared" si="699"/>
        <v>26.204994781764213</v>
      </c>
      <c r="AL113" s="284">
        <f t="shared" si="699"/>
        <v>29.244115760846533</v>
      </c>
      <c r="AM113" s="284">
        <f t="shared" si="699"/>
        <v>32.271057796364055</v>
      </c>
      <c r="AN113" s="284">
        <f t="shared" si="699"/>
        <v>35.284379999401281</v>
      </c>
      <c r="AO113" s="284">
        <f t="shared" si="699"/>
        <v>38.282951551764675</v>
      </c>
      <c r="AP113" s="284">
        <f t="shared" si="699"/>
        <v>41.264887121405025</v>
      </c>
      <c r="AQ113" s="284">
        <f t="shared" si="699"/>
        <v>44.229265584197073</v>
      </c>
      <c r="AR113" s="284">
        <f t="shared" si="699"/>
        <v>47.175280106126678</v>
      </c>
      <c r="AS113" s="284">
        <f t="shared" si="699"/>
        <v>50.102209492190497</v>
      </c>
      <c r="AT113" s="284">
        <f t="shared" si="699"/>
        <v>53.009397833625684</v>
      </c>
      <c r="AU113" s="284">
        <f t="shared" si="699"/>
        <v>53.491832771497684</v>
      </c>
      <c r="AV113" s="284">
        <f t="shared" si="699"/>
        <v>53.953060098296845</v>
      </c>
      <c r="AW113" s="284">
        <f t="shared" si="699"/>
        <v>54.392940615692076</v>
      </c>
      <c r="AX113" s="284">
        <f t="shared" si="699"/>
        <v>54.811390807652074</v>
      </c>
      <c r="AY113" s="284">
        <f t="shared" si="699"/>
        <v>55.208311573498314</v>
      </c>
      <c r="AZ113" s="284">
        <f t="shared" si="699"/>
        <v>55.40463484899697</v>
      </c>
      <c r="BA113" s="284">
        <f t="shared" si="699"/>
        <v>55.577583716843748</v>
      </c>
      <c r="BB113" s="284">
        <f t="shared" si="699"/>
        <v>55.726830014187144</v>
      </c>
      <c r="BC113" s="284">
        <f t="shared" si="699"/>
        <v>55.852053570093815</v>
      </c>
      <c r="BD113" s="284">
        <f t="shared" si="699"/>
        <v>55.952943876284039</v>
      </c>
      <c r="BE113" s="284">
        <f t="shared" si="699"/>
        <v>55.647273135983433</v>
      </c>
      <c r="BF113" s="284">
        <f t="shared" si="699"/>
        <v>55.316678881038456</v>
      </c>
      <c r="BG113" s="284">
        <f t="shared" si="699"/>
        <v>54.960867079685173</v>
      </c>
      <c r="BH113" s="284">
        <f t="shared" si="699"/>
        <v>54.579699526494139</v>
      </c>
      <c r="BI113" s="284">
        <f t="shared" si="699"/>
        <v>54.173000994394819</v>
      </c>
      <c r="BJ113" s="284">
        <f t="shared" si="699"/>
        <v>53.740611496520067</v>
      </c>
      <c r="BK113" s="284">
        <f t="shared" si="699"/>
        <v>53.28241655033333</v>
      </c>
      <c r="BL113" s="284">
        <f t="shared" si="699"/>
        <v>52.798339727332447</v>
      </c>
      <c r="BM113" s="284">
        <f t="shared" si="699"/>
        <v>52.288347700599971</v>
      </c>
      <c r="BN113" s="284">
        <f t="shared" si="699"/>
        <v>51.75245586248321</v>
      </c>
    </row>
    <row r="114" spans="1:67">
      <c r="A114" s="58" t="s">
        <v>67</v>
      </c>
      <c r="B114" s="58" t="s">
        <v>227</v>
      </c>
      <c r="C114" s="100" t="s">
        <v>153</v>
      </c>
      <c r="D114" s="101">
        <f t="shared" ref="D114:AG114" si="700">D79+D99+D100+D108+D109+IF(D92&lt;0,0,D92)+D101</f>
        <v>0</v>
      </c>
      <c r="E114" s="101">
        <f t="shared" si="700"/>
        <v>1.206076630512725E-2</v>
      </c>
      <c r="F114" s="101">
        <f t="shared" si="700"/>
        <v>3.3886892905468202E-2</v>
      </c>
      <c r="G114" s="101">
        <f t="shared" si="700"/>
        <v>5.6019455436739349E-2</v>
      </c>
      <c r="H114" s="101">
        <f t="shared" si="700"/>
        <v>7.8338630756505698E-2</v>
      </c>
      <c r="I114" s="101">
        <f t="shared" si="700"/>
        <v>0.10071711091797045</v>
      </c>
      <c r="J114" s="101">
        <f t="shared" si="700"/>
        <v>0.1239008765888385</v>
      </c>
      <c r="K114" s="101">
        <f t="shared" si="700"/>
        <v>0.1478991907594101</v>
      </c>
      <c r="L114" s="101">
        <f t="shared" si="700"/>
        <v>0.17272041546161232</v>
      </c>
      <c r="M114" s="101">
        <f t="shared" si="700"/>
        <v>0.19837195316053477</v>
      </c>
      <c r="N114" s="101">
        <f t="shared" si="700"/>
        <v>0.22486018795967191</v>
      </c>
      <c r="O114" s="101">
        <f t="shared" si="700"/>
        <v>0.27027722492571582</v>
      </c>
      <c r="P114" s="101">
        <f t="shared" si="700"/>
        <v>0.31635697066248586</v>
      </c>
      <c r="Q114" s="101">
        <f t="shared" si="700"/>
        <v>0.36298137217815596</v>
      </c>
      <c r="R114" s="101">
        <f t="shared" si="700"/>
        <v>0.40986377003815311</v>
      </c>
      <c r="S114" s="101">
        <f t="shared" si="700"/>
        <v>0.45677781568964931</v>
      </c>
      <c r="T114" s="101">
        <f t="shared" si="700"/>
        <v>0.50490947614182236</v>
      </c>
      <c r="U114" s="101">
        <f t="shared" si="700"/>
        <v>0.55428028160880505</v>
      </c>
      <c r="V114" s="101">
        <f t="shared" si="700"/>
        <v>0.60491168984372479</v>
      </c>
      <c r="W114" s="101">
        <f t="shared" si="700"/>
        <v>0.65682506479457625</v>
      </c>
      <c r="X114" s="101">
        <f t="shared" si="700"/>
        <v>0.71004165478729586</v>
      </c>
      <c r="Y114" s="101">
        <f t="shared" si="700"/>
        <v>0.78916609960357276</v>
      </c>
      <c r="Z114" s="101">
        <f t="shared" si="700"/>
        <v>0.8703812293142833</v>
      </c>
      <c r="AA114" s="101">
        <f t="shared" si="700"/>
        <v>0.95395160755847341</v>
      </c>
      <c r="AB114" s="101">
        <f t="shared" si="700"/>
        <v>1.0397016011104576</v>
      </c>
      <c r="AC114" s="101">
        <f t="shared" si="700"/>
        <v>1.1276617922373364</v>
      </c>
      <c r="AD114" s="101">
        <f t="shared" si="700"/>
        <v>1.2178761419560087</v>
      </c>
      <c r="AE114" s="101">
        <f t="shared" si="700"/>
        <v>1.3103761690476652</v>
      </c>
      <c r="AF114" s="101">
        <f t="shared" si="700"/>
        <v>1.4051925948000457</v>
      </c>
      <c r="AG114" s="101">
        <f t="shared" si="700"/>
        <v>1.5023552924353032</v>
      </c>
      <c r="AH114" s="101">
        <f>AH79+AH99+AH100+AH108+AH109+IF(AH92&lt;0,0,AH92)+AH101</f>
        <v>1.6018932362183014</v>
      </c>
      <c r="AI114" s="44"/>
      <c r="AJ114" s="101">
        <f t="shared" ref="AJ114:BM114" si="701">AJ79+AJ99+AJ100+AJ108+AJ109+IF(AJ92&lt;0,0,AJ92)+AJ101</f>
        <v>0</v>
      </c>
      <c r="AK114" s="101">
        <f t="shared" si="701"/>
        <v>1.206076630512725E-2</v>
      </c>
      <c r="AL114" s="101">
        <f t="shared" si="701"/>
        <v>3.3886892905468202E-2</v>
      </c>
      <c r="AM114" s="101">
        <f t="shared" si="701"/>
        <v>5.6019455436739349E-2</v>
      </c>
      <c r="AN114" s="101">
        <f t="shared" si="701"/>
        <v>7.8338630756505698E-2</v>
      </c>
      <c r="AO114" s="101">
        <f t="shared" si="701"/>
        <v>0.10071711091797045</v>
      </c>
      <c r="AP114" s="101">
        <f t="shared" si="701"/>
        <v>0.1239008765888385</v>
      </c>
      <c r="AQ114" s="101">
        <f t="shared" si="701"/>
        <v>0.1478991907594101</v>
      </c>
      <c r="AR114" s="101">
        <f t="shared" si="701"/>
        <v>0.17272041546161232</v>
      </c>
      <c r="AS114" s="101">
        <f t="shared" si="701"/>
        <v>0.19837195316053477</v>
      </c>
      <c r="AT114" s="101">
        <f t="shared" si="701"/>
        <v>0.22486018795967191</v>
      </c>
      <c r="AU114" s="101">
        <f t="shared" si="701"/>
        <v>0.27027722492571582</v>
      </c>
      <c r="AV114" s="101">
        <f t="shared" si="701"/>
        <v>0.31635697066248586</v>
      </c>
      <c r="AW114" s="101">
        <f t="shared" si="701"/>
        <v>0.36298137217815596</v>
      </c>
      <c r="AX114" s="101">
        <f t="shared" si="701"/>
        <v>0.40986377003815311</v>
      </c>
      <c r="AY114" s="101">
        <f t="shared" si="701"/>
        <v>0.45677781568964931</v>
      </c>
      <c r="AZ114" s="101">
        <f t="shared" si="701"/>
        <v>0.50490947614182236</v>
      </c>
      <c r="BA114" s="101">
        <f t="shared" si="701"/>
        <v>0.55428028160880505</v>
      </c>
      <c r="BB114" s="101">
        <f t="shared" si="701"/>
        <v>0.60491168984372479</v>
      </c>
      <c r="BC114" s="101">
        <f t="shared" si="701"/>
        <v>0.65682506479457625</v>
      </c>
      <c r="BD114" s="101">
        <f t="shared" si="701"/>
        <v>0.71004165478729586</v>
      </c>
      <c r="BE114" s="101">
        <f t="shared" si="701"/>
        <v>0.78916609960357276</v>
      </c>
      <c r="BF114" s="101">
        <f t="shared" si="701"/>
        <v>0.8703812293142833</v>
      </c>
      <c r="BG114" s="101">
        <f t="shared" si="701"/>
        <v>0.95395160755847341</v>
      </c>
      <c r="BH114" s="101">
        <f t="shared" si="701"/>
        <v>1.0397016011104576</v>
      </c>
      <c r="BI114" s="101">
        <f t="shared" si="701"/>
        <v>1.1276617922373364</v>
      </c>
      <c r="BJ114" s="101">
        <f t="shared" si="701"/>
        <v>1.2178761419560087</v>
      </c>
      <c r="BK114" s="101">
        <f t="shared" si="701"/>
        <v>1.3103761690476652</v>
      </c>
      <c r="BL114" s="101">
        <f t="shared" si="701"/>
        <v>1.4051925948000457</v>
      </c>
      <c r="BM114" s="101">
        <f t="shared" si="701"/>
        <v>1.5023552924353032</v>
      </c>
      <c r="BN114" s="101">
        <f>BN79+BN99+BN100+BN108+BN109+IF(BN92&lt;0,0,BN92)+BN101</f>
        <v>1.6018932362183014</v>
      </c>
    </row>
    <row r="115" spans="1:67">
      <c r="A115" s="68"/>
      <c r="B115" s="62" t="s">
        <v>228</v>
      </c>
      <c r="C115" s="63" t="s">
        <v>153</v>
      </c>
      <c r="D115" s="64">
        <f t="shared" ref="D115:AG115" si="702">D78+D85+D98+D107+IF(D93=0,0,D91)</f>
        <v>0</v>
      </c>
      <c r="E115" s="64">
        <f t="shared" si="702"/>
        <v>3.4333322423022332E-2</v>
      </c>
      <c r="F115" s="64">
        <f t="shared" si="702"/>
        <v>7.9300721743275057E-2</v>
      </c>
      <c r="G115" s="64">
        <f t="shared" si="702"/>
        <v>0.12534649376362811</v>
      </c>
      <c r="H115" s="64">
        <f t="shared" si="702"/>
        <v>0.17224158807292045</v>
      </c>
      <c r="I115" s="64">
        <f t="shared" si="702"/>
        <v>0.20659993602951657</v>
      </c>
      <c r="J115" s="64">
        <f t="shared" si="702"/>
        <v>0.24993606972713867</v>
      </c>
      <c r="K115" s="64">
        <f t="shared" si="702"/>
        <v>0.29462030807840789</v>
      </c>
      <c r="L115" s="64">
        <f t="shared" si="702"/>
        <v>0.34065176577215328</v>
      </c>
      <c r="M115" s="64">
        <f t="shared" si="702"/>
        <v>0.38802745443652287</v>
      </c>
      <c r="N115" s="64">
        <f t="shared" si="702"/>
        <v>0.43674221659810142</v>
      </c>
      <c r="O115" s="64">
        <f t="shared" si="702"/>
        <v>0.51910532489241235</v>
      </c>
      <c r="P115" s="64">
        <f t="shared" si="702"/>
        <v>0.60248603846571602</v>
      </c>
      <c r="Q115" s="64">
        <f t="shared" si="702"/>
        <v>0.68655149402307114</v>
      </c>
      <c r="R115" s="64">
        <f t="shared" si="702"/>
        <v>0.77086233594920162</v>
      </c>
      <c r="S115" s="64">
        <f t="shared" si="702"/>
        <v>0.85500154351538982</v>
      </c>
      <c r="T115" s="64">
        <f t="shared" si="702"/>
        <v>0.94106007172186734</v>
      </c>
      <c r="U115" s="64">
        <f t="shared" si="702"/>
        <v>1.029068705389605</v>
      </c>
      <c r="V115" s="64">
        <f t="shared" si="702"/>
        <v>1.1190585109267266</v>
      </c>
      <c r="W115" s="64">
        <f t="shared" si="702"/>
        <v>1.2110608244507088</v>
      </c>
      <c r="X115" s="64">
        <f t="shared" si="702"/>
        <v>1.3051072391121372</v>
      </c>
      <c r="Y115" s="64">
        <f t="shared" si="702"/>
        <v>1.4547302068519858</v>
      </c>
      <c r="Z115" s="64">
        <f t="shared" si="702"/>
        <v>1.6078131492476799</v>
      </c>
      <c r="AA115" s="64">
        <f t="shared" si="702"/>
        <v>1.7648040102830487</v>
      </c>
      <c r="AB115" s="64">
        <f t="shared" si="702"/>
        <v>1.9254841933339377</v>
      </c>
      <c r="AC115" s="64">
        <f t="shared" si="702"/>
        <v>2.0899270318949483</v>
      </c>
      <c r="AD115" s="64">
        <f t="shared" si="702"/>
        <v>2.2582328969751777</v>
      </c>
      <c r="AE115" s="64">
        <f t="shared" si="702"/>
        <v>2.4304827219127558</v>
      </c>
      <c r="AF115" s="64">
        <f t="shared" si="702"/>
        <v>2.6067590030386691</v>
      </c>
      <c r="AG115" s="64">
        <f t="shared" si="702"/>
        <v>2.7871457968479114</v>
      </c>
      <c r="AH115" s="64">
        <f>AH78+AH85+AH98+AH107+IF(AH93=0,0,AH91)</f>
        <v>2.9717287154237013</v>
      </c>
      <c r="AI115" s="44">
        <f>AH115+AH114</f>
        <v>4.5736219516420027</v>
      </c>
      <c r="AJ115" s="64">
        <f t="shared" ref="AJ115:BM115" si="703">AJ78+AJ85+AJ98+AJ107+IF(AJ93=0,0,AJ91)</f>
        <v>0</v>
      </c>
      <c r="AK115" s="64">
        <f t="shared" si="703"/>
        <v>3.4333322423022332E-2</v>
      </c>
      <c r="AL115" s="64">
        <f t="shared" si="703"/>
        <v>7.9300721743275057E-2</v>
      </c>
      <c r="AM115" s="64">
        <f t="shared" si="703"/>
        <v>0.12534649376362811</v>
      </c>
      <c r="AN115" s="64">
        <f t="shared" si="703"/>
        <v>0.17224158807292045</v>
      </c>
      <c r="AO115" s="64">
        <f t="shared" si="703"/>
        <v>0.20659993602951657</v>
      </c>
      <c r="AP115" s="64">
        <f t="shared" si="703"/>
        <v>0.24993606972713867</v>
      </c>
      <c r="AQ115" s="64">
        <f t="shared" si="703"/>
        <v>0.29462030807840789</v>
      </c>
      <c r="AR115" s="64">
        <f t="shared" si="703"/>
        <v>0.34065176577215328</v>
      </c>
      <c r="AS115" s="64">
        <f t="shared" si="703"/>
        <v>0.38802745443652287</v>
      </c>
      <c r="AT115" s="64">
        <f t="shared" si="703"/>
        <v>0.43674221659810142</v>
      </c>
      <c r="AU115" s="64">
        <f t="shared" si="703"/>
        <v>0.51910532489241235</v>
      </c>
      <c r="AV115" s="64">
        <f t="shared" si="703"/>
        <v>0.60248603846571602</v>
      </c>
      <c r="AW115" s="64">
        <f t="shared" si="703"/>
        <v>0.68655149402307114</v>
      </c>
      <c r="AX115" s="64">
        <f t="shared" si="703"/>
        <v>0.77086233594920162</v>
      </c>
      <c r="AY115" s="64">
        <f t="shared" si="703"/>
        <v>0.85500154351538982</v>
      </c>
      <c r="AZ115" s="64">
        <f t="shared" si="703"/>
        <v>0.94106007172186734</v>
      </c>
      <c r="BA115" s="64">
        <f t="shared" si="703"/>
        <v>1.029068705389605</v>
      </c>
      <c r="BB115" s="64">
        <f t="shared" si="703"/>
        <v>1.1190585109267266</v>
      </c>
      <c r="BC115" s="64">
        <f t="shared" si="703"/>
        <v>1.2110608244507088</v>
      </c>
      <c r="BD115" s="64">
        <f t="shared" si="703"/>
        <v>1.3051072391121372</v>
      </c>
      <c r="BE115" s="64">
        <f t="shared" si="703"/>
        <v>1.4547302068519858</v>
      </c>
      <c r="BF115" s="64">
        <f t="shared" si="703"/>
        <v>1.6078131492476799</v>
      </c>
      <c r="BG115" s="64">
        <f t="shared" si="703"/>
        <v>1.7648040102830487</v>
      </c>
      <c r="BH115" s="64">
        <f t="shared" si="703"/>
        <v>1.9254841933339377</v>
      </c>
      <c r="BI115" s="64">
        <f t="shared" si="703"/>
        <v>2.0899270318949483</v>
      </c>
      <c r="BJ115" s="64">
        <f t="shared" si="703"/>
        <v>2.2582328969751777</v>
      </c>
      <c r="BK115" s="64">
        <f t="shared" si="703"/>
        <v>2.4304827219127558</v>
      </c>
      <c r="BL115" s="64">
        <f t="shared" si="703"/>
        <v>2.6067590030386691</v>
      </c>
      <c r="BM115" s="64">
        <f t="shared" si="703"/>
        <v>2.7871457968479114</v>
      </c>
      <c r="BN115" s="64">
        <f>BN78+BN85+BN98+BN107+IF(BN93=0,0,BN91)</f>
        <v>2.9717287154237013</v>
      </c>
    </row>
    <row r="116" spans="1:67">
      <c r="A116" s="102" t="s">
        <v>252</v>
      </c>
      <c r="B116" s="102"/>
      <c r="C116" s="103" t="s">
        <v>153</v>
      </c>
      <c r="D116" s="105">
        <f t="shared" ref="D116:AG116" si="704">D72-D114-D115</f>
        <v>70.960266702016895</v>
      </c>
      <c r="E116" s="105">
        <f t="shared" si="704"/>
        <v>74.847252650032928</v>
      </c>
      <c r="F116" s="105">
        <f t="shared" si="704"/>
        <v>78.630965859738112</v>
      </c>
      <c r="G116" s="105">
        <f t="shared" si="704"/>
        <v>82.387225199651098</v>
      </c>
      <c r="H116" s="105">
        <f t="shared" si="704"/>
        <v>86.115531546613937</v>
      </c>
      <c r="I116" s="105">
        <f t="shared" si="704"/>
        <v>89.8285302031302</v>
      </c>
      <c r="J116" s="105">
        <f t="shared" si="704"/>
        <v>93.503072591164141</v>
      </c>
      <c r="K116" s="105">
        <f t="shared" si="704"/>
        <v>97.145871234490016</v>
      </c>
      <c r="L116" s="105">
        <f t="shared" si="704"/>
        <v>100.75599118132546</v>
      </c>
      <c r="M116" s="105">
        <f t="shared" si="704"/>
        <v>104.33248130765105</v>
      </c>
      <c r="N116" s="105">
        <f t="shared" si="704"/>
        <v>107.87437489819432</v>
      </c>
      <c r="O116" s="105">
        <f t="shared" si="704"/>
        <v>107.59229882980897</v>
      </c>
      <c r="P116" s="105">
        <f t="shared" si="704"/>
        <v>107.22531885891094</v>
      </c>
      <c r="Q116" s="105">
        <f t="shared" si="704"/>
        <v>106.77117565150307</v>
      </c>
      <c r="R116" s="105">
        <f t="shared" si="704"/>
        <v>106.22781733971414</v>
      </c>
      <c r="S116" s="105">
        <f t="shared" si="704"/>
        <v>105.59304153135109</v>
      </c>
      <c r="T116" s="105">
        <f t="shared" si="704"/>
        <v>104.6606576007448</v>
      </c>
      <c r="U116" s="105">
        <f t="shared" si="704"/>
        <v>103.62763173174019</v>
      </c>
      <c r="V116" s="105">
        <f t="shared" si="704"/>
        <v>102.49086248382642</v>
      </c>
      <c r="W116" s="105">
        <f t="shared" si="704"/>
        <v>101.24718147767331</v>
      </c>
      <c r="X116" s="105">
        <f t="shared" si="704"/>
        <v>99.893354388427881</v>
      </c>
      <c r="Y116" s="105">
        <f t="shared" si="704"/>
        <v>98.83154260013356</v>
      </c>
      <c r="Z116" s="105">
        <f t="shared" si="704"/>
        <v>97.691725503710501</v>
      </c>
      <c r="AA116" s="105">
        <f t="shared" si="704"/>
        <v>96.471238687743735</v>
      </c>
      <c r="AB116" s="105">
        <f t="shared" si="704"/>
        <v>95.168510081104358</v>
      </c>
      <c r="AC116" s="105">
        <f t="shared" si="704"/>
        <v>93.781459531843353</v>
      </c>
      <c r="AD116" s="105">
        <f t="shared" si="704"/>
        <v>92.307961666916512</v>
      </c>
      <c r="AE116" s="105">
        <f t="shared" si="704"/>
        <v>90.745924066794984</v>
      </c>
      <c r="AF116" s="105">
        <f t="shared" si="704"/>
        <v>89.093261335378401</v>
      </c>
      <c r="AG116" s="105">
        <f t="shared" si="704"/>
        <v>87.347902804621725</v>
      </c>
      <c r="AH116" s="105">
        <f>AH72-AH114-AH115</f>
        <v>85.507801287550024</v>
      </c>
      <c r="AI116" s="44">
        <f>AH72-AH116</f>
        <v>4.5736219516419965</v>
      </c>
      <c r="AJ116" s="105">
        <f t="shared" ref="AJ116:BN116" si="705">AJ72-AJ114-AJ115</f>
        <v>70.960266702016895</v>
      </c>
      <c r="AK116" s="105">
        <f t="shared" si="705"/>
        <v>74.847252650032928</v>
      </c>
      <c r="AL116" s="105">
        <f t="shared" si="705"/>
        <v>78.630965859738112</v>
      </c>
      <c r="AM116" s="105">
        <f t="shared" si="705"/>
        <v>82.387225199651098</v>
      </c>
      <c r="AN116" s="105">
        <f t="shared" si="705"/>
        <v>86.115531546613937</v>
      </c>
      <c r="AO116" s="105">
        <f t="shared" si="705"/>
        <v>89.8285302031302</v>
      </c>
      <c r="AP116" s="105">
        <f t="shared" si="705"/>
        <v>93.503072591164141</v>
      </c>
      <c r="AQ116" s="105">
        <f t="shared" si="705"/>
        <v>97.145871234490016</v>
      </c>
      <c r="AR116" s="105">
        <f t="shared" si="705"/>
        <v>100.75599118132546</v>
      </c>
      <c r="AS116" s="105">
        <f t="shared" si="705"/>
        <v>104.33248130765105</v>
      </c>
      <c r="AT116" s="105">
        <f t="shared" si="705"/>
        <v>107.87437489819432</v>
      </c>
      <c r="AU116" s="105">
        <f t="shared" si="705"/>
        <v>107.59229882980897</v>
      </c>
      <c r="AV116" s="105">
        <f t="shared" si="705"/>
        <v>107.22531885891094</v>
      </c>
      <c r="AW116" s="105">
        <f t="shared" si="705"/>
        <v>106.77117565150307</v>
      </c>
      <c r="AX116" s="105">
        <f t="shared" si="705"/>
        <v>106.22781733971414</v>
      </c>
      <c r="AY116" s="105">
        <f t="shared" si="705"/>
        <v>105.59304153135109</v>
      </c>
      <c r="AZ116" s="105">
        <f t="shared" si="705"/>
        <v>104.6606576007448</v>
      </c>
      <c r="BA116" s="105">
        <f t="shared" si="705"/>
        <v>103.62763173174019</v>
      </c>
      <c r="BB116" s="105">
        <f t="shared" si="705"/>
        <v>102.49086248382642</v>
      </c>
      <c r="BC116" s="105">
        <f t="shared" si="705"/>
        <v>101.24718147767331</v>
      </c>
      <c r="BD116" s="105">
        <f t="shared" si="705"/>
        <v>99.893354388427881</v>
      </c>
      <c r="BE116" s="105">
        <f t="shared" si="705"/>
        <v>98.83154260013356</v>
      </c>
      <c r="BF116" s="105">
        <f t="shared" si="705"/>
        <v>97.691725503710501</v>
      </c>
      <c r="BG116" s="105">
        <f t="shared" si="705"/>
        <v>96.471238687743735</v>
      </c>
      <c r="BH116" s="105">
        <f t="shared" si="705"/>
        <v>95.168510081104358</v>
      </c>
      <c r="BI116" s="105">
        <f t="shared" si="705"/>
        <v>93.781459531843353</v>
      </c>
      <c r="BJ116" s="105">
        <f t="shared" si="705"/>
        <v>92.307961666916512</v>
      </c>
      <c r="BK116" s="105">
        <f t="shared" si="705"/>
        <v>90.745924066794984</v>
      </c>
      <c r="BL116" s="105">
        <f t="shared" si="705"/>
        <v>89.093261335378401</v>
      </c>
      <c r="BM116" s="105">
        <f t="shared" si="705"/>
        <v>87.347902804621725</v>
      </c>
      <c r="BN116" s="105">
        <f t="shared" si="705"/>
        <v>85.507801287550024</v>
      </c>
      <c r="BO116" s="44"/>
    </row>
    <row r="117" spans="1:67" s="67" customFormat="1">
      <c r="A117" s="752"/>
      <c r="B117" s="58" t="s">
        <v>246</v>
      </c>
      <c r="C117" s="59" t="s">
        <v>153</v>
      </c>
      <c r="D117" s="60">
        <f>D81+D87+D94+D103+D111</f>
        <v>7.192774760698633</v>
      </c>
      <c r="E117" s="60">
        <f t="shared" ref="E117:AH117" si="706">E81+E87+E94+E103+E111</f>
        <v>7.6701919950218329</v>
      </c>
      <c r="F117" s="60">
        <f t="shared" si="706"/>
        <v>8.1151732484965002</v>
      </c>
      <c r="G117" s="60">
        <f t="shared" si="706"/>
        <v>8.5604942420517567</v>
      </c>
      <c r="H117" s="60">
        <f t="shared" si="706"/>
        <v>9.0062340740855351</v>
      </c>
      <c r="I117" s="60">
        <f t="shared" si="706"/>
        <v>9.4524831996188503</v>
      </c>
      <c r="J117" s="60">
        <f t="shared" si="706"/>
        <v>9.898966169608217</v>
      </c>
      <c r="K117" s="60">
        <f t="shared" si="706"/>
        <v>10.345731576482926</v>
      </c>
      <c r="L117" s="60">
        <f t="shared" si="706"/>
        <v>10.792835538045908</v>
      </c>
      <c r="M117" s="60">
        <f t="shared" si="706"/>
        <v>11.240342220987703</v>
      </c>
      <c r="N117" s="60">
        <f t="shared" si="706"/>
        <v>11.688324500652046</v>
      </c>
      <c r="O117" s="60">
        <f t="shared" si="706"/>
        <v>11.860765399353628</v>
      </c>
      <c r="P117" s="60">
        <f t="shared" si="706"/>
        <v>12.03398615829053</v>
      </c>
      <c r="Q117" s="60">
        <f t="shared" si="706"/>
        <v>12.208170785057032</v>
      </c>
      <c r="R117" s="60">
        <f t="shared" si="706"/>
        <v>12.383554988096657</v>
      </c>
      <c r="S117" s="60">
        <f t="shared" si="706"/>
        <v>12.560379382232504</v>
      </c>
      <c r="T117" s="60">
        <f t="shared" si="706"/>
        <v>12.71798498942632</v>
      </c>
      <c r="U117" s="60">
        <f t="shared" si="706"/>
        <v>12.876819121108156</v>
      </c>
      <c r="V117" s="60">
        <f t="shared" si="706"/>
        <v>13.037055993049329</v>
      </c>
      <c r="W117" s="60">
        <f t="shared" si="706"/>
        <v>13.198889853921564</v>
      </c>
      <c r="X117" s="60">
        <f t="shared" si="706"/>
        <v>13.3625372025079</v>
      </c>
      <c r="Y117" s="60">
        <f t="shared" si="706"/>
        <v>13.472466486596065</v>
      </c>
      <c r="Z117" s="60">
        <f t="shared" si="706"/>
        <v>13.584048271977707</v>
      </c>
      <c r="AA117" s="60">
        <f t="shared" si="706"/>
        <v>13.697506626201129</v>
      </c>
      <c r="AB117" s="60">
        <f t="shared" si="706"/>
        <v>13.813191558337726</v>
      </c>
      <c r="AC117" s="60">
        <f t="shared" si="706"/>
        <v>13.931445167675925</v>
      </c>
      <c r="AD117" s="60">
        <f t="shared" si="706"/>
        <v>14.052642876498773</v>
      </c>
      <c r="AE117" s="60">
        <f t="shared" si="706"/>
        <v>14.177209911584622</v>
      </c>
      <c r="AF117" s="60">
        <f t="shared" si="706"/>
        <v>14.305620837810409</v>
      </c>
      <c r="AG117" s="60">
        <f t="shared" si="706"/>
        <v>14.438405059659877</v>
      </c>
      <c r="AH117" s="60">
        <f t="shared" si="706"/>
        <v>14.576152944820873</v>
      </c>
      <c r="AI117" s="60"/>
      <c r="AJ117" s="60">
        <f>AJ81+AJ87+AJ94+AJ103+AJ111</f>
        <v>7.192774760698633</v>
      </c>
      <c r="AK117" s="60">
        <f t="shared" ref="AK117:BN117" si="707">AK81+AK87+AK94+AK103+AK111</f>
        <v>7.6685964578062071</v>
      </c>
      <c r="AL117" s="60">
        <f t="shared" si="707"/>
        <v>8.1099903216283877</v>
      </c>
      <c r="AM117" s="60">
        <f t="shared" si="707"/>
        <v>8.5516156549620259</v>
      </c>
      <c r="AN117" s="60">
        <f t="shared" si="707"/>
        <v>8.9935675445416532</v>
      </c>
      <c r="AO117" s="60">
        <f t="shared" si="707"/>
        <v>9.4359542814995496</v>
      </c>
      <c r="AP117" s="60">
        <f t="shared" si="707"/>
        <v>9.8783853145333076</v>
      </c>
      <c r="AQ117" s="60">
        <f t="shared" si="707"/>
        <v>10.320904072930123</v>
      </c>
      <c r="AR117" s="60">
        <f t="shared" si="707"/>
        <v>10.763561627569739</v>
      </c>
      <c r="AS117" s="60">
        <f t="shared" si="707"/>
        <v>11.206417234198543</v>
      </c>
      <c r="AT117" s="60">
        <f t="shared" si="707"/>
        <v>11.649539013500544</v>
      </c>
      <c r="AU117" s="60">
        <f t="shared" si="707"/>
        <v>11.813921494036974</v>
      </c>
      <c r="AV117" s="60">
        <f t="shared" si="707"/>
        <v>11.978837356992013</v>
      </c>
      <c r="AW117" s="60">
        <f t="shared" si="707"/>
        <v>12.144491923518496</v>
      </c>
      <c r="AX117" s="60">
        <f t="shared" si="707"/>
        <v>12.311161727224958</v>
      </c>
      <c r="AY117" s="60">
        <f t="shared" si="707"/>
        <v>12.479123902090244</v>
      </c>
      <c r="AZ117" s="60">
        <f t="shared" si="707"/>
        <v>12.627520533595479</v>
      </c>
      <c r="BA117" s="60">
        <f t="shared" si="707"/>
        <v>12.776789887713255</v>
      </c>
      <c r="BB117" s="60">
        <f t="shared" si="707"/>
        <v>12.927097081385364</v>
      </c>
      <c r="BC117" s="60">
        <f t="shared" si="707"/>
        <v>13.078627217301721</v>
      </c>
      <c r="BD117" s="60">
        <f t="shared" si="707"/>
        <v>13.231587607531351</v>
      </c>
      <c r="BE117" s="60">
        <f t="shared" si="707"/>
        <v>13.325930770981529</v>
      </c>
      <c r="BF117" s="60">
        <f t="shared" si="707"/>
        <v>13.421307890204508</v>
      </c>
      <c r="BG117" s="60">
        <f t="shared" si="707"/>
        <v>13.5179035493765</v>
      </c>
      <c r="BH117" s="60">
        <f t="shared" si="707"/>
        <v>13.616073951506525</v>
      </c>
      <c r="BI117" s="60">
        <f t="shared" si="707"/>
        <v>13.71614584660418</v>
      </c>
      <c r="BJ117" s="60">
        <f t="shared" si="707"/>
        <v>13.818476692724278</v>
      </c>
      <c r="BK117" s="60">
        <f t="shared" si="707"/>
        <v>13.923475812609791</v>
      </c>
      <c r="BL117" s="60">
        <f t="shared" si="707"/>
        <v>14.031601846198289</v>
      </c>
      <c r="BM117" s="60">
        <f t="shared" si="707"/>
        <v>14.14336826339335</v>
      </c>
      <c r="BN117" s="60">
        <f t="shared" si="707"/>
        <v>14.25934949916479</v>
      </c>
      <c r="BO117" s="60"/>
    </row>
    <row r="118" spans="1:67">
      <c r="A118" s="753"/>
      <c r="B118" s="1" t="s">
        <v>247</v>
      </c>
      <c r="C118" s="54" t="s">
        <v>153</v>
      </c>
      <c r="D118" s="44">
        <f>D16</f>
        <v>28.065001267929215</v>
      </c>
      <c r="E118" s="44">
        <f t="shared" ref="E118:AH118" si="708">E16</f>
        <v>28.136286371149751</v>
      </c>
      <c r="F118" s="44">
        <f t="shared" si="708"/>
        <v>28.196004203447703</v>
      </c>
      <c r="G118" s="44">
        <f t="shared" si="708"/>
        <v>28.243584960541014</v>
      </c>
      <c r="H118" s="44">
        <f t="shared" si="708"/>
        <v>28.278438746237001</v>
      </c>
      <c r="I118" s="44">
        <f t="shared" si="708"/>
        <v>28.29995494963087</v>
      </c>
      <c r="J118" s="44">
        <f t="shared" si="708"/>
        <v>28.307501604284109</v>
      </c>
      <c r="K118" s="44">
        <f t="shared" si="708"/>
        <v>28.30042472888303</v>
      </c>
      <c r="L118" s="44">
        <f t="shared" si="708"/>
        <v>28.278047648864838</v>
      </c>
      <c r="M118" s="44">
        <f t="shared" si="708"/>
        <v>28.239670298484235</v>
      </c>
      <c r="N118" s="44">
        <f t="shared" si="708"/>
        <v>28.184568502779875</v>
      </c>
      <c r="O118" s="44">
        <f t="shared" si="708"/>
        <v>27.030762729697322</v>
      </c>
      <c r="P118" s="44">
        <f t="shared" si="708"/>
        <v>25.808972254315002</v>
      </c>
      <c r="Q118" s="44">
        <f t="shared" si="708"/>
        <v>24.516680143581084</v>
      </c>
      <c r="R118" s="44">
        <f t="shared" si="708"/>
        <v>23.151289649430872</v>
      </c>
      <c r="S118" s="44">
        <f t="shared" si="708"/>
        <v>21.710121868753799</v>
      </c>
      <c r="T118" s="44">
        <f t="shared" si="708"/>
        <v>20.190413337941031</v>
      </c>
      <c r="U118" s="44">
        <f t="shared" si="708"/>
        <v>18.589313560242303</v>
      </c>
      <c r="V118" s="44">
        <f t="shared" si="708"/>
        <v>16.903882464113668</v>
      </c>
      <c r="W118" s="44">
        <f t="shared" si="708"/>
        <v>15.131087790689747</v>
      </c>
      <c r="X118" s="44">
        <f t="shared" si="708"/>
        <v>13.26780240846481</v>
      </c>
      <c r="Y118" s="44">
        <f t="shared" si="708"/>
        <v>12.215665677473545</v>
      </c>
      <c r="Z118" s="44">
        <f t="shared" si="708"/>
        <v>11.108111989382607</v>
      </c>
      <c r="AA118" s="44">
        <f t="shared" si="708"/>
        <v>9.9431487444961135</v>
      </c>
      <c r="AB118" s="44">
        <f t="shared" si="708"/>
        <v>8.7187209991024446</v>
      </c>
      <c r="AC118" s="44">
        <f t="shared" si="708"/>
        <v>7.4327096517348323</v>
      </c>
      <c r="AD118" s="44">
        <f t="shared" si="708"/>
        <v>6.0829295789797868</v>
      </c>
      <c r="AE118" s="44">
        <f t="shared" si="708"/>
        <v>4.6671277194722407</v>
      </c>
      <c r="AF118" s="44">
        <f t="shared" si="708"/>
        <v>3.1829811046800671</v>
      </c>
      <c r="AG118" s="44">
        <f t="shared" si="708"/>
        <v>1.6280948350438535</v>
      </c>
      <c r="AH118" s="44">
        <f t="shared" si="708"/>
        <v>0</v>
      </c>
      <c r="AI118" s="44"/>
      <c r="AJ118" s="44">
        <f>AJ16</f>
        <v>28.065001267929215</v>
      </c>
      <c r="AK118" s="44">
        <f t="shared" ref="AK118:BN118" si="709">AK16</f>
        <v>28.136286371149751</v>
      </c>
      <c r="AL118" s="44">
        <f t="shared" si="709"/>
        <v>28.196004203447703</v>
      </c>
      <c r="AM118" s="44">
        <f t="shared" si="709"/>
        <v>28.243584960541014</v>
      </c>
      <c r="AN118" s="44">
        <f t="shared" si="709"/>
        <v>28.278438746237001</v>
      </c>
      <c r="AO118" s="44">
        <f t="shared" si="709"/>
        <v>28.29995494963087</v>
      </c>
      <c r="AP118" s="44">
        <f t="shared" si="709"/>
        <v>28.307501604284109</v>
      </c>
      <c r="AQ118" s="44">
        <f t="shared" si="709"/>
        <v>28.30042472888303</v>
      </c>
      <c r="AR118" s="44">
        <f t="shared" si="709"/>
        <v>28.278047648864838</v>
      </c>
      <c r="AS118" s="44">
        <f t="shared" si="709"/>
        <v>28.239670298484235</v>
      </c>
      <c r="AT118" s="44">
        <f t="shared" si="709"/>
        <v>28.184568502779875</v>
      </c>
      <c r="AU118" s="44">
        <f t="shared" si="709"/>
        <v>27.030762729697322</v>
      </c>
      <c r="AV118" s="44">
        <f t="shared" si="709"/>
        <v>25.808972254315002</v>
      </c>
      <c r="AW118" s="44">
        <f t="shared" si="709"/>
        <v>24.516680143581084</v>
      </c>
      <c r="AX118" s="44">
        <f t="shared" si="709"/>
        <v>23.151289649430872</v>
      </c>
      <c r="AY118" s="44">
        <f t="shared" si="709"/>
        <v>21.710121868753799</v>
      </c>
      <c r="AZ118" s="44">
        <f t="shared" si="709"/>
        <v>20.190413337941031</v>
      </c>
      <c r="BA118" s="44">
        <f t="shared" si="709"/>
        <v>18.589313560242303</v>
      </c>
      <c r="BB118" s="44">
        <f t="shared" si="709"/>
        <v>16.903882464113668</v>
      </c>
      <c r="BC118" s="44">
        <f t="shared" si="709"/>
        <v>15.131087790689747</v>
      </c>
      <c r="BD118" s="44">
        <f t="shared" si="709"/>
        <v>13.26780240846481</v>
      </c>
      <c r="BE118" s="44">
        <f t="shared" si="709"/>
        <v>12.215665677473545</v>
      </c>
      <c r="BF118" s="44">
        <f t="shared" si="709"/>
        <v>11.108111989382607</v>
      </c>
      <c r="BG118" s="44">
        <f t="shared" si="709"/>
        <v>9.9431487444961135</v>
      </c>
      <c r="BH118" s="44">
        <f t="shared" si="709"/>
        <v>8.7187209991024446</v>
      </c>
      <c r="BI118" s="44">
        <f t="shared" si="709"/>
        <v>7.4327096517348323</v>
      </c>
      <c r="BJ118" s="44">
        <f t="shared" si="709"/>
        <v>6.0829295789797868</v>
      </c>
      <c r="BK118" s="44">
        <f t="shared" si="709"/>
        <v>4.6671277194722407</v>
      </c>
      <c r="BL118" s="44">
        <f t="shared" si="709"/>
        <v>3.1829811046800671</v>
      </c>
      <c r="BM118" s="44">
        <f t="shared" si="709"/>
        <v>1.6280948350438535</v>
      </c>
      <c r="BN118" s="44">
        <f t="shared" si="709"/>
        <v>0</v>
      </c>
    </row>
    <row r="119" spans="1:67" s="68" customFormat="1">
      <c r="A119" s="754"/>
      <c r="B119" s="62" t="s">
        <v>248</v>
      </c>
      <c r="C119" s="283" t="s">
        <v>153</v>
      </c>
      <c r="D119" s="284">
        <f t="shared" ref="D119:S119" si="710">D83+D89+D96+D105+D113</f>
        <v>35.70249067338905</v>
      </c>
      <c r="E119" s="284">
        <f t="shared" si="710"/>
        <v>39.040774283861339</v>
      </c>
      <c r="F119" s="284">
        <f t="shared" si="710"/>
        <v>42.319788407793908</v>
      </c>
      <c r="G119" s="284">
        <f t="shared" si="710"/>
        <v>45.583145997058345</v>
      </c>
      <c r="H119" s="284">
        <f t="shared" si="710"/>
        <v>48.830858726291396</v>
      </c>
      <c r="I119" s="284">
        <f t="shared" si="710"/>
        <v>52.065857888089447</v>
      </c>
      <c r="J119" s="284">
        <f t="shared" si="710"/>
        <v>55.286918222392224</v>
      </c>
      <c r="K119" s="284">
        <f t="shared" si="710"/>
        <v>58.490516468851794</v>
      </c>
      <c r="L119" s="284">
        <f t="shared" si="710"/>
        <v>61.676334973654889</v>
      </c>
      <c r="M119" s="284">
        <f t="shared" si="710"/>
        <v>64.844055332768221</v>
      </c>
      <c r="N119" s="284">
        <f t="shared" si="710"/>
        <v>67.99335904293784</v>
      </c>
      <c r="O119" s="284">
        <f t="shared" si="710"/>
        <v>68.694217187579824</v>
      </c>
      <c r="P119" s="284">
        <f t="shared" si="710"/>
        <v>69.377193814217719</v>
      </c>
      <c r="Q119" s="284">
        <f t="shared" si="710"/>
        <v>70.042349045407619</v>
      </c>
      <c r="R119" s="284">
        <f t="shared" si="710"/>
        <v>70.68998018331601</v>
      </c>
      <c r="S119" s="284">
        <f t="shared" si="710"/>
        <v>71.320312996248845</v>
      </c>
      <c r="T119" s="284">
        <f t="shared" ref="T119:AH119" si="711">T83+T89+T96+T105+T113</f>
        <v>71.750663637544037</v>
      </c>
      <c r="U119" s="284">
        <f t="shared" si="711"/>
        <v>72.16039982767515</v>
      </c>
      <c r="V119" s="284">
        <f t="shared" si="711"/>
        <v>72.549184449787759</v>
      </c>
      <c r="W119" s="284">
        <f t="shared" si="711"/>
        <v>72.916685722351957</v>
      </c>
      <c r="X119" s="284">
        <f t="shared" si="711"/>
        <v>73.262578663624993</v>
      </c>
      <c r="Y119" s="284">
        <f t="shared" si="711"/>
        <v>73.144084956644747</v>
      </c>
      <c r="Z119" s="284">
        <f t="shared" si="711"/>
        <v>73.001139455430248</v>
      </c>
      <c r="AA119" s="284">
        <f t="shared" si="711"/>
        <v>72.832844519338096</v>
      </c>
      <c r="AB119" s="284">
        <f t="shared" si="711"/>
        <v>72.639331443137678</v>
      </c>
      <c r="AC119" s="284">
        <f t="shared" si="711"/>
        <v>72.420295705147268</v>
      </c>
      <c r="AD119" s="284">
        <f t="shared" si="711"/>
        <v>72.175421037029039</v>
      </c>
      <c r="AE119" s="284">
        <f t="shared" si="711"/>
        <v>71.904441898144825</v>
      </c>
      <c r="AF119" s="284">
        <f t="shared" si="711"/>
        <v>71.607120537148504</v>
      </c>
      <c r="AG119" s="284">
        <f t="shared" si="711"/>
        <v>71.28325122250105</v>
      </c>
      <c r="AH119" s="284">
        <f t="shared" si="711"/>
        <v>70.932664955265011</v>
      </c>
      <c r="AJ119" s="284">
        <f t="shared" ref="AJ119:BN119" si="712">AJ83+AJ89+AJ96+AJ105+AJ113</f>
        <v>35.70249067338905</v>
      </c>
      <c r="AK119" s="284">
        <f t="shared" si="712"/>
        <v>39.04236982107696</v>
      </c>
      <c r="AL119" s="284">
        <f t="shared" si="712"/>
        <v>42.324971334662024</v>
      </c>
      <c r="AM119" s="284">
        <f t="shared" si="712"/>
        <v>45.592024584148078</v>
      </c>
      <c r="AN119" s="284">
        <f t="shared" si="712"/>
        <v>48.843525255835281</v>
      </c>
      <c r="AO119" s="284">
        <f t="shared" si="712"/>
        <v>52.082386806208746</v>
      </c>
      <c r="AP119" s="284">
        <f t="shared" si="712"/>
        <v>55.307499077467135</v>
      </c>
      <c r="AQ119" s="284">
        <f t="shared" si="712"/>
        <v>58.515343972404594</v>
      </c>
      <c r="AR119" s="284">
        <f t="shared" si="712"/>
        <v>61.70560888413106</v>
      </c>
      <c r="AS119" s="284">
        <f t="shared" si="712"/>
        <v>64.877980319557366</v>
      </c>
      <c r="AT119" s="284">
        <f t="shared" si="712"/>
        <v>68.03214453008934</v>
      </c>
      <c r="AU119" s="284">
        <f t="shared" si="712"/>
        <v>68.741061092896473</v>
      </c>
      <c r="AV119" s="284">
        <f t="shared" si="712"/>
        <v>69.432342615516234</v>
      </c>
      <c r="AW119" s="284">
        <f t="shared" si="712"/>
        <v>70.106027906946153</v>
      </c>
      <c r="AX119" s="284">
        <f t="shared" si="712"/>
        <v>70.762373444187702</v>
      </c>
      <c r="AY119" s="284">
        <f t="shared" si="712"/>
        <v>71.401568476391105</v>
      </c>
      <c r="AZ119" s="284">
        <f t="shared" si="712"/>
        <v>71.841128093374891</v>
      </c>
      <c r="BA119" s="284">
        <f t="shared" si="712"/>
        <v>72.260429061070056</v>
      </c>
      <c r="BB119" s="284">
        <f t="shared" si="712"/>
        <v>72.659143361451726</v>
      </c>
      <c r="BC119" s="284">
        <f t="shared" si="712"/>
        <v>73.036948358971799</v>
      </c>
      <c r="BD119" s="284">
        <f t="shared" si="712"/>
        <v>73.393528258601549</v>
      </c>
      <c r="BE119" s="284">
        <f t="shared" si="712"/>
        <v>73.29062067225928</v>
      </c>
      <c r="BF119" s="284">
        <f t="shared" si="712"/>
        <v>73.163879837203439</v>
      </c>
      <c r="BG119" s="284">
        <f t="shared" si="712"/>
        <v>73.01244759616273</v>
      </c>
      <c r="BH119" s="284">
        <f t="shared" si="712"/>
        <v>72.836449049968877</v>
      </c>
      <c r="BI119" s="284">
        <f t="shared" si="712"/>
        <v>72.635595026219008</v>
      </c>
      <c r="BJ119" s="284">
        <f t="shared" si="712"/>
        <v>72.40958722080353</v>
      </c>
      <c r="BK119" s="284">
        <f t="shared" si="712"/>
        <v>72.158175997119656</v>
      </c>
      <c r="BL119" s="284">
        <f t="shared" si="712"/>
        <v>71.881139528760627</v>
      </c>
      <c r="BM119" s="284">
        <f t="shared" si="712"/>
        <v>71.57828801876758</v>
      </c>
      <c r="BN119" s="284">
        <f t="shared" si="712"/>
        <v>71.249468400921103</v>
      </c>
    </row>
    <row r="120" spans="1:67">
      <c r="A120" s="1" t="s">
        <v>230</v>
      </c>
      <c r="C120" s="59" t="s">
        <v>153</v>
      </c>
      <c r="D120" s="66">
        <f>'Methanol Recycling HC'!C336</f>
        <v>5.9585925954046229E-7</v>
      </c>
      <c r="E120" s="66">
        <f>'Methanol Recycling HC'!D336</f>
        <v>1.7897689028063149E-6</v>
      </c>
      <c r="F120" s="66">
        <f>'Methanol Recycling HC'!E336</f>
        <v>3.8593322873255829E-6</v>
      </c>
      <c r="G120" s="66">
        <f>'Methanol Recycling HC'!F336</f>
        <v>8.2511639842139043E-6</v>
      </c>
      <c r="H120" s="66">
        <f>'Methanol Recycling HC'!G336</f>
        <v>1.7478439039992815E-5</v>
      </c>
      <c r="I120" s="66">
        <f>'Methanol Recycling HC'!H336</f>
        <v>3.6642786482215297E-5</v>
      </c>
      <c r="J120" s="66">
        <f>'Methanol Recycling HC'!I336</f>
        <v>7.6065129979920704E-5</v>
      </c>
      <c r="K120" s="66">
        <f>'Methanol Recycling HC'!J336</f>
        <v>1.5597855512588358E-4</v>
      </c>
      <c r="L120" s="66">
        <f>'Methanol Recycling HC'!K336</f>
        <v>3.149309374295501E-4</v>
      </c>
      <c r="M120" s="66">
        <f>'Methanol Recycling HC'!L336</f>
        <v>6.2340395857922242E-4</v>
      </c>
      <c r="N120" s="66">
        <f>'Methanol Recycling HC'!M336</f>
        <v>1.2084501398642892E-3</v>
      </c>
      <c r="O120" s="66">
        <f>'Methanol Recycling HC'!N336</f>
        <v>2.1963902614041092E-3</v>
      </c>
      <c r="P120" s="66">
        <f>'Methanol Recycling HC'!O336</f>
        <v>3.8525633495526306E-3</v>
      </c>
      <c r="Q120" s="66">
        <f>'Methanol Recycling HC'!P336</f>
        <v>6.444715155787417E-3</v>
      </c>
      <c r="R120" s="66">
        <f>'Methanol Recycling HC'!Q336</f>
        <v>1.0210956400688498E-2</v>
      </c>
      <c r="S120" s="66">
        <f>'Methanol Recycling HC'!R336</f>
        <v>1.5255915339996109E-2</v>
      </c>
      <c r="T120" s="66">
        <f>'Methanol Recycling HC'!S336</f>
        <v>2.1483527696220917E-2</v>
      </c>
      <c r="U120" s="66">
        <f>'Methanol Recycling HC'!T336</f>
        <v>2.8572962762036417E-2</v>
      </c>
      <c r="V120" s="66">
        <f>'Methanol Recycling HC'!U336</f>
        <v>3.6064954347888069E-2</v>
      </c>
      <c r="W120" s="66">
        <f>'Methanol Recycling HC'!V336</f>
        <v>4.3502055601027399E-2</v>
      </c>
      <c r="X120" s="66">
        <f>'Methanol Recycling HC'!W336</f>
        <v>5.054295750241003E-2</v>
      </c>
      <c r="Y120" s="66">
        <f>'Methanol Recycling HC'!X336</f>
        <v>5.5427166646388561E-2</v>
      </c>
      <c r="Z120" s="66">
        <f>'Methanol Recycling HC'!Y336</f>
        <v>5.9406904517021235E-2</v>
      </c>
      <c r="AA120" s="66">
        <f>'Methanol Recycling HC'!Z336</f>
        <v>6.2652061096730174E-2</v>
      </c>
      <c r="AB120" s="66">
        <f>'Methanol Recycling HC'!AA336</f>
        <v>6.5401286490937252E-2</v>
      </c>
      <c r="AC120" s="66">
        <f>'Methanol Recycling HC'!AB336</f>
        <v>6.7967414285348055E-2</v>
      </c>
      <c r="AD120" s="66">
        <f>'Methanol Recycling HC'!AC336</f>
        <v>7.0711939645221392E-2</v>
      </c>
      <c r="AE120" s="66">
        <f>'Methanol Recycling HC'!AD336</f>
        <v>7.4006488323119554E-2</v>
      </c>
      <c r="AF120" s="66">
        <f>'Methanol Recycling HC'!AE336</f>
        <v>7.8152378636222083E-2</v>
      </c>
      <c r="AG120" s="66">
        <f>'Methanol Recycling HC'!AF336</f>
        <v>8.3256126864092631E-2</v>
      </c>
      <c r="AH120" s="66">
        <f>'Methanol Recycling HC'!AG336</f>
        <v>8.9111121390490433E-2</v>
      </c>
      <c r="AJ120" s="43">
        <f>D120/2</f>
        <v>2.9792962977023115E-7</v>
      </c>
      <c r="AK120" s="43">
        <f t="shared" ref="AK120:BN120" si="713">E120/2</f>
        <v>8.9488445140315743E-7</v>
      </c>
      <c r="AL120" s="43">
        <f t="shared" si="713"/>
        <v>1.9296661436627915E-6</v>
      </c>
      <c r="AM120" s="43">
        <f t="shared" si="713"/>
        <v>4.1255819921069521E-6</v>
      </c>
      <c r="AN120" s="43">
        <f t="shared" si="713"/>
        <v>8.7392195199964075E-6</v>
      </c>
      <c r="AO120" s="43">
        <f t="shared" si="713"/>
        <v>1.8321393241107649E-5</v>
      </c>
      <c r="AP120" s="43">
        <f t="shared" si="713"/>
        <v>3.8032564989960352E-5</v>
      </c>
      <c r="AQ120" s="43">
        <f t="shared" si="713"/>
        <v>7.7989277562941789E-5</v>
      </c>
      <c r="AR120" s="43">
        <f t="shared" si="713"/>
        <v>1.5746546871477505E-4</v>
      </c>
      <c r="AS120" s="43">
        <f t="shared" si="713"/>
        <v>3.1170197928961121E-4</v>
      </c>
      <c r="AT120" s="43">
        <f t="shared" si="713"/>
        <v>6.0422506993214461E-4</v>
      </c>
      <c r="AU120" s="43">
        <f t="shared" si="713"/>
        <v>1.0981951307020546E-3</v>
      </c>
      <c r="AV120" s="43">
        <f t="shared" si="713"/>
        <v>1.9262816747763153E-3</v>
      </c>
      <c r="AW120" s="43">
        <f t="shared" si="713"/>
        <v>3.2223575778937085E-3</v>
      </c>
      <c r="AX120" s="43">
        <f t="shared" si="713"/>
        <v>5.1054782003442491E-3</v>
      </c>
      <c r="AY120" s="43">
        <f t="shared" si="713"/>
        <v>7.6279576699980547E-3</v>
      </c>
      <c r="AZ120" s="43">
        <f t="shared" si="713"/>
        <v>1.0741763848110458E-2</v>
      </c>
      <c r="BA120" s="43">
        <f t="shared" si="713"/>
        <v>1.4286481381018208E-2</v>
      </c>
      <c r="BB120" s="43">
        <f t="shared" si="713"/>
        <v>1.8032477173944034E-2</v>
      </c>
      <c r="BC120" s="43">
        <f t="shared" si="713"/>
        <v>2.17510278005137E-2</v>
      </c>
      <c r="BD120" s="43">
        <f t="shared" si="713"/>
        <v>2.5271478751205015E-2</v>
      </c>
      <c r="BE120" s="43">
        <f t="shared" si="713"/>
        <v>2.771358332319428E-2</v>
      </c>
      <c r="BF120" s="43">
        <f t="shared" si="713"/>
        <v>2.9703452258510617E-2</v>
      </c>
      <c r="BG120" s="43">
        <f t="shared" si="713"/>
        <v>3.1326030548365087E-2</v>
      </c>
      <c r="BH120" s="43">
        <f t="shared" si="713"/>
        <v>3.2700643245468626E-2</v>
      </c>
      <c r="BI120" s="43">
        <f t="shared" si="713"/>
        <v>3.3983707142674027E-2</v>
      </c>
      <c r="BJ120" s="43">
        <f t="shared" si="713"/>
        <v>3.5355969822610696E-2</v>
      </c>
      <c r="BK120" s="43">
        <f t="shared" si="713"/>
        <v>3.7003244161559777E-2</v>
      </c>
      <c r="BL120" s="43">
        <f t="shared" si="713"/>
        <v>3.9076189318111042E-2</v>
      </c>
      <c r="BM120" s="43">
        <f t="shared" si="713"/>
        <v>4.1628063432046315E-2</v>
      </c>
      <c r="BN120" s="43">
        <f t="shared" si="713"/>
        <v>4.4555560695245217E-2</v>
      </c>
    </row>
    <row r="121" spans="1:67">
      <c r="A121" s="1" t="s">
        <v>231</v>
      </c>
      <c r="C121" s="283" t="s">
        <v>153</v>
      </c>
      <c r="D121" s="66">
        <f>'Methanol Recycling HC'!C338</f>
        <v>3.4858108265194487E-6</v>
      </c>
      <c r="E121" s="66">
        <f>'Methanol Recycling HC'!D338</f>
        <v>1.0470250681648486E-5</v>
      </c>
      <c r="F121" s="66">
        <f>'Methanol Recycling HC'!E338</f>
        <v>2.2577315120806735E-5</v>
      </c>
      <c r="G121" s="66">
        <f>'Methanol Recycling HC'!F338</f>
        <v>4.8269782313598621E-5</v>
      </c>
      <c r="H121" s="66">
        <f>'Methanol Recycling HC'!G338</f>
        <v>1.0224987035236277E-4</v>
      </c>
      <c r="I121" s="66">
        <f>'Methanol Recycling HC'!H338</f>
        <v>2.1436240150409709E-4</v>
      </c>
      <c r="J121" s="66">
        <f>'Methanol Recycling HC'!I338</f>
        <v>4.4498537088960273E-4</v>
      </c>
      <c r="K121" s="66">
        <f>'Methanol Recycling HC'!J338</f>
        <v>9.1248348910779068E-4</v>
      </c>
      <c r="L121" s="66">
        <f>'Methanol Recycling HC'!K338</f>
        <v>1.8423640376831276E-3</v>
      </c>
      <c r="M121" s="66">
        <f>'Methanol Recycling HC'!L338</f>
        <v>3.6469488949226803E-3</v>
      </c>
      <c r="N121" s="66">
        <f>'Methanol Recycling HC'!M338</f>
        <v>7.0695025937779071E-3</v>
      </c>
      <c r="O121" s="66">
        <f>'Methanol Recycling HC'!N338</f>
        <v>1.2849008939407821E-2</v>
      </c>
      <c r="P121" s="66">
        <f>'Methanol Recycling HC'!O338</f>
        <v>2.2537716446799066E-2</v>
      </c>
      <c r="Q121" s="66">
        <f>'Methanol Recycling HC'!P338</f>
        <v>3.7701953110879274E-2</v>
      </c>
      <c r="R121" s="66">
        <f>'Methanol Recycling HC'!Q338</f>
        <v>5.9734680296968726E-2</v>
      </c>
      <c r="S121" s="66">
        <f>'Methanol Recycling HC'!R338</f>
        <v>8.9247979299063654E-2</v>
      </c>
      <c r="T121" s="66">
        <f>'Methanol Recycling HC'!S338</f>
        <v>0.12567986858687391</v>
      </c>
      <c r="U121" s="66">
        <f>'Methanol Recycling HC'!T338</f>
        <v>0.16715347013060922</v>
      </c>
      <c r="V121" s="66">
        <f>'Methanol Recycling HC'!U338</f>
        <v>0.21098205039349746</v>
      </c>
      <c r="W121" s="66">
        <f>'Methanol Recycling HC'!V338</f>
        <v>0.25448951906337725</v>
      </c>
      <c r="X121" s="66">
        <f>'Methanol Recycling HC'!W338</f>
        <v>0.29567919881296972</v>
      </c>
      <c r="Y121" s="66">
        <f>'Methanol Recycling HC'!X338</f>
        <v>0.32425210229725221</v>
      </c>
      <c r="Z121" s="66">
        <f>'Methanol Recycling HC'!Y338</f>
        <v>0.34753379698277181</v>
      </c>
      <c r="AA121" s="66">
        <f>'Methanol Recycling HC'!Z338</f>
        <v>0.36651814900580537</v>
      </c>
      <c r="AB121" s="66">
        <f>'Methanol Recycling HC'!AA338</f>
        <v>0.38260127516391862</v>
      </c>
      <c r="AC121" s="66">
        <f>'Methanol Recycling HC'!AB338</f>
        <v>0.39761326986697693</v>
      </c>
      <c r="AD121" s="66">
        <f>'Methanol Recycling HC'!AC338</f>
        <v>0.41366890055480382</v>
      </c>
      <c r="AE121" s="66">
        <f>'Methanol Recycling HC'!AD338</f>
        <v>0.43294219918369409</v>
      </c>
      <c r="AF121" s="66">
        <f>'Methanol Recycling HC'!AE338</f>
        <v>0.45719589518251164</v>
      </c>
      <c r="AG121" s="66">
        <f>'Methanol Recycling HC'!AF338</f>
        <v>0.48705311489285252</v>
      </c>
      <c r="AH121" s="66">
        <f>'Methanol Recycling HC'!AG338</f>
        <v>0.52130516851549769</v>
      </c>
      <c r="AJ121" s="43">
        <f>D121/2</f>
        <v>1.7429054132597244E-6</v>
      </c>
      <c r="AK121" s="43">
        <f t="shared" ref="AK121" si="714">E121/2</f>
        <v>5.2351253408242428E-6</v>
      </c>
      <c r="AL121" s="43">
        <f t="shared" ref="AL121" si="715">F121/2</f>
        <v>1.1288657560403367E-5</v>
      </c>
      <c r="AM121" s="43">
        <f t="shared" ref="AM121" si="716">G121/2</f>
        <v>2.4134891156799311E-5</v>
      </c>
      <c r="AN121" s="43">
        <f t="shared" ref="AN121" si="717">H121/2</f>
        <v>5.1124935176181387E-5</v>
      </c>
      <c r="AO121" s="43">
        <f t="shared" ref="AO121" si="718">I121/2</f>
        <v>1.0718120075204855E-4</v>
      </c>
      <c r="AP121" s="43">
        <f t="shared" ref="AP121" si="719">J121/2</f>
        <v>2.2249268544480137E-4</v>
      </c>
      <c r="AQ121" s="43">
        <f t="shared" ref="AQ121" si="720">K121/2</f>
        <v>4.5624174455389534E-4</v>
      </c>
      <c r="AR121" s="43">
        <f t="shared" ref="AR121" si="721">L121/2</f>
        <v>9.2118201884156382E-4</v>
      </c>
      <c r="AS121" s="43">
        <f t="shared" ref="AS121" si="722">M121/2</f>
        <v>1.8234744474613402E-3</v>
      </c>
      <c r="AT121" s="43">
        <f t="shared" ref="AT121" si="723">N121/2</f>
        <v>3.5347512968889536E-3</v>
      </c>
      <c r="AU121" s="43">
        <f t="shared" ref="AU121" si="724">O121/2</f>
        <v>6.4245044697039105E-3</v>
      </c>
      <c r="AV121" s="43">
        <f t="shared" ref="AV121" si="725">P121/2</f>
        <v>1.1268858223399533E-2</v>
      </c>
      <c r="AW121" s="43">
        <f t="shared" ref="AW121" si="726">Q121/2</f>
        <v>1.8850976555439637E-2</v>
      </c>
      <c r="AX121" s="43">
        <f t="shared" ref="AX121" si="727">R121/2</f>
        <v>2.9867340148484363E-2</v>
      </c>
      <c r="AY121" s="43">
        <f t="shared" ref="AY121" si="728">S121/2</f>
        <v>4.4623989649531827E-2</v>
      </c>
      <c r="AZ121" s="43">
        <f t="shared" ref="AZ121" si="729">T121/2</f>
        <v>6.2839934293436955E-2</v>
      </c>
      <c r="BA121" s="43">
        <f t="shared" ref="BA121" si="730">U121/2</f>
        <v>8.3576735065304608E-2</v>
      </c>
      <c r="BB121" s="43">
        <f t="shared" ref="BB121" si="731">V121/2</f>
        <v>0.10549102519674873</v>
      </c>
      <c r="BC121" s="43">
        <f t="shared" ref="BC121" si="732">W121/2</f>
        <v>0.12724475953168862</v>
      </c>
      <c r="BD121" s="43">
        <f t="shared" ref="BD121" si="733">X121/2</f>
        <v>0.14783959940648486</v>
      </c>
      <c r="BE121" s="43">
        <f t="shared" ref="BE121" si="734">Y121/2</f>
        <v>0.1621260511486261</v>
      </c>
      <c r="BF121" s="43">
        <f t="shared" ref="BF121" si="735">Z121/2</f>
        <v>0.17376689849138591</v>
      </c>
      <c r="BG121" s="43">
        <f t="shared" ref="BG121" si="736">AA121/2</f>
        <v>0.18325907450290269</v>
      </c>
      <c r="BH121" s="43">
        <f t="shared" ref="BH121" si="737">AB121/2</f>
        <v>0.19130063758195931</v>
      </c>
      <c r="BI121" s="43">
        <f t="shared" ref="BI121" si="738">AC121/2</f>
        <v>0.19880663493348846</v>
      </c>
      <c r="BJ121" s="43">
        <f t="shared" ref="BJ121" si="739">AD121/2</f>
        <v>0.20683445027740191</v>
      </c>
      <c r="BK121" s="43">
        <f t="shared" ref="BK121" si="740">AE121/2</f>
        <v>0.21647109959184704</v>
      </c>
      <c r="BL121" s="43">
        <f t="shared" ref="BL121" si="741">AF121/2</f>
        <v>0.22859794759125582</v>
      </c>
      <c r="BM121" s="43">
        <f t="shared" ref="BM121" si="742">AG121/2</f>
        <v>0.24352655744642626</v>
      </c>
      <c r="BN121" s="43">
        <f t="shared" ref="BN121" si="743">AH121/2</f>
        <v>0.26065258425774884</v>
      </c>
    </row>
    <row r="122" spans="1:67" s="104" customFormat="1">
      <c r="A122" s="102" t="s">
        <v>253</v>
      </c>
      <c r="B122" s="102"/>
      <c r="C122" s="103" t="s">
        <v>153</v>
      </c>
      <c r="D122" s="105">
        <f>D116-D120-D121</f>
        <v>70.960262620346811</v>
      </c>
      <c r="E122" s="105">
        <f t="shared" ref="E122:AH122" si="744">E116-E120-E121</f>
        <v>74.84724039001334</v>
      </c>
      <c r="F122" s="105">
        <f t="shared" si="744"/>
        <v>78.630939423090709</v>
      </c>
      <c r="G122" s="105">
        <f t="shared" si="744"/>
        <v>82.387168678704796</v>
      </c>
      <c r="H122" s="105">
        <f t="shared" si="744"/>
        <v>86.115411818304551</v>
      </c>
      <c r="I122" s="105">
        <f t="shared" si="744"/>
        <v>89.828279197942209</v>
      </c>
      <c r="J122" s="105">
        <f t="shared" si="744"/>
        <v>93.502551540663276</v>
      </c>
      <c r="K122" s="105">
        <f t="shared" si="744"/>
        <v>97.144802772445786</v>
      </c>
      <c r="L122" s="105">
        <f t="shared" si="744"/>
        <v>100.75383388635034</v>
      </c>
      <c r="M122" s="105">
        <f t="shared" si="744"/>
        <v>104.32821095479754</v>
      </c>
      <c r="N122" s="105">
        <f t="shared" si="744"/>
        <v>107.86609694546067</v>
      </c>
      <c r="O122" s="105">
        <f t="shared" si="744"/>
        <v>107.57725343060815</v>
      </c>
      <c r="P122" s="105">
        <f t="shared" si="744"/>
        <v>107.19892857911458</v>
      </c>
      <c r="Q122" s="105">
        <f t="shared" si="744"/>
        <v>106.72702898323639</v>
      </c>
      <c r="R122" s="105">
        <f t="shared" si="744"/>
        <v>106.15787170301648</v>
      </c>
      <c r="S122" s="105">
        <f t="shared" si="744"/>
        <v>105.48853763671204</v>
      </c>
      <c r="T122" s="105">
        <f t="shared" si="744"/>
        <v>104.51349420446171</v>
      </c>
      <c r="U122" s="105">
        <f t="shared" si="744"/>
        <v>103.43190529884754</v>
      </c>
      <c r="V122" s="105">
        <f t="shared" si="744"/>
        <v>102.24381547908503</v>
      </c>
      <c r="W122" s="105">
        <f t="shared" si="744"/>
        <v>100.9491899030089</v>
      </c>
      <c r="X122" s="105">
        <f t="shared" si="744"/>
        <v>99.547132232112489</v>
      </c>
      <c r="Y122" s="105">
        <f t="shared" si="744"/>
        <v>98.451863331189926</v>
      </c>
      <c r="Z122" s="105">
        <f t="shared" si="744"/>
        <v>97.284784802210709</v>
      </c>
      <c r="AA122" s="105">
        <f t="shared" si="744"/>
        <v>96.042068477641209</v>
      </c>
      <c r="AB122" s="105">
        <f t="shared" si="744"/>
        <v>94.720507519449498</v>
      </c>
      <c r="AC122" s="105">
        <f t="shared" si="744"/>
        <v>93.315878847691025</v>
      </c>
      <c r="AD122" s="105">
        <f t="shared" si="744"/>
        <v>91.82358082671648</v>
      </c>
      <c r="AE122" s="105">
        <f t="shared" si="744"/>
        <v>90.238975379288163</v>
      </c>
      <c r="AF122" s="105">
        <f t="shared" si="744"/>
        <v>88.557913061559674</v>
      </c>
      <c r="AG122" s="105">
        <f t="shared" si="744"/>
        <v>86.77759356286478</v>
      </c>
      <c r="AH122" s="105">
        <f t="shared" si="744"/>
        <v>84.897384997644039</v>
      </c>
      <c r="AJ122" s="105">
        <f>AJ116-AJ120-AJ121</f>
        <v>70.960264661181853</v>
      </c>
      <c r="AK122" s="105">
        <f t="shared" ref="AK122" si="745">AK116-AK120-AK121</f>
        <v>74.847246520023134</v>
      </c>
      <c r="AL122" s="105">
        <f t="shared" ref="AL122" si="746">AL116-AL120-AL121</f>
        <v>78.63095264141441</v>
      </c>
      <c r="AM122" s="105">
        <f t="shared" ref="AM122" si="747">AM116-AM120-AM121</f>
        <v>82.38719693917794</v>
      </c>
      <c r="AN122" s="105">
        <f t="shared" ref="AN122" si="748">AN116-AN120-AN121</f>
        <v>86.11547168245923</v>
      </c>
      <c r="AO122" s="105">
        <f t="shared" ref="AO122" si="749">AO116-AO120-AO121</f>
        <v>89.828404700536211</v>
      </c>
      <c r="AP122" s="105">
        <f t="shared" ref="AP122" si="750">AP116-AP120-AP121</f>
        <v>93.502812065913716</v>
      </c>
      <c r="AQ122" s="105">
        <f t="shared" ref="AQ122" si="751">AQ116-AQ120-AQ121</f>
        <v>97.145337003467901</v>
      </c>
      <c r="AR122" s="105">
        <f t="shared" ref="AR122" si="752">AR116-AR120-AR121</f>
        <v>100.7549125338379</v>
      </c>
      <c r="AS122" s="105">
        <f t="shared" ref="AS122" si="753">AS116-AS120-AS121</f>
        <v>104.3303461312243</v>
      </c>
      <c r="AT122" s="105">
        <f t="shared" ref="AT122" si="754">AT116-AT120-AT121</f>
        <v>107.8702359218275</v>
      </c>
      <c r="AU122" s="105">
        <f t="shared" ref="AU122" si="755">AU116-AU120-AU121</f>
        <v>107.58477613020855</v>
      </c>
      <c r="AV122" s="105">
        <f t="shared" ref="AV122" si="756">AV116-AV120-AV121</f>
        <v>107.21212371901277</v>
      </c>
      <c r="AW122" s="105">
        <f t="shared" ref="AW122" si="757">AW116-AW120-AW121</f>
        <v>106.74910231736973</v>
      </c>
      <c r="AX122" s="105">
        <f t="shared" ref="AX122" si="758">AX116-AX120-AX121</f>
        <v>106.1928445213653</v>
      </c>
      <c r="AY122" s="105">
        <f t="shared" ref="AY122" si="759">AY116-AY120-AY121</f>
        <v>105.54078958403156</v>
      </c>
      <c r="AZ122" s="105">
        <f t="shared" ref="AZ122" si="760">AZ116-AZ120-AZ121</f>
        <v>104.58707590260325</v>
      </c>
      <c r="BA122" s="105">
        <f t="shared" ref="BA122" si="761">BA116-BA120-BA121</f>
        <v>103.52976851529387</v>
      </c>
      <c r="BB122" s="105">
        <f t="shared" ref="BB122" si="762">BB116-BB120-BB121</f>
        <v>102.36733898145572</v>
      </c>
      <c r="BC122" s="105">
        <f t="shared" ref="BC122" si="763">BC116-BC120-BC121</f>
        <v>101.0981856903411</v>
      </c>
      <c r="BD122" s="105">
        <f t="shared" ref="BD122" si="764">BD116-BD120-BD121</f>
        <v>99.720243310270192</v>
      </c>
      <c r="BE122" s="105">
        <f t="shared" ref="BE122" si="765">BE116-BE120-BE121</f>
        <v>98.641702965661736</v>
      </c>
      <c r="BF122" s="105">
        <f t="shared" ref="BF122" si="766">BF116-BF120-BF121</f>
        <v>97.488255152960605</v>
      </c>
      <c r="BG122" s="105">
        <f t="shared" ref="BG122" si="767">BG116-BG120-BG121</f>
        <v>96.256653582692465</v>
      </c>
      <c r="BH122" s="105">
        <f t="shared" ref="BH122" si="768">BH116-BH120-BH121</f>
        <v>94.944508800276935</v>
      </c>
      <c r="BI122" s="105">
        <f t="shared" ref="BI122" si="769">BI116-BI120-BI121</f>
        <v>93.548669189767196</v>
      </c>
      <c r="BJ122" s="105">
        <f t="shared" ref="BJ122" si="770">BJ116-BJ120-BJ121</f>
        <v>92.065771246816496</v>
      </c>
      <c r="BK122" s="105">
        <f t="shared" ref="BK122" si="771">BK116-BK120-BK121</f>
        <v>90.492449723041588</v>
      </c>
      <c r="BL122" s="105">
        <f t="shared" ref="BL122" si="772">BL116-BL120-BL121</f>
        <v>88.825587198469037</v>
      </c>
      <c r="BM122" s="105">
        <f t="shared" ref="BM122" si="773">BM116-BM120-BM121</f>
        <v>87.062748183743253</v>
      </c>
      <c r="BN122" s="105">
        <f t="shared" ref="BN122" si="774">BN116-BN120-BN121</f>
        <v>85.202593142597024</v>
      </c>
    </row>
    <row r="123" spans="1:67" s="67" customFormat="1">
      <c r="A123" s="752"/>
      <c r="B123" s="58" t="s">
        <v>246</v>
      </c>
      <c r="C123" s="59" t="s">
        <v>153</v>
      </c>
      <c r="D123" s="60">
        <f>D117</f>
        <v>7.192774760698633</v>
      </c>
      <c r="E123" s="60">
        <f t="shared" ref="E123:AH123" si="775">E117</f>
        <v>7.6701919950218329</v>
      </c>
      <c r="F123" s="60">
        <f t="shared" si="775"/>
        <v>8.1151732484965002</v>
      </c>
      <c r="G123" s="60">
        <f t="shared" si="775"/>
        <v>8.5604942420517567</v>
      </c>
      <c r="H123" s="60">
        <f t="shared" si="775"/>
        <v>9.0062340740855351</v>
      </c>
      <c r="I123" s="60">
        <f t="shared" si="775"/>
        <v>9.4524831996188503</v>
      </c>
      <c r="J123" s="60">
        <f t="shared" si="775"/>
        <v>9.898966169608217</v>
      </c>
      <c r="K123" s="60">
        <f t="shared" si="775"/>
        <v>10.345731576482926</v>
      </c>
      <c r="L123" s="60">
        <f t="shared" si="775"/>
        <v>10.792835538045908</v>
      </c>
      <c r="M123" s="60">
        <f t="shared" si="775"/>
        <v>11.240342220987703</v>
      </c>
      <c r="N123" s="60">
        <f t="shared" si="775"/>
        <v>11.688324500652046</v>
      </c>
      <c r="O123" s="60">
        <f t="shared" si="775"/>
        <v>11.860765399353628</v>
      </c>
      <c r="P123" s="60">
        <f t="shared" si="775"/>
        <v>12.03398615829053</v>
      </c>
      <c r="Q123" s="60">
        <f t="shared" si="775"/>
        <v>12.208170785057032</v>
      </c>
      <c r="R123" s="60">
        <f t="shared" si="775"/>
        <v>12.383554988096657</v>
      </c>
      <c r="S123" s="60">
        <f t="shared" si="775"/>
        <v>12.560379382232504</v>
      </c>
      <c r="T123" s="60">
        <f t="shared" si="775"/>
        <v>12.71798498942632</v>
      </c>
      <c r="U123" s="60">
        <f t="shared" si="775"/>
        <v>12.876819121108156</v>
      </c>
      <c r="V123" s="60">
        <f t="shared" si="775"/>
        <v>13.037055993049329</v>
      </c>
      <c r="W123" s="60">
        <f t="shared" si="775"/>
        <v>13.198889853921564</v>
      </c>
      <c r="X123" s="60">
        <f t="shared" si="775"/>
        <v>13.3625372025079</v>
      </c>
      <c r="Y123" s="60">
        <f t="shared" si="775"/>
        <v>13.472466486596065</v>
      </c>
      <c r="Z123" s="60">
        <f t="shared" si="775"/>
        <v>13.584048271977707</v>
      </c>
      <c r="AA123" s="60">
        <f t="shared" si="775"/>
        <v>13.697506626201129</v>
      </c>
      <c r="AB123" s="60">
        <f t="shared" si="775"/>
        <v>13.813191558337726</v>
      </c>
      <c r="AC123" s="60">
        <f t="shared" si="775"/>
        <v>13.931445167675925</v>
      </c>
      <c r="AD123" s="60">
        <f t="shared" si="775"/>
        <v>14.052642876498773</v>
      </c>
      <c r="AE123" s="60">
        <f t="shared" si="775"/>
        <v>14.177209911584622</v>
      </c>
      <c r="AF123" s="60">
        <f t="shared" si="775"/>
        <v>14.305620837810409</v>
      </c>
      <c r="AG123" s="60">
        <f t="shared" si="775"/>
        <v>14.438405059659877</v>
      </c>
      <c r="AH123" s="60">
        <f t="shared" si="775"/>
        <v>14.576152944820873</v>
      </c>
      <c r="AJ123" s="60">
        <f>AJ117</f>
        <v>7.192774760698633</v>
      </c>
      <c r="AK123" s="60">
        <f t="shared" ref="AK123:BN123" si="776">AK117</f>
        <v>7.6685964578062071</v>
      </c>
      <c r="AL123" s="60">
        <f t="shared" si="776"/>
        <v>8.1099903216283877</v>
      </c>
      <c r="AM123" s="60">
        <f t="shared" si="776"/>
        <v>8.5516156549620259</v>
      </c>
      <c r="AN123" s="60">
        <f t="shared" si="776"/>
        <v>8.9935675445416532</v>
      </c>
      <c r="AO123" s="60">
        <f t="shared" si="776"/>
        <v>9.4359542814995496</v>
      </c>
      <c r="AP123" s="60">
        <f t="shared" si="776"/>
        <v>9.8783853145333076</v>
      </c>
      <c r="AQ123" s="60">
        <f t="shared" si="776"/>
        <v>10.320904072930123</v>
      </c>
      <c r="AR123" s="60">
        <f t="shared" si="776"/>
        <v>10.763561627569739</v>
      </c>
      <c r="AS123" s="60">
        <f t="shared" si="776"/>
        <v>11.206417234198543</v>
      </c>
      <c r="AT123" s="60">
        <f t="shared" si="776"/>
        <v>11.649539013500544</v>
      </c>
      <c r="AU123" s="60">
        <f t="shared" si="776"/>
        <v>11.813921494036974</v>
      </c>
      <c r="AV123" s="60">
        <f t="shared" si="776"/>
        <v>11.978837356992013</v>
      </c>
      <c r="AW123" s="60">
        <f t="shared" si="776"/>
        <v>12.144491923518496</v>
      </c>
      <c r="AX123" s="60">
        <f t="shared" si="776"/>
        <v>12.311161727224958</v>
      </c>
      <c r="AY123" s="60">
        <f t="shared" si="776"/>
        <v>12.479123902090244</v>
      </c>
      <c r="AZ123" s="60">
        <f t="shared" si="776"/>
        <v>12.627520533595479</v>
      </c>
      <c r="BA123" s="60">
        <f t="shared" si="776"/>
        <v>12.776789887713255</v>
      </c>
      <c r="BB123" s="60">
        <f t="shared" si="776"/>
        <v>12.927097081385364</v>
      </c>
      <c r="BC123" s="60">
        <f t="shared" si="776"/>
        <v>13.078627217301721</v>
      </c>
      <c r="BD123" s="60">
        <f t="shared" si="776"/>
        <v>13.231587607531351</v>
      </c>
      <c r="BE123" s="60">
        <f t="shared" si="776"/>
        <v>13.325930770981529</v>
      </c>
      <c r="BF123" s="60">
        <f t="shared" si="776"/>
        <v>13.421307890204508</v>
      </c>
      <c r="BG123" s="60">
        <f t="shared" si="776"/>
        <v>13.5179035493765</v>
      </c>
      <c r="BH123" s="60">
        <f t="shared" si="776"/>
        <v>13.616073951506525</v>
      </c>
      <c r="BI123" s="60">
        <f t="shared" si="776"/>
        <v>13.71614584660418</v>
      </c>
      <c r="BJ123" s="60">
        <f t="shared" si="776"/>
        <v>13.818476692724278</v>
      </c>
      <c r="BK123" s="60">
        <f t="shared" si="776"/>
        <v>13.923475812609791</v>
      </c>
      <c r="BL123" s="60">
        <f t="shared" si="776"/>
        <v>14.031601846198289</v>
      </c>
      <c r="BM123" s="60">
        <f t="shared" si="776"/>
        <v>14.14336826339335</v>
      </c>
      <c r="BN123" s="60">
        <f t="shared" si="776"/>
        <v>14.25934949916479</v>
      </c>
    </row>
    <row r="124" spans="1:67">
      <c r="A124" s="753"/>
      <c r="B124" s="1" t="s">
        <v>247</v>
      </c>
      <c r="C124" s="54" t="s">
        <v>153</v>
      </c>
      <c r="D124" s="44">
        <f>D118</f>
        <v>28.065001267929215</v>
      </c>
      <c r="E124" s="44">
        <f t="shared" ref="E124:AH124" si="777">E118</f>
        <v>28.136286371149751</v>
      </c>
      <c r="F124" s="44">
        <f t="shared" si="777"/>
        <v>28.196004203447703</v>
      </c>
      <c r="G124" s="44">
        <f t="shared" si="777"/>
        <v>28.243584960541014</v>
      </c>
      <c r="H124" s="44">
        <f t="shared" si="777"/>
        <v>28.278438746237001</v>
      </c>
      <c r="I124" s="44">
        <f t="shared" si="777"/>
        <v>28.29995494963087</v>
      </c>
      <c r="J124" s="44">
        <f t="shared" si="777"/>
        <v>28.307501604284109</v>
      </c>
      <c r="K124" s="44">
        <f t="shared" si="777"/>
        <v>28.30042472888303</v>
      </c>
      <c r="L124" s="44">
        <f t="shared" si="777"/>
        <v>28.278047648864838</v>
      </c>
      <c r="M124" s="44">
        <f t="shared" si="777"/>
        <v>28.239670298484235</v>
      </c>
      <c r="N124" s="44">
        <f t="shared" si="777"/>
        <v>28.184568502779875</v>
      </c>
      <c r="O124" s="44">
        <f t="shared" si="777"/>
        <v>27.030762729697322</v>
      </c>
      <c r="P124" s="44">
        <f t="shared" si="777"/>
        <v>25.808972254315002</v>
      </c>
      <c r="Q124" s="44">
        <f t="shared" si="777"/>
        <v>24.516680143581084</v>
      </c>
      <c r="R124" s="44">
        <f t="shared" si="777"/>
        <v>23.151289649430872</v>
      </c>
      <c r="S124" s="44">
        <f t="shared" si="777"/>
        <v>21.710121868753799</v>
      </c>
      <c r="T124" s="44">
        <f t="shared" si="777"/>
        <v>20.190413337941031</v>
      </c>
      <c r="U124" s="44">
        <f t="shared" si="777"/>
        <v>18.589313560242303</v>
      </c>
      <c r="V124" s="44">
        <f t="shared" si="777"/>
        <v>16.903882464113668</v>
      </c>
      <c r="W124" s="44">
        <f t="shared" si="777"/>
        <v>15.131087790689747</v>
      </c>
      <c r="X124" s="44">
        <f t="shared" si="777"/>
        <v>13.26780240846481</v>
      </c>
      <c r="Y124" s="44">
        <f t="shared" si="777"/>
        <v>12.215665677473545</v>
      </c>
      <c r="Z124" s="44">
        <f t="shared" si="777"/>
        <v>11.108111989382607</v>
      </c>
      <c r="AA124" s="44">
        <f t="shared" si="777"/>
        <v>9.9431487444961135</v>
      </c>
      <c r="AB124" s="44">
        <f t="shared" si="777"/>
        <v>8.7187209991024446</v>
      </c>
      <c r="AC124" s="44">
        <f t="shared" si="777"/>
        <v>7.4327096517348323</v>
      </c>
      <c r="AD124" s="44">
        <f t="shared" si="777"/>
        <v>6.0829295789797868</v>
      </c>
      <c r="AE124" s="44">
        <f t="shared" si="777"/>
        <v>4.6671277194722407</v>
      </c>
      <c r="AF124" s="44">
        <f t="shared" si="777"/>
        <v>3.1829811046800671</v>
      </c>
      <c r="AG124" s="44">
        <f t="shared" si="777"/>
        <v>1.6280948350438535</v>
      </c>
      <c r="AH124" s="44">
        <f t="shared" si="777"/>
        <v>0</v>
      </c>
      <c r="AJ124" s="44">
        <f>AJ118</f>
        <v>28.065001267929215</v>
      </c>
      <c r="AK124" s="44">
        <f t="shared" ref="AK124:BN124" si="778">AK118</f>
        <v>28.136286371149751</v>
      </c>
      <c r="AL124" s="44">
        <f t="shared" si="778"/>
        <v>28.196004203447703</v>
      </c>
      <c r="AM124" s="44">
        <f t="shared" si="778"/>
        <v>28.243584960541014</v>
      </c>
      <c r="AN124" s="44">
        <f t="shared" si="778"/>
        <v>28.278438746237001</v>
      </c>
      <c r="AO124" s="44">
        <f t="shared" si="778"/>
        <v>28.29995494963087</v>
      </c>
      <c r="AP124" s="44">
        <f t="shared" si="778"/>
        <v>28.307501604284109</v>
      </c>
      <c r="AQ124" s="44">
        <f t="shared" si="778"/>
        <v>28.30042472888303</v>
      </c>
      <c r="AR124" s="44">
        <f t="shared" si="778"/>
        <v>28.278047648864838</v>
      </c>
      <c r="AS124" s="44">
        <f t="shared" si="778"/>
        <v>28.239670298484235</v>
      </c>
      <c r="AT124" s="44">
        <f t="shared" si="778"/>
        <v>28.184568502779875</v>
      </c>
      <c r="AU124" s="44">
        <f t="shared" si="778"/>
        <v>27.030762729697322</v>
      </c>
      <c r="AV124" s="44">
        <f t="shared" si="778"/>
        <v>25.808972254315002</v>
      </c>
      <c r="AW124" s="44">
        <f t="shared" si="778"/>
        <v>24.516680143581084</v>
      </c>
      <c r="AX124" s="44">
        <f t="shared" si="778"/>
        <v>23.151289649430872</v>
      </c>
      <c r="AY124" s="44">
        <f t="shared" si="778"/>
        <v>21.710121868753799</v>
      </c>
      <c r="AZ124" s="44">
        <f t="shared" si="778"/>
        <v>20.190413337941031</v>
      </c>
      <c r="BA124" s="44">
        <f t="shared" si="778"/>
        <v>18.589313560242303</v>
      </c>
      <c r="BB124" s="44">
        <f t="shared" si="778"/>
        <v>16.903882464113668</v>
      </c>
      <c r="BC124" s="44">
        <f t="shared" si="778"/>
        <v>15.131087790689747</v>
      </c>
      <c r="BD124" s="44">
        <f t="shared" si="778"/>
        <v>13.26780240846481</v>
      </c>
      <c r="BE124" s="44">
        <f t="shared" si="778"/>
        <v>12.215665677473545</v>
      </c>
      <c r="BF124" s="44">
        <f t="shared" si="778"/>
        <v>11.108111989382607</v>
      </c>
      <c r="BG124" s="44">
        <f t="shared" si="778"/>
        <v>9.9431487444961135</v>
      </c>
      <c r="BH124" s="44">
        <f t="shared" si="778"/>
        <v>8.7187209991024446</v>
      </c>
      <c r="BI124" s="44">
        <f t="shared" si="778"/>
        <v>7.4327096517348323</v>
      </c>
      <c r="BJ124" s="44">
        <f t="shared" si="778"/>
        <v>6.0829295789797868</v>
      </c>
      <c r="BK124" s="44">
        <f t="shared" si="778"/>
        <v>4.6671277194722407</v>
      </c>
      <c r="BL124" s="44">
        <f t="shared" si="778"/>
        <v>3.1829811046800671</v>
      </c>
      <c r="BM124" s="44">
        <f t="shared" si="778"/>
        <v>1.6280948350438535</v>
      </c>
      <c r="BN124" s="44">
        <f t="shared" si="778"/>
        <v>0</v>
      </c>
    </row>
    <row r="125" spans="1:67" s="68" customFormat="1">
      <c r="A125" s="754"/>
      <c r="B125" s="62" t="s">
        <v>248</v>
      </c>
      <c r="C125" s="283" t="s">
        <v>153</v>
      </c>
      <c r="D125" s="284">
        <f>D119-D120-D121</f>
        <v>35.702486591718959</v>
      </c>
      <c r="E125" s="284">
        <f t="shared" ref="E125:AH125" si="779">E119-E120-E121</f>
        <v>39.040762023841758</v>
      </c>
      <c r="F125" s="284">
        <f t="shared" si="779"/>
        <v>42.319761971146498</v>
      </c>
      <c r="G125" s="284">
        <f t="shared" si="779"/>
        <v>45.58308947611205</v>
      </c>
      <c r="H125" s="284">
        <f t="shared" si="779"/>
        <v>48.830738997982003</v>
      </c>
      <c r="I125" s="284">
        <f t="shared" si="779"/>
        <v>52.065606882901456</v>
      </c>
      <c r="J125" s="284">
        <f t="shared" si="779"/>
        <v>55.286397171891352</v>
      </c>
      <c r="K125" s="284">
        <f t="shared" si="779"/>
        <v>58.489448006807557</v>
      </c>
      <c r="L125" s="284">
        <f t="shared" si="779"/>
        <v>61.674177678679776</v>
      </c>
      <c r="M125" s="284">
        <f t="shared" si="779"/>
        <v>64.839784979914711</v>
      </c>
      <c r="N125" s="284">
        <f t="shared" si="779"/>
        <v>67.98508109020419</v>
      </c>
      <c r="O125" s="284">
        <f t="shared" si="779"/>
        <v>68.679171788379008</v>
      </c>
      <c r="P125" s="284">
        <f t="shared" si="779"/>
        <v>69.35080353442136</v>
      </c>
      <c r="Q125" s="284">
        <f t="shared" si="779"/>
        <v>69.998202377140942</v>
      </c>
      <c r="R125" s="284">
        <f t="shared" si="779"/>
        <v>70.620034546618356</v>
      </c>
      <c r="S125" s="284">
        <f t="shared" si="779"/>
        <v>71.215809101609793</v>
      </c>
      <c r="T125" s="284">
        <f t="shared" si="779"/>
        <v>71.603500241260946</v>
      </c>
      <c r="U125" s="284">
        <f t="shared" si="779"/>
        <v>71.964673394782494</v>
      </c>
      <c r="V125" s="284">
        <f t="shared" si="779"/>
        <v>72.30213744504637</v>
      </c>
      <c r="W125" s="284">
        <f t="shared" si="779"/>
        <v>72.618694147687549</v>
      </c>
      <c r="X125" s="284">
        <f t="shared" si="779"/>
        <v>72.916356507309601</v>
      </c>
      <c r="Y125" s="284">
        <f t="shared" si="779"/>
        <v>72.764405687701114</v>
      </c>
      <c r="Z125" s="284">
        <f t="shared" si="779"/>
        <v>72.594198753930456</v>
      </c>
      <c r="AA125" s="284">
        <f t="shared" si="779"/>
        <v>72.403674309235569</v>
      </c>
      <c r="AB125" s="284">
        <f t="shared" si="779"/>
        <v>72.191328881482818</v>
      </c>
      <c r="AC125" s="284">
        <f t="shared" si="779"/>
        <v>71.954715020994939</v>
      </c>
      <c r="AD125" s="284">
        <f t="shared" si="779"/>
        <v>71.691040196829007</v>
      </c>
      <c r="AE125" s="284">
        <f t="shared" si="779"/>
        <v>71.397493210638004</v>
      </c>
      <c r="AF125" s="284">
        <f t="shared" si="779"/>
        <v>71.071772263329777</v>
      </c>
      <c r="AG125" s="284">
        <f t="shared" si="779"/>
        <v>70.712941980744105</v>
      </c>
      <c r="AH125" s="284">
        <f t="shared" si="779"/>
        <v>70.322248665359027</v>
      </c>
      <c r="AJ125" s="284">
        <f>AJ119-AJ120-AJ121</f>
        <v>35.702488632554008</v>
      </c>
      <c r="AK125" s="284">
        <f t="shared" ref="AK125:BN125" si="780">AK119-AK120-AK121</f>
        <v>39.042363691067166</v>
      </c>
      <c r="AL125" s="284">
        <f t="shared" si="780"/>
        <v>42.324958116338323</v>
      </c>
      <c r="AM125" s="284">
        <f t="shared" si="780"/>
        <v>45.591996323674927</v>
      </c>
      <c r="AN125" s="284">
        <f t="shared" si="780"/>
        <v>48.843465391680589</v>
      </c>
      <c r="AO125" s="284">
        <f t="shared" si="780"/>
        <v>52.08226130361475</v>
      </c>
      <c r="AP125" s="284">
        <f t="shared" si="780"/>
        <v>55.307238552216702</v>
      </c>
      <c r="AQ125" s="284">
        <f t="shared" si="780"/>
        <v>58.514809741382479</v>
      </c>
      <c r="AR125" s="284">
        <f t="shared" si="780"/>
        <v>61.7045302366435</v>
      </c>
      <c r="AS125" s="284">
        <f t="shared" si="780"/>
        <v>64.875845143130618</v>
      </c>
      <c r="AT125" s="284">
        <f t="shared" si="780"/>
        <v>68.028005553722522</v>
      </c>
      <c r="AU125" s="284">
        <f t="shared" si="780"/>
        <v>68.733538393296058</v>
      </c>
      <c r="AV125" s="284">
        <f t="shared" si="780"/>
        <v>69.419147475618061</v>
      </c>
      <c r="AW125" s="284">
        <f t="shared" si="780"/>
        <v>70.083954572812814</v>
      </c>
      <c r="AX125" s="284">
        <f t="shared" si="780"/>
        <v>70.727400625838868</v>
      </c>
      <c r="AY125" s="284">
        <f t="shared" si="780"/>
        <v>71.349316529071572</v>
      </c>
      <c r="AZ125" s="284">
        <f t="shared" si="780"/>
        <v>71.767546395233339</v>
      </c>
      <c r="BA125" s="284">
        <f t="shared" si="780"/>
        <v>72.162565844623728</v>
      </c>
      <c r="BB125" s="284">
        <f t="shared" si="780"/>
        <v>72.535619859081024</v>
      </c>
      <c r="BC125" s="284">
        <f t="shared" si="780"/>
        <v>72.887952571639588</v>
      </c>
      <c r="BD125" s="284">
        <f t="shared" si="780"/>
        <v>73.22041718044386</v>
      </c>
      <c r="BE125" s="284">
        <f t="shared" si="780"/>
        <v>73.100781037787456</v>
      </c>
      <c r="BF125" s="284">
        <f t="shared" si="780"/>
        <v>72.960409486453543</v>
      </c>
      <c r="BG125" s="284">
        <f t="shared" si="780"/>
        <v>72.797862491111459</v>
      </c>
      <c r="BH125" s="284">
        <f t="shared" si="780"/>
        <v>72.612447769141454</v>
      </c>
      <c r="BI125" s="284">
        <f t="shared" si="780"/>
        <v>72.402804684142851</v>
      </c>
      <c r="BJ125" s="284">
        <f t="shared" si="780"/>
        <v>72.167396800703514</v>
      </c>
      <c r="BK125" s="284">
        <f t="shared" si="780"/>
        <v>71.90470165336626</v>
      </c>
      <c r="BL125" s="284">
        <f t="shared" si="780"/>
        <v>71.613465391851264</v>
      </c>
      <c r="BM125" s="284">
        <f t="shared" si="780"/>
        <v>71.293133397889108</v>
      </c>
      <c r="BN125" s="284">
        <f t="shared" si="780"/>
        <v>70.944260255968103</v>
      </c>
    </row>
    <row r="126" spans="1:67" s="426" customFormat="1">
      <c r="A126" s="425" t="s">
        <v>233</v>
      </c>
      <c r="C126" s="429" t="s">
        <v>153</v>
      </c>
      <c r="D126" s="430">
        <f>'Methanol Recycling HC'!C345</f>
        <v>0.8594591808019032</v>
      </c>
      <c r="E126" s="430">
        <f>'Methanol Recycling HC'!D345</f>
        <v>1.2939240814570505</v>
      </c>
      <c r="F126" s="430">
        <f>'Methanol Recycling HC'!E345</f>
        <v>1.4020935960019709</v>
      </c>
      <c r="G126" s="430">
        <f>'Methanol Recycling HC'!F345</f>
        <v>1.5112618350054672</v>
      </c>
      <c r="H126" s="430">
        <f>'Methanol Recycling HC'!G345</f>
        <v>1.6206876435757709</v>
      </c>
      <c r="I126" s="430">
        <f>'Methanol Recycling HC'!H345</f>
        <v>1.7295790171470016</v>
      </c>
      <c r="J126" s="430">
        <f>'Methanol Recycling HC'!I345</f>
        <v>1.8410482128180794</v>
      </c>
      <c r="K126" s="430">
        <f>'Methanol Recycling HC'!J345</f>
        <v>1.9548666064667473</v>
      </c>
      <c r="L126" s="430">
        <f>'Methanol Recycling HC'!K345</f>
        <v>2.0706712533492495</v>
      </c>
      <c r="M126" s="430">
        <f>'Methanol Recycling HC'!L345</f>
        <v>2.1878715891793119</v>
      </c>
      <c r="N126" s="430">
        <f>'Methanol Recycling HC'!M345</f>
        <v>2.30548068631429</v>
      </c>
      <c r="O126" s="430">
        <f>'Methanol Recycling HC'!N345</f>
        <v>2.3648127267084251</v>
      </c>
      <c r="P126" s="430">
        <f>'Methanol Recycling HC'!O345</f>
        <v>2.4155906363842359</v>
      </c>
      <c r="Q126" s="430">
        <f>'Methanol Recycling HC'!P345</f>
        <v>2.4558633599386046</v>
      </c>
      <c r="R126" s="430">
        <f>'Methanol Recycling HC'!Q345</f>
        <v>2.4832914549474192</v>
      </c>
      <c r="S126" s="430">
        <f>'Methanol Recycling HC'!R345</f>
        <v>2.496773699240411</v>
      </c>
      <c r="T126" s="430">
        <f>'Methanol Recycling HC'!S345</f>
        <v>2.5013746538081887</v>
      </c>
      <c r="U126" s="430">
        <f>'Methanol Recycling HC'!T345</f>
        <v>2.4992018527655002</v>
      </c>
      <c r="V126" s="430">
        <f>'Methanol Recycling HC'!U345</f>
        <v>2.4933089552029037</v>
      </c>
      <c r="W126" s="430">
        <f>'Methanol Recycling HC'!V345</f>
        <v>2.4867350212527262</v>
      </c>
      <c r="X126" s="430">
        <f>'Methanol Recycling HC'!W345</f>
        <v>2.4817214562831365</v>
      </c>
      <c r="Y126" s="430">
        <f>'Methanol Recycling HC'!X345</f>
        <v>2.4103832860212959</v>
      </c>
      <c r="Z126" s="430">
        <f>'Methanol Recycling HC'!Y345</f>
        <v>2.3418558629252142</v>
      </c>
      <c r="AA126" s="430">
        <f>'Methanol Recycling HC'!Z345</f>
        <v>2.2752277432831498</v>
      </c>
      <c r="AB126" s="430">
        <f>'Methanol Recycling HC'!AA345</f>
        <v>2.2082798838973616</v>
      </c>
      <c r="AC126" s="430">
        <f>'Methanol Recycling HC'!AB345</f>
        <v>2.1387214703045578</v>
      </c>
      <c r="AD126" s="430">
        <f>'Methanol Recycling HC'!AC345</f>
        <v>2.0639501226555006</v>
      </c>
      <c r="AE126" s="430">
        <f>'Methanol Recycling HC'!AD345</f>
        <v>1.9812660378122935</v>
      </c>
      <c r="AF126" s="430">
        <f>'Methanol Recycling HC'!AE345</f>
        <v>1.8884485788033749</v>
      </c>
      <c r="AG126" s="430">
        <f>'Methanol Recycling HC'!AF345</f>
        <v>1.7846091234069115</v>
      </c>
      <c r="AH126" s="430">
        <f>'Methanol Recycling HC'!AG345</f>
        <v>1.6710016597091701</v>
      </c>
      <c r="AI126" s="430"/>
      <c r="AJ126" s="430">
        <f>'Methanol Recycling LC'!C345</f>
        <v>0.85946092370731653</v>
      </c>
      <c r="AK126" s="430">
        <f>'Methanol Recycling LC'!D345</f>
        <v>0.95743564722812424</v>
      </c>
      <c r="AL126" s="430">
        <f>'Methanol Recycling LC'!E345</f>
        <v>1.0587652534880594</v>
      </c>
      <c r="AM126" s="430">
        <f>'Methanol Recycling LC'!F345</f>
        <v>1.1629131650936226</v>
      </c>
      <c r="AN126" s="430">
        <f>'Methanol Recycling LC'!G345</f>
        <v>1.2692825975550719</v>
      </c>
      <c r="AO126" s="430">
        <f>'Methanol Recycling LC'!H345</f>
        <v>1.3772172920114303</v>
      </c>
      <c r="AP126" s="430">
        <f>'Methanol Recycling LC'!I345</f>
        <v>1.4892051608089549</v>
      </c>
      <c r="AQ126" s="430">
        <f>'Methanol Recycling LC'!J345</f>
        <v>1.6051806594397138</v>
      </c>
      <c r="AR126" s="430">
        <f>'Methanol Recycling LC'!K345</f>
        <v>1.7250066011682759</v>
      </c>
      <c r="AS126" s="430">
        <f>'Methanol Recycling LC'!L345</f>
        <v>1.8484248625932536</v>
      </c>
      <c r="AT126" s="430">
        <f>'Methanol Recycling LC'!M345</f>
        <v>1.9749667562669113</v>
      </c>
      <c r="AU126" s="430">
        <f>'Methanol Recycling LC'!N345</f>
        <v>2.0226952076656546</v>
      </c>
      <c r="AV126" s="430">
        <f>'Methanol Recycling LC'!O345</f>
        <v>2.0662042002408034</v>
      </c>
      <c r="AW126" s="430">
        <f>'Methanol Recycling LC'!P345</f>
        <v>2.1046640462544115</v>
      </c>
      <c r="AX126" s="430">
        <f>'Methanol Recycling LC'!Q345</f>
        <v>2.1367273652258145</v>
      </c>
      <c r="AY126" s="430">
        <f>'Methanol Recycling LC'!R345</f>
        <v>2.1617813773976073</v>
      </c>
      <c r="AZ126" s="430">
        <f>'Methanol Recycling LC'!S345</f>
        <v>2.183928016614674</v>
      </c>
      <c r="BA126" s="430">
        <f>'Methanol Recycling LC'!T345</f>
        <v>2.2041819747158851</v>
      </c>
      <c r="BB126" s="430">
        <f>'Methanol Recycling LC'!U345</f>
        <v>2.2240159818767906</v>
      </c>
      <c r="BC126" s="430">
        <f>'Methanol Recycling LC'!V345</f>
        <v>2.2449042008888824</v>
      </c>
      <c r="BD126" s="430">
        <f>'Methanol Recycling LC'!W345</f>
        <v>2.2679465086250747</v>
      </c>
      <c r="BE126" s="430">
        <f>'Methanol Recycling LC'!X345</f>
        <v>2.1907368135046981</v>
      </c>
      <c r="BF126" s="430">
        <f>'Methanol Recycling LC'!Y345</f>
        <v>2.1159940493443847</v>
      </c>
      <c r="BG126" s="430">
        <f>'Methanol Recycling LC'!Z345</f>
        <v>2.0434161358815324</v>
      </c>
      <c r="BH126" s="430">
        <f>'Methanol Recycling LC'!AA345</f>
        <v>1.9716891103628884</v>
      </c>
      <c r="BI126" s="430">
        <f>'Methanol Recycling LC'!AB345</f>
        <v>1.8997354188400859</v>
      </c>
      <c r="BJ126" s="430">
        <f>'Methanol Recycling LC'!AC345</f>
        <v>1.8263876030918615</v>
      </c>
      <c r="BK126" s="430">
        <f>'Methanol Recycling LC'!AD345</f>
        <v>1.829042636686637</v>
      </c>
      <c r="BL126" s="430">
        <f>'Methanol Recycling LC'!AE345</f>
        <v>1.8587680670995193</v>
      </c>
      <c r="BM126" s="430">
        <f>'Methanol Recycling LC'!AF345</f>
        <v>1.8787099884024767</v>
      </c>
      <c r="BN126" s="430">
        <f>'Methanol Recycling LC'!AG345</f>
        <v>1.8887533251276427</v>
      </c>
    </row>
    <row r="127" spans="1:67" s="428" customFormat="1">
      <c r="A127" s="427" t="s">
        <v>234</v>
      </c>
      <c r="C127" s="431" t="s">
        <v>153</v>
      </c>
      <c r="D127" s="432">
        <f>'Methanol Recycling HC'!C346</f>
        <v>9.4561515827997606</v>
      </c>
      <c r="E127" s="432">
        <f>'Methanol Recycling HC'!D346</f>
        <v>10.10794813617969</v>
      </c>
      <c r="F127" s="432">
        <f>'Methanol Recycling HC'!E346</f>
        <v>10.414358005407752</v>
      </c>
      <c r="G127" s="432">
        <f>'Methanol Recycling HC'!F346</f>
        <v>10.701162356758358</v>
      </c>
      <c r="H127" s="432">
        <f>'Methanol Recycling HC'!G346</f>
        <v>10.966245412396091</v>
      </c>
      <c r="I127" s="432">
        <f>'Methanol Recycling HC'!H346</f>
        <v>11.207596566436074</v>
      </c>
      <c r="J127" s="432">
        <f>'Methanol Recycling HC'!I346</f>
        <v>11.447963240631118</v>
      </c>
      <c r="K127" s="432">
        <f>'Methanol Recycling HC'!J346</f>
        <v>11.686905783158128</v>
      </c>
      <c r="L127" s="432">
        <f>'Methanol Recycling HC'!K346</f>
        <v>11.923852960726341</v>
      </c>
      <c r="M127" s="432">
        <f>'Methanol Recycling HC'!L346</f>
        <v>12.158009187325476</v>
      </c>
      <c r="N127" s="432">
        <f>'Methanol Recycling HC'!M346</f>
        <v>12.388186309340162</v>
      </c>
      <c r="O127" s="432">
        <f>'Methanol Recycling HC'!N346</f>
        <v>12.540920864553042</v>
      </c>
      <c r="P127" s="432">
        <f>'Methanol Recycling HC'!O346</f>
        <v>12.665329781512058</v>
      </c>
      <c r="Q127" s="432">
        <f>'Methanol Recycling HC'!P346</f>
        <v>12.759922448706627</v>
      </c>
      <c r="R127" s="432">
        <f>'Methanol Recycling HC'!Q346</f>
        <v>12.821037036555436</v>
      </c>
      <c r="S127" s="432">
        <f>'Methanol Recycling HC'!R346</f>
        <v>12.847314171870147</v>
      </c>
      <c r="T127" s="432">
        <f>'Methanol Recycling HC'!S346</f>
        <v>12.862319236664016</v>
      </c>
      <c r="U127" s="432">
        <f>'Methanol Recycling HC'!T346</f>
        <v>12.868137226763622</v>
      </c>
      <c r="V127" s="432">
        <f>'Methanol Recycling HC'!U346</f>
        <v>12.867800484558435</v>
      </c>
      <c r="W127" s="432">
        <f>'Methanol Recycling HC'!V346</f>
        <v>12.864328004593116</v>
      </c>
      <c r="X127" s="432">
        <f>'Methanol Recycling HC'!W346</f>
        <v>12.859942406568619</v>
      </c>
      <c r="Y127" s="432">
        <f>'Methanol Recycling HC'!X346</f>
        <v>12.786855527994472</v>
      </c>
      <c r="Z127" s="432">
        <f>'Methanol Recycling HC'!Y346</f>
        <v>12.714186611181704</v>
      </c>
      <c r="AA127" s="432">
        <f>'Methanol Recycling HC'!Z346</f>
        <v>12.642446898733557</v>
      </c>
      <c r="AB127" s="432">
        <f>'Methanol Recycling HC'!AA346</f>
        <v>12.567963305415546</v>
      </c>
      <c r="AC127" s="432">
        <f>'Methanol Recycling HC'!AB346</f>
        <v>12.48843155991559</v>
      </c>
      <c r="AD127" s="432">
        <f>'Methanol Recycling HC'!AC346</f>
        <v>12.40133481796479</v>
      </c>
      <c r="AE127" s="432">
        <f>'Methanol Recycling HC'!AD346</f>
        <v>12.303962074253823</v>
      </c>
      <c r="AF127" s="432">
        <f>'Methanol Recycling HC'!AE346</f>
        <v>12.194082656643731</v>
      </c>
      <c r="AG127" s="432">
        <f>'Methanol Recycling HC'!AF346</f>
        <v>12.070799094483757</v>
      </c>
      <c r="AH127" s="432">
        <f>'Methanol Recycling HC'!AG346</f>
        <v>11.935357733267329</v>
      </c>
      <c r="AI127" s="432"/>
      <c r="AJ127" s="432">
        <f>'Methanol Recycling LC'!C346</f>
        <v>9.4561533257051753</v>
      </c>
      <c r="AK127" s="432">
        <f>'Methanol Recycling LC'!D346</f>
        <v>9.7714597019507643</v>
      </c>
      <c r="AL127" s="432">
        <f>'Methanol Recycling LC'!E346</f>
        <v>10.071029662893842</v>
      </c>
      <c r="AM127" s="432">
        <f>'Methanol Recycling LC'!F346</f>
        <v>10.352813686846513</v>
      </c>
      <c r="AN127" s="432">
        <f>'Methanol Recycling LC'!G346</f>
        <v>10.614840366375393</v>
      </c>
      <c r="AO127" s="432">
        <f>'Methanol Recycling LC'!H346</f>
        <v>10.855234841300502</v>
      </c>
      <c r="AP127" s="432">
        <f>'Methanol Recycling LC'!I346</f>
        <v>11.096120188621994</v>
      </c>
      <c r="AQ127" s="432">
        <f>'Methanol Recycling LC'!J346</f>
        <v>11.337219836131094</v>
      </c>
      <c r="AR127" s="432">
        <f>'Methanol Recycling LC'!K346</f>
        <v>11.578188308545368</v>
      </c>
      <c r="AS127" s="432">
        <f>'Methanol Recycling LC'!L346</f>
        <v>11.818562460739416</v>
      </c>
      <c r="AT127" s="432">
        <f>'Methanol Recycling LC'!M346</f>
        <v>12.057672379292782</v>
      </c>
      <c r="AU127" s="432">
        <f>'Methanol Recycling LC'!N346</f>
        <v>12.198803345510271</v>
      </c>
      <c r="AV127" s="432">
        <f>'Methanol Recycling LC'!O346</f>
        <v>12.315943345368627</v>
      </c>
      <c r="AW127" s="432">
        <f>'Methanol Recycling LC'!P346</f>
        <v>12.408723135022434</v>
      </c>
      <c r="AX127" s="432">
        <f>'Methanol Recycling LC'!Q346</f>
        <v>12.474472946833831</v>
      </c>
      <c r="AY127" s="432">
        <f>'Methanol Recycling LC'!R346</f>
        <v>12.512321850027345</v>
      </c>
      <c r="AZ127" s="432">
        <f>'Methanol Recycling LC'!S346</f>
        <v>12.544872599470501</v>
      </c>
      <c r="BA127" s="432">
        <f>'Methanol Recycling LC'!T346</f>
        <v>12.573117348714007</v>
      </c>
      <c r="BB127" s="432">
        <f>'Methanol Recycling LC'!U346</f>
        <v>12.598507511232322</v>
      </c>
      <c r="BC127" s="432">
        <f>'Methanol Recycling LC'!V346</f>
        <v>12.622497184229271</v>
      </c>
      <c r="BD127" s="432">
        <f>'Methanol Recycling LC'!W346</f>
        <v>12.646167458910558</v>
      </c>
      <c r="BE127" s="432">
        <f>'Methanol Recycling LC'!X346</f>
        <v>12.567209055477873</v>
      </c>
      <c r="BF127" s="432">
        <f>'Methanol Recycling LC'!Y346</f>
        <v>12.488324797600875</v>
      </c>
      <c r="BG127" s="432">
        <f>'Methanol Recycling LC'!Z346</f>
        <v>12.410635291331939</v>
      </c>
      <c r="BH127" s="432">
        <f>'Methanol Recycling LC'!AA346</f>
        <v>12.331372531881073</v>
      </c>
      <c r="BI127" s="432">
        <f>'Methanol Recycling LC'!AB346</f>
        <v>12.249445508451117</v>
      </c>
      <c r="BJ127" s="432">
        <f>'Methanol Recycling LC'!AC346</f>
        <v>12.163772298401151</v>
      </c>
      <c r="BK127" s="432">
        <f>'Methanol Recycling LC'!AD346</f>
        <v>12.062779013101695</v>
      </c>
      <c r="BL127" s="432">
        <f>'Methanol Recycling LC'!AE346</f>
        <v>11.949486822009884</v>
      </c>
      <c r="BM127" s="432">
        <f>'Methanol Recycling LC'!AF346</f>
        <v>11.827148239896474</v>
      </c>
      <c r="BN127" s="432">
        <f>'Methanol Recycling LC'!AG346</f>
        <v>11.695642505133984</v>
      </c>
    </row>
    <row r="128" spans="1:67">
      <c r="A128" s="102" t="s">
        <v>254</v>
      </c>
      <c r="D128" s="44">
        <f>D116+D5</f>
        <v>102.16223893794904</v>
      </c>
      <c r="E128" s="44">
        <f t="shared" ref="E128:AH128" si="781">E116</f>
        <v>74.847252650032928</v>
      </c>
      <c r="F128" s="44">
        <f t="shared" si="781"/>
        <v>78.630965859738112</v>
      </c>
      <c r="G128" s="44">
        <f t="shared" si="781"/>
        <v>82.387225199651098</v>
      </c>
      <c r="H128" s="44">
        <f t="shared" si="781"/>
        <v>86.115531546613937</v>
      </c>
      <c r="I128" s="44">
        <f t="shared" si="781"/>
        <v>89.8285302031302</v>
      </c>
      <c r="J128" s="44">
        <f t="shared" si="781"/>
        <v>93.503072591164141</v>
      </c>
      <c r="K128" s="44">
        <f t="shared" si="781"/>
        <v>97.145871234490016</v>
      </c>
      <c r="L128" s="44">
        <f t="shared" si="781"/>
        <v>100.75599118132546</v>
      </c>
      <c r="M128" s="44">
        <f t="shared" si="781"/>
        <v>104.33248130765105</v>
      </c>
      <c r="N128" s="44">
        <f t="shared" si="781"/>
        <v>107.87437489819432</v>
      </c>
      <c r="O128" s="44">
        <f t="shared" si="781"/>
        <v>107.59229882980897</v>
      </c>
      <c r="P128" s="44">
        <f t="shared" si="781"/>
        <v>107.22531885891094</v>
      </c>
      <c r="Q128" s="44">
        <f t="shared" si="781"/>
        <v>106.77117565150307</v>
      </c>
      <c r="R128" s="44">
        <f t="shared" si="781"/>
        <v>106.22781733971414</v>
      </c>
      <c r="S128" s="44">
        <f t="shared" si="781"/>
        <v>105.59304153135109</v>
      </c>
      <c r="T128" s="44">
        <f t="shared" si="781"/>
        <v>104.6606576007448</v>
      </c>
      <c r="U128" s="44">
        <f t="shared" si="781"/>
        <v>103.62763173174019</v>
      </c>
      <c r="V128" s="44">
        <f t="shared" si="781"/>
        <v>102.49086248382642</v>
      </c>
      <c r="W128" s="44">
        <f t="shared" si="781"/>
        <v>101.24718147767331</v>
      </c>
      <c r="X128" s="44">
        <f t="shared" si="781"/>
        <v>99.893354388427881</v>
      </c>
      <c r="Y128" s="44">
        <f t="shared" si="781"/>
        <v>98.83154260013356</v>
      </c>
      <c r="Z128" s="44">
        <f t="shared" si="781"/>
        <v>97.691725503710501</v>
      </c>
      <c r="AA128" s="44">
        <f t="shared" si="781"/>
        <v>96.471238687743735</v>
      </c>
      <c r="AB128" s="44">
        <f t="shared" si="781"/>
        <v>95.168510081104358</v>
      </c>
      <c r="AC128" s="44">
        <f t="shared" si="781"/>
        <v>93.781459531843353</v>
      </c>
      <c r="AD128" s="44">
        <f t="shared" si="781"/>
        <v>92.307961666916512</v>
      </c>
      <c r="AE128" s="44">
        <f t="shared" si="781"/>
        <v>90.745924066794984</v>
      </c>
      <c r="AF128" s="44">
        <f t="shared" si="781"/>
        <v>89.093261335378401</v>
      </c>
      <c r="AG128" s="44">
        <f t="shared" si="781"/>
        <v>87.347902804621725</v>
      </c>
      <c r="AH128" s="44">
        <f t="shared" si="781"/>
        <v>85.507801287550024</v>
      </c>
      <c r="AI128" s="44"/>
      <c r="AJ128" s="44">
        <f>AJ116+AJ5</f>
        <v>102.16223893794904</v>
      </c>
      <c r="AK128" s="44">
        <f t="shared" ref="AK128:BN128" si="782">AK116</f>
        <v>74.847252650032928</v>
      </c>
      <c r="AL128" s="44">
        <f t="shared" si="782"/>
        <v>78.630965859738112</v>
      </c>
      <c r="AM128" s="44">
        <f t="shared" si="782"/>
        <v>82.387225199651098</v>
      </c>
      <c r="AN128" s="44">
        <f t="shared" si="782"/>
        <v>86.115531546613937</v>
      </c>
      <c r="AO128" s="44">
        <f t="shared" si="782"/>
        <v>89.8285302031302</v>
      </c>
      <c r="AP128" s="44">
        <f t="shared" si="782"/>
        <v>93.503072591164141</v>
      </c>
      <c r="AQ128" s="44">
        <f t="shared" si="782"/>
        <v>97.145871234490016</v>
      </c>
      <c r="AR128" s="44">
        <f t="shared" si="782"/>
        <v>100.75599118132546</v>
      </c>
      <c r="AS128" s="44">
        <f t="shared" si="782"/>
        <v>104.33248130765105</v>
      </c>
      <c r="AT128" s="44">
        <f t="shared" si="782"/>
        <v>107.87437489819432</v>
      </c>
      <c r="AU128" s="44">
        <f t="shared" si="782"/>
        <v>107.59229882980897</v>
      </c>
      <c r="AV128" s="44">
        <f t="shared" si="782"/>
        <v>107.22531885891094</v>
      </c>
      <c r="AW128" s="44">
        <f t="shared" si="782"/>
        <v>106.77117565150307</v>
      </c>
      <c r="AX128" s="44">
        <f t="shared" si="782"/>
        <v>106.22781733971414</v>
      </c>
      <c r="AY128" s="44">
        <f t="shared" si="782"/>
        <v>105.59304153135109</v>
      </c>
      <c r="AZ128" s="44">
        <f t="shared" si="782"/>
        <v>104.6606576007448</v>
      </c>
      <c r="BA128" s="44">
        <f t="shared" si="782"/>
        <v>103.62763173174019</v>
      </c>
      <c r="BB128" s="44">
        <f t="shared" si="782"/>
        <v>102.49086248382642</v>
      </c>
      <c r="BC128" s="44">
        <f t="shared" si="782"/>
        <v>101.24718147767331</v>
      </c>
      <c r="BD128" s="44">
        <f t="shared" si="782"/>
        <v>99.893354388427881</v>
      </c>
      <c r="BE128" s="44">
        <f t="shared" si="782"/>
        <v>98.83154260013356</v>
      </c>
      <c r="BF128" s="44">
        <f t="shared" si="782"/>
        <v>97.691725503710501</v>
      </c>
      <c r="BG128" s="44">
        <f t="shared" si="782"/>
        <v>96.471238687743735</v>
      </c>
      <c r="BH128" s="44">
        <f t="shared" si="782"/>
        <v>95.168510081104358</v>
      </c>
      <c r="BI128" s="44">
        <f t="shared" si="782"/>
        <v>93.781459531843353</v>
      </c>
      <c r="BJ128" s="44">
        <f t="shared" si="782"/>
        <v>92.307961666916512</v>
      </c>
      <c r="BK128" s="44">
        <f t="shared" si="782"/>
        <v>90.745924066794984</v>
      </c>
      <c r="BL128" s="44">
        <f t="shared" si="782"/>
        <v>89.093261335378401</v>
      </c>
      <c r="BM128" s="44">
        <f t="shared" si="782"/>
        <v>87.347902804621725</v>
      </c>
      <c r="BN128" s="44">
        <f t="shared" si="782"/>
        <v>85.507801287550024</v>
      </c>
    </row>
  </sheetData>
  <mergeCells count="18">
    <mergeCell ref="D1:AH1"/>
    <mergeCell ref="AJ1:BN1"/>
    <mergeCell ref="A81:A83"/>
    <mergeCell ref="A87:A89"/>
    <mergeCell ref="A7:A9"/>
    <mergeCell ref="A15:A17"/>
    <mergeCell ref="A26:A28"/>
    <mergeCell ref="A37:A39"/>
    <mergeCell ref="A44:A46"/>
    <mergeCell ref="A53:A55"/>
    <mergeCell ref="A60:A62"/>
    <mergeCell ref="A66:A68"/>
    <mergeCell ref="A73:A75"/>
    <mergeCell ref="A94:A96"/>
    <mergeCell ref="A103:A105"/>
    <mergeCell ref="A111:A113"/>
    <mergeCell ref="A117:A119"/>
    <mergeCell ref="A123:A12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5642-89C9-4C4F-847C-7C5A2116916C}">
  <sheetPr>
    <tabColor theme="9"/>
  </sheetPr>
  <dimension ref="A2:AU278"/>
  <sheetViews>
    <sheetView zoomScale="85" zoomScaleNormal="85" workbookViewId="0">
      <pane xSplit="3" ySplit="3" topLeftCell="D154" activePane="bottomRight" state="frozen"/>
      <selection pane="topRight" activeCell="B152" sqref="B152"/>
      <selection pane="bottomLeft" activeCell="B152" sqref="B152"/>
      <selection pane="bottomRight" activeCell="AH157" sqref="AH157"/>
    </sheetView>
  </sheetViews>
  <sheetFormatPr baseColWidth="10" defaultColWidth="8.83203125" defaultRowHeight="15" outlineLevelRow="1" outlineLevelCol="1"/>
  <cols>
    <col min="1" max="1" width="29.5" style="1" customWidth="1"/>
    <col min="2" max="2" width="57.5" style="1" customWidth="1"/>
    <col min="3" max="3" width="10.5" customWidth="1"/>
    <col min="4" max="4" width="9.5"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 min="36" max="36" width="18.5" customWidth="1"/>
    <col min="37" max="47" width="15.5" customWidth="1"/>
  </cols>
  <sheetData>
    <row r="2" spans="1:41" s="53" customFormat="1">
      <c r="A2" s="52" t="s">
        <v>255</v>
      </c>
      <c r="B2" s="52"/>
      <c r="C2" s="52"/>
    </row>
    <row r="3" spans="1:41"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41">
      <c r="A4" s="1" t="s">
        <v>256</v>
      </c>
      <c r="C4" s="54" t="s">
        <v>153</v>
      </c>
      <c r="D4" s="44">
        <f>'Yearly Demand - Eth&amp;Prop'!N3</f>
        <v>162.69230769230768</v>
      </c>
      <c r="E4" s="44">
        <f>'Yearly Demand - Eth&amp;Prop'!O3</f>
        <v>166.71878063819926</v>
      </c>
      <c r="F4" s="44">
        <f>'Yearly Demand - Eth&amp;Prop'!P3</f>
        <v>170.84490478834238</v>
      </c>
      <c r="G4" s="44">
        <f>'Yearly Demand - Eth&amp;Prop'!Q3</f>
        <v>175.07314641101752</v>
      </c>
      <c r="H4" s="44">
        <f>'Yearly Demand - Eth&amp;Prop'!R3</f>
        <v>179.40603281219435</v>
      </c>
      <c r="I4" s="44">
        <f>'Yearly Demand - Eth&amp;Prop'!S3</f>
        <v>183.84615384615384</v>
      </c>
      <c r="J4" s="44">
        <f>'Yearly Demand - Eth&amp;Prop'!T3</f>
        <v>187.89464856761026</v>
      </c>
      <c r="K4" s="44">
        <f>'Yearly Demand - Eth&amp;Prop'!U3</f>
        <v>192.03229560020711</v>
      </c>
      <c r="L4" s="44">
        <f>'Yearly Demand - Eth&amp;Prop'!V3</f>
        <v>196.26105817599196</v>
      </c>
      <c r="M4" s="44">
        <f>'Yearly Demand - Eth&amp;Prop'!W3</f>
        <v>200.58294275954361</v>
      </c>
      <c r="N4" s="44">
        <f>'Yearly Demand - Eth&amp;Prop'!X3</f>
        <v>205</v>
      </c>
      <c r="O4" s="44">
        <f>'Yearly Demand - Eth&amp;Prop'!Y3</f>
        <v>207.44116419514421</v>
      </c>
      <c r="P4" s="44">
        <f>'Yearly Demand - Eth&amp;Prop'!Z3</f>
        <v>209.91139806164284</v>
      </c>
      <c r="Q4" s="44">
        <f>'Yearly Demand - Eth&amp;Prop'!AA3</f>
        <v>212.41104776457331</v>
      </c>
      <c r="R4" s="44">
        <f>'Yearly Demand - Eth&amp;Prop'!AB3</f>
        <v>214.94046359118767</v>
      </c>
      <c r="S4" s="44">
        <f>'Yearly Demand - Eth&amp;Prop'!AC3</f>
        <v>217.5</v>
      </c>
      <c r="T4" s="44">
        <f>'Yearly Demand - Eth&amp;Prop'!AD3</f>
        <v>219.94443410654205</v>
      </c>
      <c r="U4" s="44">
        <f>'Yearly Demand - Eth&amp;Prop'!AE3</f>
        <v>222.41634066412422</v>
      </c>
      <c r="V4" s="44">
        <f>'Yearly Demand - Eth&amp;Prop'!AF3</f>
        <v>224.91602842951116</v>
      </c>
      <c r="W4" s="44">
        <f>'Yearly Demand - Eth&amp;Prop'!AG3</f>
        <v>227.4438096295161</v>
      </c>
      <c r="X4" s="44">
        <f>'Yearly Demand - Eth&amp;Prop'!AH3</f>
        <v>230</v>
      </c>
      <c r="Y4" s="44">
        <f>'Yearly Demand - Eth&amp;Prop'!AI3</f>
        <v>232.44735963345383</v>
      </c>
      <c r="Z4" s="44">
        <f>'Yearly Demand - Eth&amp;Prop'!AJ3</f>
        <v>234.92076087201835</v>
      </c>
      <c r="AA4" s="44">
        <f>'Yearly Demand - Eth&amp;Prop'!AK3</f>
        <v>237.42048081644634</v>
      </c>
      <c r="AB4" s="44">
        <f>'Yearly Demand - Eth&amp;Prop'!AL3</f>
        <v>239.9467995160349</v>
      </c>
      <c r="AC4" s="44">
        <f>'Yearly Demand - Eth&amp;Prop'!AM3</f>
        <v>242.5</v>
      </c>
      <c r="AD4" s="44">
        <f>'Yearly Demand - Eth&amp;Prop'!AN3</f>
        <v>244.9499924675749</v>
      </c>
      <c r="AE4" s="44">
        <f>'Yearly Demand - Eth&amp;Prop'!AO3</f>
        <v>247.42473736026807</v>
      </c>
      <c r="AF4" s="44">
        <f>'Yearly Demand - Eth&amp;Prop'!AP3</f>
        <v>249.9244847533582</v>
      </c>
      <c r="AG4" s="44">
        <f>'Yearly Demand - Eth&amp;Prop'!AQ3</f>
        <v>252.44948724865003</v>
      </c>
      <c r="AH4" s="44">
        <f>'Yearly Demand - Eth&amp;Prop'!AR3</f>
        <v>255</v>
      </c>
    </row>
    <row r="5" spans="1:41" s="67" customFormat="1">
      <c r="A5" s="755" t="s">
        <v>257</v>
      </c>
      <c r="B5" s="58" t="s">
        <v>258</v>
      </c>
      <c r="C5" s="59" t="s">
        <v>153</v>
      </c>
      <c r="D5" s="60">
        <f>D4*'Demand Breakdown - Ethylene'!$C$6</f>
        <v>99.242307692307676</v>
      </c>
      <c r="E5" s="60">
        <f>E4*'Demand Breakdown - Ethylene'!$C$6</f>
        <v>101.69845618930155</v>
      </c>
      <c r="F5" s="60">
        <f>F4*'Demand Breakdown - Ethylene'!$C$6</f>
        <v>104.21539192088885</v>
      </c>
      <c r="G5" s="60">
        <f>G4*'Demand Breakdown - Ethylene'!$C$6</f>
        <v>106.79461931072068</v>
      </c>
      <c r="H5" s="60">
        <f>H4*'Demand Breakdown - Ethylene'!$C$6</f>
        <v>109.43768001543856</v>
      </c>
      <c r="I5" s="60">
        <f>I4*'Demand Breakdown - Ethylene'!$C$6</f>
        <v>112.14615384615384</v>
      </c>
      <c r="J5" s="60">
        <f>J4*'Demand Breakdown - Ethylene'!$C$6</f>
        <v>114.61573562624226</v>
      </c>
      <c r="K5" s="60">
        <f>K4*'Demand Breakdown - Ethylene'!$C$6</f>
        <v>117.13970031612634</v>
      </c>
      <c r="L5" s="60">
        <f>L4*'Demand Breakdown - Ethylene'!$C$6</f>
        <v>119.7192454873551</v>
      </c>
      <c r="M5" s="60">
        <f>M4*'Demand Breakdown - Ethylene'!$C$6</f>
        <v>122.3555950833216</v>
      </c>
      <c r="N5" s="60">
        <f>N4*'Demand Breakdown - Ethylene'!$C$6</f>
        <v>125.05</v>
      </c>
      <c r="O5" s="60">
        <f>O4*'Demand Breakdown - Ethylene'!$C$6</f>
        <v>126.53911015903796</v>
      </c>
      <c r="P5" s="60">
        <f>P4*'Demand Breakdown - Ethylene'!$C$6</f>
        <v>128.04595281760214</v>
      </c>
      <c r="Q5" s="60">
        <f>Q4*'Demand Breakdown - Ethylene'!$C$6</f>
        <v>129.5707391363897</v>
      </c>
      <c r="R5" s="60">
        <f>R4*'Demand Breakdown - Ethylene'!$C$6</f>
        <v>131.11368279062447</v>
      </c>
      <c r="S5" s="60">
        <f>S4*'Demand Breakdown - Ethylene'!$C$6</f>
        <v>132.67499999999998</v>
      </c>
      <c r="T5" s="60">
        <f>T4*'Demand Breakdown - Ethylene'!$C$6</f>
        <v>134.16610480499065</v>
      </c>
      <c r="U5" s="60">
        <f>U4*'Demand Breakdown - Ethylene'!$C$6</f>
        <v>135.67396780511578</v>
      </c>
      <c r="V5" s="60">
        <f>V4*'Demand Breakdown - Ethylene'!$C$6</f>
        <v>137.19877734200179</v>
      </c>
      <c r="W5" s="60">
        <f>W4*'Demand Breakdown - Ethylene'!$C$6</f>
        <v>138.74072387400483</v>
      </c>
      <c r="X5" s="60">
        <f>X4*'Demand Breakdown - Ethylene'!$C$6</f>
        <v>140.29999999999998</v>
      </c>
      <c r="Y5" s="60">
        <f>Y4*'Demand Breakdown - Ethylene'!$C$6</f>
        <v>141.79288937640683</v>
      </c>
      <c r="Z5" s="60">
        <f>Z4*'Demand Breakdown - Ethylene'!$C$6</f>
        <v>143.30166413193118</v>
      </c>
      <c r="AA5" s="60">
        <f>AA4*'Demand Breakdown - Ethylene'!$C$6</f>
        <v>144.82649329803226</v>
      </c>
      <c r="AB5" s="60">
        <f>AB4*'Demand Breakdown - Ethylene'!$C$6</f>
        <v>146.36754770478129</v>
      </c>
      <c r="AC5" s="60">
        <f>AC4*'Demand Breakdown - Ethylene'!$C$6</f>
        <v>147.92499999999998</v>
      </c>
      <c r="AD5" s="60">
        <f>AD4*'Demand Breakdown - Ethylene'!$C$6</f>
        <v>149.41949540522069</v>
      </c>
      <c r="AE5" s="60">
        <f>AE4*'Demand Breakdown - Ethylene'!$C$6</f>
        <v>150.92908978976351</v>
      </c>
      <c r="AF5" s="60">
        <f>AF4*'Demand Breakdown - Ethylene'!$C$6</f>
        <v>152.45393569954851</v>
      </c>
      <c r="AG5" s="60">
        <f>AG4*'Demand Breakdown - Ethylene'!$C$6</f>
        <v>153.99418722167653</v>
      </c>
      <c r="AH5" s="60">
        <f>AH4*'Demand Breakdown - Ethylene'!$C$6</f>
        <v>155.54999999999998</v>
      </c>
      <c r="AM5" s="67" t="s">
        <v>259</v>
      </c>
      <c r="AN5" s="67">
        <v>2020</v>
      </c>
    </row>
    <row r="6" spans="1:41">
      <c r="A6" s="756"/>
      <c r="B6" s="1" t="s">
        <v>260</v>
      </c>
      <c r="C6" s="54" t="s">
        <v>153</v>
      </c>
      <c r="D6" s="44">
        <f>D4*'Demand Breakdown - Ethylene'!$C$7</f>
        <v>22.776923076923076</v>
      </c>
      <c r="E6" s="44">
        <f>E4*'Demand Breakdown - Ethylene'!$C$7</f>
        <v>23.340629289347898</v>
      </c>
      <c r="F6" s="44">
        <f>F4*'Demand Breakdown - Ethylene'!$C$7</f>
        <v>23.918286670367934</v>
      </c>
      <c r="G6" s="44">
        <f>G4*'Demand Breakdown - Ethylene'!$C$7</f>
        <v>24.510240497542455</v>
      </c>
      <c r="H6" s="44">
        <f>H4*'Demand Breakdown - Ethylene'!$C$7</f>
        <v>25.116844593707214</v>
      </c>
      <c r="I6" s="44">
        <f>I4*'Demand Breakdown - Ethylene'!$C$7</f>
        <v>25.738461538461539</v>
      </c>
      <c r="J6" s="44">
        <f>J4*'Demand Breakdown - Ethylene'!$C$7</f>
        <v>26.305250799465441</v>
      </c>
      <c r="K6" s="44">
        <f>K4*'Demand Breakdown - Ethylene'!$C$7</f>
        <v>26.884521384028996</v>
      </c>
      <c r="L6" s="44">
        <f>L4*'Demand Breakdown - Ethylene'!$C$7</f>
        <v>27.476548144638876</v>
      </c>
      <c r="M6" s="44">
        <f>M4*'Demand Breakdown - Ethylene'!$C$7</f>
        <v>28.08161198633611</v>
      </c>
      <c r="N6" s="44">
        <f>N4*'Demand Breakdown - Ethylene'!$C$7</f>
        <v>28.700000000000003</v>
      </c>
      <c r="O6" s="44">
        <f>O4*'Demand Breakdown - Ethylene'!$C$7</f>
        <v>29.041762987320194</v>
      </c>
      <c r="P6" s="44">
        <f>P4*'Demand Breakdown - Ethylene'!$C$7</f>
        <v>29.38759572863</v>
      </c>
      <c r="Q6" s="44">
        <f>Q4*'Demand Breakdown - Ethylene'!$C$7</f>
        <v>29.737546687040265</v>
      </c>
      <c r="R6" s="44">
        <f>R4*'Demand Breakdown - Ethylene'!$C$7</f>
        <v>30.091664902766276</v>
      </c>
      <c r="S6" s="44">
        <f>S4*'Demand Breakdown - Ethylene'!$C$7</f>
        <v>30.450000000000003</v>
      </c>
      <c r="T6" s="44">
        <f>T4*'Demand Breakdown - Ethylene'!$C$7</f>
        <v>30.79222077491589</v>
      </c>
      <c r="U6" s="44">
        <f>U4*'Demand Breakdown - Ethylene'!$C$7</f>
        <v>31.138287692977393</v>
      </c>
      <c r="V6" s="44">
        <f>V4*'Demand Breakdown - Ethylene'!$C$7</f>
        <v>31.488243980131564</v>
      </c>
      <c r="W6" s="44">
        <f>W4*'Demand Breakdown - Ethylene'!$C$7</f>
        <v>31.842133348132258</v>
      </c>
      <c r="X6" s="44">
        <f>X4*'Demand Breakdown - Ethylene'!$C$7</f>
        <v>32.200000000000003</v>
      </c>
      <c r="Y6" s="44">
        <f>Y4*'Demand Breakdown - Ethylene'!$C$7</f>
        <v>32.542630348683538</v>
      </c>
      <c r="Z6" s="44">
        <f>Z4*'Demand Breakdown - Ethylene'!$C$7</f>
        <v>32.888906522082571</v>
      </c>
      <c r="AA6" s="44">
        <f>AA4*'Demand Breakdown - Ethylene'!$C$7</f>
        <v>33.238867314302489</v>
      </c>
      <c r="AB6" s="44">
        <f>AB4*'Demand Breakdown - Ethylene'!$C$7</f>
        <v>33.592551932244888</v>
      </c>
      <c r="AC6" s="44">
        <f>AC4*'Demand Breakdown - Ethylene'!$C$7</f>
        <v>33.950000000000003</v>
      </c>
      <c r="AD6" s="44">
        <f>AD4*'Demand Breakdown - Ethylene'!$C$7</f>
        <v>34.292998945460489</v>
      </c>
      <c r="AE6" s="44">
        <f>AE4*'Demand Breakdown - Ethylene'!$C$7</f>
        <v>34.639463230437535</v>
      </c>
      <c r="AF6" s="44">
        <f>AF4*'Demand Breakdown - Ethylene'!$C$7</f>
        <v>34.989427865470148</v>
      </c>
      <c r="AG6" s="44">
        <f>AG4*'Demand Breakdown - Ethylene'!$C$7</f>
        <v>35.34292821481101</v>
      </c>
      <c r="AH6" s="44">
        <f>AH4*'Demand Breakdown - Ethylene'!$C$7</f>
        <v>35.700000000000003</v>
      </c>
      <c r="AM6" s="58" t="s">
        <v>261</v>
      </c>
      <c r="AN6" s="44">
        <f>D5</f>
        <v>99.242307692307676</v>
      </c>
      <c r="AO6" s="44">
        <f>AN6</f>
        <v>99.242307692307676</v>
      </c>
    </row>
    <row r="7" spans="1:41">
      <c r="A7" s="756"/>
      <c r="B7" s="1" t="s">
        <v>262</v>
      </c>
      <c r="C7" s="54" t="s">
        <v>153</v>
      </c>
      <c r="D7" s="44">
        <f>D4*'Demand Breakdown - Ethylene'!$C$8</f>
        <v>19.523076923076921</v>
      </c>
      <c r="E7" s="44">
        <f>E4*'Demand Breakdown - Ethylene'!$C$8</f>
        <v>20.00625367658391</v>
      </c>
      <c r="F7" s="44">
        <f>F4*'Demand Breakdown - Ethylene'!$C$8</f>
        <v>20.501388574601084</v>
      </c>
      <c r="G7" s="44">
        <f>G4*'Demand Breakdown - Ethylene'!$C$8</f>
        <v>21.008777569322103</v>
      </c>
      <c r="H7" s="44">
        <f>H4*'Demand Breakdown - Ethylene'!$C$8</f>
        <v>21.528723937463322</v>
      </c>
      <c r="I7" s="44">
        <f>I4*'Demand Breakdown - Ethylene'!$C$8</f>
        <v>22.061538461538461</v>
      </c>
      <c r="J7" s="44">
        <f>J4*'Demand Breakdown - Ethylene'!$C$8</f>
        <v>22.547357828113231</v>
      </c>
      <c r="K7" s="44">
        <f>K4*'Demand Breakdown - Ethylene'!$C$8</f>
        <v>23.043875472024851</v>
      </c>
      <c r="L7" s="44">
        <f>L4*'Demand Breakdown - Ethylene'!$C$8</f>
        <v>23.551326981119036</v>
      </c>
      <c r="M7" s="44">
        <f>M4*'Demand Breakdown - Ethylene'!$C$8</f>
        <v>24.069953131145233</v>
      </c>
      <c r="N7" s="44">
        <f>N4*'Demand Breakdown - Ethylene'!$C$8</f>
        <v>24.599999999999998</v>
      </c>
      <c r="O7" s="44">
        <f>O4*'Demand Breakdown - Ethylene'!$C$8</f>
        <v>24.892939703417305</v>
      </c>
      <c r="P7" s="44">
        <f>P4*'Demand Breakdown - Ethylene'!$C$8</f>
        <v>25.18936776739714</v>
      </c>
      <c r="Q7" s="44">
        <f>Q4*'Demand Breakdown - Ethylene'!$C$8</f>
        <v>25.489325731748796</v>
      </c>
      <c r="R7" s="44">
        <f>R4*'Demand Breakdown - Ethylene'!$C$8</f>
        <v>25.792855630942519</v>
      </c>
      <c r="S7" s="44">
        <f>S4*'Demand Breakdown - Ethylene'!$C$8</f>
        <v>26.099999999999998</v>
      </c>
      <c r="T7" s="44">
        <f>T4*'Demand Breakdown - Ethylene'!$C$8</f>
        <v>26.393332092785045</v>
      </c>
      <c r="U7" s="44">
        <f>U4*'Demand Breakdown - Ethylene'!$C$8</f>
        <v>26.689960879694905</v>
      </c>
      <c r="V7" s="44">
        <f>V4*'Demand Breakdown - Ethylene'!$C$8</f>
        <v>26.989923411541337</v>
      </c>
      <c r="W7" s="44">
        <f>W4*'Demand Breakdown - Ethylene'!$C$8</f>
        <v>27.29325715554193</v>
      </c>
      <c r="X7" s="44">
        <f>X4*'Demand Breakdown - Ethylene'!$C$8</f>
        <v>27.599999999999998</v>
      </c>
      <c r="Y7" s="44">
        <f>Y4*'Demand Breakdown - Ethylene'!$C$8</f>
        <v>27.893683156014458</v>
      </c>
      <c r="Z7" s="44">
        <f>Z4*'Demand Breakdown - Ethylene'!$C$8</f>
        <v>28.190491304642201</v>
      </c>
      <c r="AA7" s="44">
        <f>AA4*'Demand Breakdown - Ethylene'!$C$8</f>
        <v>28.490457697973561</v>
      </c>
      <c r="AB7" s="44">
        <f>AB4*'Demand Breakdown - Ethylene'!$C$8</f>
        <v>28.793615941924187</v>
      </c>
      <c r="AC7" s="44">
        <f>AC4*'Demand Breakdown - Ethylene'!$C$8</f>
        <v>29.099999999999998</v>
      </c>
      <c r="AD7" s="44">
        <f>AD4*'Demand Breakdown - Ethylene'!$C$8</f>
        <v>29.393999096108988</v>
      </c>
      <c r="AE7" s="44">
        <f>AE4*'Demand Breakdown - Ethylene'!$C$8</f>
        <v>29.690968483232169</v>
      </c>
      <c r="AF7" s="44">
        <f>AF4*'Demand Breakdown - Ethylene'!$C$8</f>
        <v>29.990938170402984</v>
      </c>
      <c r="AG7" s="44">
        <f>AG4*'Demand Breakdown - Ethylene'!$C$8</f>
        <v>30.293938469838004</v>
      </c>
      <c r="AH7" s="44">
        <f>AH4*'Demand Breakdown - Ethylene'!$C$8</f>
        <v>30.599999999999998</v>
      </c>
      <c r="AM7" s="1" t="s">
        <v>260</v>
      </c>
      <c r="AN7" s="44">
        <f t="shared" ref="AN7:AN8" si="1">D6</f>
        <v>22.776923076923076</v>
      </c>
      <c r="AO7" s="44">
        <f>AN7*44/28</f>
        <v>35.792307692307688</v>
      </c>
    </row>
    <row r="8" spans="1:41" s="68" customFormat="1">
      <c r="A8" s="757"/>
      <c r="B8" s="62" t="s">
        <v>248</v>
      </c>
      <c r="C8" s="283" t="s">
        <v>153</v>
      </c>
      <c r="D8" s="284">
        <f t="shared" ref="D8:AH8" si="2">D4-SUM(D6,D5,D7)</f>
        <v>21.150000000000006</v>
      </c>
      <c r="E8" s="284">
        <f t="shared" si="2"/>
        <v>21.673441482965899</v>
      </c>
      <c r="F8" s="284">
        <f t="shared" si="2"/>
        <v>22.209837622484486</v>
      </c>
      <c r="G8" s="284">
        <f t="shared" si="2"/>
        <v>22.759509033432295</v>
      </c>
      <c r="H8" s="284">
        <f t="shared" si="2"/>
        <v>23.322784265585256</v>
      </c>
      <c r="I8" s="284">
        <f t="shared" si="2"/>
        <v>23.900000000000006</v>
      </c>
      <c r="J8" s="284">
        <f t="shared" si="2"/>
        <v>24.426304313789331</v>
      </c>
      <c r="K8" s="284">
        <f t="shared" si="2"/>
        <v>24.964198428026947</v>
      </c>
      <c r="L8" s="284">
        <f t="shared" si="2"/>
        <v>25.513937562878937</v>
      </c>
      <c r="M8" s="284">
        <f t="shared" si="2"/>
        <v>26.075782558740656</v>
      </c>
      <c r="N8" s="284">
        <f t="shared" si="2"/>
        <v>26.650000000000006</v>
      </c>
      <c r="O8" s="284">
        <f t="shared" si="2"/>
        <v>26.967351345368741</v>
      </c>
      <c r="P8" s="284">
        <f t="shared" si="2"/>
        <v>27.288481748013567</v>
      </c>
      <c r="Q8" s="284">
        <f t="shared" si="2"/>
        <v>27.613436209394536</v>
      </c>
      <c r="R8" s="284">
        <f t="shared" si="2"/>
        <v>27.942260266854419</v>
      </c>
      <c r="S8" s="284">
        <f t="shared" si="2"/>
        <v>28.275000000000006</v>
      </c>
      <c r="T8" s="284">
        <f t="shared" si="2"/>
        <v>28.592776433850446</v>
      </c>
      <c r="U8" s="284">
        <f t="shared" si="2"/>
        <v>28.914124286336147</v>
      </c>
      <c r="V8" s="284">
        <f t="shared" si="2"/>
        <v>29.239083695836484</v>
      </c>
      <c r="W8" s="284">
        <f t="shared" si="2"/>
        <v>29.56769525183708</v>
      </c>
      <c r="X8" s="284">
        <f t="shared" si="2"/>
        <v>29.900000000000006</v>
      </c>
      <c r="Y8" s="284">
        <f t="shared" si="2"/>
        <v>30.218156752349017</v>
      </c>
      <c r="Z8" s="284">
        <f t="shared" si="2"/>
        <v>30.5396989133624</v>
      </c>
      <c r="AA8" s="284">
        <f t="shared" si="2"/>
        <v>30.864662506138018</v>
      </c>
      <c r="AB8" s="284">
        <f t="shared" si="2"/>
        <v>31.193083937084509</v>
      </c>
      <c r="AC8" s="284">
        <f t="shared" si="2"/>
        <v>31.525000000000006</v>
      </c>
      <c r="AD8" s="284">
        <f t="shared" si="2"/>
        <v>31.843499020784748</v>
      </c>
      <c r="AE8" s="284">
        <f t="shared" si="2"/>
        <v>32.165215856834834</v>
      </c>
      <c r="AF8" s="284">
        <f t="shared" si="2"/>
        <v>32.490183017936545</v>
      </c>
      <c r="AG8" s="284">
        <f t="shared" si="2"/>
        <v>32.818433342324511</v>
      </c>
      <c r="AH8" s="284">
        <f t="shared" si="2"/>
        <v>33.150000000000006</v>
      </c>
      <c r="AM8" s="1" t="s">
        <v>262</v>
      </c>
      <c r="AN8" s="44">
        <f t="shared" si="1"/>
        <v>19.523076923076921</v>
      </c>
      <c r="AO8" s="284">
        <f>AN8*83.5/28</f>
        <v>58.22060439560439</v>
      </c>
    </row>
    <row r="9" spans="1:41" s="67" customFormat="1">
      <c r="A9" s="755" t="s">
        <v>263</v>
      </c>
      <c r="B9" s="58" t="s">
        <v>264</v>
      </c>
      <c r="C9" s="59" t="s">
        <v>153</v>
      </c>
      <c r="D9" s="60">
        <f>D4*'Demand Breakdown - Ethylene'!$O$14</f>
        <v>18.742153846153844</v>
      </c>
      <c r="E9" s="60">
        <f>E4*'Demand Breakdown - Ethylene'!$O$14</f>
        <v>19.206003529520554</v>
      </c>
      <c r="F9" s="60">
        <f>F4*'Demand Breakdown - Ethylene'!$O$14</f>
        <v>19.68133303161704</v>
      </c>
      <c r="G9" s="60">
        <f>G4*'Demand Breakdown - Ethylene'!$O$14</f>
        <v>20.168426466549217</v>
      </c>
      <c r="H9" s="60">
        <f>H4*'Demand Breakdown - Ethylene'!$O$14</f>
        <v>20.66757497996479</v>
      </c>
      <c r="I9" s="60">
        <f>I4*'Demand Breakdown - Ethylene'!$O$14</f>
        <v>21.17907692307692</v>
      </c>
      <c r="J9" s="60">
        <f>J4*'Demand Breakdown - Ethylene'!$O$14</f>
        <v>21.645463514988702</v>
      </c>
      <c r="K9" s="60">
        <f>K4*'Demand Breakdown - Ethylene'!$O$14</f>
        <v>22.122120453143857</v>
      </c>
      <c r="L9" s="60">
        <f>L4*'Demand Breakdown - Ethylene'!$O$14</f>
        <v>22.609273901874275</v>
      </c>
      <c r="M9" s="60">
        <f>M4*'Demand Breakdown - Ethylene'!$O$14</f>
        <v>23.107155005899422</v>
      </c>
      <c r="N9" s="60">
        <f>N4*'Demand Breakdown - Ethylene'!$O$14</f>
        <v>23.616</v>
      </c>
      <c r="O9" s="60">
        <f>O4*'Demand Breakdown - Ethylene'!$O$14</f>
        <v>23.897222115280613</v>
      </c>
      <c r="P9" s="60">
        <f>P4*'Demand Breakdown - Ethylene'!$O$14</f>
        <v>24.181793056701256</v>
      </c>
      <c r="Q9" s="60">
        <f>Q4*'Demand Breakdown - Ethylene'!$O$14</f>
        <v>24.469752702478846</v>
      </c>
      <c r="R9" s="60">
        <f>R4*'Demand Breakdown - Ethylene'!$O$14</f>
        <v>24.761141405704819</v>
      </c>
      <c r="S9" s="60">
        <f>S4*'Demand Breakdown - Ethylene'!$O$14</f>
        <v>25.056000000000001</v>
      </c>
      <c r="T9" s="60">
        <f>T4*'Demand Breakdown - Ethylene'!$O$14</f>
        <v>25.337598809073643</v>
      </c>
      <c r="U9" s="60">
        <f>U4*'Demand Breakdown - Ethylene'!$O$14</f>
        <v>25.622362444507111</v>
      </c>
      <c r="V9" s="60">
        <f>V4*'Demand Breakdown - Ethylene'!$O$14</f>
        <v>25.910326475079685</v>
      </c>
      <c r="W9" s="60">
        <f>W4*'Demand Breakdown - Ethylene'!$O$14</f>
        <v>26.201526869320254</v>
      </c>
      <c r="X9" s="60">
        <f>X4*'Demand Breakdown - Ethylene'!$O$14</f>
        <v>26.495999999999999</v>
      </c>
      <c r="Y9" s="60">
        <f>Y4*'Demand Breakdown - Ethylene'!$O$14</f>
        <v>26.777935829773881</v>
      </c>
      <c r="Z9" s="60">
        <f>Z4*'Demand Breakdown - Ethylene'!$O$14</f>
        <v>27.062871652456511</v>
      </c>
      <c r="AA9" s="60">
        <f>AA4*'Demand Breakdown - Ethylene'!$O$14</f>
        <v>27.350839390054617</v>
      </c>
      <c r="AB9" s="60">
        <f>AB4*'Demand Breakdown - Ethylene'!$O$14</f>
        <v>27.641871304247221</v>
      </c>
      <c r="AC9" s="60">
        <f>AC4*'Demand Breakdown - Ethylene'!$O$14</f>
        <v>27.936</v>
      </c>
      <c r="AD9" s="60">
        <f>AD4*'Demand Breakdown - Ethylene'!$O$14</f>
        <v>28.218239132264628</v>
      </c>
      <c r="AE9" s="60">
        <f>AE4*'Demand Breakdown - Ethylene'!$O$14</f>
        <v>28.503329743902881</v>
      </c>
      <c r="AF9" s="60">
        <f>AF4*'Demand Breakdown - Ethylene'!$O$14</f>
        <v>28.791300643586865</v>
      </c>
      <c r="AG9" s="60">
        <f>AG4*'Demand Breakdown - Ethylene'!$O$14</f>
        <v>29.082180931044483</v>
      </c>
      <c r="AH9" s="60">
        <f>AH4*'Demand Breakdown - Ethylene'!$O$14</f>
        <v>29.375999999999998</v>
      </c>
      <c r="AM9" s="67" t="s">
        <v>265</v>
      </c>
      <c r="AN9" s="60">
        <f>SUM('Demand Breakdown - Propylene'!C25:C26)*'Demand Breakdown - Propylene'!E2</f>
        <v>74.98846153846155</v>
      </c>
      <c r="AO9" s="60">
        <f>AN9</f>
        <v>74.98846153846155</v>
      </c>
    </row>
    <row r="10" spans="1:41" s="68" customFormat="1">
      <c r="A10" s="757"/>
      <c r="B10" s="62" t="s">
        <v>266</v>
      </c>
      <c r="C10" s="283" t="s">
        <v>153</v>
      </c>
      <c r="D10" s="284">
        <f>D4*'Demand Breakdown - Ethylene'!$J$14</f>
        <v>15.260538461538461</v>
      </c>
      <c r="E10" s="284">
        <f>E4*'Demand Breakdown - Ethylene'!$J$14</f>
        <v>15.638221623863092</v>
      </c>
      <c r="F10" s="284">
        <f>F4*'Demand Breakdown - Ethylene'!$J$14</f>
        <v>16.025252069146518</v>
      </c>
      <c r="G10" s="284">
        <f>G4*'Demand Breakdown - Ethylene'!$J$14</f>
        <v>16.421861133353445</v>
      </c>
      <c r="H10" s="284">
        <f>H4*'Demand Breakdown - Ethylene'!$J$14</f>
        <v>16.828285877783831</v>
      </c>
      <c r="I10" s="284">
        <f>I4*'Demand Breakdown - Ethylene'!$J$14</f>
        <v>17.244769230769233</v>
      </c>
      <c r="J10" s="284">
        <f>J4*'Demand Breakdown - Ethylene'!$J$14</f>
        <v>17.624518035641845</v>
      </c>
      <c r="K10" s="284">
        <f>K4*'Demand Breakdown - Ethylene'!$J$14</f>
        <v>18.012629327299429</v>
      </c>
      <c r="L10" s="284">
        <f>L4*'Demand Breakdown - Ethylene'!$J$14</f>
        <v>18.409287256908048</v>
      </c>
      <c r="M10" s="284">
        <f>M4*'Demand Breakdown - Ethylene'!$J$14</f>
        <v>18.814680030845192</v>
      </c>
      <c r="N10" s="284">
        <f>N4*'Demand Breakdown - Ethylene'!$J$14</f>
        <v>19.229000000000003</v>
      </c>
      <c r="O10" s="284">
        <f>O4*'Demand Breakdown - Ethylene'!$J$14</f>
        <v>19.457981201504527</v>
      </c>
      <c r="P10" s="284">
        <f>P4*'Demand Breakdown - Ethylene'!$J$14</f>
        <v>19.6896891381821</v>
      </c>
      <c r="Q10" s="284">
        <f>Q4*'Demand Breakdown - Ethylene'!$J$14</f>
        <v>19.924156280316978</v>
      </c>
      <c r="R10" s="284">
        <f>R4*'Demand Breakdown - Ethylene'!$J$14</f>
        <v>20.161415484853404</v>
      </c>
      <c r="S10" s="284">
        <f>S4*'Demand Breakdown - Ethylene'!$J$14</f>
        <v>20.401500000000002</v>
      </c>
      <c r="T10" s="284">
        <f>T4*'Demand Breakdown - Ethylene'!$J$14</f>
        <v>20.630787919193647</v>
      </c>
      <c r="U10" s="284">
        <f>U4*'Demand Breakdown - Ethylene'!$J$14</f>
        <v>20.862652754294853</v>
      </c>
      <c r="V10" s="284">
        <f>V4*'Demand Breakdown - Ethylene'!$J$14</f>
        <v>21.097123466688149</v>
      </c>
      <c r="W10" s="284">
        <f>W4*'Demand Breakdown - Ethylene'!$J$14</f>
        <v>21.334229343248612</v>
      </c>
      <c r="X10" s="284">
        <f>X4*'Demand Breakdown - Ethylene'!$J$14</f>
        <v>21.574000000000002</v>
      </c>
      <c r="Y10" s="284">
        <f>Y4*'Demand Breakdown - Ethylene'!$J$14</f>
        <v>21.803562333617972</v>
      </c>
      <c r="Z10" s="284">
        <f>Z4*'Demand Breakdown - Ethylene'!$J$14</f>
        <v>22.035567369795324</v>
      </c>
      <c r="AA10" s="284">
        <f>AA4*'Demand Breakdown - Ethylene'!$J$14</f>
        <v>22.27004110058267</v>
      </c>
      <c r="AB10" s="284">
        <f>AB4*'Demand Breakdown - Ethylene'!$J$14</f>
        <v>22.507009794604077</v>
      </c>
      <c r="AC10" s="284">
        <f>AC4*'Demand Breakdown - Ethylene'!$J$14</f>
        <v>22.746500000000001</v>
      </c>
      <c r="AD10" s="284">
        <f>AD4*'Demand Breakdown - Ethylene'!$J$14</f>
        <v>22.976309293458527</v>
      </c>
      <c r="AE10" s="284">
        <f>AE4*'Demand Breakdown - Ethylene'!$J$14</f>
        <v>23.208440364393148</v>
      </c>
      <c r="AF10" s="284">
        <f>AF4*'Demand Breakdown - Ethylene'!$J$14</f>
        <v>23.442916669865003</v>
      </c>
      <c r="AG10" s="284">
        <f>AG4*'Demand Breakdown - Ethylene'!$J$14</f>
        <v>23.679761903923374</v>
      </c>
      <c r="AH10" s="284">
        <f>AH4*'Demand Breakdown - Ethylene'!$J$14</f>
        <v>23.919</v>
      </c>
      <c r="AM10" s="68" t="str">
        <f>'Yearly Methanol'!B7</f>
        <v>Acetic Acid</v>
      </c>
      <c r="AN10" s="284">
        <f>'Yearly Methanol'!D7</f>
        <v>7.192774760698633</v>
      </c>
      <c r="AO10" s="284">
        <f>AN10*60/31</f>
        <v>13.921499536836064</v>
      </c>
    </row>
    <row r="11" spans="1:41">
      <c r="AM11" s="1" t="s">
        <v>267</v>
      </c>
      <c r="AN11" s="44">
        <f>'Demand Breakdown - BTX'!E3</f>
        <v>27.19285714285714</v>
      </c>
      <c r="AO11" s="44">
        <f>AN11*106/(106-28)</f>
        <v>36.9543956043956</v>
      </c>
    </row>
    <row r="12" spans="1:41">
      <c r="A12" s="58" t="s">
        <v>268</v>
      </c>
      <c r="B12" s="58" t="s">
        <v>199</v>
      </c>
      <c r="C12" s="59" t="s">
        <v>153</v>
      </c>
      <c r="D12" s="60">
        <f>'R&amp;S - Transportation'!D4</f>
        <v>8.4778361655826675</v>
      </c>
      <c r="E12" s="60">
        <f>D12*(1+'R&amp;S - Transportation'!$B$5)</f>
        <v>8.6219593803975716</v>
      </c>
      <c r="F12" s="60">
        <f>E12*(1+'R&amp;S - Transportation'!$B$5)</f>
        <v>8.7685326898643297</v>
      </c>
      <c r="G12" s="60">
        <f>F12*(1+'R&amp;S - Transportation'!$B$5)</f>
        <v>8.9175977455920226</v>
      </c>
      <c r="H12" s="60">
        <f>G12*(1+'R&amp;S - Transportation'!$B$5)</f>
        <v>9.0691969072670862</v>
      </c>
      <c r="I12" s="60">
        <f>H12*(1+'R&amp;S - Transportation'!$B$5)</f>
        <v>9.2233732546906264</v>
      </c>
      <c r="J12" s="60">
        <f>I12*(1+'R&amp;S - Transportation'!$B$5)</f>
        <v>9.3801706000203655</v>
      </c>
      <c r="K12" s="60">
        <f>J12*(1+'R&amp;S - Transportation'!$B$5)</f>
        <v>9.5396335002207113</v>
      </c>
      <c r="L12" s="60">
        <f>K12*(1+'R&amp;S - Transportation'!$B$5)</f>
        <v>9.7018072697244619</v>
      </c>
      <c r="M12" s="60">
        <f>L12*(1+'R&amp;S - Transportation'!$B$5)</f>
        <v>9.8667379933097763</v>
      </c>
      <c r="N12" s="60">
        <f>M12*(1+'R&amp;S - Transportation'!$B$5)</f>
        <v>10.034472539196042</v>
      </c>
      <c r="O12" s="60">
        <f>N12*(1+'R&amp;S - Transportation'!$B$5)</f>
        <v>10.205058572362374</v>
      </c>
      <c r="P12" s="60">
        <f>O12*(1+'R&amp;S - Transportation'!$B$5)</f>
        <v>10.378544568092533</v>
      </c>
      <c r="Q12" s="60">
        <f>P12*(1+'R&amp;S - Transportation'!$B$5)</f>
        <v>10.554979825750104</v>
      </c>
      <c r="R12" s="60">
        <f>Q12*(1+'R&amp;S - Transportation'!$B$5)</f>
        <v>10.734414482787855</v>
      </c>
      <c r="S12" s="60">
        <f>R12*(1+'R&amp;S - Transportation'!$B$5)</f>
        <v>10.916899528995248</v>
      </c>
      <c r="T12" s="60">
        <f>S12*(1+'R&amp;S - Transportation'!$B$5)</f>
        <v>11.102486820988167</v>
      </c>
      <c r="U12" s="60">
        <f>T12*(1+'R&amp;S - Transportation'!$B$5)</f>
        <v>11.291229096944965</v>
      </c>
      <c r="V12" s="60">
        <f>U12*(1+'R&amp;S - Transportation'!$B$5)</f>
        <v>11.483179991593028</v>
      </c>
      <c r="W12" s="60">
        <f>V12*(1+'R&amp;S - Transportation'!$B$5)</f>
        <v>11.678394051450109</v>
      </c>
      <c r="X12" s="60">
        <f>W12*(1+'R&amp;S - Transportation'!$B$5)</f>
        <v>11.87692675032476</v>
      </c>
      <c r="Y12" s="60">
        <f>X12*(1+'R&amp;S - Transportation'!$B$5)</f>
        <v>12.07883450508028</v>
      </c>
      <c r="Z12" s="60">
        <f>Y12*(1+'R&amp;S - Transportation'!$B$5)</f>
        <v>12.284174691666644</v>
      </c>
      <c r="AA12" s="60">
        <f>Z12*(1+'R&amp;S - Transportation'!$B$5)</f>
        <v>12.493005661424975</v>
      </c>
      <c r="AB12" s="60">
        <f>AA12*(1+'R&amp;S - Transportation'!$B$5)</f>
        <v>12.705386757669199</v>
      </c>
      <c r="AC12" s="60">
        <f>AB12*(1+'R&amp;S - Transportation'!$B$5)</f>
        <v>12.921378332549574</v>
      </c>
      <c r="AD12" s="60">
        <f>AC12*(1+'R&amp;S - Transportation'!$B$5)</f>
        <v>13.141041764202916</v>
      </c>
      <c r="AE12" s="60">
        <f>AD12*(1+'R&amp;S - Transportation'!$B$5)</f>
        <v>13.364439474194365</v>
      </c>
      <c r="AF12" s="60">
        <f>AE12*(1+'R&amp;S - Transportation'!$B$5)</f>
        <v>13.591634945255668</v>
      </c>
      <c r="AG12" s="60">
        <f>AF12*(1+'R&amp;S - Transportation'!$B$5)</f>
        <v>13.822692739325014</v>
      </c>
      <c r="AH12" s="60">
        <f>AG12*(1+'R&amp;S - Transportation'!$B$5)</f>
        <v>14.057678515893537</v>
      </c>
      <c r="AJ12" s="43"/>
      <c r="AM12" s="1" t="s">
        <v>269</v>
      </c>
      <c r="AN12" s="44">
        <f>'Demand Breakdown - BTX'!T3</f>
        <v>44.283391377399667</v>
      </c>
      <c r="AO12" s="44">
        <f>AN12*166/(166-64)</f>
        <v>72.069048712238668</v>
      </c>
    </row>
    <row r="13" spans="1:41" outlineLevel="1">
      <c r="B13" s="1" t="s">
        <v>270</v>
      </c>
      <c r="C13" s="54" t="s">
        <v>153</v>
      </c>
      <c r="D13" s="44">
        <v>0</v>
      </c>
      <c r="E13" s="44">
        <f>E12*('R&amp;S - Transportation'!$B$8*'R&amp;S - Transportation'!$D$19*('Yearly HC Ethylene'!E3-'Yearly HC Ethylene'!$D$3)/10)</f>
        <v>1.7243918760795146E-2</v>
      </c>
      <c r="F13" s="44">
        <f>F12*('R&amp;S - Transportation'!$B$8*'R&amp;S - Transportation'!$D$19*('Yearly HC Ethylene'!F3-'Yearly HC Ethylene'!$D$3)/10)</f>
        <v>3.5074130759457325E-2</v>
      </c>
      <c r="G13" s="44">
        <f>G12*('R&amp;S - Transportation'!$B$8*'R&amp;S - Transportation'!$D$19*('Yearly HC Ethylene'!G3-'Yearly HC Ethylene'!$D$3)/10)</f>
        <v>5.3505586473552143E-2</v>
      </c>
      <c r="H13" s="44">
        <f>H12*('R&amp;S - Transportation'!$B$8*'R&amp;S - Transportation'!$D$19*('Yearly HC Ethylene'!H3-'Yearly HC Ethylene'!$D$3)/10)</f>
        <v>7.2553575258136702E-2</v>
      </c>
      <c r="I13" s="44">
        <f>I12*('R&amp;S - Transportation'!$B$8*'R&amp;S - Transportation'!$D$19*('Yearly HC Ethylene'!I3-'Yearly HC Ethylene'!$D$3)/10)</f>
        <v>9.2233732546906283E-2</v>
      </c>
      <c r="J13" s="44">
        <f>J12*('R&amp;S - Transportation'!$B$8*'R&amp;S - Transportation'!$D$19*('Yearly HC Ethylene'!J3-'Yearly HC Ethylene'!$D$3)/10)</f>
        <v>0.1125620472002444</v>
      </c>
      <c r="K13" s="44">
        <f>K12*('R&amp;S - Transportation'!$B$8*'R&amp;S - Transportation'!$D$19*('Yearly HC Ethylene'!K3-'Yearly HC Ethylene'!$D$3)/10)</f>
        <v>0.13355486900308997</v>
      </c>
      <c r="L13" s="44">
        <f>L12*('R&amp;S - Transportation'!$B$8*'R&amp;S - Transportation'!$D$19*('Yearly HC Ethylene'!L3-'Yearly HC Ethylene'!$D$3)/10)</f>
        <v>0.15522891631559144</v>
      </c>
      <c r="M13" s="44">
        <f>M12*('R&amp;S - Transportation'!$B$8*'R&amp;S - Transportation'!$D$19*('Yearly HC Ethylene'!M3-'Yearly HC Ethylene'!$D$3)/10)</f>
        <v>0.17760128387957602</v>
      </c>
      <c r="N13" s="44">
        <f>N12*('R&amp;S - Transportation'!$B$8*'R&amp;S - Transportation'!$D$19*('Yearly HC Ethylene'!N3-'Yearly HC Ethylene'!$D$3)/10)</f>
        <v>0.20068945078392086</v>
      </c>
      <c r="O13" s="44">
        <f>O12*('R&amp;S - Transportation'!$B$8*('R&amp;S - Transportation'!$D$19+('R&amp;S - Transportation'!$D$20-'R&amp;S - Transportation'!$D$19)*('Yearly HC Ethylene'!O3-'Yearly HC Ethylene'!$N$3)/10))</f>
        <v>0.25512646430905933</v>
      </c>
      <c r="P13" s="44">
        <f>P12*('R&amp;S - Transportation'!$B$8*('R&amp;S - Transportation'!$D$19+('R&amp;S - Transportation'!$D$20-'R&amp;S - Transportation'!$D$19)*('Yearly HC Ethylene'!P3-'Yearly HC Ethylene'!$N$3)/10))</f>
        <v>0.31135633704277599</v>
      </c>
      <c r="Q13" s="44">
        <f>Q12*('R&amp;S - Transportation'!$B$8*('R&amp;S - Transportation'!$D$19+('R&amp;S - Transportation'!$D$20-'R&amp;S - Transportation'!$D$19)*('Yearly HC Ethylene'!Q3-'Yearly HC Ethylene'!$N$3)/10))</f>
        <v>0.36942429390125359</v>
      </c>
      <c r="R13" s="44">
        <f>R12*('R&amp;S - Transportation'!$B$8*('R&amp;S - Transportation'!$D$19+('R&amp;S - Transportation'!$D$20-'R&amp;S - Transportation'!$D$19)*('Yearly HC Ethylene'!R3-'Yearly HC Ethylene'!$N$3)/10))</f>
        <v>0.42937657931151429</v>
      </c>
      <c r="S13" s="44">
        <f>S12*('R&amp;S - Transportation'!$B$8*('R&amp;S - Transportation'!$D$19+('R&amp;S - Transportation'!$D$20-'R&amp;S - Transportation'!$D$19)*('Yearly HC Ethylene'!S3-'Yearly HC Ethylene'!$N$3)/10))</f>
        <v>0.49126047880478618</v>
      </c>
      <c r="T13" s="44">
        <f>T12*('R&amp;S - Transportation'!$B$8*('R&amp;S - Transportation'!$D$19+('R&amp;S - Transportation'!$D$20-'R&amp;S - Transportation'!$D$19)*('Yearly HC Ethylene'!T3-'Yearly HC Ethylene'!$N$3)/10))</f>
        <v>0.55512434104940833</v>
      </c>
      <c r="U13" s="44">
        <f>U12*('R&amp;S - Transportation'!$B$8*('R&amp;S - Transportation'!$D$19+('R&amp;S - Transportation'!$D$20-'R&amp;S - Transportation'!$D$19)*('Yearly HC Ethylene'!U3-'Yearly HC Ethylene'!$N$3)/10))</f>
        <v>0.62101760033197317</v>
      </c>
      <c r="V13" s="44">
        <f>V12*('R&amp;S - Transportation'!$B$8*('R&amp;S - Transportation'!$D$19+('R&amp;S - Transportation'!$D$20-'R&amp;S - Transportation'!$D$19)*('Yearly HC Ethylene'!V3-'Yearly HC Ethylene'!$N$3)/10))</f>
        <v>0.68899079949558162</v>
      </c>
      <c r="W13" s="44">
        <f>W12*('R&amp;S - Transportation'!$B$8*('R&amp;S - Transportation'!$D$19+('R&amp;S - Transportation'!$D$20-'R&amp;S - Transportation'!$D$19)*('Yearly HC Ethylene'!W3-'Yearly HC Ethylene'!$N$3)/10))</f>
        <v>0.7590956133442569</v>
      </c>
      <c r="X13" s="44">
        <f>X12*('R&amp;S - Transportation'!$B$8*('R&amp;S - Transportation'!$D$19+('R&amp;S - Transportation'!$D$20-'R&amp;S - Transportation'!$D$19)*('Yearly HC Ethylene'!X3-'Yearly HC Ethylene'!$N$3)/10))</f>
        <v>0.83138487252273308</v>
      </c>
      <c r="Y13" s="44">
        <f>Y12*('R&amp;S - Transportation'!$B$8*('R&amp;S - Transportation'!$D$20+('R&amp;S - Transportation'!$D$21-'R&amp;S - Transportation'!$D$20)*('Yearly HC Ethylene'!Y3-'Yearly HC Ethylene'!$X$3)/10))</f>
        <v>0.88175491887086044</v>
      </c>
      <c r="Z13" s="44">
        <f>Z12*('R&amp;S - Transportation'!$B$8*('R&amp;S - Transportation'!$D$20+('R&amp;S - Transportation'!$D$21-'R&amp;S - Transportation'!$D$20)*('Yearly HC Ethylene'!Z3-'Yearly HC Ethylene'!$X$3)/10))</f>
        <v>0.93359727656666514</v>
      </c>
      <c r="AA13" s="44">
        <f>AA12*('R&amp;S - Transportation'!$B$8*('R&amp;S - Transportation'!$D$20+('R&amp;S - Transportation'!$D$21-'R&amp;S - Transportation'!$D$20)*('Yearly HC Ethylene'!AA3-'Yearly HC Ethylene'!$X$3)/10))</f>
        <v>0.98694744725257311</v>
      </c>
      <c r="AB13" s="44">
        <f>AB12*('R&amp;S - Transportation'!$B$8*('R&amp;S - Transportation'!$D$20+('R&amp;S - Transportation'!$D$21-'R&amp;S - Transportation'!$D$20)*('Yearly HC Ethylene'!AB3-'Yearly HC Ethylene'!$X$3)/10))</f>
        <v>1.0418417141288743</v>
      </c>
      <c r="AC13" s="44">
        <f>AC12*('R&amp;S - Transportation'!$B$8*('R&amp;S - Transportation'!$D$20+('R&amp;S - Transportation'!$D$21-'R&amp;S - Transportation'!$D$20)*('Yearly HC Ethylene'!AC3-'Yearly HC Ethylene'!$X$3)/10))</f>
        <v>1.0983171582667139</v>
      </c>
      <c r="AD13" s="44">
        <f>AD12*('R&amp;S - Transportation'!$B$8*('R&amp;S - Transportation'!$D$20+('R&amp;S - Transportation'!$D$21-'R&amp;S - Transportation'!$D$20)*('Yearly HC Ethylene'!AD3-'Yearly HC Ethylene'!$X$3)/10))</f>
        <v>1.1564116752498568</v>
      </c>
      <c r="AE13" s="44">
        <f>AE12*('R&amp;S - Transportation'!$B$8*('R&amp;S - Transportation'!$D$20+('R&amp;S - Transportation'!$D$21-'R&amp;S - Transportation'!$D$20)*('Yearly HC Ethylene'!AE3-'Yearly HC Ethylene'!$X$3)/10))</f>
        <v>1.2161639921516874</v>
      </c>
      <c r="AF13" s="44">
        <f>AF12*('R&amp;S - Transportation'!$B$8*('R&amp;S - Transportation'!$D$20+('R&amp;S - Transportation'!$D$21-'R&amp;S - Transportation'!$D$20)*('Yearly HC Ethylene'!AF3-'Yearly HC Ethylene'!$X$3)/10))</f>
        <v>1.2776136848540329</v>
      </c>
      <c r="AG13" s="44">
        <f>AG12*('R&amp;S - Transportation'!$B$8*('R&amp;S - Transportation'!$D$20+('R&amp;S - Transportation'!$D$21-'R&amp;S - Transportation'!$D$20)*('Yearly HC Ethylene'!AG3-'Yearly HC Ethylene'!$X$3)/10))</f>
        <v>1.3408011957145263</v>
      </c>
      <c r="AH13" s="44">
        <f>AH12*('R&amp;S - Transportation'!$B$8*('R&amp;S - Transportation'!$D$20+('R&amp;S - Transportation'!$D$21-'R&amp;S - Transportation'!$D$20)*('Yearly HC Ethylene'!AH3-'Yearly HC Ethylene'!$X$3)/10))</f>
        <v>1.4057678515893537</v>
      </c>
      <c r="AJ13" s="43"/>
    </row>
    <row r="14" spans="1:41" outlineLevel="1">
      <c r="B14" s="1" t="s">
        <v>191</v>
      </c>
      <c r="C14" s="54" t="s">
        <v>153</v>
      </c>
      <c r="D14" s="44">
        <f>SUM(D12:D13)</f>
        <v>8.4778361655826675</v>
      </c>
      <c r="E14" s="44">
        <f t="shared" ref="E14:AH14" si="3">SUM(E12:E13)</f>
        <v>8.6392032991583676</v>
      </c>
      <c r="F14" s="44">
        <f>SUM(F12:F13)</f>
        <v>8.8036068206237879</v>
      </c>
      <c r="G14" s="44">
        <f t="shared" si="3"/>
        <v>8.9711033320655744</v>
      </c>
      <c r="H14" s="44">
        <f>SUM(H12:H13)</f>
        <v>9.1417504825252234</v>
      </c>
      <c r="I14" s="44">
        <f t="shared" si="3"/>
        <v>9.3156069872375333</v>
      </c>
      <c r="J14" s="44">
        <f t="shared" si="3"/>
        <v>9.4927326472206097</v>
      </c>
      <c r="K14" s="44">
        <f t="shared" si="3"/>
        <v>9.6731883692238014</v>
      </c>
      <c r="L14" s="44">
        <f t="shared" si="3"/>
        <v>9.8570361860400535</v>
      </c>
      <c r="M14" s="44">
        <f t="shared" si="3"/>
        <v>10.044339277189353</v>
      </c>
      <c r="N14" s="44">
        <f>SUM(N12:N13)</f>
        <v>10.235161989979963</v>
      </c>
      <c r="O14" s="44">
        <f t="shared" si="3"/>
        <v>10.460185036671433</v>
      </c>
      <c r="P14" s="44">
        <f t="shared" si="3"/>
        <v>10.689900905135309</v>
      </c>
      <c r="Q14" s="44">
        <f t="shared" si="3"/>
        <v>10.924404119651358</v>
      </c>
      <c r="R14" s="44">
        <f t="shared" si="3"/>
        <v>11.163791062099369</v>
      </c>
      <c r="S14" s="44">
        <f t="shared" si="3"/>
        <v>11.408160007800035</v>
      </c>
      <c r="T14" s="44">
        <f t="shared" si="3"/>
        <v>11.657611162037576</v>
      </c>
      <c r="U14" s="44">
        <f t="shared" si="3"/>
        <v>11.912246697276938</v>
      </c>
      <c r="V14" s="44">
        <f t="shared" si="3"/>
        <v>12.172170791088609</v>
      </c>
      <c r="W14" s="44">
        <f t="shared" si="3"/>
        <v>12.437489664794366</v>
      </c>
      <c r="X14" s="44">
        <f t="shared" si="3"/>
        <v>12.708311622847493</v>
      </c>
      <c r="Y14" s="44">
        <f t="shared" si="3"/>
        <v>12.960589423951141</v>
      </c>
      <c r="Z14" s="44">
        <f t="shared" si="3"/>
        <v>13.217771968233309</v>
      </c>
      <c r="AA14" s="44">
        <f t="shared" si="3"/>
        <v>13.479953108677549</v>
      </c>
      <c r="AB14" s="44">
        <f t="shared" si="3"/>
        <v>13.747228471798074</v>
      </c>
      <c r="AC14" s="44">
        <f t="shared" si="3"/>
        <v>14.019695490816288</v>
      </c>
      <c r="AD14" s="44">
        <f t="shared" si="3"/>
        <v>14.297453439452772</v>
      </c>
      <c r="AE14" s="44">
        <f t="shared" si="3"/>
        <v>14.580603466346052</v>
      </c>
      <c r="AF14" s="44">
        <f t="shared" si="3"/>
        <v>14.869248630109702</v>
      </c>
      <c r="AG14" s="44">
        <f t="shared" si="3"/>
        <v>15.16349393503954</v>
      </c>
      <c r="AH14" s="44">
        <f t="shared" si="3"/>
        <v>15.463446367482891</v>
      </c>
      <c r="AJ14" s="43"/>
    </row>
    <row r="15" spans="1:41" outlineLevel="1">
      <c r="B15" s="61" t="s">
        <v>77</v>
      </c>
      <c r="C15" s="54" t="s">
        <v>153</v>
      </c>
      <c r="D15" s="44">
        <v>0</v>
      </c>
      <c r="E15" s="44">
        <f>E14*'R&amp;S - Transportation'!$B$15*('R&amp;S - Transportation'!$B$10*'R&amp;S - Transportation'!$B$19*('Yearly HC Ethylene'!E$3-'Yearly HC Ethylene'!$D$3)/10)</f>
        <v>0</v>
      </c>
      <c r="F15" s="44">
        <f>F14*'R&amp;S - Transportation'!$B$15*('R&amp;S - Transportation'!$B$10*'R&amp;S - Transportation'!$B$19*('Yearly HC Ethylene'!F$3-'Yearly HC Ethylene'!$D$3)/10)</f>
        <v>0</v>
      </c>
      <c r="G15" s="44">
        <f>G14*'R&amp;S - Transportation'!$B$15*('R&amp;S - Transportation'!$B$10*'R&amp;S - Transportation'!$B$19*('Yearly HC Ethylene'!G$3-'Yearly HC Ethylene'!$D$3)/10)</f>
        <v>0</v>
      </c>
      <c r="H15" s="44">
        <f>H14*'R&amp;S - Transportation'!$B$15*('R&amp;S - Transportation'!$B$10*'R&amp;S - Transportation'!$B$19*('Yearly HC Ethylene'!H$3-'Yearly HC Ethylene'!$D$3)/10)</f>
        <v>0</v>
      </c>
      <c r="I15" s="44">
        <f>I14*'R&amp;S - Transportation'!$B$15*('R&amp;S - Transportation'!$B$10*'R&amp;S - Transportation'!$B$19*('Yearly HC Ethylene'!I$3-'Yearly HC Ethylene'!$D$3)/10)</f>
        <v>0</v>
      </c>
      <c r="J15" s="44">
        <f>J14*'R&amp;S - Transportation'!$B$15*('R&amp;S - Transportation'!$B$10*'R&amp;S - Transportation'!$B$19*('Yearly HC Ethylene'!J$3-'Yearly HC Ethylene'!$D$3)/10)</f>
        <v>0</v>
      </c>
      <c r="K15" s="44">
        <f>K14*'R&amp;S - Transportation'!$B$15*('R&amp;S - Transportation'!$B$10*'R&amp;S - Transportation'!$B$19*('Yearly HC Ethylene'!K$3-'Yearly HC Ethylene'!$D$3)/10)</f>
        <v>0</v>
      </c>
      <c r="L15" s="44">
        <f>L14*'R&amp;S - Transportation'!$B$15*('R&amp;S - Transportation'!$B$10*'R&amp;S - Transportation'!$B$19*('Yearly HC Ethylene'!L$3-'Yearly HC Ethylene'!$D$3)/10)</f>
        <v>0</v>
      </c>
      <c r="M15" s="44">
        <f>M14*'R&amp;S - Transportation'!$B$15*('R&amp;S - Transportation'!$B$10*'R&amp;S - Transportation'!$B$19*('Yearly HC Ethylene'!M$3-'Yearly HC Ethylene'!$D$3)/10)</f>
        <v>0</v>
      </c>
      <c r="N15" s="44">
        <f>N14*'R&amp;S - Transportation'!$B$15*('R&amp;S - Transportation'!$B$10*'R&amp;S - Transportation'!$B$19*('Yearly HC Ethylene'!N$3-'Yearly HC Ethylene'!$D$3)/10)</f>
        <v>0</v>
      </c>
      <c r="O15" s="44">
        <f>O14*'R&amp;S - Transportation'!$B$15*('R&amp;S - Transportation'!$B$10*('R&amp;S - Transportation'!$B$19+('R&amp;S - Transportation'!$B$20-'R&amp;S - Transportation'!$B$19)*('Yearly HC Ethylene'!O3-'Yearly HC Ethylene'!$N$3)/10))</f>
        <v>0</v>
      </c>
      <c r="P15" s="44">
        <f>P14*'R&amp;S - Transportation'!$B$15*('R&amp;S - Transportation'!$B$10*('R&amp;S - Transportation'!$B$19+('R&amp;S - Transportation'!$B$20-'R&amp;S - Transportation'!$B$19)*('Yearly HC Ethylene'!P3-'Yearly HC Ethylene'!$N$3)/10))</f>
        <v>0</v>
      </c>
      <c r="Q15" s="44">
        <f>Q14*'R&amp;S - Transportation'!$B$15*('R&amp;S - Transportation'!$B$10*('R&amp;S - Transportation'!$B$19+('R&amp;S - Transportation'!$B$20-'R&amp;S - Transportation'!$B$19)*('Yearly HC Ethylene'!Q3-'Yearly HC Ethylene'!$N$3)/10))</f>
        <v>0</v>
      </c>
      <c r="R15" s="44">
        <f>R14*'R&amp;S - Transportation'!$B$15*('R&amp;S - Transportation'!$B$10*('R&amp;S - Transportation'!$B$19+('R&amp;S - Transportation'!$B$20-'R&amp;S - Transportation'!$B$19)*('Yearly HC Ethylene'!R3-'Yearly HC Ethylene'!$N$3)/10))</f>
        <v>0</v>
      </c>
      <c r="S15" s="44">
        <f>S14*'R&amp;S - Transportation'!$B$15*('R&amp;S - Transportation'!$B$10*('R&amp;S - Transportation'!$B$19+('R&amp;S - Transportation'!$B$20-'R&amp;S - Transportation'!$B$19)*('Yearly HC Ethylene'!S3-'Yearly HC Ethylene'!$N$3)/10))</f>
        <v>0</v>
      </c>
      <c r="T15" s="44">
        <f>T14*'R&amp;S - Transportation'!$B$15*('R&amp;S - Transportation'!$B$10*('R&amp;S - Transportation'!$B$19+('R&amp;S - Transportation'!$B$20-'R&amp;S - Transportation'!$B$19)*('Yearly HC Ethylene'!T3-'Yearly HC Ethylene'!$N$3)/10))</f>
        <v>0</v>
      </c>
      <c r="U15" s="44">
        <f>U14*'R&amp;S - Transportation'!$B$15*('R&amp;S - Transportation'!$B$10*('R&amp;S - Transportation'!$B$19+('R&amp;S - Transportation'!$B$20-'R&amp;S - Transportation'!$B$19)*('Yearly HC Ethylene'!U3-'Yearly HC Ethylene'!$N$3)/10))</f>
        <v>0</v>
      </c>
      <c r="V15" s="44">
        <f>V14*'R&amp;S - Transportation'!$B$15*('R&amp;S - Transportation'!$B$10*('R&amp;S - Transportation'!$B$19+('R&amp;S - Transportation'!$B$20-'R&amp;S - Transportation'!$B$19)*('Yearly HC Ethylene'!V3-'Yearly HC Ethylene'!$N$3)/10))</f>
        <v>0</v>
      </c>
      <c r="W15" s="44">
        <f>W14*'R&amp;S - Transportation'!$B$15*('R&amp;S - Transportation'!$B$10*('R&amp;S - Transportation'!$B$19+('R&amp;S - Transportation'!$B$20-'R&amp;S - Transportation'!$B$19)*('Yearly HC Ethylene'!W3-'Yearly HC Ethylene'!$N$3)/10))</f>
        <v>0</v>
      </c>
      <c r="X15" s="44">
        <f>X14*'R&amp;S - Transportation'!$B$15*('R&amp;S - Transportation'!$B$10*('R&amp;S - Transportation'!$B$19+('R&amp;S - Transportation'!$B$20-'R&amp;S - Transportation'!$B$19)*('Yearly HC Ethylene'!X3-'Yearly HC Ethylene'!$N$3)/10))</f>
        <v>0</v>
      </c>
      <c r="Y15" s="44">
        <f>Y14*'R&amp;S - Transportation'!$B$15*('R&amp;S - Transportation'!$B$10*('R&amp;S - Transportation'!$B$20+('R&amp;S - Transportation'!$B$21-'R&amp;S - Transportation'!$B$20)*('Yearly HC Ethylene'!Y3-'Yearly HC Ethylene'!$X$3)/10))</f>
        <v>0</v>
      </c>
      <c r="Z15" s="44">
        <f>Z14*'R&amp;S - Transportation'!$B$15*('R&amp;S - Transportation'!$B$10*('R&amp;S - Transportation'!$B$20+('R&amp;S - Transportation'!$B$21-'R&amp;S - Transportation'!$B$20)*('Yearly HC Ethylene'!Z3-'Yearly HC Ethylene'!$X$3)/10))</f>
        <v>0</v>
      </c>
      <c r="AA15" s="44">
        <f>AA14*'R&amp;S - Transportation'!$B$15*('R&amp;S - Transportation'!$B$10*('R&amp;S - Transportation'!$B$20+('R&amp;S - Transportation'!$B$21-'R&amp;S - Transportation'!$B$20)*('Yearly HC Ethylene'!AA3-'Yearly HC Ethylene'!$X$3)/10))</f>
        <v>0</v>
      </c>
      <c r="AB15" s="44">
        <f>AB14*'R&amp;S - Transportation'!$B$15*('R&amp;S - Transportation'!$B$10*('R&amp;S - Transportation'!$B$20+('R&amp;S - Transportation'!$B$21-'R&amp;S - Transportation'!$B$20)*('Yearly HC Ethylene'!AB3-'Yearly HC Ethylene'!$X$3)/10))</f>
        <v>0</v>
      </c>
      <c r="AC15" s="44">
        <f>AC14*'R&amp;S - Transportation'!$B$15*('R&amp;S - Transportation'!$B$10*('R&amp;S - Transportation'!$B$20+('R&amp;S - Transportation'!$B$21-'R&amp;S - Transportation'!$B$20)*('Yearly HC Ethylene'!AC3-'Yearly HC Ethylene'!$X$3)/10))</f>
        <v>0</v>
      </c>
      <c r="AD15" s="44">
        <f>AD14*'R&amp;S - Transportation'!$B$15*('R&amp;S - Transportation'!$B$10*('R&amp;S - Transportation'!$B$20+('R&amp;S - Transportation'!$B$21-'R&amp;S - Transportation'!$B$20)*('Yearly HC Ethylene'!AD3-'Yearly HC Ethylene'!$X$3)/10))</f>
        <v>0</v>
      </c>
      <c r="AE15" s="44">
        <f>AE14*'R&amp;S - Transportation'!$B$15*('R&amp;S - Transportation'!$B$10*('R&amp;S - Transportation'!$B$20+('R&amp;S - Transportation'!$B$21-'R&amp;S - Transportation'!$B$20)*('Yearly HC Ethylene'!AE3-'Yearly HC Ethylene'!$X$3)/10))</f>
        <v>0</v>
      </c>
      <c r="AF15" s="44">
        <f>AF14*'R&amp;S - Transportation'!$B$15*('R&amp;S - Transportation'!$B$10*('R&amp;S - Transportation'!$B$20+('R&amp;S - Transportation'!$B$21-'R&amp;S - Transportation'!$B$20)*('Yearly HC Ethylene'!AF3-'Yearly HC Ethylene'!$X$3)/10))</f>
        <v>0</v>
      </c>
      <c r="AG15" s="44">
        <f>AG14*'R&amp;S - Transportation'!$B$15*('R&amp;S - Transportation'!$B$10*('R&amp;S - Transportation'!$B$20+('R&amp;S - Transportation'!$B$21-'R&amp;S - Transportation'!$B$20)*('Yearly HC Ethylene'!AG3-'Yearly HC Ethylene'!$X$3)/10))</f>
        <v>0</v>
      </c>
      <c r="AH15" s="44">
        <f>AH14*'R&amp;S - Transportation'!$B$15*('R&amp;S - Transportation'!$B$10*('R&amp;S - Transportation'!$B$20+('R&amp;S - Transportation'!$B$21-'R&amp;S - Transportation'!$B$20)*('Yearly HC Ethylene'!AH3-'Yearly HC Ethylene'!$X$3)/10))</f>
        <v>0</v>
      </c>
      <c r="AM15" t="s">
        <v>259</v>
      </c>
      <c r="AN15">
        <v>2020</v>
      </c>
    </row>
    <row r="16" spans="1:41" outlineLevel="1">
      <c r="B16" s="61" t="s">
        <v>194</v>
      </c>
      <c r="C16" s="54" t="s">
        <v>153</v>
      </c>
      <c r="D16" s="44">
        <v>0</v>
      </c>
      <c r="E16" s="44">
        <f>(E14-E15)*'R&amp;S - Transportation'!$B$15*('R&amp;S - Transportation'!$B$11*'R&amp;S - Transportation'!$B$19*('Yearly HC Ethylene'!E$3-'Yearly HC Ethylene'!$D$3)/10)</f>
        <v>0</v>
      </c>
      <c r="F16" s="44">
        <f>(F14-F15)*'R&amp;S - Transportation'!$B$15*('R&amp;S - Transportation'!$B$11*'R&amp;S - Transportation'!$B$19*('Yearly HC Ethylene'!F$3-'Yearly HC Ethylene'!$D$3)/10)</f>
        <v>0</v>
      </c>
      <c r="G16" s="44">
        <f>(G14-G15)*'R&amp;S - Transportation'!$B$15*('R&amp;S - Transportation'!$B$11*'R&amp;S - Transportation'!$B$19*('Yearly HC Ethylene'!G$3-'Yearly HC Ethylene'!$D$3)/10)</f>
        <v>0</v>
      </c>
      <c r="H16" s="44">
        <f>(H14-H15)*'R&amp;S - Transportation'!$B$15*('R&amp;S - Transportation'!$B$11*'R&amp;S - Transportation'!$B$19*('Yearly HC Ethylene'!H$3-'Yearly HC Ethylene'!$D$3)/10)</f>
        <v>0</v>
      </c>
      <c r="I16" s="44">
        <f>(I14-I15)*'R&amp;S - Transportation'!$B$15*('R&amp;S - Transportation'!$B$11*'R&amp;S - Transportation'!$B$19*('Yearly HC Ethylene'!I$3-'Yearly HC Ethylene'!$D$3)/10)</f>
        <v>0</v>
      </c>
      <c r="J16" s="44">
        <f>(J14-J15)*'R&amp;S - Transportation'!$B$15*('R&amp;S - Transportation'!$B$11*'R&amp;S - Transportation'!$B$19*('Yearly HC Ethylene'!J$3-'Yearly HC Ethylene'!$D$3)/10)</f>
        <v>0</v>
      </c>
      <c r="K16" s="44">
        <f>(K14-K15)*'R&amp;S - Transportation'!$B$15*('R&amp;S - Transportation'!$B$11*'R&amp;S - Transportation'!$B$19*('Yearly HC Ethylene'!K$3-'Yearly HC Ethylene'!$D$3)/10)</f>
        <v>0</v>
      </c>
      <c r="L16" s="44">
        <f>(L14-L15)*'R&amp;S - Transportation'!$B$15*('R&amp;S - Transportation'!$B$11*'R&amp;S - Transportation'!$B$19*('Yearly HC Ethylene'!L$3-'Yearly HC Ethylene'!$D$3)/10)</f>
        <v>0</v>
      </c>
      <c r="M16" s="44">
        <f>(M14-M15)*'R&amp;S - Transportation'!$B$15*('R&amp;S - Transportation'!$B$11*'R&amp;S - Transportation'!$B$19*('Yearly HC Ethylene'!M$3-'Yearly HC Ethylene'!$D$3)/10)</f>
        <v>0</v>
      </c>
      <c r="N16" s="44">
        <f>(N14-N15)*'R&amp;S - Transportation'!$B$15*('R&amp;S - Transportation'!$B$11*'R&amp;S - Transportation'!$B$19*('Yearly HC Ethylene'!N$3-'Yearly HC Ethylene'!$D$3)/10)</f>
        <v>0</v>
      </c>
      <c r="O16" s="44">
        <f>(O14-O15)*'R&amp;S - Transportation'!$B$15*('R&amp;S - Transportation'!$B$11*('R&amp;S - Transportation'!$B$19+('R&amp;S - Transportation'!$B$20-'R&amp;S - Transportation'!$B$19)*('Yearly HC Ethylene'!O$3-'Yearly HC Ethylene'!$N$3)/10))</f>
        <v>0</v>
      </c>
      <c r="P16" s="44">
        <f>(P14-P15)*'R&amp;S - Transportation'!$B$15*('R&amp;S - Transportation'!$B$11*('R&amp;S - Transportation'!$B$19+('R&amp;S - Transportation'!$B$20-'R&amp;S - Transportation'!$B$19)*('Yearly HC Ethylene'!P$3-'Yearly HC Ethylene'!$N$3)/10))</f>
        <v>0</v>
      </c>
      <c r="Q16" s="44">
        <f>(Q14-Q15)*'R&amp;S - Transportation'!$B$15*('R&amp;S - Transportation'!$B$11*('R&amp;S - Transportation'!$B$19+('R&amp;S - Transportation'!$B$20-'R&amp;S - Transportation'!$B$19)*('Yearly HC Ethylene'!Q$3-'Yearly HC Ethylene'!$N$3)/10))</f>
        <v>0</v>
      </c>
      <c r="R16" s="44">
        <f>(R14-R15)*'R&amp;S - Transportation'!$B$15*('R&amp;S - Transportation'!$B$11*('R&amp;S - Transportation'!$B$19+('R&amp;S - Transportation'!$B$20-'R&amp;S - Transportation'!$B$19)*('Yearly HC Ethylene'!R$3-'Yearly HC Ethylene'!$N$3)/10))</f>
        <v>0</v>
      </c>
      <c r="S16" s="44">
        <f>(S14-S15)*'R&amp;S - Transportation'!$B$15*('R&amp;S - Transportation'!$B$11*('R&amp;S - Transportation'!$B$19+('R&amp;S - Transportation'!$B$20-'R&amp;S - Transportation'!$B$19)*('Yearly HC Ethylene'!S$3-'Yearly HC Ethylene'!$N$3)/10))</f>
        <v>0</v>
      </c>
      <c r="T16" s="44">
        <f>(T14-T15)*'R&amp;S - Transportation'!$B$15*('R&amp;S - Transportation'!$B$11*('R&amp;S - Transportation'!$B$19+('R&amp;S - Transportation'!$B$20-'R&amp;S - Transportation'!$B$19)*('Yearly HC Ethylene'!T$3-'Yearly HC Ethylene'!$N$3)/10))</f>
        <v>0</v>
      </c>
      <c r="U16" s="44">
        <f>(U14-U15)*'R&amp;S - Transportation'!$B$15*('R&amp;S - Transportation'!$B$11*('R&amp;S - Transportation'!$B$19+('R&amp;S - Transportation'!$B$20-'R&amp;S - Transportation'!$B$19)*('Yearly HC Ethylene'!U$3-'Yearly HC Ethylene'!$N$3)/10))</f>
        <v>0</v>
      </c>
      <c r="V16" s="44">
        <f>(V14-V15)*'R&amp;S - Transportation'!$B$15*('R&amp;S - Transportation'!$B$11*('R&amp;S - Transportation'!$B$19+('R&amp;S - Transportation'!$B$20-'R&amp;S - Transportation'!$B$19)*('Yearly HC Ethylene'!V$3-'Yearly HC Ethylene'!$N$3)/10))</f>
        <v>0</v>
      </c>
      <c r="W16" s="44">
        <f>(W14-W15)*'R&amp;S - Transportation'!$B$15*('R&amp;S - Transportation'!$B$11*('R&amp;S - Transportation'!$B$19+('R&amp;S - Transportation'!$B$20-'R&amp;S - Transportation'!$B$19)*('Yearly HC Ethylene'!W$3-'Yearly HC Ethylene'!$N$3)/10))</f>
        <v>0</v>
      </c>
      <c r="X16" s="44">
        <f>(X14-X15)*'R&amp;S - Transportation'!$B$15*('R&amp;S - Transportation'!$B$11*('R&amp;S - Transportation'!$B$19+('R&amp;S - Transportation'!$B$20-'R&amp;S - Transportation'!$B$19)*('Yearly HC Ethylene'!X$3-'Yearly HC Ethylene'!$N$3)/10))</f>
        <v>0</v>
      </c>
      <c r="Y16" s="44">
        <f>(Y14-Y15)*'R&amp;S - Transportation'!$B$15*('R&amp;S - Transportation'!$B$11*('R&amp;S - Transportation'!$B$20+('R&amp;S - Transportation'!$B$21-'R&amp;S - Transportation'!$B$20)*('Yearly HC Ethylene'!Y$3-'Yearly HC Ethylene'!$X$3)/10))</f>
        <v>0</v>
      </c>
      <c r="Z16" s="44">
        <f>(Z14-Z15)*'R&amp;S - Transportation'!$B$15*('R&amp;S - Transportation'!$B$11*('R&amp;S - Transportation'!$B$20+('R&amp;S - Transportation'!$B$21-'R&amp;S - Transportation'!$B$20)*('Yearly HC Ethylene'!Z$3-'Yearly HC Ethylene'!$X$3)/10))</f>
        <v>0</v>
      </c>
      <c r="AA16" s="44">
        <f>(AA14-AA15)*'R&amp;S - Transportation'!$B$15*('R&amp;S - Transportation'!$B$11*('R&amp;S - Transportation'!$B$20+('R&amp;S - Transportation'!$B$21-'R&amp;S - Transportation'!$B$20)*('Yearly HC Ethylene'!AA$3-'Yearly HC Ethylene'!$X$3)/10))</f>
        <v>0</v>
      </c>
      <c r="AB16" s="44">
        <f>(AB14-AB15)*'R&amp;S - Transportation'!$B$15*('R&amp;S - Transportation'!$B$11*('R&amp;S - Transportation'!$B$20+('R&amp;S - Transportation'!$B$21-'R&amp;S - Transportation'!$B$20)*('Yearly HC Ethylene'!AB$3-'Yearly HC Ethylene'!$X$3)/10))</f>
        <v>0</v>
      </c>
      <c r="AC16" s="44">
        <f>(AC14-AC15)*'R&amp;S - Transportation'!$B$15*('R&amp;S - Transportation'!$B$11*('R&amp;S - Transportation'!$B$20+('R&amp;S - Transportation'!$B$21-'R&amp;S - Transportation'!$B$20)*('Yearly HC Ethylene'!AC$3-'Yearly HC Ethylene'!$X$3)/10))</f>
        <v>0</v>
      </c>
      <c r="AD16" s="44">
        <f>(AD14-AD15)*'R&amp;S - Transportation'!$B$15*('R&amp;S - Transportation'!$B$11*('R&amp;S - Transportation'!$B$20+('R&amp;S - Transportation'!$B$21-'R&amp;S - Transportation'!$B$20)*('Yearly HC Ethylene'!AD$3-'Yearly HC Ethylene'!$X$3)/10))</f>
        <v>0</v>
      </c>
      <c r="AE16" s="44">
        <f>(AE14-AE15)*'R&amp;S - Transportation'!$B$15*('R&amp;S - Transportation'!$B$11*('R&amp;S - Transportation'!$B$20+('R&amp;S - Transportation'!$B$21-'R&amp;S - Transportation'!$B$20)*('Yearly HC Ethylene'!AE$3-'Yearly HC Ethylene'!$X$3)/10))</f>
        <v>0</v>
      </c>
      <c r="AF16" s="44">
        <f>(AF14-AF15)*'R&amp;S - Transportation'!$B$15*('R&amp;S - Transportation'!$B$11*('R&amp;S - Transportation'!$B$20+('R&amp;S - Transportation'!$B$21-'R&amp;S - Transportation'!$B$20)*('Yearly HC Ethylene'!AF$3-'Yearly HC Ethylene'!$X$3)/10))</f>
        <v>0</v>
      </c>
      <c r="AG16" s="44">
        <f>(AG14-AG15)*'R&amp;S - Transportation'!$B$15*('R&amp;S - Transportation'!$B$11*('R&amp;S - Transportation'!$B$20+('R&amp;S - Transportation'!$B$21-'R&amp;S - Transportation'!$B$20)*('Yearly HC Ethylene'!AG$3-'Yearly HC Ethylene'!$X$3)/10))</f>
        <v>0</v>
      </c>
      <c r="AH16" s="44">
        <f>(AH14-AH15)*'R&amp;S - Transportation'!$B$15*('R&amp;S - Transportation'!$B$11*('R&amp;S - Transportation'!$B$20+('R&amp;S - Transportation'!$B$21-'R&amp;S - Transportation'!$B$20)*('Yearly HC Ethylene'!AH$3-'Yearly HC Ethylene'!$X$3)/10))</f>
        <v>0</v>
      </c>
      <c r="AM16" t="s">
        <v>261</v>
      </c>
      <c r="AN16">
        <v>99.242307692307676</v>
      </c>
    </row>
    <row r="17" spans="1:40" outlineLevel="1">
      <c r="B17" s="1" t="s">
        <v>168</v>
      </c>
      <c r="C17" s="54" t="s">
        <v>153</v>
      </c>
      <c r="D17" s="44">
        <f>SUM(D15:D16)</f>
        <v>0</v>
      </c>
      <c r="E17" s="44">
        <f t="shared" ref="E17:AH17" si="4">SUM(E15:E16)</f>
        <v>0</v>
      </c>
      <c r="F17" s="44">
        <f t="shared" si="4"/>
        <v>0</v>
      </c>
      <c r="G17" s="44">
        <f t="shared" si="4"/>
        <v>0</v>
      </c>
      <c r="H17" s="44">
        <f t="shared" si="4"/>
        <v>0</v>
      </c>
      <c r="I17" s="44">
        <f t="shared" si="4"/>
        <v>0</v>
      </c>
      <c r="J17" s="44">
        <f t="shared" si="4"/>
        <v>0</v>
      </c>
      <c r="K17" s="44">
        <f t="shared" si="4"/>
        <v>0</v>
      </c>
      <c r="L17" s="44">
        <f t="shared" si="4"/>
        <v>0</v>
      </c>
      <c r="M17" s="44">
        <f t="shared" si="4"/>
        <v>0</v>
      </c>
      <c r="N17" s="44">
        <f>SUM(N15:N16)</f>
        <v>0</v>
      </c>
      <c r="O17" s="44">
        <f t="shared" si="4"/>
        <v>0</v>
      </c>
      <c r="P17" s="44">
        <f t="shared" si="4"/>
        <v>0</v>
      </c>
      <c r="Q17" s="44">
        <f t="shared" si="4"/>
        <v>0</v>
      </c>
      <c r="R17" s="44">
        <f t="shared" si="4"/>
        <v>0</v>
      </c>
      <c r="S17" s="44">
        <f t="shared" si="4"/>
        <v>0</v>
      </c>
      <c r="T17" s="44">
        <f t="shared" si="4"/>
        <v>0</v>
      </c>
      <c r="U17" s="44">
        <f t="shared" si="4"/>
        <v>0</v>
      </c>
      <c r="V17" s="44">
        <f t="shared" si="4"/>
        <v>0</v>
      </c>
      <c r="W17" s="44">
        <f t="shared" si="4"/>
        <v>0</v>
      </c>
      <c r="X17" s="44">
        <f t="shared" si="4"/>
        <v>0</v>
      </c>
      <c r="Y17" s="44">
        <f t="shared" si="4"/>
        <v>0</v>
      </c>
      <c r="Z17" s="44">
        <f t="shared" si="4"/>
        <v>0</v>
      </c>
      <c r="AA17" s="44">
        <f t="shared" si="4"/>
        <v>0</v>
      </c>
      <c r="AB17" s="44">
        <f t="shared" si="4"/>
        <v>0</v>
      </c>
      <c r="AC17" s="44">
        <f t="shared" si="4"/>
        <v>0</v>
      </c>
      <c r="AD17" s="44">
        <f t="shared" si="4"/>
        <v>0</v>
      </c>
      <c r="AE17" s="44">
        <f t="shared" si="4"/>
        <v>0</v>
      </c>
      <c r="AF17" s="44">
        <f t="shared" si="4"/>
        <v>0</v>
      </c>
      <c r="AG17" s="44">
        <f t="shared" si="4"/>
        <v>0</v>
      </c>
      <c r="AH17" s="44">
        <f t="shared" si="4"/>
        <v>0</v>
      </c>
      <c r="AI17" s="44"/>
      <c r="AM17" t="s">
        <v>260</v>
      </c>
      <c r="AN17">
        <v>35.792307692307688</v>
      </c>
    </row>
    <row r="18" spans="1:40" outlineLevel="1">
      <c r="B18" s="1" t="s">
        <v>172</v>
      </c>
      <c r="C18" s="54" t="s">
        <v>153</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M18" t="s">
        <v>262</v>
      </c>
      <c r="AN18">
        <v>58.22060439560439</v>
      </c>
    </row>
    <row r="19" spans="1:40" s="190" customFormat="1">
      <c r="A19" s="190" t="s">
        <v>197</v>
      </c>
      <c r="B19" s="190" t="s">
        <v>67</v>
      </c>
      <c r="C19" s="191" t="s">
        <v>153</v>
      </c>
      <c r="D19" s="192">
        <f>D14-D17-D18</f>
        <v>8.4778361655826675</v>
      </c>
      <c r="E19" s="192">
        <f t="shared" ref="E19:AG19" si="5">E14-E17-E18</f>
        <v>8.6392032991583676</v>
      </c>
      <c r="F19" s="192">
        <f t="shared" si="5"/>
        <v>8.8036068206237879</v>
      </c>
      <c r="G19" s="192">
        <f t="shared" si="5"/>
        <v>8.9711033320655744</v>
      </c>
      <c r="H19" s="192">
        <f>H14-H17-H18</f>
        <v>9.1417504825252234</v>
      </c>
      <c r="I19" s="192">
        <f t="shared" si="5"/>
        <v>9.3156069872375333</v>
      </c>
      <c r="J19" s="192">
        <f t="shared" si="5"/>
        <v>9.4927326472206097</v>
      </c>
      <c r="K19" s="192">
        <f t="shared" si="5"/>
        <v>9.6731883692238014</v>
      </c>
      <c r="L19" s="192">
        <f t="shared" si="5"/>
        <v>9.8570361860400535</v>
      </c>
      <c r="M19" s="192">
        <f t="shared" si="5"/>
        <v>10.044339277189353</v>
      </c>
      <c r="N19" s="192">
        <f>N14-N17-N18</f>
        <v>10.235161989979963</v>
      </c>
      <c r="O19" s="192">
        <f t="shared" si="5"/>
        <v>10.460185036671433</v>
      </c>
      <c r="P19" s="192">
        <f t="shared" si="5"/>
        <v>10.689900905135309</v>
      </c>
      <c r="Q19" s="192">
        <f t="shared" si="5"/>
        <v>10.924404119651358</v>
      </c>
      <c r="R19" s="192">
        <f t="shared" si="5"/>
        <v>11.163791062099369</v>
      </c>
      <c r="S19" s="192">
        <f t="shared" si="5"/>
        <v>11.408160007800035</v>
      </c>
      <c r="T19" s="192">
        <f t="shared" si="5"/>
        <v>11.657611162037576</v>
      </c>
      <c r="U19" s="192">
        <f t="shared" si="5"/>
        <v>11.912246697276938</v>
      </c>
      <c r="V19" s="192">
        <f t="shared" si="5"/>
        <v>12.172170791088609</v>
      </c>
      <c r="W19" s="192">
        <f t="shared" si="5"/>
        <v>12.437489664794366</v>
      </c>
      <c r="X19" s="192">
        <f t="shared" si="5"/>
        <v>12.708311622847493</v>
      </c>
      <c r="Y19" s="192">
        <f t="shared" si="5"/>
        <v>12.960589423951141</v>
      </c>
      <c r="Z19" s="192">
        <f t="shared" si="5"/>
        <v>13.217771968233309</v>
      </c>
      <c r="AA19" s="192">
        <f t="shared" si="5"/>
        <v>13.479953108677549</v>
      </c>
      <c r="AB19" s="192">
        <f t="shared" si="5"/>
        <v>13.747228471798074</v>
      </c>
      <c r="AC19" s="192">
        <f t="shared" si="5"/>
        <v>14.019695490816288</v>
      </c>
      <c r="AD19" s="192">
        <f t="shared" si="5"/>
        <v>14.297453439452772</v>
      </c>
      <c r="AE19" s="192">
        <f t="shared" si="5"/>
        <v>14.580603466346052</v>
      </c>
      <c r="AF19" s="192">
        <f t="shared" si="5"/>
        <v>14.869248630109702</v>
      </c>
      <c r="AG19" s="192">
        <f t="shared" si="5"/>
        <v>15.16349393503954</v>
      </c>
      <c r="AH19" s="192">
        <f>AH14-AH17-AH18</f>
        <v>15.463446367482891</v>
      </c>
      <c r="AM19" s="190" t="s">
        <v>265</v>
      </c>
      <c r="AN19" s="190">
        <v>74.98846153846155</v>
      </c>
    </row>
    <row r="20" spans="1:40" s="67" customFormat="1">
      <c r="A20" s="755" t="s">
        <v>257</v>
      </c>
      <c r="B20" s="58" t="s">
        <v>258</v>
      </c>
      <c r="C20" s="59" t="s">
        <v>153</v>
      </c>
      <c r="D20" s="60">
        <f>D19*('Demand Breakdown - Ethylene'!$C$75)</f>
        <v>2.4605530832803555</v>
      </c>
      <c r="E20" s="60">
        <f>E19*('Demand Breakdown - Ethylene'!$C$75)</f>
        <v>2.5073872506675139</v>
      </c>
      <c r="F20" s="60">
        <f>F19*('Demand Breakdown - Ethylene'!$C$75)</f>
        <v>2.5551026799047674</v>
      </c>
      <c r="G20" s="60">
        <f>G19*('Demand Breakdown - Ethylene'!$C$75)</f>
        <v>2.6037157988206441</v>
      </c>
      <c r="H20" s="60">
        <f>H19*('Demand Breakdown - Ethylene'!$C$75)</f>
        <v>2.6532433391051686</v>
      </c>
      <c r="I20" s="60">
        <f>I19*('Demand Breakdown - Ethylene'!$C$75)</f>
        <v>2.703702341893508</v>
      </c>
      <c r="J20" s="60">
        <f>J19*('Demand Breakdown - Ethylene'!$C$75)</f>
        <v>2.7551101634516488</v>
      </c>
      <c r="K20" s="60">
        <f>K19*('Demand Breakdown - Ethylene'!$C$75)</f>
        <v>2.80748448096596</v>
      </c>
      <c r="L20" s="60">
        <f>L19*('Demand Breakdown - Ethylene'!$C$75)</f>
        <v>2.8608432984385197</v>
      </c>
      <c r="M20" s="60">
        <f>M19*('Demand Breakdown - Ethylene'!$C$75)</f>
        <v>2.9152049526901473</v>
      </c>
      <c r="N20" s="60">
        <f>N19*('Demand Breakdown - Ethylene'!$C$75)</f>
        <v>2.9705881194730814</v>
      </c>
      <c r="O20" s="60">
        <f>O19*('Demand Breakdown - Ethylene'!$C$75)</f>
        <v>3.0358973729820851</v>
      </c>
      <c r="P20" s="60">
        <f>P19*('Demand Breakdown - Ethylene'!$C$75)</f>
        <v>3.1025686411438667</v>
      </c>
      <c r="Q20" s="60">
        <f>Q19*('Demand Breakdown - Ethylene'!$C$75)</f>
        <v>3.1706293580823575</v>
      </c>
      <c r="R20" s="60">
        <f>R19*('Demand Breakdown - Ethylene'!$C$75)</f>
        <v>3.2401074970594661</v>
      </c>
      <c r="S20" s="60">
        <f>S19*('Demand Breakdown - Ethylene'!$C$75)</f>
        <v>3.311031580877311</v>
      </c>
      <c r="T20" s="60">
        <f>T19*('Demand Breakdown - Ethylene'!$C$75)</f>
        <v>3.3834306924783122</v>
      </c>
      <c r="U20" s="60">
        <f>U19*('Demand Breakdown - Ethylene'!$C$75)</f>
        <v>3.4573344857468742</v>
      </c>
      <c r="V20" s="60">
        <f>V19*('Demand Breakdown - Ethylene'!$C$75)</f>
        <v>3.5327731965164402</v>
      </c>
      <c r="W20" s="60">
        <f>W19*('Demand Breakdown - Ethylene'!$C$75)</f>
        <v>3.6097776537857915</v>
      </c>
      <c r="X20" s="60">
        <f>X19*('Demand Breakdown - Ethylene'!$C$75)</f>
        <v>3.6883792911485074</v>
      </c>
      <c r="Y20" s="60">
        <f>Y19*('Demand Breakdown - Ethylene'!$C$75)</f>
        <v>3.7615987907029798</v>
      </c>
      <c r="Z20" s="60">
        <f>Z19*('Demand Breakdown - Ethylene'!$C$75)</f>
        <v>3.8362418116271617</v>
      </c>
      <c r="AA20" s="60">
        <f>AA19*('Demand Breakdown - Ethylene'!$C$75)</f>
        <v>3.9123355932122528</v>
      </c>
      <c r="AB20" s="60">
        <f>AB19*('Demand Breakdown - Ethylene'!$C$75)</f>
        <v>3.9899078894876769</v>
      </c>
      <c r="AC20" s="60">
        <f>AC19*('Demand Breakdown - Ethylene'!$C$75)</f>
        <v>4.0689869788500266</v>
      </c>
      <c r="AD20" s="60">
        <f>AD19*('Demand Breakdown - Ethylene'!$C$75)</f>
        <v>4.1496016738706345</v>
      </c>
      <c r="AE20" s="60">
        <f>AE19*('Demand Breakdown - Ethylene'!$C$75)</f>
        <v>4.2317813312850561</v>
      </c>
      <c r="AF20" s="60">
        <f>AF19*('Demand Breakdown - Ethylene'!$C$75)</f>
        <v>4.3155558621678196</v>
      </c>
      <c r="AG20" s="60">
        <f>AG19*('Demand Breakdown - Ethylene'!$C$75)</f>
        <v>4.4009557422958547</v>
      </c>
      <c r="AH20" s="60">
        <f>AH19*('Demand Breakdown - Ethylene'!$C$75)</f>
        <v>4.4880120227040772</v>
      </c>
      <c r="AM20" s="67" t="s">
        <v>246</v>
      </c>
      <c r="AN20" s="67">
        <v>13.921499536836064</v>
      </c>
    </row>
    <row r="21" spans="1:40">
      <c r="A21" s="756"/>
      <c r="B21" s="1" t="s">
        <v>260</v>
      </c>
      <c r="C21" s="54" t="s">
        <v>153</v>
      </c>
      <c r="D21" s="44">
        <f>D25/('Demand Breakdown - Ethylene'!$K$14)</f>
        <v>0</v>
      </c>
      <c r="E21" s="44">
        <f>E25/('Demand Breakdown - Ethylene'!$K$14)</f>
        <v>0</v>
      </c>
      <c r="F21" s="44">
        <f>F25/('Demand Breakdown - Ethylene'!$K$14)</f>
        <v>0</v>
      </c>
      <c r="G21" s="44">
        <f>G25/('Demand Breakdown - Ethylene'!$K$14)</f>
        <v>0</v>
      </c>
      <c r="H21" s="44">
        <f>H25/('Demand Breakdown - Ethylene'!$K$14)</f>
        <v>0</v>
      </c>
      <c r="I21" s="44">
        <f>I25/('Demand Breakdown - Ethylene'!$K$14)</f>
        <v>0</v>
      </c>
      <c r="J21" s="44">
        <f>J25/('Demand Breakdown - Ethylene'!$K$14)</f>
        <v>0</v>
      </c>
      <c r="K21" s="44">
        <f>K25/('Demand Breakdown - Ethylene'!$K$14)</f>
        <v>0</v>
      </c>
      <c r="L21" s="44">
        <f>L25/('Demand Breakdown - Ethylene'!$K$14)</f>
        <v>0</v>
      </c>
      <c r="M21" s="44">
        <f>M25/('Demand Breakdown - Ethylene'!$K$14)</f>
        <v>0</v>
      </c>
      <c r="N21" s="44">
        <f>N25/('Demand Breakdown - Ethylene'!$K$14)</f>
        <v>0</v>
      </c>
      <c r="O21" s="44">
        <f>O25/('Demand Breakdown - Ethylene'!$K$14)</f>
        <v>0</v>
      </c>
      <c r="P21" s="44">
        <f>P25/('Demand Breakdown - Ethylene'!$K$14)</f>
        <v>0</v>
      </c>
      <c r="Q21" s="44">
        <f>Q25/('Demand Breakdown - Ethylene'!$K$14)</f>
        <v>0</v>
      </c>
      <c r="R21" s="44">
        <f>R25/('Demand Breakdown - Ethylene'!$K$14)</f>
        <v>0</v>
      </c>
      <c r="S21" s="44">
        <f>S25/('Demand Breakdown - Ethylene'!$K$14)</f>
        <v>0</v>
      </c>
      <c r="T21" s="44">
        <f>T25/('Demand Breakdown - Ethylene'!$K$14)</f>
        <v>0</v>
      </c>
      <c r="U21" s="44">
        <f>U25/('Demand Breakdown - Ethylene'!$K$14)</f>
        <v>0</v>
      </c>
      <c r="V21" s="44">
        <f>V25/('Demand Breakdown - Ethylene'!$K$14)</f>
        <v>0</v>
      </c>
      <c r="W21" s="44">
        <f>W25/('Demand Breakdown - Ethylene'!$K$14)</f>
        <v>0</v>
      </c>
      <c r="X21" s="44">
        <f>X25/('Demand Breakdown - Ethylene'!$K$14)</f>
        <v>0</v>
      </c>
      <c r="Y21" s="44">
        <f>Y25/('Demand Breakdown - Ethylene'!$K$14)</f>
        <v>0</v>
      </c>
      <c r="Z21" s="44">
        <f>Z25/('Demand Breakdown - Ethylene'!$K$14)</f>
        <v>0</v>
      </c>
      <c r="AA21" s="44">
        <f>AA25/('Demand Breakdown - Ethylene'!$K$14)</f>
        <v>0</v>
      </c>
      <c r="AB21" s="44">
        <f>AB25/('Demand Breakdown - Ethylene'!$K$14)</f>
        <v>0</v>
      </c>
      <c r="AC21" s="44">
        <f>AC25/('Demand Breakdown - Ethylene'!$K$14)</f>
        <v>0</v>
      </c>
      <c r="AD21" s="44">
        <f>AD25/('Demand Breakdown - Ethylene'!$K$14)</f>
        <v>0</v>
      </c>
      <c r="AE21" s="44">
        <f>AE25/('Demand Breakdown - Ethylene'!$K$14)</f>
        <v>0</v>
      </c>
      <c r="AF21" s="44">
        <f>AF25/('Demand Breakdown - Ethylene'!$K$14)</f>
        <v>0</v>
      </c>
      <c r="AG21" s="44">
        <f>AG25/('Demand Breakdown - Ethylene'!$K$14)</f>
        <v>0</v>
      </c>
      <c r="AH21" s="44">
        <f>AH25/('Demand Breakdown - Ethylene'!$K$14)</f>
        <v>0</v>
      </c>
      <c r="AM21" t="s">
        <v>267</v>
      </c>
      <c r="AN21">
        <v>36.9543956043956</v>
      </c>
    </row>
    <row r="22" spans="1:40">
      <c r="A22" s="756"/>
      <c r="B22" s="1" t="s">
        <v>262</v>
      </c>
      <c r="C22" s="54" t="s">
        <v>153</v>
      </c>
      <c r="D22" s="44">
        <f>D24/('Demand Breakdown - Ethylene'!$M$14)</f>
        <v>0.50059171597633134</v>
      </c>
      <c r="E22" s="44">
        <f>E24/('Demand Breakdown - Ethylene'!$M$14)</f>
        <v>0.51011997869822479</v>
      </c>
      <c r="F22" s="44">
        <f>F24/('Demand Breakdown - Ethylene'!$M$14)</f>
        <v>0.51982753134674542</v>
      </c>
      <c r="G22" s="44">
        <f>G24/('Demand Breakdown - Ethylene'!$M$14)</f>
        <v>0.52971771611147189</v>
      </c>
      <c r="H22" s="44">
        <f>H24/('Demand Breakdown - Ethylene'!$M$14)</f>
        <v>0.53979393700164002</v>
      </c>
      <c r="I22" s="44">
        <f>I24/('Demand Breakdown - Ethylene'!$M$14)</f>
        <v>0.55005966098211767</v>
      </c>
      <c r="J22" s="44">
        <f>J24/('Demand Breakdown - Ethylene'!$M$14)</f>
        <v>0.56051841913013789</v>
      </c>
      <c r="K22" s="44">
        <f>K24/('Demand Breakdown - Ethylene'!$M$14)</f>
        <v>0.57117380781316718</v>
      </c>
      <c r="L22" s="44">
        <f>L24/('Demand Breakdown - Ethylene'!$M$14)</f>
        <v>0.58202948988829073</v>
      </c>
      <c r="M22" s="44">
        <f>M24/('Demand Breakdown - Ethylene'!$M$14)</f>
        <v>0.59308919592351039</v>
      </c>
      <c r="N22" s="44">
        <f>N24/('Demand Breakdown - Ethylene'!$M$14)</f>
        <v>0.60435672544135</v>
      </c>
      <c r="O22" s="44">
        <f>O24/('Demand Breakdown - Ethylene'!$M$14)</f>
        <v>0.61764368580215612</v>
      </c>
      <c r="P22" s="44">
        <f>P24/('Demand Breakdown - Ethylene'!$M$14)</f>
        <v>0.63120774372157695</v>
      </c>
      <c r="Q22" s="44">
        <f>Q24/('Demand Breakdown - Ethylene'!$M$14)</f>
        <v>0.64505448058506132</v>
      </c>
      <c r="R22" s="44">
        <f>R24/('Demand Breakdown - Ethylene'!$M$14)</f>
        <v>0.65918958746396872</v>
      </c>
      <c r="S22" s="44">
        <f>S24/('Demand Breakdown - Ethylene'!$M$14)</f>
        <v>0.67361886723186992</v>
      </c>
      <c r="T22" s="44">
        <f>T24/('Demand Breakdown - Ethylene'!$M$14)</f>
        <v>0.68834823672110268</v>
      </c>
      <c r="U22" s="44">
        <f>U24/('Demand Breakdown - Ethylene'!$M$14)</f>
        <v>0.70338372892033929</v>
      </c>
      <c r="V22" s="44">
        <f>V24/('Demand Breakdown - Ethylene'!$M$14)</f>
        <v>0.71873149521393742</v>
      </c>
      <c r="W22" s="44">
        <f>W24/('Demand Breakdown - Ethylene'!$M$14)</f>
        <v>0.7343978076638602</v>
      </c>
      <c r="X22" s="44">
        <f>X24/('Demand Breakdown - Ethylene'!$M$14)</f>
        <v>0.75038906133496319</v>
      </c>
      <c r="Y22" s="44">
        <f>Y24/('Demand Breakdown - Ethylene'!$M$14)</f>
        <v>0.76528533614974459</v>
      </c>
      <c r="Z22" s="44">
        <f>Z24/('Demand Breakdown - Ethylene'!$M$14)</f>
        <v>0.78047122186950246</v>
      </c>
      <c r="AA22" s="44">
        <f>AA24/('Demand Breakdown - Ethylene'!$M$14)</f>
        <v>0.79595226024158494</v>
      </c>
      <c r="AB22" s="44">
        <f>AB24/('Demand Breakdown - Ethylene'!$M$14)</f>
        <v>0.81173409773519789</v>
      </c>
      <c r="AC22" s="44">
        <f>AC24/('Demand Breakdown - Ethylene'!$M$14)</f>
        <v>0.82782248750038379</v>
      </c>
      <c r="AD22" s="44">
        <f>AD24/('Demand Breakdown - Ethylene'!$M$14)</f>
        <v>0.84422329136334062</v>
      </c>
      <c r="AE22" s="44">
        <f>AE24/('Demand Breakdown - Ethylene'!$M$14)</f>
        <v>0.86094248185875044</v>
      </c>
      <c r="AF22" s="44">
        <f>AF24/('Demand Breakdown - Ethylene'!$M$14)</f>
        <v>0.87798614429980015</v>
      </c>
      <c r="AG22" s="44">
        <f>AG24/('Demand Breakdown - Ethylene'!$M$14)</f>
        <v>0.89536047888658843</v>
      </c>
      <c r="AH22" s="44">
        <f>AH24/('Demand Breakdown - Ethylene'!$M$14)</f>
        <v>0.91307180285362477</v>
      </c>
      <c r="AM22" t="s">
        <v>269</v>
      </c>
      <c r="AN22">
        <v>72.069048712238668</v>
      </c>
    </row>
    <row r="23" spans="1:40" s="68" customFormat="1">
      <c r="A23" s="757"/>
      <c r="B23" s="62" t="s">
        <v>248</v>
      </c>
      <c r="C23" s="283" t="s">
        <v>153</v>
      </c>
      <c r="D23" s="284">
        <f>D19-SUM(D21,D20,D22)</f>
        <v>5.5166913663259809</v>
      </c>
      <c r="E23" s="284">
        <f t="shared" ref="E23:AH23" si="6">E19-SUM(E21,E20,E22)</f>
        <v>5.6216960697926286</v>
      </c>
      <c r="F23" s="284">
        <f t="shared" si="6"/>
        <v>5.7286766093722754</v>
      </c>
      <c r="G23" s="284">
        <f t="shared" si="6"/>
        <v>5.8376698171334587</v>
      </c>
      <c r="H23" s="284">
        <f t="shared" si="6"/>
        <v>5.9487132064184145</v>
      </c>
      <c r="I23" s="284">
        <f t="shared" si="6"/>
        <v>6.0618449843619082</v>
      </c>
      <c r="J23" s="284">
        <f t="shared" si="6"/>
        <v>6.1771040646388231</v>
      </c>
      <c r="K23" s="284">
        <f t="shared" si="6"/>
        <v>6.294530080444674</v>
      </c>
      <c r="L23" s="284">
        <f t="shared" si="6"/>
        <v>6.4141633977132431</v>
      </c>
      <c r="M23" s="284">
        <f t="shared" si="6"/>
        <v>6.5360451285756955</v>
      </c>
      <c r="N23" s="284">
        <f t="shared" si="6"/>
        <v>6.6602171450655314</v>
      </c>
      <c r="O23" s="284">
        <f t="shared" si="6"/>
        <v>6.8066439778871919</v>
      </c>
      <c r="P23" s="284">
        <f t="shared" si="6"/>
        <v>6.9561245202698654</v>
      </c>
      <c r="Q23" s="284">
        <f t="shared" si="6"/>
        <v>7.1087202809839392</v>
      </c>
      <c r="R23" s="284">
        <f t="shared" si="6"/>
        <v>7.2644939775759347</v>
      </c>
      <c r="S23" s="284">
        <f t="shared" si="6"/>
        <v>7.4235095596908538</v>
      </c>
      <c r="T23" s="284">
        <f t="shared" si="6"/>
        <v>7.5858322328381611</v>
      </c>
      <c r="U23" s="284">
        <f t="shared" si="6"/>
        <v>7.751528482609725</v>
      </c>
      <c r="V23" s="284">
        <f t="shared" si="6"/>
        <v>7.9206660993582316</v>
      </c>
      <c r="W23" s="284">
        <f t="shared" si="6"/>
        <v>8.0933142033447147</v>
      </c>
      <c r="X23" s="284">
        <f t="shared" si="6"/>
        <v>8.2695432703640215</v>
      </c>
      <c r="Y23" s="284">
        <f t="shared" si="6"/>
        <v>8.4337052970984168</v>
      </c>
      <c r="Z23" s="284">
        <f t="shared" si="6"/>
        <v>8.6010589347366455</v>
      </c>
      <c r="AA23" s="284">
        <f t="shared" si="6"/>
        <v>8.7716652552237111</v>
      </c>
      <c r="AB23" s="284">
        <f t="shared" si="6"/>
        <v>8.9455864845751982</v>
      </c>
      <c r="AC23" s="284">
        <f t="shared" si="6"/>
        <v>9.1228860244658776</v>
      </c>
      <c r="AD23" s="284">
        <f t="shared" si="6"/>
        <v>9.3036284742187974</v>
      </c>
      <c r="AE23" s="284">
        <f t="shared" si="6"/>
        <v>9.4878796532022456</v>
      </c>
      <c r="AF23" s="284">
        <f t="shared" si="6"/>
        <v>9.6757066236420819</v>
      </c>
      <c r="AG23" s="284">
        <f t="shared" si="6"/>
        <v>9.867177713857096</v>
      </c>
      <c r="AH23" s="284">
        <f t="shared" si="6"/>
        <v>10.062362541925189</v>
      </c>
    </row>
    <row r="24" spans="1:40" s="67" customFormat="1">
      <c r="A24" s="755" t="s">
        <v>263</v>
      </c>
      <c r="B24" s="58" t="s">
        <v>264</v>
      </c>
      <c r="C24" s="59" t="s">
        <v>153</v>
      </c>
      <c r="D24" s="60">
        <f>D19*'Demand Breakdown - Ethylene'!$E$75</f>
        <v>0.48056804733727804</v>
      </c>
      <c r="E24" s="60">
        <f>E19*'Demand Breakdown - Ethylene'!$E$75</f>
        <v>0.48971517955029575</v>
      </c>
      <c r="F24" s="60">
        <f>F19*'Demand Breakdown - Ethylene'!$E$75</f>
        <v>0.49903443009287557</v>
      </c>
      <c r="G24" s="60">
        <f>G19*'Demand Breakdown - Ethylene'!$E$75</f>
        <v>0.50852900746701302</v>
      </c>
      <c r="H24" s="60">
        <f>H19*'Demand Breakdown - Ethylene'!$E$75</f>
        <v>0.51820217952157444</v>
      </c>
      <c r="I24" s="60">
        <f>I19*'Demand Breakdown - Ethylene'!$E$75</f>
        <v>0.52805727454283291</v>
      </c>
      <c r="J24" s="60">
        <f>J19*'Demand Breakdown - Ethylene'!$E$75</f>
        <v>0.53809768236493238</v>
      </c>
      <c r="K24" s="60">
        <f>K19*'Demand Breakdown - Ethylene'!$E$75</f>
        <v>0.54832685550064042</v>
      </c>
      <c r="L24" s="60">
        <f>L19*'Demand Breakdown - Ethylene'!$E$75</f>
        <v>0.55874831029275907</v>
      </c>
      <c r="M24" s="60">
        <f>M19*'Demand Breakdown - Ethylene'!$E$75</f>
        <v>0.56936562808656999</v>
      </c>
      <c r="N24" s="60">
        <f>N19*'Demand Breakdown - Ethylene'!$E$75</f>
        <v>0.58018245642369592</v>
      </c>
      <c r="O24" s="60">
        <f>O19*'Demand Breakdown - Ethylene'!$E$75</f>
        <v>0.59293793837006981</v>
      </c>
      <c r="P24" s="60">
        <f>P19*'Demand Breakdown - Ethylene'!$E$75</f>
        <v>0.6059594339727139</v>
      </c>
      <c r="Q24" s="60">
        <f>Q19*'Demand Breakdown - Ethylene'!$E$75</f>
        <v>0.61925230136165887</v>
      </c>
      <c r="R24" s="60">
        <f>R19*'Demand Breakdown - Ethylene'!$E$75</f>
        <v>0.63282200396541</v>
      </c>
      <c r="S24" s="60">
        <f>S19*'Demand Breakdown - Ethylene'!$E$75</f>
        <v>0.6466741125425951</v>
      </c>
      <c r="T24" s="60">
        <f>T19*'Demand Breakdown - Ethylene'!$E$75</f>
        <v>0.66081430725225854</v>
      </c>
      <c r="U24" s="60">
        <f>U19*'Demand Breakdown - Ethylene'!$E$75</f>
        <v>0.6752483797635257</v>
      </c>
      <c r="V24" s="60">
        <f>V19*'Demand Breakdown - Ethylene'!$E$75</f>
        <v>0.68998223540537995</v>
      </c>
      <c r="W24" s="60">
        <f>W19*'Demand Breakdown - Ethylene'!$E$75</f>
        <v>0.70502189535730575</v>
      </c>
      <c r="X24" s="60">
        <f>X19*'Demand Breakdown - Ethylene'!$E$75</f>
        <v>0.72037349888156466</v>
      </c>
      <c r="Y24" s="60">
        <f>Y19*'Demand Breakdown - Ethylene'!$E$75</f>
        <v>0.73467392270375476</v>
      </c>
      <c r="Z24" s="60">
        <f>Z19*'Demand Breakdown - Ethylene'!$E$75</f>
        <v>0.74925237299472236</v>
      </c>
      <c r="AA24" s="60">
        <f>AA19*'Demand Breakdown - Ethylene'!$E$75</f>
        <v>0.76411416983192149</v>
      </c>
      <c r="AB24" s="60">
        <f>AB19*'Demand Breakdown - Ethylene'!$E$75</f>
        <v>0.77926473382578998</v>
      </c>
      <c r="AC24" s="60">
        <f>AC19*'Demand Breakdown - Ethylene'!$E$75</f>
        <v>0.79470958800036839</v>
      </c>
      <c r="AD24" s="60">
        <f>AD19*'Demand Breakdown - Ethylene'!$E$75</f>
        <v>0.81045435970880697</v>
      </c>
      <c r="AE24" s="60">
        <f>AE19*'Demand Breakdown - Ethylene'!$E$75</f>
        <v>0.82650478258440041</v>
      </c>
      <c r="AF24" s="60">
        <f>AF19*'Demand Breakdown - Ethylene'!$E$75</f>
        <v>0.84286669852780816</v>
      </c>
      <c r="AG24" s="60">
        <f>AG19*'Demand Breakdown - Ethylene'!$E$75</f>
        <v>0.85954605973112486</v>
      </c>
      <c r="AH24" s="60">
        <f>AH19*'Demand Breakdown - Ethylene'!$E$75</f>
        <v>0.8765489307394797</v>
      </c>
    </row>
    <row r="25" spans="1:40" s="68" customFormat="1">
      <c r="A25" s="757"/>
      <c r="B25" s="62" t="s">
        <v>266</v>
      </c>
      <c r="C25" s="283" t="s">
        <v>153</v>
      </c>
      <c r="D25" s="284">
        <f>D19*'Demand Breakdown - Ethylene'!$D$75/'Demand Breakdown - Ethylene'!$L$24</f>
        <v>0</v>
      </c>
      <c r="E25" s="284">
        <f>E19*'Demand Breakdown - Ethylene'!$D$75/'Demand Breakdown - Ethylene'!$L$24</f>
        <v>0</v>
      </c>
      <c r="F25" s="284">
        <f>F19*'Demand Breakdown - Ethylene'!$D$75/'Demand Breakdown - Ethylene'!$L$24</f>
        <v>0</v>
      </c>
      <c r="G25" s="284">
        <f>G19*'Demand Breakdown - Ethylene'!$D$75/'Demand Breakdown - Ethylene'!$L$24</f>
        <v>0</v>
      </c>
      <c r="H25" s="284">
        <f>H19*'Demand Breakdown - Ethylene'!$D$75/'Demand Breakdown - Ethylene'!$L$24</f>
        <v>0</v>
      </c>
      <c r="I25" s="284">
        <f>I19*'Demand Breakdown - Ethylene'!$D$75/'Demand Breakdown - Ethylene'!$L$24</f>
        <v>0</v>
      </c>
      <c r="J25" s="284">
        <f>J19*'Demand Breakdown - Ethylene'!$D$75/'Demand Breakdown - Ethylene'!$L$24</f>
        <v>0</v>
      </c>
      <c r="K25" s="284">
        <f>K19*'Demand Breakdown - Ethylene'!$D$75/'Demand Breakdown - Ethylene'!$L$24</f>
        <v>0</v>
      </c>
      <c r="L25" s="284">
        <f>L19*'Demand Breakdown - Ethylene'!$D$75/'Demand Breakdown - Ethylene'!$L$24</f>
        <v>0</v>
      </c>
      <c r="M25" s="284">
        <f>M19*'Demand Breakdown - Ethylene'!$D$75/'Demand Breakdown - Ethylene'!$L$24</f>
        <v>0</v>
      </c>
      <c r="N25" s="284">
        <f>N19*'Demand Breakdown - Ethylene'!$D$75/'Demand Breakdown - Ethylene'!$L$24</f>
        <v>0</v>
      </c>
      <c r="O25" s="284">
        <f>O19*'Demand Breakdown - Ethylene'!$D$75/'Demand Breakdown - Ethylene'!$L$24</f>
        <v>0</v>
      </c>
      <c r="P25" s="284">
        <f>P19*'Demand Breakdown - Ethylene'!$D$75/'Demand Breakdown - Ethylene'!$L$24</f>
        <v>0</v>
      </c>
      <c r="Q25" s="284">
        <f>Q19*'Demand Breakdown - Ethylene'!$D$75/'Demand Breakdown - Ethylene'!$L$24</f>
        <v>0</v>
      </c>
      <c r="R25" s="284">
        <f>R19*'Demand Breakdown - Ethylene'!$D$75/'Demand Breakdown - Ethylene'!$L$24</f>
        <v>0</v>
      </c>
      <c r="S25" s="284">
        <f>S19*'Demand Breakdown - Ethylene'!$D$75/'Demand Breakdown - Ethylene'!$L$24</f>
        <v>0</v>
      </c>
      <c r="T25" s="284">
        <f>T19*'Demand Breakdown - Ethylene'!$D$75/'Demand Breakdown - Ethylene'!$L$24</f>
        <v>0</v>
      </c>
      <c r="U25" s="284">
        <f>U19*'Demand Breakdown - Ethylene'!$D$75/'Demand Breakdown - Ethylene'!$L$24</f>
        <v>0</v>
      </c>
      <c r="V25" s="284">
        <f>V19*'Demand Breakdown - Ethylene'!$D$75/'Demand Breakdown - Ethylene'!$L$24</f>
        <v>0</v>
      </c>
      <c r="W25" s="284">
        <f>W19*'Demand Breakdown - Ethylene'!$D$75/'Demand Breakdown - Ethylene'!$L$24</f>
        <v>0</v>
      </c>
      <c r="X25" s="284">
        <f>X19*'Demand Breakdown - Ethylene'!$D$75/'Demand Breakdown - Ethylene'!$L$24</f>
        <v>0</v>
      </c>
      <c r="Y25" s="284">
        <f>Y19*'Demand Breakdown - Ethylene'!$D$75/'Demand Breakdown - Ethylene'!$L$24</f>
        <v>0</v>
      </c>
      <c r="Z25" s="284">
        <f>Z19*'Demand Breakdown - Ethylene'!$D$75/'Demand Breakdown - Ethylene'!$L$24</f>
        <v>0</v>
      </c>
      <c r="AA25" s="284">
        <f>AA19*'Demand Breakdown - Ethylene'!$D$75/'Demand Breakdown - Ethylene'!$L$24</f>
        <v>0</v>
      </c>
      <c r="AB25" s="284">
        <f>AB19*'Demand Breakdown - Ethylene'!$D$75/'Demand Breakdown - Ethylene'!$L$24</f>
        <v>0</v>
      </c>
      <c r="AC25" s="284">
        <f>AC19*'Demand Breakdown - Ethylene'!$D$75/'Demand Breakdown - Ethylene'!$L$24</f>
        <v>0</v>
      </c>
      <c r="AD25" s="284">
        <f>AD19*'Demand Breakdown - Ethylene'!$D$75/'Demand Breakdown - Ethylene'!$L$24</f>
        <v>0</v>
      </c>
      <c r="AE25" s="284">
        <f>AE19*'Demand Breakdown - Ethylene'!$D$75/'Demand Breakdown - Ethylene'!$L$24</f>
        <v>0</v>
      </c>
      <c r="AF25" s="284">
        <f>AF19*'Demand Breakdown - Ethylene'!$D$75/'Demand Breakdown - Ethylene'!$L$24</f>
        <v>0</v>
      </c>
      <c r="AG25" s="284">
        <f>AG19*'Demand Breakdown - Ethylene'!$D$75/'Demand Breakdown - Ethylene'!$L$24</f>
        <v>0</v>
      </c>
      <c r="AH25" s="284">
        <f>AH19*'Demand Breakdown - Ethylene'!$D$75/'Demand Breakdown - Ethylene'!$L$24</f>
        <v>0</v>
      </c>
    </row>
    <row r="26" spans="1:40">
      <c r="A26" s="1" t="s">
        <v>271</v>
      </c>
      <c r="B26" s="1" t="s">
        <v>199</v>
      </c>
      <c r="C26" s="54" t="s">
        <v>153</v>
      </c>
      <c r="D26" s="44">
        <f>'R&amp;S - Packaging and hh goods'!J4</f>
        <v>89.109936202323638</v>
      </c>
      <c r="E26" s="44">
        <f>D26*(1+'R&amp;S - Packaging and hh goods'!$C$5)</f>
        <v>90.357475309156172</v>
      </c>
      <c r="F26" s="44">
        <f>E26*(1+'R&amp;S - Packaging and hh goods'!$C$5)</f>
        <v>91.622479963484366</v>
      </c>
      <c r="G26" s="44">
        <f>F26*(1+'R&amp;S - Packaging and hh goods'!$C$5)</f>
        <v>92.905194682973146</v>
      </c>
      <c r="H26" s="44">
        <f>G26*(1+'R&amp;S - Packaging and hh goods'!$C$5)</f>
        <v>94.205867408534772</v>
      </c>
      <c r="I26" s="44">
        <f>H26*(1+'R&amp;S - Packaging and hh goods'!$C$5)</f>
        <v>95.524749552254264</v>
      </c>
      <c r="J26" s="44">
        <f>I26*(1+'R&amp;S - Packaging and hh goods'!$C$5)</f>
        <v>96.862096045985822</v>
      </c>
      <c r="K26" s="44">
        <f>J26*(1+'R&amp;S - Packaging and hh goods'!$C$5)</f>
        <v>98.218165390629622</v>
      </c>
      <c r="L26" s="44">
        <f>K26*(1+'R&amp;S - Packaging and hh goods'!$C$5)</f>
        <v>99.593219706098438</v>
      </c>
      <c r="M26" s="44">
        <f>L26*(1+'R&amp;S - Packaging and hh goods'!$C$5)</f>
        <v>100.98752478198382</v>
      </c>
      <c r="N26" s="44">
        <f>M26*(1+'R&amp;S - Packaging and hh goods'!$C$5)</f>
        <v>102.4013501289316</v>
      </c>
      <c r="O26" s="44">
        <f>N26*(1+'R&amp;S - Packaging and hh goods'!$C$5)</f>
        <v>103.83496903073664</v>
      </c>
      <c r="P26" s="44">
        <f>O26*(1+'R&amp;S - Packaging and hh goods'!$C$5)</f>
        <v>105.28865859716696</v>
      </c>
      <c r="Q26" s="44">
        <f>P26*(1+'R&amp;S - Packaging and hh goods'!$C$5)</f>
        <v>106.76269981752729</v>
      </c>
      <c r="R26" s="44">
        <f>Q26*(1+'R&amp;S - Packaging and hh goods'!$C$5)</f>
        <v>108.25737761497267</v>
      </c>
      <c r="S26" s="44">
        <f>R26*(1+'R&amp;S - Packaging and hh goods'!$C$5)</f>
        <v>109.77298090158229</v>
      </c>
      <c r="T26" s="44">
        <f>S26*(1+'R&amp;S - Packaging and hh goods'!$C$5)</f>
        <v>111.30980263420444</v>
      </c>
      <c r="U26" s="44">
        <f>T26*(1+'R&amp;S - Packaging and hh goods'!$C$5)</f>
        <v>112.86813987108332</v>
      </c>
      <c r="V26" s="44">
        <f>U26*(1+'R&amp;S - Packaging and hh goods'!$C$5)</f>
        <v>114.44829382927848</v>
      </c>
      <c r="W26" s="44">
        <f>V26*(1+'R&amp;S - Packaging and hh goods'!$C$5)</f>
        <v>116.05056994288839</v>
      </c>
      <c r="X26" s="44">
        <f>W26*(1+'R&amp;S - Packaging and hh goods'!$C$5)</f>
        <v>117.67527792208882</v>
      </c>
      <c r="Y26" s="44">
        <f>X26*(1+'R&amp;S - Packaging and hh goods'!$C$5)</f>
        <v>119.32273181299807</v>
      </c>
      <c r="Z26" s="44">
        <f>Y26*(1+'R&amp;S - Packaging and hh goods'!$C$5)</f>
        <v>120.99325005838004</v>
      </c>
      <c r="AA26" s="44">
        <f>Z26*(1+'R&amp;S - Packaging and hh goods'!$C$5)</f>
        <v>122.68715555919736</v>
      </c>
      <c r="AB26" s="44">
        <f>AA26*(1+'R&amp;S - Packaging and hh goods'!$C$5)</f>
        <v>124.40477573702613</v>
      </c>
      <c r="AC26" s="44">
        <f>AB26*(1+'R&amp;S - Packaging and hh goods'!$C$5)</f>
        <v>126.14644259734449</v>
      </c>
      <c r="AD26" s="44">
        <f>AC26*(1+'R&amp;S - Packaging and hh goods'!$C$5)</f>
        <v>127.91249279370732</v>
      </c>
      <c r="AE26" s="44">
        <f>AD26*(1+'R&amp;S - Packaging and hh goods'!$C$5)</f>
        <v>129.70326769281922</v>
      </c>
      <c r="AF26" s="44">
        <f>AE26*(1+'R&amp;S - Packaging and hh goods'!$C$5)</f>
        <v>131.51911344051871</v>
      </c>
      <c r="AG26" s="44">
        <f>AF26*(1+'R&amp;S - Packaging and hh goods'!$C$5)</f>
        <v>133.36038102868596</v>
      </c>
      <c r="AH26" s="44">
        <f>AG26*(1+'R&amp;S - Packaging and hh goods'!$C$5)</f>
        <v>135.22742636308757</v>
      </c>
    </row>
    <row r="27" spans="1:40" outlineLevel="1">
      <c r="B27" s="61" t="s">
        <v>25</v>
      </c>
      <c r="C27" s="54" t="s">
        <v>153</v>
      </c>
      <c r="D27" s="44">
        <v>0</v>
      </c>
      <c r="E27" s="44">
        <f>E26*'R&amp;S - Packaging and hh goods'!$C$7*('R&amp;S - Packaging and hh goods'!$B$14*'R&amp;S - Packaging and hh goods'!$B$19*('Yearly HC Ethylene'!E$3-'Yearly HC Ethylene'!$D$3)/10)</f>
        <v>0</v>
      </c>
      <c r="F27" s="44">
        <f>F26*'R&amp;S - Packaging and hh goods'!$C$7*('R&amp;S - Packaging and hh goods'!$B$14*'R&amp;S - Packaging and hh goods'!$B$19*('Yearly HC Ethylene'!F$3-'Yearly HC Ethylene'!$D$3)/10)</f>
        <v>0</v>
      </c>
      <c r="G27" s="44">
        <f>G26*'R&amp;S - Packaging and hh goods'!$C$7*('R&amp;S - Packaging and hh goods'!$B$14*'R&amp;S - Packaging and hh goods'!$B$19*('Yearly HC Ethylene'!G$3-'Yearly HC Ethylene'!$D$3)/10)</f>
        <v>0</v>
      </c>
      <c r="H27" s="44">
        <f>H26*'R&amp;S - Packaging and hh goods'!$C$7*('R&amp;S - Packaging and hh goods'!$B$14*'R&amp;S - Packaging and hh goods'!$B$19*('Yearly HC Ethylene'!H$3-'Yearly HC Ethylene'!$D$3)/10)</f>
        <v>0</v>
      </c>
      <c r="I27" s="44">
        <f>I26*'R&amp;S - Packaging and hh goods'!$C$7*('R&amp;S - Packaging and hh goods'!$B$14*'R&amp;S - Packaging and hh goods'!$B$19*('Yearly HC Ethylene'!I$3-'Yearly HC Ethylene'!$D$3)/10)</f>
        <v>0</v>
      </c>
      <c r="J27" s="44">
        <f>J26*'R&amp;S - Packaging and hh goods'!$C$7*('R&amp;S - Packaging and hh goods'!$B$14*'R&amp;S - Packaging and hh goods'!$B$19*('Yearly HC Ethylene'!J$3-'Yearly HC Ethylene'!$D$3)/10)</f>
        <v>0</v>
      </c>
      <c r="K27" s="44">
        <f>K26*'R&amp;S - Packaging and hh goods'!$C$7*('R&amp;S - Packaging and hh goods'!$B$14*'R&amp;S - Packaging and hh goods'!$B$19*('Yearly HC Ethylene'!K$3-'Yearly HC Ethylene'!$D$3)/10)</f>
        <v>0</v>
      </c>
      <c r="L27" s="44">
        <f>L26*'R&amp;S - Packaging and hh goods'!$C$7*('R&amp;S - Packaging and hh goods'!$B$14*'R&amp;S - Packaging and hh goods'!$B$19*('Yearly HC Ethylene'!L$3-'Yearly HC Ethylene'!$D$3)/10)</f>
        <v>0</v>
      </c>
      <c r="M27" s="44">
        <f>M26*'R&amp;S - Packaging and hh goods'!$C$7*('R&amp;S - Packaging and hh goods'!$B$14*'R&amp;S - Packaging and hh goods'!$B$19*('Yearly HC Ethylene'!M$3-'Yearly HC Ethylene'!$D$3)/10)</f>
        <v>0</v>
      </c>
      <c r="N27" s="44">
        <f>N26*'R&amp;S - Packaging and hh goods'!$C$7*('R&amp;S - Packaging and hh goods'!$B$14*'R&amp;S - Packaging and hh goods'!$B$19*('Yearly HC Ethylene'!N$3-'Yearly HC Ethylene'!$D$3)/10)</f>
        <v>0</v>
      </c>
      <c r="O27" s="44">
        <f>O26*'R&amp;S - Packaging and hh goods'!$C$7*('R&amp;S - Packaging and hh goods'!$B$14*('R&amp;S - Packaging and hh goods'!$B$19+('R&amp;S - Packaging and hh goods'!$B$20-'R&amp;S - Packaging and hh goods'!$B$19)*('Yearly HC Ethylene'!O$3-'Yearly HC Ethylene'!$N$3)/10))</f>
        <v>0</v>
      </c>
      <c r="P27" s="44">
        <f>P26*'R&amp;S - Packaging and hh goods'!$C$7*('R&amp;S - Packaging and hh goods'!$B$14*('R&amp;S - Packaging and hh goods'!$B$19+('R&amp;S - Packaging and hh goods'!$B$20-'R&amp;S - Packaging and hh goods'!$B$19)*('Yearly HC Ethylene'!P$3-'Yearly HC Ethylene'!$N$3)/10))</f>
        <v>0</v>
      </c>
      <c r="Q27" s="44">
        <f>Q26*'R&amp;S - Packaging and hh goods'!$C$7*('R&amp;S - Packaging and hh goods'!$B$14*('R&amp;S - Packaging and hh goods'!$B$19+('R&amp;S - Packaging and hh goods'!$B$20-'R&amp;S - Packaging and hh goods'!$B$19)*('Yearly HC Ethylene'!Q$3-'Yearly HC Ethylene'!$N$3)/10))</f>
        <v>0</v>
      </c>
      <c r="R27" s="44">
        <f>R26*'R&amp;S - Packaging and hh goods'!$C$7*('R&amp;S - Packaging and hh goods'!$B$14*('R&amp;S - Packaging and hh goods'!$B$19+('R&amp;S - Packaging and hh goods'!$B$20-'R&amp;S - Packaging and hh goods'!$B$19)*('Yearly HC Ethylene'!R$3-'Yearly HC Ethylene'!$N$3)/10))</f>
        <v>0</v>
      </c>
      <c r="S27" s="44">
        <f>S26*'R&amp;S - Packaging and hh goods'!$C$7*('R&amp;S - Packaging and hh goods'!$B$14*('R&amp;S - Packaging and hh goods'!$B$19+('R&amp;S - Packaging and hh goods'!$B$20-'R&amp;S - Packaging and hh goods'!$B$19)*('Yearly HC Ethylene'!S$3-'Yearly HC Ethylene'!$N$3)/10))</f>
        <v>0</v>
      </c>
      <c r="T27" s="44">
        <f>T26*'R&amp;S - Packaging and hh goods'!$C$7*('R&amp;S - Packaging and hh goods'!$B$14*('R&amp;S - Packaging and hh goods'!$B$19+('R&amp;S - Packaging and hh goods'!$B$20-'R&amp;S - Packaging and hh goods'!$B$19)*('Yearly HC Ethylene'!T$3-'Yearly HC Ethylene'!$N$3)/10))</f>
        <v>0</v>
      </c>
      <c r="U27" s="44">
        <f>U26*'R&amp;S - Packaging and hh goods'!$C$7*('R&amp;S - Packaging and hh goods'!$B$14*('R&amp;S - Packaging and hh goods'!$B$19+('R&amp;S - Packaging and hh goods'!$B$20-'R&amp;S - Packaging and hh goods'!$B$19)*('Yearly HC Ethylene'!U$3-'Yearly HC Ethylene'!$N$3)/10))</f>
        <v>0</v>
      </c>
      <c r="V27" s="44">
        <f>V26*'R&amp;S - Packaging and hh goods'!$C$7*('R&amp;S - Packaging and hh goods'!$B$14*('R&amp;S - Packaging and hh goods'!$B$19+('R&amp;S - Packaging and hh goods'!$B$20-'R&amp;S - Packaging and hh goods'!$B$19)*('Yearly HC Ethylene'!V$3-'Yearly HC Ethylene'!$N$3)/10))</f>
        <v>0</v>
      </c>
      <c r="W27" s="44">
        <f>W26*'R&amp;S - Packaging and hh goods'!$C$7*('R&amp;S - Packaging and hh goods'!$B$14*('R&amp;S - Packaging and hh goods'!$B$19+('R&amp;S - Packaging and hh goods'!$B$20-'R&amp;S - Packaging and hh goods'!$B$19)*('Yearly HC Ethylene'!W$3-'Yearly HC Ethylene'!$N$3)/10))</f>
        <v>0</v>
      </c>
      <c r="X27" s="44">
        <f>X26*'R&amp;S - Packaging and hh goods'!$C$7*('R&amp;S - Packaging and hh goods'!$B$14*('R&amp;S - Packaging and hh goods'!$B$19+('R&amp;S - Packaging and hh goods'!$B$20-'R&amp;S - Packaging and hh goods'!$B$19)*('Yearly HC Ethylene'!X$3-'Yearly HC Ethylene'!$N$3)/10))</f>
        <v>0</v>
      </c>
      <c r="Y27" s="44">
        <f>Y26*'R&amp;S - Packaging and hh goods'!$C$7*('R&amp;S - Packaging and hh goods'!$B$14*('R&amp;S - Packaging and hh goods'!$B$20+('R&amp;S - Packaging and hh goods'!$B$21-'R&amp;S - Packaging and hh goods'!$B$20)*('Yearly HC Ethylene'!Y$3-'Yearly HC Ethylene'!$X$3)/10))</f>
        <v>0</v>
      </c>
      <c r="Z27" s="44">
        <f>Z26*'R&amp;S - Packaging and hh goods'!$C$7*('R&amp;S - Packaging and hh goods'!$B$14*('R&amp;S - Packaging and hh goods'!$B$20+('R&amp;S - Packaging and hh goods'!$B$21-'R&amp;S - Packaging and hh goods'!$B$20)*('Yearly HC Ethylene'!Z$3-'Yearly HC Ethylene'!$X$3)/10))</f>
        <v>0</v>
      </c>
      <c r="AA27" s="44">
        <f>AA26*'R&amp;S - Packaging and hh goods'!$C$7*('R&amp;S - Packaging and hh goods'!$B$14*('R&amp;S - Packaging and hh goods'!$B$20+('R&amp;S - Packaging and hh goods'!$B$21-'R&amp;S - Packaging and hh goods'!$B$20)*('Yearly HC Ethylene'!AA$3-'Yearly HC Ethylene'!$X$3)/10))</f>
        <v>0</v>
      </c>
      <c r="AB27" s="44">
        <f>AB26*'R&amp;S - Packaging and hh goods'!$C$7*('R&amp;S - Packaging and hh goods'!$B$14*('R&amp;S - Packaging and hh goods'!$B$20+('R&amp;S - Packaging and hh goods'!$B$21-'R&amp;S - Packaging and hh goods'!$B$20)*('Yearly HC Ethylene'!AB$3-'Yearly HC Ethylene'!$X$3)/10))</f>
        <v>0</v>
      </c>
      <c r="AC27" s="44">
        <f>AC26*'R&amp;S - Packaging and hh goods'!$C$7*('R&amp;S - Packaging and hh goods'!$B$14*('R&amp;S - Packaging and hh goods'!$B$20+('R&amp;S - Packaging and hh goods'!$B$21-'R&amp;S - Packaging and hh goods'!$B$20)*('Yearly HC Ethylene'!AC$3-'Yearly HC Ethylene'!$X$3)/10))</f>
        <v>0</v>
      </c>
      <c r="AD27" s="44">
        <f>AD26*'R&amp;S - Packaging and hh goods'!$C$7*('R&amp;S - Packaging and hh goods'!$B$14*('R&amp;S - Packaging and hh goods'!$B$20+('R&amp;S - Packaging and hh goods'!$B$21-'R&amp;S - Packaging and hh goods'!$B$20)*('Yearly HC Ethylene'!AD$3-'Yearly HC Ethylene'!$X$3)/10))</f>
        <v>0</v>
      </c>
      <c r="AE27" s="44">
        <f>AE26*'R&amp;S - Packaging and hh goods'!$C$7*('R&amp;S - Packaging and hh goods'!$B$14*('R&amp;S - Packaging and hh goods'!$B$20+('R&amp;S - Packaging and hh goods'!$B$21-'R&amp;S - Packaging and hh goods'!$B$20)*('Yearly HC Ethylene'!AE$3-'Yearly HC Ethylene'!$X$3)/10))</f>
        <v>0</v>
      </c>
      <c r="AF27" s="44">
        <f>AF26*'R&amp;S - Packaging and hh goods'!$C$7*('R&amp;S - Packaging and hh goods'!$B$14*('R&amp;S - Packaging and hh goods'!$B$20+('R&amp;S - Packaging and hh goods'!$B$21-'R&amp;S - Packaging and hh goods'!$B$20)*('Yearly HC Ethylene'!AF$3-'Yearly HC Ethylene'!$X$3)/10))</f>
        <v>0</v>
      </c>
      <c r="AG27" s="44">
        <f>AG26*'R&amp;S - Packaging and hh goods'!$C$7*('R&amp;S - Packaging and hh goods'!$B$14*('R&amp;S - Packaging and hh goods'!$B$20+('R&amp;S - Packaging and hh goods'!$B$21-'R&amp;S - Packaging and hh goods'!$B$20)*('Yearly HC Ethylene'!AG$3-'Yearly HC Ethylene'!$X$3)/10))</f>
        <v>0</v>
      </c>
      <c r="AH27" s="44">
        <f>AH26*'R&amp;S - Packaging and hh goods'!$C$7*('R&amp;S - Packaging and hh goods'!$B$14*('R&amp;S - Packaging and hh goods'!$B$20+('R&amp;S - Packaging and hh goods'!$B$21-'R&amp;S - Packaging and hh goods'!$B$20)*('Yearly HC Ethylene'!AH$3-'Yearly HC Ethylene'!$X$3)/10))</f>
        <v>0</v>
      </c>
    </row>
    <row r="28" spans="1:40" outlineLevel="1">
      <c r="B28" s="61" t="s">
        <v>200</v>
      </c>
      <c r="C28" s="54" t="s">
        <v>153</v>
      </c>
      <c r="D28" s="44">
        <v>0</v>
      </c>
      <c r="E28" s="44">
        <f>E26*'R&amp;S - Packaging and hh goods'!$C$8*('R&amp;S - Packaging and hh goods'!$B$14*'R&amp;S - Packaging and hh goods'!$C$19*('Yearly HC Ethylene'!E$3-'Yearly HC Ethylene'!$D$3)/10)</f>
        <v>0</v>
      </c>
      <c r="F28" s="44">
        <f>F26*'R&amp;S - Packaging and hh goods'!$C$8*('R&amp;S - Packaging and hh goods'!$B$14*'R&amp;S - Packaging and hh goods'!$C$19*('Yearly HC Ethylene'!F$3-'Yearly HC Ethylene'!$D$3)/10)</f>
        <v>0</v>
      </c>
      <c r="G28" s="44">
        <f>G26*'R&amp;S - Packaging and hh goods'!$C$8*('R&amp;S - Packaging and hh goods'!$B$14*'R&amp;S - Packaging and hh goods'!$C$19*('Yearly HC Ethylene'!G$3-'Yearly HC Ethylene'!$D$3)/10)</f>
        <v>0</v>
      </c>
      <c r="H28" s="44">
        <f>H26*'R&amp;S - Packaging and hh goods'!$C$8*('R&amp;S - Packaging and hh goods'!$B$14*'R&amp;S - Packaging and hh goods'!$C$19*('Yearly HC Ethylene'!H$3-'Yearly HC Ethylene'!$D$3)/10)</f>
        <v>0</v>
      </c>
      <c r="I28" s="44">
        <f>I26*'R&amp;S - Packaging and hh goods'!$C$8*('R&amp;S - Packaging and hh goods'!$B$14*'R&amp;S - Packaging and hh goods'!$C$19*('Yearly HC Ethylene'!I$3-'Yearly HC Ethylene'!$D$3)/10)</f>
        <v>0</v>
      </c>
      <c r="J28" s="44">
        <f>J26*'R&amp;S - Packaging and hh goods'!$C$8*('R&amp;S - Packaging and hh goods'!$B$14*'R&amp;S - Packaging and hh goods'!$C$19*('Yearly HC Ethylene'!J$3-'Yearly HC Ethylene'!$D$3)/10)</f>
        <v>0</v>
      </c>
      <c r="K28" s="44">
        <f>K26*'R&amp;S - Packaging and hh goods'!$C$8*('R&amp;S - Packaging and hh goods'!$B$14*'R&amp;S - Packaging and hh goods'!$C$19*('Yearly HC Ethylene'!K$3-'Yearly HC Ethylene'!$D$3)/10)</f>
        <v>0</v>
      </c>
      <c r="L28" s="44">
        <f>L26*'R&amp;S - Packaging and hh goods'!$C$8*('R&amp;S - Packaging and hh goods'!$B$14*'R&amp;S - Packaging and hh goods'!$C$19*('Yearly HC Ethylene'!L$3-'Yearly HC Ethylene'!$D$3)/10)</f>
        <v>0</v>
      </c>
      <c r="M28" s="44">
        <f>M26*'R&amp;S - Packaging and hh goods'!$C$8*('R&amp;S - Packaging and hh goods'!$B$14*'R&amp;S - Packaging and hh goods'!$C$19*('Yearly HC Ethylene'!M$3-'Yearly HC Ethylene'!$D$3)/10)</f>
        <v>0</v>
      </c>
      <c r="N28" s="44">
        <f>N26*'R&amp;S - Packaging and hh goods'!$C$8*('R&amp;S - Packaging and hh goods'!$B$14*'R&amp;S - Packaging and hh goods'!$C$19*('Yearly HC Ethylene'!N$3-'Yearly HC Ethylene'!$D$3)/10)</f>
        <v>0</v>
      </c>
      <c r="O28" s="44">
        <f>O26*'R&amp;S - Packaging and hh goods'!$C$8*('R&amp;S - Packaging and hh goods'!$B$14*('R&amp;S - Packaging and hh goods'!$C$19+('R&amp;S - Packaging and hh goods'!$C$20-'R&amp;S - Packaging and hh goods'!$C$19)*('Yearly HC Ethylene'!O$3-'Yearly HC Ethylene'!$N$3)/10))</f>
        <v>0</v>
      </c>
      <c r="P28" s="44">
        <f>P26*'R&amp;S - Packaging and hh goods'!$C$8*('R&amp;S - Packaging and hh goods'!$B$14*('R&amp;S - Packaging and hh goods'!$C$19+('R&amp;S - Packaging and hh goods'!$C$20-'R&amp;S - Packaging and hh goods'!$C$19)*('Yearly HC Ethylene'!P$3-'Yearly HC Ethylene'!$N$3)/10))</f>
        <v>0</v>
      </c>
      <c r="Q28" s="44">
        <f>Q26*'R&amp;S - Packaging and hh goods'!$C$8*('R&amp;S - Packaging and hh goods'!$B$14*('R&amp;S - Packaging and hh goods'!$C$19+('R&amp;S - Packaging and hh goods'!$C$20-'R&amp;S - Packaging and hh goods'!$C$19)*('Yearly HC Ethylene'!Q$3-'Yearly HC Ethylene'!$N$3)/10))</f>
        <v>0</v>
      </c>
      <c r="R28" s="44">
        <f>R26*'R&amp;S - Packaging and hh goods'!$C$8*('R&amp;S - Packaging and hh goods'!$B$14*('R&amp;S - Packaging and hh goods'!$C$19+('R&amp;S - Packaging and hh goods'!$C$20-'R&amp;S - Packaging and hh goods'!$C$19)*('Yearly HC Ethylene'!R$3-'Yearly HC Ethylene'!$N$3)/10))</f>
        <v>0</v>
      </c>
      <c r="S28" s="44">
        <f>S26*'R&amp;S - Packaging and hh goods'!$C$8*('R&amp;S - Packaging and hh goods'!$B$14*('R&amp;S - Packaging and hh goods'!$C$19+('R&amp;S - Packaging and hh goods'!$C$20-'R&amp;S - Packaging and hh goods'!$C$19)*('Yearly HC Ethylene'!S$3-'Yearly HC Ethylene'!$N$3)/10))</f>
        <v>0</v>
      </c>
      <c r="T28" s="44">
        <f>T26*'R&amp;S - Packaging and hh goods'!$C$8*('R&amp;S - Packaging and hh goods'!$B$14*('R&amp;S - Packaging and hh goods'!$C$19+('R&amp;S - Packaging and hh goods'!$C$20-'R&amp;S - Packaging and hh goods'!$C$19)*('Yearly HC Ethylene'!T$3-'Yearly HC Ethylene'!$N$3)/10))</f>
        <v>0</v>
      </c>
      <c r="U28" s="44">
        <f>U26*'R&amp;S - Packaging and hh goods'!$C$8*('R&amp;S - Packaging and hh goods'!$B$14*('R&amp;S - Packaging and hh goods'!$C$19+('R&amp;S - Packaging and hh goods'!$C$20-'R&amp;S - Packaging and hh goods'!$C$19)*('Yearly HC Ethylene'!U$3-'Yearly HC Ethylene'!$N$3)/10))</f>
        <v>0</v>
      </c>
      <c r="V28" s="44">
        <f>V26*'R&amp;S - Packaging and hh goods'!$C$8*('R&amp;S - Packaging and hh goods'!$B$14*('R&amp;S - Packaging and hh goods'!$C$19+('R&amp;S - Packaging and hh goods'!$C$20-'R&amp;S - Packaging and hh goods'!$C$19)*('Yearly HC Ethylene'!V$3-'Yearly HC Ethylene'!$N$3)/10))</f>
        <v>0</v>
      </c>
      <c r="W28" s="44">
        <f>W26*'R&amp;S - Packaging and hh goods'!$C$8*('R&amp;S - Packaging and hh goods'!$B$14*('R&amp;S - Packaging and hh goods'!$C$19+('R&amp;S - Packaging and hh goods'!$C$20-'R&amp;S - Packaging and hh goods'!$C$19)*('Yearly HC Ethylene'!W$3-'Yearly HC Ethylene'!$N$3)/10))</f>
        <v>0</v>
      </c>
      <c r="X28" s="44">
        <f>X26*'R&amp;S - Packaging and hh goods'!$C$8*('R&amp;S - Packaging and hh goods'!$B$14*('R&amp;S - Packaging and hh goods'!$C$19+('R&amp;S - Packaging and hh goods'!$C$20-'R&amp;S - Packaging and hh goods'!$C$19)*('Yearly HC Ethylene'!X$3-'Yearly HC Ethylene'!$N$3)/10))</f>
        <v>0</v>
      </c>
      <c r="Y28" s="44">
        <f>Y26*'R&amp;S - Packaging and hh goods'!$C$8*('R&amp;S - Packaging and hh goods'!$B$14*('R&amp;S - Packaging and hh goods'!$C$20+('R&amp;S - Packaging and hh goods'!$C$21-'R&amp;S - Packaging and hh goods'!$C$20)*('Yearly HC Ethylene'!Y$3-'Yearly HC Ethylene'!$X$3)/10))</f>
        <v>0</v>
      </c>
      <c r="Z28" s="44">
        <f>Z26*'R&amp;S - Packaging and hh goods'!$C$8*('R&amp;S - Packaging and hh goods'!$B$14*('R&amp;S - Packaging and hh goods'!$C$20+('R&amp;S - Packaging and hh goods'!$C$21-'R&amp;S - Packaging and hh goods'!$C$20)*('Yearly HC Ethylene'!Z$3-'Yearly HC Ethylene'!$X$3)/10))</f>
        <v>0</v>
      </c>
      <c r="AA28" s="44">
        <f>AA26*'R&amp;S - Packaging and hh goods'!$C$8*('R&amp;S - Packaging and hh goods'!$B$14*('R&amp;S - Packaging and hh goods'!$C$20+('R&amp;S - Packaging and hh goods'!$C$21-'R&amp;S - Packaging and hh goods'!$C$20)*('Yearly HC Ethylene'!AA$3-'Yearly HC Ethylene'!$X$3)/10))</f>
        <v>0</v>
      </c>
      <c r="AB28" s="44">
        <f>AB26*'R&amp;S - Packaging and hh goods'!$C$8*('R&amp;S - Packaging and hh goods'!$B$14*('R&amp;S - Packaging and hh goods'!$C$20+('R&amp;S - Packaging and hh goods'!$C$21-'R&amp;S - Packaging and hh goods'!$C$20)*('Yearly HC Ethylene'!AB$3-'Yearly HC Ethylene'!$X$3)/10))</f>
        <v>0</v>
      </c>
      <c r="AC28" s="44">
        <f>AC26*'R&amp;S - Packaging and hh goods'!$C$8*('R&amp;S - Packaging and hh goods'!$B$14*('R&amp;S - Packaging and hh goods'!$C$20+('R&amp;S - Packaging and hh goods'!$C$21-'R&amp;S - Packaging and hh goods'!$C$20)*('Yearly HC Ethylene'!AC$3-'Yearly HC Ethylene'!$X$3)/10))</f>
        <v>0</v>
      </c>
      <c r="AD28" s="44">
        <f>AD26*'R&amp;S - Packaging and hh goods'!$C$8*('R&amp;S - Packaging and hh goods'!$B$14*('R&amp;S - Packaging and hh goods'!$C$20+('R&amp;S - Packaging and hh goods'!$C$21-'R&amp;S - Packaging and hh goods'!$C$20)*('Yearly HC Ethylene'!AD$3-'Yearly HC Ethylene'!$X$3)/10))</f>
        <v>0</v>
      </c>
      <c r="AE28" s="44">
        <f>AE26*'R&amp;S - Packaging and hh goods'!$C$8*('R&amp;S - Packaging and hh goods'!$B$14*('R&amp;S - Packaging and hh goods'!$C$20+('R&amp;S - Packaging and hh goods'!$C$21-'R&amp;S - Packaging and hh goods'!$C$20)*('Yearly HC Ethylene'!AE$3-'Yearly HC Ethylene'!$X$3)/10))</f>
        <v>0</v>
      </c>
      <c r="AF28" s="44">
        <f>AF26*'R&amp;S - Packaging and hh goods'!$C$8*('R&amp;S - Packaging and hh goods'!$B$14*('R&amp;S - Packaging and hh goods'!$C$20+('R&amp;S - Packaging and hh goods'!$C$21-'R&amp;S - Packaging and hh goods'!$C$20)*('Yearly HC Ethylene'!AF$3-'Yearly HC Ethylene'!$X$3)/10))</f>
        <v>0</v>
      </c>
      <c r="AG28" s="44">
        <f>AG26*'R&amp;S - Packaging and hh goods'!$C$8*('R&amp;S - Packaging and hh goods'!$B$14*('R&amp;S - Packaging and hh goods'!$C$20+('R&amp;S - Packaging and hh goods'!$C$21-'R&amp;S - Packaging and hh goods'!$C$20)*('Yearly HC Ethylene'!AG$3-'Yearly HC Ethylene'!$X$3)/10))</f>
        <v>0</v>
      </c>
      <c r="AH28" s="44">
        <f>AH26*'R&amp;S - Packaging and hh goods'!$C$8*('R&amp;S - Packaging and hh goods'!$B$14*('R&amp;S - Packaging and hh goods'!$C$20+('R&amp;S - Packaging and hh goods'!$C$21-'R&amp;S - Packaging and hh goods'!$C$20)*('Yearly HC Ethylene'!AH$3-'Yearly HC Ethylene'!$X$3)/10))</f>
        <v>0</v>
      </c>
    </row>
    <row r="29" spans="1:40" outlineLevel="1">
      <c r="B29" s="1" t="s">
        <v>168</v>
      </c>
      <c r="C29" s="54" t="s">
        <v>153</v>
      </c>
      <c r="D29" s="44">
        <f>SUM(D27:D28)</f>
        <v>0</v>
      </c>
      <c r="E29" s="44">
        <f t="shared" ref="E29:AH29" si="7">SUM(E27:E28)</f>
        <v>0</v>
      </c>
      <c r="F29" s="44">
        <f t="shared" si="7"/>
        <v>0</v>
      </c>
      <c r="G29" s="44">
        <f t="shared" si="7"/>
        <v>0</v>
      </c>
      <c r="H29" s="44">
        <f t="shared" si="7"/>
        <v>0</v>
      </c>
      <c r="I29" s="44">
        <f t="shared" si="7"/>
        <v>0</v>
      </c>
      <c r="J29" s="44">
        <f t="shared" si="7"/>
        <v>0</v>
      </c>
      <c r="K29" s="44">
        <f t="shared" si="7"/>
        <v>0</v>
      </c>
      <c r="L29" s="44">
        <f t="shared" si="7"/>
        <v>0</v>
      </c>
      <c r="M29" s="44">
        <f t="shared" si="7"/>
        <v>0</v>
      </c>
      <c r="N29" s="44">
        <f t="shared" si="7"/>
        <v>0</v>
      </c>
      <c r="O29" s="44">
        <f t="shared" si="7"/>
        <v>0</v>
      </c>
      <c r="P29" s="44">
        <f t="shared" si="7"/>
        <v>0</v>
      </c>
      <c r="Q29" s="44">
        <f t="shared" si="7"/>
        <v>0</v>
      </c>
      <c r="R29" s="44">
        <f t="shared" si="7"/>
        <v>0</v>
      </c>
      <c r="S29" s="44">
        <f t="shared" si="7"/>
        <v>0</v>
      </c>
      <c r="T29" s="44">
        <f t="shared" si="7"/>
        <v>0</v>
      </c>
      <c r="U29" s="44">
        <f t="shared" si="7"/>
        <v>0</v>
      </c>
      <c r="V29" s="44">
        <f t="shared" si="7"/>
        <v>0</v>
      </c>
      <c r="W29" s="44">
        <f t="shared" si="7"/>
        <v>0</v>
      </c>
      <c r="X29" s="44">
        <f t="shared" si="7"/>
        <v>0</v>
      </c>
      <c r="Y29" s="44">
        <f t="shared" si="7"/>
        <v>0</v>
      </c>
      <c r="Z29" s="44">
        <f t="shared" si="7"/>
        <v>0</v>
      </c>
      <c r="AA29" s="44">
        <f t="shared" si="7"/>
        <v>0</v>
      </c>
      <c r="AB29" s="44">
        <f t="shared" si="7"/>
        <v>0</v>
      </c>
      <c r="AC29" s="44">
        <f t="shared" si="7"/>
        <v>0</v>
      </c>
      <c r="AD29" s="44">
        <f t="shared" si="7"/>
        <v>0</v>
      </c>
      <c r="AE29" s="44">
        <f t="shared" si="7"/>
        <v>0</v>
      </c>
      <c r="AF29" s="44">
        <f t="shared" si="7"/>
        <v>0</v>
      </c>
      <c r="AG29" s="44">
        <f t="shared" si="7"/>
        <v>0</v>
      </c>
      <c r="AH29" s="44">
        <f t="shared" si="7"/>
        <v>0</v>
      </c>
    </row>
    <row r="30" spans="1:40" outlineLevel="1">
      <c r="B30" s="61" t="s">
        <v>202</v>
      </c>
      <c r="C30" s="54" t="s">
        <v>153</v>
      </c>
      <c r="D30" s="44">
        <v>0</v>
      </c>
      <c r="E30" s="44">
        <f>E26*'R&amp;S - Packaging and hh goods'!$C$9*('R&amp;S - Packaging and hh goods'!$C$14*'R&amp;S - Packaging and hh goods'!$D$19*('Yearly HC Ethylene'!E$3-'Yearly HC Ethylene'!$D$3)/10)</f>
        <v>0</v>
      </c>
      <c r="F30" s="44">
        <f>F26*'R&amp;S - Packaging and hh goods'!$C$9*('R&amp;S - Packaging and hh goods'!$C$14*'R&amp;S - Packaging and hh goods'!$D$19*('Yearly HC Ethylene'!F$3-'Yearly HC Ethylene'!$D$3)/10)</f>
        <v>0</v>
      </c>
      <c r="G30" s="44">
        <f>G26*'R&amp;S - Packaging and hh goods'!$C$9*('R&amp;S - Packaging and hh goods'!$C$14*'R&amp;S - Packaging and hh goods'!$D$19*('Yearly HC Ethylene'!G$3-'Yearly HC Ethylene'!$D$3)/10)</f>
        <v>0</v>
      </c>
      <c r="H30" s="44">
        <f>H26*'R&amp;S - Packaging and hh goods'!$C$9*('R&amp;S - Packaging and hh goods'!$C$14*'R&amp;S - Packaging and hh goods'!$D$19*('Yearly HC Ethylene'!H$3-'Yearly HC Ethylene'!$D$3)/10)</f>
        <v>0</v>
      </c>
      <c r="I30" s="44">
        <f>I26*'R&amp;S - Packaging and hh goods'!$C$9*('R&amp;S - Packaging and hh goods'!$C$14*'R&amp;S - Packaging and hh goods'!$D$19*('Yearly HC Ethylene'!I$3-'Yearly HC Ethylene'!$D$3)/10)</f>
        <v>0</v>
      </c>
      <c r="J30" s="44">
        <f>J26*'R&amp;S - Packaging and hh goods'!$C$9*('R&amp;S - Packaging and hh goods'!$C$14*'R&amp;S - Packaging and hh goods'!$D$19*('Yearly HC Ethylene'!J$3-'Yearly HC Ethylene'!$D$3)/10)</f>
        <v>0</v>
      </c>
      <c r="K30" s="44">
        <f>K26*'R&amp;S - Packaging and hh goods'!$C$9*('R&amp;S - Packaging and hh goods'!$C$14*'R&amp;S - Packaging and hh goods'!$D$19*('Yearly HC Ethylene'!K$3-'Yearly HC Ethylene'!$D$3)/10)</f>
        <v>0</v>
      </c>
      <c r="L30" s="44">
        <f>L26*'R&amp;S - Packaging and hh goods'!$C$9*('R&amp;S - Packaging and hh goods'!$C$14*'R&amp;S - Packaging and hh goods'!$D$19*('Yearly HC Ethylene'!L$3-'Yearly HC Ethylene'!$D$3)/10)</f>
        <v>0</v>
      </c>
      <c r="M30" s="44">
        <f>M26*'R&amp;S - Packaging and hh goods'!$C$9*('R&amp;S - Packaging and hh goods'!$C$14*'R&amp;S - Packaging and hh goods'!$D$19*('Yearly HC Ethylene'!M$3-'Yearly HC Ethylene'!$D$3)/10)</f>
        <v>0</v>
      </c>
      <c r="N30" s="44">
        <f>N26*'R&amp;S - Packaging and hh goods'!$C$9*('R&amp;S - Packaging and hh goods'!$C$14*'R&amp;S - Packaging and hh goods'!$D$19*('Yearly HC Ethylene'!N$3-'Yearly HC Ethylene'!$D$3)/10)</f>
        <v>0</v>
      </c>
      <c r="O30" s="44">
        <f>O26*'R&amp;S - Packaging and hh goods'!$C$9*('R&amp;S - Packaging and hh goods'!$C$14*'R&amp;S - Packaging and hh goods'!$D$19*('Yearly HC Ethylene'!O$3-'Yearly HC Ethylene'!$D$3)/10)</f>
        <v>0</v>
      </c>
      <c r="P30" s="44">
        <f>P26*'R&amp;S - Packaging and hh goods'!$C$9*('R&amp;S - Packaging and hh goods'!$C$14*'R&amp;S - Packaging and hh goods'!$D$19*('Yearly HC Ethylene'!P$3-'Yearly HC Ethylene'!$D$3)/10)</f>
        <v>0</v>
      </c>
      <c r="Q30" s="44">
        <f>Q26*'R&amp;S - Packaging and hh goods'!$C$9*('R&amp;S - Packaging and hh goods'!$C$14*'R&amp;S - Packaging and hh goods'!$D$19*('Yearly HC Ethylene'!Q$3-'Yearly HC Ethylene'!$D$3)/10)</f>
        <v>0</v>
      </c>
      <c r="R30" s="44">
        <f>R26*'R&amp;S - Packaging and hh goods'!$C$9*('R&amp;S - Packaging and hh goods'!$C$14*'R&amp;S - Packaging and hh goods'!$D$19*('Yearly HC Ethylene'!R$3-'Yearly HC Ethylene'!$D$3)/10)</f>
        <v>0</v>
      </c>
      <c r="S30" s="44">
        <f>S26*'R&amp;S - Packaging and hh goods'!$C$9*('R&amp;S - Packaging and hh goods'!$C$14*'R&amp;S - Packaging and hh goods'!$D$19*('Yearly HC Ethylene'!S$3-'Yearly HC Ethylene'!$D$3)/10)</f>
        <v>0</v>
      </c>
      <c r="T30" s="44">
        <f>T26*'R&amp;S - Packaging and hh goods'!$C$9*('R&amp;S - Packaging and hh goods'!$C$14*'R&amp;S - Packaging and hh goods'!$D$19*('Yearly HC Ethylene'!T$3-'Yearly HC Ethylene'!$D$3)/10)</f>
        <v>0</v>
      </c>
      <c r="U30" s="44">
        <f>U26*'R&amp;S - Packaging and hh goods'!$C$9*('R&amp;S - Packaging and hh goods'!$C$14*'R&amp;S - Packaging and hh goods'!$D$19*('Yearly HC Ethylene'!U$3-'Yearly HC Ethylene'!$D$3)/10)</f>
        <v>0</v>
      </c>
      <c r="V30" s="44">
        <f>V26*'R&amp;S - Packaging and hh goods'!$C$9*('R&amp;S - Packaging and hh goods'!$C$14*'R&amp;S - Packaging and hh goods'!$D$19*('Yearly HC Ethylene'!V$3-'Yearly HC Ethylene'!$D$3)/10)</f>
        <v>0</v>
      </c>
      <c r="W30" s="44">
        <f>W26*'R&amp;S - Packaging and hh goods'!$C$9*('R&amp;S - Packaging and hh goods'!$C$14*'R&amp;S - Packaging and hh goods'!$D$19*('Yearly HC Ethylene'!W$3-'Yearly HC Ethylene'!$D$3)/10)</f>
        <v>0</v>
      </c>
      <c r="X30" s="44">
        <f>X26*'R&amp;S - Packaging and hh goods'!$C$9*('R&amp;S - Packaging and hh goods'!$C$14*'R&amp;S - Packaging and hh goods'!$D$19*('Yearly HC Ethylene'!X$3-'Yearly HC Ethylene'!$D$3)/10)</f>
        <v>0</v>
      </c>
      <c r="Y30" s="44">
        <f>Y26*'R&amp;S - Packaging and hh goods'!$C$9*('R&amp;S - Packaging and hh goods'!$C$14*('R&amp;S - Packaging and hh goods'!$D$20+('R&amp;S - Packaging and hh goods'!$D$21-'R&amp;S - Packaging and hh goods'!$D$20)*('Yearly HC Ethylene'!Y$3-'Yearly HC Ethylene'!$X$3)/10))</f>
        <v>0</v>
      </c>
      <c r="Z30" s="44">
        <f>Z26*'R&amp;S - Packaging and hh goods'!$C$9*('R&amp;S - Packaging and hh goods'!$C$14*('R&amp;S - Packaging and hh goods'!$D$20+('R&amp;S - Packaging and hh goods'!$D$21-'R&amp;S - Packaging and hh goods'!$D$20)*('Yearly HC Ethylene'!Z$3-'Yearly HC Ethylene'!$X$3)/10))</f>
        <v>0</v>
      </c>
      <c r="AA30" s="44">
        <f>AA26*'R&amp;S - Packaging and hh goods'!$C$9*('R&amp;S - Packaging and hh goods'!$C$14*('R&amp;S - Packaging and hh goods'!$D$20+('R&amp;S - Packaging and hh goods'!$D$21-'R&amp;S - Packaging and hh goods'!$D$20)*('Yearly HC Ethylene'!AA$3-'Yearly HC Ethylene'!$X$3)/10))</f>
        <v>0</v>
      </c>
      <c r="AB30" s="44">
        <f>AB26*'R&amp;S - Packaging and hh goods'!$C$9*('R&amp;S - Packaging and hh goods'!$C$14*('R&amp;S - Packaging and hh goods'!$D$20+('R&amp;S - Packaging and hh goods'!$D$21-'R&amp;S - Packaging and hh goods'!$D$20)*('Yearly HC Ethylene'!AB$3-'Yearly HC Ethylene'!$X$3)/10))</f>
        <v>0</v>
      </c>
      <c r="AC30" s="44">
        <f>AC26*'R&amp;S - Packaging and hh goods'!$C$9*('R&amp;S - Packaging and hh goods'!$C$14*('R&amp;S - Packaging and hh goods'!$D$20+('R&amp;S - Packaging and hh goods'!$D$21-'R&amp;S - Packaging and hh goods'!$D$20)*('Yearly HC Ethylene'!AC$3-'Yearly HC Ethylene'!$X$3)/10))</f>
        <v>0</v>
      </c>
      <c r="AD30" s="44">
        <f>AD26*'R&amp;S - Packaging and hh goods'!$C$9*('R&amp;S - Packaging and hh goods'!$C$14*('R&amp;S - Packaging and hh goods'!$D$20+('R&amp;S - Packaging and hh goods'!$D$21-'R&amp;S - Packaging and hh goods'!$D$20)*('Yearly HC Ethylene'!AD$3-'Yearly HC Ethylene'!$X$3)/10))</f>
        <v>0</v>
      </c>
      <c r="AE30" s="44">
        <f>AE26*'R&amp;S - Packaging and hh goods'!$C$9*('R&amp;S - Packaging and hh goods'!$C$14*('R&amp;S - Packaging and hh goods'!$D$20+('R&amp;S - Packaging and hh goods'!$D$21-'R&amp;S - Packaging and hh goods'!$D$20)*('Yearly HC Ethylene'!AE$3-'Yearly HC Ethylene'!$X$3)/10))</f>
        <v>0</v>
      </c>
      <c r="AF30" s="44">
        <f>AF26*'R&amp;S - Packaging and hh goods'!$C$9*('R&amp;S - Packaging and hh goods'!$C$14*('R&amp;S - Packaging and hh goods'!$D$20+('R&amp;S - Packaging and hh goods'!$D$21-'R&amp;S - Packaging and hh goods'!$D$20)*('Yearly HC Ethylene'!AF$3-'Yearly HC Ethylene'!$X$3)/10))</f>
        <v>0</v>
      </c>
      <c r="AG30" s="44">
        <f>AG26*'R&amp;S - Packaging and hh goods'!$C$9*('R&amp;S - Packaging and hh goods'!$C$14*('R&amp;S - Packaging and hh goods'!$D$20+('R&amp;S - Packaging and hh goods'!$D$21-'R&amp;S - Packaging and hh goods'!$D$20)*('Yearly HC Ethylene'!AG$3-'Yearly HC Ethylene'!$X$3)/10))</f>
        <v>0</v>
      </c>
      <c r="AH30" s="44">
        <f>AH26*'R&amp;S - Packaging and hh goods'!$C$9*('R&amp;S - Packaging and hh goods'!$C$14*('R&amp;S - Packaging and hh goods'!$D$20+('R&amp;S - Packaging and hh goods'!$D$21-'R&amp;S - Packaging and hh goods'!$D$20)*('Yearly HC Ethylene'!AH$3-'Yearly HC Ethylene'!$X$3)/10))</f>
        <v>0</v>
      </c>
    </row>
    <row r="31" spans="1:40" outlineLevel="1">
      <c r="B31" s="61" t="s">
        <v>203</v>
      </c>
      <c r="C31" s="54" t="s">
        <v>153</v>
      </c>
      <c r="D31" s="44">
        <v>0</v>
      </c>
      <c r="E31" s="44">
        <f>E26*'R&amp;S - Packaging and hh goods'!$C$10*('R&amp;S - Packaging and hh goods'!$C$14*'R&amp;S - Packaging and hh goods'!$E$19*('Yearly HC Ethylene'!E$3-'Yearly HC Ethylene'!$D$3)/10)</f>
        <v>0</v>
      </c>
      <c r="F31" s="44">
        <f>F26*'R&amp;S - Packaging and hh goods'!$C$10*('R&amp;S - Packaging and hh goods'!$C$14*'R&amp;S - Packaging and hh goods'!$E$19*('Yearly HC Ethylene'!F$3-'Yearly HC Ethylene'!$D$3)/10)</f>
        <v>0</v>
      </c>
      <c r="G31" s="44">
        <f>G26*'R&amp;S - Packaging and hh goods'!$C$10*('R&amp;S - Packaging and hh goods'!$C$14*'R&amp;S - Packaging and hh goods'!$E$19*('Yearly HC Ethylene'!G$3-'Yearly HC Ethylene'!$D$3)/10)</f>
        <v>0</v>
      </c>
      <c r="H31" s="44">
        <f>H26*'R&amp;S - Packaging and hh goods'!$C$10*('R&amp;S - Packaging and hh goods'!$C$14*'R&amp;S - Packaging and hh goods'!$E$19*('Yearly HC Ethylene'!H$3-'Yearly HC Ethylene'!$D$3)/10)</f>
        <v>0</v>
      </c>
      <c r="I31" s="44">
        <f>I26*'R&amp;S - Packaging and hh goods'!$C$10*('R&amp;S - Packaging and hh goods'!$C$14*'R&amp;S - Packaging and hh goods'!$E$19*('Yearly HC Ethylene'!I$3-'Yearly HC Ethylene'!$D$3)/10)</f>
        <v>0</v>
      </c>
      <c r="J31" s="44">
        <f>J26*'R&amp;S - Packaging and hh goods'!$C$10*('R&amp;S - Packaging and hh goods'!$C$14*'R&amp;S - Packaging and hh goods'!$E$19*('Yearly HC Ethylene'!J$3-'Yearly HC Ethylene'!$D$3)/10)</f>
        <v>0</v>
      </c>
      <c r="K31" s="44">
        <f>K26*'R&amp;S - Packaging and hh goods'!$C$10*('R&amp;S - Packaging and hh goods'!$C$14*'R&amp;S - Packaging and hh goods'!$E$19*('Yearly HC Ethylene'!K$3-'Yearly HC Ethylene'!$D$3)/10)</f>
        <v>0</v>
      </c>
      <c r="L31" s="44">
        <f>L26*'R&amp;S - Packaging and hh goods'!$C$10*('R&amp;S - Packaging and hh goods'!$C$14*'R&amp;S - Packaging and hh goods'!$E$19*('Yearly HC Ethylene'!L$3-'Yearly HC Ethylene'!$D$3)/10)</f>
        <v>0</v>
      </c>
      <c r="M31" s="44">
        <f>M26*'R&amp;S - Packaging and hh goods'!$C$10*('R&amp;S - Packaging and hh goods'!$C$14*'R&amp;S - Packaging and hh goods'!$E$19*('Yearly HC Ethylene'!M$3-'Yearly HC Ethylene'!$D$3)/10)</f>
        <v>0</v>
      </c>
      <c r="N31" s="44">
        <f>N26*'R&amp;S - Packaging and hh goods'!$C$10*('R&amp;S - Packaging and hh goods'!$C$14*'R&amp;S - Packaging and hh goods'!$E$19*('Yearly HC Ethylene'!N$3-'Yearly HC Ethylene'!$D$3)/10)</f>
        <v>0</v>
      </c>
      <c r="O31" s="44">
        <f>O26*'R&amp;S - Packaging and hh goods'!$C$10*('R&amp;S - Packaging and hh goods'!$C$14*'R&amp;S - Packaging and hh goods'!$E$19*('Yearly HC Ethylene'!O$3-'Yearly HC Ethylene'!$D$3)/10)</f>
        <v>0</v>
      </c>
      <c r="P31" s="44">
        <f>P26*'R&amp;S - Packaging and hh goods'!$C$10*('R&amp;S - Packaging and hh goods'!$C$14*('R&amp;S - Packaging and hh goods'!$E$19+('R&amp;S - Packaging and hh goods'!$E$20-'R&amp;S - Packaging and hh goods'!$E$19)*('Yearly HC Ethylene'!P$3-'Yearly HC Ethylene'!$O$3)/10))</f>
        <v>0</v>
      </c>
      <c r="Q31" s="44">
        <f>Q26*'R&amp;S - Packaging and hh goods'!$C$10*('R&amp;S - Packaging and hh goods'!$C$14*('R&amp;S - Packaging and hh goods'!$E$19+('R&amp;S - Packaging and hh goods'!$E$20-'R&amp;S - Packaging and hh goods'!$E$19)*('Yearly HC Ethylene'!Q$3-'Yearly HC Ethylene'!$O$3)/10))</f>
        <v>0</v>
      </c>
      <c r="R31" s="44">
        <f>R26*'R&amp;S - Packaging and hh goods'!$C$10*('R&amp;S - Packaging and hh goods'!$C$14*('R&amp;S - Packaging and hh goods'!$E$19+('R&amp;S - Packaging and hh goods'!$E$20-'R&amp;S - Packaging and hh goods'!$E$19)*('Yearly HC Ethylene'!R$3-'Yearly HC Ethylene'!$O$3)/10))</f>
        <v>0</v>
      </c>
      <c r="S31" s="44">
        <f>S26*'R&amp;S - Packaging and hh goods'!$C$10*('R&amp;S - Packaging and hh goods'!$C$14*('R&amp;S - Packaging and hh goods'!$E$19+('R&amp;S - Packaging and hh goods'!$E$20-'R&amp;S - Packaging and hh goods'!$E$19)*('Yearly HC Ethylene'!S$3-'Yearly HC Ethylene'!$O$3)/10))</f>
        <v>0</v>
      </c>
      <c r="T31" s="44">
        <f>T26*'R&amp;S - Packaging and hh goods'!$C$10*('R&amp;S - Packaging and hh goods'!$C$14*('R&amp;S - Packaging and hh goods'!$E$19+('R&amp;S - Packaging and hh goods'!$E$20-'R&amp;S - Packaging and hh goods'!$E$19)*('Yearly HC Ethylene'!T$3-'Yearly HC Ethylene'!$O$3)/10))</f>
        <v>0</v>
      </c>
      <c r="U31" s="44">
        <f>U26*'R&amp;S - Packaging and hh goods'!$C$10*('R&amp;S - Packaging and hh goods'!$C$14*('R&amp;S - Packaging and hh goods'!$E$19+('R&amp;S - Packaging and hh goods'!$E$20-'R&amp;S - Packaging and hh goods'!$E$19)*('Yearly HC Ethylene'!U$3-'Yearly HC Ethylene'!$O$3)/10))</f>
        <v>0</v>
      </c>
      <c r="V31" s="44">
        <f>V26*'R&amp;S - Packaging and hh goods'!$C$10*('R&amp;S - Packaging and hh goods'!$C$14*('R&amp;S - Packaging and hh goods'!$E$19+('R&amp;S - Packaging and hh goods'!$E$20-'R&amp;S - Packaging and hh goods'!$E$19)*('Yearly HC Ethylene'!V$3-'Yearly HC Ethylene'!$O$3)/10))</f>
        <v>0</v>
      </c>
      <c r="W31" s="44">
        <f>W26*'R&amp;S - Packaging and hh goods'!$C$10*('R&amp;S - Packaging and hh goods'!$C$14*('R&amp;S - Packaging and hh goods'!$E$19+('R&amp;S - Packaging and hh goods'!$E$20-'R&amp;S - Packaging and hh goods'!$E$19)*('Yearly HC Ethylene'!W$3-'Yearly HC Ethylene'!$O$3)/10))</f>
        <v>0</v>
      </c>
      <c r="X31" s="44">
        <f>X26*'R&amp;S - Packaging and hh goods'!$C$10*('R&amp;S - Packaging and hh goods'!$C$14*('R&amp;S - Packaging and hh goods'!$E$19+('R&amp;S - Packaging and hh goods'!$E$20-'R&amp;S - Packaging and hh goods'!$E$19)*('Yearly HC Ethylene'!X$3-'Yearly HC Ethylene'!$O$3)/10))</f>
        <v>0</v>
      </c>
      <c r="Y31" s="44">
        <f>Y26*'R&amp;S - Packaging and hh goods'!$C$10*('R&amp;S - Packaging and hh goods'!$C$14*('R&amp;S - Packaging and hh goods'!$E$20+('R&amp;S - Packaging and hh goods'!$E$21-'R&amp;S - Packaging and hh goods'!$E$20)*('Yearly HC Ethylene'!Y$3-'Yearly HC Ethylene'!$X$3)/10))</f>
        <v>0</v>
      </c>
      <c r="Z31" s="44">
        <f>Z26*'R&amp;S - Packaging and hh goods'!$C$10*('R&amp;S - Packaging and hh goods'!$C$14*('R&amp;S - Packaging and hh goods'!$E$20+('R&amp;S - Packaging and hh goods'!$E$21-'R&amp;S - Packaging and hh goods'!$E$20)*('Yearly HC Ethylene'!Z$3-'Yearly HC Ethylene'!$X$3)/10))</f>
        <v>0</v>
      </c>
      <c r="AA31" s="44">
        <f>AA26*'R&amp;S - Packaging and hh goods'!$C$10*('R&amp;S - Packaging and hh goods'!$C$14*('R&amp;S - Packaging and hh goods'!$E$20+('R&amp;S - Packaging and hh goods'!$E$21-'R&amp;S - Packaging and hh goods'!$E$20)*('Yearly HC Ethylene'!AA$3-'Yearly HC Ethylene'!$X$3)/10))</f>
        <v>0</v>
      </c>
      <c r="AB31" s="44">
        <f>AB26*'R&amp;S - Packaging and hh goods'!$C$10*('R&amp;S - Packaging and hh goods'!$C$14*('R&amp;S - Packaging and hh goods'!$E$20+('R&amp;S - Packaging and hh goods'!$E$21-'R&amp;S - Packaging and hh goods'!$E$20)*('Yearly HC Ethylene'!AB$3-'Yearly HC Ethylene'!$X$3)/10))</f>
        <v>0</v>
      </c>
      <c r="AC31" s="44">
        <f>AC26*'R&amp;S - Packaging and hh goods'!$C$10*('R&amp;S - Packaging and hh goods'!$C$14*('R&amp;S - Packaging and hh goods'!$E$20+('R&amp;S - Packaging and hh goods'!$E$21-'R&amp;S - Packaging and hh goods'!$E$20)*('Yearly HC Ethylene'!AC$3-'Yearly HC Ethylene'!$X$3)/10))</f>
        <v>0</v>
      </c>
      <c r="AD31" s="44">
        <f>AD26*'R&amp;S - Packaging and hh goods'!$C$10*('R&amp;S - Packaging and hh goods'!$C$14*('R&amp;S - Packaging and hh goods'!$E$20+('R&amp;S - Packaging and hh goods'!$E$21-'R&amp;S - Packaging and hh goods'!$E$20)*('Yearly HC Ethylene'!AD$3-'Yearly HC Ethylene'!$X$3)/10))</f>
        <v>0</v>
      </c>
      <c r="AE31" s="44">
        <f>AE26*'R&amp;S - Packaging and hh goods'!$C$10*('R&amp;S - Packaging and hh goods'!$C$14*('R&amp;S - Packaging and hh goods'!$E$20+('R&amp;S - Packaging and hh goods'!$E$21-'R&amp;S - Packaging and hh goods'!$E$20)*('Yearly HC Ethylene'!AE$3-'Yearly HC Ethylene'!$X$3)/10))</f>
        <v>0</v>
      </c>
      <c r="AF31" s="44">
        <f>AF26*'R&amp;S - Packaging and hh goods'!$C$10*('R&amp;S - Packaging and hh goods'!$C$14*('R&amp;S - Packaging and hh goods'!$E$20+('R&amp;S - Packaging and hh goods'!$E$21-'R&amp;S - Packaging and hh goods'!$E$20)*('Yearly HC Ethylene'!AF$3-'Yearly HC Ethylene'!$X$3)/10))</f>
        <v>0</v>
      </c>
      <c r="AG31" s="44">
        <f>AG26*'R&amp;S - Packaging and hh goods'!$C$10*('R&amp;S - Packaging and hh goods'!$C$14*('R&amp;S - Packaging and hh goods'!$E$20+('R&amp;S - Packaging and hh goods'!$E$21-'R&amp;S - Packaging and hh goods'!$E$20)*('Yearly HC Ethylene'!AG$3-'Yearly HC Ethylene'!$X$3)/10))</f>
        <v>0</v>
      </c>
      <c r="AH31" s="44">
        <f>AH26*'R&amp;S - Packaging and hh goods'!$C$10*('R&amp;S - Packaging and hh goods'!$C$14*('R&amp;S - Packaging and hh goods'!$E$20+('R&amp;S - Packaging and hh goods'!$E$21-'R&amp;S - Packaging and hh goods'!$E$20)*('Yearly HC Ethylene'!AH$3-'Yearly HC Ethylene'!$X$3)/10))</f>
        <v>0</v>
      </c>
    </row>
    <row r="32" spans="1:40" outlineLevel="1">
      <c r="B32" s="1" t="s">
        <v>172</v>
      </c>
      <c r="C32" s="54" t="s">
        <v>153</v>
      </c>
      <c r="D32" s="44">
        <f>SUM(D30:D31)</f>
        <v>0</v>
      </c>
      <c r="E32" s="44">
        <f t="shared" ref="E32:AH32" si="8">SUM(E30:E31)</f>
        <v>0</v>
      </c>
      <c r="F32" s="44">
        <f t="shared" si="8"/>
        <v>0</v>
      </c>
      <c r="G32" s="44">
        <f t="shared" si="8"/>
        <v>0</v>
      </c>
      <c r="H32" s="44">
        <f t="shared" si="8"/>
        <v>0</v>
      </c>
      <c r="I32" s="44">
        <f t="shared" si="8"/>
        <v>0</v>
      </c>
      <c r="J32" s="44">
        <f t="shared" si="8"/>
        <v>0</v>
      </c>
      <c r="K32" s="44">
        <f t="shared" si="8"/>
        <v>0</v>
      </c>
      <c r="L32" s="44">
        <f t="shared" si="8"/>
        <v>0</v>
      </c>
      <c r="M32" s="44">
        <f t="shared" si="8"/>
        <v>0</v>
      </c>
      <c r="N32" s="44">
        <f t="shared" si="8"/>
        <v>0</v>
      </c>
      <c r="O32" s="44">
        <f t="shared" si="8"/>
        <v>0</v>
      </c>
      <c r="P32" s="44">
        <f t="shared" si="8"/>
        <v>0</v>
      </c>
      <c r="Q32" s="44">
        <f t="shared" si="8"/>
        <v>0</v>
      </c>
      <c r="R32" s="44">
        <f t="shared" si="8"/>
        <v>0</v>
      </c>
      <c r="S32" s="44">
        <f t="shared" si="8"/>
        <v>0</v>
      </c>
      <c r="T32" s="44">
        <f t="shared" si="8"/>
        <v>0</v>
      </c>
      <c r="U32" s="44">
        <f t="shared" si="8"/>
        <v>0</v>
      </c>
      <c r="V32" s="44">
        <f t="shared" si="8"/>
        <v>0</v>
      </c>
      <c r="W32" s="44">
        <f t="shared" si="8"/>
        <v>0</v>
      </c>
      <c r="X32" s="44">
        <f t="shared" si="8"/>
        <v>0</v>
      </c>
      <c r="Y32" s="44">
        <f t="shared" si="8"/>
        <v>0</v>
      </c>
      <c r="Z32" s="44">
        <f t="shared" si="8"/>
        <v>0</v>
      </c>
      <c r="AA32" s="44">
        <f t="shared" si="8"/>
        <v>0</v>
      </c>
      <c r="AB32" s="44">
        <f t="shared" si="8"/>
        <v>0</v>
      </c>
      <c r="AC32" s="44">
        <f t="shared" si="8"/>
        <v>0</v>
      </c>
      <c r="AD32" s="44">
        <f t="shared" si="8"/>
        <v>0</v>
      </c>
      <c r="AE32" s="44">
        <f t="shared" si="8"/>
        <v>0</v>
      </c>
      <c r="AF32" s="44">
        <f t="shared" si="8"/>
        <v>0</v>
      </c>
      <c r="AG32" s="44">
        <f t="shared" si="8"/>
        <v>0</v>
      </c>
      <c r="AH32" s="44">
        <f t="shared" si="8"/>
        <v>0</v>
      </c>
    </row>
    <row r="33" spans="1:35" s="190" customFormat="1">
      <c r="A33" s="190" t="s">
        <v>197</v>
      </c>
      <c r="B33" s="190" t="s">
        <v>67</v>
      </c>
      <c r="C33" s="191" t="s">
        <v>153</v>
      </c>
      <c r="D33" s="192">
        <f>D26-D29-D32</f>
        <v>89.109936202323638</v>
      </c>
      <c r="E33" s="192">
        <f>E26-E29-E32</f>
        <v>90.357475309156172</v>
      </c>
      <c r="F33" s="192">
        <f t="shared" ref="F33:AH33" si="9">F26-F29-F32</f>
        <v>91.622479963484366</v>
      </c>
      <c r="G33" s="192">
        <f t="shared" si="9"/>
        <v>92.905194682973146</v>
      </c>
      <c r="H33" s="192">
        <f t="shared" si="9"/>
        <v>94.205867408534772</v>
      </c>
      <c r="I33" s="192">
        <f t="shared" si="9"/>
        <v>95.524749552254264</v>
      </c>
      <c r="J33" s="192">
        <f t="shared" si="9"/>
        <v>96.862096045985822</v>
      </c>
      <c r="K33" s="192">
        <f t="shared" si="9"/>
        <v>98.218165390629622</v>
      </c>
      <c r="L33" s="192">
        <f t="shared" si="9"/>
        <v>99.593219706098438</v>
      </c>
      <c r="M33" s="192">
        <f t="shared" si="9"/>
        <v>100.98752478198382</v>
      </c>
      <c r="N33" s="192">
        <f t="shared" si="9"/>
        <v>102.4013501289316</v>
      </c>
      <c r="O33" s="192">
        <f t="shared" si="9"/>
        <v>103.83496903073664</v>
      </c>
      <c r="P33" s="192">
        <f t="shared" si="9"/>
        <v>105.28865859716696</v>
      </c>
      <c r="Q33" s="192">
        <f t="shared" si="9"/>
        <v>106.76269981752729</v>
      </c>
      <c r="R33" s="192">
        <f t="shared" si="9"/>
        <v>108.25737761497267</v>
      </c>
      <c r="S33" s="192">
        <f t="shared" si="9"/>
        <v>109.77298090158229</v>
      </c>
      <c r="T33" s="192">
        <f t="shared" si="9"/>
        <v>111.30980263420444</v>
      </c>
      <c r="U33" s="192">
        <f t="shared" si="9"/>
        <v>112.86813987108332</v>
      </c>
      <c r="V33" s="192">
        <f t="shared" si="9"/>
        <v>114.44829382927848</v>
      </c>
      <c r="W33" s="192">
        <f t="shared" si="9"/>
        <v>116.05056994288839</v>
      </c>
      <c r="X33" s="192">
        <f t="shared" si="9"/>
        <v>117.67527792208882</v>
      </c>
      <c r="Y33" s="192">
        <f t="shared" si="9"/>
        <v>119.32273181299807</v>
      </c>
      <c r="Z33" s="192">
        <f t="shared" si="9"/>
        <v>120.99325005838004</v>
      </c>
      <c r="AA33" s="192">
        <f t="shared" si="9"/>
        <v>122.68715555919736</v>
      </c>
      <c r="AB33" s="192">
        <f t="shared" si="9"/>
        <v>124.40477573702613</v>
      </c>
      <c r="AC33" s="192">
        <f t="shared" si="9"/>
        <v>126.14644259734449</v>
      </c>
      <c r="AD33" s="192">
        <f t="shared" si="9"/>
        <v>127.91249279370732</v>
      </c>
      <c r="AE33" s="192">
        <f t="shared" si="9"/>
        <v>129.70326769281922</v>
      </c>
      <c r="AF33" s="192">
        <f t="shared" si="9"/>
        <v>131.51911344051871</v>
      </c>
      <c r="AG33" s="192">
        <f t="shared" si="9"/>
        <v>133.36038102868596</v>
      </c>
      <c r="AH33" s="192">
        <f t="shared" si="9"/>
        <v>135.22742636308757</v>
      </c>
    </row>
    <row r="34" spans="1:35" s="67" customFormat="1">
      <c r="A34" s="755" t="s">
        <v>257</v>
      </c>
      <c r="B34" s="58" t="s">
        <v>258</v>
      </c>
      <c r="C34" s="59" t="s">
        <v>153</v>
      </c>
      <c r="D34" s="60">
        <f>D26*('Demand Breakdown - Ethylene'!$C$73)</f>
        <v>74.910171646535289</v>
      </c>
      <c r="E34" s="60" t="e">
        <f>E26*('Demand Breakdown - Ethylene'!$C$73)-E$27/'R&amp;S - Packaging and hh goods'!$C$7*'R&amp;S - Packaging and hh goods'!$S7-E$28/'R&amp;S - Packaging and hh goods'!$C$8*'R&amp;S - Packaging and hh goods'!$S8-E$30/'R&amp;S - Packaging and hh goods'!$C$9*'R&amp;S - Packaging and hh goods'!$S9-E$31/'R&amp;S - Packaging and hh goods'!$C$10*'R&amp;S - Packaging and hh goods'!$S10</f>
        <v>#DIV/0!</v>
      </c>
      <c r="F34" s="60" t="e">
        <f>F26*('Demand Breakdown - Ethylene'!$C$73)-F$27/'R&amp;S - Packaging and hh goods'!$C$7*'R&amp;S - Packaging and hh goods'!$S7-F$28/'R&amp;S - Packaging and hh goods'!$C$8*'R&amp;S - Packaging and hh goods'!$S8-F$30/'R&amp;S - Packaging and hh goods'!$C$9*'R&amp;S - Packaging and hh goods'!$S9-F$31/'R&amp;S - Packaging and hh goods'!$C$10*'R&amp;S - Packaging and hh goods'!$S10</f>
        <v>#DIV/0!</v>
      </c>
      <c r="G34" s="60" t="e">
        <f>G26*('Demand Breakdown - Ethylene'!$C$73)-G$27/'R&amp;S - Packaging and hh goods'!$C$7*'R&amp;S - Packaging and hh goods'!$S7-G$28/'R&amp;S - Packaging and hh goods'!$C$8*'R&amp;S - Packaging and hh goods'!$S8-G$30/'R&amp;S - Packaging and hh goods'!$C$9*'R&amp;S - Packaging and hh goods'!$S9-G$31/'R&amp;S - Packaging and hh goods'!$C$10*'R&amp;S - Packaging and hh goods'!$S10</f>
        <v>#DIV/0!</v>
      </c>
      <c r="H34" s="60" t="e">
        <f>H26*('Demand Breakdown - Ethylene'!$C$73)-H$27/'R&amp;S - Packaging and hh goods'!$C$7*'R&amp;S - Packaging and hh goods'!$S7-H$28/'R&amp;S - Packaging and hh goods'!$C$8*'R&amp;S - Packaging and hh goods'!$S8-H$30/'R&amp;S - Packaging and hh goods'!$C$9*'R&amp;S - Packaging and hh goods'!$S9-H$31/'R&amp;S - Packaging and hh goods'!$C$10*'R&amp;S - Packaging and hh goods'!$S10</f>
        <v>#DIV/0!</v>
      </c>
      <c r="I34" s="60" t="e">
        <f>I26*('Demand Breakdown - Ethylene'!$C$73)-I$27/'R&amp;S - Packaging and hh goods'!$C$7*'R&amp;S - Packaging and hh goods'!$S7-I$28/'R&amp;S - Packaging and hh goods'!$C$8*'R&amp;S - Packaging and hh goods'!$S8-I$30/'R&amp;S - Packaging and hh goods'!$C$9*'R&amp;S - Packaging and hh goods'!$S9-I$31/'R&amp;S - Packaging and hh goods'!$C$10*'R&amp;S - Packaging and hh goods'!$S10</f>
        <v>#DIV/0!</v>
      </c>
      <c r="J34" s="60" t="e">
        <f>J26*('Demand Breakdown - Ethylene'!$C$73)-J$27/'R&amp;S - Packaging and hh goods'!$C$7*'R&amp;S - Packaging and hh goods'!$S7-J$28/'R&amp;S - Packaging and hh goods'!$C$8*'R&amp;S - Packaging and hh goods'!$S8-J$30/'R&amp;S - Packaging and hh goods'!$C$9*'R&amp;S - Packaging and hh goods'!$S9-J$31/'R&amp;S - Packaging and hh goods'!$C$10*'R&amp;S - Packaging and hh goods'!$S10</f>
        <v>#DIV/0!</v>
      </c>
      <c r="K34" s="60" t="e">
        <f>K26*('Demand Breakdown - Ethylene'!$C$73)-K$27/'R&amp;S - Packaging and hh goods'!$C$7*'R&amp;S - Packaging and hh goods'!$S7-K$28/'R&amp;S - Packaging and hh goods'!$C$8*'R&amp;S - Packaging and hh goods'!$S8-K$30/'R&amp;S - Packaging and hh goods'!$C$9*'R&amp;S - Packaging and hh goods'!$S9-K$31/'R&amp;S - Packaging and hh goods'!$C$10*'R&amp;S - Packaging and hh goods'!$S10</f>
        <v>#DIV/0!</v>
      </c>
      <c r="L34" s="60" t="e">
        <f>L26*('Demand Breakdown - Ethylene'!$C$73)-L$27/'R&amp;S - Packaging and hh goods'!$C$7*'R&amp;S - Packaging and hh goods'!$S7-L$28/'R&amp;S - Packaging and hh goods'!$C$8*'R&amp;S - Packaging and hh goods'!$S8-L$30/'R&amp;S - Packaging and hh goods'!$C$9*'R&amp;S - Packaging and hh goods'!$S9-L$31/'R&amp;S - Packaging and hh goods'!$C$10*'R&amp;S - Packaging and hh goods'!$S10</f>
        <v>#DIV/0!</v>
      </c>
      <c r="M34" s="60" t="e">
        <f>M26*('Demand Breakdown - Ethylene'!$C$73)-M$27/'R&amp;S - Packaging and hh goods'!$C$7*'R&amp;S - Packaging and hh goods'!$S7-M$28/'R&amp;S - Packaging and hh goods'!$C$8*'R&amp;S - Packaging and hh goods'!$S8-M$30/'R&amp;S - Packaging and hh goods'!$C$9*'R&amp;S - Packaging and hh goods'!$S9-M$31/'R&amp;S - Packaging and hh goods'!$C$10*'R&amp;S - Packaging and hh goods'!$S10</f>
        <v>#DIV/0!</v>
      </c>
      <c r="N34" s="60" t="e">
        <f>N26*('Demand Breakdown - Ethylene'!$C$73)-N$27/'R&amp;S - Packaging and hh goods'!$C$7*'R&amp;S - Packaging and hh goods'!$S7-N$28/'R&amp;S - Packaging and hh goods'!$C$8*'R&amp;S - Packaging and hh goods'!$S8-N$30/'R&amp;S - Packaging and hh goods'!$C$9*'R&amp;S - Packaging and hh goods'!$S9-N$31/'R&amp;S - Packaging and hh goods'!$C$10*'R&amp;S - Packaging and hh goods'!$S10</f>
        <v>#DIV/0!</v>
      </c>
      <c r="O34" s="60" t="e">
        <f>O26*('Demand Breakdown - Ethylene'!$C$73)-O$27/'R&amp;S - Packaging and hh goods'!$C$7*'R&amp;S - Packaging and hh goods'!$S7-O$28/'R&amp;S - Packaging and hh goods'!$C$8*'R&amp;S - Packaging and hh goods'!$S8-O$30/'R&amp;S - Packaging and hh goods'!$C$9*'R&amp;S - Packaging and hh goods'!$S9-O$31/'R&amp;S - Packaging and hh goods'!$C$10*'R&amp;S - Packaging and hh goods'!$S10</f>
        <v>#DIV/0!</v>
      </c>
      <c r="P34" s="60" t="e">
        <f>P26*('Demand Breakdown - Ethylene'!$C$73)-P$27/'R&amp;S - Packaging and hh goods'!$C$7*'R&amp;S - Packaging and hh goods'!$S7-P$28/'R&amp;S - Packaging and hh goods'!$C$8*'R&amp;S - Packaging and hh goods'!$S8-P$30/'R&amp;S - Packaging and hh goods'!$C$9*'R&amp;S - Packaging and hh goods'!$S9-P$31/'R&amp;S - Packaging and hh goods'!$C$10*'R&amp;S - Packaging and hh goods'!$S10</f>
        <v>#DIV/0!</v>
      </c>
      <c r="Q34" s="60" t="e">
        <f>Q26*('Demand Breakdown - Ethylene'!$C$73)-Q$27/'R&amp;S - Packaging and hh goods'!$C$7*'R&amp;S - Packaging and hh goods'!$S7-Q$28/'R&amp;S - Packaging and hh goods'!$C$8*'R&amp;S - Packaging and hh goods'!$S8-Q$30/'R&amp;S - Packaging and hh goods'!$C$9*'R&amp;S - Packaging and hh goods'!$S9-Q$31/'R&amp;S - Packaging and hh goods'!$C$10*'R&amp;S - Packaging and hh goods'!$S10</f>
        <v>#DIV/0!</v>
      </c>
      <c r="R34" s="60" t="e">
        <f>R26*('Demand Breakdown - Ethylene'!$C$73)-R$27/'R&amp;S - Packaging and hh goods'!$C$7*'R&amp;S - Packaging and hh goods'!$S7-R$28/'R&amp;S - Packaging and hh goods'!$C$8*'R&amp;S - Packaging and hh goods'!$S8-R$30/'R&amp;S - Packaging and hh goods'!$C$9*'R&amp;S - Packaging and hh goods'!$S9-R$31/'R&amp;S - Packaging and hh goods'!$C$10*'R&amp;S - Packaging and hh goods'!$S10</f>
        <v>#DIV/0!</v>
      </c>
      <c r="S34" s="60" t="e">
        <f>S26*('Demand Breakdown - Ethylene'!$C$73)-S$27/'R&amp;S - Packaging and hh goods'!$C$7*'R&amp;S - Packaging and hh goods'!$S7-S$28/'R&amp;S - Packaging and hh goods'!$C$8*'R&amp;S - Packaging and hh goods'!$S8-S$30/'R&amp;S - Packaging and hh goods'!$C$9*'R&amp;S - Packaging and hh goods'!$S9-S$31/'R&amp;S - Packaging and hh goods'!$C$10*'R&amp;S - Packaging and hh goods'!$S10</f>
        <v>#DIV/0!</v>
      </c>
      <c r="T34" s="60" t="e">
        <f>T26*('Demand Breakdown - Ethylene'!$C$73)-T$27/'R&amp;S - Packaging and hh goods'!$C$7*'R&amp;S - Packaging and hh goods'!$S7-T$28/'R&amp;S - Packaging and hh goods'!$C$8*'R&amp;S - Packaging and hh goods'!$S8-T$30/'R&amp;S - Packaging and hh goods'!$C$9*'R&amp;S - Packaging and hh goods'!$S9-T$31/'R&amp;S - Packaging and hh goods'!$C$10*'R&amp;S - Packaging and hh goods'!$S10</f>
        <v>#DIV/0!</v>
      </c>
      <c r="U34" s="60" t="e">
        <f>U26*('Demand Breakdown - Ethylene'!$C$73)-U$27/'R&amp;S - Packaging and hh goods'!$C$7*'R&amp;S - Packaging and hh goods'!$S7-U$28/'R&amp;S - Packaging and hh goods'!$C$8*'R&amp;S - Packaging and hh goods'!$S8-U$30/'R&amp;S - Packaging and hh goods'!$C$9*'R&amp;S - Packaging and hh goods'!$S9-U$31/'R&amp;S - Packaging and hh goods'!$C$10*'R&amp;S - Packaging and hh goods'!$S10</f>
        <v>#DIV/0!</v>
      </c>
      <c r="V34" s="60" t="e">
        <f>V26*('Demand Breakdown - Ethylene'!$C$73)-V$27/'R&amp;S - Packaging and hh goods'!$C$7*'R&amp;S - Packaging and hh goods'!$S7-V$28/'R&amp;S - Packaging and hh goods'!$C$8*'R&amp;S - Packaging and hh goods'!$S8-V$30/'R&amp;S - Packaging and hh goods'!$C$9*'R&amp;S - Packaging and hh goods'!$S9-V$31/'R&amp;S - Packaging and hh goods'!$C$10*'R&amp;S - Packaging and hh goods'!$S10</f>
        <v>#DIV/0!</v>
      </c>
      <c r="W34" s="60" t="e">
        <f>W26*('Demand Breakdown - Ethylene'!$C$73)-W$27/'R&amp;S - Packaging and hh goods'!$C$7*'R&amp;S - Packaging and hh goods'!$S7-W$28/'R&amp;S - Packaging and hh goods'!$C$8*'R&amp;S - Packaging and hh goods'!$S8-W$30/'R&amp;S - Packaging and hh goods'!$C$9*'R&amp;S - Packaging and hh goods'!$S9-W$31/'R&amp;S - Packaging and hh goods'!$C$10*'R&amp;S - Packaging and hh goods'!$S10</f>
        <v>#DIV/0!</v>
      </c>
      <c r="X34" s="60" t="e">
        <f>X26*('Demand Breakdown - Ethylene'!$C$73)-X$27/'R&amp;S - Packaging and hh goods'!$C$7*'R&amp;S - Packaging and hh goods'!$S7-X$28/'R&amp;S - Packaging and hh goods'!$C$8*'R&amp;S - Packaging and hh goods'!$S8-X$30/'R&amp;S - Packaging and hh goods'!$C$9*'R&amp;S - Packaging and hh goods'!$S9-X$31/'R&amp;S - Packaging and hh goods'!$C$10*'R&amp;S - Packaging and hh goods'!$S10</f>
        <v>#DIV/0!</v>
      </c>
      <c r="Y34" s="60" t="e">
        <f>Y26*('Demand Breakdown - Ethylene'!$C$73)-Y$27/'R&amp;S - Packaging and hh goods'!$C$7*'R&amp;S - Packaging and hh goods'!$S7-Y$28/'R&amp;S - Packaging and hh goods'!$C$8*'R&amp;S - Packaging and hh goods'!$S8-Y$30/'R&amp;S - Packaging and hh goods'!$C$9*'R&amp;S - Packaging and hh goods'!$S9-Y$31/'R&amp;S - Packaging and hh goods'!$C$10*'R&amp;S - Packaging and hh goods'!$S10</f>
        <v>#DIV/0!</v>
      </c>
      <c r="Z34" s="60" t="e">
        <f>Z26*('Demand Breakdown - Ethylene'!$C$73)-Z$27/'R&amp;S - Packaging and hh goods'!$C$7*'R&amp;S - Packaging and hh goods'!$S7-Z$28/'R&amp;S - Packaging and hh goods'!$C$8*'R&amp;S - Packaging and hh goods'!$S8-Z$30/'R&amp;S - Packaging and hh goods'!$C$9*'R&amp;S - Packaging and hh goods'!$S9-Z$31/'R&amp;S - Packaging and hh goods'!$C$10*'R&amp;S - Packaging and hh goods'!$S10</f>
        <v>#DIV/0!</v>
      </c>
      <c r="AA34" s="60" t="e">
        <f>AA26*('Demand Breakdown - Ethylene'!$C$73)-AA$27/'R&amp;S - Packaging and hh goods'!$C$7*'R&amp;S - Packaging and hh goods'!$S7-AA$28/'R&amp;S - Packaging and hh goods'!$C$8*'R&amp;S - Packaging and hh goods'!$S8-AA$30/'R&amp;S - Packaging and hh goods'!$C$9*'R&amp;S - Packaging and hh goods'!$S9-AA$31/'R&amp;S - Packaging and hh goods'!$C$10*'R&amp;S - Packaging and hh goods'!$S10</f>
        <v>#DIV/0!</v>
      </c>
      <c r="AB34" s="60" t="e">
        <f>AB26*('Demand Breakdown - Ethylene'!$C$73)-AB$27/'R&amp;S - Packaging and hh goods'!$C$7*'R&amp;S - Packaging and hh goods'!$S7-AB$28/'R&amp;S - Packaging and hh goods'!$C$8*'R&amp;S - Packaging and hh goods'!$S8-AB$30/'R&amp;S - Packaging and hh goods'!$C$9*'R&amp;S - Packaging and hh goods'!$S9-AB$31/'R&amp;S - Packaging and hh goods'!$C$10*'R&amp;S - Packaging and hh goods'!$S10</f>
        <v>#DIV/0!</v>
      </c>
      <c r="AC34" s="60" t="e">
        <f>AC26*('Demand Breakdown - Ethylene'!$C$73)-AC$27/'R&amp;S - Packaging and hh goods'!$C$7*'R&amp;S - Packaging and hh goods'!$S7-AC$28/'R&amp;S - Packaging and hh goods'!$C$8*'R&amp;S - Packaging and hh goods'!$S8-AC$30/'R&amp;S - Packaging and hh goods'!$C$9*'R&amp;S - Packaging and hh goods'!$S9-AC$31/'R&amp;S - Packaging and hh goods'!$C$10*'R&amp;S - Packaging and hh goods'!$S10</f>
        <v>#DIV/0!</v>
      </c>
      <c r="AD34" s="60" t="e">
        <f>AD26*('Demand Breakdown - Ethylene'!$C$73)-AD$27/'R&amp;S - Packaging and hh goods'!$C$7*'R&amp;S - Packaging and hh goods'!$S7-AD$28/'R&amp;S - Packaging and hh goods'!$C$8*'R&amp;S - Packaging and hh goods'!$S8-AD$30/'R&amp;S - Packaging and hh goods'!$C$9*'R&amp;S - Packaging and hh goods'!$S9-AD$31/'R&amp;S - Packaging and hh goods'!$C$10*'R&amp;S - Packaging and hh goods'!$S10</f>
        <v>#DIV/0!</v>
      </c>
      <c r="AE34" s="60" t="e">
        <f>AE26*('Demand Breakdown - Ethylene'!$C$73)-AE$27/'R&amp;S - Packaging and hh goods'!$C$7*'R&amp;S - Packaging and hh goods'!$S7-AE$28/'R&amp;S - Packaging and hh goods'!$C$8*'R&amp;S - Packaging and hh goods'!$S8-AE$30/'R&amp;S - Packaging and hh goods'!$C$9*'R&amp;S - Packaging and hh goods'!$S9-AE$31/'R&amp;S - Packaging and hh goods'!$C$10*'R&amp;S - Packaging and hh goods'!$S10</f>
        <v>#DIV/0!</v>
      </c>
      <c r="AF34" s="60" t="e">
        <f>AF26*('Demand Breakdown - Ethylene'!$C$73)-AF$27/'R&amp;S - Packaging and hh goods'!$C$7*'R&amp;S - Packaging and hh goods'!$S7-AF$28/'R&amp;S - Packaging and hh goods'!$C$8*'R&amp;S - Packaging and hh goods'!$S8-AF$30/'R&amp;S - Packaging and hh goods'!$C$9*'R&amp;S - Packaging and hh goods'!$S9-AF$31/'R&amp;S - Packaging and hh goods'!$C$10*'R&amp;S - Packaging and hh goods'!$S10</f>
        <v>#DIV/0!</v>
      </c>
      <c r="AG34" s="60" t="e">
        <f>AG26*('Demand Breakdown - Ethylene'!$C$73)-AG$27/'R&amp;S - Packaging and hh goods'!$C$7*'R&amp;S - Packaging and hh goods'!$S7-AG$28/'R&amp;S - Packaging and hh goods'!$C$8*'R&amp;S - Packaging and hh goods'!$S8-AG$30/'R&amp;S - Packaging and hh goods'!$C$9*'R&amp;S - Packaging and hh goods'!$S9-AG$31/'R&amp;S - Packaging and hh goods'!$C$10*'R&amp;S - Packaging and hh goods'!$S10</f>
        <v>#DIV/0!</v>
      </c>
      <c r="AH34" s="60" t="e">
        <f>AH26*('Demand Breakdown - Ethylene'!$C$73)-AH$27/'R&amp;S - Packaging and hh goods'!$C$7*'R&amp;S - Packaging and hh goods'!$S7-AH$28/'R&amp;S - Packaging and hh goods'!$C$8*'R&amp;S - Packaging and hh goods'!$S8-AH$30/'R&amp;S - Packaging and hh goods'!$C$9*'R&amp;S - Packaging and hh goods'!$S9-AH$31/'R&amp;S - Packaging and hh goods'!$C$10*'R&amp;S - Packaging and hh goods'!$S10</f>
        <v>#DIV/0!</v>
      </c>
      <c r="AI34" s="60"/>
    </row>
    <row r="35" spans="1:35">
      <c r="A35" s="756"/>
      <c r="B35" s="1" t="s">
        <v>260</v>
      </c>
      <c r="C35" s="54" t="s">
        <v>153</v>
      </c>
      <c r="D35" s="44">
        <f>D39/('Demand Breakdown - Ethylene'!$K$14)</f>
        <v>10.180685222672066</v>
      </c>
      <c r="E35" s="44">
        <f>E39/('Demand Breakdown - Ethylene'!$K$14)</f>
        <v>10.323214815789475</v>
      </c>
      <c r="F35" s="44">
        <f>F39/('Demand Breakdown - Ethylene'!$K$14)</f>
        <v>10.467739823210529</v>
      </c>
      <c r="G35" s="44">
        <f>G39/('Demand Breakdown - Ethylene'!$K$14)</f>
        <v>10.614288180735477</v>
      </c>
      <c r="H35" s="44">
        <f>H39/('Demand Breakdown - Ethylene'!$K$14)</f>
        <v>10.762888215265773</v>
      </c>
      <c r="I35" s="44">
        <f>I39/('Demand Breakdown - Ethylene'!$K$14)</f>
        <v>10.913568650279494</v>
      </c>
      <c r="J35" s="44">
        <f>J39/('Demand Breakdown - Ethylene'!$K$14)</f>
        <v>11.066358611383407</v>
      </c>
      <c r="K35" s="44">
        <f>K39/('Demand Breakdown - Ethylene'!$K$14)</f>
        <v>11.221287631942776</v>
      </c>
      <c r="L35" s="44">
        <f>L39/('Demand Breakdown - Ethylene'!$K$14)</f>
        <v>11.378385658789973</v>
      </c>
      <c r="M35" s="44">
        <f>M39/('Demand Breakdown - Ethylene'!$K$14)</f>
        <v>11.537683058013034</v>
      </c>
      <c r="N35" s="44">
        <f>N39/('Demand Breakdown - Ethylene'!$K$14)</f>
        <v>11.699210620825216</v>
      </c>
      <c r="O35" s="44">
        <f>O39/('Demand Breakdown - Ethylene'!$K$14)</f>
        <v>11.862999569516768</v>
      </c>
      <c r="P35" s="44">
        <f>P39/('Demand Breakdown - Ethylene'!$K$14)</f>
        <v>12.029081563490005</v>
      </c>
      <c r="Q35" s="44">
        <f>Q39/('Demand Breakdown - Ethylene'!$K$14)</f>
        <v>12.197488705378865</v>
      </c>
      <c r="R35" s="44">
        <f>R39/('Demand Breakdown - Ethylene'!$K$14)</f>
        <v>12.368253547254168</v>
      </c>
      <c r="S35" s="44">
        <f>S39/('Demand Breakdown - Ethylene'!$K$14)</f>
        <v>12.541409096915727</v>
      </c>
      <c r="T35" s="44">
        <f>T39/('Demand Breakdown - Ethylene'!$K$14)</f>
        <v>12.716988824272548</v>
      </c>
      <c r="U35" s="44">
        <f>U39/('Demand Breakdown - Ethylene'!$K$14)</f>
        <v>12.895026667812365</v>
      </c>
      <c r="V35" s="44">
        <f>V39/('Demand Breakdown - Ethylene'!$K$14)</f>
        <v>13.075557041161737</v>
      </c>
      <c r="W35" s="44">
        <f>W39/('Demand Breakdown - Ethylene'!$K$14)</f>
        <v>13.258614839738003</v>
      </c>
      <c r="X35" s="44">
        <f>X39/('Demand Breakdown - Ethylene'!$K$14)</f>
        <v>13.444235447494334</v>
      </c>
      <c r="Y35" s="44">
        <f>Y39/('Demand Breakdown - Ethylene'!$K$14)</f>
        <v>13.632454743759256</v>
      </c>
      <c r="Z35" s="44">
        <f>Z39/('Demand Breakdown - Ethylene'!$K$14)</f>
        <v>13.823309110171884</v>
      </c>
      <c r="AA35" s="44">
        <f>AA39/('Demand Breakdown - Ethylene'!$K$14)</f>
        <v>14.016835437714294</v>
      </c>
      <c r="AB35" s="44">
        <f>AB39/('Demand Breakdown - Ethylene'!$K$14)</f>
        <v>14.213071133842291</v>
      </c>
      <c r="AC35" s="44">
        <f>AC39/('Demand Breakdown - Ethylene'!$K$14)</f>
        <v>14.412054129716083</v>
      </c>
      <c r="AD35" s="44">
        <f>AD39/('Demand Breakdown - Ethylene'!$K$14)</f>
        <v>14.613822887532107</v>
      </c>
      <c r="AE35" s="44">
        <f>AE39/('Demand Breakdown - Ethylene'!$K$14)</f>
        <v>14.81841640795756</v>
      </c>
      <c r="AF35" s="44">
        <f>AF39/('Demand Breakdown - Ethylene'!$K$14)</f>
        <v>15.025874237668967</v>
      </c>
      <c r="AG35" s="44">
        <f>AG39/('Demand Breakdown - Ethylene'!$K$14)</f>
        <v>15.236236476996332</v>
      </c>
      <c r="AH35" s="44">
        <f>AH39/('Demand Breakdown - Ethylene'!$K$14)</f>
        <v>15.44954378767428</v>
      </c>
      <c r="AI35" s="44"/>
    </row>
    <row r="36" spans="1:35">
      <c r="A36" s="756"/>
      <c r="B36" s="1" t="s">
        <v>262</v>
      </c>
      <c r="C36" s="54" t="s">
        <v>153</v>
      </c>
      <c r="D36" s="44">
        <f>D38/('Demand Breakdown - Ethylene'!$M$14)</f>
        <v>2.502958579881656</v>
      </c>
      <c r="E36" s="44" t="e">
        <f>E38/('Demand Breakdown - Ethylene'!$M$14)</f>
        <v>#DIV/0!</v>
      </c>
      <c r="F36" s="44" t="e">
        <f>F38/('Demand Breakdown - Ethylene'!$M$14)</f>
        <v>#DIV/0!</v>
      </c>
      <c r="G36" s="44" t="e">
        <f>G38/('Demand Breakdown - Ethylene'!$M$14)</f>
        <v>#DIV/0!</v>
      </c>
      <c r="H36" s="44" t="e">
        <f>H38/('Demand Breakdown - Ethylene'!$M$14)</f>
        <v>#DIV/0!</v>
      </c>
      <c r="I36" s="44" t="e">
        <f>I38/('Demand Breakdown - Ethylene'!$M$14)</f>
        <v>#DIV/0!</v>
      </c>
      <c r="J36" s="44" t="e">
        <f>J38/('Demand Breakdown - Ethylene'!$M$14)</f>
        <v>#DIV/0!</v>
      </c>
      <c r="K36" s="44" t="e">
        <f>K38/('Demand Breakdown - Ethylene'!$M$14)</f>
        <v>#DIV/0!</v>
      </c>
      <c r="L36" s="44" t="e">
        <f>L38/('Demand Breakdown - Ethylene'!$M$14)</f>
        <v>#DIV/0!</v>
      </c>
      <c r="M36" s="44" t="e">
        <f>M38/('Demand Breakdown - Ethylene'!$M$14)</f>
        <v>#DIV/0!</v>
      </c>
      <c r="N36" s="44" t="e">
        <f>N38/('Demand Breakdown - Ethylene'!$M$14)</f>
        <v>#DIV/0!</v>
      </c>
      <c r="O36" s="44" t="e">
        <f>O38/('Demand Breakdown - Ethylene'!$M$14)</f>
        <v>#DIV/0!</v>
      </c>
      <c r="P36" s="44" t="e">
        <f>P38/('Demand Breakdown - Ethylene'!$M$14)</f>
        <v>#DIV/0!</v>
      </c>
      <c r="Q36" s="44" t="e">
        <f>Q38/('Demand Breakdown - Ethylene'!$M$14)</f>
        <v>#DIV/0!</v>
      </c>
      <c r="R36" s="44" t="e">
        <f>R38/('Demand Breakdown - Ethylene'!$M$14)</f>
        <v>#DIV/0!</v>
      </c>
      <c r="S36" s="44" t="e">
        <f>S38/('Demand Breakdown - Ethylene'!$M$14)</f>
        <v>#DIV/0!</v>
      </c>
      <c r="T36" s="44" t="e">
        <f>T38/('Demand Breakdown - Ethylene'!$M$14)</f>
        <v>#DIV/0!</v>
      </c>
      <c r="U36" s="44" t="e">
        <f>U38/('Demand Breakdown - Ethylene'!$M$14)</f>
        <v>#DIV/0!</v>
      </c>
      <c r="V36" s="44" t="e">
        <f>V38/('Demand Breakdown - Ethylene'!$M$14)</f>
        <v>#DIV/0!</v>
      </c>
      <c r="W36" s="44" t="e">
        <f>W38/('Demand Breakdown - Ethylene'!$M$14)</f>
        <v>#DIV/0!</v>
      </c>
      <c r="X36" s="44" t="e">
        <f>X38/('Demand Breakdown - Ethylene'!$M$14)</f>
        <v>#DIV/0!</v>
      </c>
      <c r="Y36" s="44" t="e">
        <f>Y38/('Demand Breakdown - Ethylene'!$M$14)</f>
        <v>#DIV/0!</v>
      </c>
      <c r="Z36" s="44" t="e">
        <f>Z38/('Demand Breakdown - Ethylene'!$M$14)</f>
        <v>#DIV/0!</v>
      </c>
      <c r="AA36" s="44" t="e">
        <f>AA38/('Demand Breakdown - Ethylene'!$M$14)</f>
        <v>#DIV/0!</v>
      </c>
      <c r="AB36" s="44" t="e">
        <f>AB38/('Demand Breakdown - Ethylene'!$M$14)</f>
        <v>#DIV/0!</v>
      </c>
      <c r="AC36" s="44" t="e">
        <f>AC38/('Demand Breakdown - Ethylene'!$M$14)</f>
        <v>#DIV/0!</v>
      </c>
      <c r="AD36" s="44" t="e">
        <f>AD38/('Demand Breakdown - Ethylene'!$M$14)</f>
        <v>#DIV/0!</v>
      </c>
      <c r="AE36" s="44" t="e">
        <f>AE38/('Demand Breakdown - Ethylene'!$M$14)</f>
        <v>#DIV/0!</v>
      </c>
      <c r="AF36" s="44" t="e">
        <f>AF38/('Demand Breakdown - Ethylene'!$M$14)</f>
        <v>#DIV/0!</v>
      </c>
      <c r="AG36" s="44" t="e">
        <f>AG38/('Demand Breakdown - Ethylene'!$M$14)</f>
        <v>#DIV/0!</v>
      </c>
      <c r="AH36" s="44" t="e">
        <f>AH38/('Demand Breakdown - Ethylene'!$M$14)</f>
        <v>#DIV/0!</v>
      </c>
      <c r="AI36" s="44"/>
    </row>
    <row r="37" spans="1:35" s="68" customFormat="1">
      <c r="A37" s="757"/>
      <c r="B37" s="62" t="s">
        <v>248</v>
      </c>
      <c r="C37" s="283" t="s">
        <v>153</v>
      </c>
      <c r="D37" s="284">
        <f>D33-SUM(D35,D34,D36)</f>
        <v>1.516120753234631</v>
      </c>
      <c r="E37" s="284" t="e">
        <f>E33-E34-E35-E36</f>
        <v>#DIV/0!</v>
      </c>
      <c r="F37" s="284" t="e">
        <f t="shared" ref="F37:AG37" si="10">F33-F34-F35-F36</f>
        <v>#DIV/0!</v>
      </c>
      <c r="G37" s="284" t="e">
        <f t="shared" si="10"/>
        <v>#DIV/0!</v>
      </c>
      <c r="H37" s="284" t="e">
        <f t="shared" si="10"/>
        <v>#DIV/0!</v>
      </c>
      <c r="I37" s="284" t="e">
        <f t="shared" si="10"/>
        <v>#DIV/0!</v>
      </c>
      <c r="J37" s="284" t="e">
        <f t="shared" si="10"/>
        <v>#DIV/0!</v>
      </c>
      <c r="K37" s="284" t="e">
        <f t="shared" si="10"/>
        <v>#DIV/0!</v>
      </c>
      <c r="L37" s="284" t="e">
        <f t="shared" si="10"/>
        <v>#DIV/0!</v>
      </c>
      <c r="M37" s="284" t="e">
        <f t="shared" si="10"/>
        <v>#DIV/0!</v>
      </c>
      <c r="N37" s="284" t="e">
        <f t="shared" si="10"/>
        <v>#DIV/0!</v>
      </c>
      <c r="O37" s="284" t="e">
        <f t="shared" si="10"/>
        <v>#DIV/0!</v>
      </c>
      <c r="P37" s="284" t="e">
        <f t="shared" si="10"/>
        <v>#DIV/0!</v>
      </c>
      <c r="Q37" s="284" t="e">
        <f t="shared" si="10"/>
        <v>#DIV/0!</v>
      </c>
      <c r="R37" s="284" t="e">
        <f t="shared" si="10"/>
        <v>#DIV/0!</v>
      </c>
      <c r="S37" s="284" t="e">
        <f t="shared" si="10"/>
        <v>#DIV/0!</v>
      </c>
      <c r="T37" s="284" t="e">
        <f t="shared" si="10"/>
        <v>#DIV/0!</v>
      </c>
      <c r="U37" s="284" t="e">
        <f t="shared" si="10"/>
        <v>#DIV/0!</v>
      </c>
      <c r="V37" s="284" t="e">
        <f t="shared" si="10"/>
        <v>#DIV/0!</v>
      </c>
      <c r="W37" s="284" t="e">
        <f t="shared" si="10"/>
        <v>#DIV/0!</v>
      </c>
      <c r="X37" s="284" t="e">
        <f t="shared" si="10"/>
        <v>#DIV/0!</v>
      </c>
      <c r="Y37" s="284" t="e">
        <f t="shared" si="10"/>
        <v>#DIV/0!</v>
      </c>
      <c r="Z37" s="284" t="e">
        <f t="shared" si="10"/>
        <v>#DIV/0!</v>
      </c>
      <c r="AA37" s="284" t="e">
        <f t="shared" si="10"/>
        <v>#DIV/0!</v>
      </c>
      <c r="AB37" s="284" t="e">
        <f t="shared" si="10"/>
        <v>#DIV/0!</v>
      </c>
      <c r="AC37" s="284" t="e">
        <f t="shared" si="10"/>
        <v>#DIV/0!</v>
      </c>
      <c r="AD37" s="284" t="e">
        <f t="shared" si="10"/>
        <v>#DIV/0!</v>
      </c>
      <c r="AE37" s="284" t="e">
        <f t="shared" si="10"/>
        <v>#DIV/0!</v>
      </c>
      <c r="AF37" s="284" t="e">
        <f t="shared" si="10"/>
        <v>#DIV/0!</v>
      </c>
      <c r="AG37" s="284" t="e">
        <f t="shared" si="10"/>
        <v>#DIV/0!</v>
      </c>
      <c r="AH37" s="284" t="e">
        <f>AH33-AH34-AH35-AH36</f>
        <v>#DIV/0!</v>
      </c>
      <c r="AI37" s="284"/>
    </row>
    <row r="38" spans="1:35" s="67" customFormat="1">
      <c r="A38" s="755" t="s">
        <v>263</v>
      </c>
      <c r="B38" s="58" t="s">
        <v>264</v>
      </c>
      <c r="C38" s="59" t="s">
        <v>153</v>
      </c>
      <c r="D38" s="60">
        <f>D33*'Demand Breakdown - Ethylene'!$E$73</f>
        <v>2.4028402366863899</v>
      </c>
      <c r="E38" s="60" t="e">
        <f>E26*'Demand Breakdown - Ethylene'!$E$73-E$27/'R&amp;S - Packaging and hh goods'!$C$7*'R&amp;S - Packaging and hh goods'!$U9-E$28/'R&amp;S - Packaging and hh goods'!$C$8*'R&amp;S - Packaging and hh goods'!$U10-E$30/'R&amp;S - Packaging and hh goods'!$C$9*'R&amp;S - Packaging and hh goods'!$U11-E$31/'R&amp;S - Packaging and hh goods'!$C$10*'R&amp;S - Packaging and hh goods'!$U12</f>
        <v>#DIV/0!</v>
      </c>
      <c r="F38" s="60" t="e">
        <f>F26*'Demand Breakdown - Ethylene'!$E$73-F$27/'R&amp;S - Packaging and hh goods'!$C$7*'R&amp;S - Packaging and hh goods'!$U9-F$28/'R&amp;S - Packaging and hh goods'!$C$8*'R&amp;S - Packaging and hh goods'!$U10-F$30/'R&amp;S - Packaging and hh goods'!$C$9*'R&amp;S - Packaging and hh goods'!$U11-F$31/'R&amp;S - Packaging and hh goods'!$C$10*'R&amp;S - Packaging and hh goods'!$U12</f>
        <v>#DIV/0!</v>
      </c>
      <c r="G38" s="60" t="e">
        <f>G26*'Demand Breakdown - Ethylene'!$E$73-G$27/'R&amp;S - Packaging and hh goods'!$C$7*'R&amp;S - Packaging and hh goods'!$U9-G$28/'R&amp;S - Packaging and hh goods'!$C$8*'R&amp;S - Packaging and hh goods'!$U10-G$30/'R&amp;S - Packaging and hh goods'!$C$9*'R&amp;S - Packaging and hh goods'!$U11-G$31/'R&amp;S - Packaging and hh goods'!$C$10*'R&amp;S - Packaging and hh goods'!$U12</f>
        <v>#DIV/0!</v>
      </c>
      <c r="H38" s="60" t="e">
        <f>H26*'Demand Breakdown - Ethylene'!$E$73-H$27/'R&amp;S - Packaging and hh goods'!$C$7*'R&amp;S - Packaging and hh goods'!$U9-H$28/'R&amp;S - Packaging and hh goods'!$C$8*'R&amp;S - Packaging and hh goods'!$U10-H$30/'R&amp;S - Packaging and hh goods'!$C$9*'R&amp;S - Packaging and hh goods'!$U11-H$31/'R&amp;S - Packaging and hh goods'!$C$10*'R&amp;S - Packaging and hh goods'!$U12</f>
        <v>#DIV/0!</v>
      </c>
      <c r="I38" s="60" t="e">
        <f>I26*'Demand Breakdown - Ethylene'!$E$73-I$27/'R&amp;S - Packaging and hh goods'!$C$7*'R&amp;S - Packaging and hh goods'!$U9-I$28/'R&amp;S - Packaging and hh goods'!$C$8*'R&amp;S - Packaging and hh goods'!$U10-I$30/'R&amp;S - Packaging and hh goods'!$C$9*'R&amp;S - Packaging and hh goods'!$U11-I$31/'R&amp;S - Packaging and hh goods'!$C$10*'R&amp;S - Packaging and hh goods'!$U12</f>
        <v>#DIV/0!</v>
      </c>
      <c r="J38" s="60" t="e">
        <f>J26*'Demand Breakdown - Ethylene'!$E$73-J$27/'R&amp;S - Packaging and hh goods'!$C$7*'R&amp;S - Packaging and hh goods'!$U9-J$28/'R&amp;S - Packaging and hh goods'!$C$8*'R&amp;S - Packaging and hh goods'!$U10-J$30/'R&amp;S - Packaging and hh goods'!$C$9*'R&amp;S - Packaging and hh goods'!$U11-J$31/'R&amp;S - Packaging and hh goods'!$C$10*'R&amp;S - Packaging and hh goods'!$U12</f>
        <v>#DIV/0!</v>
      </c>
      <c r="K38" s="60" t="e">
        <f>K26*'Demand Breakdown - Ethylene'!$E$73-K$27/'R&amp;S - Packaging and hh goods'!$C$7*'R&amp;S - Packaging and hh goods'!$U9-K$28/'R&amp;S - Packaging and hh goods'!$C$8*'R&amp;S - Packaging and hh goods'!$U10-K$30/'R&amp;S - Packaging and hh goods'!$C$9*'R&amp;S - Packaging and hh goods'!$U11-K$31/'R&amp;S - Packaging and hh goods'!$C$10*'R&amp;S - Packaging and hh goods'!$U12</f>
        <v>#DIV/0!</v>
      </c>
      <c r="L38" s="60" t="e">
        <f>L26*'Demand Breakdown - Ethylene'!$E$73-L$27/'R&amp;S - Packaging and hh goods'!$C$7*'R&amp;S - Packaging and hh goods'!$U9-L$28/'R&amp;S - Packaging and hh goods'!$C$8*'R&amp;S - Packaging and hh goods'!$U10-L$30/'R&amp;S - Packaging and hh goods'!$C$9*'R&amp;S - Packaging and hh goods'!$U11-L$31/'R&amp;S - Packaging and hh goods'!$C$10*'R&amp;S - Packaging and hh goods'!$U12</f>
        <v>#DIV/0!</v>
      </c>
      <c r="M38" s="60" t="e">
        <f>M26*'Demand Breakdown - Ethylene'!$E$73-M$27/'R&amp;S - Packaging and hh goods'!$C$7*'R&amp;S - Packaging and hh goods'!$U9-M$28/'R&amp;S - Packaging and hh goods'!$C$8*'R&amp;S - Packaging and hh goods'!$U10-M$30/'R&amp;S - Packaging and hh goods'!$C$9*'R&amp;S - Packaging and hh goods'!$U11-M$31/'R&amp;S - Packaging and hh goods'!$C$10*'R&amp;S - Packaging and hh goods'!$U12</f>
        <v>#DIV/0!</v>
      </c>
      <c r="N38" s="60" t="e">
        <f>N26*'Demand Breakdown - Ethylene'!$E$73-N$27/'R&amp;S - Packaging and hh goods'!$C$7*'R&amp;S - Packaging and hh goods'!$U9-N$28/'R&amp;S - Packaging and hh goods'!$C$8*'R&amp;S - Packaging and hh goods'!$U10-N$30/'R&amp;S - Packaging and hh goods'!$C$9*'R&amp;S - Packaging and hh goods'!$U11-N$31/'R&amp;S - Packaging and hh goods'!$C$10*'R&amp;S - Packaging and hh goods'!$U12</f>
        <v>#DIV/0!</v>
      </c>
      <c r="O38" s="60" t="e">
        <f>O26*'Demand Breakdown - Ethylene'!$E$73-O$27/'R&amp;S - Packaging and hh goods'!$C$7*'R&amp;S - Packaging and hh goods'!$U9-O$28/'R&amp;S - Packaging and hh goods'!$C$8*'R&amp;S - Packaging and hh goods'!$U10-O$30/'R&amp;S - Packaging and hh goods'!$C$9*'R&amp;S - Packaging and hh goods'!$U11-O$31/'R&amp;S - Packaging and hh goods'!$C$10*'R&amp;S - Packaging and hh goods'!$U12</f>
        <v>#DIV/0!</v>
      </c>
      <c r="P38" s="60" t="e">
        <f>P26*'Demand Breakdown - Ethylene'!$E$73-P$27/'R&amp;S - Packaging and hh goods'!$C$7*'R&amp;S - Packaging and hh goods'!$U9-P$28/'R&amp;S - Packaging and hh goods'!$C$8*'R&amp;S - Packaging and hh goods'!$U10-P$30/'R&amp;S - Packaging and hh goods'!$C$9*'R&amp;S - Packaging and hh goods'!$U11-P$31/'R&amp;S - Packaging and hh goods'!$C$10*'R&amp;S - Packaging and hh goods'!$U12</f>
        <v>#DIV/0!</v>
      </c>
      <c r="Q38" s="60" t="e">
        <f>Q26*'Demand Breakdown - Ethylene'!$E$73-Q$27/'R&amp;S - Packaging and hh goods'!$C$7*'R&amp;S - Packaging and hh goods'!$U9-Q$28/'R&amp;S - Packaging and hh goods'!$C$8*'R&amp;S - Packaging and hh goods'!$U10-Q$30/'R&amp;S - Packaging and hh goods'!$C$9*'R&amp;S - Packaging and hh goods'!$U11-Q$31/'R&amp;S - Packaging and hh goods'!$C$10*'R&amp;S - Packaging and hh goods'!$U12</f>
        <v>#DIV/0!</v>
      </c>
      <c r="R38" s="60" t="e">
        <f>R26*'Demand Breakdown - Ethylene'!$E$73-R$27/'R&amp;S - Packaging and hh goods'!$C$7*'R&amp;S - Packaging and hh goods'!$U9-R$28/'R&amp;S - Packaging and hh goods'!$C$8*'R&amp;S - Packaging and hh goods'!$U10-R$30/'R&amp;S - Packaging and hh goods'!$C$9*'R&amp;S - Packaging and hh goods'!$U11-R$31/'R&amp;S - Packaging and hh goods'!$C$10*'R&amp;S - Packaging and hh goods'!$U12</f>
        <v>#DIV/0!</v>
      </c>
      <c r="S38" s="60" t="e">
        <f>S26*'Demand Breakdown - Ethylene'!$E$73-S$27/'R&amp;S - Packaging and hh goods'!$C$7*'R&amp;S - Packaging and hh goods'!$U9-S$28/'R&amp;S - Packaging and hh goods'!$C$8*'R&amp;S - Packaging and hh goods'!$U10-S$30/'R&amp;S - Packaging and hh goods'!$C$9*'R&amp;S - Packaging and hh goods'!$U11-S$31/'R&amp;S - Packaging and hh goods'!$C$10*'R&amp;S - Packaging and hh goods'!$U12</f>
        <v>#DIV/0!</v>
      </c>
      <c r="T38" s="60" t="e">
        <f>T26*'Demand Breakdown - Ethylene'!$E$73-T$27/'R&amp;S - Packaging and hh goods'!$C$7*'R&amp;S - Packaging and hh goods'!$U9-T$28/'R&amp;S - Packaging and hh goods'!$C$8*'R&amp;S - Packaging and hh goods'!$U10-T$30/'R&amp;S - Packaging and hh goods'!$C$9*'R&amp;S - Packaging and hh goods'!$U11-T$31/'R&amp;S - Packaging and hh goods'!$C$10*'R&amp;S - Packaging and hh goods'!$U12</f>
        <v>#DIV/0!</v>
      </c>
      <c r="U38" s="60" t="e">
        <f>U26*'Demand Breakdown - Ethylene'!$E$73-U$27/'R&amp;S - Packaging and hh goods'!$C$7*'R&amp;S - Packaging and hh goods'!$U9-U$28/'R&amp;S - Packaging and hh goods'!$C$8*'R&amp;S - Packaging and hh goods'!$U10-U$30/'R&amp;S - Packaging and hh goods'!$C$9*'R&amp;S - Packaging and hh goods'!$U11-U$31/'R&amp;S - Packaging and hh goods'!$C$10*'R&amp;S - Packaging and hh goods'!$U12</f>
        <v>#DIV/0!</v>
      </c>
      <c r="V38" s="60" t="e">
        <f>V26*'Demand Breakdown - Ethylene'!$E$73-V$27/'R&amp;S - Packaging and hh goods'!$C$7*'R&amp;S - Packaging and hh goods'!$U9-V$28/'R&amp;S - Packaging and hh goods'!$C$8*'R&amp;S - Packaging and hh goods'!$U10-V$30/'R&amp;S - Packaging and hh goods'!$C$9*'R&amp;S - Packaging and hh goods'!$U11-V$31/'R&amp;S - Packaging and hh goods'!$C$10*'R&amp;S - Packaging and hh goods'!$U12</f>
        <v>#DIV/0!</v>
      </c>
      <c r="W38" s="60" t="e">
        <f>W26*'Demand Breakdown - Ethylene'!$E$73-W$27/'R&amp;S - Packaging and hh goods'!$C$7*'R&amp;S - Packaging and hh goods'!$U9-W$28/'R&amp;S - Packaging and hh goods'!$C$8*'R&amp;S - Packaging and hh goods'!$U10-W$30/'R&amp;S - Packaging and hh goods'!$C$9*'R&amp;S - Packaging and hh goods'!$U11-W$31/'R&amp;S - Packaging and hh goods'!$C$10*'R&amp;S - Packaging and hh goods'!$U12</f>
        <v>#DIV/0!</v>
      </c>
      <c r="X38" s="60" t="e">
        <f>X26*'Demand Breakdown - Ethylene'!$E$73-X$27/'R&amp;S - Packaging and hh goods'!$C$7*'R&amp;S - Packaging and hh goods'!$U9-X$28/'R&amp;S - Packaging and hh goods'!$C$8*'R&amp;S - Packaging and hh goods'!$U10-X$30/'R&amp;S - Packaging and hh goods'!$C$9*'R&amp;S - Packaging and hh goods'!$U11-X$31/'R&amp;S - Packaging and hh goods'!$C$10*'R&amp;S - Packaging and hh goods'!$U12</f>
        <v>#DIV/0!</v>
      </c>
      <c r="Y38" s="60" t="e">
        <f>Y26*'Demand Breakdown - Ethylene'!$E$73-Y$27/'R&amp;S - Packaging and hh goods'!$C$7*'R&amp;S - Packaging and hh goods'!$U9-Y$28/'R&amp;S - Packaging and hh goods'!$C$8*'R&amp;S - Packaging and hh goods'!$U10-Y$30/'R&amp;S - Packaging and hh goods'!$C$9*'R&amp;S - Packaging and hh goods'!$U11-Y$31/'R&amp;S - Packaging and hh goods'!$C$10*'R&amp;S - Packaging and hh goods'!$U12</f>
        <v>#DIV/0!</v>
      </c>
      <c r="Z38" s="60" t="e">
        <f>Z26*'Demand Breakdown - Ethylene'!$E$73-Z$27/'R&amp;S - Packaging and hh goods'!$C$7*'R&amp;S - Packaging and hh goods'!$U9-Z$28/'R&amp;S - Packaging and hh goods'!$C$8*'R&amp;S - Packaging and hh goods'!$U10-Z$30/'R&amp;S - Packaging and hh goods'!$C$9*'R&amp;S - Packaging and hh goods'!$U11-Z$31/'R&amp;S - Packaging and hh goods'!$C$10*'R&amp;S - Packaging and hh goods'!$U12</f>
        <v>#DIV/0!</v>
      </c>
      <c r="AA38" s="60" t="e">
        <f>AA26*'Demand Breakdown - Ethylene'!$E$73-AA$27/'R&amp;S - Packaging and hh goods'!$C$7*'R&amp;S - Packaging and hh goods'!$U9-AA$28/'R&amp;S - Packaging and hh goods'!$C$8*'R&amp;S - Packaging and hh goods'!$U10-AA$30/'R&amp;S - Packaging and hh goods'!$C$9*'R&amp;S - Packaging and hh goods'!$U11-AA$31/'R&amp;S - Packaging and hh goods'!$C$10*'R&amp;S - Packaging and hh goods'!$U12</f>
        <v>#DIV/0!</v>
      </c>
      <c r="AB38" s="60" t="e">
        <f>AB26*'Demand Breakdown - Ethylene'!$E$73-AB$27/'R&amp;S - Packaging and hh goods'!$C$7*'R&amp;S - Packaging and hh goods'!$U9-AB$28/'R&amp;S - Packaging and hh goods'!$C$8*'R&amp;S - Packaging and hh goods'!$U10-AB$30/'R&amp;S - Packaging and hh goods'!$C$9*'R&amp;S - Packaging and hh goods'!$U11-AB$31/'R&amp;S - Packaging and hh goods'!$C$10*'R&amp;S - Packaging and hh goods'!$U12</f>
        <v>#DIV/0!</v>
      </c>
      <c r="AC38" s="60" t="e">
        <f>AC26*'Demand Breakdown - Ethylene'!$E$73-AC$27/'R&amp;S - Packaging and hh goods'!$C$7*'R&amp;S - Packaging and hh goods'!$U9-AC$28/'R&amp;S - Packaging and hh goods'!$C$8*'R&amp;S - Packaging and hh goods'!$U10-AC$30/'R&amp;S - Packaging and hh goods'!$C$9*'R&amp;S - Packaging and hh goods'!$U11-AC$31/'R&amp;S - Packaging and hh goods'!$C$10*'R&amp;S - Packaging and hh goods'!$U12</f>
        <v>#DIV/0!</v>
      </c>
      <c r="AD38" s="60" t="e">
        <f>AD26*'Demand Breakdown - Ethylene'!$E$73-AD$27/'R&amp;S - Packaging and hh goods'!$C$7*'R&amp;S - Packaging and hh goods'!$U9-AD$28/'R&amp;S - Packaging and hh goods'!$C$8*'R&amp;S - Packaging and hh goods'!$U10-AD$30/'R&amp;S - Packaging and hh goods'!$C$9*'R&amp;S - Packaging and hh goods'!$U11-AD$31/'R&amp;S - Packaging and hh goods'!$C$10*'R&amp;S - Packaging and hh goods'!$U12</f>
        <v>#DIV/0!</v>
      </c>
      <c r="AE38" s="60" t="e">
        <f>AE26*'Demand Breakdown - Ethylene'!$E$73-AE$27/'R&amp;S - Packaging and hh goods'!$C$7*'R&amp;S - Packaging and hh goods'!$U9-AE$28/'R&amp;S - Packaging and hh goods'!$C$8*'R&amp;S - Packaging and hh goods'!$U10-AE$30/'R&amp;S - Packaging and hh goods'!$C$9*'R&amp;S - Packaging and hh goods'!$U11-AE$31/'R&amp;S - Packaging and hh goods'!$C$10*'R&amp;S - Packaging and hh goods'!$U12</f>
        <v>#DIV/0!</v>
      </c>
      <c r="AF38" s="60" t="e">
        <f>AF26*'Demand Breakdown - Ethylene'!$E$73-AF$27/'R&amp;S - Packaging and hh goods'!$C$7*'R&amp;S - Packaging and hh goods'!$U9-AF$28/'R&amp;S - Packaging and hh goods'!$C$8*'R&amp;S - Packaging and hh goods'!$U10-AF$30/'R&amp;S - Packaging and hh goods'!$C$9*'R&amp;S - Packaging and hh goods'!$U11-AF$31/'R&amp;S - Packaging and hh goods'!$C$10*'R&amp;S - Packaging and hh goods'!$U12</f>
        <v>#DIV/0!</v>
      </c>
      <c r="AG38" s="60" t="e">
        <f>AG26*'Demand Breakdown - Ethylene'!$E$73-AG$27/'R&amp;S - Packaging and hh goods'!$C$7*'R&amp;S - Packaging and hh goods'!$U9-AG$28/'R&amp;S - Packaging and hh goods'!$C$8*'R&amp;S - Packaging and hh goods'!$U10-AG$30/'R&amp;S - Packaging and hh goods'!$C$9*'R&amp;S - Packaging and hh goods'!$U11-AG$31/'R&amp;S - Packaging and hh goods'!$C$10*'R&amp;S - Packaging and hh goods'!$U12</f>
        <v>#DIV/0!</v>
      </c>
      <c r="AH38" s="60" t="e">
        <f>AH26*'Demand Breakdown - Ethylene'!$E$73-AH$27/'R&amp;S - Packaging and hh goods'!$C$7*'R&amp;S - Packaging and hh goods'!$U9-AH$28/'R&amp;S - Packaging and hh goods'!$C$8*'R&amp;S - Packaging and hh goods'!$U10-AH$30/'R&amp;S - Packaging and hh goods'!$C$9*'R&amp;S - Packaging and hh goods'!$U11-AH$31/'R&amp;S - Packaging and hh goods'!$C$10*'R&amp;S - Packaging and hh goods'!$U12</f>
        <v>#DIV/0!</v>
      </c>
      <c r="AI38" s="60"/>
    </row>
    <row r="39" spans="1:35" s="68" customFormat="1">
      <c r="A39" s="757"/>
      <c r="B39" s="62" t="s">
        <v>266</v>
      </c>
      <c r="C39" s="283" t="s">
        <v>153</v>
      </c>
      <c r="D39" s="284">
        <f>D33*'Demand Breakdown - Ethylene'!$D$73/'Demand Breakdown - Ethylene'!$L$24</f>
        <v>6.2246933198380567</v>
      </c>
      <c r="E39" s="284">
        <f>E33*'Demand Breakdown - Ethylene'!$D$73/'Demand Breakdown - Ethylene'!$L$24</f>
        <v>6.3118390263157895</v>
      </c>
      <c r="F39" s="284">
        <f>F33*'Demand Breakdown - Ethylene'!$D$73/'Demand Breakdown - Ethylene'!$L$24</f>
        <v>6.4002047726842113</v>
      </c>
      <c r="G39" s="284">
        <f>G33*'Demand Breakdown - Ethylene'!$D$73/'Demand Breakdown - Ethylene'!$L$24</f>
        <v>6.4898076395017901</v>
      </c>
      <c r="H39" s="284">
        <f>H33*'Demand Breakdown - Ethylene'!$D$73/'Demand Breakdown - Ethylene'!$L$24</f>
        <v>6.5806649464548155</v>
      </c>
      <c r="I39" s="284">
        <f>I33*'Demand Breakdown - Ethylene'!$D$73/'Demand Breakdown - Ethylene'!$L$24</f>
        <v>6.6727942557051829</v>
      </c>
      <c r="J39" s="284">
        <f>J33*'Demand Breakdown - Ethylene'!$D$73/'Demand Breakdown - Ethylene'!$L$24</f>
        <v>6.7662133752850551</v>
      </c>
      <c r="K39" s="284">
        <f>K33*'Demand Breakdown - Ethylene'!$D$73/'Demand Breakdown - Ethylene'!$L$24</f>
        <v>6.860940362539047</v>
      </c>
      <c r="L39" s="284">
        <f>L33*'Demand Breakdown - Ethylene'!$D$73/'Demand Breakdown - Ethylene'!$L$24</f>
        <v>6.9569935276145927</v>
      </c>
      <c r="M39" s="284">
        <f>M33*'Demand Breakdown - Ethylene'!$D$73/'Demand Breakdown - Ethylene'!$L$24</f>
        <v>7.0543914370011978</v>
      </c>
      <c r="N39" s="284">
        <f>N33*'Demand Breakdown - Ethylene'!$D$73/'Demand Breakdown - Ethylene'!$L$24</f>
        <v>7.1531529171192139</v>
      </c>
      <c r="O39" s="284">
        <f>O33*'Demand Breakdown - Ethylene'!$D$73/'Demand Breakdown - Ethylene'!$L$24</f>
        <v>7.2532970579588829</v>
      </c>
      <c r="P39" s="284">
        <f>P33*'Demand Breakdown - Ethylene'!$D$73/'Demand Breakdown - Ethylene'!$L$24</f>
        <v>7.3548432167703082</v>
      </c>
      <c r="Q39" s="284">
        <f>Q33*'Demand Breakdown - Ethylene'!$D$73/'Demand Breakdown - Ethylene'!$L$24</f>
        <v>7.4578110218050924</v>
      </c>
      <c r="R39" s="284">
        <f>R33*'Demand Breakdown - Ethylene'!$D$73/'Demand Breakdown - Ethylene'!$L$24</f>
        <v>7.5622203761103632</v>
      </c>
      <c r="S39" s="284">
        <f>S33*'Demand Breakdown - Ethylene'!$D$73/'Demand Breakdown - Ethylene'!$L$24</f>
        <v>7.6680914613759086</v>
      </c>
      <c r="T39" s="284">
        <f>T33*'Demand Breakdown - Ethylene'!$D$73/'Demand Breakdown - Ethylene'!$L$24</f>
        <v>7.7754447418351722</v>
      </c>
      <c r="U39" s="284">
        <f>U33*'Demand Breakdown - Ethylene'!$D$73/'Demand Breakdown - Ethylene'!$L$24</f>
        <v>7.8843009682208649</v>
      </c>
      <c r="V39" s="284">
        <f>V33*'Demand Breakdown - Ethylene'!$D$73/'Demand Breakdown - Ethylene'!$L$24</f>
        <v>7.9946811817759569</v>
      </c>
      <c r="W39" s="284">
        <f>W33*'Demand Breakdown - Ethylene'!$D$73/'Demand Breakdown - Ethylene'!$L$24</f>
        <v>8.1066067183208208</v>
      </c>
      <c r="X39" s="284">
        <f>X33*'Demand Breakdown - Ethylene'!$D$73/'Demand Breakdown - Ethylene'!$L$24</f>
        <v>8.2200992123773116</v>
      </c>
      <c r="Y39" s="284">
        <f>Y33*'Demand Breakdown - Ethylene'!$D$73/'Demand Breakdown - Ethylene'!$L$24</f>
        <v>8.3351806013505954</v>
      </c>
      <c r="Z39" s="284">
        <f>Z33*'Demand Breakdown - Ethylene'!$D$73/'Demand Breakdown - Ethylene'!$L$24</f>
        <v>8.4518731297695027</v>
      </c>
      <c r="AA39" s="284">
        <f>AA33*'Demand Breakdown - Ethylene'!$D$73/'Demand Breakdown - Ethylene'!$L$24</f>
        <v>8.5701993535862773</v>
      </c>
      <c r="AB39" s="284">
        <f>AB33*'Demand Breakdown - Ethylene'!$D$73/'Demand Breakdown - Ethylene'!$L$24</f>
        <v>8.6901821445364842</v>
      </c>
      <c r="AC39" s="284">
        <f>AC33*'Demand Breakdown - Ethylene'!$D$73/'Demand Breakdown - Ethylene'!$L$24</f>
        <v>8.8118446945599942</v>
      </c>
      <c r="AD39" s="284">
        <f>AD33*'Demand Breakdown - Ethylene'!$D$73/'Demand Breakdown - Ethylene'!$L$24</f>
        <v>8.9352105202838334</v>
      </c>
      <c r="AE39" s="284">
        <f>AE33*'Demand Breakdown - Ethylene'!$D$73/'Demand Breakdown - Ethylene'!$L$24</f>
        <v>9.0603034675678096</v>
      </c>
      <c r="AF39" s="284">
        <f>AF33*'Demand Breakdown - Ethylene'!$D$73/'Demand Breakdown - Ethylene'!$L$24</f>
        <v>9.1871477161137598</v>
      </c>
      <c r="AG39" s="284">
        <f>AG33*'Demand Breakdown - Ethylene'!$D$73/'Demand Breakdown - Ethylene'!$L$24</f>
        <v>9.3157677841393518</v>
      </c>
      <c r="AH39" s="284">
        <f>AH33*'Demand Breakdown - Ethylene'!$D$73/'Demand Breakdown - Ethylene'!$L$24</f>
        <v>9.4461885331173026</v>
      </c>
      <c r="AI39" s="284"/>
    </row>
    <row r="40" spans="1:35" s="67" customFormat="1">
      <c r="A40" s="58" t="s">
        <v>272</v>
      </c>
      <c r="B40" s="58" t="s">
        <v>199</v>
      </c>
      <c r="C40" s="59" t="s">
        <v>153</v>
      </c>
      <c r="D40" s="60">
        <f>'R&amp;S - Buildings'!J4</f>
        <v>34.871127768537121</v>
      </c>
      <c r="E40" s="60">
        <f>D40*(1+'R&amp;S - Buildings'!$C$5)</f>
        <v>35.463936940602252</v>
      </c>
      <c r="F40" s="60">
        <f>E40*(1+'R&amp;S - Buildings'!$C$5)</f>
        <v>36.066823868592486</v>
      </c>
      <c r="G40" s="60">
        <f>F40*(1+'R&amp;S - Buildings'!$C$5)</f>
        <v>36.679959874358552</v>
      </c>
      <c r="H40" s="60">
        <f>G40*(1+'R&amp;S - Buildings'!$C$5)</f>
        <v>37.303519192222645</v>
      </c>
      <c r="I40" s="60">
        <f>H40*(1+'R&amp;S - Buildings'!$C$5)</f>
        <v>37.937679018490428</v>
      </c>
      <c r="J40" s="60">
        <f>I40*(1+'R&amp;S - Buildings'!$C$5)</f>
        <v>38.582619561804762</v>
      </c>
      <c r="K40" s="60">
        <f>J40*(1+'R&amp;S - Buildings'!$C$5)</f>
        <v>39.238524094355441</v>
      </c>
      <c r="L40" s="60">
        <f>K40*(1+'R&amp;S - Buildings'!$C$5)</f>
        <v>39.905579003959481</v>
      </c>
      <c r="M40" s="60">
        <f>L40*(1+'R&amp;S - Buildings'!$C$5)</f>
        <v>40.58397384702679</v>
      </c>
      <c r="N40" s="60">
        <f>M40*(1+'R&amp;S - Buildings'!$C$5)</f>
        <v>41.27390140242624</v>
      </c>
      <c r="O40" s="60">
        <f>N40*(1+'R&amp;S - Buildings'!$C$5)</f>
        <v>41.975557726267482</v>
      </c>
      <c r="P40" s="60">
        <f>O40*(1+'R&amp;S - Buildings'!$C$5)</f>
        <v>42.689142207614026</v>
      </c>
      <c r="Q40" s="60">
        <f>P40*(1+'R&amp;S - Buildings'!$C$5)</f>
        <v>43.414857625143462</v>
      </c>
      <c r="R40" s="60">
        <f>Q40*(1+'R&amp;S - Buildings'!$C$5)</f>
        <v>44.152910204770897</v>
      </c>
      <c r="S40" s="60">
        <f>R40*(1+'R&amp;S - Buildings'!$C$5)</f>
        <v>44.903509678252</v>
      </c>
      <c r="T40" s="60">
        <f>S40*(1+'R&amp;S - Buildings'!$C$5)</f>
        <v>45.666869342782277</v>
      </c>
      <c r="U40" s="60">
        <f>T40*(1+'R&amp;S - Buildings'!$C$5)</f>
        <v>46.44320612160957</v>
      </c>
      <c r="V40" s="60">
        <f>U40*(1+'R&amp;S - Buildings'!$C$5)</f>
        <v>47.232740625676925</v>
      </c>
      <c r="W40" s="60">
        <f>V40*(1+'R&amp;S - Buildings'!$C$5)</f>
        <v>48.03569721631343</v>
      </c>
      <c r="X40" s="60">
        <f>W40*(1+'R&amp;S - Buildings'!$C$5)</f>
        <v>48.852304068990755</v>
      </c>
      <c r="Y40" s="60">
        <f>X40*(1+'R&amp;S - Buildings'!$C$5)</f>
        <v>49.68279323816359</v>
      </c>
      <c r="Z40" s="60">
        <f>Y40*(1+'R&amp;S - Buildings'!$C$5)</f>
        <v>50.527400723212367</v>
      </c>
      <c r="AA40" s="60">
        <f>Z40*(1+'R&amp;S - Buildings'!$C$5)</f>
        <v>51.386366535506973</v>
      </c>
      <c r="AB40" s="60">
        <f>AA40*(1+'R&amp;S - Buildings'!$C$5)</f>
        <v>52.259934766610584</v>
      </c>
      <c r="AC40" s="60">
        <f>AB40*(1+'R&amp;S - Buildings'!$C$5)</f>
        <v>53.148353657642957</v>
      </c>
      <c r="AD40" s="60">
        <f>AC40*(1+'R&amp;S - Buildings'!$C$5)</f>
        <v>54.051875669822884</v>
      </c>
      <c r="AE40" s="60">
        <f>AD40*(1+'R&amp;S - Buildings'!$C$5)</f>
        <v>54.970757556209868</v>
      </c>
      <c r="AF40" s="60">
        <f>AE40*(1+'R&amp;S - Buildings'!$C$5)</f>
        <v>55.905260434665429</v>
      </c>
      <c r="AG40" s="60">
        <f>AF40*(1+'R&amp;S - Buildings'!$C$5)</f>
        <v>56.855649862054733</v>
      </c>
      <c r="AH40" s="60">
        <f>AG40*(1+'R&amp;S - Buildings'!$C$5)</f>
        <v>57.822195909709656</v>
      </c>
    </row>
    <row r="41" spans="1:35" outlineLevel="1">
      <c r="B41" s="1" t="s">
        <v>168</v>
      </c>
      <c r="C41" s="54" t="s">
        <v>153</v>
      </c>
      <c r="D41">
        <v>0</v>
      </c>
      <c r="E41" s="43">
        <f>E40*'R&amp;S - Buildings'!$C$7*'R&amp;S - Buildings'!$B$11*'R&amp;S - Buildings'!$B$15*('Yearly HC Ethylene'!E$3-'Yearly HC Ethylene'!$D$3)/10</f>
        <v>0</v>
      </c>
      <c r="F41" s="43">
        <f>F40*'R&amp;S - Buildings'!$C$7*'R&amp;S - Buildings'!$B$11*'R&amp;S - Buildings'!$B$15*('Yearly HC Ethylene'!F$3-'Yearly HC Ethylene'!$D$3)/10</f>
        <v>0</v>
      </c>
      <c r="G41" s="43">
        <f>G40*'R&amp;S - Buildings'!$C$7*'R&amp;S - Buildings'!$B$11*'R&amp;S - Buildings'!$B$15*('Yearly HC Ethylene'!G$3-'Yearly HC Ethylene'!$D$3)/10</f>
        <v>0</v>
      </c>
      <c r="H41" s="43">
        <f>H40*'R&amp;S - Buildings'!$C$7*'R&amp;S - Buildings'!$B$11*'R&amp;S - Buildings'!$B$15*('Yearly HC Ethylene'!H$3-'Yearly HC Ethylene'!$D$3)/10</f>
        <v>0</v>
      </c>
      <c r="I41" s="43">
        <f>I40*'R&amp;S - Buildings'!$C$7*'R&amp;S - Buildings'!$B$11*'R&amp;S - Buildings'!$B$15*('Yearly HC Ethylene'!I$3-'Yearly HC Ethylene'!$D$3)/10</f>
        <v>0</v>
      </c>
      <c r="J41" s="43">
        <f>J40*'R&amp;S - Buildings'!$C$7*'R&amp;S - Buildings'!$B$11*'R&amp;S - Buildings'!$B$15*('Yearly HC Ethylene'!J$3-'Yearly HC Ethylene'!$D$3)/10</f>
        <v>0</v>
      </c>
      <c r="K41" s="43">
        <f>K40*'R&amp;S - Buildings'!$C$7*'R&amp;S - Buildings'!$B$11*'R&amp;S - Buildings'!$B$15*('Yearly HC Ethylene'!K$3-'Yearly HC Ethylene'!$D$3)/10</f>
        <v>0</v>
      </c>
      <c r="L41" s="43">
        <f>L40*'R&amp;S - Buildings'!$C$7*'R&amp;S - Buildings'!$B$11*'R&amp;S - Buildings'!$B$15*('Yearly HC Ethylene'!L$3-'Yearly HC Ethylene'!$D$3)/10</f>
        <v>0</v>
      </c>
      <c r="M41" s="43">
        <f>M40*'R&amp;S - Buildings'!$C$7*'R&amp;S - Buildings'!$B$11*'R&amp;S - Buildings'!$B$15*('Yearly HC Ethylene'!M$3-'Yearly HC Ethylene'!$D$3)/10</f>
        <v>0</v>
      </c>
      <c r="N41" s="43">
        <f>N40*'R&amp;S - Buildings'!$C$7*'R&amp;S - Buildings'!$B$11*'R&amp;S - Buildings'!$B$15*('Yearly HC Ethylene'!N$3-'Yearly HC Ethylene'!$D$3)/10</f>
        <v>0</v>
      </c>
      <c r="O41" s="43">
        <f>O40*'R&amp;S - Buildings'!$C$7*'R&amp;S - Buildings'!$B$11*('R&amp;S - Buildings'!$B$15+('R&amp;S - Buildings'!$B$16-'R&amp;S - Buildings'!$B$15)*('Yearly HC Ethylene'!O$3-'Yearly HC Ethylene'!$N$3)/10)</f>
        <v>0</v>
      </c>
      <c r="P41" s="43">
        <f>P40*'R&amp;S - Buildings'!$C$7*'R&amp;S - Buildings'!$B$11*('R&amp;S - Buildings'!$B$15+('R&amp;S - Buildings'!$B$16-'R&amp;S - Buildings'!$B$15)*('Yearly HC Ethylene'!P$3-'Yearly HC Ethylene'!$N$3)/10)</f>
        <v>0</v>
      </c>
      <c r="Q41" s="43">
        <f>Q40*'R&amp;S - Buildings'!$C$7*'R&amp;S - Buildings'!$B$11*('R&amp;S - Buildings'!$B$15+('R&amp;S - Buildings'!$B$16-'R&amp;S - Buildings'!$B$15)*('Yearly HC Ethylene'!Q$3-'Yearly HC Ethylene'!$N$3)/10)</f>
        <v>0</v>
      </c>
      <c r="R41" s="43">
        <f>R40*'R&amp;S - Buildings'!$C$7*'R&amp;S - Buildings'!$B$11*('R&amp;S - Buildings'!$B$15+('R&amp;S - Buildings'!$B$16-'R&amp;S - Buildings'!$B$15)*('Yearly HC Ethylene'!R$3-'Yearly HC Ethylene'!$N$3)/10)</f>
        <v>0</v>
      </c>
      <c r="S41" s="43">
        <f>S40*'R&amp;S - Buildings'!$C$7*'R&amp;S - Buildings'!$B$11*('R&amp;S - Buildings'!$B$15+('R&amp;S - Buildings'!$B$16-'R&amp;S - Buildings'!$B$15)*('Yearly HC Ethylene'!S$3-'Yearly HC Ethylene'!$N$3)/10)</f>
        <v>0</v>
      </c>
      <c r="T41" s="43">
        <f>T40*'R&amp;S - Buildings'!$C$7*'R&amp;S - Buildings'!$B$11*('R&amp;S - Buildings'!$B$15+('R&amp;S - Buildings'!$B$16-'R&amp;S - Buildings'!$B$15)*('Yearly HC Ethylene'!T$3-'Yearly HC Ethylene'!$N$3)/10)</f>
        <v>0</v>
      </c>
      <c r="U41" s="43">
        <f>U40*'R&amp;S - Buildings'!$C$7*'R&amp;S - Buildings'!$B$11*('R&amp;S - Buildings'!$B$15+('R&amp;S - Buildings'!$B$16-'R&amp;S - Buildings'!$B$15)*('Yearly HC Ethylene'!U$3-'Yearly HC Ethylene'!$N$3)/10)</f>
        <v>0</v>
      </c>
      <c r="V41" s="43">
        <f>V40*'R&amp;S - Buildings'!$C$7*'R&amp;S - Buildings'!$B$11*('R&amp;S - Buildings'!$B$15+('R&amp;S - Buildings'!$B$16-'R&amp;S - Buildings'!$B$15)*('Yearly HC Ethylene'!V$3-'Yearly HC Ethylene'!$N$3)/10)</f>
        <v>0</v>
      </c>
      <c r="W41" s="43">
        <f>W40*'R&amp;S - Buildings'!$C$7*'R&amp;S - Buildings'!$B$11*('R&amp;S - Buildings'!$B$15+('R&amp;S - Buildings'!$B$16-'R&amp;S - Buildings'!$B$15)*('Yearly HC Ethylene'!W$3-'Yearly HC Ethylene'!$N$3)/10)</f>
        <v>0</v>
      </c>
      <c r="X41" s="43">
        <f>X40*'R&amp;S - Buildings'!$C$7*'R&amp;S - Buildings'!$B$11*('R&amp;S - Buildings'!$B$15+('R&amp;S - Buildings'!$B$16-'R&amp;S - Buildings'!$B$15)*('Yearly HC Ethylene'!X$3-'Yearly HC Ethylene'!$N$3)/10)</f>
        <v>0</v>
      </c>
      <c r="Y41" s="43">
        <f>Y40*'R&amp;S - Buildings'!$C$7*'R&amp;S - Buildings'!$B$11*('R&amp;S - Buildings'!$B$16+('R&amp;S - Buildings'!$B$17-'R&amp;S - Buildings'!$B$16)*('Yearly HC Ethylene'!Y$3-'Yearly HC Ethylene'!$X$3)/10)</f>
        <v>0</v>
      </c>
      <c r="Z41" s="43">
        <f>Z40*'R&amp;S - Buildings'!$C$7*'R&amp;S - Buildings'!$B$11*('R&amp;S - Buildings'!$B$16+('R&amp;S - Buildings'!$B$17-'R&amp;S - Buildings'!$B$16)*('Yearly HC Ethylene'!Z$3-'Yearly HC Ethylene'!$X$3)/10)</f>
        <v>0</v>
      </c>
      <c r="AA41" s="43">
        <f>AA40*'R&amp;S - Buildings'!$C$7*'R&amp;S - Buildings'!$B$11*('R&amp;S - Buildings'!$B$16+('R&amp;S - Buildings'!$B$17-'R&amp;S - Buildings'!$B$16)*('Yearly HC Ethylene'!AA$3-'Yearly HC Ethylene'!$X$3)/10)</f>
        <v>0</v>
      </c>
      <c r="AB41" s="43">
        <f>AB40*'R&amp;S - Buildings'!$C$7*'R&amp;S - Buildings'!$B$11*('R&amp;S - Buildings'!$B$16+('R&amp;S - Buildings'!$B$17-'R&amp;S - Buildings'!$B$16)*('Yearly HC Ethylene'!AB$3-'Yearly HC Ethylene'!$X$3)/10)</f>
        <v>0</v>
      </c>
      <c r="AC41" s="43">
        <f>AC40*'R&amp;S - Buildings'!$C$7*'R&amp;S - Buildings'!$B$11*('R&amp;S - Buildings'!$B$16+('R&amp;S - Buildings'!$B$17-'R&amp;S - Buildings'!$B$16)*('Yearly HC Ethylene'!AC$3-'Yearly HC Ethylene'!$X$3)/10)</f>
        <v>0</v>
      </c>
      <c r="AD41" s="43">
        <f>AD40*'R&amp;S - Buildings'!$C$7*'R&amp;S - Buildings'!$B$11*('R&amp;S - Buildings'!$B$16+('R&amp;S - Buildings'!$B$17-'R&amp;S - Buildings'!$B$16)*('Yearly HC Ethylene'!AD$3-'Yearly HC Ethylene'!$X$3)/10)</f>
        <v>0</v>
      </c>
      <c r="AE41" s="43">
        <f>AE40*'R&amp;S - Buildings'!$C$7*'R&amp;S - Buildings'!$B$11*('R&amp;S - Buildings'!$B$16+('R&amp;S - Buildings'!$B$17-'R&amp;S - Buildings'!$B$16)*('Yearly HC Ethylene'!AE$3-'Yearly HC Ethylene'!$X$3)/10)</f>
        <v>0</v>
      </c>
      <c r="AF41" s="43">
        <f>AF40*'R&amp;S - Buildings'!$C$7*'R&amp;S - Buildings'!$B$11*('R&amp;S - Buildings'!$B$16+('R&amp;S - Buildings'!$B$17-'R&amp;S - Buildings'!$B$16)*('Yearly HC Ethylene'!AF$3-'Yearly HC Ethylene'!$X$3)/10)</f>
        <v>0</v>
      </c>
      <c r="AG41" s="43">
        <f>AG40*'R&amp;S - Buildings'!$C$7*'R&amp;S - Buildings'!$B$11*('R&amp;S - Buildings'!$B$16+('R&amp;S - Buildings'!$B$17-'R&amp;S - Buildings'!$B$16)*('Yearly HC Ethylene'!AG$3-'Yearly HC Ethylene'!$X$3)/10)</f>
        <v>0</v>
      </c>
      <c r="AH41" s="43">
        <f>AH40*'R&amp;S - Buildings'!$C$7*'R&amp;S - Buildings'!$B$11*('R&amp;S - Buildings'!$B$16+('R&amp;S - Buildings'!$B$17-'R&amp;S - Buildings'!$B$16)*('Yearly HC Ethylene'!AH$3-'Yearly HC Ethylene'!$X$3)/10)</f>
        <v>0</v>
      </c>
    </row>
    <row r="42" spans="1:35" outlineLevel="1">
      <c r="B42" s="1" t="s">
        <v>172</v>
      </c>
      <c r="C42" s="54" t="s">
        <v>153</v>
      </c>
      <c r="D42">
        <v>0</v>
      </c>
      <c r="E42" s="43">
        <f>E40*'R&amp;S - Buildings'!$C$8*'R&amp;S - Buildings'!$C$11*'R&amp;S - Buildings'!$B$15*('Yearly HC Ethylene'!E$3-'Yearly HC Ethylene'!$D$3)/10</f>
        <v>0</v>
      </c>
      <c r="F42" s="43">
        <f>F40*'R&amp;S - Buildings'!$C$8*'R&amp;S - Buildings'!$C$11*'R&amp;S - Buildings'!$B$15*('Yearly HC Ethylene'!F$3-'Yearly HC Ethylene'!$D$3)/10</f>
        <v>0</v>
      </c>
      <c r="G42" s="43">
        <f>G40*'R&amp;S - Buildings'!$C$8*'R&amp;S - Buildings'!$C$11*'R&amp;S - Buildings'!$B$15*('Yearly HC Ethylene'!G$3-'Yearly HC Ethylene'!$D$3)/10</f>
        <v>0</v>
      </c>
      <c r="H42" s="43">
        <f>H40*'R&amp;S - Buildings'!$C$8*'R&amp;S - Buildings'!$C$11*'R&amp;S - Buildings'!$B$15*('Yearly HC Ethylene'!H$3-'Yearly HC Ethylene'!$D$3)/10</f>
        <v>0</v>
      </c>
      <c r="I42" s="43">
        <f>I40*'R&amp;S - Buildings'!$C$8*'R&amp;S - Buildings'!$C$11*'R&amp;S - Buildings'!$B$15*('Yearly HC Ethylene'!I$3-'Yearly HC Ethylene'!$D$3)/10</f>
        <v>0</v>
      </c>
      <c r="J42" s="43">
        <f>J40*'R&amp;S - Buildings'!$C$8*'R&amp;S - Buildings'!$C$11*'R&amp;S - Buildings'!$B$15*('Yearly HC Ethylene'!J$3-'Yearly HC Ethylene'!$D$3)/10</f>
        <v>0</v>
      </c>
      <c r="K42" s="43">
        <f>K40*'R&amp;S - Buildings'!$C$8*'R&amp;S - Buildings'!$C$11*'R&amp;S - Buildings'!$B$15*('Yearly HC Ethylene'!K$3-'Yearly HC Ethylene'!$D$3)/10</f>
        <v>0</v>
      </c>
      <c r="L42" s="43">
        <f>L40*'R&amp;S - Buildings'!$C$8*'R&amp;S - Buildings'!$C$11*'R&amp;S - Buildings'!$B$15*('Yearly HC Ethylene'!L$3-'Yearly HC Ethylene'!$D$3)/10</f>
        <v>0</v>
      </c>
      <c r="M42" s="43">
        <f>M40*'R&amp;S - Buildings'!$C$8*'R&amp;S - Buildings'!$C$11*'R&amp;S - Buildings'!$B$15*('Yearly HC Ethylene'!M$3-'Yearly HC Ethylene'!$D$3)/10</f>
        <v>0</v>
      </c>
      <c r="N42" s="43">
        <f>N40*'R&amp;S - Buildings'!$C$8*'R&amp;S - Buildings'!$C$11*'R&amp;S - Buildings'!$B$15*('Yearly HC Ethylene'!N$3-'Yearly HC Ethylene'!$D$3)/10</f>
        <v>0</v>
      </c>
      <c r="O42" s="43">
        <f>O40*'R&amp;S - Buildings'!$C$8*'R&amp;S - Buildings'!$C$11*('R&amp;S - Buildings'!$B$15+('R&amp;S - Buildings'!$B$16-'R&amp;S - Buildings'!$B$15)*('Yearly HC Ethylene'!O$3-'Yearly HC Ethylene'!$N$3)/10)</f>
        <v>0</v>
      </c>
      <c r="P42" s="43">
        <f>P40*'R&amp;S - Buildings'!$C$8*'R&amp;S - Buildings'!$C$11*('R&amp;S - Buildings'!$B$15+('R&amp;S - Buildings'!$B$16-'R&amp;S - Buildings'!$B$15)*('Yearly HC Ethylene'!P$3-'Yearly HC Ethylene'!$N$3)/10)</f>
        <v>0</v>
      </c>
      <c r="Q42" s="43">
        <f>Q40*'R&amp;S - Buildings'!$C$8*'R&amp;S - Buildings'!$C$11*('R&amp;S - Buildings'!$B$15+('R&amp;S - Buildings'!$B$16-'R&amp;S - Buildings'!$B$15)*('Yearly HC Ethylene'!Q$3-'Yearly HC Ethylene'!$N$3)/10)</f>
        <v>0</v>
      </c>
      <c r="R42" s="43">
        <f>R40*'R&amp;S - Buildings'!$C$8*'R&amp;S - Buildings'!$C$11*('R&amp;S - Buildings'!$B$15+('R&amp;S - Buildings'!$B$16-'R&amp;S - Buildings'!$B$15)*('Yearly HC Ethylene'!R$3-'Yearly HC Ethylene'!$N$3)/10)</f>
        <v>0</v>
      </c>
      <c r="S42" s="43">
        <f>S40*'R&amp;S - Buildings'!$C$8*'R&amp;S - Buildings'!$C$11*('R&amp;S - Buildings'!$B$15+('R&amp;S - Buildings'!$B$16-'R&amp;S - Buildings'!$B$15)*('Yearly HC Ethylene'!S$3-'Yearly HC Ethylene'!$N$3)/10)</f>
        <v>0</v>
      </c>
      <c r="T42" s="43">
        <f>T40*'R&amp;S - Buildings'!$C$8*'R&amp;S - Buildings'!$C$11*('R&amp;S - Buildings'!$B$15+('R&amp;S - Buildings'!$B$16-'R&amp;S - Buildings'!$B$15)*('Yearly HC Ethylene'!T$3-'Yearly HC Ethylene'!$N$3)/10)</f>
        <v>0</v>
      </c>
      <c r="U42" s="43">
        <f>U40*'R&amp;S - Buildings'!$C$8*'R&amp;S - Buildings'!$C$11*('R&amp;S - Buildings'!$B$15+('R&amp;S - Buildings'!$B$16-'R&amp;S - Buildings'!$B$15)*('Yearly HC Ethylene'!U$3-'Yearly HC Ethylene'!$N$3)/10)</f>
        <v>0</v>
      </c>
      <c r="V42" s="43">
        <f>V40*'R&amp;S - Buildings'!$C$8*'R&amp;S - Buildings'!$C$11*('R&amp;S - Buildings'!$B$15+('R&amp;S - Buildings'!$B$16-'R&amp;S - Buildings'!$B$15)*('Yearly HC Ethylene'!V$3-'Yearly HC Ethylene'!$N$3)/10)</f>
        <v>0</v>
      </c>
      <c r="W42" s="43">
        <f>W40*'R&amp;S - Buildings'!$C$8*'R&amp;S - Buildings'!$C$11*('R&amp;S - Buildings'!$B$15+('R&amp;S - Buildings'!$B$16-'R&amp;S - Buildings'!$B$15)*('Yearly HC Ethylene'!W$3-'Yearly HC Ethylene'!$N$3)/10)</f>
        <v>0</v>
      </c>
      <c r="X42" s="43">
        <f>X40*'R&amp;S - Buildings'!$C$8*'R&amp;S - Buildings'!$C$11*('R&amp;S - Buildings'!$B$15+('R&amp;S - Buildings'!$B$16-'R&amp;S - Buildings'!$B$15)*('Yearly HC Ethylene'!X$3-'Yearly HC Ethylene'!$N$3)/10)</f>
        <v>0</v>
      </c>
      <c r="Y42" s="43">
        <f>Y40*'R&amp;S - Buildings'!$C$8*'R&amp;S - Buildings'!$C$11*('R&amp;S - Buildings'!$B$16+('R&amp;S - Buildings'!$B$17-'R&amp;S - Buildings'!$B$16)*('Yearly HC Ethylene'!Y$3-'Yearly HC Ethylene'!$X$3)/10)</f>
        <v>0</v>
      </c>
      <c r="Z42" s="43">
        <f>Z40*'R&amp;S - Buildings'!$C$8*'R&amp;S - Buildings'!$C$11*('R&amp;S - Buildings'!$B$16+('R&amp;S - Buildings'!$B$17-'R&amp;S - Buildings'!$B$16)*('Yearly HC Ethylene'!Z$3-'Yearly HC Ethylene'!$X$3)/10)</f>
        <v>0</v>
      </c>
      <c r="AA42" s="43">
        <f>AA40*'R&amp;S - Buildings'!$C$8*'R&amp;S - Buildings'!$C$11*('R&amp;S - Buildings'!$B$16+('R&amp;S - Buildings'!$B$17-'R&amp;S - Buildings'!$B$16)*('Yearly HC Ethylene'!AA$3-'Yearly HC Ethylene'!$X$3)/10)</f>
        <v>0</v>
      </c>
      <c r="AB42" s="43">
        <f>AB40*'R&amp;S - Buildings'!$C$8*'R&amp;S - Buildings'!$C$11*('R&amp;S - Buildings'!$B$16+('R&amp;S - Buildings'!$B$17-'R&amp;S - Buildings'!$B$16)*('Yearly HC Ethylene'!AB$3-'Yearly HC Ethylene'!$X$3)/10)</f>
        <v>0</v>
      </c>
      <c r="AC42" s="43">
        <f>AC40*'R&amp;S - Buildings'!$C$8*'R&amp;S - Buildings'!$C$11*('R&amp;S - Buildings'!$B$16+('R&amp;S - Buildings'!$B$17-'R&amp;S - Buildings'!$B$16)*('Yearly HC Ethylene'!AC$3-'Yearly HC Ethylene'!$X$3)/10)</f>
        <v>0</v>
      </c>
      <c r="AD42" s="43">
        <f>AD40*'R&amp;S - Buildings'!$C$8*'R&amp;S - Buildings'!$C$11*('R&amp;S - Buildings'!$B$16+('R&amp;S - Buildings'!$B$17-'R&amp;S - Buildings'!$B$16)*('Yearly HC Ethylene'!AD$3-'Yearly HC Ethylene'!$X$3)/10)</f>
        <v>0</v>
      </c>
      <c r="AE42" s="43">
        <f>AE40*'R&amp;S - Buildings'!$C$8*'R&amp;S - Buildings'!$C$11*('R&amp;S - Buildings'!$B$16+('R&amp;S - Buildings'!$B$17-'R&amp;S - Buildings'!$B$16)*('Yearly HC Ethylene'!AE$3-'Yearly HC Ethylene'!$X$3)/10)</f>
        <v>0</v>
      </c>
      <c r="AF42" s="43">
        <f>AF40*'R&amp;S - Buildings'!$C$8*'R&amp;S - Buildings'!$C$11*('R&amp;S - Buildings'!$B$16+('R&amp;S - Buildings'!$B$17-'R&amp;S - Buildings'!$B$16)*('Yearly HC Ethylene'!AF$3-'Yearly HC Ethylene'!$X$3)/10)</f>
        <v>0</v>
      </c>
      <c r="AG42" s="43">
        <f>AG40*'R&amp;S - Buildings'!$C$8*'R&amp;S - Buildings'!$C$11*('R&amp;S - Buildings'!$B$16+('R&amp;S - Buildings'!$B$17-'R&amp;S - Buildings'!$B$16)*('Yearly HC Ethylene'!AG$3-'Yearly HC Ethylene'!$X$3)/10)</f>
        <v>0</v>
      </c>
      <c r="AH42" s="43">
        <f>AH40*'R&amp;S - Buildings'!$C$8*'R&amp;S - Buildings'!$C$11*('R&amp;S - Buildings'!$B$16+('R&amp;S - Buildings'!$B$17-'R&amp;S - Buildings'!$B$16)*('Yearly HC Ethylene'!AH$3-'Yearly HC Ethylene'!$X$3)/10)</f>
        <v>0</v>
      </c>
    </row>
    <row r="43" spans="1:35" s="193" customFormat="1">
      <c r="A43" s="189" t="s">
        <v>197</v>
      </c>
      <c r="B43" s="190" t="s">
        <v>67</v>
      </c>
      <c r="C43" s="191" t="s">
        <v>153</v>
      </c>
      <c r="D43" s="192">
        <f>D40-D41-D42</f>
        <v>34.871127768537121</v>
      </c>
      <c r="E43" s="192">
        <f t="shared" ref="E43:AH43" si="11">E40-E41-E42</f>
        <v>35.463936940602252</v>
      </c>
      <c r="F43" s="192">
        <f t="shared" si="11"/>
        <v>36.066823868592486</v>
      </c>
      <c r="G43" s="192">
        <f t="shared" si="11"/>
        <v>36.679959874358552</v>
      </c>
      <c r="H43" s="192">
        <f t="shared" si="11"/>
        <v>37.303519192222645</v>
      </c>
      <c r="I43" s="192">
        <f t="shared" si="11"/>
        <v>37.937679018490428</v>
      </c>
      <c r="J43" s="192">
        <f t="shared" si="11"/>
        <v>38.582619561804762</v>
      </c>
      <c r="K43" s="192">
        <f t="shared" si="11"/>
        <v>39.238524094355441</v>
      </c>
      <c r="L43" s="192">
        <f t="shared" si="11"/>
        <v>39.905579003959481</v>
      </c>
      <c r="M43" s="192">
        <f t="shared" si="11"/>
        <v>40.58397384702679</v>
      </c>
      <c r="N43" s="192">
        <f t="shared" si="11"/>
        <v>41.27390140242624</v>
      </c>
      <c r="O43" s="192">
        <f t="shared" si="11"/>
        <v>41.975557726267482</v>
      </c>
      <c r="P43" s="192">
        <f t="shared" si="11"/>
        <v>42.689142207614026</v>
      </c>
      <c r="Q43" s="192">
        <f t="shared" si="11"/>
        <v>43.414857625143462</v>
      </c>
      <c r="R43" s="192">
        <f t="shared" si="11"/>
        <v>44.152910204770897</v>
      </c>
      <c r="S43" s="192">
        <f t="shared" si="11"/>
        <v>44.903509678252</v>
      </c>
      <c r="T43" s="192">
        <f t="shared" si="11"/>
        <v>45.666869342782277</v>
      </c>
      <c r="U43" s="192">
        <f t="shared" si="11"/>
        <v>46.44320612160957</v>
      </c>
      <c r="V43" s="192">
        <f t="shared" si="11"/>
        <v>47.232740625676925</v>
      </c>
      <c r="W43" s="192">
        <f t="shared" si="11"/>
        <v>48.03569721631343</v>
      </c>
      <c r="X43" s="192">
        <f t="shared" si="11"/>
        <v>48.852304068990755</v>
      </c>
      <c r="Y43" s="192">
        <f t="shared" si="11"/>
        <v>49.68279323816359</v>
      </c>
      <c r="Z43" s="192">
        <f t="shared" si="11"/>
        <v>50.527400723212367</v>
      </c>
      <c r="AA43" s="192">
        <f t="shared" si="11"/>
        <v>51.386366535506973</v>
      </c>
      <c r="AB43" s="192">
        <f t="shared" si="11"/>
        <v>52.259934766610584</v>
      </c>
      <c r="AC43" s="192">
        <f t="shared" si="11"/>
        <v>53.148353657642957</v>
      </c>
      <c r="AD43" s="192">
        <f t="shared" si="11"/>
        <v>54.051875669822884</v>
      </c>
      <c r="AE43" s="192">
        <f t="shared" si="11"/>
        <v>54.970757556209868</v>
      </c>
      <c r="AF43" s="192">
        <f t="shared" si="11"/>
        <v>55.905260434665429</v>
      </c>
      <c r="AG43" s="192">
        <f t="shared" si="11"/>
        <v>56.855649862054733</v>
      </c>
      <c r="AH43" s="192">
        <f t="shared" si="11"/>
        <v>57.822195909709656</v>
      </c>
    </row>
    <row r="44" spans="1:35" s="67" customFormat="1">
      <c r="A44" s="755" t="s">
        <v>257</v>
      </c>
      <c r="B44" s="58" t="s">
        <v>258</v>
      </c>
      <c r="C44" s="59" t="s">
        <v>153</v>
      </c>
      <c r="D44" s="60">
        <f>D43*('Demand Breakdown - Ethylene'!$C$74)</f>
        <v>12.029370629370625</v>
      </c>
      <c r="E44" s="60">
        <f>E43*('Demand Breakdown - Ethylene'!$C$74)</f>
        <v>12.233869930069925</v>
      </c>
      <c r="F44" s="60">
        <f>F43*('Demand Breakdown - Ethylene'!$C$74)</f>
        <v>12.441845718881114</v>
      </c>
      <c r="G44" s="60">
        <f>G43*('Demand Breakdown - Ethylene'!$C$74)</f>
        <v>12.65335709610209</v>
      </c>
      <c r="H44" s="60">
        <f>H43*('Demand Breakdown - Ethylene'!$C$74)</f>
        <v>12.868464166735825</v>
      </c>
      <c r="I44" s="60">
        <f>I43*('Demand Breakdown - Ethylene'!$C$74)</f>
        <v>13.087228057570332</v>
      </c>
      <c r="J44" s="60">
        <f>J43*('Demand Breakdown - Ethylene'!$C$74)</f>
        <v>13.309710934549027</v>
      </c>
      <c r="K44" s="60">
        <f>K43*('Demand Breakdown - Ethylene'!$C$74)</f>
        <v>13.53597602043636</v>
      </c>
      <c r="L44" s="60">
        <f>L43*('Demand Breakdown - Ethylene'!$C$74)</f>
        <v>13.766087612783778</v>
      </c>
      <c r="M44" s="60">
        <f>M43*('Demand Breakdown - Ethylene'!$C$74)</f>
        <v>14.000111102201101</v>
      </c>
      <c r="N44" s="60">
        <f>N43*('Demand Breakdown - Ethylene'!$C$74)</f>
        <v>14.238112990938518</v>
      </c>
      <c r="O44" s="60">
        <f>O43*('Demand Breakdown - Ethylene'!$C$74)</f>
        <v>14.480160911784472</v>
      </c>
      <c r="P44" s="60">
        <f>P43*('Demand Breakdown - Ethylene'!$C$74)</f>
        <v>14.726323647284806</v>
      </c>
      <c r="Q44" s="60">
        <f>Q43*('Demand Breakdown - Ethylene'!$C$74)</f>
        <v>14.976671149288647</v>
      </c>
      <c r="R44" s="60">
        <f>R43*('Demand Breakdown - Ethylene'!$C$74)</f>
        <v>15.231274558826552</v>
      </c>
      <c r="S44" s="60">
        <f>S43*('Demand Breakdown - Ethylene'!$C$74)</f>
        <v>15.490206226326602</v>
      </c>
      <c r="T44" s="60">
        <f>T43*('Demand Breakdown - Ethylene'!$C$74)</f>
        <v>15.753539732174152</v>
      </c>
      <c r="U44" s="60">
        <f>U43*('Demand Breakdown - Ethylene'!$C$74)</f>
        <v>16.021349907621111</v>
      </c>
      <c r="V44" s="60">
        <f>V43*('Demand Breakdown - Ethylene'!$C$74)</f>
        <v>16.293712856050668</v>
      </c>
      <c r="W44" s="60">
        <f>W43*('Demand Breakdown - Ethylene'!$C$74)</f>
        <v>16.570705974603527</v>
      </c>
      <c r="X44" s="60">
        <f>X43*('Demand Breakdown - Ethylene'!$C$74)</f>
        <v>16.852407976171786</v>
      </c>
      <c r="Y44" s="60">
        <f>Y43*('Demand Breakdown - Ethylene'!$C$74)</f>
        <v>17.138898911766706</v>
      </c>
      <c r="Z44" s="60">
        <f>Z43*('Demand Breakdown - Ethylene'!$C$74)</f>
        <v>17.430260193266736</v>
      </c>
      <c r="AA44" s="60">
        <f>AA43*('Demand Breakdown - Ethylene'!$C$74)</f>
        <v>17.72657461655227</v>
      </c>
      <c r="AB44" s="60">
        <f>AB43*('Demand Breakdown - Ethylene'!$C$74)</f>
        <v>18.027926385033656</v>
      </c>
      <c r="AC44" s="60">
        <f>AC43*('Demand Breakdown - Ethylene'!$C$74)</f>
        <v>18.334401133579227</v>
      </c>
      <c r="AD44" s="60">
        <f>AD43*('Demand Breakdown - Ethylene'!$C$74)</f>
        <v>18.646085952850072</v>
      </c>
      <c r="AE44" s="60">
        <f>AE43*('Demand Breakdown - Ethylene'!$C$74)</f>
        <v>18.963069414048523</v>
      </c>
      <c r="AF44" s="60">
        <f>AF43*('Demand Breakdown - Ethylene'!$C$74)</f>
        <v>19.285441594087345</v>
      </c>
      <c r="AG44" s="60">
        <f>AG43*('Demand Breakdown - Ethylene'!$C$74)</f>
        <v>19.613294101186828</v>
      </c>
      <c r="AH44" s="60">
        <f>AH43*('Demand Breakdown - Ethylene'!$C$74)</f>
        <v>19.946720100907001</v>
      </c>
      <c r="AI44" s="60"/>
    </row>
    <row r="45" spans="1:35">
      <c r="A45" s="756"/>
      <c r="B45" s="1" t="s">
        <v>260</v>
      </c>
      <c r="C45" s="54" t="s">
        <v>153</v>
      </c>
      <c r="D45" s="44">
        <f>D49/('Demand Breakdown - Ethylene'!$K$14)</f>
        <v>4.5813083502024288</v>
      </c>
      <c r="E45" s="44">
        <f>E49/('Demand Breakdown - Ethylene'!$K$14)</f>
        <v>4.6591905921558698</v>
      </c>
      <c r="F45" s="44">
        <f>F49/('Demand Breakdown - Ethylene'!$K$14)</f>
        <v>4.7383968322225201</v>
      </c>
      <c r="G45" s="44">
        <f>G49/('Demand Breakdown - Ethylene'!$K$14)</f>
        <v>4.8189495783703018</v>
      </c>
      <c r="H45" s="44">
        <f>H49/('Demand Breakdown - Ethylene'!$K$14)</f>
        <v>4.9008717212025967</v>
      </c>
      <c r="I45" s="44">
        <f>I49/('Demand Breakdown - Ethylene'!$K$14)</f>
        <v>4.9841865404630399</v>
      </c>
      <c r="J45" s="44">
        <f>J49/('Demand Breakdown - Ethylene'!$K$14)</f>
        <v>5.0689177116509114</v>
      </c>
      <c r="K45" s="44">
        <f>K49/('Demand Breakdown - Ethylene'!$K$14)</f>
        <v>5.1550893127489772</v>
      </c>
      <c r="L45" s="44">
        <f>L49/('Demand Breakdown - Ethylene'!$K$14)</f>
        <v>5.2427258310657097</v>
      </c>
      <c r="M45" s="44">
        <f>M49/('Demand Breakdown - Ethylene'!$K$14)</f>
        <v>5.3318521701938257</v>
      </c>
      <c r="N45" s="44">
        <f>N49/('Demand Breakdown - Ethylene'!$K$14)</f>
        <v>5.4224936570871201</v>
      </c>
      <c r="O45" s="44">
        <f>O49/('Demand Breakdown - Ethylene'!$K$14)</f>
        <v>5.5146760492576004</v>
      </c>
      <c r="P45" s="44">
        <f>P49/('Demand Breakdown - Ethylene'!$K$14)</f>
        <v>5.60842554209498</v>
      </c>
      <c r="Q45" s="44">
        <f>Q49/('Demand Breakdown - Ethylene'!$K$14)</f>
        <v>5.7037687763105938</v>
      </c>
      <c r="R45" s="44">
        <f>R49/('Demand Breakdown - Ethylene'!$K$14)</f>
        <v>5.8007328455078744</v>
      </c>
      <c r="S45" s="44">
        <f>S49/('Demand Breakdown - Ethylene'!$K$14)</f>
        <v>5.8993453038815069</v>
      </c>
      <c r="T45" s="44">
        <f>T49/('Demand Breakdown - Ethylene'!$K$14)</f>
        <v>5.9996341740474914</v>
      </c>
      <c r="U45" s="44">
        <f>U49/('Demand Breakdown - Ethylene'!$K$14)</f>
        <v>6.1016279550062977</v>
      </c>
      <c r="V45" s="44">
        <f>V49/('Demand Breakdown - Ethylene'!$K$14)</f>
        <v>6.2053556302414039</v>
      </c>
      <c r="W45" s="44">
        <f>W49/('Demand Breakdown - Ethylene'!$K$14)</f>
        <v>6.3108466759555082</v>
      </c>
      <c r="X45" s="44">
        <f>X49/('Demand Breakdown - Ethylene'!$K$14)</f>
        <v>6.4181310694467513</v>
      </c>
      <c r="Y45" s="44">
        <f>Y49/('Demand Breakdown - Ethylene'!$K$14)</f>
        <v>6.5272392976273457</v>
      </c>
      <c r="Z45" s="44">
        <f>Z49/('Demand Breakdown - Ethylene'!$K$14)</f>
        <v>6.6382023656870093</v>
      </c>
      <c r="AA45" s="44">
        <f>AA49/('Demand Breakdown - Ethylene'!$K$14)</f>
        <v>6.7510518059036873</v>
      </c>
      <c r="AB45" s="44">
        <f>AB49/('Demand Breakdown - Ethylene'!$K$14)</f>
        <v>6.8658196866040502</v>
      </c>
      <c r="AC45" s="44">
        <f>AC49/('Demand Breakdown - Ethylene'!$K$14)</f>
        <v>6.9825386212763174</v>
      </c>
      <c r="AD45" s="44">
        <f>AD49/('Demand Breakdown - Ethylene'!$K$14)</f>
        <v>7.1012417778380144</v>
      </c>
      <c r="AE45" s="44">
        <f>AE49/('Demand Breakdown - Ethylene'!$K$14)</f>
        <v>7.2219628880612587</v>
      </c>
      <c r="AF45" s="44">
        <f>AF49/('Demand Breakdown - Ethylene'!$K$14)</f>
        <v>7.3447362571583001</v>
      </c>
      <c r="AG45" s="44">
        <f>AG49/('Demand Breakdown - Ethylene'!$K$14)</f>
        <v>7.4695967735299904</v>
      </c>
      <c r="AH45" s="44">
        <f>AH49/('Demand Breakdown - Ethylene'!$K$14)</f>
        <v>7.5965799186799998</v>
      </c>
      <c r="AI45" s="44"/>
    </row>
    <row r="46" spans="1:35">
      <c r="A46" s="756"/>
      <c r="B46" s="1" t="s">
        <v>262</v>
      </c>
      <c r="C46" s="54" t="s">
        <v>153</v>
      </c>
      <c r="D46" s="44">
        <f>D48/('Demand Breakdown - Ethylene'!$M$14)</f>
        <v>13.515976331360944</v>
      </c>
      <c r="E46" s="44">
        <f>E48/('Demand Breakdown - Ethylene'!$M$14)</f>
        <v>13.74574792899408</v>
      </c>
      <c r="F46" s="44">
        <f>F48/('Demand Breakdown - Ethylene'!$M$14)</f>
        <v>13.979425643786977</v>
      </c>
      <c r="G46" s="44">
        <f>G48/('Demand Breakdown - Ethylene'!$M$14)</f>
        <v>14.217075879731354</v>
      </c>
      <c r="H46" s="44">
        <f>H48/('Demand Breakdown - Ethylene'!$M$14)</f>
        <v>14.458766169686786</v>
      </c>
      <c r="I46" s="44">
        <f>I48/('Demand Breakdown - Ethylene'!$M$14)</f>
        <v>14.70456519457146</v>
      </c>
      <c r="J46" s="44">
        <f>J48/('Demand Breakdown - Ethylene'!$M$14)</f>
        <v>14.954542802879173</v>
      </c>
      <c r="K46" s="44">
        <f>K48/('Demand Breakdown - Ethylene'!$M$14)</f>
        <v>15.208770030528118</v>
      </c>
      <c r="L46" s="44">
        <f>L48/('Demand Breakdown - Ethylene'!$M$14)</f>
        <v>15.467319121047097</v>
      </c>
      <c r="M46" s="44">
        <f>M48/('Demand Breakdown - Ethylene'!$M$14)</f>
        <v>15.730263546104895</v>
      </c>
      <c r="N46" s="44">
        <f>N48/('Demand Breakdown - Ethylene'!$M$14)</f>
        <v>15.997678026388677</v>
      </c>
      <c r="O46" s="44">
        <f>O48/('Demand Breakdown - Ethylene'!$M$14)</f>
        <v>16.269638552837282</v>
      </c>
      <c r="P46" s="44">
        <f>P48/('Demand Breakdown - Ethylene'!$M$14)</f>
        <v>16.546222408235515</v>
      </c>
      <c r="Q46" s="44">
        <f>Q48/('Demand Breakdown - Ethylene'!$M$14)</f>
        <v>16.827508189175518</v>
      </c>
      <c r="R46" s="44">
        <f>R48/('Demand Breakdown - Ethylene'!$M$14)</f>
        <v>17.1135758283915</v>
      </c>
      <c r="S46" s="44">
        <f>S48/('Demand Breakdown - Ethylene'!$M$14)</f>
        <v>17.404506617474155</v>
      </c>
      <c r="T46" s="44">
        <f>T48/('Demand Breakdown - Ethylene'!$M$14)</f>
        <v>17.700383229971216</v>
      </c>
      <c r="U46" s="44">
        <f>U48/('Demand Breakdown - Ethylene'!$M$14)</f>
        <v>18.001289744880722</v>
      </c>
      <c r="V46" s="44">
        <f>V48/('Demand Breakdown - Ethylene'!$M$14)</f>
        <v>18.30731167054369</v>
      </c>
      <c r="W46" s="44">
        <f>W48/('Demand Breakdown - Ethylene'!$M$14)</f>
        <v>18.618535968942933</v>
      </c>
      <c r="X46" s="44">
        <f>X48/('Demand Breakdown - Ethylene'!$M$14)</f>
        <v>18.935051080414958</v>
      </c>
      <c r="Y46" s="44">
        <f>Y48/('Demand Breakdown - Ethylene'!$M$14)</f>
        <v>19.256946948782012</v>
      </c>
      <c r="Z46" s="44">
        <f>Z48/('Demand Breakdown - Ethylene'!$M$14)</f>
        <v>19.584315046911307</v>
      </c>
      <c r="AA46" s="44">
        <f>AA48/('Demand Breakdown - Ethylene'!$M$14)</f>
        <v>19.917248402708797</v>
      </c>
      <c r="AB46" s="44">
        <f>AB48/('Demand Breakdown - Ethylene'!$M$14)</f>
        <v>20.255841625554844</v>
      </c>
      <c r="AC46" s="44">
        <f>AC48/('Demand Breakdown - Ethylene'!$M$14)</f>
        <v>20.600190933189271</v>
      </c>
      <c r="AD46" s="44">
        <f>AD48/('Demand Breakdown - Ethylene'!$M$14)</f>
        <v>20.95039417905349</v>
      </c>
      <c r="AE46" s="44">
        <f>AE48/('Demand Breakdown - Ethylene'!$M$14)</f>
        <v>21.306550880097394</v>
      </c>
      <c r="AF46" s="44">
        <f>AF48/('Demand Breakdown - Ethylene'!$M$14)</f>
        <v>21.66876224505905</v>
      </c>
      <c r="AG46" s="44">
        <f>AG48/('Demand Breakdown - Ethylene'!$M$14)</f>
        <v>22.037131203225051</v>
      </c>
      <c r="AH46" s="44">
        <f>AH48/('Demand Breakdown - Ethylene'!$M$14)</f>
        <v>22.411762433679872</v>
      </c>
      <c r="AI46" s="44"/>
    </row>
    <row r="47" spans="1:35" s="68" customFormat="1">
      <c r="A47" s="757"/>
      <c r="B47" s="62" t="s">
        <v>248</v>
      </c>
      <c r="C47" s="283" t="s">
        <v>153</v>
      </c>
      <c r="D47" s="284">
        <f>D43-SUM(D45,D44,D46)</f>
        <v>4.7444724576031234</v>
      </c>
      <c r="E47" s="284">
        <f t="shared" ref="E47:AH47" si="12">E43-SUM(E45,E44,E46)</f>
        <v>4.8251284893823794</v>
      </c>
      <c r="F47" s="284">
        <f t="shared" si="12"/>
        <v>4.9071556737018796</v>
      </c>
      <c r="G47" s="284">
        <f t="shared" si="12"/>
        <v>4.9905773201548058</v>
      </c>
      <c r="H47" s="284">
        <f t="shared" si="12"/>
        <v>5.075417134597437</v>
      </c>
      <c r="I47" s="284">
        <f t="shared" si="12"/>
        <v>5.1616992258855987</v>
      </c>
      <c r="J47" s="284">
        <f t="shared" si="12"/>
        <v>5.249448112725652</v>
      </c>
      <c r="K47" s="284">
        <f t="shared" si="12"/>
        <v>5.3386887306419908</v>
      </c>
      <c r="L47" s="284">
        <f t="shared" si="12"/>
        <v>5.4294464390628931</v>
      </c>
      <c r="M47" s="284">
        <f t="shared" si="12"/>
        <v>5.521747028526967</v>
      </c>
      <c r="N47" s="284">
        <f t="shared" si="12"/>
        <v>5.615616728011922</v>
      </c>
      <c r="O47" s="284">
        <f t="shared" si="12"/>
        <v>5.7110822123881277</v>
      </c>
      <c r="P47" s="284">
        <f t="shared" si="12"/>
        <v>5.8081706099987258</v>
      </c>
      <c r="Q47" s="284">
        <f t="shared" si="12"/>
        <v>5.906909510368699</v>
      </c>
      <c r="R47" s="284">
        <f t="shared" si="12"/>
        <v>6.0073269720449716</v>
      </c>
      <c r="S47" s="284">
        <f t="shared" si="12"/>
        <v>6.1094515305697357</v>
      </c>
      <c r="T47" s="284">
        <f t="shared" si="12"/>
        <v>6.2133122065894213</v>
      </c>
      <c r="U47" s="284">
        <f t="shared" si="12"/>
        <v>6.3189385141014398</v>
      </c>
      <c r="V47" s="284">
        <f t="shared" si="12"/>
        <v>6.4263604688411675</v>
      </c>
      <c r="W47" s="284">
        <f t="shared" si="12"/>
        <v>6.5356085968114641</v>
      </c>
      <c r="X47" s="284">
        <f t="shared" si="12"/>
        <v>6.6467139429572555</v>
      </c>
      <c r="Y47" s="284">
        <f t="shared" si="12"/>
        <v>6.7597080799875258</v>
      </c>
      <c r="Z47" s="284">
        <f t="shared" si="12"/>
        <v>6.874623117347312</v>
      </c>
      <c r="AA47" s="284">
        <f t="shared" si="12"/>
        <v>6.9914917103422241</v>
      </c>
      <c r="AB47" s="284">
        <f t="shared" si="12"/>
        <v>7.1103470694180331</v>
      </c>
      <c r="AC47" s="284">
        <f t="shared" si="12"/>
        <v>7.2312229695981358</v>
      </c>
      <c r="AD47" s="284">
        <f t="shared" si="12"/>
        <v>7.3541537600813101</v>
      </c>
      <c r="AE47" s="284">
        <f t="shared" si="12"/>
        <v>7.4791743740026888</v>
      </c>
      <c r="AF47" s="284">
        <f t="shared" si="12"/>
        <v>7.6063203383607387</v>
      </c>
      <c r="AG47" s="284">
        <f t="shared" si="12"/>
        <v>7.7356277841128644</v>
      </c>
      <c r="AH47" s="284">
        <f t="shared" si="12"/>
        <v>7.8671334564427795</v>
      </c>
      <c r="AI47" s="284"/>
    </row>
    <row r="48" spans="1:35" s="67" customFormat="1">
      <c r="A48" s="755" t="s">
        <v>263</v>
      </c>
      <c r="B48" s="58" t="s">
        <v>264</v>
      </c>
      <c r="C48" s="59" t="s">
        <v>153</v>
      </c>
      <c r="D48" s="60">
        <f>D43*'Demand Breakdown - Ethylene'!$E$74</f>
        <v>12.975337278106506</v>
      </c>
      <c r="E48" s="60">
        <f>E43*'Demand Breakdown - Ethylene'!$E$74</f>
        <v>13.195918011834316</v>
      </c>
      <c r="F48" s="60">
        <f>F43*'Demand Breakdown - Ethylene'!$E$74</f>
        <v>13.420248618035497</v>
      </c>
      <c r="G48" s="60">
        <f>G43*'Demand Breakdown - Ethylene'!$E$74</f>
        <v>13.6483928445421</v>
      </c>
      <c r="H48" s="60">
        <f>H43*'Demand Breakdown - Ethylene'!$E$74</f>
        <v>13.880415522899314</v>
      </c>
      <c r="I48" s="60">
        <f>I43*'Demand Breakdown - Ethylene'!$E$74</f>
        <v>14.116382586788601</v>
      </c>
      <c r="J48" s="60">
        <f>J43*'Demand Breakdown - Ethylene'!$E$74</f>
        <v>14.356361090764006</v>
      </c>
      <c r="K48" s="60">
        <f>K43*'Demand Breakdown - Ethylene'!$E$74</f>
        <v>14.600419229306993</v>
      </c>
      <c r="L48" s="60">
        <f>L43*'Demand Breakdown - Ethylene'!$E$74</f>
        <v>14.848626356205212</v>
      </c>
      <c r="M48" s="60">
        <f>M43*'Demand Breakdown - Ethylene'!$E$74</f>
        <v>15.101053004260699</v>
      </c>
      <c r="N48" s="60">
        <f>N43*'Demand Breakdown - Ethylene'!$E$74</f>
        <v>15.35777090533313</v>
      </c>
      <c r="O48" s="60">
        <f>O43*'Demand Breakdown - Ethylene'!$E$74</f>
        <v>15.618853010723791</v>
      </c>
      <c r="P48" s="60">
        <f>P43*'Demand Breakdown - Ethylene'!$E$74</f>
        <v>15.884373511906094</v>
      </c>
      <c r="Q48" s="60">
        <f>Q43*'Demand Breakdown - Ethylene'!$E$74</f>
        <v>16.154407861608497</v>
      </c>
      <c r="R48" s="60">
        <f>R43*'Demand Breakdown - Ethylene'!$E$74</f>
        <v>16.429032795255839</v>
      </c>
      <c r="S48" s="60">
        <f>S43*'Demand Breakdown - Ethylene'!$E$74</f>
        <v>16.708326352775188</v>
      </c>
      <c r="T48" s="60">
        <f>T43*'Demand Breakdown - Ethylene'!$E$74</f>
        <v>16.992367900772365</v>
      </c>
      <c r="U48" s="60">
        <f>U43*'Demand Breakdown - Ethylene'!$E$74</f>
        <v>17.281238155085493</v>
      </c>
      <c r="V48" s="60">
        <f>V43*'Demand Breakdown - Ethylene'!$E$74</f>
        <v>17.575019203721943</v>
      </c>
      <c r="W48" s="60">
        <f>W43*'Demand Breakdown - Ethylene'!$E$74</f>
        <v>17.873794530185215</v>
      </c>
      <c r="X48" s="60">
        <f>X43*'Demand Breakdown - Ethylene'!$E$74</f>
        <v>18.177649037198361</v>
      </c>
      <c r="Y48" s="60">
        <f>Y43*'Demand Breakdown - Ethylene'!$E$74</f>
        <v>18.486669070830732</v>
      </c>
      <c r="Z48" s="60">
        <f>Z43*'Demand Breakdown - Ethylene'!$E$74</f>
        <v>18.800942445034853</v>
      </c>
      <c r="AA48" s="60">
        <f>AA43*'Demand Breakdown - Ethylene'!$E$74</f>
        <v>19.120558466600443</v>
      </c>
      <c r="AB48" s="60">
        <f>AB43*'Demand Breakdown - Ethylene'!$E$74</f>
        <v>19.445607960532648</v>
      </c>
      <c r="AC48" s="60">
        <f>AC43*'Demand Breakdown - Ethylene'!$E$74</f>
        <v>19.776183295861699</v>
      </c>
      <c r="AD48" s="60">
        <f>AD43*'Demand Breakdown - Ethylene'!$E$74</f>
        <v>20.112378411891349</v>
      </c>
      <c r="AE48" s="60">
        <f>AE43*'Demand Breakdown - Ethylene'!$E$74</f>
        <v>20.454288844893497</v>
      </c>
      <c r="AF48" s="60">
        <f>AF43*'Demand Breakdown - Ethylene'!$E$74</f>
        <v>20.802011755256686</v>
      </c>
      <c r="AG48" s="60">
        <f>AG43*'Demand Breakdown - Ethylene'!$E$74</f>
        <v>21.155645955096048</v>
      </c>
      <c r="AH48" s="60">
        <f>AH43*'Demand Breakdown - Ethylene'!$E$74</f>
        <v>21.515291936332677</v>
      </c>
      <c r="AI48" s="60"/>
    </row>
    <row r="49" spans="1:35" s="68" customFormat="1">
      <c r="A49" s="757"/>
      <c r="B49" s="62" t="s">
        <v>266</v>
      </c>
      <c r="C49" s="283" t="s">
        <v>153</v>
      </c>
      <c r="D49" s="284">
        <f>D43*'Demand Breakdown - Ethylene'!$D$74/'Demand Breakdown - Ethylene'!$L$24</f>
        <v>2.8011119939271252</v>
      </c>
      <c r="E49" s="284">
        <f>E43*'Demand Breakdown - Ethylene'!$D$74/'Demand Breakdown - Ethylene'!$L$24</f>
        <v>2.8487308978238861</v>
      </c>
      <c r="F49" s="284">
        <f>F43*'Demand Breakdown - Ethylene'!$D$74/'Demand Breakdown - Ethylene'!$L$24</f>
        <v>2.8971593230868922</v>
      </c>
      <c r="G49" s="284">
        <f>G43*'Demand Breakdown - Ethylene'!$D$74/'Demand Breakdown - Ethylene'!$L$24</f>
        <v>2.9464110315793688</v>
      </c>
      <c r="H49" s="284">
        <f>H43*'Demand Breakdown - Ethylene'!$D$74/'Demand Breakdown - Ethylene'!$L$24</f>
        <v>2.9965000191162177</v>
      </c>
      <c r="I49" s="284">
        <f>I43*'Demand Breakdown - Ethylene'!$D$74/'Demand Breakdown - Ethylene'!$L$24</f>
        <v>3.0474405194411931</v>
      </c>
      <c r="J49" s="284">
        <f>J43*'Demand Breakdown - Ethylene'!$D$74/'Demand Breakdown - Ethylene'!$L$24</f>
        <v>3.0992470082716932</v>
      </c>
      <c r="K49" s="284">
        <f>K43*'Demand Breakdown - Ethylene'!$D$74/'Demand Breakdown - Ethylene'!$L$24</f>
        <v>3.151934207412312</v>
      </c>
      <c r="L49" s="284">
        <f>L43*'Demand Breakdown - Ethylene'!$D$74/'Demand Breakdown - Ethylene'!$L$24</f>
        <v>3.2055170889383211</v>
      </c>
      <c r="M49" s="284">
        <f>M43*'Demand Breakdown - Ethylene'!$D$74/'Demand Breakdown - Ethylene'!$L$24</f>
        <v>3.2600108794502725</v>
      </c>
      <c r="N49" s="284">
        <f>N43*'Demand Breakdown - Ethylene'!$D$74/'Demand Breakdown - Ethylene'!$L$24</f>
        <v>3.3154310644009266</v>
      </c>
      <c r="O49" s="284">
        <f>O43*'Demand Breakdown - Ethylene'!$D$74/'Demand Breakdown - Ethylene'!$L$24</f>
        <v>3.3717933924957419</v>
      </c>
      <c r="P49" s="284">
        <f>P43*'Demand Breakdown - Ethylene'!$D$74/'Demand Breakdown - Ethylene'!$L$24</f>
        <v>3.4291138801681695</v>
      </c>
      <c r="Q49" s="284">
        <f>Q43*'Demand Breakdown - Ethylene'!$D$74/'Demand Breakdown - Ethylene'!$L$24</f>
        <v>3.4874088161310279</v>
      </c>
      <c r="R49" s="284">
        <f>R43*'Demand Breakdown - Ethylene'!$D$74/'Demand Breakdown - Ethylene'!$L$24</f>
        <v>3.5466947660052557</v>
      </c>
      <c r="S49" s="284">
        <f>S43*'Demand Breakdown - Ethylene'!$D$74/'Demand Breakdown - Ethylene'!$L$24</f>
        <v>3.606988577027344</v>
      </c>
      <c r="T49" s="284">
        <f>T43*'Demand Breakdown - Ethylene'!$D$74/'Demand Breakdown - Ethylene'!$L$24</f>
        <v>3.6683073828368085</v>
      </c>
      <c r="U49" s="284">
        <f>U43*'Demand Breakdown - Ethylene'!$D$74/'Demand Breakdown - Ethylene'!$L$24</f>
        <v>3.7306686083450336</v>
      </c>
      <c r="V49" s="284">
        <f>V43*'Demand Breakdown - Ethylene'!$D$74/'Demand Breakdown - Ethylene'!$L$24</f>
        <v>3.7940899746868983</v>
      </c>
      <c r="W49" s="284">
        <f>W43*'Demand Breakdown - Ethylene'!$D$74/'Demand Breakdown - Ethylene'!$L$24</f>
        <v>3.8585895042565759</v>
      </c>
      <c r="X49" s="284">
        <f>X43*'Demand Breakdown - Ethylene'!$D$74/'Demand Breakdown - Ethylene'!$L$24</f>
        <v>3.9241855258289373</v>
      </c>
      <c r="Y49" s="284">
        <f>Y43*'Demand Breakdown - Ethylene'!$D$74/'Demand Breakdown - Ethylene'!$L$24</f>
        <v>3.9908966797680292</v>
      </c>
      <c r="Z49" s="284">
        <f>Z43*'Demand Breakdown - Ethylene'!$D$74/'Demand Breakdown - Ethylene'!$L$24</f>
        <v>4.0587419233240851</v>
      </c>
      <c r="AA49" s="284">
        <f>AA43*'Demand Breakdown - Ethylene'!$D$74/'Demand Breakdown - Ethylene'!$L$24</f>
        <v>4.1277405360205934</v>
      </c>
      <c r="AB49" s="284">
        <f>AB43*'Demand Breakdown - Ethylene'!$D$74/'Demand Breakdown - Ethylene'!$L$24</f>
        <v>4.1979121251329437</v>
      </c>
      <c r="AC49" s="284">
        <f>AC43*'Demand Breakdown - Ethylene'!$D$74/'Demand Breakdown - Ethylene'!$L$24</f>
        <v>4.2692766312602028</v>
      </c>
      <c r="AD49" s="284">
        <f>AD43*'Demand Breakdown - Ethylene'!$D$74/'Demand Breakdown - Ethylene'!$L$24</f>
        <v>4.341854333991626</v>
      </c>
      <c r="AE49" s="284">
        <f>AE43*'Demand Breakdown - Ethylene'!$D$74/'Demand Breakdown - Ethylene'!$L$24</f>
        <v>4.4156658576694827</v>
      </c>
      <c r="AF49" s="284">
        <f>AF43*'Demand Breakdown - Ethylene'!$D$74/'Demand Breakdown - Ethylene'!$L$24</f>
        <v>4.4907321772498641</v>
      </c>
      <c r="AG49" s="284">
        <f>AG43*'Demand Breakdown - Ethylene'!$D$74/'Demand Breakdown - Ethylene'!$L$24</f>
        <v>4.5670746242631113</v>
      </c>
      <c r="AH49" s="284">
        <f>AH43*'Demand Breakdown - Ethylene'!$D$74/'Demand Breakdown - Ethylene'!$L$24</f>
        <v>4.6447148928755837</v>
      </c>
      <c r="AI49" s="284"/>
    </row>
    <row r="50" spans="1:35">
      <c r="A50" s="1" t="s">
        <v>273</v>
      </c>
      <c r="B50" s="58" t="s">
        <v>199</v>
      </c>
      <c r="C50" s="59" t="s">
        <v>153</v>
      </c>
      <c r="D50" s="60">
        <f>'R&amp;S - Apparel'!E4</f>
        <v>3.4336211538461541</v>
      </c>
      <c r="E50" s="60">
        <f>D50*(1+'R&amp;S - Apparel'!$C$5)</f>
        <v>3.5057271980769231</v>
      </c>
      <c r="F50" s="60">
        <f>E50*(1+'R&amp;S - Apparel'!$C$5)</f>
        <v>3.5793474692365383</v>
      </c>
      <c r="G50" s="60">
        <f>F50*(1+'R&amp;S - Apparel'!$C$5)</f>
        <v>3.6545137660905054</v>
      </c>
      <c r="H50" s="60">
        <f>G50*(1+'R&amp;S - Apparel'!$C$5)</f>
        <v>3.7312585551784054</v>
      </c>
      <c r="I50" s="60">
        <f>H50*(1+'R&amp;S - Apparel'!$C$5)</f>
        <v>3.8096149848371517</v>
      </c>
      <c r="J50" s="60">
        <f>I50*(1+'R&amp;S - Apparel'!$C$5)</f>
        <v>3.8896168995187317</v>
      </c>
      <c r="K50" s="60">
        <f>J50*(1+'R&amp;S - Apparel'!$C$5)</f>
        <v>3.9712988544086247</v>
      </c>
      <c r="L50" s="60">
        <f>K50*(1+'R&amp;S - Apparel'!$C$5)</f>
        <v>4.0546961303512052</v>
      </c>
      <c r="M50" s="60">
        <f>L50*(1+'R&amp;S - Apparel'!$C$5)</f>
        <v>4.1398447490885806</v>
      </c>
      <c r="N50" s="60">
        <f>M50*(1+'R&amp;S - Apparel'!$C$5)</f>
        <v>4.2267814888194408</v>
      </c>
      <c r="O50" s="60">
        <f>N50*(1+'R&amp;S - Apparel'!$C$5)</f>
        <v>4.3155439000846485</v>
      </c>
      <c r="P50" s="60">
        <f>O50*(1+'R&amp;S - Apparel'!$C$5)</f>
        <v>4.4061703219864254</v>
      </c>
      <c r="Q50" s="60">
        <f>P50*(1+'R&amp;S - Apparel'!$C$5)</f>
        <v>4.4986998987481401</v>
      </c>
      <c r="R50" s="60">
        <f>Q50*(1+'R&amp;S - Apparel'!$C$5)</f>
        <v>4.5931725966218506</v>
      </c>
      <c r="S50" s="60">
        <f>R50*(1+'R&amp;S - Apparel'!$C$5)</f>
        <v>4.6896292211509092</v>
      </c>
      <c r="T50" s="60">
        <f>S50*(1+'R&amp;S - Apparel'!$C$5)</f>
        <v>4.7881114347950779</v>
      </c>
      <c r="U50" s="60">
        <f>T50*(1+'R&amp;S - Apparel'!$C$5)</f>
        <v>4.8886617749257741</v>
      </c>
      <c r="V50" s="60">
        <f>U50*(1+'R&amp;S - Apparel'!$C$5)</f>
        <v>4.9913236721992149</v>
      </c>
      <c r="W50" s="60">
        <f>V50*(1+'R&amp;S - Apparel'!$C$5)</f>
        <v>5.0961414693153984</v>
      </c>
      <c r="X50" s="60">
        <f>W50*(1+'R&amp;S - Apparel'!$C$5)</f>
        <v>5.203160440171021</v>
      </c>
      <c r="Y50" s="60">
        <f>X50*(1+'R&amp;S - Apparel'!$C$5)</f>
        <v>5.3124268094146121</v>
      </c>
      <c r="Z50" s="60">
        <f>Y50*(1+'R&amp;S - Apparel'!$C$5)</f>
        <v>5.4239877724123184</v>
      </c>
      <c r="AA50" s="60">
        <f>Z50*(1+'R&amp;S - Apparel'!$C$5)</f>
        <v>5.5378915156329764</v>
      </c>
      <c r="AB50" s="60">
        <f>AA50*(1+'R&amp;S - Apparel'!$C$5)</f>
        <v>5.6541872374612687</v>
      </c>
      <c r="AC50" s="60">
        <f>AB50*(1+'R&amp;S - Apparel'!$C$5)</f>
        <v>5.7729251694479551</v>
      </c>
      <c r="AD50" s="60">
        <f>AC50*(1+'R&amp;S - Apparel'!$C$5)</f>
        <v>5.8941565980063615</v>
      </c>
      <c r="AE50" s="60">
        <f>AD50*(1+'R&amp;S - Apparel'!$C$5)</f>
        <v>6.0179338865644949</v>
      </c>
      <c r="AF50" s="60">
        <f>AE50*(1+'R&amp;S - Apparel'!$C$5)</f>
        <v>6.1443104981823486</v>
      </c>
      <c r="AG50" s="60">
        <f>AF50*(1+'R&amp;S - Apparel'!$C$5)</f>
        <v>6.2733410186441771</v>
      </c>
      <c r="AH50" s="60">
        <f>AG50*(1+'R&amp;S - Apparel'!$C$5)</f>
        <v>6.4050811800357046</v>
      </c>
    </row>
    <row r="51" spans="1:35" outlineLevel="1">
      <c r="B51" s="61" t="s">
        <v>206</v>
      </c>
      <c r="C51" s="54" t="s">
        <v>153</v>
      </c>
      <c r="D51">
        <v>0</v>
      </c>
      <c r="E51" s="43">
        <f>E50*'R&amp;S - Apparel'!$C$7*'R&amp;S - Apparel'!$B$13*'R&amp;S - Apparel'!$B$17*('Yearly HC Ethylene'!E$3-'Yearly HC Ethylene'!$D$3)/10</f>
        <v>0</v>
      </c>
      <c r="F51" s="43">
        <f>F50*'R&amp;S - Apparel'!$C$7*'R&amp;S - Apparel'!$B$13*'R&amp;S - Apparel'!$B$17*('Yearly HC Ethylene'!F$3-'Yearly HC Ethylene'!$D$3)/10</f>
        <v>0</v>
      </c>
      <c r="G51" s="43">
        <f>G50*'R&amp;S - Apparel'!$C$7*'R&amp;S - Apparel'!$B$13*'R&amp;S - Apparel'!$B$17*('Yearly HC Ethylene'!G$3-'Yearly HC Ethylene'!$D$3)/10</f>
        <v>0</v>
      </c>
      <c r="H51" s="43">
        <f>H50*'R&amp;S - Apparel'!$C$7*'R&amp;S - Apparel'!$B$13*'R&amp;S - Apparel'!$B$17*('Yearly HC Ethylene'!H$3-'Yearly HC Ethylene'!$D$3)/10</f>
        <v>0</v>
      </c>
      <c r="I51" s="43">
        <f>I50*'R&amp;S - Apparel'!$C$7*'R&amp;S - Apparel'!$B$13*'R&amp;S - Apparel'!$B$17*('Yearly HC Ethylene'!I$3-'Yearly HC Ethylene'!$D$3)/10</f>
        <v>0</v>
      </c>
      <c r="J51" s="43">
        <f>J50*'R&amp;S - Apparel'!$C$7*'R&amp;S - Apparel'!$B$13*'R&amp;S - Apparel'!$B$17*('Yearly HC Ethylene'!J$3-'Yearly HC Ethylene'!$D$3)/10</f>
        <v>0</v>
      </c>
      <c r="K51" s="43">
        <f>K50*'R&amp;S - Apparel'!$C$7*'R&amp;S - Apparel'!$B$13*'R&amp;S - Apparel'!$B$17*('Yearly HC Ethylene'!K$3-'Yearly HC Ethylene'!$D$3)/10</f>
        <v>0</v>
      </c>
      <c r="L51" s="43">
        <f>L50*'R&amp;S - Apparel'!$C$7*'R&amp;S - Apparel'!$B$13*'R&amp;S - Apparel'!$B$17*('Yearly HC Ethylene'!L$3-'Yearly HC Ethylene'!$D$3)/10</f>
        <v>0</v>
      </c>
      <c r="M51" s="43">
        <f>M50*'R&amp;S - Apparel'!$C$7*'R&amp;S - Apparel'!$B$13*'R&amp;S - Apparel'!$B$17*('Yearly HC Ethylene'!M$3-'Yearly HC Ethylene'!$D$3)/10</f>
        <v>0</v>
      </c>
      <c r="N51" s="43">
        <f>N50*'R&amp;S - Apparel'!$C$7*'R&amp;S - Apparel'!$B$13*'R&amp;S - Apparel'!$B$17*('Yearly HC Ethylene'!N$3-'Yearly HC Ethylene'!$D$3)/10</f>
        <v>0</v>
      </c>
      <c r="O51" s="43">
        <f>O50*'R&amp;S - Apparel'!$C$7*'R&amp;S - Apparel'!$B$13*('R&amp;S - Apparel'!$B$17+('R&amp;S - Apparel'!$B$18-'R&amp;S - Apparel'!$B$17)*('Yearly HC Ethylene'!O$3-'Yearly HC Ethylene'!$N$3)/10)</f>
        <v>0</v>
      </c>
      <c r="P51" s="43">
        <f>P50*'R&amp;S - Apparel'!$C$7*'R&amp;S - Apparel'!$B$13*('R&amp;S - Apparel'!$B$17+('R&amp;S - Apparel'!$B$18-'R&amp;S - Apparel'!$B$17)*('Yearly HC Ethylene'!P$3-'Yearly HC Ethylene'!$N$3)/10)</f>
        <v>0</v>
      </c>
      <c r="Q51" s="43">
        <f>Q50*'R&amp;S - Apparel'!$C$7*'R&amp;S - Apparel'!$B$13*('R&amp;S - Apparel'!$B$17+('R&amp;S - Apparel'!$B$18-'R&amp;S - Apparel'!$B$17)*('Yearly HC Ethylene'!Q$3-'Yearly HC Ethylene'!$N$3)/10)</f>
        <v>0</v>
      </c>
      <c r="R51" s="43">
        <f>R50*'R&amp;S - Apparel'!$C$7*'R&amp;S - Apparel'!$B$13*('R&amp;S - Apparel'!$B$17+('R&amp;S - Apparel'!$B$18-'R&amp;S - Apparel'!$B$17)*('Yearly HC Ethylene'!R$3-'Yearly HC Ethylene'!$N$3)/10)</f>
        <v>0</v>
      </c>
      <c r="S51" s="43">
        <f>S50*'R&amp;S - Apparel'!$C$7*'R&amp;S - Apparel'!$B$13*('R&amp;S - Apparel'!$B$17+('R&amp;S - Apparel'!$B$18-'R&amp;S - Apparel'!$B$17)*('Yearly HC Ethylene'!S$3-'Yearly HC Ethylene'!$N$3)/10)</f>
        <v>0</v>
      </c>
      <c r="T51" s="43">
        <f>T50*'R&amp;S - Apparel'!$C$7*'R&amp;S - Apparel'!$B$13*('R&amp;S - Apparel'!$B$17+('R&amp;S - Apparel'!$B$18-'R&amp;S - Apparel'!$B$17)*('Yearly HC Ethylene'!T$3-'Yearly HC Ethylene'!$N$3)/10)</f>
        <v>0</v>
      </c>
      <c r="U51" s="43">
        <f>U50*'R&amp;S - Apparel'!$C$7*'R&amp;S - Apparel'!$B$13*('R&amp;S - Apparel'!$B$17+('R&amp;S - Apparel'!$B$18-'R&amp;S - Apparel'!$B$17)*('Yearly HC Ethylene'!U$3-'Yearly HC Ethylene'!$N$3)/10)</f>
        <v>0</v>
      </c>
      <c r="V51" s="43">
        <f>V50*'R&amp;S - Apparel'!$C$7*'R&amp;S - Apparel'!$B$13*('R&amp;S - Apparel'!$B$17+('R&amp;S - Apparel'!$B$18-'R&amp;S - Apparel'!$B$17)*('Yearly HC Ethylene'!V$3-'Yearly HC Ethylene'!$N$3)/10)</f>
        <v>0</v>
      </c>
      <c r="W51" s="43">
        <f>W50*'R&amp;S - Apparel'!$C$7*'R&amp;S - Apparel'!$B$13*('R&amp;S - Apparel'!$B$17+('R&amp;S - Apparel'!$B$18-'R&amp;S - Apparel'!$B$17)*('Yearly HC Ethylene'!W$3-'Yearly HC Ethylene'!$N$3)/10)</f>
        <v>0</v>
      </c>
      <c r="X51" s="43">
        <f>X50*'R&amp;S - Apparel'!$C$7*'R&amp;S - Apparel'!$B$13*('R&amp;S - Apparel'!$B$17+('R&amp;S - Apparel'!$B$18-'R&amp;S - Apparel'!$B$17)*('Yearly HC Ethylene'!X$3-'Yearly HC Ethylene'!$N$3)/10)</f>
        <v>0</v>
      </c>
      <c r="Y51" s="43">
        <f>Y50*'R&amp;S - Apparel'!$C$7*'R&amp;S - Apparel'!$B$13*('R&amp;S - Apparel'!$B$18+('R&amp;S - Apparel'!$B$19-'R&amp;S - Apparel'!$B$18)*('Yearly HC Ethylene'!Y$3-'Yearly HC Ethylene'!$X$3)/10)</f>
        <v>0</v>
      </c>
      <c r="Z51" s="43">
        <f>Z50*'R&amp;S - Apparel'!$C$7*'R&amp;S - Apparel'!$B$13*('R&amp;S - Apparel'!$B$18+('R&amp;S - Apparel'!$B$19-'R&amp;S - Apparel'!$B$18)*('Yearly HC Ethylene'!Z$3-'Yearly HC Ethylene'!$X$3)/10)</f>
        <v>0</v>
      </c>
      <c r="AA51" s="43">
        <f>AA50*'R&amp;S - Apparel'!$C$7*'R&amp;S - Apparel'!$B$13*('R&amp;S - Apparel'!$B$18+('R&amp;S - Apparel'!$B$19-'R&amp;S - Apparel'!$B$18)*('Yearly HC Ethylene'!AA$3-'Yearly HC Ethylene'!$X$3)/10)</f>
        <v>0</v>
      </c>
      <c r="AB51" s="43">
        <f>AB50*'R&amp;S - Apparel'!$C$7*'R&amp;S - Apparel'!$B$13*('R&amp;S - Apparel'!$B$18+('R&amp;S - Apparel'!$B$19-'R&amp;S - Apparel'!$B$18)*('Yearly HC Ethylene'!AB$3-'Yearly HC Ethylene'!$X$3)/10)</f>
        <v>0</v>
      </c>
      <c r="AC51" s="43">
        <f>AC50*'R&amp;S - Apparel'!$C$7*'R&amp;S - Apparel'!$B$13*('R&amp;S - Apparel'!$B$18+('R&amp;S - Apparel'!$B$19-'R&amp;S - Apparel'!$B$18)*('Yearly HC Ethylene'!AC$3-'Yearly HC Ethylene'!$X$3)/10)</f>
        <v>0</v>
      </c>
      <c r="AD51" s="43">
        <f>AD50*'R&amp;S - Apparel'!$C$7*'R&amp;S - Apparel'!$B$13*('R&amp;S - Apparel'!$B$18+('R&amp;S - Apparel'!$B$19-'R&amp;S - Apparel'!$B$18)*('Yearly HC Ethylene'!AD$3-'Yearly HC Ethylene'!$X$3)/10)</f>
        <v>0</v>
      </c>
      <c r="AE51" s="43">
        <f>AE50*'R&amp;S - Apparel'!$C$7*'R&amp;S - Apparel'!$B$13*('R&amp;S - Apparel'!$B$18+('R&amp;S - Apparel'!$B$19-'R&amp;S - Apparel'!$B$18)*('Yearly HC Ethylene'!AE$3-'Yearly HC Ethylene'!$X$3)/10)</f>
        <v>0</v>
      </c>
      <c r="AF51" s="43">
        <f>AF50*'R&amp;S - Apparel'!$C$7*'R&amp;S - Apparel'!$B$13*('R&amp;S - Apparel'!$B$18+('R&amp;S - Apparel'!$B$19-'R&amp;S - Apparel'!$B$18)*('Yearly HC Ethylene'!AF$3-'Yearly HC Ethylene'!$X$3)/10)</f>
        <v>0</v>
      </c>
      <c r="AG51" s="43">
        <f>AG50*'R&amp;S - Apparel'!$C$7*'R&amp;S - Apparel'!$B$13*('R&amp;S - Apparel'!$B$18+('R&amp;S - Apparel'!$B$19-'R&amp;S - Apparel'!$B$18)*('Yearly HC Ethylene'!AG$3-'Yearly HC Ethylene'!$X$3)/10)</f>
        <v>0</v>
      </c>
      <c r="AH51" s="43">
        <f>AH50*'R&amp;S - Apparel'!$C$7*'R&amp;S - Apparel'!$B$13*('R&amp;S - Apparel'!$B$18+('R&amp;S - Apparel'!$B$19-'R&amp;S - Apparel'!$B$18)*('Yearly HC Ethylene'!AH$3-'Yearly HC Ethylene'!$X$3)/10)</f>
        <v>0</v>
      </c>
    </row>
    <row r="52" spans="1:35" outlineLevel="1">
      <c r="B52" s="61" t="s">
        <v>207</v>
      </c>
      <c r="C52" s="54" t="s">
        <v>153</v>
      </c>
      <c r="D52">
        <v>0</v>
      </c>
      <c r="E52" s="43">
        <f>E50*'R&amp;S - Apparel'!$C$8*'R&amp;S - Apparel'!$B$13*'R&amp;S - Apparel'!$C$17*('Yearly HC Ethylene'!E$3-'Yearly HC Ethylene'!$D$3)/10</f>
        <v>0</v>
      </c>
      <c r="F52" s="43">
        <f>F50*'R&amp;S - Apparel'!$C$8*'R&amp;S - Apparel'!$B$13*'R&amp;S - Apparel'!$C$17*('Yearly HC Ethylene'!F$3-'Yearly HC Ethylene'!$D$3)/10</f>
        <v>0</v>
      </c>
      <c r="G52" s="43">
        <f>G50*'R&amp;S - Apparel'!$C$8*'R&amp;S - Apparel'!$B$13*'R&amp;S - Apparel'!$C$17*('Yearly HC Ethylene'!G$3-'Yearly HC Ethylene'!$D$3)/10</f>
        <v>0</v>
      </c>
      <c r="H52" s="43">
        <f>H50*'R&amp;S - Apparel'!$C$8*'R&amp;S - Apparel'!$B$13*'R&amp;S - Apparel'!$C$17*('Yearly HC Ethylene'!H$3-'Yearly HC Ethylene'!$D$3)/10</f>
        <v>0</v>
      </c>
      <c r="I52" s="43">
        <f>I50*'R&amp;S - Apparel'!$C$8*'R&amp;S - Apparel'!$B$13*'R&amp;S - Apparel'!$C$17*('Yearly HC Ethylene'!I$3-'Yearly HC Ethylene'!$D$3)/10</f>
        <v>0</v>
      </c>
      <c r="J52" s="43">
        <f>J50*'R&amp;S - Apparel'!$C$8*'R&amp;S - Apparel'!$B$13*'R&amp;S - Apparel'!$C$17*('Yearly HC Ethylene'!J$3-'Yearly HC Ethylene'!$D$3)/10</f>
        <v>0</v>
      </c>
      <c r="K52" s="43">
        <f>K50*'R&amp;S - Apparel'!$C$8*'R&amp;S - Apparel'!$B$13*'R&amp;S - Apparel'!$C$17*('Yearly HC Ethylene'!K$3-'Yearly HC Ethylene'!$D$3)/10</f>
        <v>0</v>
      </c>
      <c r="L52" s="43">
        <f>L50*'R&amp;S - Apparel'!$C$8*'R&amp;S - Apparel'!$B$13*'R&amp;S - Apparel'!$C$17*('Yearly HC Ethylene'!L$3-'Yearly HC Ethylene'!$D$3)/10</f>
        <v>0</v>
      </c>
      <c r="M52" s="43">
        <f>M50*'R&amp;S - Apparel'!$C$8*'R&amp;S - Apparel'!$B$13*'R&amp;S - Apparel'!$C$17*('Yearly HC Ethylene'!M$3-'Yearly HC Ethylene'!$D$3)/10</f>
        <v>0</v>
      </c>
      <c r="N52" s="43">
        <f>N50*'R&amp;S - Apparel'!$C$8*'R&amp;S - Apparel'!$B$13*'R&amp;S - Apparel'!$C$17*('Yearly HC Ethylene'!N$3-'Yearly HC Ethylene'!$D$3)/10</f>
        <v>0</v>
      </c>
      <c r="O52" s="43">
        <f>O50*'R&amp;S - Apparel'!$C$8*'R&amp;S - Apparel'!$B$13*('R&amp;S - Apparel'!$C$17+('R&amp;S - Apparel'!$C$18-'R&amp;S - Apparel'!$C$17)*('Yearly HC Ethylene'!O$3-'Yearly HC Ethylene'!$N$3)/10)</f>
        <v>0</v>
      </c>
      <c r="P52" s="43">
        <f>P50*'R&amp;S - Apparel'!$C$8*'R&amp;S - Apparel'!$B$13*('R&amp;S - Apparel'!$C$17+('R&amp;S - Apparel'!$C$18-'R&amp;S - Apparel'!$C$17)*('Yearly HC Ethylene'!P$3-'Yearly HC Ethylene'!$N$3)/10)</f>
        <v>0</v>
      </c>
      <c r="Q52" s="43">
        <f>Q50*'R&amp;S - Apparel'!$C$8*'R&amp;S - Apparel'!$B$13*('R&amp;S - Apparel'!$C$17+('R&amp;S - Apparel'!$C$18-'R&amp;S - Apparel'!$C$17)*('Yearly HC Ethylene'!Q$3-'Yearly HC Ethylene'!$N$3)/10)</f>
        <v>0</v>
      </c>
      <c r="R52" s="43">
        <f>R50*'R&amp;S - Apparel'!$C$8*'R&amp;S - Apparel'!$B$13*('R&amp;S - Apparel'!$C$17+('R&amp;S - Apparel'!$C$18-'R&amp;S - Apparel'!$C$17)*('Yearly HC Ethylene'!R$3-'Yearly HC Ethylene'!$N$3)/10)</f>
        <v>0</v>
      </c>
      <c r="S52" s="43">
        <f>S50*'R&amp;S - Apparel'!$C$8*'R&amp;S - Apparel'!$B$13*('R&amp;S - Apparel'!$C$17+('R&amp;S - Apparel'!$C$18-'R&amp;S - Apparel'!$C$17)*('Yearly HC Ethylene'!S$3-'Yearly HC Ethylene'!$N$3)/10)</f>
        <v>0</v>
      </c>
      <c r="T52" s="43">
        <f>T50*'R&amp;S - Apparel'!$C$8*'R&amp;S - Apparel'!$B$13*('R&amp;S - Apparel'!$C$17+('R&amp;S - Apparel'!$C$18-'R&amp;S - Apparel'!$C$17)*('Yearly HC Ethylene'!T$3-'Yearly HC Ethylene'!$N$3)/10)</f>
        <v>0</v>
      </c>
      <c r="U52" s="43">
        <f>U50*'R&amp;S - Apparel'!$C$8*'R&amp;S - Apparel'!$B$13*('R&amp;S - Apparel'!$C$17+('R&amp;S - Apparel'!$C$18-'R&amp;S - Apparel'!$C$17)*('Yearly HC Ethylene'!U$3-'Yearly HC Ethylene'!$N$3)/10)</f>
        <v>0</v>
      </c>
      <c r="V52" s="43">
        <f>V50*'R&amp;S - Apparel'!$C$8*'R&amp;S - Apparel'!$B$13*('R&amp;S - Apparel'!$C$17+('R&amp;S - Apparel'!$C$18-'R&amp;S - Apparel'!$C$17)*('Yearly HC Ethylene'!V$3-'Yearly HC Ethylene'!$N$3)/10)</f>
        <v>0</v>
      </c>
      <c r="W52" s="43">
        <f>W50*'R&amp;S - Apparel'!$C$8*'R&amp;S - Apparel'!$B$13*('R&amp;S - Apparel'!$C$17+('R&amp;S - Apparel'!$C$18-'R&amp;S - Apparel'!$C$17)*('Yearly HC Ethylene'!W$3-'Yearly HC Ethylene'!$N$3)/10)</f>
        <v>0</v>
      </c>
      <c r="X52" s="43">
        <f>X50*'R&amp;S - Apparel'!$C$8*'R&amp;S - Apparel'!$B$13*('R&amp;S - Apparel'!$C$17+('R&amp;S - Apparel'!$C$18-'R&amp;S - Apparel'!$C$17)*('Yearly HC Ethylene'!X$3-'Yearly HC Ethylene'!$N$3)/10)</f>
        <v>0</v>
      </c>
      <c r="Y52" s="43">
        <f>Y50*'R&amp;S - Apparel'!$C$8*'R&amp;S - Apparel'!$B$13*('R&amp;S - Apparel'!$C$18+('R&amp;S - Apparel'!$C$19-'R&amp;S - Apparel'!$C$18)*('Yearly HC Ethylene'!Y$3-'Yearly HC Ethylene'!$X$3)/10)</f>
        <v>0</v>
      </c>
      <c r="Z52" s="43">
        <f>Z50*'R&amp;S - Apparel'!$C$8*'R&amp;S - Apparel'!$B$13*('R&amp;S - Apparel'!$C$18+('R&amp;S - Apparel'!$C$19-'R&amp;S - Apparel'!$C$18)*('Yearly HC Ethylene'!Z$3-'Yearly HC Ethylene'!$X$3)/10)</f>
        <v>0</v>
      </c>
      <c r="AA52" s="43">
        <f>AA50*'R&amp;S - Apparel'!$C$8*'R&amp;S - Apparel'!$B$13*('R&amp;S - Apparel'!$C$18+('R&amp;S - Apparel'!$C$19-'R&amp;S - Apparel'!$C$18)*('Yearly HC Ethylene'!AA$3-'Yearly HC Ethylene'!$X$3)/10)</f>
        <v>0</v>
      </c>
      <c r="AB52" s="43">
        <f>AB50*'R&amp;S - Apparel'!$C$8*'R&amp;S - Apparel'!$B$13*('R&amp;S - Apparel'!$C$18+('R&amp;S - Apparel'!$C$19-'R&amp;S - Apparel'!$C$18)*('Yearly HC Ethylene'!AB$3-'Yearly HC Ethylene'!$X$3)/10)</f>
        <v>0</v>
      </c>
      <c r="AC52" s="43">
        <f>AC50*'R&amp;S - Apparel'!$C$8*'R&amp;S - Apparel'!$B$13*('R&amp;S - Apparel'!$C$18+('R&amp;S - Apparel'!$C$19-'R&amp;S - Apparel'!$C$18)*('Yearly HC Ethylene'!AC$3-'Yearly HC Ethylene'!$X$3)/10)</f>
        <v>0</v>
      </c>
      <c r="AD52" s="43">
        <f>AD50*'R&amp;S - Apparel'!$C$8*'R&amp;S - Apparel'!$B$13*('R&amp;S - Apparel'!$C$18+('R&amp;S - Apparel'!$C$19-'R&amp;S - Apparel'!$C$18)*('Yearly HC Ethylene'!AD$3-'Yearly HC Ethylene'!$X$3)/10)</f>
        <v>0</v>
      </c>
      <c r="AE52" s="43">
        <f>AE50*'R&amp;S - Apparel'!$C$8*'R&amp;S - Apparel'!$B$13*('R&amp;S - Apparel'!$C$18+('R&amp;S - Apparel'!$C$19-'R&amp;S - Apparel'!$C$18)*('Yearly HC Ethylene'!AE$3-'Yearly HC Ethylene'!$X$3)/10)</f>
        <v>0</v>
      </c>
      <c r="AF52" s="43">
        <f>AF50*'R&amp;S - Apparel'!$C$8*'R&amp;S - Apparel'!$B$13*('R&amp;S - Apparel'!$C$18+('R&amp;S - Apparel'!$C$19-'R&amp;S - Apparel'!$C$18)*('Yearly HC Ethylene'!AF$3-'Yearly HC Ethylene'!$X$3)/10)</f>
        <v>0</v>
      </c>
      <c r="AG52" s="43">
        <f>AG50*'R&amp;S - Apparel'!$C$8*'R&amp;S - Apparel'!$B$13*('R&amp;S - Apparel'!$C$18+('R&amp;S - Apparel'!$C$19-'R&amp;S - Apparel'!$C$18)*('Yearly HC Ethylene'!AG$3-'Yearly HC Ethylene'!$X$3)/10)</f>
        <v>0</v>
      </c>
      <c r="AH52" s="43">
        <f>AH50*'R&amp;S - Apparel'!$C$8*'R&amp;S - Apparel'!$B$13*('R&amp;S - Apparel'!$C$18+('R&amp;S - Apparel'!$C$19-'R&amp;S - Apparel'!$C$18)*('Yearly HC Ethylene'!AH$3-'Yearly HC Ethylene'!$X$3)/10)</f>
        <v>0</v>
      </c>
    </row>
    <row r="53" spans="1:35" outlineLevel="1">
      <c r="B53" s="1" t="s">
        <v>168</v>
      </c>
      <c r="C53" s="54" t="s">
        <v>153</v>
      </c>
      <c r="D53" s="44">
        <f>SUM(D51:D52)</f>
        <v>0</v>
      </c>
      <c r="E53" s="44">
        <f t="shared" ref="E53:AH53" si="13">SUM(E51:E52)</f>
        <v>0</v>
      </c>
      <c r="F53" s="44">
        <f t="shared" si="13"/>
        <v>0</v>
      </c>
      <c r="G53" s="44">
        <f t="shared" si="13"/>
        <v>0</v>
      </c>
      <c r="H53" s="44">
        <f t="shared" si="13"/>
        <v>0</v>
      </c>
      <c r="I53" s="44">
        <f t="shared" si="13"/>
        <v>0</v>
      </c>
      <c r="J53" s="44">
        <f t="shared" si="13"/>
        <v>0</v>
      </c>
      <c r="K53" s="44">
        <f t="shared" si="13"/>
        <v>0</v>
      </c>
      <c r="L53" s="44">
        <f t="shared" si="13"/>
        <v>0</v>
      </c>
      <c r="M53" s="44">
        <f t="shared" si="13"/>
        <v>0</v>
      </c>
      <c r="N53" s="44">
        <f t="shared" si="13"/>
        <v>0</v>
      </c>
      <c r="O53" s="44">
        <f t="shared" si="13"/>
        <v>0</v>
      </c>
      <c r="P53" s="44">
        <f t="shared" si="13"/>
        <v>0</v>
      </c>
      <c r="Q53" s="44">
        <f t="shared" si="13"/>
        <v>0</v>
      </c>
      <c r="R53" s="44">
        <f t="shared" si="13"/>
        <v>0</v>
      </c>
      <c r="S53" s="44">
        <f t="shared" si="13"/>
        <v>0</v>
      </c>
      <c r="T53" s="44">
        <f t="shared" si="13"/>
        <v>0</v>
      </c>
      <c r="U53" s="44">
        <f t="shared" si="13"/>
        <v>0</v>
      </c>
      <c r="V53" s="44">
        <f t="shared" si="13"/>
        <v>0</v>
      </c>
      <c r="W53" s="44">
        <f t="shared" si="13"/>
        <v>0</v>
      </c>
      <c r="X53" s="44">
        <f t="shared" si="13"/>
        <v>0</v>
      </c>
      <c r="Y53" s="44">
        <f t="shared" si="13"/>
        <v>0</v>
      </c>
      <c r="Z53" s="44">
        <f t="shared" si="13"/>
        <v>0</v>
      </c>
      <c r="AA53" s="44">
        <f t="shared" si="13"/>
        <v>0</v>
      </c>
      <c r="AB53" s="44">
        <f t="shared" si="13"/>
        <v>0</v>
      </c>
      <c r="AC53" s="44">
        <f t="shared" si="13"/>
        <v>0</v>
      </c>
      <c r="AD53" s="44">
        <f t="shared" si="13"/>
        <v>0</v>
      </c>
      <c r="AE53" s="44">
        <f t="shared" si="13"/>
        <v>0</v>
      </c>
      <c r="AF53" s="44">
        <f t="shared" si="13"/>
        <v>0</v>
      </c>
      <c r="AG53" s="44">
        <f t="shared" si="13"/>
        <v>0</v>
      </c>
      <c r="AH53" s="44">
        <f t="shared" si="13"/>
        <v>0</v>
      </c>
    </row>
    <row r="54" spans="1:35" outlineLevel="1">
      <c r="B54" s="1" t="s">
        <v>172</v>
      </c>
      <c r="C54" s="54" t="s">
        <v>153</v>
      </c>
      <c r="D54">
        <v>0</v>
      </c>
      <c r="E54" s="43">
        <f>E50*'R&amp;S - Apparel'!$C$10*'R&amp;S - Apparel'!$B$13*'R&amp;S - Apparel'!$D$17*(E$3-$D$3)/10</f>
        <v>0</v>
      </c>
      <c r="F54" s="43">
        <f>F50*'R&amp;S - Apparel'!$C$10*'R&amp;S - Apparel'!$B$13*'R&amp;S - Apparel'!$D$17*(F$3-$D$3)/10</f>
        <v>0</v>
      </c>
      <c r="G54" s="43">
        <f>G50*'R&amp;S - Apparel'!$C$10*'R&amp;S - Apparel'!$B$13*'R&amp;S - Apparel'!$D$17*(G$3-$D$3)/10</f>
        <v>0</v>
      </c>
      <c r="H54" s="43">
        <f>H50*'R&amp;S - Apparel'!$C$10*'R&amp;S - Apparel'!$B$13*'R&amp;S - Apparel'!$D$17*(H$3-$D$3)/10</f>
        <v>0</v>
      </c>
      <c r="I54" s="43">
        <f>I50*'R&amp;S - Apparel'!$C$10*'R&amp;S - Apparel'!$B$13*'R&amp;S - Apparel'!$D$17*(I$3-$D$3)/10</f>
        <v>0</v>
      </c>
      <c r="J54" s="43">
        <f>J50*'R&amp;S - Apparel'!$C$10*'R&amp;S - Apparel'!$B$13*'R&amp;S - Apparel'!$D$17*(J$3-$D$3)/10</f>
        <v>0</v>
      </c>
      <c r="K54" s="43">
        <f>K50*'R&amp;S - Apparel'!$C$10*'R&amp;S - Apparel'!$B$13*'R&amp;S - Apparel'!$D$17*(K$3-$D$3)/10</f>
        <v>0</v>
      </c>
      <c r="L54" s="43">
        <f>L50*'R&amp;S - Apparel'!$C$10*'R&amp;S - Apparel'!$B$13*'R&amp;S - Apparel'!$D$17*(L$3-$D$3)/10</f>
        <v>0</v>
      </c>
      <c r="M54" s="43">
        <f>M50*'R&amp;S - Apparel'!$C$10*'R&amp;S - Apparel'!$B$13*'R&amp;S - Apparel'!$D$17*(M$3-$D$3)/10</f>
        <v>0</v>
      </c>
      <c r="N54" s="43">
        <f>N50*'R&amp;S - Apparel'!$C$10*'R&amp;S - Apparel'!$B$13*'R&amp;S - Apparel'!$D$17*(N$3-$D$3)/10</f>
        <v>0</v>
      </c>
      <c r="O54" s="43">
        <f>O50*'R&amp;S - Apparel'!$C$10*'R&amp;S - Apparel'!$B$13*('R&amp;S - Apparel'!$D$17+('R&amp;S - Apparel'!$D$18-'R&amp;S - Apparel'!$D$17)*(O$3-$N$3)/10)</f>
        <v>0</v>
      </c>
      <c r="P54" s="43">
        <f>P50*'R&amp;S - Apparel'!$C$10*'R&amp;S - Apparel'!$B$13*('R&amp;S - Apparel'!$D$17+('R&amp;S - Apparel'!$D$18-'R&amp;S - Apparel'!$D$17)*(P$3-$N$3)/10)</f>
        <v>0</v>
      </c>
      <c r="Q54" s="43">
        <f>Q50*'R&amp;S - Apparel'!$C$10*'R&amp;S - Apparel'!$B$13*('R&amp;S - Apparel'!$D$17+('R&amp;S - Apparel'!$D$18-'R&amp;S - Apparel'!$D$17)*(Q$3-$N$3)/10)</f>
        <v>0</v>
      </c>
      <c r="R54" s="43">
        <f>R50*'R&amp;S - Apparel'!$C$10*'R&amp;S - Apparel'!$B$13*('R&amp;S - Apparel'!$D$17+('R&amp;S - Apparel'!$D$18-'R&amp;S - Apparel'!$D$17)*(R$3-$N$3)/10)</f>
        <v>0</v>
      </c>
      <c r="S54" s="43">
        <f>S50*'R&amp;S - Apparel'!$C$10*'R&amp;S - Apparel'!$B$13*('R&amp;S - Apparel'!$D$17+('R&amp;S - Apparel'!$D$18-'R&amp;S - Apparel'!$D$17)*(S$3-$N$3)/10)</f>
        <v>0</v>
      </c>
      <c r="T54" s="43">
        <f>T50*'R&amp;S - Apparel'!$C$10*'R&amp;S - Apparel'!$B$13*('R&amp;S - Apparel'!$D$17+('R&amp;S - Apparel'!$D$18-'R&amp;S - Apparel'!$D$17)*(T$3-$N$3)/10)</f>
        <v>0</v>
      </c>
      <c r="U54" s="43">
        <f>U50*'R&amp;S - Apparel'!$C$10*'R&amp;S - Apparel'!$B$13*('R&amp;S - Apparel'!$D$17+('R&amp;S - Apparel'!$D$18-'R&amp;S - Apparel'!$D$17)*(U$3-$N$3)/10)</f>
        <v>0</v>
      </c>
      <c r="V54" s="43">
        <f>V50*'R&amp;S - Apparel'!$C$10*'R&amp;S - Apparel'!$B$13*('R&amp;S - Apparel'!$D$17+('R&amp;S - Apparel'!$D$18-'R&amp;S - Apparel'!$D$17)*(V$3-$N$3)/10)</f>
        <v>0</v>
      </c>
      <c r="W54" s="43">
        <f>W50*'R&amp;S - Apparel'!$C$10*'R&amp;S - Apparel'!$B$13*('R&amp;S - Apparel'!$D$17+('R&amp;S - Apparel'!$D$18-'R&amp;S - Apparel'!$D$17)*(W$3-$N$3)/10)</f>
        <v>0</v>
      </c>
      <c r="X54" s="43">
        <f>X50*'R&amp;S - Apparel'!$C$10*'R&amp;S - Apparel'!$B$13*('R&amp;S - Apparel'!$D$17+('R&amp;S - Apparel'!$D$18-'R&amp;S - Apparel'!$D$17)*(X$3-$N$3)/10)</f>
        <v>0</v>
      </c>
      <c r="Y54" s="43">
        <f>Y50*'R&amp;S - Apparel'!$C$10*'R&amp;S - Apparel'!$B$13*('R&amp;S - Apparel'!$D$18+('R&amp;S - Apparel'!$D$19-'R&amp;S - Apparel'!$D$18)*(Y$3-$X$3)/10)</f>
        <v>0</v>
      </c>
      <c r="Z54" s="43">
        <f>Z50*'R&amp;S - Apparel'!$C$10*'R&amp;S - Apparel'!$B$13*('R&amp;S - Apparel'!$D$18+('R&amp;S - Apparel'!$D$19-'R&amp;S - Apparel'!$D$18)*(Z$3-$X$3)/10)</f>
        <v>0</v>
      </c>
      <c r="AA54" s="43">
        <f>AA50*'R&amp;S - Apparel'!$C$10*'R&amp;S - Apparel'!$B$13*('R&amp;S - Apparel'!$D$18+('R&amp;S - Apparel'!$D$19-'R&amp;S - Apparel'!$D$18)*(AA$3-$X$3)/10)</f>
        <v>0</v>
      </c>
      <c r="AB54" s="43">
        <f>AB50*'R&amp;S - Apparel'!$C$10*'R&amp;S - Apparel'!$B$13*('R&amp;S - Apparel'!$D$18+('R&amp;S - Apparel'!$D$19-'R&amp;S - Apparel'!$D$18)*(AB$3-$X$3)/10)</f>
        <v>0</v>
      </c>
      <c r="AC54" s="43">
        <f>AC50*'R&amp;S - Apparel'!$C$10*'R&amp;S - Apparel'!$B$13*('R&amp;S - Apparel'!$D$18+('R&amp;S - Apparel'!$D$19-'R&amp;S - Apparel'!$D$18)*(AC$3-$X$3)/10)</f>
        <v>0</v>
      </c>
      <c r="AD54" s="43">
        <f>AD50*'R&amp;S - Apparel'!$C$10*'R&amp;S - Apparel'!$B$13*('R&amp;S - Apparel'!$D$18+('R&amp;S - Apparel'!$D$19-'R&amp;S - Apparel'!$D$18)*(AD$3-$X$3)/10)</f>
        <v>0</v>
      </c>
      <c r="AE54" s="43">
        <f>AE50*'R&amp;S - Apparel'!$C$10*'R&amp;S - Apparel'!$B$13*('R&amp;S - Apparel'!$D$18+('R&amp;S - Apparel'!$D$19-'R&amp;S - Apparel'!$D$18)*(AE$3-$X$3)/10)</f>
        <v>0</v>
      </c>
      <c r="AF54" s="43">
        <f>AF50*'R&amp;S - Apparel'!$C$10*'R&amp;S - Apparel'!$B$13*('R&amp;S - Apparel'!$D$18+('R&amp;S - Apparel'!$D$19-'R&amp;S - Apparel'!$D$18)*(AF$3-$X$3)/10)</f>
        <v>0</v>
      </c>
      <c r="AG54" s="43">
        <f>AG50*'R&amp;S - Apparel'!$C$10*'R&amp;S - Apparel'!$B$13*('R&amp;S - Apparel'!$D$18+('R&amp;S - Apparel'!$D$19-'R&amp;S - Apparel'!$D$18)*(AG$3-$X$3)/10)</f>
        <v>0</v>
      </c>
      <c r="AH54" s="43">
        <f>AH50*'R&amp;S - Apparel'!$C$10*'R&amp;S - Apparel'!$B$13*('R&amp;S - Apparel'!$D$18+('R&amp;S - Apparel'!$D$19-'R&amp;S - Apparel'!$D$18)*(AH$3-$X$3)/10)</f>
        <v>0</v>
      </c>
    </row>
    <row r="55" spans="1:35">
      <c r="B55" s="1" t="s">
        <v>197</v>
      </c>
      <c r="C55" s="65" t="s">
        <v>153</v>
      </c>
      <c r="D55" s="66">
        <f>D50-D53-D54</f>
        <v>3.4336211538461541</v>
      </c>
      <c r="E55" s="66">
        <f t="shared" ref="E55:AG55" si="14">E50-E53-E54</f>
        <v>3.5057271980769231</v>
      </c>
      <c r="F55" s="66">
        <f t="shared" si="14"/>
        <v>3.5793474692365383</v>
      </c>
      <c r="G55" s="66">
        <f t="shared" si="14"/>
        <v>3.6545137660905054</v>
      </c>
      <c r="H55" s="66">
        <f t="shared" si="14"/>
        <v>3.7312585551784054</v>
      </c>
      <c r="I55" s="66">
        <f t="shared" si="14"/>
        <v>3.8096149848371517</v>
      </c>
      <c r="J55" s="66">
        <f t="shared" si="14"/>
        <v>3.8896168995187317</v>
      </c>
      <c r="K55" s="66">
        <f t="shared" si="14"/>
        <v>3.9712988544086247</v>
      </c>
      <c r="L55" s="66">
        <f t="shared" si="14"/>
        <v>4.0546961303512052</v>
      </c>
      <c r="M55" s="66">
        <f t="shared" si="14"/>
        <v>4.1398447490885806</v>
      </c>
      <c r="N55" s="66">
        <f t="shared" si="14"/>
        <v>4.2267814888194408</v>
      </c>
      <c r="O55" s="66">
        <f t="shared" si="14"/>
        <v>4.3155439000846485</v>
      </c>
      <c r="P55" s="66">
        <f t="shared" si="14"/>
        <v>4.4061703219864254</v>
      </c>
      <c r="Q55" s="66">
        <f t="shared" si="14"/>
        <v>4.4986998987481401</v>
      </c>
      <c r="R55" s="66">
        <f t="shared" si="14"/>
        <v>4.5931725966218506</v>
      </c>
      <c r="S55" s="66">
        <f t="shared" si="14"/>
        <v>4.6896292211509092</v>
      </c>
      <c r="T55" s="66">
        <f t="shared" si="14"/>
        <v>4.7881114347950779</v>
      </c>
      <c r="U55" s="66">
        <f t="shared" si="14"/>
        <v>4.8886617749257741</v>
      </c>
      <c r="V55" s="66">
        <f t="shared" si="14"/>
        <v>4.9913236721992149</v>
      </c>
      <c r="W55" s="66">
        <f t="shared" si="14"/>
        <v>5.0961414693153984</v>
      </c>
      <c r="X55" s="66">
        <f t="shared" si="14"/>
        <v>5.203160440171021</v>
      </c>
      <c r="Y55" s="66">
        <f t="shared" si="14"/>
        <v>5.3124268094146121</v>
      </c>
      <c r="Z55" s="66">
        <f t="shared" si="14"/>
        <v>5.4239877724123184</v>
      </c>
      <c r="AA55" s="66">
        <f t="shared" si="14"/>
        <v>5.5378915156329764</v>
      </c>
      <c r="AB55" s="66">
        <f t="shared" si="14"/>
        <v>5.6541872374612687</v>
      </c>
      <c r="AC55" s="66">
        <f t="shared" si="14"/>
        <v>5.7729251694479551</v>
      </c>
      <c r="AD55" s="66">
        <f t="shared" si="14"/>
        <v>5.8941565980063615</v>
      </c>
      <c r="AE55" s="66">
        <f t="shared" si="14"/>
        <v>6.0179338865644949</v>
      </c>
      <c r="AF55" s="66">
        <f t="shared" si="14"/>
        <v>6.1443104981823486</v>
      </c>
      <c r="AG55" s="66">
        <f t="shared" si="14"/>
        <v>6.2733410186441771</v>
      </c>
      <c r="AH55" s="66">
        <f>AH50-AH53-AH54</f>
        <v>6.4050811800357046</v>
      </c>
    </row>
    <row r="56" spans="1:35" s="67" customFormat="1">
      <c r="A56" s="755" t="s">
        <v>257</v>
      </c>
      <c r="B56" s="58" t="s">
        <v>258</v>
      </c>
      <c r="C56" s="59" t="s">
        <v>153</v>
      </c>
      <c r="D56" s="60">
        <f>D55*('Demand Breakdown - Ethylene'!$C$77)</f>
        <v>0</v>
      </c>
      <c r="E56" s="60">
        <f>E55*('Demand Breakdown - Ethylene'!$C$77)</f>
        <v>0</v>
      </c>
      <c r="F56" s="60">
        <f>F55*('Demand Breakdown - Ethylene'!$C$77)</f>
        <v>0</v>
      </c>
      <c r="G56" s="60">
        <f>G55*('Demand Breakdown - Ethylene'!$C$77)</f>
        <v>0</v>
      </c>
      <c r="H56" s="60">
        <f>H55*('Demand Breakdown - Ethylene'!$C$77)</f>
        <v>0</v>
      </c>
      <c r="I56" s="60">
        <f>I55*('Demand Breakdown - Ethylene'!$C$77)</f>
        <v>0</v>
      </c>
      <c r="J56" s="60">
        <f>J55*('Demand Breakdown - Ethylene'!$C$77)</f>
        <v>0</v>
      </c>
      <c r="K56" s="60">
        <f>K55*('Demand Breakdown - Ethylene'!$C$77)</f>
        <v>0</v>
      </c>
      <c r="L56" s="60">
        <f>L55*('Demand Breakdown - Ethylene'!$C$77)</f>
        <v>0</v>
      </c>
      <c r="M56" s="60">
        <f>M55*('Demand Breakdown - Ethylene'!$C$77)</f>
        <v>0</v>
      </c>
      <c r="N56" s="60">
        <f>N55*('Demand Breakdown - Ethylene'!$C$77)</f>
        <v>0</v>
      </c>
      <c r="O56" s="60">
        <f>O55*('Demand Breakdown - Ethylene'!$C$77)</f>
        <v>0</v>
      </c>
      <c r="P56" s="60">
        <f>P55*('Demand Breakdown - Ethylene'!$C$77)</f>
        <v>0</v>
      </c>
      <c r="Q56" s="60">
        <f>Q55*('Demand Breakdown - Ethylene'!$C$77)</f>
        <v>0</v>
      </c>
      <c r="R56" s="60">
        <f>R55*('Demand Breakdown - Ethylene'!$C$77)</f>
        <v>0</v>
      </c>
      <c r="S56" s="60">
        <f>S55*('Demand Breakdown - Ethylene'!$C$77)</f>
        <v>0</v>
      </c>
      <c r="T56" s="60">
        <f>T55*('Demand Breakdown - Ethylene'!$C$77)</f>
        <v>0</v>
      </c>
      <c r="U56" s="60">
        <f>U55*('Demand Breakdown - Ethylene'!$C$77)</f>
        <v>0</v>
      </c>
      <c r="V56" s="60">
        <f>V55*('Demand Breakdown - Ethylene'!$C$77)</f>
        <v>0</v>
      </c>
      <c r="W56" s="60">
        <f>W55*('Demand Breakdown - Ethylene'!$C$77)</f>
        <v>0</v>
      </c>
      <c r="X56" s="60">
        <f>X55*('Demand Breakdown - Ethylene'!$C$77)</f>
        <v>0</v>
      </c>
      <c r="Y56" s="60">
        <f>Y55*('Demand Breakdown - Ethylene'!$C$77)</f>
        <v>0</v>
      </c>
      <c r="Z56" s="60">
        <f>Z55*('Demand Breakdown - Ethylene'!$C$77)</f>
        <v>0</v>
      </c>
      <c r="AA56" s="60">
        <f>AA55*('Demand Breakdown - Ethylene'!$C$77)</f>
        <v>0</v>
      </c>
      <c r="AB56" s="60">
        <f>AB55*('Demand Breakdown - Ethylene'!$C$77)</f>
        <v>0</v>
      </c>
      <c r="AC56" s="60">
        <f>AC55*('Demand Breakdown - Ethylene'!$C$77)</f>
        <v>0</v>
      </c>
      <c r="AD56" s="60">
        <f>AD55*('Demand Breakdown - Ethylene'!$C$77)</f>
        <v>0</v>
      </c>
      <c r="AE56" s="60">
        <f>AE55*('Demand Breakdown - Ethylene'!$C$77)</f>
        <v>0</v>
      </c>
      <c r="AF56" s="60">
        <f>AF55*('Demand Breakdown - Ethylene'!$C$77)</f>
        <v>0</v>
      </c>
      <c r="AG56" s="60">
        <f>AG55*('Demand Breakdown - Ethylene'!$C$77)</f>
        <v>0</v>
      </c>
      <c r="AH56" s="60">
        <f>AH55*('Demand Breakdown - Ethylene'!$C$77)</f>
        <v>0</v>
      </c>
      <c r="AI56" s="60"/>
    </row>
    <row r="57" spans="1:35">
      <c r="A57" s="756"/>
      <c r="B57" s="1" t="s">
        <v>260</v>
      </c>
      <c r="C57" s="54" t="s">
        <v>153</v>
      </c>
      <c r="D57" s="44">
        <f>D61</f>
        <v>3.4336211538461541</v>
      </c>
      <c r="E57" s="44">
        <f t="shared" ref="E57:AH57" si="15">E61</f>
        <v>3.5057271980769231</v>
      </c>
      <c r="F57" s="44">
        <f t="shared" si="15"/>
        <v>3.5793474692365383</v>
      </c>
      <c r="G57" s="44">
        <f t="shared" si="15"/>
        <v>3.6545137660905054</v>
      </c>
      <c r="H57" s="44">
        <f t="shared" si="15"/>
        <v>3.7312585551784054</v>
      </c>
      <c r="I57" s="44">
        <f t="shared" si="15"/>
        <v>3.8096149848371517</v>
      </c>
      <c r="J57" s="44">
        <f t="shared" si="15"/>
        <v>3.8896168995187317</v>
      </c>
      <c r="K57" s="44">
        <f t="shared" si="15"/>
        <v>3.9712988544086247</v>
      </c>
      <c r="L57" s="44">
        <f t="shared" si="15"/>
        <v>4.0546961303512052</v>
      </c>
      <c r="M57" s="44">
        <f t="shared" si="15"/>
        <v>4.1398447490885806</v>
      </c>
      <c r="N57" s="44">
        <f t="shared" si="15"/>
        <v>4.2267814888194408</v>
      </c>
      <c r="O57" s="44">
        <f t="shared" si="15"/>
        <v>4.3155439000846485</v>
      </c>
      <c r="P57" s="44">
        <f t="shared" si="15"/>
        <v>4.4061703219864254</v>
      </c>
      <c r="Q57" s="44">
        <f t="shared" si="15"/>
        <v>4.4986998987481401</v>
      </c>
      <c r="R57" s="44">
        <f t="shared" si="15"/>
        <v>4.5931725966218506</v>
      </c>
      <c r="S57" s="44">
        <f t="shared" si="15"/>
        <v>4.6896292211509092</v>
      </c>
      <c r="T57" s="44">
        <f t="shared" si="15"/>
        <v>4.7881114347950779</v>
      </c>
      <c r="U57" s="44">
        <f t="shared" si="15"/>
        <v>4.8886617749257741</v>
      </c>
      <c r="V57" s="44">
        <f t="shared" si="15"/>
        <v>4.9913236721992149</v>
      </c>
      <c r="W57" s="44">
        <f t="shared" si="15"/>
        <v>5.0961414693153984</v>
      </c>
      <c r="X57" s="44">
        <f t="shared" si="15"/>
        <v>5.203160440171021</v>
      </c>
      <c r="Y57" s="44">
        <f t="shared" si="15"/>
        <v>5.3124268094146121</v>
      </c>
      <c r="Z57" s="44">
        <f t="shared" si="15"/>
        <v>5.4239877724123184</v>
      </c>
      <c r="AA57" s="44">
        <f t="shared" si="15"/>
        <v>5.5378915156329764</v>
      </c>
      <c r="AB57" s="44">
        <f t="shared" si="15"/>
        <v>5.6541872374612687</v>
      </c>
      <c r="AC57" s="44">
        <f t="shared" si="15"/>
        <v>5.7729251694479551</v>
      </c>
      <c r="AD57" s="44">
        <f t="shared" si="15"/>
        <v>5.8941565980063615</v>
      </c>
      <c r="AE57" s="44">
        <f t="shared" si="15"/>
        <v>6.0179338865644949</v>
      </c>
      <c r="AF57" s="44">
        <f t="shared" si="15"/>
        <v>6.1443104981823486</v>
      </c>
      <c r="AG57" s="44">
        <f t="shared" si="15"/>
        <v>6.2733410186441771</v>
      </c>
      <c r="AH57" s="44">
        <f t="shared" si="15"/>
        <v>6.4050811800357046</v>
      </c>
      <c r="AI57" s="44"/>
    </row>
    <row r="58" spans="1:35">
      <c r="A58" s="756"/>
      <c r="B58" s="1" t="s">
        <v>262</v>
      </c>
      <c r="C58" s="54" t="s">
        <v>153</v>
      </c>
      <c r="D58" s="44">
        <f>D60/('Demand Breakdown - Ethylene'!$M$14)</f>
        <v>0</v>
      </c>
      <c r="E58" s="44">
        <f>E60/('Demand Breakdown - Ethylene'!$M$14)</f>
        <v>0</v>
      </c>
      <c r="F58" s="44">
        <f>F60/('Demand Breakdown - Ethylene'!$M$14)</f>
        <v>0</v>
      </c>
      <c r="G58" s="44">
        <f>G60/('Demand Breakdown - Ethylene'!$M$14)</f>
        <v>0</v>
      </c>
      <c r="H58" s="44">
        <f>H60/('Demand Breakdown - Ethylene'!$M$14)</f>
        <v>0</v>
      </c>
      <c r="I58" s="44">
        <f>I60/('Demand Breakdown - Ethylene'!$M$14)</f>
        <v>0</v>
      </c>
      <c r="J58" s="44">
        <f>J60/('Demand Breakdown - Ethylene'!$M$14)</f>
        <v>0</v>
      </c>
      <c r="K58" s="44">
        <f>K60/('Demand Breakdown - Ethylene'!$M$14)</f>
        <v>0</v>
      </c>
      <c r="L58" s="44">
        <f>L60/('Demand Breakdown - Ethylene'!$M$14)</f>
        <v>0</v>
      </c>
      <c r="M58" s="44">
        <f>M60/('Demand Breakdown - Ethylene'!$M$14)</f>
        <v>0</v>
      </c>
      <c r="N58" s="44">
        <f>N60/('Demand Breakdown - Ethylene'!$M$14)</f>
        <v>0</v>
      </c>
      <c r="O58" s="44">
        <f>O60/('Demand Breakdown - Ethylene'!$M$14)</f>
        <v>0</v>
      </c>
      <c r="P58" s="44">
        <f>P60/('Demand Breakdown - Ethylene'!$M$14)</f>
        <v>0</v>
      </c>
      <c r="Q58" s="44">
        <f>Q60/('Demand Breakdown - Ethylene'!$M$14)</f>
        <v>0</v>
      </c>
      <c r="R58" s="44">
        <f>R60/('Demand Breakdown - Ethylene'!$M$14)</f>
        <v>0</v>
      </c>
      <c r="S58" s="44">
        <f>S60/('Demand Breakdown - Ethylene'!$M$14)</f>
        <v>0</v>
      </c>
      <c r="T58" s="44">
        <f>T60/('Demand Breakdown - Ethylene'!$M$14)</f>
        <v>0</v>
      </c>
      <c r="U58" s="44">
        <f>U60/('Demand Breakdown - Ethylene'!$M$14)</f>
        <v>0</v>
      </c>
      <c r="V58" s="44">
        <f>V60/('Demand Breakdown - Ethylene'!$M$14)</f>
        <v>0</v>
      </c>
      <c r="W58" s="44">
        <f>W60/('Demand Breakdown - Ethylene'!$M$14)</f>
        <v>0</v>
      </c>
      <c r="X58" s="44">
        <f>X60/('Demand Breakdown - Ethylene'!$M$14)</f>
        <v>0</v>
      </c>
      <c r="Y58" s="44">
        <f>Y60/('Demand Breakdown - Ethylene'!$M$14)</f>
        <v>0</v>
      </c>
      <c r="Z58" s="44">
        <f>Z60/('Demand Breakdown - Ethylene'!$M$14)</f>
        <v>0</v>
      </c>
      <c r="AA58" s="44">
        <f>AA60/('Demand Breakdown - Ethylene'!$M$14)</f>
        <v>0</v>
      </c>
      <c r="AB58" s="44">
        <f>AB60/('Demand Breakdown - Ethylene'!$M$14)</f>
        <v>0</v>
      </c>
      <c r="AC58" s="44">
        <f>AC60/('Demand Breakdown - Ethylene'!$M$14)</f>
        <v>0</v>
      </c>
      <c r="AD58" s="44">
        <f>AD60/('Demand Breakdown - Ethylene'!$M$14)</f>
        <v>0</v>
      </c>
      <c r="AE58" s="44">
        <f>AE60/('Demand Breakdown - Ethylene'!$M$14)</f>
        <v>0</v>
      </c>
      <c r="AF58" s="44">
        <f>AF60/('Demand Breakdown - Ethylene'!$M$14)</f>
        <v>0</v>
      </c>
      <c r="AG58" s="44">
        <f>AG60/('Demand Breakdown - Ethylene'!$M$14)</f>
        <v>0</v>
      </c>
      <c r="AH58" s="44">
        <f>AH60/('Demand Breakdown - Ethylene'!$M$14)</f>
        <v>0</v>
      </c>
      <c r="AI58" s="44"/>
    </row>
    <row r="59" spans="1:35" s="68" customFormat="1">
      <c r="A59" s="757"/>
      <c r="B59" s="62" t="s">
        <v>248</v>
      </c>
      <c r="C59" s="283" t="s">
        <v>153</v>
      </c>
      <c r="D59" s="284">
        <f>D55-SUM(D57,D56,D58)</f>
        <v>0</v>
      </c>
      <c r="E59" s="284">
        <f t="shared" ref="E59:AH59" si="16">E55-SUM(E57,E56,E58)</f>
        <v>0</v>
      </c>
      <c r="F59" s="284">
        <f t="shared" si="16"/>
        <v>0</v>
      </c>
      <c r="G59" s="284">
        <f t="shared" si="16"/>
        <v>0</v>
      </c>
      <c r="H59" s="284">
        <f t="shared" si="16"/>
        <v>0</v>
      </c>
      <c r="I59" s="284">
        <f t="shared" si="16"/>
        <v>0</v>
      </c>
      <c r="J59" s="284">
        <f t="shared" si="16"/>
        <v>0</v>
      </c>
      <c r="K59" s="284">
        <f t="shared" si="16"/>
        <v>0</v>
      </c>
      <c r="L59" s="284">
        <f t="shared" si="16"/>
        <v>0</v>
      </c>
      <c r="M59" s="284">
        <f t="shared" si="16"/>
        <v>0</v>
      </c>
      <c r="N59" s="284">
        <f t="shared" si="16"/>
        <v>0</v>
      </c>
      <c r="O59" s="284">
        <f t="shared" si="16"/>
        <v>0</v>
      </c>
      <c r="P59" s="284">
        <f t="shared" si="16"/>
        <v>0</v>
      </c>
      <c r="Q59" s="284">
        <f t="shared" si="16"/>
        <v>0</v>
      </c>
      <c r="R59" s="284">
        <f t="shared" si="16"/>
        <v>0</v>
      </c>
      <c r="S59" s="284">
        <f t="shared" si="16"/>
        <v>0</v>
      </c>
      <c r="T59" s="284">
        <f t="shared" si="16"/>
        <v>0</v>
      </c>
      <c r="U59" s="284">
        <f t="shared" si="16"/>
        <v>0</v>
      </c>
      <c r="V59" s="284">
        <f t="shared" si="16"/>
        <v>0</v>
      </c>
      <c r="W59" s="284">
        <f t="shared" si="16"/>
        <v>0</v>
      </c>
      <c r="X59" s="284">
        <f t="shared" si="16"/>
        <v>0</v>
      </c>
      <c r="Y59" s="284">
        <f t="shared" si="16"/>
        <v>0</v>
      </c>
      <c r="Z59" s="284">
        <f t="shared" si="16"/>
        <v>0</v>
      </c>
      <c r="AA59" s="284">
        <f t="shared" si="16"/>
        <v>0</v>
      </c>
      <c r="AB59" s="284">
        <f t="shared" si="16"/>
        <v>0</v>
      </c>
      <c r="AC59" s="284">
        <f t="shared" si="16"/>
        <v>0</v>
      </c>
      <c r="AD59" s="284">
        <f t="shared" si="16"/>
        <v>0</v>
      </c>
      <c r="AE59" s="284">
        <f t="shared" si="16"/>
        <v>0</v>
      </c>
      <c r="AF59" s="284">
        <f t="shared" si="16"/>
        <v>0</v>
      </c>
      <c r="AG59" s="284">
        <f t="shared" si="16"/>
        <v>0</v>
      </c>
      <c r="AH59" s="284">
        <f t="shared" si="16"/>
        <v>0</v>
      </c>
      <c r="AI59" s="284"/>
    </row>
    <row r="60" spans="1:35" s="67" customFormat="1">
      <c r="A60" s="755" t="s">
        <v>263</v>
      </c>
      <c r="B60" s="58" t="s">
        <v>264</v>
      </c>
      <c r="C60" s="59" t="s">
        <v>153</v>
      </c>
      <c r="D60" s="60">
        <f>D55*'Demand Breakdown - Ethylene'!$E$77</f>
        <v>0</v>
      </c>
      <c r="E60" s="60">
        <f>E55*'Demand Breakdown - Ethylene'!$E$77</f>
        <v>0</v>
      </c>
      <c r="F60" s="60">
        <f>F55*'Demand Breakdown - Ethylene'!$E$77</f>
        <v>0</v>
      </c>
      <c r="G60" s="60">
        <f>G55*'Demand Breakdown - Ethylene'!$E$77</f>
        <v>0</v>
      </c>
      <c r="H60" s="60">
        <f>H55*'Demand Breakdown - Ethylene'!$E$77</f>
        <v>0</v>
      </c>
      <c r="I60" s="60">
        <f>I55*'Demand Breakdown - Ethylene'!$E$77</f>
        <v>0</v>
      </c>
      <c r="J60" s="60">
        <f>J55*'Demand Breakdown - Ethylene'!$E$77</f>
        <v>0</v>
      </c>
      <c r="K60" s="60">
        <f>K55*'Demand Breakdown - Ethylene'!$E$77</f>
        <v>0</v>
      </c>
      <c r="L60" s="60">
        <f>L55*'Demand Breakdown - Ethylene'!$E$77</f>
        <v>0</v>
      </c>
      <c r="M60" s="60">
        <f>M55*'Demand Breakdown - Ethylene'!$E$77</f>
        <v>0</v>
      </c>
      <c r="N60" s="60">
        <f>N55*'Demand Breakdown - Ethylene'!$E$77</f>
        <v>0</v>
      </c>
      <c r="O60" s="60">
        <f>O55*'Demand Breakdown - Ethylene'!$E$77</f>
        <v>0</v>
      </c>
      <c r="P60" s="60">
        <f>P55*'Demand Breakdown - Ethylene'!$E$77</f>
        <v>0</v>
      </c>
      <c r="Q60" s="60">
        <f>Q55*'Demand Breakdown - Ethylene'!$E$77</f>
        <v>0</v>
      </c>
      <c r="R60" s="60">
        <f>R55*'Demand Breakdown - Ethylene'!$E$77</f>
        <v>0</v>
      </c>
      <c r="S60" s="60">
        <f>S55*'Demand Breakdown - Ethylene'!$E$77</f>
        <v>0</v>
      </c>
      <c r="T60" s="60">
        <f>T55*'Demand Breakdown - Ethylene'!$E$77</f>
        <v>0</v>
      </c>
      <c r="U60" s="60">
        <f>U55*'Demand Breakdown - Ethylene'!$E$77</f>
        <v>0</v>
      </c>
      <c r="V60" s="60">
        <f>V55*'Demand Breakdown - Ethylene'!$E$77</f>
        <v>0</v>
      </c>
      <c r="W60" s="60">
        <f>W55*'Demand Breakdown - Ethylene'!$E$77</f>
        <v>0</v>
      </c>
      <c r="X60" s="60">
        <f>X55*'Demand Breakdown - Ethylene'!$E$77</f>
        <v>0</v>
      </c>
      <c r="Y60" s="60">
        <f>Y55*'Demand Breakdown - Ethylene'!$E$77</f>
        <v>0</v>
      </c>
      <c r="Z60" s="60">
        <f>Z55*'Demand Breakdown - Ethylene'!$E$77</f>
        <v>0</v>
      </c>
      <c r="AA60" s="60">
        <f>AA55*'Demand Breakdown - Ethylene'!$E$77</f>
        <v>0</v>
      </c>
      <c r="AB60" s="60">
        <f>AB55*'Demand Breakdown - Ethylene'!$E$77</f>
        <v>0</v>
      </c>
      <c r="AC60" s="60">
        <f>AC55*'Demand Breakdown - Ethylene'!$E$77</f>
        <v>0</v>
      </c>
      <c r="AD60" s="60">
        <f>AD55*'Demand Breakdown - Ethylene'!$E$77</f>
        <v>0</v>
      </c>
      <c r="AE60" s="60">
        <f>AE55*'Demand Breakdown - Ethylene'!$E$77</f>
        <v>0</v>
      </c>
      <c r="AF60" s="60">
        <f>AF55*'Demand Breakdown - Ethylene'!$E$77</f>
        <v>0</v>
      </c>
      <c r="AG60" s="60">
        <f>AG55*'Demand Breakdown - Ethylene'!$E$77</f>
        <v>0</v>
      </c>
      <c r="AH60" s="60">
        <f>AH55*'Demand Breakdown - Ethylene'!$E$77</f>
        <v>0</v>
      </c>
      <c r="AI60" s="60"/>
    </row>
    <row r="61" spans="1:35" s="68" customFormat="1">
      <c r="A61" s="757"/>
      <c r="B61" s="62" t="s">
        <v>266</v>
      </c>
      <c r="C61" s="283" t="s">
        <v>153</v>
      </c>
      <c r="D61" s="284">
        <f>D55*'Demand Breakdown - Ethylene'!$D$77</f>
        <v>3.4336211538461541</v>
      </c>
      <c r="E61" s="284">
        <f>E55*'Demand Breakdown - Ethylene'!$D$77</f>
        <v>3.5057271980769231</v>
      </c>
      <c r="F61" s="284">
        <f>F55*'Demand Breakdown - Ethylene'!$D$77</f>
        <v>3.5793474692365383</v>
      </c>
      <c r="G61" s="284">
        <f>G55*'Demand Breakdown - Ethylene'!$D$77</f>
        <v>3.6545137660905054</v>
      </c>
      <c r="H61" s="284">
        <f>H55*'Demand Breakdown - Ethylene'!$D$77</f>
        <v>3.7312585551784054</v>
      </c>
      <c r="I61" s="284">
        <f>I55*'Demand Breakdown - Ethylene'!$D$77</f>
        <v>3.8096149848371517</v>
      </c>
      <c r="J61" s="284">
        <f>J55*'Demand Breakdown - Ethylene'!$D$77</f>
        <v>3.8896168995187317</v>
      </c>
      <c r="K61" s="284">
        <f>K55*'Demand Breakdown - Ethylene'!$D$77</f>
        <v>3.9712988544086247</v>
      </c>
      <c r="L61" s="284">
        <f>L55*'Demand Breakdown - Ethylene'!$D$77</f>
        <v>4.0546961303512052</v>
      </c>
      <c r="M61" s="284">
        <f>M55*'Demand Breakdown - Ethylene'!$D$77</f>
        <v>4.1398447490885806</v>
      </c>
      <c r="N61" s="284">
        <f>N55*'Demand Breakdown - Ethylene'!$D$77</f>
        <v>4.2267814888194408</v>
      </c>
      <c r="O61" s="284">
        <f>O55*'Demand Breakdown - Ethylene'!$D$77</f>
        <v>4.3155439000846485</v>
      </c>
      <c r="P61" s="284">
        <f>P55*'Demand Breakdown - Ethylene'!$D$77</f>
        <v>4.4061703219864254</v>
      </c>
      <c r="Q61" s="284">
        <f>Q55*'Demand Breakdown - Ethylene'!$D$77</f>
        <v>4.4986998987481401</v>
      </c>
      <c r="R61" s="284">
        <f>R55*'Demand Breakdown - Ethylene'!$D$77</f>
        <v>4.5931725966218506</v>
      </c>
      <c r="S61" s="284">
        <f>S55*'Demand Breakdown - Ethylene'!$D$77</f>
        <v>4.6896292211509092</v>
      </c>
      <c r="T61" s="284">
        <f>T55*'Demand Breakdown - Ethylene'!$D$77</f>
        <v>4.7881114347950779</v>
      </c>
      <c r="U61" s="284">
        <f>U55*'Demand Breakdown - Ethylene'!$D$77</f>
        <v>4.8886617749257741</v>
      </c>
      <c r="V61" s="284">
        <f>V55*'Demand Breakdown - Ethylene'!$D$77</f>
        <v>4.9913236721992149</v>
      </c>
      <c r="W61" s="284">
        <f>W55*'Demand Breakdown - Ethylene'!$D$77</f>
        <v>5.0961414693153984</v>
      </c>
      <c r="X61" s="284">
        <f>X55*'Demand Breakdown - Ethylene'!$D$77</f>
        <v>5.203160440171021</v>
      </c>
      <c r="Y61" s="284">
        <f>Y55*'Demand Breakdown - Ethylene'!$D$77</f>
        <v>5.3124268094146121</v>
      </c>
      <c r="Z61" s="284">
        <f>Z55*'Demand Breakdown - Ethylene'!$D$77</f>
        <v>5.4239877724123184</v>
      </c>
      <c r="AA61" s="284">
        <f>AA55*'Demand Breakdown - Ethylene'!$D$77</f>
        <v>5.5378915156329764</v>
      </c>
      <c r="AB61" s="284">
        <f>AB55*'Demand Breakdown - Ethylene'!$D$77</f>
        <v>5.6541872374612687</v>
      </c>
      <c r="AC61" s="284">
        <f>AC55*'Demand Breakdown - Ethylene'!$D$77</f>
        <v>5.7729251694479551</v>
      </c>
      <c r="AD61" s="284">
        <f>AD55*'Demand Breakdown - Ethylene'!$D$77</f>
        <v>5.8941565980063615</v>
      </c>
      <c r="AE61" s="284">
        <f>AE55*'Demand Breakdown - Ethylene'!$D$77</f>
        <v>6.0179338865644949</v>
      </c>
      <c r="AF61" s="284">
        <f>AF55*'Demand Breakdown - Ethylene'!$D$77</f>
        <v>6.1443104981823486</v>
      </c>
      <c r="AG61" s="284">
        <f>AG55*'Demand Breakdown - Ethylene'!$D$77</f>
        <v>6.2733410186441771</v>
      </c>
      <c r="AH61" s="284">
        <f>AH55*'Demand Breakdown - Ethylene'!$D$77</f>
        <v>6.4050811800357046</v>
      </c>
      <c r="AI61" s="284"/>
    </row>
    <row r="62" spans="1:35" s="67" customFormat="1">
      <c r="A62" s="58" t="s">
        <v>208</v>
      </c>
      <c r="B62" s="58" t="s">
        <v>199</v>
      </c>
      <c r="C62" s="59" t="s">
        <v>153</v>
      </c>
      <c r="D62" s="60">
        <f t="shared" ref="D62:AH62" si="17">D4-D12-D26-D40-D50</f>
        <v>26.799786402018107</v>
      </c>
      <c r="E62" s="60">
        <f t="shared" si="17"/>
        <v>28.769681809966333</v>
      </c>
      <c r="F62" s="60">
        <f t="shared" si="17"/>
        <v>30.807720797164642</v>
      </c>
      <c r="G62" s="60">
        <f t="shared" si="17"/>
        <v>32.915880342003298</v>
      </c>
      <c r="H62" s="60">
        <f t="shared" si="17"/>
        <v>35.096190748991432</v>
      </c>
      <c r="I62" s="60">
        <f t="shared" si="17"/>
        <v>37.35073703588138</v>
      </c>
      <c r="J62" s="60">
        <f t="shared" si="17"/>
        <v>39.180145460280585</v>
      </c>
      <c r="K62" s="60">
        <f t="shared" si="17"/>
        <v>41.064673760592719</v>
      </c>
      <c r="L62" s="60">
        <f t="shared" si="17"/>
        <v>43.005756065858371</v>
      </c>
      <c r="M62" s="60">
        <f t="shared" si="17"/>
        <v>45.004861388134636</v>
      </c>
      <c r="N62" s="60">
        <f t="shared" si="17"/>
        <v>47.063494440626691</v>
      </c>
      <c r="O62" s="60">
        <f t="shared" si="17"/>
        <v>47.110034965693075</v>
      </c>
      <c r="P62" s="60">
        <f t="shared" si="17"/>
        <v>47.1488823667829</v>
      </c>
      <c r="Q62" s="60">
        <f t="shared" si="17"/>
        <v>47.179810597404305</v>
      </c>
      <c r="R62" s="60">
        <f t="shared" si="17"/>
        <v>47.202588692034396</v>
      </c>
      <c r="S62" s="60">
        <f t="shared" si="17"/>
        <v>47.216980670019545</v>
      </c>
      <c r="T62" s="60">
        <f t="shared" si="17"/>
        <v>47.077163873772086</v>
      </c>
      <c r="U62" s="60">
        <f t="shared" si="17"/>
        <v>46.925103799560603</v>
      </c>
      <c r="V62" s="60">
        <f t="shared" si="17"/>
        <v>46.760490310763501</v>
      </c>
      <c r="W62" s="60">
        <f t="shared" si="17"/>
        <v>46.583006949548768</v>
      </c>
      <c r="X62" s="60">
        <f t="shared" si="17"/>
        <v>46.392330818424632</v>
      </c>
      <c r="Y62" s="60">
        <f t="shared" si="17"/>
        <v>46.05057326779729</v>
      </c>
      <c r="Z62" s="60">
        <f t="shared" si="17"/>
        <v>45.691947626346987</v>
      </c>
      <c r="AA62" s="60">
        <f t="shared" si="17"/>
        <v>45.316061544684054</v>
      </c>
      <c r="AB62" s="60">
        <f t="shared" si="17"/>
        <v>44.922515017267713</v>
      </c>
      <c r="AC62" s="60">
        <f t="shared" si="17"/>
        <v>44.510900243015016</v>
      </c>
      <c r="AD62" s="60">
        <f t="shared" si="17"/>
        <v>43.950425641835416</v>
      </c>
      <c r="AE62" s="60">
        <f t="shared" si="17"/>
        <v>43.368338750480113</v>
      </c>
      <c r="AF62" s="60">
        <f t="shared" si="17"/>
        <v>42.76416543473605</v>
      </c>
      <c r="AG62" s="60">
        <f t="shared" si="17"/>
        <v>42.137422599940138</v>
      </c>
      <c r="AH62" s="60">
        <f t="shared" si="17"/>
        <v>41.487618031273527</v>
      </c>
    </row>
    <row r="63" spans="1:35" outlineLevel="1">
      <c r="B63" s="1" t="s">
        <v>168</v>
      </c>
      <c r="C63" s="54" t="s">
        <v>153</v>
      </c>
      <c r="D63">
        <v>0</v>
      </c>
      <c r="E63" s="43">
        <f>E62*'R&amp;S - Others'!$C$7*'R&amp;S - Others'!$B$11*'R&amp;S - Others'!$B$15*('Yearly HC Ethylene'!E$3-'Yearly HC Ethylene'!$D$3)/10</f>
        <v>0</v>
      </c>
      <c r="F63" s="43">
        <f>F62*'R&amp;S - Others'!$C$7*'R&amp;S - Others'!$B$11*'R&amp;S - Others'!$B$15*('Yearly HC Ethylene'!F$3-'Yearly HC Ethylene'!$D$3)/10</f>
        <v>0</v>
      </c>
      <c r="G63" s="43">
        <f>G62*'R&amp;S - Others'!$C$7*'R&amp;S - Others'!$B$11*'R&amp;S - Others'!$B$15*('Yearly HC Ethylene'!G$3-'Yearly HC Ethylene'!$D$3)/10</f>
        <v>0</v>
      </c>
      <c r="H63" s="43">
        <f>H62*'R&amp;S - Others'!$C$7*'R&amp;S - Others'!$B$11*'R&amp;S - Others'!$B$15*('Yearly HC Ethylene'!H$3-'Yearly HC Ethylene'!$D$3)/10</f>
        <v>0</v>
      </c>
      <c r="I63" s="43">
        <f>I62*'R&amp;S - Others'!$C$7*'R&amp;S - Others'!$B$11*'R&amp;S - Others'!$B$15*('Yearly HC Ethylene'!I$3-'Yearly HC Ethylene'!$D$3)/10</f>
        <v>0</v>
      </c>
      <c r="J63" s="43">
        <f>J62*'R&amp;S - Others'!$C$7*'R&amp;S - Others'!$B$11*'R&amp;S - Others'!$B$15*('Yearly HC Ethylene'!J$3-'Yearly HC Ethylene'!$D$3)/10</f>
        <v>0</v>
      </c>
      <c r="K63" s="43">
        <f>K62*'R&amp;S - Others'!$C$7*'R&amp;S - Others'!$B$11*'R&amp;S - Others'!$B$15*('Yearly HC Ethylene'!K$3-'Yearly HC Ethylene'!$D$3)/10</f>
        <v>0</v>
      </c>
      <c r="L63" s="43">
        <f>L62*'R&amp;S - Others'!$C$7*'R&amp;S - Others'!$B$11*'R&amp;S - Others'!$B$15*('Yearly HC Ethylene'!L$3-'Yearly HC Ethylene'!$D$3)/10</f>
        <v>0</v>
      </c>
      <c r="M63" s="43">
        <f>M62*'R&amp;S - Others'!$C$7*'R&amp;S - Others'!$B$11*'R&amp;S - Others'!$B$15*('Yearly HC Ethylene'!M$3-'Yearly HC Ethylene'!$D$3)/10</f>
        <v>0</v>
      </c>
      <c r="N63" s="43">
        <f>N62*'R&amp;S - Others'!$C$7*'R&amp;S - Others'!$B$11*'R&amp;S - Others'!$B$15*('Yearly HC Ethylene'!N$3-'Yearly HC Ethylene'!$D$3)/10</f>
        <v>0</v>
      </c>
      <c r="O63" s="43">
        <f>O62*'R&amp;S - Others'!$C$7*'R&amp;S - Others'!$B$11*('R&amp;S - Others'!$B$15+('R&amp;S - Others'!$B$16-'R&amp;S - Others'!$B$15)*('Yearly HC Ethylene'!O$3-'Yearly HC Ethylene'!$N$3)/10)</f>
        <v>0</v>
      </c>
      <c r="P63" s="43">
        <f>P62*'R&amp;S - Others'!$C$7*'R&amp;S - Others'!$B$11*('R&amp;S - Others'!$B$15+('R&amp;S - Others'!$B$16-'R&amp;S - Others'!$B$15)*('Yearly HC Ethylene'!P$3-'Yearly HC Ethylene'!$N$3)/10)</f>
        <v>0</v>
      </c>
      <c r="Q63" s="43">
        <f>Q62*'R&amp;S - Others'!$C$7*'R&amp;S - Others'!$B$11*('R&amp;S - Others'!$B$15+('R&amp;S - Others'!$B$16-'R&amp;S - Others'!$B$15)*('Yearly HC Ethylene'!Q$3-'Yearly HC Ethylene'!$N$3)/10)</f>
        <v>0</v>
      </c>
      <c r="R63" s="43">
        <f>R62*'R&amp;S - Others'!$C$7*'R&amp;S - Others'!$B$11*('R&amp;S - Others'!$B$15+('R&amp;S - Others'!$B$16-'R&amp;S - Others'!$B$15)*('Yearly HC Ethylene'!R$3-'Yearly HC Ethylene'!$N$3)/10)</f>
        <v>0</v>
      </c>
      <c r="S63" s="43">
        <f>S62*'R&amp;S - Others'!$C$7*'R&amp;S - Others'!$B$11*('R&amp;S - Others'!$B$15+('R&amp;S - Others'!$B$16-'R&amp;S - Others'!$B$15)*('Yearly HC Ethylene'!S$3-'Yearly HC Ethylene'!$N$3)/10)</f>
        <v>0</v>
      </c>
      <c r="T63" s="43">
        <f>T62*'R&amp;S - Others'!$C$7*'R&amp;S - Others'!$B$11*('R&amp;S - Others'!$B$15+('R&amp;S - Others'!$B$16-'R&amp;S - Others'!$B$15)*('Yearly HC Ethylene'!T$3-'Yearly HC Ethylene'!$N$3)/10)</f>
        <v>0</v>
      </c>
      <c r="U63" s="43">
        <f>U62*'R&amp;S - Others'!$C$7*'R&amp;S - Others'!$B$11*('R&amp;S - Others'!$B$15+('R&amp;S - Others'!$B$16-'R&amp;S - Others'!$B$15)*('Yearly HC Ethylene'!U$3-'Yearly HC Ethylene'!$N$3)/10)</f>
        <v>0</v>
      </c>
      <c r="V63" s="43">
        <f>V62*'R&amp;S - Others'!$C$7*'R&amp;S - Others'!$B$11*('R&amp;S - Others'!$B$15+('R&amp;S - Others'!$B$16-'R&amp;S - Others'!$B$15)*('Yearly HC Ethylene'!V$3-'Yearly HC Ethylene'!$N$3)/10)</f>
        <v>0</v>
      </c>
      <c r="W63" s="43">
        <f>W62*'R&amp;S - Others'!$C$7*'R&amp;S - Others'!$B$11*('R&amp;S - Others'!$B$15+('R&amp;S - Others'!$B$16-'R&amp;S - Others'!$B$15)*('Yearly HC Ethylene'!W$3-'Yearly HC Ethylene'!$N$3)/10)</f>
        <v>0</v>
      </c>
      <c r="X63" s="43">
        <f>X62*'R&amp;S - Others'!$C$7*'R&amp;S - Others'!$B$11*('R&amp;S - Others'!$B$15+('R&amp;S - Others'!$B$16-'R&amp;S - Others'!$B$15)*('Yearly HC Ethylene'!X$3-'Yearly HC Ethylene'!$N$3)/10)</f>
        <v>0</v>
      </c>
      <c r="Y63" s="43">
        <f>Y62*'R&amp;S - Others'!$C$7*'R&amp;S - Others'!$B$11*('R&amp;S - Others'!$B$16+('R&amp;S - Others'!$B$17-'R&amp;S - Others'!$B$16)*('Yearly HC Ethylene'!Y$3-'Yearly HC Ethylene'!$X$3)/10)</f>
        <v>0</v>
      </c>
      <c r="Z63" s="43">
        <f>Z62*'R&amp;S - Others'!$C$7*'R&amp;S - Others'!$B$11*('R&amp;S - Others'!$B$16+('R&amp;S - Others'!$B$17-'R&amp;S - Others'!$B$16)*('Yearly HC Ethylene'!Z$3-'Yearly HC Ethylene'!$X$3)/10)</f>
        <v>0</v>
      </c>
      <c r="AA63" s="43">
        <f>AA62*'R&amp;S - Others'!$C$7*'R&amp;S - Others'!$B$11*('R&amp;S - Others'!$B$16+('R&amp;S - Others'!$B$17-'R&amp;S - Others'!$B$16)*('Yearly HC Ethylene'!AA$3-'Yearly HC Ethylene'!$X$3)/10)</f>
        <v>0</v>
      </c>
      <c r="AB63" s="43">
        <f>AB62*'R&amp;S - Others'!$C$7*'R&amp;S - Others'!$B$11*('R&amp;S - Others'!$B$16+('R&amp;S - Others'!$B$17-'R&amp;S - Others'!$B$16)*('Yearly HC Ethylene'!AB$3-'Yearly HC Ethylene'!$X$3)/10)</f>
        <v>0</v>
      </c>
      <c r="AC63" s="43">
        <f>AC62*'R&amp;S - Others'!$C$7*'R&amp;S - Others'!$B$11*('R&amp;S - Others'!$B$16+('R&amp;S - Others'!$B$17-'R&amp;S - Others'!$B$16)*('Yearly HC Ethylene'!AC$3-'Yearly HC Ethylene'!$X$3)/10)</f>
        <v>0</v>
      </c>
      <c r="AD63" s="43">
        <f>AD62*'R&amp;S - Others'!$C$7*'R&amp;S - Others'!$B$11*('R&amp;S - Others'!$B$16+('R&amp;S - Others'!$B$17-'R&amp;S - Others'!$B$16)*('Yearly HC Ethylene'!AD$3-'Yearly HC Ethylene'!$X$3)/10)</f>
        <v>0</v>
      </c>
      <c r="AE63" s="43">
        <f>AE62*'R&amp;S - Others'!$C$7*'R&amp;S - Others'!$B$11*('R&amp;S - Others'!$B$16+('R&amp;S - Others'!$B$17-'R&amp;S - Others'!$B$16)*('Yearly HC Ethylene'!AE$3-'Yearly HC Ethylene'!$X$3)/10)</f>
        <v>0</v>
      </c>
      <c r="AF63" s="43">
        <f>AF62*'R&amp;S - Others'!$C$7*'R&amp;S - Others'!$B$11*('R&amp;S - Others'!$B$16+('R&amp;S - Others'!$B$17-'R&amp;S - Others'!$B$16)*('Yearly HC Ethylene'!AF$3-'Yearly HC Ethylene'!$X$3)/10)</f>
        <v>0</v>
      </c>
      <c r="AG63" s="43">
        <f>AG62*'R&amp;S - Others'!$C$7*'R&amp;S - Others'!$B$11*('R&amp;S - Others'!$B$16+('R&amp;S - Others'!$B$17-'R&amp;S - Others'!$B$16)*('Yearly HC Ethylene'!AG$3-'Yearly HC Ethylene'!$X$3)/10)</f>
        <v>0</v>
      </c>
      <c r="AH63" s="43">
        <f>AH62*'R&amp;S - Others'!$C$7*'R&amp;S - Others'!$B$11*('R&amp;S - Others'!$B$16+('R&amp;S - Others'!$B$17-'R&amp;S - Others'!$B$16)*('Yearly HC Ethylene'!AH$3-'Yearly HC Ethylene'!$X$3)/10)</f>
        <v>0</v>
      </c>
    </row>
    <row r="64" spans="1:35" outlineLevel="1">
      <c r="B64" s="1" t="s">
        <v>172</v>
      </c>
      <c r="C64" s="54" t="s">
        <v>153</v>
      </c>
      <c r="D64">
        <v>0</v>
      </c>
      <c r="E64" s="43">
        <f>E62*'R&amp;S - Others'!$C$8*'R&amp;S - Others'!$B$11*'R&amp;S - Others'!$C$15*('Yearly HC Ethylene'!E$3-'Yearly HC Ethylene'!$D$3)/10</f>
        <v>0</v>
      </c>
      <c r="F64" s="43">
        <f>F62*'R&amp;S - Others'!$C$8*'R&amp;S - Others'!$B$11*'R&amp;S - Others'!$C$15*('Yearly HC Ethylene'!F$3-'Yearly HC Ethylene'!$D$3)/10</f>
        <v>0</v>
      </c>
      <c r="G64" s="43">
        <f>G62*'R&amp;S - Others'!$C$8*'R&amp;S - Others'!$B$11*'R&amp;S - Others'!$C$15*('Yearly HC Ethylene'!G$3-'Yearly HC Ethylene'!$D$3)/10</f>
        <v>0</v>
      </c>
      <c r="H64" s="43">
        <f>H62*'R&amp;S - Others'!$C$8*'R&amp;S - Others'!$B$11*'R&amp;S - Others'!$C$15*('Yearly HC Ethylene'!H$3-'Yearly HC Ethylene'!$D$3)/10</f>
        <v>0</v>
      </c>
      <c r="I64" s="43">
        <f>I62*'R&amp;S - Others'!$C$8*'R&amp;S - Others'!$B$11*'R&amp;S - Others'!$C$15*('Yearly HC Ethylene'!I$3-'Yearly HC Ethylene'!$D$3)/10</f>
        <v>0</v>
      </c>
      <c r="J64" s="43">
        <f>J62*'R&amp;S - Others'!$C$8*'R&amp;S - Others'!$B$11*'R&amp;S - Others'!$C$15*('Yearly HC Ethylene'!J$3-'Yearly HC Ethylene'!$D$3)/10</f>
        <v>0</v>
      </c>
      <c r="K64" s="43">
        <f>K62*'R&amp;S - Others'!$C$8*'R&amp;S - Others'!$B$11*'R&amp;S - Others'!$C$15*('Yearly HC Ethylene'!K$3-'Yearly HC Ethylene'!$D$3)/10</f>
        <v>0</v>
      </c>
      <c r="L64" s="43">
        <f>L62*'R&amp;S - Others'!$C$8*'R&amp;S - Others'!$B$11*'R&amp;S - Others'!$C$15*('Yearly HC Ethylene'!L$3-'Yearly HC Ethylene'!$D$3)/10</f>
        <v>0</v>
      </c>
      <c r="M64" s="43">
        <f>M62*'R&amp;S - Others'!$C$8*'R&amp;S - Others'!$B$11*'R&amp;S - Others'!$C$15*('Yearly HC Ethylene'!M$3-'Yearly HC Ethylene'!$D$3)/10</f>
        <v>0</v>
      </c>
      <c r="N64" s="43">
        <f>N62*'R&amp;S - Others'!$C$8*'R&amp;S - Others'!$B$11*'R&amp;S - Others'!$C$15*('Yearly HC Ethylene'!N$3-'Yearly HC Ethylene'!$D$3)/10</f>
        <v>0</v>
      </c>
      <c r="O64" s="43">
        <f>O62*'R&amp;S - Others'!$C$8*'R&amp;S - Others'!$B$11*('R&amp;S - Others'!$C$15+('R&amp;S - Others'!$C$16-'R&amp;S - Others'!$C$15)*('Yearly HC Ethylene'!O$3-'Yearly HC Ethylene'!$N$3)/10)</f>
        <v>0</v>
      </c>
      <c r="P64" s="43">
        <f>P62*'R&amp;S - Others'!$C$8*'R&amp;S - Others'!$B$11*('R&amp;S - Others'!$C$15+('R&amp;S - Others'!$C$16-'R&amp;S - Others'!$C$15)*('Yearly HC Ethylene'!P$3-'Yearly HC Ethylene'!$N$3)/10)</f>
        <v>0</v>
      </c>
      <c r="Q64" s="43">
        <f>Q62*'R&amp;S - Others'!$C$8*'R&amp;S - Others'!$B$11*('R&amp;S - Others'!$C$15+('R&amp;S - Others'!$C$16-'R&amp;S - Others'!$C$15)*('Yearly HC Ethylene'!Q$3-'Yearly HC Ethylene'!$N$3)/10)</f>
        <v>0</v>
      </c>
      <c r="R64" s="43">
        <f>R62*'R&amp;S - Others'!$C$8*'R&amp;S - Others'!$B$11*('R&amp;S - Others'!$C$15+('R&amp;S - Others'!$C$16-'R&amp;S - Others'!$C$15)*('Yearly HC Ethylene'!R$3-'Yearly HC Ethylene'!$N$3)/10)</f>
        <v>0</v>
      </c>
      <c r="S64" s="43">
        <f>S62*'R&amp;S - Others'!$C$8*'R&amp;S - Others'!$B$11*('R&amp;S - Others'!$C$15+('R&amp;S - Others'!$C$16-'R&amp;S - Others'!$C$15)*('Yearly HC Ethylene'!S$3-'Yearly HC Ethylene'!$N$3)/10)</f>
        <v>0</v>
      </c>
      <c r="T64" s="43">
        <f>T62*'R&amp;S - Others'!$C$8*'R&amp;S - Others'!$B$11*('R&amp;S - Others'!$C$15+('R&amp;S - Others'!$C$16-'R&amp;S - Others'!$C$15)*('Yearly HC Ethylene'!T$3-'Yearly HC Ethylene'!$N$3)/10)</f>
        <v>0</v>
      </c>
      <c r="U64" s="43">
        <f>U62*'R&amp;S - Others'!$C$8*'R&amp;S - Others'!$B$11*('R&amp;S - Others'!$C$15+('R&amp;S - Others'!$C$16-'R&amp;S - Others'!$C$15)*('Yearly HC Ethylene'!U$3-'Yearly HC Ethylene'!$N$3)/10)</f>
        <v>0</v>
      </c>
      <c r="V64" s="43">
        <f>V62*'R&amp;S - Others'!$C$8*'R&amp;S - Others'!$B$11*('R&amp;S - Others'!$C$15+('R&amp;S - Others'!$C$16-'R&amp;S - Others'!$C$15)*('Yearly HC Ethylene'!V$3-'Yearly HC Ethylene'!$N$3)/10)</f>
        <v>0</v>
      </c>
      <c r="W64" s="43">
        <f>W62*'R&amp;S - Others'!$C$8*'R&amp;S - Others'!$B$11*('R&amp;S - Others'!$C$15+('R&amp;S - Others'!$C$16-'R&amp;S - Others'!$C$15)*('Yearly HC Ethylene'!W$3-'Yearly HC Ethylene'!$N$3)/10)</f>
        <v>0</v>
      </c>
      <c r="X64" s="43">
        <f>X62*'R&amp;S - Others'!$C$8*'R&amp;S - Others'!$B$11*('R&amp;S - Others'!$C$15+('R&amp;S - Others'!$C$16-'R&amp;S - Others'!$C$15)*('Yearly HC Ethylene'!X$3-'Yearly HC Ethylene'!$N$3)/10)</f>
        <v>0</v>
      </c>
      <c r="Y64" s="43">
        <f>Y62*'R&amp;S - Others'!$C$8*'R&amp;S - Others'!$B$11*('R&amp;S - Others'!$C$16+('R&amp;S - Others'!$C$17-'R&amp;S - Others'!$C$16)*('Yearly HC Ethylene'!Y$3-'Yearly HC Ethylene'!$X$3)/10)</f>
        <v>0</v>
      </c>
      <c r="Z64" s="43">
        <f>Z62*'R&amp;S - Others'!$C$8*'R&amp;S - Others'!$B$11*('R&amp;S - Others'!$C$16+('R&amp;S - Others'!$C$17-'R&amp;S - Others'!$C$16)*('Yearly HC Ethylene'!Z$3-'Yearly HC Ethylene'!$X$3)/10)</f>
        <v>0</v>
      </c>
      <c r="AA64" s="43">
        <f>AA62*'R&amp;S - Others'!$C$8*'R&amp;S - Others'!$B$11*('R&amp;S - Others'!$C$16+('R&amp;S - Others'!$C$17-'R&amp;S - Others'!$C$16)*('Yearly HC Ethylene'!AA$3-'Yearly HC Ethylene'!$X$3)/10)</f>
        <v>0</v>
      </c>
      <c r="AB64" s="43">
        <f>AB62*'R&amp;S - Others'!$C$8*'R&amp;S - Others'!$B$11*('R&amp;S - Others'!$C$16+('R&amp;S - Others'!$C$17-'R&amp;S - Others'!$C$16)*('Yearly HC Ethylene'!AB$3-'Yearly HC Ethylene'!$X$3)/10)</f>
        <v>0</v>
      </c>
      <c r="AC64" s="43">
        <f>AC62*'R&amp;S - Others'!$C$8*'R&amp;S - Others'!$B$11*('R&amp;S - Others'!$C$16+('R&amp;S - Others'!$C$17-'R&amp;S - Others'!$C$16)*('Yearly HC Ethylene'!AC$3-'Yearly HC Ethylene'!$X$3)/10)</f>
        <v>0</v>
      </c>
      <c r="AD64" s="43">
        <f>AD62*'R&amp;S - Others'!$C$8*'R&amp;S - Others'!$B$11*('R&amp;S - Others'!$C$16+('R&amp;S - Others'!$C$17-'R&amp;S - Others'!$C$16)*('Yearly HC Ethylene'!AD$3-'Yearly HC Ethylene'!$X$3)/10)</f>
        <v>0</v>
      </c>
      <c r="AE64" s="43">
        <f>AE62*'R&amp;S - Others'!$C$8*'R&amp;S - Others'!$B$11*('R&amp;S - Others'!$C$16+('R&amp;S - Others'!$C$17-'R&amp;S - Others'!$C$16)*('Yearly HC Ethylene'!AE$3-'Yearly HC Ethylene'!$X$3)/10)</f>
        <v>0</v>
      </c>
      <c r="AF64" s="43">
        <f>AF62*'R&amp;S - Others'!$C$8*'R&amp;S - Others'!$B$11*('R&amp;S - Others'!$C$16+('R&amp;S - Others'!$C$17-'R&amp;S - Others'!$C$16)*('Yearly HC Ethylene'!AF$3-'Yearly HC Ethylene'!$X$3)/10)</f>
        <v>0</v>
      </c>
      <c r="AG64" s="43">
        <f>AG62*'R&amp;S - Others'!$C$8*'R&amp;S - Others'!$B$11*('R&amp;S - Others'!$C$16+('R&amp;S - Others'!$C$17-'R&amp;S - Others'!$C$16)*('Yearly HC Ethylene'!AG$3-'Yearly HC Ethylene'!$X$3)/10)</f>
        <v>0</v>
      </c>
      <c r="AH64" s="43">
        <f>AH62*'R&amp;S - Others'!$C$8*'R&amp;S - Others'!$B$11*('R&amp;S - Others'!$C$16+('R&amp;S - Others'!$C$17-'R&amp;S - Others'!$C$16)*('Yearly HC Ethylene'!AH$3-'Yearly HC Ethylene'!$X$3)/10)</f>
        <v>0</v>
      </c>
    </row>
    <row r="65" spans="1:35" s="181" customFormat="1">
      <c r="A65" s="178"/>
      <c r="B65" s="178" t="s">
        <v>197</v>
      </c>
      <c r="C65" s="179" t="s">
        <v>153</v>
      </c>
      <c r="D65" s="180">
        <f>D62-D63-D64</f>
        <v>26.799786402018107</v>
      </c>
      <c r="E65" s="180">
        <f t="shared" ref="E65:AH65" si="18">E62-E63-E64</f>
        <v>28.769681809966333</v>
      </c>
      <c r="F65" s="180">
        <f t="shared" si="18"/>
        <v>30.807720797164642</v>
      </c>
      <c r="G65" s="180">
        <f t="shared" si="18"/>
        <v>32.915880342003298</v>
      </c>
      <c r="H65" s="180">
        <f t="shared" si="18"/>
        <v>35.096190748991432</v>
      </c>
      <c r="I65" s="180">
        <f t="shared" si="18"/>
        <v>37.35073703588138</v>
      </c>
      <c r="J65" s="180">
        <f t="shared" si="18"/>
        <v>39.180145460280585</v>
      </c>
      <c r="K65" s="180">
        <f t="shared" si="18"/>
        <v>41.064673760592719</v>
      </c>
      <c r="L65" s="180">
        <f t="shared" si="18"/>
        <v>43.005756065858371</v>
      </c>
      <c r="M65" s="180">
        <f t="shared" si="18"/>
        <v>45.004861388134636</v>
      </c>
      <c r="N65" s="180">
        <f t="shared" si="18"/>
        <v>47.063494440626691</v>
      </c>
      <c r="O65" s="180">
        <f t="shared" si="18"/>
        <v>47.110034965693075</v>
      </c>
      <c r="P65" s="180">
        <f t="shared" si="18"/>
        <v>47.1488823667829</v>
      </c>
      <c r="Q65" s="180">
        <f t="shared" si="18"/>
        <v>47.179810597404305</v>
      </c>
      <c r="R65" s="180">
        <f t="shared" si="18"/>
        <v>47.202588692034396</v>
      </c>
      <c r="S65" s="180">
        <f t="shared" si="18"/>
        <v>47.216980670019545</v>
      </c>
      <c r="T65" s="180">
        <f t="shared" si="18"/>
        <v>47.077163873772086</v>
      </c>
      <c r="U65" s="180">
        <f t="shared" si="18"/>
        <v>46.925103799560603</v>
      </c>
      <c r="V65" s="180">
        <f t="shared" si="18"/>
        <v>46.760490310763501</v>
      </c>
      <c r="W65" s="180">
        <f t="shared" si="18"/>
        <v>46.583006949548768</v>
      </c>
      <c r="X65" s="180">
        <f t="shared" si="18"/>
        <v>46.392330818424632</v>
      </c>
      <c r="Y65" s="180">
        <f t="shared" si="18"/>
        <v>46.05057326779729</v>
      </c>
      <c r="Z65" s="180">
        <f t="shared" si="18"/>
        <v>45.691947626346987</v>
      </c>
      <c r="AA65" s="180">
        <f t="shared" si="18"/>
        <v>45.316061544684054</v>
      </c>
      <c r="AB65" s="180">
        <f t="shared" si="18"/>
        <v>44.922515017267713</v>
      </c>
      <c r="AC65" s="180">
        <f t="shared" si="18"/>
        <v>44.510900243015016</v>
      </c>
      <c r="AD65" s="180">
        <f t="shared" si="18"/>
        <v>43.950425641835416</v>
      </c>
      <c r="AE65" s="180">
        <f t="shared" si="18"/>
        <v>43.368338750480113</v>
      </c>
      <c r="AF65" s="180">
        <f t="shared" si="18"/>
        <v>42.76416543473605</v>
      </c>
      <c r="AG65" s="180">
        <f t="shared" si="18"/>
        <v>42.137422599940138</v>
      </c>
      <c r="AH65" s="180">
        <f t="shared" si="18"/>
        <v>41.487618031273527</v>
      </c>
    </row>
    <row r="66" spans="1:35" s="67" customFormat="1">
      <c r="A66" s="755" t="s">
        <v>257</v>
      </c>
      <c r="B66" s="58" t="s">
        <v>258</v>
      </c>
      <c r="C66" s="59" t="s">
        <v>153</v>
      </c>
      <c r="D66" s="60">
        <f>D65*('Demand Breakdown - Ethylene'!$C$76)</f>
        <v>9.842212333121422</v>
      </c>
      <c r="E66" s="60">
        <f>E65*('Demand Breakdown - Ethylene'!$C$76)</f>
        <v>10.565655743760221</v>
      </c>
      <c r="F66" s="60">
        <f>F65*('Demand Breakdown - Ethylene'!$C$76)</f>
        <v>11.314124860427322</v>
      </c>
      <c r="G66" s="60">
        <f>G65*('Demand Breakdown - Ethylene'!$C$76)</f>
        <v>12.088345727756183</v>
      </c>
      <c r="H66" s="60">
        <f>H65*('Demand Breakdown - Ethylene'!$C$76)</f>
        <v>12.889063974379061</v>
      </c>
      <c r="I66" s="60">
        <f>I65*('Demand Breakdown - Ethylene'!$C$76)</f>
        <v>13.717045322347953</v>
      </c>
      <c r="J66" s="60">
        <f>J65*('Demand Breakdown - Ethylene'!$C$76)</f>
        <v>14.388894936626306</v>
      </c>
      <c r="K66" s="60">
        <f>K65*('Demand Breakdown - Ethylene'!$C$76)</f>
        <v>15.080987306364435</v>
      </c>
      <c r="L66" s="60">
        <f>L65*('Demand Breakdown - Ethylene'!$C$76)</f>
        <v>15.793849114958952</v>
      </c>
      <c r="M66" s="60">
        <f>M65*('Demand Breakdown - Ethylene'!$C$76)</f>
        <v>16.528019856582269</v>
      </c>
      <c r="N66" s="60">
        <f>N65*('Demand Breakdown - Ethylene'!$C$76)</f>
        <v>17.284052136641151</v>
      </c>
      <c r="O66" s="60">
        <f>O65*('Demand Breakdown - Ethylene'!$C$76)</f>
        <v>17.301144128455078</v>
      </c>
      <c r="P66" s="60">
        <f>P65*('Demand Breakdown - Ethylene'!$C$76)</f>
        <v>17.315410823136165</v>
      </c>
      <c r="Q66" s="60">
        <f>Q65*('Demand Breakdown - Ethylene'!$C$76)</f>
        <v>17.326769205188072</v>
      </c>
      <c r="R66" s="60">
        <f>R65*('Demand Breakdown - Ethylene'!$C$76)</f>
        <v>17.335134452601999</v>
      </c>
      <c r="S66" s="60">
        <f>S65*('Demand Breakdown - Ethylene'!$C$76)</f>
        <v>17.340419901564115</v>
      </c>
      <c r="T66" s="60">
        <f>T65*('Demand Breakdown - Ethylene'!$C$76)</f>
        <v>17.289072231259524</v>
      </c>
      <c r="U66" s="60">
        <f>U65*('Demand Breakdown - Ethylene'!$C$76)</f>
        <v>17.233228221336113</v>
      </c>
      <c r="V66" s="60">
        <f>V65*('Demand Breakdown - Ethylene'!$C$76)</f>
        <v>17.172773974226331</v>
      </c>
      <c r="W66" s="60">
        <f>W65*('Demand Breakdown - Ethylene'!$C$76)</f>
        <v>17.107593270900278</v>
      </c>
      <c r="X66" s="60">
        <f>X65*('Demand Breakdown - Ethylene'!$C$76)</f>
        <v>17.03756752736523</v>
      </c>
      <c r="Y66" s="60">
        <f>Y65*('Demand Breakdown - Ethylene'!$C$76)</f>
        <v>16.912057184511582</v>
      </c>
      <c r="Z66" s="60">
        <f>Z65*('Demand Breakdown - Ethylene'!$C$76)</f>
        <v>16.780352041108276</v>
      </c>
      <c r="AA66" s="60">
        <f>AA65*('Demand Breakdown - Ethylene'!$C$76)</f>
        <v>16.642308006976982</v>
      </c>
      <c r="AB66" s="60">
        <f>AB65*('Demand Breakdown - Ethylene'!$C$76)</f>
        <v>16.497778180220507</v>
      </c>
      <c r="AC66" s="60">
        <f>AC65*('Demand Breakdown - Ethylene'!$C$76)</f>
        <v>16.346612796031479</v>
      </c>
      <c r="AD66" s="60">
        <f>AD65*('Demand Breakdown - Ethylene'!$C$76)</f>
        <v>16.140778691632956</v>
      </c>
      <c r="AE66" s="60">
        <f>AE65*('Demand Breakdown - Ethylene'!$C$76)</f>
        <v>15.927007481105171</v>
      </c>
      <c r="AF66" s="60">
        <f>AF65*('Demand Breakdown - Ethylene'!$C$76)</f>
        <v>15.705125038821553</v>
      </c>
      <c r="AG66" s="60">
        <f>AG65*('Demand Breakdown - Ethylene'!$C$76)</f>
        <v>15.474953948433336</v>
      </c>
      <c r="AH66" s="60">
        <f>AH65*('Demand Breakdown - Ethylene'!$C$76)</f>
        <v>15.236313444217693</v>
      </c>
      <c r="AI66" s="60"/>
    </row>
    <row r="67" spans="1:35">
      <c r="A67" s="756"/>
      <c r="B67" s="1" t="s">
        <v>260</v>
      </c>
      <c r="C67" s="54" t="s">
        <v>153</v>
      </c>
      <c r="D67" s="44">
        <f>D71/('Demand Breakdown - Ethylene'!$K$14)</f>
        <v>4.5813083502024288</v>
      </c>
      <c r="E67" s="44">
        <f>E71/('Demand Breakdown - Ethylene'!$K$14)</f>
        <v>4.9180535072749887</v>
      </c>
      <c r="F67" s="44">
        <f>F71/('Demand Breakdown - Ethylene'!$K$14)</f>
        <v>5.2664475164670401</v>
      </c>
      <c r="G67" s="44">
        <f>G71/('Demand Breakdown - Ethylene'!$K$14)</f>
        <v>5.6268283337410541</v>
      </c>
      <c r="H67" s="44">
        <f>H71/('Demand Breakdown - Ethylene'!$K$14)</f>
        <v>5.9995430309304245</v>
      </c>
      <c r="I67" s="44">
        <f>I71/('Demand Breakdown - Ethylene'!$K$14)</f>
        <v>6.3849480328624173</v>
      </c>
      <c r="J67" s="44">
        <f>J71/('Demand Breakdown - Ethylene'!$K$14)</f>
        <v>6.6976775436468632</v>
      </c>
      <c r="K67" s="44">
        <f>K71/('Demand Breakdown - Ethylene'!$K$14)</f>
        <v>7.019829560416766</v>
      </c>
      <c r="L67" s="44">
        <f>L71/('Demand Breakdown - Ethylene'!$K$14)</f>
        <v>7.3516492413704198</v>
      </c>
      <c r="M67" s="44">
        <f>M71/('Demand Breakdown - Ethylene'!$K$14)</f>
        <v>7.6933877078079247</v>
      </c>
      <c r="N67" s="44">
        <f>N71/('Demand Breakdown - Ethylene'!$K$14)</f>
        <v>8.0453021839872711</v>
      </c>
      <c r="O67" s="44">
        <f>O71/('Demand Breakdown - Ethylene'!$K$14)</f>
        <v>8.0532580868034724</v>
      </c>
      <c r="P67" s="44">
        <f>P71/('Demand Breakdown - Ethylene'!$K$14)</f>
        <v>8.0598988831265022</v>
      </c>
      <c r="Q67" s="44">
        <f>Q71/('Demand Breakdown - Ethylene'!$K$14)</f>
        <v>8.0651859312796983</v>
      </c>
      <c r="R67" s="44">
        <f>R71/('Demand Breakdown - Ethylene'!$K$14)</f>
        <v>8.0690797486991777</v>
      </c>
      <c r="S67" s="44">
        <f>S71/('Demand Breakdown - Ethylene'!$K$14)</f>
        <v>8.0715399955060079</v>
      </c>
      <c r="T67" s="44">
        <f>T71/('Demand Breakdown - Ethylene'!$K$14)</f>
        <v>8.0476389148578882</v>
      </c>
      <c r="U67" s="44">
        <f>U71/('Demand Breakdown - Ethylene'!$K$14)</f>
        <v>8.0216448984404671</v>
      </c>
      <c r="V67" s="44">
        <f>V71/('Demand Breakdown - Ethylene'!$K$14)</f>
        <v>7.9935049297306655</v>
      </c>
      <c r="W67" s="44">
        <f>W71/('Demand Breakdown - Ethylene'!$K$14)</f>
        <v>7.9631649116216465</v>
      </c>
      <c r="X67" s="44">
        <f>X71/('Demand Breakdown - Ethylene'!$K$14)</f>
        <v>7.9305696461744004</v>
      </c>
      <c r="Y67" s="44">
        <f>Y71/('Demand Breakdown - Ethylene'!$K$14)</f>
        <v>7.8721476611276895</v>
      </c>
      <c r="Z67" s="44">
        <f>Z71/('Demand Breakdown - Ethylene'!$K$14)</f>
        <v>7.8108421484222115</v>
      </c>
      <c r="AA67" s="44">
        <f>AA71/('Demand Breakdown - Ethylene'!$K$14)</f>
        <v>7.7465860376153888</v>
      </c>
      <c r="AB67" s="44">
        <f>AB71/('Demand Breakdown - Ethylene'!$K$14)</f>
        <v>7.6793109494784968</v>
      </c>
      <c r="AC67" s="44">
        <f>AC71/('Demand Breakdown - Ethylene'!$K$14)</f>
        <v>7.6089471721683708</v>
      </c>
      <c r="AD67" s="44">
        <f>AD71/('Demand Breakdown - Ethylene'!$K$14)</f>
        <v>7.5131364469654587</v>
      </c>
      <c r="AE67" s="44">
        <f>AE71/('Demand Breakdown - Ethylene'!$K$14)</f>
        <v>7.4136311936061041</v>
      </c>
      <c r="AF67" s="44">
        <f>AF71/('Demand Breakdown - Ethylene'!$K$14)</f>
        <v>7.3103503608835219</v>
      </c>
      <c r="AG67" s="44">
        <f>AG71/('Demand Breakdown - Ethylene'!$K$14)</f>
        <v>7.2032113658404917</v>
      </c>
      <c r="AH67" s="44">
        <f>AH71/('Demand Breakdown - Ethylene'!$K$14)</f>
        <v>7.09213006646835</v>
      </c>
      <c r="AI67" s="44"/>
    </row>
    <row r="68" spans="1:35">
      <c r="A68" s="756"/>
      <c r="B68" s="1" t="s">
        <v>262</v>
      </c>
      <c r="C68" s="54" t="s">
        <v>153</v>
      </c>
      <c r="D68" s="44">
        <f>D70/('Demand Breakdown - Ethylene'!$M$14)</f>
        <v>3.0035502958579876</v>
      </c>
      <c r="E68" s="44">
        <f>E70/('Demand Breakdown - Ethylene'!$M$14)</f>
        <v>3.2243236948171163</v>
      </c>
      <c r="F68" s="44">
        <f>F70/('Demand Breakdown - Ethylene'!$M$14)</f>
        <v>3.4527341944809735</v>
      </c>
      <c r="G68" s="44">
        <f>G70/('Demand Breakdown - Ethylene'!$M$14)</f>
        <v>3.6890033620643079</v>
      </c>
      <c r="H68" s="44">
        <f>H70/('Demand Breakdown - Ethylene'!$M$14)</f>
        <v>3.9333587412354762</v>
      </c>
      <c r="I68" s="44">
        <f>I70/('Demand Breakdown - Ethylene'!$M$14)</f>
        <v>4.1860340075765503</v>
      </c>
      <c r="J68" s="44">
        <f>J70/('Demand Breakdown - Ethylene'!$M$14)</f>
        <v>4.3910625153386702</v>
      </c>
      <c r="K68" s="44">
        <f>K70/('Demand Breakdown - Ethylene'!$M$14)</f>
        <v>4.6022685096345439</v>
      </c>
      <c r="L68" s="44">
        <f>L70/('Demand Breakdown - Ethylene'!$M$14)</f>
        <v>4.8198127185625053</v>
      </c>
      <c r="M68" s="44">
        <f>M70/('Demand Breakdown - Ethylene'!$M$14)</f>
        <v>5.0438597796884101</v>
      </c>
      <c r="N68" s="44">
        <f>N70/('Demand Breakdown - Ethylene'!$M$14)</f>
        <v>5.2745783317366435</v>
      </c>
      <c r="O68" s="44">
        <f>O70/('Demand Breakdown - Ethylene'!$M$14)</f>
        <v>5.2797942989736804</v>
      </c>
      <c r="P68" s="44">
        <f>P70/('Demand Breakdown - Ethylene'!$M$14)</f>
        <v>5.2841480696077578</v>
      </c>
      <c r="Q68" s="44">
        <f>Q70/('Demand Breakdown - Ethylene'!$M$14)</f>
        <v>5.2876143097799666</v>
      </c>
      <c r="R68" s="44">
        <f>R70/('Demand Breakdown - Ethylene'!$M$14)</f>
        <v>5.2901671343375583</v>
      </c>
      <c r="S68" s="44">
        <f>S70/('Demand Breakdown - Ethylene'!$M$14)</f>
        <v>5.291780096063702</v>
      </c>
      <c r="T68" s="44">
        <f>T70/('Demand Breakdown - Ethylene'!$M$14)</f>
        <v>5.2761103152141295</v>
      </c>
      <c r="U68" s="44">
        <f>U70/('Demand Breakdown - Ethylene'!$M$14)</f>
        <v>5.259068385325774</v>
      </c>
      <c r="V68" s="44">
        <f>V70/('Demand Breakdown - Ethylene'!$M$14)</f>
        <v>5.2406195482506579</v>
      </c>
      <c r="W68" s="44">
        <f>W70/('Demand Breakdown - Ethylene'!$M$14)</f>
        <v>5.2207283373995814</v>
      </c>
      <c r="X68" s="44">
        <f>X70/('Demand Breakdown - Ethylene'!$M$14)</f>
        <v>5.1993585644670688</v>
      </c>
      <c r="Y68" s="44">
        <f>Y70/('Demand Breakdown - Ethylene'!$M$14)</f>
        <v>5.1610565430665867</v>
      </c>
      <c r="Z68" s="44">
        <f>Z70/('Demand Breakdown - Ethylene'!$M$14)</f>
        <v>5.1208640528981118</v>
      </c>
      <c r="AA68" s="44">
        <f>AA70/('Demand Breakdown - Ethylene'!$M$14)</f>
        <v>5.0787371219274018</v>
      </c>
      <c r="AB68" s="44">
        <f>AB70/('Demand Breakdown - Ethylene'!$M$14)</f>
        <v>5.0346309200672925</v>
      </c>
      <c r="AC68" s="44">
        <f>AC70/('Demand Breakdown - Ethylene'!$M$14)</f>
        <v>4.9884997435556349</v>
      </c>
      <c r="AD68" s="44">
        <f>AD70/('Demand Breakdown - Ethylene'!$M$14)</f>
        <v>4.9256853005992127</v>
      </c>
      <c r="AE68" s="44">
        <f>AE70/('Demand Breakdown - Ethylene'!$M$14)</f>
        <v>4.8604486890636212</v>
      </c>
      <c r="AF68" s="44">
        <f>AF70/('Demand Breakdown - Ethylene'!$M$14)</f>
        <v>4.7927367709896789</v>
      </c>
      <c r="AG68" s="44">
        <f>AG70/('Demand Breakdown - Ethylene'!$M$14)</f>
        <v>4.7224954041877263</v>
      </c>
      <c r="AH68" s="44">
        <f>AH70/('Demand Breakdown - Ethylene'!$M$14)</f>
        <v>4.6496694243388168</v>
      </c>
      <c r="AI68" s="44"/>
    </row>
    <row r="69" spans="1:35" s="68" customFormat="1">
      <c r="A69" s="757"/>
      <c r="B69" s="62" t="s">
        <v>248</v>
      </c>
      <c r="C69" s="283" t="s">
        <v>153</v>
      </c>
      <c r="D69" s="284">
        <f>D65-SUM(D67,D66,D68)</f>
        <v>9.3727154228362686</v>
      </c>
      <c r="E69" s="284">
        <f t="shared" ref="E69:AH69" si="19">E65-SUM(E67,E66,E68)</f>
        <v>10.061648864114005</v>
      </c>
      <c r="F69" s="284">
        <f t="shared" si="19"/>
        <v>10.774414225789304</v>
      </c>
      <c r="G69" s="284">
        <f t="shared" si="19"/>
        <v>11.511702918441753</v>
      </c>
      <c r="H69" s="284">
        <f t="shared" si="19"/>
        <v>12.274225002446471</v>
      </c>
      <c r="I69" s="284">
        <f t="shared" si="19"/>
        <v>13.06270967309446</v>
      </c>
      <c r="J69" s="284">
        <f t="shared" si="19"/>
        <v>13.702510464668745</v>
      </c>
      <c r="K69" s="284">
        <f t="shared" si="19"/>
        <v>14.361588384176972</v>
      </c>
      <c r="L69" s="284">
        <f t="shared" si="19"/>
        <v>15.040444990966492</v>
      </c>
      <c r="M69" s="284">
        <f t="shared" si="19"/>
        <v>15.73959404405603</v>
      </c>
      <c r="N69" s="284">
        <f t="shared" si="19"/>
        <v>16.459561788261624</v>
      </c>
      <c r="O69" s="284">
        <f t="shared" si="19"/>
        <v>16.475838451460842</v>
      </c>
      <c r="P69" s="284">
        <f t="shared" si="19"/>
        <v>16.489424590912471</v>
      </c>
      <c r="Q69" s="284">
        <f t="shared" si="19"/>
        <v>16.500241151156565</v>
      </c>
      <c r="R69" s="284">
        <f t="shared" si="19"/>
        <v>16.508207356395662</v>
      </c>
      <c r="S69" s="284">
        <f t="shared" si="19"/>
        <v>16.513240676885722</v>
      </c>
      <c r="T69" s="284">
        <f t="shared" si="19"/>
        <v>16.464342412440544</v>
      </c>
      <c r="U69" s="284">
        <f t="shared" si="19"/>
        <v>16.411162294458251</v>
      </c>
      <c r="V69" s="284">
        <f t="shared" si="19"/>
        <v>16.353591858555845</v>
      </c>
      <c r="W69" s="284">
        <f t="shared" si="19"/>
        <v>16.291520429627262</v>
      </c>
      <c r="X69" s="284">
        <f t="shared" si="19"/>
        <v>16.224835080417932</v>
      </c>
      <c r="Y69" s="284">
        <f t="shared" si="19"/>
        <v>16.105311879091431</v>
      </c>
      <c r="Z69" s="284">
        <f t="shared" si="19"/>
        <v>15.97988938391839</v>
      </c>
      <c r="AA69" s="284">
        <f t="shared" si="19"/>
        <v>15.848430378164281</v>
      </c>
      <c r="AB69" s="284">
        <f t="shared" si="19"/>
        <v>15.710794967501414</v>
      </c>
      <c r="AC69" s="284">
        <f t="shared" si="19"/>
        <v>15.56684053125953</v>
      </c>
      <c r="AD69" s="284">
        <f t="shared" si="19"/>
        <v>15.370825202637789</v>
      </c>
      <c r="AE69" s="284">
        <f t="shared" si="19"/>
        <v>15.167251386705217</v>
      </c>
      <c r="AF69" s="284">
        <f t="shared" si="19"/>
        <v>14.955953264041298</v>
      </c>
      <c r="AG69" s="284">
        <f t="shared" si="19"/>
        <v>14.736761881478586</v>
      </c>
      <c r="AH69" s="284">
        <f t="shared" si="19"/>
        <v>14.509505096248667</v>
      </c>
      <c r="AI69" s="284"/>
    </row>
    <row r="70" spans="1:35" s="67" customFormat="1">
      <c r="A70" s="755" t="s">
        <v>263</v>
      </c>
      <c r="B70" s="58" t="s">
        <v>264</v>
      </c>
      <c r="C70" s="59" t="s">
        <v>153</v>
      </c>
      <c r="D70" s="60">
        <f>D65*'Demand Breakdown - Ethylene'!$E$76</f>
        <v>2.8834082840236679</v>
      </c>
      <c r="E70" s="60">
        <f>E65*'Demand Breakdown - Ethylene'!$E$76</f>
        <v>3.0953507470244315</v>
      </c>
      <c r="F70" s="60">
        <f>F65*'Demand Breakdown - Ethylene'!$E$76</f>
        <v>3.3146248267017344</v>
      </c>
      <c r="G70" s="60">
        <f>G65*'Demand Breakdown - Ethylene'!$E$76</f>
        <v>3.5414432275817354</v>
      </c>
      <c r="H70" s="60">
        <f>H65*'Demand Breakdown - Ethylene'!$E$76</f>
        <v>3.776024391586057</v>
      </c>
      <c r="I70" s="60">
        <f>I65*'Demand Breakdown - Ethylene'!$E$76</f>
        <v>4.0185926472734881</v>
      </c>
      <c r="J70" s="60">
        <f>J65*'Demand Breakdown - Ethylene'!$E$76</f>
        <v>4.2154200147251233</v>
      </c>
      <c r="K70" s="60">
        <f>K65*'Demand Breakdown - Ethylene'!$E$76</f>
        <v>4.4181777692491622</v>
      </c>
      <c r="L70" s="60">
        <f>L65*'Demand Breakdown - Ethylene'!$E$76</f>
        <v>4.6270202098200048</v>
      </c>
      <c r="M70" s="60">
        <f>M65*'Demand Breakdown - Ethylene'!$E$76</f>
        <v>4.8421053885008734</v>
      </c>
      <c r="N70" s="60">
        <f>N65*'Demand Breakdown - Ethylene'!$E$76</f>
        <v>5.0635951984671772</v>
      </c>
      <c r="O70" s="60">
        <f>O65*'Demand Breakdown - Ethylene'!$E$76</f>
        <v>5.0686025270147326</v>
      </c>
      <c r="P70" s="60">
        <f>P65*'Demand Breakdown - Ethylene'!$E$76</f>
        <v>5.0727821468234477</v>
      </c>
      <c r="Q70" s="60">
        <f>Q65*'Demand Breakdown - Ethylene'!$E$76</f>
        <v>5.0761097373887676</v>
      </c>
      <c r="R70" s="60">
        <f>R65*'Demand Breakdown - Ethylene'!$E$76</f>
        <v>5.0785604489640557</v>
      </c>
      <c r="S70" s="60">
        <f>S65*'Demand Breakdown - Ethylene'!$E$76</f>
        <v>5.0801088922211539</v>
      </c>
      <c r="T70" s="60">
        <f>T65*'Demand Breakdown - Ethylene'!$E$76</f>
        <v>5.0650659026055642</v>
      </c>
      <c r="U70" s="60">
        <f>U65*'Demand Breakdown - Ethylene'!$E$76</f>
        <v>5.0487056499127432</v>
      </c>
      <c r="V70" s="60">
        <f>V65*'Demand Breakdown - Ethylene'!$E$76</f>
        <v>5.0309947663206316</v>
      </c>
      <c r="W70" s="60">
        <f>W65*'Demand Breakdown - Ethylene'!$E$76</f>
        <v>5.0118992039035977</v>
      </c>
      <c r="X70" s="60">
        <f>X65*'Demand Breakdown - Ethylene'!$E$76</f>
        <v>4.9913842218883859</v>
      </c>
      <c r="Y70" s="60">
        <f>Y65*'Demand Breakdown - Ethylene'!$E$76</f>
        <v>4.9546142813439227</v>
      </c>
      <c r="Z70" s="60">
        <f>Z65*'Demand Breakdown - Ethylene'!$E$76</f>
        <v>4.9160294907821873</v>
      </c>
      <c r="AA70" s="60">
        <f>AA65*'Demand Breakdown - Ethylene'!$E$76</f>
        <v>4.8755876370503053</v>
      </c>
      <c r="AB70" s="60">
        <f>AB65*'Demand Breakdown - Ethylene'!$E$76</f>
        <v>4.8332456832646002</v>
      </c>
      <c r="AC70" s="60">
        <f>AC65*'Demand Breakdown - Ethylene'!$E$76</f>
        <v>4.7889597538134092</v>
      </c>
      <c r="AD70" s="60">
        <f>AD65*'Demand Breakdown - Ethylene'!$E$76</f>
        <v>4.7286578885752437</v>
      </c>
      <c r="AE70" s="60">
        <f>AE65*'Demand Breakdown - Ethylene'!$E$76</f>
        <v>4.6660307415010758</v>
      </c>
      <c r="AF70" s="60">
        <f>AF65*'Demand Breakdown - Ethylene'!$E$76</f>
        <v>4.6010273001500916</v>
      </c>
      <c r="AG70" s="60">
        <f>AG65*'Demand Breakdown - Ethylene'!$E$76</f>
        <v>4.5335955880202174</v>
      </c>
      <c r="AH70" s="60">
        <f>AH65*'Demand Breakdown - Ethylene'!$E$76</f>
        <v>4.463682647365264</v>
      </c>
      <c r="AI70" s="60"/>
    </row>
    <row r="71" spans="1:35" s="68" customFormat="1">
      <c r="A71" s="757"/>
      <c r="B71" s="62" t="s">
        <v>266</v>
      </c>
      <c r="C71" s="283" t="s">
        <v>153</v>
      </c>
      <c r="D71" s="284">
        <f>D65*'Demand Breakdown - Ethylene'!$D$76/'Demand Breakdown - Ethylene'!$L$24</f>
        <v>2.8011119939271247</v>
      </c>
      <c r="E71" s="284">
        <f>E65*'Demand Breakdown - Ethylene'!$D$76/'Demand Breakdown - Ethylene'!$L$24</f>
        <v>3.0070053384192375</v>
      </c>
      <c r="F71" s="284">
        <f>F65*'Demand Breakdown - Ethylene'!$D$76/'Demand Breakdown - Ethylene'!$L$24</f>
        <v>3.2200210455407832</v>
      </c>
      <c r="G71" s="284">
        <f>G65*'Demand Breakdown - Ethylene'!$D$76/'Demand Breakdown - Ethylene'!$L$24</f>
        <v>3.4403657489491222</v>
      </c>
      <c r="H71" s="284">
        <f>H65*'Demand Breakdown - Ethylene'!$D$76/'Demand Breakdown - Ethylene'!$L$24</f>
        <v>3.6682516559442124</v>
      </c>
      <c r="I71" s="284">
        <f>I65*'Demand Breakdown - Ethylene'!$D$76/'Demand Breakdown - Ethylene'!$L$24</f>
        <v>3.9038966924507621</v>
      </c>
      <c r="J71" s="284">
        <f>J65*'Demand Breakdown - Ethylene'!$D$76/'Demand Breakdown - Ethylene'!$L$24</f>
        <v>4.0951063462333037</v>
      </c>
      <c r="K71" s="284">
        <f>K65*'Demand Breakdown - Ethylene'!$D$76/'Demand Breakdown - Ethylene'!$L$24</f>
        <v>4.2920771259892909</v>
      </c>
      <c r="L71" s="284">
        <f>L65*'Demand Breakdown - Ethylene'!$D$76/'Demand Breakdown - Ethylene'!$L$24</f>
        <v>4.4949589267961025</v>
      </c>
      <c r="M71" s="284">
        <f>M65*'Demand Breakdown - Ethylene'!$D$76/'Demand Breakdown - Ethylene'!$L$24</f>
        <v>4.7039052897018125</v>
      </c>
      <c r="N71" s="284">
        <f>N65*'Demand Breakdown - Ethylene'!$D$76/'Demand Breakdown - Ethylene'!$L$24</f>
        <v>4.9190734872362558</v>
      </c>
      <c r="O71" s="284">
        <f>O65*'Demand Breakdown - Ethylene'!$D$76/'Demand Breakdown - Ethylene'!$L$24</f>
        <v>4.9239378999972949</v>
      </c>
      <c r="P71" s="284">
        <f>P65*'Demand Breakdown - Ethylene'!$D$76/'Demand Breakdown - Ethylene'!$L$24</f>
        <v>4.9279982279227976</v>
      </c>
      <c r="Q71" s="284">
        <f>Q65*'Demand Breakdown - Ethylene'!$D$76/'Demand Breakdown - Ethylene'!$L$24</f>
        <v>4.9312308446476099</v>
      </c>
      <c r="R71" s="284">
        <f>R65*'Demand Breakdown - Ethylene'!$D$76/'Demand Breakdown - Ethylene'!$L$24</f>
        <v>4.9336116096697644</v>
      </c>
      <c r="S71" s="284">
        <f>S65*'Demand Breakdown - Ethylene'!$D$76/'Demand Breakdown - Ethylene'!$L$24</f>
        <v>4.9351158583061459</v>
      </c>
      <c r="T71" s="284">
        <f>T65*'Demand Breakdown - Ethylene'!$D$76/'Demand Breakdown - Ethylene'!$L$24</f>
        <v>4.9205022155313021</v>
      </c>
      <c r="U71" s="284">
        <f>U65*'Demand Breakdown - Ethylene'!$D$76/'Demand Breakdown - Ethylene'!$L$24</f>
        <v>4.9046089061115241</v>
      </c>
      <c r="V71" s="284">
        <f>V65*'Demand Breakdown - Ethylene'!$D$76/'Demand Breakdown - Ethylene'!$L$24</f>
        <v>4.8874035145865733</v>
      </c>
      <c r="W71" s="284">
        <f>W65*'Demand Breakdown - Ethylene'!$D$76/'Demand Breakdown - Ethylene'!$L$24</f>
        <v>4.8688529648036969</v>
      </c>
      <c r="X71" s="284">
        <f>X65*'Demand Breakdown - Ethylene'!$D$76/'Demand Breakdown - Ethylene'!$L$24</f>
        <v>4.8489235075373056</v>
      </c>
      <c r="Y71" s="284">
        <f>Y65*'Demand Breakdown - Ethylene'!$D$76/'Demand Breakdown - Ethylene'!$L$24</f>
        <v>4.8132030297798671</v>
      </c>
      <c r="Z71" s="284">
        <f>Z65*'Demand Breakdown - Ethylene'!$D$76/'Demand Breakdown - Ethylene'!$L$24</f>
        <v>4.7757195002275337</v>
      </c>
      <c r="AA71" s="284">
        <f>AA65*'Demand Breakdown - Ethylene'!$D$76/'Demand Breakdown - Ethylene'!$L$24</f>
        <v>4.7364319105467061</v>
      </c>
      <c r="AB71" s="284">
        <f>AB65*'Demand Breakdown - Ethylene'!$D$76/'Demand Breakdown - Ethylene'!$L$24</f>
        <v>4.6952984521833487</v>
      </c>
      <c r="AC71" s="284">
        <f>AC65*'Demand Breakdown - Ethylene'!$D$76/'Demand Breakdown - Ethylene'!$L$24</f>
        <v>4.6522765017938488</v>
      </c>
      <c r="AD71" s="284">
        <f>AD65*'Demand Breakdown - Ethylene'!$D$76/'Demand Breakdown - Ethylene'!$L$24</f>
        <v>4.5936957316300431</v>
      </c>
      <c r="AE71" s="284">
        <f>AE65*'Demand Breakdown - Ethylene'!$D$76/'Demand Breakdown - Ethylene'!$L$24</f>
        <v>4.5328560462525394</v>
      </c>
      <c r="AF71" s="284">
        <f>AF65*'Demand Breakdown - Ethylene'!$D$76/'Demand Breakdown - Ethylene'!$L$24</f>
        <v>4.4697078891831241</v>
      </c>
      <c r="AG71" s="284">
        <f>AG65*'Demand Breakdown - Ethylene'!$D$76/'Demand Breakdown - Ethylene'!$L$24</f>
        <v>4.40420076739791</v>
      </c>
      <c r="AH71" s="284">
        <f>AH65*'Demand Breakdown - Ethylene'!$D$76/'Demand Breakdown - Ethylene'!$L$24</f>
        <v>4.3362832346349016</v>
      </c>
      <c r="AI71" s="284"/>
    </row>
    <row r="72" spans="1:35" s="67" customFormat="1" outlineLevel="1">
      <c r="B72" s="58" t="s">
        <v>210</v>
      </c>
      <c r="C72" s="59" t="s">
        <v>153</v>
      </c>
      <c r="D72" s="60">
        <f>'Demand - Wind'!D37/1000000</f>
        <v>0</v>
      </c>
      <c r="E72" s="60">
        <f>'Demand - Wind'!E37/1000000</f>
        <v>0.12008947311463376</v>
      </c>
      <c r="F72" s="60">
        <f>'Demand - Wind'!F37/1000000</f>
        <v>0.13274199921705168</v>
      </c>
      <c r="G72" s="60">
        <f>'Demand - Wind'!G37/1000000</f>
        <v>0.14672758485100384</v>
      </c>
      <c r="H72" s="60">
        <f>'Demand - Wind'!H37/1000000</f>
        <v>0.16218668004996406</v>
      </c>
      <c r="I72" s="60">
        <f>'Demand - Wind'!I37/1000000</f>
        <v>0.17927453254506018</v>
      </c>
      <c r="J72" s="60">
        <f>'Demand - Wind'!J37/1000000</f>
        <v>0.19816274683808111</v>
      </c>
      <c r="K72" s="60">
        <f>'Demand - Wind'!K37/1000000</f>
        <v>0.21904100753710451</v>
      </c>
      <c r="L72" s="60">
        <f>'Demand - Wind'!L37/1000000</f>
        <v>0.2421189842613227</v>
      </c>
      <c r="M72" s="60">
        <f>'Demand - Wind'!M37/1000000</f>
        <v>0.26762843724504182</v>
      </c>
      <c r="N72" s="60">
        <f>'Demand - Wind'!N37/1000000</f>
        <v>0.29582554478634898</v>
      </c>
      <c r="O72" s="60">
        <f>'Demand - Wind'!O37/1000000</f>
        <v>0.32699347591382105</v>
      </c>
      <c r="P72" s="60">
        <f>'Demand - Wind'!P37/1000000</f>
        <v>0.36144523410723628</v>
      </c>
      <c r="Q72" s="60">
        <f>'Demand - Wind'!Q37/1000000</f>
        <v>0.39952680063031559</v>
      </c>
      <c r="R72" s="60">
        <f>'Demand - Wind'!R37/1000000</f>
        <v>0.44162060904235889</v>
      </c>
      <c r="S72" s="60">
        <f>'Demand - Wind'!S37/1000000</f>
        <v>0.4881493857815194</v>
      </c>
      <c r="T72" s="60">
        <f>'Demand - Wind'!T37/1000000</f>
        <v>0.53958039538869984</v>
      </c>
      <c r="U72" s="60">
        <f>'Demand - Wind'!U37/1000000</f>
        <v>0.59643013300468273</v>
      </c>
      <c r="V72" s="60">
        <f>'Demand - Wind'!V37/1000000</f>
        <v>0.65926951126481503</v>
      </c>
      <c r="W72" s="60">
        <f>'Demand - Wind'!W37/1000000</f>
        <v>0.72872959368056567</v>
      </c>
      <c r="X72" s="60">
        <f>'Demand - Wind'!X37/1000000</f>
        <v>0.80550793208535187</v>
      </c>
      <c r="Y72" s="60">
        <f>'Demand - Wind'!Y37/1000000</f>
        <v>0.89037557178834259</v>
      </c>
      <c r="Z72" s="60">
        <f>'Demand - Wind'!Z37/1000000</f>
        <v>0.98418479478537868</v>
      </c>
      <c r="AA72" s="60">
        <f>'Demand - Wind'!AA37/1000000</f>
        <v>1.0878776787881119</v>
      </c>
      <c r="AB72" s="60">
        <f>'Demand - Wind'!AB37/1000000</f>
        <v>1.2024955580252485</v>
      </c>
      <c r="AC72" s="60">
        <f>'Demand - Wind'!AC37/1000000</f>
        <v>1.3291894808259002</v>
      </c>
      <c r="AD72" s="60">
        <f>'Demand - Wind'!AD37/1000000</f>
        <v>1.4692317690051102</v>
      </c>
      <c r="AE72" s="60">
        <f>'Demand - Wind'!AE37/1000000</f>
        <v>1.6240287951365695</v>
      </c>
      <c r="AF72" s="60">
        <f>'Demand - Wind'!AF37/1000000</f>
        <v>1.7951351060280285</v>
      </c>
      <c r="AG72" s="60">
        <f>'Demand - Wind'!AG37/1000000</f>
        <v>1.9842690342342524</v>
      </c>
      <c r="AH72" s="60">
        <f>'Demand - Wind'!AH37/1000000</f>
        <v>2.1933299543858755</v>
      </c>
    </row>
    <row r="73" spans="1:35" outlineLevel="1">
      <c r="B73" s="1" t="s">
        <v>211</v>
      </c>
      <c r="C73" s="54" t="s">
        <v>153</v>
      </c>
      <c r="D73" s="44">
        <f>'Demand - Solar'!D32/1000000</f>
        <v>0</v>
      </c>
      <c r="E73" s="44">
        <f>'Demand - Solar'!E32/1000000</f>
        <v>0.55101223885090722</v>
      </c>
      <c r="F73" s="44">
        <f>'Demand - Solar'!F32/1000000</f>
        <v>0.62522552579716173</v>
      </c>
      <c r="G73" s="44">
        <f>'Demand - Solar'!G32/1000000</f>
        <v>0.70943425671187144</v>
      </c>
      <c r="H73" s="44">
        <f>'Demand - Solar'!H32/1000000</f>
        <v>0.80498467165847454</v>
      </c>
      <c r="I73" s="44">
        <f>'Demand - Solar'!I32/1000000</f>
        <v>0.91340432954068651</v>
      </c>
      <c r="J73" s="44">
        <f>'Demand - Solar'!J32/1000000</f>
        <v>1.0364265290974854</v>
      </c>
      <c r="K73" s="44">
        <f>'Demand - Solar'!K32/1000000</f>
        <v>1.1760180190488263</v>
      </c>
      <c r="L73" s="44">
        <f>'Demand - Solar'!L32/1000000</f>
        <v>1.3344104403925769</v>
      </c>
      <c r="M73" s="44">
        <f>'Demand - Solar'!M32/1000000</f>
        <v>1.5141360035188232</v>
      </c>
      <c r="N73" s="44">
        <f>'Demand - Solar'!N32/1000000</f>
        <v>1.718067970509491</v>
      </c>
      <c r="O73" s="44">
        <f>'Demand - Solar'!O32/1000000</f>
        <v>1.9494665898114683</v>
      </c>
      <c r="P73" s="44">
        <f>'Demand - Solar'!P32/1000000</f>
        <v>2.2120312176381116</v>
      </c>
      <c r="Q73" s="44">
        <f>'Demand - Solar'!Q32/1000000</f>
        <v>2.5099594593610157</v>
      </c>
      <c r="R73" s="44">
        <f>'Demand - Solar'!R32/1000000</f>
        <v>2.8480142763819258</v>
      </c>
      <c r="S73" s="44">
        <f>'Demand - Solar'!S32/1000000</f>
        <v>3.2316001313185385</v>
      </c>
      <c r="T73" s="44">
        <f>'Demand - Solar'!T32/1000000</f>
        <v>3.6668493888327456</v>
      </c>
      <c r="U73" s="44">
        <f>'Demand - Solar'!U32/1000000</f>
        <v>4.160720353386357</v>
      </c>
      <c r="V73" s="44">
        <f>'Demand - Solar'!V32/1000000</f>
        <v>4.7211085112481879</v>
      </c>
      <c r="W73" s="44">
        <f>'Demand - Solar'!W32/1000000</f>
        <v>5.3569727551719453</v>
      </c>
      <c r="X73" s="44">
        <f>'Demand - Solar'!X32/1000000</f>
        <v>6.0784786096914774</v>
      </c>
      <c r="Y73" s="44">
        <f>'Demand - Solar'!Y32/1000000</f>
        <v>6.8971607467678657</v>
      </c>
      <c r="Z73" s="44">
        <f>'Demand - Solar'!Z32/1000000</f>
        <v>7.8261073899164364</v>
      </c>
      <c r="AA73" s="44">
        <f>'Demand - Solar'!AA32/1000000</f>
        <v>8.8801695548717721</v>
      </c>
      <c r="AB73" s="44">
        <f>'Demand - Solar'!AB32/1000000</f>
        <v>10.076198471908972</v>
      </c>
      <c r="AC73" s="44">
        <f>'Demand - Solar'!AC32/1000000</f>
        <v>11.433314985477972</v>
      </c>
      <c r="AD73" s="44">
        <f>'Demand - Solar'!AD32/1000000</f>
        <v>12.973215238027134</v>
      </c>
      <c r="AE73" s="44">
        <f>'Demand - Solar'!AE32/1000000</f>
        <v>14.720517524965521</v>
      </c>
      <c r="AF73" s="44">
        <f>'Demand - Solar'!AF32/1000000</f>
        <v>16.703155865913942</v>
      </c>
      <c r="AG73" s="44">
        <f>'Demand - Solar'!AG32/1000000</f>
        <v>18.952826584245294</v>
      </c>
      <c r="AH73" s="44">
        <f>'Demand - Solar'!AH32/1000000</f>
        <v>21.505495034355324</v>
      </c>
    </row>
    <row r="74" spans="1:35" s="193" customFormat="1">
      <c r="A74" s="189" t="s">
        <v>212</v>
      </c>
      <c r="B74" s="190" t="s">
        <v>213</v>
      </c>
      <c r="C74" s="191" t="s">
        <v>153</v>
      </c>
      <c r="D74" s="192">
        <f>D72+D73</f>
        <v>0</v>
      </c>
      <c r="E74" s="192">
        <f t="shared" ref="E74:AG74" si="20">E72+E73</f>
        <v>0.67110171196554103</v>
      </c>
      <c r="F74" s="192">
        <f t="shared" si="20"/>
        <v>0.75796752501421338</v>
      </c>
      <c r="G74" s="192">
        <f t="shared" si="20"/>
        <v>0.85616184156287534</v>
      </c>
      <c r="H74" s="192">
        <f t="shared" si="20"/>
        <v>0.9671713517084386</v>
      </c>
      <c r="I74" s="192">
        <f t="shared" si="20"/>
        <v>1.0926788620857466</v>
      </c>
      <c r="J74" s="192">
        <f t="shared" si="20"/>
        <v>1.2345892759355666</v>
      </c>
      <c r="K74" s="192">
        <f t="shared" si="20"/>
        <v>1.3950590265859308</v>
      </c>
      <c r="L74" s="192">
        <f t="shared" si="20"/>
        <v>1.5765294246538997</v>
      </c>
      <c r="M74" s="192">
        <f t="shared" si="20"/>
        <v>1.7817644407638649</v>
      </c>
      <c r="N74" s="192">
        <f t="shared" si="20"/>
        <v>2.0138935152958402</v>
      </c>
      <c r="O74" s="192">
        <f t="shared" si="20"/>
        <v>2.2764600657252894</v>
      </c>
      <c r="P74" s="192">
        <f t="shared" si="20"/>
        <v>2.5734764517453481</v>
      </c>
      <c r="Q74" s="192">
        <f t="shared" si="20"/>
        <v>2.9094862599913314</v>
      </c>
      <c r="R74" s="192">
        <f t="shared" si="20"/>
        <v>3.2896348854242845</v>
      </c>
      <c r="S74" s="192">
        <f t="shared" si="20"/>
        <v>3.7197495171000581</v>
      </c>
      <c r="T74" s="192">
        <f t="shared" si="20"/>
        <v>4.2064297842214451</v>
      </c>
      <c r="U74" s="192">
        <f t="shared" si="20"/>
        <v>4.7571504863910397</v>
      </c>
      <c r="V74" s="192">
        <f t="shared" si="20"/>
        <v>5.3803780225130033</v>
      </c>
      <c r="W74" s="192">
        <f t="shared" si="20"/>
        <v>6.0857023488525108</v>
      </c>
      <c r="X74" s="192">
        <f t="shared" si="20"/>
        <v>6.8839865417768289</v>
      </c>
      <c r="Y74" s="192">
        <f t="shared" si="20"/>
        <v>7.7875363185562083</v>
      </c>
      <c r="Z74" s="192">
        <f t="shared" si="20"/>
        <v>8.8102921847018152</v>
      </c>
      <c r="AA74" s="192">
        <f t="shared" si="20"/>
        <v>9.9680472336598847</v>
      </c>
      <c r="AB74" s="192">
        <f t="shared" si="20"/>
        <v>11.27869402993422</v>
      </c>
      <c r="AC74" s="192">
        <f t="shared" si="20"/>
        <v>12.762504466303872</v>
      </c>
      <c r="AD74" s="192">
        <f t="shared" si="20"/>
        <v>14.442447007032245</v>
      </c>
      <c r="AE74" s="192">
        <f t="shared" si="20"/>
        <v>16.34454632010209</v>
      </c>
      <c r="AF74" s="192">
        <f t="shared" si="20"/>
        <v>18.498290971941969</v>
      </c>
      <c r="AG74" s="192">
        <f t="shared" si="20"/>
        <v>20.937095618479546</v>
      </c>
      <c r="AH74" s="192">
        <f>AH72+AH73</f>
        <v>23.698824988741201</v>
      </c>
    </row>
    <row r="75" spans="1:35" s="67" customFormat="1">
      <c r="A75" s="755" t="s">
        <v>257</v>
      </c>
      <c r="B75" s="58" t="s">
        <v>258</v>
      </c>
      <c r="C75" s="59" t="s">
        <v>153</v>
      </c>
      <c r="D75" s="60">
        <f>D72*'Demand - Wind'!$I$22+D73*'Demand - Solar'!$J$25</f>
        <v>0</v>
      </c>
      <c r="E75" s="60">
        <f>E72*'Demand - Wind'!$I$22+E73*'Demand - Solar'!$J$25</f>
        <v>0.25750743884407723</v>
      </c>
      <c r="F75" s="60">
        <f>F72*'Demand - Wind'!$I$22+F73*'Demand - Solar'!$J$25</f>
        <v>0.29218992337397443</v>
      </c>
      <c r="G75" s="60">
        <f>G72*'Demand - Wind'!$I$22+G73*'Demand - Solar'!$J$25</f>
        <v>0.33154363114529001</v>
      </c>
      <c r="H75" s="60">
        <f>H72*'Demand - Wind'!$I$22+H73*'Demand - Solar'!$J$25</f>
        <v>0.37619770758595183</v>
      </c>
      <c r="I75" s="60">
        <f>I72*'Demand - Wind'!$I$22+I73*'Demand - Solar'!$J$25</f>
        <v>0.42686603480826918</v>
      </c>
      <c r="J75" s="60">
        <f>J72*'Demand - Wind'!$I$22+J73*'Demand - Solar'!$J$25</f>
        <v>0.48435864440057264</v>
      </c>
      <c r="K75" s="60">
        <f>K72*'Demand - Wind'!$I$22+K73*'Demand - Solar'!$J$25</f>
        <v>0.54959466735490992</v>
      </c>
      <c r="L75" s="60">
        <f>L72*'Demand - Wind'!$I$22+L73*'Demand - Solar'!$J$25</f>
        <v>0.62361702816054232</v>
      </c>
      <c r="M75" s="60">
        <f>M72*'Demand - Wind'!$I$22+M73*'Demand - Solar'!$J$25</f>
        <v>0.70760911797684822</v>
      </c>
      <c r="N75" s="60">
        <f>N72*'Demand - Wind'!$I$22+N73*'Demand - Solar'!$J$25</f>
        <v>0.80291371343867612</v>
      </c>
      <c r="O75" s="60">
        <f>O72*'Demand - Wind'!$I$22+O73*'Demand - Solar'!$J$25</f>
        <v>0.91105444354799547</v>
      </c>
      <c r="P75" s="60">
        <f>P72*'Demand - Wind'!$I$22+P73*'Demand - Solar'!$J$25</f>
        <v>1.0337601478417648</v>
      </c>
      <c r="Q75" s="60">
        <f>Q72*'Demand - Wind'!$I$22+Q73*'Demand - Solar'!$J$25</f>
        <v>1.172992515248658</v>
      </c>
      <c r="R75" s="60">
        <f>R72*'Demand - Wind'!$I$22+R73*'Demand - Solar'!$J$25</f>
        <v>1.3309774454953927</v>
      </c>
      <c r="S75" s="60">
        <f>S72*'Demand - Wind'!$I$22+S73*'Demand - Solar'!$J$25</f>
        <v>1.5102406344356836</v>
      </c>
      <c r="T75" s="60">
        <f>T72*'Demand - Wind'!$I$22+T73*'Demand - Solar'!$J$25</f>
        <v>1.7136479522023518</v>
      </c>
      <c r="U75" s="60">
        <f>U72*'Demand - Wind'!$I$22+U73*'Demand - Solar'!$J$25</f>
        <v>1.9444512597057728</v>
      </c>
      <c r="V75" s="60">
        <f>V72*'Demand - Wind'!$I$22+V73*'Demand - Solar'!$J$25</f>
        <v>2.2063403959443533</v>
      </c>
      <c r="W75" s="60">
        <f>W72*'Demand - Wind'!$I$22+W73*'Demand - Solar'!$J$25</f>
        <v>2.5035021672451121</v>
      </c>
      <c r="X75" s="60">
        <f>X72*'Demand - Wind'!$I$22+X73*'Demand - Solar'!$J$25</f>
        <v>2.8406872814919195</v>
      </c>
      <c r="Y75" s="60">
        <f>Y72*'Demand - Wind'!$I$22+Y73*'Demand - Solar'!$J$25</f>
        <v>3.2232862974150107</v>
      </c>
      <c r="Z75" s="60">
        <f>Z72*'Demand - Wind'!$I$22+Z73*'Demand - Solar'!$J$25</f>
        <v>3.6574158031385977</v>
      </c>
      <c r="AA75" s="60">
        <f>AA72*'Demand - Wind'!$I$22+AA73*'Demand - Solar'!$J$25</f>
        <v>4.1500162017180111</v>
      </c>
      <c r="AB75" s="60">
        <f>AB72*'Demand - Wind'!$I$22+AB73*'Demand - Solar'!$J$25</f>
        <v>4.7089626669580316</v>
      </c>
      <c r="AC75" s="60">
        <f>AC72*'Demand - Wind'!$I$22+AC73*'Demand - Solar'!$J$25</f>
        <v>5.3431910433566108</v>
      </c>
      <c r="AD75" s="60">
        <f>AD72*'Demand - Wind'!$I$22+AD73*'Demand - Solar'!$J$25</f>
        <v>6.0628407029290123</v>
      </c>
      <c r="AE75" s="60">
        <f>AE72*'Demand - Wind'!$I$22+AE73*'Demand - Solar'!$J$25</f>
        <v>6.8794166427560919</v>
      </c>
      <c r="AF75" s="60">
        <f>AF72*'Demand - Wind'!$I$22+AF73*'Demand - Solar'!$J$25</f>
        <v>7.8059734147007553</v>
      </c>
      <c r="AG75" s="60">
        <f>AG72*'Demand - Wind'!$I$22+AG73*'Demand - Solar'!$J$25</f>
        <v>8.8573238277662085</v>
      </c>
      <c r="AH75" s="60">
        <f>AH72*'Demand - Wind'!$I$22+AH73*'Demand - Solar'!$J$25</f>
        <v>10.050275759608461</v>
      </c>
      <c r="AI75" s="60"/>
    </row>
    <row r="76" spans="1:35">
      <c r="A76" s="756"/>
      <c r="B76" s="1" t="s">
        <v>260</v>
      </c>
      <c r="C76" s="54" t="s">
        <v>153</v>
      </c>
      <c r="D76" s="44">
        <f>D72*'Demand - Wind'!$J$22+D73*'Demand - Solar'!$K$25</f>
        <v>0</v>
      </c>
      <c r="E76" s="44">
        <f>E72*'Demand - Wind'!$J$22+E73*'Demand - Solar'!$K$25</f>
        <v>0.17040506749049283</v>
      </c>
      <c r="F76" s="44">
        <f>F72*'Demand - Wind'!$J$22+F73*'Demand - Solar'!$K$25</f>
        <v>0.19159525248308629</v>
      </c>
      <c r="G76" s="44">
        <f>G72*'Demand - Wind'!$J$22+G73*'Demand - Solar'!$K$25</f>
        <v>0.21545392005919764</v>
      </c>
      <c r="H76" s="44">
        <f>H72*'Demand - Wind'!$J$22+H73*'Demand - Solar'!$K$25</f>
        <v>0.24232092899038996</v>
      </c>
      <c r="I76" s="44">
        <f>I72*'Demand - Wind'!$J$22+I73*'Demand - Solar'!$K$25</f>
        <v>0.2725798526189312</v>
      </c>
      <c r="J76" s="44">
        <f>J72*'Demand - Wind'!$J$22+J73*'Demand - Solar'!$K$25</f>
        <v>0.30666364959071457</v>
      </c>
      <c r="K76" s="44">
        <f>K72*'Demand - Wind'!$J$22+K73*'Demand - Solar'!$K$25</f>
        <v>0.34506107549208503</v>
      </c>
      <c r="L76" s="44">
        <f>L72*'Demand - Wind'!$J$22+L73*'Demand - Solar'!$K$25</f>
        <v>0.38832393277089378</v>
      </c>
      <c r="M76" s="44">
        <f>M72*'Demand - Wind'!$J$22+M73*'Demand - Solar'!$K$25</f>
        <v>0.43707526918402728</v>
      </c>
      <c r="N76" s="44">
        <f>N72*'Demand - Wind'!$J$22+N73*'Demand - Solar'!$K$25</f>
        <v>0.49201864958117847</v>
      </c>
      <c r="O76" s="44">
        <f>O72*'Demand - Wind'!$J$22+O73*'Demand - Solar'!$K$25</f>
        <v>0.55394864233462293</v>
      </c>
      <c r="P76" s="44">
        <f>P72*'Demand - Wind'!$J$22+P73*'Demand - Solar'!$K$25</f>
        <v>0.62376268041437455</v>
      </c>
      <c r="Q76" s="44">
        <f>Q72*'Demand - Wind'!$J$22+Q73*'Demand - Solar'!$K$25</f>
        <v>0.70247447827886833</v>
      </c>
      <c r="R76" s="44">
        <f>R72*'Demand - Wind'!$J$22+R73*'Demand - Solar'!$K$25</f>
        <v>0.79122920973349053</v>
      </c>
      <c r="S76" s="44">
        <f>S72*'Demand - Wind'!$J$22+S73*'Demand - Solar'!$K$25</f>
        <v>0.89132067907748114</v>
      </c>
      <c r="T76" s="44">
        <f>T72*'Demand - Wind'!$J$22+T73*'Demand - Solar'!$K$25</f>
        <v>1.0042107486382148</v>
      </c>
      <c r="U76" s="44">
        <f>U72*'Demand - Wind'!$J$22+U73*'Demand - Solar'!$K$25</f>
        <v>1.1315513206619583</v>
      </c>
      <c r="V76" s="44">
        <f>V72*'Demand - Wind'!$J$22+V73*'Demand - Solar'!$K$25</f>
        <v>1.2752092110371303</v>
      </c>
      <c r="W76" s="44">
        <f>W72*'Demand - Wind'!$J$22+W73*'Demand - Solar'!$K$25</f>
        <v>1.4372942970881879</v>
      </c>
      <c r="X76" s="44">
        <f>X72*'Demand - Wind'!$J$22+X73*'Demand - Solar'!$K$25</f>
        <v>1.6201913723963557</v>
      </c>
      <c r="Y76" s="44">
        <f>Y72*'Demand - Wind'!$J$22+Y73*'Demand - Solar'!$K$25</f>
        <v>1.826596199072033</v>
      </c>
      <c r="Z76" s="44">
        <f>Z72*'Demand - Wind'!$J$22+Z73*'Demand - Solar'!$K$25</f>
        <v>2.059556313023517</v>
      </c>
      <c r="AA76" s="44">
        <f>AA72*'Demand - Wind'!$J$22+AA73*'Demand - Solar'!$K$25</f>
        <v>2.3225172115589179</v>
      </c>
      <c r="AB76" s="44">
        <f>AB72*'Demand - Wind'!$J$22+AB73*'Demand - Solar'!$K$25</f>
        <v>2.6193746362803525</v>
      </c>
      <c r="AC76" s="44">
        <f>AC72*'Demand - Wind'!$J$22+AC73*'Demand - Solar'!$K$25</f>
        <v>2.9545337589943546</v>
      </c>
      <c r="AD76" s="44">
        <f>AD72*'Demand - Wind'!$J$22+AD73*'Demand - Solar'!$K$25</f>
        <v>3.3329761857578459</v>
      </c>
      <c r="AE76" s="44">
        <f>AE72*'Demand - Wind'!$J$22+AE73*'Demand - Solar'!$K$25</f>
        <v>3.7603358158923239</v>
      </c>
      <c r="AF76" s="44">
        <f>AF72*'Demand - Wind'!$J$22+AF73*'Demand - Solar'!$K$25</f>
        <v>4.2429847307429096</v>
      </c>
      <c r="AG76" s="44">
        <f>AG72*'Demand - Wind'!$J$22+AG73*'Demand - Solar'!$K$25</f>
        <v>4.7881304433026441</v>
      </c>
      <c r="AH76" s="44">
        <f>AH72*'Demand - Wind'!$J$22+AH73*'Demand - Solar'!$K$25</f>
        <v>5.4039260170251353</v>
      </c>
      <c r="AI76" s="44"/>
    </row>
    <row r="77" spans="1:35">
      <c r="A77" s="756"/>
      <c r="B77" s="1" t="s">
        <v>262</v>
      </c>
      <c r="C77" s="54" t="s">
        <v>153</v>
      </c>
      <c r="D77" s="44">
        <f>D72*'Demand - Wind'!$K$22+D73*'Demand - Solar'!$L$25</f>
        <v>0</v>
      </c>
      <c r="E77" s="44">
        <f>E72*'Demand - Wind'!$K$22+E73*'Demand - Solar'!$L$25</f>
        <v>3.6026841934390125E-2</v>
      </c>
      <c r="F77" s="44">
        <f>F72*'Demand - Wind'!$K$22+F73*'Demand - Solar'!$L$25</f>
        <v>3.9822599765115506E-2</v>
      </c>
      <c r="G77" s="44">
        <f>G72*'Demand - Wind'!$K$22+G73*'Demand - Solar'!$L$25</f>
        <v>4.4018275455301153E-2</v>
      </c>
      <c r="H77" s="44">
        <f>H72*'Demand - Wind'!$K$22+H73*'Demand - Solar'!$L$25</f>
        <v>4.8656004014989214E-2</v>
      </c>
      <c r="I77" s="44">
        <f>I72*'Demand - Wind'!$K$22+I73*'Demand - Solar'!$L$25</f>
        <v>5.3782359763518049E-2</v>
      </c>
      <c r="J77" s="44">
        <f>J72*'Demand - Wind'!$K$22+J73*'Demand - Solar'!$L$25</f>
        <v>5.9448824051424327E-2</v>
      </c>
      <c r="K77" s="44">
        <f>K72*'Demand - Wind'!$K$22+K73*'Demand - Solar'!$L$25</f>
        <v>6.5712302261131353E-2</v>
      </c>
      <c r="L77" s="44">
        <f>L72*'Demand - Wind'!$K$22+L73*'Demand - Solar'!$L$25</f>
        <v>7.2635695278396806E-2</v>
      </c>
      <c r="M77" s="44">
        <f>M72*'Demand - Wind'!$K$22+M73*'Demand - Solar'!$L$25</f>
        <v>8.0288531173512548E-2</v>
      </c>
      <c r="N77" s="44">
        <f>N72*'Demand - Wind'!$K$22+N73*'Demand - Solar'!$L$25</f>
        <v>8.8747663435904692E-2</v>
      </c>
      <c r="O77" s="44">
        <f>O72*'Demand - Wind'!$K$22+O73*'Demand - Solar'!$L$25</f>
        <v>9.8098042774146313E-2</v>
      </c>
      <c r="P77" s="44">
        <f>P72*'Demand - Wind'!$K$22+P73*'Demand - Solar'!$L$25</f>
        <v>0.10843357023217089</v>
      </c>
      <c r="Q77" s="44">
        <f>Q72*'Demand - Wind'!$K$22+Q73*'Demand - Solar'!$L$25</f>
        <v>0.11985804018909467</v>
      </c>
      <c r="R77" s="44">
        <f>R72*'Demand - Wind'!$K$22+R73*'Demand - Solar'!$L$25</f>
        <v>0.13248618271270765</v>
      </c>
      <c r="S77" s="44">
        <f>S72*'Demand - Wind'!$K$22+S73*'Demand - Solar'!$L$25</f>
        <v>0.14644481573445581</v>
      </c>
      <c r="T77" s="44">
        <f>T72*'Demand - Wind'!$K$22+T73*'Demand - Solar'!$L$25</f>
        <v>0.16187411861660994</v>
      </c>
      <c r="U77" s="44">
        <f>U72*'Demand - Wind'!$K$22+U73*'Demand - Solar'!$L$25</f>
        <v>0.17892903990140482</v>
      </c>
      <c r="V77" s="44">
        <f>V72*'Demand - Wind'!$K$22+V73*'Demand - Solar'!$L$25</f>
        <v>0.19778085337944451</v>
      </c>
      <c r="W77" s="44">
        <f>W72*'Demand - Wind'!$K$22+W73*'Demand - Solar'!$L$25</f>
        <v>0.21861887810416969</v>
      </c>
      <c r="X77" s="44">
        <f>X72*'Demand - Wind'!$K$22+X73*'Demand - Solar'!$L$25</f>
        <v>0.24165237962560554</v>
      </c>
      <c r="Y77" s="44">
        <f>Y72*'Demand - Wind'!$K$22+Y73*'Demand - Solar'!$L$25</f>
        <v>0.26711267153650275</v>
      </c>
      <c r="Z77" s="44">
        <f>Z72*'Demand - Wind'!$K$22+Z73*'Demand - Solar'!$L$25</f>
        <v>0.29525543843561358</v>
      </c>
      <c r="AA77" s="44">
        <f>AA72*'Demand - Wind'!$K$22+AA73*'Demand - Solar'!$L$25</f>
        <v>0.32636330363643357</v>
      </c>
      <c r="AB77" s="44">
        <f>AB72*'Demand - Wind'!$K$22+AB73*'Demand - Solar'!$L$25</f>
        <v>0.36074866740757455</v>
      </c>
      <c r="AC77" s="44">
        <f>AC72*'Demand - Wind'!$K$22+AC73*'Demand - Solar'!$L$25</f>
        <v>0.39875684424777003</v>
      </c>
      <c r="AD77" s="44">
        <f>AD72*'Demand - Wind'!$K$22+AD73*'Demand - Solar'!$L$25</f>
        <v>0.44076953070153307</v>
      </c>
      <c r="AE77" s="44">
        <f>AE72*'Demand - Wind'!$K$22+AE73*'Demand - Solar'!$L$25</f>
        <v>0.48720863854097085</v>
      </c>
      <c r="AF77" s="44">
        <f>AF72*'Demand - Wind'!$K$22+AF73*'Demand - Solar'!$L$25</f>
        <v>0.53854053180840855</v>
      </c>
      <c r="AG77" s="44">
        <f>AG72*'Demand - Wind'!$K$22+AG73*'Demand - Solar'!$L$25</f>
        <v>0.59528071027027574</v>
      </c>
      <c r="AH77" s="44">
        <f>AH72*'Demand - Wind'!$K$22+AH73*'Demand - Solar'!$L$25</f>
        <v>0.65799898631576259</v>
      </c>
      <c r="AI77" s="44"/>
    </row>
    <row r="78" spans="1:35" s="68" customFormat="1">
      <c r="A78" s="757"/>
      <c r="B78" s="62" t="s">
        <v>248</v>
      </c>
      <c r="C78" s="283" t="s">
        <v>153</v>
      </c>
      <c r="D78" s="284">
        <f>D72*'Demand - Wind'!$L$22+D73*'Demand - Solar'!$M$25</f>
        <v>0</v>
      </c>
      <c r="E78" s="284">
        <f>E72*'Demand - Wind'!$L$22+E73*'Demand - Solar'!$M$25</f>
        <v>0.20716236369658073</v>
      </c>
      <c r="F78" s="284">
        <f>F72*'Demand - Wind'!$L$22+F73*'Demand - Solar'!$M$25</f>
        <v>0.23435974939203716</v>
      </c>
      <c r="G78" s="284">
        <f>G72*'Demand - Wind'!$L$22+G73*'Demand - Solar'!$M$25</f>
        <v>0.26514601490308642</v>
      </c>
      <c r="H78" s="284">
        <f>H72*'Demand - Wind'!$L$22+H73*'Demand - Solar'!$M$25</f>
        <v>0.29999671111710757</v>
      </c>
      <c r="I78" s="284">
        <f>I72*'Demand - Wind'!$L$22+I73*'Demand - Solar'!$M$25</f>
        <v>0.33945061489502815</v>
      </c>
      <c r="J78" s="284">
        <f>J72*'Demand - Wind'!$L$22+J73*'Demand - Solar'!$M$25</f>
        <v>0.38411815789285497</v>
      </c>
      <c r="K78" s="284">
        <f>K72*'Demand - Wind'!$L$22+K73*'Demand - Solar'!$M$25</f>
        <v>0.43469098147780438</v>
      </c>
      <c r="L78" s="284">
        <f>L72*'Demand - Wind'!$L$22+L73*'Demand - Solar'!$M$25</f>
        <v>0.49195276844406666</v>
      </c>
      <c r="M78" s="284">
        <f>M72*'Demand - Wind'!$L$22+M73*'Demand - Solar'!$M$25</f>
        <v>0.55679152242947672</v>
      </c>
      <c r="N78" s="284">
        <f>N72*'Demand - Wind'!$L$22+N73*'Demand - Solar'!$M$25</f>
        <v>0.63021348884008055</v>
      </c>
      <c r="O78" s="284">
        <f>O72*'Demand - Wind'!$L$22+O73*'Demand - Solar'!$M$25</f>
        <v>0.71335893706852438</v>
      </c>
      <c r="P78" s="284">
        <f>P72*'Demand - Wind'!$L$22+P73*'Demand - Solar'!$M$25</f>
        <v>0.80752005325703735</v>
      </c>
      <c r="Q78" s="284">
        <f>Q72*'Demand - Wind'!$L$22+Q73*'Demand - Solar'!$M$25</f>
        <v>0.91416122627471019</v>
      </c>
      <c r="R78" s="284">
        <f>R72*'Demand - Wind'!$L$22+R73*'Demand - Solar'!$M$25</f>
        <v>1.0349420474826936</v>
      </c>
      <c r="S78" s="284">
        <f>S72*'Demand - Wind'!$L$22+S73*'Demand - Solar'!$M$25</f>
        <v>1.171743387852437</v>
      </c>
      <c r="T78" s="284">
        <f>T72*'Demand - Wind'!$L$22+T73*'Demand - Solar'!$M$25</f>
        <v>1.3266969647642686</v>
      </c>
      <c r="U78" s="284">
        <f>U72*'Demand - Wind'!$L$22+U73*'Demand - Solar'!$M$25</f>
        <v>1.5022188661219034</v>
      </c>
      <c r="V78" s="284">
        <f>V72*'Demand - Wind'!$L$22+V73*'Demand - Solar'!$M$25</f>
        <v>1.7010475621520742</v>
      </c>
      <c r="W78" s="284">
        <f>W72*'Demand - Wind'!$L$22+W73*'Demand - Solar'!$M$25</f>
        <v>1.9262870064150406</v>
      </c>
      <c r="X78" s="284">
        <f>X72*'Demand - Wind'!$L$22+X73*'Demand - Solar'!$M$25</f>
        <v>2.1814555082629483</v>
      </c>
      <c r="Y78" s="284">
        <f>Y72*'Demand - Wind'!$L$22+Y73*'Demand - Solar'!$M$25</f>
        <v>2.4705411505326609</v>
      </c>
      <c r="Z78" s="284">
        <f>Z72*'Demand - Wind'!$L$22+Z73*'Demand - Solar'!$M$25</f>
        <v>2.7980646301040863</v>
      </c>
      <c r="AA78" s="284">
        <f>AA72*'Demand - Wind'!$L$22+AA73*'Demand - Solar'!$M$25</f>
        <v>3.1691505167465208</v>
      </c>
      <c r="AB78" s="284">
        <f>AB72*'Demand - Wind'!$L$22+AB73*'Demand - Solar'!$M$25</f>
        <v>3.5896080592882611</v>
      </c>
      <c r="AC78" s="284">
        <f>AC72*'Demand - Wind'!$L$22+AC73*'Demand - Solar'!$M$25</f>
        <v>4.066022819705136</v>
      </c>
      <c r="AD78" s="284">
        <f>AD72*'Demand - Wind'!$L$22+AD73*'Demand - Solar'!$M$25</f>
        <v>4.6058605876438516</v>
      </c>
      <c r="AE78" s="284">
        <f>AE72*'Demand - Wind'!$L$22+AE73*'Demand - Solar'!$M$25</f>
        <v>5.2175852229127013</v>
      </c>
      <c r="AF78" s="284">
        <f>AF72*'Demand - Wind'!$L$22+AF73*'Demand - Solar'!$M$25</f>
        <v>5.9107922946898954</v>
      </c>
      <c r="AG78" s="284">
        <f>AG72*'Demand - Wind'!$L$22+AG73*'Demand - Solar'!$M$25</f>
        <v>6.6963606371404154</v>
      </c>
      <c r="AH78" s="284">
        <f>AH72*'Demand - Wind'!$L$22+AH73*'Demand - Solar'!$M$25</f>
        <v>7.586624225791839</v>
      </c>
      <c r="AI78" s="284"/>
    </row>
    <row r="79" spans="1:35" s="67" customFormat="1">
      <c r="A79" s="755" t="s">
        <v>263</v>
      </c>
      <c r="B79" s="58" t="s">
        <v>264</v>
      </c>
      <c r="C79" s="59" t="s">
        <v>153</v>
      </c>
      <c r="D79" s="60">
        <f>D72*'Demand - Wind'!$K$22+D73*'Demand - Solar'!$L$25</f>
        <v>0</v>
      </c>
      <c r="E79" s="60">
        <f>E72*'Demand - Wind'!$K$22+E73*'Demand - Solar'!$L$25</f>
        <v>3.6026841934390125E-2</v>
      </c>
      <c r="F79" s="60">
        <f>F72*'Demand - Wind'!$K$22+F73*'Demand - Solar'!$L$25</f>
        <v>3.9822599765115506E-2</v>
      </c>
      <c r="G79" s="60">
        <f>G72*'Demand - Wind'!$K$22+G73*'Demand - Solar'!$L$25</f>
        <v>4.4018275455301153E-2</v>
      </c>
      <c r="H79" s="60">
        <f>H72*'Demand - Wind'!$K$22+H73*'Demand - Solar'!$L$25</f>
        <v>4.8656004014989214E-2</v>
      </c>
      <c r="I79" s="60">
        <f>I72*'Demand - Wind'!$K$22+I73*'Demand - Solar'!$L$25</f>
        <v>5.3782359763518049E-2</v>
      </c>
      <c r="J79" s="60">
        <f>J72*'Demand - Wind'!$K$22+J73*'Demand - Solar'!$L$25</f>
        <v>5.9448824051424327E-2</v>
      </c>
      <c r="K79" s="60">
        <f>K72*'Demand - Wind'!$K$22+K73*'Demand - Solar'!$L$25</f>
        <v>6.5712302261131353E-2</v>
      </c>
      <c r="L79" s="60">
        <f>L72*'Demand - Wind'!$K$22+L73*'Demand - Solar'!$L$25</f>
        <v>7.2635695278396806E-2</v>
      </c>
      <c r="M79" s="60">
        <f>M72*'Demand - Wind'!$K$22+M73*'Demand - Solar'!$L$25</f>
        <v>8.0288531173512548E-2</v>
      </c>
      <c r="N79" s="60">
        <f>N72*'Demand - Wind'!$K$22+N73*'Demand - Solar'!$L$25</f>
        <v>8.8747663435904692E-2</v>
      </c>
      <c r="O79" s="60">
        <f>O72*'Demand - Wind'!$K$22+O73*'Demand - Solar'!$L$25</f>
        <v>9.8098042774146313E-2</v>
      </c>
      <c r="P79" s="60">
        <f>P72*'Demand - Wind'!$K$22+P73*'Demand - Solar'!$L$25</f>
        <v>0.10843357023217089</v>
      </c>
      <c r="Q79" s="60">
        <f>Q72*'Demand - Wind'!$K$22+Q73*'Demand - Solar'!$L$25</f>
        <v>0.11985804018909467</v>
      </c>
      <c r="R79" s="60">
        <f>R72*'Demand - Wind'!$K$22+R73*'Demand - Solar'!$L$25</f>
        <v>0.13248618271270765</v>
      </c>
      <c r="S79" s="60">
        <f>S72*'Demand - Wind'!$K$22+S73*'Demand - Solar'!$L$25</f>
        <v>0.14644481573445581</v>
      </c>
      <c r="T79" s="60">
        <f>T72*'Demand - Wind'!$K$22+T73*'Demand - Solar'!$L$25</f>
        <v>0.16187411861660994</v>
      </c>
      <c r="U79" s="60">
        <f>U72*'Demand - Wind'!$K$22+U73*'Demand - Solar'!$L$25</f>
        <v>0.17892903990140482</v>
      </c>
      <c r="V79" s="60">
        <f>V72*'Demand - Wind'!$K$22+V73*'Demand - Solar'!$L$25</f>
        <v>0.19778085337944451</v>
      </c>
      <c r="W79" s="60">
        <f>W72*'Demand - Wind'!$K$22+W73*'Demand - Solar'!$L$25</f>
        <v>0.21861887810416969</v>
      </c>
      <c r="X79" s="60">
        <f>X72*'Demand - Wind'!$K$22+X73*'Demand - Solar'!$L$25</f>
        <v>0.24165237962560554</v>
      </c>
      <c r="Y79" s="60">
        <f>Y72*'Demand - Wind'!$K$22+Y73*'Demand - Solar'!$L$25</f>
        <v>0.26711267153650275</v>
      </c>
      <c r="Z79" s="60">
        <f>Z72*'Demand - Wind'!$K$22+Z73*'Demand - Solar'!$L$25</f>
        <v>0.29525543843561358</v>
      </c>
      <c r="AA79" s="60">
        <f>AA72*'Demand - Wind'!$K$22+AA73*'Demand - Solar'!$L$25</f>
        <v>0.32636330363643357</v>
      </c>
      <c r="AB79" s="60">
        <f>AB72*'Demand - Wind'!$K$22+AB73*'Demand - Solar'!$L$25</f>
        <v>0.36074866740757455</v>
      </c>
      <c r="AC79" s="60">
        <f>AC72*'Demand - Wind'!$K$22+AC73*'Demand - Solar'!$L$25</f>
        <v>0.39875684424777003</v>
      </c>
      <c r="AD79" s="60">
        <f>AD72*'Demand - Wind'!$K$22+AD73*'Demand - Solar'!$L$25</f>
        <v>0.44076953070153307</v>
      </c>
      <c r="AE79" s="60">
        <f>AE72*'Demand - Wind'!$K$22+AE73*'Demand - Solar'!$L$25</f>
        <v>0.48720863854097085</v>
      </c>
      <c r="AF79" s="60">
        <f>AF72*'Demand - Wind'!$K$22+AF73*'Demand - Solar'!$L$25</f>
        <v>0.53854053180840855</v>
      </c>
      <c r="AG79" s="60">
        <f>AG72*'Demand - Wind'!$K$22+AG73*'Demand - Solar'!$L$25</f>
        <v>0.59528071027027574</v>
      </c>
      <c r="AH79" s="60">
        <f>AH72*'Demand - Wind'!$K$22+AH73*'Demand - Solar'!$L$25</f>
        <v>0.65799898631576259</v>
      </c>
      <c r="AI79" s="60"/>
    </row>
    <row r="80" spans="1:35" s="68" customFormat="1">
      <c r="A80" s="757"/>
      <c r="B80" s="62" t="s">
        <v>266</v>
      </c>
      <c r="C80" s="283" t="s">
        <v>153</v>
      </c>
      <c r="D80" s="284">
        <f>D72*'Demand - Wind'!J22+D73*'Demand - Solar'!K25</f>
        <v>0</v>
      </c>
      <c r="E80" s="284">
        <f>E72*'Demand - Wind'!K22+E73*'Demand - Solar'!L25</f>
        <v>3.6026841934390125E-2</v>
      </c>
      <c r="F80" s="284">
        <f>F72*'Demand - Wind'!L22+F73*'Demand - Solar'!M25</f>
        <v>0.23435974939203716</v>
      </c>
      <c r="G80" s="284">
        <f>G72*'Demand - Wind'!M22+G73*'Demand - Solar'!N25</f>
        <v>0.70943425671187132</v>
      </c>
      <c r="H80" s="284">
        <f>H72*'Demand - Wind'!N22+H73*'Demand - Solar'!O25</f>
        <v>0</v>
      </c>
      <c r="I80" s="284">
        <f>I72*'Demand - Wind'!O22+I73*'Demand - Solar'!P25</f>
        <v>0</v>
      </c>
      <c r="J80" s="284">
        <f>J72*'Demand - Wind'!P22+J73*'Demand - Solar'!Q25</f>
        <v>0</v>
      </c>
      <c r="K80" s="284">
        <f>K72*'Demand - Wind'!Q22+K73*'Demand - Solar'!R25</f>
        <v>0</v>
      </c>
      <c r="L80" s="284">
        <f>L72*'Demand - Wind'!R22+L73*'Demand - Solar'!S25</f>
        <v>0</v>
      </c>
      <c r="M80" s="284">
        <f>M72*'Demand - Wind'!S22+M73*'Demand - Solar'!T25</f>
        <v>0</v>
      </c>
      <c r="N80" s="284">
        <f>N72*'Demand - Wind'!T22+N73*'Demand - Solar'!U25</f>
        <v>0</v>
      </c>
      <c r="O80" s="284">
        <f>O72*'Demand - Wind'!U22+O73*'Demand - Solar'!V25</f>
        <v>0</v>
      </c>
      <c r="P80" s="284">
        <f>P72*'Demand - Wind'!V22+P73*'Demand - Solar'!W25</f>
        <v>0</v>
      </c>
      <c r="Q80" s="284">
        <f>Q72*'Demand - Wind'!W22+Q73*'Demand - Solar'!X25</f>
        <v>0</v>
      </c>
      <c r="R80" s="284">
        <f>R72*'Demand - Wind'!X22+R73*'Demand - Solar'!Y25</f>
        <v>0</v>
      </c>
      <c r="S80" s="284">
        <f>S72*'Demand - Wind'!Y22+S73*'Demand - Solar'!Z25</f>
        <v>0</v>
      </c>
      <c r="T80" s="284">
        <f>T72*'Demand - Wind'!Z22+T73*'Demand - Solar'!AA25</f>
        <v>0</v>
      </c>
      <c r="U80" s="284">
        <f>U72*'Demand - Wind'!AA22+U73*'Demand - Solar'!AB25</f>
        <v>0</v>
      </c>
      <c r="V80" s="284">
        <f>V72*'Demand - Wind'!AB22+V73*'Demand - Solar'!AC25</f>
        <v>0</v>
      </c>
      <c r="W80" s="284">
        <f>W72*'Demand - Wind'!AC22+W73*'Demand - Solar'!AD25</f>
        <v>0</v>
      </c>
      <c r="X80" s="284">
        <f>X72*'Demand - Wind'!AD22+X73*'Demand - Solar'!AE25</f>
        <v>0</v>
      </c>
      <c r="Y80" s="284">
        <f>Y72*'Demand - Wind'!AE22+Y73*'Demand - Solar'!AF25</f>
        <v>0</v>
      </c>
      <c r="Z80" s="284">
        <f>Z72*'Demand - Wind'!AF22+Z73*'Demand - Solar'!AG25</f>
        <v>0</v>
      </c>
      <c r="AA80" s="284">
        <f>AA72*'Demand - Wind'!AG22+AA73*'Demand - Solar'!AH25</f>
        <v>0</v>
      </c>
      <c r="AB80" s="284">
        <f>AB72*'Demand - Wind'!AH22+AB73*'Demand - Solar'!AI25</f>
        <v>0</v>
      </c>
      <c r="AC80" s="284">
        <f>AC72*'Demand - Wind'!AI22+AC73*'Demand - Solar'!AJ25</f>
        <v>0</v>
      </c>
      <c r="AD80" s="284">
        <f>AD72*'Demand - Wind'!AJ22+AD73*'Demand - Solar'!AK25</f>
        <v>0</v>
      </c>
      <c r="AE80" s="284">
        <f>AE72*'Demand - Wind'!AK22+AE73*'Demand - Solar'!AL25</f>
        <v>0</v>
      </c>
      <c r="AF80" s="284">
        <f>AF72*'Demand - Wind'!AL22+AF73*'Demand - Solar'!AM25</f>
        <v>0</v>
      </c>
      <c r="AG80" s="284">
        <f>AG72*'Demand - Wind'!AM22+AG73*'Demand - Solar'!AN25</f>
        <v>0</v>
      </c>
      <c r="AH80" s="284">
        <f>AH72*'Demand - Wind'!AN22+AH73*'Demand - Solar'!AO25</f>
        <v>0</v>
      </c>
      <c r="AI80" s="284"/>
    </row>
    <row r="81" spans="1:35" outlineLevel="1">
      <c r="A81" s="1" t="s">
        <v>67</v>
      </c>
      <c r="B81" s="1" t="s">
        <v>168</v>
      </c>
      <c r="C81" s="54" t="s">
        <v>153</v>
      </c>
      <c r="D81" s="66">
        <f t="shared" ref="D81:AH81" si="21">D17+D29+D41+D53+D63</f>
        <v>0</v>
      </c>
      <c r="E81" s="66">
        <f t="shared" si="21"/>
        <v>0</v>
      </c>
      <c r="F81" s="66">
        <f t="shared" si="21"/>
        <v>0</v>
      </c>
      <c r="G81" s="66">
        <f t="shared" si="21"/>
        <v>0</v>
      </c>
      <c r="H81" s="66">
        <f t="shared" si="21"/>
        <v>0</v>
      </c>
      <c r="I81" s="66">
        <f t="shared" si="21"/>
        <v>0</v>
      </c>
      <c r="J81" s="66">
        <f t="shared" si="21"/>
        <v>0</v>
      </c>
      <c r="K81" s="66">
        <f t="shared" si="21"/>
        <v>0</v>
      </c>
      <c r="L81" s="66">
        <f t="shared" si="21"/>
        <v>0</v>
      </c>
      <c r="M81" s="66">
        <f t="shared" si="21"/>
        <v>0</v>
      </c>
      <c r="N81" s="66">
        <f t="shared" si="21"/>
        <v>0</v>
      </c>
      <c r="O81" s="66">
        <f t="shared" si="21"/>
        <v>0</v>
      </c>
      <c r="P81" s="66">
        <f t="shared" si="21"/>
        <v>0</v>
      </c>
      <c r="Q81" s="66">
        <f t="shared" si="21"/>
        <v>0</v>
      </c>
      <c r="R81" s="66">
        <f t="shared" si="21"/>
        <v>0</v>
      </c>
      <c r="S81" s="66">
        <f t="shared" si="21"/>
        <v>0</v>
      </c>
      <c r="T81" s="66">
        <f t="shared" si="21"/>
        <v>0</v>
      </c>
      <c r="U81" s="66">
        <f t="shared" si="21"/>
        <v>0</v>
      </c>
      <c r="V81" s="66">
        <f t="shared" si="21"/>
        <v>0</v>
      </c>
      <c r="W81" s="66">
        <f t="shared" si="21"/>
        <v>0</v>
      </c>
      <c r="X81" s="66">
        <f t="shared" si="21"/>
        <v>0</v>
      </c>
      <c r="Y81" s="66">
        <f t="shared" si="21"/>
        <v>0</v>
      </c>
      <c r="Z81" s="66">
        <f t="shared" si="21"/>
        <v>0</v>
      </c>
      <c r="AA81" s="66">
        <f t="shared" si="21"/>
        <v>0</v>
      </c>
      <c r="AB81" s="66">
        <f t="shared" si="21"/>
        <v>0</v>
      </c>
      <c r="AC81" s="66">
        <f t="shared" si="21"/>
        <v>0</v>
      </c>
      <c r="AD81" s="66">
        <f t="shared" si="21"/>
        <v>0</v>
      </c>
      <c r="AE81" s="66">
        <f t="shared" si="21"/>
        <v>0</v>
      </c>
      <c r="AF81" s="66">
        <f t="shared" si="21"/>
        <v>0</v>
      </c>
      <c r="AG81" s="66">
        <f t="shared" si="21"/>
        <v>0</v>
      </c>
      <c r="AH81" s="66">
        <f t="shared" si="21"/>
        <v>0</v>
      </c>
    </row>
    <row r="82" spans="1:35" outlineLevel="1">
      <c r="B82" s="1" t="s">
        <v>172</v>
      </c>
      <c r="C82" s="54" t="s">
        <v>153</v>
      </c>
      <c r="D82" s="66">
        <f t="shared" ref="D82:AH82" si="22">D18+D42+D54+D32+D64</f>
        <v>0</v>
      </c>
      <c r="E82" s="66">
        <f t="shared" si="22"/>
        <v>0</v>
      </c>
      <c r="F82" s="66">
        <f t="shared" si="22"/>
        <v>0</v>
      </c>
      <c r="G82" s="66">
        <f t="shared" si="22"/>
        <v>0</v>
      </c>
      <c r="H82" s="66">
        <f t="shared" si="22"/>
        <v>0</v>
      </c>
      <c r="I82" s="66">
        <f t="shared" si="22"/>
        <v>0</v>
      </c>
      <c r="J82" s="66">
        <f t="shared" si="22"/>
        <v>0</v>
      </c>
      <c r="K82" s="66">
        <f t="shared" si="22"/>
        <v>0</v>
      </c>
      <c r="L82" s="66">
        <f t="shared" si="22"/>
        <v>0</v>
      </c>
      <c r="M82" s="66">
        <f t="shared" si="22"/>
        <v>0</v>
      </c>
      <c r="N82" s="66">
        <f t="shared" si="22"/>
        <v>0</v>
      </c>
      <c r="O82" s="66">
        <f t="shared" si="22"/>
        <v>0</v>
      </c>
      <c r="P82" s="66">
        <f t="shared" si="22"/>
        <v>0</v>
      </c>
      <c r="Q82" s="66">
        <f t="shared" si="22"/>
        <v>0</v>
      </c>
      <c r="R82" s="66">
        <f t="shared" si="22"/>
        <v>0</v>
      </c>
      <c r="S82" s="66">
        <f t="shared" si="22"/>
        <v>0</v>
      </c>
      <c r="T82" s="66">
        <f t="shared" si="22"/>
        <v>0</v>
      </c>
      <c r="U82" s="66">
        <f t="shared" si="22"/>
        <v>0</v>
      </c>
      <c r="V82" s="66">
        <f t="shared" si="22"/>
        <v>0</v>
      </c>
      <c r="W82" s="66">
        <f t="shared" si="22"/>
        <v>0</v>
      </c>
      <c r="X82" s="66">
        <f t="shared" si="22"/>
        <v>0</v>
      </c>
      <c r="Y82" s="66">
        <f t="shared" si="22"/>
        <v>0</v>
      </c>
      <c r="Z82" s="66">
        <f t="shared" si="22"/>
        <v>0</v>
      </c>
      <c r="AA82" s="66">
        <f t="shared" si="22"/>
        <v>0</v>
      </c>
      <c r="AB82" s="66">
        <f t="shared" si="22"/>
        <v>0</v>
      </c>
      <c r="AC82" s="66">
        <f t="shared" si="22"/>
        <v>0</v>
      </c>
      <c r="AD82" s="66">
        <f t="shared" si="22"/>
        <v>0</v>
      </c>
      <c r="AE82" s="66">
        <f t="shared" si="22"/>
        <v>0</v>
      </c>
      <c r="AF82" s="66">
        <f t="shared" si="22"/>
        <v>0</v>
      </c>
      <c r="AG82" s="66">
        <f t="shared" si="22"/>
        <v>0</v>
      </c>
      <c r="AH82" s="66">
        <f t="shared" si="22"/>
        <v>0</v>
      </c>
    </row>
    <row r="83" spans="1:35" outlineLevel="1">
      <c r="B83" s="1" t="s">
        <v>214</v>
      </c>
      <c r="C83" s="54" t="s">
        <v>153</v>
      </c>
      <c r="D83" s="66">
        <f>D74+D13</f>
        <v>0</v>
      </c>
      <c r="E83" s="66">
        <f t="shared" ref="E83:AH83" si="23">E74+E13</f>
        <v>0.68834563072633614</v>
      </c>
      <c r="F83" s="66">
        <f t="shared" si="23"/>
        <v>0.7930416557736707</v>
      </c>
      <c r="G83" s="66">
        <f t="shared" si="23"/>
        <v>0.90966742803642753</v>
      </c>
      <c r="H83" s="66">
        <f t="shared" si="23"/>
        <v>1.0397249269665754</v>
      </c>
      <c r="I83" s="66">
        <f t="shared" si="23"/>
        <v>1.1849125946326529</v>
      </c>
      <c r="J83" s="66">
        <f t="shared" si="23"/>
        <v>1.347151323135811</v>
      </c>
      <c r="K83" s="66">
        <f t="shared" si="23"/>
        <v>1.5286138955890207</v>
      </c>
      <c r="L83" s="66">
        <f t="shared" si="23"/>
        <v>1.731758340969491</v>
      </c>
      <c r="M83" s="66">
        <f t="shared" si="23"/>
        <v>1.9593657246434408</v>
      </c>
      <c r="N83" s="66">
        <f t="shared" si="23"/>
        <v>2.2145829660797611</v>
      </c>
      <c r="O83" s="66">
        <f t="shared" si="23"/>
        <v>2.5315865300343487</v>
      </c>
      <c r="P83" s="66">
        <f t="shared" si="23"/>
        <v>2.884832788788124</v>
      </c>
      <c r="Q83" s="66">
        <f t="shared" si="23"/>
        <v>3.2789105538925849</v>
      </c>
      <c r="R83" s="66">
        <f t="shared" si="23"/>
        <v>3.7190114647357988</v>
      </c>
      <c r="S83" s="66">
        <f t="shared" si="23"/>
        <v>4.2110099959048446</v>
      </c>
      <c r="T83" s="66">
        <f t="shared" si="23"/>
        <v>4.7615541252708535</v>
      </c>
      <c r="U83" s="66">
        <f t="shared" si="23"/>
        <v>5.3781680867230133</v>
      </c>
      <c r="V83" s="66">
        <f t="shared" si="23"/>
        <v>6.0693688220085846</v>
      </c>
      <c r="W83" s="66">
        <f t="shared" si="23"/>
        <v>6.8447979621967674</v>
      </c>
      <c r="X83" s="66">
        <f t="shared" si="23"/>
        <v>7.715371414299562</v>
      </c>
      <c r="Y83" s="66">
        <f t="shared" si="23"/>
        <v>8.6692912374270694</v>
      </c>
      <c r="Z83" s="66">
        <f t="shared" si="23"/>
        <v>9.7438894612684805</v>
      </c>
      <c r="AA83" s="66">
        <f t="shared" si="23"/>
        <v>10.954994680912458</v>
      </c>
      <c r="AB83" s="66">
        <f t="shared" si="23"/>
        <v>12.320535744063095</v>
      </c>
      <c r="AC83" s="66">
        <f t="shared" si="23"/>
        <v>13.860821624570585</v>
      </c>
      <c r="AD83" s="66">
        <f t="shared" si="23"/>
        <v>15.598858682282101</v>
      </c>
      <c r="AE83" s="66">
        <f t="shared" si="23"/>
        <v>17.560710312253779</v>
      </c>
      <c r="AF83" s="66">
        <f t="shared" si="23"/>
        <v>19.775904656796001</v>
      </c>
      <c r="AG83" s="66">
        <f t="shared" si="23"/>
        <v>22.277896814194072</v>
      </c>
      <c r="AH83" s="66">
        <f t="shared" si="23"/>
        <v>25.104592840330554</v>
      </c>
    </row>
    <row r="84" spans="1:35" s="69" customFormat="1">
      <c r="A84" s="69" t="s">
        <v>274</v>
      </c>
      <c r="C84" s="70" t="s">
        <v>153</v>
      </c>
      <c r="D84" s="71">
        <f t="shared" ref="D84:AH84" si="24">D4+D83-D81-D82</f>
        <v>162.69230769230768</v>
      </c>
      <c r="E84" s="71">
        <f t="shared" si="24"/>
        <v>167.40712626892559</v>
      </c>
      <c r="F84" s="71">
        <f t="shared" si="24"/>
        <v>171.63794644411604</v>
      </c>
      <c r="G84" s="71">
        <f t="shared" si="24"/>
        <v>175.98281383905393</v>
      </c>
      <c r="H84" s="71">
        <f t="shared" si="24"/>
        <v>180.44575773916094</v>
      </c>
      <c r="I84" s="71">
        <f t="shared" si="24"/>
        <v>185.0310664407865</v>
      </c>
      <c r="J84" s="71">
        <f t="shared" si="24"/>
        <v>189.24179989074608</v>
      </c>
      <c r="K84" s="71">
        <f t="shared" si="24"/>
        <v>193.56090949579612</v>
      </c>
      <c r="L84" s="71">
        <f t="shared" si="24"/>
        <v>197.99281651696145</v>
      </c>
      <c r="M84" s="71">
        <f t="shared" si="24"/>
        <v>202.54230848418706</v>
      </c>
      <c r="N84" s="71">
        <f t="shared" si="24"/>
        <v>207.21458296607977</v>
      </c>
      <c r="O84" s="71">
        <f t="shared" si="24"/>
        <v>209.97275072517857</v>
      </c>
      <c r="P84" s="71">
        <f t="shared" si="24"/>
        <v>212.79623085043096</v>
      </c>
      <c r="Q84" s="71">
        <f t="shared" si="24"/>
        <v>215.6899583184659</v>
      </c>
      <c r="R84" s="71">
        <f t="shared" si="24"/>
        <v>218.65947505592345</v>
      </c>
      <c r="S84" s="71">
        <f t="shared" si="24"/>
        <v>221.71100999590485</v>
      </c>
      <c r="T84" s="71">
        <f t="shared" si="24"/>
        <v>224.70598823181291</v>
      </c>
      <c r="U84" s="71">
        <f t="shared" si="24"/>
        <v>227.79450875084723</v>
      </c>
      <c r="V84" s="71">
        <f t="shared" si="24"/>
        <v>230.98539725151974</v>
      </c>
      <c r="W84" s="71">
        <f t="shared" si="24"/>
        <v>234.28860759171286</v>
      </c>
      <c r="X84" s="71">
        <f t="shared" si="24"/>
        <v>237.71537141429957</v>
      </c>
      <c r="Y84" s="71">
        <f t="shared" si="24"/>
        <v>241.1166508708809</v>
      </c>
      <c r="Z84" s="71">
        <f t="shared" si="24"/>
        <v>244.66465033328683</v>
      </c>
      <c r="AA84" s="71">
        <f t="shared" si="24"/>
        <v>248.37547549735879</v>
      </c>
      <c r="AB84" s="71">
        <f t="shared" si="24"/>
        <v>252.26733526009801</v>
      </c>
      <c r="AC84" s="71">
        <f t="shared" si="24"/>
        <v>256.36082162457058</v>
      </c>
      <c r="AD84" s="71">
        <f t="shared" si="24"/>
        <v>260.548851149857</v>
      </c>
      <c r="AE84" s="71">
        <f t="shared" si="24"/>
        <v>264.98544767252184</v>
      </c>
      <c r="AF84" s="71">
        <f t="shared" si="24"/>
        <v>269.70038941015423</v>
      </c>
      <c r="AG84" s="71">
        <f t="shared" si="24"/>
        <v>274.72738406284412</v>
      </c>
      <c r="AH84" s="71">
        <f t="shared" si="24"/>
        <v>280.10459284033055</v>
      </c>
      <c r="AI84" s="71"/>
    </row>
    <row r="85" spans="1:35" s="67" customFormat="1">
      <c r="A85" s="755" t="s">
        <v>257</v>
      </c>
      <c r="B85" s="58" t="s">
        <v>258</v>
      </c>
      <c r="C85" s="59" t="s">
        <v>153</v>
      </c>
      <c r="D85" s="60">
        <f>D20+D34+D44+D56+D66+D75</f>
        <v>99.242307692307705</v>
      </c>
      <c r="E85" s="60" t="e">
        <f t="shared" ref="E85:AH90" si="25">E20+E34+E44+E56+E66+E75</f>
        <v>#DIV/0!</v>
      </c>
      <c r="F85" s="60" t="e">
        <f t="shared" si="25"/>
        <v>#DIV/0!</v>
      </c>
      <c r="G85" s="60" t="e">
        <f t="shared" si="25"/>
        <v>#DIV/0!</v>
      </c>
      <c r="H85" s="60" t="e">
        <f t="shared" si="25"/>
        <v>#DIV/0!</v>
      </c>
      <c r="I85" s="60" t="e">
        <f t="shared" si="25"/>
        <v>#DIV/0!</v>
      </c>
      <c r="J85" s="60" t="e">
        <f t="shared" si="25"/>
        <v>#DIV/0!</v>
      </c>
      <c r="K85" s="60" t="e">
        <f t="shared" si="25"/>
        <v>#DIV/0!</v>
      </c>
      <c r="L85" s="60" t="e">
        <f t="shared" si="25"/>
        <v>#DIV/0!</v>
      </c>
      <c r="M85" s="60" t="e">
        <f t="shared" si="25"/>
        <v>#DIV/0!</v>
      </c>
      <c r="N85" s="60" t="e">
        <f t="shared" si="25"/>
        <v>#DIV/0!</v>
      </c>
      <c r="O85" s="60" t="e">
        <f t="shared" si="25"/>
        <v>#DIV/0!</v>
      </c>
      <c r="P85" s="60" t="e">
        <f t="shared" si="25"/>
        <v>#DIV/0!</v>
      </c>
      <c r="Q85" s="60" t="e">
        <f t="shared" si="25"/>
        <v>#DIV/0!</v>
      </c>
      <c r="R85" s="60" t="e">
        <f t="shared" si="25"/>
        <v>#DIV/0!</v>
      </c>
      <c r="S85" s="60" t="e">
        <f t="shared" si="25"/>
        <v>#DIV/0!</v>
      </c>
      <c r="T85" s="60" t="e">
        <f t="shared" si="25"/>
        <v>#DIV/0!</v>
      </c>
      <c r="U85" s="60" t="e">
        <f t="shared" si="25"/>
        <v>#DIV/0!</v>
      </c>
      <c r="V85" s="60" t="e">
        <f t="shared" si="25"/>
        <v>#DIV/0!</v>
      </c>
      <c r="W85" s="60" t="e">
        <f t="shared" si="25"/>
        <v>#DIV/0!</v>
      </c>
      <c r="X85" s="60" t="e">
        <f t="shared" si="25"/>
        <v>#DIV/0!</v>
      </c>
      <c r="Y85" s="60" t="e">
        <f t="shared" si="25"/>
        <v>#DIV/0!</v>
      </c>
      <c r="Z85" s="60" t="e">
        <f t="shared" si="25"/>
        <v>#DIV/0!</v>
      </c>
      <c r="AA85" s="60" t="e">
        <f t="shared" si="25"/>
        <v>#DIV/0!</v>
      </c>
      <c r="AB85" s="60" t="e">
        <f t="shared" si="25"/>
        <v>#DIV/0!</v>
      </c>
      <c r="AC85" s="60" t="e">
        <f t="shared" si="25"/>
        <v>#DIV/0!</v>
      </c>
      <c r="AD85" s="60" t="e">
        <f t="shared" si="25"/>
        <v>#DIV/0!</v>
      </c>
      <c r="AE85" s="60" t="e">
        <f t="shared" si="25"/>
        <v>#DIV/0!</v>
      </c>
      <c r="AF85" s="60" t="e">
        <f t="shared" si="25"/>
        <v>#DIV/0!</v>
      </c>
      <c r="AG85" s="60" t="e">
        <f t="shared" si="25"/>
        <v>#DIV/0!</v>
      </c>
      <c r="AH85" s="60" t="e">
        <f t="shared" si="25"/>
        <v>#DIV/0!</v>
      </c>
      <c r="AI85" s="60"/>
    </row>
    <row r="86" spans="1:35">
      <c r="A86" s="756"/>
      <c r="B86" s="1" t="s">
        <v>260</v>
      </c>
      <c r="C86" s="54" t="s">
        <v>153</v>
      </c>
      <c r="D86" s="44">
        <f t="shared" ref="D86:S90" si="26">D21+D35+D45+D57+D67+D76</f>
        <v>22.776923076923076</v>
      </c>
      <c r="E86" s="44">
        <f t="shared" si="26"/>
        <v>23.576591180787752</v>
      </c>
      <c r="F86" s="44">
        <f t="shared" si="26"/>
        <v>24.243526893619713</v>
      </c>
      <c r="G86" s="44">
        <f t="shared" si="26"/>
        <v>24.930033778996538</v>
      </c>
      <c r="H86" s="44">
        <f t="shared" si="26"/>
        <v>25.636882451567594</v>
      </c>
      <c r="I86" s="44">
        <f t="shared" si="26"/>
        <v>26.364898061061034</v>
      </c>
      <c r="J86" s="44">
        <f t="shared" si="26"/>
        <v>27.029234415790629</v>
      </c>
      <c r="K86" s="44">
        <f t="shared" si="26"/>
        <v>27.712566435009233</v>
      </c>
      <c r="L86" s="44">
        <f t="shared" si="26"/>
        <v>28.415780794348205</v>
      </c>
      <c r="M86" s="44">
        <f t="shared" si="26"/>
        <v>29.139842954287396</v>
      </c>
      <c r="N86" s="44">
        <f t="shared" si="26"/>
        <v>29.885806600300228</v>
      </c>
      <c r="O86" s="44">
        <f t="shared" si="26"/>
        <v>30.300426247997116</v>
      </c>
      <c r="P86" s="44">
        <f t="shared" si="26"/>
        <v>30.727338991112283</v>
      </c>
      <c r="Q86" s="44">
        <f t="shared" si="26"/>
        <v>31.167617789996168</v>
      </c>
      <c r="R86" s="44">
        <f t="shared" si="26"/>
        <v>31.622467947816563</v>
      </c>
      <c r="S86" s="44">
        <f t="shared" si="26"/>
        <v>32.09324429653163</v>
      </c>
      <c r="T86" s="44">
        <f t="shared" si="25"/>
        <v>32.556584096611218</v>
      </c>
      <c r="U86" s="44">
        <f t="shared" si="25"/>
        <v>33.038512616846866</v>
      </c>
      <c r="V86" s="44">
        <f t="shared" si="25"/>
        <v>33.54095048437015</v>
      </c>
      <c r="W86" s="44">
        <f t="shared" si="25"/>
        <v>34.066062193718743</v>
      </c>
      <c r="X86" s="44">
        <f t="shared" si="25"/>
        <v>34.616287975682866</v>
      </c>
      <c r="Y86" s="44">
        <f t="shared" si="25"/>
        <v>35.170864711000938</v>
      </c>
      <c r="Z86" s="44">
        <f t="shared" si="25"/>
        <v>35.755897709716933</v>
      </c>
      <c r="AA86" s="44">
        <f t="shared" si="25"/>
        <v>36.37488200842526</v>
      </c>
      <c r="AB86" s="44">
        <f t="shared" si="25"/>
        <v>37.031763643666459</v>
      </c>
      <c r="AC86" s="44">
        <f t="shared" si="25"/>
        <v>37.730998851603083</v>
      </c>
      <c r="AD86" s="44">
        <f t="shared" si="25"/>
        <v>38.455333896099788</v>
      </c>
      <c r="AE86" s="44">
        <f t="shared" si="25"/>
        <v>39.232280192081745</v>
      </c>
      <c r="AF86" s="44">
        <f t="shared" si="25"/>
        <v>40.068256084636054</v>
      </c>
      <c r="AG86" s="44">
        <f t="shared" si="25"/>
        <v>40.970516078313629</v>
      </c>
      <c r="AH86" s="44">
        <f t="shared" si="25"/>
        <v>41.947260969883466</v>
      </c>
      <c r="AI86" s="44"/>
    </row>
    <row r="87" spans="1:35">
      <c r="A87" s="756"/>
      <c r="B87" s="1" t="s">
        <v>262</v>
      </c>
      <c r="C87" s="54" t="s">
        <v>153</v>
      </c>
      <c r="D87" s="44">
        <f t="shared" si="26"/>
        <v>19.523076923076918</v>
      </c>
      <c r="E87" s="44" t="e">
        <f t="shared" si="25"/>
        <v>#DIV/0!</v>
      </c>
      <c r="F87" s="44" t="e">
        <f t="shared" si="25"/>
        <v>#DIV/0!</v>
      </c>
      <c r="G87" s="44" t="e">
        <f t="shared" si="25"/>
        <v>#DIV/0!</v>
      </c>
      <c r="H87" s="44" t="e">
        <f t="shared" si="25"/>
        <v>#DIV/0!</v>
      </c>
      <c r="I87" s="44" t="e">
        <f t="shared" si="25"/>
        <v>#DIV/0!</v>
      </c>
      <c r="J87" s="44" t="e">
        <f t="shared" si="25"/>
        <v>#DIV/0!</v>
      </c>
      <c r="K87" s="44" t="e">
        <f t="shared" si="25"/>
        <v>#DIV/0!</v>
      </c>
      <c r="L87" s="44" t="e">
        <f t="shared" si="25"/>
        <v>#DIV/0!</v>
      </c>
      <c r="M87" s="44" t="e">
        <f t="shared" si="25"/>
        <v>#DIV/0!</v>
      </c>
      <c r="N87" s="44" t="e">
        <f t="shared" si="25"/>
        <v>#DIV/0!</v>
      </c>
      <c r="O87" s="44" t="e">
        <f t="shared" si="25"/>
        <v>#DIV/0!</v>
      </c>
      <c r="P87" s="44" t="e">
        <f t="shared" si="25"/>
        <v>#DIV/0!</v>
      </c>
      <c r="Q87" s="44" t="e">
        <f t="shared" si="25"/>
        <v>#DIV/0!</v>
      </c>
      <c r="R87" s="44" t="e">
        <f t="shared" si="25"/>
        <v>#DIV/0!</v>
      </c>
      <c r="S87" s="44" t="e">
        <f t="shared" si="25"/>
        <v>#DIV/0!</v>
      </c>
      <c r="T87" s="44" t="e">
        <f t="shared" si="25"/>
        <v>#DIV/0!</v>
      </c>
      <c r="U87" s="44" t="e">
        <f t="shared" si="25"/>
        <v>#DIV/0!</v>
      </c>
      <c r="V87" s="44" t="e">
        <f t="shared" si="25"/>
        <v>#DIV/0!</v>
      </c>
      <c r="W87" s="44" t="e">
        <f t="shared" si="25"/>
        <v>#DIV/0!</v>
      </c>
      <c r="X87" s="44" t="e">
        <f t="shared" si="25"/>
        <v>#DIV/0!</v>
      </c>
      <c r="Y87" s="44" t="e">
        <f t="shared" si="25"/>
        <v>#DIV/0!</v>
      </c>
      <c r="Z87" s="44" t="e">
        <f t="shared" si="25"/>
        <v>#DIV/0!</v>
      </c>
      <c r="AA87" s="44" t="e">
        <f t="shared" si="25"/>
        <v>#DIV/0!</v>
      </c>
      <c r="AB87" s="44" t="e">
        <f t="shared" si="25"/>
        <v>#DIV/0!</v>
      </c>
      <c r="AC87" s="44" t="e">
        <f t="shared" si="25"/>
        <v>#DIV/0!</v>
      </c>
      <c r="AD87" s="44" t="e">
        <f t="shared" si="25"/>
        <v>#DIV/0!</v>
      </c>
      <c r="AE87" s="44" t="e">
        <f t="shared" si="25"/>
        <v>#DIV/0!</v>
      </c>
      <c r="AF87" s="44" t="e">
        <f t="shared" si="25"/>
        <v>#DIV/0!</v>
      </c>
      <c r="AG87" s="44" t="e">
        <f t="shared" si="25"/>
        <v>#DIV/0!</v>
      </c>
      <c r="AH87" s="44" t="e">
        <f t="shared" si="25"/>
        <v>#DIV/0!</v>
      </c>
      <c r="AI87" s="44"/>
    </row>
    <row r="88" spans="1:35" s="68" customFormat="1">
      <c r="A88" s="757"/>
      <c r="B88" s="62" t="s">
        <v>248</v>
      </c>
      <c r="C88" s="283" t="s">
        <v>153</v>
      </c>
      <c r="D88" s="284">
        <f t="shared" si="26"/>
        <v>21.150000000000006</v>
      </c>
      <c r="E88" s="284" t="e">
        <f t="shared" si="25"/>
        <v>#DIV/0!</v>
      </c>
      <c r="F88" s="284" t="e">
        <f t="shared" si="25"/>
        <v>#DIV/0!</v>
      </c>
      <c r="G88" s="284" t="e">
        <f t="shared" si="25"/>
        <v>#DIV/0!</v>
      </c>
      <c r="H88" s="284" t="e">
        <f t="shared" si="25"/>
        <v>#DIV/0!</v>
      </c>
      <c r="I88" s="284" t="e">
        <f t="shared" si="25"/>
        <v>#DIV/0!</v>
      </c>
      <c r="J88" s="284" t="e">
        <f t="shared" si="25"/>
        <v>#DIV/0!</v>
      </c>
      <c r="K88" s="284" t="e">
        <f t="shared" si="25"/>
        <v>#DIV/0!</v>
      </c>
      <c r="L88" s="284" t="e">
        <f t="shared" si="25"/>
        <v>#DIV/0!</v>
      </c>
      <c r="M88" s="284" t="e">
        <f t="shared" si="25"/>
        <v>#DIV/0!</v>
      </c>
      <c r="N88" s="284" t="e">
        <f t="shared" si="25"/>
        <v>#DIV/0!</v>
      </c>
      <c r="O88" s="284" t="e">
        <f t="shared" si="25"/>
        <v>#DIV/0!</v>
      </c>
      <c r="P88" s="284" t="e">
        <f t="shared" si="25"/>
        <v>#DIV/0!</v>
      </c>
      <c r="Q88" s="284" t="e">
        <f t="shared" si="25"/>
        <v>#DIV/0!</v>
      </c>
      <c r="R88" s="284" t="e">
        <f t="shared" si="25"/>
        <v>#DIV/0!</v>
      </c>
      <c r="S88" s="284" t="e">
        <f t="shared" si="25"/>
        <v>#DIV/0!</v>
      </c>
      <c r="T88" s="284" t="e">
        <f t="shared" si="25"/>
        <v>#DIV/0!</v>
      </c>
      <c r="U88" s="284" t="e">
        <f t="shared" si="25"/>
        <v>#DIV/0!</v>
      </c>
      <c r="V88" s="284" t="e">
        <f t="shared" si="25"/>
        <v>#DIV/0!</v>
      </c>
      <c r="W88" s="284" t="e">
        <f t="shared" si="25"/>
        <v>#DIV/0!</v>
      </c>
      <c r="X88" s="284" t="e">
        <f t="shared" si="25"/>
        <v>#DIV/0!</v>
      </c>
      <c r="Y88" s="284" t="e">
        <f t="shared" si="25"/>
        <v>#DIV/0!</v>
      </c>
      <c r="Z88" s="284" t="e">
        <f t="shared" si="25"/>
        <v>#DIV/0!</v>
      </c>
      <c r="AA88" s="284" t="e">
        <f t="shared" si="25"/>
        <v>#DIV/0!</v>
      </c>
      <c r="AB88" s="284" t="e">
        <f t="shared" si="25"/>
        <v>#DIV/0!</v>
      </c>
      <c r="AC88" s="284" t="e">
        <f t="shared" si="25"/>
        <v>#DIV/0!</v>
      </c>
      <c r="AD88" s="284" t="e">
        <f t="shared" si="25"/>
        <v>#DIV/0!</v>
      </c>
      <c r="AE88" s="284" t="e">
        <f t="shared" si="25"/>
        <v>#DIV/0!</v>
      </c>
      <c r="AF88" s="284" t="e">
        <f t="shared" si="25"/>
        <v>#DIV/0!</v>
      </c>
      <c r="AG88" s="284" t="e">
        <f t="shared" si="25"/>
        <v>#DIV/0!</v>
      </c>
      <c r="AH88" s="284" t="e">
        <f t="shared" si="25"/>
        <v>#DIV/0!</v>
      </c>
      <c r="AI88" s="284"/>
    </row>
    <row r="89" spans="1:35" s="67" customFormat="1">
      <c r="A89" s="755" t="s">
        <v>263</v>
      </c>
      <c r="B89" s="58" t="s">
        <v>264</v>
      </c>
      <c r="C89" s="59" t="s">
        <v>153</v>
      </c>
      <c r="D89" s="60">
        <f t="shared" si="26"/>
        <v>18.74215384615384</v>
      </c>
      <c r="E89" s="60" t="e">
        <f t="shared" si="25"/>
        <v>#DIV/0!</v>
      </c>
      <c r="F89" s="60" t="e">
        <f t="shared" si="25"/>
        <v>#DIV/0!</v>
      </c>
      <c r="G89" s="60" t="e">
        <f t="shared" si="25"/>
        <v>#DIV/0!</v>
      </c>
      <c r="H89" s="60" t="e">
        <f t="shared" si="25"/>
        <v>#DIV/0!</v>
      </c>
      <c r="I89" s="60" t="e">
        <f t="shared" si="25"/>
        <v>#DIV/0!</v>
      </c>
      <c r="J89" s="60" t="e">
        <f t="shared" si="25"/>
        <v>#DIV/0!</v>
      </c>
      <c r="K89" s="60" t="e">
        <f t="shared" si="25"/>
        <v>#DIV/0!</v>
      </c>
      <c r="L89" s="60" t="e">
        <f t="shared" si="25"/>
        <v>#DIV/0!</v>
      </c>
      <c r="M89" s="60" t="e">
        <f t="shared" si="25"/>
        <v>#DIV/0!</v>
      </c>
      <c r="N89" s="60" t="e">
        <f t="shared" si="25"/>
        <v>#DIV/0!</v>
      </c>
      <c r="O89" s="60" t="e">
        <f t="shared" si="25"/>
        <v>#DIV/0!</v>
      </c>
      <c r="P89" s="60" t="e">
        <f t="shared" si="25"/>
        <v>#DIV/0!</v>
      </c>
      <c r="Q89" s="60" t="e">
        <f t="shared" si="25"/>
        <v>#DIV/0!</v>
      </c>
      <c r="R89" s="60" t="e">
        <f t="shared" si="25"/>
        <v>#DIV/0!</v>
      </c>
      <c r="S89" s="60" t="e">
        <f t="shared" si="25"/>
        <v>#DIV/0!</v>
      </c>
      <c r="T89" s="60" t="e">
        <f t="shared" si="25"/>
        <v>#DIV/0!</v>
      </c>
      <c r="U89" s="60" t="e">
        <f t="shared" si="25"/>
        <v>#DIV/0!</v>
      </c>
      <c r="V89" s="60" t="e">
        <f t="shared" si="25"/>
        <v>#DIV/0!</v>
      </c>
      <c r="W89" s="60" t="e">
        <f t="shared" si="25"/>
        <v>#DIV/0!</v>
      </c>
      <c r="X89" s="60" t="e">
        <f t="shared" si="25"/>
        <v>#DIV/0!</v>
      </c>
      <c r="Y89" s="60" t="e">
        <f t="shared" si="25"/>
        <v>#DIV/0!</v>
      </c>
      <c r="Z89" s="60" t="e">
        <f t="shared" si="25"/>
        <v>#DIV/0!</v>
      </c>
      <c r="AA89" s="60" t="e">
        <f t="shared" si="25"/>
        <v>#DIV/0!</v>
      </c>
      <c r="AB89" s="60" t="e">
        <f t="shared" si="25"/>
        <v>#DIV/0!</v>
      </c>
      <c r="AC89" s="60" t="e">
        <f t="shared" si="25"/>
        <v>#DIV/0!</v>
      </c>
      <c r="AD89" s="60" t="e">
        <f t="shared" si="25"/>
        <v>#DIV/0!</v>
      </c>
      <c r="AE89" s="60" t="e">
        <f t="shared" si="25"/>
        <v>#DIV/0!</v>
      </c>
      <c r="AF89" s="60" t="e">
        <f t="shared" si="25"/>
        <v>#DIV/0!</v>
      </c>
      <c r="AG89" s="60" t="e">
        <f t="shared" si="25"/>
        <v>#DIV/0!</v>
      </c>
      <c r="AH89" s="60" t="e">
        <f t="shared" si="25"/>
        <v>#DIV/0!</v>
      </c>
      <c r="AI89" s="60"/>
    </row>
    <row r="90" spans="1:35" s="68" customFormat="1">
      <c r="A90" s="757"/>
      <c r="B90" s="62" t="s">
        <v>266</v>
      </c>
      <c r="C90" s="283" t="s">
        <v>153</v>
      </c>
      <c r="D90" s="284">
        <f t="shared" si="26"/>
        <v>15.260538461538461</v>
      </c>
      <c r="E90" s="284">
        <f t="shared" si="25"/>
        <v>15.709329302570225</v>
      </c>
      <c r="F90" s="284">
        <f t="shared" si="25"/>
        <v>16.331092359940463</v>
      </c>
      <c r="G90" s="284">
        <f t="shared" si="25"/>
        <v>17.240532442832659</v>
      </c>
      <c r="H90" s="284">
        <f t="shared" si="25"/>
        <v>16.97667517669365</v>
      </c>
      <c r="I90" s="284">
        <f t="shared" si="25"/>
        <v>17.433746452434292</v>
      </c>
      <c r="J90" s="284">
        <f t="shared" si="25"/>
        <v>17.850183629308784</v>
      </c>
      <c r="K90" s="284">
        <f t="shared" si="25"/>
        <v>18.276250550349275</v>
      </c>
      <c r="L90" s="284">
        <f t="shared" si="25"/>
        <v>18.712165673700223</v>
      </c>
      <c r="M90" s="284">
        <f t="shared" si="25"/>
        <v>19.158152355241864</v>
      </c>
      <c r="N90" s="284">
        <f t="shared" si="25"/>
        <v>19.614438957575835</v>
      </c>
      <c r="O90" s="284">
        <f t="shared" si="25"/>
        <v>19.864572250536568</v>
      </c>
      <c r="P90" s="284">
        <f t="shared" si="25"/>
        <v>20.118125646847702</v>
      </c>
      <c r="Q90" s="284">
        <f t="shared" si="25"/>
        <v>20.375150581331873</v>
      </c>
      <c r="R90" s="284">
        <f t="shared" si="25"/>
        <v>20.635699348407233</v>
      </c>
      <c r="S90" s="284">
        <f t="shared" si="25"/>
        <v>20.89982511786031</v>
      </c>
      <c r="T90" s="284">
        <f t="shared" si="25"/>
        <v>21.152365774998358</v>
      </c>
      <c r="U90" s="284">
        <f t="shared" si="25"/>
        <v>21.408240257603193</v>
      </c>
      <c r="V90" s="284">
        <f t="shared" si="25"/>
        <v>21.667498343248646</v>
      </c>
      <c r="W90" s="284">
        <f t="shared" si="25"/>
        <v>21.930190656696492</v>
      </c>
      <c r="X90" s="284">
        <f t="shared" si="25"/>
        <v>22.196368685914578</v>
      </c>
      <c r="Y90" s="284">
        <f t="shared" si="25"/>
        <v>22.451707120313106</v>
      </c>
      <c r="Z90" s="284">
        <f t="shared" si="25"/>
        <v>22.71032232573344</v>
      </c>
      <c r="AA90" s="284">
        <f t="shared" si="25"/>
        <v>22.972263315786556</v>
      </c>
      <c r="AB90" s="284">
        <f t="shared" si="25"/>
        <v>23.237579959314044</v>
      </c>
      <c r="AC90" s="284">
        <f t="shared" si="25"/>
        <v>23.506322997062</v>
      </c>
      <c r="AD90" s="284">
        <f t="shared" si="25"/>
        <v>23.764917183911862</v>
      </c>
      <c r="AE90" s="284">
        <f t="shared" si="25"/>
        <v>24.026759258054327</v>
      </c>
      <c r="AF90" s="284">
        <f t="shared" si="25"/>
        <v>24.291898280729097</v>
      </c>
      <c r="AG90" s="284">
        <f t="shared" si="25"/>
        <v>24.560384194444552</v>
      </c>
      <c r="AH90" s="284">
        <f t="shared" si="25"/>
        <v>24.832267840663494</v>
      </c>
      <c r="AI90" s="284"/>
    </row>
    <row r="91" spans="1:35">
      <c r="A91" s="298"/>
      <c r="C91" s="5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row>
    <row r="92" spans="1:35" s="67" customFormat="1">
      <c r="A92" s="58" t="s">
        <v>216</v>
      </c>
      <c r="B92" s="58" t="s">
        <v>197</v>
      </c>
      <c r="C92" s="100" t="s">
        <v>153</v>
      </c>
      <c r="D92" s="101">
        <f t="shared" ref="D92" si="27">D33</f>
        <v>89.109936202323638</v>
      </c>
      <c r="E92" s="101">
        <f t="shared" ref="E92:AH92" si="28">E33</f>
        <v>90.357475309156172</v>
      </c>
      <c r="F92" s="101">
        <f t="shared" si="28"/>
        <v>91.622479963484366</v>
      </c>
      <c r="G92" s="101">
        <f t="shared" si="28"/>
        <v>92.905194682973146</v>
      </c>
      <c r="H92" s="101">
        <f t="shared" si="28"/>
        <v>94.205867408534772</v>
      </c>
      <c r="I92" s="101">
        <f t="shared" si="28"/>
        <v>95.524749552254264</v>
      </c>
      <c r="J92" s="101">
        <f t="shared" si="28"/>
        <v>96.862096045985822</v>
      </c>
      <c r="K92" s="101">
        <f t="shared" si="28"/>
        <v>98.218165390629622</v>
      </c>
      <c r="L92" s="101">
        <f t="shared" si="28"/>
        <v>99.593219706098438</v>
      </c>
      <c r="M92" s="101">
        <f t="shared" si="28"/>
        <v>100.98752478198382</v>
      </c>
      <c r="N92" s="101">
        <f t="shared" si="28"/>
        <v>102.4013501289316</v>
      </c>
      <c r="O92" s="101">
        <f t="shared" si="28"/>
        <v>103.83496903073664</v>
      </c>
      <c r="P92" s="101">
        <f t="shared" si="28"/>
        <v>105.28865859716696</v>
      </c>
      <c r="Q92" s="101">
        <f t="shared" si="28"/>
        <v>106.76269981752729</v>
      </c>
      <c r="R92" s="101">
        <f t="shared" si="28"/>
        <v>108.25737761497267</v>
      </c>
      <c r="S92" s="101">
        <f t="shared" si="28"/>
        <v>109.77298090158229</v>
      </c>
      <c r="T92" s="101">
        <f t="shared" si="28"/>
        <v>111.30980263420444</v>
      </c>
      <c r="U92" s="101">
        <f t="shared" si="28"/>
        <v>112.86813987108332</v>
      </c>
      <c r="V92" s="101">
        <f t="shared" si="28"/>
        <v>114.44829382927848</v>
      </c>
      <c r="W92" s="101">
        <f t="shared" si="28"/>
        <v>116.05056994288839</v>
      </c>
      <c r="X92" s="101">
        <f t="shared" si="28"/>
        <v>117.67527792208882</v>
      </c>
      <c r="Y92" s="101">
        <f t="shared" si="28"/>
        <v>119.32273181299807</v>
      </c>
      <c r="Z92" s="101">
        <f t="shared" si="28"/>
        <v>120.99325005838004</v>
      </c>
      <c r="AA92" s="101">
        <f t="shared" si="28"/>
        <v>122.68715555919736</v>
      </c>
      <c r="AB92" s="101">
        <f t="shared" si="28"/>
        <v>124.40477573702613</v>
      </c>
      <c r="AC92" s="101">
        <f t="shared" si="28"/>
        <v>126.14644259734449</v>
      </c>
      <c r="AD92" s="101">
        <f t="shared" si="28"/>
        <v>127.91249279370732</v>
      </c>
      <c r="AE92" s="101">
        <f t="shared" si="28"/>
        <v>129.70326769281922</v>
      </c>
      <c r="AF92" s="101">
        <f t="shared" si="28"/>
        <v>131.51911344051871</v>
      </c>
      <c r="AG92" s="101">
        <f t="shared" si="28"/>
        <v>133.36038102868596</v>
      </c>
      <c r="AH92" s="101">
        <f t="shared" si="28"/>
        <v>135.22742636308757</v>
      </c>
    </row>
    <row r="93" spans="1:35" outlineLevel="1">
      <c r="A93"/>
      <c r="B93" t="s">
        <v>217</v>
      </c>
      <c r="C93" s="54" t="s">
        <v>153</v>
      </c>
      <c r="D93" s="44">
        <f>0</f>
        <v>0</v>
      </c>
      <c r="E93" s="44">
        <f>'Ethylene Recycling HC'!D67*'Ethylene Recycling HC'!D45-'Ethylene Recycling HC'!$C$67*'Ethylene Recycling HC'!$C$45</f>
        <v>0.52576861374702411</v>
      </c>
      <c r="F93" s="44">
        <f>'Ethylene Recycling HC'!E67*'Ethylene Recycling HC'!E45-'Ethylene Recycling HC'!$C$67*'Ethylene Recycling HC'!$C$45</f>
        <v>1.0628748798461967</v>
      </c>
      <c r="G93" s="44">
        <f>'Ethylene Recycling HC'!F67*'Ethylene Recycling HC'!F45-'Ethylene Recycling HC'!$C$67*'Ethylene Recycling HC'!$C$45</f>
        <v>1.6081134608716807</v>
      </c>
      <c r="H93" s="44">
        <f>'Ethylene Recycling HC'!G67*'Ethylene Recycling HC'!G45-'Ethylene Recycling HC'!$C$67*'Ethylene Recycling HC'!$C$45</f>
        <v>2.1580586281269145</v>
      </c>
      <c r="I93" s="44">
        <f>'Ethylene Recycling HC'!H67*'Ethylene Recycling HC'!H45-'Ethylene Recycling HC'!$C$67*'Ethylene Recycling HC'!$C$45</f>
        <v>2.7090992000438421</v>
      </c>
      <c r="J93" s="44">
        <f>'Ethylene Recycling HC'!I67*'Ethylene Recycling HC'!I45-'Ethylene Recycling HC'!$C$67*'Ethylene Recycling HC'!$C$45</f>
        <v>3.2756931326989269</v>
      </c>
      <c r="K93" s="44">
        <f>'Ethylene Recycling HC'!J67*'Ethylene Recycling HC'!J45-'Ethylene Recycling HC'!$C$67*'Ethylene Recycling HC'!$C$45</f>
        <v>3.8575900217291279</v>
      </c>
      <c r="L93" s="44">
        <f>'Ethylene Recycling HC'!K67*'Ethylene Recycling HC'!K45-'Ethylene Recycling HC'!$C$67*'Ethylene Recycling HC'!$C$45</f>
        <v>4.4545038184271641</v>
      </c>
      <c r="M93" s="44">
        <f>'Ethylene Recycling HC'!L67*'Ethylene Recycling HC'!L45-'Ethylene Recycling HC'!$C$67*'Ethylene Recycling HC'!$C$45</f>
        <v>5.0661124889505915</v>
      </c>
      <c r="N93" s="44">
        <f>'Ethylene Recycling HC'!M67*'Ethylene Recycling HC'!M45-'Ethylene Recycling HC'!$C$67*'Ethylene Recycling HC'!$C$45</f>
        <v>5.6920577659921028</v>
      </c>
      <c r="O93" s="44">
        <f>'Ethylene Recycling HC'!N67*'Ethylene Recycling HC'!N45-'Ethylene Recycling HC'!$C$67*'Ethylene Recycling HC'!$C$45</f>
        <v>6.7212217785967683</v>
      </c>
      <c r="P93" s="44">
        <f>'Ethylene Recycling HC'!O67*'Ethylene Recycling HC'!O45-'Ethylene Recycling HC'!$C$67*'Ethylene Recycling HC'!$C$45</f>
        <v>7.7561886524532033</v>
      </c>
      <c r="Q93" s="44">
        <f>'Ethylene Recycling HC'!P67*'Ethylene Recycling HC'!P45-'Ethylene Recycling HC'!$C$67*'Ethylene Recycling HC'!$C$45</f>
        <v>8.7915604638491125</v>
      </c>
      <c r="R93" s="44">
        <f>'Ethylene Recycling HC'!Q67*'Ethylene Recycling HC'!Q45-'Ethylene Recycling HC'!$C$67*'Ethylene Recycling HC'!$C$45</f>
        <v>9.8217861757934202</v>
      </c>
      <c r="S93" s="44">
        <f>'Ethylene Recycling HC'!R67*'Ethylene Recycling HC'!R45-'Ethylene Recycling HC'!$C$67*'Ethylene Recycling HC'!$C$45</f>
        <v>10.841210107814128</v>
      </c>
      <c r="T93" s="44">
        <f>'Ethylene Recycling HC'!S67*'Ethylene Recycling HC'!S45-'Ethylene Recycling HC'!$C$67*'Ethylene Recycling HC'!$C$45</f>
        <v>11.874804724980738</v>
      </c>
      <c r="U93" s="44">
        <f>'Ethylene Recycling HC'!T67*'Ethylene Recycling HC'!T45-'Ethylene Recycling HC'!$C$67*'Ethylene Recycling HC'!$C$45</f>
        <v>12.922405752557005</v>
      </c>
      <c r="V93" s="44">
        <f>'Ethylene Recycling HC'!U67*'Ethylene Recycling HC'!U45-'Ethylene Recycling HC'!$C$67*'Ethylene Recycling HC'!$C$45</f>
        <v>13.98384021835923</v>
      </c>
      <c r="W93" s="44">
        <f>'Ethylene Recycling HC'!V67*'Ethylene Recycling HC'!V45-'Ethylene Recycling HC'!$C$67*'Ethylene Recycling HC'!$C$45</f>
        <v>15.058926447006826</v>
      </c>
      <c r="X93" s="44">
        <f>'Ethylene Recycling HC'!W67*'Ethylene Recycling HC'!W45-'Ethylene Recycling HC'!$C$67*'Ethylene Recycling HC'!$C$45</f>
        <v>16.147474060294684</v>
      </c>
      <c r="Y93" s="44">
        <f>'Ethylene Recycling HC'!X67*'Ethylene Recycling HC'!X45-'Ethylene Recycling HC'!$C$67*'Ethylene Recycling HC'!$C$45</f>
        <v>17.97281920238575</v>
      </c>
      <c r="Z93" s="44">
        <f>'Ethylene Recycling HC'!Y67*'Ethylene Recycling HC'!Y45-'Ethylene Recycling HC'!$C$67*'Ethylene Recycling HC'!$C$45</f>
        <v>19.822562357572394</v>
      </c>
      <c r="AA93" s="44">
        <f>'Ethylene Recycling HC'!Z67*'Ethylene Recycling HC'!Z45-'Ethylene Recycling HC'!$C$67*'Ethylene Recycling HC'!$C$45</f>
        <v>21.696421571130113</v>
      </c>
      <c r="AB93" s="44">
        <f>'Ethylene Recycling HC'!AA67*'Ethylene Recycling HC'!AA45-'Ethylene Recycling HC'!$C$67*'Ethylene Recycling HC'!$C$45</f>
        <v>23.594101242412371</v>
      </c>
      <c r="AC93" s="44">
        <f>'Ethylene Recycling HC'!AB67*'Ethylene Recycling HC'!AB45-'Ethylene Recycling HC'!$C$67*'Ethylene Recycling HC'!$C$45</f>
        <v>25.515292128384424</v>
      </c>
      <c r="AD93" s="44">
        <f>'Ethylene Recycling HC'!AC67*'Ethylene Recycling HC'!AC45-'Ethylene Recycling HC'!$C$67*'Ethylene Recycling HC'!$C$45</f>
        <v>27.459979992306241</v>
      </c>
      <c r="AE93" s="44">
        <f>'Ethylene Recycling HC'!AD67*'Ethylene Recycling HC'!AD45-'Ethylene Recycling HC'!$C$67*'Ethylene Recycling HC'!$C$45</f>
        <v>29.427884590699183</v>
      </c>
      <c r="AF93" s="44">
        <f>'Ethylene Recycling HC'!AE67*'Ethylene Recycling HC'!AE45-'Ethylene Recycling HC'!$C$67*'Ethylene Recycling HC'!$C$45</f>
        <v>31.418713489510719</v>
      </c>
      <c r="AG93" s="44">
        <f>'Ethylene Recycling HC'!AF67*'Ethylene Recycling HC'!AF45-'Ethylene Recycling HC'!$C$67*'Ethylene Recycling HC'!$C$45</f>
        <v>33.432162074702688</v>
      </c>
      <c r="AH93" s="44">
        <f>'Ethylene Recycling HC'!AG67*'Ethylene Recycling HC'!AG45-'Ethylene Recycling HC'!$C$67*'Ethylene Recycling HC'!$C$45</f>
        <v>35.467913570100137</v>
      </c>
    </row>
    <row r="94" spans="1:35" outlineLevel="1">
      <c r="A94"/>
      <c r="B94" s="181" t="s">
        <v>218</v>
      </c>
      <c r="C94" s="54" t="s">
        <v>153</v>
      </c>
      <c r="D94" s="44">
        <f>0</f>
        <v>0</v>
      </c>
      <c r="E94" s="44">
        <f>'Ethylene Recycling HC'!D127*'Ethylene Recycling HC'!D46-'Ethylene Recycling HC'!$C$127*'Ethylene Recycling HC'!$C$46</f>
        <v>1.8700648518153269E-3</v>
      </c>
      <c r="F94" s="44">
        <f>'Ethylene Recycling HC'!E127*'Ethylene Recycling HC'!E46-'Ethylene Recycling HC'!$C$127*'Ethylene Recycling HC'!$C$46</f>
        <v>3.7152470000596767E-3</v>
      </c>
      <c r="G94" s="44">
        <f>'Ethylene Recycling HC'!F127*'Ethylene Recycling HC'!F46-'Ethylene Recycling HC'!$C$127*'Ethylene Recycling HC'!$C$46</f>
        <v>5.51656191653858E-3</v>
      </c>
      <c r="H94" s="44">
        <f>'Ethylene Recycling HC'!G127*'Ethylene Recycling HC'!G46-'Ethylene Recycling HC'!$C$127*'Ethylene Recycling HC'!$C$46</f>
        <v>7.2552059166358209E-3</v>
      </c>
      <c r="I94" s="44">
        <f>'Ethylene Recycling HC'!H127*'Ethylene Recycling HC'!H46-'Ethylene Recycling HC'!$C$127*'Ethylene Recycling HC'!$C$46</f>
        <v>8.912850768403667E-3</v>
      </c>
      <c r="J94" s="44">
        <f>'Ethylene Recycling HC'!I127*'Ethylene Recycling HC'!I46-'Ethylene Recycling HC'!$C$127*'Ethylene Recycling HC'!$C$46</f>
        <v>1.0510391527087427E-2</v>
      </c>
      <c r="K94" s="44">
        <f>'Ethylene Recycling HC'!J127*'Ethylene Recycling HC'!J46-'Ethylene Recycling HC'!$C$127*'Ethylene Recycling HC'!$C$46</f>
        <v>1.2040884693431456E-2</v>
      </c>
      <c r="L94" s="44">
        <f>'Ethylene Recycling HC'!K127*'Ethylene Recycling HC'!K46-'Ethylene Recycling HC'!$C$127*'Ethylene Recycling HC'!$C$46</f>
        <v>1.3497365193705577E-2</v>
      </c>
      <c r="M94" s="44">
        <f>'Ethylene Recycling HC'!L127*'Ethylene Recycling HC'!L46-'Ethylene Recycling HC'!$C$127*'Ethylene Recycling HC'!$C$46</f>
        <v>1.4872868177446073E-2</v>
      </c>
      <c r="N94" s="44">
        <f>'Ethylene Recycling HC'!M127*'Ethylene Recycling HC'!M46-'Ethylene Recycling HC'!$C$127*'Ethylene Recycling HC'!$C$46</f>
        <v>1.6160451408523475E-2</v>
      </c>
      <c r="O94" s="44">
        <f>'Ethylene Recycling HC'!N127*'Ethylene Recycling HC'!N46-'Ethylene Recycling HC'!$C$127*'Ethylene Recycling HC'!$C$46</f>
        <v>1.9140141079746712E-2</v>
      </c>
      <c r="P94" s="44">
        <f>'Ethylene Recycling HC'!O127*'Ethylene Recycling HC'!O46-'Ethylene Recycling HC'!$C$127*'Ethylene Recycling HC'!$C$46</f>
        <v>2.1891074361714016E-2</v>
      </c>
      <c r="Q94" s="44">
        <f>'Ethylene Recycling HC'!P127*'Ethylene Recycling HC'!P46-'Ethylene Recycling HC'!$C$127*'Ethylene Recycling HC'!$C$46</f>
        <v>2.4452189636349597E-2</v>
      </c>
      <c r="R94" s="44">
        <f>'Ethylene Recycling HC'!Q127*'Ethylene Recycling HC'!Q46-'Ethylene Recycling HC'!$C$127*'Ethylene Recycling HC'!$C$46</f>
        <v>2.6746674247840642E-2</v>
      </c>
      <c r="S94" s="44">
        <f>'Ethylene Recycling HC'!R127*'Ethylene Recycling HC'!R46-'Ethylene Recycling HC'!$C$127*'Ethylene Recycling HC'!$C$46</f>
        <v>2.8753159376217897E-2</v>
      </c>
      <c r="T94" s="44">
        <f>'Ethylene Recycling HC'!S127*'Ethylene Recycling HC'!S46-'Ethylene Recycling HC'!$C$127*'Ethylene Recycling HC'!$C$46</f>
        <v>3.052113547411392E-2</v>
      </c>
      <c r="U94" s="44">
        <f>'Ethylene Recycling HC'!T127*'Ethylene Recycling HC'!T46-'Ethylene Recycling HC'!$C$127*'Ethylene Recycling HC'!$C$46</f>
        <v>3.204295860801841E-2</v>
      </c>
      <c r="V94" s="44">
        <f>'Ethylene Recycling HC'!U127*'Ethylene Recycling HC'!U46-'Ethylene Recycling HC'!$C$127*'Ethylene Recycling HC'!$C$46</f>
        <v>3.3311037091111689E-2</v>
      </c>
      <c r="W94" s="44">
        <f>'Ethylene Recycling HC'!V127*'Ethylene Recycling HC'!V46-'Ethylene Recycling HC'!$C$127*'Ethylene Recycling HC'!$C$46</f>
        <v>3.4317839015125813E-2</v>
      </c>
      <c r="X94" s="44">
        <f>'Ethylene Recycling HC'!W127*'Ethylene Recycling HC'!W46-'Ethylene Recycling HC'!$C$127*'Ethylene Recycling HC'!$C$46</f>
        <v>3.5055899845365918E-2</v>
      </c>
      <c r="Y94" s="44">
        <f>'Ethylene Recycling HC'!X127*'Ethylene Recycling HC'!X46-'Ethylene Recycling HC'!$C$127*'Ethylene Recycling HC'!$C$46</f>
        <v>3.7154310539765825E-2</v>
      </c>
      <c r="Z94" s="44">
        <f>'Ethylene Recycling HC'!Y127*'Ethylene Recycling HC'!Y46-'Ethylene Recycling HC'!$C$127*'Ethylene Recycling HC'!$C$46</f>
        <v>3.8807192589725897E-2</v>
      </c>
      <c r="AA94" s="44">
        <f>'Ethylene Recycling HC'!Z127*'Ethylene Recycling HC'!Z46-'Ethylene Recycling HC'!$C$127*'Ethylene Recycling HC'!$C$46</f>
        <v>4.014131808813836E-2</v>
      </c>
      <c r="AB94" s="44">
        <f>'Ethylene Recycling HC'!AA127*'Ethylene Recycling HC'!AA46-'Ethylene Recycling HC'!$C$127*'Ethylene Recycling HC'!$C$46</f>
        <v>4.1009265430239097E-2</v>
      </c>
      <c r="AC94" s="44">
        <f>'Ethylene Recycling HC'!AB127*'Ethylene Recycling HC'!AB46-'Ethylene Recycling HC'!$C$127*'Ethylene Recycling HC'!$C$46</f>
        <v>4.1394793011835795E-2</v>
      </c>
      <c r="AD94" s="44">
        <f>'Ethylene Recycling HC'!AC127*'Ethylene Recycling HC'!AC46-'Ethylene Recycling HC'!$C$127*'Ethylene Recycling HC'!$C$46</f>
        <v>4.1282152574702802E-2</v>
      </c>
      <c r="AE94" s="44">
        <f>'Ethylene Recycling HC'!AD127*'Ethylene Recycling HC'!AD46-'Ethylene Recycling HC'!$C$127*'Ethylene Recycling HC'!$C$46</f>
        <v>4.065516731229752E-2</v>
      </c>
      <c r="AF94" s="44">
        <f>'Ethylene Recycling HC'!AE127*'Ethylene Recycling HC'!AE46-'Ethylene Recycling HC'!$C$127*'Ethylene Recycling HC'!$C$46</f>
        <v>3.9497693827405179E-2</v>
      </c>
      <c r="AG94" s="44">
        <f>'Ethylene Recycling HC'!AF127*'Ethylene Recycling HC'!AF46-'Ethylene Recycling HC'!$C$127*'Ethylene Recycling HC'!$C$46</f>
        <v>3.779363586296533E-2</v>
      </c>
      <c r="AH94" s="44">
        <f>'Ethylene Recycling HC'!AG127*'Ethylene Recycling HC'!AG46-'Ethylene Recycling HC'!$C$127*'Ethylene Recycling HC'!$C$46</f>
        <v>3.5526958224594972E-2</v>
      </c>
    </row>
    <row r="95" spans="1:35" s="68" customFormat="1">
      <c r="A95" s="62"/>
      <c r="B95" s="62" t="s">
        <v>219</v>
      </c>
      <c r="C95" s="63" t="s">
        <v>153</v>
      </c>
      <c r="D95" s="64">
        <f t="shared" ref="D95:AG95" si="29">D92-D93-D94</f>
        <v>89.109936202323638</v>
      </c>
      <c r="E95" s="64">
        <f>E92-E93-E94</f>
        <v>89.829836630557338</v>
      </c>
      <c r="F95" s="64">
        <f t="shared" si="29"/>
        <v>90.555889836638116</v>
      </c>
      <c r="G95" s="64">
        <f t="shared" si="29"/>
        <v>91.291564660184932</v>
      </c>
      <c r="H95" s="64">
        <f t="shared" si="29"/>
        <v>92.040553574491227</v>
      </c>
      <c r="I95" s="64">
        <f t="shared" si="29"/>
        <v>92.806737501442029</v>
      </c>
      <c r="J95" s="64">
        <f t="shared" si="29"/>
        <v>93.575892521759798</v>
      </c>
      <c r="K95" s="64">
        <f t="shared" si="29"/>
        <v>94.348534484207065</v>
      </c>
      <c r="L95" s="64">
        <f t="shared" si="29"/>
        <v>95.125218522477567</v>
      </c>
      <c r="M95" s="64">
        <f t="shared" si="29"/>
        <v>95.906539424855779</v>
      </c>
      <c r="N95" s="64">
        <f t="shared" si="29"/>
        <v>96.693131911530969</v>
      </c>
      <c r="O95" s="64">
        <f t="shared" si="29"/>
        <v>97.094607111060128</v>
      </c>
      <c r="P95" s="64">
        <f t="shared" si="29"/>
        <v>97.510578870352035</v>
      </c>
      <c r="Q95" s="64">
        <f t="shared" si="29"/>
        <v>97.946687164041833</v>
      </c>
      <c r="R95" s="64">
        <f t="shared" si="29"/>
        <v>98.408844764931402</v>
      </c>
      <c r="S95" s="64">
        <f t="shared" si="29"/>
        <v>98.903017634391929</v>
      </c>
      <c r="T95" s="64">
        <f t="shared" si="29"/>
        <v>99.404476773749593</v>
      </c>
      <c r="U95" s="64">
        <f t="shared" si="29"/>
        <v>99.913691159918287</v>
      </c>
      <c r="V95" s="64">
        <f t="shared" si="29"/>
        <v>100.43114257382814</v>
      </c>
      <c r="W95" s="64">
        <f t="shared" si="29"/>
        <v>100.95732565686643</v>
      </c>
      <c r="X95" s="64">
        <f t="shared" si="29"/>
        <v>101.49274796194878</v>
      </c>
      <c r="Y95" s="64">
        <f t="shared" si="29"/>
        <v>101.31275830007256</v>
      </c>
      <c r="Z95" s="64">
        <f t="shared" si="29"/>
        <v>101.13188050821792</v>
      </c>
      <c r="AA95" s="64">
        <f t="shared" si="29"/>
        <v>100.95059266997912</v>
      </c>
      <c r="AB95" s="64">
        <f t="shared" si="29"/>
        <v>100.76966522918352</v>
      </c>
      <c r="AC95" s="64">
        <f t="shared" si="29"/>
        <v>100.58975567594824</v>
      </c>
      <c r="AD95" s="64">
        <f t="shared" si="29"/>
        <v>100.41123064882636</v>
      </c>
      <c r="AE95" s="64">
        <f t="shared" si="29"/>
        <v>100.23472793480775</v>
      </c>
      <c r="AF95" s="64">
        <f t="shared" si="29"/>
        <v>100.06090225718059</v>
      </c>
      <c r="AG95" s="64">
        <f t="shared" si="29"/>
        <v>99.890425318120307</v>
      </c>
      <c r="AH95" s="64">
        <f>AH92-AH93-AH94</f>
        <v>99.723985834762843</v>
      </c>
      <c r="AI95"/>
    </row>
    <row r="96" spans="1:35" s="67" customFormat="1">
      <c r="A96" s="755" t="s">
        <v>257</v>
      </c>
      <c r="B96" s="58" t="s">
        <v>258</v>
      </c>
      <c r="C96" s="59" t="s">
        <v>153</v>
      </c>
      <c r="D96" s="60">
        <f>D34-('Ethylene Recycling HC'!C76+'Ethylene Recycling HC'!C143-'Ethylene Recycling HC'!$C$76-'Ethylene Recycling HC'!$C$143)</f>
        <v>74.910171646535289</v>
      </c>
      <c r="E96" s="60" t="e">
        <f>E34-('Ethylene Recycling HC'!D76+'Ethylene Recycling HC'!D143-'Ethylene Recycling HC'!$C$76-'Ethylene Recycling HC'!$C$143)</f>
        <v>#DIV/0!</v>
      </c>
      <c r="F96" s="60" t="e">
        <f>F34-('Ethylene Recycling HC'!E76+'Ethylene Recycling HC'!E143-'Ethylene Recycling HC'!$C$76-'Ethylene Recycling HC'!$C$143)</f>
        <v>#DIV/0!</v>
      </c>
      <c r="G96" s="60" t="e">
        <f>G34-('Ethylene Recycling HC'!F76+'Ethylene Recycling HC'!F143-'Ethylene Recycling HC'!$C$76-'Ethylene Recycling HC'!$C$143)</f>
        <v>#DIV/0!</v>
      </c>
      <c r="H96" s="60" t="e">
        <f>H34-('Ethylene Recycling HC'!G76+'Ethylene Recycling HC'!G143-'Ethylene Recycling HC'!$C$76-'Ethylene Recycling HC'!$C$143)</f>
        <v>#DIV/0!</v>
      </c>
      <c r="I96" s="60" t="e">
        <f>I34-('Ethylene Recycling HC'!H76+'Ethylene Recycling HC'!H143-'Ethylene Recycling HC'!$C$76-'Ethylene Recycling HC'!$C$143)</f>
        <v>#DIV/0!</v>
      </c>
      <c r="J96" s="60" t="e">
        <f>J34-('Ethylene Recycling HC'!I76+'Ethylene Recycling HC'!I143-'Ethylene Recycling HC'!$C$76-'Ethylene Recycling HC'!$C$143)</f>
        <v>#DIV/0!</v>
      </c>
      <c r="K96" s="60" t="e">
        <f>K34-('Ethylene Recycling HC'!J76+'Ethylene Recycling HC'!J143-'Ethylene Recycling HC'!$C$76-'Ethylene Recycling HC'!$C$143)</f>
        <v>#DIV/0!</v>
      </c>
      <c r="L96" s="60" t="e">
        <f>L34-('Ethylene Recycling HC'!K76+'Ethylene Recycling HC'!K143-'Ethylene Recycling HC'!$C$76-'Ethylene Recycling HC'!$C$143)</f>
        <v>#DIV/0!</v>
      </c>
      <c r="M96" s="60" t="e">
        <f>M34-('Ethylene Recycling HC'!L76+'Ethylene Recycling HC'!L143-'Ethylene Recycling HC'!$C$76-'Ethylene Recycling HC'!$C$143)</f>
        <v>#DIV/0!</v>
      </c>
      <c r="N96" s="60" t="e">
        <f>N34-('Ethylene Recycling HC'!M76+'Ethylene Recycling HC'!M143-'Ethylene Recycling HC'!$C$76-'Ethylene Recycling HC'!$C$143)</f>
        <v>#DIV/0!</v>
      </c>
      <c r="O96" s="60" t="e">
        <f>O34-('Ethylene Recycling HC'!N76+'Ethylene Recycling HC'!N143-'Ethylene Recycling HC'!$C$76-'Ethylene Recycling HC'!$C$143)</f>
        <v>#DIV/0!</v>
      </c>
      <c r="P96" s="60" t="e">
        <f>P34-('Ethylene Recycling HC'!O76+'Ethylene Recycling HC'!O143-'Ethylene Recycling HC'!$C$76-'Ethylene Recycling HC'!$C$143)</f>
        <v>#DIV/0!</v>
      </c>
      <c r="Q96" s="60" t="e">
        <f>Q34-('Ethylene Recycling HC'!P76+'Ethylene Recycling HC'!P143-'Ethylene Recycling HC'!$C$76-'Ethylene Recycling HC'!$C$143)</f>
        <v>#DIV/0!</v>
      </c>
      <c r="R96" s="60" t="e">
        <f>R34-('Ethylene Recycling HC'!Q76+'Ethylene Recycling HC'!Q143-'Ethylene Recycling HC'!$C$76-'Ethylene Recycling HC'!$C$143)</f>
        <v>#DIV/0!</v>
      </c>
      <c r="S96" s="60" t="e">
        <f>S34-('Ethylene Recycling HC'!R76+'Ethylene Recycling HC'!R143-'Ethylene Recycling HC'!$C$76-'Ethylene Recycling HC'!$C$143)</f>
        <v>#DIV/0!</v>
      </c>
      <c r="T96" s="60" t="e">
        <f>T34-('Ethylene Recycling HC'!S76+'Ethylene Recycling HC'!S143-'Ethylene Recycling HC'!$C$76-'Ethylene Recycling HC'!$C$143)</f>
        <v>#DIV/0!</v>
      </c>
      <c r="U96" s="60" t="e">
        <f>U34-('Ethylene Recycling HC'!T76+'Ethylene Recycling HC'!T143-'Ethylene Recycling HC'!$C$76-'Ethylene Recycling HC'!$C$143)</f>
        <v>#DIV/0!</v>
      </c>
      <c r="V96" s="60" t="e">
        <f>V34-('Ethylene Recycling HC'!U76+'Ethylene Recycling HC'!U143-'Ethylene Recycling HC'!$C$76-'Ethylene Recycling HC'!$C$143)</f>
        <v>#DIV/0!</v>
      </c>
      <c r="W96" s="60" t="e">
        <f>W34-('Ethylene Recycling HC'!V76+'Ethylene Recycling HC'!V143-'Ethylene Recycling HC'!$C$76-'Ethylene Recycling HC'!$C$143)</f>
        <v>#DIV/0!</v>
      </c>
      <c r="X96" s="60" t="e">
        <f>X34-('Ethylene Recycling HC'!W76+'Ethylene Recycling HC'!W143-'Ethylene Recycling HC'!$C$76-'Ethylene Recycling HC'!$C$143)</f>
        <v>#DIV/0!</v>
      </c>
      <c r="Y96" s="60" t="e">
        <f>Y34-('Ethylene Recycling HC'!X76+'Ethylene Recycling HC'!X143-'Ethylene Recycling HC'!$C$76-'Ethylene Recycling HC'!$C$143)</f>
        <v>#DIV/0!</v>
      </c>
      <c r="Z96" s="60" t="e">
        <f>Z34-('Ethylene Recycling HC'!Y76+'Ethylene Recycling HC'!Y143-'Ethylene Recycling HC'!$C$76-'Ethylene Recycling HC'!$C$143)</f>
        <v>#DIV/0!</v>
      </c>
      <c r="AA96" s="60" t="e">
        <f>AA34-('Ethylene Recycling HC'!Z76+'Ethylene Recycling HC'!Z143-'Ethylene Recycling HC'!$C$76-'Ethylene Recycling HC'!$C$143)</f>
        <v>#DIV/0!</v>
      </c>
      <c r="AB96" s="60" t="e">
        <f>AB34-('Ethylene Recycling HC'!AA76+'Ethylene Recycling HC'!AA143-'Ethylene Recycling HC'!$C$76-'Ethylene Recycling HC'!$C$143)</f>
        <v>#DIV/0!</v>
      </c>
      <c r="AC96" s="60" t="e">
        <f>AC34-('Ethylene Recycling HC'!AB76+'Ethylene Recycling HC'!AB143-'Ethylene Recycling HC'!$C$76-'Ethylene Recycling HC'!$C$143)</f>
        <v>#DIV/0!</v>
      </c>
      <c r="AD96" s="60" t="e">
        <f>AD34-('Ethylene Recycling HC'!AC76+'Ethylene Recycling HC'!AC143-'Ethylene Recycling HC'!$C$76-'Ethylene Recycling HC'!$C$143)</f>
        <v>#DIV/0!</v>
      </c>
      <c r="AE96" s="60" t="e">
        <f>AE34-('Ethylene Recycling HC'!AD76+'Ethylene Recycling HC'!AD143-'Ethylene Recycling HC'!$C$76-'Ethylene Recycling HC'!$C$143)</f>
        <v>#DIV/0!</v>
      </c>
      <c r="AF96" s="60" t="e">
        <f>AF34-('Ethylene Recycling HC'!AE76+'Ethylene Recycling HC'!AE143-'Ethylene Recycling HC'!$C$76-'Ethylene Recycling HC'!$C$143)</f>
        <v>#DIV/0!</v>
      </c>
      <c r="AG96" s="60" t="e">
        <f>AG34-('Ethylene Recycling HC'!AF76+'Ethylene Recycling HC'!AF143-'Ethylene Recycling HC'!$C$76-'Ethylene Recycling HC'!$C$143)</f>
        <v>#DIV/0!</v>
      </c>
      <c r="AH96" s="60" t="e">
        <f>AH34-('Ethylene Recycling HC'!AG76+'Ethylene Recycling HC'!AG143-'Ethylene Recycling HC'!$C$76-'Ethylene Recycling HC'!$C$143)</f>
        <v>#DIV/0!</v>
      </c>
      <c r="AI96" s="44"/>
    </row>
    <row r="97" spans="1:35">
      <c r="A97" s="756"/>
      <c r="B97" s="1" t="s">
        <v>260</v>
      </c>
      <c r="C97" s="54" t="s">
        <v>153</v>
      </c>
      <c r="D97" s="44">
        <f>D35+(D101-D39)</f>
        <v>10.180685222672066</v>
      </c>
      <c r="E97" s="44">
        <f t="shared" ref="E97:AH97" si="30">E35+(E101-E39)</f>
        <v>10.289664530824684</v>
      </c>
      <c r="F97" s="44">
        <f t="shared" si="30"/>
        <v>10.400659641030863</v>
      </c>
      <c r="G97" s="44">
        <f t="shared" si="30"/>
        <v>10.513949343671403</v>
      </c>
      <c r="H97" s="44">
        <f t="shared" si="30"/>
        <v>10.629818038627954</v>
      </c>
      <c r="I97" s="44">
        <f t="shared" si="30"/>
        <v>10.748552489162908</v>
      </c>
      <c r="J97" s="44">
        <f t="shared" si="30"/>
        <v>10.869206810463579</v>
      </c>
      <c r="K97" s="44">
        <f t="shared" si="30"/>
        <v>10.991863766373019</v>
      </c>
      <c r="L97" s="44">
        <f t="shared" si="30"/>
        <v>11.116608105136137</v>
      </c>
      <c r="M97" s="44">
        <f t="shared" si="30"/>
        <v>11.243526448035393</v>
      </c>
      <c r="N97" s="44">
        <f t="shared" si="30"/>
        <v>11.372707170545661</v>
      </c>
      <c r="O97" s="44">
        <f t="shared" si="30"/>
        <v>11.479441526553686</v>
      </c>
      <c r="P97" s="44">
        <f t="shared" si="30"/>
        <v>11.589713716346013</v>
      </c>
      <c r="Q97" s="44">
        <f t="shared" si="30"/>
        <v>11.703904887661334</v>
      </c>
      <c r="R97" s="44">
        <f t="shared" si="30"/>
        <v>11.822389144512055</v>
      </c>
      <c r="S97" s="44">
        <f t="shared" si="30"/>
        <v>11.945530018579266</v>
      </c>
      <c r="T97" s="44">
        <f t="shared" si="30"/>
        <v>12.0718424322122</v>
      </c>
      <c r="U97" s="44">
        <f t="shared" si="30"/>
        <v>12.201403268803846</v>
      </c>
      <c r="V97" s="44">
        <f t="shared" si="30"/>
        <v>12.334289879385882</v>
      </c>
      <c r="W97" s="44">
        <f t="shared" si="30"/>
        <v>12.470580055597422</v>
      </c>
      <c r="X97" s="44">
        <f t="shared" si="30"/>
        <v>12.610352002372997</v>
      </c>
      <c r="Y97" s="44">
        <f t="shared" si="30"/>
        <v>12.7132508599347</v>
      </c>
      <c r="Z97" s="44">
        <f t="shared" si="30"/>
        <v>12.820295815610645</v>
      </c>
      <c r="AA97" s="44">
        <f t="shared" si="30"/>
        <v>12.931596324492403</v>
      </c>
      <c r="AB97" s="44">
        <f t="shared" si="30"/>
        <v>13.047262206580982</v>
      </c>
      <c r="AC97" s="44">
        <f t="shared" si="30"/>
        <v>13.167403600465354</v>
      </c>
      <c r="AD97" s="44">
        <f t="shared" si="30"/>
        <v>13.292114876078081</v>
      </c>
      <c r="AE97" s="44">
        <f t="shared" si="30"/>
        <v>13.421504514243104</v>
      </c>
      <c r="AF97" s="44">
        <f t="shared" si="30"/>
        <v>13.555681279529237</v>
      </c>
      <c r="AG97" s="44">
        <f t="shared" si="30"/>
        <v>13.694754179694632</v>
      </c>
      <c r="AH97" s="44">
        <f t="shared" si="30"/>
        <v>13.838832424933303</v>
      </c>
      <c r="AI97" s="44"/>
    </row>
    <row r="98" spans="1:35">
      <c r="A98" s="756"/>
      <c r="B98" s="1" t="s">
        <v>262</v>
      </c>
      <c r="C98" s="54" t="s">
        <v>153</v>
      </c>
      <c r="D98" s="44">
        <f>D36+(D100-D38)</f>
        <v>2.502958579881656</v>
      </c>
      <c r="E98" s="44" t="e">
        <f t="shared" ref="E98:AH98" si="31">E36+(E100-E38)</f>
        <v>#DIV/0!</v>
      </c>
      <c r="F98" s="44" t="e">
        <f t="shared" si="31"/>
        <v>#DIV/0!</v>
      </c>
      <c r="G98" s="44" t="e">
        <f t="shared" si="31"/>
        <v>#DIV/0!</v>
      </c>
      <c r="H98" s="44" t="e">
        <f t="shared" si="31"/>
        <v>#DIV/0!</v>
      </c>
      <c r="I98" s="44" t="e">
        <f t="shared" si="31"/>
        <v>#DIV/0!</v>
      </c>
      <c r="J98" s="44" t="e">
        <f t="shared" si="31"/>
        <v>#DIV/0!</v>
      </c>
      <c r="K98" s="44" t="e">
        <f t="shared" si="31"/>
        <v>#DIV/0!</v>
      </c>
      <c r="L98" s="44" t="e">
        <f t="shared" si="31"/>
        <v>#DIV/0!</v>
      </c>
      <c r="M98" s="44" t="e">
        <f t="shared" si="31"/>
        <v>#DIV/0!</v>
      </c>
      <c r="N98" s="44" t="e">
        <f t="shared" si="31"/>
        <v>#DIV/0!</v>
      </c>
      <c r="O98" s="44" t="e">
        <f t="shared" si="31"/>
        <v>#DIV/0!</v>
      </c>
      <c r="P98" s="44" t="e">
        <f t="shared" si="31"/>
        <v>#DIV/0!</v>
      </c>
      <c r="Q98" s="44" t="e">
        <f t="shared" si="31"/>
        <v>#DIV/0!</v>
      </c>
      <c r="R98" s="44" t="e">
        <f t="shared" si="31"/>
        <v>#DIV/0!</v>
      </c>
      <c r="S98" s="44" t="e">
        <f t="shared" si="31"/>
        <v>#DIV/0!</v>
      </c>
      <c r="T98" s="44" t="e">
        <f t="shared" si="31"/>
        <v>#DIV/0!</v>
      </c>
      <c r="U98" s="44" t="e">
        <f t="shared" si="31"/>
        <v>#DIV/0!</v>
      </c>
      <c r="V98" s="44" t="e">
        <f t="shared" si="31"/>
        <v>#DIV/0!</v>
      </c>
      <c r="W98" s="44" t="e">
        <f t="shared" si="31"/>
        <v>#DIV/0!</v>
      </c>
      <c r="X98" s="44" t="e">
        <f t="shared" si="31"/>
        <v>#DIV/0!</v>
      </c>
      <c r="Y98" s="44" t="e">
        <f t="shared" si="31"/>
        <v>#DIV/0!</v>
      </c>
      <c r="Z98" s="44" t="e">
        <f t="shared" si="31"/>
        <v>#DIV/0!</v>
      </c>
      <c r="AA98" s="44" t="e">
        <f t="shared" si="31"/>
        <v>#DIV/0!</v>
      </c>
      <c r="AB98" s="44" t="e">
        <f t="shared" si="31"/>
        <v>#DIV/0!</v>
      </c>
      <c r="AC98" s="44" t="e">
        <f t="shared" si="31"/>
        <v>#DIV/0!</v>
      </c>
      <c r="AD98" s="44" t="e">
        <f t="shared" si="31"/>
        <v>#DIV/0!</v>
      </c>
      <c r="AE98" s="44" t="e">
        <f t="shared" si="31"/>
        <v>#DIV/0!</v>
      </c>
      <c r="AF98" s="44" t="e">
        <f t="shared" si="31"/>
        <v>#DIV/0!</v>
      </c>
      <c r="AG98" s="44" t="e">
        <f t="shared" si="31"/>
        <v>#DIV/0!</v>
      </c>
      <c r="AH98" s="44" t="e">
        <f t="shared" si="31"/>
        <v>#DIV/0!</v>
      </c>
      <c r="AI98" s="44"/>
    </row>
    <row r="99" spans="1:35" s="68" customFormat="1">
      <c r="A99" s="757"/>
      <c r="B99" s="62" t="s">
        <v>248</v>
      </c>
      <c r="C99" s="283" t="s">
        <v>153</v>
      </c>
      <c r="D99" s="44">
        <f>D37-('Ethylene Recycling HC'!C80+'Ethylene Recycling HC'!C147-'Ethylene Recycling HC'!$C$80-'Ethylene Recycling HC'!$C$147+'Ethylene Recycling HC'!C77+'Ethylene Recycling HC'!C144-'Ethylene Recycling HC'!$C$77-'Ethylene Recycling HC'!$C$144)</f>
        <v>1.516120753234631</v>
      </c>
      <c r="E99" s="44" t="e">
        <f>E37-('Ethylene Recycling HC'!D80+'Ethylene Recycling HC'!D147-'Ethylene Recycling HC'!$C$80-'Ethylene Recycling HC'!$C$147+'Ethylene Recycling HC'!D77+'Ethylene Recycling HC'!D144-'Ethylene Recycling HC'!$C$77-'Ethylene Recycling HC'!$C$144)</f>
        <v>#DIV/0!</v>
      </c>
      <c r="F99" s="44" t="e">
        <f>F37-('Ethylene Recycling HC'!E80+'Ethylene Recycling HC'!E147-'Ethylene Recycling HC'!$C$80-'Ethylene Recycling HC'!$C$147+'Ethylene Recycling HC'!E77+'Ethylene Recycling HC'!E144-'Ethylene Recycling HC'!$C$77-'Ethylene Recycling HC'!$C$144)</f>
        <v>#DIV/0!</v>
      </c>
      <c r="G99" s="44" t="e">
        <f>G37-('Ethylene Recycling HC'!F80+'Ethylene Recycling HC'!F147-'Ethylene Recycling HC'!$C$80-'Ethylene Recycling HC'!$C$147+'Ethylene Recycling HC'!F77+'Ethylene Recycling HC'!F144-'Ethylene Recycling HC'!$C$77-'Ethylene Recycling HC'!$C$144)</f>
        <v>#DIV/0!</v>
      </c>
      <c r="H99" s="44" t="e">
        <f>H37-('Ethylene Recycling HC'!G80+'Ethylene Recycling HC'!G147-'Ethylene Recycling HC'!$C$80-'Ethylene Recycling HC'!$C$147+'Ethylene Recycling HC'!G77+'Ethylene Recycling HC'!G144-'Ethylene Recycling HC'!$C$77-'Ethylene Recycling HC'!$C$144)</f>
        <v>#DIV/0!</v>
      </c>
      <c r="I99" s="44" t="e">
        <f>I37-('Ethylene Recycling HC'!H80+'Ethylene Recycling HC'!H147-'Ethylene Recycling HC'!$C$80-'Ethylene Recycling HC'!$C$147+'Ethylene Recycling HC'!H77+'Ethylene Recycling HC'!H144-'Ethylene Recycling HC'!$C$77-'Ethylene Recycling HC'!$C$144)</f>
        <v>#DIV/0!</v>
      </c>
      <c r="J99" s="44" t="e">
        <f>J37-('Ethylene Recycling HC'!I80+'Ethylene Recycling HC'!I147-'Ethylene Recycling HC'!$C$80-'Ethylene Recycling HC'!$C$147+'Ethylene Recycling HC'!I77+'Ethylene Recycling HC'!I144-'Ethylene Recycling HC'!$C$77-'Ethylene Recycling HC'!$C$144)</f>
        <v>#DIV/0!</v>
      </c>
      <c r="K99" s="44" t="e">
        <f>K37-('Ethylene Recycling HC'!J80+'Ethylene Recycling HC'!J147-'Ethylene Recycling HC'!$C$80-'Ethylene Recycling HC'!$C$147+'Ethylene Recycling HC'!J77+'Ethylene Recycling HC'!J144-'Ethylene Recycling HC'!$C$77-'Ethylene Recycling HC'!$C$144)</f>
        <v>#DIV/0!</v>
      </c>
      <c r="L99" s="44" t="e">
        <f>L37-('Ethylene Recycling HC'!K80+'Ethylene Recycling HC'!K147-'Ethylene Recycling HC'!$C$80-'Ethylene Recycling HC'!$C$147+'Ethylene Recycling HC'!K77+'Ethylene Recycling HC'!K144-'Ethylene Recycling HC'!$C$77-'Ethylene Recycling HC'!$C$144)</f>
        <v>#DIV/0!</v>
      </c>
      <c r="M99" s="44" t="e">
        <f>M37-('Ethylene Recycling HC'!L80+'Ethylene Recycling HC'!L147-'Ethylene Recycling HC'!$C$80-'Ethylene Recycling HC'!$C$147+'Ethylene Recycling HC'!L77+'Ethylene Recycling HC'!L144-'Ethylene Recycling HC'!$C$77-'Ethylene Recycling HC'!$C$144)</f>
        <v>#DIV/0!</v>
      </c>
      <c r="N99" s="44" t="e">
        <f>N37-('Ethylene Recycling HC'!M80+'Ethylene Recycling HC'!M147-'Ethylene Recycling HC'!$C$80-'Ethylene Recycling HC'!$C$147+'Ethylene Recycling HC'!M77+'Ethylene Recycling HC'!M144-'Ethylene Recycling HC'!$C$77-'Ethylene Recycling HC'!$C$144)</f>
        <v>#DIV/0!</v>
      </c>
      <c r="O99" s="44" t="e">
        <f>O37-('Ethylene Recycling HC'!N80+'Ethylene Recycling HC'!N147-'Ethylene Recycling HC'!$C$80-'Ethylene Recycling HC'!$C$147+'Ethylene Recycling HC'!N77+'Ethylene Recycling HC'!N144-'Ethylene Recycling HC'!$C$77-'Ethylene Recycling HC'!$C$144)</f>
        <v>#DIV/0!</v>
      </c>
      <c r="P99" s="44" t="e">
        <f>P37-('Ethylene Recycling HC'!O80+'Ethylene Recycling HC'!O147-'Ethylene Recycling HC'!$C$80-'Ethylene Recycling HC'!$C$147+'Ethylene Recycling HC'!O77+'Ethylene Recycling HC'!O144-'Ethylene Recycling HC'!$C$77-'Ethylene Recycling HC'!$C$144)</f>
        <v>#DIV/0!</v>
      </c>
      <c r="Q99" s="44" t="e">
        <f>Q37-('Ethylene Recycling HC'!P80+'Ethylene Recycling HC'!P147-'Ethylene Recycling HC'!$C$80-'Ethylene Recycling HC'!$C$147+'Ethylene Recycling HC'!P77+'Ethylene Recycling HC'!P144-'Ethylene Recycling HC'!$C$77-'Ethylene Recycling HC'!$C$144)</f>
        <v>#DIV/0!</v>
      </c>
      <c r="R99" s="44" t="e">
        <f>R37-('Ethylene Recycling HC'!Q80+'Ethylene Recycling HC'!Q147-'Ethylene Recycling HC'!$C$80-'Ethylene Recycling HC'!$C$147+'Ethylene Recycling HC'!Q77+'Ethylene Recycling HC'!Q144-'Ethylene Recycling HC'!$C$77-'Ethylene Recycling HC'!$C$144)</f>
        <v>#DIV/0!</v>
      </c>
      <c r="S99" s="44" t="e">
        <f>S37-('Ethylene Recycling HC'!R80+'Ethylene Recycling HC'!R147-'Ethylene Recycling HC'!$C$80-'Ethylene Recycling HC'!$C$147+'Ethylene Recycling HC'!R77+'Ethylene Recycling HC'!R144-'Ethylene Recycling HC'!$C$77-'Ethylene Recycling HC'!$C$144)</f>
        <v>#DIV/0!</v>
      </c>
      <c r="T99" s="44" t="e">
        <f>T37-('Ethylene Recycling HC'!S80+'Ethylene Recycling HC'!S147-'Ethylene Recycling HC'!$C$80-'Ethylene Recycling HC'!$C$147+'Ethylene Recycling HC'!S77+'Ethylene Recycling HC'!S144-'Ethylene Recycling HC'!$C$77-'Ethylene Recycling HC'!$C$144)</f>
        <v>#DIV/0!</v>
      </c>
      <c r="U99" s="44" t="e">
        <f>U37-('Ethylene Recycling HC'!T80+'Ethylene Recycling HC'!T147-'Ethylene Recycling HC'!$C$80-'Ethylene Recycling HC'!$C$147+'Ethylene Recycling HC'!T77+'Ethylene Recycling HC'!T144-'Ethylene Recycling HC'!$C$77-'Ethylene Recycling HC'!$C$144)</f>
        <v>#DIV/0!</v>
      </c>
      <c r="V99" s="44" t="e">
        <f>V37-('Ethylene Recycling HC'!U80+'Ethylene Recycling HC'!U147-'Ethylene Recycling HC'!$C$80-'Ethylene Recycling HC'!$C$147+'Ethylene Recycling HC'!U77+'Ethylene Recycling HC'!U144-'Ethylene Recycling HC'!$C$77-'Ethylene Recycling HC'!$C$144)</f>
        <v>#DIV/0!</v>
      </c>
      <c r="W99" s="44" t="e">
        <f>W37-('Ethylene Recycling HC'!V80+'Ethylene Recycling HC'!V147-'Ethylene Recycling HC'!$C$80-'Ethylene Recycling HC'!$C$147+'Ethylene Recycling HC'!V77+'Ethylene Recycling HC'!V144-'Ethylene Recycling HC'!$C$77-'Ethylene Recycling HC'!$C$144)</f>
        <v>#DIV/0!</v>
      </c>
      <c r="X99" s="44" t="e">
        <f>X37-('Ethylene Recycling HC'!W80+'Ethylene Recycling HC'!W147-'Ethylene Recycling HC'!$C$80-'Ethylene Recycling HC'!$C$147+'Ethylene Recycling HC'!W77+'Ethylene Recycling HC'!W144-'Ethylene Recycling HC'!$C$77-'Ethylene Recycling HC'!$C$144)</f>
        <v>#DIV/0!</v>
      </c>
      <c r="Y99" s="44" t="e">
        <f>Y37-('Ethylene Recycling HC'!X80+'Ethylene Recycling HC'!X147-'Ethylene Recycling HC'!$C$80-'Ethylene Recycling HC'!$C$147+'Ethylene Recycling HC'!X77+'Ethylene Recycling HC'!X144-'Ethylene Recycling HC'!$C$77-'Ethylene Recycling HC'!$C$144)</f>
        <v>#DIV/0!</v>
      </c>
      <c r="Z99" s="44" t="e">
        <f>Z37-('Ethylene Recycling HC'!Y80+'Ethylene Recycling HC'!Y147-'Ethylene Recycling HC'!$C$80-'Ethylene Recycling HC'!$C$147+'Ethylene Recycling HC'!Y77+'Ethylene Recycling HC'!Y144-'Ethylene Recycling HC'!$C$77-'Ethylene Recycling HC'!$C$144)</f>
        <v>#DIV/0!</v>
      </c>
      <c r="AA99" s="44" t="e">
        <f>AA37-('Ethylene Recycling HC'!Z80+'Ethylene Recycling HC'!Z147-'Ethylene Recycling HC'!$C$80-'Ethylene Recycling HC'!$C$147+'Ethylene Recycling HC'!Z77+'Ethylene Recycling HC'!Z144-'Ethylene Recycling HC'!$C$77-'Ethylene Recycling HC'!$C$144)</f>
        <v>#DIV/0!</v>
      </c>
      <c r="AB99" s="44" t="e">
        <f>AB37-('Ethylene Recycling HC'!AA80+'Ethylene Recycling HC'!AA147-'Ethylene Recycling HC'!$C$80-'Ethylene Recycling HC'!$C$147+'Ethylene Recycling HC'!AA77+'Ethylene Recycling HC'!AA144-'Ethylene Recycling HC'!$C$77-'Ethylene Recycling HC'!$C$144)</f>
        <v>#DIV/0!</v>
      </c>
      <c r="AC99" s="44" t="e">
        <f>AC37-('Ethylene Recycling HC'!AB80+'Ethylene Recycling HC'!AB147-'Ethylene Recycling HC'!$C$80-'Ethylene Recycling HC'!$C$147+'Ethylene Recycling HC'!AB77+'Ethylene Recycling HC'!AB144-'Ethylene Recycling HC'!$C$77-'Ethylene Recycling HC'!$C$144)</f>
        <v>#DIV/0!</v>
      </c>
      <c r="AD99" s="44" t="e">
        <f>AD37-('Ethylene Recycling HC'!AC80+'Ethylene Recycling HC'!AC147-'Ethylene Recycling HC'!$C$80-'Ethylene Recycling HC'!$C$147+'Ethylene Recycling HC'!AC77+'Ethylene Recycling HC'!AC144-'Ethylene Recycling HC'!$C$77-'Ethylene Recycling HC'!$C$144)</f>
        <v>#DIV/0!</v>
      </c>
      <c r="AE99" s="44" t="e">
        <f>AE37-('Ethylene Recycling HC'!AD80+'Ethylene Recycling HC'!AD147-'Ethylene Recycling HC'!$C$80-'Ethylene Recycling HC'!$C$147+'Ethylene Recycling HC'!AD77+'Ethylene Recycling HC'!AD144-'Ethylene Recycling HC'!$C$77-'Ethylene Recycling HC'!$C$144)</f>
        <v>#DIV/0!</v>
      </c>
      <c r="AF99" s="44" t="e">
        <f>AF37-('Ethylene Recycling HC'!AE80+'Ethylene Recycling HC'!AE147-'Ethylene Recycling HC'!$C$80-'Ethylene Recycling HC'!$C$147+'Ethylene Recycling HC'!AE77+'Ethylene Recycling HC'!AE144-'Ethylene Recycling HC'!$C$77-'Ethylene Recycling HC'!$C$144)</f>
        <v>#DIV/0!</v>
      </c>
      <c r="AG99" s="44" t="e">
        <f>AG37-('Ethylene Recycling HC'!AF80+'Ethylene Recycling HC'!AF147-'Ethylene Recycling HC'!$C$80-'Ethylene Recycling HC'!$C$147+'Ethylene Recycling HC'!AF77+'Ethylene Recycling HC'!AF144-'Ethylene Recycling HC'!$C$77-'Ethylene Recycling HC'!$C$144)</f>
        <v>#DIV/0!</v>
      </c>
      <c r="AH99" s="44" t="e">
        <f>AH37-('Ethylene Recycling HC'!AG80+'Ethylene Recycling HC'!AG147-'Ethylene Recycling HC'!$C$80-'Ethylene Recycling HC'!$C$147+'Ethylene Recycling HC'!AG77+'Ethylene Recycling HC'!AG144-'Ethylene Recycling HC'!$C$77-'Ethylene Recycling HC'!$C$144)</f>
        <v>#DIV/0!</v>
      </c>
      <c r="AI99" s="44"/>
    </row>
    <row r="100" spans="1:35" s="67" customFormat="1">
      <c r="A100" s="755" t="s">
        <v>263</v>
      </c>
      <c r="B100" s="58" t="s">
        <v>264</v>
      </c>
      <c r="C100" s="59" t="s">
        <v>153</v>
      </c>
      <c r="D100" s="60">
        <f>D38-('Ethylene Recycling HC'!C78+'Ethylene Recycling HC'!C145-'Ethylene Recycling HC'!$C$78-'Ethylene Recycling HC'!$C$145)</f>
        <v>2.4028402366863899</v>
      </c>
      <c r="E100" s="60" t="e">
        <f>E38-('Ethylene Recycling HC'!D78+'Ethylene Recycling HC'!D145-'Ethylene Recycling HC'!$C$78-'Ethylene Recycling HC'!$C$145)</f>
        <v>#DIV/0!</v>
      </c>
      <c r="F100" s="60" t="e">
        <f>F38-('Ethylene Recycling HC'!E78+'Ethylene Recycling HC'!E145-'Ethylene Recycling HC'!$C$78-'Ethylene Recycling HC'!$C$145)</f>
        <v>#DIV/0!</v>
      </c>
      <c r="G100" s="60" t="e">
        <f>G38-('Ethylene Recycling HC'!F78+'Ethylene Recycling HC'!F145-'Ethylene Recycling HC'!$C$78-'Ethylene Recycling HC'!$C$145)</f>
        <v>#DIV/0!</v>
      </c>
      <c r="H100" s="60" t="e">
        <f>H38-('Ethylene Recycling HC'!G78+'Ethylene Recycling HC'!G145-'Ethylene Recycling HC'!$C$78-'Ethylene Recycling HC'!$C$145)</f>
        <v>#DIV/0!</v>
      </c>
      <c r="I100" s="60" t="e">
        <f>I38-('Ethylene Recycling HC'!H78+'Ethylene Recycling HC'!H145-'Ethylene Recycling HC'!$C$78-'Ethylene Recycling HC'!$C$145)</f>
        <v>#DIV/0!</v>
      </c>
      <c r="J100" s="60" t="e">
        <f>J38-('Ethylene Recycling HC'!I78+'Ethylene Recycling HC'!I145-'Ethylene Recycling HC'!$C$78-'Ethylene Recycling HC'!$C$145)</f>
        <v>#DIV/0!</v>
      </c>
      <c r="K100" s="60" t="e">
        <f>K38-('Ethylene Recycling HC'!J78+'Ethylene Recycling HC'!J145-'Ethylene Recycling HC'!$C$78-'Ethylene Recycling HC'!$C$145)</f>
        <v>#DIV/0!</v>
      </c>
      <c r="L100" s="60" t="e">
        <f>L38-('Ethylene Recycling HC'!K78+'Ethylene Recycling HC'!K145-'Ethylene Recycling HC'!$C$78-'Ethylene Recycling HC'!$C$145)</f>
        <v>#DIV/0!</v>
      </c>
      <c r="M100" s="60" t="e">
        <f>M38-('Ethylene Recycling HC'!L78+'Ethylene Recycling HC'!L145-'Ethylene Recycling HC'!$C$78-'Ethylene Recycling HC'!$C$145)</f>
        <v>#DIV/0!</v>
      </c>
      <c r="N100" s="60" t="e">
        <f>N38-('Ethylene Recycling HC'!M78+'Ethylene Recycling HC'!M145-'Ethylene Recycling HC'!$C$78-'Ethylene Recycling HC'!$C$145)</f>
        <v>#DIV/0!</v>
      </c>
      <c r="O100" s="60" t="e">
        <f>O38-('Ethylene Recycling HC'!N78+'Ethylene Recycling HC'!N145-'Ethylene Recycling HC'!$C$78-'Ethylene Recycling HC'!$C$145)</f>
        <v>#DIV/0!</v>
      </c>
      <c r="P100" s="60" t="e">
        <f>P38-('Ethylene Recycling HC'!O78+'Ethylene Recycling HC'!O145-'Ethylene Recycling HC'!$C$78-'Ethylene Recycling HC'!$C$145)</f>
        <v>#DIV/0!</v>
      </c>
      <c r="Q100" s="60" t="e">
        <f>Q38-('Ethylene Recycling HC'!P78+'Ethylene Recycling HC'!P145-'Ethylene Recycling HC'!$C$78-'Ethylene Recycling HC'!$C$145)</f>
        <v>#DIV/0!</v>
      </c>
      <c r="R100" s="60" t="e">
        <f>R38-('Ethylene Recycling HC'!Q78+'Ethylene Recycling HC'!Q145-'Ethylene Recycling HC'!$C$78-'Ethylene Recycling HC'!$C$145)</f>
        <v>#DIV/0!</v>
      </c>
      <c r="S100" s="60" t="e">
        <f>S38-('Ethylene Recycling HC'!R78+'Ethylene Recycling HC'!R145-'Ethylene Recycling HC'!$C$78-'Ethylene Recycling HC'!$C$145)</f>
        <v>#DIV/0!</v>
      </c>
      <c r="T100" s="60" t="e">
        <f>T38-('Ethylene Recycling HC'!S78+'Ethylene Recycling HC'!S145-'Ethylene Recycling HC'!$C$78-'Ethylene Recycling HC'!$C$145)</f>
        <v>#DIV/0!</v>
      </c>
      <c r="U100" s="60" t="e">
        <f>U38-('Ethylene Recycling HC'!T78+'Ethylene Recycling HC'!T145-'Ethylene Recycling HC'!$C$78-'Ethylene Recycling HC'!$C$145)</f>
        <v>#DIV/0!</v>
      </c>
      <c r="V100" s="60" t="e">
        <f>V38-('Ethylene Recycling HC'!U78+'Ethylene Recycling HC'!U145-'Ethylene Recycling HC'!$C$78-'Ethylene Recycling HC'!$C$145)</f>
        <v>#DIV/0!</v>
      </c>
      <c r="W100" s="60" t="e">
        <f>W38-('Ethylene Recycling HC'!V78+'Ethylene Recycling HC'!V145-'Ethylene Recycling HC'!$C$78-'Ethylene Recycling HC'!$C$145)</f>
        <v>#DIV/0!</v>
      </c>
      <c r="X100" s="60" t="e">
        <f>X38-('Ethylene Recycling HC'!W78+'Ethylene Recycling HC'!W145-'Ethylene Recycling HC'!$C$78-'Ethylene Recycling HC'!$C$145)</f>
        <v>#DIV/0!</v>
      </c>
      <c r="Y100" s="60" t="e">
        <f>Y38-('Ethylene Recycling HC'!X78+'Ethylene Recycling HC'!X145-'Ethylene Recycling HC'!$C$78-'Ethylene Recycling HC'!$C$145)</f>
        <v>#DIV/0!</v>
      </c>
      <c r="Z100" s="60" t="e">
        <f>Z38-('Ethylene Recycling HC'!Y78+'Ethylene Recycling HC'!Y145-'Ethylene Recycling HC'!$C$78-'Ethylene Recycling HC'!$C$145)</f>
        <v>#DIV/0!</v>
      </c>
      <c r="AA100" s="60" t="e">
        <f>AA38-('Ethylene Recycling HC'!Z78+'Ethylene Recycling HC'!Z145-'Ethylene Recycling HC'!$C$78-'Ethylene Recycling HC'!$C$145)</f>
        <v>#DIV/0!</v>
      </c>
      <c r="AB100" s="60" t="e">
        <f>AB38-('Ethylene Recycling HC'!AA78+'Ethylene Recycling HC'!AA145-'Ethylene Recycling HC'!$C$78-'Ethylene Recycling HC'!$C$145)</f>
        <v>#DIV/0!</v>
      </c>
      <c r="AC100" s="60" t="e">
        <f>AC38-('Ethylene Recycling HC'!AB78+'Ethylene Recycling HC'!AB145-'Ethylene Recycling HC'!$C$78-'Ethylene Recycling HC'!$C$145)</f>
        <v>#DIV/0!</v>
      </c>
      <c r="AD100" s="60" t="e">
        <f>AD38-('Ethylene Recycling HC'!AC78+'Ethylene Recycling HC'!AC145-'Ethylene Recycling HC'!$C$78-'Ethylene Recycling HC'!$C$145)</f>
        <v>#DIV/0!</v>
      </c>
      <c r="AE100" s="60" t="e">
        <f>AE38-('Ethylene Recycling HC'!AD78+'Ethylene Recycling HC'!AD145-'Ethylene Recycling HC'!$C$78-'Ethylene Recycling HC'!$C$145)</f>
        <v>#DIV/0!</v>
      </c>
      <c r="AF100" s="60" t="e">
        <f>AF38-('Ethylene Recycling HC'!AE78+'Ethylene Recycling HC'!AE145-'Ethylene Recycling HC'!$C$78-'Ethylene Recycling HC'!$C$145)</f>
        <v>#DIV/0!</v>
      </c>
      <c r="AG100" s="60" t="e">
        <f>AG38-('Ethylene Recycling HC'!AF78+'Ethylene Recycling HC'!AF145-'Ethylene Recycling HC'!$C$78-'Ethylene Recycling HC'!$C$145)</f>
        <v>#DIV/0!</v>
      </c>
      <c r="AH100" s="60" t="e">
        <f>AH38-('Ethylene Recycling HC'!AG78+'Ethylene Recycling HC'!AG145-'Ethylene Recycling HC'!$C$78-'Ethylene Recycling HC'!$C$145)</f>
        <v>#DIV/0!</v>
      </c>
      <c r="AI100" s="44"/>
    </row>
    <row r="101" spans="1:35" s="68" customFormat="1">
      <c r="A101" s="757"/>
      <c r="B101" s="62" t="s">
        <v>266</v>
      </c>
      <c r="C101" s="283" t="s">
        <v>153</v>
      </c>
      <c r="D101" s="284">
        <f>D39-('Ethylene Recycling HC'!C79+'Ethylene Recycling HC'!C140-'Ethylene Recycling HC'!$C$79-'Ethylene Recycling HC'!$C$140)</f>
        <v>6.2246933198380567</v>
      </c>
      <c r="E101" s="284">
        <f>E39-('Ethylene Recycling HC'!D79+'Ethylene Recycling HC'!D140-'Ethylene Recycling HC'!$C$79-'Ethylene Recycling HC'!$C$140)</f>
        <v>6.2782887413509991</v>
      </c>
      <c r="F101" s="284">
        <f>F39-('Ethylene Recycling HC'!E79+'Ethylene Recycling HC'!E140-'Ethylene Recycling HC'!$C$79-'Ethylene Recycling HC'!$C$140)</f>
        <v>6.3331245905045446</v>
      </c>
      <c r="G101" s="284">
        <f>G39-('Ethylene Recycling HC'!F79+'Ethylene Recycling HC'!F140-'Ethylene Recycling HC'!$C$79-'Ethylene Recycling HC'!$C$140)</f>
        <v>6.3894688024377171</v>
      </c>
      <c r="H101" s="284">
        <f>H39-('Ethylene Recycling HC'!G79+'Ethylene Recycling HC'!G140-'Ethylene Recycling HC'!$C$79-'Ethylene Recycling HC'!$C$140)</f>
        <v>6.4475947698169964</v>
      </c>
      <c r="I101" s="284">
        <f>I39-('Ethylene Recycling HC'!H79+'Ethylene Recycling HC'!H140-'Ethylene Recycling HC'!$C$79-'Ethylene Recycling HC'!$C$140)</f>
        <v>6.5077780945885975</v>
      </c>
      <c r="J101" s="284">
        <f>J39-('Ethylene Recycling HC'!I79+'Ethylene Recycling HC'!I140-'Ethylene Recycling HC'!$C$79-'Ethylene Recycling HC'!$C$140)</f>
        <v>6.569061574365227</v>
      </c>
      <c r="K101" s="284">
        <f>K39-('Ethylene Recycling HC'!J79+'Ethylene Recycling HC'!J140-'Ethylene Recycling HC'!$C$79-'Ethylene Recycling HC'!$C$140)</f>
        <v>6.6315164969692892</v>
      </c>
      <c r="L101" s="284">
        <f>L39-('Ethylene Recycling HC'!K79+'Ethylene Recycling HC'!K140-'Ethylene Recycling HC'!$C$79-'Ethylene Recycling HC'!$C$140)</f>
        <v>6.6952159739607557</v>
      </c>
      <c r="M101" s="284">
        <f>M39-('Ethylene Recycling HC'!L79+'Ethylene Recycling HC'!L140-'Ethylene Recycling HC'!$C$79-'Ethylene Recycling HC'!$C$140)</f>
        <v>6.7602348270235568</v>
      </c>
      <c r="N101" s="284">
        <f>N39-('Ethylene Recycling HC'!M79+'Ethylene Recycling HC'!M140-'Ethylene Recycling HC'!$C$79-'Ethylene Recycling HC'!$C$140)</f>
        <v>6.8266494668396591</v>
      </c>
      <c r="O101" s="284">
        <f>O39-('Ethylene Recycling HC'!N79+'Ethylene Recycling HC'!N140-'Ethylene Recycling HC'!$C$79-'Ethylene Recycling HC'!$C$140)</f>
        <v>6.8697390149958011</v>
      </c>
      <c r="P101" s="284">
        <f>P39-('Ethylene Recycling HC'!O79+'Ethylene Recycling HC'!O140-'Ethylene Recycling HC'!$C$79-'Ethylene Recycling HC'!$C$140)</f>
        <v>6.9154753696263169</v>
      </c>
      <c r="Q101" s="284">
        <f>Q39-('Ethylene Recycling HC'!P79+'Ethylene Recycling HC'!P140-'Ethylene Recycling HC'!$C$79-'Ethylene Recycling HC'!$C$140)</f>
        <v>6.9642272040875621</v>
      </c>
      <c r="R101" s="284">
        <f>R39-('Ethylene Recycling HC'!Q79+'Ethylene Recycling HC'!Q140-'Ethylene Recycling HC'!$C$79-'Ethylene Recycling HC'!$C$140)</f>
        <v>7.0163559733682499</v>
      </c>
      <c r="S101" s="284">
        <f>S39-('Ethylene Recycling HC'!R79+'Ethylene Recycling HC'!R140-'Ethylene Recycling HC'!$C$79-'Ethylene Recycling HC'!$C$140)</f>
        <v>7.0722123830394477</v>
      </c>
      <c r="T101" s="284">
        <f>T39-('Ethylene Recycling HC'!S79+'Ethylene Recycling HC'!S140-'Ethylene Recycling HC'!$C$79-'Ethylene Recycling HC'!$C$140)</f>
        <v>7.1302983497748258</v>
      </c>
      <c r="U101" s="284">
        <f>U39-('Ethylene Recycling HC'!T79+'Ethylene Recycling HC'!T140-'Ethylene Recycling HC'!$C$79-'Ethylene Recycling HC'!$C$140)</f>
        <v>7.1906775692123457</v>
      </c>
      <c r="V101" s="284">
        <f>V39-('Ethylene Recycling HC'!U79+'Ethylene Recycling HC'!U140-'Ethylene Recycling HC'!$C$79-'Ethylene Recycling HC'!$C$140)</f>
        <v>7.2534140200001005</v>
      </c>
      <c r="W101" s="284">
        <f>W39-('Ethylene Recycling HC'!V79+'Ethylene Recycling HC'!V140-'Ethylene Recycling HC'!$C$79-'Ethylene Recycling HC'!$C$140)</f>
        <v>7.3185719341802393</v>
      </c>
      <c r="X101" s="284">
        <f>X39-('Ethylene Recycling HC'!W79+'Ethylene Recycling HC'!W140-'Ethylene Recycling HC'!$C$79-'Ethylene Recycling HC'!$C$140)</f>
        <v>7.3862157672559743</v>
      </c>
      <c r="Y101" s="284">
        <f>Y39-('Ethylene Recycling HC'!X79+'Ethylene Recycling HC'!X140-'Ethylene Recycling HC'!$C$79-'Ethylene Recycling HC'!$C$140)</f>
        <v>7.41597671752604</v>
      </c>
      <c r="Z101" s="284">
        <f>Z39-('Ethylene Recycling HC'!Y79+'Ethylene Recycling HC'!Y140-'Ethylene Recycling HC'!$C$79-'Ethylene Recycling HC'!$C$140)</f>
        <v>7.4488598352082649</v>
      </c>
      <c r="AA101" s="284">
        <f>AA39-('Ethylene Recycling HC'!Z79+'Ethylene Recycling HC'!Z140-'Ethylene Recycling HC'!$C$79-'Ethylene Recycling HC'!$C$140)</f>
        <v>7.4849602403643871</v>
      </c>
      <c r="AB101" s="284">
        <f>AB39-('Ethylene Recycling HC'!AA79+'Ethylene Recycling HC'!AA140-'Ethylene Recycling HC'!$C$79-'Ethylene Recycling HC'!$C$140)</f>
        <v>7.5243732172751745</v>
      </c>
      <c r="AC101" s="284">
        <f>AC39-('Ethylene Recycling HC'!AB79+'Ethylene Recycling HC'!AB140-'Ethylene Recycling HC'!$C$79-'Ethylene Recycling HC'!$C$140)</f>
        <v>7.5671941653092656</v>
      </c>
      <c r="AD101" s="284">
        <f>AD39-('Ethylene Recycling HC'!AC79+'Ethylene Recycling HC'!AC140-'Ethylene Recycling HC'!$C$79-'Ethylene Recycling HC'!$C$140)</f>
        <v>7.6135025088298072</v>
      </c>
      <c r="AE101" s="284">
        <f>AE39-('Ethylene Recycling HC'!AD79+'Ethylene Recycling HC'!AD140-'Ethylene Recycling HC'!$C$79-'Ethylene Recycling HC'!$C$140)</f>
        <v>7.6633915738533531</v>
      </c>
      <c r="AF101" s="284">
        <f>AF39-('Ethylene Recycling HC'!AE79+'Ethylene Recycling HC'!AE140-'Ethylene Recycling HC'!$C$79-'Ethylene Recycling HC'!$C$140)</f>
        <v>7.7169547579740296</v>
      </c>
      <c r="AG101" s="284">
        <f>AG39-('Ethylene Recycling HC'!AF79+'Ethylene Recycling HC'!AF140-'Ethylene Recycling HC'!$C$79-'Ethylene Recycling HC'!$C$140)</f>
        <v>7.7742854868376519</v>
      </c>
      <c r="AH101" s="284">
        <f>AH39-('Ethylene Recycling HC'!AG79+'Ethylene Recycling HC'!AG140-'Ethylene Recycling HC'!$C$79-'Ethylene Recycling HC'!$C$140)</f>
        <v>7.8354771703763255</v>
      </c>
      <c r="AI101" s="44"/>
    </row>
    <row r="102" spans="1:35" s="67" customFormat="1">
      <c r="A102" s="58" t="s">
        <v>220</v>
      </c>
      <c r="B102" s="58" t="s">
        <v>197</v>
      </c>
      <c r="C102" s="100" t="s">
        <v>153</v>
      </c>
      <c r="D102" s="101">
        <f t="shared" ref="D102:AH102" si="32">D19</f>
        <v>8.4778361655826675</v>
      </c>
      <c r="E102" s="101">
        <f t="shared" si="32"/>
        <v>8.6392032991583676</v>
      </c>
      <c r="F102" s="101">
        <f t="shared" si="32"/>
        <v>8.8036068206237879</v>
      </c>
      <c r="G102" s="101">
        <f t="shared" si="32"/>
        <v>8.9711033320655744</v>
      </c>
      <c r="H102" s="101">
        <f t="shared" si="32"/>
        <v>9.1417504825252234</v>
      </c>
      <c r="I102" s="101">
        <f t="shared" si="32"/>
        <v>9.3156069872375333</v>
      </c>
      <c r="J102" s="101">
        <f t="shared" si="32"/>
        <v>9.4927326472206097</v>
      </c>
      <c r="K102" s="101">
        <f t="shared" si="32"/>
        <v>9.6731883692238014</v>
      </c>
      <c r="L102" s="101">
        <f t="shared" si="32"/>
        <v>9.8570361860400535</v>
      </c>
      <c r="M102" s="101">
        <f t="shared" si="32"/>
        <v>10.044339277189353</v>
      </c>
      <c r="N102" s="101">
        <f t="shared" si="32"/>
        <v>10.235161989979963</v>
      </c>
      <c r="O102" s="101">
        <f t="shared" si="32"/>
        <v>10.460185036671433</v>
      </c>
      <c r="P102" s="101">
        <f t="shared" si="32"/>
        <v>10.689900905135309</v>
      </c>
      <c r="Q102" s="101">
        <f t="shared" si="32"/>
        <v>10.924404119651358</v>
      </c>
      <c r="R102" s="101">
        <f t="shared" si="32"/>
        <v>11.163791062099369</v>
      </c>
      <c r="S102" s="101">
        <f t="shared" si="32"/>
        <v>11.408160007800035</v>
      </c>
      <c r="T102" s="101">
        <f t="shared" si="32"/>
        <v>11.657611162037576</v>
      </c>
      <c r="U102" s="101">
        <f t="shared" si="32"/>
        <v>11.912246697276938</v>
      </c>
      <c r="V102" s="101">
        <f t="shared" si="32"/>
        <v>12.172170791088609</v>
      </c>
      <c r="W102" s="101">
        <f t="shared" si="32"/>
        <v>12.437489664794366</v>
      </c>
      <c r="X102" s="101">
        <f t="shared" si="32"/>
        <v>12.708311622847493</v>
      </c>
      <c r="Y102" s="101">
        <f t="shared" si="32"/>
        <v>12.960589423951141</v>
      </c>
      <c r="Z102" s="101">
        <f t="shared" si="32"/>
        <v>13.217771968233309</v>
      </c>
      <c r="AA102" s="101">
        <f t="shared" si="32"/>
        <v>13.479953108677549</v>
      </c>
      <c r="AB102" s="101">
        <f t="shared" si="32"/>
        <v>13.747228471798074</v>
      </c>
      <c r="AC102" s="101">
        <f t="shared" si="32"/>
        <v>14.019695490816288</v>
      </c>
      <c r="AD102" s="101">
        <f t="shared" si="32"/>
        <v>14.297453439452772</v>
      </c>
      <c r="AE102" s="101">
        <f t="shared" si="32"/>
        <v>14.580603466346052</v>
      </c>
      <c r="AF102" s="101">
        <f t="shared" si="32"/>
        <v>14.869248630109702</v>
      </c>
      <c r="AG102" s="101">
        <f t="shared" si="32"/>
        <v>15.16349393503954</v>
      </c>
      <c r="AH102" s="101">
        <f t="shared" si="32"/>
        <v>15.463446367482891</v>
      </c>
      <c r="AI102"/>
    </row>
    <row r="103" spans="1:35" outlineLevel="1">
      <c r="A103"/>
      <c r="B103" t="s">
        <v>217</v>
      </c>
      <c r="C103" s="54" t="s">
        <v>153</v>
      </c>
      <c r="D103" s="44">
        <f>'Ethylene Recycling HC'!C130-'Ethylene Recycling HC'!$C$130</f>
        <v>0</v>
      </c>
      <c r="E103" s="44">
        <f>'Ethylene Recycling HC'!D130-'Ethylene Recycling HC'!$C$130</f>
        <v>3.5928677153587701E-3</v>
      </c>
      <c r="F103" s="44">
        <f>'Ethylene Recycling HC'!E130-'Ethylene Recycling HC'!$C$130</f>
        <v>8.2108983212996998E-3</v>
      </c>
      <c r="G103" s="44">
        <f>'Ethylene Recycling HC'!F130-'Ethylene Recycling HC'!$C$130</f>
        <v>1.3895170870809815E-2</v>
      </c>
      <c r="H103" s="44">
        <f>'Ethylene Recycling HC'!G130-'Ethylene Recycling HC'!$C$130</f>
        <v>2.0673440635054892E-2</v>
      </c>
      <c r="I103" s="44">
        <f>'Ethylene Recycling HC'!H130-'Ethylene Recycling HC'!$C$130</f>
        <v>2.8558980359517063E-2</v>
      </c>
      <c r="J103" s="44">
        <f>'Ethylene Recycling HC'!I130-'Ethylene Recycling HC'!$C$130</f>
        <v>3.7642161244276925E-2</v>
      </c>
      <c r="K103" s="44">
        <f>'Ethylene Recycling HC'!J130-'Ethylene Recycling HC'!$C$130</f>
        <v>4.797061335479906E-2</v>
      </c>
      <c r="L103" s="44">
        <f>'Ethylene Recycling HC'!K130-'Ethylene Recycling HC'!$C$130</f>
        <v>5.9590550252066887E-2</v>
      </c>
      <c r="M103" s="44">
        <f>'Ethylene Recycling HC'!L130-'Ethylene Recycling HC'!$C$130</f>
        <v>7.2546573272055728E-2</v>
      </c>
      <c r="N103" s="44">
        <f>'Ethylene Recycling HC'!M130-'Ethylene Recycling HC'!$C$130</f>
        <v>8.6881475151878926E-2</v>
      </c>
      <c r="O103" s="44">
        <f>'Ethylene Recycling HC'!N130-'Ethylene Recycling HC'!$C$130</f>
        <v>0.11044475159127619</v>
      </c>
      <c r="P103" s="44">
        <f>'Ethylene Recycling HC'!O130-'Ethylene Recycling HC'!$C$130</f>
        <v>0.13657352414437937</v>
      </c>
      <c r="Q103" s="44">
        <f>'Ethylene Recycling HC'!P130-'Ethylene Recycling HC'!$C$130</f>
        <v>0.1655550635363843</v>
      </c>
      <c r="R103" s="44">
        <f>'Ethylene Recycling HC'!Q130-'Ethylene Recycling HC'!$C$130</f>
        <v>0.19709009670995783</v>
      </c>
      <c r="S103" s="44">
        <f>'Ethylene Recycling HC'!R130-'Ethylene Recycling HC'!$C$130</f>
        <v>0.23108133940527681</v>
      </c>
      <c r="T103" s="44">
        <f>'Ethylene Recycling HC'!S130-'Ethylene Recycling HC'!$C$130</f>
        <v>0.26789336341191178</v>
      </c>
      <c r="U103" s="44">
        <f>'Ethylene Recycling HC'!T130-'Ethylene Recycling HC'!$C$130</f>
        <v>0.30758262479727988</v>
      </c>
      <c r="V103" s="44">
        <f>'Ethylene Recycling HC'!U130-'Ethylene Recycling HC'!$C$130</f>
        <v>0.35020461150354593</v>
      </c>
      <c r="W103" s="44">
        <f>'Ethylene Recycling HC'!V130-'Ethylene Recycling HC'!$C$130</f>
        <v>0.39581377807601448</v>
      </c>
      <c r="X103" s="44">
        <f>'Ethylene Recycling HC'!W130-'Ethylene Recycling HC'!$C$130</f>
        <v>0.44446348024122245</v>
      </c>
      <c r="Y103" s="44">
        <f>'Ethylene Recycling HC'!X130-'Ethylene Recycling HC'!$C$130</f>
        <v>0.51535063282695237</v>
      </c>
      <c r="Z103" s="44">
        <f>'Ethylene Recycling HC'!Y130-'Ethylene Recycling HC'!$C$130</f>
        <v>0.59130054681586219</v>
      </c>
      <c r="AA103" s="44">
        <f>'Ethylene Recycling HC'!Z130-'Ethylene Recycling HC'!$C$130</f>
        <v>0.67439166783366933</v>
      </c>
      <c r="AB103" s="44">
        <f>'Ethylene Recycling HC'!AA130-'Ethylene Recycling HC'!$C$130</f>
        <v>0.76321994995723907</v>
      </c>
      <c r="AC103" s="44">
        <f>'Ethylene Recycling HC'!AB130-'Ethylene Recycling HC'!$C$130</f>
        <v>0.85791455865137789</v>
      </c>
      <c r="AD103" s="44">
        <f>'Ethylene Recycling HC'!AC130-'Ethylene Recycling HC'!$C$130</f>
        <v>0.95861243268361285</v>
      </c>
      <c r="AE103" s="44">
        <f>'Ethylene Recycling HC'!AD130-'Ethylene Recycling HC'!$C$130</f>
        <v>1.0654429654365911</v>
      </c>
      <c r="AF103" s="44">
        <f>'Ethylene Recycling HC'!AE130-'Ethylene Recycling HC'!$C$130</f>
        <v>1.178534299021271</v>
      </c>
      <c r="AG103" s="44">
        <f>'Ethylene Recycling HC'!AF130-'Ethylene Recycling HC'!$C$130</f>
        <v>1.2980131994974708</v>
      </c>
      <c r="AH103" s="44">
        <f>'Ethylene Recycling HC'!AG130-'Ethylene Recycling HC'!$C$130</f>
        <v>1.4240049310280589</v>
      </c>
    </row>
    <row r="104" spans="1:35" outlineLevel="1">
      <c r="A104"/>
      <c r="B104" t="s">
        <v>222</v>
      </c>
      <c r="C104" s="54" t="s">
        <v>153</v>
      </c>
      <c r="D104" s="44">
        <f>'Ethylene Recycling HC'!C87-'Ethylene Recycling HC'!$C$87</f>
        <v>0</v>
      </c>
      <c r="E104" s="44">
        <f>'Ethylene Recycling HC'!D87-'Ethylene Recycling HC'!$C$87</f>
        <v>9.6856200324028752E-2</v>
      </c>
      <c r="F104" s="44">
        <f>'Ethylene Recycling HC'!E87-'Ethylene Recycling HC'!$C$87</f>
        <v>0.19404136249639814</v>
      </c>
      <c r="G104" s="44">
        <f>'Ethylene Recycling HC'!F87-'Ethylene Recycling HC'!$C$87</f>
        <v>0.29095388060224292</v>
      </c>
      <c r="H104" s="44">
        <f>'Ethylene Recycling HC'!G87-'Ethylene Recycling HC'!$C$87</f>
        <v>0.38696834362173038</v>
      </c>
      <c r="I104" s="44">
        <f>'Ethylene Recycling HC'!H87-'Ethylene Recycling HC'!$C$87</f>
        <v>0.48144214854461787</v>
      </c>
      <c r="J104" s="44">
        <f>'Ethylene Recycling HC'!I87-'Ethylene Recycling HC'!$C$87</f>
        <v>0.57807915921523501</v>
      </c>
      <c r="K104" s="44">
        <f>'Ethylene Recycling HC'!J87-'Ethylene Recycling HC'!$C$87</f>
        <v>0.67682736952185207</v>
      </c>
      <c r="L104" s="44">
        <f>'Ethylene Recycling HC'!K87-'Ethylene Recycling HC'!$C$87</f>
        <v>0.77762944309796067</v>
      </c>
      <c r="M104" s="44">
        <f>'Ethylene Recycling HC'!L87-'Ethylene Recycling HC'!$C$87</f>
        <v>0.88042269102861681</v>
      </c>
      <c r="N104" s="44">
        <f>'Ethylene Recycling HC'!M87-'Ethylene Recycling HC'!$C$87</f>
        <v>0.98513906385640704</v>
      </c>
      <c r="O104" s="44">
        <f>'Ethylene Recycling HC'!N87-'Ethylene Recycling HC'!$C$87</f>
        <v>1.1710505639183384</v>
      </c>
      <c r="P104" s="44">
        <f>'Ethylene Recycling HC'!O87-'Ethylene Recycling HC'!$C$87</f>
        <v>1.3570053687755022</v>
      </c>
      <c r="Q104" s="44">
        <f>'Ethylene Recycling HC'!P87-'Ethylene Recycling HC'!$C$87</f>
        <v>1.5420290666879701</v>
      </c>
      <c r="R104" s="44">
        <f>'Ethylene Recycling HC'!Q87-'Ethylene Recycling HC'!$C$87</f>
        <v>1.7251259606560896</v>
      </c>
      <c r="S104" s="44">
        <f>'Ethylene Recycling HC'!R87-'Ethylene Recycling HC'!$C$87</f>
        <v>1.9052878029785205</v>
      </c>
      <c r="T104" s="44">
        <f>'Ethylene Recycling HC'!S87-'Ethylene Recycling HC'!$C$87</f>
        <v>2.0878575254514513</v>
      </c>
      <c r="U104" s="44">
        <f>'Ethylene Recycling HC'!T87-'Ethylene Recycling HC'!$C$87</f>
        <v>2.2728054658181747</v>
      </c>
      <c r="V104" s="44">
        <f>'Ethylene Recycling HC'!U87-'Ethylene Recycling HC'!$C$87</f>
        <v>2.4601004637172457</v>
      </c>
      <c r="W104" s="44">
        <f>'Ethylene Recycling HC'!V87-'Ethylene Recycling HC'!$C$87</f>
        <v>2.6497098603441933</v>
      </c>
      <c r="X104" s="44">
        <f>'Ethylene Recycling HC'!W87-'Ethylene Recycling HC'!$C$87</f>
        <v>2.8415994991736544</v>
      </c>
      <c r="Y104" s="44">
        <f>'Ethylene Recycling HC'!X87-'Ethylene Recycling HC'!$C$87</f>
        <v>3.1313508947958453</v>
      </c>
      <c r="Z104" s="44">
        <f>'Ethylene Recycling HC'!Y87-'Ethylene Recycling HC'!$C$87</f>
        <v>3.4248268980151217</v>
      </c>
      <c r="AA104" s="44">
        <f>'Ethylene Recycling HC'!Z87-'Ethylene Recycling HC'!$C$87</f>
        <v>3.7219818976032255</v>
      </c>
      <c r="AB104" s="44">
        <f>'Ethylene Recycling HC'!AA87-'Ethylene Recycling HC'!$C$87</f>
        <v>4.0227681709456409</v>
      </c>
      <c r="AC104" s="44">
        <f>'Ethylene Recycling HC'!AB87-'Ethylene Recycling HC'!$C$87</f>
        <v>4.327135885445152</v>
      </c>
      <c r="AD104" s="44">
        <f>'Ethylene Recycling HC'!AC87-'Ethylene Recycling HC'!$C$87</f>
        <v>4.6350905888529361</v>
      </c>
      <c r="AE104" s="44">
        <f>'Ethylene Recycling HC'!AD87-'Ethylene Recycling HC'!$C$87</f>
        <v>4.9465871513799211</v>
      </c>
      <c r="AF104" s="44">
        <f>'Ethylene Recycling HC'!AE87-'Ethylene Recycling HC'!$C$87</f>
        <v>5.2615785575968861</v>
      </c>
      <c r="AG104" s="44">
        <f>'Ethylene Recycling HC'!AF87-'Ethylene Recycling HC'!$C$87</f>
        <v>5.5800159087719674</v>
      </c>
      <c r="AH104" s="44">
        <f>'Ethylene Recycling HC'!AG87-'Ethylene Recycling HC'!$C$87</f>
        <v>5.9018484263370592</v>
      </c>
    </row>
    <row r="105" spans="1:35" s="68" customFormat="1">
      <c r="A105" s="62"/>
      <c r="B105" s="62" t="s">
        <v>219</v>
      </c>
      <c r="C105" s="63" t="s">
        <v>153</v>
      </c>
      <c r="D105" s="64">
        <f>D102-D103-D104</f>
        <v>8.4778361655826675</v>
      </c>
      <c r="E105" s="64">
        <f t="shared" ref="E105:AG105" si="33">E102-E103-E104</f>
        <v>8.5387542311189808</v>
      </c>
      <c r="F105" s="64">
        <f t="shared" si="33"/>
        <v>8.6013545598060901</v>
      </c>
      <c r="G105" s="64">
        <f t="shared" si="33"/>
        <v>8.6662542805925202</v>
      </c>
      <c r="H105" s="64">
        <f t="shared" si="33"/>
        <v>8.7341086982684395</v>
      </c>
      <c r="I105" s="64">
        <f t="shared" si="33"/>
        <v>8.8056058583333989</v>
      </c>
      <c r="J105" s="64">
        <f t="shared" si="33"/>
        <v>8.8770113267610977</v>
      </c>
      <c r="K105" s="64">
        <f t="shared" si="33"/>
        <v>8.9483903863471497</v>
      </c>
      <c r="L105" s="64">
        <f t="shared" si="33"/>
        <v>9.0198161926900262</v>
      </c>
      <c r="M105" s="64">
        <f t="shared" si="33"/>
        <v>9.0913700128886799</v>
      </c>
      <c r="N105" s="64">
        <f t="shared" si="33"/>
        <v>9.1631414509716773</v>
      </c>
      <c r="O105" s="64">
        <f t="shared" si="33"/>
        <v>9.1786897211618186</v>
      </c>
      <c r="P105" s="64">
        <f t="shared" si="33"/>
        <v>9.1963220122154272</v>
      </c>
      <c r="Q105" s="64">
        <f t="shared" si="33"/>
        <v>9.2168199894270035</v>
      </c>
      <c r="R105" s="64">
        <f t="shared" si="33"/>
        <v>9.2415750047333205</v>
      </c>
      <c r="S105" s="64">
        <f t="shared" si="33"/>
        <v>9.2717908654162375</v>
      </c>
      <c r="T105" s="64">
        <f t="shared" si="33"/>
        <v>9.3018602731742135</v>
      </c>
      <c r="U105" s="64">
        <f t="shared" si="33"/>
        <v>9.3318586066614824</v>
      </c>
      <c r="V105" s="64">
        <f t="shared" si="33"/>
        <v>9.3618657158678182</v>
      </c>
      <c r="W105" s="64">
        <f t="shared" si="33"/>
        <v>9.391966026374158</v>
      </c>
      <c r="X105" s="64">
        <f t="shared" si="33"/>
        <v>9.4222486434326171</v>
      </c>
      <c r="Y105" s="64">
        <f t="shared" si="33"/>
        <v>9.3138878963283442</v>
      </c>
      <c r="Z105" s="64">
        <f t="shared" si="33"/>
        <v>9.2016445234023259</v>
      </c>
      <c r="AA105" s="64">
        <f t="shared" si="33"/>
        <v>9.0835795432406545</v>
      </c>
      <c r="AB105" s="64">
        <f t="shared" si="33"/>
        <v>8.9612403508951939</v>
      </c>
      <c r="AC105" s="64">
        <f t="shared" si="33"/>
        <v>8.834645046719757</v>
      </c>
      <c r="AD105" s="64">
        <f t="shared" si="33"/>
        <v>8.7037504179162237</v>
      </c>
      <c r="AE105" s="64">
        <f t="shared" si="33"/>
        <v>8.5685733495295384</v>
      </c>
      <c r="AF105" s="64">
        <f t="shared" si="33"/>
        <v>8.4291357734915451</v>
      </c>
      <c r="AG105" s="64">
        <f t="shared" si="33"/>
        <v>8.2854648267701023</v>
      </c>
      <c r="AH105" s="438">
        <f>AH102-AH103-AH104</f>
        <v>8.137593010117774</v>
      </c>
      <c r="AI105" s="43"/>
    </row>
    <row r="106" spans="1:35" s="67" customFormat="1">
      <c r="A106" s="755" t="s">
        <v>257</v>
      </c>
      <c r="B106" s="58" t="s">
        <v>258</v>
      </c>
      <c r="C106" s="59" t="s">
        <v>153</v>
      </c>
      <c r="D106" s="60">
        <f>D20-('Ethylene Recycling HC'!C88+'Ethylene Recycling HC'!C131-'Ethylene Recycling HC'!$C$88-'Ethylene Recycling HC'!$C$131)</f>
        <v>2.4605530832803555</v>
      </c>
      <c r="E106" s="60">
        <f>E20-('Ethylene Recycling HC'!D88+'Ethylene Recycling HC'!D131-'Ethylene Recycling HC'!$C$88-'Ethylene Recycling HC'!$C$131)</f>
        <v>2.4076587629613453</v>
      </c>
      <c r="F106" s="60">
        <f>F20-('Ethylene Recycling HC'!E88+'Ethylene Recycling HC'!E131-'Ethylene Recycling HC'!$C$88-'Ethylene Recycling HC'!$C$131)</f>
        <v>2.3545171146320705</v>
      </c>
      <c r="G106" s="60">
        <f>G20-('Ethylene Recycling HC'!F88+'Ethylene Recycling HC'!F131-'Ethylene Recycling HC'!$C$88-'Ethylene Recycling HC'!$C$131)</f>
        <v>2.3017225561948296</v>
      </c>
      <c r="H106" s="60">
        <f>H20-('Ethylene Recycling HC'!G88+'Ethylene Recycling HC'!G131-'Ethylene Recycling HC'!$C$88-'Ethylene Recycling HC'!$C$131)</f>
        <v>2.2499046953564275</v>
      </c>
      <c r="I106" s="60">
        <f>I20-('Ethylene Recycling HC'!H88+'Ethylene Recycling HC'!H131-'Ethylene Recycling HC'!$C$88-'Ethylene Recycling HC'!$C$131)</f>
        <v>2.1997224413145302</v>
      </c>
      <c r="J106" s="60">
        <f>J20-('Ethylene Recycling HC'!I88+'Ethylene Recycling HC'!I131-'Ethylene Recycling HC'!$C$88-'Ethylene Recycling HC'!$C$131)</f>
        <v>2.1474278816957524</v>
      </c>
      <c r="K106" s="60">
        <f>K20-('Ethylene Recycling HC'!J88+'Ethylene Recycling HC'!J131-'Ethylene Recycling HC'!$C$88-'Ethylene Recycling HC'!$C$131)</f>
        <v>2.0930639657350896</v>
      </c>
      <c r="L106" s="60">
        <f>L20-('Ethylene Recycling HC'!K88+'Ethylene Recycling HC'!K131-'Ethylene Recycling HC'!$C$88-'Ethylene Recycling HC'!$C$131)</f>
        <v>2.03668097638923</v>
      </c>
      <c r="M106" s="60">
        <f>M20-('Ethylene Recycling HC'!L88+'Ethylene Recycling HC'!L131-'Ethylene Recycling HC'!$C$88-'Ethylene Recycling HC'!$C$131)</f>
        <v>1.9783366902036352</v>
      </c>
      <c r="N106" s="60">
        <f>N20-('Ethylene Recycling HC'!M88+'Ethylene Recycling HC'!M131-'Ethylene Recycling HC'!$C$88-'Ethylene Recycling HC'!$C$131)</f>
        <v>1.9180965199992683</v>
      </c>
      <c r="O106" s="60">
        <f>O20-('Ethylene Recycling HC'!N88+'Ethylene Recycling HC'!N131-'Ethylene Recycling HC'!$C$88-'Ethylene Recycling HC'!$C$131)</f>
        <v>1.779529290730073</v>
      </c>
      <c r="P106" s="60">
        <f>P20-('Ethylene Recycling HC'!O88+'Ethylene Recycling HC'!O131-'Ethylene Recycling HC'!$C$88-'Ethylene Recycling HC'!$C$131)</f>
        <v>1.6404429160606027</v>
      </c>
      <c r="Q106" s="60">
        <f>Q20-('Ethylene Recycling HC'!P88+'Ethylene Recycling HC'!P131-'Ethylene Recycling HC'!$C$88-'Ethylene Recycling HC'!$C$131)</f>
        <v>1.501641511398883</v>
      </c>
      <c r="R106" s="60">
        <f>R20-('Ethylene Recycling HC'!Q88+'Ethylene Recycling HC'!Q131-'Ethylene Recycling HC'!$C$88-'Ethylene Recycling HC'!$C$131)</f>
        <v>1.3644032245472815</v>
      </c>
      <c r="S106" s="60">
        <f>S20-('Ethylene Recycling HC'!R88+'Ethylene Recycling HC'!R131-'Ethylene Recycling HC'!$C$88-'Ethylene Recycling HC'!$C$131)</f>
        <v>1.2298617906745561</v>
      </c>
      <c r="T106" s="60">
        <f>T20-('Ethylene Recycling HC'!S88+'Ethylene Recycling HC'!S131-'Ethylene Recycling HC'!$C$88-'Ethylene Recycling HC'!$C$131)</f>
        <v>1.0924485357774576</v>
      </c>
      <c r="U106" s="60">
        <f>U20-('Ethylene Recycling HC'!T88+'Ethylene Recycling HC'!T131-'Ethylene Recycling HC'!$C$88-'Ethylene Recycling HC'!$C$131)</f>
        <v>0.95220529143670118</v>
      </c>
      <c r="V106" s="60">
        <f>V20-('Ethylene Recycling HC'!U88+'Ethylene Recycling HC'!U131-'Ethylene Recycling HC'!$C$88-'Ethylene Recycling HC'!$C$131)</f>
        <v>0.80917737117812605</v>
      </c>
      <c r="W106" s="60">
        <f>W20-('Ethylene Recycling HC'!V88+'Ethylene Recycling HC'!V131-'Ethylene Recycling HC'!$C$88-'Ethylene Recycling HC'!$C$131)</f>
        <v>0.66341361657757503</v>
      </c>
      <c r="X106" s="60">
        <f>X20-('Ethylene Recycling HC'!W88+'Ethylene Recycling HC'!W131-'Ethylene Recycling HC'!$C$88-'Ethylene Recycling HC'!$C$131)</f>
        <v>0.51496644146424453</v>
      </c>
      <c r="Y106" s="60">
        <f>Y20-('Ethylene Recycling HC'!X88+'Ethylene Recycling HC'!X131-'Ethylene Recycling HC'!$C$88-'Ethylene Recycling HC'!$C$131)</f>
        <v>0.24701423789359245</v>
      </c>
      <c r="Z106" s="60">
        <f>Z20-('Ethylene Recycling HC'!Y88+'Ethylene Recycling HC'!Y131-'Ethylene Recycling HC'!$C$88-'Ethylene Recycling HC'!$C$131)</f>
        <v>-2.6569786681462482E-2</v>
      </c>
      <c r="AA106" s="60">
        <f>AA20-('Ethylene Recycling HC'!Z88+'Ethylene Recycling HC'!Z131-'Ethylene Recycling HC'!$C$88-'Ethylene Recycling HC'!$C$131)</f>
        <v>-0.3072021095266213</v>
      </c>
      <c r="AB106" s="60">
        <f>AB20-('Ethylene Recycling HC'!AA88+'Ethylene Recycling HC'!AA131-'Ethylene Recycling HC'!$C$88-'Ethylene Recycling HC'!$C$131)</f>
        <v>-0.59371097662700656</v>
      </c>
      <c r="AC106" s="60">
        <f>AC20-('Ethylene Recycling HC'!AB88+'Ethylene Recycling HC'!AB131-'Ethylene Recycling HC'!$C$88-'Ethylene Recycling HC'!$C$131)</f>
        <v>-0.88606160451381211</v>
      </c>
      <c r="AD106" s="60">
        <f>AD20-('Ethylene Recycling HC'!AC88+'Ethylene Recycling HC'!AC131-'Ethylene Recycling HC'!$C$88-'Ethylene Recycling HC'!$C$131)</f>
        <v>-1.1842781866373979</v>
      </c>
      <c r="AE106" s="60">
        <f>AE20-('Ethylene Recycling HC'!AD88+'Ethylene Recycling HC'!AD131-'Ethylene Recycling HC'!$C$88-'Ethylene Recycling HC'!$C$131)</f>
        <v>-1.4883265820540164</v>
      </c>
      <c r="AF106" s="60">
        <f>AF20-('Ethylene Recycling HC'!AE88+'Ethylene Recycling HC'!AE131-'Ethylene Recycling HC'!$C$88-'Ethylene Recycling HC'!$C$131)</f>
        <v>-1.7981677628944528</v>
      </c>
      <c r="AG106" s="60">
        <f>AG20-('Ethylene Recycling HC'!AF88+'Ethylene Recycling HC'!AF131-'Ethylene Recycling HC'!$C$88-'Ethylene Recycling HC'!$C$131)</f>
        <v>-2.1137577350766321</v>
      </c>
      <c r="AH106" s="436">
        <f>AH20-('Ethylene Recycling HC'!AG88+'Ethylene Recycling HC'!AG131-'Ethylene Recycling HC'!$C$88-'Ethylene Recycling HC'!$C$131)</f>
        <v>-2.4350474614200275</v>
      </c>
      <c r="AI106" s="43"/>
    </row>
    <row r="107" spans="1:35">
      <c r="A107" s="756"/>
      <c r="B107" s="1" t="s">
        <v>260</v>
      </c>
      <c r="C107" s="54" t="s">
        <v>153</v>
      </c>
      <c r="D107" s="44">
        <f>D21+(D111-D25)</f>
        <v>0</v>
      </c>
      <c r="E107" s="44">
        <f t="shared" ref="E107:AH107" si="34">E21+(E111-E25)</f>
        <v>0</v>
      </c>
      <c r="F107" s="44">
        <f t="shared" si="34"/>
        <v>0</v>
      </c>
      <c r="G107" s="44">
        <f t="shared" si="34"/>
        <v>0</v>
      </c>
      <c r="H107" s="44">
        <f t="shared" si="34"/>
        <v>0</v>
      </c>
      <c r="I107" s="44">
        <f t="shared" si="34"/>
        <v>0</v>
      </c>
      <c r="J107" s="44">
        <f t="shared" si="34"/>
        <v>0</v>
      </c>
      <c r="K107" s="44">
        <f t="shared" si="34"/>
        <v>0</v>
      </c>
      <c r="L107" s="44">
        <f t="shared" si="34"/>
        <v>0</v>
      </c>
      <c r="M107" s="44">
        <f t="shared" si="34"/>
        <v>0</v>
      </c>
      <c r="N107" s="44">
        <f t="shared" si="34"/>
        <v>0</v>
      </c>
      <c r="O107" s="44">
        <f t="shared" si="34"/>
        <v>0</v>
      </c>
      <c r="P107" s="44">
        <f t="shared" si="34"/>
        <v>0</v>
      </c>
      <c r="Q107" s="44">
        <f t="shared" si="34"/>
        <v>0</v>
      </c>
      <c r="R107" s="44">
        <f t="shared" si="34"/>
        <v>0</v>
      </c>
      <c r="S107" s="44">
        <f t="shared" si="34"/>
        <v>0</v>
      </c>
      <c r="T107" s="44">
        <f t="shared" si="34"/>
        <v>0</v>
      </c>
      <c r="U107" s="44">
        <f t="shared" si="34"/>
        <v>0</v>
      </c>
      <c r="V107" s="44">
        <f t="shared" si="34"/>
        <v>0</v>
      </c>
      <c r="W107" s="44">
        <f t="shared" si="34"/>
        <v>0</v>
      </c>
      <c r="X107" s="44">
        <f t="shared" si="34"/>
        <v>0</v>
      </c>
      <c r="Y107" s="44">
        <f t="shared" si="34"/>
        <v>0</v>
      </c>
      <c r="Z107" s="44">
        <f t="shared" si="34"/>
        <v>0</v>
      </c>
      <c r="AA107" s="44">
        <f t="shared" si="34"/>
        <v>0</v>
      </c>
      <c r="AB107" s="44">
        <f t="shared" si="34"/>
        <v>0</v>
      </c>
      <c r="AC107" s="44">
        <f t="shared" si="34"/>
        <v>0</v>
      </c>
      <c r="AD107" s="44">
        <f t="shared" si="34"/>
        <v>0</v>
      </c>
      <c r="AE107" s="44">
        <f t="shared" si="34"/>
        <v>0</v>
      </c>
      <c r="AF107" s="44">
        <f t="shared" si="34"/>
        <v>0</v>
      </c>
      <c r="AG107" s="44">
        <f t="shared" si="34"/>
        <v>0</v>
      </c>
      <c r="AH107" s="43">
        <f t="shared" si="34"/>
        <v>0</v>
      </c>
      <c r="AI107" s="43"/>
    </row>
    <row r="108" spans="1:35">
      <c r="A108" s="756"/>
      <c r="B108" s="1" t="s">
        <v>262</v>
      </c>
      <c r="C108" s="54" t="s">
        <v>153</v>
      </c>
      <c r="D108" s="44">
        <f>D22+(D110-D24)</f>
        <v>0.50059171597633134</v>
      </c>
      <c r="E108" s="44">
        <f t="shared" ref="E108:AH108" si="35">E22+(E110-E24)</f>
        <v>0.51008811742541527</v>
      </c>
      <c r="F108" s="44">
        <f t="shared" si="35"/>
        <v>0.51973082286822692</v>
      </c>
      <c r="G108" s="44">
        <f t="shared" si="35"/>
        <v>0.52951175047352073</v>
      </c>
      <c r="H108" s="44">
        <f t="shared" si="35"/>
        <v>0.53942248372583501</v>
      </c>
      <c r="I108" s="44">
        <f t="shared" si="35"/>
        <v>0.54945453117799603</v>
      </c>
      <c r="J108" s="44">
        <f t="shared" si="35"/>
        <v>0.55959762377480426</v>
      </c>
      <c r="K108" s="44">
        <f t="shared" si="35"/>
        <v>0.5698413352625149</v>
      </c>
      <c r="L108" s="44">
        <f t="shared" si="35"/>
        <v>0.58017466591905187</v>
      </c>
      <c r="M108" s="44">
        <f t="shared" si="35"/>
        <v>0.59058607536104557</v>
      </c>
      <c r="N108" s="44">
        <f t="shared" si="35"/>
        <v>0.6010635195905224</v>
      </c>
      <c r="O108" s="44">
        <f t="shared" si="35"/>
        <v>0.61309545922041231</v>
      </c>
      <c r="P108" s="44">
        <f t="shared" si="35"/>
        <v>0.62512623745804807</v>
      </c>
      <c r="Q108" s="44">
        <f t="shared" si="35"/>
        <v>0.63712061066113335</v>
      </c>
      <c r="R108" s="44">
        <f t="shared" si="35"/>
        <v>0.64906866819490616</v>
      </c>
      <c r="S108" s="44">
        <f t="shared" si="35"/>
        <v>0.66095406572776794</v>
      </c>
      <c r="T108" s="44">
        <f t="shared" si="35"/>
        <v>0.67273557088777669</v>
      </c>
      <c r="U108" s="44">
        <f t="shared" si="35"/>
        <v>0.68438556631689018</v>
      </c>
      <c r="V108" s="44">
        <f t="shared" si="35"/>
        <v>0.69587580877412625</v>
      </c>
      <c r="W108" s="44">
        <f t="shared" si="35"/>
        <v>0.70717745313457858</v>
      </c>
      <c r="X108" s="44">
        <f t="shared" si="35"/>
        <v>0.71826107784121207</v>
      </c>
      <c r="Y108" s="44">
        <f t="shared" si="35"/>
        <v>0.72623441703737612</v>
      </c>
      <c r="Z108" s="44">
        <f t="shared" si="35"/>
        <v>0.73359324193836872</v>
      </c>
      <c r="AA108" s="44">
        <f t="shared" si="35"/>
        <v>0.74011812095724872</v>
      </c>
      <c r="AB108" s="44">
        <f t="shared" si="35"/>
        <v>0.74585853442418071</v>
      </c>
      <c r="AC108" s="44">
        <f t="shared" si="35"/>
        <v>0.75074723327514525</v>
      </c>
      <c r="AD108" s="44">
        <f t="shared" si="35"/>
        <v>0.75471451009467072</v>
      </c>
      <c r="AE108" s="44">
        <f t="shared" si="35"/>
        <v>0.75768953949834716</v>
      </c>
      <c r="AF108" s="44">
        <f t="shared" si="35"/>
        <v>0.75959988553054358</v>
      </c>
      <c r="AG108" s="44">
        <f t="shared" si="35"/>
        <v>0.76037153904053778</v>
      </c>
      <c r="AH108" s="43">
        <f t="shared" si="35"/>
        <v>0.75992895788583703</v>
      </c>
      <c r="AI108" s="43"/>
    </row>
    <row r="109" spans="1:35">
      <c r="A109" s="757"/>
      <c r="B109" s="1" t="s">
        <v>248</v>
      </c>
      <c r="C109" s="54" t="s">
        <v>153</v>
      </c>
      <c r="D109" s="284">
        <f>D23-('Ethylene Recycling HC'!C92+'Ethylene Recycling HC'!C135-'Ethylene Recycling HC'!$C$92-'Ethylene Recycling HC'!$C$135+'Ethylene Recycling HC'!C89+'Ethylene Recycling HC'!C132-'Ethylene Recycling HC'!$C$89-'Ethylene Recycling HC'!$C$132)</f>
        <v>5.5166913663259809</v>
      </c>
      <c r="E109" s="284">
        <f>E23-('Ethylene Recycling HC'!D92+'Ethylene Recycling HC'!D135-'Ethylene Recycling HC'!$C$92-'Ethylene Recycling HC'!$C$135+'Ethylene Recycling HC'!D89+'Ethylene Recycling HC'!D132-'Ethylene Recycling HC'!$C$89-'Ethylene Recycling HC'!$C$132)</f>
        <v>5.6210073507322189</v>
      </c>
      <c r="F109" s="284">
        <f>F23-('Ethylene Recycling HC'!E92+'Ethylene Recycling HC'!E135-'Ethylene Recycling HC'!$C$92-'Ethylene Recycling HC'!$C$135+'Ethylene Recycling HC'!E89+'Ethylene Recycling HC'!E132-'Ethylene Recycling HC'!$C$89-'Ethylene Recycling HC'!$C$132)</f>
        <v>5.7271066223057927</v>
      </c>
      <c r="G109" s="284">
        <f>G23-('Ethylene Recycling HC'!F92+'Ethylene Recycling HC'!F135-'Ethylene Recycling HC'!$C$92-'Ethylene Recycling HC'!$C$135+'Ethylene Recycling HC'!F89+'Ethylene Recycling HC'!F132-'Ethylene Recycling HC'!$C$89-'Ethylene Recycling HC'!$C$132)</f>
        <v>5.8350199739241715</v>
      </c>
      <c r="H109" s="284">
        <f>H23-('Ethylene Recycling HC'!G92+'Ethylene Recycling HC'!G135-'Ethylene Recycling HC'!$C$92-'Ethylene Recycling HC'!$C$135+'Ethylene Recycling HC'!G89+'Ethylene Recycling HC'!G132-'Ethylene Recycling HC'!$C$89-'Ethylene Recycling HC'!$C$132)</f>
        <v>5.9447815191861757</v>
      </c>
      <c r="I109" s="284">
        <f>I23-('Ethylene Recycling HC'!H92+'Ethylene Recycling HC'!H135-'Ethylene Recycling HC'!$C$92-'Ethylene Recycling HC'!$C$135+'Ethylene Recycling HC'!H89+'Ethylene Recycling HC'!H132-'Ethylene Recycling HC'!$C$89-'Ethylene Recycling HC'!$C$132)</f>
        <v>6.0564288858408721</v>
      </c>
      <c r="J109" s="284">
        <f>J23-('Ethylene Recycling HC'!I92+'Ethylene Recycling HC'!I135-'Ethylene Recycling HC'!$C$92-'Ethylene Recycling HC'!$C$135+'Ethylene Recycling HC'!I89+'Ethylene Recycling HC'!I132-'Ethylene Recycling HC'!$C$89-'Ethylene Recycling HC'!$C$132)</f>
        <v>6.169985821290541</v>
      </c>
      <c r="K109" s="284">
        <f>K23-('Ethylene Recycling HC'!J92+'Ethylene Recycling HC'!J135-'Ethylene Recycling HC'!$C$92-'Ethylene Recycling HC'!$C$135+'Ethylene Recycling HC'!J89+'Ethylene Recycling HC'!J132-'Ethylene Recycling HC'!$C$89-'Ethylene Recycling HC'!$C$132)</f>
        <v>6.2854850853495456</v>
      </c>
      <c r="L109" s="284">
        <f>L23-('Ethylene Recycling HC'!K92+'Ethylene Recycling HC'!K135-'Ethylene Recycling HC'!$C$92-'Ethylene Recycling HC'!$C$135+'Ethylene Recycling HC'!K89+'Ethylene Recycling HC'!K132-'Ethylene Recycling HC'!$C$89-'Ethylene Recycling HC'!$C$132)</f>
        <v>6.4029605503817439</v>
      </c>
      <c r="M109" s="284">
        <f>M23-('Ethylene Recycling HC'!L92+'Ethylene Recycling HC'!L135-'Ethylene Recycling HC'!$C$92-'Ethylene Recycling HC'!$C$135+'Ethylene Recycling HC'!L89+'Ethylene Recycling HC'!L132-'Ethylene Recycling HC'!$C$89-'Ethylene Recycling HC'!$C$132)</f>
        <v>6.5224472473240001</v>
      </c>
      <c r="N109" s="284">
        <f>N23-('Ethylene Recycling HC'!M92+'Ethylene Recycling HC'!M135-'Ethylene Recycling HC'!$C$92-'Ethylene Recycling HC'!$C$135+'Ethylene Recycling HC'!M89+'Ethylene Recycling HC'!M132-'Ethylene Recycling HC'!$C$89-'Ethylene Recycling HC'!$C$132)</f>
        <v>6.643981411381886</v>
      </c>
      <c r="O109" s="284">
        <f>O23-('Ethylene Recycling HC'!N92+'Ethylene Recycling HC'!N135-'Ethylene Recycling HC'!$C$92-'Ethylene Recycling HC'!$C$135+'Ethylene Recycling HC'!N89+'Ethylene Recycling HC'!N132-'Ethylene Recycling HC'!$C$89-'Ethylene Recycling HC'!$C$132)</f>
        <v>6.7860649712113332</v>
      </c>
      <c r="P109" s="284">
        <f>P23-('Ethylene Recycling HC'!O92+'Ethylene Recycling HC'!O135-'Ethylene Recycling HC'!$C$92-'Ethylene Recycling HC'!$C$135+'Ethylene Recycling HC'!O89+'Ethylene Recycling HC'!O132-'Ethylene Recycling HC'!$C$89-'Ethylene Recycling HC'!$C$132)</f>
        <v>6.9307528586967768</v>
      </c>
      <c r="Q109" s="284">
        <f>Q23-('Ethylene Recycling HC'!P92+'Ethylene Recycling HC'!P135-'Ethylene Recycling HC'!$C$92-'Ethylene Recycling HC'!$C$135+'Ethylene Recycling HC'!P89+'Ethylene Recycling HC'!P132-'Ethylene Recycling HC'!$C$89-'Ethylene Recycling HC'!$C$132)</f>
        <v>7.0780578673669865</v>
      </c>
      <c r="R109" s="284">
        <f>R23-('Ethylene Recycling HC'!Q92+'Ethylene Recycling HC'!Q135-'Ethylene Recycling HC'!$C$92-'Ethylene Recycling HC'!$C$135+'Ethylene Recycling HC'!Q89+'Ethylene Recycling HC'!Q132-'Ethylene Recycling HC'!$C$89-'Ethylene Recycling HC'!$C$132)</f>
        <v>7.2281031119911345</v>
      </c>
      <c r="S109" s="284">
        <f>S23-('Ethylene Recycling HC'!R92+'Ethylene Recycling HC'!R135-'Ethylene Recycling HC'!$C$92-'Ethylene Recycling HC'!$C$135+'Ethylene Recycling HC'!R89+'Ethylene Recycling HC'!R132-'Ethylene Recycling HC'!$C$89-'Ethylene Recycling HC'!$C$132)</f>
        <v>7.3809750090139126</v>
      </c>
      <c r="T109" s="284">
        <f>T23-('Ethylene Recycling HC'!S92+'Ethylene Recycling HC'!S135-'Ethylene Recycling HC'!$C$92-'Ethylene Recycling HC'!$C$135+'Ethylene Recycling HC'!S89+'Ethylene Recycling HC'!S132-'Ethylene Recycling HC'!$C$89-'Ethylene Recycling HC'!$C$132)</f>
        <v>7.5366761665089781</v>
      </c>
      <c r="U109" s="284">
        <f>U23-('Ethylene Recycling HC'!T92+'Ethylene Recycling HC'!T135-'Ethylene Recycling HC'!$C$92-'Ethylene Recycling HC'!$C$135+'Ethylene Recycling HC'!T89+'Ethylene Recycling HC'!T132-'Ethylene Recycling HC'!$C$89-'Ethylene Recycling HC'!$C$132)</f>
        <v>7.6952677489078924</v>
      </c>
      <c r="V109" s="284">
        <f>V23-('Ethylene Recycling HC'!U92+'Ethylene Recycling HC'!U135-'Ethylene Recycling HC'!$C$92-'Ethylene Recycling HC'!$C$135+'Ethylene Recycling HC'!U89+'Ethylene Recycling HC'!U132-'Ethylene Recycling HC'!$C$89-'Ethylene Recycling HC'!$C$132)</f>
        <v>7.8568125359155649</v>
      </c>
      <c r="W109" s="284">
        <f>W23-('Ethylene Recycling HC'!V92+'Ethylene Recycling HC'!V135-'Ethylene Recycling HC'!$C$92-'Ethylene Recycling HC'!$C$135+'Ethylene Recycling HC'!V89+'Ethylene Recycling HC'!V132-'Ethylene Recycling HC'!$C$89-'Ethylene Recycling HC'!$C$132)</f>
        <v>8.0213749566620045</v>
      </c>
      <c r="X109" s="284">
        <f>X23-('Ethylene Recycling HC'!W92+'Ethylene Recycling HC'!W135-'Ethylene Recycling HC'!$C$92-'Ethylene Recycling HC'!$C$135+'Ethylene Recycling HC'!W89+'Ethylene Recycling HC'!W132-'Ethylene Recycling HC'!$C$89-'Ethylene Recycling HC'!$C$132)</f>
        <v>8.1890211241271587</v>
      </c>
      <c r="Y109" s="284">
        <f>Y23-('Ethylene Recycling HC'!X92+'Ethylene Recycling HC'!X135-'Ethylene Recycling HC'!$C$92-'Ethylene Recycling HC'!$C$135+'Ethylene Recycling HC'!X89+'Ethylene Recycling HC'!X132-'Ethylene Recycling HC'!$C$89-'Ethylene Recycling HC'!$C$132)</f>
        <v>8.3406392413973744</v>
      </c>
      <c r="Z109" s="284">
        <f>Z23-('Ethylene Recycling HC'!Y92+'Ethylene Recycling HC'!Y135-'Ethylene Recycling HC'!$C$92-'Ethylene Recycling HC'!$C$135+'Ethylene Recycling HC'!Y89+'Ethylene Recycling HC'!Y132-'Ethylene Recycling HC'!$C$89-'Ethylene Recycling HC'!$C$132)</f>
        <v>8.4946210681454186</v>
      </c>
      <c r="AA109" s="284">
        <f>AA23-('Ethylene Recycling HC'!Z92+'Ethylene Recycling HC'!Z135-'Ethylene Recycling HC'!$C$92-'Ethylene Recycling HC'!$C$135+'Ethylene Recycling HC'!Z89+'Ethylene Recycling HC'!Z132-'Ethylene Recycling HC'!$C$89-'Ethylene Recycling HC'!$C$132)</f>
        <v>8.6506635318100251</v>
      </c>
      <c r="AB109" s="284">
        <f>AB23-('Ethylene Recycling HC'!AA92+'Ethylene Recycling HC'!AA135-'Ethylene Recycling HC'!$C$92-'Ethylene Recycling HC'!$C$135+'Ethylene Recycling HC'!AA89+'Ethylene Recycling HC'!AA132-'Ethylene Recycling HC'!$C$89-'Ethylene Recycling HC'!$C$132)</f>
        <v>8.8090927930980172</v>
      </c>
      <c r="AC109" s="284">
        <f>AC23-('Ethylene Recycling HC'!AB92+'Ethylene Recycling HC'!AB135-'Ethylene Recycling HC'!$C$92-'Ethylene Recycling HC'!$C$135+'Ethylene Recycling HC'!AB89+'Ethylene Recycling HC'!AB132-'Ethylene Recycling HC'!$C$89-'Ethylene Recycling HC'!$C$132)</f>
        <v>8.9699594179584246</v>
      </c>
      <c r="AD109" s="284">
        <f>AD23-('Ethylene Recycling HC'!AC92+'Ethylene Recycling HC'!AC135-'Ethylene Recycling HC'!$C$92-'Ethylene Recycling HC'!$C$135+'Ethylene Recycling HC'!AC89+'Ethylene Recycling HC'!AC132-'Ethylene Recycling HC'!$C$89-'Ethylene Recycling HC'!$C$132)</f>
        <v>9.1333140944589495</v>
      </c>
      <c r="AE109" s="284">
        <f>AE23-('Ethylene Recycling HC'!AD92+'Ethylene Recycling HC'!AD135-'Ethylene Recycling HC'!$C$92-'Ethylene Recycling HC'!$C$135+'Ethylene Recycling HC'!AD89+'Ethylene Recycling HC'!AD132-'Ethylene Recycling HC'!$C$89-'Ethylene Recycling HC'!$C$132)</f>
        <v>9.2992103920852092</v>
      </c>
      <c r="AF109" s="284">
        <f>AF23-('Ethylene Recycling HC'!AE92+'Ethylene Recycling HC'!AE135-'Ethylene Recycling HC'!$C$92-'Ethylene Recycling HC'!$C$135+'Ethylene Recycling HC'!AE89+'Ethylene Recycling HC'!AE132-'Ethylene Recycling HC'!$C$89-'Ethylene Recycling HC'!$C$132)</f>
        <v>9.4677036508554515</v>
      </c>
      <c r="AG109" s="284">
        <f>AG23-('Ethylene Recycling HC'!AF92+'Ethylene Recycling HC'!AF135-'Ethylene Recycling HC'!$C$92-'Ethylene Recycling HC'!$C$135+'Ethylene Recycling HC'!AF89+'Ethylene Recycling HC'!AF132-'Ethylene Recycling HC'!$C$89-'Ethylene Recycling HC'!$C$132)</f>
        <v>9.6388510228061932</v>
      </c>
      <c r="AH109" s="437">
        <f>AH23-('Ethylene Recycling HC'!AG92+'Ethylene Recycling HC'!AG135-'Ethylene Recycling HC'!$C$92-'Ethylene Recycling HC'!$C$135+'Ethylene Recycling HC'!AG89+'Ethylene Recycling HC'!AG132-'Ethylene Recycling HC'!$C$89-'Ethylene Recycling HC'!$C$132)</f>
        <v>9.8127115136519638</v>
      </c>
      <c r="AI109" s="43"/>
    </row>
    <row r="110" spans="1:35" s="67" customFormat="1">
      <c r="A110" s="758" t="s">
        <v>263</v>
      </c>
      <c r="B110" s="58" t="s">
        <v>264</v>
      </c>
      <c r="C110" s="59" t="s">
        <v>153</v>
      </c>
      <c r="D110" s="60">
        <f>D24-('Ethylene Recycling HC'!C133+'Ethylene Recycling HC'!C90-'Ethylene Recycling HC'!$C$133-'Ethylene Recycling HC'!$C$90)</f>
        <v>0.48056804733727804</v>
      </c>
      <c r="E110" s="60">
        <f>E24-('Ethylene Recycling HC'!D133+'Ethylene Recycling HC'!D90-'Ethylene Recycling HC'!$C$133-'Ethylene Recycling HC'!$C$90)</f>
        <v>0.48968331827748629</v>
      </c>
      <c r="F110" s="60">
        <f>F24-('Ethylene Recycling HC'!E133+'Ethylene Recycling HC'!E90-'Ethylene Recycling HC'!$C$133-'Ethylene Recycling HC'!$C$90)</f>
        <v>0.49893772161435707</v>
      </c>
      <c r="G110" s="60">
        <f>G24-('Ethylene Recycling HC'!F133+'Ethylene Recycling HC'!F90-'Ethylene Recycling HC'!$C$133-'Ethylene Recycling HC'!$C$90)</f>
        <v>0.50832304182906185</v>
      </c>
      <c r="H110" s="60">
        <f>H24-('Ethylene Recycling HC'!G133+'Ethylene Recycling HC'!G90-'Ethylene Recycling HC'!$C$133-'Ethylene Recycling HC'!$C$90)</f>
        <v>0.51783072624576942</v>
      </c>
      <c r="I110" s="60">
        <f>I24-('Ethylene Recycling HC'!H133+'Ethylene Recycling HC'!H90-'Ethylene Recycling HC'!$C$133-'Ethylene Recycling HC'!$C$90)</f>
        <v>0.52745214473871127</v>
      </c>
      <c r="J110" s="60">
        <f>J24-('Ethylene Recycling HC'!I133+'Ethylene Recycling HC'!I90-'Ethylene Recycling HC'!$C$133-'Ethylene Recycling HC'!$C$90)</f>
        <v>0.53717688700959876</v>
      </c>
      <c r="K110" s="60">
        <f>K24-('Ethylene Recycling HC'!J133+'Ethylene Recycling HC'!J90-'Ethylene Recycling HC'!$C$133-'Ethylene Recycling HC'!$C$90)</f>
        <v>0.54699438294998814</v>
      </c>
      <c r="L110" s="60">
        <f>L24-('Ethylene Recycling HC'!K133+'Ethylene Recycling HC'!K90-'Ethylene Recycling HC'!$C$133-'Ethylene Recycling HC'!$C$90)</f>
        <v>0.5568934863235202</v>
      </c>
      <c r="M110" s="60">
        <f>M24-('Ethylene Recycling HC'!L133+'Ethylene Recycling HC'!L90-'Ethylene Recycling HC'!$C$133-'Ethylene Recycling HC'!$C$90)</f>
        <v>0.56686250752410516</v>
      </c>
      <c r="N110" s="60">
        <f>N24-('Ethylene Recycling HC'!M133+'Ethylene Recycling HC'!M90-'Ethylene Recycling HC'!$C$133-'Ethylene Recycling HC'!$C$90)</f>
        <v>0.57688925057286833</v>
      </c>
      <c r="O110" s="60">
        <f>O24-('Ethylene Recycling HC'!N133+'Ethylene Recycling HC'!N90-'Ethylene Recycling HC'!$C$133-'Ethylene Recycling HC'!$C$90)</f>
        <v>0.588389711788326</v>
      </c>
      <c r="P110" s="60">
        <f>P24-('Ethylene Recycling HC'!O133+'Ethylene Recycling HC'!O90-'Ethylene Recycling HC'!$C$133-'Ethylene Recycling HC'!$C$90)</f>
        <v>0.59987792770918502</v>
      </c>
      <c r="Q110" s="60">
        <f>Q24-('Ethylene Recycling HC'!P133+'Ethylene Recycling HC'!P90-'Ethylene Recycling HC'!$C$133-'Ethylene Recycling HC'!$C$90)</f>
        <v>0.6113184314377309</v>
      </c>
      <c r="R110" s="60">
        <f>R24-('Ethylene Recycling HC'!Q133+'Ethylene Recycling HC'!Q90-'Ethylene Recycling HC'!$C$133-'Ethylene Recycling HC'!$C$90)</f>
        <v>0.62270108469634744</v>
      </c>
      <c r="S110" s="60">
        <f>S24-('Ethylene Recycling HC'!R133+'Ethylene Recycling HC'!R90-'Ethylene Recycling HC'!$C$133-'Ethylene Recycling HC'!$C$90)</f>
        <v>0.63400931103849312</v>
      </c>
      <c r="T110" s="60">
        <f>T24-('Ethylene Recycling HC'!S133+'Ethylene Recycling HC'!S90-'Ethylene Recycling HC'!$C$133-'Ethylene Recycling HC'!$C$90)</f>
        <v>0.64520164141893255</v>
      </c>
      <c r="U110" s="60">
        <f>U24-('Ethylene Recycling HC'!T133+'Ethylene Recycling HC'!T90-'Ethylene Recycling HC'!$C$133-'Ethylene Recycling HC'!$C$90)</f>
        <v>0.65625021716007659</v>
      </c>
      <c r="V110" s="60">
        <f>V24-('Ethylene Recycling HC'!U133+'Ethylene Recycling HC'!U90-'Ethylene Recycling HC'!$C$133-'Ethylene Recycling HC'!$C$90)</f>
        <v>0.66712654896556878</v>
      </c>
      <c r="W110" s="60">
        <f>W24-('Ethylene Recycling HC'!V133+'Ethylene Recycling HC'!V90-'Ethylene Recycling HC'!$C$133-'Ethylene Recycling HC'!$C$90)</f>
        <v>0.67780154082802413</v>
      </c>
      <c r="X110" s="60">
        <f>X24-('Ethylene Recycling HC'!W133+'Ethylene Recycling HC'!W90-'Ethylene Recycling HC'!$C$133-'Ethylene Recycling HC'!$C$90)</f>
        <v>0.68824551538781353</v>
      </c>
      <c r="Y110" s="60">
        <f>Y24-('Ethylene Recycling HC'!X133+'Ethylene Recycling HC'!X90-'Ethylene Recycling HC'!$C$133-'Ethylene Recycling HC'!$C$90)</f>
        <v>0.69562300359138629</v>
      </c>
      <c r="Z110" s="60">
        <f>Z24-('Ethylene Recycling HC'!Y133+'Ethylene Recycling HC'!Y90-'Ethylene Recycling HC'!$C$133-'Ethylene Recycling HC'!$C$90)</f>
        <v>0.70237439306358862</v>
      </c>
      <c r="AA110" s="60">
        <f>AA24-('Ethylene Recycling HC'!Z133+'Ethylene Recycling HC'!Z90-'Ethylene Recycling HC'!$C$133-'Ethylene Recycling HC'!$C$90)</f>
        <v>0.70828003054758526</v>
      </c>
      <c r="AB110" s="60">
        <f>AB24-('Ethylene Recycling HC'!AA133+'Ethylene Recycling HC'!AA90-'Ethylene Recycling HC'!$C$133-'Ethylene Recycling HC'!$C$90)</f>
        <v>0.7133891705147728</v>
      </c>
      <c r="AC110" s="60">
        <f>AC24-('Ethylene Recycling HC'!AB133+'Ethylene Recycling HC'!AB90-'Ethylene Recycling HC'!$C$133-'Ethylene Recycling HC'!$C$90)</f>
        <v>0.71763433377512986</v>
      </c>
      <c r="AD110" s="60">
        <f>AD24-('Ethylene Recycling HC'!AC133+'Ethylene Recycling HC'!AC90-'Ethylene Recycling HC'!$C$133-'Ethylene Recycling HC'!$C$90)</f>
        <v>0.72094557844013707</v>
      </c>
      <c r="AE110" s="60">
        <f>AE24-('Ethylene Recycling HC'!AD133+'Ethylene Recycling HC'!AD90-'Ethylene Recycling HC'!$C$133-'Ethylene Recycling HC'!$C$90)</f>
        <v>0.72325184022399713</v>
      </c>
      <c r="AF110" s="60">
        <f>AF24-('Ethylene Recycling HC'!AE133+'Ethylene Recycling HC'!AE90-'Ethylene Recycling HC'!$C$133-'Ethylene Recycling HC'!$C$90)</f>
        <v>0.72448043975855159</v>
      </c>
      <c r="AG110" s="60">
        <f>AG24-('Ethylene Recycling HC'!AF133+'Ethylene Recycling HC'!AF90-'Ethylene Recycling HC'!$C$133-'Ethylene Recycling HC'!$C$90)</f>
        <v>0.72455711988507421</v>
      </c>
      <c r="AH110" s="60">
        <f>AH24-('Ethylene Recycling HC'!AG133+'Ethylene Recycling HC'!AG90-'Ethylene Recycling HC'!$C$133-'Ethylene Recycling HC'!$C$90)</f>
        <v>0.72340608577169196</v>
      </c>
      <c r="AI110" s="43"/>
    </row>
    <row r="111" spans="1:35" s="68" customFormat="1">
      <c r="A111" s="759"/>
      <c r="B111" s="62" t="s">
        <v>266</v>
      </c>
      <c r="C111" s="283" t="s">
        <v>153</v>
      </c>
      <c r="D111" s="284">
        <f>D25-('Ethylene Recycling HC'!C91+'Ethylene Recycling HC'!C134-'Ethylene Recycling HC'!$C$91-'Ethylene Recycling HC'!$C$134)</f>
        <v>0</v>
      </c>
      <c r="E111" s="284">
        <f>E25-('Ethylene Recycling HC'!D91+'Ethylene Recycling HC'!D134-'Ethylene Recycling HC'!$C$91-'Ethylene Recycling HC'!$C$134)</f>
        <v>0</v>
      </c>
      <c r="F111" s="284">
        <f>F25-('Ethylene Recycling HC'!E91+'Ethylene Recycling HC'!E134-'Ethylene Recycling HC'!$C$91-'Ethylene Recycling HC'!$C$134)</f>
        <v>0</v>
      </c>
      <c r="G111" s="284">
        <f>G25-('Ethylene Recycling HC'!F91+'Ethylene Recycling HC'!F134-'Ethylene Recycling HC'!$C$91-'Ethylene Recycling HC'!$C$134)</f>
        <v>0</v>
      </c>
      <c r="H111" s="284">
        <f>H25-('Ethylene Recycling HC'!G91+'Ethylene Recycling HC'!G134-'Ethylene Recycling HC'!$C$91-'Ethylene Recycling HC'!$C$134)</f>
        <v>0</v>
      </c>
      <c r="I111" s="284">
        <f>I25-('Ethylene Recycling HC'!H91+'Ethylene Recycling HC'!H134-'Ethylene Recycling HC'!$C$91-'Ethylene Recycling HC'!$C$134)</f>
        <v>0</v>
      </c>
      <c r="J111" s="284">
        <f>J25-('Ethylene Recycling HC'!I91+'Ethylene Recycling HC'!I134-'Ethylene Recycling HC'!$C$91-'Ethylene Recycling HC'!$C$134)</f>
        <v>0</v>
      </c>
      <c r="K111" s="284">
        <f>K25-('Ethylene Recycling HC'!J91+'Ethylene Recycling HC'!J134-'Ethylene Recycling HC'!$C$91-'Ethylene Recycling HC'!$C$134)</f>
        <v>0</v>
      </c>
      <c r="L111" s="284">
        <f>L25-('Ethylene Recycling HC'!K91+'Ethylene Recycling HC'!K134-'Ethylene Recycling HC'!$C$91-'Ethylene Recycling HC'!$C$134)</f>
        <v>0</v>
      </c>
      <c r="M111" s="284">
        <f>M25-('Ethylene Recycling HC'!L91+'Ethylene Recycling HC'!L134-'Ethylene Recycling HC'!$C$91-'Ethylene Recycling HC'!$C$134)</f>
        <v>0</v>
      </c>
      <c r="N111" s="284">
        <f>N25-('Ethylene Recycling HC'!M91+'Ethylene Recycling HC'!M134-'Ethylene Recycling HC'!$C$91-'Ethylene Recycling HC'!$C$134)</f>
        <v>0</v>
      </c>
      <c r="O111" s="284">
        <f>O25-('Ethylene Recycling HC'!N91+'Ethylene Recycling HC'!N134-'Ethylene Recycling HC'!$C$91-'Ethylene Recycling HC'!$C$134)</f>
        <v>0</v>
      </c>
      <c r="P111" s="284">
        <f>P25-('Ethylene Recycling HC'!O91+'Ethylene Recycling HC'!O134-'Ethylene Recycling HC'!$C$91-'Ethylene Recycling HC'!$C$134)</f>
        <v>0</v>
      </c>
      <c r="Q111" s="284">
        <f>Q25-('Ethylene Recycling HC'!P91+'Ethylene Recycling HC'!P134-'Ethylene Recycling HC'!$C$91-'Ethylene Recycling HC'!$C$134)</f>
        <v>0</v>
      </c>
      <c r="R111" s="284">
        <f>R25-('Ethylene Recycling HC'!Q91+'Ethylene Recycling HC'!Q134-'Ethylene Recycling HC'!$C$91-'Ethylene Recycling HC'!$C$134)</f>
        <v>0</v>
      </c>
      <c r="S111" s="284">
        <f>S25-('Ethylene Recycling HC'!R91+'Ethylene Recycling HC'!R134-'Ethylene Recycling HC'!$C$91-'Ethylene Recycling HC'!$C$134)</f>
        <v>0</v>
      </c>
      <c r="T111" s="284">
        <f>T25-('Ethylene Recycling HC'!S91+'Ethylene Recycling HC'!S134-'Ethylene Recycling HC'!$C$91-'Ethylene Recycling HC'!$C$134)</f>
        <v>0</v>
      </c>
      <c r="U111" s="284">
        <f>U25-('Ethylene Recycling HC'!T91+'Ethylene Recycling HC'!T134-'Ethylene Recycling HC'!$C$91-'Ethylene Recycling HC'!$C$134)</f>
        <v>0</v>
      </c>
      <c r="V111" s="284">
        <f>V25-('Ethylene Recycling HC'!U91+'Ethylene Recycling HC'!U134-'Ethylene Recycling HC'!$C$91-'Ethylene Recycling HC'!$C$134)</f>
        <v>0</v>
      </c>
      <c r="W111" s="284">
        <f>W25-('Ethylene Recycling HC'!V91+'Ethylene Recycling HC'!V134-'Ethylene Recycling HC'!$C$91-'Ethylene Recycling HC'!$C$134)</f>
        <v>0</v>
      </c>
      <c r="X111" s="284">
        <f>X25-('Ethylene Recycling HC'!W91+'Ethylene Recycling HC'!W134-'Ethylene Recycling HC'!$C$91-'Ethylene Recycling HC'!$C$134)</f>
        <v>0</v>
      </c>
      <c r="Y111" s="284">
        <f>Y25-('Ethylene Recycling HC'!X91+'Ethylene Recycling HC'!X134-'Ethylene Recycling HC'!$C$91-'Ethylene Recycling HC'!$C$134)</f>
        <v>0</v>
      </c>
      <c r="Z111" s="284">
        <f>Z25-('Ethylene Recycling HC'!Y91+'Ethylene Recycling HC'!Y134-'Ethylene Recycling HC'!$C$91-'Ethylene Recycling HC'!$C$134)</f>
        <v>0</v>
      </c>
      <c r="AA111" s="284">
        <f>AA25-('Ethylene Recycling HC'!Z91+'Ethylene Recycling HC'!Z134-'Ethylene Recycling HC'!$C$91-'Ethylene Recycling HC'!$C$134)</f>
        <v>0</v>
      </c>
      <c r="AB111" s="284">
        <f>AB25-('Ethylene Recycling HC'!AA91+'Ethylene Recycling HC'!AA134-'Ethylene Recycling HC'!$C$91-'Ethylene Recycling HC'!$C$134)</f>
        <v>0</v>
      </c>
      <c r="AC111" s="284">
        <f>AC25-('Ethylene Recycling HC'!AB91+'Ethylene Recycling HC'!AB134-'Ethylene Recycling HC'!$C$91-'Ethylene Recycling HC'!$C$134)</f>
        <v>0</v>
      </c>
      <c r="AD111" s="284">
        <f>AD25-('Ethylene Recycling HC'!AC91+'Ethylene Recycling HC'!AC134-'Ethylene Recycling HC'!$C$91-'Ethylene Recycling HC'!$C$134)</f>
        <v>0</v>
      </c>
      <c r="AE111" s="284">
        <f>AE25-('Ethylene Recycling HC'!AD91+'Ethylene Recycling HC'!AD134-'Ethylene Recycling HC'!$C$91-'Ethylene Recycling HC'!$C$134)</f>
        <v>0</v>
      </c>
      <c r="AF111" s="284">
        <f>AF25-('Ethylene Recycling HC'!AE91+'Ethylene Recycling HC'!AE134-'Ethylene Recycling HC'!$C$91-'Ethylene Recycling HC'!$C$134)</f>
        <v>0</v>
      </c>
      <c r="AG111" s="284">
        <f>AG25-('Ethylene Recycling HC'!AF91+'Ethylene Recycling HC'!AF134-'Ethylene Recycling HC'!$C$91-'Ethylene Recycling HC'!$C$134)</f>
        <v>0</v>
      </c>
      <c r="AH111" s="284">
        <f>AH25-('Ethylene Recycling HC'!AG91+'Ethylene Recycling HC'!AG134-'Ethylene Recycling HC'!$C$91-'Ethylene Recycling HC'!$C$134)</f>
        <v>0</v>
      </c>
      <c r="AI111" s="43"/>
    </row>
    <row r="112" spans="1:35">
      <c r="A112" s="1" t="s">
        <v>221</v>
      </c>
      <c r="B112" s="1" t="s">
        <v>197</v>
      </c>
      <c r="C112" s="65" t="s">
        <v>153</v>
      </c>
      <c r="D112" s="66">
        <f t="shared" ref="D112:AH112" si="36">D55</f>
        <v>3.4336211538461541</v>
      </c>
      <c r="E112" s="66">
        <f t="shared" si="36"/>
        <v>3.5057271980769231</v>
      </c>
      <c r="F112" s="66">
        <f t="shared" si="36"/>
        <v>3.5793474692365383</v>
      </c>
      <c r="G112" s="66">
        <f t="shared" si="36"/>
        <v>3.6545137660905054</v>
      </c>
      <c r="H112" s="66">
        <f t="shared" si="36"/>
        <v>3.7312585551784054</v>
      </c>
      <c r="I112" s="66">
        <f t="shared" si="36"/>
        <v>3.8096149848371517</v>
      </c>
      <c r="J112" s="66">
        <f t="shared" si="36"/>
        <v>3.8896168995187317</v>
      </c>
      <c r="K112" s="66">
        <f t="shared" si="36"/>
        <v>3.9712988544086247</v>
      </c>
      <c r="L112" s="66">
        <f t="shared" si="36"/>
        <v>4.0546961303512052</v>
      </c>
      <c r="M112" s="66">
        <f t="shared" si="36"/>
        <v>4.1398447490885806</v>
      </c>
      <c r="N112" s="66">
        <f t="shared" si="36"/>
        <v>4.2267814888194408</v>
      </c>
      <c r="O112" s="66">
        <f t="shared" si="36"/>
        <v>4.3155439000846485</v>
      </c>
      <c r="P112" s="66">
        <f t="shared" si="36"/>
        <v>4.4061703219864254</v>
      </c>
      <c r="Q112" s="66">
        <f t="shared" si="36"/>
        <v>4.4986998987481401</v>
      </c>
      <c r="R112" s="66">
        <f t="shared" si="36"/>
        <v>4.5931725966218506</v>
      </c>
      <c r="S112" s="66">
        <f t="shared" si="36"/>
        <v>4.6896292211509092</v>
      </c>
      <c r="T112" s="66">
        <f t="shared" si="36"/>
        <v>4.7881114347950779</v>
      </c>
      <c r="U112" s="66">
        <f t="shared" si="36"/>
        <v>4.8886617749257741</v>
      </c>
      <c r="V112" s="66">
        <f t="shared" si="36"/>
        <v>4.9913236721992149</v>
      </c>
      <c r="W112" s="66">
        <f t="shared" si="36"/>
        <v>5.0961414693153984</v>
      </c>
      <c r="X112" s="66">
        <f t="shared" si="36"/>
        <v>5.203160440171021</v>
      </c>
      <c r="Y112" s="66">
        <f t="shared" si="36"/>
        <v>5.3124268094146121</v>
      </c>
      <c r="Z112" s="66">
        <f t="shared" si="36"/>
        <v>5.4239877724123184</v>
      </c>
      <c r="AA112" s="66">
        <f t="shared" si="36"/>
        <v>5.5378915156329764</v>
      </c>
      <c r="AB112" s="66">
        <f t="shared" si="36"/>
        <v>5.6541872374612687</v>
      </c>
      <c r="AC112" s="66">
        <f t="shared" si="36"/>
        <v>5.7729251694479551</v>
      </c>
      <c r="AD112" s="66">
        <f t="shared" si="36"/>
        <v>5.8941565980063615</v>
      </c>
      <c r="AE112" s="66">
        <f t="shared" si="36"/>
        <v>6.0179338865644949</v>
      </c>
      <c r="AF112" s="66">
        <f t="shared" si="36"/>
        <v>6.1443104981823486</v>
      </c>
      <c r="AG112" s="66">
        <f t="shared" si="36"/>
        <v>6.2733410186441771</v>
      </c>
      <c r="AH112" s="66">
        <f t="shared" si="36"/>
        <v>6.4050811800357046</v>
      </c>
    </row>
    <row r="113" spans="1:36" outlineLevel="1">
      <c r="A113"/>
      <c r="B113" t="s">
        <v>217</v>
      </c>
      <c r="C113" s="54" t="s">
        <v>153</v>
      </c>
      <c r="D113" s="44">
        <f>'Ethylene Recycling HC'!C176-'Ethylene Recycling HC'!$C$176</f>
        <v>0</v>
      </c>
      <c r="E113" s="44">
        <f>'Ethylene Recycling HC'!D176-'Ethylene Recycling HC'!$C$176</f>
        <v>7.8735500055456265E-3</v>
      </c>
      <c r="F113" s="44">
        <f>'Ethylene Recycling HC'!E176-'Ethylene Recycling HC'!$C$176</f>
        <v>1.6584062272038562E-2</v>
      </c>
      <c r="G113" s="44">
        <f>'Ethylene Recycling HC'!F176-'Ethylene Recycling HC'!$C$176</f>
        <v>2.6126643423037534E-2</v>
      </c>
      <c r="H113" s="44">
        <f>'Ethylene Recycling HC'!G176-'Ethylene Recycling HC'!$C$176</f>
        <v>3.6485602894558683E-2</v>
      </c>
      <c r="I113" s="44">
        <f>'Ethylene Recycling HC'!H176-'Ethylene Recycling HC'!$C$176</f>
        <v>4.7634030062421728E-2</v>
      </c>
      <c r="J113" s="44">
        <f>'Ethylene Recycling HC'!I176-'Ethylene Recycling HC'!$C$176</f>
        <v>5.9727959800064026E-2</v>
      </c>
      <c r="K113" s="44">
        <f>'Ethylene Recycling HC'!J176-'Ethylene Recycling HC'!$C$176</f>
        <v>7.2800254243920323E-2</v>
      </c>
      <c r="L113" s="44">
        <f>'Ethylene Recycling HC'!K176-'Ethylene Recycling HC'!$C$176</f>
        <v>8.6882944564129788E-2</v>
      </c>
      <c r="M113" s="44">
        <f>'Ethylene Recycling HC'!L176-'Ethylene Recycling HC'!$C$176</f>
        <v>0.10200710300100906</v>
      </c>
      <c r="N113" s="44">
        <f>'Ethylene Recycling HC'!M176-'Ethylene Recycling HC'!$C$176</f>
        <v>0.11820271324272878</v>
      </c>
      <c r="O113" s="44">
        <f>'Ethylene Recycling HC'!N176-'Ethylene Recycling HC'!$C$176</f>
        <v>0.14061502429974754</v>
      </c>
      <c r="P113" s="44">
        <f>'Ethylene Recycling HC'!O176-'Ethylene Recycling HC'!$C$176</f>
        <v>0.16465669512586345</v>
      </c>
      <c r="Q113" s="44">
        <f>'Ethylene Recycling HC'!P176-'Ethylene Recycling HC'!$C$176</f>
        <v>0.19026776549204288</v>
      </c>
      <c r="R113" s="44">
        <f>'Ethylene Recycling HC'!Q176-'Ethylene Recycling HC'!$C$176</f>
        <v>0.21737001958913765</v>
      </c>
      <c r="S113" s="44">
        <f>'Ethylene Recycling HC'!R176-'Ethylene Recycling HC'!$C$176</f>
        <v>0.24586705267560927</v>
      </c>
      <c r="T113" s="44">
        <f>'Ethylene Recycling HC'!S176-'Ethylene Recycling HC'!$C$176</f>
        <v>0.27619629546619306</v>
      </c>
      <c r="U113" s="44">
        <f>'Ethylene Recycling HC'!T176-'Ethylene Recycling HC'!$C$176</f>
        <v>0.30839792424140122</v>
      </c>
      <c r="V113" s="44">
        <f>'Ethylene Recycling HC'!U176-'Ethylene Recycling HC'!$C$176</f>
        <v>0.34251185883239327</v>
      </c>
      <c r="W113" s="44">
        <f>'Ethylene Recycling HC'!V176-'Ethylene Recycling HC'!$C$176</f>
        <v>0.37857772836662729</v>
      </c>
      <c r="X113" s="44">
        <f>'Ethylene Recycling HC'!W176-'Ethylene Recycling HC'!$C$176</f>
        <v>0.4166348366281476</v>
      </c>
      <c r="Y113" s="44">
        <f>'Ethylene Recycling HC'!X176-'Ethylene Recycling HC'!$C$176</f>
        <v>0.46896626361236077</v>
      </c>
      <c r="Z113" s="44">
        <f>'Ethylene Recycling HC'!Y176-'Ethylene Recycling HC'!$C$176</f>
        <v>0.5245347708100514</v>
      </c>
      <c r="AA113" s="44">
        <f>'Ethylene Recycling HC'!Z176-'Ethylene Recycling HC'!$C$176</f>
        <v>0.58340733968551706</v>
      </c>
      <c r="AB113" s="44">
        <f>'Ethylene Recycling HC'!AA176-'Ethylene Recycling HC'!$C$176</f>
        <v>0.64565051919951144</v>
      </c>
      <c r="AC113" s="44">
        <f>'Ethylene Recycling HC'!AB176-'Ethylene Recycling HC'!$C$176</f>
        <v>0.71133037398067833</v>
      </c>
      <c r="AD113" s="44">
        <f>'Ethylene Recycling HC'!AC176-'Ethylene Recycling HC'!$C$176</f>
        <v>0.780520100199529</v>
      </c>
      <c r="AE113" s="44">
        <f>'Ethylene Recycling HC'!AD176-'Ethylene Recycling HC'!$C$176</f>
        <v>0.85328671093338215</v>
      </c>
      <c r="AF113" s="44">
        <f>'Ethylene Recycling HC'!AE176-'Ethylene Recycling HC'!$C$176</f>
        <v>0.92969678659651267</v>
      </c>
      <c r="AG113" s="44">
        <f>'Ethylene Recycling HC'!AF176-'Ethylene Recycling HC'!$C$176</f>
        <v>1.0098164278286015</v>
      </c>
      <c r="AH113" s="44">
        <f>'Ethylene Recycling HC'!AG176-'Ethylene Recycling HC'!$C$176</f>
        <v>1.0937112079346412</v>
      </c>
    </row>
    <row r="114" spans="1:36" outlineLevel="1">
      <c r="A114"/>
      <c r="B114" t="s">
        <v>222</v>
      </c>
      <c r="C114" s="54" t="s">
        <v>153</v>
      </c>
      <c r="D114" s="44">
        <f>'Ethylene Recycling HC'!C81-'Ethylene Recycling HC'!$C$81</f>
        <v>0</v>
      </c>
      <c r="E114" s="44">
        <f>'Ethylene Recycling HC'!D81-'Ethylene Recycling HC'!$C$81</f>
        <v>5.6530580989280876E-2</v>
      </c>
      <c r="F114" s="44">
        <f>'Ethylene Recycling HC'!E81-'Ethylene Recycling HC'!$C$81</f>
        <v>0.11028193257368635</v>
      </c>
      <c r="G114" s="44">
        <f>'Ethylene Recycling HC'!F81-'Ethylene Recycling HC'!$C$81</f>
        <v>0.16076526473714314</v>
      </c>
      <c r="H114" s="44">
        <f>'Ethylene Recycling HC'!G81-'Ethylene Recycling HC'!$C$81</f>
        <v>0.20751123841061103</v>
      </c>
      <c r="I114" s="44">
        <f>'Ethylene Recycling HC'!H81-'Ethylene Recycling HC'!$C$81</f>
        <v>0.25007683013156434</v>
      </c>
      <c r="J114" s="44">
        <f>'Ethylene Recycling HC'!I81-'Ethylene Recycling HC'!$C$81</f>
        <v>0.29127393600125884</v>
      </c>
      <c r="K114" s="44">
        <f>'Ethylene Recycling HC'!J81-'Ethylene Recycling HC'!$C$81</f>
        <v>0.33096295967401468</v>
      </c>
      <c r="L114" s="44">
        <f>'Ethylene Recycling HC'!K81-'Ethylene Recycling HC'!$C$81</f>
        <v>0.36900379818863804</v>
      </c>
      <c r="M114" s="44">
        <f>'Ethylene Recycling HC'!L81-'Ethylene Recycling HC'!$C$81</f>
        <v>0.4052562452188464</v>
      </c>
      <c r="N114" s="44">
        <f>'Ethylene Recycling HC'!M81-'Ethylene Recycling HC'!$C$81</f>
        <v>0.43958040610214666</v>
      </c>
      <c r="O114" s="44">
        <f>'Ethylene Recycling HC'!N81-'Ethylene Recycling HC'!$C$81</f>
        <v>0.52428648873365424</v>
      </c>
      <c r="P114" s="44">
        <f>'Ethylene Recycling HC'!O81-'Ethylene Recycling HC'!$C$81</f>
        <v>0.60317923228613246</v>
      </c>
      <c r="Q114" s="44">
        <f>'Ethylene Recycling HC'!P81-'Ethylene Recycling HC'!$C$81</f>
        <v>0.67564310018922669</v>
      </c>
      <c r="R114" s="44">
        <f>'Ethylene Recycling HC'!Q81-'Ethylene Recycling HC'!$C$81</f>
        <v>0.74111072038766612</v>
      </c>
      <c r="S114" s="44">
        <f>'Ethylene Recycling HC'!R81-'Ethylene Recycling HC'!$C$81</f>
        <v>0.79906978217700497</v>
      </c>
      <c r="T114" s="44">
        <f>'Ethylene Recycling HC'!S81-'Ethylene Recycling HC'!$C$81</f>
        <v>0.85277074600912628</v>
      </c>
      <c r="U114" s="44">
        <f>'Ethylene Recycling HC'!T81-'Ethylene Recycling HC'!$C$81</f>
        <v>0.90208331797967767</v>
      </c>
      <c r="V114" s="44">
        <f>'Ethylene Recycling HC'!U81-'Ethylene Recycling HC'!$C$81</f>
        <v>0.94687824260202302</v>
      </c>
      <c r="W114" s="44">
        <f>'Ethylene Recycling HC'!V81-'Ethylene Recycling HC'!$C$81</f>
        <v>0.98702742030116064</v>
      </c>
      <c r="X114" s="44">
        <f>'Ethylene Recycling HC'!W81-'Ethylene Recycling HC'!$C$81</f>
        <v>1.0224040254905626</v>
      </c>
      <c r="Y114" s="44">
        <f>'Ethylene Recycling HC'!X81-'Ethylene Recycling HC'!$C$81</f>
        <v>1.1010667301086914</v>
      </c>
      <c r="Z114" s="44">
        <f>'Ethylene Recycling HC'!Y81-'Ethylene Recycling HC'!$C$81</f>
        <v>1.1724439501351454</v>
      </c>
      <c r="AA114" s="44">
        <f>'Ethylene Recycling HC'!Z81-'Ethylene Recycling HC'!$C$81</f>
        <v>1.2363385948121681</v>
      </c>
      <c r="AB114" s="44">
        <f>'Ethylene Recycling HC'!AA81-'Ethylene Recycling HC'!$C$81</f>
        <v>1.2925554750880395</v>
      </c>
      <c r="AC114" s="44">
        <f>'Ethylene Recycling HC'!AB81-'Ethylene Recycling HC'!$C$81</f>
        <v>1.3409014700840036</v>
      </c>
      <c r="AD114" s="44">
        <f>'Ethylene Recycling HC'!AC81-'Ethylene Recycling HC'!$C$81</f>
        <v>1.381210147958664</v>
      </c>
      <c r="AE114" s="44">
        <f>'Ethylene Recycling HC'!AD81-'Ethylene Recycling HC'!$C$81</f>
        <v>1.4132939672749749</v>
      </c>
      <c r="AF114" s="44">
        <f>'Ethylene Recycling HC'!AE81-'Ethylene Recycling HC'!$C$81</f>
        <v>1.4369674796614087</v>
      </c>
      <c r="AG114" s="44">
        <f>'Ethylene Recycling HC'!AF81-'Ethylene Recycling HC'!$C$81</f>
        <v>1.4520474788117548</v>
      </c>
      <c r="AH114" s="44">
        <f>'Ethylene Recycling HC'!AG81-'Ethylene Recycling HC'!$C$81</f>
        <v>1.4583531496738493</v>
      </c>
      <c r="AJ114" s="208"/>
    </row>
    <row r="115" spans="1:36" s="68" customFormat="1">
      <c r="A115" s="62"/>
      <c r="B115" s="62" t="s">
        <v>219</v>
      </c>
      <c r="C115" s="63" t="s">
        <v>153</v>
      </c>
      <c r="D115" s="64">
        <f>D112-D113-D114</f>
        <v>3.4336211538461541</v>
      </c>
      <c r="E115" s="64">
        <f t="shared" ref="E115:AG115" si="37">E112-E113-E114</f>
        <v>3.4413230670820969</v>
      </c>
      <c r="F115" s="64">
        <f t="shared" si="37"/>
        <v>3.4524814743908134</v>
      </c>
      <c r="G115" s="64">
        <f t="shared" si="37"/>
        <v>3.4676218579303244</v>
      </c>
      <c r="H115" s="64">
        <f t="shared" si="37"/>
        <v>3.4872617138732358</v>
      </c>
      <c r="I115" s="64">
        <f t="shared" si="37"/>
        <v>3.5119041246431655</v>
      </c>
      <c r="J115" s="64">
        <f t="shared" si="37"/>
        <v>3.5386150037174087</v>
      </c>
      <c r="K115" s="64">
        <f t="shared" si="37"/>
        <v>3.5675356404906902</v>
      </c>
      <c r="L115" s="64">
        <f t="shared" si="37"/>
        <v>3.5988093875984375</v>
      </c>
      <c r="M115" s="64">
        <f t="shared" si="37"/>
        <v>3.6325814008687249</v>
      </c>
      <c r="N115" s="64">
        <f t="shared" si="37"/>
        <v>3.6689983694745649</v>
      </c>
      <c r="O115" s="64">
        <f t="shared" si="37"/>
        <v>3.6506423870512466</v>
      </c>
      <c r="P115" s="64">
        <f t="shared" si="37"/>
        <v>3.6383343945744295</v>
      </c>
      <c r="Q115" s="64">
        <f t="shared" si="37"/>
        <v>3.6327890330668708</v>
      </c>
      <c r="R115" s="64">
        <f t="shared" si="37"/>
        <v>3.6346918566450475</v>
      </c>
      <c r="S115" s="64">
        <f t="shared" si="37"/>
        <v>3.6446923862982947</v>
      </c>
      <c r="T115" s="64">
        <f t="shared" si="37"/>
        <v>3.6591443933197585</v>
      </c>
      <c r="U115" s="64">
        <f t="shared" si="37"/>
        <v>3.6781805327046957</v>
      </c>
      <c r="V115" s="64">
        <f t="shared" si="37"/>
        <v>3.7019335707647985</v>
      </c>
      <c r="W115" s="64">
        <f t="shared" si="37"/>
        <v>3.7305363206476105</v>
      </c>
      <c r="X115" s="64">
        <f t="shared" si="37"/>
        <v>3.7641215780523112</v>
      </c>
      <c r="Y115" s="64">
        <f t="shared" si="37"/>
        <v>3.7423938156935606</v>
      </c>
      <c r="Z115" s="64">
        <f t="shared" si="37"/>
        <v>3.7270090514671219</v>
      </c>
      <c r="AA115" s="64">
        <f t="shared" si="37"/>
        <v>3.7181455811352908</v>
      </c>
      <c r="AB115" s="64">
        <f t="shared" si="37"/>
        <v>3.7159812431737178</v>
      </c>
      <c r="AC115" s="64">
        <f t="shared" si="37"/>
        <v>3.720693325383273</v>
      </c>
      <c r="AD115" s="64">
        <f t="shared" si="37"/>
        <v>3.7324263498481685</v>
      </c>
      <c r="AE115" s="64">
        <f t="shared" si="37"/>
        <v>3.7513532083561376</v>
      </c>
      <c r="AF115" s="64">
        <f t="shared" si="37"/>
        <v>3.7776462319244271</v>
      </c>
      <c r="AG115" s="64">
        <f t="shared" si="37"/>
        <v>3.8114771120038204</v>
      </c>
      <c r="AH115" s="64">
        <f>AH112-AH113-AH114</f>
        <v>3.8530168224272145</v>
      </c>
      <c r="AI115" s="437"/>
    </row>
    <row r="116" spans="1:36" s="67" customFormat="1">
      <c r="A116" s="755" t="s">
        <v>257</v>
      </c>
      <c r="B116" s="58" t="s">
        <v>258</v>
      </c>
      <c r="C116" s="59" t="s">
        <v>153</v>
      </c>
      <c r="D116" s="60">
        <f>D56-('Ethylene Recycling HC'!C82+'Ethylene Recycling HC'!C177-'Ethylene Recycling HC'!$C$82-'Ethylene Recycling HC'!$C$177)</f>
        <v>0</v>
      </c>
      <c r="E116" s="60">
        <f>E56-('Ethylene Recycling HC'!D82+'Ethylene Recycling HC'!D177-'Ethylene Recycling HC'!$C$82-'Ethylene Recycling HC'!$C$177)</f>
        <v>0</v>
      </c>
      <c r="F116" s="60">
        <f>F56-('Ethylene Recycling HC'!E82+'Ethylene Recycling HC'!E177-'Ethylene Recycling HC'!$C$82-'Ethylene Recycling HC'!$C$177)</f>
        <v>0</v>
      </c>
      <c r="G116" s="60">
        <f>G56-('Ethylene Recycling HC'!F82+'Ethylene Recycling HC'!F177-'Ethylene Recycling HC'!$C$82-'Ethylene Recycling HC'!$C$177)</f>
        <v>0</v>
      </c>
      <c r="H116" s="60">
        <f>H56-('Ethylene Recycling HC'!G82+'Ethylene Recycling HC'!G177-'Ethylene Recycling HC'!$C$82-'Ethylene Recycling HC'!$C$177)</f>
        <v>0</v>
      </c>
      <c r="I116" s="60">
        <f>I56-('Ethylene Recycling HC'!H82+'Ethylene Recycling HC'!H177-'Ethylene Recycling HC'!$C$82-'Ethylene Recycling HC'!$C$177)</f>
        <v>0</v>
      </c>
      <c r="J116" s="60">
        <f>J56-('Ethylene Recycling HC'!I82+'Ethylene Recycling HC'!I177-'Ethylene Recycling HC'!$C$82-'Ethylene Recycling HC'!$C$177)</f>
        <v>0</v>
      </c>
      <c r="K116" s="60">
        <f>K56-('Ethylene Recycling HC'!J82+'Ethylene Recycling HC'!J177-'Ethylene Recycling HC'!$C$82-'Ethylene Recycling HC'!$C$177)</f>
        <v>0</v>
      </c>
      <c r="L116" s="60">
        <f>L56-('Ethylene Recycling HC'!K82+'Ethylene Recycling HC'!K177-'Ethylene Recycling HC'!$C$82-'Ethylene Recycling HC'!$C$177)</f>
        <v>0</v>
      </c>
      <c r="M116" s="60">
        <f>M56-('Ethylene Recycling HC'!L82+'Ethylene Recycling HC'!L177-'Ethylene Recycling HC'!$C$82-'Ethylene Recycling HC'!$C$177)</f>
        <v>0</v>
      </c>
      <c r="N116" s="60">
        <f>N56-('Ethylene Recycling HC'!M82+'Ethylene Recycling HC'!M177-'Ethylene Recycling HC'!$C$82-'Ethylene Recycling HC'!$C$177)</f>
        <v>0</v>
      </c>
      <c r="O116" s="60">
        <f>O56-('Ethylene Recycling HC'!N82+'Ethylene Recycling HC'!N177-'Ethylene Recycling HC'!$C$82-'Ethylene Recycling HC'!$C$177)</f>
        <v>0</v>
      </c>
      <c r="P116" s="60">
        <f>P56-('Ethylene Recycling HC'!O82+'Ethylene Recycling HC'!O177-'Ethylene Recycling HC'!$C$82-'Ethylene Recycling HC'!$C$177)</f>
        <v>0</v>
      </c>
      <c r="Q116" s="60">
        <f>Q56-('Ethylene Recycling HC'!P82+'Ethylene Recycling HC'!P177-'Ethylene Recycling HC'!$C$82-'Ethylene Recycling HC'!$C$177)</f>
        <v>0</v>
      </c>
      <c r="R116" s="60">
        <f>R56-('Ethylene Recycling HC'!Q82+'Ethylene Recycling HC'!Q177-'Ethylene Recycling HC'!$C$82-'Ethylene Recycling HC'!$C$177)</f>
        <v>0</v>
      </c>
      <c r="S116" s="60">
        <f>S56-('Ethylene Recycling HC'!R82+'Ethylene Recycling HC'!R177-'Ethylene Recycling HC'!$C$82-'Ethylene Recycling HC'!$C$177)</f>
        <v>0</v>
      </c>
      <c r="T116" s="60">
        <f>T56-('Ethylene Recycling HC'!S82+'Ethylene Recycling HC'!S177-'Ethylene Recycling HC'!$C$82-'Ethylene Recycling HC'!$C$177)</f>
        <v>0</v>
      </c>
      <c r="U116" s="60">
        <f>U56-('Ethylene Recycling HC'!T82+'Ethylene Recycling HC'!T177-'Ethylene Recycling HC'!$C$82-'Ethylene Recycling HC'!$C$177)</f>
        <v>0</v>
      </c>
      <c r="V116" s="60">
        <f>V56-('Ethylene Recycling HC'!U82+'Ethylene Recycling HC'!U177-'Ethylene Recycling HC'!$C$82-'Ethylene Recycling HC'!$C$177)</f>
        <v>0</v>
      </c>
      <c r="W116" s="60">
        <f>W56-('Ethylene Recycling HC'!V82+'Ethylene Recycling HC'!V177-'Ethylene Recycling HC'!$C$82-'Ethylene Recycling HC'!$C$177)</f>
        <v>0</v>
      </c>
      <c r="X116" s="60">
        <f>X56-('Ethylene Recycling HC'!W82+'Ethylene Recycling HC'!W177-'Ethylene Recycling HC'!$C$82-'Ethylene Recycling HC'!$C$177)</f>
        <v>0</v>
      </c>
      <c r="Y116" s="60">
        <f>Y56-('Ethylene Recycling HC'!X82+'Ethylene Recycling HC'!X177-'Ethylene Recycling HC'!$C$82-'Ethylene Recycling HC'!$C$177)</f>
        <v>0</v>
      </c>
      <c r="Z116" s="60">
        <f>Z56-('Ethylene Recycling HC'!Y82+'Ethylene Recycling HC'!Y177-'Ethylene Recycling HC'!$C$82-'Ethylene Recycling HC'!$C$177)</f>
        <v>0</v>
      </c>
      <c r="AA116" s="60">
        <f>AA56-('Ethylene Recycling HC'!Z82+'Ethylene Recycling HC'!Z177-'Ethylene Recycling HC'!$C$82-'Ethylene Recycling HC'!$C$177)</f>
        <v>0</v>
      </c>
      <c r="AB116" s="60">
        <f>AB56-('Ethylene Recycling HC'!AA82+'Ethylene Recycling HC'!AA177-'Ethylene Recycling HC'!$C$82-'Ethylene Recycling HC'!$C$177)</f>
        <v>0</v>
      </c>
      <c r="AC116" s="60">
        <f>AC56-('Ethylene Recycling HC'!AB82+'Ethylene Recycling HC'!AB177-'Ethylene Recycling HC'!$C$82-'Ethylene Recycling HC'!$C$177)</f>
        <v>0</v>
      </c>
      <c r="AD116" s="60">
        <f>AD56-('Ethylene Recycling HC'!AC82+'Ethylene Recycling HC'!AC177-'Ethylene Recycling HC'!$C$82-'Ethylene Recycling HC'!$C$177)</f>
        <v>0</v>
      </c>
      <c r="AE116" s="60">
        <f>AE56-('Ethylene Recycling HC'!AD82+'Ethylene Recycling HC'!AD177-'Ethylene Recycling HC'!$C$82-'Ethylene Recycling HC'!$C$177)</f>
        <v>0</v>
      </c>
      <c r="AF116" s="60">
        <f>AF56-('Ethylene Recycling HC'!AE82+'Ethylene Recycling HC'!AE177-'Ethylene Recycling HC'!$C$82-'Ethylene Recycling HC'!$C$177)</f>
        <v>0</v>
      </c>
      <c r="AG116" s="60">
        <f>AG56-('Ethylene Recycling HC'!AF82+'Ethylene Recycling HC'!AF177-'Ethylene Recycling HC'!$C$82-'Ethylene Recycling HC'!$C$177)</f>
        <v>0</v>
      </c>
      <c r="AH116" s="60">
        <f>AH56-('Ethylene Recycling HC'!AG82+'Ethylene Recycling HC'!AG177-'Ethylene Recycling HC'!$C$82-'Ethylene Recycling HC'!$C$177)</f>
        <v>0</v>
      </c>
      <c r="AI116" s="437"/>
    </row>
    <row r="117" spans="1:36">
      <c r="A117" s="756"/>
      <c r="B117" s="1" t="s">
        <v>260</v>
      </c>
      <c r="C117" s="54" t="s">
        <v>153</v>
      </c>
      <c r="D117" s="44">
        <f>D57+(D121-D61)</f>
        <v>3.4336211538461541</v>
      </c>
      <c r="E117" s="44">
        <f t="shared" ref="E117:AH117" si="38">E57+(E121-E61)</f>
        <v>3.4424481628498906</v>
      </c>
      <c r="F117" s="44">
        <f t="shared" si="38"/>
        <v>3.4548512641631479</v>
      </c>
      <c r="G117" s="44">
        <f t="shared" si="38"/>
        <v>3.4713552407019108</v>
      </c>
      <c r="H117" s="44">
        <f t="shared" si="38"/>
        <v>3.4924753465260001</v>
      </c>
      <c r="I117" s="44">
        <f t="shared" si="38"/>
        <v>3.5187108186488509</v>
      </c>
      <c r="J117" s="44">
        <f t="shared" si="38"/>
        <v>3.5471498672469095</v>
      </c>
      <c r="K117" s="44">
        <f t="shared" si="38"/>
        <v>3.5779384775700862</v>
      </c>
      <c r="L117" s="44">
        <f t="shared" si="38"/>
        <v>3.6112245793675566</v>
      </c>
      <c r="M117" s="44">
        <f t="shared" si="38"/>
        <v>3.6471577685542726</v>
      </c>
      <c r="N117" s="44">
        <f t="shared" si="38"/>
        <v>3.6858890188407996</v>
      </c>
      <c r="O117" s="44">
        <f t="shared" si="38"/>
        <v>3.670735657382481</v>
      </c>
      <c r="P117" s="44">
        <f t="shared" si="38"/>
        <v>3.6618631142364118</v>
      </c>
      <c r="Q117" s="44">
        <f t="shared" si="38"/>
        <v>3.6599774623715646</v>
      </c>
      <c r="R117" s="44">
        <f t="shared" si="38"/>
        <v>3.6657530792082893</v>
      </c>
      <c r="S117" s="44">
        <f t="shared" si="38"/>
        <v>3.6798257099211229</v>
      </c>
      <c r="T117" s="44">
        <f t="shared" si="38"/>
        <v>3.6986116327340728</v>
      </c>
      <c r="U117" s="44">
        <f t="shared" si="38"/>
        <v>3.7222492436566954</v>
      </c>
      <c r="V117" s="44">
        <f t="shared" si="38"/>
        <v>3.7508770133694957</v>
      </c>
      <c r="W117" s="44">
        <f t="shared" si="38"/>
        <v>3.7846334178485455</v>
      </c>
      <c r="X117" s="44">
        <f t="shared" si="38"/>
        <v>3.8236568691314021</v>
      </c>
      <c r="Y117" s="44">
        <f t="shared" si="38"/>
        <v>3.8094070381988949</v>
      </c>
      <c r="Z117" s="44">
        <f t="shared" si="38"/>
        <v>3.8019627699655887</v>
      </c>
      <c r="AA117" s="44">
        <f t="shared" si="38"/>
        <v>3.8015119315512926</v>
      </c>
      <c r="AB117" s="44">
        <f t="shared" si="38"/>
        <v>3.8082418709863095</v>
      </c>
      <c r="AC117" s="44">
        <f t="shared" si="38"/>
        <v>3.8223393164172297</v>
      </c>
      <c r="AD117" s="44">
        <f t="shared" si="38"/>
        <v>3.8439592493400432</v>
      </c>
      <c r="AE117" s="44">
        <f t="shared" si="38"/>
        <v>3.8732841374173579</v>
      </c>
      <c r="AF117" s="44">
        <f t="shared" si="38"/>
        <v>3.9104958257156448</v>
      </c>
      <c r="AG117" s="44">
        <f t="shared" si="38"/>
        <v>3.955775451177225</v>
      </c>
      <c r="AH117" s="44">
        <f t="shared" si="38"/>
        <v>4.0093033577727191</v>
      </c>
      <c r="AI117" s="437"/>
    </row>
    <row r="118" spans="1:36">
      <c r="A118" s="756"/>
      <c r="B118" s="1" t="s">
        <v>262</v>
      </c>
      <c r="C118" s="54" t="s">
        <v>153</v>
      </c>
      <c r="D118" s="44">
        <f>D58+(D120-D60)</f>
        <v>0</v>
      </c>
      <c r="E118" s="44">
        <f t="shared" ref="E118:AH118" si="39">E58+(E120-E60)</f>
        <v>0</v>
      </c>
      <c r="F118" s="44">
        <f t="shared" si="39"/>
        <v>0</v>
      </c>
      <c r="G118" s="44">
        <f t="shared" si="39"/>
        <v>0</v>
      </c>
      <c r="H118" s="44">
        <f t="shared" si="39"/>
        <v>0</v>
      </c>
      <c r="I118" s="44">
        <f t="shared" si="39"/>
        <v>0</v>
      </c>
      <c r="J118" s="44">
        <f t="shared" si="39"/>
        <v>0</v>
      </c>
      <c r="K118" s="44">
        <f t="shared" si="39"/>
        <v>0</v>
      </c>
      <c r="L118" s="44">
        <f t="shared" si="39"/>
        <v>0</v>
      </c>
      <c r="M118" s="44">
        <f t="shared" si="39"/>
        <v>0</v>
      </c>
      <c r="N118" s="44">
        <f t="shared" si="39"/>
        <v>0</v>
      </c>
      <c r="O118" s="44">
        <f t="shared" si="39"/>
        <v>0</v>
      </c>
      <c r="P118" s="44">
        <f t="shared" si="39"/>
        <v>0</v>
      </c>
      <c r="Q118" s="44">
        <f t="shared" si="39"/>
        <v>0</v>
      </c>
      <c r="R118" s="44">
        <f t="shared" si="39"/>
        <v>0</v>
      </c>
      <c r="S118" s="44">
        <f t="shared" si="39"/>
        <v>0</v>
      </c>
      <c r="T118" s="44">
        <f t="shared" si="39"/>
        <v>0</v>
      </c>
      <c r="U118" s="44">
        <f t="shared" si="39"/>
        <v>0</v>
      </c>
      <c r="V118" s="44">
        <f t="shared" si="39"/>
        <v>0</v>
      </c>
      <c r="W118" s="44">
        <f t="shared" si="39"/>
        <v>0</v>
      </c>
      <c r="X118" s="44">
        <f t="shared" si="39"/>
        <v>0</v>
      </c>
      <c r="Y118" s="44">
        <f t="shared" si="39"/>
        <v>0</v>
      </c>
      <c r="Z118" s="44">
        <f t="shared" si="39"/>
        <v>0</v>
      </c>
      <c r="AA118" s="44">
        <f t="shared" si="39"/>
        <v>0</v>
      </c>
      <c r="AB118" s="44">
        <f t="shared" si="39"/>
        <v>0</v>
      </c>
      <c r="AC118" s="44">
        <f t="shared" si="39"/>
        <v>0</v>
      </c>
      <c r="AD118" s="44">
        <f t="shared" si="39"/>
        <v>0</v>
      </c>
      <c r="AE118" s="44">
        <f t="shared" si="39"/>
        <v>0</v>
      </c>
      <c r="AF118" s="44">
        <f t="shared" si="39"/>
        <v>0</v>
      </c>
      <c r="AG118" s="44">
        <f t="shared" si="39"/>
        <v>0</v>
      </c>
      <c r="AH118" s="44">
        <f t="shared" si="39"/>
        <v>0</v>
      </c>
      <c r="AI118" s="437"/>
    </row>
    <row r="119" spans="1:36">
      <c r="A119" s="757"/>
      <c r="B119" s="1" t="s">
        <v>248</v>
      </c>
      <c r="C119" s="54" t="s">
        <v>153</v>
      </c>
      <c r="D119" s="44">
        <f>D59-('Ethylene Recycling HC'!C83+'Ethylene Recycling HC'!C178-'Ethylene Recycling HC'!$C$83-'Ethylene Recycling HC'!$C$178+'Ethylene Recycling HC'!C86+'Ethylene Recycling HC'!C181-'Ethylene Recycling HC'!$C$86-'Ethylene Recycling HC'!$C$181)</f>
        <v>0</v>
      </c>
      <c r="E119" s="44">
        <f>E59-('Ethylene Recycling HC'!D83+'Ethylene Recycling HC'!D178-'Ethylene Recycling HC'!$C$83-'Ethylene Recycling HC'!$C$178+'Ethylene Recycling HC'!D86+'Ethylene Recycling HC'!D181-'Ethylene Recycling HC'!$C$86-'Ethylene Recycling HC'!$C$181)</f>
        <v>-1.1669857490326499E-3</v>
      </c>
      <c r="F119" s="44">
        <f>F59-('Ethylene Recycling HC'!E83+'Ethylene Recycling HC'!E178-'Ethylene Recycling HC'!$C$83-'Ethylene Recycling HC'!$C$178+'Ethylene Recycling HC'!E86+'Ethylene Recycling HC'!E181-'Ethylene Recycling HC'!$C$86-'Ethylene Recycling HC'!$C$181)</f>
        <v>-2.4571383783919239E-3</v>
      </c>
      <c r="G119" s="44">
        <f>G59-('Ethylene Recycling HC'!F83+'Ethylene Recycling HC'!F178-'Ethylene Recycling HC'!$C$83-'Ethylene Recycling HC'!$C$178+'Ethylene Recycling HC'!F86+'Ethylene Recycling HC'!F181-'Ethylene Recycling HC'!$C$86-'Ethylene Recycling HC'!$C$181)</f>
        <v>-3.8694331919984703E-3</v>
      </c>
      <c r="H119" s="44">
        <f>H59-('Ethylene Recycling HC'!G83+'Ethylene Recycling HC'!G178-'Ethylene Recycling HC'!$C$83-'Ethylene Recycling HC'!$C$178+'Ethylene Recycling HC'!G86+'Ethylene Recycling HC'!G181-'Ethylene Recycling HC'!$C$86-'Ethylene Recycling HC'!$C$181)</f>
        <v>-5.401240302585329E-3</v>
      </c>
      <c r="I119" s="44">
        <f>I59-('Ethylene Recycling HC'!H83+'Ethylene Recycling HC'!H178-'Ethylene Recycling HC'!$C$83-'Ethylene Recycling HC'!$C$178+'Ethylene Recycling HC'!H86+'Ethylene Recycling HC'!H181-'Ethylene Recycling HC'!$C$86-'Ethylene Recycling HC'!$C$181)</f>
        <v>-7.0482685728947255E-3</v>
      </c>
      <c r="J119" s="44">
        <f>J59-('Ethylene Recycling HC'!I83+'Ethylene Recycling HC'!I178-'Ethylene Recycling HC'!$C$83-'Ethylene Recycling HC'!$C$178+'Ethylene Recycling HC'!I86+'Ethylene Recycling HC'!I181-'Ethylene Recycling HC'!$C$86-'Ethylene Recycling HC'!$C$181)</f>
        <v>-8.8329584477680571E-3</v>
      </c>
      <c r="K119" s="44">
        <f>K59-('Ethylene Recycling HC'!J83+'Ethylene Recycling HC'!J178-'Ethylene Recycling HC'!$C$83-'Ethylene Recycling HC'!$C$178+'Ethylene Recycling HC'!J86+'Ethylene Recycling HC'!J181-'Ethylene Recycling HC'!$C$86-'Ethylene Recycling HC'!$C$181)</f>
        <v>-1.0759837060103764E-2</v>
      </c>
      <c r="L119" s="44">
        <f>L59-('Ethylene Recycling HC'!K83+'Ethylene Recycling HC'!K178-'Ethylene Recycling HC'!$C$83-'Ethylene Recycling HC'!$C$178+'Ethylene Recycling HC'!K86+'Ethylene Recycling HC'!K181-'Ethylene Recycling HC'!$C$86-'Ethylene Recycling HC'!$C$181)</f>
        <v>-1.2833294130743193E-2</v>
      </c>
      <c r="M119" s="44">
        <f>M59-('Ethylene Recycling HC'!L83+'Ethylene Recycling HC'!L178-'Ethylene Recycling HC'!$C$83-'Ethylene Recycling HC'!$C$178+'Ethylene Recycling HC'!L86+'Ethylene Recycling HC'!L181-'Ethylene Recycling HC'!$C$86-'Ethylene Recycling HC'!$C$181)</f>
        <v>-1.5057563719432225E-2</v>
      </c>
      <c r="N119" s="44">
        <f>N59-('Ethylene Recycling HC'!M83+'Ethylene Recycling HC'!M178-'Ethylene Recycling HC'!$C$83-'Ethylene Recycling HC'!$C$178+'Ethylene Recycling HC'!M86+'Ethylene Recycling HC'!M181-'Ethylene Recycling HC'!$C$86-'Ethylene Recycling HC'!$C$181)</f>
        <v>-1.7436705822975625E-2</v>
      </c>
      <c r="O119" s="44">
        <f>O59-('Ethylene Recycling HC'!N83+'Ethylene Recycling HC'!N178-'Ethylene Recycling HC'!$C$83-'Ethylene Recycling HC'!$C$178+'Ethylene Recycling HC'!N86+'Ethylene Recycling HC'!N181-'Ethylene Recycling HC'!$C$86-'Ethylene Recycling HC'!$C$181)</f>
        <v>-2.0724863227947959E-2</v>
      </c>
      <c r="P119" s="44">
        <f>P59-('Ethylene Recycling HC'!O83+'Ethylene Recycling HC'!O178-'Ethylene Recycling HC'!$C$83-'Ethylene Recycling HC'!$C$178+'Ethylene Recycling HC'!O86+'Ethylene Recycling HC'!O181-'Ethylene Recycling HC'!$C$86-'Ethylene Recycling HC'!$C$181)</f>
        <v>-2.4249157034683246E-2</v>
      </c>
      <c r="Q119" s="44">
        <f>Q59-('Ethylene Recycling HC'!P83+'Ethylene Recycling HC'!P178-'Ethylene Recycling HC'!$C$83-'Ethylene Recycling HC'!$C$178+'Ethylene Recycling HC'!P86+'Ethylene Recycling HC'!P181-'Ethylene Recycling HC'!$C$86-'Ethylene Recycling HC'!$C$181)</f>
        <v>-2.8000174620832059E-2</v>
      </c>
      <c r="R119" s="44">
        <f>R59-('Ethylene Recycling HC'!Q83+'Ethylene Recycling HC'!Q178-'Ethylene Recycling HC'!$C$83-'Ethylene Recycling HC'!$C$178+'Ethylene Recycling HC'!Q86+'Ethylene Recycling HC'!Q181-'Ethylene Recycling HC'!$C$86-'Ethylene Recycling HC'!$C$181)</f>
        <v>-3.196583537273312E-2</v>
      </c>
      <c r="S119" s="44">
        <f>S59-('Ethylene Recycling HC'!R83+'Ethylene Recycling HC'!R178-'Ethylene Recycling HC'!$C$83-'Ethylene Recycling HC'!$C$178+'Ethylene Recycling HC'!R86+'Ethylene Recycling HC'!R181-'Ethylene Recycling HC'!$C$86-'Ethylene Recycling HC'!$C$181)</f>
        <v>-3.6131411637585799E-2</v>
      </c>
      <c r="T119" s="44">
        <f>T59-('Ethylene Recycling HC'!S83+'Ethylene Recycling HC'!S178-'Ethylene Recycling HC'!$C$83-'Ethylene Recycling HC'!$C$178+'Ethylene Recycling HC'!S86+'Ethylene Recycling HC'!S181-'Ethylene Recycling HC'!$C$86-'Ethylene Recycling HC'!$C$181)</f>
        <v>-4.0560389016071882E-2</v>
      </c>
      <c r="U119" s="44">
        <f>U59-('Ethylene Recycling HC'!T83+'Ethylene Recycling HC'!T178-'Ethylene Recycling HC'!$C$83-'Ethylene Recycling HC'!$C$178+'Ethylene Recycling HC'!T86+'Ethylene Recycling HC'!T181-'Ethylene Recycling HC'!$C$86-'Ethylene Recycling HC'!$C$181)</f>
        <v>-4.5258010940264271E-2</v>
      </c>
      <c r="V119" s="44">
        <f>V59-('Ethylene Recycling HC'!U83+'Ethylene Recycling HC'!U178-'Ethylene Recycling HC'!$C$83-'Ethylene Recycling HC'!$C$178+'Ethylene Recycling HC'!U86+'Ethylene Recycling HC'!U181-'Ethylene Recycling HC'!$C$86-'Ethylene Recycling HC'!$C$181)</f>
        <v>-5.0229467516361363E-2</v>
      </c>
      <c r="W119" s="44">
        <f>W59-('Ethylene Recycling HC'!V83+'Ethylene Recycling HC'!V178-'Ethylene Recycling HC'!$C$83-'Ethylene Recycling HC'!$C$178+'Ethylene Recycling HC'!V86+'Ethylene Recycling HC'!V181-'Ethylene Recycling HC'!$C$86-'Ethylene Recycling HC'!$C$181)</f>
        <v>-5.5479890876352488E-2</v>
      </c>
      <c r="X119" s="44">
        <f>X59-('Ethylene Recycling HC'!W83+'Ethylene Recycling HC'!W178-'Ethylene Recycling HC'!$C$83-'Ethylene Recycling HC'!$C$178+'Ethylene Recycling HC'!W86+'Ethylene Recycling HC'!W181-'Ethylene Recycling HC'!$C$86-'Ethylene Recycling HC'!$C$181)</f>
        <v>-6.1014350498405527E-2</v>
      </c>
      <c r="Y119" s="44">
        <f>Y59-('Ethylene Recycling HC'!X83+'Ethylene Recycling HC'!X178-'Ethylene Recycling HC'!$C$83-'Ethylene Recycling HC'!$C$178+'Ethylene Recycling HC'!X86+'Ethylene Recycling HC'!X181-'Ethylene Recycling HC'!$C$86-'Ethylene Recycling HC'!$C$181)</f>
        <v>-6.8621071677382697E-2</v>
      </c>
      <c r="Z119" s="44">
        <f>Z59-('Ethylene Recycling HC'!Y83+'Ethylene Recycling HC'!Y178-'Ethylene Recycling HC'!$C$83-'Ethylene Recycling HC'!$C$178+'Ethylene Recycling HC'!Y86+'Ethylene Recycling HC'!Y181-'Ethylene Recycling HC'!$C$86-'Ethylene Recycling HC'!$C$181)</f>
        <v>-7.669025932115478E-2</v>
      </c>
      <c r="AA119" s="44">
        <f>AA59-('Ethylene Recycling HC'!Z83+'Ethylene Recycling HC'!Z178-'Ethylene Recycling HC'!$C$83-'Ethylene Recycling HC'!$C$178+'Ethylene Recycling HC'!Z86+'Ethylene Recycling HC'!Z181-'Ethylene Recycling HC'!$C$86-'Ethylene Recycling HC'!$C$181)</f>
        <v>-8.5230608763990662E-2</v>
      </c>
      <c r="AB119" s="44">
        <f>AB59-('Ethylene Recycling HC'!AA83+'Ethylene Recycling HC'!AA178-'Ethylene Recycling HC'!$C$83-'Ethylene Recycling HC'!$C$178+'Ethylene Recycling HC'!AA86+'Ethylene Recycling HC'!AA181-'Ethylene Recycling HC'!$C$86-'Ethylene Recycling HC'!$C$181)</f>
        <v>-9.4250728882008777E-2</v>
      </c>
      <c r="AC119" s="44">
        <f>AC59-('Ethylene Recycling HC'!AB83+'Ethylene Recycling HC'!AB178-'Ethylene Recycling HC'!$C$83-'Ethylene Recycling HC'!$C$178+'Ethylene Recycling HC'!AB86+'Ethylene Recycling HC'!AB181-'Ethylene Recycling HC'!$C$86-'Ethylene Recycling HC'!$C$181)</f>
        <v>-0.1037591351408962</v>
      </c>
      <c r="AD119" s="44">
        <f>AD59-('Ethylene Recycling HC'!AC83+'Ethylene Recycling HC'!AC178-'Ethylene Recycling HC'!$C$83-'Ethylene Recycling HC'!$C$178+'Ethylene Recycling HC'!AC86+'Ethylene Recycling HC'!AC181-'Ethylene Recycling HC'!$C$86-'Ethylene Recycling HC'!$C$181)</f>
        <v>-0.11376535946424922</v>
      </c>
      <c r="AE119" s="44">
        <f>AE59-('Ethylene Recycling HC'!AD83+'Ethylene Recycling HC'!AD178-'Ethylene Recycling HC'!$C$83-'Ethylene Recycling HC'!$C$178+'Ethylene Recycling HC'!AD86+'Ethylene Recycling HC'!AD181-'Ethylene Recycling HC'!$C$86-'Ethylene Recycling HC'!$C$181)</f>
        <v>-0.12427800921910014</v>
      </c>
      <c r="AF119" s="44">
        <f>AF59-('Ethylene Recycling HC'!AE83+'Ethylene Recycling HC'!AE178-'Ethylene Recycling HC'!$C$83-'Ethylene Recycling HC'!$C$178+'Ethylene Recycling HC'!AE86+'Ethylene Recycling HC'!AE181-'Ethylene Recycling HC'!$C$86-'Ethylene Recycling HC'!$C$181)</f>
        <v>-0.13530560698991057</v>
      </c>
      <c r="AG119" s="44">
        <f>AG59-('Ethylene Recycling HC'!AF83+'Ethylene Recycling HC'!AF178-'Ethylene Recycling HC'!$C$83-'Ethylene Recycling HC'!$C$178+'Ethylene Recycling HC'!AF86+'Ethylene Recycling HC'!AF181-'Ethylene Recycling HC'!$C$86-'Ethylene Recycling HC'!$C$181)</f>
        <v>-0.1468565843373823</v>
      </c>
      <c r="AH119" s="44">
        <f>AH59-('Ethylene Recycling HC'!AG83+'Ethylene Recycling HC'!AG178-'Ethylene Recycling HC'!$C$83-'Ethylene Recycling HC'!$C$178+'Ethylene Recycling HC'!AG86+'Ethylene Recycling HC'!AG181-'Ethylene Recycling HC'!$C$86-'Ethylene Recycling HC'!$C$181)</f>
        <v>-0.1589392755230378</v>
      </c>
      <c r="AI119" s="437"/>
    </row>
    <row r="120" spans="1:36" s="67" customFormat="1">
      <c r="A120" s="758" t="s">
        <v>263</v>
      </c>
      <c r="B120" s="58" t="s">
        <v>264</v>
      </c>
      <c r="C120" s="59" t="s">
        <v>153</v>
      </c>
      <c r="D120" s="60">
        <f>D60-('Ethylene Recycling HC'!C179+'Ethylene Recycling HC'!C84-'Ethylene Recycling HC'!$C$179-'Ethylene Recycling HC'!$C$84)</f>
        <v>0</v>
      </c>
      <c r="E120" s="60">
        <f>E60-('Ethylene Recycling HC'!D179+'Ethylene Recycling HC'!D84-'Ethylene Recycling HC'!$C$179-'Ethylene Recycling HC'!$C$84)</f>
        <v>0</v>
      </c>
      <c r="F120" s="60">
        <f>F60-('Ethylene Recycling HC'!E179+'Ethylene Recycling HC'!E84-'Ethylene Recycling HC'!$C$179-'Ethylene Recycling HC'!$C$84)</f>
        <v>0</v>
      </c>
      <c r="G120" s="60">
        <f>G60-('Ethylene Recycling HC'!F179+'Ethylene Recycling HC'!F84-'Ethylene Recycling HC'!$C$179-'Ethylene Recycling HC'!$C$84)</f>
        <v>0</v>
      </c>
      <c r="H120" s="60">
        <f>H60-('Ethylene Recycling HC'!G179+'Ethylene Recycling HC'!G84-'Ethylene Recycling HC'!$C$179-'Ethylene Recycling HC'!$C$84)</f>
        <v>0</v>
      </c>
      <c r="I120" s="60">
        <f>I60-('Ethylene Recycling HC'!H179+'Ethylene Recycling HC'!H84-'Ethylene Recycling HC'!$C$179-'Ethylene Recycling HC'!$C$84)</f>
        <v>0</v>
      </c>
      <c r="J120" s="60">
        <f>J60-('Ethylene Recycling HC'!I179+'Ethylene Recycling HC'!I84-'Ethylene Recycling HC'!$C$179-'Ethylene Recycling HC'!$C$84)</f>
        <v>0</v>
      </c>
      <c r="K120" s="60">
        <f>K60-('Ethylene Recycling HC'!J179+'Ethylene Recycling HC'!J84-'Ethylene Recycling HC'!$C$179-'Ethylene Recycling HC'!$C$84)</f>
        <v>0</v>
      </c>
      <c r="L120" s="60">
        <f>L60-('Ethylene Recycling HC'!K179+'Ethylene Recycling HC'!K84-'Ethylene Recycling HC'!$C$179-'Ethylene Recycling HC'!$C$84)</f>
        <v>0</v>
      </c>
      <c r="M120" s="60">
        <f>M60-('Ethylene Recycling HC'!L179+'Ethylene Recycling HC'!L84-'Ethylene Recycling HC'!$C$179-'Ethylene Recycling HC'!$C$84)</f>
        <v>0</v>
      </c>
      <c r="N120" s="60">
        <f>N60-('Ethylene Recycling HC'!M179+'Ethylene Recycling HC'!M84-'Ethylene Recycling HC'!$C$179-'Ethylene Recycling HC'!$C$84)</f>
        <v>0</v>
      </c>
      <c r="O120" s="60">
        <f>O60-('Ethylene Recycling HC'!N179+'Ethylene Recycling HC'!N84-'Ethylene Recycling HC'!$C$179-'Ethylene Recycling HC'!$C$84)</f>
        <v>0</v>
      </c>
      <c r="P120" s="60">
        <f>P60-('Ethylene Recycling HC'!O179+'Ethylene Recycling HC'!O84-'Ethylene Recycling HC'!$C$179-'Ethylene Recycling HC'!$C$84)</f>
        <v>0</v>
      </c>
      <c r="Q120" s="60">
        <f>Q60-('Ethylene Recycling HC'!P179+'Ethylene Recycling HC'!P84-'Ethylene Recycling HC'!$C$179-'Ethylene Recycling HC'!$C$84)</f>
        <v>0</v>
      </c>
      <c r="R120" s="60">
        <f>R60-('Ethylene Recycling HC'!Q179+'Ethylene Recycling HC'!Q84-'Ethylene Recycling HC'!$C$179-'Ethylene Recycling HC'!$C$84)</f>
        <v>0</v>
      </c>
      <c r="S120" s="60">
        <f>S60-('Ethylene Recycling HC'!R179+'Ethylene Recycling HC'!R84-'Ethylene Recycling HC'!$C$179-'Ethylene Recycling HC'!$C$84)</f>
        <v>0</v>
      </c>
      <c r="T120" s="60">
        <f>T60-('Ethylene Recycling HC'!S179+'Ethylene Recycling HC'!S84-'Ethylene Recycling HC'!$C$179-'Ethylene Recycling HC'!$C$84)</f>
        <v>0</v>
      </c>
      <c r="U120" s="60">
        <f>U60-('Ethylene Recycling HC'!T179+'Ethylene Recycling HC'!T84-'Ethylene Recycling HC'!$C$179-'Ethylene Recycling HC'!$C$84)</f>
        <v>0</v>
      </c>
      <c r="V120" s="60">
        <f>V60-('Ethylene Recycling HC'!U179+'Ethylene Recycling HC'!U84-'Ethylene Recycling HC'!$C$179-'Ethylene Recycling HC'!$C$84)</f>
        <v>0</v>
      </c>
      <c r="W120" s="60">
        <f>W60-('Ethylene Recycling HC'!V179+'Ethylene Recycling HC'!V84-'Ethylene Recycling HC'!$C$179-'Ethylene Recycling HC'!$C$84)</f>
        <v>0</v>
      </c>
      <c r="X120" s="60">
        <f>X60-('Ethylene Recycling HC'!W179+'Ethylene Recycling HC'!W84-'Ethylene Recycling HC'!$C$179-'Ethylene Recycling HC'!$C$84)</f>
        <v>0</v>
      </c>
      <c r="Y120" s="60">
        <f>Y60-('Ethylene Recycling HC'!X179+'Ethylene Recycling HC'!X84-'Ethylene Recycling HC'!$C$179-'Ethylene Recycling HC'!$C$84)</f>
        <v>0</v>
      </c>
      <c r="Z120" s="60">
        <f>Z60-('Ethylene Recycling HC'!Y179+'Ethylene Recycling HC'!Y84-'Ethylene Recycling HC'!$C$179-'Ethylene Recycling HC'!$C$84)</f>
        <v>0</v>
      </c>
      <c r="AA120" s="60">
        <f>AA60-('Ethylene Recycling HC'!Z179+'Ethylene Recycling HC'!Z84-'Ethylene Recycling HC'!$C$179-'Ethylene Recycling HC'!$C$84)</f>
        <v>0</v>
      </c>
      <c r="AB120" s="60">
        <f>AB60-('Ethylene Recycling HC'!AA179+'Ethylene Recycling HC'!AA84-'Ethylene Recycling HC'!$C$179-'Ethylene Recycling HC'!$C$84)</f>
        <v>0</v>
      </c>
      <c r="AC120" s="60">
        <f>AC60-('Ethylene Recycling HC'!AB179+'Ethylene Recycling HC'!AB84-'Ethylene Recycling HC'!$C$179-'Ethylene Recycling HC'!$C$84)</f>
        <v>0</v>
      </c>
      <c r="AD120" s="60">
        <f>AD60-('Ethylene Recycling HC'!AC179+'Ethylene Recycling HC'!AC84-'Ethylene Recycling HC'!$C$179-'Ethylene Recycling HC'!$C$84)</f>
        <v>0</v>
      </c>
      <c r="AE120" s="60">
        <f>AE60-('Ethylene Recycling HC'!AD179+'Ethylene Recycling HC'!AD84-'Ethylene Recycling HC'!$C$179-'Ethylene Recycling HC'!$C$84)</f>
        <v>0</v>
      </c>
      <c r="AF120" s="60">
        <f>AF60-('Ethylene Recycling HC'!AE179+'Ethylene Recycling HC'!AE84-'Ethylene Recycling HC'!$C$179-'Ethylene Recycling HC'!$C$84)</f>
        <v>0</v>
      </c>
      <c r="AG120" s="60">
        <f>AG60-('Ethylene Recycling HC'!AF179+'Ethylene Recycling HC'!AF84-'Ethylene Recycling HC'!$C$179-'Ethylene Recycling HC'!$C$84)</f>
        <v>0</v>
      </c>
      <c r="AH120" s="60">
        <f>AH60-('Ethylene Recycling HC'!AG179+'Ethylene Recycling HC'!AG84-'Ethylene Recycling HC'!$C$179-'Ethylene Recycling HC'!$C$84)</f>
        <v>0</v>
      </c>
      <c r="AI120" s="60"/>
    </row>
    <row r="121" spans="1:36" s="68" customFormat="1">
      <c r="A121" s="759"/>
      <c r="B121" s="62" t="s">
        <v>266</v>
      </c>
      <c r="C121" s="283" t="s">
        <v>153</v>
      </c>
      <c r="D121" s="284">
        <f>D61-('Ethylene Recycling HC'!C85+'Ethylene Recycling HC'!C180-'Ethylene Recycling HC'!$C$85-'Ethylene Recycling HC'!$C$180)</f>
        <v>3.4336211538461541</v>
      </c>
      <c r="E121" s="284">
        <f>E61-('Ethylene Recycling HC'!D85+'Ethylene Recycling HC'!D180-'Ethylene Recycling HC'!$C$85-'Ethylene Recycling HC'!$C$180)</f>
        <v>3.4424481628498906</v>
      </c>
      <c r="F121" s="284">
        <f>F61-('Ethylene Recycling HC'!E85+'Ethylene Recycling HC'!E180-'Ethylene Recycling HC'!$C$85-'Ethylene Recycling HC'!$C$180)</f>
        <v>3.4548512641631479</v>
      </c>
      <c r="G121" s="284">
        <f>G61-('Ethylene Recycling HC'!F85+'Ethylene Recycling HC'!F180-'Ethylene Recycling HC'!$C$85-'Ethylene Recycling HC'!$C$180)</f>
        <v>3.4713552407019108</v>
      </c>
      <c r="H121" s="284">
        <f>H61-('Ethylene Recycling HC'!G85+'Ethylene Recycling HC'!G180-'Ethylene Recycling HC'!$C$85-'Ethylene Recycling HC'!$C$180)</f>
        <v>3.4924753465260001</v>
      </c>
      <c r="I121" s="284">
        <f>I61-('Ethylene Recycling HC'!H85+'Ethylene Recycling HC'!H180-'Ethylene Recycling HC'!$C$85-'Ethylene Recycling HC'!$C$180)</f>
        <v>3.5187108186488509</v>
      </c>
      <c r="J121" s="284">
        <f>J61-('Ethylene Recycling HC'!I85+'Ethylene Recycling HC'!I180-'Ethylene Recycling HC'!$C$85-'Ethylene Recycling HC'!$C$180)</f>
        <v>3.5471498672469095</v>
      </c>
      <c r="K121" s="284">
        <f>K61-('Ethylene Recycling HC'!J85+'Ethylene Recycling HC'!J180-'Ethylene Recycling HC'!$C$85-'Ethylene Recycling HC'!$C$180)</f>
        <v>3.5779384775700862</v>
      </c>
      <c r="L121" s="284">
        <f>L61-('Ethylene Recycling HC'!K85+'Ethylene Recycling HC'!K180-'Ethylene Recycling HC'!$C$85-'Ethylene Recycling HC'!$C$180)</f>
        <v>3.6112245793675566</v>
      </c>
      <c r="M121" s="284">
        <f>M61-('Ethylene Recycling HC'!L85+'Ethylene Recycling HC'!L180-'Ethylene Recycling HC'!$C$85-'Ethylene Recycling HC'!$C$180)</f>
        <v>3.6471577685542726</v>
      </c>
      <c r="N121" s="284">
        <f>N61-('Ethylene Recycling HC'!M85+'Ethylene Recycling HC'!M180-'Ethylene Recycling HC'!$C$85-'Ethylene Recycling HC'!$C$180)</f>
        <v>3.6858890188407996</v>
      </c>
      <c r="O121" s="284">
        <f>O61-('Ethylene Recycling HC'!N85+'Ethylene Recycling HC'!N180-'Ethylene Recycling HC'!$C$85-'Ethylene Recycling HC'!$C$180)</f>
        <v>3.670735657382481</v>
      </c>
      <c r="P121" s="284">
        <f>P61-('Ethylene Recycling HC'!O85+'Ethylene Recycling HC'!O180-'Ethylene Recycling HC'!$C$85-'Ethylene Recycling HC'!$C$180)</f>
        <v>3.6618631142364118</v>
      </c>
      <c r="Q121" s="284">
        <f>Q61-('Ethylene Recycling HC'!P85+'Ethylene Recycling HC'!P180-'Ethylene Recycling HC'!$C$85-'Ethylene Recycling HC'!$C$180)</f>
        <v>3.6599774623715646</v>
      </c>
      <c r="R121" s="284">
        <f>R61-('Ethylene Recycling HC'!Q85+'Ethylene Recycling HC'!Q180-'Ethylene Recycling HC'!$C$85-'Ethylene Recycling HC'!$C$180)</f>
        <v>3.6657530792082893</v>
      </c>
      <c r="S121" s="284">
        <f>S61-('Ethylene Recycling HC'!R85+'Ethylene Recycling HC'!R180-'Ethylene Recycling HC'!$C$85-'Ethylene Recycling HC'!$C$180)</f>
        <v>3.6798257099211229</v>
      </c>
      <c r="T121" s="284">
        <f>T61-('Ethylene Recycling HC'!S85+'Ethylene Recycling HC'!S180-'Ethylene Recycling HC'!$C$85-'Ethylene Recycling HC'!$C$180)</f>
        <v>3.6986116327340728</v>
      </c>
      <c r="U121" s="284">
        <f>U61-('Ethylene Recycling HC'!T85+'Ethylene Recycling HC'!T180-'Ethylene Recycling HC'!$C$85-'Ethylene Recycling HC'!$C$180)</f>
        <v>3.7222492436566954</v>
      </c>
      <c r="V121" s="284">
        <f>V61-('Ethylene Recycling HC'!U85+'Ethylene Recycling HC'!U180-'Ethylene Recycling HC'!$C$85-'Ethylene Recycling HC'!$C$180)</f>
        <v>3.7508770133694957</v>
      </c>
      <c r="W121" s="284">
        <f>W61-('Ethylene Recycling HC'!V85+'Ethylene Recycling HC'!V180-'Ethylene Recycling HC'!$C$85-'Ethylene Recycling HC'!$C$180)</f>
        <v>3.7846334178485455</v>
      </c>
      <c r="X121" s="284">
        <f>X61-('Ethylene Recycling HC'!W85+'Ethylene Recycling HC'!W180-'Ethylene Recycling HC'!$C$85-'Ethylene Recycling HC'!$C$180)</f>
        <v>3.8236568691314021</v>
      </c>
      <c r="Y121" s="284">
        <f>Y61-('Ethylene Recycling HC'!X85+'Ethylene Recycling HC'!X180-'Ethylene Recycling HC'!$C$85-'Ethylene Recycling HC'!$C$180)</f>
        <v>3.8094070381988949</v>
      </c>
      <c r="Z121" s="284">
        <f>Z61-('Ethylene Recycling HC'!Y85+'Ethylene Recycling HC'!Y180-'Ethylene Recycling HC'!$C$85-'Ethylene Recycling HC'!$C$180)</f>
        <v>3.8019627699655887</v>
      </c>
      <c r="AA121" s="284">
        <f>AA61-('Ethylene Recycling HC'!Z85+'Ethylene Recycling HC'!Z180-'Ethylene Recycling HC'!$C$85-'Ethylene Recycling HC'!$C$180)</f>
        <v>3.8015119315512926</v>
      </c>
      <c r="AB121" s="284">
        <f>AB61-('Ethylene Recycling HC'!AA85+'Ethylene Recycling HC'!AA180-'Ethylene Recycling HC'!$C$85-'Ethylene Recycling HC'!$C$180)</f>
        <v>3.8082418709863095</v>
      </c>
      <c r="AC121" s="284">
        <f>AC61-('Ethylene Recycling HC'!AB85+'Ethylene Recycling HC'!AB180-'Ethylene Recycling HC'!$C$85-'Ethylene Recycling HC'!$C$180)</f>
        <v>3.8223393164172297</v>
      </c>
      <c r="AD121" s="284">
        <f>AD61-('Ethylene Recycling HC'!AC85+'Ethylene Recycling HC'!AC180-'Ethylene Recycling HC'!$C$85-'Ethylene Recycling HC'!$C$180)</f>
        <v>3.8439592493400432</v>
      </c>
      <c r="AE121" s="284">
        <f>AE61-('Ethylene Recycling HC'!AD85+'Ethylene Recycling HC'!AD180-'Ethylene Recycling HC'!$C$85-'Ethylene Recycling HC'!$C$180)</f>
        <v>3.8732841374173579</v>
      </c>
      <c r="AF121" s="284">
        <f>AF61-('Ethylene Recycling HC'!AE85+'Ethylene Recycling HC'!AE180-'Ethylene Recycling HC'!$C$85-'Ethylene Recycling HC'!$C$180)</f>
        <v>3.9104958257156448</v>
      </c>
      <c r="AG121" s="284">
        <f>AG61-('Ethylene Recycling HC'!AF85+'Ethylene Recycling HC'!AF180-'Ethylene Recycling HC'!$C$85-'Ethylene Recycling HC'!$C$180)</f>
        <v>3.955775451177225</v>
      </c>
      <c r="AH121" s="284">
        <f>AH61-('Ethylene Recycling HC'!AG85+'Ethylene Recycling HC'!AG180-'Ethylene Recycling HC'!$C$85-'Ethylene Recycling HC'!$C$180)</f>
        <v>4.0093033577727191</v>
      </c>
      <c r="AI121" s="284"/>
    </row>
    <row r="122" spans="1:36" s="67" customFormat="1">
      <c r="A122" s="58" t="s">
        <v>223</v>
      </c>
      <c r="B122" s="58" t="s">
        <v>197</v>
      </c>
      <c r="C122" s="100" t="s">
        <v>153</v>
      </c>
      <c r="D122" s="101">
        <f t="shared" ref="D122:AH122" si="40">D43</f>
        <v>34.871127768537121</v>
      </c>
      <c r="E122" s="101">
        <f t="shared" si="40"/>
        <v>35.463936940602252</v>
      </c>
      <c r="F122" s="101">
        <f t="shared" si="40"/>
        <v>36.066823868592486</v>
      </c>
      <c r="G122" s="101">
        <f t="shared" si="40"/>
        <v>36.679959874358552</v>
      </c>
      <c r="H122" s="101">
        <f t="shared" si="40"/>
        <v>37.303519192222645</v>
      </c>
      <c r="I122" s="101">
        <f t="shared" si="40"/>
        <v>37.937679018490428</v>
      </c>
      <c r="J122" s="101">
        <f t="shared" si="40"/>
        <v>38.582619561804762</v>
      </c>
      <c r="K122" s="101">
        <f t="shared" si="40"/>
        <v>39.238524094355441</v>
      </c>
      <c r="L122" s="101">
        <f t="shared" si="40"/>
        <v>39.905579003959481</v>
      </c>
      <c r="M122" s="101">
        <f t="shared" si="40"/>
        <v>40.58397384702679</v>
      </c>
      <c r="N122" s="101">
        <f t="shared" si="40"/>
        <v>41.27390140242624</v>
      </c>
      <c r="O122" s="101">
        <f t="shared" si="40"/>
        <v>41.975557726267482</v>
      </c>
      <c r="P122" s="101">
        <f t="shared" si="40"/>
        <v>42.689142207614026</v>
      </c>
      <c r="Q122" s="101">
        <f t="shared" si="40"/>
        <v>43.414857625143462</v>
      </c>
      <c r="R122" s="101">
        <f t="shared" si="40"/>
        <v>44.152910204770897</v>
      </c>
      <c r="S122" s="101">
        <f t="shared" si="40"/>
        <v>44.903509678252</v>
      </c>
      <c r="T122" s="101">
        <f t="shared" si="40"/>
        <v>45.666869342782277</v>
      </c>
      <c r="U122" s="101">
        <f t="shared" si="40"/>
        <v>46.44320612160957</v>
      </c>
      <c r="V122" s="101">
        <f t="shared" si="40"/>
        <v>47.232740625676925</v>
      </c>
      <c r="W122" s="101">
        <f t="shared" si="40"/>
        <v>48.03569721631343</v>
      </c>
      <c r="X122" s="101">
        <f t="shared" si="40"/>
        <v>48.852304068990755</v>
      </c>
      <c r="Y122" s="101">
        <f t="shared" si="40"/>
        <v>49.68279323816359</v>
      </c>
      <c r="Z122" s="101">
        <f t="shared" si="40"/>
        <v>50.527400723212367</v>
      </c>
      <c r="AA122" s="101">
        <f t="shared" si="40"/>
        <v>51.386366535506973</v>
      </c>
      <c r="AB122" s="101">
        <f t="shared" si="40"/>
        <v>52.259934766610584</v>
      </c>
      <c r="AC122" s="101">
        <f t="shared" si="40"/>
        <v>53.148353657642957</v>
      </c>
      <c r="AD122" s="101">
        <f t="shared" si="40"/>
        <v>54.051875669822884</v>
      </c>
      <c r="AE122" s="101">
        <f t="shared" si="40"/>
        <v>54.970757556209868</v>
      </c>
      <c r="AF122" s="101">
        <f t="shared" si="40"/>
        <v>55.905260434665429</v>
      </c>
      <c r="AG122" s="101">
        <f t="shared" si="40"/>
        <v>56.855649862054733</v>
      </c>
      <c r="AH122" s="101">
        <f t="shared" si="40"/>
        <v>57.822195909709656</v>
      </c>
    </row>
    <row r="123" spans="1:36" outlineLevel="1">
      <c r="A123"/>
      <c r="B123" t="s">
        <v>217</v>
      </c>
      <c r="C123" s="54" t="s">
        <v>153</v>
      </c>
      <c r="D123" s="44">
        <f>0</f>
        <v>0</v>
      </c>
      <c r="E123" s="44">
        <f>'Ethylene Recycling HC'!D199*'Ethylene Recycling HC'!D47-'Ethylene Recycling HC'!$C$199*'Ethylene Recycling HC'!$C$47</f>
        <v>5.5962113440523528E-2</v>
      </c>
      <c r="F123" s="44">
        <f>'Ethylene Recycling HC'!E199*'Ethylene Recycling HC'!E47-'Ethylene Recycling HC'!$C$199*'Ethylene Recycling HC'!$C$47</f>
        <v>0.11460978593982817</v>
      </c>
      <c r="G123" s="44">
        <f>'Ethylene Recycling HC'!F199*'Ethylene Recycling HC'!F47-'Ethylene Recycling HC'!$C$199*'Ethylene Recycling HC'!$C$47</f>
        <v>0.17560335493546669</v>
      </c>
      <c r="H123" s="44">
        <f>'Ethylene Recycling HC'!G199*'Ethylene Recycling HC'!G47-'Ethylene Recycling HC'!$C$199*'Ethylene Recycling HC'!$C$47</f>
        <v>0.23856581282029388</v>
      </c>
      <c r="I123" s="44">
        <f>'Ethylene Recycling HC'!H199*'Ethylene Recycling HC'!H47-'Ethylene Recycling HC'!$C$199*'Ethylene Recycling HC'!$C$47</f>
        <v>0.30308655433505788</v>
      </c>
      <c r="J123" s="44">
        <f>'Ethylene Recycling HC'!I199*'Ethylene Recycling HC'!I47-'Ethylene Recycling HC'!$C$199*'Ethylene Recycling HC'!$C$47</f>
        <v>0.36976275129607733</v>
      </c>
      <c r="K123" s="44">
        <f>'Ethylene Recycling HC'!J199*'Ethylene Recycling HC'!J47-'Ethylene Recycling HC'!$C$199*'Ethylene Recycling HC'!$C$47</f>
        <v>0.43856575902184963</v>
      </c>
      <c r="L123" s="44">
        <f>'Ethylene Recycling HC'!K199*'Ethylene Recycling HC'!K47-'Ethylene Recycling HC'!$C$199*'Ethylene Recycling HC'!$C$47</f>
        <v>0.50946206552521989</v>
      </c>
      <c r="M123" s="44">
        <f>'Ethylene Recycling HC'!L199*'Ethylene Recycling HC'!L47-'Ethylene Recycling HC'!$C$199*'Ethylene Recycling HC'!$C$47</f>
        <v>0.58241324288717544</v>
      </c>
      <c r="N123" s="44">
        <f>'Ethylene Recycling HC'!M199*'Ethylene Recycling HC'!M47-'Ethylene Recycling HC'!$C$199*'Ethylene Recycling HC'!$C$47</f>
        <v>0.65737591159165465</v>
      </c>
      <c r="O123" s="44">
        <f>'Ethylene Recycling HC'!N199*'Ethylene Recycling HC'!N47-'Ethylene Recycling HC'!$C$199*'Ethylene Recycling HC'!$C$47</f>
        <v>0.8040384205463833</v>
      </c>
      <c r="P123" s="44">
        <f>'Ethylene Recycling HC'!O199*'Ethylene Recycling HC'!O47-'Ethylene Recycling HC'!$C$199*'Ethylene Recycling HC'!$C$47</f>
        <v>0.95294167908667149</v>
      </c>
      <c r="Q123" s="44">
        <f>'Ethylene Recycling HC'!P199*'Ethylene Recycling HC'!P47-'Ethylene Recycling HC'!$C$199*'Ethylene Recycling HC'!$C$47</f>
        <v>1.1033033812016517</v>
      </c>
      <c r="R123" s="44">
        <f>'Ethylene Recycling HC'!Q199*'Ethylene Recycling HC'!Q47-'Ethylene Recycling HC'!$C$199*'Ethylene Recycling HC'!$C$47</f>
        <v>1.2543115469969326</v>
      </c>
      <c r="S123" s="44">
        <f>'Ethylene Recycling HC'!R199*'Ethylene Recycling HC'!R47-'Ethylene Recycling HC'!$C$199*'Ethylene Recycling HC'!$C$47</f>
        <v>1.4051316704399788</v>
      </c>
      <c r="T123" s="44">
        <f>'Ethylene Recycling HC'!S199*'Ethylene Recycling HC'!S47-'Ethylene Recycling HC'!$C$199*'Ethylene Recycling HC'!$C$47</f>
        <v>1.5579173728547484</v>
      </c>
      <c r="U123" s="44">
        <f>'Ethylene Recycling HC'!T199*'Ethylene Recycling HC'!T47-'Ethylene Recycling HC'!$C$199*'Ethylene Recycling HC'!$C$47</f>
        <v>1.7126361894464575</v>
      </c>
      <c r="V123" s="44">
        <f>'Ethylene Recycling HC'!U199*'Ethylene Recycling HC'!U47-'Ethylene Recycling HC'!$C$199*'Ethylene Recycling HC'!$C$47</f>
        <v>1.8692543045276899</v>
      </c>
      <c r="W123" s="44">
        <f>'Ethylene Recycling HC'!V199*'Ethylene Recycling HC'!V47-'Ethylene Recycling HC'!$C$199*'Ethylene Recycling HC'!$C$47</f>
        <v>2.0277365565432492</v>
      </c>
      <c r="X123" s="44">
        <f>'Ethylene Recycling HC'!W199*'Ethylene Recycling HC'!W47-'Ethylene Recycling HC'!$C$199*'Ethylene Recycling HC'!$C$47</f>
        <v>2.1880464441524206</v>
      </c>
      <c r="Y123" s="44">
        <f>'Ethylene Recycling HC'!X199*'Ethylene Recycling HC'!X47-'Ethylene Recycling HC'!$C$199*'Ethylene Recycling HC'!$C$47</f>
        <v>2.4489186232217257</v>
      </c>
      <c r="Z123" s="44">
        <f>'Ethylene Recycling HC'!Y199*'Ethylene Recycling HC'!Y47-'Ethylene Recycling HC'!$C$199*'Ethylene Recycling HC'!$C$47</f>
        <v>2.712878072429127</v>
      </c>
      <c r="AA123" s="44">
        <f>'Ethylene Recycling HC'!Z199*'Ethylene Recycling HC'!Z47-'Ethylene Recycling HC'!$C$199*'Ethylene Recycling HC'!$C$47</f>
        <v>2.9798696043239872</v>
      </c>
      <c r="AB123" s="44">
        <f>'Ethylene Recycling HC'!AA199*'Ethylene Recycling HC'!AA47-'Ethylene Recycling HC'!$C$199*'Ethylene Recycling HC'!$C$47</f>
        <v>3.2498360422381043</v>
      </c>
      <c r="AC123" s="44">
        <f>'Ethylene Recycling HC'!AB199*'Ethylene Recycling HC'!AB47-'Ethylene Recycling HC'!$C$199*'Ethylene Recycling HC'!$C$47</f>
        <v>3.522718230873938</v>
      </c>
      <c r="AD123" s="44">
        <f>'Ethylene Recycling HC'!AC199*'Ethylene Recycling HC'!AC47-'Ethylene Recycling HC'!$C$199*'Ethylene Recycling HC'!$C$47</f>
        <v>3.7984920180233739</v>
      </c>
      <c r="AE123" s="44">
        <f>'Ethylene Recycling HC'!AD199*'Ethylene Recycling HC'!AD47-'Ethylene Recycling HC'!$C$199*'Ethylene Recycling HC'!$C$47</f>
        <v>4.0771022820455869</v>
      </c>
      <c r="AF123" s="44">
        <f>'Ethylene Recycling HC'!AE199*'Ethylene Recycling HC'!AE47-'Ethylene Recycling HC'!$C$199*'Ethylene Recycling HC'!$C$47</f>
        <v>4.3584921333827769</v>
      </c>
      <c r="AG123" s="44">
        <f>'Ethylene Recycling HC'!AF199*'Ethylene Recycling HC'!AF47-'Ethylene Recycling HC'!$C$199*'Ethylene Recycling HC'!$C$47</f>
        <v>4.6426029253778376</v>
      </c>
      <c r="AH123" s="44">
        <f>'Ethylene Recycling HC'!AG199*'Ethylene Recycling HC'!AG47-'Ethylene Recycling HC'!$C$199*'Ethylene Recycling HC'!$C$47</f>
        <v>4.9293742662870192</v>
      </c>
    </row>
    <row r="124" spans="1:36" outlineLevel="1">
      <c r="A124"/>
      <c r="B124" t="s">
        <v>222</v>
      </c>
      <c r="C124" s="54" t="s">
        <v>153</v>
      </c>
      <c r="D124" s="44">
        <f>0</f>
        <v>0</v>
      </c>
      <c r="E124" s="44">
        <f>'Ethylene Recycling HC'!D73*'Ethylene Recycling HC'!D45-'Ethylene Recycling HC'!$C$73*'Ethylene Recycling HC'!$C$45</f>
        <v>0.47266233488242637</v>
      </c>
      <c r="F124" s="44">
        <f>'Ethylene Recycling HC'!E73*'Ethylene Recycling HC'!E45-'Ethylene Recycling HC'!$C$73*'Ethylene Recycling HC'!$C$45</f>
        <v>0.94990124698175915</v>
      </c>
      <c r="G124" s="44">
        <f>'Ethylene Recycling HC'!F73*'Ethylene Recycling HC'!F45-'Ethylene Recycling HC'!$C$73*'Ethylene Recycling HC'!$C$45</f>
        <v>1.4289185339766854</v>
      </c>
      <c r="H124" s="44">
        <f>'Ethylene Recycling HC'!G73*'Ethylene Recycling HC'!G45-'Ethylene Recycling HC'!$C$73*'Ethylene Recycling HC'!$C$45</f>
        <v>1.9067664787220222</v>
      </c>
      <c r="I124" s="44">
        <f>'Ethylene Recycling HC'!H73*'Ethylene Recycling HC'!H45-'Ethylene Recycling HC'!$C$73*'Ethylene Recycling HC'!$C$45</f>
        <v>2.3803771166423493</v>
      </c>
      <c r="J124" s="44">
        <f>'Ethylene Recycling HC'!I73*'Ethylene Recycling HC'!I45-'Ethylene Recycling HC'!$C$73*'Ethylene Recycling HC'!$C$45</f>
        <v>2.8671753408271448</v>
      </c>
      <c r="K124" s="44">
        <f>'Ethylene Recycling HC'!J73*'Ethylene Recycling HC'!J45-'Ethylene Recycling HC'!$C$73*'Ethylene Recycling HC'!$C$45</f>
        <v>3.3670166019936447</v>
      </c>
      <c r="L124" s="44">
        <f>'Ethylene Recycling HC'!K73*'Ethylene Recycling HC'!K45-'Ethylene Recycling HC'!$C$73*'Ethylene Recycling HC'!$C$45</f>
        <v>3.8797277345784034</v>
      </c>
      <c r="M124" s="44">
        <f>'Ethylene Recycling HC'!L73*'Ethylene Recycling HC'!L45-'Ethylene Recycling HC'!$C$73*'Ethylene Recycling HC'!$C$45</f>
        <v>4.4051064316810704</v>
      </c>
      <c r="N124" s="44">
        <f>'Ethylene Recycling HC'!M73*'Ethylene Recycling HC'!M45-'Ethylene Recycling HC'!$C$73*'Ethylene Recycling HC'!$C$45</f>
        <v>4.942920786358548</v>
      </c>
      <c r="O124" s="44">
        <f>'Ethylene Recycling HC'!N73*'Ethylene Recycling HC'!N45-'Ethylene Recycling HC'!$C$73*'Ethylene Recycling HC'!$C$45</f>
        <v>5.8739787795706127</v>
      </c>
      <c r="P124" s="44">
        <f>'Ethylene Recycling HC'!O73*'Ethylene Recycling HC'!O45-'Ethylene Recycling HC'!$C$73*'Ethylene Recycling HC'!$C$45</f>
        <v>6.811086716134672</v>
      </c>
      <c r="Q124" s="44">
        <f>'Ethylene Recycling HC'!P73*'Ethylene Recycling HC'!P45-'Ethylene Recycling HC'!$C$73*'Ethylene Recycling HC'!$C$45</f>
        <v>7.7495362422744991</v>
      </c>
      <c r="R124" s="44">
        <f>'Ethylene Recycling HC'!Q73*'Ethylene Recycling HC'!Q45-'Ethylene Recycling HC'!$C$73*'Ethylene Recycling HC'!$C$45</f>
        <v>8.6844545434924285</v>
      </c>
      <c r="S124" s="44">
        <f>'Ethylene Recycling HC'!R73*'Ethylene Recycling HC'!R45-'Ethylene Recycling HC'!$C$73*'Ethylene Recycling HC'!$C$45</f>
        <v>9.6108451707107996</v>
      </c>
      <c r="T124" s="44">
        <f>'Ethylene Recycling HC'!S73*'Ethylene Recycling HC'!S45-'Ethylene Recycling HC'!$C$73*'Ethylene Recycling HC'!$C$45</f>
        <v>10.554649823061418</v>
      </c>
      <c r="U124" s="44">
        <f>'Ethylene Recycling HC'!T73*'Ethylene Recycling HC'!T45-'Ethylene Recycling HC'!$C$73*'Ethylene Recycling HC'!$C$45</f>
        <v>11.515836728870319</v>
      </c>
      <c r="V124" s="44">
        <f>'Ethylene Recycling HC'!U73*'Ethylene Recycling HC'!U45-'Ethylene Recycling HC'!$C$73*'Ethylene Recycling HC'!$C$45</f>
        <v>12.494364892855707</v>
      </c>
      <c r="W124" s="44">
        <f>'Ethylene Recycling HC'!V73*'Ethylene Recycling HC'!V45-'Ethylene Recycling HC'!$C$73*'Ethylene Recycling HC'!$C$45</f>
        <v>13.490183976785726</v>
      </c>
      <c r="X124" s="44">
        <f>'Ethylene Recycling HC'!W73*'Ethylene Recycling HC'!W45-'Ethylene Recycling HC'!$C$73*'Ethylene Recycling HC'!$C$45</f>
        <v>14.503234185347136</v>
      </c>
      <c r="Y124" s="44">
        <f>'Ethylene Recycling HC'!X73*'Ethylene Recycling HC'!X45-'Ethylene Recycling HC'!$C$73*'Ethylene Recycling HC'!$C$45</f>
        <v>16.007685266054359</v>
      </c>
      <c r="Z124" s="44">
        <f>'Ethylene Recycling HC'!Y73*'Ethylene Recycling HC'!Y45-'Ethylene Recycling HC'!$C$73*'Ethylene Recycling HC'!$C$45</f>
        <v>17.539771958120422</v>
      </c>
      <c r="AA124" s="44">
        <f>'Ethylene Recycling HC'!Z73*'Ethylene Recycling HC'!Z45-'Ethylene Recycling HC'!$C$73*'Ethylene Recycling HC'!$C$45</f>
        <v>19.099442146379275</v>
      </c>
      <c r="AB124" s="44">
        <f>'Ethylene Recycling HC'!AA73*'Ethylene Recycling HC'!AA45-'Ethylene Recycling HC'!$C$73*'Ethylene Recycling HC'!$C$45</f>
        <v>20.686630277984381</v>
      </c>
      <c r="AC124" s="44">
        <f>'Ethylene Recycling HC'!AB73*'Ethylene Recycling HC'!AB45-'Ethylene Recycling HC'!$C$73*'Ethylene Recycling HC'!$C$45</f>
        <v>22.301257203610465</v>
      </c>
      <c r="AD124" s="44">
        <f>'Ethylene Recycling HC'!AC73*'Ethylene Recycling HC'!AC45-'Ethylene Recycling HC'!$C$73*'Ethylene Recycling HC'!$C$45</f>
        <v>23.94351966632949</v>
      </c>
      <c r="AE124" s="44">
        <f>'Ethylene Recycling HC'!AD73*'Ethylene Recycling HC'!AD45-'Ethylene Recycling HC'!$C$73*'Ethylene Recycling HC'!$C$45</f>
        <v>25.613358632092478</v>
      </c>
      <c r="AF124" s="44">
        <f>'Ethylene Recycling HC'!AE73*'Ethylene Recycling HC'!AE45-'Ethylene Recycling HC'!$C$73*'Ethylene Recycling HC'!$C$45</f>
        <v>27.310702671218763</v>
      </c>
      <c r="AG124" s="44">
        <f>'Ethylene Recycling HC'!AF73*'Ethylene Recycling HC'!AF45-'Ethylene Recycling HC'!$C$73*'Ethylene Recycling HC'!$C$45</f>
        <v>29.035467822167689</v>
      </c>
      <c r="AH124" s="44">
        <f>'Ethylene Recycling HC'!AG73*'Ethylene Recycling HC'!AG45-'Ethylene Recycling HC'!$C$73*'Ethylene Recycling HC'!$C$45</f>
        <v>30.787557461289175</v>
      </c>
    </row>
    <row r="125" spans="1:36" outlineLevel="1">
      <c r="A125"/>
      <c r="B125" t="s">
        <v>226</v>
      </c>
      <c r="C125" s="54" t="s">
        <v>153</v>
      </c>
      <c r="D125" s="44">
        <f>0</f>
        <v>0</v>
      </c>
      <c r="E125" s="44">
        <f>'Ethylene Recycling HC'!D166*'Ethylene Recycling HC'!D48-'Ethylene Recycling HC'!$C$166*'Ethylene Recycling HC'!$C$48</f>
        <v>1.9870187670681994E-2</v>
      </c>
      <c r="F125" s="44">
        <f>'Ethylene Recycling HC'!E166*'Ethylene Recycling HC'!E48-'Ethylene Recycling HC'!$C$166*'Ethylene Recycling HC'!$C$48</f>
        <v>3.9647370499631518E-2</v>
      </c>
      <c r="G125" s="44">
        <f>'Ethylene Recycling HC'!F166*'Ethylene Recycling HC'!F48-'Ethylene Recycling HC'!$C$166*'Ethylene Recycling HC'!$C$48</f>
        <v>5.9192880569213513E-2</v>
      </c>
      <c r="H125" s="44">
        <f>'Ethylene Recycling HC'!G166*'Ethylene Recycling HC'!G48-'Ethylene Recycling HC'!$C$166*'Ethylene Recycling HC'!$C$48</f>
        <v>7.8365111272651222E-2</v>
      </c>
      <c r="I125" s="44">
        <f>'Ethylene Recycling HC'!H166*'Ethylene Recycling HC'!H48-'Ethylene Recycling HC'!$C$166*'Ethylene Recycling HC'!$C$48</f>
        <v>9.702121184629231E-2</v>
      </c>
      <c r="J125" s="44">
        <f>'Ethylene Recycling HC'!I166*'Ethylene Recycling HC'!I48-'Ethylene Recycling HC'!$C$166*'Ethylene Recycling HC'!$C$48</f>
        <v>0.11589368829101127</v>
      </c>
      <c r="K125" s="44">
        <f>'Ethylene Recycling HC'!J166*'Ethylene Recycling HC'!J48-'Ethylene Recycling HC'!$C$166*'Ethylene Recycling HC'!$C$48</f>
        <v>0.13495875159383547</v>
      </c>
      <c r="L125" s="44">
        <f>'Ethylene Recycling HC'!K166*'Ethylene Recycling HC'!K48-'Ethylene Recycling HC'!$C$166*'Ethylene Recycling HC'!$C$48</f>
        <v>0.15419156921074628</v>
      </c>
      <c r="M125" s="44">
        <f>'Ethylene Recycling HC'!L166*'Ethylene Recycling HC'!L48-'Ethylene Recycling HC'!$C$166*'Ethylene Recycling HC'!$C$48</f>
        <v>0.17356630353239944</v>
      </c>
      <c r="N125" s="44">
        <f>'Ethylene Recycling HC'!M166*'Ethylene Recycling HC'!M48-'Ethylene Recycling HC'!$C$166*'Ethylene Recycling HC'!$C$48</f>
        <v>0.19305615452727254</v>
      </c>
      <c r="O125" s="44">
        <f>'Ethylene Recycling HC'!N166*'Ethylene Recycling HC'!N48-'Ethylene Recycling HC'!$C$166*'Ethylene Recycling HC'!$C$48</f>
        <v>0.22813334550781811</v>
      </c>
      <c r="P125" s="44">
        <f>'Ethylene Recycling HC'!O166*'Ethylene Recycling HC'!O48-'Ethylene Recycling HC'!$C$166*'Ethylene Recycling HC'!$C$48</f>
        <v>0.26268446177757715</v>
      </c>
      <c r="Q125" s="44">
        <f>'Ethylene Recycling HC'!P166*'Ethylene Recycling HC'!P48-'Ethylene Recycling HC'!$C$166*'Ethylene Recycling HC'!$C$48</f>
        <v>0.29650456612141934</v>
      </c>
      <c r="R125" s="44">
        <f>'Ethylene Recycling HC'!Q166*'Ethylene Recycling HC'!Q48-'Ethylene Recycling HC'!$C$166*'Ethylene Recycling HC'!$C$48</f>
        <v>0.32939006583985658</v>
      </c>
      <c r="S125" s="44">
        <f>'Ethylene Recycling HC'!R166*'Ethylene Recycling HC'!R48-'Ethylene Recycling HC'!$C$166*'Ethylene Recycling HC'!$C$48</f>
        <v>0.36114072300782624</v>
      </c>
      <c r="T125" s="44">
        <f>'Ethylene Recycling HC'!S166*'Ethylene Recycling HC'!S48-'Ethylene Recycling HC'!$C$166*'Ethylene Recycling HC'!$C$48</f>
        <v>0.39279046781575472</v>
      </c>
      <c r="U125" s="44">
        <f>'Ethylene Recycling HC'!T166*'Ethylene Recycling HC'!T48-'Ethylene Recycling HC'!$C$166*'Ethylene Recycling HC'!$C$48</f>
        <v>0.42431769035619776</v>
      </c>
      <c r="V125" s="44">
        <f>'Ethylene Recycling HC'!U166*'Ethylene Recycling HC'!U48-'Ethylene Recycling HC'!$C$166*'Ethylene Recycling HC'!$C$48</f>
        <v>0.45570052145087142</v>
      </c>
      <c r="W125" s="44">
        <f>'Ethylene Recycling HC'!V166*'Ethylene Recycling HC'!V48-'Ethylene Recycling HC'!$C$166*'Ethylene Recycling HC'!$C$48</f>
        <v>0.48691684506649119</v>
      </c>
      <c r="X125" s="44">
        <f>'Ethylene Recycling HC'!W166*'Ethylene Recycling HC'!W48-'Ethylene Recycling HC'!$C$166*'Ethylene Recycling HC'!$C$48</f>
        <v>0.51794431112122563</v>
      </c>
      <c r="Y125" s="44">
        <f>'Ethylene Recycling HC'!X166*'Ethylene Recycling HC'!X48-'Ethylene Recycling HC'!$C$166*'Ethylene Recycling HC'!$C$48</f>
        <v>0.56984747274019076</v>
      </c>
      <c r="Z125" s="44">
        <f>'Ethylene Recycling HC'!Y166*'Ethylene Recycling HC'!Y48-'Ethylene Recycling HC'!$C$166*'Ethylene Recycling HC'!$C$48</f>
        <v>0.62149234648764939</v>
      </c>
      <c r="AA125" s="44">
        <f>'Ethylene Recycling HC'!Z166*'Ethylene Recycling HC'!Z48-'Ethylene Recycling HC'!$C$166*'Ethylene Recycling HC'!$C$48</f>
        <v>0.67284330822290639</v>
      </c>
      <c r="AB125" s="44">
        <f>'Ethylene Recycling HC'!AA166*'Ethylene Recycling HC'!AA48-'Ethylene Recycling HC'!$C$166*'Ethylene Recycling HC'!$C$48</f>
        <v>0.72386436950442445</v>
      </c>
      <c r="AC125" s="44">
        <f>'Ethylene Recycling HC'!AB166*'Ethylene Recycling HC'!AB48-'Ethylene Recycling HC'!$C$166*'Ethylene Recycling HC'!$C$48</f>
        <v>0.77451919682826942</v>
      </c>
      <c r="AD125" s="44">
        <f>'Ethylene Recycling HC'!AC166*'Ethylene Recycling HC'!AC48-'Ethylene Recycling HC'!$C$166*'Ethylene Recycling HC'!$C$48</f>
        <v>0.82478167520927759</v>
      </c>
      <c r="AE125" s="44">
        <f>'Ethylene Recycling HC'!AD166*'Ethylene Recycling HC'!AD48-'Ethylene Recycling HC'!$C$166*'Ethylene Recycling HC'!$C$48</f>
        <v>0.87461626854245966</v>
      </c>
      <c r="AF125" s="44">
        <f>'Ethylene Recycling HC'!AE166*'Ethylene Recycling HC'!AE48-'Ethylene Recycling HC'!$C$166*'Ethylene Recycling HC'!$C$48</f>
        <v>0.92398713230383889</v>
      </c>
      <c r="AG125" s="44">
        <f>'Ethylene Recycling HC'!AF166*'Ethylene Recycling HC'!AF48-'Ethylene Recycling HC'!$C$166*'Ethylene Recycling HC'!$C$48</f>
        <v>0.97285813130792831</v>
      </c>
      <c r="AH125" s="44">
        <f>'Ethylene Recycling HC'!AG166*'Ethylene Recycling HC'!AG48-'Ethylene Recycling HC'!$C$166*'Ethylene Recycling HC'!$C$48</f>
        <v>1.0211928579082863</v>
      </c>
    </row>
    <row r="126" spans="1:36" outlineLevel="1">
      <c r="A126" s="181"/>
      <c r="B126" s="181" t="s">
        <v>218</v>
      </c>
      <c r="C126" s="176" t="s">
        <v>153</v>
      </c>
      <c r="D126" s="238">
        <f>0</f>
        <v>0</v>
      </c>
      <c r="E126" s="238">
        <f>'Ethylene Recycling HC'!D118*'Ethylene Recycling HC'!D46-'Ethylene Recycling HC'!$C$118*'Ethylene Recycling HC'!$C$46</f>
        <v>6.7551298767980147E-3</v>
      </c>
      <c r="F126" s="238">
        <f>'Ethylene Recycling HC'!E118*'Ethylene Recycling HC'!E46-'Ethylene Recycling HC'!$C$118*'Ethylene Recycling HC'!$C$46</f>
        <v>1.3465448457090433E-2</v>
      </c>
      <c r="G126" s="238">
        <f>'Ethylene Recycling HC'!F118*'Ethylene Recycling HC'!F46-'Ethylene Recycling HC'!$C$118*'Ethylene Recycling HC'!$C$46</f>
        <v>2.0062358583665417E-2</v>
      </c>
      <c r="H126" s="238">
        <f>'Ethylene Recycling HC'!G118*'Ethylene Recycling HC'!G46-'Ethylene Recycling HC'!$C$118*'Ethylene Recycling HC'!$C$46</f>
        <v>2.647701032951217E-2</v>
      </c>
      <c r="I126" s="238">
        <f>'Ethylene Recycling HC'!H118*'Ethylene Recycling HC'!H46-'Ethylene Recycling HC'!$C$118*'Ethylene Recycling HC'!$C$46</f>
        <v>3.2641361477751041E-2</v>
      </c>
      <c r="J126" s="238">
        <f>'Ethylene Recycling HC'!I118*'Ethylene Recycling HC'!I46-'Ethylene Recycling HC'!$C$118*'Ethylene Recycling HC'!$C$46</f>
        <v>3.8628682301466336E-2</v>
      </c>
      <c r="K126" s="238">
        <f>'Ethylene Recycling HC'!J118*'Ethylene Recycling HC'!J46-'Ethylene Recycling HC'!$C$118*'Ethylene Recycling HC'!$C$46</f>
        <v>4.4411945876511677E-2</v>
      </c>
      <c r="L126" s="238">
        <f>'Ethylene Recycling HC'!K118*'Ethylene Recycling HC'!K46-'Ethylene Recycling HC'!$C$118*'Ethylene Recycling HC'!$C$46</f>
        <v>4.9963685543931907E-2</v>
      </c>
      <c r="M126" s="238">
        <f>'Ethylene Recycling HC'!L118*'Ethylene Recycling HC'!L46-'Ethylene Recycling HC'!$C$118*'Ethylene Recycling HC'!$C$46</f>
        <v>5.5256067371992082E-2</v>
      </c>
      <c r="N126" s="238">
        <f>'Ethylene Recycling HC'!M118*'Ethylene Recycling HC'!M46-'Ethylene Recycling HC'!$C$118*'Ethylene Recycling HC'!$C$46</f>
        <v>6.0260966259940291E-2</v>
      </c>
      <c r="O126" s="238">
        <f>'Ethylene Recycling HC'!N118*'Ethylene Recycling HC'!N46-'Ethylene Recycling HC'!$C$118*'Ethylene Recycling HC'!$C$46</f>
        <v>7.1538313238581216E-2</v>
      </c>
      <c r="P126" s="238">
        <f>'Ethylene Recycling HC'!O118*'Ethylene Recycling HC'!O46-'Ethylene Recycling HC'!$C$118*'Ethylene Recycling HC'!$C$46</f>
        <v>8.2045729077907498E-2</v>
      </c>
      <c r="Q126" s="238">
        <f>'Ethylene Recycling HC'!P118*'Ethylene Recycling HC'!P46-'Ethylene Recycling HC'!$C$118*'Ethylene Recycling HC'!$C$46</f>
        <v>9.191990837397776E-2</v>
      </c>
      <c r="R126" s="238">
        <f>'Ethylene Recycling HC'!Q118*'Ethylene Recycling HC'!Q46-'Ethylene Recycling HC'!$C$118*'Ethylene Recycling HC'!$C$46</f>
        <v>0.10086827981247658</v>
      </c>
      <c r="S126" s="238">
        <f>'Ethylene Recycling HC'!R118*'Ethylene Recycling HC'!R46-'Ethylene Recycling HC'!$C$118*'Ethylene Recycling HC'!$C$46</f>
        <v>0.10880148425959453</v>
      </c>
      <c r="T126" s="238">
        <f>'Ethylene Recycling HC'!S118*'Ethylene Recycling HC'!S46-'Ethylene Recycling HC'!$C$118*'Ethylene Recycling HC'!$C$46</f>
        <v>0.11589467132809457</v>
      </c>
      <c r="U126" s="238">
        <f>'Ethylene Recycling HC'!T118*'Ethylene Recycling HC'!T46-'Ethylene Recycling HC'!$C$118*'Ethylene Recycling HC'!$C$46</f>
        <v>0.12211040064735217</v>
      </c>
      <c r="V126" s="238">
        <f>'Ethylene Recycling HC'!U118*'Ethylene Recycling HC'!U46-'Ethylene Recycling HC'!$C$118*'Ethylene Recycling HC'!$C$46</f>
        <v>0.12741091178355873</v>
      </c>
      <c r="W126" s="238">
        <f>'Ethylene Recycling HC'!V118*'Ethylene Recycling HC'!V46-'Ethylene Recycling HC'!$C$118*'Ethylene Recycling HC'!$C$46</f>
        <v>0.13175814723184009</v>
      </c>
      <c r="X126" s="238">
        <f>'Ethylene Recycling HC'!W118*'Ethylene Recycling HC'!W46-'Ethylene Recycling HC'!$C$118*'Ethylene Recycling HC'!$C$46</f>
        <v>0.13511377612840569</v>
      </c>
      <c r="Y126" s="238">
        <f>'Ethylene Recycling HC'!X118*'Ethylene Recycling HC'!X46-'Ethylene Recycling HC'!$C$118*'Ethylene Recycling HC'!$C$46</f>
        <v>0.14368342842692422</v>
      </c>
      <c r="Z126" s="238">
        <f>'Ethylene Recycling HC'!Y118*'Ethylene Recycling HC'!Y46-'Ethylene Recycling HC'!$C$118*'Ethylene Recycling HC'!$C$46</f>
        <v>0.15060718920582777</v>
      </c>
      <c r="AA126" s="238">
        <f>'Ethylene Recycling HC'!Z118*'Ethylene Recycling HC'!Z46-'Ethylene Recycling HC'!$C$118*'Ethylene Recycling HC'!$C$46</f>
        <v>0.15635481804075063</v>
      </c>
      <c r="AB126" s="238">
        <f>'Ethylene Recycling HC'!AA118*'Ethylene Recycling HC'!AA46-'Ethylene Recycling HC'!$C$118*'Ethylene Recycling HC'!$C$46</f>
        <v>0.16034540834515831</v>
      </c>
      <c r="AC126" s="238">
        <f>'Ethylene Recycling HC'!AB118*'Ethylene Recycling HC'!AB46-'Ethylene Recycling HC'!$C$118*'Ethylene Recycling HC'!$C$46</f>
        <v>0.1624974502429315</v>
      </c>
      <c r="AD126" s="238">
        <f>'Ethylene Recycling HC'!AC118*'Ethylene Recycling HC'!AC46-'Ethylene Recycling HC'!$C$118*'Ethylene Recycling HC'!$C$46</f>
        <v>0.16273019140824185</v>
      </c>
      <c r="AE126" s="238">
        <f>'Ethylene Recycling HC'!AD118*'Ethylene Recycling HC'!AD46-'Ethylene Recycling HC'!$C$118*'Ethylene Recycling HC'!$C$46</f>
        <v>0.16096005771036853</v>
      </c>
      <c r="AF126" s="238">
        <f>'Ethylene Recycling HC'!AE118*'Ethylene Recycling HC'!AE46-'Ethylene Recycling HC'!$C$118*'Ethylene Recycling HC'!$C$46</f>
        <v>0.15710240954010751</v>
      </c>
      <c r="AG126" s="238">
        <f>'Ethylene Recycling HC'!AF118*'Ethylene Recycling HC'!AF46-'Ethylene Recycling HC'!$C$118*'Ethylene Recycling HC'!$C$46</f>
        <v>0.15107157657623033</v>
      </c>
      <c r="AH126" s="238">
        <f>'Ethylene Recycling HC'!AG118*'Ethylene Recycling HC'!AG46-'Ethylene Recycling HC'!$C$118*'Ethylene Recycling HC'!$C$46</f>
        <v>0.14278089405887934</v>
      </c>
    </row>
    <row r="127" spans="1:36" s="68" customFormat="1">
      <c r="A127" s="239"/>
      <c r="B127" s="239" t="s">
        <v>219</v>
      </c>
      <c r="C127" s="240" t="s">
        <v>153</v>
      </c>
      <c r="D127" s="241">
        <f>D122-D123-D124-D125-D126-IF(D131&lt;0,D131,0)</f>
        <v>34.871127768537121</v>
      </c>
      <c r="E127" s="241">
        <f t="shared" ref="E127:AG127" si="41">E122-E123-E124-E125-E126-IF(E131&lt;0,E131,0)</f>
        <v>34.908687174731817</v>
      </c>
      <c r="F127" s="241">
        <f t="shared" si="41"/>
        <v>34.94920001671418</v>
      </c>
      <c r="G127" s="241">
        <f t="shared" si="41"/>
        <v>34.99618274629352</v>
      </c>
      <c r="H127" s="241">
        <f t="shared" si="41"/>
        <v>35.053344779078166</v>
      </c>
      <c r="I127" s="241">
        <f t="shared" si="41"/>
        <v>35.124552774188977</v>
      </c>
      <c r="J127" s="241">
        <f t="shared" si="41"/>
        <v>35.191159099089063</v>
      </c>
      <c r="K127" s="241">
        <f t="shared" si="41"/>
        <v>35.253571035869598</v>
      </c>
      <c r="L127" s="241">
        <f t="shared" si="41"/>
        <v>35.312233949101184</v>
      </c>
      <c r="M127" s="241">
        <f t="shared" si="41"/>
        <v>35.367631801554154</v>
      </c>
      <c r="N127" s="241">
        <f t="shared" si="41"/>
        <v>35.420287583688825</v>
      </c>
      <c r="O127" s="241">
        <f t="shared" si="41"/>
        <v>34.99786886740408</v>
      </c>
      <c r="P127" s="241">
        <f t="shared" si="41"/>
        <v>34.580383621537202</v>
      </c>
      <c r="Q127" s="241">
        <f t="shared" si="41"/>
        <v>34.17359352717191</v>
      </c>
      <c r="R127" s="241">
        <f t="shared" si="41"/>
        <v>33.783885768629204</v>
      </c>
      <c r="S127" s="241">
        <f t="shared" si="41"/>
        <v>33.417590629833796</v>
      </c>
      <c r="T127" s="241">
        <f t="shared" si="41"/>
        <v>33.045617007722264</v>
      </c>
      <c r="U127" s="241">
        <f t="shared" si="41"/>
        <v>32.668305112289246</v>
      </c>
      <c r="V127" s="241">
        <f t="shared" si="41"/>
        <v>32.286009995059104</v>
      </c>
      <c r="W127" s="241">
        <f t="shared" si="41"/>
        <v>31.899101690686134</v>
      </c>
      <c r="X127" s="241">
        <f t="shared" si="41"/>
        <v>31.50796535224157</v>
      </c>
      <c r="Y127" s="241">
        <f t="shared" si="41"/>
        <v>30.512658447720394</v>
      </c>
      <c r="Z127" s="241">
        <f t="shared" si="41"/>
        <v>29.502651156969339</v>
      </c>
      <c r="AA127" s="241">
        <f t="shared" si="41"/>
        <v>28.477856658540055</v>
      </c>
      <c r="AB127" s="241">
        <f t="shared" si="41"/>
        <v>27.439258668538518</v>
      </c>
      <c r="AC127" s="241">
        <f t="shared" si="41"/>
        <v>26.387361576087358</v>
      </c>
      <c r="AD127" s="241">
        <f t="shared" si="41"/>
        <v>25.322352118852503</v>
      </c>
      <c r="AE127" s="241">
        <f t="shared" si="41"/>
        <v>24.244720315818974</v>
      </c>
      <c r="AF127" s="241">
        <f t="shared" si="41"/>
        <v>23.154976088219943</v>
      </c>
      <c r="AG127" s="241">
        <f t="shared" si="41"/>
        <v>22.053649406625048</v>
      </c>
      <c r="AH127" s="241">
        <f>AH122-AH123-AH124-AH125-AH126</f>
        <v>20.941290430166294</v>
      </c>
    </row>
    <row r="128" spans="1:36" s="67" customFormat="1">
      <c r="A128" s="755" t="s">
        <v>257</v>
      </c>
      <c r="B128" s="58" t="s">
        <v>258</v>
      </c>
      <c r="C128" s="59" t="s">
        <v>153</v>
      </c>
      <c r="D128" s="60">
        <f>D44-('Ethylene Recycling HC'!C94+'Ethylene Recycling HC'!C137+'Ethylene Recycling HC'!C183+'Ethylene Recycling HC'!C202-('Ethylene Recycling HC'!$C$94+'Ethylene Recycling HC'!$C$137+'Ethylene Recycling HC'!$C$183+'Ethylene Recycling HC'!$C$202))</f>
        <v>12.029370629370625</v>
      </c>
      <c r="E128" s="60">
        <f>E44-('Ethylene Recycling HC'!D94+'Ethylene Recycling HC'!D137+'Ethylene Recycling HC'!D183+'Ethylene Recycling HC'!D202-('Ethylene Recycling HC'!$C$94+'Ethylene Recycling HC'!$C$137+'Ethylene Recycling HC'!$C$183+'Ethylene Recycling HC'!$C$202))</f>
        <v>11.817751241924821</v>
      </c>
      <c r="F128" s="60">
        <f>F44-('Ethylene Recycling HC'!E94+'Ethylene Recycling HC'!E137+'Ethylene Recycling HC'!E183+'Ethylene Recycling HC'!E202-('Ethylene Recycling HC'!$C$94+'Ethylene Recycling HC'!$C$137+'Ethylene Recycling HC'!$C$183+'Ethylene Recycling HC'!$C$202))</f>
        <v>11.614750276054671</v>
      </c>
      <c r="G128" s="60">
        <f>G44-('Ethylene Recycling HC'!F94+'Ethylene Recycling HC'!F137+'Ethylene Recycling HC'!F183+'Ethylene Recycling HC'!F202-('Ethylene Recycling HC'!$C$94+'Ethylene Recycling HC'!$C$137+'Ethylene Recycling HC'!$C$183+'Ethylene Recycling HC'!$C$202))</f>
        <v>11.423435785957054</v>
      </c>
      <c r="H128" s="60">
        <f>H44-('Ethylene Recycling HC'!G94+'Ethylene Recycling HC'!G137+'Ethylene Recycling HC'!G183+'Ethylene Recycling HC'!G202-('Ethylene Recycling HC'!$C$94+'Ethylene Recycling HC'!$C$137+'Ethylene Recycling HC'!$C$183+'Ethylene Recycling HC'!$C$202))</f>
        <v>11.246908127237056</v>
      </c>
      <c r="I128" s="60">
        <f>I44-('Ethylene Recycling HC'!H94+'Ethylene Recycling HC'!H137+'Ethylene Recycling HC'!H183+'Ethylene Recycling HC'!H202-('Ethylene Recycling HC'!$C$94+'Ethylene Recycling HC'!$C$137+'Ethylene Recycling HC'!$C$183+'Ethylene Recycling HC'!$C$202))</f>
        <v>11.088262232267784</v>
      </c>
      <c r="J128" s="60">
        <f>J44-('Ethylene Recycling HC'!I94+'Ethylene Recycling HC'!I137+'Ethylene Recycling HC'!I183+'Ethylene Recycling HC'!I202-('Ethylene Recycling HC'!$C$94+'Ethylene Recycling HC'!$C$137+'Ethylene Recycling HC'!$C$183+'Ethylene Recycling HC'!$C$202))</f>
        <v>10.930878809748851</v>
      </c>
      <c r="K128" s="60">
        <f>K44-('Ethylene Recycling HC'!J94+'Ethylene Recycling HC'!J137+'Ethylene Recycling HC'!J183+'Ethylene Recycling HC'!J202-('Ethylene Recycling HC'!$C$94+'Ethylene Recycling HC'!$C$137+'Ethylene Recycling HC'!$C$183+'Ethylene Recycling HC'!$C$202))</f>
        <v>10.775414628930253</v>
      </c>
      <c r="L128" s="60">
        <f>L44-('Ethylene Recycling HC'!K94+'Ethylene Recycling HC'!K137+'Ethylene Recycling HC'!K183+'Ethylene Recycling HC'!K202-('Ethylene Recycling HC'!$C$94+'Ethylene Recycling HC'!$C$137+'Ethylene Recycling HC'!$C$183+'Ethylene Recycling HC'!$C$202))</f>
        <v>10.622548957029128</v>
      </c>
      <c r="M128" s="60">
        <f>M44-('Ethylene Recycling HC'!L94+'Ethylene Recycling HC'!L137+'Ethylene Recycling HC'!L183+'Ethylene Recycling HC'!L202-('Ethylene Recycling HC'!$C$94+'Ethylene Recycling HC'!$C$137+'Ethylene Recycling HC'!$C$183+'Ethylene Recycling HC'!$C$202))</f>
        <v>10.472982447586656</v>
      </c>
      <c r="N128" s="60">
        <f>N44-('Ethylene Recycling HC'!M94+'Ethylene Recycling HC'!M137+'Ethylene Recycling HC'!M183+'Ethylene Recycling HC'!M202-('Ethylene Recycling HC'!$C$94+'Ethylene Recycling HC'!$C$137+'Ethylene Recycling HC'!$C$183+'Ethylene Recycling HC'!$C$202))</f>
        <v>10.327435929716728</v>
      </c>
      <c r="O128" s="60">
        <f>O44-('Ethylene Recycling HC'!N94+'Ethylene Recycling HC'!N137+'Ethylene Recycling HC'!N183+'Ethylene Recycling HC'!N202-('Ethylene Recycling HC'!$C$94+'Ethylene Recycling HC'!$C$137+'Ethylene Recycling HC'!$C$183+'Ethylene Recycling HC'!$C$202))</f>
        <v>9.8199082638077968</v>
      </c>
      <c r="P128" s="60">
        <f>P44-('Ethylene Recycling HC'!O94+'Ethylene Recycling HC'!O137+'Ethylene Recycling HC'!O183+'Ethylene Recycling HC'!O202-('Ethylene Recycling HC'!$C$94+'Ethylene Recycling HC'!$C$137+'Ethylene Recycling HC'!$C$183+'Ethylene Recycling HC'!$C$202))</f>
        <v>9.3314209277254818</v>
      </c>
      <c r="Q128" s="60">
        <f>Q44-('Ethylene Recycling HC'!P94+'Ethylene Recycling HC'!P137+'Ethylene Recycling HC'!P183+'Ethylene Recycling HC'!P202-('Ethylene Recycling HC'!$C$94+'Ethylene Recycling HC'!$C$137+'Ethylene Recycling HC'!$C$183+'Ethylene Recycling HC'!$C$202))</f>
        <v>8.8664055228490604</v>
      </c>
      <c r="R128" s="60">
        <f>R44-('Ethylene Recycling HC'!Q94+'Ethylene Recycling HC'!Q137+'Ethylene Recycling HC'!Q183+'Ethylene Recycling HC'!Q202-('Ethylene Recycling HC'!$C$94+'Ethylene Recycling HC'!$C$137+'Ethylene Recycling HC'!$C$183+'Ethylene Recycling HC'!$C$202))</f>
        <v>8.4296272110425718</v>
      </c>
      <c r="S128" s="60">
        <f>S44-('Ethylene Recycling HC'!R94+'Ethylene Recycling HC'!R137+'Ethylene Recycling HC'!R183+'Ethylene Recycling HC'!R202-('Ethylene Recycling HC'!$C$94+'Ethylene Recycling HC'!$C$137+'Ethylene Recycling HC'!$C$183+'Ethylene Recycling HC'!$C$202))</f>
        <v>8.0255662740516804</v>
      </c>
      <c r="T128" s="60">
        <f>T44-('Ethylene Recycling HC'!S94+'Ethylene Recycling HC'!S137+'Ethylene Recycling HC'!S183+'Ethylene Recycling HC'!S202-('Ethylene Recycling HC'!$C$94+'Ethylene Recycling HC'!$C$137+'Ethylene Recycling HC'!$C$183+'Ethylene Recycling HC'!$C$202))</f>
        <v>7.6317895190148999</v>
      </c>
      <c r="U128" s="60">
        <f>U44-('Ethylene Recycling HC'!T94+'Ethylene Recycling HC'!T137+'Ethylene Recycling HC'!T183+'Ethylene Recycling HC'!T202-('Ethylene Recycling HC'!$C$94+'Ethylene Recycling HC'!$C$137+'Ethylene Recycling HC'!$C$183+'Ethylene Recycling HC'!$C$202))</f>
        <v>7.2490065488179738</v>
      </c>
      <c r="V128" s="60">
        <f>V44-('Ethylene Recycling HC'!U94+'Ethylene Recycling HC'!U137+'Ethylene Recycling HC'!U183+'Ethylene Recycling HC'!U202-('Ethylene Recycling HC'!$C$94+'Ethylene Recycling HC'!$C$137+'Ethylene Recycling HC'!$C$183+'Ethylene Recycling HC'!$C$202))</f>
        <v>6.8779347469566154</v>
      </c>
      <c r="W128" s="60">
        <f>W44-('Ethylene Recycling HC'!V94+'Ethylene Recycling HC'!V137+'Ethylene Recycling HC'!V183+'Ethylene Recycling HC'!V202-('Ethylene Recycling HC'!$C$94+'Ethylene Recycling HC'!$C$137+'Ethylene Recycling HC'!$C$183+'Ethylene Recycling HC'!$C$202))</f>
        <v>6.5192988653433694</v>
      </c>
      <c r="X128" s="60">
        <f>X44-('Ethylene Recycling HC'!W94+'Ethylene Recycling HC'!W137+'Ethylene Recycling HC'!W183+'Ethylene Recycling HC'!W202-('Ethylene Recycling HC'!$C$94+'Ethylene Recycling HC'!$C$137+'Ethylene Recycling HC'!$C$183+'Ethylene Recycling HC'!$C$202))</f>
        <v>6.1738305998746412</v>
      </c>
      <c r="Y128" s="60">
        <f>Y44-('Ethylene Recycling HC'!X94+'Ethylene Recycling HC'!X137+'Ethylene Recycling HC'!X183+'Ethylene Recycling HC'!X202-('Ethylene Recycling HC'!$C$94+'Ethylene Recycling HC'!$C$137+'Ethylene Recycling HC'!$C$183+'Ethylene Recycling HC'!$C$202))</f>
        <v>5.4333817436744916</v>
      </c>
      <c r="Z128" s="60">
        <f>Z44-('Ethylene Recycling HC'!Y94+'Ethylene Recycling HC'!Y137+'Ethylene Recycling HC'!Y183+'Ethylene Recycling HC'!Y202-('Ethylene Recycling HC'!$C$94+'Ethylene Recycling HC'!$C$137+'Ethylene Recycling HC'!$C$183+'Ethylene Recycling HC'!$C$202))</f>
        <v>4.7097284563709074</v>
      </c>
      <c r="AA128" s="60">
        <f>AA44-('Ethylene Recycling HC'!Z94+'Ethylene Recycling HC'!Z137+'Ethylene Recycling HC'!Z183+'Ethylene Recycling HC'!Z202-('Ethylene Recycling HC'!$C$94+'Ethylene Recycling HC'!$C$137+'Ethylene Recycling HC'!$C$183+'Ethylene Recycling HC'!$C$202))</f>
        <v>4.0035144801472171</v>
      </c>
      <c r="AB128" s="60">
        <f>AB44-('Ethylene Recycling HC'!AA94+'Ethylene Recycling HC'!AA137+'Ethylene Recycling HC'!AA183+'Ethylene Recycling HC'!AA202-('Ethylene Recycling HC'!$C$94+'Ethylene Recycling HC'!$C$137+'Ethylene Recycling HC'!$C$183+'Ethylene Recycling HC'!$C$202))</f>
        <v>3.3162745555221491</v>
      </c>
      <c r="AC128" s="60">
        <f>AC44-('Ethylene Recycling HC'!AB94+'Ethylene Recycling HC'!AB137+'Ethylene Recycling HC'!AB183+'Ethylene Recycling HC'!AB202-('Ethylene Recycling HC'!$C$94+'Ethylene Recycling HC'!$C$137+'Ethylene Recycling HC'!$C$183+'Ethylene Recycling HC'!$C$202))</f>
        <v>2.6491296309373347</v>
      </c>
      <c r="AD128" s="60">
        <f>AD44-('Ethylene Recycling HC'!AC94+'Ethylene Recycling HC'!AC137+'Ethylene Recycling HC'!AC183+'Ethylene Recycling HC'!AC202-('Ethylene Recycling HC'!$C$94+'Ethylene Recycling HC'!$C$137+'Ethylene Recycling HC'!$C$183+'Ethylene Recycling HC'!$C$202))</f>
        <v>2.0029879858585566</v>
      </c>
      <c r="AE128" s="60">
        <f>AE44-('Ethylene Recycling HC'!AD94+'Ethylene Recycling HC'!AD137+'Ethylene Recycling HC'!AD183+'Ethylene Recycling HC'!AD202-('Ethylene Recycling HC'!$C$94+'Ethylene Recycling HC'!$C$137+'Ethylene Recycling HC'!$C$183+'Ethylene Recycling HC'!$C$202))</f>
        <v>1.378960040794464</v>
      </c>
      <c r="AF128" s="60">
        <f>AF44-('Ethylene Recycling HC'!AE94+'Ethylene Recycling HC'!AE137+'Ethylene Recycling HC'!AE183+'Ethylene Recycling HC'!AE202-('Ethylene Recycling HC'!$C$94+'Ethylene Recycling HC'!$C$137+'Ethylene Recycling HC'!$C$183+'Ethylene Recycling HC'!$C$202))</f>
        <v>0.77816438576196134</v>
      </c>
      <c r="AG128" s="60">
        <f>AG44-('Ethylene Recycling HC'!AF94+'Ethylene Recycling HC'!AF137+'Ethylene Recycling HC'!AF183+'Ethylene Recycling HC'!AF202-('Ethylene Recycling HC'!$C$94+'Ethylene Recycling HC'!$C$137+'Ethylene Recycling HC'!$C$183+'Ethylene Recycling HC'!$C$202))</f>
        <v>0.20172717223118397</v>
      </c>
      <c r="AH128" s="60">
        <f>AH44-('Ethylene Recycling HC'!AG94+'Ethylene Recycling HC'!AG137+'Ethylene Recycling HC'!AG183+'Ethylene Recycling HC'!AG202-('Ethylene Recycling HC'!$C$94+'Ethylene Recycling HC'!$C$137+'Ethylene Recycling HC'!$C$183+'Ethylene Recycling HC'!$C$202))</f>
        <v>-0.34921850838932045</v>
      </c>
      <c r="AI128" s="60"/>
    </row>
    <row r="129" spans="1:36">
      <c r="A129" s="756"/>
      <c r="B129" s="1" t="s">
        <v>260</v>
      </c>
      <c r="C129" s="54" t="s">
        <v>153</v>
      </c>
      <c r="D129" s="44">
        <f>D45+(D133-D49)</f>
        <v>4.5813083502024288</v>
      </c>
      <c r="E129" s="44">
        <f t="shared" ref="E129:AH129" si="42">E45+(E133-E49)</f>
        <v>4.6302172733455578</v>
      </c>
      <c r="F129" s="44">
        <f t="shared" si="42"/>
        <v>4.6789391130859368</v>
      </c>
      <c r="G129" s="44">
        <f t="shared" si="42"/>
        <v>4.727606338397317</v>
      </c>
      <c r="H129" s="44">
        <f t="shared" si="42"/>
        <v>4.7763739710998934</v>
      </c>
      <c r="I129" s="44">
        <f t="shared" si="42"/>
        <v>4.8254191420359849</v>
      </c>
      <c r="J129" s="44">
        <f t="shared" si="42"/>
        <v>4.8739846302024823</v>
      </c>
      <c r="K129" s="44">
        <f t="shared" si="42"/>
        <v>4.9220506517264671</v>
      </c>
      <c r="L129" s="44">
        <f t="shared" si="42"/>
        <v>4.9696000716880615</v>
      </c>
      <c r="M129" s="44">
        <f t="shared" si="42"/>
        <v>5.0166186244546722</v>
      </c>
      <c r="N129" s="44">
        <f t="shared" si="42"/>
        <v>5.0630951346977646</v>
      </c>
      <c r="O129" s="44">
        <f t="shared" si="42"/>
        <v>5.0887503915388645</v>
      </c>
      <c r="P129" s="44">
        <f t="shared" si="42"/>
        <v>5.1131991244774042</v>
      </c>
      <c r="Q129" s="44">
        <f t="shared" si="42"/>
        <v>5.1367153914255761</v>
      </c>
      <c r="R129" s="44">
        <f t="shared" si="42"/>
        <v>5.1596077772394295</v>
      </c>
      <c r="S129" s="44">
        <f t="shared" si="42"/>
        <v>5.1822180282688803</v>
      </c>
      <c r="T129" s="44">
        <f t="shared" si="42"/>
        <v>5.2030388407560846</v>
      </c>
      <c r="U129" s="44">
        <f t="shared" si="42"/>
        <v>5.222031065719718</v>
      </c>
      <c r="V129" s="44">
        <f t="shared" si="42"/>
        <v>5.2391567494030316</v>
      </c>
      <c r="W129" s="44">
        <f t="shared" si="42"/>
        <v>5.2543792115109635</v>
      </c>
      <c r="X129" s="44">
        <f t="shared" si="42"/>
        <v>5.2676631242721896</v>
      </c>
      <c r="Y129" s="44">
        <f t="shared" si="42"/>
        <v>5.2443023569545186</v>
      </c>
      <c r="Z129" s="44">
        <f t="shared" si="42"/>
        <v>5.2169896664977431</v>
      </c>
      <c r="AA129" s="44">
        <f t="shared" si="42"/>
        <v>5.1856509384782603</v>
      </c>
      <c r="AB129" s="44">
        <f t="shared" si="42"/>
        <v>5.1502137917066992</v>
      </c>
      <c r="AC129" s="44">
        <f t="shared" si="42"/>
        <v>5.110607689448659</v>
      </c>
      <c r="AD129" s="44">
        <f t="shared" si="42"/>
        <v>5.0667424633867455</v>
      </c>
      <c r="AE129" s="44">
        <f t="shared" si="42"/>
        <v>5.0185467822912413</v>
      </c>
      <c r="AF129" s="44">
        <f t="shared" si="42"/>
        <v>4.9659511247429622</v>
      </c>
      <c r="AG129" s="44">
        <f t="shared" si="42"/>
        <v>4.908887883543021</v>
      </c>
      <c r="AH129" s="44">
        <f t="shared" si="42"/>
        <v>4.8472914709719008</v>
      </c>
      <c r="AI129" s="44"/>
    </row>
    <row r="130" spans="1:36">
      <c r="A130" s="756"/>
      <c r="B130" s="1" t="s">
        <v>262</v>
      </c>
      <c r="C130" s="54" t="s">
        <v>153</v>
      </c>
      <c r="D130" s="44">
        <f>D46+(D132-D48)</f>
        <v>13.515976331360944</v>
      </c>
      <c r="E130" s="44">
        <f t="shared" ref="E130:AH130" si="43">E46+(E132-E48)</f>
        <v>13.675854360976428</v>
      </c>
      <c r="F130" s="44">
        <f t="shared" si="43"/>
        <v>13.833940215272635</v>
      </c>
      <c r="G130" s="44">
        <f t="shared" si="43"/>
        <v>13.990537547364356</v>
      </c>
      <c r="H130" s="44">
        <f t="shared" si="43"/>
        <v>14.146024194138281</v>
      </c>
      <c r="I130" s="44">
        <f t="shared" si="43"/>
        <v>14.300851647665583</v>
      </c>
      <c r="J130" s="44">
        <f t="shared" si="43"/>
        <v>14.454315331336851</v>
      </c>
      <c r="K130" s="44">
        <f t="shared" si="43"/>
        <v>14.606358574955124</v>
      </c>
      <c r="L130" s="44">
        <f t="shared" si="43"/>
        <v>14.756932369172015</v>
      </c>
      <c r="M130" s="44">
        <f t="shared" si="43"/>
        <v>14.905995982007234</v>
      </c>
      <c r="N130" s="44">
        <f t="shared" si="43"/>
        <v>15.05351757678155</v>
      </c>
      <c r="O130" s="44">
        <f t="shared" si="43"/>
        <v>15.139815552508304</v>
      </c>
      <c r="P130" s="44">
        <f t="shared" si="43"/>
        <v>15.221833837889099</v>
      </c>
      <c r="Q130" s="44">
        <f t="shared" si="43"/>
        <v>15.30033568189271</v>
      </c>
      <c r="R130" s="44">
        <f t="shared" si="43"/>
        <v>15.37620799078754</v>
      </c>
      <c r="S130" s="44">
        <f t="shared" si="43"/>
        <v>15.450426847805085</v>
      </c>
      <c r="T130" s="44">
        <f t="shared" si="43"/>
        <v>15.520013775541283</v>
      </c>
      <c r="U130" s="44">
        <f t="shared" si="43"/>
        <v>15.584864928343849</v>
      </c>
      <c r="V130" s="44">
        <f t="shared" si="43"/>
        <v>15.644879589716949</v>
      </c>
      <c r="W130" s="44">
        <f t="shared" si="43"/>
        <v>15.699960382862727</v>
      </c>
      <c r="X130" s="44">
        <f t="shared" si="43"/>
        <v>15.750013483669605</v>
      </c>
      <c r="Y130" s="44">
        <f t="shared" si="43"/>
        <v>15.697103061002682</v>
      </c>
      <c r="Z130" s="44">
        <f t="shared" si="43"/>
        <v>15.633829231227404</v>
      </c>
      <c r="AA130" s="44">
        <f t="shared" si="43"/>
        <v>15.559942189959333</v>
      </c>
      <c r="AB130" s="44">
        <f t="shared" si="43"/>
        <v>15.475289746118083</v>
      </c>
      <c r="AC130" s="44">
        <f t="shared" si="43"/>
        <v>15.379682007039548</v>
      </c>
      <c r="AD130" s="44">
        <f t="shared" si="43"/>
        <v>15.272879971764537</v>
      </c>
      <c r="AE130" s="44">
        <f t="shared" si="43"/>
        <v>15.154690988337407</v>
      </c>
      <c r="AF130" s="44">
        <f t="shared" si="43"/>
        <v>15.024927231863906</v>
      </c>
      <c r="AG130" s="44">
        <f t="shared" si="43"/>
        <v>14.883405988134079</v>
      </c>
      <c r="AH130" s="44">
        <f t="shared" si="43"/>
        <v>14.729949939511105</v>
      </c>
      <c r="AI130" s="44"/>
    </row>
    <row r="131" spans="1:36">
      <c r="A131" s="757"/>
      <c r="B131" s="1" t="s">
        <v>248</v>
      </c>
      <c r="C131" s="54" t="s">
        <v>153</v>
      </c>
      <c r="D131" s="44">
        <f>D47-('Ethylene Recycling HC'!C95+'Ethylene Recycling HC'!C138+'Ethylene Recycling HC'!C184+'Ethylene Recycling HC'!C203-('Ethylene Recycling HC'!$C$95+'Ethylene Recycling HC'!$C$138+'Ethylene Recycling HC'!$C$184+'Ethylene Recycling HC'!$C$203)+'Ethylene Recycling HC'!C98+'Ethylene Recycling HC'!C141+'Ethylene Recycling HC'!C187+'Ethylene Recycling HC'!C206-('Ethylene Recycling HC'!$C$98+'Ethylene Recycling HC'!$C$141+'Ethylene Recycling HC'!$C$187+'Ethylene Recycling HC'!$C$206))</f>
        <v>4.7444724576031234</v>
      </c>
      <c r="E131" s="44">
        <f>E47-('Ethylene Recycling HC'!D95+'Ethylene Recycling HC'!D138+'Ethylene Recycling HC'!D184+'Ethylene Recycling HC'!D203-('Ethylene Recycling HC'!$C$95+'Ethylene Recycling HC'!$C$138+'Ethylene Recycling HC'!$C$184+'Ethylene Recycling HC'!$C$203)+'Ethylene Recycling HC'!D98+'Ethylene Recycling HC'!D141+'Ethylene Recycling HC'!D187+'Ethylene Recycling HC'!D206-('Ethylene Recycling HC'!$C$98+'Ethylene Recycling HC'!$C$141+'Ethylene Recycling HC'!$C$187+'Ethylene Recycling HC'!$C$206))</f>
        <v>4.7835158140039491</v>
      </c>
      <c r="F131" s="44">
        <f>F47-('Ethylene Recycling HC'!E95+'Ethylene Recycling HC'!E138+'Ethylene Recycling HC'!E184+'Ethylene Recycling HC'!E203-('Ethylene Recycling HC'!$C$95+'Ethylene Recycling HC'!$C$138+'Ethylene Recycling HC'!$C$184+'Ethylene Recycling HC'!$C$203)+'Ethylene Recycling HC'!E98+'Ethylene Recycling HC'!E141+'Ethylene Recycling HC'!E187+'Ethylene Recycling HC'!E206-('Ethylene Recycling HC'!$C$98+'Ethylene Recycling HC'!$C$141+'Ethylene Recycling HC'!$C$187+'Ethylene Recycling HC'!$C$206))</f>
        <v>4.8189364570911026</v>
      </c>
      <c r="G131" s="44">
        <f>G47-('Ethylene Recycling HC'!F95+'Ethylene Recycling HC'!F138+'Ethylene Recycling HC'!F184+'Ethylene Recycling HC'!F203-('Ethylene Recycling HC'!$C$95+'Ethylene Recycling HC'!$C$138+'Ethylene Recycling HC'!$C$184+'Ethylene Recycling HC'!$C$203)+'Ethylene Recycling HC'!F98+'Ethylene Recycling HC'!F141+'Ethylene Recycling HC'!F187+'Ethylene Recycling HC'!F206-('Ethylene Recycling HC'!$C$98+'Ethylene Recycling HC'!$C$141+'Ethylene Recycling HC'!$C$187+'Ethylene Recycling HC'!$C$206))</f>
        <v>4.8507603315201253</v>
      </c>
      <c r="H131" s="44">
        <f>H47-('Ethylene Recycling HC'!G95+'Ethylene Recycling HC'!G138+'Ethylene Recycling HC'!G184+'Ethylene Recycling HC'!G203-('Ethylene Recycling HC'!$C$95+'Ethylene Recycling HC'!$C$138+'Ethylene Recycling HC'!$C$184+'Ethylene Recycling HC'!$C$203)+'Ethylene Recycling HC'!G98+'Ethylene Recycling HC'!G141+'Ethylene Recycling HC'!G187+'Ethylene Recycling HC'!G206-('Ethylene Recycling HC'!$C$98+'Ethylene Recycling HC'!$C$141+'Ethylene Recycling HC'!$C$187+'Ethylene Recycling HC'!$C$206))</f>
        <v>4.8790762712936937</v>
      </c>
      <c r="I131" s="44">
        <f>I47-('Ethylene Recycling HC'!H95+'Ethylene Recycling HC'!H138+'Ethylene Recycling HC'!H184+'Ethylene Recycling HC'!H203-('Ethylene Recycling HC'!$C$95+'Ethylene Recycling HC'!$C$138+'Ethylene Recycling HC'!$C$184+'Ethylene Recycling HC'!$C$203)+'Ethylene Recycling HC'!H98+'Ethylene Recycling HC'!H141+'Ethylene Recycling HC'!H187+'Ethylene Recycling HC'!H206-('Ethylene Recycling HC'!$C$98+'Ethylene Recycling HC'!$C$141+'Ethylene Recycling HC'!$C$187+'Ethylene Recycling HC'!$C$206))</f>
        <v>4.904038760367631</v>
      </c>
      <c r="J131" s="44">
        <f>J47-('Ethylene Recycling HC'!I95+'Ethylene Recycling HC'!I138+'Ethylene Recycling HC'!I184+'Ethylene Recycling HC'!I203-('Ethylene Recycling HC'!$C$95+'Ethylene Recycling HC'!$C$138+'Ethylene Recycling HC'!$C$184+'Ethylene Recycling HC'!$C$203)+'Ethylene Recycling HC'!I98+'Ethylene Recycling HC'!I141+'Ethylene Recycling HC'!I187+'Ethylene Recycling HC'!I206-('Ethylene Recycling HC'!$C$98+'Ethylene Recycling HC'!$C$141+'Ethylene Recycling HC'!$C$187+'Ethylene Recycling HC'!$C$206))</f>
        <v>4.9250639801516387</v>
      </c>
      <c r="K131" s="44">
        <f>K47-('Ethylene Recycling HC'!J95+'Ethylene Recycling HC'!J138+'Ethylene Recycling HC'!J184+'Ethylene Recycling HC'!J203-('Ethylene Recycling HC'!$C$95+'Ethylene Recycling HC'!$C$138+'Ethylene Recycling HC'!$C$184+'Ethylene Recycling HC'!$C$203)+'Ethylene Recycling HC'!J98+'Ethylene Recycling HC'!J141+'Ethylene Recycling HC'!J187+'Ethylene Recycling HC'!J206-('Ethylene Recycling HC'!$C$98+'Ethylene Recycling HC'!$C$141+'Ethylene Recycling HC'!$C$187+'Ethylene Recycling HC'!$C$206))</f>
        <v>4.9419819591294063</v>
      </c>
      <c r="L131" s="44">
        <f>L47-('Ethylene Recycling HC'!K95+'Ethylene Recycling HC'!K138+'Ethylene Recycling HC'!K184+'Ethylene Recycling HC'!K203-('Ethylene Recycling HC'!$C$95+'Ethylene Recycling HC'!$C$138+'Ethylene Recycling HC'!$C$184+'Ethylene Recycling HC'!$C$203)+'Ethylene Recycling HC'!K98+'Ethylene Recycling HC'!K141+'Ethylene Recycling HC'!K187+'Ethylene Recycling HC'!K206-('Ethylene Recycling HC'!$C$98+'Ethylene Recycling HC'!$C$141+'Ethylene Recycling HC'!$C$187+'Ethylene Recycling HC'!$C$206))</f>
        <v>4.9546276542498484</v>
      </c>
      <c r="M131" s="44">
        <f>M47-('Ethylene Recycling HC'!L95+'Ethylene Recycling HC'!L138+'Ethylene Recycling HC'!L184+'Ethylene Recycling HC'!L203-('Ethylene Recycling HC'!$C$95+'Ethylene Recycling HC'!$C$138+'Ethylene Recycling HC'!$C$184+'Ethylene Recycling HC'!$C$203)+'Ethylene Recycling HC'!L98+'Ethylene Recycling HC'!L141+'Ethylene Recycling HC'!L187+'Ethylene Recycling HC'!L206-('Ethylene Recycling HC'!$C$98+'Ethylene Recycling HC'!$C$141+'Ethylene Recycling HC'!$C$187+'Ethylene Recycling HC'!$C$206))</f>
        <v>4.9628417194419896</v>
      </c>
      <c r="N131" s="44">
        <f>N47-('Ethylene Recycling HC'!M95+'Ethylene Recycling HC'!M138+'Ethylene Recycling HC'!M184+'Ethylene Recycling HC'!M203-('Ethylene Recycling HC'!$C$95+'Ethylene Recycling HC'!$C$138+'Ethylene Recycling HC'!$C$184+'Ethylene Recycling HC'!$C$203)+'Ethylene Recycling HC'!M98+'Ethylene Recycling HC'!M141+'Ethylene Recycling HC'!M187+'Ethylene Recycling HC'!M206-('Ethylene Recycling HC'!$C$98+'Ethylene Recycling HC'!$C$141+'Ethylene Recycling HC'!$C$187+'Ethylene Recycling HC'!$C$206))</f>
        <v>4.9664712859824585</v>
      </c>
      <c r="O131" s="44">
        <f>O47-('Ethylene Recycling HC'!N95+'Ethylene Recycling HC'!N138+'Ethylene Recycling HC'!N184+'Ethylene Recycling HC'!N203-('Ethylene Recycling HC'!$C$95+'Ethylene Recycling HC'!$C$138+'Ethylene Recycling HC'!$C$184+'Ethylene Recycling HC'!$C$203)+'Ethylene Recycling HC'!N98+'Ethylene Recycling HC'!N141+'Ethylene Recycling HC'!N187+'Ethylene Recycling HC'!N206-('Ethylene Recycling HC'!$C$98+'Ethylene Recycling HC'!$C$141+'Ethylene Recycling HC'!$C$187+'Ethylene Recycling HC'!$C$206))</f>
        <v>4.9379923614421379</v>
      </c>
      <c r="P131" s="44">
        <f>P47-('Ethylene Recycling HC'!O95+'Ethylene Recycling HC'!O138+'Ethylene Recycling HC'!O184+'Ethylene Recycling HC'!O203-('Ethylene Recycling HC'!$C$95+'Ethylene Recycling HC'!$C$138+'Ethylene Recycling HC'!$C$184+'Ethylene Recycling HC'!$C$203)+'Ethylene Recycling HC'!O98+'Ethylene Recycling HC'!O141+'Ethylene Recycling HC'!O187+'Ethylene Recycling HC'!O206-('Ethylene Recycling HC'!$C$98+'Ethylene Recycling HC'!$C$141+'Ethylene Recycling HC'!$C$187+'Ethylene Recycling HC'!$C$206))</f>
        <v>4.9011141382890386</v>
      </c>
      <c r="Q131" s="44">
        <f>Q47-('Ethylene Recycling HC'!P95+'Ethylene Recycling HC'!P138+'Ethylene Recycling HC'!P184+'Ethylene Recycling HC'!P203-('Ethylene Recycling HC'!$C$95+'Ethylene Recycling HC'!$C$138+'Ethylene Recycling HC'!$C$184+'Ethylene Recycling HC'!$C$203)+'Ethylene Recycling HC'!P98+'Ethylene Recycling HC'!P141+'Ethylene Recycling HC'!P187+'Ethylene Recycling HC'!P206-('Ethylene Recycling HC'!$C$98+'Ethylene Recycling HC'!$C$141+'Ethylene Recycling HC'!$C$187+'Ethylene Recycling HC'!$C$206))</f>
        <v>4.8560973509543661</v>
      </c>
      <c r="R131" s="44">
        <f>R47-('Ethylene Recycling HC'!Q95+'Ethylene Recycling HC'!Q138+'Ethylene Recycling HC'!Q184+'Ethylene Recycling HC'!Q203-('Ethylene Recycling HC'!$C$95+'Ethylene Recycling HC'!$C$138+'Ethylene Recycling HC'!$C$184+'Ethylene Recycling HC'!$C$203)+'Ethylene Recycling HC'!Q98+'Ethylene Recycling HC'!Q141+'Ethylene Recycling HC'!Q187+'Ethylene Recycling HC'!Q206-('Ethylene Recycling HC'!$C$98+'Ethylene Recycling HC'!$C$141+'Ethylene Recycling HC'!$C$187+'Ethylene Recycling HC'!$C$206))</f>
        <v>4.8034088142981739</v>
      </c>
      <c r="S131" s="44">
        <f>S47-('Ethylene Recycling HC'!R95+'Ethylene Recycling HC'!R138+'Ethylene Recycling HC'!R184+'Ethylene Recycling HC'!R203-('Ethylene Recycling HC'!$C$95+'Ethylene Recycling HC'!$C$138+'Ethylene Recycling HC'!$C$184+'Ethylene Recycling HC'!$C$203)+'Ethylene Recycling HC'!R98+'Ethylene Recycling HC'!R141+'Ethylene Recycling HC'!R187+'Ethylene Recycling HC'!R206-('Ethylene Recycling HC'!$C$98+'Ethylene Recycling HC'!$C$141+'Ethylene Recycling HC'!$C$187+'Ethylene Recycling HC'!$C$206))</f>
        <v>4.743583940004152</v>
      </c>
      <c r="T131" s="44">
        <f>T47-('Ethylene Recycling HC'!S95+'Ethylene Recycling HC'!S138+'Ethylene Recycling HC'!S184+'Ethylene Recycling HC'!S203-('Ethylene Recycling HC'!$C$95+'Ethylene Recycling HC'!$C$138+'Ethylene Recycling HC'!$C$184+'Ethylene Recycling HC'!$C$203)+'Ethylene Recycling HC'!S98+'Ethylene Recycling HC'!S141+'Ethylene Recycling HC'!S187+'Ethylene Recycling HC'!S206-('Ethylene Recycling HC'!$C$98+'Ethylene Recycling HC'!$C$141+'Ethylene Recycling HC'!$C$187+'Ethylene Recycling HC'!$C$206))</f>
        <v>4.674411290016943</v>
      </c>
      <c r="U131" s="44">
        <f>U47-('Ethylene Recycling HC'!T95+'Ethylene Recycling HC'!T138+'Ethylene Recycling HC'!T184+'Ethylene Recycling HC'!T203-('Ethylene Recycling HC'!$C$95+'Ethylene Recycling HC'!$C$138+'Ethylene Recycling HC'!$C$184+'Ethylene Recycling HC'!$C$203)+'Ethylene Recycling HC'!T98+'Ethylene Recycling HC'!T141+'Ethylene Recycling HC'!T187+'Ethylene Recycling HC'!T206-('Ethylene Recycling HC'!$C$98+'Ethylene Recycling HC'!$C$141+'Ethylene Recycling HC'!$C$187+'Ethylene Recycling HC'!$C$206))</f>
        <v>4.595660149420322</v>
      </c>
      <c r="V131" s="44">
        <f>V47-('Ethylene Recycling HC'!U95+'Ethylene Recycling HC'!U138+'Ethylene Recycling HC'!U184+'Ethylene Recycling HC'!U203-('Ethylene Recycling HC'!$C$95+'Ethylene Recycling HC'!$C$138+'Ethylene Recycling HC'!$C$184+'Ethylene Recycling HC'!$C$203)+'Ethylene Recycling HC'!U98+'Ethylene Recycling HC'!U141+'Ethylene Recycling HC'!U187+'Ethylene Recycling HC'!U206-('Ethylene Recycling HC'!$C$98+'Ethylene Recycling HC'!$C$141+'Ethylene Recycling HC'!$C$187+'Ethylene Recycling HC'!$C$206))</f>
        <v>4.5071019933712595</v>
      </c>
      <c r="W131" s="44">
        <f>W47-('Ethylene Recycling HC'!V95+'Ethylene Recycling HC'!V138+'Ethylene Recycling HC'!V184+'Ethylene Recycling HC'!V203-('Ethylene Recycling HC'!$C$95+'Ethylene Recycling HC'!$C$138+'Ethylene Recycling HC'!$C$184+'Ethylene Recycling HC'!$C$203)+'Ethylene Recycling HC'!V98+'Ethylene Recycling HC'!V141+'Ethylene Recycling HC'!V187+'Ethylene Recycling HC'!V206-('Ethylene Recycling HC'!$C$98+'Ethylene Recycling HC'!$C$141+'Ethylene Recycling HC'!$C$187+'Ethylene Recycling HC'!$C$206))</f>
        <v>4.4085107424687084</v>
      </c>
      <c r="X131" s="44">
        <f>X47-('Ethylene Recycling HC'!W95+'Ethylene Recycling HC'!W138+'Ethylene Recycling HC'!W184+'Ethylene Recycling HC'!W203-('Ethylene Recycling HC'!$C$95+'Ethylene Recycling HC'!$C$138+'Ethylene Recycling HC'!$C$184+'Ethylene Recycling HC'!$C$203)+'Ethylene Recycling HC'!W98+'Ethylene Recycling HC'!W141+'Ethylene Recycling HC'!W187+'Ethylene Recycling HC'!W206-('Ethylene Recycling HC'!$C$98+'Ethylene Recycling HC'!$C$141+'Ethylene Recycling HC'!$C$187+'Ethylene Recycling HC'!$C$206))</f>
        <v>4.2996630212236298</v>
      </c>
      <c r="Y131" s="44">
        <f>Y47-('Ethylene Recycling HC'!X95+'Ethylene Recycling HC'!X138+'Ethylene Recycling HC'!X184+'Ethylene Recycling HC'!X203-('Ethylene Recycling HC'!$C$95+'Ethylene Recycling HC'!$C$138+'Ethylene Recycling HC'!$C$184+'Ethylene Recycling HC'!$C$203)+'Ethylene Recycling HC'!X98+'Ethylene Recycling HC'!X141+'Ethylene Recycling HC'!X187+'Ethylene Recycling HC'!X206-('Ethylene Recycling HC'!$C$98+'Ethylene Recycling HC'!$C$141+'Ethylene Recycling HC'!$C$187+'Ethylene Recycling HC'!$C$206))</f>
        <v>4.1205527021766564</v>
      </c>
      <c r="Z131" s="44">
        <f>Z47-('Ethylene Recycling HC'!Y95+'Ethylene Recycling HC'!Y138+'Ethylene Recycling HC'!Y184+'Ethylene Recycling HC'!Y203-('Ethylene Recycling HC'!$C$95+'Ethylene Recycling HC'!$C$138+'Ethylene Recycling HC'!$C$184+'Ethylene Recycling HC'!$C$203)+'Ethylene Recycling HC'!Y98+'Ethylene Recycling HC'!Y141+'Ethylene Recycling HC'!Y187+'Ethylene Recycling HC'!Y206-('Ethylene Recycling HC'!$C$98+'Ethylene Recycling HC'!$C$141+'Ethylene Recycling HC'!$C$187+'Ethylene Recycling HC'!$C$206))</f>
        <v>3.9245464908569878</v>
      </c>
      <c r="AA131" s="44">
        <f>AA47-('Ethylene Recycling HC'!Z95+'Ethylene Recycling HC'!Z138+'Ethylene Recycling HC'!Z184+'Ethylene Recycling HC'!Z203-('Ethylene Recycling HC'!$C$95+'Ethylene Recycling HC'!$C$138+'Ethylene Recycling HC'!$C$184+'Ethylene Recycling HC'!$C$203)+'Ethylene Recycling HC'!Z98+'Ethylene Recycling HC'!Z141+'Ethylene Recycling HC'!Z187+'Ethylene Recycling HC'!Z206-('Ethylene Recycling HC'!$C$98+'Ethylene Recycling HC'!$C$141+'Ethylene Recycling HC'!$C$187+'Ethylene Recycling HC'!$C$206))</f>
        <v>3.7111581562807601</v>
      </c>
      <c r="AB131" s="44">
        <f>AB47-('Ethylene Recycling HC'!AA95+'Ethylene Recycling HC'!AA138+'Ethylene Recycling HC'!AA184+'Ethylene Recycling HC'!AA203-('Ethylene Recycling HC'!$C$95+'Ethylene Recycling HC'!$C$138+'Ethylene Recycling HC'!$C$184+'Ethylene Recycling HC'!$C$203)+'Ethylene Recycling HC'!AA98+'Ethylene Recycling HC'!AA141+'Ethylene Recycling HC'!AA187+'Ethylene Recycling HC'!AA206-('Ethylene Recycling HC'!$C$98+'Ethylene Recycling HC'!$C$141+'Ethylene Recycling HC'!$C$187+'Ethylene Recycling HC'!$C$206))</f>
        <v>3.4801191666723978</v>
      </c>
      <c r="AC131" s="44">
        <f>AC47-('Ethylene Recycling HC'!AB95+'Ethylene Recycling HC'!AB138+'Ethylene Recycling HC'!AB184+'Ethylene Recycling HC'!AB203-('Ethylene Recycling HC'!$C$95+'Ethylene Recycling HC'!$C$138+'Ethylene Recycling HC'!$C$184+'Ethylene Recycling HC'!$C$203)+'Ethylene Recycling HC'!AB98+'Ethylene Recycling HC'!AB141+'Ethylene Recycling HC'!AB187+'Ethylene Recycling HC'!AB206-('Ethylene Recycling HC'!$C$98+'Ethylene Recycling HC'!$C$141+'Ethylene Recycling HC'!$C$187+'Ethylene Recycling HC'!$C$206))</f>
        <v>3.2310622625201457</v>
      </c>
      <c r="AD131" s="44">
        <f>AD47-('Ethylene Recycling HC'!AC95+'Ethylene Recycling HC'!AC138+'Ethylene Recycling HC'!AC184+'Ethylene Recycling HC'!AC203-('Ethylene Recycling HC'!$C$95+'Ethylene Recycling HC'!$C$138+'Ethylene Recycling HC'!$C$184+'Ethylene Recycling HC'!$C$203)+'Ethylene Recycling HC'!AC98+'Ethylene Recycling HC'!AC141+'Ethylene Recycling HC'!AC187+'Ethylene Recycling HC'!AC206-('Ethylene Recycling HC'!$C$98+'Ethylene Recycling HC'!$C$141+'Ethylene Recycling HC'!$C$187+'Ethylene Recycling HC'!$C$206))</f>
        <v>2.9635825614272306</v>
      </c>
      <c r="AE131" s="44">
        <f>AE47-('Ethylene Recycling HC'!AD95+'Ethylene Recycling HC'!AD138+'Ethylene Recycling HC'!AD184+'Ethylene Recycling HC'!AD203-('Ethylene Recycling HC'!$C$95+'Ethylene Recycling HC'!$C$138+'Ethylene Recycling HC'!$C$184+'Ethylene Recycling HC'!$C$203)+'Ethylene Recycling HC'!AD98+'Ethylene Recycling HC'!AD141+'Ethylene Recycling HC'!AD187+'Ethylene Recycling HC'!AD206-('Ethylene Recycling HC'!$C$98+'Ethylene Recycling HC'!$C$141+'Ethylene Recycling HC'!$C$187+'Ethylene Recycling HC'!$C$206))</f>
        <v>2.6773101704196431</v>
      </c>
      <c r="AF131" s="44">
        <f>AF47-('Ethylene Recycling HC'!AE95+'Ethylene Recycling HC'!AE138+'Ethylene Recycling HC'!AE184+'Ethylene Recycling HC'!AE203-('Ethylene Recycling HC'!$C$95+'Ethylene Recycling HC'!$C$138+'Ethylene Recycling HC'!$C$184+'Ethylene Recycling HC'!$C$203)+'Ethylene Recycling HC'!AE98+'Ethylene Recycling HC'!AE141+'Ethylene Recycling HC'!AE187+'Ethylene Recycling HC'!AE206-('Ethylene Recycling HC'!$C$98+'Ethylene Recycling HC'!$C$141+'Ethylene Recycling HC'!$C$187+'Ethylene Recycling HC'!$C$206))</f>
        <v>2.3718790821391771</v>
      </c>
      <c r="AG131" s="44">
        <f>AG47-('Ethylene Recycling HC'!AF95+'Ethylene Recycling HC'!AF138+'Ethylene Recycling HC'!AF184+'Ethylene Recycling HC'!AF203-('Ethylene Recycling HC'!$C$95+'Ethylene Recycling HC'!$C$138+'Ethylene Recycling HC'!$C$184+'Ethylene Recycling HC'!$C$203)+'Ethylene Recycling HC'!AF98+'Ethylene Recycling HC'!AF141+'Ethylene Recycling HC'!AF187+'Ethylene Recycling HC'!AF206-('Ethylene Recycling HC'!$C$98+'Ethylene Recycling HC'!$C$141+'Ethylene Recycling HC'!$C$187+'Ethylene Recycling HC'!$C$206))</f>
        <v>2.0469275172201931</v>
      </c>
      <c r="AH131" s="44">
        <f>AH47-('Ethylene Recycling HC'!AG95+'Ethylene Recycling HC'!AG138+'Ethylene Recycling HC'!AG184+'Ethylene Recycling HC'!AG203-('Ethylene Recycling HC'!$C$95+'Ethylene Recycling HC'!$C$138+'Ethylene Recycling HC'!$C$184+'Ethylene Recycling HC'!$C$203)+'Ethylene Recycling HC'!AG98+'Ethylene Recycling HC'!AG141+'Ethylene Recycling HC'!AG187+'Ethylene Recycling HC'!AG206-('Ethylene Recycling HC'!$C$98+'Ethylene Recycling HC'!$C$141+'Ethylene Recycling HC'!$C$187+'Ethylene Recycling HC'!$C$206))</f>
        <v>1.7020982698249068</v>
      </c>
      <c r="AI131" s="44"/>
    </row>
    <row r="132" spans="1:36" s="67" customFormat="1">
      <c r="A132" s="758" t="s">
        <v>263</v>
      </c>
      <c r="B132" s="58" t="s">
        <v>264</v>
      </c>
      <c r="C132" s="59" t="s">
        <v>153</v>
      </c>
      <c r="D132" s="60">
        <f>D48-('Ethylene Recycling HC'!C96+'Ethylene Recycling HC'!C139+'Ethylene Recycling HC'!C185+'Ethylene Recycling HC'!C204-('Ethylene Recycling HC'!$C$96+'Ethylene Recycling HC'!$C$139+'Ethylene Recycling HC'!$C$185+'Ethylene Recycling HC'!$C$204))</f>
        <v>12.975337278106506</v>
      </c>
      <c r="E132" s="60">
        <f>E48-('Ethylene Recycling HC'!D96+'Ethylene Recycling HC'!D139+'Ethylene Recycling HC'!D185+'Ethylene Recycling HC'!D204-('Ethylene Recycling HC'!$C$96+'Ethylene Recycling HC'!$C$139+'Ethylene Recycling HC'!$C$185+'Ethylene Recycling HC'!$C$204))</f>
        <v>13.126024443816664</v>
      </c>
      <c r="F132" s="60">
        <f>F48-('Ethylene Recycling HC'!E96+'Ethylene Recycling HC'!E139+'Ethylene Recycling HC'!E185+'Ethylene Recycling HC'!E204-('Ethylene Recycling HC'!$C$96+'Ethylene Recycling HC'!$C$139+'Ethylene Recycling HC'!$C$185+'Ethylene Recycling HC'!$C$204))</f>
        <v>13.274763189521156</v>
      </c>
      <c r="G132" s="60">
        <f>G48-('Ethylene Recycling HC'!F96+'Ethylene Recycling HC'!F139+'Ethylene Recycling HC'!F185+'Ethylene Recycling HC'!F204-('Ethylene Recycling HC'!$C$96+'Ethylene Recycling HC'!$C$139+'Ethylene Recycling HC'!$C$185+'Ethylene Recycling HC'!$C$204))</f>
        <v>13.421854512175102</v>
      </c>
      <c r="H132" s="60">
        <f>H48-('Ethylene Recycling HC'!G96+'Ethylene Recycling HC'!G139+'Ethylene Recycling HC'!G185+'Ethylene Recycling HC'!G204-('Ethylene Recycling HC'!$C$96+'Ethylene Recycling HC'!$C$139+'Ethylene Recycling HC'!$C$185+'Ethylene Recycling HC'!$C$204))</f>
        <v>13.567673547350809</v>
      </c>
      <c r="I132" s="60">
        <f>I48-('Ethylene Recycling HC'!H96+'Ethylene Recycling HC'!H139+'Ethylene Recycling HC'!H185+'Ethylene Recycling HC'!H204-('Ethylene Recycling HC'!$C$96+'Ethylene Recycling HC'!$C$139+'Ethylene Recycling HC'!$C$185+'Ethylene Recycling HC'!$C$204))</f>
        <v>13.712669039882725</v>
      </c>
      <c r="J132" s="60">
        <f>J48-('Ethylene Recycling HC'!I96+'Ethylene Recycling HC'!I139+'Ethylene Recycling HC'!I185+'Ethylene Recycling HC'!I204-('Ethylene Recycling HC'!$C$96+'Ethylene Recycling HC'!$C$139+'Ethylene Recycling HC'!$C$185+'Ethylene Recycling HC'!$C$204))</f>
        <v>13.856133619221684</v>
      </c>
      <c r="K132" s="60">
        <f>K48-('Ethylene Recycling HC'!J96+'Ethylene Recycling HC'!J139+'Ethylene Recycling HC'!J185+'Ethylene Recycling HC'!J204-('Ethylene Recycling HC'!$C$96+'Ethylene Recycling HC'!$C$139+'Ethylene Recycling HC'!$C$185+'Ethylene Recycling HC'!$C$204))</f>
        <v>13.998007773733999</v>
      </c>
      <c r="L132" s="60">
        <f>L48-('Ethylene Recycling HC'!K96+'Ethylene Recycling HC'!K139+'Ethylene Recycling HC'!K185+'Ethylene Recycling HC'!K204-('Ethylene Recycling HC'!$C$96+'Ethylene Recycling HC'!$C$139+'Ethylene Recycling HC'!$C$185+'Ethylene Recycling HC'!$C$204))</f>
        <v>14.138239604330129</v>
      </c>
      <c r="M132" s="60">
        <f>M48-('Ethylene Recycling HC'!L96+'Ethylene Recycling HC'!L139+'Ethylene Recycling HC'!L185+'Ethylene Recycling HC'!L204-('Ethylene Recycling HC'!$C$96+'Ethylene Recycling HC'!$C$139+'Ethylene Recycling HC'!$C$185+'Ethylene Recycling HC'!$C$204))</f>
        <v>14.276785440163037</v>
      </c>
      <c r="N132" s="60">
        <f>N48-('Ethylene Recycling HC'!M96+'Ethylene Recycling HC'!M139+'Ethylene Recycling HC'!M185+'Ethylene Recycling HC'!M204-('Ethylene Recycling HC'!$C$96+'Ethylene Recycling HC'!$C$139+'Ethylene Recycling HC'!$C$185+'Ethylene Recycling HC'!$C$204))</f>
        <v>14.413610455726003</v>
      </c>
      <c r="O132" s="60">
        <f>O48-('Ethylene Recycling HC'!N96+'Ethylene Recycling HC'!N139+'Ethylene Recycling HC'!N185+'Ethylene Recycling HC'!N204-('Ethylene Recycling HC'!$C$96+'Ethylene Recycling HC'!$C$139+'Ethylene Recycling HC'!$C$185+'Ethylene Recycling HC'!$C$204))</f>
        <v>14.489030010394814</v>
      </c>
      <c r="P132" s="60">
        <f>P48-('Ethylene Recycling HC'!O96+'Ethylene Recycling HC'!O139+'Ethylene Recycling HC'!O185+'Ethylene Recycling HC'!O204-('Ethylene Recycling HC'!$C$96+'Ethylene Recycling HC'!$C$139+'Ethylene Recycling HC'!$C$185+'Ethylene Recycling HC'!$C$204))</f>
        <v>14.559984941559678</v>
      </c>
      <c r="Q132" s="60">
        <f>Q48-('Ethylene Recycling HC'!P96+'Ethylene Recycling HC'!P139+'Ethylene Recycling HC'!P185+'Ethylene Recycling HC'!P204-('Ethylene Recycling HC'!$C$96+'Ethylene Recycling HC'!$C$139+'Ethylene Recycling HC'!$C$185+'Ethylene Recycling HC'!$C$204))</f>
        <v>14.627235354325689</v>
      </c>
      <c r="R132" s="60">
        <f>R48-('Ethylene Recycling HC'!Q96+'Ethylene Recycling HC'!Q139+'Ethylene Recycling HC'!Q185+'Ethylene Recycling HC'!Q204-('Ethylene Recycling HC'!$C$96+'Ethylene Recycling HC'!$C$139+'Ethylene Recycling HC'!$C$185+'Ethylene Recycling HC'!$C$204))</f>
        <v>14.691664957651879</v>
      </c>
      <c r="S132" s="60">
        <f>S48-('Ethylene Recycling HC'!R96+'Ethylene Recycling HC'!R139+'Ethylene Recycling HC'!R185+'Ethylene Recycling HC'!R204-('Ethylene Recycling HC'!$C$96+'Ethylene Recycling HC'!$C$139+'Ethylene Recycling HC'!$C$185+'Ethylene Recycling HC'!$C$204))</f>
        <v>14.754246583106118</v>
      </c>
      <c r="T132" s="60">
        <f>T48-('Ethylene Recycling HC'!S96+'Ethylene Recycling HC'!S139+'Ethylene Recycling HC'!S185+'Ethylene Recycling HC'!S204-('Ethylene Recycling HC'!$C$96+'Ethylene Recycling HC'!$C$139+'Ethylene Recycling HC'!$C$185+'Ethylene Recycling HC'!$C$204))</f>
        <v>14.811998446342432</v>
      </c>
      <c r="U132" s="60">
        <f>U48-('Ethylene Recycling HC'!T96+'Ethylene Recycling HC'!T139+'Ethylene Recycling HC'!T185+'Ethylene Recycling HC'!T204-('Ethylene Recycling HC'!$C$96+'Ethylene Recycling HC'!$C$139+'Ethylene Recycling HC'!$C$185+'Ethylene Recycling HC'!$C$204))</f>
        <v>14.86481333854862</v>
      </c>
      <c r="V132" s="60">
        <f>V48-('Ethylene Recycling HC'!U96+'Ethylene Recycling HC'!U139+'Ethylene Recycling HC'!U185+'Ethylene Recycling HC'!U204-('Ethylene Recycling HC'!$C$96+'Ethylene Recycling HC'!$C$139+'Ethylene Recycling HC'!$C$185+'Ethylene Recycling HC'!$C$204))</f>
        <v>14.912587122895202</v>
      </c>
      <c r="W132" s="60">
        <f>W48-('Ethylene Recycling HC'!V96+'Ethylene Recycling HC'!V139+'Ethylene Recycling HC'!V185+'Ethylene Recycling HC'!V204-('Ethylene Recycling HC'!$C$96+'Ethylene Recycling HC'!$C$139+'Ethylene Recycling HC'!$C$185+'Ethylene Recycling HC'!$C$204))</f>
        <v>14.95521894410501</v>
      </c>
      <c r="X132" s="60">
        <f>X48-('Ethylene Recycling HC'!W96+'Ethylene Recycling HC'!W139+'Ethylene Recycling HC'!W185+'Ethylene Recycling HC'!W204-('Ethylene Recycling HC'!$C$96+'Ethylene Recycling HC'!$C$139+'Ethylene Recycling HC'!$C$185+'Ethylene Recycling HC'!$C$204))</f>
        <v>14.992611440453008</v>
      </c>
      <c r="Y132" s="60">
        <f>Y48-('Ethylene Recycling HC'!X96+'Ethylene Recycling HC'!X139+'Ethylene Recycling HC'!X185+'Ethylene Recycling HC'!X204-('Ethylene Recycling HC'!$C$96+'Ethylene Recycling HC'!$C$139+'Ethylene Recycling HC'!$C$185+'Ethylene Recycling HC'!$C$204))</f>
        <v>14.926825183051402</v>
      </c>
      <c r="Z132" s="60">
        <f>Z48-('Ethylene Recycling HC'!Y96+'Ethylene Recycling HC'!Y139+'Ethylene Recycling HC'!Y185+'Ethylene Recycling HC'!Y204-('Ethylene Recycling HC'!$C$96+'Ethylene Recycling HC'!$C$139+'Ethylene Recycling HC'!$C$185+'Ethylene Recycling HC'!$C$204))</f>
        <v>14.850456629350949</v>
      </c>
      <c r="AA132" s="60">
        <f>AA48-('Ethylene Recycling HC'!Z96+'Ethylene Recycling HC'!Z139+'Ethylene Recycling HC'!Z185+'Ethylene Recycling HC'!Z204-('Ethylene Recycling HC'!$C$96+'Ethylene Recycling HC'!$C$139+'Ethylene Recycling HC'!$C$185+'Ethylene Recycling HC'!$C$204))</f>
        <v>14.763252253850979</v>
      </c>
      <c r="AB132" s="60">
        <f>AB48-('Ethylene Recycling HC'!AA96+'Ethylene Recycling HC'!AA139+'Ethylene Recycling HC'!AA185+'Ethylene Recycling HC'!AA204-('Ethylene Recycling HC'!$C$96+'Ethylene Recycling HC'!$C$139+'Ethylene Recycling HC'!$C$185+'Ethylene Recycling HC'!$C$204))</f>
        <v>14.665056081095887</v>
      </c>
      <c r="AC132" s="60">
        <f>AC48-('Ethylene Recycling HC'!AB96+'Ethylene Recycling HC'!AB139+'Ethylene Recycling HC'!AB185+'Ethylene Recycling HC'!AB204-('Ethylene Recycling HC'!$C$96+'Ethylene Recycling HC'!$C$139+'Ethylene Recycling HC'!$C$185+'Ethylene Recycling HC'!$C$204))</f>
        <v>14.555674369711976</v>
      </c>
      <c r="AD132" s="60">
        <f>AD48-('Ethylene Recycling HC'!AC96+'Ethylene Recycling HC'!AC139+'Ethylene Recycling HC'!AC185+'Ethylene Recycling HC'!AC204-('Ethylene Recycling HC'!$C$96+'Ethylene Recycling HC'!$C$139+'Ethylene Recycling HC'!$C$185+'Ethylene Recycling HC'!$C$204))</f>
        <v>14.434864204602396</v>
      </c>
      <c r="AE132" s="60">
        <f>AE48-('Ethylene Recycling HC'!AD96+'Ethylene Recycling HC'!AD139+'Ethylene Recycling HC'!AD185+'Ethylene Recycling HC'!AD204-('Ethylene Recycling HC'!$C$96+'Ethylene Recycling HC'!$C$139+'Ethylene Recycling HC'!$C$185+'Ethylene Recycling HC'!$C$204))</f>
        <v>14.302428953133511</v>
      </c>
      <c r="AF132" s="60">
        <f>AF48-('Ethylene Recycling HC'!AE96+'Ethylene Recycling HC'!AE139+'Ethylene Recycling HC'!AE185+'Ethylene Recycling HC'!AE204-('Ethylene Recycling HC'!$C$96+'Ethylene Recycling HC'!$C$139+'Ethylene Recycling HC'!$C$185+'Ethylene Recycling HC'!$C$204))</f>
        <v>14.158176742061542</v>
      </c>
      <c r="AG132" s="60">
        <f>AG48-('Ethylene Recycling HC'!AF96+'Ethylene Recycling HC'!AF139+'Ethylene Recycling HC'!AF185+'Ethylene Recycling HC'!AF204-('Ethylene Recycling HC'!$C$96+'Ethylene Recycling HC'!$C$139+'Ethylene Recycling HC'!$C$185+'Ethylene Recycling HC'!$C$204))</f>
        <v>14.001920740005076</v>
      </c>
      <c r="AH132" s="60">
        <f>AH48-('Ethylene Recycling HC'!AG96+'Ethylene Recycling HC'!AG139+'Ethylene Recycling HC'!AG185+'Ethylene Recycling HC'!AG204-('Ethylene Recycling HC'!$C$96+'Ethylene Recycling HC'!$C$139+'Ethylene Recycling HC'!$C$185+'Ethylene Recycling HC'!$C$204))</f>
        <v>13.83347944216391</v>
      </c>
      <c r="AI132" s="60"/>
    </row>
    <row r="133" spans="1:36" s="68" customFormat="1">
      <c r="A133" s="759"/>
      <c r="B133" s="62" t="s">
        <v>266</v>
      </c>
      <c r="C133" s="283" t="s">
        <v>153</v>
      </c>
      <c r="D133" s="284">
        <f>D49-('Ethylene Recycling HC'!C205+'Ethylene Recycling HC'!C186+'Ethylene Recycling HC'!C140+'Ethylene Recycling HC'!C97-('Ethylene Recycling HC'!$C$205+'Ethylene Recycling HC'!$C$186+'Ethylene Recycling HC'!$C$140+'Ethylene Recycling HC'!$C$97))</f>
        <v>2.8011119939271252</v>
      </c>
      <c r="E133" s="284">
        <f>E49-('Ethylene Recycling HC'!D205+'Ethylene Recycling HC'!D186+'Ethylene Recycling HC'!D140+'Ethylene Recycling HC'!D97-('Ethylene Recycling HC'!$C$205+'Ethylene Recycling HC'!$C$186+'Ethylene Recycling HC'!$C$140+'Ethylene Recycling HC'!$C$97))</f>
        <v>2.8197575790135745</v>
      </c>
      <c r="F133" s="284">
        <f>F49-('Ethylene Recycling HC'!E205+'Ethylene Recycling HC'!E186+'Ethylene Recycling HC'!E140+'Ethylene Recycling HC'!E97-('Ethylene Recycling HC'!$C$205+'Ethylene Recycling HC'!$C$186+'Ethylene Recycling HC'!$C$140+'Ethylene Recycling HC'!$C$97))</f>
        <v>2.8377016039503093</v>
      </c>
      <c r="G133" s="284">
        <f>G49-('Ethylene Recycling HC'!F205+'Ethylene Recycling HC'!F186+'Ethylene Recycling HC'!F140+'Ethylene Recycling HC'!F97-('Ethylene Recycling HC'!$C$205+'Ethylene Recycling HC'!$C$186+'Ethylene Recycling HC'!$C$140+'Ethylene Recycling HC'!$C$97))</f>
        <v>2.855067791606384</v>
      </c>
      <c r="H133" s="284">
        <f>H49-('Ethylene Recycling HC'!G205+'Ethylene Recycling HC'!G186+'Ethylene Recycling HC'!G140+'Ethylene Recycling HC'!G97-('Ethylene Recycling HC'!$C$205+'Ethylene Recycling HC'!$C$186+'Ethylene Recycling HC'!$C$140+'Ethylene Recycling HC'!$C$97))</f>
        <v>2.8720022690135147</v>
      </c>
      <c r="I133" s="284">
        <f>I49-('Ethylene Recycling HC'!H205+'Ethylene Recycling HC'!H186+'Ethylene Recycling HC'!H140+'Ethylene Recycling HC'!H97-('Ethylene Recycling HC'!$C$205+'Ethylene Recycling HC'!$C$186+'Ethylene Recycling HC'!$C$140+'Ethylene Recycling HC'!$C$97))</f>
        <v>2.8886731210141385</v>
      </c>
      <c r="J133" s="284">
        <f>J49-('Ethylene Recycling HC'!I205+'Ethylene Recycling HC'!I186+'Ethylene Recycling HC'!I140+'Ethylene Recycling HC'!I97-('Ethylene Recycling HC'!$C$205+'Ethylene Recycling HC'!$C$186+'Ethylene Recycling HC'!$C$140+'Ethylene Recycling HC'!$C$97))</f>
        <v>2.9043139268232636</v>
      </c>
      <c r="K133" s="284">
        <f>K49-('Ethylene Recycling HC'!J205+'Ethylene Recycling HC'!J186+'Ethylene Recycling HC'!J140+'Ethylene Recycling HC'!J97-('Ethylene Recycling HC'!$C$205+'Ethylene Recycling HC'!$C$186+'Ethylene Recycling HC'!$C$140+'Ethylene Recycling HC'!$C$97))</f>
        <v>2.9188955463898023</v>
      </c>
      <c r="L133" s="284">
        <f>L49-('Ethylene Recycling HC'!K205+'Ethylene Recycling HC'!K186+'Ethylene Recycling HC'!K140+'Ethylene Recycling HC'!K97-('Ethylene Recycling HC'!$C$205+'Ethylene Recycling HC'!$C$186+'Ethylene Recycling HC'!$C$140+'Ethylene Recycling HC'!$C$97))</f>
        <v>2.9323913295606734</v>
      </c>
      <c r="M133" s="284">
        <f>M49-('Ethylene Recycling HC'!L205+'Ethylene Recycling HC'!L186+'Ethylene Recycling HC'!L140+'Ethylene Recycling HC'!L97-('Ethylene Recycling HC'!$C$205+'Ethylene Recycling HC'!$C$186+'Ethylene Recycling HC'!$C$140+'Ethylene Recycling HC'!$C$97))</f>
        <v>2.9447773337111185</v>
      </c>
      <c r="N133" s="284">
        <f>N49-('Ethylene Recycling HC'!M205+'Ethylene Recycling HC'!M186+'Ethylene Recycling HC'!M140+'Ethylene Recycling HC'!M97-('Ethylene Recycling HC'!$C$205+'Ethylene Recycling HC'!$C$186+'Ethylene Recycling HC'!$C$140+'Ethylene Recycling HC'!$C$97))</f>
        <v>2.9560325420115707</v>
      </c>
      <c r="O133" s="284">
        <f>O49-('Ethylene Recycling HC'!N205+'Ethylene Recycling HC'!N186+'Ethylene Recycling HC'!N140+'Ethylene Recycling HC'!N97-('Ethylene Recycling HC'!$C$205+'Ethylene Recycling HC'!$C$186+'Ethylene Recycling HC'!$C$140+'Ethylene Recycling HC'!$C$97))</f>
        <v>2.9458677347770066</v>
      </c>
      <c r="P133" s="284">
        <f>P49-('Ethylene Recycling HC'!O205+'Ethylene Recycling HC'!O186+'Ethylene Recycling HC'!O140+'Ethylene Recycling HC'!O97-('Ethylene Recycling HC'!$C$205+'Ethylene Recycling HC'!$C$186+'Ethylene Recycling HC'!$C$140+'Ethylene Recycling HC'!$C$97))</f>
        <v>2.9338874625505937</v>
      </c>
      <c r="Q133" s="284">
        <f>Q49-('Ethylene Recycling HC'!P205+'Ethylene Recycling HC'!P186+'Ethylene Recycling HC'!P140+'Ethylene Recycling HC'!P97-('Ethylene Recycling HC'!$C$205+'Ethylene Recycling HC'!$C$186+'Ethylene Recycling HC'!$C$140+'Ethylene Recycling HC'!$C$97))</f>
        <v>2.9203554312460103</v>
      </c>
      <c r="R133" s="284">
        <f>R49-('Ethylene Recycling HC'!Q205+'Ethylene Recycling HC'!Q186+'Ethylene Recycling HC'!Q140+'Ethylene Recycling HC'!Q97-('Ethylene Recycling HC'!$C$205+'Ethylene Recycling HC'!$C$186+'Ethylene Recycling HC'!$C$140+'Ethylene Recycling HC'!$C$97))</f>
        <v>2.9055696977368113</v>
      </c>
      <c r="S133" s="284">
        <f>S49-('Ethylene Recycling HC'!R205+'Ethylene Recycling HC'!R186+'Ethylene Recycling HC'!R140+'Ethylene Recycling HC'!R97-('Ethylene Recycling HC'!$C$205+'Ethylene Recycling HC'!$C$186+'Ethylene Recycling HC'!$C$140+'Ethylene Recycling HC'!$C$97))</f>
        <v>2.8898613014147174</v>
      </c>
      <c r="T133" s="284">
        <f>T49-('Ethylene Recycling HC'!S205+'Ethylene Recycling HC'!S186+'Ethylene Recycling HC'!S140+'Ethylene Recycling HC'!S97-('Ethylene Recycling HC'!$C$205+'Ethylene Recycling HC'!$C$186+'Ethylene Recycling HC'!$C$140+'Ethylene Recycling HC'!$C$97))</f>
        <v>2.871712049545402</v>
      </c>
      <c r="U133" s="284">
        <f>U49-('Ethylene Recycling HC'!T205+'Ethylene Recycling HC'!T186+'Ethylene Recycling HC'!T140+'Ethylene Recycling HC'!T97-('Ethylene Recycling HC'!$C$205+'Ethylene Recycling HC'!$C$186+'Ethylene Recycling HC'!$C$140+'Ethylene Recycling HC'!$C$97))</f>
        <v>2.8510717190584538</v>
      </c>
      <c r="V133" s="284">
        <f>V49-('Ethylene Recycling HC'!U205+'Ethylene Recycling HC'!U186+'Ethylene Recycling HC'!U140+'Ethylene Recycling HC'!U97-('Ethylene Recycling HC'!$C$205+'Ethylene Recycling HC'!$C$186+'Ethylene Recycling HC'!$C$140+'Ethylene Recycling HC'!$C$97))</f>
        <v>2.8278910938485264</v>
      </c>
      <c r="W133" s="284">
        <f>W49-('Ethylene Recycling HC'!V205+'Ethylene Recycling HC'!V186+'Ethylene Recycling HC'!V140+'Ethylene Recycling HC'!V97-('Ethylene Recycling HC'!$C$205+'Ethylene Recycling HC'!$C$186+'Ethylene Recycling HC'!$C$140+'Ethylene Recycling HC'!$C$97))</f>
        <v>2.8021220398120312</v>
      </c>
      <c r="X133" s="284">
        <f>X49-('Ethylene Recycling HC'!W205+'Ethylene Recycling HC'!W186+'Ethylene Recycling HC'!W140+'Ethylene Recycling HC'!W97-('Ethylene Recycling HC'!$C$205+'Ethylene Recycling HC'!$C$186+'Ethylene Recycling HC'!$C$140+'Ethylene Recycling HC'!$C$97))</f>
        <v>2.7737175806543752</v>
      </c>
      <c r="Y133" s="284">
        <f>Y49-('Ethylene Recycling HC'!X205+'Ethylene Recycling HC'!X186+'Ethylene Recycling HC'!X140+'Ethylene Recycling HC'!X97-('Ethylene Recycling HC'!$C$205+'Ethylene Recycling HC'!$C$186+'Ethylene Recycling HC'!$C$140+'Ethylene Recycling HC'!$C$97))</f>
        <v>2.7079597390952017</v>
      </c>
      <c r="Z133" s="284">
        <f>Z49-('Ethylene Recycling HC'!Y205+'Ethylene Recycling HC'!Y186+'Ethylene Recycling HC'!Y140+'Ethylene Recycling HC'!Y97-('Ethylene Recycling HC'!$C$205+'Ethylene Recycling HC'!$C$186+'Ethylene Recycling HC'!$C$140+'Ethylene Recycling HC'!$C$97))</f>
        <v>2.6375292241348189</v>
      </c>
      <c r="AA133" s="284">
        <f>AA49-('Ethylene Recycling HC'!Z205+'Ethylene Recycling HC'!Z186+'Ethylene Recycling HC'!Z140+'Ethylene Recycling HC'!Z97-('Ethylene Recycling HC'!$C$205+'Ethylene Recycling HC'!$C$186+'Ethylene Recycling HC'!$C$140+'Ethylene Recycling HC'!$C$97))</f>
        <v>2.5623396685951665</v>
      </c>
      <c r="AB133" s="284">
        <f>AB49-('Ethylene Recycling HC'!AA205+'Ethylene Recycling HC'!AA186+'Ethylene Recycling HC'!AA140+'Ethylene Recycling HC'!AA97-('Ethylene Recycling HC'!$C$205+'Ethylene Recycling HC'!$C$186+'Ethylene Recycling HC'!$C$140+'Ethylene Recycling HC'!$C$97))</f>
        <v>2.4823062302355932</v>
      </c>
      <c r="AC133" s="284">
        <f>AC49-('Ethylene Recycling HC'!AB205+'Ethylene Recycling HC'!AB186+'Ethylene Recycling HC'!AB140+'Ethylene Recycling HC'!AB97-('Ethylene Recycling HC'!$C$205+'Ethylene Recycling HC'!$C$186+'Ethylene Recycling HC'!$C$140+'Ethylene Recycling HC'!$C$97))</f>
        <v>2.3973456994325444</v>
      </c>
      <c r="AD133" s="284">
        <f>AD49-('Ethylene Recycling HC'!AC205+'Ethylene Recycling HC'!AC186+'Ethylene Recycling HC'!AC140+'Ethylene Recycling HC'!AC97-('Ethylene Recycling HC'!$C$205+'Ethylene Recycling HC'!$C$186+'Ethylene Recycling HC'!$C$140+'Ethylene Recycling HC'!$C$97))</f>
        <v>2.3073550195403576</v>
      </c>
      <c r="AE133" s="284">
        <f>AE49-('Ethylene Recycling HC'!AD205+'Ethylene Recycling HC'!AD186+'Ethylene Recycling HC'!AD140+'Ethylene Recycling HC'!AD97-('Ethylene Recycling HC'!$C$205+'Ethylene Recycling HC'!$C$186+'Ethylene Recycling HC'!$C$140+'Ethylene Recycling HC'!$C$97))</f>
        <v>2.2122497518994653</v>
      </c>
      <c r="AF133" s="284">
        <f>AF49-('Ethylene Recycling HC'!AE205+'Ethylene Recycling HC'!AE186+'Ethylene Recycling HC'!AE140+'Ethylene Recycling HC'!AE97-('Ethylene Recycling HC'!$C$205+'Ethylene Recycling HC'!$C$186+'Ethylene Recycling HC'!$C$140+'Ethylene Recycling HC'!$C$97))</f>
        <v>2.1119470448345261</v>
      </c>
      <c r="AG133" s="284">
        <f>AG49-('Ethylene Recycling HC'!AF205+'Ethylene Recycling HC'!AF186+'Ethylene Recycling HC'!AF140+'Ethylene Recycling HC'!AF97-('Ethylene Recycling HC'!$C$205+'Ethylene Recycling HC'!$C$186+'Ethylene Recycling HC'!$C$140+'Ethylene Recycling HC'!$C$97))</f>
        <v>2.0063657342761418</v>
      </c>
      <c r="AH133" s="284">
        <f>AH49-('Ethylene Recycling HC'!AG205+'Ethylene Recycling HC'!AG186+'Ethylene Recycling HC'!AG140+'Ethylene Recycling HC'!AG97-('Ethylene Recycling HC'!$C$205+'Ethylene Recycling HC'!$C$186+'Ethylene Recycling HC'!$C$140+'Ethylene Recycling HC'!$C$97))</f>
        <v>1.8954264451674847</v>
      </c>
      <c r="AI133" s="284"/>
    </row>
    <row r="134" spans="1:36">
      <c r="A134" s="178" t="s">
        <v>225</v>
      </c>
      <c r="B134" s="242" t="s">
        <v>197</v>
      </c>
      <c r="C134" s="243" t="s">
        <v>153</v>
      </c>
      <c r="D134" s="180">
        <f t="shared" ref="D134:AH134" si="44">D65+D74</f>
        <v>26.799786402018107</v>
      </c>
      <c r="E134" s="180">
        <f t="shared" si="44"/>
        <v>29.440783521931873</v>
      </c>
      <c r="F134" s="180">
        <f t="shared" si="44"/>
        <v>31.565688322178854</v>
      </c>
      <c r="G134" s="180">
        <f t="shared" si="44"/>
        <v>33.772042183566171</v>
      </c>
      <c r="H134" s="180">
        <f t="shared" si="44"/>
        <v>36.063362100699869</v>
      </c>
      <c r="I134" s="180">
        <f t="shared" si="44"/>
        <v>38.443415897967128</v>
      </c>
      <c r="J134" s="180">
        <f t="shared" si="44"/>
        <v>40.414734736216154</v>
      </c>
      <c r="K134" s="180">
        <f t="shared" si="44"/>
        <v>42.459732787178652</v>
      </c>
      <c r="L134" s="180">
        <f t="shared" si="44"/>
        <v>44.58228549051227</v>
      </c>
      <c r="M134" s="180">
        <f t="shared" si="44"/>
        <v>46.786625828898501</v>
      </c>
      <c r="N134" s="180">
        <f t="shared" si="44"/>
        <v>49.077387955922532</v>
      </c>
      <c r="O134" s="180">
        <f t="shared" si="44"/>
        <v>49.386495031418363</v>
      </c>
      <c r="P134" s="180">
        <f t="shared" si="44"/>
        <v>49.722358818528249</v>
      </c>
      <c r="Q134" s="180">
        <f t="shared" si="44"/>
        <v>50.089296857395638</v>
      </c>
      <c r="R134" s="180">
        <f t="shared" si="44"/>
        <v>50.492223577458681</v>
      </c>
      <c r="S134" s="180">
        <f t="shared" si="44"/>
        <v>50.936730187119601</v>
      </c>
      <c r="T134" s="180">
        <f t="shared" si="44"/>
        <v>51.283593657993535</v>
      </c>
      <c r="U134" s="180">
        <f t="shared" si="44"/>
        <v>51.682254285951643</v>
      </c>
      <c r="V134" s="180">
        <f t="shared" si="44"/>
        <v>52.140868333276501</v>
      </c>
      <c r="W134" s="180">
        <f t="shared" si="44"/>
        <v>52.668709298401282</v>
      </c>
      <c r="X134" s="180">
        <f t="shared" si="44"/>
        <v>53.27631736020146</v>
      </c>
      <c r="Y134" s="180">
        <f t="shared" si="44"/>
        <v>53.838109586353497</v>
      </c>
      <c r="Z134" s="180">
        <f t="shared" si="44"/>
        <v>54.502239811048803</v>
      </c>
      <c r="AA134" s="180">
        <f t="shared" si="44"/>
        <v>55.284108778343935</v>
      </c>
      <c r="AB134" s="180">
        <f t="shared" si="44"/>
        <v>56.201209047201935</v>
      </c>
      <c r="AC134" s="180">
        <f t="shared" si="44"/>
        <v>57.273404709318889</v>
      </c>
      <c r="AD134" s="180">
        <f t="shared" si="44"/>
        <v>58.392872648867659</v>
      </c>
      <c r="AE134" s="180">
        <f t="shared" si="44"/>
        <v>59.712885070582203</v>
      </c>
      <c r="AF134" s="180">
        <f t="shared" si="44"/>
        <v>61.26245640667802</v>
      </c>
      <c r="AG134" s="180">
        <f t="shared" si="44"/>
        <v>63.074518218419684</v>
      </c>
      <c r="AH134" s="180">
        <f t="shared" si="44"/>
        <v>65.186443020014735</v>
      </c>
    </row>
    <row r="135" spans="1:36">
      <c r="A135" s="178"/>
      <c r="B135" s="181" t="s">
        <v>217</v>
      </c>
      <c r="C135" s="176" t="s">
        <v>153</v>
      </c>
      <c r="D135" s="238">
        <f>'Ethylene Recycling HC'!C214-'Ethylene Recycling HC'!$C$214</f>
        <v>0</v>
      </c>
      <c r="E135" s="238">
        <f>'Ethylene Recycling HC'!D214-'Ethylene Recycling HC'!$C$214</f>
        <v>0.11272835763187006</v>
      </c>
      <c r="F135" s="238">
        <f>'Ethylene Recycling HC'!E214-'Ethylene Recycling HC'!$C$214</f>
        <v>0.227159357203782</v>
      </c>
      <c r="G135" s="238">
        <f>'Ethylene Recycling HC'!F214-'Ethylene Recycling HC'!$C$214</f>
        <v>0.34262632003669613</v>
      </c>
      <c r="H135" s="238">
        <f>'Ethylene Recycling HC'!G214-'Ethylene Recycling HC'!$C$214</f>
        <v>0.45842153404383246</v>
      </c>
      <c r="I135" s="238">
        <f>'Ethylene Recycling HC'!H214-'Ethylene Recycling HC'!$C$214</f>
        <v>0.57380324898438784</v>
      </c>
      <c r="J135" s="238">
        <f>'Ethylene Recycling HC'!I214-'Ethylene Recycling HC'!$C$214</f>
        <v>0.69251812331276308</v>
      </c>
      <c r="K135" s="238">
        <f>'Ethylene Recycling HC'!J214-'Ethylene Recycling HC'!$C$214</f>
        <v>0.81453229100948721</v>
      </c>
      <c r="L135" s="238">
        <f>'Ethylene Recycling HC'!K214-'Ethylene Recycling HC'!$C$214</f>
        <v>0.93980486621398129</v>
      </c>
      <c r="M135" s="238">
        <f>'Ethylene Recycling HC'!L214-'Ethylene Recycling HC'!$C$214</f>
        <v>1.0682878173272201</v>
      </c>
      <c r="N135" s="238">
        <f>'Ethylene Recycling HC'!M214-'Ethylene Recycling HC'!$C$214</f>
        <v>1.199925857166851</v>
      </c>
      <c r="O135" s="238">
        <f>'Ethylene Recycling HC'!N214-'Ethylene Recycling HC'!$C$214</f>
        <v>1.4222356345598193</v>
      </c>
      <c r="P135" s="238">
        <f>'Ethylene Recycling HC'!O214-'Ethylene Recycling HC'!$C$214</f>
        <v>1.6460999018329086</v>
      </c>
      <c r="Q135" s="238">
        <f>'Ethylene Recycling HC'!P214-'Ethylene Recycling HC'!$C$214</f>
        <v>1.8703904373271734</v>
      </c>
      <c r="R135" s="238">
        <f>'Ethylene Recycling HC'!Q214-'Ethylene Recycling HC'!$C$214</f>
        <v>2.0939405438256697</v>
      </c>
      <c r="S135" s="238">
        <f>'Ethylene Recycling HC'!R214-'Ethylene Recycling HC'!$C$214</f>
        <v>2.3155548634435634</v>
      </c>
      <c r="T135" s="238">
        <f>'Ethylene Recycling HC'!S214-'Ethylene Recycling HC'!$C$214</f>
        <v>2.5411158549175203</v>
      </c>
      <c r="U135" s="238">
        <f>'Ethylene Recycling HC'!T214-'Ethylene Recycling HC'!$C$214</f>
        <v>2.7706163981301746</v>
      </c>
      <c r="V135" s="238">
        <f>'Ethylene Recycling HC'!U214-'Ethylene Recycling HC'!$C$214</f>
        <v>3.0040474996897188</v>
      </c>
      <c r="W135" s="238">
        <f>'Ethylene Recycling HC'!V214-'Ethylene Recycling HC'!$C$214</f>
        <v>3.2413982700383217</v>
      </c>
      <c r="X135" s="238">
        <f>'Ethylene Recycling HC'!W214-'Ethylene Recycling HC'!$C$214</f>
        <v>3.4826559015163028</v>
      </c>
      <c r="Y135" s="238">
        <f>'Ethylene Recycling HC'!X214-'Ethylene Recycling HC'!$C$214</f>
        <v>3.859551472549108</v>
      </c>
      <c r="Z135" s="238">
        <f>'Ethylene Recycling HC'!Y214-'Ethylene Recycling HC'!$C$214</f>
        <v>4.2430331696481129</v>
      </c>
      <c r="AA135" s="238">
        <f>'Ethylene Recycling HC'!Z214-'Ethylene Recycling HC'!$C$214</f>
        <v>4.6330908890834968</v>
      </c>
      <c r="AB135" s="238">
        <f>'Ethylene Recycling HC'!AA214-'Ethylene Recycling HC'!$C$214</f>
        <v>5.0297117185503204</v>
      </c>
      <c r="AC135" s="238">
        <f>'Ethylene Recycling HC'!AB214-'Ethylene Recycling HC'!$C$214</f>
        <v>5.4328799047774439</v>
      </c>
      <c r="AD135" s="238">
        <f>'Ethylene Recycling HC'!AC214-'Ethylene Recycling HC'!$C$214</f>
        <v>5.8426453388579329</v>
      </c>
      <c r="AE135" s="238">
        <f>'Ethylene Recycling HC'!AD214-'Ethylene Recycling HC'!$C$214</f>
        <v>6.2589983962647411</v>
      </c>
      <c r="AF135" s="238">
        <f>'Ethylene Recycling HC'!AE214-'Ethylene Recycling HC'!$C$214</f>
        <v>6.6819269137895487</v>
      </c>
      <c r="AG135" s="238">
        <f>'Ethylene Recycling HC'!AF214-'Ethylene Recycling HC'!$C$214</f>
        <v>7.1114161614141311</v>
      </c>
      <c r="AH135" s="238">
        <f>'Ethylene Recycling HC'!AG214-'Ethylene Recycling HC'!$C$214</f>
        <v>7.5474488152396111</v>
      </c>
    </row>
    <row r="136" spans="1:36" outlineLevel="1">
      <c r="A136"/>
      <c r="B136" t="s">
        <v>222</v>
      </c>
      <c r="C136" s="54" t="s">
        <v>153</v>
      </c>
      <c r="D136" s="44">
        <f>'Ethylene Recycling HC'!C99-'Ethylene Recycling HC'!$C$99</f>
        <v>0</v>
      </c>
      <c r="E136" s="44">
        <f>'Ethylene Recycling HC'!D99-'Ethylene Recycling HC'!$C$99</f>
        <v>7.6233252968542331E-2</v>
      </c>
      <c r="F136" s="44">
        <f>'Ethylene Recycling HC'!E99-'Ethylene Recycling HC'!$C$99</f>
        <v>0.15272542412422907</v>
      </c>
      <c r="G136" s="44">
        <f>'Ethylene Recycling HC'!F99-'Ethylene Recycling HC'!$C$99</f>
        <v>0.22900300350340363</v>
      </c>
      <c r="H136" s="44">
        <f>'Ethylene Recycling HC'!G99-'Ethylene Recycling HC'!$C$99</f>
        <v>0.30457374470031473</v>
      </c>
      <c r="I136" s="44">
        <f>'Ethylene Recycling HC'!H99-'Ethylene Recycling HC'!$C$99</f>
        <v>0.37893186989511962</v>
      </c>
      <c r="J136" s="44">
        <f>'Ethylene Recycling HC'!I99-'Ethylene Recycling HC'!$C$99</f>
        <v>0.45499260380715678</v>
      </c>
      <c r="K136" s="44">
        <f>'Ethylene Recycling HC'!J99-'Ethylene Recycling HC'!$C$99</f>
        <v>0.53271501364060958</v>
      </c>
      <c r="L136" s="44">
        <f>'Ethylene Recycling HC'!K99-'Ethylene Recycling HC'!$C$99</f>
        <v>0.612053971280627</v>
      </c>
      <c r="M136" s="44">
        <f>'Ethylene Recycling HC'!L99-'Ethylene Recycling HC'!$C$99</f>
        <v>0.69296013574650406</v>
      </c>
      <c r="N136" s="44">
        <f>'Ethylene Recycling HC'!M99-'Ethylene Recycling HC'!$C$99</f>
        <v>0.77537994689976797</v>
      </c>
      <c r="O136" s="44">
        <f>'Ethylene Recycling HC'!N99-'Ethylene Recycling HC'!$C$99</f>
        <v>0.92170654619406678</v>
      </c>
      <c r="P136" s="44">
        <f>'Ethylene Recycling HC'!O99-'Ethylene Recycling HC'!$C$99</f>
        <v>1.0680672296812057</v>
      </c>
      <c r="Q136" s="44">
        <f>'Ethylene Recycling HC'!P99-'Ethylene Recycling HC'!$C$99</f>
        <v>1.2136950606403887</v>
      </c>
      <c r="R136" s="44">
        <f>'Ethylene Recycling HC'!Q99-'Ethylene Recycling HC'!$C$99</f>
        <v>1.3578063492200547</v>
      </c>
      <c r="S136" s="44">
        <f>'Ethylene Recycling HC'!R99-'Ethylene Recycling HC'!$C$99</f>
        <v>1.4996075272044989</v>
      </c>
      <c r="T136" s="44">
        <f>'Ethylene Recycling HC'!S99-'Ethylene Recycling HC'!$C$99</f>
        <v>1.6433038914136437</v>
      </c>
      <c r="U136" s="44">
        <f>'Ethylene Recycling HC'!T99-'Ethylene Recycling HC'!$C$99</f>
        <v>1.7888720953780681</v>
      </c>
      <c r="V136" s="44">
        <f>'Ethylene Recycling HC'!U99-'Ethylene Recycling HC'!$C$99</f>
        <v>1.9362876135051024</v>
      </c>
      <c r="W136" s="44">
        <f>'Ethylene Recycling HC'!V99-'Ethylene Recycling HC'!$C$99</f>
        <v>2.0855247408125712</v>
      </c>
      <c r="X136" s="44">
        <f>'Ethylene Recycling HC'!W99-'Ethylene Recycling HC'!$C$99</f>
        <v>2.2365565934971694</v>
      </c>
      <c r="Y136" s="44">
        <f>'Ethylene Recycling HC'!X99-'Ethylene Recycling HC'!$C$99</f>
        <v>2.4646131491596659</v>
      </c>
      <c r="Z136" s="44">
        <f>'Ethylene Recycling HC'!Y99-'Ethylene Recycling HC'!$C$99</f>
        <v>2.6956012564647747</v>
      </c>
      <c r="AA136" s="44">
        <f>'Ethylene Recycling HC'!Z99-'Ethylene Recycling HC'!$C$99</f>
        <v>2.9294850158800942</v>
      </c>
      <c r="AB136" s="44">
        <f>'Ethylene Recycling HC'!AA99-'Ethylene Recycling HC'!$C$99</f>
        <v>3.1662268660504127</v>
      </c>
      <c r="AC136" s="44">
        <f>'Ethylene Recycling HC'!AB99-'Ethylene Recycling HC'!$C$99</f>
        <v>3.40578758490242</v>
      </c>
      <c r="AD136" s="44">
        <f>'Ethylene Recycling HC'!AC99-'Ethylene Recycling HC'!$C$99</f>
        <v>3.6481715389414875</v>
      </c>
      <c r="AE136" s="44">
        <f>'Ethylene Recycling HC'!AD99-'Ethylene Recycling HC'!$C$99</f>
        <v>3.8933432075647492</v>
      </c>
      <c r="AF136" s="44">
        <f>'Ethylene Recycling HC'!AE99-'Ethylene Recycling HC'!$C$99</f>
        <v>4.1412655860260248</v>
      </c>
      <c r="AG136" s="44">
        <f>'Ethylene Recycling HC'!AF99-'Ethylene Recycling HC'!$C$99</f>
        <v>4.391900187275608</v>
      </c>
      <c r="AH136" s="44">
        <f>'Ethylene Recycling HC'!AG99-'Ethylene Recycling HC'!$C$99</f>
        <v>4.6452070446885951</v>
      </c>
    </row>
    <row r="137" spans="1:36" outlineLevel="1">
      <c r="A137"/>
      <c r="B137" t="s">
        <v>226</v>
      </c>
      <c r="C137" s="54" t="s">
        <v>153</v>
      </c>
      <c r="D137" s="44">
        <f>'Ethylene Recycling HC'!C188-'Ethylene Recycling HC'!$C$188</f>
        <v>0</v>
      </c>
      <c r="E137" s="44">
        <f>'Ethylene Recycling HC'!D188-'Ethylene Recycling HC'!$C$188</f>
        <v>1.9870187670681994E-2</v>
      </c>
      <c r="F137" s="44">
        <f>'Ethylene Recycling HC'!E188-'Ethylene Recycling HC'!$C$188</f>
        <v>3.9647370499631518E-2</v>
      </c>
      <c r="G137" s="44">
        <f>'Ethylene Recycling HC'!F188-'Ethylene Recycling HC'!$C$188</f>
        <v>5.9192880569213513E-2</v>
      </c>
      <c r="H137" s="44">
        <f>'Ethylene Recycling HC'!G188-'Ethylene Recycling HC'!$C$188</f>
        <v>7.8365111272651167E-2</v>
      </c>
      <c r="I137" s="44">
        <f>'Ethylene Recycling HC'!H188-'Ethylene Recycling HC'!$C$188</f>
        <v>9.702121184629231E-2</v>
      </c>
      <c r="J137" s="44">
        <f>'Ethylene Recycling HC'!I188-'Ethylene Recycling HC'!$C$188</f>
        <v>0.11589368829101121</v>
      </c>
      <c r="K137" s="44">
        <f>'Ethylene Recycling HC'!J188-'Ethylene Recycling HC'!$C$188</f>
        <v>0.13495875159383547</v>
      </c>
      <c r="L137" s="44">
        <f>'Ethylene Recycling HC'!K188-'Ethylene Recycling HC'!$C$188</f>
        <v>0.15419156921074628</v>
      </c>
      <c r="M137" s="44">
        <f>'Ethylene Recycling HC'!L188-'Ethylene Recycling HC'!$C$188</f>
        <v>0.17356630353239944</v>
      </c>
      <c r="N137" s="44">
        <f>'Ethylene Recycling HC'!M188-'Ethylene Recycling HC'!$C$188</f>
        <v>0.19305615452727248</v>
      </c>
      <c r="O137" s="44">
        <f>'Ethylene Recycling HC'!N188-'Ethylene Recycling HC'!$C$188</f>
        <v>0.22813334550781816</v>
      </c>
      <c r="P137" s="44">
        <f>'Ethylene Recycling HC'!O188-'Ethylene Recycling HC'!$C$188</f>
        <v>0.26268446177757709</v>
      </c>
      <c r="Q137" s="44">
        <f>'Ethylene Recycling HC'!P188-'Ethylene Recycling HC'!$C$188</f>
        <v>0.2965045661214194</v>
      </c>
      <c r="R137" s="44">
        <f>'Ethylene Recycling HC'!Q188-'Ethylene Recycling HC'!$C$188</f>
        <v>0.32939006583985642</v>
      </c>
      <c r="S137" s="44">
        <f>'Ethylene Recycling HC'!R188-'Ethylene Recycling HC'!$C$188</f>
        <v>0.36114072300782607</v>
      </c>
      <c r="T137" s="44">
        <f>'Ethylene Recycling HC'!S188-'Ethylene Recycling HC'!$C$188</f>
        <v>0.39279046781575455</v>
      </c>
      <c r="U137" s="44">
        <f>'Ethylene Recycling HC'!T188-'Ethylene Recycling HC'!$C$188</f>
        <v>0.42431769035619771</v>
      </c>
      <c r="V137" s="44">
        <f>'Ethylene Recycling HC'!U188-'Ethylene Recycling HC'!$C$188</f>
        <v>0.45570052145087125</v>
      </c>
      <c r="W137" s="44">
        <f>'Ethylene Recycling HC'!V188-'Ethylene Recycling HC'!$C$188</f>
        <v>0.48691684506649113</v>
      </c>
      <c r="X137" s="44">
        <f>'Ethylene Recycling HC'!W188-'Ethylene Recycling HC'!$C$188</f>
        <v>0.51794431112122552</v>
      </c>
      <c r="Y137" s="44">
        <f>'Ethylene Recycling HC'!X188-'Ethylene Recycling HC'!$C$188</f>
        <v>0.56984747274019065</v>
      </c>
      <c r="Z137" s="44">
        <f>'Ethylene Recycling HC'!Y188-'Ethylene Recycling HC'!$C$188</f>
        <v>0.62149234648764928</v>
      </c>
      <c r="AA137" s="44">
        <f>'Ethylene Recycling HC'!Z188-'Ethylene Recycling HC'!$C$188</f>
        <v>0.67284330822290628</v>
      </c>
      <c r="AB137" s="44">
        <f>'Ethylene Recycling HC'!AA188-'Ethylene Recycling HC'!$C$188</f>
        <v>0.72386436950442434</v>
      </c>
      <c r="AC137" s="44">
        <f>'Ethylene Recycling HC'!AB188-'Ethylene Recycling HC'!$C$188</f>
        <v>0.77451919682826931</v>
      </c>
      <c r="AD137" s="44">
        <f>'Ethylene Recycling HC'!AC188-'Ethylene Recycling HC'!$C$188</f>
        <v>0.82478167520927748</v>
      </c>
      <c r="AE137" s="44">
        <f>'Ethylene Recycling HC'!AD188-'Ethylene Recycling HC'!$C$188</f>
        <v>0.87461626854245955</v>
      </c>
      <c r="AF137" s="44">
        <f>'Ethylene Recycling HC'!AE188-'Ethylene Recycling HC'!$C$188</f>
        <v>0.92398713230383878</v>
      </c>
      <c r="AG137" s="44">
        <f>'Ethylene Recycling HC'!AF188-'Ethylene Recycling HC'!$C$188</f>
        <v>0.9728581313079282</v>
      </c>
      <c r="AH137" s="44">
        <f>'Ethylene Recycling HC'!AG188-'Ethylene Recycling HC'!$C$188</f>
        <v>1.0211928579082863</v>
      </c>
      <c r="AJ137" s="44"/>
    </row>
    <row r="138" spans="1:36" outlineLevel="1">
      <c r="A138" s="181"/>
      <c r="B138" s="181" t="s">
        <v>218</v>
      </c>
      <c r="C138" s="176" t="s">
        <v>153</v>
      </c>
      <c r="D138" s="238">
        <f>'Ethylene Recycling HC'!C148-'Ethylene Recycling HC'!$C$148</f>
        <v>0</v>
      </c>
      <c r="E138" s="238">
        <f>'Ethylene Recycling HC'!D148-'Ethylene Recycling HC'!$C$148</f>
        <v>5.6101945554459798E-3</v>
      </c>
      <c r="F138" s="238">
        <f>'Ethylene Recycling HC'!E148-'Ethylene Recycling HC'!$C$148</f>
        <v>1.1145741000179031E-2</v>
      </c>
      <c r="G138" s="238">
        <f>'Ethylene Recycling HC'!F148-'Ethylene Recycling HC'!$C$148</f>
        <v>1.6549685749615739E-2</v>
      </c>
      <c r="H138" s="238">
        <f>'Ethylene Recycling HC'!G148-'Ethylene Recycling HC'!$C$148</f>
        <v>2.1765617749907457E-2</v>
      </c>
      <c r="I138" s="238">
        <f>'Ethylene Recycling HC'!H148-'Ethylene Recycling HC'!$C$148</f>
        <v>2.6738552305211001E-2</v>
      </c>
      <c r="J138" s="238">
        <f>'Ethylene Recycling HC'!I148-'Ethylene Recycling HC'!$C$148</f>
        <v>3.1531174581262277E-2</v>
      </c>
      <c r="K138" s="238">
        <f>'Ethylene Recycling HC'!J148-'Ethylene Recycling HC'!$C$148</f>
        <v>3.6122654080294365E-2</v>
      </c>
      <c r="L138" s="238">
        <f>'Ethylene Recycling HC'!K148-'Ethylene Recycling HC'!$C$148</f>
        <v>4.0492095581116737E-2</v>
      </c>
      <c r="M138" s="238">
        <f>'Ethylene Recycling HC'!L148-'Ethylene Recycling HC'!$C$148</f>
        <v>4.4618604532338242E-2</v>
      </c>
      <c r="N138" s="238">
        <f>'Ethylene Recycling HC'!M148-'Ethylene Recycling HC'!$C$148</f>
        <v>4.8481354225570407E-2</v>
      </c>
      <c r="O138" s="238">
        <f>'Ethylene Recycling HC'!N148-'Ethylene Recycling HC'!$C$148</f>
        <v>5.7420423239240133E-2</v>
      </c>
      <c r="P138" s="238">
        <f>'Ethylene Recycling HC'!O148-'Ethylene Recycling HC'!$C$148</f>
        <v>6.5673223085142035E-2</v>
      </c>
      <c r="Q138" s="238">
        <f>'Ethylene Recycling HC'!P148-'Ethylene Recycling HC'!$C$148</f>
        <v>7.3356568909048792E-2</v>
      </c>
      <c r="R138" s="238">
        <f>'Ethylene Recycling HC'!Q148-'Ethylene Recycling HC'!$C$148</f>
        <v>8.0240022743521905E-2</v>
      </c>
      <c r="S138" s="238">
        <f>'Ethylene Recycling HC'!R148-'Ethylene Recycling HC'!$C$148</f>
        <v>8.6259478128653699E-2</v>
      </c>
      <c r="T138" s="238">
        <f>'Ethylene Recycling HC'!S148-'Ethylene Recycling HC'!$C$148</f>
        <v>9.1563406422341759E-2</v>
      </c>
      <c r="U138" s="238">
        <f>'Ethylene Recycling HC'!T148-'Ethylene Recycling HC'!$C$148</f>
        <v>9.6128875824055243E-2</v>
      </c>
      <c r="V138" s="238">
        <f>'Ethylene Recycling HC'!U148-'Ethylene Recycling HC'!$C$148</f>
        <v>9.9933111273335068E-2</v>
      </c>
      <c r="W138" s="238">
        <f>'Ethylene Recycling HC'!V148-'Ethylene Recycling HC'!$C$148</f>
        <v>0.10295351704537742</v>
      </c>
      <c r="X138" s="238">
        <f>'Ethylene Recycling HC'!W148-'Ethylene Recycling HC'!$C$148</f>
        <v>0.10516769953609775</v>
      </c>
      <c r="Y138" s="238">
        <f>'Ethylene Recycling HC'!X148-'Ethylene Recycling HC'!$C$148</f>
        <v>0.11146293161929746</v>
      </c>
      <c r="Z138" s="238">
        <f>'Ethylene Recycling HC'!Y148-'Ethylene Recycling HC'!$C$148</f>
        <v>0.11642157776917772</v>
      </c>
      <c r="AA138" s="238">
        <f>'Ethylene Recycling HC'!Z148-'Ethylene Recycling HC'!$C$148</f>
        <v>0.12042395426441507</v>
      </c>
      <c r="AB138" s="238">
        <f>'Ethylene Recycling HC'!AA148-'Ethylene Recycling HC'!$C$148</f>
        <v>0.12302779629071731</v>
      </c>
      <c r="AC138" s="238">
        <f>'Ethylene Recycling HC'!AB148-'Ethylene Recycling HC'!$C$148</f>
        <v>0.12418437903550739</v>
      </c>
      <c r="AD138" s="238">
        <f>'Ethylene Recycling HC'!AC148-'Ethylene Recycling HC'!$C$148</f>
        <v>0.12384645772410838</v>
      </c>
      <c r="AE138" s="238">
        <f>'Ethylene Recycling HC'!AD148-'Ethylene Recycling HC'!$C$148</f>
        <v>0.12196550193689257</v>
      </c>
      <c r="AF138" s="238">
        <f>'Ethylene Recycling HC'!AE148-'Ethylene Recycling HC'!$C$148</f>
        <v>0.11849308148221555</v>
      </c>
      <c r="AG138" s="238">
        <f>'Ethylene Recycling HC'!AF148-'Ethylene Recycling HC'!$C$148</f>
        <v>0.11338090758889599</v>
      </c>
      <c r="AH138" s="238">
        <f>'Ethylene Recycling HC'!AG148-'Ethylene Recycling HC'!$C$148</f>
        <v>0.10658087467378491</v>
      </c>
    </row>
    <row r="139" spans="1:36">
      <c r="A139" s="178"/>
      <c r="B139" s="239" t="s">
        <v>219</v>
      </c>
      <c r="C139" s="179" t="s">
        <v>153</v>
      </c>
      <c r="D139" s="241">
        <f>D134-D135-D136-D137-D138</f>
        <v>26.799786402018107</v>
      </c>
      <c r="E139" s="241">
        <f t="shared" ref="E139:AG139" si="45">E134-E135-E136-E137-E138</f>
        <v>29.226341529105333</v>
      </c>
      <c r="F139" s="241">
        <f t="shared" si="45"/>
        <v>31.135010429351034</v>
      </c>
      <c r="G139" s="241">
        <f t="shared" si="45"/>
        <v>33.124670293707247</v>
      </c>
      <c r="H139" s="241">
        <f t="shared" si="45"/>
        <v>35.200236092933167</v>
      </c>
      <c r="I139" s="241">
        <f t="shared" si="45"/>
        <v>37.366921014936118</v>
      </c>
      <c r="J139" s="241">
        <f t="shared" si="45"/>
        <v>39.119799146223961</v>
      </c>
      <c r="K139" s="241">
        <f t="shared" si="45"/>
        <v>40.941404076854425</v>
      </c>
      <c r="L139" s="241">
        <f t="shared" si="45"/>
        <v>42.835742988225796</v>
      </c>
      <c r="M139" s="241">
        <f t="shared" si="45"/>
        <v>44.807192967760045</v>
      </c>
      <c r="N139" s="241">
        <f t="shared" si="45"/>
        <v>46.860544643103069</v>
      </c>
      <c r="O139" s="241">
        <f t="shared" si="45"/>
        <v>46.756999081917414</v>
      </c>
      <c r="P139" s="241">
        <f t="shared" si="45"/>
        <v>46.679834002151416</v>
      </c>
      <c r="Q139" s="241">
        <f t="shared" si="45"/>
        <v>46.635350224397605</v>
      </c>
      <c r="R139" s="241">
        <f t="shared" si="45"/>
        <v>46.630846595829574</v>
      </c>
      <c r="S139" s="241">
        <f t="shared" si="45"/>
        <v>46.674167595335057</v>
      </c>
      <c r="T139" s="241">
        <f t="shared" si="45"/>
        <v>46.614820037424273</v>
      </c>
      <c r="U139" s="241">
        <f t="shared" si="45"/>
        <v>46.602319226263148</v>
      </c>
      <c r="V139" s="241">
        <f t="shared" si="45"/>
        <v>46.644899587357472</v>
      </c>
      <c r="W139" s="241">
        <f t="shared" si="45"/>
        <v>46.751915925438517</v>
      </c>
      <c r="X139" s="241">
        <f t="shared" si="45"/>
        <v>46.933992854530665</v>
      </c>
      <c r="Y139" s="241">
        <f t="shared" si="45"/>
        <v>46.832634560285229</v>
      </c>
      <c r="Z139" s="241">
        <f t="shared" si="45"/>
        <v>46.825691460679082</v>
      </c>
      <c r="AA139" s="241">
        <f t="shared" si="45"/>
        <v>46.928265610893014</v>
      </c>
      <c r="AB139" s="241">
        <f t="shared" si="45"/>
        <v>47.158378296806056</v>
      </c>
      <c r="AC139" s="241">
        <f t="shared" si="45"/>
        <v>47.536033643775248</v>
      </c>
      <c r="AD139" s="241">
        <f t="shared" si="45"/>
        <v>47.953427638134848</v>
      </c>
      <c r="AE139" s="241">
        <f t="shared" si="45"/>
        <v>48.56396169627336</v>
      </c>
      <c r="AF139" s="241">
        <f t="shared" si="45"/>
        <v>49.396783693076401</v>
      </c>
      <c r="AG139" s="241">
        <f t="shared" si="45"/>
        <v>50.484962830833112</v>
      </c>
      <c r="AH139" s="241">
        <f>AH134-AH135-AH136-AH137-AH138</f>
        <v>51.866013427504456</v>
      </c>
      <c r="AI139" s="44"/>
      <c r="AJ139" s="180"/>
    </row>
    <row r="140" spans="1:36" s="67" customFormat="1">
      <c r="A140" s="755" t="s">
        <v>257</v>
      </c>
      <c r="B140" s="58" t="s">
        <v>258</v>
      </c>
      <c r="C140" s="59" t="s">
        <v>153</v>
      </c>
      <c r="D140" s="60">
        <f>D66+D75-('Ethylene Recycling HC'!C100+'Ethylene Recycling HC'!C149+'Ethylene Recycling HC'!C189+'Ethylene Recycling HC'!C215-('Ethylene Recycling HC'!$C$100+'Ethylene Recycling HC'!$C$149+'Ethylene Recycling HC'!$C$189+'Ethylene Recycling HC'!$C$215))</f>
        <v>9.842212333121422</v>
      </c>
      <c r="E140" s="60">
        <f>E66+E75-('Ethylene Recycling HC'!D100+'Ethylene Recycling HC'!D149+'Ethylene Recycling HC'!D189+'Ethylene Recycling HC'!D215-('Ethylene Recycling HC'!$C$100+'Ethylene Recycling HC'!$C$149+'Ethylene Recycling HC'!$C$189+'Ethylene Recycling HC'!$C$215))</f>
        <v>10.675334841735136</v>
      </c>
      <c r="F140" s="60">
        <f>F66+F75-('Ethylene Recycling HC'!E100+'Ethylene Recycling HC'!E149+'Ethylene Recycling HC'!E189+'Ethylene Recycling HC'!E215-('Ethylene Recycling HC'!$C$100+'Ethylene Recycling HC'!$C$149+'Ethylene Recycling HC'!$C$189+'Ethylene Recycling HC'!$C$215))</f>
        <v>11.308364662663282</v>
      </c>
      <c r="G140" s="60">
        <f>G66+G75-('Ethylene Recycling HC'!F100+'Ethylene Recycling HC'!F149+'Ethylene Recycling HC'!F189+'Ethylene Recycling HC'!F215-('Ethylene Recycling HC'!$C$100+'Ethylene Recycling HC'!$C$149+'Ethylene Recycling HC'!$C$189+'Ethylene Recycling HC'!$C$215))</f>
        <v>11.970391220975792</v>
      </c>
      <c r="H140" s="60">
        <f>H66+H75-('Ethylene Recycling HC'!G100+'Ethylene Recycling HC'!G149+'Ethylene Recycling HC'!G189+'Ethylene Recycling HC'!G215-('Ethylene Recycling HC'!$C$100+'Ethylene Recycling HC'!$C$149+'Ethylene Recycling HC'!$C$189+'Ethylene Recycling HC'!$C$215))</f>
        <v>12.663710878365277</v>
      </c>
      <c r="I140" s="60">
        <f>I66+I75-('Ethylene Recycling HC'!H100+'Ethylene Recycling HC'!H149+'Ethylene Recycling HC'!H189+'Ethylene Recycling HC'!H215-('Ethylene Recycling HC'!$C$100+'Ethylene Recycling HC'!$C$149+'Ethylene Recycling HC'!$C$189+'Ethylene Recycling HC'!$C$215))</f>
        <v>13.390770196316677</v>
      </c>
      <c r="J140" s="60">
        <f>J66+J75-('Ethylene Recycling HC'!I100+'Ethylene Recycling HC'!I149+'Ethylene Recycling HC'!I189+'Ethylene Recycling HC'!I215-('Ethylene Recycling HC'!$C$100+'Ethylene Recycling HC'!$C$149+'Ethylene Recycling HC'!$C$189+'Ethylene Recycling HC'!$C$215))</f>
        <v>13.9640629259235</v>
      </c>
      <c r="K140" s="60">
        <f>K66+K75-('Ethylene Recycling HC'!J100+'Ethylene Recycling HC'!J149+'Ethylene Recycling HC'!J189+'Ethylene Recycling HC'!J215-('Ethylene Recycling HC'!$C$100+'Ethylene Recycling HC'!$C$149+'Ethylene Recycling HC'!$C$189+'Ethylene Recycling HC'!$C$215))</f>
        <v>14.560920283840376</v>
      </c>
      <c r="L140" s="60">
        <f>L66+L75-('Ethylene Recycling HC'!K100+'Ethylene Recycling HC'!K149+'Ethylene Recycling HC'!K189+'Ethylene Recycling HC'!K215-('Ethylene Recycling HC'!$C$100+'Ethylene Recycling HC'!$C$149+'Ethylene Recycling HC'!$C$189+'Ethylene Recycling HC'!$C$215))</f>
        <v>15.182958588333953</v>
      </c>
      <c r="M140" s="60">
        <f>M66+M75-('Ethylene Recycling HC'!L100+'Ethylene Recycling HC'!L149+'Ethylene Recycling HC'!L189+'Ethylene Recycling HC'!L215-('Ethylene Recycling HC'!$C$100+'Ethylene Recycling HC'!$C$149+'Ethylene Recycling HC'!$C$189+'Ethylene Recycling HC'!$C$215))</f>
        <v>15.831956735183585</v>
      </c>
      <c r="N140" s="60">
        <f>N66+N75-('Ethylene Recycling HC'!M100+'Ethylene Recycling HC'!M149+'Ethylene Recycling HC'!M189+'Ethylene Recycling HC'!M215-('Ethylene Recycling HC'!$C$100+'Ethylene Recycling HC'!$C$149+'Ethylene Recycling HC'!$C$189+'Ethylene Recycling HC'!$C$215))</f>
        <v>16.509875583284291</v>
      </c>
      <c r="O140" s="60">
        <f>O66+O75-('Ethylene Recycling HC'!N100+'Ethylene Recycling HC'!N149+'Ethylene Recycling HC'!N189+'Ethylene Recycling HC'!N215-('Ethylene Recycling HC'!$C$100+'Ethylene Recycling HC'!$C$149+'Ethylene Recycling HC'!$C$189+'Ethylene Recycling HC'!$C$215))</f>
        <v>16.341291370165383</v>
      </c>
      <c r="P140" s="60">
        <f>P66+P75-('Ethylene Recycling HC'!O100+'Ethylene Recycling HC'!O149+'Ethylene Recycling HC'!O189+'Ethylene Recycling HC'!O215-('Ethylene Recycling HC'!$C$100+'Ethylene Recycling HC'!$C$149+'Ethylene Recycling HC'!$C$189+'Ethylene Recycling HC'!$C$215))</f>
        <v>16.182014094880188</v>
      </c>
      <c r="Q140" s="60">
        <f>Q66+Q75-('Ethylene Recycling HC'!P100+'Ethylene Recycling HC'!P149+'Ethylene Recycling HC'!P189+'Ethylene Recycling HC'!P215-('Ethylene Recycling HC'!$C$100+'Ethylene Recycling HC'!$C$149+'Ethylene Recycling HC'!$C$189+'Ethylene Recycling HC'!$C$215))</f>
        <v>16.035249853148429</v>
      </c>
      <c r="R140" s="60">
        <f>R66+R75-('Ethylene Recycling HC'!Q100+'Ethylene Recycling HC'!Q149+'Ethylene Recycling HC'!Q189+'Ethylene Recycling HC'!Q215-('Ethylene Recycling HC'!$C$100+'Ethylene Recycling HC'!$C$149+'Ethylene Recycling HC'!$C$189+'Ethylene Recycling HC'!$C$215))</f>
        <v>15.904794998176417</v>
      </c>
      <c r="S140" s="60">
        <f>S66+S75-('Ethylene Recycling HC'!R100+'Ethylene Recycling HC'!R149+'Ethylene Recycling HC'!R189+'Ethylene Recycling HC'!R215-('Ethylene Recycling HC'!$C$100+'Ethylene Recycling HC'!$C$149+'Ethylene Recycling HC'!$C$189+'Ethylene Recycling HC'!$C$215))</f>
        <v>15.794662985139393</v>
      </c>
      <c r="T140" s="60">
        <f>T66+T75-('Ethylene Recycling HC'!S100+'Ethylene Recycling HC'!S149+'Ethylene Recycling HC'!S189+'Ethylene Recycling HC'!S215-('Ethylene Recycling HC'!$C$100+'Ethylene Recycling HC'!$C$149+'Ethylene Recycling HC'!$C$189+'Ethylene Recycling HC'!$C$215))</f>
        <v>15.646419852780554</v>
      </c>
      <c r="U140" s="60">
        <f>U66+U75-('Ethylene Recycling HC'!T100+'Ethylene Recycling HC'!T149+'Ethylene Recycling HC'!T189+'Ethylene Recycling HC'!T215-('Ethylene Recycling HC'!$C$100+'Ethylene Recycling HC'!$C$149+'Ethylene Recycling HC'!$C$189+'Ethylene Recycling HC'!$C$215))</f>
        <v>15.515453216495841</v>
      </c>
      <c r="V140" s="60">
        <f>V66+V75-('Ethylene Recycling HC'!U100+'Ethylene Recycling HC'!U149+'Ethylene Recycling HC'!U189+'Ethylene Recycling HC'!U215-('Ethylene Recycling HC'!$C$100+'Ethylene Recycling HC'!$C$149+'Ethylene Recycling HC'!$C$189+'Ethylene Recycling HC'!$C$215))</f>
        <v>15.405340525226183</v>
      </c>
      <c r="W140" s="60">
        <f>W66+W75-('Ethylene Recycling HC'!V100+'Ethylene Recycling HC'!V149+'Ethylene Recycling HC'!V189+'Ethylene Recycling HC'!V215-('Ethylene Recycling HC'!$C$100+'Ethylene Recycling HC'!$C$149+'Ethylene Recycling HC'!$C$189+'Ethylene Recycling HC'!$C$215))</f>
        <v>15.320156446206866</v>
      </c>
      <c r="X140" s="60">
        <f>X66+X75-('Ethylene Recycling HC'!W100+'Ethylene Recycling HC'!W149+'Ethylene Recycling HC'!W189+'Ethylene Recycling HC'!W215-('Ethylene Recycling HC'!$C$100+'Ethylene Recycling HC'!$C$149+'Ethylene Recycling HC'!$C$189+'Ethylene Recycling HC'!$C$215))</f>
        <v>15.264539794331725</v>
      </c>
      <c r="Y140" s="60">
        <f>Y66+Y75-('Ethylene Recycling HC'!X100+'Ethylene Recycling HC'!X149+'Ethylene Recycling HC'!X189+'Ethylene Recycling HC'!X215-('Ethylene Recycling HC'!$C$100+'Ethylene Recycling HC'!$C$149+'Ethylene Recycling HC'!$C$189+'Ethylene Recycling HC'!$C$215))</f>
        <v>15.030918628188086</v>
      </c>
      <c r="Z140" s="60">
        <f>Z66+Z75-('Ethylene Recycling HC'!Y100+'Ethylene Recycling HC'!Y149+'Ethylene Recycling HC'!Y189+'Ethylene Recycling HC'!Y215-('Ethylene Recycling HC'!$C$100+'Ethylene Recycling HC'!$C$149+'Ethylene Recycling HC'!$C$189+'Ethylene Recycling HC'!$C$215))</f>
        <v>14.833499763296441</v>
      </c>
      <c r="AA140" s="60">
        <f>AA66+AA75-('Ethylene Recycling HC'!Z100+'Ethylene Recycling HC'!Z149+'Ethylene Recycling HC'!Z189+'Ethylene Recycling HC'!Z215-('Ethylene Recycling HC'!$C$100+'Ethylene Recycling HC'!$C$149+'Ethylene Recycling HC'!$C$189+'Ethylene Recycling HC'!$C$215))</f>
        <v>14.678768800596586</v>
      </c>
      <c r="AB140" s="60">
        <f>AB66+AB75-('Ethylene Recycling HC'!AA100+'Ethylene Recycling HC'!AA149+'Ethylene Recycling HC'!AA189+'Ethylene Recycling HC'!AA215-('Ethylene Recycling HC'!$C$100+'Ethylene Recycling HC'!$C$149+'Ethylene Recycling HC'!$C$189+'Ethylene Recycling HC'!$C$215))</f>
        <v>14.57475709654156</v>
      </c>
      <c r="AC140" s="60">
        <f>AC66+AC75-('Ethylene Recycling HC'!AB100+'Ethylene Recycling HC'!AB149+'Ethylene Recycling HC'!AB189+'Ethylene Recycling HC'!AB215-('Ethylene Recycling HC'!$C$100+'Ethylene Recycling HC'!$C$149+'Ethylene Recycling HC'!$C$189+'Ethylene Recycling HC'!$C$215))</f>
        <v>14.530264787228578</v>
      </c>
      <c r="AD140" s="60">
        <f>AD66+AD75-('Ethylene Recycling HC'!AC100+'Ethylene Recycling HC'!AC149+'Ethylene Recycling HC'!AC189+'Ethylene Recycling HC'!AC215-('Ethylene Recycling HC'!$C$100+'Ethylene Recycling HC'!$C$149+'Ethylene Recycling HC'!$C$189+'Ethylene Recycling HC'!$C$215))</f>
        <v>14.507325835045897</v>
      </c>
      <c r="AE140" s="60">
        <f>AE66+AE75-('Ethylene Recycling HC'!AD100+'Ethylene Recycling HC'!AD149+'Ethylene Recycling HC'!AD189+'Ethylene Recycling HC'!AD215-('Ethylene Recycling HC'!$C$100+'Ethylene Recycling HC'!$C$149+'Ethylene Recycling HC'!$C$189+'Ethylene Recycling HC'!$C$215))</f>
        <v>14.564183094797816</v>
      </c>
      <c r="AF140" s="60">
        <f>AF66+AF75-('Ethylene Recycling HC'!AE100+'Ethylene Recycling HC'!AE149+'Ethylene Recycling HC'!AE189+'Ethylene Recycling HC'!AE215-('Ethylene Recycling HC'!$C$100+'Ethylene Recycling HC'!$C$149+'Ethylene Recycling HC'!$C$189+'Ethylene Recycling HC'!$C$215))</f>
        <v>14.713726647696934</v>
      </c>
      <c r="AG140" s="60">
        <f>AG66+AG75-('Ethylene Recycling HC'!AF100+'Ethylene Recycling HC'!AF149+'Ethylene Recycling HC'!AF189+'Ethylene Recycling HC'!AF215-('Ethylene Recycling HC'!$C$100+'Ethylene Recycling HC'!$C$149+'Ethylene Recycling HC'!$C$189+'Ethylene Recycling HC'!$C$215))</f>
        <v>14.970604990527134</v>
      </c>
      <c r="AH140" s="60">
        <f>AH66+AH75-('Ethylene Recycling HC'!AG100+'Ethylene Recycling HC'!AG149+'Ethylene Recycling HC'!AG189+'Ethylene Recycling HC'!AG215-('Ethylene Recycling HC'!$C$100+'Ethylene Recycling HC'!$C$149+'Ethylene Recycling HC'!$C$189+'Ethylene Recycling HC'!$C$215))</f>
        <v>15.351461825009888</v>
      </c>
      <c r="AI140" s="44"/>
      <c r="AJ140" s="180"/>
    </row>
    <row r="141" spans="1:36">
      <c r="A141" s="756"/>
      <c r="B141" s="1" t="s">
        <v>260</v>
      </c>
      <c r="C141" s="54" t="s">
        <v>153</v>
      </c>
      <c r="D141" s="44">
        <f>D67+D76+(D145-D71-D80)</f>
        <v>4.5813083502024288</v>
      </c>
      <c r="E141" s="44">
        <f t="shared" ref="E141:AH141" si="46">E67+E76+(E145-E71-E80)</f>
        <v>5.068671491941048</v>
      </c>
      <c r="F141" s="44">
        <f t="shared" si="46"/>
        <v>5.4184047622718534</v>
      </c>
      <c r="G141" s="44">
        <f t="shared" si="46"/>
        <v>5.7828592377885721</v>
      </c>
      <c r="H141" s="44">
        <f t="shared" si="46"/>
        <v>6.1628563068476048</v>
      </c>
      <c r="I141" s="44">
        <f t="shared" si="46"/>
        <v>6.5592736227041968</v>
      </c>
      <c r="J141" s="44">
        <f t="shared" si="46"/>
        <v>6.8864744747250608</v>
      </c>
      <c r="K141" s="44">
        <f t="shared" si="46"/>
        <v>7.2270625513360862</v>
      </c>
      <c r="L141" s="44">
        <f t="shared" si="46"/>
        <v>7.5818529126166156</v>
      </c>
      <c r="M141" s="44">
        <f t="shared" si="46"/>
        <v>7.9517389772491027</v>
      </c>
      <c r="N141" s="44">
        <f t="shared" si="46"/>
        <v>8.3377019167921897</v>
      </c>
      <c r="O141" s="44">
        <f t="shared" si="46"/>
        <v>8.3711574632362495</v>
      </c>
      <c r="P141" s="44">
        <f t="shared" si="46"/>
        <v>8.411367918145725</v>
      </c>
      <c r="Q141" s="44">
        <f t="shared" si="46"/>
        <v>8.4595096214813026</v>
      </c>
      <c r="R141" s="44">
        <f t="shared" si="46"/>
        <v>8.5168917214173838</v>
      </c>
      <c r="S141" s="44">
        <f t="shared" si="46"/>
        <v>8.5849714387436542</v>
      </c>
      <c r="T141" s="44">
        <f t="shared" si="46"/>
        <v>8.6392506111018292</v>
      </c>
      <c r="U141" s="44">
        <f t="shared" si="46"/>
        <v>8.7056637957104606</v>
      </c>
      <c r="V141" s="44">
        <f t="shared" si="46"/>
        <v>8.7860394064662479</v>
      </c>
      <c r="W141" s="44">
        <f t="shared" si="46"/>
        <v>8.8824481840463534</v>
      </c>
      <c r="X141" s="44">
        <f t="shared" si="46"/>
        <v>8.9972350247975363</v>
      </c>
      <c r="Y141" s="44">
        <f t="shared" si="46"/>
        <v>9.088400684493358</v>
      </c>
      <c r="Z141" s="44">
        <f t="shared" si="46"/>
        <v>9.2029262623783303</v>
      </c>
      <c r="AA141" s="44">
        <f t="shared" si="46"/>
        <v>9.3442143176959753</v>
      </c>
      <c r="AB141" s="44">
        <f t="shared" si="46"/>
        <v>9.5161168590729179</v>
      </c>
      <c r="AC141" s="44">
        <f t="shared" si="46"/>
        <v>9.7229944975531275</v>
      </c>
      <c r="AD141" s="44">
        <f t="shared" si="46"/>
        <v>9.9474851427906774</v>
      </c>
      <c r="AE141" s="44">
        <f t="shared" si="46"/>
        <v>10.216999575665925</v>
      </c>
      <c r="AF141" s="44">
        <f t="shared" si="46"/>
        <v>10.537853750386169</v>
      </c>
      <c r="AG141" s="44">
        <f t="shared" si="46"/>
        <v>10.917197974684019</v>
      </c>
      <c r="AH141" s="44">
        <f t="shared" si="46"/>
        <v>11.363126992277287</v>
      </c>
      <c r="AI141" s="44"/>
      <c r="AJ141" s="180"/>
    </row>
    <row r="142" spans="1:36">
      <c r="A142" s="756"/>
      <c r="B142" s="1" t="s">
        <v>262</v>
      </c>
      <c r="C142" s="54" t="s">
        <v>153</v>
      </c>
      <c r="D142" s="44">
        <f>D68+D77+(D144-D70-D79)</f>
        <v>3.0035502958579876</v>
      </c>
      <c r="E142" s="44">
        <f t="shared" ref="E142:AH142" si="47">E68+E77+(E144-E70-E79)</f>
        <v>3.2412251734998185</v>
      </c>
      <c r="F142" s="44">
        <f t="shared" si="47"/>
        <v>3.4538790299512621</v>
      </c>
      <c r="G142" s="44">
        <f t="shared" si="47"/>
        <v>3.6744735078836719</v>
      </c>
      <c r="H142" s="44">
        <f t="shared" si="47"/>
        <v>3.9033962265691318</v>
      </c>
      <c r="I142" s="44">
        <f t="shared" si="47"/>
        <v>4.1410531437844345</v>
      </c>
      <c r="J142" s="44">
        <f t="shared" si="47"/>
        <v>4.3309176878921907</v>
      </c>
      <c r="K142" s="44">
        <f t="shared" si="47"/>
        <v>4.5268753217979008</v>
      </c>
      <c r="L142" s="44">
        <f t="shared" si="47"/>
        <v>4.7291555616386391</v>
      </c>
      <c r="M142" s="44">
        <f t="shared" si="47"/>
        <v>4.9380000699564066</v>
      </c>
      <c r="N142" s="44">
        <f t="shared" si="47"/>
        <v>5.1536634765829099</v>
      </c>
      <c r="O142" s="44">
        <f t="shared" si="47"/>
        <v>5.1292655504685252</v>
      </c>
      <c r="P142" s="44">
        <f t="shared" si="47"/>
        <v>5.1044882976924582</v>
      </c>
      <c r="Q142" s="44">
        <f t="shared" si="47"/>
        <v>5.07960083476355</v>
      </c>
      <c r="R142" s="44">
        <f t="shared" si="47"/>
        <v>5.0549069978733217</v>
      </c>
      <c r="S142" s="44">
        <f t="shared" si="47"/>
        <v>5.0307235794128786</v>
      </c>
      <c r="T142" s="44">
        <f t="shared" si="47"/>
        <v>4.989858025327087</v>
      </c>
      <c r="U142" s="44">
        <f t="shared" si="47"/>
        <v>4.9483821484908415</v>
      </c>
      <c r="V142" s="44">
        <f t="shared" si="47"/>
        <v>4.9064394392603941</v>
      </c>
      <c r="W142" s="44">
        <f t="shared" si="47"/>
        <v>4.8641914324673552</v>
      </c>
      <c r="X142" s="44">
        <f t="shared" si="47"/>
        <v>4.8218195984506096</v>
      </c>
      <c r="Y142" s="44">
        <f t="shared" si="47"/>
        <v>4.7413859458398644</v>
      </c>
      <c r="Z142" s="44">
        <f t="shared" si="47"/>
        <v>4.6603583546181149</v>
      </c>
      <c r="AA142" s="44">
        <f t="shared" si="47"/>
        <v>4.5789542551625839</v>
      </c>
      <c r="AB142" s="44">
        <f t="shared" si="47"/>
        <v>4.4974856585951501</v>
      </c>
      <c r="AC142" s="44">
        <f t="shared" si="47"/>
        <v>4.4162683965084568</v>
      </c>
      <c r="AD142" s="44">
        <f t="shared" si="47"/>
        <v>4.3210313731729846</v>
      </c>
      <c r="AE142" s="44">
        <f t="shared" si="47"/>
        <v>4.2264742530437367</v>
      </c>
      <c r="AF142" s="44">
        <f t="shared" si="47"/>
        <v>4.1330281449958211</v>
      </c>
      <c r="AG142" s="44">
        <f t="shared" si="47"/>
        <v>4.0411735213171358</v>
      </c>
      <c r="AH142" s="44">
        <f t="shared" si="47"/>
        <v>3.9514453795102602</v>
      </c>
      <c r="AI142" s="44"/>
      <c r="AJ142" s="180"/>
    </row>
    <row r="143" spans="1:36">
      <c r="A143" s="757"/>
      <c r="B143" s="1" t="s">
        <v>248</v>
      </c>
      <c r="C143" s="54" t="s">
        <v>153</v>
      </c>
      <c r="D143" s="284">
        <f>D69+D78-('Ethylene Recycling HC'!C101+'Ethylene Recycling HC'!C150+'Ethylene Recycling HC'!C190+'Ethylene Recycling HC'!C216-('Ethylene Recycling HC'!$C$101+'Ethylene Recycling HC'!$C$150+'Ethylene Recycling HC'!$C$190+'Ethylene Recycling HC'!$C$216)+'Ethylene Recycling HC'!C104+'Ethylene Recycling HC'!C153+'Ethylene Recycling HC'!C193+'Ethylene Recycling HC'!C219-('Ethylene Recycling HC'!$C$104+'Ethylene Recycling HC'!$C$153+'Ethylene Recycling HC'!$C$193+'Ethylene Recycling HC'!$C$219))</f>
        <v>9.3727154228362686</v>
      </c>
      <c r="E143" s="284">
        <f>E69+E78-('Ethylene Recycling HC'!D101+'Ethylene Recycling HC'!D150+'Ethylene Recycling HC'!D190+'Ethylene Recycling HC'!D216-('Ethylene Recycling HC'!$C$101+'Ethylene Recycling HC'!$C$150+'Ethylene Recycling HC'!$C$190+'Ethylene Recycling HC'!$C$216)+'Ethylene Recycling HC'!D104+'Ethylene Recycling HC'!D153+'Ethylene Recycling HC'!D193+'Ethylene Recycling HC'!D219-('Ethylene Recycling HC'!$C$104+'Ethylene Recycling HC'!$C$153+'Ethylene Recycling HC'!$C$193+'Ethylene Recycling HC'!$C$219))</f>
        <v>10.241110021929329</v>
      </c>
      <c r="F143" s="284">
        <f>F69+F78-('Ethylene Recycling HC'!E101+'Ethylene Recycling HC'!E150+'Ethylene Recycling HC'!E190+'Ethylene Recycling HC'!E216-('Ethylene Recycling HC'!$C$101+'Ethylene Recycling HC'!$C$150+'Ethylene Recycling HC'!$C$190+'Ethylene Recycling HC'!$C$216)+'Ethylene Recycling HC'!E104+'Ethylene Recycling HC'!E153+'Ethylene Recycling HC'!E193+'Ethylene Recycling HC'!E219-('Ethylene Recycling HC'!$C$104+'Ethylene Recycling HC'!$C$153+'Ethylene Recycling HC'!$C$193+'Ethylene Recycling HC'!$C$219))</f>
        <v>10.954361974464636</v>
      </c>
      <c r="G143" s="284">
        <f>G69+G78-('Ethylene Recycling HC'!F101+'Ethylene Recycling HC'!F150+'Ethylene Recycling HC'!F190+'Ethylene Recycling HC'!F216-('Ethylene Recycling HC'!$C$101+'Ethylene Recycling HC'!$C$150+'Ethylene Recycling HC'!$C$190+'Ethylene Recycling HC'!$C$216)+'Ethylene Recycling HC'!F104+'Ethylene Recycling HC'!F153+'Ethylene Recycling HC'!F193+'Ethylene Recycling HC'!F219-('Ethylene Recycling HC'!$C$104+'Ethylene Recycling HC'!$C$153+'Ethylene Recycling HC'!$C$193+'Ethylene Recycling HC'!$C$219))</f>
        <v>11.696946327059209</v>
      </c>
      <c r="H143" s="284">
        <f>H69+H78-('Ethylene Recycling HC'!G101+'Ethylene Recycling HC'!G150+'Ethylene Recycling HC'!G190+'Ethylene Recycling HC'!G216-('Ethylene Recycling HC'!$C$101+'Ethylene Recycling HC'!$C$150+'Ethylene Recycling HC'!$C$190+'Ethylene Recycling HC'!$C$216)+'Ethylene Recycling HC'!G104+'Ethylene Recycling HC'!G153+'Ethylene Recycling HC'!G193+'Ethylene Recycling HC'!G219-('Ethylene Recycling HC'!$C$104+'Ethylene Recycling HC'!$C$153+'Ethylene Recycling HC'!$C$193+'Ethylene Recycling HC'!$C$219))</f>
        <v>12.470272681151151</v>
      </c>
      <c r="I143" s="284">
        <f>I69+I78-('Ethylene Recycling HC'!H101+'Ethylene Recycling HC'!H150+'Ethylene Recycling HC'!H190+'Ethylene Recycling HC'!H216-('Ethylene Recycling HC'!$C$101+'Ethylene Recycling HC'!$C$150+'Ethylene Recycling HC'!$C$190+'Ethylene Recycling HC'!$C$216)+'Ethylene Recycling HC'!H104+'Ethylene Recycling HC'!H153+'Ethylene Recycling HC'!H193+'Ethylene Recycling HC'!H219-('Ethylene Recycling HC'!$C$104+'Ethylene Recycling HC'!$C$153+'Ethylene Recycling HC'!$C$193+'Ethylene Recycling HC'!$C$219))</f>
        <v>13.275824052130808</v>
      </c>
      <c r="J143" s="284">
        <f>J69+J78-('Ethylene Recycling HC'!I101+'Ethylene Recycling HC'!I150+'Ethylene Recycling HC'!I190+'Ethylene Recycling HC'!I216-('Ethylene Recycling HC'!$C$101+'Ethylene Recycling HC'!$C$150+'Ethylene Recycling HC'!$C$190+'Ethylene Recycling HC'!$C$216)+'Ethylene Recycling HC'!I104+'Ethylene Recycling HC'!I153+'Ethylene Recycling HC'!I193+'Ethylene Recycling HC'!I219-('Ethylene Recycling HC'!$C$104+'Ethylene Recycling HC'!$C$153+'Ethylene Recycling HC'!$C$193+'Ethylene Recycling HC'!$C$219))</f>
        <v>13.938344057683205</v>
      </c>
      <c r="K143" s="284">
        <f>K69+K78-('Ethylene Recycling HC'!J101+'Ethylene Recycling HC'!J150+'Ethylene Recycling HC'!J190+'Ethylene Recycling HC'!J216-('Ethylene Recycling HC'!$C$101+'Ethylene Recycling HC'!$C$150+'Ethylene Recycling HC'!$C$190+'Ethylene Recycling HC'!$C$216)+'Ethylene Recycling HC'!J104+'Ethylene Recycling HC'!J153+'Ethylene Recycling HC'!J193+'Ethylene Recycling HC'!J219-('Ethylene Recycling HC'!$C$104+'Ethylene Recycling HC'!$C$153+'Ethylene Recycling HC'!$C$193+'Ethylene Recycling HC'!$C$219))</f>
        <v>14.626545919880057</v>
      </c>
      <c r="L143" s="284">
        <f>L69+L78-('Ethylene Recycling HC'!K101+'Ethylene Recycling HC'!K150+'Ethylene Recycling HC'!K190+'Ethylene Recycling HC'!K216-('Ethylene Recycling HC'!$C$101+'Ethylene Recycling HC'!$C$150+'Ethylene Recycling HC'!$C$190+'Ethylene Recycling HC'!$C$216)+'Ethylene Recycling HC'!K104+'Ethylene Recycling HC'!K153+'Ethylene Recycling HC'!K193+'Ethylene Recycling HC'!K219-('Ethylene Recycling HC'!$C$104+'Ethylene Recycling HC'!$C$153+'Ethylene Recycling HC'!$C$193+'Ethylene Recycling HC'!$C$219))</f>
        <v>15.34177592563659</v>
      </c>
      <c r="M143" s="284">
        <f>M69+M78-('Ethylene Recycling HC'!L101+'Ethylene Recycling HC'!L150+'Ethylene Recycling HC'!L190+'Ethylene Recycling HC'!L216-('Ethylene Recycling HC'!$C$101+'Ethylene Recycling HC'!$C$150+'Ethylene Recycling HC'!$C$190+'Ethylene Recycling HC'!$C$216)+'Ethylene Recycling HC'!L104+'Ethylene Recycling HC'!L153+'Ethylene Recycling HC'!L193+'Ethylene Recycling HC'!L219-('Ethylene Recycling HC'!$C$104+'Ethylene Recycling HC'!$C$153+'Ethylene Recycling HC'!$C$193+'Ethylene Recycling HC'!$C$219))</f>
        <v>16.08549718537094</v>
      </c>
      <c r="N143" s="284">
        <f>N69+N78-('Ethylene Recycling HC'!M101+'Ethylene Recycling HC'!M150+'Ethylene Recycling HC'!M190+'Ethylene Recycling HC'!M216-('Ethylene Recycling HC'!$C$101+'Ethylene Recycling HC'!$C$150+'Ethylene Recycling HC'!$C$190+'Ethylene Recycling HC'!$C$216)+'Ethylene Recycling HC'!M104+'Ethylene Recycling HC'!M153+'Ethylene Recycling HC'!M193+'Ethylene Recycling HC'!M219-('Ethylene Recycling HC'!$C$104+'Ethylene Recycling HC'!$C$153+'Ethylene Recycling HC'!$C$193+'Ethylene Recycling HC'!$C$219))</f>
        <v>16.859303666443676</v>
      </c>
      <c r="O143" s="284">
        <f>O69+O78-('Ethylene Recycling HC'!N101+'Ethylene Recycling HC'!N150+'Ethylene Recycling HC'!N190+'Ethylene Recycling HC'!N216-('Ethylene Recycling HC'!$C$101+'Ethylene Recycling HC'!$C$150+'Ethylene Recycling HC'!$C$190+'Ethylene Recycling HC'!$C$216)+'Ethylene Recycling HC'!N104+'Ethylene Recycling HC'!N153+'Ethylene Recycling HC'!N193+'Ethylene Recycling HC'!N219-('Ethylene Recycling HC'!$C$104+'Ethylene Recycling HC'!$C$153+'Ethylene Recycling HC'!$C$193+'Ethylene Recycling HC'!$C$219))</f>
        <v>16.915284698047259</v>
      </c>
      <c r="P143" s="284">
        <f>P69+P78-('Ethylene Recycling HC'!O101+'Ethylene Recycling HC'!O150+'Ethylene Recycling HC'!O190+'Ethylene Recycling HC'!O216-('Ethylene Recycling HC'!$C$101+'Ethylene Recycling HC'!$C$150+'Ethylene Recycling HC'!$C$190+'Ethylene Recycling HC'!$C$216)+'Ethylene Recycling HC'!O104+'Ethylene Recycling HC'!O153+'Ethylene Recycling HC'!O193+'Ethylene Recycling HC'!O219-('Ethylene Recycling HC'!$C$104+'Ethylene Recycling HC'!$C$153+'Ethylene Recycling HC'!$C$193+'Ethylene Recycling HC'!$C$219))</f>
        <v>16.981963691433037</v>
      </c>
      <c r="Q143" s="284">
        <f>Q69+Q78-('Ethylene Recycling HC'!P101+'Ethylene Recycling HC'!P150+'Ethylene Recycling HC'!P190+'Ethylene Recycling HC'!P216-('Ethylene Recycling HC'!$C$101+'Ethylene Recycling HC'!$C$150+'Ethylene Recycling HC'!$C$190+'Ethylene Recycling HC'!$C$216)+'Ethylene Recycling HC'!P104+'Ethylene Recycling HC'!P153+'Ethylene Recycling HC'!P193+'Ethylene Recycling HC'!P219-('Ethylene Recycling HC'!$C$104+'Ethylene Recycling HC'!$C$153+'Ethylene Recycling HC'!$C$193+'Ethylene Recycling HC'!$C$219))</f>
        <v>17.060989915004324</v>
      </c>
      <c r="R143" s="284">
        <f>R69+R78-('Ethylene Recycling HC'!Q101+'Ethylene Recycling HC'!Q150+'Ethylene Recycling HC'!Q190+'Ethylene Recycling HC'!Q216-('Ethylene Recycling HC'!$C$101+'Ethylene Recycling HC'!$C$150+'Ethylene Recycling HC'!$C$190+'Ethylene Recycling HC'!$C$216)+'Ethylene Recycling HC'!Q104+'Ethylene Recycling HC'!Q153+'Ethylene Recycling HC'!Q193+'Ethylene Recycling HC'!Q219-('Ethylene Recycling HC'!$C$104+'Ethylene Recycling HC'!$C$153+'Ethylene Recycling HC'!$C$193+'Ethylene Recycling HC'!$C$219))</f>
        <v>17.154252878362456</v>
      </c>
      <c r="S143" s="284">
        <f>S69+S78-('Ethylene Recycling HC'!R101+'Ethylene Recycling HC'!R150+'Ethylene Recycling HC'!R190+'Ethylene Recycling HC'!R216-('Ethylene Recycling HC'!$C$101+'Ethylene Recycling HC'!$C$150+'Ethylene Recycling HC'!$C$190+'Ethylene Recycling HC'!$C$216)+'Ethylene Recycling HC'!R104+'Ethylene Recycling HC'!R153+'Ethylene Recycling HC'!R193+'Ethylene Recycling HC'!R219-('Ethylene Recycling HC'!$C$104+'Ethylene Recycling HC'!$C$153+'Ethylene Recycling HC'!$C$193+'Ethylene Recycling HC'!$C$219))</f>
        <v>17.263809592039134</v>
      </c>
      <c r="T143" s="284">
        <f>T69+T78-('Ethylene Recycling HC'!S101+'Ethylene Recycling HC'!S150+'Ethylene Recycling HC'!S190+'Ethylene Recycling HC'!S216-('Ethylene Recycling HC'!$C$101+'Ethylene Recycling HC'!$C$150+'Ethylene Recycling HC'!$C$190+'Ethylene Recycling HC'!$C$216)+'Ethylene Recycling HC'!S104+'Ethylene Recycling HC'!S153+'Ethylene Recycling HC'!S193+'Ethylene Recycling HC'!S219-('Ethylene Recycling HC'!$C$104+'Ethylene Recycling HC'!$C$153+'Ethylene Recycling HC'!$C$193+'Ethylene Recycling HC'!$C$219))</f>
        <v>17.339291548214799</v>
      </c>
      <c r="U143" s="284">
        <f>U69+U78-('Ethylene Recycling HC'!T101+'Ethylene Recycling HC'!T150+'Ethylene Recycling HC'!T190+'Ethylene Recycling HC'!T216-('Ethylene Recycling HC'!$C$101+'Ethylene Recycling HC'!$C$150+'Ethylene Recycling HC'!$C$190+'Ethylene Recycling HC'!$C$216)+'Ethylene Recycling HC'!T104+'Ethylene Recycling HC'!T153+'Ethylene Recycling HC'!T193+'Ethylene Recycling HC'!T219-('Ethylene Recycling HC'!$C$104+'Ethylene Recycling HC'!$C$153+'Ethylene Recycling HC'!$C$193+'Ethylene Recycling HC'!$C$219))</f>
        <v>17.432820065566005</v>
      </c>
      <c r="V143" s="284">
        <f>V69+V78-('Ethylene Recycling HC'!U101+'Ethylene Recycling HC'!U150+'Ethylene Recycling HC'!U190+'Ethylene Recycling HC'!U216-('Ethylene Recycling HC'!$C$101+'Ethylene Recycling HC'!$C$150+'Ethylene Recycling HC'!$C$190+'Ethylene Recycling HC'!$C$216)+'Ethylene Recycling HC'!U104+'Ethylene Recycling HC'!U153+'Ethylene Recycling HC'!U193+'Ethylene Recycling HC'!U219-('Ethylene Recycling HC'!$C$104+'Ethylene Recycling HC'!$C$153+'Ethylene Recycling HC'!$C$193+'Ethylene Recycling HC'!$C$219))</f>
        <v>17.547080216404645</v>
      </c>
      <c r="W143" s="284">
        <f>W69+W78-('Ethylene Recycling HC'!V101+'Ethylene Recycling HC'!V150+'Ethylene Recycling HC'!V190+'Ethylene Recycling HC'!V216-('Ethylene Recycling HC'!$C$101+'Ethylene Recycling HC'!$C$150+'Ethylene Recycling HC'!$C$190+'Ethylene Recycling HC'!$C$216)+'Ethylene Recycling HC'!V104+'Ethylene Recycling HC'!V153+'Ethylene Recycling HC'!V193+'Ethylene Recycling HC'!V219-('Ethylene Recycling HC'!$C$104+'Ethylene Recycling HC'!$C$153+'Ethylene Recycling HC'!$C$193+'Ethylene Recycling HC'!$C$219))</f>
        <v>17.685119862717944</v>
      </c>
      <c r="X143" s="284">
        <f>X69+X78-('Ethylene Recycling HC'!W101+'Ethylene Recycling HC'!W150+'Ethylene Recycling HC'!W190+'Ethylene Recycling HC'!W216-('Ethylene Recycling HC'!$C$101+'Ethylene Recycling HC'!$C$150+'Ethylene Recycling HC'!$C$190+'Ethylene Recycling HC'!$C$216)+'Ethylene Recycling HC'!W104+'Ethylene Recycling HC'!W153+'Ethylene Recycling HC'!W193+'Ethylene Recycling HC'!W219-('Ethylene Recycling HC'!$C$104+'Ethylene Recycling HC'!$C$153+'Ethylene Recycling HC'!$C$193+'Ethylene Recycling HC'!$C$219))</f>
        <v>17.850398436950798</v>
      </c>
      <c r="Y143" s="284">
        <f>Y69+Y78-('Ethylene Recycling HC'!X101+'Ethylene Recycling HC'!X150+'Ethylene Recycling HC'!X190+'Ethylene Recycling HC'!X216-('Ethylene Recycling HC'!$C$101+'Ethylene Recycling HC'!$C$150+'Ethylene Recycling HC'!$C$190+'Ethylene Recycling HC'!$C$216)+'Ethylene Recycling HC'!X104+'Ethylene Recycling HC'!X153+'Ethylene Recycling HC'!X193+'Ethylene Recycling HC'!X219-('Ethylene Recycling HC'!$C$104+'Ethylene Recycling HC'!$C$153+'Ethylene Recycling HC'!$C$193+'Ethylene Recycling HC'!$C$219))</f>
        <v>17.971929301763925</v>
      </c>
      <c r="Z143" s="284">
        <f>Z69+Z78-('Ethylene Recycling HC'!Y101+'Ethylene Recycling HC'!Y150+'Ethylene Recycling HC'!Y190+'Ethylene Recycling HC'!Y216-('Ethylene Recycling HC'!$C$101+'Ethylene Recycling HC'!$C$150+'Ethylene Recycling HC'!$C$190+'Ethylene Recycling HC'!$C$216)+'Ethylene Recycling HC'!Y104+'Ethylene Recycling HC'!Y153+'Ethylene Recycling HC'!Y193+'Ethylene Recycling HC'!Y219-('Ethylene Recycling HC'!$C$104+'Ethylene Recycling HC'!$C$153+'Ethylene Recycling HC'!$C$193+'Ethylene Recycling HC'!$C$219))</f>
        <v>18.128907080386199</v>
      </c>
      <c r="AA143" s="284">
        <f>AA69+AA78-('Ethylene Recycling HC'!Z101+'Ethylene Recycling HC'!Z150+'Ethylene Recycling HC'!Z190+'Ethylene Recycling HC'!Z216-('Ethylene Recycling HC'!$C$101+'Ethylene Recycling HC'!$C$150+'Ethylene Recycling HC'!$C$190+'Ethylene Recycling HC'!$C$216)+'Ethylene Recycling HC'!Z104+'Ethylene Recycling HC'!Z153+'Ethylene Recycling HC'!Z193+'Ethylene Recycling HC'!Z219-('Ethylene Recycling HC'!$C$104+'Ethylene Recycling HC'!$C$153+'Ethylene Recycling HC'!$C$193+'Ethylene Recycling HC'!$C$219))</f>
        <v>18.326328237437874</v>
      </c>
      <c r="AB143" s="284">
        <f>AB69+AB78-('Ethylene Recycling HC'!AA101+'Ethylene Recycling HC'!AA150+'Ethylene Recycling HC'!AA190+'Ethylene Recycling HC'!AA216-('Ethylene Recycling HC'!$C$101+'Ethylene Recycling HC'!$C$150+'Ethylene Recycling HC'!$C$190+'Ethylene Recycling HC'!$C$216)+'Ethylene Recycling HC'!AA104+'Ethylene Recycling HC'!AA153+'Ethylene Recycling HC'!AA193+'Ethylene Recycling HC'!AA219-('Ethylene Recycling HC'!$C$104+'Ethylene Recycling HC'!$C$153+'Ethylene Recycling HC'!$C$193+'Ethylene Recycling HC'!$C$219))</f>
        <v>18.57001868259642</v>
      </c>
      <c r="AC143" s="284">
        <f>AC69+AC78-('Ethylene Recycling HC'!AB101+'Ethylene Recycling HC'!AB150+'Ethylene Recycling HC'!AB190+'Ethylene Recycling HC'!AB216-('Ethylene Recycling HC'!$C$101+'Ethylene Recycling HC'!$C$150+'Ethylene Recycling HC'!$C$190+'Ethylene Recycling HC'!$C$216)+'Ethylene Recycling HC'!AB104+'Ethylene Recycling HC'!AB153+'Ethylene Recycling HC'!AB193+'Ethylene Recycling HC'!AB219-('Ethylene Recycling HC'!$C$104+'Ethylene Recycling HC'!$C$153+'Ethylene Recycling HC'!$C$193+'Ethylene Recycling HC'!$C$219))</f>
        <v>18.866505962485082</v>
      </c>
      <c r="AD143" s="284">
        <f>AD69+AD78-('Ethylene Recycling HC'!AC101+'Ethylene Recycling HC'!AC150+'Ethylene Recycling HC'!AC190+'Ethylene Recycling HC'!AC216-('Ethylene Recycling HC'!$C$101+'Ethylene Recycling HC'!$C$150+'Ethylene Recycling HC'!$C$190+'Ethylene Recycling HC'!$C$216)+'Ethylene Recycling HC'!AC104+'Ethylene Recycling HC'!AC153+'Ethylene Recycling HC'!AC193+'Ethylene Recycling HC'!AC219-('Ethylene Recycling HC'!$C$104+'Ethylene Recycling HC'!$C$153+'Ethylene Recycling HC'!$C$193+'Ethylene Recycling HC'!$C$219))</f>
        <v>19.177585287125293</v>
      </c>
      <c r="AE143" s="284">
        <f>AE69+AE78-('Ethylene Recycling HC'!AD101+'Ethylene Recycling HC'!AD150+'Ethylene Recycling HC'!AD190+'Ethylene Recycling HC'!AD216-('Ethylene Recycling HC'!$C$101+'Ethylene Recycling HC'!$C$150+'Ethylene Recycling HC'!$C$190+'Ethylene Recycling HC'!$C$216)+'Ethylene Recycling HC'!AD104+'Ethylene Recycling HC'!AD153+'Ethylene Recycling HC'!AD193+'Ethylene Recycling HC'!AD219-('Ethylene Recycling HC'!$C$104+'Ethylene Recycling HC'!$C$153+'Ethylene Recycling HC'!$C$193+'Ethylene Recycling HC'!$C$219))</f>
        <v>19.556304772765881</v>
      </c>
      <c r="AF143" s="284">
        <f>AF69+AF78-('Ethylene Recycling HC'!AE101+'Ethylene Recycling HC'!AE150+'Ethylene Recycling HC'!AE190+'Ethylene Recycling HC'!AE216-('Ethylene Recycling HC'!$C$101+'Ethylene Recycling HC'!$C$150+'Ethylene Recycling HC'!$C$190+'Ethylene Recycling HC'!$C$216)+'Ethylene Recycling HC'!AE104+'Ethylene Recycling HC'!AE153+'Ethylene Recycling HC'!AE193+'Ethylene Recycling HC'!AE219-('Ethylene Recycling HC'!$C$104+'Ethylene Recycling HC'!$C$153+'Ethylene Recycling HC'!$C$193+'Ethylene Recycling HC'!$C$219))</f>
        <v>20.012175149997464</v>
      </c>
      <c r="AG143" s="284">
        <f>AG69+AG78-('Ethylene Recycling HC'!AF101+'Ethylene Recycling HC'!AF150+'Ethylene Recycling HC'!AF190+'Ethylene Recycling HC'!AF216-('Ethylene Recycling HC'!$C$101+'Ethylene Recycling HC'!$C$150+'Ethylene Recycling HC'!$C$190+'Ethylene Recycling HC'!$C$216)+'Ethylene Recycling HC'!AF104+'Ethylene Recycling HC'!AF153+'Ethylene Recycling HC'!AF193+'Ethylene Recycling HC'!AF219-('Ethylene Recycling HC'!$C$104+'Ethylene Recycling HC'!$C$153+'Ethylene Recycling HC'!$C$193+'Ethylene Recycling HC'!$C$219))</f>
        <v>20.555986344304831</v>
      </c>
      <c r="AH143" s="284">
        <f>AH69+AH78-('Ethylene Recycling HC'!AG101+'Ethylene Recycling HC'!AG150+'Ethylene Recycling HC'!AG190+'Ethylene Recycling HC'!AG216-('Ethylene Recycling HC'!$C$101+'Ethylene Recycling HC'!$C$150+'Ethylene Recycling HC'!$C$190+'Ethylene Recycling HC'!$C$216)+'Ethylene Recycling HC'!AG104+'Ethylene Recycling HC'!AG153+'Ethylene Recycling HC'!AG193+'Ethylene Recycling HC'!AG219-('Ethylene Recycling HC'!$C$104+'Ethylene Recycling HC'!$C$153+'Ethylene Recycling HC'!$C$193+'Ethylene Recycling HC'!$C$219))</f>
        <v>21.199979230707005</v>
      </c>
      <c r="AI143" s="44"/>
      <c r="AJ143" s="180"/>
    </row>
    <row r="144" spans="1:36" s="67" customFormat="1">
      <c r="A144" s="758" t="s">
        <v>263</v>
      </c>
      <c r="B144" s="58" t="s">
        <v>264</v>
      </c>
      <c r="C144" s="59" t="s">
        <v>153</v>
      </c>
      <c r="D144" s="60">
        <f>D70+D79-('Ethylene Recycling HC'!C102+'Ethylene Recycling HC'!C151+'Ethylene Recycling HC'!C191+'Ethylene Recycling HC'!C217-('Ethylene Recycling HC'!$C$102+'Ethylene Recycling HC'!$C$151+'Ethylene Recycling HC'!$C$191+'Ethylene Recycling HC'!$C$217))</f>
        <v>2.8834082840236679</v>
      </c>
      <c r="E144" s="60">
        <f>E70+E79-('Ethylene Recycling HC'!D102+'Ethylene Recycling HC'!D151+'Ethylene Recycling HC'!D191+'Ethylene Recycling HC'!D217-('Ethylene Recycling HC'!$C$102+'Ethylene Recycling HC'!$C$151+'Ethylene Recycling HC'!$C$191+'Ethylene Recycling HC'!$C$217))</f>
        <v>3.1122522257071337</v>
      </c>
      <c r="F144" s="60">
        <f>F70+F79-('Ethylene Recycling HC'!E102+'Ethylene Recycling HC'!E151+'Ethylene Recycling HC'!E191+'Ethylene Recycling HC'!E217-('Ethylene Recycling HC'!$C$102+'Ethylene Recycling HC'!$C$151+'Ethylene Recycling HC'!$C$191+'Ethylene Recycling HC'!$C$217))</f>
        <v>3.315769662172023</v>
      </c>
      <c r="G144" s="60">
        <f>G70+G79-('Ethylene Recycling HC'!F102+'Ethylene Recycling HC'!F151+'Ethylene Recycling HC'!F191+'Ethylene Recycling HC'!F217-('Ethylene Recycling HC'!$C$102+'Ethylene Recycling HC'!$C$151+'Ethylene Recycling HC'!$C$191+'Ethylene Recycling HC'!$C$217))</f>
        <v>3.5269133734010993</v>
      </c>
      <c r="H144" s="60">
        <f>H70+H79-('Ethylene Recycling HC'!G102+'Ethylene Recycling HC'!G151+'Ethylene Recycling HC'!G191+'Ethylene Recycling HC'!G217-('Ethylene Recycling HC'!$C$102+'Ethylene Recycling HC'!$C$151+'Ethylene Recycling HC'!$C$191+'Ethylene Recycling HC'!$C$217))</f>
        <v>3.7460618769197125</v>
      </c>
      <c r="I144" s="60">
        <f>I70+I79-('Ethylene Recycling HC'!H102+'Ethylene Recycling HC'!H151+'Ethylene Recycling HC'!H191+'Ethylene Recycling HC'!H217-('Ethylene Recycling HC'!$C$102+'Ethylene Recycling HC'!$C$151+'Ethylene Recycling HC'!$C$191+'Ethylene Recycling HC'!$C$217))</f>
        <v>3.9736117834813727</v>
      </c>
      <c r="J144" s="60">
        <f>J70+J79-('Ethylene Recycling HC'!I102+'Ethylene Recycling HC'!I151+'Ethylene Recycling HC'!I191+'Ethylene Recycling HC'!I217-('Ethylene Recycling HC'!$C$102+'Ethylene Recycling HC'!$C$151+'Ethylene Recycling HC'!$C$191+'Ethylene Recycling HC'!$C$217))</f>
        <v>4.1552751872786438</v>
      </c>
      <c r="K144" s="60">
        <f>K70+K79-('Ethylene Recycling HC'!J102+'Ethylene Recycling HC'!J151+'Ethylene Recycling HC'!J191+'Ethylene Recycling HC'!J217-('Ethylene Recycling HC'!$C$102+'Ethylene Recycling HC'!$C$151+'Ethylene Recycling HC'!$C$191+'Ethylene Recycling HC'!$C$217))</f>
        <v>4.342784581412519</v>
      </c>
      <c r="L144" s="60">
        <f>L70+L79-('Ethylene Recycling HC'!K102+'Ethylene Recycling HC'!K151+'Ethylene Recycling HC'!K191+'Ethylene Recycling HC'!K217-('Ethylene Recycling HC'!$C$102+'Ethylene Recycling HC'!$C$151+'Ethylene Recycling HC'!$C$191+'Ethylene Recycling HC'!$C$217))</f>
        <v>4.5363630528961387</v>
      </c>
      <c r="M144" s="60">
        <f>M70+M79-('Ethylene Recycling HC'!L102+'Ethylene Recycling HC'!L151+'Ethylene Recycling HC'!L191+'Ethylene Recycling HC'!L217-('Ethylene Recycling HC'!$C$102+'Ethylene Recycling HC'!$C$151+'Ethylene Recycling HC'!$C$191+'Ethylene Recycling HC'!$C$217))</f>
        <v>4.7362456787688698</v>
      </c>
      <c r="N144" s="60">
        <f>N70+N79-('Ethylene Recycling HC'!M102+'Ethylene Recycling HC'!M151+'Ethylene Recycling HC'!M191+'Ethylene Recycling HC'!M217-('Ethylene Recycling HC'!$C$102+'Ethylene Recycling HC'!$C$151+'Ethylene Recycling HC'!$C$191+'Ethylene Recycling HC'!$C$217))</f>
        <v>4.9426803433134436</v>
      </c>
      <c r="O144" s="60">
        <f>O70+O79-('Ethylene Recycling HC'!N102+'Ethylene Recycling HC'!N151+'Ethylene Recycling HC'!N191+'Ethylene Recycling HC'!N217-('Ethylene Recycling HC'!$C$102+'Ethylene Recycling HC'!$C$151+'Ethylene Recycling HC'!$C$191+'Ethylene Recycling HC'!$C$217))</f>
        <v>4.9180737785095774</v>
      </c>
      <c r="P144" s="60">
        <f>P70+P79-('Ethylene Recycling HC'!O102+'Ethylene Recycling HC'!O151+'Ethylene Recycling HC'!O191+'Ethylene Recycling HC'!O217-('Ethylene Recycling HC'!$C$102+'Ethylene Recycling HC'!$C$151+'Ethylene Recycling HC'!$C$191+'Ethylene Recycling HC'!$C$217))</f>
        <v>4.8931223749081481</v>
      </c>
      <c r="Q144" s="60">
        <f>Q70+Q79-('Ethylene Recycling HC'!P102+'Ethylene Recycling HC'!P151+'Ethylene Recycling HC'!P191+'Ethylene Recycling HC'!P217-('Ethylene Recycling HC'!$C$102+'Ethylene Recycling HC'!$C$151+'Ethylene Recycling HC'!$C$191+'Ethylene Recycling HC'!$C$217))</f>
        <v>4.8680962623723509</v>
      </c>
      <c r="R144" s="60">
        <f>R70+R79-('Ethylene Recycling HC'!Q102+'Ethylene Recycling HC'!Q151+'Ethylene Recycling HC'!Q191+'Ethylene Recycling HC'!Q217-('Ethylene Recycling HC'!$C$102+'Ethylene Recycling HC'!$C$151+'Ethylene Recycling HC'!$C$191+'Ethylene Recycling HC'!$C$217))</f>
        <v>4.8433003124998191</v>
      </c>
      <c r="S144" s="60">
        <f>S70+S79-('Ethylene Recycling HC'!R102+'Ethylene Recycling HC'!R151+'Ethylene Recycling HC'!R191+'Ethylene Recycling HC'!R217-('Ethylene Recycling HC'!$C$102+'Ethylene Recycling HC'!$C$151+'Ethylene Recycling HC'!$C$191+'Ethylene Recycling HC'!$C$217))</f>
        <v>4.8190523755703305</v>
      </c>
      <c r="T144" s="60">
        <f>T70+T79-('Ethylene Recycling HC'!S102+'Ethylene Recycling HC'!S151+'Ethylene Recycling HC'!S191+'Ethylene Recycling HC'!S217-('Ethylene Recycling HC'!$C$102+'Ethylene Recycling HC'!$C$151+'Ethylene Recycling HC'!$C$191+'Ethylene Recycling HC'!$C$217))</f>
        <v>4.7788136127185217</v>
      </c>
      <c r="U144" s="60">
        <f>U70+U79-('Ethylene Recycling HC'!T102+'Ethylene Recycling HC'!T151+'Ethylene Recycling HC'!T191+'Ethylene Recycling HC'!T217-('Ethylene Recycling HC'!$C$102+'Ethylene Recycling HC'!$C$151+'Ethylene Recycling HC'!$C$191+'Ethylene Recycling HC'!$C$217))</f>
        <v>4.7380194130778106</v>
      </c>
      <c r="V144" s="60">
        <f>V70+V79-('Ethylene Recycling HC'!U102+'Ethylene Recycling HC'!U151+'Ethylene Recycling HC'!U191+'Ethylene Recycling HC'!U217-('Ethylene Recycling HC'!$C$102+'Ethylene Recycling HC'!$C$151+'Ethylene Recycling HC'!$C$191+'Ethylene Recycling HC'!$C$217))</f>
        <v>4.6968146573303677</v>
      </c>
      <c r="W144" s="60">
        <f>W70+W79-('Ethylene Recycling HC'!V102+'Ethylene Recycling HC'!V151+'Ethylene Recycling HC'!V191+'Ethylene Recycling HC'!V217-('Ethylene Recycling HC'!$C$102+'Ethylene Recycling HC'!$C$151+'Ethylene Recycling HC'!$C$191+'Ethylene Recycling HC'!$C$217))</f>
        <v>4.6553622989713714</v>
      </c>
      <c r="X144" s="60">
        <f>X70+X79-('Ethylene Recycling HC'!W102+'Ethylene Recycling HC'!W151+'Ethylene Recycling HC'!W191+'Ethylene Recycling HC'!W217-('Ethylene Recycling HC'!$C$102+'Ethylene Recycling HC'!$C$151+'Ethylene Recycling HC'!$C$191+'Ethylene Recycling HC'!$C$217))</f>
        <v>4.6138452558719267</v>
      </c>
      <c r="Y144" s="60">
        <f>Y70+Y79-('Ethylene Recycling HC'!X102+'Ethylene Recycling HC'!X151+'Ethylene Recycling HC'!X191+'Ethylene Recycling HC'!X217-('Ethylene Recycling HC'!$C$102+'Ethylene Recycling HC'!$C$151+'Ethylene Recycling HC'!$C$191+'Ethylene Recycling HC'!$C$217))</f>
        <v>4.5349436841172004</v>
      </c>
      <c r="Z144" s="60">
        <f>Z70+Z79-('Ethylene Recycling HC'!Y102+'Ethylene Recycling HC'!Y151+'Ethylene Recycling HC'!Y191+'Ethylene Recycling HC'!Y217-('Ethylene Recycling HC'!$C$102+'Ethylene Recycling HC'!$C$151+'Ethylene Recycling HC'!$C$191+'Ethylene Recycling HC'!$C$217))</f>
        <v>4.4555237925021904</v>
      </c>
      <c r="AA144" s="60">
        <f>AA70+AA79-('Ethylene Recycling HC'!Z102+'Ethylene Recycling HC'!Z151+'Ethylene Recycling HC'!Z191+'Ethylene Recycling HC'!Z217-('Ethylene Recycling HC'!$C$102+'Ethylene Recycling HC'!$C$151+'Ethylene Recycling HC'!$C$191+'Ethylene Recycling HC'!$C$217))</f>
        <v>4.3758047702854874</v>
      </c>
      <c r="AB144" s="60">
        <f>AB70+AB79-('Ethylene Recycling HC'!AA102+'Ethylene Recycling HC'!AA151+'Ethylene Recycling HC'!AA191+'Ethylene Recycling HC'!AA217-('Ethylene Recycling HC'!$C$102+'Ethylene Recycling HC'!$C$151+'Ethylene Recycling HC'!$C$191+'Ethylene Recycling HC'!$C$217))</f>
        <v>4.2961004217924579</v>
      </c>
      <c r="AC144" s="60">
        <f>AC70+AC79-('Ethylene Recycling HC'!AB102+'Ethylene Recycling HC'!AB151+'Ethylene Recycling HC'!AB191+'Ethylene Recycling HC'!AB217-('Ethylene Recycling HC'!$C$102+'Ethylene Recycling HC'!$C$151+'Ethylene Recycling HC'!$C$191+'Ethylene Recycling HC'!$C$217))</f>
        <v>4.2167284067662312</v>
      </c>
      <c r="AD144" s="60">
        <f>AD70+AD79-('Ethylene Recycling HC'!AC102+'Ethylene Recycling HC'!AC151+'Ethylene Recycling HC'!AC191+'Ethylene Recycling HC'!AC217-('Ethylene Recycling HC'!$C$102+'Ethylene Recycling HC'!$C$151+'Ethylene Recycling HC'!$C$191+'Ethylene Recycling HC'!$C$217))</f>
        <v>4.1240039611490156</v>
      </c>
      <c r="AE144" s="60">
        <f>AE70+AE79-('Ethylene Recycling HC'!AD102+'Ethylene Recycling HC'!AD151+'Ethylene Recycling HC'!AD191+'Ethylene Recycling HC'!AD217-('Ethylene Recycling HC'!$C$102+'Ethylene Recycling HC'!$C$151+'Ethylene Recycling HC'!$C$191+'Ethylene Recycling HC'!$C$217))</f>
        <v>4.0320563054811913</v>
      </c>
      <c r="AF144" s="60">
        <f>AF70+AF79-('Ethylene Recycling HC'!AE102+'Ethylene Recycling HC'!AE151+'Ethylene Recycling HC'!AE191+'Ethylene Recycling HC'!AE217-('Ethylene Recycling HC'!$C$102+'Ethylene Recycling HC'!$C$151+'Ethylene Recycling HC'!$C$191+'Ethylene Recycling HC'!$C$217))</f>
        <v>3.9413186741562347</v>
      </c>
      <c r="AG144" s="60">
        <f>AG70+AG79-('Ethylene Recycling HC'!AF102+'Ethylene Recycling HC'!AF151+'Ethylene Recycling HC'!AF191+'Ethylene Recycling HC'!AF217-('Ethylene Recycling HC'!$C$102+'Ethylene Recycling HC'!$C$151+'Ethylene Recycling HC'!$C$191+'Ethylene Recycling HC'!$C$217))</f>
        <v>3.8522737051496265</v>
      </c>
      <c r="AH144" s="60">
        <f>AH70+AH79-('Ethylene Recycling HC'!AG102+'Ethylene Recycling HC'!AG151+'Ethylene Recycling HC'!AG191+'Ethylene Recycling HC'!AG217-('Ethylene Recycling HC'!$C$102+'Ethylene Recycling HC'!$C$151+'Ethylene Recycling HC'!$C$191+'Ethylene Recycling HC'!$C$217))</f>
        <v>3.7654586025367074</v>
      </c>
      <c r="AI144" s="60"/>
      <c r="AJ144" s="180"/>
    </row>
    <row r="145" spans="1:35" s="68" customFormat="1">
      <c r="A145" s="759"/>
      <c r="B145" s="62" t="s">
        <v>266</v>
      </c>
      <c r="C145" s="283" t="s">
        <v>153</v>
      </c>
      <c r="D145" s="284">
        <f>D71+D80-('Ethylene Recycling HC'!C218+'Ethylene Recycling HC'!C192+'Ethylene Recycling HC'!C152+'Ethylene Recycling HC'!C103-('Ethylene Recycling HC'!$C$218+'Ethylene Recycling HC'!$C$192+'Ethylene Recycling HC'!$C$152+'Ethylene Recycling HC'!$C$103))</f>
        <v>2.8011119939271247</v>
      </c>
      <c r="E145" s="284">
        <f>E71+E80-('Ethylene Recycling HC'!D218+'Ethylene Recycling HC'!D192+'Ethylene Recycling HC'!D152+'Ethylene Recycling HC'!D103-('Ethylene Recycling HC'!$C$218+'Ethylene Recycling HC'!$C$192+'Ethylene Recycling HC'!$C$152+'Ethylene Recycling HC'!$C$103))</f>
        <v>3.0232450975291938</v>
      </c>
      <c r="F145" s="284">
        <f>F71+F80-('Ethylene Recycling HC'!E218+'Ethylene Recycling HC'!E192+'Ethylene Recycling HC'!E152+'Ethylene Recycling HC'!E103-('Ethylene Recycling HC'!$C$218+'Ethylene Recycling HC'!$C$192+'Ethylene Recycling HC'!$C$152+'Ethylene Recycling HC'!$C$103))</f>
        <v>3.4147427882545474</v>
      </c>
      <c r="G145" s="284">
        <f>G71+G80-('Ethylene Recycling HC'!F218+'Ethylene Recycling HC'!F192+'Ethylene Recycling HC'!F152+'Ethylene Recycling HC'!F103-('Ethylene Recycling HC'!$C$218+'Ethylene Recycling HC'!$C$192+'Ethylene Recycling HC'!$C$152+'Ethylene Recycling HC'!$C$103))</f>
        <v>4.0903769896493136</v>
      </c>
      <c r="H145" s="284">
        <f>H71+H80-('Ethylene Recycling HC'!G218+'Ethylene Recycling HC'!G192+'Ethylene Recycling HC'!G152+'Ethylene Recycling HC'!G103-('Ethylene Recycling HC'!$C$218+'Ethylene Recycling HC'!$C$192+'Ethylene Recycling HC'!$C$152+'Ethylene Recycling HC'!$C$103))</f>
        <v>3.5892440028710024</v>
      </c>
      <c r="I145" s="284">
        <f>I71+I80-('Ethylene Recycling HC'!H218+'Ethylene Recycling HC'!H192+'Ethylene Recycling HC'!H152+'Ethylene Recycling HC'!H103-('Ethylene Recycling HC'!$C$218+'Ethylene Recycling HC'!$C$192+'Ethylene Recycling HC'!$C$152+'Ethylene Recycling HC'!$C$103))</f>
        <v>3.8056424296736098</v>
      </c>
      <c r="J145" s="284">
        <f>J71+J80-('Ethylene Recycling HC'!I218+'Ethylene Recycling HC'!I192+'Ethylene Recycling HC'!I152+'Ethylene Recycling HC'!I103-('Ethylene Recycling HC'!$C$218+'Ethylene Recycling HC'!$C$192+'Ethylene Recycling HC'!$C$152+'Ethylene Recycling HC'!$C$103))</f>
        <v>3.977239627720786</v>
      </c>
      <c r="K145" s="284">
        <f>K71+K80-('Ethylene Recycling HC'!J218+'Ethylene Recycling HC'!J192+'Ethylene Recycling HC'!J152+'Ethylene Recycling HC'!J103-('Ethylene Recycling HC'!$C$218+'Ethylene Recycling HC'!$C$192+'Ethylene Recycling HC'!$C$152+'Ethylene Recycling HC'!$C$103))</f>
        <v>4.1542490414165263</v>
      </c>
      <c r="L145" s="284">
        <f>L71+L80-('Ethylene Recycling HC'!K218+'Ethylene Recycling HC'!K192+'Ethylene Recycling HC'!K152+'Ethylene Recycling HC'!K103-('Ethylene Recycling HC'!$C$218+'Ethylene Recycling HC'!$C$192+'Ethylene Recycling HC'!$C$152+'Ethylene Recycling HC'!$C$103))</f>
        <v>4.3368386652714044</v>
      </c>
      <c r="M145" s="284">
        <f>M71+M80-('Ethylene Recycling HC'!L218+'Ethylene Recycling HC'!L192+'Ethylene Recycling HC'!L152+'Ethylene Recycling HC'!L103-('Ethylene Recycling HC'!$C$218+'Ethylene Recycling HC'!$C$192+'Ethylene Recycling HC'!$C$152+'Ethylene Recycling HC'!$C$103))</f>
        <v>4.5251812899589634</v>
      </c>
      <c r="N145" s="284">
        <f>N71+N80-('Ethylene Recycling HC'!M218+'Ethylene Recycling HC'!M192+'Ethylene Recycling HC'!M152+'Ethylene Recycling HC'!M103-('Ethylene Recycling HC'!$C$218+'Ethylene Recycling HC'!$C$192+'Ethylene Recycling HC'!$C$152+'Ethylene Recycling HC'!$C$103))</f>
        <v>4.7194545704599964</v>
      </c>
      <c r="O145" s="284">
        <f>O71+O80-('Ethylene Recycling HC'!N218+'Ethylene Recycling HC'!N192+'Ethylene Recycling HC'!N152+'Ethylene Recycling HC'!N103-('Ethylene Recycling HC'!$C$218+'Ethylene Recycling HC'!$C$192+'Ethylene Recycling HC'!$C$152+'Ethylene Recycling HC'!$C$103))</f>
        <v>4.6878886340954491</v>
      </c>
      <c r="P145" s="284">
        <f>P71+P80-('Ethylene Recycling HC'!O218+'Ethylene Recycling HC'!O192+'Ethylene Recycling HC'!O152+'Ethylene Recycling HC'!O103-('Ethylene Recycling HC'!$C$218+'Ethylene Recycling HC'!$C$192+'Ethylene Recycling HC'!$C$152+'Ethylene Recycling HC'!$C$103))</f>
        <v>4.6557045825276466</v>
      </c>
      <c r="Q145" s="284">
        <f>Q71+Q80-('Ethylene Recycling HC'!P218+'Ethylene Recycling HC'!P192+'Ethylene Recycling HC'!P152+'Ethylene Recycling HC'!P103-('Ethylene Recycling HC'!$C$218+'Ethylene Recycling HC'!$C$192+'Ethylene Recycling HC'!$C$152+'Ethylene Recycling HC'!$C$103))</f>
        <v>4.6230800565703456</v>
      </c>
      <c r="R145" s="284">
        <f>R71+R80-('Ethylene Recycling HC'!Q218+'Ethylene Recycling HC'!Q192+'Ethylene Recycling HC'!Q152+'Ethylene Recycling HC'!Q103-('Ethylene Recycling HC'!$C$218+'Ethylene Recycling HC'!$C$192+'Ethylene Recycling HC'!$C$152+'Ethylene Recycling HC'!$C$103))</f>
        <v>4.5901943726544792</v>
      </c>
      <c r="S145" s="284">
        <f>S71+S80-('Ethylene Recycling HC'!R218+'Ethylene Recycling HC'!R192+'Ethylene Recycling HC'!R152+'Ethylene Recycling HC'!R103-('Ethylene Recycling HC'!$C$218+'Ethylene Recycling HC'!$C$192+'Ethylene Recycling HC'!$C$152+'Ethylene Recycling HC'!$C$103))</f>
        <v>4.5572266224663123</v>
      </c>
      <c r="T145" s="284">
        <f>T71+T80-('Ethylene Recycling HC'!S218+'Ethylene Recycling HC'!S192+'Ethylene Recycling HC'!S152+'Ethylene Recycling HC'!S103-('Ethylene Recycling HC'!$C$218+'Ethylene Recycling HC'!$C$192+'Ethylene Recycling HC'!$C$152+'Ethylene Recycling HC'!$C$103))</f>
        <v>4.5079031631370272</v>
      </c>
      <c r="U145" s="284">
        <f>U71+U80-('Ethylene Recycling HC'!T218+'Ethylene Recycling HC'!T192+'Ethylene Recycling HC'!T152+'Ethylene Recycling HC'!T103-('Ethylene Recycling HC'!$C$218+'Ethylene Recycling HC'!$C$192+'Ethylene Recycling HC'!$C$152+'Ethylene Recycling HC'!$C$103))</f>
        <v>4.4570764827195575</v>
      </c>
      <c r="V145" s="284">
        <f>V71+V80-('Ethylene Recycling HC'!U218+'Ethylene Recycling HC'!U192+'Ethylene Recycling HC'!U152+'Ethylene Recycling HC'!U103-('Ethylene Recycling HC'!$C$218+'Ethylene Recycling HC'!$C$192+'Ethylene Recycling HC'!$C$152+'Ethylene Recycling HC'!$C$103))</f>
        <v>4.4047287802850263</v>
      </c>
      <c r="W145" s="284">
        <f>W71+W80-('Ethylene Recycling HC'!V218+'Ethylene Recycling HC'!V192+'Ethylene Recycling HC'!V152+'Ethylene Recycling HC'!V103-('Ethylene Recycling HC'!$C$218+'Ethylene Recycling HC'!$C$192+'Ethylene Recycling HC'!$C$152+'Ethylene Recycling HC'!$C$103))</f>
        <v>4.3508419401402145</v>
      </c>
      <c r="X145" s="284">
        <f>X71+X80-('Ethylene Recycling HC'!W218+'Ethylene Recycling HC'!W192+'Ethylene Recycling HC'!W152+'Ethylene Recycling HC'!W103-('Ethylene Recycling HC'!$C$218+'Ethylene Recycling HC'!$C$192+'Ethylene Recycling HC'!$C$152+'Ethylene Recycling HC'!$C$103))</f>
        <v>4.2953975137640841</v>
      </c>
      <c r="Y145" s="284">
        <f>Y71+Y80-('Ethylene Recycling HC'!X218+'Ethylene Recycling HC'!X192+'Ethylene Recycling HC'!X152+'Ethylene Recycling HC'!X103-('Ethylene Recycling HC'!$C$218+'Ethylene Recycling HC'!$C$192+'Ethylene Recycling HC'!$C$152+'Ethylene Recycling HC'!$C$103))</f>
        <v>4.2028598540735018</v>
      </c>
      <c r="Z145" s="284">
        <f>Z71+Z80-('Ethylene Recycling HC'!Y218+'Ethylene Recycling HC'!Y192+'Ethylene Recycling HC'!Y152+'Ethylene Recycling HC'!Y103-('Ethylene Recycling HC'!$C$218+'Ethylene Recycling HC'!$C$192+'Ethylene Recycling HC'!$C$152+'Ethylene Recycling HC'!$C$103))</f>
        <v>4.1082473011601364</v>
      </c>
      <c r="AA145" s="284">
        <f>AA71+AA80-('Ethylene Recycling HC'!Z218+'Ethylene Recycling HC'!Z192+'Ethylene Recycling HC'!Z152+'Ethylene Recycling HC'!Z103-('Ethylene Recycling HC'!$C$218+'Ethylene Recycling HC'!$C$192+'Ethylene Recycling HC'!$C$152+'Ethylene Recycling HC'!$C$103))</f>
        <v>4.0115429790683761</v>
      </c>
      <c r="AB145" s="284">
        <f>AB71+AB80-('Ethylene Recycling HC'!AA218+'Ethylene Recycling HC'!AA192+'Ethylene Recycling HC'!AA152+'Ethylene Recycling HC'!AA103-('Ethylene Recycling HC'!$C$218+'Ethylene Recycling HC'!$C$192+'Ethylene Recycling HC'!$C$152+'Ethylene Recycling HC'!$C$103))</f>
        <v>3.9127297254974169</v>
      </c>
      <c r="AC145" s="284">
        <f>AC71+AC80-('Ethylene Recycling HC'!AB218+'Ethylene Recycling HC'!AB192+'Ethylene Recycling HC'!AB152+'Ethylene Recycling HC'!AB103-('Ethylene Recycling HC'!$C$218+'Ethylene Recycling HC'!$C$192+'Ethylene Recycling HC'!$C$152+'Ethylene Recycling HC'!$C$103))</f>
        <v>3.8117900681842509</v>
      </c>
      <c r="AD145" s="284">
        <f>AD71+AD80-('Ethylene Recycling HC'!AC218+'Ethylene Recycling HC'!AC192+'Ethylene Recycling HC'!AC152+'Ethylene Recycling HC'!AC103-('Ethylene Recycling HC'!$C$218+'Ethylene Recycling HC'!$C$192+'Ethylene Recycling HC'!$C$152+'Ethylene Recycling HC'!$C$103))</f>
        <v>3.6950682416974163</v>
      </c>
      <c r="AE145" s="284">
        <f>AE71+AE80-('Ethylene Recycling HC'!AD218+'Ethylene Recycling HC'!AD192+'Ethylene Recycling HC'!AD152+'Ethylene Recycling HC'!AD103-('Ethylene Recycling HC'!$C$218+'Ethylene Recycling HC'!$C$192+'Ethylene Recycling HC'!$C$152+'Ethylene Recycling HC'!$C$103))</f>
        <v>3.5758886124200364</v>
      </c>
      <c r="AF145" s="284">
        <f>AF71+AF80-('Ethylene Recycling HC'!AE218+'Ethylene Recycling HC'!AE192+'Ethylene Recycling HC'!AE152+'Ethylene Recycling HC'!AE103-('Ethylene Recycling HC'!$C$218+'Ethylene Recycling HC'!$C$192+'Ethylene Recycling HC'!$C$152+'Ethylene Recycling HC'!$C$103))</f>
        <v>3.4542265479428611</v>
      </c>
      <c r="AG145" s="284">
        <f>AG71+AG80-('Ethylene Recycling HC'!AF218+'Ethylene Recycling HC'!AF192+'Ethylene Recycling HC'!AF152+'Ethylene Recycling HC'!AF103-('Ethylene Recycling HC'!$C$218+'Ethylene Recycling HC'!$C$192+'Ethylene Recycling HC'!$C$152+'Ethylene Recycling HC'!$C$103))</f>
        <v>3.3300569329387915</v>
      </c>
      <c r="AH145" s="284">
        <f>AH71+AH80-('Ethylene Recycling HC'!AG218+'Ethylene Recycling HC'!AG192+'Ethylene Recycling HC'!AG152+'Ethylene Recycling HC'!AG103-('Ethylene Recycling HC'!$C$218+'Ethylene Recycling HC'!$C$192+'Ethylene Recycling HC'!$C$152+'Ethylene Recycling HC'!$C$103))</f>
        <v>3.2033541434187041</v>
      </c>
      <c r="AI145" s="284"/>
    </row>
    <row r="146" spans="1:35" s="67" customFormat="1">
      <c r="A146" s="58" t="s">
        <v>67</v>
      </c>
      <c r="B146" s="58" t="s">
        <v>227</v>
      </c>
      <c r="C146" s="100" t="s">
        <v>153</v>
      </c>
      <c r="D146" s="101">
        <f t="shared" ref="D146:AG146" si="48">D94+D114+D124+D125+D126+D136+D137+D138+D104</f>
        <v>0</v>
      </c>
      <c r="E146" s="101">
        <f t="shared" si="48"/>
        <v>0.75625813378970153</v>
      </c>
      <c r="F146" s="101">
        <f t="shared" si="48"/>
        <v>1.5145711436326645</v>
      </c>
      <c r="G146" s="101">
        <f t="shared" si="48"/>
        <v>2.2701550502077215</v>
      </c>
      <c r="H146" s="101">
        <f t="shared" si="48"/>
        <v>3.0180478619960365</v>
      </c>
      <c r="I146" s="101">
        <f t="shared" si="48"/>
        <v>3.7531631534576015</v>
      </c>
      <c r="J146" s="101">
        <f t="shared" si="48"/>
        <v>4.5039786648426343</v>
      </c>
      <c r="K146" s="101">
        <f t="shared" si="48"/>
        <v>5.2700149326680297</v>
      </c>
      <c r="L146" s="101">
        <f t="shared" si="48"/>
        <v>6.0507512318858758</v>
      </c>
      <c r="M146" s="101">
        <f t="shared" si="48"/>
        <v>6.8456256508216136</v>
      </c>
      <c r="N146" s="101">
        <f t="shared" si="48"/>
        <v>7.6540352841654489</v>
      </c>
      <c r="O146" s="101">
        <f t="shared" si="48"/>
        <v>9.0953879469898773</v>
      </c>
      <c r="P146" s="101">
        <f t="shared" si="48"/>
        <v>10.534317496957428</v>
      </c>
      <c r="Q146" s="101">
        <f t="shared" si="48"/>
        <v>11.963641268954298</v>
      </c>
      <c r="R146" s="101">
        <f t="shared" si="48"/>
        <v>13.375132682239792</v>
      </c>
      <c r="S146" s="101">
        <f t="shared" si="48"/>
        <v>14.760905850850941</v>
      </c>
      <c r="T146" s="101">
        <f t="shared" si="48"/>
        <v>16.162142134791697</v>
      </c>
      <c r="U146" s="101">
        <f t="shared" si="48"/>
        <v>17.57851522383806</v>
      </c>
      <c r="V146" s="101">
        <f t="shared" si="48"/>
        <v>19.009687315729828</v>
      </c>
      <c r="W146" s="101">
        <f t="shared" si="48"/>
        <v>20.455309191668977</v>
      </c>
      <c r="X146" s="101">
        <f t="shared" si="48"/>
        <v>21.915020301260842</v>
      </c>
      <c r="Y146" s="101">
        <f t="shared" si="48"/>
        <v>24.136711656184929</v>
      </c>
      <c r="Z146" s="101">
        <f t="shared" si="48"/>
        <v>26.381464715275499</v>
      </c>
      <c r="AA146" s="101">
        <f t="shared" si="48"/>
        <v>28.649854361513874</v>
      </c>
      <c r="AB146" s="101">
        <f t="shared" si="48"/>
        <v>30.94029199914344</v>
      </c>
      <c r="AC146" s="101">
        <f t="shared" si="48"/>
        <v>33.252197159988853</v>
      </c>
      <c r="AD146" s="101">
        <f t="shared" si="48"/>
        <v>35.585414094208183</v>
      </c>
      <c r="AE146" s="101">
        <f t="shared" si="48"/>
        <v>37.939396222356606</v>
      </c>
      <c r="AF146" s="101">
        <f t="shared" si="48"/>
        <v>40.313581743960484</v>
      </c>
      <c r="AG146" s="101">
        <f t="shared" si="48"/>
        <v>42.707393779670973</v>
      </c>
      <c r="AH146" s="101">
        <f>AH94+AH114+AH124+AH125+AH126+AH136+AH137+AH138+AH104</f>
        <v>45.120240524762515</v>
      </c>
    </row>
    <row r="147" spans="1:35" s="68" customFormat="1">
      <c r="B147" s="62" t="s">
        <v>228</v>
      </c>
      <c r="C147" s="63" t="s">
        <v>153</v>
      </c>
      <c r="D147" s="64">
        <f t="shared" ref="D147:AH147" si="49">D93+D103+D113+D123+D135</f>
        <v>0</v>
      </c>
      <c r="E147" s="64">
        <f t="shared" si="49"/>
        <v>0.70592550254032194</v>
      </c>
      <c r="F147" s="64">
        <f t="shared" si="49"/>
        <v>1.4294389835831449</v>
      </c>
      <c r="G147" s="64">
        <f t="shared" si="49"/>
        <v>2.1663649501376909</v>
      </c>
      <c r="H147" s="64">
        <f t="shared" si="49"/>
        <v>2.9122050185206545</v>
      </c>
      <c r="I147" s="64">
        <f t="shared" si="49"/>
        <v>3.6621820137852268</v>
      </c>
      <c r="J147" s="64">
        <f t="shared" si="49"/>
        <v>4.4353441283521082</v>
      </c>
      <c r="K147" s="64">
        <f t="shared" si="49"/>
        <v>5.2314589393591842</v>
      </c>
      <c r="L147" s="64">
        <f t="shared" si="49"/>
        <v>6.0502442449825624</v>
      </c>
      <c r="M147" s="64">
        <f t="shared" si="49"/>
        <v>6.8913672254380511</v>
      </c>
      <c r="N147" s="64">
        <f t="shared" si="49"/>
        <v>7.7544437231452159</v>
      </c>
      <c r="O147" s="64">
        <f t="shared" si="49"/>
        <v>9.1985556095939938</v>
      </c>
      <c r="P147" s="64">
        <f t="shared" si="49"/>
        <v>10.656460452643026</v>
      </c>
      <c r="Q147" s="64">
        <f t="shared" si="49"/>
        <v>12.121077111406366</v>
      </c>
      <c r="R147" s="64">
        <f t="shared" si="49"/>
        <v>13.584498382915118</v>
      </c>
      <c r="S147" s="64">
        <f t="shared" si="49"/>
        <v>15.038845033778554</v>
      </c>
      <c r="T147" s="64">
        <f t="shared" si="49"/>
        <v>16.517927611631109</v>
      </c>
      <c r="U147" s="64">
        <f t="shared" si="49"/>
        <v>18.021638889172316</v>
      </c>
      <c r="V147" s="64">
        <f t="shared" si="49"/>
        <v>19.549858492912577</v>
      </c>
      <c r="W147" s="64">
        <f t="shared" si="49"/>
        <v>21.102452780031037</v>
      </c>
      <c r="X147" s="64">
        <f t="shared" si="49"/>
        <v>22.679274722832776</v>
      </c>
      <c r="Y147" s="64">
        <f t="shared" si="49"/>
        <v>25.265606194595897</v>
      </c>
      <c r="Z147" s="64">
        <f t="shared" si="49"/>
        <v>27.894308917275552</v>
      </c>
      <c r="AA147" s="64">
        <f t="shared" si="49"/>
        <v>30.567181072056787</v>
      </c>
      <c r="AB147" s="64">
        <f t="shared" si="49"/>
        <v>33.282519472357549</v>
      </c>
      <c r="AC147" s="64">
        <f t="shared" si="49"/>
        <v>36.040135196667862</v>
      </c>
      <c r="AD147" s="64">
        <f t="shared" si="49"/>
        <v>38.840249882070687</v>
      </c>
      <c r="AE147" s="64">
        <f t="shared" si="49"/>
        <v>41.682714945379487</v>
      </c>
      <c r="AF147" s="64">
        <f t="shared" si="49"/>
        <v>44.567363622300824</v>
      </c>
      <c r="AG147" s="64">
        <f t="shared" si="49"/>
        <v>47.494010788820731</v>
      </c>
      <c r="AH147" s="64">
        <f t="shared" si="49"/>
        <v>50.462452790589467</v>
      </c>
      <c r="AI147" s="284">
        <f>AH146+AH147</f>
        <v>95.582693315351975</v>
      </c>
    </row>
    <row r="148" spans="1:35" s="104" customFormat="1">
      <c r="A148" s="102" t="s">
        <v>275</v>
      </c>
      <c r="B148" s="102"/>
      <c r="C148" s="103" t="s">
        <v>153</v>
      </c>
      <c r="D148" s="105">
        <f t="shared" ref="D148:AG148" si="50">D95+D105+D115+IF(D127&lt;0,0,D127)+D139</f>
        <v>162.69230769230768</v>
      </c>
      <c r="E148" s="105">
        <f t="shared" si="50"/>
        <v>165.94494263259557</v>
      </c>
      <c r="F148" s="105">
        <f t="shared" si="50"/>
        <v>168.69393631690025</v>
      </c>
      <c r="G148" s="105">
        <f t="shared" si="50"/>
        <v>171.54629383870855</v>
      </c>
      <c r="H148" s="105">
        <f t="shared" si="50"/>
        <v>174.51550485864425</v>
      </c>
      <c r="I148" s="105">
        <f t="shared" si="50"/>
        <v>177.61572127354367</v>
      </c>
      <c r="J148" s="105">
        <f t="shared" si="50"/>
        <v>180.30247709755133</v>
      </c>
      <c r="K148" s="105">
        <f t="shared" si="50"/>
        <v>183.05943562376893</v>
      </c>
      <c r="L148" s="105">
        <f t="shared" si="50"/>
        <v>185.89182104009302</v>
      </c>
      <c r="M148" s="105">
        <f t="shared" si="50"/>
        <v>188.80531560792738</v>
      </c>
      <c r="N148" s="105">
        <f t="shared" si="50"/>
        <v>191.80610395876909</v>
      </c>
      <c r="O148" s="105">
        <f t="shared" si="50"/>
        <v>191.67880716859469</v>
      </c>
      <c r="P148" s="105">
        <f t="shared" si="50"/>
        <v>191.6054529008305</v>
      </c>
      <c r="Q148" s="105">
        <f t="shared" si="50"/>
        <v>191.60523993810523</v>
      </c>
      <c r="R148" s="105">
        <f t="shared" si="50"/>
        <v>191.69984399076856</v>
      </c>
      <c r="S148" s="105">
        <f t="shared" si="50"/>
        <v>191.91125911127531</v>
      </c>
      <c r="T148" s="105">
        <f t="shared" si="50"/>
        <v>192.02591848539009</v>
      </c>
      <c r="U148" s="105">
        <f t="shared" si="50"/>
        <v>192.19435463783685</v>
      </c>
      <c r="V148" s="105">
        <f t="shared" si="50"/>
        <v>192.42585144287733</v>
      </c>
      <c r="W148" s="105">
        <f t="shared" si="50"/>
        <v>192.73084562001284</v>
      </c>
      <c r="X148" s="105">
        <f t="shared" si="50"/>
        <v>193.12107639020593</v>
      </c>
      <c r="Y148" s="105">
        <f t="shared" si="50"/>
        <v>191.71433302010007</v>
      </c>
      <c r="Z148" s="105">
        <f t="shared" si="50"/>
        <v>190.38887670073578</v>
      </c>
      <c r="AA148" s="105">
        <f t="shared" si="50"/>
        <v>189.15844006378813</v>
      </c>
      <c r="AB148" s="105">
        <f t="shared" si="50"/>
        <v>188.04452378859702</v>
      </c>
      <c r="AC148" s="105">
        <f t="shared" si="50"/>
        <v>187.06848926791389</v>
      </c>
      <c r="AD148" s="105">
        <f t="shared" si="50"/>
        <v>186.12318717357812</v>
      </c>
      <c r="AE148" s="105">
        <f t="shared" si="50"/>
        <v>185.36333650478576</v>
      </c>
      <c r="AF148" s="105">
        <f t="shared" si="50"/>
        <v>184.8194440438929</v>
      </c>
      <c r="AG148" s="105">
        <f t="shared" si="50"/>
        <v>184.52597949435238</v>
      </c>
      <c r="AH148" s="105">
        <f>AH95+AH105+AH115+AH127+AH139</f>
        <v>184.52189952497861</v>
      </c>
      <c r="AI148" s="641">
        <f>AH84-AH148</f>
        <v>95.582693315351946</v>
      </c>
    </row>
    <row r="149" spans="1:35" s="67" customFormat="1">
      <c r="A149" s="755" t="s">
        <v>257</v>
      </c>
      <c r="B149" s="58" t="s">
        <v>258</v>
      </c>
      <c r="C149" s="59" t="s">
        <v>153</v>
      </c>
      <c r="D149" s="60">
        <f>D96+D106+D116+D128+D140</f>
        <v>99.242307692307705</v>
      </c>
      <c r="E149" s="60" t="e">
        <f t="shared" ref="E149:AH154" si="51">E96+E106+E116+E128+E140</f>
        <v>#DIV/0!</v>
      </c>
      <c r="F149" s="60" t="e">
        <f t="shared" si="51"/>
        <v>#DIV/0!</v>
      </c>
      <c r="G149" s="60" t="e">
        <f t="shared" si="51"/>
        <v>#DIV/0!</v>
      </c>
      <c r="H149" s="60" t="e">
        <f t="shared" si="51"/>
        <v>#DIV/0!</v>
      </c>
      <c r="I149" s="60" t="e">
        <f t="shared" si="51"/>
        <v>#DIV/0!</v>
      </c>
      <c r="J149" s="60" t="e">
        <f t="shared" si="51"/>
        <v>#DIV/0!</v>
      </c>
      <c r="K149" s="60" t="e">
        <f t="shared" si="51"/>
        <v>#DIV/0!</v>
      </c>
      <c r="L149" s="60" t="e">
        <f t="shared" si="51"/>
        <v>#DIV/0!</v>
      </c>
      <c r="M149" s="60" t="e">
        <f t="shared" si="51"/>
        <v>#DIV/0!</v>
      </c>
      <c r="N149" s="60" t="e">
        <f t="shared" si="51"/>
        <v>#DIV/0!</v>
      </c>
      <c r="O149" s="60" t="e">
        <f t="shared" si="51"/>
        <v>#DIV/0!</v>
      </c>
      <c r="P149" s="60" t="e">
        <f t="shared" si="51"/>
        <v>#DIV/0!</v>
      </c>
      <c r="Q149" s="60" t="e">
        <f t="shared" si="51"/>
        <v>#DIV/0!</v>
      </c>
      <c r="R149" s="60" t="e">
        <f t="shared" si="51"/>
        <v>#DIV/0!</v>
      </c>
      <c r="S149" s="60" t="e">
        <f t="shared" si="51"/>
        <v>#DIV/0!</v>
      </c>
      <c r="T149" s="60" t="e">
        <f t="shared" si="51"/>
        <v>#DIV/0!</v>
      </c>
      <c r="U149" s="60" t="e">
        <f t="shared" si="51"/>
        <v>#DIV/0!</v>
      </c>
      <c r="V149" s="60" t="e">
        <f t="shared" si="51"/>
        <v>#DIV/0!</v>
      </c>
      <c r="W149" s="60" t="e">
        <f t="shared" si="51"/>
        <v>#DIV/0!</v>
      </c>
      <c r="X149" s="60" t="e">
        <f t="shared" si="51"/>
        <v>#DIV/0!</v>
      </c>
      <c r="Y149" s="60" t="e">
        <f t="shared" si="51"/>
        <v>#DIV/0!</v>
      </c>
      <c r="Z149" s="60" t="e">
        <f t="shared" si="51"/>
        <v>#DIV/0!</v>
      </c>
      <c r="AA149" s="60" t="e">
        <f t="shared" si="51"/>
        <v>#DIV/0!</v>
      </c>
      <c r="AB149" s="60" t="e">
        <f t="shared" si="51"/>
        <v>#DIV/0!</v>
      </c>
      <c r="AC149" s="60" t="e">
        <f t="shared" si="51"/>
        <v>#DIV/0!</v>
      </c>
      <c r="AD149" s="60" t="e">
        <f t="shared" si="51"/>
        <v>#DIV/0!</v>
      </c>
      <c r="AE149" s="60" t="e">
        <f t="shared" si="51"/>
        <v>#DIV/0!</v>
      </c>
      <c r="AF149" s="60" t="e">
        <f t="shared" si="51"/>
        <v>#DIV/0!</v>
      </c>
      <c r="AG149" s="60" t="e">
        <f t="shared" si="51"/>
        <v>#DIV/0!</v>
      </c>
      <c r="AH149" s="60" t="e">
        <f t="shared" si="51"/>
        <v>#DIV/0!</v>
      </c>
      <c r="AI149" s="60"/>
    </row>
    <row r="150" spans="1:35">
      <c r="A150" s="756"/>
      <c r="B150" s="1" t="s">
        <v>260</v>
      </c>
      <c r="C150" s="54" t="s">
        <v>153</v>
      </c>
      <c r="D150" s="44">
        <f t="shared" ref="D150:S154" si="52">D97+D107+D117+D129+D141</f>
        <v>22.776923076923076</v>
      </c>
      <c r="E150" s="44">
        <f t="shared" si="52"/>
        <v>23.431001458961177</v>
      </c>
      <c r="F150" s="44">
        <f t="shared" si="52"/>
        <v>23.952854780551803</v>
      </c>
      <c r="G150" s="44">
        <f t="shared" si="52"/>
        <v>24.495770160559204</v>
      </c>
      <c r="H150" s="44">
        <f t="shared" si="52"/>
        <v>25.06152366310145</v>
      </c>
      <c r="I150" s="44">
        <f t="shared" si="52"/>
        <v>25.65195607255194</v>
      </c>
      <c r="J150" s="44">
        <f t="shared" si="52"/>
        <v>26.17681578263803</v>
      </c>
      <c r="K150" s="44">
        <f t="shared" si="52"/>
        <v>26.71891544700566</v>
      </c>
      <c r="L150" s="44">
        <f t="shared" si="52"/>
        <v>27.27928566880837</v>
      </c>
      <c r="M150" s="44">
        <f t="shared" si="52"/>
        <v>27.859041818293441</v>
      </c>
      <c r="N150" s="44">
        <f t="shared" si="52"/>
        <v>28.459393240876416</v>
      </c>
      <c r="O150" s="44">
        <f t="shared" si="52"/>
        <v>28.610085038711283</v>
      </c>
      <c r="P150" s="44">
        <f t="shared" si="52"/>
        <v>28.776143873205555</v>
      </c>
      <c r="Q150" s="44">
        <f t="shared" si="52"/>
        <v>28.960107362939777</v>
      </c>
      <c r="R150" s="44">
        <f t="shared" si="52"/>
        <v>29.164641722377159</v>
      </c>
      <c r="S150" s="44">
        <f t="shared" si="52"/>
        <v>29.392545195512923</v>
      </c>
      <c r="T150" s="44">
        <f t="shared" si="51"/>
        <v>29.612743516804187</v>
      </c>
      <c r="U150" s="44">
        <f t="shared" si="51"/>
        <v>29.851347373890722</v>
      </c>
      <c r="V150" s="44">
        <f t="shared" si="51"/>
        <v>30.110363048624659</v>
      </c>
      <c r="W150" s="44">
        <f t="shared" si="51"/>
        <v>30.392040869003282</v>
      </c>
      <c r="X150" s="44">
        <f t="shared" si="51"/>
        <v>30.698907020574126</v>
      </c>
      <c r="Y150" s="44">
        <f t="shared" si="51"/>
        <v>30.855360939581473</v>
      </c>
      <c r="Z150" s="44">
        <f t="shared" si="51"/>
        <v>31.042174514452306</v>
      </c>
      <c r="AA150" s="44">
        <f t="shared" si="51"/>
        <v>31.262973512217933</v>
      </c>
      <c r="AB150" s="44">
        <f t="shared" si="51"/>
        <v>31.521834728346903</v>
      </c>
      <c r="AC150" s="44">
        <f t="shared" si="51"/>
        <v>31.823345103884371</v>
      </c>
      <c r="AD150" s="44">
        <f t="shared" si="51"/>
        <v>32.150301731595547</v>
      </c>
      <c r="AE150" s="44">
        <f t="shared" si="51"/>
        <v>32.53033500961763</v>
      </c>
      <c r="AF150" s="44">
        <f t="shared" si="51"/>
        <v>32.969981980374016</v>
      </c>
      <c r="AG150" s="44">
        <f t="shared" si="51"/>
        <v>33.476615489098897</v>
      </c>
      <c r="AH150" s="44">
        <f t="shared" si="51"/>
        <v>34.058554245955207</v>
      </c>
      <c r="AI150" s="44"/>
    </row>
    <row r="151" spans="1:35">
      <c r="A151" s="756"/>
      <c r="B151" s="1" t="s">
        <v>262</v>
      </c>
      <c r="C151" s="54" t="s">
        <v>153</v>
      </c>
      <c r="D151" s="44">
        <f t="shared" si="52"/>
        <v>19.523076923076918</v>
      </c>
      <c r="E151" s="44" t="e">
        <f t="shared" si="51"/>
        <v>#DIV/0!</v>
      </c>
      <c r="F151" s="44" t="e">
        <f t="shared" si="51"/>
        <v>#DIV/0!</v>
      </c>
      <c r="G151" s="44" t="e">
        <f t="shared" si="51"/>
        <v>#DIV/0!</v>
      </c>
      <c r="H151" s="44" t="e">
        <f t="shared" si="51"/>
        <v>#DIV/0!</v>
      </c>
      <c r="I151" s="44" t="e">
        <f t="shared" si="51"/>
        <v>#DIV/0!</v>
      </c>
      <c r="J151" s="44" t="e">
        <f t="shared" si="51"/>
        <v>#DIV/0!</v>
      </c>
      <c r="K151" s="44" t="e">
        <f t="shared" si="51"/>
        <v>#DIV/0!</v>
      </c>
      <c r="L151" s="44" t="e">
        <f t="shared" si="51"/>
        <v>#DIV/0!</v>
      </c>
      <c r="M151" s="44" t="e">
        <f t="shared" si="51"/>
        <v>#DIV/0!</v>
      </c>
      <c r="N151" s="44" t="e">
        <f t="shared" si="51"/>
        <v>#DIV/0!</v>
      </c>
      <c r="O151" s="44" t="e">
        <f t="shared" si="51"/>
        <v>#DIV/0!</v>
      </c>
      <c r="P151" s="44" t="e">
        <f t="shared" si="51"/>
        <v>#DIV/0!</v>
      </c>
      <c r="Q151" s="44" t="e">
        <f t="shared" si="51"/>
        <v>#DIV/0!</v>
      </c>
      <c r="R151" s="44" t="e">
        <f t="shared" si="51"/>
        <v>#DIV/0!</v>
      </c>
      <c r="S151" s="44" t="e">
        <f t="shared" si="51"/>
        <v>#DIV/0!</v>
      </c>
      <c r="T151" s="44" t="e">
        <f t="shared" si="51"/>
        <v>#DIV/0!</v>
      </c>
      <c r="U151" s="44" t="e">
        <f t="shared" si="51"/>
        <v>#DIV/0!</v>
      </c>
      <c r="V151" s="44" t="e">
        <f t="shared" si="51"/>
        <v>#DIV/0!</v>
      </c>
      <c r="W151" s="44" t="e">
        <f t="shared" si="51"/>
        <v>#DIV/0!</v>
      </c>
      <c r="X151" s="44" t="e">
        <f t="shared" si="51"/>
        <v>#DIV/0!</v>
      </c>
      <c r="Y151" s="44" t="e">
        <f t="shared" si="51"/>
        <v>#DIV/0!</v>
      </c>
      <c r="Z151" s="44" t="e">
        <f t="shared" si="51"/>
        <v>#DIV/0!</v>
      </c>
      <c r="AA151" s="44" t="e">
        <f t="shared" si="51"/>
        <v>#DIV/0!</v>
      </c>
      <c r="AB151" s="44" t="e">
        <f t="shared" si="51"/>
        <v>#DIV/0!</v>
      </c>
      <c r="AC151" s="44" t="e">
        <f t="shared" si="51"/>
        <v>#DIV/0!</v>
      </c>
      <c r="AD151" s="44" t="e">
        <f t="shared" si="51"/>
        <v>#DIV/0!</v>
      </c>
      <c r="AE151" s="44" t="e">
        <f t="shared" si="51"/>
        <v>#DIV/0!</v>
      </c>
      <c r="AF151" s="44" t="e">
        <f t="shared" si="51"/>
        <v>#DIV/0!</v>
      </c>
      <c r="AG151" s="44" t="e">
        <f t="shared" si="51"/>
        <v>#DIV/0!</v>
      </c>
      <c r="AH151" s="44" t="e">
        <f t="shared" si="51"/>
        <v>#DIV/0!</v>
      </c>
      <c r="AI151" s="44"/>
    </row>
    <row r="152" spans="1:35">
      <c r="A152" s="757"/>
      <c r="B152" s="1" t="s">
        <v>248</v>
      </c>
      <c r="C152" s="54" t="s">
        <v>153</v>
      </c>
      <c r="D152" s="44">
        <f t="shared" ref="D152:AG152" si="53">D99+D109+D119+IF(D131&lt;0,0,D131)+D143</f>
        <v>21.150000000000006</v>
      </c>
      <c r="E152" s="44" t="e">
        <f t="shared" si="53"/>
        <v>#DIV/0!</v>
      </c>
      <c r="F152" s="44" t="e">
        <f t="shared" si="53"/>
        <v>#DIV/0!</v>
      </c>
      <c r="G152" s="44" t="e">
        <f t="shared" si="53"/>
        <v>#DIV/0!</v>
      </c>
      <c r="H152" s="44" t="e">
        <f t="shared" si="53"/>
        <v>#DIV/0!</v>
      </c>
      <c r="I152" s="44" t="e">
        <f t="shared" si="53"/>
        <v>#DIV/0!</v>
      </c>
      <c r="J152" s="44" t="e">
        <f t="shared" si="53"/>
        <v>#DIV/0!</v>
      </c>
      <c r="K152" s="44" t="e">
        <f t="shared" si="53"/>
        <v>#DIV/0!</v>
      </c>
      <c r="L152" s="44" t="e">
        <f t="shared" si="53"/>
        <v>#DIV/0!</v>
      </c>
      <c r="M152" s="44" t="e">
        <f t="shared" si="53"/>
        <v>#DIV/0!</v>
      </c>
      <c r="N152" s="44" t="e">
        <f t="shared" si="53"/>
        <v>#DIV/0!</v>
      </c>
      <c r="O152" s="44" t="e">
        <f t="shared" si="53"/>
        <v>#DIV/0!</v>
      </c>
      <c r="P152" s="44" t="e">
        <f t="shared" si="53"/>
        <v>#DIV/0!</v>
      </c>
      <c r="Q152" s="44" t="e">
        <f t="shared" si="53"/>
        <v>#DIV/0!</v>
      </c>
      <c r="R152" s="44" t="e">
        <f t="shared" si="53"/>
        <v>#DIV/0!</v>
      </c>
      <c r="S152" s="44" t="e">
        <f t="shared" si="53"/>
        <v>#DIV/0!</v>
      </c>
      <c r="T152" s="44" t="e">
        <f t="shared" si="53"/>
        <v>#DIV/0!</v>
      </c>
      <c r="U152" s="44" t="e">
        <f t="shared" si="53"/>
        <v>#DIV/0!</v>
      </c>
      <c r="V152" s="44" t="e">
        <f t="shared" si="53"/>
        <v>#DIV/0!</v>
      </c>
      <c r="W152" s="44" t="e">
        <f t="shared" si="53"/>
        <v>#DIV/0!</v>
      </c>
      <c r="X152" s="44" t="e">
        <f t="shared" si="53"/>
        <v>#DIV/0!</v>
      </c>
      <c r="Y152" s="44" t="e">
        <f t="shared" si="53"/>
        <v>#DIV/0!</v>
      </c>
      <c r="Z152" s="44" t="e">
        <f t="shared" si="53"/>
        <v>#DIV/0!</v>
      </c>
      <c r="AA152" s="44" t="e">
        <f t="shared" si="53"/>
        <v>#DIV/0!</v>
      </c>
      <c r="AB152" s="44" t="e">
        <f t="shared" si="53"/>
        <v>#DIV/0!</v>
      </c>
      <c r="AC152" s="44" t="e">
        <f t="shared" si="53"/>
        <v>#DIV/0!</v>
      </c>
      <c r="AD152" s="44" t="e">
        <f t="shared" si="53"/>
        <v>#DIV/0!</v>
      </c>
      <c r="AE152" s="44" t="e">
        <f t="shared" si="53"/>
        <v>#DIV/0!</v>
      </c>
      <c r="AF152" s="44" t="e">
        <f t="shared" si="53"/>
        <v>#DIV/0!</v>
      </c>
      <c r="AG152" s="44" t="e">
        <f t="shared" si="53"/>
        <v>#DIV/0!</v>
      </c>
      <c r="AH152" s="44" t="e">
        <f>AH99+AH109+AH119+AH131+AH143</f>
        <v>#DIV/0!</v>
      </c>
      <c r="AI152" s="44"/>
    </row>
    <row r="153" spans="1:35" s="67" customFormat="1">
      <c r="A153" s="758" t="s">
        <v>263</v>
      </c>
      <c r="B153" s="58" t="s">
        <v>264</v>
      </c>
      <c r="C153" s="59" t="s">
        <v>153</v>
      </c>
      <c r="D153" s="60">
        <f t="shared" si="52"/>
        <v>18.74215384615384</v>
      </c>
      <c r="E153" s="60" t="e">
        <f t="shared" si="51"/>
        <v>#DIV/0!</v>
      </c>
      <c r="F153" s="60" t="e">
        <f t="shared" si="51"/>
        <v>#DIV/0!</v>
      </c>
      <c r="G153" s="60" t="e">
        <f t="shared" si="51"/>
        <v>#DIV/0!</v>
      </c>
      <c r="H153" s="60" t="e">
        <f t="shared" si="51"/>
        <v>#DIV/0!</v>
      </c>
      <c r="I153" s="60" t="e">
        <f t="shared" si="51"/>
        <v>#DIV/0!</v>
      </c>
      <c r="J153" s="60" t="e">
        <f t="shared" si="51"/>
        <v>#DIV/0!</v>
      </c>
      <c r="K153" s="60" t="e">
        <f t="shared" si="51"/>
        <v>#DIV/0!</v>
      </c>
      <c r="L153" s="60" t="e">
        <f t="shared" si="51"/>
        <v>#DIV/0!</v>
      </c>
      <c r="M153" s="60" t="e">
        <f t="shared" si="51"/>
        <v>#DIV/0!</v>
      </c>
      <c r="N153" s="60" t="e">
        <f t="shared" si="51"/>
        <v>#DIV/0!</v>
      </c>
      <c r="O153" s="60" t="e">
        <f t="shared" si="51"/>
        <v>#DIV/0!</v>
      </c>
      <c r="P153" s="60" t="e">
        <f t="shared" si="51"/>
        <v>#DIV/0!</v>
      </c>
      <c r="Q153" s="60" t="e">
        <f t="shared" si="51"/>
        <v>#DIV/0!</v>
      </c>
      <c r="R153" s="60" t="e">
        <f t="shared" si="51"/>
        <v>#DIV/0!</v>
      </c>
      <c r="S153" s="60" t="e">
        <f t="shared" si="51"/>
        <v>#DIV/0!</v>
      </c>
      <c r="T153" s="60" t="e">
        <f t="shared" si="51"/>
        <v>#DIV/0!</v>
      </c>
      <c r="U153" s="60" t="e">
        <f t="shared" si="51"/>
        <v>#DIV/0!</v>
      </c>
      <c r="V153" s="60" t="e">
        <f t="shared" si="51"/>
        <v>#DIV/0!</v>
      </c>
      <c r="W153" s="60" t="e">
        <f t="shared" si="51"/>
        <v>#DIV/0!</v>
      </c>
      <c r="X153" s="60" t="e">
        <f t="shared" si="51"/>
        <v>#DIV/0!</v>
      </c>
      <c r="Y153" s="60" t="e">
        <f t="shared" si="51"/>
        <v>#DIV/0!</v>
      </c>
      <c r="Z153" s="60" t="e">
        <f t="shared" si="51"/>
        <v>#DIV/0!</v>
      </c>
      <c r="AA153" s="60" t="e">
        <f t="shared" si="51"/>
        <v>#DIV/0!</v>
      </c>
      <c r="AB153" s="60" t="e">
        <f t="shared" si="51"/>
        <v>#DIV/0!</v>
      </c>
      <c r="AC153" s="60" t="e">
        <f t="shared" si="51"/>
        <v>#DIV/0!</v>
      </c>
      <c r="AD153" s="60" t="e">
        <f t="shared" si="51"/>
        <v>#DIV/0!</v>
      </c>
      <c r="AE153" s="60" t="e">
        <f t="shared" si="51"/>
        <v>#DIV/0!</v>
      </c>
      <c r="AF153" s="60" t="e">
        <f t="shared" si="51"/>
        <v>#DIV/0!</v>
      </c>
      <c r="AG153" s="60" t="e">
        <f t="shared" si="51"/>
        <v>#DIV/0!</v>
      </c>
      <c r="AH153" s="60" t="e">
        <f t="shared" si="51"/>
        <v>#DIV/0!</v>
      </c>
      <c r="AI153" s="60"/>
    </row>
    <row r="154" spans="1:35" s="68" customFormat="1">
      <c r="A154" s="759"/>
      <c r="B154" s="62" t="s">
        <v>266</v>
      </c>
      <c r="C154" s="283" t="s">
        <v>153</v>
      </c>
      <c r="D154" s="284">
        <f t="shared" si="52"/>
        <v>15.260538461538461</v>
      </c>
      <c r="E154" s="284">
        <f t="shared" si="51"/>
        <v>15.563739580743658</v>
      </c>
      <c r="F154" s="284">
        <f t="shared" si="51"/>
        <v>16.04042024687255</v>
      </c>
      <c r="G154" s="284">
        <f t="shared" si="51"/>
        <v>16.806268824395325</v>
      </c>
      <c r="H154" s="284">
        <f t="shared" si="51"/>
        <v>16.401316388227514</v>
      </c>
      <c r="I154" s="284">
        <f t="shared" si="51"/>
        <v>16.720804463925198</v>
      </c>
      <c r="J154" s="284">
        <f t="shared" si="51"/>
        <v>16.997764996156185</v>
      </c>
      <c r="K154" s="284">
        <f t="shared" si="51"/>
        <v>17.282599562345705</v>
      </c>
      <c r="L154" s="284">
        <f t="shared" si="51"/>
        <v>17.575670548160389</v>
      </c>
      <c r="M154" s="284">
        <f t="shared" si="51"/>
        <v>17.877351219247913</v>
      </c>
      <c r="N154" s="284">
        <f t="shared" si="51"/>
        <v>18.188025598152024</v>
      </c>
      <c r="O154" s="284">
        <f t="shared" si="51"/>
        <v>18.174231041250739</v>
      </c>
      <c r="P154" s="284">
        <f t="shared" si="51"/>
        <v>18.16693052894097</v>
      </c>
      <c r="Q154" s="284">
        <f t="shared" si="51"/>
        <v>18.167640154275482</v>
      </c>
      <c r="R154" s="284">
        <f t="shared" si="51"/>
        <v>18.177873122967831</v>
      </c>
      <c r="S154" s="284">
        <f t="shared" si="51"/>
        <v>18.1991260168416</v>
      </c>
      <c r="T154" s="284">
        <f t="shared" si="51"/>
        <v>18.208525195191328</v>
      </c>
      <c r="U154" s="284">
        <f t="shared" si="51"/>
        <v>18.221075014647052</v>
      </c>
      <c r="V154" s="284">
        <f t="shared" si="51"/>
        <v>18.236910907503152</v>
      </c>
      <c r="W154" s="284">
        <f t="shared" si="51"/>
        <v>18.256169331981031</v>
      </c>
      <c r="X154" s="284">
        <f t="shared" si="51"/>
        <v>18.278987730805838</v>
      </c>
      <c r="Y154" s="284">
        <f t="shared" si="51"/>
        <v>18.136203348893638</v>
      </c>
      <c r="Z154" s="284">
        <f t="shared" si="51"/>
        <v>17.996599130468809</v>
      </c>
      <c r="AA154" s="284">
        <f t="shared" si="51"/>
        <v>17.860354819579221</v>
      </c>
      <c r="AB154" s="284">
        <f t="shared" si="51"/>
        <v>17.727651043994495</v>
      </c>
      <c r="AC154" s="284">
        <f t="shared" si="51"/>
        <v>17.598669249343292</v>
      </c>
      <c r="AD154" s="284">
        <f t="shared" si="51"/>
        <v>17.459885019407626</v>
      </c>
      <c r="AE154" s="284">
        <f t="shared" si="51"/>
        <v>17.324814075590211</v>
      </c>
      <c r="AF154" s="284">
        <f t="shared" si="51"/>
        <v>17.193624176467061</v>
      </c>
      <c r="AG154" s="284">
        <f t="shared" si="51"/>
        <v>17.066483605229809</v>
      </c>
      <c r="AH154" s="284">
        <f t="shared" si="51"/>
        <v>16.943561116735232</v>
      </c>
      <c r="AI154" s="284"/>
    </row>
    <row r="155" spans="1:35">
      <c r="A155" s="1" t="s">
        <v>230</v>
      </c>
      <c r="C155" s="59" t="s">
        <v>153</v>
      </c>
      <c r="D155" s="66">
        <f>'Ethylene Recycling HC'!C311</f>
        <v>1.0818815477462023E-5</v>
      </c>
      <c r="E155" s="66">
        <f>'Ethylene Recycling HC'!D311</f>
        <v>2.2516111057818729E-5</v>
      </c>
      <c r="F155" s="66">
        <f>'Ethylene Recycling HC'!E311</f>
        <v>4.663928438610198E-5</v>
      </c>
      <c r="G155" s="66">
        <f>'Ethylene Recycling HC'!F311</f>
        <v>9.608657713745198E-5</v>
      </c>
      <c r="H155" s="66">
        <f>'Ethylene Recycling HC'!G311</f>
        <v>1.9670237167658332E-4</v>
      </c>
      <c r="I155" s="66">
        <f>'Ethylene Recycling HC'!H311</f>
        <v>3.9958383748381587E-4</v>
      </c>
      <c r="J155" s="66">
        <f>'Ethylene Recycling HC'!I311</f>
        <v>8.057191792668842E-4</v>
      </c>
      <c r="K155" s="66">
        <f>'Ethylene Recycling HC'!J311</f>
        <v>1.6085364368499963E-3</v>
      </c>
      <c r="L155" s="66">
        <f>'Ethylene Recycling HC'!K311</f>
        <v>3.168618054356889E-3</v>
      </c>
      <c r="M155" s="66">
        <f>'Ethylene Recycling HC'!L311</f>
        <v>6.1315713717573096E-3</v>
      </c>
      <c r="N155" s="66">
        <f>'Ethylene Recycling HC'!M311</f>
        <v>1.1640785616413447E-2</v>
      </c>
      <c r="O155" s="66">
        <f>'Ethylene Recycling HC'!N311</f>
        <v>2.0094054417978537E-2</v>
      </c>
      <c r="P155" s="66">
        <f>'Ethylene Recycling HC'!O311</f>
        <v>3.3456755924607139E-2</v>
      </c>
      <c r="Q155" s="66">
        <f>'Ethylene Recycling HC'!P311</f>
        <v>5.3092004152255554E-2</v>
      </c>
      <c r="R155" s="66">
        <f>'Ethylene Recycling HC'!Q311</f>
        <v>7.9745261471952197E-2</v>
      </c>
      <c r="S155" s="66">
        <f>'Ethylene Recycling HC'!R311</f>
        <v>0.11964811312901034</v>
      </c>
      <c r="T155" s="66">
        <f>'Ethylene Recycling HC'!S311</f>
        <v>0.17238148506728856</v>
      </c>
      <c r="U155" s="66">
        <f>'Ethylene Recycling HC'!T311</f>
        <v>0.23388916402521895</v>
      </c>
      <c r="V155" s="66">
        <f>'Ethylene Recycling HC'!U311</f>
        <v>0.3004004989920192</v>
      </c>
      <c r="W155" s="66">
        <f>'Ethylene Recycling HC'!V311</f>
        <v>0.36786942704898123</v>
      </c>
      <c r="X155" s="66">
        <f>'Ethylene Recycling HC'!W311</f>
        <v>0.43303421850108931</v>
      </c>
      <c r="Y155" s="66">
        <f>'Ethylene Recycling HC'!X311</f>
        <v>0.5081817886229314</v>
      </c>
      <c r="Z155" s="66">
        <f>'Ethylene Recycling HC'!Y311</f>
        <v>0.58044726682866077</v>
      </c>
      <c r="AA155" s="66">
        <f>'Ethylene Recycling HC'!Z311</f>
        <v>0.65007859259457668</v>
      </c>
      <c r="AB155" s="66">
        <f>'Ethylene Recycling HC'!AA311</f>
        <v>0.71866786083665035</v>
      </c>
      <c r="AC155" s="66">
        <f>'Ethylene Recycling HC'!AB311</f>
        <v>0.78923671449011168</v>
      </c>
      <c r="AD155" s="66">
        <f>'Ethylene Recycling HC'!AC311</f>
        <v>0.86624285826387848</v>
      </c>
      <c r="AE155" s="66">
        <f>'Ethylene Recycling HC'!AD311</f>
        <v>0.95529959059137648</v>
      </c>
      <c r="AF155" s="66">
        <f>'Ethylene Recycling HC'!AE311</f>
        <v>1.0622208956910861</v>
      </c>
      <c r="AG155" s="66">
        <f>'Ethylene Recycling HC'!AF311</f>
        <v>1.1911485640141313</v>
      </c>
      <c r="AH155" s="66">
        <f>'Ethylene Recycling HC'!AG311</f>
        <v>1.3422391276633288</v>
      </c>
    </row>
    <row r="156" spans="1:35">
      <c r="A156" s="1" t="s">
        <v>231</v>
      </c>
      <c r="C156" s="283" t="s">
        <v>153</v>
      </c>
      <c r="D156" s="66">
        <f>'Ethylene Recycling HC'!C313</f>
        <v>6.3290690742202706E-5</v>
      </c>
      <c r="E156" s="66">
        <f>'Ethylene Recycling HC'!D313</f>
        <v>1.3172054044605997E-4</v>
      </c>
      <c r="F156" s="66">
        <f>'Ethylene Recycling HC'!E313</f>
        <v>2.7284248730073468E-4</v>
      </c>
      <c r="G156" s="66">
        <f>'Ethylene Recycling HC'!F313</f>
        <v>5.6211198450996282E-4</v>
      </c>
      <c r="H156" s="66">
        <f>'Ethylene Recycling HC'!G313</f>
        <v>1.1507201504615133E-3</v>
      </c>
      <c r="I156" s="66">
        <f>'Ethylene Recycling HC'!H313</f>
        <v>2.3375883558098658E-3</v>
      </c>
      <c r="J156" s="66">
        <f>'Ethylene Recycling HC'!I313</f>
        <v>4.7135033873416717E-3</v>
      </c>
      <c r="K156" s="66">
        <f>'Ethylene Recycling HC'!J313</f>
        <v>9.4100303664778132E-3</v>
      </c>
      <c r="L156" s="66">
        <f>'Ethylene Recycling HC'!K313</f>
        <v>1.8536597262079135E-2</v>
      </c>
      <c r="M156" s="66">
        <f>'Ethylene Recycling HC'!L313</f>
        <v>3.5870044023033183E-2</v>
      </c>
      <c r="N156" s="66">
        <f>'Ethylene Recycling HC'!M313</f>
        <v>6.8099263175300906E-2</v>
      </c>
      <c r="O156" s="66">
        <f>'Ethylene Recycling HC'!N313</f>
        <v>0.11755137025625788</v>
      </c>
      <c r="P156" s="66">
        <f>'Ethylene Recycling HC'!O313</f>
        <v>0.19572394009980948</v>
      </c>
      <c r="Q156" s="66">
        <f>'Ethylene Recycling HC'!P313</f>
        <v>0.310591267841128</v>
      </c>
      <c r="R156" s="66">
        <f>'Ethylene Recycling HC'!Q313</f>
        <v>0.46651435108508033</v>
      </c>
      <c r="S156" s="66">
        <f>'Ethylene Recycling HC'!R313</f>
        <v>0.69994832074839397</v>
      </c>
      <c r="T156" s="66">
        <f>'Ethylene Recycling HC'!S313</f>
        <v>1.0084415695788165</v>
      </c>
      <c r="U156" s="66">
        <f>'Ethylene Recycling HC'!T313</f>
        <v>1.3682650174698312</v>
      </c>
      <c r="V156" s="66">
        <f>'Ethylene Recycling HC'!U313</f>
        <v>1.7573601398521499</v>
      </c>
      <c r="W156" s="66">
        <f>'Ethylene Recycling HC'!V313</f>
        <v>2.152057236706864</v>
      </c>
      <c r="X156" s="66">
        <f>'Ethylene Recycling HC'!W313</f>
        <v>2.5332750023363251</v>
      </c>
      <c r="Y156" s="66">
        <f>'Ethylene Recycling HC'!X313</f>
        <v>2.9728925954561625</v>
      </c>
      <c r="Z156" s="66">
        <f>'Ethylene Recycling HC'!Y313</f>
        <v>3.395649785648037</v>
      </c>
      <c r="AA156" s="66">
        <f>'Ethylene Recycling HC'!Z313</f>
        <v>3.8029970330616694</v>
      </c>
      <c r="AB156" s="66">
        <f>'Ethylene Recycling HC'!AA313</f>
        <v>4.2042481842238697</v>
      </c>
      <c r="AC156" s="66">
        <f>'Ethylene Recycling HC'!AB313</f>
        <v>4.617080023524335</v>
      </c>
      <c r="AD156" s="66">
        <f>'Ethylene Recycling HC'!AC313</f>
        <v>5.0675703790524622</v>
      </c>
      <c r="AE156" s="66">
        <f>'Ethylene Recycling HC'!AD313</f>
        <v>5.5885573684315482</v>
      </c>
      <c r="AF156" s="66">
        <f>'Ethylene Recycling HC'!AE313</f>
        <v>6.2140531326319675</v>
      </c>
      <c r="AG156" s="66">
        <f>'Ethylene Recycling HC'!AF313</f>
        <v>6.968287383224931</v>
      </c>
      <c r="AH156" s="66">
        <f>'Ethylene Recycling HC'!AG313</f>
        <v>7.8521758419852743</v>
      </c>
    </row>
    <row r="157" spans="1:35" s="104" customFormat="1">
      <c r="A157" s="102" t="s">
        <v>276</v>
      </c>
      <c r="B157" s="102"/>
      <c r="C157" s="103" t="s">
        <v>153</v>
      </c>
      <c r="D157" s="105">
        <f>D148-D155-D156</f>
        <v>162.69223358280146</v>
      </c>
      <c r="E157" s="105">
        <f t="shared" ref="E157:AH157" si="54">E148-E155-E156</f>
        <v>165.94478839594407</v>
      </c>
      <c r="F157" s="105">
        <f t="shared" si="54"/>
        <v>168.69361683512855</v>
      </c>
      <c r="G157" s="105">
        <f t="shared" si="54"/>
        <v>171.54563564014688</v>
      </c>
      <c r="H157" s="105">
        <f t="shared" si="54"/>
        <v>174.5141574361221</v>
      </c>
      <c r="I157" s="105">
        <f t="shared" si="54"/>
        <v>177.61298410135038</v>
      </c>
      <c r="J157" s="105">
        <f t="shared" si="54"/>
        <v>180.29695787498474</v>
      </c>
      <c r="K157" s="105">
        <f t="shared" si="54"/>
        <v>183.0484170569656</v>
      </c>
      <c r="L157" s="105">
        <f t="shared" si="54"/>
        <v>185.87011582477658</v>
      </c>
      <c r="M157" s="105">
        <f t="shared" si="54"/>
        <v>188.7633139925326</v>
      </c>
      <c r="N157" s="105">
        <f t="shared" si="54"/>
        <v>191.72636390997738</v>
      </c>
      <c r="O157" s="105">
        <f t="shared" si="54"/>
        <v>191.54116174392047</v>
      </c>
      <c r="P157" s="105">
        <f t="shared" si="54"/>
        <v>191.37627220480607</v>
      </c>
      <c r="Q157" s="105">
        <f t="shared" si="54"/>
        <v>191.24155666611185</v>
      </c>
      <c r="R157" s="105">
        <f t="shared" si="54"/>
        <v>191.15358437821155</v>
      </c>
      <c r="S157" s="105">
        <f t="shared" si="54"/>
        <v>191.09166267739789</v>
      </c>
      <c r="T157" s="105">
        <f t="shared" si="54"/>
        <v>190.84509543074398</v>
      </c>
      <c r="U157" s="105">
        <f t="shared" si="54"/>
        <v>190.5922004563418</v>
      </c>
      <c r="V157" s="105">
        <f t="shared" si="54"/>
        <v>190.36809080403316</v>
      </c>
      <c r="W157" s="105">
        <f t="shared" si="54"/>
        <v>190.21091895625699</v>
      </c>
      <c r="X157" s="105">
        <f t="shared" si="54"/>
        <v>190.15476716936851</v>
      </c>
      <c r="Y157" s="105">
        <f t="shared" si="54"/>
        <v>188.23325863602099</v>
      </c>
      <c r="Z157" s="105">
        <f t="shared" si="54"/>
        <v>186.41277964825909</v>
      </c>
      <c r="AA157" s="105">
        <f t="shared" si="54"/>
        <v>184.70536443813188</v>
      </c>
      <c r="AB157" s="105">
        <f t="shared" si="54"/>
        <v>183.12160774353649</v>
      </c>
      <c r="AC157" s="105">
        <f t="shared" si="54"/>
        <v>181.66217252989946</v>
      </c>
      <c r="AD157" s="105">
        <f t="shared" si="54"/>
        <v>180.18937393626177</v>
      </c>
      <c r="AE157" s="105">
        <f t="shared" si="54"/>
        <v>178.81947954576285</v>
      </c>
      <c r="AF157" s="105">
        <f t="shared" si="54"/>
        <v>177.54317001556984</v>
      </c>
      <c r="AG157" s="105">
        <f t="shared" si="54"/>
        <v>176.36654354711334</v>
      </c>
      <c r="AH157" s="105">
        <f t="shared" si="54"/>
        <v>175.32748455532999</v>
      </c>
    </row>
    <row r="158" spans="1:35" s="67" customFormat="1">
      <c r="A158" s="755" t="s">
        <v>257</v>
      </c>
      <c r="B158" s="58" t="s">
        <v>258</v>
      </c>
      <c r="C158" s="59" t="s">
        <v>153</v>
      </c>
      <c r="D158" s="60">
        <f>D149-D156*D149/D148</f>
        <v>99.242269084986347</v>
      </c>
      <c r="E158" s="60" t="e">
        <f t="shared" ref="E158:AH158" si="55">E149-E156*E149/E148</f>
        <v>#DIV/0!</v>
      </c>
      <c r="F158" s="60" t="e">
        <f t="shared" si="55"/>
        <v>#DIV/0!</v>
      </c>
      <c r="G158" s="60" t="e">
        <f t="shared" si="55"/>
        <v>#DIV/0!</v>
      </c>
      <c r="H158" s="60" t="e">
        <f t="shared" si="55"/>
        <v>#DIV/0!</v>
      </c>
      <c r="I158" s="60" t="e">
        <f t="shared" si="55"/>
        <v>#DIV/0!</v>
      </c>
      <c r="J158" s="60" t="e">
        <f t="shared" si="55"/>
        <v>#DIV/0!</v>
      </c>
      <c r="K158" s="60" t="e">
        <f t="shared" si="55"/>
        <v>#DIV/0!</v>
      </c>
      <c r="L158" s="60" t="e">
        <f t="shared" si="55"/>
        <v>#DIV/0!</v>
      </c>
      <c r="M158" s="60" t="e">
        <f t="shared" si="55"/>
        <v>#DIV/0!</v>
      </c>
      <c r="N158" s="60" t="e">
        <f t="shared" si="55"/>
        <v>#DIV/0!</v>
      </c>
      <c r="O158" s="60" t="e">
        <f t="shared" si="55"/>
        <v>#DIV/0!</v>
      </c>
      <c r="P158" s="60" t="e">
        <f t="shared" si="55"/>
        <v>#DIV/0!</v>
      </c>
      <c r="Q158" s="60" t="e">
        <f t="shared" si="55"/>
        <v>#DIV/0!</v>
      </c>
      <c r="R158" s="60" t="e">
        <f t="shared" si="55"/>
        <v>#DIV/0!</v>
      </c>
      <c r="S158" s="60" t="e">
        <f t="shared" si="55"/>
        <v>#DIV/0!</v>
      </c>
      <c r="T158" s="60" t="e">
        <f t="shared" si="55"/>
        <v>#DIV/0!</v>
      </c>
      <c r="U158" s="60" t="e">
        <f t="shared" si="55"/>
        <v>#DIV/0!</v>
      </c>
      <c r="V158" s="60" t="e">
        <f t="shared" si="55"/>
        <v>#DIV/0!</v>
      </c>
      <c r="W158" s="60" t="e">
        <f t="shared" si="55"/>
        <v>#DIV/0!</v>
      </c>
      <c r="X158" s="60" t="e">
        <f t="shared" si="55"/>
        <v>#DIV/0!</v>
      </c>
      <c r="Y158" s="60" t="e">
        <f t="shared" si="55"/>
        <v>#DIV/0!</v>
      </c>
      <c r="Z158" s="60" t="e">
        <f t="shared" si="55"/>
        <v>#DIV/0!</v>
      </c>
      <c r="AA158" s="60" t="e">
        <f t="shared" si="55"/>
        <v>#DIV/0!</v>
      </c>
      <c r="AB158" s="60" t="e">
        <f t="shared" si="55"/>
        <v>#DIV/0!</v>
      </c>
      <c r="AC158" s="60" t="e">
        <f t="shared" si="55"/>
        <v>#DIV/0!</v>
      </c>
      <c r="AD158" s="60" t="e">
        <f t="shared" si="55"/>
        <v>#DIV/0!</v>
      </c>
      <c r="AE158" s="60" t="e">
        <f t="shared" si="55"/>
        <v>#DIV/0!</v>
      </c>
      <c r="AF158" s="60" t="e">
        <f t="shared" si="55"/>
        <v>#DIV/0!</v>
      </c>
      <c r="AG158" s="60" t="e">
        <f t="shared" si="55"/>
        <v>#DIV/0!</v>
      </c>
      <c r="AH158" s="60" t="e">
        <f t="shared" si="55"/>
        <v>#DIV/0!</v>
      </c>
      <c r="AI158" s="60"/>
    </row>
    <row r="159" spans="1:35">
      <c r="A159" s="756"/>
      <c r="B159" s="1" t="s">
        <v>260</v>
      </c>
      <c r="C159" s="54" t="s">
        <v>153</v>
      </c>
      <c r="D159" s="44">
        <f>D163/('Demand Breakdown - Ethylene'!$K$14)</f>
        <v>24.959067069110869</v>
      </c>
      <c r="E159" s="44">
        <f>E163/('Demand Breakdown - Ethylene'!$K$14)</f>
        <v>25.454927149302446</v>
      </c>
      <c r="F159" s="44">
        <f>F163/('Demand Breakdown - Ethylene'!$K$14)</f>
        <v>26.234481243191293</v>
      </c>
      <c r="G159" s="44">
        <f>G163/('Demand Breakdown - Ethylene'!$K$14)</f>
        <v>27.486902323615521</v>
      </c>
      <c r="H159" s="44">
        <f>H163/('Demand Breakdown - Ethylene'!$K$14)</f>
        <v>26.824286093596871</v>
      </c>
      <c r="I159" s="44">
        <f>I163/('Demand Breakdown - Ethylene'!$K$14)</f>
        <v>27.34620536258873</v>
      </c>
      <c r="J159" s="44">
        <f>J163/('Demand Breakdown - Ethylene'!$K$14)</f>
        <v>27.797951868262736</v>
      </c>
      <c r="K159" s="44">
        <f>K163/('Demand Breakdown - Ethylene'!$K$14)</f>
        <v>28.26136776743407</v>
      </c>
      <c r="L159" s="44">
        <f>L163/('Demand Breakdown - Ethylene'!$K$14)</f>
        <v>28.735940537775196</v>
      </c>
      <c r="M159" s="44">
        <f>M163/('Demand Breakdown - Ethylene'!$K$14)</f>
        <v>29.220295411232371</v>
      </c>
      <c r="N159" s="44">
        <f>N163/('Demand Breakdown - Ethylene'!$K$14)</f>
        <v>29.711533437173951</v>
      </c>
      <c r="O159" s="44">
        <f>O163/('Demand Breakdown - Ethylene'!$K$14)</f>
        <v>29.662975599627863</v>
      </c>
      <c r="P159" s="44">
        <f>P163/('Demand Breakdown - Ethylene'!$K$14)</f>
        <v>29.609801007050859</v>
      </c>
      <c r="Q159" s="44">
        <f>Q163/('Demand Breakdown - Ethylene'!$K$14)</f>
        <v>29.550144721907227</v>
      </c>
      <c r="R159" s="44">
        <f>R163/('Demand Breakdown - Ethylene'!$K$14)</f>
        <v>29.483987158217598</v>
      </c>
      <c r="S159" s="44">
        <f>S163/('Demand Breakdown - Ethylene'!$K$14)</f>
        <v>29.394232734291315</v>
      </c>
      <c r="T159" s="44">
        <f>T163/('Demand Breakdown - Ethylene'!$K$14)</f>
        <v>29.244342356582219</v>
      </c>
      <c r="U159" s="44">
        <f>U163/('Demand Breakdown - Ethylene'!$K$14)</f>
        <v>29.071040116101003</v>
      </c>
      <c r="V159" s="44">
        <f>V163/('Demand Breakdown - Ethylene'!$K$14)</f>
        <v>28.885985783793544</v>
      </c>
      <c r="W159" s="44">
        <f>W163/('Demand Breakdown - Ethylene'!$K$14)</f>
        <v>28.701850778915333</v>
      </c>
      <c r="X159" s="44">
        <f>X163/('Demand Breakdown - Ethylene'!$K$14)</f>
        <v>28.529008783690735</v>
      </c>
      <c r="Y159" s="44">
        <f>Y163/('Demand Breakdown - Ethylene'!$K$14)</f>
        <v>28.048639660326685</v>
      </c>
      <c r="Z159" s="44">
        <f>Z163/('Demand Breakdown - Ethylene'!$K$14)</f>
        <v>27.579165541851882</v>
      </c>
      <c r="AA159" s="44">
        <f>AA163/('Demand Breakdown - Ethylene'!$K$14)</f>
        <v>27.119966125843728</v>
      </c>
      <c r="AB159" s="44">
        <f>AB163/('Demand Breakdown - Ethylene'!$K$14)</f>
        <v>26.666084619074809</v>
      </c>
      <c r="AC159" s="44">
        <f>AC163/('Demand Breakdown - Ethylene'!$K$14)</f>
        <v>26.207754088678794</v>
      </c>
      <c r="AD159" s="44">
        <f>AD163/('Demand Breakdown - Ethylene'!$K$14)</f>
        <v>25.707761433191326</v>
      </c>
      <c r="AE159" s="44">
        <f>AE163/('Demand Breakdown - Ethylene'!$K$14)</f>
        <v>25.168794512731758</v>
      </c>
      <c r="AF159" s="44">
        <f>AF163/('Demand Breakdown - Ethylene'!$K$14)</f>
        <v>24.570396247307578</v>
      </c>
      <c r="AG159" s="44">
        <f>AG163/('Demand Breakdown - Ethylene'!$K$14)</f>
        <v>23.897006344126634</v>
      </c>
      <c r="AH159" s="44">
        <f>AH163/('Demand Breakdown - Ethylene'!$K$14)</f>
        <v>23.146030403365103</v>
      </c>
      <c r="AI159" s="44"/>
    </row>
    <row r="160" spans="1:35">
      <c r="A160" s="756"/>
      <c r="B160" s="1" t="s">
        <v>262</v>
      </c>
      <c r="C160" s="54" t="s">
        <v>153</v>
      </c>
      <c r="D160" s="44">
        <f>D162/('Demand Breakdown - Ethylene'!$M$14)</f>
        <v>19.523069011740578</v>
      </c>
      <c r="E160" s="44" t="e">
        <f>E162/('Demand Breakdown - Ethylene'!$M$14)</f>
        <v>#DIV/0!</v>
      </c>
      <c r="F160" s="44" t="e">
        <f>F162/('Demand Breakdown - Ethylene'!$M$14)</f>
        <v>#DIV/0!</v>
      </c>
      <c r="G160" s="44" t="e">
        <f>G162/('Demand Breakdown - Ethylene'!$M$14)</f>
        <v>#DIV/0!</v>
      </c>
      <c r="H160" s="44" t="e">
        <f>H162/('Demand Breakdown - Ethylene'!$M$14)</f>
        <v>#DIV/0!</v>
      </c>
      <c r="I160" s="44" t="e">
        <f>I162/('Demand Breakdown - Ethylene'!$M$14)</f>
        <v>#DIV/0!</v>
      </c>
      <c r="J160" s="44" t="e">
        <f>J162/('Demand Breakdown - Ethylene'!$M$14)</f>
        <v>#DIV/0!</v>
      </c>
      <c r="K160" s="44" t="e">
        <f>K162/('Demand Breakdown - Ethylene'!$M$14)</f>
        <v>#DIV/0!</v>
      </c>
      <c r="L160" s="44" t="e">
        <f>L162/('Demand Breakdown - Ethylene'!$M$14)</f>
        <v>#DIV/0!</v>
      </c>
      <c r="M160" s="44" t="e">
        <f>M162/('Demand Breakdown - Ethylene'!$M$14)</f>
        <v>#DIV/0!</v>
      </c>
      <c r="N160" s="44" t="e">
        <f>N162/('Demand Breakdown - Ethylene'!$M$14)</f>
        <v>#DIV/0!</v>
      </c>
      <c r="O160" s="44" t="e">
        <f>O162/('Demand Breakdown - Ethylene'!$M$14)</f>
        <v>#DIV/0!</v>
      </c>
      <c r="P160" s="44" t="e">
        <f>P162/('Demand Breakdown - Ethylene'!$M$14)</f>
        <v>#DIV/0!</v>
      </c>
      <c r="Q160" s="44" t="e">
        <f>Q162/('Demand Breakdown - Ethylene'!$M$14)</f>
        <v>#DIV/0!</v>
      </c>
      <c r="R160" s="44" t="e">
        <f>R162/('Demand Breakdown - Ethylene'!$M$14)</f>
        <v>#DIV/0!</v>
      </c>
      <c r="S160" s="44" t="e">
        <f>S162/('Demand Breakdown - Ethylene'!$M$14)</f>
        <v>#DIV/0!</v>
      </c>
      <c r="T160" s="44" t="e">
        <f>T162/('Demand Breakdown - Ethylene'!$M$14)</f>
        <v>#DIV/0!</v>
      </c>
      <c r="U160" s="44" t="e">
        <f>U162/('Demand Breakdown - Ethylene'!$M$14)</f>
        <v>#DIV/0!</v>
      </c>
      <c r="V160" s="44" t="e">
        <f>V162/('Demand Breakdown - Ethylene'!$M$14)</f>
        <v>#DIV/0!</v>
      </c>
      <c r="W160" s="44" t="e">
        <f>W162/('Demand Breakdown - Ethylene'!$M$14)</f>
        <v>#DIV/0!</v>
      </c>
      <c r="X160" s="44" t="e">
        <f>X162/('Demand Breakdown - Ethylene'!$M$14)</f>
        <v>#DIV/0!</v>
      </c>
      <c r="Y160" s="44" t="e">
        <f>Y162/('Demand Breakdown - Ethylene'!$M$14)</f>
        <v>#DIV/0!</v>
      </c>
      <c r="Z160" s="44" t="e">
        <f>Z162/('Demand Breakdown - Ethylene'!$M$14)</f>
        <v>#DIV/0!</v>
      </c>
      <c r="AA160" s="44" t="e">
        <f>AA162/('Demand Breakdown - Ethylene'!$M$14)</f>
        <v>#DIV/0!</v>
      </c>
      <c r="AB160" s="44" t="e">
        <f>AB162/('Demand Breakdown - Ethylene'!$M$14)</f>
        <v>#DIV/0!</v>
      </c>
      <c r="AC160" s="44" t="e">
        <f>AC162/('Demand Breakdown - Ethylene'!$M$14)</f>
        <v>#DIV/0!</v>
      </c>
      <c r="AD160" s="44" t="e">
        <f>AD162/('Demand Breakdown - Ethylene'!$M$14)</f>
        <v>#DIV/0!</v>
      </c>
      <c r="AE160" s="44" t="e">
        <f>AE162/('Demand Breakdown - Ethylene'!$M$14)</f>
        <v>#DIV/0!</v>
      </c>
      <c r="AF160" s="44" t="e">
        <f>AF162/('Demand Breakdown - Ethylene'!$M$14)</f>
        <v>#DIV/0!</v>
      </c>
      <c r="AG160" s="44" t="e">
        <f>AG162/('Demand Breakdown - Ethylene'!$M$14)</f>
        <v>#DIV/0!</v>
      </c>
      <c r="AH160" s="44" t="e">
        <f>AH162/('Demand Breakdown - Ethylene'!$M$14)</f>
        <v>#DIV/0!</v>
      </c>
      <c r="AI160" s="44"/>
    </row>
    <row r="161" spans="1:46">
      <c r="A161" s="757"/>
      <c r="B161" s="1" t="s">
        <v>248</v>
      </c>
      <c r="C161" s="54" t="s">
        <v>153</v>
      </c>
      <c r="D161" s="44">
        <f>D157-D160-D159-D158</f>
        <v>18.96782841696367</v>
      </c>
      <c r="E161" s="44" t="e">
        <f t="shared" ref="E161:AH161" si="56">E157-E160-E159-E158</f>
        <v>#DIV/0!</v>
      </c>
      <c r="F161" s="44" t="e">
        <f t="shared" si="56"/>
        <v>#DIV/0!</v>
      </c>
      <c r="G161" s="44" t="e">
        <f t="shared" si="56"/>
        <v>#DIV/0!</v>
      </c>
      <c r="H161" s="44" t="e">
        <f t="shared" si="56"/>
        <v>#DIV/0!</v>
      </c>
      <c r="I161" s="44" t="e">
        <f t="shared" si="56"/>
        <v>#DIV/0!</v>
      </c>
      <c r="J161" s="44" t="e">
        <f t="shared" si="56"/>
        <v>#DIV/0!</v>
      </c>
      <c r="K161" s="44" t="e">
        <f t="shared" si="56"/>
        <v>#DIV/0!</v>
      </c>
      <c r="L161" s="44" t="e">
        <f t="shared" si="56"/>
        <v>#DIV/0!</v>
      </c>
      <c r="M161" s="44" t="e">
        <f t="shared" si="56"/>
        <v>#DIV/0!</v>
      </c>
      <c r="N161" s="44" t="e">
        <f t="shared" si="56"/>
        <v>#DIV/0!</v>
      </c>
      <c r="O161" s="44" t="e">
        <f t="shared" si="56"/>
        <v>#DIV/0!</v>
      </c>
      <c r="P161" s="44" t="e">
        <f t="shared" si="56"/>
        <v>#DIV/0!</v>
      </c>
      <c r="Q161" s="44" t="e">
        <f t="shared" si="56"/>
        <v>#DIV/0!</v>
      </c>
      <c r="R161" s="44" t="e">
        <f t="shared" si="56"/>
        <v>#DIV/0!</v>
      </c>
      <c r="S161" s="44" t="e">
        <f t="shared" si="56"/>
        <v>#DIV/0!</v>
      </c>
      <c r="T161" s="44" t="e">
        <f t="shared" si="56"/>
        <v>#DIV/0!</v>
      </c>
      <c r="U161" s="44" t="e">
        <f t="shared" si="56"/>
        <v>#DIV/0!</v>
      </c>
      <c r="V161" s="44" t="e">
        <f t="shared" si="56"/>
        <v>#DIV/0!</v>
      </c>
      <c r="W161" s="44" t="e">
        <f t="shared" si="56"/>
        <v>#DIV/0!</v>
      </c>
      <c r="X161" s="44" t="e">
        <f t="shared" si="56"/>
        <v>#DIV/0!</v>
      </c>
      <c r="Y161" s="44" t="e">
        <f t="shared" si="56"/>
        <v>#DIV/0!</v>
      </c>
      <c r="Z161" s="44" t="e">
        <f t="shared" si="56"/>
        <v>#DIV/0!</v>
      </c>
      <c r="AA161" s="44" t="e">
        <f t="shared" si="56"/>
        <v>#DIV/0!</v>
      </c>
      <c r="AB161" s="44" t="e">
        <f t="shared" si="56"/>
        <v>#DIV/0!</v>
      </c>
      <c r="AC161" s="44" t="e">
        <f t="shared" si="56"/>
        <v>#DIV/0!</v>
      </c>
      <c r="AD161" s="44" t="e">
        <f t="shared" si="56"/>
        <v>#DIV/0!</v>
      </c>
      <c r="AE161" s="44" t="e">
        <f t="shared" si="56"/>
        <v>#DIV/0!</v>
      </c>
      <c r="AF161" s="44" t="e">
        <f t="shared" si="56"/>
        <v>#DIV/0!</v>
      </c>
      <c r="AG161" s="44" t="e">
        <f t="shared" si="56"/>
        <v>#DIV/0!</v>
      </c>
      <c r="AH161" s="44" t="e">
        <f t="shared" si="56"/>
        <v>#DIV/0!</v>
      </c>
      <c r="AI161" s="44"/>
    </row>
    <row r="162" spans="1:46" s="67" customFormat="1">
      <c r="A162" s="758" t="s">
        <v>263</v>
      </c>
      <c r="B162" s="58" t="s">
        <v>264</v>
      </c>
      <c r="C162" s="59" t="s">
        <v>153</v>
      </c>
      <c r="D162" s="60">
        <f>D153-D156*D151/D148</f>
        <v>18.742146251270952</v>
      </c>
      <c r="E162" s="60" t="e">
        <f t="shared" ref="E162:AH162" si="57">E153-E156*E151/E148</f>
        <v>#DIV/0!</v>
      </c>
      <c r="F162" s="60" t="e">
        <f t="shared" si="57"/>
        <v>#DIV/0!</v>
      </c>
      <c r="G162" s="60" t="e">
        <f t="shared" si="57"/>
        <v>#DIV/0!</v>
      </c>
      <c r="H162" s="60" t="e">
        <f t="shared" si="57"/>
        <v>#DIV/0!</v>
      </c>
      <c r="I162" s="60" t="e">
        <f t="shared" si="57"/>
        <v>#DIV/0!</v>
      </c>
      <c r="J162" s="60" t="e">
        <f t="shared" si="57"/>
        <v>#DIV/0!</v>
      </c>
      <c r="K162" s="60" t="e">
        <f t="shared" si="57"/>
        <v>#DIV/0!</v>
      </c>
      <c r="L162" s="60" t="e">
        <f t="shared" si="57"/>
        <v>#DIV/0!</v>
      </c>
      <c r="M162" s="60" t="e">
        <f t="shared" si="57"/>
        <v>#DIV/0!</v>
      </c>
      <c r="N162" s="60" t="e">
        <f t="shared" si="57"/>
        <v>#DIV/0!</v>
      </c>
      <c r="O162" s="60" t="e">
        <f t="shared" si="57"/>
        <v>#DIV/0!</v>
      </c>
      <c r="P162" s="60" t="e">
        <f t="shared" si="57"/>
        <v>#DIV/0!</v>
      </c>
      <c r="Q162" s="60" t="e">
        <f t="shared" si="57"/>
        <v>#DIV/0!</v>
      </c>
      <c r="R162" s="60" t="e">
        <f t="shared" si="57"/>
        <v>#DIV/0!</v>
      </c>
      <c r="S162" s="60" t="e">
        <f t="shared" si="57"/>
        <v>#DIV/0!</v>
      </c>
      <c r="T162" s="60" t="e">
        <f t="shared" si="57"/>
        <v>#DIV/0!</v>
      </c>
      <c r="U162" s="60" t="e">
        <f t="shared" si="57"/>
        <v>#DIV/0!</v>
      </c>
      <c r="V162" s="60" t="e">
        <f t="shared" si="57"/>
        <v>#DIV/0!</v>
      </c>
      <c r="W162" s="60" t="e">
        <f t="shared" si="57"/>
        <v>#DIV/0!</v>
      </c>
      <c r="X162" s="60" t="e">
        <f t="shared" si="57"/>
        <v>#DIV/0!</v>
      </c>
      <c r="Y162" s="60" t="e">
        <f t="shared" si="57"/>
        <v>#DIV/0!</v>
      </c>
      <c r="Z162" s="60" t="e">
        <f t="shared" si="57"/>
        <v>#DIV/0!</v>
      </c>
      <c r="AA162" s="60" t="e">
        <f t="shared" si="57"/>
        <v>#DIV/0!</v>
      </c>
      <c r="AB162" s="60" t="e">
        <f t="shared" si="57"/>
        <v>#DIV/0!</v>
      </c>
      <c r="AC162" s="60" t="e">
        <f t="shared" si="57"/>
        <v>#DIV/0!</v>
      </c>
      <c r="AD162" s="60" t="e">
        <f t="shared" si="57"/>
        <v>#DIV/0!</v>
      </c>
      <c r="AE162" s="60" t="e">
        <f t="shared" si="57"/>
        <v>#DIV/0!</v>
      </c>
      <c r="AF162" s="60" t="e">
        <f t="shared" si="57"/>
        <v>#DIV/0!</v>
      </c>
      <c r="AG162" s="60" t="e">
        <f t="shared" si="57"/>
        <v>#DIV/0!</v>
      </c>
      <c r="AH162" s="60" t="e">
        <f t="shared" si="57"/>
        <v>#DIV/0!</v>
      </c>
      <c r="AI162" s="60"/>
    </row>
    <row r="163" spans="1:46" s="68" customFormat="1">
      <c r="A163" s="759"/>
      <c r="B163" s="62" t="s">
        <v>266</v>
      </c>
      <c r="C163" s="283" t="s">
        <v>153</v>
      </c>
      <c r="D163" s="284">
        <f>D154-D155-D156*D150/D148</f>
        <v>15.26051878202628</v>
      </c>
      <c r="E163" s="284">
        <f t="shared" ref="E163:AH163" si="58">E154-E155-E156*E150/E148</f>
        <v>15.563698466029194</v>
      </c>
      <c r="F163" s="284">
        <f t="shared" si="58"/>
        <v>16.040334866678926</v>
      </c>
      <c r="G163" s="284">
        <f t="shared" si="58"/>
        <v>16.806092471636571</v>
      </c>
      <c r="H163" s="284">
        <f t="shared" si="58"/>
        <v>16.400954435207741</v>
      </c>
      <c r="I163" s="284">
        <f t="shared" si="58"/>
        <v>16.720067276448862</v>
      </c>
      <c r="J163" s="284">
        <f t="shared" si="58"/>
        <v>16.996274957427641</v>
      </c>
      <c r="K163" s="284">
        <f t="shared" si="58"/>
        <v>17.279617560482944</v>
      </c>
      <c r="L163" s="284">
        <f t="shared" si="58"/>
        <v>17.569781718268789</v>
      </c>
      <c r="M163" s="284">
        <f t="shared" si="58"/>
        <v>17.865926867568334</v>
      </c>
      <c r="N163" s="284">
        <f t="shared" si="58"/>
        <v>18.166280526644183</v>
      </c>
      <c r="O163" s="284">
        <f t="shared" si="58"/>
        <v>18.13659120412925</v>
      </c>
      <c r="P163" s="284">
        <f t="shared" si="58"/>
        <v>18.104079096745547</v>
      </c>
      <c r="Q163" s="284">
        <f t="shared" si="58"/>
        <v>18.067603940948278</v>
      </c>
      <c r="R163" s="284">
        <f t="shared" si="58"/>
        <v>18.027153761441845</v>
      </c>
      <c r="S163" s="284">
        <f t="shared" si="58"/>
        <v>17.972275946165162</v>
      </c>
      <c r="T163" s="284">
        <f t="shared" si="58"/>
        <v>17.880629695207908</v>
      </c>
      <c r="U163" s="284">
        <f t="shared" si="58"/>
        <v>17.774668919971084</v>
      </c>
      <c r="V163" s="284">
        <f t="shared" si="58"/>
        <v>17.661522659093077</v>
      </c>
      <c r="W163" s="284">
        <f t="shared" si="58"/>
        <v>17.548938495085999</v>
      </c>
      <c r="X163" s="284">
        <f t="shared" si="58"/>
        <v>17.443259123852119</v>
      </c>
      <c r="Y163" s="284">
        <f t="shared" si="58"/>
        <v>17.149550949219464</v>
      </c>
      <c r="Z163" s="284">
        <f t="shared" si="58"/>
        <v>16.862504218553532</v>
      </c>
      <c r="AA163" s="284">
        <f t="shared" si="58"/>
        <v>16.581739665404008</v>
      </c>
      <c r="AB163" s="284">
        <f t="shared" si="58"/>
        <v>16.304226598121392</v>
      </c>
      <c r="AC163" s="284">
        <f t="shared" si="58"/>
        <v>16.023993300614027</v>
      </c>
      <c r="AD163" s="284">
        <f t="shared" si="58"/>
        <v>15.718286869808177</v>
      </c>
      <c r="AE163" s="284">
        <f t="shared" si="58"/>
        <v>15.388750722091213</v>
      </c>
      <c r="AF163" s="284">
        <f t="shared" si="58"/>
        <v>15.022876951915759</v>
      </c>
      <c r="AG163" s="284">
        <f t="shared" si="58"/>
        <v>14.611151656388287</v>
      </c>
      <c r="AH163" s="284">
        <f t="shared" si="58"/>
        <v>14.151988562787551</v>
      </c>
      <c r="AI163" s="284"/>
    </row>
    <row r="164" spans="1:46" s="426" customFormat="1">
      <c r="A164" s="425" t="str">
        <f>'Ethylene Recycling HC'!A320</f>
        <v>Waste available for pyrolysis</v>
      </c>
      <c r="C164" s="429" t="s">
        <v>153</v>
      </c>
      <c r="D164" s="430">
        <f>'Ethylene Recycling HC'!C320</f>
        <v>15.604910284817102</v>
      </c>
      <c r="E164" s="430">
        <f>'Ethylene Recycling HC'!D320</f>
        <v>16.278156511039725</v>
      </c>
      <c r="F164" s="430">
        <f>'Ethylene Recycling HC'!E320</f>
        <v>16.944029974984016</v>
      </c>
      <c r="G164" s="430">
        <f>'Ethylene Recycling HC'!F320</f>
        <v>17.59896872271101</v>
      </c>
      <c r="H164" s="430">
        <f>'Ethylene Recycling HC'!G320</f>
        <v>18.239220476659813</v>
      </c>
      <c r="I164" s="430">
        <f>'Ethylene Recycling HC'!H320</f>
        <v>18.860787818047594</v>
      </c>
      <c r="J164" s="430">
        <f>'Ethylene Recycling HC'!I320</f>
        <v>19.501286008636537</v>
      </c>
      <c r="K164" s="430">
        <f>'Ethylene Recycling HC'!J320</f>
        <v>20.159656967878021</v>
      </c>
      <c r="L164" s="430">
        <f>'Ethylene Recycling HC'!K320</f>
        <v>20.833667125726471</v>
      </c>
      <c r="M164" s="430">
        <f>'Ethylene Recycling HC'!L320</f>
        <v>21.519097876546837</v>
      </c>
      <c r="N164" s="430">
        <f>'Ethylene Recycling HC'!M320</f>
        <v>22.208286073913062</v>
      </c>
      <c r="O164" s="430">
        <f>'Ethylene Recycling HC'!N320</f>
        <v>21.634896335967884</v>
      </c>
      <c r="P164" s="430">
        <f>'Ethylene Recycling HC'!O320</f>
        <v>20.977676160642126</v>
      </c>
      <c r="Q164" s="430">
        <f>'Ethylene Recycling HC'!P320</f>
        <v>20.231570294638097</v>
      </c>
      <c r="R164" s="430">
        <f>'Ethylene Recycling HC'!Q320</f>
        <v>19.393944956272058</v>
      </c>
      <c r="S164" s="430">
        <f>'Ethylene Recycling HC'!R320</f>
        <v>19.581536431384684</v>
      </c>
      <c r="T164" s="430">
        <f>'Ethylene Recycling HC'!S320</f>
        <v>20.070757634882256</v>
      </c>
      <c r="U164" s="430">
        <f>'Ethylene Recycling HC'!T320</f>
        <v>20.457669613815746</v>
      </c>
      <c r="V164" s="430">
        <f>'Ethylene Recycling HC'!U320</f>
        <v>20.767841463469992</v>
      </c>
      <c r="W164" s="430">
        <f>'Ethylene Recycling HC'!V320</f>
        <v>21.028748523535782</v>
      </c>
      <c r="X164" s="430">
        <f>'Ethylene Recycling HC'!W320</f>
        <v>21.262513403726128</v>
      </c>
      <c r="Y164" s="430">
        <f>'Ethylene Recycling HC'!X320</f>
        <v>22.099503973778031</v>
      </c>
      <c r="Z164" s="430">
        <f>'Ethylene Recycling HC'!Y320</f>
        <v>22.881579944165285</v>
      </c>
      <c r="AA164" s="430">
        <f>'Ethylene Recycling HC'!Z320</f>
        <v>23.607792358212432</v>
      </c>
      <c r="AB164" s="430">
        <f>'Ethylene Recycling HC'!AA320</f>
        <v>24.265880159850369</v>
      </c>
      <c r="AC164" s="430">
        <f>'Ethylene Recycling HC'!AB320</f>
        <v>24.83480538697658</v>
      </c>
      <c r="AD164" s="430">
        <f>'Ethylene Recycling HC'!AC320</f>
        <v>25.28401939663107</v>
      </c>
      <c r="AE164" s="430">
        <f>'Ethylene Recycling HC'!AD320</f>
        <v>25.574820230774336</v>
      </c>
      <c r="AF164" s="430">
        <f>'Ethylene Recycling HC'!AE320</f>
        <v>25.667159155580226</v>
      </c>
      <c r="AG164" s="430">
        <f>'Ethylene Recycling HC'!AF320</f>
        <v>25.532470398757688</v>
      </c>
      <c r="AH164" s="430">
        <f>'Ethylene Recycling HC'!AG320</f>
        <v>25.169516162001333</v>
      </c>
      <c r="AI164" s="430"/>
    </row>
    <row r="165" spans="1:46" s="428" customFormat="1">
      <c r="A165" s="427" t="str">
        <f>'Ethylene Recycling HC'!A321</f>
        <v>Waste available for gasification (incl. pyrolysis)</v>
      </c>
      <c r="C165" s="431" t="s">
        <v>153</v>
      </c>
      <c r="D165" s="432">
        <f>'Ethylene Recycling HC'!C321</f>
        <v>102.7392408679392</v>
      </c>
      <c r="E165" s="432">
        <f>'Ethylene Recycling HC'!D321</f>
        <v>105.91190230097165</v>
      </c>
      <c r="F165" s="432">
        <f>'Ethylene Recycling HC'!E321</f>
        <v>108.90025287230021</v>
      </c>
      <c r="G165" s="432">
        <f>'Ethylene Recycling HC'!F321</f>
        <v>111.68355931915018</v>
      </c>
      <c r="H165" s="432">
        <f>'Ethylene Recycling HC'!G321</f>
        <v>114.24207255499783</v>
      </c>
      <c r="I165" s="432">
        <f>'Ethylene Recycling HC'!H321</f>
        <v>116.55717292743569</v>
      </c>
      <c r="J165" s="432">
        <f>'Ethylene Recycling HC'!I321</f>
        <v>118.86732986218787</v>
      </c>
      <c r="K165" s="432">
        <f>'Ethylene Recycling HC'!J321</f>
        <v>121.16912414380826</v>
      </c>
      <c r="L165" s="432">
        <f>'Ethylene Recycling HC'!K321</f>
        <v>123.45795521686892</v>
      </c>
      <c r="M165" s="432">
        <f>'Ethylene Recycling HC'!L321</f>
        <v>125.72723670773827</v>
      </c>
      <c r="N165" s="432">
        <f>'Ethylene Recycling HC'!M321</f>
        <v>127.9669421029688</v>
      </c>
      <c r="O165" s="432">
        <f>'Ethylene Recycling HC'!N321</f>
        <v>128.75489643889787</v>
      </c>
      <c r="P165" s="432">
        <f>'Ethylene Recycling HC'!O321</f>
        <v>129.26147654450037</v>
      </c>
      <c r="Q165" s="432">
        <f>'Ethylene Recycling HC'!P321</f>
        <v>129.47764182501697</v>
      </c>
      <c r="R165" s="432">
        <f>'Ethylene Recycling HC'!Q321</f>
        <v>129.39130120498515</v>
      </c>
      <c r="S165" s="432">
        <f>'Ethylene Recycling HC'!R321</f>
        <v>128.95862411189268</v>
      </c>
      <c r="T165" s="432">
        <f>'Ethylene Recycling HC'!S321</f>
        <v>128.41591322343655</v>
      </c>
      <c r="U165" s="432">
        <f>'Ethylene Recycling HC'!T321</f>
        <v>127.7909695051377</v>
      </c>
      <c r="V165" s="432">
        <f>'Ethylene Recycling HC'!U321</f>
        <v>127.10964919067901</v>
      </c>
      <c r="W165" s="432">
        <f>'Ethylene Recycling HC'!V321</f>
        <v>126.39970654770303</v>
      </c>
      <c r="X165" s="432">
        <f>'Ethylene Recycling HC'!W321</f>
        <v>125.68353461514977</v>
      </c>
      <c r="Y165" s="432">
        <f>'Ethylene Recycling HC'!X321</f>
        <v>123.14461221643695</v>
      </c>
      <c r="Z165" s="432">
        <f>'Ethylene Recycling HC'!Y321</f>
        <v>120.57770584966201</v>
      </c>
      <c r="AA165" s="432">
        <f>'Ethylene Recycling HC'!Z321</f>
        <v>117.9873815418745</v>
      </c>
      <c r="AB165" s="432">
        <f>'Ethylene Recycling HC'!AA321</f>
        <v>115.35682854894931</v>
      </c>
      <c r="AC165" s="432">
        <f>'Ethylene Recycling HC'!AB321</f>
        <v>112.66569415239424</v>
      </c>
      <c r="AD165" s="432">
        <f>'Ethylene Recycling HC'!AC321</f>
        <v>109.88490820861722</v>
      </c>
      <c r="AE165" s="432">
        <f>'Ethylene Recycling HC'!AD321</f>
        <v>106.97635065695854</v>
      </c>
      <c r="AF165" s="432">
        <f>'Ethylene Recycling HC'!AE321</f>
        <v>103.90054877828236</v>
      </c>
      <c r="AG165" s="432">
        <f>'Ethylene Recycling HC'!AF321</f>
        <v>100.62950654963464</v>
      </c>
      <c r="AH165" s="432">
        <f>'Ethylene Recycling HC'!AG321</f>
        <v>97.162549278173159</v>
      </c>
      <c r="AI165" s="432"/>
    </row>
    <row r="166" spans="1:46">
      <c r="A166" t="s">
        <v>277</v>
      </c>
      <c r="B166"/>
      <c r="C166" s="54"/>
      <c r="D166" s="44">
        <f t="shared" ref="D166:AH166" si="59">D4-D12-D26-D40-D50-D62</f>
        <v>0</v>
      </c>
      <c r="E166" s="44">
        <f t="shared" si="59"/>
        <v>0</v>
      </c>
      <c r="F166" s="44">
        <f t="shared" si="59"/>
        <v>0</v>
      </c>
      <c r="G166" s="44">
        <f t="shared" si="59"/>
        <v>0</v>
      </c>
      <c r="H166" s="44">
        <f t="shared" si="59"/>
        <v>0</v>
      </c>
      <c r="I166" s="44">
        <f t="shared" si="59"/>
        <v>0</v>
      </c>
      <c r="J166" s="44">
        <f t="shared" si="59"/>
        <v>0</v>
      </c>
      <c r="K166" s="44">
        <f t="shared" si="59"/>
        <v>0</v>
      </c>
      <c r="L166" s="44">
        <f t="shared" si="59"/>
        <v>0</v>
      </c>
      <c r="M166" s="44">
        <f t="shared" si="59"/>
        <v>0</v>
      </c>
      <c r="N166" s="44">
        <f t="shared" si="59"/>
        <v>0</v>
      </c>
      <c r="O166" s="44">
        <f t="shared" si="59"/>
        <v>0</v>
      </c>
      <c r="P166" s="44">
        <f t="shared" si="59"/>
        <v>0</v>
      </c>
      <c r="Q166" s="44">
        <f t="shared" si="59"/>
        <v>0</v>
      </c>
      <c r="R166" s="44">
        <f t="shared" si="59"/>
        <v>0</v>
      </c>
      <c r="S166" s="44">
        <f t="shared" si="59"/>
        <v>0</v>
      </c>
      <c r="T166" s="44">
        <f t="shared" si="59"/>
        <v>0</v>
      </c>
      <c r="U166" s="44">
        <f t="shared" si="59"/>
        <v>0</v>
      </c>
      <c r="V166" s="44">
        <f t="shared" si="59"/>
        <v>0</v>
      </c>
      <c r="W166" s="44">
        <f t="shared" si="59"/>
        <v>0</v>
      </c>
      <c r="X166" s="44">
        <f t="shared" si="59"/>
        <v>0</v>
      </c>
      <c r="Y166" s="44">
        <f t="shared" si="59"/>
        <v>0</v>
      </c>
      <c r="Z166" s="44">
        <f t="shared" si="59"/>
        <v>0</v>
      </c>
      <c r="AA166" s="44">
        <f t="shared" si="59"/>
        <v>0</v>
      </c>
      <c r="AB166" s="44">
        <f t="shared" si="59"/>
        <v>0</v>
      </c>
      <c r="AC166" s="44">
        <f t="shared" si="59"/>
        <v>0</v>
      </c>
      <c r="AD166" s="44">
        <f t="shared" si="59"/>
        <v>0</v>
      </c>
      <c r="AE166" s="44">
        <f t="shared" si="59"/>
        <v>0</v>
      </c>
      <c r="AF166" s="44">
        <f t="shared" si="59"/>
        <v>0</v>
      </c>
      <c r="AG166" s="44">
        <f t="shared" si="59"/>
        <v>0</v>
      </c>
      <c r="AH166" s="44">
        <f t="shared" si="59"/>
        <v>0</v>
      </c>
    </row>
    <row r="167" spans="1:46">
      <c r="A167" t="s">
        <v>278</v>
      </c>
      <c r="B167"/>
      <c r="C167" s="54"/>
      <c r="D167" s="44">
        <f t="shared" ref="D167:AH167" si="60">D84-D19-D33-D43-D55-D65-D74</f>
        <v>0</v>
      </c>
      <c r="E167" s="44">
        <f t="shared" si="60"/>
        <v>6.9944050551384862E-15</v>
      </c>
      <c r="F167" s="44">
        <f t="shared" si="60"/>
        <v>-4.5519144009631418E-15</v>
      </c>
      <c r="G167" s="44">
        <f t="shared" si="60"/>
        <v>-2.375877272697835E-14</v>
      </c>
      <c r="H167" s="44">
        <f t="shared" si="60"/>
        <v>1.9761969838327786E-14</v>
      </c>
      <c r="I167" s="44">
        <f t="shared" si="60"/>
        <v>-1.2878587085651816E-14</v>
      </c>
      <c r="J167" s="44">
        <f t="shared" si="60"/>
        <v>9.7699626167013776E-15</v>
      </c>
      <c r="K167" s="44">
        <f t="shared" si="60"/>
        <v>-4.6629367034256575E-15</v>
      </c>
      <c r="L167" s="44">
        <f t="shared" si="60"/>
        <v>0</v>
      </c>
      <c r="M167" s="44">
        <f t="shared" si="60"/>
        <v>1.4654943925052066E-14</v>
      </c>
      <c r="N167" s="44">
        <f t="shared" si="60"/>
        <v>7.9936057773011271E-15</v>
      </c>
      <c r="O167" s="44">
        <f t="shared" si="60"/>
        <v>1.3322676295501878E-14</v>
      </c>
      <c r="P167" s="44">
        <f t="shared" si="60"/>
        <v>-1.2434497875801753E-14</v>
      </c>
      <c r="Q167" s="44">
        <f t="shared" si="60"/>
        <v>-5.773159728050814E-15</v>
      </c>
      <c r="R167" s="44">
        <f t="shared" si="60"/>
        <v>-7.1054273576010019E-15</v>
      </c>
      <c r="S167" s="44">
        <f t="shared" si="60"/>
        <v>1.1546319456101628E-14</v>
      </c>
      <c r="T167" s="44">
        <f t="shared" si="60"/>
        <v>1.0658141036401503E-14</v>
      </c>
      <c r="U167" s="44">
        <f t="shared" si="60"/>
        <v>-1.3322676295501878E-14</v>
      </c>
      <c r="V167" s="44">
        <f t="shared" si="60"/>
        <v>1.0658141036401503E-14</v>
      </c>
      <c r="W167" s="44">
        <f t="shared" si="60"/>
        <v>1.0658141036401503E-14</v>
      </c>
      <c r="X167" s="44">
        <f t="shared" si="60"/>
        <v>0</v>
      </c>
      <c r="Y167" s="44">
        <f t="shared" si="60"/>
        <v>-1.5987211554602254E-14</v>
      </c>
      <c r="Z167" s="44">
        <f t="shared" si="60"/>
        <v>0</v>
      </c>
      <c r="AA167" s="44">
        <f t="shared" si="60"/>
        <v>-2.4868995751603507E-14</v>
      </c>
      <c r="AB167" s="44">
        <f t="shared" si="60"/>
        <v>0</v>
      </c>
      <c r="AC167" s="44">
        <f t="shared" si="60"/>
        <v>0</v>
      </c>
      <c r="AD167" s="44">
        <f t="shared" si="60"/>
        <v>0</v>
      </c>
      <c r="AE167" s="44">
        <f t="shared" si="60"/>
        <v>0</v>
      </c>
      <c r="AF167" s="44">
        <f t="shared" si="60"/>
        <v>3.5527136788005009E-14</v>
      </c>
      <c r="AG167" s="44">
        <f t="shared" si="60"/>
        <v>4.2632564145606011E-14</v>
      </c>
      <c r="AH167" s="44">
        <f t="shared" si="60"/>
        <v>0</v>
      </c>
    </row>
    <row r="168" spans="1:46">
      <c r="A168" t="s">
        <v>279</v>
      </c>
      <c r="B168"/>
      <c r="C168" s="54"/>
      <c r="D168" s="244">
        <f t="shared" ref="D168:AH168" si="61">D84-D92-D102-D112-D122-D134</f>
        <v>0</v>
      </c>
      <c r="E168" s="244">
        <f t="shared" si="61"/>
        <v>0</v>
      </c>
      <c r="F168" s="244">
        <f t="shared" si="61"/>
        <v>0</v>
      </c>
      <c r="G168" s="244">
        <f t="shared" si="61"/>
        <v>0</v>
      </c>
      <c r="H168" s="244">
        <f t="shared" si="61"/>
        <v>0</v>
      </c>
      <c r="I168" s="244">
        <f t="shared" si="61"/>
        <v>0</v>
      </c>
      <c r="J168" s="244">
        <f t="shared" si="61"/>
        <v>0</v>
      </c>
      <c r="K168" s="244">
        <f t="shared" si="61"/>
        <v>0</v>
      </c>
      <c r="L168" s="244">
        <f t="shared" si="61"/>
        <v>0</v>
      </c>
      <c r="M168" s="244">
        <f t="shared" si="61"/>
        <v>0</v>
      </c>
      <c r="N168" s="244">
        <f t="shared" si="61"/>
        <v>0</v>
      </c>
      <c r="O168" s="244">
        <f t="shared" si="61"/>
        <v>0</v>
      </c>
      <c r="P168" s="244">
        <f t="shared" si="61"/>
        <v>0</v>
      </c>
      <c r="Q168" s="244">
        <f t="shared" si="61"/>
        <v>0</v>
      </c>
      <c r="R168" s="244">
        <f t="shared" si="61"/>
        <v>0</v>
      </c>
      <c r="S168" s="244">
        <f t="shared" si="61"/>
        <v>0</v>
      </c>
      <c r="T168" s="244">
        <f t="shared" si="61"/>
        <v>0</v>
      </c>
      <c r="U168" s="244">
        <f t="shared" si="61"/>
        <v>0</v>
      </c>
      <c r="V168" s="244">
        <f t="shared" si="61"/>
        <v>0</v>
      </c>
      <c r="W168" s="244">
        <f t="shared" si="61"/>
        <v>0</v>
      </c>
      <c r="X168" s="244">
        <f t="shared" si="61"/>
        <v>0</v>
      </c>
      <c r="Y168" s="244">
        <f t="shared" si="61"/>
        <v>0</v>
      </c>
      <c r="Z168" s="244">
        <f t="shared" si="61"/>
        <v>0</v>
      </c>
      <c r="AA168" s="244">
        <f t="shared" si="61"/>
        <v>0</v>
      </c>
      <c r="AB168" s="244">
        <f t="shared" si="61"/>
        <v>0</v>
      </c>
      <c r="AC168" s="244">
        <f t="shared" si="61"/>
        <v>0</v>
      </c>
      <c r="AD168" s="244">
        <f t="shared" si="61"/>
        <v>0</v>
      </c>
      <c r="AE168" s="244">
        <f t="shared" si="61"/>
        <v>0</v>
      </c>
      <c r="AF168" s="244">
        <f t="shared" si="61"/>
        <v>0</v>
      </c>
      <c r="AG168" s="244">
        <f t="shared" si="61"/>
        <v>0</v>
      </c>
      <c r="AH168" s="244">
        <f t="shared" si="61"/>
        <v>0</v>
      </c>
    </row>
    <row r="169" spans="1:46">
      <c r="A169" t="s">
        <v>280</v>
      </c>
      <c r="B169"/>
      <c r="C169" s="54"/>
      <c r="D169" s="244">
        <f t="shared" ref="D169:AH169" si="62">D95+D105+D115+D127+D139-D148</f>
        <v>0</v>
      </c>
      <c r="E169" s="244">
        <f t="shared" si="62"/>
        <v>0</v>
      </c>
      <c r="F169" s="244">
        <f t="shared" si="62"/>
        <v>0</v>
      </c>
      <c r="G169" s="244">
        <f t="shared" si="62"/>
        <v>0</v>
      </c>
      <c r="H169" s="244">
        <f t="shared" si="62"/>
        <v>0</v>
      </c>
      <c r="I169" s="244">
        <f t="shared" si="62"/>
        <v>0</v>
      </c>
      <c r="J169" s="244">
        <f t="shared" si="62"/>
        <v>0</v>
      </c>
      <c r="K169" s="244">
        <f t="shared" si="62"/>
        <v>0</v>
      </c>
      <c r="L169" s="244">
        <f t="shared" si="62"/>
        <v>0</v>
      </c>
      <c r="M169" s="244">
        <f t="shared" si="62"/>
        <v>0</v>
      </c>
      <c r="N169" s="244">
        <f t="shared" si="62"/>
        <v>0</v>
      </c>
      <c r="O169" s="244">
        <f t="shared" si="62"/>
        <v>0</v>
      </c>
      <c r="P169" s="244">
        <f t="shared" si="62"/>
        <v>0</v>
      </c>
      <c r="Q169" s="244">
        <f t="shared" si="62"/>
        <v>0</v>
      </c>
      <c r="R169" s="244">
        <f t="shared" si="62"/>
        <v>0</v>
      </c>
      <c r="S169" s="244">
        <f t="shared" si="62"/>
        <v>0</v>
      </c>
      <c r="T169" s="244">
        <f t="shared" si="62"/>
        <v>0</v>
      </c>
      <c r="U169" s="244">
        <f t="shared" si="62"/>
        <v>0</v>
      </c>
      <c r="V169" s="244">
        <f t="shared" si="62"/>
        <v>0</v>
      </c>
      <c r="W169" s="244">
        <f t="shared" si="62"/>
        <v>0</v>
      </c>
      <c r="X169" s="244">
        <f t="shared" si="62"/>
        <v>0</v>
      </c>
      <c r="Y169" s="244">
        <f t="shared" si="62"/>
        <v>0</v>
      </c>
      <c r="Z169" s="244">
        <f t="shared" si="62"/>
        <v>0</v>
      </c>
      <c r="AA169" s="244">
        <f t="shared" si="62"/>
        <v>0</v>
      </c>
      <c r="AB169" s="244">
        <f t="shared" si="62"/>
        <v>0</v>
      </c>
      <c r="AC169" s="244">
        <f t="shared" si="62"/>
        <v>0</v>
      </c>
      <c r="AD169" s="244">
        <f t="shared" si="62"/>
        <v>0</v>
      </c>
      <c r="AE169" s="244">
        <f t="shared" si="62"/>
        <v>0</v>
      </c>
      <c r="AF169" s="244">
        <f t="shared" si="62"/>
        <v>0</v>
      </c>
      <c r="AG169" s="244">
        <f t="shared" si="62"/>
        <v>0</v>
      </c>
      <c r="AH169" s="244">
        <f t="shared" si="62"/>
        <v>0</v>
      </c>
    </row>
    <row r="170" spans="1:46" ht="16" thickBot="1">
      <c r="C170" s="65"/>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279"/>
    </row>
    <row r="171" spans="1:46" ht="54" customHeight="1" thickBot="1">
      <c r="A171" s="250" t="s">
        <v>281</v>
      </c>
      <c r="B171" s="185">
        <v>2020</v>
      </c>
      <c r="C171" s="186" t="s">
        <v>282</v>
      </c>
      <c r="D171" s="186" t="s">
        <v>282</v>
      </c>
      <c r="E171" s="186" t="s">
        <v>283</v>
      </c>
      <c r="F171" s="186" t="s">
        <v>284</v>
      </c>
      <c r="G171" s="186" t="s">
        <v>285</v>
      </c>
      <c r="H171" s="186" t="s">
        <v>286</v>
      </c>
      <c r="I171" s="186" t="s">
        <v>287</v>
      </c>
      <c r="J171" s="186" t="s">
        <v>288</v>
      </c>
      <c r="K171" s="186" t="s">
        <v>289</v>
      </c>
      <c r="L171" s="186" t="s">
        <v>290</v>
      </c>
      <c r="M171" s="186" t="s">
        <v>291</v>
      </c>
      <c r="N171" s="186" t="s">
        <v>292</v>
      </c>
      <c r="O171" s="186" t="s">
        <v>293</v>
      </c>
      <c r="P171" s="186" t="s">
        <v>294</v>
      </c>
      <c r="Q171" s="186" t="s">
        <v>295</v>
      </c>
      <c r="R171" s="186" t="s">
        <v>296</v>
      </c>
      <c r="S171" s="186" t="s">
        <v>297</v>
      </c>
      <c r="T171" s="186" t="s">
        <v>298</v>
      </c>
      <c r="U171" s="186" t="s">
        <v>299</v>
      </c>
      <c r="V171" s="186" t="s">
        <v>300</v>
      </c>
      <c r="W171" s="186" t="s">
        <v>301</v>
      </c>
      <c r="X171" s="186" t="s">
        <v>292</v>
      </c>
      <c r="AJ171" s="138" t="s">
        <v>302</v>
      </c>
      <c r="AK171" s="139" t="s">
        <v>1</v>
      </c>
      <c r="AL171" s="139" t="s">
        <v>180</v>
      </c>
      <c r="AM171" s="139" t="s">
        <v>181</v>
      </c>
      <c r="AN171" s="139" t="s">
        <v>303</v>
      </c>
      <c r="AO171" s="139" t="s">
        <v>304</v>
      </c>
      <c r="AP171" s="139" t="s">
        <v>305</v>
      </c>
      <c r="AQ171" s="139" t="s">
        <v>306</v>
      </c>
      <c r="AR171" s="139" t="s">
        <v>307</v>
      </c>
      <c r="AS171" s="139" t="s">
        <v>163</v>
      </c>
      <c r="AT171" s="139" t="s">
        <v>308</v>
      </c>
    </row>
    <row r="172" spans="1:46">
      <c r="A172" t="s">
        <v>309</v>
      </c>
      <c r="B172" s="183">
        <f>'Demand Breakdown - Ethylene'!J63</f>
        <v>0.43683153193696267</v>
      </c>
      <c r="C172" s="184">
        <f>D172/$D$180</f>
        <v>0.3850342995799213</v>
      </c>
      <c r="D172" s="249">
        <f>AH33*B172/(B172+B176)</f>
        <v>107.84987571339572</v>
      </c>
      <c r="N172" s="194">
        <f>X172/$X$180</f>
        <v>0.43102908642645021</v>
      </c>
      <c r="X172" s="44">
        <f>AH95*B172/(B172+B176)</f>
        <v>79.534305777924743</v>
      </c>
      <c r="AJ172" s="30" t="s">
        <v>67</v>
      </c>
      <c r="AK172" s="140">
        <f>D4</f>
        <v>162.69230769230768</v>
      </c>
      <c r="AM172" s="140">
        <f>AH4</f>
        <v>255</v>
      </c>
      <c r="AN172" s="140"/>
      <c r="AO172" s="140"/>
      <c r="AP172" s="140"/>
      <c r="AQ172" s="140"/>
      <c r="AS172" s="137"/>
      <c r="AT172" s="140">
        <f>AH84</f>
        <v>280.10459284033055</v>
      </c>
    </row>
    <row r="173" spans="1:46">
      <c r="A173" t="s">
        <v>310</v>
      </c>
      <c r="B173" s="183">
        <f>'Demand Breakdown - Ethylene'!J64</f>
        <v>0.21433790117776957</v>
      </c>
      <c r="C173" s="184">
        <f t="shared" ref="C173:C179" si="63">D173/$D$180</f>
        <v>0.20643073119001065</v>
      </c>
      <c r="D173" s="249">
        <f>AH43</f>
        <v>57.822195909709656</v>
      </c>
      <c r="N173" s="194">
        <f t="shared" ref="N173:N178" si="64">X173/$X$180</f>
        <v>0.11348945834654976</v>
      </c>
      <c r="X173" s="44">
        <f>IF(AH127&lt;0,0,AH127)</f>
        <v>20.941290430166294</v>
      </c>
      <c r="AJ173" s="30" t="s">
        <v>168</v>
      </c>
      <c r="AN173" s="44">
        <f>-AH29</f>
        <v>0</v>
      </c>
      <c r="AO173" s="43">
        <f>-AH41</f>
        <v>0</v>
      </c>
      <c r="AP173" s="44">
        <f>-AH17</f>
        <v>0</v>
      </c>
      <c r="AQ173" s="44">
        <f>-AH53</f>
        <v>0</v>
      </c>
      <c r="AR173" s="43">
        <f>-AH63</f>
        <v>0</v>
      </c>
    </row>
    <row r="174" spans="1:46">
      <c r="A174" t="s">
        <v>311</v>
      </c>
      <c r="B174" s="183">
        <f>'Demand Breakdown - Ethylene'!J65</f>
        <v>5.2109631277813095E-2</v>
      </c>
      <c r="C174" s="184">
        <f t="shared" si="63"/>
        <v>5.5205972207308995E-2</v>
      </c>
      <c r="D174" s="249">
        <f>AH19</f>
        <v>15.463446367482891</v>
      </c>
      <c r="N174" s="194">
        <f t="shared" si="64"/>
        <v>4.4100960542172371E-2</v>
      </c>
      <c r="X174" s="44">
        <f>AH105</f>
        <v>8.137593010117774</v>
      </c>
      <c r="AJ174" s="30" t="s">
        <v>172</v>
      </c>
      <c r="AN174" s="44">
        <f>-AH32</f>
        <v>0</v>
      </c>
      <c r="AO174" s="43">
        <f>-AH42</f>
        <v>0</v>
      </c>
      <c r="AP174">
        <f>-AH18</f>
        <v>0</v>
      </c>
      <c r="AQ174" s="43">
        <f>-AH54</f>
        <v>0</v>
      </c>
      <c r="AR174" s="43">
        <f>-AH64</f>
        <v>0</v>
      </c>
    </row>
    <row r="175" spans="1:46">
      <c r="A175" t="s">
        <v>312</v>
      </c>
      <c r="B175" s="183">
        <f>'Demand Breakdown - Ethylene'!J66</f>
        <v>3.6272535773636247E-2</v>
      </c>
      <c r="C175" s="184">
        <f t="shared" si="63"/>
        <v>3.261458640407873E-2</v>
      </c>
      <c r="D175" s="249">
        <f>AH65*B175/(B175+B177)</f>
        <v>9.1354954453702533</v>
      </c>
      <c r="N175" s="194">
        <f t="shared" si="64"/>
        <v>3.9392157981015009E-2</v>
      </c>
      <c r="X175" s="44">
        <f>AH139*C175/(C175+C177+C179)</f>
        <v>7.2687158170449333</v>
      </c>
      <c r="AJ175" s="30" t="s">
        <v>175</v>
      </c>
      <c r="AL175" s="140">
        <f>AH4-D4</f>
        <v>92.307692307692321</v>
      </c>
      <c r="AS175" s="44">
        <f>AH74</f>
        <v>23.698824988741201</v>
      </c>
    </row>
    <row r="176" spans="1:46">
      <c r="A176" t="s">
        <v>313</v>
      </c>
      <c r="B176" s="183">
        <f>'Demand Breakdown - Ethylene'!J67</f>
        <v>0.11088911611514482</v>
      </c>
      <c r="C176" s="184">
        <f t="shared" si="63"/>
        <v>9.7740456063489148E-2</v>
      </c>
      <c r="D176" s="249">
        <f>AH33*B176/(B172+B176)</f>
        <v>27.377550649691845</v>
      </c>
      <c r="N176" s="194">
        <f t="shared" si="64"/>
        <v>0.10941617287060847</v>
      </c>
      <c r="X176" s="44">
        <f>AH95*B176/(B172+B176)</f>
        <v>20.1896800568381</v>
      </c>
    </row>
    <row r="177" spans="1:45" ht="48">
      <c r="A177" t="s">
        <v>248</v>
      </c>
      <c r="B177" s="183">
        <f>'Demand Breakdown - Ethylene'!J68</f>
        <v>0.12845428371867368</v>
      </c>
      <c r="C177" s="184">
        <f t="shared" si="63"/>
        <v>0.11550015034685672</v>
      </c>
      <c r="D177" s="249">
        <f>AH65*B177/(B175+B177)</f>
        <v>32.352122585903267</v>
      </c>
      <c r="N177" s="194">
        <f t="shared" si="64"/>
        <v>0.13950200419298817</v>
      </c>
      <c r="X177" s="44">
        <f>AH139*C177/(C175+C177+C179)</f>
        <v>25.741174801231697</v>
      </c>
      <c r="AJ177" s="260" t="s">
        <v>314</v>
      </c>
      <c r="AK177" s="136" t="s">
        <v>1</v>
      </c>
      <c r="AL177" s="136" t="s">
        <v>180</v>
      </c>
      <c r="AM177" s="136" t="s">
        <v>181</v>
      </c>
      <c r="AN177" s="136" t="s">
        <v>25</v>
      </c>
      <c r="AO177" s="136" t="s">
        <v>315</v>
      </c>
      <c r="AP177" s="136" t="s">
        <v>316</v>
      </c>
      <c r="AQ177" s="136" t="s">
        <v>317</v>
      </c>
      <c r="AR177" s="136" t="s">
        <v>318</v>
      </c>
      <c r="AS177" s="263" t="s">
        <v>319</v>
      </c>
    </row>
    <row r="178" spans="1:45">
      <c r="A178" s="131" t="s">
        <v>320</v>
      </c>
      <c r="B178" s="183">
        <f>'Demand Breakdown - Ethylene'!J69</f>
        <v>2.1105000000000002E-2</v>
      </c>
      <c r="C178" s="184">
        <f t="shared" si="63"/>
        <v>2.2866748149634325E-2</v>
      </c>
      <c r="D178" s="249">
        <f>AH55</f>
        <v>6.4050811800357046</v>
      </c>
      <c r="N178" s="194">
        <f t="shared" si="64"/>
        <v>2.0881081499519439E-2</v>
      </c>
      <c r="X178" s="44">
        <f>AH115</f>
        <v>3.8530168224272145</v>
      </c>
      <c r="AK178" s="143">
        <f>D26</f>
        <v>89.109936202323638</v>
      </c>
      <c r="AL178" s="143">
        <f>AH26-D26</f>
        <v>46.117490160763936</v>
      </c>
      <c r="AM178" s="143">
        <f>AH26</f>
        <v>135.22742636308757</v>
      </c>
      <c r="AN178" s="143">
        <f>-'Yearly LC Ethylene'!AH27</f>
        <v>0</v>
      </c>
      <c r="AO178" s="143">
        <f>-'Yearly LC Ethylene'!AH28</f>
        <v>0</v>
      </c>
      <c r="AP178" s="143">
        <f>SUM(AM178:AO179)</f>
        <v>135.22742636308757</v>
      </c>
      <c r="AQ178" s="262">
        <f>-'Yearly LC Ethylene'!AH30</f>
        <v>0</v>
      </c>
      <c r="AR178" s="262">
        <f>-'Yearly LC Ethylene'!AH31</f>
        <v>0</v>
      </c>
      <c r="AS178" s="44" t="s">
        <v>167</v>
      </c>
    </row>
    <row r="179" spans="1:45" ht="16" thickBot="1">
      <c r="A179" t="s">
        <v>321</v>
      </c>
      <c r="B179" s="183"/>
      <c r="C179" s="184">
        <f t="shared" si="63"/>
        <v>8.4607056058700059E-2</v>
      </c>
      <c r="D179" s="249">
        <f>AH74</f>
        <v>23.698824988741201</v>
      </c>
      <c r="N179" s="194">
        <f>X179/$X$180</f>
        <v>0.10218907814069671</v>
      </c>
      <c r="X179" s="44">
        <f>AH139*C179/(C175+C177+C179)</f>
        <v>18.85612280922782</v>
      </c>
      <c r="AN179" s="44">
        <f>-AH27-AN178</f>
        <v>0</v>
      </c>
      <c r="AO179" s="44">
        <f>-AH28-AO178</f>
        <v>0</v>
      </c>
      <c r="AP179" s="44"/>
      <c r="AQ179" s="44">
        <f>-AH30-AQ178</f>
        <v>0</v>
      </c>
      <c r="AR179" s="44">
        <f>-AH31-AR178</f>
        <v>0</v>
      </c>
    </row>
    <row r="180" spans="1:45" ht="16" thickBot="1">
      <c r="A180" s="185" t="s">
        <v>67</v>
      </c>
      <c r="B180" s="247">
        <f>SUM(B172:B178)</f>
        <v>1</v>
      </c>
      <c r="C180" s="246">
        <f>SUM(C172:C179)</f>
        <v>0.99999999999999978</v>
      </c>
      <c r="D180" s="187">
        <f>SUM(D172:D179)</f>
        <v>280.10459284033055</v>
      </c>
      <c r="E180" s="188"/>
      <c r="F180" s="188"/>
      <c r="G180" s="188"/>
      <c r="H180" s="188"/>
      <c r="I180" s="188"/>
      <c r="J180" s="188"/>
      <c r="K180" s="188"/>
      <c r="L180" s="188"/>
      <c r="M180" s="188"/>
      <c r="N180" s="248">
        <f>SUM(N172:N179)</f>
        <v>1.0000000000000002</v>
      </c>
      <c r="X180" s="44">
        <f>SUM(X172:X179)</f>
        <v>184.52189952497855</v>
      </c>
    </row>
    <row r="181" spans="1:45" ht="49" thickBot="1">
      <c r="AJ181" s="260" t="s">
        <v>322</v>
      </c>
      <c r="AK181" s="136" t="s">
        <v>1</v>
      </c>
      <c r="AL181" s="136" t="s">
        <v>180</v>
      </c>
      <c r="AM181" s="136" t="s">
        <v>181</v>
      </c>
      <c r="AN181" s="136" t="s">
        <v>183</v>
      </c>
      <c r="AO181" s="136" t="s">
        <v>28</v>
      </c>
      <c r="AP181" s="263" t="s">
        <v>319</v>
      </c>
      <c r="AQ181" s="136"/>
      <c r="AR181" s="136"/>
    </row>
    <row r="182" spans="1:45" ht="49" thickBot="1">
      <c r="A182" s="250" t="s">
        <v>323</v>
      </c>
      <c r="B182" s="185">
        <v>2020</v>
      </c>
      <c r="C182" s="186" t="s">
        <v>282</v>
      </c>
      <c r="D182" s="186" t="s">
        <v>292</v>
      </c>
      <c r="E182" s="186" t="s">
        <v>283</v>
      </c>
      <c r="F182" s="186" t="s">
        <v>284</v>
      </c>
      <c r="G182" s="186" t="s">
        <v>285</v>
      </c>
      <c r="H182" s="186" t="s">
        <v>286</v>
      </c>
      <c r="I182" s="186" t="s">
        <v>287</v>
      </c>
      <c r="J182" s="186" t="s">
        <v>288</v>
      </c>
      <c r="K182" s="186" t="s">
        <v>289</v>
      </c>
      <c r="L182" s="186" t="s">
        <v>290</v>
      </c>
      <c r="M182" s="186" t="s">
        <v>291</v>
      </c>
      <c r="O182" s="186" t="s">
        <v>293</v>
      </c>
      <c r="P182" s="186" t="s">
        <v>294</v>
      </c>
      <c r="Q182" s="186" t="s">
        <v>295</v>
      </c>
      <c r="R182" s="186" t="s">
        <v>296</v>
      </c>
      <c r="S182" s="186" t="s">
        <v>297</v>
      </c>
      <c r="T182" s="186" t="s">
        <v>298</v>
      </c>
      <c r="U182" s="186" t="s">
        <v>299</v>
      </c>
      <c r="V182" s="186" t="s">
        <v>300</v>
      </c>
      <c r="W182" s="186" t="s">
        <v>301</v>
      </c>
      <c r="X182" s="186"/>
      <c r="AK182" s="143">
        <f>D40</f>
        <v>34.871127768537121</v>
      </c>
      <c r="AL182" s="143">
        <f>AH40-D40</f>
        <v>22.951068141172534</v>
      </c>
      <c r="AM182" s="143">
        <f>AH40</f>
        <v>57.822195909709656</v>
      </c>
      <c r="AN182" s="143">
        <f>-'Yearly LC Ethylene'!AH41</f>
        <v>0</v>
      </c>
      <c r="AO182" s="143">
        <f>-'Yearly LC Ethylene'!AH42</f>
        <v>0</v>
      </c>
      <c r="AP182" s="143">
        <f>AH43</f>
        <v>57.822195909709656</v>
      </c>
      <c r="AQ182" s="143"/>
    </row>
    <row r="183" spans="1:45">
      <c r="A183" t="s">
        <v>324</v>
      </c>
      <c r="B183" s="183">
        <f>B172+B176</f>
        <v>0.54772064805210752</v>
      </c>
      <c r="C183" s="184">
        <f t="shared" ref="C183" si="65">C172+C176</f>
        <v>0.48277475564341044</v>
      </c>
      <c r="D183" s="194">
        <f>N172+N176</f>
        <v>0.54044525929705867</v>
      </c>
      <c r="X183" s="44"/>
      <c r="AN183" s="44">
        <f>-(AH41+AN182)</f>
        <v>0</v>
      </c>
      <c r="AO183" s="44">
        <f>-(AH42+AO182)</f>
        <v>0</v>
      </c>
    </row>
    <row r="184" spans="1:45">
      <c r="A184" t="s">
        <v>310</v>
      </c>
      <c r="B184" s="183">
        <f>B173</f>
        <v>0.21433790117776957</v>
      </c>
      <c r="C184" s="184">
        <f t="shared" ref="C184" si="66">C173</f>
        <v>0.20643073119001065</v>
      </c>
      <c r="D184" s="194">
        <f>N173</f>
        <v>0.11348945834654976</v>
      </c>
      <c r="X184" s="44"/>
    </row>
    <row r="185" spans="1:45" ht="48">
      <c r="A185" t="s">
        <v>311</v>
      </c>
      <c r="B185" s="183">
        <f>B174</f>
        <v>5.2109631277813095E-2</v>
      </c>
      <c r="C185" s="184">
        <f>C174</f>
        <v>5.5205972207308995E-2</v>
      </c>
      <c r="D185" s="194">
        <f>N174</f>
        <v>4.4100960542172371E-2</v>
      </c>
      <c r="X185" s="44"/>
      <c r="AJ185" s="260" t="s">
        <v>325</v>
      </c>
      <c r="AK185" s="136" t="s">
        <v>1</v>
      </c>
      <c r="AL185" s="136" t="s">
        <v>180</v>
      </c>
      <c r="AM185" s="136" t="s">
        <v>181</v>
      </c>
      <c r="AN185" s="136" t="s">
        <v>326</v>
      </c>
      <c r="AO185" s="136" t="s">
        <v>327</v>
      </c>
      <c r="AP185" s="136" t="s">
        <v>328</v>
      </c>
      <c r="AQ185" s="136" t="s">
        <v>316</v>
      </c>
      <c r="AR185" s="136" t="s">
        <v>28</v>
      </c>
      <c r="AS185" s="263" t="s">
        <v>319</v>
      </c>
    </row>
    <row r="186" spans="1:45">
      <c r="A186" s="131" t="s">
        <v>329</v>
      </c>
      <c r="B186" s="183">
        <f>'Demand Breakdown - Ethylene'!C37</f>
        <v>4.2210000000000004E-2</v>
      </c>
      <c r="C186" s="184">
        <f>(AH65*('Demand Breakdown - Ethylene'!C37-'Yearly HC Ethylene'!C178)/(SUM('Yearly HC Ethylene'!C177:C178,C175))+'Yearly HC Ethylene'!AH55)/'Yearly HC Ethylene'!AH84</f>
        <v>3.9623069206209796E-2</v>
      </c>
      <c r="D186" s="194">
        <f>((AH139-AH74)*('Demand Breakdown - Ethylene'!C37-'Yearly HC Ethylene'!N178)/(SUM('Yearly HC Ethylene'!N177:N178,N175))+'Yearly HC Ethylene'!AH115)/('Yearly HC Ethylene'!AH148-AH74)</f>
        <v>4.2657278355846553E-2</v>
      </c>
      <c r="X186" s="44"/>
      <c r="AK186" s="143">
        <f>D12</f>
        <v>8.4778361655826675</v>
      </c>
      <c r="AL186" s="143">
        <f>AH12-D12</f>
        <v>5.5798423503108694</v>
      </c>
      <c r="AM186" s="143">
        <f>AH12</f>
        <v>14.057678515893537</v>
      </c>
      <c r="AN186" s="143">
        <f>AH13</f>
        <v>1.4057678515893537</v>
      </c>
      <c r="AO186" s="143">
        <f>-'Yearly LC Ethylene'!AH15</f>
        <v>0</v>
      </c>
      <c r="AP186" s="143">
        <f>-'Yearly LC Ethylene'!AH16</f>
        <v>0</v>
      </c>
      <c r="AQ186" s="44">
        <f>SUM(AM186:AP187)</f>
        <v>15.463446367482891</v>
      </c>
      <c r="AR186">
        <f>-'Yearly LC Ethylene'!AH18</f>
        <v>0</v>
      </c>
      <c r="AS186" s="44">
        <f>SUM(AQ186:AR187)</f>
        <v>15.463446367482891</v>
      </c>
    </row>
    <row r="187" spans="1:45">
      <c r="A187" t="s">
        <v>312</v>
      </c>
      <c r="B187" s="183">
        <f>B175</f>
        <v>3.6272535773636247E-2</v>
      </c>
      <c r="C187" s="184">
        <f>C175</f>
        <v>3.261458640407873E-2</v>
      </c>
      <c r="D187" s="194">
        <f>N175</f>
        <v>3.9392157981015009E-2</v>
      </c>
      <c r="X187" s="44"/>
      <c r="AN187" s="44"/>
      <c r="AO187" s="44">
        <f>-(AH15+AO186)</f>
        <v>0</v>
      </c>
      <c r="AP187" s="44">
        <f>-(AH16+AP186)</f>
        <v>0</v>
      </c>
      <c r="AR187">
        <f>-(AH18+AR186)</f>
        <v>0</v>
      </c>
    </row>
    <row r="188" spans="1:45">
      <c r="A188" t="s">
        <v>248</v>
      </c>
      <c r="B188" s="183">
        <f>B177+B178-B186</f>
        <v>0.10734928371867369</v>
      </c>
      <c r="C188" s="184">
        <f>C177+C178-C186</f>
        <v>9.8743829290281235E-2</v>
      </c>
      <c r="D188" s="194">
        <f>N177+N178-D186</f>
        <v>0.11772580733666106</v>
      </c>
      <c r="X188" s="44"/>
      <c r="AJ188" s="142"/>
      <c r="AK188" s="136"/>
      <c r="AL188" s="136"/>
      <c r="AM188" s="136"/>
      <c r="AN188" s="136"/>
      <c r="AO188" s="136"/>
      <c r="AP188" s="136"/>
    </row>
    <row r="189" spans="1:45" ht="49" thickBot="1">
      <c r="A189" t="s">
        <v>321</v>
      </c>
      <c r="B189" s="183">
        <f>B179</f>
        <v>0</v>
      </c>
      <c r="C189" s="184">
        <f t="shared" ref="C189" si="67">C179</f>
        <v>8.4607056058700059E-2</v>
      </c>
      <c r="D189" s="194">
        <f>N179</f>
        <v>0.10218907814069671</v>
      </c>
      <c r="X189" s="44"/>
      <c r="AJ189" s="260" t="s">
        <v>330</v>
      </c>
      <c r="AK189" s="136" t="s">
        <v>1</v>
      </c>
      <c r="AL189" s="136" t="s">
        <v>180</v>
      </c>
      <c r="AM189" s="136" t="s">
        <v>181</v>
      </c>
      <c r="AN189" s="136" t="s">
        <v>331</v>
      </c>
      <c r="AO189" s="136" t="s">
        <v>332</v>
      </c>
      <c r="AP189" s="136" t="s">
        <v>316</v>
      </c>
      <c r="AQ189" s="136" t="s">
        <v>28</v>
      </c>
      <c r="AR189" s="263" t="s">
        <v>319</v>
      </c>
    </row>
    <row r="190" spans="1:45" ht="16" thickBot="1">
      <c r="A190" s="185" t="s">
        <v>67</v>
      </c>
      <c r="B190" s="251">
        <f>SUM(B183:B189)</f>
        <v>1</v>
      </c>
      <c r="C190" s="252">
        <f>SUM(C183:C189)</f>
        <v>1</v>
      </c>
      <c r="D190" s="253">
        <f>SUM(D183:D189)</f>
        <v>1.0000000000000002</v>
      </c>
      <c r="E190" s="188"/>
      <c r="F190" s="188"/>
      <c r="G190" s="188"/>
      <c r="H190" s="188"/>
      <c r="I190" s="188"/>
      <c r="J190" s="188"/>
      <c r="K190" s="188"/>
      <c r="L190" s="188"/>
      <c r="M190" s="188"/>
      <c r="X190" s="44"/>
      <c r="AK190" s="143">
        <f>D50</f>
        <v>3.4336211538461541</v>
      </c>
      <c r="AL190" s="143">
        <f>AH50-D50</f>
        <v>2.9714600261895505</v>
      </c>
      <c r="AM190" s="143">
        <f>AH50</f>
        <v>6.4050811800357046</v>
      </c>
      <c r="AN190" s="143">
        <f>-'Yearly LC Ethylene'!AH51</f>
        <v>0</v>
      </c>
      <c r="AO190" s="143">
        <f>-'Yearly LC Ethylene'!AH52</f>
        <v>0</v>
      </c>
      <c r="AP190" s="143">
        <f>SUM(AM190:AO191)</f>
        <v>6.4050811800357046</v>
      </c>
      <c r="AQ190" s="43">
        <f>-'Yearly LC Ethylene'!AH54</f>
        <v>0</v>
      </c>
      <c r="AR190" s="44">
        <f>SUM(AP190:AQ191)</f>
        <v>6.4050811800357046</v>
      </c>
    </row>
    <row r="191" spans="1:45" ht="16" thickBot="1">
      <c r="AN191" s="44">
        <f>-(AH51+AN190)</f>
        <v>0</v>
      </c>
      <c r="AO191" s="44">
        <f>-(AH52+AO190)</f>
        <v>0</v>
      </c>
      <c r="AP191" s="44"/>
      <c r="AQ191" s="43">
        <f>-(AH54+AQ190)</f>
        <v>0</v>
      </c>
    </row>
    <row r="192" spans="1:45" ht="49" thickBot="1">
      <c r="A192" s="250" t="s">
        <v>333</v>
      </c>
      <c r="B192" s="254">
        <v>2020</v>
      </c>
      <c r="C192" s="186" t="s">
        <v>334</v>
      </c>
      <c r="D192" s="186" t="s">
        <v>282</v>
      </c>
      <c r="E192" s="188"/>
      <c r="F192" s="188"/>
      <c r="G192" s="188"/>
      <c r="H192" s="188"/>
      <c r="I192" s="188"/>
      <c r="J192" s="188"/>
      <c r="K192" s="188"/>
      <c r="L192" s="188"/>
      <c r="M192" s="188"/>
      <c r="N192" s="255" t="s">
        <v>292</v>
      </c>
    </row>
    <row r="193" spans="1:47" ht="48">
      <c r="A193" t="s">
        <v>321</v>
      </c>
      <c r="B193" s="183">
        <f>B189</f>
        <v>0</v>
      </c>
      <c r="C193" s="183">
        <f>0</f>
        <v>0</v>
      </c>
      <c r="D193" s="184">
        <f>C189</f>
        <v>8.4607056058700059E-2</v>
      </c>
      <c r="N193" s="194">
        <f>D189</f>
        <v>0.10218907814069671</v>
      </c>
      <c r="AJ193" s="260" t="s">
        <v>335</v>
      </c>
      <c r="AK193" s="136" t="s">
        <v>1</v>
      </c>
      <c r="AL193" s="136" t="s">
        <v>180</v>
      </c>
      <c r="AM193" s="136" t="s">
        <v>181</v>
      </c>
      <c r="AN193" s="136" t="s">
        <v>183</v>
      </c>
      <c r="AO193" s="136" t="s">
        <v>28</v>
      </c>
      <c r="AP193" s="263" t="s">
        <v>319</v>
      </c>
    </row>
    <row r="194" spans="1:47">
      <c r="A194" t="s">
        <v>248</v>
      </c>
      <c r="B194" s="183">
        <f>B188</f>
        <v>0.10734928371867369</v>
      </c>
      <c r="C194" s="183">
        <f>'Demand Breakdown - Ethylene'!N68+'Demand Breakdown - Ethylene'!N69-C196</f>
        <v>0.10977903437623246</v>
      </c>
      <c r="D194" s="184">
        <f>C188</f>
        <v>9.8743829290281235E-2</v>
      </c>
      <c r="N194" s="194">
        <f>D188</f>
        <v>0.11772580733666106</v>
      </c>
      <c r="AK194" s="143">
        <f>D62</f>
        <v>26.799786402018107</v>
      </c>
      <c r="AL194" s="143">
        <f>AH62-D62</f>
        <v>14.68783162925542</v>
      </c>
      <c r="AM194" s="143">
        <f>AH62</f>
        <v>41.487618031273527</v>
      </c>
      <c r="AN194" s="143">
        <f>-'Yearly LC Ethylene'!AH63</f>
        <v>0</v>
      </c>
      <c r="AO194" s="43">
        <f>-'Yearly LC Ethylene'!AH64</f>
        <v>0</v>
      </c>
      <c r="AP194" s="44">
        <f>SUM(AM194:AO195)</f>
        <v>41.487618031273527</v>
      </c>
    </row>
    <row r="195" spans="1:47">
      <c r="A195" t="s">
        <v>312</v>
      </c>
      <c r="B195" s="183">
        <f>B187</f>
        <v>3.6272535773636247E-2</v>
      </c>
      <c r="C195" s="183">
        <f>'Demand Breakdown - Ethylene'!N66</f>
        <v>3.5825472334785662E-2</v>
      </c>
      <c r="D195" s="184">
        <f>C187</f>
        <v>3.261458640407873E-2</v>
      </c>
      <c r="N195" s="194">
        <f>D187</f>
        <v>3.9392157981015009E-2</v>
      </c>
      <c r="AN195" s="44">
        <f>-(AH63+AN194)</f>
        <v>0</v>
      </c>
      <c r="AO195" s="43">
        <f>-(AH64+AO194)</f>
        <v>0</v>
      </c>
    </row>
    <row r="196" spans="1:47">
      <c r="A196" s="131" t="s">
        <v>329</v>
      </c>
      <c r="B196" s="183">
        <f>B186</f>
        <v>4.2210000000000004E-2</v>
      </c>
      <c r="C196" s="183">
        <f>('Demand Breakdown - Ethylene'!M68*('Demand Breakdown - Ethylene'!C37-'Demand Breakdown - Ethylene'!N69)/('Demand Breakdown - Ethylene'!N68)+'Demand Breakdown - Ethylene'!M69)/'Demand Breakdown - Ethylene'!M70</f>
        <v>4.2210000000000004E-2</v>
      </c>
      <c r="D196" s="184">
        <f>C186</f>
        <v>3.9623069206209796E-2</v>
      </c>
      <c r="N196" s="194">
        <f>D186</f>
        <v>4.2657278355846553E-2</v>
      </c>
    </row>
    <row r="197" spans="1:47" ht="48">
      <c r="A197" t="s">
        <v>311</v>
      </c>
      <c r="B197" s="183">
        <f>B185</f>
        <v>5.2109631277813095E-2</v>
      </c>
      <c r="C197" s="183">
        <f>'Demand Breakdown - Ethylene'!N65</f>
        <v>5.5128151042719585E-2</v>
      </c>
      <c r="D197" s="184">
        <f>C185</f>
        <v>5.5205972207308995E-2</v>
      </c>
      <c r="N197" s="194">
        <f>D185</f>
        <v>4.4100960542172371E-2</v>
      </c>
      <c r="AJ197" s="138" t="s">
        <v>336</v>
      </c>
      <c r="AK197" s="139" t="s">
        <v>1</v>
      </c>
      <c r="AL197" s="139" t="s">
        <v>180</v>
      </c>
      <c r="AM197" s="139" t="s">
        <v>181</v>
      </c>
      <c r="AN197" s="139" t="s">
        <v>337</v>
      </c>
      <c r="AO197" s="263" t="s">
        <v>308</v>
      </c>
      <c r="AP197" s="139" t="s">
        <v>338</v>
      </c>
      <c r="AQ197" s="139" t="s">
        <v>339</v>
      </c>
      <c r="AR197" s="139" t="s">
        <v>340</v>
      </c>
      <c r="AS197" s="139" t="s">
        <v>341</v>
      </c>
      <c r="AT197" s="139" t="s">
        <v>342</v>
      </c>
      <c r="AU197" s="139" t="s">
        <v>184</v>
      </c>
    </row>
    <row r="198" spans="1:47">
      <c r="A198" t="s">
        <v>310</v>
      </c>
      <c r="B198" s="183">
        <f>B184</f>
        <v>0.21433790117776957</v>
      </c>
      <c r="C198" s="183">
        <f>'Demand Breakdown - Ethylene'!N64</f>
        <v>0.22675370944984116</v>
      </c>
      <c r="D198" s="184">
        <f>C184</f>
        <v>0.20643073119001065</v>
      </c>
      <c r="N198" s="194">
        <f>D184</f>
        <v>0.11348945834654976</v>
      </c>
      <c r="AK198" s="140">
        <f>D4</f>
        <v>162.69230769230768</v>
      </c>
      <c r="AL198" s="140">
        <f>AH4-D4</f>
        <v>92.307692307692321</v>
      </c>
      <c r="AM198" s="140">
        <f>AH4</f>
        <v>255</v>
      </c>
      <c r="AN198" s="140">
        <f>AH83-AH82-AH81</f>
        <v>25.104592840330554</v>
      </c>
      <c r="AO198" s="140">
        <f>SUM(AM198:AN198)</f>
        <v>280.10459284033055</v>
      </c>
      <c r="AP198" s="140">
        <f>AH95-AH92</f>
        <v>-35.503440528324731</v>
      </c>
      <c r="AQ198" s="140">
        <f>AH127-AH122</f>
        <v>-36.880905479543358</v>
      </c>
      <c r="AR198" s="140">
        <f>AH105-AH102</f>
        <v>-7.3258533573651174</v>
      </c>
      <c r="AS198" s="140">
        <f>IF(AH115-AH112&lt;AH112,-AH112,-(AH115-AH112))</f>
        <v>-6.4050811800357046</v>
      </c>
      <c r="AT198" s="44">
        <f>AH139-AH134</f>
        <v>-13.32042959251028</v>
      </c>
      <c r="AU198" s="137" t="s">
        <v>167</v>
      </c>
    </row>
    <row r="199" spans="1:47" ht="16" thickBot="1">
      <c r="A199" t="s">
        <v>324</v>
      </c>
      <c r="B199" s="183">
        <f>B183</f>
        <v>0.54772064805210752</v>
      </c>
      <c r="C199" s="183">
        <f>'Demand Breakdown - Ethylene'!N63+'Demand Breakdown - Ethylene'!N67</f>
        <v>0.53030363279642112</v>
      </c>
      <c r="D199" s="184">
        <f>C183</f>
        <v>0.48277475564341044</v>
      </c>
      <c r="N199" s="194">
        <f>D183</f>
        <v>0.54044525929705867</v>
      </c>
      <c r="AJ199" s="137"/>
    </row>
    <row r="200" spans="1:47" ht="16" thickBot="1">
      <c r="A200" s="185" t="s">
        <v>67</v>
      </c>
      <c r="B200" s="251">
        <f>SUM(B193:B199)</f>
        <v>1</v>
      </c>
      <c r="C200" s="251">
        <f>SUM(C193:C199)</f>
        <v>1</v>
      </c>
      <c r="D200" s="252">
        <f>SUM(D193:D199)</f>
        <v>0.99999999999999989</v>
      </c>
      <c r="N200" s="253">
        <f>SUM(N193:N199)</f>
        <v>1.0000000000000002</v>
      </c>
    </row>
    <row r="201" spans="1:47" ht="97" thickBot="1">
      <c r="AJ201" s="142" t="s">
        <v>343</v>
      </c>
      <c r="AK201" s="139" t="s">
        <v>1</v>
      </c>
      <c r="AL201" s="139" t="s">
        <v>180</v>
      </c>
      <c r="AM201" s="139" t="s">
        <v>181</v>
      </c>
      <c r="AN201" s="139" t="s">
        <v>344</v>
      </c>
      <c r="AO201" s="263" t="s">
        <v>308</v>
      </c>
      <c r="AP201" s="139" t="s">
        <v>345</v>
      </c>
      <c r="AQ201" s="139" t="s">
        <v>346</v>
      </c>
      <c r="AR201" s="139" t="s">
        <v>347</v>
      </c>
      <c r="AS201" s="139" t="s">
        <v>184</v>
      </c>
    </row>
    <row r="202" spans="1:47" ht="49" thickBot="1">
      <c r="A202" s="250" t="s">
        <v>333</v>
      </c>
      <c r="B202" s="254">
        <v>2020</v>
      </c>
      <c r="C202" s="186" t="s">
        <v>334</v>
      </c>
      <c r="D202" s="186" t="s">
        <v>282</v>
      </c>
      <c r="E202" s="188"/>
      <c r="F202" s="188"/>
      <c r="G202" s="188"/>
      <c r="H202" s="188"/>
      <c r="I202" s="188"/>
      <c r="J202" s="188"/>
      <c r="K202" s="188"/>
      <c r="L202" s="188"/>
      <c r="M202" s="188"/>
      <c r="N202" s="255" t="s">
        <v>292</v>
      </c>
      <c r="AK202" s="140">
        <f>D26</f>
        <v>89.109936202323638</v>
      </c>
      <c r="AL202" s="140">
        <f>AH26-D26</f>
        <v>46.117490160763936</v>
      </c>
      <c r="AM202" s="140" t="s">
        <v>167</v>
      </c>
      <c r="AN202" s="140">
        <f>AH33-AH26</f>
        <v>0</v>
      </c>
      <c r="AO202" s="143" t="s">
        <v>167</v>
      </c>
      <c r="AP202" s="143">
        <f>-AH93</f>
        <v>-35.467913570100137</v>
      </c>
      <c r="AQ202" s="268">
        <f>-AH94</f>
        <v>-3.5526958224594972E-2</v>
      </c>
      <c r="AR202" s="143">
        <f>SUM(AP202:AQ202)</f>
        <v>-35.503440528324731</v>
      </c>
      <c r="AS202" s="143" t="s">
        <v>167</v>
      </c>
    </row>
    <row r="203" spans="1:47">
      <c r="A203" t="s">
        <v>321</v>
      </c>
      <c r="B203" s="261">
        <f>$D$4*B193</f>
        <v>0</v>
      </c>
      <c r="C203" s="261">
        <f>$AH$4*C193</f>
        <v>0</v>
      </c>
      <c r="D203" s="184"/>
      <c r="N203" s="194"/>
    </row>
    <row r="204" spans="1:47">
      <c r="A204" t="s">
        <v>248</v>
      </c>
      <c r="B204" s="261">
        <f>$D$4*B194</f>
        <v>17.464902697307295</v>
      </c>
      <c r="C204" s="261">
        <f t="shared" ref="C204:C209" si="68">$AH$4*C194</f>
        <v>27.993653765939278</v>
      </c>
      <c r="D204" s="184"/>
      <c r="N204" s="194"/>
    </row>
    <row r="205" spans="1:47" ht="96">
      <c r="A205" t="s">
        <v>312</v>
      </c>
      <c r="B205" s="261">
        <f t="shared" ref="B205:B209" si="69">$D$4*B195</f>
        <v>5.9012625508646659</v>
      </c>
      <c r="C205" s="261">
        <f t="shared" si="68"/>
        <v>9.1354954453703439</v>
      </c>
      <c r="D205" s="184"/>
      <c r="N205" s="194"/>
      <c r="AJ205" s="142" t="s">
        <v>348</v>
      </c>
      <c r="AK205" s="139" t="s">
        <v>1</v>
      </c>
      <c r="AL205" s="139" t="s">
        <v>180</v>
      </c>
      <c r="AM205" s="139" t="s">
        <v>181</v>
      </c>
      <c r="AN205" s="139" t="s">
        <v>344</v>
      </c>
      <c r="AO205" s="263" t="s">
        <v>308</v>
      </c>
      <c r="AP205" s="139" t="s">
        <v>345</v>
      </c>
      <c r="AQ205" s="139" t="s">
        <v>349</v>
      </c>
      <c r="AR205" s="139" t="s">
        <v>350</v>
      </c>
      <c r="AS205" s="139" t="s">
        <v>351</v>
      </c>
      <c r="AT205" s="139" t="s">
        <v>352</v>
      </c>
      <c r="AU205" s="139" t="s">
        <v>184</v>
      </c>
    </row>
    <row r="206" spans="1:47" ht="16">
      <c r="A206" s="131" t="s">
        <v>329</v>
      </c>
      <c r="B206" s="261">
        <f t="shared" si="69"/>
        <v>6.8672423076923081</v>
      </c>
      <c r="C206" s="261">
        <f t="shared" si="68"/>
        <v>10.76355</v>
      </c>
      <c r="D206" s="184"/>
      <c r="N206" s="194"/>
      <c r="AK206" s="143">
        <f>D40</f>
        <v>34.871127768537121</v>
      </c>
      <c r="AL206" s="143">
        <f>AH40-D40</f>
        <v>22.951068141172534</v>
      </c>
      <c r="AM206" s="143" t="s">
        <v>167</v>
      </c>
      <c r="AN206" s="143">
        <f>AH43-AH40</f>
        <v>0</v>
      </c>
      <c r="AO206" s="143" t="s">
        <v>167</v>
      </c>
      <c r="AP206" s="143">
        <f>-AH123</f>
        <v>-4.9293742662870192</v>
      </c>
      <c r="AQ206" s="143">
        <f>-AH124</f>
        <v>-30.787557461289175</v>
      </c>
      <c r="AR206" s="44">
        <f>-AH126</f>
        <v>-0.14278089405887934</v>
      </c>
      <c r="AS206" s="44">
        <f>-AH125</f>
        <v>-1.0211928579082863</v>
      </c>
      <c r="AT206" s="143">
        <f>SUM(AP206:AS206)</f>
        <v>-36.880905479543365</v>
      </c>
      <c r="AU206" t="s">
        <v>167</v>
      </c>
    </row>
    <row r="207" spans="1:47">
      <c r="A207" t="s">
        <v>311</v>
      </c>
      <c r="B207" s="261">
        <f t="shared" si="69"/>
        <v>8.4778361655826675</v>
      </c>
      <c r="C207" s="261">
        <f t="shared" si="68"/>
        <v>14.057678515893494</v>
      </c>
      <c r="D207" s="184"/>
      <c r="N207" s="194"/>
    </row>
    <row r="208" spans="1:47" ht="32">
      <c r="A208" t="s">
        <v>310</v>
      </c>
      <c r="B208" s="261">
        <f t="shared" si="69"/>
        <v>34.871127768537121</v>
      </c>
      <c r="C208" s="261">
        <f t="shared" si="68"/>
        <v>57.8221959097095</v>
      </c>
      <c r="D208" s="184"/>
      <c r="N208" s="194"/>
      <c r="AJ208" s="142" t="s">
        <v>353</v>
      </c>
      <c r="AK208" s="139" t="s">
        <v>1</v>
      </c>
      <c r="AL208" s="139" t="s">
        <v>180</v>
      </c>
      <c r="AM208" s="139" t="s">
        <v>181</v>
      </c>
      <c r="AN208" s="139" t="s">
        <v>344</v>
      </c>
      <c r="AO208" s="263" t="s">
        <v>308</v>
      </c>
      <c r="AP208" s="139" t="s">
        <v>345</v>
      </c>
      <c r="AQ208" s="139" t="s">
        <v>184</v>
      </c>
      <c r="AR208" s="139"/>
      <c r="AS208" s="139"/>
      <c r="AT208" s="139"/>
    </row>
    <row r="209" spans="1:47" ht="17" thickBot="1">
      <c r="A209" t="s">
        <v>324</v>
      </c>
      <c r="B209" s="261">
        <f t="shared" si="69"/>
        <v>89.109936202323638</v>
      </c>
      <c r="C209" s="261">
        <f t="shared" si="68"/>
        <v>135.22742636308737</v>
      </c>
      <c r="D209" s="184"/>
      <c r="N209" s="194"/>
      <c r="AK209" s="143">
        <f>D12</f>
        <v>8.4778361655826675</v>
      </c>
      <c r="AL209" s="143">
        <f>AH12-D12</f>
        <v>5.5798423503108694</v>
      </c>
      <c r="AM209" s="143" t="s">
        <v>167</v>
      </c>
      <c r="AN209" s="143">
        <f>AH19-AH12</f>
        <v>1.4057678515893546</v>
      </c>
      <c r="AO209" s="143" t="s">
        <v>167</v>
      </c>
      <c r="AP209" s="143">
        <f>-AH103</f>
        <v>-1.4240049310280589</v>
      </c>
      <c r="AQ209" t="s">
        <v>167</v>
      </c>
      <c r="AR209" s="44"/>
      <c r="AS209" s="44"/>
      <c r="AT209" s="143"/>
    </row>
    <row r="210" spans="1:47" ht="16" thickBot="1">
      <c r="A210" s="185" t="s">
        <v>67</v>
      </c>
      <c r="B210" s="264">
        <f>SUM(B203:B209)</f>
        <v>162.69230769230768</v>
      </c>
      <c r="C210" s="264">
        <f>SUM(C203:C209)</f>
        <v>255</v>
      </c>
      <c r="D210" s="252"/>
      <c r="N210" s="253"/>
    </row>
    <row r="211" spans="1:47" ht="80">
      <c r="AJ211" s="142" t="s">
        <v>354</v>
      </c>
      <c r="AK211" s="139" t="s">
        <v>1</v>
      </c>
      <c r="AL211" s="139" t="s">
        <v>180</v>
      </c>
      <c r="AM211" s="139" t="s">
        <v>181</v>
      </c>
      <c r="AN211" s="139" t="s">
        <v>344</v>
      </c>
      <c r="AO211" s="263" t="s">
        <v>308</v>
      </c>
      <c r="AP211" s="139" t="s">
        <v>345</v>
      </c>
      <c r="AQ211" s="139" t="s">
        <v>355</v>
      </c>
      <c r="AR211" s="139" t="s">
        <v>356</v>
      </c>
      <c r="AS211" s="139" t="s">
        <v>184</v>
      </c>
    </row>
    <row r="212" spans="1:47" ht="16">
      <c r="A212" s="1" t="s">
        <v>357</v>
      </c>
      <c r="D212" s="1">
        <v>2020</v>
      </c>
      <c r="E212" s="1">
        <f>D212+1</f>
        <v>2021</v>
      </c>
      <c r="F212" s="1">
        <f t="shared" ref="F212" si="70">E212+1</f>
        <v>2022</v>
      </c>
      <c r="G212" s="1">
        <f t="shared" ref="G212" si="71">F212+1</f>
        <v>2023</v>
      </c>
      <c r="H212" s="1">
        <f t="shared" ref="H212" si="72">G212+1</f>
        <v>2024</v>
      </c>
      <c r="I212" s="1">
        <f t="shared" ref="I212" si="73">H212+1</f>
        <v>2025</v>
      </c>
      <c r="J212" s="1">
        <f t="shared" ref="J212" si="74">I212+1</f>
        <v>2026</v>
      </c>
      <c r="K212" s="1">
        <f t="shared" ref="K212" si="75">J212+1</f>
        <v>2027</v>
      </c>
      <c r="L212" s="1">
        <f t="shared" ref="L212" si="76">K212+1</f>
        <v>2028</v>
      </c>
      <c r="M212" s="1">
        <f t="shared" ref="M212" si="77">L212+1</f>
        <v>2029</v>
      </c>
      <c r="N212" s="1">
        <f t="shared" ref="N212" si="78">M212+1</f>
        <v>2030</v>
      </c>
      <c r="O212" s="1">
        <f t="shared" ref="O212" si="79">N212+1</f>
        <v>2031</v>
      </c>
      <c r="P212" s="1">
        <f t="shared" ref="P212" si="80">O212+1</f>
        <v>2032</v>
      </c>
      <c r="Q212" s="1">
        <f t="shared" ref="Q212" si="81">P212+1</f>
        <v>2033</v>
      </c>
      <c r="R212" s="1">
        <f>Q212+1</f>
        <v>2034</v>
      </c>
      <c r="S212" s="1">
        <f t="shared" ref="S212" si="82">R212+1</f>
        <v>2035</v>
      </c>
      <c r="T212" s="1">
        <f t="shared" ref="T212" si="83">S212+1</f>
        <v>2036</v>
      </c>
      <c r="U212" s="1">
        <f t="shared" ref="U212" si="84">T212+1</f>
        <v>2037</v>
      </c>
      <c r="V212" s="1">
        <f t="shared" ref="V212" si="85">U212+1</f>
        <v>2038</v>
      </c>
      <c r="W212" s="1">
        <f t="shared" ref="W212" si="86">V212+1</f>
        <v>2039</v>
      </c>
      <c r="X212" s="1">
        <f t="shared" ref="X212" si="87">W212+1</f>
        <v>2040</v>
      </c>
      <c r="Y212" s="1">
        <f t="shared" ref="Y212" si="88">X212+1</f>
        <v>2041</v>
      </c>
      <c r="Z212" s="1">
        <f t="shared" ref="Z212" si="89">Y212+1</f>
        <v>2042</v>
      </c>
      <c r="AA212" s="1">
        <f t="shared" ref="AA212" si="90">Z212+1</f>
        <v>2043</v>
      </c>
      <c r="AB212" s="1">
        <f t="shared" ref="AB212" si="91">AA212+1</f>
        <v>2044</v>
      </c>
      <c r="AC212" s="1">
        <f>AB212+1</f>
        <v>2045</v>
      </c>
      <c r="AD212" s="1">
        <f t="shared" ref="AD212" si="92">AC212+1</f>
        <v>2046</v>
      </c>
      <c r="AE212" s="1">
        <f t="shared" ref="AE212" si="93">AD212+1</f>
        <v>2047</v>
      </c>
      <c r="AF212" s="1">
        <f t="shared" ref="AF212" si="94">AE212+1</f>
        <v>2048</v>
      </c>
      <c r="AG212" s="1">
        <f>AF212+1</f>
        <v>2049</v>
      </c>
      <c r="AH212" s="1">
        <f t="shared" ref="AH212" si="95">AG212+1</f>
        <v>2050</v>
      </c>
      <c r="AK212" s="143">
        <f>D50</f>
        <v>3.4336211538461541</v>
      </c>
      <c r="AL212" s="143">
        <f>AH50-D50</f>
        <v>2.9714600261895505</v>
      </c>
      <c r="AM212" s="143" t="s">
        <v>167</v>
      </c>
      <c r="AN212" s="143">
        <f>AH55-AH50</f>
        <v>0</v>
      </c>
      <c r="AO212" s="143" t="s">
        <v>167</v>
      </c>
      <c r="AP212" s="143">
        <f>-AH113</f>
        <v>-1.0937112079346412</v>
      </c>
      <c r="AQ212" s="269">
        <f>-AH114</f>
        <v>-1.4583531496738493</v>
      </c>
      <c r="AR212" s="143">
        <f>SUM(AP212:AQ212)</f>
        <v>-2.5520643576084905</v>
      </c>
      <c r="AS212" t="s">
        <v>167</v>
      </c>
    </row>
    <row r="213" spans="1:47">
      <c r="C213" t="s">
        <v>168</v>
      </c>
      <c r="D213" s="44">
        <f t="shared" ref="D213:AH213" si="96">D81</f>
        <v>0</v>
      </c>
      <c r="E213" s="44">
        <f t="shared" si="96"/>
        <v>0</v>
      </c>
      <c r="F213" s="44">
        <f t="shared" si="96"/>
        <v>0</v>
      </c>
      <c r="G213" s="44">
        <f t="shared" si="96"/>
        <v>0</v>
      </c>
      <c r="H213" s="44">
        <f t="shared" si="96"/>
        <v>0</v>
      </c>
      <c r="I213" s="44">
        <f t="shared" si="96"/>
        <v>0</v>
      </c>
      <c r="J213" s="44">
        <f t="shared" si="96"/>
        <v>0</v>
      </c>
      <c r="K213" s="44">
        <f t="shared" si="96"/>
        <v>0</v>
      </c>
      <c r="L213" s="44">
        <f t="shared" si="96"/>
        <v>0</v>
      </c>
      <c r="M213" s="44">
        <f t="shared" si="96"/>
        <v>0</v>
      </c>
      <c r="N213" s="44">
        <f t="shared" si="96"/>
        <v>0</v>
      </c>
      <c r="O213" s="44">
        <f t="shared" si="96"/>
        <v>0</v>
      </c>
      <c r="P213" s="44">
        <f t="shared" si="96"/>
        <v>0</v>
      </c>
      <c r="Q213" s="44">
        <f t="shared" si="96"/>
        <v>0</v>
      </c>
      <c r="R213" s="44">
        <f t="shared" si="96"/>
        <v>0</v>
      </c>
      <c r="S213" s="44">
        <f t="shared" si="96"/>
        <v>0</v>
      </c>
      <c r="T213" s="44">
        <f t="shared" si="96"/>
        <v>0</v>
      </c>
      <c r="U213" s="44">
        <f t="shared" si="96"/>
        <v>0</v>
      </c>
      <c r="V213" s="44">
        <f t="shared" si="96"/>
        <v>0</v>
      </c>
      <c r="W213" s="44">
        <f t="shared" si="96"/>
        <v>0</v>
      </c>
      <c r="X213" s="44">
        <f t="shared" si="96"/>
        <v>0</v>
      </c>
      <c r="Y213" s="44">
        <f t="shared" si="96"/>
        <v>0</v>
      </c>
      <c r="Z213" s="44">
        <f t="shared" si="96"/>
        <v>0</v>
      </c>
      <c r="AA213" s="44">
        <f t="shared" si="96"/>
        <v>0</v>
      </c>
      <c r="AB213" s="44">
        <f t="shared" si="96"/>
        <v>0</v>
      </c>
      <c r="AC213" s="44">
        <f t="shared" si="96"/>
        <v>0</v>
      </c>
      <c r="AD213" s="44">
        <f t="shared" si="96"/>
        <v>0</v>
      </c>
      <c r="AE213" s="44">
        <f t="shared" si="96"/>
        <v>0</v>
      </c>
      <c r="AF213" s="44">
        <f t="shared" si="96"/>
        <v>0</v>
      </c>
      <c r="AG213" s="44">
        <f t="shared" si="96"/>
        <v>0</v>
      </c>
      <c r="AH213" s="44">
        <f t="shared" si="96"/>
        <v>0</v>
      </c>
    </row>
    <row r="214" spans="1:47" ht="96">
      <c r="C214" t="s">
        <v>172</v>
      </c>
      <c r="D214" s="44">
        <f t="shared" ref="D214:AH214" si="97">D82</f>
        <v>0</v>
      </c>
      <c r="E214" s="44">
        <f t="shared" si="97"/>
        <v>0</v>
      </c>
      <c r="F214" s="44">
        <f t="shared" si="97"/>
        <v>0</v>
      </c>
      <c r="G214" s="44">
        <f t="shared" si="97"/>
        <v>0</v>
      </c>
      <c r="H214" s="44">
        <f t="shared" si="97"/>
        <v>0</v>
      </c>
      <c r="I214" s="44">
        <f t="shared" si="97"/>
        <v>0</v>
      </c>
      <c r="J214" s="44">
        <f t="shared" si="97"/>
        <v>0</v>
      </c>
      <c r="K214" s="44">
        <f t="shared" si="97"/>
        <v>0</v>
      </c>
      <c r="L214" s="44">
        <f t="shared" si="97"/>
        <v>0</v>
      </c>
      <c r="M214" s="44">
        <f t="shared" si="97"/>
        <v>0</v>
      </c>
      <c r="N214" s="44">
        <f t="shared" si="97"/>
        <v>0</v>
      </c>
      <c r="O214" s="44">
        <f t="shared" si="97"/>
        <v>0</v>
      </c>
      <c r="P214" s="44">
        <f t="shared" si="97"/>
        <v>0</v>
      </c>
      <c r="Q214" s="44">
        <f t="shared" si="97"/>
        <v>0</v>
      </c>
      <c r="R214" s="44">
        <f t="shared" si="97"/>
        <v>0</v>
      </c>
      <c r="S214" s="44">
        <f t="shared" si="97"/>
        <v>0</v>
      </c>
      <c r="T214" s="44">
        <f t="shared" si="97"/>
        <v>0</v>
      </c>
      <c r="U214" s="44">
        <f t="shared" si="97"/>
        <v>0</v>
      </c>
      <c r="V214" s="44">
        <f t="shared" si="97"/>
        <v>0</v>
      </c>
      <c r="W214" s="44">
        <f t="shared" si="97"/>
        <v>0</v>
      </c>
      <c r="X214" s="44">
        <f t="shared" si="97"/>
        <v>0</v>
      </c>
      <c r="Y214" s="44">
        <f t="shared" si="97"/>
        <v>0</v>
      </c>
      <c r="Z214" s="44">
        <f t="shared" si="97"/>
        <v>0</v>
      </c>
      <c r="AA214" s="44">
        <f t="shared" si="97"/>
        <v>0</v>
      </c>
      <c r="AB214" s="44">
        <f t="shared" si="97"/>
        <v>0</v>
      </c>
      <c r="AC214" s="44">
        <f t="shared" si="97"/>
        <v>0</v>
      </c>
      <c r="AD214" s="44">
        <f t="shared" si="97"/>
        <v>0</v>
      </c>
      <c r="AE214" s="44">
        <f t="shared" si="97"/>
        <v>0</v>
      </c>
      <c r="AF214" s="44">
        <f t="shared" si="97"/>
        <v>0</v>
      </c>
      <c r="AG214" s="44">
        <f t="shared" si="97"/>
        <v>0</v>
      </c>
      <c r="AH214" s="44">
        <f t="shared" si="97"/>
        <v>0</v>
      </c>
      <c r="AJ214" s="142" t="s">
        <v>358</v>
      </c>
      <c r="AK214" s="139" t="s">
        <v>1</v>
      </c>
      <c r="AL214" s="139" t="s">
        <v>180</v>
      </c>
      <c r="AM214" s="139" t="s">
        <v>181</v>
      </c>
      <c r="AN214" s="139" t="s">
        <v>344</v>
      </c>
      <c r="AO214" s="263" t="s">
        <v>308</v>
      </c>
      <c r="AP214" s="139" t="s">
        <v>345</v>
      </c>
      <c r="AQ214" s="139" t="s">
        <v>359</v>
      </c>
      <c r="AR214" s="139" t="s">
        <v>360</v>
      </c>
      <c r="AS214" s="139" t="s">
        <v>361</v>
      </c>
      <c r="AT214" s="139" t="s">
        <v>362</v>
      </c>
      <c r="AU214" s="139" t="s">
        <v>184</v>
      </c>
    </row>
    <row r="215" spans="1:47" ht="16">
      <c r="C215" t="s">
        <v>324</v>
      </c>
      <c r="D215" s="44">
        <f t="shared" ref="D215:AH215" si="98">D33</f>
        <v>89.109936202323638</v>
      </c>
      <c r="E215" s="44">
        <f t="shared" si="98"/>
        <v>90.357475309156172</v>
      </c>
      <c r="F215" s="44">
        <f t="shared" si="98"/>
        <v>91.622479963484366</v>
      </c>
      <c r="G215" s="44">
        <f t="shared" si="98"/>
        <v>92.905194682973146</v>
      </c>
      <c r="H215" s="44">
        <f t="shared" si="98"/>
        <v>94.205867408534772</v>
      </c>
      <c r="I215" s="44">
        <f t="shared" si="98"/>
        <v>95.524749552254264</v>
      </c>
      <c r="J215" s="44">
        <f t="shared" si="98"/>
        <v>96.862096045985822</v>
      </c>
      <c r="K215" s="44">
        <f t="shared" si="98"/>
        <v>98.218165390629622</v>
      </c>
      <c r="L215" s="44">
        <f t="shared" si="98"/>
        <v>99.593219706098438</v>
      </c>
      <c r="M215" s="44">
        <f t="shared" si="98"/>
        <v>100.98752478198382</v>
      </c>
      <c r="N215" s="44">
        <f t="shared" si="98"/>
        <v>102.4013501289316</v>
      </c>
      <c r="O215" s="44">
        <f t="shared" si="98"/>
        <v>103.83496903073664</v>
      </c>
      <c r="P215" s="44">
        <f t="shared" si="98"/>
        <v>105.28865859716696</v>
      </c>
      <c r="Q215" s="44">
        <f t="shared" si="98"/>
        <v>106.76269981752729</v>
      </c>
      <c r="R215" s="44">
        <f t="shared" si="98"/>
        <v>108.25737761497267</v>
      </c>
      <c r="S215" s="44">
        <f t="shared" si="98"/>
        <v>109.77298090158229</v>
      </c>
      <c r="T215" s="44">
        <f t="shared" si="98"/>
        <v>111.30980263420444</v>
      </c>
      <c r="U215" s="44">
        <f t="shared" si="98"/>
        <v>112.86813987108332</v>
      </c>
      <c r="V215" s="44">
        <f t="shared" si="98"/>
        <v>114.44829382927848</v>
      </c>
      <c r="W215" s="44">
        <f t="shared" si="98"/>
        <v>116.05056994288839</v>
      </c>
      <c r="X215" s="44">
        <f t="shared" si="98"/>
        <v>117.67527792208882</v>
      </c>
      <c r="Y215" s="44">
        <f t="shared" si="98"/>
        <v>119.32273181299807</v>
      </c>
      <c r="Z215" s="44">
        <f t="shared" si="98"/>
        <v>120.99325005838004</v>
      </c>
      <c r="AA215" s="44">
        <f t="shared" si="98"/>
        <v>122.68715555919736</v>
      </c>
      <c r="AB215" s="44">
        <f t="shared" si="98"/>
        <v>124.40477573702613</v>
      </c>
      <c r="AC215" s="44">
        <f t="shared" si="98"/>
        <v>126.14644259734449</v>
      </c>
      <c r="AD215" s="44">
        <f t="shared" si="98"/>
        <v>127.91249279370732</v>
      </c>
      <c r="AE215" s="44">
        <f t="shared" si="98"/>
        <v>129.70326769281922</v>
      </c>
      <c r="AF215" s="44">
        <f t="shared" si="98"/>
        <v>131.51911344051871</v>
      </c>
      <c r="AG215" s="44">
        <f t="shared" si="98"/>
        <v>133.36038102868596</v>
      </c>
      <c r="AH215" s="44">
        <f t="shared" si="98"/>
        <v>135.22742636308757</v>
      </c>
      <c r="AK215" s="143">
        <f>D62</f>
        <v>26.799786402018107</v>
      </c>
      <c r="AL215" s="143">
        <f>AH62-D62</f>
        <v>14.68783162925542</v>
      </c>
      <c r="AM215" s="143" t="s">
        <v>167</v>
      </c>
      <c r="AN215" s="143">
        <f>AH65-AH62</f>
        <v>0</v>
      </c>
      <c r="AO215" s="143" t="s">
        <v>167</v>
      </c>
      <c r="AP215" s="143">
        <f>-AH135</f>
        <v>-7.5474488152396111</v>
      </c>
      <c r="AQ215" s="143">
        <f>-AH136</f>
        <v>-4.6452070446885951</v>
      </c>
      <c r="AR215" s="44">
        <f>-AH138</f>
        <v>-0.10658087467378491</v>
      </c>
      <c r="AS215" s="44">
        <f>-AH137</f>
        <v>-1.0211928579082863</v>
      </c>
      <c r="AT215" s="143">
        <f>SUM(AP215:AS215)</f>
        <v>-13.320429592510276</v>
      </c>
      <c r="AU215" t="s">
        <v>167</v>
      </c>
    </row>
    <row r="216" spans="1:47">
      <c r="C216" t="s">
        <v>310</v>
      </c>
      <c r="D216" s="44">
        <f t="shared" ref="D216:AH216" si="99">D43</f>
        <v>34.871127768537121</v>
      </c>
      <c r="E216" s="44">
        <f t="shared" si="99"/>
        <v>35.463936940602252</v>
      </c>
      <c r="F216" s="44">
        <f t="shared" si="99"/>
        <v>36.066823868592486</v>
      </c>
      <c r="G216" s="44">
        <f t="shared" si="99"/>
        <v>36.679959874358552</v>
      </c>
      <c r="H216" s="44">
        <f t="shared" si="99"/>
        <v>37.303519192222645</v>
      </c>
      <c r="I216" s="44">
        <f t="shared" si="99"/>
        <v>37.937679018490428</v>
      </c>
      <c r="J216" s="44">
        <f t="shared" si="99"/>
        <v>38.582619561804762</v>
      </c>
      <c r="K216" s="44">
        <f t="shared" si="99"/>
        <v>39.238524094355441</v>
      </c>
      <c r="L216" s="44">
        <f t="shared" si="99"/>
        <v>39.905579003959481</v>
      </c>
      <c r="M216" s="44">
        <f t="shared" si="99"/>
        <v>40.58397384702679</v>
      </c>
      <c r="N216" s="44">
        <f t="shared" si="99"/>
        <v>41.27390140242624</v>
      </c>
      <c r="O216" s="44">
        <f t="shared" si="99"/>
        <v>41.975557726267482</v>
      </c>
      <c r="P216" s="44">
        <f t="shared" si="99"/>
        <v>42.689142207614026</v>
      </c>
      <c r="Q216" s="44">
        <f t="shared" si="99"/>
        <v>43.414857625143462</v>
      </c>
      <c r="R216" s="44">
        <f t="shared" si="99"/>
        <v>44.152910204770897</v>
      </c>
      <c r="S216" s="44">
        <f t="shared" si="99"/>
        <v>44.903509678252</v>
      </c>
      <c r="T216" s="44">
        <f t="shared" si="99"/>
        <v>45.666869342782277</v>
      </c>
      <c r="U216" s="44">
        <f t="shared" si="99"/>
        <v>46.44320612160957</v>
      </c>
      <c r="V216" s="44">
        <f t="shared" si="99"/>
        <v>47.232740625676925</v>
      </c>
      <c r="W216" s="44">
        <f t="shared" si="99"/>
        <v>48.03569721631343</v>
      </c>
      <c r="X216" s="44">
        <f t="shared" si="99"/>
        <v>48.852304068990755</v>
      </c>
      <c r="Y216" s="44">
        <f t="shared" si="99"/>
        <v>49.68279323816359</v>
      </c>
      <c r="Z216" s="44">
        <f t="shared" si="99"/>
        <v>50.527400723212367</v>
      </c>
      <c r="AA216" s="44">
        <f t="shared" si="99"/>
        <v>51.386366535506973</v>
      </c>
      <c r="AB216" s="44">
        <f t="shared" si="99"/>
        <v>52.259934766610584</v>
      </c>
      <c r="AC216" s="44">
        <f t="shared" si="99"/>
        <v>53.148353657642957</v>
      </c>
      <c r="AD216" s="44">
        <f t="shared" si="99"/>
        <v>54.051875669822884</v>
      </c>
      <c r="AE216" s="44">
        <f t="shared" si="99"/>
        <v>54.970757556209868</v>
      </c>
      <c r="AF216" s="44">
        <f t="shared" si="99"/>
        <v>55.905260434665429</v>
      </c>
      <c r="AG216" s="44">
        <f t="shared" si="99"/>
        <v>56.855649862054733</v>
      </c>
      <c r="AH216" s="44">
        <f t="shared" si="99"/>
        <v>57.822195909709656</v>
      </c>
    </row>
    <row r="217" spans="1:47" ht="32">
      <c r="C217" t="s">
        <v>311</v>
      </c>
      <c r="D217" s="44">
        <f t="shared" ref="D217:AH217" si="100">D19</f>
        <v>8.4778361655826675</v>
      </c>
      <c r="E217" s="44">
        <f t="shared" si="100"/>
        <v>8.6392032991583676</v>
      </c>
      <c r="F217" s="44">
        <f t="shared" si="100"/>
        <v>8.8036068206237879</v>
      </c>
      <c r="G217" s="44">
        <f t="shared" si="100"/>
        <v>8.9711033320655744</v>
      </c>
      <c r="H217" s="44">
        <f t="shared" si="100"/>
        <v>9.1417504825252234</v>
      </c>
      <c r="I217" s="44">
        <f t="shared" si="100"/>
        <v>9.3156069872375333</v>
      </c>
      <c r="J217" s="44">
        <f t="shared" si="100"/>
        <v>9.4927326472206097</v>
      </c>
      <c r="K217" s="44">
        <f t="shared" si="100"/>
        <v>9.6731883692238014</v>
      </c>
      <c r="L217" s="44">
        <f t="shared" si="100"/>
        <v>9.8570361860400535</v>
      </c>
      <c r="M217" s="44">
        <f t="shared" si="100"/>
        <v>10.044339277189353</v>
      </c>
      <c r="N217" s="44">
        <f t="shared" si="100"/>
        <v>10.235161989979963</v>
      </c>
      <c r="O217" s="44">
        <f t="shared" si="100"/>
        <v>10.460185036671433</v>
      </c>
      <c r="P217" s="44">
        <f t="shared" si="100"/>
        <v>10.689900905135309</v>
      </c>
      <c r="Q217" s="44">
        <f t="shared" si="100"/>
        <v>10.924404119651358</v>
      </c>
      <c r="R217" s="44">
        <f t="shared" si="100"/>
        <v>11.163791062099369</v>
      </c>
      <c r="S217" s="44">
        <f t="shared" si="100"/>
        <v>11.408160007800035</v>
      </c>
      <c r="T217" s="44">
        <f t="shared" si="100"/>
        <v>11.657611162037576</v>
      </c>
      <c r="U217" s="44">
        <f t="shared" si="100"/>
        <v>11.912246697276938</v>
      </c>
      <c r="V217" s="44">
        <f t="shared" si="100"/>
        <v>12.172170791088609</v>
      </c>
      <c r="W217" s="44">
        <f t="shared" si="100"/>
        <v>12.437489664794366</v>
      </c>
      <c r="X217" s="44">
        <f t="shared" si="100"/>
        <v>12.708311622847493</v>
      </c>
      <c r="Y217" s="44">
        <f t="shared" si="100"/>
        <v>12.960589423951141</v>
      </c>
      <c r="Z217" s="44">
        <f t="shared" si="100"/>
        <v>13.217771968233309</v>
      </c>
      <c r="AA217" s="44">
        <f t="shared" si="100"/>
        <v>13.479953108677549</v>
      </c>
      <c r="AB217" s="44">
        <f t="shared" si="100"/>
        <v>13.747228471798074</v>
      </c>
      <c r="AC217" s="44">
        <f t="shared" si="100"/>
        <v>14.019695490816288</v>
      </c>
      <c r="AD217" s="44">
        <f t="shared" si="100"/>
        <v>14.297453439452772</v>
      </c>
      <c r="AE217" s="44">
        <f t="shared" si="100"/>
        <v>14.580603466346052</v>
      </c>
      <c r="AF217" s="44">
        <f t="shared" si="100"/>
        <v>14.869248630109702</v>
      </c>
      <c r="AG217" s="44">
        <f t="shared" si="100"/>
        <v>15.16349393503954</v>
      </c>
      <c r="AH217" s="44">
        <f t="shared" si="100"/>
        <v>15.463446367482891</v>
      </c>
      <c r="AJ217" s="142" t="s">
        <v>363</v>
      </c>
      <c r="AK217" s="139" t="s">
        <v>1</v>
      </c>
      <c r="AL217" s="139" t="s">
        <v>180</v>
      </c>
      <c r="AM217" s="139" t="s">
        <v>181</v>
      </c>
      <c r="AN217" s="139" t="s">
        <v>182</v>
      </c>
      <c r="AO217" s="139" t="s">
        <v>183</v>
      </c>
      <c r="AP217" s="263" t="s">
        <v>28</v>
      </c>
      <c r="AQ217" s="139" t="s">
        <v>193</v>
      </c>
      <c r="AR217" s="139" t="s">
        <v>184</v>
      </c>
      <c r="AS217" s="139"/>
      <c r="AT217" s="139"/>
    </row>
    <row r="218" spans="1:47" ht="16">
      <c r="C218" s="131" t="s">
        <v>320</v>
      </c>
      <c r="D218" s="44">
        <f t="shared" ref="D218:AH218" si="101">D55</f>
        <v>3.4336211538461541</v>
      </c>
      <c r="E218" s="44">
        <f t="shared" si="101"/>
        <v>3.5057271980769231</v>
      </c>
      <c r="F218" s="44">
        <f t="shared" si="101"/>
        <v>3.5793474692365383</v>
      </c>
      <c r="G218" s="44">
        <f t="shared" si="101"/>
        <v>3.6545137660905054</v>
      </c>
      <c r="H218" s="44">
        <f t="shared" si="101"/>
        <v>3.7312585551784054</v>
      </c>
      <c r="I218" s="44">
        <f t="shared" si="101"/>
        <v>3.8096149848371517</v>
      </c>
      <c r="J218" s="44">
        <f t="shared" si="101"/>
        <v>3.8896168995187317</v>
      </c>
      <c r="K218" s="44">
        <f t="shared" si="101"/>
        <v>3.9712988544086247</v>
      </c>
      <c r="L218" s="44">
        <f t="shared" si="101"/>
        <v>4.0546961303512052</v>
      </c>
      <c r="M218" s="44">
        <f t="shared" si="101"/>
        <v>4.1398447490885806</v>
      </c>
      <c r="N218" s="44">
        <f t="shared" si="101"/>
        <v>4.2267814888194408</v>
      </c>
      <c r="O218" s="44">
        <f t="shared" si="101"/>
        <v>4.3155439000846485</v>
      </c>
      <c r="P218" s="44">
        <f t="shared" si="101"/>
        <v>4.4061703219864254</v>
      </c>
      <c r="Q218" s="44">
        <f t="shared" si="101"/>
        <v>4.4986998987481401</v>
      </c>
      <c r="R218" s="44">
        <f t="shared" si="101"/>
        <v>4.5931725966218506</v>
      </c>
      <c r="S218" s="44">
        <f t="shared" si="101"/>
        <v>4.6896292211509092</v>
      </c>
      <c r="T218" s="44">
        <f t="shared" si="101"/>
        <v>4.7881114347950779</v>
      </c>
      <c r="U218" s="44">
        <f t="shared" si="101"/>
        <v>4.8886617749257741</v>
      </c>
      <c r="V218" s="44">
        <f t="shared" si="101"/>
        <v>4.9913236721992149</v>
      </c>
      <c r="W218" s="44">
        <f t="shared" si="101"/>
        <v>5.0961414693153984</v>
      </c>
      <c r="X218" s="44">
        <f t="shared" si="101"/>
        <v>5.203160440171021</v>
      </c>
      <c r="Y218" s="44">
        <f t="shared" si="101"/>
        <v>5.3124268094146121</v>
      </c>
      <c r="Z218" s="44">
        <f t="shared" si="101"/>
        <v>5.4239877724123184</v>
      </c>
      <c r="AA218" s="44">
        <f t="shared" si="101"/>
        <v>5.5378915156329764</v>
      </c>
      <c r="AB218" s="44">
        <f t="shared" si="101"/>
        <v>5.6541872374612687</v>
      </c>
      <c r="AC218" s="44">
        <f t="shared" si="101"/>
        <v>5.7729251694479551</v>
      </c>
      <c r="AD218" s="44">
        <f t="shared" si="101"/>
        <v>5.8941565980063615</v>
      </c>
      <c r="AE218" s="44">
        <f t="shared" si="101"/>
        <v>6.0179338865644949</v>
      </c>
      <c r="AF218" s="44">
        <f t="shared" si="101"/>
        <v>6.1443104981823486</v>
      </c>
      <c r="AG218" s="44">
        <f t="shared" si="101"/>
        <v>6.2733410186441771</v>
      </c>
      <c r="AH218" s="44">
        <f t="shared" si="101"/>
        <v>6.4050811800357046</v>
      </c>
      <c r="AK218" s="143">
        <f>D4</f>
        <v>162.69230769230768</v>
      </c>
      <c r="AL218" s="143">
        <f>AH4-D4</f>
        <v>92.307692307692321</v>
      </c>
      <c r="AM218" s="143" t="s">
        <v>167</v>
      </c>
      <c r="AN218" s="44">
        <f>AH83</f>
        <v>25.104592840330554</v>
      </c>
      <c r="AO218" s="143">
        <f>AH81</f>
        <v>0</v>
      </c>
      <c r="AP218" s="143">
        <f>AH82</f>
        <v>0</v>
      </c>
      <c r="AQ218" s="143">
        <f>AH146+AH147</f>
        <v>95.582693315351975</v>
      </c>
      <c r="AR218" t="s">
        <v>167</v>
      </c>
      <c r="AS218" s="44"/>
      <c r="AT218" s="143"/>
    </row>
    <row r="219" spans="1:47">
      <c r="C219" t="s">
        <v>321</v>
      </c>
      <c r="D219" s="44">
        <f t="shared" ref="D219:AH219" si="102">D74</f>
        <v>0</v>
      </c>
      <c r="E219" s="44">
        <f t="shared" si="102"/>
        <v>0.67110171196554103</v>
      </c>
      <c r="F219" s="44">
        <f t="shared" si="102"/>
        <v>0.75796752501421338</v>
      </c>
      <c r="G219" s="44">
        <f t="shared" si="102"/>
        <v>0.85616184156287534</v>
      </c>
      <c r="H219" s="44">
        <f t="shared" si="102"/>
        <v>0.9671713517084386</v>
      </c>
      <c r="I219" s="44">
        <f t="shared" si="102"/>
        <v>1.0926788620857466</v>
      </c>
      <c r="J219" s="44">
        <f t="shared" si="102"/>
        <v>1.2345892759355666</v>
      </c>
      <c r="K219" s="44">
        <f t="shared" si="102"/>
        <v>1.3950590265859308</v>
      </c>
      <c r="L219" s="44">
        <f t="shared" si="102"/>
        <v>1.5765294246538997</v>
      </c>
      <c r="M219" s="44">
        <f t="shared" si="102"/>
        <v>1.7817644407638649</v>
      </c>
      <c r="N219" s="44">
        <f t="shared" si="102"/>
        <v>2.0138935152958402</v>
      </c>
      <c r="O219" s="44">
        <f t="shared" si="102"/>
        <v>2.2764600657252894</v>
      </c>
      <c r="P219" s="44">
        <f t="shared" si="102"/>
        <v>2.5734764517453481</v>
      </c>
      <c r="Q219" s="44">
        <f t="shared" si="102"/>
        <v>2.9094862599913314</v>
      </c>
      <c r="R219" s="44">
        <f t="shared" si="102"/>
        <v>3.2896348854242845</v>
      </c>
      <c r="S219" s="44">
        <f t="shared" si="102"/>
        <v>3.7197495171000581</v>
      </c>
      <c r="T219" s="44">
        <f t="shared" si="102"/>
        <v>4.2064297842214451</v>
      </c>
      <c r="U219" s="44">
        <f t="shared" si="102"/>
        <v>4.7571504863910397</v>
      </c>
      <c r="V219" s="44">
        <f t="shared" si="102"/>
        <v>5.3803780225130033</v>
      </c>
      <c r="W219" s="44">
        <f t="shared" si="102"/>
        <v>6.0857023488525108</v>
      </c>
      <c r="X219" s="44">
        <f t="shared" si="102"/>
        <v>6.8839865417768289</v>
      </c>
      <c r="Y219" s="44">
        <f t="shared" si="102"/>
        <v>7.7875363185562083</v>
      </c>
      <c r="Z219" s="44">
        <f t="shared" si="102"/>
        <v>8.8102921847018152</v>
      </c>
      <c r="AA219" s="44">
        <f t="shared" si="102"/>
        <v>9.9680472336598847</v>
      </c>
      <c r="AB219" s="44">
        <f t="shared" si="102"/>
        <v>11.27869402993422</v>
      </c>
      <c r="AC219" s="44">
        <f t="shared" si="102"/>
        <v>12.762504466303872</v>
      </c>
      <c r="AD219" s="44">
        <f t="shared" si="102"/>
        <v>14.442447007032245</v>
      </c>
      <c r="AE219" s="44">
        <f t="shared" si="102"/>
        <v>16.34454632010209</v>
      </c>
      <c r="AF219" s="44">
        <f t="shared" si="102"/>
        <v>18.498290971941969</v>
      </c>
      <c r="AG219" s="44">
        <f t="shared" si="102"/>
        <v>20.937095618479546</v>
      </c>
      <c r="AH219" s="44">
        <f t="shared" si="102"/>
        <v>23.698824988741201</v>
      </c>
    </row>
    <row r="220" spans="1:47">
      <c r="C220" t="s">
        <v>248</v>
      </c>
      <c r="D220" s="44">
        <f t="shared" ref="D220:AH220" si="103">D65</f>
        <v>26.799786402018107</v>
      </c>
      <c r="E220" s="44">
        <f t="shared" si="103"/>
        <v>28.769681809966333</v>
      </c>
      <c r="F220" s="44">
        <f t="shared" si="103"/>
        <v>30.807720797164642</v>
      </c>
      <c r="G220" s="44">
        <f t="shared" si="103"/>
        <v>32.915880342003298</v>
      </c>
      <c r="H220" s="44">
        <f t="shared" si="103"/>
        <v>35.096190748991432</v>
      </c>
      <c r="I220" s="44">
        <f t="shared" si="103"/>
        <v>37.35073703588138</v>
      </c>
      <c r="J220" s="44">
        <f t="shared" si="103"/>
        <v>39.180145460280585</v>
      </c>
      <c r="K220" s="44">
        <f t="shared" si="103"/>
        <v>41.064673760592719</v>
      </c>
      <c r="L220" s="44">
        <f t="shared" si="103"/>
        <v>43.005756065858371</v>
      </c>
      <c r="M220" s="44">
        <f t="shared" si="103"/>
        <v>45.004861388134636</v>
      </c>
      <c r="N220" s="44">
        <f t="shared" si="103"/>
        <v>47.063494440626691</v>
      </c>
      <c r="O220" s="44">
        <f t="shared" si="103"/>
        <v>47.110034965693075</v>
      </c>
      <c r="P220" s="44">
        <f t="shared" si="103"/>
        <v>47.1488823667829</v>
      </c>
      <c r="Q220" s="44">
        <f t="shared" si="103"/>
        <v>47.179810597404305</v>
      </c>
      <c r="R220" s="44">
        <f t="shared" si="103"/>
        <v>47.202588692034396</v>
      </c>
      <c r="S220" s="44">
        <f t="shared" si="103"/>
        <v>47.216980670019545</v>
      </c>
      <c r="T220" s="44">
        <f t="shared" si="103"/>
        <v>47.077163873772086</v>
      </c>
      <c r="U220" s="44">
        <f t="shared" si="103"/>
        <v>46.925103799560603</v>
      </c>
      <c r="V220" s="44">
        <f t="shared" si="103"/>
        <v>46.760490310763501</v>
      </c>
      <c r="W220" s="44">
        <f t="shared" si="103"/>
        <v>46.583006949548768</v>
      </c>
      <c r="X220" s="44">
        <f t="shared" si="103"/>
        <v>46.392330818424632</v>
      </c>
      <c r="Y220" s="44">
        <f t="shared" si="103"/>
        <v>46.05057326779729</v>
      </c>
      <c r="Z220" s="44">
        <f t="shared" si="103"/>
        <v>45.691947626346987</v>
      </c>
      <c r="AA220" s="44">
        <f t="shared" si="103"/>
        <v>45.316061544684054</v>
      </c>
      <c r="AB220" s="44">
        <f t="shared" si="103"/>
        <v>44.922515017267713</v>
      </c>
      <c r="AC220" s="44">
        <f t="shared" si="103"/>
        <v>44.510900243015016</v>
      </c>
      <c r="AD220" s="44">
        <f t="shared" si="103"/>
        <v>43.950425641835416</v>
      </c>
      <c r="AE220" s="44">
        <f t="shared" si="103"/>
        <v>43.368338750480113</v>
      </c>
      <c r="AF220" s="44">
        <f t="shared" si="103"/>
        <v>42.76416543473605</v>
      </c>
      <c r="AG220" s="44">
        <f t="shared" si="103"/>
        <v>42.137422599940138</v>
      </c>
      <c r="AH220" s="44">
        <f t="shared" si="103"/>
        <v>41.487618031273527</v>
      </c>
    </row>
    <row r="221" spans="1:47">
      <c r="C221" t="s">
        <v>364</v>
      </c>
      <c r="D221" s="44">
        <f>SUM(D213:D220)</f>
        <v>162.69230769230768</v>
      </c>
      <c r="E221" s="44">
        <f t="shared" ref="E221:AH221" si="104">SUM(E213:E220)</f>
        <v>167.40712626892559</v>
      </c>
      <c r="F221" s="44">
        <f t="shared" si="104"/>
        <v>171.63794644411607</v>
      </c>
      <c r="G221" s="44">
        <f t="shared" si="104"/>
        <v>175.98281383905396</v>
      </c>
      <c r="H221" s="44">
        <f t="shared" si="104"/>
        <v>180.44575773916091</v>
      </c>
      <c r="I221" s="44">
        <f t="shared" si="104"/>
        <v>185.0310664407865</v>
      </c>
      <c r="J221" s="44">
        <f t="shared" si="104"/>
        <v>189.24179989074608</v>
      </c>
      <c r="K221" s="44">
        <f t="shared" si="104"/>
        <v>193.56090949579612</v>
      </c>
      <c r="L221" s="44">
        <f t="shared" si="104"/>
        <v>197.99281651696145</v>
      </c>
      <c r="M221" s="44">
        <f t="shared" si="104"/>
        <v>202.54230848418703</v>
      </c>
      <c r="N221" s="44">
        <f t="shared" si="104"/>
        <v>207.2145829660798</v>
      </c>
      <c r="O221" s="44">
        <f t="shared" si="104"/>
        <v>209.9727507251786</v>
      </c>
      <c r="P221" s="44">
        <f t="shared" si="104"/>
        <v>212.79623085043096</v>
      </c>
      <c r="Q221" s="44">
        <f t="shared" si="104"/>
        <v>215.68995831846587</v>
      </c>
      <c r="R221" s="44">
        <f t="shared" si="104"/>
        <v>218.65947505592345</v>
      </c>
      <c r="S221" s="44">
        <f t="shared" si="104"/>
        <v>221.71100999590485</v>
      </c>
      <c r="T221" s="44">
        <f t="shared" si="104"/>
        <v>224.70598823181291</v>
      </c>
      <c r="U221" s="44">
        <f t="shared" si="104"/>
        <v>227.79450875084723</v>
      </c>
      <c r="V221" s="44">
        <f t="shared" si="104"/>
        <v>230.98539725151971</v>
      </c>
      <c r="W221" s="44">
        <f t="shared" si="104"/>
        <v>234.28860759171286</v>
      </c>
      <c r="X221" s="44">
        <f t="shared" si="104"/>
        <v>237.71537141429957</v>
      </c>
      <c r="Y221" s="44">
        <f t="shared" si="104"/>
        <v>241.11665087088093</v>
      </c>
      <c r="Z221" s="44">
        <f t="shared" si="104"/>
        <v>244.66465033328683</v>
      </c>
      <c r="AA221" s="44">
        <f t="shared" si="104"/>
        <v>248.37547549735879</v>
      </c>
      <c r="AB221" s="44">
        <f t="shared" si="104"/>
        <v>252.26733526009798</v>
      </c>
      <c r="AC221" s="44">
        <f t="shared" si="104"/>
        <v>256.36082162457058</v>
      </c>
      <c r="AD221" s="44">
        <f t="shared" si="104"/>
        <v>260.548851149857</v>
      </c>
      <c r="AE221" s="44">
        <f t="shared" si="104"/>
        <v>264.98544767252184</v>
      </c>
      <c r="AF221" s="44">
        <f t="shared" si="104"/>
        <v>269.70038941015417</v>
      </c>
      <c r="AG221" s="44">
        <f t="shared" si="104"/>
        <v>274.72738406284407</v>
      </c>
      <c r="AH221" s="44">
        <f t="shared" si="104"/>
        <v>280.10459284033055</v>
      </c>
    </row>
    <row r="223" spans="1:47">
      <c r="A223" s="1" t="s">
        <v>365</v>
      </c>
      <c r="C223" t="s">
        <v>168</v>
      </c>
      <c r="D223" s="44">
        <f>D213</f>
        <v>0</v>
      </c>
      <c r="E223" s="44">
        <f t="shared" ref="E223:AH223" si="105">E213</f>
        <v>0</v>
      </c>
      <c r="F223" s="44">
        <f t="shared" si="105"/>
        <v>0</v>
      </c>
      <c r="G223" s="44">
        <f t="shared" si="105"/>
        <v>0</v>
      </c>
      <c r="H223" s="44">
        <f t="shared" si="105"/>
        <v>0</v>
      </c>
      <c r="I223" s="44">
        <f t="shared" si="105"/>
        <v>0</v>
      </c>
      <c r="J223" s="44">
        <f t="shared" si="105"/>
        <v>0</v>
      </c>
      <c r="K223" s="44">
        <f t="shared" si="105"/>
        <v>0</v>
      </c>
      <c r="L223" s="44">
        <f t="shared" si="105"/>
        <v>0</v>
      </c>
      <c r="M223" s="44">
        <f t="shared" si="105"/>
        <v>0</v>
      </c>
      <c r="N223" s="44">
        <f t="shared" si="105"/>
        <v>0</v>
      </c>
      <c r="O223" s="44">
        <f t="shared" si="105"/>
        <v>0</v>
      </c>
      <c r="P223" s="44">
        <f t="shared" si="105"/>
        <v>0</v>
      </c>
      <c r="Q223" s="44">
        <f t="shared" si="105"/>
        <v>0</v>
      </c>
      <c r="R223" s="44">
        <f t="shared" si="105"/>
        <v>0</v>
      </c>
      <c r="S223" s="44">
        <f t="shared" si="105"/>
        <v>0</v>
      </c>
      <c r="T223" s="44">
        <f t="shared" si="105"/>
        <v>0</v>
      </c>
      <c r="U223" s="44">
        <f t="shared" si="105"/>
        <v>0</v>
      </c>
      <c r="V223" s="44">
        <f t="shared" si="105"/>
        <v>0</v>
      </c>
      <c r="W223" s="44">
        <f t="shared" si="105"/>
        <v>0</v>
      </c>
      <c r="X223" s="44">
        <f t="shared" si="105"/>
        <v>0</v>
      </c>
      <c r="Y223" s="44">
        <f t="shared" si="105"/>
        <v>0</v>
      </c>
      <c r="Z223" s="44">
        <f t="shared" si="105"/>
        <v>0</v>
      </c>
      <c r="AA223" s="44">
        <f t="shared" si="105"/>
        <v>0</v>
      </c>
      <c r="AB223" s="44">
        <f t="shared" si="105"/>
        <v>0</v>
      </c>
      <c r="AC223" s="44">
        <f t="shared" si="105"/>
        <v>0</v>
      </c>
      <c r="AD223" s="44">
        <f t="shared" si="105"/>
        <v>0</v>
      </c>
      <c r="AE223" s="44">
        <f t="shared" si="105"/>
        <v>0</v>
      </c>
      <c r="AF223" s="44">
        <f t="shared" si="105"/>
        <v>0</v>
      </c>
      <c r="AG223" s="44">
        <f t="shared" si="105"/>
        <v>0</v>
      </c>
      <c r="AH223" s="44">
        <f t="shared" si="105"/>
        <v>0</v>
      </c>
    </row>
    <row r="224" spans="1:47">
      <c r="C224" t="s">
        <v>172</v>
      </c>
      <c r="D224" s="44">
        <f>D214</f>
        <v>0</v>
      </c>
      <c r="E224" s="44">
        <f t="shared" ref="E224:AH224" si="106">E214</f>
        <v>0</v>
      </c>
      <c r="F224" s="44">
        <f t="shared" si="106"/>
        <v>0</v>
      </c>
      <c r="G224" s="44">
        <f t="shared" si="106"/>
        <v>0</v>
      </c>
      <c r="H224" s="44">
        <f t="shared" si="106"/>
        <v>0</v>
      </c>
      <c r="I224" s="44">
        <f t="shared" si="106"/>
        <v>0</v>
      </c>
      <c r="J224" s="44">
        <f t="shared" si="106"/>
        <v>0</v>
      </c>
      <c r="K224" s="44">
        <f t="shared" si="106"/>
        <v>0</v>
      </c>
      <c r="L224" s="44">
        <f t="shared" si="106"/>
        <v>0</v>
      </c>
      <c r="M224" s="44">
        <f t="shared" si="106"/>
        <v>0</v>
      </c>
      <c r="N224" s="44">
        <f t="shared" si="106"/>
        <v>0</v>
      </c>
      <c r="O224" s="44">
        <f t="shared" si="106"/>
        <v>0</v>
      </c>
      <c r="P224" s="44">
        <f t="shared" si="106"/>
        <v>0</v>
      </c>
      <c r="Q224" s="44">
        <f t="shared" si="106"/>
        <v>0</v>
      </c>
      <c r="R224" s="44">
        <f t="shared" si="106"/>
        <v>0</v>
      </c>
      <c r="S224" s="44">
        <f t="shared" si="106"/>
        <v>0</v>
      </c>
      <c r="T224" s="44">
        <f t="shared" si="106"/>
        <v>0</v>
      </c>
      <c r="U224" s="44">
        <f t="shared" si="106"/>
        <v>0</v>
      </c>
      <c r="V224" s="44">
        <f t="shared" si="106"/>
        <v>0</v>
      </c>
      <c r="W224" s="44">
        <f t="shared" si="106"/>
        <v>0</v>
      </c>
      <c r="X224" s="44">
        <f t="shared" si="106"/>
        <v>0</v>
      </c>
      <c r="Y224" s="44">
        <f t="shared" si="106"/>
        <v>0</v>
      </c>
      <c r="Z224" s="44">
        <f t="shared" si="106"/>
        <v>0</v>
      </c>
      <c r="AA224" s="44">
        <f t="shared" si="106"/>
        <v>0</v>
      </c>
      <c r="AB224" s="44">
        <f t="shared" si="106"/>
        <v>0</v>
      </c>
      <c r="AC224" s="44">
        <f t="shared" si="106"/>
        <v>0</v>
      </c>
      <c r="AD224" s="44">
        <f t="shared" si="106"/>
        <v>0</v>
      </c>
      <c r="AE224" s="44">
        <f t="shared" si="106"/>
        <v>0</v>
      </c>
      <c r="AF224" s="44">
        <f t="shared" si="106"/>
        <v>0</v>
      </c>
      <c r="AG224" s="44">
        <f t="shared" si="106"/>
        <v>0</v>
      </c>
      <c r="AH224" s="44">
        <f t="shared" si="106"/>
        <v>0</v>
      </c>
    </row>
    <row r="225" spans="3:37">
      <c r="C225" t="s">
        <v>193</v>
      </c>
      <c r="D225" s="44" cm="1">
        <f t="array" ref="D225">-(D95-D92+D105-D102+D115-D112+_xlfn.IFS(D127&lt;0, -D122, D127-D122&lt;=0,D127-D122, else, D122)+D139-D134)</f>
        <v>0</v>
      </c>
      <c r="E225" s="44" cm="1">
        <f t="array" ref="E225">-(E95-E92+E105-E102+E115-E112+_xlfn.IFS(E127&lt;0, -E122, E127-E122&lt;=0,E127-E122, else, E122)+E139-E134)</f>
        <v>1.4621836363300211</v>
      </c>
      <c r="F225" s="44" cm="1">
        <f t="array" ref="F225">-(F95-F92+F105-F102+F115-F112+_xlfn.IFS(F127&lt;0, -F122, F127-F122&lt;=0,F127-F122, else, F122)+F139-F134)</f>
        <v>2.944010127215801</v>
      </c>
      <c r="G225" s="44" cm="1">
        <f t="array" ref="G225">-(G95-G92+G105-G102+G115-G112+_xlfn.IFS(G127&lt;0, -G122, G127-G122&lt;=0,G127-G122, else, G122)+G139-G134)</f>
        <v>4.4365200003454035</v>
      </c>
      <c r="H225" s="44" cm="1">
        <f t="array" ref="H225">-(H95-H92+H105-H102+H115-H112+_xlfn.IFS(H127&lt;0, -H122, H127-H122&lt;=0,H127-H122, else, H122)+H139-H134)</f>
        <v>5.9302528805166794</v>
      </c>
      <c r="I225" s="44" cm="1">
        <f t="array" ref="I225">-(I95-I92+I105-I102+I115-I112+_xlfn.IFS(I127&lt;0, -I122, I127-I122&lt;=0,I127-I122, else, I122)+I139-I134)</f>
        <v>7.4153451672428154</v>
      </c>
      <c r="J225" s="44" cm="1">
        <f t="array" ref="J225">-(J95-J92+J105-J102+J115-J112+_xlfn.IFS(J127&lt;0, -J122, J127-J122&lt;=0,J127-J122, else, J122)+J139-J134)</f>
        <v>8.9393227931947514</v>
      </c>
      <c r="K225" s="44" cm="1">
        <f t="array" ref="K225">-(K95-K92+K105-K102+K115-K112+_xlfn.IFS(K127&lt;0, -K122, K127-K122&lt;=0,K127-K122, else, K122)+K139-K134)</f>
        <v>10.501473872027212</v>
      </c>
      <c r="L225" s="44" cm="1">
        <f t="array" ref="L225">-(L95-L92+L105-L102+L115-L112+_xlfn.IFS(L127&lt;0, -L122, L127-L122&lt;=0,L127-L122, else, L122)+L139-L134)</f>
        <v>12.100995476868434</v>
      </c>
      <c r="M225" s="44" cm="1">
        <f t="array" ref="M225">-(M95-M92+M105-M102+M115-M112+_xlfn.IFS(M127&lt;0, -M122, M127-M122&lt;=0,M127-M122, else, M122)+M139-M134)</f>
        <v>13.736992876259663</v>
      </c>
      <c r="N225" s="44" cm="1">
        <f t="array" ref="N225">-(N95-N92+N105-N102+N115-N112+_xlfn.IFS(N127&lt;0, -N122, N127-N122&lt;=0,N127-N122, else, N122)+N139-N134)</f>
        <v>15.408479007310667</v>
      </c>
      <c r="O225" s="44" cm="1">
        <f t="array" ref="O225">-(O95-O92+O105-O102+O115-O112+_xlfn.IFS(O127&lt;0, -O122, O127-O122&lt;=0,O127-O122, else, O122)+O139-O134)</f>
        <v>18.293943556583883</v>
      </c>
      <c r="P225" s="44" cm="1">
        <f t="array" ref="P225">-(P95-P92+P105-P102+P115-P112+_xlfn.IFS(P127&lt;0, -P122, P127-P122&lt;=0,P127-P122, else, P122)+P139-P134)</f>
        <v>21.190777949600459</v>
      </c>
      <c r="Q225" s="44" cm="1">
        <f t="array" ref="Q225">-(Q95-Q92+Q105-Q102+Q115-Q112+_xlfn.IFS(Q127&lt;0, -Q122, Q127-Q122&lt;=0,Q127-Q122, else, Q122)+Q139-Q134)</f>
        <v>24.084718380360666</v>
      </c>
      <c r="R225" s="44" cm="1">
        <f t="array" ref="R225">-(R95-R92+R105-R102+R115-R112+_xlfn.IFS(R127&lt;0, -R122, R127-R122&lt;=0,R127-R122, else, R122)+R139-R134)</f>
        <v>26.95963106515492</v>
      </c>
      <c r="S225" s="44" cm="1">
        <f t="array" ref="S225">-(S95-S92+S105-S102+S115-S112+_xlfn.IFS(S127&lt;0, -S122, S127-S122&lt;=0,S127-S122, else, S122)+S139-S134)</f>
        <v>29.799750884629518</v>
      </c>
      <c r="T225" s="44" cm="1">
        <f t="array" ref="T225">-(T95-T92+T105-T102+T115-T112+_xlfn.IFS(T127&lt;0, -T122, T127-T122&lt;=0,T127-T122, else, T122)+T139-T134)</f>
        <v>32.680069746422809</v>
      </c>
      <c r="U225" s="44" cm="1">
        <f t="array" ref="U225">-(U95-U92+U105-U102+U115-U112+_xlfn.IFS(U127&lt;0, -U122, U127-U122&lt;=0,U127-U122, else, U122)+U139-U134)</f>
        <v>35.600154113010383</v>
      </c>
      <c r="V225" s="44" cm="1">
        <f t="array" ref="V225">-(V95-V92+V105-V102+V115-V112+_xlfn.IFS(V127&lt;0, -V122, V127-V122&lt;=0,V127-V122, else, V122)+V139-V134)</f>
        <v>38.559545808642397</v>
      </c>
      <c r="W225" s="44" cm="1">
        <f t="array" ref="W225">-(W95-W92+W105-W102+W115-W112+_xlfn.IFS(W127&lt;0, -W122, W127-W122&lt;=0,W127-W122, else, W122)+W139-W134)</f>
        <v>41.55776197170001</v>
      </c>
      <c r="X225" s="44" cm="1">
        <f t="array" ref="X225">-(X95-X92+X105-X102+X115-X112+_xlfn.IFS(X127&lt;0, -X122, X127-X122&lt;=0,X127-X122, else, X122)+X139-X134)</f>
        <v>44.594295024093611</v>
      </c>
      <c r="Y225" s="44" cm="1">
        <f t="array" ref="Y225">-(Y95-Y92+Y105-Y102+Y115-Y112+_xlfn.IFS(Y127&lt;0, -Y122, Y127-Y122&lt;=0,Y127-Y122, else, Y122)+Y139-Y134)</f>
        <v>49.402317850780818</v>
      </c>
      <c r="Z225" s="44" cm="1">
        <f t="array" ref="Z225">-(Z95-Z92+Z105-Z102+Z115-Z112+_xlfn.IFS(Z127&lt;0, -Z122, Z127-Z122&lt;=0,Z127-Z122, else, Z122)+Z139-Z134)</f>
        <v>54.275773632551058</v>
      </c>
      <c r="AA225" s="44" cm="1">
        <f t="array" ref="AA225">-(AA95-AA92+AA105-AA102+AA115-AA112+_xlfn.IFS(AA127&lt;0, -AA122, AA127-AA122&lt;=0,AA127-AA122, else, AA122)+AA139-AA134)</f>
        <v>59.217035433570672</v>
      </c>
      <c r="AB225" s="44" cm="1">
        <f t="array" ref="AB225">-(AB95-AB92+AB105-AB102+AB115-AB112+_xlfn.IFS(AB127&lt;0, -AB122, AB127-AB122&lt;=0,AB127-AB122, else, AB122)+AB139-AB134)</f>
        <v>64.222811471500989</v>
      </c>
      <c r="AC225" s="44" cm="1">
        <f t="array" ref="AC225">-(AC95-AC92+AC105-AC102+AC115-AC112+_xlfn.IFS(AC127&lt;0, -AC122, AC127-AC122&lt;=0,AC127-AC122, else, AC122)+AC139-AC134)</f>
        <v>69.292332356656701</v>
      </c>
      <c r="AD225" s="44" cm="1">
        <f t="array" ref="AD225">-(AD95-AD92+AD105-AD102+AD115-AD112+_xlfn.IFS(AD127&lt;0, -AD122, AD127-AD122&lt;=0,AD127-AD122, else, AD122)+AD139-AD134)</f>
        <v>74.425663976278884</v>
      </c>
      <c r="AE225" s="44" cm="1">
        <f t="array" ref="AE225">-(AE95-AE92+AE105-AE102+AE115-AE112+_xlfn.IFS(AE127&lt;0, -AE122, AE127-AE122&lt;=0,AE127-AE122, else, AE122)+AE139-AE134)</f>
        <v>79.62211116773608</v>
      </c>
      <c r="AF225" s="44" cm="1">
        <f t="array" ref="AF225">-(AF95-AF92+AF105-AF102+AF115-AF112+_xlfn.IFS(AF127&lt;0, -AF122, AF127-AF122&lt;=0,AF127-AF122, else, AF122)+AF139-AF134)</f>
        <v>84.880945366261301</v>
      </c>
      <c r="AG225" s="44" cm="1">
        <f t="array" ref="AG225">-(AG95-AG92+AG105-AG102+AG115-AG112+_xlfn.IFS(AG127&lt;0, -AG122, AG127-AG122&lt;=0,AG127-AG122, else, AG122)+AG139-AG134)</f>
        <v>90.201404568491697</v>
      </c>
      <c r="AH225" s="44" cm="1">
        <f t="array" ref="AH225">-(AH95-AH92+AH105-AH102+AH115-AH112+_xlfn.IFS(AH127&lt;0, -AH122, AH127-AH122&lt;=0,AH127-AH122, else, AH122)+AH139-AH134)</f>
        <v>95.582693315351975</v>
      </c>
      <c r="AI225" s="44"/>
      <c r="AJ225" s="44"/>
    </row>
    <row r="226" spans="3:37">
      <c r="C226" t="s">
        <v>324</v>
      </c>
      <c r="D226" s="44">
        <f t="shared" ref="D226:AH226" si="107">D95</f>
        <v>89.109936202323638</v>
      </c>
      <c r="E226" s="44">
        <f t="shared" si="107"/>
        <v>89.829836630557338</v>
      </c>
      <c r="F226" s="44">
        <f t="shared" si="107"/>
        <v>90.555889836638116</v>
      </c>
      <c r="G226" s="44">
        <f t="shared" si="107"/>
        <v>91.291564660184932</v>
      </c>
      <c r="H226" s="44">
        <f t="shared" si="107"/>
        <v>92.040553574491227</v>
      </c>
      <c r="I226" s="44">
        <f t="shared" si="107"/>
        <v>92.806737501442029</v>
      </c>
      <c r="J226" s="44">
        <f t="shared" si="107"/>
        <v>93.575892521759798</v>
      </c>
      <c r="K226" s="44">
        <f t="shared" si="107"/>
        <v>94.348534484207065</v>
      </c>
      <c r="L226" s="44">
        <f t="shared" si="107"/>
        <v>95.125218522477567</v>
      </c>
      <c r="M226" s="44">
        <f t="shared" si="107"/>
        <v>95.906539424855779</v>
      </c>
      <c r="N226" s="44">
        <f t="shared" si="107"/>
        <v>96.693131911530969</v>
      </c>
      <c r="O226" s="44">
        <f t="shared" si="107"/>
        <v>97.094607111060128</v>
      </c>
      <c r="P226" s="44">
        <f t="shared" si="107"/>
        <v>97.510578870352035</v>
      </c>
      <c r="Q226" s="44">
        <f t="shared" si="107"/>
        <v>97.946687164041833</v>
      </c>
      <c r="R226" s="44">
        <f t="shared" si="107"/>
        <v>98.408844764931402</v>
      </c>
      <c r="S226" s="44">
        <f t="shared" si="107"/>
        <v>98.903017634391929</v>
      </c>
      <c r="T226" s="44">
        <f t="shared" si="107"/>
        <v>99.404476773749593</v>
      </c>
      <c r="U226" s="44">
        <f t="shared" si="107"/>
        <v>99.913691159918287</v>
      </c>
      <c r="V226" s="44">
        <f t="shared" si="107"/>
        <v>100.43114257382814</v>
      </c>
      <c r="W226" s="44">
        <f t="shared" si="107"/>
        <v>100.95732565686643</v>
      </c>
      <c r="X226" s="44">
        <f t="shared" si="107"/>
        <v>101.49274796194878</v>
      </c>
      <c r="Y226" s="44">
        <f t="shared" si="107"/>
        <v>101.31275830007256</v>
      </c>
      <c r="Z226" s="44">
        <f t="shared" si="107"/>
        <v>101.13188050821792</v>
      </c>
      <c r="AA226" s="44">
        <f t="shared" si="107"/>
        <v>100.95059266997912</v>
      </c>
      <c r="AB226" s="44">
        <f t="shared" si="107"/>
        <v>100.76966522918352</v>
      </c>
      <c r="AC226" s="44">
        <f t="shared" si="107"/>
        <v>100.58975567594824</v>
      </c>
      <c r="AD226" s="44">
        <f t="shared" si="107"/>
        <v>100.41123064882636</v>
      </c>
      <c r="AE226" s="44">
        <f t="shared" si="107"/>
        <v>100.23472793480775</v>
      </c>
      <c r="AF226" s="44">
        <f t="shared" si="107"/>
        <v>100.06090225718059</v>
      </c>
      <c r="AG226" s="44">
        <f t="shared" si="107"/>
        <v>99.890425318120307</v>
      </c>
      <c r="AH226" s="44">
        <f t="shared" si="107"/>
        <v>99.723985834762843</v>
      </c>
    </row>
    <row r="227" spans="3:37">
      <c r="C227" t="s">
        <v>310</v>
      </c>
      <c r="D227" s="44">
        <f t="shared" ref="D227:AH227" si="108">IF(D127&lt;0,0,D127)</f>
        <v>34.871127768537121</v>
      </c>
      <c r="E227" s="44">
        <f t="shared" si="108"/>
        <v>34.908687174731817</v>
      </c>
      <c r="F227" s="44">
        <f t="shared" si="108"/>
        <v>34.94920001671418</v>
      </c>
      <c r="G227" s="44">
        <f t="shared" si="108"/>
        <v>34.99618274629352</v>
      </c>
      <c r="H227" s="44">
        <f t="shared" si="108"/>
        <v>35.053344779078166</v>
      </c>
      <c r="I227" s="44">
        <f t="shared" si="108"/>
        <v>35.124552774188977</v>
      </c>
      <c r="J227" s="44">
        <f t="shared" si="108"/>
        <v>35.191159099089063</v>
      </c>
      <c r="K227" s="44">
        <f t="shared" si="108"/>
        <v>35.253571035869598</v>
      </c>
      <c r="L227" s="44">
        <f t="shared" si="108"/>
        <v>35.312233949101184</v>
      </c>
      <c r="M227" s="44">
        <f t="shared" si="108"/>
        <v>35.367631801554154</v>
      </c>
      <c r="N227" s="44">
        <f t="shared" si="108"/>
        <v>35.420287583688825</v>
      </c>
      <c r="O227" s="44">
        <f t="shared" si="108"/>
        <v>34.99786886740408</v>
      </c>
      <c r="P227" s="44">
        <f t="shared" si="108"/>
        <v>34.580383621537202</v>
      </c>
      <c r="Q227" s="44">
        <f t="shared" si="108"/>
        <v>34.17359352717191</v>
      </c>
      <c r="R227" s="44">
        <f t="shared" si="108"/>
        <v>33.783885768629204</v>
      </c>
      <c r="S227" s="44">
        <f t="shared" si="108"/>
        <v>33.417590629833796</v>
      </c>
      <c r="T227" s="44">
        <f t="shared" si="108"/>
        <v>33.045617007722264</v>
      </c>
      <c r="U227" s="44">
        <f t="shared" si="108"/>
        <v>32.668305112289246</v>
      </c>
      <c r="V227" s="44">
        <f t="shared" si="108"/>
        <v>32.286009995059104</v>
      </c>
      <c r="W227" s="44">
        <f t="shared" si="108"/>
        <v>31.899101690686134</v>
      </c>
      <c r="X227" s="44">
        <f t="shared" si="108"/>
        <v>31.50796535224157</v>
      </c>
      <c r="Y227" s="44">
        <f t="shared" si="108"/>
        <v>30.512658447720394</v>
      </c>
      <c r="Z227" s="44">
        <f t="shared" si="108"/>
        <v>29.502651156969339</v>
      </c>
      <c r="AA227" s="44">
        <f t="shared" si="108"/>
        <v>28.477856658540055</v>
      </c>
      <c r="AB227" s="44">
        <f t="shared" si="108"/>
        <v>27.439258668538518</v>
      </c>
      <c r="AC227" s="44">
        <f t="shared" si="108"/>
        <v>26.387361576087358</v>
      </c>
      <c r="AD227" s="44">
        <f t="shared" si="108"/>
        <v>25.322352118852503</v>
      </c>
      <c r="AE227" s="44">
        <f t="shared" si="108"/>
        <v>24.244720315818974</v>
      </c>
      <c r="AF227" s="44">
        <f t="shared" si="108"/>
        <v>23.154976088219943</v>
      </c>
      <c r="AG227" s="44">
        <f t="shared" si="108"/>
        <v>22.053649406625048</v>
      </c>
      <c r="AH227" s="44">
        <f t="shared" si="108"/>
        <v>20.941290430166294</v>
      </c>
    </row>
    <row r="228" spans="3:37">
      <c r="C228" t="s">
        <v>311</v>
      </c>
      <c r="D228" s="44">
        <f t="shared" ref="D228:AH228" si="109">D105</f>
        <v>8.4778361655826675</v>
      </c>
      <c r="E228" s="44">
        <f t="shared" si="109"/>
        <v>8.5387542311189808</v>
      </c>
      <c r="F228" s="44">
        <f t="shared" si="109"/>
        <v>8.6013545598060901</v>
      </c>
      <c r="G228" s="44">
        <f t="shared" si="109"/>
        <v>8.6662542805925202</v>
      </c>
      <c r="H228" s="44">
        <f t="shared" si="109"/>
        <v>8.7341086982684395</v>
      </c>
      <c r="I228" s="44">
        <f t="shared" si="109"/>
        <v>8.8056058583333989</v>
      </c>
      <c r="J228" s="44">
        <f t="shared" si="109"/>
        <v>8.8770113267610977</v>
      </c>
      <c r="K228" s="44">
        <f t="shared" si="109"/>
        <v>8.9483903863471497</v>
      </c>
      <c r="L228" s="44">
        <f t="shared" si="109"/>
        <v>9.0198161926900262</v>
      </c>
      <c r="M228" s="44">
        <f t="shared" si="109"/>
        <v>9.0913700128886799</v>
      </c>
      <c r="N228" s="44">
        <f t="shared" si="109"/>
        <v>9.1631414509716773</v>
      </c>
      <c r="O228" s="44">
        <f t="shared" si="109"/>
        <v>9.1786897211618186</v>
      </c>
      <c r="P228" s="44">
        <f t="shared" si="109"/>
        <v>9.1963220122154272</v>
      </c>
      <c r="Q228" s="44">
        <f t="shared" si="109"/>
        <v>9.2168199894270035</v>
      </c>
      <c r="R228" s="44">
        <f t="shared" si="109"/>
        <v>9.2415750047333205</v>
      </c>
      <c r="S228" s="44">
        <f t="shared" si="109"/>
        <v>9.2717908654162375</v>
      </c>
      <c r="T228" s="44">
        <f t="shared" si="109"/>
        <v>9.3018602731742135</v>
      </c>
      <c r="U228" s="44">
        <f t="shared" si="109"/>
        <v>9.3318586066614824</v>
      </c>
      <c r="V228" s="44">
        <f t="shared" si="109"/>
        <v>9.3618657158678182</v>
      </c>
      <c r="W228" s="44">
        <f t="shared" si="109"/>
        <v>9.391966026374158</v>
      </c>
      <c r="X228" s="44">
        <f t="shared" si="109"/>
        <v>9.4222486434326171</v>
      </c>
      <c r="Y228" s="44">
        <f t="shared" si="109"/>
        <v>9.3138878963283442</v>
      </c>
      <c r="Z228" s="44">
        <f t="shared" si="109"/>
        <v>9.2016445234023259</v>
      </c>
      <c r="AA228" s="44">
        <f t="shared" si="109"/>
        <v>9.0835795432406545</v>
      </c>
      <c r="AB228" s="44">
        <f t="shared" si="109"/>
        <v>8.9612403508951939</v>
      </c>
      <c r="AC228" s="44">
        <f t="shared" si="109"/>
        <v>8.834645046719757</v>
      </c>
      <c r="AD228" s="44">
        <f t="shared" si="109"/>
        <v>8.7037504179162237</v>
      </c>
      <c r="AE228" s="44">
        <f t="shared" si="109"/>
        <v>8.5685733495295384</v>
      </c>
      <c r="AF228" s="44">
        <f t="shared" si="109"/>
        <v>8.4291357734915451</v>
      </c>
      <c r="AG228" s="44">
        <f t="shared" si="109"/>
        <v>8.2854648267701023</v>
      </c>
      <c r="AH228" s="44">
        <f t="shared" si="109"/>
        <v>8.137593010117774</v>
      </c>
    </row>
    <row r="229" spans="3:37">
      <c r="C229" s="131" t="s">
        <v>320</v>
      </c>
      <c r="D229" s="44">
        <f t="shared" ref="D229:AH229" si="110">D115</f>
        <v>3.4336211538461541</v>
      </c>
      <c r="E229" s="44">
        <f t="shared" si="110"/>
        <v>3.4413230670820969</v>
      </c>
      <c r="F229" s="44">
        <f t="shared" si="110"/>
        <v>3.4524814743908134</v>
      </c>
      <c r="G229" s="44">
        <f t="shared" si="110"/>
        <v>3.4676218579303244</v>
      </c>
      <c r="H229" s="44">
        <f t="shared" si="110"/>
        <v>3.4872617138732358</v>
      </c>
      <c r="I229" s="44">
        <f t="shared" si="110"/>
        <v>3.5119041246431655</v>
      </c>
      <c r="J229" s="44">
        <f t="shared" si="110"/>
        <v>3.5386150037174087</v>
      </c>
      <c r="K229" s="44">
        <f t="shared" si="110"/>
        <v>3.5675356404906902</v>
      </c>
      <c r="L229" s="44">
        <f t="shared" si="110"/>
        <v>3.5988093875984375</v>
      </c>
      <c r="M229" s="44">
        <f t="shared" si="110"/>
        <v>3.6325814008687249</v>
      </c>
      <c r="N229" s="44">
        <f t="shared" si="110"/>
        <v>3.6689983694745649</v>
      </c>
      <c r="O229" s="44">
        <f t="shared" si="110"/>
        <v>3.6506423870512466</v>
      </c>
      <c r="P229" s="44">
        <f t="shared" si="110"/>
        <v>3.6383343945744295</v>
      </c>
      <c r="Q229" s="44">
        <f t="shared" si="110"/>
        <v>3.6327890330668708</v>
      </c>
      <c r="R229" s="44">
        <f t="shared" si="110"/>
        <v>3.6346918566450475</v>
      </c>
      <c r="S229" s="44">
        <f t="shared" si="110"/>
        <v>3.6446923862982947</v>
      </c>
      <c r="T229" s="44">
        <f t="shared" si="110"/>
        <v>3.6591443933197585</v>
      </c>
      <c r="U229" s="44">
        <f t="shared" si="110"/>
        <v>3.6781805327046957</v>
      </c>
      <c r="V229" s="44">
        <f t="shared" si="110"/>
        <v>3.7019335707647985</v>
      </c>
      <c r="W229" s="44">
        <f t="shared" si="110"/>
        <v>3.7305363206476105</v>
      </c>
      <c r="X229" s="44">
        <f t="shared" si="110"/>
        <v>3.7641215780523112</v>
      </c>
      <c r="Y229" s="44">
        <f t="shared" si="110"/>
        <v>3.7423938156935606</v>
      </c>
      <c r="Z229" s="44">
        <f t="shared" si="110"/>
        <v>3.7270090514671219</v>
      </c>
      <c r="AA229" s="44">
        <f t="shared" si="110"/>
        <v>3.7181455811352908</v>
      </c>
      <c r="AB229" s="44">
        <f t="shared" si="110"/>
        <v>3.7159812431737178</v>
      </c>
      <c r="AC229" s="44">
        <f t="shared" si="110"/>
        <v>3.720693325383273</v>
      </c>
      <c r="AD229" s="44">
        <f t="shared" si="110"/>
        <v>3.7324263498481685</v>
      </c>
      <c r="AE229" s="44">
        <f t="shared" si="110"/>
        <v>3.7513532083561376</v>
      </c>
      <c r="AF229" s="44">
        <f t="shared" si="110"/>
        <v>3.7776462319244271</v>
      </c>
      <c r="AG229" s="44">
        <f t="shared" si="110"/>
        <v>3.8114771120038204</v>
      </c>
      <c r="AH229" s="44">
        <f t="shared" si="110"/>
        <v>3.8530168224272145</v>
      </c>
    </row>
    <row r="230" spans="3:37">
      <c r="C230" t="s">
        <v>321</v>
      </c>
      <c r="D230" s="44">
        <f>D219</f>
        <v>0</v>
      </c>
      <c r="E230" s="44">
        <f t="shared" ref="E230:AH230" si="111">E219</f>
        <v>0.67110171196554103</v>
      </c>
      <c r="F230" s="44">
        <f t="shared" si="111"/>
        <v>0.75796752501421338</v>
      </c>
      <c r="G230" s="44">
        <f t="shared" si="111"/>
        <v>0.85616184156287534</v>
      </c>
      <c r="H230" s="44">
        <f t="shared" si="111"/>
        <v>0.9671713517084386</v>
      </c>
      <c r="I230" s="44">
        <f t="shared" si="111"/>
        <v>1.0926788620857466</v>
      </c>
      <c r="J230" s="44">
        <f t="shared" si="111"/>
        <v>1.2345892759355666</v>
      </c>
      <c r="K230" s="44">
        <f t="shared" si="111"/>
        <v>1.3950590265859308</v>
      </c>
      <c r="L230" s="44">
        <f t="shared" si="111"/>
        <v>1.5765294246538997</v>
      </c>
      <c r="M230" s="44">
        <f t="shared" si="111"/>
        <v>1.7817644407638649</v>
      </c>
      <c r="N230" s="44">
        <f t="shared" si="111"/>
        <v>2.0138935152958402</v>
      </c>
      <c r="O230" s="44">
        <f t="shared" si="111"/>
        <v>2.2764600657252894</v>
      </c>
      <c r="P230" s="44">
        <f t="shared" si="111"/>
        <v>2.5734764517453481</v>
      </c>
      <c r="Q230" s="44">
        <f t="shared" si="111"/>
        <v>2.9094862599913314</v>
      </c>
      <c r="R230" s="44">
        <f t="shared" si="111"/>
        <v>3.2896348854242845</v>
      </c>
      <c r="S230" s="44">
        <f t="shared" si="111"/>
        <v>3.7197495171000581</v>
      </c>
      <c r="T230" s="44">
        <f t="shared" si="111"/>
        <v>4.2064297842214451</v>
      </c>
      <c r="U230" s="44">
        <f t="shared" si="111"/>
        <v>4.7571504863910397</v>
      </c>
      <c r="V230" s="44">
        <f t="shared" si="111"/>
        <v>5.3803780225130033</v>
      </c>
      <c r="W230" s="44">
        <f t="shared" si="111"/>
        <v>6.0857023488525108</v>
      </c>
      <c r="X230" s="44">
        <f t="shared" si="111"/>
        <v>6.8839865417768289</v>
      </c>
      <c r="Y230" s="44">
        <f t="shared" si="111"/>
        <v>7.7875363185562083</v>
      </c>
      <c r="Z230" s="44">
        <f t="shared" si="111"/>
        <v>8.8102921847018152</v>
      </c>
      <c r="AA230" s="44">
        <f t="shared" si="111"/>
        <v>9.9680472336598847</v>
      </c>
      <c r="AB230" s="44">
        <f t="shared" si="111"/>
        <v>11.27869402993422</v>
      </c>
      <c r="AC230" s="44">
        <f t="shared" si="111"/>
        <v>12.762504466303872</v>
      </c>
      <c r="AD230" s="44">
        <f t="shared" si="111"/>
        <v>14.442447007032245</v>
      </c>
      <c r="AE230" s="44">
        <f t="shared" si="111"/>
        <v>16.34454632010209</v>
      </c>
      <c r="AF230" s="44">
        <f t="shared" si="111"/>
        <v>18.498290971941969</v>
      </c>
      <c r="AG230" s="44">
        <f t="shared" si="111"/>
        <v>20.937095618479546</v>
      </c>
      <c r="AH230" s="44">
        <f t="shared" si="111"/>
        <v>23.698824988741201</v>
      </c>
    </row>
    <row r="231" spans="3:37">
      <c r="C231" t="s">
        <v>248</v>
      </c>
      <c r="D231" s="44">
        <f t="shared" ref="D231:AH231" si="112">D139-D230</f>
        <v>26.799786402018107</v>
      </c>
      <c r="E231" s="44">
        <f t="shared" si="112"/>
        <v>28.555239817139793</v>
      </c>
      <c r="F231" s="44">
        <f t="shared" si="112"/>
        <v>30.377042904336822</v>
      </c>
      <c r="G231" s="44">
        <f t="shared" si="112"/>
        <v>32.268508452144374</v>
      </c>
      <c r="H231" s="44">
        <f t="shared" si="112"/>
        <v>34.23306474122473</v>
      </c>
      <c r="I231" s="44">
        <f t="shared" si="112"/>
        <v>36.27424215285037</v>
      </c>
      <c r="J231" s="44">
        <f t="shared" si="112"/>
        <v>37.885209870288392</v>
      </c>
      <c r="K231" s="44">
        <f t="shared" si="112"/>
        <v>39.546345050268492</v>
      </c>
      <c r="L231" s="44">
        <f t="shared" si="112"/>
        <v>41.259213563571898</v>
      </c>
      <c r="M231" s="44">
        <f t="shared" si="112"/>
        <v>43.02542852699618</v>
      </c>
      <c r="N231" s="44">
        <f t="shared" si="112"/>
        <v>44.846651127807228</v>
      </c>
      <c r="O231" s="44">
        <f t="shared" si="112"/>
        <v>44.480539016192125</v>
      </c>
      <c r="P231" s="44">
        <f t="shared" si="112"/>
        <v>44.106357550406067</v>
      </c>
      <c r="Q231" s="44">
        <f t="shared" si="112"/>
        <v>43.725863964406273</v>
      </c>
      <c r="R231" s="44">
        <f t="shared" si="112"/>
        <v>43.34121171040529</v>
      </c>
      <c r="S231" s="44">
        <f t="shared" si="112"/>
        <v>42.954418078235001</v>
      </c>
      <c r="T231" s="44">
        <f t="shared" si="112"/>
        <v>42.408390253202825</v>
      </c>
      <c r="U231" s="44">
        <f t="shared" si="112"/>
        <v>41.845168739872108</v>
      </c>
      <c r="V231" s="44">
        <f t="shared" si="112"/>
        <v>41.264521564844472</v>
      </c>
      <c r="W231" s="44">
        <f t="shared" si="112"/>
        <v>40.666213576586003</v>
      </c>
      <c r="X231" s="44">
        <f t="shared" si="112"/>
        <v>40.050006312753837</v>
      </c>
      <c r="Y231" s="44">
        <f t="shared" si="112"/>
        <v>39.045098241729022</v>
      </c>
      <c r="Z231" s="44">
        <f t="shared" si="112"/>
        <v>38.015399275977266</v>
      </c>
      <c r="AA231" s="44">
        <f t="shared" si="112"/>
        <v>36.960218377233133</v>
      </c>
      <c r="AB231" s="44">
        <f t="shared" si="112"/>
        <v>35.879684266871834</v>
      </c>
      <c r="AC231" s="44">
        <f t="shared" si="112"/>
        <v>34.773529177471374</v>
      </c>
      <c r="AD231" s="44">
        <f t="shared" si="112"/>
        <v>33.510980631102605</v>
      </c>
      <c r="AE231" s="44">
        <f t="shared" si="112"/>
        <v>32.21941537617127</v>
      </c>
      <c r="AF231" s="44">
        <f t="shared" si="112"/>
        <v>30.898492721134431</v>
      </c>
      <c r="AG231" s="44">
        <f t="shared" si="112"/>
        <v>29.547867212353566</v>
      </c>
      <c r="AH231" s="44">
        <f t="shared" si="112"/>
        <v>28.167188438763255</v>
      </c>
    </row>
    <row r="232" spans="3:37">
      <c r="D232" s="44">
        <f>SUM(D226:D231)</f>
        <v>162.69230769230768</v>
      </c>
      <c r="E232" s="44">
        <f t="shared" ref="E232:AG232" si="113">SUM(E226:E231)</f>
        <v>165.9449426325956</v>
      </c>
      <c r="F232" s="44">
        <f t="shared" si="113"/>
        <v>168.69393631690025</v>
      </c>
      <c r="G232" s="44">
        <f t="shared" si="113"/>
        <v>171.54629383870852</v>
      </c>
      <c r="H232" s="44">
        <f t="shared" si="113"/>
        <v>174.51550485864422</v>
      </c>
      <c r="I232" s="44">
        <f t="shared" si="113"/>
        <v>177.61572127354367</v>
      </c>
      <c r="J232" s="44">
        <f t="shared" si="113"/>
        <v>180.30247709755133</v>
      </c>
      <c r="K232" s="44">
        <f t="shared" si="113"/>
        <v>183.05943562376891</v>
      </c>
      <c r="L232" s="44">
        <f t="shared" si="113"/>
        <v>185.89182104009302</v>
      </c>
      <c r="M232" s="44">
        <f t="shared" si="113"/>
        <v>188.80531560792735</v>
      </c>
      <c r="N232" s="44">
        <f t="shared" si="113"/>
        <v>191.80610395876911</v>
      </c>
      <c r="O232" s="44">
        <f t="shared" si="113"/>
        <v>191.67880716859472</v>
      </c>
      <c r="P232" s="44">
        <f t="shared" si="113"/>
        <v>191.6054529008305</v>
      </c>
      <c r="Q232" s="44">
        <f t="shared" si="113"/>
        <v>191.6052399381052</v>
      </c>
      <c r="R232" s="44">
        <f t="shared" si="113"/>
        <v>191.69984399076856</v>
      </c>
      <c r="S232" s="44">
        <f t="shared" si="113"/>
        <v>191.91125911127531</v>
      </c>
      <c r="T232" s="44">
        <f t="shared" si="113"/>
        <v>192.02591848539009</v>
      </c>
      <c r="U232" s="44">
        <f t="shared" si="113"/>
        <v>192.19435463783685</v>
      </c>
      <c r="V232" s="44">
        <f t="shared" si="113"/>
        <v>192.42585144287733</v>
      </c>
      <c r="W232" s="44">
        <f t="shared" si="113"/>
        <v>192.73084562001287</v>
      </c>
      <c r="X232" s="44">
        <f t="shared" si="113"/>
        <v>193.12107639020599</v>
      </c>
      <c r="Y232" s="44">
        <f t="shared" si="113"/>
        <v>191.7143330201001</v>
      </c>
      <c r="Z232" s="44">
        <f t="shared" si="113"/>
        <v>190.38887670073581</v>
      </c>
      <c r="AA232" s="44">
        <f t="shared" si="113"/>
        <v>189.15844006378816</v>
      </c>
      <c r="AB232" s="44">
        <f t="shared" si="113"/>
        <v>188.04452378859702</v>
      </c>
      <c r="AC232" s="44">
        <f t="shared" si="113"/>
        <v>187.06848926791389</v>
      </c>
      <c r="AD232" s="44">
        <f t="shared" si="113"/>
        <v>186.12318717357812</v>
      </c>
      <c r="AE232" s="44">
        <f t="shared" si="113"/>
        <v>185.36333650478576</v>
      </c>
      <c r="AF232" s="44">
        <f t="shared" si="113"/>
        <v>184.8194440438929</v>
      </c>
      <c r="AG232" s="44">
        <f t="shared" si="113"/>
        <v>184.52597949435236</v>
      </c>
      <c r="AH232" s="44">
        <f>SUM(AH226:AH231)</f>
        <v>184.52189952497855</v>
      </c>
      <c r="AJ232" s="44">
        <f>AH233-AH232</f>
        <v>95.582693315352003</v>
      </c>
      <c r="AK232">
        <f>AJ232/AH233</f>
        <v>0.34123929331582753</v>
      </c>
    </row>
    <row r="233" spans="3:37">
      <c r="C233" t="s">
        <v>364</v>
      </c>
      <c r="D233" s="44">
        <f>SUM(D223:D231)</f>
        <v>162.69230769230768</v>
      </c>
      <c r="E233" s="44">
        <f t="shared" ref="E233:AH233" si="114">SUM(E223:E231)</f>
        <v>167.40712626892559</v>
      </c>
      <c r="F233" s="44">
        <f t="shared" si="114"/>
        <v>171.63794644411604</v>
      </c>
      <c r="G233" s="44">
        <f t="shared" si="114"/>
        <v>175.98281383905393</v>
      </c>
      <c r="H233" s="44">
        <f t="shared" si="114"/>
        <v>180.44575773916091</v>
      </c>
      <c r="I233" s="44">
        <f t="shared" si="114"/>
        <v>185.0310664407865</v>
      </c>
      <c r="J233" s="44">
        <f t="shared" si="114"/>
        <v>189.24179989074611</v>
      </c>
      <c r="K233" s="44">
        <f t="shared" si="114"/>
        <v>193.56090949579612</v>
      </c>
      <c r="L233" s="44">
        <f t="shared" si="114"/>
        <v>197.99281651696145</v>
      </c>
      <c r="M233" s="44">
        <f t="shared" si="114"/>
        <v>202.54230848418706</v>
      </c>
      <c r="N233" s="44">
        <f t="shared" si="114"/>
        <v>207.21458296607977</v>
      </c>
      <c r="O233" s="44">
        <f t="shared" si="114"/>
        <v>209.9727507251786</v>
      </c>
      <c r="P233" s="44">
        <f t="shared" si="114"/>
        <v>212.79623085043096</v>
      </c>
      <c r="Q233" s="44">
        <f t="shared" si="114"/>
        <v>215.68995831846587</v>
      </c>
      <c r="R233" s="44">
        <f t="shared" si="114"/>
        <v>218.65947505592345</v>
      </c>
      <c r="S233" s="44">
        <f t="shared" si="114"/>
        <v>221.71100999590485</v>
      </c>
      <c r="T233" s="44">
        <f t="shared" si="114"/>
        <v>224.70598823181291</v>
      </c>
      <c r="U233" s="44">
        <f t="shared" si="114"/>
        <v>227.79450875084723</v>
      </c>
      <c r="V233" s="44">
        <f t="shared" si="114"/>
        <v>230.98539725151971</v>
      </c>
      <c r="W233" s="44">
        <f t="shared" si="114"/>
        <v>234.28860759171289</v>
      </c>
      <c r="X233" s="44">
        <f t="shared" si="114"/>
        <v>237.71537141429957</v>
      </c>
      <c r="Y233" s="44">
        <f t="shared" si="114"/>
        <v>241.1166508708809</v>
      </c>
      <c r="Z233" s="44">
        <f t="shared" si="114"/>
        <v>244.66465033328686</v>
      </c>
      <c r="AA233" s="44">
        <f t="shared" si="114"/>
        <v>248.37547549735882</v>
      </c>
      <c r="AB233" s="44">
        <f t="shared" si="114"/>
        <v>252.26733526009801</v>
      </c>
      <c r="AC233" s="44">
        <f t="shared" si="114"/>
        <v>256.36082162457058</v>
      </c>
      <c r="AD233" s="44">
        <f t="shared" si="114"/>
        <v>260.548851149857</v>
      </c>
      <c r="AE233" s="44">
        <f t="shared" si="114"/>
        <v>264.98544767252184</v>
      </c>
      <c r="AF233" s="44">
        <f t="shared" si="114"/>
        <v>269.70038941015423</v>
      </c>
      <c r="AG233" s="44">
        <f t="shared" si="114"/>
        <v>274.72738406284407</v>
      </c>
      <c r="AH233" s="44">
        <f t="shared" si="114"/>
        <v>280.10459284033055</v>
      </c>
    </row>
    <row r="234" spans="3:37">
      <c r="C234" t="s">
        <v>366</v>
      </c>
      <c r="D234" s="44">
        <f>D221-D233</f>
        <v>0</v>
      </c>
      <c r="E234" s="44">
        <f t="shared" ref="E234:AH234" si="115">E221-E233</f>
        <v>0</v>
      </c>
      <c r="F234" s="44">
        <f t="shared" si="115"/>
        <v>0</v>
      </c>
      <c r="G234" s="44">
        <f t="shared" si="115"/>
        <v>0</v>
      </c>
      <c r="H234" s="44">
        <f t="shared" si="115"/>
        <v>0</v>
      </c>
      <c r="I234" s="44">
        <f t="shared" si="115"/>
        <v>0</v>
      </c>
      <c r="J234" s="44">
        <f t="shared" si="115"/>
        <v>0</v>
      </c>
      <c r="K234" s="44">
        <f t="shared" si="115"/>
        <v>0</v>
      </c>
      <c r="L234" s="44">
        <f t="shared" si="115"/>
        <v>0</v>
      </c>
      <c r="M234" s="44">
        <f t="shared" si="115"/>
        <v>0</v>
      </c>
      <c r="N234" s="44">
        <f t="shared" si="115"/>
        <v>0</v>
      </c>
      <c r="O234" s="44">
        <f t="shared" si="115"/>
        <v>0</v>
      </c>
      <c r="P234" s="44">
        <f t="shared" si="115"/>
        <v>0</v>
      </c>
      <c r="Q234" s="44">
        <f t="shared" si="115"/>
        <v>0</v>
      </c>
      <c r="R234" s="44">
        <f t="shared" si="115"/>
        <v>0</v>
      </c>
      <c r="S234" s="44">
        <f t="shared" si="115"/>
        <v>0</v>
      </c>
      <c r="T234" s="44">
        <f t="shared" si="115"/>
        <v>0</v>
      </c>
      <c r="U234" s="44">
        <f t="shared" si="115"/>
        <v>0</v>
      </c>
      <c r="V234" s="44">
        <f t="shared" si="115"/>
        <v>0</v>
      </c>
      <c r="W234" s="44">
        <f t="shared" si="115"/>
        <v>0</v>
      </c>
      <c r="X234" s="44">
        <f t="shared" si="115"/>
        <v>0</v>
      </c>
      <c r="Y234" s="44">
        <f t="shared" si="115"/>
        <v>0</v>
      </c>
      <c r="Z234" s="44">
        <f t="shared" si="115"/>
        <v>0</v>
      </c>
      <c r="AA234" s="44">
        <f t="shared" si="115"/>
        <v>0</v>
      </c>
      <c r="AB234" s="44">
        <f t="shared" si="115"/>
        <v>0</v>
      </c>
      <c r="AC234" s="44">
        <f t="shared" si="115"/>
        <v>0</v>
      </c>
      <c r="AD234" s="44">
        <f t="shared" si="115"/>
        <v>0</v>
      </c>
      <c r="AE234" s="44">
        <f t="shared" si="115"/>
        <v>0</v>
      </c>
      <c r="AF234" s="44">
        <f t="shared" si="115"/>
        <v>0</v>
      </c>
      <c r="AG234" s="44">
        <f t="shared" si="115"/>
        <v>0</v>
      </c>
      <c r="AH234" s="44">
        <f t="shared" si="115"/>
        <v>0</v>
      </c>
      <c r="AJ234" s="208" t="s">
        <v>367</v>
      </c>
    </row>
    <row r="237" spans="3:37">
      <c r="D237">
        <v>0</v>
      </c>
      <c r="E237">
        <v>1.536629370398227</v>
      </c>
      <c r="F237">
        <v>3.1378748325882846</v>
      </c>
      <c r="G237">
        <v>4.8058553576172116</v>
      </c>
      <c r="H237">
        <v>6.5427536949323617</v>
      </c>
      <c r="I237">
        <v>8.3508182176378458</v>
      </c>
      <c r="J237">
        <v>10.217469827567287</v>
      </c>
      <c r="K237">
        <v>12.154211139074649</v>
      </c>
      <c r="L237">
        <v>14.163118058249779</v>
      </c>
      <c r="M237">
        <v>16.24632257664706</v>
      </c>
      <c r="N237">
        <v>18.406014218163605</v>
      </c>
      <c r="O237">
        <v>21.676808060647105</v>
      </c>
      <c r="P237">
        <v>25.036356409643663</v>
      </c>
      <c r="Q237">
        <v>28.486535597029693</v>
      </c>
      <c r="R237">
        <v>32.029257724360271</v>
      </c>
      <c r="S237">
        <v>35.66647130542372</v>
      </c>
      <c r="T237">
        <v>39.388631859985964</v>
      </c>
      <c r="U237">
        <v>43.207567935326288</v>
      </c>
      <c r="V237">
        <v>47.125285993971872</v>
      </c>
      <c r="W237">
        <v>51.143830349675852</v>
      </c>
      <c r="X237">
        <v>55.265283843432556</v>
      </c>
      <c r="Y237">
        <v>59.784910861707516</v>
      </c>
      <c r="Z237">
        <v>64.415322852446096</v>
      </c>
      <c r="AA237">
        <v>69.158648853034379</v>
      </c>
      <c r="AB237">
        <v>74.01705345396455</v>
      </c>
      <c r="AC237">
        <v>78.992737312011329</v>
      </c>
      <c r="AD237">
        <v>84.071040960058355</v>
      </c>
      <c r="AE237">
        <v>89.269441331294743</v>
      </c>
      <c r="AF237">
        <v>94.590203155583168</v>
      </c>
      <c r="AG237">
        <v>100.03562839627524</v>
      </c>
      <c r="AH237">
        <v>105.6080567761972</v>
      </c>
    </row>
    <row r="238" spans="3:37">
      <c r="D238">
        <v>0</v>
      </c>
      <c r="E238">
        <v>0.88032096302665375</v>
      </c>
      <c r="F238">
        <v>1.7923715721163194</v>
      </c>
      <c r="G238">
        <v>2.7370689034583591</v>
      </c>
      <c r="H238">
        <v>3.7153551448618489</v>
      </c>
      <c r="I238">
        <v>4.7281982763014065</v>
      </c>
      <c r="J238">
        <v>5.7716277714562478</v>
      </c>
      <c r="K238">
        <v>6.8497043932258856</v>
      </c>
      <c r="L238">
        <v>7.9633507888078139</v>
      </c>
      <c r="M238">
        <v>9.1135124907166087</v>
      </c>
      <c r="N238">
        <v>10.301158469973473</v>
      </c>
      <c r="O238">
        <v>11.489653821159925</v>
      </c>
      <c r="P238">
        <v>12.339951903720573</v>
      </c>
      <c r="Q238">
        <v>13.625205994608486</v>
      </c>
      <c r="R238">
        <v>14.944056090340322</v>
      </c>
      <c r="S238">
        <v>16.297204430567216</v>
      </c>
      <c r="T238">
        <v>17.681523390035366</v>
      </c>
      <c r="U238">
        <v>19.101010847302735</v>
      </c>
      <c r="V238">
        <v>20.556391842947328</v>
      </c>
      <c r="W238">
        <v>22.048405254635831</v>
      </c>
      <c r="X238">
        <v>23.577804053004886</v>
      </c>
      <c r="Y238">
        <v>26.471498881771154</v>
      </c>
      <c r="Z238">
        <v>28.095962957034189</v>
      </c>
      <c r="AA238">
        <v>29.759942891463062</v>
      </c>
      <c r="AB238">
        <v>31.464239500316712</v>
      </c>
      <c r="AC238">
        <v>33.209668791575169</v>
      </c>
      <c r="AD238">
        <v>34.991430010684603</v>
      </c>
      <c r="AE238">
        <v>36.815437926680701</v>
      </c>
      <c r="AF238">
        <v>38.682540079047406</v>
      </c>
      <c r="AG238">
        <v>40.593600041494263</v>
      </c>
      <c r="AH238">
        <v>42.549497718987986</v>
      </c>
    </row>
    <row r="239" spans="3:37">
      <c r="D239">
        <v>0</v>
      </c>
      <c r="E239">
        <v>1.2374769723007439</v>
      </c>
      <c r="F239">
        <v>2.4615656143985092</v>
      </c>
      <c r="G239">
        <v>3.6630608521424683</v>
      </c>
      <c r="H239">
        <v>4.8326802040239194</v>
      </c>
      <c r="I239">
        <v>5.9611820809704241</v>
      </c>
      <c r="J239">
        <v>7.0514526281325089</v>
      </c>
      <c r="K239">
        <v>8.1385620329033159</v>
      </c>
      <c r="L239">
        <v>9.220371385779103</v>
      </c>
      <c r="M239">
        <v>10.294700075010283</v>
      </c>
      <c r="N239">
        <v>11.359330979381973</v>
      </c>
      <c r="O239">
        <v>13.121131501120111</v>
      </c>
      <c r="P239">
        <v>14.888692854078009</v>
      </c>
      <c r="Q239">
        <v>16.409671609749999</v>
      </c>
      <c r="R239">
        <v>17.792727496191965</v>
      </c>
      <c r="S239">
        <v>19.026976774316452</v>
      </c>
      <c r="T239">
        <v>20.186392462028024</v>
      </c>
      <c r="U239">
        <v>21.254641290708374</v>
      </c>
      <c r="V239">
        <v>22.228947189908567</v>
      </c>
      <c r="W239">
        <v>23.106555893327076</v>
      </c>
      <c r="X239">
        <v>23.884737435861453</v>
      </c>
      <c r="Y239">
        <v>25.043414330995681</v>
      </c>
      <c r="Z239">
        <v>26.6208397037555</v>
      </c>
      <c r="AA239">
        <v>28.021733277768874</v>
      </c>
      <c r="AB239">
        <v>29.248290722291621</v>
      </c>
      <c r="AC239">
        <v>30.296028689797176</v>
      </c>
      <c r="AD239">
        <v>31.145839307416061</v>
      </c>
      <c r="AE239">
        <v>31.806778708629587</v>
      </c>
      <c r="AF239">
        <v>32.226279254183297</v>
      </c>
      <c r="AG239">
        <v>32.264513733238203</v>
      </c>
      <c r="AH239">
        <v>32.613049399644098</v>
      </c>
    </row>
    <row r="240" spans="3:37">
      <c r="D240">
        <v>89.109936202323638</v>
      </c>
      <c r="E240">
        <v>88.704043653620772</v>
      </c>
      <c r="F240">
        <v>88.284941785638097</v>
      </c>
      <c r="G240">
        <v>87.855717285760221</v>
      </c>
      <c r="H240">
        <v>87.419485035823044</v>
      </c>
      <c r="I240">
        <v>86.97934036358194</v>
      </c>
      <c r="J240">
        <v>86.521509901953792</v>
      </c>
      <c r="K240">
        <v>86.046345972149084</v>
      </c>
      <c r="L240">
        <v>85.554208928928389</v>
      </c>
      <c r="M240">
        <v>85.045464872391136</v>
      </c>
      <c r="N240">
        <v>84.52048324838384</v>
      </c>
      <c r="O240">
        <v>82.695352689466034</v>
      </c>
      <c r="P240">
        <v>81.187072316097357</v>
      </c>
      <c r="Q240">
        <v>79.319051894798747</v>
      </c>
      <c r="R240">
        <v>77.450254862257637</v>
      </c>
      <c r="S240">
        <v>75.583307384605774</v>
      </c>
      <c r="T240">
        <v>73.697924097382227</v>
      </c>
      <c r="U240">
        <v>71.793925547898851</v>
      </c>
      <c r="V240">
        <v>69.871096536362472</v>
      </c>
      <c r="W240">
        <v>67.929184610302457</v>
      </c>
      <c r="X240">
        <v>65.967898546604644</v>
      </c>
      <c r="Y240">
        <v>62.427690508865211</v>
      </c>
      <c r="Z240">
        <v>59.966728804720262</v>
      </c>
      <c r="AA240">
        <v>57.514969407270712</v>
      </c>
      <c r="AB240">
        <v>55.072439781083489</v>
      </c>
      <c r="AC240">
        <v>52.63945924595928</v>
      </c>
      <c r="AD240">
        <v>50.216145806899775</v>
      </c>
      <c r="AE240">
        <v>47.802704266517367</v>
      </c>
      <c r="AF240">
        <v>45.399285040251534</v>
      </c>
      <c r="AG240">
        <v>43.005982110133338</v>
      </c>
      <c r="AH240">
        <v>40.622830968898207</v>
      </c>
    </row>
    <row r="241" spans="4:44">
      <c r="D241">
        <v>34.871127768537121</v>
      </c>
      <c r="E241">
        <v>34.133591062111122</v>
      </c>
      <c r="F241">
        <v>33.382108841282083</v>
      </c>
      <c r="G241">
        <v>32.619513880633718</v>
      </c>
      <c r="H241">
        <v>31.848657994950585</v>
      </c>
      <c r="I241">
        <v>31.072367958995272</v>
      </c>
      <c r="J241">
        <v>30.284967355641356</v>
      </c>
      <c r="K241">
        <v>29.475172324909188</v>
      </c>
      <c r="L241">
        <v>28.643101905228914</v>
      </c>
      <c r="M241">
        <v>27.788878840983415</v>
      </c>
      <c r="N241">
        <v>26.912627462340538</v>
      </c>
      <c r="O241">
        <v>25.730091451566715</v>
      </c>
      <c r="P241">
        <v>24.514306453996674</v>
      </c>
      <c r="Q241">
        <v>23.366817461802221</v>
      </c>
      <c r="R241">
        <v>22.242723944500312</v>
      </c>
      <c r="S241">
        <v>21.145708174729148</v>
      </c>
      <c r="T241">
        <v>20.046148934610869</v>
      </c>
      <c r="U241">
        <v>18.950212506071519</v>
      </c>
      <c r="V241">
        <v>17.858407578180721</v>
      </c>
      <c r="W241">
        <v>16.771224514901029</v>
      </c>
      <c r="X241">
        <v>15.689133812480565</v>
      </c>
      <c r="Y241">
        <v>14.435108627194811</v>
      </c>
      <c r="Z241">
        <v>12.968897689166308</v>
      </c>
      <c r="AA241">
        <v>11.528687432774415</v>
      </c>
      <c r="AB241">
        <v>10.114284347379217</v>
      </c>
      <c r="AC241">
        <v>8.7267831188559022</v>
      </c>
      <c r="AD241">
        <v>7.3720880790251044</v>
      </c>
      <c r="AE241">
        <v>6.0466563078320741</v>
      </c>
      <c r="AF241">
        <v>4.7996903258164529</v>
      </c>
      <c r="AG241">
        <v>3.7676697462532047</v>
      </c>
      <c r="AH241">
        <v>2.2556986580856182</v>
      </c>
    </row>
    <row r="242" spans="4:44">
      <c r="D242">
        <v>8.4778361655826675</v>
      </c>
      <c r="E242">
        <v>8.5126767963312382</v>
      </c>
      <c r="F242">
        <v>8.550133554135904</v>
      </c>
      <c r="G242">
        <v>8.5907696118175298</v>
      </c>
      <c r="H242">
        <v>8.635152064558234</v>
      </c>
      <c r="I242">
        <v>8.6838453308894419</v>
      </c>
      <c r="J242">
        <v>8.7333029881445956</v>
      </c>
      <c r="K242">
        <v>8.783624659859294</v>
      </c>
      <c r="L242">
        <v>8.8349134419642752</v>
      </c>
      <c r="M242">
        <v>8.8872757620607317</v>
      </c>
      <c r="N242">
        <v>8.9408212251101205</v>
      </c>
      <c r="O242">
        <v>8.8664938359298695</v>
      </c>
      <c r="P242">
        <v>8.7870726030922626</v>
      </c>
      <c r="Q242">
        <v>8.724025871093783</v>
      </c>
      <c r="R242">
        <v>8.6675927342348462</v>
      </c>
      <c r="S242">
        <v>8.6184776713826849</v>
      </c>
      <c r="T242">
        <v>8.572214678270214</v>
      </c>
      <c r="U242">
        <v>8.5289356920704797</v>
      </c>
      <c r="V242">
        <v>8.4887721130022147</v>
      </c>
      <c r="W242">
        <v>8.4518546652107389</v>
      </c>
      <c r="X242">
        <v>8.4183132561523983</v>
      </c>
      <c r="Y242">
        <v>8.1603755336285939</v>
      </c>
      <c r="Z242">
        <v>7.8584805512175144</v>
      </c>
      <c r="AA242">
        <v>7.5658489751401801</v>
      </c>
      <c r="AB242">
        <v>7.2788998251299377</v>
      </c>
      <c r="AC242">
        <v>6.9980902659050894</v>
      </c>
      <c r="AD242">
        <v>6.7238492862179191</v>
      </c>
      <c r="AE242">
        <v>6.4566460744300809</v>
      </c>
      <c r="AF242">
        <v>6.1969572792663143</v>
      </c>
      <c r="AG242">
        <v>5.9452669147184762</v>
      </c>
      <c r="AH242">
        <v>5.7020662664057848</v>
      </c>
    </row>
    <row r="243" spans="4:44">
      <c r="D243">
        <v>3.4336211538461541</v>
      </c>
      <c r="E243">
        <v>3.3497794221347466</v>
      </c>
      <c r="F243">
        <v>3.2662742376905931</v>
      </c>
      <c r="G243">
        <v>3.1833573721149535</v>
      </c>
      <c r="H243">
        <v>3.1012436293209049</v>
      </c>
      <c r="I243">
        <v>3.0201060624199192</v>
      </c>
      <c r="J243">
        <v>2.9397029086421735</v>
      </c>
      <c r="K243">
        <v>2.8579653098993143</v>
      </c>
      <c r="L243">
        <v>2.7748907419377411</v>
      </c>
      <c r="M243">
        <v>2.6904702916190368</v>
      </c>
      <c r="N243">
        <v>2.6046881479396409</v>
      </c>
      <c r="O243">
        <v>2.5257263959003859</v>
      </c>
      <c r="P243">
        <v>2.4466328856899389</v>
      </c>
      <c r="Q243">
        <v>2.3807051478941252</v>
      </c>
      <c r="R243">
        <v>2.3213245404981282</v>
      </c>
      <c r="S243">
        <v>2.268473740063329</v>
      </c>
      <c r="T243">
        <v>2.2161907915378611</v>
      </c>
      <c r="U243">
        <v>2.1665013104286039</v>
      </c>
      <c r="V243">
        <v>2.1191618025730175</v>
      </c>
      <c r="W243">
        <v>2.0739159290569082</v>
      </c>
      <c r="X243">
        <v>2.0304944685028117</v>
      </c>
      <c r="Y243">
        <v>1.9554121929453594</v>
      </c>
      <c r="Z243">
        <v>1.8593414987629533</v>
      </c>
      <c r="AA243">
        <v>1.7666311441956497</v>
      </c>
      <c r="AB243">
        <v>1.6768491790588156</v>
      </c>
      <c r="AC243">
        <v>1.589544694755044</v>
      </c>
      <c r="AD243">
        <v>1.5078827470821197</v>
      </c>
      <c r="AE243">
        <v>1.4283805256443354</v>
      </c>
      <c r="AF243">
        <v>1.3505809653918979</v>
      </c>
      <c r="AG243">
        <v>1.2740097436635573</v>
      </c>
      <c r="AH243">
        <v>1.1981753095039533</v>
      </c>
    </row>
    <row r="244" spans="4:44">
      <c r="D244">
        <v>0</v>
      </c>
      <c r="E244">
        <v>0.67110171196554103</v>
      </c>
      <c r="F244">
        <v>0.75796752501421338</v>
      </c>
      <c r="G244">
        <v>0.85616184156287534</v>
      </c>
      <c r="H244">
        <v>0.9671713517084386</v>
      </c>
      <c r="I244">
        <v>1.0926788620857466</v>
      </c>
      <c r="J244">
        <v>1.2345892759355666</v>
      </c>
      <c r="K244">
        <v>1.3950590265859308</v>
      </c>
      <c r="L244">
        <v>1.5765294246538997</v>
      </c>
      <c r="M244">
        <v>1.7817644407638649</v>
      </c>
      <c r="N244">
        <v>2.0138935152958402</v>
      </c>
      <c r="O244">
        <v>2.2764600657252894</v>
      </c>
      <c r="P244">
        <v>2.5734764517453481</v>
      </c>
      <c r="Q244">
        <v>2.9094862599913314</v>
      </c>
      <c r="R244">
        <v>3.2896348854242845</v>
      </c>
      <c r="S244">
        <v>3.7197495171000581</v>
      </c>
      <c r="T244">
        <v>4.2064297842214451</v>
      </c>
      <c r="U244">
        <v>4.7571504863910397</v>
      </c>
      <c r="V244">
        <v>5.3803780225130033</v>
      </c>
      <c r="W244">
        <v>6.0857023488525108</v>
      </c>
      <c r="X244">
        <v>6.8839865417768289</v>
      </c>
      <c r="Y244">
        <v>7.7875363185562083</v>
      </c>
      <c r="Z244">
        <v>8.8102921847018152</v>
      </c>
      <c r="AA244">
        <v>9.9680472336598847</v>
      </c>
      <c r="AB244">
        <v>11.27869402993422</v>
      </c>
      <c r="AC244">
        <v>12.762504466303872</v>
      </c>
      <c r="AD244">
        <v>14.442447007032245</v>
      </c>
      <c r="AE244">
        <v>16.34454632010209</v>
      </c>
      <c r="AF244">
        <v>18.498290971941969</v>
      </c>
      <c r="AG244">
        <v>20.937095618479546</v>
      </c>
      <c r="AH244">
        <v>23.698824988741201</v>
      </c>
    </row>
    <row r="245" spans="4:44">
      <c r="D245">
        <v>26.799786402018107</v>
      </c>
      <c r="E245">
        <v>28.381506317036532</v>
      </c>
      <c r="F245">
        <v>30.004708481252031</v>
      </c>
      <c r="G245">
        <v>31.671308733946614</v>
      </c>
      <c r="H245">
        <v>33.383258618981564</v>
      </c>
      <c r="I245">
        <v>35.142529287904509</v>
      </c>
      <c r="J245">
        <v>36.487177233272554</v>
      </c>
      <c r="K245">
        <v>37.860264637189481</v>
      </c>
      <c r="L245">
        <v>39.262331841411537</v>
      </c>
      <c r="M245">
        <v>40.69391913399491</v>
      </c>
      <c r="N245">
        <v>42.155565699490751</v>
      </c>
      <c r="O245">
        <v>41.591032903663134</v>
      </c>
      <c r="P245">
        <v>41.022668972367136</v>
      </c>
      <c r="Q245">
        <v>40.4684584814975</v>
      </c>
      <c r="R245">
        <v>39.921902778115708</v>
      </c>
      <c r="S245">
        <v>39.384640997716453</v>
      </c>
      <c r="T245">
        <v>38.710532233740935</v>
      </c>
      <c r="U245">
        <v>38.034563134649368</v>
      </c>
      <c r="V245">
        <v>37.356956172060535</v>
      </c>
      <c r="W245">
        <v>36.677934025750446</v>
      </c>
      <c r="X245">
        <v>35.997719456483409</v>
      </c>
      <c r="Y245">
        <v>35.050703615216385</v>
      </c>
      <c r="Z245">
        <v>34.0687840914822</v>
      </c>
      <c r="AA245">
        <v>33.090966282051667</v>
      </c>
      <c r="AB245">
        <v>32.116584420939425</v>
      </c>
      <c r="AC245">
        <v>31.146005039407733</v>
      </c>
      <c r="AD245">
        <v>30.078127945440805</v>
      </c>
      <c r="AE245">
        <v>29.01485621139085</v>
      </c>
      <c r="AF245">
        <v>27.956562338672171</v>
      </c>
      <c r="AG245">
        <v>26.903617758588261</v>
      </c>
      <c r="AH245">
        <v>25.856392753866508</v>
      </c>
    </row>
    <row r="246" spans="4:44">
      <c r="D246">
        <v>162.69230769230768</v>
      </c>
      <c r="E246">
        <v>163.75269896319998</v>
      </c>
      <c r="F246">
        <v>164.24613442501291</v>
      </c>
      <c r="G246">
        <v>164.77682872583591</v>
      </c>
      <c r="H246">
        <v>165.35496869534276</v>
      </c>
      <c r="I246">
        <v>165.99086786587679</v>
      </c>
      <c r="J246">
        <v>166.20124966359003</v>
      </c>
      <c r="K246">
        <v>166.41843193059231</v>
      </c>
      <c r="L246">
        <v>166.64597628412474</v>
      </c>
      <c r="M246">
        <v>166.8877733418131</v>
      </c>
      <c r="N246">
        <v>167.14807929856073</v>
      </c>
      <c r="O246">
        <v>163.68515734225144</v>
      </c>
      <c r="P246">
        <v>160.53122968298874</v>
      </c>
      <c r="Q246">
        <v>157.16854511707768</v>
      </c>
      <c r="R246">
        <v>153.8934337450309</v>
      </c>
      <c r="S246">
        <v>150.72035748559745</v>
      </c>
      <c r="T246">
        <v>147.44944051976353</v>
      </c>
      <c r="U246">
        <v>144.23128867750987</v>
      </c>
      <c r="V246">
        <v>141.07477222469197</v>
      </c>
      <c r="W246">
        <v>137.98981609407409</v>
      </c>
      <c r="X246">
        <v>134.98754608200068</v>
      </c>
      <c r="Y246">
        <v>129.81682679640656</v>
      </c>
      <c r="Z246">
        <v>125.53252482005107</v>
      </c>
      <c r="AA246">
        <v>121.43515047509253</v>
      </c>
      <c r="AB246">
        <v>117.53775158352511</v>
      </c>
      <c r="AC246">
        <v>113.86238683118691</v>
      </c>
      <c r="AD246">
        <v>110.34054087169795</v>
      </c>
      <c r="AE246">
        <v>107.09378970591681</v>
      </c>
      <c r="AF246">
        <v>104.20136692134034</v>
      </c>
      <c r="AG246">
        <v>101.83364189183638</v>
      </c>
      <c r="AH246">
        <v>99.333988945501289</v>
      </c>
    </row>
    <row r="248" spans="4:44">
      <c r="AJ248" s="30" t="s">
        <v>368</v>
      </c>
    </row>
    <row r="249" spans="4:44" ht="32">
      <c r="AJ249" s="30"/>
      <c r="AK249" s="139" t="s">
        <v>1</v>
      </c>
      <c r="AL249" s="139" t="s">
        <v>180</v>
      </c>
      <c r="AM249" s="139" t="s">
        <v>181</v>
      </c>
      <c r="AN249" s="139" t="s">
        <v>182</v>
      </c>
      <c r="AO249" s="139" t="s">
        <v>183</v>
      </c>
      <c r="AP249" s="263" t="s">
        <v>28</v>
      </c>
      <c r="AQ249" s="139" t="s">
        <v>51</v>
      </c>
      <c r="AR249" s="139" t="s">
        <v>184</v>
      </c>
    </row>
    <row r="251" spans="4:44" ht="16">
      <c r="AJ251" s="30" t="s">
        <v>188</v>
      </c>
      <c r="AK251" s="143">
        <f>D4+'Yearly HC Propylene'!D4</f>
        <v>274.61538461538458</v>
      </c>
      <c r="AL251" s="137"/>
      <c r="AM251" s="143" t="s">
        <v>167</v>
      </c>
      <c r="AN251" s="137"/>
      <c r="AO251" s="137"/>
      <c r="AP251" s="137"/>
      <c r="AQ251" s="137"/>
      <c r="AR251" s="532" t="s">
        <v>167</v>
      </c>
    </row>
    <row r="252" spans="4:44">
      <c r="AJ252" s="30" t="s">
        <v>183</v>
      </c>
      <c r="AK252" s="137"/>
      <c r="AL252" s="137"/>
      <c r="AM252" s="137"/>
      <c r="AN252" s="137"/>
      <c r="AO252" s="143">
        <f>AH81+'Yearly HC Propylene'!AH39</f>
        <v>0</v>
      </c>
      <c r="AP252" s="137"/>
      <c r="AQ252" s="137"/>
      <c r="AR252" s="137"/>
    </row>
    <row r="253" spans="4:44">
      <c r="AJ253" s="30" t="s">
        <v>28</v>
      </c>
      <c r="AK253" s="137"/>
      <c r="AL253" s="137"/>
      <c r="AM253" s="137"/>
      <c r="AN253" s="137"/>
      <c r="AO253" s="137"/>
      <c r="AP253" s="143">
        <f>AH82+'Yearly HC Propylene'!AH40</f>
        <v>0</v>
      </c>
      <c r="AQ253" s="137"/>
      <c r="AR253" s="137"/>
    </row>
    <row r="254" spans="4:44">
      <c r="AJ254" s="30" t="s">
        <v>193</v>
      </c>
      <c r="AK254" s="137"/>
      <c r="AL254" s="137"/>
      <c r="AM254" s="137"/>
      <c r="AN254" s="137"/>
      <c r="AO254" s="137"/>
      <c r="AP254" s="137"/>
      <c r="AQ254" s="143">
        <f>AH146+AH147+'Yearly HC Propylene'!AH66+'Yearly HC Propylene'!AH67</f>
        <v>143.32390907263411</v>
      </c>
      <c r="AR254" s="137"/>
    </row>
    <row r="255" spans="4:44">
      <c r="AJ255" s="30" t="s">
        <v>195</v>
      </c>
      <c r="AK255" s="137"/>
      <c r="AL255" s="137"/>
      <c r="AM255" s="137"/>
      <c r="AN255" s="137"/>
      <c r="AO255" s="137"/>
      <c r="AP255" s="137"/>
      <c r="AQ255" s="143">
        <f>AH155+AH156+'Yearly HC Propylene'!AH69+'Yearly HC Propylene'!AH70</f>
        <v>12.81276280684766</v>
      </c>
      <c r="AR255" s="137"/>
    </row>
    <row r="256" spans="4:44">
      <c r="AJ256" s="30" t="s">
        <v>175</v>
      </c>
      <c r="AK256" s="137"/>
      <c r="AL256" s="143">
        <f>AH4-D4+'Yearly HC Propylene'!AH4-'Yearly HC Propylene'!D4</f>
        <v>140.38461538461542</v>
      </c>
      <c r="AM256" s="137"/>
      <c r="AN256" s="533">
        <f>AH83+'Yearly HC Propylene'!AH41</f>
        <v>28.028692099047639</v>
      </c>
      <c r="AO256" s="137"/>
      <c r="AP256" s="137"/>
      <c r="AQ256" s="137"/>
      <c r="AR256" s="137"/>
    </row>
    <row r="258" spans="36:44" ht="16">
      <c r="AJ258" s="30" t="s">
        <v>188</v>
      </c>
      <c r="AK258" s="143">
        <f>AK251</f>
        <v>274.61538461538458</v>
      </c>
      <c r="AL258" s="137"/>
      <c r="AM258" s="143" t="s">
        <v>167</v>
      </c>
      <c r="AN258" s="137"/>
      <c r="AO258" s="137"/>
      <c r="AP258" s="137"/>
      <c r="AQ258" s="137"/>
      <c r="AR258" s="532" t="s">
        <v>167</v>
      </c>
    </row>
    <row r="259" spans="36:44">
      <c r="AJ259" s="30" t="s">
        <v>309</v>
      </c>
      <c r="AO259" s="44">
        <f>AH29+'Yearly HC Propylene'!AH17</f>
        <v>0</v>
      </c>
      <c r="AP259" s="44">
        <f>AH32+'Yearly HC Propylene'!AH20</f>
        <v>0</v>
      </c>
      <c r="AQ259" s="44">
        <f>SUM(AH93:AH94,'Yearly HC Propylene'!AH44:AH45)</f>
        <v>48.237828247095464</v>
      </c>
    </row>
    <row r="260" spans="36:44">
      <c r="AJ260" s="30" t="s">
        <v>369</v>
      </c>
      <c r="AO260" s="44">
        <f>AH41+'Yearly HC Propylene'!AH23</f>
        <v>0</v>
      </c>
      <c r="AP260" s="43">
        <f>AH42+'Yearly HC Propylene'!AH24</f>
        <v>0</v>
      </c>
      <c r="AQ260" s="44">
        <f>SUM(AH123:AH126,'Yearly HC Propylene'!AH55:AH58)</f>
        <v>51.924634590968466</v>
      </c>
    </row>
    <row r="261" spans="36:44">
      <c r="AJ261" s="30" t="s">
        <v>370</v>
      </c>
      <c r="AO261" s="44">
        <f>AH17+'Yearly HC Propylene'!AH11</f>
        <v>0</v>
      </c>
      <c r="AP261">
        <f>AH18+'Yearly HC Propylene'!AH12</f>
        <v>0</v>
      </c>
      <c r="AQ261" s="44">
        <f>SUM(AH103:AH104,'Yearly HC Propylene'!AH48)</f>
        <v>14.046123156223125</v>
      </c>
    </row>
    <row r="262" spans="36:44">
      <c r="AJ262" s="30" t="s">
        <v>329</v>
      </c>
      <c r="AO262" s="44">
        <f>AH53+'Yearly HC Propylene'!AH29</f>
        <v>0</v>
      </c>
      <c r="AP262" s="43">
        <f>AH54+'Yearly HC Propylene'!AH30</f>
        <v>0</v>
      </c>
      <c r="AQ262" s="44">
        <f>SUM(AH113:AH114,'Yearly HC Propylene'!AH51:AH52)</f>
        <v>2.5520643576084905</v>
      </c>
    </row>
    <row r="263" spans="36:44">
      <c r="AJ263" s="30" t="s">
        <v>248</v>
      </c>
      <c r="AO263" s="43">
        <f>AH63+'Yearly HC Propylene'!AH33</f>
        <v>0</v>
      </c>
      <c r="AP263" s="43">
        <f>AH64+'Yearly HC Propylene'!AH34</f>
        <v>0</v>
      </c>
      <c r="AQ263" s="44">
        <f>SUM(AH135:AH138,'Yearly HC Propylene'!AH61:AH64)</f>
        <v>26.563258720738581</v>
      </c>
    </row>
    <row r="264" spans="36:44">
      <c r="AJ264" s="30" t="s">
        <v>195</v>
      </c>
      <c r="AK264" s="137"/>
      <c r="AL264" s="137"/>
      <c r="AM264" s="137"/>
      <c r="AN264" s="137"/>
      <c r="AO264" s="137"/>
      <c r="AP264" s="137"/>
      <c r="AQ264" s="143">
        <f>AQ255</f>
        <v>12.81276280684766</v>
      </c>
      <c r="AR264" s="137"/>
    </row>
    <row r="265" spans="36:44">
      <c r="AJ265" s="30" t="s">
        <v>175</v>
      </c>
      <c r="AK265" s="137"/>
      <c r="AL265" s="143">
        <f>AL256</f>
        <v>140.38461538461542</v>
      </c>
      <c r="AM265" s="137"/>
      <c r="AN265" s="533">
        <f>AN256</f>
        <v>28.028692099047639</v>
      </c>
      <c r="AO265" s="137"/>
      <c r="AP265" s="137"/>
      <c r="AQ265" s="137"/>
      <c r="AR265" s="137"/>
    </row>
    <row r="269" spans="36:44">
      <c r="AK269" s="760" t="s">
        <v>371</v>
      </c>
      <c r="AL269" s="760"/>
      <c r="AM269" s="760"/>
    </row>
    <row r="270" spans="36:44">
      <c r="AK270" t="s">
        <v>372</v>
      </c>
      <c r="AL270" t="s">
        <v>5</v>
      </c>
      <c r="AM270" t="s">
        <v>67</v>
      </c>
    </row>
    <row r="271" spans="36:44">
      <c r="AJ271" t="s">
        <v>16</v>
      </c>
      <c r="AK271" s="43">
        <f>AH84</f>
        <v>280.10459284033055</v>
      </c>
      <c r="AL271" s="43">
        <f>'Yearly HC Propylene'!AH42</f>
        <v>162.92409925871709</v>
      </c>
      <c r="AM271" s="43">
        <f>SUM(AK271:AL271)</f>
        <v>443.02869209904765</v>
      </c>
    </row>
    <row r="272" spans="36:44">
      <c r="AJ272" t="s">
        <v>373</v>
      </c>
      <c r="AK272" s="43">
        <f>'Ethylene Recycling HC'!AG50</f>
        <v>228.97152233332582</v>
      </c>
      <c r="AL272" s="43">
        <f>'Propylene Recycling HC'!AG50</f>
        <v>146.19262520844458</v>
      </c>
      <c r="AM272" s="43">
        <f>SUM(AK272:AL272)</f>
        <v>375.16414754177038</v>
      </c>
      <c r="AN272" s="2">
        <f>AM272/AM271</f>
        <v>0.84681681848699575</v>
      </c>
    </row>
    <row r="273" spans="36:40">
      <c r="AJ273" t="s">
        <v>374</v>
      </c>
      <c r="AK273" s="43">
        <f>'Ethylene Recycling HC'!AG270</f>
        <v>219.81266143999278</v>
      </c>
      <c r="AL273" s="43">
        <f>'Propylene Recycling HC'!AG163</f>
        <v>140.3449202001068</v>
      </c>
      <c r="AM273" s="43">
        <f t="shared" ref="AM273:AM276" si="116">SUM(AK273:AL273)</f>
        <v>360.15758164009958</v>
      </c>
      <c r="AN273" s="2">
        <f t="shared" ref="AN273:AN276" si="117">AM273/AM272</f>
        <v>0.96000000000000008</v>
      </c>
    </row>
    <row r="274" spans="36:40">
      <c r="AJ274" t="s">
        <v>375</v>
      </c>
      <c r="AK274" s="43">
        <f>'Ethylene Recycling HC'!AG295+'Ethylene Recycling HC'!AG293</f>
        <v>143.86300041790111</v>
      </c>
      <c r="AL274" s="43">
        <f>'Propylene Recycling HC'!AG188+'Propylene Recycling HC'!AG186</f>
        <v>65.872817856186373</v>
      </c>
      <c r="AM274" s="43">
        <f t="shared" si="116"/>
        <v>209.73581827408748</v>
      </c>
      <c r="AN274" s="2">
        <f t="shared" si="117"/>
        <v>0.58234458738584471</v>
      </c>
    </row>
    <row r="275" spans="36:40">
      <c r="AJ275" t="s">
        <v>376</v>
      </c>
      <c r="AK275" s="43">
        <f>'Ethylene Recycling HC'!AG292</f>
        <v>133.47729081431885</v>
      </c>
      <c r="AL275" s="43">
        <f>'Propylene Recycling HC'!AG185</f>
        <v>61.839813618209675</v>
      </c>
      <c r="AM275" s="43">
        <f t="shared" si="116"/>
        <v>195.31710443252854</v>
      </c>
      <c r="AN275" s="2">
        <f t="shared" si="117"/>
        <v>0.9312529735730869</v>
      </c>
    </row>
    <row r="276" spans="36:40">
      <c r="AJ276" t="s">
        <v>377</v>
      </c>
      <c r="AK276" s="43">
        <f>'Ethylene Recycling HC'!AG291</f>
        <v>113.45569719217102</v>
      </c>
      <c r="AL276" s="43">
        <f>'Propylene Recycling HC'!AG184</f>
        <v>52.563841575478222</v>
      </c>
      <c r="AM276" s="43">
        <f t="shared" si="116"/>
        <v>166.01953876764924</v>
      </c>
      <c r="AN276" s="2">
        <f t="shared" si="117"/>
        <v>0.84999999999999987</v>
      </c>
    </row>
    <row r="277" spans="36:40">
      <c r="AJ277" t="s">
        <v>378</v>
      </c>
      <c r="AK277" s="2">
        <f>AK276/AK272</f>
        <v>0.49550134460392686</v>
      </c>
      <c r="AL277" s="2">
        <f>AL276/AL272</f>
        <v>0.35955193704560384</v>
      </c>
      <c r="AM277" s="2">
        <f>AM276/AM272</f>
        <v>0.44252506497616434</v>
      </c>
    </row>
    <row r="278" spans="36:40">
      <c r="AJ278" t="s">
        <v>379</v>
      </c>
      <c r="AK278" s="2">
        <f>AK276/(AK271)</f>
        <v>0.40504761468457873</v>
      </c>
      <c r="AL278" s="2">
        <f t="shared" ref="AL278:AM278" si="118">AL276/(AL271)</f>
        <v>0.32262778689363136</v>
      </c>
      <c r="AM278" s="2">
        <f t="shared" si="118"/>
        <v>0.37473766762386657</v>
      </c>
    </row>
  </sheetData>
  <mergeCells count="31">
    <mergeCell ref="AK269:AM269"/>
    <mergeCell ref="A85:A88"/>
    <mergeCell ref="A89:A90"/>
    <mergeCell ref="A75:A78"/>
    <mergeCell ref="A79:A80"/>
    <mergeCell ref="A120:A121"/>
    <mergeCell ref="A128:A131"/>
    <mergeCell ref="A132:A133"/>
    <mergeCell ref="A96:A99"/>
    <mergeCell ref="A100:A101"/>
    <mergeCell ref="A106:A109"/>
    <mergeCell ref="A110:A111"/>
    <mergeCell ref="A116:A119"/>
    <mergeCell ref="A162:A163"/>
    <mergeCell ref="A140:A143"/>
    <mergeCell ref="A144:A145"/>
    <mergeCell ref="A5:A8"/>
    <mergeCell ref="A9:A10"/>
    <mergeCell ref="A20:A23"/>
    <mergeCell ref="A24:A25"/>
    <mergeCell ref="A34:A37"/>
    <mergeCell ref="A149:A152"/>
    <mergeCell ref="A153:A154"/>
    <mergeCell ref="A158:A161"/>
    <mergeCell ref="A70:A71"/>
    <mergeCell ref="A38:A39"/>
    <mergeCell ref="A44:A47"/>
    <mergeCell ref="A48:A49"/>
    <mergeCell ref="A56:A59"/>
    <mergeCell ref="A60:A61"/>
    <mergeCell ref="A66:A69"/>
  </mergeCells>
  <phoneticPr fontId="2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7972-7931-403D-BC49-255E127D3867}">
  <sheetPr>
    <tabColor theme="9"/>
  </sheetPr>
  <dimension ref="A2:AU256"/>
  <sheetViews>
    <sheetView zoomScale="70" zoomScaleNormal="70" workbookViewId="0">
      <pane xSplit="3" ySplit="3" topLeftCell="D138" activePane="bottomRight" state="frozen"/>
      <selection pane="topRight" activeCell="B152" sqref="B152"/>
      <selection pane="bottomLeft" activeCell="B152" sqref="B152"/>
      <selection pane="bottomRight" activeCell="AH157" sqref="AH157"/>
    </sheetView>
  </sheetViews>
  <sheetFormatPr baseColWidth="10" defaultColWidth="8.83203125" defaultRowHeight="15" outlineLevelRow="1" outlineLevelCol="1"/>
  <cols>
    <col min="1" max="1" width="42.83203125" style="1" customWidth="1"/>
    <col min="2" max="2" width="34.5" style="1" bestFit="1" customWidth="1"/>
    <col min="3" max="3" width="10.83203125" customWidth="1"/>
    <col min="4" max="4" width="11.5" customWidth="1"/>
    <col min="5" max="13" width="8.83203125" hidden="1" customWidth="1" outlineLevel="1"/>
    <col min="14" max="14" width="8.83203125" customWidth="1" collapsed="1"/>
    <col min="15" max="23" width="8.83203125" hidden="1" customWidth="1" outlineLevel="1"/>
    <col min="24" max="24" width="8.6640625" customWidth="1" collapsed="1"/>
    <col min="25" max="33" width="8.83203125" hidden="1" customWidth="1" outlineLevel="1"/>
    <col min="34" max="34" width="8.83203125" collapsed="1"/>
    <col min="36" max="37" width="8.83203125" bestFit="1" customWidth="1"/>
    <col min="38" max="38" width="17.6640625" bestFit="1" customWidth="1"/>
    <col min="39" max="66" width="8.83203125" bestFit="1" customWidth="1"/>
  </cols>
  <sheetData>
    <row r="2" spans="1:34" s="53" customFormat="1">
      <c r="A2" s="52" t="s">
        <v>380</v>
      </c>
      <c r="B2" s="52"/>
      <c r="C2" s="52"/>
    </row>
    <row r="3" spans="1:34"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4">
      <c r="A4" s="1" t="s">
        <v>381</v>
      </c>
      <c r="C4" s="54" t="s">
        <v>153</v>
      </c>
      <c r="D4" s="44">
        <f>'Yearly Demand - Eth&amp;Prop'!N3</f>
        <v>162.69230769230768</v>
      </c>
      <c r="E4" s="44">
        <f>'Yearly Demand - Eth&amp;Prop'!O3</f>
        <v>166.71878063819926</v>
      </c>
      <c r="F4" s="44">
        <f>'Yearly Demand - Eth&amp;Prop'!P3</f>
        <v>170.84490478834238</v>
      </c>
      <c r="G4" s="44">
        <f>'Yearly Demand - Eth&amp;Prop'!Q3</f>
        <v>175.07314641101752</v>
      </c>
      <c r="H4" s="44">
        <f>'Yearly Demand - Eth&amp;Prop'!R3</f>
        <v>179.40603281219435</v>
      </c>
      <c r="I4" s="44">
        <f>'Yearly Demand - Eth&amp;Prop'!S3</f>
        <v>183.84615384615384</v>
      </c>
      <c r="J4" s="44">
        <f>'Yearly Demand - Eth&amp;Prop'!T3</f>
        <v>187.89464856761026</v>
      </c>
      <c r="K4" s="44">
        <f>'Yearly Demand - Eth&amp;Prop'!U3</f>
        <v>192.03229560020711</v>
      </c>
      <c r="L4" s="44">
        <f>'Yearly Demand - Eth&amp;Prop'!V3</f>
        <v>196.26105817599196</v>
      </c>
      <c r="M4" s="44">
        <f>'Yearly Demand - Eth&amp;Prop'!W3</f>
        <v>200.58294275954361</v>
      </c>
      <c r="N4" s="44">
        <f>'Yearly Demand - Eth&amp;Prop'!X3</f>
        <v>205</v>
      </c>
      <c r="O4" s="44">
        <f>'Yearly Demand - Eth&amp;Prop'!Y3</f>
        <v>207.44116419514421</v>
      </c>
      <c r="P4" s="44">
        <f>'Yearly Demand - Eth&amp;Prop'!Z3</f>
        <v>209.91139806164284</v>
      </c>
      <c r="Q4" s="44">
        <f>'Yearly Demand - Eth&amp;Prop'!AA3</f>
        <v>212.41104776457331</v>
      </c>
      <c r="R4" s="44">
        <f>'Yearly Demand - Eth&amp;Prop'!AB3</f>
        <v>214.94046359118767</v>
      </c>
      <c r="S4" s="44">
        <f>'Yearly Demand - Eth&amp;Prop'!AC3</f>
        <v>217.5</v>
      </c>
      <c r="T4" s="44">
        <f>'Yearly Demand - Eth&amp;Prop'!AD3</f>
        <v>219.94443410654205</v>
      </c>
      <c r="U4" s="44">
        <f>'Yearly Demand - Eth&amp;Prop'!AE3</f>
        <v>222.41634066412422</v>
      </c>
      <c r="V4" s="44">
        <f>'Yearly Demand - Eth&amp;Prop'!AF3</f>
        <v>224.91602842951116</v>
      </c>
      <c r="W4" s="44">
        <f>'Yearly Demand - Eth&amp;Prop'!AG3</f>
        <v>227.4438096295161</v>
      </c>
      <c r="X4" s="44">
        <f>'Yearly Demand - Eth&amp;Prop'!AH3</f>
        <v>230</v>
      </c>
      <c r="Y4" s="44">
        <f>'Yearly Demand - Eth&amp;Prop'!AI3</f>
        <v>232.44735963345383</v>
      </c>
      <c r="Z4" s="44">
        <f>'Yearly Demand - Eth&amp;Prop'!AJ3</f>
        <v>234.92076087201835</v>
      </c>
      <c r="AA4" s="44">
        <f>'Yearly Demand - Eth&amp;Prop'!AK3</f>
        <v>237.42048081644634</v>
      </c>
      <c r="AB4" s="44">
        <f>'Yearly Demand - Eth&amp;Prop'!AL3</f>
        <v>239.9467995160349</v>
      </c>
      <c r="AC4" s="44">
        <f>'Yearly Demand - Eth&amp;Prop'!AM3</f>
        <v>242.5</v>
      </c>
      <c r="AD4" s="44">
        <f>'Yearly Demand - Eth&amp;Prop'!AN3</f>
        <v>244.9499924675749</v>
      </c>
      <c r="AE4" s="44">
        <f>'Yearly Demand - Eth&amp;Prop'!AO3</f>
        <v>247.42473736026807</v>
      </c>
      <c r="AF4" s="44">
        <f>'Yearly Demand - Eth&amp;Prop'!AP3</f>
        <v>249.9244847533582</v>
      </c>
      <c r="AG4" s="44">
        <f>'Yearly Demand - Eth&amp;Prop'!AQ3</f>
        <v>252.44948724865003</v>
      </c>
      <c r="AH4" s="44">
        <f>'Yearly Demand - Eth&amp;Prop'!AR3</f>
        <v>255</v>
      </c>
    </row>
    <row r="5" spans="1:34" s="67" customFormat="1">
      <c r="A5" s="755" t="s">
        <v>257</v>
      </c>
      <c r="B5" s="58" t="s">
        <v>258</v>
      </c>
      <c r="C5" s="59" t="s">
        <v>153</v>
      </c>
      <c r="D5" s="60">
        <f>D4*'Demand Breakdown - Ethylene'!$C$6</f>
        <v>99.242307692307676</v>
      </c>
      <c r="E5" s="60">
        <f>E4*'Demand Breakdown - Ethylene'!$C$6</f>
        <v>101.69845618930155</v>
      </c>
      <c r="F5" s="60">
        <f>F4*'Demand Breakdown - Ethylene'!$C$6</f>
        <v>104.21539192088885</v>
      </c>
      <c r="G5" s="60">
        <f>G4*'Demand Breakdown - Ethylene'!$C$6</f>
        <v>106.79461931072068</v>
      </c>
      <c r="H5" s="60">
        <f>H4*'Demand Breakdown - Ethylene'!$C$6</f>
        <v>109.43768001543856</v>
      </c>
      <c r="I5" s="60">
        <f>I4*'Demand Breakdown - Ethylene'!$C$6</f>
        <v>112.14615384615384</v>
      </c>
      <c r="J5" s="60">
        <f>J4*'Demand Breakdown - Ethylene'!$C$6</f>
        <v>114.61573562624226</v>
      </c>
      <c r="K5" s="60">
        <f>K4*'Demand Breakdown - Ethylene'!$C$6</f>
        <v>117.13970031612634</v>
      </c>
      <c r="L5" s="60">
        <f>L4*'Demand Breakdown - Ethylene'!$C$6</f>
        <v>119.7192454873551</v>
      </c>
      <c r="M5" s="60">
        <f>M4*'Demand Breakdown - Ethylene'!$C$6</f>
        <v>122.3555950833216</v>
      </c>
      <c r="N5" s="60">
        <f>N4*'Demand Breakdown - Ethylene'!$C$6</f>
        <v>125.05</v>
      </c>
      <c r="O5" s="60">
        <f>O4*'Demand Breakdown - Ethylene'!$C$6</f>
        <v>126.53911015903796</v>
      </c>
      <c r="P5" s="60">
        <f>P4*'Demand Breakdown - Ethylene'!$C$6</f>
        <v>128.04595281760214</v>
      </c>
      <c r="Q5" s="60">
        <f>Q4*'Demand Breakdown - Ethylene'!$C$6</f>
        <v>129.5707391363897</v>
      </c>
      <c r="R5" s="60">
        <f>R4*'Demand Breakdown - Ethylene'!$C$6</f>
        <v>131.11368279062447</v>
      </c>
      <c r="S5" s="60">
        <f>S4*'Demand Breakdown - Ethylene'!$C$6</f>
        <v>132.67499999999998</v>
      </c>
      <c r="T5" s="60">
        <f>T4*'Demand Breakdown - Ethylene'!$C$6</f>
        <v>134.16610480499065</v>
      </c>
      <c r="U5" s="60">
        <f>U4*'Demand Breakdown - Ethylene'!$C$6</f>
        <v>135.67396780511578</v>
      </c>
      <c r="V5" s="60">
        <f>V4*'Demand Breakdown - Ethylene'!$C$6</f>
        <v>137.19877734200179</v>
      </c>
      <c r="W5" s="60">
        <f>W4*'Demand Breakdown - Ethylene'!$C$6</f>
        <v>138.74072387400483</v>
      </c>
      <c r="X5" s="60">
        <f>X4*'Demand Breakdown - Ethylene'!$C$6</f>
        <v>140.29999999999998</v>
      </c>
      <c r="Y5" s="60">
        <f>Y4*'Demand Breakdown - Ethylene'!$C$6</f>
        <v>141.79288937640683</v>
      </c>
      <c r="Z5" s="60">
        <f>Z4*'Demand Breakdown - Ethylene'!$C$6</f>
        <v>143.30166413193118</v>
      </c>
      <c r="AA5" s="60">
        <f>AA4*'Demand Breakdown - Ethylene'!$C$6</f>
        <v>144.82649329803226</v>
      </c>
      <c r="AB5" s="60">
        <f>AB4*'Demand Breakdown - Ethylene'!$C$6</f>
        <v>146.36754770478129</v>
      </c>
      <c r="AC5" s="60">
        <f>AC4*'Demand Breakdown - Ethylene'!$C$6</f>
        <v>147.92499999999998</v>
      </c>
      <c r="AD5" s="60">
        <f>AD4*'Demand Breakdown - Ethylene'!$C$6</f>
        <v>149.41949540522069</v>
      </c>
      <c r="AE5" s="60">
        <f>AE4*'Demand Breakdown - Ethylene'!$C$6</f>
        <v>150.92908978976351</v>
      </c>
      <c r="AF5" s="60">
        <f>AF4*'Demand Breakdown - Ethylene'!$C$6</f>
        <v>152.45393569954851</v>
      </c>
      <c r="AG5" s="60">
        <f>AG4*'Demand Breakdown - Ethylene'!$C$6</f>
        <v>153.99418722167653</v>
      </c>
      <c r="AH5" s="60">
        <f>AH4*'Demand Breakdown - Ethylene'!$C$6</f>
        <v>155.54999999999998</v>
      </c>
    </row>
    <row r="6" spans="1:34">
      <c r="A6" s="756"/>
      <c r="B6" s="1" t="s">
        <v>260</v>
      </c>
      <c r="C6" s="54" t="s">
        <v>153</v>
      </c>
      <c r="D6" s="44">
        <f>D4*'Demand Breakdown - Ethylene'!$C$7</f>
        <v>22.776923076923076</v>
      </c>
      <c r="E6" s="44">
        <f>E4*'Demand Breakdown - Ethylene'!$C$7</f>
        <v>23.340629289347898</v>
      </c>
      <c r="F6" s="44">
        <f>F4*'Demand Breakdown - Ethylene'!$C$7</f>
        <v>23.918286670367934</v>
      </c>
      <c r="G6" s="44">
        <f>G4*'Demand Breakdown - Ethylene'!$C$7</f>
        <v>24.510240497542455</v>
      </c>
      <c r="H6" s="44">
        <f>H4*'Demand Breakdown - Ethylene'!$C$7</f>
        <v>25.116844593707214</v>
      </c>
      <c r="I6" s="44">
        <f>I4*'Demand Breakdown - Ethylene'!$C$7</f>
        <v>25.738461538461539</v>
      </c>
      <c r="J6" s="44">
        <f>J4*'Demand Breakdown - Ethylene'!$C$7</f>
        <v>26.305250799465441</v>
      </c>
      <c r="K6" s="44">
        <f>K4*'Demand Breakdown - Ethylene'!$C$7</f>
        <v>26.884521384028996</v>
      </c>
      <c r="L6" s="44">
        <f>L4*'Demand Breakdown - Ethylene'!$C$7</f>
        <v>27.476548144638876</v>
      </c>
      <c r="M6" s="44">
        <f>M4*'Demand Breakdown - Ethylene'!$C$7</f>
        <v>28.08161198633611</v>
      </c>
      <c r="N6" s="44">
        <f>N4*'Demand Breakdown - Ethylene'!$C$7</f>
        <v>28.700000000000003</v>
      </c>
      <c r="O6" s="44">
        <f>O4*'Demand Breakdown - Ethylene'!$C$7</f>
        <v>29.041762987320194</v>
      </c>
      <c r="P6" s="44">
        <f>P4*'Demand Breakdown - Ethylene'!$C$7</f>
        <v>29.38759572863</v>
      </c>
      <c r="Q6" s="44">
        <f>Q4*'Demand Breakdown - Ethylene'!$C$7</f>
        <v>29.737546687040265</v>
      </c>
      <c r="R6" s="44">
        <f>R4*'Demand Breakdown - Ethylene'!$C$7</f>
        <v>30.091664902766276</v>
      </c>
      <c r="S6" s="44">
        <f>S4*'Demand Breakdown - Ethylene'!$C$7</f>
        <v>30.450000000000003</v>
      </c>
      <c r="T6" s="44">
        <f>T4*'Demand Breakdown - Ethylene'!$C$7</f>
        <v>30.79222077491589</v>
      </c>
      <c r="U6" s="44">
        <f>U4*'Demand Breakdown - Ethylene'!$C$7</f>
        <v>31.138287692977393</v>
      </c>
      <c r="V6" s="44">
        <f>V4*'Demand Breakdown - Ethylene'!$C$7</f>
        <v>31.488243980131564</v>
      </c>
      <c r="W6" s="44">
        <f>W4*'Demand Breakdown - Ethylene'!$C$7</f>
        <v>31.842133348132258</v>
      </c>
      <c r="X6" s="44">
        <f>X4*'Demand Breakdown - Ethylene'!$C$7</f>
        <v>32.200000000000003</v>
      </c>
      <c r="Y6" s="44">
        <f>Y4*'Demand Breakdown - Ethylene'!$C$7</f>
        <v>32.542630348683538</v>
      </c>
      <c r="Z6" s="44">
        <f>Z4*'Demand Breakdown - Ethylene'!$C$7</f>
        <v>32.888906522082571</v>
      </c>
      <c r="AA6" s="44">
        <f>AA4*'Demand Breakdown - Ethylene'!$C$7</f>
        <v>33.238867314302489</v>
      </c>
      <c r="AB6" s="44">
        <f>AB4*'Demand Breakdown - Ethylene'!$C$7</f>
        <v>33.592551932244888</v>
      </c>
      <c r="AC6" s="44">
        <f>AC4*'Demand Breakdown - Ethylene'!$C$7</f>
        <v>33.950000000000003</v>
      </c>
      <c r="AD6" s="44">
        <f>AD4*'Demand Breakdown - Ethylene'!$C$7</f>
        <v>34.292998945460489</v>
      </c>
      <c r="AE6" s="44">
        <f>AE4*'Demand Breakdown - Ethylene'!$C$7</f>
        <v>34.639463230437535</v>
      </c>
      <c r="AF6" s="44">
        <f>AF4*'Demand Breakdown - Ethylene'!$C$7</f>
        <v>34.989427865470148</v>
      </c>
      <c r="AG6" s="44">
        <f>AG4*'Demand Breakdown - Ethylene'!$C$7</f>
        <v>35.34292821481101</v>
      </c>
      <c r="AH6" s="44">
        <f>AH4*'Demand Breakdown - Ethylene'!$C$7</f>
        <v>35.700000000000003</v>
      </c>
    </row>
    <row r="7" spans="1:34">
      <c r="A7" s="756"/>
      <c r="B7" s="1" t="s">
        <v>262</v>
      </c>
      <c r="C7" s="54" t="s">
        <v>153</v>
      </c>
      <c r="D7" s="44">
        <f>D4*'Demand Breakdown - Ethylene'!$C$8</f>
        <v>19.523076923076921</v>
      </c>
      <c r="E7" s="44">
        <f>E4*'Demand Breakdown - Ethylene'!$C$8</f>
        <v>20.00625367658391</v>
      </c>
      <c r="F7" s="44">
        <f>F4*'Demand Breakdown - Ethylene'!$C$8</f>
        <v>20.501388574601084</v>
      </c>
      <c r="G7" s="44">
        <f>G4*'Demand Breakdown - Ethylene'!$C$8</f>
        <v>21.008777569322103</v>
      </c>
      <c r="H7" s="44">
        <f>H4*'Demand Breakdown - Ethylene'!$C$8</f>
        <v>21.528723937463322</v>
      </c>
      <c r="I7" s="44">
        <f>I4*'Demand Breakdown - Ethylene'!$C$8</f>
        <v>22.061538461538461</v>
      </c>
      <c r="J7" s="44">
        <f>J4*'Demand Breakdown - Ethylene'!$C$8</f>
        <v>22.547357828113231</v>
      </c>
      <c r="K7" s="44">
        <f>K4*'Demand Breakdown - Ethylene'!$C$8</f>
        <v>23.043875472024851</v>
      </c>
      <c r="L7" s="44">
        <f>L4*'Demand Breakdown - Ethylene'!$C$8</f>
        <v>23.551326981119036</v>
      </c>
      <c r="M7" s="44">
        <f>M4*'Demand Breakdown - Ethylene'!$C$8</f>
        <v>24.069953131145233</v>
      </c>
      <c r="N7" s="44">
        <f>N4*'Demand Breakdown - Ethylene'!$C$8</f>
        <v>24.599999999999998</v>
      </c>
      <c r="O7" s="44">
        <f>O4*'Demand Breakdown - Ethylene'!$C$8</f>
        <v>24.892939703417305</v>
      </c>
      <c r="P7" s="44">
        <f>P4*'Demand Breakdown - Ethylene'!$C$8</f>
        <v>25.18936776739714</v>
      </c>
      <c r="Q7" s="44">
        <f>Q4*'Demand Breakdown - Ethylene'!$C$8</f>
        <v>25.489325731748796</v>
      </c>
      <c r="R7" s="44">
        <f>R4*'Demand Breakdown - Ethylene'!$C$8</f>
        <v>25.792855630942519</v>
      </c>
      <c r="S7" s="44">
        <f>S4*'Demand Breakdown - Ethylene'!$C$8</f>
        <v>26.099999999999998</v>
      </c>
      <c r="T7" s="44">
        <f>T4*'Demand Breakdown - Ethylene'!$C$8</f>
        <v>26.393332092785045</v>
      </c>
      <c r="U7" s="44">
        <f>U4*'Demand Breakdown - Ethylene'!$C$8</f>
        <v>26.689960879694905</v>
      </c>
      <c r="V7" s="44">
        <f>V4*'Demand Breakdown - Ethylene'!$C$8</f>
        <v>26.989923411541337</v>
      </c>
      <c r="W7" s="44">
        <f>W4*'Demand Breakdown - Ethylene'!$C$8</f>
        <v>27.29325715554193</v>
      </c>
      <c r="X7" s="44">
        <f>X4*'Demand Breakdown - Ethylene'!$C$8</f>
        <v>27.599999999999998</v>
      </c>
      <c r="Y7" s="44">
        <f>Y4*'Demand Breakdown - Ethylene'!$C$8</f>
        <v>27.893683156014458</v>
      </c>
      <c r="Z7" s="44">
        <f>Z4*'Demand Breakdown - Ethylene'!$C$8</f>
        <v>28.190491304642201</v>
      </c>
      <c r="AA7" s="44">
        <f>AA4*'Demand Breakdown - Ethylene'!$C$8</f>
        <v>28.490457697973561</v>
      </c>
      <c r="AB7" s="44">
        <f>AB4*'Demand Breakdown - Ethylene'!$C$8</f>
        <v>28.793615941924187</v>
      </c>
      <c r="AC7" s="44">
        <f>AC4*'Demand Breakdown - Ethylene'!$C$8</f>
        <v>29.099999999999998</v>
      </c>
      <c r="AD7" s="44">
        <f>AD4*'Demand Breakdown - Ethylene'!$C$8</f>
        <v>29.393999096108988</v>
      </c>
      <c r="AE7" s="44">
        <f>AE4*'Demand Breakdown - Ethylene'!$C$8</f>
        <v>29.690968483232169</v>
      </c>
      <c r="AF7" s="44">
        <f>AF4*'Demand Breakdown - Ethylene'!$C$8</f>
        <v>29.990938170402984</v>
      </c>
      <c r="AG7" s="44">
        <f>AG4*'Demand Breakdown - Ethylene'!$C$8</f>
        <v>30.293938469838004</v>
      </c>
      <c r="AH7" s="44">
        <f>AH4*'Demand Breakdown - Ethylene'!$C$8</f>
        <v>30.599999999999998</v>
      </c>
    </row>
    <row r="8" spans="1:34" s="68" customFormat="1">
      <c r="A8" s="757"/>
      <c r="B8" s="62" t="s">
        <v>248</v>
      </c>
      <c r="C8" s="283" t="s">
        <v>153</v>
      </c>
      <c r="D8" s="284">
        <f t="shared" ref="D8:AH8" si="1">D4-SUM(D6,D5,D7)</f>
        <v>21.150000000000006</v>
      </c>
      <c r="E8" s="284">
        <f t="shared" si="1"/>
        <v>21.673441482965899</v>
      </c>
      <c r="F8" s="284">
        <f t="shared" si="1"/>
        <v>22.209837622484486</v>
      </c>
      <c r="G8" s="284">
        <f t="shared" si="1"/>
        <v>22.759509033432295</v>
      </c>
      <c r="H8" s="284">
        <f t="shared" si="1"/>
        <v>23.322784265585256</v>
      </c>
      <c r="I8" s="284">
        <f t="shared" si="1"/>
        <v>23.900000000000006</v>
      </c>
      <c r="J8" s="284">
        <f t="shared" si="1"/>
        <v>24.426304313789331</v>
      </c>
      <c r="K8" s="284">
        <f t="shared" si="1"/>
        <v>24.964198428026947</v>
      </c>
      <c r="L8" s="284">
        <f t="shared" si="1"/>
        <v>25.513937562878937</v>
      </c>
      <c r="M8" s="284">
        <f t="shared" si="1"/>
        <v>26.075782558740656</v>
      </c>
      <c r="N8" s="284">
        <f t="shared" si="1"/>
        <v>26.650000000000006</v>
      </c>
      <c r="O8" s="284">
        <f t="shared" si="1"/>
        <v>26.967351345368741</v>
      </c>
      <c r="P8" s="284">
        <f t="shared" si="1"/>
        <v>27.288481748013567</v>
      </c>
      <c r="Q8" s="284">
        <f t="shared" si="1"/>
        <v>27.613436209394536</v>
      </c>
      <c r="R8" s="284">
        <f t="shared" si="1"/>
        <v>27.942260266854419</v>
      </c>
      <c r="S8" s="284">
        <f t="shared" si="1"/>
        <v>28.275000000000006</v>
      </c>
      <c r="T8" s="284">
        <f t="shared" si="1"/>
        <v>28.592776433850446</v>
      </c>
      <c r="U8" s="284">
        <f t="shared" si="1"/>
        <v>28.914124286336147</v>
      </c>
      <c r="V8" s="284">
        <f t="shared" si="1"/>
        <v>29.239083695836484</v>
      </c>
      <c r="W8" s="284">
        <f t="shared" si="1"/>
        <v>29.56769525183708</v>
      </c>
      <c r="X8" s="284">
        <f t="shared" si="1"/>
        <v>29.900000000000006</v>
      </c>
      <c r="Y8" s="284">
        <f t="shared" si="1"/>
        <v>30.218156752349017</v>
      </c>
      <c r="Z8" s="284">
        <f t="shared" si="1"/>
        <v>30.5396989133624</v>
      </c>
      <c r="AA8" s="284">
        <f t="shared" si="1"/>
        <v>30.864662506138018</v>
      </c>
      <c r="AB8" s="284">
        <f t="shared" si="1"/>
        <v>31.193083937084509</v>
      </c>
      <c r="AC8" s="284">
        <f t="shared" si="1"/>
        <v>31.525000000000006</v>
      </c>
      <c r="AD8" s="284">
        <f t="shared" si="1"/>
        <v>31.843499020784748</v>
      </c>
      <c r="AE8" s="284">
        <f t="shared" si="1"/>
        <v>32.165215856834834</v>
      </c>
      <c r="AF8" s="284">
        <f t="shared" si="1"/>
        <v>32.490183017936545</v>
      </c>
      <c r="AG8" s="284">
        <f t="shared" si="1"/>
        <v>32.818433342324511</v>
      </c>
      <c r="AH8" s="284">
        <f t="shared" si="1"/>
        <v>33.150000000000006</v>
      </c>
    </row>
    <row r="9" spans="1:34" s="67" customFormat="1">
      <c r="A9" s="755" t="s">
        <v>263</v>
      </c>
      <c r="B9" s="58" t="s">
        <v>264</v>
      </c>
      <c r="C9" s="59" t="s">
        <v>153</v>
      </c>
      <c r="D9" s="60">
        <f>D4*'Demand Breakdown - Ethylene'!$O$14</f>
        <v>18.742153846153844</v>
      </c>
      <c r="E9" s="60">
        <f>E4*'Demand Breakdown - Ethylene'!$O$14</f>
        <v>19.206003529520554</v>
      </c>
      <c r="F9" s="60">
        <f>F4*'Demand Breakdown - Ethylene'!$O$14</f>
        <v>19.68133303161704</v>
      </c>
      <c r="G9" s="60">
        <f>G4*'Demand Breakdown - Ethylene'!$O$14</f>
        <v>20.168426466549217</v>
      </c>
      <c r="H9" s="60">
        <f>H4*'Demand Breakdown - Ethylene'!$O$14</f>
        <v>20.66757497996479</v>
      </c>
      <c r="I9" s="60">
        <f>I4*'Demand Breakdown - Ethylene'!$O$14</f>
        <v>21.17907692307692</v>
      </c>
      <c r="J9" s="60">
        <f>J4*'Demand Breakdown - Ethylene'!$O$14</f>
        <v>21.645463514988702</v>
      </c>
      <c r="K9" s="60">
        <f>K4*'Demand Breakdown - Ethylene'!$O$14</f>
        <v>22.122120453143857</v>
      </c>
      <c r="L9" s="60">
        <f>L4*'Demand Breakdown - Ethylene'!$O$14</f>
        <v>22.609273901874275</v>
      </c>
      <c r="M9" s="60">
        <f>M4*'Demand Breakdown - Ethylene'!$O$14</f>
        <v>23.107155005899422</v>
      </c>
      <c r="N9" s="60">
        <f>N4*'Demand Breakdown - Ethylene'!$O$14</f>
        <v>23.616</v>
      </c>
      <c r="O9" s="60">
        <f>O4*'Demand Breakdown - Ethylene'!$O$14</f>
        <v>23.897222115280613</v>
      </c>
      <c r="P9" s="60">
        <f>P4*'Demand Breakdown - Ethylene'!$O$14</f>
        <v>24.181793056701256</v>
      </c>
      <c r="Q9" s="60">
        <f>Q4*'Demand Breakdown - Ethylene'!$O$14</f>
        <v>24.469752702478846</v>
      </c>
      <c r="R9" s="60">
        <f>R4*'Demand Breakdown - Ethylene'!$O$14</f>
        <v>24.761141405704819</v>
      </c>
      <c r="S9" s="60">
        <f>S4*'Demand Breakdown - Ethylene'!$O$14</f>
        <v>25.056000000000001</v>
      </c>
      <c r="T9" s="60">
        <f>T4*'Demand Breakdown - Ethylene'!$O$14</f>
        <v>25.337598809073643</v>
      </c>
      <c r="U9" s="60">
        <f>U4*'Demand Breakdown - Ethylene'!$O$14</f>
        <v>25.622362444507111</v>
      </c>
      <c r="V9" s="60">
        <f>V4*'Demand Breakdown - Ethylene'!$O$14</f>
        <v>25.910326475079685</v>
      </c>
      <c r="W9" s="60">
        <f>W4*'Demand Breakdown - Ethylene'!$O$14</f>
        <v>26.201526869320254</v>
      </c>
      <c r="X9" s="60">
        <f>X4*'Demand Breakdown - Ethylene'!$O$14</f>
        <v>26.495999999999999</v>
      </c>
      <c r="Y9" s="60">
        <f>Y4*'Demand Breakdown - Ethylene'!$O$14</f>
        <v>26.777935829773881</v>
      </c>
      <c r="Z9" s="60">
        <f>Z4*'Demand Breakdown - Ethylene'!$O$14</f>
        <v>27.062871652456511</v>
      </c>
      <c r="AA9" s="60">
        <f>AA4*'Demand Breakdown - Ethylene'!$O$14</f>
        <v>27.350839390054617</v>
      </c>
      <c r="AB9" s="60">
        <f>AB4*'Demand Breakdown - Ethylene'!$O$14</f>
        <v>27.641871304247221</v>
      </c>
      <c r="AC9" s="60">
        <f>AC4*'Demand Breakdown - Ethylene'!$O$14</f>
        <v>27.936</v>
      </c>
      <c r="AD9" s="60">
        <f>AD4*'Demand Breakdown - Ethylene'!$O$14</f>
        <v>28.218239132264628</v>
      </c>
      <c r="AE9" s="60">
        <f>AE4*'Demand Breakdown - Ethylene'!$O$14</f>
        <v>28.503329743902881</v>
      </c>
      <c r="AF9" s="60">
        <f>AF4*'Demand Breakdown - Ethylene'!$O$14</f>
        <v>28.791300643586865</v>
      </c>
      <c r="AG9" s="60">
        <f>AG4*'Demand Breakdown - Ethylene'!$O$14</f>
        <v>29.082180931044483</v>
      </c>
      <c r="AH9" s="60">
        <f>AH4*'Demand Breakdown - Ethylene'!$O$14</f>
        <v>29.375999999999998</v>
      </c>
    </row>
    <row r="10" spans="1:34" s="68" customFormat="1">
      <c r="A10" s="757"/>
      <c r="B10" s="62" t="s">
        <v>266</v>
      </c>
      <c r="C10" s="283" t="s">
        <v>153</v>
      </c>
      <c r="D10" s="284">
        <f>D4*'Demand Breakdown - Ethylene'!$J$14</f>
        <v>15.260538461538461</v>
      </c>
      <c r="E10" s="284">
        <f>E4*'Demand Breakdown - Ethylene'!$J$14</f>
        <v>15.638221623863092</v>
      </c>
      <c r="F10" s="284">
        <f>F4*'Demand Breakdown - Ethylene'!$J$14</f>
        <v>16.025252069146518</v>
      </c>
      <c r="G10" s="284">
        <f>G4*'Demand Breakdown - Ethylene'!$J$14</f>
        <v>16.421861133353445</v>
      </c>
      <c r="H10" s="284">
        <f>H4*'Demand Breakdown - Ethylene'!$J$14</f>
        <v>16.828285877783831</v>
      </c>
      <c r="I10" s="284">
        <f>I4*'Demand Breakdown - Ethylene'!$J$14</f>
        <v>17.244769230769233</v>
      </c>
      <c r="J10" s="284">
        <f>J4*'Demand Breakdown - Ethylene'!$J$14</f>
        <v>17.624518035641845</v>
      </c>
      <c r="K10" s="284">
        <f>K4*'Demand Breakdown - Ethylene'!$J$14</f>
        <v>18.012629327299429</v>
      </c>
      <c r="L10" s="284">
        <f>L4*'Demand Breakdown - Ethylene'!$J$14</f>
        <v>18.409287256908048</v>
      </c>
      <c r="M10" s="284">
        <f>M4*'Demand Breakdown - Ethylene'!$J$14</f>
        <v>18.814680030845192</v>
      </c>
      <c r="N10" s="284">
        <f>N4*'Demand Breakdown - Ethylene'!$J$14</f>
        <v>19.229000000000003</v>
      </c>
      <c r="O10" s="284">
        <f>O4*'Demand Breakdown - Ethylene'!$J$14</f>
        <v>19.457981201504527</v>
      </c>
      <c r="P10" s="284">
        <f>P4*'Demand Breakdown - Ethylene'!$J$14</f>
        <v>19.6896891381821</v>
      </c>
      <c r="Q10" s="284">
        <f>Q4*'Demand Breakdown - Ethylene'!$J$14</f>
        <v>19.924156280316978</v>
      </c>
      <c r="R10" s="284">
        <f>R4*'Demand Breakdown - Ethylene'!$J$14</f>
        <v>20.161415484853404</v>
      </c>
      <c r="S10" s="284">
        <f>S4*'Demand Breakdown - Ethylene'!$J$14</f>
        <v>20.401500000000002</v>
      </c>
      <c r="T10" s="284">
        <f>T4*'Demand Breakdown - Ethylene'!$J$14</f>
        <v>20.630787919193647</v>
      </c>
      <c r="U10" s="284">
        <f>U4*'Demand Breakdown - Ethylene'!$J$14</f>
        <v>20.862652754294853</v>
      </c>
      <c r="V10" s="284">
        <f>V4*'Demand Breakdown - Ethylene'!$J$14</f>
        <v>21.097123466688149</v>
      </c>
      <c r="W10" s="284">
        <f>W4*'Demand Breakdown - Ethylene'!$J$14</f>
        <v>21.334229343248612</v>
      </c>
      <c r="X10" s="284">
        <f>X4*'Demand Breakdown - Ethylene'!$J$14</f>
        <v>21.574000000000002</v>
      </c>
      <c r="Y10" s="284">
        <f>Y4*'Demand Breakdown - Ethylene'!$J$14</f>
        <v>21.803562333617972</v>
      </c>
      <c r="Z10" s="284">
        <f>Z4*'Demand Breakdown - Ethylene'!$J$14</f>
        <v>22.035567369795324</v>
      </c>
      <c r="AA10" s="284">
        <f>AA4*'Demand Breakdown - Ethylene'!$J$14</f>
        <v>22.27004110058267</v>
      </c>
      <c r="AB10" s="284">
        <f>AB4*'Demand Breakdown - Ethylene'!$J$14</f>
        <v>22.507009794604077</v>
      </c>
      <c r="AC10" s="284">
        <f>AC4*'Demand Breakdown - Ethylene'!$J$14</f>
        <v>22.746500000000001</v>
      </c>
      <c r="AD10" s="284">
        <f>AD4*'Demand Breakdown - Ethylene'!$J$14</f>
        <v>22.976309293458527</v>
      </c>
      <c r="AE10" s="284">
        <f>AE4*'Demand Breakdown - Ethylene'!$J$14</f>
        <v>23.208440364393148</v>
      </c>
      <c r="AF10" s="284">
        <f>AF4*'Demand Breakdown - Ethylene'!$J$14</f>
        <v>23.442916669865003</v>
      </c>
      <c r="AG10" s="284">
        <f>AG4*'Demand Breakdown - Ethylene'!$J$14</f>
        <v>23.679761903923374</v>
      </c>
      <c r="AH10" s="284">
        <f>AH4*'Demand Breakdown - Ethylene'!$J$14</f>
        <v>23.919</v>
      </c>
    </row>
    <row r="11" spans="1:34">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row>
    <row r="12" spans="1:34">
      <c r="A12" s="58" t="s">
        <v>382</v>
      </c>
      <c r="B12" s="58" t="s">
        <v>199</v>
      </c>
      <c r="C12" s="59" t="s">
        <v>153</v>
      </c>
      <c r="D12" s="60">
        <f>'R&amp;S - Transportation'!D4</f>
        <v>8.4778361655826675</v>
      </c>
      <c r="E12" s="60">
        <f>D12*(1+'R&amp;S - Transportation'!$B$5)</f>
        <v>8.6219593803975716</v>
      </c>
      <c r="F12" s="60">
        <f>E12*(1+'R&amp;S - Transportation'!$B$5)</f>
        <v>8.7685326898643297</v>
      </c>
      <c r="G12" s="60">
        <f>F12*(1+'R&amp;S - Transportation'!$B$5)</f>
        <v>8.9175977455920226</v>
      </c>
      <c r="H12" s="60">
        <f>G12*(1+'R&amp;S - Transportation'!$B$5)</f>
        <v>9.0691969072670862</v>
      </c>
      <c r="I12" s="60">
        <f>H12*(1+'R&amp;S - Transportation'!$B$5)</f>
        <v>9.2233732546906264</v>
      </c>
      <c r="J12" s="60">
        <f>I12*(1+'R&amp;S - Transportation'!$B$5)</f>
        <v>9.3801706000203655</v>
      </c>
      <c r="K12" s="60">
        <f>J12*(1+'R&amp;S - Transportation'!$B$5)</f>
        <v>9.5396335002207113</v>
      </c>
      <c r="L12" s="60">
        <f>K12*(1+'R&amp;S - Transportation'!$B$5)</f>
        <v>9.7018072697244619</v>
      </c>
      <c r="M12" s="60">
        <f>L12*(1+'R&amp;S - Transportation'!$B$5)</f>
        <v>9.8667379933097763</v>
      </c>
      <c r="N12" s="60">
        <f>M12*(1+'R&amp;S - Transportation'!$B$5)</f>
        <v>10.034472539196042</v>
      </c>
      <c r="O12" s="60">
        <f>N12*(1+'R&amp;S - Transportation'!$B$5)</f>
        <v>10.205058572362374</v>
      </c>
      <c r="P12" s="60">
        <f>O12*(1+'R&amp;S - Transportation'!$B$5)</f>
        <v>10.378544568092533</v>
      </c>
      <c r="Q12" s="60">
        <f>P12*(1+'R&amp;S - Transportation'!$B$5)</f>
        <v>10.554979825750104</v>
      </c>
      <c r="R12" s="60">
        <f>Q12*(1+'R&amp;S - Transportation'!$B$5)</f>
        <v>10.734414482787855</v>
      </c>
      <c r="S12" s="60">
        <f>R12*(1+'R&amp;S - Transportation'!$B$5)</f>
        <v>10.916899528995248</v>
      </c>
      <c r="T12" s="60">
        <f>S12*(1+'R&amp;S - Transportation'!$B$5)</f>
        <v>11.102486820988167</v>
      </c>
      <c r="U12" s="60">
        <f>T12*(1+'R&amp;S - Transportation'!$B$5)</f>
        <v>11.291229096944965</v>
      </c>
      <c r="V12" s="60">
        <f>U12*(1+'R&amp;S - Transportation'!$B$5)</f>
        <v>11.483179991593028</v>
      </c>
      <c r="W12" s="60">
        <f>V12*(1+'R&amp;S - Transportation'!$B$5)</f>
        <v>11.678394051450109</v>
      </c>
      <c r="X12" s="60">
        <f>W12*(1+'R&amp;S - Transportation'!$B$5)</f>
        <v>11.87692675032476</v>
      </c>
      <c r="Y12" s="60">
        <f>X12*(1+'R&amp;S - Transportation'!$B$5)</f>
        <v>12.07883450508028</v>
      </c>
      <c r="Z12" s="60">
        <f>Y12*(1+'R&amp;S - Transportation'!$B$5)</f>
        <v>12.284174691666644</v>
      </c>
      <c r="AA12" s="60">
        <f>Z12*(1+'R&amp;S - Transportation'!$B$5)</f>
        <v>12.493005661424975</v>
      </c>
      <c r="AB12" s="60">
        <f>AA12*(1+'R&amp;S - Transportation'!$B$5)</f>
        <v>12.705386757669199</v>
      </c>
      <c r="AC12" s="60">
        <f>AB12*(1+'R&amp;S - Transportation'!$B$5)</f>
        <v>12.921378332549574</v>
      </c>
      <c r="AD12" s="60">
        <f>AC12*(1+'R&amp;S - Transportation'!$B$5)</f>
        <v>13.141041764202916</v>
      </c>
      <c r="AE12" s="60">
        <f>AD12*(1+'R&amp;S - Transportation'!$B$5)</f>
        <v>13.364439474194365</v>
      </c>
      <c r="AF12" s="60">
        <f>AE12*(1+'R&amp;S - Transportation'!$B$5)</f>
        <v>13.591634945255668</v>
      </c>
      <c r="AG12" s="60">
        <f>AF12*(1+'R&amp;S - Transportation'!$B$5)</f>
        <v>13.822692739325014</v>
      </c>
      <c r="AH12" s="60">
        <f>AG12*(1+'R&amp;S - Transportation'!$B$5)</f>
        <v>14.057678515893537</v>
      </c>
    </row>
    <row r="13" spans="1:34" outlineLevel="1">
      <c r="B13" s="1" t="s">
        <v>270</v>
      </c>
      <c r="C13" s="54" t="s">
        <v>153</v>
      </c>
      <c r="D13" s="44">
        <v>0</v>
      </c>
      <c r="E13" s="44">
        <f>E12*('R&amp;S - Transportation'!$B$8*'R&amp;S - Transportation'!$C$19*('Yearly LC Ethylene'!E3-'Yearly LC Ethylene'!$D$3)/10)</f>
        <v>8.621959380397573E-3</v>
      </c>
      <c r="F13" s="44">
        <f>F12*('R&amp;S - Transportation'!$B$8*'R&amp;S - Transportation'!$C$19*('Yearly LC Ethylene'!F3-'Yearly LC Ethylene'!$D$3)/10)</f>
        <v>1.7537065379728663E-2</v>
      </c>
      <c r="G13" s="44">
        <f>G12*('R&amp;S - Transportation'!$B$8*'R&amp;S - Transportation'!$C$19*('Yearly LC Ethylene'!G3-'Yearly LC Ethylene'!$D$3)/10)</f>
        <v>2.6752793236776071E-2</v>
      </c>
      <c r="H13" s="44">
        <f>H12*('R&amp;S - Transportation'!$B$8*'R&amp;S - Transportation'!$C$19*('Yearly LC Ethylene'!H3-'Yearly LC Ethylene'!$D$3)/10)</f>
        <v>3.6276787629068351E-2</v>
      </c>
      <c r="I13" s="44">
        <f>I12*('R&amp;S - Transportation'!$B$8*'R&amp;S - Transportation'!$C$19*('Yearly LC Ethylene'!I3-'Yearly LC Ethylene'!$D$3)/10)</f>
        <v>4.6116866273453141E-2</v>
      </c>
      <c r="J13" s="44">
        <f>J12*('R&amp;S - Transportation'!$B$8*'R&amp;S - Transportation'!$C$19*('Yearly LC Ethylene'!J3-'Yearly LC Ethylene'!$D$3)/10)</f>
        <v>5.6281023600122201E-2</v>
      </c>
      <c r="K13" s="44">
        <f>K12*('R&amp;S - Transportation'!$B$8*'R&amp;S - Transportation'!$C$19*('Yearly LC Ethylene'!K3-'Yearly LC Ethylene'!$D$3)/10)</f>
        <v>6.6777434501544983E-2</v>
      </c>
      <c r="L13" s="44">
        <f>L12*('R&amp;S - Transportation'!$B$8*'R&amp;S - Transportation'!$C$19*('Yearly LC Ethylene'!L3-'Yearly LC Ethylene'!$D$3)/10)</f>
        <v>7.7614458157795718E-2</v>
      </c>
      <c r="M13" s="44">
        <f>M12*('R&amp;S - Transportation'!$B$8*'R&amp;S - Transportation'!$C$19*('Yearly LC Ethylene'!M3-'Yearly LC Ethylene'!$D$3)/10)</f>
        <v>8.8800641939788011E-2</v>
      </c>
      <c r="N13" s="44">
        <f>N12*('R&amp;S - Transportation'!$B$8*'R&amp;S - Transportation'!$C$19*('Yearly LC Ethylene'!N3-'Yearly LC Ethylene'!$D$3)/10)</f>
        <v>0.10034472539196043</v>
      </c>
      <c r="O13" s="44">
        <f>O12*('R&amp;S - Transportation'!$B$8*('R&amp;S - Transportation'!$C$19+('R&amp;S - Transportation'!$C$20-'R&amp;S - Transportation'!$C$19)*('Yearly LC Ethylene'!O3-'Yearly LC Ethylene'!$N$3)/10))</f>
        <v>0.14287082001307325</v>
      </c>
      <c r="P13" s="44">
        <f>P12*('R&amp;S - Transportation'!$B$8*('R&amp;S - Transportation'!$C$19+('R&amp;S - Transportation'!$C$20-'R&amp;S - Transportation'!$C$19)*('Yearly LC Ethylene'!P3-'Yearly LC Ethylene'!$N$3)/10))</f>
        <v>0.18681380222566557</v>
      </c>
      <c r="Q13" s="44">
        <f>Q12*('R&amp;S - Transportation'!$B$8*('R&amp;S - Transportation'!$C$19+('R&amp;S - Transportation'!$C$20-'R&amp;S - Transportation'!$C$19)*('Yearly LC Ethylene'!Q3-'Yearly LC Ethylene'!$N$3)/10))</f>
        <v>0.23220955616650235</v>
      </c>
      <c r="R13" s="44">
        <f>R12*('R&amp;S - Transportation'!$B$8*('R&amp;S - Transportation'!$C$19+('R&amp;S - Transportation'!$C$20-'R&amp;S - Transportation'!$C$19)*('Yearly LC Ethylene'!R3-'Yearly LC Ethylene'!$N$3)/10))</f>
        <v>0.27909477655248427</v>
      </c>
      <c r="S13" s="44">
        <f>S12*('R&amp;S - Transportation'!$B$8*('R&amp;S - Transportation'!$C$19+('R&amp;S - Transportation'!$C$20-'R&amp;S - Transportation'!$C$19)*('Yearly LC Ethylene'!S3-'Yearly LC Ethylene'!$N$3)/10))</f>
        <v>0.32750698586985749</v>
      </c>
      <c r="T13" s="44">
        <f>T12*('R&amp;S - Transportation'!$B$8*('R&amp;S - Transportation'!$C$19+('R&amp;S - Transportation'!$C$20-'R&amp;S - Transportation'!$C$19)*('Yearly LC Ethylene'!T3-'Yearly LC Ethylene'!$N$3)/10))</f>
        <v>0.37748455191359781</v>
      </c>
      <c r="U13" s="44">
        <f>U12*('R&amp;S - Transportation'!$B$8*('R&amp;S - Transportation'!$C$19+('R&amp;S - Transportation'!$C$20-'R&amp;S - Transportation'!$C$19)*('Yearly LC Ethylene'!U3-'Yearly LC Ethylene'!$N$3)/10))</f>
        <v>0.42906670568390876</v>
      </c>
      <c r="V13" s="44">
        <f>V12*('R&amp;S - Transportation'!$B$8*('R&amp;S - Transportation'!$C$19+('R&amp;S - Transportation'!$C$20-'R&amp;S - Transportation'!$C$19)*('Yearly LC Ethylene'!V3-'Yearly LC Ethylene'!$N$3)/10))</f>
        <v>0.48229355964690729</v>
      </c>
      <c r="W13" s="44">
        <f>W12*('R&amp;S - Transportation'!$B$8*('R&amp;S - Transportation'!$C$19+('R&amp;S - Transportation'!$C$20-'R&amp;S - Transportation'!$C$19)*('Yearly LC Ethylene'!W3-'Yearly LC Ethylene'!$N$3)/10))</f>
        <v>0.53720612636670495</v>
      </c>
      <c r="X13" s="44">
        <f>X12*('R&amp;S - Transportation'!$B$8*('R&amp;S - Transportation'!$C$19+('R&amp;S - Transportation'!$C$20-'R&amp;S - Transportation'!$C$19)*('Yearly LC Ethylene'!X3-'Yearly LC Ethylene'!$N$3)/10))</f>
        <v>0.59384633751623805</v>
      </c>
      <c r="Y13" s="44">
        <f>Y12*('R&amp;S - Transportation'!$B$8*('R&amp;S - Transportation'!$C$20+('R&amp;S - Transportation'!$C$21-'R&amp;S - Transportation'!$C$20)*('Yearly LC Ethylene'!Y3-'Yearly LC Ethylene'!$X$3)/10))</f>
        <v>0.66433589777941549</v>
      </c>
      <c r="Z13" s="44">
        <f>Z12*('R&amp;S - Transportation'!$B$8*('R&amp;S - Transportation'!$C$20+('R&amp;S - Transportation'!$C$21-'R&amp;S - Transportation'!$C$20)*('Yearly LC Ethylene'!Z3-'Yearly LC Ethylene'!$X$3)/10))</f>
        <v>0.73705048149999863</v>
      </c>
      <c r="AA13" s="44">
        <f>AA12*('R&amp;S - Transportation'!$B$8*('R&amp;S - Transportation'!$C$20+('R&amp;S - Transportation'!$C$21-'R&amp;S - Transportation'!$C$20)*('Yearly LC Ethylene'!AA3-'Yearly LC Ethylene'!$X$3)/10))</f>
        <v>0.81204536799262339</v>
      </c>
      <c r="AB13" s="44">
        <f>AB12*('R&amp;S - Transportation'!$B$8*('R&amp;S - Transportation'!$C$20+('R&amp;S - Transportation'!$C$21-'R&amp;S - Transportation'!$C$20)*('Yearly LC Ethylene'!AB3-'Yearly LC Ethylene'!$X$3)/10))</f>
        <v>0.88937707303684388</v>
      </c>
      <c r="AC13" s="44">
        <f>AC12*('R&amp;S - Transportation'!$B$8*('R&amp;S - Transportation'!$C$20+('R&amp;S - Transportation'!$C$21-'R&amp;S - Transportation'!$C$20)*('Yearly LC Ethylene'!AC3-'Yearly LC Ethylene'!$X$3)/10))</f>
        <v>0.96910337494121823</v>
      </c>
      <c r="AD13" s="44">
        <f>AD12*('R&amp;S - Transportation'!$B$8*('R&amp;S - Transportation'!$C$20+('R&amp;S - Transportation'!$C$21-'R&amp;S - Transportation'!$C$20)*('Yearly LC Ethylene'!AD3-'Yearly LC Ethylene'!$X$3)/10))</f>
        <v>1.0512833411362335</v>
      </c>
      <c r="AE13" s="44">
        <f>AE12*('R&amp;S - Transportation'!$B$8*('R&amp;S - Transportation'!$C$20+('R&amp;S - Transportation'!$C$21-'R&amp;S - Transportation'!$C$20)*('Yearly LC Ethylene'!AE3-'Yearly LC Ethylene'!$X$3)/10))</f>
        <v>1.1359773553065211</v>
      </c>
      <c r="AF13" s="44">
        <f>AF12*('R&amp;S - Transportation'!$B$8*('R&amp;S - Transportation'!$C$20+('R&amp;S - Transportation'!$C$21-'R&amp;S - Transportation'!$C$20)*('Yearly LC Ethylene'!AF3-'Yearly LC Ethylene'!$X$3)/10))</f>
        <v>1.2232471450730102</v>
      </c>
      <c r="AG13" s="44">
        <f>AG12*('R&amp;S - Transportation'!$B$8*('R&amp;S - Transportation'!$C$20+('R&amp;S - Transportation'!$C$21-'R&amp;S - Transportation'!$C$20)*('Yearly LC Ethylene'!AG3-'Yearly LC Ethylene'!$X$3)/10))</f>
        <v>1.3131558102358762</v>
      </c>
      <c r="AH13" s="44">
        <f>AH12*('R&amp;S - Transportation'!$B$8*('R&amp;S - Transportation'!$C$20+('R&amp;S - Transportation'!$C$21-'R&amp;S - Transportation'!$C$20)*('Yearly LC Ethylene'!AH3-'Yearly LC Ethylene'!$X$3)/10))</f>
        <v>1.4057678515893537</v>
      </c>
    </row>
    <row r="14" spans="1:34" outlineLevel="1">
      <c r="B14" s="1" t="s">
        <v>191</v>
      </c>
      <c r="C14" s="54" t="s">
        <v>153</v>
      </c>
      <c r="D14" s="44">
        <f>SUM(D12:D13)</f>
        <v>8.4778361655826675</v>
      </c>
      <c r="E14" s="44">
        <f t="shared" ref="E14:AG14" si="2">SUM(E12:E13)</f>
        <v>8.6305813397779687</v>
      </c>
      <c r="F14" s="44">
        <f t="shared" si="2"/>
        <v>8.7860697552440588</v>
      </c>
      <c r="G14" s="44">
        <f t="shared" si="2"/>
        <v>8.9443505388287985</v>
      </c>
      <c r="H14" s="44">
        <f t="shared" si="2"/>
        <v>9.1054736948961548</v>
      </c>
      <c r="I14" s="44">
        <f t="shared" si="2"/>
        <v>9.269490120964079</v>
      </c>
      <c r="J14" s="44">
        <f t="shared" si="2"/>
        <v>9.4364516236204885</v>
      </c>
      <c r="K14" s="44">
        <f t="shared" si="2"/>
        <v>9.6064109347222555</v>
      </c>
      <c r="L14" s="44">
        <f t="shared" si="2"/>
        <v>9.7794217278822568</v>
      </c>
      <c r="M14" s="44">
        <f t="shared" si="2"/>
        <v>9.9555386352495638</v>
      </c>
      <c r="N14" s="44">
        <f>SUM(N12:N13)</f>
        <v>10.134817264588001</v>
      </c>
      <c r="O14" s="44">
        <f t="shared" si="2"/>
        <v>10.347929392375447</v>
      </c>
      <c r="P14" s="44">
        <f t="shared" si="2"/>
        <v>10.565358370318199</v>
      </c>
      <c r="Q14" s="44">
        <f t="shared" si="2"/>
        <v>10.787189381916606</v>
      </c>
      <c r="R14" s="44">
        <f t="shared" si="2"/>
        <v>11.013509259340339</v>
      </c>
      <c r="S14" s="44">
        <f t="shared" si="2"/>
        <v>11.244406514865107</v>
      </c>
      <c r="T14" s="44">
        <f t="shared" si="2"/>
        <v>11.479971372901765</v>
      </c>
      <c r="U14" s="44">
        <f t="shared" si="2"/>
        <v>11.720295802628874</v>
      </c>
      <c r="V14" s="44">
        <f t="shared" si="2"/>
        <v>11.965473551239935</v>
      </c>
      <c r="W14" s="44">
        <f t="shared" si="2"/>
        <v>12.215600177816814</v>
      </c>
      <c r="X14" s="44">
        <f t="shared" si="2"/>
        <v>12.470773087840998</v>
      </c>
      <c r="Y14" s="44">
        <f t="shared" si="2"/>
        <v>12.743170402859695</v>
      </c>
      <c r="Z14" s="44">
        <f t="shared" si="2"/>
        <v>13.021225173166643</v>
      </c>
      <c r="AA14" s="44">
        <f t="shared" si="2"/>
        <v>13.305051029417598</v>
      </c>
      <c r="AB14" s="44">
        <f t="shared" si="2"/>
        <v>13.594763830706043</v>
      </c>
      <c r="AC14" s="44">
        <f t="shared" si="2"/>
        <v>13.890481707490792</v>
      </c>
      <c r="AD14" s="44">
        <f t="shared" si="2"/>
        <v>14.192325105339149</v>
      </c>
      <c r="AE14" s="44">
        <f t="shared" si="2"/>
        <v>14.500416829500885</v>
      </c>
      <c r="AF14" s="44">
        <f t="shared" si="2"/>
        <v>14.814882090328679</v>
      </c>
      <c r="AG14" s="44">
        <f t="shared" si="2"/>
        <v>15.13584854956089</v>
      </c>
      <c r="AH14" s="44">
        <f>SUM(AH12:AH13)</f>
        <v>15.463446367482891</v>
      </c>
    </row>
    <row r="15" spans="1:34" outlineLevel="1">
      <c r="B15" s="61" t="s">
        <v>77</v>
      </c>
      <c r="C15" s="54" t="s">
        <v>153</v>
      </c>
      <c r="D15" s="44">
        <v>0</v>
      </c>
      <c r="E15" s="44">
        <f>E14*'R&amp;S - Transportation'!$B$16*('R&amp;S - Transportation'!$B$10*'R&amp;S - Transportation'!$B$19*('Yearly LC Ethylene'!E$3-'Yearly LC Ethylene'!$D$3)/10)</f>
        <v>0</v>
      </c>
      <c r="F15" s="44">
        <f>F14*'R&amp;S - Transportation'!$B$16*('R&amp;S - Transportation'!$B$10*'R&amp;S - Transportation'!$B$19*('Yearly LC Ethylene'!F$3-'Yearly LC Ethylene'!$D$3)/10)</f>
        <v>0</v>
      </c>
      <c r="G15" s="44">
        <f>G14*'R&amp;S - Transportation'!$B$16*('R&amp;S - Transportation'!$B$10*'R&amp;S - Transportation'!$B$19*('Yearly LC Ethylene'!G$3-'Yearly LC Ethylene'!$D$3)/10)</f>
        <v>0</v>
      </c>
      <c r="H15" s="44">
        <f>H14*'R&amp;S - Transportation'!$B$16*('R&amp;S - Transportation'!$B$10*'R&amp;S - Transportation'!$B$19*('Yearly LC Ethylene'!H$3-'Yearly LC Ethylene'!$D$3)/10)</f>
        <v>0</v>
      </c>
      <c r="I15" s="44">
        <f>I14*'R&amp;S - Transportation'!$B$16*('R&amp;S - Transportation'!$B$10*'R&amp;S - Transportation'!$B$19*('Yearly LC Ethylene'!I$3-'Yearly LC Ethylene'!$D$3)/10)</f>
        <v>0</v>
      </c>
      <c r="J15" s="44">
        <f>J14*'R&amp;S - Transportation'!$B$16*('R&amp;S - Transportation'!$B$10*'R&amp;S - Transportation'!$B$19*('Yearly LC Ethylene'!J$3-'Yearly LC Ethylene'!$D$3)/10)</f>
        <v>0</v>
      </c>
      <c r="K15" s="44">
        <f>K14*'R&amp;S - Transportation'!$B$16*('R&amp;S - Transportation'!$B$10*'R&amp;S - Transportation'!$B$19*('Yearly LC Ethylene'!K$3-'Yearly LC Ethylene'!$D$3)/10)</f>
        <v>0</v>
      </c>
      <c r="L15" s="44">
        <f>L14*'R&amp;S - Transportation'!$B$16*('R&amp;S - Transportation'!$B$10*'R&amp;S - Transportation'!$B$19*('Yearly LC Ethylene'!L$3-'Yearly LC Ethylene'!$D$3)/10)</f>
        <v>0</v>
      </c>
      <c r="M15" s="44">
        <f>M14*'R&amp;S - Transportation'!$B$16*('R&amp;S - Transportation'!$B$10*'R&amp;S - Transportation'!$B$19*('Yearly LC Ethylene'!M$3-'Yearly LC Ethylene'!$D$3)/10)</f>
        <v>0</v>
      </c>
      <c r="N15" s="44">
        <f>N14*'R&amp;S - Transportation'!$B$16*('R&amp;S - Transportation'!$B$10*'R&amp;S - Transportation'!$B$19*('Yearly LC Ethylene'!N$3-'Yearly LC Ethylene'!$D$3)/10)</f>
        <v>0</v>
      </c>
      <c r="O15" s="44">
        <f>O14*'R&amp;S - Transportation'!$B$16*('R&amp;S - Transportation'!$B$10*('R&amp;S - Transportation'!$B$19+('R&amp;S - Transportation'!$B$20-'R&amp;S - Transportation'!$B$19)*('Yearly LC Ethylene'!O3-'Yearly LC Ethylene'!$N$3)/10))</f>
        <v>0</v>
      </c>
      <c r="P15" s="44">
        <f>P14*'R&amp;S - Transportation'!$B$16*('R&amp;S - Transportation'!$B$10*('R&amp;S - Transportation'!$B$19+('R&amp;S - Transportation'!$B$20-'R&amp;S - Transportation'!$B$19)*('Yearly LC Ethylene'!P3-'Yearly LC Ethylene'!$N$3)/10))</f>
        <v>0</v>
      </c>
      <c r="Q15" s="44">
        <f>Q14*'R&amp;S - Transportation'!$B$16*('R&amp;S - Transportation'!$B$10*('R&amp;S - Transportation'!$B$19+('R&amp;S - Transportation'!$B$20-'R&amp;S - Transportation'!$B$19)*('Yearly LC Ethylene'!Q3-'Yearly LC Ethylene'!$N$3)/10))</f>
        <v>0</v>
      </c>
      <c r="R15" s="44">
        <f>R14*'R&amp;S - Transportation'!$B$16*('R&amp;S - Transportation'!$B$10*('R&amp;S - Transportation'!$B$19+('R&amp;S - Transportation'!$B$20-'R&amp;S - Transportation'!$B$19)*('Yearly LC Ethylene'!R3-'Yearly LC Ethylene'!$N$3)/10))</f>
        <v>0</v>
      </c>
      <c r="S15" s="44">
        <f>S14*'R&amp;S - Transportation'!$B$16*('R&amp;S - Transportation'!$B$10*('R&amp;S - Transportation'!$B$19+('R&amp;S - Transportation'!$B$20-'R&amp;S - Transportation'!$B$19)*('Yearly LC Ethylene'!S3-'Yearly LC Ethylene'!$N$3)/10))</f>
        <v>0</v>
      </c>
      <c r="T15" s="44">
        <f>T14*'R&amp;S - Transportation'!$B$16*('R&amp;S - Transportation'!$B$10*('R&amp;S - Transportation'!$B$19+('R&amp;S - Transportation'!$B$20-'R&amp;S - Transportation'!$B$19)*('Yearly LC Ethylene'!T3-'Yearly LC Ethylene'!$N$3)/10))</f>
        <v>0</v>
      </c>
      <c r="U15" s="44">
        <f>U14*'R&amp;S - Transportation'!$B$16*('R&amp;S - Transportation'!$B$10*('R&amp;S - Transportation'!$B$19+('R&amp;S - Transportation'!$B$20-'R&amp;S - Transportation'!$B$19)*('Yearly LC Ethylene'!U3-'Yearly LC Ethylene'!$N$3)/10))</f>
        <v>0</v>
      </c>
      <c r="V15" s="44">
        <f>V14*'R&amp;S - Transportation'!$B$16*('R&amp;S - Transportation'!$B$10*('R&amp;S - Transportation'!$B$19+('R&amp;S - Transportation'!$B$20-'R&amp;S - Transportation'!$B$19)*('Yearly LC Ethylene'!V3-'Yearly LC Ethylene'!$N$3)/10))</f>
        <v>0</v>
      </c>
      <c r="W15" s="44">
        <f>W14*'R&amp;S - Transportation'!$B$16*('R&amp;S - Transportation'!$B$10*('R&amp;S - Transportation'!$B$19+('R&amp;S - Transportation'!$B$20-'R&amp;S - Transportation'!$B$19)*('Yearly LC Ethylene'!W3-'Yearly LC Ethylene'!$N$3)/10))</f>
        <v>0</v>
      </c>
      <c r="X15" s="44">
        <f>X14*'R&amp;S - Transportation'!$B$16*('R&amp;S - Transportation'!$B$10*('R&amp;S - Transportation'!$B$19+('R&amp;S - Transportation'!$B$20-'R&amp;S - Transportation'!$B$19)*('Yearly LC Ethylene'!X3-'Yearly LC Ethylene'!$N$3)/10))</f>
        <v>0</v>
      </c>
      <c r="Y15" s="44">
        <f>Y14*'R&amp;S - Transportation'!$B$16*('R&amp;S - Transportation'!$B$10*('R&amp;S - Transportation'!$B$20+('R&amp;S - Transportation'!$B$21-'R&amp;S - Transportation'!$B$20)*('Yearly LC Ethylene'!Y3-'Yearly LC Ethylene'!$X$3)/10))</f>
        <v>0</v>
      </c>
      <c r="Z15" s="44">
        <f>Z14*'R&amp;S - Transportation'!$B$16*('R&amp;S - Transportation'!$B$10*('R&amp;S - Transportation'!$B$20+('R&amp;S - Transportation'!$B$21-'R&amp;S - Transportation'!$B$20)*('Yearly LC Ethylene'!Z3-'Yearly LC Ethylene'!$X$3)/10))</f>
        <v>0</v>
      </c>
      <c r="AA15" s="44">
        <f>AA14*'R&amp;S - Transportation'!$B$16*('R&amp;S - Transportation'!$B$10*('R&amp;S - Transportation'!$B$20+('R&amp;S - Transportation'!$B$21-'R&amp;S - Transportation'!$B$20)*('Yearly LC Ethylene'!AA3-'Yearly LC Ethylene'!$X$3)/10))</f>
        <v>0</v>
      </c>
      <c r="AB15" s="44">
        <f>AB14*'R&amp;S - Transportation'!$B$16*('R&amp;S - Transportation'!$B$10*('R&amp;S - Transportation'!$B$20+('R&amp;S - Transportation'!$B$21-'R&amp;S - Transportation'!$B$20)*('Yearly LC Ethylene'!AB3-'Yearly LC Ethylene'!$X$3)/10))</f>
        <v>0</v>
      </c>
      <c r="AC15" s="44">
        <f>AC14*'R&amp;S - Transportation'!$B$16*('R&amp;S - Transportation'!$B$10*('R&amp;S - Transportation'!$B$20+('R&amp;S - Transportation'!$B$21-'R&amp;S - Transportation'!$B$20)*('Yearly LC Ethylene'!AC3-'Yearly LC Ethylene'!$X$3)/10))</f>
        <v>0</v>
      </c>
      <c r="AD15" s="44">
        <f>AD14*'R&amp;S - Transportation'!$B$16*('R&amp;S - Transportation'!$B$10*('R&amp;S - Transportation'!$B$20+('R&amp;S - Transportation'!$B$21-'R&amp;S - Transportation'!$B$20)*('Yearly LC Ethylene'!AD3-'Yearly LC Ethylene'!$X$3)/10))</f>
        <v>0</v>
      </c>
      <c r="AE15" s="44">
        <f>AE14*'R&amp;S - Transportation'!$B$16*('R&amp;S - Transportation'!$B$10*('R&amp;S - Transportation'!$B$20+('R&amp;S - Transportation'!$B$21-'R&amp;S - Transportation'!$B$20)*('Yearly LC Ethylene'!AE3-'Yearly LC Ethylene'!$X$3)/10))</f>
        <v>0</v>
      </c>
      <c r="AF15" s="44">
        <f>AF14*'R&amp;S - Transportation'!$B$16*('R&amp;S - Transportation'!$B$10*('R&amp;S - Transportation'!$B$20+('R&amp;S - Transportation'!$B$21-'R&amp;S - Transportation'!$B$20)*('Yearly LC Ethylene'!AF3-'Yearly LC Ethylene'!$X$3)/10))</f>
        <v>0</v>
      </c>
      <c r="AG15" s="44">
        <f>AG14*'R&amp;S - Transportation'!$B$16*('R&amp;S - Transportation'!$B$10*('R&amp;S - Transportation'!$B$20+('R&amp;S - Transportation'!$B$21-'R&amp;S - Transportation'!$B$20)*('Yearly LC Ethylene'!AG3-'Yearly LC Ethylene'!$X$3)/10))</f>
        <v>0</v>
      </c>
      <c r="AH15" s="44">
        <f>AH14*'R&amp;S - Transportation'!$B$16*('R&amp;S - Transportation'!$B$10*('R&amp;S - Transportation'!$B$20+('R&amp;S - Transportation'!$B$21-'R&amp;S - Transportation'!$B$20)*('Yearly LC Ethylene'!AH3-'Yearly LC Ethylene'!$X$3)/10))</f>
        <v>0</v>
      </c>
    </row>
    <row r="16" spans="1:34" outlineLevel="1">
      <c r="B16" s="61" t="s">
        <v>194</v>
      </c>
      <c r="C16" s="54" t="s">
        <v>153</v>
      </c>
      <c r="D16" s="44">
        <v>0</v>
      </c>
      <c r="E16" s="44">
        <f>(E14-E15)*'R&amp;S - Transportation'!$B$16*('R&amp;S - Transportation'!$B$11*'R&amp;S - Transportation'!$B$19*('Yearly LC Ethylene'!E$3-'Yearly LC Ethylene'!$D$3)/10)</f>
        <v>0</v>
      </c>
      <c r="F16" s="44">
        <f>(F14-F15)*'R&amp;S - Transportation'!$B$16*('R&amp;S - Transportation'!$B$11*'R&amp;S - Transportation'!$B$19*('Yearly LC Ethylene'!F$3-'Yearly LC Ethylene'!$D$3)/10)</f>
        <v>0</v>
      </c>
      <c r="G16" s="44">
        <f>(G14-G15)*'R&amp;S - Transportation'!$B$16*('R&amp;S - Transportation'!$B$11*'R&amp;S - Transportation'!$B$19*('Yearly LC Ethylene'!G$3-'Yearly LC Ethylene'!$D$3)/10)</f>
        <v>0</v>
      </c>
      <c r="H16" s="44">
        <f>(H14-H15)*'R&amp;S - Transportation'!$B$16*('R&amp;S - Transportation'!$B$11*'R&amp;S - Transportation'!$B$19*('Yearly LC Ethylene'!H$3-'Yearly LC Ethylene'!$D$3)/10)</f>
        <v>0</v>
      </c>
      <c r="I16" s="44">
        <f>(I14-I15)*'R&amp;S - Transportation'!$B$16*('R&amp;S - Transportation'!$B$11*'R&amp;S - Transportation'!$B$19*('Yearly LC Ethylene'!I$3-'Yearly LC Ethylene'!$D$3)/10)</f>
        <v>0</v>
      </c>
      <c r="J16" s="44">
        <f>(J14-J15)*'R&amp;S - Transportation'!$B$16*('R&amp;S - Transportation'!$B$11*'R&amp;S - Transportation'!$B$19*('Yearly LC Ethylene'!J$3-'Yearly LC Ethylene'!$D$3)/10)</f>
        <v>0</v>
      </c>
      <c r="K16" s="44">
        <f>(K14-K15)*'R&amp;S - Transportation'!$B$16*('R&amp;S - Transportation'!$B$11*'R&amp;S - Transportation'!$B$19*('Yearly LC Ethylene'!K$3-'Yearly LC Ethylene'!$D$3)/10)</f>
        <v>0</v>
      </c>
      <c r="L16" s="44">
        <f>(L14-L15)*'R&amp;S - Transportation'!$B$16*('R&amp;S - Transportation'!$B$11*'R&amp;S - Transportation'!$B$19*('Yearly LC Ethylene'!L$3-'Yearly LC Ethylene'!$D$3)/10)</f>
        <v>0</v>
      </c>
      <c r="M16" s="44">
        <f>(M14-M15)*'R&amp;S - Transportation'!$B$16*('R&amp;S - Transportation'!$B$11*'R&amp;S - Transportation'!$B$19*('Yearly LC Ethylene'!M$3-'Yearly LC Ethylene'!$D$3)/10)</f>
        <v>0</v>
      </c>
      <c r="N16" s="44">
        <f>(N14-N15)*'R&amp;S - Transportation'!$B$16*('R&amp;S - Transportation'!$B$11*'R&amp;S - Transportation'!$B$19*('Yearly LC Ethylene'!N$3-'Yearly LC Ethylene'!$D$3)/10)</f>
        <v>0</v>
      </c>
      <c r="O16" s="44">
        <f>(O14-O15)*'R&amp;S - Transportation'!$B$16*('R&amp;S - Transportation'!$B$11*('R&amp;S - Transportation'!$B$19+('R&amp;S - Transportation'!$B$20-'R&amp;S - Transportation'!$B$19)*('Yearly LC Ethylene'!O$3-'Yearly LC Ethylene'!$N$3)/10))</f>
        <v>0</v>
      </c>
      <c r="P16" s="44">
        <f>(P14-P15)*'R&amp;S - Transportation'!$B$16*('R&amp;S - Transportation'!$B$11*('R&amp;S - Transportation'!$B$19+('R&amp;S - Transportation'!$B$20-'R&amp;S - Transportation'!$B$19)*('Yearly LC Ethylene'!P$3-'Yearly LC Ethylene'!$N$3)/10))</f>
        <v>0</v>
      </c>
      <c r="Q16" s="44">
        <f>(Q14-Q15)*'R&amp;S - Transportation'!$B$16*('R&amp;S - Transportation'!$B$11*('R&amp;S - Transportation'!$B$19+('R&amp;S - Transportation'!$B$20-'R&amp;S - Transportation'!$B$19)*('Yearly LC Ethylene'!Q$3-'Yearly LC Ethylene'!$N$3)/10))</f>
        <v>0</v>
      </c>
      <c r="R16" s="44">
        <f>(R14-R15)*'R&amp;S - Transportation'!$B$16*('R&amp;S - Transportation'!$B$11*('R&amp;S - Transportation'!$B$19+('R&amp;S - Transportation'!$B$20-'R&amp;S - Transportation'!$B$19)*('Yearly LC Ethylene'!R$3-'Yearly LC Ethylene'!$N$3)/10))</f>
        <v>0</v>
      </c>
      <c r="S16" s="44">
        <f>(S14-S15)*'R&amp;S - Transportation'!$B$16*('R&amp;S - Transportation'!$B$11*('R&amp;S - Transportation'!$B$19+('R&amp;S - Transportation'!$B$20-'R&amp;S - Transportation'!$B$19)*('Yearly LC Ethylene'!S$3-'Yearly LC Ethylene'!$N$3)/10))</f>
        <v>0</v>
      </c>
      <c r="T16" s="44">
        <f>(T14-T15)*'R&amp;S - Transportation'!$B$16*('R&amp;S - Transportation'!$B$11*('R&amp;S - Transportation'!$B$19+('R&amp;S - Transportation'!$B$20-'R&amp;S - Transportation'!$B$19)*('Yearly LC Ethylene'!T$3-'Yearly LC Ethylene'!$N$3)/10))</f>
        <v>0</v>
      </c>
      <c r="U16" s="44">
        <f>(U14-U15)*'R&amp;S - Transportation'!$B$16*('R&amp;S - Transportation'!$B$11*('R&amp;S - Transportation'!$B$19+('R&amp;S - Transportation'!$B$20-'R&amp;S - Transportation'!$B$19)*('Yearly LC Ethylene'!U$3-'Yearly LC Ethylene'!$N$3)/10))</f>
        <v>0</v>
      </c>
      <c r="V16" s="44">
        <f>(V14-V15)*'R&amp;S - Transportation'!$B$16*('R&amp;S - Transportation'!$B$11*('R&amp;S - Transportation'!$B$19+('R&amp;S - Transportation'!$B$20-'R&amp;S - Transportation'!$B$19)*('Yearly LC Ethylene'!V$3-'Yearly LC Ethylene'!$N$3)/10))</f>
        <v>0</v>
      </c>
      <c r="W16" s="44">
        <f>(W14-W15)*'R&amp;S - Transportation'!$B$16*('R&amp;S - Transportation'!$B$11*('R&amp;S - Transportation'!$B$19+('R&amp;S - Transportation'!$B$20-'R&amp;S - Transportation'!$B$19)*('Yearly LC Ethylene'!W$3-'Yearly LC Ethylene'!$N$3)/10))</f>
        <v>0</v>
      </c>
      <c r="X16" s="44">
        <f>(X14-X15)*'R&amp;S - Transportation'!$B$16*('R&amp;S - Transportation'!$B$11*('R&amp;S - Transportation'!$B$19+('R&amp;S - Transportation'!$B$20-'R&amp;S - Transportation'!$B$19)*('Yearly LC Ethylene'!X$3-'Yearly LC Ethylene'!$N$3)/10))</f>
        <v>0</v>
      </c>
      <c r="Y16" s="44">
        <f>(Y14-Y15)*'R&amp;S - Transportation'!$B$16*('R&amp;S - Transportation'!$B$11*('R&amp;S - Transportation'!$B$20+('R&amp;S - Transportation'!$B$21-'R&amp;S - Transportation'!$B$20)*('Yearly LC Ethylene'!Y$3-'Yearly LC Ethylene'!$X$3)/10))</f>
        <v>0</v>
      </c>
      <c r="Z16" s="44">
        <f>(Z14-Z15)*'R&amp;S - Transportation'!$B$16*('R&amp;S - Transportation'!$B$11*('R&amp;S - Transportation'!$B$20+('R&amp;S - Transportation'!$B$21-'R&amp;S - Transportation'!$B$20)*('Yearly LC Ethylene'!Z$3-'Yearly LC Ethylene'!$X$3)/10))</f>
        <v>0</v>
      </c>
      <c r="AA16" s="44">
        <f>(AA14-AA15)*'R&amp;S - Transportation'!$B$16*('R&amp;S - Transportation'!$B$11*('R&amp;S - Transportation'!$B$20+('R&amp;S - Transportation'!$B$21-'R&amp;S - Transportation'!$B$20)*('Yearly LC Ethylene'!AA$3-'Yearly LC Ethylene'!$X$3)/10))</f>
        <v>0</v>
      </c>
      <c r="AB16" s="44">
        <f>(AB14-AB15)*'R&amp;S - Transportation'!$B$16*('R&amp;S - Transportation'!$B$11*('R&amp;S - Transportation'!$B$20+('R&amp;S - Transportation'!$B$21-'R&amp;S - Transportation'!$B$20)*('Yearly LC Ethylene'!AB$3-'Yearly LC Ethylene'!$X$3)/10))</f>
        <v>0</v>
      </c>
      <c r="AC16" s="44">
        <f>(AC14-AC15)*'R&amp;S - Transportation'!$B$16*('R&amp;S - Transportation'!$B$11*('R&amp;S - Transportation'!$B$20+('R&amp;S - Transportation'!$B$21-'R&amp;S - Transportation'!$B$20)*('Yearly LC Ethylene'!AC$3-'Yearly LC Ethylene'!$X$3)/10))</f>
        <v>0</v>
      </c>
      <c r="AD16" s="44">
        <f>(AD14-AD15)*'R&amp;S - Transportation'!$B$16*('R&amp;S - Transportation'!$B$11*('R&amp;S - Transportation'!$B$20+('R&amp;S - Transportation'!$B$21-'R&amp;S - Transportation'!$B$20)*('Yearly LC Ethylene'!AD$3-'Yearly LC Ethylene'!$X$3)/10))</f>
        <v>0</v>
      </c>
      <c r="AE16" s="44">
        <f>(AE14-AE15)*'R&amp;S - Transportation'!$B$16*('R&amp;S - Transportation'!$B$11*('R&amp;S - Transportation'!$B$20+('R&amp;S - Transportation'!$B$21-'R&amp;S - Transportation'!$B$20)*('Yearly LC Ethylene'!AE$3-'Yearly LC Ethylene'!$X$3)/10))</f>
        <v>0</v>
      </c>
      <c r="AF16" s="44">
        <f>(AF14-AF15)*'R&amp;S - Transportation'!$B$16*('R&amp;S - Transportation'!$B$11*('R&amp;S - Transportation'!$B$20+('R&amp;S - Transportation'!$B$21-'R&amp;S - Transportation'!$B$20)*('Yearly LC Ethylene'!AF$3-'Yearly LC Ethylene'!$X$3)/10))</f>
        <v>0</v>
      </c>
      <c r="AG16" s="44">
        <f>(AG14-AG15)*'R&amp;S - Transportation'!$B$16*('R&amp;S - Transportation'!$B$11*('R&amp;S - Transportation'!$B$20+('R&amp;S - Transportation'!$B$21-'R&amp;S - Transportation'!$B$20)*('Yearly LC Ethylene'!AG$3-'Yearly LC Ethylene'!$X$3)/10))</f>
        <v>0</v>
      </c>
      <c r="AH16" s="44">
        <f>(AH14-AH15)*'R&amp;S - Transportation'!$B$16*('R&amp;S - Transportation'!$B$11*('R&amp;S - Transportation'!$B$20+('R&amp;S - Transportation'!$B$21-'R&amp;S - Transportation'!$B$20)*('Yearly LC Ethylene'!AH$3-'Yearly LC Ethylene'!$X$3)/10))</f>
        <v>0</v>
      </c>
    </row>
    <row r="17" spans="1:42" outlineLevel="1">
      <c r="B17" s="1" t="s">
        <v>168</v>
      </c>
      <c r="C17" s="54" t="s">
        <v>153</v>
      </c>
      <c r="D17" s="44">
        <f>SUM(D15:D16)</f>
        <v>0</v>
      </c>
      <c r="E17" s="44">
        <f t="shared" ref="E17:AG17" si="3">SUM(E15:E16)</f>
        <v>0</v>
      </c>
      <c r="F17" s="44">
        <f t="shared" si="3"/>
        <v>0</v>
      </c>
      <c r="G17" s="44">
        <f t="shared" si="3"/>
        <v>0</v>
      </c>
      <c r="H17" s="44">
        <f t="shared" si="3"/>
        <v>0</v>
      </c>
      <c r="I17" s="44">
        <f t="shared" si="3"/>
        <v>0</v>
      </c>
      <c r="J17" s="44">
        <f t="shared" si="3"/>
        <v>0</v>
      </c>
      <c r="K17" s="44">
        <f t="shared" si="3"/>
        <v>0</v>
      </c>
      <c r="L17" s="44">
        <f t="shared" si="3"/>
        <v>0</v>
      </c>
      <c r="M17" s="44">
        <f t="shared" si="3"/>
        <v>0</v>
      </c>
      <c r="N17" s="44">
        <f t="shared" si="3"/>
        <v>0</v>
      </c>
      <c r="O17" s="44">
        <f t="shared" si="3"/>
        <v>0</v>
      </c>
      <c r="P17" s="44">
        <f t="shared" si="3"/>
        <v>0</v>
      </c>
      <c r="Q17" s="44">
        <f t="shared" si="3"/>
        <v>0</v>
      </c>
      <c r="R17" s="44">
        <f t="shared" si="3"/>
        <v>0</v>
      </c>
      <c r="S17" s="44">
        <f t="shared" si="3"/>
        <v>0</v>
      </c>
      <c r="T17" s="44">
        <f t="shared" si="3"/>
        <v>0</v>
      </c>
      <c r="U17" s="44">
        <f t="shared" si="3"/>
        <v>0</v>
      </c>
      <c r="V17" s="44">
        <f t="shared" si="3"/>
        <v>0</v>
      </c>
      <c r="W17" s="44">
        <f t="shared" si="3"/>
        <v>0</v>
      </c>
      <c r="X17" s="44">
        <f t="shared" si="3"/>
        <v>0</v>
      </c>
      <c r="Y17" s="44">
        <f t="shared" si="3"/>
        <v>0</v>
      </c>
      <c r="Z17" s="44">
        <f t="shared" si="3"/>
        <v>0</v>
      </c>
      <c r="AA17" s="44">
        <f t="shared" si="3"/>
        <v>0</v>
      </c>
      <c r="AB17" s="44">
        <f t="shared" si="3"/>
        <v>0</v>
      </c>
      <c r="AC17" s="44">
        <f t="shared" si="3"/>
        <v>0</v>
      </c>
      <c r="AD17" s="44">
        <f t="shared" si="3"/>
        <v>0</v>
      </c>
      <c r="AE17" s="44">
        <f t="shared" si="3"/>
        <v>0</v>
      </c>
      <c r="AF17" s="44">
        <f t="shared" si="3"/>
        <v>0</v>
      </c>
      <c r="AG17" s="44">
        <f t="shared" si="3"/>
        <v>0</v>
      </c>
      <c r="AH17" s="44">
        <f>SUM(AH15:AH16)</f>
        <v>0</v>
      </c>
      <c r="AI17" s="44"/>
      <c r="AM17" s="44"/>
      <c r="AN17" s="44"/>
      <c r="AO17" s="44"/>
      <c r="AP17" s="44"/>
    </row>
    <row r="18" spans="1:42" outlineLevel="1">
      <c r="B18" s="1" t="s">
        <v>172</v>
      </c>
      <c r="C18" s="54" t="s">
        <v>153</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M18" s="44"/>
      <c r="AN18" s="44"/>
      <c r="AO18" s="44"/>
      <c r="AP18" s="44"/>
    </row>
    <row r="19" spans="1:42" s="1" customFormat="1">
      <c r="A19" s="62"/>
      <c r="B19" s="62" t="s">
        <v>197</v>
      </c>
      <c r="C19" s="63" t="s">
        <v>153</v>
      </c>
      <c r="D19" s="64">
        <f>D14-D17-D18</f>
        <v>8.4778361655826675</v>
      </c>
      <c r="E19" s="64">
        <f t="shared" ref="E19:AG19" si="4">E14-E17-E18</f>
        <v>8.6305813397779687</v>
      </c>
      <c r="F19" s="64">
        <f t="shared" si="4"/>
        <v>8.7860697552440588</v>
      </c>
      <c r="G19" s="64">
        <f t="shared" si="4"/>
        <v>8.9443505388287985</v>
      </c>
      <c r="H19" s="64">
        <f t="shared" si="4"/>
        <v>9.1054736948961548</v>
      </c>
      <c r="I19" s="64">
        <f t="shared" si="4"/>
        <v>9.269490120964079</v>
      </c>
      <c r="J19" s="64">
        <f t="shared" si="4"/>
        <v>9.4364516236204885</v>
      </c>
      <c r="K19" s="64">
        <f t="shared" si="4"/>
        <v>9.6064109347222555</v>
      </c>
      <c r="L19" s="64">
        <f t="shared" si="4"/>
        <v>9.7794217278822568</v>
      </c>
      <c r="M19" s="64">
        <f t="shared" si="4"/>
        <v>9.9555386352495638</v>
      </c>
      <c r="N19" s="64">
        <f>N14-N17-N18</f>
        <v>10.134817264588001</v>
      </c>
      <c r="O19" s="64">
        <f t="shared" si="4"/>
        <v>10.347929392375447</v>
      </c>
      <c r="P19" s="64">
        <f t="shared" si="4"/>
        <v>10.565358370318199</v>
      </c>
      <c r="Q19" s="64">
        <f t="shared" si="4"/>
        <v>10.787189381916606</v>
      </c>
      <c r="R19" s="64">
        <f t="shared" si="4"/>
        <v>11.013509259340339</v>
      </c>
      <c r="S19" s="64">
        <f t="shared" si="4"/>
        <v>11.244406514865107</v>
      </c>
      <c r="T19" s="64">
        <f t="shared" si="4"/>
        <v>11.479971372901765</v>
      </c>
      <c r="U19" s="64">
        <f t="shared" si="4"/>
        <v>11.720295802628874</v>
      </c>
      <c r="V19" s="64">
        <f t="shared" si="4"/>
        <v>11.965473551239935</v>
      </c>
      <c r="W19" s="64">
        <f t="shared" si="4"/>
        <v>12.215600177816814</v>
      </c>
      <c r="X19" s="64">
        <f>X14-X17-X18</f>
        <v>12.470773087840998</v>
      </c>
      <c r="Y19" s="64">
        <f t="shared" si="4"/>
        <v>12.743170402859695</v>
      </c>
      <c r="Z19" s="64">
        <f t="shared" si="4"/>
        <v>13.021225173166643</v>
      </c>
      <c r="AA19" s="64">
        <f t="shared" si="4"/>
        <v>13.305051029417598</v>
      </c>
      <c r="AB19" s="64">
        <f t="shared" si="4"/>
        <v>13.594763830706043</v>
      </c>
      <c r="AC19" s="64">
        <f t="shared" si="4"/>
        <v>13.890481707490792</v>
      </c>
      <c r="AD19" s="64">
        <f t="shared" si="4"/>
        <v>14.192325105339149</v>
      </c>
      <c r="AE19" s="64">
        <f t="shared" si="4"/>
        <v>14.500416829500885</v>
      </c>
      <c r="AF19" s="64">
        <f t="shared" si="4"/>
        <v>14.814882090328679</v>
      </c>
      <c r="AG19" s="64">
        <f t="shared" si="4"/>
        <v>15.13584854956089</v>
      </c>
      <c r="AH19" s="64">
        <f>AH14-AH17-AH18</f>
        <v>15.463446367482891</v>
      </c>
      <c r="AL19"/>
      <c r="AM19" s="44"/>
      <c r="AN19" s="44"/>
      <c r="AO19" s="44"/>
      <c r="AP19" s="44"/>
    </row>
    <row r="20" spans="1:42" s="67" customFormat="1">
      <c r="A20" s="755" t="s">
        <v>257</v>
      </c>
      <c r="B20" s="58" t="s">
        <v>258</v>
      </c>
      <c r="C20" s="59" t="s">
        <v>153</v>
      </c>
      <c r="D20" s="60">
        <f>D19*('Demand Breakdown - Ethylene'!$C$75)</f>
        <v>2.4605530832803555</v>
      </c>
      <c r="E20" s="60">
        <f>E19*('Demand Breakdown - Ethylene'!$C$75)</f>
        <v>2.5048848681818172</v>
      </c>
      <c r="F20" s="60">
        <f>F19*('Demand Breakdown - Ethylene'!$C$75)</f>
        <v>2.5500128339288612</v>
      </c>
      <c r="G20" s="60">
        <f>G19*('Demand Breakdown - Ethylene'!$C$75)</f>
        <v>2.5959512387843997</v>
      </c>
      <c r="H20" s="60">
        <f>H19*('Demand Breakdown - Ethylene'!$C$75)</f>
        <v>2.6427145956960212</v>
      </c>
      <c r="I20" s="60">
        <f>I19*('Demand Breakdown - Ethylene'!$C$75)</f>
        <v>2.6903176768346291</v>
      </c>
      <c r="J20" s="60">
        <f>J19*('Demand Breakdown - Ethylene'!$C$75)</f>
        <v>2.7387755182137936</v>
      </c>
      <c r="K20" s="60">
        <f>K19*('Demand Breakdown - Ethylene'!$C$75)</f>
        <v>2.7881034243912439</v>
      </c>
      <c r="L20" s="60">
        <f>L19*('Demand Breakdown - Ethylene'!$C$75)</f>
        <v>2.8383169732539639</v>
      </c>
      <c r="M20" s="60">
        <f>M19*('Demand Breakdown - Ethylene'!$C$75)</f>
        <v>2.8894320208883677</v>
      </c>
      <c r="N20" s="60">
        <f>N19*('Demand Breakdown - Ethylene'!$C$75)</f>
        <v>2.9414647065370705</v>
      </c>
      <c r="O20" s="60">
        <f>O19*('Demand Breakdown - Ethylene'!$C$75)</f>
        <v>3.0033170109305698</v>
      </c>
      <c r="P20" s="60">
        <f>P19*('Demand Breakdown - Ethylene'!$C$75)</f>
        <v>3.066422210373259</v>
      </c>
      <c r="Q20" s="60">
        <f>Q19*('Demand Breakdown - Ethylene'!$C$75)</f>
        <v>3.1308050279808399</v>
      </c>
      <c r="R20" s="60">
        <f>R19*('Demand Breakdown - Ethylene'!$C$75)</f>
        <v>3.1964906653682807</v>
      </c>
      <c r="S20" s="60">
        <f>S19*('Demand Breakdown - Ethylene'!$C$75)</f>
        <v>3.2635048117738092</v>
      </c>
      <c r="T20" s="60">
        <f>T19*('Demand Breakdown - Ethylene'!$C$75)</f>
        <v>3.3318736533548337</v>
      </c>
      <c r="U20" s="60">
        <f>U19*('Demand Breakdown - Ethylene'!$C$75)</f>
        <v>3.4016238826590097</v>
      </c>
      <c r="V20" s="60">
        <f>V19*('Demand Breakdown - Ethylene'!$C$75)</f>
        <v>3.4727827082737082</v>
      </c>
      <c r="W20" s="60">
        <f>W19*('Demand Breakdown - Ethylene'!$C$75)</f>
        <v>3.5453778646572189</v>
      </c>
      <c r="X20" s="60">
        <f>X19*('Demand Breakdown - Ethylene'!$C$75)</f>
        <v>3.6194376221550772</v>
      </c>
      <c r="Y20" s="60">
        <f>Y19*('Demand Breakdown - Ethylene'!$C$75)</f>
        <v>3.6984964810732928</v>
      </c>
      <c r="Z20" s="60">
        <f>Z19*('Demand Breakdown - Ethylene'!$C$75)</f>
        <v>3.7791973237219252</v>
      </c>
      <c r="AA20" s="60">
        <f>AA19*('Demand Breakdown - Ethylene'!$C$75)</f>
        <v>3.8615731295375801</v>
      </c>
      <c r="AB20" s="60">
        <f>AB19*('Demand Breakdown - Ethylene'!$C$75)</f>
        <v>3.9456575247244126</v>
      </c>
      <c r="AC20" s="60">
        <f>AC19*('Demand Breakdown - Ethylene'!$C$75)</f>
        <v>4.03148479471316</v>
      </c>
      <c r="AD20" s="60">
        <f>AD19*('Demand Breakdown - Ethylene'!$C$75)</f>
        <v>4.1190898968568801</v>
      </c>
      <c r="AE20" s="60">
        <f>AE19*('Demand Breakdown - Ethylene'!$C$75)</f>
        <v>4.2085084733678144</v>
      </c>
      <c r="AF20" s="60">
        <f>AF19*('Demand Breakdown - Ethylene'!$C$75)</f>
        <v>4.2997768644999299</v>
      </c>
      <c r="AG20" s="60">
        <f>AG19*('Demand Breakdown - Ethylene'!$C$75)</f>
        <v>4.3929321219817332</v>
      </c>
      <c r="AH20" s="60">
        <f>AH19*('Demand Breakdown - Ethylene'!$C$75)</f>
        <v>4.4880120227040772</v>
      </c>
    </row>
    <row r="21" spans="1:42">
      <c r="A21" s="756"/>
      <c r="B21" s="1" t="s">
        <v>260</v>
      </c>
      <c r="C21" s="54" t="s">
        <v>153</v>
      </c>
      <c r="D21" s="44">
        <f>D25/('Demand Breakdown - Ethylene'!$K$14)</f>
        <v>0</v>
      </c>
      <c r="E21" s="44">
        <f>E25/('Demand Breakdown - Ethylene'!$K$14)</f>
        <v>0</v>
      </c>
      <c r="F21" s="44">
        <f>F25/('Demand Breakdown - Ethylene'!$K$14)</f>
        <v>0</v>
      </c>
      <c r="G21" s="44">
        <f>G25/('Demand Breakdown - Ethylene'!$K$14)</f>
        <v>0</v>
      </c>
      <c r="H21" s="44">
        <f>H25/('Demand Breakdown - Ethylene'!$K$14)</f>
        <v>0</v>
      </c>
      <c r="I21" s="44">
        <f>I25/('Demand Breakdown - Ethylene'!$K$14)</f>
        <v>0</v>
      </c>
      <c r="J21" s="44">
        <f>J25/('Demand Breakdown - Ethylene'!$K$14)</f>
        <v>0</v>
      </c>
      <c r="K21" s="44">
        <f>K25/('Demand Breakdown - Ethylene'!$K$14)</f>
        <v>0</v>
      </c>
      <c r="L21" s="44">
        <f>L25/('Demand Breakdown - Ethylene'!$K$14)</f>
        <v>0</v>
      </c>
      <c r="M21" s="44">
        <f>M25/('Demand Breakdown - Ethylene'!$K$14)</f>
        <v>0</v>
      </c>
      <c r="N21" s="44">
        <f>N25/('Demand Breakdown - Ethylene'!$K$14)</f>
        <v>0</v>
      </c>
      <c r="O21" s="44">
        <f>O25/('Demand Breakdown - Ethylene'!$K$14)</f>
        <v>0</v>
      </c>
      <c r="P21" s="44">
        <f>P25/('Demand Breakdown - Ethylene'!$K$14)</f>
        <v>0</v>
      </c>
      <c r="Q21" s="44">
        <f>Q25/('Demand Breakdown - Ethylene'!$K$14)</f>
        <v>0</v>
      </c>
      <c r="R21" s="44">
        <f>R25/('Demand Breakdown - Ethylene'!$K$14)</f>
        <v>0</v>
      </c>
      <c r="S21" s="44">
        <f>S25/('Demand Breakdown - Ethylene'!$K$14)</f>
        <v>0</v>
      </c>
      <c r="T21" s="44">
        <f>T25/('Demand Breakdown - Ethylene'!$K$14)</f>
        <v>0</v>
      </c>
      <c r="U21" s="44">
        <f>U25/('Demand Breakdown - Ethylene'!$K$14)</f>
        <v>0</v>
      </c>
      <c r="V21" s="44">
        <f>V25/('Demand Breakdown - Ethylene'!$K$14)</f>
        <v>0</v>
      </c>
      <c r="W21" s="44">
        <f>W25/('Demand Breakdown - Ethylene'!$K$14)</f>
        <v>0</v>
      </c>
      <c r="X21" s="44">
        <f>X25/('Demand Breakdown - Ethylene'!$K$14)</f>
        <v>0</v>
      </c>
      <c r="Y21" s="44">
        <f>Y25/('Demand Breakdown - Ethylene'!$K$14)</f>
        <v>0</v>
      </c>
      <c r="Z21" s="44">
        <f>Z25/('Demand Breakdown - Ethylene'!$K$14)</f>
        <v>0</v>
      </c>
      <c r="AA21" s="44">
        <f>AA25/('Demand Breakdown - Ethylene'!$K$14)</f>
        <v>0</v>
      </c>
      <c r="AB21" s="44">
        <f>AB25/('Demand Breakdown - Ethylene'!$K$14)</f>
        <v>0</v>
      </c>
      <c r="AC21" s="44">
        <f>AC25/('Demand Breakdown - Ethylene'!$K$14)</f>
        <v>0</v>
      </c>
      <c r="AD21" s="44">
        <f>AD25/('Demand Breakdown - Ethylene'!$K$14)</f>
        <v>0</v>
      </c>
      <c r="AE21" s="44">
        <f>AE25/('Demand Breakdown - Ethylene'!$K$14)</f>
        <v>0</v>
      </c>
      <c r="AF21" s="44">
        <f>AF25/('Demand Breakdown - Ethylene'!$K$14)</f>
        <v>0</v>
      </c>
      <c r="AG21" s="44">
        <f>AG25/('Demand Breakdown - Ethylene'!$K$14)</f>
        <v>0</v>
      </c>
      <c r="AH21" s="44">
        <f>AH25/('Demand Breakdown - Ethylene'!$K$14)</f>
        <v>0</v>
      </c>
    </row>
    <row r="22" spans="1:42">
      <c r="A22" s="756"/>
      <c r="B22" s="1" t="s">
        <v>262</v>
      </c>
      <c r="C22" s="54" t="s">
        <v>153</v>
      </c>
      <c r="D22" s="44">
        <f>D24/('Demand Breakdown - Ethylene'!$M$14)</f>
        <v>0.50059171597633134</v>
      </c>
      <c r="E22" s="44">
        <f>E24/('Demand Breakdown - Ethylene'!$M$14)</f>
        <v>0.50961087692307672</v>
      </c>
      <c r="F22" s="44">
        <f>F24/('Demand Breakdown - Ethylene'!$M$14)</f>
        <v>0.51879201833609445</v>
      </c>
      <c r="G22" s="44">
        <f>G24/('Demand Breakdown - Ethylene'!$M$14)</f>
        <v>0.52813804101372397</v>
      </c>
      <c r="H22" s="44">
        <f>H24/('Demand Breakdown - Ethylene'!$M$14)</f>
        <v>0.53765189756909382</v>
      </c>
      <c r="I22" s="44">
        <f>I24/('Demand Breakdown - Ethylene'!$M$14)</f>
        <v>0.54733659335349316</v>
      </c>
      <c r="J22" s="44">
        <f>J24/('Demand Breakdown - Ethylene'!$M$14)</f>
        <v>0.5571951873961648</v>
      </c>
      <c r="K22" s="44">
        <f>K24/('Demand Breakdown - Ethylene'!$M$14)</f>
        <v>0.56723079336080795</v>
      </c>
      <c r="L22" s="44">
        <f>L24/('Demand Breakdown - Ethylene'!$M$14)</f>
        <v>0.57744658051909148</v>
      </c>
      <c r="M22" s="44">
        <f>M24/('Demand Breakdown - Ethylene'!$M$14)</f>
        <v>0.58784577474147548</v>
      </c>
      <c r="N22" s="44">
        <f>N24/('Demand Breakdown - Ethylene'!$M$14)</f>
        <v>0.59843165950565047</v>
      </c>
      <c r="O22" s="44">
        <f>O24/('Demand Breakdown - Ethylene'!$M$14)</f>
        <v>0.611015314539889</v>
      </c>
      <c r="P22" s="44">
        <f>P24/('Demand Breakdown - Ethylene'!$M$14)</f>
        <v>0.62385386709569457</v>
      </c>
      <c r="Q22" s="44">
        <f>Q24/('Demand Breakdown - Ethylene'!$M$14)</f>
        <v>0.63695234701249537</v>
      </c>
      <c r="R22" s="44">
        <f>R24/('Demand Breakdown - Ethylene'!$M$14)</f>
        <v>0.65031588147887687</v>
      </c>
      <c r="S22" s="44">
        <f>S24/('Demand Breakdown - Ethylene'!$M$14)</f>
        <v>0.66394969688882877</v>
      </c>
      <c r="T22" s="44">
        <f>T24/('Demand Breakdown - Ethylene'!$M$14)</f>
        <v>0.67785912073297161</v>
      </c>
      <c r="U22" s="44">
        <f>U24/('Demand Breakdown - Ethylene'!$M$14)</f>
        <v>0.69204958352541435</v>
      </c>
      <c r="V22" s="44">
        <f>V24/('Demand Breakdown - Ethylene'!$M$14)</f>
        <v>0.70652662076690831</v>
      </c>
      <c r="W22" s="44">
        <f>W24/('Demand Breakdown - Ethylene'!$M$14)</f>
        <v>0.72129587494497427</v>
      </c>
      <c r="X22" s="44">
        <f>X24/('Demand Breakdown - Ethylene'!$M$14)</f>
        <v>0.73636309757169294</v>
      </c>
      <c r="Y22" s="44">
        <f>Y24/('Demand Breakdown - Ethylene'!$M$14)</f>
        <v>0.75244737151722307</v>
      </c>
      <c r="Z22" s="44">
        <f>Z24/('Demand Breakdown - Ethylene'!$M$14)</f>
        <v>0.76886570184170311</v>
      </c>
      <c r="AA22" s="44">
        <f>AA24/('Demand Breakdown - Ethylene'!$M$14)</f>
        <v>0.78562479810684693</v>
      </c>
      <c r="AB22" s="44">
        <f>AB24/('Demand Breakdown - Ethylene'!$M$14)</f>
        <v>0.80273150145717342</v>
      </c>
      <c r="AC22" s="44">
        <f>AC24/('Demand Breakdown - Ethylene'!$M$14)</f>
        <v>0.82019278715475818</v>
      </c>
      <c r="AD22" s="44">
        <f>AD24/('Demand Breakdown - Ethylene'!$M$14)</f>
        <v>0.83801576716213966</v>
      </c>
      <c r="AE22" s="44">
        <f>AE24/('Demand Breakdown - Ethylene'!$M$14)</f>
        <v>0.85620769277428432</v>
      </c>
      <c r="AF22" s="44">
        <f>AF24/('Demand Breakdown - Ethylene'!$M$14)</f>
        <v>0.87477595730053215</v>
      </c>
      <c r="AG22" s="44">
        <f>AG24/('Demand Breakdown - Ethylene'!$M$14)</f>
        <v>0.89372809879746062</v>
      </c>
      <c r="AH22" s="44">
        <f>AH24/('Demand Breakdown - Ethylene'!$M$14)</f>
        <v>0.91307180285362477</v>
      </c>
    </row>
    <row r="23" spans="1:42" s="68" customFormat="1">
      <c r="A23" s="757"/>
      <c r="B23" s="62" t="s">
        <v>248</v>
      </c>
      <c r="C23" s="283" t="s">
        <v>153</v>
      </c>
      <c r="D23" s="284">
        <f>D19-SUM(D21,D20,D22)</f>
        <v>5.5166913663259809</v>
      </c>
      <c r="E23" s="284">
        <f t="shared" ref="E23:AH23" si="5">E19-SUM(E21,E20,E22)</f>
        <v>5.6160855946730752</v>
      </c>
      <c r="F23" s="284">
        <f t="shared" si="5"/>
        <v>5.7172649029791032</v>
      </c>
      <c r="G23" s="284">
        <f t="shared" si="5"/>
        <v>5.8202612590306746</v>
      </c>
      <c r="H23" s="284">
        <f t="shared" si="5"/>
        <v>5.9251072016310395</v>
      </c>
      <c r="I23" s="284">
        <f t="shared" si="5"/>
        <v>6.0318358507759573</v>
      </c>
      <c r="J23" s="284">
        <f t="shared" si="5"/>
        <v>6.14048091801053</v>
      </c>
      <c r="K23" s="284">
        <f t="shared" si="5"/>
        <v>6.2510767169702035</v>
      </c>
      <c r="L23" s="284">
        <f t="shared" si="5"/>
        <v>6.3636581741092009</v>
      </c>
      <c r="M23" s="284">
        <f t="shared" si="5"/>
        <v>6.4782608396197201</v>
      </c>
      <c r="N23" s="284">
        <f t="shared" si="5"/>
        <v>6.5949208985452801</v>
      </c>
      <c r="O23" s="284">
        <f t="shared" si="5"/>
        <v>6.7335970669049878</v>
      </c>
      <c r="P23" s="284">
        <f t="shared" si="5"/>
        <v>6.8750822928492452</v>
      </c>
      <c r="Q23" s="284">
        <f t="shared" si="5"/>
        <v>7.019432006923271</v>
      </c>
      <c r="R23" s="284">
        <f t="shared" si="5"/>
        <v>7.1667027124931808</v>
      </c>
      <c r="S23" s="284">
        <f t="shared" si="5"/>
        <v>7.3169520062024684</v>
      </c>
      <c r="T23" s="284">
        <f t="shared" si="5"/>
        <v>7.4702385988139604</v>
      </c>
      <c r="U23" s="284">
        <f t="shared" si="5"/>
        <v>7.6266223364444494</v>
      </c>
      <c r="V23" s="284">
        <f t="shared" si="5"/>
        <v>7.7861642221993179</v>
      </c>
      <c r="W23" s="284">
        <f t="shared" si="5"/>
        <v>7.9489264382146203</v>
      </c>
      <c r="X23" s="284">
        <f t="shared" si="5"/>
        <v>8.114972368114227</v>
      </c>
      <c r="Y23" s="284">
        <f t="shared" si="5"/>
        <v>8.292226550269179</v>
      </c>
      <c r="Z23" s="284">
        <f t="shared" si="5"/>
        <v>8.4731621476030146</v>
      </c>
      <c r="AA23" s="284">
        <f t="shared" si="5"/>
        <v>8.6578531017731706</v>
      </c>
      <c r="AB23" s="284">
        <f t="shared" si="5"/>
        <v>8.8463748045244568</v>
      </c>
      <c r="AC23" s="284">
        <f t="shared" si="5"/>
        <v>9.0388041256228746</v>
      </c>
      <c r="AD23" s="284">
        <f t="shared" si="5"/>
        <v>9.2352194413201296</v>
      </c>
      <c r="AE23" s="284">
        <f t="shared" si="5"/>
        <v>9.4357006633587872</v>
      </c>
      <c r="AF23" s="284">
        <f t="shared" si="5"/>
        <v>9.640329268528216</v>
      </c>
      <c r="AG23" s="284">
        <f t="shared" si="5"/>
        <v>9.8491883287816968</v>
      </c>
      <c r="AH23" s="284">
        <f t="shared" si="5"/>
        <v>10.062362541925189</v>
      </c>
    </row>
    <row r="24" spans="1:42" s="67" customFormat="1">
      <c r="A24" s="755" t="s">
        <v>263</v>
      </c>
      <c r="B24" s="58" t="s">
        <v>264</v>
      </c>
      <c r="C24" s="59" t="s">
        <v>153</v>
      </c>
      <c r="D24" s="60">
        <f>D19*'Demand Breakdown - Ethylene'!$E$75</f>
        <v>0.48056804733727804</v>
      </c>
      <c r="E24" s="60">
        <f>E19*'Demand Breakdown - Ethylene'!$E$75</f>
        <v>0.48922644184615366</v>
      </c>
      <c r="F24" s="60">
        <f>F19*'Demand Breakdown - Ethylene'!$E$75</f>
        <v>0.49804033760265071</v>
      </c>
      <c r="G24" s="60">
        <f>G19*'Demand Breakdown - Ethylene'!$E$75</f>
        <v>0.50701251937317504</v>
      </c>
      <c r="H24" s="60">
        <f>H19*'Demand Breakdown - Ethylene'!$E$75</f>
        <v>0.51614582166633005</v>
      </c>
      <c r="I24" s="60">
        <f>I19*'Demand Breakdown - Ethylene'!$E$75</f>
        <v>0.52544312961935347</v>
      </c>
      <c r="J24" s="60">
        <f>J19*'Demand Breakdown - Ethylene'!$E$75</f>
        <v>0.53490737990031823</v>
      </c>
      <c r="K24" s="60">
        <f>K19*'Demand Breakdown - Ethylene'!$E$75</f>
        <v>0.54454156162637557</v>
      </c>
      <c r="L24" s="60">
        <f>L19*'Demand Breakdown - Ethylene'!$E$75</f>
        <v>0.5543487172983278</v>
      </c>
      <c r="M24" s="60">
        <f>M19*'Demand Breakdown - Ethylene'!$E$75</f>
        <v>0.56433194375181639</v>
      </c>
      <c r="N24" s="60">
        <f>N19*'Demand Breakdown - Ethylene'!$E$75</f>
        <v>0.57449439312542439</v>
      </c>
      <c r="O24" s="60">
        <f>O19*'Demand Breakdown - Ethylene'!$E$75</f>
        <v>0.58657470195829342</v>
      </c>
      <c r="P24" s="60">
        <f>P19*'Demand Breakdown - Ethylene'!$E$75</f>
        <v>0.59889971241186679</v>
      </c>
      <c r="Q24" s="60">
        <f>Q19*'Demand Breakdown - Ethylene'!$E$75</f>
        <v>0.61147425313199555</v>
      </c>
      <c r="R24" s="60">
        <f>R19*'Demand Breakdown - Ethylene'!$E$75</f>
        <v>0.62430324621972177</v>
      </c>
      <c r="S24" s="60">
        <f>S19*'Demand Breakdown - Ethylene'!$E$75</f>
        <v>0.63739170901327558</v>
      </c>
      <c r="T24" s="60">
        <f>T19*'Demand Breakdown - Ethylene'!$E$75</f>
        <v>0.65074475590365277</v>
      </c>
      <c r="U24" s="60">
        <f>U19*'Demand Breakdown - Ethylene'!$E$75</f>
        <v>0.66436760018439778</v>
      </c>
      <c r="V24" s="60">
        <f>V19*'Demand Breakdown - Ethylene'!$E$75</f>
        <v>0.67826555593623195</v>
      </c>
      <c r="W24" s="60">
        <f>W19*'Demand Breakdown - Ethylene'!$E$75</f>
        <v>0.69244403994717529</v>
      </c>
      <c r="X24" s="60">
        <f>X19*'Demand Breakdown - Ethylene'!$E$75</f>
        <v>0.7069085736688252</v>
      </c>
      <c r="Y24" s="60">
        <f>Y19*'Demand Breakdown - Ethylene'!$E$75</f>
        <v>0.72234947665653415</v>
      </c>
      <c r="Z24" s="60">
        <f>Z19*'Demand Breakdown - Ethylene'!$E$75</f>
        <v>0.73811107376803498</v>
      </c>
      <c r="AA24" s="60">
        <f>AA19*'Demand Breakdown - Ethylene'!$E$75</f>
        <v>0.75419980618257298</v>
      </c>
      <c r="AB24" s="60">
        <f>AB19*'Demand Breakdown - Ethylene'!$E$75</f>
        <v>0.77062224139888647</v>
      </c>
      <c r="AC24" s="60">
        <f>AC19*'Demand Breakdown - Ethylene'!$E$75</f>
        <v>0.78738507566856786</v>
      </c>
      <c r="AD24" s="60">
        <f>AD19*'Demand Breakdown - Ethylene'!$E$75</f>
        <v>0.80449513647565407</v>
      </c>
      <c r="AE24" s="60">
        <f>AE19*'Demand Breakdown - Ethylene'!$E$75</f>
        <v>0.8219593850633129</v>
      </c>
      <c r="AF24" s="60">
        <f>AF19*'Demand Breakdown - Ethylene'!$E$75</f>
        <v>0.83978491900851082</v>
      </c>
      <c r="AG24" s="60">
        <f>AG19*'Demand Breakdown - Ethylene'!$E$75</f>
        <v>0.85797897484556218</v>
      </c>
      <c r="AH24" s="60">
        <f>AH19*'Demand Breakdown - Ethylene'!$E$75</f>
        <v>0.8765489307394797</v>
      </c>
    </row>
    <row r="25" spans="1:42" s="68" customFormat="1">
      <c r="A25" s="757"/>
      <c r="B25" s="62" t="s">
        <v>266</v>
      </c>
      <c r="C25" s="283" t="s">
        <v>153</v>
      </c>
      <c r="D25" s="284">
        <f>D19*'Demand Breakdown - Ethylene'!$D$75/'Demand Breakdown - Ethylene'!$L$24</f>
        <v>0</v>
      </c>
      <c r="E25" s="284">
        <f>E19*'Demand Breakdown - Ethylene'!$D$75/'Demand Breakdown - Ethylene'!$L$24</f>
        <v>0</v>
      </c>
      <c r="F25" s="284">
        <f>F19*'Demand Breakdown - Ethylene'!$D$75/'Demand Breakdown - Ethylene'!$L$24</f>
        <v>0</v>
      </c>
      <c r="G25" s="284">
        <f>G19*'Demand Breakdown - Ethylene'!$D$75/'Demand Breakdown - Ethylene'!$L$24</f>
        <v>0</v>
      </c>
      <c r="H25" s="284">
        <f>H19*'Demand Breakdown - Ethylene'!$D$75/'Demand Breakdown - Ethylene'!$L$24</f>
        <v>0</v>
      </c>
      <c r="I25" s="284">
        <f>I19*'Demand Breakdown - Ethylene'!$D$75/'Demand Breakdown - Ethylene'!$L$24</f>
        <v>0</v>
      </c>
      <c r="J25" s="284">
        <f>J19*'Demand Breakdown - Ethylene'!$D$75/'Demand Breakdown - Ethylene'!$L$24</f>
        <v>0</v>
      </c>
      <c r="K25" s="284">
        <f>K19*'Demand Breakdown - Ethylene'!$D$75/'Demand Breakdown - Ethylene'!$L$24</f>
        <v>0</v>
      </c>
      <c r="L25" s="284">
        <f>L19*'Demand Breakdown - Ethylene'!$D$75/'Demand Breakdown - Ethylene'!$L$24</f>
        <v>0</v>
      </c>
      <c r="M25" s="284">
        <f>M19*'Demand Breakdown - Ethylene'!$D$75/'Demand Breakdown - Ethylene'!$L$24</f>
        <v>0</v>
      </c>
      <c r="N25" s="284">
        <f>N19*'Demand Breakdown - Ethylene'!$D$75/'Demand Breakdown - Ethylene'!$L$24</f>
        <v>0</v>
      </c>
      <c r="O25" s="284">
        <f>O19*'Demand Breakdown - Ethylene'!$D$75/'Demand Breakdown - Ethylene'!$L$24</f>
        <v>0</v>
      </c>
      <c r="P25" s="284">
        <f>P19*'Demand Breakdown - Ethylene'!$D$75/'Demand Breakdown - Ethylene'!$L$24</f>
        <v>0</v>
      </c>
      <c r="Q25" s="284">
        <f>Q19*'Demand Breakdown - Ethylene'!$D$75/'Demand Breakdown - Ethylene'!$L$24</f>
        <v>0</v>
      </c>
      <c r="R25" s="284">
        <f>R19*'Demand Breakdown - Ethylene'!$D$75/'Demand Breakdown - Ethylene'!$L$24</f>
        <v>0</v>
      </c>
      <c r="S25" s="284">
        <f>S19*'Demand Breakdown - Ethylene'!$D$75/'Demand Breakdown - Ethylene'!$L$24</f>
        <v>0</v>
      </c>
      <c r="T25" s="284">
        <f>T19*'Demand Breakdown - Ethylene'!$D$75/'Demand Breakdown - Ethylene'!$L$24</f>
        <v>0</v>
      </c>
      <c r="U25" s="284">
        <f>U19*'Demand Breakdown - Ethylene'!$D$75/'Demand Breakdown - Ethylene'!$L$24</f>
        <v>0</v>
      </c>
      <c r="V25" s="284">
        <f>V19*'Demand Breakdown - Ethylene'!$D$75/'Demand Breakdown - Ethylene'!$L$24</f>
        <v>0</v>
      </c>
      <c r="W25" s="284">
        <f>W19*'Demand Breakdown - Ethylene'!$D$75/'Demand Breakdown - Ethylene'!$L$24</f>
        <v>0</v>
      </c>
      <c r="X25" s="284">
        <f>X19*'Demand Breakdown - Ethylene'!$D$75/'Demand Breakdown - Ethylene'!$L$24</f>
        <v>0</v>
      </c>
      <c r="Y25" s="284">
        <f>Y19*'Demand Breakdown - Ethylene'!$D$75/'Demand Breakdown - Ethylene'!$L$24</f>
        <v>0</v>
      </c>
      <c r="Z25" s="284">
        <f>Z19*'Demand Breakdown - Ethylene'!$D$75/'Demand Breakdown - Ethylene'!$L$24</f>
        <v>0</v>
      </c>
      <c r="AA25" s="284">
        <f>AA19*'Demand Breakdown - Ethylene'!$D$75/'Demand Breakdown - Ethylene'!$L$24</f>
        <v>0</v>
      </c>
      <c r="AB25" s="284">
        <f>AB19*'Demand Breakdown - Ethylene'!$D$75/'Demand Breakdown - Ethylene'!$L$24</f>
        <v>0</v>
      </c>
      <c r="AC25" s="284">
        <f>AC19*'Demand Breakdown - Ethylene'!$D$75/'Demand Breakdown - Ethylene'!$L$24</f>
        <v>0</v>
      </c>
      <c r="AD25" s="284">
        <f>AD19*'Demand Breakdown - Ethylene'!$D$75/'Demand Breakdown - Ethylene'!$L$24</f>
        <v>0</v>
      </c>
      <c r="AE25" s="284">
        <f>AE19*'Demand Breakdown - Ethylene'!$D$75/'Demand Breakdown - Ethylene'!$L$24</f>
        <v>0</v>
      </c>
      <c r="AF25" s="284">
        <f>AF19*'Demand Breakdown - Ethylene'!$D$75/'Demand Breakdown - Ethylene'!$L$24</f>
        <v>0</v>
      </c>
      <c r="AG25" s="284">
        <f>AG19*'Demand Breakdown - Ethylene'!$D$75/'Demand Breakdown - Ethylene'!$L$24</f>
        <v>0</v>
      </c>
      <c r="AH25" s="284">
        <f>AH19*'Demand Breakdown - Ethylene'!$D$75/'Demand Breakdown - Ethylene'!$L$24</f>
        <v>0</v>
      </c>
    </row>
    <row r="26" spans="1:42">
      <c r="A26" s="1" t="s">
        <v>198</v>
      </c>
      <c r="B26" s="1" t="s">
        <v>199</v>
      </c>
      <c r="C26" s="54" t="s">
        <v>153</v>
      </c>
      <c r="D26" s="44">
        <f>'R&amp;S - Packaging and hh goods'!J4</f>
        <v>89.109936202323638</v>
      </c>
      <c r="E26" s="44">
        <f>D26*(1+'R&amp;S - Packaging and hh goods'!$C$5)</f>
        <v>90.357475309156172</v>
      </c>
      <c r="F26" s="44">
        <f>E26*(1+'R&amp;S - Packaging and hh goods'!$C$5)</f>
        <v>91.622479963484366</v>
      </c>
      <c r="G26" s="44">
        <f>F26*(1+'R&amp;S - Packaging and hh goods'!$C$5)</f>
        <v>92.905194682973146</v>
      </c>
      <c r="H26" s="44">
        <f>G26*(1+'R&amp;S - Packaging and hh goods'!$C$5)</f>
        <v>94.205867408534772</v>
      </c>
      <c r="I26" s="44">
        <f>H26*(1+'R&amp;S - Packaging and hh goods'!$C$5)</f>
        <v>95.524749552254264</v>
      </c>
      <c r="J26" s="44">
        <f>I26*(1+'R&amp;S - Packaging and hh goods'!$C$5)</f>
        <v>96.862096045985822</v>
      </c>
      <c r="K26" s="44">
        <f>J26*(1+'R&amp;S - Packaging and hh goods'!$C$5)</f>
        <v>98.218165390629622</v>
      </c>
      <c r="L26" s="44">
        <f>K26*(1+'R&amp;S - Packaging and hh goods'!$C$5)</f>
        <v>99.593219706098438</v>
      </c>
      <c r="M26" s="44">
        <f>L26*(1+'R&amp;S - Packaging and hh goods'!$C$5)</f>
        <v>100.98752478198382</v>
      </c>
      <c r="N26" s="44">
        <f>M26*(1+'R&amp;S - Packaging and hh goods'!$C$5)</f>
        <v>102.4013501289316</v>
      </c>
      <c r="O26" s="44">
        <f>N26*(1+'R&amp;S - Packaging and hh goods'!$C$5)</f>
        <v>103.83496903073664</v>
      </c>
      <c r="P26" s="44">
        <f>O26*(1+'R&amp;S - Packaging and hh goods'!$C$5)</f>
        <v>105.28865859716696</v>
      </c>
      <c r="Q26" s="44">
        <f>P26*(1+'R&amp;S - Packaging and hh goods'!$C$5)</f>
        <v>106.76269981752729</v>
      </c>
      <c r="R26" s="44">
        <f>Q26*(1+'R&amp;S - Packaging and hh goods'!$C$5)</f>
        <v>108.25737761497267</v>
      </c>
      <c r="S26" s="44">
        <f>R26*(1+'R&amp;S - Packaging and hh goods'!$C$5)</f>
        <v>109.77298090158229</v>
      </c>
      <c r="T26" s="44">
        <f>S26*(1+'R&amp;S - Packaging and hh goods'!$C$5)</f>
        <v>111.30980263420444</v>
      </c>
      <c r="U26" s="44">
        <f>T26*(1+'R&amp;S - Packaging and hh goods'!$C$5)</f>
        <v>112.86813987108332</v>
      </c>
      <c r="V26" s="44">
        <f>U26*(1+'R&amp;S - Packaging and hh goods'!$C$5)</f>
        <v>114.44829382927848</v>
      </c>
      <c r="W26" s="44">
        <f>V26*(1+'R&amp;S - Packaging and hh goods'!$C$5)</f>
        <v>116.05056994288839</v>
      </c>
      <c r="X26" s="44">
        <f>W26*(1+'R&amp;S - Packaging and hh goods'!$C$5)</f>
        <v>117.67527792208882</v>
      </c>
      <c r="Y26" s="44">
        <f>X26*(1+'R&amp;S - Packaging and hh goods'!$C$5)</f>
        <v>119.32273181299807</v>
      </c>
      <c r="Z26" s="44">
        <f>Y26*(1+'R&amp;S - Packaging and hh goods'!$C$5)</f>
        <v>120.99325005838004</v>
      </c>
      <c r="AA26" s="44">
        <f>Z26*(1+'R&amp;S - Packaging and hh goods'!$C$5)</f>
        <v>122.68715555919736</v>
      </c>
      <c r="AB26" s="44">
        <f>AA26*(1+'R&amp;S - Packaging and hh goods'!$C$5)</f>
        <v>124.40477573702613</v>
      </c>
      <c r="AC26" s="44">
        <f>AB26*(1+'R&amp;S - Packaging and hh goods'!$C$5)</f>
        <v>126.14644259734449</v>
      </c>
      <c r="AD26" s="44">
        <f>AC26*(1+'R&amp;S - Packaging and hh goods'!$C$5)</f>
        <v>127.91249279370732</v>
      </c>
      <c r="AE26" s="44">
        <f>AD26*(1+'R&amp;S - Packaging and hh goods'!$C$5)</f>
        <v>129.70326769281922</v>
      </c>
      <c r="AF26" s="44">
        <f>AE26*(1+'R&amp;S - Packaging and hh goods'!$C$5)</f>
        <v>131.51911344051871</v>
      </c>
      <c r="AG26" s="44">
        <f>AF26*(1+'R&amp;S - Packaging and hh goods'!$C$5)</f>
        <v>133.36038102868596</v>
      </c>
      <c r="AH26" s="44">
        <f>AG26*(1+'R&amp;S - Packaging and hh goods'!$C$5)</f>
        <v>135.22742636308757</v>
      </c>
    </row>
    <row r="27" spans="1:42" outlineLevel="1">
      <c r="B27" s="61" t="s">
        <v>25</v>
      </c>
      <c r="C27" s="54" t="s">
        <v>153</v>
      </c>
      <c r="D27" s="44">
        <v>0</v>
      </c>
      <c r="E27" s="44">
        <f>E26*'R&amp;S - Packaging and hh goods'!$C$7*('R&amp;S - Packaging and hh goods'!$B$15*'R&amp;S - Packaging and hh goods'!$B$19*('Yearly LC Ethylene'!E$3-'Yearly LC Ethylene'!$D$3)/10)</f>
        <v>0</v>
      </c>
      <c r="F27" s="44">
        <f>F26*'R&amp;S - Packaging and hh goods'!$C$7*('R&amp;S - Packaging and hh goods'!$B$15*'R&amp;S - Packaging and hh goods'!$B$19*('Yearly LC Ethylene'!F$3-'Yearly LC Ethylene'!$D$3)/10)</f>
        <v>0</v>
      </c>
      <c r="G27" s="44">
        <f>G26*'R&amp;S - Packaging and hh goods'!$C$7*('R&amp;S - Packaging and hh goods'!$B$15*'R&amp;S - Packaging and hh goods'!$B$19*('Yearly LC Ethylene'!G$3-'Yearly LC Ethylene'!$D$3)/10)</f>
        <v>0</v>
      </c>
      <c r="H27" s="44">
        <f>H26*'R&amp;S - Packaging and hh goods'!$C$7*('R&amp;S - Packaging and hh goods'!$B$15*'R&amp;S - Packaging and hh goods'!$B$19*('Yearly LC Ethylene'!H$3-'Yearly LC Ethylene'!$D$3)/10)</f>
        <v>0</v>
      </c>
      <c r="I27" s="44">
        <f>I26*'R&amp;S - Packaging and hh goods'!$C$7*('R&amp;S - Packaging and hh goods'!$B$15*'R&amp;S - Packaging and hh goods'!$B$19*('Yearly LC Ethylene'!I$3-'Yearly LC Ethylene'!$D$3)/10)</f>
        <v>0</v>
      </c>
      <c r="J27" s="44">
        <f>J26*'R&amp;S - Packaging and hh goods'!$C$7*('R&amp;S - Packaging and hh goods'!$B$15*'R&amp;S - Packaging and hh goods'!$B$19*('Yearly LC Ethylene'!J$3-'Yearly LC Ethylene'!$D$3)/10)</f>
        <v>0</v>
      </c>
      <c r="K27" s="44">
        <f>K26*'R&amp;S - Packaging and hh goods'!$C$7*('R&amp;S - Packaging and hh goods'!$B$15*'R&amp;S - Packaging and hh goods'!$B$19*('Yearly LC Ethylene'!K$3-'Yearly LC Ethylene'!$D$3)/10)</f>
        <v>0</v>
      </c>
      <c r="L27" s="44">
        <f>L26*'R&amp;S - Packaging and hh goods'!$C$7*('R&amp;S - Packaging and hh goods'!$B$15*'R&amp;S - Packaging and hh goods'!$B$19*('Yearly LC Ethylene'!L$3-'Yearly LC Ethylene'!$D$3)/10)</f>
        <v>0</v>
      </c>
      <c r="M27" s="44">
        <f>M26*'R&amp;S - Packaging and hh goods'!$C$7*('R&amp;S - Packaging and hh goods'!$B$15*'R&amp;S - Packaging and hh goods'!$B$19*('Yearly LC Ethylene'!M$3-'Yearly LC Ethylene'!$D$3)/10)</f>
        <v>0</v>
      </c>
      <c r="N27" s="44">
        <f>N26*'R&amp;S - Packaging and hh goods'!$C$7*('R&amp;S - Packaging and hh goods'!$B$15*'R&amp;S - Packaging and hh goods'!$B$19*('Yearly LC Ethylene'!N$3-'Yearly LC Ethylene'!$D$3)/10)</f>
        <v>0</v>
      </c>
      <c r="O27" s="44">
        <f>O26*'R&amp;S - Packaging and hh goods'!$C$7*('R&amp;S - Packaging and hh goods'!$B$15*('R&amp;S - Packaging and hh goods'!$B$19+('R&amp;S - Packaging and hh goods'!$B$20-'R&amp;S - Packaging and hh goods'!$B$19)*('Yearly LC Ethylene'!O$3-'Yearly LC Ethylene'!$N$3)/10))</f>
        <v>0</v>
      </c>
      <c r="P27" s="44">
        <f>P26*'R&amp;S - Packaging and hh goods'!$C$7*('R&amp;S - Packaging and hh goods'!$B$15*('R&amp;S - Packaging and hh goods'!$B$19+('R&amp;S - Packaging and hh goods'!$B$20-'R&amp;S - Packaging and hh goods'!$B$19)*('Yearly LC Ethylene'!P$3-'Yearly LC Ethylene'!$N$3)/10))</f>
        <v>0</v>
      </c>
      <c r="Q27" s="44">
        <f>Q26*'R&amp;S - Packaging and hh goods'!$C$7*('R&amp;S - Packaging and hh goods'!$B$15*('R&amp;S - Packaging and hh goods'!$B$19+('R&amp;S - Packaging and hh goods'!$B$20-'R&amp;S - Packaging and hh goods'!$B$19)*('Yearly LC Ethylene'!Q$3-'Yearly LC Ethylene'!$N$3)/10))</f>
        <v>0</v>
      </c>
      <c r="R27" s="44">
        <f>R26*'R&amp;S - Packaging and hh goods'!$C$7*('R&amp;S - Packaging and hh goods'!$B$15*('R&amp;S - Packaging and hh goods'!$B$19+('R&amp;S - Packaging and hh goods'!$B$20-'R&amp;S - Packaging and hh goods'!$B$19)*('Yearly LC Ethylene'!R$3-'Yearly LC Ethylene'!$N$3)/10))</f>
        <v>0</v>
      </c>
      <c r="S27" s="44">
        <f>S26*'R&amp;S - Packaging and hh goods'!$C$7*('R&amp;S - Packaging and hh goods'!$B$15*('R&amp;S - Packaging and hh goods'!$B$19+('R&amp;S - Packaging and hh goods'!$B$20-'R&amp;S - Packaging and hh goods'!$B$19)*('Yearly LC Ethylene'!S$3-'Yearly LC Ethylene'!$N$3)/10))</f>
        <v>0</v>
      </c>
      <c r="T27" s="44">
        <f>T26*'R&amp;S - Packaging and hh goods'!$C$7*('R&amp;S - Packaging and hh goods'!$B$15*('R&amp;S - Packaging and hh goods'!$B$19+('R&amp;S - Packaging and hh goods'!$B$20-'R&amp;S - Packaging and hh goods'!$B$19)*('Yearly LC Ethylene'!T$3-'Yearly LC Ethylene'!$N$3)/10))</f>
        <v>0</v>
      </c>
      <c r="U27" s="44">
        <f>U26*'R&amp;S - Packaging and hh goods'!$C$7*('R&amp;S - Packaging and hh goods'!$B$15*('R&amp;S - Packaging and hh goods'!$B$19+('R&amp;S - Packaging and hh goods'!$B$20-'R&amp;S - Packaging and hh goods'!$B$19)*('Yearly LC Ethylene'!U$3-'Yearly LC Ethylene'!$N$3)/10))</f>
        <v>0</v>
      </c>
      <c r="V27" s="44">
        <f>V26*'R&amp;S - Packaging and hh goods'!$C$7*('R&amp;S - Packaging and hh goods'!$B$15*('R&amp;S - Packaging and hh goods'!$B$19+('R&amp;S - Packaging and hh goods'!$B$20-'R&amp;S - Packaging and hh goods'!$B$19)*('Yearly LC Ethylene'!V$3-'Yearly LC Ethylene'!$N$3)/10))</f>
        <v>0</v>
      </c>
      <c r="W27" s="44">
        <f>W26*'R&amp;S - Packaging and hh goods'!$C$7*('R&amp;S - Packaging and hh goods'!$B$15*('R&amp;S - Packaging and hh goods'!$B$19+('R&amp;S - Packaging and hh goods'!$B$20-'R&amp;S - Packaging and hh goods'!$B$19)*('Yearly LC Ethylene'!W$3-'Yearly LC Ethylene'!$N$3)/10))</f>
        <v>0</v>
      </c>
      <c r="X27" s="44">
        <f>X26*'R&amp;S - Packaging and hh goods'!$C$7*('R&amp;S - Packaging and hh goods'!$B$15*('R&amp;S - Packaging and hh goods'!$B$19+('R&amp;S - Packaging and hh goods'!$B$20-'R&amp;S - Packaging and hh goods'!$B$19)*('Yearly LC Ethylene'!X$3-'Yearly LC Ethylene'!$N$3)/10))</f>
        <v>0</v>
      </c>
      <c r="Y27" s="44">
        <f>Y26*'R&amp;S - Packaging and hh goods'!$C$7*('R&amp;S - Packaging and hh goods'!$B$15*('R&amp;S - Packaging and hh goods'!$B$20+('R&amp;S - Packaging and hh goods'!$B$21-'R&amp;S - Packaging and hh goods'!$B$20)*('Yearly LC Ethylene'!Y$3-'Yearly LC Ethylene'!$X$3)/10))</f>
        <v>0</v>
      </c>
      <c r="Z27" s="44">
        <f>Z26*'R&amp;S - Packaging and hh goods'!$C$7*('R&amp;S - Packaging and hh goods'!$B$15*('R&amp;S - Packaging and hh goods'!$B$20+('R&amp;S - Packaging and hh goods'!$B$21-'R&amp;S - Packaging and hh goods'!$B$20)*('Yearly LC Ethylene'!Z$3-'Yearly LC Ethylene'!$X$3)/10))</f>
        <v>0</v>
      </c>
      <c r="AA27" s="44">
        <f>AA26*'R&amp;S - Packaging and hh goods'!$C$7*('R&amp;S - Packaging and hh goods'!$B$15*('R&amp;S - Packaging and hh goods'!$B$20+('R&amp;S - Packaging and hh goods'!$B$21-'R&amp;S - Packaging and hh goods'!$B$20)*('Yearly LC Ethylene'!AA$3-'Yearly LC Ethylene'!$X$3)/10))</f>
        <v>0</v>
      </c>
      <c r="AB27" s="44">
        <f>AB26*'R&amp;S - Packaging and hh goods'!$C$7*('R&amp;S - Packaging and hh goods'!$B$15*('R&amp;S - Packaging and hh goods'!$B$20+('R&amp;S - Packaging and hh goods'!$B$21-'R&amp;S - Packaging and hh goods'!$B$20)*('Yearly LC Ethylene'!AB$3-'Yearly LC Ethylene'!$X$3)/10))</f>
        <v>0</v>
      </c>
      <c r="AC27" s="44">
        <f>AC26*'R&amp;S - Packaging and hh goods'!$C$7*('R&amp;S - Packaging and hh goods'!$B$15*('R&amp;S - Packaging and hh goods'!$B$20+('R&amp;S - Packaging and hh goods'!$B$21-'R&amp;S - Packaging and hh goods'!$B$20)*('Yearly LC Ethylene'!AC$3-'Yearly LC Ethylene'!$X$3)/10))</f>
        <v>0</v>
      </c>
      <c r="AD27" s="44">
        <f>AD26*'R&amp;S - Packaging and hh goods'!$C$7*('R&amp;S - Packaging and hh goods'!$B$15*('R&amp;S - Packaging and hh goods'!$B$20+('R&amp;S - Packaging and hh goods'!$B$21-'R&amp;S - Packaging and hh goods'!$B$20)*('Yearly LC Ethylene'!AD$3-'Yearly LC Ethylene'!$X$3)/10))</f>
        <v>0</v>
      </c>
      <c r="AE27" s="44">
        <f>AE26*'R&amp;S - Packaging and hh goods'!$C$7*('R&amp;S - Packaging and hh goods'!$B$15*('R&amp;S - Packaging and hh goods'!$B$20+('R&amp;S - Packaging and hh goods'!$B$21-'R&amp;S - Packaging and hh goods'!$B$20)*('Yearly LC Ethylene'!AE$3-'Yearly LC Ethylene'!$X$3)/10))</f>
        <v>0</v>
      </c>
      <c r="AF27" s="44">
        <f>AF26*'R&amp;S - Packaging and hh goods'!$C$7*('R&amp;S - Packaging and hh goods'!$B$15*('R&amp;S - Packaging and hh goods'!$B$20+('R&amp;S - Packaging and hh goods'!$B$21-'R&amp;S - Packaging and hh goods'!$B$20)*('Yearly LC Ethylene'!AF$3-'Yearly LC Ethylene'!$X$3)/10))</f>
        <v>0</v>
      </c>
      <c r="AG27" s="44">
        <f>AG26*'R&amp;S - Packaging and hh goods'!$C$7*('R&amp;S - Packaging and hh goods'!$B$15*('R&amp;S - Packaging and hh goods'!$B$20+('R&amp;S - Packaging and hh goods'!$B$21-'R&amp;S - Packaging and hh goods'!$B$20)*('Yearly LC Ethylene'!AG$3-'Yearly LC Ethylene'!$X$3)/10))</f>
        <v>0</v>
      </c>
      <c r="AH27" s="44">
        <f>AH26*'R&amp;S - Packaging and hh goods'!$C$7*('R&amp;S - Packaging and hh goods'!$B$15*('R&amp;S - Packaging and hh goods'!$B$20+('R&amp;S - Packaging and hh goods'!$B$21-'R&amp;S - Packaging and hh goods'!$B$20)*('Yearly LC Ethylene'!AH$3-'Yearly LC Ethylene'!$X$3)/10))</f>
        <v>0</v>
      </c>
    </row>
    <row r="28" spans="1:42" outlineLevel="1">
      <c r="B28" s="61" t="s">
        <v>200</v>
      </c>
      <c r="C28" s="54" t="s">
        <v>153</v>
      </c>
      <c r="D28" s="44">
        <v>0</v>
      </c>
      <c r="E28" s="44">
        <f>E26*'R&amp;S - Packaging and hh goods'!$C$8*('R&amp;S - Packaging and hh goods'!$B$15*'R&amp;S - Packaging and hh goods'!$C$19*('Yearly LC Ethylene'!E$3-'Yearly LC Ethylene'!$D$3)/10)</f>
        <v>0</v>
      </c>
      <c r="F28" s="44">
        <f>F26*'R&amp;S - Packaging and hh goods'!$C$8*('R&amp;S - Packaging and hh goods'!$B$15*'R&amp;S - Packaging and hh goods'!$C$19*('Yearly LC Ethylene'!F$3-'Yearly LC Ethylene'!$D$3)/10)</f>
        <v>0</v>
      </c>
      <c r="G28" s="44">
        <f>G26*'R&amp;S - Packaging and hh goods'!$C$8*('R&amp;S - Packaging and hh goods'!$B$15*'R&amp;S - Packaging and hh goods'!$C$19*('Yearly LC Ethylene'!G$3-'Yearly LC Ethylene'!$D$3)/10)</f>
        <v>0</v>
      </c>
      <c r="H28" s="44">
        <f>H26*'R&amp;S - Packaging and hh goods'!$C$8*('R&amp;S - Packaging and hh goods'!$B$15*'R&amp;S - Packaging and hh goods'!$C$19*('Yearly LC Ethylene'!H$3-'Yearly LC Ethylene'!$D$3)/10)</f>
        <v>0</v>
      </c>
      <c r="I28" s="44">
        <f>I26*'R&amp;S - Packaging and hh goods'!$C$8*('R&amp;S - Packaging and hh goods'!$B$15*'R&amp;S - Packaging and hh goods'!$C$19*('Yearly LC Ethylene'!I$3-'Yearly LC Ethylene'!$D$3)/10)</f>
        <v>0</v>
      </c>
      <c r="J28" s="44">
        <f>J26*'R&amp;S - Packaging and hh goods'!$C$8*('R&amp;S - Packaging and hh goods'!$B$15*'R&amp;S - Packaging and hh goods'!$C$19*('Yearly LC Ethylene'!J$3-'Yearly LC Ethylene'!$D$3)/10)</f>
        <v>0</v>
      </c>
      <c r="K28" s="44">
        <f>K26*'R&amp;S - Packaging and hh goods'!$C$8*('R&amp;S - Packaging and hh goods'!$B$15*'R&amp;S - Packaging and hh goods'!$C$19*('Yearly LC Ethylene'!K$3-'Yearly LC Ethylene'!$D$3)/10)</f>
        <v>0</v>
      </c>
      <c r="L28" s="44">
        <f>L26*'R&amp;S - Packaging and hh goods'!$C$8*('R&amp;S - Packaging and hh goods'!$B$15*'R&amp;S - Packaging and hh goods'!$C$19*('Yearly LC Ethylene'!L$3-'Yearly LC Ethylene'!$D$3)/10)</f>
        <v>0</v>
      </c>
      <c r="M28" s="44">
        <f>M26*'R&amp;S - Packaging and hh goods'!$C$8*('R&amp;S - Packaging and hh goods'!$B$15*'R&amp;S - Packaging and hh goods'!$C$19*('Yearly LC Ethylene'!M$3-'Yearly LC Ethylene'!$D$3)/10)</f>
        <v>0</v>
      </c>
      <c r="N28" s="44">
        <f>N26*'R&amp;S - Packaging and hh goods'!$C$8*('R&amp;S - Packaging and hh goods'!$B$15*'R&amp;S - Packaging and hh goods'!$C$19*('Yearly LC Ethylene'!N$3-'Yearly LC Ethylene'!$D$3)/10)</f>
        <v>0</v>
      </c>
      <c r="O28" s="44">
        <f>O26*'R&amp;S - Packaging and hh goods'!$C$8*('R&amp;S - Packaging and hh goods'!$B$15*('R&amp;S - Packaging and hh goods'!$C$19+('R&amp;S - Packaging and hh goods'!$C$20-'R&amp;S - Packaging and hh goods'!$C$19)*('Yearly LC Ethylene'!O$3-'Yearly LC Ethylene'!$N$3)/10))</f>
        <v>0</v>
      </c>
      <c r="P28" s="44">
        <f>P26*'R&amp;S - Packaging and hh goods'!$C$8*('R&amp;S - Packaging and hh goods'!$B$15*('R&amp;S - Packaging and hh goods'!$C$19+('R&amp;S - Packaging and hh goods'!$C$20-'R&amp;S - Packaging and hh goods'!$C$19)*('Yearly LC Ethylene'!P$3-'Yearly LC Ethylene'!$N$3)/10))</f>
        <v>0</v>
      </c>
      <c r="Q28" s="44">
        <f>Q26*'R&amp;S - Packaging and hh goods'!$C$8*('R&amp;S - Packaging and hh goods'!$B$15*('R&amp;S - Packaging and hh goods'!$C$19+('R&amp;S - Packaging and hh goods'!$C$20-'R&amp;S - Packaging and hh goods'!$C$19)*('Yearly LC Ethylene'!Q$3-'Yearly LC Ethylene'!$N$3)/10))</f>
        <v>0</v>
      </c>
      <c r="R28" s="44">
        <f>R26*'R&amp;S - Packaging and hh goods'!$C$8*('R&amp;S - Packaging and hh goods'!$B$15*('R&amp;S - Packaging and hh goods'!$C$19+('R&amp;S - Packaging and hh goods'!$C$20-'R&amp;S - Packaging and hh goods'!$C$19)*('Yearly LC Ethylene'!R$3-'Yearly LC Ethylene'!$N$3)/10))</f>
        <v>0</v>
      </c>
      <c r="S28" s="44">
        <f>S26*'R&amp;S - Packaging and hh goods'!$C$8*('R&amp;S - Packaging and hh goods'!$B$15*('R&amp;S - Packaging and hh goods'!$C$19+('R&amp;S - Packaging and hh goods'!$C$20-'R&amp;S - Packaging and hh goods'!$C$19)*('Yearly LC Ethylene'!S$3-'Yearly LC Ethylene'!$N$3)/10))</f>
        <v>0</v>
      </c>
      <c r="T28" s="44">
        <f>T26*'R&amp;S - Packaging and hh goods'!$C$8*('R&amp;S - Packaging and hh goods'!$B$15*('R&amp;S - Packaging and hh goods'!$C$19+('R&amp;S - Packaging and hh goods'!$C$20-'R&amp;S - Packaging and hh goods'!$C$19)*('Yearly LC Ethylene'!T$3-'Yearly LC Ethylene'!$N$3)/10))</f>
        <v>0</v>
      </c>
      <c r="U28" s="44">
        <f>U26*'R&amp;S - Packaging and hh goods'!$C$8*('R&amp;S - Packaging and hh goods'!$B$15*('R&amp;S - Packaging and hh goods'!$C$19+('R&amp;S - Packaging and hh goods'!$C$20-'R&amp;S - Packaging and hh goods'!$C$19)*('Yearly LC Ethylene'!U$3-'Yearly LC Ethylene'!$N$3)/10))</f>
        <v>0</v>
      </c>
      <c r="V28" s="44">
        <f>V26*'R&amp;S - Packaging and hh goods'!$C$8*('R&amp;S - Packaging and hh goods'!$B$15*('R&amp;S - Packaging and hh goods'!$C$19+('R&amp;S - Packaging and hh goods'!$C$20-'R&amp;S - Packaging and hh goods'!$C$19)*('Yearly LC Ethylene'!V$3-'Yearly LC Ethylene'!$N$3)/10))</f>
        <v>0</v>
      </c>
      <c r="W28" s="44">
        <f>W26*'R&amp;S - Packaging and hh goods'!$C$8*('R&amp;S - Packaging and hh goods'!$B$15*('R&amp;S - Packaging and hh goods'!$C$19+('R&amp;S - Packaging and hh goods'!$C$20-'R&amp;S - Packaging and hh goods'!$C$19)*('Yearly LC Ethylene'!W$3-'Yearly LC Ethylene'!$N$3)/10))</f>
        <v>0</v>
      </c>
      <c r="X28" s="44">
        <f>X26*'R&amp;S - Packaging and hh goods'!$C$8*('R&amp;S - Packaging and hh goods'!$B$15*('R&amp;S - Packaging and hh goods'!$C$19+('R&amp;S - Packaging and hh goods'!$C$20-'R&amp;S - Packaging and hh goods'!$C$19)*('Yearly LC Ethylene'!X$3-'Yearly LC Ethylene'!$N$3)/10))</f>
        <v>0</v>
      </c>
      <c r="Y28" s="44">
        <f>Y26*'R&amp;S - Packaging and hh goods'!$C$8*('R&amp;S - Packaging and hh goods'!$B$15*('R&amp;S - Packaging and hh goods'!$C$20+('R&amp;S - Packaging and hh goods'!$C$21-'R&amp;S - Packaging and hh goods'!$C$20)*('Yearly LC Ethylene'!Y$3-'Yearly LC Ethylene'!$X$3)/10))</f>
        <v>0</v>
      </c>
      <c r="Z28" s="44">
        <f>Z26*'R&amp;S - Packaging and hh goods'!$C$8*('R&amp;S - Packaging and hh goods'!$B$15*('R&amp;S - Packaging and hh goods'!$C$20+('R&amp;S - Packaging and hh goods'!$C$21-'R&amp;S - Packaging and hh goods'!$C$20)*('Yearly LC Ethylene'!Z$3-'Yearly LC Ethylene'!$X$3)/10))</f>
        <v>0</v>
      </c>
      <c r="AA28" s="44">
        <f>AA26*'R&amp;S - Packaging and hh goods'!$C$8*('R&amp;S - Packaging and hh goods'!$B$15*('R&amp;S - Packaging and hh goods'!$C$20+('R&amp;S - Packaging and hh goods'!$C$21-'R&amp;S - Packaging and hh goods'!$C$20)*('Yearly LC Ethylene'!AA$3-'Yearly LC Ethylene'!$X$3)/10))</f>
        <v>0</v>
      </c>
      <c r="AB28" s="44">
        <f>AB26*'R&amp;S - Packaging and hh goods'!$C$8*('R&amp;S - Packaging and hh goods'!$B$15*('R&amp;S - Packaging and hh goods'!$C$20+('R&amp;S - Packaging and hh goods'!$C$21-'R&amp;S - Packaging and hh goods'!$C$20)*('Yearly LC Ethylene'!AB$3-'Yearly LC Ethylene'!$X$3)/10))</f>
        <v>0</v>
      </c>
      <c r="AC28" s="44">
        <f>AC26*'R&amp;S - Packaging and hh goods'!$C$8*('R&amp;S - Packaging and hh goods'!$B$15*('R&amp;S - Packaging and hh goods'!$C$20+('R&amp;S - Packaging and hh goods'!$C$21-'R&amp;S - Packaging and hh goods'!$C$20)*('Yearly LC Ethylene'!AC$3-'Yearly LC Ethylene'!$X$3)/10))</f>
        <v>0</v>
      </c>
      <c r="AD28" s="44">
        <f>AD26*'R&amp;S - Packaging and hh goods'!$C$8*('R&amp;S - Packaging and hh goods'!$B$15*('R&amp;S - Packaging and hh goods'!$C$20+('R&amp;S - Packaging and hh goods'!$C$21-'R&amp;S - Packaging and hh goods'!$C$20)*('Yearly LC Ethylene'!AD$3-'Yearly LC Ethylene'!$X$3)/10))</f>
        <v>0</v>
      </c>
      <c r="AE28" s="44">
        <f>AE26*'R&amp;S - Packaging and hh goods'!$C$8*('R&amp;S - Packaging and hh goods'!$B$15*('R&amp;S - Packaging and hh goods'!$C$20+('R&amp;S - Packaging and hh goods'!$C$21-'R&amp;S - Packaging and hh goods'!$C$20)*('Yearly LC Ethylene'!AE$3-'Yearly LC Ethylene'!$X$3)/10))</f>
        <v>0</v>
      </c>
      <c r="AF28" s="44">
        <f>AF26*'R&amp;S - Packaging and hh goods'!$C$8*('R&amp;S - Packaging and hh goods'!$B$15*('R&amp;S - Packaging and hh goods'!$C$20+('R&amp;S - Packaging and hh goods'!$C$21-'R&amp;S - Packaging and hh goods'!$C$20)*('Yearly LC Ethylene'!AF$3-'Yearly LC Ethylene'!$X$3)/10))</f>
        <v>0</v>
      </c>
      <c r="AG28" s="44">
        <f>AG26*'R&amp;S - Packaging and hh goods'!$C$8*('R&amp;S - Packaging and hh goods'!$B$15*('R&amp;S - Packaging and hh goods'!$C$20+('R&amp;S - Packaging and hh goods'!$C$21-'R&amp;S - Packaging and hh goods'!$C$20)*('Yearly LC Ethylene'!AG$3-'Yearly LC Ethylene'!$X$3)/10))</f>
        <v>0</v>
      </c>
      <c r="AH28" s="44">
        <f>AH26*'R&amp;S - Packaging and hh goods'!$C$8*('R&amp;S - Packaging and hh goods'!$B$15*('R&amp;S - Packaging and hh goods'!$C$20+('R&amp;S - Packaging and hh goods'!$C$21-'R&amp;S - Packaging and hh goods'!$C$20)*('Yearly LC Ethylene'!AH$3-'Yearly LC Ethylene'!$X$3)/10))</f>
        <v>0</v>
      </c>
    </row>
    <row r="29" spans="1:42" outlineLevel="1">
      <c r="B29" s="1" t="s">
        <v>168</v>
      </c>
      <c r="C29" s="54" t="s">
        <v>153</v>
      </c>
      <c r="D29" s="44">
        <f>SUM(D27:D28)</f>
        <v>0</v>
      </c>
      <c r="E29" s="44">
        <f t="shared" ref="E29:AG29" si="6">SUM(E27:E28)</f>
        <v>0</v>
      </c>
      <c r="F29" s="44">
        <f t="shared" si="6"/>
        <v>0</v>
      </c>
      <c r="G29" s="44">
        <f t="shared" si="6"/>
        <v>0</v>
      </c>
      <c r="H29" s="44">
        <f t="shared" si="6"/>
        <v>0</v>
      </c>
      <c r="I29" s="44">
        <f t="shared" si="6"/>
        <v>0</v>
      </c>
      <c r="J29" s="44">
        <f t="shared" si="6"/>
        <v>0</v>
      </c>
      <c r="K29" s="44">
        <f t="shared" si="6"/>
        <v>0</v>
      </c>
      <c r="L29" s="44">
        <f t="shared" si="6"/>
        <v>0</v>
      </c>
      <c r="M29" s="44">
        <f t="shared" si="6"/>
        <v>0</v>
      </c>
      <c r="N29" s="44">
        <f t="shared" si="6"/>
        <v>0</v>
      </c>
      <c r="O29" s="44">
        <f t="shared" si="6"/>
        <v>0</v>
      </c>
      <c r="P29" s="44">
        <f t="shared" si="6"/>
        <v>0</v>
      </c>
      <c r="Q29" s="44">
        <f t="shared" si="6"/>
        <v>0</v>
      </c>
      <c r="R29" s="44">
        <f t="shared" si="6"/>
        <v>0</v>
      </c>
      <c r="S29" s="44">
        <f t="shared" si="6"/>
        <v>0</v>
      </c>
      <c r="T29" s="44">
        <f t="shared" si="6"/>
        <v>0</v>
      </c>
      <c r="U29" s="44">
        <f t="shared" si="6"/>
        <v>0</v>
      </c>
      <c r="V29" s="44">
        <f t="shared" si="6"/>
        <v>0</v>
      </c>
      <c r="W29" s="44">
        <f t="shared" si="6"/>
        <v>0</v>
      </c>
      <c r="X29" s="44">
        <f t="shared" si="6"/>
        <v>0</v>
      </c>
      <c r="Y29" s="44">
        <f t="shared" si="6"/>
        <v>0</v>
      </c>
      <c r="Z29" s="44">
        <f t="shared" si="6"/>
        <v>0</v>
      </c>
      <c r="AA29" s="44">
        <f t="shared" si="6"/>
        <v>0</v>
      </c>
      <c r="AB29" s="44">
        <f t="shared" si="6"/>
        <v>0</v>
      </c>
      <c r="AC29" s="44">
        <f t="shared" si="6"/>
        <v>0</v>
      </c>
      <c r="AD29" s="44">
        <f t="shared" si="6"/>
        <v>0</v>
      </c>
      <c r="AE29" s="44">
        <f t="shared" si="6"/>
        <v>0</v>
      </c>
      <c r="AF29" s="44">
        <f t="shared" si="6"/>
        <v>0</v>
      </c>
      <c r="AG29" s="44">
        <f t="shared" si="6"/>
        <v>0</v>
      </c>
      <c r="AH29" s="44">
        <f>SUM(AH27:AH28)</f>
        <v>0</v>
      </c>
    </row>
    <row r="30" spans="1:42" outlineLevel="1">
      <c r="B30" s="61" t="s">
        <v>202</v>
      </c>
      <c r="C30" s="54" t="s">
        <v>153</v>
      </c>
      <c r="D30" s="44">
        <v>0</v>
      </c>
      <c r="E30" s="44">
        <f>E26*'R&amp;S - Packaging and hh goods'!$C$9*('R&amp;S - Packaging and hh goods'!$C$15*'R&amp;S - Packaging and hh goods'!$D$19*('Yearly LC Ethylene'!E$3-'Yearly LC Ethylene'!$D$3)/10)</f>
        <v>0</v>
      </c>
      <c r="F30" s="44">
        <f>F26*'R&amp;S - Packaging and hh goods'!$C$9*('R&amp;S - Packaging and hh goods'!$C$15*'R&amp;S - Packaging and hh goods'!$D$19*('Yearly LC Ethylene'!F$3-'Yearly LC Ethylene'!$D$3)/10)</f>
        <v>0</v>
      </c>
      <c r="G30" s="44">
        <f>G26*'R&amp;S - Packaging and hh goods'!$C$9*('R&amp;S - Packaging and hh goods'!$C$15*'R&amp;S - Packaging and hh goods'!$D$19*('Yearly LC Ethylene'!G$3-'Yearly LC Ethylene'!$D$3)/10)</f>
        <v>0</v>
      </c>
      <c r="H30" s="44">
        <f>H26*'R&amp;S - Packaging and hh goods'!$C$9*('R&amp;S - Packaging and hh goods'!$C$15*'R&amp;S - Packaging and hh goods'!$D$19*('Yearly LC Ethylene'!H$3-'Yearly LC Ethylene'!$D$3)/10)</f>
        <v>0</v>
      </c>
      <c r="I30" s="44">
        <f>I26*'R&amp;S - Packaging and hh goods'!$C$9*('R&amp;S - Packaging and hh goods'!$C$15*'R&amp;S - Packaging and hh goods'!$D$19*('Yearly LC Ethylene'!I$3-'Yearly LC Ethylene'!$D$3)/10)</f>
        <v>0</v>
      </c>
      <c r="J30" s="44">
        <f>J26*'R&amp;S - Packaging and hh goods'!$C$9*('R&amp;S - Packaging and hh goods'!$C$15*'R&amp;S - Packaging and hh goods'!$D$19*('Yearly LC Ethylene'!J$3-'Yearly LC Ethylene'!$D$3)/10)</f>
        <v>0</v>
      </c>
      <c r="K30" s="44">
        <f>K26*'R&amp;S - Packaging and hh goods'!$C$9*('R&amp;S - Packaging and hh goods'!$C$15*'R&amp;S - Packaging and hh goods'!$D$19*('Yearly LC Ethylene'!K$3-'Yearly LC Ethylene'!$D$3)/10)</f>
        <v>0</v>
      </c>
      <c r="L30" s="44">
        <f>L26*'R&amp;S - Packaging and hh goods'!$C$9*('R&amp;S - Packaging and hh goods'!$C$15*'R&amp;S - Packaging and hh goods'!$D$19*('Yearly LC Ethylene'!L$3-'Yearly LC Ethylene'!$D$3)/10)</f>
        <v>0</v>
      </c>
      <c r="M30" s="44">
        <f>M26*'R&amp;S - Packaging and hh goods'!$C$9*('R&amp;S - Packaging and hh goods'!$C$15*'R&amp;S - Packaging and hh goods'!$D$19*('Yearly LC Ethylene'!M$3-'Yearly LC Ethylene'!$D$3)/10)</f>
        <v>0</v>
      </c>
      <c r="N30" s="44">
        <f>N26*'R&amp;S - Packaging and hh goods'!$C$9*('R&amp;S - Packaging and hh goods'!$C$15*'R&amp;S - Packaging and hh goods'!$D$19*('Yearly LC Ethylene'!N$3-'Yearly LC Ethylene'!$D$3)/10)</f>
        <v>0</v>
      </c>
      <c r="O30" s="44">
        <f>O26*'R&amp;S - Packaging and hh goods'!$C$9*('R&amp;S - Packaging and hh goods'!$C$15*'R&amp;S - Packaging and hh goods'!$D$19*('Yearly LC Ethylene'!O$3-'Yearly LC Ethylene'!$D$3)/10)</f>
        <v>0</v>
      </c>
      <c r="P30" s="44">
        <f>P26*'R&amp;S - Packaging and hh goods'!$C$9*('R&amp;S - Packaging and hh goods'!$C$15*'R&amp;S - Packaging and hh goods'!$D$19*('Yearly LC Ethylene'!P$3-'Yearly LC Ethylene'!$D$3)/10)</f>
        <v>0</v>
      </c>
      <c r="Q30" s="44">
        <f>Q26*'R&amp;S - Packaging and hh goods'!$C$9*('R&amp;S - Packaging and hh goods'!$C$15*'R&amp;S - Packaging and hh goods'!$D$19*('Yearly LC Ethylene'!Q$3-'Yearly LC Ethylene'!$D$3)/10)</f>
        <v>0</v>
      </c>
      <c r="R30" s="44">
        <f>R26*'R&amp;S - Packaging and hh goods'!$C$9*('R&amp;S - Packaging and hh goods'!$C$15*'R&amp;S - Packaging and hh goods'!$D$19*('Yearly LC Ethylene'!R$3-'Yearly LC Ethylene'!$D$3)/10)</f>
        <v>0</v>
      </c>
      <c r="S30" s="44">
        <f>S26*'R&amp;S - Packaging and hh goods'!$C$9*('R&amp;S - Packaging and hh goods'!$C$15*'R&amp;S - Packaging and hh goods'!$D$19*('Yearly LC Ethylene'!S$3-'Yearly LC Ethylene'!$D$3)/10)</f>
        <v>0</v>
      </c>
      <c r="T30" s="44">
        <f>T26*'R&amp;S - Packaging and hh goods'!$C$9*('R&amp;S - Packaging and hh goods'!$C$15*'R&amp;S - Packaging and hh goods'!$D$19*('Yearly LC Ethylene'!T$3-'Yearly LC Ethylene'!$D$3)/10)</f>
        <v>0</v>
      </c>
      <c r="U30" s="44">
        <f>U26*'R&amp;S - Packaging and hh goods'!$C$9*('R&amp;S - Packaging and hh goods'!$C$15*'R&amp;S - Packaging and hh goods'!$D$19*('Yearly LC Ethylene'!U$3-'Yearly LC Ethylene'!$D$3)/10)</f>
        <v>0</v>
      </c>
      <c r="V30" s="44">
        <f>V26*'R&amp;S - Packaging and hh goods'!$C$9*('R&amp;S - Packaging and hh goods'!$C$15*'R&amp;S - Packaging and hh goods'!$D$19*('Yearly LC Ethylene'!V$3-'Yearly LC Ethylene'!$D$3)/10)</f>
        <v>0</v>
      </c>
      <c r="W30" s="44">
        <f>W26*'R&amp;S - Packaging and hh goods'!$C$9*('R&amp;S - Packaging and hh goods'!$C$15*'R&amp;S - Packaging and hh goods'!$D$19*('Yearly LC Ethylene'!W$3-'Yearly LC Ethylene'!$D$3)/10)</f>
        <v>0</v>
      </c>
      <c r="X30" s="44">
        <f>X26*'R&amp;S - Packaging and hh goods'!$C$9*('R&amp;S - Packaging and hh goods'!$C$15*'R&amp;S - Packaging and hh goods'!$D$19*('Yearly LC Ethylene'!X$3-'Yearly LC Ethylene'!$D$3)/10)</f>
        <v>0</v>
      </c>
      <c r="Y30" s="44">
        <f>Y26*'R&amp;S - Packaging and hh goods'!$C$9*('R&amp;S - Packaging and hh goods'!$C$15*('R&amp;S - Packaging and hh goods'!$D$20+('R&amp;S - Packaging and hh goods'!$D$21-'R&amp;S - Packaging and hh goods'!$D$20)*('Yearly LC Ethylene'!Y$3-'Yearly LC Ethylene'!$X$3)/10))</f>
        <v>0</v>
      </c>
      <c r="Z30" s="44">
        <f>Z26*'R&amp;S - Packaging and hh goods'!$C$9*('R&amp;S - Packaging and hh goods'!$C$15*('R&amp;S - Packaging and hh goods'!$D$20+('R&amp;S - Packaging and hh goods'!$D$21-'R&amp;S - Packaging and hh goods'!$D$20)*('Yearly LC Ethylene'!Z$3-'Yearly LC Ethylene'!$X$3)/10))</f>
        <v>0</v>
      </c>
      <c r="AA30" s="44">
        <f>AA26*'R&amp;S - Packaging and hh goods'!$C$9*('R&amp;S - Packaging and hh goods'!$C$15*('R&amp;S - Packaging and hh goods'!$D$20+('R&amp;S - Packaging and hh goods'!$D$21-'R&amp;S - Packaging and hh goods'!$D$20)*('Yearly LC Ethylene'!AA$3-'Yearly LC Ethylene'!$X$3)/10))</f>
        <v>0</v>
      </c>
      <c r="AB30" s="44">
        <f>AB26*'R&amp;S - Packaging and hh goods'!$C$9*('R&amp;S - Packaging and hh goods'!$C$15*('R&amp;S - Packaging and hh goods'!$D$20+('R&amp;S - Packaging and hh goods'!$D$21-'R&amp;S - Packaging and hh goods'!$D$20)*('Yearly LC Ethylene'!AB$3-'Yearly LC Ethylene'!$X$3)/10))</f>
        <v>0</v>
      </c>
      <c r="AC30" s="44">
        <f>AC26*'R&amp;S - Packaging and hh goods'!$C$9*('R&amp;S - Packaging and hh goods'!$C$15*('R&amp;S - Packaging and hh goods'!$D$20+('R&amp;S - Packaging and hh goods'!$D$21-'R&amp;S - Packaging and hh goods'!$D$20)*('Yearly LC Ethylene'!AC$3-'Yearly LC Ethylene'!$X$3)/10))</f>
        <v>0</v>
      </c>
      <c r="AD30" s="44">
        <f>AD26*'R&amp;S - Packaging and hh goods'!$C$9*('R&amp;S - Packaging and hh goods'!$C$15*('R&amp;S - Packaging and hh goods'!$D$20+('R&amp;S - Packaging and hh goods'!$D$21-'R&amp;S - Packaging and hh goods'!$D$20)*('Yearly LC Ethylene'!AD$3-'Yearly LC Ethylene'!$X$3)/10))</f>
        <v>0</v>
      </c>
      <c r="AE30" s="44">
        <f>AE26*'R&amp;S - Packaging and hh goods'!$C$9*('R&amp;S - Packaging and hh goods'!$C$15*('R&amp;S - Packaging and hh goods'!$D$20+('R&amp;S - Packaging and hh goods'!$D$21-'R&amp;S - Packaging and hh goods'!$D$20)*('Yearly LC Ethylene'!AE$3-'Yearly LC Ethylene'!$X$3)/10))</f>
        <v>0</v>
      </c>
      <c r="AF30" s="44">
        <f>AF26*'R&amp;S - Packaging and hh goods'!$C$9*('R&amp;S - Packaging and hh goods'!$C$15*('R&amp;S - Packaging and hh goods'!$D$20+('R&amp;S - Packaging and hh goods'!$D$21-'R&amp;S - Packaging and hh goods'!$D$20)*('Yearly LC Ethylene'!AF$3-'Yearly LC Ethylene'!$X$3)/10))</f>
        <v>0</v>
      </c>
      <c r="AG30" s="44">
        <f>AG26*'R&amp;S - Packaging and hh goods'!$C$9*('R&amp;S - Packaging and hh goods'!$C$15*('R&amp;S - Packaging and hh goods'!$D$20+('R&amp;S - Packaging and hh goods'!$D$21-'R&amp;S - Packaging and hh goods'!$D$20)*('Yearly LC Ethylene'!AG$3-'Yearly LC Ethylene'!$X$3)/10))</f>
        <v>0</v>
      </c>
      <c r="AH30" s="44">
        <f>AH26*'R&amp;S - Packaging and hh goods'!$C$9*('R&amp;S - Packaging and hh goods'!$C$15*('R&amp;S - Packaging and hh goods'!$D$20+('R&amp;S - Packaging and hh goods'!$D$21-'R&amp;S - Packaging and hh goods'!$D$20)*('Yearly LC Ethylene'!AH$3-'Yearly LC Ethylene'!$X$3)/10))</f>
        <v>0</v>
      </c>
    </row>
    <row r="31" spans="1:42" outlineLevel="1">
      <c r="B31" s="61" t="s">
        <v>203</v>
      </c>
      <c r="C31" s="54" t="s">
        <v>153</v>
      </c>
      <c r="D31" s="44">
        <v>0</v>
      </c>
      <c r="E31" s="44">
        <f>E26*'R&amp;S - Packaging and hh goods'!$C$10*('R&amp;S - Packaging and hh goods'!$C$15*'R&amp;S - Packaging and hh goods'!$E$19*('Yearly LC Ethylene'!E$3-'Yearly LC Ethylene'!$D$3)/10)</f>
        <v>0</v>
      </c>
      <c r="F31" s="44">
        <f>F26*'R&amp;S - Packaging and hh goods'!$C$10*('R&amp;S - Packaging and hh goods'!$C$15*'R&amp;S - Packaging and hh goods'!$E$19*('Yearly LC Ethylene'!F$3-'Yearly LC Ethylene'!$D$3)/10)</f>
        <v>0</v>
      </c>
      <c r="G31" s="44">
        <f>G26*'R&amp;S - Packaging and hh goods'!$C$10*('R&amp;S - Packaging and hh goods'!$C$15*'R&amp;S - Packaging and hh goods'!$E$19*('Yearly LC Ethylene'!G$3-'Yearly LC Ethylene'!$D$3)/10)</f>
        <v>0</v>
      </c>
      <c r="H31" s="44">
        <f>H26*'R&amp;S - Packaging and hh goods'!$C$10*('R&amp;S - Packaging and hh goods'!$C$15*'R&amp;S - Packaging and hh goods'!$E$19*('Yearly LC Ethylene'!H$3-'Yearly LC Ethylene'!$D$3)/10)</f>
        <v>0</v>
      </c>
      <c r="I31" s="44">
        <f>I26*'R&amp;S - Packaging and hh goods'!$C$10*('R&amp;S - Packaging and hh goods'!$C$15*'R&amp;S - Packaging and hh goods'!$E$19*('Yearly LC Ethylene'!I$3-'Yearly LC Ethylene'!$D$3)/10)</f>
        <v>0</v>
      </c>
      <c r="J31" s="44">
        <f>J26*'R&amp;S - Packaging and hh goods'!$C$10*('R&amp;S - Packaging and hh goods'!$C$15*'R&amp;S - Packaging and hh goods'!$E$19*('Yearly LC Ethylene'!J$3-'Yearly LC Ethylene'!$D$3)/10)</f>
        <v>0</v>
      </c>
      <c r="K31" s="44">
        <f>K26*'R&amp;S - Packaging and hh goods'!$C$10*('R&amp;S - Packaging and hh goods'!$C$15*'R&amp;S - Packaging and hh goods'!$E$19*('Yearly LC Ethylene'!K$3-'Yearly LC Ethylene'!$D$3)/10)</f>
        <v>0</v>
      </c>
      <c r="L31" s="44">
        <f>L26*'R&amp;S - Packaging and hh goods'!$C$10*('R&amp;S - Packaging and hh goods'!$C$15*'R&amp;S - Packaging and hh goods'!$E$19*('Yearly LC Ethylene'!L$3-'Yearly LC Ethylene'!$D$3)/10)</f>
        <v>0</v>
      </c>
      <c r="M31" s="44">
        <f>M26*'R&amp;S - Packaging and hh goods'!$C$10*('R&amp;S - Packaging and hh goods'!$C$15*'R&amp;S - Packaging and hh goods'!$E$19*('Yearly LC Ethylene'!M$3-'Yearly LC Ethylene'!$D$3)/10)</f>
        <v>0</v>
      </c>
      <c r="N31" s="44">
        <f>N26*'R&amp;S - Packaging and hh goods'!$C$10*('R&amp;S - Packaging and hh goods'!$C$15*'R&amp;S - Packaging and hh goods'!$E$19*('Yearly LC Ethylene'!N$3-'Yearly LC Ethylene'!$D$3)/10)</f>
        <v>0</v>
      </c>
      <c r="O31" s="44">
        <f>O26*'R&amp;S - Packaging and hh goods'!$C$10*('R&amp;S - Packaging and hh goods'!$C$15*'R&amp;S - Packaging and hh goods'!$E$19*('Yearly LC Ethylene'!O$3-'Yearly LC Ethylene'!$D$3)/10)</f>
        <v>0</v>
      </c>
      <c r="P31" s="44">
        <f>P26*'R&amp;S - Packaging and hh goods'!$C$10*('R&amp;S - Packaging and hh goods'!$C$15*('R&amp;S - Packaging and hh goods'!$E$19+('R&amp;S - Packaging and hh goods'!$E$20-'R&amp;S - Packaging and hh goods'!$E$19)*('Yearly LC Ethylene'!P$3-'Yearly LC Ethylene'!$O$3)/10))</f>
        <v>0</v>
      </c>
      <c r="Q31" s="44">
        <f>Q26*'R&amp;S - Packaging and hh goods'!$C$10*('R&amp;S - Packaging and hh goods'!$C$15*('R&amp;S - Packaging and hh goods'!$E$19+('R&amp;S - Packaging and hh goods'!$E$20-'R&amp;S - Packaging and hh goods'!$E$19)*('Yearly LC Ethylene'!Q$3-'Yearly LC Ethylene'!$O$3)/10))</f>
        <v>0</v>
      </c>
      <c r="R31" s="44">
        <f>R26*'R&amp;S - Packaging and hh goods'!$C$10*('R&amp;S - Packaging and hh goods'!$C$15*('R&amp;S - Packaging and hh goods'!$E$19+('R&amp;S - Packaging and hh goods'!$E$20-'R&amp;S - Packaging and hh goods'!$E$19)*('Yearly LC Ethylene'!R$3-'Yearly LC Ethylene'!$O$3)/10))</f>
        <v>0</v>
      </c>
      <c r="S31" s="44">
        <f>S26*'R&amp;S - Packaging and hh goods'!$C$10*('R&amp;S - Packaging and hh goods'!$C$15*('R&amp;S - Packaging and hh goods'!$E$19+('R&amp;S - Packaging and hh goods'!$E$20-'R&amp;S - Packaging and hh goods'!$E$19)*('Yearly LC Ethylene'!S$3-'Yearly LC Ethylene'!$O$3)/10))</f>
        <v>0</v>
      </c>
      <c r="T31" s="44">
        <f>T26*'R&amp;S - Packaging and hh goods'!$C$10*('R&amp;S - Packaging and hh goods'!$C$15*('R&amp;S - Packaging and hh goods'!$E$19+('R&amp;S - Packaging and hh goods'!$E$20-'R&amp;S - Packaging and hh goods'!$E$19)*('Yearly LC Ethylene'!T$3-'Yearly LC Ethylene'!$O$3)/10))</f>
        <v>0</v>
      </c>
      <c r="U31" s="44">
        <f>U26*'R&amp;S - Packaging and hh goods'!$C$10*('R&amp;S - Packaging and hh goods'!$C$15*('R&amp;S - Packaging and hh goods'!$E$19+('R&amp;S - Packaging and hh goods'!$E$20-'R&amp;S - Packaging and hh goods'!$E$19)*('Yearly LC Ethylene'!U$3-'Yearly LC Ethylene'!$O$3)/10))</f>
        <v>0</v>
      </c>
      <c r="V31" s="44">
        <f>V26*'R&amp;S - Packaging and hh goods'!$C$10*('R&amp;S - Packaging and hh goods'!$C$15*('R&amp;S - Packaging and hh goods'!$E$19+('R&amp;S - Packaging and hh goods'!$E$20-'R&amp;S - Packaging and hh goods'!$E$19)*('Yearly LC Ethylene'!V$3-'Yearly LC Ethylene'!$O$3)/10))</f>
        <v>0</v>
      </c>
      <c r="W31" s="44">
        <f>W26*'R&amp;S - Packaging and hh goods'!$C$10*('R&amp;S - Packaging and hh goods'!$C$15*('R&amp;S - Packaging and hh goods'!$E$19+('R&amp;S - Packaging and hh goods'!$E$20-'R&amp;S - Packaging and hh goods'!$E$19)*('Yearly LC Ethylene'!W$3-'Yearly LC Ethylene'!$O$3)/10))</f>
        <v>0</v>
      </c>
      <c r="X31" s="44">
        <f>X26*'R&amp;S - Packaging and hh goods'!$C$10*('R&amp;S - Packaging and hh goods'!$C$15*('R&amp;S - Packaging and hh goods'!$E$19+('R&amp;S - Packaging and hh goods'!$E$20-'R&amp;S - Packaging and hh goods'!$E$19)*('Yearly LC Ethylene'!X$3-'Yearly LC Ethylene'!$O$3)/10))</f>
        <v>0</v>
      </c>
      <c r="Y31" s="44">
        <f>Y26*'R&amp;S - Packaging and hh goods'!$C$10*('R&amp;S - Packaging and hh goods'!$C$15*('R&amp;S - Packaging and hh goods'!$E$20+('R&amp;S - Packaging and hh goods'!$E$21-'R&amp;S - Packaging and hh goods'!$E$20)*('Yearly LC Ethylene'!Y$3-'Yearly LC Ethylene'!$X$3)/10))</f>
        <v>0</v>
      </c>
      <c r="Z31" s="44">
        <f>Z26*'R&amp;S - Packaging and hh goods'!$C$10*('R&amp;S - Packaging and hh goods'!$C$15*('R&amp;S - Packaging and hh goods'!$E$20+('R&amp;S - Packaging and hh goods'!$E$21-'R&amp;S - Packaging and hh goods'!$E$20)*('Yearly LC Ethylene'!Z$3-'Yearly LC Ethylene'!$X$3)/10))</f>
        <v>0</v>
      </c>
      <c r="AA31" s="44">
        <f>AA26*'R&amp;S - Packaging and hh goods'!$C$10*('R&amp;S - Packaging and hh goods'!$C$15*('R&amp;S - Packaging and hh goods'!$E$20+('R&amp;S - Packaging and hh goods'!$E$21-'R&amp;S - Packaging and hh goods'!$E$20)*('Yearly LC Ethylene'!AA$3-'Yearly LC Ethylene'!$X$3)/10))</f>
        <v>0</v>
      </c>
      <c r="AB31" s="44">
        <f>AB26*'R&amp;S - Packaging and hh goods'!$C$10*('R&amp;S - Packaging and hh goods'!$C$15*('R&amp;S - Packaging and hh goods'!$E$20+('R&amp;S - Packaging and hh goods'!$E$21-'R&amp;S - Packaging and hh goods'!$E$20)*('Yearly LC Ethylene'!AB$3-'Yearly LC Ethylene'!$X$3)/10))</f>
        <v>0</v>
      </c>
      <c r="AC31" s="44">
        <f>AC26*'R&amp;S - Packaging and hh goods'!$C$10*('R&amp;S - Packaging and hh goods'!$C$15*('R&amp;S - Packaging and hh goods'!$E$20+('R&amp;S - Packaging and hh goods'!$E$21-'R&amp;S - Packaging and hh goods'!$E$20)*('Yearly LC Ethylene'!AC$3-'Yearly LC Ethylene'!$X$3)/10))</f>
        <v>0</v>
      </c>
      <c r="AD31" s="44">
        <f>AD26*'R&amp;S - Packaging and hh goods'!$C$10*('R&amp;S - Packaging and hh goods'!$C$15*('R&amp;S - Packaging and hh goods'!$E$20+('R&amp;S - Packaging and hh goods'!$E$21-'R&amp;S - Packaging and hh goods'!$E$20)*('Yearly LC Ethylene'!AD$3-'Yearly LC Ethylene'!$X$3)/10))</f>
        <v>0</v>
      </c>
      <c r="AE31" s="44">
        <f>AE26*'R&amp;S - Packaging and hh goods'!$C$10*('R&amp;S - Packaging and hh goods'!$C$15*('R&amp;S - Packaging and hh goods'!$E$20+('R&amp;S - Packaging and hh goods'!$E$21-'R&amp;S - Packaging and hh goods'!$E$20)*('Yearly LC Ethylene'!AE$3-'Yearly LC Ethylene'!$X$3)/10))</f>
        <v>0</v>
      </c>
      <c r="AF31" s="44">
        <f>AF26*'R&amp;S - Packaging and hh goods'!$C$10*('R&amp;S - Packaging and hh goods'!$C$15*('R&amp;S - Packaging and hh goods'!$E$20+('R&amp;S - Packaging and hh goods'!$E$21-'R&amp;S - Packaging and hh goods'!$E$20)*('Yearly LC Ethylene'!AF$3-'Yearly LC Ethylene'!$X$3)/10))</f>
        <v>0</v>
      </c>
      <c r="AG31" s="44">
        <f>AG26*'R&amp;S - Packaging and hh goods'!$C$10*('R&amp;S - Packaging and hh goods'!$C$15*('R&amp;S - Packaging and hh goods'!$E$20+('R&amp;S - Packaging and hh goods'!$E$21-'R&amp;S - Packaging and hh goods'!$E$20)*('Yearly LC Ethylene'!AG$3-'Yearly LC Ethylene'!$X$3)/10))</f>
        <v>0</v>
      </c>
      <c r="AH31" s="44">
        <f>AH26*'R&amp;S - Packaging and hh goods'!$C$10*('R&amp;S - Packaging and hh goods'!$C$15*('R&amp;S - Packaging and hh goods'!$E$20+('R&amp;S - Packaging and hh goods'!$E$21-'R&amp;S - Packaging and hh goods'!$E$20)*('Yearly LC Ethylene'!AH$3-'Yearly LC Ethylene'!$X$3)/10))</f>
        <v>0</v>
      </c>
    </row>
    <row r="32" spans="1:42" outlineLevel="1">
      <c r="B32" s="1" t="s">
        <v>172</v>
      </c>
      <c r="C32" s="54" t="s">
        <v>153</v>
      </c>
      <c r="D32" s="44">
        <f>SUM(D30:D31)</f>
        <v>0</v>
      </c>
      <c r="E32" s="44">
        <f t="shared" ref="E32:AH32" si="7">SUM(E30:E31)</f>
        <v>0</v>
      </c>
      <c r="F32" s="44">
        <f t="shared" si="7"/>
        <v>0</v>
      </c>
      <c r="G32" s="44">
        <f t="shared" si="7"/>
        <v>0</v>
      </c>
      <c r="H32" s="44">
        <f t="shared" si="7"/>
        <v>0</v>
      </c>
      <c r="I32" s="44">
        <f t="shared" si="7"/>
        <v>0</v>
      </c>
      <c r="J32" s="44">
        <f t="shared" si="7"/>
        <v>0</v>
      </c>
      <c r="K32" s="44">
        <f t="shared" si="7"/>
        <v>0</v>
      </c>
      <c r="L32" s="44">
        <f t="shared" si="7"/>
        <v>0</v>
      </c>
      <c r="M32" s="44">
        <f t="shared" si="7"/>
        <v>0</v>
      </c>
      <c r="N32" s="44">
        <f t="shared" si="7"/>
        <v>0</v>
      </c>
      <c r="O32" s="44">
        <f t="shared" si="7"/>
        <v>0</v>
      </c>
      <c r="P32" s="44">
        <f t="shared" si="7"/>
        <v>0</v>
      </c>
      <c r="Q32" s="44">
        <f t="shared" si="7"/>
        <v>0</v>
      </c>
      <c r="R32" s="44">
        <f t="shared" si="7"/>
        <v>0</v>
      </c>
      <c r="S32" s="44">
        <f t="shared" si="7"/>
        <v>0</v>
      </c>
      <c r="T32" s="44">
        <f t="shared" si="7"/>
        <v>0</v>
      </c>
      <c r="U32" s="44">
        <f t="shared" si="7"/>
        <v>0</v>
      </c>
      <c r="V32" s="44">
        <f t="shared" si="7"/>
        <v>0</v>
      </c>
      <c r="W32" s="44">
        <f t="shared" si="7"/>
        <v>0</v>
      </c>
      <c r="X32" s="44">
        <f t="shared" si="7"/>
        <v>0</v>
      </c>
      <c r="Y32" s="44">
        <f t="shared" si="7"/>
        <v>0</v>
      </c>
      <c r="Z32" s="44">
        <f t="shared" si="7"/>
        <v>0</v>
      </c>
      <c r="AA32" s="44">
        <f t="shared" si="7"/>
        <v>0</v>
      </c>
      <c r="AB32" s="44">
        <f t="shared" si="7"/>
        <v>0</v>
      </c>
      <c r="AC32" s="44">
        <f t="shared" si="7"/>
        <v>0</v>
      </c>
      <c r="AD32" s="44">
        <f t="shared" si="7"/>
        <v>0</v>
      </c>
      <c r="AE32" s="44">
        <f t="shared" si="7"/>
        <v>0</v>
      </c>
      <c r="AF32" s="44">
        <f t="shared" si="7"/>
        <v>0</v>
      </c>
      <c r="AG32" s="44">
        <f t="shared" si="7"/>
        <v>0</v>
      </c>
      <c r="AH32" s="44">
        <f t="shared" si="7"/>
        <v>0</v>
      </c>
    </row>
    <row r="33" spans="1:35" s="1" customFormat="1">
      <c r="B33" s="1" t="s">
        <v>197</v>
      </c>
      <c r="C33" s="65" t="s">
        <v>153</v>
      </c>
      <c r="D33" s="66">
        <f>D26-D29-D32</f>
        <v>89.109936202323638</v>
      </c>
      <c r="E33" s="66">
        <f t="shared" ref="E33:AG33" si="8">E26-E29-E32</f>
        <v>90.357475309156172</v>
      </c>
      <c r="F33" s="66">
        <f t="shared" si="8"/>
        <v>91.622479963484366</v>
      </c>
      <c r="G33" s="66">
        <f t="shared" si="8"/>
        <v>92.905194682973146</v>
      </c>
      <c r="H33" s="66">
        <f t="shared" si="8"/>
        <v>94.205867408534772</v>
      </c>
      <c r="I33" s="66">
        <f t="shared" si="8"/>
        <v>95.524749552254264</v>
      </c>
      <c r="J33" s="66">
        <f t="shared" si="8"/>
        <v>96.862096045985822</v>
      </c>
      <c r="K33" s="66">
        <f t="shared" si="8"/>
        <v>98.218165390629622</v>
      </c>
      <c r="L33" s="66">
        <f t="shared" si="8"/>
        <v>99.593219706098438</v>
      </c>
      <c r="M33" s="66">
        <f t="shared" si="8"/>
        <v>100.98752478198382</v>
      </c>
      <c r="N33" s="66">
        <f t="shared" si="8"/>
        <v>102.4013501289316</v>
      </c>
      <c r="O33" s="66">
        <f t="shared" si="8"/>
        <v>103.83496903073664</v>
      </c>
      <c r="P33" s="66">
        <f t="shared" si="8"/>
        <v>105.28865859716696</v>
      </c>
      <c r="Q33" s="66">
        <f t="shared" si="8"/>
        <v>106.76269981752729</v>
      </c>
      <c r="R33" s="66">
        <f t="shared" si="8"/>
        <v>108.25737761497267</v>
      </c>
      <c r="S33" s="66">
        <f t="shared" si="8"/>
        <v>109.77298090158229</v>
      </c>
      <c r="T33" s="66">
        <f t="shared" si="8"/>
        <v>111.30980263420444</v>
      </c>
      <c r="U33" s="66">
        <f t="shared" si="8"/>
        <v>112.86813987108332</v>
      </c>
      <c r="V33" s="66">
        <f t="shared" si="8"/>
        <v>114.44829382927848</v>
      </c>
      <c r="W33" s="66">
        <f t="shared" si="8"/>
        <v>116.05056994288839</v>
      </c>
      <c r="X33" s="66">
        <f t="shared" si="8"/>
        <v>117.67527792208882</v>
      </c>
      <c r="Y33" s="66">
        <f t="shared" si="8"/>
        <v>119.32273181299807</v>
      </c>
      <c r="Z33" s="66">
        <f t="shared" si="8"/>
        <v>120.99325005838004</v>
      </c>
      <c r="AA33" s="66">
        <f t="shared" si="8"/>
        <v>122.68715555919736</v>
      </c>
      <c r="AB33" s="66">
        <f t="shared" si="8"/>
        <v>124.40477573702613</v>
      </c>
      <c r="AC33" s="66">
        <f t="shared" si="8"/>
        <v>126.14644259734449</v>
      </c>
      <c r="AD33" s="66">
        <f t="shared" si="8"/>
        <v>127.91249279370732</v>
      </c>
      <c r="AE33" s="66">
        <f t="shared" si="8"/>
        <v>129.70326769281922</v>
      </c>
      <c r="AF33" s="66">
        <f t="shared" si="8"/>
        <v>131.51911344051871</v>
      </c>
      <c r="AG33" s="66">
        <f t="shared" si="8"/>
        <v>133.36038102868596</v>
      </c>
      <c r="AH33" s="66">
        <f>AH26-AH29-AH32</f>
        <v>135.22742636308757</v>
      </c>
    </row>
    <row r="34" spans="1:35" s="67" customFormat="1">
      <c r="A34" s="755" t="s">
        <v>257</v>
      </c>
      <c r="B34" s="58" t="s">
        <v>258</v>
      </c>
      <c r="C34" s="59" t="s">
        <v>153</v>
      </c>
      <c r="D34" s="60">
        <f>D26*('Demand Breakdown - Ethylene'!$C$73)</f>
        <v>74.910171646535289</v>
      </c>
      <c r="E34" s="60" t="e">
        <f>E26*('Demand Breakdown - Ethylene'!$C$73)-E$27/'R&amp;S - Packaging and hh goods'!$C$7*'R&amp;S - Packaging and hh goods'!$S7-E$28/'R&amp;S - Packaging and hh goods'!$C$8*'R&amp;S - Packaging and hh goods'!$S8-E$30/'R&amp;S - Packaging and hh goods'!$C$9*'R&amp;S - Packaging and hh goods'!$S9-E$31/'R&amp;S - Packaging and hh goods'!$C$10*'R&amp;S - Packaging and hh goods'!$S10</f>
        <v>#DIV/0!</v>
      </c>
      <c r="F34" s="60" t="e">
        <f>F26*('Demand Breakdown - Ethylene'!$C$73)-F$27/'R&amp;S - Packaging and hh goods'!$C$7*'R&amp;S - Packaging and hh goods'!$S7-F$28/'R&amp;S - Packaging and hh goods'!$C$8*'R&amp;S - Packaging and hh goods'!$S8-F$30/'R&amp;S - Packaging and hh goods'!$C$9*'R&amp;S - Packaging and hh goods'!$S9-F$31/'R&amp;S - Packaging and hh goods'!$C$10*'R&amp;S - Packaging and hh goods'!$S10</f>
        <v>#DIV/0!</v>
      </c>
      <c r="G34" s="60" t="e">
        <f>G26*('Demand Breakdown - Ethylene'!$C$73)-G$27/'R&amp;S - Packaging and hh goods'!$C$7*'R&amp;S - Packaging and hh goods'!$S7-G$28/'R&amp;S - Packaging and hh goods'!$C$8*'R&amp;S - Packaging and hh goods'!$S8-G$30/'R&amp;S - Packaging and hh goods'!$C$9*'R&amp;S - Packaging and hh goods'!$S9-G$31/'R&amp;S - Packaging and hh goods'!$C$10*'R&amp;S - Packaging and hh goods'!$S10</f>
        <v>#DIV/0!</v>
      </c>
      <c r="H34" s="60" t="e">
        <f>H26*('Demand Breakdown - Ethylene'!$C$73)-H$27/'R&amp;S - Packaging and hh goods'!$C$7*'R&amp;S - Packaging and hh goods'!$S7-H$28/'R&amp;S - Packaging and hh goods'!$C$8*'R&amp;S - Packaging and hh goods'!$S8-H$30/'R&amp;S - Packaging and hh goods'!$C$9*'R&amp;S - Packaging and hh goods'!$S9-H$31/'R&amp;S - Packaging and hh goods'!$C$10*'R&amp;S - Packaging and hh goods'!$S10</f>
        <v>#DIV/0!</v>
      </c>
      <c r="I34" s="60" t="e">
        <f>I26*('Demand Breakdown - Ethylene'!$C$73)-I$27/'R&amp;S - Packaging and hh goods'!$C$7*'R&amp;S - Packaging and hh goods'!$S7-I$28/'R&amp;S - Packaging and hh goods'!$C$8*'R&amp;S - Packaging and hh goods'!$S8-I$30/'R&amp;S - Packaging and hh goods'!$C$9*'R&amp;S - Packaging and hh goods'!$S9-I$31/'R&amp;S - Packaging and hh goods'!$C$10*'R&amp;S - Packaging and hh goods'!$S10</f>
        <v>#DIV/0!</v>
      </c>
      <c r="J34" s="60" t="e">
        <f>J26*('Demand Breakdown - Ethylene'!$C$73)-J$27/'R&amp;S - Packaging and hh goods'!$C$7*'R&amp;S - Packaging and hh goods'!$S7-J$28/'R&amp;S - Packaging and hh goods'!$C$8*'R&amp;S - Packaging and hh goods'!$S8-J$30/'R&amp;S - Packaging and hh goods'!$C$9*'R&amp;S - Packaging and hh goods'!$S9-J$31/'R&amp;S - Packaging and hh goods'!$C$10*'R&amp;S - Packaging and hh goods'!$S10</f>
        <v>#DIV/0!</v>
      </c>
      <c r="K34" s="60" t="e">
        <f>K26*('Demand Breakdown - Ethylene'!$C$73)-K$27/'R&amp;S - Packaging and hh goods'!$C$7*'R&amp;S - Packaging and hh goods'!$S7-K$28/'R&amp;S - Packaging and hh goods'!$C$8*'R&amp;S - Packaging and hh goods'!$S8-K$30/'R&amp;S - Packaging and hh goods'!$C$9*'R&amp;S - Packaging and hh goods'!$S9-K$31/'R&amp;S - Packaging and hh goods'!$C$10*'R&amp;S - Packaging and hh goods'!$S10</f>
        <v>#DIV/0!</v>
      </c>
      <c r="L34" s="60" t="e">
        <f>L26*('Demand Breakdown - Ethylene'!$C$73)-L$27/'R&amp;S - Packaging and hh goods'!$C$7*'R&amp;S - Packaging and hh goods'!$S7-L$28/'R&amp;S - Packaging and hh goods'!$C$8*'R&amp;S - Packaging and hh goods'!$S8-L$30/'R&amp;S - Packaging and hh goods'!$C$9*'R&amp;S - Packaging and hh goods'!$S9-L$31/'R&amp;S - Packaging and hh goods'!$C$10*'R&amp;S - Packaging and hh goods'!$S10</f>
        <v>#DIV/0!</v>
      </c>
      <c r="M34" s="60" t="e">
        <f>M26*('Demand Breakdown - Ethylene'!$C$73)-M$27/'R&amp;S - Packaging and hh goods'!$C$7*'R&amp;S - Packaging and hh goods'!$S7-M$28/'R&amp;S - Packaging and hh goods'!$C$8*'R&amp;S - Packaging and hh goods'!$S8-M$30/'R&amp;S - Packaging and hh goods'!$C$9*'R&amp;S - Packaging and hh goods'!$S9-M$31/'R&amp;S - Packaging and hh goods'!$C$10*'R&amp;S - Packaging and hh goods'!$S10</f>
        <v>#DIV/0!</v>
      </c>
      <c r="N34" s="60" t="e">
        <f>N26*('Demand Breakdown - Ethylene'!$C$73)-N$27/'R&amp;S - Packaging and hh goods'!$C$7*'R&amp;S - Packaging and hh goods'!$S7-N$28/'R&amp;S - Packaging and hh goods'!$C$8*'R&amp;S - Packaging and hh goods'!$S8-N$30/'R&amp;S - Packaging and hh goods'!$C$9*'R&amp;S - Packaging and hh goods'!$S9-N$31/'R&amp;S - Packaging and hh goods'!$C$10*'R&amp;S - Packaging and hh goods'!$S10</f>
        <v>#DIV/0!</v>
      </c>
      <c r="O34" s="60" t="e">
        <f>O26*('Demand Breakdown - Ethylene'!$C$73)-O$27/'R&amp;S - Packaging and hh goods'!$C$7*'R&amp;S - Packaging and hh goods'!$S7-O$28/'R&amp;S - Packaging and hh goods'!$C$8*'R&amp;S - Packaging and hh goods'!$S8-O$30/'R&amp;S - Packaging and hh goods'!$C$9*'R&amp;S - Packaging and hh goods'!$S9-O$31/'R&amp;S - Packaging and hh goods'!$C$10*'R&amp;S - Packaging and hh goods'!$S10</f>
        <v>#DIV/0!</v>
      </c>
      <c r="P34" s="60" t="e">
        <f>P26*('Demand Breakdown - Ethylene'!$C$73)-P$27/'R&amp;S - Packaging and hh goods'!$C$7*'R&amp;S - Packaging and hh goods'!$S7-P$28/'R&amp;S - Packaging and hh goods'!$C$8*'R&amp;S - Packaging and hh goods'!$S8-P$30/'R&amp;S - Packaging and hh goods'!$C$9*'R&amp;S - Packaging and hh goods'!$S9-P$31/'R&amp;S - Packaging and hh goods'!$C$10*'R&amp;S - Packaging and hh goods'!$S10</f>
        <v>#DIV/0!</v>
      </c>
      <c r="Q34" s="60" t="e">
        <f>Q26*('Demand Breakdown - Ethylene'!$C$73)-Q$27/'R&amp;S - Packaging and hh goods'!$C$7*'R&amp;S - Packaging and hh goods'!$S7-Q$28/'R&amp;S - Packaging and hh goods'!$C$8*'R&amp;S - Packaging and hh goods'!$S8-Q$30/'R&amp;S - Packaging and hh goods'!$C$9*'R&amp;S - Packaging and hh goods'!$S9-Q$31/'R&amp;S - Packaging and hh goods'!$C$10*'R&amp;S - Packaging and hh goods'!$S10</f>
        <v>#DIV/0!</v>
      </c>
      <c r="R34" s="60" t="e">
        <f>R26*('Demand Breakdown - Ethylene'!$C$73)-R$27/'R&amp;S - Packaging and hh goods'!$C$7*'R&amp;S - Packaging and hh goods'!$S7-R$28/'R&amp;S - Packaging and hh goods'!$C$8*'R&amp;S - Packaging and hh goods'!$S8-R$30/'R&amp;S - Packaging and hh goods'!$C$9*'R&amp;S - Packaging and hh goods'!$S9-R$31/'R&amp;S - Packaging and hh goods'!$C$10*'R&amp;S - Packaging and hh goods'!$S10</f>
        <v>#DIV/0!</v>
      </c>
      <c r="S34" s="60" t="e">
        <f>S26*('Demand Breakdown - Ethylene'!$C$73)-S$27/'R&amp;S - Packaging and hh goods'!$C$7*'R&amp;S - Packaging and hh goods'!$S7-S$28/'R&amp;S - Packaging and hh goods'!$C$8*'R&amp;S - Packaging and hh goods'!$S8-S$30/'R&amp;S - Packaging and hh goods'!$C$9*'R&amp;S - Packaging and hh goods'!$S9-S$31/'R&amp;S - Packaging and hh goods'!$C$10*'R&amp;S - Packaging and hh goods'!$S10</f>
        <v>#DIV/0!</v>
      </c>
      <c r="T34" s="60" t="e">
        <f>T26*('Demand Breakdown - Ethylene'!$C$73)-T$27/'R&amp;S - Packaging and hh goods'!$C$7*'R&amp;S - Packaging and hh goods'!$S7-T$28/'R&amp;S - Packaging and hh goods'!$C$8*'R&amp;S - Packaging and hh goods'!$S8-T$30/'R&amp;S - Packaging and hh goods'!$C$9*'R&amp;S - Packaging and hh goods'!$S9-T$31/'R&amp;S - Packaging and hh goods'!$C$10*'R&amp;S - Packaging and hh goods'!$S10</f>
        <v>#DIV/0!</v>
      </c>
      <c r="U34" s="60" t="e">
        <f>U26*('Demand Breakdown - Ethylene'!$C$73)-U$27/'R&amp;S - Packaging and hh goods'!$C$7*'R&amp;S - Packaging and hh goods'!$S7-U$28/'R&amp;S - Packaging and hh goods'!$C$8*'R&amp;S - Packaging and hh goods'!$S8-U$30/'R&amp;S - Packaging and hh goods'!$C$9*'R&amp;S - Packaging and hh goods'!$S9-U$31/'R&amp;S - Packaging and hh goods'!$C$10*'R&amp;S - Packaging and hh goods'!$S10</f>
        <v>#DIV/0!</v>
      </c>
      <c r="V34" s="60" t="e">
        <f>V26*('Demand Breakdown - Ethylene'!$C$73)-V$27/'R&amp;S - Packaging and hh goods'!$C$7*'R&amp;S - Packaging and hh goods'!$S7-V$28/'R&amp;S - Packaging and hh goods'!$C$8*'R&amp;S - Packaging and hh goods'!$S8-V$30/'R&amp;S - Packaging and hh goods'!$C$9*'R&amp;S - Packaging and hh goods'!$S9-V$31/'R&amp;S - Packaging and hh goods'!$C$10*'R&amp;S - Packaging and hh goods'!$S10</f>
        <v>#DIV/0!</v>
      </c>
      <c r="W34" s="60" t="e">
        <f>W26*('Demand Breakdown - Ethylene'!$C$73)-W$27/'R&amp;S - Packaging and hh goods'!$C$7*'R&amp;S - Packaging and hh goods'!$S7-W$28/'R&amp;S - Packaging and hh goods'!$C$8*'R&amp;S - Packaging and hh goods'!$S8-W$30/'R&amp;S - Packaging and hh goods'!$C$9*'R&amp;S - Packaging and hh goods'!$S9-W$31/'R&amp;S - Packaging and hh goods'!$C$10*'R&amp;S - Packaging and hh goods'!$S10</f>
        <v>#DIV/0!</v>
      </c>
      <c r="X34" s="60" t="e">
        <f>X26*('Demand Breakdown - Ethylene'!$C$73)-X$27/'R&amp;S - Packaging and hh goods'!$C$7*'R&amp;S - Packaging and hh goods'!$S7-X$28/'R&amp;S - Packaging and hh goods'!$C$8*'R&amp;S - Packaging and hh goods'!$S8-X$30/'R&amp;S - Packaging and hh goods'!$C$9*'R&amp;S - Packaging and hh goods'!$S9-X$31/'R&amp;S - Packaging and hh goods'!$C$10*'R&amp;S - Packaging and hh goods'!$S10</f>
        <v>#DIV/0!</v>
      </c>
      <c r="Y34" s="60" t="e">
        <f>Y26*('Demand Breakdown - Ethylene'!$C$73)-Y$27/'R&amp;S - Packaging and hh goods'!$C$7*'R&amp;S - Packaging and hh goods'!$S7-Y$28/'R&amp;S - Packaging and hh goods'!$C$8*'R&amp;S - Packaging and hh goods'!$S8-Y$30/'R&amp;S - Packaging and hh goods'!$C$9*'R&amp;S - Packaging and hh goods'!$S9-Y$31/'R&amp;S - Packaging and hh goods'!$C$10*'R&amp;S - Packaging and hh goods'!$S10</f>
        <v>#DIV/0!</v>
      </c>
      <c r="Z34" s="60" t="e">
        <f>Z26*('Demand Breakdown - Ethylene'!$C$73)-Z$27/'R&amp;S - Packaging and hh goods'!$C$7*'R&amp;S - Packaging and hh goods'!$S7-Z$28/'R&amp;S - Packaging and hh goods'!$C$8*'R&amp;S - Packaging and hh goods'!$S8-Z$30/'R&amp;S - Packaging and hh goods'!$C$9*'R&amp;S - Packaging and hh goods'!$S9-Z$31/'R&amp;S - Packaging and hh goods'!$C$10*'R&amp;S - Packaging and hh goods'!$S10</f>
        <v>#DIV/0!</v>
      </c>
      <c r="AA34" s="60" t="e">
        <f>AA26*('Demand Breakdown - Ethylene'!$C$73)-AA$27/'R&amp;S - Packaging and hh goods'!$C$7*'R&amp;S - Packaging and hh goods'!$S7-AA$28/'R&amp;S - Packaging and hh goods'!$C$8*'R&amp;S - Packaging and hh goods'!$S8-AA$30/'R&amp;S - Packaging and hh goods'!$C$9*'R&amp;S - Packaging and hh goods'!$S9-AA$31/'R&amp;S - Packaging and hh goods'!$C$10*'R&amp;S - Packaging and hh goods'!$S10</f>
        <v>#DIV/0!</v>
      </c>
      <c r="AB34" s="60" t="e">
        <f>AB26*('Demand Breakdown - Ethylene'!$C$73)-AB$27/'R&amp;S - Packaging and hh goods'!$C$7*'R&amp;S - Packaging and hh goods'!$S7-AB$28/'R&amp;S - Packaging and hh goods'!$C$8*'R&amp;S - Packaging and hh goods'!$S8-AB$30/'R&amp;S - Packaging and hh goods'!$C$9*'R&amp;S - Packaging and hh goods'!$S9-AB$31/'R&amp;S - Packaging and hh goods'!$C$10*'R&amp;S - Packaging and hh goods'!$S10</f>
        <v>#DIV/0!</v>
      </c>
      <c r="AC34" s="60" t="e">
        <f>AC26*('Demand Breakdown - Ethylene'!$C$73)-AC$27/'R&amp;S - Packaging and hh goods'!$C$7*'R&amp;S - Packaging and hh goods'!$S7-AC$28/'R&amp;S - Packaging and hh goods'!$C$8*'R&amp;S - Packaging and hh goods'!$S8-AC$30/'R&amp;S - Packaging and hh goods'!$C$9*'R&amp;S - Packaging and hh goods'!$S9-AC$31/'R&amp;S - Packaging and hh goods'!$C$10*'R&amp;S - Packaging and hh goods'!$S10</f>
        <v>#DIV/0!</v>
      </c>
      <c r="AD34" s="60" t="e">
        <f>AD26*('Demand Breakdown - Ethylene'!$C$73)-AD$27/'R&amp;S - Packaging and hh goods'!$C$7*'R&amp;S - Packaging and hh goods'!$S7-AD$28/'R&amp;S - Packaging and hh goods'!$C$8*'R&amp;S - Packaging and hh goods'!$S8-AD$30/'R&amp;S - Packaging and hh goods'!$C$9*'R&amp;S - Packaging and hh goods'!$S9-AD$31/'R&amp;S - Packaging and hh goods'!$C$10*'R&amp;S - Packaging and hh goods'!$S10</f>
        <v>#DIV/0!</v>
      </c>
      <c r="AE34" s="60" t="e">
        <f>AE26*('Demand Breakdown - Ethylene'!$C$73)-AE$27/'R&amp;S - Packaging and hh goods'!$C$7*'R&amp;S - Packaging and hh goods'!$S7-AE$28/'R&amp;S - Packaging and hh goods'!$C$8*'R&amp;S - Packaging and hh goods'!$S8-AE$30/'R&amp;S - Packaging and hh goods'!$C$9*'R&amp;S - Packaging and hh goods'!$S9-AE$31/'R&amp;S - Packaging and hh goods'!$C$10*'R&amp;S - Packaging and hh goods'!$S10</f>
        <v>#DIV/0!</v>
      </c>
      <c r="AF34" s="60" t="e">
        <f>AF26*('Demand Breakdown - Ethylene'!$C$73)-AF$27/'R&amp;S - Packaging and hh goods'!$C$7*'R&amp;S - Packaging and hh goods'!$S7-AF$28/'R&amp;S - Packaging and hh goods'!$C$8*'R&amp;S - Packaging and hh goods'!$S8-AF$30/'R&amp;S - Packaging and hh goods'!$C$9*'R&amp;S - Packaging and hh goods'!$S9-AF$31/'R&amp;S - Packaging and hh goods'!$C$10*'R&amp;S - Packaging and hh goods'!$S10</f>
        <v>#DIV/0!</v>
      </c>
      <c r="AG34" s="60" t="e">
        <f>AG26*('Demand Breakdown - Ethylene'!$C$73)-AG$27/'R&amp;S - Packaging and hh goods'!$C$7*'R&amp;S - Packaging and hh goods'!$S7-AG$28/'R&amp;S - Packaging and hh goods'!$C$8*'R&amp;S - Packaging and hh goods'!$S8-AG$30/'R&amp;S - Packaging and hh goods'!$C$9*'R&amp;S - Packaging and hh goods'!$S9-AG$31/'R&amp;S - Packaging and hh goods'!$C$10*'R&amp;S - Packaging and hh goods'!$S10</f>
        <v>#DIV/0!</v>
      </c>
      <c r="AH34" s="60" t="e">
        <f>AH26*('Demand Breakdown - Ethylene'!$C$73)-AH$27/'R&amp;S - Packaging and hh goods'!$C$7*'R&amp;S - Packaging and hh goods'!$S7-AH$28/'R&amp;S - Packaging and hh goods'!$C$8*'R&amp;S - Packaging and hh goods'!$S8-AH$30/'R&amp;S - Packaging and hh goods'!$C$9*'R&amp;S - Packaging and hh goods'!$S9-AH$31/'R&amp;S - Packaging and hh goods'!$C$10*'R&amp;S - Packaging and hh goods'!$S10</f>
        <v>#DIV/0!</v>
      </c>
      <c r="AI34" s="60"/>
    </row>
    <row r="35" spans="1:35">
      <c r="A35" s="756"/>
      <c r="B35" s="1" t="s">
        <v>260</v>
      </c>
      <c r="C35" s="54" t="s">
        <v>153</v>
      </c>
      <c r="D35" s="44">
        <f>D39/('Demand Breakdown - Ethylene'!$K$14)</f>
        <v>10.180685222672066</v>
      </c>
      <c r="E35" s="44">
        <f>E39/('Demand Breakdown - Ethylene'!$K$14)</f>
        <v>10.323214815789475</v>
      </c>
      <c r="F35" s="44">
        <f>F39/('Demand Breakdown - Ethylene'!$K$14)</f>
        <v>10.467739823210529</v>
      </c>
      <c r="G35" s="44">
        <f>G39/('Demand Breakdown - Ethylene'!$K$14)</f>
        <v>10.614288180735477</v>
      </c>
      <c r="H35" s="44">
        <f>H39/('Demand Breakdown - Ethylene'!$K$14)</f>
        <v>10.762888215265773</v>
      </c>
      <c r="I35" s="44">
        <f>I39/('Demand Breakdown - Ethylene'!$K$14)</f>
        <v>10.913568650279494</v>
      </c>
      <c r="J35" s="44">
        <f>J39/('Demand Breakdown - Ethylene'!$K$14)</f>
        <v>11.066358611383407</v>
      </c>
      <c r="K35" s="44">
        <f>K39/('Demand Breakdown - Ethylene'!$K$14)</f>
        <v>11.221287631942776</v>
      </c>
      <c r="L35" s="44">
        <f>L39/('Demand Breakdown - Ethylene'!$K$14)</f>
        <v>11.378385658789973</v>
      </c>
      <c r="M35" s="44">
        <f>M39/('Demand Breakdown - Ethylene'!$K$14)</f>
        <v>11.537683058013034</v>
      </c>
      <c r="N35" s="44">
        <f>N39/('Demand Breakdown - Ethylene'!$K$14)</f>
        <v>11.699210620825216</v>
      </c>
      <c r="O35" s="44">
        <f>O39/('Demand Breakdown - Ethylene'!$K$14)</f>
        <v>11.862999569516768</v>
      </c>
      <c r="P35" s="44">
        <f>P39/('Demand Breakdown - Ethylene'!$K$14)</f>
        <v>12.029081563490005</v>
      </c>
      <c r="Q35" s="44">
        <f>Q39/('Demand Breakdown - Ethylene'!$K$14)</f>
        <v>12.197488705378865</v>
      </c>
      <c r="R35" s="44">
        <f>R39/('Demand Breakdown - Ethylene'!$K$14)</f>
        <v>12.368253547254168</v>
      </c>
      <c r="S35" s="44">
        <f>S39/('Demand Breakdown - Ethylene'!$K$14)</f>
        <v>12.541409096915727</v>
      </c>
      <c r="T35" s="44">
        <f>T39/('Demand Breakdown - Ethylene'!$K$14)</f>
        <v>12.716988824272548</v>
      </c>
      <c r="U35" s="44">
        <f>U39/('Demand Breakdown - Ethylene'!$K$14)</f>
        <v>12.895026667812365</v>
      </c>
      <c r="V35" s="44">
        <f>V39/('Demand Breakdown - Ethylene'!$K$14)</f>
        <v>13.075557041161737</v>
      </c>
      <c r="W35" s="44">
        <f>W39/('Demand Breakdown - Ethylene'!$K$14)</f>
        <v>13.258614839738003</v>
      </c>
      <c r="X35" s="44">
        <f>X39/('Demand Breakdown - Ethylene'!$K$14)</f>
        <v>13.444235447494334</v>
      </c>
      <c r="Y35" s="44">
        <f>Y39/('Demand Breakdown - Ethylene'!$K$14)</f>
        <v>13.632454743759256</v>
      </c>
      <c r="Z35" s="44">
        <f>Z39/('Demand Breakdown - Ethylene'!$K$14)</f>
        <v>13.823309110171884</v>
      </c>
      <c r="AA35" s="44">
        <f>AA39/('Demand Breakdown - Ethylene'!$K$14)</f>
        <v>14.016835437714294</v>
      </c>
      <c r="AB35" s="44">
        <f>AB39/('Demand Breakdown - Ethylene'!$K$14)</f>
        <v>14.213071133842291</v>
      </c>
      <c r="AC35" s="44">
        <f>AC39/('Demand Breakdown - Ethylene'!$K$14)</f>
        <v>14.412054129716083</v>
      </c>
      <c r="AD35" s="44">
        <f>AD39/('Demand Breakdown - Ethylene'!$K$14)</f>
        <v>14.613822887532107</v>
      </c>
      <c r="AE35" s="44">
        <f>AE39/('Demand Breakdown - Ethylene'!$K$14)</f>
        <v>14.81841640795756</v>
      </c>
      <c r="AF35" s="44">
        <f>AF39/('Demand Breakdown - Ethylene'!$K$14)</f>
        <v>15.025874237668967</v>
      </c>
      <c r="AG35" s="44">
        <f>AG39/('Demand Breakdown - Ethylene'!$K$14)</f>
        <v>15.236236476996332</v>
      </c>
      <c r="AH35" s="44">
        <f>AH39/('Demand Breakdown - Ethylene'!$K$14)</f>
        <v>15.44954378767428</v>
      </c>
      <c r="AI35" s="44"/>
    </row>
    <row r="36" spans="1:35">
      <c r="A36" s="756"/>
      <c r="B36" s="1" t="s">
        <v>262</v>
      </c>
      <c r="C36" s="54" t="s">
        <v>153</v>
      </c>
      <c r="D36" s="44">
        <f>D38/('Demand Breakdown - Ethylene'!$M$14)</f>
        <v>2.502958579881656</v>
      </c>
      <c r="E36" s="44" t="e">
        <f>E38/('Demand Breakdown - Ethylene'!$M$14)</f>
        <v>#DIV/0!</v>
      </c>
      <c r="F36" s="44" t="e">
        <f>F38/('Demand Breakdown - Ethylene'!$M$14)</f>
        <v>#DIV/0!</v>
      </c>
      <c r="G36" s="44" t="e">
        <f>G38/('Demand Breakdown - Ethylene'!$M$14)</f>
        <v>#DIV/0!</v>
      </c>
      <c r="H36" s="44" t="e">
        <f>H38/('Demand Breakdown - Ethylene'!$M$14)</f>
        <v>#DIV/0!</v>
      </c>
      <c r="I36" s="44" t="e">
        <f>I38/('Demand Breakdown - Ethylene'!$M$14)</f>
        <v>#DIV/0!</v>
      </c>
      <c r="J36" s="44" t="e">
        <f>J38/('Demand Breakdown - Ethylene'!$M$14)</f>
        <v>#DIV/0!</v>
      </c>
      <c r="K36" s="44" t="e">
        <f>K38/('Demand Breakdown - Ethylene'!$M$14)</f>
        <v>#DIV/0!</v>
      </c>
      <c r="L36" s="44" t="e">
        <f>L38/('Demand Breakdown - Ethylene'!$M$14)</f>
        <v>#DIV/0!</v>
      </c>
      <c r="M36" s="44" t="e">
        <f>M38/('Demand Breakdown - Ethylene'!$M$14)</f>
        <v>#DIV/0!</v>
      </c>
      <c r="N36" s="44" t="e">
        <f>N38/('Demand Breakdown - Ethylene'!$M$14)</f>
        <v>#DIV/0!</v>
      </c>
      <c r="O36" s="44" t="e">
        <f>O38/('Demand Breakdown - Ethylene'!$M$14)</f>
        <v>#DIV/0!</v>
      </c>
      <c r="P36" s="44" t="e">
        <f>P38/('Demand Breakdown - Ethylene'!$M$14)</f>
        <v>#DIV/0!</v>
      </c>
      <c r="Q36" s="44" t="e">
        <f>Q38/('Demand Breakdown - Ethylene'!$M$14)</f>
        <v>#DIV/0!</v>
      </c>
      <c r="R36" s="44" t="e">
        <f>R38/('Demand Breakdown - Ethylene'!$M$14)</f>
        <v>#DIV/0!</v>
      </c>
      <c r="S36" s="44" t="e">
        <f>S38/('Demand Breakdown - Ethylene'!$M$14)</f>
        <v>#DIV/0!</v>
      </c>
      <c r="T36" s="44" t="e">
        <f>T38/('Demand Breakdown - Ethylene'!$M$14)</f>
        <v>#DIV/0!</v>
      </c>
      <c r="U36" s="44" t="e">
        <f>U38/('Demand Breakdown - Ethylene'!$M$14)</f>
        <v>#DIV/0!</v>
      </c>
      <c r="V36" s="44" t="e">
        <f>V38/('Demand Breakdown - Ethylene'!$M$14)</f>
        <v>#DIV/0!</v>
      </c>
      <c r="W36" s="44" t="e">
        <f>W38/('Demand Breakdown - Ethylene'!$M$14)</f>
        <v>#DIV/0!</v>
      </c>
      <c r="X36" s="44" t="e">
        <f>X38/('Demand Breakdown - Ethylene'!$M$14)</f>
        <v>#DIV/0!</v>
      </c>
      <c r="Y36" s="44" t="e">
        <f>Y38/('Demand Breakdown - Ethylene'!$M$14)</f>
        <v>#DIV/0!</v>
      </c>
      <c r="Z36" s="44" t="e">
        <f>Z38/('Demand Breakdown - Ethylene'!$M$14)</f>
        <v>#DIV/0!</v>
      </c>
      <c r="AA36" s="44" t="e">
        <f>AA38/('Demand Breakdown - Ethylene'!$M$14)</f>
        <v>#DIV/0!</v>
      </c>
      <c r="AB36" s="44" t="e">
        <f>AB38/('Demand Breakdown - Ethylene'!$M$14)</f>
        <v>#DIV/0!</v>
      </c>
      <c r="AC36" s="44" t="e">
        <f>AC38/('Demand Breakdown - Ethylene'!$M$14)</f>
        <v>#DIV/0!</v>
      </c>
      <c r="AD36" s="44" t="e">
        <f>AD38/('Demand Breakdown - Ethylene'!$M$14)</f>
        <v>#DIV/0!</v>
      </c>
      <c r="AE36" s="44" t="e">
        <f>AE38/('Demand Breakdown - Ethylene'!$M$14)</f>
        <v>#DIV/0!</v>
      </c>
      <c r="AF36" s="44" t="e">
        <f>AF38/('Demand Breakdown - Ethylene'!$M$14)</f>
        <v>#DIV/0!</v>
      </c>
      <c r="AG36" s="44" t="e">
        <f>AG38/('Demand Breakdown - Ethylene'!$M$14)</f>
        <v>#DIV/0!</v>
      </c>
      <c r="AH36" s="44" t="e">
        <f>AH38/('Demand Breakdown - Ethylene'!$M$14)</f>
        <v>#DIV/0!</v>
      </c>
      <c r="AI36" s="44"/>
    </row>
    <row r="37" spans="1:35" s="68" customFormat="1">
      <c r="A37" s="757"/>
      <c r="B37" s="62" t="s">
        <v>248</v>
      </c>
      <c r="C37" s="283" t="s">
        <v>153</v>
      </c>
      <c r="D37" s="284">
        <f>D33-SUM(D35,D34,D36)</f>
        <v>1.516120753234631</v>
      </c>
      <c r="E37" s="284" t="e">
        <f>E33-E34-E35-E36</f>
        <v>#DIV/0!</v>
      </c>
      <c r="F37" s="284" t="e">
        <f t="shared" ref="F37:AH37" si="9">F33-F34-F35-F36</f>
        <v>#DIV/0!</v>
      </c>
      <c r="G37" s="284" t="e">
        <f t="shared" si="9"/>
        <v>#DIV/0!</v>
      </c>
      <c r="H37" s="284" t="e">
        <f t="shared" si="9"/>
        <v>#DIV/0!</v>
      </c>
      <c r="I37" s="284" t="e">
        <f t="shared" si="9"/>
        <v>#DIV/0!</v>
      </c>
      <c r="J37" s="284" t="e">
        <f t="shared" si="9"/>
        <v>#DIV/0!</v>
      </c>
      <c r="K37" s="284" t="e">
        <f t="shared" si="9"/>
        <v>#DIV/0!</v>
      </c>
      <c r="L37" s="284" t="e">
        <f t="shared" si="9"/>
        <v>#DIV/0!</v>
      </c>
      <c r="M37" s="284" t="e">
        <f t="shared" si="9"/>
        <v>#DIV/0!</v>
      </c>
      <c r="N37" s="284" t="e">
        <f t="shared" si="9"/>
        <v>#DIV/0!</v>
      </c>
      <c r="O37" s="284" t="e">
        <f t="shared" si="9"/>
        <v>#DIV/0!</v>
      </c>
      <c r="P37" s="284" t="e">
        <f t="shared" si="9"/>
        <v>#DIV/0!</v>
      </c>
      <c r="Q37" s="284" t="e">
        <f t="shared" si="9"/>
        <v>#DIV/0!</v>
      </c>
      <c r="R37" s="284" t="e">
        <f t="shared" si="9"/>
        <v>#DIV/0!</v>
      </c>
      <c r="S37" s="284" t="e">
        <f t="shared" si="9"/>
        <v>#DIV/0!</v>
      </c>
      <c r="T37" s="284" t="e">
        <f t="shared" si="9"/>
        <v>#DIV/0!</v>
      </c>
      <c r="U37" s="284" t="e">
        <f t="shared" si="9"/>
        <v>#DIV/0!</v>
      </c>
      <c r="V37" s="284" t="e">
        <f t="shared" si="9"/>
        <v>#DIV/0!</v>
      </c>
      <c r="W37" s="284" t="e">
        <f t="shared" si="9"/>
        <v>#DIV/0!</v>
      </c>
      <c r="X37" s="284" t="e">
        <f t="shared" si="9"/>
        <v>#DIV/0!</v>
      </c>
      <c r="Y37" s="284" t="e">
        <f t="shared" si="9"/>
        <v>#DIV/0!</v>
      </c>
      <c r="Z37" s="284" t="e">
        <f t="shared" si="9"/>
        <v>#DIV/0!</v>
      </c>
      <c r="AA37" s="284" t="e">
        <f t="shared" si="9"/>
        <v>#DIV/0!</v>
      </c>
      <c r="AB37" s="284" t="e">
        <f t="shared" si="9"/>
        <v>#DIV/0!</v>
      </c>
      <c r="AC37" s="284" t="e">
        <f t="shared" si="9"/>
        <v>#DIV/0!</v>
      </c>
      <c r="AD37" s="284" t="e">
        <f t="shared" si="9"/>
        <v>#DIV/0!</v>
      </c>
      <c r="AE37" s="284" t="e">
        <f t="shared" si="9"/>
        <v>#DIV/0!</v>
      </c>
      <c r="AF37" s="284" t="e">
        <f t="shared" si="9"/>
        <v>#DIV/0!</v>
      </c>
      <c r="AG37" s="284" t="e">
        <f t="shared" si="9"/>
        <v>#DIV/0!</v>
      </c>
      <c r="AH37" s="284" t="e">
        <f t="shared" si="9"/>
        <v>#DIV/0!</v>
      </c>
      <c r="AI37" s="284"/>
    </row>
    <row r="38" spans="1:35" s="67" customFormat="1">
      <c r="A38" s="755" t="s">
        <v>263</v>
      </c>
      <c r="B38" s="58" t="s">
        <v>264</v>
      </c>
      <c r="C38" s="59" t="s">
        <v>153</v>
      </c>
      <c r="D38" s="60">
        <f>D33*'Demand Breakdown - Ethylene'!$E$73</f>
        <v>2.4028402366863899</v>
      </c>
      <c r="E38" s="60" t="e">
        <f>E26*'Demand Breakdown - Ethylene'!$E$73-E$27/'R&amp;S - Packaging and hh goods'!$C$7*'R&amp;S - Packaging and hh goods'!$U9-E$28/'R&amp;S - Packaging and hh goods'!$C$8*'R&amp;S - Packaging and hh goods'!$U10-E$30/'R&amp;S - Packaging and hh goods'!$C$9*'R&amp;S - Packaging and hh goods'!$U11-E$31/'R&amp;S - Packaging and hh goods'!$C$10*'R&amp;S - Packaging and hh goods'!$U12</f>
        <v>#DIV/0!</v>
      </c>
      <c r="F38" s="60" t="e">
        <f>F26*'Demand Breakdown - Ethylene'!$E$73-F$27/'R&amp;S - Packaging and hh goods'!$C$7*'R&amp;S - Packaging and hh goods'!$U9-F$28/'R&amp;S - Packaging and hh goods'!$C$8*'R&amp;S - Packaging and hh goods'!$U10-F$30/'R&amp;S - Packaging and hh goods'!$C$9*'R&amp;S - Packaging and hh goods'!$U11-F$31/'R&amp;S - Packaging and hh goods'!$C$10*'R&amp;S - Packaging and hh goods'!$U12</f>
        <v>#DIV/0!</v>
      </c>
      <c r="G38" s="60" t="e">
        <f>G26*'Demand Breakdown - Ethylene'!$E$73-G$27/'R&amp;S - Packaging and hh goods'!$C$7*'R&amp;S - Packaging and hh goods'!$U9-G$28/'R&amp;S - Packaging and hh goods'!$C$8*'R&amp;S - Packaging and hh goods'!$U10-G$30/'R&amp;S - Packaging and hh goods'!$C$9*'R&amp;S - Packaging and hh goods'!$U11-G$31/'R&amp;S - Packaging and hh goods'!$C$10*'R&amp;S - Packaging and hh goods'!$U12</f>
        <v>#DIV/0!</v>
      </c>
      <c r="H38" s="60" t="e">
        <f>H26*'Demand Breakdown - Ethylene'!$E$73-H$27/'R&amp;S - Packaging and hh goods'!$C$7*'R&amp;S - Packaging and hh goods'!$U9-H$28/'R&amp;S - Packaging and hh goods'!$C$8*'R&amp;S - Packaging and hh goods'!$U10-H$30/'R&amp;S - Packaging and hh goods'!$C$9*'R&amp;S - Packaging and hh goods'!$U11-H$31/'R&amp;S - Packaging and hh goods'!$C$10*'R&amp;S - Packaging and hh goods'!$U12</f>
        <v>#DIV/0!</v>
      </c>
      <c r="I38" s="60" t="e">
        <f>I26*'Demand Breakdown - Ethylene'!$E$73-I$27/'R&amp;S - Packaging and hh goods'!$C$7*'R&amp;S - Packaging and hh goods'!$U9-I$28/'R&amp;S - Packaging and hh goods'!$C$8*'R&amp;S - Packaging and hh goods'!$U10-I$30/'R&amp;S - Packaging and hh goods'!$C$9*'R&amp;S - Packaging and hh goods'!$U11-I$31/'R&amp;S - Packaging and hh goods'!$C$10*'R&amp;S - Packaging and hh goods'!$U12</f>
        <v>#DIV/0!</v>
      </c>
      <c r="J38" s="60" t="e">
        <f>J26*'Demand Breakdown - Ethylene'!$E$73-J$27/'R&amp;S - Packaging and hh goods'!$C$7*'R&amp;S - Packaging and hh goods'!$U9-J$28/'R&amp;S - Packaging and hh goods'!$C$8*'R&amp;S - Packaging and hh goods'!$U10-J$30/'R&amp;S - Packaging and hh goods'!$C$9*'R&amp;S - Packaging and hh goods'!$U11-J$31/'R&amp;S - Packaging and hh goods'!$C$10*'R&amp;S - Packaging and hh goods'!$U12</f>
        <v>#DIV/0!</v>
      </c>
      <c r="K38" s="60" t="e">
        <f>K26*'Demand Breakdown - Ethylene'!$E$73-K$27/'R&amp;S - Packaging and hh goods'!$C$7*'R&amp;S - Packaging and hh goods'!$U9-K$28/'R&amp;S - Packaging and hh goods'!$C$8*'R&amp;S - Packaging and hh goods'!$U10-K$30/'R&amp;S - Packaging and hh goods'!$C$9*'R&amp;S - Packaging and hh goods'!$U11-K$31/'R&amp;S - Packaging and hh goods'!$C$10*'R&amp;S - Packaging and hh goods'!$U12</f>
        <v>#DIV/0!</v>
      </c>
      <c r="L38" s="60" t="e">
        <f>L26*'Demand Breakdown - Ethylene'!$E$73-L$27/'R&amp;S - Packaging and hh goods'!$C$7*'R&amp;S - Packaging and hh goods'!$U9-L$28/'R&amp;S - Packaging and hh goods'!$C$8*'R&amp;S - Packaging and hh goods'!$U10-L$30/'R&amp;S - Packaging and hh goods'!$C$9*'R&amp;S - Packaging and hh goods'!$U11-L$31/'R&amp;S - Packaging and hh goods'!$C$10*'R&amp;S - Packaging and hh goods'!$U12</f>
        <v>#DIV/0!</v>
      </c>
      <c r="M38" s="60" t="e">
        <f>M26*'Demand Breakdown - Ethylene'!$E$73-M$27/'R&amp;S - Packaging and hh goods'!$C$7*'R&amp;S - Packaging and hh goods'!$U9-M$28/'R&amp;S - Packaging and hh goods'!$C$8*'R&amp;S - Packaging and hh goods'!$U10-M$30/'R&amp;S - Packaging and hh goods'!$C$9*'R&amp;S - Packaging and hh goods'!$U11-M$31/'R&amp;S - Packaging and hh goods'!$C$10*'R&amp;S - Packaging and hh goods'!$U12</f>
        <v>#DIV/0!</v>
      </c>
      <c r="N38" s="60" t="e">
        <f>N26*'Demand Breakdown - Ethylene'!$E$73-N$27/'R&amp;S - Packaging and hh goods'!$C$7*'R&amp;S - Packaging and hh goods'!$U9-N$28/'R&amp;S - Packaging and hh goods'!$C$8*'R&amp;S - Packaging and hh goods'!$U10-N$30/'R&amp;S - Packaging and hh goods'!$C$9*'R&amp;S - Packaging and hh goods'!$U11-N$31/'R&amp;S - Packaging and hh goods'!$C$10*'R&amp;S - Packaging and hh goods'!$U12</f>
        <v>#DIV/0!</v>
      </c>
      <c r="O38" s="60" t="e">
        <f>O26*'Demand Breakdown - Ethylene'!$E$73-O$27/'R&amp;S - Packaging and hh goods'!$C$7*'R&amp;S - Packaging and hh goods'!$U9-O$28/'R&amp;S - Packaging and hh goods'!$C$8*'R&amp;S - Packaging and hh goods'!$U10-O$30/'R&amp;S - Packaging and hh goods'!$C$9*'R&amp;S - Packaging and hh goods'!$U11-O$31/'R&amp;S - Packaging and hh goods'!$C$10*'R&amp;S - Packaging and hh goods'!$U12</f>
        <v>#DIV/0!</v>
      </c>
      <c r="P38" s="60" t="e">
        <f>P26*'Demand Breakdown - Ethylene'!$E$73-P$27/'R&amp;S - Packaging and hh goods'!$C$7*'R&amp;S - Packaging and hh goods'!$U9-P$28/'R&amp;S - Packaging and hh goods'!$C$8*'R&amp;S - Packaging and hh goods'!$U10-P$30/'R&amp;S - Packaging and hh goods'!$C$9*'R&amp;S - Packaging and hh goods'!$U11-P$31/'R&amp;S - Packaging and hh goods'!$C$10*'R&amp;S - Packaging and hh goods'!$U12</f>
        <v>#DIV/0!</v>
      </c>
      <c r="Q38" s="60" t="e">
        <f>Q26*'Demand Breakdown - Ethylene'!$E$73-Q$27/'R&amp;S - Packaging and hh goods'!$C$7*'R&amp;S - Packaging and hh goods'!$U9-Q$28/'R&amp;S - Packaging and hh goods'!$C$8*'R&amp;S - Packaging and hh goods'!$U10-Q$30/'R&amp;S - Packaging and hh goods'!$C$9*'R&amp;S - Packaging and hh goods'!$U11-Q$31/'R&amp;S - Packaging and hh goods'!$C$10*'R&amp;S - Packaging and hh goods'!$U12</f>
        <v>#DIV/0!</v>
      </c>
      <c r="R38" s="60" t="e">
        <f>R26*'Demand Breakdown - Ethylene'!$E$73-R$27/'R&amp;S - Packaging and hh goods'!$C$7*'R&amp;S - Packaging and hh goods'!$U9-R$28/'R&amp;S - Packaging and hh goods'!$C$8*'R&amp;S - Packaging and hh goods'!$U10-R$30/'R&amp;S - Packaging and hh goods'!$C$9*'R&amp;S - Packaging and hh goods'!$U11-R$31/'R&amp;S - Packaging and hh goods'!$C$10*'R&amp;S - Packaging and hh goods'!$U12</f>
        <v>#DIV/0!</v>
      </c>
      <c r="S38" s="60" t="e">
        <f>S26*'Demand Breakdown - Ethylene'!$E$73-S$27/'R&amp;S - Packaging and hh goods'!$C$7*'R&amp;S - Packaging and hh goods'!$U9-S$28/'R&amp;S - Packaging and hh goods'!$C$8*'R&amp;S - Packaging and hh goods'!$U10-S$30/'R&amp;S - Packaging and hh goods'!$C$9*'R&amp;S - Packaging and hh goods'!$U11-S$31/'R&amp;S - Packaging and hh goods'!$C$10*'R&amp;S - Packaging and hh goods'!$U12</f>
        <v>#DIV/0!</v>
      </c>
      <c r="T38" s="60" t="e">
        <f>T26*'Demand Breakdown - Ethylene'!$E$73-T$27/'R&amp;S - Packaging and hh goods'!$C$7*'R&amp;S - Packaging and hh goods'!$U9-T$28/'R&amp;S - Packaging and hh goods'!$C$8*'R&amp;S - Packaging and hh goods'!$U10-T$30/'R&amp;S - Packaging and hh goods'!$C$9*'R&amp;S - Packaging and hh goods'!$U11-T$31/'R&amp;S - Packaging and hh goods'!$C$10*'R&amp;S - Packaging and hh goods'!$U12</f>
        <v>#DIV/0!</v>
      </c>
      <c r="U38" s="60" t="e">
        <f>U26*'Demand Breakdown - Ethylene'!$E$73-U$27/'R&amp;S - Packaging and hh goods'!$C$7*'R&amp;S - Packaging and hh goods'!$U9-U$28/'R&amp;S - Packaging and hh goods'!$C$8*'R&amp;S - Packaging and hh goods'!$U10-U$30/'R&amp;S - Packaging and hh goods'!$C$9*'R&amp;S - Packaging and hh goods'!$U11-U$31/'R&amp;S - Packaging and hh goods'!$C$10*'R&amp;S - Packaging and hh goods'!$U12</f>
        <v>#DIV/0!</v>
      </c>
      <c r="V38" s="60" t="e">
        <f>V26*'Demand Breakdown - Ethylene'!$E$73-V$27/'R&amp;S - Packaging and hh goods'!$C$7*'R&amp;S - Packaging and hh goods'!$U9-V$28/'R&amp;S - Packaging and hh goods'!$C$8*'R&amp;S - Packaging and hh goods'!$U10-V$30/'R&amp;S - Packaging and hh goods'!$C$9*'R&amp;S - Packaging and hh goods'!$U11-V$31/'R&amp;S - Packaging and hh goods'!$C$10*'R&amp;S - Packaging and hh goods'!$U12</f>
        <v>#DIV/0!</v>
      </c>
      <c r="W38" s="60" t="e">
        <f>W26*'Demand Breakdown - Ethylene'!$E$73-W$27/'R&amp;S - Packaging and hh goods'!$C$7*'R&amp;S - Packaging and hh goods'!$U9-W$28/'R&amp;S - Packaging and hh goods'!$C$8*'R&amp;S - Packaging and hh goods'!$U10-W$30/'R&amp;S - Packaging and hh goods'!$C$9*'R&amp;S - Packaging and hh goods'!$U11-W$31/'R&amp;S - Packaging and hh goods'!$C$10*'R&amp;S - Packaging and hh goods'!$U12</f>
        <v>#DIV/0!</v>
      </c>
      <c r="X38" s="60" t="e">
        <f>X26*'Demand Breakdown - Ethylene'!$E$73-X$27/'R&amp;S - Packaging and hh goods'!$C$7*'R&amp;S - Packaging and hh goods'!$U9-X$28/'R&amp;S - Packaging and hh goods'!$C$8*'R&amp;S - Packaging and hh goods'!$U10-X$30/'R&amp;S - Packaging and hh goods'!$C$9*'R&amp;S - Packaging and hh goods'!$U11-X$31/'R&amp;S - Packaging and hh goods'!$C$10*'R&amp;S - Packaging and hh goods'!$U12</f>
        <v>#DIV/0!</v>
      </c>
      <c r="Y38" s="60" t="e">
        <f>Y26*'Demand Breakdown - Ethylene'!$E$73-Y$27/'R&amp;S - Packaging and hh goods'!$C$7*'R&amp;S - Packaging and hh goods'!$U9-Y$28/'R&amp;S - Packaging and hh goods'!$C$8*'R&amp;S - Packaging and hh goods'!$U10-Y$30/'R&amp;S - Packaging and hh goods'!$C$9*'R&amp;S - Packaging and hh goods'!$U11-Y$31/'R&amp;S - Packaging and hh goods'!$C$10*'R&amp;S - Packaging and hh goods'!$U12</f>
        <v>#DIV/0!</v>
      </c>
      <c r="Z38" s="60" t="e">
        <f>Z26*'Demand Breakdown - Ethylene'!$E$73-Z$27/'R&amp;S - Packaging and hh goods'!$C$7*'R&amp;S - Packaging and hh goods'!$U9-Z$28/'R&amp;S - Packaging and hh goods'!$C$8*'R&amp;S - Packaging and hh goods'!$U10-Z$30/'R&amp;S - Packaging and hh goods'!$C$9*'R&amp;S - Packaging and hh goods'!$U11-Z$31/'R&amp;S - Packaging and hh goods'!$C$10*'R&amp;S - Packaging and hh goods'!$U12</f>
        <v>#DIV/0!</v>
      </c>
      <c r="AA38" s="60" t="e">
        <f>AA26*'Demand Breakdown - Ethylene'!$E$73-AA$27/'R&amp;S - Packaging and hh goods'!$C$7*'R&amp;S - Packaging and hh goods'!$U9-AA$28/'R&amp;S - Packaging and hh goods'!$C$8*'R&amp;S - Packaging and hh goods'!$U10-AA$30/'R&amp;S - Packaging and hh goods'!$C$9*'R&amp;S - Packaging and hh goods'!$U11-AA$31/'R&amp;S - Packaging and hh goods'!$C$10*'R&amp;S - Packaging and hh goods'!$U12</f>
        <v>#DIV/0!</v>
      </c>
      <c r="AB38" s="60" t="e">
        <f>AB26*'Demand Breakdown - Ethylene'!$E$73-AB$27/'R&amp;S - Packaging and hh goods'!$C$7*'R&amp;S - Packaging and hh goods'!$U9-AB$28/'R&amp;S - Packaging and hh goods'!$C$8*'R&amp;S - Packaging and hh goods'!$U10-AB$30/'R&amp;S - Packaging and hh goods'!$C$9*'R&amp;S - Packaging and hh goods'!$U11-AB$31/'R&amp;S - Packaging and hh goods'!$C$10*'R&amp;S - Packaging and hh goods'!$U12</f>
        <v>#DIV/0!</v>
      </c>
      <c r="AC38" s="60" t="e">
        <f>AC26*'Demand Breakdown - Ethylene'!$E$73-AC$27/'R&amp;S - Packaging and hh goods'!$C$7*'R&amp;S - Packaging and hh goods'!$U9-AC$28/'R&amp;S - Packaging and hh goods'!$C$8*'R&amp;S - Packaging and hh goods'!$U10-AC$30/'R&amp;S - Packaging and hh goods'!$C$9*'R&amp;S - Packaging and hh goods'!$U11-AC$31/'R&amp;S - Packaging and hh goods'!$C$10*'R&amp;S - Packaging and hh goods'!$U12</f>
        <v>#DIV/0!</v>
      </c>
      <c r="AD38" s="60" t="e">
        <f>AD26*'Demand Breakdown - Ethylene'!$E$73-AD$27/'R&amp;S - Packaging and hh goods'!$C$7*'R&amp;S - Packaging and hh goods'!$U9-AD$28/'R&amp;S - Packaging and hh goods'!$C$8*'R&amp;S - Packaging and hh goods'!$U10-AD$30/'R&amp;S - Packaging and hh goods'!$C$9*'R&amp;S - Packaging and hh goods'!$U11-AD$31/'R&amp;S - Packaging and hh goods'!$C$10*'R&amp;S - Packaging and hh goods'!$U12</f>
        <v>#DIV/0!</v>
      </c>
      <c r="AE38" s="60" t="e">
        <f>AE26*'Demand Breakdown - Ethylene'!$E$73-AE$27/'R&amp;S - Packaging and hh goods'!$C$7*'R&amp;S - Packaging and hh goods'!$U9-AE$28/'R&amp;S - Packaging and hh goods'!$C$8*'R&amp;S - Packaging and hh goods'!$U10-AE$30/'R&amp;S - Packaging and hh goods'!$C$9*'R&amp;S - Packaging and hh goods'!$U11-AE$31/'R&amp;S - Packaging and hh goods'!$C$10*'R&amp;S - Packaging and hh goods'!$U12</f>
        <v>#DIV/0!</v>
      </c>
      <c r="AF38" s="60" t="e">
        <f>AF26*'Demand Breakdown - Ethylene'!$E$73-AF$27/'R&amp;S - Packaging and hh goods'!$C$7*'R&amp;S - Packaging and hh goods'!$U9-AF$28/'R&amp;S - Packaging and hh goods'!$C$8*'R&amp;S - Packaging and hh goods'!$U10-AF$30/'R&amp;S - Packaging and hh goods'!$C$9*'R&amp;S - Packaging and hh goods'!$U11-AF$31/'R&amp;S - Packaging and hh goods'!$C$10*'R&amp;S - Packaging and hh goods'!$U12</f>
        <v>#DIV/0!</v>
      </c>
      <c r="AG38" s="60" t="e">
        <f>AG26*'Demand Breakdown - Ethylene'!$E$73-AG$27/'R&amp;S - Packaging and hh goods'!$C$7*'R&amp;S - Packaging and hh goods'!$U9-AG$28/'R&amp;S - Packaging and hh goods'!$C$8*'R&amp;S - Packaging and hh goods'!$U10-AG$30/'R&amp;S - Packaging and hh goods'!$C$9*'R&amp;S - Packaging and hh goods'!$U11-AG$31/'R&amp;S - Packaging and hh goods'!$C$10*'R&amp;S - Packaging and hh goods'!$U12</f>
        <v>#DIV/0!</v>
      </c>
      <c r="AH38" s="60" t="e">
        <f>AH26*'Demand Breakdown - Ethylene'!$E$73-AH$27/'R&amp;S - Packaging and hh goods'!$C$7*'R&amp;S - Packaging and hh goods'!$U9-AH$28/'R&amp;S - Packaging and hh goods'!$C$8*'R&amp;S - Packaging and hh goods'!$U10-AH$30/'R&amp;S - Packaging and hh goods'!$C$9*'R&amp;S - Packaging and hh goods'!$U11-AH$31/'R&amp;S - Packaging and hh goods'!$C$10*'R&amp;S - Packaging and hh goods'!$U12</f>
        <v>#DIV/0!</v>
      </c>
      <c r="AI38" s="60"/>
    </row>
    <row r="39" spans="1:35" s="68" customFormat="1">
      <c r="A39" s="757"/>
      <c r="B39" s="62" t="s">
        <v>266</v>
      </c>
      <c r="C39" s="283" t="s">
        <v>153</v>
      </c>
      <c r="D39" s="284">
        <f>D33*'Demand Breakdown - Ethylene'!$D$73/'Demand Breakdown - Ethylene'!$L$24</f>
        <v>6.2246933198380567</v>
      </c>
      <c r="E39" s="284">
        <f>E33*'Demand Breakdown - Ethylene'!$D$73/'Demand Breakdown - Ethylene'!$L$24</f>
        <v>6.3118390263157895</v>
      </c>
      <c r="F39" s="284">
        <f>F33*'Demand Breakdown - Ethylene'!$D$73/'Demand Breakdown - Ethylene'!$L$24</f>
        <v>6.4002047726842113</v>
      </c>
      <c r="G39" s="284">
        <f>G33*'Demand Breakdown - Ethylene'!$D$73/'Demand Breakdown - Ethylene'!$L$24</f>
        <v>6.4898076395017901</v>
      </c>
      <c r="H39" s="284">
        <f>H33*'Demand Breakdown - Ethylene'!$D$73/'Demand Breakdown - Ethylene'!$L$24</f>
        <v>6.5806649464548155</v>
      </c>
      <c r="I39" s="284">
        <f>I33*'Demand Breakdown - Ethylene'!$D$73/'Demand Breakdown - Ethylene'!$L$24</f>
        <v>6.6727942557051829</v>
      </c>
      <c r="J39" s="284">
        <f>J33*'Demand Breakdown - Ethylene'!$D$73/'Demand Breakdown - Ethylene'!$L$24</f>
        <v>6.7662133752850551</v>
      </c>
      <c r="K39" s="284">
        <f>K33*'Demand Breakdown - Ethylene'!$D$73/'Demand Breakdown - Ethylene'!$L$24</f>
        <v>6.860940362539047</v>
      </c>
      <c r="L39" s="284">
        <f>L33*'Demand Breakdown - Ethylene'!$D$73/'Demand Breakdown - Ethylene'!$L$24</f>
        <v>6.9569935276145927</v>
      </c>
      <c r="M39" s="284">
        <f>M33*'Demand Breakdown - Ethylene'!$D$73/'Demand Breakdown - Ethylene'!$L$24</f>
        <v>7.0543914370011978</v>
      </c>
      <c r="N39" s="284">
        <f>N33*'Demand Breakdown - Ethylene'!$D$73/'Demand Breakdown - Ethylene'!$L$24</f>
        <v>7.1531529171192139</v>
      </c>
      <c r="O39" s="284">
        <f>O33*'Demand Breakdown - Ethylene'!$D$73/'Demand Breakdown - Ethylene'!$L$24</f>
        <v>7.2532970579588829</v>
      </c>
      <c r="P39" s="284">
        <f>P33*'Demand Breakdown - Ethylene'!$D$73/'Demand Breakdown - Ethylene'!$L$24</f>
        <v>7.3548432167703082</v>
      </c>
      <c r="Q39" s="284">
        <f>Q33*'Demand Breakdown - Ethylene'!$D$73/'Demand Breakdown - Ethylene'!$L$24</f>
        <v>7.4578110218050924</v>
      </c>
      <c r="R39" s="284">
        <f>R33*'Demand Breakdown - Ethylene'!$D$73/'Demand Breakdown - Ethylene'!$L$24</f>
        <v>7.5622203761103632</v>
      </c>
      <c r="S39" s="284">
        <f>S33*'Demand Breakdown - Ethylene'!$D$73/'Demand Breakdown - Ethylene'!$L$24</f>
        <v>7.6680914613759086</v>
      </c>
      <c r="T39" s="284">
        <f>T33*'Demand Breakdown - Ethylene'!$D$73/'Demand Breakdown - Ethylene'!$L$24</f>
        <v>7.7754447418351722</v>
      </c>
      <c r="U39" s="284">
        <f>U33*'Demand Breakdown - Ethylene'!$D$73/'Demand Breakdown - Ethylene'!$L$24</f>
        <v>7.8843009682208649</v>
      </c>
      <c r="V39" s="284">
        <f>V33*'Demand Breakdown - Ethylene'!$D$73/'Demand Breakdown - Ethylene'!$L$24</f>
        <v>7.9946811817759569</v>
      </c>
      <c r="W39" s="284">
        <f>W33*'Demand Breakdown - Ethylene'!$D$73/'Demand Breakdown - Ethylene'!$L$24</f>
        <v>8.1066067183208208</v>
      </c>
      <c r="X39" s="284">
        <f>X33*'Demand Breakdown - Ethylene'!$D$73/'Demand Breakdown - Ethylene'!$L$24</f>
        <v>8.2200992123773116</v>
      </c>
      <c r="Y39" s="284">
        <f>Y33*'Demand Breakdown - Ethylene'!$D$73/'Demand Breakdown - Ethylene'!$L$24</f>
        <v>8.3351806013505954</v>
      </c>
      <c r="Z39" s="284">
        <f>Z33*'Demand Breakdown - Ethylene'!$D$73/'Demand Breakdown - Ethylene'!$L$24</f>
        <v>8.4518731297695027</v>
      </c>
      <c r="AA39" s="284">
        <f>AA33*'Demand Breakdown - Ethylene'!$D$73/'Demand Breakdown - Ethylene'!$L$24</f>
        <v>8.5701993535862773</v>
      </c>
      <c r="AB39" s="284">
        <f>AB33*'Demand Breakdown - Ethylene'!$D$73/'Demand Breakdown - Ethylene'!$L$24</f>
        <v>8.6901821445364842</v>
      </c>
      <c r="AC39" s="284">
        <f>AC33*'Demand Breakdown - Ethylene'!$D$73/'Demand Breakdown - Ethylene'!$L$24</f>
        <v>8.8118446945599942</v>
      </c>
      <c r="AD39" s="284">
        <f>AD33*'Demand Breakdown - Ethylene'!$D$73/'Demand Breakdown - Ethylene'!$L$24</f>
        <v>8.9352105202838334</v>
      </c>
      <c r="AE39" s="284">
        <f>AE33*'Demand Breakdown - Ethylene'!$D$73/'Demand Breakdown - Ethylene'!$L$24</f>
        <v>9.0603034675678096</v>
      </c>
      <c r="AF39" s="284">
        <f>AF33*'Demand Breakdown - Ethylene'!$D$73/'Demand Breakdown - Ethylene'!$L$24</f>
        <v>9.1871477161137598</v>
      </c>
      <c r="AG39" s="284">
        <f>AG33*'Demand Breakdown - Ethylene'!$D$73/'Demand Breakdown - Ethylene'!$L$24</f>
        <v>9.3157677841393518</v>
      </c>
      <c r="AH39" s="284">
        <f>AH33*'Demand Breakdown - Ethylene'!$D$73/'Demand Breakdown - Ethylene'!$L$24</f>
        <v>9.4461885331173026</v>
      </c>
      <c r="AI39" s="284"/>
    </row>
    <row r="40" spans="1:35" s="67" customFormat="1">
      <c r="A40" s="58" t="s">
        <v>204</v>
      </c>
      <c r="B40" s="58" t="s">
        <v>199</v>
      </c>
      <c r="C40" s="59" t="s">
        <v>153</v>
      </c>
      <c r="D40" s="60">
        <f>'R&amp;S - Buildings'!J4</f>
        <v>34.871127768537121</v>
      </c>
      <c r="E40" s="60">
        <f>D40*(1+'R&amp;S - Buildings'!$C$5)</f>
        <v>35.463936940602252</v>
      </c>
      <c r="F40" s="60">
        <f>E40*(1+'R&amp;S - Buildings'!$C$5)</f>
        <v>36.066823868592486</v>
      </c>
      <c r="G40" s="60">
        <f>F40*(1+'R&amp;S - Buildings'!$C$5)</f>
        <v>36.679959874358552</v>
      </c>
      <c r="H40" s="60">
        <f>G40*(1+'R&amp;S - Buildings'!$C$5)</f>
        <v>37.303519192222645</v>
      </c>
      <c r="I40" s="60">
        <f>H40*(1+'R&amp;S - Buildings'!$C$5)</f>
        <v>37.937679018490428</v>
      </c>
      <c r="J40" s="60">
        <f>I40*(1+'R&amp;S - Buildings'!$C$5)</f>
        <v>38.582619561804762</v>
      </c>
      <c r="K40" s="60">
        <f>J40*(1+'R&amp;S - Buildings'!$C$5)</f>
        <v>39.238524094355441</v>
      </c>
      <c r="L40" s="60">
        <f>K40*(1+'R&amp;S - Buildings'!$C$5)</f>
        <v>39.905579003959481</v>
      </c>
      <c r="M40" s="60">
        <f>L40*(1+'R&amp;S - Buildings'!$C$5)</f>
        <v>40.58397384702679</v>
      </c>
      <c r="N40" s="60">
        <f>M40*(1+'R&amp;S - Buildings'!$C$5)</f>
        <v>41.27390140242624</v>
      </c>
      <c r="O40" s="60">
        <f>N40*(1+'R&amp;S - Buildings'!$C$5)</f>
        <v>41.975557726267482</v>
      </c>
      <c r="P40" s="60">
        <f>O40*(1+'R&amp;S - Buildings'!$C$5)</f>
        <v>42.689142207614026</v>
      </c>
      <c r="Q40" s="60">
        <f>P40*(1+'R&amp;S - Buildings'!$C$5)</f>
        <v>43.414857625143462</v>
      </c>
      <c r="R40" s="60">
        <f>Q40*(1+'R&amp;S - Buildings'!$C$5)</f>
        <v>44.152910204770897</v>
      </c>
      <c r="S40" s="60">
        <f>R40*(1+'R&amp;S - Buildings'!$C$5)</f>
        <v>44.903509678252</v>
      </c>
      <c r="T40" s="60">
        <f>S40*(1+'R&amp;S - Buildings'!$C$5)</f>
        <v>45.666869342782277</v>
      </c>
      <c r="U40" s="60">
        <f>T40*(1+'R&amp;S - Buildings'!$C$5)</f>
        <v>46.44320612160957</v>
      </c>
      <c r="V40" s="60">
        <f>U40*(1+'R&amp;S - Buildings'!$C$5)</f>
        <v>47.232740625676925</v>
      </c>
      <c r="W40" s="60">
        <f>V40*(1+'R&amp;S - Buildings'!$C$5)</f>
        <v>48.03569721631343</v>
      </c>
      <c r="X40" s="60">
        <f>W40*(1+'R&amp;S - Buildings'!$C$5)</f>
        <v>48.852304068990755</v>
      </c>
      <c r="Y40" s="60">
        <f>X40*(1+'R&amp;S - Buildings'!$C$5)</f>
        <v>49.68279323816359</v>
      </c>
      <c r="Z40" s="60">
        <f>Y40*(1+'R&amp;S - Buildings'!$C$5)</f>
        <v>50.527400723212367</v>
      </c>
      <c r="AA40" s="60">
        <f>Z40*(1+'R&amp;S - Buildings'!$C$5)</f>
        <v>51.386366535506973</v>
      </c>
      <c r="AB40" s="60">
        <f>AA40*(1+'R&amp;S - Buildings'!$C$5)</f>
        <v>52.259934766610584</v>
      </c>
      <c r="AC40" s="60">
        <f>AB40*(1+'R&amp;S - Buildings'!$C$5)</f>
        <v>53.148353657642957</v>
      </c>
      <c r="AD40" s="60">
        <f>AC40*(1+'R&amp;S - Buildings'!$C$5)</f>
        <v>54.051875669822884</v>
      </c>
      <c r="AE40" s="60">
        <f>AD40*(1+'R&amp;S - Buildings'!$C$5)</f>
        <v>54.970757556209868</v>
      </c>
      <c r="AF40" s="60">
        <f>AE40*(1+'R&amp;S - Buildings'!$C$5)</f>
        <v>55.905260434665429</v>
      </c>
      <c r="AG40" s="60">
        <f>AF40*(1+'R&amp;S - Buildings'!$C$5)</f>
        <v>56.855649862054733</v>
      </c>
      <c r="AH40" s="60">
        <f>AG40*(1+'R&amp;S - Buildings'!$C$5)</f>
        <v>57.822195909709656</v>
      </c>
    </row>
    <row r="41" spans="1:35" outlineLevel="1">
      <c r="B41" s="1" t="s">
        <v>168</v>
      </c>
      <c r="C41" s="54" t="s">
        <v>153</v>
      </c>
      <c r="D41">
        <v>0</v>
      </c>
      <c r="E41" s="43">
        <f>E40*'R&amp;S - Buildings'!$C$7*'R&amp;S - Buildings'!$B$12*'R&amp;S - Buildings'!$B$15*('Yearly LC Ethylene'!E$3-'Yearly LC Ethylene'!$D$3)/10</f>
        <v>0</v>
      </c>
      <c r="F41" s="43">
        <f>F40*'R&amp;S - Buildings'!$C$7*'R&amp;S - Buildings'!$B$12*'R&amp;S - Buildings'!$B$15*('Yearly LC Ethylene'!F$3-'Yearly LC Ethylene'!$D$3)/10</f>
        <v>0</v>
      </c>
      <c r="G41" s="43">
        <f>G40*'R&amp;S - Buildings'!$C$7*'R&amp;S - Buildings'!$B$12*'R&amp;S - Buildings'!$B$15*('Yearly LC Ethylene'!G$3-'Yearly LC Ethylene'!$D$3)/10</f>
        <v>0</v>
      </c>
      <c r="H41" s="43">
        <f>H40*'R&amp;S - Buildings'!$C$7*'R&amp;S - Buildings'!$B$12*'R&amp;S - Buildings'!$B$15*('Yearly LC Ethylene'!H$3-'Yearly LC Ethylene'!$D$3)/10</f>
        <v>0</v>
      </c>
      <c r="I41" s="43">
        <f>I40*'R&amp;S - Buildings'!$C$7*'R&amp;S - Buildings'!$B$12*'R&amp;S - Buildings'!$B$15*('Yearly LC Ethylene'!I$3-'Yearly LC Ethylene'!$D$3)/10</f>
        <v>0</v>
      </c>
      <c r="J41" s="43">
        <f>J40*'R&amp;S - Buildings'!$C$7*'R&amp;S - Buildings'!$B$12*'R&amp;S - Buildings'!$B$15*('Yearly LC Ethylene'!J$3-'Yearly LC Ethylene'!$D$3)/10</f>
        <v>0</v>
      </c>
      <c r="K41" s="43">
        <f>K40*'R&amp;S - Buildings'!$C$7*'R&amp;S - Buildings'!$B$12*'R&amp;S - Buildings'!$B$15*('Yearly LC Ethylene'!K$3-'Yearly LC Ethylene'!$D$3)/10</f>
        <v>0</v>
      </c>
      <c r="L41" s="43">
        <f>L40*'R&amp;S - Buildings'!$C$7*'R&amp;S - Buildings'!$B$12*'R&amp;S - Buildings'!$B$15*('Yearly LC Ethylene'!L$3-'Yearly LC Ethylene'!$D$3)/10</f>
        <v>0</v>
      </c>
      <c r="M41" s="43">
        <f>M40*'R&amp;S - Buildings'!$C$7*'R&amp;S - Buildings'!$B$12*'R&amp;S - Buildings'!$B$15*('Yearly LC Ethylene'!M$3-'Yearly LC Ethylene'!$D$3)/10</f>
        <v>0</v>
      </c>
      <c r="N41" s="43">
        <f>N40*'R&amp;S - Buildings'!$C$7*'R&amp;S - Buildings'!$B$12*'R&amp;S - Buildings'!$B$15*('Yearly LC Ethylene'!N$3-'Yearly LC Ethylene'!$D$3)/10</f>
        <v>0</v>
      </c>
      <c r="O41" s="43">
        <f>O40*'R&amp;S - Buildings'!$C$7*'R&amp;S - Buildings'!$B$12*('R&amp;S - Buildings'!$B$15+('R&amp;S - Buildings'!$B$16-'R&amp;S - Buildings'!$B$15)*('Yearly LC Ethylene'!O$3-'Yearly LC Ethylene'!$N$3)/10)</f>
        <v>0</v>
      </c>
      <c r="P41" s="43">
        <f>P40*'R&amp;S - Buildings'!$C$7*'R&amp;S - Buildings'!$B$12*('R&amp;S - Buildings'!$B$15+('R&amp;S - Buildings'!$B$16-'R&amp;S - Buildings'!$B$15)*('Yearly LC Ethylene'!P$3-'Yearly LC Ethylene'!$N$3)/10)</f>
        <v>0</v>
      </c>
      <c r="Q41" s="43">
        <f>Q40*'R&amp;S - Buildings'!$C$7*'R&amp;S - Buildings'!$B$12*('R&amp;S - Buildings'!$B$15+('R&amp;S - Buildings'!$B$16-'R&amp;S - Buildings'!$B$15)*('Yearly LC Ethylene'!Q$3-'Yearly LC Ethylene'!$N$3)/10)</f>
        <v>0</v>
      </c>
      <c r="R41" s="43">
        <f>R40*'R&amp;S - Buildings'!$C$7*'R&amp;S - Buildings'!$B$12*('R&amp;S - Buildings'!$B$15+('R&amp;S - Buildings'!$B$16-'R&amp;S - Buildings'!$B$15)*('Yearly LC Ethylene'!R$3-'Yearly LC Ethylene'!$N$3)/10)</f>
        <v>0</v>
      </c>
      <c r="S41" s="43">
        <f>S40*'R&amp;S - Buildings'!$C$7*'R&amp;S - Buildings'!$B$12*('R&amp;S - Buildings'!$B$15+('R&amp;S - Buildings'!$B$16-'R&amp;S - Buildings'!$B$15)*('Yearly LC Ethylene'!S$3-'Yearly LC Ethylene'!$N$3)/10)</f>
        <v>0</v>
      </c>
      <c r="T41" s="43">
        <f>T40*'R&amp;S - Buildings'!$C$7*'R&amp;S - Buildings'!$B$12*('R&amp;S - Buildings'!$B$15+('R&amp;S - Buildings'!$B$16-'R&amp;S - Buildings'!$B$15)*('Yearly LC Ethylene'!T$3-'Yearly LC Ethylene'!$N$3)/10)</f>
        <v>0</v>
      </c>
      <c r="U41" s="43">
        <f>U40*'R&amp;S - Buildings'!$C$7*'R&amp;S - Buildings'!$B$12*('R&amp;S - Buildings'!$B$15+('R&amp;S - Buildings'!$B$16-'R&amp;S - Buildings'!$B$15)*('Yearly LC Ethylene'!U$3-'Yearly LC Ethylene'!$N$3)/10)</f>
        <v>0</v>
      </c>
      <c r="V41" s="43">
        <f>V40*'R&amp;S - Buildings'!$C$7*'R&amp;S - Buildings'!$B$12*('R&amp;S - Buildings'!$B$15+('R&amp;S - Buildings'!$B$16-'R&amp;S - Buildings'!$B$15)*('Yearly LC Ethylene'!V$3-'Yearly LC Ethylene'!$N$3)/10)</f>
        <v>0</v>
      </c>
      <c r="W41" s="43">
        <f>W40*'R&amp;S - Buildings'!$C$7*'R&amp;S - Buildings'!$B$12*('R&amp;S - Buildings'!$B$15+('R&amp;S - Buildings'!$B$16-'R&amp;S - Buildings'!$B$15)*('Yearly LC Ethylene'!W$3-'Yearly LC Ethylene'!$N$3)/10)</f>
        <v>0</v>
      </c>
      <c r="X41" s="43">
        <f>X40*'R&amp;S - Buildings'!$C$7*'R&amp;S - Buildings'!$B$12*('R&amp;S - Buildings'!$B$15+('R&amp;S - Buildings'!$B$16-'R&amp;S - Buildings'!$B$15)*('Yearly LC Ethylene'!X$3-'Yearly LC Ethylene'!$N$3)/10)</f>
        <v>0</v>
      </c>
      <c r="Y41" s="43">
        <f>Y40*'R&amp;S - Buildings'!$C$7*'R&amp;S - Buildings'!$B$12*('R&amp;S - Buildings'!$B$16+('R&amp;S - Buildings'!$B$17-'R&amp;S - Buildings'!$B$16)*('Yearly LC Ethylene'!Y$3-'Yearly LC Ethylene'!$X$3)/10)</f>
        <v>0</v>
      </c>
      <c r="Z41" s="43">
        <f>Z40*'R&amp;S - Buildings'!$C$7*'R&amp;S - Buildings'!$B$12*('R&amp;S - Buildings'!$B$16+('R&amp;S - Buildings'!$B$17-'R&amp;S - Buildings'!$B$16)*('Yearly LC Ethylene'!Z$3-'Yearly LC Ethylene'!$X$3)/10)</f>
        <v>0</v>
      </c>
      <c r="AA41" s="43">
        <f>AA40*'R&amp;S - Buildings'!$C$7*'R&amp;S - Buildings'!$B$12*('R&amp;S - Buildings'!$B$16+('R&amp;S - Buildings'!$B$17-'R&amp;S - Buildings'!$B$16)*('Yearly LC Ethylene'!AA$3-'Yearly LC Ethylene'!$X$3)/10)</f>
        <v>0</v>
      </c>
      <c r="AB41" s="43">
        <f>AB40*'R&amp;S - Buildings'!$C$7*'R&amp;S - Buildings'!$B$12*('R&amp;S - Buildings'!$B$16+('R&amp;S - Buildings'!$B$17-'R&amp;S - Buildings'!$B$16)*('Yearly LC Ethylene'!AB$3-'Yearly LC Ethylene'!$X$3)/10)</f>
        <v>0</v>
      </c>
      <c r="AC41" s="43">
        <f>AC40*'R&amp;S - Buildings'!$C$7*'R&amp;S - Buildings'!$B$12*('R&amp;S - Buildings'!$B$16+('R&amp;S - Buildings'!$B$17-'R&amp;S - Buildings'!$B$16)*('Yearly LC Ethylene'!AC$3-'Yearly LC Ethylene'!$X$3)/10)</f>
        <v>0</v>
      </c>
      <c r="AD41" s="43">
        <f>AD40*'R&amp;S - Buildings'!$C$7*'R&amp;S - Buildings'!$B$12*('R&amp;S - Buildings'!$B$16+('R&amp;S - Buildings'!$B$17-'R&amp;S - Buildings'!$B$16)*('Yearly LC Ethylene'!AD$3-'Yearly LC Ethylene'!$X$3)/10)</f>
        <v>0</v>
      </c>
      <c r="AE41" s="43">
        <f>AE40*'R&amp;S - Buildings'!$C$7*'R&amp;S - Buildings'!$B$12*('R&amp;S - Buildings'!$B$16+('R&amp;S - Buildings'!$B$17-'R&amp;S - Buildings'!$B$16)*('Yearly LC Ethylene'!AE$3-'Yearly LC Ethylene'!$X$3)/10)</f>
        <v>0</v>
      </c>
      <c r="AF41" s="43">
        <f>AF40*'R&amp;S - Buildings'!$C$7*'R&amp;S - Buildings'!$B$12*('R&amp;S - Buildings'!$B$16+('R&amp;S - Buildings'!$B$17-'R&amp;S - Buildings'!$B$16)*('Yearly LC Ethylene'!AF$3-'Yearly LC Ethylene'!$X$3)/10)</f>
        <v>0</v>
      </c>
      <c r="AG41" s="43">
        <f>AG40*'R&amp;S - Buildings'!$C$7*'R&amp;S - Buildings'!$B$12*('R&amp;S - Buildings'!$B$16+('R&amp;S - Buildings'!$B$17-'R&amp;S - Buildings'!$B$16)*('Yearly LC Ethylene'!AG$3-'Yearly LC Ethylene'!$X$3)/10)</f>
        <v>0</v>
      </c>
      <c r="AH41" s="43">
        <f>AH40*'R&amp;S - Buildings'!$C$7*'R&amp;S - Buildings'!$B$12*('R&amp;S - Buildings'!$B$16+('R&amp;S - Buildings'!$B$17-'R&amp;S - Buildings'!$B$16)*('Yearly LC Ethylene'!AH$3-'Yearly LC Ethylene'!$X$3)/10)</f>
        <v>0</v>
      </c>
    </row>
    <row r="42" spans="1:35" outlineLevel="1">
      <c r="B42" s="1" t="s">
        <v>172</v>
      </c>
      <c r="C42" s="54" t="s">
        <v>153</v>
      </c>
      <c r="D42">
        <v>0</v>
      </c>
      <c r="E42" s="43">
        <f>E40*'R&amp;S - Buildings'!$C$8*'R&amp;S - Buildings'!$C$12*'R&amp;S - Buildings'!$B$15*('Yearly LC Ethylene'!E$3-'Yearly LC Ethylene'!$D$3)/10</f>
        <v>0</v>
      </c>
      <c r="F42" s="43">
        <f>F40*'R&amp;S - Buildings'!$C$8*'R&amp;S - Buildings'!$C$12*'R&amp;S - Buildings'!$B$15*('Yearly LC Ethylene'!F$3-'Yearly LC Ethylene'!$D$3)/10</f>
        <v>0</v>
      </c>
      <c r="G42" s="43">
        <f>G40*'R&amp;S - Buildings'!$C$8*'R&amp;S - Buildings'!$C$12*'R&amp;S - Buildings'!$B$15*('Yearly LC Ethylene'!G$3-'Yearly LC Ethylene'!$D$3)/10</f>
        <v>0</v>
      </c>
      <c r="H42" s="43">
        <f>H40*'R&amp;S - Buildings'!$C$8*'R&amp;S - Buildings'!$C$12*'R&amp;S - Buildings'!$B$15*('Yearly LC Ethylene'!H$3-'Yearly LC Ethylene'!$D$3)/10</f>
        <v>0</v>
      </c>
      <c r="I42" s="43">
        <f>I40*'R&amp;S - Buildings'!$C$8*'R&amp;S - Buildings'!$C$12*'R&amp;S - Buildings'!$B$15*('Yearly LC Ethylene'!I$3-'Yearly LC Ethylene'!$D$3)/10</f>
        <v>0</v>
      </c>
      <c r="J42" s="43">
        <f>J40*'R&amp;S - Buildings'!$C$8*'R&amp;S - Buildings'!$C$12*'R&amp;S - Buildings'!$B$15*('Yearly LC Ethylene'!J$3-'Yearly LC Ethylene'!$D$3)/10</f>
        <v>0</v>
      </c>
      <c r="K42" s="43">
        <f>K40*'R&amp;S - Buildings'!$C$8*'R&amp;S - Buildings'!$C$12*'R&amp;S - Buildings'!$B$15*('Yearly LC Ethylene'!K$3-'Yearly LC Ethylene'!$D$3)/10</f>
        <v>0</v>
      </c>
      <c r="L42" s="43">
        <f>L40*'R&amp;S - Buildings'!$C$8*'R&amp;S - Buildings'!$C$12*'R&amp;S - Buildings'!$B$15*('Yearly LC Ethylene'!L$3-'Yearly LC Ethylene'!$D$3)/10</f>
        <v>0</v>
      </c>
      <c r="M42" s="43">
        <f>M40*'R&amp;S - Buildings'!$C$8*'R&amp;S - Buildings'!$C$12*'R&amp;S - Buildings'!$B$15*('Yearly LC Ethylene'!M$3-'Yearly LC Ethylene'!$D$3)/10</f>
        <v>0</v>
      </c>
      <c r="N42" s="43">
        <f>N40*'R&amp;S - Buildings'!$C$8*'R&amp;S - Buildings'!$C$12*'R&amp;S - Buildings'!$B$15*('Yearly LC Ethylene'!N$3-'Yearly LC Ethylene'!$D$3)/10</f>
        <v>0</v>
      </c>
      <c r="O42" s="43">
        <f>O40*'R&amp;S - Buildings'!$C$8*'R&amp;S - Buildings'!$C$12*('R&amp;S - Buildings'!$B$15+('R&amp;S - Buildings'!$B$16-'R&amp;S - Buildings'!$B$15)*('Yearly LC Ethylene'!O$3-'Yearly LC Ethylene'!$N$3)/10)</f>
        <v>0</v>
      </c>
      <c r="P42" s="43">
        <f>P40*'R&amp;S - Buildings'!$C$8*'R&amp;S - Buildings'!$C$12*('R&amp;S - Buildings'!$B$15+('R&amp;S - Buildings'!$B$16-'R&amp;S - Buildings'!$B$15)*('Yearly LC Ethylene'!P$3-'Yearly LC Ethylene'!$N$3)/10)</f>
        <v>0</v>
      </c>
      <c r="Q42" s="43">
        <f>Q40*'R&amp;S - Buildings'!$C$8*'R&amp;S - Buildings'!$C$12*('R&amp;S - Buildings'!$B$15+('R&amp;S - Buildings'!$B$16-'R&amp;S - Buildings'!$B$15)*('Yearly LC Ethylene'!Q$3-'Yearly LC Ethylene'!$N$3)/10)</f>
        <v>0</v>
      </c>
      <c r="R42" s="43">
        <f>R40*'R&amp;S - Buildings'!$C$8*'R&amp;S - Buildings'!$C$12*('R&amp;S - Buildings'!$B$15+('R&amp;S - Buildings'!$B$16-'R&amp;S - Buildings'!$B$15)*('Yearly LC Ethylene'!R$3-'Yearly LC Ethylene'!$N$3)/10)</f>
        <v>0</v>
      </c>
      <c r="S42" s="43">
        <f>S40*'R&amp;S - Buildings'!$C$8*'R&amp;S - Buildings'!$C$12*('R&amp;S - Buildings'!$B$15+('R&amp;S - Buildings'!$B$16-'R&amp;S - Buildings'!$B$15)*('Yearly LC Ethylene'!S$3-'Yearly LC Ethylene'!$N$3)/10)</f>
        <v>0</v>
      </c>
      <c r="T42" s="43">
        <f>T40*'R&amp;S - Buildings'!$C$8*'R&amp;S - Buildings'!$C$12*('R&amp;S - Buildings'!$B$15+('R&amp;S - Buildings'!$B$16-'R&amp;S - Buildings'!$B$15)*('Yearly LC Ethylene'!T$3-'Yearly LC Ethylene'!$N$3)/10)</f>
        <v>0</v>
      </c>
      <c r="U42" s="43">
        <f>U40*'R&amp;S - Buildings'!$C$8*'R&amp;S - Buildings'!$C$12*('R&amp;S - Buildings'!$B$15+('R&amp;S - Buildings'!$B$16-'R&amp;S - Buildings'!$B$15)*('Yearly LC Ethylene'!U$3-'Yearly LC Ethylene'!$N$3)/10)</f>
        <v>0</v>
      </c>
      <c r="V42" s="43">
        <f>V40*'R&amp;S - Buildings'!$C$8*'R&amp;S - Buildings'!$C$12*('R&amp;S - Buildings'!$B$15+('R&amp;S - Buildings'!$B$16-'R&amp;S - Buildings'!$B$15)*('Yearly LC Ethylene'!V$3-'Yearly LC Ethylene'!$N$3)/10)</f>
        <v>0</v>
      </c>
      <c r="W42" s="43">
        <f>W40*'R&amp;S - Buildings'!$C$8*'R&amp;S - Buildings'!$C$12*('R&amp;S - Buildings'!$B$15+('R&amp;S - Buildings'!$B$16-'R&amp;S - Buildings'!$B$15)*('Yearly LC Ethylene'!W$3-'Yearly LC Ethylene'!$N$3)/10)</f>
        <v>0</v>
      </c>
      <c r="X42" s="43">
        <f>X40*'R&amp;S - Buildings'!$C$8*'R&amp;S - Buildings'!$C$12*('R&amp;S - Buildings'!$B$15+('R&amp;S - Buildings'!$B$16-'R&amp;S - Buildings'!$B$15)*('Yearly LC Ethylene'!X$3-'Yearly LC Ethylene'!$N$3)/10)</f>
        <v>0</v>
      </c>
      <c r="Y42" s="43">
        <f>Y40*'R&amp;S - Buildings'!$C$8*'R&amp;S - Buildings'!$C$12*('R&amp;S - Buildings'!$B$16+('R&amp;S - Buildings'!$B$17-'R&amp;S - Buildings'!$B$16)*('Yearly LC Ethylene'!Y$3-'Yearly LC Ethylene'!$X$3)/10)</f>
        <v>0</v>
      </c>
      <c r="Z42" s="43">
        <f>Z40*'R&amp;S - Buildings'!$C$8*'R&amp;S - Buildings'!$C$12*('R&amp;S - Buildings'!$B$16+('R&amp;S - Buildings'!$B$17-'R&amp;S - Buildings'!$B$16)*('Yearly LC Ethylene'!Z$3-'Yearly LC Ethylene'!$X$3)/10)</f>
        <v>0</v>
      </c>
      <c r="AA42" s="43">
        <f>AA40*'R&amp;S - Buildings'!$C$8*'R&amp;S - Buildings'!$C$12*('R&amp;S - Buildings'!$B$16+('R&amp;S - Buildings'!$B$17-'R&amp;S - Buildings'!$B$16)*('Yearly LC Ethylene'!AA$3-'Yearly LC Ethylene'!$X$3)/10)</f>
        <v>0</v>
      </c>
      <c r="AB42" s="43">
        <f>AB40*'R&amp;S - Buildings'!$C$8*'R&amp;S - Buildings'!$C$12*('R&amp;S - Buildings'!$B$16+('R&amp;S - Buildings'!$B$17-'R&amp;S - Buildings'!$B$16)*('Yearly LC Ethylene'!AB$3-'Yearly LC Ethylene'!$X$3)/10)</f>
        <v>0</v>
      </c>
      <c r="AC42" s="43">
        <f>AC40*'R&amp;S - Buildings'!$C$8*'R&amp;S - Buildings'!$C$12*('R&amp;S - Buildings'!$B$16+('R&amp;S - Buildings'!$B$17-'R&amp;S - Buildings'!$B$16)*('Yearly LC Ethylene'!AC$3-'Yearly LC Ethylene'!$X$3)/10)</f>
        <v>0</v>
      </c>
      <c r="AD42" s="43">
        <f>AD40*'R&amp;S - Buildings'!$C$8*'R&amp;S - Buildings'!$C$12*('R&amp;S - Buildings'!$B$16+('R&amp;S - Buildings'!$B$17-'R&amp;S - Buildings'!$B$16)*('Yearly LC Ethylene'!AD$3-'Yearly LC Ethylene'!$X$3)/10)</f>
        <v>0</v>
      </c>
      <c r="AE42" s="43">
        <f>AE40*'R&amp;S - Buildings'!$C$8*'R&amp;S - Buildings'!$C$12*('R&amp;S - Buildings'!$B$16+('R&amp;S - Buildings'!$B$17-'R&amp;S - Buildings'!$B$16)*('Yearly LC Ethylene'!AE$3-'Yearly LC Ethylene'!$X$3)/10)</f>
        <v>0</v>
      </c>
      <c r="AF42" s="43">
        <f>AF40*'R&amp;S - Buildings'!$C$8*'R&amp;S - Buildings'!$C$12*('R&amp;S - Buildings'!$B$16+('R&amp;S - Buildings'!$B$17-'R&amp;S - Buildings'!$B$16)*('Yearly LC Ethylene'!AF$3-'Yearly LC Ethylene'!$X$3)/10)</f>
        <v>0</v>
      </c>
      <c r="AG42" s="43">
        <f>AG40*'R&amp;S - Buildings'!$C$8*'R&amp;S - Buildings'!$C$12*('R&amp;S - Buildings'!$B$16+('R&amp;S - Buildings'!$B$17-'R&amp;S - Buildings'!$B$16)*('Yearly LC Ethylene'!AG$3-'Yearly LC Ethylene'!$X$3)/10)</f>
        <v>0</v>
      </c>
      <c r="AH42" s="43">
        <f>AH40*'R&amp;S - Buildings'!$C$8*'R&amp;S - Buildings'!$C$12*('R&amp;S - Buildings'!$B$16+('R&amp;S - Buildings'!$B$17-'R&amp;S - Buildings'!$B$16)*('Yearly LC Ethylene'!AH$3-'Yearly LC Ethylene'!$X$3)/10)</f>
        <v>0</v>
      </c>
    </row>
    <row r="43" spans="1:35" s="68" customFormat="1">
      <c r="A43" s="62"/>
      <c r="B43" s="62" t="s">
        <v>197</v>
      </c>
      <c r="C43" s="63" t="s">
        <v>153</v>
      </c>
      <c r="D43" s="64">
        <f>D40-D41-D42</f>
        <v>34.871127768537121</v>
      </c>
      <c r="E43" s="64">
        <f t="shared" ref="E43:AG43" si="10">E40-E41-E42</f>
        <v>35.463936940602252</v>
      </c>
      <c r="F43" s="64">
        <f t="shared" si="10"/>
        <v>36.066823868592486</v>
      </c>
      <c r="G43" s="64">
        <f t="shared" si="10"/>
        <v>36.679959874358552</v>
      </c>
      <c r="H43" s="64">
        <f t="shared" si="10"/>
        <v>37.303519192222645</v>
      </c>
      <c r="I43" s="64">
        <f t="shared" si="10"/>
        <v>37.937679018490428</v>
      </c>
      <c r="J43" s="64">
        <f t="shared" si="10"/>
        <v>38.582619561804762</v>
      </c>
      <c r="K43" s="64">
        <f t="shared" si="10"/>
        <v>39.238524094355441</v>
      </c>
      <c r="L43" s="64">
        <f t="shared" si="10"/>
        <v>39.905579003959481</v>
      </c>
      <c r="M43" s="64">
        <f t="shared" si="10"/>
        <v>40.58397384702679</v>
      </c>
      <c r="N43" s="64">
        <f t="shared" si="10"/>
        <v>41.27390140242624</v>
      </c>
      <c r="O43" s="64">
        <f t="shared" si="10"/>
        <v>41.975557726267482</v>
      </c>
      <c r="P43" s="64">
        <f t="shared" si="10"/>
        <v>42.689142207614026</v>
      </c>
      <c r="Q43" s="64">
        <f t="shared" si="10"/>
        <v>43.414857625143462</v>
      </c>
      <c r="R43" s="64">
        <f t="shared" si="10"/>
        <v>44.152910204770897</v>
      </c>
      <c r="S43" s="64">
        <f t="shared" si="10"/>
        <v>44.903509678252</v>
      </c>
      <c r="T43" s="64">
        <f t="shared" si="10"/>
        <v>45.666869342782277</v>
      </c>
      <c r="U43" s="64">
        <f t="shared" si="10"/>
        <v>46.44320612160957</v>
      </c>
      <c r="V43" s="64">
        <f t="shared" si="10"/>
        <v>47.232740625676925</v>
      </c>
      <c r="W43" s="64">
        <f t="shared" si="10"/>
        <v>48.03569721631343</v>
      </c>
      <c r="X43" s="64">
        <f t="shared" si="10"/>
        <v>48.852304068990755</v>
      </c>
      <c r="Y43" s="64">
        <f t="shared" si="10"/>
        <v>49.68279323816359</v>
      </c>
      <c r="Z43" s="64">
        <f t="shared" si="10"/>
        <v>50.527400723212367</v>
      </c>
      <c r="AA43" s="64">
        <f t="shared" si="10"/>
        <v>51.386366535506973</v>
      </c>
      <c r="AB43" s="64">
        <f t="shared" si="10"/>
        <v>52.259934766610584</v>
      </c>
      <c r="AC43" s="64">
        <f t="shared" si="10"/>
        <v>53.148353657642957</v>
      </c>
      <c r="AD43" s="64">
        <f t="shared" si="10"/>
        <v>54.051875669822884</v>
      </c>
      <c r="AE43" s="64">
        <f t="shared" si="10"/>
        <v>54.970757556209868</v>
      </c>
      <c r="AF43" s="64">
        <f t="shared" si="10"/>
        <v>55.905260434665429</v>
      </c>
      <c r="AG43" s="64">
        <f t="shared" si="10"/>
        <v>56.855649862054733</v>
      </c>
      <c r="AH43" s="64">
        <f>AH40-AH41-AH42</f>
        <v>57.822195909709656</v>
      </c>
    </row>
    <row r="44" spans="1:35" s="67" customFormat="1">
      <c r="A44" s="755" t="s">
        <v>257</v>
      </c>
      <c r="B44" s="58" t="s">
        <v>258</v>
      </c>
      <c r="C44" s="59" t="s">
        <v>153</v>
      </c>
      <c r="D44" s="60">
        <f>D43*('Demand Breakdown - Ethylene'!$C$74)</f>
        <v>12.029370629370625</v>
      </c>
      <c r="E44" s="60">
        <f>E43*('Demand Breakdown - Ethylene'!$C$74)</f>
        <v>12.233869930069925</v>
      </c>
      <c r="F44" s="60">
        <f>F43*('Demand Breakdown - Ethylene'!$C$74)</f>
        <v>12.441845718881114</v>
      </c>
      <c r="G44" s="60">
        <f>G43*('Demand Breakdown - Ethylene'!$C$74)</f>
        <v>12.65335709610209</v>
      </c>
      <c r="H44" s="60">
        <f>H43*('Demand Breakdown - Ethylene'!$C$74)</f>
        <v>12.868464166735825</v>
      </c>
      <c r="I44" s="60">
        <f>I43*('Demand Breakdown - Ethylene'!$C$74)</f>
        <v>13.087228057570332</v>
      </c>
      <c r="J44" s="60">
        <f>J43*('Demand Breakdown - Ethylene'!$C$74)</f>
        <v>13.309710934549027</v>
      </c>
      <c r="K44" s="60">
        <f>K43*('Demand Breakdown - Ethylene'!$C$74)</f>
        <v>13.53597602043636</v>
      </c>
      <c r="L44" s="60">
        <f>L43*('Demand Breakdown - Ethylene'!$C$74)</f>
        <v>13.766087612783778</v>
      </c>
      <c r="M44" s="60">
        <f>M43*('Demand Breakdown - Ethylene'!$C$74)</f>
        <v>14.000111102201101</v>
      </c>
      <c r="N44" s="60">
        <f>N43*('Demand Breakdown - Ethylene'!$C$74)</f>
        <v>14.238112990938518</v>
      </c>
      <c r="O44" s="60">
        <f>O43*('Demand Breakdown - Ethylene'!$C$74)</f>
        <v>14.480160911784472</v>
      </c>
      <c r="P44" s="60">
        <f>P43*('Demand Breakdown - Ethylene'!$C$74)</f>
        <v>14.726323647284806</v>
      </c>
      <c r="Q44" s="60">
        <f>Q43*('Demand Breakdown - Ethylene'!$C$74)</f>
        <v>14.976671149288647</v>
      </c>
      <c r="R44" s="60">
        <f>R43*('Demand Breakdown - Ethylene'!$C$74)</f>
        <v>15.231274558826552</v>
      </c>
      <c r="S44" s="60">
        <f>S43*('Demand Breakdown - Ethylene'!$C$74)</f>
        <v>15.490206226326602</v>
      </c>
      <c r="T44" s="60">
        <f>T43*('Demand Breakdown - Ethylene'!$C$74)</f>
        <v>15.753539732174152</v>
      </c>
      <c r="U44" s="60">
        <f>U43*('Demand Breakdown - Ethylene'!$C$74)</f>
        <v>16.021349907621111</v>
      </c>
      <c r="V44" s="60">
        <f>V43*('Demand Breakdown - Ethylene'!$C$74)</f>
        <v>16.293712856050668</v>
      </c>
      <c r="W44" s="60">
        <f>W43*('Demand Breakdown - Ethylene'!$C$74)</f>
        <v>16.570705974603527</v>
      </c>
      <c r="X44" s="60">
        <f>X43*('Demand Breakdown - Ethylene'!$C$74)</f>
        <v>16.852407976171786</v>
      </c>
      <c r="Y44" s="60">
        <f>Y43*('Demand Breakdown - Ethylene'!$C$74)</f>
        <v>17.138898911766706</v>
      </c>
      <c r="Z44" s="60">
        <f>Z43*('Demand Breakdown - Ethylene'!$C$74)</f>
        <v>17.430260193266736</v>
      </c>
      <c r="AA44" s="60">
        <f>AA43*('Demand Breakdown - Ethylene'!$C$74)</f>
        <v>17.72657461655227</v>
      </c>
      <c r="AB44" s="60">
        <f>AB43*('Demand Breakdown - Ethylene'!$C$74)</f>
        <v>18.027926385033656</v>
      </c>
      <c r="AC44" s="60">
        <f>AC43*('Demand Breakdown - Ethylene'!$C$74)</f>
        <v>18.334401133579227</v>
      </c>
      <c r="AD44" s="60">
        <f>AD43*('Demand Breakdown - Ethylene'!$C$74)</f>
        <v>18.646085952850072</v>
      </c>
      <c r="AE44" s="60">
        <f>AE43*('Demand Breakdown - Ethylene'!$C$74)</f>
        <v>18.963069414048523</v>
      </c>
      <c r="AF44" s="60">
        <f>AF43*('Demand Breakdown - Ethylene'!$C$74)</f>
        <v>19.285441594087345</v>
      </c>
      <c r="AG44" s="60">
        <f>AG43*('Demand Breakdown - Ethylene'!$C$74)</f>
        <v>19.613294101186828</v>
      </c>
      <c r="AH44" s="60">
        <f>AH43*('Demand Breakdown - Ethylene'!$C$74)</f>
        <v>19.946720100907001</v>
      </c>
      <c r="AI44" s="60"/>
    </row>
    <row r="45" spans="1:35">
      <c r="A45" s="756"/>
      <c r="B45" s="1" t="s">
        <v>260</v>
      </c>
      <c r="C45" s="54" t="s">
        <v>153</v>
      </c>
      <c r="D45" s="44">
        <f>D49/('Demand Breakdown - Ethylene'!$K$14)</f>
        <v>4.5813083502024288</v>
      </c>
      <c r="E45" s="44">
        <f>E49/('Demand Breakdown - Ethylene'!$K$14)</f>
        <v>4.6591905921558698</v>
      </c>
      <c r="F45" s="44">
        <f>F49/('Demand Breakdown - Ethylene'!$K$14)</f>
        <v>4.7383968322225201</v>
      </c>
      <c r="G45" s="44">
        <f>G49/('Demand Breakdown - Ethylene'!$K$14)</f>
        <v>4.8189495783703018</v>
      </c>
      <c r="H45" s="44">
        <f>H49/('Demand Breakdown - Ethylene'!$K$14)</f>
        <v>4.9008717212025967</v>
      </c>
      <c r="I45" s="44">
        <f>I49/('Demand Breakdown - Ethylene'!$K$14)</f>
        <v>4.9841865404630399</v>
      </c>
      <c r="J45" s="44">
        <f>J49/('Demand Breakdown - Ethylene'!$K$14)</f>
        <v>5.0689177116509114</v>
      </c>
      <c r="K45" s="44">
        <f>K49/('Demand Breakdown - Ethylene'!$K$14)</f>
        <v>5.1550893127489772</v>
      </c>
      <c r="L45" s="44">
        <f>L49/('Demand Breakdown - Ethylene'!$K$14)</f>
        <v>5.2427258310657097</v>
      </c>
      <c r="M45" s="44">
        <f>M49/('Demand Breakdown - Ethylene'!$K$14)</f>
        <v>5.3318521701938257</v>
      </c>
      <c r="N45" s="44">
        <f>N49/('Demand Breakdown - Ethylene'!$K$14)</f>
        <v>5.4224936570871201</v>
      </c>
      <c r="O45" s="44">
        <f>O49/('Demand Breakdown - Ethylene'!$K$14)</f>
        <v>5.5146760492576004</v>
      </c>
      <c r="P45" s="44">
        <f>P49/('Demand Breakdown - Ethylene'!$K$14)</f>
        <v>5.60842554209498</v>
      </c>
      <c r="Q45" s="44">
        <f>Q49/('Demand Breakdown - Ethylene'!$K$14)</f>
        <v>5.7037687763105938</v>
      </c>
      <c r="R45" s="44">
        <f>R49/('Demand Breakdown - Ethylene'!$K$14)</f>
        <v>5.8007328455078744</v>
      </c>
      <c r="S45" s="44">
        <f>S49/('Demand Breakdown - Ethylene'!$K$14)</f>
        <v>5.8993453038815069</v>
      </c>
      <c r="T45" s="44">
        <f>T49/('Demand Breakdown - Ethylene'!$K$14)</f>
        <v>5.9996341740474914</v>
      </c>
      <c r="U45" s="44">
        <f>U49/('Demand Breakdown - Ethylene'!$K$14)</f>
        <v>6.1016279550062977</v>
      </c>
      <c r="V45" s="44">
        <f>V49/('Demand Breakdown - Ethylene'!$K$14)</f>
        <v>6.2053556302414039</v>
      </c>
      <c r="W45" s="44">
        <f>W49/('Demand Breakdown - Ethylene'!$K$14)</f>
        <v>6.3108466759555082</v>
      </c>
      <c r="X45" s="44">
        <f>X49/('Demand Breakdown - Ethylene'!$K$14)</f>
        <v>6.4181310694467513</v>
      </c>
      <c r="Y45" s="44">
        <f>Y49/('Demand Breakdown - Ethylene'!$K$14)</f>
        <v>6.5272392976273457</v>
      </c>
      <c r="Z45" s="44">
        <f>Z49/('Demand Breakdown - Ethylene'!$K$14)</f>
        <v>6.6382023656870093</v>
      </c>
      <c r="AA45" s="44">
        <f>AA49/('Demand Breakdown - Ethylene'!$K$14)</f>
        <v>6.7510518059036873</v>
      </c>
      <c r="AB45" s="44">
        <f>AB49/('Demand Breakdown - Ethylene'!$K$14)</f>
        <v>6.8658196866040502</v>
      </c>
      <c r="AC45" s="44">
        <f>AC49/('Demand Breakdown - Ethylene'!$K$14)</f>
        <v>6.9825386212763174</v>
      </c>
      <c r="AD45" s="44">
        <f>AD49/('Demand Breakdown - Ethylene'!$K$14)</f>
        <v>7.1012417778380144</v>
      </c>
      <c r="AE45" s="44">
        <f>AE49/('Demand Breakdown - Ethylene'!$K$14)</f>
        <v>7.2219628880612587</v>
      </c>
      <c r="AF45" s="44">
        <f>AF49/('Demand Breakdown - Ethylene'!$K$14)</f>
        <v>7.3447362571583001</v>
      </c>
      <c r="AG45" s="44">
        <f>AG49/('Demand Breakdown - Ethylene'!$K$14)</f>
        <v>7.4695967735299904</v>
      </c>
      <c r="AH45" s="44">
        <f>AH49/('Demand Breakdown - Ethylene'!$K$14)</f>
        <v>7.5965799186799998</v>
      </c>
      <c r="AI45" s="44"/>
    </row>
    <row r="46" spans="1:35">
      <c r="A46" s="756"/>
      <c r="B46" s="1" t="s">
        <v>262</v>
      </c>
      <c r="C46" s="54" t="s">
        <v>153</v>
      </c>
      <c r="D46" s="44">
        <f>D48/('Demand Breakdown - Ethylene'!$M$14)</f>
        <v>13.515976331360944</v>
      </c>
      <c r="E46" s="44">
        <f>E48/('Demand Breakdown - Ethylene'!$M$14)</f>
        <v>13.74574792899408</v>
      </c>
      <c r="F46" s="44">
        <f>F48/('Demand Breakdown - Ethylene'!$M$14)</f>
        <v>13.979425643786977</v>
      </c>
      <c r="G46" s="44">
        <f>G48/('Demand Breakdown - Ethylene'!$M$14)</f>
        <v>14.217075879731354</v>
      </c>
      <c r="H46" s="44">
        <f>H48/('Demand Breakdown - Ethylene'!$M$14)</f>
        <v>14.458766169686786</v>
      </c>
      <c r="I46" s="44">
        <f>I48/('Demand Breakdown - Ethylene'!$M$14)</f>
        <v>14.70456519457146</v>
      </c>
      <c r="J46" s="44">
        <f>J48/('Demand Breakdown - Ethylene'!$M$14)</f>
        <v>14.954542802879173</v>
      </c>
      <c r="K46" s="44">
        <f>K48/('Demand Breakdown - Ethylene'!$M$14)</f>
        <v>15.208770030528118</v>
      </c>
      <c r="L46" s="44">
        <f>L48/('Demand Breakdown - Ethylene'!$M$14)</f>
        <v>15.467319121047097</v>
      </c>
      <c r="M46" s="44">
        <f>M48/('Demand Breakdown - Ethylene'!$M$14)</f>
        <v>15.730263546104895</v>
      </c>
      <c r="N46" s="44">
        <f>N48/('Demand Breakdown - Ethylene'!$M$14)</f>
        <v>15.997678026388677</v>
      </c>
      <c r="O46" s="44">
        <f>O48/('Demand Breakdown - Ethylene'!$M$14)</f>
        <v>16.269638552837282</v>
      </c>
      <c r="P46" s="44">
        <f>P48/('Demand Breakdown - Ethylene'!$M$14)</f>
        <v>16.546222408235515</v>
      </c>
      <c r="Q46" s="44">
        <f>Q48/('Demand Breakdown - Ethylene'!$M$14)</f>
        <v>16.827508189175518</v>
      </c>
      <c r="R46" s="44">
        <f>R48/('Demand Breakdown - Ethylene'!$M$14)</f>
        <v>17.1135758283915</v>
      </c>
      <c r="S46" s="44">
        <f>S48/('Demand Breakdown - Ethylene'!$M$14)</f>
        <v>17.404506617474155</v>
      </c>
      <c r="T46" s="44">
        <f>T48/('Demand Breakdown - Ethylene'!$M$14)</f>
        <v>17.700383229971216</v>
      </c>
      <c r="U46" s="44">
        <f>U48/('Demand Breakdown - Ethylene'!$M$14)</f>
        <v>18.001289744880722</v>
      </c>
      <c r="V46" s="44">
        <f>V48/('Demand Breakdown - Ethylene'!$M$14)</f>
        <v>18.30731167054369</v>
      </c>
      <c r="W46" s="44">
        <f>W48/('Demand Breakdown - Ethylene'!$M$14)</f>
        <v>18.618535968942933</v>
      </c>
      <c r="X46" s="44">
        <f>X48/('Demand Breakdown - Ethylene'!$M$14)</f>
        <v>18.935051080414958</v>
      </c>
      <c r="Y46" s="44">
        <f>Y48/('Demand Breakdown - Ethylene'!$M$14)</f>
        <v>19.256946948782012</v>
      </c>
      <c r="Z46" s="44">
        <f>Z48/('Demand Breakdown - Ethylene'!$M$14)</f>
        <v>19.584315046911307</v>
      </c>
      <c r="AA46" s="44">
        <f>AA48/('Demand Breakdown - Ethylene'!$M$14)</f>
        <v>19.917248402708797</v>
      </c>
      <c r="AB46" s="44">
        <f>AB48/('Demand Breakdown - Ethylene'!$M$14)</f>
        <v>20.255841625554844</v>
      </c>
      <c r="AC46" s="44">
        <f>AC48/('Demand Breakdown - Ethylene'!$M$14)</f>
        <v>20.600190933189271</v>
      </c>
      <c r="AD46" s="44">
        <f>AD48/('Demand Breakdown - Ethylene'!$M$14)</f>
        <v>20.95039417905349</v>
      </c>
      <c r="AE46" s="44">
        <f>AE48/('Demand Breakdown - Ethylene'!$M$14)</f>
        <v>21.306550880097394</v>
      </c>
      <c r="AF46" s="44">
        <f>AF48/('Demand Breakdown - Ethylene'!$M$14)</f>
        <v>21.66876224505905</v>
      </c>
      <c r="AG46" s="44">
        <f>AG48/('Demand Breakdown - Ethylene'!$M$14)</f>
        <v>22.037131203225051</v>
      </c>
      <c r="AH46" s="44">
        <f>AH48/('Demand Breakdown - Ethylene'!$M$14)</f>
        <v>22.411762433679872</v>
      </c>
      <c r="AI46" s="44"/>
    </row>
    <row r="47" spans="1:35" s="68" customFormat="1">
      <c r="A47" s="757"/>
      <c r="B47" s="62" t="s">
        <v>248</v>
      </c>
      <c r="C47" s="283" t="s">
        <v>153</v>
      </c>
      <c r="D47" s="284">
        <f>D43-SUM(D45,D44,D46)</f>
        <v>4.7444724576031234</v>
      </c>
      <c r="E47" s="284">
        <f t="shared" ref="E47:AH47" si="11">E43-SUM(E45,E44,E46)</f>
        <v>4.8251284893823794</v>
      </c>
      <c r="F47" s="284">
        <f t="shared" si="11"/>
        <v>4.9071556737018796</v>
      </c>
      <c r="G47" s="284">
        <f t="shared" si="11"/>
        <v>4.9905773201548058</v>
      </c>
      <c r="H47" s="284">
        <f t="shared" si="11"/>
        <v>5.075417134597437</v>
      </c>
      <c r="I47" s="284">
        <f t="shared" si="11"/>
        <v>5.1616992258855987</v>
      </c>
      <c r="J47" s="284">
        <f t="shared" si="11"/>
        <v>5.249448112725652</v>
      </c>
      <c r="K47" s="284">
        <f t="shared" si="11"/>
        <v>5.3386887306419908</v>
      </c>
      <c r="L47" s="284">
        <f t="shared" si="11"/>
        <v>5.4294464390628931</v>
      </c>
      <c r="M47" s="284">
        <f t="shared" si="11"/>
        <v>5.521747028526967</v>
      </c>
      <c r="N47" s="284">
        <f t="shared" si="11"/>
        <v>5.615616728011922</v>
      </c>
      <c r="O47" s="284">
        <f t="shared" si="11"/>
        <v>5.7110822123881277</v>
      </c>
      <c r="P47" s="284">
        <f t="shared" si="11"/>
        <v>5.8081706099987258</v>
      </c>
      <c r="Q47" s="284">
        <f t="shared" si="11"/>
        <v>5.906909510368699</v>
      </c>
      <c r="R47" s="284">
        <f t="shared" si="11"/>
        <v>6.0073269720449716</v>
      </c>
      <c r="S47" s="284">
        <f t="shared" si="11"/>
        <v>6.1094515305697357</v>
      </c>
      <c r="T47" s="284">
        <f t="shared" si="11"/>
        <v>6.2133122065894213</v>
      </c>
      <c r="U47" s="284">
        <f t="shared" si="11"/>
        <v>6.3189385141014398</v>
      </c>
      <c r="V47" s="284">
        <f t="shared" si="11"/>
        <v>6.4263604688411675</v>
      </c>
      <c r="W47" s="284">
        <f t="shared" si="11"/>
        <v>6.5356085968114641</v>
      </c>
      <c r="X47" s="284">
        <f t="shared" si="11"/>
        <v>6.6467139429572555</v>
      </c>
      <c r="Y47" s="284">
        <f t="shared" si="11"/>
        <v>6.7597080799875258</v>
      </c>
      <c r="Z47" s="284">
        <f t="shared" si="11"/>
        <v>6.874623117347312</v>
      </c>
      <c r="AA47" s="284">
        <f t="shared" si="11"/>
        <v>6.9914917103422241</v>
      </c>
      <c r="AB47" s="284">
        <f t="shared" si="11"/>
        <v>7.1103470694180331</v>
      </c>
      <c r="AC47" s="284">
        <f t="shared" si="11"/>
        <v>7.2312229695981358</v>
      </c>
      <c r="AD47" s="284">
        <f t="shared" si="11"/>
        <v>7.3541537600813101</v>
      </c>
      <c r="AE47" s="284">
        <f t="shared" si="11"/>
        <v>7.4791743740026888</v>
      </c>
      <c r="AF47" s="284">
        <f t="shared" si="11"/>
        <v>7.6063203383607387</v>
      </c>
      <c r="AG47" s="284">
        <f t="shared" si="11"/>
        <v>7.7356277841128644</v>
      </c>
      <c r="AH47" s="284">
        <f t="shared" si="11"/>
        <v>7.8671334564427795</v>
      </c>
      <c r="AI47" s="284"/>
    </row>
    <row r="48" spans="1:35" s="67" customFormat="1">
      <c r="A48" s="755" t="s">
        <v>263</v>
      </c>
      <c r="B48" s="58" t="s">
        <v>264</v>
      </c>
      <c r="C48" s="59" t="s">
        <v>153</v>
      </c>
      <c r="D48" s="60">
        <f>D43*'Demand Breakdown - Ethylene'!$E$74</f>
        <v>12.975337278106506</v>
      </c>
      <c r="E48" s="60">
        <f>E43*'Demand Breakdown - Ethylene'!$E$74</f>
        <v>13.195918011834316</v>
      </c>
      <c r="F48" s="60">
        <f>F43*'Demand Breakdown - Ethylene'!$E$74</f>
        <v>13.420248618035497</v>
      </c>
      <c r="G48" s="60">
        <f>G43*'Demand Breakdown - Ethylene'!$E$74</f>
        <v>13.6483928445421</v>
      </c>
      <c r="H48" s="60">
        <f>H43*'Demand Breakdown - Ethylene'!$E$74</f>
        <v>13.880415522899314</v>
      </c>
      <c r="I48" s="60">
        <f>I43*'Demand Breakdown - Ethylene'!$E$74</f>
        <v>14.116382586788601</v>
      </c>
      <c r="J48" s="60">
        <f>J43*'Demand Breakdown - Ethylene'!$E$74</f>
        <v>14.356361090764006</v>
      </c>
      <c r="K48" s="60">
        <f>K43*'Demand Breakdown - Ethylene'!$E$74</f>
        <v>14.600419229306993</v>
      </c>
      <c r="L48" s="60">
        <f>L43*'Demand Breakdown - Ethylene'!$E$74</f>
        <v>14.848626356205212</v>
      </c>
      <c r="M48" s="60">
        <f>M43*'Demand Breakdown - Ethylene'!$E$74</f>
        <v>15.101053004260699</v>
      </c>
      <c r="N48" s="60">
        <f>N43*'Demand Breakdown - Ethylene'!$E$74</f>
        <v>15.35777090533313</v>
      </c>
      <c r="O48" s="60">
        <f>O43*'Demand Breakdown - Ethylene'!$E$74</f>
        <v>15.618853010723791</v>
      </c>
      <c r="P48" s="60">
        <f>P43*'Demand Breakdown - Ethylene'!$E$74</f>
        <v>15.884373511906094</v>
      </c>
      <c r="Q48" s="60">
        <f>Q43*'Demand Breakdown - Ethylene'!$E$74</f>
        <v>16.154407861608497</v>
      </c>
      <c r="R48" s="60">
        <f>R43*'Demand Breakdown - Ethylene'!$E$74</f>
        <v>16.429032795255839</v>
      </c>
      <c r="S48" s="60">
        <f>S43*'Demand Breakdown - Ethylene'!$E$74</f>
        <v>16.708326352775188</v>
      </c>
      <c r="T48" s="60">
        <f>T43*'Demand Breakdown - Ethylene'!$E$74</f>
        <v>16.992367900772365</v>
      </c>
      <c r="U48" s="60">
        <f>U43*'Demand Breakdown - Ethylene'!$E$74</f>
        <v>17.281238155085493</v>
      </c>
      <c r="V48" s="60">
        <f>V43*'Demand Breakdown - Ethylene'!$E$74</f>
        <v>17.575019203721943</v>
      </c>
      <c r="W48" s="60">
        <f>W43*'Demand Breakdown - Ethylene'!$E$74</f>
        <v>17.873794530185215</v>
      </c>
      <c r="X48" s="60">
        <f>X43*'Demand Breakdown - Ethylene'!$E$74</f>
        <v>18.177649037198361</v>
      </c>
      <c r="Y48" s="60">
        <f>Y43*'Demand Breakdown - Ethylene'!$E$74</f>
        <v>18.486669070830732</v>
      </c>
      <c r="Z48" s="60">
        <f>Z43*'Demand Breakdown - Ethylene'!$E$74</f>
        <v>18.800942445034853</v>
      </c>
      <c r="AA48" s="60">
        <f>AA43*'Demand Breakdown - Ethylene'!$E$74</f>
        <v>19.120558466600443</v>
      </c>
      <c r="AB48" s="60">
        <f>AB43*'Demand Breakdown - Ethylene'!$E$74</f>
        <v>19.445607960532648</v>
      </c>
      <c r="AC48" s="60">
        <f>AC43*'Demand Breakdown - Ethylene'!$E$74</f>
        <v>19.776183295861699</v>
      </c>
      <c r="AD48" s="60">
        <f>AD43*'Demand Breakdown - Ethylene'!$E$74</f>
        <v>20.112378411891349</v>
      </c>
      <c r="AE48" s="60">
        <f>AE43*'Demand Breakdown - Ethylene'!$E$74</f>
        <v>20.454288844893497</v>
      </c>
      <c r="AF48" s="60">
        <f>AF43*'Demand Breakdown - Ethylene'!$E$74</f>
        <v>20.802011755256686</v>
      </c>
      <c r="AG48" s="60">
        <f>AG43*'Demand Breakdown - Ethylene'!$E$74</f>
        <v>21.155645955096048</v>
      </c>
      <c r="AH48" s="60">
        <f>AH43*'Demand Breakdown - Ethylene'!$E$74</f>
        <v>21.515291936332677</v>
      </c>
      <c r="AI48" s="60"/>
    </row>
    <row r="49" spans="1:35" s="68" customFormat="1">
      <c r="A49" s="757"/>
      <c r="B49" s="62" t="s">
        <v>266</v>
      </c>
      <c r="C49" s="283" t="s">
        <v>153</v>
      </c>
      <c r="D49" s="284">
        <f>D43*'Demand Breakdown - Ethylene'!$D$74/'Demand Breakdown - Ethylene'!$L$24</f>
        <v>2.8011119939271252</v>
      </c>
      <c r="E49" s="284">
        <f>E43*'Demand Breakdown - Ethylene'!$D$74/'Demand Breakdown - Ethylene'!$L$24</f>
        <v>2.8487308978238861</v>
      </c>
      <c r="F49" s="284">
        <f>F43*'Demand Breakdown - Ethylene'!$D$74/'Demand Breakdown - Ethylene'!$L$24</f>
        <v>2.8971593230868922</v>
      </c>
      <c r="G49" s="284">
        <f>G43*'Demand Breakdown - Ethylene'!$D$74/'Demand Breakdown - Ethylene'!$L$24</f>
        <v>2.9464110315793688</v>
      </c>
      <c r="H49" s="284">
        <f>H43*'Demand Breakdown - Ethylene'!$D$74/'Demand Breakdown - Ethylene'!$L$24</f>
        <v>2.9965000191162177</v>
      </c>
      <c r="I49" s="284">
        <f>I43*'Demand Breakdown - Ethylene'!$D$74/'Demand Breakdown - Ethylene'!$L$24</f>
        <v>3.0474405194411931</v>
      </c>
      <c r="J49" s="284">
        <f>J43*'Demand Breakdown - Ethylene'!$D$74/'Demand Breakdown - Ethylene'!$L$24</f>
        <v>3.0992470082716932</v>
      </c>
      <c r="K49" s="284">
        <f>K43*'Demand Breakdown - Ethylene'!$D$74/'Demand Breakdown - Ethylene'!$L$24</f>
        <v>3.151934207412312</v>
      </c>
      <c r="L49" s="284">
        <f>L43*'Demand Breakdown - Ethylene'!$D$74/'Demand Breakdown - Ethylene'!$L$24</f>
        <v>3.2055170889383211</v>
      </c>
      <c r="M49" s="284">
        <f>M43*'Demand Breakdown - Ethylene'!$D$74/'Demand Breakdown - Ethylene'!$L$24</f>
        <v>3.2600108794502725</v>
      </c>
      <c r="N49" s="284">
        <f>N43*'Demand Breakdown - Ethylene'!$D$74/'Demand Breakdown - Ethylene'!$L$24</f>
        <v>3.3154310644009266</v>
      </c>
      <c r="O49" s="284">
        <f>O43*'Demand Breakdown - Ethylene'!$D$74/'Demand Breakdown - Ethylene'!$L$24</f>
        <v>3.3717933924957419</v>
      </c>
      <c r="P49" s="284">
        <f>P43*'Demand Breakdown - Ethylene'!$D$74/'Demand Breakdown - Ethylene'!$L$24</f>
        <v>3.4291138801681695</v>
      </c>
      <c r="Q49" s="284">
        <f>Q43*'Demand Breakdown - Ethylene'!$D$74/'Demand Breakdown - Ethylene'!$L$24</f>
        <v>3.4874088161310279</v>
      </c>
      <c r="R49" s="284">
        <f>R43*'Demand Breakdown - Ethylene'!$D$74/'Demand Breakdown - Ethylene'!$L$24</f>
        <v>3.5466947660052557</v>
      </c>
      <c r="S49" s="284">
        <f>S43*'Demand Breakdown - Ethylene'!$D$74/'Demand Breakdown - Ethylene'!$L$24</f>
        <v>3.606988577027344</v>
      </c>
      <c r="T49" s="284">
        <f>T43*'Demand Breakdown - Ethylene'!$D$74/'Demand Breakdown - Ethylene'!$L$24</f>
        <v>3.6683073828368085</v>
      </c>
      <c r="U49" s="284">
        <f>U43*'Demand Breakdown - Ethylene'!$D$74/'Demand Breakdown - Ethylene'!$L$24</f>
        <v>3.7306686083450336</v>
      </c>
      <c r="V49" s="284">
        <f>V43*'Demand Breakdown - Ethylene'!$D$74/'Demand Breakdown - Ethylene'!$L$24</f>
        <v>3.7940899746868983</v>
      </c>
      <c r="W49" s="284">
        <f>W43*'Demand Breakdown - Ethylene'!$D$74/'Demand Breakdown - Ethylene'!$L$24</f>
        <v>3.8585895042565759</v>
      </c>
      <c r="X49" s="284">
        <f>X43*'Demand Breakdown - Ethylene'!$D$74/'Demand Breakdown - Ethylene'!$L$24</f>
        <v>3.9241855258289373</v>
      </c>
      <c r="Y49" s="284">
        <f>Y43*'Demand Breakdown - Ethylene'!$D$74/'Demand Breakdown - Ethylene'!$L$24</f>
        <v>3.9908966797680292</v>
      </c>
      <c r="Z49" s="284">
        <f>Z43*'Demand Breakdown - Ethylene'!$D$74/'Demand Breakdown - Ethylene'!$L$24</f>
        <v>4.0587419233240851</v>
      </c>
      <c r="AA49" s="284">
        <f>AA43*'Demand Breakdown - Ethylene'!$D$74/'Demand Breakdown - Ethylene'!$L$24</f>
        <v>4.1277405360205934</v>
      </c>
      <c r="AB49" s="284">
        <f>AB43*'Demand Breakdown - Ethylene'!$D$74/'Demand Breakdown - Ethylene'!$L$24</f>
        <v>4.1979121251329437</v>
      </c>
      <c r="AC49" s="284">
        <f>AC43*'Demand Breakdown - Ethylene'!$D$74/'Demand Breakdown - Ethylene'!$L$24</f>
        <v>4.2692766312602028</v>
      </c>
      <c r="AD49" s="284">
        <f>AD43*'Demand Breakdown - Ethylene'!$D$74/'Demand Breakdown - Ethylene'!$L$24</f>
        <v>4.341854333991626</v>
      </c>
      <c r="AE49" s="284">
        <f>AE43*'Demand Breakdown - Ethylene'!$D$74/'Demand Breakdown - Ethylene'!$L$24</f>
        <v>4.4156658576694827</v>
      </c>
      <c r="AF49" s="284">
        <f>AF43*'Demand Breakdown - Ethylene'!$D$74/'Demand Breakdown - Ethylene'!$L$24</f>
        <v>4.4907321772498641</v>
      </c>
      <c r="AG49" s="284">
        <f>AG43*'Demand Breakdown - Ethylene'!$D$74/'Demand Breakdown - Ethylene'!$L$24</f>
        <v>4.5670746242631113</v>
      </c>
      <c r="AH49" s="284">
        <f>AH43*'Demand Breakdown - Ethylene'!$D$74/'Demand Breakdown - Ethylene'!$L$24</f>
        <v>4.6447148928755837</v>
      </c>
      <c r="AI49" s="284"/>
    </row>
    <row r="50" spans="1:35">
      <c r="A50" s="1" t="s">
        <v>205</v>
      </c>
      <c r="B50" s="58" t="s">
        <v>199</v>
      </c>
      <c r="C50" s="59" t="s">
        <v>153</v>
      </c>
      <c r="D50" s="60">
        <f>'R&amp;S - Apparel'!E4</f>
        <v>3.4336211538461541</v>
      </c>
      <c r="E50" s="60">
        <f>D50*(1+'R&amp;S - Apparel'!$C$5)</f>
        <v>3.5057271980769231</v>
      </c>
      <c r="F50" s="60">
        <f>E50*(1+'R&amp;S - Apparel'!$C$5)</f>
        <v>3.5793474692365383</v>
      </c>
      <c r="G50" s="60">
        <f>F50*(1+'R&amp;S - Apparel'!$C$5)</f>
        <v>3.6545137660905054</v>
      </c>
      <c r="H50" s="60">
        <f>G50*(1+'R&amp;S - Apparel'!$C$5)</f>
        <v>3.7312585551784054</v>
      </c>
      <c r="I50" s="60">
        <f>H50*(1+'R&amp;S - Apparel'!$C$5)</f>
        <v>3.8096149848371517</v>
      </c>
      <c r="J50" s="60">
        <f>I50*(1+'R&amp;S - Apparel'!$C$5)</f>
        <v>3.8896168995187317</v>
      </c>
      <c r="K50" s="60">
        <f>J50*(1+'R&amp;S - Apparel'!$C$5)</f>
        <v>3.9712988544086247</v>
      </c>
      <c r="L50" s="60">
        <f>K50*(1+'R&amp;S - Apparel'!$C$5)</f>
        <v>4.0546961303512052</v>
      </c>
      <c r="M50" s="60">
        <f>L50*(1+'R&amp;S - Apparel'!$C$5)</f>
        <v>4.1398447490885806</v>
      </c>
      <c r="N50" s="60">
        <f>M50*(1+'R&amp;S - Apparel'!$C$5)</f>
        <v>4.2267814888194408</v>
      </c>
      <c r="O50" s="60">
        <f>N50*(1+'R&amp;S - Apparel'!$C$5)</f>
        <v>4.3155439000846485</v>
      </c>
      <c r="P50" s="60">
        <f>O50*(1+'R&amp;S - Apparel'!$C$5)</f>
        <v>4.4061703219864254</v>
      </c>
      <c r="Q50" s="60">
        <f>P50*(1+'R&amp;S - Apparel'!$C$5)</f>
        <v>4.4986998987481401</v>
      </c>
      <c r="R50" s="60">
        <f>Q50*(1+'R&amp;S - Apparel'!$C$5)</f>
        <v>4.5931725966218506</v>
      </c>
      <c r="S50" s="60">
        <f>R50*(1+'R&amp;S - Apparel'!$C$5)</f>
        <v>4.6896292211509092</v>
      </c>
      <c r="T50" s="60">
        <f>S50*(1+'R&amp;S - Apparel'!$C$5)</f>
        <v>4.7881114347950779</v>
      </c>
      <c r="U50" s="60">
        <f>T50*(1+'R&amp;S - Apparel'!$C$5)</f>
        <v>4.8886617749257741</v>
      </c>
      <c r="V50" s="60">
        <f>U50*(1+'R&amp;S - Apparel'!$C$5)</f>
        <v>4.9913236721992149</v>
      </c>
      <c r="W50" s="60">
        <f>V50*(1+'R&amp;S - Apparel'!$C$5)</f>
        <v>5.0961414693153984</v>
      </c>
      <c r="X50" s="60">
        <f>W50*(1+'R&amp;S - Apparel'!$C$5)</f>
        <v>5.203160440171021</v>
      </c>
      <c r="Y50" s="60">
        <f>X50*(1+'R&amp;S - Apparel'!$C$5)</f>
        <v>5.3124268094146121</v>
      </c>
      <c r="Z50" s="60">
        <f>Y50*(1+'R&amp;S - Apparel'!$C$5)</f>
        <v>5.4239877724123184</v>
      </c>
      <c r="AA50" s="60">
        <f>Z50*(1+'R&amp;S - Apparel'!$C$5)</f>
        <v>5.5378915156329764</v>
      </c>
      <c r="AB50" s="60">
        <f>AA50*(1+'R&amp;S - Apparel'!$C$5)</f>
        <v>5.6541872374612687</v>
      </c>
      <c r="AC50" s="60">
        <f>AB50*(1+'R&amp;S - Apparel'!$C$5)</f>
        <v>5.7729251694479551</v>
      </c>
      <c r="AD50" s="60">
        <f>AC50*(1+'R&amp;S - Apparel'!$C$5)</f>
        <v>5.8941565980063615</v>
      </c>
      <c r="AE50" s="60">
        <f>AD50*(1+'R&amp;S - Apparel'!$C$5)</f>
        <v>6.0179338865644949</v>
      </c>
      <c r="AF50" s="60">
        <f>AE50*(1+'R&amp;S - Apparel'!$C$5)</f>
        <v>6.1443104981823486</v>
      </c>
      <c r="AG50" s="60">
        <f>AF50*(1+'R&amp;S - Apparel'!$C$5)</f>
        <v>6.2733410186441771</v>
      </c>
      <c r="AH50" s="60">
        <f>AG50*(1+'R&amp;S - Apparel'!$C$5)</f>
        <v>6.4050811800357046</v>
      </c>
    </row>
    <row r="51" spans="1:35" outlineLevel="1">
      <c r="B51" s="61" t="s">
        <v>206</v>
      </c>
      <c r="C51" s="54" t="s">
        <v>153</v>
      </c>
      <c r="D51">
        <v>0</v>
      </c>
      <c r="E51" s="43">
        <f>E50*'R&amp;S - Apparel'!$C$7*'R&amp;S - Apparel'!$B$14*'R&amp;S - Apparel'!$B$17*('Yearly LC Ethylene'!E$3-'Yearly LC Ethylene'!$D$3)/10</f>
        <v>0</v>
      </c>
      <c r="F51" s="43">
        <f>F50*'R&amp;S - Apparel'!$C$7*'R&amp;S - Apparel'!$B$14*'R&amp;S - Apparel'!$B$17*('Yearly LC Ethylene'!F$3-'Yearly LC Ethylene'!$D$3)/10</f>
        <v>0</v>
      </c>
      <c r="G51" s="43">
        <f>G50*'R&amp;S - Apparel'!$C$7*'R&amp;S - Apparel'!$B$14*'R&amp;S - Apparel'!$B$17*('Yearly LC Ethylene'!G$3-'Yearly LC Ethylene'!$D$3)/10</f>
        <v>0</v>
      </c>
      <c r="H51" s="43">
        <f>H50*'R&amp;S - Apparel'!$C$7*'R&amp;S - Apparel'!$B$14*'R&amp;S - Apparel'!$B$17*('Yearly LC Ethylene'!H$3-'Yearly LC Ethylene'!$D$3)/10</f>
        <v>0</v>
      </c>
      <c r="I51" s="43">
        <f>I50*'R&amp;S - Apparel'!$C$7*'R&amp;S - Apparel'!$B$14*'R&amp;S - Apparel'!$B$17*('Yearly LC Ethylene'!I$3-'Yearly LC Ethylene'!$D$3)/10</f>
        <v>0</v>
      </c>
      <c r="J51" s="43">
        <f>J50*'R&amp;S - Apparel'!$C$7*'R&amp;S - Apparel'!$B$14*'R&amp;S - Apparel'!$B$17*('Yearly LC Ethylene'!J$3-'Yearly LC Ethylene'!$D$3)/10</f>
        <v>0</v>
      </c>
      <c r="K51" s="43">
        <f>K50*'R&amp;S - Apparel'!$C$7*'R&amp;S - Apparel'!$B$14*'R&amp;S - Apparel'!$B$17*('Yearly LC Ethylene'!K$3-'Yearly LC Ethylene'!$D$3)/10</f>
        <v>0</v>
      </c>
      <c r="L51" s="43">
        <f>L50*'R&amp;S - Apparel'!$C$7*'R&amp;S - Apparel'!$B$14*'R&amp;S - Apparel'!$B$17*('Yearly LC Ethylene'!L$3-'Yearly LC Ethylene'!$D$3)/10</f>
        <v>0</v>
      </c>
      <c r="M51" s="43">
        <f>M50*'R&amp;S - Apparel'!$C$7*'R&amp;S - Apparel'!$B$14*'R&amp;S - Apparel'!$B$17*('Yearly LC Ethylene'!M$3-'Yearly LC Ethylene'!$D$3)/10</f>
        <v>0</v>
      </c>
      <c r="N51" s="43">
        <f>N50*'R&amp;S - Apparel'!$C$7*'R&amp;S - Apparel'!$B$14*'R&amp;S - Apparel'!$B$17*('Yearly LC Ethylene'!N$3-'Yearly LC Ethylene'!$D$3)/10</f>
        <v>0</v>
      </c>
      <c r="O51" s="43">
        <f>O50*'R&amp;S - Apparel'!$C$7*'R&amp;S - Apparel'!$B$14*('R&amp;S - Apparel'!$B$17+('R&amp;S - Apparel'!$B$18-'R&amp;S - Apparel'!$B$17)*('Yearly LC Ethylene'!O$3-'Yearly LC Ethylene'!$N$3)/10)</f>
        <v>0</v>
      </c>
      <c r="P51" s="43">
        <f>P50*'R&amp;S - Apparel'!$C$7*'R&amp;S - Apparel'!$B$14*('R&amp;S - Apparel'!$B$17+('R&amp;S - Apparel'!$B$18-'R&amp;S - Apparel'!$B$17)*('Yearly LC Ethylene'!P$3-'Yearly LC Ethylene'!$N$3)/10)</f>
        <v>0</v>
      </c>
      <c r="Q51" s="43">
        <f>Q50*'R&amp;S - Apparel'!$C$7*'R&amp;S - Apparel'!$B$14*('R&amp;S - Apparel'!$B$17+('R&amp;S - Apparel'!$B$18-'R&amp;S - Apparel'!$B$17)*('Yearly LC Ethylene'!Q$3-'Yearly LC Ethylene'!$N$3)/10)</f>
        <v>0</v>
      </c>
      <c r="R51" s="43">
        <f>R50*'R&amp;S - Apparel'!$C$7*'R&amp;S - Apparel'!$B$14*('R&amp;S - Apparel'!$B$17+('R&amp;S - Apparel'!$B$18-'R&amp;S - Apparel'!$B$17)*('Yearly LC Ethylene'!R$3-'Yearly LC Ethylene'!$N$3)/10)</f>
        <v>0</v>
      </c>
      <c r="S51" s="43">
        <f>S50*'R&amp;S - Apparel'!$C$7*'R&amp;S - Apparel'!$B$14*('R&amp;S - Apparel'!$B$17+('R&amp;S - Apparel'!$B$18-'R&amp;S - Apparel'!$B$17)*('Yearly LC Ethylene'!S$3-'Yearly LC Ethylene'!$N$3)/10)</f>
        <v>0</v>
      </c>
      <c r="T51" s="43">
        <f>T50*'R&amp;S - Apparel'!$C$7*'R&amp;S - Apparel'!$B$14*('R&amp;S - Apparel'!$B$17+('R&amp;S - Apparel'!$B$18-'R&amp;S - Apparel'!$B$17)*('Yearly LC Ethylene'!T$3-'Yearly LC Ethylene'!$N$3)/10)</f>
        <v>0</v>
      </c>
      <c r="U51" s="43">
        <f>U50*'R&amp;S - Apparel'!$C$7*'R&amp;S - Apparel'!$B$14*('R&amp;S - Apparel'!$B$17+('R&amp;S - Apparel'!$B$18-'R&amp;S - Apparel'!$B$17)*('Yearly LC Ethylene'!U$3-'Yearly LC Ethylene'!$N$3)/10)</f>
        <v>0</v>
      </c>
      <c r="V51" s="43">
        <f>V50*'R&amp;S - Apparel'!$C$7*'R&amp;S - Apparel'!$B$14*('R&amp;S - Apparel'!$B$17+('R&amp;S - Apparel'!$B$18-'R&amp;S - Apparel'!$B$17)*('Yearly LC Ethylene'!V$3-'Yearly LC Ethylene'!$N$3)/10)</f>
        <v>0</v>
      </c>
      <c r="W51" s="43">
        <f>W50*'R&amp;S - Apparel'!$C$7*'R&amp;S - Apparel'!$B$14*('R&amp;S - Apparel'!$B$17+('R&amp;S - Apparel'!$B$18-'R&amp;S - Apparel'!$B$17)*('Yearly LC Ethylene'!W$3-'Yearly LC Ethylene'!$N$3)/10)</f>
        <v>0</v>
      </c>
      <c r="X51" s="43">
        <f>X50*'R&amp;S - Apparel'!$C$7*'R&amp;S - Apparel'!$B$14*('R&amp;S - Apparel'!$B$17+('R&amp;S - Apparel'!$B$18-'R&amp;S - Apparel'!$B$17)*('Yearly LC Ethylene'!X$3-'Yearly LC Ethylene'!$N$3)/10)</f>
        <v>0</v>
      </c>
      <c r="Y51" s="43">
        <f>Y50*'R&amp;S - Apparel'!$C$7*'R&amp;S - Apparel'!$B$14*('R&amp;S - Apparel'!$B$18+('R&amp;S - Apparel'!$B$19-'R&amp;S - Apparel'!$B$18)*('Yearly LC Ethylene'!Y$3-'Yearly LC Ethylene'!$X$3)/10)</f>
        <v>0</v>
      </c>
      <c r="Z51" s="43">
        <f>Z50*'R&amp;S - Apparel'!$C$7*'R&amp;S - Apparel'!$B$14*('R&amp;S - Apparel'!$B$18+('R&amp;S - Apparel'!$B$19-'R&amp;S - Apparel'!$B$18)*('Yearly LC Ethylene'!Z$3-'Yearly LC Ethylene'!$X$3)/10)</f>
        <v>0</v>
      </c>
      <c r="AA51" s="43">
        <f>AA50*'R&amp;S - Apparel'!$C$7*'R&amp;S - Apparel'!$B$14*('R&amp;S - Apparel'!$B$18+('R&amp;S - Apparel'!$B$19-'R&amp;S - Apparel'!$B$18)*('Yearly LC Ethylene'!AA$3-'Yearly LC Ethylene'!$X$3)/10)</f>
        <v>0</v>
      </c>
      <c r="AB51" s="43">
        <f>AB50*'R&amp;S - Apparel'!$C$7*'R&amp;S - Apparel'!$B$14*('R&amp;S - Apparel'!$B$18+('R&amp;S - Apparel'!$B$19-'R&amp;S - Apparel'!$B$18)*('Yearly LC Ethylene'!AB$3-'Yearly LC Ethylene'!$X$3)/10)</f>
        <v>0</v>
      </c>
      <c r="AC51" s="43">
        <f>AC50*'R&amp;S - Apparel'!$C$7*'R&amp;S - Apparel'!$B$14*('R&amp;S - Apparel'!$B$18+('R&amp;S - Apparel'!$B$19-'R&amp;S - Apparel'!$B$18)*('Yearly LC Ethylene'!AC$3-'Yearly LC Ethylene'!$X$3)/10)</f>
        <v>0</v>
      </c>
      <c r="AD51" s="43">
        <f>AD50*'R&amp;S - Apparel'!$C$7*'R&amp;S - Apparel'!$B$14*('R&amp;S - Apparel'!$B$18+('R&amp;S - Apparel'!$B$19-'R&amp;S - Apparel'!$B$18)*('Yearly LC Ethylene'!AD$3-'Yearly LC Ethylene'!$X$3)/10)</f>
        <v>0</v>
      </c>
      <c r="AE51" s="43">
        <f>AE50*'R&amp;S - Apparel'!$C$7*'R&amp;S - Apparel'!$B$14*('R&amp;S - Apparel'!$B$18+('R&amp;S - Apparel'!$B$19-'R&amp;S - Apparel'!$B$18)*('Yearly LC Ethylene'!AE$3-'Yearly LC Ethylene'!$X$3)/10)</f>
        <v>0</v>
      </c>
      <c r="AF51" s="43">
        <f>AF50*'R&amp;S - Apparel'!$C$7*'R&amp;S - Apparel'!$B$14*('R&amp;S - Apparel'!$B$18+('R&amp;S - Apparel'!$B$19-'R&amp;S - Apparel'!$B$18)*('Yearly LC Ethylene'!AF$3-'Yearly LC Ethylene'!$X$3)/10)</f>
        <v>0</v>
      </c>
      <c r="AG51" s="43">
        <f>AG50*'R&amp;S - Apparel'!$C$7*'R&amp;S - Apparel'!$B$14*('R&amp;S - Apparel'!$B$18+('R&amp;S - Apparel'!$B$19-'R&amp;S - Apparel'!$B$18)*('Yearly LC Ethylene'!AG$3-'Yearly LC Ethylene'!$X$3)/10)</f>
        <v>0</v>
      </c>
      <c r="AH51" s="43">
        <f>AH50*'R&amp;S - Apparel'!$C$7*'R&amp;S - Apparel'!$B$14*('R&amp;S - Apparel'!$B$18+('R&amp;S - Apparel'!$B$19-'R&amp;S - Apparel'!$B$18)*('Yearly LC Ethylene'!AH$3-'Yearly LC Ethylene'!$X$3)/10)</f>
        <v>0</v>
      </c>
    </row>
    <row r="52" spans="1:35" outlineLevel="1">
      <c r="B52" s="61" t="s">
        <v>207</v>
      </c>
      <c r="C52" s="54" t="s">
        <v>153</v>
      </c>
      <c r="D52">
        <v>0</v>
      </c>
      <c r="E52" s="43">
        <f>E50*'R&amp;S - Apparel'!$C$8*'R&amp;S - Apparel'!$B$14*'R&amp;S - Apparel'!$C$17*('Yearly LC Ethylene'!E$3-'Yearly LC Ethylene'!$D$3)/10</f>
        <v>0</v>
      </c>
      <c r="F52" s="43">
        <f>F50*'R&amp;S - Apparel'!$C$8*'R&amp;S - Apparel'!$B$14*'R&amp;S - Apparel'!$C$17*('Yearly LC Ethylene'!F$3-'Yearly LC Ethylene'!$D$3)/10</f>
        <v>0</v>
      </c>
      <c r="G52" s="43">
        <f>G50*'R&amp;S - Apparel'!$C$8*'R&amp;S - Apparel'!$B$14*'R&amp;S - Apparel'!$C$17*('Yearly LC Ethylene'!G$3-'Yearly LC Ethylene'!$D$3)/10</f>
        <v>0</v>
      </c>
      <c r="H52" s="43">
        <f>H50*'R&amp;S - Apparel'!$C$8*'R&amp;S - Apparel'!$B$14*'R&amp;S - Apparel'!$C$17*('Yearly LC Ethylene'!H$3-'Yearly LC Ethylene'!$D$3)/10</f>
        <v>0</v>
      </c>
      <c r="I52" s="43">
        <f>I50*'R&amp;S - Apparel'!$C$8*'R&amp;S - Apparel'!$B$14*'R&amp;S - Apparel'!$C$17*('Yearly LC Ethylene'!I$3-'Yearly LC Ethylene'!$D$3)/10</f>
        <v>0</v>
      </c>
      <c r="J52" s="43">
        <f>J50*'R&amp;S - Apparel'!$C$8*'R&amp;S - Apparel'!$B$14*'R&amp;S - Apparel'!$C$17*('Yearly LC Ethylene'!J$3-'Yearly LC Ethylene'!$D$3)/10</f>
        <v>0</v>
      </c>
      <c r="K52" s="43">
        <f>K50*'R&amp;S - Apparel'!$C$8*'R&amp;S - Apparel'!$B$14*'R&amp;S - Apparel'!$C$17*('Yearly LC Ethylene'!K$3-'Yearly LC Ethylene'!$D$3)/10</f>
        <v>0</v>
      </c>
      <c r="L52" s="43">
        <f>L50*'R&amp;S - Apparel'!$C$8*'R&amp;S - Apparel'!$B$14*'R&amp;S - Apparel'!$C$17*('Yearly LC Ethylene'!L$3-'Yearly LC Ethylene'!$D$3)/10</f>
        <v>0</v>
      </c>
      <c r="M52" s="43">
        <f>M50*'R&amp;S - Apparel'!$C$8*'R&amp;S - Apparel'!$B$14*'R&amp;S - Apparel'!$C$17*('Yearly LC Ethylene'!M$3-'Yearly LC Ethylene'!$D$3)/10</f>
        <v>0</v>
      </c>
      <c r="N52" s="43">
        <f>N50*'R&amp;S - Apparel'!$C$8*'R&amp;S - Apparel'!$B$14*'R&amp;S - Apparel'!$C$17*('Yearly LC Ethylene'!N$3-'Yearly LC Ethylene'!$D$3)/10</f>
        <v>0</v>
      </c>
      <c r="O52" s="43">
        <f>O50*'R&amp;S - Apparel'!$C$8*'R&amp;S - Apparel'!$B$14*('R&amp;S - Apparel'!$C$17+('R&amp;S - Apparel'!$C$18-'R&amp;S - Apparel'!$C$17)*('Yearly LC Ethylene'!O$3-'Yearly LC Ethylene'!$N$3)/10)</f>
        <v>0</v>
      </c>
      <c r="P52" s="43">
        <f>P50*'R&amp;S - Apparel'!$C$8*'R&amp;S - Apparel'!$B$14*('R&amp;S - Apparel'!$C$17+('R&amp;S - Apparel'!$C$18-'R&amp;S - Apparel'!$C$17)*('Yearly LC Ethylene'!P$3-'Yearly LC Ethylene'!$N$3)/10)</f>
        <v>0</v>
      </c>
      <c r="Q52" s="43">
        <f>Q50*'R&amp;S - Apparel'!$C$8*'R&amp;S - Apparel'!$B$14*('R&amp;S - Apparel'!$C$17+('R&amp;S - Apparel'!$C$18-'R&amp;S - Apparel'!$C$17)*('Yearly LC Ethylene'!Q$3-'Yearly LC Ethylene'!$N$3)/10)</f>
        <v>0</v>
      </c>
      <c r="R52" s="43">
        <f>R50*'R&amp;S - Apparel'!$C$8*'R&amp;S - Apparel'!$B$14*('R&amp;S - Apparel'!$C$17+('R&amp;S - Apparel'!$C$18-'R&amp;S - Apparel'!$C$17)*('Yearly LC Ethylene'!R$3-'Yearly LC Ethylene'!$N$3)/10)</f>
        <v>0</v>
      </c>
      <c r="S52" s="43">
        <f>S50*'R&amp;S - Apparel'!$C$8*'R&amp;S - Apparel'!$B$14*('R&amp;S - Apparel'!$C$17+('R&amp;S - Apparel'!$C$18-'R&amp;S - Apparel'!$C$17)*('Yearly LC Ethylene'!S$3-'Yearly LC Ethylene'!$N$3)/10)</f>
        <v>0</v>
      </c>
      <c r="T52" s="43">
        <f>T50*'R&amp;S - Apparel'!$C$8*'R&amp;S - Apparel'!$B$14*('R&amp;S - Apparel'!$C$17+('R&amp;S - Apparel'!$C$18-'R&amp;S - Apparel'!$C$17)*('Yearly LC Ethylene'!T$3-'Yearly LC Ethylene'!$N$3)/10)</f>
        <v>0</v>
      </c>
      <c r="U52" s="43">
        <f>U50*'R&amp;S - Apparel'!$C$8*'R&amp;S - Apparel'!$B$14*('R&amp;S - Apparel'!$C$17+('R&amp;S - Apparel'!$C$18-'R&amp;S - Apparel'!$C$17)*('Yearly LC Ethylene'!U$3-'Yearly LC Ethylene'!$N$3)/10)</f>
        <v>0</v>
      </c>
      <c r="V52" s="43">
        <f>V50*'R&amp;S - Apparel'!$C$8*'R&amp;S - Apparel'!$B$14*('R&amp;S - Apparel'!$C$17+('R&amp;S - Apparel'!$C$18-'R&amp;S - Apparel'!$C$17)*('Yearly LC Ethylene'!V$3-'Yearly LC Ethylene'!$N$3)/10)</f>
        <v>0</v>
      </c>
      <c r="W52" s="43">
        <f>W50*'R&amp;S - Apparel'!$C$8*'R&amp;S - Apparel'!$B$14*('R&amp;S - Apparel'!$C$17+('R&amp;S - Apparel'!$C$18-'R&amp;S - Apparel'!$C$17)*('Yearly LC Ethylene'!W$3-'Yearly LC Ethylene'!$N$3)/10)</f>
        <v>0</v>
      </c>
      <c r="X52" s="43">
        <f>X50*'R&amp;S - Apparel'!$C$8*'R&amp;S - Apparel'!$B$14*('R&amp;S - Apparel'!$C$17+('R&amp;S - Apparel'!$C$18-'R&amp;S - Apparel'!$C$17)*('Yearly LC Ethylene'!X$3-'Yearly LC Ethylene'!$N$3)/10)</f>
        <v>0</v>
      </c>
      <c r="Y52" s="43">
        <f>Y50*'R&amp;S - Apparel'!$C$8*'R&amp;S - Apparel'!$B$14*('R&amp;S - Apparel'!$C$18+('R&amp;S - Apparel'!$C$19-'R&amp;S - Apparel'!$C$18)*('Yearly LC Ethylene'!Y$3-'Yearly LC Ethylene'!$X$3)/10)</f>
        <v>0</v>
      </c>
      <c r="Z52" s="43">
        <f>Z50*'R&amp;S - Apparel'!$C$8*'R&amp;S - Apparel'!$B$14*('R&amp;S - Apparel'!$C$18+('R&amp;S - Apparel'!$C$19-'R&amp;S - Apparel'!$C$18)*('Yearly LC Ethylene'!Z$3-'Yearly LC Ethylene'!$X$3)/10)</f>
        <v>0</v>
      </c>
      <c r="AA52" s="43">
        <f>AA50*'R&amp;S - Apparel'!$C$8*'R&amp;S - Apparel'!$B$14*('R&amp;S - Apparel'!$C$18+('R&amp;S - Apparel'!$C$19-'R&amp;S - Apparel'!$C$18)*('Yearly LC Ethylene'!AA$3-'Yearly LC Ethylene'!$X$3)/10)</f>
        <v>0</v>
      </c>
      <c r="AB52" s="43">
        <f>AB50*'R&amp;S - Apparel'!$C$8*'R&amp;S - Apparel'!$B$14*('R&amp;S - Apparel'!$C$18+('R&amp;S - Apparel'!$C$19-'R&amp;S - Apparel'!$C$18)*('Yearly LC Ethylene'!AB$3-'Yearly LC Ethylene'!$X$3)/10)</f>
        <v>0</v>
      </c>
      <c r="AC52" s="43">
        <f>AC50*'R&amp;S - Apparel'!$C$8*'R&amp;S - Apparel'!$B$14*('R&amp;S - Apparel'!$C$18+('R&amp;S - Apparel'!$C$19-'R&amp;S - Apparel'!$C$18)*('Yearly LC Ethylene'!AC$3-'Yearly LC Ethylene'!$X$3)/10)</f>
        <v>0</v>
      </c>
      <c r="AD52" s="43">
        <f>AD50*'R&amp;S - Apparel'!$C$8*'R&amp;S - Apparel'!$B$14*('R&amp;S - Apparel'!$C$18+('R&amp;S - Apparel'!$C$19-'R&amp;S - Apparel'!$C$18)*('Yearly LC Ethylene'!AD$3-'Yearly LC Ethylene'!$X$3)/10)</f>
        <v>0</v>
      </c>
      <c r="AE52" s="43">
        <f>AE50*'R&amp;S - Apparel'!$C$8*'R&amp;S - Apparel'!$B$14*('R&amp;S - Apparel'!$C$18+('R&amp;S - Apparel'!$C$19-'R&amp;S - Apparel'!$C$18)*('Yearly LC Ethylene'!AE$3-'Yearly LC Ethylene'!$X$3)/10)</f>
        <v>0</v>
      </c>
      <c r="AF52" s="43">
        <f>AF50*'R&amp;S - Apparel'!$C$8*'R&amp;S - Apparel'!$B$14*('R&amp;S - Apparel'!$C$18+('R&amp;S - Apparel'!$C$19-'R&amp;S - Apparel'!$C$18)*('Yearly LC Ethylene'!AF$3-'Yearly LC Ethylene'!$X$3)/10)</f>
        <v>0</v>
      </c>
      <c r="AG52" s="43">
        <f>AG50*'R&amp;S - Apparel'!$C$8*'R&amp;S - Apparel'!$B$14*('R&amp;S - Apparel'!$C$18+('R&amp;S - Apparel'!$C$19-'R&amp;S - Apparel'!$C$18)*('Yearly LC Ethylene'!AG$3-'Yearly LC Ethylene'!$X$3)/10)</f>
        <v>0</v>
      </c>
      <c r="AH52" s="43">
        <f>AH50*'R&amp;S - Apparel'!$C$8*'R&amp;S - Apparel'!$B$14*('R&amp;S - Apparel'!$C$18+('R&amp;S - Apparel'!$C$19-'R&amp;S - Apparel'!$C$18)*('Yearly LC Ethylene'!AH$3-'Yearly LC Ethylene'!$X$3)/10)</f>
        <v>0</v>
      </c>
    </row>
    <row r="53" spans="1:35" outlineLevel="1">
      <c r="B53" s="1" t="s">
        <v>168</v>
      </c>
      <c r="C53" s="54" t="s">
        <v>153</v>
      </c>
      <c r="D53" s="44">
        <f>SUM(D51:D52)</f>
        <v>0</v>
      </c>
      <c r="E53" s="44">
        <f t="shared" ref="E53:AG53" si="12">SUM(E51:E52)</f>
        <v>0</v>
      </c>
      <c r="F53" s="44">
        <f t="shared" si="12"/>
        <v>0</v>
      </c>
      <c r="G53" s="44">
        <f t="shared" si="12"/>
        <v>0</v>
      </c>
      <c r="H53" s="44">
        <f t="shared" si="12"/>
        <v>0</v>
      </c>
      <c r="I53" s="44">
        <f t="shared" si="12"/>
        <v>0</v>
      </c>
      <c r="J53" s="44">
        <f t="shared" si="12"/>
        <v>0</v>
      </c>
      <c r="K53" s="44">
        <f t="shared" si="12"/>
        <v>0</v>
      </c>
      <c r="L53" s="44">
        <f t="shared" si="12"/>
        <v>0</v>
      </c>
      <c r="M53" s="44">
        <f t="shared" si="12"/>
        <v>0</v>
      </c>
      <c r="N53" s="44">
        <f t="shared" si="12"/>
        <v>0</v>
      </c>
      <c r="O53" s="44">
        <f t="shared" si="12"/>
        <v>0</v>
      </c>
      <c r="P53" s="44">
        <f t="shared" si="12"/>
        <v>0</v>
      </c>
      <c r="Q53" s="44">
        <f t="shared" si="12"/>
        <v>0</v>
      </c>
      <c r="R53" s="44">
        <f t="shared" si="12"/>
        <v>0</v>
      </c>
      <c r="S53" s="44">
        <f t="shared" si="12"/>
        <v>0</v>
      </c>
      <c r="T53" s="44">
        <f t="shared" si="12"/>
        <v>0</v>
      </c>
      <c r="U53" s="44">
        <f t="shared" si="12"/>
        <v>0</v>
      </c>
      <c r="V53" s="44">
        <f t="shared" si="12"/>
        <v>0</v>
      </c>
      <c r="W53" s="44">
        <f t="shared" si="12"/>
        <v>0</v>
      </c>
      <c r="X53" s="44">
        <f t="shared" si="12"/>
        <v>0</v>
      </c>
      <c r="Y53" s="44">
        <f t="shared" si="12"/>
        <v>0</v>
      </c>
      <c r="Z53" s="44">
        <f t="shared" si="12"/>
        <v>0</v>
      </c>
      <c r="AA53" s="44">
        <f t="shared" si="12"/>
        <v>0</v>
      </c>
      <c r="AB53" s="44">
        <f t="shared" si="12"/>
        <v>0</v>
      </c>
      <c r="AC53" s="44">
        <f t="shared" si="12"/>
        <v>0</v>
      </c>
      <c r="AD53" s="44">
        <f t="shared" si="12"/>
        <v>0</v>
      </c>
      <c r="AE53" s="44">
        <f t="shared" si="12"/>
        <v>0</v>
      </c>
      <c r="AF53" s="44">
        <f t="shared" si="12"/>
        <v>0</v>
      </c>
      <c r="AG53" s="44">
        <f t="shared" si="12"/>
        <v>0</v>
      </c>
      <c r="AH53" s="44">
        <f>SUM(AH51:AH52)</f>
        <v>0</v>
      </c>
    </row>
    <row r="54" spans="1:35" outlineLevel="1">
      <c r="B54" s="1" t="s">
        <v>172</v>
      </c>
      <c r="C54" s="54" t="s">
        <v>153</v>
      </c>
      <c r="D54">
        <v>0</v>
      </c>
      <c r="E54" s="43">
        <f>E50*'R&amp;S - Apparel'!$C$10*'R&amp;S - Apparel'!$B$14*'R&amp;S - Apparel'!$D$17*(E$3-$D$3)/10</f>
        <v>0</v>
      </c>
      <c r="F54" s="43">
        <f>F50*'R&amp;S - Apparel'!$C$10*'R&amp;S - Apparel'!$B$14*'R&amp;S - Apparel'!$D$17*(F$3-$D$3)/10</f>
        <v>0</v>
      </c>
      <c r="G54" s="43">
        <f>G50*'R&amp;S - Apparel'!$C$10*'R&amp;S - Apparel'!$B$14*'R&amp;S - Apparel'!$D$17*(G$3-$D$3)/10</f>
        <v>0</v>
      </c>
      <c r="H54" s="43">
        <f>H50*'R&amp;S - Apparel'!$C$10*'R&amp;S - Apparel'!$B$14*'R&amp;S - Apparel'!$D$17*(H$3-$D$3)/10</f>
        <v>0</v>
      </c>
      <c r="I54" s="43">
        <f>I50*'R&amp;S - Apparel'!$C$10*'R&amp;S - Apparel'!$B$14*'R&amp;S - Apparel'!$D$17*(I$3-$D$3)/10</f>
        <v>0</v>
      </c>
      <c r="J54" s="43">
        <f>J50*'R&amp;S - Apparel'!$C$10*'R&amp;S - Apparel'!$B$14*'R&amp;S - Apparel'!$D$17*(J$3-$D$3)/10</f>
        <v>0</v>
      </c>
      <c r="K54" s="43">
        <f>K50*'R&amp;S - Apparel'!$C$10*'R&amp;S - Apparel'!$B$14*'R&amp;S - Apparel'!$D$17*(K$3-$D$3)/10</f>
        <v>0</v>
      </c>
      <c r="L54" s="43">
        <f>L50*'R&amp;S - Apparel'!$C$10*'R&amp;S - Apparel'!$B$14*'R&amp;S - Apparel'!$D$17*(L$3-$D$3)/10</f>
        <v>0</v>
      </c>
      <c r="M54" s="43">
        <f>M50*'R&amp;S - Apparel'!$C$10*'R&amp;S - Apparel'!$B$14*'R&amp;S - Apparel'!$D$17*(M$3-$D$3)/10</f>
        <v>0</v>
      </c>
      <c r="N54" s="43">
        <f>N50*'R&amp;S - Apparel'!$C$10*'R&amp;S - Apparel'!$B$14*'R&amp;S - Apparel'!$D$17*(N$3-$D$3)/10</f>
        <v>0</v>
      </c>
      <c r="O54" s="43">
        <f>O50*'R&amp;S - Apparel'!$C$10*'R&amp;S - Apparel'!$B$14*('R&amp;S - Apparel'!$D$17+('R&amp;S - Apparel'!$D$18-'R&amp;S - Apparel'!$D$17)*(O$3-$N$3)/10)</f>
        <v>0</v>
      </c>
      <c r="P54" s="43">
        <f>P50*'R&amp;S - Apparel'!$C$10*'R&amp;S - Apparel'!$B$14*('R&amp;S - Apparel'!$D$17+('R&amp;S - Apparel'!$D$18-'R&amp;S - Apparel'!$D$17)*(P$3-$N$3)/10)</f>
        <v>0</v>
      </c>
      <c r="Q54" s="43">
        <f>Q50*'R&amp;S - Apparel'!$C$10*'R&amp;S - Apparel'!$B$14*('R&amp;S - Apparel'!$D$17+('R&amp;S - Apparel'!$D$18-'R&amp;S - Apparel'!$D$17)*(Q$3-$N$3)/10)</f>
        <v>0</v>
      </c>
      <c r="R54" s="43">
        <f>R50*'R&amp;S - Apparel'!$C$10*'R&amp;S - Apparel'!$B$14*('R&amp;S - Apparel'!$D$17+('R&amp;S - Apparel'!$D$18-'R&amp;S - Apparel'!$D$17)*(R$3-$N$3)/10)</f>
        <v>0</v>
      </c>
      <c r="S54" s="43">
        <f>S50*'R&amp;S - Apparel'!$C$10*'R&amp;S - Apparel'!$B$14*('R&amp;S - Apparel'!$D$17+('R&amp;S - Apparel'!$D$18-'R&amp;S - Apparel'!$D$17)*(S$3-$N$3)/10)</f>
        <v>0</v>
      </c>
      <c r="T54" s="43">
        <f>T50*'R&amp;S - Apparel'!$C$10*'R&amp;S - Apparel'!$B$14*('R&amp;S - Apparel'!$D$17+('R&amp;S - Apparel'!$D$18-'R&amp;S - Apparel'!$D$17)*(T$3-$N$3)/10)</f>
        <v>0</v>
      </c>
      <c r="U54" s="43">
        <f>U50*'R&amp;S - Apparel'!$C$10*'R&amp;S - Apparel'!$B$14*('R&amp;S - Apparel'!$D$17+('R&amp;S - Apparel'!$D$18-'R&amp;S - Apparel'!$D$17)*(U$3-$N$3)/10)</f>
        <v>0</v>
      </c>
      <c r="V54" s="43">
        <f>V50*'R&amp;S - Apparel'!$C$10*'R&amp;S - Apparel'!$B$14*('R&amp;S - Apparel'!$D$17+('R&amp;S - Apparel'!$D$18-'R&amp;S - Apparel'!$D$17)*(V$3-$N$3)/10)</f>
        <v>0</v>
      </c>
      <c r="W54" s="43">
        <f>W50*'R&amp;S - Apparel'!$C$10*'R&amp;S - Apparel'!$B$14*('R&amp;S - Apparel'!$D$17+('R&amp;S - Apparel'!$D$18-'R&amp;S - Apparel'!$D$17)*(W$3-$N$3)/10)</f>
        <v>0</v>
      </c>
      <c r="X54" s="43">
        <f>X50*'R&amp;S - Apparel'!$C$10*'R&amp;S - Apparel'!$B$14*('R&amp;S - Apparel'!$D$17+('R&amp;S - Apparel'!$D$18-'R&amp;S - Apparel'!$D$17)*(X$3-$N$3)/10)</f>
        <v>0</v>
      </c>
      <c r="Y54" s="43">
        <f>Y50*'R&amp;S - Apparel'!$C$10*'R&amp;S - Apparel'!$B$14*('R&amp;S - Apparel'!$D$18+('R&amp;S - Apparel'!$D$19-'R&amp;S - Apparel'!$D$18)*(Y$3-$X$3)/10)</f>
        <v>0</v>
      </c>
      <c r="Z54" s="43">
        <f>Z50*'R&amp;S - Apparel'!$C$10*'R&amp;S - Apparel'!$B$14*('R&amp;S - Apparel'!$D$18+('R&amp;S - Apparel'!$D$19-'R&amp;S - Apparel'!$D$18)*(Z$3-$X$3)/10)</f>
        <v>0</v>
      </c>
      <c r="AA54" s="43">
        <f>AA50*'R&amp;S - Apparel'!$C$10*'R&amp;S - Apparel'!$B$14*('R&amp;S - Apparel'!$D$18+('R&amp;S - Apparel'!$D$19-'R&amp;S - Apparel'!$D$18)*(AA$3-$X$3)/10)</f>
        <v>0</v>
      </c>
      <c r="AB54" s="43">
        <f>AB50*'R&amp;S - Apparel'!$C$10*'R&amp;S - Apparel'!$B$14*('R&amp;S - Apparel'!$D$18+('R&amp;S - Apparel'!$D$19-'R&amp;S - Apparel'!$D$18)*(AB$3-$X$3)/10)</f>
        <v>0</v>
      </c>
      <c r="AC54" s="43">
        <f>AC50*'R&amp;S - Apparel'!$C$10*'R&amp;S - Apparel'!$B$14*('R&amp;S - Apparel'!$D$18+('R&amp;S - Apparel'!$D$19-'R&amp;S - Apparel'!$D$18)*(AC$3-$X$3)/10)</f>
        <v>0</v>
      </c>
      <c r="AD54" s="43">
        <f>AD50*'R&amp;S - Apparel'!$C$10*'R&amp;S - Apparel'!$B$14*('R&amp;S - Apparel'!$D$18+('R&amp;S - Apparel'!$D$19-'R&amp;S - Apparel'!$D$18)*(AD$3-$X$3)/10)</f>
        <v>0</v>
      </c>
      <c r="AE54" s="43">
        <f>AE50*'R&amp;S - Apparel'!$C$10*'R&amp;S - Apparel'!$B$14*('R&amp;S - Apparel'!$D$18+('R&amp;S - Apparel'!$D$19-'R&amp;S - Apparel'!$D$18)*(AE$3-$X$3)/10)</f>
        <v>0</v>
      </c>
      <c r="AF54" s="43">
        <f>AF50*'R&amp;S - Apparel'!$C$10*'R&amp;S - Apparel'!$B$14*('R&amp;S - Apparel'!$D$18+('R&amp;S - Apparel'!$D$19-'R&amp;S - Apparel'!$D$18)*(AF$3-$X$3)/10)</f>
        <v>0</v>
      </c>
      <c r="AG54" s="43">
        <f>AG50*'R&amp;S - Apparel'!$C$10*'R&amp;S - Apparel'!$B$14*('R&amp;S - Apparel'!$D$18+('R&amp;S - Apparel'!$D$19-'R&amp;S - Apparel'!$D$18)*(AG$3-$X$3)/10)</f>
        <v>0</v>
      </c>
      <c r="AH54" s="43">
        <f>AH50*'R&amp;S - Apparel'!$C$10*'R&amp;S - Apparel'!$B$14*('R&amp;S - Apparel'!$D$18+('R&amp;S - Apparel'!$D$19-'R&amp;S - Apparel'!$D$18)*(AH$3-$X$3)/10)</f>
        <v>0</v>
      </c>
    </row>
    <row r="55" spans="1:35">
      <c r="B55" s="1" t="s">
        <v>197</v>
      </c>
      <c r="C55" s="65" t="s">
        <v>153</v>
      </c>
      <c r="D55" s="66">
        <f>D50-D53-D54</f>
        <v>3.4336211538461541</v>
      </c>
      <c r="E55" s="66">
        <f t="shared" ref="E55:AH55" si="13">E50-E53-E54</f>
        <v>3.5057271980769231</v>
      </c>
      <c r="F55" s="66">
        <f t="shared" si="13"/>
        <v>3.5793474692365383</v>
      </c>
      <c r="G55" s="66">
        <f t="shared" si="13"/>
        <v>3.6545137660905054</v>
      </c>
      <c r="H55" s="66">
        <f t="shared" si="13"/>
        <v>3.7312585551784054</v>
      </c>
      <c r="I55" s="66">
        <f t="shared" si="13"/>
        <v>3.8096149848371517</v>
      </c>
      <c r="J55" s="66">
        <f t="shared" si="13"/>
        <v>3.8896168995187317</v>
      </c>
      <c r="K55" s="66">
        <f t="shared" si="13"/>
        <v>3.9712988544086247</v>
      </c>
      <c r="L55" s="66">
        <f t="shared" si="13"/>
        <v>4.0546961303512052</v>
      </c>
      <c r="M55" s="66">
        <f t="shared" si="13"/>
        <v>4.1398447490885806</v>
      </c>
      <c r="N55" s="66">
        <f t="shared" si="13"/>
        <v>4.2267814888194408</v>
      </c>
      <c r="O55" s="66">
        <f t="shared" si="13"/>
        <v>4.3155439000846485</v>
      </c>
      <c r="P55" s="66">
        <f t="shared" si="13"/>
        <v>4.4061703219864254</v>
      </c>
      <c r="Q55" s="66">
        <f t="shared" si="13"/>
        <v>4.4986998987481401</v>
      </c>
      <c r="R55" s="66">
        <f t="shared" si="13"/>
        <v>4.5931725966218506</v>
      </c>
      <c r="S55" s="66">
        <f t="shared" si="13"/>
        <v>4.6896292211509092</v>
      </c>
      <c r="T55" s="66">
        <f t="shared" si="13"/>
        <v>4.7881114347950779</v>
      </c>
      <c r="U55" s="66">
        <f t="shared" si="13"/>
        <v>4.8886617749257741</v>
      </c>
      <c r="V55" s="66">
        <f t="shared" si="13"/>
        <v>4.9913236721992149</v>
      </c>
      <c r="W55" s="66">
        <f t="shared" si="13"/>
        <v>5.0961414693153984</v>
      </c>
      <c r="X55" s="66">
        <f t="shared" si="13"/>
        <v>5.203160440171021</v>
      </c>
      <c r="Y55" s="66">
        <f t="shared" si="13"/>
        <v>5.3124268094146121</v>
      </c>
      <c r="Z55" s="66">
        <f t="shared" si="13"/>
        <v>5.4239877724123184</v>
      </c>
      <c r="AA55" s="66">
        <f t="shared" si="13"/>
        <v>5.5378915156329764</v>
      </c>
      <c r="AB55" s="66">
        <f t="shared" si="13"/>
        <v>5.6541872374612687</v>
      </c>
      <c r="AC55" s="66">
        <f t="shared" si="13"/>
        <v>5.7729251694479551</v>
      </c>
      <c r="AD55" s="66">
        <f t="shared" si="13"/>
        <v>5.8941565980063615</v>
      </c>
      <c r="AE55" s="66">
        <f t="shared" si="13"/>
        <v>6.0179338865644949</v>
      </c>
      <c r="AF55" s="66">
        <f t="shared" si="13"/>
        <v>6.1443104981823486</v>
      </c>
      <c r="AG55" s="66">
        <f t="shared" si="13"/>
        <v>6.2733410186441771</v>
      </c>
      <c r="AH55" s="66">
        <f t="shared" si="13"/>
        <v>6.4050811800357046</v>
      </c>
    </row>
    <row r="56" spans="1:35" s="67" customFormat="1">
      <c r="A56" s="755" t="s">
        <v>257</v>
      </c>
      <c r="B56" s="58" t="s">
        <v>258</v>
      </c>
      <c r="C56" s="59" t="s">
        <v>153</v>
      </c>
      <c r="D56" s="60">
        <f>D55*('Demand Breakdown - Ethylene'!$C$77)</f>
        <v>0</v>
      </c>
      <c r="E56" s="60">
        <f>E55*('Demand Breakdown - Ethylene'!$C$77)</f>
        <v>0</v>
      </c>
      <c r="F56" s="60">
        <f>F55*('Demand Breakdown - Ethylene'!$C$77)</f>
        <v>0</v>
      </c>
      <c r="G56" s="60">
        <f>G55*('Demand Breakdown - Ethylene'!$C$77)</f>
        <v>0</v>
      </c>
      <c r="H56" s="60">
        <f>H55*('Demand Breakdown - Ethylene'!$C$77)</f>
        <v>0</v>
      </c>
      <c r="I56" s="60">
        <f>I55*('Demand Breakdown - Ethylene'!$C$77)</f>
        <v>0</v>
      </c>
      <c r="J56" s="60">
        <f>J55*('Demand Breakdown - Ethylene'!$C$77)</f>
        <v>0</v>
      </c>
      <c r="K56" s="60">
        <f>K55*('Demand Breakdown - Ethylene'!$C$77)</f>
        <v>0</v>
      </c>
      <c r="L56" s="60">
        <f>L55*('Demand Breakdown - Ethylene'!$C$77)</f>
        <v>0</v>
      </c>
      <c r="M56" s="60">
        <f>M55*('Demand Breakdown - Ethylene'!$C$77)</f>
        <v>0</v>
      </c>
      <c r="N56" s="60">
        <f>N55*('Demand Breakdown - Ethylene'!$C$77)</f>
        <v>0</v>
      </c>
      <c r="O56" s="60">
        <f>O55*('Demand Breakdown - Ethylene'!$C$77)</f>
        <v>0</v>
      </c>
      <c r="P56" s="60">
        <f>P55*('Demand Breakdown - Ethylene'!$C$77)</f>
        <v>0</v>
      </c>
      <c r="Q56" s="60">
        <f>Q55*('Demand Breakdown - Ethylene'!$C$77)</f>
        <v>0</v>
      </c>
      <c r="R56" s="60">
        <f>R55*('Demand Breakdown - Ethylene'!$C$77)</f>
        <v>0</v>
      </c>
      <c r="S56" s="60">
        <f>S55*('Demand Breakdown - Ethylene'!$C$77)</f>
        <v>0</v>
      </c>
      <c r="T56" s="60">
        <f>T55*('Demand Breakdown - Ethylene'!$C$77)</f>
        <v>0</v>
      </c>
      <c r="U56" s="60">
        <f>U55*('Demand Breakdown - Ethylene'!$C$77)</f>
        <v>0</v>
      </c>
      <c r="V56" s="60">
        <f>V55*('Demand Breakdown - Ethylene'!$C$77)</f>
        <v>0</v>
      </c>
      <c r="W56" s="60">
        <f>W55*('Demand Breakdown - Ethylene'!$C$77)</f>
        <v>0</v>
      </c>
      <c r="X56" s="60">
        <f>X55*('Demand Breakdown - Ethylene'!$C$77)</f>
        <v>0</v>
      </c>
      <c r="Y56" s="60">
        <f>Y55*('Demand Breakdown - Ethylene'!$C$77)</f>
        <v>0</v>
      </c>
      <c r="Z56" s="60">
        <f>Z55*('Demand Breakdown - Ethylene'!$C$77)</f>
        <v>0</v>
      </c>
      <c r="AA56" s="60">
        <f>AA55*('Demand Breakdown - Ethylene'!$C$77)</f>
        <v>0</v>
      </c>
      <c r="AB56" s="60">
        <f>AB55*('Demand Breakdown - Ethylene'!$C$77)</f>
        <v>0</v>
      </c>
      <c r="AC56" s="60">
        <f>AC55*('Demand Breakdown - Ethylene'!$C$77)</f>
        <v>0</v>
      </c>
      <c r="AD56" s="60">
        <f>AD55*('Demand Breakdown - Ethylene'!$C$77)</f>
        <v>0</v>
      </c>
      <c r="AE56" s="60">
        <f>AE55*('Demand Breakdown - Ethylene'!$C$77)</f>
        <v>0</v>
      </c>
      <c r="AF56" s="60">
        <f>AF55*('Demand Breakdown - Ethylene'!$C$77)</f>
        <v>0</v>
      </c>
      <c r="AG56" s="60">
        <f>AG55*('Demand Breakdown - Ethylene'!$C$77)</f>
        <v>0</v>
      </c>
      <c r="AH56" s="60">
        <f>AH55*('Demand Breakdown - Ethylene'!$C$77)</f>
        <v>0</v>
      </c>
      <c r="AI56" s="60"/>
    </row>
    <row r="57" spans="1:35">
      <c r="A57" s="756"/>
      <c r="B57" s="1" t="s">
        <v>260</v>
      </c>
      <c r="C57" s="54" t="s">
        <v>153</v>
      </c>
      <c r="D57" s="44">
        <f>D61</f>
        <v>3.4336211538461541</v>
      </c>
      <c r="E57" s="44">
        <f t="shared" ref="E57:AH57" si="14">E61</f>
        <v>3.5057271980769231</v>
      </c>
      <c r="F57" s="44">
        <f t="shared" si="14"/>
        <v>3.5793474692365383</v>
      </c>
      <c r="G57" s="44">
        <f t="shared" si="14"/>
        <v>3.6545137660905054</v>
      </c>
      <c r="H57" s="44">
        <f t="shared" si="14"/>
        <v>3.7312585551784054</v>
      </c>
      <c r="I57" s="44">
        <f t="shared" si="14"/>
        <v>3.8096149848371517</v>
      </c>
      <c r="J57" s="44">
        <f t="shared" si="14"/>
        <v>3.8896168995187317</v>
      </c>
      <c r="K57" s="44">
        <f t="shared" si="14"/>
        <v>3.9712988544086247</v>
      </c>
      <c r="L57" s="44">
        <f t="shared" si="14"/>
        <v>4.0546961303512052</v>
      </c>
      <c r="M57" s="44">
        <f t="shared" si="14"/>
        <v>4.1398447490885806</v>
      </c>
      <c r="N57" s="44">
        <f t="shared" si="14"/>
        <v>4.2267814888194408</v>
      </c>
      <c r="O57" s="44">
        <f t="shared" si="14"/>
        <v>4.3155439000846485</v>
      </c>
      <c r="P57" s="44">
        <f t="shared" si="14"/>
        <v>4.4061703219864254</v>
      </c>
      <c r="Q57" s="44">
        <f t="shared" si="14"/>
        <v>4.4986998987481401</v>
      </c>
      <c r="R57" s="44">
        <f t="shared" si="14"/>
        <v>4.5931725966218506</v>
      </c>
      <c r="S57" s="44">
        <f t="shared" si="14"/>
        <v>4.6896292211509092</v>
      </c>
      <c r="T57" s="44">
        <f t="shared" si="14"/>
        <v>4.7881114347950779</v>
      </c>
      <c r="U57" s="44">
        <f t="shared" si="14"/>
        <v>4.8886617749257741</v>
      </c>
      <c r="V57" s="44">
        <f t="shared" si="14"/>
        <v>4.9913236721992149</v>
      </c>
      <c r="W57" s="44">
        <f t="shared" si="14"/>
        <v>5.0961414693153984</v>
      </c>
      <c r="X57" s="44">
        <f t="shared" si="14"/>
        <v>5.203160440171021</v>
      </c>
      <c r="Y57" s="44">
        <f t="shared" si="14"/>
        <v>5.3124268094146121</v>
      </c>
      <c r="Z57" s="44">
        <f t="shared" si="14"/>
        <v>5.4239877724123184</v>
      </c>
      <c r="AA57" s="44">
        <f t="shared" si="14"/>
        <v>5.5378915156329764</v>
      </c>
      <c r="AB57" s="44">
        <f t="shared" si="14"/>
        <v>5.6541872374612687</v>
      </c>
      <c r="AC57" s="44">
        <f t="shared" si="14"/>
        <v>5.7729251694479551</v>
      </c>
      <c r="AD57" s="44">
        <f t="shared" si="14"/>
        <v>5.8941565980063615</v>
      </c>
      <c r="AE57" s="44">
        <f t="shared" si="14"/>
        <v>6.0179338865644949</v>
      </c>
      <c r="AF57" s="44">
        <f t="shared" si="14"/>
        <v>6.1443104981823486</v>
      </c>
      <c r="AG57" s="44">
        <f t="shared" si="14"/>
        <v>6.2733410186441771</v>
      </c>
      <c r="AH57" s="44">
        <f t="shared" si="14"/>
        <v>6.4050811800357046</v>
      </c>
      <c r="AI57" s="44"/>
    </row>
    <row r="58" spans="1:35">
      <c r="A58" s="756"/>
      <c r="B58" s="1" t="s">
        <v>262</v>
      </c>
      <c r="C58" s="54" t="s">
        <v>153</v>
      </c>
      <c r="D58" s="44">
        <f>D60/('Demand Breakdown - Ethylene'!$M$14)</f>
        <v>0</v>
      </c>
      <c r="E58" s="44">
        <f>E60/('Demand Breakdown - Ethylene'!$M$14)</f>
        <v>0</v>
      </c>
      <c r="F58" s="44">
        <f>F60/('Demand Breakdown - Ethylene'!$M$14)</f>
        <v>0</v>
      </c>
      <c r="G58" s="44">
        <f>G60/('Demand Breakdown - Ethylene'!$M$14)</f>
        <v>0</v>
      </c>
      <c r="H58" s="44">
        <f>H60/('Demand Breakdown - Ethylene'!$M$14)</f>
        <v>0</v>
      </c>
      <c r="I58" s="44">
        <f>I60/('Demand Breakdown - Ethylene'!$M$14)</f>
        <v>0</v>
      </c>
      <c r="J58" s="44">
        <f>J60/('Demand Breakdown - Ethylene'!$M$14)</f>
        <v>0</v>
      </c>
      <c r="K58" s="44">
        <f>K60/('Demand Breakdown - Ethylene'!$M$14)</f>
        <v>0</v>
      </c>
      <c r="L58" s="44">
        <f>L60/('Demand Breakdown - Ethylene'!$M$14)</f>
        <v>0</v>
      </c>
      <c r="M58" s="44">
        <f>M60/('Demand Breakdown - Ethylene'!$M$14)</f>
        <v>0</v>
      </c>
      <c r="N58" s="44">
        <f>N60/('Demand Breakdown - Ethylene'!$M$14)</f>
        <v>0</v>
      </c>
      <c r="O58" s="44">
        <f>O60/('Demand Breakdown - Ethylene'!$M$14)</f>
        <v>0</v>
      </c>
      <c r="P58" s="44">
        <f>P60/('Demand Breakdown - Ethylene'!$M$14)</f>
        <v>0</v>
      </c>
      <c r="Q58" s="44">
        <f>Q60/('Demand Breakdown - Ethylene'!$M$14)</f>
        <v>0</v>
      </c>
      <c r="R58" s="44">
        <f>R60/('Demand Breakdown - Ethylene'!$M$14)</f>
        <v>0</v>
      </c>
      <c r="S58" s="44">
        <f>S60/('Demand Breakdown - Ethylene'!$M$14)</f>
        <v>0</v>
      </c>
      <c r="T58" s="44">
        <f>T60/('Demand Breakdown - Ethylene'!$M$14)</f>
        <v>0</v>
      </c>
      <c r="U58" s="44">
        <f>U60/('Demand Breakdown - Ethylene'!$M$14)</f>
        <v>0</v>
      </c>
      <c r="V58" s="44">
        <f>V60/('Demand Breakdown - Ethylene'!$M$14)</f>
        <v>0</v>
      </c>
      <c r="W58" s="44">
        <f>W60/('Demand Breakdown - Ethylene'!$M$14)</f>
        <v>0</v>
      </c>
      <c r="X58" s="44">
        <f>X60/('Demand Breakdown - Ethylene'!$M$14)</f>
        <v>0</v>
      </c>
      <c r="Y58" s="44">
        <f>Y60/('Demand Breakdown - Ethylene'!$M$14)</f>
        <v>0</v>
      </c>
      <c r="Z58" s="44">
        <f>Z60/('Demand Breakdown - Ethylene'!$M$14)</f>
        <v>0</v>
      </c>
      <c r="AA58" s="44">
        <f>AA60/('Demand Breakdown - Ethylene'!$M$14)</f>
        <v>0</v>
      </c>
      <c r="AB58" s="44">
        <f>AB60/('Demand Breakdown - Ethylene'!$M$14)</f>
        <v>0</v>
      </c>
      <c r="AC58" s="44">
        <f>AC60/('Demand Breakdown - Ethylene'!$M$14)</f>
        <v>0</v>
      </c>
      <c r="AD58" s="44">
        <f>AD60/('Demand Breakdown - Ethylene'!$M$14)</f>
        <v>0</v>
      </c>
      <c r="AE58" s="44">
        <f>AE60/('Demand Breakdown - Ethylene'!$M$14)</f>
        <v>0</v>
      </c>
      <c r="AF58" s="44">
        <f>AF60/('Demand Breakdown - Ethylene'!$M$14)</f>
        <v>0</v>
      </c>
      <c r="AG58" s="44">
        <f>AG60/('Demand Breakdown - Ethylene'!$M$14)</f>
        <v>0</v>
      </c>
      <c r="AH58" s="44">
        <f>AH60/('Demand Breakdown - Ethylene'!$M$14)</f>
        <v>0</v>
      </c>
      <c r="AI58" s="44"/>
    </row>
    <row r="59" spans="1:35" s="68" customFormat="1">
      <c r="A59" s="757"/>
      <c r="B59" s="62" t="s">
        <v>248</v>
      </c>
      <c r="C59" s="283" t="s">
        <v>153</v>
      </c>
      <c r="D59" s="284">
        <f>D55-SUM(D57,D56,D58)</f>
        <v>0</v>
      </c>
      <c r="E59" s="284">
        <f t="shared" ref="E59:AH59" si="15">E55-SUM(E57,E56,E58)</f>
        <v>0</v>
      </c>
      <c r="F59" s="284">
        <f t="shared" si="15"/>
        <v>0</v>
      </c>
      <c r="G59" s="284">
        <f t="shared" si="15"/>
        <v>0</v>
      </c>
      <c r="H59" s="284">
        <f t="shared" si="15"/>
        <v>0</v>
      </c>
      <c r="I59" s="284">
        <f t="shared" si="15"/>
        <v>0</v>
      </c>
      <c r="J59" s="284">
        <f t="shared" si="15"/>
        <v>0</v>
      </c>
      <c r="K59" s="284">
        <f t="shared" si="15"/>
        <v>0</v>
      </c>
      <c r="L59" s="284">
        <f t="shared" si="15"/>
        <v>0</v>
      </c>
      <c r="M59" s="284">
        <f t="shared" si="15"/>
        <v>0</v>
      </c>
      <c r="N59" s="284">
        <f t="shared" si="15"/>
        <v>0</v>
      </c>
      <c r="O59" s="284">
        <f t="shared" si="15"/>
        <v>0</v>
      </c>
      <c r="P59" s="284">
        <f t="shared" si="15"/>
        <v>0</v>
      </c>
      <c r="Q59" s="284">
        <f t="shared" si="15"/>
        <v>0</v>
      </c>
      <c r="R59" s="284">
        <f t="shared" si="15"/>
        <v>0</v>
      </c>
      <c r="S59" s="284">
        <f t="shared" si="15"/>
        <v>0</v>
      </c>
      <c r="T59" s="284">
        <f t="shared" si="15"/>
        <v>0</v>
      </c>
      <c r="U59" s="284">
        <f t="shared" si="15"/>
        <v>0</v>
      </c>
      <c r="V59" s="284">
        <f t="shared" si="15"/>
        <v>0</v>
      </c>
      <c r="W59" s="284">
        <f t="shared" si="15"/>
        <v>0</v>
      </c>
      <c r="X59" s="284">
        <f t="shared" si="15"/>
        <v>0</v>
      </c>
      <c r="Y59" s="284">
        <f t="shared" si="15"/>
        <v>0</v>
      </c>
      <c r="Z59" s="284">
        <f t="shared" si="15"/>
        <v>0</v>
      </c>
      <c r="AA59" s="284">
        <f t="shared" si="15"/>
        <v>0</v>
      </c>
      <c r="AB59" s="284">
        <f t="shared" si="15"/>
        <v>0</v>
      </c>
      <c r="AC59" s="284">
        <f t="shared" si="15"/>
        <v>0</v>
      </c>
      <c r="AD59" s="284">
        <f t="shared" si="15"/>
        <v>0</v>
      </c>
      <c r="AE59" s="284">
        <f t="shared" si="15"/>
        <v>0</v>
      </c>
      <c r="AF59" s="284">
        <f t="shared" si="15"/>
        <v>0</v>
      </c>
      <c r="AG59" s="284">
        <f t="shared" si="15"/>
        <v>0</v>
      </c>
      <c r="AH59" s="284">
        <f t="shared" si="15"/>
        <v>0</v>
      </c>
      <c r="AI59" s="284"/>
    </row>
    <row r="60" spans="1:35" s="67" customFormat="1">
      <c r="A60" s="755" t="s">
        <v>263</v>
      </c>
      <c r="B60" s="58" t="s">
        <v>264</v>
      </c>
      <c r="C60" s="59" t="s">
        <v>153</v>
      </c>
      <c r="D60" s="60">
        <f>D55*'Demand Breakdown - Ethylene'!$E$77</f>
        <v>0</v>
      </c>
      <c r="E60" s="60">
        <f>E55*'Demand Breakdown - Ethylene'!$E$77</f>
        <v>0</v>
      </c>
      <c r="F60" s="60">
        <f>F55*'Demand Breakdown - Ethylene'!$E$77</f>
        <v>0</v>
      </c>
      <c r="G60" s="60">
        <f>G55*'Demand Breakdown - Ethylene'!$E$77</f>
        <v>0</v>
      </c>
      <c r="H60" s="60">
        <f>H55*'Demand Breakdown - Ethylene'!$E$77</f>
        <v>0</v>
      </c>
      <c r="I60" s="60">
        <f>I55*'Demand Breakdown - Ethylene'!$E$77</f>
        <v>0</v>
      </c>
      <c r="J60" s="60">
        <f>J55*'Demand Breakdown - Ethylene'!$E$77</f>
        <v>0</v>
      </c>
      <c r="K60" s="60">
        <f>K55*'Demand Breakdown - Ethylene'!$E$77</f>
        <v>0</v>
      </c>
      <c r="L60" s="60">
        <f>L55*'Demand Breakdown - Ethylene'!$E$77</f>
        <v>0</v>
      </c>
      <c r="M60" s="60">
        <f>M55*'Demand Breakdown - Ethylene'!$E$77</f>
        <v>0</v>
      </c>
      <c r="N60" s="60">
        <f>N55*'Demand Breakdown - Ethylene'!$E$77</f>
        <v>0</v>
      </c>
      <c r="O60" s="60">
        <f>O55*'Demand Breakdown - Ethylene'!$E$77</f>
        <v>0</v>
      </c>
      <c r="P60" s="60">
        <f>P55*'Demand Breakdown - Ethylene'!$E$77</f>
        <v>0</v>
      </c>
      <c r="Q60" s="60">
        <f>Q55*'Demand Breakdown - Ethylene'!$E$77</f>
        <v>0</v>
      </c>
      <c r="R60" s="60">
        <f>R55*'Demand Breakdown - Ethylene'!$E$77</f>
        <v>0</v>
      </c>
      <c r="S60" s="60">
        <f>S55*'Demand Breakdown - Ethylene'!$E$77</f>
        <v>0</v>
      </c>
      <c r="T60" s="60">
        <f>T55*'Demand Breakdown - Ethylene'!$E$77</f>
        <v>0</v>
      </c>
      <c r="U60" s="60">
        <f>U55*'Demand Breakdown - Ethylene'!$E$77</f>
        <v>0</v>
      </c>
      <c r="V60" s="60">
        <f>V55*'Demand Breakdown - Ethylene'!$E$77</f>
        <v>0</v>
      </c>
      <c r="W60" s="60">
        <f>W55*'Demand Breakdown - Ethylene'!$E$77</f>
        <v>0</v>
      </c>
      <c r="X60" s="60">
        <f>X55*'Demand Breakdown - Ethylene'!$E$77</f>
        <v>0</v>
      </c>
      <c r="Y60" s="60">
        <f>Y55*'Demand Breakdown - Ethylene'!$E$77</f>
        <v>0</v>
      </c>
      <c r="Z60" s="60">
        <f>Z55*'Demand Breakdown - Ethylene'!$E$77</f>
        <v>0</v>
      </c>
      <c r="AA60" s="60">
        <f>AA55*'Demand Breakdown - Ethylene'!$E$77</f>
        <v>0</v>
      </c>
      <c r="AB60" s="60">
        <f>AB55*'Demand Breakdown - Ethylene'!$E$77</f>
        <v>0</v>
      </c>
      <c r="AC60" s="60">
        <f>AC55*'Demand Breakdown - Ethylene'!$E$77</f>
        <v>0</v>
      </c>
      <c r="AD60" s="60">
        <f>AD55*'Demand Breakdown - Ethylene'!$E$77</f>
        <v>0</v>
      </c>
      <c r="AE60" s="60">
        <f>AE55*'Demand Breakdown - Ethylene'!$E$77</f>
        <v>0</v>
      </c>
      <c r="AF60" s="60">
        <f>AF55*'Demand Breakdown - Ethylene'!$E$77</f>
        <v>0</v>
      </c>
      <c r="AG60" s="60">
        <f>AG55*'Demand Breakdown - Ethylene'!$E$77</f>
        <v>0</v>
      </c>
      <c r="AH60" s="60">
        <f>AH55*'Demand Breakdown - Ethylene'!$E$77</f>
        <v>0</v>
      </c>
      <c r="AI60" s="60"/>
    </row>
    <row r="61" spans="1:35" s="68" customFormat="1">
      <c r="A61" s="757"/>
      <c r="B61" s="62" t="s">
        <v>266</v>
      </c>
      <c r="C61" s="283" t="s">
        <v>153</v>
      </c>
      <c r="D61" s="284">
        <f>D55*'Demand Breakdown - Ethylene'!$D$77</f>
        <v>3.4336211538461541</v>
      </c>
      <c r="E61" s="284">
        <f>E55*'Demand Breakdown - Ethylene'!$D$77</f>
        <v>3.5057271980769231</v>
      </c>
      <c r="F61" s="284">
        <f>F55*'Demand Breakdown - Ethylene'!$D$77</f>
        <v>3.5793474692365383</v>
      </c>
      <c r="G61" s="284">
        <f>G55*'Demand Breakdown - Ethylene'!$D$77</f>
        <v>3.6545137660905054</v>
      </c>
      <c r="H61" s="284">
        <f>H55*'Demand Breakdown - Ethylene'!$D$77</f>
        <v>3.7312585551784054</v>
      </c>
      <c r="I61" s="284">
        <f>I55*'Demand Breakdown - Ethylene'!$D$77</f>
        <v>3.8096149848371517</v>
      </c>
      <c r="J61" s="284">
        <f>J55*'Demand Breakdown - Ethylene'!$D$77</f>
        <v>3.8896168995187317</v>
      </c>
      <c r="K61" s="284">
        <f>K55*'Demand Breakdown - Ethylene'!$D$77</f>
        <v>3.9712988544086247</v>
      </c>
      <c r="L61" s="284">
        <f>L55*'Demand Breakdown - Ethylene'!$D$77</f>
        <v>4.0546961303512052</v>
      </c>
      <c r="M61" s="284">
        <f>M55*'Demand Breakdown - Ethylene'!$D$77</f>
        <v>4.1398447490885806</v>
      </c>
      <c r="N61" s="284">
        <f>N55*'Demand Breakdown - Ethylene'!$D$77</f>
        <v>4.2267814888194408</v>
      </c>
      <c r="O61" s="284">
        <f>O55*'Demand Breakdown - Ethylene'!$D$77</f>
        <v>4.3155439000846485</v>
      </c>
      <c r="P61" s="284">
        <f>P55*'Demand Breakdown - Ethylene'!$D$77</f>
        <v>4.4061703219864254</v>
      </c>
      <c r="Q61" s="284">
        <f>Q55*'Demand Breakdown - Ethylene'!$D$77</f>
        <v>4.4986998987481401</v>
      </c>
      <c r="R61" s="284">
        <f>R55*'Demand Breakdown - Ethylene'!$D$77</f>
        <v>4.5931725966218506</v>
      </c>
      <c r="S61" s="284">
        <f>S55*'Demand Breakdown - Ethylene'!$D$77</f>
        <v>4.6896292211509092</v>
      </c>
      <c r="T61" s="284">
        <f>T55*'Demand Breakdown - Ethylene'!$D$77</f>
        <v>4.7881114347950779</v>
      </c>
      <c r="U61" s="284">
        <f>U55*'Demand Breakdown - Ethylene'!$D$77</f>
        <v>4.8886617749257741</v>
      </c>
      <c r="V61" s="284">
        <f>V55*'Demand Breakdown - Ethylene'!$D$77</f>
        <v>4.9913236721992149</v>
      </c>
      <c r="W61" s="284">
        <f>W55*'Demand Breakdown - Ethylene'!$D$77</f>
        <v>5.0961414693153984</v>
      </c>
      <c r="X61" s="284">
        <f>X55*'Demand Breakdown - Ethylene'!$D$77</f>
        <v>5.203160440171021</v>
      </c>
      <c r="Y61" s="284">
        <f>Y55*'Demand Breakdown - Ethylene'!$D$77</f>
        <v>5.3124268094146121</v>
      </c>
      <c r="Z61" s="284">
        <f>Z55*'Demand Breakdown - Ethylene'!$D$77</f>
        <v>5.4239877724123184</v>
      </c>
      <c r="AA61" s="284">
        <f>AA55*'Demand Breakdown - Ethylene'!$D$77</f>
        <v>5.5378915156329764</v>
      </c>
      <c r="AB61" s="284">
        <f>AB55*'Demand Breakdown - Ethylene'!$D$77</f>
        <v>5.6541872374612687</v>
      </c>
      <c r="AC61" s="284">
        <f>AC55*'Demand Breakdown - Ethylene'!$D$77</f>
        <v>5.7729251694479551</v>
      </c>
      <c r="AD61" s="284">
        <f>AD55*'Demand Breakdown - Ethylene'!$D$77</f>
        <v>5.8941565980063615</v>
      </c>
      <c r="AE61" s="284">
        <f>AE55*'Demand Breakdown - Ethylene'!$D$77</f>
        <v>6.0179338865644949</v>
      </c>
      <c r="AF61" s="284">
        <f>AF55*'Demand Breakdown - Ethylene'!$D$77</f>
        <v>6.1443104981823486</v>
      </c>
      <c r="AG61" s="284">
        <f>AG55*'Demand Breakdown - Ethylene'!$D$77</f>
        <v>6.2733410186441771</v>
      </c>
      <c r="AH61" s="284">
        <f>AH55*'Demand Breakdown - Ethylene'!$D$77</f>
        <v>6.4050811800357046</v>
      </c>
      <c r="AI61" s="284"/>
    </row>
    <row r="62" spans="1:35" s="67" customFormat="1">
      <c r="A62" s="58" t="s">
        <v>208</v>
      </c>
      <c r="B62" s="58" t="s">
        <v>199</v>
      </c>
      <c r="C62" s="59" t="s">
        <v>153</v>
      </c>
      <c r="D62" s="60">
        <f>D4-D12-D26-D40-D50</f>
        <v>26.799786402018107</v>
      </c>
      <c r="E62" s="60">
        <f t="shared" ref="E62:AH62" si="16">E4-E12-E26-E40-E50</f>
        <v>28.769681809966333</v>
      </c>
      <c r="F62" s="60">
        <f t="shared" si="16"/>
        <v>30.807720797164642</v>
      </c>
      <c r="G62" s="60">
        <f t="shared" si="16"/>
        <v>32.915880342003298</v>
      </c>
      <c r="H62" s="60">
        <f t="shared" si="16"/>
        <v>35.096190748991432</v>
      </c>
      <c r="I62" s="60">
        <f t="shared" si="16"/>
        <v>37.35073703588138</v>
      </c>
      <c r="J62" s="60">
        <f t="shared" si="16"/>
        <v>39.180145460280585</v>
      </c>
      <c r="K62" s="60">
        <f t="shared" si="16"/>
        <v>41.064673760592719</v>
      </c>
      <c r="L62" s="60">
        <f t="shared" si="16"/>
        <v>43.005756065858371</v>
      </c>
      <c r="M62" s="60">
        <f t="shared" si="16"/>
        <v>45.004861388134636</v>
      </c>
      <c r="N62" s="60">
        <f>N4-N12-N26-N40-N50</f>
        <v>47.063494440626691</v>
      </c>
      <c r="O62" s="60">
        <f t="shared" si="16"/>
        <v>47.110034965693075</v>
      </c>
      <c r="P62" s="60">
        <f t="shared" si="16"/>
        <v>47.1488823667829</v>
      </c>
      <c r="Q62" s="60">
        <f t="shared" si="16"/>
        <v>47.179810597404305</v>
      </c>
      <c r="R62" s="60">
        <f t="shared" si="16"/>
        <v>47.202588692034396</v>
      </c>
      <c r="S62" s="60">
        <f t="shared" si="16"/>
        <v>47.216980670019545</v>
      </c>
      <c r="T62" s="60">
        <f t="shared" si="16"/>
        <v>47.077163873772086</v>
      </c>
      <c r="U62" s="60">
        <f t="shared" si="16"/>
        <v>46.925103799560603</v>
      </c>
      <c r="V62" s="60">
        <f t="shared" si="16"/>
        <v>46.760490310763501</v>
      </c>
      <c r="W62" s="60">
        <f t="shared" si="16"/>
        <v>46.583006949548768</v>
      </c>
      <c r="X62" s="60">
        <f t="shared" si="16"/>
        <v>46.392330818424632</v>
      </c>
      <c r="Y62" s="60">
        <f t="shared" si="16"/>
        <v>46.05057326779729</v>
      </c>
      <c r="Z62" s="60">
        <f t="shared" si="16"/>
        <v>45.691947626346987</v>
      </c>
      <c r="AA62" s="60">
        <f t="shared" si="16"/>
        <v>45.316061544684054</v>
      </c>
      <c r="AB62" s="60">
        <f t="shared" si="16"/>
        <v>44.922515017267713</v>
      </c>
      <c r="AC62" s="60">
        <f t="shared" si="16"/>
        <v>44.510900243015016</v>
      </c>
      <c r="AD62" s="60">
        <f t="shared" si="16"/>
        <v>43.950425641835416</v>
      </c>
      <c r="AE62" s="60">
        <f t="shared" si="16"/>
        <v>43.368338750480113</v>
      </c>
      <c r="AF62" s="60">
        <f t="shared" si="16"/>
        <v>42.76416543473605</v>
      </c>
      <c r="AG62" s="60">
        <f t="shared" si="16"/>
        <v>42.137422599940138</v>
      </c>
      <c r="AH62" s="60">
        <f t="shared" si="16"/>
        <v>41.487618031273527</v>
      </c>
    </row>
    <row r="63" spans="1:35" outlineLevel="1">
      <c r="B63" s="1" t="s">
        <v>168</v>
      </c>
      <c r="C63" s="54" t="s">
        <v>153</v>
      </c>
      <c r="D63">
        <v>0</v>
      </c>
      <c r="E63" s="43">
        <f>E62*'R&amp;S - Others'!$C$7*'R&amp;S - Others'!$B$12*'R&amp;S - Others'!$B$15*('Yearly HC Ethylene'!E$3-'Yearly HC Ethylene'!$D$3)/10</f>
        <v>0</v>
      </c>
      <c r="F63" s="43">
        <f>F62*'R&amp;S - Others'!$C$7*'R&amp;S - Others'!$B$12*'R&amp;S - Others'!$B$15*('Yearly HC Ethylene'!F$3-'Yearly HC Ethylene'!$D$3)/10</f>
        <v>0</v>
      </c>
      <c r="G63" s="43">
        <f>G62*'R&amp;S - Others'!$C$7*'R&amp;S - Others'!$B$12*'R&amp;S - Others'!$B$15*('Yearly HC Ethylene'!G$3-'Yearly HC Ethylene'!$D$3)/10</f>
        <v>0</v>
      </c>
      <c r="H63" s="43">
        <f>H62*'R&amp;S - Others'!$C$7*'R&amp;S - Others'!$B$12*'R&amp;S - Others'!$B$15*('Yearly HC Ethylene'!H$3-'Yearly HC Ethylene'!$D$3)/10</f>
        <v>0</v>
      </c>
      <c r="I63" s="43">
        <f>I62*'R&amp;S - Others'!$C$7*'R&amp;S - Others'!$B$12*'R&amp;S - Others'!$B$15*('Yearly HC Ethylene'!I$3-'Yearly HC Ethylene'!$D$3)/10</f>
        <v>0</v>
      </c>
      <c r="J63" s="43">
        <f>J62*'R&amp;S - Others'!$C$7*'R&amp;S - Others'!$B$12*'R&amp;S - Others'!$B$15*('Yearly HC Ethylene'!J$3-'Yearly HC Ethylene'!$D$3)/10</f>
        <v>0</v>
      </c>
      <c r="K63" s="43">
        <f>K62*'R&amp;S - Others'!$C$7*'R&amp;S - Others'!$B$12*'R&amp;S - Others'!$B$15*('Yearly HC Ethylene'!K$3-'Yearly HC Ethylene'!$D$3)/10</f>
        <v>0</v>
      </c>
      <c r="L63" s="43">
        <f>L62*'R&amp;S - Others'!$C$7*'R&amp;S - Others'!$B$12*'R&amp;S - Others'!$B$15*('Yearly HC Ethylene'!L$3-'Yearly HC Ethylene'!$D$3)/10</f>
        <v>0</v>
      </c>
      <c r="M63" s="43">
        <f>M62*'R&amp;S - Others'!$C$7*'R&amp;S - Others'!$B$12*'R&amp;S - Others'!$B$15*('Yearly HC Ethylene'!M$3-'Yearly HC Ethylene'!$D$3)/10</f>
        <v>0</v>
      </c>
      <c r="N63" s="43">
        <f>N62*'R&amp;S - Others'!$C$7*'R&amp;S - Others'!$B$12*'R&amp;S - Others'!$B$15*('Yearly HC Ethylene'!N$3-'Yearly HC Ethylene'!$D$3)/10</f>
        <v>0</v>
      </c>
      <c r="O63" s="43">
        <f>O62*'R&amp;S - Others'!$C$7*'R&amp;S - Others'!$B$12*('R&amp;S - Others'!$B$15+('R&amp;S - Others'!$B$16-'R&amp;S - Others'!$B$15)*('Yearly HC Ethylene'!O$3-'Yearly HC Ethylene'!$N$3)/10)</f>
        <v>0</v>
      </c>
      <c r="P63" s="43">
        <f>P62*'R&amp;S - Others'!$C$7*'R&amp;S - Others'!$B$12*('R&amp;S - Others'!$B$15+('R&amp;S - Others'!$B$16-'R&amp;S - Others'!$B$15)*('Yearly HC Ethylene'!P$3-'Yearly HC Ethylene'!$N$3)/10)</f>
        <v>0</v>
      </c>
      <c r="Q63" s="43">
        <f>Q62*'R&amp;S - Others'!$C$7*'R&amp;S - Others'!$B$12*('R&amp;S - Others'!$B$15+('R&amp;S - Others'!$B$16-'R&amp;S - Others'!$B$15)*('Yearly HC Ethylene'!Q$3-'Yearly HC Ethylene'!$N$3)/10)</f>
        <v>0</v>
      </c>
      <c r="R63" s="43">
        <f>R62*'R&amp;S - Others'!$C$7*'R&amp;S - Others'!$B$12*('R&amp;S - Others'!$B$15+('R&amp;S - Others'!$B$16-'R&amp;S - Others'!$B$15)*('Yearly HC Ethylene'!R$3-'Yearly HC Ethylene'!$N$3)/10)</f>
        <v>0</v>
      </c>
      <c r="S63" s="43">
        <f>S62*'R&amp;S - Others'!$C$7*'R&amp;S - Others'!$B$12*('R&amp;S - Others'!$B$15+('R&amp;S - Others'!$B$16-'R&amp;S - Others'!$B$15)*('Yearly HC Ethylene'!S$3-'Yearly HC Ethylene'!$N$3)/10)</f>
        <v>0</v>
      </c>
      <c r="T63" s="43">
        <f>T62*'R&amp;S - Others'!$C$7*'R&amp;S - Others'!$B$12*('R&amp;S - Others'!$B$15+('R&amp;S - Others'!$B$16-'R&amp;S - Others'!$B$15)*('Yearly HC Ethylene'!T$3-'Yearly HC Ethylene'!$N$3)/10)</f>
        <v>0</v>
      </c>
      <c r="U63" s="43">
        <f>U62*'R&amp;S - Others'!$C$7*'R&amp;S - Others'!$B$12*('R&amp;S - Others'!$B$15+('R&amp;S - Others'!$B$16-'R&amp;S - Others'!$B$15)*('Yearly HC Ethylene'!U$3-'Yearly HC Ethylene'!$N$3)/10)</f>
        <v>0</v>
      </c>
      <c r="V63" s="43">
        <f>V62*'R&amp;S - Others'!$C$7*'R&amp;S - Others'!$B$12*('R&amp;S - Others'!$B$15+('R&amp;S - Others'!$B$16-'R&amp;S - Others'!$B$15)*('Yearly HC Ethylene'!V$3-'Yearly HC Ethylene'!$N$3)/10)</f>
        <v>0</v>
      </c>
      <c r="W63" s="43">
        <f>W62*'R&amp;S - Others'!$C$7*'R&amp;S - Others'!$B$12*('R&amp;S - Others'!$B$15+('R&amp;S - Others'!$B$16-'R&amp;S - Others'!$B$15)*('Yearly HC Ethylene'!W$3-'Yearly HC Ethylene'!$N$3)/10)</f>
        <v>0</v>
      </c>
      <c r="X63" s="43">
        <f>X62*'R&amp;S - Others'!$C$7*'R&amp;S - Others'!$B$12*('R&amp;S - Others'!$B$15+('R&amp;S - Others'!$B$16-'R&amp;S - Others'!$B$15)*('Yearly HC Ethylene'!X$3-'Yearly HC Ethylene'!$N$3)/10)</f>
        <v>0</v>
      </c>
      <c r="Y63" s="43">
        <f>Y62*'R&amp;S - Others'!$C$7*'R&amp;S - Others'!$B$12*('R&amp;S - Others'!$B$16+('R&amp;S - Others'!$B$17-'R&amp;S - Others'!$B$16)*('Yearly HC Ethylene'!Y$3-'Yearly HC Ethylene'!$X$3)/10)</f>
        <v>0</v>
      </c>
      <c r="Z63" s="43">
        <f>Z62*'R&amp;S - Others'!$C$7*'R&amp;S - Others'!$B$12*('R&amp;S - Others'!$B$16+('R&amp;S - Others'!$B$17-'R&amp;S - Others'!$B$16)*('Yearly HC Ethylene'!Z$3-'Yearly HC Ethylene'!$X$3)/10)</f>
        <v>0</v>
      </c>
      <c r="AA63" s="43">
        <f>AA62*'R&amp;S - Others'!$C$7*'R&amp;S - Others'!$B$12*('R&amp;S - Others'!$B$16+('R&amp;S - Others'!$B$17-'R&amp;S - Others'!$B$16)*('Yearly HC Ethylene'!AA$3-'Yearly HC Ethylene'!$X$3)/10)</f>
        <v>0</v>
      </c>
      <c r="AB63" s="43">
        <f>AB62*'R&amp;S - Others'!$C$7*'R&amp;S - Others'!$B$12*('R&amp;S - Others'!$B$16+('R&amp;S - Others'!$B$17-'R&amp;S - Others'!$B$16)*('Yearly HC Ethylene'!AB$3-'Yearly HC Ethylene'!$X$3)/10)</f>
        <v>0</v>
      </c>
      <c r="AC63" s="43">
        <f>AC62*'R&amp;S - Others'!$C$7*'R&amp;S - Others'!$B$12*('R&amp;S - Others'!$B$16+('R&amp;S - Others'!$B$17-'R&amp;S - Others'!$B$16)*('Yearly HC Ethylene'!AC$3-'Yearly HC Ethylene'!$X$3)/10)</f>
        <v>0</v>
      </c>
      <c r="AD63" s="43">
        <f>AD62*'R&amp;S - Others'!$C$7*'R&amp;S - Others'!$B$12*('R&amp;S - Others'!$B$16+('R&amp;S - Others'!$B$17-'R&amp;S - Others'!$B$16)*('Yearly HC Ethylene'!AD$3-'Yearly HC Ethylene'!$X$3)/10)</f>
        <v>0</v>
      </c>
      <c r="AE63" s="43">
        <f>AE62*'R&amp;S - Others'!$C$7*'R&amp;S - Others'!$B$12*('R&amp;S - Others'!$B$16+('R&amp;S - Others'!$B$17-'R&amp;S - Others'!$B$16)*('Yearly HC Ethylene'!AE$3-'Yearly HC Ethylene'!$X$3)/10)</f>
        <v>0</v>
      </c>
      <c r="AF63" s="43">
        <f>AF62*'R&amp;S - Others'!$C$7*'R&amp;S - Others'!$B$12*('R&amp;S - Others'!$B$16+('R&amp;S - Others'!$B$17-'R&amp;S - Others'!$B$16)*('Yearly HC Ethylene'!AF$3-'Yearly HC Ethylene'!$X$3)/10)</f>
        <v>0</v>
      </c>
      <c r="AG63" s="43">
        <f>AG62*'R&amp;S - Others'!$C$7*'R&amp;S - Others'!$B$12*('R&amp;S - Others'!$B$16+('R&amp;S - Others'!$B$17-'R&amp;S - Others'!$B$16)*('Yearly HC Ethylene'!AG$3-'Yearly HC Ethylene'!$X$3)/10)</f>
        <v>0</v>
      </c>
      <c r="AH63" s="43">
        <f>AH62*'R&amp;S - Others'!$C$7*'R&amp;S - Others'!$B$12*('R&amp;S - Others'!$B$16+('R&amp;S - Others'!$B$17-'R&amp;S - Others'!$B$16)*('Yearly HC Ethylene'!AH$3-'Yearly HC Ethylene'!$X$3)/10)</f>
        <v>0</v>
      </c>
    </row>
    <row r="64" spans="1:35" outlineLevel="1">
      <c r="B64" s="1" t="s">
        <v>172</v>
      </c>
      <c r="C64" s="54" t="s">
        <v>153</v>
      </c>
      <c r="D64">
        <v>0</v>
      </c>
      <c r="E64" s="43">
        <f>E62*'R&amp;S - Others'!$C$8*'R&amp;S - Others'!$B$12*'R&amp;S - Others'!$C$15*('Yearly HC Ethylene'!E$3-'Yearly HC Ethylene'!$D$3)/10</f>
        <v>0</v>
      </c>
      <c r="F64" s="43">
        <f>F62*'R&amp;S - Others'!$C$8*'R&amp;S - Others'!$B$12*'R&amp;S - Others'!$C$15*('Yearly HC Ethylene'!F$3-'Yearly HC Ethylene'!$D$3)/10</f>
        <v>0</v>
      </c>
      <c r="G64" s="43">
        <f>G62*'R&amp;S - Others'!$C$8*'R&amp;S - Others'!$B$12*'R&amp;S - Others'!$C$15*('Yearly HC Ethylene'!G$3-'Yearly HC Ethylene'!$D$3)/10</f>
        <v>0</v>
      </c>
      <c r="H64" s="43">
        <f>H62*'R&amp;S - Others'!$C$8*'R&amp;S - Others'!$B$12*'R&amp;S - Others'!$C$15*('Yearly HC Ethylene'!H$3-'Yearly HC Ethylene'!$D$3)/10</f>
        <v>0</v>
      </c>
      <c r="I64" s="43">
        <f>I62*'R&amp;S - Others'!$C$8*'R&amp;S - Others'!$B$12*'R&amp;S - Others'!$C$15*('Yearly HC Ethylene'!I$3-'Yearly HC Ethylene'!$D$3)/10</f>
        <v>0</v>
      </c>
      <c r="J64" s="43">
        <f>J62*'R&amp;S - Others'!$C$8*'R&amp;S - Others'!$B$12*'R&amp;S - Others'!$C$15*('Yearly HC Ethylene'!J$3-'Yearly HC Ethylene'!$D$3)/10</f>
        <v>0</v>
      </c>
      <c r="K64" s="43">
        <f>K62*'R&amp;S - Others'!$C$8*'R&amp;S - Others'!$B$12*'R&amp;S - Others'!$C$15*('Yearly HC Ethylene'!K$3-'Yearly HC Ethylene'!$D$3)/10</f>
        <v>0</v>
      </c>
      <c r="L64" s="43">
        <f>L62*'R&amp;S - Others'!$C$8*'R&amp;S - Others'!$B$12*'R&amp;S - Others'!$C$15*('Yearly HC Ethylene'!L$3-'Yearly HC Ethylene'!$D$3)/10</f>
        <v>0</v>
      </c>
      <c r="M64" s="43">
        <f>M62*'R&amp;S - Others'!$C$8*'R&amp;S - Others'!$B$12*'R&amp;S - Others'!$C$15*('Yearly HC Ethylene'!M$3-'Yearly HC Ethylene'!$D$3)/10</f>
        <v>0</v>
      </c>
      <c r="N64" s="43">
        <f>N62*'R&amp;S - Others'!$C$8*'R&amp;S - Others'!$B$12*'R&amp;S - Others'!$C$15*('Yearly HC Ethylene'!N$3-'Yearly HC Ethylene'!$D$3)/10</f>
        <v>0</v>
      </c>
      <c r="O64" s="43">
        <f>O62*'R&amp;S - Others'!$C$8*'R&amp;S - Others'!$B$12*('R&amp;S - Others'!$C$15+('R&amp;S - Others'!$C$16-'R&amp;S - Others'!$C$15)*('Yearly HC Ethylene'!O$3-'Yearly HC Ethylene'!$N$3)/10)</f>
        <v>0</v>
      </c>
      <c r="P64" s="43">
        <f>P62*'R&amp;S - Others'!$C$8*'R&amp;S - Others'!$B$12*('R&amp;S - Others'!$C$15+('R&amp;S - Others'!$C$16-'R&amp;S - Others'!$C$15)*('Yearly HC Ethylene'!P$3-'Yearly HC Ethylene'!$N$3)/10)</f>
        <v>0</v>
      </c>
      <c r="Q64" s="43">
        <f>Q62*'R&amp;S - Others'!$C$8*'R&amp;S - Others'!$B$12*('R&amp;S - Others'!$C$15+('R&amp;S - Others'!$C$16-'R&amp;S - Others'!$C$15)*('Yearly HC Ethylene'!Q$3-'Yearly HC Ethylene'!$N$3)/10)</f>
        <v>0</v>
      </c>
      <c r="R64" s="43">
        <f>R62*'R&amp;S - Others'!$C$8*'R&amp;S - Others'!$B$12*('R&amp;S - Others'!$C$15+('R&amp;S - Others'!$C$16-'R&amp;S - Others'!$C$15)*('Yearly HC Ethylene'!R$3-'Yearly HC Ethylene'!$N$3)/10)</f>
        <v>0</v>
      </c>
      <c r="S64" s="43">
        <f>S62*'R&amp;S - Others'!$C$8*'R&amp;S - Others'!$B$12*('R&amp;S - Others'!$C$15+('R&amp;S - Others'!$C$16-'R&amp;S - Others'!$C$15)*('Yearly HC Ethylene'!S$3-'Yearly HC Ethylene'!$N$3)/10)</f>
        <v>0</v>
      </c>
      <c r="T64" s="43">
        <f>T62*'R&amp;S - Others'!$C$8*'R&amp;S - Others'!$B$12*('R&amp;S - Others'!$C$15+('R&amp;S - Others'!$C$16-'R&amp;S - Others'!$C$15)*('Yearly HC Ethylene'!T$3-'Yearly HC Ethylene'!$N$3)/10)</f>
        <v>0</v>
      </c>
      <c r="U64" s="43">
        <f>U62*'R&amp;S - Others'!$C$8*'R&amp;S - Others'!$B$12*('R&amp;S - Others'!$C$15+('R&amp;S - Others'!$C$16-'R&amp;S - Others'!$C$15)*('Yearly HC Ethylene'!U$3-'Yearly HC Ethylene'!$N$3)/10)</f>
        <v>0</v>
      </c>
      <c r="V64" s="43">
        <f>V62*'R&amp;S - Others'!$C$8*'R&amp;S - Others'!$B$12*('R&amp;S - Others'!$C$15+('R&amp;S - Others'!$C$16-'R&amp;S - Others'!$C$15)*('Yearly HC Ethylene'!V$3-'Yearly HC Ethylene'!$N$3)/10)</f>
        <v>0</v>
      </c>
      <c r="W64" s="43">
        <f>W62*'R&amp;S - Others'!$C$8*'R&amp;S - Others'!$B$12*('R&amp;S - Others'!$C$15+('R&amp;S - Others'!$C$16-'R&amp;S - Others'!$C$15)*('Yearly HC Ethylene'!W$3-'Yearly HC Ethylene'!$N$3)/10)</f>
        <v>0</v>
      </c>
      <c r="X64" s="43">
        <f>X62*'R&amp;S - Others'!$C$8*'R&amp;S - Others'!$B$12*('R&amp;S - Others'!$C$15+('R&amp;S - Others'!$C$16-'R&amp;S - Others'!$C$15)*('Yearly HC Ethylene'!X$3-'Yearly HC Ethylene'!$N$3)/10)</f>
        <v>0</v>
      </c>
      <c r="Y64" s="43">
        <f>Y62*'R&amp;S - Others'!$C$8*'R&amp;S - Others'!$B$12*('R&amp;S - Others'!$C$16+('R&amp;S - Others'!$C$17-'R&amp;S - Others'!$C$16)*('Yearly HC Ethylene'!Y$3-'Yearly HC Ethylene'!$X$3)/10)</f>
        <v>0</v>
      </c>
      <c r="Z64" s="43">
        <f>Z62*'R&amp;S - Others'!$C$8*'R&amp;S - Others'!$B$12*('R&amp;S - Others'!$C$16+('R&amp;S - Others'!$C$17-'R&amp;S - Others'!$C$16)*('Yearly HC Ethylene'!Z$3-'Yearly HC Ethylene'!$X$3)/10)</f>
        <v>0</v>
      </c>
      <c r="AA64" s="43">
        <f>AA62*'R&amp;S - Others'!$C$8*'R&amp;S - Others'!$B$12*('R&amp;S - Others'!$C$16+('R&amp;S - Others'!$C$17-'R&amp;S - Others'!$C$16)*('Yearly HC Ethylene'!AA$3-'Yearly HC Ethylene'!$X$3)/10)</f>
        <v>0</v>
      </c>
      <c r="AB64" s="43">
        <f>AB62*'R&amp;S - Others'!$C$8*'R&amp;S - Others'!$B$12*('R&amp;S - Others'!$C$16+('R&amp;S - Others'!$C$17-'R&amp;S - Others'!$C$16)*('Yearly HC Ethylene'!AB$3-'Yearly HC Ethylene'!$X$3)/10)</f>
        <v>0</v>
      </c>
      <c r="AC64" s="43">
        <f>AC62*'R&amp;S - Others'!$C$8*'R&amp;S - Others'!$B$12*('R&amp;S - Others'!$C$16+('R&amp;S - Others'!$C$17-'R&amp;S - Others'!$C$16)*('Yearly HC Ethylene'!AC$3-'Yearly HC Ethylene'!$X$3)/10)</f>
        <v>0</v>
      </c>
      <c r="AD64" s="43">
        <f>AD62*'R&amp;S - Others'!$C$8*'R&amp;S - Others'!$B$12*('R&amp;S - Others'!$C$16+('R&amp;S - Others'!$C$17-'R&amp;S - Others'!$C$16)*('Yearly HC Ethylene'!AD$3-'Yearly HC Ethylene'!$X$3)/10)</f>
        <v>0</v>
      </c>
      <c r="AE64" s="43">
        <f>AE62*'R&amp;S - Others'!$C$8*'R&amp;S - Others'!$B$12*('R&amp;S - Others'!$C$16+('R&amp;S - Others'!$C$17-'R&amp;S - Others'!$C$16)*('Yearly HC Ethylene'!AE$3-'Yearly HC Ethylene'!$X$3)/10)</f>
        <v>0</v>
      </c>
      <c r="AF64" s="43">
        <f>AF62*'R&amp;S - Others'!$C$8*'R&amp;S - Others'!$B$12*('R&amp;S - Others'!$C$16+('R&amp;S - Others'!$C$17-'R&amp;S - Others'!$C$16)*('Yearly HC Ethylene'!AF$3-'Yearly HC Ethylene'!$X$3)/10)</f>
        <v>0</v>
      </c>
      <c r="AG64" s="43">
        <f>AG62*'R&amp;S - Others'!$C$8*'R&amp;S - Others'!$B$12*('R&amp;S - Others'!$C$16+('R&amp;S - Others'!$C$17-'R&amp;S - Others'!$C$16)*('Yearly HC Ethylene'!AG$3-'Yearly HC Ethylene'!$X$3)/10)</f>
        <v>0</v>
      </c>
      <c r="AH64" s="43">
        <f>AH62*'R&amp;S - Others'!$C$8*'R&amp;S - Others'!$B$12*('R&amp;S - Others'!$C$16+('R&amp;S - Others'!$C$17-'R&amp;S - Others'!$C$16)*('Yearly HC Ethylene'!AH$3-'Yearly HC Ethylene'!$X$3)/10)</f>
        <v>0</v>
      </c>
    </row>
    <row r="65" spans="1:35" s="181" customFormat="1">
      <c r="A65" s="178"/>
      <c r="B65" s="178" t="s">
        <v>197</v>
      </c>
      <c r="C65" s="179" t="s">
        <v>153</v>
      </c>
      <c r="D65" s="180">
        <f>D62-D63-D64</f>
        <v>26.799786402018107</v>
      </c>
      <c r="E65" s="180">
        <f t="shared" ref="E65:AH65" si="17">E62-E63-E64</f>
        <v>28.769681809966333</v>
      </c>
      <c r="F65" s="180">
        <f t="shared" si="17"/>
        <v>30.807720797164642</v>
      </c>
      <c r="G65" s="180">
        <f t="shared" si="17"/>
        <v>32.915880342003298</v>
      </c>
      <c r="H65" s="180">
        <f t="shared" si="17"/>
        <v>35.096190748991432</v>
      </c>
      <c r="I65" s="180">
        <f t="shared" si="17"/>
        <v>37.35073703588138</v>
      </c>
      <c r="J65" s="180">
        <f t="shared" si="17"/>
        <v>39.180145460280585</v>
      </c>
      <c r="K65" s="180">
        <f t="shared" si="17"/>
        <v>41.064673760592719</v>
      </c>
      <c r="L65" s="180">
        <f t="shared" si="17"/>
        <v>43.005756065858371</v>
      </c>
      <c r="M65" s="180">
        <f t="shared" si="17"/>
        <v>45.004861388134636</v>
      </c>
      <c r="N65" s="180">
        <f t="shared" si="17"/>
        <v>47.063494440626691</v>
      </c>
      <c r="O65" s="180">
        <f t="shared" si="17"/>
        <v>47.110034965693075</v>
      </c>
      <c r="P65" s="180">
        <f t="shared" si="17"/>
        <v>47.1488823667829</v>
      </c>
      <c r="Q65" s="180">
        <f t="shared" si="17"/>
        <v>47.179810597404305</v>
      </c>
      <c r="R65" s="180">
        <f t="shared" si="17"/>
        <v>47.202588692034396</v>
      </c>
      <c r="S65" s="180">
        <f t="shared" si="17"/>
        <v>47.216980670019545</v>
      </c>
      <c r="T65" s="180">
        <f t="shared" si="17"/>
        <v>47.077163873772086</v>
      </c>
      <c r="U65" s="180">
        <f t="shared" si="17"/>
        <v>46.925103799560603</v>
      </c>
      <c r="V65" s="180">
        <f t="shared" si="17"/>
        <v>46.760490310763501</v>
      </c>
      <c r="W65" s="180">
        <f t="shared" si="17"/>
        <v>46.583006949548768</v>
      </c>
      <c r="X65" s="180">
        <f t="shared" si="17"/>
        <v>46.392330818424632</v>
      </c>
      <c r="Y65" s="180">
        <f t="shared" si="17"/>
        <v>46.05057326779729</v>
      </c>
      <c r="Z65" s="180">
        <f t="shared" si="17"/>
        <v>45.691947626346987</v>
      </c>
      <c r="AA65" s="180">
        <f t="shared" si="17"/>
        <v>45.316061544684054</v>
      </c>
      <c r="AB65" s="180">
        <f t="shared" si="17"/>
        <v>44.922515017267713</v>
      </c>
      <c r="AC65" s="180">
        <f t="shared" si="17"/>
        <v>44.510900243015016</v>
      </c>
      <c r="AD65" s="180">
        <f t="shared" si="17"/>
        <v>43.950425641835416</v>
      </c>
      <c r="AE65" s="180">
        <f t="shared" si="17"/>
        <v>43.368338750480113</v>
      </c>
      <c r="AF65" s="180">
        <f t="shared" si="17"/>
        <v>42.76416543473605</v>
      </c>
      <c r="AG65" s="180">
        <f t="shared" si="17"/>
        <v>42.137422599940138</v>
      </c>
      <c r="AH65" s="180">
        <f t="shared" si="17"/>
        <v>41.487618031273527</v>
      </c>
    </row>
    <row r="66" spans="1:35" s="67" customFormat="1">
      <c r="A66" s="755" t="s">
        <v>257</v>
      </c>
      <c r="B66" s="58" t="s">
        <v>258</v>
      </c>
      <c r="C66" s="59" t="s">
        <v>153</v>
      </c>
      <c r="D66" s="60">
        <f>D65*('Demand Breakdown - Ethylene'!$C$76)</f>
        <v>9.842212333121422</v>
      </c>
      <c r="E66" s="60">
        <f>E65*('Demand Breakdown - Ethylene'!$C$76)</f>
        <v>10.565655743760221</v>
      </c>
      <c r="F66" s="60">
        <f>F65*('Demand Breakdown - Ethylene'!$C$76)</f>
        <v>11.314124860427322</v>
      </c>
      <c r="G66" s="60">
        <f>G65*('Demand Breakdown - Ethylene'!$C$76)</f>
        <v>12.088345727756183</v>
      </c>
      <c r="H66" s="60">
        <f>H65*('Demand Breakdown - Ethylene'!$C$76)</f>
        <v>12.889063974379061</v>
      </c>
      <c r="I66" s="60">
        <f>I65*('Demand Breakdown - Ethylene'!$C$76)</f>
        <v>13.717045322347953</v>
      </c>
      <c r="J66" s="60">
        <f>J65*('Demand Breakdown - Ethylene'!$C$76)</f>
        <v>14.388894936626306</v>
      </c>
      <c r="K66" s="60">
        <f>K65*('Demand Breakdown - Ethylene'!$C$76)</f>
        <v>15.080987306364435</v>
      </c>
      <c r="L66" s="60">
        <f>L65*('Demand Breakdown - Ethylene'!$C$76)</f>
        <v>15.793849114958952</v>
      </c>
      <c r="M66" s="60">
        <f>M65*('Demand Breakdown - Ethylene'!$C$76)</f>
        <v>16.528019856582269</v>
      </c>
      <c r="N66" s="60">
        <f>N65*('Demand Breakdown - Ethylene'!$C$76)</f>
        <v>17.284052136641151</v>
      </c>
      <c r="O66" s="60">
        <f>O65*('Demand Breakdown - Ethylene'!$C$76)</f>
        <v>17.301144128455078</v>
      </c>
      <c r="P66" s="60">
        <f>P65*('Demand Breakdown - Ethylene'!$C$76)</f>
        <v>17.315410823136165</v>
      </c>
      <c r="Q66" s="60">
        <f>Q65*('Demand Breakdown - Ethylene'!$C$76)</f>
        <v>17.326769205188072</v>
      </c>
      <c r="R66" s="60">
        <f>R65*('Demand Breakdown - Ethylene'!$C$76)</f>
        <v>17.335134452601999</v>
      </c>
      <c r="S66" s="60">
        <f>S65*('Demand Breakdown - Ethylene'!$C$76)</f>
        <v>17.340419901564115</v>
      </c>
      <c r="T66" s="60">
        <f>T65*('Demand Breakdown - Ethylene'!$C$76)</f>
        <v>17.289072231259524</v>
      </c>
      <c r="U66" s="60">
        <f>U65*('Demand Breakdown - Ethylene'!$C$76)</f>
        <v>17.233228221336113</v>
      </c>
      <c r="V66" s="60">
        <f>V65*('Demand Breakdown - Ethylene'!$C$76)</f>
        <v>17.172773974226331</v>
      </c>
      <c r="W66" s="60">
        <f>W65*('Demand Breakdown - Ethylene'!$C$76)</f>
        <v>17.107593270900278</v>
      </c>
      <c r="X66" s="60">
        <f>X65*('Demand Breakdown - Ethylene'!$C$76)</f>
        <v>17.03756752736523</v>
      </c>
      <c r="Y66" s="60">
        <f>Y65*('Demand Breakdown - Ethylene'!$C$76)</f>
        <v>16.912057184511582</v>
      </c>
      <c r="Z66" s="60">
        <f>Z65*('Demand Breakdown - Ethylene'!$C$76)</f>
        <v>16.780352041108276</v>
      </c>
      <c r="AA66" s="60">
        <f>AA65*('Demand Breakdown - Ethylene'!$C$76)</f>
        <v>16.642308006976982</v>
      </c>
      <c r="AB66" s="60">
        <f>AB65*('Demand Breakdown - Ethylene'!$C$76)</f>
        <v>16.497778180220507</v>
      </c>
      <c r="AC66" s="60">
        <f>AC65*('Demand Breakdown - Ethylene'!$C$76)</f>
        <v>16.346612796031479</v>
      </c>
      <c r="AD66" s="60">
        <f>AD65*('Demand Breakdown - Ethylene'!$C$76)</f>
        <v>16.140778691632956</v>
      </c>
      <c r="AE66" s="60">
        <f>AE65*('Demand Breakdown - Ethylene'!$C$76)</f>
        <v>15.927007481105171</v>
      </c>
      <c r="AF66" s="60">
        <f>AF65*('Demand Breakdown - Ethylene'!$C$76)</f>
        <v>15.705125038821553</v>
      </c>
      <c r="AG66" s="60">
        <f>AG65*('Demand Breakdown - Ethylene'!$C$76)</f>
        <v>15.474953948433336</v>
      </c>
      <c r="AH66" s="60">
        <f>AH65*('Demand Breakdown - Ethylene'!$C$76)</f>
        <v>15.236313444217693</v>
      </c>
      <c r="AI66" s="60"/>
    </row>
    <row r="67" spans="1:35">
      <c r="A67" s="756"/>
      <c r="B67" s="1" t="s">
        <v>260</v>
      </c>
      <c r="C67" s="54" t="s">
        <v>153</v>
      </c>
      <c r="D67" s="44">
        <f>D71/('Demand Breakdown - Ethylene'!$K$14)</f>
        <v>4.5813083502024288</v>
      </c>
      <c r="E67" s="44">
        <f>E71/('Demand Breakdown - Ethylene'!$K$14)</f>
        <v>4.9180535072749887</v>
      </c>
      <c r="F67" s="44">
        <f>F71/('Demand Breakdown - Ethylene'!$K$14)</f>
        <v>5.2664475164670401</v>
      </c>
      <c r="G67" s="44">
        <f>G71/('Demand Breakdown - Ethylene'!$K$14)</f>
        <v>5.6268283337410541</v>
      </c>
      <c r="H67" s="44">
        <f>H71/('Demand Breakdown - Ethylene'!$K$14)</f>
        <v>5.9995430309304245</v>
      </c>
      <c r="I67" s="44">
        <f>I71/('Demand Breakdown - Ethylene'!$K$14)</f>
        <v>6.3849480328624173</v>
      </c>
      <c r="J67" s="44">
        <f>J71/('Demand Breakdown - Ethylene'!$K$14)</f>
        <v>6.6976775436468632</v>
      </c>
      <c r="K67" s="44">
        <f>K71/('Demand Breakdown - Ethylene'!$K$14)</f>
        <v>7.019829560416766</v>
      </c>
      <c r="L67" s="44">
        <f>L71/('Demand Breakdown - Ethylene'!$K$14)</f>
        <v>7.3516492413704198</v>
      </c>
      <c r="M67" s="44">
        <f>M71/('Demand Breakdown - Ethylene'!$K$14)</f>
        <v>7.6933877078079247</v>
      </c>
      <c r="N67" s="44">
        <f>N71/('Demand Breakdown - Ethylene'!$K$14)</f>
        <v>8.0453021839872711</v>
      </c>
      <c r="O67" s="44">
        <f>O71/('Demand Breakdown - Ethylene'!$K$14)</f>
        <v>8.0532580868034724</v>
      </c>
      <c r="P67" s="44">
        <f>P71/('Demand Breakdown - Ethylene'!$K$14)</f>
        <v>8.0598988831265022</v>
      </c>
      <c r="Q67" s="44">
        <f>Q71/('Demand Breakdown - Ethylene'!$K$14)</f>
        <v>8.0651859312796983</v>
      </c>
      <c r="R67" s="44">
        <f>R71/('Demand Breakdown - Ethylene'!$K$14)</f>
        <v>8.0690797486991777</v>
      </c>
      <c r="S67" s="44">
        <f>S71/('Demand Breakdown - Ethylene'!$K$14)</f>
        <v>8.0715399955060079</v>
      </c>
      <c r="T67" s="44">
        <f>T71/('Demand Breakdown - Ethylene'!$K$14)</f>
        <v>8.0476389148578882</v>
      </c>
      <c r="U67" s="44">
        <f>U71/('Demand Breakdown - Ethylene'!$K$14)</f>
        <v>8.0216448984404671</v>
      </c>
      <c r="V67" s="44">
        <f>V71/('Demand Breakdown - Ethylene'!$K$14)</f>
        <v>7.9935049297306655</v>
      </c>
      <c r="W67" s="44">
        <f>W71/('Demand Breakdown - Ethylene'!$K$14)</f>
        <v>7.9631649116216465</v>
      </c>
      <c r="X67" s="44">
        <f>X71/('Demand Breakdown - Ethylene'!$K$14)</f>
        <v>7.9305696461744004</v>
      </c>
      <c r="Y67" s="44">
        <f>Y71/('Demand Breakdown - Ethylene'!$K$14)</f>
        <v>7.8721476611276895</v>
      </c>
      <c r="Z67" s="44">
        <f>Z71/('Demand Breakdown - Ethylene'!$K$14)</f>
        <v>7.8108421484222115</v>
      </c>
      <c r="AA67" s="44">
        <f>AA71/('Demand Breakdown - Ethylene'!$K$14)</f>
        <v>7.7465860376153888</v>
      </c>
      <c r="AB67" s="44">
        <f>AB71/('Demand Breakdown - Ethylene'!$K$14)</f>
        <v>7.6793109494784968</v>
      </c>
      <c r="AC67" s="44">
        <f>AC71/('Demand Breakdown - Ethylene'!$K$14)</f>
        <v>7.6089471721683708</v>
      </c>
      <c r="AD67" s="44">
        <f>AD71/('Demand Breakdown - Ethylene'!$K$14)</f>
        <v>7.5131364469654587</v>
      </c>
      <c r="AE67" s="44">
        <f>AE71/('Demand Breakdown - Ethylene'!$K$14)</f>
        <v>7.4136311936061041</v>
      </c>
      <c r="AF67" s="44">
        <f>AF71/('Demand Breakdown - Ethylene'!$K$14)</f>
        <v>7.3103503608835219</v>
      </c>
      <c r="AG67" s="44">
        <f>AG71/('Demand Breakdown - Ethylene'!$K$14)</f>
        <v>7.2032113658404917</v>
      </c>
      <c r="AH67" s="44">
        <f>AH71/('Demand Breakdown - Ethylene'!$K$14)</f>
        <v>7.09213006646835</v>
      </c>
      <c r="AI67" s="44"/>
    </row>
    <row r="68" spans="1:35">
      <c r="A68" s="756"/>
      <c r="B68" s="1" t="s">
        <v>262</v>
      </c>
      <c r="C68" s="54" t="s">
        <v>153</v>
      </c>
      <c r="D68" s="44">
        <f>D70/('Demand Breakdown - Ethylene'!$M$14)</f>
        <v>3.0035502958579876</v>
      </c>
      <c r="E68" s="44">
        <f>E70/('Demand Breakdown - Ethylene'!$M$14)</f>
        <v>3.2243236948171163</v>
      </c>
      <c r="F68" s="44">
        <f>F70/('Demand Breakdown - Ethylene'!$M$14)</f>
        <v>3.4527341944809735</v>
      </c>
      <c r="G68" s="44">
        <f>G70/('Demand Breakdown - Ethylene'!$M$14)</f>
        <v>3.6890033620643079</v>
      </c>
      <c r="H68" s="44">
        <f>H70/('Demand Breakdown - Ethylene'!$M$14)</f>
        <v>3.9333587412354762</v>
      </c>
      <c r="I68" s="44">
        <f>I70/('Demand Breakdown - Ethylene'!$M$14)</f>
        <v>4.1860340075765503</v>
      </c>
      <c r="J68" s="44">
        <f>J70/('Demand Breakdown - Ethylene'!$M$14)</f>
        <v>4.3910625153386702</v>
      </c>
      <c r="K68" s="44">
        <f>K70/('Demand Breakdown - Ethylene'!$M$14)</f>
        <v>4.6022685096345439</v>
      </c>
      <c r="L68" s="44">
        <f>L70/('Demand Breakdown - Ethylene'!$M$14)</f>
        <v>4.8198127185625053</v>
      </c>
      <c r="M68" s="44">
        <f>M70/('Demand Breakdown - Ethylene'!$M$14)</f>
        <v>5.0438597796884101</v>
      </c>
      <c r="N68" s="44">
        <f>N70/('Demand Breakdown - Ethylene'!$M$14)</f>
        <v>5.2745783317366435</v>
      </c>
      <c r="O68" s="44">
        <f>O70/('Demand Breakdown - Ethylene'!$M$14)</f>
        <v>5.2797942989736804</v>
      </c>
      <c r="P68" s="44">
        <f>P70/('Demand Breakdown - Ethylene'!$M$14)</f>
        <v>5.2841480696077578</v>
      </c>
      <c r="Q68" s="44">
        <f>Q70/('Demand Breakdown - Ethylene'!$M$14)</f>
        <v>5.2876143097799666</v>
      </c>
      <c r="R68" s="44">
        <f>R70/('Demand Breakdown - Ethylene'!$M$14)</f>
        <v>5.2901671343375583</v>
      </c>
      <c r="S68" s="44">
        <f>S70/('Demand Breakdown - Ethylene'!$M$14)</f>
        <v>5.291780096063702</v>
      </c>
      <c r="T68" s="44">
        <f>T70/('Demand Breakdown - Ethylene'!$M$14)</f>
        <v>5.2761103152141295</v>
      </c>
      <c r="U68" s="44">
        <f>U70/('Demand Breakdown - Ethylene'!$M$14)</f>
        <v>5.259068385325774</v>
      </c>
      <c r="V68" s="44">
        <f>V70/('Demand Breakdown - Ethylene'!$M$14)</f>
        <v>5.2406195482506579</v>
      </c>
      <c r="W68" s="44">
        <f>W70/('Demand Breakdown - Ethylene'!$M$14)</f>
        <v>5.2207283373995814</v>
      </c>
      <c r="X68" s="44">
        <f>X70/('Demand Breakdown - Ethylene'!$M$14)</f>
        <v>5.1993585644670688</v>
      </c>
      <c r="Y68" s="44">
        <f>Y70/('Demand Breakdown - Ethylene'!$M$14)</f>
        <v>5.1610565430665867</v>
      </c>
      <c r="Z68" s="44">
        <f>Z70/('Demand Breakdown - Ethylene'!$M$14)</f>
        <v>5.1208640528981118</v>
      </c>
      <c r="AA68" s="44">
        <f>AA70/('Demand Breakdown - Ethylene'!$M$14)</f>
        <v>5.0787371219274018</v>
      </c>
      <c r="AB68" s="44">
        <f>AB70/('Demand Breakdown - Ethylene'!$M$14)</f>
        <v>5.0346309200672925</v>
      </c>
      <c r="AC68" s="44">
        <f>AC70/('Demand Breakdown - Ethylene'!$M$14)</f>
        <v>4.9884997435556349</v>
      </c>
      <c r="AD68" s="44">
        <f>AD70/('Demand Breakdown - Ethylene'!$M$14)</f>
        <v>4.9256853005992127</v>
      </c>
      <c r="AE68" s="44">
        <f>AE70/('Demand Breakdown - Ethylene'!$M$14)</f>
        <v>4.8604486890636212</v>
      </c>
      <c r="AF68" s="44">
        <f>AF70/('Demand Breakdown - Ethylene'!$M$14)</f>
        <v>4.7927367709896789</v>
      </c>
      <c r="AG68" s="44">
        <f>AG70/('Demand Breakdown - Ethylene'!$M$14)</f>
        <v>4.7224954041877263</v>
      </c>
      <c r="AH68" s="44">
        <f>AH70/('Demand Breakdown - Ethylene'!$M$14)</f>
        <v>4.6496694243388168</v>
      </c>
      <c r="AI68" s="44"/>
    </row>
    <row r="69" spans="1:35" s="68" customFormat="1">
      <c r="A69" s="757"/>
      <c r="B69" s="62" t="s">
        <v>248</v>
      </c>
      <c r="C69" s="283" t="s">
        <v>153</v>
      </c>
      <c r="D69" s="284">
        <f>D65-SUM(D67,D66,D68)</f>
        <v>9.3727154228362686</v>
      </c>
      <c r="E69" s="284">
        <f t="shared" ref="E69:AH69" si="18">E65-SUM(E67,E66,E68)</f>
        <v>10.061648864114005</v>
      </c>
      <c r="F69" s="284">
        <f t="shared" si="18"/>
        <v>10.774414225789304</v>
      </c>
      <c r="G69" s="284">
        <f t="shared" si="18"/>
        <v>11.511702918441753</v>
      </c>
      <c r="H69" s="284">
        <f t="shared" si="18"/>
        <v>12.274225002446471</v>
      </c>
      <c r="I69" s="284">
        <f t="shared" si="18"/>
        <v>13.06270967309446</v>
      </c>
      <c r="J69" s="284">
        <f t="shared" si="18"/>
        <v>13.702510464668745</v>
      </c>
      <c r="K69" s="284">
        <f t="shared" si="18"/>
        <v>14.361588384176972</v>
      </c>
      <c r="L69" s="284">
        <f t="shared" si="18"/>
        <v>15.040444990966492</v>
      </c>
      <c r="M69" s="284">
        <f t="shared" si="18"/>
        <v>15.73959404405603</v>
      </c>
      <c r="N69" s="284">
        <f t="shared" si="18"/>
        <v>16.459561788261624</v>
      </c>
      <c r="O69" s="284">
        <f t="shared" si="18"/>
        <v>16.475838451460842</v>
      </c>
      <c r="P69" s="284">
        <f t="shared" si="18"/>
        <v>16.489424590912471</v>
      </c>
      <c r="Q69" s="284">
        <f t="shared" si="18"/>
        <v>16.500241151156565</v>
      </c>
      <c r="R69" s="284">
        <f t="shared" si="18"/>
        <v>16.508207356395662</v>
      </c>
      <c r="S69" s="284">
        <f t="shared" si="18"/>
        <v>16.513240676885722</v>
      </c>
      <c r="T69" s="284">
        <f t="shared" si="18"/>
        <v>16.464342412440544</v>
      </c>
      <c r="U69" s="284">
        <f t="shared" si="18"/>
        <v>16.411162294458251</v>
      </c>
      <c r="V69" s="284">
        <f t="shared" si="18"/>
        <v>16.353591858555845</v>
      </c>
      <c r="W69" s="284">
        <f t="shared" si="18"/>
        <v>16.291520429627262</v>
      </c>
      <c r="X69" s="284">
        <f t="shared" si="18"/>
        <v>16.224835080417932</v>
      </c>
      <c r="Y69" s="284">
        <f t="shared" si="18"/>
        <v>16.105311879091431</v>
      </c>
      <c r="Z69" s="284">
        <f t="shared" si="18"/>
        <v>15.97988938391839</v>
      </c>
      <c r="AA69" s="284">
        <f t="shared" si="18"/>
        <v>15.848430378164281</v>
      </c>
      <c r="AB69" s="284">
        <f t="shared" si="18"/>
        <v>15.710794967501414</v>
      </c>
      <c r="AC69" s="284">
        <f t="shared" si="18"/>
        <v>15.56684053125953</v>
      </c>
      <c r="AD69" s="284">
        <f t="shared" si="18"/>
        <v>15.370825202637789</v>
      </c>
      <c r="AE69" s="284">
        <f t="shared" si="18"/>
        <v>15.167251386705217</v>
      </c>
      <c r="AF69" s="284">
        <f t="shared" si="18"/>
        <v>14.955953264041298</v>
      </c>
      <c r="AG69" s="284">
        <f t="shared" si="18"/>
        <v>14.736761881478586</v>
      </c>
      <c r="AH69" s="284">
        <f t="shared" si="18"/>
        <v>14.509505096248667</v>
      </c>
      <c r="AI69" s="284"/>
    </row>
    <row r="70" spans="1:35" s="67" customFormat="1">
      <c r="A70" s="755" t="s">
        <v>263</v>
      </c>
      <c r="B70" s="58" t="s">
        <v>264</v>
      </c>
      <c r="C70" s="59" t="s">
        <v>153</v>
      </c>
      <c r="D70" s="60">
        <f>D65*'Demand Breakdown - Ethylene'!$E$76</f>
        <v>2.8834082840236679</v>
      </c>
      <c r="E70" s="60">
        <f>E65*'Demand Breakdown - Ethylene'!$E$76</f>
        <v>3.0953507470244315</v>
      </c>
      <c r="F70" s="60">
        <f>F65*'Demand Breakdown - Ethylene'!$E$76</f>
        <v>3.3146248267017344</v>
      </c>
      <c r="G70" s="60">
        <f>G65*'Demand Breakdown - Ethylene'!$E$76</f>
        <v>3.5414432275817354</v>
      </c>
      <c r="H70" s="60">
        <f>H65*'Demand Breakdown - Ethylene'!$E$76</f>
        <v>3.776024391586057</v>
      </c>
      <c r="I70" s="60">
        <f>I65*'Demand Breakdown - Ethylene'!$E$76</f>
        <v>4.0185926472734881</v>
      </c>
      <c r="J70" s="60">
        <f>J65*'Demand Breakdown - Ethylene'!$E$76</f>
        <v>4.2154200147251233</v>
      </c>
      <c r="K70" s="60">
        <f>K65*'Demand Breakdown - Ethylene'!$E$76</f>
        <v>4.4181777692491622</v>
      </c>
      <c r="L70" s="60">
        <f>L65*'Demand Breakdown - Ethylene'!$E$76</f>
        <v>4.6270202098200048</v>
      </c>
      <c r="M70" s="60">
        <f>M65*'Demand Breakdown - Ethylene'!$E$76</f>
        <v>4.8421053885008734</v>
      </c>
      <c r="N70" s="60">
        <f>N65*'Demand Breakdown - Ethylene'!$E$76</f>
        <v>5.0635951984671772</v>
      </c>
      <c r="O70" s="60">
        <f>O65*'Demand Breakdown - Ethylene'!$E$76</f>
        <v>5.0686025270147326</v>
      </c>
      <c r="P70" s="60">
        <f>P65*'Demand Breakdown - Ethylene'!$E$76</f>
        <v>5.0727821468234477</v>
      </c>
      <c r="Q70" s="60">
        <f>Q65*'Demand Breakdown - Ethylene'!$E$76</f>
        <v>5.0761097373887676</v>
      </c>
      <c r="R70" s="60">
        <f>R65*'Demand Breakdown - Ethylene'!$E$76</f>
        <v>5.0785604489640557</v>
      </c>
      <c r="S70" s="60">
        <f>S65*'Demand Breakdown - Ethylene'!$E$76</f>
        <v>5.0801088922211539</v>
      </c>
      <c r="T70" s="60">
        <f>T65*'Demand Breakdown - Ethylene'!$E$76</f>
        <v>5.0650659026055642</v>
      </c>
      <c r="U70" s="60">
        <f>U65*'Demand Breakdown - Ethylene'!$E$76</f>
        <v>5.0487056499127432</v>
      </c>
      <c r="V70" s="60">
        <f>V65*'Demand Breakdown - Ethylene'!$E$76</f>
        <v>5.0309947663206316</v>
      </c>
      <c r="W70" s="60">
        <f>W65*'Demand Breakdown - Ethylene'!$E$76</f>
        <v>5.0118992039035977</v>
      </c>
      <c r="X70" s="60">
        <f>X65*'Demand Breakdown - Ethylene'!$E$76</f>
        <v>4.9913842218883859</v>
      </c>
      <c r="Y70" s="60">
        <f>Y65*'Demand Breakdown - Ethylene'!$E$76</f>
        <v>4.9546142813439227</v>
      </c>
      <c r="Z70" s="60">
        <f>Z65*'Demand Breakdown - Ethylene'!$E$76</f>
        <v>4.9160294907821873</v>
      </c>
      <c r="AA70" s="60">
        <f>AA65*'Demand Breakdown - Ethylene'!$E$76</f>
        <v>4.8755876370503053</v>
      </c>
      <c r="AB70" s="60">
        <f>AB65*'Demand Breakdown - Ethylene'!$E$76</f>
        <v>4.8332456832646002</v>
      </c>
      <c r="AC70" s="60">
        <f>AC65*'Demand Breakdown - Ethylene'!$E$76</f>
        <v>4.7889597538134092</v>
      </c>
      <c r="AD70" s="60">
        <f>AD65*'Demand Breakdown - Ethylene'!$E$76</f>
        <v>4.7286578885752437</v>
      </c>
      <c r="AE70" s="60">
        <f>AE65*'Demand Breakdown - Ethylene'!$E$76</f>
        <v>4.6660307415010758</v>
      </c>
      <c r="AF70" s="60">
        <f>AF65*'Demand Breakdown - Ethylene'!$E$76</f>
        <v>4.6010273001500916</v>
      </c>
      <c r="AG70" s="60">
        <f>AG65*'Demand Breakdown - Ethylene'!$E$76</f>
        <v>4.5335955880202174</v>
      </c>
      <c r="AH70" s="60">
        <f>AH65*'Demand Breakdown - Ethylene'!$E$76</f>
        <v>4.463682647365264</v>
      </c>
      <c r="AI70" s="60"/>
    </row>
    <row r="71" spans="1:35" s="68" customFormat="1">
      <c r="A71" s="757"/>
      <c r="B71" s="62" t="s">
        <v>266</v>
      </c>
      <c r="C71" s="283" t="s">
        <v>153</v>
      </c>
      <c r="D71" s="284">
        <f>D65*'Demand Breakdown - Ethylene'!$D$76/'Demand Breakdown - Ethylene'!$L$24</f>
        <v>2.8011119939271247</v>
      </c>
      <c r="E71" s="284">
        <f>E65*'Demand Breakdown - Ethylene'!$D$76/'Demand Breakdown - Ethylene'!$L$24</f>
        <v>3.0070053384192375</v>
      </c>
      <c r="F71" s="284">
        <f>F65*'Demand Breakdown - Ethylene'!$D$76/'Demand Breakdown - Ethylene'!$L$24</f>
        <v>3.2200210455407832</v>
      </c>
      <c r="G71" s="284">
        <f>G65*'Demand Breakdown - Ethylene'!$D$76/'Demand Breakdown - Ethylene'!$L$24</f>
        <v>3.4403657489491222</v>
      </c>
      <c r="H71" s="284">
        <f>H65*'Demand Breakdown - Ethylene'!$D$76/'Demand Breakdown - Ethylene'!$L$24</f>
        <v>3.6682516559442124</v>
      </c>
      <c r="I71" s="284">
        <f>I65*'Demand Breakdown - Ethylene'!$D$76/'Demand Breakdown - Ethylene'!$L$24</f>
        <v>3.9038966924507621</v>
      </c>
      <c r="J71" s="284">
        <f>J65*'Demand Breakdown - Ethylene'!$D$76/'Demand Breakdown - Ethylene'!$L$24</f>
        <v>4.0951063462333037</v>
      </c>
      <c r="K71" s="284">
        <f>K65*'Demand Breakdown - Ethylene'!$D$76/'Demand Breakdown - Ethylene'!$L$24</f>
        <v>4.2920771259892909</v>
      </c>
      <c r="L71" s="284">
        <f>L65*'Demand Breakdown - Ethylene'!$D$76/'Demand Breakdown - Ethylene'!$L$24</f>
        <v>4.4949589267961025</v>
      </c>
      <c r="M71" s="284">
        <f>M65*'Demand Breakdown - Ethylene'!$D$76/'Demand Breakdown - Ethylene'!$L$24</f>
        <v>4.7039052897018125</v>
      </c>
      <c r="N71" s="284">
        <f>N65*'Demand Breakdown - Ethylene'!$D$76/'Demand Breakdown - Ethylene'!$L$24</f>
        <v>4.9190734872362558</v>
      </c>
      <c r="O71" s="284">
        <f>O65*'Demand Breakdown - Ethylene'!$D$76/'Demand Breakdown - Ethylene'!$L$24</f>
        <v>4.9239378999972949</v>
      </c>
      <c r="P71" s="284">
        <f>P65*'Demand Breakdown - Ethylene'!$D$76/'Demand Breakdown - Ethylene'!$L$24</f>
        <v>4.9279982279227976</v>
      </c>
      <c r="Q71" s="284">
        <f>Q65*'Demand Breakdown - Ethylene'!$D$76/'Demand Breakdown - Ethylene'!$L$24</f>
        <v>4.9312308446476099</v>
      </c>
      <c r="R71" s="284">
        <f>R65*'Demand Breakdown - Ethylene'!$D$76/'Demand Breakdown - Ethylene'!$L$24</f>
        <v>4.9336116096697644</v>
      </c>
      <c r="S71" s="284">
        <f>S65*'Demand Breakdown - Ethylene'!$D$76/'Demand Breakdown - Ethylene'!$L$24</f>
        <v>4.9351158583061459</v>
      </c>
      <c r="T71" s="284">
        <f>T65*'Demand Breakdown - Ethylene'!$D$76/'Demand Breakdown - Ethylene'!$L$24</f>
        <v>4.9205022155313021</v>
      </c>
      <c r="U71" s="284">
        <f>U65*'Demand Breakdown - Ethylene'!$D$76/'Demand Breakdown - Ethylene'!$L$24</f>
        <v>4.9046089061115241</v>
      </c>
      <c r="V71" s="284">
        <f>V65*'Demand Breakdown - Ethylene'!$D$76/'Demand Breakdown - Ethylene'!$L$24</f>
        <v>4.8874035145865733</v>
      </c>
      <c r="W71" s="284">
        <f>W65*'Demand Breakdown - Ethylene'!$D$76/'Demand Breakdown - Ethylene'!$L$24</f>
        <v>4.8688529648036969</v>
      </c>
      <c r="X71" s="284">
        <f>X65*'Demand Breakdown - Ethylene'!$D$76/'Demand Breakdown - Ethylene'!$L$24</f>
        <v>4.8489235075373056</v>
      </c>
      <c r="Y71" s="284">
        <f>Y65*'Demand Breakdown - Ethylene'!$D$76/'Demand Breakdown - Ethylene'!$L$24</f>
        <v>4.8132030297798671</v>
      </c>
      <c r="Z71" s="284">
        <f>Z65*'Demand Breakdown - Ethylene'!$D$76/'Demand Breakdown - Ethylene'!$L$24</f>
        <v>4.7757195002275337</v>
      </c>
      <c r="AA71" s="284">
        <f>AA65*'Demand Breakdown - Ethylene'!$D$76/'Demand Breakdown - Ethylene'!$L$24</f>
        <v>4.7364319105467061</v>
      </c>
      <c r="AB71" s="284">
        <f>AB65*'Demand Breakdown - Ethylene'!$D$76/'Demand Breakdown - Ethylene'!$L$24</f>
        <v>4.6952984521833487</v>
      </c>
      <c r="AC71" s="284">
        <f>AC65*'Demand Breakdown - Ethylene'!$D$76/'Demand Breakdown - Ethylene'!$L$24</f>
        <v>4.6522765017938488</v>
      </c>
      <c r="AD71" s="284">
        <f>AD65*'Demand Breakdown - Ethylene'!$D$76/'Demand Breakdown - Ethylene'!$L$24</f>
        <v>4.5936957316300431</v>
      </c>
      <c r="AE71" s="284">
        <f>AE65*'Demand Breakdown - Ethylene'!$D$76/'Demand Breakdown - Ethylene'!$L$24</f>
        <v>4.5328560462525394</v>
      </c>
      <c r="AF71" s="284">
        <f>AF65*'Demand Breakdown - Ethylene'!$D$76/'Demand Breakdown - Ethylene'!$L$24</f>
        <v>4.4697078891831241</v>
      </c>
      <c r="AG71" s="284">
        <f>AG65*'Demand Breakdown - Ethylene'!$D$76/'Demand Breakdown - Ethylene'!$L$24</f>
        <v>4.40420076739791</v>
      </c>
      <c r="AH71" s="284">
        <f>AH65*'Demand Breakdown - Ethylene'!$D$76/'Demand Breakdown - Ethylene'!$L$24</f>
        <v>4.3362832346349016</v>
      </c>
      <c r="AI71" s="284"/>
    </row>
    <row r="72" spans="1:35" s="67" customFormat="1" outlineLevel="1">
      <c r="B72" s="58" t="s">
        <v>210</v>
      </c>
      <c r="C72" s="59" t="s">
        <v>153</v>
      </c>
      <c r="D72" s="60">
        <f>'Demand - Wind'!D37/1000000</f>
        <v>0</v>
      </c>
      <c r="E72" s="60">
        <f>'Demand - Wind'!E37/1000000</f>
        <v>0.12008947311463376</v>
      </c>
      <c r="F72" s="60">
        <f>'Demand - Wind'!F37/1000000</f>
        <v>0.13274199921705168</v>
      </c>
      <c r="G72" s="60">
        <f>'Demand - Wind'!G37/1000000</f>
        <v>0.14672758485100384</v>
      </c>
      <c r="H72" s="60">
        <f>'Demand - Wind'!H37/1000000</f>
        <v>0.16218668004996406</v>
      </c>
      <c r="I72" s="60">
        <f>'Demand - Wind'!I37/1000000</f>
        <v>0.17927453254506018</v>
      </c>
      <c r="J72" s="60">
        <f>'Demand - Wind'!J37/1000000</f>
        <v>0.19816274683808111</v>
      </c>
      <c r="K72" s="60">
        <f>'Demand - Wind'!K37/1000000</f>
        <v>0.21904100753710451</v>
      </c>
      <c r="L72" s="60">
        <f>'Demand - Wind'!L37/1000000</f>
        <v>0.2421189842613227</v>
      </c>
      <c r="M72" s="60">
        <f>'Demand - Wind'!M37/1000000</f>
        <v>0.26762843724504182</v>
      </c>
      <c r="N72" s="60">
        <f>'Demand - Wind'!N37/1000000</f>
        <v>0.29582554478634898</v>
      </c>
      <c r="O72" s="60">
        <f>'Demand - Wind'!O37/1000000</f>
        <v>0.32699347591382105</v>
      </c>
      <c r="P72" s="60">
        <f>'Demand - Wind'!P37/1000000</f>
        <v>0.36144523410723628</v>
      </c>
      <c r="Q72" s="60">
        <f>'Demand - Wind'!Q37/1000000</f>
        <v>0.39952680063031559</v>
      </c>
      <c r="R72" s="60">
        <f>'Demand - Wind'!R37/1000000</f>
        <v>0.44162060904235889</v>
      </c>
      <c r="S72" s="60">
        <f>'Demand - Wind'!S37/1000000</f>
        <v>0.4881493857815194</v>
      </c>
      <c r="T72" s="60">
        <f>'Demand - Wind'!T37/1000000</f>
        <v>0.53958039538869984</v>
      </c>
      <c r="U72" s="60">
        <f>'Demand - Wind'!U37/1000000</f>
        <v>0.59643013300468273</v>
      </c>
      <c r="V72" s="60">
        <f>'Demand - Wind'!V37/1000000</f>
        <v>0.65926951126481503</v>
      </c>
      <c r="W72" s="60">
        <f>'Demand - Wind'!W37/1000000</f>
        <v>0.72872959368056567</v>
      </c>
      <c r="X72" s="60">
        <f>'Demand - Wind'!X37/1000000</f>
        <v>0.80550793208535187</v>
      </c>
      <c r="Y72" s="60">
        <f>'Demand - Wind'!Y37/1000000</f>
        <v>0.89037557178834259</v>
      </c>
      <c r="Z72" s="60">
        <f>'Demand - Wind'!Z37/1000000</f>
        <v>0.98418479478537868</v>
      </c>
      <c r="AA72" s="60">
        <f>'Demand - Wind'!AA37/1000000</f>
        <v>1.0878776787881119</v>
      </c>
      <c r="AB72" s="60">
        <f>'Demand - Wind'!AB37/1000000</f>
        <v>1.2024955580252485</v>
      </c>
      <c r="AC72" s="60">
        <f>'Demand - Wind'!AC37/1000000</f>
        <v>1.3291894808259002</v>
      </c>
      <c r="AD72" s="60">
        <f>'Demand - Wind'!AD37/1000000</f>
        <v>1.4692317690051102</v>
      </c>
      <c r="AE72" s="60">
        <f>'Demand - Wind'!AE37/1000000</f>
        <v>1.6240287951365695</v>
      </c>
      <c r="AF72" s="60">
        <f>'Demand - Wind'!AF37/1000000</f>
        <v>1.7951351060280285</v>
      </c>
      <c r="AG72" s="60">
        <f>'Demand - Wind'!AG37/1000000</f>
        <v>1.9842690342342524</v>
      </c>
      <c r="AH72" s="60">
        <f>'Demand - Wind'!AH37/1000000</f>
        <v>2.1933299543858755</v>
      </c>
    </row>
    <row r="73" spans="1:35" outlineLevel="1">
      <c r="B73" s="1" t="s">
        <v>211</v>
      </c>
      <c r="C73" s="54" t="s">
        <v>153</v>
      </c>
      <c r="D73" s="44">
        <f>'Demand - Solar'!D32/1000000</f>
        <v>0</v>
      </c>
      <c r="E73" s="44">
        <f>'Demand - Solar'!E32/1000000</f>
        <v>0.55101223885090722</v>
      </c>
      <c r="F73" s="44">
        <f>'Demand - Solar'!F32/1000000</f>
        <v>0.62522552579716173</v>
      </c>
      <c r="G73" s="44">
        <f>'Demand - Solar'!G32/1000000</f>
        <v>0.70943425671187144</v>
      </c>
      <c r="H73" s="44">
        <f>'Demand - Solar'!H32/1000000</f>
        <v>0.80498467165847454</v>
      </c>
      <c r="I73" s="44">
        <f>'Demand - Solar'!I32/1000000</f>
        <v>0.91340432954068651</v>
      </c>
      <c r="J73" s="44">
        <f>'Demand - Solar'!J32/1000000</f>
        <v>1.0364265290974854</v>
      </c>
      <c r="K73" s="44">
        <f>'Demand - Solar'!K32/1000000</f>
        <v>1.1760180190488263</v>
      </c>
      <c r="L73" s="44">
        <f>'Demand - Solar'!L32/1000000</f>
        <v>1.3344104403925769</v>
      </c>
      <c r="M73" s="44">
        <f>'Demand - Solar'!M32/1000000</f>
        <v>1.5141360035188232</v>
      </c>
      <c r="N73" s="44">
        <f>'Demand - Solar'!N32/1000000</f>
        <v>1.718067970509491</v>
      </c>
      <c r="O73" s="44">
        <f>'Demand - Solar'!O32/1000000</f>
        <v>1.9494665898114683</v>
      </c>
      <c r="P73" s="44">
        <f>'Demand - Solar'!P32/1000000</f>
        <v>2.2120312176381116</v>
      </c>
      <c r="Q73" s="44">
        <f>'Demand - Solar'!Q32/1000000</f>
        <v>2.5099594593610157</v>
      </c>
      <c r="R73" s="44">
        <f>'Demand - Solar'!R32/1000000</f>
        <v>2.8480142763819258</v>
      </c>
      <c r="S73" s="44">
        <f>'Demand - Solar'!S32/1000000</f>
        <v>3.2316001313185385</v>
      </c>
      <c r="T73" s="44">
        <f>'Demand - Solar'!T32/1000000</f>
        <v>3.6668493888327456</v>
      </c>
      <c r="U73" s="44">
        <f>'Demand - Solar'!U32/1000000</f>
        <v>4.160720353386357</v>
      </c>
      <c r="V73" s="44">
        <f>'Demand - Solar'!V32/1000000</f>
        <v>4.7211085112481879</v>
      </c>
      <c r="W73" s="44">
        <f>'Demand - Solar'!W32/1000000</f>
        <v>5.3569727551719453</v>
      </c>
      <c r="X73" s="44">
        <f>'Demand - Solar'!X32/1000000</f>
        <v>6.0784786096914774</v>
      </c>
      <c r="Y73" s="44">
        <f>'Demand - Solar'!Y32/1000000</f>
        <v>6.8971607467678657</v>
      </c>
      <c r="Z73" s="44">
        <f>'Demand - Solar'!Z32/1000000</f>
        <v>7.8261073899164364</v>
      </c>
      <c r="AA73" s="44">
        <f>'Demand - Solar'!AA32/1000000</f>
        <v>8.8801695548717721</v>
      </c>
      <c r="AB73" s="44">
        <f>'Demand - Solar'!AB32/1000000</f>
        <v>10.076198471908972</v>
      </c>
      <c r="AC73" s="44">
        <f>'Demand - Solar'!AC32/1000000</f>
        <v>11.433314985477972</v>
      </c>
      <c r="AD73" s="44">
        <f>'Demand - Solar'!AD32/1000000</f>
        <v>12.973215238027134</v>
      </c>
      <c r="AE73" s="44">
        <f>'Demand - Solar'!AE32/1000000</f>
        <v>14.720517524965521</v>
      </c>
      <c r="AF73" s="44">
        <f>'Demand - Solar'!AF32/1000000</f>
        <v>16.703155865913942</v>
      </c>
      <c r="AG73" s="44">
        <f>'Demand - Solar'!AG32/1000000</f>
        <v>18.952826584245294</v>
      </c>
      <c r="AH73" s="44">
        <f>'Demand - Solar'!AH32/1000000</f>
        <v>21.505495034355324</v>
      </c>
    </row>
    <row r="74" spans="1:35" s="193" customFormat="1">
      <c r="A74" s="189" t="s">
        <v>212</v>
      </c>
      <c r="B74" s="190" t="s">
        <v>213</v>
      </c>
      <c r="C74" s="191" t="s">
        <v>153</v>
      </c>
      <c r="D74" s="192">
        <f>D72+D73</f>
        <v>0</v>
      </c>
      <c r="E74" s="192">
        <f t="shared" ref="E74:AH74" si="19">E72+E73</f>
        <v>0.67110171196554103</v>
      </c>
      <c r="F74" s="192">
        <f t="shared" si="19"/>
        <v>0.75796752501421338</v>
      </c>
      <c r="G74" s="192">
        <f t="shared" si="19"/>
        <v>0.85616184156287534</v>
      </c>
      <c r="H74" s="192">
        <f t="shared" si="19"/>
        <v>0.9671713517084386</v>
      </c>
      <c r="I74" s="192">
        <f t="shared" si="19"/>
        <v>1.0926788620857466</v>
      </c>
      <c r="J74" s="192">
        <f t="shared" si="19"/>
        <v>1.2345892759355666</v>
      </c>
      <c r="K74" s="192">
        <f t="shared" si="19"/>
        <v>1.3950590265859308</v>
      </c>
      <c r="L74" s="192">
        <f t="shared" si="19"/>
        <v>1.5765294246538997</v>
      </c>
      <c r="M74" s="192">
        <f t="shared" si="19"/>
        <v>1.7817644407638649</v>
      </c>
      <c r="N74" s="192">
        <f t="shared" si="19"/>
        <v>2.0138935152958402</v>
      </c>
      <c r="O74" s="192">
        <f t="shared" si="19"/>
        <v>2.2764600657252894</v>
      </c>
      <c r="P74" s="192">
        <f t="shared" si="19"/>
        <v>2.5734764517453481</v>
      </c>
      <c r="Q74" s="192">
        <f t="shared" si="19"/>
        <v>2.9094862599913314</v>
      </c>
      <c r="R74" s="192">
        <f t="shared" si="19"/>
        <v>3.2896348854242845</v>
      </c>
      <c r="S74" s="192">
        <f t="shared" si="19"/>
        <v>3.7197495171000581</v>
      </c>
      <c r="T74" s="192">
        <f t="shared" si="19"/>
        <v>4.2064297842214451</v>
      </c>
      <c r="U74" s="192">
        <f t="shared" si="19"/>
        <v>4.7571504863910397</v>
      </c>
      <c r="V74" s="192">
        <f t="shared" si="19"/>
        <v>5.3803780225130033</v>
      </c>
      <c r="W74" s="192">
        <f t="shared" si="19"/>
        <v>6.0857023488525108</v>
      </c>
      <c r="X74" s="192">
        <f t="shared" si="19"/>
        <v>6.8839865417768289</v>
      </c>
      <c r="Y74" s="192">
        <f t="shared" si="19"/>
        <v>7.7875363185562083</v>
      </c>
      <c r="Z74" s="192">
        <f t="shared" si="19"/>
        <v>8.8102921847018152</v>
      </c>
      <c r="AA74" s="192">
        <f t="shared" si="19"/>
        <v>9.9680472336598847</v>
      </c>
      <c r="AB74" s="192">
        <f t="shared" si="19"/>
        <v>11.27869402993422</v>
      </c>
      <c r="AC74" s="192">
        <f t="shared" si="19"/>
        <v>12.762504466303872</v>
      </c>
      <c r="AD74" s="192">
        <f t="shared" si="19"/>
        <v>14.442447007032245</v>
      </c>
      <c r="AE74" s="192">
        <f t="shared" si="19"/>
        <v>16.34454632010209</v>
      </c>
      <c r="AF74" s="192">
        <f t="shared" si="19"/>
        <v>18.498290971941969</v>
      </c>
      <c r="AG74" s="192">
        <f t="shared" si="19"/>
        <v>20.937095618479546</v>
      </c>
      <c r="AH74" s="192">
        <f t="shared" si="19"/>
        <v>23.698824988741201</v>
      </c>
    </row>
    <row r="75" spans="1:35" s="67" customFormat="1">
      <c r="A75" s="755" t="s">
        <v>257</v>
      </c>
      <c r="B75" s="58" t="s">
        <v>258</v>
      </c>
      <c r="C75" s="59" t="s">
        <v>153</v>
      </c>
      <c r="D75" s="60">
        <f>D72*'Demand - Wind'!$I$22+D73*'Demand - Solar'!$J$25</f>
        <v>0</v>
      </c>
      <c r="E75" s="60">
        <f>E72*'Demand - Wind'!$I$22+E73*'Demand - Solar'!$J$25</f>
        <v>0.25750743884407723</v>
      </c>
      <c r="F75" s="60">
        <f>F72*'Demand - Wind'!$I$22+F73*'Demand - Solar'!$J$25</f>
        <v>0.29218992337397443</v>
      </c>
      <c r="G75" s="60">
        <f>G72*'Demand - Wind'!$I$22+G73*'Demand - Solar'!$J$25</f>
        <v>0.33154363114529001</v>
      </c>
      <c r="H75" s="60">
        <f>H72*'Demand - Wind'!$I$22+H73*'Demand - Solar'!$J$25</f>
        <v>0.37619770758595183</v>
      </c>
      <c r="I75" s="60">
        <f>I72*'Demand - Wind'!$I$22+I73*'Demand - Solar'!$J$25</f>
        <v>0.42686603480826918</v>
      </c>
      <c r="J75" s="60">
        <f>J72*'Demand - Wind'!$I$22+J73*'Demand - Solar'!$J$25</f>
        <v>0.48435864440057264</v>
      </c>
      <c r="K75" s="60">
        <f>K72*'Demand - Wind'!$I$22+K73*'Demand - Solar'!$J$25</f>
        <v>0.54959466735490992</v>
      </c>
      <c r="L75" s="60">
        <f>L72*'Demand - Wind'!$I$22+L73*'Demand - Solar'!$J$25</f>
        <v>0.62361702816054232</v>
      </c>
      <c r="M75" s="60">
        <f>M72*'Demand - Wind'!$I$22+M73*'Demand - Solar'!$J$25</f>
        <v>0.70760911797684822</v>
      </c>
      <c r="N75" s="60">
        <f>N72*'Demand - Wind'!$I$22+N73*'Demand - Solar'!$J$25</f>
        <v>0.80291371343867612</v>
      </c>
      <c r="O75" s="60">
        <f>O72*'Demand - Wind'!$I$22+O73*'Demand - Solar'!$J$25</f>
        <v>0.91105444354799547</v>
      </c>
      <c r="P75" s="60">
        <f>P72*'Demand - Wind'!$I$22+P73*'Demand - Solar'!$J$25</f>
        <v>1.0337601478417648</v>
      </c>
      <c r="Q75" s="60">
        <f>Q72*'Demand - Wind'!$I$22+Q73*'Demand - Solar'!$J$25</f>
        <v>1.172992515248658</v>
      </c>
      <c r="R75" s="60">
        <f>R72*'Demand - Wind'!$I$22+R73*'Demand - Solar'!$J$25</f>
        <v>1.3309774454953927</v>
      </c>
      <c r="S75" s="60">
        <f>S72*'Demand - Wind'!$I$22+S73*'Demand - Solar'!$J$25</f>
        <v>1.5102406344356836</v>
      </c>
      <c r="T75" s="60">
        <f>T72*'Demand - Wind'!$I$22+T73*'Demand - Solar'!$J$25</f>
        <v>1.7136479522023518</v>
      </c>
      <c r="U75" s="60">
        <f>U72*'Demand - Wind'!$I$22+U73*'Demand - Solar'!$J$25</f>
        <v>1.9444512597057728</v>
      </c>
      <c r="V75" s="60">
        <f>V72*'Demand - Wind'!$I$22+V73*'Demand - Solar'!$J$25</f>
        <v>2.2063403959443533</v>
      </c>
      <c r="W75" s="60">
        <f>W72*'Demand - Wind'!$I$22+W73*'Demand - Solar'!$J$25</f>
        <v>2.5035021672451121</v>
      </c>
      <c r="X75" s="60">
        <f>X72*'Demand - Wind'!$I$22+X73*'Demand - Solar'!$J$25</f>
        <v>2.8406872814919195</v>
      </c>
      <c r="Y75" s="60">
        <f>Y72*'Demand - Wind'!$I$22+Y73*'Demand - Solar'!$J$25</f>
        <v>3.2232862974150107</v>
      </c>
      <c r="Z75" s="60">
        <f>Z72*'Demand - Wind'!$I$22+Z73*'Demand - Solar'!$J$25</f>
        <v>3.6574158031385977</v>
      </c>
      <c r="AA75" s="60">
        <f>AA72*'Demand - Wind'!$I$22+AA73*'Demand - Solar'!$J$25</f>
        <v>4.1500162017180111</v>
      </c>
      <c r="AB75" s="60">
        <f>AB72*'Demand - Wind'!$I$22+AB73*'Demand - Solar'!$J$25</f>
        <v>4.7089626669580316</v>
      </c>
      <c r="AC75" s="60">
        <f>AC72*'Demand - Wind'!$I$22+AC73*'Demand - Solar'!$J$25</f>
        <v>5.3431910433566108</v>
      </c>
      <c r="AD75" s="60">
        <f>AD72*'Demand - Wind'!$I$22+AD73*'Demand - Solar'!$J$25</f>
        <v>6.0628407029290123</v>
      </c>
      <c r="AE75" s="60">
        <f>AE72*'Demand - Wind'!$I$22+AE73*'Demand - Solar'!$J$25</f>
        <v>6.8794166427560919</v>
      </c>
      <c r="AF75" s="60">
        <f>AF72*'Demand - Wind'!$I$22+AF73*'Demand - Solar'!$J$25</f>
        <v>7.8059734147007553</v>
      </c>
      <c r="AG75" s="60">
        <f>AG72*'Demand - Wind'!$I$22+AG73*'Demand - Solar'!$J$25</f>
        <v>8.8573238277662085</v>
      </c>
      <c r="AH75" s="60">
        <f>AH72*'Demand - Wind'!$I$22+AH73*'Demand - Solar'!$J$25</f>
        <v>10.050275759608461</v>
      </c>
      <c r="AI75" s="60"/>
    </row>
    <row r="76" spans="1:35">
      <c r="A76" s="756"/>
      <c r="B76" s="1" t="s">
        <v>260</v>
      </c>
      <c r="C76" s="54" t="s">
        <v>153</v>
      </c>
      <c r="D76" s="44">
        <f>D72*'Demand - Wind'!$J$22+D73*'Demand - Solar'!$K$25</f>
        <v>0</v>
      </c>
      <c r="E76" s="44">
        <f>E72*'Demand - Wind'!$J$22+E73*'Demand - Solar'!$K$25</f>
        <v>0.17040506749049283</v>
      </c>
      <c r="F76" s="44">
        <f>F72*'Demand - Wind'!$J$22+F73*'Demand - Solar'!$K$25</f>
        <v>0.19159525248308629</v>
      </c>
      <c r="G76" s="44">
        <f>G72*'Demand - Wind'!$J$22+G73*'Demand - Solar'!$K$25</f>
        <v>0.21545392005919764</v>
      </c>
      <c r="H76" s="44">
        <f>H72*'Demand - Wind'!$J$22+H73*'Demand - Solar'!$K$25</f>
        <v>0.24232092899038996</v>
      </c>
      <c r="I76" s="44">
        <f>I72*'Demand - Wind'!$J$22+I73*'Demand - Solar'!$K$25</f>
        <v>0.2725798526189312</v>
      </c>
      <c r="J76" s="44">
        <f>J72*'Demand - Wind'!$J$22+J73*'Demand - Solar'!$K$25</f>
        <v>0.30666364959071457</v>
      </c>
      <c r="K76" s="44">
        <f>K72*'Demand - Wind'!$J$22+K73*'Demand - Solar'!$K$25</f>
        <v>0.34506107549208503</v>
      </c>
      <c r="L76" s="44">
        <f>L72*'Demand - Wind'!$J$22+L73*'Demand - Solar'!$K$25</f>
        <v>0.38832393277089378</v>
      </c>
      <c r="M76" s="44">
        <f>M72*'Demand - Wind'!$J$22+M73*'Demand - Solar'!$K$25</f>
        <v>0.43707526918402728</v>
      </c>
      <c r="N76" s="44">
        <f>N72*'Demand - Wind'!$J$22+N73*'Demand - Solar'!$K$25</f>
        <v>0.49201864958117847</v>
      </c>
      <c r="O76" s="44">
        <f>O72*'Demand - Wind'!$J$22+O73*'Demand - Solar'!$K$25</f>
        <v>0.55394864233462293</v>
      </c>
      <c r="P76" s="44">
        <f>P72*'Demand - Wind'!$J$22+P73*'Demand - Solar'!$K$25</f>
        <v>0.62376268041437455</v>
      </c>
      <c r="Q76" s="44">
        <f>Q72*'Demand - Wind'!$J$22+Q73*'Demand - Solar'!$K$25</f>
        <v>0.70247447827886833</v>
      </c>
      <c r="R76" s="44">
        <f>R72*'Demand - Wind'!$J$22+R73*'Demand - Solar'!$K$25</f>
        <v>0.79122920973349053</v>
      </c>
      <c r="S76" s="44">
        <f>S72*'Demand - Wind'!$J$22+S73*'Demand - Solar'!$K$25</f>
        <v>0.89132067907748114</v>
      </c>
      <c r="T76" s="44">
        <f>T72*'Demand - Wind'!$J$22+T73*'Demand - Solar'!$K$25</f>
        <v>1.0042107486382148</v>
      </c>
      <c r="U76" s="44">
        <f>U72*'Demand - Wind'!$J$22+U73*'Demand - Solar'!$K$25</f>
        <v>1.1315513206619583</v>
      </c>
      <c r="V76" s="44">
        <f>V72*'Demand - Wind'!$J$22+V73*'Demand - Solar'!$K$25</f>
        <v>1.2752092110371303</v>
      </c>
      <c r="W76" s="44">
        <f>W72*'Demand - Wind'!$J$22+W73*'Demand - Solar'!$K$25</f>
        <v>1.4372942970881879</v>
      </c>
      <c r="X76" s="44">
        <f>X72*'Demand - Wind'!$J$22+X73*'Demand - Solar'!$K$25</f>
        <v>1.6201913723963557</v>
      </c>
      <c r="Y76" s="44">
        <f>Y72*'Demand - Wind'!$J$22+Y73*'Demand - Solar'!$K$25</f>
        <v>1.826596199072033</v>
      </c>
      <c r="Z76" s="44">
        <f>Z72*'Demand - Wind'!$J$22+Z73*'Demand - Solar'!$K$25</f>
        <v>2.059556313023517</v>
      </c>
      <c r="AA76" s="44">
        <f>AA72*'Demand - Wind'!$J$22+AA73*'Demand - Solar'!$K$25</f>
        <v>2.3225172115589179</v>
      </c>
      <c r="AB76" s="44">
        <f>AB72*'Demand - Wind'!$J$22+AB73*'Demand - Solar'!$K$25</f>
        <v>2.6193746362803525</v>
      </c>
      <c r="AC76" s="44">
        <f>AC72*'Demand - Wind'!$J$22+AC73*'Demand - Solar'!$K$25</f>
        <v>2.9545337589943546</v>
      </c>
      <c r="AD76" s="44">
        <f>AD72*'Demand - Wind'!$J$22+AD73*'Demand - Solar'!$K$25</f>
        <v>3.3329761857578459</v>
      </c>
      <c r="AE76" s="44">
        <f>AE72*'Demand - Wind'!$J$22+AE73*'Demand - Solar'!$K$25</f>
        <v>3.7603358158923239</v>
      </c>
      <c r="AF76" s="44">
        <f>AF72*'Demand - Wind'!$J$22+AF73*'Demand - Solar'!$K$25</f>
        <v>4.2429847307429096</v>
      </c>
      <c r="AG76" s="44">
        <f>AG72*'Demand - Wind'!$J$22+AG73*'Demand - Solar'!$K$25</f>
        <v>4.7881304433026441</v>
      </c>
      <c r="AH76" s="44">
        <f>AH72*'Demand - Wind'!$J$22+AH73*'Demand - Solar'!$K$25</f>
        <v>5.4039260170251353</v>
      </c>
      <c r="AI76" s="44"/>
    </row>
    <row r="77" spans="1:35">
      <c r="A77" s="756"/>
      <c r="B77" s="1" t="s">
        <v>262</v>
      </c>
      <c r="C77" s="54" t="s">
        <v>153</v>
      </c>
      <c r="D77" s="44">
        <f>D72*'Demand - Wind'!$K$22+D73*'Demand - Solar'!$L$25</f>
        <v>0</v>
      </c>
      <c r="E77" s="44">
        <f>E72*'Demand - Wind'!$K$22+E73*'Demand - Solar'!$L$25</f>
        <v>3.6026841934390125E-2</v>
      </c>
      <c r="F77" s="44">
        <f>F72*'Demand - Wind'!$K$22+F73*'Demand - Solar'!$L$25</f>
        <v>3.9822599765115506E-2</v>
      </c>
      <c r="G77" s="44">
        <f>G72*'Demand - Wind'!$K$22+G73*'Demand - Solar'!$L$25</f>
        <v>4.4018275455301153E-2</v>
      </c>
      <c r="H77" s="44">
        <f>H72*'Demand - Wind'!$K$22+H73*'Demand - Solar'!$L$25</f>
        <v>4.8656004014989214E-2</v>
      </c>
      <c r="I77" s="44">
        <f>I72*'Demand - Wind'!$K$22+I73*'Demand - Solar'!$L$25</f>
        <v>5.3782359763518049E-2</v>
      </c>
      <c r="J77" s="44">
        <f>J72*'Demand - Wind'!$K$22+J73*'Demand - Solar'!$L$25</f>
        <v>5.9448824051424327E-2</v>
      </c>
      <c r="K77" s="44">
        <f>K72*'Demand - Wind'!$K$22+K73*'Demand - Solar'!$L$25</f>
        <v>6.5712302261131353E-2</v>
      </c>
      <c r="L77" s="44">
        <f>L72*'Demand - Wind'!$K$22+L73*'Demand - Solar'!$L$25</f>
        <v>7.2635695278396806E-2</v>
      </c>
      <c r="M77" s="44">
        <f>M72*'Demand - Wind'!$K$22+M73*'Demand - Solar'!$L$25</f>
        <v>8.0288531173512548E-2</v>
      </c>
      <c r="N77" s="44">
        <f>N72*'Demand - Wind'!$K$22+N73*'Demand - Solar'!$L$25</f>
        <v>8.8747663435904692E-2</v>
      </c>
      <c r="O77" s="44">
        <f>O72*'Demand - Wind'!$K$22+O73*'Demand - Solar'!$L$25</f>
        <v>9.8098042774146313E-2</v>
      </c>
      <c r="P77" s="44">
        <f>P72*'Demand - Wind'!$K$22+P73*'Demand - Solar'!$L$25</f>
        <v>0.10843357023217089</v>
      </c>
      <c r="Q77" s="44">
        <f>Q72*'Demand - Wind'!$K$22+Q73*'Demand - Solar'!$L$25</f>
        <v>0.11985804018909467</v>
      </c>
      <c r="R77" s="44">
        <f>R72*'Demand - Wind'!$K$22+R73*'Demand - Solar'!$L$25</f>
        <v>0.13248618271270765</v>
      </c>
      <c r="S77" s="44">
        <f>S72*'Demand - Wind'!$K$22+S73*'Demand - Solar'!$L$25</f>
        <v>0.14644481573445581</v>
      </c>
      <c r="T77" s="44">
        <f>T72*'Demand - Wind'!$K$22+T73*'Demand - Solar'!$L$25</f>
        <v>0.16187411861660994</v>
      </c>
      <c r="U77" s="44">
        <f>U72*'Demand - Wind'!$K$22+U73*'Demand - Solar'!$L$25</f>
        <v>0.17892903990140482</v>
      </c>
      <c r="V77" s="44">
        <f>V72*'Demand - Wind'!$K$22+V73*'Demand - Solar'!$L$25</f>
        <v>0.19778085337944451</v>
      </c>
      <c r="W77" s="44">
        <f>W72*'Demand - Wind'!$K$22+W73*'Demand - Solar'!$L$25</f>
        <v>0.21861887810416969</v>
      </c>
      <c r="X77" s="44">
        <f>X72*'Demand - Wind'!$K$22+X73*'Demand - Solar'!$L$25</f>
        <v>0.24165237962560554</v>
      </c>
      <c r="Y77" s="44">
        <f>Y72*'Demand - Wind'!$K$22+Y73*'Demand - Solar'!$L$25</f>
        <v>0.26711267153650275</v>
      </c>
      <c r="Z77" s="44">
        <f>Z72*'Demand - Wind'!$K$22+Z73*'Demand - Solar'!$L$25</f>
        <v>0.29525543843561358</v>
      </c>
      <c r="AA77" s="44">
        <f>AA72*'Demand - Wind'!$K$22+AA73*'Demand - Solar'!$L$25</f>
        <v>0.32636330363643357</v>
      </c>
      <c r="AB77" s="44">
        <f>AB72*'Demand - Wind'!$K$22+AB73*'Demand - Solar'!$L$25</f>
        <v>0.36074866740757455</v>
      </c>
      <c r="AC77" s="44">
        <f>AC72*'Demand - Wind'!$K$22+AC73*'Demand - Solar'!$L$25</f>
        <v>0.39875684424777003</v>
      </c>
      <c r="AD77" s="44">
        <f>AD72*'Demand - Wind'!$K$22+AD73*'Demand - Solar'!$L$25</f>
        <v>0.44076953070153307</v>
      </c>
      <c r="AE77" s="44">
        <f>AE72*'Demand - Wind'!$K$22+AE73*'Demand - Solar'!$L$25</f>
        <v>0.48720863854097085</v>
      </c>
      <c r="AF77" s="44">
        <f>AF72*'Demand - Wind'!$K$22+AF73*'Demand - Solar'!$L$25</f>
        <v>0.53854053180840855</v>
      </c>
      <c r="AG77" s="44">
        <f>AG72*'Demand - Wind'!$K$22+AG73*'Demand - Solar'!$L$25</f>
        <v>0.59528071027027574</v>
      </c>
      <c r="AH77" s="44">
        <f>AH72*'Demand - Wind'!$K$22+AH73*'Demand - Solar'!$L$25</f>
        <v>0.65799898631576259</v>
      </c>
      <c r="AI77" s="44"/>
    </row>
    <row r="78" spans="1:35" s="68" customFormat="1">
      <c r="A78" s="757"/>
      <c r="B78" s="62" t="s">
        <v>248</v>
      </c>
      <c r="C78" s="283" t="s">
        <v>153</v>
      </c>
      <c r="D78" s="284">
        <f>D72*'Demand - Wind'!$L$22+D73*'Demand - Solar'!$M$25</f>
        <v>0</v>
      </c>
      <c r="E78" s="284">
        <f>E72*'Demand - Wind'!$L$22+E73*'Demand - Solar'!$M$25</f>
        <v>0.20716236369658073</v>
      </c>
      <c r="F78" s="284">
        <f>F72*'Demand - Wind'!$L$22+F73*'Demand - Solar'!$M$25</f>
        <v>0.23435974939203716</v>
      </c>
      <c r="G78" s="284">
        <f>G72*'Demand - Wind'!$L$22+G73*'Demand - Solar'!$M$25</f>
        <v>0.26514601490308642</v>
      </c>
      <c r="H78" s="284">
        <f>H72*'Demand - Wind'!$L$22+H73*'Demand - Solar'!$M$25</f>
        <v>0.29999671111710757</v>
      </c>
      <c r="I78" s="284">
        <f>I72*'Demand - Wind'!$L$22+I73*'Demand - Solar'!$M$25</f>
        <v>0.33945061489502815</v>
      </c>
      <c r="J78" s="284">
        <f>J72*'Demand - Wind'!$L$22+J73*'Demand - Solar'!$M$25</f>
        <v>0.38411815789285497</v>
      </c>
      <c r="K78" s="284">
        <f>K72*'Demand - Wind'!$L$22+K73*'Demand - Solar'!$M$25</f>
        <v>0.43469098147780438</v>
      </c>
      <c r="L78" s="284">
        <f>L72*'Demand - Wind'!$L$22+L73*'Demand - Solar'!$M$25</f>
        <v>0.49195276844406666</v>
      </c>
      <c r="M78" s="284">
        <f>M72*'Demand - Wind'!$L$22+M73*'Demand - Solar'!$M$25</f>
        <v>0.55679152242947672</v>
      </c>
      <c r="N78" s="284">
        <f>N72*'Demand - Wind'!$L$22+N73*'Demand - Solar'!$M$25</f>
        <v>0.63021348884008055</v>
      </c>
      <c r="O78" s="284">
        <f>O72*'Demand - Wind'!$L$22+O73*'Demand - Solar'!$M$25</f>
        <v>0.71335893706852438</v>
      </c>
      <c r="P78" s="284">
        <f>P72*'Demand - Wind'!$L$22+P73*'Demand - Solar'!$M$25</f>
        <v>0.80752005325703735</v>
      </c>
      <c r="Q78" s="284">
        <f>Q72*'Demand - Wind'!$L$22+Q73*'Demand - Solar'!$M$25</f>
        <v>0.91416122627471019</v>
      </c>
      <c r="R78" s="284">
        <f>R72*'Demand - Wind'!$L$22+R73*'Demand - Solar'!$M$25</f>
        <v>1.0349420474826936</v>
      </c>
      <c r="S78" s="284">
        <f>S72*'Demand - Wind'!$L$22+S73*'Demand - Solar'!$M$25</f>
        <v>1.171743387852437</v>
      </c>
      <c r="T78" s="284">
        <f>T72*'Demand - Wind'!$L$22+T73*'Demand - Solar'!$M$25</f>
        <v>1.3266969647642686</v>
      </c>
      <c r="U78" s="284">
        <f>U72*'Demand - Wind'!$L$22+U73*'Demand - Solar'!$M$25</f>
        <v>1.5022188661219034</v>
      </c>
      <c r="V78" s="284">
        <f>V72*'Demand - Wind'!$L$22+V73*'Demand - Solar'!$M$25</f>
        <v>1.7010475621520742</v>
      </c>
      <c r="W78" s="284">
        <f>W72*'Demand - Wind'!$L$22+W73*'Demand - Solar'!$M$25</f>
        <v>1.9262870064150406</v>
      </c>
      <c r="X78" s="284">
        <f>X72*'Demand - Wind'!$L$22+X73*'Demand - Solar'!$M$25</f>
        <v>2.1814555082629483</v>
      </c>
      <c r="Y78" s="284">
        <f>Y72*'Demand - Wind'!$L$22+Y73*'Demand - Solar'!$M$25</f>
        <v>2.4705411505326609</v>
      </c>
      <c r="Z78" s="284">
        <f>Z72*'Demand - Wind'!$L$22+Z73*'Demand - Solar'!$M$25</f>
        <v>2.7980646301040863</v>
      </c>
      <c r="AA78" s="284">
        <f>AA72*'Demand - Wind'!$L$22+AA73*'Demand - Solar'!$M$25</f>
        <v>3.1691505167465208</v>
      </c>
      <c r="AB78" s="284">
        <f>AB72*'Demand - Wind'!$L$22+AB73*'Demand - Solar'!$M$25</f>
        <v>3.5896080592882611</v>
      </c>
      <c r="AC78" s="284">
        <f>AC72*'Demand - Wind'!$L$22+AC73*'Demand - Solar'!$M$25</f>
        <v>4.066022819705136</v>
      </c>
      <c r="AD78" s="284">
        <f>AD72*'Demand - Wind'!$L$22+AD73*'Demand - Solar'!$M$25</f>
        <v>4.6058605876438516</v>
      </c>
      <c r="AE78" s="284">
        <f>AE72*'Demand - Wind'!$L$22+AE73*'Demand - Solar'!$M$25</f>
        <v>5.2175852229127013</v>
      </c>
      <c r="AF78" s="284">
        <f>AF72*'Demand - Wind'!$L$22+AF73*'Demand - Solar'!$M$25</f>
        <v>5.9107922946898954</v>
      </c>
      <c r="AG78" s="284">
        <f>AG72*'Demand - Wind'!$L$22+AG73*'Demand - Solar'!$M$25</f>
        <v>6.6963606371404154</v>
      </c>
      <c r="AH78" s="284">
        <f>AH72*'Demand - Wind'!$L$22+AH73*'Demand - Solar'!$M$25</f>
        <v>7.586624225791839</v>
      </c>
      <c r="AI78" s="284"/>
    </row>
    <row r="79" spans="1:35" s="67" customFormat="1">
      <c r="A79" s="755" t="s">
        <v>263</v>
      </c>
      <c r="B79" s="58" t="s">
        <v>264</v>
      </c>
      <c r="C79" s="59" t="s">
        <v>153</v>
      </c>
      <c r="D79" s="60">
        <f>D72*'Demand - Wind'!$K$22+D73*'Demand - Solar'!$L$25</f>
        <v>0</v>
      </c>
      <c r="E79" s="60">
        <f>E72*'Demand - Wind'!$K$22+E73*'Demand - Solar'!$L$25</f>
        <v>3.6026841934390125E-2</v>
      </c>
      <c r="F79" s="60">
        <f>F72*'Demand - Wind'!$K$22+F73*'Demand - Solar'!$L$25</f>
        <v>3.9822599765115506E-2</v>
      </c>
      <c r="G79" s="60">
        <f>G72*'Demand - Wind'!$K$22+G73*'Demand - Solar'!$L$25</f>
        <v>4.4018275455301153E-2</v>
      </c>
      <c r="H79" s="60">
        <f>H72*'Demand - Wind'!$K$22+H73*'Demand - Solar'!$L$25</f>
        <v>4.8656004014989214E-2</v>
      </c>
      <c r="I79" s="60">
        <f>I72*'Demand - Wind'!$K$22+I73*'Demand - Solar'!$L$25</f>
        <v>5.3782359763518049E-2</v>
      </c>
      <c r="J79" s="60">
        <f>J72*'Demand - Wind'!$K$22+J73*'Demand - Solar'!$L$25</f>
        <v>5.9448824051424327E-2</v>
      </c>
      <c r="K79" s="60">
        <f>K72*'Demand - Wind'!$K$22+K73*'Demand - Solar'!$L$25</f>
        <v>6.5712302261131353E-2</v>
      </c>
      <c r="L79" s="60">
        <f>L72*'Demand - Wind'!$K$22+L73*'Demand - Solar'!$L$25</f>
        <v>7.2635695278396806E-2</v>
      </c>
      <c r="M79" s="60">
        <f>M72*'Demand - Wind'!$K$22+M73*'Demand - Solar'!$L$25</f>
        <v>8.0288531173512548E-2</v>
      </c>
      <c r="N79" s="60">
        <f>N72*'Demand - Wind'!$K$22+N73*'Demand - Solar'!$L$25</f>
        <v>8.8747663435904692E-2</v>
      </c>
      <c r="O79" s="60">
        <f>O72*'Demand - Wind'!$K$22+O73*'Demand - Solar'!$L$25</f>
        <v>9.8098042774146313E-2</v>
      </c>
      <c r="P79" s="60">
        <f>P72*'Demand - Wind'!$K$22+P73*'Demand - Solar'!$L$25</f>
        <v>0.10843357023217089</v>
      </c>
      <c r="Q79" s="60">
        <f>Q72*'Demand - Wind'!$K$22+Q73*'Demand - Solar'!$L$25</f>
        <v>0.11985804018909467</v>
      </c>
      <c r="R79" s="60">
        <f>R72*'Demand - Wind'!$K$22+R73*'Demand - Solar'!$L$25</f>
        <v>0.13248618271270765</v>
      </c>
      <c r="S79" s="60">
        <f>S72*'Demand - Wind'!$K$22+S73*'Demand - Solar'!$L$25</f>
        <v>0.14644481573445581</v>
      </c>
      <c r="T79" s="60">
        <f>T72*'Demand - Wind'!$K$22+T73*'Demand - Solar'!$L$25</f>
        <v>0.16187411861660994</v>
      </c>
      <c r="U79" s="60">
        <f>U72*'Demand - Wind'!$K$22+U73*'Demand - Solar'!$L$25</f>
        <v>0.17892903990140482</v>
      </c>
      <c r="V79" s="60">
        <f>V72*'Demand - Wind'!$K$22+V73*'Demand - Solar'!$L$25</f>
        <v>0.19778085337944451</v>
      </c>
      <c r="W79" s="60">
        <f>W72*'Demand - Wind'!$K$22+W73*'Demand - Solar'!$L$25</f>
        <v>0.21861887810416969</v>
      </c>
      <c r="X79" s="60">
        <f>X72*'Demand - Wind'!$K$22+X73*'Demand - Solar'!$L$25</f>
        <v>0.24165237962560554</v>
      </c>
      <c r="Y79" s="60">
        <f>Y72*'Demand - Wind'!$K$22+Y73*'Demand - Solar'!$L$25</f>
        <v>0.26711267153650275</v>
      </c>
      <c r="Z79" s="60">
        <f>Z72*'Demand - Wind'!$K$22+Z73*'Demand - Solar'!$L$25</f>
        <v>0.29525543843561358</v>
      </c>
      <c r="AA79" s="60">
        <f>AA72*'Demand - Wind'!$K$22+AA73*'Demand - Solar'!$L$25</f>
        <v>0.32636330363643357</v>
      </c>
      <c r="AB79" s="60">
        <f>AB72*'Demand - Wind'!$K$22+AB73*'Demand - Solar'!$L$25</f>
        <v>0.36074866740757455</v>
      </c>
      <c r="AC79" s="60">
        <f>AC72*'Demand - Wind'!$K$22+AC73*'Demand - Solar'!$L$25</f>
        <v>0.39875684424777003</v>
      </c>
      <c r="AD79" s="60">
        <f>AD72*'Demand - Wind'!$K$22+AD73*'Demand - Solar'!$L$25</f>
        <v>0.44076953070153307</v>
      </c>
      <c r="AE79" s="60">
        <f>AE72*'Demand - Wind'!$K$22+AE73*'Demand - Solar'!$L$25</f>
        <v>0.48720863854097085</v>
      </c>
      <c r="AF79" s="60">
        <f>AF72*'Demand - Wind'!$K$22+AF73*'Demand - Solar'!$L$25</f>
        <v>0.53854053180840855</v>
      </c>
      <c r="AG79" s="60">
        <f>AG72*'Demand - Wind'!$K$22+AG73*'Demand - Solar'!$L$25</f>
        <v>0.59528071027027574</v>
      </c>
      <c r="AH79" s="60">
        <f>AH72*'Demand - Wind'!$K$22+AH73*'Demand - Solar'!$L$25</f>
        <v>0.65799898631576259</v>
      </c>
      <c r="AI79" s="60"/>
    </row>
    <row r="80" spans="1:35" s="68" customFormat="1">
      <c r="A80" s="757"/>
      <c r="B80" s="62" t="s">
        <v>266</v>
      </c>
      <c r="C80" s="283" t="s">
        <v>153</v>
      </c>
      <c r="D80" s="284">
        <f>D72*'Demand - Wind'!J22+D73*'Demand - Solar'!K25</f>
        <v>0</v>
      </c>
      <c r="E80" s="284">
        <f>E72*'Demand - Wind'!K22+E73*'Demand - Solar'!L25</f>
        <v>3.6026841934390125E-2</v>
      </c>
      <c r="F80" s="284">
        <f>F72*'Demand - Wind'!L22+F73*'Demand - Solar'!M25</f>
        <v>0.23435974939203716</v>
      </c>
      <c r="G80" s="284">
        <f>G72*'Demand - Wind'!M22+G73*'Demand - Solar'!N25</f>
        <v>0.70943425671187132</v>
      </c>
      <c r="H80" s="284">
        <f>H72*'Demand - Wind'!N22+H73*'Demand - Solar'!O25</f>
        <v>0</v>
      </c>
      <c r="I80" s="284">
        <f>I72*'Demand - Wind'!O22+I73*'Demand - Solar'!P25</f>
        <v>0</v>
      </c>
      <c r="J80" s="284">
        <f>J72*'Demand - Wind'!P22+J73*'Demand - Solar'!Q25</f>
        <v>0</v>
      </c>
      <c r="K80" s="284">
        <f>K72*'Demand - Wind'!Q22+K73*'Demand - Solar'!R25</f>
        <v>0</v>
      </c>
      <c r="L80" s="284">
        <f>L72*'Demand - Wind'!R22+L73*'Demand - Solar'!S25</f>
        <v>0</v>
      </c>
      <c r="M80" s="284">
        <f>M72*'Demand - Wind'!S22+M73*'Demand - Solar'!T25</f>
        <v>0</v>
      </c>
      <c r="N80" s="284">
        <f>N72*'Demand - Wind'!T22+N73*'Demand - Solar'!U25</f>
        <v>0</v>
      </c>
      <c r="O80" s="284">
        <f>O72*'Demand - Wind'!U22+O73*'Demand - Solar'!V25</f>
        <v>0</v>
      </c>
      <c r="P80" s="284">
        <f>P72*'Demand - Wind'!V22+P73*'Demand - Solar'!W25</f>
        <v>0</v>
      </c>
      <c r="Q80" s="284">
        <f>Q72*'Demand - Wind'!W22+Q73*'Demand - Solar'!X25</f>
        <v>0</v>
      </c>
      <c r="R80" s="284">
        <f>R72*'Demand - Wind'!X22+R73*'Demand - Solar'!Y25</f>
        <v>0</v>
      </c>
      <c r="S80" s="284">
        <f>S72*'Demand - Wind'!Y22+S73*'Demand - Solar'!Z25</f>
        <v>0</v>
      </c>
      <c r="T80" s="284">
        <f>T72*'Demand - Wind'!Z22+T73*'Demand - Solar'!AA25</f>
        <v>0</v>
      </c>
      <c r="U80" s="284">
        <f>U72*'Demand - Wind'!AA22+U73*'Demand - Solar'!AB25</f>
        <v>0</v>
      </c>
      <c r="V80" s="284">
        <f>V72*'Demand - Wind'!AB22+V73*'Demand - Solar'!AC25</f>
        <v>0</v>
      </c>
      <c r="W80" s="284">
        <f>W72*'Demand - Wind'!AC22+W73*'Demand - Solar'!AD25</f>
        <v>0</v>
      </c>
      <c r="X80" s="284">
        <f>X72*'Demand - Wind'!AD22+X73*'Demand - Solar'!AE25</f>
        <v>0</v>
      </c>
      <c r="Y80" s="284">
        <f>Y72*'Demand - Wind'!AE22+Y73*'Demand - Solar'!AF25</f>
        <v>0</v>
      </c>
      <c r="Z80" s="284">
        <f>Z72*'Demand - Wind'!AF22+Z73*'Demand - Solar'!AG25</f>
        <v>0</v>
      </c>
      <c r="AA80" s="284">
        <f>AA72*'Demand - Wind'!AG22+AA73*'Demand - Solar'!AH25</f>
        <v>0</v>
      </c>
      <c r="AB80" s="284">
        <f>AB72*'Demand - Wind'!AH22+AB73*'Demand - Solar'!AI25</f>
        <v>0</v>
      </c>
      <c r="AC80" s="284">
        <f>AC72*'Demand - Wind'!AI22+AC73*'Demand - Solar'!AJ25</f>
        <v>0</v>
      </c>
      <c r="AD80" s="284">
        <f>AD72*'Demand - Wind'!AJ22+AD73*'Demand - Solar'!AK25</f>
        <v>0</v>
      </c>
      <c r="AE80" s="284">
        <f>AE72*'Demand - Wind'!AK22+AE73*'Demand - Solar'!AL25</f>
        <v>0</v>
      </c>
      <c r="AF80" s="284">
        <f>AF72*'Demand - Wind'!AL22+AF73*'Demand - Solar'!AM25</f>
        <v>0</v>
      </c>
      <c r="AG80" s="284">
        <f>AG72*'Demand - Wind'!AM22+AG73*'Demand - Solar'!AN25</f>
        <v>0</v>
      </c>
      <c r="AH80" s="284">
        <f>AH72*'Demand - Wind'!AN22+AH73*'Demand - Solar'!AO25</f>
        <v>0</v>
      </c>
      <c r="AI80" s="284"/>
    </row>
    <row r="81" spans="1:35" outlineLevel="1">
      <c r="A81" s="1" t="s">
        <v>67</v>
      </c>
      <c r="B81" s="1" t="s">
        <v>168</v>
      </c>
      <c r="C81" s="54" t="s">
        <v>153</v>
      </c>
      <c r="D81" s="66">
        <f>D17+D29+D41+D53+D63</f>
        <v>0</v>
      </c>
      <c r="E81" s="66">
        <f t="shared" ref="E81:AH81" si="20">E17+E29+E41+E53+E63</f>
        <v>0</v>
      </c>
      <c r="F81" s="66">
        <f t="shared" si="20"/>
        <v>0</v>
      </c>
      <c r="G81" s="66">
        <f t="shared" si="20"/>
        <v>0</v>
      </c>
      <c r="H81" s="66">
        <f t="shared" si="20"/>
        <v>0</v>
      </c>
      <c r="I81" s="66">
        <f t="shared" si="20"/>
        <v>0</v>
      </c>
      <c r="J81" s="66">
        <f t="shared" si="20"/>
        <v>0</v>
      </c>
      <c r="K81" s="66">
        <f t="shared" si="20"/>
        <v>0</v>
      </c>
      <c r="L81" s="66">
        <f t="shared" si="20"/>
        <v>0</v>
      </c>
      <c r="M81" s="66">
        <f t="shared" si="20"/>
        <v>0</v>
      </c>
      <c r="N81" s="66">
        <f t="shared" si="20"/>
        <v>0</v>
      </c>
      <c r="O81" s="66">
        <f t="shared" si="20"/>
        <v>0</v>
      </c>
      <c r="P81" s="66">
        <f t="shared" si="20"/>
        <v>0</v>
      </c>
      <c r="Q81" s="66">
        <f t="shared" si="20"/>
        <v>0</v>
      </c>
      <c r="R81" s="66">
        <f t="shared" si="20"/>
        <v>0</v>
      </c>
      <c r="S81" s="66">
        <f t="shared" si="20"/>
        <v>0</v>
      </c>
      <c r="T81" s="66">
        <f t="shared" si="20"/>
        <v>0</v>
      </c>
      <c r="U81" s="66">
        <f t="shared" si="20"/>
        <v>0</v>
      </c>
      <c r="V81" s="66">
        <f t="shared" si="20"/>
        <v>0</v>
      </c>
      <c r="W81" s="66">
        <f t="shared" si="20"/>
        <v>0</v>
      </c>
      <c r="X81" s="66">
        <f t="shared" si="20"/>
        <v>0</v>
      </c>
      <c r="Y81" s="66">
        <f t="shared" si="20"/>
        <v>0</v>
      </c>
      <c r="Z81" s="66">
        <f t="shared" si="20"/>
        <v>0</v>
      </c>
      <c r="AA81" s="66">
        <f t="shared" si="20"/>
        <v>0</v>
      </c>
      <c r="AB81" s="66">
        <f t="shared" si="20"/>
        <v>0</v>
      </c>
      <c r="AC81" s="66">
        <f t="shared" si="20"/>
        <v>0</v>
      </c>
      <c r="AD81" s="66">
        <f t="shared" si="20"/>
        <v>0</v>
      </c>
      <c r="AE81" s="66">
        <f t="shared" si="20"/>
        <v>0</v>
      </c>
      <c r="AF81" s="66">
        <f t="shared" si="20"/>
        <v>0</v>
      </c>
      <c r="AG81" s="66">
        <f t="shared" si="20"/>
        <v>0</v>
      </c>
      <c r="AH81" s="66">
        <f t="shared" si="20"/>
        <v>0</v>
      </c>
    </row>
    <row r="82" spans="1:35" outlineLevel="1">
      <c r="B82" s="1" t="s">
        <v>172</v>
      </c>
      <c r="C82" s="54" t="s">
        <v>153</v>
      </c>
      <c r="D82" s="66">
        <f>D18+D42+D54+D32+D64</f>
        <v>0</v>
      </c>
      <c r="E82" s="66">
        <f t="shared" ref="E82:AH82" si="21">E18+E42+E54+E32+E64</f>
        <v>0</v>
      </c>
      <c r="F82" s="66">
        <f t="shared" si="21"/>
        <v>0</v>
      </c>
      <c r="G82" s="66">
        <f t="shared" si="21"/>
        <v>0</v>
      </c>
      <c r="H82" s="66">
        <f t="shared" si="21"/>
        <v>0</v>
      </c>
      <c r="I82" s="66">
        <f t="shared" si="21"/>
        <v>0</v>
      </c>
      <c r="J82" s="66">
        <f t="shared" si="21"/>
        <v>0</v>
      </c>
      <c r="K82" s="66">
        <f t="shared" si="21"/>
        <v>0</v>
      </c>
      <c r="L82" s="66">
        <f t="shared" si="21"/>
        <v>0</v>
      </c>
      <c r="M82" s="66">
        <f t="shared" si="21"/>
        <v>0</v>
      </c>
      <c r="N82" s="66">
        <f t="shared" si="21"/>
        <v>0</v>
      </c>
      <c r="O82" s="66">
        <f t="shared" si="21"/>
        <v>0</v>
      </c>
      <c r="P82" s="66">
        <f t="shared" si="21"/>
        <v>0</v>
      </c>
      <c r="Q82" s="66">
        <f t="shared" si="21"/>
        <v>0</v>
      </c>
      <c r="R82" s="66">
        <f t="shared" si="21"/>
        <v>0</v>
      </c>
      <c r="S82" s="66">
        <f t="shared" si="21"/>
        <v>0</v>
      </c>
      <c r="T82" s="66">
        <f t="shared" si="21"/>
        <v>0</v>
      </c>
      <c r="U82" s="66">
        <f t="shared" si="21"/>
        <v>0</v>
      </c>
      <c r="V82" s="66">
        <f t="shared" si="21"/>
        <v>0</v>
      </c>
      <c r="W82" s="66">
        <f t="shared" si="21"/>
        <v>0</v>
      </c>
      <c r="X82" s="66">
        <f t="shared" si="21"/>
        <v>0</v>
      </c>
      <c r="Y82" s="66">
        <f t="shared" si="21"/>
        <v>0</v>
      </c>
      <c r="Z82" s="66">
        <f t="shared" si="21"/>
        <v>0</v>
      </c>
      <c r="AA82" s="66">
        <f t="shared" si="21"/>
        <v>0</v>
      </c>
      <c r="AB82" s="66">
        <f t="shared" si="21"/>
        <v>0</v>
      </c>
      <c r="AC82" s="66">
        <f t="shared" si="21"/>
        <v>0</v>
      </c>
      <c r="AD82" s="66">
        <f t="shared" si="21"/>
        <v>0</v>
      </c>
      <c r="AE82" s="66">
        <f t="shared" si="21"/>
        <v>0</v>
      </c>
      <c r="AF82" s="66">
        <f t="shared" si="21"/>
        <v>0</v>
      </c>
      <c r="AG82" s="66">
        <f t="shared" si="21"/>
        <v>0</v>
      </c>
      <c r="AH82" s="66">
        <f t="shared" si="21"/>
        <v>0</v>
      </c>
    </row>
    <row r="83" spans="1:35" outlineLevel="1">
      <c r="B83" s="1" t="s">
        <v>214</v>
      </c>
      <c r="C83" s="54" t="s">
        <v>153</v>
      </c>
      <c r="D83" s="66">
        <f>D74+D13</f>
        <v>0</v>
      </c>
      <c r="E83" s="66">
        <f t="shared" ref="E83:AG83" si="22">E74+E13</f>
        <v>0.67972367134593858</v>
      </c>
      <c r="F83" s="66">
        <f t="shared" si="22"/>
        <v>0.77550459039394204</v>
      </c>
      <c r="G83" s="66">
        <f t="shared" si="22"/>
        <v>0.88291463479965138</v>
      </c>
      <c r="H83" s="66">
        <f t="shared" si="22"/>
        <v>1.003448139337507</v>
      </c>
      <c r="I83" s="66">
        <f t="shared" si="22"/>
        <v>1.1387957283591998</v>
      </c>
      <c r="J83" s="66">
        <f t="shared" si="22"/>
        <v>1.2908702995356887</v>
      </c>
      <c r="K83" s="66">
        <f t="shared" si="22"/>
        <v>1.4618364610874759</v>
      </c>
      <c r="L83" s="66">
        <f t="shared" si="22"/>
        <v>1.6541438828116954</v>
      </c>
      <c r="M83" s="66">
        <f t="shared" si="22"/>
        <v>1.8705650827036528</v>
      </c>
      <c r="N83" s="66">
        <f t="shared" si="22"/>
        <v>2.1142382406878006</v>
      </c>
      <c r="O83" s="66">
        <f t="shared" si="22"/>
        <v>2.4193308857383626</v>
      </c>
      <c r="P83" s="66">
        <f t="shared" si="22"/>
        <v>2.7602902539710135</v>
      </c>
      <c r="Q83" s="66">
        <f t="shared" si="22"/>
        <v>3.1416958161578337</v>
      </c>
      <c r="R83" s="66">
        <f t="shared" si="22"/>
        <v>3.5687296619767688</v>
      </c>
      <c r="S83" s="66">
        <f t="shared" si="22"/>
        <v>4.0472565029699155</v>
      </c>
      <c r="T83" s="66">
        <f t="shared" si="22"/>
        <v>4.5839143361350425</v>
      </c>
      <c r="U83" s="66">
        <f t="shared" si="22"/>
        <v>5.186217192074948</v>
      </c>
      <c r="V83" s="66">
        <f t="shared" si="22"/>
        <v>5.8626715821599102</v>
      </c>
      <c r="W83" s="66">
        <f t="shared" si="22"/>
        <v>6.6229084752192158</v>
      </c>
      <c r="X83" s="66">
        <f t="shared" si="22"/>
        <v>7.4778328792930671</v>
      </c>
      <c r="Y83" s="66">
        <f t="shared" si="22"/>
        <v>8.451872216335623</v>
      </c>
      <c r="Z83" s="66">
        <f t="shared" si="22"/>
        <v>9.5473426662018142</v>
      </c>
      <c r="AA83" s="66">
        <f t="shared" si="22"/>
        <v>10.780092601652509</v>
      </c>
      <c r="AB83" s="66">
        <f t="shared" si="22"/>
        <v>12.168071102971064</v>
      </c>
      <c r="AC83" s="66">
        <f t="shared" si="22"/>
        <v>13.73160784124509</v>
      </c>
      <c r="AD83" s="66">
        <f t="shared" si="22"/>
        <v>15.493730348168478</v>
      </c>
      <c r="AE83" s="66">
        <f t="shared" si="22"/>
        <v>17.480523675408612</v>
      </c>
      <c r="AF83" s="66">
        <f t="shared" si="22"/>
        <v>19.72153811701498</v>
      </c>
      <c r="AG83" s="66">
        <f t="shared" si="22"/>
        <v>22.250251428715423</v>
      </c>
      <c r="AH83" s="66">
        <f>AH74+AH13</f>
        <v>25.104592840330554</v>
      </c>
    </row>
    <row r="84" spans="1:35" s="69" customFormat="1">
      <c r="A84" s="69" t="s">
        <v>383</v>
      </c>
      <c r="C84" s="70" t="s">
        <v>153</v>
      </c>
      <c r="D84" s="71">
        <f>D4+D83-D81-D82</f>
        <v>162.69230769230768</v>
      </c>
      <c r="E84" s="71">
        <f t="shared" ref="E84:AG84" si="23">E4+E83-E81-E82</f>
        <v>167.39850430954519</v>
      </c>
      <c r="F84" s="71">
        <f t="shared" si="23"/>
        <v>171.62040937873633</v>
      </c>
      <c r="G84" s="71">
        <f t="shared" si="23"/>
        <v>175.95606104581717</v>
      </c>
      <c r="H84" s="71">
        <f t="shared" si="23"/>
        <v>180.40948095153186</v>
      </c>
      <c r="I84" s="71">
        <f t="shared" si="23"/>
        <v>184.98494957451305</v>
      </c>
      <c r="J84" s="71">
        <f t="shared" si="23"/>
        <v>189.18551886714596</v>
      </c>
      <c r="K84" s="71">
        <f t="shared" si="23"/>
        <v>193.49413206129458</v>
      </c>
      <c r="L84" s="71">
        <f t="shared" si="23"/>
        <v>197.91520205880366</v>
      </c>
      <c r="M84" s="71">
        <f t="shared" si="23"/>
        <v>202.45350784224726</v>
      </c>
      <c r="N84" s="71">
        <f>N4+N83-N81-N82</f>
        <v>207.1142382406878</v>
      </c>
      <c r="O84" s="71">
        <f t="shared" si="23"/>
        <v>209.86049508088257</v>
      </c>
      <c r="P84" s="71">
        <f t="shared" si="23"/>
        <v>212.67168831561386</v>
      </c>
      <c r="Q84" s="71">
        <f t="shared" si="23"/>
        <v>215.55274358073115</v>
      </c>
      <c r="R84" s="71">
        <f t="shared" si="23"/>
        <v>218.50919325316443</v>
      </c>
      <c r="S84" s="71">
        <f t="shared" si="23"/>
        <v>221.5472565029699</v>
      </c>
      <c r="T84" s="71">
        <f t="shared" si="23"/>
        <v>224.5283484426771</v>
      </c>
      <c r="U84" s="71">
        <f t="shared" si="23"/>
        <v>227.60255785619916</v>
      </c>
      <c r="V84" s="71">
        <f t="shared" si="23"/>
        <v>230.77870001167108</v>
      </c>
      <c r="W84" s="71">
        <f t="shared" si="23"/>
        <v>234.06671810473532</v>
      </c>
      <c r="X84" s="71">
        <f t="shared" si="23"/>
        <v>237.47783287929306</v>
      </c>
      <c r="Y84" s="71">
        <f t="shared" si="23"/>
        <v>240.89923184978946</v>
      </c>
      <c r="Z84" s="71">
        <f t="shared" si="23"/>
        <v>244.46810353822016</v>
      </c>
      <c r="AA84" s="71">
        <f t="shared" si="23"/>
        <v>248.20057341809886</v>
      </c>
      <c r="AB84" s="71">
        <f t="shared" si="23"/>
        <v>252.11487061900596</v>
      </c>
      <c r="AC84" s="71">
        <f t="shared" si="23"/>
        <v>256.23160784124508</v>
      </c>
      <c r="AD84" s="71">
        <f t="shared" si="23"/>
        <v>260.4437228157434</v>
      </c>
      <c r="AE84" s="71">
        <f t="shared" si="23"/>
        <v>264.90526103567669</v>
      </c>
      <c r="AF84" s="71">
        <f t="shared" si="23"/>
        <v>269.6460228703732</v>
      </c>
      <c r="AG84" s="71">
        <f t="shared" si="23"/>
        <v>274.69973867736547</v>
      </c>
      <c r="AH84" s="71">
        <f>AH4+AH83-AH81-AH82</f>
        <v>280.10459284033055</v>
      </c>
    </row>
    <row r="85" spans="1:35" s="67" customFormat="1">
      <c r="A85" s="755" t="s">
        <v>257</v>
      </c>
      <c r="B85" s="58" t="s">
        <v>258</v>
      </c>
      <c r="C85" s="59" t="s">
        <v>153</v>
      </c>
      <c r="D85" s="60">
        <f>D20+D34+D44+D56+D66+D75</f>
        <v>99.242307692307705</v>
      </c>
      <c r="E85" s="60" t="e">
        <f t="shared" ref="E85:AH90" si="24">E20+E34+E44+E56+E66+E75</f>
        <v>#DIV/0!</v>
      </c>
      <c r="F85" s="60" t="e">
        <f t="shared" si="24"/>
        <v>#DIV/0!</v>
      </c>
      <c r="G85" s="60" t="e">
        <f t="shared" si="24"/>
        <v>#DIV/0!</v>
      </c>
      <c r="H85" s="60" t="e">
        <f t="shared" si="24"/>
        <v>#DIV/0!</v>
      </c>
      <c r="I85" s="60" t="e">
        <f t="shared" si="24"/>
        <v>#DIV/0!</v>
      </c>
      <c r="J85" s="60" t="e">
        <f t="shared" si="24"/>
        <v>#DIV/0!</v>
      </c>
      <c r="K85" s="60" t="e">
        <f t="shared" si="24"/>
        <v>#DIV/0!</v>
      </c>
      <c r="L85" s="60" t="e">
        <f t="shared" si="24"/>
        <v>#DIV/0!</v>
      </c>
      <c r="M85" s="60" t="e">
        <f t="shared" si="24"/>
        <v>#DIV/0!</v>
      </c>
      <c r="N85" s="60" t="e">
        <f t="shared" si="24"/>
        <v>#DIV/0!</v>
      </c>
      <c r="O85" s="60" t="e">
        <f t="shared" si="24"/>
        <v>#DIV/0!</v>
      </c>
      <c r="P85" s="60" t="e">
        <f t="shared" si="24"/>
        <v>#DIV/0!</v>
      </c>
      <c r="Q85" s="60" t="e">
        <f t="shared" si="24"/>
        <v>#DIV/0!</v>
      </c>
      <c r="R85" s="60" t="e">
        <f t="shared" si="24"/>
        <v>#DIV/0!</v>
      </c>
      <c r="S85" s="60" t="e">
        <f t="shared" si="24"/>
        <v>#DIV/0!</v>
      </c>
      <c r="T85" s="60" t="e">
        <f t="shared" si="24"/>
        <v>#DIV/0!</v>
      </c>
      <c r="U85" s="60" t="e">
        <f t="shared" si="24"/>
        <v>#DIV/0!</v>
      </c>
      <c r="V85" s="60" t="e">
        <f t="shared" si="24"/>
        <v>#DIV/0!</v>
      </c>
      <c r="W85" s="60" t="e">
        <f t="shared" si="24"/>
        <v>#DIV/0!</v>
      </c>
      <c r="X85" s="60" t="e">
        <f t="shared" si="24"/>
        <v>#DIV/0!</v>
      </c>
      <c r="Y85" s="60" t="e">
        <f t="shared" si="24"/>
        <v>#DIV/0!</v>
      </c>
      <c r="Z85" s="60" t="e">
        <f t="shared" si="24"/>
        <v>#DIV/0!</v>
      </c>
      <c r="AA85" s="60" t="e">
        <f t="shared" si="24"/>
        <v>#DIV/0!</v>
      </c>
      <c r="AB85" s="60" t="e">
        <f t="shared" si="24"/>
        <v>#DIV/0!</v>
      </c>
      <c r="AC85" s="60" t="e">
        <f t="shared" si="24"/>
        <v>#DIV/0!</v>
      </c>
      <c r="AD85" s="60" t="e">
        <f t="shared" si="24"/>
        <v>#DIV/0!</v>
      </c>
      <c r="AE85" s="60" t="e">
        <f t="shared" si="24"/>
        <v>#DIV/0!</v>
      </c>
      <c r="AF85" s="60" t="e">
        <f t="shared" si="24"/>
        <v>#DIV/0!</v>
      </c>
      <c r="AG85" s="60" t="e">
        <f t="shared" si="24"/>
        <v>#DIV/0!</v>
      </c>
      <c r="AH85" s="60" t="e">
        <f t="shared" si="24"/>
        <v>#DIV/0!</v>
      </c>
      <c r="AI85" s="60"/>
    </row>
    <row r="86" spans="1:35">
      <c r="A86" s="756"/>
      <c r="B86" s="1" t="s">
        <v>260</v>
      </c>
      <c r="C86" s="54" t="s">
        <v>153</v>
      </c>
      <c r="D86" s="44">
        <f t="shared" ref="D86:S90" si="25">D21+D35+D45+D57+D67+D76</f>
        <v>22.776923076923076</v>
      </c>
      <c r="E86" s="44">
        <f t="shared" si="25"/>
        <v>23.576591180787752</v>
      </c>
      <c r="F86" s="44">
        <f t="shared" si="25"/>
        <v>24.243526893619713</v>
      </c>
      <c r="G86" s="44">
        <f t="shared" si="25"/>
        <v>24.930033778996538</v>
      </c>
      <c r="H86" s="44">
        <f t="shared" si="25"/>
        <v>25.636882451567594</v>
      </c>
      <c r="I86" s="44">
        <f t="shared" si="25"/>
        <v>26.364898061061034</v>
      </c>
      <c r="J86" s="44">
        <f t="shared" si="25"/>
        <v>27.029234415790629</v>
      </c>
      <c r="K86" s="44">
        <f t="shared" si="25"/>
        <v>27.712566435009233</v>
      </c>
      <c r="L86" s="44">
        <f t="shared" si="25"/>
        <v>28.415780794348205</v>
      </c>
      <c r="M86" s="44">
        <f t="shared" si="25"/>
        <v>29.139842954287396</v>
      </c>
      <c r="N86" s="44">
        <f t="shared" si="25"/>
        <v>29.885806600300228</v>
      </c>
      <c r="O86" s="44">
        <f t="shared" si="25"/>
        <v>30.300426247997116</v>
      </c>
      <c r="P86" s="44">
        <f t="shared" si="25"/>
        <v>30.727338991112283</v>
      </c>
      <c r="Q86" s="44">
        <f t="shared" si="25"/>
        <v>31.167617789996168</v>
      </c>
      <c r="R86" s="44">
        <f t="shared" si="25"/>
        <v>31.622467947816563</v>
      </c>
      <c r="S86" s="44">
        <f t="shared" si="25"/>
        <v>32.09324429653163</v>
      </c>
      <c r="T86" s="44">
        <f t="shared" si="24"/>
        <v>32.556584096611218</v>
      </c>
      <c r="U86" s="44">
        <f t="shared" si="24"/>
        <v>33.038512616846866</v>
      </c>
      <c r="V86" s="44">
        <f t="shared" si="24"/>
        <v>33.54095048437015</v>
      </c>
      <c r="W86" s="44">
        <f t="shared" si="24"/>
        <v>34.066062193718743</v>
      </c>
      <c r="X86" s="44">
        <f t="shared" si="24"/>
        <v>34.616287975682866</v>
      </c>
      <c r="Y86" s="44">
        <f t="shared" si="24"/>
        <v>35.170864711000938</v>
      </c>
      <c r="Z86" s="44">
        <f t="shared" si="24"/>
        <v>35.755897709716933</v>
      </c>
      <c r="AA86" s="44">
        <f t="shared" si="24"/>
        <v>36.37488200842526</v>
      </c>
      <c r="AB86" s="44">
        <f t="shared" si="24"/>
        <v>37.031763643666459</v>
      </c>
      <c r="AC86" s="44">
        <f t="shared" si="24"/>
        <v>37.730998851603083</v>
      </c>
      <c r="AD86" s="44">
        <f t="shared" si="24"/>
        <v>38.455333896099788</v>
      </c>
      <c r="AE86" s="44">
        <f t="shared" si="24"/>
        <v>39.232280192081745</v>
      </c>
      <c r="AF86" s="44">
        <f t="shared" si="24"/>
        <v>40.068256084636054</v>
      </c>
      <c r="AG86" s="44">
        <f t="shared" si="24"/>
        <v>40.970516078313629</v>
      </c>
      <c r="AH86" s="44">
        <f t="shared" si="24"/>
        <v>41.947260969883466</v>
      </c>
      <c r="AI86" s="44"/>
    </row>
    <row r="87" spans="1:35">
      <c r="A87" s="756"/>
      <c r="B87" s="1" t="s">
        <v>262</v>
      </c>
      <c r="C87" s="54" t="s">
        <v>153</v>
      </c>
      <c r="D87" s="44">
        <f t="shared" si="25"/>
        <v>19.523076923076918</v>
      </c>
      <c r="E87" s="44" t="e">
        <f t="shared" si="24"/>
        <v>#DIV/0!</v>
      </c>
      <c r="F87" s="44" t="e">
        <f t="shared" si="24"/>
        <v>#DIV/0!</v>
      </c>
      <c r="G87" s="44" t="e">
        <f t="shared" si="24"/>
        <v>#DIV/0!</v>
      </c>
      <c r="H87" s="44" t="e">
        <f t="shared" si="24"/>
        <v>#DIV/0!</v>
      </c>
      <c r="I87" s="44" t="e">
        <f t="shared" si="24"/>
        <v>#DIV/0!</v>
      </c>
      <c r="J87" s="44" t="e">
        <f t="shared" si="24"/>
        <v>#DIV/0!</v>
      </c>
      <c r="K87" s="44" t="e">
        <f t="shared" si="24"/>
        <v>#DIV/0!</v>
      </c>
      <c r="L87" s="44" t="e">
        <f t="shared" si="24"/>
        <v>#DIV/0!</v>
      </c>
      <c r="M87" s="44" t="e">
        <f t="shared" si="24"/>
        <v>#DIV/0!</v>
      </c>
      <c r="N87" s="44" t="e">
        <f t="shared" si="24"/>
        <v>#DIV/0!</v>
      </c>
      <c r="O87" s="44" t="e">
        <f t="shared" si="24"/>
        <v>#DIV/0!</v>
      </c>
      <c r="P87" s="44" t="e">
        <f t="shared" si="24"/>
        <v>#DIV/0!</v>
      </c>
      <c r="Q87" s="44" t="e">
        <f t="shared" si="24"/>
        <v>#DIV/0!</v>
      </c>
      <c r="R87" s="44" t="e">
        <f t="shared" si="24"/>
        <v>#DIV/0!</v>
      </c>
      <c r="S87" s="44" t="e">
        <f t="shared" si="24"/>
        <v>#DIV/0!</v>
      </c>
      <c r="T87" s="44" t="e">
        <f t="shared" si="24"/>
        <v>#DIV/0!</v>
      </c>
      <c r="U87" s="44" t="e">
        <f t="shared" si="24"/>
        <v>#DIV/0!</v>
      </c>
      <c r="V87" s="44" t="e">
        <f t="shared" si="24"/>
        <v>#DIV/0!</v>
      </c>
      <c r="W87" s="44" t="e">
        <f t="shared" si="24"/>
        <v>#DIV/0!</v>
      </c>
      <c r="X87" s="44" t="e">
        <f t="shared" si="24"/>
        <v>#DIV/0!</v>
      </c>
      <c r="Y87" s="44" t="e">
        <f t="shared" si="24"/>
        <v>#DIV/0!</v>
      </c>
      <c r="Z87" s="44" t="e">
        <f t="shared" si="24"/>
        <v>#DIV/0!</v>
      </c>
      <c r="AA87" s="44" t="e">
        <f t="shared" si="24"/>
        <v>#DIV/0!</v>
      </c>
      <c r="AB87" s="44" t="e">
        <f t="shared" si="24"/>
        <v>#DIV/0!</v>
      </c>
      <c r="AC87" s="44" t="e">
        <f t="shared" si="24"/>
        <v>#DIV/0!</v>
      </c>
      <c r="AD87" s="44" t="e">
        <f t="shared" si="24"/>
        <v>#DIV/0!</v>
      </c>
      <c r="AE87" s="44" t="e">
        <f t="shared" si="24"/>
        <v>#DIV/0!</v>
      </c>
      <c r="AF87" s="44" t="e">
        <f t="shared" si="24"/>
        <v>#DIV/0!</v>
      </c>
      <c r="AG87" s="44" t="e">
        <f t="shared" si="24"/>
        <v>#DIV/0!</v>
      </c>
      <c r="AH87" s="44" t="e">
        <f>AH22+AH36+AH46+AH58+AH68+AH77</f>
        <v>#DIV/0!</v>
      </c>
      <c r="AI87" s="44"/>
    </row>
    <row r="88" spans="1:35" s="68" customFormat="1">
      <c r="A88" s="757"/>
      <c r="B88" s="62" t="s">
        <v>248</v>
      </c>
      <c r="C88" s="283" t="s">
        <v>153</v>
      </c>
      <c r="D88" s="284">
        <f t="shared" si="25"/>
        <v>21.150000000000006</v>
      </c>
      <c r="E88" s="284" t="e">
        <f t="shared" si="24"/>
        <v>#DIV/0!</v>
      </c>
      <c r="F88" s="284" t="e">
        <f t="shared" si="24"/>
        <v>#DIV/0!</v>
      </c>
      <c r="G88" s="284" t="e">
        <f t="shared" si="24"/>
        <v>#DIV/0!</v>
      </c>
      <c r="H88" s="284" t="e">
        <f t="shared" si="24"/>
        <v>#DIV/0!</v>
      </c>
      <c r="I88" s="284" t="e">
        <f t="shared" si="24"/>
        <v>#DIV/0!</v>
      </c>
      <c r="J88" s="284" t="e">
        <f t="shared" si="24"/>
        <v>#DIV/0!</v>
      </c>
      <c r="K88" s="284" t="e">
        <f t="shared" si="24"/>
        <v>#DIV/0!</v>
      </c>
      <c r="L88" s="284" t="e">
        <f t="shared" si="24"/>
        <v>#DIV/0!</v>
      </c>
      <c r="M88" s="284" t="e">
        <f t="shared" si="24"/>
        <v>#DIV/0!</v>
      </c>
      <c r="N88" s="284" t="e">
        <f t="shared" si="24"/>
        <v>#DIV/0!</v>
      </c>
      <c r="O88" s="284" t="e">
        <f t="shared" si="24"/>
        <v>#DIV/0!</v>
      </c>
      <c r="P88" s="284" t="e">
        <f t="shared" si="24"/>
        <v>#DIV/0!</v>
      </c>
      <c r="Q88" s="284" t="e">
        <f t="shared" si="24"/>
        <v>#DIV/0!</v>
      </c>
      <c r="R88" s="284" t="e">
        <f t="shared" si="24"/>
        <v>#DIV/0!</v>
      </c>
      <c r="S88" s="284" t="e">
        <f t="shared" si="24"/>
        <v>#DIV/0!</v>
      </c>
      <c r="T88" s="284" t="e">
        <f t="shared" si="24"/>
        <v>#DIV/0!</v>
      </c>
      <c r="U88" s="284" t="e">
        <f t="shared" si="24"/>
        <v>#DIV/0!</v>
      </c>
      <c r="V88" s="284" t="e">
        <f t="shared" si="24"/>
        <v>#DIV/0!</v>
      </c>
      <c r="W88" s="284" t="e">
        <f t="shared" si="24"/>
        <v>#DIV/0!</v>
      </c>
      <c r="X88" s="284" t="e">
        <f t="shared" si="24"/>
        <v>#DIV/0!</v>
      </c>
      <c r="Y88" s="284" t="e">
        <f t="shared" si="24"/>
        <v>#DIV/0!</v>
      </c>
      <c r="Z88" s="284" t="e">
        <f t="shared" si="24"/>
        <v>#DIV/0!</v>
      </c>
      <c r="AA88" s="284" t="e">
        <f t="shared" si="24"/>
        <v>#DIV/0!</v>
      </c>
      <c r="AB88" s="284" t="e">
        <f t="shared" si="24"/>
        <v>#DIV/0!</v>
      </c>
      <c r="AC88" s="284" t="e">
        <f t="shared" si="24"/>
        <v>#DIV/0!</v>
      </c>
      <c r="AD88" s="284" t="e">
        <f t="shared" si="24"/>
        <v>#DIV/0!</v>
      </c>
      <c r="AE88" s="284" t="e">
        <f t="shared" si="24"/>
        <v>#DIV/0!</v>
      </c>
      <c r="AF88" s="284" t="e">
        <f t="shared" si="24"/>
        <v>#DIV/0!</v>
      </c>
      <c r="AG88" s="284" t="e">
        <f t="shared" si="24"/>
        <v>#DIV/0!</v>
      </c>
      <c r="AH88" s="284" t="e">
        <f t="shared" si="24"/>
        <v>#DIV/0!</v>
      </c>
      <c r="AI88" s="284"/>
    </row>
    <row r="89" spans="1:35" s="67" customFormat="1">
      <c r="A89" s="755" t="s">
        <v>263</v>
      </c>
      <c r="B89" s="58" t="s">
        <v>264</v>
      </c>
      <c r="C89" s="59" t="s">
        <v>153</v>
      </c>
      <c r="D89" s="60">
        <f t="shared" si="25"/>
        <v>18.74215384615384</v>
      </c>
      <c r="E89" s="60" t="e">
        <f t="shared" si="24"/>
        <v>#DIV/0!</v>
      </c>
      <c r="F89" s="60" t="e">
        <f t="shared" si="24"/>
        <v>#DIV/0!</v>
      </c>
      <c r="G89" s="60" t="e">
        <f t="shared" si="24"/>
        <v>#DIV/0!</v>
      </c>
      <c r="H89" s="60" t="e">
        <f t="shared" si="24"/>
        <v>#DIV/0!</v>
      </c>
      <c r="I89" s="60" t="e">
        <f t="shared" si="24"/>
        <v>#DIV/0!</v>
      </c>
      <c r="J89" s="60" t="e">
        <f t="shared" si="24"/>
        <v>#DIV/0!</v>
      </c>
      <c r="K89" s="60" t="e">
        <f t="shared" si="24"/>
        <v>#DIV/0!</v>
      </c>
      <c r="L89" s="60" t="e">
        <f t="shared" si="24"/>
        <v>#DIV/0!</v>
      </c>
      <c r="M89" s="60" t="e">
        <f t="shared" si="24"/>
        <v>#DIV/0!</v>
      </c>
      <c r="N89" s="60" t="e">
        <f t="shared" si="24"/>
        <v>#DIV/0!</v>
      </c>
      <c r="O89" s="60" t="e">
        <f t="shared" si="24"/>
        <v>#DIV/0!</v>
      </c>
      <c r="P89" s="60" t="e">
        <f t="shared" si="24"/>
        <v>#DIV/0!</v>
      </c>
      <c r="Q89" s="60" t="e">
        <f t="shared" si="24"/>
        <v>#DIV/0!</v>
      </c>
      <c r="R89" s="60" t="e">
        <f t="shared" si="24"/>
        <v>#DIV/0!</v>
      </c>
      <c r="S89" s="60" t="e">
        <f t="shared" si="24"/>
        <v>#DIV/0!</v>
      </c>
      <c r="T89" s="60" t="e">
        <f t="shared" si="24"/>
        <v>#DIV/0!</v>
      </c>
      <c r="U89" s="60" t="e">
        <f t="shared" si="24"/>
        <v>#DIV/0!</v>
      </c>
      <c r="V89" s="60" t="e">
        <f t="shared" si="24"/>
        <v>#DIV/0!</v>
      </c>
      <c r="W89" s="60" t="e">
        <f t="shared" si="24"/>
        <v>#DIV/0!</v>
      </c>
      <c r="X89" s="60" t="e">
        <f t="shared" si="24"/>
        <v>#DIV/0!</v>
      </c>
      <c r="Y89" s="60" t="e">
        <f t="shared" si="24"/>
        <v>#DIV/0!</v>
      </c>
      <c r="Z89" s="60" t="e">
        <f t="shared" si="24"/>
        <v>#DIV/0!</v>
      </c>
      <c r="AA89" s="60" t="e">
        <f t="shared" si="24"/>
        <v>#DIV/0!</v>
      </c>
      <c r="AB89" s="60" t="e">
        <f t="shared" si="24"/>
        <v>#DIV/0!</v>
      </c>
      <c r="AC89" s="60" t="e">
        <f t="shared" si="24"/>
        <v>#DIV/0!</v>
      </c>
      <c r="AD89" s="60" t="e">
        <f t="shared" si="24"/>
        <v>#DIV/0!</v>
      </c>
      <c r="AE89" s="60" t="e">
        <f t="shared" si="24"/>
        <v>#DIV/0!</v>
      </c>
      <c r="AF89" s="60" t="e">
        <f t="shared" si="24"/>
        <v>#DIV/0!</v>
      </c>
      <c r="AG89" s="60" t="e">
        <f t="shared" si="24"/>
        <v>#DIV/0!</v>
      </c>
      <c r="AH89" s="60" t="e">
        <f t="shared" si="24"/>
        <v>#DIV/0!</v>
      </c>
      <c r="AI89" s="60"/>
    </row>
    <row r="90" spans="1:35" s="68" customFormat="1">
      <c r="A90" s="757"/>
      <c r="B90" s="62" t="s">
        <v>266</v>
      </c>
      <c r="C90" s="283" t="s">
        <v>153</v>
      </c>
      <c r="D90" s="284">
        <f t="shared" si="25"/>
        <v>15.260538461538461</v>
      </c>
      <c r="E90" s="284">
        <f t="shared" si="24"/>
        <v>15.709329302570225</v>
      </c>
      <c r="F90" s="284">
        <f t="shared" si="24"/>
        <v>16.331092359940463</v>
      </c>
      <c r="G90" s="284">
        <f t="shared" si="24"/>
        <v>17.240532442832659</v>
      </c>
      <c r="H90" s="284">
        <f t="shared" si="24"/>
        <v>16.97667517669365</v>
      </c>
      <c r="I90" s="284">
        <f t="shared" si="24"/>
        <v>17.433746452434292</v>
      </c>
      <c r="J90" s="284">
        <f t="shared" si="24"/>
        <v>17.850183629308784</v>
      </c>
      <c r="K90" s="284">
        <f t="shared" si="24"/>
        <v>18.276250550349275</v>
      </c>
      <c r="L90" s="284">
        <f t="shared" si="24"/>
        <v>18.712165673700223</v>
      </c>
      <c r="M90" s="284">
        <f t="shared" si="24"/>
        <v>19.158152355241864</v>
      </c>
      <c r="N90" s="284">
        <f t="shared" si="24"/>
        <v>19.614438957575835</v>
      </c>
      <c r="O90" s="284">
        <f t="shared" si="24"/>
        <v>19.864572250536568</v>
      </c>
      <c r="P90" s="284">
        <f t="shared" si="24"/>
        <v>20.118125646847702</v>
      </c>
      <c r="Q90" s="284">
        <f t="shared" si="24"/>
        <v>20.375150581331873</v>
      </c>
      <c r="R90" s="284">
        <f t="shared" si="24"/>
        <v>20.635699348407233</v>
      </c>
      <c r="S90" s="284">
        <f t="shared" si="24"/>
        <v>20.89982511786031</v>
      </c>
      <c r="T90" s="284">
        <f t="shared" si="24"/>
        <v>21.152365774998358</v>
      </c>
      <c r="U90" s="284">
        <f t="shared" si="24"/>
        <v>21.408240257603193</v>
      </c>
      <c r="V90" s="284">
        <f t="shared" si="24"/>
        <v>21.667498343248646</v>
      </c>
      <c r="W90" s="284">
        <f t="shared" si="24"/>
        <v>21.930190656696492</v>
      </c>
      <c r="X90" s="284">
        <f t="shared" si="24"/>
        <v>22.196368685914578</v>
      </c>
      <c r="Y90" s="284">
        <f t="shared" si="24"/>
        <v>22.451707120313106</v>
      </c>
      <c r="Z90" s="284">
        <f t="shared" si="24"/>
        <v>22.71032232573344</v>
      </c>
      <c r="AA90" s="284">
        <f t="shared" si="24"/>
        <v>22.972263315786556</v>
      </c>
      <c r="AB90" s="284">
        <f t="shared" si="24"/>
        <v>23.237579959314044</v>
      </c>
      <c r="AC90" s="284">
        <f t="shared" si="24"/>
        <v>23.506322997062</v>
      </c>
      <c r="AD90" s="284">
        <f t="shared" si="24"/>
        <v>23.764917183911862</v>
      </c>
      <c r="AE90" s="284">
        <f t="shared" si="24"/>
        <v>24.026759258054327</v>
      </c>
      <c r="AF90" s="284">
        <f t="shared" si="24"/>
        <v>24.291898280729097</v>
      </c>
      <c r="AG90" s="284">
        <f t="shared" si="24"/>
        <v>24.560384194444552</v>
      </c>
      <c r="AH90" s="284">
        <f t="shared" si="24"/>
        <v>24.832267840663494</v>
      </c>
      <c r="AI90" s="284"/>
    </row>
    <row r="91" spans="1:35">
      <c r="A91" s="298"/>
      <c r="C91" s="5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row>
    <row r="92" spans="1:35" s="67" customFormat="1">
      <c r="A92" s="58" t="s">
        <v>216</v>
      </c>
      <c r="B92" s="58" t="s">
        <v>197</v>
      </c>
      <c r="C92" s="100" t="s">
        <v>153</v>
      </c>
      <c r="D92" s="101">
        <f>D33</f>
        <v>89.109936202323638</v>
      </c>
      <c r="E92" s="101">
        <f t="shared" ref="E92:AH92" si="26">E33</f>
        <v>90.357475309156172</v>
      </c>
      <c r="F92" s="101">
        <f t="shared" si="26"/>
        <v>91.622479963484366</v>
      </c>
      <c r="G92" s="101">
        <f t="shared" si="26"/>
        <v>92.905194682973146</v>
      </c>
      <c r="H92" s="101">
        <f t="shared" si="26"/>
        <v>94.205867408534772</v>
      </c>
      <c r="I92" s="101">
        <f t="shared" si="26"/>
        <v>95.524749552254264</v>
      </c>
      <c r="J92" s="101">
        <f t="shared" si="26"/>
        <v>96.862096045985822</v>
      </c>
      <c r="K92" s="101">
        <f t="shared" si="26"/>
        <v>98.218165390629622</v>
      </c>
      <c r="L92" s="101">
        <f t="shared" si="26"/>
        <v>99.593219706098438</v>
      </c>
      <c r="M92" s="101">
        <f t="shared" si="26"/>
        <v>100.98752478198382</v>
      </c>
      <c r="N92" s="101">
        <f t="shared" si="26"/>
        <v>102.4013501289316</v>
      </c>
      <c r="O92" s="101">
        <f t="shared" si="26"/>
        <v>103.83496903073664</v>
      </c>
      <c r="P92" s="101">
        <f t="shared" si="26"/>
        <v>105.28865859716696</v>
      </c>
      <c r="Q92" s="101">
        <f t="shared" si="26"/>
        <v>106.76269981752729</v>
      </c>
      <c r="R92" s="101">
        <f t="shared" si="26"/>
        <v>108.25737761497267</v>
      </c>
      <c r="S92" s="101">
        <f t="shared" si="26"/>
        <v>109.77298090158229</v>
      </c>
      <c r="T92" s="101">
        <f t="shared" si="26"/>
        <v>111.30980263420444</v>
      </c>
      <c r="U92" s="101">
        <f t="shared" si="26"/>
        <v>112.86813987108332</v>
      </c>
      <c r="V92" s="101">
        <f t="shared" si="26"/>
        <v>114.44829382927848</v>
      </c>
      <c r="W92" s="101">
        <f t="shared" si="26"/>
        <v>116.05056994288839</v>
      </c>
      <c r="X92" s="101">
        <f t="shared" si="26"/>
        <v>117.67527792208882</v>
      </c>
      <c r="Y92" s="101">
        <f t="shared" si="26"/>
        <v>119.32273181299807</v>
      </c>
      <c r="Z92" s="101">
        <f t="shared" si="26"/>
        <v>120.99325005838004</v>
      </c>
      <c r="AA92" s="101">
        <f t="shared" si="26"/>
        <v>122.68715555919736</v>
      </c>
      <c r="AB92" s="101">
        <f t="shared" si="26"/>
        <v>124.40477573702613</v>
      </c>
      <c r="AC92" s="101">
        <f t="shared" si="26"/>
        <v>126.14644259734449</v>
      </c>
      <c r="AD92" s="101">
        <f t="shared" si="26"/>
        <v>127.91249279370732</v>
      </c>
      <c r="AE92" s="101">
        <f t="shared" si="26"/>
        <v>129.70326769281922</v>
      </c>
      <c r="AF92" s="101">
        <f t="shared" si="26"/>
        <v>131.51911344051871</v>
      </c>
      <c r="AG92" s="101">
        <f t="shared" si="26"/>
        <v>133.36038102868596</v>
      </c>
      <c r="AH92" s="101">
        <f t="shared" si="26"/>
        <v>135.22742636308757</v>
      </c>
    </row>
    <row r="93" spans="1:35" outlineLevel="1">
      <c r="A93"/>
      <c r="B93" t="s">
        <v>217</v>
      </c>
      <c r="C93" s="54" t="s">
        <v>153</v>
      </c>
      <c r="D93" s="44">
        <f>'Ethylene Recycling LC'!C67-'Ethylene Recycling LC'!$C$67</f>
        <v>0</v>
      </c>
      <c r="E93" s="44">
        <f>'Ethylene Recycling LC'!D67-'Ethylene Recycling LC'!$C$67</f>
        <v>0.52576861374702411</v>
      </c>
      <c r="F93" s="44">
        <f>'Ethylene Recycling LC'!E67-'Ethylene Recycling LC'!$C$67</f>
        <v>1.0628748798461967</v>
      </c>
      <c r="G93" s="44">
        <f>'Ethylene Recycling LC'!F67-'Ethylene Recycling LC'!$C$67</f>
        <v>1.6081134608716807</v>
      </c>
      <c r="H93" s="44">
        <f>'Ethylene Recycling LC'!G67-'Ethylene Recycling LC'!$C$67</f>
        <v>2.1580586281269145</v>
      </c>
      <c r="I93" s="44">
        <f>'Ethylene Recycling LC'!H67-'Ethylene Recycling LC'!$C$67</f>
        <v>2.7090992000438421</v>
      </c>
      <c r="J93" s="44">
        <f>'Ethylene Recycling LC'!I67-'Ethylene Recycling LC'!$C$67</f>
        <v>3.2756931326989269</v>
      </c>
      <c r="K93" s="44">
        <f>'Ethylene Recycling LC'!J67-'Ethylene Recycling LC'!$C$67</f>
        <v>3.8575900217291279</v>
      </c>
      <c r="L93" s="44">
        <f>'Ethylene Recycling LC'!K67-'Ethylene Recycling LC'!$C$67</f>
        <v>4.4545038184271641</v>
      </c>
      <c r="M93" s="44">
        <f>'Ethylene Recycling LC'!L67-'Ethylene Recycling LC'!$C$67</f>
        <v>5.0661124889505915</v>
      </c>
      <c r="N93" s="44">
        <f>'Ethylene Recycling LC'!M67-'Ethylene Recycling LC'!$C$67</f>
        <v>5.6920577659921028</v>
      </c>
      <c r="O93" s="44">
        <f>'Ethylene Recycling LC'!N67-'Ethylene Recycling LC'!$C$67</f>
        <v>6.7212217785967683</v>
      </c>
      <c r="P93" s="44">
        <f>'Ethylene Recycling LC'!O67-'Ethylene Recycling LC'!$C$67</f>
        <v>7.7561886524532033</v>
      </c>
      <c r="Q93" s="44">
        <f>'Ethylene Recycling LC'!P67-'Ethylene Recycling LC'!$C$67</f>
        <v>8.7915604638491125</v>
      </c>
      <c r="R93" s="44">
        <f>'Ethylene Recycling LC'!Q67-'Ethylene Recycling LC'!$C$67</f>
        <v>9.8217861757934202</v>
      </c>
      <c r="S93" s="44">
        <f>'Ethylene Recycling LC'!R67-'Ethylene Recycling LC'!$C$67</f>
        <v>10.841210107814128</v>
      </c>
      <c r="T93" s="44">
        <f>'Ethylene Recycling LC'!S67-'Ethylene Recycling LC'!$C$67</f>
        <v>11.874804724980738</v>
      </c>
      <c r="U93" s="44">
        <f>'Ethylene Recycling LC'!T67-'Ethylene Recycling LC'!$C$67</f>
        <v>12.922405752557005</v>
      </c>
      <c r="V93" s="44">
        <f>'Ethylene Recycling LC'!U67-'Ethylene Recycling LC'!$C$67</f>
        <v>13.98384021835923</v>
      </c>
      <c r="W93" s="44">
        <f>'Ethylene Recycling LC'!V67-'Ethylene Recycling LC'!$C$67</f>
        <v>15.058926447006826</v>
      </c>
      <c r="X93" s="44">
        <f>'Ethylene Recycling LC'!W67-'Ethylene Recycling LC'!$C$67</f>
        <v>16.147474060294684</v>
      </c>
      <c r="Y93" s="44">
        <f>'Ethylene Recycling LC'!X67-'Ethylene Recycling LC'!$C$67</f>
        <v>17.97281920238575</v>
      </c>
      <c r="Z93" s="44">
        <f>'Ethylene Recycling LC'!Y67-'Ethylene Recycling LC'!$C$67</f>
        <v>19.822562357572394</v>
      </c>
      <c r="AA93" s="44">
        <f>'Ethylene Recycling LC'!Z67-'Ethylene Recycling LC'!$C$67</f>
        <v>21.696421571130113</v>
      </c>
      <c r="AB93" s="44">
        <f>'Ethylene Recycling LC'!AA67-'Ethylene Recycling LC'!$C$67</f>
        <v>23.594101242412371</v>
      </c>
      <c r="AC93" s="44">
        <f>'Ethylene Recycling LC'!AB67-'Ethylene Recycling LC'!$C$67</f>
        <v>25.515292128384424</v>
      </c>
      <c r="AD93" s="44">
        <f>'Ethylene Recycling LC'!AC67-'Ethylene Recycling LC'!$C$67</f>
        <v>27.459979992306241</v>
      </c>
      <c r="AE93" s="44">
        <f>'Ethylene Recycling LC'!AD67-'Ethylene Recycling LC'!$C$67</f>
        <v>29.427884590699183</v>
      </c>
      <c r="AF93" s="44">
        <f>'Ethylene Recycling LC'!AE67-'Ethylene Recycling LC'!$C$67</f>
        <v>31.418713489510719</v>
      </c>
      <c r="AG93" s="44">
        <f>'Ethylene Recycling LC'!AF67-'Ethylene Recycling LC'!$C$67</f>
        <v>33.432162074702688</v>
      </c>
      <c r="AH93" s="44">
        <f>'Ethylene Recycling LC'!AG67-'Ethylene Recycling LC'!$C$67</f>
        <v>35.467913570100137</v>
      </c>
    </row>
    <row r="94" spans="1:35" outlineLevel="1">
      <c r="A94"/>
      <c r="B94" s="181" t="s">
        <v>218</v>
      </c>
      <c r="C94" s="54" t="s">
        <v>153</v>
      </c>
      <c r="D94" s="44">
        <f>'Ethylene Recycling LC'!C118-'Ethylene Recycling LC'!$C$118</f>
        <v>0</v>
      </c>
      <c r="E94" s="44">
        <f>'Ethylene Recycling LC'!D118-'Ethylene Recycling LC'!$C$118</f>
        <v>1.8700648518153269E-3</v>
      </c>
      <c r="F94" s="44">
        <f>'Ethylene Recycling LC'!E118-'Ethylene Recycling LC'!$C$118</f>
        <v>3.7152470000596767E-3</v>
      </c>
      <c r="G94" s="44">
        <f>'Ethylene Recycling LC'!F118-'Ethylene Recycling LC'!$C$118</f>
        <v>5.51656191653858E-3</v>
      </c>
      <c r="H94" s="44">
        <f>'Ethylene Recycling LC'!G118-'Ethylene Recycling LC'!$C$118</f>
        <v>7.2552059166358209E-3</v>
      </c>
      <c r="I94" s="44">
        <f>'Ethylene Recycling LC'!H118-'Ethylene Recycling LC'!$C$118</f>
        <v>8.912850768403667E-3</v>
      </c>
      <c r="J94" s="44">
        <f>'Ethylene Recycling LC'!I118-'Ethylene Recycling LC'!$C$118</f>
        <v>1.0510391527087427E-2</v>
      </c>
      <c r="K94" s="44">
        <f>'Ethylene Recycling LC'!J118-'Ethylene Recycling LC'!$C$118</f>
        <v>1.2040884693431456E-2</v>
      </c>
      <c r="L94" s="44">
        <f>'Ethylene Recycling LC'!K118-'Ethylene Recycling LC'!$C$118</f>
        <v>1.3497365193705577E-2</v>
      </c>
      <c r="M94" s="44">
        <f>'Ethylene Recycling LC'!L118-'Ethylene Recycling LC'!$C$118</f>
        <v>1.4872868177446073E-2</v>
      </c>
      <c r="N94" s="44">
        <f>'Ethylene Recycling LC'!M118-'Ethylene Recycling LC'!$C$118</f>
        <v>1.6160451408523475E-2</v>
      </c>
      <c r="O94" s="44">
        <f>'Ethylene Recycling LC'!N118-'Ethylene Recycling LC'!$C$118</f>
        <v>1.9140141079746712E-2</v>
      </c>
      <c r="P94" s="44">
        <f>'Ethylene Recycling LC'!O118-'Ethylene Recycling LC'!$C$118</f>
        <v>2.1891074361714016E-2</v>
      </c>
      <c r="Q94" s="44">
        <f>'Ethylene Recycling LC'!P118-'Ethylene Recycling LC'!$C$118</f>
        <v>2.4452189636349597E-2</v>
      </c>
      <c r="R94" s="44">
        <f>'Ethylene Recycling LC'!Q118-'Ethylene Recycling LC'!$C$118</f>
        <v>2.6746674247840642E-2</v>
      </c>
      <c r="S94" s="44">
        <f>'Ethylene Recycling LC'!R118-'Ethylene Recycling LC'!$C$118</f>
        <v>2.8753159376217897E-2</v>
      </c>
      <c r="T94" s="44">
        <f>'Ethylene Recycling LC'!S118-'Ethylene Recycling LC'!$C$118</f>
        <v>3.052113547411392E-2</v>
      </c>
      <c r="U94" s="44">
        <f>'Ethylene Recycling LC'!T118-'Ethylene Recycling LC'!$C$118</f>
        <v>3.204295860801841E-2</v>
      </c>
      <c r="V94" s="44">
        <f>'Ethylene Recycling LC'!U118-'Ethylene Recycling LC'!$C$118</f>
        <v>3.3311037091111689E-2</v>
      </c>
      <c r="W94" s="44">
        <f>'Ethylene Recycling LC'!V118-'Ethylene Recycling LC'!$C$118</f>
        <v>3.4317839015125813E-2</v>
      </c>
      <c r="X94" s="44">
        <f>'Ethylene Recycling LC'!W118-'Ethylene Recycling LC'!$C$118</f>
        <v>3.5055899845365918E-2</v>
      </c>
      <c r="Y94" s="44">
        <f>'Ethylene Recycling LC'!X118-'Ethylene Recycling LC'!$C$118</f>
        <v>3.7154310539765825E-2</v>
      </c>
      <c r="Z94" s="44">
        <f>'Ethylene Recycling LC'!Y118-'Ethylene Recycling LC'!$C$118</f>
        <v>3.8807192589725897E-2</v>
      </c>
      <c r="AA94" s="44">
        <f>'Ethylene Recycling LC'!Z118-'Ethylene Recycling LC'!$C$118</f>
        <v>4.014131808813836E-2</v>
      </c>
      <c r="AB94" s="44">
        <f>'Ethylene Recycling LC'!AA118-'Ethylene Recycling LC'!$C$118</f>
        <v>4.1009265430239097E-2</v>
      </c>
      <c r="AC94" s="44">
        <f>'Ethylene Recycling LC'!AB118-'Ethylene Recycling LC'!$C$118</f>
        <v>4.1394793011835795E-2</v>
      </c>
      <c r="AD94" s="44">
        <f>'Ethylene Recycling LC'!AC118-'Ethylene Recycling LC'!$C$118</f>
        <v>4.1282152574702802E-2</v>
      </c>
      <c r="AE94" s="44">
        <f>'Ethylene Recycling LC'!AD118-'Ethylene Recycling LC'!$C$118</f>
        <v>4.065516731229752E-2</v>
      </c>
      <c r="AF94" s="44">
        <f>'Ethylene Recycling LC'!AE118-'Ethylene Recycling LC'!$C$118</f>
        <v>3.9497693827405179E-2</v>
      </c>
      <c r="AG94" s="44">
        <f>'Ethylene Recycling LC'!AF118-'Ethylene Recycling LC'!$C$118</f>
        <v>3.779363586296533E-2</v>
      </c>
      <c r="AH94" s="44">
        <f>'Ethylene Recycling LC'!AG118-'Ethylene Recycling LC'!$C$118</f>
        <v>3.5526958224594972E-2</v>
      </c>
    </row>
    <row r="95" spans="1:35" s="68" customFormat="1">
      <c r="A95" s="62"/>
      <c r="B95" s="62" t="s">
        <v>219</v>
      </c>
      <c r="C95" s="63" t="s">
        <v>153</v>
      </c>
      <c r="D95" s="64">
        <f>D92-D93-D94</f>
        <v>89.109936202323638</v>
      </c>
      <c r="E95" s="64">
        <f t="shared" ref="E95:AG95" si="27">E92-E93-E94</f>
        <v>89.829836630557338</v>
      </c>
      <c r="F95" s="64">
        <f t="shared" si="27"/>
        <v>90.555889836638116</v>
      </c>
      <c r="G95" s="64">
        <f t="shared" si="27"/>
        <v>91.291564660184932</v>
      </c>
      <c r="H95" s="64">
        <f t="shared" si="27"/>
        <v>92.040553574491227</v>
      </c>
      <c r="I95" s="64">
        <f t="shared" si="27"/>
        <v>92.806737501442029</v>
      </c>
      <c r="J95" s="64">
        <f t="shared" si="27"/>
        <v>93.575892521759798</v>
      </c>
      <c r="K95" s="64">
        <f t="shared" si="27"/>
        <v>94.348534484207065</v>
      </c>
      <c r="L95" s="64">
        <f t="shared" si="27"/>
        <v>95.125218522477567</v>
      </c>
      <c r="M95" s="64">
        <f t="shared" si="27"/>
        <v>95.906539424855779</v>
      </c>
      <c r="N95" s="64">
        <f t="shared" si="27"/>
        <v>96.693131911530969</v>
      </c>
      <c r="O95" s="64">
        <f t="shared" si="27"/>
        <v>97.094607111060128</v>
      </c>
      <c r="P95" s="64">
        <f t="shared" si="27"/>
        <v>97.510578870352035</v>
      </c>
      <c r="Q95" s="64">
        <f t="shared" si="27"/>
        <v>97.946687164041833</v>
      </c>
      <c r="R95" s="64">
        <f t="shared" si="27"/>
        <v>98.408844764931402</v>
      </c>
      <c r="S95" s="64">
        <f t="shared" si="27"/>
        <v>98.903017634391929</v>
      </c>
      <c r="T95" s="64">
        <f t="shared" si="27"/>
        <v>99.404476773749593</v>
      </c>
      <c r="U95" s="64">
        <f t="shared" si="27"/>
        <v>99.913691159918287</v>
      </c>
      <c r="V95" s="64">
        <f t="shared" si="27"/>
        <v>100.43114257382814</v>
      </c>
      <c r="W95" s="64">
        <f t="shared" si="27"/>
        <v>100.95732565686643</v>
      </c>
      <c r="X95" s="64">
        <f t="shared" si="27"/>
        <v>101.49274796194878</v>
      </c>
      <c r="Y95" s="64">
        <f t="shared" si="27"/>
        <v>101.31275830007256</v>
      </c>
      <c r="Z95" s="64">
        <f t="shared" si="27"/>
        <v>101.13188050821792</v>
      </c>
      <c r="AA95" s="64">
        <f t="shared" si="27"/>
        <v>100.95059266997912</v>
      </c>
      <c r="AB95" s="64">
        <f t="shared" si="27"/>
        <v>100.76966522918352</v>
      </c>
      <c r="AC95" s="64">
        <f t="shared" si="27"/>
        <v>100.58975567594824</v>
      </c>
      <c r="AD95" s="64">
        <f t="shared" si="27"/>
        <v>100.41123064882636</v>
      </c>
      <c r="AE95" s="64">
        <f t="shared" si="27"/>
        <v>100.23472793480775</v>
      </c>
      <c r="AF95" s="64">
        <f t="shared" si="27"/>
        <v>100.06090225718059</v>
      </c>
      <c r="AG95" s="64">
        <f t="shared" si="27"/>
        <v>99.890425318120307</v>
      </c>
      <c r="AH95" s="64">
        <f>AH92-AH93-AH94</f>
        <v>99.723985834762843</v>
      </c>
    </row>
    <row r="96" spans="1:35" s="67" customFormat="1">
      <c r="A96" s="755" t="s">
        <v>257</v>
      </c>
      <c r="B96" s="58" t="s">
        <v>258</v>
      </c>
      <c r="C96" s="59" t="s">
        <v>153</v>
      </c>
      <c r="D96" s="60">
        <f>D34-('Ethylene Recycling LC'!C68+'Ethylene Recycling LC'!C119-'Ethylene Recycling LC'!$C$68-'Ethylene Recycling LC'!$C$119)</f>
        <v>74.910171646535289</v>
      </c>
      <c r="E96" s="60" t="e">
        <f>E34-('Ethylene Recycling LC'!D68+'Ethylene Recycling LC'!D119-'Ethylene Recycling LC'!$C$68-'Ethylene Recycling LC'!$C$119)</f>
        <v>#DIV/0!</v>
      </c>
      <c r="F96" s="60" t="e">
        <f>F34-('Ethylene Recycling LC'!E68+'Ethylene Recycling LC'!E119-'Ethylene Recycling LC'!$C$68-'Ethylene Recycling LC'!$C$119)</f>
        <v>#DIV/0!</v>
      </c>
      <c r="G96" s="60" t="e">
        <f>G34-('Ethylene Recycling LC'!F68+'Ethylene Recycling LC'!F119-'Ethylene Recycling LC'!$C$68-'Ethylene Recycling LC'!$C$119)</f>
        <v>#DIV/0!</v>
      </c>
      <c r="H96" s="60" t="e">
        <f>H34-('Ethylene Recycling LC'!G68+'Ethylene Recycling LC'!G119-'Ethylene Recycling LC'!$C$68-'Ethylene Recycling LC'!$C$119)</f>
        <v>#DIV/0!</v>
      </c>
      <c r="I96" s="60" t="e">
        <f>I34-('Ethylene Recycling LC'!H68+'Ethylene Recycling LC'!H119-'Ethylene Recycling LC'!$C$68-'Ethylene Recycling LC'!$C$119)</f>
        <v>#DIV/0!</v>
      </c>
      <c r="J96" s="60" t="e">
        <f>J34-('Ethylene Recycling LC'!I68+'Ethylene Recycling LC'!I119-'Ethylene Recycling LC'!$C$68-'Ethylene Recycling LC'!$C$119)</f>
        <v>#DIV/0!</v>
      </c>
      <c r="K96" s="60" t="e">
        <f>K34-('Ethylene Recycling LC'!J68+'Ethylene Recycling LC'!J119-'Ethylene Recycling LC'!$C$68-'Ethylene Recycling LC'!$C$119)</f>
        <v>#DIV/0!</v>
      </c>
      <c r="L96" s="60" t="e">
        <f>L34-('Ethylene Recycling LC'!K68+'Ethylene Recycling LC'!K119-'Ethylene Recycling LC'!$C$68-'Ethylene Recycling LC'!$C$119)</f>
        <v>#DIV/0!</v>
      </c>
      <c r="M96" s="60" t="e">
        <f>M34-('Ethylene Recycling LC'!L68+'Ethylene Recycling LC'!L119-'Ethylene Recycling LC'!$C$68-'Ethylene Recycling LC'!$C$119)</f>
        <v>#DIV/0!</v>
      </c>
      <c r="N96" s="60" t="e">
        <f>N34-('Ethylene Recycling LC'!M68+'Ethylene Recycling LC'!M119-'Ethylene Recycling LC'!$C$68-'Ethylene Recycling LC'!$C$119)</f>
        <v>#DIV/0!</v>
      </c>
      <c r="O96" s="60" t="e">
        <f>O34-('Ethylene Recycling LC'!N68+'Ethylene Recycling LC'!N119-'Ethylene Recycling LC'!$C$68-'Ethylene Recycling LC'!$C$119)</f>
        <v>#DIV/0!</v>
      </c>
      <c r="P96" s="60" t="e">
        <f>P34-('Ethylene Recycling LC'!O68+'Ethylene Recycling LC'!O119-'Ethylene Recycling LC'!$C$68-'Ethylene Recycling LC'!$C$119)</f>
        <v>#DIV/0!</v>
      </c>
      <c r="Q96" s="60" t="e">
        <f>Q34-('Ethylene Recycling LC'!P68+'Ethylene Recycling LC'!P119-'Ethylene Recycling LC'!$C$68-'Ethylene Recycling LC'!$C$119)</f>
        <v>#DIV/0!</v>
      </c>
      <c r="R96" s="60" t="e">
        <f>R34-('Ethylene Recycling LC'!Q68+'Ethylene Recycling LC'!Q119-'Ethylene Recycling LC'!$C$68-'Ethylene Recycling LC'!$C$119)</f>
        <v>#DIV/0!</v>
      </c>
      <c r="S96" s="60" t="e">
        <f>S34-('Ethylene Recycling LC'!R68+'Ethylene Recycling LC'!R119-'Ethylene Recycling LC'!$C$68-'Ethylene Recycling LC'!$C$119)</f>
        <v>#DIV/0!</v>
      </c>
      <c r="T96" s="60" t="e">
        <f>T34-('Ethylene Recycling LC'!S68+'Ethylene Recycling LC'!S119-'Ethylene Recycling LC'!$C$68-'Ethylene Recycling LC'!$C$119)</f>
        <v>#DIV/0!</v>
      </c>
      <c r="U96" s="60" t="e">
        <f>U34-('Ethylene Recycling LC'!T68+'Ethylene Recycling LC'!T119-'Ethylene Recycling LC'!$C$68-'Ethylene Recycling LC'!$C$119)</f>
        <v>#DIV/0!</v>
      </c>
      <c r="V96" s="60" t="e">
        <f>V34-('Ethylene Recycling LC'!U68+'Ethylene Recycling LC'!U119-'Ethylene Recycling LC'!$C$68-'Ethylene Recycling LC'!$C$119)</f>
        <v>#DIV/0!</v>
      </c>
      <c r="W96" s="60" t="e">
        <f>W34-('Ethylene Recycling LC'!V68+'Ethylene Recycling LC'!V119-'Ethylene Recycling LC'!$C$68-'Ethylene Recycling LC'!$C$119)</f>
        <v>#DIV/0!</v>
      </c>
      <c r="X96" s="60" t="e">
        <f>X34-('Ethylene Recycling LC'!W68+'Ethylene Recycling LC'!W119-'Ethylene Recycling LC'!$C$68-'Ethylene Recycling LC'!$C$119)</f>
        <v>#DIV/0!</v>
      </c>
      <c r="Y96" s="60" t="e">
        <f>Y34-('Ethylene Recycling LC'!X68+'Ethylene Recycling LC'!X119-'Ethylene Recycling LC'!$C$68-'Ethylene Recycling LC'!$C$119)</f>
        <v>#DIV/0!</v>
      </c>
      <c r="Z96" s="60" t="e">
        <f>Z34-('Ethylene Recycling LC'!Y68+'Ethylene Recycling LC'!Y119-'Ethylene Recycling LC'!$C$68-'Ethylene Recycling LC'!$C$119)</f>
        <v>#DIV/0!</v>
      </c>
      <c r="AA96" s="60" t="e">
        <f>AA34-('Ethylene Recycling LC'!Z68+'Ethylene Recycling LC'!Z119-'Ethylene Recycling LC'!$C$68-'Ethylene Recycling LC'!$C$119)</f>
        <v>#DIV/0!</v>
      </c>
      <c r="AB96" s="60" t="e">
        <f>AB34-('Ethylene Recycling LC'!AA68+'Ethylene Recycling LC'!AA119-'Ethylene Recycling LC'!$C$68-'Ethylene Recycling LC'!$C$119)</f>
        <v>#DIV/0!</v>
      </c>
      <c r="AC96" s="60" t="e">
        <f>AC34-('Ethylene Recycling LC'!AB68+'Ethylene Recycling LC'!AB119-'Ethylene Recycling LC'!$C$68-'Ethylene Recycling LC'!$C$119)</f>
        <v>#DIV/0!</v>
      </c>
      <c r="AD96" s="60" t="e">
        <f>AD34-('Ethylene Recycling LC'!AC68+'Ethylene Recycling LC'!AC119-'Ethylene Recycling LC'!$C$68-'Ethylene Recycling LC'!$C$119)</f>
        <v>#DIV/0!</v>
      </c>
      <c r="AE96" s="60" t="e">
        <f>AE34-('Ethylene Recycling LC'!AD68+'Ethylene Recycling LC'!AD119-'Ethylene Recycling LC'!$C$68-'Ethylene Recycling LC'!$C$119)</f>
        <v>#DIV/0!</v>
      </c>
      <c r="AF96" s="60" t="e">
        <f>AF34-('Ethylene Recycling LC'!AE68+'Ethylene Recycling LC'!AE119-'Ethylene Recycling LC'!$C$68-'Ethylene Recycling LC'!$C$119)</f>
        <v>#DIV/0!</v>
      </c>
      <c r="AG96" s="60" t="e">
        <f>AG34-('Ethylene Recycling LC'!AF68+'Ethylene Recycling LC'!AF119-'Ethylene Recycling LC'!$C$68-'Ethylene Recycling LC'!$C$119)</f>
        <v>#DIV/0!</v>
      </c>
      <c r="AH96" s="60" t="e">
        <f>AH34-('Ethylene Recycling LC'!AG68+'Ethylene Recycling LC'!AG119-'Ethylene Recycling LC'!$C$68-'Ethylene Recycling LC'!$C$119)</f>
        <v>#DIV/0!</v>
      </c>
      <c r="AI96" s="60"/>
    </row>
    <row r="97" spans="1:36">
      <c r="A97" s="756"/>
      <c r="B97" s="1" t="s">
        <v>260</v>
      </c>
      <c r="C97" s="54" t="s">
        <v>153</v>
      </c>
      <c r="D97" s="44">
        <f>D35+(D101-D39)</f>
        <v>10.180685222672066</v>
      </c>
      <c r="E97" s="44">
        <f t="shared" ref="E97:AH97" si="28">E35+(E101-E39)</f>
        <v>10.289664530824684</v>
      </c>
      <c r="F97" s="44">
        <f t="shared" si="28"/>
        <v>10.400659641030863</v>
      </c>
      <c r="G97" s="44">
        <f t="shared" si="28"/>
        <v>10.513949343671403</v>
      </c>
      <c r="H97" s="44">
        <f t="shared" si="28"/>
        <v>10.629818038627954</v>
      </c>
      <c r="I97" s="44">
        <f t="shared" si="28"/>
        <v>10.748552489162908</v>
      </c>
      <c r="J97" s="44">
        <f t="shared" si="28"/>
        <v>10.869206810463579</v>
      </c>
      <c r="K97" s="44">
        <f t="shared" si="28"/>
        <v>10.991863766373019</v>
      </c>
      <c r="L97" s="44">
        <f t="shared" si="28"/>
        <v>11.116608105136137</v>
      </c>
      <c r="M97" s="44">
        <f t="shared" si="28"/>
        <v>11.243526448035393</v>
      </c>
      <c r="N97" s="44">
        <f t="shared" si="28"/>
        <v>11.372707170545661</v>
      </c>
      <c r="O97" s="44">
        <f t="shared" si="28"/>
        <v>11.479441526553686</v>
      </c>
      <c r="P97" s="44">
        <f t="shared" si="28"/>
        <v>11.589713716346013</v>
      </c>
      <c r="Q97" s="44">
        <f t="shared" si="28"/>
        <v>11.703904887661334</v>
      </c>
      <c r="R97" s="44">
        <f t="shared" si="28"/>
        <v>11.822389144512055</v>
      </c>
      <c r="S97" s="44">
        <f t="shared" si="28"/>
        <v>11.945530018579266</v>
      </c>
      <c r="T97" s="44">
        <f t="shared" si="28"/>
        <v>12.0718424322122</v>
      </c>
      <c r="U97" s="44">
        <f t="shared" si="28"/>
        <v>12.201403268803846</v>
      </c>
      <c r="V97" s="44">
        <f t="shared" si="28"/>
        <v>12.334289879385882</v>
      </c>
      <c r="W97" s="44">
        <f t="shared" si="28"/>
        <v>12.470580055597422</v>
      </c>
      <c r="X97" s="44">
        <f t="shared" si="28"/>
        <v>12.610352002372997</v>
      </c>
      <c r="Y97" s="44">
        <f t="shared" si="28"/>
        <v>12.7132508599347</v>
      </c>
      <c r="Z97" s="44">
        <f t="shared" si="28"/>
        <v>12.820295815610645</v>
      </c>
      <c r="AA97" s="44">
        <f t="shared" si="28"/>
        <v>12.931596324492403</v>
      </c>
      <c r="AB97" s="44">
        <f t="shared" si="28"/>
        <v>13.047262206580982</v>
      </c>
      <c r="AC97" s="44">
        <f t="shared" si="28"/>
        <v>13.167403600465354</v>
      </c>
      <c r="AD97" s="44">
        <f t="shared" si="28"/>
        <v>13.292114876078081</v>
      </c>
      <c r="AE97" s="44">
        <f t="shared" si="28"/>
        <v>13.421504514243104</v>
      </c>
      <c r="AF97" s="44">
        <f t="shared" si="28"/>
        <v>13.555681279529237</v>
      </c>
      <c r="AG97" s="44">
        <f t="shared" si="28"/>
        <v>13.694754179694632</v>
      </c>
      <c r="AH97" s="44">
        <f t="shared" si="28"/>
        <v>13.838832424933303</v>
      </c>
      <c r="AI97" s="44"/>
    </row>
    <row r="98" spans="1:36">
      <c r="A98" s="756"/>
      <c r="B98" s="1" t="s">
        <v>262</v>
      </c>
      <c r="C98" s="54" t="s">
        <v>153</v>
      </c>
      <c r="D98" s="44">
        <f>D36+(D100-D38)</f>
        <v>2.502958579881656</v>
      </c>
      <c r="E98" s="44" t="e">
        <f t="shared" ref="E98:AH98" si="29">E36+(E100-E38)</f>
        <v>#DIV/0!</v>
      </c>
      <c r="F98" s="44" t="e">
        <f t="shared" si="29"/>
        <v>#DIV/0!</v>
      </c>
      <c r="G98" s="44" t="e">
        <f t="shared" si="29"/>
        <v>#DIV/0!</v>
      </c>
      <c r="H98" s="44" t="e">
        <f t="shared" si="29"/>
        <v>#DIV/0!</v>
      </c>
      <c r="I98" s="44" t="e">
        <f t="shared" si="29"/>
        <v>#DIV/0!</v>
      </c>
      <c r="J98" s="44" t="e">
        <f t="shared" si="29"/>
        <v>#DIV/0!</v>
      </c>
      <c r="K98" s="44" t="e">
        <f t="shared" si="29"/>
        <v>#DIV/0!</v>
      </c>
      <c r="L98" s="44" t="e">
        <f t="shared" si="29"/>
        <v>#DIV/0!</v>
      </c>
      <c r="M98" s="44" t="e">
        <f t="shared" si="29"/>
        <v>#DIV/0!</v>
      </c>
      <c r="N98" s="44" t="e">
        <f t="shared" si="29"/>
        <v>#DIV/0!</v>
      </c>
      <c r="O98" s="44" t="e">
        <f t="shared" si="29"/>
        <v>#DIV/0!</v>
      </c>
      <c r="P98" s="44" t="e">
        <f t="shared" si="29"/>
        <v>#DIV/0!</v>
      </c>
      <c r="Q98" s="44" t="e">
        <f t="shared" si="29"/>
        <v>#DIV/0!</v>
      </c>
      <c r="R98" s="44" t="e">
        <f t="shared" si="29"/>
        <v>#DIV/0!</v>
      </c>
      <c r="S98" s="44" t="e">
        <f t="shared" si="29"/>
        <v>#DIV/0!</v>
      </c>
      <c r="T98" s="44" t="e">
        <f t="shared" si="29"/>
        <v>#DIV/0!</v>
      </c>
      <c r="U98" s="44" t="e">
        <f t="shared" si="29"/>
        <v>#DIV/0!</v>
      </c>
      <c r="V98" s="44" t="e">
        <f t="shared" si="29"/>
        <v>#DIV/0!</v>
      </c>
      <c r="W98" s="44" t="e">
        <f t="shared" si="29"/>
        <v>#DIV/0!</v>
      </c>
      <c r="X98" s="44" t="e">
        <f t="shared" si="29"/>
        <v>#DIV/0!</v>
      </c>
      <c r="Y98" s="44" t="e">
        <f t="shared" si="29"/>
        <v>#DIV/0!</v>
      </c>
      <c r="Z98" s="44" t="e">
        <f t="shared" si="29"/>
        <v>#DIV/0!</v>
      </c>
      <c r="AA98" s="44" t="e">
        <f t="shared" si="29"/>
        <v>#DIV/0!</v>
      </c>
      <c r="AB98" s="44" t="e">
        <f t="shared" si="29"/>
        <v>#DIV/0!</v>
      </c>
      <c r="AC98" s="44" t="e">
        <f t="shared" si="29"/>
        <v>#DIV/0!</v>
      </c>
      <c r="AD98" s="44" t="e">
        <f t="shared" si="29"/>
        <v>#DIV/0!</v>
      </c>
      <c r="AE98" s="44" t="e">
        <f t="shared" si="29"/>
        <v>#DIV/0!</v>
      </c>
      <c r="AF98" s="44" t="e">
        <f t="shared" si="29"/>
        <v>#DIV/0!</v>
      </c>
      <c r="AG98" s="44" t="e">
        <f t="shared" si="29"/>
        <v>#DIV/0!</v>
      </c>
      <c r="AH98" s="44" t="e">
        <f t="shared" si="29"/>
        <v>#DIV/0!</v>
      </c>
      <c r="AI98" s="44"/>
    </row>
    <row r="99" spans="1:36" s="68" customFormat="1">
      <c r="A99" s="757"/>
      <c r="B99" s="62" t="s">
        <v>248</v>
      </c>
      <c r="C99" s="283" t="s">
        <v>153</v>
      </c>
      <c r="D99" s="44">
        <f>D37-('Ethylene Recycling LC'!C69+'Ethylene Recycling LC'!C120-'Ethylene Recycling LC'!$C$69-'Ethylene Recycling LC'!$C$120+'Ethylene Recycling LC'!C72+'Ethylene Recycling LC'!C123-'Ethylene Recycling LC'!$C$72-'Ethylene Recycling LC'!$C$123)</f>
        <v>1.516120753234631</v>
      </c>
      <c r="E99" s="44" t="e">
        <f>E37-('Ethylene Recycling LC'!D69+'Ethylene Recycling LC'!D120-'Ethylene Recycling LC'!$C$69-'Ethylene Recycling LC'!$C$120+'Ethylene Recycling LC'!D72+'Ethylene Recycling LC'!D123-'Ethylene Recycling LC'!$C$72-'Ethylene Recycling LC'!$C$123)</f>
        <v>#DIV/0!</v>
      </c>
      <c r="F99" s="44" t="e">
        <f>F37-('Ethylene Recycling LC'!E69+'Ethylene Recycling LC'!E120-'Ethylene Recycling LC'!$C$69-'Ethylene Recycling LC'!$C$120+'Ethylene Recycling LC'!E72+'Ethylene Recycling LC'!E123-'Ethylene Recycling LC'!$C$72-'Ethylene Recycling LC'!$C$123)</f>
        <v>#DIV/0!</v>
      </c>
      <c r="G99" s="44" t="e">
        <f>G37-('Ethylene Recycling LC'!F69+'Ethylene Recycling LC'!F120-'Ethylene Recycling LC'!$C$69-'Ethylene Recycling LC'!$C$120+'Ethylene Recycling LC'!F72+'Ethylene Recycling LC'!F123-'Ethylene Recycling LC'!$C$72-'Ethylene Recycling LC'!$C$123)</f>
        <v>#DIV/0!</v>
      </c>
      <c r="H99" s="44" t="e">
        <f>H37-('Ethylene Recycling LC'!G69+'Ethylene Recycling LC'!G120-'Ethylene Recycling LC'!$C$69-'Ethylene Recycling LC'!$C$120+'Ethylene Recycling LC'!G72+'Ethylene Recycling LC'!G123-'Ethylene Recycling LC'!$C$72-'Ethylene Recycling LC'!$C$123)</f>
        <v>#DIV/0!</v>
      </c>
      <c r="I99" s="44" t="e">
        <f>I37-('Ethylene Recycling LC'!H69+'Ethylene Recycling LC'!H120-'Ethylene Recycling LC'!$C$69-'Ethylene Recycling LC'!$C$120+'Ethylene Recycling LC'!H72+'Ethylene Recycling LC'!H123-'Ethylene Recycling LC'!$C$72-'Ethylene Recycling LC'!$C$123)</f>
        <v>#DIV/0!</v>
      </c>
      <c r="J99" s="44" t="e">
        <f>J37-('Ethylene Recycling LC'!I69+'Ethylene Recycling LC'!I120-'Ethylene Recycling LC'!$C$69-'Ethylene Recycling LC'!$C$120+'Ethylene Recycling LC'!I72+'Ethylene Recycling LC'!I123-'Ethylene Recycling LC'!$C$72-'Ethylene Recycling LC'!$C$123)</f>
        <v>#DIV/0!</v>
      </c>
      <c r="K99" s="44" t="e">
        <f>K37-('Ethylene Recycling LC'!J69+'Ethylene Recycling LC'!J120-'Ethylene Recycling LC'!$C$69-'Ethylene Recycling LC'!$C$120+'Ethylene Recycling LC'!J72+'Ethylene Recycling LC'!J123-'Ethylene Recycling LC'!$C$72-'Ethylene Recycling LC'!$C$123)</f>
        <v>#DIV/0!</v>
      </c>
      <c r="L99" s="44" t="e">
        <f>L37-('Ethylene Recycling LC'!K69+'Ethylene Recycling LC'!K120-'Ethylene Recycling LC'!$C$69-'Ethylene Recycling LC'!$C$120+'Ethylene Recycling LC'!K72+'Ethylene Recycling LC'!K123-'Ethylene Recycling LC'!$C$72-'Ethylene Recycling LC'!$C$123)</f>
        <v>#DIV/0!</v>
      </c>
      <c r="M99" s="44" t="e">
        <f>M37-('Ethylene Recycling LC'!L69+'Ethylene Recycling LC'!L120-'Ethylene Recycling LC'!$C$69-'Ethylene Recycling LC'!$C$120+'Ethylene Recycling LC'!L72+'Ethylene Recycling LC'!L123-'Ethylene Recycling LC'!$C$72-'Ethylene Recycling LC'!$C$123)</f>
        <v>#DIV/0!</v>
      </c>
      <c r="N99" s="44" t="e">
        <f>N37-('Ethylene Recycling LC'!M69+'Ethylene Recycling LC'!M120-'Ethylene Recycling LC'!$C$69-'Ethylene Recycling LC'!$C$120+'Ethylene Recycling LC'!M72+'Ethylene Recycling LC'!M123-'Ethylene Recycling LC'!$C$72-'Ethylene Recycling LC'!$C$123)</f>
        <v>#DIV/0!</v>
      </c>
      <c r="O99" s="44" t="e">
        <f>O37-('Ethylene Recycling LC'!N69+'Ethylene Recycling LC'!N120-'Ethylene Recycling LC'!$C$69-'Ethylene Recycling LC'!$C$120+'Ethylene Recycling LC'!N72+'Ethylene Recycling LC'!N123-'Ethylene Recycling LC'!$C$72-'Ethylene Recycling LC'!$C$123)</f>
        <v>#DIV/0!</v>
      </c>
      <c r="P99" s="44" t="e">
        <f>P37-('Ethylene Recycling LC'!O69+'Ethylene Recycling LC'!O120-'Ethylene Recycling LC'!$C$69-'Ethylene Recycling LC'!$C$120+'Ethylene Recycling LC'!O72+'Ethylene Recycling LC'!O123-'Ethylene Recycling LC'!$C$72-'Ethylene Recycling LC'!$C$123)</f>
        <v>#DIV/0!</v>
      </c>
      <c r="Q99" s="44" t="e">
        <f>Q37-('Ethylene Recycling LC'!P69+'Ethylene Recycling LC'!P120-'Ethylene Recycling LC'!$C$69-'Ethylene Recycling LC'!$C$120+'Ethylene Recycling LC'!P72+'Ethylene Recycling LC'!P123-'Ethylene Recycling LC'!$C$72-'Ethylene Recycling LC'!$C$123)</f>
        <v>#DIV/0!</v>
      </c>
      <c r="R99" s="44" t="e">
        <f>R37-('Ethylene Recycling LC'!Q69+'Ethylene Recycling LC'!Q120-'Ethylene Recycling LC'!$C$69-'Ethylene Recycling LC'!$C$120+'Ethylene Recycling LC'!Q72+'Ethylene Recycling LC'!Q123-'Ethylene Recycling LC'!$C$72-'Ethylene Recycling LC'!$C$123)</f>
        <v>#DIV/0!</v>
      </c>
      <c r="S99" s="44" t="e">
        <f>S37-('Ethylene Recycling LC'!R69+'Ethylene Recycling LC'!R120-'Ethylene Recycling LC'!$C$69-'Ethylene Recycling LC'!$C$120+'Ethylene Recycling LC'!R72+'Ethylene Recycling LC'!R123-'Ethylene Recycling LC'!$C$72-'Ethylene Recycling LC'!$C$123)</f>
        <v>#DIV/0!</v>
      </c>
      <c r="T99" s="44" t="e">
        <f>T37-('Ethylene Recycling LC'!S69+'Ethylene Recycling LC'!S120-'Ethylene Recycling LC'!$C$69-'Ethylene Recycling LC'!$C$120+'Ethylene Recycling LC'!S72+'Ethylene Recycling LC'!S123-'Ethylene Recycling LC'!$C$72-'Ethylene Recycling LC'!$C$123)</f>
        <v>#DIV/0!</v>
      </c>
      <c r="U99" s="44" t="e">
        <f>U37-('Ethylene Recycling LC'!T69+'Ethylene Recycling LC'!T120-'Ethylene Recycling LC'!$C$69-'Ethylene Recycling LC'!$C$120+'Ethylene Recycling LC'!T72+'Ethylene Recycling LC'!T123-'Ethylene Recycling LC'!$C$72-'Ethylene Recycling LC'!$C$123)</f>
        <v>#DIV/0!</v>
      </c>
      <c r="V99" s="44" t="e">
        <f>V37-('Ethylene Recycling LC'!U69+'Ethylene Recycling LC'!U120-'Ethylene Recycling LC'!$C$69-'Ethylene Recycling LC'!$C$120+'Ethylene Recycling LC'!U72+'Ethylene Recycling LC'!U123-'Ethylene Recycling LC'!$C$72-'Ethylene Recycling LC'!$C$123)</f>
        <v>#DIV/0!</v>
      </c>
      <c r="W99" s="44" t="e">
        <f>W37-('Ethylene Recycling LC'!V69+'Ethylene Recycling LC'!V120-'Ethylene Recycling LC'!$C$69-'Ethylene Recycling LC'!$C$120+'Ethylene Recycling LC'!V72+'Ethylene Recycling LC'!V123-'Ethylene Recycling LC'!$C$72-'Ethylene Recycling LC'!$C$123)</f>
        <v>#DIV/0!</v>
      </c>
      <c r="X99" s="44" t="e">
        <f>X37-('Ethylene Recycling LC'!W69+'Ethylene Recycling LC'!W120-'Ethylene Recycling LC'!$C$69-'Ethylene Recycling LC'!$C$120+'Ethylene Recycling LC'!W72+'Ethylene Recycling LC'!W123-'Ethylene Recycling LC'!$C$72-'Ethylene Recycling LC'!$C$123)</f>
        <v>#DIV/0!</v>
      </c>
      <c r="Y99" s="44" t="e">
        <f>Y37-('Ethylene Recycling LC'!X69+'Ethylene Recycling LC'!X120-'Ethylene Recycling LC'!$C$69-'Ethylene Recycling LC'!$C$120+'Ethylene Recycling LC'!X72+'Ethylene Recycling LC'!X123-'Ethylene Recycling LC'!$C$72-'Ethylene Recycling LC'!$C$123)</f>
        <v>#DIV/0!</v>
      </c>
      <c r="Z99" s="44" t="e">
        <f>Z37-('Ethylene Recycling LC'!Y69+'Ethylene Recycling LC'!Y120-'Ethylene Recycling LC'!$C$69-'Ethylene Recycling LC'!$C$120+'Ethylene Recycling LC'!Y72+'Ethylene Recycling LC'!Y123-'Ethylene Recycling LC'!$C$72-'Ethylene Recycling LC'!$C$123)</f>
        <v>#DIV/0!</v>
      </c>
      <c r="AA99" s="44" t="e">
        <f>AA37-('Ethylene Recycling LC'!Z69+'Ethylene Recycling LC'!Z120-'Ethylene Recycling LC'!$C$69-'Ethylene Recycling LC'!$C$120+'Ethylene Recycling LC'!Z72+'Ethylene Recycling LC'!Z123-'Ethylene Recycling LC'!$C$72-'Ethylene Recycling LC'!$C$123)</f>
        <v>#DIV/0!</v>
      </c>
      <c r="AB99" s="44" t="e">
        <f>AB37-('Ethylene Recycling LC'!AA69+'Ethylene Recycling LC'!AA120-'Ethylene Recycling LC'!$C$69-'Ethylene Recycling LC'!$C$120+'Ethylene Recycling LC'!AA72+'Ethylene Recycling LC'!AA123-'Ethylene Recycling LC'!$C$72-'Ethylene Recycling LC'!$C$123)</f>
        <v>#DIV/0!</v>
      </c>
      <c r="AC99" s="44" t="e">
        <f>AC37-('Ethylene Recycling LC'!AB69+'Ethylene Recycling LC'!AB120-'Ethylene Recycling LC'!$C$69-'Ethylene Recycling LC'!$C$120+'Ethylene Recycling LC'!AB72+'Ethylene Recycling LC'!AB123-'Ethylene Recycling LC'!$C$72-'Ethylene Recycling LC'!$C$123)</f>
        <v>#DIV/0!</v>
      </c>
      <c r="AD99" s="44" t="e">
        <f>AD37-('Ethylene Recycling LC'!AC69+'Ethylene Recycling LC'!AC120-'Ethylene Recycling LC'!$C$69-'Ethylene Recycling LC'!$C$120+'Ethylene Recycling LC'!AC72+'Ethylene Recycling LC'!AC123-'Ethylene Recycling LC'!$C$72-'Ethylene Recycling LC'!$C$123)</f>
        <v>#DIV/0!</v>
      </c>
      <c r="AE99" s="44" t="e">
        <f>AE37-('Ethylene Recycling LC'!AD69+'Ethylene Recycling LC'!AD120-'Ethylene Recycling LC'!$C$69-'Ethylene Recycling LC'!$C$120+'Ethylene Recycling LC'!AD72+'Ethylene Recycling LC'!AD123-'Ethylene Recycling LC'!$C$72-'Ethylene Recycling LC'!$C$123)</f>
        <v>#DIV/0!</v>
      </c>
      <c r="AF99" s="44" t="e">
        <f>AF37-('Ethylene Recycling LC'!AE69+'Ethylene Recycling LC'!AE120-'Ethylene Recycling LC'!$C$69-'Ethylene Recycling LC'!$C$120+'Ethylene Recycling LC'!AE72+'Ethylene Recycling LC'!AE123-'Ethylene Recycling LC'!$C$72-'Ethylene Recycling LC'!$C$123)</f>
        <v>#DIV/0!</v>
      </c>
      <c r="AG99" s="44" t="e">
        <f>AG37-('Ethylene Recycling LC'!AF69+'Ethylene Recycling LC'!AF120-'Ethylene Recycling LC'!$C$69-'Ethylene Recycling LC'!$C$120+'Ethylene Recycling LC'!AF72+'Ethylene Recycling LC'!AF123-'Ethylene Recycling LC'!$C$72-'Ethylene Recycling LC'!$C$123)</f>
        <v>#DIV/0!</v>
      </c>
      <c r="AH99" s="44" t="e">
        <f>AH37-('Ethylene Recycling LC'!AG69+'Ethylene Recycling LC'!AG120-'Ethylene Recycling LC'!$C$69-'Ethylene Recycling LC'!$C$120+'Ethylene Recycling LC'!AG72+'Ethylene Recycling LC'!AG123-'Ethylene Recycling LC'!$C$72-'Ethylene Recycling LC'!$C$123)</f>
        <v>#DIV/0!</v>
      </c>
      <c r="AI99" s="284"/>
    </row>
    <row r="100" spans="1:36" s="67" customFormat="1">
      <c r="A100" s="755" t="s">
        <v>263</v>
      </c>
      <c r="B100" s="58" t="s">
        <v>264</v>
      </c>
      <c r="C100" s="59" t="s">
        <v>153</v>
      </c>
      <c r="D100" s="60">
        <f>D38-('Ethylene Recycling LC'!C70+'Ethylene Recycling LC'!C121-'Ethylene Recycling LC'!$C$70-'Ethylene Recycling LC'!$C$121)</f>
        <v>2.4028402366863899</v>
      </c>
      <c r="E100" s="60" t="e">
        <f>E38-('Ethylene Recycling LC'!D70+'Ethylene Recycling LC'!D121-'Ethylene Recycling LC'!$C$70-'Ethylene Recycling LC'!$C$121)</f>
        <v>#DIV/0!</v>
      </c>
      <c r="F100" s="60" t="e">
        <f>F38-('Ethylene Recycling LC'!E70+'Ethylene Recycling LC'!E121-'Ethylene Recycling LC'!$C$70-'Ethylene Recycling LC'!$C$121)</f>
        <v>#DIV/0!</v>
      </c>
      <c r="G100" s="60" t="e">
        <f>G38-('Ethylene Recycling LC'!F70+'Ethylene Recycling LC'!F121-'Ethylene Recycling LC'!$C$70-'Ethylene Recycling LC'!$C$121)</f>
        <v>#DIV/0!</v>
      </c>
      <c r="H100" s="60" t="e">
        <f>H38-('Ethylene Recycling LC'!G70+'Ethylene Recycling LC'!G121-'Ethylene Recycling LC'!$C$70-'Ethylene Recycling LC'!$C$121)</f>
        <v>#DIV/0!</v>
      </c>
      <c r="I100" s="60" t="e">
        <f>I38-('Ethylene Recycling LC'!H70+'Ethylene Recycling LC'!H121-'Ethylene Recycling LC'!$C$70-'Ethylene Recycling LC'!$C$121)</f>
        <v>#DIV/0!</v>
      </c>
      <c r="J100" s="60" t="e">
        <f>J38-('Ethylene Recycling LC'!I70+'Ethylene Recycling LC'!I121-'Ethylene Recycling LC'!$C$70-'Ethylene Recycling LC'!$C$121)</f>
        <v>#DIV/0!</v>
      </c>
      <c r="K100" s="60" t="e">
        <f>K38-('Ethylene Recycling LC'!J70+'Ethylene Recycling LC'!J121-'Ethylene Recycling LC'!$C$70-'Ethylene Recycling LC'!$C$121)</f>
        <v>#DIV/0!</v>
      </c>
      <c r="L100" s="60" t="e">
        <f>L38-('Ethylene Recycling LC'!K70+'Ethylene Recycling LC'!K121-'Ethylene Recycling LC'!$C$70-'Ethylene Recycling LC'!$C$121)</f>
        <v>#DIV/0!</v>
      </c>
      <c r="M100" s="60" t="e">
        <f>M38-('Ethylene Recycling LC'!L70+'Ethylene Recycling LC'!L121-'Ethylene Recycling LC'!$C$70-'Ethylene Recycling LC'!$C$121)</f>
        <v>#DIV/0!</v>
      </c>
      <c r="N100" s="60" t="e">
        <f>N38-('Ethylene Recycling LC'!M70+'Ethylene Recycling LC'!M121-'Ethylene Recycling LC'!$C$70-'Ethylene Recycling LC'!$C$121)</f>
        <v>#DIV/0!</v>
      </c>
      <c r="O100" s="60" t="e">
        <f>O38-('Ethylene Recycling LC'!N70+'Ethylene Recycling LC'!N121-'Ethylene Recycling LC'!$C$70-'Ethylene Recycling LC'!$C$121)</f>
        <v>#DIV/0!</v>
      </c>
      <c r="P100" s="60" t="e">
        <f>P38-('Ethylene Recycling LC'!O70+'Ethylene Recycling LC'!O121-'Ethylene Recycling LC'!$C$70-'Ethylene Recycling LC'!$C$121)</f>
        <v>#DIV/0!</v>
      </c>
      <c r="Q100" s="60" t="e">
        <f>Q38-('Ethylene Recycling LC'!P70+'Ethylene Recycling LC'!P121-'Ethylene Recycling LC'!$C$70-'Ethylene Recycling LC'!$C$121)</f>
        <v>#DIV/0!</v>
      </c>
      <c r="R100" s="60" t="e">
        <f>R38-('Ethylene Recycling LC'!Q70+'Ethylene Recycling LC'!Q121-'Ethylene Recycling LC'!$C$70-'Ethylene Recycling LC'!$C$121)</f>
        <v>#DIV/0!</v>
      </c>
      <c r="S100" s="60" t="e">
        <f>S38-('Ethylene Recycling LC'!R70+'Ethylene Recycling LC'!R121-'Ethylene Recycling LC'!$C$70-'Ethylene Recycling LC'!$C$121)</f>
        <v>#DIV/0!</v>
      </c>
      <c r="T100" s="60" t="e">
        <f>T38-('Ethylene Recycling LC'!S70+'Ethylene Recycling LC'!S121-'Ethylene Recycling LC'!$C$70-'Ethylene Recycling LC'!$C$121)</f>
        <v>#DIV/0!</v>
      </c>
      <c r="U100" s="60" t="e">
        <f>U38-('Ethylene Recycling LC'!T70+'Ethylene Recycling LC'!T121-'Ethylene Recycling LC'!$C$70-'Ethylene Recycling LC'!$C$121)</f>
        <v>#DIV/0!</v>
      </c>
      <c r="V100" s="60" t="e">
        <f>V38-('Ethylene Recycling LC'!U70+'Ethylene Recycling LC'!U121-'Ethylene Recycling LC'!$C$70-'Ethylene Recycling LC'!$C$121)</f>
        <v>#DIV/0!</v>
      </c>
      <c r="W100" s="60" t="e">
        <f>W38-('Ethylene Recycling LC'!V70+'Ethylene Recycling LC'!V121-'Ethylene Recycling LC'!$C$70-'Ethylene Recycling LC'!$C$121)</f>
        <v>#DIV/0!</v>
      </c>
      <c r="X100" s="60" t="e">
        <f>X38-('Ethylene Recycling LC'!W70+'Ethylene Recycling LC'!W121-'Ethylene Recycling LC'!$C$70-'Ethylene Recycling LC'!$C$121)</f>
        <v>#DIV/0!</v>
      </c>
      <c r="Y100" s="60" t="e">
        <f>Y38-('Ethylene Recycling LC'!X70+'Ethylene Recycling LC'!X121-'Ethylene Recycling LC'!$C$70-'Ethylene Recycling LC'!$C$121)</f>
        <v>#DIV/0!</v>
      </c>
      <c r="Z100" s="60" t="e">
        <f>Z38-('Ethylene Recycling LC'!Y70+'Ethylene Recycling LC'!Y121-'Ethylene Recycling LC'!$C$70-'Ethylene Recycling LC'!$C$121)</f>
        <v>#DIV/0!</v>
      </c>
      <c r="AA100" s="60" t="e">
        <f>AA38-('Ethylene Recycling LC'!Z70+'Ethylene Recycling LC'!Z121-'Ethylene Recycling LC'!$C$70-'Ethylene Recycling LC'!$C$121)</f>
        <v>#DIV/0!</v>
      </c>
      <c r="AB100" s="60" t="e">
        <f>AB38-('Ethylene Recycling LC'!AA70+'Ethylene Recycling LC'!AA121-'Ethylene Recycling LC'!$C$70-'Ethylene Recycling LC'!$C$121)</f>
        <v>#DIV/0!</v>
      </c>
      <c r="AC100" s="60" t="e">
        <f>AC38-('Ethylene Recycling LC'!AB70+'Ethylene Recycling LC'!AB121-'Ethylene Recycling LC'!$C$70-'Ethylene Recycling LC'!$C$121)</f>
        <v>#DIV/0!</v>
      </c>
      <c r="AD100" s="60" t="e">
        <f>AD38-('Ethylene Recycling LC'!AC70+'Ethylene Recycling LC'!AC121-'Ethylene Recycling LC'!$C$70-'Ethylene Recycling LC'!$C$121)</f>
        <v>#DIV/0!</v>
      </c>
      <c r="AE100" s="60" t="e">
        <f>AE38-('Ethylene Recycling LC'!AD70+'Ethylene Recycling LC'!AD121-'Ethylene Recycling LC'!$C$70-'Ethylene Recycling LC'!$C$121)</f>
        <v>#DIV/0!</v>
      </c>
      <c r="AF100" s="60" t="e">
        <f>AF38-('Ethylene Recycling LC'!AE70+'Ethylene Recycling LC'!AE121-'Ethylene Recycling LC'!$C$70-'Ethylene Recycling LC'!$C$121)</f>
        <v>#DIV/0!</v>
      </c>
      <c r="AG100" s="60" t="e">
        <f>AG38-('Ethylene Recycling LC'!AF70+'Ethylene Recycling LC'!AF121-'Ethylene Recycling LC'!$C$70-'Ethylene Recycling LC'!$C$121)</f>
        <v>#DIV/0!</v>
      </c>
      <c r="AH100" s="60" t="e">
        <f>AH38-('Ethylene Recycling LC'!AG70+'Ethylene Recycling LC'!AG121-'Ethylene Recycling LC'!$C$70-'Ethylene Recycling LC'!$C$121)</f>
        <v>#DIV/0!</v>
      </c>
      <c r="AI100" s="60"/>
    </row>
    <row r="101" spans="1:36" s="68" customFormat="1">
      <c r="A101" s="757"/>
      <c r="B101" s="62" t="s">
        <v>266</v>
      </c>
      <c r="C101" s="283" t="s">
        <v>153</v>
      </c>
      <c r="D101" s="284">
        <f>D39-('Ethylene Recycling LC'!C71+'Ethylene Recycling LC'!C122-'Ethylene Recycling LC'!$C$71-'Ethylene Recycling LC'!$C$122)</f>
        <v>6.2246933198380567</v>
      </c>
      <c r="E101" s="284">
        <f>E39-('Ethylene Recycling LC'!D71+'Ethylene Recycling LC'!D122-'Ethylene Recycling LC'!$C$71-'Ethylene Recycling LC'!$C$122)</f>
        <v>6.2782887413509991</v>
      </c>
      <c r="F101" s="284">
        <f>F39-('Ethylene Recycling LC'!E71+'Ethylene Recycling LC'!E122-'Ethylene Recycling LC'!$C$71-'Ethylene Recycling LC'!$C$122)</f>
        <v>6.3331245905045446</v>
      </c>
      <c r="G101" s="284">
        <f>G39-('Ethylene Recycling LC'!F71+'Ethylene Recycling LC'!F122-'Ethylene Recycling LC'!$C$71-'Ethylene Recycling LC'!$C$122)</f>
        <v>6.3894688024377171</v>
      </c>
      <c r="H101" s="284">
        <f>H39-('Ethylene Recycling LC'!G71+'Ethylene Recycling LC'!G122-'Ethylene Recycling LC'!$C$71-'Ethylene Recycling LC'!$C$122)</f>
        <v>6.4475947698169964</v>
      </c>
      <c r="I101" s="284">
        <f>I39-('Ethylene Recycling LC'!H71+'Ethylene Recycling LC'!H122-'Ethylene Recycling LC'!$C$71-'Ethylene Recycling LC'!$C$122)</f>
        <v>6.5077780945885975</v>
      </c>
      <c r="J101" s="284">
        <f>J39-('Ethylene Recycling LC'!I71+'Ethylene Recycling LC'!I122-'Ethylene Recycling LC'!$C$71-'Ethylene Recycling LC'!$C$122)</f>
        <v>6.569061574365227</v>
      </c>
      <c r="K101" s="284">
        <f>K39-('Ethylene Recycling LC'!J71+'Ethylene Recycling LC'!J122-'Ethylene Recycling LC'!$C$71-'Ethylene Recycling LC'!$C$122)</f>
        <v>6.6315164969692892</v>
      </c>
      <c r="L101" s="284">
        <f>L39-('Ethylene Recycling LC'!K71+'Ethylene Recycling LC'!K122-'Ethylene Recycling LC'!$C$71-'Ethylene Recycling LC'!$C$122)</f>
        <v>6.6952159739607557</v>
      </c>
      <c r="M101" s="284">
        <f>M39-('Ethylene Recycling LC'!L71+'Ethylene Recycling LC'!L122-'Ethylene Recycling LC'!$C$71-'Ethylene Recycling LC'!$C$122)</f>
        <v>6.7602348270235568</v>
      </c>
      <c r="N101" s="284">
        <f>N39-('Ethylene Recycling LC'!M71+'Ethylene Recycling LC'!M122-'Ethylene Recycling LC'!$C$71-'Ethylene Recycling LC'!$C$122)</f>
        <v>6.8266494668396591</v>
      </c>
      <c r="O101" s="284">
        <f>O39-('Ethylene Recycling LC'!N71+'Ethylene Recycling LC'!N122-'Ethylene Recycling LC'!$C$71-'Ethylene Recycling LC'!$C$122)</f>
        <v>6.8697390149958011</v>
      </c>
      <c r="P101" s="284">
        <f>P39-('Ethylene Recycling LC'!O71+'Ethylene Recycling LC'!O122-'Ethylene Recycling LC'!$C$71-'Ethylene Recycling LC'!$C$122)</f>
        <v>6.9154753696263169</v>
      </c>
      <c r="Q101" s="284">
        <f>Q39-('Ethylene Recycling LC'!P71+'Ethylene Recycling LC'!P122-'Ethylene Recycling LC'!$C$71-'Ethylene Recycling LC'!$C$122)</f>
        <v>6.9642272040875621</v>
      </c>
      <c r="R101" s="284">
        <f>R39-('Ethylene Recycling LC'!Q71+'Ethylene Recycling LC'!Q122-'Ethylene Recycling LC'!$C$71-'Ethylene Recycling LC'!$C$122)</f>
        <v>7.0163559733682499</v>
      </c>
      <c r="S101" s="284">
        <f>S39-('Ethylene Recycling LC'!R71+'Ethylene Recycling LC'!R122-'Ethylene Recycling LC'!$C$71-'Ethylene Recycling LC'!$C$122)</f>
        <v>7.0722123830394477</v>
      </c>
      <c r="T101" s="284">
        <f>T39-('Ethylene Recycling LC'!S71+'Ethylene Recycling LC'!S122-'Ethylene Recycling LC'!$C$71-'Ethylene Recycling LC'!$C$122)</f>
        <v>7.1302983497748258</v>
      </c>
      <c r="U101" s="284">
        <f>U39-('Ethylene Recycling LC'!T71+'Ethylene Recycling LC'!T122-'Ethylene Recycling LC'!$C$71-'Ethylene Recycling LC'!$C$122)</f>
        <v>7.1906775692123457</v>
      </c>
      <c r="V101" s="284">
        <f>V39-('Ethylene Recycling LC'!U71+'Ethylene Recycling LC'!U122-'Ethylene Recycling LC'!$C$71-'Ethylene Recycling LC'!$C$122)</f>
        <v>7.2534140200001005</v>
      </c>
      <c r="W101" s="284">
        <f>W39-('Ethylene Recycling LC'!V71+'Ethylene Recycling LC'!V122-'Ethylene Recycling LC'!$C$71-'Ethylene Recycling LC'!$C$122)</f>
        <v>7.3185719341802393</v>
      </c>
      <c r="X101" s="284">
        <f>X39-('Ethylene Recycling LC'!W71+'Ethylene Recycling LC'!W122-'Ethylene Recycling LC'!$C$71-'Ethylene Recycling LC'!$C$122)</f>
        <v>7.3862157672559743</v>
      </c>
      <c r="Y101" s="284">
        <f>Y39-('Ethylene Recycling LC'!X71+'Ethylene Recycling LC'!X122-'Ethylene Recycling LC'!$C$71-'Ethylene Recycling LC'!$C$122)</f>
        <v>7.41597671752604</v>
      </c>
      <c r="Z101" s="284">
        <f>Z39-('Ethylene Recycling LC'!Y71+'Ethylene Recycling LC'!Y122-'Ethylene Recycling LC'!$C$71-'Ethylene Recycling LC'!$C$122)</f>
        <v>7.4488598352082649</v>
      </c>
      <c r="AA101" s="284">
        <f>AA39-('Ethylene Recycling LC'!Z71+'Ethylene Recycling LC'!Z122-'Ethylene Recycling LC'!$C$71-'Ethylene Recycling LC'!$C$122)</f>
        <v>7.4849602403643871</v>
      </c>
      <c r="AB101" s="284">
        <f>AB39-('Ethylene Recycling LC'!AA71+'Ethylene Recycling LC'!AA122-'Ethylene Recycling LC'!$C$71-'Ethylene Recycling LC'!$C$122)</f>
        <v>7.5243732172751745</v>
      </c>
      <c r="AC101" s="284">
        <f>AC39-('Ethylene Recycling LC'!AB71+'Ethylene Recycling LC'!AB122-'Ethylene Recycling LC'!$C$71-'Ethylene Recycling LC'!$C$122)</f>
        <v>7.5671941653092656</v>
      </c>
      <c r="AD101" s="284">
        <f>AD39-('Ethylene Recycling LC'!AC71+'Ethylene Recycling LC'!AC122-'Ethylene Recycling LC'!$C$71-'Ethylene Recycling LC'!$C$122)</f>
        <v>7.6135025088298072</v>
      </c>
      <c r="AE101" s="284">
        <f>AE39-('Ethylene Recycling LC'!AD71+'Ethylene Recycling LC'!AD122-'Ethylene Recycling LC'!$C$71-'Ethylene Recycling LC'!$C$122)</f>
        <v>7.6633915738533531</v>
      </c>
      <c r="AF101" s="284">
        <f>AF39-('Ethylene Recycling LC'!AE71+'Ethylene Recycling LC'!AE122-'Ethylene Recycling LC'!$C$71-'Ethylene Recycling LC'!$C$122)</f>
        <v>7.7169547579740296</v>
      </c>
      <c r="AG101" s="284">
        <f>AG39-('Ethylene Recycling LC'!AF71+'Ethylene Recycling LC'!AF122-'Ethylene Recycling LC'!$C$71-'Ethylene Recycling LC'!$C$122)</f>
        <v>7.7742854868376519</v>
      </c>
      <c r="AH101" s="284">
        <f>AH39-('Ethylene Recycling LC'!AG71+'Ethylene Recycling LC'!AG122-'Ethylene Recycling LC'!$C$71-'Ethylene Recycling LC'!$C$122)</f>
        <v>7.8354771703763255</v>
      </c>
      <c r="AI101" s="284"/>
    </row>
    <row r="102" spans="1:36" s="67" customFormat="1">
      <c r="A102" s="58" t="s">
        <v>220</v>
      </c>
      <c r="B102" s="58" t="s">
        <v>197</v>
      </c>
      <c r="C102" s="100" t="s">
        <v>153</v>
      </c>
      <c r="D102" s="101">
        <f t="shared" ref="D102:AH102" si="30">D19</f>
        <v>8.4778361655826675</v>
      </c>
      <c r="E102" s="101">
        <f t="shared" si="30"/>
        <v>8.6305813397779687</v>
      </c>
      <c r="F102" s="101">
        <f t="shared" si="30"/>
        <v>8.7860697552440588</v>
      </c>
      <c r="G102" s="101">
        <f t="shared" si="30"/>
        <v>8.9443505388287985</v>
      </c>
      <c r="H102" s="101">
        <f t="shared" si="30"/>
        <v>9.1054736948961548</v>
      </c>
      <c r="I102" s="101">
        <f t="shared" si="30"/>
        <v>9.269490120964079</v>
      </c>
      <c r="J102" s="101">
        <f t="shared" si="30"/>
        <v>9.4364516236204885</v>
      </c>
      <c r="K102" s="101">
        <f t="shared" si="30"/>
        <v>9.6064109347222555</v>
      </c>
      <c r="L102" s="101">
        <f t="shared" si="30"/>
        <v>9.7794217278822568</v>
      </c>
      <c r="M102" s="101">
        <f t="shared" si="30"/>
        <v>9.9555386352495638</v>
      </c>
      <c r="N102" s="101">
        <f t="shared" si="30"/>
        <v>10.134817264588001</v>
      </c>
      <c r="O102" s="101">
        <f t="shared" si="30"/>
        <v>10.347929392375447</v>
      </c>
      <c r="P102" s="101">
        <f t="shared" si="30"/>
        <v>10.565358370318199</v>
      </c>
      <c r="Q102" s="101">
        <f t="shared" si="30"/>
        <v>10.787189381916606</v>
      </c>
      <c r="R102" s="101">
        <f t="shared" si="30"/>
        <v>11.013509259340339</v>
      </c>
      <c r="S102" s="101">
        <f t="shared" si="30"/>
        <v>11.244406514865107</v>
      </c>
      <c r="T102" s="101">
        <f t="shared" si="30"/>
        <v>11.479971372901765</v>
      </c>
      <c r="U102" s="101">
        <f t="shared" si="30"/>
        <v>11.720295802628874</v>
      </c>
      <c r="V102" s="101">
        <f t="shared" si="30"/>
        <v>11.965473551239935</v>
      </c>
      <c r="W102" s="101">
        <f t="shared" si="30"/>
        <v>12.215600177816814</v>
      </c>
      <c r="X102" s="101">
        <f t="shared" si="30"/>
        <v>12.470773087840998</v>
      </c>
      <c r="Y102" s="101">
        <f t="shared" si="30"/>
        <v>12.743170402859695</v>
      </c>
      <c r="Z102" s="101">
        <f t="shared" si="30"/>
        <v>13.021225173166643</v>
      </c>
      <c r="AA102" s="101">
        <f t="shared" si="30"/>
        <v>13.305051029417598</v>
      </c>
      <c r="AB102" s="101">
        <f t="shared" si="30"/>
        <v>13.594763830706043</v>
      </c>
      <c r="AC102" s="101">
        <f t="shared" si="30"/>
        <v>13.890481707490792</v>
      </c>
      <c r="AD102" s="101">
        <f t="shared" si="30"/>
        <v>14.192325105339149</v>
      </c>
      <c r="AE102" s="101">
        <f t="shared" si="30"/>
        <v>14.500416829500885</v>
      </c>
      <c r="AF102" s="101">
        <f t="shared" si="30"/>
        <v>14.814882090328679</v>
      </c>
      <c r="AG102" s="101">
        <f t="shared" si="30"/>
        <v>15.13584854956089</v>
      </c>
      <c r="AH102" s="101">
        <f t="shared" si="30"/>
        <v>15.463446367482891</v>
      </c>
    </row>
    <row r="103" spans="1:36" outlineLevel="1">
      <c r="A103"/>
      <c r="B103" t="s">
        <v>217</v>
      </c>
      <c r="C103" s="54" t="s">
        <v>153</v>
      </c>
      <c r="D103" s="44">
        <f>'Ethylene Recycling LC'!C106-'Ethylene Recycling LC'!$C$106</f>
        <v>0</v>
      </c>
      <c r="E103" s="44">
        <f>'Ethylene Recycling LC'!D106-'Ethylene Recycling LC'!$C$106</f>
        <v>3.5928677153587701E-3</v>
      </c>
      <c r="F103" s="44">
        <f>'Ethylene Recycling LC'!E106-'Ethylene Recycling LC'!$C$106</f>
        <v>8.2108983212996998E-3</v>
      </c>
      <c r="G103" s="44">
        <f>'Ethylene Recycling LC'!F106-'Ethylene Recycling LC'!$C$106</f>
        <v>1.3895170870809815E-2</v>
      </c>
      <c r="H103" s="44">
        <f>'Ethylene Recycling LC'!G106-'Ethylene Recycling LC'!$C$106</f>
        <v>2.0673440635054892E-2</v>
      </c>
      <c r="I103" s="44">
        <f>'Ethylene Recycling LC'!H106-'Ethylene Recycling LC'!$C$106</f>
        <v>2.8558980359517063E-2</v>
      </c>
      <c r="J103" s="44">
        <f>'Ethylene Recycling LC'!I106-'Ethylene Recycling LC'!$C$106</f>
        <v>3.7642161244276925E-2</v>
      </c>
      <c r="K103" s="44">
        <f>'Ethylene Recycling LC'!J106-'Ethylene Recycling LC'!$C$106</f>
        <v>4.797061335479906E-2</v>
      </c>
      <c r="L103" s="44">
        <f>'Ethylene Recycling LC'!K106-'Ethylene Recycling LC'!$C$106</f>
        <v>5.9590550252066887E-2</v>
      </c>
      <c r="M103" s="44">
        <f>'Ethylene Recycling LC'!L106-'Ethylene Recycling LC'!$C$106</f>
        <v>7.2546573272055728E-2</v>
      </c>
      <c r="N103" s="44">
        <f>'Ethylene Recycling LC'!M106-'Ethylene Recycling LC'!$C$106</f>
        <v>8.6881475151878926E-2</v>
      </c>
      <c r="O103" s="44">
        <f>'Ethylene Recycling LC'!N106-'Ethylene Recycling LC'!$C$106</f>
        <v>0.11044475159127619</v>
      </c>
      <c r="P103" s="44">
        <f>'Ethylene Recycling LC'!O106-'Ethylene Recycling LC'!$C$106</f>
        <v>0.13657352414437937</v>
      </c>
      <c r="Q103" s="44">
        <f>'Ethylene Recycling LC'!P106-'Ethylene Recycling LC'!$C$106</f>
        <v>0.1655550635363843</v>
      </c>
      <c r="R103" s="44">
        <f>'Ethylene Recycling LC'!Q106-'Ethylene Recycling LC'!$C$106</f>
        <v>0.19709009670995783</v>
      </c>
      <c r="S103" s="44">
        <f>'Ethylene Recycling LC'!R106-'Ethylene Recycling LC'!$C$106</f>
        <v>0.23108133940527681</v>
      </c>
      <c r="T103" s="44">
        <f>'Ethylene Recycling LC'!S106-'Ethylene Recycling LC'!$C$106</f>
        <v>0.26789336341191178</v>
      </c>
      <c r="U103" s="44">
        <f>'Ethylene Recycling LC'!T106-'Ethylene Recycling LC'!$C$106</f>
        <v>0.30758262479727988</v>
      </c>
      <c r="V103" s="44">
        <f>'Ethylene Recycling LC'!U106-'Ethylene Recycling LC'!$C$106</f>
        <v>0.35020461150354593</v>
      </c>
      <c r="W103" s="44">
        <f>'Ethylene Recycling LC'!V106-'Ethylene Recycling LC'!$C$106</f>
        <v>0.39581377807601448</v>
      </c>
      <c r="X103" s="44">
        <f>'Ethylene Recycling LC'!W106-'Ethylene Recycling LC'!$C$106</f>
        <v>0.44446348024122245</v>
      </c>
      <c r="Y103" s="44">
        <f>'Ethylene Recycling LC'!X106-'Ethylene Recycling LC'!$C$106</f>
        <v>0.51535063282695237</v>
      </c>
      <c r="Z103" s="44">
        <f>'Ethylene Recycling LC'!Y106-'Ethylene Recycling LC'!$C$106</f>
        <v>0.59130054681586219</v>
      </c>
      <c r="AA103" s="44">
        <f>'Ethylene Recycling LC'!Z106-'Ethylene Recycling LC'!$C$106</f>
        <v>0.67439166783366933</v>
      </c>
      <c r="AB103" s="44">
        <f>'Ethylene Recycling LC'!AA106-'Ethylene Recycling LC'!$C$106</f>
        <v>0.76321994995723907</v>
      </c>
      <c r="AC103" s="44">
        <f>'Ethylene Recycling LC'!AB106-'Ethylene Recycling LC'!$C$106</f>
        <v>0.85791455865137789</v>
      </c>
      <c r="AD103" s="44">
        <f>'Ethylene Recycling LC'!AC106-'Ethylene Recycling LC'!$C$106</f>
        <v>0.95861243268361285</v>
      </c>
      <c r="AE103" s="44">
        <f>'Ethylene Recycling LC'!AD106-'Ethylene Recycling LC'!$C$106</f>
        <v>1.0654429654365911</v>
      </c>
      <c r="AF103" s="44">
        <f>'Ethylene Recycling LC'!AE106-'Ethylene Recycling LC'!$C$106</f>
        <v>1.178534299021271</v>
      </c>
      <c r="AG103" s="44">
        <f>'Ethylene Recycling LC'!AF106-'Ethylene Recycling LC'!$C$106</f>
        <v>1.2980131994974708</v>
      </c>
      <c r="AH103" s="44">
        <f>'Ethylene Recycling LC'!AG106-'Ethylene Recycling LC'!$C$106</f>
        <v>1.4240049310280589</v>
      </c>
    </row>
    <row r="104" spans="1:36" outlineLevel="1">
      <c r="A104"/>
      <c r="B104" s="181" t="s">
        <v>222</v>
      </c>
      <c r="C104" s="54" t="s">
        <v>153</v>
      </c>
      <c r="D104" s="44">
        <f>'Ethylene Recycling LC'!C79-'Ethylene Recycling LC'!$C$79</f>
        <v>0</v>
      </c>
      <c r="E104" s="44">
        <f>'Ethylene Recycling LC'!D79-'Ethylene Recycling LC'!$C$79</f>
        <v>9.6856200324028752E-2</v>
      </c>
      <c r="F104" s="44">
        <f>'Ethylene Recycling LC'!E79-'Ethylene Recycling LC'!$C$79</f>
        <v>0.19404136249639814</v>
      </c>
      <c r="G104" s="44">
        <f>'Ethylene Recycling LC'!F79-'Ethylene Recycling LC'!$C$79</f>
        <v>0.29095388060224292</v>
      </c>
      <c r="H104" s="44">
        <f>'Ethylene Recycling LC'!G79-'Ethylene Recycling LC'!$C$79</f>
        <v>0.38696834362173038</v>
      </c>
      <c r="I104" s="44">
        <f>'Ethylene Recycling LC'!H79-'Ethylene Recycling LC'!$C$79</f>
        <v>0.48144214854461787</v>
      </c>
      <c r="J104" s="44">
        <f>'Ethylene Recycling LC'!I79-'Ethylene Recycling LC'!$C$79</f>
        <v>0.57807915921523501</v>
      </c>
      <c r="K104" s="44">
        <f>'Ethylene Recycling LC'!J79-'Ethylene Recycling LC'!$C$79</f>
        <v>0.67682736952185207</v>
      </c>
      <c r="L104" s="44">
        <f>'Ethylene Recycling LC'!K79-'Ethylene Recycling LC'!$C$79</f>
        <v>0.77762944309796067</v>
      </c>
      <c r="M104" s="44">
        <f>'Ethylene Recycling LC'!L79-'Ethylene Recycling LC'!$C$79</f>
        <v>0.88042269102861681</v>
      </c>
      <c r="N104" s="44">
        <f>'Ethylene Recycling LC'!M79-'Ethylene Recycling LC'!$C$79</f>
        <v>0.98513906385640704</v>
      </c>
      <c r="O104" s="44">
        <f>'Ethylene Recycling LC'!N79-'Ethylene Recycling LC'!$C$79</f>
        <v>1.1710505639183384</v>
      </c>
      <c r="P104" s="44">
        <f>'Ethylene Recycling LC'!O79-'Ethylene Recycling LC'!$C$79</f>
        <v>1.3570053687755022</v>
      </c>
      <c r="Q104" s="44">
        <f>'Ethylene Recycling LC'!P79-'Ethylene Recycling LC'!$C$79</f>
        <v>1.5420290666879701</v>
      </c>
      <c r="R104" s="44">
        <f>'Ethylene Recycling LC'!Q79-'Ethylene Recycling LC'!$C$79</f>
        <v>1.7251259606560896</v>
      </c>
      <c r="S104" s="44">
        <f>'Ethylene Recycling LC'!R79-'Ethylene Recycling LC'!$C$79</f>
        <v>1.9052878029785205</v>
      </c>
      <c r="T104" s="44">
        <f>'Ethylene Recycling LC'!S79-'Ethylene Recycling LC'!$C$79</f>
        <v>2.0878575254514513</v>
      </c>
      <c r="U104" s="44">
        <f>'Ethylene Recycling LC'!T79-'Ethylene Recycling LC'!$C$79</f>
        <v>2.2728054658181747</v>
      </c>
      <c r="V104" s="44">
        <f>'Ethylene Recycling LC'!U79-'Ethylene Recycling LC'!$C$79</f>
        <v>2.4601004637172457</v>
      </c>
      <c r="W104" s="44">
        <f>'Ethylene Recycling LC'!V79-'Ethylene Recycling LC'!$C$79</f>
        <v>2.6497098603441933</v>
      </c>
      <c r="X104" s="44">
        <f>'Ethylene Recycling LC'!W79-'Ethylene Recycling LC'!$C$79</f>
        <v>2.8415994991736544</v>
      </c>
      <c r="Y104" s="44">
        <f>'Ethylene Recycling LC'!X79-'Ethylene Recycling LC'!$C$79</f>
        <v>3.1313508947958453</v>
      </c>
      <c r="Z104" s="44">
        <f>'Ethylene Recycling LC'!Y79-'Ethylene Recycling LC'!$C$79</f>
        <v>3.4248268980151217</v>
      </c>
      <c r="AA104" s="44">
        <f>'Ethylene Recycling LC'!Z79-'Ethylene Recycling LC'!$C$79</f>
        <v>3.7219818976032255</v>
      </c>
      <c r="AB104" s="44">
        <f>'Ethylene Recycling LC'!AA79-'Ethylene Recycling LC'!$C$79</f>
        <v>4.0227681709456409</v>
      </c>
      <c r="AC104" s="44">
        <f>'Ethylene Recycling LC'!AB79-'Ethylene Recycling LC'!$C$79</f>
        <v>4.327135885445152</v>
      </c>
      <c r="AD104" s="44">
        <f>'Ethylene Recycling LC'!AC79-'Ethylene Recycling LC'!$C$79</f>
        <v>4.6350905888529361</v>
      </c>
      <c r="AE104" s="44">
        <f>'Ethylene Recycling LC'!AD79-'Ethylene Recycling LC'!$C$79</f>
        <v>4.9465871513799211</v>
      </c>
      <c r="AF104" s="44">
        <f>'Ethylene Recycling LC'!AE79-'Ethylene Recycling LC'!$C$79</f>
        <v>5.2615785575968861</v>
      </c>
      <c r="AG104" s="44">
        <f>'Ethylene Recycling LC'!AF79-'Ethylene Recycling LC'!$C$79</f>
        <v>5.5800159087719674</v>
      </c>
      <c r="AH104" s="44">
        <f>'Ethylene Recycling LC'!AG79-'Ethylene Recycling LC'!$C$79</f>
        <v>5.9018484263370592</v>
      </c>
    </row>
    <row r="105" spans="1:36" s="68" customFormat="1">
      <c r="A105" s="62"/>
      <c r="B105" s="62" t="s">
        <v>219</v>
      </c>
      <c r="C105" s="63" t="s">
        <v>153</v>
      </c>
      <c r="D105" s="64">
        <f>D102-D103-D104</f>
        <v>8.4778361655826675</v>
      </c>
      <c r="E105" s="64">
        <f t="shared" ref="E105:AH105" si="31">E102-E103-E104</f>
        <v>8.5301322717385819</v>
      </c>
      <c r="F105" s="64">
        <f t="shared" si="31"/>
        <v>8.583817494426361</v>
      </c>
      <c r="G105" s="64">
        <f t="shared" si="31"/>
        <v>8.6395014873557443</v>
      </c>
      <c r="H105" s="64">
        <f t="shared" si="31"/>
        <v>8.6978319106393709</v>
      </c>
      <c r="I105" s="64">
        <f t="shared" si="31"/>
        <v>8.7594889920599446</v>
      </c>
      <c r="J105" s="64">
        <f t="shared" si="31"/>
        <v>8.8207303031609765</v>
      </c>
      <c r="K105" s="64">
        <f t="shared" si="31"/>
        <v>8.8816129518456037</v>
      </c>
      <c r="L105" s="64">
        <f t="shared" si="31"/>
        <v>8.9422017345322296</v>
      </c>
      <c r="M105" s="64">
        <f t="shared" si="31"/>
        <v>9.0025693709488905</v>
      </c>
      <c r="N105" s="64">
        <f t="shared" si="31"/>
        <v>9.0627967255797159</v>
      </c>
      <c r="O105" s="64">
        <f t="shared" si="31"/>
        <v>9.066434076865832</v>
      </c>
      <c r="P105" s="64">
        <f t="shared" si="31"/>
        <v>9.0717794773983176</v>
      </c>
      <c r="Q105" s="64">
        <f t="shared" si="31"/>
        <v>9.0796052516922519</v>
      </c>
      <c r="R105" s="64">
        <f t="shared" si="31"/>
        <v>9.09129320197429</v>
      </c>
      <c r="S105" s="64">
        <f t="shared" si="31"/>
        <v>9.1080373724813093</v>
      </c>
      <c r="T105" s="64">
        <f t="shared" si="31"/>
        <v>9.1242204840384034</v>
      </c>
      <c r="U105" s="64">
        <f t="shared" si="31"/>
        <v>9.139907712013418</v>
      </c>
      <c r="V105" s="64">
        <f t="shared" si="31"/>
        <v>9.1551684760191421</v>
      </c>
      <c r="W105" s="64">
        <f t="shared" si="31"/>
        <v>9.1700765393966055</v>
      </c>
      <c r="X105" s="64">
        <f t="shared" si="31"/>
        <v>9.1847101084261222</v>
      </c>
      <c r="Y105" s="64">
        <f t="shared" si="31"/>
        <v>9.0964688752368961</v>
      </c>
      <c r="Z105" s="64">
        <f t="shared" si="31"/>
        <v>9.0050977283356595</v>
      </c>
      <c r="AA105" s="64">
        <f t="shared" si="31"/>
        <v>8.9086774639807036</v>
      </c>
      <c r="AB105" s="64">
        <f t="shared" si="31"/>
        <v>8.8087757098031627</v>
      </c>
      <c r="AC105" s="64">
        <f t="shared" si="31"/>
        <v>8.7054312633942619</v>
      </c>
      <c r="AD105" s="64">
        <f t="shared" si="31"/>
        <v>8.5986220838026011</v>
      </c>
      <c r="AE105" s="64">
        <f t="shared" si="31"/>
        <v>8.4883867126843722</v>
      </c>
      <c r="AF105" s="64">
        <f t="shared" si="31"/>
        <v>8.3747692337105217</v>
      </c>
      <c r="AG105" s="64">
        <f t="shared" si="31"/>
        <v>8.2578194412914527</v>
      </c>
      <c r="AH105" s="438">
        <f t="shared" si="31"/>
        <v>8.137593010117774</v>
      </c>
      <c r="AI105" s="437"/>
      <c r="AJ105" s="437"/>
    </row>
    <row r="106" spans="1:36" s="67" customFormat="1">
      <c r="A106" s="755" t="s">
        <v>257</v>
      </c>
      <c r="B106" s="58" t="s">
        <v>258</v>
      </c>
      <c r="C106" s="59" t="s">
        <v>153</v>
      </c>
      <c r="D106" s="60">
        <f>D20-('Ethylene Recycling LC'!C107+'Ethylene Recycling LC'!C80-'Ethylene Recycling LC'!$C$107-'Ethylene Recycling LC'!$C$80)</f>
        <v>2.4605530832803555</v>
      </c>
      <c r="E106" s="60">
        <f>E20-('Ethylene Recycling LC'!D107+'Ethylene Recycling LC'!D80-'Ethylene Recycling LC'!$C$107-'Ethylene Recycling LC'!$C$80)</f>
        <v>2.4051563804756482</v>
      </c>
      <c r="F106" s="60">
        <f>F20-('Ethylene Recycling LC'!E107+'Ethylene Recycling LC'!E80-'Ethylene Recycling LC'!$C$107-'Ethylene Recycling LC'!$C$80)</f>
        <v>2.3494272686561644</v>
      </c>
      <c r="G106" s="60">
        <f>G20-('Ethylene Recycling LC'!F107+'Ethylene Recycling LC'!F80-'Ethylene Recycling LC'!$C$107-'Ethylene Recycling LC'!$C$80)</f>
        <v>2.2939579961585848</v>
      </c>
      <c r="H106" s="60">
        <f>H20-('Ethylene Recycling LC'!G107+'Ethylene Recycling LC'!G80-'Ethylene Recycling LC'!$C$107-'Ethylene Recycling LC'!$C$80)</f>
        <v>2.23937595194728</v>
      </c>
      <c r="I106" s="60">
        <f>I20-('Ethylene Recycling LC'!H107+'Ethylene Recycling LC'!H80-'Ethylene Recycling LC'!$C$107-'Ethylene Recycling LC'!$C$80)</f>
        <v>2.1863377762556513</v>
      </c>
      <c r="J106" s="60">
        <f>J20-('Ethylene Recycling LC'!I107+'Ethylene Recycling LC'!I80-'Ethylene Recycling LC'!$C$107-'Ethylene Recycling LC'!$C$80)</f>
        <v>2.1310932364578972</v>
      </c>
      <c r="K106" s="60">
        <f>K20-('Ethylene Recycling LC'!J107+'Ethylene Recycling LC'!J80-'Ethylene Recycling LC'!$C$107-'Ethylene Recycling LC'!$C$80)</f>
        <v>2.0736829091603735</v>
      </c>
      <c r="L106" s="60">
        <f>L20-('Ethylene Recycling LC'!K107+'Ethylene Recycling LC'!K80-'Ethylene Recycling LC'!$C$107-'Ethylene Recycling LC'!$C$80)</f>
        <v>2.0141546512046742</v>
      </c>
      <c r="M106" s="60">
        <f>M20-('Ethylene Recycling LC'!L107+'Ethylene Recycling LC'!L80-'Ethylene Recycling LC'!$C$107-'Ethylene Recycling LC'!$C$80)</f>
        <v>1.9525637584018556</v>
      </c>
      <c r="N106" s="60">
        <f>N20-('Ethylene Recycling LC'!M107+'Ethylene Recycling LC'!M80-'Ethylene Recycling LC'!$C$107-'Ethylene Recycling LC'!$C$80)</f>
        <v>1.8889731070632574</v>
      </c>
      <c r="O106" s="60">
        <f>O20-('Ethylene Recycling LC'!N107+'Ethylene Recycling LC'!N80-'Ethylene Recycling LC'!$C$107-'Ethylene Recycling LC'!$C$80)</f>
        <v>1.7469489286785578</v>
      </c>
      <c r="P106" s="60">
        <f>P20-('Ethylene Recycling LC'!O107+'Ethylene Recycling LC'!O80-'Ethylene Recycling LC'!$C$107-'Ethylene Recycling LC'!$C$80)</f>
        <v>1.604296485289995</v>
      </c>
      <c r="Q106" s="60">
        <f>Q20-('Ethylene Recycling LC'!P107+'Ethylene Recycling LC'!P80-'Ethylene Recycling LC'!$C$107-'Ethylene Recycling LC'!$C$80)</f>
        <v>1.4618171812973655</v>
      </c>
      <c r="R106" s="60">
        <f>R20-('Ethylene Recycling LC'!Q107+'Ethylene Recycling LC'!Q80-'Ethylene Recycling LC'!$C$107-'Ethylene Recycling LC'!$C$80)</f>
        <v>1.3207863928560961</v>
      </c>
      <c r="S106" s="60">
        <f>S20-('Ethylene Recycling LC'!R107+'Ethylene Recycling LC'!R80-'Ethylene Recycling LC'!$C$107-'Ethylene Recycling LC'!$C$80)</f>
        <v>1.1823350215710544</v>
      </c>
      <c r="T106" s="60">
        <f>T20-('Ethylene Recycling LC'!S107+'Ethylene Recycling LC'!S80-'Ethylene Recycling LC'!$C$107-'Ethylene Recycling LC'!$C$80)</f>
        <v>1.0408914966539791</v>
      </c>
      <c r="U106" s="60">
        <f>U20-('Ethylene Recycling LC'!T107+'Ethylene Recycling LC'!T80-'Ethylene Recycling LC'!$C$107-'Ethylene Recycling LC'!$C$80)</f>
        <v>0.89649468834883672</v>
      </c>
      <c r="V106" s="60">
        <f>V20-('Ethylene Recycling LC'!U107+'Ethylene Recycling LC'!U80-'Ethylene Recycling LC'!$C$107-'Ethylene Recycling LC'!$C$80)</f>
        <v>0.74918688293539404</v>
      </c>
      <c r="W106" s="60">
        <f>W20-('Ethylene Recycling LC'!V107+'Ethylene Recycling LC'!V80-'Ethylene Recycling LC'!$C$107-'Ethylene Recycling LC'!$C$80)</f>
        <v>0.59901382744900245</v>
      </c>
      <c r="X106" s="60">
        <f>X20-('Ethylene Recycling LC'!W107+'Ethylene Recycling LC'!W80-'Ethylene Recycling LC'!$C$107-'Ethylene Recycling LC'!$C$80)</f>
        <v>0.4460247724708144</v>
      </c>
      <c r="Y106" s="60">
        <f>Y20-('Ethylene Recycling LC'!X107+'Ethylene Recycling LC'!X80-'Ethylene Recycling LC'!$C$107-'Ethylene Recycling LC'!$C$80)</f>
        <v>0.18391192826390546</v>
      </c>
      <c r="Z106" s="60">
        <f>Z20-('Ethylene Recycling LC'!Y107+'Ethylene Recycling LC'!Y80-'Ethylene Recycling LC'!$C$107-'Ethylene Recycling LC'!$C$80)</f>
        <v>-8.3614274586699011E-2</v>
      </c>
      <c r="AA106" s="60">
        <f>AA20-('Ethylene Recycling LC'!Z107+'Ethylene Recycling LC'!Z80-'Ethylene Recycling LC'!$C$107-'Ethylene Recycling LC'!$C$80)</f>
        <v>-0.35796457320129393</v>
      </c>
      <c r="AB106" s="60">
        <f>AB20-('Ethylene Recycling LC'!AA107+'Ethylene Recycling LC'!AA80-'Ethylene Recycling LC'!$C$107-'Ethylene Recycling LC'!$C$80)</f>
        <v>-0.63796134139027094</v>
      </c>
      <c r="AC106" s="60">
        <f>AC20-('Ethylene Recycling LC'!AB107+'Ethylene Recycling LC'!AB80-'Ethylene Recycling LC'!$C$107-'Ethylene Recycling LC'!$C$80)</f>
        <v>-0.92356378865067867</v>
      </c>
      <c r="AD106" s="60">
        <f>AD20-('Ethylene Recycling LC'!AC107+'Ethylene Recycling LC'!AC80-'Ethylene Recycling LC'!$C$107-'Ethylene Recycling LC'!$C$80)</f>
        <v>-1.2147899636511523</v>
      </c>
      <c r="AE106" s="60">
        <f>AE20-('Ethylene Recycling LC'!AD107+'Ethylene Recycling LC'!AD80-'Ethylene Recycling LC'!$C$107-'Ethylene Recycling LC'!$C$80)</f>
        <v>-1.511599439971258</v>
      </c>
      <c r="AF106" s="60">
        <f>AF20-('Ethylene Recycling LC'!AE107+'Ethylene Recycling LC'!AE80-'Ethylene Recycling LC'!$C$107-'Ethylene Recycling LC'!$C$80)</f>
        <v>-1.8139467605623425</v>
      </c>
      <c r="AG106" s="60">
        <f>AG20-('Ethylene Recycling LC'!AF107+'Ethylene Recycling LC'!AF80-'Ethylene Recycling LC'!$C$107-'Ethylene Recycling LC'!$C$80)</f>
        <v>-2.1217813553907536</v>
      </c>
      <c r="AH106" s="60">
        <f>AH20-('Ethylene Recycling LC'!AG107+'Ethylene Recycling LC'!AG80-'Ethylene Recycling LC'!$C$107-'Ethylene Recycling LC'!$C$80)</f>
        <v>-2.4350474614200275</v>
      </c>
      <c r="AI106" s="437"/>
      <c r="AJ106" s="437"/>
    </row>
    <row r="107" spans="1:36">
      <c r="A107" s="756"/>
      <c r="B107" s="1" t="s">
        <v>260</v>
      </c>
      <c r="C107" s="54" t="s">
        <v>153</v>
      </c>
      <c r="D107" s="44">
        <f>D21+(D111-D25)</f>
        <v>0</v>
      </c>
      <c r="E107" s="44">
        <f t="shared" ref="E107:AH107" si="32">E21+(E111-E25)</f>
        <v>0</v>
      </c>
      <c r="F107" s="44">
        <f t="shared" si="32"/>
        <v>0</v>
      </c>
      <c r="G107" s="44">
        <f t="shared" si="32"/>
        <v>0</v>
      </c>
      <c r="H107" s="44">
        <f t="shared" si="32"/>
        <v>0</v>
      </c>
      <c r="I107" s="44">
        <f t="shared" si="32"/>
        <v>0</v>
      </c>
      <c r="J107" s="44">
        <f t="shared" si="32"/>
        <v>0</v>
      </c>
      <c r="K107" s="44">
        <f t="shared" si="32"/>
        <v>0</v>
      </c>
      <c r="L107" s="44">
        <f t="shared" si="32"/>
        <v>0</v>
      </c>
      <c r="M107" s="44">
        <f t="shared" si="32"/>
        <v>0</v>
      </c>
      <c r="N107" s="44">
        <f t="shared" si="32"/>
        <v>0</v>
      </c>
      <c r="O107" s="44">
        <f t="shared" si="32"/>
        <v>0</v>
      </c>
      <c r="P107" s="44">
        <f t="shared" si="32"/>
        <v>0</v>
      </c>
      <c r="Q107" s="44">
        <f t="shared" si="32"/>
        <v>0</v>
      </c>
      <c r="R107" s="44">
        <f t="shared" si="32"/>
        <v>0</v>
      </c>
      <c r="S107" s="44">
        <f t="shared" si="32"/>
        <v>0</v>
      </c>
      <c r="T107" s="44">
        <f t="shared" si="32"/>
        <v>0</v>
      </c>
      <c r="U107" s="44">
        <f t="shared" si="32"/>
        <v>0</v>
      </c>
      <c r="V107" s="44">
        <f t="shared" si="32"/>
        <v>0</v>
      </c>
      <c r="W107" s="44">
        <f t="shared" si="32"/>
        <v>0</v>
      </c>
      <c r="X107" s="44">
        <f t="shared" si="32"/>
        <v>0</v>
      </c>
      <c r="Y107" s="44">
        <f t="shared" si="32"/>
        <v>0</v>
      </c>
      <c r="Z107" s="44">
        <f t="shared" si="32"/>
        <v>0</v>
      </c>
      <c r="AA107" s="44">
        <f t="shared" si="32"/>
        <v>0</v>
      </c>
      <c r="AB107" s="44">
        <f t="shared" si="32"/>
        <v>0</v>
      </c>
      <c r="AC107" s="44">
        <f t="shared" si="32"/>
        <v>0</v>
      </c>
      <c r="AD107" s="44">
        <f t="shared" si="32"/>
        <v>0</v>
      </c>
      <c r="AE107" s="44">
        <f t="shared" si="32"/>
        <v>0</v>
      </c>
      <c r="AF107" s="44">
        <f t="shared" si="32"/>
        <v>0</v>
      </c>
      <c r="AG107" s="44">
        <f t="shared" si="32"/>
        <v>0</v>
      </c>
      <c r="AH107" s="44">
        <f t="shared" si="32"/>
        <v>0</v>
      </c>
      <c r="AI107" s="437"/>
      <c r="AJ107" s="437"/>
    </row>
    <row r="108" spans="1:36">
      <c r="A108" s="756"/>
      <c r="B108" s="1" t="s">
        <v>262</v>
      </c>
      <c r="C108" s="54" t="s">
        <v>153</v>
      </c>
      <c r="D108" s="44">
        <f>D22+(D110-D24)</f>
        <v>0.50059171597633134</v>
      </c>
      <c r="E108" s="44">
        <f t="shared" ref="E108:AH108" si="33">E22+(E110-E24)</f>
        <v>0.50957901565026731</v>
      </c>
      <c r="F108" s="44">
        <f t="shared" si="33"/>
        <v>0.51869530985757595</v>
      </c>
      <c r="G108" s="44">
        <f t="shared" si="33"/>
        <v>0.5279320753757728</v>
      </c>
      <c r="H108" s="44">
        <f t="shared" si="33"/>
        <v>0.53728044429328881</v>
      </c>
      <c r="I108" s="44">
        <f t="shared" si="33"/>
        <v>0.54673146354937152</v>
      </c>
      <c r="J108" s="44">
        <f t="shared" si="33"/>
        <v>0.55627439204083118</v>
      </c>
      <c r="K108" s="44">
        <f t="shared" si="33"/>
        <v>0.56589832081015567</v>
      </c>
      <c r="L108" s="44">
        <f t="shared" si="33"/>
        <v>0.57559175654985262</v>
      </c>
      <c r="M108" s="44">
        <f t="shared" si="33"/>
        <v>0.58534265417901066</v>
      </c>
      <c r="N108" s="44">
        <f t="shared" si="33"/>
        <v>0.59513845365482287</v>
      </c>
      <c r="O108" s="44">
        <f t="shared" si="33"/>
        <v>0.60646708795814519</v>
      </c>
      <c r="P108" s="44">
        <f t="shared" si="33"/>
        <v>0.61777236083216569</v>
      </c>
      <c r="Q108" s="44">
        <f t="shared" si="33"/>
        <v>0.6290184770885674</v>
      </c>
      <c r="R108" s="44">
        <f t="shared" si="33"/>
        <v>0.64019496220981431</v>
      </c>
      <c r="S108" s="44">
        <f t="shared" si="33"/>
        <v>0.65128489538472678</v>
      </c>
      <c r="T108" s="44">
        <f t="shared" si="33"/>
        <v>0.66224645489964562</v>
      </c>
      <c r="U108" s="44">
        <f t="shared" si="33"/>
        <v>0.67305142092196524</v>
      </c>
      <c r="V108" s="44">
        <f t="shared" si="33"/>
        <v>0.68367093432709714</v>
      </c>
      <c r="W108" s="44">
        <f t="shared" si="33"/>
        <v>0.69407552041569265</v>
      </c>
      <c r="X108" s="44">
        <f t="shared" si="33"/>
        <v>0.70423511407794182</v>
      </c>
      <c r="Y108" s="44">
        <f t="shared" si="33"/>
        <v>0.71339645240485461</v>
      </c>
      <c r="Z108" s="44">
        <f t="shared" si="33"/>
        <v>0.72198772191056937</v>
      </c>
      <c r="AA108" s="44">
        <f t="shared" si="33"/>
        <v>0.72979065882251071</v>
      </c>
      <c r="AB108" s="44">
        <f t="shared" si="33"/>
        <v>0.73685593814615624</v>
      </c>
      <c r="AC108" s="44">
        <f t="shared" si="33"/>
        <v>0.74311753292951965</v>
      </c>
      <c r="AD108" s="44">
        <f t="shared" si="33"/>
        <v>0.74850698589346976</v>
      </c>
      <c r="AE108" s="44">
        <f t="shared" si="33"/>
        <v>0.75295475041388116</v>
      </c>
      <c r="AF108" s="44">
        <f t="shared" si="33"/>
        <v>0.75638969853127558</v>
      </c>
      <c r="AG108" s="44">
        <f t="shared" si="33"/>
        <v>0.75873915895140998</v>
      </c>
      <c r="AH108" s="44">
        <f t="shared" si="33"/>
        <v>0.75992895788583703</v>
      </c>
      <c r="AI108" s="437"/>
      <c r="AJ108" s="437"/>
    </row>
    <row r="109" spans="1:36">
      <c r="A109" s="757"/>
      <c r="B109" s="1" t="s">
        <v>248</v>
      </c>
      <c r="C109" s="54" t="s">
        <v>153</v>
      </c>
      <c r="D109" s="284">
        <f>D23-('Ethylene Recycling LC'!C81+'Ethylene Recycling LC'!C84-'Ethylene Recycling LC'!$C$81-'Ethylene Recycling LC'!$C$84+'Ethylene Recycling LC'!C108+'Ethylene Recycling LC'!C111-'Ethylene Recycling LC'!$C$108-'Ethylene Recycling LC'!$C$111)</f>
        <v>5.5166913663259809</v>
      </c>
      <c r="E109" s="284">
        <f>E23-('Ethylene Recycling LC'!D81+'Ethylene Recycling LC'!D84-'Ethylene Recycling LC'!$C$81-'Ethylene Recycling LC'!$C$84+'Ethylene Recycling LC'!D108+'Ethylene Recycling LC'!D111-'Ethylene Recycling LC'!$C$108-'Ethylene Recycling LC'!$C$111)</f>
        <v>5.6153968756126655</v>
      </c>
      <c r="F109" s="284">
        <f>F23-('Ethylene Recycling LC'!E81+'Ethylene Recycling LC'!E84-'Ethylene Recycling LC'!$C$81-'Ethylene Recycling LC'!$C$84+'Ethylene Recycling LC'!E108+'Ethylene Recycling LC'!E111-'Ethylene Recycling LC'!$C$108-'Ethylene Recycling LC'!$C$111)</f>
        <v>5.7156949159126205</v>
      </c>
      <c r="G109" s="284">
        <f>G23-('Ethylene Recycling LC'!F81+'Ethylene Recycling LC'!F84-'Ethylene Recycling LC'!$C$81-'Ethylene Recycling LC'!$C$84+'Ethylene Recycling LC'!F108+'Ethylene Recycling LC'!F111-'Ethylene Recycling LC'!$C$108-'Ethylene Recycling LC'!$C$111)</f>
        <v>5.8176114158213874</v>
      </c>
      <c r="H109" s="284">
        <f>H23-('Ethylene Recycling LC'!G81+'Ethylene Recycling LC'!G84-'Ethylene Recycling LC'!$C$81-'Ethylene Recycling LC'!$C$84+'Ethylene Recycling LC'!G108+'Ethylene Recycling LC'!G111-'Ethylene Recycling LC'!$C$108-'Ethylene Recycling LC'!$C$111)</f>
        <v>5.9211755143988007</v>
      </c>
      <c r="I109" s="284">
        <f>I23-('Ethylene Recycling LC'!H81+'Ethylene Recycling LC'!H84-'Ethylene Recycling LC'!$C$81-'Ethylene Recycling LC'!$C$84+'Ethylene Recycling LC'!H108+'Ethylene Recycling LC'!H111-'Ethylene Recycling LC'!$C$108-'Ethylene Recycling LC'!$C$111)</f>
        <v>6.0264197522549212</v>
      </c>
      <c r="J109" s="284">
        <f>J23-('Ethylene Recycling LC'!I81+'Ethylene Recycling LC'!I84-'Ethylene Recycling LC'!$C$81-'Ethylene Recycling LC'!$C$84+'Ethylene Recycling LC'!I108+'Ethylene Recycling LC'!I111-'Ethylene Recycling LC'!$C$108-'Ethylene Recycling LC'!$C$111)</f>
        <v>6.1333626746622478</v>
      </c>
      <c r="K109" s="284">
        <f>K23-('Ethylene Recycling LC'!J81+'Ethylene Recycling LC'!J84-'Ethylene Recycling LC'!$C$81-'Ethylene Recycling LC'!$C$84+'Ethylene Recycling LC'!J108+'Ethylene Recycling LC'!J111-'Ethylene Recycling LC'!$C$108-'Ethylene Recycling LC'!$C$111)</f>
        <v>6.2420317218750752</v>
      </c>
      <c r="L109" s="284">
        <f>L23-('Ethylene Recycling LC'!K81+'Ethylene Recycling LC'!K84-'Ethylene Recycling LC'!$C$81-'Ethylene Recycling LC'!$C$84+'Ethylene Recycling LC'!K108+'Ethylene Recycling LC'!K111-'Ethylene Recycling LC'!$C$108-'Ethylene Recycling LC'!$C$111)</f>
        <v>6.3524553267777017</v>
      </c>
      <c r="M109" s="284">
        <f>M23-('Ethylene Recycling LC'!L81+'Ethylene Recycling LC'!L84-'Ethylene Recycling LC'!$C$81-'Ethylene Recycling LC'!$C$84+'Ethylene Recycling LC'!L108+'Ethylene Recycling LC'!L111-'Ethylene Recycling LC'!$C$108-'Ethylene Recycling LC'!$C$111)</f>
        <v>6.4646629583680246</v>
      </c>
      <c r="N109" s="284">
        <f>N23-('Ethylene Recycling LC'!M81+'Ethylene Recycling LC'!M84-'Ethylene Recycling LC'!$C$81-'Ethylene Recycling LC'!$C$84+'Ethylene Recycling LC'!M108+'Ethylene Recycling LC'!M111-'Ethylene Recycling LC'!$C$108-'Ethylene Recycling LC'!$C$111)</f>
        <v>6.5786851648616347</v>
      </c>
      <c r="O109" s="284">
        <f>O23-('Ethylene Recycling LC'!N81+'Ethylene Recycling LC'!N84-'Ethylene Recycling LC'!$C$81-'Ethylene Recycling LC'!$C$84+'Ethylene Recycling LC'!N108+'Ethylene Recycling LC'!N111-'Ethylene Recycling LC'!$C$108-'Ethylene Recycling LC'!$C$111)</f>
        <v>6.7130180602291292</v>
      </c>
      <c r="P109" s="284">
        <f>P23-('Ethylene Recycling LC'!O81+'Ethylene Recycling LC'!O84-'Ethylene Recycling LC'!$C$81-'Ethylene Recycling LC'!$C$84+'Ethylene Recycling LC'!O108+'Ethylene Recycling LC'!O111-'Ethylene Recycling LC'!$C$108-'Ethylene Recycling LC'!$C$111)</f>
        <v>6.8497106312761566</v>
      </c>
      <c r="Q109" s="284">
        <f>Q23-('Ethylene Recycling LC'!P81+'Ethylene Recycling LC'!P84-'Ethylene Recycling LC'!$C$81-'Ethylene Recycling LC'!$C$84+'Ethylene Recycling LC'!P108+'Ethylene Recycling LC'!P111-'Ethylene Recycling LC'!$C$108-'Ethylene Recycling LC'!$C$111)</f>
        <v>6.9887695933063183</v>
      </c>
      <c r="R109" s="284">
        <f>R23-('Ethylene Recycling LC'!Q81+'Ethylene Recycling LC'!Q84-'Ethylene Recycling LC'!$C$81-'Ethylene Recycling LC'!$C$84+'Ethylene Recycling LC'!Q108+'Ethylene Recycling LC'!Q111-'Ethylene Recycling LC'!$C$108-'Ethylene Recycling LC'!$C$111)</f>
        <v>7.1303118469083806</v>
      </c>
      <c r="S109" s="284">
        <f>S23-('Ethylene Recycling LC'!R81+'Ethylene Recycling LC'!R84-'Ethylene Recycling LC'!$C$81-'Ethylene Recycling LC'!$C$84+'Ethylene Recycling LC'!R108+'Ethylene Recycling LC'!R111-'Ethylene Recycling LC'!$C$108-'Ethylene Recycling LC'!$C$111)</f>
        <v>7.2744174555255272</v>
      </c>
      <c r="T109" s="284">
        <f>T23-('Ethylene Recycling LC'!S81+'Ethylene Recycling LC'!S84-'Ethylene Recycling LC'!$C$81-'Ethylene Recycling LC'!$C$84+'Ethylene Recycling LC'!S108+'Ethylene Recycling LC'!S111-'Ethylene Recycling LC'!$C$108-'Ethylene Recycling LC'!$C$111)</f>
        <v>7.4210825324847773</v>
      </c>
      <c r="U109" s="284">
        <f>U23-('Ethylene Recycling LC'!T81+'Ethylene Recycling LC'!T84-'Ethylene Recycling LC'!$C$81-'Ethylene Recycling LC'!$C$84+'Ethylene Recycling LC'!T108+'Ethylene Recycling LC'!T111-'Ethylene Recycling LC'!$C$108-'Ethylene Recycling LC'!$C$111)</f>
        <v>7.5703616027426168</v>
      </c>
      <c r="V109" s="284">
        <f>V23-('Ethylene Recycling LC'!U81+'Ethylene Recycling LC'!U84-'Ethylene Recycling LC'!$C$81-'Ethylene Recycling LC'!$C$84+'Ethylene Recycling LC'!U108+'Ethylene Recycling LC'!U111-'Ethylene Recycling LC'!$C$108-'Ethylene Recycling LC'!$C$111)</f>
        <v>7.7223106587566512</v>
      </c>
      <c r="W109" s="284">
        <f>W23-('Ethylene Recycling LC'!V81+'Ethylene Recycling LC'!V84-'Ethylene Recycling LC'!$C$81-'Ethylene Recycling LC'!$C$84+'Ethylene Recycling LC'!V108+'Ethylene Recycling LC'!V111-'Ethylene Recycling LC'!$C$108-'Ethylene Recycling LC'!$C$111)</f>
        <v>7.8769871915319101</v>
      </c>
      <c r="X109" s="284">
        <f>X23-('Ethylene Recycling LC'!W81+'Ethylene Recycling LC'!W84-'Ethylene Recycling LC'!$C$81-'Ethylene Recycling LC'!$C$84+'Ethylene Recycling LC'!W108+'Ethylene Recycling LC'!W111-'Ethylene Recycling LC'!$C$108-'Ethylene Recycling LC'!$C$111)</f>
        <v>8.0344502218773641</v>
      </c>
      <c r="Y109" s="284">
        <f>Y23-('Ethylene Recycling LC'!X81+'Ethylene Recycling LC'!X84-'Ethylene Recycling LC'!$C$81-'Ethylene Recycling LC'!$C$84+'Ethylene Recycling LC'!X108+'Ethylene Recycling LC'!X111-'Ethylene Recycling LC'!$C$108-'Ethylene Recycling LC'!$C$111)</f>
        <v>8.1991604945681367</v>
      </c>
      <c r="Z109" s="284">
        <f>Z23-('Ethylene Recycling LC'!Y81+'Ethylene Recycling LC'!Y84-'Ethylene Recycling LC'!$C$81-'Ethylene Recycling LC'!$C$84+'Ethylene Recycling LC'!Y108+'Ethylene Recycling LC'!Y111-'Ethylene Recycling LC'!$C$108-'Ethylene Recycling LC'!$C$111)</f>
        <v>8.3667242810117877</v>
      </c>
      <c r="AA109" s="284">
        <f>AA23-('Ethylene Recycling LC'!Z81+'Ethylene Recycling LC'!Z84-'Ethylene Recycling LC'!$C$81-'Ethylene Recycling LC'!$C$84+'Ethylene Recycling LC'!Z108+'Ethylene Recycling LC'!Z111-'Ethylene Recycling LC'!$C$108-'Ethylene Recycling LC'!$C$111)</f>
        <v>8.5368513783594846</v>
      </c>
      <c r="AB109" s="284">
        <f>AB23-('Ethylene Recycling LC'!AA81+'Ethylene Recycling LC'!AA84-'Ethylene Recycling LC'!$C$81-'Ethylene Recycling LC'!$C$84+'Ethylene Recycling LC'!AA108+'Ethylene Recycling LC'!AA111-'Ethylene Recycling LC'!$C$108-'Ethylene Recycling LC'!$C$111)</f>
        <v>8.7098811130472757</v>
      </c>
      <c r="AC109" s="284">
        <f>AC23-('Ethylene Recycling LC'!AB81+'Ethylene Recycling LC'!AB84-'Ethylene Recycling LC'!$C$81-'Ethylene Recycling LC'!$C$84+'Ethylene Recycling LC'!AB108+'Ethylene Recycling LC'!AB111-'Ethylene Recycling LC'!$C$108-'Ethylene Recycling LC'!$C$111)</f>
        <v>8.8858775191154216</v>
      </c>
      <c r="AD109" s="284">
        <f>AD23-('Ethylene Recycling LC'!AC81+'Ethylene Recycling LC'!AC84-'Ethylene Recycling LC'!$C$81-'Ethylene Recycling LC'!$C$84+'Ethylene Recycling LC'!AC108+'Ethylene Recycling LC'!AC111-'Ethylene Recycling LC'!$C$108-'Ethylene Recycling LC'!$C$111)</f>
        <v>9.0649050615602818</v>
      </c>
      <c r="AE109" s="284">
        <f>AE23-('Ethylene Recycling LC'!AD81+'Ethylene Recycling LC'!AD84-'Ethylene Recycling LC'!$C$81-'Ethylene Recycling LC'!$C$84+'Ethylene Recycling LC'!AD108+'Ethylene Recycling LC'!AD111-'Ethylene Recycling LC'!$C$108-'Ethylene Recycling LC'!$C$111)</f>
        <v>9.2470314022417508</v>
      </c>
      <c r="AF109" s="284">
        <f>AF23-('Ethylene Recycling LC'!AE81+'Ethylene Recycling LC'!AE84-'Ethylene Recycling LC'!$C$81-'Ethylene Recycling LC'!$C$84+'Ethylene Recycling LC'!AE108+'Ethylene Recycling LC'!AE111-'Ethylene Recycling LC'!$C$108-'Ethylene Recycling LC'!$C$111)</f>
        <v>9.4323262957415857</v>
      </c>
      <c r="AG109" s="284">
        <f>AG23-('Ethylene Recycling LC'!AF81+'Ethylene Recycling LC'!AF84-'Ethylene Recycling LC'!$C$81-'Ethylene Recycling LC'!$C$84+'Ethylene Recycling LC'!AF108+'Ethylene Recycling LC'!AF111-'Ethylene Recycling LC'!$C$108-'Ethylene Recycling LC'!$C$111)</f>
        <v>9.6208616377307941</v>
      </c>
      <c r="AH109" s="284">
        <f>AH23-('Ethylene Recycling LC'!AG81+'Ethylene Recycling LC'!AG84-'Ethylene Recycling LC'!$C$81-'Ethylene Recycling LC'!$C$84+'Ethylene Recycling LC'!AG108+'Ethylene Recycling LC'!AG111-'Ethylene Recycling LC'!$C$108-'Ethylene Recycling LC'!$C$111)</f>
        <v>9.8127115136519638</v>
      </c>
      <c r="AI109" s="437"/>
      <c r="AJ109" s="437"/>
    </row>
    <row r="110" spans="1:36" s="67" customFormat="1">
      <c r="A110" s="758" t="s">
        <v>263</v>
      </c>
      <c r="B110" s="58" t="s">
        <v>264</v>
      </c>
      <c r="C110" s="59" t="s">
        <v>153</v>
      </c>
      <c r="D110" s="60">
        <f>D24-('Ethylene Recycling LC'!C82+'Ethylene Recycling LC'!C109-'Ethylene Recycling LC'!$C$82-'Ethylene Recycling LC'!$C$109)</f>
        <v>0.48056804733727804</v>
      </c>
      <c r="E110" s="60">
        <f>E24-('Ethylene Recycling LC'!D82+'Ethylene Recycling LC'!D109-'Ethylene Recycling LC'!$C$82-'Ethylene Recycling LC'!$C$109)</f>
        <v>0.4891945805733442</v>
      </c>
      <c r="F110" s="60">
        <f>F24-('Ethylene Recycling LC'!E82+'Ethylene Recycling LC'!E109-'Ethylene Recycling LC'!$C$82-'Ethylene Recycling LC'!$C$109)</f>
        <v>0.4979436291241322</v>
      </c>
      <c r="G110" s="60">
        <f>G24-('Ethylene Recycling LC'!F82+'Ethylene Recycling LC'!F109-'Ethylene Recycling LC'!$C$82-'Ethylene Recycling LC'!$C$109)</f>
        <v>0.50680655373522387</v>
      </c>
      <c r="H110" s="60">
        <f>H24-('Ethylene Recycling LC'!G82+'Ethylene Recycling LC'!G109-'Ethylene Recycling LC'!$C$82-'Ethylene Recycling LC'!$C$109)</f>
        <v>0.51577436839052504</v>
      </c>
      <c r="I110" s="60">
        <f>I24-('Ethylene Recycling LC'!H82+'Ethylene Recycling LC'!H109-'Ethylene Recycling LC'!$C$82-'Ethylene Recycling LC'!$C$109)</f>
        <v>0.52483799981523183</v>
      </c>
      <c r="J110" s="60">
        <f>J24-('Ethylene Recycling LC'!I82+'Ethylene Recycling LC'!I109-'Ethylene Recycling LC'!$C$82-'Ethylene Recycling LC'!$C$109)</f>
        <v>0.5339865845449846</v>
      </c>
      <c r="K110" s="60">
        <f>K24-('Ethylene Recycling LC'!J82+'Ethylene Recycling LC'!J109-'Ethylene Recycling LC'!$C$82-'Ethylene Recycling LC'!$C$109)</f>
        <v>0.54320908907572329</v>
      </c>
      <c r="L110" s="60">
        <f>L24-('Ethylene Recycling LC'!K82+'Ethylene Recycling LC'!K109-'Ethylene Recycling LC'!$C$82-'Ethylene Recycling LC'!$C$109)</f>
        <v>0.55249389332908894</v>
      </c>
      <c r="M110" s="60">
        <f>M24-('Ethylene Recycling LC'!L82+'Ethylene Recycling LC'!L109-'Ethylene Recycling LC'!$C$82-'Ethylene Recycling LC'!$C$109)</f>
        <v>0.56182882318935157</v>
      </c>
      <c r="N110" s="60">
        <f>N24-('Ethylene Recycling LC'!M82+'Ethylene Recycling LC'!M109-'Ethylene Recycling LC'!$C$82-'Ethylene Recycling LC'!$C$109)</f>
        <v>0.57120118727459679</v>
      </c>
      <c r="O110" s="60">
        <f>O24-('Ethylene Recycling LC'!N82+'Ethylene Recycling LC'!N109-'Ethylene Recycling LC'!$C$82-'Ethylene Recycling LC'!$C$109)</f>
        <v>0.58202647537654961</v>
      </c>
      <c r="P110" s="60">
        <f>P24-('Ethylene Recycling LC'!O82+'Ethylene Recycling LC'!O109-'Ethylene Recycling LC'!$C$82-'Ethylene Recycling LC'!$C$109)</f>
        <v>0.59281820614833791</v>
      </c>
      <c r="Q110" s="60">
        <f>Q24-('Ethylene Recycling LC'!P82+'Ethylene Recycling LC'!P109-'Ethylene Recycling LC'!$C$82-'Ethylene Recycling LC'!$C$109)</f>
        <v>0.60354038320806758</v>
      </c>
      <c r="R110" s="60">
        <f>R24-('Ethylene Recycling LC'!Q82+'Ethylene Recycling LC'!Q109-'Ethylene Recycling LC'!$C$82-'Ethylene Recycling LC'!$C$109)</f>
        <v>0.61418232695065922</v>
      </c>
      <c r="S110" s="60">
        <f>S24-('Ethylene Recycling LC'!R82+'Ethylene Recycling LC'!R109-'Ethylene Recycling LC'!$C$82-'Ethylene Recycling LC'!$C$109)</f>
        <v>0.62472690750917359</v>
      </c>
      <c r="T110" s="60">
        <f>T24-('Ethylene Recycling LC'!S82+'Ethylene Recycling LC'!S109-'Ethylene Recycling LC'!$C$82-'Ethylene Recycling LC'!$C$109)</f>
        <v>0.63513209007032678</v>
      </c>
      <c r="U110" s="60">
        <f>U24-('Ethylene Recycling LC'!T82+'Ethylene Recycling LC'!T109-'Ethylene Recycling LC'!$C$82-'Ethylene Recycling LC'!$C$109)</f>
        <v>0.64536943758094867</v>
      </c>
      <c r="V110" s="60">
        <f>V24-('Ethylene Recycling LC'!U82+'Ethylene Recycling LC'!U109-'Ethylene Recycling LC'!$C$82-'Ethylene Recycling LC'!$C$109)</f>
        <v>0.65540986949642077</v>
      </c>
      <c r="W110" s="60">
        <f>W24-('Ethylene Recycling LC'!V82+'Ethylene Recycling LC'!V109-'Ethylene Recycling LC'!$C$82-'Ethylene Recycling LC'!$C$109)</f>
        <v>0.66522368541789367</v>
      </c>
      <c r="X110" s="60">
        <f>X24-('Ethylene Recycling LC'!W82+'Ethylene Recycling LC'!W109-'Ethylene Recycling LC'!$C$82-'Ethylene Recycling LC'!$C$109)</f>
        <v>0.67478059017507408</v>
      </c>
      <c r="Y110" s="60">
        <f>Y24-('Ethylene Recycling LC'!X82+'Ethylene Recycling LC'!X109-'Ethylene Recycling LC'!$C$82-'Ethylene Recycling LC'!$C$109)</f>
        <v>0.68329855754416569</v>
      </c>
      <c r="Z110" s="60">
        <f>Z24-('Ethylene Recycling LC'!Y82+'Ethylene Recycling LC'!Y109-'Ethylene Recycling LC'!$C$82-'Ethylene Recycling LC'!$C$109)</f>
        <v>0.69123309383690124</v>
      </c>
      <c r="AA110" s="60">
        <f>AA24-('Ethylene Recycling LC'!Z82+'Ethylene Recycling LC'!Z109-'Ethylene Recycling LC'!$C$82-'Ethylene Recycling LC'!$C$109)</f>
        <v>0.69836566689823676</v>
      </c>
      <c r="AB110" s="60">
        <f>AB24-('Ethylene Recycling LC'!AA82+'Ethylene Recycling LC'!AA109-'Ethylene Recycling LC'!$C$82-'Ethylene Recycling LC'!$C$109)</f>
        <v>0.70474667808786928</v>
      </c>
      <c r="AC110" s="60">
        <f>AC24-('Ethylene Recycling LC'!AB82+'Ethylene Recycling LC'!AB109-'Ethylene Recycling LC'!$C$82-'Ethylene Recycling LC'!$C$109)</f>
        <v>0.71030982144332933</v>
      </c>
      <c r="AD110" s="60">
        <f>AD24-('Ethylene Recycling LC'!AC82+'Ethylene Recycling LC'!AC109-'Ethylene Recycling LC'!$C$82-'Ethylene Recycling LC'!$C$109)</f>
        <v>0.71498635520698417</v>
      </c>
      <c r="AE110" s="60">
        <f>AE24-('Ethylene Recycling LC'!AD82+'Ethylene Recycling LC'!AD109-'Ethylene Recycling LC'!$C$82-'Ethylene Recycling LC'!$C$109)</f>
        <v>0.71870644270290973</v>
      </c>
      <c r="AF110" s="60">
        <f>AF24-('Ethylene Recycling LC'!AE82+'Ethylene Recycling LC'!AE109-'Ethylene Recycling LC'!$C$82-'Ethylene Recycling LC'!$C$109)</f>
        <v>0.72139866023925425</v>
      </c>
      <c r="AG110" s="60">
        <f>AG24-('Ethylene Recycling LC'!AF82+'Ethylene Recycling LC'!AF109-'Ethylene Recycling LC'!$C$82-'Ethylene Recycling LC'!$C$109)</f>
        <v>0.72299003499951153</v>
      </c>
      <c r="AH110" s="60">
        <f>AH24-('Ethylene Recycling LC'!AG82+'Ethylene Recycling LC'!AG109-'Ethylene Recycling LC'!$C$82-'Ethylene Recycling LC'!$C$109)</f>
        <v>0.72340608577169196</v>
      </c>
      <c r="AI110" s="437"/>
      <c r="AJ110" s="437"/>
    </row>
    <row r="111" spans="1:36" s="68" customFormat="1">
      <c r="A111" s="759"/>
      <c r="B111" s="62" t="s">
        <v>266</v>
      </c>
      <c r="C111" s="283" t="s">
        <v>153</v>
      </c>
      <c r="D111" s="284">
        <f>D25-('Ethylene Recycling LC'!C83+'Ethylene Recycling LC'!C110-'Ethylene Recycling LC'!$C$83-'Ethylene Recycling LC'!$C$110)</f>
        <v>0</v>
      </c>
      <c r="E111" s="284">
        <f>E25-('Ethylene Recycling LC'!D83+'Ethylene Recycling LC'!D110-'Ethylene Recycling LC'!$C$83-'Ethylene Recycling LC'!$C$110)</f>
        <v>0</v>
      </c>
      <c r="F111" s="284">
        <f>F25-('Ethylene Recycling LC'!E83+'Ethylene Recycling LC'!E110-'Ethylene Recycling LC'!$C$83-'Ethylene Recycling LC'!$C$110)</f>
        <v>0</v>
      </c>
      <c r="G111" s="284">
        <f>G25-('Ethylene Recycling LC'!F83+'Ethylene Recycling LC'!F110-'Ethylene Recycling LC'!$C$83-'Ethylene Recycling LC'!$C$110)</f>
        <v>0</v>
      </c>
      <c r="H111" s="284">
        <f>H25-('Ethylene Recycling LC'!G83+'Ethylene Recycling LC'!G110-'Ethylene Recycling LC'!$C$83-'Ethylene Recycling LC'!$C$110)</f>
        <v>0</v>
      </c>
      <c r="I111" s="284">
        <f>I25-('Ethylene Recycling LC'!H83+'Ethylene Recycling LC'!H110-'Ethylene Recycling LC'!$C$83-'Ethylene Recycling LC'!$C$110)</f>
        <v>0</v>
      </c>
      <c r="J111" s="284">
        <f>J25-('Ethylene Recycling LC'!I83+'Ethylene Recycling LC'!I110-'Ethylene Recycling LC'!$C$83-'Ethylene Recycling LC'!$C$110)</f>
        <v>0</v>
      </c>
      <c r="K111" s="284">
        <f>K25-('Ethylene Recycling LC'!J83+'Ethylene Recycling LC'!J110-'Ethylene Recycling LC'!$C$83-'Ethylene Recycling LC'!$C$110)</f>
        <v>0</v>
      </c>
      <c r="L111" s="284">
        <f>L25-('Ethylene Recycling LC'!K83+'Ethylene Recycling LC'!K110-'Ethylene Recycling LC'!$C$83-'Ethylene Recycling LC'!$C$110)</f>
        <v>0</v>
      </c>
      <c r="M111" s="284">
        <f>M25-('Ethylene Recycling LC'!L83+'Ethylene Recycling LC'!L110-'Ethylene Recycling LC'!$C$83-'Ethylene Recycling LC'!$C$110)</f>
        <v>0</v>
      </c>
      <c r="N111" s="284">
        <f>N25-('Ethylene Recycling LC'!M83+'Ethylene Recycling LC'!M110-'Ethylene Recycling LC'!$C$83-'Ethylene Recycling LC'!$C$110)</f>
        <v>0</v>
      </c>
      <c r="O111" s="284">
        <f>O25-('Ethylene Recycling LC'!N83+'Ethylene Recycling LC'!N110-'Ethylene Recycling LC'!$C$83-'Ethylene Recycling LC'!$C$110)</f>
        <v>0</v>
      </c>
      <c r="P111" s="284">
        <f>P25-('Ethylene Recycling LC'!O83+'Ethylene Recycling LC'!O110-'Ethylene Recycling LC'!$C$83-'Ethylene Recycling LC'!$C$110)</f>
        <v>0</v>
      </c>
      <c r="Q111" s="284">
        <f>Q25-('Ethylene Recycling LC'!P83+'Ethylene Recycling LC'!P110-'Ethylene Recycling LC'!$C$83-'Ethylene Recycling LC'!$C$110)</f>
        <v>0</v>
      </c>
      <c r="R111" s="284">
        <f>R25-('Ethylene Recycling LC'!Q83+'Ethylene Recycling LC'!Q110-'Ethylene Recycling LC'!$C$83-'Ethylene Recycling LC'!$C$110)</f>
        <v>0</v>
      </c>
      <c r="S111" s="284">
        <f>S25-('Ethylene Recycling LC'!R83+'Ethylene Recycling LC'!R110-'Ethylene Recycling LC'!$C$83-'Ethylene Recycling LC'!$C$110)</f>
        <v>0</v>
      </c>
      <c r="T111" s="284">
        <f>T25-('Ethylene Recycling LC'!S83+'Ethylene Recycling LC'!S110-'Ethylene Recycling LC'!$C$83-'Ethylene Recycling LC'!$C$110)</f>
        <v>0</v>
      </c>
      <c r="U111" s="284">
        <f>U25-('Ethylene Recycling LC'!T83+'Ethylene Recycling LC'!T110-'Ethylene Recycling LC'!$C$83-'Ethylene Recycling LC'!$C$110)</f>
        <v>0</v>
      </c>
      <c r="V111" s="284">
        <f>V25-('Ethylene Recycling LC'!U83+'Ethylene Recycling LC'!U110-'Ethylene Recycling LC'!$C$83-'Ethylene Recycling LC'!$C$110)</f>
        <v>0</v>
      </c>
      <c r="W111" s="284">
        <f>W25-('Ethylene Recycling LC'!V83+'Ethylene Recycling LC'!V110-'Ethylene Recycling LC'!$C$83-'Ethylene Recycling LC'!$C$110)</f>
        <v>0</v>
      </c>
      <c r="X111" s="284">
        <f>X25-('Ethylene Recycling LC'!W83+'Ethylene Recycling LC'!W110-'Ethylene Recycling LC'!$C$83-'Ethylene Recycling LC'!$C$110)</f>
        <v>0</v>
      </c>
      <c r="Y111" s="284">
        <f>Y25-('Ethylene Recycling LC'!X83+'Ethylene Recycling LC'!X110-'Ethylene Recycling LC'!$C$83-'Ethylene Recycling LC'!$C$110)</f>
        <v>0</v>
      </c>
      <c r="Z111" s="284">
        <f>Z25-('Ethylene Recycling LC'!Y83+'Ethylene Recycling LC'!Y110-'Ethylene Recycling LC'!$C$83-'Ethylene Recycling LC'!$C$110)</f>
        <v>0</v>
      </c>
      <c r="AA111" s="284">
        <f>AA25-('Ethylene Recycling LC'!Z83+'Ethylene Recycling LC'!Z110-'Ethylene Recycling LC'!$C$83-'Ethylene Recycling LC'!$C$110)</f>
        <v>0</v>
      </c>
      <c r="AB111" s="284">
        <f>AB25-('Ethylene Recycling LC'!AA83+'Ethylene Recycling LC'!AA110-'Ethylene Recycling LC'!$C$83-'Ethylene Recycling LC'!$C$110)</f>
        <v>0</v>
      </c>
      <c r="AC111" s="284">
        <f>AC25-('Ethylene Recycling LC'!AB83+'Ethylene Recycling LC'!AB110-'Ethylene Recycling LC'!$C$83-'Ethylene Recycling LC'!$C$110)</f>
        <v>0</v>
      </c>
      <c r="AD111" s="284">
        <f>AD25-('Ethylene Recycling LC'!AC83+'Ethylene Recycling LC'!AC110-'Ethylene Recycling LC'!$C$83-'Ethylene Recycling LC'!$C$110)</f>
        <v>0</v>
      </c>
      <c r="AE111" s="284">
        <f>AE25-('Ethylene Recycling LC'!AD83+'Ethylene Recycling LC'!AD110-'Ethylene Recycling LC'!$C$83-'Ethylene Recycling LC'!$C$110)</f>
        <v>0</v>
      </c>
      <c r="AF111" s="284">
        <f>AF25-('Ethylene Recycling LC'!AE83+'Ethylene Recycling LC'!AE110-'Ethylene Recycling LC'!$C$83-'Ethylene Recycling LC'!$C$110)</f>
        <v>0</v>
      </c>
      <c r="AG111" s="284">
        <f>AG25-('Ethylene Recycling LC'!AF83+'Ethylene Recycling LC'!AF110-'Ethylene Recycling LC'!$C$83-'Ethylene Recycling LC'!$C$110)</f>
        <v>0</v>
      </c>
      <c r="AH111" s="284">
        <f>AH25-('Ethylene Recycling LC'!AG83+'Ethylene Recycling LC'!AG110-'Ethylene Recycling LC'!$C$83-'Ethylene Recycling LC'!$C$110)</f>
        <v>0</v>
      </c>
      <c r="AI111" s="437"/>
    </row>
    <row r="112" spans="1:36" s="67" customFormat="1">
      <c r="A112" s="58" t="s">
        <v>221</v>
      </c>
      <c r="B112" s="58" t="s">
        <v>197</v>
      </c>
      <c r="C112" s="100" t="s">
        <v>153</v>
      </c>
      <c r="D112" s="66">
        <f t="shared" ref="D112:AH112" si="34">D55</f>
        <v>3.4336211538461541</v>
      </c>
      <c r="E112" s="66">
        <f t="shared" si="34"/>
        <v>3.5057271980769231</v>
      </c>
      <c r="F112" s="66">
        <f t="shared" si="34"/>
        <v>3.5793474692365383</v>
      </c>
      <c r="G112" s="66">
        <f t="shared" si="34"/>
        <v>3.6545137660905054</v>
      </c>
      <c r="H112" s="66">
        <f t="shared" si="34"/>
        <v>3.7312585551784054</v>
      </c>
      <c r="I112" s="66">
        <f t="shared" si="34"/>
        <v>3.8096149848371517</v>
      </c>
      <c r="J112" s="66">
        <f t="shared" si="34"/>
        <v>3.8896168995187317</v>
      </c>
      <c r="K112" s="66">
        <f t="shared" si="34"/>
        <v>3.9712988544086247</v>
      </c>
      <c r="L112" s="66">
        <f t="shared" si="34"/>
        <v>4.0546961303512052</v>
      </c>
      <c r="M112" s="66">
        <f t="shared" si="34"/>
        <v>4.1398447490885806</v>
      </c>
      <c r="N112" s="66">
        <f t="shared" si="34"/>
        <v>4.2267814888194408</v>
      </c>
      <c r="O112" s="66">
        <f t="shared" si="34"/>
        <v>4.3155439000846485</v>
      </c>
      <c r="P112" s="66">
        <f t="shared" si="34"/>
        <v>4.4061703219864254</v>
      </c>
      <c r="Q112" s="66">
        <f t="shared" si="34"/>
        <v>4.4986998987481401</v>
      </c>
      <c r="R112" s="66">
        <f t="shared" si="34"/>
        <v>4.5931725966218506</v>
      </c>
      <c r="S112" s="66">
        <f t="shared" si="34"/>
        <v>4.6896292211509092</v>
      </c>
      <c r="T112" s="66">
        <f t="shared" si="34"/>
        <v>4.7881114347950779</v>
      </c>
      <c r="U112" s="66">
        <f t="shared" si="34"/>
        <v>4.8886617749257741</v>
      </c>
      <c r="V112" s="66">
        <f t="shared" si="34"/>
        <v>4.9913236721992149</v>
      </c>
      <c r="W112" s="66">
        <f t="shared" si="34"/>
        <v>5.0961414693153984</v>
      </c>
      <c r="X112" s="66">
        <f t="shared" si="34"/>
        <v>5.203160440171021</v>
      </c>
      <c r="Y112" s="66">
        <f t="shared" si="34"/>
        <v>5.3124268094146121</v>
      </c>
      <c r="Z112" s="66">
        <f t="shared" si="34"/>
        <v>5.4239877724123184</v>
      </c>
      <c r="AA112" s="66">
        <f t="shared" si="34"/>
        <v>5.5378915156329764</v>
      </c>
      <c r="AB112" s="66">
        <f t="shared" si="34"/>
        <v>5.6541872374612687</v>
      </c>
      <c r="AC112" s="66">
        <f t="shared" si="34"/>
        <v>5.7729251694479551</v>
      </c>
      <c r="AD112" s="66">
        <f t="shared" si="34"/>
        <v>5.8941565980063615</v>
      </c>
      <c r="AE112" s="66">
        <f t="shared" si="34"/>
        <v>6.0179338865644949</v>
      </c>
      <c r="AF112" s="66">
        <f t="shared" si="34"/>
        <v>6.1443104981823486</v>
      </c>
      <c r="AG112" s="66">
        <f t="shared" si="34"/>
        <v>6.2733410186441771</v>
      </c>
      <c r="AH112" s="66">
        <f t="shared" si="34"/>
        <v>6.4050811800357046</v>
      </c>
    </row>
    <row r="113" spans="1:36" outlineLevel="1">
      <c r="A113"/>
      <c r="B113" t="s">
        <v>217</v>
      </c>
      <c r="C113" s="54" t="s">
        <v>153</v>
      </c>
      <c r="D113" s="44">
        <f>'Ethylene Recycling LC'!C138-'Ethylene Recycling LC'!$C$138</f>
        <v>0</v>
      </c>
      <c r="E113" s="44">
        <f>'Ethylene Recycling LC'!D138-'Ethylene Recycling LC'!$C$138</f>
        <v>7.8735500055456265E-3</v>
      </c>
      <c r="F113" s="44">
        <f>'Ethylene Recycling LC'!E138-'Ethylene Recycling LC'!$C$138</f>
        <v>1.6584062272038562E-2</v>
      </c>
      <c r="G113" s="44">
        <f>'Ethylene Recycling LC'!F138-'Ethylene Recycling LC'!$C$138</f>
        <v>2.6126643423037534E-2</v>
      </c>
      <c r="H113" s="44">
        <f>'Ethylene Recycling LC'!G138-'Ethylene Recycling LC'!$C$138</f>
        <v>3.6485602894558683E-2</v>
      </c>
      <c r="I113" s="44">
        <f>'Ethylene Recycling LC'!H138-'Ethylene Recycling LC'!$C$138</f>
        <v>4.7634030062421728E-2</v>
      </c>
      <c r="J113" s="44">
        <f>'Ethylene Recycling LC'!I138-'Ethylene Recycling LC'!$C$138</f>
        <v>5.9727959800064026E-2</v>
      </c>
      <c r="K113" s="44">
        <f>'Ethylene Recycling LC'!J138-'Ethylene Recycling LC'!$C$138</f>
        <v>7.2800254243920323E-2</v>
      </c>
      <c r="L113" s="44">
        <f>'Ethylene Recycling LC'!K138-'Ethylene Recycling LC'!$C$138</f>
        <v>8.6882944564129788E-2</v>
      </c>
      <c r="M113" s="44">
        <f>'Ethylene Recycling LC'!L138-'Ethylene Recycling LC'!$C$138</f>
        <v>0.10200710300100906</v>
      </c>
      <c r="N113" s="44">
        <f>'Ethylene Recycling LC'!M138-'Ethylene Recycling LC'!$C$138</f>
        <v>0.11820271324272878</v>
      </c>
      <c r="O113" s="44">
        <f>'Ethylene Recycling LC'!N138-'Ethylene Recycling LC'!$C$138</f>
        <v>0.14061502429974754</v>
      </c>
      <c r="P113" s="44">
        <f>'Ethylene Recycling LC'!O138-'Ethylene Recycling LC'!$C$138</f>
        <v>0.16465669512586345</v>
      </c>
      <c r="Q113" s="44">
        <f>'Ethylene Recycling LC'!P138-'Ethylene Recycling LC'!$C$138</f>
        <v>0.19026776549204288</v>
      </c>
      <c r="R113" s="44">
        <f>'Ethylene Recycling LC'!Q138-'Ethylene Recycling LC'!$C$138</f>
        <v>0.21737001958913765</v>
      </c>
      <c r="S113" s="44">
        <f>'Ethylene Recycling LC'!R138-'Ethylene Recycling LC'!$C$138</f>
        <v>0.24586705267560927</v>
      </c>
      <c r="T113" s="44">
        <f>'Ethylene Recycling LC'!S138-'Ethylene Recycling LC'!$C$138</f>
        <v>0.27619629546619306</v>
      </c>
      <c r="U113" s="44">
        <f>'Ethylene Recycling LC'!T138-'Ethylene Recycling LC'!$C$138</f>
        <v>0.30839792424140122</v>
      </c>
      <c r="V113" s="44">
        <f>'Ethylene Recycling LC'!U138-'Ethylene Recycling LC'!$C$138</f>
        <v>0.34251185883239327</v>
      </c>
      <c r="W113" s="44">
        <f>'Ethylene Recycling LC'!V138-'Ethylene Recycling LC'!$C$138</f>
        <v>0.37857772836662729</v>
      </c>
      <c r="X113" s="44">
        <f>'Ethylene Recycling LC'!W138-'Ethylene Recycling LC'!$C$138</f>
        <v>0.4166348366281476</v>
      </c>
      <c r="Y113" s="44">
        <f>'Ethylene Recycling LC'!X138-'Ethylene Recycling LC'!$C$138</f>
        <v>0.46896626361236077</v>
      </c>
      <c r="Z113" s="44">
        <f>'Ethylene Recycling LC'!Y138-'Ethylene Recycling LC'!$C$138</f>
        <v>0.5245347708100514</v>
      </c>
      <c r="AA113" s="44">
        <f>'Ethylene Recycling LC'!Z138-'Ethylene Recycling LC'!$C$138</f>
        <v>0.58340733968551706</v>
      </c>
      <c r="AB113" s="44">
        <f>'Ethylene Recycling LC'!AA138-'Ethylene Recycling LC'!$C$138</f>
        <v>0.64565051919951144</v>
      </c>
      <c r="AC113" s="44">
        <f>'Ethylene Recycling LC'!AB138-'Ethylene Recycling LC'!$C$138</f>
        <v>0.71133037398067833</v>
      </c>
      <c r="AD113" s="44">
        <f>'Ethylene Recycling LC'!AC138-'Ethylene Recycling LC'!$C$138</f>
        <v>0.780520100199529</v>
      </c>
      <c r="AE113" s="44">
        <f>'Ethylene Recycling LC'!AD138-'Ethylene Recycling LC'!$C$138</f>
        <v>0.85328671093338215</v>
      </c>
      <c r="AF113" s="44">
        <f>'Ethylene Recycling LC'!AE138-'Ethylene Recycling LC'!$C$138</f>
        <v>0.92969678659651267</v>
      </c>
      <c r="AG113" s="44">
        <f>'Ethylene Recycling LC'!AF138-'Ethylene Recycling LC'!$C$138</f>
        <v>1.0098164278286015</v>
      </c>
      <c r="AH113" s="44">
        <f>'Ethylene Recycling LC'!AG138-'Ethylene Recycling LC'!$C$138</f>
        <v>1.0937112079346412</v>
      </c>
    </row>
    <row r="114" spans="1:36" outlineLevel="1">
      <c r="A114"/>
      <c r="B114" t="s">
        <v>222</v>
      </c>
      <c r="C114" s="54" t="s">
        <v>153</v>
      </c>
      <c r="D114" s="44">
        <f>'Ethylene Recycling LC'!C73-'Ethylene Recycling LC'!$C$73</f>
        <v>0</v>
      </c>
      <c r="E114" s="44">
        <f>'Ethylene Recycling LC'!D73-'Ethylene Recycling LC'!$C$73</f>
        <v>5.6530580989280876E-2</v>
      </c>
      <c r="F114" s="44">
        <f>'Ethylene Recycling LC'!E73-'Ethylene Recycling LC'!$C$73</f>
        <v>0.11028193257368635</v>
      </c>
      <c r="G114" s="44">
        <f>'Ethylene Recycling LC'!F73-'Ethylene Recycling LC'!$C$73</f>
        <v>0.16076526473714314</v>
      </c>
      <c r="H114" s="44">
        <f>'Ethylene Recycling LC'!G73-'Ethylene Recycling LC'!$C$73</f>
        <v>0.20751123841061103</v>
      </c>
      <c r="I114" s="44">
        <f>'Ethylene Recycling LC'!H73-'Ethylene Recycling LC'!$C$73</f>
        <v>0.25007683013156434</v>
      </c>
      <c r="J114" s="44">
        <f>'Ethylene Recycling LC'!I73-'Ethylene Recycling LC'!$C$73</f>
        <v>0.29127393600125884</v>
      </c>
      <c r="K114" s="44">
        <f>'Ethylene Recycling LC'!J73-'Ethylene Recycling LC'!$C$73</f>
        <v>0.33096295967401468</v>
      </c>
      <c r="L114" s="44">
        <f>'Ethylene Recycling LC'!K73-'Ethylene Recycling LC'!$C$73</f>
        <v>0.36900379818863804</v>
      </c>
      <c r="M114" s="44">
        <f>'Ethylene Recycling LC'!L73-'Ethylene Recycling LC'!$C$73</f>
        <v>0.4052562452188464</v>
      </c>
      <c r="N114" s="44">
        <f>'Ethylene Recycling LC'!M73-'Ethylene Recycling LC'!$C$73</f>
        <v>0.43958040610214666</v>
      </c>
      <c r="O114" s="44">
        <f>'Ethylene Recycling LC'!N73-'Ethylene Recycling LC'!$C$73</f>
        <v>0.52428648873365424</v>
      </c>
      <c r="P114" s="44">
        <f>'Ethylene Recycling LC'!O73-'Ethylene Recycling LC'!$C$73</f>
        <v>0.60317923228613246</v>
      </c>
      <c r="Q114" s="44">
        <f>'Ethylene Recycling LC'!P73-'Ethylene Recycling LC'!$C$73</f>
        <v>0.67564310018922669</v>
      </c>
      <c r="R114" s="44">
        <f>'Ethylene Recycling LC'!Q73-'Ethylene Recycling LC'!$C$73</f>
        <v>0.74111072038766612</v>
      </c>
      <c r="S114" s="44">
        <f>'Ethylene Recycling LC'!R73-'Ethylene Recycling LC'!$C$73</f>
        <v>0.79906978217700497</v>
      </c>
      <c r="T114" s="44">
        <f>'Ethylene Recycling LC'!S73-'Ethylene Recycling LC'!$C$73</f>
        <v>0.85277074600912628</v>
      </c>
      <c r="U114" s="44">
        <f>'Ethylene Recycling LC'!T73-'Ethylene Recycling LC'!$C$73</f>
        <v>0.90208331797967767</v>
      </c>
      <c r="V114" s="44">
        <f>'Ethylene Recycling LC'!U73-'Ethylene Recycling LC'!$C$73</f>
        <v>0.94687824260202302</v>
      </c>
      <c r="W114" s="44">
        <f>'Ethylene Recycling LC'!V73-'Ethylene Recycling LC'!$C$73</f>
        <v>0.98702742030116064</v>
      </c>
      <c r="X114" s="44">
        <f>'Ethylene Recycling LC'!W73-'Ethylene Recycling LC'!$C$73</f>
        <v>1.0224040254905626</v>
      </c>
      <c r="Y114" s="44">
        <f>'Ethylene Recycling LC'!X73-'Ethylene Recycling LC'!$C$73</f>
        <v>1.1010667301086914</v>
      </c>
      <c r="Z114" s="44">
        <f>'Ethylene Recycling LC'!Y73-'Ethylene Recycling LC'!$C$73</f>
        <v>1.1724439501351454</v>
      </c>
      <c r="AA114" s="44">
        <f>'Ethylene Recycling LC'!Z73-'Ethylene Recycling LC'!$C$73</f>
        <v>1.2363385948121681</v>
      </c>
      <c r="AB114" s="44">
        <f>'Ethylene Recycling LC'!AA73-'Ethylene Recycling LC'!$C$73</f>
        <v>1.2925554750880395</v>
      </c>
      <c r="AC114" s="44">
        <f>'Ethylene Recycling LC'!AB73-'Ethylene Recycling LC'!$C$73</f>
        <v>1.3409014700840036</v>
      </c>
      <c r="AD114" s="44">
        <f>'Ethylene Recycling LC'!AC73-'Ethylene Recycling LC'!$C$73</f>
        <v>1.381210147958664</v>
      </c>
      <c r="AE114" s="44">
        <f>'Ethylene Recycling LC'!AD73-'Ethylene Recycling LC'!$C$73</f>
        <v>1.4132939672749749</v>
      </c>
      <c r="AF114" s="44">
        <f>'Ethylene Recycling LC'!AE73-'Ethylene Recycling LC'!$C$73</f>
        <v>1.4369674796614087</v>
      </c>
      <c r="AG114" s="44">
        <f>'Ethylene Recycling LC'!AF73-'Ethylene Recycling LC'!$C$73</f>
        <v>1.4520474788117548</v>
      </c>
      <c r="AH114" s="44">
        <f>'Ethylene Recycling LC'!AG73-'Ethylene Recycling LC'!$C$73</f>
        <v>1.4583531496738493</v>
      </c>
    </row>
    <row r="115" spans="1:36" s="68" customFormat="1">
      <c r="A115" s="62"/>
      <c r="B115" s="62" t="s">
        <v>219</v>
      </c>
      <c r="C115" s="63" t="s">
        <v>153</v>
      </c>
      <c r="D115" s="64">
        <f>D112-D113-IF(D114&lt;0,0,D114)</f>
        <v>3.4336211538461541</v>
      </c>
      <c r="E115" s="64">
        <f t="shared" ref="E115:AG115" si="35">E112-E113-IF(E114&lt;0,0,E114)</f>
        <v>3.4413230670820969</v>
      </c>
      <c r="F115" s="64">
        <f t="shared" si="35"/>
        <v>3.4524814743908134</v>
      </c>
      <c r="G115" s="64">
        <f t="shared" si="35"/>
        <v>3.4676218579303244</v>
      </c>
      <c r="H115" s="64">
        <f t="shared" si="35"/>
        <v>3.4872617138732358</v>
      </c>
      <c r="I115" s="64">
        <f t="shared" si="35"/>
        <v>3.5119041246431655</v>
      </c>
      <c r="J115" s="64">
        <f t="shared" si="35"/>
        <v>3.5386150037174087</v>
      </c>
      <c r="K115" s="64">
        <f t="shared" si="35"/>
        <v>3.5675356404906902</v>
      </c>
      <c r="L115" s="64">
        <f t="shared" si="35"/>
        <v>3.5988093875984375</v>
      </c>
      <c r="M115" s="64">
        <f t="shared" si="35"/>
        <v>3.6325814008687249</v>
      </c>
      <c r="N115" s="64">
        <f t="shared" si="35"/>
        <v>3.6689983694745649</v>
      </c>
      <c r="O115" s="64">
        <f t="shared" si="35"/>
        <v>3.6506423870512466</v>
      </c>
      <c r="P115" s="64">
        <f t="shared" si="35"/>
        <v>3.6383343945744295</v>
      </c>
      <c r="Q115" s="64">
        <f t="shared" si="35"/>
        <v>3.6327890330668708</v>
      </c>
      <c r="R115" s="64">
        <f t="shared" si="35"/>
        <v>3.6346918566450475</v>
      </c>
      <c r="S115" s="64">
        <f t="shared" si="35"/>
        <v>3.6446923862982947</v>
      </c>
      <c r="T115" s="64">
        <f t="shared" si="35"/>
        <v>3.6591443933197585</v>
      </c>
      <c r="U115" s="64">
        <f t="shared" si="35"/>
        <v>3.6781805327046957</v>
      </c>
      <c r="V115" s="64">
        <f t="shared" si="35"/>
        <v>3.7019335707647985</v>
      </c>
      <c r="W115" s="64">
        <f t="shared" si="35"/>
        <v>3.7305363206476105</v>
      </c>
      <c r="X115" s="64">
        <f t="shared" si="35"/>
        <v>3.7641215780523112</v>
      </c>
      <c r="Y115" s="64">
        <f t="shared" si="35"/>
        <v>3.7423938156935606</v>
      </c>
      <c r="Z115" s="64">
        <f t="shared" si="35"/>
        <v>3.7270090514671219</v>
      </c>
      <c r="AA115" s="64">
        <f t="shared" si="35"/>
        <v>3.7181455811352908</v>
      </c>
      <c r="AB115" s="64">
        <f t="shared" si="35"/>
        <v>3.7159812431737178</v>
      </c>
      <c r="AC115" s="64">
        <f t="shared" si="35"/>
        <v>3.720693325383273</v>
      </c>
      <c r="AD115" s="64">
        <f t="shared" si="35"/>
        <v>3.7324263498481685</v>
      </c>
      <c r="AE115" s="64">
        <f t="shared" si="35"/>
        <v>3.7513532083561376</v>
      </c>
      <c r="AF115" s="64">
        <f t="shared" si="35"/>
        <v>3.7776462319244271</v>
      </c>
      <c r="AG115" s="64">
        <f t="shared" si="35"/>
        <v>3.8114771120038204</v>
      </c>
      <c r="AH115" s="64">
        <f>AH112-AH113-AH114</f>
        <v>3.8530168224272145</v>
      </c>
      <c r="AJ115" s="68" t="s">
        <v>384</v>
      </c>
    </row>
    <row r="116" spans="1:36" s="67" customFormat="1">
      <c r="A116" s="755" t="s">
        <v>257</v>
      </c>
      <c r="B116" s="58" t="s">
        <v>258</v>
      </c>
      <c r="C116" s="59" t="s">
        <v>153</v>
      </c>
      <c r="D116" s="60">
        <f>D56-('Ethylene Recycling LC'!C74+'Ethylene Recycling LC'!C139-'Ethylene Recycling LC'!$C$74-'Ethylene Recycling LC'!$C$139)</f>
        <v>0</v>
      </c>
      <c r="E116" s="60">
        <f>E56-('Ethylene Recycling LC'!D74+'Ethylene Recycling LC'!D139-'Ethylene Recycling LC'!$C$74-'Ethylene Recycling LC'!$C$139)</f>
        <v>0</v>
      </c>
      <c r="F116" s="60">
        <f>F56-('Ethylene Recycling LC'!E74+'Ethylene Recycling LC'!E139-'Ethylene Recycling LC'!$C$74-'Ethylene Recycling LC'!$C$139)</f>
        <v>0</v>
      </c>
      <c r="G116" s="60">
        <f>G56-('Ethylene Recycling LC'!F74+'Ethylene Recycling LC'!F139-'Ethylene Recycling LC'!$C$74-'Ethylene Recycling LC'!$C$139)</f>
        <v>0</v>
      </c>
      <c r="H116" s="60">
        <f>H56-('Ethylene Recycling LC'!G74+'Ethylene Recycling LC'!G139-'Ethylene Recycling LC'!$C$74-'Ethylene Recycling LC'!$C$139)</f>
        <v>0</v>
      </c>
      <c r="I116" s="60">
        <f>I56-('Ethylene Recycling LC'!H74+'Ethylene Recycling LC'!H139-'Ethylene Recycling LC'!$C$74-'Ethylene Recycling LC'!$C$139)</f>
        <v>0</v>
      </c>
      <c r="J116" s="60">
        <f>J56-('Ethylene Recycling LC'!I74+'Ethylene Recycling LC'!I139-'Ethylene Recycling LC'!$C$74-'Ethylene Recycling LC'!$C$139)</f>
        <v>0</v>
      </c>
      <c r="K116" s="60">
        <f>K56-('Ethylene Recycling LC'!J74+'Ethylene Recycling LC'!J139-'Ethylene Recycling LC'!$C$74-'Ethylene Recycling LC'!$C$139)</f>
        <v>0</v>
      </c>
      <c r="L116" s="60">
        <f>L56-('Ethylene Recycling LC'!K74+'Ethylene Recycling LC'!K139-'Ethylene Recycling LC'!$C$74-'Ethylene Recycling LC'!$C$139)</f>
        <v>0</v>
      </c>
      <c r="M116" s="60">
        <f>M56-('Ethylene Recycling LC'!L74+'Ethylene Recycling LC'!L139-'Ethylene Recycling LC'!$C$74-'Ethylene Recycling LC'!$C$139)</f>
        <v>0</v>
      </c>
      <c r="N116" s="60">
        <f>N56-('Ethylene Recycling LC'!M74+'Ethylene Recycling LC'!M139-'Ethylene Recycling LC'!$C$74-'Ethylene Recycling LC'!$C$139)</f>
        <v>0</v>
      </c>
      <c r="O116" s="60">
        <f>O56-('Ethylene Recycling LC'!N74+'Ethylene Recycling LC'!N139-'Ethylene Recycling LC'!$C$74-'Ethylene Recycling LC'!$C$139)</f>
        <v>0</v>
      </c>
      <c r="P116" s="60">
        <f>P56-('Ethylene Recycling LC'!O74+'Ethylene Recycling LC'!O139-'Ethylene Recycling LC'!$C$74-'Ethylene Recycling LC'!$C$139)</f>
        <v>0</v>
      </c>
      <c r="Q116" s="60">
        <f>Q56-('Ethylene Recycling LC'!P74+'Ethylene Recycling LC'!P139-'Ethylene Recycling LC'!$C$74-'Ethylene Recycling LC'!$C$139)</f>
        <v>0</v>
      </c>
      <c r="R116" s="60">
        <f>R56-('Ethylene Recycling LC'!Q74+'Ethylene Recycling LC'!Q139-'Ethylene Recycling LC'!$C$74-'Ethylene Recycling LC'!$C$139)</f>
        <v>0</v>
      </c>
      <c r="S116" s="60">
        <f>S56-('Ethylene Recycling LC'!R74+'Ethylene Recycling LC'!R139-'Ethylene Recycling LC'!$C$74-'Ethylene Recycling LC'!$C$139)</f>
        <v>0</v>
      </c>
      <c r="T116" s="60">
        <f>T56-('Ethylene Recycling LC'!S74+'Ethylene Recycling LC'!S139-'Ethylene Recycling LC'!$C$74-'Ethylene Recycling LC'!$C$139)</f>
        <v>0</v>
      </c>
      <c r="U116" s="60">
        <f>U56-('Ethylene Recycling LC'!T74+'Ethylene Recycling LC'!T139-'Ethylene Recycling LC'!$C$74-'Ethylene Recycling LC'!$C$139)</f>
        <v>0</v>
      </c>
      <c r="V116" s="60">
        <f>V56-('Ethylene Recycling LC'!U74+'Ethylene Recycling LC'!U139-'Ethylene Recycling LC'!$C$74-'Ethylene Recycling LC'!$C$139)</f>
        <v>0</v>
      </c>
      <c r="W116" s="60">
        <f>W56-('Ethylene Recycling LC'!V74+'Ethylene Recycling LC'!V139-'Ethylene Recycling LC'!$C$74-'Ethylene Recycling LC'!$C$139)</f>
        <v>0</v>
      </c>
      <c r="X116" s="60">
        <f>X56-('Ethylene Recycling LC'!W74+'Ethylene Recycling LC'!W139-'Ethylene Recycling LC'!$C$74-'Ethylene Recycling LC'!$C$139)</f>
        <v>0</v>
      </c>
      <c r="Y116" s="60">
        <f>Y56-('Ethylene Recycling LC'!X74+'Ethylene Recycling LC'!X139-'Ethylene Recycling LC'!$C$74-'Ethylene Recycling LC'!$C$139)</f>
        <v>0</v>
      </c>
      <c r="Z116" s="60">
        <f>Z56-('Ethylene Recycling LC'!Y74+'Ethylene Recycling LC'!Y139-'Ethylene Recycling LC'!$C$74-'Ethylene Recycling LC'!$C$139)</f>
        <v>0</v>
      </c>
      <c r="AA116" s="60">
        <f>AA56-('Ethylene Recycling LC'!Z74+'Ethylene Recycling LC'!Z139-'Ethylene Recycling LC'!$C$74-'Ethylene Recycling LC'!$C$139)</f>
        <v>0</v>
      </c>
      <c r="AB116" s="60">
        <f>AB56-('Ethylene Recycling LC'!AA74+'Ethylene Recycling LC'!AA139-'Ethylene Recycling LC'!$C$74-'Ethylene Recycling LC'!$C$139)</f>
        <v>0</v>
      </c>
      <c r="AC116" s="60">
        <f>AC56-('Ethylene Recycling LC'!AB74+'Ethylene Recycling LC'!AB139-'Ethylene Recycling LC'!$C$74-'Ethylene Recycling LC'!$C$139)</f>
        <v>0</v>
      </c>
      <c r="AD116" s="60">
        <f>AD56-('Ethylene Recycling LC'!AC74+'Ethylene Recycling LC'!AC139-'Ethylene Recycling LC'!$C$74-'Ethylene Recycling LC'!$C$139)</f>
        <v>0</v>
      </c>
      <c r="AE116" s="60">
        <f>AE56-('Ethylene Recycling LC'!AD74+'Ethylene Recycling LC'!AD139-'Ethylene Recycling LC'!$C$74-'Ethylene Recycling LC'!$C$139)</f>
        <v>0</v>
      </c>
      <c r="AF116" s="60">
        <f>AF56-('Ethylene Recycling LC'!AE74+'Ethylene Recycling LC'!AE139-'Ethylene Recycling LC'!$C$74-'Ethylene Recycling LC'!$C$139)</f>
        <v>0</v>
      </c>
      <c r="AG116" s="60">
        <f>AG56-('Ethylene Recycling LC'!AF74+'Ethylene Recycling LC'!AF139-'Ethylene Recycling LC'!$C$74-'Ethylene Recycling LC'!$C$139)</f>
        <v>0</v>
      </c>
      <c r="AH116" s="60">
        <f>AH56-('Ethylene Recycling LC'!AG74+'Ethylene Recycling LC'!AG139-'Ethylene Recycling LC'!$C$74-'Ethylene Recycling LC'!$C$139)</f>
        <v>0</v>
      </c>
      <c r="AI116" s="60"/>
    </row>
    <row r="117" spans="1:36">
      <c r="A117" s="756"/>
      <c r="B117" s="1" t="s">
        <v>260</v>
      </c>
      <c r="C117" s="54" t="s">
        <v>153</v>
      </c>
      <c r="D117" s="44">
        <f>D57+(D121-D61)</f>
        <v>3.4336211538461541</v>
      </c>
      <c r="E117" s="44">
        <f t="shared" ref="E117:AH117" si="36">E57+(E121-E61)</f>
        <v>3.4424481628498906</v>
      </c>
      <c r="F117" s="44">
        <f t="shared" si="36"/>
        <v>3.4548512641631479</v>
      </c>
      <c r="G117" s="44">
        <f t="shared" si="36"/>
        <v>3.4713552407019108</v>
      </c>
      <c r="H117" s="44">
        <f t="shared" si="36"/>
        <v>3.4924753465260001</v>
      </c>
      <c r="I117" s="44">
        <f t="shared" si="36"/>
        <v>3.5187108186488509</v>
      </c>
      <c r="J117" s="44">
        <f t="shared" si="36"/>
        <v>3.5471498672469099</v>
      </c>
      <c r="K117" s="44">
        <f t="shared" si="36"/>
        <v>3.5779384775700862</v>
      </c>
      <c r="L117" s="44">
        <f t="shared" si="36"/>
        <v>3.6112245793675566</v>
      </c>
      <c r="M117" s="44">
        <f t="shared" si="36"/>
        <v>3.6471577685542726</v>
      </c>
      <c r="N117" s="44">
        <f t="shared" si="36"/>
        <v>3.6858890188407996</v>
      </c>
      <c r="O117" s="44">
        <f t="shared" si="36"/>
        <v>3.6707356573824805</v>
      </c>
      <c r="P117" s="44">
        <f t="shared" si="36"/>
        <v>3.6618631142364118</v>
      </c>
      <c r="Q117" s="44">
        <f t="shared" si="36"/>
        <v>3.6599774623715646</v>
      </c>
      <c r="R117" s="44">
        <f t="shared" si="36"/>
        <v>3.6657530792082902</v>
      </c>
      <c r="S117" s="44">
        <f t="shared" si="36"/>
        <v>3.6798257099211229</v>
      </c>
      <c r="T117" s="44">
        <f t="shared" si="36"/>
        <v>3.6986116327340728</v>
      </c>
      <c r="U117" s="44">
        <f t="shared" si="36"/>
        <v>3.7222492436566954</v>
      </c>
      <c r="V117" s="44">
        <f t="shared" si="36"/>
        <v>3.7508770133694966</v>
      </c>
      <c r="W117" s="44">
        <f t="shared" si="36"/>
        <v>3.7846334178485455</v>
      </c>
      <c r="X117" s="44">
        <f t="shared" si="36"/>
        <v>3.8236568691314021</v>
      </c>
      <c r="Y117" s="44">
        <f t="shared" si="36"/>
        <v>3.8094070381988949</v>
      </c>
      <c r="Z117" s="44">
        <f t="shared" si="36"/>
        <v>3.8019627699655887</v>
      </c>
      <c r="AA117" s="44">
        <f t="shared" si="36"/>
        <v>3.8015119315512926</v>
      </c>
      <c r="AB117" s="44">
        <f t="shared" si="36"/>
        <v>3.8082418709863095</v>
      </c>
      <c r="AC117" s="44">
        <f t="shared" si="36"/>
        <v>3.8223393164172306</v>
      </c>
      <c r="AD117" s="44">
        <f t="shared" si="36"/>
        <v>3.8439592493400427</v>
      </c>
      <c r="AE117" s="44">
        <f t="shared" si="36"/>
        <v>3.8732841374173574</v>
      </c>
      <c r="AF117" s="44">
        <f t="shared" si="36"/>
        <v>3.9104958257156444</v>
      </c>
      <c r="AG117" s="44">
        <f t="shared" si="36"/>
        <v>3.9557754511772245</v>
      </c>
      <c r="AH117" s="44">
        <f t="shared" si="36"/>
        <v>4.0093033577727191</v>
      </c>
      <c r="AI117" s="44"/>
    </row>
    <row r="118" spans="1:36">
      <c r="A118" s="756"/>
      <c r="B118" s="1" t="s">
        <v>262</v>
      </c>
      <c r="C118" s="54" t="s">
        <v>153</v>
      </c>
      <c r="D118" s="44">
        <f>D58+(D120-D60)</f>
        <v>0</v>
      </c>
      <c r="E118" s="44">
        <f t="shared" ref="E118:AH118" si="37">E58+(E120-E60)</f>
        <v>0</v>
      </c>
      <c r="F118" s="44">
        <f t="shared" si="37"/>
        <v>0</v>
      </c>
      <c r="G118" s="44">
        <f t="shared" si="37"/>
        <v>0</v>
      </c>
      <c r="H118" s="44">
        <f t="shared" si="37"/>
        <v>0</v>
      </c>
      <c r="I118" s="44">
        <f t="shared" si="37"/>
        <v>0</v>
      </c>
      <c r="J118" s="44">
        <f t="shared" si="37"/>
        <v>0</v>
      </c>
      <c r="K118" s="44">
        <f t="shared" si="37"/>
        <v>0</v>
      </c>
      <c r="L118" s="44">
        <f t="shared" si="37"/>
        <v>0</v>
      </c>
      <c r="M118" s="44">
        <f t="shared" si="37"/>
        <v>0</v>
      </c>
      <c r="N118" s="44">
        <f t="shared" si="37"/>
        <v>0</v>
      </c>
      <c r="O118" s="44">
        <f t="shared" si="37"/>
        <v>0</v>
      </c>
      <c r="P118" s="44">
        <f t="shared" si="37"/>
        <v>0</v>
      </c>
      <c r="Q118" s="44">
        <f t="shared" si="37"/>
        <v>0</v>
      </c>
      <c r="R118" s="44">
        <f t="shared" si="37"/>
        <v>0</v>
      </c>
      <c r="S118" s="44">
        <f t="shared" si="37"/>
        <v>0</v>
      </c>
      <c r="T118" s="44">
        <f t="shared" si="37"/>
        <v>0</v>
      </c>
      <c r="U118" s="44">
        <f t="shared" si="37"/>
        <v>0</v>
      </c>
      <c r="V118" s="44">
        <f t="shared" si="37"/>
        <v>0</v>
      </c>
      <c r="W118" s="44">
        <f t="shared" si="37"/>
        <v>0</v>
      </c>
      <c r="X118" s="44">
        <f t="shared" si="37"/>
        <v>0</v>
      </c>
      <c r="Y118" s="44">
        <f t="shared" si="37"/>
        <v>0</v>
      </c>
      <c r="Z118" s="44">
        <f t="shared" si="37"/>
        <v>0</v>
      </c>
      <c r="AA118" s="44">
        <f t="shared" si="37"/>
        <v>0</v>
      </c>
      <c r="AB118" s="44">
        <f t="shared" si="37"/>
        <v>0</v>
      </c>
      <c r="AC118" s="44">
        <f t="shared" si="37"/>
        <v>0</v>
      </c>
      <c r="AD118" s="44">
        <f t="shared" si="37"/>
        <v>0</v>
      </c>
      <c r="AE118" s="44">
        <f t="shared" si="37"/>
        <v>0</v>
      </c>
      <c r="AF118" s="44">
        <f t="shared" si="37"/>
        <v>0</v>
      </c>
      <c r="AG118" s="44">
        <f t="shared" si="37"/>
        <v>0</v>
      </c>
      <c r="AH118" s="44">
        <f t="shared" si="37"/>
        <v>0</v>
      </c>
      <c r="AI118" s="44"/>
    </row>
    <row r="119" spans="1:36">
      <c r="A119" s="757"/>
      <c r="B119" s="1" t="s">
        <v>248</v>
      </c>
      <c r="C119" s="54" t="s">
        <v>153</v>
      </c>
      <c r="D119" s="44">
        <f>D59-('Ethylene Recycling LC'!C75+'Ethylene Recycling LC'!C78-'Ethylene Recycling LC'!$C$75-'Ethylene Recycling LC'!$C$78+'Ethylene Recycling LC'!C140+'Ethylene Recycling LC'!C143-'Ethylene Recycling LC'!$C$140-'Ethylene Recycling LC'!$C$143)</f>
        <v>0</v>
      </c>
      <c r="E119" s="44">
        <f>E59-('Ethylene Recycling LC'!D75+'Ethylene Recycling LC'!D78-'Ethylene Recycling LC'!$C$75-'Ethylene Recycling LC'!$C$78+'Ethylene Recycling LC'!D140+'Ethylene Recycling LC'!D143-'Ethylene Recycling LC'!$C$140-'Ethylene Recycling LC'!$C$143)</f>
        <v>-1.1669857490326499E-3</v>
      </c>
      <c r="F119" s="44">
        <f>F59-('Ethylene Recycling LC'!E75+'Ethylene Recycling LC'!E78-'Ethylene Recycling LC'!$C$75-'Ethylene Recycling LC'!$C$78+'Ethylene Recycling LC'!E140+'Ethylene Recycling LC'!E143-'Ethylene Recycling LC'!$C$140-'Ethylene Recycling LC'!$C$143)</f>
        <v>-2.4571383783919239E-3</v>
      </c>
      <c r="G119" s="44">
        <f>G59-('Ethylene Recycling LC'!F75+'Ethylene Recycling LC'!F78-'Ethylene Recycling LC'!$C$75-'Ethylene Recycling LC'!$C$78+'Ethylene Recycling LC'!F140+'Ethylene Recycling LC'!F143-'Ethylene Recycling LC'!$C$140-'Ethylene Recycling LC'!$C$143)</f>
        <v>-3.8694331919984703E-3</v>
      </c>
      <c r="H119" s="44">
        <f>H59-('Ethylene Recycling LC'!G75+'Ethylene Recycling LC'!G78-'Ethylene Recycling LC'!$C$75-'Ethylene Recycling LC'!$C$78+'Ethylene Recycling LC'!G140+'Ethylene Recycling LC'!G143-'Ethylene Recycling LC'!$C$140-'Ethylene Recycling LC'!$C$143)</f>
        <v>-5.401240302585329E-3</v>
      </c>
      <c r="I119" s="44">
        <f>I59-('Ethylene Recycling LC'!H75+'Ethylene Recycling LC'!H78-'Ethylene Recycling LC'!$C$75-'Ethylene Recycling LC'!$C$78+'Ethylene Recycling LC'!H140+'Ethylene Recycling LC'!H143-'Ethylene Recycling LC'!$C$140-'Ethylene Recycling LC'!$C$143)</f>
        <v>-7.0482685728947255E-3</v>
      </c>
      <c r="J119" s="44">
        <f>J59-('Ethylene Recycling LC'!I75+'Ethylene Recycling LC'!I78-'Ethylene Recycling LC'!$C$75-'Ethylene Recycling LC'!$C$78+'Ethylene Recycling LC'!I140+'Ethylene Recycling LC'!I143-'Ethylene Recycling LC'!$C$140-'Ethylene Recycling LC'!$C$143)</f>
        <v>-8.8329584477680571E-3</v>
      </c>
      <c r="K119" s="44">
        <f>K59-('Ethylene Recycling LC'!J75+'Ethylene Recycling LC'!J78-'Ethylene Recycling LC'!$C$75-'Ethylene Recycling LC'!$C$78+'Ethylene Recycling LC'!J140+'Ethylene Recycling LC'!J143-'Ethylene Recycling LC'!$C$140-'Ethylene Recycling LC'!$C$143)</f>
        <v>-1.0759837060103764E-2</v>
      </c>
      <c r="L119" s="44">
        <f>L59-('Ethylene Recycling LC'!K75+'Ethylene Recycling LC'!K78-'Ethylene Recycling LC'!$C$75-'Ethylene Recycling LC'!$C$78+'Ethylene Recycling LC'!K140+'Ethylene Recycling LC'!K143-'Ethylene Recycling LC'!$C$140-'Ethylene Recycling LC'!$C$143)</f>
        <v>-1.2833294130743193E-2</v>
      </c>
      <c r="M119" s="44">
        <f>M59-('Ethylene Recycling LC'!L75+'Ethylene Recycling LC'!L78-'Ethylene Recycling LC'!$C$75-'Ethylene Recycling LC'!$C$78+'Ethylene Recycling LC'!L140+'Ethylene Recycling LC'!L143-'Ethylene Recycling LC'!$C$140-'Ethylene Recycling LC'!$C$143)</f>
        <v>-1.5057563719432225E-2</v>
      </c>
      <c r="N119" s="44">
        <f>N59-('Ethylene Recycling LC'!M75+'Ethylene Recycling LC'!M78-'Ethylene Recycling LC'!$C$75-'Ethylene Recycling LC'!$C$78+'Ethylene Recycling LC'!M140+'Ethylene Recycling LC'!M143-'Ethylene Recycling LC'!$C$140-'Ethylene Recycling LC'!$C$143)</f>
        <v>-1.7436705822975625E-2</v>
      </c>
      <c r="O119" s="44">
        <f>O59-('Ethylene Recycling LC'!N75+'Ethylene Recycling LC'!N78-'Ethylene Recycling LC'!$C$75-'Ethylene Recycling LC'!$C$78+'Ethylene Recycling LC'!N140+'Ethylene Recycling LC'!N143-'Ethylene Recycling LC'!$C$140-'Ethylene Recycling LC'!$C$143)</f>
        <v>-2.0724863227947959E-2</v>
      </c>
      <c r="P119" s="44">
        <f>P59-('Ethylene Recycling LC'!O75+'Ethylene Recycling LC'!O78-'Ethylene Recycling LC'!$C$75-'Ethylene Recycling LC'!$C$78+'Ethylene Recycling LC'!O140+'Ethylene Recycling LC'!O143-'Ethylene Recycling LC'!$C$140-'Ethylene Recycling LC'!$C$143)</f>
        <v>-2.4249157034683246E-2</v>
      </c>
      <c r="Q119" s="44">
        <f>Q59-('Ethylene Recycling LC'!P75+'Ethylene Recycling LC'!P78-'Ethylene Recycling LC'!$C$75-'Ethylene Recycling LC'!$C$78+'Ethylene Recycling LC'!P140+'Ethylene Recycling LC'!P143-'Ethylene Recycling LC'!$C$140-'Ethylene Recycling LC'!$C$143)</f>
        <v>-2.8000174620832059E-2</v>
      </c>
      <c r="R119" s="44">
        <f>R59-('Ethylene Recycling LC'!Q75+'Ethylene Recycling LC'!Q78-'Ethylene Recycling LC'!$C$75-'Ethylene Recycling LC'!$C$78+'Ethylene Recycling LC'!Q140+'Ethylene Recycling LC'!Q143-'Ethylene Recycling LC'!$C$140-'Ethylene Recycling LC'!$C$143)</f>
        <v>-3.196583537273312E-2</v>
      </c>
      <c r="S119" s="44">
        <f>S59-('Ethylene Recycling LC'!R75+'Ethylene Recycling LC'!R78-'Ethylene Recycling LC'!$C$75-'Ethylene Recycling LC'!$C$78+'Ethylene Recycling LC'!R140+'Ethylene Recycling LC'!R143-'Ethylene Recycling LC'!$C$140-'Ethylene Recycling LC'!$C$143)</f>
        <v>-3.6131411637585799E-2</v>
      </c>
      <c r="T119" s="44">
        <f>T59-('Ethylene Recycling LC'!S75+'Ethylene Recycling LC'!S78-'Ethylene Recycling LC'!$C$75-'Ethylene Recycling LC'!$C$78+'Ethylene Recycling LC'!S140+'Ethylene Recycling LC'!S143-'Ethylene Recycling LC'!$C$140-'Ethylene Recycling LC'!$C$143)</f>
        <v>-4.0560389016071882E-2</v>
      </c>
      <c r="U119" s="44">
        <f>U59-('Ethylene Recycling LC'!T75+'Ethylene Recycling LC'!T78-'Ethylene Recycling LC'!$C$75-'Ethylene Recycling LC'!$C$78+'Ethylene Recycling LC'!T140+'Ethylene Recycling LC'!T143-'Ethylene Recycling LC'!$C$140-'Ethylene Recycling LC'!$C$143)</f>
        <v>-4.5258010940264271E-2</v>
      </c>
      <c r="V119" s="44">
        <f>V59-('Ethylene Recycling LC'!U75+'Ethylene Recycling LC'!U78-'Ethylene Recycling LC'!$C$75-'Ethylene Recycling LC'!$C$78+'Ethylene Recycling LC'!U140+'Ethylene Recycling LC'!U143-'Ethylene Recycling LC'!$C$140-'Ethylene Recycling LC'!$C$143)</f>
        <v>-5.0229467516361363E-2</v>
      </c>
      <c r="W119" s="44">
        <f>W59-('Ethylene Recycling LC'!V75+'Ethylene Recycling LC'!V78-'Ethylene Recycling LC'!$C$75-'Ethylene Recycling LC'!$C$78+'Ethylene Recycling LC'!V140+'Ethylene Recycling LC'!V143-'Ethylene Recycling LC'!$C$140-'Ethylene Recycling LC'!$C$143)</f>
        <v>-5.5479890876352488E-2</v>
      </c>
      <c r="X119" s="44">
        <f>X59-('Ethylene Recycling LC'!W75+'Ethylene Recycling LC'!W78-'Ethylene Recycling LC'!$C$75-'Ethylene Recycling LC'!$C$78+'Ethylene Recycling LC'!W140+'Ethylene Recycling LC'!W143-'Ethylene Recycling LC'!$C$140-'Ethylene Recycling LC'!$C$143)</f>
        <v>-6.1014350498405527E-2</v>
      </c>
      <c r="Y119" s="44">
        <f>Y59-('Ethylene Recycling LC'!X75+'Ethylene Recycling LC'!X78-'Ethylene Recycling LC'!$C$75-'Ethylene Recycling LC'!$C$78+'Ethylene Recycling LC'!X140+'Ethylene Recycling LC'!X143-'Ethylene Recycling LC'!$C$140-'Ethylene Recycling LC'!$C$143)</f>
        <v>-6.8621071677382697E-2</v>
      </c>
      <c r="Z119" s="44">
        <f>Z59-('Ethylene Recycling LC'!Y75+'Ethylene Recycling LC'!Y78-'Ethylene Recycling LC'!$C$75-'Ethylene Recycling LC'!$C$78+'Ethylene Recycling LC'!Y140+'Ethylene Recycling LC'!Y143-'Ethylene Recycling LC'!$C$140-'Ethylene Recycling LC'!$C$143)</f>
        <v>-7.669025932115478E-2</v>
      </c>
      <c r="AA119" s="44">
        <f>AA59-('Ethylene Recycling LC'!Z75+'Ethylene Recycling LC'!Z78-'Ethylene Recycling LC'!$C$75-'Ethylene Recycling LC'!$C$78+'Ethylene Recycling LC'!Z140+'Ethylene Recycling LC'!Z143-'Ethylene Recycling LC'!$C$140-'Ethylene Recycling LC'!$C$143)</f>
        <v>-8.5230608763990662E-2</v>
      </c>
      <c r="AB119" s="44">
        <f>AB59-('Ethylene Recycling LC'!AA75+'Ethylene Recycling LC'!AA78-'Ethylene Recycling LC'!$C$75-'Ethylene Recycling LC'!$C$78+'Ethylene Recycling LC'!AA140+'Ethylene Recycling LC'!AA143-'Ethylene Recycling LC'!$C$140-'Ethylene Recycling LC'!$C$143)</f>
        <v>-9.4250728882008777E-2</v>
      </c>
      <c r="AC119" s="44">
        <f>AC59-('Ethylene Recycling LC'!AB75+'Ethylene Recycling LC'!AB78-'Ethylene Recycling LC'!$C$75-'Ethylene Recycling LC'!$C$78+'Ethylene Recycling LC'!AB140+'Ethylene Recycling LC'!AB143-'Ethylene Recycling LC'!$C$140-'Ethylene Recycling LC'!$C$143)</f>
        <v>-0.1037591351408962</v>
      </c>
      <c r="AD119" s="44">
        <f>AD59-('Ethylene Recycling LC'!AC75+'Ethylene Recycling LC'!AC78-'Ethylene Recycling LC'!$C$75-'Ethylene Recycling LC'!$C$78+'Ethylene Recycling LC'!AC140+'Ethylene Recycling LC'!AC143-'Ethylene Recycling LC'!$C$140-'Ethylene Recycling LC'!$C$143)</f>
        <v>-0.11376535946424922</v>
      </c>
      <c r="AE119" s="44">
        <f>AE59-('Ethylene Recycling LC'!AD75+'Ethylene Recycling LC'!AD78-'Ethylene Recycling LC'!$C$75-'Ethylene Recycling LC'!$C$78+'Ethylene Recycling LC'!AD140+'Ethylene Recycling LC'!AD143-'Ethylene Recycling LC'!$C$140-'Ethylene Recycling LC'!$C$143)</f>
        <v>-0.12427800921910014</v>
      </c>
      <c r="AF119" s="44">
        <f>AF59-('Ethylene Recycling LC'!AE75+'Ethylene Recycling LC'!AE78-'Ethylene Recycling LC'!$C$75-'Ethylene Recycling LC'!$C$78+'Ethylene Recycling LC'!AE140+'Ethylene Recycling LC'!AE143-'Ethylene Recycling LC'!$C$140-'Ethylene Recycling LC'!$C$143)</f>
        <v>-0.13530560698991057</v>
      </c>
      <c r="AG119" s="44">
        <f>AG59-('Ethylene Recycling LC'!AF75+'Ethylene Recycling LC'!AF78-'Ethylene Recycling LC'!$C$75-'Ethylene Recycling LC'!$C$78+'Ethylene Recycling LC'!AF140+'Ethylene Recycling LC'!AF143-'Ethylene Recycling LC'!$C$140-'Ethylene Recycling LC'!$C$143)</f>
        <v>-0.1468565843373823</v>
      </c>
      <c r="AH119" s="44">
        <f>AH59-('Ethylene Recycling LC'!AG75+'Ethylene Recycling LC'!AG78-'Ethylene Recycling LC'!$C$75-'Ethylene Recycling LC'!$C$78+'Ethylene Recycling LC'!AG140+'Ethylene Recycling LC'!AG143-'Ethylene Recycling LC'!$C$140-'Ethylene Recycling LC'!$C$143)</f>
        <v>-0.1589392755230378</v>
      </c>
      <c r="AI119" s="44"/>
    </row>
    <row r="120" spans="1:36" s="67" customFormat="1">
      <c r="A120" s="758" t="s">
        <v>263</v>
      </c>
      <c r="B120" s="58" t="s">
        <v>264</v>
      </c>
      <c r="C120" s="59" t="s">
        <v>153</v>
      </c>
      <c r="D120" s="60">
        <f>D60-('Ethylene Recycling LC'!C76+'Ethylene Recycling LC'!C141-'Ethylene Recycling LC'!$C$76-'Ethylene Recycling LC'!$C$141)</f>
        <v>0</v>
      </c>
      <c r="E120" s="60">
        <f>E60-('Ethylene Recycling LC'!D76+'Ethylene Recycling LC'!D141-'Ethylene Recycling LC'!$C$76-'Ethylene Recycling LC'!$C$141)</f>
        <v>0</v>
      </c>
      <c r="F120" s="60">
        <f>F60-('Ethylene Recycling LC'!E76+'Ethylene Recycling LC'!E141-'Ethylene Recycling LC'!$C$76-'Ethylene Recycling LC'!$C$141)</f>
        <v>0</v>
      </c>
      <c r="G120" s="60">
        <f>G60-('Ethylene Recycling LC'!F76+'Ethylene Recycling LC'!F141-'Ethylene Recycling LC'!$C$76-'Ethylene Recycling LC'!$C$141)</f>
        <v>0</v>
      </c>
      <c r="H120" s="60">
        <f>H60-('Ethylene Recycling LC'!G76+'Ethylene Recycling LC'!G141-'Ethylene Recycling LC'!$C$76-'Ethylene Recycling LC'!$C$141)</f>
        <v>0</v>
      </c>
      <c r="I120" s="60">
        <f>I60-('Ethylene Recycling LC'!H76+'Ethylene Recycling LC'!H141-'Ethylene Recycling LC'!$C$76-'Ethylene Recycling LC'!$C$141)</f>
        <v>0</v>
      </c>
      <c r="J120" s="60">
        <f>J60-('Ethylene Recycling LC'!I76+'Ethylene Recycling LC'!I141-'Ethylene Recycling LC'!$C$76-'Ethylene Recycling LC'!$C$141)</f>
        <v>0</v>
      </c>
      <c r="K120" s="60">
        <f>K60-('Ethylene Recycling LC'!J76+'Ethylene Recycling LC'!J141-'Ethylene Recycling LC'!$C$76-'Ethylene Recycling LC'!$C$141)</f>
        <v>0</v>
      </c>
      <c r="L120" s="60">
        <f>L60-('Ethylene Recycling LC'!K76+'Ethylene Recycling LC'!K141-'Ethylene Recycling LC'!$C$76-'Ethylene Recycling LC'!$C$141)</f>
        <v>0</v>
      </c>
      <c r="M120" s="60">
        <f>M60-('Ethylene Recycling LC'!L76+'Ethylene Recycling LC'!L141-'Ethylene Recycling LC'!$C$76-'Ethylene Recycling LC'!$C$141)</f>
        <v>0</v>
      </c>
      <c r="N120" s="60">
        <f>N60-('Ethylene Recycling LC'!M76+'Ethylene Recycling LC'!M141-'Ethylene Recycling LC'!$C$76-'Ethylene Recycling LC'!$C$141)</f>
        <v>0</v>
      </c>
      <c r="O120" s="60">
        <f>O60-('Ethylene Recycling LC'!N76+'Ethylene Recycling LC'!N141-'Ethylene Recycling LC'!$C$76-'Ethylene Recycling LC'!$C$141)</f>
        <v>0</v>
      </c>
      <c r="P120" s="60">
        <f>P60-('Ethylene Recycling LC'!O76+'Ethylene Recycling LC'!O141-'Ethylene Recycling LC'!$C$76-'Ethylene Recycling LC'!$C$141)</f>
        <v>0</v>
      </c>
      <c r="Q120" s="60">
        <f>Q60-('Ethylene Recycling LC'!P76+'Ethylene Recycling LC'!P141-'Ethylene Recycling LC'!$C$76-'Ethylene Recycling LC'!$C$141)</f>
        <v>0</v>
      </c>
      <c r="R120" s="60">
        <f>R60-('Ethylene Recycling LC'!Q76+'Ethylene Recycling LC'!Q141-'Ethylene Recycling LC'!$C$76-'Ethylene Recycling LC'!$C$141)</f>
        <v>0</v>
      </c>
      <c r="S120" s="60">
        <f>S60-('Ethylene Recycling LC'!R76+'Ethylene Recycling LC'!R141-'Ethylene Recycling LC'!$C$76-'Ethylene Recycling LC'!$C$141)</f>
        <v>0</v>
      </c>
      <c r="T120" s="60">
        <f>T60-('Ethylene Recycling LC'!S76+'Ethylene Recycling LC'!S141-'Ethylene Recycling LC'!$C$76-'Ethylene Recycling LC'!$C$141)</f>
        <v>0</v>
      </c>
      <c r="U120" s="60">
        <f>U60-('Ethylene Recycling LC'!T76+'Ethylene Recycling LC'!T141-'Ethylene Recycling LC'!$C$76-'Ethylene Recycling LC'!$C$141)</f>
        <v>0</v>
      </c>
      <c r="V120" s="60">
        <f>V60-('Ethylene Recycling LC'!U76+'Ethylene Recycling LC'!U141-'Ethylene Recycling LC'!$C$76-'Ethylene Recycling LC'!$C$141)</f>
        <v>0</v>
      </c>
      <c r="W120" s="60">
        <f>W60-('Ethylene Recycling LC'!V76+'Ethylene Recycling LC'!V141-'Ethylene Recycling LC'!$C$76-'Ethylene Recycling LC'!$C$141)</f>
        <v>0</v>
      </c>
      <c r="X120" s="60">
        <f>X60-('Ethylene Recycling LC'!W76+'Ethylene Recycling LC'!W141-'Ethylene Recycling LC'!$C$76-'Ethylene Recycling LC'!$C$141)</f>
        <v>0</v>
      </c>
      <c r="Y120" s="60">
        <f>Y60-('Ethylene Recycling LC'!X76+'Ethylene Recycling LC'!X141-'Ethylene Recycling LC'!$C$76-'Ethylene Recycling LC'!$C$141)</f>
        <v>0</v>
      </c>
      <c r="Z120" s="60">
        <f>Z60-('Ethylene Recycling LC'!Y76+'Ethylene Recycling LC'!Y141-'Ethylene Recycling LC'!$C$76-'Ethylene Recycling LC'!$C$141)</f>
        <v>0</v>
      </c>
      <c r="AA120" s="60">
        <f>AA60-('Ethylene Recycling LC'!Z76+'Ethylene Recycling LC'!Z141-'Ethylene Recycling LC'!$C$76-'Ethylene Recycling LC'!$C$141)</f>
        <v>0</v>
      </c>
      <c r="AB120" s="60">
        <f>AB60-('Ethylene Recycling LC'!AA76+'Ethylene Recycling LC'!AA141-'Ethylene Recycling LC'!$C$76-'Ethylene Recycling LC'!$C$141)</f>
        <v>0</v>
      </c>
      <c r="AC120" s="60">
        <f>AC60-('Ethylene Recycling LC'!AB76+'Ethylene Recycling LC'!AB141-'Ethylene Recycling LC'!$C$76-'Ethylene Recycling LC'!$C$141)</f>
        <v>0</v>
      </c>
      <c r="AD120" s="60">
        <f>AD60-('Ethylene Recycling LC'!AC76+'Ethylene Recycling LC'!AC141-'Ethylene Recycling LC'!$C$76-'Ethylene Recycling LC'!$C$141)</f>
        <v>0</v>
      </c>
      <c r="AE120" s="60">
        <f>AE60-('Ethylene Recycling LC'!AD76+'Ethylene Recycling LC'!AD141-'Ethylene Recycling LC'!$C$76-'Ethylene Recycling LC'!$C$141)</f>
        <v>0</v>
      </c>
      <c r="AF120" s="60">
        <f>AF60-('Ethylene Recycling LC'!AE76+'Ethylene Recycling LC'!AE141-'Ethylene Recycling LC'!$C$76-'Ethylene Recycling LC'!$C$141)</f>
        <v>0</v>
      </c>
      <c r="AG120" s="60">
        <f>AG60-('Ethylene Recycling LC'!AF76+'Ethylene Recycling LC'!AF141-'Ethylene Recycling LC'!$C$76-'Ethylene Recycling LC'!$C$141)</f>
        <v>0</v>
      </c>
      <c r="AH120" s="60">
        <f>AH60-('Ethylene Recycling LC'!AG76+'Ethylene Recycling LC'!AG141-'Ethylene Recycling LC'!$C$76-'Ethylene Recycling LC'!$C$141)</f>
        <v>0</v>
      </c>
      <c r="AI120" s="60"/>
    </row>
    <row r="121" spans="1:36" s="68" customFormat="1">
      <c r="A121" s="759"/>
      <c r="B121" s="62" t="s">
        <v>266</v>
      </c>
      <c r="C121" s="283" t="s">
        <v>153</v>
      </c>
      <c r="D121" s="284">
        <f>D61-('Ethylene Recycling LC'!C142-'Ethylene Recycling LC'!$C$142)-IF('Ethylene Recycling LC'!C77-'Ethylene Recycling LC'!$C$77&lt;0,0,'Ethylene Recycling LC'!C77-'Ethylene Recycling LC'!$C$77)</f>
        <v>3.4336211538461541</v>
      </c>
      <c r="E121" s="284">
        <f>E61-('Ethylene Recycling LC'!D142-'Ethylene Recycling LC'!$C$142)-IF('Ethylene Recycling LC'!D77-'Ethylene Recycling LC'!$C$77&lt;0,0,'Ethylene Recycling LC'!D77-'Ethylene Recycling LC'!$C$77)</f>
        <v>3.4424481628498906</v>
      </c>
      <c r="F121" s="284">
        <f>F61-('Ethylene Recycling LC'!E142-'Ethylene Recycling LC'!$C$142)-IF('Ethylene Recycling LC'!E77-'Ethylene Recycling LC'!$C$77&lt;0,0,'Ethylene Recycling LC'!E77-'Ethylene Recycling LC'!$C$77)</f>
        <v>3.4548512641631479</v>
      </c>
      <c r="G121" s="284">
        <f>G61-('Ethylene Recycling LC'!F142-'Ethylene Recycling LC'!$C$142)-IF('Ethylene Recycling LC'!F77-'Ethylene Recycling LC'!$C$77&lt;0,0,'Ethylene Recycling LC'!F77-'Ethylene Recycling LC'!$C$77)</f>
        <v>3.4713552407019108</v>
      </c>
      <c r="H121" s="284">
        <f>H61-('Ethylene Recycling LC'!G142-'Ethylene Recycling LC'!$C$142)-IF('Ethylene Recycling LC'!G77-'Ethylene Recycling LC'!$C$77&lt;0,0,'Ethylene Recycling LC'!G77-'Ethylene Recycling LC'!$C$77)</f>
        <v>3.4924753465260001</v>
      </c>
      <c r="I121" s="284">
        <f>I61-('Ethylene Recycling LC'!H142-'Ethylene Recycling LC'!$C$142)-IF('Ethylene Recycling LC'!H77-'Ethylene Recycling LC'!$C$77&lt;0,0,'Ethylene Recycling LC'!H77-'Ethylene Recycling LC'!$C$77)</f>
        <v>3.5187108186488509</v>
      </c>
      <c r="J121" s="284">
        <f>J61-('Ethylene Recycling LC'!I142-'Ethylene Recycling LC'!$C$142)-IF('Ethylene Recycling LC'!I77-'Ethylene Recycling LC'!$C$77&lt;0,0,'Ethylene Recycling LC'!I77-'Ethylene Recycling LC'!$C$77)</f>
        <v>3.5471498672469099</v>
      </c>
      <c r="K121" s="284">
        <f>K61-('Ethylene Recycling LC'!J142-'Ethylene Recycling LC'!$C$142)-IF('Ethylene Recycling LC'!J77-'Ethylene Recycling LC'!$C$77&lt;0,0,'Ethylene Recycling LC'!J77-'Ethylene Recycling LC'!$C$77)</f>
        <v>3.5779384775700862</v>
      </c>
      <c r="L121" s="284">
        <f>L61-('Ethylene Recycling LC'!K142-'Ethylene Recycling LC'!$C$142)-IF('Ethylene Recycling LC'!K77-'Ethylene Recycling LC'!$C$77&lt;0,0,'Ethylene Recycling LC'!K77-'Ethylene Recycling LC'!$C$77)</f>
        <v>3.6112245793675566</v>
      </c>
      <c r="M121" s="284">
        <f>M61-('Ethylene Recycling LC'!L142-'Ethylene Recycling LC'!$C$142)-IF('Ethylene Recycling LC'!L77-'Ethylene Recycling LC'!$C$77&lt;0,0,'Ethylene Recycling LC'!L77-'Ethylene Recycling LC'!$C$77)</f>
        <v>3.6471577685542726</v>
      </c>
      <c r="N121" s="284">
        <f>N61-('Ethylene Recycling LC'!M142-'Ethylene Recycling LC'!$C$142)-IF('Ethylene Recycling LC'!M77-'Ethylene Recycling LC'!$C$77&lt;0,0,'Ethylene Recycling LC'!M77-'Ethylene Recycling LC'!$C$77)</f>
        <v>3.6858890188407996</v>
      </c>
      <c r="O121" s="284">
        <f>O61-('Ethylene Recycling LC'!N142-'Ethylene Recycling LC'!$C$142)-IF('Ethylene Recycling LC'!N77-'Ethylene Recycling LC'!$C$77&lt;0,0,'Ethylene Recycling LC'!N77-'Ethylene Recycling LC'!$C$77)</f>
        <v>3.6707356573824805</v>
      </c>
      <c r="P121" s="284">
        <f>P61-('Ethylene Recycling LC'!O142-'Ethylene Recycling LC'!$C$142)-IF('Ethylene Recycling LC'!O77-'Ethylene Recycling LC'!$C$77&lt;0,0,'Ethylene Recycling LC'!O77-'Ethylene Recycling LC'!$C$77)</f>
        <v>3.6618631142364118</v>
      </c>
      <c r="Q121" s="284">
        <f>Q61-('Ethylene Recycling LC'!P142-'Ethylene Recycling LC'!$C$142)-IF('Ethylene Recycling LC'!P77-'Ethylene Recycling LC'!$C$77&lt;0,0,'Ethylene Recycling LC'!P77-'Ethylene Recycling LC'!$C$77)</f>
        <v>3.6599774623715646</v>
      </c>
      <c r="R121" s="284">
        <f>R61-('Ethylene Recycling LC'!Q142-'Ethylene Recycling LC'!$C$142)-IF('Ethylene Recycling LC'!Q77-'Ethylene Recycling LC'!$C$77&lt;0,0,'Ethylene Recycling LC'!Q77-'Ethylene Recycling LC'!$C$77)</f>
        <v>3.6657530792082902</v>
      </c>
      <c r="S121" s="284">
        <f>S61-('Ethylene Recycling LC'!R142-'Ethylene Recycling LC'!$C$142)-IF('Ethylene Recycling LC'!R77-'Ethylene Recycling LC'!$C$77&lt;0,0,'Ethylene Recycling LC'!R77-'Ethylene Recycling LC'!$C$77)</f>
        <v>3.6798257099211229</v>
      </c>
      <c r="T121" s="284">
        <f>T61-('Ethylene Recycling LC'!S142-'Ethylene Recycling LC'!$C$142)-IF('Ethylene Recycling LC'!S77-'Ethylene Recycling LC'!$C$77&lt;0,0,'Ethylene Recycling LC'!S77-'Ethylene Recycling LC'!$C$77)</f>
        <v>3.6986116327340728</v>
      </c>
      <c r="U121" s="284">
        <f>U61-('Ethylene Recycling LC'!T142-'Ethylene Recycling LC'!$C$142)-IF('Ethylene Recycling LC'!T77-'Ethylene Recycling LC'!$C$77&lt;0,0,'Ethylene Recycling LC'!T77-'Ethylene Recycling LC'!$C$77)</f>
        <v>3.7222492436566954</v>
      </c>
      <c r="V121" s="284">
        <f>V61-('Ethylene Recycling LC'!U142-'Ethylene Recycling LC'!$C$142)-IF('Ethylene Recycling LC'!U77-'Ethylene Recycling LC'!$C$77&lt;0,0,'Ethylene Recycling LC'!U77-'Ethylene Recycling LC'!$C$77)</f>
        <v>3.7508770133694966</v>
      </c>
      <c r="W121" s="284">
        <f>W61-('Ethylene Recycling LC'!V142-'Ethylene Recycling LC'!$C$142)-IF('Ethylene Recycling LC'!V77-'Ethylene Recycling LC'!$C$77&lt;0,0,'Ethylene Recycling LC'!V77-'Ethylene Recycling LC'!$C$77)</f>
        <v>3.7846334178485455</v>
      </c>
      <c r="X121" s="284">
        <f>X61-('Ethylene Recycling LC'!W142-'Ethylene Recycling LC'!$C$142)-IF('Ethylene Recycling LC'!W77-'Ethylene Recycling LC'!$C$77&lt;0,0,'Ethylene Recycling LC'!W77-'Ethylene Recycling LC'!$C$77)</f>
        <v>3.8236568691314021</v>
      </c>
      <c r="Y121" s="284">
        <f>Y61-('Ethylene Recycling LC'!X142-'Ethylene Recycling LC'!$C$142)-IF('Ethylene Recycling LC'!X77-'Ethylene Recycling LC'!$C$77&lt;0,0,'Ethylene Recycling LC'!X77-'Ethylene Recycling LC'!$C$77)</f>
        <v>3.8094070381988949</v>
      </c>
      <c r="Z121" s="284">
        <f>Z61-('Ethylene Recycling LC'!Y142-'Ethylene Recycling LC'!$C$142)-IF('Ethylene Recycling LC'!Y77-'Ethylene Recycling LC'!$C$77&lt;0,0,'Ethylene Recycling LC'!Y77-'Ethylene Recycling LC'!$C$77)</f>
        <v>3.8019627699655887</v>
      </c>
      <c r="AA121" s="284">
        <f>AA61-('Ethylene Recycling LC'!Z142-'Ethylene Recycling LC'!$C$142)-IF('Ethylene Recycling LC'!Z77-'Ethylene Recycling LC'!$C$77&lt;0,0,'Ethylene Recycling LC'!Z77-'Ethylene Recycling LC'!$C$77)</f>
        <v>3.8015119315512926</v>
      </c>
      <c r="AB121" s="284">
        <f>AB61-('Ethylene Recycling LC'!AA142-'Ethylene Recycling LC'!$C$142)-IF('Ethylene Recycling LC'!AA77-'Ethylene Recycling LC'!$C$77&lt;0,0,'Ethylene Recycling LC'!AA77-'Ethylene Recycling LC'!$C$77)</f>
        <v>3.8082418709863095</v>
      </c>
      <c r="AC121" s="284">
        <f>AC61-('Ethylene Recycling LC'!AB142-'Ethylene Recycling LC'!$C$142)-IF('Ethylene Recycling LC'!AB77-'Ethylene Recycling LC'!$C$77&lt;0,0,'Ethylene Recycling LC'!AB77-'Ethylene Recycling LC'!$C$77)</f>
        <v>3.8223393164172306</v>
      </c>
      <c r="AD121" s="284">
        <f>AD61-('Ethylene Recycling LC'!AC142-'Ethylene Recycling LC'!$C$142)-IF('Ethylene Recycling LC'!AC77-'Ethylene Recycling LC'!$C$77&lt;0,0,'Ethylene Recycling LC'!AC77-'Ethylene Recycling LC'!$C$77)</f>
        <v>3.8439592493400427</v>
      </c>
      <c r="AE121" s="284">
        <f>AE61-('Ethylene Recycling LC'!AD142-'Ethylene Recycling LC'!$C$142)-IF('Ethylene Recycling LC'!AD77-'Ethylene Recycling LC'!$C$77&lt;0,0,'Ethylene Recycling LC'!AD77-'Ethylene Recycling LC'!$C$77)</f>
        <v>3.8732841374173574</v>
      </c>
      <c r="AF121" s="284">
        <f>AF61-('Ethylene Recycling LC'!AE142-'Ethylene Recycling LC'!$C$142)-IF('Ethylene Recycling LC'!AE77-'Ethylene Recycling LC'!$C$77&lt;0,0,'Ethylene Recycling LC'!AE77-'Ethylene Recycling LC'!$C$77)</f>
        <v>3.9104958257156444</v>
      </c>
      <c r="AG121" s="284">
        <f>AG61-('Ethylene Recycling LC'!AF142-'Ethylene Recycling LC'!$C$142)-IF('Ethylene Recycling LC'!AF77-'Ethylene Recycling LC'!$C$77&lt;0,0,'Ethylene Recycling LC'!AF77-'Ethylene Recycling LC'!$C$77)</f>
        <v>3.9557754511772245</v>
      </c>
      <c r="AH121" s="284">
        <f>AH61-('Ethylene Recycling LC'!AG142-'Ethylene Recycling LC'!$C$142)-IF('Ethylene Recycling LC'!AG77-'Ethylene Recycling LC'!$C$77&lt;0,0,'Ethylene Recycling LC'!AG77-'Ethylene Recycling LC'!$C$77)</f>
        <v>4.0093033577727191</v>
      </c>
      <c r="AI121" s="284"/>
      <c r="AJ121" s="68" t="s">
        <v>384</v>
      </c>
    </row>
    <row r="122" spans="1:36" s="67" customFormat="1">
      <c r="A122" s="58" t="s">
        <v>223</v>
      </c>
      <c r="B122" s="58" t="s">
        <v>197</v>
      </c>
      <c r="C122" s="100" t="s">
        <v>153</v>
      </c>
      <c r="D122" s="101">
        <f t="shared" ref="D122:AH122" si="38">D43</f>
        <v>34.871127768537121</v>
      </c>
      <c r="E122" s="101">
        <f t="shared" si="38"/>
        <v>35.463936940602252</v>
      </c>
      <c r="F122" s="101">
        <f t="shared" si="38"/>
        <v>36.066823868592486</v>
      </c>
      <c r="G122" s="101">
        <f t="shared" si="38"/>
        <v>36.679959874358552</v>
      </c>
      <c r="H122" s="101">
        <f t="shared" si="38"/>
        <v>37.303519192222645</v>
      </c>
      <c r="I122" s="101">
        <f t="shared" si="38"/>
        <v>37.937679018490428</v>
      </c>
      <c r="J122" s="101">
        <f t="shared" si="38"/>
        <v>38.582619561804762</v>
      </c>
      <c r="K122" s="101">
        <f t="shared" si="38"/>
        <v>39.238524094355441</v>
      </c>
      <c r="L122" s="101">
        <f t="shared" si="38"/>
        <v>39.905579003959481</v>
      </c>
      <c r="M122" s="101">
        <f t="shared" si="38"/>
        <v>40.58397384702679</v>
      </c>
      <c r="N122" s="101">
        <f t="shared" si="38"/>
        <v>41.27390140242624</v>
      </c>
      <c r="O122" s="101">
        <f t="shared" si="38"/>
        <v>41.975557726267482</v>
      </c>
      <c r="P122" s="101">
        <f t="shared" si="38"/>
        <v>42.689142207614026</v>
      </c>
      <c r="Q122" s="101">
        <f t="shared" si="38"/>
        <v>43.414857625143462</v>
      </c>
      <c r="R122" s="101">
        <f t="shared" si="38"/>
        <v>44.152910204770897</v>
      </c>
      <c r="S122" s="101">
        <f t="shared" si="38"/>
        <v>44.903509678252</v>
      </c>
      <c r="T122" s="101">
        <f t="shared" si="38"/>
        <v>45.666869342782277</v>
      </c>
      <c r="U122" s="101">
        <f t="shared" si="38"/>
        <v>46.44320612160957</v>
      </c>
      <c r="V122" s="101">
        <f t="shared" si="38"/>
        <v>47.232740625676925</v>
      </c>
      <c r="W122" s="101">
        <f t="shared" si="38"/>
        <v>48.03569721631343</v>
      </c>
      <c r="X122" s="101">
        <f t="shared" si="38"/>
        <v>48.852304068990755</v>
      </c>
      <c r="Y122" s="101">
        <f t="shared" si="38"/>
        <v>49.68279323816359</v>
      </c>
      <c r="Z122" s="101">
        <f t="shared" si="38"/>
        <v>50.527400723212367</v>
      </c>
      <c r="AA122" s="101">
        <f t="shared" si="38"/>
        <v>51.386366535506973</v>
      </c>
      <c r="AB122" s="101">
        <f t="shared" si="38"/>
        <v>52.259934766610584</v>
      </c>
      <c r="AC122" s="101">
        <f t="shared" si="38"/>
        <v>53.148353657642957</v>
      </c>
      <c r="AD122" s="101">
        <f t="shared" si="38"/>
        <v>54.051875669822884</v>
      </c>
      <c r="AE122" s="101">
        <f t="shared" si="38"/>
        <v>54.970757556209868</v>
      </c>
      <c r="AF122" s="101">
        <f t="shared" si="38"/>
        <v>55.905260434665429</v>
      </c>
      <c r="AG122" s="101">
        <f t="shared" si="38"/>
        <v>56.855649862054733</v>
      </c>
      <c r="AH122" s="101">
        <f t="shared" si="38"/>
        <v>57.822195909709656</v>
      </c>
    </row>
    <row r="123" spans="1:36" outlineLevel="1">
      <c r="A123"/>
      <c r="B123" t="s">
        <v>217</v>
      </c>
      <c r="C123" s="54" t="s">
        <v>153</v>
      </c>
      <c r="D123" s="44">
        <f>'Ethylene Recycling LC'!C162-'Ethylene Recycling LC'!$C$162</f>
        <v>0</v>
      </c>
      <c r="E123" s="44">
        <f>'Ethylene Recycling LC'!D162-'Ethylene Recycling LC'!$C$162</f>
        <v>5.5962113440523528E-2</v>
      </c>
      <c r="F123" s="44">
        <f>'Ethylene Recycling LC'!E162-'Ethylene Recycling LC'!$C$162</f>
        <v>0.11460978593982817</v>
      </c>
      <c r="G123" s="44">
        <f>'Ethylene Recycling LC'!F162-'Ethylene Recycling LC'!$C$162</f>
        <v>0.17560335493546669</v>
      </c>
      <c r="H123" s="44">
        <f>'Ethylene Recycling LC'!G162-'Ethylene Recycling LC'!$C$162</f>
        <v>0.23856581282029388</v>
      </c>
      <c r="I123" s="44">
        <f>'Ethylene Recycling LC'!H162-'Ethylene Recycling LC'!$C$162</f>
        <v>0.30308655433505788</v>
      </c>
      <c r="J123" s="44">
        <f>'Ethylene Recycling LC'!I162-'Ethylene Recycling LC'!$C$162</f>
        <v>0.36976275129607733</v>
      </c>
      <c r="K123" s="44">
        <f>'Ethylene Recycling LC'!J162-'Ethylene Recycling LC'!$C$162</f>
        <v>0.43856575902184963</v>
      </c>
      <c r="L123" s="44">
        <f>'Ethylene Recycling LC'!K162-'Ethylene Recycling LC'!$C$162</f>
        <v>0.50946206552521989</v>
      </c>
      <c r="M123" s="44">
        <f>'Ethylene Recycling LC'!L162-'Ethylene Recycling LC'!$C$162</f>
        <v>0.58241324288717544</v>
      </c>
      <c r="N123" s="44">
        <f>'Ethylene Recycling LC'!M162-'Ethylene Recycling LC'!$C$162</f>
        <v>0.65737591159165465</v>
      </c>
      <c r="O123" s="44">
        <f>'Ethylene Recycling LC'!N162-'Ethylene Recycling LC'!$C$162</f>
        <v>0.8040384205463833</v>
      </c>
      <c r="P123" s="44">
        <f>'Ethylene Recycling LC'!O162-'Ethylene Recycling LC'!$C$162</f>
        <v>0.95294167908667149</v>
      </c>
      <c r="Q123" s="44">
        <f>'Ethylene Recycling LC'!P162-'Ethylene Recycling LC'!$C$162</f>
        <v>1.1033033812016517</v>
      </c>
      <c r="R123" s="44">
        <f>'Ethylene Recycling LC'!Q162-'Ethylene Recycling LC'!$C$162</f>
        <v>1.2543115469969326</v>
      </c>
      <c r="S123" s="44">
        <f>'Ethylene Recycling LC'!R162-'Ethylene Recycling LC'!$C$162</f>
        <v>1.4051316704399788</v>
      </c>
      <c r="T123" s="44">
        <f>'Ethylene Recycling LC'!S162-'Ethylene Recycling LC'!$C$162</f>
        <v>1.5579173728547484</v>
      </c>
      <c r="U123" s="44">
        <f>'Ethylene Recycling LC'!T162-'Ethylene Recycling LC'!$C$162</f>
        <v>1.7126361894464575</v>
      </c>
      <c r="V123" s="44">
        <f>'Ethylene Recycling LC'!U162-'Ethylene Recycling LC'!$C$162</f>
        <v>1.8692543045276899</v>
      </c>
      <c r="W123" s="44">
        <f>'Ethylene Recycling LC'!V162-'Ethylene Recycling LC'!$C$162</f>
        <v>2.0277365565432492</v>
      </c>
      <c r="X123" s="44">
        <f>'Ethylene Recycling LC'!W162-'Ethylene Recycling LC'!$C$162</f>
        <v>2.1880464441524206</v>
      </c>
      <c r="Y123" s="44">
        <f>'Ethylene Recycling LC'!X162-'Ethylene Recycling LC'!$C$162</f>
        <v>2.4489186232217257</v>
      </c>
      <c r="Z123" s="44">
        <f>'Ethylene Recycling LC'!Y162-'Ethylene Recycling LC'!$C$162</f>
        <v>2.712878072429127</v>
      </c>
      <c r="AA123" s="44">
        <f>'Ethylene Recycling LC'!Z162-'Ethylene Recycling LC'!$C$162</f>
        <v>2.9798696043239872</v>
      </c>
      <c r="AB123" s="44">
        <f>'Ethylene Recycling LC'!AA162-'Ethylene Recycling LC'!$C$162</f>
        <v>3.2498360422381043</v>
      </c>
      <c r="AC123" s="44">
        <f>'Ethylene Recycling LC'!AB162-'Ethylene Recycling LC'!$C$162</f>
        <v>3.522718230873938</v>
      </c>
      <c r="AD123" s="44">
        <f>'Ethylene Recycling LC'!AC162-'Ethylene Recycling LC'!$C$162</f>
        <v>3.7984920180233739</v>
      </c>
      <c r="AE123" s="44">
        <f>'Ethylene Recycling LC'!AD162-'Ethylene Recycling LC'!$C$162</f>
        <v>4.0771022820455869</v>
      </c>
      <c r="AF123" s="44">
        <f>'Ethylene Recycling LC'!AE162-'Ethylene Recycling LC'!$C$162</f>
        <v>4.3584921333827769</v>
      </c>
      <c r="AG123" s="44">
        <f>'Ethylene Recycling LC'!AF162-'Ethylene Recycling LC'!$C$162</f>
        <v>4.6426029253778376</v>
      </c>
      <c r="AH123" s="44">
        <f>'Ethylene Recycling LC'!AG162-'Ethylene Recycling LC'!$C$162</f>
        <v>4.9293742662870192</v>
      </c>
    </row>
    <row r="124" spans="1:36" outlineLevel="1">
      <c r="A124"/>
      <c r="B124" t="s">
        <v>222</v>
      </c>
      <c r="C124" s="54" t="s">
        <v>153</v>
      </c>
      <c r="D124" s="44">
        <f>'Ethylene Recycling LC'!C85-'Ethylene Recycling LC'!$C$85</f>
        <v>0</v>
      </c>
      <c r="E124" s="44">
        <f>'Ethylene Recycling LC'!D85-'Ethylene Recycling LC'!$C$85</f>
        <v>0.47266233488242637</v>
      </c>
      <c r="F124" s="44">
        <f>'Ethylene Recycling LC'!E85-'Ethylene Recycling LC'!$C$85</f>
        <v>0.94990124698175915</v>
      </c>
      <c r="G124" s="44">
        <f>'Ethylene Recycling LC'!F85-'Ethylene Recycling LC'!$C$85</f>
        <v>1.4289185339766854</v>
      </c>
      <c r="H124" s="44">
        <f>'Ethylene Recycling LC'!G85-'Ethylene Recycling LC'!$C$85</f>
        <v>1.9067664787220222</v>
      </c>
      <c r="I124" s="44">
        <f>'Ethylene Recycling LC'!H85-'Ethylene Recycling LC'!$C$85</f>
        <v>2.3803771166423493</v>
      </c>
      <c r="J124" s="44">
        <f>'Ethylene Recycling LC'!I85-'Ethylene Recycling LC'!$C$85</f>
        <v>2.8671753408271448</v>
      </c>
      <c r="K124" s="44">
        <f>'Ethylene Recycling LC'!J85-'Ethylene Recycling LC'!$C$85</f>
        <v>3.3670166019936447</v>
      </c>
      <c r="L124" s="44">
        <f>'Ethylene Recycling LC'!K85-'Ethylene Recycling LC'!$C$85</f>
        <v>3.8797277345784034</v>
      </c>
      <c r="M124" s="44">
        <f>'Ethylene Recycling LC'!L85-'Ethylene Recycling LC'!$C$85</f>
        <v>4.4051064316810704</v>
      </c>
      <c r="N124" s="44">
        <f>'Ethylene Recycling LC'!M85-'Ethylene Recycling LC'!$C$85</f>
        <v>4.942920786358548</v>
      </c>
      <c r="O124" s="44">
        <f>'Ethylene Recycling LC'!N85-'Ethylene Recycling LC'!$C$85</f>
        <v>5.8739787795706127</v>
      </c>
      <c r="P124" s="44">
        <f>'Ethylene Recycling LC'!O85-'Ethylene Recycling LC'!$C$85</f>
        <v>6.811086716134672</v>
      </c>
      <c r="Q124" s="44">
        <f>'Ethylene Recycling LC'!P85-'Ethylene Recycling LC'!$C$85</f>
        <v>7.7495362422744991</v>
      </c>
      <c r="R124" s="44">
        <f>'Ethylene Recycling LC'!Q85-'Ethylene Recycling LC'!$C$85</f>
        <v>8.6844545434924285</v>
      </c>
      <c r="S124" s="44">
        <f>'Ethylene Recycling LC'!R85-'Ethylene Recycling LC'!$C$85</f>
        <v>9.6108451707107996</v>
      </c>
      <c r="T124" s="44">
        <f>'Ethylene Recycling LC'!S85-'Ethylene Recycling LC'!$C$85</f>
        <v>10.554649823061418</v>
      </c>
      <c r="U124" s="44">
        <f>'Ethylene Recycling LC'!T85-'Ethylene Recycling LC'!$C$85</f>
        <v>11.515836728870319</v>
      </c>
      <c r="V124" s="44">
        <f>'Ethylene Recycling LC'!U85-'Ethylene Recycling LC'!$C$85</f>
        <v>12.494364892855707</v>
      </c>
      <c r="W124" s="44">
        <f>'Ethylene Recycling LC'!V85-'Ethylene Recycling LC'!$C$85</f>
        <v>13.490183976785726</v>
      </c>
      <c r="X124" s="44">
        <f>'Ethylene Recycling LC'!W85-'Ethylene Recycling LC'!$C$85</f>
        <v>14.503234185347136</v>
      </c>
      <c r="Y124" s="44">
        <f>'Ethylene Recycling LC'!X85-'Ethylene Recycling LC'!$C$85</f>
        <v>16.007685266054359</v>
      </c>
      <c r="Z124" s="44">
        <f>'Ethylene Recycling LC'!Y85-'Ethylene Recycling LC'!$C$85</f>
        <v>17.539771958120422</v>
      </c>
      <c r="AA124" s="44">
        <f>'Ethylene Recycling LC'!Z85-'Ethylene Recycling LC'!$C$85</f>
        <v>19.099442146379275</v>
      </c>
      <c r="AB124" s="44">
        <f>'Ethylene Recycling LC'!AA85-'Ethylene Recycling LC'!$C$85</f>
        <v>20.686630277984381</v>
      </c>
      <c r="AC124" s="44">
        <f>'Ethylene Recycling LC'!AB85-'Ethylene Recycling LC'!$C$85</f>
        <v>22.301257203610465</v>
      </c>
      <c r="AD124" s="44">
        <f>'Ethylene Recycling LC'!AC85-'Ethylene Recycling LC'!$C$85</f>
        <v>23.94351966632949</v>
      </c>
      <c r="AE124" s="44">
        <f>'Ethylene Recycling LC'!AD85-'Ethylene Recycling LC'!$C$85</f>
        <v>25.613358632092478</v>
      </c>
      <c r="AF124" s="44">
        <f>'Ethylene Recycling LC'!AE85-'Ethylene Recycling LC'!$C$85</f>
        <v>27.310702671218763</v>
      </c>
      <c r="AG124" s="44">
        <f>'Ethylene Recycling LC'!AF85-'Ethylene Recycling LC'!$C$85</f>
        <v>29.035467822167689</v>
      </c>
      <c r="AH124" s="44">
        <f>'Ethylene Recycling LC'!AG85-'Ethylene Recycling LC'!$C$85</f>
        <v>30.787557461289175</v>
      </c>
    </row>
    <row r="125" spans="1:36" outlineLevel="1">
      <c r="A125"/>
      <c r="B125" t="s">
        <v>226</v>
      </c>
      <c r="C125" s="54" t="s">
        <v>153</v>
      </c>
      <c r="D125" s="44">
        <f>'Ethylene Recycling LC'!C144-'Ethylene Recycling LC'!$C$144</f>
        <v>0</v>
      </c>
      <c r="E125" s="44">
        <f>'Ethylene Recycling LC'!D144-'Ethylene Recycling LC'!$C$144</f>
        <v>1.9870187670681994E-2</v>
      </c>
      <c r="F125" s="44">
        <f>'Ethylene Recycling LC'!E144-'Ethylene Recycling LC'!$C$144</f>
        <v>3.9647370499631518E-2</v>
      </c>
      <c r="G125" s="44">
        <f>'Ethylene Recycling LC'!F144-'Ethylene Recycling LC'!$C$144</f>
        <v>5.9192880569213513E-2</v>
      </c>
      <c r="H125" s="44">
        <f>'Ethylene Recycling LC'!G144-'Ethylene Recycling LC'!$C$144</f>
        <v>7.8365111272651167E-2</v>
      </c>
      <c r="I125" s="44">
        <f>'Ethylene Recycling LC'!H144-'Ethylene Recycling LC'!$C$144</f>
        <v>9.702121184629231E-2</v>
      </c>
      <c r="J125" s="44">
        <f>'Ethylene Recycling LC'!I144-'Ethylene Recycling LC'!$C$144</f>
        <v>0.11589368829101121</v>
      </c>
      <c r="K125" s="44">
        <f>'Ethylene Recycling LC'!J144-'Ethylene Recycling LC'!$C$144</f>
        <v>0.13495875159383547</v>
      </c>
      <c r="L125" s="44">
        <f>'Ethylene Recycling LC'!K144-'Ethylene Recycling LC'!$C$144</f>
        <v>0.15419156921074628</v>
      </c>
      <c r="M125" s="44">
        <f>'Ethylene Recycling LC'!L144-'Ethylene Recycling LC'!$C$144</f>
        <v>0.17356630353239944</v>
      </c>
      <c r="N125" s="44">
        <f>'Ethylene Recycling LC'!M144-'Ethylene Recycling LC'!$C$144</f>
        <v>0.19305615452727248</v>
      </c>
      <c r="O125" s="44">
        <f>'Ethylene Recycling LC'!N144-'Ethylene Recycling LC'!$C$144</f>
        <v>0.22813334550781816</v>
      </c>
      <c r="P125" s="44">
        <f>'Ethylene Recycling LC'!O144-'Ethylene Recycling LC'!$C$144</f>
        <v>0.26268446177757709</v>
      </c>
      <c r="Q125" s="44">
        <f>'Ethylene Recycling LC'!P144-'Ethylene Recycling LC'!$C$144</f>
        <v>0.2965045661214194</v>
      </c>
      <c r="R125" s="44">
        <f>'Ethylene Recycling LC'!Q144-'Ethylene Recycling LC'!$C$144</f>
        <v>0.32939006583985642</v>
      </c>
      <c r="S125" s="44">
        <f>'Ethylene Recycling LC'!R144-'Ethylene Recycling LC'!$C$144</f>
        <v>0.36114072300782607</v>
      </c>
      <c r="T125" s="44">
        <f>'Ethylene Recycling LC'!S144-'Ethylene Recycling LC'!$C$144</f>
        <v>0.39279046781575455</v>
      </c>
      <c r="U125" s="44">
        <f>'Ethylene Recycling LC'!T144-'Ethylene Recycling LC'!$C$144</f>
        <v>0.42431769035619771</v>
      </c>
      <c r="V125" s="44">
        <f>'Ethylene Recycling LC'!U144-'Ethylene Recycling LC'!$C$144</f>
        <v>0.45570052145087125</v>
      </c>
      <c r="W125" s="44">
        <f>'Ethylene Recycling LC'!V144-'Ethylene Recycling LC'!$C$144</f>
        <v>0.48691684506649113</v>
      </c>
      <c r="X125" s="44">
        <f>'Ethylene Recycling LC'!W144-'Ethylene Recycling LC'!$C$144</f>
        <v>0.51794431112122552</v>
      </c>
      <c r="Y125" s="44">
        <f>'Ethylene Recycling LC'!X144-'Ethylene Recycling LC'!$C$144</f>
        <v>0.56984747274019065</v>
      </c>
      <c r="Z125" s="44">
        <f>'Ethylene Recycling LC'!Y144-'Ethylene Recycling LC'!$C$144</f>
        <v>0.62149234648764928</v>
      </c>
      <c r="AA125" s="44">
        <f>'Ethylene Recycling LC'!Z144-'Ethylene Recycling LC'!$C$144</f>
        <v>0.67284330822290628</v>
      </c>
      <c r="AB125" s="44">
        <f>'Ethylene Recycling LC'!AA144-'Ethylene Recycling LC'!$C$144</f>
        <v>0.72386436950442434</v>
      </c>
      <c r="AC125" s="44">
        <f>'Ethylene Recycling LC'!AB144-'Ethylene Recycling LC'!$C$144</f>
        <v>0.77451919682826931</v>
      </c>
      <c r="AD125" s="44">
        <f>'Ethylene Recycling LC'!AC144-'Ethylene Recycling LC'!$C$144</f>
        <v>0.82478167520927748</v>
      </c>
      <c r="AE125" s="44">
        <f>'Ethylene Recycling LC'!AD144-'Ethylene Recycling LC'!$C$144</f>
        <v>0.87461626854245955</v>
      </c>
      <c r="AF125" s="44">
        <f>'Ethylene Recycling LC'!AE144-'Ethylene Recycling LC'!$C$144</f>
        <v>0.92398713230383878</v>
      </c>
      <c r="AG125" s="44">
        <f>'Ethylene Recycling LC'!AF144-'Ethylene Recycling LC'!$C$144</f>
        <v>0.9728581313079282</v>
      </c>
      <c r="AH125" s="44">
        <f>'Ethylene Recycling LC'!AG144-'Ethylene Recycling LC'!$C$144</f>
        <v>1.0211928579082863</v>
      </c>
    </row>
    <row r="126" spans="1:36" outlineLevel="1">
      <c r="A126" s="181"/>
      <c r="B126" s="181" t="s">
        <v>218</v>
      </c>
      <c r="C126" s="176" t="s">
        <v>153</v>
      </c>
      <c r="D126" s="238">
        <f>'Ethylene Recycling LC'!C112-'Ethylene Recycling LC'!$C$112</f>
        <v>0</v>
      </c>
      <c r="E126" s="238">
        <f>'Ethylene Recycling LC'!D112-'Ethylene Recycling LC'!$C$112</f>
        <v>8.1036143578664191E-3</v>
      </c>
      <c r="F126" s="238">
        <f>'Ethylene Recycling LC'!E112-'Ethylene Recycling LC'!$C$112</f>
        <v>1.609940366692527E-2</v>
      </c>
      <c r="G126" s="238">
        <f>'Ethylene Recycling LC'!F112-'Ethylene Recycling LC'!$C$112</f>
        <v>2.3905101638333849E-2</v>
      </c>
      <c r="H126" s="238">
        <f>'Ethylene Recycling LC'!G112-'Ethylene Recycling LC'!$C$112</f>
        <v>3.1439225638755217E-2</v>
      </c>
      <c r="I126" s="238">
        <f>'Ethylene Recycling LC'!H112-'Ethylene Recycling LC'!$C$112</f>
        <v>3.862235332974924E-2</v>
      </c>
      <c r="J126" s="238">
        <f>'Ethylene Recycling LC'!I112-'Ethylene Recycling LC'!$C$112</f>
        <v>4.5545029950712163E-2</v>
      </c>
      <c r="K126" s="238">
        <f>'Ethylene Recycling LC'!J112-'Ethylene Recycling LC'!$C$112</f>
        <v>5.2177167004869657E-2</v>
      </c>
      <c r="L126" s="238">
        <f>'Ethylene Recycling LC'!K112-'Ethylene Recycling LC'!$C$112</f>
        <v>5.8488582506057513E-2</v>
      </c>
      <c r="M126" s="238">
        <f>'Ethylene Recycling LC'!L112-'Ethylene Recycling LC'!$C$112</f>
        <v>6.4449095435599665E-2</v>
      </c>
      <c r="N126" s="238">
        <f>'Ethylene Recycling LC'!M112-'Ethylene Recycling LC'!$C$112</f>
        <v>7.0028622770268376E-2</v>
      </c>
      <c r="O126" s="238">
        <f>'Ethylene Recycling LC'!N112-'Ethylene Recycling LC'!$C$112</f>
        <v>8.2940611345569085E-2</v>
      </c>
      <c r="P126" s="238">
        <f>'Ethylene Recycling LC'!O112-'Ethylene Recycling LC'!$C$112</f>
        <v>9.4861322234094075E-2</v>
      </c>
      <c r="Q126" s="238">
        <f>'Ethylene Recycling LC'!P112-'Ethylene Recycling LC'!$C$112</f>
        <v>0.10595948842418162</v>
      </c>
      <c r="R126" s="238">
        <f>'Ethylene Recycling LC'!Q112-'Ethylene Recycling LC'!$C$112</f>
        <v>0.11590225507397608</v>
      </c>
      <c r="S126" s="238">
        <f>'Ethylene Recycling LC'!R112-'Ethylene Recycling LC'!$C$112</f>
        <v>0.12459702396361094</v>
      </c>
      <c r="T126" s="238">
        <f>'Ethylene Recycling LC'!S112-'Ethylene Recycling LC'!$C$112</f>
        <v>0.13225825372116032</v>
      </c>
      <c r="U126" s="238">
        <f>'Ethylene Recycling LC'!T112-'Ethylene Recycling LC'!$C$112</f>
        <v>0.13885282063474644</v>
      </c>
      <c r="V126" s="238">
        <f>'Ethylene Recycling LC'!U112-'Ethylene Recycling LC'!$C$112</f>
        <v>0.14434782739481733</v>
      </c>
      <c r="W126" s="238">
        <f>'Ethylene Recycling LC'!V112-'Ethylene Recycling LC'!$C$112</f>
        <v>0.14871063573221188</v>
      </c>
      <c r="X126" s="238">
        <f>'Ethylene Recycling LC'!W112-'Ethylene Recycling LC'!$C$112</f>
        <v>0.15190889932991902</v>
      </c>
      <c r="Y126" s="238">
        <f>'Ethylene Recycling LC'!X112-'Ethylene Recycling LC'!$C$112</f>
        <v>0.16100201233898523</v>
      </c>
      <c r="Z126" s="238">
        <f>'Ethylene Recycling LC'!Y112-'Ethylene Recycling LC'!$C$112</f>
        <v>0.1681645012221456</v>
      </c>
      <c r="AA126" s="238">
        <f>'Ethylene Recycling LC'!Z112-'Ethylene Recycling LC'!$C$112</f>
        <v>0.17394571171526621</v>
      </c>
      <c r="AB126" s="238">
        <f>'Ethylene Recycling LC'!AA112-'Ethylene Recycling LC'!$C$112</f>
        <v>0.17770681686436945</v>
      </c>
      <c r="AC126" s="238">
        <f>'Ethylene Recycling LC'!AB112-'Ethylene Recycling LC'!$C$112</f>
        <v>0.17937743638462184</v>
      </c>
      <c r="AD126" s="238">
        <f>'Ethylene Recycling LC'!AC112-'Ethylene Recycling LC'!$C$112</f>
        <v>0.17888932782371214</v>
      </c>
      <c r="AE126" s="238">
        <f>'Ethylene Recycling LC'!AD112-'Ethylene Recycling LC'!$C$112</f>
        <v>0.17617239168662263</v>
      </c>
      <c r="AF126" s="238">
        <f>'Ethylene Recycling LC'!AE112-'Ethylene Recycling LC'!$C$112</f>
        <v>0.17115667325208914</v>
      </c>
      <c r="AG126" s="238">
        <f>'Ethylene Recycling LC'!AF112-'Ethylene Recycling LC'!$C$112</f>
        <v>0.16377242207284978</v>
      </c>
      <c r="AH126" s="238">
        <f>'Ethylene Recycling LC'!AG112-'Ethylene Recycling LC'!$C$112</f>
        <v>0.15395015230657824</v>
      </c>
    </row>
    <row r="127" spans="1:36" s="68" customFormat="1">
      <c r="A127" s="239"/>
      <c r="B127" s="239" t="s">
        <v>219</v>
      </c>
      <c r="C127" s="240" t="s">
        <v>153</v>
      </c>
      <c r="D127" s="241">
        <f>D122-D123-D124-D125-D126-IF(D131&lt;0,D131,0)</f>
        <v>34.871127768537121</v>
      </c>
      <c r="E127" s="241">
        <f t="shared" ref="E127:AH127" si="39">E122-E123-E124-E125-E126-IF(E131&lt;0,E131,0)</f>
        <v>34.907338690250754</v>
      </c>
      <c r="F127" s="241">
        <f t="shared" si="39"/>
        <v>34.946566061504342</v>
      </c>
      <c r="G127" s="241">
        <f t="shared" si="39"/>
        <v>34.992340003238851</v>
      </c>
      <c r="H127" s="241">
        <f t="shared" si="39"/>
        <v>35.048382563768925</v>
      </c>
      <c r="I127" s="241">
        <f t="shared" si="39"/>
        <v>35.118571782336979</v>
      </c>
      <c r="J127" s="241">
        <f t="shared" si="39"/>
        <v>35.184242751439818</v>
      </c>
      <c r="K127" s="241">
        <f t="shared" si="39"/>
        <v>35.245805814741239</v>
      </c>
      <c r="L127" s="241">
        <f t="shared" si="39"/>
        <v>35.303709052139055</v>
      </c>
      <c r="M127" s="241">
        <f t="shared" si="39"/>
        <v>35.358438773490548</v>
      </c>
      <c r="N127" s="241">
        <f t="shared" si="39"/>
        <v>35.410519927178498</v>
      </c>
      <c r="O127" s="241">
        <f t="shared" si="39"/>
        <v>34.986466569297093</v>
      </c>
      <c r="P127" s="241">
        <f t="shared" si="39"/>
        <v>34.567568028381011</v>
      </c>
      <c r="Q127" s="241">
        <f t="shared" si="39"/>
        <v>34.159553947121708</v>
      </c>
      <c r="R127" s="241">
        <f t="shared" si="39"/>
        <v>33.768851793367702</v>
      </c>
      <c r="S127" s="241">
        <f t="shared" si="39"/>
        <v>33.401795090129781</v>
      </c>
      <c r="T127" s="241">
        <f t="shared" si="39"/>
        <v>33.029253425329195</v>
      </c>
      <c r="U127" s="241">
        <f t="shared" si="39"/>
        <v>32.651562692301852</v>
      </c>
      <c r="V127" s="241">
        <f t="shared" si="39"/>
        <v>32.269073079447843</v>
      </c>
      <c r="W127" s="241">
        <f t="shared" si="39"/>
        <v>31.882149202185762</v>
      </c>
      <c r="X127" s="241">
        <f t="shared" si="39"/>
        <v>31.491170229040058</v>
      </c>
      <c r="Y127" s="241">
        <f t="shared" si="39"/>
        <v>30.495339863808333</v>
      </c>
      <c r="Z127" s="241">
        <f t="shared" si="39"/>
        <v>29.48509384495302</v>
      </c>
      <c r="AA127" s="241">
        <f t="shared" si="39"/>
        <v>28.460265764865539</v>
      </c>
      <c r="AB127" s="241">
        <f t="shared" si="39"/>
        <v>27.421897260019307</v>
      </c>
      <c r="AC127" s="241">
        <f t="shared" si="39"/>
        <v>26.370481589945665</v>
      </c>
      <c r="AD127" s="241">
        <f t="shared" si="39"/>
        <v>25.306192982437032</v>
      </c>
      <c r="AE127" s="241">
        <f t="shared" si="39"/>
        <v>24.229507981842719</v>
      </c>
      <c r="AF127" s="241">
        <f t="shared" si="39"/>
        <v>23.140921824507963</v>
      </c>
      <c r="AG127" s="241">
        <f t="shared" si="39"/>
        <v>22.040948561128431</v>
      </c>
      <c r="AH127" s="241">
        <f t="shared" si="39"/>
        <v>20.930121171918596</v>
      </c>
    </row>
    <row r="128" spans="1:36" s="67" customFormat="1">
      <c r="A128" s="755" t="s">
        <v>257</v>
      </c>
      <c r="B128" s="58" t="s">
        <v>258</v>
      </c>
      <c r="C128" s="59" t="s">
        <v>153</v>
      </c>
      <c r="D128" s="60">
        <f>D44-('Ethylene Recycling LC'!C86+'Ethylene Recycling LC'!C113+'Ethylene Recycling LC'!C145+'Ethylene Recycling LC'!C163-('Ethylene Recycling LC'!$C$86+'Ethylene Recycling LC'!$C$113+'Ethylene Recycling LC'!$C$145+'Ethylene Recycling LC'!$C$163))</f>
        <v>12.029370629370625</v>
      </c>
      <c r="E128" s="60">
        <f>E44-('Ethylene Recycling LC'!D86+'Ethylene Recycling LC'!D113+'Ethylene Recycling LC'!D145+'Ethylene Recycling LC'!D163-('Ethylene Recycling LC'!$C$86+'Ethylene Recycling LC'!$C$113+'Ethylene Recycling LC'!$C$145+'Ethylene Recycling LC'!$C$163))</f>
        <v>11.817751241924821</v>
      </c>
      <c r="F128" s="60">
        <f>F44-('Ethylene Recycling LC'!E86+'Ethylene Recycling LC'!E113+'Ethylene Recycling LC'!E145+'Ethylene Recycling LC'!E163-('Ethylene Recycling LC'!$C$86+'Ethylene Recycling LC'!$C$113+'Ethylene Recycling LC'!$C$145+'Ethylene Recycling LC'!$C$163))</f>
        <v>11.614750276054671</v>
      </c>
      <c r="G128" s="60">
        <f>G44-('Ethylene Recycling LC'!F86+'Ethylene Recycling LC'!F113+'Ethylene Recycling LC'!F145+'Ethylene Recycling LC'!F163-('Ethylene Recycling LC'!$C$86+'Ethylene Recycling LC'!$C$113+'Ethylene Recycling LC'!$C$145+'Ethylene Recycling LC'!$C$163))</f>
        <v>11.423435785957054</v>
      </c>
      <c r="H128" s="60">
        <f>H44-('Ethylene Recycling LC'!G86+'Ethylene Recycling LC'!G113+'Ethylene Recycling LC'!G145+'Ethylene Recycling LC'!G163-('Ethylene Recycling LC'!$C$86+'Ethylene Recycling LC'!$C$113+'Ethylene Recycling LC'!$C$145+'Ethylene Recycling LC'!$C$163))</f>
        <v>11.246908127237056</v>
      </c>
      <c r="I128" s="60">
        <f>I44-('Ethylene Recycling LC'!H86+'Ethylene Recycling LC'!H113+'Ethylene Recycling LC'!H145+'Ethylene Recycling LC'!H163-('Ethylene Recycling LC'!$C$86+'Ethylene Recycling LC'!$C$113+'Ethylene Recycling LC'!$C$145+'Ethylene Recycling LC'!$C$163))</f>
        <v>11.088262232267784</v>
      </c>
      <c r="J128" s="60">
        <f>J44-('Ethylene Recycling LC'!I86+'Ethylene Recycling LC'!I113+'Ethylene Recycling LC'!I145+'Ethylene Recycling LC'!I163-('Ethylene Recycling LC'!$C$86+'Ethylene Recycling LC'!$C$113+'Ethylene Recycling LC'!$C$145+'Ethylene Recycling LC'!$C$163))</f>
        <v>10.930878809748851</v>
      </c>
      <c r="K128" s="60">
        <f>K44-('Ethylene Recycling LC'!J86+'Ethylene Recycling LC'!J113+'Ethylene Recycling LC'!J145+'Ethylene Recycling LC'!J163-('Ethylene Recycling LC'!$C$86+'Ethylene Recycling LC'!$C$113+'Ethylene Recycling LC'!$C$145+'Ethylene Recycling LC'!$C$163))</f>
        <v>10.775414628930253</v>
      </c>
      <c r="L128" s="60">
        <f>L44-('Ethylene Recycling LC'!K86+'Ethylene Recycling LC'!K113+'Ethylene Recycling LC'!K145+'Ethylene Recycling LC'!K163-('Ethylene Recycling LC'!$C$86+'Ethylene Recycling LC'!$C$113+'Ethylene Recycling LC'!$C$145+'Ethylene Recycling LC'!$C$163))</f>
        <v>10.622548957029128</v>
      </c>
      <c r="M128" s="60">
        <f>M44-('Ethylene Recycling LC'!L86+'Ethylene Recycling LC'!L113+'Ethylene Recycling LC'!L145+'Ethylene Recycling LC'!L163-('Ethylene Recycling LC'!$C$86+'Ethylene Recycling LC'!$C$113+'Ethylene Recycling LC'!$C$145+'Ethylene Recycling LC'!$C$163))</f>
        <v>10.472982447586656</v>
      </c>
      <c r="N128" s="60">
        <f>N44-('Ethylene Recycling LC'!M86+'Ethylene Recycling LC'!M113+'Ethylene Recycling LC'!M145+'Ethylene Recycling LC'!M163-('Ethylene Recycling LC'!$C$86+'Ethylene Recycling LC'!$C$113+'Ethylene Recycling LC'!$C$145+'Ethylene Recycling LC'!$C$163))</f>
        <v>10.327435929716728</v>
      </c>
      <c r="O128" s="60">
        <f>O44-('Ethylene Recycling LC'!N86+'Ethylene Recycling LC'!N113+'Ethylene Recycling LC'!N145+'Ethylene Recycling LC'!N163-('Ethylene Recycling LC'!$C$86+'Ethylene Recycling LC'!$C$113+'Ethylene Recycling LC'!$C$145+'Ethylene Recycling LC'!$C$163))</f>
        <v>9.8199082638077968</v>
      </c>
      <c r="P128" s="60">
        <f>P44-('Ethylene Recycling LC'!O86+'Ethylene Recycling LC'!O113+'Ethylene Recycling LC'!O145+'Ethylene Recycling LC'!O163-('Ethylene Recycling LC'!$C$86+'Ethylene Recycling LC'!$C$113+'Ethylene Recycling LC'!$C$145+'Ethylene Recycling LC'!$C$163))</f>
        <v>9.3314209277254818</v>
      </c>
      <c r="Q128" s="60">
        <f>Q44-('Ethylene Recycling LC'!P86+'Ethylene Recycling LC'!P113+'Ethylene Recycling LC'!P145+'Ethylene Recycling LC'!P163-('Ethylene Recycling LC'!$C$86+'Ethylene Recycling LC'!$C$113+'Ethylene Recycling LC'!$C$145+'Ethylene Recycling LC'!$C$163))</f>
        <v>8.8664055228490604</v>
      </c>
      <c r="R128" s="60">
        <f>R44-('Ethylene Recycling LC'!Q86+'Ethylene Recycling LC'!Q113+'Ethylene Recycling LC'!Q145+'Ethylene Recycling LC'!Q163-('Ethylene Recycling LC'!$C$86+'Ethylene Recycling LC'!$C$113+'Ethylene Recycling LC'!$C$145+'Ethylene Recycling LC'!$C$163))</f>
        <v>8.4296272110425718</v>
      </c>
      <c r="S128" s="60">
        <f>S44-('Ethylene Recycling LC'!R86+'Ethylene Recycling LC'!R113+'Ethylene Recycling LC'!R145+'Ethylene Recycling LC'!R163-('Ethylene Recycling LC'!$C$86+'Ethylene Recycling LC'!$C$113+'Ethylene Recycling LC'!$C$145+'Ethylene Recycling LC'!$C$163))</f>
        <v>8.0255662740516804</v>
      </c>
      <c r="T128" s="60">
        <f>T44-('Ethylene Recycling LC'!S86+'Ethylene Recycling LC'!S113+'Ethylene Recycling LC'!S145+'Ethylene Recycling LC'!S163-('Ethylene Recycling LC'!$C$86+'Ethylene Recycling LC'!$C$113+'Ethylene Recycling LC'!$C$145+'Ethylene Recycling LC'!$C$163))</f>
        <v>7.6317895190148999</v>
      </c>
      <c r="U128" s="60">
        <f>U44-('Ethylene Recycling LC'!T86+'Ethylene Recycling LC'!T113+'Ethylene Recycling LC'!T145+'Ethylene Recycling LC'!T163-('Ethylene Recycling LC'!$C$86+'Ethylene Recycling LC'!$C$113+'Ethylene Recycling LC'!$C$145+'Ethylene Recycling LC'!$C$163))</f>
        <v>7.2490065488179738</v>
      </c>
      <c r="V128" s="60">
        <f>V44-('Ethylene Recycling LC'!U86+'Ethylene Recycling LC'!U113+'Ethylene Recycling LC'!U145+'Ethylene Recycling LC'!U163-('Ethylene Recycling LC'!$C$86+'Ethylene Recycling LC'!$C$113+'Ethylene Recycling LC'!$C$145+'Ethylene Recycling LC'!$C$163))</f>
        <v>6.8779347469566154</v>
      </c>
      <c r="W128" s="60">
        <f>W44-('Ethylene Recycling LC'!V86+'Ethylene Recycling LC'!V113+'Ethylene Recycling LC'!V145+'Ethylene Recycling LC'!V163-('Ethylene Recycling LC'!$C$86+'Ethylene Recycling LC'!$C$113+'Ethylene Recycling LC'!$C$145+'Ethylene Recycling LC'!$C$163))</f>
        <v>6.5192988653433694</v>
      </c>
      <c r="X128" s="60">
        <f>X44-('Ethylene Recycling LC'!W86+'Ethylene Recycling LC'!W113+'Ethylene Recycling LC'!W145+'Ethylene Recycling LC'!W163-('Ethylene Recycling LC'!$C$86+'Ethylene Recycling LC'!$C$113+'Ethylene Recycling LC'!$C$145+'Ethylene Recycling LC'!$C$163))</f>
        <v>6.1738305998746412</v>
      </c>
      <c r="Y128" s="60">
        <f>Y44-('Ethylene Recycling LC'!X86+'Ethylene Recycling LC'!X113+'Ethylene Recycling LC'!X145+'Ethylene Recycling LC'!X163-('Ethylene Recycling LC'!$C$86+'Ethylene Recycling LC'!$C$113+'Ethylene Recycling LC'!$C$145+'Ethylene Recycling LC'!$C$163))</f>
        <v>5.4333817436744916</v>
      </c>
      <c r="Z128" s="60">
        <f>Z44-('Ethylene Recycling LC'!Y86+'Ethylene Recycling LC'!Y113+'Ethylene Recycling LC'!Y145+'Ethylene Recycling LC'!Y163-('Ethylene Recycling LC'!$C$86+'Ethylene Recycling LC'!$C$113+'Ethylene Recycling LC'!$C$145+'Ethylene Recycling LC'!$C$163))</f>
        <v>4.7097284563709074</v>
      </c>
      <c r="AA128" s="60">
        <f>AA44-('Ethylene Recycling LC'!Z86+'Ethylene Recycling LC'!Z113+'Ethylene Recycling LC'!Z145+'Ethylene Recycling LC'!Z163-('Ethylene Recycling LC'!$C$86+'Ethylene Recycling LC'!$C$113+'Ethylene Recycling LC'!$C$145+'Ethylene Recycling LC'!$C$163))</f>
        <v>4.0035144801472171</v>
      </c>
      <c r="AB128" s="60">
        <f>AB44-('Ethylene Recycling LC'!AA86+'Ethylene Recycling LC'!AA113+'Ethylene Recycling LC'!AA145+'Ethylene Recycling LC'!AA163-('Ethylene Recycling LC'!$C$86+'Ethylene Recycling LC'!$C$113+'Ethylene Recycling LC'!$C$145+'Ethylene Recycling LC'!$C$163))</f>
        <v>3.3162745555221491</v>
      </c>
      <c r="AC128" s="60">
        <f>AC44-('Ethylene Recycling LC'!AB86+'Ethylene Recycling LC'!AB113+'Ethylene Recycling LC'!AB145+'Ethylene Recycling LC'!AB163-('Ethylene Recycling LC'!$C$86+'Ethylene Recycling LC'!$C$113+'Ethylene Recycling LC'!$C$145+'Ethylene Recycling LC'!$C$163))</f>
        <v>2.6491296309373347</v>
      </c>
      <c r="AD128" s="60">
        <f>AD44-('Ethylene Recycling LC'!AC86+'Ethylene Recycling LC'!AC113+'Ethylene Recycling LC'!AC145+'Ethylene Recycling LC'!AC163-('Ethylene Recycling LC'!$C$86+'Ethylene Recycling LC'!$C$113+'Ethylene Recycling LC'!$C$145+'Ethylene Recycling LC'!$C$163))</f>
        <v>2.0029879858585566</v>
      </c>
      <c r="AE128" s="60">
        <f>AE44-('Ethylene Recycling LC'!AD86+'Ethylene Recycling LC'!AD113+'Ethylene Recycling LC'!AD145+'Ethylene Recycling LC'!AD163-('Ethylene Recycling LC'!$C$86+'Ethylene Recycling LC'!$C$113+'Ethylene Recycling LC'!$C$145+'Ethylene Recycling LC'!$C$163))</f>
        <v>1.378960040794464</v>
      </c>
      <c r="AF128" s="60">
        <f>AF44-('Ethylene Recycling LC'!AE86+'Ethylene Recycling LC'!AE113+'Ethylene Recycling LC'!AE145+'Ethylene Recycling LC'!AE163-('Ethylene Recycling LC'!$C$86+'Ethylene Recycling LC'!$C$113+'Ethylene Recycling LC'!$C$145+'Ethylene Recycling LC'!$C$163))</f>
        <v>0.77816438576196134</v>
      </c>
      <c r="AG128" s="60">
        <f>AG44-('Ethylene Recycling LC'!AF86+'Ethylene Recycling LC'!AF113+'Ethylene Recycling LC'!AF145+'Ethylene Recycling LC'!AF163-('Ethylene Recycling LC'!$C$86+'Ethylene Recycling LC'!$C$113+'Ethylene Recycling LC'!$C$145+'Ethylene Recycling LC'!$C$163))</f>
        <v>0.20172717223118397</v>
      </c>
      <c r="AH128" s="60">
        <f>AH44-('Ethylene Recycling LC'!AG86+'Ethylene Recycling LC'!AG113+'Ethylene Recycling LC'!AG145+'Ethylene Recycling LC'!AG163-('Ethylene Recycling LC'!$C$86+'Ethylene Recycling LC'!$C$113+'Ethylene Recycling LC'!$C$145+'Ethylene Recycling LC'!$C$163))</f>
        <v>-0.34921850838932045</v>
      </c>
      <c r="AI128" s="60"/>
    </row>
    <row r="129" spans="1:35">
      <c r="A129" s="756"/>
      <c r="B129" s="1" t="s">
        <v>260</v>
      </c>
      <c r="C129" s="54" t="s">
        <v>153</v>
      </c>
      <c r="D129" s="44">
        <f>D45+(D133-D49)</f>
        <v>4.5813083502024288</v>
      </c>
      <c r="E129" s="44">
        <f t="shared" ref="E129:AH129" si="40">E45+(E133-E49)</f>
        <v>4.6302172733455578</v>
      </c>
      <c r="F129" s="44">
        <f t="shared" si="40"/>
        <v>4.6789391130859368</v>
      </c>
      <c r="G129" s="44">
        <f t="shared" si="40"/>
        <v>4.727606338397317</v>
      </c>
      <c r="H129" s="44">
        <f t="shared" si="40"/>
        <v>4.7763739710998934</v>
      </c>
      <c r="I129" s="44">
        <f t="shared" si="40"/>
        <v>4.8254191420359849</v>
      </c>
      <c r="J129" s="44">
        <f t="shared" si="40"/>
        <v>4.8739846302024823</v>
      </c>
      <c r="K129" s="44">
        <f t="shared" si="40"/>
        <v>4.9220506517264671</v>
      </c>
      <c r="L129" s="44">
        <f t="shared" si="40"/>
        <v>4.9696000716880615</v>
      </c>
      <c r="M129" s="44">
        <f t="shared" si="40"/>
        <v>5.0166186244546722</v>
      </c>
      <c r="N129" s="44">
        <f t="shared" si="40"/>
        <v>5.0630951346977646</v>
      </c>
      <c r="O129" s="44">
        <f t="shared" si="40"/>
        <v>5.0887503915388645</v>
      </c>
      <c r="P129" s="44">
        <f t="shared" si="40"/>
        <v>5.1131991244774042</v>
      </c>
      <c r="Q129" s="44">
        <f t="shared" si="40"/>
        <v>5.1367153914255761</v>
      </c>
      <c r="R129" s="44">
        <f t="shared" si="40"/>
        <v>5.1596077772394295</v>
      </c>
      <c r="S129" s="44">
        <f t="shared" si="40"/>
        <v>5.1822180282688803</v>
      </c>
      <c r="T129" s="44">
        <f t="shared" si="40"/>
        <v>5.2030388407560846</v>
      </c>
      <c r="U129" s="44">
        <f t="shared" si="40"/>
        <v>5.222031065719718</v>
      </c>
      <c r="V129" s="44">
        <f t="shared" si="40"/>
        <v>5.2391567494030316</v>
      </c>
      <c r="W129" s="44">
        <f t="shared" si="40"/>
        <v>5.2543792115109635</v>
      </c>
      <c r="X129" s="44">
        <f t="shared" si="40"/>
        <v>5.2676631242721896</v>
      </c>
      <c r="Y129" s="44">
        <f t="shared" si="40"/>
        <v>5.2443023569545186</v>
      </c>
      <c r="Z129" s="44">
        <f t="shared" si="40"/>
        <v>5.2169896664977431</v>
      </c>
      <c r="AA129" s="44">
        <f t="shared" si="40"/>
        <v>5.1856509384782603</v>
      </c>
      <c r="AB129" s="44">
        <f t="shared" si="40"/>
        <v>5.1502137917066992</v>
      </c>
      <c r="AC129" s="44">
        <f t="shared" si="40"/>
        <v>5.110607689448659</v>
      </c>
      <c r="AD129" s="44">
        <f t="shared" si="40"/>
        <v>5.0667424633867455</v>
      </c>
      <c r="AE129" s="44">
        <f t="shared" si="40"/>
        <v>5.0185467822912413</v>
      </c>
      <c r="AF129" s="44">
        <f t="shared" si="40"/>
        <v>4.9659511247429622</v>
      </c>
      <c r="AG129" s="44">
        <f t="shared" si="40"/>
        <v>4.908887883543021</v>
      </c>
      <c r="AH129" s="44">
        <f t="shared" si="40"/>
        <v>4.8472914709719008</v>
      </c>
      <c r="AI129" s="44"/>
    </row>
    <row r="130" spans="1:35">
      <c r="A130" s="756"/>
      <c r="B130" s="1" t="s">
        <v>262</v>
      </c>
      <c r="C130" s="54" t="s">
        <v>153</v>
      </c>
      <c r="D130" s="44">
        <f>D46+(D132-D48)</f>
        <v>13.515976331360944</v>
      </c>
      <c r="E130" s="44">
        <f t="shared" ref="E130:AH130" si="41">E46+(E132-E48)</f>
        <v>13.675854360976428</v>
      </c>
      <c r="F130" s="44">
        <f t="shared" si="41"/>
        <v>13.833940215272635</v>
      </c>
      <c r="G130" s="44">
        <f t="shared" si="41"/>
        <v>13.990537547364356</v>
      </c>
      <c r="H130" s="44">
        <f t="shared" si="41"/>
        <v>14.146024194138281</v>
      </c>
      <c r="I130" s="44">
        <f t="shared" si="41"/>
        <v>14.300851647665583</v>
      </c>
      <c r="J130" s="44">
        <f t="shared" si="41"/>
        <v>14.454315331336851</v>
      </c>
      <c r="K130" s="44">
        <f t="shared" si="41"/>
        <v>14.606358574955124</v>
      </c>
      <c r="L130" s="44">
        <f t="shared" si="41"/>
        <v>14.756932369172015</v>
      </c>
      <c r="M130" s="44">
        <f t="shared" si="41"/>
        <v>14.905995982007234</v>
      </c>
      <c r="N130" s="44">
        <f t="shared" si="41"/>
        <v>15.05351757678155</v>
      </c>
      <c r="O130" s="44">
        <f t="shared" si="41"/>
        <v>15.139815552508304</v>
      </c>
      <c r="P130" s="44">
        <f t="shared" si="41"/>
        <v>15.221833837889099</v>
      </c>
      <c r="Q130" s="44">
        <f t="shared" si="41"/>
        <v>15.30033568189271</v>
      </c>
      <c r="R130" s="44">
        <f t="shared" si="41"/>
        <v>15.37620799078754</v>
      </c>
      <c r="S130" s="44">
        <f t="shared" si="41"/>
        <v>15.450426847805085</v>
      </c>
      <c r="T130" s="44">
        <f t="shared" si="41"/>
        <v>15.520013775541283</v>
      </c>
      <c r="U130" s="44">
        <f t="shared" si="41"/>
        <v>15.584864928343849</v>
      </c>
      <c r="V130" s="44">
        <f t="shared" si="41"/>
        <v>15.644879589716949</v>
      </c>
      <c r="W130" s="44">
        <f t="shared" si="41"/>
        <v>15.699960382862727</v>
      </c>
      <c r="X130" s="44">
        <f t="shared" si="41"/>
        <v>15.750013483669605</v>
      </c>
      <c r="Y130" s="44">
        <f t="shared" si="41"/>
        <v>15.697103061002682</v>
      </c>
      <c r="Z130" s="44">
        <f t="shared" si="41"/>
        <v>15.633829231227404</v>
      </c>
      <c r="AA130" s="44">
        <f t="shared" si="41"/>
        <v>15.559942189959333</v>
      </c>
      <c r="AB130" s="44">
        <f t="shared" si="41"/>
        <v>15.475289746118083</v>
      </c>
      <c r="AC130" s="44">
        <f t="shared" si="41"/>
        <v>15.379682007039548</v>
      </c>
      <c r="AD130" s="44">
        <f t="shared" si="41"/>
        <v>15.272879971764537</v>
      </c>
      <c r="AE130" s="44">
        <f t="shared" si="41"/>
        <v>15.154690988337407</v>
      </c>
      <c r="AF130" s="44">
        <f t="shared" si="41"/>
        <v>15.024927231863906</v>
      </c>
      <c r="AG130" s="44">
        <f t="shared" si="41"/>
        <v>14.883405988134079</v>
      </c>
      <c r="AH130" s="44">
        <f t="shared" si="41"/>
        <v>14.729949939511105</v>
      </c>
      <c r="AI130" s="44"/>
    </row>
    <row r="131" spans="1:35">
      <c r="A131" s="757"/>
      <c r="B131" s="1" t="s">
        <v>248</v>
      </c>
      <c r="C131" s="54" t="s">
        <v>153</v>
      </c>
      <c r="D131" s="44">
        <f>D47-('Ethylene Recycling LC'!C87+'Ethylene Recycling LC'!C114+'Ethylene Recycling LC'!C146+'Ethylene Recycling LC'!C164-('Ethylene Recycling LC'!$C$87+'Ethylene Recycling LC'!$C$114+'Ethylene Recycling LC'!$C$146+'Ethylene Recycling LC'!$C$164)+'Ethylene Recycling LC'!C90+'Ethylene Recycling LC'!C117+'Ethylene Recycling LC'!C149+'Ethylene Recycling LC'!C167-('Ethylene Recycling LC'!$C$90+'Ethylene Recycling LC'!$C$117+'Ethylene Recycling LC'!$C$149+'Ethylene Recycling LC'!$C$167))</f>
        <v>4.7444724576031234</v>
      </c>
      <c r="E131" s="44">
        <f>E47-('Ethylene Recycling LC'!D87+'Ethylene Recycling LC'!D114+'Ethylene Recycling LC'!D146+'Ethylene Recycling LC'!D164-('Ethylene Recycling LC'!$C$87+'Ethylene Recycling LC'!$C$114+'Ethylene Recycling LC'!$C$146+'Ethylene Recycling LC'!$C$164)+'Ethylene Recycling LC'!D90+'Ethylene Recycling LC'!D117+'Ethylene Recycling LC'!D149+'Ethylene Recycling LC'!D167-('Ethylene Recycling LC'!$C$90+'Ethylene Recycling LC'!$C$117+'Ethylene Recycling LC'!$C$149+'Ethylene Recycling LC'!$C$167))</f>
        <v>4.7835158140039491</v>
      </c>
      <c r="F131" s="44">
        <f>F47-('Ethylene Recycling LC'!E87+'Ethylene Recycling LC'!E114+'Ethylene Recycling LC'!E146+'Ethylene Recycling LC'!E164-('Ethylene Recycling LC'!$C$87+'Ethylene Recycling LC'!$C$114+'Ethylene Recycling LC'!$C$146+'Ethylene Recycling LC'!$C$164)+'Ethylene Recycling LC'!E90+'Ethylene Recycling LC'!E117+'Ethylene Recycling LC'!E149+'Ethylene Recycling LC'!E167-('Ethylene Recycling LC'!$C$90+'Ethylene Recycling LC'!$C$117+'Ethylene Recycling LC'!$C$149+'Ethylene Recycling LC'!$C$167))</f>
        <v>4.8189364570911026</v>
      </c>
      <c r="G131" s="44">
        <f>G47-('Ethylene Recycling LC'!F87+'Ethylene Recycling LC'!F114+'Ethylene Recycling LC'!F146+'Ethylene Recycling LC'!F164-('Ethylene Recycling LC'!$C$87+'Ethylene Recycling LC'!$C$114+'Ethylene Recycling LC'!$C$146+'Ethylene Recycling LC'!$C$164)+'Ethylene Recycling LC'!F90+'Ethylene Recycling LC'!F117+'Ethylene Recycling LC'!F149+'Ethylene Recycling LC'!F167-('Ethylene Recycling LC'!$C$90+'Ethylene Recycling LC'!$C$117+'Ethylene Recycling LC'!$C$149+'Ethylene Recycling LC'!$C$167))</f>
        <v>4.8507603315201253</v>
      </c>
      <c r="H131" s="44">
        <f>H47-('Ethylene Recycling LC'!G87+'Ethylene Recycling LC'!G114+'Ethylene Recycling LC'!G146+'Ethylene Recycling LC'!G164-('Ethylene Recycling LC'!$C$87+'Ethylene Recycling LC'!$C$114+'Ethylene Recycling LC'!$C$146+'Ethylene Recycling LC'!$C$164)+'Ethylene Recycling LC'!G90+'Ethylene Recycling LC'!G117+'Ethylene Recycling LC'!G149+'Ethylene Recycling LC'!G167-('Ethylene Recycling LC'!$C$90+'Ethylene Recycling LC'!$C$117+'Ethylene Recycling LC'!$C$149+'Ethylene Recycling LC'!$C$167))</f>
        <v>4.8790762712936937</v>
      </c>
      <c r="I131" s="44">
        <f>I47-('Ethylene Recycling LC'!H87+'Ethylene Recycling LC'!H114+'Ethylene Recycling LC'!H146+'Ethylene Recycling LC'!H164-('Ethylene Recycling LC'!$C$87+'Ethylene Recycling LC'!$C$114+'Ethylene Recycling LC'!$C$146+'Ethylene Recycling LC'!$C$164)+'Ethylene Recycling LC'!H90+'Ethylene Recycling LC'!H117+'Ethylene Recycling LC'!H149+'Ethylene Recycling LC'!H167-('Ethylene Recycling LC'!$C$90+'Ethylene Recycling LC'!$C$117+'Ethylene Recycling LC'!$C$149+'Ethylene Recycling LC'!$C$167))</f>
        <v>4.904038760367631</v>
      </c>
      <c r="J131" s="44">
        <f>J47-('Ethylene Recycling LC'!I87+'Ethylene Recycling LC'!I114+'Ethylene Recycling LC'!I146+'Ethylene Recycling LC'!I164-('Ethylene Recycling LC'!$C$87+'Ethylene Recycling LC'!$C$114+'Ethylene Recycling LC'!$C$146+'Ethylene Recycling LC'!$C$164)+'Ethylene Recycling LC'!I90+'Ethylene Recycling LC'!I117+'Ethylene Recycling LC'!I149+'Ethylene Recycling LC'!I167-('Ethylene Recycling LC'!$C$90+'Ethylene Recycling LC'!$C$117+'Ethylene Recycling LC'!$C$149+'Ethylene Recycling LC'!$C$167))</f>
        <v>4.9250639801516387</v>
      </c>
      <c r="K131" s="44">
        <f>K47-('Ethylene Recycling LC'!J87+'Ethylene Recycling LC'!J114+'Ethylene Recycling LC'!J146+'Ethylene Recycling LC'!J164-('Ethylene Recycling LC'!$C$87+'Ethylene Recycling LC'!$C$114+'Ethylene Recycling LC'!$C$146+'Ethylene Recycling LC'!$C$164)+'Ethylene Recycling LC'!J90+'Ethylene Recycling LC'!J117+'Ethylene Recycling LC'!J149+'Ethylene Recycling LC'!J167-('Ethylene Recycling LC'!$C$90+'Ethylene Recycling LC'!$C$117+'Ethylene Recycling LC'!$C$149+'Ethylene Recycling LC'!$C$167))</f>
        <v>4.9419819591294063</v>
      </c>
      <c r="L131" s="44">
        <f>L47-('Ethylene Recycling LC'!K87+'Ethylene Recycling LC'!K114+'Ethylene Recycling LC'!K146+'Ethylene Recycling LC'!K164-('Ethylene Recycling LC'!$C$87+'Ethylene Recycling LC'!$C$114+'Ethylene Recycling LC'!$C$146+'Ethylene Recycling LC'!$C$164)+'Ethylene Recycling LC'!K90+'Ethylene Recycling LC'!K117+'Ethylene Recycling LC'!K149+'Ethylene Recycling LC'!K167-('Ethylene Recycling LC'!$C$90+'Ethylene Recycling LC'!$C$117+'Ethylene Recycling LC'!$C$149+'Ethylene Recycling LC'!$C$167))</f>
        <v>4.9546276542498484</v>
      </c>
      <c r="M131" s="44">
        <f>M47-('Ethylene Recycling LC'!L87+'Ethylene Recycling LC'!L114+'Ethylene Recycling LC'!L146+'Ethylene Recycling LC'!L164-('Ethylene Recycling LC'!$C$87+'Ethylene Recycling LC'!$C$114+'Ethylene Recycling LC'!$C$146+'Ethylene Recycling LC'!$C$164)+'Ethylene Recycling LC'!L90+'Ethylene Recycling LC'!L117+'Ethylene Recycling LC'!L149+'Ethylene Recycling LC'!L167-('Ethylene Recycling LC'!$C$90+'Ethylene Recycling LC'!$C$117+'Ethylene Recycling LC'!$C$149+'Ethylene Recycling LC'!$C$167))</f>
        <v>4.9628417194419896</v>
      </c>
      <c r="N131" s="44">
        <f>N47-('Ethylene Recycling LC'!M87+'Ethylene Recycling LC'!M114+'Ethylene Recycling LC'!M146+'Ethylene Recycling LC'!M164-('Ethylene Recycling LC'!$C$87+'Ethylene Recycling LC'!$C$114+'Ethylene Recycling LC'!$C$146+'Ethylene Recycling LC'!$C$164)+'Ethylene Recycling LC'!M90+'Ethylene Recycling LC'!M117+'Ethylene Recycling LC'!M149+'Ethylene Recycling LC'!M167-('Ethylene Recycling LC'!$C$90+'Ethylene Recycling LC'!$C$117+'Ethylene Recycling LC'!$C$149+'Ethylene Recycling LC'!$C$167))</f>
        <v>4.9664712859824585</v>
      </c>
      <c r="O131" s="44">
        <f>O47-('Ethylene Recycling LC'!N87+'Ethylene Recycling LC'!N114+'Ethylene Recycling LC'!N146+'Ethylene Recycling LC'!N164-('Ethylene Recycling LC'!$C$87+'Ethylene Recycling LC'!$C$114+'Ethylene Recycling LC'!$C$146+'Ethylene Recycling LC'!$C$164)+'Ethylene Recycling LC'!N90+'Ethylene Recycling LC'!N117+'Ethylene Recycling LC'!N149+'Ethylene Recycling LC'!N167-('Ethylene Recycling LC'!$C$90+'Ethylene Recycling LC'!$C$117+'Ethylene Recycling LC'!$C$149+'Ethylene Recycling LC'!$C$167))</f>
        <v>4.9379923614421379</v>
      </c>
      <c r="P131" s="44">
        <f>P47-('Ethylene Recycling LC'!O87+'Ethylene Recycling LC'!O114+'Ethylene Recycling LC'!O146+'Ethylene Recycling LC'!O164-('Ethylene Recycling LC'!$C$87+'Ethylene Recycling LC'!$C$114+'Ethylene Recycling LC'!$C$146+'Ethylene Recycling LC'!$C$164)+'Ethylene Recycling LC'!O90+'Ethylene Recycling LC'!O117+'Ethylene Recycling LC'!O149+'Ethylene Recycling LC'!O167-('Ethylene Recycling LC'!$C$90+'Ethylene Recycling LC'!$C$117+'Ethylene Recycling LC'!$C$149+'Ethylene Recycling LC'!$C$167))</f>
        <v>4.9011141382890386</v>
      </c>
      <c r="Q131" s="44">
        <f>Q47-('Ethylene Recycling LC'!P87+'Ethylene Recycling LC'!P114+'Ethylene Recycling LC'!P146+'Ethylene Recycling LC'!P164-('Ethylene Recycling LC'!$C$87+'Ethylene Recycling LC'!$C$114+'Ethylene Recycling LC'!$C$146+'Ethylene Recycling LC'!$C$164)+'Ethylene Recycling LC'!P90+'Ethylene Recycling LC'!P117+'Ethylene Recycling LC'!P149+'Ethylene Recycling LC'!P167-('Ethylene Recycling LC'!$C$90+'Ethylene Recycling LC'!$C$117+'Ethylene Recycling LC'!$C$149+'Ethylene Recycling LC'!$C$167))</f>
        <v>4.8560973509543661</v>
      </c>
      <c r="R131" s="44">
        <f>R47-('Ethylene Recycling LC'!Q87+'Ethylene Recycling LC'!Q114+'Ethylene Recycling LC'!Q146+'Ethylene Recycling LC'!Q164-('Ethylene Recycling LC'!$C$87+'Ethylene Recycling LC'!$C$114+'Ethylene Recycling LC'!$C$146+'Ethylene Recycling LC'!$C$164)+'Ethylene Recycling LC'!Q90+'Ethylene Recycling LC'!Q117+'Ethylene Recycling LC'!Q149+'Ethylene Recycling LC'!Q167-('Ethylene Recycling LC'!$C$90+'Ethylene Recycling LC'!$C$117+'Ethylene Recycling LC'!$C$149+'Ethylene Recycling LC'!$C$167))</f>
        <v>4.8034088142981739</v>
      </c>
      <c r="S131" s="44">
        <f>S47-('Ethylene Recycling LC'!R87+'Ethylene Recycling LC'!R114+'Ethylene Recycling LC'!R146+'Ethylene Recycling LC'!R164-('Ethylene Recycling LC'!$C$87+'Ethylene Recycling LC'!$C$114+'Ethylene Recycling LC'!$C$146+'Ethylene Recycling LC'!$C$164)+'Ethylene Recycling LC'!R90+'Ethylene Recycling LC'!R117+'Ethylene Recycling LC'!R149+'Ethylene Recycling LC'!R167-('Ethylene Recycling LC'!$C$90+'Ethylene Recycling LC'!$C$117+'Ethylene Recycling LC'!$C$149+'Ethylene Recycling LC'!$C$167))</f>
        <v>4.743583940004152</v>
      </c>
      <c r="T131" s="44">
        <f>T47-('Ethylene Recycling LC'!S87+'Ethylene Recycling LC'!S114+'Ethylene Recycling LC'!S146+'Ethylene Recycling LC'!S164-('Ethylene Recycling LC'!$C$87+'Ethylene Recycling LC'!$C$114+'Ethylene Recycling LC'!$C$146+'Ethylene Recycling LC'!$C$164)+'Ethylene Recycling LC'!S90+'Ethylene Recycling LC'!S117+'Ethylene Recycling LC'!S149+'Ethylene Recycling LC'!S167-('Ethylene Recycling LC'!$C$90+'Ethylene Recycling LC'!$C$117+'Ethylene Recycling LC'!$C$149+'Ethylene Recycling LC'!$C$167))</f>
        <v>4.674411290016943</v>
      </c>
      <c r="U131" s="44">
        <f>U47-('Ethylene Recycling LC'!T87+'Ethylene Recycling LC'!T114+'Ethylene Recycling LC'!T146+'Ethylene Recycling LC'!T164-('Ethylene Recycling LC'!$C$87+'Ethylene Recycling LC'!$C$114+'Ethylene Recycling LC'!$C$146+'Ethylene Recycling LC'!$C$164)+'Ethylene Recycling LC'!T90+'Ethylene Recycling LC'!T117+'Ethylene Recycling LC'!T149+'Ethylene Recycling LC'!T167-('Ethylene Recycling LC'!$C$90+'Ethylene Recycling LC'!$C$117+'Ethylene Recycling LC'!$C$149+'Ethylene Recycling LC'!$C$167))</f>
        <v>4.595660149420322</v>
      </c>
      <c r="V131" s="44">
        <f>V47-('Ethylene Recycling LC'!U87+'Ethylene Recycling LC'!U114+'Ethylene Recycling LC'!U146+'Ethylene Recycling LC'!U164-('Ethylene Recycling LC'!$C$87+'Ethylene Recycling LC'!$C$114+'Ethylene Recycling LC'!$C$146+'Ethylene Recycling LC'!$C$164)+'Ethylene Recycling LC'!U90+'Ethylene Recycling LC'!U117+'Ethylene Recycling LC'!U149+'Ethylene Recycling LC'!U167-('Ethylene Recycling LC'!$C$90+'Ethylene Recycling LC'!$C$117+'Ethylene Recycling LC'!$C$149+'Ethylene Recycling LC'!$C$167))</f>
        <v>4.5071019933712595</v>
      </c>
      <c r="W131" s="44">
        <f>W47-('Ethylene Recycling LC'!V87+'Ethylene Recycling LC'!V114+'Ethylene Recycling LC'!V146+'Ethylene Recycling LC'!V164-('Ethylene Recycling LC'!$C$87+'Ethylene Recycling LC'!$C$114+'Ethylene Recycling LC'!$C$146+'Ethylene Recycling LC'!$C$164)+'Ethylene Recycling LC'!V90+'Ethylene Recycling LC'!V117+'Ethylene Recycling LC'!V149+'Ethylene Recycling LC'!V167-('Ethylene Recycling LC'!$C$90+'Ethylene Recycling LC'!$C$117+'Ethylene Recycling LC'!$C$149+'Ethylene Recycling LC'!$C$167))</f>
        <v>4.4085107424687084</v>
      </c>
      <c r="X131" s="44">
        <f>X47-('Ethylene Recycling LC'!W87+'Ethylene Recycling LC'!W114+'Ethylene Recycling LC'!W146+'Ethylene Recycling LC'!W164-('Ethylene Recycling LC'!$C$87+'Ethylene Recycling LC'!$C$114+'Ethylene Recycling LC'!$C$146+'Ethylene Recycling LC'!$C$164)+'Ethylene Recycling LC'!W90+'Ethylene Recycling LC'!W117+'Ethylene Recycling LC'!W149+'Ethylene Recycling LC'!W167-('Ethylene Recycling LC'!$C$90+'Ethylene Recycling LC'!$C$117+'Ethylene Recycling LC'!$C$149+'Ethylene Recycling LC'!$C$167))</f>
        <v>4.2996630212236298</v>
      </c>
      <c r="Y131" s="44">
        <f>Y47-('Ethylene Recycling LC'!X87+'Ethylene Recycling LC'!X114+'Ethylene Recycling LC'!X146+'Ethylene Recycling LC'!X164-('Ethylene Recycling LC'!$C$87+'Ethylene Recycling LC'!$C$114+'Ethylene Recycling LC'!$C$146+'Ethylene Recycling LC'!$C$164)+'Ethylene Recycling LC'!X90+'Ethylene Recycling LC'!X117+'Ethylene Recycling LC'!X149+'Ethylene Recycling LC'!X167-('Ethylene Recycling LC'!$C$90+'Ethylene Recycling LC'!$C$117+'Ethylene Recycling LC'!$C$149+'Ethylene Recycling LC'!$C$167))</f>
        <v>4.1205527021766564</v>
      </c>
      <c r="Z131" s="44">
        <f>Z47-('Ethylene Recycling LC'!Y87+'Ethylene Recycling LC'!Y114+'Ethylene Recycling LC'!Y146+'Ethylene Recycling LC'!Y164-('Ethylene Recycling LC'!$C$87+'Ethylene Recycling LC'!$C$114+'Ethylene Recycling LC'!$C$146+'Ethylene Recycling LC'!$C$164)+'Ethylene Recycling LC'!Y90+'Ethylene Recycling LC'!Y117+'Ethylene Recycling LC'!Y149+'Ethylene Recycling LC'!Y167-('Ethylene Recycling LC'!$C$90+'Ethylene Recycling LC'!$C$117+'Ethylene Recycling LC'!$C$149+'Ethylene Recycling LC'!$C$167))</f>
        <v>3.9245464908569878</v>
      </c>
      <c r="AA131" s="44">
        <f>AA47-('Ethylene Recycling LC'!Z87+'Ethylene Recycling LC'!Z114+'Ethylene Recycling LC'!Z146+'Ethylene Recycling LC'!Z164-('Ethylene Recycling LC'!$C$87+'Ethylene Recycling LC'!$C$114+'Ethylene Recycling LC'!$C$146+'Ethylene Recycling LC'!$C$164)+'Ethylene Recycling LC'!Z90+'Ethylene Recycling LC'!Z117+'Ethylene Recycling LC'!Z149+'Ethylene Recycling LC'!Z167-('Ethylene Recycling LC'!$C$90+'Ethylene Recycling LC'!$C$117+'Ethylene Recycling LC'!$C$149+'Ethylene Recycling LC'!$C$167))</f>
        <v>3.7111581562807601</v>
      </c>
      <c r="AB131" s="44">
        <f>AB47-('Ethylene Recycling LC'!AA87+'Ethylene Recycling LC'!AA114+'Ethylene Recycling LC'!AA146+'Ethylene Recycling LC'!AA164-('Ethylene Recycling LC'!$C$87+'Ethylene Recycling LC'!$C$114+'Ethylene Recycling LC'!$C$146+'Ethylene Recycling LC'!$C$164)+'Ethylene Recycling LC'!AA90+'Ethylene Recycling LC'!AA117+'Ethylene Recycling LC'!AA149+'Ethylene Recycling LC'!AA167-('Ethylene Recycling LC'!$C$90+'Ethylene Recycling LC'!$C$117+'Ethylene Recycling LC'!$C$149+'Ethylene Recycling LC'!$C$167))</f>
        <v>3.4801191666723978</v>
      </c>
      <c r="AC131" s="44">
        <f>AC47-('Ethylene Recycling LC'!AB87+'Ethylene Recycling LC'!AB114+'Ethylene Recycling LC'!AB146+'Ethylene Recycling LC'!AB164-('Ethylene Recycling LC'!$C$87+'Ethylene Recycling LC'!$C$114+'Ethylene Recycling LC'!$C$146+'Ethylene Recycling LC'!$C$164)+'Ethylene Recycling LC'!AB90+'Ethylene Recycling LC'!AB117+'Ethylene Recycling LC'!AB149+'Ethylene Recycling LC'!AB167-('Ethylene Recycling LC'!$C$90+'Ethylene Recycling LC'!$C$117+'Ethylene Recycling LC'!$C$149+'Ethylene Recycling LC'!$C$167))</f>
        <v>3.2310622625201457</v>
      </c>
      <c r="AD131" s="44">
        <f>AD47-('Ethylene Recycling LC'!AC87+'Ethylene Recycling LC'!AC114+'Ethylene Recycling LC'!AC146+'Ethylene Recycling LC'!AC164-('Ethylene Recycling LC'!$C$87+'Ethylene Recycling LC'!$C$114+'Ethylene Recycling LC'!$C$146+'Ethylene Recycling LC'!$C$164)+'Ethylene Recycling LC'!AC90+'Ethylene Recycling LC'!AC117+'Ethylene Recycling LC'!AC149+'Ethylene Recycling LC'!AC167-('Ethylene Recycling LC'!$C$90+'Ethylene Recycling LC'!$C$117+'Ethylene Recycling LC'!$C$149+'Ethylene Recycling LC'!$C$167))</f>
        <v>2.9635825614272306</v>
      </c>
      <c r="AE131" s="44">
        <f>AE47-('Ethylene Recycling LC'!AD87+'Ethylene Recycling LC'!AD114+'Ethylene Recycling LC'!AD146+'Ethylene Recycling LC'!AD164-('Ethylene Recycling LC'!$C$87+'Ethylene Recycling LC'!$C$114+'Ethylene Recycling LC'!$C$146+'Ethylene Recycling LC'!$C$164)+'Ethylene Recycling LC'!AD90+'Ethylene Recycling LC'!AD117+'Ethylene Recycling LC'!AD149+'Ethylene Recycling LC'!AD167-('Ethylene Recycling LC'!$C$90+'Ethylene Recycling LC'!$C$117+'Ethylene Recycling LC'!$C$149+'Ethylene Recycling LC'!$C$167))</f>
        <v>2.6773101704196431</v>
      </c>
      <c r="AF131" s="44">
        <f>AF47-('Ethylene Recycling LC'!AE87+'Ethylene Recycling LC'!AE114+'Ethylene Recycling LC'!AE146+'Ethylene Recycling LC'!AE164-('Ethylene Recycling LC'!$C$87+'Ethylene Recycling LC'!$C$114+'Ethylene Recycling LC'!$C$146+'Ethylene Recycling LC'!$C$164)+'Ethylene Recycling LC'!AE90+'Ethylene Recycling LC'!AE117+'Ethylene Recycling LC'!AE149+'Ethylene Recycling LC'!AE167-('Ethylene Recycling LC'!$C$90+'Ethylene Recycling LC'!$C$117+'Ethylene Recycling LC'!$C$149+'Ethylene Recycling LC'!$C$167))</f>
        <v>2.3718790821391771</v>
      </c>
      <c r="AG131" s="44">
        <f>AG47-('Ethylene Recycling LC'!AF87+'Ethylene Recycling LC'!AF114+'Ethylene Recycling LC'!AF146+'Ethylene Recycling LC'!AF164-('Ethylene Recycling LC'!$C$87+'Ethylene Recycling LC'!$C$114+'Ethylene Recycling LC'!$C$146+'Ethylene Recycling LC'!$C$164)+'Ethylene Recycling LC'!AF90+'Ethylene Recycling LC'!AF117+'Ethylene Recycling LC'!AF149+'Ethylene Recycling LC'!AF167-('Ethylene Recycling LC'!$C$90+'Ethylene Recycling LC'!$C$117+'Ethylene Recycling LC'!$C$149+'Ethylene Recycling LC'!$C$167))</f>
        <v>2.0469275172201931</v>
      </c>
      <c r="AH131" s="44">
        <f>AH47-('Ethylene Recycling LC'!AG87+'Ethylene Recycling LC'!AG114+'Ethylene Recycling LC'!AG146+'Ethylene Recycling LC'!AG164-('Ethylene Recycling LC'!$C$87+'Ethylene Recycling LC'!$C$114+'Ethylene Recycling LC'!$C$146+'Ethylene Recycling LC'!$C$164)+'Ethylene Recycling LC'!AG90+'Ethylene Recycling LC'!AG117+'Ethylene Recycling LC'!AG149+'Ethylene Recycling LC'!AG167-('Ethylene Recycling LC'!$C$90+'Ethylene Recycling LC'!$C$117+'Ethylene Recycling LC'!$C$149+'Ethylene Recycling LC'!$C$167))</f>
        <v>1.7020982698249068</v>
      </c>
      <c r="AI131" s="44"/>
    </row>
    <row r="132" spans="1:35" s="67" customFormat="1">
      <c r="A132" s="758" t="s">
        <v>263</v>
      </c>
      <c r="B132" s="58" t="s">
        <v>264</v>
      </c>
      <c r="C132" s="59" t="s">
        <v>153</v>
      </c>
      <c r="D132" s="60">
        <f>D48-('Ethylene Recycling LC'!C88+'Ethylene Recycling LC'!C115+'Ethylene Recycling LC'!C147+'Ethylene Recycling LC'!C165-('Ethylene Recycling LC'!$C$88+'Ethylene Recycling LC'!$C$115+'Ethylene Recycling LC'!$C$147+'Ethylene Recycling LC'!$C$165))</f>
        <v>12.975337278106506</v>
      </c>
      <c r="E132" s="60">
        <f>E48-('Ethylene Recycling LC'!D88+'Ethylene Recycling LC'!D115+'Ethylene Recycling LC'!D147+'Ethylene Recycling LC'!D165-('Ethylene Recycling LC'!$C$88+'Ethylene Recycling LC'!$C$115+'Ethylene Recycling LC'!$C$147+'Ethylene Recycling LC'!$C$165))</f>
        <v>13.126024443816664</v>
      </c>
      <c r="F132" s="60">
        <f>F48-('Ethylene Recycling LC'!E88+'Ethylene Recycling LC'!E115+'Ethylene Recycling LC'!E147+'Ethylene Recycling LC'!E165-('Ethylene Recycling LC'!$C$88+'Ethylene Recycling LC'!$C$115+'Ethylene Recycling LC'!$C$147+'Ethylene Recycling LC'!$C$165))</f>
        <v>13.274763189521156</v>
      </c>
      <c r="G132" s="60">
        <f>G48-('Ethylene Recycling LC'!F88+'Ethylene Recycling LC'!F115+'Ethylene Recycling LC'!F147+'Ethylene Recycling LC'!F165-('Ethylene Recycling LC'!$C$88+'Ethylene Recycling LC'!$C$115+'Ethylene Recycling LC'!$C$147+'Ethylene Recycling LC'!$C$165))</f>
        <v>13.421854512175102</v>
      </c>
      <c r="H132" s="60">
        <f>H48-('Ethylene Recycling LC'!G88+'Ethylene Recycling LC'!G115+'Ethylene Recycling LC'!G147+'Ethylene Recycling LC'!G165-('Ethylene Recycling LC'!$C$88+'Ethylene Recycling LC'!$C$115+'Ethylene Recycling LC'!$C$147+'Ethylene Recycling LC'!$C$165))</f>
        <v>13.567673547350809</v>
      </c>
      <c r="I132" s="60">
        <f>I48-('Ethylene Recycling LC'!H88+'Ethylene Recycling LC'!H115+'Ethylene Recycling LC'!H147+'Ethylene Recycling LC'!H165-('Ethylene Recycling LC'!$C$88+'Ethylene Recycling LC'!$C$115+'Ethylene Recycling LC'!$C$147+'Ethylene Recycling LC'!$C$165))</f>
        <v>13.712669039882725</v>
      </c>
      <c r="J132" s="60">
        <f>J48-('Ethylene Recycling LC'!I88+'Ethylene Recycling LC'!I115+'Ethylene Recycling LC'!I147+'Ethylene Recycling LC'!I165-('Ethylene Recycling LC'!$C$88+'Ethylene Recycling LC'!$C$115+'Ethylene Recycling LC'!$C$147+'Ethylene Recycling LC'!$C$165))</f>
        <v>13.856133619221684</v>
      </c>
      <c r="K132" s="60">
        <f>K48-('Ethylene Recycling LC'!J88+'Ethylene Recycling LC'!J115+'Ethylene Recycling LC'!J147+'Ethylene Recycling LC'!J165-('Ethylene Recycling LC'!$C$88+'Ethylene Recycling LC'!$C$115+'Ethylene Recycling LC'!$C$147+'Ethylene Recycling LC'!$C$165))</f>
        <v>13.998007773733999</v>
      </c>
      <c r="L132" s="60">
        <f>L48-('Ethylene Recycling LC'!K88+'Ethylene Recycling LC'!K115+'Ethylene Recycling LC'!K147+'Ethylene Recycling LC'!K165-('Ethylene Recycling LC'!$C$88+'Ethylene Recycling LC'!$C$115+'Ethylene Recycling LC'!$C$147+'Ethylene Recycling LC'!$C$165))</f>
        <v>14.138239604330129</v>
      </c>
      <c r="M132" s="60">
        <f>M48-('Ethylene Recycling LC'!L88+'Ethylene Recycling LC'!L115+'Ethylene Recycling LC'!L147+'Ethylene Recycling LC'!L165-('Ethylene Recycling LC'!$C$88+'Ethylene Recycling LC'!$C$115+'Ethylene Recycling LC'!$C$147+'Ethylene Recycling LC'!$C$165))</f>
        <v>14.276785440163037</v>
      </c>
      <c r="N132" s="60">
        <f>N48-('Ethylene Recycling LC'!M88+'Ethylene Recycling LC'!M115+'Ethylene Recycling LC'!M147+'Ethylene Recycling LC'!M165-('Ethylene Recycling LC'!$C$88+'Ethylene Recycling LC'!$C$115+'Ethylene Recycling LC'!$C$147+'Ethylene Recycling LC'!$C$165))</f>
        <v>14.413610455726003</v>
      </c>
      <c r="O132" s="60">
        <f>O48-('Ethylene Recycling LC'!N88+'Ethylene Recycling LC'!N115+'Ethylene Recycling LC'!N147+'Ethylene Recycling LC'!N165-('Ethylene Recycling LC'!$C$88+'Ethylene Recycling LC'!$C$115+'Ethylene Recycling LC'!$C$147+'Ethylene Recycling LC'!$C$165))</f>
        <v>14.489030010394814</v>
      </c>
      <c r="P132" s="60">
        <f>P48-('Ethylene Recycling LC'!O88+'Ethylene Recycling LC'!O115+'Ethylene Recycling LC'!O147+'Ethylene Recycling LC'!O165-('Ethylene Recycling LC'!$C$88+'Ethylene Recycling LC'!$C$115+'Ethylene Recycling LC'!$C$147+'Ethylene Recycling LC'!$C$165))</f>
        <v>14.559984941559678</v>
      </c>
      <c r="Q132" s="60">
        <f>Q48-('Ethylene Recycling LC'!P88+'Ethylene Recycling LC'!P115+'Ethylene Recycling LC'!P147+'Ethylene Recycling LC'!P165-('Ethylene Recycling LC'!$C$88+'Ethylene Recycling LC'!$C$115+'Ethylene Recycling LC'!$C$147+'Ethylene Recycling LC'!$C$165))</f>
        <v>14.627235354325689</v>
      </c>
      <c r="R132" s="60">
        <f>R48-('Ethylene Recycling LC'!Q88+'Ethylene Recycling LC'!Q115+'Ethylene Recycling LC'!Q147+'Ethylene Recycling LC'!Q165-('Ethylene Recycling LC'!$C$88+'Ethylene Recycling LC'!$C$115+'Ethylene Recycling LC'!$C$147+'Ethylene Recycling LC'!$C$165))</f>
        <v>14.691664957651879</v>
      </c>
      <c r="S132" s="60">
        <f>S48-('Ethylene Recycling LC'!R88+'Ethylene Recycling LC'!R115+'Ethylene Recycling LC'!R147+'Ethylene Recycling LC'!R165-('Ethylene Recycling LC'!$C$88+'Ethylene Recycling LC'!$C$115+'Ethylene Recycling LC'!$C$147+'Ethylene Recycling LC'!$C$165))</f>
        <v>14.754246583106118</v>
      </c>
      <c r="T132" s="60">
        <f>T48-('Ethylene Recycling LC'!S88+'Ethylene Recycling LC'!S115+'Ethylene Recycling LC'!S147+'Ethylene Recycling LC'!S165-('Ethylene Recycling LC'!$C$88+'Ethylene Recycling LC'!$C$115+'Ethylene Recycling LC'!$C$147+'Ethylene Recycling LC'!$C$165))</f>
        <v>14.811998446342432</v>
      </c>
      <c r="U132" s="60">
        <f>U48-('Ethylene Recycling LC'!T88+'Ethylene Recycling LC'!T115+'Ethylene Recycling LC'!T147+'Ethylene Recycling LC'!T165-('Ethylene Recycling LC'!$C$88+'Ethylene Recycling LC'!$C$115+'Ethylene Recycling LC'!$C$147+'Ethylene Recycling LC'!$C$165))</f>
        <v>14.86481333854862</v>
      </c>
      <c r="V132" s="60">
        <f>V48-('Ethylene Recycling LC'!U88+'Ethylene Recycling LC'!U115+'Ethylene Recycling LC'!U147+'Ethylene Recycling LC'!U165-('Ethylene Recycling LC'!$C$88+'Ethylene Recycling LC'!$C$115+'Ethylene Recycling LC'!$C$147+'Ethylene Recycling LC'!$C$165))</f>
        <v>14.912587122895202</v>
      </c>
      <c r="W132" s="60">
        <f>W48-('Ethylene Recycling LC'!V88+'Ethylene Recycling LC'!V115+'Ethylene Recycling LC'!V147+'Ethylene Recycling LC'!V165-('Ethylene Recycling LC'!$C$88+'Ethylene Recycling LC'!$C$115+'Ethylene Recycling LC'!$C$147+'Ethylene Recycling LC'!$C$165))</f>
        <v>14.95521894410501</v>
      </c>
      <c r="X132" s="60">
        <f>X48-('Ethylene Recycling LC'!W88+'Ethylene Recycling LC'!W115+'Ethylene Recycling LC'!W147+'Ethylene Recycling LC'!W165-('Ethylene Recycling LC'!$C$88+'Ethylene Recycling LC'!$C$115+'Ethylene Recycling LC'!$C$147+'Ethylene Recycling LC'!$C$165))</f>
        <v>14.992611440453008</v>
      </c>
      <c r="Y132" s="60">
        <f>Y48-('Ethylene Recycling LC'!X88+'Ethylene Recycling LC'!X115+'Ethylene Recycling LC'!X147+'Ethylene Recycling LC'!X165-('Ethylene Recycling LC'!$C$88+'Ethylene Recycling LC'!$C$115+'Ethylene Recycling LC'!$C$147+'Ethylene Recycling LC'!$C$165))</f>
        <v>14.926825183051402</v>
      </c>
      <c r="Z132" s="60">
        <f>Z48-('Ethylene Recycling LC'!Y88+'Ethylene Recycling LC'!Y115+'Ethylene Recycling LC'!Y147+'Ethylene Recycling LC'!Y165-('Ethylene Recycling LC'!$C$88+'Ethylene Recycling LC'!$C$115+'Ethylene Recycling LC'!$C$147+'Ethylene Recycling LC'!$C$165))</f>
        <v>14.850456629350949</v>
      </c>
      <c r="AA132" s="60">
        <f>AA48-('Ethylene Recycling LC'!Z88+'Ethylene Recycling LC'!Z115+'Ethylene Recycling LC'!Z147+'Ethylene Recycling LC'!Z165-('Ethylene Recycling LC'!$C$88+'Ethylene Recycling LC'!$C$115+'Ethylene Recycling LC'!$C$147+'Ethylene Recycling LC'!$C$165))</f>
        <v>14.763252253850979</v>
      </c>
      <c r="AB132" s="60">
        <f>AB48-('Ethylene Recycling LC'!AA88+'Ethylene Recycling LC'!AA115+'Ethylene Recycling LC'!AA147+'Ethylene Recycling LC'!AA165-('Ethylene Recycling LC'!$C$88+'Ethylene Recycling LC'!$C$115+'Ethylene Recycling LC'!$C$147+'Ethylene Recycling LC'!$C$165))</f>
        <v>14.665056081095887</v>
      </c>
      <c r="AC132" s="60">
        <f>AC48-('Ethylene Recycling LC'!AB88+'Ethylene Recycling LC'!AB115+'Ethylene Recycling LC'!AB147+'Ethylene Recycling LC'!AB165-('Ethylene Recycling LC'!$C$88+'Ethylene Recycling LC'!$C$115+'Ethylene Recycling LC'!$C$147+'Ethylene Recycling LC'!$C$165))</f>
        <v>14.555674369711976</v>
      </c>
      <c r="AD132" s="60">
        <f>AD48-('Ethylene Recycling LC'!AC88+'Ethylene Recycling LC'!AC115+'Ethylene Recycling LC'!AC147+'Ethylene Recycling LC'!AC165-('Ethylene Recycling LC'!$C$88+'Ethylene Recycling LC'!$C$115+'Ethylene Recycling LC'!$C$147+'Ethylene Recycling LC'!$C$165))</f>
        <v>14.434864204602396</v>
      </c>
      <c r="AE132" s="60">
        <f>AE48-('Ethylene Recycling LC'!AD88+'Ethylene Recycling LC'!AD115+'Ethylene Recycling LC'!AD147+'Ethylene Recycling LC'!AD165-('Ethylene Recycling LC'!$C$88+'Ethylene Recycling LC'!$C$115+'Ethylene Recycling LC'!$C$147+'Ethylene Recycling LC'!$C$165))</f>
        <v>14.302428953133511</v>
      </c>
      <c r="AF132" s="60">
        <f>AF48-('Ethylene Recycling LC'!AE88+'Ethylene Recycling LC'!AE115+'Ethylene Recycling LC'!AE147+'Ethylene Recycling LC'!AE165-('Ethylene Recycling LC'!$C$88+'Ethylene Recycling LC'!$C$115+'Ethylene Recycling LC'!$C$147+'Ethylene Recycling LC'!$C$165))</f>
        <v>14.158176742061542</v>
      </c>
      <c r="AG132" s="60">
        <f>AG48-('Ethylene Recycling LC'!AF88+'Ethylene Recycling LC'!AF115+'Ethylene Recycling LC'!AF147+'Ethylene Recycling LC'!AF165-('Ethylene Recycling LC'!$C$88+'Ethylene Recycling LC'!$C$115+'Ethylene Recycling LC'!$C$147+'Ethylene Recycling LC'!$C$165))</f>
        <v>14.001920740005076</v>
      </c>
      <c r="AH132" s="60">
        <f>AH48-('Ethylene Recycling LC'!AG88+'Ethylene Recycling LC'!AG115+'Ethylene Recycling LC'!AG147+'Ethylene Recycling LC'!AG165-('Ethylene Recycling LC'!$C$88+'Ethylene Recycling LC'!$C$115+'Ethylene Recycling LC'!$C$147+'Ethylene Recycling LC'!$C$165))</f>
        <v>13.83347944216391</v>
      </c>
      <c r="AI132" s="60"/>
    </row>
    <row r="133" spans="1:35" s="68" customFormat="1">
      <c r="A133" s="759"/>
      <c r="B133" s="62" t="s">
        <v>266</v>
      </c>
      <c r="C133" s="283" t="s">
        <v>153</v>
      </c>
      <c r="D133" s="284">
        <f>D49-('Ethylene Recycling LC'!C89+'Ethylene Recycling LC'!C116+'Ethylene Recycling LC'!C148+'Ethylene Recycling LC'!C166-('Ethylene Recycling LC'!$C$89+'Ethylene Recycling LC'!$C$116+'Ethylene Recycling LC'!$C$148+'Ethylene Recycling LC'!$C$166))</f>
        <v>2.8011119939271252</v>
      </c>
      <c r="E133" s="284">
        <f>E49-('Ethylene Recycling LC'!D89+'Ethylene Recycling LC'!D116+'Ethylene Recycling LC'!D148+'Ethylene Recycling LC'!D166-('Ethylene Recycling LC'!$C$89+'Ethylene Recycling LC'!$C$116+'Ethylene Recycling LC'!$C$148+'Ethylene Recycling LC'!$C$166))</f>
        <v>2.8197575790135745</v>
      </c>
      <c r="F133" s="284">
        <f>F49-('Ethylene Recycling LC'!E89+'Ethylene Recycling LC'!E116+'Ethylene Recycling LC'!E148+'Ethylene Recycling LC'!E166-('Ethylene Recycling LC'!$C$89+'Ethylene Recycling LC'!$C$116+'Ethylene Recycling LC'!$C$148+'Ethylene Recycling LC'!$C$166))</f>
        <v>2.8377016039503093</v>
      </c>
      <c r="G133" s="284">
        <f>G49-('Ethylene Recycling LC'!F89+'Ethylene Recycling LC'!F116+'Ethylene Recycling LC'!F148+'Ethylene Recycling LC'!F166-('Ethylene Recycling LC'!$C$89+'Ethylene Recycling LC'!$C$116+'Ethylene Recycling LC'!$C$148+'Ethylene Recycling LC'!$C$166))</f>
        <v>2.855067791606384</v>
      </c>
      <c r="H133" s="284">
        <f>H49-('Ethylene Recycling LC'!G89+'Ethylene Recycling LC'!G116+'Ethylene Recycling LC'!G148+'Ethylene Recycling LC'!G166-('Ethylene Recycling LC'!$C$89+'Ethylene Recycling LC'!$C$116+'Ethylene Recycling LC'!$C$148+'Ethylene Recycling LC'!$C$166))</f>
        <v>2.8720022690135147</v>
      </c>
      <c r="I133" s="284">
        <f>I49-('Ethylene Recycling LC'!H89+'Ethylene Recycling LC'!H116+'Ethylene Recycling LC'!H148+'Ethylene Recycling LC'!H166-('Ethylene Recycling LC'!$C$89+'Ethylene Recycling LC'!$C$116+'Ethylene Recycling LC'!$C$148+'Ethylene Recycling LC'!$C$166))</f>
        <v>2.8886731210141385</v>
      </c>
      <c r="J133" s="284">
        <f>J49-('Ethylene Recycling LC'!I89+'Ethylene Recycling LC'!I116+'Ethylene Recycling LC'!I148+'Ethylene Recycling LC'!I166-('Ethylene Recycling LC'!$C$89+'Ethylene Recycling LC'!$C$116+'Ethylene Recycling LC'!$C$148+'Ethylene Recycling LC'!$C$166))</f>
        <v>2.9043139268232636</v>
      </c>
      <c r="K133" s="284">
        <f>K49-('Ethylene Recycling LC'!J89+'Ethylene Recycling LC'!J116+'Ethylene Recycling LC'!J148+'Ethylene Recycling LC'!J166-('Ethylene Recycling LC'!$C$89+'Ethylene Recycling LC'!$C$116+'Ethylene Recycling LC'!$C$148+'Ethylene Recycling LC'!$C$166))</f>
        <v>2.9188955463898023</v>
      </c>
      <c r="L133" s="284">
        <f>L49-('Ethylene Recycling LC'!K89+'Ethylene Recycling LC'!K116+'Ethylene Recycling LC'!K148+'Ethylene Recycling LC'!K166-('Ethylene Recycling LC'!$C$89+'Ethylene Recycling LC'!$C$116+'Ethylene Recycling LC'!$C$148+'Ethylene Recycling LC'!$C$166))</f>
        <v>2.9323913295606734</v>
      </c>
      <c r="M133" s="284">
        <f>M49-('Ethylene Recycling LC'!L89+'Ethylene Recycling LC'!L116+'Ethylene Recycling LC'!L148+'Ethylene Recycling LC'!L166-('Ethylene Recycling LC'!$C$89+'Ethylene Recycling LC'!$C$116+'Ethylene Recycling LC'!$C$148+'Ethylene Recycling LC'!$C$166))</f>
        <v>2.9447773337111185</v>
      </c>
      <c r="N133" s="284">
        <f>N49-('Ethylene Recycling LC'!M89+'Ethylene Recycling LC'!M116+'Ethylene Recycling LC'!M148+'Ethylene Recycling LC'!M166-('Ethylene Recycling LC'!$C$89+'Ethylene Recycling LC'!$C$116+'Ethylene Recycling LC'!$C$148+'Ethylene Recycling LC'!$C$166))</f>
        <v>2.9560325420115707</v>
      </c>
      <c r="O133" s="284">
        <f>O49-('Ethylene Recycling LC'!N89+'Ethylene Recycling LC'!N116+'Ethylene Recycling LC'!N148+'Ethylene Recycling LC'!N166-('Ethylene Recycling LC'!$C$89+'Ethylene Recycling LC'!$C$116+'Ethylene Recycling LC'!$C$148+'Ethylene Recycling LC'!$C$166))</f>
        <v>2.9458677347770066</v>
      </c>
      <c r="P133" s="284">
        <f>P49-('Ethylene Recycling LC'!O89+'Ethylene Recycling LC'!O116+'Ethylene Recycling LC'!O148+'Ethylene Recycling LC'!O166-('Ethylene Recycling LC'!$C$89+'Ethylene Recycling LC'!$C$116+'Ethylene Recycling LC'!$C$148+'Ethylene Recycling LC'!$C$166))</f>
        <v>2.9338874625505937</v>
      </c>
      <c r="Q133" s="284">
        <f>Q49-('Ethylene Recycling LC'!P89+'Ethylene Recycling LC'!P116+'Ethylene Recycling LC'!P148+'Ethylene Recycling LC'!P166-('Ethylene Recycling LC'!$C$89+'Ethylene Recycling LC'!$C$116+'Ethylene Recycling LC'!$C$148+'Ethylene Recycling LC'!$C$166))</f>
        <v>2.9203554312460103</v>
      </c>
      <c r="R133" s="284">
        <f>R49-('Ethylene Recycling LC'!Q89+'Ethylene Recycling LC'!Q116+'Ethylene Recycling LC'!Q148+'Ethylene Recycling LC'!Q166-('Ethylene Recycling LC'!$C$89+'Ethylene Recycling LC'!$C$116+'Ethylene Recycling LC'!$C$148+'Ethylene Recycling LC'!$C$166))</f>
        <v>2.9055696977368113</v>
      </c>
      <c r="S133" s="284">
        <f>S49-('Ethylene Recycling LC'!R89+'Ethylene Recycling LC'!R116+'Ethylene Recycling LC'!R148+'Ethylene Recycling LC'!R166-('Ethylene Recycling LC'!$C$89+'Ethylene Recycling LC'!$C$116+'Ethylene Recycling LC'!$C$148+'Ethylene Recycling LC'!$C$166))</f>
        <v>2.8898613014147174</v>
      </c>
      <c r="T133" s="284">
        <f>T49-('Ethylene Recycling LC'!S89+'Ethylene Recycling LC'!S116+'Ethylene Recycling LC'!S148+'Ethylene Recycling LC'!S166-('Ethylene Recycling LC'!$C$89+'Ethylene Recycling LC'!$C$116+'Ethylene Recycling LC'!$C$148+'Ethylene Recycling LC'!$C$166))</f>
        <v>2.871712049545402</v>
      </c>
      <c r="U133" s="284">
        <f>U49-('Ethylene Recycling LC'!T89+'Ethylene Recycling LC'!T116+'Ethylene Recycling LC'!T148+'Ethylene Recycling LC'!T166-('Ethylene Recycling LC'!$C$89+'Ethylene Recycling LC'!$C$116+'Ethylene Recycling LC'!$C$148+'Ethylene Recycling LC'!$C$166))</f>
        <v>2.8510717190584538</v>
      </c>
      <c r="V133" s="284">
        <f>V49-('Ethylene Recycling LC'!U89+'Ethylene Recycling LC'!U116+'Ethylene Recycling LC'!U148+'Ethylene Recycling LC'!U166-('Ethylene Recycling LC'!$C$89+'Ethylene Recycling LC'!$C$116+'Ethylene Recycling LC'!$C$148+'Ethylene Recycling LC'!$C$166))</f>
        <v>2.8278910938485264</v>
      </c>
      <c r="W133" s="284">
        <f>W49-('Ethylene Recycling LC'!V89+'Ethylene Recycling LC'!V116+'Ethylene Recycling LC'!V148+'Ethylene Recycling LC'!V166-('Ethylene Recycling LC'!$C$89+'Ethylene Recycling LC'!$C$116+'Ethylene Recycling LC'!$C$148+'Ethylene Recycling LC'!$C$166))</f>
        <v>2.8021220398120312</v>
      </c>
      <c r="X133" s="284">
        <f>X49-('Ethylene Recycling LC'!W89+'Ethylene Recycling LC'!W116+'Ethylene Recycling LC'!W148+'Ethylene Recycling LC'!W166-('Ethylene Recycling LC'!$C$89+'Ethylene Recycling LC'!$C$116+'Ethylene Recycling LC'!$C$148+'Ethylene Recycling LC'!$C$166))</f>
        <v>2.7737175806543752</v>
      </c>
      <c r="Y133" s="284">
        <f>Y49-('Ethylene Recycling LC'!X89+'Ethylene Recycling LC'!X116+'Ethylene Recycling LC'!X148+'Ethylene Recycling LC'!X166-('Ethylene Recycling LC'!$C$89+'Ethylene Recycling LC'!$C$116+'Ethylene Recycling LC'!$C$148+'Ethylene Recycling LC'!$C$166))</f>
        <v>2.7079597390952017</v>
      </c>
      <c r="Z133" s="284">
        <f>Z49-('Ethylene Recycling LC'!Y89+'Ethylene Recycling LC'!Y116+'Ethylene Recycling LC'!Y148+'Ethylene Recycling LC'!Y166-('Ethylene Recycling LC'!$C$89+'Ethylene Recycling LC'!$C$116+'Ethylene Recycling LC'!$C$148+'Ethylene Recycling LC'!$C$166))</f>
        <v>2.6375292241348189</v>
      </c>
      <c r="AA133" s="284">
        <f>AA49-('Ethylene Recycling LC'!Z89+'Ethylene Recycling LC'!Z116+'Ethylene Recycling LC'!Z148+'Ethylene Recycling LC'!Z166-('Ethylene Recycling LC'!$C$89+'Ethylene Recycling LC'!$C$116+'Ethylene Recycling LC'!$C$148+'Ethylene Recycling LC'!$C$166))</f>
        <v>2.5623396685951665</v>
      </c>
      <c r="AB133" s="284">
        <f>AB49-('Ethylene Recycling LC'!AA89+'Ethylene Recycling LC'!AA116+'Ethylene Recycling LC'!AA148+'Ethylene Recycling LC'!AA166-('Ethylene Recycling LC'!$C$89+'Ethylene Recycling LC'!$C$116+'Ethylene Recycling LC'!$C$148+'Ethylene Recycling LC'!$C$166))</f>
        <v>2.4823062302355932</v>
      </c>
      <c r="AC133" s="284">
        <f>AC49-('Ethylene Recycling LC'!AB89+'Ethylene Recycling LC'!AB116+'Ethylene Recycling LC'!AB148+'Ethylene Recycling LC'!AB166-('Ethylene Recycling LC'!$C$89+'Ethylene Recycling LC'!$C$116+'Ethylene Recycling LC'!$C$148+'Ethylene Recycling LC'!$C$166))</f>
        <v>2.3973456994325444</v>
      </c>
      <c r="AD133" s="284">
        <f>AD49-('Ethylene Recycling LC'!AC89+'Ethylene Recycling LC'!AC116+'Ethylene Recycling LC'!AC148+'Ethylene Recycling LC'!AC166-('Ethylene Recycling LC'!$C$89+'Ethylene Recycling LC'!$C$116+'Ethylene Recycling LC'!$C$148+'Ethylene Recycling LC'!$C$166))</f>
        <v>2.3073550195403576</v>
      </c>
      <c r="AE133" s="284">
        <f>AE49-('Ethylene Recycling LC'!AD89+'Ethylene Recycling LC'!AD116+'Ethylene Recycling LC'!AD148+'Ethylene Recycling LC'!AD166-('Ethylene Recycling LC'!$C$89+'Ethylene Recycling LC'!$C$116+'Ethylene Recycling LC'!$C$148+'Ethylene Recycling LC'!$C$166))</f>
        <v>2.2122497518994653</v>
      </c>
      <c r="AF133" s="284">
        <f>AF49-('Ethylene Recycling LC'!AE89+'Ethylene Recycling LC'!AE116+'Ethylene Recycling LC'!AE148+'Ethylene Recycling LC'!AE166-('Ethylene Recycling LC'!$C$89+'Ethylene Recycling LC'!$C$116+'Ethylene Recycling LC'!$C$148+'Ethylene Recycling LC'!$C$166))</f>
        <v>2.1119470448345261</v>
      </c>
      <c r="AG133" s="284">
        <f>AG49-('Ethylene Recycling LC'!AF89+'Ethylene Recycling LC'!AF116+'Ethylene Recycling LC'!AF148+'Ethylene Recycling LC'!AF166-('Ethylene Recycling LC'!$C$89+'Ethylene Recycling LC'!$C$116+'Ethylene Recycling LC'!$C$148+'Ethylene Recycling LC'!$C$166))</f>
        <v>2.0063657342761418</v>
      </c>
      <c r="AH133" s="284">
        <f>AH49-('Ethylene Recycling LC'!AG89+'Ethylene Recycling LC'!AG116+'Ethylene Recycling LC'!AG148+'Ethylene Recycling LC'!AG166-('Ethylene Recycling LC'!$C$89+'Ethylene Recycling LC'!$C$116+'Ethylene Recycling LC'!$C$148+'Ethylene Recycling LC'!$C$166))</f>
        <v>1.8954264451674847</v>
      </c>
      <c r="AI133" s="284"/>
    </row>
    <row r="134" spans="1:35">
      <c r="A134" s="178" t="s">
        <v>225</v>
      </c>
      <c r="B134" s="242" t="s">
        <v>197</v>
      </c>
      <c r="C134" s="243" t="s">
        <v>153</v>
      </c>
      <c r="D134" s="180">
        <f t="shared" ref="D134:AH134" si="42">D65+D74</f>
        <v>26.799786402018107</v>
      </c>
      <c r="E134" s="180">
        <f t="shared" si="42"/>
        <v>29.440783521931873</v>
      </c>
      <c r="F134" s="180">
        <f t="shared" si="42"/>
        <v>31.565688322178854</v>
      </c>
      <c r="G134" s="180">
        <f t="shared" si="42"/>
        <v>33.772042183566171</v>
      </c>
      <c r="H134" s="180">
        <f t="shared" si="42"/>
        <v>36.063362100699869</v>
      </c>
      <c r="I134" s="180">
        <f t="shared" si="42"/>
        <v>38.443415897967128</v>
      </c>
      <c r="J134" s="180">
        <f t="shared" si="42"/>
        <v>40.414734736216154</v>
      </c>
      <c r="K134" s="180">
        <f t="shared" si="42"/>
        <v>42.459732787178652</v>
      </c>
      <c r="L134" s="180">
        <f t="shared" si="42"/>
        <v>44.58228549051227</v>
      </c>
      <c r="M134" s="180">
        <f t="shared" si="42"/>
        <v>46.786625828898501</v>
      </c>
      <c r="N134" s="180">
        <f t="shared" si="42"/>
        <v>49.077387955922532</v>
      </c>
      <c r="O134" s="180">
        <f t="shared" si="42"/>
        <v>49.386495031418363</v>
      </c>
      <c r="P134" s="180">
        <f t="shared" si="42"/>
        <v>49.722358818528249</v>
      </c>
      <c r="Q134" s="180">
        <f t="shared" si="42"/>
        <v>50.089296857395638</v>
      </c>
      <c r="R134" s="180">
        <f t="shared" si="42"/>
        <v>50.492223577458681</v>
      </c>
      <c r="S134" s="180">
        <f t="shared" si="42"/>
        <v>50.936730187119601</v>
      </c>
      <c r="T134" s="180">
        <f t="shared" si="42"/>
        <v>51.283593657993535</v>
      </c>
      <c r="U134" s="180">
        <f t="shared" si="42"/>
        <v>51.682254285951643</v>
      </c>
      <c r="V134" s="180">
        <f t="shared" si="42"/>
        <v>52.140868333276501</v>
      </c>
      <c r="W134" s="180">
        <f t="shared" si="42"/>
        <v>52.668709298401282</v>
      </c>
      <c r="X134" s="180">
        <f t="shared" si="42"/>
        <v>53.27631736020146</v>
      </c>
      <c r="Y134" s="180">
        <f t="shared" si="42"/>
        <v>53.838109586353497</v>
      </c>
      <c r="Z134" s="180">
        <f t="shared" si="42"/>
        <v>54.502239811048803</v>
      </c>
      <c r="AA134" s="180">
        <f t="shared" si="42"/>
        <v>55.284108778343935</v>
      </c>
      <c r="AB134" s="180">
        <f t="shared" si="42"/>
        <v>56.201209047201935</v>
      </c>
      <c r="AC134" s="180">
        <f t="shared" si="42"/>
        <v>57.273404709318889</v>
      </c>
      <c r="AD134" s="180">
        <f t="shared" si="42"/>
        <v>58.392872648867659</v>
      </c>
      <c r="AE134" s="180">
        <f t="shared" si="42"/>
        <v>59.712885070582203</v>
      </c>
      <c r="AF134" s="180">
        <f t="shared" si="42"/>
        <v>61.26245640667802</v>
      </c>
      <c r="AG134" s="180">
        <f t="shared" si="42"/>
        <v>63.074518218419684</v>
      </c>
      <c r="AH134" s="180">
        <f t="shared" si="42"/>
        <v>65.186443020014735</v>
      </c>
    </row>
    <row r="135" spans="1:35">
      <c r="A135" s="178"/>
      <c r="B135" s="181" t="s">
        <v>217</v>
      </c>
      <c r="C135" s="176" t="s">
        <v>153</v>
      </c>
      <c r="D135" s="238">
        <f>'Ethylene Recycling LC'!C172-'Ethylene Recycling LC'!$C$172</f>
        <v>0</v>
      </c>
      <c r="E135" s="238">
        <f>'Ethylene Recycling LC'!D172-'Ethylene Recycling LC'!$C$172</f>
        <v>0.11272835763187006</v>
      </c>
      <c r="F135" s="238">
        <f>'Ethylene Recycling LC'!E172-'Ethylene Recycling LC'!$C$172</f>
        <v>0.227159357203782</v>
      </c>
      <c r="G135" s="238">
        <f>'Ethylene Recycling LC'!F172-'Ethylene Recycling LC'!$C$172</f>
        <v>0.34262632003669613</v>
      </c>
      <c r="H135" s="238">
        <f>'Ethylene Recycling LC'!G172-'Ethylene Recycling LC'!$C$172</f>
        <v>0.45842153404383246</v>
      </c>
      <c r="I135" s="238">
        <f>'Ethylene Recycling LC'!H172-'Ethylene Recycling LC'!$C$172</f>
        <v>0.57380324898438784</v>
      </c>
      <c r="J135" s="238">
        <f>'Ethylene Recycling LC'!I172-'Ethylene Recycling LC'!$C$172</f>
        <v>0.69251812331276308</v>
      </c>
      <c r="K135" s="238">
        <f>'Ethylene Recycling LC'!J172-'Ethylene Recycling LC'!$C$172</f>
        <v>0.81453229100948721</v>
      </c>
      <c r="L135" s="238">
        <f>'Ethylene Recycling LC'!K172-'Ethylene Recycling LC'!$C$172</f>
        <v>0.93980486621398129</v>
      </c>
      <c r="M135" s="238">
        <f>'Ethylene Recycling LC'!L172-'Ethylene Recycling LC'!$C$172</f>
        <v>1.0682878173272201</v>
      </c>
      <c r="N135" s="238">
        <f>'Ethylene Recycling LC'!M172-'Ethylene Recycling LC'!$C$172</f>
        <v>1.199925857166851</v>
      </c>
      <c r="O135" s="238">
        <f>'Ethylene Recycling LC'!N172-'Ethylene Recycling LC'!$C$172</f>
        <v>1.4222356345598193</v>
      </c>
      <c r="P135" s="238">
        <f>'Ethylene Recycling LC'!O172-'Ethylene Recycling LC'!$C$172</f>
        <v>1.6460999018329086</v>
      </c>
      <c r="Q135" s="238">
        <f>'Ethylene Recycling LC'!P172-'Ethylene Recycling LC'!$C$172</f>
        <v>1.8703904373271734</v>
      </c>
      <c r="R135" s="238">
        <f>'Ethylene Recycling LC'!Q172-'Ethylene Recycling LC'!$C$172</f>
        <v>2.0939405438256697</v>
      </c>
      <c r="S135" s="238">
        <f>'Ethylene Recycling LC'!R172-'Ethylene Recycling LC'!$C$172</f>
        <v>2.3155548634435634</v>
      </c>
      <c r="T135" s="238">
        <f>'Ethylene Recycling LC'!S172-'Ethylene Recycling LC'!$C$172</f>
        <v>2.5411158549175203</v>
      </c>
      <c r="U135" s="238">
        <f>'Ethylene Recycling LC'!T172-'Ethylene Recycling LC'!$C$172</f>
        <v>2.7706163981301746</v>
      </c>
      <c r="V135" s="238">
        <f>'Ethylene Recycling LC'!U172-'Ethylene Recycling LC'!$C$172</f>
        <v>3.0040474996897188</v>
      </c>
      <c r="W135" s="238">
        <f>'Ethylene Recycling LC'!V172-'Ethylene Recycling LC'!$C$172</f>
        <v>3.2413982700383217</v>
      </c>
      <c r="X135" s="238">
        <f>'Ethylene Recycling LC'!W172-'Ethylene Recycling LC'!$C$172</f>
        <v>3.4826559015163028</v>
      </c>
      <c r="Y135" s="238">
        <f>'Ethylene Recycling LC'!X172-'Ethylene Recycling LC'!$C$172</f>
        <v>3.859551472549108</v>
      </c>
      <c r="Z135" s="238">
        <f>'Ethylene Recycling LC'!Y172-'Ethylene Recycling LC'!$C$172</f>
        <v>4.2430331696481129</v>
      </c>
      <c r="AA135" s="238">
        <f>'Ethylene Recycling LC'!Z172-'Ethylene Recycling LC'!$C$172</f>
        <v>4.6330908890834968</v>
      </c>
      <c r="AB135" s="238">
        <f>'Ethylene Recycling LC'!AA172-'Ethylene Recycling LC'!$C$172</f>
        <v>5.0297117185503204</v>
      </c>
      <c r="AC135" s="238">
        <f>'Ethylene Recycling LC'!AB172-'Ethylene Recycling LC'!$C$172</f>
        <v>5.4328799047774439</v>
      </c>
      <c r="AD135" s="238">
        <f>'Ethylene Recycling LC'!AC172-'Ethylene Recycling LC'!$C$172</f>
        <v>5.8426453388579329</v>
      </c>
      <c r="AE135" s="238">
        <f>'Ethylene Recycling LC'!AD172-'Ethylene Recycling LC'!$C$172</f>
        <v>6.2589983962647411</v>
      </c>
      <c r="AF135" s="238">
        <f>'Ethylene Recycling LC'!AE172-'Ethylene Recycling LC'!$C$172</f>
        <v>6.6819269137895487</v>
      </c>
      <c r="AG135" s="238">
        <f>'Ethylene Recycling LC'!AF172-'Ethylene Recycling LC'!$C$172</f>
        <v>7.1114161614141311</v>
      </c>
      <c r="AH135" s="238">
        <f>'Ethylene Recycling LC'!AG172-'Ethylene Recycling LC'!$C$172</f>
        <v>7.5474488152396111</v>
      </c>
    </row>
    <row r="136" spans="1:35" outlineLevel="1">
      <c r="A136"/>
      <c r="B136" t="s">
        <v>222</v>
      </c>
      <c r="C136" s="54" t="s">
        <v>153</v>
      </c>
      <c r="D136" s="44">
        <f>'Ethylene Recycling LC'!C91-'Ethylene Recycling LC'!$C$91</f>
        <v>0</v>
      </c>
      <c r="E136" s="44">
        <f>'Ethylene Recycling LC'!D91-'Ethylene Recycling LC'!$C$91</f>
        <v>7.6233252968542331E-2</v>
      </c>
      <c r="F136" s="44">
        <f>'Ethylene Recycling LC'!E91-'Ethylene Recycling LC'!$C$91</f>
        <v>0.15272542412422907</v>
      </c>
      <c r="G136" s="44">
        <f>'Ethylene Recycling LC'!F91-'Ethylene Recycling LC'!$C$91</f>
        <v>0.22900300350340363</v>
      </c>
      <c r="H136" s="44">
        <f>'Ethylene Recycling LC'!G91-'Ethylene Recycling LC'!$C$91</f>
        <v>0.30457374470031473</v>
      </c>
      <c r="I136" s="44">
        <f>'Ethylene Recycling LC'!H91-'Ethylene Recycling LC'!$C$91</f>
        <v>0.37893186989511962</v>
      </c>
      <c r="J136" s="44">
        <f>'Ethylene Recycling LC'!I91-'Ethylene Recycling LC'!$C$91</f>
        <v>0.45499260380715678</v>
      </c>
      <c r="K136" s="44">
        <f>'Ethylene Recycling LC'!J91-'Ethylene Recycling LC'!$C$91</f>
        <v>0.53271501364060958</v>
      </c>
      <c r="L136" s="44">
        <f>'Ethylene Recycling LC'!K91-'Ethylene Recycling LC'!$C$91</f>
        <v>0.612053971280627</v>
      </c>
      <c r="M136" s="44">
        <f>'Ethylene Recycling LC'!L91-'Ethylene Recycling LC'!$C$91</f>
        <v>0.69296013574650406</v>
      </c>
      <c r="N136" s="44">
        <f>'Ethylene Recycling LC'!M91-'Ethylene Recycling LC'!$C$91</f>
        <v>0.77537994689976797</v>
      </c>
      <c r="O136" s="44">
        <f>'Ethylene Recycling LC'!N91-'Ethylene Recycling LC'!$C$91</f>
        <v>0.92170654619406678</v>
      </c>
      <c r="P136" s="44">
        <f>'Ethylene Recycling LC'!O91-'Ethylene Recycling LC'!$C$91</f>
        <v>1.0680672296812057</v>
      </c>
      <c r="Q136" s="44">
        <f>'Ethylene Recycling LC'!P91-'Ethylene Recycling LC'!$C$91</f>
        <v>1.2136950606403887</v>
      </c>
      <c r="R136" s="44">
        <f>'Ethylene Recycling LC'!Q91-'Ethylene Recycling LC'!$C$91</f>
        <v>1.3578063492200547</v>
      </c>
      <c r="S136" s="44">
        <f>'Ethylene Recycling LC'!R91-'Ethylene Recycling LC'!$C$91</f>
        <v>1.4996075272044989</v>
      </c>
      <c r="T136" s="44">
        <f>'Ethylene Recycling LC'!S91-'Ethylene Recycling LC'!$C$91</f>
        <v>1.6433038914136437</v>
      </c>
      <c r="U136" s="44">
        <f>'Ethylene Recycling LC'!T91-'Ethylene Recycling LC'!$C$91</f>
        <v>1.7888720953780681</v>
      </c>
      <c r="V136" s="44">
        <f>'Ethylene Recycling LC'!U91-'Ethylene Recycling LC'!$C$91</f>
        <v>1.9362876135051024</v>
      </c>
      <c r="W136" s="44">
        <f>'Ethylene Recycling LC'!V91-'Ethylene Recycling LC'!$C$91</f>
        <v>2.0855247408125712</v>
      </c>
      <c r="X136" s="44">
        <f>'Ethylene Recycling LC'!W91-'Ethylene Recycling LC'!$C$91</f>
        <v>2.2365565934971694</v>
      </c>
      <c r="Y136" s="44">
        <f>'Ethylene Recycling LC'!X91-'Ethylene Recycling LC'!$C$91</f>
        <v>2.4646131491596659</v>
      </c>
      <c r="Z136" s="44">
        <f>'Ethylene Recycling LC'!Y91-'Ethylene Recycling LC'!$C$91</f>
        <v>2.6956012564647747</v>
      </c>
      <c r="AA136" s="44">
        <f>'Ethylene Recycling LC'!Z91-'Ethylene Recycling LC'!$C$91</f>
        <v>2.9294850158800942</v>
      </c>
      <c r="AB136" s="44">
        <f>'Ethylene Recycling LC'!AA91-'Ethylene Recycling LC'!$C$91</f>
        <v>3.1662268660504127</v>
      </c>
      <c r="AC136" s="44">
        <f>'Ethylene Recycling LC'!AB91-'Ethylene Recycling LC'!$C$91</f>
        <v>3.40578758490242</v>
      </c>
      <c r="AD136" s="44">
        <f>'Ethylene Recycling LC'!AC91-'Ethylene Recycling LC'!$C$91</f>
        <v>3.6481715389414875</v>
      </c>
      <c r="AE136" s="44">
        <f>'Ethylene Recycling LC'!AD91-'Ethylene Recycling LC'!$C$91</f>
        <v>3.8933432075647492</v>
      </c>
      <c r="AF136" s="44">
        <f>'Ethylene Recycling LC'!AE91-'Ethylene Recycling LC'!$C$91</f>
        <v>4.1412655860260248</v>
      </c>
      <c r="AG136" s="44">
        <f>'Ethylene Recycling LC'!AF91-'Ethylene Recycling LC'!$C$91</f>
        <v>4.391900187275608</v>
      </c>
      <c r="AH136" s="44">
        <f>'Ethylene Recycling LC'!AG91-'Ethylene Recycling LC'!$C$91</f>
        <v>4.6452070446885951</v>
      </c>
    </row>
    <row r="137" spans="1:35" outlineLevel="1">
      <c r="A137"/>
      <c r="B137" t="s">
        <v>226</v>
      </c>
      <c r="C137" s="54" t="s">
        <v>153</v>
      </c>
      <c r="D137" s="44">
        <f>'Ethylene Recycling LC'!C150-'Ethylene Recycling LC'!$C$150</f>
        <v>0</v>
      </c>
      <c r="E137" s="44">
        <f>'Ethylene Recycling LC'!D150-'Ethylene Recycling LC'!$C$150</f>
        <v>1.9870187670681994E-2</v>
      </c>
      <c r="F137" s="44">
        <f>'Ethylene Recycling LC'!E150-'Ethylene Recycling LC'!$C$150</f>
        <v>3.9647370499631518E-2</v>
      </c>
      <c r="G137" s="44">
        <f>'Ethylene Recycling LC'!F150-'Ethylene Recycling LC'!$C$150</f>
        <v>5.9192880569213513E-2</v>
      </c>
      <c r="H137" s="44">
        <f>'Ethylene Recycling LC'!G150-'Ethylene Recycling LC'!$C$150</f>
        <v>7.8365111272651167E-2</v>
      </c>
      <c r="I137" s="44">
        <f>'Ethylene Recycling LC'!H150-'Ethylene Recycling LC'!$C$150</f>
        <v>9.702121184629231E-2</v>
      </c>
      <c r="J137" s="44">
        <f>'Ethylene Recycling LC'!I150-'Ethylene Recycling LC'!$C$150</f>
        <v>0.11589368829101121</v>
      </c>
      <c r="K137" s="44">
        <f>'Ethylene Recycling LC'!J150-'Ethylene Recycling LC'!$C$150</f>
        <v>0.13495875159383547</v>
      </c>
      <c r="L137" s="44">
        <f>'Ethylene Recycling LC'!K150-'Ethylene Recycling LC'!$C$150</f>
        <v>0.15419156921074628</v>
      </c>
      <c r="M137" s="44">
        <f>'Ethylene Recycling LC'!L150-'Ethylene Recycling LC'!$C$150</f>
        <v>0.17356630353239944</v>
      </c>
      <c r="N137" s="44">
        <f>'Ethylene Recycling LC'!M150-'Ethylene Recycling LC'!$C$150</f>
        <v>0.19305615452727248</v>
      </c>
      <c r="O137" s="44">
        <f>'Ethylene Recycling LC'!N150-'Ethylene Recycling LC'!$C$150</f>
        <v>0.22813334550781816</v>
      </c>
      <c r="P137" s="44">
        <f>'Ethylene Recycling LC'!O150-'Ethylene Recycling LC'!$C$150</f>
        <v>0.26268446177757709</v>
      </c>
      <c r="Q137" s="44">
        <f>'Ethylene Recycling LC'!P150-'Ethylene Recycling LC'!$C$150</f>
        <v>0.2965045661214194</v>
      </c>
      <c r="R137" s="44">
        <f>'Ethylene Recycling LC'!Q150-'Ethylene Recycling LC'!$C$150</f>
        <v>0.32939006583985642</v>
      </c>
      <c r="S137" s="44">
        <f>'Ethylene Recycling LC'!R150-'Ethylene Recycling LC'!$C$150</f>
        <v>0.36114072300782607</v>
      </c>
      <c r="T137" s="44">
        <f>'Ethylene Recycling LC'!S150-'Ethylene Recycling LC'!$C$150</f>
        <v>0.39279046781575455</v>
      </c>
      <c r="U137" s="44">
        <f>'Ethylene Recycling LC'!T150-'Ethylene Recycling LC'!$C$150</f>
        <v>0.42431769035619771</v>
      </c>
      <c r="V137" s="44">
        <f>'Ethylene Recycling LC'!U150-'Ethylene Recycling LC'!$C$150</f>
        <v>0.45570052145087125</v>
      </c>
      <c r="W137" s="44">
        <f>'Ethylene Recycling LC'!V150-'Ethylene Recycling LC'!$C$150</f>
        <v>0.48691684506649113</v>
      </c>
      <c r="X137" s="44">
        <f>'Ethylene Recycling LC'!W150-'Ethylene Recycling LC'!$C$150</f>
        <v>0.51794431112122552</v>
      </c>
      <c r="Y137" s="44">
        <f>'Ethylene Recycling LC'!X150-'Ethylene Recycling LC'!$C$150</f>
        <v>0.56984747274019065</v>
      </c>
      <c r="Z137" s="44">
        <f>'Ethylene Recycling LC'!Y150-'Ethylene Recycling LC'!$C$150</f>
        <v>0.62149234648764928</v>
      </c>
      <c r="AA137" s="44">
        <f>'Ethylene Recycling LC'!Z150-'Ethylene Recycling LC'!$C$150</f>
        <v>0.67284330822290628</v>
      </c>
      <c r="AB137" s="44">
        <f>'Ethylene Recycling LC'!AA150-'Ethylene Recycling LC'!$C$150</f>
        <v>0.72386436950442434</v>
      </c>
      <c r="AC137" s="44">
        <f>'Ethylene Recycling LC'!AB150-'Ethylene Recycling LC'!$C$150</f>
        <v>0.77451919682826931</v>
      </c>
      <c r="AD137" s="44">
        <f>'Ethylene Recycling LC'!AC150-'Ethylene Recycling LC'!$C$150</f>
        <v>0.82478167520927748</v>
      </c>
      <c r="AE137" s="44">
        <f>'Ethylene Recycling LC'!AD150-'Ethylene Recycling LC'!$C$150</f>
        <v>0.87461626854245955</v>
      </c>
      <c r="AF137" s="44">
        <f>'Ethylene Recycling LC'!AE150-'Ethylene Recycling LC'!$C$150</f>
        <v>0.92398713230383878</v>
      </c>
      <c r="AG137" s="44">
        <f>'Ethylene Recycling LC'!AF150-'Ethylene Recycling LC'!$C$150</f>
        <v>0.9728581313079282</v>
      </c>
      <c r="AH137" s="44">
        <f>'Ethylene Recycling LC'!AG150-'Ethylene Recycling LC'!$C$150</f>
        <v>1.0211928579082863</v>
      </c>
    </row>
    <row r="138" spans="1:35" outlineLevel="1">
      <c r="A138" s="181"/>
      <c r="B138" s="181" t="s">
        <v>218</v>
      </c>
      <c r="C138" s="176" t="s">
        <v>153</v>
      </c>
      <c r="D138" s="238">
        <f>'Ethylene Recycling LC'!C124-'Ethylene Recycling LC'!$C$124</f>
        <v>0</v>
      </c>
      <c r="E138" s="238">
        <f>'Ethylene Recycling LC'!D124-'Ethylene Recycling LC'!$C$124</f>
        <v>5.6101945554459798E-3</v>
      </c>
      <c r="F138" s="238">
        <f>'Ethylene Recycling LC'!E124-'Ethylene Recycling LC'!$C$124</f>
        <v>1.1145741000179031E-2</v>
      </c>
      <c r="G138" s="238">
        <f>'Ethylene Recycling LC'!F124-'Ethylene Recycling LC'!$C$124</f>
        <v>1.6549685749615739E-2</v>
      </c>
      <c r="H138" s="238">
        <f>'Ethylene Recycling LC'!G124-'Ethylene Recycling LC'!$C$124</f>
        <v>2.1765617749907457E-2</v>
      </c>
      <c r="I138" s="238">
        <f>'Ethylene Recycling LC'!H124-'Ethylene Recycling LC'!$C$124</f>
        <v>2.6738552305211001E-2</v>
      </c>
      <c r="J138" s="238">
        <f>'Ethylene Recycling LC'!I124-'Ethylene Recycling LC'!$C$124</f>
        <v>3.1531174581262277E-2</v>
      </c>
      <c r="K138" s="238">
        <f>'Ethylene Recycling LC'!J124-'Ethylene Recycling LC'!$C$124</f>
        <v>3.6122654080294365E-2</v>
      </c>
      <c r="L138" s="238">
        <f>'Ethylene Recycling LC'!K124-'Ethylene Recycling LC'!$C$124</f>
        <v>4.0492095581116737E-2</v>
      </c>
      <c r="M138" s="238">
        <f>'Ethylene Recycling LC'!L124-'Ethylene Recycling LC'!$C$124</f>
        <v>4.4618604532338242E-2</v>
      </c>
      <c r="N138" s="238">
        <f>'Ethylene Recycling LC'!M124-'Ethylene Recycling LC'!$C$124</f>
        <v>4.8481354225570407E-2</v>
      </c>
      <c r="O138" s="238">
        <f>'Ethylene Recycling LC'!N124-'Ethylene Recycling LC'!$C$124</f>
        <v>5.7420423239240133E-2</v>
      </c>
      <c r="P138" s="238">
        <f>'Ethylene Recycling LC'!O124-'Ethylene Recycling LC'!$C$124</f>
        <v>6.5673223085142035E-2</v>
      </c>
      <c r="Q138" s="238">
        <f>'Ethylene Recycling LC'!P124-'Ethylene Recycling LC'!$C$124</f>
        <v>7.3356568909048792E-2</v>
      </c>
      <c r="R138" s="238">
        <f>'Ethylene Recycling LC'!Q124-'Ethylene Recycling LC'!$C$124</f>
        <v>8.0240022743521905E-2</v>
      </c>
      <c r="S138" s="238">
        <f>'Ethylene Recycling LC'!R124-'Ethylene Recycling LC'!$C$124</f>
        <v>8.6259478128653699E-2</v>
      </c>
      <c r="T138" s="238">
        <f>'Ethylene Recycling LC'!S124-'Ethylene Recycling LC'!$C$124</f>
        <v>9.1563406422341759E-2</v>
      </c>
      <c r="U138" s="238">
        <f>'Ethylene Recycling LC'!T124-'Ethylene Recycling LC'!$C$124</f>
        <v>9.6128875824055243E-2</v>
      </c>
      <c r="V138" s="238">
        <f>'Ethylene Recycling LC'!U124-'Ethylene Recycling LC'!$C$124</f>
        <v>9.9933111273335068E-2</v>
      </c>
      <c r="W138" s="238">
        <f>'Ethylene Recycling LC'!V124-'Ethylene Recycling LC'!$C$124</f>
        <v>0.10295351704537742</v>
      </c>
      <c r="X138" s="238">
        <f>'Ethylene Recycling LC'!W124-'Ethylene Recycling LC'!$C$124</f>
        <v>0.10516769953609775</v>
      </c>
      <c r="Y138" s="238">
        <f>'Ethylene Recycling LC'!X124-'Ethylene Recycling LC'!$C$124</f>
        <v>0.11146293161929746</v>
      </c>
      <c r="Z138" s="238">
        <f>'Ethylene Recycling LC'!Y124-'Ethylene Recycling LC'!$C$124</f>
        <v>0.11642157776917772</v>
      </c>
      <c r="AA138" s="238">
        <f>'Ethylene Recycling LC'!Z124-'Ethylene Recycling LC'!$C$124</f>
        <v>0.12042395426441507</v>
      </c>
      <c r="AB138" s="238">
        <f>'Ethylene Recycling LC'!AA124-'Ethylene Recycling LC'!$C$124</f>
        <v>0.12302779629071731</v>
      </c>
      <c r="AC138" s="238">
        <f>'Ethylene Recycling LC'!AB124-'Ethylene Recycling LC'!$C$124</f>
        <v>0.12418437903550739</v>
      </c>
      <c r="AD138" s="238">
        <f>'Ethylene Recycling LC'!AC124-'Ethylene Recycling LC'!$C$124</f>
        <v>0.12384645772410838</v>
      </c>
      <c r="AE138" s="238">
        <f>'Ethylene Recycling LC'!AD124-'Ethylene Recycling LC'!$C$124</f>
        <v>0.12196550193689257</v>
      </c>
      <c r="AF138" s="238">
        <f>'Ethylene Recycling LC'!AE124-'Ethylene Recycling LC'!$C$124</f>
        <v>0.11849308148221555</v>
      </c>
      <c r="AG138" s="238">
        <f>'Ethylene Recycling LC'!AF124-'Ethylene Recycling LC'!$C$124</f>
        <v>0.11338090758889599</v>
      </c>
      <c r="AH138" s="238">
        <f>'Ethylene Recycling LC'!AG124-'Ethylene Recycling LC'!$C$124</f>
        <v>0.10658087467378491</v>
      </c>
    </row>
    <row r="139" spans="1:35">
      <c r="A139" s="178"/>
      <c r="B139" s="239" t="s">
        <v>219</v>
      </c>
      <c r="C139" s="179" t="s">
        <v>153</v>
      </c>
      <c r="D139" s="241">
        <f>D134-D135-D136-D137-D138</f>
        <v>26.799786402018107</v>
      </c>
      <c r="E139" s="241">
        <f t="shared" ref="E139:AG139" si="43">E134-E135-E136-E137-E138</f>
        <v>29.226341529105333</v>
      </c>
      <c r="F139" s="241">
        <f t="shared" si="43"/>
        <v>31.135010429351034</v>
      </c>
      <c r="G139" s="241">
        <f t="shared" si="43"/>
        <v>33.124670293707247</v>
      </c>
      <c r="H139" s="241">
        <f t="shared" si="43"/>
        <v>35.200236092933167</v>
      </c>
      <c r="I139" s="241">
        <f t="shared" si="43"/>
        <v>37.366921014936118</v>
      </c>
      <c r="J139" s="241">
        <f t="shared" si="43"/>
        <v>39.119799146223961</v>
      </c>
      <c r="K139" s="241">
        <f t="shared" si="43"/>
        <v>40.941404076854425</v>
      </c>
      <c r="L139" s="241">
        <f t="shared" si="43"/>
        <v>42.835742988225796</v>
      </c>
      <c r="M139" s="241">
        <f t="shared" si="43"/>
        <v>44.807192967760045</v>
      </c>
      <c r="N139" s="241">
        <f t="shared" si="43"/>
        <v>46.860544643103069</v>
      </c>
      <c r="O139" s="241">
        <f t="shared" si="43"/>
        <v>46.756999081917414</v>
      </c>
      <c r="P139" s="241">
        <f t="shared" si="43"/>
        <v>46.679834002151416</v>
      </c>
      <c r="Q139" s="241">
        <f t="shared" si="43"/>
        <v>46.635350224397605</v>
      </c>
      <c r="R139" s="241">
        <f t="shared" si="43"/>
        <v>46.630846595829574</v>
      </c>
      <c r="S139" s="241">
        <f t="shared" si="43"/>
        <v>46.674167595335057</v>
      </c>
      <c r="T139" s="241">
        <f t="shared" si="43"/>
        <v>46.614820037424273</v>
      </c>
      <c r="U139" s="241">
        <f t="shared" si="43"/>
        <v>46.602319226263148</v>
      </c>
      <c r="V139" s="241">
        <f t="shared" si="43"/>
        <v>46.644899587357472</v>
      </c>
      <c r="W139" s="241">
        <f t="shared" si="43"/>
        <v>46.751915925438517</v>
      </c>
      <c r="X139" s="241">
        <f t="shared" si="43"/>
        <v>46.933992854530665</v>
      </c>
      <c r="Y139" s="241">
        <f t="shared" si="43"/>
        <v>46.832634560285229</v>
      </c>
      <c r="Z139" s="241">
        <f t="shared" si="43"/>
        <v>46.825691460679082</v>
      </c>
      <c r="AA139" s="241">
        <f t="shared" si="43"/>
        <v>46.928265610893014</v>
      </c>
      <c r="AB139" s="241">
        <f t="shared" si="43"/>
        <v>47.158378296806056</v>
      </c>
      <c r="AC139" s="241">
        <f t="shared" si="43"/>
        <v>47.536033643775248</v>
      </c>
      <c r="AD139" s="241">
        <f t="shared" si="43"/>
        <v>47.953427638134848</v>
      </c>
      <c r="AE139" s="241">
        <f t="shared" si="43"/>
        <v>48.56396169627336</v>
      </c>
      <c r="AF139" s="241">
        <f t="shared" si="43"/>
        <v>49.396783693076401</v>
      </c>
      <c r="AG139" s="241">
        <f t="shared" si="43"/>
        <v>50.484962830833112</v>
      </c>
      <c r="AH139" s="241">
        <f>AH134-AH135-AH136-AH137-AH138</f>
        <v>51.866013427504456</v>
      </c>
    </row>
    <row r="140" spans="1:35" s="67" customFormat="1">
      <c r="A140" s="755" t="s">
        <v>257</v>
      </c>
      <c r="B140" s="58" t="s">
        <v>258</v>
      </c>
      <c r="C140" s="59" t="s">
        <v>153</v>
      </c>
      <c r="D140" s="60">
        <f>D66+D75-('Ethylene Recycling LC'!C92+'Ethylene Recycling LC'!C125+'Ethylene Recycling LC'!C151+'Ethylene Recycling LC'!C173-('Ethylene Recycling LC'!$C$92+'Ethylene Recycling LC'!$C$125+'Ethylene Recycling LC'!$C$151+'Ethylene Recycling LC'!$C$173))</f>
        <v>9.842212333121422</v>
      </c>
      <c r="E140" s="60">
        <f>E66+E75-('Ethylene Recycling LC'!D92+'Ethylene Recycling LC'!D125+'Ethylene Recycling LC'!D151+'Ethylene Recycling LC'!D173-('Ethylene Recycling LC'!$C$92+'Ethylene Recycling LC'!$C$125+'Ethylene Recycling LC'!$C$151+'Ethylene Recycling LC'!$C$173))</f>
        <v>10.675334841735136</v>
      </c>
      <c r="F140" s="60">
        <f>F66+F75-('Ethylene Recycling LC'!E92+'Ethylene Recycling LC'!E125+'Ethylene Recycling LC'!E151+'Ethylene Recycling LC'!E173-('Ethylene Recycling LC'!$C$92+'Ethylene Recycling LC'!$C$125+'Ethylene Recycling LC'!$C$151+'Ethylene Recycling LC'!$C$173))</f>
        <v>11.308364662663282</v>
      </c>
      <c r="G140" s="60">
        <f>G66+G75-('Ethylene Recycling LC'!F92+'Ethylene Recycling LC'!F125+'Ethylene Recycling LC'!F151+'Ethylene Recycling LC'!F173-('Ethylene Recycling LC'!$C$92+'Ethylene Recycling LC'!$C$125+'Ethylene Recycling LC'!$C$151+'Ethylene Recycling LC'!$C$173))</f>
        <v>11.970391220975792</v>
      </c>
      <c r="H140" s="60">
        <f>H66+H75-('Ethylene Recycling LC'!G92+'Ethylene Recycling LC'!G125+'Ethylene Recycling LC'!G151+'Ethylene Recycling LC'!G173-('Ethylene Recycling LC'!$C$92+'Ethylene Recycling LC'!$C$125+'Ethylene Recycling LC'!$C$151+'Ethylene Recycling LC'!$C$173))</f>
        <v>12.663710878365277</v>
      </c>
      <c r="I140" s="60">
        <f>I66+I75-('Ethylene Recycling LC'!H92+'Ethylene Recycling LC'!H125+'Ethylene Recycling LC'!H151+'Ethylene Recycling LC'!H173-('Ethylene Recycling LC'!$C$92+'Ethylene Recycling LC'!$C$125+'Ethylene Recycling LC'!$C$151+'Ethylene Recycling LC'!$C$173))</f>
        <v>13.390770196316677</v>
      </c>
      <c r="J140" s="60">
        <f>J66+J75-('Ethylene Recycling LC'!I92+'Ethylene Recycling LC'!I125+'Ethylene Recycling LC'!I151+'Ethylene Recycling LC'!I173-('Ethylene Recycling LC'!$C$92+'Ethylene Recycling LC'!$C$125+'Ethylene Recycling LC'!$C$151+'Ethylene Recycling LC'!$C$173))</f>
        <v>13.9640629259235</v>
      </c>
      <c r="K140" s="60">
        <f>K66+K75-('Ethylene Recycling LC'!J92+'Ethylene Recycling LC'!J125+'Ethylene Recycling LC'!J151+'Ethylene Recycling LC'!J173-('Ethylene Recycling LC'!$C$92+'Ethylene Recycling LC'!$C$125+'Ethylene Recycling LC'!$C$151+'Ethylene Recycling LC'!$C$173))</f>
        <v>14.560920283840376</v>
      </c>
      <c r="L140" s="60">
        <f>L66+L75-('Ethylene Recycling LC'!K92+'Ethylene Recycling LC'!K125+'Ethylene Recycling LC'!K151+'Ethylene Recycling LC'!K173-('Ethylene Recycling LC'!$C$92+'Ethylene Recycling LC'!$C$125+'Ethylene Recycling LC'!$C$151+'Ethylene Recycling LC'!$C$173))</f>
        <v>15.182958588333953</v>
      </c>
      <c r="M140" s="60">
        <f>M66+M75-('Ethylene Recycling LC'!L92+'Ethylene Recycling LC'!L125+'Ethylene Recycling LC'!L151+'Ethylene Recycling LC'!L173-('Ethylene Recycling LC'!$C$92+'Ethylene Recycling LC'!$C$125+'Ethylene Recycling LC'!$C$151+'Ethylene Recycling LC'!$C$173))</f>
        <v>15.831956735183585</v>
      </c>
      <c r="N140" s="60">
        <f>N66+N75-('Ethylene Recycling LC'!M92+'Ethylene Recycling LC'!M125+'Ethylene Recycling LC'!M151+'Ethylene Recycling LC'!M173-('Ethylene Recycling LC'!$C$92+'Ethylene Recycling LC'!$C$125+'Ethylene Recycling LC'!$C$151+'Ethylene Recycling LC'!$C$173))</f>
        <v>16.509875583284291</v>
      </c>
      <c r="O140" s="60">
        <f>O66+O75-('Ethylene Recycling LC'!N92+'Ethylene Recycling LC'!N125+'Ethylene Recycling LC'!N151+'Ethylene Recycling LC'!N173-('Ethylene Recycling LC'!$C$92+'Ethylene Recycling LC'!$C$125+'Ethylene Recycling LC'!$C$151+'Ethylene Recycling LC'!$C$173))</f>
        <v>16.341291370165383</v>
      </c>
      <c r="P140" s="60">
        <f>P66+P75-('Ethylene Recycling LC'!O92+'Ethylene Recycling LC'!O125+'Ethylene Recycling LC'!O151+'Ethylene Recycling LC'!O173-('Ethylene Recycling LC'!$C$92+'Ethylene Recycling LC'!$C$125+'Ethylene Recycling LC'!$C$151+'Ethylene Recycling LC'!$C$173))</f>
        <v>16.182014094880188</v>
      </c>
      <c r="Q140" s="60">
        <f>Q66+Q75-('Ethylene Recycling LC'!P92+'Ethylene Recycling LC'!P125+'Ethylene Recycling LC'!P151+'Ethylene Recycling LC'!P173-('Ethylene Recycling LC'!$C$92+'Ethylene Recycling LC'!$C$125+'Ethylene Recycling LC'!$C$151+'Ethylene Recycling LC'!$C$173))</f>
        <v>16.035249853148429</v>
      </c>
      <c r="R140" s="60">
        <f>R66+R75-('Ethylene Recycling LC'!Q92+'Ethylene Recycling LC'!Q125+'Ethylene Recycling LC'!Q151+'Ethylene Recycling LC'!Q173-('Ethylene Recycling LC'!$C$92+'Ethylene Recycling LC'!$C$125+'Ethylene Recycling LC'!$C$151+'Ethylene Recycling LC'!$C$173))</f>
        <v>15.904794998176417</v>
      </c>
      <c r="S140" s="60">
        <f>S66+S75-('Ethylene Recycling LC'!R92+'Ethylene Recycling LC'!R125+'Ethylene Recycling LC'!R151+'Ethylene Recycling LC'!R173-('Ethylene Recycling LC'!$C$92+'Ethylene Recycling LC'!$C$125+'Ethylene Recycling LC'!$C$151+'Ethylene Recycling LC'!$C$173))</f>
        <v>15.794662985139393</v>
      </c>
      <c r="T140" s="60">
        <f>T66+T75-('Ethylene Recycling LC'!S92+'Ethylene Recycling LC'!S125+'Ethylene Recycling LC'!S151+'Ethylene Recycling LC'!S173-('Ethylene Recycling LC'!$C$92+'Ethylene Recycling LC'!$C$125+'Ethylene Recycling LC'!$C$151+'Ethylene Recycling LC'!$C$173))</f>
        <v>15.646419852780554</v>
      </c>
      <c r="U140" s="60">
        <f>U66+U75-('Ethylene Recycling LC'!T92+'Ethylene Recycling LC'!T125+'Ethylene Recycling LC'!T151+'Ethylene Recycling LC'!T173-('Ethylene Recycling LC'!$C$92+'Ethylene Recycling LC'!$C$125+'Ethylene Recycling LC'!$C$151+'Ethylene Recycling LC'!$C$173))</f>
        <v>15.515453216495841</v>
      </c>
      <c r="V140" s="60">
        <f>V66+V75-('Ethylene Recycling LC'!U92+'Ethylene Recycling LC'!U125+'Ethylene Recycling LC'!U151+'Ethylene Recycling LC'!U173-('Ethylene Recycling LC'!$C$92+'Ethylene Recycling LC'!$C$125+'Ethylene Recycling LC'!$C$151+'Ethylene Recycling LC'!$C$173))</f>
        <v>15.405340525226183</v>
      </c>
      <c r="W140" s="60">
        <f>W66+W75-('Ethylene Recycling LC'!V92+'Ethylene Recycling LC'!V125+'Ethylene Recycling LC'!V151+'Ethylene Recycling LC'!V173-('Ethylene Recycling LC'!$C$92+'Ethylene Recycling LC'!$C$125+'Ethylene Recycling LC'!$C$151+'Ethylene Recycling LC'!$C$173))</f>
        <v>15.320156446206866</v>
      </c>
      <c r="X140" s="60">
        <f>X66+X75-('Ethylene Recycling LC'!W92+'Ethylene Recycling LC'!W125+'Ethylene Recycling LC'!W151+'Ethylene Recycling LC'!W173-('Ethylene Recycling LC'!$C$92+'Ethylene Recycling LC'!$C$125+'Ethylene Recycling LC'!$C$151+'Ethylene Recycling LC'!$C$173))</f>
        <v>15.264539794331725</v>
      </c>
      <c r="Y140" s="60">
        <f>Y66+Y75-('Ethylene Recycling LC'!X92+'Ethylene Recycling LC'!X125+'Ethylene Recycling LC'!X151+'Ethylene Recycling LC'!X173-('Ethylene Recycling LC'!$C$92+'Ethylene Recycling LC'!$C$125+'Ethylene Recycling LC'!$C$151+'Ethylene Recycling LC'!$C$173))</f>
        <v>15.030918628188086</v>
      </c>
      <c r="Z140" s="60">
        <f>Z66+Z75-('Ethylene Recycling LC'!Y92+'Ethylene Recycling LC'!Y125+'Ethylene Recycling LC'!Y151+'Ethylene Recycling LC'!Y173-('Ethylene Recycling LC'!$C$92+'Ethylene Recycling LC'!$C$125+'Ethylene Recycling LC'!$C$151+'Ethylene Recycling LC'!$C$173))</f>
        <v>14.833499763296441</v>
      </c>
      <c r="AA140" s="60">
        <f>AA66+AA75-('Ethylene Recycling LC'!Z92+'Ethylene Recycling LC'!Z125+'Ethylene Recycling LC'!Z151+'Ethylene Recycling LC'!Z173-('Ethylene Recycling LC'!$C$92+'Ethylene Recycling LC'!$C$125+'Ethylene Recycling LC'!$C$151+'Ethylene Recycling LC'!$C$173))</f>
        <v>14.678768800596586</v>
      </c>
      <c r="AB140" s="60">
        <f>AB66+AB75-('Ethylene Recycling LC'!AA92+'Ethylene Recycling LC'!AA125+'Ethylene Recycling LC'!AA151+'Ethylene Recycling LC'!AA173-('Ethylene Recycling LC'!$C$92+'Ethylene Recycling LC'!$C$125+'Ethylene Recycling LC'!$C$151+'Ethylene Recycling LC'!$C$173))</f>
        <v>14.57475709654156</v>
      </c>
      <c r="AC140" s="60">
        <f>AC66+AC75-('Ethylene Recycling LC'!AB92+'Ethylene Recycling LC'!AB125+'Ethylene Recycling LC'!AB151+'Ethylene Recycling LC'!AB173-('Ethylene Recycling LC'!$C$92+'Ethylene Recycling LC'!$C$125+'Ethylene Recycling LC'!$C$151+'Ethylene Recycling LC'!$C$173))</f>
        <v>14.530264787228578</v>
      </c>
      <c r="AD140" s="60">
        <f>AD66+AD75-('Ethylene Recycling LC'!AC92+'Ethylene Recycling LC'!AC125+'Ethylene Recycling LC'!AC151+'Ethylene Recycling LC'!AC173-('Ethylene Recycling LC'!$C$92+'Ethylene Recycling LC'!$C$125+'Ethylene Recycling LC'!$C$151+'Ethylene Recycling LC'!$C$173))</f>
        <v>14.507325835045897</v>
      </c>
      <c r="AE140" s="60">
        <f>AE66+AE75-('Ethylene Recycling LC'!AD92+'Ethylene Recycling LC'!AD125+'Ethylene Recycling LC'!AD151+'Ethylene Recycling LC'!AD173-('Ethylene Recycling LC'!$C$92+'Ethylene Recycling LC'!$C$125+'Ethylene Recycling LC'!$C$151+'Ethylene Recycling LC'!$C$173))</f>
        <v>14.564183094797816</v>
      </c>
      <c r="AF140" s="60">
        <f>AF66+AF75-('Ethylene Recycling LC'!AE92+'Ethylene Recycling LC'!AE125+'Ethylene Recycling LC'!AE151+'Ethylene Recycling LC'!AE173-('Ethylene Recycling LC'!$C$92+'Ethylene Recycling LC'!$C$125+'Ethylene Recycling LC'!$C$151+'Ethylene Recycling LC'!$C$173))</f>
        <v>14.713726647696934</v>
      </c>
      <c r="AG140" s="60">
        <f>AG66+AG75-('Ethylene Recycling LC'!AF92+'Ethylene Recycling LC'!AF125+'Ethylene Recycling LC'!AF151+'Ethylene Recycling LC'!AF173-('Ethylene Recycling LC'!$C$92+'Ethylene Recycling LC'!$C$125+'Ethylene Recycling LC'!$C$151+'Ethylene Recycling LC'!$C$173))</f>
        <v>14.970604990527134</v>
      </c>
      <c r="AH140" s="60">
        <f>AH66+AH75-('Ethylene Recycling LC'!AG92+'Ethylene Recycling LC'!AG125+'Ethylene Recycling LC'!AG151+'Ethylene Recycling LC'!AG173-('Ethylene Recycling LC'!$C$92+'Ethylene Recycling LC'!$C$125+'Ethylene Recycling LC'!$C$151+'Ethylene Recycling LC'!$C$173))</f>
        <v>15.351461825009888</v>
      </c>
      <c r="AI140" s="60"/>
    </row>
    <row r="141" spans="1:35">
      <c r="A141" s="756"/>
      <c r="B141" s="1" t="s">
        <v>260</v>
      </c>
      <c r="C141" s="54" t="s">
        <v>153</v>
      </c>
      <c r="D141" s="44">
        <f>D67+D76+(D145-D71-D80)</f>
        <v>4.5813083502024288</v>
      </c>
      <c r="E141" s="44">
        <f t="shared" ref="E141:AH141" si="44">E67+E76+(E145-E71-E80)</f>
        <v>5.068671491941048</v>
      </c>
      <c r="F141" s="44">
        <f t="shared" si="44"/>
        <v>5.4184047622718534</v>
      </c>
      <c r="G141" s="44">
        <f t="shared" si="44"/>
        <v>5.7828592377885721</v>
      </c>
      <c r="H141" s="44">
        <f t="shared" si="44"/>
        <v>6.1628563068476048</v>
      </c>
      <c r="I141" s="44">
        <f t="shared" si="44"/>
        <v>6.5592736227041968</v>
      </c>
      <c r="J141" s="44">
        <f t="shared" si="44"/>
        <v>6.8864744747250608</v>
      </c>
      <c r="K141" s="44">
        <f t="shared" si="44"/>
        <v>7.2270625513360862</v>
      </c>
      <c r="L141" s="44">
        <f t="shared" si="44"/>
        <v>7.5818529126166156</v>
      </c>
      <c r="M141" s="44">
        <f t="shared" si="44"/>
        <v>7.9517389772491027</v>
      </c>
      <c r="N141" s="44">
        <f t="shared" si="44"/>
        <v>8.3377019167921897</v>
      </c>
      <c r="O141" s="44">
        <f t="shared" si="44"/>
        <v>8.3711574632362495</v>
      </c>
      <c r="P141" s="44">
        <f t="shared" si="44"/>
        <v>8.411367918145725</v>
      </c>
      <c r="Q141" s="44">
        <f t="shared" si="44"/>
        <v>8.4595096214813026</v>
      </c>
      <c r="R141" s="44">
        <f t="shared" si="44"/>
        <v>8.5168917214173838</v>
      </c>
      <c r="S141" s="44">
        <f t="shared" si="44"/>
        <v>8.5849714387436542</v>
      </c>
      <c r="T141" s="44">
        <f t="shared" si="44"/>
        <v>8.6392506111018292</v>
      </c>
      <c r="U141" s="44">
        <f t="shared" si="44"/>
        <v>8.7056637957104606</v>
      </c>
      <c r="V141" s="44">
        <f t="shared" si="44"/>
        <v>8.7860394064662479</v>
      </c>
      <c r="W141" s="44">
        <f t="shared" si="44"/>
        <v>8.8824481840463534</v>
      </c>
      <c r="X141" s="44">
        <f t="shared" si="44"/>
        <v>8.9972350247975363</v>
      </c>
      <c r="Y141" s="44">
        <f t="shared" si="44"/>
        <v>9.088400684493358</v>
      </c>
      <c r="Z141" s="44">
        <f t="shared" si="44"/>
        <v>9.2029262623783303</v>
      </c>
      <c r="AA141" s="44">
        <f t="shared" si="44"/>
        <v>9.3442143176959753</v>
      </c>
      <c r="AB141" s="44">
        <f t="shared" si="44"/>
        <v>9.5161168590729179</v>
      </c>
      <c r="AC141" s="44">
        <f t="shared" si="44"/>
        <v>9.7229944975531275</v>
      </c>
      <c r="AD141" s="44">
        <f t="shared" si="44"/>
        <v>9.9474851427906774</v>
      </c>
      <c r="AE141" s="44">
        <f t="shared" si="44"/>
        <v>10.216999575665925</v>
      </c>
      <c r="AF141" s="44">
        <f t="shared" si="44"/>
        <v>10.537853750386169</v>
      </c>
      <c r="AG141" s="44">
        <f t="shared" si="44"/>
        <v>10.917197974684019</v>
      </c>
      <c r="AH141" s="44">
        <f t="shared" si="44"/>
        <v>11.363126992277287</v>
      </c>
      <c r="AI141" s="44"/>
    </row>
    <row r="142" spans="1:35">
      <c r="A142" s="756"/>
      <c r="B142" s="1" t="s">
        <v>262</v>
      </c>
      <c r="C142" s="54" t="s">
        <v>153</v>
      </c>
      <c r="D142" s="44">
        <f>D68+D77+(D144-D70-D79)</f>
        <v>3.0035502958579876</v>
      </c>
      <c r="E142" s="44">
        <f t="shared" ref="E142:AH142" si="45">E68+E77+(E144-E70-E79)</f>
        <v>3.2412251734998185</v>
      </c>
      <c r="F142" s="44">
        <f t="shared" si="45"/>
        <v>3.4538790299512621</v>
      </c>
      <c r="G142" s="44">
        <f t="shared" si="45"/>
        <v>3.6744735078836719</v>
      </c>
      <c r="H142" s="44">
        <f t="shared" si="45"/>
        <v>3.9033962265691318</v>
      </c>
      <c r="I142" s="44">
        <f t="shared" si="45"/>
        <v>4.1410531437844345</v>
      </c>
      <c r="J142" s="44">
        <f t="shared" si="45"/>
        <v>4.3309176878921907</v>
      </c>
      <c r="K142" s="44">
        <f t="shared" si="45"/>
        <v>4.5268753217979008</v>
      </c>
      <c r="L142" s="44">
        <f t="shared" si="45"/>
        <v>4.7291555616386391</v>
      </c>
      <c r="M142" s="44">
        <f t="shared" si="45"/>
        <v>4.9380000699564066</v>
      </c>
      <c r="N142" s="44">
        <f t="shared" si="45"/>
        <v>5.1536634765829099</v>
      </c>
      <c r="O142" s="44">
        <f t="shared" si="45"/>
        <v>5.1292655504685252</v>
      </c>
      <c r="P142" s="44">
        <f t="shared" si="45"/>
        <v>5.1044882976924582</v>
      </c>
      <c r="Q142" s="44">
        <f t="shared" si="45"/>
        <v>5.07960083476355</v>
      </c>
      <c r="R142" s="44">
        <f t="shared" si="45"/>
        <v>5.0549069978733217</v>
      </c>
      <c r="S142" s="44">
        <f t="shared" si="45"/>
        <v>5.0307235794128786</v>
      </c>
      <c r="T142" s="44">
        <f t="shared" si="45"/>
        <v>4.989858025327087</v>
      </c>
      <c r="U142" s="44">
        <f t="shared" si="45"/>
        <v>4.9483821484908415</v>
      </c>
      <c r="V142" s="44">
        <f t="shared" si="45"/>
        <v>4.9064394392603941</v>
      </c>
      <c r="W142" s="44">
        <f t="shared" si="45"/>
        <v>4.8641914324673552</v>
      </c>
      <c r="X142" s="44">
        <f t="shared" si="45"/>
        <v>4.8218195984506096</v>
      </c>
      <c r="Y142" s="44">
        <f t="shared" si="45"/>
        <v>4.7413859458398644</v>
      </c>
      <c r="Z142" s="44">
        <f t="shared" si="45"/>
        <v>4.6603583546181149</v>
      </c>
      <c r="AA142" s="44">
        <f t="shared" si="45"/>
        <v>4.5789542551625839</v>
      </c>
      <c r="AB142" s="44">
        <f t="shared" si="45"/>
        <v>4.4974856585951501</v>
      </c>
      <c r="AC142" s="44">
        <f t="shared" si="45"/>
        <v>4.4162683965084568</v>
      </c>
      <c r="AD142" s="44">
        <f t="shared" si="45"/>
        <v>4.3210313731729846</v>
      </c>
      <c r="AE142" s="44">
        <f t="shared" si="45"/>
        <v>4.2264742530437367</v>
      </c>
      <c r="AF142" s="44">
        <f t="shared" si="45"/>
        <v>4.1330281449958211</v>
      </c>
      <c r="AG142" s="44">
        <f t="shared" si="45"/>
        <v>4.0411735213171358</v>
      </c>
      <c r="AH142" s="44">
        <f t="shared" si="45"/>
        <v>3.9514453795102602</v>
      </c>
      <c r="AI142" s="44"/>
    </row>
    <row r="143" spans="1:35">
      <c r="A143" s="757"/>
      <c r="B143" s="1" t="s">
        <v>248</v>
      </c>
      <c r="C143" s="54" t="s">
        <v>153</v>
      </c>
      <c r="D143" s="284">
        <f>D69+D78-('Ethylene Recycling LC'!C93+'Ethylene Recycling LC'!C126+'Ethylene Recycling LC'!C152+'Ethylene Recycling LC'!C174-('Ethylene Recycling LC'!$C$93+'Ethylene Recycling LC'!$C$126+'Ethylene Recycling LC'!$C$152+'Ethylene Recycling LC'!$C$174)+'Ethylene Recycling LC'!C96+'Ethylene Recycling LC'!C129+'Ethylene Recycling LC'!C155+'Ethylene Recycling LC'!C177-('Ethylene Recycling LC'!$C$96+'Ethylene Recycling LC'!$C$129+'Ethylene Recycling LC'!$C$155+'Ethylene Recycling LC'!$C$177))</f>
        <v>9.3727154228362686</v>
      </c>
      <c r="E143" s="284">
        <f>E69+E78-('Ethylene Recycling LC'!D93+'Ethylene Recycling LC'!D126+'Ethylene Recycling LC'!D152+'Ethylene Recycling LC'!D174-('Ethylene Recycling LC'!$C$93+'Ethylene Recycling LC'!$C$126+'Ethylene Recycling LC'!$C$152+'Ethylene Recycling LC'!$C$174)+'Ethylene Recycling LC'!D96+'Ethylene Recycling LC'!D129+'Ethylene Recycling LC'!D155+'Ethylene Recycling LC'!D177-('Ethylene Recycling LC'!$C$96+'Ethylene Recycling LC'!$C$129+'Ethylene Recycling LC'!$C$155+'Ethylene Recycling LC'!$C$177))</f>
        <v>10.241110021929329</v>
      </c>
      <c r="F143" s="284">
        <f>F69+F78-('Ethylene Recycling LC'!E93+'Ethylene Recycling LC'!E126+'Ethylene Recycling LC'!E152+'Ethylene Recycling LC'!E174-('Ethylene Recycling LC'!$C$93+'Ethylene Recycling LC'!$C$126+'Ethylene Recycling LC'!$C$152+'Ethylene Recycling LC'!$C$174)+'Ethylene Recycling LC'!E96+'Ethylene Recycling LC'!E129+'Ethylene Recycling LC'!E155+'Ethylene Recycling LC'!E177-('Ethylene Recycling LC'!$C$96+'Ethylene Recycling LC'!$C$129+'Ethylene Recycling LC'!$C$155+'Ethylene Recycling LC'!$C$177))</f>
        <v>10.954361974464636</v>
      </c>
      <c r="G143" s="284">
        <f>G69+G78-('Ethylene Recycling LC'!F93+'Ethylene Recycling LC'!F126+'Ethylene Recycling LC'!F152+'Ethylene Recycling LC'!F174-('Ethylene Recycling LC'!$C$93+'Ethylene Recycling LC'!$C$126+'Ethylene Recycling LC'!$C$152+'Ethylene Recycling LC'!$C$174)+'Ethylene Recycling LC'!F96+'Ethylene Recycling LC'!F129+'Ethylene Recycling LC'!F155+'Ethylene Recycling LC'!F177-('Ethylene Recycling LC'!$C$96+'Ethylene Recycling LC'!$C$129+'Ethylene Recycling LC'!$C$155+'Ethylene Recycling LC'!$C$177))</f>
        <v>11.696946327059209</v>
      </c>
      <c r="H143" s="284">
        <f>H69+H78-('Ethylene Recycling LC'!G93+'Ethylene Recycling LC'!G126+'Ethylene Recycling LC'!G152+'Ethylene Recycling LC'!G174-('Ethylene Recycling LC'!$C$93+'Ethylene Recycling LC'!$C$126+'Ethylene Recycling LC'!$C$152+'Ethylene Recycling LC'!$C$174)+'Ethylene Recycling LC'!G96+'Ethylene Recycling LC'!G129+'Ethylene Recycling LC'!G155+'Ethylene Recycling LC'!G177-('Ethylene Recycling LC'!$C$96+'Ethylene Recycling LC'!$C$129+'Ethylene Recycling LC'!$C$155+'Ethylene Recycling LC'!$C$177))</f>
        <v>12.470272681151151</v>
      </c>
      <c r="I143" s="284">
        <f>I69+I78-('Ethylene Recycling LC'!H93+'Ethylene Recycling LC'!H126+'Ethylene Recycling LC'!H152+'Ethylene Recycling LC'!H174-('Ethylene Recycling LC'!$C$93+'Ethylene Recycling LC'!$C$126+'Ethylene Recycling LC'!$C$152+'Ethylene Recycling LC'!$C$174)+'Ethylene Recycling LC'!H96+'Ethylene Recycling LC'!H129+'Ethylene Recycling LC'!H155+'Ethylene Recycling LC'!H177-('Ethylene Recycling LC'!$C$96+'Ethylene Recycling LC'!$C$129+'Ethylene Recycling LC'!$C$155+'Ethylene Recycling LC'!$C$177))</f>
        <v>13.275824052130808</v>
      </c>
      <c r="J143" s="284">
        <f>J69+J78-('Ethylene Recycling LC'!I93+'Ethylene Recycling LC'!I126+'Ethylene Recycling LC'!I152+'Ethylene Recycling LC'!I174-('Ethylene Recycling LC'!$C$93+'Ethylene Recycling LC'!$C$126+'Ethylene Recycling LC'!$C$152+'Ethylene Recycling LC'!$C$174)+'Ethylene Recycling LC'!I96+'Ethylene Recycling LC'!I129+'Ethylene Recycling LC'!I155+'Ethylene Recycling LC'!I177-('Ethylene Recycling LC'!$C$96+'Ethylene Recycling LC'!$C$129+'Ethylene Recycling LC'!$C$155+'Ethylene Recycling LC'!$C$177))</f>
        <v>13.938344057683205</v>
      </c>
      <c r="K143" s="284">
        <f>K69+K78-('Ethylene Recycling LC'!J93+'Ethylene Recycling LC'!J126+'Ethylene Recycling LC'!J152+'Ethylene Recycling LC'!J174-('Ethylene Recycling LC'!$C$93+'Ethylene Recycling LC'!$C$126+'Ethylene Recycling LC'!$C$152+'Ethylene Recycling LC'!$C$174)+'Ethylene Recycling LC'!J96+'Ethylene Recycling LC'!J129+'Ethylene Recycling LC'!J155+'Ethylene Recycling LC'!J177-('Ethylene Recycling LC'!$C$96+'Ethylene Recycling LC'!$C$129+'Ethylene Recycling LC'!$C$155+'Ethylene Recycling LC'!$C$177))</f>
        <v>14.626545919880057</v>
      </c>
      <c r="L143" s="284">
        <f>L69+L78-('Ethylene Recycling LC'!K93+'Ethylene Recycling LC'!K126+'Ethylene Recycling LC'!K152+'Ethylene Recycling LC'!K174-('Ethylene Recycling LC'!$C$93+'Ethylene Recycling LC'!$C$126+'Ethylene Recycling LC'!$C$152+'Ethylene Recycling LC'!$C$174)+'Ethylene Recycling LC'!K96+'Ethylene Recycling LC'!K129+'Ethylene Recycling LC'!K155+'Ethylene Recycling LC'!K177-('Ethylene Recycling LC'!$C$96+'Ethylene Recycling LC'!$C$129+'Ethylene Recycling LC'!$C$155+'Ethylene Recycling LC'!$C$177))</f>
        <v>15.34177592563659</v>
      </c>
      <c r="M143" s="284">
        <f>M69+M78-('Ethylene Recycling LC'!L93+'Ethylene Recycling LC'!L126+'Ethylene Recycling LC'!L152+'Ethylene Recycling LC'!L174-('Ethylene Recycling LC'!$C$93+'Ethylene Recycling LC'!$C$126+'Ethylene Recycling LC'!$C$152+'Ethylene Recycling LC'!$C$174)+'Ethylene Recycling LC'!L96+'Ethylene Recycling LC'!L129+'Ethylene Recycling LC'!L155+'Ethylene Recycling LC'!L177-('Ethylene Recycling LC'!$C$96+'Ethylene Recycling LC'!$C$129+'Ethylene Recycling LC'!$C$155+'Ethylene Recycling LC'!$C$177))</f>
        <v>16.08549718537094</v>
      </c>
      <c r="N143" s="284">
        <f>N69+N78-('Ethylene Recycling LC'!M93+'Ethylene Recycling LC'!M126+'Ethylene Recycling LC'!M152+'Ethylene Recycling LC'!M174-('Ethylene Recycling LC'!$C$93+'Ethylene Recycling LC'!$C$126+'Ethylene Recycling LC'!$C$152+'Ethylene Recycling LC'!$C$174)+'Ethylene Recycling LC'!M96+'Ethylene Recycling LC'!M129+'Ethylene Recycling LC'!M155+'Ethylene Recycling LC'!M177-('Ethylene Recycling LC'!$C$96+'Ethylene Recycling LC'!$C$129+'Ethylene Recycling LC'!$C$155+'Ethylene Recycling LC'!$C$177))</f>
        <v>16.859303666443676</v>
      </c>
      <c r="O143" s="284">
        <f>O69+O78-('Ethylene Recycling LC'!N93+'Ethylene Recycling LC'!N126+'Ethylene Recycling LC'!N152+'Ethylene Recycling LC'!N174-('Ethylene Recycling LC'!$C$93+'Ethylene Recycling LC'!$C$126+'Ethylene Recycling LC'!$C$152+'Ethylene Recycling LC'!$C$174)+'Ethylene Recycling LC'!N96+'Ethylene Recycling LC'!N129+'Ethylene Recycling LC'!N155+'Ethylene Recycling LC'!N177-('Ethylene Recycling LC'!$C$96+'Ethylene Recycling LC'!$C$129+'Ethylene Recycling LC'!$C$155+'Ethylene Recycling LC'!$C$177))</f>
        <v>16.915284698047259</v>
      </c>
      <c r="P143" s="284">
        <f>P69+P78-('Ethylene Recycling LC'!O93+'Ethylene Recycling LC'!O126+'Ethylene Recycling LC'!O152+'Ethylene Recycling LC'!O174-('Ethylene Recycling LC'!$C$93+'Ethylene Recycling LC'!$C$126+'Ethylene Recycling LC'!$C$152+'Ethylene Recycling LC'!$C$174)+'Ethylene Recycling LC'!O96+'Ethylene Recycling LC'!O129+'Ethylene Recycling LC'!O155+'Ethylene Recycling LC'!O177-('Ethylene Recycling LC'!$C$96+'Ethylene Recycling LC'!$C$129+'Ethylene Recycling LC'!$C$155+'Ethylene Recycling LC'!$C$177))</f>
        <v>16.981963691433037</v>
      </c>
      <c r="Q143" s="284">
        <f>Q69+Q78-('Ethylene Recycling LC'!P93+'Ethylene Recycling LC'!P126+'Ethylene Recycling LC'!P152+'Ethylene Recycling LC'!P174-('Ethylene Recycling LC'!$C$93+'Ethylene Recycling LC'!$C$126+'Ethylene Recycling LC'!$C$152+'Ethylene Recycling LC'!$C$174)+'Ethylene Recycling LC'!P96+'Ethylene Recycling LC'!P129+'Ethylene Recycling LC'!P155+'Ethylene Recycling LC'!P177-('Ethylene Recycling LC'!$C$96+'Ethylene Recycling LC'!$C$129+'Ethylene Recycling LC'!$C$155+'Ethylene Recycling LC'!$C$177))</f>
        <v>17.060989915004324</v>
      </c>
      <c r="R143" s="284">
        <f>R69+R78-('Ethylene Recycling LC'!Q93+'Ethylene Recycling LC'!Q126+'Ethylene Recycling LC'!Q152+'Ethylene Recycling LC'!Q174-('Ethylene Recycling LC'!$C$93+'Ethylene Recycling LC'!$C$126+'Ethylene Recycling LC'!$C$152+'Ethylene Recycling LC'!$C$174)+'Ethylene Recycling LC'!Q96+'Ethylene Recycling LC'!Q129+'Ethylene Recycling LC'!Q155+'Ethylene Recycling LC'!Q177-('Ethylene Recycling LC'!$C$96+'Ethylene Recycling LC'!$C$129+'Ethylene Recycling LC'!$C$155+'Ethylene Recycling LC'!$C$177))</f>
        <v>17.154252878362456</v>
      </c>
      <c r="S143" s="284">
        <f>S69+S78-('Ethylene Recycling LC'!R93+'Ethylene Recycling LC'!R126+'Ethylene Recycling LC'!R152+'Ethylene Recycling LC'!R174-('Ethylene Recycling LC'!$C$93+'Ethylene Recycling LC'!$C$126+'Ethylene Recycling LC'!$C$152+'Ethylene Recycling LC'!$C$174)+'Ethylene Recycling LC'!R96+'Ethylene Recycling LC'!R129+'Ethylene Recycling LC'!R155+'Ethylene Recycling LC'!R177-('Ethylene Recycling LC'!$C$96+'Ethylene Recycling LC'!$C$129+'Ethylene Recycling LC'!$C$155+'Ethylene Recycling LC'!$C$177))</f>
        <v>17.263809592039134</v>
      </c>
      <c r="T143" s="284">
        <f>T69+T78-('Ethylene Recycling LC'!S93+'Ethylene Recycling LC'!S126+'Ethylene Recycling LC'!S152+'Ethylene Recycling LC'!S174-('Ethylene Recycling LC'!$C$93+'Ethylene Recycling LC'!$C$126+'Ethylene Recycling LC'!$C$152+'Ethylene Recycling LC'!$C$174)+'Ethylene Recycling LC'!S96+'Ethylene Recycling LC'!S129+'Ethylene Recycling LC'!S155+'Ethylene Recycling LC'!S177-('Ethylene Recycling LC'!$C$96+'Ethylene Recycling LC'!$C$129+'Ethylene Recycling LC'!$C$155+'Ethylene Recycling LC'!$C$177))</f>
        <v>17.339291548214799</v>
      </c>
      <c r="U143" s="284">
        <f>U69+U78-('Ethylene Recycling LC'!T93+'Ethylene Recycling LC'!T126+'Ethylene Recycling LC'!T152+'Ethylene Recycling LC'!T174-('Ethylene Recycling LC'!$C$93+'Ethylene Recycling LC'!$C$126+'Ethylene Recycling LC'!$C$152+'Ethylene Recycling LC'!$C$174)+'Ethylene Recycling LC'!T96+'Ethylene Recycling LC'!T129+'Ethylene Recycling LC'!T155+'Ethylene Recycling LC'!T177-('Ethylene Recycling LC'!$C$96+'Ethylene Recycling LC'!$C$129+'Ethylene Recycling LC'!$C$155+'Ethylene Recycling LC'!$C$177))</f>
        <v>17.432820065566005</v>
      </c>
      <c r="V143" s="284">
        <f>V69+V78-('Ethylene Recycling LC'!U93+'Ethylene Recycling LC'!U126+'Ethylene Recycling LC'!U152+'Ethylene Recycling LC'!U174-('Ethylene Recycling LC'!$C$93+'Ethylene Recycling LC'!$C$126+'Ethylene Recycling LC'!$C$152+'Ethylene Recycling LC'!$C$174)+'Ethylene Recycling LC'!U96+'Ethylene Recycling LC'!U129+'Ethylene Recycling LC'!U155+'Ethylene Recycling LC'!U177-('Ethylene Recycling LC'!$C$96+'Ethylene Recycling LC'!$C$129+'Ethylene Recycling LC'!$C$155+'Ethylene Recycling LC'!$C$177))</f>
        <v>17.547080216404645</v>
      </c>
      <c r="W143" s="284">
        <f>W69+W78-('Ethylene Recycling LC'!V93+'Ethylene Recycling LC'!V126+'Ethylene Recycling LC'!V152+'Ethylene Recycling LC'!V174-('Ethylene Recycling LC'!$C$93+'Ethylene Recycling LC'!$C$126+'Ethylene Recycling LC'!$C$152+'Ethylene Recycling LC'!$C$174)+'Ethylene Recycling LC'!V96+'Ethylene Recycling LC'!V129+'Ethylene Recycling LC'!V155+'Ethylene Recycling LC'!V177-('Ethylene Recycling LC'!$C$96+'Ethylene Recycling LC'!$C$129+'Ethylene Recycling LC'!$C$155+'Ethylene Recycling LC'!$C$177))</f>
        <v>17.685119862717944</v>
      </c>
      <c r="X143" s="284">
        <f>X69+X78-('Ethylene Recycling LC'!W93+'Ethylene Recycling LC'!W126+'Ethylene Recycling LC'!W152+'Ethylene Recycling LC'!W174-('Ethylene Recycling LC'!$C$93+'Ethylene Recycling LC'!$C$126+'Ethylene Recycling LC'!$C$152+'Ethylene Recycling LC'!$C$174)+'Ethylene Recycling LC'!W96+'Ethylene Recycling LC'!W129+'Ethylene Recycling LC'!W155+'Ethylene Recycling LC'!W177-('Ethylene Recycling LC'!$C$96+'Ethylene Recycling LC'!$C$129+'Ethylene Recycling LC'!$C$155+'Ethylene Recycling LC'!$C$177))</f>
        <v>17.850398436950798</v>
      </c>
      <c r="Y143" s="284">
        <f>Y69+Y78-('Ethylene Recycling LC'!X93+'Ethylene Recycling LC'!X126+'Ethylene Recycling LC'!X152+'Ethylene Recycling LC'!X174-('Ethylene Recycling LC'!$C$93+'Ethylene Recycling LC'!$C$126+'Ethylene Recycling LC'!$C$152+'Ethylene Recycling LC'!$C$174)+'Ethylene Recycling LC'!X96+'Ethylene Recycling LC'!X129+'Ethylene Recycling LC'!X155+'Ethylene Recycling LC'!X177-('Ethylene Recycling LC'!$C$96+'Ethylene Recycling LC'!$C$129+'Ethylene Recycling LC'!$C$155+'Ethylene Recycling LC'!$C$177))</f>
        <v>17.971929301763925</v>
      </c>
      <c r="Z143" s="284">
        <f>Z69+Z78-('Ethylene Recycling LC'!Y93+'Ethylene Recycling LC'!Y126+'Ethylene Recycling LC'!Y152+'Ethylene Recycling LC'!Y174-('Ethylene Recycling LC'!$C$93+'Ethylene Recycling LC'!$C$126+'Ethylene Recycling LC'!$C$152+'Ethylene Recycling LC'!$C$174)+'Ethylene Recycling LC'!Y96+'Ethylene Recycling LC'!Y129+'Ethylene Recycling LC'!Y155+'Ethylene Recycling LC'!Y177-('Ethylene Recycling LC'!$C$96+'Ethylene Recycling LC'!$C$129+'Ethylene Recycling LC'!$C$155+'Ethylene Recycling LC'!$C$177))</f>
        <v>18.128907080386199</v>
      </c>
      <c r="AA143" s="284">
        <f>AA69+AA78-('Ethylene Recycling LC'!Z93+'Ethylene Recycling LC'!Z126+'Ethylene Recycling LC'!Z152+'Ethylene Recycling LC'!Z174-('Ethylene Recycling LC'!$C$93+'Ethylene Recycling LC'!$C$126+'Ethylene Recycling LC'!$C$152+'Ethylene Recycling LC'!$C$174)+'Ethylene Recycling LC'!Z96+'Ethylene Recycling LC'!Z129+'Ethylene Recycling LC'!Z155+'Ethylene Recycling LC'!Z177-('Ethylene Recycling LC'!$C$96+'Ethylene Recycling LC'!$C$129+'Ethylene Recycling LC'!$C$155+'Ethylene Recycling LC'!$C$177))</f>
        <v>18.326328237437874</v>
      </c>
      <c r="AB143" s="284">
        <f>AB69+AB78-('Ethylene Recycling LC'!AA93+'Ethylene Recycling LC'!AA126+'Ethylene Recycling LC'!AA152+'Ethylene Recycling LC'!AA174-('Ethylene Recycling LC'!$C$93+'Ethylene Recycling LC'!$C$126+'Ethylene Recycling LC'!$C$152+'Ethylene Recycling LC'!$C$174)+'Ethylene Recycling LC'!AA96+'Ethylene Recycling LC'!AA129+'Ethylene Recycling LC'!AA155+'Ethylene Recycling LC'!AA177-('Ethylene Recycling LC'!$C$96+'Ethylene Recycling LC'!$C$129+'Ethylene Recycling LC'!$C$155+'Ethylene Recycling LC'!$C$177))</f>
        <v>18.57001868259642</v>
      </c>
      <c r="AC143" s="284">
        <f>AC69+AC78-('Ethylene Recycling LC'!AB93+'Ethylene Recycling LC'!AB126+'Ethylene Recycling LC'!AB152+'Ethylene Recycling LC'!AB174-('Ethylene Recycling LC'!$C$93+'Ethylene Recycling LC'!$C$126+'Ethylene Recycling LC'!$C$152+'Ethylene Recycling LC'!$C$174)+'Ethylene Recycling LC'!AB96+'Ethylene Recycling LC'!AB129+'Ethylene Recycling LC'!AB155+'Ethylene Recycling LC'!AB177-('Ethylene Recycling LC'!$C$96+'Ethylene Recycling LC'!$C$129+'Ethylene Recycling LC'!$C$155+'Ethylene Recycling LC'!$C$177))</f>
        <v>18.866505962485082</v>
      </c>
      <c r="AD143" s="284">
        <f>AD69+AD78-('Ethylene Recycling LC'!AC93+'Ethylene Recycling LC'!AC126+'Ethylene Recycling LC'!AC152+'Ethylene Recycling LC'!AC174-('Ethylene Recycling LC'!$C$93+'Ethylene Recycling LC'!$C$126+'Ethylene Recycling LC'!$C$152+'Ethylene Recycling LC'!$C$174)+'Ethylene Recycling LC'!AC96+'Ethylene Recycling LC'!AC129+'Ethylene Recycling LC'!AC155+'Ethylene Recycling LC'!AC177-('Ethylene Recycling LC'!$C$96+'Ethylene Recycling LC'!$C$129+'Ethylene Recycling LC'!$C$155+'Ethylene Recycling LC'!$C$177))</f>
        <v>19.177585287125293</v>
      </c>
      <c r="AE143" s="284">
        <f>AE69+AE78-('Ethylene Recycling LC'!AD93+'Ethylene Recycling LC'!AD126+'Ethylene Recycling LC'!AD152+'Ethylene Recycling LC'!AD174-('Ethylene Recycling LC'!$C$93+'Ethylene Recycling LC'!$C$126+'Ethylene Recycling LC'!$C$152+'Ethylene Recycling LC'!$C$174)+'Ethylene Recycling LC'!AD96+'Ethylene Recycling LC'!AD129+'Ethylene Recycling LC'!AD155+'Ethylene Recycling LC'!AD177-('Ethylene Recycling LC'!$C$96+'Ethylene Recycling LC'!$C$129+'Ethylene Recycling LC'!$C$155+'Ethylene Recycling LC'!$C$177))</f>
        <v>19.556304772765881</v>
      </c>
      <c r="AF143" s="284">
        <f>AF69+AF78-('Ethylene Recycling LC'!AE93+'Ethylene Recycling LC'!AE126+'Ethylene Recycling LC'!AE152+'Ethylene Recycling LC'!AE174-('Ethylene Recycling LC'!$C$93+'Ethylene Recycling LC'!$C$126+'Ethylene Recycling LC'!$C$152+'Ethylene Recycling LC'!$C$174)+'Ethylene Recycling LC'!AE96+'Ethylene Recycling LC'!AE129+'Ethylene Recycling LC'!AE155+'Ethylene Recycling LC'!AE177-('Ethylene Recycling LC'!$C$96+'Ethylene Recycling LC'!$C$129+'Ethylene Recycling LC'!$C$155+'Ethylene Recycling LC'!$C$177))</f>
        <v>20.012175149997464</v>
      </c>
      <c r="AG143" s="284">
        <f>AG69+AG78-('Ethylene Recycling LC'!AF93+'Ethylene Recycling LC'!AF126+'Ethylene Recycling LC'!AF152+'Ethylene Recycling LC'!AF174-('Ethylene Recycling LC'!$C$93+'Ethylene Recycling LC'!$C$126+'Ethylene Recycling LC'!$C$152+'Ethylene Recycling LC'!$C$174)+'Ethylene Recycling LC'!AF96+'Ethylene Recycling LC'!AF129+'Ethylene Recycling LC'!AF155+'Ethylene Recycling LC'!AF177-('Ethylene Recycling LC'!$C$96+'Ethylene Recycling LC'!$C$129+'Ethylene Recycling LC'!$C$155+'Ethylene Recycling LC'!$C$177))</f>
        <v>20.555986344304831</v>
      </c>
      <c r="AH143" s="284">
        <f>AH69+AH78-('Ethylene Recycling LC'!AG93+'Ethylene Recycling LC'!AG126+'Ethylene Recycling LC'!AG152+'Ethylene Recycling LC'!AG174-('Ethylene Recycling LC'!$C$93+'Ethylene Recycling LC'!$C$126+'Ethylene Recycling LC'!$C$152+'Ethylene Recycling LC'!$C$174)+'Ethylene Recycling LC'!AG96+'Ethylene Recycling LC'!AG129+'Ethylene Recycling LC'!AG155+'Ethylene Recycling LC'!AG177-('Ethylene Recycling LC'!$C$96+'Ethylene Recycling LC'!$C$129+'Ethylene Recycling LC'!$C$155+'Ethylene Recycling LC'!$C$177))</f>
        <v>21.199979230707005</v>
      </c>
      <c r="AI143" s="44"/>
    </row>
    <row r="144" spans="1:35" s="67" customFormat="1">
      <c r="A144" s="758" t="s">
        <v>263</v>
      </c>
      <c r="B144" s="58" t="s">
        <v>264</v>
      </c>
      <c r="C144" s="59" t="s">
        <v>153</v>
      </c>
      <c r="D144" s="60">
        <f>D70+D79-('Ethylene Recycling LC'!C94+'Ethylene Recycling LC'!C127+'Ethylene Recycling LC'!C153+'Ethylene Recycling LC'!C175-('Ethylene Recycling LC'!$C$94+'Ethylene Recycling LC'!$C$127+'Ethylene Recycling LC'!$C$153+'Ethylene Recycling LC'!$C$175))</f>
        <v>2.8834082840236679</v>
      </c>
      <c r="E144" s="60">
        <f>E70+E79-('Ethylene Recycling LC'!D94+'Ethylene Recycling LC'!D127+'Ethylene Recycling LC'!D153+'Ethylene Recycling LC'!D175-('Ethylene Recycling LC'!$C$94+'Ethylene Recycling LC'!$C$127+'Ethylene Recycling LC'!$C$153+'Ethylene Recycling LC'!$C$175))</f>
        <v>3.1122522257071337</v>
      </c>
      <c r="F144" s="60">
        <f>F70+F79-('Ethylene Recycling LC'!E94+'Ethylene Recycling LC'!E127+'Ethylene Recycling LC'!E153+'Ethylene Recycling LC'!E175-('Ethylene Recycling LC'!$C$94+'Ethylene Recycling LC'!$C$127+'Ethylene Recycling LC'!$C$153+'Ethylene Recycling LC'!$C$175))</f>
        <v>3.315769662172023</v>
      </c>
      <c r="G144" s="60">
        <f>G70+G79-('Ethylene Recycling LC'!F94+'Ethylene Recycling LC'!F127+'Ethylene Recycling LC'!F153+'Ethylene Recycling LC'!F175-('Ethylene Recycling LC'!$C$94+'Ethylene Recycling LC'!$C$127+'Ethylene Recycling LC'!$C$153+'Ethylene Recycling LC'!$C$175))</f>
        <v>3.5269133734010993</v>
      </c>
      <c r="H144" s="60">
        <f>H70+H79-('Ethylene Recycling LC'!G94+'Ethylene Recycling LC'!G127+'Ethylene Recycling LC'!G153+'Ethylene Recycling LC'!G175-('Ethylene Recycling LC'!$C$94+'Ethylene Recycling LC'!$C$127+'Ethylene Recycling LC'!$C$153+'Ethylene Recycling LC'!$C$175))</f>
        <v>3.7460618769197125</v>
      </c>
      <c r="I144" s="60">
        <f>I70+I79-('Ethylene Recycling LC'!H94+'Ethylene Recycling LC'!H127+'Ethylene Recycling LC'!H153+'Ethylene Recycling LC'!H175-('Ethylene Recycling LC'!$C$94+'Ethylene Recycling LC'!$C$127+'Ethylene Recycling LC'!$C$153+'Ethylene Recycling LC'!$C$175))</f>
        <v>3.9736117834813727</v>
      </c>
      <c r="J144" s="60">
        <f>J70+J79-('Ethylene Recycling LC'!I94+'Ethylene Recycling LC'!I127+'Ethylene Recycling LC'!I153+'Ethylene Recycling LC'!I175-('Ethylene Recycling LC'!$C$94+'Ethylene Recycling LC'!$C$127+'Ethylene Recycling LC'!$C$153+'Ethylene Recycling LC'!$C$175))</f>
        <v>4.1552751872786438</v>
      </c>
      <c r="K144" s="60">
        <f>K70+K79-('Ethylene Recycling LC'!J94+'Ethylene Recycling LC'!J127+'Ethylene Recycling LC'!J153+'Ethylene Recycling LC'!J175-('Ethylene Recycling LC'!$C$94+'Ethylene Recycling LC'!$C$127+'Ethylene Recycling LC'!$C$153+'Ethylene Recycling LC'!$C$175))</f>
        <v>4.342784581412519</v>
      </c>
      <c r="L144" s="60">
        <f>L70+L79-('Ethylene Recycling LC'!K94+'Ethylene Recycling LC'!K127+'Ethylene Recycling LC'!K153+'Ethylene Recycling LC'!K175-('Ethylene Recycling LC'!$C$94+'Ethylene Recycling LC'!$C$127+'Ethylene Recycling LC'!$C$153+'Ethylene Recycling LC'!$C$175))</f>
        <v>4.5363630528961387</v>
      </c>
      <c r="M144" s="60">
        <f>M70+M79-('Ethylene Recycling LC'!L94+'Ethylene Recycling LC'!L127+'Ethylene Recycling LC'!L153+'Ethylene Recycling LC'!L175-('Ethylene Recycling LC'!$C$94+'Ethylene Recycling LC'!$C$127+'Ethylene Recycling LC'!$C$153+'Ethylene Recycling LC'!$C$175))</f>
        <v>4.7362456787688698</v>
      </c>
      <c r="N144" s="60">
        <f>N70+N79-('Ethylene Recycling LC'!M94+'Ethylene Recycling LC'!M127+'Ethylene Recycling LC'!M153+'Ethylene Recycling LC'!M175-('Ethylene Recycling LC'!$C$94+'Ethylene Recycling LC'!$C$127+'Ethylene Recycling LC'!$C$153+'Ethylene Recycling LC'!$C$175))</f>
        <v>4.9426803433134436</v>
      </c>
      <c r="O144" s="60">
        <f>O70+O79-('Ethylene Recycling LC'!N94+'Ethylene Recycling LC'!N127+'Ethylene Recycling LC'!N153+'Ethylene Recycling LC'!N175-('Ethylene Recycling LC'!$C$94+'Ethylene Recycling LC'!$C$127+'Ethylene Recycling LC'!$C$153+'Ethylene Recycling LC'!$C$175))</f>
        <v>4.9180737785095774</v>
      </c>
      <c r="P144" s="60">
        <f>P70+P79-('Ethylene Recycling LC'!O94+'Ethylene Recycling LC'!O127+'Ethylene Recycling LC'!O153+'Ethylene Recycling LC'!O175-('Ethylene Recycling LC'!$C$94+'Ethylene Recycling LC'!$C$127+'Ethylene Recycling LC'!$C$153+'Ethylene Recycling LC'!$C$175))</f>
        <v>4.8931223749081481</v>
      </c>
      <c r="Q144" s="60">
        <f>Q70+Q79-('Ethylene Recycling LC'!P94+'Ethylene Recycling LC'!P127+'Ethylene Recycling LC'!P153+'Ethylene Recycling LC'!P175-('Ethylene Recycling LC'!$C$94+'Ethylene Recycling LC'!$C$127+'Ethylene Recycling LC'!$C$153+'Ethylene Recycling LC'!$C$175))</f>
        <v>4.8680962623723509</v>
      </c>
      <c r="R144" s="60">
        <f>R70+R79-('Ethylene Recycling LC'!Q94+'Ethylene Recycling LC'!Q127+'Ethylene Recycling LC'!Q153+'Ethylene Recycling LC'!Q175-('Ethylene Recycling LC'!$C$94+'Ethylene Recycling LC'!$C$127+'Ethylene Recycling LC'!$C$153+'Ethylene Recycling LC'!$C$175))</f>
        <v>4.8433003124998191</v>
      </c>
      <c r="S144" s="60">
        <f>S70+S79-('Ethylene Recycling LC'!R94+'Ethylene Recycling LC'!R127+'Ethylene Recycling LC'!R153+'Ethylene Recycling LC'!R175-('Ethylene Recycling LC'!$C$94+'Ethylene Recycling LC'!$C$127+'Ethylene Recycling LC'!$C$153+'Ethylene Recycling LC'!$C$175))</f>
        <v>4.8190523755703305</v>
      </c>
      <c r="T144" s="60">
        <f>T70+T79-('Ethylene Recycling LC'!S94+'Ethylene Recycling LC'!S127+'Ethylene Recycling LC'!S153+'Ethylene Recycling LC'!S175-('Ethylene Recycling LC'!$C$94+'Ethylene Recycling LC'!$C$127+'Ethylene Recycling LC'!$C$153+'Ethylene Recycling LC'!$C$175))</f>
        <v>4.7788136127185217</v>
      </c>
      <c r="U144" s="60">
        <f>U70+U79-('Ethylene Recycling LC'!T94+'Ethylene Recycling LC'!T127+'Ethylene Recycling LC'!T153+'Ethylene Recycling LC'!T175-('Ethylene Recycling LC'!$C$94+'Ethylene Recycling LC'!$C$127+'Ethylene Recycling LC'!$C$153+'Ethylene Recycling LC'!$C$175))</f>
        <v>4.7380194130778106</v>
      </c>
      <c r="V144" s="60">
        <f>V70+V79-('Ethylene Recycling LC'!U94+'Ethylene Recycling LC'!U127+'Ethylene Recycling LC'!U153+'Ethylene Recycling LC'!U175-('Ethylene Recycling LC'!$C$94+'Ethylene Recycling LC'!$C$127+'Ethylene Recycling LC'!$C$153+'Ethylene Recycling LC'!$C$175))</f>
        <v>4.6968146573303677</v>
      </c>
      <c r="W144" s="60">
        <f>W70+W79-('Ethylene Recycling LC'!V94+'Ethylene Recycling LC'!V127+'Ethylene Recycling LC'!V153+'Ethylene Recycling LC'!V175-('Ethylene Recycling LC'!$C$94+'Ethylene Recycling LC'!$C$127+'Ethylene Recycling LC'!$C$153+'Ethylene Recycling LC'!$C$175))</f>
        <v>4.6553622989713714</v>
      </c>
      <c r="X144" s="60">
        <f>X70+X79-('Ethylene Recycling LC'!W94+'Ethylene Recycling LC'!W127+'Ethylene Recycling LC'!W153+'Ethylene Recycling LC'!W175-('Ethylene Recycling LC'!$C$94+'Ethylene Recycling LC'!$C$127+'Ethylene Recycling LC'!$C$153+'Ethylene Recycling LC'!$C$175))</f>
        <v>4.6138452558719267</v>
      </c>
      <c r="Y144" s="60">
        <f>Y70+Y79-('Ethylene Recycling LC'!X94+'Ethylene Recycling LC'!X127+'Ethylene Recycling LC'!X153+'Ethylene Recycling LC'!X175-('Ethylene Recycling LC'!$C$94+'Ethylene Recycling LC'!$C$127+'Ethylene Recycling LC'!$C$153+'Ethylene Recycling LC'!$C$175))</f>
        <v>4.5349436841172004</v>
      </c>
      <c r="Z144" s="60">
        <f>Z70+Z79-('Ethylene Recycling LC'!Y94+'Ethylene Recycling LC'!Y127+'Ethylene Recycling LC'!Y153+'Ethylene Recycling LC'!Y175-('Ethylene Recycling LC'!$C$94+'Ethylene Recycling LC'!$C$127+'Ethylene Recycling LC'!$C$153+'Ethylene Recycling LC'!$C$175))</f>
        <v>4.4555237925021904</v>
      </c>
      <c r="AA144" s="60">
        <f>AA70+AA79-('Ethylene Recycling LC'!Z94+'Ethylene Recycling LC'!Z127+'Ethylene Recycling LC'!Z153+'Ethylene Recycling LC'!Z175-('Ethylene Recycling LC'!$C$94+'Ethylene Recycling LC'!$C$127+'Ethylene Recycling LC'!$C$153+'Ethylene Recycling LC'!$C$175))</f>
        <v>4.3758047702854874</v>
      </c>
      <c r="AB144" s="60">
        <f>AB70+AB79-('Ethylene Recycling LC'!AA94+'Ethylene Recycling LC'!AA127+'Ethylene Recycling LC'!AA153+'Ethylene Recycling LC'!AA175-('Ethylene Recycling LC'!$C$94+'Ethylene Recycling LC'!$C$127+'Ethylene Recycling LC'!$C$153+'Ethylene Recycling LC'!$C$175))</f>
        <v>4.2961004217924579</v>
      </c>
      <c r="AC144" s="60">
        <f>AC70+AC79-('Ethylene Recycling LC'!AB94+'Ethylene Recycling LC'!AB127+'Ethylene Recycling LC'!AB153+'Ethylene Recycling LC'!AB175-('Ethylene Recycling LC'!$C$94+'Ethylene Recycling LC'!$C$127+'Ethylene Recycling LC'!$C$153+'Ethylene Recycling LC'!$C$175))</f>
        <v>4.2167284067662312</v>
      </c>
      <c r="AD144" s="60">
        <f>AD70+AD79-('Ethylene Recycling LC'!AC94+'Ethylene Recycling LC'!AC127+'Ethylene Recycling LC'!AC153+'Ethylene Recycling LC'!AC175-('Ethylene Recycling LC'!$C$94+'Ethylene Recycling LC'!$C$127+'Ethylene Recycling LC'!$C$153+'Ethylene Recycling LC'!$C$175))</f>
        <v>4.1240039611490156</v>
      </c>
      <c r="AE144" s="60">
        <f>AE70+AE79-('Ethylene Recycling LC'!AD94+'Ethylene Recycling LC'!AD127+'Ethylene Recycling LC'!AD153+'Ethylene Recycling LC'!AD175-('Ethylene Recycling LC'!$C$94+'Ethylene Recycling LC'!$C$127+'Ethylene Recycling LC'!$C$153+'Ethylene Recycling LC'!$C$175))</f>
        <v>4.0320563054811913</v>
      </c>
      <c r="AF144" s="60">
        <f>AF70+AF79-('Ethylene Recycling LC'!AE94+'Ethylene Recycling LC'!AE127+'Ethylene Recycling LC'!AE153+'Ethylene Recycling LC'!AE175-('Ethylene Recycling LC'!$C$94+'Ethylene Recycling LC'!$C$127+'Ethylene Recycling LC'!$C$153+'Ethylene Recycling LC'!$C$175))</f>
        <v>3.9413186741562347</v>
      </c>
      <c r="AG144" s="60">
        <f>AG70+AG79-('Ethylene Recycling LC'!AF94+'Ethylene Recycling LC'!AF127+'Ethylene Recycling LC'!AF153+'Ethylene Recycling LC'!AF175-('Ethylene Recycling LC'!$C$94+'Ethylene Recycling LC'!$C$127+'Ethylene Recycling LC'!$C$153+'Ethylene Recycling LC'!$C$175))</f>
        <v>3.8522737051496265</v>
      </c>
      <c r="AH144" s="60">
        <f>AH70+AH79-('Ethylene Recycling LC'!AG94+'Ethylene Recycling LC'!AG127+'Ethylene Recycling LC'!AG153+'Ethylene Recycling LC'!AG175-('Ethylene Recycling LC'!$C$94+'Ethylene Recycling LC'!$C$127+'Ethylene Recycling LC'!$C$153+'Ethylene Recycling LC'!$C$175))</f>
        <v>3.7654586025367074</v>
      </c>
      <c r="AI144" s="60"/>
    </row>
    <row r="145" spans="1:36" s="68" customFormat="1">
      <c r="A145" s="759"/>
      <c r="B145" s="62" t="s">
        <v>266</v>
      </c>
      <c r="C145" s="283" t="s">
        <v>153</v>
      </c>
      <c r="D145" s="284">
        <f>D71+D80-('Ethylene Recycling LC'!C95+'Ethylene Recycling LC'!C128+'Ethylene Recycling LC'!C154+'Ethylene Recycling LC'!C176-('Ethylene Recycling LC'!$C$95+'Ethylene Recycling LC'!$C$128+'Ethylene Recycling LC'!$C$154+'Ethylene Recycling LC'!$C$176))</f>
        <v>2.8011119939271247</v>
      </c>
      <c r="E145" s="284">
        <f>E71+E80-('Ethylene Recycling LC'!D95+'Ethylene Recycling LC'!D128+'Ethylene Recycling LC'!D154+'Ethylene Recycling LC'!D176-('Ethylene Recycling LC'!$C$95+'Ethylene Recycling LC'!$C$128+'Ethylene Recycling LC'!$C$154+'Ethylene Recycling LC'!$C$176))</f>
        <v>3.0232450975291938</v>
      </c>
      <c r="F145" s="284">
        <f>F71+F80-('Ethylene Recycling LC'!E95+'Ethylene Recycling LC'!E128+'Ethylene Recycling LC'!E154+'Ethylene Recycling LC'!E176-('Ethylene Recycling LC'!$C$95+'Ethylene Recycling LC'!$C$128+'Ethylene Recycling LC'!$C$154+'Ethylene Recycling LC'!$C$176))</f>
        <v>3.4147427882545474</v>
      </c>
      <c r="G145" s="284">
        <f>G71+G80-('Ethylene Recycling LC'!F95+'Ethylene Recycling LC'!F128+'Ethylene Recycling LC'!F154+'Ethylene Recycling LC'!F176-('Ethylene Recycling LC'!$C$95+'Ethylene Recycling LC'!$C$128+'Ethylene Recycling LC'!$C$154+'Ethylene Recycling LC'!$C$176))</f>
        <v>4.0903769896493136</v>
      </c>
      <c r="H145" s="284">
        <f>H71+H80-('Ethylene Recycling LC'!G95+'Ethylene Recycling LC'!G128+'Ethylene Recycling LC'!G154+'Ethylene Recycling LC'!G176-('Ethylene Recycling LC'!$C$95+'Ethylene Recycling LC'!$C$128+'Ethylene Recycling LC'!$C$154+'Ethylene Recycling LC'!$C$176))</f>
        <v>3.5892440028710024</v>
      </c>
      <c r="I145" s="284">
        <f>I71+I80-('Ethylene Recycling LC'!H95+'Ethylene Recycling LC'!H128+'Ethylene Recycling LC'!H154+'Ethylene Recycling LC'!H176-('Ethylene Recycling LC'!$C$95+'Ethylene Recycling LC'!$C$128+'Ethylene Recycling LC'!$C$154+'Ethylene Recycling LC'!$C$176))</f>
        <v>3.8056424296736098</v>
      </c>
      <c r="J145" s="284">
        <f>J71+J80-('Ethylene Recycling LC'!I95+'Ethylene Recycling LC'!I128+'Ethylene Recycling LC'!I154+'Ethylene Recycling LC'!I176-('Ethylene Recycling LC'!$C$95+'Ethylene Recycling LC'!$C$128+'Ethylene Recycling LC'!$C$154+'Ethylene Recycling LC'!$C$176))</f>
        <v>3.977239627720786</v>
      </c>
      <c r="K145" s="284">
        <f>K71+K80-('Ethylene Recycling LC'!J95+'Ethylene Recycling LC'!J128+'Ethylene Recycling LC'!J154+'Ethylene Recycling LC'!J176-('Ethylene Recycling LC'!$C$95+'Ethylene Recycling LC'!$C$128+'Ethylene Recycling LC'!$C$154+'Ethylene Recycling LC'!$C$176))</f>
        <v>4.1542490414165263</v>
      </c>
      <c r="L145" s="284">
        <f>L71+L80-('Ethylene Recycling LC'!K95+'Ethylene Recycling LC'!K128+'Ethylene Recycling LC'!K154+'Ethylene Recycling LC'!K176-('Ethylene Recycling LC'!$C$95+'Ethylene Recycling LC'!$C$128+'Ethylene Recycling LC'!$C$154+'Ethylene Recycling LC'!$C$176))</f>
        <v>4.3368386652714044</v>
      </c>
      <c r="M145" s="284">
        <f>M71+M80-('Ethylene Recycling LC'!L95+'Ethylene Recycling LC'!L128+'Ethylene Recycling LC'!L154+'Ethylene Recycling LC'!L176-('Ethylene Recycling LC'!$C$95+'Ethylene Recycling LC'!$C$128+'Ethylene Recycling LC'!$C$154+'Ethylene Recycling LC'!$C$176))</f>
        <v>4.5251812899589634</v>
      </c>
      <c r="N145" s="284">
        <f>N71+N80-('Ethylene Recycling LC'!M95+'Ethylene Recycling LC'!M128+'Ethylene Recycling LC'!M154+'Ethylene Recycling LC'!M176-('Ethylene Recycling LC'!$C$95+'Ethylene Recycling LC'!$C$128+'Ethylene Recycling LC'!$C$154+'Ethylene Recycling LC'!$C$176))</f>
        <v>4.7194545704599964</v>
      </c>
      <c r="O145" s="284">
        <f>O71+O80-('Ethylene Recycling LC'!N95+'Ethylene Recycling LC'!N128+'Ethylene Recycling LC'!N154+'Ethylene Recycling LC'!N176-('Ethylene Recycling LC'!$C$95+'Ethylene Recycling LC'!$C$128+'Ethylene Recycling LC'!$C$154+'Ethylene Recycling LC'!$C$176))</f>
        <v>4.6878886340954491</v>
      </c>
      <c r="P145" s="284">
        <f>P71+P80-('Ethylene Recycling LC'!O95+'Ethylene Recycling LC'!O128+'Ethylene Recycling LC'!O154+'Ethylene Recycling LC'!O176-('Ethylene Recycling LC'!$C$95+'Ethylene Recycling LC'!$C$128+'Ethylene Recycling LC'!$C$154+'Ethylene Recycling LC'!$C$176))</f>
        <v>4.6557045825276466</v>
      </c>
      <c r="Q145" s="284">
        <f>Q71+Q80-('Ethylene Recycling LC'!P95+'Ethylene Recycling LC'!P128+'Ethylene Recycling LC'!P154+'Ethylene Recycling LC'!P176-('Ethylene Recycling LC'!$C$95+'Ethylene Recycling LC'!$C$128+'Ethylene Recycling LC'!$C$154+'Ethylene Recycling LC'!$C$176))</f>
        <v>4.6230800565703456</v>
      </c>
      <c r="R145" s="284">
        <f>R71+R80-('Ethylene Recycling LC'!Q95+'Ethylene Recycling LC'!Q128+'Ethylene Recycling LC'!Q154+'Ethylene Recycling LC'!Q176-('Ethylene Recycling LC'!$C$95+'Ethylene Recycling LC'!$C$128+'Ethylene Recycling LC'!$C$154+'Ethylene Recycling LC'!$C$176))</f>
        <v>4.5901943726544792</v>
      </c>
      <c r="S145" s="284">
        <f>S71+S80-('Ethylene Recycling LC'!R95+'Ethylene Recycling LC'!R128+'Ethylene Recycling LC'!R154+'Ethylene Recycling LC'!R176-('Ethylene Recycling LC'!$C$95+'Ethylene Recycling LC'!$C$128+'Ethylene Recycling LC'!$C$154+'Ethylene Recycling LC'!$C$176))</f>
        <v>4.5572266224663123</v>
      </c>
      <c r="T145" s="284">
        <f>T71+T80-('Ethylene Recycling LC'!S95+'Ethylene Recycling LC'!S128+'Ethylene Recycling LC'!S154+'Ethylene Recycling LC'!S176-('Ethylene Recycling LC'!$C$95+'Ethylene Recycling LC'!$C$128+'Ethylene Recycling LC'!$C$154+'Ethylene Recycling LC'!$C$176))</f>
        <v>4.5079031631370272</v>
      </c>
      <c r="U145" s="284">
        <f>U71+U80-('Ethylene Recycling LC'!T95+'Ethylene Recycling LC'!T128+'Ethylene Recycling LC'!T154+'Ethylene Recycling LC'!T176-('Ethylene Recycling LC'!$C$95+'Ethylene Recycling LC'!$C$128+'Ethylene Recycling LC'!$C$154+'Ethylene Recycling LC'!$C$176))</f>
        <v>4.4570764827195575</v>
      </c>
      <c r="V145" s="284">
        <f>V71+V80-('Ethylene Recycling LC'!U95+'Ethylene Recycling LC'!U128+'Ethylene Recycling LC'!U154+'Ethylene Recycling LC'!U176-('Ethylene Recycling LC'!$C$95+'Ethylene Recycling LC'!$C$128+'Ethylene Recycling LC'!$C$154+'Ethylene Recycling LC'!$C$176))</f>
        <v>4.4047287802850263</v>
      </c>
      <c r="W145" s="284">
        <f>W71+W80-('Ethylene Recycling LC'!V95+'Ethylene Recycling LC'!V128+'Ethylene Recycling LC'!V154+'Ethylene Recycling LC'!V176-('Ethylene Recycling LC'!$C$95+'Ethylene Recycling LC'!$C$128+'Ethylene Recycling LC'!$C$154+'Ethylene Recycling LC'!$C$176))</f>
        <v>4.3508419401402145</v>
      </c>
      <c r="X145" s="284">
        <f>X71+X80-('Ethylene Recycling LC'!W95+'Ethylene Recycling LC'!W128+'Ethylene Recycling LC'!W154+'Ethylene Recycling LC'!W176-('Ethylene Recycling LC'!$C$95+'Ethylene Recycling LC'!$C$128+'Ethylene Recycling LC'!$C$154+'Ethylene Recycling LC'!$C$176))</f>
        <v>4.2953975137640841</v>
      </c>
      <c r="Y145" s="284">
        <f>Y71+Y80-('Ethylene Recycling LC'!X95+'Ethylene Recycling LC'!X128+'Ethylene Recycling LC'!X154+'Ethylene Recycling LC'!X176-('Ethylene Recycling LC'!$C$95+'Ethylene Recycling LC'!$C$128+'Ethylene Recycling LC'!$C$154+'Ethylene Recycling LC'!$C$176))</f>
        <v>4.2028598540735018</v>
      </c>
      <c r="Z145" s="284">
        <f>Z71+Z80-('Ethylene Recycling LC'!Y95+'Ethylene Recycling LC'!Y128+'Ethylene Recycling LC'!Y154+'Ethylene Recycling LC'!Y176-('Ethylene Recycling LC'!$C$95+'Ethylene Recycling LC'!$C$128+'Ethylene Recycling LC'!$C$154+'Ethylene Recycling LC'!$C$176))</f>
        <v>4.1082473011601364</v>
      </c>
      <c r="AA145" s="284">
        <f>AA71+AA80-('Ethylene Recycling LC'!Z95+'Ethylene Recycling LC'!Z128+'Ethylene Recycling LC'!Z154+'Ethylene Recycling LC'!Z176-('Ethylene Recycling LC'!$C$95+'Ethylene Recycling LC'!$C$128+'Ethylene Recycling LC'!$C$154+'Ethylene Recycling LC'!$C$176))</f>
        <v>4.0115429790683761</v>
      </c>
      <c r="AB145" s="284">
        <f>AB71+AB80-('Ethylene Recycling LC'!AA95+'Ethylene Recycling LC'!AA128+'Ethylene Recycling LC'!AA154+'Ethylene Recycling LC'!AA176-('Ethylene Recycling LC'!$C$95+'Ethylene Recycling LC'!$C$128+'Ethylene Recycling LC'!$C$154+'Ethylene Recycling LC'!$C$176))</f>
        <v>3.9127297254974169</v>
      </c>
      <c r="AC145" s="284">
        <f>AC71+AC80-('Ethylene Recycling LC'!AB95+'Ethylene Recycling LC'!AB128+'Ethylene Recycling LC'!AB154+'Ethylene Recycling LC'!AB176-('Ethylene Recycling LC'!$C$95+'Ethylene Recycling LC'!$C$128+'Ethylene Recycling LC'!$C$154+'Ethylene Recycling LC'!$C$176))</f>
        <v>3.8117900681842509</v>
      </c>
      <c r="AD145" s="284">
        <f>AD71+AD80-('Ethylene Recycling LC'!AC95+'Ethylene Recycling LC'!AC128+'Ethylene Recycling LC'!AC154+'Ethylene Recycling LC'!AC176-('Ethylene Recycling LC'!$C$95+'Ethylene Recycling LC'!$C$128+'Ethylene Recycling LC'!$C$154+'Ethylene Recycling LC'!$C$176))</f>
        <v>3.6950682416974163</v>
      </c>
      <c r="AE145" s="284">
        <f>AE71+AE80-('Ethylene Recycling LC'!AD95+'Ethylene Recycling LC'!AD128+'Ethylene Recycling LC'!AD154+'Ethylene Recycling LC'!AD176-('Ethylene Recycling LC'!$C$95+'Ethylene Recycling LC'!$C$128+'Ethylene Recycling LC'!$C$154+'Ethylene Recycling LC'!$C$176))</f>
        <v>3.5758886124200364</v>
      </c>
      <c r="AF145" s="284">
        <f>AF71+AF80-('Ethylene Recycling LC'!AE95+'Ethylene Recycling LC'!AE128+'Ethylene Recycling LC'!AE154+'Ethylene Recycling LC'!AE176-('Ethylene Recycling LC'!$C$95+'Ethylene Recycling LC'!$C$128+'Ethylene Recycling LC'!$C$154+'Ethylene Recycling LC'!$C$176))</f>
        <v>3.4542265479428611</v>
      </c>
      <c r="AG145" s="284">
        <f>AG71+AG80-('Ethylene Recycling LC'!AF95+'Ethylene Recycling LC'!AF128+'Ethylene Recycling LC'!AF154+'Ethylene Recycling LC'!AF176-('Ethylene Recycling LC'!$C$95+'Ethylene Recycling LC'!$C$128+'Ethylene Recycling LC'!$C$154+'Ethylene Recycling LC'!$C$176))</f>
        <v>3.3300569329387915</v>
      </c>
      <c r="AH145" s="284">
        <f>AH71+AH80-('Ethylene Recycling LC'!AG95+'Ethylene Recycling LC'!AG128+'Ethylene Recycling LC'!AG154+'Ethylene Recycling LC'!AG176-('Ethylene Recycling LC'!$C$95+'Ethylene Recycling LC'!$C$128+'Ethylene Recycling LC'!$C$154+'Ethylene Recycling LC'!$C$176))</f>
        <v>3.2033541434187041</v>
      </c>
      <c r="AI145" s="284"/>
    </row>
    <row r="146" spans="1:36" s="67" customFormat="1">
      <c r="A146" s="58" t="s">
        <v>67</v>
      </c>
      <c r="B146" s="58" t="s">
        <v>227</v>
      </c>
      <c r="C146" s="100" t="s">
        <v>153</v>
      </c>
      <c r="D146" s="101">
        <f t="shared" ref="D146:AH146" si="46">D94+D114+D124+D125+D126+D136+D137+D138+D104</f>
        <v>0</v>
      </c>
      <c r="E146" s="101">
        <f t="shared" si="46"/>
        <v>0.75760661827077003</v>
      </c>
      <c r="F146" s="101">
        <f t="shared" si="46"/>
        <v>1.5172050988424997</v>
      </c>
      <c r="G146" s="101">
        <f t="shared" si="46"/>
        <v>2.27399779326239</v>
      </c>
      <c r="H146" s="101">
        <f t="shared" si="46"/>
        <v>3.0230100773052797</v>
      </c>
      <c r="I146" s="101">
        <f t="shared" si="46"/>
        <v>3.7591441453095995</v>
      </c>
      <c r="J146" s="101">
        <f t="shared" si="46"/>
        <v>4.5108950124918792</v>
      </c>
      <c r="K146" s="101">
        <f t="shared" si="46"/>
        <v>5.2777801537963871</v>
      </c>
      <c r="L146" s="101">
        <f t="shared" si="46"/>
        <v>6.0592761288480013</v>
      </c>
      <c r="M146" s="101">
        <f t="shared" si="46"/>
        <v>6.8548186788852208</v>
      </c>
      <c r="N146" s="101">
        <f t="shared" si="46"/>
        <v>7.6638029406757759</v>
      </c>
      <c r="O146" s="101">
        <f t="shared" si="46"/>
        <v>9.1067902450968656</v>
      </c>
      <c r="P146" s="101">
        <f t="shared" si="46"/>
        <v>10.547133090113615</v>
      </c>
      <c r="Q146" s="101">
        <f t="shared" si="46"/>
        <v>11.977680849004502</v>
      </c>
      <c r="R146" s="101">
        <f t="shared" si="46"/>
        <v>13.390166657501291</v>
      </c>
      <c r="S146" s="101">
        <f t="shared" si="46"/>
        <v>14.77670139055496</v>
      </c>
      <c r="T146" s="101">
        <f t="shared" si="46"/>
        <v>16.178505717184763</v>
      </c>
      <c r="U146" s="101">
        <f t="shared" si="46"/>
        <v>17.595257643825452</v>
      </c>
      <c r="V146" s="101">
        <f t="shared" si="46"/>
        <v>19.026624231341085</v>
      </c>
      <c r="W146" s="101">
        <f t="shared" si="46"/>
        <v>20.472261680169346</v>
      </c>
      <c r="X146" s="101">
        <f t="shared" si="46"/>
        <v>21.931815424462354</v>
      </c>
      <c r="Y146" s="101">
        <f t="shared" si="46"/>
        <v>24.154030240096986</v>
      </c>
      <c r="Z146" s="101">
        <f t="shared" si="46"/>
        <v>26.399022027291814</v>
      </c>
      <c r="AA146" s="101">
        <f t="shared" si="46"/>
        <v>28.66744525518839</v>
      </c>
      <c r="AB146" s="101">
        <f t="shared" si="46"/>
        <v>30.957653407662654</v>
      </c>
      <c r="AC146" s="101">
        <f t="shared" si="46"/>
        <v>33.269077146130542</v>
      </c>
      <c r="AD146" s="101">
        <f t="shared" si="46"/>
        <v>35.601573230623657</v>
      </c>
      <c r="AE146" s="101">
        <f t="shared" si="46"/>
        <v>37.954608556332857</v>
      </c>
      <c r="AF146" s="101">
        <f t="shared" si="46"/>
        <v>40.327636007672467</v>
      </c>
      <c r="AG146" s="101">
        <f t="shared" si="46"/>
        <v>42.72009462516759</v>
      </c>
      <c r="AH146" s="101">
        <f t="shared" si="46"/>
        <v>45.131409783010213</v>
      </c>
    </row>
    <row r="147" spans="1:36" s="68" customFormat="1">
      <c r="B147" s="62" t="s">
        <v>228</v>
      </c>
      <c r="C147" s="63" t="s">
        <v>153</v>
      </c>
      <c r="D147" s="64">
        <f t="shared" ref="D147:AH147" si="47">D93+D103+D113+D123+D135</f>
        <v>0</v>
      </c>
      <c r="E147" s="64">
        <f t="shared" si="47"/>
        <v>0.70592550254032194</v>
      </c>
      <c r="F147" s="64">
        <f t="shared" si="47"/>
        <v>1.4294389835831449</v>
      </c>
      <c r="G147" s="64">
        <f t="shared" si="47"/>
        <v>2.1663649501376909</v>
      </c>
      <c r="H147" s="64">
        <f t="shared" si="47"/>
        <v>2.9122050185206545</v>
      </c>
      <c r="I147" s="64">
        <f t="shared" si="47"/>
        <v>3.6621820137852268</v>
      </c>
      <c r="J147" s="64">
        <f t="shared" si="47"/>
        <v>4.4353441283521082</v>
      </c>
      <c r="K147" s="64">
        <f t="shared" si="47"/>
        <v>5.2314589393591842</v>
      </c>
      <c r="L147" s="64">
        <f t="shared" si="47"/>
        <v>6.0502442449825624</v>
      </c>
      <c r="M147" s="64">
        <f t="shared" si="47"/>
        <v>6.8913672254380511</v>
      </c>
      <c r="N147" s="64">
        <f t="shared" si="47"/>
        <v>7.7544437231452159</v>
      </c>
      <c r="O147" s="64">
        <f t="shared" si="47"/>
        <v>9.1985556095939938</v>
      </c>
      <c r="P147" s="64">
        <f t="shared" si="47"/>
        <v>10.656460452643026</v>
      </c>
      <c r="Q147" s="64">
        <f t="shared" si="47"/>
        <v>12.121077111406366</v>
      </c>
      <c r="R147" s="64">
        <f t="shared" si="47"/>
        <v>13.584498382915118</v>
      </c>
      <c r="S147" s="64">
        <f t="shared" si="47"/>
        <v>15.038845033778554</v>
      </c>
      <c r="T147" s="64">
        <f t="shared" si="47"/>
        <v>16.517927611631109</v>
      </c>
      <c r="U147" s="64">
        <f t="shared" si="47"/>
        <v>18.021638889172316</v>
      </c>
      <c r="V147" s="64">
        <f t="shared" si="47"/>
        <v>19.549858492912577</v>
      </c>
      <c r="W147" s="64">
        <f t="shared" si="47"/>
        <v>21.102452780031037</v>
      </c>
      <c r="X147" s="64">
        <f t="shared" si="47"/>
        <v>22.679274722832776</v>
      </c>
      <c r="Y147" s="64">
        <f t="shared" si="47"/>
        <v>25.265606194595897</v>
      </c>
      <c r="Z147" s="64">
        <f t="shared" si="47"/>
        <v>27.894308917275552</v>
      </c>
      <c r="AA147" s="64">
        <f t="shared" si="47"/>
        <v>30.567181072056787</v>
      </c>
      <c r="AB147" s="64">
        <f t="shared" si="47"/>
        <v>33.282519472357549</v>
      </c>
      <c r="AC147" s="64">
        <f t="shared" si="47"/>
        <v>36.040135196667862</v>
      </c>
      <c r="AD147" s="64">
        <f t="shared" si="47"/>
        <v>38.840249882070687</v>
      </c>
      <c r="AE147" s="64">
        <f t="shared" si="47"/>
        <v>41.682714945379487</v>
      </c>
      <c r="AF147" s="64">
        <f t="shared" si="47"/>
        <v>44.567363622300824</v>
      </c>
      <c r="AG147" s="64">
        <f t="shared" si="47"/>
        <v>47.494010788820731</v>
      </c>
      <c r="AH147" s="64">
        <f t="shared" si="47"/>
        <v>50.462452790589467</v>
      </c>
    </row>
    <row r="148" spans="1:36" s="104" customFormat="1">
      <c r="A148" s="102" t="s">
        <v>275</v>
      </c>
      <c r="B148" s="102"/>
      <c r="C148" s="103" t="s">
        <v>153</v>
      </c>
      <c r="D148" s="105">
        <f t="shared" ref="D148:AG148" si="48">D95+D105+D115+IF(D127&lt;0,0,D127)+D139</f>
        <v>162.69230769230768</v>
      </c>
      <c r="E148" s="105">
        <f t="shared" si="48"/>
        <v>165.93497218873409</v>
      </c>
      <c r="F148" s="105">
        <f t="shared" si="48"/>
        <v>168.67376529631065</v>
      </c>
      <c r="G148" s="105">
        <f t="shared" si="48"/>
        <v>171.51569830241709</v>
      </c>
      <c r="H148" s="105">
        <f t="shared" si="48"/>
        <v>174.47426585570594</v>
      </c>
      <c r="I148" s="105">
        <f t="shared" si="48"/>
        <v>177.56362341541822</v>
      </c>
      <c r="J148" s="105">
        <f t="shared" si="48"/>
        <v>180.23927972630196</v>
      </c>
      <c r="K148" s="105">
        <f t="shared" si="48"/>
        <v>182.98489296813904</v>
      </c>
      <c r="L148" s="105">
        <f t="shared" si="48"/>
        <v>185.80568168497311</v>
      </c>
      <c r="M148" s="105">
        <f t="shared" si="48"/>
        <v>188.70732193792401</v>
      </c>
      <c r="N148" s="105">
        <f t="shared" si="48"/>
        <v>191.69599157686685</v>
      </c>
      <c r="O148" s="105">
        <f t="shared" si="48"/>
        <v>191.5551492261917</v>
      </c>
      <c r="P148" s="105">
        <f t="shared" si="48"/>
        <v>191.4680947728572</v>
      </c>
      <c r="Q148" s="105">
        <f t="shared" si="48"/>
        <v>191.45398562032028</v>
      </c>
      <c r="R148" s="105">
        <f t="shared" si="48"/>
        <v>191.53452821274803</v>
      </c>
      <c r="S148" s="105">
        <f t="shared" si="48"/>
        <v>191.73171007863635</v>
      </c>
      <c r="T148" s="105">
        <f t="shared" si="48"/>
        <v>191.83191511386121</v>
      </c>
      <c r="U148" s="105">
        <f t="shared" si="48"/>
        <v>191.98566132320141</v>
      </c>
      <c r="V148" s="105">
        <f t="shared" si="48"/>
        <v>192.2022172874174</v>
      </c>
      <c r="W148" s="105">
        <f t="shared" si="48"/>
        <v>192.49200364453492</v>
      </c>
      <c r="X148" s="105">
        <f t="shared" si="48"/>
        <v>192.86674273199793</v>
      </c>
      <c r="Y148" s="105">
        <f t="shared" si="48"/>
        <v>191.47959541509658</v>
      </c>
      <c r="Z148" s="105">
        <f t="shared" si="48"/>
        <v>190.17477259365279</v>
      </c>
      <c r="AA148" s="105">
        <f t="shared" si="48"/>
        <v>188.96594709085369</v>
      </c>
      <c r="AB148" s="105">
        <f t="shared" si="48"/>
        <v>187.87469773898576</v>
      </c>
      <c r="AC148" s="105">
        <f t="shared" si="48"/>
        <v>186.92239549844669</v>
      </c>
      <c r="AD148" s="105">
        <f t="shared" si="48"/>
        <v>186.00189970304902</v>
      </c>
      <c r="AE148" s="105">
        <f t="shared" si="48"/>
        <v>185.26793753396436</v>
      </c>
      <c r="AF148" s="105">
        <f t="shared" si="48"/>
        <v>184.75102324039989</v>
      </c>
      <c r="AG148" s="105">
        <f t="shared" si="48"/>
        <v>184.48563326337711</v>
      </c>
      <c r="AH148" s="105">
        <f>AH95+AH105+AH115+AH127+AH139</f>
        <v>184.51073026673089</v>
      </c>
      <c r="AI148" s="641">
        <f>AH148-AH84</f>
        <v>-95.593862573599665</v>
      </c>
      <c r="AJ148" s="104" t="s">
        <v>385</v>
      </c>
    </row>
    <row r="149" spans="1:36" s="67" customFormat="1">
      <c r="A149" s="755" t="s">
        <v>257</v>
      </c>
      <c r="B149" s="58" t="s">
        <v>258</v>
      </c>
      <c r="C149" s="59" t="s">
        <v>153</v>
      </c>
      <c r="D149" s="60">
        <f>D96+D106+D116+D128+D140</f>
        <v>99.242307692307705</v>
      </c>
      <c r="E149" s="60" t="e">
        <f t="shared" ref="E149:AH154" si="49">E96+E106+E116+E128+E140</f>
        <v>#DIV/0!</v>
      </c>
      <c r="F149" s="60" t="e">
        <f t="shared" si="49"/>
        <v>#DIV/0!</v>
      </c>
      <c r="G149" s="60" t="e">
        <f t="shared" si="49"/>
        <v>#DIV/0!</v>
      </c>
      <c r="H149" s="60" t="e">
        <f t="shared" si="49"/>
        <v>#DIV/0!</v>
      </c>
      <c r="I149" s="60" t="e">
        <f t="shared" si="49"/>
        <v>#DIV/0!</v>
      </c>
      <c r="J149" s="60" t="e">
        <f t="shared" si="49"/>
        <v>#DIV/0!</v>
      </c>
      <c r="K149" s="60" t="e">
        <f t="shared" si="49"/>
        <v>#DIV/0!</v>
      </c>
      <c r="L149" s="60" t="e">
        <f t="shared" si="49"/>
        <v>#DIV/0!</v>
      </c>
      <c r="M149" s="60" t="e">
        <f t="shared" si="49"/>
        <v>#DIV/0!</v>
      </c>
      <c r="N149" s="60" t="e">
        <f t="shared" si="49"/>
        <v>#DIV/0!</v>
      </c>
      <c r="O149" s="60" t="e">
        <f t="shared" si="49"/>
        <v>#DIV/0!</v>
      </c>
      <c r="P149" s="60" t="e">
        <f t="shared" si="49"/>
        <v>#DIV/0!</v>
      </c>
      <c r="Q149" s="60" t="e">
        <f t="shared" si="49"/>
        <v>#DIV/0!</v>
      </c>
      <c r="R149" s="60" t="e">
        <f t="shared" si="49"/>
        <v>#DIV/0!</v>
      </c>
      <c r="S149" s="60" t="e">
        <f t="shared" si="49"/>
        <v>#DIV/0!</v>
      </c>
      <c r="T149" s="60" t="e">
        <f t="shared" si="49"/>
        <v>#DIV/0!</v>
      </c>
      <c r="U149" s="60" t="e">
        <f t="shared" si="49"/>
        <v>#DIV/0!</v>
      </c>
      <c r="V149" s="60" t="e">
        <f t="shared" si="49"/>
        <v>#DIV/0!</v>
      </c>
      <c r="W149" s="60" t="e">
        <f t="shared" si="49"/>
        <v>#DIV/0!</v>
      </c>
      <c r="X149" s="60" t="e">
        <f t="shared" si="49"/>
        <v>#DIV/0!</v>
      </c>
      <c r="Y149" s="60" t="e">
        <f t="shared" si="49"/>
        <v>#DIV/0!</v>
      </c>
      <c r="Z149" s="60" t="e">
        <f t="shared" si="49"/>
        <v>#DIV/0!</v>
      </c>
      <c r="AA149" s="60" t="e">
        <f t="shared" si="49"/>
        <v>#DIV/0!</v>
      </c>
      <c r="AB149" s="60" t="e">
        <f t="shared" si="49"/>
        <v>#DIV/0!</v>
      </c>
      <c r="AC149" s="60" t="e">
        <f t="shared" si="49"/>
        <v>#DIV/0!</v>
      </c>
      <c r="AD149" s="60" t="e">
        <f t="shared" si="49"/>
        <v>#DIV/0!</v>
      </c>
      <c r="AE149" s="60" t="e">
        <f t="shared" si="49"/>
        <v>#DIV/0!</v>
      </c>
      <c r="AF149" s="60" t="e">
        <f t="shared" si="49"/>
        <v>#DIV/0!</v>
      </c>
      <c r="AG149" s="60" t="e">
        <f t="shared" si="49"/>
        <v>#DIV/0!</v>
      </c>
      <c r="AH149" s="60" t="e">
        <f t="shared" si="49"/>
        <v>#DIV/0!</v>
      </c>
      <c r="AI149" s="60"/>
    </row>
    <row r="150" spans="1:36">
      <c r="A150" s="756"/>
      <c r="B150" s="1" t="s">
        <v>260</v>
      </c>
      <c r="C150" s="54" t="s">
        <v>153</v>
      </c>
      <c r="D150" s="44">
        <f t="shared" ref="D150:S154" si="50">D97+D107+D117+D129+D141</f>
        <v>22.776923076923076</v>
      </c>
      <c r="E150" s="44">
        <f t="shared" si="50"/>
        <v>23.431001458961177</v>
      </c>
      <c r="F150" s="44">
        <f t="shared" si="50"/>
        <v>23.952854780551803</v>
      </c>
      <c r="G150" s="44">
        <f t="shared" si="50"/>
        <v>24.495770160559204</v>
      </c>
      <c r="H150" s="44">
        <f t="shared" si="50"/>
        <v>25.06152366310145</v>
      </c>
      <c r="I150" s="44">
        <f t="shared" si="50"/>
        <v>25.65195607255194</v>
      </c>
      <c r="J150" s="44">
        <f t="shared" si="50"/>
        <v>26.17681578263803</v>
      </c>
      <c r="K150" s="44">
        <f t="shared" si="50"/>
        <v>26.71891544700566</v>
      </c>
      <c r="L150" s="44">
        <f t="shared" si="50"/>
        <v>27.27928566880837</v>
      </c>
      <c r="M150" s="44">
        <f t="shared" si="50"/>
        <v>27.859041818293441</v>
      </c>
      <c r="N150" s="44">
        <f t="shared" si="50"/>
        <v>28.459393240876416</v>
      </c>
      <c r="O150" s="44">
        <f t="shared" si="50"/>
        <v>28.610085038711283</v>
      </c>
      <c r="P150" s="44">
        <f t="shared" si="50"/>
        <v>28.776143873205555</v>
      </c>
      <c r="Q150" s="44">
        <f t="shared" si="50"/>
        <v>28.960107362939777</v>
      </c>
      <c r="R150" s="44">
        <f t="shared" si="50"/>
        <v>29.164641722377159</v>
      </c>
      <c r="S150" s="44">
        <f t="shared" si="50"/>
        <v>29.392545195512923</v>
      </c>
      <c r="T150" s="44">
        <f t="shared" si="49"/>
        <v>29.612743516804187</v>
      </c>
      <c r="U150" s="44">
        <f t="shared" si="49"/>
        <v>29.851347373890722</v>
      </c>
      <c r="V150" s="44">
        <f t="shared" si="49"/>
        <v>30.110363048624659</v>
      </c>
      <c r="W150" s="44">
        <f t="shared" si="49"/>
        <v>30.392040869003282</v>
      </c>
      <c r="X150" s="44">
        <f t="shared" si="49"/>
        <v>30.698907020574126</v>
      </c>
      <c r="Y150" s="44">
        <f t="shared" si="49"/>
        <v>30.855360939581473</v>
      </c>
      <c r="Z150" s="44">
        <f t="shared" si="49"/>
        <v>31.042174514452306</v>
      </c>
      <c r="AA150" s="44">
        <f t="shared" si="49"/>
        <v>31.262973512217933</v>
      </c>
      <c r="AB150" s="44">
        <f t="shared" si="49"/>
        <v>31.521834728346903</v>
      </c>
      <c r="AC150" s="44">
        <f t="shared" si="49"/>
        <v>31.823345103884371</v>
      </c>
      <c r="AD150" s="44">
        <f t="shared" si="49"/>
        <v>32.150301731595547</v>
      </c>
      <c r="AE150" s="44">
        <f t="shared" si="49"/>
        <v>32.53033500961763</v>
      </c>
      <c r="AF150" s="44">
        <f t="shared" si="49"/>
        <v>32.969981980374016</v>
      </c>
      <c r="AG150" s="44">
        <f t="shared" si="49"/>
        <v>33.476615489098897</v>
      </c>
      <c r="AH150" s="44">
        <f t="shared" si="49"/>
        <v>34.058554245955207</v>
      </c>
      <c r="AI150" s="44"/>
    </row>
    <row r="151" spans="1:36">
      <c r="A151" s="756"/>
      <c r="B151" s="1" t="s">
        <v>262</v>
      </c>
      <c r="C151" s="54" t="s">
        <v>153</v>
      </c>
      <c r="D151" s="44">
        <f t="shared" si="50"/>
        <v>19.523076923076918</v>
      </c>
      <c r="E151" s="44" t="e">
        <f t="shared" si="49"/>
        <v>#DIV/0!</v>
      </c>
      <c r="F151" s="44" t="e">
        <f t="shared" si="49"/>
        <v>#DIV/0!</v>
      </c>
      <c r="G151" s="44" t="e">
        <f t="shared" si="49"/>
        <v>#DIV/0!</v>
      </c>
      <c r="H151" s="44" t="e">
        <f t="shared" si="49"/>
        <v>#DIV/0!</v>
      </c>
      <c r="I151" s="44" t="e">
        <f t="shared" si="49"/>
        <v>#DIV/0!</v>
      </c>
      <c r="J151" s="44" t="e">
        <f t="shared" si="49"/>
        <v>#DIV/0!</v>
      </c>
      <c r="K151" s="44" t="e">
        <f t="shared" si="49"/>
        <v>#DIV/0!</v>
      </c>
      <c r="L151" s="44" t="e">
        <f t="shared" si="49"/>
        <v>#DIV/0!</v>
      </c>
      <c r="M151" s="44" t="e">
        <f t="shared" si="49"/>
        <v>#DIV/0!</v>
      </c>
      <c r="N151" s="44" t="e">
        <f t="shared" si="49"/>
        <v>#DIV/0!</v>
      </c>
      <c r="O151" s="44" t="e">
        <f t="shared" si="49"/>
        <v>#DIV/0!</v>
      </c>
      <c r="P151" s="44" t="e">
        <f t="shared" si="49"/>
        <v>#DIV/0!</v>
      </c>
      <c r="Q151" s="44" t="e">
        <f t="shared" si="49"/>
        <v>#DIV/0!</v>
      </c>
      <c r="R151" s="44" t="e">
        <f t="shared" si="49"/>
        <v>#DIV/0!</v>
      </c>
      <c r="S151" s="44" t="e">
        <f t="shared" si="49"/>
        <v>#DIV/0!</v>
      </c>
      <c r="T151" s="44" t="e">
        <f t="shared" si="49"/>
        <v>#DIV/0!</v>
      </c>
      <c r="U151" s="44" t="e">
        <f t="shared" si="49"/>
        <v>#DIV/0!</v>
      </c>
      <c r="V151" s="44" t="e">
        <f t="shared" si="49"/>
        <v>#DIV/0!</v>
      </c>
      <c r="W151" s="44" t="e">
        <f t="shared" si="49"/>
        <v>#DIV/0!</v>
      </c>
      <c r="X151" s="44" t="e">
        <f t="shared" si="49"/>
        <v>#DIV/0!</v>
      </c>
      <c r="Y151" s="44" t="e">
        <f t="shared" si="49"/>
        <v>#DIV/0!</v>
      </c>
      <c r="Z151" s="44" t="e">
        <f t="shared" si="49"/>
        <v>#DIV/0!</v>
      </c>
      <c r="AA151" s="44" t="e">
        <f t="shared" si="49"/>
        <v>#DIV/0!</v>
      </c>
      <c r="AB151" s="44" t="e">
        <f t="shared" si="49"/>
        <v>#DIV/0!</v>
      </c>
      <c r="AC151" s="44" t="e">
        <f t="shared" si="49"/>
        <v>#DIV/0!</v>
      </c>
      <c r="AD151" s="44" t="e">
        <f t="shared" si="49"/>
        <v>#DIV/0!</v>
      </c>
      <c r="AE151" s="44" t="e">
        <f t="shared" si="49"/>
        <v>#DIV/0!</v>
      </c>
      <c r="AF151" s="44" t="e">
        <f t="shared" si="49"/>
        <v>#DIV/0!</v>
      </c>
      <c r="AG151" s="44" t="e">
        <f t="shared" si="49"/>
        <v>#DIV/0!</v>
      </c>
      <c r="AH151" s="44" t="e">
        <f t="shared" si="49"/>
        <v>#DIV/0!</v>
      </c>
      <c r="AI151" s="44"/>
    </row>
    <row r="152" spans="1:36">
      <c r="A152" s="757"/>
      <c r="B152" s="1" t="s">
        <v>248</v>
      </c>
      <c r="C152" s="54" t="s">
        <v>153</v>
      </c>
      <c r="D152" s="44">
        <f t="shared" ref="D152:AG152" si="51">D99+D109+D119+IF(D131&lt;0,0,D131)+D143</f>
        <v>21.150000000000006</v>
      </c>
      <c r="E152" s="44" t="e">
        <f t="shared" si="51"/>
        <v>#DIV/0!</v>
      </c>
      <c r="F152" s="44" t="e">
        <f t="shared" si="51"/>
        <v>#DIV/0!</v>
      </c>
      <c r="G152" s="44" t="e">
        <f t="shared" si="51"/>
        <v>#DIV/0!</v>
      </c>
      <c r="H152" s="44" t="e">
        <f t="shared" si="51"/>
        <v>#DIV/0!</v>
      </c>
      <c r="I152" s="44" t="e">
        <f t="shared" si="51"/>
        <v>#DIV/0!</v>
      </c>
      <c r="J152" s="44" t="e">
        <f t="shared" si="51"/>
        <v>#DIV/0!</v>
      </c>
      <c r="K152" s="44" t="e">
        <f t="shared" si="51"/>
        <v>#DIV/0!</v>
      </c>
      <c r="L152" s="44" t="e">
        <f t="shared" si="51"/>
        <v>#DIV/0!</v>
      </c>
      <c r="M152" s="44" t="e">
        <f t="shared" si="51"/>
        <v>#DIV/0!</v>
      </c>
      <c r="N152" s="44" t="e">
        <f t="shared" si="51"/>
        <v>#DIV/0!</v>
      </c>
      <c r="O152" s="44" t="e">
        <f t="shared" si="51"/>
        <v>#DIV/0!</v>
      </c>
      <c r="P152" s="44" t="e">
        <f t="shared" si="51"/>
        <v>#DIV/0!</v>
      </c>
      <c r="Q152" s="44" t="e">
        <f t="shared" si="51"/>
        <v>#DIV/0!</v>
      </c>
      <c r="R152" s="44" t="e">
        <f t="shared" si="51"/>
        <v>#DIV/0!</v>
      </c>
      <c r="S152" s="44" t="e">
        <f t="shared" si="51"/>
        <v>#DIV/0!</v>
      </c>
      <c r="T152" s="44" t="e">
        <f t="shared" si="51"/>
        <v>#DIV/0!</v>
      </c>
      <c r="U152" s="44" t="e">
        <f t="shared" si="51"/>
        <v>#DIV/0!</v>
      </c>
      <c r="V152" s="44" t="e">
        <f t="shared" si="51"/>
        <v>#DIV/0!</v>
      </c>
      <c r="W152" s="44" t="e">
        <f t="shared" si="51"/>
        <v>#DIV/0!</v>
      </c>
      <c r="X152" s="44" t="e">
        <f t="shared" si="51"/>
        <v>#DIV/0!</v>
      </c>
      <c r="Y152" s="44" t="e">
        <f t="shared" si="51"/>
        <v>#DIV/0!</v>
      </c>
      <c r="Z152" s="44" t="e">
        <f t="shared" si="51"/>
        <v>#DIV/0!</v>
      </c>
      <c r="AA152" s="44" t="e">
        <f t="shared" si="51"/>
        <v>#DIV/0!</v>
      </c>
      <c r="AB152" s="44" t="e">
        <f t="shared" si="51"/>
        <v>#DIV/0!</v>
      </c>
      <c r="AC152" s="44" t="e">
        <f t="shared" si="51"/>
        <v>#DIV/0!</v>
      </c>
      <c r="AD152" s="44" t="e">
        <f t="shared" si="51"/>
        <v>#DIV/0!</v>
      </c>
      <c r="AE152" s="44" t="e">
        <f t="shared" si="51"/>
        <v>#DIV/0!</v>
      </c>
      <c r="AF152" s="44" t="e">
        <f t="shared" si="51"/>
        <v>#DIV/0!</v>
      </c>
      <c r="AG152" s="44" t="e">
        <f t="shared" si="51"/>
        <v>#DIV/0!</v>
      </c>
      <c r="AH152" s="44" t="e">
        <f>AH99+AH109+AH119+AH131+AH143</f>
        <v>#DIV/0!</v>
      </c>
      <c r="AI152" s="44"/>
    </row>
    <row r="153" spans="1:36" s="67" customFormat="1">
      <c r="A153" s="758" t="s">
        <v>263</v>
      </c>
      <c r="B153" s="58" t="s">
        <v>264</v>
      </c>
      <c r="C153" s="59" t="s">
        <v>153</v>
      </c>
      <c r="D153" s="60">
        <f t="shared" si="50"/>
        <v>18.74215384615384</v>
      </c>
      <c r="E153" s="60" t="e">
        <f t="shared" si="49"/>
        <v>#DIV/0!</v>
      </c>
      <c r="F153" s="60" t="e">
        <f t="shared" si="49"/>
        <v>#DIV/0!</v>
      </c>
      <c r="G153" s="60" t="e">
        <f t="shared" si="49"/>
        <v>#DIV/0!</v>
      </c>
      <c r="H153" s="60" t="e">
        <f t="shared" si="49"/>
        <v>#DIV/0!</v>
      </c>
      <c r="I153" s="60" t="e">
        <f t="shared" si="49"/>
        <v>#DIV/0!</v>
      </c>
      <c r="J153" s="60" t="e">
        <f t="shared" si="49"/>
        <v>#DIV/0!</v>
      </c>
      <c r="K153" s="60" t="e">
        <f t="shared" si="49"/>
        <v>#DIV/0!</v>
      </c>
      <c r="L153" s="60" t="e">
        <f t="shared" si="49"/>
        <v>#DIV/0!</v>
      </c>
      <c r="M153" s="60" t="e">
        <f t="shared" si="49"/>
        <v>#DIV/0!</v>
      </c>
      <c r="N153" s="60" t="e">
        <f t="shared" si="49"/>
        <v>#DIV/0!</v>
      </c>
      <c r="O153" s="60" t="e">
        <f t="shared" si="49"/>
        <v>#DIV/0!</v>
      </c>
      <c r="P153" s="60" t="e">
        <f t="shared" si="49"/>
        <v>#DIV/0!</v>
      </c>
      <c r="Q153" s="60" t="e">
        <f t="shared" si="49"/>
        <v>#DIV/0!</v>
      </c>
      <c r="R153" s="60" t="e">
        <f t="shared" si="49"/>
        <v>#DIV/0!</v>
      </c>
      <c r="S153" s="60" t="e">
        <f t="shared" si="49"/>
        <v>#DIV/0!</v>
      </c>
      <c r="T153" s="60" t="e">
        <f t="shared" si="49"/>
        <v>#DIV/0!</v>
      </c>
      <c r="U153" s="60" t="e">
        <f t="shared" si="49"/>
        <v>#DIV/0!</v>
      </c>
      <c r="V153" s="60" t="e">
        <f t="shared" si="49"/>
        <v>#DIV/0!</v>
      </c>
      <c r="W153" s="60" t="e">
        <f t="shared" si="49"/>
        <v>#DIV/0!</v>
      </c>
      <c r="X153" s="60" t="e">
        <f t="shared" si="49"/>
        <v>#DIV/0!</v>
      </c>
      <c r="Y153" s="60" t="e">
        <f t="shared" si="49"/>
        <v>#DIV/0!</v>
      </c>
      <c r="Z153" s="60" t="e">
        <f t="shared" si="49"/>
        <v>#DIV/0!</v>
      </c>
      <c r="AA153" s="60" t="e">
        <f t="shared" si="49"/>
        <v>#DIV/0!</v>
      </c>
      <c r="AB153" s="60" t="e">
        <f t="shared" si="49"/>
        <v>#DIV/0!</v>
      </c>
      <c r="AC153" s="60" t="e">
        <f t="shared" si="49"/>
        <v>#DIV/0!</v>
      </c>
      <c r="AD153" s="60" t="e">
        <f t="shared" si="49"/>
        <v>#DIV/0!</v>
      </c>
      <c r="AE153" s="60" t="e">
        <f t="shared" si="49"/>
        <v>#DIV/0!</v>
      </c>
      <c r="AF153" s="60" t="e">
        <f t="shared" si="49"/>
        <v>#DIV/0!</v>
      </c>
      <c r="AG153" s="60" t="e">
        <f t="shared" si="49"/>
        <v>#DIV/0!</v>
      </c>
      <c r="AH153" s="60" t="e">
        <f t="shared" si="49"/>
        <v>#DIV/0!</v>
      </c>
      <c r="AI153" s="60"/>
    </row>
    <row r="154" spans="1:36" s="68" customFormat="1">
      <c r="A154" s="759"/>
      <c r="B154" s="62" t="s">
        <v>266</v>
      </c>
      <c r="C154" s="283" t="s">
        <v>153</v>
      </c>
      <c r="D154" s="284">
        <f t="shared" si="50"/>
        <v>15.260538461538461</v>
      </c>
      <c r="E154" s="284">
        <f t="shared" si="49"/>
        <v>15.563739580743658</v>
      </c>
      <c r="F154" s="284">
        <f t="shared" si="49"/>
        <v>16.04042024687255</v>
      </c>
      <c r="G154" s="284">
        <f t="shared" si="49"/>
        <v>16.806268824395325</v>
      </c>
      <c r="H154" s="284">
        <f t="shared" si="49"/>
        <v>16.401316388227514</v>
      </c>
      <c r="I154" s="284">
        <f t="shared" si="49"/>
        <v>16.720804463925198</v>
      </c>
      <c r="J154" s="284">
        <f t="shared" si="49"/>
        <v>16.997764996156185</v>
      </c>
      <c r="K154" s="284">
        <f t="shared" si="49"/>
        <v>17.282599562345705</v>
      </c>
      <c r="L154" s="284">
        <f t="shared" si="49"/>
        <v>17.575670548160389</v>
      </c>
      <c r="M154" s="284">
        <f t="shared" si="49"/>
        <v>17.877351219247913</v>
      </c>
      <c r="N154" s="284">
        <f t="shared" si="49"/>
        <v>18.188025598152024</v>
      </c>
      <c r="O154" s="284">
        <f t="shared" si="49"/>
        <v>18.174231041250735</v>
      </c>
      <c r="P154" s="284">
        <f t="shared" si="49"/>
        <v>18.16693052894097</v>
      </c>
      <c r="Q154" s="284">
        <f t="shared" si="49"/>
        <v>18.167640154275482</v>
      </c>
      <c r="R154" s="284">
        <f t="shared" si="49"/>
        <v>18.177873122967831</v>
      </c>
      <c r="S154" s="284">
        <f t="shared" si="49"/>
        <v>18.1991260168416</v>
      </c>
      <c r="T154" s="284">
        <f t="shared" si="49"/>
        <v>18.208525195191328</v>
      </c>
      <c r="U154" s="284">
        <f t="shared" si="49"/>
        <v>18.221075014647052</v>
      </c>
      <c r="V154" s="284">
        <f t="shared" si="49"/>
        <v>18.236910907503152</v>
      </c>
      <c r="W154" s="284">
        <f t="shared" si="49"/>
        <v>18.256169331981031</v>
      </c>
      <c r="X154" s="284">
        <f t="shared" si="49"/>
        <v>18.278987730805838</v>
      </c>
      <c r="Y154" s="284">
        <f t="shared" si="49"/>
        <v>18.136203348893638</v>
      </c>
      <c r="Z154" s="284">
        <f t="shared" si="49"/>
        <v>17.996599130468809</v>
      </c>
      <c r="AA154" s="284">
        <f t="shared" si="49"/>
        <v>17.860354819579221</v>
      </c>
      <c r="AB154" s="284">
        <f t="shared" si="49"/>
        <v>17.727651043994495</v>
      </c>
      <c r="AC154" s="284">
        <f t="shared" si="49"/>
        <v>17.598669249343292</v>
      </c>
      <c r="AD154" s="284">
        <f t="shared" si="49"/>
        <v>17.459885019407622</v>
      </c>
      <c r="AE154" s="284">
        <f t="shared" si="49"/>
        <v>17.324814075590211</v>
      </c>
      <c r="AF154" s="284">
        <f t="shared" si="49"/>
        <v>17.193624176467061</v>
      </c>
      <c r="AG154" s="284">
        <f t="shared" si="49"/>
        <v>17.066483605229809</v>
      </c>
      <c r="AH154" s="284">
        <f t="shared" si="49"/>
        <v>16.943561116735232</v>
      </c>
      <c r="AI154" s="284"/>
    </row>
    <row r="155" spans="1:36">
      <c r="A155" s="1" t="s">
        <v>230</v>
      </c>
      <c r="C155" s="59" t="s">
        <v>153</v>
      </c>
      <c r="D155" s="66">
        <f>'Ethylene Recycling LC'!C269</f>
        <v>1.0818815477462023E-5</v>
      </c>
      <c r="E155" s="66">
        <f>'Ethylene Recycling LC'!D269</f>
        <v>2.2516111057818729E-5</v>
      </c>
      <c r="F155" s="66">
        <f>'Ethylene Recycling LC'!E269</f>
        <v>4.663928438610196E-5</v>
      </c>
      <c r="G155" s="66">
        <f>'Ethylene Recycling LC'!F269</f>
        <v>9.608657713745202E-5</v>
      </c>
      <c r="H155" s="66">
        <f>'Ethylene Recycling LC'!G269</f>
        <v>1.9670237167658338E-4</v>
      </c>
      <c r="I155" s="66">
        <f>'Ethylene Recycling LC'!H269</f>
        <v>3.9958383748381587E-4</v>
      </c>
      <c r="J155" s="66">
        <f>'Ethylene Recycling LC'!I269</f>
        <v>8.057191792668842E-4</v>
      </c>
      <c r="K155" s="66">
        <f>'Ethylene Recycling LC'!J269</f>
        <v>1.6085364368499963E-3</v>
      </c>
      <c r="L155" s="66">
        <f>'Ethylene Recycling LC'!K269</f>
        <v>3.1686180543568881E-3</v>
      </c>
      <c r="M155" s="66">
        <f>'Ethylene Recycling LC'!L269</f>
        <v>6.1315713717573096E-3</v>
      </c>
      <c r="N155" s="66">
        <f>'Ethylene Recycling LC'!M269</f>
        <v>1.1640785616413447E-2</v>
      </c>
      <c r="O155" s="66">
        <f>'Ethylene Recycling LC'!N269</f>
        <v>2.0094054417978537E-2</v>
      </c>
      <c r="P155" s="66">
        <f>'Ethylene Recycling LC'!O269</f>
        <v>3.3456755924607139E-2</v>
      </c>
      <c r="Q155" s="66">
        <f>'Ethylene Recycling LC'!P269</f>
        <v>5.3089549307910509E-2</v>
      </c>
      <c r="R155" s="66">
        <f>'Ethylene Recycling LC'!Q269</f>
        <v>7.9737374596567448E-2</v>
      </c>
      <c r="S155" s="66">
        <f>'Ethylene Recycling LC'!R269</f>
        <v>0.11964889590822324</v>
      </c>
      <c r="T155" s="66">
        <f>'Ethylene Recycling LC'!S269</f>
        <v>0.17238287272772146</v>
      </c>
      <c r="U155" s="66">
        <f>'Ethylene Recycling LC'!T269</f>
        <v>0.23389133473316545</v>
      </c>
      <c r="V155" s="66">
        <f>'Ethylene Recycling LC'!U269</f>
        <v>0.30040358052623417</v>
      </c>
      <c r="W155" s="66">
        <f>'Ethylene Recycling LC'!V269</f>
        <v>0.36787347293083217</v>
      </c>
      <c r="X155" s="66">
        <f>'Ethylene Recycling LC'!W269</f>
        <v>0.43303920402567814</v>
      </c>
      <c r="Y155" s="66">
        <f>'Ethylene Recycling LC'!X269</f>
        <v>0.50818762292918385</v>
      </c>
      <c r="Z155" s="66">
        <f>'Ethylene Recycling LC'!Y269</f>
        <v>0.58045381239767557</v>
      </c>
      <c r="AA155" s="66">
        <f>'Ethylene Recycling LC'!Z269</f>
        <v>0.65008568517345078</v>
      </c>
      <c r="AB155" s="66">
        <f>'Ethylene Recycling LC'!AA269</f>
        <v>0.71867532580841453</v>
      </c>
      <c r="AC155" s="66">
        <f>'Ethylene Recycling LC'!AB269</f>
        <v>0.78924437747359677</v>
      </c>
      <c r="AD155" s="66">
        <f>'Ethylene Recycling LC'!AC269</f>
        <v>0.86625054691613579</v>
      </c>
      <c r="AE155" s="66">
        <f>'Ethylene Recycling LC'!AD269</f>
        <v>0.9553071217406065</v>
      </c>
      <c r="AF155" s="66">
        <f>'Ethylene Recycling LC'!AE269</f>
        <v>1.0622280414094987</v>
      </c>
      <c r="AG155" s="66">
        <f>'Ethylene Recycling LC'!AF269</f>
        <v>1.1911549956053977</v>
      </c>
      <c r="AH155" s="66">
        <f>'Ethylene Recycling LC'!AG269</f>
        <v>1.34224435103047</v>
      </c>
    </row>
    <row r="156" spans="1:36">
      <c r="A156" s="1" t="s">
        <v>231</v>
      </c>
      <c r="C156" s="283" t="s">
        <v>153</v>
      </c>
      <c r="D156" s="66">
        <f>'Ethylene Recycling LC'!C271</f>
        <v>3.1645345371101353E-5</v>
      </c>
      <c r="E156" s="66">
        <f>'Ethylene Recycling LC'!D271</f>
        <v>6.5860270223029984E-5</v>
      </c>
      <c r="F156" s="66">
        <f>'Ethylene Recycling LC'!E271</f>
        <v>1.3642124365036728E-4</v>
      </c>
      <c r="G156" s="66">
        <f>'Ethylene Recycling LC'!F271</f>
        <v>2.8105599225498152E-4</v>
      </c>
      <c r="H156" s="66">
        <f>'Ethylene Recycling LC'!G271</f>
        <v>5.7536007523075687E-4</v>
      </c>
      <c r="I156" s="66">
        <f>'Ethylene Recycling LC'!H271</f>
        <v>1.1687941779049329E-3</v>
      </c>
      <c r="J156" s="66">
        <f>'Ethylene Recycling LC'!I271</f>
        <v>2.3567516936708359E-3</v>
      </c>
      <c r="K156" s="66">
        <f>'Ethylene Recycling LC'!J271</f>
        <v>4.7050151832389066E-3</v>
      </c>
      <c r="L156" s="66">
        <f>'Ethylene Recycling LC'!K271</f>
        <v>9.2682986310395656E-3</v>
      </c>
      <c r="M156" s="66">
        <f>'Ethylene Recycling LC'!L271</f>
        <v>1.7935022011516592E-2</v>
      </c>
      <c r="N156" s="66">
        <f>'Ethylene Recycling LC'!M271</f>
        <v>3.4049631587650453E-2</v>
      </c>
      <c r="O156" s="66">
        <f>'Ethylene Recycling LC'!N271</f>
        <v>5.8775685128128939E-2</v>
      </c>
      <c r="P156" s="66">
        <f>'Ethylene Recycling LC'!O271</f>
        <v>9.786197004990474E-2</v>
      </c>
      <c r="Q156" s="66">
        <f>'Ethylene Recycling LC'!P271</f>
        <v>0.15528845343049158</v>
      </c>
      <c r="R156" s="66">
        <f>'Ethylene Recycling LC'!Q271</f>
        <v>0.2332341062059784</v>
      </c>
      <c r="S156" s="66">
        <f>'Ethylene Recycling LC'!R271</f>
        <v>0.3499764500258315</v>
      </c>
      <c r="T156" s="66">
        <f>'Ethylene Recycling LC'!S271</f>
        <v>0.50422484373594889</v>
      </c>
      <c r="U156" s="66">
        <f>'Ethylene Recycling LC'!T271</f>
        <v>0.68413885811787811</v>
      </c>
      <c r="V156" s="66">
        <f>'Ethylene Recycling LC'!U271</f>
        <v>0.87868908350197961</v>
      </c>
      <c r="W156" s="66">
        <f>'Ethylene Recycling LC'!V271</f>
        <v>1.076040452673813</v>
      </c>
      <c r="X156" s="66">
        <f>'Ethylene Recycling LC'!W271</f>
        <v>1.2666520839704849</v>
      </c>
      <c r="Y156" s="66">
        <f>'Ethylene Recycling LC'!X271</f>
        <v>1.4864633632410984</v>
      </c>
      <c r="Z156" s="66">
        <f>'Ethylene Recycling LC'!Y271</f>
        <v>1.6978440388010025</v>
      </c>
      <c r="AA156" s="66">
        <f>'Ethylene Recycling LC'!Z271</f>
        <v>1.9015192625273358</v>
      </c>
      <c r="AB156" s="66">
        <f>'Ethylene Recycling LC'!AA271</f>
        <v>2.1021459273683134</v>
      </c>
      <c r="AC156" s="66">
        <f>'Ethylene Recycling LC'!AB271</f>
        <v>2.3085624262085052</v>
      </c>
      <c r="AD156" s="66">
        <f>'Ethylene Recycling LC'!AC271</f>
        <v>2.5338076790544632</v>
      </c>
      <c r="AE156" s="66">
        <f>'Ethylene Recycling LC'!AD271</f>
        <v>2.7943007130431372</v>
      </c>
      <c r="AF156" s="66">
        <f>'Ethylene Recycling LC'!AE271</f>
        <v>3.1070474677471576</v>
      </c>
      <c r="AG156" s="66">
        <f>'Ethylene Recycling LC'!AF271</f>
        <v>3.4841625042012687</v>
      </c>
      <c r="AH156" s="66">
        <f>'Ethylene Recycling LC'!AG271</f>
        <v>3.9261031994912425</v>
      </c>
    </row>
    <row r="157" spans="1:36" s="104" customFormat="1">
      <c r="A157" s="102" t="s">
        <v>276</v>
      </c>
      <c r="B157" s="102"/>
      <c r="C157" s="103" t="s">
        <v>153</v>
      </c>
      <c r="D157" s="105">
        <f>D148-D155-D156</f>
        <v>162.69226522814685</v>
      </c>
      <c r="E157" s="105">
        <f t="shared" ref="E157:AH157" si="52">E148-E155-E156</f>
        <v>165.93488381235284</v>
      </c>
      <c r="F157" s="105">
        <f t="shared" si="52"/>
        <v>168.67358223578262</v>
      </c>
      <c r="G157" s="105">
        <f t="shared" si="52"/>
        <v>171.5153211598477</v>
      </c>
      <c r="H157" s="105">
        <f t="shared" si="52"/>
        <v>174.47349379325902</v>
      </c>
      <c r="I157" s="105">
        <f t="shared" si="52"/>
        <v>177.56205503740281</v>
      </c>
      <c r="J157" s="105">
        <f t="shared" si="52"/>
        <v>180.23611725542904</v>
      </c>
      <c r="K157" s="105">
        <f t="shared" si="52"/>
        <v>182.97857941651893</v>
      </c>
      <c r="L157" s="105">
        <f t="shared" si="52"/>
        <v>185.79324476828771</v>
      </c>
      <c r="M157" s="105">
        <f t="shared" si="52"/>
        <v>188.68325534454073</v>
      </c>
      <c r="N157" s="105">
        <f t="shared" si="52"/>
        <v>191.65030115966277</v>
      </c>
      <c r="O157" s="105">
        <f t="shared" si="52"/>
        <v>191.47627948664561</v>
      </c>
      <c r="P157" s="105">
        <f t="shared" si="52"/>
        <v>191.33677604688268</v>
      </c>
      <c r="Q157" s="105">
        <f t="shared" si="52"/>
        <v>191.24560761758187</v>
      </c>
      <c r="R157" s="105">
        <f t="shared" si="52"/>
        <v>191.2215567319455</v>
      </c>
      <c r="S157" s="105">
        <f t="shared" si="52"/>
        <v>191.26208473270231</v>
      </c>
      <c r="T157" s="105">
        <f t="shared" si="52"/>
        <v>191.15530739739754</v>
      </c>
      <c r="U157" s="105">
        <f t="shared" si="52"/>
        <v>191.06763113035038</v>
      </c>
      <c r="V157" s="105">
        <f t="shared" si="52"/>
        <v>191.02312462338921</v>
      </c>
      <c r="W157" s="105">
        <f t="shared" si="52"/>
        <v>191.04808971893027</v>
      </c>
      <c r="X157" s="105">
        <f t="shared" si="52"/>
        <v>191.16705144400177</v>
      </c>
      <c r="Y157" s="105">
        <f t="shared" si="52"/>
        <v>189.48494442892633</v>
      </c>
      <c r="Z157" s="105">
        <f t="shared" si="52"/>
        <v>187.8964747424541</v>
      </c>
      <c r="AA157" s="105">
        <f t="shared" si="52"/>
        <v>186.41434214315291</v>
      </c>
      <c r="AB157" s="105">
        <f t="shared" si="52"/>
        <v>185.05387648580901</v>
      </c>
      <c r="AC157" s="105">
        <f t="shared" si="52"/>
        <v>183.82458869476457</v>
      </c>
      <c r="AD157" s="105">
        <f t="shared" si="52"/>
        <v>182.60184147707841</v>
      </c>
      <c r="AE157" s="105">
        <f t="shared" si="52"/>
        <v>181.51832969918061</v>
      </c>
      <c r="AF157" s="105">
        <f t="shared" si="52"/>
        <v>180.58174773124324</v>
      </c>
      <c r="AG157" s="105">
        <f t="shared" si="52"/>
        <v>179.81031576357046</v>
      </c>
      <c r="AH157" s="105">
        <f t="shared" si="52"/>
        <v>179.24238271620916</v>
      </c>
    </row>
    <row r="158" spans="1:36" s="67" customFormat="1">
      <c r="A158" s="755" t="s">
        <v>257</v>
      </c>
      <c r="B158" s="58" t="s">
        <v>258</v>
      </c>
      <c r="C158" s="59" t="s">
        <v>153</v>
      </c>
      <c r="D158" s="60">
        <f>D149-D156*D149/D148</f>
        <v>99.242288388647026</v>
      </c>
      <c r="E158" s="60" t="e">
        <f t="shared" ref="E158:AH158" si="53">E149-E156*E149/E148</f>
        <v>#DIV/0!</v>
      </c>
      <c r="F158" s="60" t="e">
        <f t="shared" si="53"/>
        <v>#DIV/0!</v>
      </c>
      <c r="G158" s="60" t="e">
        <f t="shared" si="53"/>
        <v>#DIV/0!</v>
      </c>
      <c r="H158" s="60" t="e">
        <f t="shared" si="53"/>
        <v>#DIV/0!</v>
      </c>
      <c r="I158" s="60" t="e">
        <f t="shared" si="53"/>
        <v>#DIV/0!</v>
      </c>
      <c r="J158" s="60" t="e">
        <f t="shared" si="53"/>
        <v>#DIV/0!</v>
      </c>
      <c r="K158" s="60" t="e">
        <f t="shared" si="53"/>
        <v>#DIV/0!</v>
      </c>
      <c r="L158" s="60" t="e">
        <f t="shared" si="53"/>
        <v>#DIV/0!</v>
      </c>
      <c r="M158" s="60" t="e">
        <f t="shared" si="53"/>
        <v>#DIV/0!</v>
      </c>
      <c r="N158" s="60" t="e">
        <f t="shared" si="53"/>
        <v>#DIV/0!</v>
      </c>
      <c r="O158" s="60" t="e">
        <f t="shared" si="53"/>
        <v>#DIV/0!</v>
      </c>
      <c r="P158" s="60" t="e">
        <f t="shared" si="53"/>
        <v>#DIV/0!</v>
      </c>
      <c r="Q158" s="60" t="e">
        <f t="shared" si="53"/>
        <v>#DIV/0!</v>
      </c>
      <c r="R158" s="60" t="e">
        <f t="shared" si="53"/>
        <v>#DIV/0!</v>
      </c>
      <c r="S158" s="60" t="e">
        <f t="shared" si="53"/>
        <v>#DIV/0!</v>
      </c>
      <c r="T158" s="60" t="e">
        <f t="shared" si="53"/>
        <v>#DIV/0!</v>
      </c>
      <c r="U158" s="60" t="e">
        <f t="shared" si="53"/>
        <v>#DIV/0!</v>
      </c>
      <c r="V158" s="60" t="e">
        <f t="shared" si="53"/>
        <v>#DIV/0!</v>
      </c>
      <c r="W158" s="60" t="e">
        <f t="shared" si="53"/>
        <v>#DIV/0!</v>
      </c>
      <c r="X158" s="60" t="e">
        <f t="shared" si="53"/>
        <v>#DIV/0!</v>
      </c>
      <c r="Y158" s="60" t="e">
        <f t="shared" si="53"/>
        <v>#DIV/0!</v>
      </c>
      <c r="Z158" s="60" t="e">
        <f t="shared" si="53"/>
        <v>#DIV/0!</v>
      </c>
      <c r="AA158" s="60" t="e">
        <f t="shared" si="53"/>
        <v>#DIV/0!</v>
      </c>
      <c r="AB158" s="60" t="e">
        <f t="shared" si="53"/>
        <v>#DIV/0!</v>
      </c>
      <c r="AC158" s="60" t="e">
        <f t="shared" si="53"/>
        <v>#DIV/0!</v>
      </c>
      <c r="AD158" s="60" t="e">
        <f t="shared" si="53"/>
        <v>#DIV/0!</v>
      </c>
      <c r="AE158" s="60" t="e">
        <f t="shared" si="53"/>
        <v>#DIV/0!</v>
      </c>
      <c r="AF158" s="60" t="e">
        <f t="shared" si="53"/>
        <v>#DIV/0!</v>
      </c>
      <c r="AG158" s="60" t="e">
        <f t="shared" si="53"/>
        <v>#DIV/0!</v>
      </c>
      <c r="AH158" s="60" t="e">
        <f t="shared" si="53"/>
        <v>#DIV/0!</v>
      </c>
      <c r="AI158" s="60"/>
    </row>
    <row r="159" spans="1:36">
      <c r="A159" s="756"/>
      <c r="B159" s="1" t="s">
        <v>260</v>
      </c>
      <c r="C159" s="54" t="s">
        <v>153</v>
      </c>
      <c r="D159" s="44">
        <f>D163/('Demand Breakdown - Ethylene'!$K$14)</f>
        <v>24.959074315087449</v>
      </c>
      <c r="E159" s="44">
        <f>E163/('Demand Breakdown - Ethylene'!$K$14)</f>
        <v>25.454942357694247</v>
      </c>
      <c r="F159" s="44">
        <f>F163/('Demand Breakdown - Ethylene'!$K$14)</f>
        <v>26.234512920401407</v>
      </c>
      <c r="G159" s="44">
        <f>G163/('Demand Breakdown - Ethylene'!$K$14)</f>
        <v>27.486967950861597</v>
      </c>
      <c r="H159" s="44">
        <f>H163/('Demand Breakdown - Ethylene'!$K$14)</f>
        <v>26.824421198018754</v>
      </c>
      <c r="I159" s="44">
        <f>I163/('Demand Breakdown - Ethylene'!$K$14)</f>
        <v>27.346481362365807</v>
      </c>
      <c r="J159" s="44">
        <f>J163/('Demand Breakdown - Ethylene'!$K$14)</f>
        <v>27.798511285311776</v>
      </c>
      <c r="K159" s="44">
        <f>K163/('Demand Breakdown - Ethylene'!$K$14)</f>
        <v>28.262490483225726</v>
      </c>
      <c r="L159" s="44">
        <f>L163/('Demand Breakdown - Ethylene'!$K$14)</f>
        <v>28.738164003277262</v>
      </c>
      <c r="M159" s="44">
        <f>M163/('Demand Breakdown - Ethylene'!$K$14)</f>
        <v>29.224621419443039</v>
      </c>
      <c r="N159" s="44">
        <f>N163/('Demand Breakdown - Ethylene'!$K$14)</f>
        <v>29.719791632389168</v>
      </c>
      <c r="O159" s="44">
        <f>O163/('Demand Breakdown - Ethylene'!$K$14)</f>
        <v>29.677314681780587</v>
      </c>
      <c r="P159" s="44">
        <f>P163/('Demand Breakdown - Ethylene'!$K$14)</f>
        <v>29.633821729439287</v>
      </c>
      <c r="Q159" s="44">
        <f>Q163/('Demand Breakdown - Ethylene'!$K$14)</f>
        <v>29.588509563138174</v>
      </c>
      <c r="R159" s="44">
        <f>R163/('Demand Breakdown - Ethylene'!$K$14)</f>
        <v>29.541995913948494</v>
      </c>
      <c r="S159" s="44">
        <f>S163/('Demand Breakdown - Ethylene'!$K$14)</f>
        <v>29.481814901105071</v>
      </c>
      <c r="T159" s="44">
        <f>T163/('Demand Breakdown - Ethylene'!$K$14)</f>
        <v>29.37138452387773</v>
      </c>
      <c r="U159" s="44">
        <f>U163/('Demand Breakdown - Ethylene'!$K$14)</f>
        <v>29.244635160101666</v>
      </c>
      <c r="V159" s="44">
        <f>V163/('Demand Breakdown - Ethylene'!$K$14)</f>
        <v>29.110592417796791</v>
      </c>
      <c r="W159" s="44">
        <f>W163/('Demand Breakdown - Ethylene'!$K$14)</f>
        <v>28.979014989815049</v>
      </c>
      <c r="X159" s="44">
        <f>X163/('Demand Breakdown - Ethylene'!$K$14)</f>
        <v>28.85787235482206</v>
      </c>
      <c r="Y159" s="44">
        <f>Y163/('Demand Breakdown - Ethylene'!$K$14)</f>
        <v>28.439422950201656</v>
      </c>
      <c r="Z159" s="44">
        <f>Z163/('Demand Breakdown - Ethylene'!$K$14)</f>
        <v>28.031394226503132</v>
      </c>
      <c r="AA159" s="44">
        <f>AA163/('Demand Breakdown - Ethylene'!$K$14)</f>
        <v>27.633421157882935</v>
      </c>
      <c r="AB159" s="44">
        <f>AB163/('Demand Breakdown - Ethylene'!$K$14)</f>
        <v>27.24187143785943</v>
      </c>
      <c r="AC159" s="44">
        <f>AC163/('Demand Breakdown - Ethylene'!$K$14)</f>
        <v>26.849538812430641</v>
      </c>
      <c r="AD159" s="44">
        <f>AD163/('Demand Breakdown - Ethylene'!$K$14)</f>
        <v>26.423111523396283</v>
      </c>
      <c r="AE159" s="44">
        <f>AE163/('Demand Breakdown - Ethylene'!$K$14)</f>
        <v>25.970398149512551</v>
      </c>
      <c r="AF159" s="44">
        <f>AF163/('Demand Breakdown - Ethylene'!$K$14)</f>
        <v>25.476557891830129</v>
      </c>
      <c r="AG159" s="44">
        <f>AG163/('Demand Breakdown - Ethylene'!$K$14)</f>
        <v>24.930570353579903</v>
      </c>
      <c r="AH159" s="44">
        <f>AH163/('Demand Breakdown - Ethylene'!$K$14)</f>
        <v>24.331161112643624</v>
      </c>
      <c r="AI159" s="44"/>
    </row>
    <row r="160" spans="1:36">
      <c r="A160" s="756"/>
      <c r="B160" s="1" t="s">
        <v>262</v>
      </c>
      <c r="C160" s="54" t="s">
        <v>153</v>
      </c>
      <c r="D160" s="44">
        <f>D162/('Demand Breakdown - Ethylene'!$M$14)</f>
        <v>19.523072967408748</v>
      </c>
      <c r="E160" s="44" t="e">
        <f>E162/('Demand Breakdown - Ethylene'!$M$14)</f>
        <v>#DIV/0!</v>
      </c>
      <c r="F160" s="44" t="e">
        <f>F162/('Demand Breakdown - Ethylene'!$M$14)</f>
        <v>#DIV/0!</v>
      </c>
      <c r="G160" s="44" t="e">
        <f>G162/('Demand Breakdown - Ethylene'!$M$14)</f>
        <v>#DIV/0!</v>
      </c>
      <c r="H160" s="44" t="e">
        <f>H162/('Demand Breakdown - Ethylene'!$M$14)</f>
        <v>#DIV/0!</v>
      </c>
      <c r="I160" s="44" t="e">
        <f>I162/('Demand Breakdown - Ethylene'!$M$14)</f>
        <v>#DIV/0!</v>
      </c>
      <c r="J160" s="44" t="e">
        <f>J162/('Demand Breakdown - Ethylene'!$M$14)</f>
        <v>#DIV/0!</v>
      </c>
      <c r="K160" s="44" t="e">
        <f>K162/('Demand Breakdown - Ethylene'!$M$14)</f>
        <v>#DIV/0!</v>
      </c>
      <c r="L160" s="44" t="e">
        <f>L162/('Demand Breakdown - Ethylene'!$M$14)</f>
        <v>#DIV/0!</v>
      </c>
      <c r="M160" s="44" t="e">
        <f>M162/('Demand Breakdown - Ethylene'!$M$14)</f>
        <v>#DIV/0!</v>
      </c>
      <c r="N160" s="44" t="e">
        <f>N162/('Demand Breakdown - Ethylene'!$M$14)</f>
        <v>#DIV/0!</v>
      </c>
      <c r="O160" s="44" t="e">
        <f>O162/('Demand Breakdown - Ethylene'!$M$14)</f>
        <v>#DIV/0!</v>
      </c>
      <c r="P160" s="44" t="e">
        <f>P162/('Demand Breakdown - Ethylene'!$M$14)</f>
        <v>#DIV/0!</v>
      </c>
      <c r="Q160" s="44" t="e">
        <f>Q162/('Demand Breakdown - Ethylene'!$M$14)</f>
        <v>#DIV/0!</v>
      </c>
      <c r="R160" s="44" t="e">
        <f>R162/('Demand Breakdown - Ethylene'!$M$14)</f>
        <v>#DIV/0!</v>
      </c>
      <c r="S160" s="44" t="e">
        <f>S162/('Demand Breakdown - Ethylene'!$M$14)</f>
        <v>#DIV/0!</v>
      </c>
      <c r="T160" s="44" t="e">
        <f>T162/('Demand Breakdown - Ethylene'!$M$14)</f>
        <v>#DIV/0!</v>
      </c>
      <c r="U160" s="44" t="e">
        <f>U162/('Demand Breakdown - Ethylene'!$M$14)</f>
        <v>#DIV/0!</v>
      </c>
      <c r="V160" s="44" t="e">
        <f>V162/('Demand Breakdown - Ethylene'!$M$14)</f>
        <v>#DIV/0!</v>
      </c>
      <c r="W160" s="44" t="e">
        <f>W162/('Demand Breakdown - Ethylene'!$M$14)</f>
        <v>#DIV/0!</v>
      </c>
      <c r="X160" s="44" t="e">
        <f>X162/('Demand Breakdown - Ethylene'!$M$14)</f>
        <v>#DIV/0!</v>
      </c>
      <c r="Y160" s="44" t="e">
        <f>Y162/('Demand Breakdown - Ethylene'!$M$14)</f>
        <v>#DIV/0!</v>
      </c>
      <c r="Z160" s="44" t="e">
        <f>Z162/('Demand Breakdown - Ethylene'!$M$14)</f>
        <v>#DIV/0!</v>
      </c>
      <c r="AA160" s="44" t="e">
        <f>AA162/('Demand Breakdown - Ethylene'!$M$14)</f>
        <v>#DIV/0!</v>
      </c>
      <c r="AB160" s="44" t="e">
        <f>AB162/('Demand Breakdown - Ethylene'!$M$14)</f>
        <v>#DIV/0!</v>
      </c>
      <c r="AC160" s="44" t="e">
        <f>AC162/('Demand Breakdown - Ethylene'!$M$14)</f>
        <v>#DIV/0!</v>
      </c>
      <c r="AD160" s="44" t="e">
        <f>AD162/('Demand Breakdown - Ethylene'!$M$14)</f>
        <v>#DIV/0!</v>
      </c>
      <c r="AE160" s="44" t="e">
        <f>AE162/('Demand Breakdown - Ethylene'!$M$14)</f>
        <v>#DIV/0!</v>
      </c>
      <c r="AF160" s="44" t="e">
        <f>AF162/('Demand Breakdown - Ethylene'!$M$14)</f>
        <v>#DIV/0!</v>
      </c>
      <c r="AG160" s="44" t="e">
        <f>AG162/('Demand Breakdown - Ethylene'!$M$14)</f>
        <v>#DIV/0!</v>
      </c>
      <c r="AH160" s="44" t="e">
        <f>AH162/('Demand Breakdown - Ethylene'!$M$14)</f>
        <v>#DIV/0!</v>
      </c>
      <c r="AI160" s="44"/>
    </row>
    <row r="161" spans="1:46">
      <c r="A161" s="757"/>
      <c r="B161" s="1" t="s">
        <v>248</v>
      </c>
      <c r="C161" s="54" t="s">
        <v>153</v>
      </c>
      <c r="D161" s="44">
        <f>D157-D160-D159-D158</f>
        <v>18.967829557003625</v>
      </c>
      <c r="E161" s="44" t="e">
        <f t="shared" ref="E161:AH161" si="54">E157-E160-E159-E158</f>
        <v>#DIV/0!</v>
      </c>
      <c r="F161" s="44" t="e">
        <f t="shared" si="54"/>
        <v>#DIV/0!</v>
      </c>
      <c r="G161" s="44" t="e">
        <f t="shared" si="54"/>
        <v>#DIV/0!</v>
      </c>
      <c r="H161" s="44" t="e">
        <f t="shared" si="54"/>
        <v>#DIV/0!</v>
      </c>
      <c r="I161" s="44" t="e">
        <f t="shared" si="54"/>
        <v>#DIV/0!</v>
      </c>
      <c r="J161" s="44" t="e">
        <f t="shared" si="54"/>
        <v>#DIV/0!</v>
      </c>
      <c r="K161" s="44" t="e">
        <f t="shared" si="54"/>
        <v>#DIV/0!</v>
      </c>
      <c r="L161" s="44" t="e">
        <f t="shared" si="54"/>
        <v>#DIV/0!</v>
      </c>
      <c r="M161" s="44" t="e">
        <f t="shared" si="54"/>
        <v>#DIV/0!</v>
      </c>
      <c r="N161" s="44" t="e">
        <f t="shared" si="54"/>
        <v>#DIV/0!</v>
      </c>
      <c r="O161" s="44" t="e">
        <f t="shared" si="54"/>
        <v>#DIV/0!</v>
      </c>
      <c r="P161" s="44" t="e">
        <f t="shared" si="54"/>
        <v>#DIV/0!</v>
      </c>
      <c r="Q161" s="44" t="e">
        <f t="shared" si="54"/>
        <v>#DIV/0!</v>
      </c>
      <c r="R161" s="44" t="e">
        <f t="shared" si="54"/>
        <v>#DIV/0!</v>
      </c>
      <c r="S161" s="44" t="e">
        <f t="shared" si="54"/>
        <v>#DIV/0!</v>
      </c>
      <c r="T161" s="44" t="e">
        <f t="shared" si="54"/>
        <v>#DIV/0!</v>
      </c>
      <c r="U161" s="44" t="e">
        <f t="shared" si="54"/>
        <v>#DIV/0!</v>
      </c>
      <c r="V161" s="44" t="e">
        <f t="shared" si="54"/>
        <v>#DIV/0!</v>
      </c>
      <c r="W161" s="44" t="e">
        <f t="shared" si="54"/>
        <v>#DIV/0!</v>
      </c>
      <c r="X161" s="44" t="e">
        <f t="shared" si="54"/>
        <v>#DIV/0!</v>
      </c>
      <c r="Y161" s="44" t="e">
        <f t="shared" si="54"/>
        <v>#DIV/0!</v>
      </c>
      <c r="Z161" s="44" t="e">
        <f t="shared" si="54"/>
        <v>#DIV/0!</v>
      </c>
      <c r="AA161" s="44" t="e">
        <f t="shared" si="54"/>
        <v>#DIV/0!</v>
      </c>
      <c r="AB161" s="44" t="e">
        <f t="shared" si="54"/>
        <v>#DIV/0!</v>
      </c>
      <c r="AC161" s="44" t="e">
        <f t="shared" si="54"/>
        <v>#DIV/0!</v>
      </c>
      <c r="AD161" s="44" t="e">
        <f t="shared" si="54"/>
        <v>#DIV/0!</v>
      </c>
      <c r="AE161" s="44" t="e">
        <f t="shared" si="54"/>
        <v>#DIV/0!</v>
      </c>
      <c r="AF161" s="44" t="e">
        <f t="shared" si="54"/>
        <v>#DIV/0!</v>
      </c>
      <c r="AG161" s="44" t="e">
        <f t="shared" si="54"/>
        <v>#DIV/0!</v>
      </c>
      <c r="AH161" s="44" t="e">
        <f t="shared" si="54"/>
        <v>#DIV/0!</v>
      </c>
      <c r="AI161" s="44"/>
    </row>
    <row r="162" spans="1:46" s="67" customFormat="1">
      <c r="A162" s="758" t="s">
        <v>263</v>
      </c>
      <c r="B162" s="58" t="s">
        <v>264</v>
      </c>
      <c r="C162" s="59" t="s">
        <v>153</v>
      </c>
      <c r="D162" s="60">
        <f>D153-D156*D151/D148</f>
        <v>18.742150048712396</v>
      </c>
      <c r="E162" s="60" t="e">
        <f t="shared" ref="E162:AH162" si="55">E153-E156*E151/E148</f>
        <v>#DIV/0!</v>
      </c>
      <c r="F162" s="60" t="e">
        <f t="shared" si="55"/>
        <v>#DIV/0!</v>
      </c>
      <c r="G162" s="60" t="e">
        <f t="shared" si="55"/>
        <v>#DIV/0!</v>
      </c>
      <c r="H162" s="60" t="e">
        <f t="shared" si="55"/>
        <v>#DIV/0!</v>
      </c>
      <c r="I162" s="60" t="e">
        <f t="shared" si="55"/>
        <v>#DIV/0!</v>
      </c>
      <c r="J162" s="60" t="e">
        <f t="shared" si="55"/>
        <v>#DIV/0!</v>
      </c>
      <c r="K162" s="60" t="e">
        <f t="shared" si="55"/>
        <v>#DIV/0!</v>
      </c>
      <c r="L162" s="60" t="e">
        <f t="shared" si="55"/>
        <v>#DIV/0!</v>
      </c>
      <c r="M162" s="60" t="e">
        <f t="shared" si="55"/>
        <v>#DIV/0!</v>
      </c>
      <c r="N162" s="60" t="e">
        <f t="shared" si="55"/>
        <v>#DIV/0!</v>
      </c>
      <c r="O162" s="60" t="e">
        <f t="shared" si="55"/>
        <v>#DIV/0!</v>
      </c>
      <c r="P162" s="60" t="e">
        <f t="shared" si="55"/>
        <v>#DIV/0!</v>
      </c>
      <c r="Q162" s="60" t="e">
        <f t="shared" si="55"/>
        <v>#DIV/0!</v>
      </c>
      <c r="R162" s="60" t="e">
        <f t="shared" si="55"/>
        <v>#DIV/0!</v>
      </c>
      <c r="S162" s="60" t="e">
        <f t="shared" si="55"/>
        <v>#DIV/0!</v>
      </c>
      <c r="T162" s="60" t="e">
        <f t="shared" si="55"/>
        <v>#DIV/0!</v>
      </c>
      <c r="U162" s="60" t="e">
        <f t="shared" si="55"/>
        <v>#DIV/0!</v>
      </c>
      <c r="V162" s="60" t="e">
        <f t="shared" si="55"/>
        <v>#DIV/0!</v>
      </c>
      <c r="W162" s="60" t="e">
        <f t="shared" si="55"/>
        <v>#DIV/0!</v>
      </c>
      <c r="X162" s="60" t="e">
        <f t="shared" si="55"/>
        <v>#DIV/0!</v>
      </c>
      <c r="Y162" s="60" t="e">
        <f t="shared" si="55"/>
        <v>#DIV/0!</v>
      </c>
      <c r="Z162" s="60" t="e">
        <f t="shared" si="55"/>
        <v>#DIV/0!</v>
      </c>
      <c r="AA162" s="60" t="e">
        <f t="shared" si="55"/>
        <v>#DIV/0!</v>
      </c>
      <c r="AB162" s="60" t="e">
        <f t="shared" si="55"/>
        <v>#DIV/0!</v>
      </c>
      <c r="AC162" s="60" t="e">
        <f t="shared" si="55"/>
        <v>#DIV/0!</v>
      </c>
      <c r="AD162" s="60" t="e">
        <f t="shared" si="55"/>
        <v>#DIV/0!</v>
      </c>
      <c r="AE162" s="60" t="e">
        <f t="shared" si="55"/>
        <v>#DIV/0!</v>
      </c>
      <c r="AF162" s="60" t="e">
        <f t="shared" si="55"/>
        <v>#DIV/0!</v>
      </c>
      <c r="AG162" s="60" t="e">
        <f t="shared" si="55"/>
        <v>#DIV/0!</v>
      </c>
      <c r="AH162" s="60" t="e">
        <f t="shared" si="55"/>
        <v>#DIV/0!</v>
      </c>
      <c r="AI162" s="60"/>
    </row>
    <row r="163" spans="1:46" s="68" customFormat="1">
      <c r="A163" s="759"/>
      <c r="B163" s="62" t="s">
        <v>266</v>
      </c>
      <c r="C163" s="283" t="s">
        <v>153</v>
      </c>
      <c r="D163" s="284">
        <f>D154-D155-D156*D150/D148</f>
        <v>15.260523212374633</v>
      </c>
      <c r="E163" s="284">
        <f t="shared" ref="E163:AH163" si="56">E154-E155-E156*E150/E148</f>
        <v>15.563707764772134</v>
      </c>
      <c r="F163" s="284">
        <f t="shared" si="56"/>
        <v>16.040354234817109</v>
      </c>
      <c r="G163" s="284">
        <f t="shared" si="56"/>
        <v>16.806132597568304</v>
      </c>
      <c r="H163" s="284">
        <f t="shared" si="56"/>
        <v>16.40103704100234</v>
      </c>
      <c r="I163" s="284">
        <f t="shared" si="56"/>
        <v>16.720236028741176</v>
      </c>
      <c r="J163" s="284">
        <f t="shared" si="56"/>
        <v>16.99661699723066</v>
      </c>
      <c r="K163" s="284">
        <f t="shared" si="56"/>
        <v>17.280304013441221</v>
      </c>
      <c r="L163" s="284">
        <f t="shared" si="56"/>
        <v>17.57114119364347</v>
      </c>
      <c r="M163" s="284">
        <f t="shared" si="56"/>
        <v>17.868571883480477</v>
      </c>
      <c r="N163" s="284">
        <f t="shared" si="56"/>
        <v>18.171329767580893</v>
      </c>
      <c r="O163" s="284">
        <f t="shared" si="56"/>
        <v>18.145358432163164</v>
      </c>
      <c r="P163" s="284">
        <f t="shared" si="56"/>
        <v>18.118765891093727</v>
      </c>
      <c r="Q163" s="284">
        <f t="shared" si="56"/>
        <v>18.091061042872528</v>
      </c>
      <c r="R163" s="284">
        <f t="shared" si="56"/>
        <v>18.062621581769505</v>
      </c>
      <c r="S163" s="284">
        <f t="shared" si="56"/>
        <v>18.025825595995062</v>
      </c>
      <c r="T163" s="284">
        <f t="shared" si="56"/>
        <v>17.958306051249348</v>
      </c>
      <c r="U163" s="284">
        <f t="shared" si="56"/>
        <v>17.880808721675347</v>
      </c>
      <c r="V163" s="284">
        <f t="shared" si="56"/>
        <v>17.798852061161003</v>
      </c>
      <c r="W163" s="284">
        <f t="shared" si="56"/>
        <v>17.718402747673196</v>
      </c>
      <c r="X163" s="284">
        <f t="shared" si="56"/>
        <v>17.644333494543837</v>
      </c>
      <c r="Y163" s="284">
        <f t="shared" si="56"/>
        <v>17.388484388451232</v>
      </c>
      <c r="Z163" s="284">
        <f t="shared" si="56"/>
        <v>17.139006714291138</v>
      </c>
      <c r="AA163" s="284">
        <f t="shared" si="56"/>
        <v>16.895677287289622</v>
      </c>
      <c r="AB163" s="284">
        <f t="shared" si="56"/>
        <v>16.65627523592406</v>
      </c>
      <c r="AC163" s="284">
        <f t="shared" si="56"/>
        <v>16.416394499092856</v>
      </c>
      <c r="AD163" s="284">
        <f t="shared" si="56"/>
        <v>16.155667540210207</v>
      </c>
      <c r="AE163" s="284">
        <f t="shared" si="56"/>
        <v>15.87886869488889</v>
      </c>
      <c r="AF163" s="284">
        <f t="shared" si="56"/>
        <v>15.576923974486656</v>
      </c>
      <c r="AG163" s="284">
        <f t="shared" si="56"/>
        <v>15.243095267702518</v>
      </c>
      <c r="AH163" s="284">
        <f t="shared" si="56"/>
        <v>14.876603365016427</v>
      </c>
      <c r="AI163" s="284"/>
    </row>
    <row r="164" spans="1:46" s="426" customFormat="1">
      <c r="A164" s="425" t="s">
        <v>233</v>
      </c>
      <c r="C164" s="429" t="s">
        <v>153</v>
      </c>
      <c r="D164" s="430">
        <f>'Ethylene Recycling LC'!C278</f>
        <v>15.604941930162472</v>
      </c>
      <c r="E164" s="430">
        <f>'Ethylene Recycling LC'!D278</f>
        <v>16.278222371309948</v>
      </c>
      <c r="F164" s="430">
        <f>'Ethylene Recycling LC'!E278</f>
        <v>16.944166396227661</v>
      </c>
      <c r="G164" s="430">
        <f>'Ethylene Recycling LC'!F278</f>
        <v>17.599249778703275</v>
      </c>
      <c r="H164" s="430">
        <f>'Ethylene Recycling LC'!G278</f>
        <v>18.239795836735052</v>
      </c>
      <c r="I164" s="430">
        <f>'Ethylene Recycling LC'!H278</f>
        <v>18.861956612225502</v>
      </c>
      <c r="J164" s="430">
        <f>'Ethylene Recycling LC'!I278</f>
        <v>19.503642760330209</v>
      </c>
      <c r="K164" s="430">
        <f>'Ethylene Recycling LC'!J278</f>
        <v>20.164361983061262</v>
      </c>
      <c r="L164" s="430">
        <f>'Ethylene Recycling LC'!K278</f>
        <v>20.84293542435751</v>
      </c>
      <c r="M164" s="430">
        <f>'Ethylene Recycling LC'!L278</f>
        <v>21.537032898558351</v>
      </c>
      <c r="N164" s="430">
        <f>'Ethylene Recycling LC'!M278</f>
        <v>22.242335705500714</v>
      </c>
      <c r="O164" s="430">
        <f>'Ethylene Recycling LC'!N278</f>
        <v>21.693672021096013</v>
      </c>
      <c r="P164" s="430">
        <f>'Ethylene Recycling LC'!O278</f>
        <v>21.075538130692031</v>
      </c>
      <c r="Q164" s="430">
        <f>'Ethylene Recycling LC'!P278</f>
        <v>20.385923289768943</v>
      </c>
      <c r="R164" s="430">
        <f>'Ethylene Recycling LC'!Q278</f>
        <v>19.625260984535029</v>
      </c>
      <c r="S164" s="430">
        <f>'Ethylene Recycling LC'!R278</f>
        <v>19.931640990573918</v>
      </c>
      <c r="T164" s="430">
        <f>'Ethylene Recycling LC'!S278</f>
        <v>20.575144046992076</v>
      </c>
      <c r="U164" s="430">
        <f>'Ethylene Recycling LC'!T278</f>
        <v>21.141998338044708</v>
      </c>
      <c r="V164" s="430">
        <f>'Ethylene Recycling LC'!U278</f>
        <v>21.646743585280017</v>
      </c>
      <c r="W164" s="430">
        <f>'Ethylene Recycling LC'!V278</f>
        <v>22.105020253466535</v>
      </c>
      <c r="X164" s="430">
        <f>'Ethylene Recycling LC'!W278</f>
        <v>22.529410283093522</v>
      </c>
      <c r="Y164" s="430">
        <f>'Ethylene Recycling LC'!X278</f>
        <v>23.586221055820346</v>
      </c>
      <c r="Z164" s="430">
        <f>'Ethylene Recycling LC'!Y278</f>
        <v>24.579682013228901</v>
      </c>
      <c r="AA164" s="430">
        <f>'Ethylene Recycling LC'!Z278</f>
        <v>25.509569189795648</v>
      </c>
      <c r="AB164" s="430">
        <f>'Ethylene Recycling LC'!AA278</f>
        <v>26.368278142611853</v>
      </c>
      <c r="AC164" s="430">
        <f>'Ethylene Recycling LC'!AB278</f>
        <v>27.143608943254222</v>
      </c>
      <c r="AD164" s="430">
        <f>'Ethylene Recycling LC'!AC278</f>
        <v>27.818051493158023</v>
      </c>
      <c r="AE164" s="430">
        <f>'Ethylene Recycling LC'!AD278</f>
        <v>28.369322564115009</v>
      </c>
      <c r="AF164" s="430">
        <f>'Ethylene Recycling LC'!AE278</f>
        <v>28.774379290135684</v>
      </c>
      <c r="AG164" s="430">
        <f>'Ethylene Recycling LC'!AF278</f>
        <v>29.016770765202676</v>
      </c>
      <c r="AH164" s="430">
        <f>'Ethylene Recycling LC'!AG278</f>
        <v>29.095717309481842</v>
      </c>
      <c r="AI164" s="430"/>
    </row>
    <row r="165" spans="1:46" s="428" customFormat="1">
      <c r="A165" s="427" t="s">
        <v>234</v>
      </c>
      <c r="C165" s="431" t="s">
        <v>153</v>
      </c>
      <c r="D165" s="432">
        <f>'Ethylene Recycling LC'!C279</f>
        <v>102.73927251328456</v>
      </c>
      <c r="E165" s="432">
        <f>'Ethylene Recycling LC'!D279</f>
        <v>105.91196816124187</v>
      </c>
      <c r="F165" s="432">
        <f>'Ethylene Recycling LC'!E279</f>
        <v>108.90038929354385</v>
      </c>
      <c r="G165" s="432">
        <f>'Ethylene Recycling LC'!F279</f>
        <v>111.68384037514244</v>
      </c>
      <c r="H165" s="432">
        <f>'Ethylene Recycling LC'!G279</f>
        <v>114.24264791507308</v>
      </c>
      <c r="I165" s="432">
        <f>'Ethylene Recycling LC'!H279</f>
        <v>116.55834172161359</v>
      </c>
      <c r="J165" s="432">
        <f>'Ethylene Recycling LC'!I279</f>
        <v>118.86968661388154</v>
      </c>
      <c r="K165" s="432">
        <f>'Ethylene Recycling LC'!J279</f>
        <v>121.17382915899151</v>
      </c>
      <c r="L165" s="432">
        <f>'Ethylene Recycling LC'!K279</f>
        <v>123.46722351549997</v>
      </c>
      <c r="M165" s="432">
        <f>'Ethylene Recycling LC'!L279</f>
        <v>125.74517172974979</v>
      </c>
      <c r="N165" s="432">
        <f>'Ethylene Recycling LC'!M279</f>
        <v>128.00099173455646</v>
      </c>
      <c r="O165" s="432">
        <f>'Ethylene Recycling LC'!N279</f>
        <v>128.813672124026</v>
      </c>
      <c r="P165" s="432">
        <f>'Ethylene Recycling LC'!O279</f>
        <v>129.35933851455027</v>
      </c>
      <c r="Q165" s="432">
        <f>'Ethylene Recycling LC'!P279</f>
        <v>129.63033179081495</v>
      </c>
      <c r="R165" s="432">
        <f>'Ethylene Recycling LC'!Q279</f>
        <v>129.61926840324972</v>
      </c>
      <c r="S165" s="432">
        <f>'Ethylene Recycling LC'!R279</f>
        <v>129.30049158847879</v>
      </c>
      <c r="T165" s="432">
        <f>'Ethylene Recycling LC'!S279</f>
        <v>128.90915972072486</v>
      </c>
      <c r="U165" s="432">
        <f>'Ethylene Recycling LC'!T279</f>
        <v>128.46117609508616</v>
      </c>
      <c r="V165" s="432">
        <f>'Ethylene Recycling LC'!U279</f>
        <v>127.97136713057104</v>
      </c>
      <c r="W165" s="432">
        <f>'Ethylene Recycling LC'!V279</f>
        <v>127.4556518135053</v>
      </c>
      <c r="X165" s="432">
        <f>'Ethylene Recycling LC'!W279</f>
        <v>126.92688214260123</v>
      </c>
      <c r="Y165" s="432">
        <f>'Ethylene Recycling LC'!X279</f>
        <v>124.60447582264618</v>
      </c>
      <c r="Z165" s="432">
        <f>'Ethylene Recycling LC'!Y279</f>
        <v>122.24556867273658</v>
      </c>
      <c r="AA165" s="432">
        <f>'Ethylene Recycling LC'!Z279</f>
        <v>119.85545133317345</v>
      </c>
      <c r="AB165" s="432">
        <f>'Ethylene Recycling LC'!AA279</f>
        <v>117.42196932803965</v>
      </c>
      <c r="AC165" s="432">
        <f>'Ethylene Recycling LC'!AB279</f>
        <v>114.93360766124623</v>
      </c>
      <c r="AD165" s="432">
        <f>'Ethylene Recycling LC'!AC279</f>
        <v>112.37433403499772</v>
      </c>
      <c r="AE165" s="432">
        <f>'Ethylene Recycling LC'!AD279</f>
        <v>109.72244676830621</v>
      </c>
      <c r="AF165" s="432">
        <f>'Ethylene Recycling LC'!AE279</f>
        <v>106.95547869055059</v>
      </c>
      <c r="AG165" s="432">
        <f>'Ethylene Recycling LC'!AF279</f>
        <v>104.05754835720681</v>
      </c>
      <c r="AH165" s="432">
        <f>'Ethylene Recycling LC'!AG279</f>
        <v>101.0284389381673</v>
      </c>
      <c r="AI165" s="432"/>
    </row>
    <row r="166" spans="1:46" hidden="1">
      <c r="A166" t="s">
        <v>277</v>
      </c>
      <c r="B166"/>
      <c r="C166" s="54"/>
      <c r="D166" s="44">
        <f>'Ethylene Recycling LC'!C280</f>
        <v>0</v>
      </c>
      <c r="E166" s="44">
        <f>'Ethylene Recycling LC'!D280</f>
        <v>0</v>
      </c>
      <c r="F166" s="44">
        <f>'Ethylene Recycling LC'!E280</f>
        <v>0</v>
      </c>
      <c r="G166" s="44">
        <f>'Ethylene Recycling LC'!F280</f>
        <v>0</v>
      </c>
      <c r="H166" s="44">
        <f>'Ethylene Recycling LC'!G280</f>
        <v>0</v>
      </c>
      <c r="I166" s="44">
        <f>'Ethylene Recycling LC'!H280</f>
        <v>0</v>
      </c>
      <c r="J166" s="44">
        <f>'Ethylene Recycling LC'!I280</f>
        <v>0</v>
      </c>
      <c r="K166" s="44">
        <f>'Ethylene Recycling LC'!J280</f>
        <v>0</v>
      </c>
      <c r="L166" s="44">
        <f>'Ethylene Recycling LC'!K280</f>
        <v>0</v>
      </c>
      <c r="M166" s="44">
        <f>'Ethylene Recycling LC'!L280</f>
        <v>0</v>
      </c>
      <c r="N166" s="44">
        <f>'Ethylene Recycling LC'!M280</f>
        <v>0</v>
      </c>
      <c r="O166" s="44">
        <f>'Ethylene Recycling LC'!N280</f>
        <v>0</v>
      </c>
      <c r="P166" s="44">
        <f>'Ethylene Recycling LC'!O280</f>
        <v>0</v>
      </c>
      <c r="Q166" s="44">
        <f>'Ethylene Recycling LC'!P280</f>
        <v>0</v>
      </c>
      <c r="R166" s="44">
        <f>'Ethylene Recycling LC'!Q280</f>
        <v>0</v>
      </c>
      <c r="S166" s="44">
        <f>'Ethylene Recycling LC'!R280</f>
        <v>0</v>
      </c>
      <c r="T166" s="44">
        <f>'Ethylene Recycling LC'!S280</f>
        <v>0</v>
      </c>
      <c r="U166" s="44">
        <f>'Ethylene Recycling LC'!T280</f>
        <v>0</v>
      </c>
      <c r="V166" s="44">
        <f>'Ethylene Recycling LC'!U280</f>
        <v>0</v>
      </c>
      <c r="W166" s="44">
        <f>'Ethylene Recycling LC'!V280</f>
        <v>0</v>
      </c>
      <c r="X166" s="44">
        <f>'Ethylene Recycling LC'!W280</f>
        <v>0</v>
      </c>
      <c r="Y166" s="44">
        <f>'Ethylene Recycling LC'!X280</f>
        <v>0</v>
      </c>
      <c r="Z166" s="44">
        <f>'Ethylene Recycling LC'!Y280</f>
        <v>0</v>
      </c>
      <c r="AA166" s="44">
        <f>'Ethylene Recycling LC'!Z280</f>
        <v>0</v>
      </c>
      <c r="AB166" s="44">
        <f>'Ethylene Recycling LC'!AA280</f>
        <v>0</v>
      </c>
      <c r="AC166" s="44">
        <f>'Ethylene Recycling LC'!AB280</f>
        <v>0</v>
      </c>
      <c r="AD166" s="44">
        <f>'Ethylene Recycling LC'!AC280</f>
        <v>0</v>
      </c>
      <c r="AE166" s="44">
        <f>'Ethylene Recycling LC'!AD280</f>
        <v>0</v>
      </c>
      <c r="AF166" s="44">
        <f>'Ethylene Recycling LC'!AE280</f>
        <v>0</v>
      </c>
      <c r="AG166" s="44">
        <f>'Ethylene Recycling LC'!AF280</f>
        <v>0</v>
      </c>
      <c r="AH166" s="44">
        <f>'Ethylene Recycling LC'!AG280</f>
        <v>0</v>
      </c>
    </row>
    <row r="167" spans="1:46" hidden="1">
      <c r="A167" t="s">
        <v>278</v>
      </c>
      <c r="B167"/>
      <c r="C167" s="54"/>
      <c r="D167" s="44">
        <f>'Ethylene Recycling LC'!C281</f>
        <v>0</v>
      </c>
      <c r="E167" s="44">
        <f>'Ethylene Recycling LC'!D281</f>
        <v>0</v>
      </c>
      <c r="F167" s="44">
        <f>'Ethylene Recycling LC'!E281</f>
        <v>0</v>
      </c>
      <c r="G167" s="44">
        <f>'Ethylene Recycling LC'!F281</f>
        <v>0</v>
      </c>
      <c r="H167" s="44">
        <f>'Ethylene Recycling LC'!G281</f>
        <v>0</v>
      </c>
      <c r="I167" s="44">
        <f>'Ethylene Recycling LC'!H281</f>
        <v>0</v>
      </c>
      <c r="J167" s="44">
        <f>'Ethylene Recycling LC'!I281</f>
        <v>0</v>
      </c>
      <c r="K167" s="44">
        <f>'Ethylene Recycling LC'!J281</f>
        <v>0</v>
      </c>
      <c r="L167" s="44">
        <f>'Ethylene Recycling LC'!K281</f>
        <v>0</v>
      </c>
      <c r="M167" s="44">
        <f>'Ethylene Recycling LC'!L281</f>
        <v>0</v>
      </c>
      <c r="N167" s="44">
        <f>'Ethylene Recycling LC'!M281</f>
        <v>0</v>
      </c>
      <c r="O167" s="44">
        <f>'Ethylene Recycling LC'!N281</f>
        <v>0</v>
      </c>
      <c r="P167" s="44">
        <f>'Ethylene Recycling LC'!O281</f>
        <v>0</v>
      </c>
      <c r="Q167" s="44">
        <f>'Ethylene Recycling LC'!P281</f>
        <v>0</v>
      </c>
      <c r="R167" s="44">
        <f>'Ethylene Recycling LC'!Q281</f>
        <v>0</v>
      </c>
      <c r="S167" s="44">
        <f>'Ethylene Recycling LC'!R281</f>
        <v>0</v>
      </c>
      <c r="T167" s="44">
        <f>'Ethylene Recycling LC'!S281</f>
        <v>0</v>
      </c>
      <c r="U167" s="44">
        <f>'Ethylene Recycling LC'!T281</f>
        <v>0</v>
      </c>
      <c r="V167" s="44">
        <f>'Ethylene Recycling LC'!U281</f>
        <v>0</v>
      </c>
      <c r="W167" s="44">
        <f>'Ethylene Recycling LC'!V281</f>
        <v>0</v>
      </c>
      <c r="X167" s="44">
        <f>'Ethylene Recycling LC'!W281</f>
        <v>0</v>
      </c>
      <c r="Y167" s="44">
        <f>'Ethylene Recycling LC'!X281</f>
        <v>0</v>
      </c>
      <c r="Z167" s="44">
        <f>'Ethylene Recycling LC'!Y281</f>
        <v>0</v>
      </c>
      <c r="AA167" s="44">
        <f>'Ethylene Recycling LC'!Z281</f>
        <v>0</v>
      </c>
      <c r="AB167" s="44">
        <f>'Ethylene Recycling LC'!AA281</f>
        <v>0</v>
      </c>
      <c r="AC167" s="44">
        <f>'Ethylene Recycling LC'!AB281</f>
        <v>0</v>
      </c>
      <c r="AD167" s="44">
        <f>'Ethylene Recycling LC'!AC281</f>
        <v>0</v>
      </c>
      <c r="AE167" s="44">
        <f>'Ethylene Recycling LC'!AD281</f>
        <v>0</v>
      </c>
      <c r="AF167" s="44">
        <f>'Ethylene Recycling LC'!AE281</f>
        <v>0</v>
      </c>
      <c r="AG167" s="44">
        <f>'Ethylene Recycling LC'!AF281</f>
        <v>0</v>
      </c>
      <c r="AH167" s="44" t="str">
        <f>'Ethylene Recycling LC'!AG281</f>
        <v>From Plastics Europe facts 2020 (EU data for 2019)</v>
      </c>
    </row>
    <row r="168" spans="1:46" hidden="1">
      <c r="A168" t="s">
        <v>279</v>
      </c>
      <c r="B168"/>
      <c r="C168" s="54"/>
      <c r="D168" s="244">
        <f>'Ethylene Recycling LC'!C282</f>
        <v>14.348994409010164</v>
      </c>
      <c r="E168" s="244">
        <f>'Ethylene Recycling LC'!D282</f>
        <v>0</v>
      </c>
      <c r="F168" s="244">
        <f>'Ethylene Recycling LC'!E282</f>
        <v>0</v>
      </c>
      <c r="G168" s="244">
        <f>'Ethylene Recycling LC'!F282</f>
        <v>0</v>
      </c>
      <c r="H168" s="244">
        <f>'Ethylene Recycling LC'!G282</f>
        <v>0</v>
      </c>
      <c r="I168" s="244">
        <f>'Ethylene Recycling LC'!H282</f>
        <v>0</v>
      </c>
      <c r="J168" s="244">
        <f>'Ethylene Recycling LC'!I282</f>
        <v>0</v>
      </c>
      <c r="K168" s="244">
        <f>'Ethylene Recycling LC'!J282</f>
        <v>0</v>
      </c>
      <c r="L168" s="244">
        <f>'Ethylene Recycling LC'!K282</f>
        <v>0</v>
      </c>
      <c r="M168" s="244">
        <f>'Ethylene Recycling LC'!L282</f>
        <v>0</v>
      </c>
      <c r="N168" s="244">
        <f>'Ethylene Recycling LC'!M282</f>
        <v>0.39980093750123691</v>
      </c>
      <c r="O168" s="244">
        <f>'Ethylene Recycling LC'!N282</f>
        <v>0</v>
      </c>
      <c r="P168" s="244">
        <f>'Ethylene Recycling LC'!O282</f>
        <v>0</v>
      </c>
      <c r="Q168" s="244">
        <f>'Ethylene Recycling LC'!P282</f>
        <v>0</v>
      </c>
      <c r="R168" s="244">
        <f>'Ethylene Recycling LC'!Q282</f>
        <v>0</v>
      </c>
      <c r="S168" s="244">
        <f>'Ethylene Recycling LC'!R282</f>
        <v>0</v>
      </c>
      <c r="T168" s="244">
        <f>'Ethylene Recycling LC'!S282</f>
        <v>0</v>
      </c>
      <c r="U168" s="244">
        <f>'Ethylene Recycling LC'!T282</f>
        <v>0</v>
      </c>
      <c r="V168" s="244">
        <f>'Ethylene Recycling LC'!U282</f>
        <v>0</v>
      </c>
      <c r="W168" s="244">
        <f>'Ethylene Recycling LC'!V282</f>
        <v>0</v>
      </c>
      <c r="X168" s="244">
        <f>'Ethylene Recycling LC'!W282</f>
        <v>0</v>
      </c>
      <c r="Y168" s="244">
        <f>'Ethylene Recycling LC'!X282</f>
        <v>0</v>
      </c>
      <c r="Z168" s="244">
        <f>'Ethylene Recycling LC'!Y282</f>
        <v>0</v>
      </c>
      <c r="AA168" s="244">
        <f>'Ethylene Recycling LC'!Z282</f>
        <v>0</v>
      </c>
      <c r="AB168" s="244">
        <f>'Ethylene Recycling LC'!AA282</f>
        <v>0</v>
      </c>
      <c r="AC168" s="244">
        <f>'Ethylene Recycling LC'!AB282</f>
        <v>0</v>
      </c>
      <c r="AD168" s="244">
        <f>'Ethylene Recycling LC'!AC282</f>
        <v>0</v>
      </c>
      <c r="AE168" s="244">
        <f>'Ethylene Recycling LC'!AD282</f>
        <v>0</v>
      </c>
      <c r="AF168" s="244">
        <f>'Ethylene Recycling LC'!AE282</f>
        <v>0</v>
      </c>
      <c r="AG168" s="244">
        <f>'Ethylene Recycling LC'!AF282</f>
        <v>0</v>
      </c>
      <c r="AH168" s="244">
        <f>'Ethylene Recycling LC'!AG282</f>
        <v>0.46</v>
      </c>
    </row>
    <row r="169" spans="1:46" hidden="1">
      <c r="A169" t="s">
        <v>280</v>
      </c>
      <c r="B169"/>
      <c r="C169" s="54"/>
      <c r="D169" s="244">
        <f>'Ethylene Recycling LC'!C283</f>
        <v>9.0743320403108019</v>
      </c>
      <c r="E169" s="244">
        <f>'Ethylene Recycling LC'!D283</f>
        <v>0</v>
      </c>
      <c r="F169" s="244">
        <f>'Ethylene Recycling LC'!E283</f>
        <v>0</v>
      </c>
      <c r="G169" s="244">
        <f>'Ethylene Recycling LC'!F283</f>
        <v>0</v>
      </c>
      <c r="H169" s="244">
        <f>'Ethylene Recycling LC'!G283</f>
        <v>0</v>
      </c>
      <c r="I169" s="244">
        <f>'Ethylene Recycling LC'!H283</f>
        <v>0</v>
      </c>
      <c r="J169" s="244">
        <f>'Ethylene Recycling LC'!I283</f>
        <v>0</v>
      </c>
      <c r="K169" s="244">
        <f>'Ethylene Recycling LC'!J283</f>
        <v>0</v>
      </c>
      <c r="L169" s="244">
        <f>'Ethylene Recycling LC'!K283</f>
        <v>0</v>
      </c>
      <c r="M169" s="244">
        <f>'Ethylene Recycling LC'!L283</f>
        <v>0</v>
      </c>
      <c r="N169" s="244">
        <f>'Ethylene Recycling LC'!M283</f>
        <v>0.25283489236260948</v>
      </c>
      <c r="O169" s="244">
        <f>'Ethylene Recycling LC'!N283</f>
        <v>0</v>
      </c>
      <c r="P169" s="244">
        <f>'Ethylene Recycling LC'!O283</f>
        <v>0</v>
      </c>
      <c r="Q169" s="244">
        <f>'Ethylene Recycling LC'!P283</f>
        <v>0</v>
      </c>
      <c r="R169" s="244">
        <f>'Ethylene Recycling LC'!Q283</f>
        <v>0</v>
      </c>
      <c r="S169" s="244">
        <f>'Ethylene Recycling LC'!R283</f>
        <v>0</v>
      </c>
      <c r="T169" s="244">
        <f>'Ethylene Recycling LC'!S283</f>
        <v>0</v>
      </c>
      <c r="U169" s="244">
        <f>'Ethylene Recycling LC'!T283</f>
        <v>0</v>
      </c>
      <c r="V169" s="244">
        <f>'Ethylene Recycling LC'!U283</f>
        <v>0</v>
      </c>
      <c r="W169" s="244">
        <f>'Ethylene Recycling LC'!V283</f>
        <v>0</v>
      </c>
      <c r="X169" s="244">
        <f>'Ethylene Recycling LC'!W283</f>
        <v>0</v>
      </c>
      <c r="Y169" s="244">
        <f>'Ethylene Recycling LC'!X283</f>
        <v>0</v>
      </c>
      <c r="Z169" s="244">
        <f>'Ethylene Recycling LC'!Y283</f>
        <v>0</v>
      </c>
      <c r="AA169" s="244">
        <f>'Ethylene Recycling LC'!Z283</f>
        <v>0</v>
      </c>
      <c r="AB169" s="244">
        <f>'Ethylene Recycling LC'!AA283</f>
        <v>0</v>
      </c>
      <c r="AC169" s="244">
        <f>'Ethylene Recycling LC'!AB283</f>
        <v>0</v>
      </c>
      <c r="AD169" s="244">
        <f>'Ethylene Recycling LC'!AC283</f>
        <v>0</v>
      </c>
      <c r="AE169" s="244">
        <f>'Ethylene Recycling LC'!AD283</f>
        <v>0</v>
      </c>
      <c r="AF169" s="244">
        <f>'Ethylene Recycling LC'!AE283</f>
        <v>0</v>
      </c>
      <c r="AG169" s="244">
        <f>'Ethylene Recycling LC'!AF283</f>
        <v>0</v>
      </c>
      <c r="AH169" s="244">
        <f>'Ethylene Recycling LC'!AG283</f>
        <v>0.24</v>
      </c>
    </row>
    <row r="170" spans="1:46" ht="16" thickBot="1">
      <c r="C170" s="65"/>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row>
    <row r="171" spans="1:46" ht="54" customHeight="1" thickBot="1">
      <c r="A171" s="250" t="s">
        <v>281</v>
      </c>
      <c r="B171" s="185">
        <v>2020</v>
      </c>
      <c r="C171" s="186" t="s">
        <v>282</v>
      </c>
      <c r="D171" s="186" t="s">
        <v>282</v>
      </c>
      <c r="E171" s="186" t="s">
        <v>283</v>
      </c>
      <c r="F171" s="186" t="s">
        <v>284</v>
      </c>
      <c r="G171" s="186" t="s">
        <v>285</v>
      </c>
      <c r="H171" s="186" t="s">
        <v>286</v>
      </c>
      <c r="I171" s="186" t="s">
        <v>287</v>
      </c>
      <c r="J171" s="186" t="s">
        <v>288</v>
      </c>
      <c r="K171" s="186" t="s">
        <v>289</v>
      </c>
      <c r="L171" s="186" t="s">
        <v>290</v>
      </c>
      <c r="M171" s="186" t="s">
        <v>291</v>
      </c>
      <c r="N171" s="186" t="s">
        <v>292</v>
      </c>
      <c r="O171" s="186" t="s">
        <v>293</v>
      </c>
      <c r="P171" s="186" t="s">
        <v>294</v>
      </c>
      <c r="Q171" s="186" t="s">
        <v>295</v>
      </c>
      <c r="R171" s="186" t="s">
        <v>296</v>
      </c>
      <c r="S171" s="186" t="s">
        <v>297</v>
      </c>
      <c r="T171" s="186" t="s">
        <v>298</v>
      </c>
      <c r="U171" s="186" t="s">
        <v>299</v>
      </c>
      <c r="V171" s="186" t="s">
        <v>300</v>
      </c>
      <c r="W171" s="186" t="s">
        <v>301</v>
      </c>
      <c r="X171" s="186" t="s">
        <v>292</v>
      </c>
      <c r="AJ171" s="138" t="s">
        <v>302</v>
      </c>
      <c r="AK171" s="139" t="s">
        <v>1</v>
      </c>
      <c r="AL171" s="139" t="s">
        <v>180</v>
      </c>
      <c r="AM171" s="139" t="s">
        <v>181</v>
      </c>
      <c r="AN171" s="139" t="s">
        <v>303</v>
      </c>
      <c r="AO171" s="139" t="s">
        <v>304</v>
      </c>
      <c r="AP171" s="139" t="s">
        <v>305</v>
      </c>
      <c r="AQ171" s="139" t="s">
        <v>306</v>
      </c>
      <c r="AR171" s="139" t="s">
        <v>307</v>
      </c>
      <c r="AS171" s="139" t="s">
        <v>163</v>
      </c>
      <c r="AT171" s="139" t="s">
        <v>308</v>
      </c>
    </row>
    <row r="172" spans="1:46">
      <c r="A172" t="s">
        <v>309</v>
      </c>
      <c r="B172" s="183">
        <f>'Demand Breakdown - Ethylene'!J63</f>
        <v>0.43683153193696267</v>
      </c>
      <c r="C172" s="184">
        <f>D172/$D$180</f>
        <v>0.3850342995799213</v>
      </c>
      <c r="D172" s="249">
        <f>AH33*B172/(B172+B176)</f>
        <v>107.84987571339572</v>
      </c>
      <c r="N172" s="194">
        <f>X172/$X$180</f>
        <v>0.43105517854137271</v>
      </c>
      <c r="X172" s="44">
        <f>AH95*B172/(B172+B176)</f>
        <v>79.534305777924743</v>
      </c>
      <c r="AJ172" s="30" t="s">
        <v>67</v>
      </c>
      <c r="AK172" s="140">
        <f>D4</f>
        <v>162.69230769230768</v>
      </c>
      <c r="AM172" s="140">
        <f>AH4</f>
        <v>255</v>
      </c>
      <c r="AN172" s="140"/>
      <c r="AO172" s="140"/>
      <c r="AP172" s="140"/>
      <c r="AQ172" s="140"/>
      <c r="AS172" s="137"/>
      <c r="AT172" s="140">
        <f>AH84</f>
        <v>280.10459284033055</v>
      </c>
    </row>
    <row r="173" spans="1:46">
      <c r="A173" t="s">
        <v>310</v>
      </c>
      <c r="B173" s="183">
        <f>'Demand Breakdown - Ethylene'!J64</f>
        <v>0.21433790117776957</v>
      </c>
      <c r="C173" s="184">
        <f t="shared" ref="C173:C179" si="57">D173/$D$180</f>
        <v>0.20643073119001065</v>
      </c>
      <c r="D173" s="249">
        <f>AH43</f>
        <v>57.822195909709656</v>
      </c>
      <c r="N173" s="194">
        <f t="shared" ref="N173:N179" si="58">X173/$X$180</f>
        <v>0.11343579390565398</v>
      </c>
      <c r="X173" s="44">
        <f>IF(AH127&lt;0,0,AH127)</f>
        <v>20.930121171918596</v>
      </c>
      <c r="AJ173" s="30" t="s">
        <v>168</v>
      </c>
      <c r="AN173" s="44">
        <f>-AH29</f>
        <v>0</v>
      </c>
      <c r="AO173" s="43">
        <f>-AH41</f>
        <v>0</v>
      </c>
      <c r="AP173" s="44">
        <f>-AH17</f>
        <v>0</v>
      </c>
      <c r="AQ173" s="44">
        <f>-AH53</f>
        <v>0</v>
      </c>
      <c r="AR173" s="43">
        <f>-AH63</f>
        <v>0</v>
      </c>
    </row>
    <row r="174" spans="1:46">
      <c r="A174" t="s">
        <v>311</v>
      </c>
      <c r="B174" s="183">
        <f>'Demand Breakdown - Ethylene'!J65</f>
        <v>5.2109631277813095E-2</v>
      </c>
      <c r="C174" s="184">
        <f t="shared" si="57"/>
        <v>5.5205972207308995E-2</v>
      </c>
      <c r="D174" s="249">
        <f>AH19</f>
        <v>15.463446367482891</v>
      </c>
      <c r="N174" s="194">
        <f t="shared" si="58"/>
        <v>4.4103630170201885E-2</v>
      </c>
      <c r="X174" s="44">
        <f>AH105</f>
        <v>8.137593010117774</v>
      </c>
      <c r="AJ174" s="30" t="s">
        <v>172</v>
      </c>
      <c r="AN174" s="44">
        <f>-AH32</f>
        <v>0</v>
      </c>
      <c r="AO174" s="43">
        <f>-AH42</f>
        <v>0</v>
      </c>
      <c r="AP174">
        <f>-AH18</f>
        <v>0</v>
      </c>
      <c r="AQ174" s="43">
        <f>-AH54</f>
        <v>0</v>
      </c>
      <c r="AR174" s="43">
        <f>-AH64</f>
        <v>0</v>
      </c>
    </row>
    <row r="175" spans="1:46">
      <c r="A175" t="s">
        <v>312</v>
      </c>
      <c r="B175" s="183">
        <f>'Demand Breakdown - Ethylene'!J66</f>
        <v>3.6272535773636247E-2</v>
      </c>
      <c r="C175" s="184">
        <f t="shared" si="57"/>
        <v>3.261458640407873E-2</v>
      </c>
      <c r="D175" s="249">
        <f>AH65*B175/(B175+B177)</f>
        <v>9.1354954453702533</v>
      </c>
      <c r="N175" s="194">
        <f t="shared" si="58"/>
        <v>3.9394542564203133E-2</v>
      </c>
      <c r="X175" s="44">
        <f>AH139*C175/(C175+C177+C179)</f>
        <v>7.2687158170449333</v>
      </c>
      <c r="AJ175" s="30" t="s">
        <v>175</v>
      </c>
      <c r="AL175" s="140">
        <f>AH4-D4</f>
        <v>92.307692307692321</v>
      </c>
      <c r="AS175" s="44">
        <f>AH74</f>
        <v>23.698824988741201</v>
      </c>
    </row>
    <row r="176" spans="1:46">
      <c r="A176" t="s">
        <v>313</v>
      </c>
      <c r="B176" s="183">
        <f>'Demand Breakdown - Ethylene'!J67</f>
        <v>0.11088911611514482</v>
      </c>
      <c r="C176" s="184">
        <f t="shared" si="57"/>
        <v>9.7740456063489148E-2</v>
      </c>
      <c r="D176" s="249">
        <f>AH33*B176/(B172+B176)</f>
        <v>27.377550649691845</v>
      </c>
      <c r="N176" s="194">
        <f t="shared" si="58"/>
        <v>0.10942279632003873</v>
      </c>
      <c r="X176" s="44">
        <f>AH95*B176/(B172+B176)</f>
        <v>20.1896800568381</v>
      </c>
    </row>
    <row r="177" spans="1:43">
      <c r="A177" t="s">
        <v>248</v>
      </c>
      <c r="B177" s="183">
        <f>'Demand Breakdown - Ethylene'!J68</f>
        <v>0.12845428371867368</v>
      </c>
      <c r="C177" s="184">
        <f t="shared" si="57"/>
        <v>0.11550015034685672</v>
      </c>
      <c r="D177" s="249">
        <f>AH65*B177/(B175+B177)</f>
        <v>32.352122585903267</v>
      </c>
      <c r="N177" s="194">
        <f t="shared" si="58"/>
        <v>0.13951044887210598</v>
      </c>
      <c r="X177" s="44">
        <f>AH139*C177/(C175+C177+C179)</f>
        <v>25.741174801231697</v>
      </c>
      <c r="AJ177" s="142"/>
      <c r="AK177" s="139"/>
      <c r="AL177" s="139"/>
      <c r="AM177" s="139"/>
      <c r="AN177" s="139"/>
      <c r="AO177" s="139"/>
      <c r="AP177" s="139"/>
    </row>
    <row r="178" spans="1:43">
      <c r="A178" s="131" t="s">
        <v>320</v>
      </c>
      <c r="B178" s="183">
        <f>'Demand Breakdown - Ethylene'!J69</f>
        <v>2.1105000000000002E-2</v>
      </c>
      <c r="C178" s="184">
        <f t="shared" si="57"/>
        <v>2.2866748149634325E-2</v>
      </c>
      <c r="D178" s="249">
        <f>AH55</f>
        <v>6.4050811800357046</v>
      </c>
      <c r="N178" s="194">
        <f t="shared" si="58"/>
        <v>2.0882345524605793E-2</v>
      </c>
      <c r="X178" s="44">
        <f>AH115</f>
        <v>3.8530168224272145</v>
      </c>
      <c r="AK178" s="141"/>
      <c r="AL178" s="143"/>
      <c r="AM178" s="141"/>
      <c r="AN178" s="143"/>
      <c r="AO178" s="143"/>
      <c r="AP178" s="141"/>
    </row>
    <row r="179" spans="1:43" ht="16" thickBot="1">
      <c r="A179" t="s">
        <v>321</v>
      </c>
      <c r="B179" s="183"/>
      <c r="C179" s="184">
        <f t="shared" si="57"/>
        <v>8.4607056058700059E-2</v>
      </c>
      <c r="D179" s="249">
        <f>AH74</f>
        <v>23.698824988741201</v>
      </c>
      <c r="N179" s="194">
        <f t="shared" si="58"/>
        <v>0.10219526410181774</v>
      </c>
      <c r="X179" s="44">
        <f>AH139*C179/(C175+C177+C179)</f>
        <v>18.85612280922782</v>
      </c>
    </row>
    <row r="180" spans="1:43" ht="16" thickBot="1">
      <c r="A180" s="185" t="s">
        <v>67</v>
      </c>
      <c r="B180" s="247">
        <f>SUM(B172:B178)</f>
        <v>1</v>
      </c>
      <c r="C180" s="246">
        <f>SUM(C172:C179)</f>
        <v>0.99999999999999978</v>
      </c>
      <c r="D180" s="187">
        <f>SUM(D172:D179)</f>
        <v>280.10459284033055</v>
      </c>
      <c r="E180" s="188"/>
      <c r="F180" s="188"/>
      <c r="G180" s="188"/>
      <c r="H180" s="188"/>
      <c r="I180" s="188"/>
      <c r="J180" s="188"/>
      <c r="K180" s="188"/>
      <c r="L180" s="188"/>
      <c r="M180" s="188"/>
      <c r="N180" s="248">
        <f>SUM(N172:N179)</f>
        <v>1</v>
      </c>
      <c r="X180" s="44">
        <f>SUM(X172:X179)</f>
        <v>184.51073026673089</v>
      </c>
    </row>
    <row r="181" spans="1:43" ht="16" thickBot="1">
      <c r="AJ181" s="142"/>
      <c r="AK181" s="136"/>
      <c r="AL181" s="136"/>
      <c r="AM181" s="136"/>
      <c r="AN181" s="136"/>
      <c r="AO181" s="136"/>
      <c r="AP181" s="136"/>
      <c r="AQ181" s="136"/>
    </row>
    <row r="182" spans="1:43" ht="49" thickBot="1">
      <c r="A182" s="250" t="s">
        <v>323</v>
      </c>
      <c r="B182" s="185">
        <v>2020</v>
      </c>
      <c r="C182" s="186" t="s">
        <v>282</v>
      </c>
      <c r="D182" s="186" t="s">
        <v>292</v>
      </c>
      <c r="E182" s="186" t="s">
        <v>283</v>
      </c>
      <c r="F182" s="186" t="s">
        <v>284</v>
      </c>
      <c r="G182" s="186" t="s">
        <v>285</v>
      </c>
      <c r="H182" s="186" t="s">
        <v>286</v>
      </c>
      <c r="I182" s="186" t="s">
        <v>287</v>
      </c>
      <c r="J182" s="186" t="s">
        <v>288</v>
      </c>
      <c r="K182" s="186" t="s">
        <v>289</v>
      </c>
      <c r="L182" s="186" t="s">
        <v>290</v>
      </c>
      <c r="M182" s="186" t="s">
        <v>291</v>
      </c>
      <c r="O182" s="186" t="s">
        <v>293</v>
      </c>
      <c r="P182" s="186" t="s">
        <v>294</v>
      </c>
      <c r="Q182" s="186" t="s">
        <v>295</v>
      </c>
      <c r="R182" s="186" t="s">
        <v>296</v>
      </c>
      <c r="S182" s="186" t="s">
        <v>297</v>
      </c>
      <c r="T182" s="186" t="s">
        <v>298</v>
      </c>
      <c r="U182" s="186" t="s">
        <v>299</v>
      </c>
      <c r="V182" s="186" t="s">
        <v>300</v>
      </c>
      <c r="W182" s="186" t="s">
        <v>301</v>
      </c>
      <c r="X182" s="186"/>
      <c r="AK182" s="141"/>
      <c r="AL182" s="143"/>
      <c r="AM182" s="143"/>
      <c r="AN182" s="143"/>
      <c r="AO182" s="143"/>
      <c r="AP182" s="141"/>
      <c r="AQ182" s="143"/>
    </row>
    <row r="183" spans="1:43">
      <c r="A183" t="s">
        <v>324</v>
      </c>
      <c r="B183" s="183">
        <f>B172+B176</f>
        <v>0.54772064805210752</v>
      </c>
      <c r="C183" s="184">
        <f t="shared" ref="C183" si="59">C172+C176</f>
        <v>0.48277475564341044</v>
      </c>
      <c r="D183" s="194">
        <f>N172+N176</f>
        <v>0.54047797486141147</v>
      </c>
      <c r="X183" s="44"/>
    </row>
    <row r="184" spans="1:43">
      <c r="A184" t="s">
        <v>310</v>
      </c>
      <c r="B184" s="183">
        <f>B173</f>
        <v>0.21433790117776957</v>
      </c>
      <c r="C184" s="184">
        <f t="shared" ref="C184" si="60">C173</f>
        <v>0.20643073119001065</v>
      </c>
      <c r="D184" s="194">
        <f>N173</f>
        <v>0.11343579390565398</v>
      </c>
      <c r="X184" s="44"/>
      <c r="AJ184" s="142"/>
      <c r="AK184" s="136"/>
      <c r="AL184" s="136"/>
      <c r="AM184" s="136"/>
      <c r="AN184" s="136"/>
      <c r="AO184" s="136"/>
      <c r="AP184" s="139"/>
    </row>
    <row r="185" spans="1:43">
      <c r="A185" t="s">
        <v>311</v>
      </c>
      <c r="B185" s="183">
        <f>B174</f>
        <v>5.2109631277813095E-2</v>
      </c>
      <c r="C185" s="184">
        <f>C174</f>
        <v>5.5205972207308995E-2</v>
      </c>
      <c r="D185" s="194">
        <f>N174</f>
        <v>4.4103630170201885E-2</v>
      </c>
      <c r="X185" s="44"/>
      <c r="AK185" s="141"/>
      <c r="AL185" s="143"/>
      <c r="AM185" s="141"/>
      <c r="AN185" s="143"/>
      <c r="AO185" s="143"/>
      <c r="AP185" s="141"/>
    </row>
    <row r="186" spans="1:43">
      <c r="A186" s="131" t="s">
        <v>329</v>
      </c>
      <c r="B186" s="183">
        <f>'Demand Breakdown - Ethylene'!C37</f>
        <v>4.2210000000000004E-2</v>
      </c>
      <c r="C186" s="184">
        <f>(AH65*('Demand Breakdown - Ethylene'!C37-'Yearly HC Ethylene'!C178)/(SUM('Yearly HC Ethylene'!C177:C178,C175))+'Yearly HC Ethylene'!AH55)/'Yearly HC Ethylene'!AH84</f>
        <v>3.9623069206209796E-2</v>
      </c>
      <c r="D186" s="194">
        <f>((AH139-AH74)*('Demand Breakdown - Ethylene'!C37-'Yearly HC Ethylene'!N178)/(SUM('Yearly HC Ethylene'!N177:N178,N175))+'Yearly HC Ethylene'!AH115)/('Yearly HC Ethylene'!AH148-AH74)</f>
        <v>4.2657055159064282E-2</v>
      </c>
      <c r="X186" s="44"/>
    </row>
    <row r="187" spans="1:43">
      <c r="A187" t="s">
        <v>312</v>
      </c>
      <c r="B187" s="183">
        <f>B175</f>
        <v>3.6272535773636247E-2</v>
      </c>
      <c r="C187" s="184">
        <f>C175</f>
        <v>3.261458640407873E-2</v>
      </c>
      <c r="D187" s="194">
        <f>N175</f>
        <v>3.9394542564203133E-2</v>
      </c>
      <c r="X187" s="44"/>
      <c r="AJ187" s="142"/>
      <c r="AK187" s="136"/>
      <c r="AL187" s="136"/>
      <c r="AM187" s="136"/>
      <c r="AN187" s="136"/>
      <c r="AO187" s="136"/>
      <c r="AP187" s="136"/>
    </row>
    <row r="188" spans="1:43">
      <c r="A188" t="s">
        <v>248</v>
      </c>
      <c r="B188" s="183">
        <f>B177+B178-B186</f>
        <v>0.10734928371867369</v>
      </c>
      <c r="C188" s="184">
        <f>C177+C178-C186</f>
        <v>9.8743829290281235E-2</v>
      </c>
      <c r="D188" s="194">
        <f>N177+N178-D186</f>
        <v>0.11773573923764749</v>
      </c>
      <c r="X188" s="44"/>
      <c r="AK188" s="141"/>
      <c r="AL188" s="143"/>
      <c r="AM188" s="143"/>
      <c r="AN188" s="143"/>
      <c r="AO188" s="143"/>
      <c r="AP188" s="141"/>
    </row>
    <row r="189" spans="1:43" ht="16" thickBot="1">
      <c r="A189" t="s">
        <v>321</v>
      </c>
      <c r="B189" s="183">
        <f>B179</f>
        <v>0</v>
      </c>
      <c r="C189" s="184">
        <f t="shared" ref="C189" si="61">C179</f>
        <v>8.4607056058700059E-2</v>
      </c>
      <c r="D189" s="194">
        <f>N179</f>
        <v>0.10219526410181774</v>
      </c>
      <c r="X189" s="44"/>
    </row>
    <row r="190" spans="1:43" ht="16" thickBot="1">
      <c r="A190" s="185" t="s">
        <v>67</v>
      </c>
      <c r="B190" s="251">
        <f>SUM(B183:B189)</f>
        <v>1</v>
      </c>
      <c r="C190" s="252">
        <f>SUM(C183:C189)</f>
        <v>1</v>
      </c>
      <c r="D190" s="253">
        <f>SUM(D183:D189)</f>
        <v>1</v>
      </c>
      <c r="E190" s="188"/>
      <c r="F190" s="188"/>
      <c r="G190" s="188"/>
      <c r="H190" s="188"/>
      <c r="I190" s="188"/>
      <c r="J190" s="188"/>
      <c r="K190" s="188"/>
      <c r="L190" s="188"/>
      <c r="M190" s="188"/>
      <c r="X190" s="44"/>
    </row>
    <row r="191" spans="1:43" ht="16" thickBot="1"/>
    <row r="192" spans="1:43" ht="49" thickBot="1">
      <c r="A192" s="250" t="s">
        <v>333</v>
      </c>
      <c r="B192" s="254">
        <v>2020</v>
      </c>
      <c r="C192" s="186" t="s">
        <v>334</v>
      </c>
      <c r="D192" s="186" t="s">
        <v>282</v>
      </c>
      <c r="E192" s="188"/>
      <c r="F192" s="188"/>
      <c r="G192" s="188"/>
      <c r="H192" s="188"/>
      <c r="I192" s="188"/>
      <c r="J192" s="188"/>
      <c r="K192" s="188"/>
      <c r="L192" s="188"/>
      <c r="M192" s="188"/>
      <c r="N192" s="255" t="s">
        <v>292</v>
      </c>
    </row>
    <row r="193" spans="1:47">
      <c r="A193" t="s">
        <v>321</v>
      </c>
      <c r="B193" s="183">
        <f>B189</f>
        <v>0</v>
      </c>
      <c r="C193" s="183">
        <f>0</f>
        <v>0</v>
      </c>
      <c r="D193" s="184">
        <f>C189</f>
        <v>8.4607056058700059E-2</v>
      </c>
      <c r="N193" s="194">
        <f>D189</f>
        <v>0.10219526410181774</v>
      </c>
    </row>
    <row r="194" spans="1:47">
      <c r="A194" t="s">
        <v>248</v>
      </c>
      <c r="B194" s="183">
        <f>B188</f>
        <v>0.10734928371867369</v>
      </c>
      <c r="C194" s="183">
        <f>'Demand Breakdown - Ethylene'!N68+'Demand Breakdown - Ethylene'!N69-C196</f>
        <v>0.10977903437623246</v>
      </c>
      <c r="D194" s="184">
        <f>C188</f>
        <v>9.8743829290281235E-2</v>
      </c>
      <c r="N194" s="194">
        <f>D188</f>
        <v>0.11773573923764749</v>
      </c>
      <c r="AJ194" s="138"/>
      <c r="AK194" s="139"/>
      <c r="AL194" s="139"/>
      <c r="AM194" s="139"/>
      <c r="AN194" s="139"/>
      <c r="AO194" s="139"/>
      <c r="AP194" s="139"/>
      <c r="AQ194" s="139"/>
      <c r="AR194" s="139"/>
      <c r="AS194" s="139"/>
      <c r="AT194" s="139"/>
      <c r="AU194" s="139"/>
    </row>
    <row r="195" spans="1:47">
      <c r="A195" t="s">
        <v>312</v>
      </c>
      <c r="B195" s="183">
        <f>B187</f>
        <v>3.6272535773636247E-2</v>
      </c>
      <c r="C195" s="183">
        <f>'Demand Breakdown - Ethylene'!N66</f>
        <v>3.5825472334785662E-2</v>
      </c>
      <c r="D195" s="184">
        <f>C187</f>
        <v>3.261458640407873E-2</v>
      </c>
      <c r="N195" s="194">
        <f>D187</f>
        <v>3.9394542564203133E-2</v>
      </c>
      <c r="AK195" s="140"/>
      <c r="AL195" s="140"/>
      <c r="AM195" s="140"/>
      <c r="AN195" s="140"/>
      <c r="AO195" s="140"/>
      <c r="AP195" s="140"/>
      <c r="AQ195" s="140"/>
      <c r="AR195" s="140"/>
      <c r="AS195" s="140"/>
      <c r="AT195" s="137"/>
      <c r="AU195" s="137"/>
    </row>
    <row r="196" spans="1:47">
      <c r="A196" s="131" t="s">
        <v>329</v>
      </c>
      <c r="B196" s="183">
        <f>B186</f>
        <v>4.2210000000000004E-2</v>
      </c>
      <c r="C196" s="183">
        <f>('Demand Breakdown - Ethylene'!M68*('Demand Breakdown - Ethylene'!C37-'Demand Breakdown - Ethylene'!N69)/('Demand Breakdown - Ethylene'!N68)+'Demand Breakdown - Ethylene'!M69)/'Demand Breakdown - Ethylene'!M70</f>
        <v>4.2210000000000004E-2</v>
      </c>
      <c r="D196" s="184">
        <f>C186</f>
        <v>3.9623069206209796E-2</v>
      </c>
      <c r="N196" s="194">
        <f>D186</f>
        <v>4.2657055159064282E-2</v>
      </c>
      <c r="AJ196" s="137"/>
    </row>
    <row r="197" spans="1:47" ht="96">
      <c r="A197" t="s">
        <v>311</v>
      </c>
      <c r="B197" s="183">
        <f>B185</f>
        <v>5.2109631277813095E-2</v>
      </c>
      <c r="C197" s="183">
        <f>'Demand Breakdown - Ethylene'!N65</f>
        <v>5.5128151042719585E-2</v>
      </c>
      <c r="D197" s="184">
        <f>C185</f>
        <v>5.5205972207308995E-2</v>
      </c>
      <c r="N197" s="194">
        <f>D185</f>
        <v>4.4103630170201885E-2</v>
      </c>
      <c r="AJ197" s="138" t="s">
        <v>336</v>
      </c>
      <c r="AK197" s="139" t="s">
        <v>1</v>
      </c>
      <c r="AL197" s="139" t="s">
        <v>180</v>
      </c>
      <c r="AM197" s="139" t="s">
        <v>181</v>
      </c>
      <c r="AN197" s="139" t="s">
        <v>337</v>
      </c>
      <c r="AO197" s="263" t="s">
        <v>308</v>
      </c>
      <c r="AP197" s="139" t="s">
        <v>338</v>
      </c>
      <c r="AQ197" s="139" t="s">
        <v>339</v>
      </c>
      <c r="AR197" s="139" t="s">
        <v>340</v>
      </c>
      <c r="AS197" s="139" t="s">
        <v>341</v>
      </c>
      <c r="AT197" s="139" t="s">
        <v>342</v>
      </c>
      <c r="AU197" s="139" t="s">
        <v>184</v>
      </c>
    </row>
    <row r="198" spans="1:47">
      <c r="A198" t="s">
        <v>310</v>
      </c>
      <c r="B198" s="183">
        <f>B184</f>
        <v>0.21433790117776957</v>
      </c>
      <c r="C198" s="183">
        <f>'Demand Breakdown - Ethylene'!N64</f>
        <v>0.22675370944984116</v>
      </c>
      <c r="D198" s="184">
        <f>C184</f>
        <v>0.20643073119001065</v>
      </c>
      <c r="N198" s="194">
        <f>D184</f>
        <v>0.11343579390565398</v>
      </c>
      <c r="AK198" s="140">
        <f>D4</f>
        <v>162.69230769230768</v>
      </c>
      <c r="AL198" s="140">
        <f>AH4-D4</f>
        <v>92.307692307692321</v>
      </c>
      <c r="AM198" s="140">
        <f>AH4</f>
        <v>255</v>
      </c>
      <c r="AN198" s="140">
        <f>AH83-AH82-AH81</f>
        <v>25.104592840330554</v>
      </c>
      <c r="AO198" s="140">
        <f>SUM(AM198:AN198)</f>
        <v>280.10459284033055</v>
      </c>
      <c r="AP198" s="140">
        <f>AH95-AH92</f>
        <v>-35.503440528324731</v>
      </c>
      <c r="AQ198" s="140">
        <f>AH127-AH122</f>
        <v>-36.892074737791063</v>
      </c>
      <c r="AR198" s="140">
        <f>AH105-AH102</f>
        <v>-7.3258533573651174</v>
      </c>
      <c r="AS198" s="140">
        <f>AH115-AH112</f>
        <v>-2.55206435760849</v>
      </c>
      <c r="AT198" s="44">
        <f>AH139-AH134</f>
        <v>-13.32042959251028</v>
      </c>
      <c r="AU198" s="137" t="s">
        <v>167</v>
      </c>
    </row>
    <row r="199" spans="1:47" ht="16" thickBot="1">
      <c r="A199" t="s">
        <v>324</v>
      </c>
      <c r="B199" s="183">
        <f>B183</f>
        <v>0.54772064805210752</v>
      </c>
      <c r="C199" s="183">
        <f>'Demand Breakdown - Ethylene'!N63+'Demand Breakdown - Ethylene'!N67</f>
        <v>0.53030363279642112</v>
      </c>
      <c r="D199" s="184">
        <f>C183</f>
        <v>0.48277475564341044</v>
      </c>
      <c r="N199" s="194">
        <f>D183</f>
        <v>0.54047797486141147</v>
      </c>
      <c r="AK199" s="141"/>
      <c r="AL199" s="143"/>
      <c r="AM199" s="141"/>
      <c r="AN199" s="143"/>
      <c r="AO199" s="143"/>
      <c r="AP199" s="141"/>
    </row>
    <row r="200" spans="1:47" ht="16" thickBot="1">
      <c r="A200" s="185" t="s">
        <v>67</v>
      </c>
      <c r="B200" s="251">
        <f>SUM(B193:B199)</f>
        <v>1</v>
      </c>
      <c r="C200" s="251">
        <f>SUM(C193:C199)</f>
        <v>1</v>
      </c>
      <c r="D200" s="252">
        <f>SUM(D193:D199)</f>
        <v>0.99999999999999989</v>
      </c>
      <c r="N200" s="253">
        <f>SUM(N193:N199)</f>
        <v>1</v>
      </c>
    </row>
    <row r="202" spans="1:47">
      <c r="AJ202" s="142"/>
      <c r="AK202" s="136"/>
      <c r="AL202" s="136"/>
      <c r="AM202" s="136"/>
      <c r="AN202" s="136"/>
      <c r="AO202" s="136"/>
      <c r="AP202" s="136"/>
      <c r="AQ202" s="136"/>
    </row>
    <row r="203" spans="1:47">
      <c r="AK203" s="141"/>
      <c r="AL203" s="143"/>
      <c r="AM203" s="143"/>
      <c r="AN203" s="143"/>
      <c r="AO203" s="143"/>
      <c r="AP203" s="141"/>
      <c r="AQ203" s="143"/>
    </row>
    <row r="205" spans="1:47">
      <c r="AJ205" s="142"/>
      <c r="AK205" s="136"/>
      <c r="AL205" s="136"/>
      <c r="AM205" s="136"/>
      <c r="AN205" s="136"/>
      <c r="AO205" s="136"/>
      <c r="AP205" s="139"/>
    </row>
    <row r="206" spans="1:47">
      <c r="AK206" s="141"/>
      <c r="AL206" s="143"/>
      <c r="AM206" s="141"/>
      <c r="AN206" s="143"/>
      <c r="AO206" s="143"/>
      <c r="AP206" s="141"/>
    </row>
    <row r="208" spans="1:47">
      <c r="AJ208" s="142"/>
      <c r="AK208" s="136"/>
      <c r="AL208" s="136"/>
      <c r="AM208" s="136"/>
      <c r="AN208" s="136"/>
      <c r="AO208" s="136"/>
      <c r="AP208" s="136"/>
    </row>
    <row r="209" spans="1:42">
      <c r="AK209" s="141"/>
      <c r="AL209" s="143"/>
      <c r="AM209" s="143"/>
      <c r="AN209" s="143"/>
      <c r="AO209" s="143"/>
      <c r="AP209" s="141"/>
    </row>
    <row r="212" spans="1:42">
      <c r="A212" s="1" t="s">
        <v>357</v>
      </c>
      <c r="D212" s="1">
        <v>2020</v>
      </c>
      <c r="E212" s="1">
        <f>D212+1</f>
        <v>2021</v>
      </c>
      <c r="F212" s="1">
        <f t="shared" ref="F212:Q212" si="62">E212+1</f>
        <v>2022</v>
      </c>
      <c r="G212" s="1">
        <f t="shared" si="62"/>
        <v>2023</v>
      </c>
      <c r="H212" s="1">
        <f t="shared" si="62"/>
        <v>2024</v>
      </c>
      <c r="I212" s="1">
        <f t="shared" si="62"/>
        <v>2025</v>
      </c>
      <c r="J212" s="1">
        <f t="shared" si="62"/>
        <v>2026</v>
      </c>
      <c r="K212" s="1">
        <f t="shared" si="62"/>
        <v>2027</v>
      </c>
      <c r="L212" s="1">
        <f t="shared" si="62"/>
        <v>2028</v>
      </c>
      <c r="M212" s="1">
        <f t="shared" si="62"/>
        <v>2029</v>
      </c>
      <c r="N212" s="1">
        <f t="shared" si="62"/>
        <v>2030</v>
      </c>
      <c r="O212" s="1">
        <f t="shared" si="62"/>
        <v>2031</v>
      </c>
      <c r="P212" s="1">
        <f t="shared" si="62"/>
        <v>2032</v>
      </c>
      <c r="Q212" s="1">
        <f t="shared" si="62"/>
        <v>2033</v>
      </c>
      <c r="R212" s="1">
        <f>Q212+1</f>
        <v>2034</v>
      </c>
      <c r="S212" s="1">
        <f t="shared" ref="S212:AB212" si="63">R212+1</f>
        <v>2035</v>
      </c>
      <c r="T212" s="1">
        <f t="shared" si="63"/>
        <v>2036</v>
      </c>
      <c r="U212" s="1">
        <f t="shared" si="63"/>
        <v>2037</v>
      </c>
      <c r="V212" s="1">
        <f t="shared" si="63"/>
        <v>2038</v>
      </c>
      <c r="W212" s="1">
        <f t="shared" si="63"/>
        <v>2039</v>
      </c>
      <c r="X212" s="1">
        <f t="shared" si="63"/>
        <v>2040</v>
      </c>
      <c r="Y212" s="1">
        <f t="shared" si="63"/>
        <v>2041</v>
      </c>
      <c r="Z212" s="1">
        <f t="shared" si="63"/>
        <v>2042</v>
      </c>
      <c r="AA212" s="1">
        <f t="shared" si="63"/>
        <v>2043</v>
      </c>
      <c r="AB212" s="1">
        <f t="shared" si="63"/>
        <v>2044</v>
      </c>
      <c r="AC212" s="1">
        <f>AB212+1</f>
        <v>2045</v>
      </c>
      <c r="AD212" s="1">
        <f t="shared" ref="AD212:AF212" si="64">AC212+1</f>
        <v>2046</v>
      </c>
      <c r="AE212" s="1">
        <f t="shared" si="64"/>
        <v>2047</v>
      </c>
      <c r="AF212" s="1">
        <f t="shared" si="64"/>
        <v>2048</v>
      </c>
      <c r="AG212" s="1">
        <f>AF212+1</f>
        <v>2049</v>
      </c>
      <c r="AH212" s="1">
        <f t="shared" ref="AH212" si="65">AG212+1</f>
        <v>2050</v>
      </c>
      <c r="AK212" s="141"/>
      <c r="AL212" s="143"/>
      <c r="AM212" s="143"/>
      <c r="AN212" s="143"/>
      <c r="AO212" s="143"/>
      <c r="AP212" s="141"/>
    </row>
    <row r="213" spans="1:42">
      <c r="C213" t="s">
        <v>168</v>
      </c>
      <c r="D213" s="44">
        <f t="shared" ref="D213:AH213" si="66">D81</f>
        <v>0</v>
      </c>
      <c r="E213" s="44">
        <f t="shared" si="66"/>
        <v>0</v>
      </c>
      <c r="F213" s="44">
        <f t="shared" si="66"/>
        <v>0</v>
      </c>
      <c r="G213" s="44">
        <f t="shared" si="66"/>
        <v>0</v>
      </c>
      <c r="H213" s="44">
        <f t="shared" si="66"/>
        <v>0</v>
      </c>
      <c r="I213" s="44">
        <f t="shared" si="66"/>
        <v>0</v>
      </c>
      <c r="J213" s="44">
        <f t="shared" si="66"/>
        <v>0</v>
      </c>
      <c r="K213" s="44">
        <f t="shared" si="66"/>
        <v>0</v>
      </c>
      <c r="L213" s="44">
        <f t="shared" si="66"/>
        <v>0</v>
      </c>
      <c r="M213" s="44">
        <f t="shared" si="66"/>
        <v>0</v>
      </c>
      <c r="N213" s="44">
        <f t="shared" si="66"/>
        <v>0</v>
      </c>
      <c r="O213" s="44">
        <f t="shared" si="66"/>
        <v>0</v>
      </c>
      <c r="P213" s="44">
        <f t="shared" si="66"/>
        <v>0</v>
      </c>
      <c r="Q213" s="44">
        <f t="shared" si="66"/>
        <v>0</v>
      </c>
      <c r="R213" s="44">
        <f t="shared" si="66"/>
        <v>0</v>
      </c>
      <c r="S213" s="44">
        <f t="shared" si="66"/>
        <v>0</v>
      </c>
      <c r="T213" s="44">
        <f t="shared" si="66"/>
        <v>0</v>
      </c>
      <c r="U213" s="44">
        <f t="shared" si="66"/>
        <v>0</v>
      </c>
      <c r="V213" s="44">
        <f t="shared" si="66"/>
        <v>0</v>
      </c>
      <c r="W213" s="44">
        <f t="shared" si="66"/>
        <v>0</v>
      </c>
      <c r="X213" s="44">
        <f t="shared" si="66"/>
        <v>0</v>
      </c>
      <c r="Y213" s="44">
        <f t="shared" si="66"/>
        <v>0</v>
      </c>
      <c r="Z213" s="44">
        <f t="shared" si="66"/>
        <v>0</v>
      </c>
      <c r="AA213" s="44">
        <f t="shared" si="66"/>
        <v>0</v>
      </c>
      <c r="AB213" s="44">
        <f t="shared" si="66"/>
        <v>0</v>
      </c>
      <c r="AC213" s="44">
        <f t="shared" si="66"/>
        <v>0</v>
      </c>
      <c r="AD213" s="44">
        <f t="shared" si="66"/>
        <v>0</v>
      </c>
      <c r="AE213" s="44">
        <f t="shared" si="66"/>
        <v>0</v>
      </c>
      <c r="AF213" s="44">
        <f t="shared" si="66"/>
        <v>0</v>
      </c>
      <c r="AG213" s="44">
        <f t="shared" si="66"/>
        <v>0</v>
      </c>
      <c r="AH213" s="44">
        <f t="shared" si="66"/>
        <v>0</v>
      </c>
    </row>
    <row r="214" spans="1:42">
      <c r="C214" t="s">
        <v>172</v>
      </c>
      <c r="D214" s="44">
        <f t="shared" ref="D214:AH214" si="67">D82</f>
        <v>0</v>
      </c>
      <c r="E214" s="44">
        <f t="shared" si="67"/>
        <v>0</v>
      </c>
      <c r="F214" s="44">
        <f t="shared" si="67"/>
        <v>0</v>
      </c>
      <c r="G214" s="44">
        <f t="shared" si="67"/>
        <v>0</v>
      </c>
      <c r="H214" s="44">
        <f t="shared" si="67"/>
        <v>0</v>
      </c>
      <c r="I214" s="44">
        <f t="shared" si="67"/>
        <v>0</v>
      </c>
      <c r="J214" s="44">
        <f t="shared" si="67"/>
        <v>0</v>
      </c>
      <c r="K214" s="44">
        <f t="shared" si="67"/>
        <v>0</v>
      </c>
      <c r="L214" s="44">
        <f t="shared" si="67"/>
        <v>0</v>
      </c>
      <c r="M214" s="44">
        <f t="shared" si="67"/>
        <v>0</v>
      </c>
      <c r="N214" s="44">
        <f t="shared" si="67"/>
        <v>0</v>
      </c>
      <c r="O214" s="44">
        <f t="shared" si="67"/>
        <v>0</v>
      </c>
      <c r="P214" s="44">
        <f t="shared" si="67"/>
        <v>0</v>
      </c>
      <c r="Q214" s="44">
        <f t="shared" si="67"/>
        <v>0</v>
      </c>
      <c r="R214" s="44">
        <f t="shared" si="67"/>
        <v>0</v>
      </c>
      <c r="S214" s="44">
        <f t="shared" si="67"/>
        <v>0</v>
      </c>
      <c r="T214" s="44">
        <f t="shared" si="67"/>
        <v>0</v>
      </c>
      <c r="U214" s="44">
        <f t="shared" si="67"/>
        <v>0</v>
      </c>
      <c r="V214" s="44">
        <f t="shared" si="67"/>
        <v>0</v>
      </c>
      <c r="W214" s="44">
        <f t="shared" si="67"/>
        <v>0</v>
      </c>
      <c r="X214" s="44">
        <f t="shared" si="67"/>
        <v>0</v>
      </c>
      <c r="Y214" s="44">
        <f t="shared" si="67"/>
        <v>0</v>
      </c>
      <c r="Z214" s="44">
        <f t="shared" si="67"/>
        <v>0</v>
      </c>
      <c r="AA214" s="44">
        <f t="shared" si="67"/>
        <v>0</v>
      </c>
      <c r="AB214" s="44">
        <f t="shared" si="67"/>
        <v>0</v>
      </c>
      <c r="AC214" s="44">
        <f t="shared" si="67"/>
        <v>0</v>
      </c>
      <c r="AD214" s="44">
        <f t="shared" si="67"/>
        <v>0</v>
      </c>
      <c r="AE214" s="44">
        <f t="shared" si="67"/>
        <v>0</v>
      </c>
      <c r="AF214" s="44">
        <f t="shared" si="67"/>
        <v>0</v>
      </c>
      <c r="AG214" s="44">
        <f t="shared" si="67"/>
        <v>0</v>
      </c>
      <c r="AH214" s="44">
        <f t="shared" si="67"/>
        <v>0</v>
      </c>
    </row>
    <row r="215" spans="1:42">
      <c r="C215" t="s">
        <v>324</v>
      </c>
      <c r="D215" s="44">
        <f t="shared" ref="D215:AH215" si="68">D33</f>
        <v>89.109936202323638</v>
      </c>
      <c r="E215" s="44">
        <f t="shared" si="68"/>
        <v>90.357475309156172</v>
      </c>
      <c r="F215" s="44">
        <f t="shared" si="68"/>
        <v>91.622479963484366</v>
      </c>
      <c r="G215" s="44">
        <f t="shared" si="68"/>
        <v>92.905194682973146</v>
      </c>
      <c r="H215" s="44">
        <f t="shared" si="68"/>
        <v>94.205867408534772</v>
      </c>
      <c r="I215" s="44">
        <f t="shared" si="68"/>
        <v>95.524749552254264</v>
      </c>
      <c r="J215" s="44">
        <f t="shared" si="68"/>
        <v>96.862096045985822</v>
      </c>
      <c r="K215" s="44">
        <f t="shared" si="68"/>
        <v>98.218165390629622</v>
      </c>
      <c r="L215" s="44">
        <f t="shared" si="68"/>
        <v>99.593219706098438</v>
      </c>
      <c r="M215" s="44">
        <f t="shared" si="68"/>
        <v>100.98752478198382</v>
      </c>
      <c r="N215" s="44">
        <f t="shared" si="68"/>
        <v>102.4013501289316</v>
      </c>
      <c r="O215" s="44">
        <f t="shared" si="68"/>
        <v>103.83496903073664</v>
      </c>
      <c r="P215" s="44">
        <f t="shared" si="68"/>
        <v>105.28865859716696</v>
      </c>
      <c r="Q215" s="44">
        <f t="shared" si="68"/>
        <v>106.76269981752729</v>
      </c>
      <c r="R215" s="44">
        <f t="shared" si="68"/>
        <v>108.25737761497267</v>
      </c>
      <c r="S215" s="44">
        <f t="shared" si="68"/>
        <v>109.77298090158229</v>
      </c>
      <c r="T215" s="44">
        <f t="shared" si="68"/>
        <v>111.30980263420444</v>
      </c>
      <c r="U215" s="44">
        <f t="shared" si="68"/>
        <v>112.86813987108332</v>
      </c>
      <c r="V215" s="44">
        <f t="shared" si="68"/>
        <v>114.44829382927848</v>
      </c>
      <c r="W215" s="44">
        <f t="shared" si="68"/>
        <v>116.05056994288839</v>
      </c>
      <c r="X215" s="44">
        <f t="shared" si="68"/>
        <v>117.67527792208882</v>
      </c>
      <c r="Y215" s="44">
        <f t="shared" si="68"/>
        <v>119.32273181299807</v>
      </c>
      <c r="Z215" s="44">
        <f t="shared" si="68"/>
        <v>120.99325005838004</v>
      </c>
      <c r="AA215" s="44">
        <f t="shared" si="68"/>
        <v>122.68715555919736</v>
      </c>
      <c r="AB215" s="44">
        <f t="shared" si="68"/>
        <v>124.40477573702613</v>
      </c>
      <c r="AC215" s="44">
        <f t="shared" si="68"/>
        <v>126.14644259734449</v>
      </c>
      <c r="AD215" s="44">
        <f t="shared" si="68"/>
        <v>127.91249279370732</v>
      </c>
      <c r="AE215" s="44">
        <f t="shared" si="68"/>
        <v>129.70326769281922</v>
      </c>
      <c r="AF215" s="44">
        <f t="shared" si="68"/>
        <v>131.51911344051871</v>
      </c>
      <c r="AG215" s="44">
        <f t="shared" si="68"/>
        <v>133.36038102868596</v>
      </c>
      <c r="AH215" s="44">
        <f t="shared" si="68"/>
        <v>135.22742636308757</v>
      </c>
    </row>
    <row r="216" spans="1:42">
      <c r="C216" t="s">
        <v>310</v>
      </c>
      <c r="D216" s="44">
        <f t="shared" ref="D216:AH216" si="69">D43</f>
        <v>34.871127768537121</v>
      </c>
      <c r="E216" s="44">
        <f t="shared" si="69"/>
        <v>35.463936940602252</v>
      </c>
      <c r="F216" s="44">
        <f t="shared" si="69"/>
        <v>36.066823868592486</v>
      </c>
      <c r="G216" s="44">
        <f t="shared" si="69"/>
        <v>36.679959874358552</v>
      </c>
      <c r="H216" s="44">
        <f t="shared" si="69"/>
        <v>37.303519192222645</v>
      </c>
      <c r="I216" s="44">
        <f t="shared" si="69"/>
        <v>37.937679018490428</v>
      </c>
      <c r="J216" s="44">
        <f t="shared" si="69"/>
        <v>38.582619561804762</v>
      </c>
      <c r="K216" s="44">
        <f t="shared" si="69"/>
        <v>39.238524094355441</v>
      </c>
      <c r="L216" s="44">
        <f t="shared" si="69"/>
        <v>39.905579003959481</v>
      </c>
      <c r="M216" s="44">
        <f t="shared" si="69"/>
        <v>40.58397384702679</v>
      </c>
      <c r="N216" s="44">
        <f t="shared" si="69"/>
        <v>41.27390140242624</v>
      </c>
      <c r="O216" s="44">
        <f t="shared" si="69"/>
        <v>41.975557726267482</v>
      </c>
      <c r="P216" s="44">
        <f t="shared" si="69"/>
        <v>42.689142207614026</v>
      </c>
      <c r="Q216" s="44">
        <f t="shared" si="69"/>
        <v>43.414857625143462</v>
      </c>
      <c r="R216" s="44">
        <f t="shared" si="69"/>
        <v>44.152910204770897</v>
      </c>
      <c r="S216" s="44">
        <f t="shared" si="69"/>
        <v>44.903509678252</v>
      </c>
      <c r="T216" s="44">
        <f t="shared" si="69"/>
        <v>45.666869342782277</v>
      </c>
      <c r="U216" s="44">
        <f t="shared" si="69"/>
        <v>46.44320612160957</v>
      </c>
      <c r="V216" s="44">
        <f t="shared" si="69"/>
        <v>47.232740625676925</v>
      </c>
      <c r="W216" s="44">
        <f t="shared" si="69"/>
        <v>48.03569721631343</v>
      </c>
      <c r="X216" s="44">
        <f t="shared" si="69"/>
        <v>48.852304068990755</v>
      </c>
      <c r="Y216" s="44">
        <f t="shared" si="69"/>
        <v>49.68279323816359</v>
      </c>
      <c r="Z216" s="44">
        <f t="shared" si="69"/>
        <v>50.527400723212367</v>
      </c>
      <c r="AA216" s="44">
        <f t="shared" si="69"/>
        <v>51.386366535506973</v>
      </c>
      <c r="AB216" s="44">
        <f t="shared" si="69"/>
        <v>52.259934766610584</v>
      </c>
      <c r="AC216" s="44">
        <f t="shared" si="69"/>
        <v>53.148353657642957</v>
      </c>
      <c r="AD216" s="44">
        <f t="shared" si="69"/>
        <v>54.051875669822884</v>
      </c>
      <c r="AE216" s="44">
        <f t="shared" si="69"/>
        <v>54.970757556209868</v>
      </c>
      <c r="AF216" s="44">
        <f t="shared" si="69"/>
        <v>55.905260434665429</v>
      </c>
      <c r="AG216" s="44">
        <f t="shared" si="69"/>
        <v>56.855649862054733</v>
      </c>
      <c r="AH216" s="44">
        <f t="shared" si="69"/>
        <v>57.822195909709656</v>
      </c>
    </row>
    <row r="217" spans="1:42">
      <c r="C217" t="s">
        <v>311</v>
      </c>
      <c r="D217" s="44">
        <f t="shared" ref="D217:AH217" si="70">D19</f>
        <v>8.4778361655826675</v>
      </c>
      <c r="E217" s="44">
        <f t="shared" si="70"/>
        <v>8.6305813397779687</v>
      </c>
      <c r="F217" s="44">
        <f t="shared" si="70"/>
        <v>8.7860697552440588</v>
      </c>
      <c r="G217" s="44">
        <f t="shared" si="70"/>
        <v>8.9443505388287985</v>
      </c>
      <c r="H217" s="44">
        <f t="shared" si="70"/>
        <v>9.1054736948961548</v>
      </c>
      <c r="I217" s="44">
        <f t="shared" si="70"/>
        <v>9.269490120964079</v>
      </c>
      <c r="J217" s="44">
        <f t="shared" si="70"/>
        <v>9.4364516236204885</v>
      </c>
      <c r="K217" s="44">
        <f t="shared" si="70"/>
        <v>9.6064109347222555</v>
      </c>
      <c r="L217" s="44">
        <f t="shared" si="70"/>
        <v>9.7794217278822568</v>
      </c>
      <c r="M217" s="44">
        <f t="shared" si="70"/>
        <v>9.9555386352495638</v>
      </c>
      <c r="N217" s="44">
        <f t="shared" si="70"/>
        <v>10.134817264588001</v>
      </c>
      <c r="O217" s="44">
        <f t="shared" si="70"/>
        <v>10.347929392375447</v>
      </c>
      <c r="P217" s="44">
        <f t="shared" si="70"/>
        <v>10.565358370318199</v>
      </c>
      <c r="Q217" s="44">
        <f t="shared" si="70"/>
        <v>10.787189381916606</v>
      </c>
      <c r="R217" s="44">
        <f t="shared" si="70"/>
        <v>11.013509259340339</v>
      </c>
      <c r="S217" s="44">
        <f t="shared" si="70"/>
        <v>11.244406514865107</v>
      </c>
      <c r="T217" s="44">
        <f t="shared" si="70"/>
        <v>11.479971372901765</v>
      </c>
      <c r="U217" s="44">
        <f t="shared" si="70"/>
        <v>11.720295802628874</v>
      </c>
      <c r="V217" s="44">
        <f t="shared" si="70"/>
        <v>11.965473551239935</v>
      </c>
      <c r="W217" s="44">
        <f t="shared" si="70"/>
        <v>12.215600177816814</v>
      </c>
      <c r="X217" s="44">
        <f t="shared" si="70"/>
        <v>12.470773087840998</v>
      </c>
      <c r="Y217" s="44">
        <f t="shared" si="70"/>
        <v>12.743170402859695</v>
      </c>
      <c r="Z217" s="44">
        <f t="shared" si="70"/>
        <v>13.021225173166643</v>
      </c>
      <c r="AA217" s="44">
        <f t="shared" si="70"/>
        <v>13.305051029417598</v>
      </c>
      <c r="AB217" s="44">
        <f t="shared" si="70"/>
        <v>13.594763830706043</v>
      </c>
      <c r="AC217" s="44">
        <f t="shared" si="70"/>
        <v>13.890481707490792</v>
      </c>
      <c r="AD217" s="44">
        <f t="shared" si="70"/>
        <v>14.192325105339149</v>
      </c>
      <c r="AE217" s="44">
        <f t="shared" si="70"/>
        <v>14.500416829500885</v>
      </c>
      <c r="AF217" s="44">
        <f t="shared" si="70"/>
        <v>14.814882090328679</v>
      </c>
      <c r="AG217" s="44">
        <f t="shared" si="70"/>
        <v>15.13584854956089</v>
      </c>
      <c r="AH217" s="44">
        <f t="shared" si="70"/>
        <v>15.463446367482891</v>
      </c>
    </row>
    <row r="218" spans="1:42">
      <c r="C218" s="131" t="s">
        <v>320</v>
      </c>
      <c r="D218" s="44">
        <f t="shared" ref="D218:AH218" si="71">D55</f>
        <v>3.4336211538461541</v>
      </c>
      <c r="E218" s="44">
        <f t="shared" si="71"/>
        <v>3.5057271980769231</v>
      </c>
      <c r="F218" s="44">
        <f t="shared" si="71"/>
        <v>3.5793474692365383</v>
      </c>
      <c r="G218" s="44">
        <f t="shared" si="71"/>
        <v>3.6545137660905054</v>
      </c>
      <c r="H218" s="44">
        <f t="shared" si="71"/>
        <v>3.7312585551784054</v>
      </c>
      <c r="I218" s="44">
        <f t="shared" si="71"/>
        <v>3.8096149848371517</v>
      </c>
      <c r="J218" s="44">
        <f t="shared" si="71"/>
        <v>3.8896168995187317</v>
      </c>
      <c r="K218" s="44">
        <f t="shared" si="71"/>
        <v>3.9712988544086247</v>
      </c>
      <c r="L218" s="44">
        <f t="shared" si="71"/>
        <v>4.0546961303512052</v>
      </c>
      <c r="M218" s="44">
        <f t="shared" si="71"/>
        <v>4.1398447490885806</v>
      </c>
      <c r="N218" s="44">
        <f t="shared" si="71"/>
        <v>4.2267814888194408</v>
      </c>
      <c r="O218" s="44">
        <f t="shared" si="71"/>
        <v>4.3155439000846485</v>
      </c>
      <c r="P218" s="44">
        <f t="shared" si="71"/>
        <v>4.4061703219864254</v>
      </c>
      <c r="Q218" s="44">
        <f t="shared" si="71"/>
        <v>4.4986998987481401</v>
      </c>
      <c r="R218" s="44">
        <f t="shared" si="71"/>
        <v>4.5931725966218506</v>
      </c>
      <c r="S218" s="44">
        <f t="shared" si="71"/>
        <v>4.6896292211509092</v>
      </c>
      <c r="T218" s="44">
        <f t="shared" si="71"/>
        <v>4.7881114347950779</v>
      </c>
      <c r="U218" s="44">
        <f t="shared" si="71"/>
        <v>4.8886617749257741</v>
      </c>
      <c r="V218" s="44">
        <f t="shared" si="71"/>
        <v>4.9913236721992149</v>
      </c>
      <c r="W218" s="44">
        <f t="shared" si="71"/>
        <v>5.0961414693153984</v>
      </c>
      <c r="X218" s="44">
        <f t="shared" si="71"/>
        <v>5.203160440171021</v>
      </c>
      <c r="Y218" s="44">
        <f t="shared" si="71"/>
        <v>5.3124268094146121</v>
      </c>
      <c r="Z218" s="44">
        <f t="shared" si="71"/>
        <v>5.4239877724123184</v>
      </c>
      <c r="AA218" s="44">
        <f t="shared" si="71"/>
        <v>5.5378915156329764</v>
      </c>
      <c r="AB218" s="44">
        <f t="shared" si="71"/>
        <v>5.6541872374612687</v>
      </c>
      <c r="AC218" s="44">
        <f t="shared" si="71"/>
        <v>5.7729251694479551</v>
      </c>
      <c r="AD218" s="44">
        <f t="shared" si="71"/>
        <v>5.8941565980063615</v>
      </c>
      <c r="AE218" s="44">
        <f t="shared" si="71"/>
        <v>6.0179338865644949</v>
      </c>
      <c r="AF218" s="44">
        <f t="shared" si="71"/>
        <v>6.1443104981823486</v>
      </c>
      <c r="AG218" s="44">
        <f t="shared" si="71"/>
        <v>6.2733410186441771</v>
      </c>
      <c r="AH218" s="44">
        <f t="shared" si="71"/>
        <v>6.4050811800357046</v>
      </c>
    </row>
    <row r="219" spans="1:42">
      <c r="C219" t="s">
        <v>321</v>
      </c>
      <c r="D219" s="44">
        <f t="shared" ref="D219:AH219" si="72">D74</f>
        <v>0</v>
      </c>
      <c r="E219" s="44">
        <f t="shared" si="72"/>
        <v>0.67110171196554103</v>
      </c>
      <c r="F219" s="44">
        <f t="shared" si="72"/>
        <v>0.75796752501421338</v>
      </c>
      <c r="G219" s="44">
        <f t="shared" si="72"/>
        <v>0.85616184156287534</v>
      </c>
      <c r="H219" s="44">
        <f t="shared" si="72"/>
        <v>0.9671713517084386</v>
      </c>
      <c r="I219" s="44">
        <f t="shared" si="72"/>
        <v>1.0926788620857466</v>
      </c>
      <c r="J219" s="44">
        <f t="shared" si="72"/>
        <v>1.2345892759355666</v>
      </c>
      <c r="K219" s="44">
        <f t="shared" si="72"/>
        <v>1.3950590265859308</v>
      </c>
      <c r="L219" s="44">
        <f t="shared" si="72"/>
        <v>1.5765294246538997</v>
      </c>
      <c r="M219" s="44">
        <f t="shared" si="72"/>
        <v>1.7817644407638649</v>
      </c>
      <c r="N219" s="44">
        <f t="shared" si="72"/>
        <v>2.0138935152958402</v>
      </c>
      <c r="O219" s="44">
        <f t="shared" si="72"/>
        <v>2.2764600657252894</v>
      </c>
      <c r="P219" s="44">
        <f t="shared" si="72"/>
        <v>2.5734764517453481</v>
      </c>
      <c r="Q219" s="44">
        <f t="shared" si="72"/>
        <v>2.9094862599913314</v>
      </c>
      <c r="R219" s="44">
        <f t="shared" si="72"/>
        <v>3.2896348854242845</v>
      </c>
      <c r="S219" s="44">
        <f t="shared" si="72"/>
        <v>3.7197495171000581</v>
      </c>
      <c r="T219" s="44">
        <f t="shared" si="72"/>
        <v>4.2064297842214451</v>
      </c>
      <c r="U219" s="44">
        <f t="shared" si="72"/>
        <v>4.7571504863910397</v>
      </c>
      <c r="V219" s="44">
        <f t="shared" si="72"/>
        <v>5.3803780225130033</v>
      </c>
      <c r="W219" s="44">
        <f t="shared" si="72"/>
        <v>6.0857023488525108</v>
      </c>
      <c r="X219" s="44">
        <f t="shared" si="72"/>
        <v>6.8839865417768289</v>
      </c>
      <c r="Y219" s="44">
        <f t="shared" si="72"/>
        <v>7.7875363185562083</v>
      </c>
      <c r="Z219" s="44">
        <f t="shared" si="72"/>
        <v>8.8102921847018152</v>
      </c>
      <c r="AA219" s="44">
        <f t="shared" si="72"/>
        <v>9.9680472336598847</v>
      </c>
      <c r="AB219" s="44">
        <f t="shared" si="72"/>
        <v>11.27869402993422</v>
      </c>
      <c r="AC219" s="44">
        <f t="shared" si="72"/>
        <v>12.762504466303872</v>
      </c>
      <c r="AD219" s="44">
        <f t="shared" si="72"/>
        <v>14.442447007032245</v>
      </c>
      <c r="AE219" s="44">
        <f t="shared" si="72"/>
        <v>16.34454632010209</v>
      </c>
      <c r="AF219" s="44">
        <f t="shared" si="72"/>
        <v>18.498290971941969</v>
      </c>
      <c r="AG219" s="44">
        <f t="shared" si="72"/>
        <v>20.937095618479546</v>
      </c>
      <c r="AH219" s="44">
        <f t="shared" si="72"/>
        <v>23.698824988741201</v>
      </c>
    </row>
    <row r="220" spans="1:42">
      <c r="C220" t="s">
        <v>248</v>
      </c>
      <c r="D220" s="44">
        <f t="shared" ref="D220:AH220" si="73">D65</f>
        <v>26.799786402018107</v>
      </c>
      <c r="E220" s="44">
        <f t="shared" si="73"/>
        <v>28.769681809966333</v>
      </c>
      <c r="F220" s="44">
        <f t="shared" si="73"/>
        <v>30.807720797164642</v>
      </c>
      <c r="G220" s="44">
        <f t="shared" si="73"/>
        <v>32.915880342003298</v>
      </c>
      <c r="H220" s="44">
        <f t="shared" si="73"/>
        <v>35.096190748991432</v>
      </c>
      <c r="I220" s="44">
        <f t="shared" si="73"/>
        <v>37.35073703588138</v>
      </c>
      <c r="J220" s="44">
        <f t="shared" si="73"/>
        <v>39.180145460280585</v>
      </c>
      <c r="K220" s="44">
        <f t="shared" si="73"/>
        <v>41.064673760592719</v>
      </c>
      <c r="L220" s="44">
        <f t="shared" si="73"/>
        <v>43.005756065858371</v>
      </c>
      <c r="M220" s="44">
        <f t="shared" si="73"/>
        <v>45.004861388134636</v>
      </c>
      <c r="N220" s="44">
        <f t="shared" si="73"/>
        <v>47.063494440626691</v>
      </c>
      <c r="O220" s="44">
        <f t="shared" si="73"/>
        <v>47.110034965693075</v>
      </c>
      <c r="P220" s="44">
        <f t="shared" si="73"/>
        <v>47.1488823667829</v>
      </c>
      <c r="Q220" s="44">
        <f t="shared" si="73"/>
        <v>47.179810597404305</v>
      </c>
      <c r="R220" s="44">
        <f t="shared" si="73"/>
        <v>47.202588692034396</v>
      </c>
      <c r="S220" s="44">
        <f t="shared" si="73"/>
        <v>47.216980670019545</v>
      </c>
      <c r="T220" s="44">
        <f t="shared" si="73"/>
        <v>47.077163873772086</v>
      </c>
      <c r="U220" s="44">
        <f t="shared" si="73"/>
        <v>46.925103799560603</v>
      </c>
      <c r="V220" s="44">
        <f t="shared" si="73"/>
        <v>46.760490310763501</v>
      </c>
      <c r="W220" s="44">
        <f t="shared" si="73"/>
        <v>46.583006949548768</v>
      </c>
      <c r="X220" s="44">
        <f t="shared" si="73"/>
        <v>46.392330818424632</v>
      </c>
      <c r="Y220" s="44">
        <f t="shared" si="73"/>
        <v>46.05057326779729</v>
      </c>
      <c r="Z220" s="44">
        <f t="shared" si="73"/>
        <v>45.691947626346987</v>
      </c>
      <c r="AA220" s="44">
        <f t="shared" si="73"/>
        <v>45.316061544684054</v>
      </c>
      <c r="AB220" s="44">
        <f t="shared" si="73"/>
        <v>44.922515017267713</v>
      </c>
      <c r="AC220" s="44">
        <f t="shared" si="73"/>
        <v>44.510900243015016</v>
      </c>
      <c r="AD220" s="44">
        <f t="shared" si="73"/>
        <v>43.950425641835416</v>
      </c>
      <c r="AE220" s="44">
        <f t="shared" si="73"/>
        <v>43.368338750480113</v>
      </c>
      <c r="AF220" s="44">
        <f t="shared" si="73"/>
        <v>42.76416543473605</v>
      </c>
      <c r="AG220" s="44">
        <f t="shared" si="73"/>
        <v>42.137422599940138</v>
      </c>
      <c r="AH220" s="44">
        <f t="shared" si="73"/>
        <v>41.487618031273527</v>
      </c>
    </row>
    <row r="221" spans="1:42">
      <c r="C221" t="s">
        <v>364</v>
      </c>
      <c r="D221" s="44">
        <f>SUM(D213:D220)</f>
        <v>162.69230769230768</v>
      </c>
      <c r="E221" s="44">
        <f t="shared" ref="E221:AH221" si="74">SUM(E213:E220)</f>
        <v>167.39850430954519</v>
      </c>
      <c r="F221" s="44">
        <f t="shared" si="74"/>
        <v>171.62040937873633</v>
      </c>
      <c r="G221" s="44">
        <f t="shared" si="74"/>
        <v>175.95606104581717</v>
      </c>
      <c r="H221" s="44">
        <f t="shared" si="74"/>
        <v>180.40948095153183</v>
      </c>
      <c r="I221" s="44">
        <f t="shared" si="74"/>
        <v>184.984949574513</v>
      </c>
      <c r="J221" s="44">
        <f t="shared" si="74"/>
        <v>189.18551886714596</v>
      </c>
      <c r="K221" s="44">
        <f t="shared" si="74"/>
        <v>193.49413206129458</v>
      </c>
      <c r="L221" s="44">
        <f t="shared" si="74"/>
        <v>197.91520205880366</v>
      </c>
      <c r="M221" s="44">
        <f t="shared" si="74"/>
        <v>202.45350784224723</v>
      </c>
      <c r="N221" s="44">
        <f t="shared" si="74"/>
        <v>207.11423824068785</v>
      </c>
      <c r="O221" s="44">
        <f t="shared" si="74"/>
        <v>209.8604950808826</v>
      </c>
      <c r="P221" s="44">
        <f t="shared" si="74"/>
        <v>212.67168831561384</v>
      </c>
      <c r="Q221" s="44">
        <f t="shared" si="74"/>
        <v>215.55274358073112</v>
      </c>
      <c r="R221" s="44">
        <f t="shared" si="74"/>
        <v>218.50919325316443</v>
      </c>
      <c r="S221" s="44">
        <f t="shared" si="74"/>
        <v>221.54725650296993</v>
      </c>
      <c r="T221" s="44">
        <f t="shared" si="74"/>
        <v>224.5283484426771</v>
      </c>
      <c r="U221" s="44">
        <f t="shared" si="74"/>
        <v>227.60255785619916</v>
      </c>
      <c r="V221" s="44">
        <f t="shared" si="74"/>
        <v>230.77870001167105</v>
      </c>
      <c r="W221" s="44">
        <f t="shared" si="74"/>
        <v>234.06671810473532</v>
      </c>
      <c r="X221" s="44">
        <f t="shared" si="74"/>
        <v>237.47783287929306</v>
      </c>
      <c r="Y221" s="44">
        <f t="shared" si="74"/>
        <v>240.89923184978949</v>
      </c>
      <c r="Z221" s="44">
        <f t="shared" si="74"/>
        <v>244.46810353822013</v>
      </c>
      <c r="AA221" s="44">
        <f t="shared" si="74"/>
        <v>248.20057341809886</v>
      </c>
      <c r="AB221" s="44">
        <f t="shared" si="74"/>
        <v>252.11487061900596</v>
      </c>
      <c r="AC221" s="44">
        <f t="shared" si="74"/>
        <v>256.23160784124502</v>
      </c>
      <c r="AD221" s="44">
        <f t="shared" si="74"/>
        <v>260.4437228157434</v>
      </c>
      <c r="AE221" s="44">
        <f t="shared" si="74"/>
        <v>264.90526103567669</v>
      </c>
      <c r="AF221" s="44">
        <f t="shared" si="74"/>
        <v>269.64602287037314</v>
      </c>
      <c r="AG221" s="44">
        <f t="shared" si="74"/>
        <v>274.69973867736542</v>
      </c>
      <c r="AH221" s="44">
        <f t="shared" si="74"/>
        <v>280.10459284033055</v>
      </c>
    </row>
    <row r="223" spans="1:42">
      <c r="A223" s="1" t="s">
        <v>365</v>
      </c>
      <c r="C223" t="s">
        <v>168</v>
      </c>
      <c r="D223" s="44">
        <f>D213</f>
        <v>0</v>
      </c>
      <c r="E223" s="44">
        <f t="shared" ref="E223:AH224" si="75">E213</f>
        <v>0</v>
      </c>
      <c r="F223" s="44">
        <f t="shared" si="75"/>
        <v>0</v>
      </c>
      <c r="G223" s="44">
        <f t="shared" si="75"/>
        <v>0</v>
      </c>
      <c r="H223" s="44">
        <f t="shared" si="75"/>
        <v>0</v>
      </c>
      <c r="I223" s="44">
        <f t="shared" si="75"/>
        <v>0</v>
      </c>
      <c r="J223" s="44">
        <f t="shared" si="75"/>
        <v>0</v>
      </c>
      <c r="K223" s="44">
        <f t="shared" si="75"/>
        <v>0</v>
      </c>
      <c r="L223" s="44">
        <f t="shared" si="75"/>
        <v>0</v>
      </c>
      <c r="M223" s="44">
        <f t="shared" si="75"/>
        <v>0</v>
      </c>
      <c r="N223" s="44">
        <f t="shared" si="75"/>
        <v>0</v>
      </c>
      <c r="O223" s="44">
        <f t="shared" si="75"/>
        <v>0</v>
      </c>
      <c r="P223" s="44">
        <f t="shared" si="75"/>
        <v>0</v>
      </c>
      <c r="Q223" s="44">
        <f t="shared" si="75"/>
        <v>0</v>
      </c>
      <c r="R223" s="44">
        <f t="shared" si="75"/>
        <v>0</v>
      </c>
      <c r="S223" s="44">
        <f t="shared" si="75"/>
        <v>0</v>
      </c>
      <c r="T223" s="44">
        <f t="shared" si="75"/>
        <v>0</v>
      </c>
      <c r="U223" s="44">
        <f t="shared" si="75"/>
        <v>0</v>
      </c>
      <c r="V223" s="44">
        <f t="shared" si="75"/>
        <v>0</v>
      </c>
      <c r="W223" s="44">
        <f t="shared" si="75"/>
        <v>0</v>
      </c>
      <c r="X223" s="44">
        <f t="shared" si="75"/>
        <v>0</v>
      </c>
      <c r="Y223" s="44">
        <f t="shared" si="75"/>
        <v>0</v>
      </c>
      <c r="Z223" s="44">
        <f t="shared" si="75"/>
        <v>0</v>
      </c>
      <c r="AA223" s="44">
        <f t="shared" si="75"/>
        <v>0</v>
      </c>
      <c r="AB223" s="44">
        <f t="shared" si="75"/>
        <v>0</v>
      </c>
      <c r="AC223" s="44">
        <f t="shared" si="75"/>
        <v>0</v>
      </c>
      <c r="AD223" s="44">
        <f t="shared" si="75"/>
        <v>0</v>
      </c>
      <c r="AE223" s="44">
        <f t="shared" si="75"/>
        <v>0</v>
      </c>
      <c r="AF223" s="44">
        <f t="shared" si="75"/>
        <v>0</v>
      </c>
      <c r="AG223" s="44">
        <f t="shared" si="75"/>
        <v>0</v>
      </c>
      <c r="AH223" s="44">
        <f t="shared" si="75"/>
        <v>0</v>
      </c>
    </row>
    <row r="224" spans="1:42">
      <c r="C224" t="s">
        <v>172</v>
      </c>
      <c r="D224" s="44">
        <f>D214</f>
        <v>0</v>
      </c>
      <c r="E224" s="44">
        <f t="shared" si="75"/>
        <v>0</v>
      </c>
      <c r="F224" s="44">
        <f t="shared" si="75"/>
        <v>0</v>
      </c>
      <c r="G224" s="44">
        <f t="shared" si="75"/>
        <v>0</v>
      </c>
      <c r="H224" s="44">
        <f t="shared" si="75"/>
        <v>0</v>
      </c>
      <c r="I224" s="44">
        <f t="shared" si="75"/>
        <v>0</v>
      </c>
      <c r="J224" s="44">
        <f t="shared" si="75"/>
        <v>0</v>
      </c>
      <c r="K224" s="44">
        <f t="shared" si="75"/>
        <v>0</v>
      </c>
      <c r="L224" s="44">
        <f t="shared" si="75"/>
        <v>0</v>
      </c>
      <c r="M224" s="44">
        <f t="shared" si="75"/>
        <v>0</v>
      </c>
      <c r="N224" s="44">
        <f t="shared" si="75"/>
        <v>0</v>
      </c>
      <c r="O224" s="44">
        <f t="shared" si="75"/>
        <v>0</v>
      </c>
      <c r="P224" s="44">
        <f t="shared" si="75"/>
        <v>0</v>
      </c>
      <c r="Q224" s="44">
        <f t="shared" si="75"/>
        <v>0</v>
      </c>
      <c r="R224" s="44">
        <f t="shared" si="75"/>
        <v>0</v>
      </c>
      <c r="S224" s="44">
        <f t="shared" si="75"/>
        <v>0</v>
      </c>
      <c r="T224" s="44">
        <f t="shared" si="75"/>
        <v>0</v>
      </c>
      <c r="U224" s="44">
        <f t="shared" si="75"/>
        <v>0</v>
      </c>
      <c r="V224" s="44">
        <f t="shared" si="75"/>
        <v>0</v>
      </c>
      <c r="W224" s="44">
        <f t="shared" si="75"/>
        <v>0</v>
      </c>
      <c r="X224" s="44">
        <f t="shared" si="75"/>
        <v>0</v>
      </c>
      <c r="Y224" s="44">
        <f t="shared" si="75"/>
        <v>0</v>
      </c>
      <c r="Z224" s="44">
        <f t="shared" si="75"/>
        <v>0</v>
      </c>
      <c r="AA224" s="44">
        <f t="shared" si="75"/>
        <v>0</v>
      </c>
      <c r="AB224" s="44">
        <f t="shared" si="75"/>
        <v>0</v>
      </c>
      <c r="AC224" s="44">
        <f t="shared" si="75"/>
        <v>0</v>
      </c>
      <c r="AD224" s="44">
        <f t="shared" si="75"/>
        <v>0</v>
      </c>
      <c r="AE224" s="44">
        <f t="shared" si="75"/>
        <v>0</v>
      </c>
      <c r="AF224" s="44">
        <f t="shared" si="75"/>
        <v>0</v>
      </c>
      <c r="AG224" s="44">
        <f t="shared" si="75"/>
        <v>0</v>
      </c>
      <c r="AH224" s="44">
        <f t="shared" si="75"/>
        <v>0</v>
      </c>
      <c r="AJ224" cm="1">
        <f t="array" ref="AJ224">_xlfn.IFS(AH127&lt;0, AH122, AH127-AH122&lt;=0,AH127-AH122, else, AH122)</f>
        <v>-36.892074737791063</v>
      </c>
    </row>
    <row r="225" spans="3:37">
      <c r="C225" t="s">
        <v>193</v>
      </c>
      <c r="D225" s="44" cm="1">
        <f t="array" ref="D225">-(D95-D92+D105-D102+D115-D112+_xlfn.IFS(D127&lt;0, -D122, D127-D122&lt;=0,D127-D122, else, D122)+D139-D134)</f>
        <v>0</v>
      </c>
      <c r="E225" s="44" cm="1">
        <f t="array" ref="E225">-(E95-E92+E105-E102+E115-E112+_xlfn.IFS(E127&lt;0, -E122, E127-E122&lt;=0,E127-E122, else, E122)+E139-E134)</f>
        <v>1.4635321208110845</v>
      </c>
      <c r="F225" s="44" cm="1">
        <f t="array" ref="F225">-(F95-F92+F105-F102+F115-F112+_xlfn.IFS(F127&lt;0, -F122, F127-F122&lt;=0,F127-F122, else, F122)+F139-F134)</f>
        <v>2.9466440824256388</v>
      </c>
      <c r="G225" s="44" cm="1">
        <f t="array" ref="G225">-(G95-G92+G105-G102+G115-G112+_xlfn.IFS(G127&lt;0, -G122, G127-G122&lt;=0,G127-G122, else, G122)+G139-G134)</f>
        <v>4.4403627434000725</v>
      </c>
      <c r="H225" s="44" cm="1">
        <f t="array" ref="H225">-(H95-H92+H105-H102+H115-H112+_xlfn.IFS(H127&lt;0, -H122, H127-H122&lt;=0,H127-H122, else, H122)+H139-H134)</f>
        <v>5.9352150958259209</v>
      </c>
      <c r="I225" s="44" cm="1">
        <f t="array" ref="I225">-(I95-I92+I105-I102+I115-I112+_xlfn.IFS(I127&lt;0, -I122, I127-I122&lt;=0,I127-I122, else, I122)+I139-I134)</f>
        <v>7.4213261590948143</v>
      </c>
      <c r="J225" s="44" cm="1">
        <f t="array" ref="J225">-(J95-J92+J105-J102+J115-J112+_xlfn.IFS(J127&lt;0, -J122, J127-J122&lt;=0,J127-J122, else, J122)+J139-J134)</f>
        <v>8.9462391408439963</v>
      </c>
      <c r="K225" s="44" cm="1">
        <f t="array" ref="K225">-(K95-K92+K105-K102+K115-K112+_xlfn.IFS(K127&lt;0, -K122, K127-K122&lt;=0,K127-K122, else, K122)+K139-K134)</f>
        <v>10.509239093155571</v>
      </c>
      <c r="L225" s="44" cm="1">
        <f t="array" ref="L225">-(L95-L92+L105-L102+L115-L112+_xlfn.IFS(L127&lt;0, -L122, L127-L122&lt;=0,L127-L122, else, L122)+L139-L134)</f>
        <v>12.109520373830563</v>
      </c>
      <c r="M225" s="44" cm="1">
        <f t="array" ref="M225">-(M95-M92+M105-M102+M115-M112+_xlfn.IFS(M127&lt;0, -M122, M127-M122&lt;=0,M127-M122, else, M122)+M139-M134)</f>
        <v>13.746185904323269</v>
      </c>
      <c r="N225" s="44" cm="1">
        <f t="array" ref="N225">-(N95-N92+N105-N102+N115-N112+_xlfn.IFS(N127&lt;0, -N122, N127-N122&lt;=0,N127-N122, else, N122)+N139-N134)</f>
        <v>15.418246663820995</v>
      </c>
      <c r="O225" s="44" cm="1">
        <f t="array" ref="O225">-(O95-O92+O105-O102+O115-O112+_xlfn.IFS(O127&lt;0, -O122, O127-O122&lt;=0,O127-O122, else, O122)+O139-O134)</f>
        <v>18.30534585469087</v>
      </c>
      <c r="P225" s="44" cm="1">
        <f t="array" ref="P225">-(P95-P92+P105-P102+P115-P112+_xlfn.IFS(P127&lt;0, -P122, P127-P122&lt;=0,P127-P122, else, P122)+P139-P134)</f>
        <v>21.20359354275665</v>
      </c>
      <c r="Q225" s="44" cm="1">
        <f t="array" ref="Q225">-(Q95-Q92+Q105-Q102+Q115-Q112+_xlfn.IFS(Q127&lt;0, -Q122, Q127-Q122&lt;=0,Q127-Q122, else, Q122)+Q139-Q134)</f>
        <v>24.098757960410868</v>
      </c>
      <c r="R225" s="44" cm="1">
        <f t="array" ref="R225">-(R95-R92+R105-R102+R115-R112+_xlfn.IFS(R127&lt;0, -R122, R127-R122&lt;=0,R127-R122, else, R122)+R139-R134)</f>
        <v>26.974665040416422</v>
      </c>
      <c r="S225" s="44" cm="1">
        <f t="array" ref="S225">-(S95-S92+S105-S102+S115-S112+_xlfn.IFS(S127&lt;0, -S122, S127-S122&lt;=0,S127-S122, else, S122)+S139-S134)</f>
        <v>29.815546424333533</v>
      </c>
      <c r="T225" s="44" cm="1">
        <f t="array" ref="T225">-(T95-T92+T105-T102+T115-T112+_xlfn.IFS(T127&lt;0, -T122, T127-T122&lt;=0,T127-T122, else, T122)+T139-T134)</f>
        <v>32.696433328815878</v>
      </c>
      <c r="U225" s="44" cm="1">
        <f t="array" ref="U225">-(U95-U92+U105-U102+U115-U112+_xlfn.IFS(U127&lt;0, -U122, U127-U122&lt;=0,U127-U122, else, U122)+U139-U134)</f>
        <v>35.616896532997778</v>
      </c>
      <c r="V225" s="44" cm="1">
        <f t="array" ref="V225">-(V95-V92+V105-V102+V115-V112+_xlfn.IFS(V127&lt;0, -V122, V127-V122&lt;=0,V127-V122, else, V122)+V139-V134)</f>
        <v>38.576482724253665</v>
      </c>
      <c r="W225" s="44" cm="1">
        <f t="array" ref="W225">-(W95-W92+W105-W102+W115-W112+_xlfn.IFS(W127&lt;0, -W122, W127-W122&lt;=0,W127-W122, else, W122)+W139-W134)</f>
        <v>41.57471446020039</v>
      </c>
      <c r="X225" s="44" cm="1">
        <f t="array" ref="X225">-(X95-X92+X105-X102+X115-X112+_xlfn.IFS(X127&lt;0, -X122, X127-X122&lt;=0,X127-X122, else, X122)+X139-X134)</f>
        <v>44.611090147295123</v>
      </c>
      <c r="Y225" s="44" cm="1">
        <f t="array" ref="Y225">-(Y95-Y92+Y105-Y102+Y115-Y112+_xlfn.IFS(Y127&lt;0, -Y122, Y127-Y122&lt;=0,Y127-Y122, else, Y122)+Y139-Y134)</f>
        <v>49.41963643469289</v>
      </c>
      <c r="Z225" s="44" cm="1">
        <f t="array" ref="Z225">-(Z95-Z92+Z105-Z102+Z115-Z112+_xlfn.IFS(Z127&lt;0, -Z122, Z127-Z122&lt;=0,Z127-Z122, else, Z122)+Z139-Z134)</f>
        <v>54.293330944567373</v>
      </c>
      <c r="AA225" s="44" cm="1">
        <f t="array" ref="AA225">-(AA95-AA92+AA105-AA102+AA115-AA112+_xlfn.IFS(AA127&lt;0, -AA122, AA127-AA122&lt;=0,AA127-AA122, else, AA122)+AA139-AA134)</f>
        <v>59.234626327245188</v>
      </c>
      <c r="AB225" s="44" cm="1">
        <f t="array" ref="AB225">-(AB95-AB92+AB105-AB102+AB115-AB112+_xlfn.IFS(AB127&lt;0, -AB122, AB127-AB122&lt;=0,AB127-AB122, else, AB122)+AB139-AB134)</f>
        <v>64.240172880020197</v>
      </c>
      <c r="AC225" s="44" cm="1">
        <f t="array" ref="AC225">-(AC95-AC92+AC105-AC102+AC115-AC112+_xlfn.IFS(AC127&lt;0, -AC122, AC127-AC122&lt;=0,AC127-AC122, else, AC122)+AC139-AC134)</f>
        <v>69.309212342798389</v>
      </c>
      <c r="AD225" s="44" cm="1">
        <f t="array" ref="AD225">-(AD95-AD92+AD105-AD102+AD115-AD112+_xlfn.IFS(AD127&lt;0, -AD122, AD127-AD122&lt;=0,AD127-AD122, else, AD122)+AD139-AD134)</f>
        <v>74.441823112694351</v>
      </c>
      <c r="AE225" s="44" cm="1">
        <f t="array" ref="AE225">-(AE95-AE92+AE105-AE102+AE115-AE112+_xlfn.IFS(AE127&lt;0, -AE122, AE127-AE122&lt;=0,AE127-AE122, else, AE122)+AE139-AE134)</f>
        <v>79.637323501712331</v>
      </c>
      <c r="AF225" s="44" cm="1">
        <f t="array" ref="AF225">-(AF95-AF92+AF105-AF102+AF115-AF112+_xlfn.IFS(AF127&lt;0, -AF122, AF127-AF122&lt;=0,AF127-AF122, else, AF122)+AF139-AF134)</f>
        <v>84.894999629973285</v>
      </c>
      <c r="AG225" s="44" cm="1">
        <f t="array" ref="AG225">-(AG95-AG92+AG105-AG102+AG115-AG112+_xlfn.IFS(AG127&lt;0, -AG122, AG127-AG122&lt;=0,AG127-AG122, else, AG122)+AG139-AG134)</f>
        <v>90.214105413988321</v>
      </c>
      <c r="AH225" s="44" cm="1">
        <f t="array" ref="AH225">-(AH95-AH92+AH105-AH102+AH115-AH112+_xlfn.IFS(AH127&lt;0, -AH122, AH127-AH122&lt;=0,AH127-AH122, else, AH122)+AH139-AH134)</f>
        <v>95.593862573599679</v>
      </c>
      <c r="AI225" s="44"/>
    </row>
    <row r="226" spans="3:37">
      <c r="C226" t="s">
        <v>324</v>
      </c>
      <c r="D226" s="44">
        <f t="shared" ref="D226:AH226" si="76">D95</f>
        <v>89.109936202323638</v>
      </c>
      <c r="E226" s="44">
        <f t="shared" si="76"/>
        <v>89.829836630557338</v>
      </c>
      <c r="F226" s="44">
        <f t="shared" si="76"/>
        <v>90.555889836638116</v>
      </c>
      <c r="G226" s="44">
        <f t="shared" si="76"/>
        <v>91.291564660184932</v>
      </c>
      <c r="H226" s="44">
        <f t="shared" si="76"/>
        <v>92.040553574491227</v>
      </c>
      <c r="I226" s="44">
        <f t="shared" si="76"/>
        <v>92.806737501442029</v>
      </c>
      <c r="J226" s="44">
        <f t="shared" si="76"/>
        <v>93.575892521759798</v>
      </c>
      <c r="K226" s="44">
        <f t="shared" si="76"/>
        <v>94.348534484207065</v>
      </c>
      <c r="L226" s="44">
        <f t="shared" si="76"/>
        <v>95.125218522477567</v>
      </c>
      <c r="M226" s="44">
        <f t="shared" si="76"/>
        <v>95.906539424855779</v>
      </c>
      <c r="N226" s="44">
        <f t="shared" si="76"/>
        <v>96.693131911530969</v>
      </c>
      <c r="O226" s="44">
        <f t="shared" si="76"/>
        <v>97.094607111060128</v>
      </c>
      <c r="P226" s="44">
        <f t="shared" si="76"/>
        <v>97.510578870352035</v>
      </c>
      <c r="Q226" s="44">
        <f t="shared" si="76"/>
        <v>97.946687164041833</v>
      </c>
      <c r="R226" s="44">
        <f t="shared" si="76"/>
        <v>98.408844764931402</v>
      </c>
      <c r="S226" s="44">
        <f t="shared" si="76"/>
        <v>98.903017634391929</v>
      </c>
      <c r="T226" s="44">
        <f t="shared" si="76"/>
        <v>99.404476773749593</v>
      </c>
      <c r="U226" s="44">
        <f t="shared" si="76"/>
        <v>99.913691159918287</v>
      </c>
      <c r="V226" s="44">
        <f t="shared" si="76"/>
        <v>100.43114257382814</v>
      </c>
      <c r="W226" s="44">
        <f t="shared" si="76"/>
        <v>100.95732565686643</v>
      </c>
      <c r="X226" s="44">
        <f t="shared" si="76"/>
        <v>101.49274796194878</v>
      </c>
      <c r="Y226" s="44">
        <f t="shared" si="76"/>
        <v>101.31275830007256</v>
      </c>
      <c r="Z226" s="44">
        <f t="shared" si="76"/>
        <v>101.13188050821792</v>
      </c>
      <c r="AA226" s="44">
        <f t="shared" si="76"/>
        <v>100.95059266997912</v>
      </c>
      <c r="AB226" s="44">
        <f t="shared" si="76"/>
        <v>100.76966522918352</v>
      </c>
      <c r="AC226" s="44">
        <f t="shared" si="76"/>
        <v>100.58975567594824</v>
      </c>
      <c r="AD226" s="44">
        <f t="shared" si="76"/>
        <v>100.41123064882636</v>
      </c>
      <c r="AE226" s="44">
        <f t="shared" si="76"/>
        <v>100.23472793480775</v>
      </c>
      <c r="AF226" s="44">
        <f t="shared" si="76"/>
        <v>100.06090225718059</v>
      </c>
      <c r="AG226" s="44">
        <f t="shared" si="76"/>
        <v>99.890425318120307</v>
      </c>
      <c r="AH226" s="44">
        <f t="shared" si="76"/>
        <v>99.723985834762843</v>
      </c>
    </row>
    <row r="227" spans="3:37">
      <c r="C227" t="s">
        <v>310</v>
      </c>
      <c r="D227" s="44">
        <f t="shared" ref="D227:AH227" si="77">IF(D127&lt;0,0,D127)</f>
        <v>34.871127768537121</v>
      </c>
      <c r="E227" s="44">
        <f t="shared" si="77"/>
        <v>34.907338690250754</v>
      </c>
      <c r="F227" s="44">
        <f t="shared" si="77"/>
        <v>34.946566061504342</v>
      </c>
      <c r="G227" s="44">
        <f t="shared" si="77"/>
        <v>34.992340003238851</v>
      </c>
      <c r="H227" s="44">
        <f t="shared" si="77"/>
        <v>35.048382563768925</v>
      </c>
      <c r="I227" s="44">
        <f t="shared" si="77"/>
        <v>35.118571782336979</v>
      </c>
      <c r="J227" s="44">
        <f t="shared" si="77"/>
        <v>35.184242751439818</v>
      </c>
      <c r="K227" s="44">
        <f t="shared" si="77"/>
        <v>35.245805814741239</v>
      </c>
      <c r="L227" s="44">
        <f t="shared" si="77"/>
        <v>35.303709052139055</v>
      </c>
      <c r="M227" s="44">
        <f t="shared" si="77"/>
        <v>35.358438773490548</v>
      </c>
      <c r="N227" s="44">
        <f t="shared" si="77"/>
        <v>35.410519927178498</v>
      </c>
      <c r="O227" s="44">
        <f t="shared" si="77"/>
        <v>34.986466569297093</v>
      </c>
      <c r="P227" s="44">
        <f t="shared" si="77"/>
        <v>34.567568028381011</v>
      </c>
      <c r="Q227" s="44">
        <f t="shared" si="77"/>
        <v>34.159553947121708</v>
      </c>
      <c r="R227" s="44">
        <f t="shared" si="77"/>
        <v>33.768851793367702</v>
      </c>
      <c r="S227" s="44">
        <f t="shared" si="77"/>
        <v>33.401795090129781</v>
      </c>
      <c r="T227" s="44">
        <f t="shared" si="77"/>
        <v>33.029253425329195</v>
      </c>
      <c r="U227" s="44">
        <f t="shared" si="77"/>
        <v>32.651562692301852</v>
      </c>
      <c r="V227" s="44">
        <f t="shared" si="77"/>
        <v>32.269073079447843</v>
      </c>
      <c r="W227" s="44">
        <f t="shared" si="77"/>
        <v>31.882149202185762</v>
      </c>
      <c r="X227" s="44">
        <f t="shared" si="77"/>
        <v>31.491170229040058</v>
      </c>
      <c r="Y227" s="44">
        <f t="shared" si="77"/>
        <v>30.495339863808333</v>
      </c>
      <c r="Z227" s="44">
        <f t="shared" si="77"/>
        <v>29.48509384495302</v>
      </c>
      <c r="AA227" s="44">
        <f t="shared" si="77"/>
        <v>28.460265764865539</v>
      </c>
      <c r="AB227" s="44">
        <f t="shared" si="77"/>
        <v>27.421897260019307</v>
      </c>
      <c r="AC227" s="44">
        <f t="shared" si="77"/>
        <v>26.370481589945665</v>
      </c>
      <c r="AD227" s="44">
        <f t="shared" si="77"/>
        <v>25.306192982437032</v>
      </c>
      <c r="AE227" s="44">
        <f t="shared" si="77"/>
        <v>24.229507981842719</v>
      </c>
      <c r="AF227" s="44">
        <f t="shared" si="77"/>
        <v>23.140921824507963</v>
      </c>
      <c r="AG227" s="44">
        <f t="shared" si="77"/>
        <v>22.040948561128431</v>
      </c>
      <c r="AH227" s="44">
        <f t="shared" si="77"/>
        <v>20.930121171918596</v>
      </c>
    </row>
    <row r="228" spans="3:37">
      <c r="C228" t="s">
        <v>311</v>
      </c>
      <c r="D228" s="44">
        <f t="shared" ref="D228:AH228" si="78">D105</f>
        <v>8.4778361655826675</v>
      </c>
      <c r="E228" s="44">
        <f t="shared" si="78"/>
        <v>8.5301322717385819</v>
      </c>
      <c r="F228" s="44">
        <f t="shared" si="78"/>
        <v>8.583817494426361</v>
      </c>
      <c r="G228" s="44">
        <f t="shared" si="78"/>
        <v>8.6395014873557443</v>
      </c>
      <c r="H228" s="44">
        <f t="shared" si="78"/>
        <v>8.6978319106393709</v>
      </c>
      <c r="I228" s="44">
        <f t="shared" si="78"/>
        <v>8.7594889920599446</v>
      </c>
      <c r="J228" s="44">
        <f t="shared" si="78"/>
        <v>8.8207303031609765</v>
      </c>
      <c r="K228" s="44">
        <f t="shared" si="78"/>
        <v>8.8816129518456037</v>
      </c>
      <c r="L228" s="44">
        <f t="shared" si="78"/>
        <v>8.9422017345322296</v>
      </c>
      <c r="M228" s="44">
        <f t="shared" si="78"/>
        <v>9.0025693709488905</v>
      </c>
      <c r="N228" s="44">
        <f t="shared" si="78"/>
        <v>9.0627967255797159</v>
      </c>
      <c r="O228" s="44">
        <f t="shared" si="78"/>
        <v>9.066434076865832</v>
      </c>
      <c r="P228" s="44">
        <f t="shared" si="78"/>
        <v>9.0717794773983176</v>
      </c>
      <c r="Q228" s="44">
        <f t="shared" si="78"/>
        <v>9.0796052516922519</v>
      </c>
      <c r="R228" s="44">
        <f t="shared" si="78"/>
        <v>9.09129320197429</v>
      </c>
      <c r="S228" s="44">
        <f t="shared" si="78"/>
        <v>9.1080373724813093</v>
      </c>
      <c r="T228" s="44">
        <f t="shared" si="78"/>
        <v>9.1242204840384034</v>
      </c>
      <c r="U228" s="44">
        <f t="shared" si="78"/>
        <v>9.139907712013418</v>
      </c>
      <c r="V228" s="44">
        <f t="shared" si="78"/>
        <v>9.1551684760191421</v>
      </c>
      <c r="W228" s="44">
        <f t="shared" si="78"/>
        <v>9.1700765393966055</v>
      </c>
      <c r="X228" s="44">
        <f t="shared" si="78"/>
        <v>9.1847101084261222</v>
      </c>
      <c r="Y228" s="44">
        <f t="shared" si="78"/>
        <v>9.0964688752368961</v>
      </c>
      <c r="Z228" s="44">
        <f t="shared" si="78"/>
        <v>9.0050977283356595</v>
      </c>
      <c r="AA228" s="44">
        <f t="shared" si="78"/>
        <v>8.9086774639807036</v>
      </c>
      <c r="AB228" s="44">
        <f t="shared" si="78"/>
        <v>8.8087757098031627</v>
      </c>
      <c r="AC228" s="44">
        <f t="shared" si="78"/>
        <v>8.7054312633942619</v>
      </c>
      <c r="AD228" s="44">
        <f t="shared" si="78"/>
        <v>8.5986220838026011</v>
      </c>
      <c r="AE228" s="44">
        <f t="shared" si="78"/>
        <v>8.4883867126843722</v>
      </c>
      <c r="AF228" s="44">
        <f t="shared" si="78"/>
        <v>8.3747692337105217</v>
      </c>
      <c r="AG228" s="44">
        <f t="shared" si="78"/>
        <v>8.2578194412914527</v>
      </c>
      <c r="AH228" s="44">
        <f t="shared" si="78"/>
        <v>8.137593010117774</v>
      </c>
    </row>
    <row r="229" spans="3:37">
      <c r="C229" s="131" t="s">
        <v>320</v>
      </c>
      <c r="D229" s="44">
        <f t="shared" ref="D229:AH229" si="79">D115</f>
        <v>3.4336211538461541</v>
      </c>
      <c r="E229" s="44">
        <f t="shared" si="79"/>
        <v>3.4413230670820969</v>
      </c>
      <c r="F229" s="44">
        <f t="shared" si="79"/>
        <v>3.4524814743908134</v>
      </c>
      <c r="G229" s="44">
        <f t="shared" si="79"/>
        <v>3.4676218579303244</v>
      </c>
      <c r="H229" s="44">
        <f t="shared" si="79"/>
        <v>3.4872617138732358</v>
      </c>
      <c r="I229" s="44">
        <f t="shared" si="79"/>
        <v>3.5119041246431655</v>
      </c>
      <c r="J229" s="44">
        <f t="shared" si="79"/>
        <v>3.5386150037174087</v>
      </c>
      <c r="K229" s="44">
        <f t="shared" si="79"/>
        <v>3.5675356404906902</v>
      </c>
      <c r="L229" s="44">
        <f t="shared" si="79"/>
        <v>3.5988093875984375</v>
      </c>
      <c r="M229" s="44">
        <f t="shared" si="79"/>
        <v>3.6325814008687249</v>
      </c>
      <c r="N229" s="44">
        <f t="shared" si="79"/>
        <v>3.6689983694745649</v>
      </c>
      <c r="O229" s="44">
        <f t="shared" si="79"/>
        <v>3.6506423870512466</v>
      </c>
      <c r="P229" s="44">
        <f t="shared" si="79"/>
        <v>3.6383343945744295</v>
      </c>
      <c r="Q229" s="44">
        <f t="shared" si="79"/>
        <v>3.6327890330668708</v>
      </c>
      <c r="R229" s="44">
        <f t="shared" si="79"/>
        <v>3.6346918566450475</v>
      </c>
      <c r="S229" s="44">
        <f t="shared" si="79"/>
        <v>3.6446923862982947</v>
      </c>
      <c r="T229" s="44">
        <f t="shared" si="79"/>
        <v>3.6591443933197585</v>
      </c>
      <c r="U229" s="44">
        <f t="shared" si="79"/>
        <v>3.6781805327046957</v>
      </c>
      <c r="V229" s="44">
        <f t="shared" si="79"/>
        <v>3.7019335707647985</v>
      </c>
      <c r="W229" s="44">
        <f t="shared" si="79"/>
        <v>3.7305363206476105</v>
      </c>
      <c r="X229" s="44">
        <f t="shared" si="79"/>
        <v>3.7641215780523112</v>
      </c>
      <c r="Y229" s="44">
        <f t="shared" si="79"/>
        <v>3.7423938156935606</v>
      </c>
      <c r="Z229" s="44">
        <f t="shared" si="79"/>
        <v>3.7270090514671219</v>
      </c>
      <c r="AA229" s="44">
        <f t="shared" si="79"/>
        <v>3.7181455811352908</v>
      </c>
      <c r="AB229" s="44">
        <f t="shared" si="79"/>
        <v>3.7159812431737178</v>
      </c>
      <c r="AC229" s="44">
        <f t="shared" si="79"/>
        <v>3.720693325383273</v>
      </c>
      <c r="AD229" s="44">
        <f t="shared" si="79"/>
        <v>3.7324263498481685</v>
      </c>
      <c r="AE229" s="44">
        <f t="shared" si="79"/>
        <v>3.7513532083561376</v>
      </c>
      <c r="AF229" s="44">
        <f t="shared" si="79"/>
        <v>3.7776462319244271</v>
      </c>
      <c r="AG229" s="44">
        <f t="shared" si="79"/>
        <v>3.8114771120038204</v>
      </c>
      <c r="AH229" s="44">
        <f t="shared" si="79"/>
        <v>3.8530168224272145</v>
      </c>
    </row>
    <row r="230" spans="3:37">
      <c r="C230" t="s">
        <v>321</v>
      </c>
      <c r="D230" s="44">
        <f>D219</f>
        <v>0</v>
      </c>
      <c r="E230" s="44">
        <f t="shared" ref="E230:AH230" si="80">E219</f>
        <v>0.67110171196554103</v>
      </c>
      <c r="F230" s="44">
        <f t="shared" si="80"/>
        <v>0.75796752501421338</v>
      </c>
      <c r="G230" s="44">
        <f t="shared" si="80"/>
        <v>0.85616184156287534</v>
      </c>
      <c r="H230" s="44">
        <f t="shared" si="80"/>
        <v>0.9671713517084386</v>
      </c>
      <c r="I230" s="44">
        <f t="shared" si="80"/>
        <v>1.0926788620857466</v>
      </c>
      <c r="J230" s="44">
        <f t="shared" si="80"/>
        <v>1.2345892759355666</v>
      </c>
      <c r="K230" s="44">
        <f t="shared" si="80"/>
        <v>1.3950590265859308</v>
      </c>
      <c r="L230" s="44">
        <f t="shared" si="80"/>
        <v>1.5765294246538997</v>
      </c>
      <c r="M230" s="44">
        <f t="shared" si="80"/>
        <v>1.7817644407638649</v>
      </c>
      <c r="N230" s="44">
        <f t="shared" si="80"/>
        <v>2.0138935152958402</v>
      </c>
      <c r="O230" s="44">
        <f t="shared" si="80"/>
        <v>2.2764600657252894</v>
      </c>
      <c r="P230" s="44">
        <f t="shared" si="80"/>
        <v>2.5734764517453481</v>
      </c>
      <c r="Q230" s="44">
        <f t="shared" si="80"/>
        <v>2.9094862599913314</v>
      </c>
      <c r="R230" s="44">
        <f t="shared" si="80"/>
        <v>3.2896348854242845</v>
      </c>
      <c r="S230" s="44">
        <f t="shared" si="80"/>
        <v>3.7197495171000581</v>
      </c>
      <c r="T230" s="44">
        <f t="shared" si="80"/>
        <v>4.2064297842214451</v>
      </c>
      <c r="U230" s="44">
        <f t="shared" si="80"/>
        <v>4.7571504863910397</v>
      </c>
      <c r="V230" s="44">
        <f t="shared" si="80"/>
        <v>5.3803780225130033</v>
      </c>
      <c r="W230" s="44">
        <f t="shared" si="80"/>
        <v>6.0857023488525108</v>
      </c>
      <c r="X230" s="44">
        <f t="shared" si="80"/>
        <v>6.8839865417768289</v>
      </c>
      <c r="Y230" s="44">
        <f t="shared" si="80"/>
        <v>7.7875363185562083</v>
      </c>
      <c r="Z230" s="44">
        <f t="shared" si="80"/>
        <v>8.8102921847018152</v>
      </c>
      <c r="AA230" s="44">
        <f t="shared" si="80"/>
        <v>9.9680472336598847</v>
      </c>
      <c r="AB230" s="44">
        <f t="shared" si="80"/>
        <v>11.27869402993422</v>
      </c>
      <c r="AC230" s="44">
        <f t="shared" si="80"/>
        <v>12.762504466303872</v>
      </c>
      <c r="AD230" s="44">
        <f t="shared" si="80"/>
        <v>14.442447007032245</v>
      </c>
      <c r="AE230" s="44">
        <f t="shared" si="80"/>
        <v>16.34454632010209</v>
      </c>
      <c r="AF230" s="44">
        <f t="shared" si="80"/>
        <v>18.498290971941969</v>
      </c>
      <c r="AG230" s="44">
        <f t="shared" si="80"/>
        <v>20.937095618479546</v>
      </c>
      <c r="AH230" s="44">
        <f t="shared" si="80"/>
        <v>23.698824988741201</v>
      </c>
    </row>
    <row r="231" spans="3:37">
      <c r="C231" t="s">
        <v>248</v>
      </c>
      <c r="D231" s="44">
        <f t="shared" ref="D231:AH231" si="81">D139-D230</f>
        <v>26.799786402018107</v>
      </c>
      <c r="E231" s="44">
        <f t="shared" si="81"/>
        <v>28.555239817139793</v>
      </c>
      <c r="F231" s="44">
        <f t="shared" si="81"/>
        <v>30.377042904336822</v>
      </c>
      <c r="G231" s="44">
        <f t="shared" si="81"/>
        <v>32.268508452144374</v>
      </c>
      <c r="H231" s="44">
        <f t="shared" si="81"/>
        <v>34.23306474122473</v>
      </c>
      <c r="I231" s="44">
        <f t="shared" si="81"/>
        <v>36.27424215285037</v>
      </c>
      <c r="J231" s="44">
        <f t="shared" si="81"/>
        <v>37.885209870288392</v>
      </c>
      <c r="K231" s="44">
        <f t="shared" si="81"/>
        <v>39.546345050268492</v>
      </c>
      <c r="L231" s="44">
        <f t="shared" si="81"/>
        <v>41.259213563571898</v>
      </c>
      <c r="M231" s="44">
        <f t="shared" si="81"/>
        <v>43.02542852699618</v>
      </c>
      <c r="N231" s="44">
        <f t="shared" si="81"/>
        <v>44.846651127807228</v>
      </c>
      <c r="O231" s="44">
        <f t="shared" si="81"/>
        <v>44.480539016192125</v>
      </c>
      <c r="P231" s="44">
        <f t="shared" si="81"/>
        <v>44.106357550406067</v>
      </c>
      <c r="Q231" s="44">
        <f t="shared" si="81"/>
        <v>43.725863964406273</v>
      </c>
      <c r="R231" s="44">
        <f t="shared" si="81"/>
        <v>43.34121171040529</v>
      </c>
      <c r="S231" s="44">
        <f t="shared" si="81"/>
        <v>42.954418078235001</v>
      </c>
      <c r="T231" s="44">
        <f t="shared" si="81"/>
        <v>42.408390253202825</v>
      </c>
      <c r="U231" s="44">
        <f t="shared" si="81"/>
        <v>41.845168739872108</v>
      </c>
      <c r="V231" s="44">
        <f t="shared" si="81"/>
        <v>41.264521564844472</v>
      </c>
      <c r="W231" s="44">
        <f t="shared" si="81"/>
        <v>40.666213576586003</v>
      </c>
      <c r="X231" s="44">
        <f t="shared" si="81"/>
        <v>40.050006312753837</v>
      </c>
      <c r="Y231" s="44">
        <f t="shared" si="81"/>
        <v>39.045098241729022</v>
      </c>
      <c r="Z231" s="44">
        <f t="shared" si="81"/>
        <v>38.015399275977266</v>
      </c>
      <c r="AA231" s="44">
        <f t="shared" si="81"/>
        <v>36.960218377233133</v>
      </c>
      <c r="AB231" s="44">
        <f t="shared" si="81"/>
        <v>35.879684266871834</v>
      </c>
      <c r="AC231" s="44">
        <f t="shared" si="81"/>
        <v>34.773529177471374</v>
      </c>
      <c r="AD231" s="44">
        <f t="shared" si="81"/>
        <v>33.510980631102605</v>
      </c>
      <c r="AE231" s="44">
        <f t="shared" si="81"/>
        <v>32.21941537617127</v>
      </c>
      <c r="AF231" s="44">
        <f t="shared" si="81"/>
        <v>30.898492721134431</v>
      </c>
      <c r="AG231" s="44">
        <f t="shared" si="81"/>
        <v>29.547867212353566</v>
      </c>
      <c r="AH231" s="44">
        <f t="shared" si="81"/>
        <v>28.167188438763255</v>
      </c>
    </row>
    <row r="232" spans="3:37">
      <c r="D232" s="44">
        <f>SUM(D226:D231)</f>
        <v>162.69230769230768</v>
      </c>
      <c r="E232" s="44">
        <f t="shared" ref="E232:AG232" si="82">SUM(E226:E231)</f>
        <v>165.93497218873409</v>
      </c>
      <c r="F232" s="44">
        <f t="shared" si="82"/>
        <v>168.67376529631068</v>
      </c>
      <c r="G232" s="44">
        <f t="shared" si="82"/>
        <v>171.51569830241709</v>
      </c>
      <c r="H232" s="44">
        <f t="shared" si="82"/>
        <v>174.47426585570591</v>
      </c>
      <c r="I232" s="44">
        <f t="shared" si="82"/>
        <v>177.56362341541822</v>
      </c>
      <c r="J232" s="44">
        <f t="shared" si="82"/>
        <v>180.23927972630196</v>
      </c>
      <c r="K232" s="44">
        <f t="shared" si="82"/>
        <v>182.98489296813901</v>
      </c>
      <c r="L232" s="44">
        <f t="shared" si="82"/>
        <v>185.80568168497311</v>
      </c>
      <c r="M232" s="44">
        <f t="shared" si="82"/>
        <v>188.70732193792401</v>
      </c>
      <c r="N232" s="44">
        <f t="shared" si="82"/>
        <v>191.69599157686685</v>
      </c>
      <c r="O232" s="44">
        <f t="shared" si="82"/>
        <v>191.55514922619176</v>
      </c>
      <c r="P232" s="44">
        <f t="shared" si="82"/>
        <v>191.4680947728572</v>
      </c>
      <c r="Q232" s="44">
        <f t="shared" si="82"/>
        <v>191.45398562032025</v>
      </c>
      <c r="R232" s="44">
        <f t="shared" si="82"/>
        <v>191.534528212748</v>
      </c>
      <c r="S232" s="44">
        <f t="shared" si="82"/>
        <v>191.73171007863635</v>
      </c>
      <c r="T232" s="44">
        <f t="shared" si="82"/>
        <v>191.83191511386121</v>
      </c>
      <c r="U232" s="44">
        <f t="shared" si="82"/>
        <v>191.98566132320138</v>
      </c>
      <c r="V232" s="44">
        <f t="shared" si="82"/>
        <v>192.20221728741743</v>
      </c>
      <c r="W232" s="44">
        <f t="shared" si="82"/>
        <v>192.49200364453492</v>
      </c>
      <c r="X232" s="44">
        <f t="shared" si="82"/>
        <v>192.86674273199793</v>
      </c>
      <c r="Y232" s="44">
        <f t="shared" si="82"/>
        <v>191.47959541509658</v>
      </c>
      <c r="Z232" s="44">
        <f t="shared" si="82"/>
        <v>190.17477259365282</v>
      </c>
      <c r="AA232" s="44">
        <f t="shared" si="82"/>
        <v>188.96594709085369</v>
      </c>
      <c r="AB232" s="44">
        <f t="shared" si="82"/>
        <v>187.87469773898579</v>
      </c>
      <c r="AC232" s="44">
        <f t="shared" si="82"/>
        <v>186.92239549844672</v>
      </c>
      <c r="AD232" s="44">
        <f t="shared" si="82"/>
        <v>186.00189970304902</v>
      </c>
      <c r="AE232" s="44">
        <f t="shared" si="82"/>
        <v>185.26793753396433</v>
      </c>
      <c r="AF232" s="44">
        <f t="shared" si="82"/>
        <v>184.75102324039989</v>
      </c>
      <c r="AG232" s="44">
        <f t="shared" si="82"/>
        <v>184.48563326337714</v>
      </c>
      <c r="AH232" s="44">
        <f>SUM(AH226:AH231)</f>
        <v>184.51073026673086</v>
      </c>
      <c r="AJ232" s="44">
        <f>AH233-AH232</f>
        <v>95.593862573599694</v>
      </c>
      <c r="AK232">
        <f>AJ232/AH233</f>
        <v>0.34127916862859708</v>
      </c>
    </row>
    <row r="233" spans="3:37">
      <c r="C233" t="s">
        <v>364</v>
      </c>
      <c r="D233" s="44">
        <f>SUM(D223:D231)</f>
        <v>162.69230769230768</v>
      </c>
      <c r="E233" s="44">
        <f t="shared" ref="E233:AH233" si="83">SUM(E223:E231)</f>
        <v>167.39850430954522</v>
      </c>
      <c r="F233" s="44">
        <f t="shared" si="83"/>
        <v>171.62040937873633</v>
      </c>
      <c r="G233" s="44">
        <f t="shared" si="83"/>
        <v>175.95606104581717</v>
      </c>
      <c r="H233" s="44">
        <f t="shared" si="83"/>
        <v>180.40948095153183</v>
      </c>
      <c r="I233" s="44">
        <f t="shared" si="83"/>
        <v>184.98494957451305</v>
      </c>
      <c r="J233" s="44">
        <f t="shared" si="83"/>
        <v>189.18551886714596</v>
      </c>
      <c r="K233" s="44">
        <f t="shared" si="83"/>
        <v>193.49413206129458</v>
      </c>
      <c r="L233" s="44">
        <f t="shared" si="83"/>
        <v>197.91520205880366</v>
      </c>
      <c r="M233" s="44">
        <f t="shared" si="83"/>
        <v>202.45350784224723</v>
      </c>
      <c r="N233" s="44">
        <f t="shared" si="83"/>
        <v>207.11423824068783</v>
      </c>
      <c r="O233" s="44">
        <f t="shared" si="83"/>
        <v>209.86049508088263</v>
      </c>
      <c r="P233" s="44">
        <f t="shared" si="83"/>
        <v>212.67168831561384</v>
      </c>
      <c r="Q233" s="44">
        <f t="shared" si="83"/>
        <v>215.55274358073112</v>
      </c>
      <c r="R233" s="44">
        <f t="shared" si="83"/>
        <v>218.50919325316443</v>
      </c>
      <c r="S233" s="44">
        <f t="shared" si="83"/>
        <v>221.5472565029699</v>
      </c>
      <c r="T233" s="44">
        <f t="shared" si="83"/>
        <v>224.5283484426771</v>
      </c>
      <c r="U233" s="44">
        <f t="shared" si="83"/>
        <v>227.60255785619916</v>
      </c>
      <c r="V233" s="44">
        <f t="shared" si="83"/>
        <v>230.77870001167108</v>
      </c>
      <c r="W233" s="44">
        <f t="shared" si="83"/>
        <v>234.06671810473534</v>
      </c>
      <c r="X233" s="44">
        <f t="shared" si="83"/>
        <v>237.47783287929303</v>
      </c>
      <c r="Y233" s="44">
        <f t="shared" si="83"/>
        <v>240.89923184978949</v>
      </c>
      <c r="Z233" s="44">
        <f t="shared" si="83"/>
        <v>244.46810353822016</v>
      </c>
      <c r="AA233" s="44">
        <f t="shared" si="83"/>
        <v>248.20057341809886</v>
      </c>
      <c r="AB233" s="44">
        <f t="shared" si="83"/>
        <v>252.11487061900598</v>
      </c>
      <c r="AC233" s="44">
        <f t="shared" si="83"/>
        <v>256.23160784124514</v>
      </c>
      <c r="AD233" s="44">
        <f t="shared" si="83"/>
        <v>260.4437228157434</v>
      </c>
      <c r="AE233" s="44">
        <f t="shared" si="83"/>
        <v>264.90526103567663</v>
      </c>
      <c r="AF233" s="44">
        <f t="shared" si="83"/>
        <v>269.64602287037314</v>
      </c>
      <c r="AG233" s="44">
        <f t="shared" si="83"/>
        <v>274.69973867736542</v>
      </c>
      <c r="AH233" s="44">
        <f t="shared" si="83"/>
        <v>280.10459284033055</v>
      </c>
    </row>
    <row r="234" spans="3:37">
      <c r="C234" t="s">
        <v>366</v>
      </c>
      <c r="D234" s="44">
        <f>D221-D233</f>
        <v>0</v>
      </c>
      <c r="E234" s="44">
        <f t="shared" ref="E234:AH234" si="84">E221-E233</f>
        <v>0</v>
      </c>
      <c r="F234" s="44">
        <f t="shared" si="84"/>
        <v>0</v>
      </c>
      <c r="G234" s="44">
        <f t="shared" si="84"/>
        <v>0</v>
      </c>
      <c r="H234" s="44">
        <f t="shared" si="84"/>
        <v>0</v>
      </c>
      <c r="I234" s="44">
        <f t="shared" si="84"/>
        <v>0</v>
      </c>
      <c r="J234" s="44">
        <f t="shared" si="84"/>
        <v>0</v>
      </c>
      <c r="K234" s="44">
        <f t="shared" si="84"/>
        <v>0</v>
      </c>
      <c r="L234" s="44">
        <f t="shared" si="84"/>
        <v>0</v>
      </c>
      <c r="M234" s="44">
        <f t="shared" si="84"/>
        <v>0</v>
      </c>
      <c r="N234" s="44">
        <f t="shared" si="84"/>
        <v>0</v>
      </c>
      <c r="O234" s="44">
        <f t="shared" si="84"/>
        <v>0</v>
      </c>
      <c r="P234" s="44">
        <f t="shared" si="84"/>
        <v>0</v>
      </c>
      <c r="Q234" s="44">
        <f t="shared" si="84"/>
        <v>0</v>
      </c>
      <c r="R234" s="44">
        <f t="shared" si="84"/>
        <v>0</v>
      </c>
      <c r="S234" s="44">
        <f t="shared" si="84"/>
        <v>0</v>
      </c>
      <c r="T234" s="44">
        <f t="shared" si="84"/>
        <v>0</v>
      </c>
      <c r="U234" s="44">
        <f t="shared" si="84"/>
        <v>0</v>
      </c>
      <c r="V234" s="44">
        <f t="shared" si="84"/>
        <v>0</v>
      </c>
      <c r="W234" s="44">
        <f t="shared" si="84"/>
        <v>0</v>
      </c>
      <c r="X234" s="44">
        <f t="shared" si="84"/>
        <v>0</v>
      </c>
      <c r="Y234" s="44">
        <f t="shared" si="84"/>
        <v>0</v>
      </c>
      <c r="Z234" s="44">
        <f t="shared" si="84"/>
        <v>0</v>
      </c>
      <c r="AA234" s="44">
        <f t="shared" si="84"/>
        <v>0</v>
      </c>
      <c r="AB234" s="44">
        <f t="shared" si="84"/>
        <v>0</v>
      </c>
      <c r="AC234" s="44">
        <f t="shared" si="84"/>
        <v>0</v>
      </c>
      <c r="AD234" s="44">
        <f t="shared" si="84"/>
        <v>0</v>
      </c>
      <c r="AE234" s="44">
        <f t="shared" si="84"/>
        <v>0</v>
      </c>
      <c r="AF234" s="44">
        <f t="shared" si="84"/>
        <v>0</v>
      </c>
      <c r="AG234" s="44">
        <f t="shared" si="84"/>
        <v>0</v>
      </c>
      <c r="AH234" s="44">
        <f t="shared" si="84"/>
        <v>0</v>
      </c>
      <c r="AJ234" s="208" t="s">
        <v>367</v>
      </c>
    </row>
    <row r="237" spans="3:37">
      <c r="D237">
        <v>0</v>
      </c>
      <c r="E237">
        <v>0.85244366053895815</v>
      </c>
      <c r="F237">
        <v>1.7391480325644026</v>
      </c>
      <c r="G237">
        <v>2.6612035354352193</v>
      </c>
      <c r="H237">
        <v>3.6197328325532796</v>
      </c>
      <c r="I237">
        <v>4.6158917556164401</v>
      </c>
      <c r="J237">
        <v>5.6434227587169081</v>
      </c>
      <c r="K237">
        <v>6.7081095117331042</v>
      </c>
      <c r="L237">
        <v>7.8110226913655527</v>
      </c>
      <c r="M237">
        <v>8.9532613793580857</v>
      </c>
      <c r="N237">
        <v>10.135953787219638</v>
      </c>
      <c r="O237">
        <v>12.13429788743368</v>
      </c>
      <c r="P237">
        <v>14.186719582246729</v>
      </c>
      <c r="Q237">
        <v>16.2943591050192</v>
      </c>
      <c r="R237">
        <v>18.458378502748253</v>
      </c>
      <c r="S237">
        <v>20.679962033824889</v>
      </c>
      <c r="T237">
        <v>22.954551542926836</v>
      </c>
      <c r="U237">
        <v>25.288279551380374</v>
      </c>
      <c r="V237">
        <v>27.682371782227893</v>
      </c>
      <c r="W237">
        <v>30.138077211057443</v>
      </c>
      <c r="X237">
        <v>32.656668488525511</v>
      </c>
      <c r="Y237">
        <v>35.4083536041095</v>
      </c>
      <c r="Z237">
        <v>38.23020227920739</v>
      </c>
      <c r="AA237">
        <v>41.123648817907757</v>
      </c>
      <c r="AB237">
        <v>44.090154025463193</v>
      </c>
      <c r="AC237">
        <v>47.131205665423309</v>
      </c>
      <c r="AD237">
        <v>50.239870569625083</v>
      </c>
      <c r="AE237">
        <v>53.42529311000154</v>
      </c>
      <c r="AF237">
        <v>56.689021111212675</v>
      </c>
      <c r="AG237">
        <v>60.032630788341748</v>
      </c>
      <c r="AH237">
        <v>63.457727234126153</v>
      </c>
    </row>
    <row r="238" spans="3:37">
      <c r="D238">
        <v>0</v>
      </c>
      <c r="E238">
        <v>0.65586546087035691</v>
      </c>
      <c r="F238">
        <v>1.3336354841942164</v>
      </c>
      <c r="G238">
        <v>2.033895442594122</v>
      </c>
      <c r="H238">
        <v>2.7572456320803265</v>
      </c>
      <c r="I238">
        <v>3.5043016537563205</v>
      </c>
      <c r="J238">
        <v>4.2732123067170384</v>
      </c>
      <c r="K238">
        <v>5.0661445286428286</v>
      </c>
      <c r="L238">
        <v>5.8836987368933977</v>
      </c>
      <c r="M238">
        <v>6.7264893733031919</v>
      </c>
      <c r="N238">
        <v>7.595145225804643</v>
      </c>
      <c r="O238">
        <v>8.4714958167382566</v>
      </c>
      <c r="P238">
        <v>9.0494680959378364</v>
      </c>
      <c r="Q238">
        <v>10.001615517123765</v>
      </c>
      <c r="R238">
        <v>10.97866313079219</v>
      </c>
      <c r="S238">
        <v>11.981128252096731</v>
      </c>
      <c r="T238">
        <v>13.007616329178468</v>
      </c>
      <c r="U238">
        <v>14.060298680782333</v>
      </c>
      <c r="V238">
        <v>15.139713379509681</v>
      </c>
      <c r="W238">
        <v>16.246408644405928</v>
      </c>
      <c r="X238">
        <v>17.380943024874131</v>
      </c>
      <c r="Y238">
        <v>19.694587489601123</v>
      </c>
      <c r="Z238">
        <v>20.899200064422857</v>
      </c>
      <c r="AA238">
        <v>22.133291291611283</v>
      </c>
      <c r="AB238">
        <v>23.397456852448531</v>
      </c>
      <c r="AC238">
        <v>24.692303586977886</v>
      </c>
      <c r="AD238">
        <v>26.015633577849879</v>
      </c>
      <c r="AE238">
        <v>27.370610355880629</v>
      </c>
      <c r="AF238">
        <v>28.757867587017373</v>
      </c>
      <c r="AG238">
        <v>30.178050768819951</v>
      </c>
      <c r="AH238">
        <v>31.63181744464287</v>
      </c>
    </row>
    <row r="239" spans="3:37">
      <c r="D239">
        <v>0</v>
      </c>
      <c r="E239">
        <v>1.2388254567818038</v>
      </c>
      <c r="F239">
        <v>2.464199569608347</v>
      </c>
      <c r="G239">
        <v>3.6669035951971374</v>
      </c>
      <c r="H239">
        <v>4.837642419333168</v>
      </c>
      <c r="I239">
        <v>5.967163072822423</v>
      </c>
      <c r="J239">
        <v>7.0583689757817467</v>
      </c>
      <c r="K239">
        <v>8.1463272540316751</v>
      </c>
      <c r="L239">
        <v>9.2288962827412178</v>
      </c>
      <c r="M239">
        <v>10.303893103073889</v>
      </c>
      <c r="N239">
        <v>11.3690986358923</v>
      </c>
      <c r="O239">
        <v>13.132533799227097</v>
      </c>
      <c r="P239">
        <v>14.9015084472342</v>
      </c>
      <c r="Q239">
        <v>16.423604609568891</v>
      </c>
      <c r="R239">
        <v>17.807537872994647</v>
      </c>
      <c r="S239">
        <v>19.042425058021685</v>
      </c>
      <c r="T239">
        <v>20.202281426175286</v>
      </c>
      <c r="U239">
        <v>21.270781040202362</v>
      </c>
      <c r="V239">
        <v>22.245155581898715</v>
      </c>
      <c r="W239">
        <v>23.122658953461482</v>
      </c>
      <c r="X239">
        <v>23.900569769295242</v>
      </c>
      <c r="Y239">
        <v>25.059626034509428</v>
      </c>
      <c r="Z239">
        <v>26.637156019555707</v>
      </c>
      <c r="AA239">
        <v>28.037714850192401</v>
      </c>
      <c r="AB239">
        <v>29.263698603212646</v>
      </c>
      <c r="AC239">
        <v>30.3106461699807</v>
      </c>
      <c r="AD239">
        <v>31.159472257311997</v>
      </c>
      <c r="AE239">
        <v>31.850054529254919</v>
      </c>
      <c r="AF239">
        <v>32.370613564831451</v>
      </c>
      <c r="AG239">
        <v>32.698103822192053</v>
      </c>
      <c r="AH239">
        <v>32.621252588807465</v>
      </c>
    </row>
    <row r="240" spans="3:37">
      <c r="D240">
        <v>89.109936202323638</v>
      </c>
      <c r="E240">
        <v>88.940711567249522</v>
      </c>
      <c r="F240">
        <v>88.764904314477207</v>
      </c>
      <c r="G240">
        <v>88.585740292124513</v>
      </c>
      <c r="H240">
        <v>88.406476140427571</v>
      </c>
      <c r="I240">
        <v>88.230351588668171</v>
      </c>
      <c r="J240">
        <v>88.043740360638722</v>
      </c>
      <c r="K240">
        <v>87.847144604773362</v>
      </c>
      <c r="L240">
        <v>87.641077287192402</v>
      </c>
      <c r="M240">
        <v>87.426059952080806</v>
      </c>
      <c r="N240">
        <v>87.202620371500856</v>
      </c>
      <c r="O240">
        <v>85.966050378965207</v>
      </c>
      <c r="P240">
        <v>85.014255041568987</v>
      </c>
      <c r="Q240">
        <v>83.771400253083044</v>
      </c>
      <c r="R240">
        <v>82.544523363259174</v>
      </c>
      <c r="S240">
        <v>81.336597132042428</v>
      </c>
      <c r="T240">
        <v>80.127689209527972</v>
      </c>
      <c r="U240">
        <v>78.917979690175031</v>
      </c>
      <c r="V240">
        <v>77.707619567650781</v>
      </c>
      <c r="W240">
        <v>76.496729344883349</v>
      </c>
      <c r="X240">
        <v>75.28539763365616</v>
      </c>
      <c r="Y240">
        <v>72.703910939560728</v>
      </c>
      <c r="Z240">
        <v>71.051859350188906</v>
      </c>
      <c r="AA240">
        <v>69.42964541152169</v>
      </c>
      <c r="AB240">
        <v>67.837715831375846</v>
      </c>
      <c r="AC240">
        <v>66.276816867085302</v>
      </c>
      <c r="AD240">
        <v>64.747501288736984</v>
      </c>
      <c r="AE240">
        <v>63.2504166270719</v>
      </c>
      <c r="AF240">
        <v>61.786164126453038</v>
      </c>
      <c r="AG240">
        <v>60.355296838677262</v>
      </c>
      <c r="AH240">
        <v>58.958317709469235</v>
      </c>
    </row>
    <row r="241" spans="4:44">
      <c r="D241">
        <v>34.871127768537121</v>
      </c>
      <c r="E241">
        <v>34.631808229832338</v>
      </c>
      <c r="F241">
        <v>34.39559142265167</v>
      </c>
      <c r="G241">
        <v>34.165756914130959</v>
      </c>
      <c r="H241">
        <v>33.945612092645725</v>
      </c>
      <c r="I241">
        <v>33.738448080050091</v>
      </c>
      <c r="J241">
        <v>33.539034390183602</v>
      </c>
      <c r="K241">
        <v>33.336563886751023</v>
      </c>
      <c r="L241">
        <v>33.131642663444723</v>
      </c>
      <c r="M241">
        <v>32.924891055650271</v>
      </c>
      <c r="N241">
        <v>32.716941730115622</v>
      </c>
      <c r="O241">
        <v>32.222902602157824</v>
      </c>
      <c r="P241">
        <v>31.717620036105167</v>
      </c>
      <c r="Q241">
        <v>31.303254780831185</v>
      </c>
      <c r="R241">
        <v>30.935403767678846</v>
      </c>
      <c r="S241">
        <v>30.618314391074879</v>
      </c>
      <c r="T241">
        <v>30.322901492118881</v>
      </c>
      <c r="U241">
        <v>30.055915210821155</v>
      </c>
      <c r="V241">
        <v>29.818460831330803</v>
      </c>
      <c r="W241">
        <v>29.611638330824658</v>
      </c>
      <c r="X241">
        <v>29.436541124258376</v>
      </c>
      <c r="Y241">
        <v>29.137180279909938</v>
      </c>
      <c r="Z241">
        <v>28.654402350529363</v>
      </c>
      <c r="AA241">
        <v>28.227251153670366</v>
      </c>
      <c r="AB241">
        <v>27.856040876420792</v>
      </c>
      <c r="AC241">
        <v>27.5425677116542</v>
      </c>
      <c r="AD241">
        <v>27.293453125158386</v>
      </c>
      <c r="AE241">
        <v>27.105887743956707</v>
      </c>
      <c r="AF241">
        <v>26.981613615535807</v>
      </c>
      <c r="AG241">
        <v>26.922358017926733</v>
      </c>
      <c r="AH241">
        <v>26.929831781255455</v>
      </c>
    </row>
    <row r="242" spans="4:44">
      <c r="D242">
        <v>8.4778361655826675</v>
      </c>
      <c r="E242">
        <v>8.5273590479522028</v>
      </c>
      <c r="F242">
        <v>8.5800475172229316</v>
      </c>
      <c r="G242">
        <v>8.6364793902666595</v>
      </c>
      <c r="H242">
        <v>8.6972367378841522</v>
      </c>
      <c r="I242">
        <v>8.7628992925187124</v>
      </c>
      <c r="J242">
        <v>8.8299362905587078</v>
      </c>
      <c r="K242">
        <v>8.8984633667138961</v>
      </c>
      <c r="L242">
        <v>8.968599987313107</v>
      </c>
      <c r="M242">
        <v>9.0404693168148462</v>
      </c>
      <c r="N242">
        <v>9.1141980708652355</v>
      </c>
      <c r="O242">
        <v>9.1161100007430562</v>
      </c>
      <c r="P242">
        <v>9.1154352332277178</v>
      </c>
      <c r="Q242">
        <v>9.1336889300477893</v>
      </c>
      <c r="R242">
        <v>9.1611573226904301</v>
      </c>
      <c r="S242">
        <v>9.1985923306429633</v>
      </c>
      <c r="T242">
        <v>9.2415756762028085</v>
      </c>
      <c r="U242">
        <v>9.2902872905606948</v>
      </c>
      <c r="V242">
        <v>9.3449068158767261</v>
      </c>
      <c r="W242">
        <v>9.4056134455567992</v>
      </c>
      <c r="X242">
        <v>9.4725857619194969</v>
      </c>
      <c r="Y242">
        <v>9.43632871377112</v>
      </c>
      <c r="Z242">
        <v>9.3586202557258211</v>
      </c>
      <c r="AA242">
        <v>9.2925891089222148</v>
      </c>
      <c r="AB242">
        <v>9.2345560190164733</v>
      </c>
      <c r="AC242">
        <v>9.1848733074460593</v>
      </c>
      <c r="AD242">
        <v>9.1438583028939249</v>
      </c>
      <c r="AE242">
        <v>9.1118614617014231</v>
      </c>
      <c r="AF242">
        <v>9.0892333656750033</v>
      </c>
      <c r="AG242">
        <v>9.0763243560466194</v>
      </c>
      <c r="AH242">
        <v>9.0734841606762426</v>
      </c>
    </row>
    <row r="243" spans="4:44">
      <c r="D243">
        <v>3.4336211538461541</v>
      </c>
      <c r="E243">
        <v>3.4039429073450349</v>
      </c>
      <c r="F243">
        <v>3.3768760744900019</v>
      </c>
      <c r="G243">
        <v>3.3527440851732484</v>
      </c>
      <c r="H243">
        <v>3.3318354080309307</v>
      </c>
      <c r="I243">
        <v>3.3143988199985892</v>
      </c>
      <c r="J243">
        <v>3.3002703952275603</v>
      </c>
      <c r="K243">
        <v>3.2874612810036066</v>
      </c>
      <c r="L243">
        <v>3.2760511836491495</v>
      </c>
      <c r="M243">
        <v>3.2661157039798039</v>
      </c>
      <c r="N243">
        <v>3.2577258879622448</v>
      </c>
      <c r="O243">
        <v>3.2395173569743867</v>
      </c>
      <c r="P243">
        <v>3.2234407134561462</v>
      </c>
      <c r="Q243">
        <v>3.2228617689397776</v>
      </c>
      <c r="R243">
        <v>3.2312320318889167</v>
      </c>
      <c r="S243">
        <v>3.2486062472838695</v>
      </c>
      <c r="T243">
        <v>3.2690964960492988</v>
      </c>
      <c r="U243">
        <v>3.2948044480814733</v>
      </c>
      <c r="V243">
        <v>3.3255647341435681</v>
      </c>
      <c r="W243">
        <v>3.3612012642059774</v>
      </c>
      <c r="X243">
        <v>3.401527244487875</v>
      </c>
      <c r="Y243">
        <v>3.4250950697699123</v>
      </c>
      <c r="Z243">
        <v>3.4312131552080429</v>
      </c>
      <c r="AA243">
        <v>3.4443353788566604</v>
      </c>
      <c r="AB243">
        <v>3.4641377648203227</v>
      </c>
      <c r="AC243">
        <v>3.4902803067957833</v>
      </c>
      <c r="AD243">
        <v>3.5260419662394975</v>
      </c>
      <c r="AE243">
        <v>3.5372578565235058</v>
      </c>
      <c r="AF243">
        <v>3.5310359705162995</v>
      </c>
      <c r="AG243">
        <v>3.5257856851390637</v>
      </c>
      <c r="AH243">
        <v>3.7281823756180565</v>
      </c>
    </row>
    <row r="244" spans="4:44">
      <c r="D244">
        <v>0</v>
      </c>
      <c r="E244">
        <v>0.67110171196554103</v>
      </c>
      <c r="F244">
        <v>0.75796752501421338</v>
      </c>
      <c r="G244">
        <v>0.85616184156287534</v>
      </c>
      <c r="H244">
        <v>0.9671713517084386</v>
      </c>
      <c r="I244">
        <v>1.0926788620857466</v>
      </c>
      <c r="J244">
        <v>1.2345892759355666</v>
      </c>
      <c r="K244">
        <v>1.3950590265859308</v>
      </c>
      <c r="L244">
        <v>1.5765294246538997</v>
      </c>
      <c r="M244">
        <v>1.7817644407638649</v>
      </c>
      <c r="N244">
        <v>2.0138935152958402</v>
      </c>
      <c r="O244">
        <v>2.2764600657252894</v>
      </c>
      <c r="P244">
        <v>2.5734764517453481</v>
      </c>
      <c r="Q244">
        <v>2.9094862599913314</v>
      </c>
      <c r="R244">
        <v>3.2896348854242845</v>
      </c>
      <c r="S244">
        <v>3.7197495171000581</v>
      </c>
      <c r="T244">
        <v>4.2064297842214451</v>
      </c>
      <c r="U244">
        <v>4.7571504863910397</v>
      </c>
      <c r="V244">
        <v>5.3803780225130033</v>
      </c>
      <c r="W244">
        <v>6.0857023488525108</v>
      </c>
      <c r="X244">
        <v>6.8839865417768289</v>
      </c>
      <c r="Y244">
        <v>7.7875363185562083</v>
      </c>
      <c r="Z244">
        <v>8.8102921847018152</v>
      </c>
      <c r="AA244">
        <v>9.9680472336598847</v>
      </c>
      <c r="AB244">
        <v>11.27869402993422</v>
      </c>
      <c r="AC244">
        <v>12.762504466303872</v>
      </c>
      <c r="AD244">
        <v>14.442447007032245</v>
      </c>
      <c r="AE244">
        <v>16.34454632010209</v>
      </c>
      <c r="AF244">
        <v>18.498290971941969</v>
      </c>
      <c r="AG244">
        <v>20.937095618479546</v>
      </c>
      <c r="AH244">
        <v>23.698824988741201</v>
      </c>
    </row>
    <row r="245" spans="4:44">
      <c r="D245">
        <v>26.799786402018107</v>
      </c>
      <c r="E245">
        <v>28.476446267009429</v>
      </c>
      <c r="F245">
        <v>30.208039438513318</v>
      </c>
      <c r="G245">
        <v>31.997175949332441</v>
      </c>
      <c r="H245">
        <v>33.846528336868261</v>
      </c>
      <c r="I245">
        <v>35.758816448996555</v>
      </c>
      <c r="J245">
        <v>37.262944113386105</v>
      </c>
      <c r="K245">
        <v>38.808858601059178</v>
      </c>
      <c r="L245">
        <v>40.397683801550201</v>
      </c>
      <c r="M245">
        <v>42.030563517222504</v>
      </c>
      <c r="N245">
        <v>43.708661016031428</v>
      </c>
      <c r="O245">
        <v>43.301127172917788</v>
      </c>
      <c r="P245">
        <v>42.889764714091733</v>
      </c>
      <c r="Q245">
        <v>42.49247235612615</v>
      </c>
      <c r="R245">
        <v>42.1026623756877</v>
      </c>
      <c r="S245">
        <v>41.721881540882414</v>
      </c>
      <c r="T245">
        <v>41.196206486276097</v>
      </c>
      <c r="U245">
        <v>40.667061457804721</v>
      </c>
      <c r="V245">
        <v>40.134529296519887</v>
      </c>
      <c r="W245">
        <v>39.598688561487165</v>
      </c>
      <c r="X245">
        <v>39.059613290499435</v>
      </c>
      <c r="Y245">
        <v>38.246613400001515</v>
      </c>
      <c r="Z245">
        <v>37.395157878680259</v>
      </c>
      <c r="AA245">
        <v>36.544050171756595</v>
      </c>
      <c r="AB245">
        <v>35.692416616313942</v>
      </c>
      <c r="AC245">
        <v>34.840409759577973</v>
      </c>
      <c r="AD245">
        <v>33.875444720895381</v>
      </c>
      <c r="AE245">
        <v>32.909333031183962</v>
      </c>
      <c r="AF245">
        <v>31.942182557189575</v>
      </c>
      <c r="AG245">
        <v>30.974092781742478</v>
      </c>
      <c r="AH245">
        <v>30.005154556993865</v>
      </c>
    </row>
    <row r="246" spans="4:44">
      <c r="D246">
        <v>162.69230769230768</v>
      </c>
      <c r="E246">
        <v>164.65136973135409</v>
      </c>
      <c r="F246">
        <v>166.08342629236935</v>
      </c>
      <c r="G246">
        <v>167.59405847259069</v>
      </c>
      <c r="H246">
        <v>169.19486006756506</v>
      </c>
      <c r="I246">
        <v>170.89759309231786</v>
      </c>
      <c r="J246">
        <v>172.21051482593029</v>
      </c>
      <c r="K246">
        <v>173.57355076688697</v>
      </c>
      <c r="L246">
        <v>174.9915843478035</v>
      </c>
      <c r="M246">
        <v>176.46986398651208</v>
      </c>
      <c r="N246">
        <v>178.01404059177122</v>
      </c>
      <c r="O246">
        <v>176.12216757748354</v>
      </c>
      <c r="P246">
        <v>174.53399219019508</v>
      </c>
      <c r="Q246">
        <v>172.83316434901928</v>
      </c>
      <c r="R246">
        <v>171.26461374662938</v>
      </c>
      <c r="S246">
        <v>169.84374115902662</v>
      </c>
      <c r="T246">
        <v>168.3638991443965</v>
      </c>
      <c r="U246">
        <v>166.98319858383411</v>
      </c>
      <c r="V246">
        <v>165.71145926803476</v>
      </c>
      <c r="W246">
        <v>164.55957329581045</v>
      </c>
      <c r="X246">
        <v>163.53965159659819</v>
      </c>
      <c r="Y246">
        <v>160.73666472156941</v>
      </c>
      <c r="Z246">
        <v>158.70154517503423</v>
      </c>
      <c r="AA246">
        <v>156.90591845838742</v>
      </c>
      <c r="AB246">
        <v>155.36356113788159</v>
      </c>
      <c r="AC246">
        <v>154.09745241886318</v>
      </c>
      <c r="AD246">
        <v>153.02874641095644</v>
      </c>
      <c r="AE246">
        <v>152.25930304053961</v>
      </c>
      <c r="AF246">
        <v>151.8285206073117</v>
      </c>
      <c r="AG246">
        <v>151.79095329801171</v>
      </c>
      <c r="AH246">
        <v>152.39379557275404</v>
      </c>
    </row>
    <row r="249" spans="4:44" ht="64">
      <c r="AJ249" s="30"/>
      <c r="AK249" s="139" t="s">
        <v>1</v>
      </c>
      <c r="AL249" s="139" t="s">
        <v>180</v>
      </c>
      <c r="AM249" s="139" t="s">
        <v>181</v>
      </c>
      <c r="AN249" s="139" t="s">
        <v>182</v>
      </c>
      <c r="AO249" s="139" t="s">
        <v>183</v>
      </c>
      <c r="AP249" s="263" t="s">
        <v>28</v>
      </c>
      <c r="AQ249" s="139" t="s">
        <v>51</v>
      </c>
      <c r="AR249" s="139" t="s">
        <v>184</v>
      </c>
    </row>
    <row r="251" spans="4:44" ht="16">
      <c r="AJ251" s="30" t="s">
        <v>188</v>
      </c>
      <c r="AK251" s="143">
        <f>D4+'Yearly LC Propylene'!D4</f>
        <v>274.61538461538458</v>
      </c>
      <c r="AL251" s="137"/>
      <c r="AM251" s="143" t="s">
        <v>167</v>
      </c>
      <c r="AN251" s="137"/>
      <c r="AO251" s="137"/>
      <c r="AP251" s="137"/>
      <c r="AQ251" s="137"/>
      <c r="AR251" s="532" t="s">
        <v>167</v>
      </c>
    </row>
    <row r="252" spans="4:44">
      <c r="AJ252" s="30" t="s">
        <v>183</v>
      </c>
      <c r="AK252" s="137"/>
      <c r="AL252" s="137"/>
      <c r="AM252" s="137"/>
      <c r="AN252" s="137"/>
      <c r="AO252" s="143">
        <f>AH81+'Yearly LC Propylene'!AH39</f>
        <v>0</v>
      </c>
      <c r="AP252" s="137"/>
      <c r="AQ252" s="137"/>
      <c r="AR252" s="137"/>
    </row>
    <row r="253" spans="4:44">
      <c r="AJ253" s="30" t="s">
        <v>28</v>
      </c>
      <c r="AK253" s="137"/>
      <c r="AL253" s="137"/>
      <c r="AM253" s="137"/>
      <c r="AN253" s="137"/>
      <c r="AO253" s="137"/>
      <c r="AP253" s="143">
        <f>AH82+'Yearly LC Propylene'!AH40</f>
        <v>0</v>
      </c>
      <c r="AQ253" s="137"/>
      <c r="AR253" s="137"/>
    </row>
    <row r="254" spans="4:44">
      <c r="AJ254" s="30" t="s">
        <v>193</v>
      </c>
      <c r="AK254" s="137"/>
      <c r="AL254" s="137"/>
      <c r="AM254" s="137"/>
      <c r="AN254" s="137"/>
      <c r="AO254" s="137"/>
      <c r="AP254" s="137"/>
      <c r="AQ254" s="143">
        <f>AH146+AH147+'Yearly LC Propylene'!AH66+'Yearly LC Propylene'!AH67</f>
        <v>143.33507833088183</v>
      </c>
      <c r="AR254" s="137"/>
    </row>
    <row r="255" spans="4:44">
      <c r="AJ255" s="30" t="s">
        <v>195</v>
      </c>
      <c r="AK255" s="137"/>
      <c r="AL255" s="137"/>
      <c r="AM255" s="137"/>
      <c r="AN255" s="137"/>
      <c r="AO255" s="137"/>
      <c r="AP255" s="137"/>
      <c r="AQ255" s="143">
        <f>AH155+AH156+'Yearly LC Propylene'!AH69+'Yearly LC Propylene'!AH70</f>
        <v>7.0775935600775703</v>
      </c>
      <c r="AR255" s="137"/>
    </row>
    <row r="256" spans="4:44">
      <c r="AJ256" s="30" t="s">
        <v>175</v>
      </c>
      <c r="AK256" s="137"/>
      <c r="AL256" s="143">
        <f>AH4-D4+'Yearly LC Propylene'!AH4-'Yearly LC Propylene'!D4</f>
        <v>140.38461538461542</v>
      </c>
      <c r="AM256" s="137"/>
      <c r="AN256" s="533">
        <f>AH83+'Yearly LC Propylene'!AH41</f>
        <v>28.028692099047639</v>
      </c>
      <c r="AO256" s="137"/>
      <c r="AP256" s="137"/>
      <c r="AQ256" s="137"/>
      <c r="AR256" s="137"/>
    </row>
  </sheetData>
  <mergeCells count="30">
    <mergeCell ref="A75:A78"/>
    <mergeCell ref="A79:A80"/>
    <mergeCell ref="A85:A88"/>
    <mergeCell ref="A89:A90"/>
    <mergeCell ref="A44:A47"/>
    <mergeCell ref="A48:A49"/>
    <mergeCell ref="A56:A59"/>
    <mergeCell ref="A60:A61"/>
    <mergeCell ref="A66:A69"/>
    <mergeCell ref="A70:A71"/>
    <mergeCell ref="A38:A39"/>
    <mergeCell ref="A5:A8"/>
    <mergeCell ref="A9:A10"/>
    <mergeCell ref="A20:A23"/>
    <mergeCell ref="A24:A25"/>
    <mergeCell ref="A34:A37"/>
    <mergeCell ref="A96:A99"/>
    <mergeCell ref="A100:A101"/>
    <mergeCell ref="A106:A109"/>
    <mergeCell ref="A110:A111"/>
    <mergeCell ref="A116:A119"/>
    <mergeCell ref="A149:A152"/>
    <mergeCell ref="A153:A154"/>
    <mergeCell ref="A158:A161"/>
    <mergeCell ref="A162:A163"/>
    <mergeCell ref="A120:A121"/>
    <mergeCell ref="A128:A131"/>
    <mergeCell ref="A132:A133"/>
    <mergeCell ref="A140:A143"/>
    <mergeCell ref="A144:A145"/>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1FC4-54DC-421E-B792-54D5F178C5C2}">
  <sheetPr>
    <tabColor theme="9"/>
  </sheetPr>
  <dimension ref="A2:AT154"/>
  <sheetViews>
    <sheetView zoomScale="85" zoomScaleNormal="85" workbookViewId="0">
      <pane xSplit="3" ySplit="3" topLeftCell="D17" activePane="bottomRight" state="frozen"/>
      <selection pane="topRight" activeCell="C65" sqref="C65"/>
      <selection pane="bottomLeft" activeCell="C65" sqref="C65"/>
      <selection pane="bottomRight" activeCell="AH23" sqref="AH23"/>
    </sheetView>
  </sheetViews>
  <sheetFormatPr baseColWidth="10" defaultColWidth="8.83203125" defaultRowHeight="15" outlineLevelRow="1" outlineLevelCol="1"/>
  <cols>
    <col min="1" max="1" width="53.5" style="1" customWidth="1"/>
    <col min="2" max="2" width="24.5" style="1"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 min="36" max="36" width="15.5" customWidth="1"/>
  </cols>
  <sheetData>
    <row r="2" spans="1:36" s="53" customFormat="1">
      <c r="A2" s="52" t="s">
        <v>386</v>
      </c>
      <c r="B2" s="52"/>
      <c r="C2" s="52"/>
    </row>
    <row r="3" spans="1:36"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6">
      <c r="A4" s="1" t="s">
        <v>387</v>
      </c>
      <c r="C4" s="54" t="s">
        <v>153</v>
      </c>
      <c r="D4" s="44">
        <f>'Yearly Demand - Eth&amp;Prop'!N5</f>
        <v>111.92307692307692</v>
      </c>
      <c r="E4" s="44">
        <f>'Yearly Demand - Eth&amp;Prop'!O5</f>
        <v>114.14109897114302</v>
      </c>
      <c r="F4" s="44">
        <f>'Yearly Demand - Eth&amp;Prop'!P5</f>
        <v>116.40307640304019</v>
      </c>
      <c r="G4" s="44">
        <f>'Yearly Demand - Eth&amp;Prop'!Q5</f>
        <v>118.70988029927432</v>
      </c>
      <c r="H4" s="44">
        <f>'Yearly Demand - Eth&amp;Prop'!R5</f>
        <v>121.06239900288395</v>
      </c>
      <c r="I4" s="44">
        <f>'Yearly Demand - Eth&amp;Prop'!S5</f>
        <v>123.46153846153845</v>
      </c>
      <c r="J4" s="44">
        <f>'Yearly Demand - Eth&amp;Prop'!T5</f>
        <v>125.68750385067274</v>
      </c>
      <c r="K4" s="44">
        <f>'Yearly Demand - Eth&amp;Prop'!U5</f>
        <v>127.95360256371801</v>
      </c>
      <c r="L4" s="44">
        <f>'Yearly Demand - Eth&amp;Prop'!V5</f>
        <v>130.26055818950272</v>
      </c>
      <c r="M4" s="44">
        <f>'Yearly Demand - Eth&amp;Prop'!W5</f>
        <v>132.60910736289145</v>
      </c>
      <c r="N4" s="44">
        <f>'Yearly Demand - Eth&amp;Prop'!X5</f>
        <v>135</v>
      </c>
      <c r="O4" s="44">
        <f>'Yearly Demand - Eth&amp;Prop'!Y5</f>
        <v>136.22747472491002</v>
      </c>
      <c r="P4" s="44">
        <f>'Yearly Demand - Eth&amp;Prop'!Z5</f>
        <v>137.46611014760001</v>
      </c>
      <c r="Q4" s="44">
        <f>'Yearly Demand - Eth&amp;Prop'!AA5</f>
        <v>138.71600774565835</v>
      </c>
      <c r="R4" s="44">
        <f>'Yearly Demand - Eth&amp;Prop'!AB5</f>
        <v>139.97726991934886</v>
      </c>
      <c r="S4" s="44">
        <f>'Yearly Demand - Eth&amp;Prop'!AC5</f>
        <v>141.25</v>
      </c>
      <c r="T4" s="44">
        <f>'Yearly Demand - Eth&amp;Prop'!AD5</f>
        <v>142.47844586453499</v>
      </c>
      <c r="U4" s="44">
        <f>'Yearly Demand - Eth&amp;Prop'!AE5</f>
        <v>143.71757547591665</v>
      </c>
      <c r="V4" s="44">
        <f>'Yearly Demand - Eth&amp;Prop'!AF5</f>
        <v>144.96748175028398</v>
      </c>
      <c r="W4" s="44">
        <f>'Yearly Demand - Eth&amp;Prop'!AG5</f>
        <v>146.22825841186406</v>
      </c>
      <c r="X4" s="44">
        <f>'Yearly Demand - Eth&amp;Prop'!AH5</f>
        <v>147.5</v>
      </c>
      <c r="Y4" s="44">
        <f>'Yearly Demand - Eth&amp;Prop'!AI5</f>
        <v>148.72933671873375</v>
      </c>
      <c r="Z4" s="44">
        <f>'Yearly Demand - Eth&amp;Prop'!AJ5</f>
        <v>149.96891932742022</v>
      </c>
      <c r="AA4" s="44">
        <f>'Yearly Demand - Eth&amp;Prop'!AK5</f>
        <v>151.21883322028813</v>
      </c>
      <c r="AB4" s="44">
        <f>'Yearly Demand - Eth&amp;Prop'!AL5</f>
        <v>152.47916450328322</v>
      </c>
      <c r="AC4" s="44">
        <f>'Yearly Demand - Eth&amp;Prop'!AM5</f>
        <v>153.75</v>
      </c>
      <c r="AD4" s="44">
        <f>'Yearly Demand - Eth&amp;Prop'!AN5</f>
        <v>154.98015684917894</v>
      </c>
      <c r="AE4" s="44">
        <f>'Yearly Demand - Eth&amp;Prop'!AO5</f>
        <v>156.22015620810475</v>
      </c>
      <c r="AF4" s="44">
        <f>'Yearly Demand - Eth&amp;Prop'!AP5</f>
        <v>157.4700768268963</v>
      </c>
      <c r="AG4" s="44">
        <f>'Yearly Demand - Eth&amp;Prop'!AQ5</f>
        <v>158.72999808575381</v>
      </c>
      <c r="AH4" s="44">
        <f>'Yearly Demand - Eth&amp;Prop'!AR5</f>
        <v>160</v>
      </c>
    </row>
    <row r="6" spans="1:36">
      <c r="A6" s="58" t="s">
        <v>268</v>
      </c>
      <c r="B6" s="58" t="s">
        <v>199</v>
      </c>
      <c r="C6" s="59" t="s">
        <v>153</v>
      </c>
      <c r="D6" s="60">
        <f>'R&amp;S - Transportation'!C4</f>
        <v>17.63451512942034</v>
      </c>
      <c r="E6" s="60">
        <f>D6*(1+'R&amp;S - Transportation'!$B$5)</f>
        <v>17.934301886620485</v>
      </c>
      <c r="F6" s="60">
        <f>E6*(1+'R&amp;S - Transportation'!$B$5)</f>
        <v>18.239185018693032</v>
      </c>
      <c r="G6" s="60">
        <f>F6*(1+'R&amp;S - Transportation'!$B$5)</f>
        <v>18.549251164010812</v>
      </c>
      <c r="H6" s="60">
        <f>G6*(1+'R&amp;S - Transportation'!$B$5)</f>
        <v>18.864588433798993</v>
      </c>
      <c r="I6" s="60">
        <f>H6*(1+'R&amp;S - Transportation'!$B$5)</f>
        <v>19.185286437173573</v>
      </c>
      <c r="J6" s="60">
        <f>I6*(1+'R&amp;S - Transportation'!$B$5)</f>
        <v>19.511436306605521</v>
      </c>
      <c r="K6" s="60">
        <f>J6*(1+'R&amp;S - Transportation'!$B$5)</f>
        <v>19.843130723817815</v>
      </c>
      <c r="L6" s="60">
        <f>K6*(1+'R&amp;S - Transportation'!$B$5)</f>
        <v>20.180463946122718</v>
      </c>
      <c r="M6" s="60">
        <f>L6*(1+'R&amp;S - Transportation'!$B$5)</f>
        <v>20.523531833206803</v>
      </c>
      <c r="N6" s="60">
        <f>M6*(1+'R&amp;S - Transportation'!$B$5)</f>
        <v>20.872431874371316</v>
      </c>
      <c r="O6" s="60">
        <f>N6*(1+'R&amp;S - Transportation'!$B$5)</f>
        <v>21.227263216235627</v>
      </c>
      <c r="P6" s="60">
        <f>O6*(1+'R&amp;S - Transportation'!$B$5)</f>
        <v>21.588126690911633</v>
      </c>
      <c r="Q6" s="60">
        <f>P6*(1+'R&amp;S - Transportation'!$B$5)</f>
        <v>21.955124844657128</v>
      </c>
      <c r="R6" s="60">
        <f>Q6*(1+'R&amp;S - Transportation'!$B$5)</f>
        <v>22.328361967016296</v>
      </c>
      <c r="S6" s="60">
        <f>R6*(1+'R&amp;S - Transportation'!$B$5)</f>
        <v>22.707944120455572</v>
      </c>
      <c r="T6" s="60">
        <f>S6*(1+'R&amp;S - Transportation'!$B$5)</f>
        <v>23.093979170503314</v>
      </c>
      <c r="U6" s="60">
        <f>T6*(1+'R&amp;S - Transportation'!$B$5)</f>
        <v>23.486576816401868</v>
      </c>
      <c r="V6" s="60">
        <f>U6*(1+'R&amp;S - Transportation'!$B$5)</f>
        <v>23.885848622280697</v>
      </c>
      <c r="W6" s="60">
        <f>V6*(1+'R&amp;S - Transportation'!$B$5)</f>
        <v>24.291908048859465</v>
      </c>
      <c r="X6" s="60">
        <f>W6*(1+'R&amp;S - Transportation'!$B$5)</f>
        <v>24.704870485690073</v>
      </c>
      <c r="Y6" s="60">
        <f>X6*(1+'R&amp;S - Transportation'!$B$5)</f>
        <v>25.124853283946802</v>
      </c>
      <c r="Z6" s="60">
        <f>Y6*(1+'R&amp;S - Transportation'!$B$5)</f>
        <v>25.551975789773895</v>
      </c>
      <c r="AA6" s="60">
        <f>Z6*(1+'R&amp;S - Transportation'!$B$5)</f>
        <v>25.986359378200049</v>
      </c>
      <c r="AB6" s="60">
        <f>AA6*(1+'R&amp;S - Transportation'!$B$5)</f>
        <v>26.428127487629446</v>
      </c>
      <c r="AC6" s="60">
        <f>AB6*(1+'R&amp;S - Transportation'!$B$5)</f>
        <v>26.877405654919144</v>
      </c>
      <c r="AD6" s="60">
        <f>AC6*(1+'R&amp;S - Transportation'!$B$5)</f>
        <v>27.334321551052767</v>
      </c>
      <c r="AE6" s="60">
        <f>AD6*(1+'R&amp;S - Transportation'!$B$5)</f>
        <v>27.799005017420662</v>
      </c>
      <c r="AF6" s="60">
        <f>AE6*(1+'R&amp;S - Transportation'!$B$5)</f>
        <v>28.271588102716809</v>
      </c>
      <c r="AG6" s="60">
        <f>AF6*(1+'R&amp;S - Transportation'!$B$5)</f>
        <v>28.752205100462991</v>
      </c>
      <c r="AH6" s="60">
        <f>AG6*(1+'R&amp;S - Transportation'!$B$5)</f>
        <v>29.240992587170858</v>
      </c>
      <c r="AJ6" s="43"/>
    </row>
    <row r="7" spans="1:36" outlineLevel="1">
      <c r="B7" s="1" t="s">
        <v>270</v>
      </c>
      <c r="C7" s="54" t="s">
        <v>153</v>
      </c>
      <c r="D7" s="44">
        <v>0</v>
      </c>
      <c r="E7" s="44">
        <f>E6*('R&amp;S - Transportation'!$B$8*'R&amp;S - Transportation'!$D$19*('Yearly HC Propylene'!E3-'Yearly HC Propylene'!$D$3)/10)</f>
        <v>3.5868603773240977E-2</v>
      </c>
      <c r="F7" s="44">
        <f>F6*('R&amp;S - Transportation'!$B$8*'R&amp;S - Transportation'!$D$19*('Yearly HC Propylene'!F3-'Yearly HC Propylene'!$D$3)/10)</f>
        <v>7.2956740074772139E-2</v>
      </c>
      <c r="G7" s="44">
        <f>G6*('R&amp;S - Transportation'!$B$8*'R&amp;S - Transportation'!$D$19*('Yearly HC Propylene'!G3-'Yearly HC Propylene'!$D$3)/10)</f>
        <v>0.11129550698406489</v>
      </c>
      <c r="H7" s="44">
        <f>H6*('R&amp;S - Transportation'!$B$8*'R&amp;S - Transportation'!$D$19*('Yearly HC Propylene'!H3-'Yearly HC Propylene'!$D$3)/10)</f>
        <v>0.15091670747039199</v>
      </c>
      <c r="I7" s="44">
        <f>I6*('R&amp;S - Transportation'!$B$8*'R&amp;S - Transportation'!$D$19*('Yearly HC Propylene'!I3-'Yearly HC Propylene'!$D$3)/10)</f>
        <v>0.19185286437173577</v>
      </c>
      <c r="J7" s="44">
        <f>J6*('R&amp;S - Transportation'!$B$8*'R&amp;S - Transportation'!$D$19*('Yearly HC Propylene'!J3-'Yearly HC Propylene'!$D$3)/10)</f>
        <v>0.23413723567926628</v>
      </c>
      <c r="K7" s="44">
        <f>K6*('R&amp;S - Transportation'!$B$8*'R&amp;S - Transportation'!$D$19*('Yearly HC Propylene'!K3-'Yearly HC Propylene'!$D$3)/10)</f>
        <v>0.27780383013344945</v>
      </c>
      <c r="L7" s="44">
        <f>L6*('R&amp;S - Transportation'!$B$8*'R&amp;S - Transportation'!$D$19*('Yearly HC Propylene'!L3-'Yearly HC Propylene'!$D$3)/10)</f>
        <v>0.32288742313796354</v>
      </c>
      <c r="M7" s="44">
        <f>M6*('R&amp;S - Transportation'!$B$8*'R&amp;S - Transportation'!$D$19*('Yearly HC Propylene'!M3-'Yearly HC Propylene'!$D$3)/10)</f>
        <v>0.36942357299772255</v>
      </c>
      <c r="N7" s="44">
        <f>N6*('R&amp;S - Transportation'!$B$8*'R&amp;S - Transportation'!$D$19*('Yearly HC Propylene'!N3-'Yearly HC Propylene'!$D$3)/10)</f>
        <v>0.41744863748742639</v>
      </c>
      <c r="O7" s="44">
        <f>O6*('R&amp;S - Transportation'!$B$8*('R&amp;S - Transportation'!$D$19+('R&amp;S - Transportation'!$D$20-'R&amp;S - Transportation'!$D$19)*('Yearly HC Propylene'!O3-'Yearly HC Propylene'!$N$3)/10))</f>
        <v>0.53068158040589075</v>
      </c>
      <c r="P7" s="44">
        <f>P6*('R&amp;S - Transportation'!$B$8*('R&amp;S - Transportation'!$D$19+('R&amp;S - Transportation'!$D$20-'R&amp;S - Transportation'!$D$19)*('Yearly HC Propylene'!P3-'Yearly HC Propylene'!$N$3)/10))</f>
        <v>0.64764380072734895</v>
      </c>
      <c r="Q7" s="44">
        <f>Q6*('R&amp;S - Transportation'!$B$8*('R&amp;S - Transportation'!$D$19+('R&amp;S - Transportation'!$D$20-'R&amp;S - Transportation'!$D$19)*('Yearly HC Propylene'!Q3-'Yearly HC Propylene'!$N$3)/10))</f>
        <v>0.76842936956299934</v>
      </c>
      <c r="R7" s="44">
        <f>R6*('R&amp;S - Transportation'!$B$8*('R&amp;S - Transportation'!$D$19+('R&amp;S - Transportation'!$D$20-'R&amp;S - Transportation'!$D$19)*('Yearly HC Propylene'!R3-'Yearly HC Propylene'!$N$3)/10))</f>
        <v>0.89313447868065199</v>
      </c>
      <c r="S7" s="44">
        <f>S6*('R&amp;S - Transportation'!$B$8*('R&amp;S - Transportation'!$D$19+('R&amp;S - Transportation'!$D$20-'R&amp;S - Transportation'!$D$19)*('Yearly HC Propylene'!S3-'Yearly HC Propylene'!$N$3)/10))</f>
        <v>1.0218574854205007</v>
      </c>
      <c r="T7" s="44">
        <f>T6*('R&amp;S - Transportation'!$B$8*('R&amp;S - Transportation'!$D$19+('R&amp;S - Transportation'!$D$20-'R&amp;S - Transportation'!$D$19)*('Yearly HC Propylene'!T3-'Yearly HC Propylene'!$N$3)/10))</f>
        <v>1.1546989585251657</v>
      </c>
      <c r="U7" s="44">
        <f>U6*('R&amp;S - Transportation'!$B$8*('R&amp;S - Transportation'!$D$19+('R&amp;S - Transportation'!$D$20-'R&amp;S - Transportation'!$D$19)*('Yearly HC Propylene'!U3-'Yearly HC Propylene'!$N$3)/10))</f>
        <v>1.2917617249021029</v>
      </c>
      <c r="V7" s="44">
        <f>V6*('R&amp;S - Transportation'!$B$8*('R&amp;S - Transportation'!$D$19+('R&amp;S - Transportation'!$D$20-'R&amp;S - Transportation'!$D$19)*('Yearly HC Propylene'!V3-'Yearly HC Propylene'!$N$3)/10))</f>
        <v>1.4331509173368417</v>
      </c>
      <c r="W7" s="44">
        <f>W6*('R&amp;S - Transportation'!$B$8*('R&amp;S - Transportation'!$D$19+('R&amp;S - Transportation'!$D$20-'R&amp;S - Transportation'!$D$19)*('Yearly HC Propylene'!W3-'Yearly HC Propylene'!$N$3)/10))</f>
        <v>1.5789740231758649</v>
      </c>
      <c r="X7" s="44">
        <f>X6*('R&amp;S - Transportation'!$B$8*('R&amp;S - Transportation'!$D$19+('R&amp;S - Transportation'!$D$20-'R&amp;S - Transportation'!$D$19)*('Yearly HC Propylene'!X3-'Yearly HC Propylene'!$N$3)/10))</f>
        <v>1.729340933998305</v>
      </c>
      <c r="Y7" s="44">
        <f>Y6*('R&amp;S - Transportation'!$B$8*('R&amp;S - Transportation'!$D$20+('R&amp;S - Transportation'!$D$21-'R&amp;S - Transportation'!$D$20)*('Yearly HC Propylene'!Y3-'Yearly HC Propylene'!$X$3)/10))</f>
        <v>1.8341142897281164</v>
      </c>
      <c r="Z7" s="44">
        <f>Z6*('R&amp;S - Transportation'!$B$8*('R&amp;S - Transportation'!$D$20+('R&amp;S - Transportation'!$D$21-'R&amp;S - Transportation'!$D$20)*('Yearly HC Propylene'!Z3-'Yearly HC Propylene'!$X$3)/10))</f>
        <v>1.9419501600228164</v>
      </c>
      <c r="AA7" s="44">
        <f>AA6*('R&amp;S - Transportation'!$B$8*('R&amp;S - Transportation'!$D$20+('R&amp;S - Transportation'!$D$21-'R&amp;S - Transportation'!$D$20)*('Yearly HC Propylene'!AA3-'Yearly HC Propylene'!$X$3)/10))</f>
        <v>2.052922390877804</v>
      </c>
      <c r="AB7" s="44">
        <f>AB6*('R&amp;S - Transportation'!$B$8*('R&amp;S - Transportation'!$D$20+('R&amp;S - Transportation'!$D$21-'R&amp;S - Transportation'!$D$20)*('Yearly HC Propylene'!AB3-'Yearly HC Propylene'!$X$3)/10))</f>
        <v>2.1671064539856149</v>
      </c>
      <c r="AC7" s="44">
        <f>AC6*('R&amp;S - Transportation'!$B$8*('R&amp;S - Transportation'!$D$20+('R&amp;S - Transportation'!$D$21-'R&amp;S - Transportation'!$D$20)*('Yearly HC Propylene'!AC3-'Yearly HC Propylene'!$X$3)/10))</f>
        <v>2.2845794806681274</v>
      </c>
      <c r="AD7" s="44">
        <f>AD6*('R&amp;S - Transportation'!$B$8*('R&amp;S - Transportation'!$D$20+('R&amp;S - Transportation'!$D$21-'R&amp;S - Transportation'!$D$20)*('Yearly HC Propylene'!AD3-'Yearly HC Propylene'!$X$3)/10))</f>
        <v>2.4054202964926437</v>
      </c>
      <c r="AE7" s="44">
        <f>AE6*('R&amp;S - Transportation'!$B$8*('R&amp;S - Transportation'!$D$20+('R&amp;S - Transportation'!$D$21-'R&amp;S - Transportation'!$D$20)*('Yearly HC Propylene'!AE3-'Yearly HC Propylene'!$X$3)/10))</f>
        <v>2.5297094565852807</v>
      </c>
      <c r="AF7" s="44">
        <f>AF6*('R&amp;S - Transportation'!$B$8*('R&amp;S - Transportation'!$D$20+('R&amp;S - Transportation'!$D$21-'R&amp;S - Transportation'!$D$20)*('Yearly HC Propylene'!AF3-'Yearly HC Propylene'!$X$3)/10))</f>
        <v>2.6575292816553802</v>
      </c>
      <c r="AG7" s="44">
        <f>AG6*('R&amp;S - Transportation'!$B$8*('R&amp;S - Transportation'!$D$20+('R&amp;S - Transportation'!$D$21-'R&amp;S - Transportation'!$D$20)*('Yearly HC Propylene'!AG3-'Yearly HC Propylene'!$X$3)/10))</f>
        <v>2.78896389474491</v>
      </c>
      <c r="AH7" s="44">
        <f>AH6*('R&amp;S - Transportation'!$B$8*('R&amp;S - Transportation'!$D$20+('R&amp;S - Transportation'!$D$21-'R&amp;S - Transportation'!$D$20)*('Yearly HC Propylene'!AH3-'Yearly HC Propylene'!$X$3)/10))</f>
        <v>2.924099258717086</v>
      </c>
      <c r="AJ7" s="43"/>
    </row>
    <row r="8" spans="1:36" outlineLevel="1">
      <c r="B8" s="1" t="s">
        <v>191</v>
      </c>
      <c r="C8" s="54" t="s">
        <v>153</v>
      </c>
      <c r="D8" s="44">
        <f>SUM(D6:D7)</f>
        <v>17.63451512942034</v>
      </c>
      <c r="E8" s="44">
        <f t="shared" ref="E8:AH8" si="1">SUM(E6:E7)</f>
        <v>17.970170490393727</v>
      </c>
      <c r="F8" s="44">
        <f t="shared" si="1"/>
        <v>18.312141758767805</v>
      </c>
      <c r="G8" s="44">
        <f t="shared" si="1"/>
        <v>18.660546670994876</v>
      </c>
      <c r="H8" s="44">
        <f t="shared" si="1"/>
        <v>19.015505141269383</v>
      </c>
      <c r="I8" s="44">
        <f t="shared" si="1"/>
        <v>19.377139301545309</v>
      </c>
      <c r="J8" s="44">
        <f t="shared" si="1"/>
        <v>19.745573542284788</v>
      </c>
      <c r="K8" s="44">
        <f t="shared" si="1"/>
        <v>20.120934553951265</v>
      </c>
      <c r="L8" s="44">
        <f t="shared" si="1"/>
        <v>20.503351369260681</v>
      </c>
      <c r="M8" s="44">
        <f t="shared" si="1"/>
        <v>20.892955406204525</v>
      </c>
      <c r="N8" s="44">
        <f>SUM(N6:N7)</f>
        <v>21.28988051185874</v>
      </c>
      <c r="O8" s="44">
        <f t="shared" si="1"/>
        <v>21.757944796641517</v>
      </c>
      <c r="P8" s="44">
        <f t="shared" si="1"/>
        <v>22.235770491638981</v>
      </c>
      <c r="Q8" s="44">
        <f t="shared" si="1"/>
        <v>22.723554214220126</v>
      </c>
      <c r="R8" s="44">
        <f t="shared" si="1"/>
        <v>23.221496445696946</v>
      </c>
      <c r="S8" s="44">
        <f t="shared" si="1"/>
        <v>23.729801605876073</v>
      </c>
      <c r="T8" s="44">
        <f t="shared" si="1"/>
        <v>24.24867812902848</v>
      </c>
      <c r="U8" s="44">
        <f t="shared" si="1"/>
        <v>24.77833854130397</v>
      </c>
      <c r="V8" s="44">
        <f t="shared" si="1"/>
        <v>25.31899953961754</v>
      </c>
      <c r="W8" s="44">
        <f t="shared" si="1"/>
        <v>25.870882072035329</v>
      </c>
      <c r="X8" s="44">
        <f t="shared" si="1"/>
        <v>26.434211419688378</v>
      </c>
      <c r="Y8" s="44">
        <f t="shared" si="1"/>
        <v>26.958967573674919</v>
      </c>
      <c r="Z8" s="44">
        <f t="shared" si="1"/>
        <v>27.493925949796711</v>
      </c>
      <c r="AA8" s="44">
        <f t="shared" si="1"/>
        <v>28.039281769077853</v>
      </c>
      <c r="AB8" s="44">
        <f t="shared" si="1"/>
        <v>28.59523394161506</v>
      </c>
      <c r="AC8" s="44">
        <f t="shared" si="1"/>
        <v>29.161985135587273</v>
      </c>
      <c r="AD8" s="44">
        <f t="shared" si="1"/>
        <v>29.73974184754541</v>
      </c>
      <c r="AE8" s="44">
        <f t="shared" si="1"/>
        <v>30.328714474005942</v>
      </c>
      <c r="AF8" s="44">
        <f t="shared" si="1"/>
        <v>30.929117384372191</v>
      </c>
      <c r="AG8" s="44">
        <f t="shared" si="1"/>
        <v>31.541168995207901</v>
      </c>
      <c r="AH8" s="44">
        <f t="shared" si="1"/>
        <v>32.165091845887943</v>
      </c>
      <c r="AJ8" s="43"/>
    </row>
    <row r="9" spans="1:36" outlineLevel="1">
      <c r="B9" s="61" t="s">
        <v>77</v>
      </c>
      <c r="C9" s="54" t="s">
        <v>153</v>
      </c>
      <c r="D9" s="44">
        <v>0</v>
      </c>
      <c r="E9" s="44">
        <f>E8*'R&amp;S - Transportation'!$B$15*('R&amp;S - Transportation'!$B$10*'R&amp;S - Transportation'!$B$19*('Yearly HC Propylene'!E$3-'Yearly HC Propylene'!$D$3)/10)</f>
        <v>0</v>
      </c>
      <c r="F9" s="44">
        <f>F8*'R&amp;S - Transportation'!$B$15*('R&amp;S - Transportation'!$B$10*'R&amp;S - Transportation'!$B$19*('Yearly HC Propylene'!F$3-'Yearly HC Propylene'!$D$3)/10)</f>
        <v>0</v>
      </c>
      <c r="G9" s="44">
        <f>G8*'R&amp;S - Transportation'!$B$15*('R&amp;S - Transportation'!$B$10*'R&amp;S - Transportation'!$B$19*('Yearly HC Propylene'!G$3-'Yearly HC Propylene'!$D$3)/10)</f>
        <v>0</v>
      </c>
      <c r="H9" s="44">
        <f>H8*'R&amp;S - Transportation'!$B$15*('R&amp;S - Transportation'!$B$10*'R&amp;S - Transportation'!$B$19*('Yearly HC Propylene'!H$3-'Yearly HC Propylene'!$D$3)/10)</f>
        <v>0</v>
      </c>
      <c r="I9" s="44">
        <f>I8*'R&amp;S - Transportation'!$B$15*('R&amp;S - Transportation'!$B$10*'R&amp;S - Transportation'!$B$19*('Yearly HC Propylene'!I$3-'Yearly HC Propylene'!$D$3)/10)</f>
        <v>0</v>
      </c>
      <c r="J9" s="44">
        <f>J8*'R&amp;S - Transportation'!$B$15*('R&amp;S - Transportation'!$B$10*'R&amp;S - Transportation'!$B$19*('Yearly HC Propylene'!J$3-'Yearly HC Propylene'!$D$3)/10)</f>
        <v>0</v>
      </c>
      <c r="K9" s="44">
        <f>K8*'R&amp;S - Transportation'!$B$15*('R&amp;S - Transportation'!$B$10*'R&amp;S - Transportation'!$B$19*('Yearly HC Propylene'!K$3-'Yearly HC Propylene'!$D$3)/10)</f>
        <v>0</v>
      </c>
      <c r="L9" s="44">
        <f>L8*'R&amp;S - Transportation'!$B$15*('R&amp;S - Transportation'!$B$10*'R&amp;S - Transportation'!$B$19*('Yearly HC Propylene'!L$3-'Yearly HC Propylene'!$D$3)/10)</f>
        <v>0</v>
      </c>
      <c r="M9" s="44">
        <f>M8*'R&amp;S - Transportation'!$B$15*('R&amp;S - Transportation'!$B$10*'R&amp;S - Transportation'!$B$19*('Yearly HC Propylene'!M$3-'Yearly HC Propylene'!$D$3)/10)</f>
        <v>0</v>
      </c>
      <c r="N9" s="44">
        <f>N8*'R&amp;S - Transportation'!$B$15*('R&amp;S - Transportation'!$B$10*'R&amp;S - Transportation'!$B$19*('Yearly HC Propylene'!N$3-'Yearly HC Propylene'!$D$3)/10)</f>
        <v>0</v>
      </c>
      <c r="O9" s="44">
        <f>O8*'R&amp;S - Transportation'!$B$15*('R&amp;S - Transportation'!$B$10*('R&amp;S - Transportation'!$B$19+('R&amp;S - Transportation'!$B$20-'R&amp;S - Transportation'!$B$19)*('Yearly HC Propylene'!O3-'Yearly HC Propylene'!$N$3)/10))</f>
        <v>0</v>
      </c>
      <c r="P9" s="44">
        <f>P8*'R&amp;S - Transportation'!$B$15*('R&amp;S - Transportation'!$B$10*('R&amp;S - Transportation'!$B$19+('R&amp;S - Transportation'!$B$20-'R&amp;S - Transportation'!$B$19)*('Yearly HC Propylene'!P3-'Yearly HC Propylene'!$N$3)/10))</f>
        <v>0</v>
      </c>
      <c r="Q9" s="44">
        <f>Q8*'R&amp;S - Transportation'!$B$15*('R&amp;S - Transportation'!$B$10*('R&amp;S - Transportation'!$B$19+('R&amp;S - Transportation'!$B$20-'R&amp;S - Transportation'!$B$19)*('Yearly HC Propylene'!Q3-'Yearly HC Propylene'!$N$3)/10))</f>
        <v>0</v>
      </c>
      <c r="R9" s="44">
        <f>R8*'R&amp;S - Transportation'!$B$15*('R&amp;S - Transportation'!$B$10*('R&amp;S - Transportation'!$B$19+('R&amp;S - Transportation'!$B$20-'R&amp;S - Transportation'!$B$19)*('Yearly HC Propylene'!R3-'Yearly HC Propylene'!$N$3)/10))</f>
        <v>0</v>
      </c>
      <c r="S9" s="44">
        <f>S8*'R&amp;S - Transportation'!$B$15*('R&amp;S - Transportation'!$B$10*('R&amp;S - Transportation'!$B$19+('R&amp;S - Transportation'!$B$20-'R&amp;S - Transportation'!$B$19)*('Yearly HC Propylene'!S3-'Yearly HC Propylene'!$N$3)/10))</f>
        <v>0</v>
      </c>
      <c r="T9" s="44">
        <f>T8*'R&amp;S - Transportation'!$B$15*('R&amp;S - Transportation'!$B$10*('R&amp;S - Transportation'!$B$19+('R&amp;S - Transportation'!$B$20-'R&amp;S - Transportation'!$B$19)*('Yearly HC Propylene'!T3-'Yearly HC Propylene'!$N$3)/10))</f>
        <v>0</v>
      </c>
      <c r="U9" s="44">
        <f>U8*'R&amp;S - Transportation'!$B$15*('R&amp;S - Transportation'!$B$10*('R&amp;S - Transportation'!$B$19+('R&amp;S - Transportation'!$B$20-'R&amp;S - Transportation'!$B$19)*('Yearly HC Propylene'!U3-'Yearly HC Propylene'!$N$3)/10))</f>
        <v>0</v>
      </c>
      <c r="V9" s="44">
        <f>V8*'R&amp;S - Transportation'!$B$15*('R&amp;S - Transportation'!$B$10*('R&amp;S - Transportation'!$B$19+('R&amp;S - Transportation'!$B$20-'R&amp;S - Transportation'!$B$19)*('Yearly HC Propylene'!V3-'Yearly HC Propylene'!$N$3)/10))</f>
        <v>0</v>
      </c>
      <c r="W9" s="44">
        <f>W8*'R&amp;S - Transportation'!$B$15*('R&amp;S - Transportation'!$B$10*('R&amp;S - Transportation'!$B$19+('R&amp;S - Transportation'!$B$20-'R&amp;S - Transportation'!$B$19)*('Yearly HC Propylene'!W3-'Yearly HC Propylene'!$N$3)/10))</f>
        <v>0</v>
      </c>
      <c r="X9" s="44">
        <f>X8*'R&amp;S - Transportation'!$B$15*('R&amp;S - Transportation'!$B$10*('R&amp;S - Transportation'!$B$19+('R&amp;S - Transportation'!$B$20-'R&amp;S - Transportation'!$B$19)*('Yearly HC Propylene'!X3-'Yearly HC Propylene'!$N$3)/10))</f>
        <v>0</v>
      </c>
      <c r="Y9" s="44">
        <f>Y8*'R&amp;S - Transportation'!$B$15*('R&amp;S - Transportation'!$B$10*('R&amp;S - Transportation'!$B$20+('R&amp;S - Transportation'!$B$21-'R&amp;S - Transportation'!$B$20)*('Yearly HC Propylene'!Y3-'Yearly HC Propylene'!$X$3)/10))</f>
        <v>0</v>
      </c>
      <c r="Z9" s="44">
        <f>Z8*'R&amp;S - Transportation'!$B$15*('R&amp;S - Transportation'!$B$10*('R&amp;S - Transportation'!$B$20+('R&amp;S - Transportation'!$B$21-'R&amp;S - Transportation'!$B$20)*('Yearly HC Propylene'!Z3-'Yearly HC Propylene'!$X$3)/10))</f>
        <v>0</v>
      </c>
      <c r="AA9" s="44">
        <f>AA8*'R&amp;S - Transportation'!$B$15*('R&amp;S - Transportation'!$B$10*('R&amp;S - Transportation'!$B$20+('R&amp;S - Transportation'!$B$21-'R&amp;S - Transportation'!$B$20)*('Yearly HC Propylene'!AA3-'Yearly HC Propylene'!$X$3)/10))</f>
        <v>0</v>
      </c>
      <c r="AB9" s="44">
        <f>AB8*'R&amp;S - Transportation'!$B$15*('R&amp;S - Transportation'!$B$10*('R&amp;S - Transportation'!$B$20+('R&amp;S - Transportation'!$B$21-'R&amp;S - Transportation'!$B$20)*('Yearly HC Propylene'!AB3-'Yearly HC Propylene'!$X$3)/10))</f>
        <v>0</v>
      </c>
      <c r="AC9" s="44">
        <f>AC8*'R&amp;S - Transportation'!$B$15*('R&amp;S - Transportation'!$B$10*('R&amp;S - Transportation'!$B$20+('R&amp;S - Transportation'!$B$21-'R&amp;S - Transportation'!$B$20)*('Yearly HC Propylene'!AC3-'Yearly HC Propylene'!$X$3)/10))</f>
        <v>0</v>
      </c>
      <c r="AD9" s="44">
        <f>AD8*'R&amp;S - Transportation'!$B$15*('R&amp;S - Transportation'!$B$10*('R&amp;S - Transportation'!$B$20+('R&amp;S - Transportation'!$B$21-'R&amp;S - Transportation'!$B$20)*('Yearly HC Propylene'!AD3-'Yearly HC Propylene'!$X$3)/10))</f>
        <v>0</v>
      </c>
      <c r="AE9" s="44">
        <f>AE8*'R&amp;S - Transportation'!$B$15*('R&amp;S - Transportation'!$B$10*('R&amp;S - Transportation'!$B$20+('R&amp;S - Transportation'!$B$21-'R&amp;S - Transportation'!$B$20)*('Yearly HC Propylene'!AE3-'Yearly HC Propylene'!$X$3)/10))</f>
        <v>0</v>
      </c>
      <c r="AF9" s="44">
        <f>AF8*'R&amp;S - Transportation'!$B$15*('R&amp;S - Transportation'!$B$10*('R&amp;S - Transportation'!$B$20+('R&amp;S - Transportation'!$B$21-'R&amp;S - Transportation'!$B$20)*('Yearly HC Propylene'!AF3-'Yearly HC Propylene'!$X$3)/10))</f>
        <v>0</v>
      </c>
      <c r="AG9" s="44">
        <f>AG8*'R&amp;S - Transportation'!$B$15*('R&amp;S - Transportation'!$B$10*('R&amp;S - Transportation'!$B$20+('R&amp;S - Transportation'!$B$21-'R&amp;S - Transportation'!$B$20)*('Yearly HC Propylene'!AG3-'Yearly HC Propylene'!$X$3)/10))</f>
        <v>0</v>
      </c>
      <c r="AH9" s="44">
        <f>AH8*'R&amp;S - Transportation'!$B$15*('R&amp;S - Transportation'!$B$10*('R&amp;S - Transportation'!$B$20+('R&amp;S - Transportation'!$B$21-'R&amp;S - Transportation'!$B$20)*('Yearly HC Propylene'!AH3-'Yearly HC Propylene'!$X$3)/10))</f>
        <v>0</v>
      </c>
    </row>
    <row r="10" spans="1:36" outlineLevel="1">
      <c r="B10" s="61" t="s">
        <v>194</v>
      </c>
      <c r="C10" s="54" t="s">
        <v>153</v>
      </c>
      <c r="D10" s="44">
        <v>0</v>
      </c>
      <c r="E10" s="44">
        <f>(E8-E9)*'R&amp;S - Transportation'!$B$15*('R&amp;S - Transportation'!$B$11*'R&amp;S - Transportation'!$B$19*('Yearly HC Propylene'!E$3-'Yearly HC Propylene'!$D$3)/10)</f>
        <v>0</v>
      </c>
      <c r="F10" s="44">
        <f>(F8-F9)*'R&amp;S - Transportation'!$B$15*('R&amp;S - Transportation'!$B$11*'R&amp;S - Transportation'!$B$19*('Yearly HC Propylene'!F$3-'Yearly HC Propylene'!$D$3)/10)</f>
        <v>0</v>
      </c>
      <c r="G10" s="44">
        <f>(G8-G9)*'R&amp;S - Transportation'!$B$15*('R&amp;S - Transportation'!$B$11*'R&amp;S - Transportation'!$B$19*('Yearly HC Propylene'!G$3-'Yearly HC Propylene'!$D$3)/10)</f>
        <v>0</v>
      </c>
      <c r="H10" s="44">
        <f>(H8-H9)*'R&amp;S - Transportation'!$B$15*('R&amp;S - Transportation'!$B$11*'R&amp;S - Transportation'!$B$19*('Yearly HC Propylene'!H$3-'Yearly HC Propylene'!$D$3)/10)</f>
        <v>0</v>
      </c>
      <c r="I10" s="44">
        <f>(I8-I9)*'R&amp;S - Transportation'!$B$15*('R&amp;S - Transportation'!$B$11*'R&amp;S - Transportation'!$B$19*('Yearly HC Propylene'!I$3-'Yearly HC Propylene'!$D$3)/10)</f>
        <v>0</v>
      </c>
      <c r="J10" s="44">
        <f>(J8-J9)*'R&amp;S - Transportation'!$B$15*('R&amp;S - Transportation'!$B$11*'R&amp;S - Transportation'!$B$19*('Yearly HC Propylene'!J$3-'Yearly HC Propylene'!$D$3)/10)</f>
        <v>0</v>
      </c>
      <c r="K10" s="44">
        <f>(K8-K9)*'R&amp;S - Transportation'!$B$15*('R&amp;S - Transportation'!$B$11*'R&amp;S - Transportation'!$B$19*('Yearly HC Propylene'!K$3-'Yearly HC Propylene'!$D$3)/10)</f>
        <v>0</v>
      </c>
      <c r="L10" s="44">
        <f>(L8-L9)*'R&amp;S - Transportation'!$B$15*('R&amp;S - Transportation'!$B$11*'R&amp;S - Transportation'!$B$19*('Yearly HC Propylene'!L$3-'Yearly HC Propylene'!$D$3)/10)</f>
        <v>0</v>
      </c>
      <c r="M10" s="44">
        <f>(M8-M9)*'R&amp;S - Transportation'!$B$15*('R&amp;S - Transportation'!$B$11*'R&amp;S - Transportation'!$B$19*('Yearly HC Propylene'!M$3-'Yearly HC Propylene'!$D$3)/10)</f>
        <v>0</v>
      </c>
      <c r="N10" s="44">
        <f>(N8-N9)*'R&amp;S - Transportation'!$B$15*('R&amp;S - Transportation'!$B$11*'R&amp;S - Transportation'!$B$19*('Yearly HC Propylene'!N$3-'Yearly HC Propylene'!$D$3)/10)</f>
        <v>0</v>
      </c>
      <c r="O10" s="44">
        <f>(O8-O9)*'R&amp;S - Transportation'!$B$15*('R&amp;S - Transportation'!$B$11*('R&amp;S - Transportation'!$B$19+('R&amp;S - Transportation'!$B$20-'R&amp;S - Transportation'!$B$19)*('Yearly HC Propylene'!O$3-'Yearly HC Propylene'!$N$3)/10))</f>
        <v>0</v>
      </c>
      <c r="P10" s="44">
        <f>(P8-P9)*'R&amp;S - Transportation'!$B$15*('R&amp;S - Transportation'!$B$11*('R&amp;S - Transportation'!$B$19+('R&amp;S - Transportation'!$B$20-'R&amp;S - Transportation'!$B$19)*('Yearly HC Propylene'!P$3-'Yearly HC Propylene'!$N$3)/10))</f>
        <v>0</v>
      </c>
      <c r="Q10" s="44">
        <f>(Q8-Q9)*'R&amp;S - Transportation'!$B$15*('R&amp;S - Transportation'!$B$11*('R&amp;S - Transportation'!$B$19+('R&amp;S - Transportation'!$B$20-'R&amp;S - Transportation'!$B$19)*('Yearly HC Propylene'!Q$3-'Yearly HC Propylene'!$N$3)/10))</f>
        <v>0</v>
      </c>
      <c r="R10" s="44">
        <f>(R8-R9)*'R&amp;S - Transportation'!$B$15*('R&amp;S - Transportation'!$B$11*('R&amp;S - Transportation'!$B$19+('R&amp;S - Transportation'!$B$20-'R&amp;S - Transportation'!$B$19)*('Yearly HC Propylene'!R$3-'Yearly HC Propylene'!$N$3)/10))</f>
        <v>0</v>
      </c>
      <c r="S10" s="44">
        <f>(S8-S9)*'R&amp;S - Transportation'!$B$15*('R&amp;S - Transportation'!$B$11*('R&amp;S - Transportation'!$B$19+('R&amp;S - Transportation'!$B$20-'R&amp;S - Transportation'!$B$19)*('Yearly HC Propylene'!S$3-'Yearly HC Propylene'!$N$3)/10))</f>
        <v>0</v>
      </c>
      <c r="T10" s="44">
        <f>(T8-T9)*'R&amp;S - Transportation'!$B$15*('R&amp;S - Transportation'!$B$11*('R&amp;S - Transportation'!$B$19+('R&amp;S - Transportation'!$B$20-'R&amp;S - Transportation'!$B$19)*('Yearly HC Propylene'!T$3-'Yearly HC Propylene'!$N$3)/10))</f>
        <v>0</v>
      </c>
      <c r="U10" s="44">
        <f>(U8-U9)*'R&amp;S - Transportation'!$B$15*('R&amp;S - Transportation'!$B$11*('R&amp;S - Transportation'!$B$19+('R&amp;S - Transportation'!$B$20-'R&amp;S - Transportation'!$B$19)*('Yearly HC Propylene'!U$3-'Yearly HC Propylene'!$N$3)/10))</f>
        <v>0</v>
      </c>
      <c r="V10" s="44">
        <f>(V8-V9)*'R&amp;S - Transportation'!$B$15*('R&amp;S - Transportation'!$B$11*('R&amp;S - Transportation'!$B$19+('R&amp;S - Transportation'!$B$20-'R&amp;S - Transportation'!$B$19)*('Yearly HC Propylene'!V$3-'Yearly HC Propylene'!$N$3)/10))</f>
        <v>0</v>
      </c>
      <c r="W10" s="44">
        <f>(W8-W9)*'R&amp;S - Transportation'!$B$15*('R&amp;S - Transportation'!$B$11*('R&amp;S - Transportation'!$B$19+('R&amp;S - Transportation'!$B$20-'R&amp;S - Transportation'!$B$19)*('Yearly HC Propylene'!W$3-'Yearly HC Propylene'!$N$3)/10))</f>
        <v>0</v>
      </c>
      <c r="X10" s="44">
        <f>(X8-X9)*'R&amp;S - Transportation'!$B$15*('R&amp;S - Transportation'!$B$11*('R&amp;S - Transportation'!$B$19+('R&amp;S - Transportation'!$B$20-'R&amp;S - Transportation'!$B$19)*('Yearly HC Propylene'!X$3-'Yearly HC Propylene'!$N$3)/10))</f>
        <v>0</v>
      </c>
      <c r="Y10" s="44">
        <f>(Y8-Y9)*'R&amp;S - Transportation'!$B$15*('R&amp;S - Transportation'!$B$11*('R&amp;S - Transportation'!$B$20+('R&amp;S - Transportation'!$B$21-'R&amp;S - Transportation'!$B$20)*('Yearly HC Propylene'!Y$3-'Yearly HC Propylene'!$X$3)/10))</f>
        <v>0</v>
      </c>
      <c r="Z10" s="44">
        <f>(Z8-Z9)*'R&amp;S - Transportation'!$B$15*('R&amp;S - Transportation'!$B$11*('R&amp;S - Transportation'!$B$20+('R&amp;S - Transportation'!$B$21-'R&amp;S - Transportation'!$B$20)*('Yearly HC Propylene'!Z$3-'Yearly HC Propylene'!$X$3)/10))</f>
        <v>0</v>
      </c>
      <c r="AA10" s="44">
        <f>(AA8-AA9)*'R&amp;S - Transportation'!$B$15*('R&amp;S - Transportation'!$B$11*('R&amp;S - Transportation'!$B$20+('R&amp;S - Transportation'!$B$21-'R&amp;S - Transportation'!$B$20)*('Yearly HC Propylene'!AA$3-'Yearly HC Propylene'!$X$3)/10))</f>
        <v>0</v>
      </c>
      <c r="AB10" s="44">
        <f>(AB8-AB9)*'R&amp;S - Transportation'!$B$15*('R&amp;S - Transportation'!$B$11*('R&amp;S - Transportation'!$B$20+('R&amp;S - Transportation'!$B$21-'R&amp;S - Transportation'!$B$20)*('Yearly HC Propylene'!AB$3-'Yearly HC Propylene'!$X$3)/10))</f>
        <v>0</v>
      </c>
      <c r="AC10" s="44">
        <f>(AC8-AC9)*'R&amp;S - Transportation'!$B$15*('R&amp;S - Transportation'!$B$11*('R&amp;S - Transportation'!$B$20+('R&amp;S - Transportation'!$B$21-'R&amp;S - Transportation'!$B$20)*('Yearly HC Propylene'!AC$3-'Yearly HC Propylene'!$X$3)/10))</f>
        <v>0</v>
      </c>
      <c r="AD10" s="44">
        <f>(AD8-AD9)*'R&amp;S - Transportation'!$B$15*('R&amp;S - Transportation'!$B$11*('R&amp;S - Transportation'!$B$20+('R&amp;S - Transportation'!$B$21-'R&amp;S - Transportation'!$B$20)*('Yearly HC Propylene'!AD$3-'Yearly HC Propylene'!$X$3)/10))</f>
        <v>0</v>
      </c>
      <c r="AE10" s="44">
        <f>(AE8-AE9)*'R&amp;S - Transportation'!$B$15*('R&amp;S - Transportation'!$B$11*('R&amp;S - Transportation'!$B$20+('R&amp;S - Transportation'!$B$21-'R&amp;S - Transportation'!$B$20)*('Yearly HC Propylene'!AE$3-'Yearly HC Propylene'!$X$3)/10))</f>
        <v>0</v>
      </c>
      <c r="AF10" s="44">
        <f>(AF8-AF9)*'R&amp;S - Transportation'!$B$15*('R&amp;S - Transportation'!$B$11*('R&amp;S - Transportation'!$B$20+('R&amp;S - Transportation'!$B$21-'R&amp;S - Transportation'!$B$20)*('Yearly HC Propylene'!AF$3-'Yearly HC Propylene'!$X$3)/10))</f>
        <v>0</v>
      </c>
      <c r="AG10" s="44">
        <f>(AG8-AG9)*'R&amp;S - Transportation'!$B$15*('R&amp;S - Transportation'!$B$11*('R&amp;S - Transportation'!$B$20+('R&amp;S - Transportation'!$B$21-'R&amp;S - Transportation'!$B$20)*('Yearly HC Propylene'!AG$3-'Yearly HC Propylene'!$X$3)/10))</f>
        <v>0</v>
      </c>
      <c r="AH10" s="44">
        <f>(AH8-AH9)*'R&amp;S - Transportation'!$B$15*('R&amp;S - Transportation'!$B$11*('R&amp;S - Transportation'!$B$20+('R&amp;S - Transportation'!$B$21-'R&amp;S - Transportation'!$B$20)*('Yearly HC Propylene'!AH$3-'Yearly HC Propylene'!$X$3)/10))</f>
        <v>0</v>
      </c>
    </row>
    <row r="11" spans="1:36" outlineLevel="1">
      <c r="B11" s="1" t="s">
        <v>168</v>
      </c>
      <c r="C11" s="54" t="s">
        <v>153</v>
      </c>
      <c r="D11" s="44">
        <f>SUM(D9:D10)</f>
        <v>0</v>
      </c>
      <c r="E11" s="44">
        <f t="shared" ref="E11:AH11" si="2">SUM(E9:E10)</f>
        <v>0</v>
      </c>
      <c r="F11" s="44">
        <f t="shared" si="2"/>
        <v>0</v>
      </c>
      <c r="G11" s="44">
        <f t="shared" si="2"/>
        <v>0</v>
      </c>
      <c r="H11" s="44">
        <f t="shared" si="2"/>
        <v>0</v>
      </c>
      <c r="I11" s="44">
        <f t="shared" si="2"/>
        <v>0</v>
      </c>
      <c r="J11" s="44">
        <f t="shared" si="2"/>
        <v>0</v>
      </c>
      <c r="K11" s="44">
        <f t="shared" si="2"/>
        <v>0</v>
      </c>
      <c r="L11" s="44">
        <f t="shared" si="2"/>
        <v>0</v>
      </c>
      <c r="M11" s="44">
        <f t="shared" si="2"/>
        <v>0</v>
      </c>
      <c r="N11" s="44">
        <f t="shared" si="2"/>
        <v>0</v>
      </c>
      <c r="O11" s="44">
        <f t="shared" si="2"/>
        <v>0</v>
      </c>
      <c r="P11" s="44">
        <f t="shared" si="2"/>
        <v>0</v>
      </c>
      <c r="Q11" s="44">
        <f t="shared" si="2"/>
        <v>0</v>
      </c>
      <c r="R11" s="44">
        <f t="shared" si="2"/>
        <v>0</v>
      </c>
      <c r="S11" s="44">
        <f t="shared" si="2"/>
        <v>0</v>
      </c>
      <c r="T11" s="44">
        <f t="shared" si="2"/>
        <v>0</v>
      </c>
      <c r="U11" s="44">
        <f t="shared" si="2"/>
        <v>0</v>
      </c>
      <c r="V11" s="44">
        <f t="shared" si="2"/>
        <v>0</v>
      </c>
      <c r="W11" s="44">
        <f t="shared" si="2"/>
        <v>0</v>
      </c>
      <c r="X11" s="44">
        <f t="shared" si="2"/>
        <v>0</v>
      </c>
      <c r="Y11" s="44">
        <f t="shared" si="2"/>
        <v>0</v>
      </c>
      <c r="Z11" s="44">
        <f t="shared" si="2"/>
        <v>0</v>
      </c>
      <c r="AA11" s="44">
        <f t="shared" si="2"/>
        <v>0</v>
      </c>
      <c r="AB11" s="44">
        <f t="shared" si="2"/>
        <v>0</v>
      </c>
      <c r="AC11" s="44">
        <f t="shared" si="2"/>
        <v>0</v>
      </c>
      <c r="AD11" s="44">
        <f t="shared" si="2"/>
        <v>0</v>
      </c>
      <c r="AE11" s="44">
        <f t="shared" si="2"/>
        <v>0</v>
      </c>
      <c r="AF11" s="44">
        <f t="shared" si="2"/>
        <v>0</v>
      </c>
      <c r="AG11" s="44">
        <f t="shared" si="2"/>
        <v>0</v>
      </c>
      <c r="AH11" s="44">
        <f t="shared" si="2"/>
        <v>0</v>
      </c>
      <c r="AI11" s="44"/>
    </row>
    <row r="12" spans="1:36" outlineLevel="1">
      <c r="B12" s="1" t="s">
        <v>172</v>
      </c>
      <c r="C12" s="54" t="s">
        <v>153</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6" s="1" customFormat="1">
      <c r="A13" s="62"/>
      <c r="B13" s="62" t="s">
        <v>197</v>
      </c>
      <c r="C13" s="63" t="s">
        <v>153</v>
      </c>
      <c r="D13" s="64">
        <f>D8-D11-D12</f>
        <v>17.63451512942034</v>
      </c>
      <c r="E13" s="64">
        <f t="shared" ref="E13:AG13" si="3">E8-E11-E12</f>
        <v>17.970170490393727</v>
      </c>
      <c r="F13" s="64">
        <f t="shared" si="3"/>
        <v>18.312141758767805</v>
      </c>
      <c r="G13" s="64">
        <f t="shared" si="3"/>
        <v>18.660546670994876</v>
      </c>
      <c r="H13" s="64">
        <f t="shared" si="3"/>
        <v>19.015505141269383</v>
      </c>
      <c r="I13" s="64">
        <f t="shared" si="3"/>
        <v>19.377139301545309</v>
      </c>
      <c r="J13" s="64">
        <f t="shared" si="3"/>
        <v>19.745573542284788</v>
      </c>
      <c r="K13" s="64">
        <f t="shared" si="3"/>
        <v>20.120934553951265</v>
      </c>
      <c r="L13" s="64">
        <f t="shared" si="3"/>
        <v>20.503351369260681</v>
      </c>
      <c r="M13" s="64">
        <f t="shared" si="3"/>
        <v>20.892955406204525</v>
      </c>
      <c r="N13" s="64">
        <f>N8-N11-N12</f>
        <v>21.28988051185874</v>
      </c>
      <c r="O13" s="64">
        <f t="shared" si="3"/>
        <v>21.757944796641517</v>
      </c>
      <c r="P13" s="64">
        <f t="shared" si="3"/>
        <v>22.235770491638981</v>
      </c>
      <c r="Q13" s="64">
        <f t="shared" si="3"/>
        <v>22.723554214220126</v>
      </c>
      <c r="R13" s="64">
        <f t="shared" si="3"/>
        <v>23.221496445696946</v>
      </c>
      <c r="S13" s="64">
        <f t="shared" si="3"/>
        <v>23.729801605876073</v>
      </c>
      <c r="T13" s="64">
        <f t="shared" si="3"/>
        <v>24.24867812902848</v>
      </c>
      <c r="U13" s="64">
        <f t="shared" si="3"/>
        <v>24.77833854130397</v>
      </c>
      <c r="V13" s="64">
        <f t="shared" si="3"/>
        <v>25.31899953961754</v>
      </c>
      <c r="W13" s="64">
        <f t="shared" si="3"/>
        <v>25.870882072035329</v>
      </c>
      <c r="X13" s="64">
        <f t="shared" si="3"/>
        <v>26.434211419688378</v>
      </c>
      <c r="Y13" s="64">
        <f t="shared" si="3"/>
        <v>26.958967573674919</v>
      </c>
      <c r="Z13" s="64">
        <f t="shared" si="3"/>
        <v>27.493925949796711</v>
      </c>
      <c r="AA13" s="64">
        <f t="shared" si="3"/>
        <v>28.039281769077853</v>
      </c>
      <c r="AB13" s="64">
        <f t="shared" si="3"/>
        <v>28.59523394161506</v>
      </c>
      <c r="AC13" s="64">
        <f t="shared" si="3"/>
        <v>29.161985135587273</v>
      </c>
      <c r="AD13" s="64">
        <f t="shared" si="3"/>
        <v>29.73974184754541</v>
      </c>
      <c r="AE13" s="64">
        <f t="shared" si="3"/>
        <v>30.328714474005942</v>
      </c>
      <c r="AF13" s="64">
        <f t="shared" si="3"/>
        <v>30.929117384372191</v>
      </c>
      <c r="AG13" s="64">
        <f t="shared" si="3"/>
        <v>31.541168995207901</v>
      </c>
      <c r="AH13" s="64">
        <f>AH8-AH11-AH12</f>
        <v>32.165091845887943</v>
      </c>
    </row>
    <row r="14" spans="1:36">
      <c r="A14" s="1" t="s">
        <v>198</v>
      </c>
      <c r="B14" s="1" t="s">
        <v>199</v>
      </c>
      <c r="C14" s="54" t="s">
        <v>153</v>
      </c>
      <c r="D14" s="44">
        <f>'R&amp;S - Packaging and hh goods'!I4</f>
        <v>46.844581662413418</v>
      </c>
      <c r="E14" s="44">
        <f>D14*(1+'R&amp;S - Packaging and hh goods'!$B$5)</f>
        <v>47.500405805687208</v>
      </c>
      <c r="F14" s="44">
        <f>E14*(1+'R&amp;S - Packaging and hh goods'!$B$5)</f>
        <v>48.165411486966832</v>
      </c>
      <c r="G14" s="44">
        <f>F14*(1+'R&amp;S - Packaging and hh goods'!$B$5)</f>
        <v>48.839727247784367</v>
      </c>
      <c r="H14" s="44">
        <f>G14*(1+'R&amp;S - Packaging and hh goods'!$B$5)</f>
        <v>49.523483429253346</v>
      </c>
      <c r="I14" s="44">
        <f>H14*(1+'R&amp;S - Packaging and hh goods'!$B$5)</f>
        <v>50.216812197262897</v>
      </c>
      <c r="J14" s="44">
        <f>I14*(1+'R&amp;S - Packaging and hh goods'!$B$5)</f>
        <v>50.919847568024579</v>
      </c>
      <c r="K14" s="44">
        <f>J14*(1+'R&amp;S - Packaging and hh goods'!$B$5)</f>
        <v>51.632725433976923</v>
      </c>
      <c r="L14" s="44">
        <f>K14*(1+'R&amp;S - Packaging and hh goods'!$B$5)</f>
        <v>52.355583590052603</v>
      </c>
      <c r="M14" s="44">
        <f>L14*(1+'R&amp;S - Packaging and hh goods'!$B$5)</f>
        <v>53.08856176031334</v>
      </c>
      <c r="N14" s="44">
        <f>M14*(1+'R&amp;S - Packaging and hh goods'!$B$5)</f>
        <v>53.831801624957727</v>
      </c>
      <c r="O14" s="44">
        <f>N14*(1+'R&amp;S - Packaging and hh goods'!$B$5)</f>
        <v>54.585446847707139</v>
      </c>
      <c r="P14" s="44">
        <f>O14*(1+'R&amp;S - Packaging and hh goods'!$B$5)</f>
        <v>55.34964310357504</v>
      </c>
      <c r="Q14" s="44">
        <f>P14*(1+'R&amp;S - Packaging and hh goods'!$B$5)</f>
        <v>56.124538107025089</v>
      </c>
      <c r="R14" s="44">
        <f>Q14*(1+'R&amp;S - Packaging and hh goods'!$B$5)</f>
        <v>56.910281640523444</v>
      </c>
      <c r="S14" s="44">
        <f>R14*(1+'R&amp;S - Packaging and hh goods'!$B$5)</f>
        <v>57.707025583490775</v>
      </c>
      <c r="T14" s="44">
        <f>S14*(1+'R&amp;S - Packaging and hh goods'!$B$5)</f>
        <v>58.514923941659646</v>
      </c>
      <c r="U14" s="44">
        <f>T14*(1+'R&amp;S - Packaging and hh goods'!$B$5)</f>
        <v>59.33413287684288</v>
      </c>
      <c r="V14" s="44">
        <f>U14*(1+'R&amp;S - Packaging and hh goods'!$B$5)</f>
        <v>60.164810737118678</v>
      </c>
      <c r="W14" s="44">
        <f>V14*(1+'R&amp;S - Packaging and hh goods'!$B$5)</f>
        <v>61.007118087438343</v>
      </c>
      <c r="X14" s="44">
        <f>W14*(1+'R&amp;S - Packaging and hh goods'!$B$5)</f>
        <v>61.861217740662482</v>
      </c>
      <c r="Y14" s="44">
        <f>X14*(1+'R&amp;S - Packaging and hh goods'!$B$5)</f>
        <v>62.72727478903176</v>
      </c>
      <c r="Z14" s="44">
        <f>Y14*(1+'R&amp;S - Packaging and hh goods'!$B$5)</f>
        <v>63.605456636078209</v>
      </c>
      <c r="AA14" s="44">
        <f>Z14*(1+'R&amp;S - Packaging and hh goods'!$B$5)</f>
        <v>64.495933028983302</v>
      </c>
      <c r="AB14" s="44">
        <f>AA14*(1+'R&amp;S - Packaging and hh goods'!$B$5)</f>
        <v>65.39887609138907</v>
      </c>
      <c r="AC14" s="44">
        <f>AB14*(1+'R&amp;S - Packaging and hh goods'!$B$5)</f>
        <v>66.314460356668519</v>
      </c>
      <c r="AD14" s="44">
        <f>AC14*(1+'R&amp;S - Packaging and hh goods'!$B$5)</f>
        <v>67.242862801661886</v>
      </c>
      <c r="AE14" s="44">
        <f>AD14*(1+'R&amp;S - Packaging and hh goods'!$B$5)</f>
        <v>68.184262880885157</v>
      </c>
      <c r="AF14" s="44">
        <f>AE14*(1+'R&amp;S - Packaging and hh goods'!$B$5)</f>
        <v>69.138842561217544</v>
      </c>
      <c r="AG14" s="44">
        <f>AF14*(1+'R&amp;S - Packaging and hh goods'!$B$5)</f>
        <v>70.106786357074597</v>
      </c>
      <c r="AH14" s="44">
        <f>AG14*(1+'R&amp;S - Packaging and hh goods'!$B$5)</f>
        <v>71.088281366073645</v>
      </c>
    </row>
    <row r="15" spans="1:36" outlineLevel="1">
      <c r="B15" s="61" t="s">
        <v>25</v>
      </c>
      <c r="C15" s="54" t="s">
        <v>153</v>
      </c>
      <c r="D15" s="44">
        <v>0</v>
      </c>
      <c r="E15" s="44">
        <f>E14*'R&amp;S - Packaging and hh goods'!$B$7*('R&amp;S - Packaging and hh goods'!$D$14*'R&amp;S - Packaging and hh goods'!$P$19*('Yearly HC Propylene'!E$3-'Yearly HC Propylene'!$D$3)/10)</f>
        <v>0</v>
      </c>
      <c r="F15" s="44">
        <f>F14*'R&amp;S - Packaging and hh goods'!$B$7*('R&amp;S - Packaging and hh goods'!$D$14*'R&amp;S - Packaging and hh goods'!$P$19*('Yearly HC Propylene'!F$3-'Yearly HC Propylene'!$D$3)/10)</f>
        <v>0</v>
      </c>
      <c r="G15" s="44">
        <f>G14*'R&amp;S - Packaging and hh goods'!$B$7*('R&amp;S - Packaging and hh goods'!$D$14*'R&amp;S - Packaging and hh goods'!$P$19*('Yearly HC Propylene'!G$3-'Yearly HC Propylene'!$D$3)/10)</f>
        <v>0</v>
      </c>
      <c r="H15" s="44">
        <f>H14*'R&amp;S - Packaging and hh goods'!$B$7*('R&amp;S - Packaging and hh goods'!$D$14*'R&amp;S - Packaging and hh goods'!$P$19*('Yearly HC Propylene'!H$3-'Yearly HC Propylene'!$D$3)/10)</f>
        <v>0</v>
      </c>
      <c r="I15" s="44">
        <f>I14*'R&amp;S - Packaging and hh goods'!$B$7*('R&amp;S - Packaging and hh goods'!$D$14*'R&amp;S - Packaging and hh goods'!$P$19*('Yearly HC Propylene'!I$3-'Yearly HC Propylene'!$D$3)/10)</f>
        <v>0</v>
      </c>
      <c r="J15" s="44">
        <f>J14*'R&amp;S - Packaging and hh goods'!$B$7*('R&amp;S - Packaging and hh goods'!$D$14*'R&amp;S - Packaging and hh goods'!$P$19*('Yearly HC Propylene'!J$3-'Yearly HC Propylene'!$D$3)/10)</f>
        <v>0</v>
      </c>
      <c r="K15" s="44">
        <f>K14*'R&amp;S - Packaging and hh goods'!$B$7*('R&amp;S - Packaging and hh goods'!$D$14*'R&amp;S - Packaging and hh goods'!$P$19*('Yearly HC Propylene'!K$3-'Yearly HC Propylene'!$D$3)/10)</f>
        <v>0</v>
      </c>
      <c r="L15" s="44">
        <f>L14*'R&amp;S - Packaging and hh goods'!$B$7*('R&amp;S - Packaging and hh goods'!$D$14*'R&amp;S - Packaging and hh goods'!$P$19*('Yearly HC Propylene'!L$3-'Yearly HC Propylene'!$D$3)/10)</f>
        <v>0</v>
      </c>
      <c r="M15" s="44">
        <f>M14*'R&amp;S - Packaging and hh goods'!$B$7*('R&amp;S - Packaging and hh goods'!$D$14*'R&amp;S - Packaging and hh goods'!$P$19*('Yearly HC Propylene'!M$3-'Yearly HC Propylene'!$D$3)/10)</f>
        <v>0</v>
      </c>
      <c r="N15" s="44">
        <f>N14*'R&amp;S - Packaging and hh goods'!$B$7*('R&amp;S - Packaging and hh goods'!$D$14*'R&amp;S - Packaging and hh goods'!$P$19*('Yearly HC Propylene'!N$3-'Yearly HC Propylene'!$D$3)/10)</f>
        <v>0</v>
      </c>
      <c r="O15" s="44">
        <f>O14*'R&amp;S - Packaging and hh goods'!$B$7*('R&amp;S - Packaging and hh goods'!$D$14*('R&amp;S - Packaging and hh goods'!$P$19+('R&amp;S - Packaging and hh goods'!$P$20-'R&amp;S - Packaging and hh goods'!$P$19)*('Yearly HC Propylene'!O$3-'Yearly HC Propylene'!$N$3)/10))</f>
        <v>0</v>
      </c>
      <c r="P15" s="44">
        <f>P14*'R&amp;S - Packaging and hh goods'!$B$7*('R&amp;S - Packaging and hh goods'!$D$14*('R&amp;S - Packaging and hh goods'!$P$19+('R&amp;S - Packaging and hh goods'!$P$20-'R&amp;S - Packaging and hh goods'!$P$19)*('Yearly HC Propylene'!P$3-'Yearly HC Propylene'!$N$3)/10))</f>
        <v>0</v>
      </c>
      <c r="Q15" s="44">
        <f>Q14*'R&amp;S - Packaging and hh goods'!$B$7*('R&amp;S - Packaging and hh goods'!$D$14*('R&amp;S - Packaging and hh goods'!$P$19+('R&amp;S - Packaging and hh goods'!$P$20-'R&amp;S - Packaging and hh goods'!$P$19)*('Yearly HC Propylene'!Q$3-'Yearly HC Propylene'!$N$3)/10))</f>
        <v>0</v>
      </c>
      <c r="R15" s="44">
        <f>R14*'R&amp;S - Packaging and hh goods'!$B$7*('R&amp;S - Packaging and hh goods'!$D$14*('R&amp;S - Packaging and hh goods'!$P$19+('R&amp;S - Packaging and hh goods'!$P$20-'R&amp;S - Packaging and hh goods'!$P$19)*('Yearly HC Propylene'!R$3-'Yearly HC Propylene'!$N$3)/10))</f>
        <v>0</v>
      </c>
      <c r="S15" s="44">
        <f>S14*'R&amp;S - Packaging and hh goods'!$B$7*('R&amp;S - Packaging and hh goods'!$D$14*('R&amp;S - Packaging and hh goods'!$P$19+('R&amp;S - Packaging and hh goods'!$P$20-'R&amp;S - Packaging and hh goods'!$P$19)*('Yearly HC Propylene'!S$3-'Yearly HC Propylene'!$N$3)/10))</f>
        <v>0</v>
      </c>
      <c r="T15" s="44">
        <f>T14*'R&amp;S - Packaging and hh goods'!$B$7*('R&amp;S - Packaging and hh goods'!$D$14*('R&amp;S - Packaging and hh goods'!$P$19+('R&amp;S - Packaging and hh goods'!$P$20-'R&amp;S - Packaging and hh goods'!$P$19)*('Yearly HC Propylene'!T$3-'Yearly HC Propylene'!$N$3)/10))</f>
        <v>0</v>
      </c>
      <c r="U15" s="44">
        <f>U14*'R&amp;S - Packaging and hh goods'!$B$7*('R&amp;S - Packaging and hh goods'!$D$14*('R&amp;S - Packaging and hh goods'!$P$19+('R&amp;S - Packaging and hh goods'!$P$20-'R&amp;S - Packaging and hh goods'!$P$19)*('Yearly HC Propylene'!U$3-'Yearly HC Propylene'!$N$3)/10))</f>
        <v>0</v>
      </c>
      <c r="V15" s="44">
        <f>V14*'R&amp;S - Packaging and hh goods'!$B$7*('R&amp;S - Packaging and hh goods'!$D$14*('R&amp;S - Packaging and hh goods'!$P$19+('R&amp;S - Packaging and hh goods'!$P$20-'R&amp;S - Packaging and hh goods'!$P$19)*('Yearly HC Propylene'!V$3-'Yearly HC Propylene'!$N$3)/10))</f>
        <v>0</v>
      </c>
      <c r="W15" s="44">
        <f>W14*'R&amp;S - Packaging and hh goods'!$B$7*('R&amp;S - Packaging and hh goods'!$D$14*('R&amp;S - Packaging and hh goods'!$P$19+('R&amp;S - Packaging and hh goods'!$P$20-'R&amp;S - Packaging and hh goods'!$P$19)*('Yearly HC Propylene'!W$3-'Yearly HC Propylene'!$N$3)/10))</f>
        <v>0</v>
      </c>
      <c r="X15" s="44">
        <f>X14*'R&amp;S - Packaging and hh goods'!$B$7*('R&amp;S - Packaging and hh goods'!$D$14*('R&amp;S - Packaging and hh goods'!$P$19+('R&amp;S - Packaging and hh goods'!$P$20-'R&amp;S - Packaging and hh goods'!$P$19)*('Yearly HC Propylene'!X$3-'Yearly HC Propylene'!$N$3)/10))</f>
        <v>0</v>
      </c>
      <c r="Y15" s="44">
        <f>Y14*'R&amp;S - Packaging and hh goods'!$B$7*('R&amp;S - Packaging and hh goods'!$D$14*('R&amp;S - Packaging and hh goods'!$P$20+('R&amp;S - Packaging and hh goods'!$P$21-'R&amp;S - Packaging and hh goods'!$P$20)*('Yearly HC Propylene'!Y$3-'Yearly HC Propylene'!$X$3)/10))</f>
        <v>0</v>
      </c>
      <c r="Z15" s="44">
        <f>Z14*'R&amp;S - Packaging and hh goods'!$B$7*('R&amp;S - Packaging and hh goods'!$D$14*('R&amp;S - Packaging and hh goods'!$P$20+('R&amp;S - Packaging and hh goods'!$P$21-'R&amp;S - Packaging and hh goods'!$P$20)*('Yearly HC Propylene'!Z$3-'Yearly HC Propylene'!$X$3)/10))</f>
        <v>0</v>
      </c>
      <c r="AA15" s="44">
        <f>AA14*'R&amp;S - Packaging and hh goods'!$B$7*('R&amp;S - Packaging and hh goods'!$D$14*('R&amp;S - Packaging and hh goods'!$P$20+('R&amp;S - Packaging and hh goods'!$P$21-'R&amp;S - Packaging and hh goods'!$P$20)*('Yearly HC Propylene'!AA$3-'Yearly HC Propylene'!$X$3)/10))</f>
        <v>0</v>
      </c>
      <c r="AB15" s="44">
        <f>AB14*'R&amp;S - Packaging and hh goods'!$B$7*('R&amp;S - Packaging and hh goods'!$D$14*('R&amp;S - Packaging and hh goods'!$P$20+('R&amp;S - Packaging and hh goods'!$P$21-'R&amp;S - Packaging and hh goods'!$P$20)*('Yearly HC Propylene'!AB$3-'Yearly HC Propylene'!$X$3)/10))</f>
        <v>0</v>
      </c>
      <c r="AC15" s="44">
        <f>AC14*'R&amp;S - Packaging and hh goods'!$B$7*('R&amp;S - Packaging and hh goods'!$D$14*('R&amp;S - Packaging and hh goods'!$P$20+('R&amp;S - Packaging and hh goods'!$P$21-'R&amp;S - Packaging and hh goods'!$P$20)*('Yearly HC Propylene'!AC$3-'Yearly HC Propylene'!$X$3)/10))</f>
        <v>0</v>
      </c>
      <c r="AD15" s="44">
        <f>AD14*'R&amp;S - Packaging and hh goods'!$B$7*('R&amp;S - Packaging and hh goods'!$D$14*('R&amp;S - Packaging and hh goods'!$P$20+('R&amp;S - Packaging and hh goods'!$P$21-'R&amp;S - Packaging and hh goods'!$P$20)*('Yearly HC Propylene'!AD$3-'Yearly HC Propylene'!$X$3)/10))</f>
        <v>0</v>
      </c>
      <c r="AE15" s="44">
        <f>AE14*'R&amp;S - Packaging and hh goods'!$B$7*('R&amp;S - Packaging and hh goods'!$D$14*('R&amp;S - Packaging and hh goods'!$P$20+('R&amp;S - Packaging and hh goods'!$P$21-'R&amp;S - Packaging and hh goods'!$P$20)*('Yearly HC Propylene'!AE$3-'Yearly HC Propylene'!$X$3)/10))</f>
        <v>0</v>
      </c>
      <c r="AF15" s="44">
        <f>AF14*'R&amp;S - Packaging and hh goods'!$B$7*('R&amp;S - Packaging and hh goods'!$D$14*('R&amp;S - Packaging and hh goods'!$P$20+('R&amp;S - Packaging and hh goods'!$P$21-'R&amp;S - Packaging and hh goods'!$P$20)*('Yearly HC Propylene'!AF$3-'Yearly HC Propylene'!$X$3)/10))</f>
        <v>0</v>
      </c>
      <c r="AG15" s="44">
        <f>AG14*'R&amp;S - Packaging and hh goods'!$B$7*('R&amp;S - Packaging and hh goods'!$D$14*('R&amp;S - Packaging and hh goods'!$P$20+('R&amp;S - Packaging and hh goods'!$P$21-'R&amp;S - Packaging and hh goods'!$P$20)*('Yearly HC Propylene'!AG$3-'Yearly HC Propylene'!$X$3)/10))</f>
        <v>0</v>
      </c>
      <c r="AH15" s="44">
        <f>AH14*'R&amp;S - Packaging and hh goods'!$B$7*('R&amp;S - Packaging and hh goods'!$D$14*('R&amp;S - Packaging and hh goods'!$P$20+('R&amp;S - Packaging and hh goods'!$P$21-'R&amp;S - Packaging and hh goods'!$P$20)*('Yearly HC Propylene'!AH$3-'Yearly HC Propylene'!$X$3)/10))</f>
        <v>0</v>
      </c>
    </row>
    <row r="16" spans="1:36" outlineLevel="1">
      <c r="B16" s="61" t="s">
        <v>200</v>
      </c>
      <c r="C16" s="54" t="s">
        <v>153</v>
      </c>
      <c r="D16" s="44">
        <v>0</v>
      </c>
      <c r="E16" s="44">
        <f>E14*'R&amp;S - Packaging and hh goods'!$B$8*('R&amp;S - Packaging and hh goods'!$D$14*'R&amp;S - Packaging and hh goods'!$Q$19*('Yearly HC Propylene'!E$3-'Yearly HC Propylene'!$D$3)/10)</f>
        <v>0</v>
      </c>
      <c r="F16" s="44">
        <f>F14*'R&amp;S - Packaging and hh goods'!$B$8*('R&amp;S - Packaging and hh goods'!$D$14*'R&amp;S - Packaging and hh goods'!$Q$19*('Yearly HC Propylene'!F$3-'Yearly HC Propylene'!$D$3)/10)</f>
        <v>0</v>
      </c>
      <c r="G16" s="44">
        <f>G14*'R&amp;S - Packaging and hh goods'!$B$8*('R&amp;S - Packaging and hh goods'!$D$14*'R&amp;S - Packaging and hh goods'!$Q$19*('Yearly HC Propylene'!G$3-'Yearly HC Propylene'!$D$3)/10)</f>
        <v>0</v>
      </c>
      <c r="H16" s="44">
        <f>H14*'R&amp;S - Packaging and hh goods'!$B$8*('R&amp;S - Packaging and hh goods'!$D$14*'R&amp;S - Packaging and hh goods'!$Q$19*('Yearly HC Propylene'!H$3-'Yearly HC Propylene'!$D$3)/10)</f>
        <v>0</v>
      </c>
      <c r="I16" s="44">
        <f>I14*'R&amp;S - Packaging and hh goods'!$B$8*('R&amp;S - Packaging and hh goods'!$D$14*'R&amp;S - Packaging and hh goods'!$Q$19*('Yearly HC Propylene'!I$3-'Yearly HC Propylene'!$D$3)/10)</f>
        <v>0</v>
      </c>
      <c r="J16" s="44">
        <f>J14*'R&amp;S - Packaging and hh goods'!$B$8*('R&amp;S - Packaging and hh goods'!$D$14*'R&amp;S - Packaging and hh goods'!$Q$19*('Yearly HC Propylene'!J$3-'Yearly HC Propylene'!$D$3)/10)</f>
        <v>0</v>
      </c>
      <c r="K16" s="44">
        <f>K14*'R&amp;S - Packaging and hh goods'!$B$8*('R&amp;S - Packaging and hh goods'!$D$14*'R&amp;S - Packaging and hh goods'!$Q$19*('Yearly HC Propylene'!K$3-'Yearly HC Propylene'!$D$3)/10)</f>
        <v>0</v>
      </c>
      <c r="L16" s="44">
        <f>L14*'R&amp;S - Packaging and hh goods'!$B$8*('R&amp;S - Packaging and hh goods'!$D$14*'R&amp;S - Packaging and hh goods'!$Q$19*('Yearly HC Propylene'!L$3-'Yearly HC Propylene'!$D$3)/10)</f>
        <v>0</v>
      </c>
      <c r="M16" s="44">
        <f>M14*'R&amp;S - Packaging and hh goods'!$B$8*('R&amp;S - Packaging and hh goods'!$D$14*'R&amp;S - Packaging and hh goods'!$Q$19*('Yearly HC Propylene'!M$3-'Yearly HC Propylene'!$D$3)/10)</f>
        <v>0</v>
      </c>
      <c r="N16" s="44">
        <f>N14*'R&amp;S - Packaging and hh goods'!$B$8*('R&amp;S - Packaging and hh goods'!$D$14*'R&amp;S - Packaging and hh goods'!$Q$19*('Yearly HC Propylene'!N$3-'Yearly HC Propylene'!$D$3)/10)</f>
        <v>0</v>
      </c>
      <c r="O16" s="44">
        <f>O14*'R&amp;S - Packaging and hh goods'!$B$8*('R&amp;S - Packaging and hh goods'!$D$14*('R&amp;S - Packaging and hh goods'!$Q$19+('R&amp;S - Packaging and hh goods'!$Q$20-'R&amp;S - Packaging and hh goods'!$Q$19)*('Yearly HC Propylene'!O$3-'Yearly HC Propylene'!$N$3)/10))</f>
        <v>0</v>
      </c>
      <c r="P16" s="44">
        <f>P14*'R&amp;S - Packaging and hh goods'!$B$8*('R&amp;S - Packaging and hh goods'!$D$14*('R&amp;S - Packaging and hh goods'!$Q$19+('R&amp;S - Packaging and hh goods'!$Q$20-'R&amp;S - Packaging and hh goods'!$Q$19)*('Yearly HC Propylene'!P$3-'Yearly HC Propylene'!$N$3)/10))</f>
        <v>0</v>
      </c>
      <c r="Q16" s="44">
        <f>Q14*'R&amp;S - Packaging and hh goods'!$B$8*('R&amp;S - Packaging and hh goods'!$D$14*('R&amp;S - Packaging and hh goods'!$Q$19+('R&amp;S - Packaging and hh goods'!$Q$20-'R&amp;S - Packaging and hh goods'!$Q$19)*('Yearly HC Propylene'!Q$3-'Yearly HC Propylene'!$N$3)/10))</f>
        <v>0</v>
      </c>
      <c r="R16" s="44">
        <f>R14*'R&amp;S - Packaging and hh goods'!$B$8*('R&amp;S - Packaging and hh goods'!$D$14*('R&amp;S - Packaging and hh goods'!$Q$19+('R&amp;S - Packaging and hh goods'!$Q$20-'R&amp;S - Packaging and hh goods'!$Q$19)*('Yearly HC Propylene'!R$3-'Yearly HC Propylene'!$N$3)/10))</f>
        <v>0</v>
      </c>
      <c r="S16" s="44">
        <f>S14*'R&amp;S - Packaging and hh goods'!$B$8*('R&amp;S - Packaging and hh goods'!$D$14*('R&amp;S - Packaging and hh goods'!$Q$19+('R&amp;S - Packaging and hh goods'!$Q$20-'R&amp;S - Packaging and hh goods'!$Q$19)*('Yearly HC Propylene'!S$3-'Yearly HC Propylene'!$N$3)/10))</f>
        <v>0</v>
      </c>
      <c r="T16" s="44">
        <f>T14*'R&amp;S - Packaging and hh goods'!$B$8*('R&amp;S - Packaging and hh goods'!$D$14*('R&amp;S - Packaging and hh goods'!$Q$19+('R&amp;S - Packaging and hh goods'!$Q$20-'R&amp;S - Packaging and hh goods'!$Q$19)*('Yearly HC Propylene'!T$3-'Yearly HC Propylene'!$N$3)/10))</f>
        <v>0</v>
      </c>
      <c r="U16" s="44">
        <f>U14*'R&amp;S - Packaging and hh goods'!$B$8*('R&amp;S - Packaging and hh goods'!$D$14*('R&amp;S - Packaging and hh goods'!$Q$19+('R&amp;S - Packaging and hh goods'!$Q$20-'R&amp;S - Packaging and hh goods'!$Q$19)*('Yearly HC Propylene'!U$3-'Yearly HC Propylene'!$N$3)/10))</f>
        <v>0</v>
      </c>
      <c r="V16" s="44">
        <f>V14*'R&amp;S - Packaging and hh goods'!$B$8*('R&amp;S - Packaging and hh goods'!$D$14*('R&amp;S - Packaging and hh goods'!$Q$19+('R&amp;S - Packaging and hh goods'!$Q$20-'R&amp;S - Packaging and hh goods'!$Q$19)*('Yearly HC Propylene'!V$3-'Yearly HC Propylene'!$N$3)/10))</f>
        <v>0</v>
      </c>
      <c r="W16" s="44">
        <f>W14*'R&amp;S - Packaging and hh goods'!$B$8*('R&amp;S - Packaging and hh goods'!$D$14*('R&amp;S - Packaging and hh goods'!$Q$19+('R&amp;S - Packaging and hh goods'!$Q$20-'R&amp;S - Packaging and hh goods'!$Q$19)*('Yearly HC Propylene'!W$3-'Yearly HC Propylene'!$N$3)/10))</f>
        <v>0</v>
      </c>
      <c r="X16" s="44">
        <f>X14*'R&amp;S - Packaging and hh goods'!$B$8*('R&amp;S - Packaging and hh goods'!$D$14*('R&amp;S - Packaging and hh goods'!$Q$19+('R&amp;S - Packaging and hh goods'!$Q$20-'R&amp;S - Packaging and hh goods'!$Q$19)*('Yearly HC Propylene'!X$3-'Yearly HC Propylene'!$N$3)/10))</f>
        <v>0</v>
      </c>
      <c r="Y16" s="44">
        <f>Y14*'R&amp;S - Packaging and hh goods'!$B$8*('R&amp;S - Packaging and hh goods'!$D$14*('R&amp;S - Packaging and hh goods'!$Q$20+('R&amp;S - Packaging and hh goods'!$Q$21-'R&amp;S - Packaging and hh goods'!$Q$20)*('Yearly HC Propylene'!Y$3-'Yearly HC Propylene'!$X$3)/10))</f>
        <v>0</v>
      </c>
      <c r="Z16" s="44">
        <f>Z14*'R&amp;S - Packaging and hh goods'!$B$8*('R&amp;S - Packaging and hh goods'!$D$14*('R&amp;S - Packaging and hh goods'!$Q$20+('R&amp;S - Packaging and hh goods'!$Q$21-'R&amp;S - Packaging and hh goods'!$Q$20)*('Yearly HC Propylene'!Z$3-'Yearly HC Propylene'!$X$3)/10))</f>
        <v>0</v>
      </c>
      <c r="AA16" s="44">
        <f>AA14*'R&amp;S - Packaging and hh goods'!$B$8*('R&amp;S - Packaging and hh goods'!$D$14*('R&amp;S - Packaging and hh goods'!$Q$20+('R&amp;S - Packaging and hh goods'!$Q$21-'R&amp;S - Packaging and hh goods'!$Q$20)*('Yearly HC Propylene'!AA$3-'Yearly HC Propylene'!$X$3)/10))</f>
        <v>0</v>
      </c>
      <c r="AB16" s="44">
        <f>AB14*'R&amp;S - Packaging and hh goods'!$B$8*('R&amp;S - Packaging and hh goods'!$D$14*('R&amp;S - Packaging and hh goods'!$Q$20+('R&amp;S - Packaging and hh goods'!$Q$21-'R&amp;S - Packaging and hh goods'!$Q$20)*('Yearly HC Propylene'!AB$3-'Yearly HC Propylene'!$X$3)/10))</f>
        <v>0</v>
      </c>
      <c r="AC16" s="44">
        <f>AC14*'R&amp;S - Packaging and hh goods'!$B$8*('R&amp;S - Packaging and hh goods'!$D$14*('R&amp;S - Packaging and hh goods'!$Q$20+('R&amp;S - Packaging and hh goods'!$Q$21-'R&amp;S - Packaging and hh goods'!$Q$20)*('Yearly HC Propylene'!AC$3-'Yearly HC Propylene'!$X$3)/10))</f>
        <v>0</v>
      </c>
      <c r="AD16" s="44">
        <f>AD14*'R&amp;S - Packaging and hh goods'!$B$8*('R&amp;S - Packaging and hh goods'!$D$14*('R&amp;S - Packaging and hh goods'!$Q$20+('R&amp;S - Packaging and hh goods'!$Q$21-'R&amp;S - Packaging and hh goods'!$Q$20)*('Yearly HC Propylene'!AD$3-'Yearly HC Propylene'!$X$3)/10))</f>
        <v>0</v>
      </c>
      <c r="AE16" s="44">
        <f>AE14*'R&amp;S - Packaging and hh goods'!$B$8*('R&amp;S - Packaging and hh goods'!$D$14*('R&amp;S - Packaging and hh goods'!$Q$20+('R&amp;S - Packaging and hh goods'!$Q$21-'R&amp;S - Packaging and hh goods'!$Q$20)*('Yearly HC Propylene'!AE$3-'Yearly HC Propylene'!$X$3)/10))</f>
        <v>0</v>
      </c>
      <c r="AF16" s="44">
        <f>AF14*'R&amp;S - Packaging and hh goods'!$B$8*('R&amp;S - Packaging and hh goods'!$D$14*('R&amp;S - Packaging and hh goods'!$Q$20+('R&amp;S - Packaging and hh goods'!$Q$21-'R&amp;S - Packaging and hh goods'!$Q$20)*('Yearly HC Propylene'!AF$3-'Yearly HC Propylene'!$X$3)/10))</f>
        <v>0</v>
      </c>
      <c r="AG16" s="44">
        <f>AG14*'R&amp;S - Packaging and hh goods'!$B$8*('R&amp;S - Packaging and hh goods'!$D$14*('R&amp;S - Packaging and hh goods'!$Q$20+('R&amp;S - Packaging and hh goods'!$Q$21-'R&amp;S - Packaging and hh goods'!$Q$20)*('Yearly HC Propylene'!AG$3-'Yearly HC Propylene'!$X$3)/10))</f>
        <v>0</v>
      </c>
      <c r="AH16" s="44">
        <f>AH14*'R&amp;S - Packaging and hh goods'!$B$8*('R&amp;S - Packaging and hh goods'!$D$14*('R&amp;S - Packaging and hh goods'!$Q$20+('R&amp;S - Packaging and hh goods'!$Q$21-'R&amp;S - Packaging and hh goods'!$Q$20)*('Yearly HC Propylene'!AH$3-'Yearly HC Propylene'!$X$3)/10))</f>
        <v>0</v>
      </c>
    </row>
    <row r="17" spans="1:34" outlineLevel="1">
      <c r="B17" s="1" t="s">
        <v>168</v>
      </c>
      <c r="C17" s="54" t="s">
        <v>153</v>
      </c>
      <c r="D17" s="44">
        <f>SUM(D15:D16)</f>
        <v>0</v>
      </c>
      <c r="E17" s="44">
        <f t="shared" ref="E17:AH17" si="4">SUM(E15:E16)</f>
        <v>0</v>
      </c>
      <c r="F17" s="44">
        <f t="shared" si="4"/>
        <v>0</v>
      </c>
      <c r="G17" s="44">
        <f t="shared" si="4"/>
        <v>0</v>
      </c>
      <c r="H17" s="44">
        <f t="shared" si="4"/>
        <v>0</v>
      </c>
      <c r="I17" s="44">
        <f t="shared" si="4"/>
        <v>0</v>
      </c>
      <c r="J17" s="44">
        <f t="shared" si="4"/>
        <v>0</v>
      </c>
      <c r="K17" s="44">
        <f t="shared" si="4"/>
        <v>0</v>
      </c>
      <c r="L17" s="44">
        <f t="shared" si="4"/>
        <v>0</v>
      </c>
      <c r="M17" s="44">
        <f t="shared" si="4"/>
        <v>0</v>
      </c>
      <c r="N17" s="44">
        <f t="shared" si="4"/>
        <v>0</v>
      </c>
      <c r="O17" s="44">
        <f t="shared" si="4"/>
        <v>0</v>
      </c>
      <c r="P17" s="44">
        <f t="shared" si="4"/>
        <v>0</v>
      </c>
      <c r="Q17" s="44">
        <f t="shared" si="4"/>
        <v>0</v>
      </c>
      <c r="R17" s="44">
        <f t="shared" si="4"/>
        <v>0</v>
      </c>
      <c r="S17" s="44">
        <f t="shared" si="4"/>
        <v>0</v>
      </c>
      <c r="T17" s="44">
        <f t="shared" si="4"/>
        <v>0</v>
      </c>
      <c r="U17" s="44">
        <f t="shared" si="4"/>
        <v>0</v>
      </c>
      <c r="V17" s="44">
        <f t="shared" si="4"/>
        <v>0</v>
      </c>
      <c r="W17" s="44">
        <f t="shared" si="4"/>
        <v>0</v>
      </c>
      <c r="X17" s="44">
        <f t="shared" si="4"/>
        <v>0</v>
      </c>
      <c r="Y17" s="44">
        <f t="shared" si="4"/>
        <v>0</v>
      </c>
      <c r="Z17" s="44">
        <f t="shared" si="4"/>
        <v>0</v>
      </c>
      <c r="AA17" s="44">
        <f t="shared" si="4"/>
        <v>0</v>
      </c>
      <c r="AB17" s="44">
        <f t="shared" si="4"/>
        <v>0</v>
      </c>
      <c r="AC17" s="44">
        <f t="shared" si="4"/>
        <v>0</v>
      </c>
      <c r="AD17" s="44">
        <f t="shared" si="4"/>
        <v>0</v>
      </c>
      <c r="AE17" s="44">
        <f t="shared" si="4"/>
        <v>0</v>
      </c>
      <c r="AF17" s="44">
        <f t="shared" si="4"/>
        <v>0</v>
      </c>
      <c r="AG17" s="44">
        <f t="shared" si="4"/>
        <v>0</v>
      </c>
      <c r="AH17" s="44">
        <f t="shared" si="4"/>
        <v>0</v>
      </c>
    </row>
    <row r="18" spans="1:34" outlineLevel="1">
      <c r="B18" s="61" t="s">
        <v>202</v>
      </c>
      <c r="C18" s="54" t="s">
        <v>153</v>
      </c>
      <c r="D18" s="44">
        <v>0</v>
      </c>
      <c r="E18" s="44">
        <f>E14*'R&amp;S - Packaging and hh goods'!$B$9*('R&amp;S - Packaging and hh goods'!$E$14*'R&amp;S - Packaging and hh goods'!$R$19*('Yearly HC Propylene'!E$3-'Yearly HC Propylene'!$D$3)/10)</f>
        <v>0</v>
      </c>
      <c r="F18" s="44">
        <f>F14*'R&amp;S - Packaging and hh goods'!$B$9*('R&amp;S - Packaging and hh goods'!$E$14*'R&amp;S - Packaging and hh goods'!$R$19*('Yearly HC Propylene'!F$3-'Yearly HC Propylene'!$D$3)/10)</f>
        <v>0</v>
      </c>
      <c r="G18" s="44">
        <f>G14*'R&amp;S - Packaging and hh goods'!$B$9*('R&amp;S - Packaging and hh goods'!$E$14*'R&amp;S - Packaging and hh goods'!$R$19*('Yearly HC Propylene'!G$3-'Yearly HC Propylene'!$D$3)/10)</f>
        <v>0</v>
      </c>
      <c r="H18" s="44">
        <f>H14*'R&amp;S - Packaging and hh goods'!$B$9*('R&amp;S - Packaging and hh goods'!$E$14*'R&amp;S - Packaging and hh goods'!$R$19*('Yearly HC Propylene'!H$3-'Yearly HC Propylene'!$D$3)/10)</f>
        <v>0</v>
      </c>
      <c r="I18" s="44">
        <f>I14*'R&amp;S - Packaging and hh goods'!$B$9*('R&amp;S - Packaging and hh goods'!$E$14*'R&amp;S - Packaging and hh goods'!$R$19*('Yearly HC Propylene'!I$3-'Yearly HC Propylene'!$D$3)/10)</f>
        <v>0</v>
      </c>
      <c r="J18" s="44">
        <f>J14*'R&amp;S - Packaging and hh goods'!$B$9*('R&amp;S - Packaging and hh goods'!$E$14*'R&amp;S - Packaging and hh goods'!$R$19*('Yearly HC Propylene'!J$3-'Yearly HC Propylene'!$D$3)/10)</f>
        <v>0</v>
      </c>
      <c r="K18" s="44">
        <f>K14*'R&amp;S - Packaging and hh goods'!$B$9*('R&amp;S - Packaging and hh goods'!$E$14*'R&amp;S - Packaging and hh goods'!$R$19*('Yearly HC Propylene'!K$3-'Yearly HC Propylene'!$D$3)/10)</f>
        <v>0</v>
      </c>
      <c r="L18" s="44">
        <f>L14*'R&amp;S - Packaging and hh goods'!$B$9*('R&amp;S - Packaging and hh goods'!$E$14*'R&amp;S - Packaging and hh goods'!$R$19*('Yearly HC Propylene'!L$3-'Yearly HC Propylene'!$D$3)/10)</f>
        <v>0</v>
      </c>
      <c r="M18" s="44">
        <f>M14*'R&amp;S - Packaging and hh goods'!$B$9*('R&amp;S - Packaging and hh goods'!$E$14*'R&amp;S - Packaging and hh goods'!$R$19*('Yearly HC Propylene'!M$3-'Yearly HC Propylene'!$D$3)/10)</f>
        <v>0</v>
      </c>
      <c r="N18" s="44">
        <f>N14*'R&amp;S - Packaging and hh goods'!$B$9*('R&amp;S - Packaging and hh goods'!$E$14*'R&amp;S - Packaging and hh goods'!$R$19*('Yearly HC Propylene'!N$3-'Yearly HC Propylene'!$D$3)/10)</f>
        <v>0</v>
      </c>
      <c r="O18" s="44">
        <f>O14*'R&amp;S - Packaging and hh goods'!$B$9*('R&amp;S - Packaging and hh goods'!$E$14*'R&amp;S - Packaging and hh goods'!$R$19*('Yearly HC Propylene'!O$3-'Yearly HC Propylene'!$D$3)/10)</f>
        <v>0</v>
      </c>
      <c r="P18" s="44">
        <f>P14*'R&amp;S - Packaging and hh goods'!$B$9*('R&amp;S - Packaging and hh goods'!$E$14*'R&amp;S - Packaging and hh goods'!$R$19*('Yearly HC Propylene'!P$3-'Yearly HC Propylene'!$D$3)/10)</f>
        <v>0</v>
      </c>
      <c r="Q18" s="44">
        <f>Q14*'R&amp;S - Packaging and hh goods'!$B$9*('R&amp;S - Packaging and hh goods'!$E$14*'R&amp;S - Packaging and hh goods'!$R$19*('Yearly HC Propylene'!Q$3-'Yearly HC Propylene'!$D$3)/10)</f>
        <v>0</v>
      </c>
      <c r="R18" s="44">
        <f>R14*'R&amp;S - Packaging and hh goods'!$B$9*('R&amp;S - Packaging and hh goods'!$E$14*'R&amp;S - Packaging and hh goods'!$R$19*('Yearly HC Propylene'!R$3-'Yearly HC Propylene'!$D$3)/10)</f>
        <v>0</v>
      </c>
      <c r="S18" s="44">
        <f>S14*'R&amp;S - Packaging and hh goods'!$B$9*('R&amp;S - Packaging and hh goods'!$E$14*'R&amp;S - Packaging and hh goods'!$R$19*('Yearly HC Propylene'!S$3-'Yearly HC Propylene'!$D$3)/10)</f>
        <v>0</v>
      </c>
      <c r="T18" s="44">
        <f>T14*'R&amp;S - Packaging and hh goods'!$B$9*('R&amp;S - Packaging and hh goods'!$E$14*'R&amp;S - Packaging and hh goods'!$R$19*('Yearly HC Propylene'!T$3-'Yearly HC Propylene'!$D$3)/10)</f>
        <v>0</v>
      </c>
      <c r="U18" s="44">
        <f>U14*'R&amp;S - Packaging and hh goods'!$B$9*('R&amp;S - Packaging and hh goods'!$E$14*'R&amp;S - Packaging and hh goods'!$R$19*('Yearly HC Propylene'!U$3-'Yearly HC Propylene'!$D$3)/10)</f>
        <v>0</v>
      </c>
      <c r="V18" s="44">
        <f>V14*'R&amp;S - Packaging and hh goods'!$B$9*('R&amp;S - Packaging and hh goods'!$E$14*'R&amp;S - Packaging and hh goods'!$R$19*('Yearly HC Propylene'!V$3-'Yearly HC Propylene'!$D$3)/10)</f>
        <v>0</v>
      </c>
      <c r="W18" s="44">
        <f>W14*'R&amp;S - Packaging and hh goods'!$B$9*('R&amp;S - Packaging and hh goods'!$E$14*'R&amp;S - Packaging and hh goods'!$R$19*('Yearly HC Propylene'!W$3-'Yearly HC Propylene'!$D$3)/10)</f>
        <v>0</v>
      </c>
      <c r="X18" s="44">
        <f>X14*'R&amp;S - Packaging and hh goods'!$B$9*('R&amp;S - Packaging and hh goods'!$E$14*'R&amp;S - Packaging and hh goods'!$R$19*('Yearly HC Propylene'!X$3-'Yearly HC Propylene'!$D$3)/10)</f>
        <v>0</v>
      </c>
      <c r="Y18" s="44">
        <f>Y14*'R&amp;S - Packaging and hh goods'!$B$9*('R&amp;S - Packaging and hh goods'!$E$14*('R&amp;S - Packaging and hh goods'!$R$20+('R&amp;S - Packaging and hh goods'!$R$21-'R&amp;S - Packaging and hh goods'!$R$20)*('Yearly HC Propylene'!Y$3-'Yearly HC Propylene'!$X$3)/10))</f>
        <v>0</v>
      </c>
      <c r="Z18" s="44">
        <f>Z14*'R&amp;S - Packaging and hh goods'!$B$9*('R&amp;S - Packaging and hh goods'!$E$14*('R&amp;S - Packaging and hh goods'!$R$20+('R&amp;S - Packaging and hh goods'!$R$21-'R&amp;S - Packaging and hh goods'!$R$20)*('Yearly HC Propylene'!Z$3-'Yearly HC Propylene'!$X$3)/10))</f>
        <v>0</v>
      </c>
      <c r="AA18" s="44">
        <f>AA14*'R&amp;S - Packaging and hh goods'!$B$9*('R&amp;S - Packaging and hh goods'!$E$14*('R&amp;S - Packaging and hh goods'!$R$20+('R&amp;S - Packaging and hh goods'!$R$21-'R&amp;S - Packaging and hh goods'!$R$20)*('Yearly HC Propylene'!AA$3-'Yearly HC Propylene'!$X$3)/10))</f>
        <v>0</v>
      </c>
      <c r="AB18" s="44">
        <f>AB14*'R&amp;S - Packaging and hh goods'!$B$9*('R&amp;S - Packaging and hh goods'!$E$14*('R&amp;S - Packaging and hh goods'!$R$20+('R&amp;S - Packaging and hh goods'!$R$21-'R&amp;S - Packaging and hh goods'!$R$20)*('Yearly HC Propylene'!AB$3-'Yearly HC Propylene'!$X$3)/10))</f>
        <v>0</v>
      </c>
      <c r="AC18" s="44">
        <f>AC14*'R&amp;S - Packaging and hh goods'!$B$9*('R&amp;S - Packaging and hh goods'!$E$14*('R&amp;S - Packaging and hh goods'!$R$20+('R&amp;S - Packaging and hh goods'!$R$21-'R&amp;S - Packaging and hh goods'!$R$20)*('Yearly HC Propylene'!AC$3-'Yearly HC Propylene'!$X$3)/10))</f>
        <v>0</v>
      </c>
      <c r="AD18" s="44">
        <f>AD14*'R&amp;S - Packaging and hh goods'!$B$9*('R&amp;S - Packaging and hh goods'!$E$14*('R&amp;S - Packaging and hh goods'!$R$20+('R&amp;S - Packaging and hh goods'!$R$21-'R&amp;S - Packaging and hh goods'!$R$20)*('Yearly HC Propylene'!AD$3-'Yearly HC Propylene'!$X$3)/10))</f>
        <v>0</v>
      </c>
      <c r="AE18" s="44">
        <f>AE14*'R&amp;S - Packaging and hh goods'!$B$9*('R&amp;S - Packaging and hh goods'!$E$14*('R&amp;S - Packaging and hh goods'!$R$20+('R&amp;S - Packaging and hh goods'!$R$21-'R&amp;S - Packaging and hh goods'!$R$20)*('Yearly HC Propylene'!AE$3-'Yearly HC Propylene'!$X$3)/10))</f>
        <v>0</v>
      </c>
      <c r="AF18" s="44">
        <f>AF14*'R&amp;S - Packaging and hh goods'!$B$9*('R&amp;S - Packaging and hh goods'!$E$14*('R&amp;S - Packaging and hh goods'!$R$20+('R&amp;S - Packaging and hh goods'!$R$21-'R&amp;S - Packaging and hh goods'!$R$20)*('Yearly HC Propylene'!AF$3-'Yearly HC Propylene'!$X$3)/10))</f>
        <v>0</v>
      </c>
      <c r="AG18" s="44">
        <f>AG14*'R&amp;S - Packaging and hh goods'!$B$9*('R&amp;S - Packaging and hh goods'!$E$14*('R&amp;S - Packaging and hh goods'!$R$20+('R&amp;S - Packaging and hh goods'!$R$21-'R&amp;S - Packaging and hh goods'!$R$20)*('Yearly HC Propylene'!AG$3-'Yearly HC Propylene'!$X$3)/10))</f>
        <v>0</v>
      </c>
      <c r="AH18" s="44">
        <f>AH14*'R&amp;S - Packaging and hh goods'!$B$9*('R&amp;S - Packaging and hh goods'!$E$14*('R&amp;S - Packaging and hh goods'!$R$20+('R&amp;S - Packaging and hh goods'!$R$21-'R&amp;S - Packaging and hh goods'!$R$20)*('Yearly HC Propylene'!AH$3-'Yearly HC Propylene'!$X$3)/10))</f>
        <v>0</v>
      </c>
    </row>
    <row r="19" spans="1:34" outlineLevel="1">
      <c r="B19" s="61" t="s">
        <v>203</v>
      </c>
      <c r="C19" s="54" t="s">
        <v>153</v>
      </c>
      <c r="D19" s="44">
        <v>0</v>
      </c>
      <c r="E19" s="44">
        <f>E14*'R&amp;S - Packaging and hh goods'!$B$10*('R&amp;S - Packaging and hh goods'!$E$14*'R&amp;S - Packaging and hh goods'!$S$19*('Yearly HC Propylene'!E$3-'Yearly HC Propylene'!$D$3)/10)</f>
        <v>0</v>
      </c>
      <c r="F19" s="44">
        <f>F14*'R&amp;S - Packaging and hh goods'!$B$10*('R&amp;S - Packaging and hh goods'!$E$14*'R&amp;S - Packaging and hh goods'!$S$19*('Yearly HC Propylene'!F$3-'Yearly HC Propylene'!$D$3)/10)</f>
        <v>0</v>
      </c>
      <c r="G19" s="44">
        <f>G14*'R&amp;S - Packaging and hh goods'!$B$10*('R&amp;S - Packaging and hh goods'!$E$14*'R&amp;S - Packaging and hh goods'!$S$19*('Yearly HC Propylene'!G$3-'Yearly HC Propylene'!$D$3)/10)</f>
        <v>0</v>
      </c>
      <c r="H19" s="44">
        <f>H14*'R&amp;S - Packaging and hh goods'!$B$10*('R&amp;S - Packaging and hh goods'!$E$14*'R&amp;S - Packaging and hh goods'!$S$19*('Yearly HC Propylene'!H$3-'Yearly HC Propylene'!$D$3)/10)</f>
        <v>0</v>
      </c>
      <c r="I19" s="44">
        <f>I14*'R&amp;S - Packaging and hh goods'!$B$10*('R&amp;S - Packaging and hh goods'!$E$14*'R&amp;S - Packaging and hh goods'!$S$19*('Yearly HC Propylene'!I$3-'Yearly HC Propylene'!$D$3)/10)</f>
        <v>0</v>
      </c>
      <c r="J19" s="44">
        <f>J14*'R&amp;S - Packaging and hh goods'!$B$10*('R&amp;S - Packaging and hh goods'!$E$14*'R&amp;S - Packaging and hh goods'!$S$19*('Yearly HC Propylene'!J$3-'Yearly HC Propylene'!$D$3)/10)</f>
        <v>0</v>
      </c>
      <c r="K19" s="44">
        <f>K14*'R&amp;S - Packaging and hh goods'!$B$10*('R&amp;S - Packaging and hh goods'!$E$14*'R&amp;S - Packaging and hh goods'!$S$19*('Yearly HC Propylene'!K$3-'Yearly HC Propylene'!$D$3)/10)</f>
        <v>0</v>
      </c>
      <c r="L19" s="44">
        <f>L14*'R&amp;S - Packaging and hh goods'!$B$10*('R&amp;S - Packaging and hh goods'!$E$14*'R&amp;S - Packaging and hh goods'!$S$19*('Yearly HC Propylene'!L$3-'Yearly HC Propylene'!$D$3)/10)</f>
        <v>0</v>
      </c>
      <c r="M19" s="44">
        <f>M14*'R&amp;S - Packaging and hh goods'!$B$10*('R&amp;S - Packaging and hh goods'!$E$14*'R&amp;S - Packaging and hh goods'!$S$19*('Yearly HC Propylene'!M$3-'Yearly HC Propylene'!$D$3)/10)</f>
        <v>0</v>
      </c>
      <c r="N19" s="44">
        <f>N14*'R&amp;S - Packaging and hh goods'!$B$10*('R&amp;S - Packaging and hh goods'!$E$14*'R&amp;S - Packaging and hh goods'!$S$19*('Yearly HC Propylene'!N$3-'Yearly HC Propylene'!$D$3)/10)</f>
        <v>0</v>
      </c>
      <c r="O19" s="44">
        <f>O14*'R&amp;S - Packaging and hh goods'!$B$10*('R&amp;S - Packaging and hh goods'!$E$14*'R&amp;S - Packaging and hh goods'!$S$19*('Yearly HC Propylene'!O$3-'Yearly HC Propylene'!$D$3)/10)</f>
        <v>0</v>
      </c>
      <c r="P19" s="44">
        <f>P14*'R&amp;S - Packaging and hh goods'!$B$10*('R&amp;S - Packaging and hh goods'!$E$14*('R&amp;S - Packaging and hh goods'!$S$19+('R&amp;S - Packaging and hh goods'!$S$20-'R&amp;S - Packaging and hh goods'!$S$19)*('Yearly HC Propylene'!P$3-'Yearly HC Propylene'!$O$3)/10))</f>
        <v>0</v>
      </c>
      <c r="Q19" s="44">
        <f>Q14*'R&amp;S - Packaging and hh goods'!$B$10*('R&amp;S - Packaging and hh goods'!$E$14*('R&amp;S - Packaging and hh goods'!$S$19+('R&amp;S - Packaging and hh goods'!$S$20-'R&amp;S - Packaging and hh goods'!$S$19)*('Yearly HC Propylene'!Q$3-'Yearly HC Propylene'!$O$3)/10))</f>
        <v>0</v>
      </c>
      <c r="R19" s="44">
        <f>R14*'R&amp;S - Packaging and hh goods'!$B$10*('R&amp;S - Packaging and hh goods'!$E$14*('R&amp;S - Packaging and hh goods'!$S$19+('R&amp;S - Packaging and hh goods'!$S$20-'R&amp;S - Packaging and hh goods'!$S$19)*('Yearly HC Propylene'!R$3-'Yearly HC Propylene'!$O$3)/10))</f>
        <v>0</v>
      </c>
      <c r="S19" s="44">
        <f>S14*'R&amp;S - Packaging and hh goods'!$B$10*('R&amp;S - Packaging and hh goods'!$E$14*('R&amp;S - Packaging and hh goods'!$S$19+('R&amp;S - Packaging and hh goods'!$S$20-'R&amp;S - Packaging and hh goods'!$S$19)*('Yearly HC Propylene'!S$3-'Yearly HC Propylene'!$O$3)/10))</f>
        <v>0</v>
      </c>
      <c r="T19" s="44">
        <f>T14*'R&amp;S - Packaging and hh goods'!$B$10*('R&amp;S - Packaging and hh goods'!$E$14*('R&amp;S - Packaging and hh goods'!$S$19+('R&amp;S - Packaging and hh goods'!$S$20-'R&amp;S - Packaging and hh goods'!$S$19)*('Yearly HC Propylene'!T$3-'Yearly HC Propylene'!$O$3)/10))</f>
        <v>0</v>
      </c>
      <c r="U19" s="44">
        <f>U14*'R&amp;S - Packaging and hh goods'!$B$10*('R&amp;S - Packaging and hh goods'!$E$14*('R&amp;S - Packaging and hh goods'!$S$19+('R&amp;S - Packaging and hh goods'!$S$20-'R&amp;S - Packaging and hh goods'!$S$19)*('Yearly HC Propylene'!U$3-'Yearly HC Propylene'!$O$3)/10))</f>
        <v>0</v>
      </c>
      <c r="V19" s="44">
        <f>V14*'R&amp;S - Packaging and hh goods'!$B$10*('R&amp;S - Packaging and hh goods'!$E$14*('R&amp;S - Packaging and hh goods'!$S$19+('R&amp;S - Packaging and hh goods'!$S$20-'R&amp;S - Packaging and hh goods'!$S$19)*('Yearly HC Propylene'!V$3-'Yearly HC Propylene'!$O$3)/10))</f>
        <v>0</v>
      </c>
      <c r="W19" s="44">
        <f>W14*'R&amp;S - Packaging and hh goods'!$B$10*('R&amp;S - Packaging and hh goods'!$E$14*('R&amp;S - Packaging and hh goods'!$S$19+('R&amp;S - Packaging and hh goods'!$S$20-'R&amp;S - Packaging and hh goods'!$S$19)*('Yearly HC Propylene'!W$3-'Yearly HC Propylene'!$O$3)/10))</f>
        <v>0</v>
      </c>
      <c r="X19" s="44">
        <f>X14*'R&amp;S - Packaging and hh goods'!$B$10*('R&amp;S - Packaging and hh goods'!$E$14*('R&amp;S - Packaging and hh goods'!$S$19+('R&amp;S - Packaging and hh goods'!$S$20-'R&amp;S - Packaging and hh goods'!$S$19)*('Yearly HC Propylene'!X$3-'Yearly HC Propylene'!$O$3)/10))</f>
        <v>0</v>
      </c>
      <c r="Y19" s="44">
        <f>Y14*'R&amp;S - Packaging and hh goods'!$B$10*('R&amp;S - Packaging and hh goods'!$E$14*('R&amp;S - Packaging and hh goods'!$S$20+('R&amp;S - Packaging and hh goods'!$S$21-'R&amp;S - Packaging and hh goods'!$S$20)*('Yearly HC Propylene'!Y$3-'Yearly HC Propylene'!$X$3)/10))</f>
        <v>0</v>
      </c>
      <c r="Z19" s="44">
        <f>Z14*'R&amp;S - Packaging and hh goods'!$B$10*('R&amp;S - Packaging and hh goods'!$E$14*('R&amp;S - Packaging and hh goods'!$S$20+('R&amp;S - Packaging and hh goods'!$S$21-'R&amp;S - Packaging and hh goods'!$S$20)*('Yearly HC Propylene'!Z$3-'Yearly HC Propylene'!$X$3)/10))</f>
        <v>0</v>
      </c>
      <c r="AA19" s="44">
        <f>AA14*'R&amp;S - Packaging and hh goods'!$B$10*('R&amp;S - Packaging and hh goods'!$E$14*('R&amp;S - Packaging and hh goods'!$S$20+('R&amp;S - Packaging and hh goods'!$S$21-'R&amp;S - Packaging and hh goods'!$S$20)*('Yearly HC Propylene'!AA$3-'Yearly HC Propylene'!$X$3)/10))</f>
        <v>0</v>
      </c>
      <c r="AB19" s="44">
        <f>AB14*'R&amp;S - Packaging and hh goods'!$B$10*('R&amp;S - Packaging and hh goods'!$E$14*('R&amp;S - Packaging and hh goods'!$S$20+('R&amp;S - Packaging and hh goods'!$S$21-'R&amp;S - Packaging and hh goods'!$S$20)*('Yearly HC Propylene'!AB$3-'Yearly HC Propylene'!$X$3)/10))</f>
        <v>0</v>
      </c>
      <c r="AC19" s="44">
        <f>AC14*'R&amp;S - Packaging and hh goods'!$B$10*('R&amp;S - Packaging and hh goods'!$E$14*('R&amp;S - Packaging and hh goods'!$S$20+('R&amp;S - Packaging and hh goods'!$S$21-'R&amp;S - Packaging and hh goods'!$S$20)*('Yearly HC Propylene'!AC$3-'Yearly HC Propylene'!$X$3)/10))</f>
        <v>0</v>
      </c>
      <c r="AD19" s="44">
        <f>AD14*'R&amp;S - Packaging and hh goods'!$B$10*('R&amp;S - Packaging and hh goods'!$E$14*('R&amp;S - Packaging and hh goods'!$S$20+('R&amp;S - Packaging and hh goods'!$S$21-'R&amp;S - Packaging and hh goods'!$S$20)*('Yearly HC Propylene'!AD$3-'Yearly HC Propylene'!$X$3)/10))</f>
        <v>0</v>
      </c>
      <c r="AE19" s="44">
        <f>AE14*'R&amp;S - Packaging and hh goods'!$B$10*('R&amp;S - Packaging and hh goods'!$E$14*('R&amp;S - Packaging and hh goods'!$S$20+('R&amp;S - Packaging and hh goods'!$S$21-'R&amp;S - Packaging and hh goods'!$S$20)*('Yearly HC Propylene'!AE$3-'Yearly HC Propylene'!$X$3)/10))</f>
        <v>0</v>
      </c>
      <c r="AF19" s="44">
        <f>AF14*'R&amp;S - Packaging and hh goods'!$B$10*('R&amp;S - Packaging and hh goods'!$E$14*('R&amp;S - Packaging and hh goods'!$S$20+('R&amp;S - Packaging and hh goods'!$S$21-'R&amp;S - Packaging and hh goods'!$S$20)*('Yearly HC Propylene'!AF$3-'Yearly HC Propylene'!$X$3)/10))</f>
        <v>0</v>
      </c>
      <c r="AG19" s="44">
        <f>AG14*'R&amp;S - Packaging and hh goods'!$B$10*('R&amp;S - Packaging and hh goods'!$E$14*('R&amp;S - Packaging and hh goods'!$S$20+('R&amp;S - Packaging and hh goods'!$S$21-'R&amp;S - Packaging and hh goods'!$S$20)*('Yearly HC Propylene'!AG$3-'Yearly HC Propylene'!$X$3)/10))</f>
        <v>0</v>
      </c>
      <c r="AH19" s="44">
        <f>AH14*'R&amp;S - Packaging and hh goods'!$B$10*('R&amp;S - Packaging and hh goods'!$E$14*('R&amp;S - Packaging and hh goods'!$S$20+('R&amp;S - Packaging and hh goods'!$S$21-'R&amp;S - Packaging and hh goods'!$S$20)*('Yearly HC Propylene'!AH$3-'Yearly HC Propylene'!$X$3)/10))</f>
        <v>0</v>
      </c>
    </row>
    <row r="20" spans="1:34" outlineLevel="1">
      <c r="B20" s="1" t="s">
        <v>172</v>
      </c>
      <c r="C20" s="54" t="s">
        <v>153</v>
      </c>
      <c r="D20" s="44">
        <f>SUM(D18:D19)</f>
        <v>0</v>
      </c>
      <c r="E20" s="44">
        <f t="shared" ref="E20:AH20" si="5">SUM(E18:E19)</f>
        <v>0</v>
      </c>
      <c r="F20" s="44">
        <f t="shared" si="5"/>
        <v>0</v>
      </c>
      <c r="G20" s="44">
        <f t="shared" si="5"/>
        <v>0</v>
      </c>
      <c r="H20" s="44">
        <f t="shared" si="5"/>
        <v>0</v>
      </c>
      <c r="I20" s="44">
        <f t="shared" si="5"/>
        <v>0</v>
      </c>
      <c r="J20" s="44">
        <f t="shared" si="5"/>
        <v>0</v>
      </c>
      <c r="K20" s="44">
        <f t="shared" si="5"/>
        <v>0</v>
      </c>
      <c r="L20" s="44">
        <f t="shared" si="5"/>
        <v>0</v>
      </c>
      <c r="M20" s="44">
        <f t="shared" si="5"/>
        <v>0</v>
      </c>
      <c r="N20" s="44">
        <f t="shared" si="5"/>
        <v>0</v>
      </c>
      <c r="O20" s="44">
        <f t="shared" si="5"/>
        <v>0</v>
      </c>
      <c r="P20" s="44">
        <f t="shared" si="5"/>
        <v>0</v>
      </c>
      <c r="Q20" s="44">
        <f t="shared" si="5"/>
        <v>0</v>
      </c>
      <c r="R20" s="44">
        <f t="shared" si="5"/>
        <v>0</v>
      </c>
      <c r="S20" s="44">
        <f t="shared" si="5"/>
        <v>0</v>
      </c>
      <c r="T20" s="44">
        <f t="shared" si="5"/>
        <v>0</v>
      </c>
      <c r="U20" s="44">
        <f t="shared" si="5"/>
        <v>0</v>
      </c>
      <c r="V20" s="44">
        <f t="shared" si="5"/>
        <v>0</v>
      </c>
      <c r="W20" s="44">
        <f t="shared" si="5"/>
        <v>0</v>
      </c>
      <c r="X20" s="44">
        <f t="shared" si="5"/>
        <v>0</v>
      </c>
      <c r="Y20" s="44">
        <f t="shared" si="5"/>
        <v>0</v>
      </c>
      <c r="Z20" s="44">
        <f t="shared" si="5"/>
        <v>0</v>
      </c>
      <c r="AA20" s="44">
        <f t="shared" si="5"/>
        <v>0</v>
      </c>
      <c r="AB20" s="44">
        <f t="shared" si="5"/>
        <v>0</v>
      </c>
      <c r="AC20" s="44">
        <f t="shared" si="5"/>
        <v>0</v>
      </c>
      <c r="AD20" s="44">
        <f t="shared" si="5"/>
        <v>0</v>
      </c>
      <c r="AE20" s="44">
        <f t="shared" si="5"/>
        <v>0</v>
      </c>
      <c r="AF20" s="44">
        <f t="shared" si="5"/>
        <v>0</v>
      </c>
      <c r="AG20" s="44">
        <f t="shared" si="5"/>
        <v>0</v>
      </c>
      <c r="AH20" s="44">
        <f t="shared" si="5"/>
        <v>0</v>
      </c>
    </row>
    <row r="21" spans="1:34" s="1" customFormat="1">
      <c r="B21" s="1" t="s">
        <v>197</v>
      </c>
      <c r="C21" s="65" t="s">
        <v>153</v>
      </c>
      <c r="D21" s="66">
        <f>D14-D17-D20</f>
        <v>46.844581662413418</v>
      </c>
      <c r="E21" s="66">
        <f t="shared" ref="E21:AH21" si="6">E14-E17-E20</f>
        <v>47.500405805687208</v>
      </c>
      <c r="F21" s="66">
        <f t="shared" si="6"/>
        <v>48.165411486966832</v>
      </c>
      <c r="G21" s="66">
        <f t="shared" si="6"/>
        <v>48.839727247784367</v>
      </c>
      <c r="H21" s="66">
        <f t="shared" si="6"/>
        <v>49.523483429253346</v>
      </c>
      <c r="I21" s="66">
        <f t="shared" si="6"/>
        <v>50.216812197262897</v>
      </c>
      <c r="J21" s="66">
        <f t="shared" si="6"/>
        <v>50.919847568024579</v>
      </c>
      <c r="K21" s="66">
        <f t="shared" si="6"/>
        <v>51.632725433976923</v>
      </c>
      <c r="L21" s="66">
        <f t="shared" si="6"/>
        <v>52.355583590052603</v>
      </c>
      <c r="M21" s="66">
        <f t="shared" si="6"/>
        <v>53.08856176031334</v>
      </c>
      <c r="N21" s="66">
        <f t="shared" si="6"/>
        <v>53.831801624957727</v>
      </c>
      <c r="O21" s="66">
        <f t="shared" si="6"/>
        <v>54.585446847707139</v>
      </c>
      <c r="P21" s="66">
        <f t="shared" si="6"/>
        <v>55.34964310357504</v>
      </c>
      <c r="Q21" s="66">
        <f t="shared" si="6"/>
        <v>56.124538107025089</v>
      </c>
      <c r="R21" s="66">
        <f t="shared" si="6"/>
        <v>56.910281640523444</v>
      </c>
      <c r="S21" s="66">
        <f t="shared" si="6"/>
        <v>57.707025583490775</v>
      </c>
      <c r="T21" s="66">
        <f t="shared" si="6"/>
        <v>58.514923941659646</v>
      </c>
      <c r="U21" s="66">
        <f t="shared" si="6"/>
        <v>59.33413287684288</v>
      </c>
      <c r="V21" s="66">
        <f t="shared" si="6"/>
        <v>60.164810737118678</v>
      </c>
      <c r="W21" s="66">
        <f t="shared" si="6"/>
        <v>61.007118087438343</v>
      </c>
      <c r="X21" s="66">
        <f t="shared" si="6"/>
        <v>61.861217740662482</v>
      </c>
      <c r="Y21" s="66">
        <f t="shared" si="6"/>
        <v>62.72727478903176</v>
      </c>
      <c r="Z21" s="66">
        <f t="shared" si="6"/>
        <v>63.605456636078209</v>
      </c>
      <c r="AA21" s="66">
        <f t="shared" si="6"/>
        <v>64.495933028983302</v>
      </c>
      <c r="AB21" s="66">
        <f t="shared" si="6"/>
        <v>65.39887609138907</v>
      </c>
      <c r="AC21" s="66">
        <f t="shared" si="6"/>
        <v>66.314460356668519</v>
      </c>
      <c r="AD21" s="66">
        <f t="shared" si="6"/>
        <v>67.242862801661886</v>
      </c>
      <c r="AE21" s="66">
        <f t="shared" si="6"/>
        <v>68.184262880885157</v>
      </c>
      <c r="AF21" s="66">
        <f t="shared" si="6"/>
        <v>69.138842561217544</v>
      </c>
      <c r="AG21" s="66">
        <f t="shared" si="6"/>
        <v>70.106786357074597</v>
      </c>
      <c r="AH21" s="66">
        <f t="shared" si="6"/>
        <v>71.088281366073645</v>
      </c>
    </row>
    <row r="22" spans="1:34" s="67" customFormat="1">
      <c r="A22" s="58" t="s">
        <v>272</v>
      </c>
      <c r="B22" s="58" t="s">
        <v>199</v>
      </c>
      <c r="C22" s="59" t="s">
        <v>153</v>
      </c>
      <c r="D22" s="60">
        <f>'R&amp;S - Buildings'!I4</f>
        <v>12.379169704702877</v>
      </c>
      <c r="E22" s="60">
        <f>D22*(1+'R&amp;S - Buildings'!$B$5)</f>
        <v>12.589615589682824</v>
      </c>
      <c r="F22" s="60">
        <f>E22*(1+'R&amp;S - Buildings'!$B$5)</f>
        <v>12.80363905470743</v>
      </c>
      <c r="G22" s="60">
        <f>F22*(1+'R&amp;S - Buildings'!$B$5)</f>
        <v>13.021300918637456</v>
      </c>
      <c r="H22" s="60">
        <f>G22*(1+'R&amp;S - Buildings'!$B$5)</f>
        <v>13.242663034254292</v>
      </c>
      <c r="I22" s="60">
        <f>H22*(1+'R&amp;S - Buildings'!$B$5)</f>
        <v>13.467788305836613</v>
      </c>
      <c r="J22" s="60">
        <f>I22*(1+'R&amp;S - Buildings'!$B$5)</f>
        <v>13.696740707035834</v>
      </c>
      <c r="K22" s="60">
        <f>J22*(1+'R&amp;S - Buildings'!$B$5)</f>
        <v>13.929585299055443</v>
      </c>
      <c r="L22" s="60">
        <f>K22*(1+'R&amp;S - Buildings'!$B$5)</f>
        <v>14.166388249139384</v>
      </c>
      <c r="M22" s="60">
        <f>L22*(1+'R&amp;S - Buildings'!$B$5)</f>
        <v>14.407216849374752</v>
      </c>
      <c r="N22" s="60">
        <f>M22*(1+'R&amp;S - Buildings'!$B$5)</f>
        <v>14.652139535814122</v>
      </c>
      <c r="O22" s="60">
        <f>N22*(1+'R&amp;S - Buildings'!$B$5)</f>
        <v>14.90122590792296</v>
      </c>
      <c r="P22" s="60">
        <f>O22*(1+'R&amp;S - Buildings'!$B$5)</f>
        <v>15.154546748357649</v>
      </c>
      <c r="Q22" s="60">
        <f>P22*(1+'R&amp;S - Buildings'!$B$5)</f>
        <v>15.412174043079728</v>
      </c>
      <c r="R22" s="60">
        <f>Q22*(1+'R&amp;S - Buildings'!$B$5)</f>
        <v>15.674181001812082</v>
      </c>
      <c r="S22" s="60">
        <f>R22*(1+'R&amp;S - Buildings'!$B$5)</f>
        <v>15.940642078842886</v>
      </c>
      <c r="T22" s="60">
        <f>S22*(1+'R&amp;S - Buildings'!$B$5)</f>
        <v>16.211632994183216</v>
      </c>
      <c r="U22" s="60">
        <f>T22*(1+'R&amp;S - Buildings'!$B$5)</f>
        <v>16.48723075508433</v>
      </c>
      <c r="V22" s="60">
        <f>U22*(1+'R&amp;S - Buildings'!$B$5)</f>
        <v>16.767513677920761</v>
      </c>
      <c r="W22" s="60">
        <f>V22*(1+'R&amp;S - Buildings'!$B$5)</f>
        <v>17.052561410445414</v>
      </c>
      <c r="X22" s="60">
        <f>W22*(1+'R&amp;S - Buildings'!$B$5)</f>
        <v>17.342454954422983</v>
      </c>
      <c r="Y22" s="60">
        <f>X22*(1+'R&amp;S - Buildings'!$B$5)</f>
        <v>17.637276688648171</v>
      </c>
      <c r="Z22" s="60">
        <f>Y22*(1+'R&amp;S - Buildings'!$B$5)</f>
        <v>17.937110392355187</v>
      </c>
      <c r="AA22" s="60">
        <f>Z22*(1+'R&amp;S - Buildings'!$B$5)</f>
        <v>18.242041269025222</v>
      </c>
      <c r="AB22" s="60">
        <f>AA22*(1+'R&amp;S - Buildings'!$B$5)</f>
        <v>18.552155970598648</v>
      </c>
      <c r="AC22" s="60">
        <f>AB22*(1+'R&amp;S - Buildings'!$B$5)</f>
        <v>18.867542622098824</v>
      </c>
      <c r="AD22" s="60">
        <f>AC22*(1+'R&amp;S - Buildings'!$B$5)</f>
        <v>19.188290846674501</v>
      </c>
      <c r="AE22" s="60">
        <f>AD22*(1+'R&amp;S - Buildings'!$B$5)</f>
        <v>19.514491791067964</v>
      </c>
      <c r="AF22" s="60">
        <f>AE22*(1+'R&amp;S - Buildings'!$B$5)</f>
        <v>19.846238151516118</v>
      </c>
      <c r="AG22" s="60">
        <f>AF22*(1+'R&amp;S - Buildings'!$B$5)</f>
        <v>20.183624200091892</v>
      </c>
      <c r="AH22" s="60">
        <f>AG22*(1+'R&amp;S - Buildings'!$B$5)</f>
        <v>20.526745811493452</v>
      </c>
    </row>
    <row r="23" spans="1:34" outlineLevel="1">
      <c r="B23" s="1" t="s">
        <v>168</v>
      </c>
      <c r="C23" s="54" t="s">
        <v>153</v>
      </c>
      <c r="D23">
        <v>0</v>
      </c>
      <c r="E23" s="43">
        <f>E22*'R&amp;S - Buildings'!$B$7*'R&amp;S - Buildings'!$B$11*'R&amp;S - Buildings'!$B$15*('Yearly HC Propylene'!E$3-'Yearly HC Propylene'!$D$3)/10</f>
        <v>0</v>
      </c>
      <c r="F23" s="43">
        <f>F22*'R&amp;S - Buildings'!$B$7*'R&amp;S - Buildings'!$B$11*'R&amp;S - Buildings'!$B$15*('Yearly HC Propylene'!F$3-'Yearly HC Propylene'!$D$3)/10</f>
        <v>0</v>
      </c>
      <c r="G23" s="43">
        <f>G22*'R&amp;S - Buildings'!$B$7*'R&amp;S - Buildings'!$B$11*'R&amp;S - Buildings'!$B$15*('Yearly HC Propylene'!G$3-'Yearly HC Propylene'!$D$3)/10</f>
        <v>0</v>
      </c>
      <c r="H23" s="43">
        <f>H22*'R&amp;S - Buildings'!$B$7*'R&amp;S - Buildings'!$B$11*'R&amp;S - Buildings'!$B$15*('Yearly HC Propylene'!H$3-'Yearly HC Propylene'!$D$3)/10</f>
        <v>0</v>
      </c>
      <c r="I23" s="43">
        <f>I22*'R&amp;S - Buildings'!$B$7*'R&amp;S - Buildings'!$B$11*'R&amp;S - Buildings'!$B$15*('Yearly HC Propylene'!I$3-'Yearly HC Propylene'!$D$3)/10</f>
        <v>0</v>
      </c>
      <c r="J23" s="43">
        <f>J22*'R&amp;S - Buildings'!$B$7*'R&amp;S - Buildings'!$B$11*'R&amp;S - Buildings'!$B$15*('Yearly HC Propylene'!J$3-'Yearly HC Propylene'!$D$3)/10</f>
        <v>0</v>
      </c>
      <c r="K23" s="43">
        <f>K22*'R&amp;S - Buildings'!$B$7*'R&amp;S - Buildings'!$B$11*'R&amp;S - Buildings'!$B$15*('Yearly HC Propylene'!K$3-'Yearly HC Propylene'!$D$3)/10</f>
        <v>0</v>
      </c>
      <c r="L23" s="43">
        <f>L22*'R&amp;S - Buildings'!$B$7*'R&amp;S - Buildings'!$B$11*'R&amp;S - Buildings'!$B$15*('Yearly HC Propylene'!L$3-'Yearly HC Propylene'!$D$3)/10</f>
        <v>0</v>
      </c>
      <c r="M23" s="43">
        <f>M22*'R&amp;S - Buildings'!$B$7*'R&amp;S - Buildings'!$B$11*'R&amp;S - Buildings'!$B$15*('Yearly HC Propylene'!M$3-'Yearly HC Propylene'!$D$3)/10</f>
        <v>0</v>
      </c>
      <c r="N23" s="43">
        <f>N22*'R&amp;S - Buildings'!$B$7*'R&amp;S - Buildings'!$B$11*'R&amp;S - Buildings'!$B$15*('Yearly HC Propylene'!N$3-'Yearly HC Propylene'!$D$3)/10</f>
        <v>0</v>
      </c>
      <c r="O23" s="43">
        <f>O22*'R&amp;S - Buildings'!$B$7*'R&amp;S - Buildings'!$B$11*('R&amp;S - Buildings'!$B$15+('R&amp;S - Buildings'!$B$16-'R&amp;S - Buildings'!$B$15)*('Yearly HC Propylene'!O$3-'Yearly HC Propylene'!$N$3)/10)</f>
        <v>0</v>
      </c>
      <c r="P23" s="43">
        <f>P22*'R&amp;S - Buildings'!$B$7*'R&amp;S - Buildings'!$B$11*('R&amp;S - Buildings'!$B$15+('R&amp;S - Buildings'!$B$16-'R&amp;S - Buildings'!$B$15)*('Yearly HC Propylene'!P$3-'Yearly HC Propylene'!$N$3)/10)</f>
        <v>0</v>
      </c>
      <c r="Q23" s="43">
        <f>Q22*'R&amp;S - Buildings'!$B$7*'R&amp;S - Buildings'!$B$11*('R&amp;S - Buildings'!$B$15+('R&amp;S - Buildings'!$B$16-'R&amp;S - Buildings'!$B$15)*('Yearly HC Propylene'!Q$3-'Yearly HC Propylene'!$N$3)/10)</f>
        <v>0</v>
      </c>
      <c r="R23" s="43">
        <f>R22*'R&amp;S - Buildings'!$B$7*'R&amp;S - Buildings'!$B$11*('R&amp;S - Buildings'!$B$15+('R&amp;S - Buildings'!$B$16-'R&amp;S - Buildings'!$B$15)*('Yearly HC Propylene'!R$3-'Yearly HC Propylene'!$N$3)/10)</f>
        <v>0</v>
      </c>
      <c r="S23" s="43">
        <f>S22*'R&amp;S - Buildings'!$B$7*'R&amp;S - Buildings'!$B$11*('R&amp;S - Buildings'!$B$15+('R&amp;S - Buildings'!$B$16-'R&amp;S - Buildings'!$B$15)*('Yearly HC Propylene'!S$3-'Yearly HC Propylene'!$N$3)/10)</f>
        <v>0</v>
      </c>
      <c r="T23" s="43">
        <f>T22*'R&amp;S - Buildings'!$B$7*'R&amp;S - Buildings'!$B$11*('R&amp;S - Buildings'!$B$15+('R&amp;S - Buildings'!$B$16-'R&amp;S - Buildings'!$B$15)*('Yearly HC Propylene'!T$3-'Yearly HC Propylene'!$N$3)/10)</f>
        <v>0</v>
      </c>
      <c r="U23" s="43">
        <f>U22*'R&amp;S - Buildings'!$B$7*'R&amp;S - Buildings'!$B$11*('R&amp;S - Buildings'!$B$15+('R&amp;S - Buildings'!$B$16-'R&amp;S - Buildings'!$B$15)*('Yearly HC Propylene'!U$3-'Yearly HC Propylene'!$N$3)/10)</f>
        <v>0</v>
      </c>
      <c r="V23" s="43">
        <f>V22*'R&amp;S - Buildings'!$B$7*'R&amp;S - Buildings'!$B$11*('R&amp;S - Buildings'!$B$15+('R&amp;S - Buildings'!$B$16-'R&amp;S - Buildings'!$B$15)*('Yearly HC Propylene'!V$3-'Yearly HC Propylene'!$N$3)/10)</f>
        <v>0</v>
      </c>
      <c r="W23" s="43">
        <f>W22*'R&amp;S - Buildings'!$B$7*'R&amp;S - Buildings'!$B$11*('R&amp;S - Buildings'!$B$15+('R&amp;S - Buildings'!$B$16-'R&amp;S - Buildings'!$B$15)*('Yearly HC Propylene'!W$3-'Yearly HC Propylene'!$N$3)/10)</f>
        <v>0</v>
      </c>
      <c r="X23" s="43">
        <f>X22*'R&amp;S - Buildings'!$B$7*'R&amp;S - Buildings'!$B$11*('R&amp;S - Buildings'!$B$15+('R&amp;S - Buildings'!$B$16-'R&amp;S - Buildings'!$B$15)*('Yearly HC Propylene'!X$3-'Yearly HC Propylene'!$N$3)/10)</f>
        <v>0</v>
      </c>
      <c r="Y23" s="43">
        <f>Y22*'R&amp;S - Buildings'!$B$7*'R&amp;S - Buildings'!$B$11*('R&amp;S - Buildings'!$B$16+('R&amp;S - Buildings'!$B$17-'R&amp;S - Buildings'!$B$16)*('Yearly HC Propylene'!Y$3-'Yearly HC Propylene'!$X$3)/10)</f>
        <v>0</v>
      </c>
      <c r="Z23" s="43">
        <f>Z22*'R&amp;S - Buildings'!$B$7*'R&amp;S - Buildings'!$B$11*('R&amp;S - Buildings'!$B$16+('R&amp;S - Buildings'!$B$17-'R&amp;S - Buildings'!$B$16)*('Yearly HC Propylene'!Z$3-'Yearly HC Propylene'!$X$3)/10)</f>
        <v>0</v>
      </c>
      <c r="AA23" s="43">
        <f>AA22*'R&amp;S - Buildings'!$B$7*'R&amp;S - Buildings'!$B$11*('R&amp;S - Buildings'!$B$16+('R&amp;S - Buildings'!$B$17-'R&amp;S - Buildings'!$B$16)*('Yearly HC Propylene'!AA$3-'Yearly HC Propylene'!$X$3)/10)</f>
        <v>0</v>
      </c>
      <c r="AB23" s="43">
        <f>AB22*'R&amp;S - Buildings'!$B$7*'R&amp;S - Buildings'!$B$11*('R&amp;S - Buildings'!$B$16+('R&amp;S - Buildings'!$B$17-'R&amp;S - Buildings'!$B$16)*('Yearly HC Propylene'!AB$3-'Yearly HC Propylene'!$X$3)/10)</f>
        <v>0</v>
      </c>
      <c r="AC23" s="43">
        <f>AC22*'R&amp;S - Buildings'!$B$7*'R&amp;S - Buildings'!$B$11*('R&amp;S - Buildings'!$B$16+('R&amp;S - Buildings'!$B$17-'R&amp;S - Buildings'!$B$16)*('Yearly HC Propylene'!AC$3-'Yearly HC Propylene'!$X$3)/10)</f>
        <v>0</v>
      </c>
      <c r="AD23" s="43">
        <f>AD22*'R&amp;S - Buildings'!$B$7*'R&amp;S - Buildings'!$B$11*('R&amp;S - Buildings'!$B$16+('R&amp;S - Buildings'!$B$17-'R&amp;S - Buildings'!$B$16)*('Yearly HC Propylene'!AD$3-'Yearly HC Propylene'!$X$3)/10)</f>
        <v>0</v>
      </c>
      <c r="AE23" s="43">
        <f>AE22*'R&amp;S - Buildings'!$B$7*'R&amp;S - Buildings'!$B$11*('R&amp;S - Buildings'!$B$16+('R&amp;S - Buildings'!$B$17-'R&amp;S - Buildings'!$B$16)*('Yearly HC Propylene'!AE$3-'Yearly HC Propylene'!$X$3)/10)</f>
        <v>0</v>
      </c>
      <c r="AF23" s="43">
        <f>AF22*'R&amp;S - Buildings'!$B$7*'R&amp;S - Buildings'!$B$11*('R&amp;S - Buildings'!$B$16+('R&amp;S - Buildings'!$B$17-'R&amp;S - Buildings'!$B$16)*('Yearly HC Propylene'!AF$3-'Yearly HC Propylene'!$X$3)/10)</f>
        <v>0</v>
      </c>
      <c r="AG23" s="43">
        <f>AG22*'R&amp;S - Buildings'!$B$7*'R&amp;S - Buildings'!$B$11*('R&amp;S - Buildings'!$B$16+('R&amp;S - Buildings'!$B$17-'R&amp;S - Buildings'!$B$16)*('Yearly HC Propylene'!AG$3-'Yearly HC Propylene'!$X$3)/10)</f>
        <v>0</v>
      </c>
      <c r="AH23" s="43">
        <f>AH22*'R&amp;S - Buildings'!$B$7*'R&amp;S - Buildings'!$B$11*('R&amp;S - Buildings'!$B$16+('R&amp;S - Buildings'!$B$17-'R&amp;S - Buildings'!$B$16)*('Yearly HC Propylene'!AH$3-'Yearly HC Propylene'!$X$3)/10)</f>
        <v>0</v>
      </c>
    </row>
    <row r="24" spans="1:34" outlineLevel="1">
      <c r="B24" s="1" t="s">
        <v>172</v>
      </c>
      <c r="C24" s="54" t="s">
        <v>153</v>
      </c>
      <c r="D24">
        <v>0</v>
      </c>
      <c r="E24" s="43">
        <f>E22*'R&amp;S - Buildings'!$B$8*'R&amp;S - Buildings'!$C$11*'R&amp;S - Buildings'!$B$15*('Yearly HC Propylene'!E$3-'Yearly HC Propylene'!$D$3)/10</f>
        <v>0</v>
      </c>
      <c r="F24" s="43">
        <f>F22*'R&amp;S - Buildings'!$B$8*'R&amp;S - Buildings'!$C$11*'R&amp;S - Buildings'!$B$15*('Yearly HC Propylene'!F$3-'Yearly HC Propylene'!$D$3)/10</f>
        <v>0</v>
      </c>
      <c r="G24" s="43">
        <f>G22*'R&amp;S - Buildings'!$B$8*'R&amp;S - Buildings'!$C$11*'R&amp;S - Buildings'!$B$15*('Yearly HC Propylene'!G$3-'Yearly HC Propylene'!$D$3)/10</f>
        <v>0</v>
      </c>
      <c r="H24" s="43">
        <f>H22*'R&amp;S - Buildings'!$B$8*'R&amp;S - Buildings'!$C$11*'R&amp;S - Buildings'!$B$15*('Yearly HC Propylene'!H$3-'Yearly HC Propylene'!$D$3)/10</f>
        <v>0</v>
      </c>
      <c r="I24" s="43">
        <f>I22*'R&amp;S - Buildings'!$B$8*'R&amp;S - Buildings'!$C$11*'R&amp;S - Buildings'!$B$15*('Yearly HC Propylene'!I$3-'Yearly HC Propylene'!$D$3)/10</f>
        <v>0</v>
      </c>
      <c r="J24" s="43">
        <f>J22*'R&amp;S - Buildings'!$B$8*'R&amp;S - Buildings'!$C$11*'R&amp;S - Buildings'!$B$15*('Yearly HC Propylene'!J$3-'Yearly HC Propylene'!$D$3)/10</f>
        <v>0</v>
      </c>
      <c r="K24" s="43">
        <f>K22*'R&amp;S - Buildings'!$B$8*'R&amp;S - Buildings'!$C$11*'R&amp;S - Buildings'!$B$15*('Yearly HC Propylene'!K$3-'Yearly HC Propylene'!$D$3)/10</f>
        <v>0</v>
      </c>
      <c r="L24" s="43">
        <f>L22*'R&amp;S - Buildings'!$B$8*'R&amp;S - Buildings'!$C$11*'R&amp;S - Buildings'!$B$15*('Yearly HC Propylene'!L$3-'Yearly HC Propylene'!$D$3)/10</f>
        <v>0</v>
      </c>
      <c r="M24" s="43">
        <f>M22*'R&amp;S - Buildings'!$B$8*'R&amp;S - Buildings'!$C$11*'R&amp;S - Buildings'!$B$15*('Yearly HC Propylene'!M$3-'Yearly HC Propylene'!$D$3)/10</f>
        <v>0</v>
      </c>
      <c r="N24" s="43">
        <f>N22*'R&amp;S - Buildings'!$B$8*'R&amp;S - Buildings'!$C$11*'R&amp;S - Buildings'!$B$15*('Yearly HC Propylene'!N$3-'Yearly HC Propylene'!$D$3)/10</f>
        <v>0</v>
      </c>
      <c r="O24" s="43">
        <f>O22*'R&amp;S - Buildings'!$B$8*'R&amp;S - Buildings'!$C$11*('R&amp;S - Buildings'!$B$15+('R&amp;S - Buildings'!$B$16-'R&amp;S - Buildings'!$B$15)*('Yearly HC Propylene'!O$3-'Yearly HC Propylene'!$N$3)/10)</f>
        <v>0</v>
      </c>
      <c r="P24" s="43">
        <f>P22*'R&amp;S - Buildings'!$B$8*'R&amp;S - Buildings'!$C$11*('R&amp;S - Buildings'!$B$15+('R&amp;S - Buildings'!$B$16-'R&amp;S - Buildings'!$B$15)*('Yearly HC Propylene'!P$3-'Yearly HC Propylene'!$N$3)/10)</f>
        <v>0</v>
      </c>
      <c r="Q24" s="43">
        <f>Q22*'R&amp;S - Buildings'!$B$8*'R&amp;S - Buildings'!$C$11*('R&amp;S - Buildings'!$B$15+('R&amp;S - Buildings'!$B$16-'R&amp;S - Buildings'!$B$15)*('Yearly HC Propylene'!Q$3-'Yearly HC Propylene'!$N$3)/10)</f>
        <v>0</v>
      </c>
      <c r="R24" s="43">
        <f>R22*'R&amp;S - Buildings'!$B$8*'R&amp;S - Buildings'!$C$11*('R&amp;S - Buildings'!$B$15+('R&amp;S - Buildings'!$B$16-'R&amp;S - Buildings'!$B$15)*('Yearly HC Propylene'!R$3-'Yearly HC Propylene'!$N$3)/10)</f>
        <v>0</v>
      </c>
      <c r="S24" s="43">
        <f>S22*'R&amp;S - Buildings'!$B$8*'R&amp;S - Buildings'!$C$11*('R&amp;S - Buildings'!$B$15+('R&amp;S - Buildings'!$B$16-'R&amp;S - Buildings'!$B$15)*('Yearly HC Propylene'!S$3-'Yearly HC Propylene'!$N$3)/10)</f>
        <v>0</v>
      </c>
      <c r="T24" s="43">
        <f>T22*'R&amp;S - Buildings'!$B$8*'R&amp;S - Buildings'!$C$11*('R&amp;S - Buildings'!$B$15+('R&amp;S - Buildings'!$B$16-'R&amp;S - Buildings'!$B$15)*('Yearly HC Propylene'!T$3-'Yearly HC Propylene'!$N$3)/10)</f>
        <v>0</v>
      </c>
      <c r="U24" s="43">
        <f>U22*'R&amp;S - Buildings'!$B$8*'R&amp;S - Buildings'!$C$11*('R&amp;S - Buildings'!$B$15+('R&amp;S - Buildings'!$B$16-'R&amp;S - Buildings'!$B$15)*('Yearly HC Propylene'!U$3-'Yearly HC Propylene'!$N$3)/10)</f>
        <v>0</v>
      </c>
      <c r="V24" s="43">
        <f>V22*'R&amp;S - Buildings'!$B$8*'R&amp;S - Buildings'!$C$11*('R&amp;S - Buildings'!$B$15+('R&amp;S - Buildings'!$B$16-'R&amp;S - Buildings'!$B$15)*('Yearly HC Propylene'!V$3-'Yearly HC Propylene'!$N$3)/10)</f>
        <v>0</v>
      </c>
      <c r="W24" s="43">
        <f>W22*'R&amp;S - Buildings'!$B$8*'R&amp;S - Buildings'!$C$11*('R&amp;S - Buildings'!$B$15+('R&amp;S - Buildings'!$B$16-'R&amp;S - Buildings'!$B$15)*('Yearly HC Propylene'!W$3-'Yearly HC Propylene'!$N$3)/10)</f>
        <v>0</v>
      </c>
      <c r="X24" s="43">
        <f>X22*'R&amp;S - Buildings'!$B$8*'R&amp;S - Buildings'!$C$11*('R&amp;S - Buildings'!$B$15+('R&amp;S - Buildings'!$B$16-'R&amp;S - Buildings'!$B$15)*('Yearly HC Propylene'!X$3-'Yearly HC Propylene'!$N$3)/10)</f>
        <v>0</v>
      </c>
      <c r="Y24" s="43">
        <f>Y22*'R&amp;S - Buildings'!$B$8*'R&amp;S - Buildings'!$C$11*('R&amp;S - Buildings'!$B$16+('R&amp;S - Buildings'!$B$17-'R&amp;S - Buildings'!$B$16)*('Yearly HC Propylene'!Y$3-'Yearly HC Propylene'!$X$3)/10)</f>
        <v>0</v>
      </c>
      <c r="Z24" s="43">
        <f>Z22*'R&amp;S - Buildings'!$B$8*'R&amp;S - Buildings'!$C$11*('R&amp;S - Buildings'!$B$16+('R&amp;S - Buildings'!$B$17-'R&amp;S - Buildings'!$B$16)*('Yearly HC Propylene'!Z$3-'Yearly HC Propylene'!$X$3)/10)</f>
        <v>0</v>
      </c>
      <c r="AA24" s="43">
        <f>AA22*'R&amp;S - Buildings'!$B$8*'R&amp;S - Buildings'!$C$11*('R&amp;S - Buildings'!$B$16+('R&amp;S - Buildings'!$B$17-'R&amp;S - Buildings'!$B$16)*('Yearly HC Propylene'!AA$3-'Yearly HC Propylene'!$X$3)/10)</f>
        <v>0</v>
      </c>
      <c r="AB24" s="43">
        <f>AB22*'R&amp;S - Buildings'!$B$8*'R&amp;S - Buildings'!$C$11*('R&amp;S - Buildings'!$B$16+('R&amp;S - Buildings'!$B$17-'R&amp;S - Buildings'!$B$16)*('Yearly HC Propylene'!AB$3-'Yearly HC Propylene'!$X$3)/10)</f>
        <v>0</v>
      </c>
      <c r="AC24" s="43">
        <f>AC22*'R&amp;S - Buildings'!$B$8*'R&amp;S - Buildings'!$C$11*('R&amp;S - Buildings'!$B$16+('R&amp;S - Buildings'!$B$17-'R&amp;S - Buildings'!$B$16)*('Yearly HC Propylene'!AC$3-'Yearly HC Propylene'!$X$3)/10)</f>
        <v>0</v>
      </c>
      <c r="AD24" s="43">
        <f>AD22*'R&amp;S - Buildings'!$B$8*'R&amp;S - Buildings'!$C$11*('R&amp;S - Buildings'!$B$16+('R&amp;S - Buildings'!$B$17-'R&amp;S - Buildings'!$B$16)*('Yearly HC Propylene'!AD$3-'Yearly HC Propylene'!$X$3)/10)</f>
        <v>0</v>
      </c>
      <c r="AE24" s="43">
        <f>AE22*'R&amp;S - Buildings'!$B$8*'R&amp;S - Buildings'!$C$11*('R&amp;S - Buildings'!$B$16+('R&amp;S - Buildings'!$B$17-'R&amp;S - Buildings'!$B$16)*('Yearly HC Propylene'!AE$3-'Yearly HC Propylene'!$X$3)/10)</f>
        <v>0</v>
      </c>
      <c r="AF24" s="43">
        <f>AF22*'R&amp;S - Buildings'!$B$8*'R&amp;S - Buildings'!$C$11*('R&amp;S - Buildings'!$B$16+('R&amp;S - Buildings'!$B$17-'R&amp;S - Buildings'!$B$16)*('Yearly HC Propylene'!AF$3-'Yearly HC Propylene'!$X$3)/10)</f>
        <v>0</v>
      </c>
      <c r="AG24" s="43">
        <f>AG22*'R&amp;S - Buildings'!$B$8*'R&amp;S - Buildings'!$C$11*('R&amp;S - Buildings'!$B$16+('R&amp;S - Buildings'!$B$17-'R&amp;S - Buildings'!$B$16)*('Yearly HC Propylene'!AG$3-'Yearly HC Propylene'!$X$3)/10)</f>
        <v>0</v>
      </c>
      <c r="AH24" s="43">
        <f>AH22*'R&amp;S - Buildings'!$B$8*'R&amp;S - Buildings'!$C$11*('R&amp;S - Buildings'!$B$16+('R&amp;S - Buildings'!$B$17-'R&amp;S - Buildings'!$B$16)*('Yearly HC Propylene'!AH$3-'Yearly HC Propylene'!$X$3)/10)</f>
        <v>0</v>
      </c>
    </row>
    <row r="25" spans="1:34" s="68" customFormat="1">
      <c r="A25" s="62"/>
      <c r="B25" s="62" t="s">
        <v>197</v>
      </c>
      <c r="C25" s="63" t="s">
        <v>153</v>
      </c>
      <c r="D25" s="64">
        <f>D22-D23-D24</f>
        <v>12.379169704702877</v>
      </c>
      <c r="E25" s="64">
        <f t="shared" ref="E25:AH25" si="7">E22-E23-E24</f>
        <v>12.589615589682824</v>
      </c>
      <c r="F25" s="64">
        <f t="shared" si="7"/>
        <v>12.80363905470743</v>
      </c>
      <c r="G25" s="64">
        <f t="shared" si="7"/>
        <v>13.021300918637456</v>
      </c>
      <c r="H25" s="64">
        <f t="shared" si="7"/>
        <v>13.242663034254292</v>
      </c>
      <c r="I25" s="64">
        <f t="shared" si="7"/>
        <v>13.467788305836613</v>
      </c>
      <c r="J25" s="64">
        <f t="shared" si="7"/>
        <v>13.696740707035834</v>
      </c>
      <c r="K25" s="64">
        <f t="shared" si="7"/>
        <v>13.929585299055443</v>
      </c>
      <c r="L25" s="64">
        <f t="shared" si="7"/>
        <v>14.166388249139384</v>
      </c>
      <c r="M25" s="64">
        <f t="shared" si="7"/>
        <v>14.407216849374752</v>
      </c>
      <c r="N25" s="64">
        <f t="shared" si="7"/>
        <v>14.652139535814122</v>
      </c>
      <c r="O25" s="64">
        <f t="shared" si="7"/>
        <v>14.90122590792296</v>
      </c>
      <c r="P25" s="64">
        <f t="shared" si="7"/>
        <v>15.154546748357649</v>
      </c>
      <c r="Q25" s="64">
        <f t="shared" si="7"/>
        <v>15.412174043079728</v>
      </c>
      <c r="R25" s="64">
        <f t="shared" si="7"/>
        <v>15.674181001812082</v>
      </c>
      <c r="S25" s="64">
        <f t="shared" si="7"/>
        <v>15.940642078842886</v>
      </c>
      <c r="T25" s="64">
        <f t="shared" si="7"/>
        <v>16.211632994183216</v>
      </c>
      <c r="U25" s="64">
        <f t="shared" si="7"/>
        <v>16.48723075508433</v>
      </c>
      <c r="V25" s="64">
        <f t="shared" si="7"/>
        <v>16.767513677920761</v>
      </c>
      <c r="W25" s="64">
        <f t="shared" si="7"/>
        <v>17.052561410445414</v>
      </c>
      <c r="X25" s="64">
        <f t="shared" si="7"/>
        <v>17.342454954422983</v>
      </c>
      <c r="Y25" s="64">
        <f t="shared" si="7"/>
        <v>17.637276688648171</v>
      </c>
      <c r="Z25" s="64">
        <f t="shared" si="7"/>
        <v>17.937110392355187</v>
      </c>
      <c r="AA25" s="64">
        <f t="shared" si="7"/>
        <v>18.242041269025222</v>
      </c>
      <c r="AB25" s="64">
        <f t="shared" si="7"/>
        <v>18.552155970598648</v>
      </c>
      <c r="AC25" s="64">
        <f t="shared" si="7"/>
        <v>18.867542622098824</v>
      </c>
      <c r="AD25" s="64">
        <f t="shared" si="7"/>
        <v>19.188290846674501</v>
      </c>
      <c r="AE25" s="64">
        <f t="shared" si="7"/>
        <v>19.514491791067964</v>
      </c>
      <c r="AF25" s="64">
        <f t="shared" si="7"/>
        <v>19.846238151516118</v>
      </c>
      <c r="AG25" s="64">
        <f t="shared" si="7"/>
        <v>20.183624200091892</v>
      </c>
      <c r="AH25" s="64">
        <f t="shared" si="7"/>
        <v>20.526745811493452</v>
      </c>
    </row>
    <row r="26" spans="1:34">
      <c r="A26" s="1" t="s">
        <v>388</v>
      </c>
      <c r="B26" s="58" t="s">
        <v>199</v>
      </c>
      <c r="C26" s="59" t="s">
        <v>153</v>
      </c>
      <c r="D26" s="60">
        <v>0</v>
      </c>
      <c r="E26" s="60">
        <v>0</v>
      </c>
      <c r="F26" s="60">
        <v>0</v>
      </c>
      <c r="G26" s="60">
        <v>0</v>
      </c>
      <c r="H26" s="60">
        <v>0</v>
      </c>
      <c r="I26" s="60">
        <v>0</v>
      </c>
      <c r="J26" s="60">
        <v>0</v>
      </c>
      <c r="K26" s="60">
        <v>0</v>
      </c>
      <c r="L26" s="60">
        <v>0</v>
      </c>
      <c r="M26" s="60">
        <v>0</v>
      </c>
      <c r="N26" s="60">
        <v>0</v>
      </c>
      <c r="O26" s="60">
        <v>0</v>
      </c>
      <c r="P26" s="60">
        <v>0</v>
      </c>
      <c r="Q26" s="60">
        <v>0</v>
      </c>
      <c r="R26" s="60">
        <v>0</v>
      </c>
      <c r="S26" s="60">
        <v>0</v>
      </c>
      <c r="T26" s="60">
        <v>0</v>
      </c>
      <c r="U26" s="60">
        <v>0</v>
      </c>
      <c r="V26" s="60">
        <v>0</v>
      </c>
      <c r="W26" s="60">
        <v>0</v>
      </c>
      <c r="X26" s="60">
        <v>0</v>
      </c>
      <c r="Y26" s="60">
        <v>0</v>
      </c>
      <c r="Z26" s="60">
        <v>0</v>
      </c>
      <c r="AA26" s="60">
        <v>0</v>
      </c>
      <c r="AB26" s="60">
        <v>0</v>
      </c>
      <c r="AC26" s="60">
        <v>0</v>
      </c>
      <c r="AD26" s="60">
        <v>0</v>
      </c>
      <c r="AE26" s="60">
        <v>0</v>
      </c>
      <c r="AF26" s="60">
        <v>0</v>
      </c>
      <c r="AG26" s="60">
        <v>0</v>
      </c>
      <c r="AH26" s="60">
        <v>0</v>
      </c>
    </row>
    <row r="27" spans="1:34" outlineLevel="1">
      <c r="B27" s="61" t="s">
        <v>206</v>
      </c>
      <c r="C27" s="54" t="s">
        <v>153</v>
      </c>
      <c r="D27">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row>
    <row r="28" spans="1:34" outlineLevel="1">
      <c r="B28" s="61" t="s">
        <v>207</v>
      </c>
      <c r="C28" s="54" t="s">
        <v>153</v>
      </c>
      <c r="D28">
        <v>0</v>
      </c>
      <c r="E28" s="43">
        <v>0</v>
      </c>
      <c r="F28" s="43">
        <v>0</v>
      </c>
      <c r="G28" s="43">
        <v>0</v>
      </c>
      <c r="H28" s="43">
        <v>0</v>
      </c>
      <c r="I28" s="43">
        <v>0</v>
      </c>
      <c r="J28" s="43">
        <v>0</v>
      </c>
      <c r="K28" s="43">
        <v>0</v>
      </c>
      <c r="L28" s="43">
        <v>0</v>
      </c>
      <c r="M28" s="43">
        <v>0</v>
      </c>
      <c r="N28" s="43">
        <v>0</v>
      </c>
      <c r="O28" s="43">
        <v>0</v>
      </c>
      <c r="P28" s="43">
        <v>0</v>
      </c>
      <c r="Q28" s="43">
        <v>0</v>
      </c>
      <c r="R28" s="43">
        <v>0</v>
      </c>
      <c r="S28" s="43">
        <v>0</v>
      </c>
      <c r="T28" s="43">
        <v>0</v>
      </c>
      <c r="U28" s="43">
        <v>0</v>
      </c>
      <c r="V28" s="43">
        <v>0</v>
      </c>
      <c r="W28" s="43">
        <v>0</v>
      </c>
      <c r="X28" s="43">
        <v>0</v>
      </c>
      <c r="Y28" s="43">
        <v>0</v>
      </c>
      <c r="Z28" s="43">
        <v>0</v>
      </c>
      <c r="AA28" s="43">
        <v>0</v>
      </c>
      <c r="AB28" s="43">
        <v>0</v>
      </c>
      <c r="AC28" s="43">
        <v>0</v>
      </c>
      <c r="AD28" s="43">
        <v>0</v>
      </c>
      <c r="AE28" s="43">
        <v>0</v>
      </c>
      <c r="AF28" s="43">
        <v>0</v>
      </c>
      <c r="AG28" s="43">
        <v>0</v>
      </c>
      <c r="AH28" s="43">
        <v>0</v>
      </c>
    </row>
    <row r="29" spans="1:34" outlineLevel="1">
      <c r="B29" s="1" t="s">
        <v>168</v>
      </c>
      <c r="C29" s="54" t="s">
        <v>153</v>
      </c>
      <c r="D29" s="44">
        <v>0</v>
      </c>
      <c r="E29" s="44">
        <v>0</v>
      </c>
      <c r="F29" s="44">
        <v>0</v>
      </c>
      <c r="G29" s="44">
        <v>0</v>
      </c>
      <c r="H29" s="44">
        <v>0</v>
      </c>
      <c r="I29" s="44">
        <v>0</v>
      </c>
      <c r="J29" s="44">
        <v>0</v>
      </c>
      <c r="K29" s="44">
        <v>0</v>
      </c>
      <c r="L29" s="44">
        <v>0</v>
      </c>
      <c r="M29" s="44">
        <v>0</v>
      </c>
      <c r="N29" s="44">
        <v>0</v>
      </c>
      <c r="O29" s="44">
        <v>0</v>
      </c>
      <c r="P29" s="44">
        <v>0</v>
      </c>
      <c r="Q29" s="44">
        <v>0</v>
      </c>
      <c r="R29" s="44">
        <v>0</v>
      </c>
      <c r="S29" s="44">
        <v>0</v>
      </c>
      <c r="T29" s="44">
        <v>0</v>
      </c>
      <c r="U29" s="44">
        <v>0</v>
      </c>
      <c r="V29" s="44">
        <v>0</v>
      </c>
      <c r="W29" s="44">
        <v>0</v>
      </c>
      <c r="X29" s="44">
        <v>0</v>
      </c>
      <c r="Y29" s="44">
        <v>0</v>
      </c>
      <c r="Z29" s="44">
        <v>0</v>
      </c>
      <c r="AA29" s="44">
        <v>0</v>
      </c>
      <c r="AB29" s="44">
        <v>0</v>
      </c>
      <c r="AC29" s="44">
        <v>0</v>
      </c>
      <c r="AD29" s="44">
        <v>0</v>
      </c>
      <c r="AE29" s="44">
        <v>0</v>
      </c>
      <c r="AF29" s="44">
        <v>0</v>
      </c>
      <c r="AG29" s="44">
        <v>0</v>
      </c>
      <c r="AH29" s="44">
        <v>0</v>
      </c>
    </row>
    <row r="30" spans="1:34" outlineLevel="1">
      <c r="B30" s="1" t="s">
        <v>172</v>
      </c>
      <c r="C30" s="54" t="s">
        <v>153</v>
      </c>
      <c r="D30">
        <v>0</v>
      </c>
      <c r="E30" s="43">
        <v>0</v>
      </c>
      <c r="F30" s="43">
        <v>0</v>
      </c>
      <c r="G30" s="43">
        <v>0</v>
      </c>
      <c r="H30" s="43">
        <v>0</v>
      </c>
      <c r="I30" s="43">
        <v>0</v>
      </c>
      <c r="J30" s="43">
        <v>0</v>
      </c>
      <c r="K30" s="43">
        <v>0</v>
      </c>
      <c r="L30" s="43">
        <v>0</v>
      </c>
      <c r="M30" s="43">
        <v>0</v>
      </c>
      <c r="N30" s="43">
        <v>0</v>
      </c>
      <c r="O30" s="43">
        <v>0</v>
      </c>
      <c r="P30" s="43">
        <v>0</v>
      </c>
      <c r="Q30" s="43">
        <v>0</v>
      </c>
      <c r="R30" s="43">
        <v>0</v>
      </c>
      <c r="S30" s="43">
        <v>0</v>
      </c>
      <c r="T30" s="43">
        <v>0</v>
      </c>
      <c r="U30" s="43">
        <v>0</v>
      </c>
      <c r="V30" s="43">
        <v>0</v>
      </c>
      <c r="W30" s="43">
        <v>0</v>
      </c>
      <c r="X30" s="43">
        <v>0</v>
      </c>
      <c r="Y30" s="43">
        <v>0</v>
      </c>
      <c r="Z30" s="43">
        <v>0</v>
      </c>
      <c r="AA30" s="43">
        <v>0</v>
      </c>
      <c r="AB30" s="43">
        <v>0</v>
      </c>
      <c r="AC30" s="43">
        <v>0</v>
      </c>
      <c r="AD30" s="43">
        <v>0</v>
      </c>
      <c r="AE30" s="43">
        <v>0</v>
      </c>
      <c r="AF30" s="43">
        <v>0</v>
      </c>
      <c r="AG30" s="43">
        <v>0</v>
      </c>
      <c r="AH30" s="43">
        <v>0</v>
      </c>
    </row>
    <row r="31" spans="1:34">
      <c r="B31" s="1" t="s">
        <v>197</v>
      </c>
      <c r="C31" s="65" t="s">
        <v>153</v>
      </c>
      <c r="D31" s="66">
        <f>D26-D29-D30</f>
        <v>0</v>
      </c>
      <c r="E31" s="66">
        <f t="shared" ref="E31:AH31" si="8">E26-E29-E30</f>
        <v>0</v>
      </c>
      <c r="F31" s="66">
        <f t="shared" si="8"/>
        <v>0</v>
      </c>
      <c r="G31" s="66">
        <f t="shared" si="8"/>
        <v>0</v>
      </c>
      <c r="H31" s="66">
        <f t="shared" si="8"/>
        <v>0</v>
      </c>
      <c r="I31" s="66">
        <f t="shared" si="8"/>
        <v>0</v>
      </c>
      <c r="J31" s="66">
        <f t="shared" si="8"/>
        <v>0</v>
      </c>
      <c r="K31" s="66">
        <f t="shared" si="8"/>
        <v>0</v>
      </c>
      <c r="L31" s="66">
        <f t="shared" si="8"/>
        <v>0</v>
      </c>
      <c r="M31" s="66">
        <f t="shared" si="8"/>
        <v>0</v>
      </c>
      <c r="N31" s="66">
        <f t="shared" si="8"/>
        <v>0</v>
      </c>
      <c r="O31" s="66">
        <f t="shared" si="8"/>
        <v>0</v>
      </c>
      <c r="P31" s="66">
        <f t="shared" si="8"/>
        <v>0</v>
      </c>
      <c r="Q31" s="66">
        <f t="shared" si="8"/>
        <v>0</v>
      </c>
      <c r="R31" s="66">
        <f t="shared" si="8"/>
        <v>0</v>
      </c>
      <c r="S31" s="66">
        <f t="shared" si="8"/>
        <v>0</v>
      </c>
      <c r="T31" s="66">
        <f t="shared" si="8"/>
        <v>0</v>
      </c>
      <c r="U31" s="66">
        <f t="shared" si="8"/>
        <v>0</v>
      </c>
      <c r="V31" s="66">
        <f t="shared" si="8"/>
        <v>0</v>
      </c>
      <c r="W31" s="66">
        <f t="shared" si="8"/>
        <v>0</v>
      </c>
      <c r="X31" s="66">
        <f t="shared" si="8"/>
        <v>0</v>
      </c>
      <c r="Y31" s="66">
        <f t="shared" si="8"/>
        <v>0</v>
      </c>
      <c r="Z31" s="66">
        <f t="shared" si="8"/>
        <v>0</v>
      </c>
      <c r="AA31" s="66">
        <f t="shared" si="8"/>
        <v>0</v>
      </c>
      <c r="AB31" s="66">
        <f t="shared" si="8"/>
        <v>0</v>
      </c>
      <c r="AC31" s="66">
        <f t="shared" si="8"/>
        <v>0</v>
      </c>
      <c r="AD31" s="66">
        <f t="shared" si="8"/>
        <v>0</v>
      </c>
      <c r="AE31" s="66">
        <f t="shared" si="8"/>
        <v>0</v>
      </c>
      <c r="AF31" s="66">
        <f t="shared" si="8"/>
        <v>0</v>
      </c>
      <c r="AG31" s="66">
        <f t="shared" si="8"/>
        <v>0</v>
      </c>
      <c r="AH31" s="66">
        <f t="shared" si="8"/>
        <v>0</v>
      </c>
    </row>
    <row r="32" spans="1:34" s="67" customFormat="1">
      <c r="A32" s="58" t="s">
        <v>208</v>
      </c>
      <c r="B32" s="58" t="s">
        <v>199</v>
      </c>
      <c r="C32" s="59" t="s">
        <v>153</v>
      </c>
      <c r="D32" s="60">
        <f t="shared" ref="D32:AH32" si="9">D4-D6-D14-D22-D26</f>
        <v>35.064810426540291</v>
      </c>
      <c r="E32" s="60">
        <f t="shared" si="9"/>
        <v>36.116775689152504</v>
      </c>
      <c r="F32" s="60">
        <f t="shared" si="9"/>
        <v>37.194840842672889</v>
      </c>
      <c r="G32" s="60">
        <f t="shared" si="9"/>
        <v>38.299600968841681</v>
      </c>
      <c r="H32" s="60">
        <f t="shared" si="9"/>
        <v>39.431664105577326</v>
      </c>
      <c r="I32" s="60">
        <f t="shared" si="9"/>
        <v>40.591651521265369</v>
      </c>
      <c r="J32" s="60">
        <f t="shared" si="9"/>
        <v>41.559479269006808</v>
      </c>
      <c r="K32" s="60">
        <f t="shared" si="9"/>
        <v>42.548161106867823</v>
      </c>
      <c r="L32" s="60">
        <f t="shared" si="9"/>
        <v>43.558122404188012</v>
      </c>
      <c r="M32" s="60">
        <f t="shared" si="9"/>
        <v>44.589796919996559</v>
      </c>
      <c r="N32" s="60">
        <f t="shared" si="9"/>
        <v>45.643626964856836</v>
      </c>
      <c r="O32" s="60">
        <f t="shared" si="9"/>
        <v>45.513538753044301</v>
      </c>
      <c r="P32" s="60">
        <f t="shared" si="9"/>
        <v>45.373793604755676</v>
      </c>
      <c r="Q32" s="60">
        <f t="shared" si="9"/>
        <v>45.224170750896405</v>
      </c>
      <c r="R32" s="60">
        <f t="shared" si="9"/>
        <v>45.064445309997041</v>
      </c>
      <c r="S32" s="60">
        <f t="shared" si="9"/>
        <v>44.894388217210761</v>
      </c>
      <c r="T32" s="60">
        <f t="shared" si="9"/>
        <v>44.657909758188808</v>
      </c>
      <c r="U32" s="60">
        <f t="shared" si="9"/>
        <v>44.409635027587569</v>
      </c>
      <c r="V32" s="60">
        <f t="shared" si="9"/>
        <v>44.149308712963851</v>
      </c>
      <c r="W32" s="60">
        <f t="shared" si="9"/>
        <v>43.876670865120836</v>
      </c>
      <c r="X32" s="60">
        <f t="shared" si="9"/>
        <v>43.591456819224469</v>
      </c>
      <c r="Y32" s="60">
        <f t="shared" si="9"/>
        <v>43.239931957107011</v>
      </c>
      <c r="Z32" s="60">
        <f t="shared" si="9"/>
        <v>42.874376509212937</v>
      </c>
      <c r="AA32" s="60">
        <f t="shared" si="9"/>
        <v>42.494499544079559</v>
      </c>
      <c r="AB32" s="60">
        <f t="shared" si="9"/>
        <v>42.100004953666058</v>
      </c>
      <c r="AC32" s="60">
        <f t="shared" si="9"/>
        <v>41.690591366313512</v>
      </c>
      <c r="AD32" s="60">
        <f t="shared" si="9"/>
        <v>41.214681649789782</v>
      </c>
      <c r="AE32" s="60">
        <f t="shared" si="9"/>
        <v>40.722396518730974</v>
      </c>
      <c r="AF32" s="60">
        <f t="shared" si="9"/>
        <v>40.213408011445836</v>
      </c>
      <c r="AG32" s="60">
        <f t="shared" si="9"/>
        <v>39.68738242812433</v>
      </c>
      <c r="AH32" s="60">
        <f t="shared" si="9"/>
        <v>39.143980235262035</v>
      </c>
    </row>
    <row r="33" spans="1:34" s="181" customFormat="1" outlineLevel="1">
      <c r="A33" s="178"/>
      <c r="B33" s="178" t="s">
        <v>168</v>
      </c>
      <c r="C33" s="176" t="s">
        <v>153</v>
      </c>
      <c r="D33" s="181">
        <v>0</v>
      </c>
      <c r="E33" s="265">
        <f>E32*'R&amp;S - Others'!$B$7*'R&amp;S - Others'!$B$11*'R&amp;S - Others'!$B$15*('Yearly HC Propylene'!E$3-'Yearly HC Propylene'!$D$3)/10</f>
        <v>0</v>
      </c>
      <c r="F33" s="265">
        <f>F32*'R&amp;S - Others'!$B$7*'R&amp;S - Others'!$B$11*'R&amp;S - Others'!$B$15*('Yearly HC Propylene'!F$3-'Yearly HC Propylene'!$D$3)/10</f>
        <v>0</v>
      </c>
      <c r="G33" s="265">
        <f>G32*'R&amp;S - Others'!$B$7*'R&amp;S - Others'!$B$11*'R&amp;S - Others'!$B$15*('Yearly HC Propylene'!G$3-'Yearly HC Propylene'!$D$3)/10</f>
        <v>0</v>
      </c>
      <c r="H33" s="265">
        <f>H32*'R&amp;S - Others'!$B$7*'R&amp;S - Others'!$B$11*'R&amp;S - Others'!$B$15*('Yearly HC Propylene'!H$3-'Yearly HC Propylene'!$D$3)/10</f>
        <v>0</v>
      </c>
      <c r="I33" s="265">
        <f>I32*'R&amp;S - Others'!$B$7*'R&amp;S - Others'!$B$11*'R&amp;S - Others'!$B$15*('Yearly HC Propylene'!I$3-'Yearly HC Propylene'!$D$3)/10</f>
        <v>0</v>
      </c>
      <c r="J33" s="265">
        <f>J32*'R&amp;S - Others'!$B$7*'R&amp;S - Others'!$B$11*'R&amp;S - Others'!$B$15*('Yearly HC Propylene'!J$3-'Yearly HC Propylene'!$D$3)/10</f>
        <v>0</v>
      </c>
      <c r="K33" s="265">
        <f>K32*'R&amp;S - Others'!$B$7*'R&amp;S - Others'!$B$11*'R&amp;S - Others'!$B$15*('Yearly HC Propylene'!K$3-'Yearly HC Propylene'!$D$3)/10</f>
        <v>0</v>
      </c>
      <c r="L33" s="265">
        <f>L32*'R&amp;S - Others'!$B$7*'R&amp;S - Others'!$B$11*'R&amp;S - Others'!$B$15*('Yearly HC Propylene'!L$3-'Yearly HC Propylene'!$D$3)/10</f>
        <v>0</v>
      </c>
      <c r="M33" s="265">
        <f>M32*'R&amp;S - Others'!$B$7*'R&amp;S - Others'!$B$11*'R&amp;S - Others'!$B$15*('Yearly HC Propylene'!M$3-'Yearly HC Propylene'!$D$3)/10</f>
        <v>0</v>
      </c>
      <c r="N33" s="265">
        <f>N32*'R&amp;S - Others'!$B$7*'R&amp;S - Others'!$B$11*'R&amp;S - Others'!$B$15*('Yearly HC Propylene'!N$3-'Yearly HC Propylene'!$D$3)/10</f>
        <v>0</v>
      </c>
      <c r="O33" s="265">
        <f>O32*'R&amp;S - Others'!$B$7*'R&amp;S - Others'!$B$11*('R&amp;S - Others'!$B$15+('R&amp;S - Others'!$B$16-'R&amp;S - Others'!$B$15)*('Yearly HC Propylene'!O$3-'Yearly HC Propylene'!$N$3)/10)</f>
        <v>0</v>
      </c>
      <c r="P33" s="265">
        <f>P32*'R&amp;S - Others'!$B$7*'R&amp;S - Others'!$B$11*('R&amp;S - Others'!$B$15+('R&amp;S - Others'!$B$16-'R&amp;S - Others'!$B$15)*('Yearly HC Propylene'!P$3-'Yearly HC Propylene'!$N$3)/10)</f>
        <v>0</v>
      </c>
      <c r="Q33" s="265">
        <f>Q32*'R&amp;S - Others'!$B$7*'R&amp;S - Others'!$B$11*('R&amp;S - Others'!$B$15+('R&amp;S - Others'!$B$16-'R&amp;S - Others'!$B$15)*('Yearly HC Propylene'!Q$3-'Yearly HC Propylene'!$N$3)/10)</f>
        <v>0</v>
      </c>
      <c r="R33" s="265">
        <f>R32*'R&amp;S - Others'!$B$7*'R&amp;S - Others'!$B$11*('R&amp;S - Others'!$B$15+('R&amp;S - Others'!$B$16-'R&amp;S - Others'!$B$15)*('Yearly HC Propylene'!R$3-'Yearly HC Propylene'!$N$3)/10)</f>
        <v>0</v>
      </c>
      <c r="S33" s="265">
        <f>S32*'R&amp;S - Others'!$B$7*'R&amp;S - Others'!$B$11*('R&amp;S - Others'!$B$15+('R&amp;S - Others'!$B$16-'R&amp;S - Others'!$B$15)*('Yearly HC Propylene'!S$3-'Yearly HC Propylene'!$N$3)/10)</f>
        <v>0</v>
      </c>
      <c r="T33" s="265">
        <f>T32*'R&amp;S - Others'!$B$7*'R&amp;S - Others'!$B$11*('R&amp;S - Others'!$B$15+('R&amp;S - Others'!$B$16-'R&amp;S - Others'!$B$15)*('Yearly HC Propylene'!T$3-'Yearly HC Propylene'!$N$3)/10)</f>
        <v>0</v>
      </c>
      <c r="U33" s="265">
        <f>U32*'R&amp;S - Others'!$B$7*'R&amp;S - Others'!$B$11*('R&amp;S - Others'!$B$15+('R&amp;S - Others'!$B$16-'R&amp;S - Others'!$B$15)*('Yearly HC Propylene'!U$3-'Yearly HC Propylene'!$N$3)/10)</f>
        <v>0</v>
      </c>
      <c r="V33" s="265">
        <f>V32*'R&amp;S - Others'!$B$7*'R&amp;S - Others'!$B$11*('R&amp;S - Others'!$B$15+('R&amp;S - Others'!$B$16-'R&amp;S - Others'!$B$15)*('Yearly HC Propylene'!V$3-'Yearly HC Propylene'!$N$3)/10)</f>
        <v>0</v>
      </c>
      <c r="W33" s="265">
        <f>W32*'R&amp;S - Others'!$B$7*'R&amp;S - Others'!$B$11*('R&amp;S - Others'!$B$15+('R&amp;S - Others'!$B$16-'R&amp;S - Others'!$B$15)*('Yearly HC Propylene'!W$3-'Yearly HC Propylene'!$N$3)/10)</f>
        <v>0</v>
      </c>
      <c r="X33" s="265">
        <f>X32*'R&amp;S - Others'!$B$7*'R&amp;S - Others'!$B$11*('R&amp;S - Others'!$B$15+('R&amp;S - Others'!$B$16-'R&amp;S - Others'!$B$15)*('Yearly HC Propylene'!X$3-'Yearly HC Propylene'!$N$3)/10)</f>
        <v>0</v>
      </c>
      <c r="Y33" s="265">
        <f>Y32*'R&amp;S - Others'!$B$7*'R&amp;S - Others'!$B$11*('R&amp;S - Others'!$B$16+('R&amp;S - Others'!$B$17-'R&amp;S - Others'!$B$16)*('Yearly HC Propylene'!Y$3-'Yearly HC Propylene'!$X$3)/10)</f>
        <v>0</v>
      </c>
      <c r="Z33" s="265">
        <f>Z32*'R&amp;S - Others'!$B$7*'R&amp;S - Others'!$B$11*('R&amp;S - Others'!$B$16+('R&amp;S - Others'!$B$17-'R&amp;S - Others'!$B$16)*('Yearly HC Propylene'!Z$3-'Yearly HC Propylene'!$X$3)/10)</f>
        <v>0</v>
      </c>
      <c r="AA33" s="265">
        <f>AA32*'R&amp;S - Others'!$B$7*'R&amp;S - Others'!$B$11*('R&amp;S - Others'!$B$16+('R&amp;S - Others'!$B$17-'R&amp;S - Others'!$B$16)*('Yearly HC Propylene'!AA$3-'Yearly HC Propylene'!$X$3)/10)</f>
        <v>0</v>
      </c>
      <c r="AB33" s="265">
        <f>AB32*'R&amp;S - Others'!$B$7*'R&amp;S - Others'!$B$11*('R&amp;S - Others'!$B$16+('R&amp;S - Others'!$B$17-'R&amp;S - Others'!$B$16)*('Yearly HC Propylene'!AB$3-'Yearly HC Propylene'!$X$3)/10)</f>
        <v>0</v>
      </c>
      <c r="AC33" s="265">
        <f>AC32*'R&amp;S - Others'!$B$7*'R&amp;S - Others'!$B$11*('R&amp;S - Others'!$B$16+('R&amp;S - Others'!$B$17-'R&amp;S - Others'!$B$16)*('Yearly HC Propylene'!AC$3-'Yearly HC Propylene'!$X$3)/10)</f>
        <v>0</v>
      </c>
      <c r="AD33" s="265">
        <f>AD32*'R&amp;S - Others'!$B$7*'R&amp;S - Others'!$B$11*('R&amp;S - Others'!$B$16+('R&amp;S - Others'!$B$17-'R&amp;S - Others'!$B$16)*('Yearly HC Propylene'!AD$3-'Yearly HC Propylene'!$X$3)/10)</f>
        <v>0</v>
      </c>
      <c r="AE33" s="265">
        <f>AE32*'R&amp;S - Others'!$B$7*'R&amp;S - Others'!$B$11*('R&amp;S - Others'!$B$16+('R&amp;S - Others'!$B$17-'R&amp;S - Others'!$B$16)*('Yearly HC Propylene'!AE$3-'Yearly HC Propylene'!$X$3)/10)</f>
        <v>0</v>
      </c>
      <c r="AF33" s="265">
        <f>AF32*'R&amp;S - Others'!$B$7*'R&amp;S - Others'!$B$11*('R&amp;S - Others'!$B$16+('R&amp;S - Others'!$B$17-'R&amp;S - Others'!$B$16)*('Yearly HC Propylene'!AF$3-'Yearly HC Propylene'!$X$3)/10)</f>
        <v>0</v>
      </c>
      <c r="AG33" s="265">
        <f>AG32*'R&amp;S - Others'!$B$7*'R&amp;S - Others'!$B$11*('R&amp;S - Others'!$B$16+('R&amp;S - Others'!$B$17-'R&amp;S - Others'!$B$16)*('Yearly HC Propylene'!AG$3-'Yearly HC Propylene'!$X$3)/10)</f>
        <v>0</v>
      </c>
      <c r="AH33" s="265">
        <f>AH32*'R&amp;S - Others'!$B$7*'R&amp;S - Others'!$B$11*('R&amp;S - Others'!$B$16+('R&amp;S - Others'!$B$17-'R&amp;S - Others'!$B$16)*('Yearly HC Propylene'!AH$3-'Yearly HC Propylene'!$X$3)/10)</f>
        <v>0</v>
      </c>
    </row>
    <row r="34" spans="1:34" s="181" customFormat="1" outlineLevel="1">
      <c r="A34" s="178"/>
      <c r="B34" s="178" t="s">
        <v>172</v>
      </c>
      <c r="C34" s="176" t="s">
        <v>153</v>
      </c>
      <c r="D34" s="181">
        <v>0</v>
      </c>
      <c r="E34" s="265">
        <f>E32*'R&amp;S - Others'!$B$8*'R&amp;S - Others'!$B$11*'R&amp;S - Others'!$C$15*('Yearly HC Propylene'!E$3-'Yearly HC Propylene'!$D$3)/10</f>
        <v>0</v>
      </c>
      <c r="F34" s="265">
        <f>F32*'R&amp;S - Others'!$B$8*'R&amp;S - Others'!$B$11*'R&amp;S - Others'!$C$15*('Yearly HC Propylene'!F$3-'Yearly HC Propylene'!$D$3)/10</f>
        <v>0</v>
      </c>
      <c r="G34" s="265">
        <f>G32*'R&amp;S - Others'!$B$8*'R&amp;S - Others'!$B$11*'R&amp;S - Others'!$C$15*('Yearly HC Propylene'!G$3-'Yearly HC Propylene'!$D$3)/10</f>
        <v>0</v>
      </c>
      <c r="H34" s="265">
        <f>H32*'R&amp;S - Others'!$B$8*'R&amp;S - Others'!$B$11*'R&amp;S - Others'!$C$15*('Yearly HC Propylene'!H$3-'Yearly HC Propylene'!$D$3)/10</f>
        <v>0</v>
      </c>
      <c r="I34" s="265">
        <f>I32*'R&amp;S - Others'!$B$8*'R&amp;S - Others'!$B$11*'R&amp;S - Others'!$C$15*('Yearly HC Propylene'!I$3-'Yearly HC Propylene'!$D$3)/10</f>
        <v>0</v>
      </c>
      <c r="J34" s="265">
        <f>J32*'R&amp;S - Others'!$B$8*'R&amp;S - Others'!$B$11*'R&amp;S - Others'!$C$15*('Yearly HC Propylene'!J$3-'Yearly HC Propylene'!$D$3)/10</f>
        <v>0</v>
      </c>
      <c r="K34" s="265">
        <f>K32*'R&amp;S - Others'!$B$8*'R&amp;S - Others'!$B$11*'R&amp;S - Others'!$C$15*('Yearly HC Propylene'!K$3-'Yearly HC Propylene'!$D$3)/10</f>
        <v>0</v>
      </c>
      <c r="L34" s="265">
        <f>L32*'R&amp;S - Others'!$B$8*'R&amp;S - Others'!$B$11*'R&amp;S - Others'!$C$15*('Yearly HC Propylene'!L$3-'Yearly HC Propylene'!$D$3)/10</f>
        <v>0</v>
      </c>
      <c r="M34" s="265">
        <f>M32*'R&amp;S - Others'!$B$8*'R&amp;S - Others'!$B$11*'R&amp;S - Others'!$C$15*('Yearly HC Propylene'!M$3-'Yearly HC Propylene'!$D$3)/10</f>
        <v>0</v>
      </c>
      <c r="N34" s="265">
        <f>N32*'R&amp;S - Others'!$B$8*'R&amp;S - Others'!$B$11*'R&amp;S - Others'!$C$15*('Yearly HC Propylene'!N$3-'Yearly HC Propylene'!$D$3)/10</f>
        <v>0</v>
      </c>
      <c r="O34" s="265">
        <f>O32*'R&amp;S - Others'!$B$8*'R&amp;S - Others'!$B$11*('R&amp;S - Others'!$C$15+('R&amp;S - Others'!$C$16-'R&amp;S - Others'!$C$15)*('Yearly HC Propylene'!O$3-'Yearly HC Propylene'!$N$3)/10)</f>
        <v>0</v>
      </c>
      <c r="P34" s="265">
        <f>P32*'R&amp;S - Others'!$B$8*'R&amp;S - Others'!$B$11*('R&amp;S - Others'!$C$15+('R&amp;S - Others'!$C$16-'R&amp;S - Others'!$C$15)*('Yearly HC Propylene'!P$3-'Yearly HC Propylene'!$N$3)/10)</f>
        <v>0</v>
      </c>
      <c r="Q34" s="265">
        <f>Q32*'R&amp;S - Others'!$B$8*'R&amp;S - Others'!$B$11*('R&amp;S - Others'!$C$15+('R&amp;S - Others'!$C$16-'R&amp;S - Others'!$C$15)*('Yearly HC Propylene'!Q$3-'Yearly HC Propylene'!$N$3)/10)</f>
        <v>0</v>
      </c>
      <c r="R34" s="265">
        <f>R32*'R&amp;S - Others'!$B$8*'R&amp;S - Others'!$B$11*('R&amp;S - Others'!$C$15+('R&amp;S - Others'!$C$16-'R&amp;S - Others'!$C$15)*('Yearly HC Propylene'!R$3-'Yearly HC Propylene'!$N$3)/10)</f>
        <v>0</v>
      </c>
      <c r="S34" s="265">
        <f>S32*'R&amp;S - Others'!$B$8*'R&amp;S - Others'!$B$11*('R&amp;S - Others'!$C$15+('R&amp;S - Others'!$C$16-'R&amp;S - Others'!$C$15)*('Yearly HC Propylene'!S$3-'Yearly HC Propylene'!$N$3)/10)</f>
        <v>0</v>
      </c>
      <c r="T34" s="265">
        <f>T32*'R&amp;S - Others'!$B$8*'R&amp;S - Others'!$B$11*('R&amp;S - Others'!$C$15+('R&amp;S - Others'!$C$16-'R&amp;S - Others'!$C$15)*('Yearly HC Propylene'!T$3-'Yearly HC Propylene'!$N$3)/10)</f>
        <v>0</v>
      </c>
      <c r="U34" s="265">
        <f>U32*'R&amp;S - Others'!$B$8*'R&amp;S - Others'!$B$11*('R&amp;S - Others'!$C$15+('R&amp;S - Others'!$C$16-'R&amp;S - Others'!$C$15)*('Yearly HC Propylene'!U$3-'Yearly HC Propylene'!$N$3)/10)</f>
        <v>0</v>
      </c>
      <c r="V34" s="265">
        <f>V32*'R&amp;S - Others'!$B$8*'R&amp;S - Others'!$B$11*('R&amp;S - Others'!$C$15+('R&amp;S - Others'!$C$16-'R&amp;S - Others'!$C$15)*('Yearly HC Propylene'!V$3-'Yearly HC Propylene'!$N$3)/10)</f>
        <v>0</v>
      </c>
      <c r="W34" s="265">
        <f>W32*'R&amp;S - Others'!$B$8*'R&amp;S - Others'!$B$11*('R&amp;S - Others'!$C$15+('R&amp;S - Others'!$C$16-'R&amp;S - Others'!$C$15)*('Yearly HC Propylene'!W$3-'Yearly HC Propylene'!$N$3)/10)</f>
        <v>0</v>
      </c>
      <c r="X34" s="265">
        <f>X32*'R&amp;S - Others'!$B$8*'R&amp;S - Others'!$B$11*('R&amp;S - Others'!$C$15+('R&amp;S - Others'!$C$16-'R&amp;S - Others'!$C$15)*('Yearly HC Propylene'!X$3-'Yearly HC Propylene'!$N$3)/10)</f>
        <v>0</v>
      </c>
      <c r="Y34" s="265">
        <f>Y32*'R&amp;S - Others'!$B$8*'R&amp;S - Others'!$B$11*('R&amp;S - Others'!$C$16+('R&amp;S - Others'!$C$17-'R&amp;S - Others'!$C$16)*('Yearly HC Propylene'!Y$3-'Yearly HC Propylene'!$X$3)/10)</f>
        <v>0</v>
      </c>
      <c r="Z34" s="265">
        <f>Z32*'R&amp;S - Others'!$B$8*'R&amp;S - Others'!$B$11*('R&amp;S - Others'!$C$16+('R&amp;S - Others'!$C$17-'R&amp;S - Others'!$C$16)*('Yearly HC Propylene'!Z$3-'Yearly HC Propylene'!$X$3)/10)</f>
        <v>0</v>
      </c>
      <c r="AA34" s="265">
        <f>AA32*'R&amp;S - Others'!$B$8*'R&amp;S - Others'!$B$11*('R&amp;S - Others'!$C$16+('R&amp;S - Others'!$C$17-'R&amp;S - Others'!$C$16)*('Yearly HC Propylene'!AA$3-'Yearly HC Propylene'!$X$3)/10)</f>
        <v>0</v>
      </c>
      <c r="AB34" s="265">
        <f>AB32*'R&amp;S - Others'!$B$8*'R&amp;S - Others'!$B$11*('R&amp;S - Others'!$C$16+('R&amp;S - Others'!$C$17-'R&amp;S - Others'!$C$16)*('Yearly HC Propylene'!AB$3-'Yearly HC Propylene'!$X$3)/10)</f>
        <v>0</v>
      </c>
      <c r="AC34" s="265">
        <f>AC32*'R&amp;S - Others'!$B$8*'R&amp;S - Others'!$B$11*('R&amp;S - Others'!$C$16+('R&amp;S - Others'!$C$17-'R&amp;S - Others'!$C$16)*('Yearly HC Propylene'!AC$3-'Yearly HC Propylene'!$X$3)/10)</f>
        <v>0</v>
      </c>
      <c r="AD34" s="265">
        <f>AD32*'R&amp;S - Others'!$B$8*'R&amp;S - Others'!$B$11*('R&amp;S - Others'!$C$16+('R&amp;S - Others'!$C$17-'R&amp;S - Others'!$C$16)*('Yearly HC Propylene'!AD$3-'Yearly HC Propylene'!$X$3)/10)</f>
        <v>0</v>
      </c>
      <c r="AE34" s="265">
        <f>AE32*'R&amp;S - Others'!$B$8*'R&amp;S - Others'!$B$11*('R&amp;S - Others'!$C$16+('R&amp;S - Others'!$C$17-'R&amp;S - Others'!$C$16)*('Yearly HC Propylene'!AE$3-'Yearly HC Propylene'!$X$3)/10)</f>
        <v>0</v>
      </c>
      <c r="AF34" s="265">
        <f>AF32*'R&amp;S - Others'!$B$8*'R&amp;S - Others'!$B$11*('R&amp;S - Others'!$C$16+('R&amp;S - Others'!$C$17-'R&amp;S - Others'!$C$16)*('Yearly HC Propylene'!AF$3-'Yearly HC Propylene'!$X$3)/10)</f>
        <v>0</v>
      </c>
      <c r="AG34" s="265">
        <f>AG32*'R&amp;S - Others'!$B$8*'R&amp;S - Others'!$B$11*('R&amp;S - Others'!$C$16+('R&amp;S - Others'!$C$17-'R&amp;S - Others'!$C$16)*('Yearly HC Propylene'!AG$3-'Yearly HC Propylene'!$X$3)/10)</f>
        <v>0</v>
      </c>
      <c r="AH34" s="265">
        <f>AH32*'R&amp;S - Others'!$B$8*'R&amp;S - Others'!$B$11*('R&amp;S - Others'!$C$16+('R&amp;S - Others'!$C$17-'R&amp;S - Others'!$C$16)*('Yearly HC Propylene'!AH$3-'Yearly HC Propylene'!$X$3)/10)</f>
        <v>0</v>
      </c>
    </row>
    <row r="35" spans="1:34" s="181" customFormat="1">
      <c r="A35" s="178"/>
      <c r="B35" s="178" t="s">
        <v>197</v>
      </c>
      <c r="C35" s="179" t="s">
        <v>153</v>
      </c>
      <c r="D35" s="180">
        <f>D32-D33-D34</f>
        <v>35.064810426540291</v>
      </c>
      <c r="E35" s="180">
        <f t="shared" ref="E35:AG35" si="10">E32-E33-E34</f>
        <v>36.116775689152504</v>
      </c>
      <c r="F35" s="180">
        <f t="shared" si="10"/>
        <v>37.194840842672889</v>
      </c>
      <c r="G35" s="180">
        <f t="shared" si="10"/>
        <v>38.299600968841681</v>
      </c>
      <c r="H35" s="180">
        <f t="shared" si="10"/>
        <v>39.431664105577326</v>
      </c>
      <c r="I35" s="180">
        <f t="shared" si="10"/>
        <v>40.591651521265369</v>
      </c>
      <c r="J35" s="180">
        <f t="shared" si="10"/>
        <v>41.559479269006808</v>
      </c>
      <c r="K35" s="180">
        <f t="shared" si="10"/>
        <v>42.548161106867823</v>
      </c>
      <c r="L35" s="180">
        <f t="shared" si="10"/>
        <v>43.558122404188012</v>
      </c>
      <c r="M35" s="180">
        <f t="shared" si="10"/>
        <v>44.589796919996559</v>
      </c>
      <c r="N35" s="180">
        <f t="shared" si="10"/>
        <v>45.643626964856836</v>
      </c>
      <c r="O35" s="180">
        <f t="shared" si="10"/>
        <v>45.513538753044301</v>
      </c>
      <c r="P35" s="180">
        <f t="shared" si="10"/>
        <v>45.373793604755676</v>
      </c>
      <c r="Q35" s="180">
        <f t="shared" si="10"/>
        <v>45.224170750896405</v>
      </c>
      <c r="R35" s="180">
        <f t="shared" si="10"/>
        <v>45.064445309997041</v>
      </c>
      <c r="S35" s="180">
        <f t="shared" si="10"/>
        <v>44.894388217210761</v>
      </c>
      <c r="T35" s="180">
        <f t="shared" si="10"/>
        <v>44.657909758188808</v>
      </c>
      <c r="U35" s="180">
        <f t="shared" si="10"/>
        <v>44.409635027587569</v>
      </c>
      <c r="V35" s="180">
        <f t="shared" si="10"/>
        <v>44.149308712963851</v>
      </c>
      <c r="W35" s="180">
        <f t="shared" si="10"/>
        <v>43.876670865120836</v>
      </c>
      <c r="X35" s="180">
        <f t="shared" si="10"/>
        <v>43.591456819224469</v>
      </c>
      <c r="Y35" s="180">
        <f t="shared" si="10"/>
        <v>43.239931957107011</v>
      </c>
      <c r="Z35" s="180">
        <f t="shared" si="10"/>
        <v>42.874376509212937</v>
      </c>
      <c r="AA35" s="180">
        <f t="shared" si="10"/>
        <v>42.494499544079559</v>
      </c>
      <c r="AB35" s="180">
        <f t="shared" si="10"/>
        <v>42.100004953666058</v>
      </c>
      <c r="AC35" s="180">
        <f t="shared" si="10"/>
        <v>41.690591366313512</v>
      </c>
      <c r="AD35" s="180">
        <f t="shared" si="10"/>
        <v>41.214681649789782</v>
      </c>
      <c r="AE35" s="180">
        <f t="shared" si="10"/>
        <v>40.722396518730974</v>
      </c>
      <c r="AF35" s="180">
        <f t="shared" si="10"/>
        <v>40.213408011445836</v>
      </c>
      <c r="AG35" s="180">
        <f t="shared" si="10"/>
        <v>39.68738242812433</v>
      </c>
      <c r="AH35" s="180">
        <f>AH32-AH33-AH34</f>
        <v>39.143980235262035</v>
      </c>
    </row>
    <row r="36" spans="1:34" s="67" customFormat="1" outlineLevel="1">
      <c r="B36" s="58" t="s">
        <v>210</v>
      </c>
      <c r="C36" s="59" t="s">
        <v>153</v>
      </c>
      <c r="D36" s="60">
        <v>0</v>
      </c>
      <c r="E36" s="60">
        <v>0</v>
      </c>
      <c r="F36" s="60">
        <v>0</v>
      </c>
      <c r="G36" s="60">
        <v>0</v>
      </c>
      <c r="H36" s="60">
        <v>0</v>
      </c>
      <c r="I36" s="60">
        <v>0</v>
      </c>
      <c r="J36" s="60">
        <v>0</v>
      </c>
      <c r="K36" s="60">
        <v>0</v>
      </c>
      <c r="L36" s="60">
        <v>0</v>
      </c>
      <c r="M36" s="60">
        <v>0</v>
      </c>
      <c r="N36" s="60">
        <v>0</v>
      </c>
      <c r="O36" s="60">
        <v>0</v>
      </c>
      <c r="P36" s="60">
        <v>0</v>
      </c>
      <c r="Q36" s="60">
        <v>0</v>
      </c>
      <c r="R36" s="60">
        <v>0</v>
      </c>
      <c r="S36" s="60">
        <v>0</v>
      </c>
      <c r="T36" s="60">
        <v>0</v>
      </c>
      <c r="U36" s="60">
        <v>0</v>
      </c>
      <c r="V36" s="60">
        <v>0</v>
      </c>
      <c r="W36" s="60">
        <v>0</v>
      </c>
      <c r="X36" s="60">
        <v>0</v>
      </c>
      <c r="Y36" s="60">
        <v>0</v>
      </c>
      <c r="Z36" s="60">
        <v>0</v>
      </c>
      <c r="AA36" s="60">
        <v>0</v>
      </c>
      <c r="AB36" s="60">
        <v>0</v>
      </c>
      <c r="AC36" s="60">
        <v>0</v>
      </c>
      <c r="AD36" s="60">
        <v>0</v>
      </c>
      <c r="AE36" s="60">
        <v>0</v>
      </c>
      <c r="AF36" s="60">
        <v>0</v>
      </c>
      <c r="AG36" s="60">
        <v>0</v>
      </c>
      <c r="AH36" s="60">
        <v>0</v>
      </c>
    </row>
    <row r="37" spans="1:34" outlineLevel="1">
      <c r="B37" s="1" t="s">
        <v>211</v>
      </c>
      <c r="C37" s="54" t="s">
        <v>153</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4">
        <v>0</v>
      </c>
      <c r="AH37" s="44">
        <v>0</v>
      </c>
    </row>
    <row r="38" spans="1:34" s="68" customFormat="1">
      <c r="A38" s="62" t="s">
        <v>212</v>
      </c>
      <c r="B38" s="62" t="s">
        <v>213</v>
      </c>
      <c r="C38" s="63" t="s">
        <v>153</v>
      </c>
      <c r="D38" s="64">
        <f>D36+D37</f>
        <v>0</v>
      </c>
      <c r="E38" s="64">
        <f t="shared" ref="E38:AH38" si="11">E36+E37</f>
        <v>0</v>
      </c>
      <c r="F38" s="64">
        <f t="shared" si="11"/>
        <v>0</v>
      </c>
      <c r="G38" s="64">
        <f t="shared" si="11"/>
        <v>0</v>
      </c>
      <c r="H38" s="64">
        <f t="shared" si="11"/>
        <v>0</v>
      </c>
      <c r="I38" s="64">
        <f t="shared" si="11"/>
        <v>0</v>
      </c>
      <c r="J38" s="64">
        <f t="shared" si="11"/>
        <v>0</v>
      </c>
      <c r="K38" s="64">
        <f t="shared" si="11"/>
        <v>0</v>
      </c>
      <c r="L38" s="64">
        <f t="shared" si="11"/>
        <v>0</v>
      </c>
      <c r="M38" s="64">
        <f t="shared" si="11"/>
        <v>0</v>
      </c>
      <c r="N38" s="64">
        <f t="shared" si="11"/>
        <v>0</v>
      </c>
      <c r="O38" s="64">
        <f t="shared" si="11"/>
        <v>0</v>
      </c>
      <c r="P38" s="64">
        <f t="shared" si="11"/>
        <v>0</v>
      </c>
      <c r="Q38" s="64">
        <f t="shared" si="11"/>
        <v>0</v>
      </c>
      <c r="R38" s="64">
        <f t="shared" si="11"/>
        <v>0</v>
      </c>
      <c r="S38" s="64">
        <f t="shared" si="11"/>
        <v>0</v>
      </c>
      <c r="T38" s="64">
        <f t="shared" si="11"/>
        <v>0</v>
      </c>
      <c r="U38" s="64">
        <f t="shared" si="11"/>
        <v>0</v>
      </c>
      <c r="V38" s="64">
        <f t="shared" si="11"/>
        <v>0</v>
      </c>
      <c r="W38" s="64">
        <f t="shared" si="11"/>
        <v>0</v>
      </c>
      <c r="X38" s="64">
        <f t="shared" si="11"/>
        <v>0</v>
      </c>
      <c r="Y38" s="64">
        <f t="shared" si="11"/>
        <v>0</v>
      </c>
      <c r="Z38" s="64">
        <f t="shared" si="11"/>
        <v>0</v>
      </c>
      <c r="AA38" s="64">
        <f t="shared" si="11"/>
        <v>0</v>
      </c>
      <c r="AB38" s="64">
        <f t="shared" si="11"/>
        <v>0</v>
      </c>
      <c r="AC38" s="64">
        <f t="shared" si="11"/>
        <v>0</v>
      </c>
      <c r="AD38" s="64">
        <f t="shared" si="11"/>
        <v>0</v>
      </c>
      <c r="AE38" s="64">
        <f t="shared" si="11"/>
        <v>0</v>
      </c>
      <c r="AF38" s="64">
        <f t="shared" si="11"/>
        <v>0</v>
      </c>
      <c r="AG38" s="64">
        <f t="shared" si="11"/>
        <v>0</v>
      </c>
      <c r="AH38" s="64">
        <f t="shared" si="11"/>
        <v>0</v>
      </c>
    </row>
    <row r="39" spans="1:34">
      <c r="A39" s="1" t="s">
        <v>67</v>
      </c>
      <c r="B39" s="1" t="s">
        <v>168</v>
      </c>
      <c r="C39" s="54" t="s">
        <v>153</v>
      </c>
      <c r="D39" s="66">
        <f>D11+D17+D23+D29+D33</f>
        <v>0</v>
      </c>
      <c r="E39" s="66">
        <f t="shared" ref="E39:AH39" si="12">E11+E17+E23+E29+E33</f>
        <v>0</v>
      </c>
      <c r="F39" s="66">
        <f t="shared" si="12"/>
        <v>0</v>
      </c>
      <c r="G39" s="66">
        <f t="shared" si="12"/>
        <v>0</v>
      </c>
      <c r="H39" s="66">
        <f t="shared" si="12"/>
        <v>0</v>
      </c>
      <c r="I39" s="66">
        <f t="shared" si="12"/>
        <v>0</v>
      </c>
      <c r="J39" s="66">
        <f t="shared" si="12"/>
        <v>0</v>
      </c>
      <c r="K39" s="66">
        <f t="shared" si="12"/>
        <v>0</v>
      </c>
      <c r="L39" s="66">
        <f t="shared" si="12"/>
        <v>0</v>
      </c>
      <c r="M39" s="66">
        <f t="shared" si="12"/>
        <v>0</v>
      </c>
      <c r="N39" s="66">
        <f t="shared" si="12"/>
        <v>0</v>
      </c>
      <c r="O39" s="66">
        <f t="shared" si="12"/>
        <v>0</v>
      </c>
      <c r="P39" s="66">
        <f t="shared" si="12"/>
        <v>0</v>
      </c>
      <c r="Q39" s="66">
        <f t="shared" si="12"/>
        <v>0</v>
      </c>
      <c r="R39" s="66">
        <f t="shared" si="12"/>
        <v>0</v>
      </c>
      <c r="S39" s="66">
        <f t="shared" si="12"/>
        <v>0</v>
      </c>
      <c r="T39" s="66">
        <f t="shared" si="12"/>
        <v>0</v>
      </c>
      <c r="U39" s="66">
        <f t="shared" si="12"/>
        <v>0</v>
      </c>
      <c r="V39" s="66">
        <f t="shared" si="12"/>
        <v>0</v>
      </c>
      <c r="W39" s="66">
        <f t="shared" si="12"/>
        <v>0</v>
      </c>
      <c r="X39" s="66">
        <f t="shared" si="12"/>
        <v>0</v>
      </c>
      <c r="Y39" s="66">
        <f t="shared" si="12"/>
        <v>0</v>
      </c>
      <c r="Z39" s="66">
        <f t="shared" si="12"/>
        <v>0</v>
      </c>
      <c r="AA39" s="66">
        <f t="shared" si="12"/>
        <v>0</v>
      </c>
      <c r="AB39" s="66">
        <f t="shared" si="12"/>
        <v>0</v>
      </c>
      <c r="AC39" s="66">
        <f t="shared" si="12"/>
        <v>0</v>
      </c>
      <c r="AD39" s="66">
        <f t="shared" si="12"/>
        <v>0</v>
      </c>
      <c r="AE39" s="66">
        <f t="shared" si="12"/>
        <v>0</v>
      </c>
      <c r="AF39" s="66">
        <f t="shared" si="12"/>
        <v>0</v>
      </c>
      <c r="AG39" s="66">
        <f t="shared" si="12"/>
        <v>0</v>
      </c>
      <c r="AH39" s="66">
        <f t="shared" si="12"/>
        <v>0</v>
      </c>
    </row>
    <row r="40" spans="1:34">
      <c r="B40" s="1" t="s">
        <v>172</v>
      </c>
      <c r="C40" s="54" t="s">
        <v>153</v>
      </c>
      <c r="D40" s="66">
        <f>D12+D24+D30+D20+D34</f>
        <v>0</v>
      </c>
      <c r="E40" s="66">
        <f t="shared" ref="E40:AH40" si="13">E12+E24+E30+E20+E34</f>
        <v>0</v>
      </c>
      <c r="F40" s="66">
        <f t="shared" si="13"/>
        <v>0</v>
      </c>
      <c r="G40" s="66">
        <f t="shared" si="13"/>
        <v>0</v>
      </c>
      <c r="H40" s="66">
        <f t="shared" si="13"/>
        <v>0</v>
      </c>
      <c r="I40" s="66">
        <f t="shared" si="13"/>
        <v>0</v>
      </c>
      <c r="J40" s="66">
        <f t="shared" si="13"/>
        <v>0</v>
      </c>
      <c r="K40" s="66">
        <f t="shared" si="13"/>
        <v>0</v>
      </c>
      <c r="L40" s="66">
        <f t="shared" si="13"/>
        <v>0</v>
      </c>
      <c r="M40" s="66">
        <f t="shared" si="13"/>
        <v>0</v>
      </c>
      <c r="N40" s="66">
        <f t="shared" si="13"/>
        <v>0</v>
      </c>
      <c r="O40" s="66">
        <f t="shared" si="13"/>
        <v>0</v>
      </c>
      <c r="P40" s="66">
        <f t="shared" si="13"/>
        <v>0</v>
      </c>
      <c r="Q40" s="66">
        <f t="shared" si="13"/>
        <v>0</v>
      </c>
      <c r="R40" s="66">
        <f t="shared" si="13"/>
        <v>0</v>
      </c>
      <c r="S40" s="66">
        <f t="shared" si="13"/>
        <v>0</v>
      </c>
      <c r="T40" s="66">
        <f t="shared" si="13"/>
        <v>0</v>
      </c>
      <c r="U40" s="66">
        <f t="shared" si="13"/>
        <v>0</v>
      </c>
      <c r="V40" s="66">
        <f t="shared" si="13"/>
        <v>0</v>
      </c>
      <c r="W40" s="66">
        <f t="shared" si="13"/>
        <v>0</v>
      </c>
      <c r="X40" s="66">
        <f t="shared" si="13"/>
        <v>0</v>
      </c>
      <c r="Y40" s="66">
        <f t="shared" si="13"/>
        <v>0</v>
      </c>
      <c r="Z40" s="66">
        <f t="shared" si="13"/>
        <v>0</v>
      </c>
      <c r="AA40" s="66">
        <f t="shared" si="13"/>
        <v>0</v>
      </c>
      <c r="AB40" s="66">
        <f t="shared" si="13"/>
        <v>0</v>
      </c>
      <c r="AC40" s="66">
        <f t="shared" si="13"/>
        <v>0</v>
      </c>
      <c r="AD40" s="66">
        <f t="shared" si="13"/>
        <v>0</v>
      </c>
      <c r="AE40" s="66">
        <f t="shared" si="13"/>
        <v>0</v>
      </c>
      <c r="AF40" s="66">
        <f t="shared" si="13"/>
        <v>0</v>
      </c>
      <c r="AG40" s="66">
        <f t="shared" si="13"/>
        <v>0</v>
      </c>
      <c r="AH40" s="66">
        <f t="shared" si="13"/>
        <v>0</v>
      </c>
    </row>
    <row r="41" spans="1:34">
      <c r="B41" s="1" t="s">
        <v>214</v>
      </c>
      <c r="C41" s="54" t="s">
        <v>153</v>
      </c>
      <c r="D41" s="66">
        <f>D38+D7</f>
        <v>0</v>
      </c>
      <c r="E41" s="66">
        <f t="shared" ref="E41:AH41" si="14">E38+E7</f>
        <v>3.5868603773240977E-2</v>
      </c>
      <c r="F41" s="66">
        <f t="shared" si="14"/>
        <v>7.2956740074772139E-2</v>
      </c>
      <c r="G41" s="66">
        <f t="shared" si="14"/>
        <v>0.11129550698406489</v>
      </c>
      <c r="H41" s="66">
        <f t="shared" si="14"/>
        <v>0.15091670747039199</v>
      </c>
      <c r="I41" s="66">
        <f t="shared" si="14"/>
        <v>0.19185286437173577</v>
      </c>
      <c r="J41" s="66">
        <f t="shared" si="14"/>
        <v>0.23413723567926628</v>
      </c>
      <c r="K41" s="66">
        <f t="shared" si="14"/>
        <v>0.27780383013344945</v>
      </c>
      <c r="L41" s="66">
        <f t="shared" si="14"/>
        <v>0.32288742313796354</v>
      </c>
      <c r="M41" s="66">
        <f t="shared" si="14"/>
        <v>0.36942357299772255</v>
      </c>
      <c r="N41" s="66">
        <f t="shared" si="14"/>
        <v>0.41744863748742639</v>
      </c>
      <c r="O41" s="66">
        <f t="shared" si="14"/>
        <v>0.53068158040589075</v>
      </c>
      <c r="P41" s="66">
        <f t="shared" si="14"/>
        <v>0.64764380072734895</v>
      </c>
      <c r="Q41" s="66">
        <f t="shared" si="14"/>
        <v>0.76842936956299934</v>
      </c>
      <c r="R41" s="66">
        <f t="shared" si="14"/>
        <v>0.89313447868065199</v>
      </c>
      <c r="S41" s="66">
        <f t="shared" si="14"/>
        <v>1.0218574854205007</v>
      </c>
      <c r="T41" s="66">
        <f t="shared" si="14"/>
        <v>1.1546989585251657</v>
      </c>
      <c r="U41" s="66">
        <f t="shared" si="14"/>
        <v>1.2917617249021029</v>
      </c>
      <c r="V41" s="66">
        <f t="shared" si="14"/>
        <v>1.4331509173368417</v>
      </c>
      <c r="W41" s="66">
        <f t="shared" si="14"/>
        <v>1.5789740231758649</v>
      </c>
      <c r="X41" s="66">
        <f t="shared" si="14"/>
        <v>1.729340933998305</v>
      </c>
      <c r="Y41" s="66">
        <f t="shared" si="14"/>
        <v>1.8341142897281164</v>
      </c>
      <c r="Z41" s="66">
        <f t="shared" si="14"/>
        <v>1.9419501600228164</v>
      </c>
      <c r="AA41" s="66">
        <f t="shared" si="14"/>
        <v>2.052922390877804</v>
      </c>
      <c r="AB41" s="66">
        <f t="shared" si="14"/>
        <v>2.1671064539856149</v>
      </c>
      <c r="AC41" s="66">
        <f t="shared" si="14"/>
        <v>2.2845794806681274</v>
      </c>
      <c r="AD41" s="66">
        <f t="shared" si="14"/>
        <v>2.4054202964926437</v>
      </c>
      <c r="AE41" s="66">
        <f t="shared" si="14"/>
        <v>2.5297094565852807</v>
      </c>
      <c r="AF41" s="66">
        <f t="shared" si="14"/>
        <v>2.6575292816553802</v>
      </c>
      <c r="AG41" s="66">
        <f t="shared" si="14"/>
        <v>2.78896389474491</v>
      </c>
      <c r="AH41" s="66">
        <f t="shared" si="14"/>
        <v>2.924099258717086</v>
      </c>
    </row>
    <row r="42" spans="1:34" s="69" customFormat="1">
      <c r="A42" s="69" t="s">
        <v>389</v>
      </c>
      <c r="C42" s="70" t="s">
        <v>153</v>
      </c>
      <c r="D42" s="71">
        <f>D4+D41-D39-D40</f>
        <v>111.92307692307692</v>
      </c>
      <c r="E42" s="71">
        <f t="shared" ref="E42:AG42" si="15">E4+E41-E39-E40</f>
        <v>114.17696757491626</v>
      </c>
      <c r="F42" s="71">
        <f t="shared" si="15"/>
        <v>116.47603314311496</v>
      </c>
      <c r="G42" s="71">
        <f t="shared" si="15"/>
        <v>118.82117580625838</v>
      </c>
      <c r="H42" s="71">
        <f t="shared" si="15"/>
        <v>121.21331571035434</v>
      </c>
      <c r="I42" s="71">
        <f t="shared" si="15"/>
        <v>123.65339132591019</v>
      </c>
      <c r="J42" s="71">
        <f t="shared" si="15"/>
        <v>125.92164108635201</v>
      </c>
      <c r="K42" s="71">
        <f t="shared" si="15"/>
        <v>128.23140639385144</v>
      </c>
      <c r="L42" s="71">
        <f t="shared" si="15"/>
        <v>130.58344561264067</v>
      </c>
      <c r="M42" s="71">
        <f t="shared" si="15"/>
        <v>132.97853093588918</v>
      </c>
      <c r="N42" s="71">
        <f t="shared" si="15"/>
        <v>135.41744863748744</v>
      </c>
      <c r="O42" s="71">
        <f t="shared" si="15"/>
        <v>136.75815630531591</v>
      </c>
      <c r="P42" s="71">
        <f t="shared" si="15"/>
        <v>138.11375394832734</v>
      </c>
      <c r="Q42" s="71">
        <f t="shared" si="15"/>
        <v>139.48443711522134</v>
      </c>
      <c r="R42" s="71">
        <f t="shared" si="15"/>
        <v>140.87040439802951</v>
      </c>
      <c r="S42" s="71">
        <f t="shared" si="15"/>
        <v>142.2718574854205</v>
      </c>
      <c r="T42" s="71">
        <f t="shared" si="15"/>
        <v>143.63314482306015</v>
      </c>
      <c r="U42" s="71">
        <f t="shared" si="15"/>
        <v>145.00933720081875</v>
      </c>
      <c r="V42" s="71">
        <f t="shared" si="15"/>
        <v>146.40063266762081</v>
      </c>
      <c r="W42" s="71">
        <f t="shared" si="15"/>
        <v>147.80723243503994</v>
      </c>
      <c r="X42" s="71">
        <f t="shared" si="15"/>
        <v>149.22934093399832</v>
      </c>
      <c r="Y42" s="71">
        <f t="shared" si="15"/>
        <v>150.56345100846187</v>
      </c>
      <c r="Z42" s="71">
        <f t="shared" si="15"/>
        <v>151.91086948744305</v>
      </c>
      <c r="AA42" s="71">
        <f t="shared" si="15"/>
        <v>153.27175561116593</v>
      </c>
      <c r="AB42" s="71">
        <f t="shared" si="15"/>
        <v>154.64627095726883</v>
      </c>
      <c r="AC42" s="71">
        <f t="shared" si="15"/>
        <v>156.03457948066813</v>
      </c>
      <c r="AD42" s="71">
        <f t="shared" si="15"/>
        <v>157.38557714567159</v>
      </c>
      <c r="AE42" s="71">
        <f t="shared" si="15"/>
        <v>158.74986566469005</v>
      </c>
      <c r="AF42" s="71">
        <f t="shared" si="15"/>
        <v>160.12760610855167</v>
      </c>
      <c r="AG42" s="71">
        <f t="shared" si="15"/>
        <v>161.51896198049872</v>
      </c>
      <c r="AH42" s="71">
        <f>AH4+AH41-AH39-AH40</f>
        <v>162.92409925871709</v>
      </c>
    </row>
    <row r="43" spans="1:34" s="67" customFormat="1">
      <c r="A43" s="58" t="s">
        <v>216</v>
      </c>
      <c r="B43" s="58" t="s">
        <v>197</v>
      </c>
      <c r="C43" s="100" t="s">
        <v>153</v>
      </c>
      <c r="D43" s="101">
        <f t="shared" ref="D43" si="16">D21</f>
        <v>46.844581662413418</v>
      </c>
      <c r="E43" s="101">
        <f t="shared" ref="E43:AH43" si="17">E21</f>
        <v>47.500405805687208</v>
      </c>
      <c r="F43" s="101">
        <f t="shared" si="17"/>
        <v>48.165411486966832</v>
      </c>
      <c r="G43" s="101">
        <f t="shared" si="17"/>
        <v>48.839727247784367</v>
      </c>
      <c r="H43" s="101">
        <f t="shared" si="17"/>
        <v>49.523483429253346</v>
      </c>
      <c r="I43" s="101">
        <f t="shared" si="17"/>
        <v>50.216812197262897</v>
      </c>
      <c r="J43" s="101">
        <f t="shared" si="17"/>
        <v>50.919847568024579</v>
      </c>
      <c r="K43" s="101">
        <f t="shared" si="17"/>
        <v>51.632725433976923</v>
      </c>
      <c r="L43" s="101">
        <f t="shared" si="17"/>
        <v>52.355583590052603</v>
      </c>
      <c r="M43" s="101">
        <f t="shared" si="17"/>
        <v>53.08856176031334</v>
      </c>
      <c r="N43" s="101">
        <f t="shared" si="17"/>
        <v>53.831801624957727</v>
      </c>
      <c r="O43" s="101">
        <f t="shared" si="17"/>
        <v>54.585446847707139</v>
      </c>
      <c r="P43" s="101">
        <f t="shared" si="17"/>
        <v>55.34964310357504</v>
      </c>
      <c r="Q43" s="101">
        <f t="shared" si="17"/>
        <v>56.124538107025089</v>
      </c>
      <c r="R43" s="101">
        <f t="shared" si="17"/>
        <v>56.910281640523444</v>
      </c>
      <c r="S43" s="101">
        <f t="shared" si="17"/>
        <v>57.707025583490775</v>
      </c>
      <c r="T43" s="101">
        <f t="shared" si="17"/>
        <v>58.514923941659646</v>
      </c>
      <c r="U43" s="101">
        <f t="shared" si="17"/>
        <v>59.33413287684288</v>
      </c>
      <c r="V43" s="101">
        <f t="shared" si="17"/>
        <v>60.164810737118678</v>
      </c>
      <c r="W43" s="101">
        <f t="shared" si="17"/>
        <v>61.007118087438343</v>
      </c>
      <c r="X43" s="101">
        <f t="shared" si="17"/>
        <v>61.861217740662482</v>
      </c>
      <c r="Y43" s="101">
        <f t="shared" si="17"/>
        <v>62.72727478903176</v>
      </c>
      <c r="Z43" s="101">
        <f t="shared" si="17"/>
        <v>63.605456636078209</v>
      </c>
      <c r="AA43" s="101">
        <f t="shared" si="17"/>
        <v>64.495933028983302</v>
      </c>
      <c r="AB43" s="101">
        <f t="shared" si="17"/>
        <v>65.39887609138907</v>
      </c>
      <c r="AC43" s="101">
        <f t="shared" si="17"/>
        <v>66.314460356668519</v>
      </c>
      <c r="AD43" s="101">
        <f t="shared" si="17"/>
        <v>67.242862801661886</v>
      </c>
      <c r="AE43" s="101">
        <f t="shared" si="17"/>
        <v>68.184262880885157</v>
      </c>
      <c r="AF43" s="101">
        <f t="shared" si="17"/>
        <v>69.138842561217544</v>
      </c>
      <c r="AG43" s="101">
        <f t="shared" si="17"/>
        <v>70.106786357074597</v>
      </c>
      <c r="AH43" s="101">
        <f t="shared" si="17"/>
        <v>71.088281366073645</v>
      </c>
    </row>
    <row r="44" spans="1:34" outlineLevel="1">
      <c r="A44"/>
      <c r="B44" t="s">
        <v>217</v>
      </c>
      <c r="C44" s="54" t="s">
        <v>153</v>
      </c>
      <c r="D44" s="44">
        <f>0</f>
        <v>0</v>
      </c>
      <c r="E44" s="44">
        <f>'Propylene Recycling HC'!D63*'Propylene Recycling HC'!D45-'Propylene Recycling HC'!$C$63*'Propylene Recycling HC'!$C$45</f>
        <v>0.11946470736886272</v>
      </c>
      <c r="F44" s="44">
        <f>'Propylene Recycling HC'!E63*'Propylene Recycling HC'!E45-'Propylene Recycling HC'!$C$63*'Propylene Recycling HC'!$C$45</f>
        <v>0.2463018214115601</v>
      </c>
      <c r="G44" s="44">
        <f>'Propylene Recycling HC'!F63*'Propylene Recycling HC'!F45-'Propylene Recycling HC'!$C$63*'Propylene Recycling HC'!$C$45</f>
        <v>0.38011046480142296</v>
      </c>
      <c r="H44" s="44">
        <f>'Propylene Recycling HC'!G63*'Propylene Recycling HC'!G45-'Propylene Recycling HC'!$C$63*'Propylene Recycling HC'!$C$45</f>
        <v>0.52038528045259758</v>
      </c>
      <c r="I44" s="44">
        <f>'Propylene Recycling HC'!H63*'Propylene Recycling HC'!H45-'Propylene Recycling HC'!$C$63*'Propylene Recycling HC'!$C$45</f>
        <v>0.666517172391771</v>
      </c>
      <c r="J44" s="44">
        <f>'Propylene Recycling HC'!I63*'Propylene Recycling HC'!I45-'Propylene Recycling HC'!$C$63*'Propylene Recycling HC'!$C$45</f>
        <v>0.82150714900122035</v>
      </c>
      <c r="K44" s="44">
        <f>'Propylene Recycling HC'!J63*'Propylene Recycling HC'!J45-'Propylene Recycling HC'!$C$63*'Propylene Recycling HC'!$C$45</f>
        <v>0.98557702218742727</v>
      </c>
      <c r="L44" s="44">
        <f>'Propylene Recycling HC'!K63*'Propylene Recycling HC'!K45-'Propylene Recycling HC'!$C$63*'Propylene Recycling HC'!$C$45</f>
        <v>1.1589384457189569</v>
      </c>
      <c r="M44" s="44">
        <f>'Propylene Recycling HC'!L63*'Propylene Recycling HC'!L45-'Propylene Recycling HC'!$C$63*'Propylene Recycling HC'!$C$45</f>
        <v>1.3417919060723156</v>
      </c>
      <c r="N44" s="44">
        <f>'Propylene Recycling HC'!M63*'Propylene Recycling HC'!M45-'Propylene Recycling HC'!$C$63*'Propylene Recycling HC'!$C$45</f>
        <v>1.5343257105676789</v>
      </c>
      <c r="O44" s="44">
        <f>'Propylene Recycling HC'!N63*'Propylene Recycling HC'!N45-'Propylene Recycling HC'!$C$63*'Propylene Recycling HC'!$C$45</f>
        <v>1.8259142460646993</v>
      </c>
      <c r="P44" s="44">
        <f>'Propylene Recycling HC'!O63*'Propylene Recycling HC'!O45-'Propylene Recycling HC'!$C$63*'Propylene Recycling HC'!$C$45</f>
        <v>2.1297231112026274</v>
      </c>
      <c r="Q44" s="44">
        <f>'Propylene Recycling HC'!P63*'Propylene Recycling HC'!P45-'Propylene Recycling HC'!$C$63*'Propylene Recycling HC'!$C$45</f>
        <v>2.4446257689467852</v>
      </c>
      <c r="R44" s="44">
        <f>'Propylene Recycling HC'!Q63*'Propylene Recycling HC'!Q45-'Propylene Recycling HC'!$C$63*'Propylene Recycling HC'!$C$45</f>
        <v>2.769347526942743</v>
      </c>
      <c r="S44" s="44">
        <f>'Propylene Recycling HC'!R63*'Propylene Recycling HC'!R45-'Propylene Recycling HC'!$C$63*'Propylene Recycling HC'!$C$45</f>
        <v>3.1024723538833849</v>
      </c>
      <c r="T44" s="44">
        <f>'Propylene Recycling HC'!S63*'Propylene Recycling HC'!S45-'Propylene Recycling HC'!$C$63*'Propylene Recycling HC'!$C$45</f>
        <v>3.4502797905854004</v>
      </c>
      <c r="U44" s="44">
        <f>'Propylene Recycling HC'!T63*'Propylene Recycling HC'!T45-'Propylene Recycling HC'!$C$63*'Propylene Recycling HC'!$C$45</f>
        <v>3.8130293681331202</v>
      </c>
      <c r="V44" s="44">
        <f>'Propylene Recycling HC'!U63*'Propylene Recycling HC'!U45-'Propylene Recycling HC'!$C$63*'Propylene Recycling HC'!$C$45</f>
        <v>4.1909776798854859</v>
      </c>
      <c r="W44" s="44">
        <f>'Propylene Recycling HC'!V63*'Propylene Recycling HC'!V45-'Propylene Recycling HC'!$C$63*'Propylene Recycling HC'!$C$45</f>
        <v>4.5843781410564732</v>
      </c>
      <c r="X44" s="44">
        <f>'Propylene Recycling HC'!W63*'Propylene Recycling HC'!W45-'Propylene Recycling HC'!$C$63*'Propylene Recycling HC'!$C$45</f>
        <v>4.9934807464044404</v>
      </c>
      <c r="Y44" s="44">
        <f>'Propylene Recycling HC'!X63*'Propylene Recycling HC'!X45-'Propylene Recycling HC'!$C$63*'Propylene Recycling HC'!$C$45</f>
        <v>5.6223855862168985</v>
      </c>
      <c r="Z44" s="44">
        <f>'Propylene Recycling HC'!Y63*'Propylene Recycling HC'!Y45-'Propylene Recycling HC'!$C$63*'Propylene Recycling HC'!$C$45</f>
        <v>6.278550491668236</v>
      </c>
      <c r="AA44" s="44">
        <f>'Propylene Recycling HC'!Z63*'Propylene Recycling HC'!Z45-'Propylene Recycling HC'!$C$63*'Propylene Recycling HC'!$C$45</f>
        <v>6.9624351148119521</v>
      </c>
      <c r="AB44" s="44">
        <f>'Propylene Recycling HC'!AA63*'Propylene Recycling HC'!AA45-'Propylene Recycling HC'!$C$63*'Propylene Recycling HC'!$C$45</f>
        <v>7.6744940857317685</v>
      </c>
      <c r="AC44" s="44">
        <f>'Propylene Recycling HC'!AB63*'Propylene Recycling HC'!AB45-'Propylene Recycling HC'!$C$63*'Propylene Recycling HC'!$C$45</f>
        <v>8.4151766285016656</v>
      </c>
      <c r="AD44" s="44">
        <f>'Propylene Recycling HC'!AC63*'Propylene Recycling HC'!AC45-'Propylene Recycling HC'!$C$63*'Propylene Recycling HC'!$C$45</f>
        <v>9.185021542701838</v>
      </c>
      <c r="AE44" s="44">
        <f>'Propylene Recycling HC'!AD63*'Propylene Recycling HC'!AD45-'Propylene Recycling HC'!$C$63*'Propylene Recycling HC'!$C$45</f>
        <v>9.9844888858168233</v>
      </c>
      <c r="AF44" s="44">
        <f>'Propylene Recycling HC'!AE63*'Propylene Recycling HC'!AE45-'Propylene Recycling HC'!$C$63*'Propylene Recycling HC'!$C$45</f>
        <v>10.814033885617699</v>
      </c>
      <c r="AG44" s="44">
        <f>'Propylene Recycling HC'!AF63*'Propylene Recycling HC'!AF45-'Propylene Recycling HC'!$C$63*'Propylene Recycling HC'!$C$45</f>
        <v>11.674106592076285</v>
      </c>
      <c r="AH44" s="44">
        <f>'Propylene Recycling HC'!AG63*'Propylene Recycling HC'!AG45-'Propylene Recycling HC'!$C$63*'Propylene Recycling HC'!$C$45</f>
        <v>12.565151526917912</v>
      </c>
    </row>
    <row r="45" spans="1:34" outlineLevel="1">
      <c r="A45"/>
      <c r="B45" s="181" t="s">
        <v>218</v>
      </c>
      <c r="C45" s="54" t="s">
        <v>153</v>
      </c>
      <c r="D45" s="44">
        <f>0</f>
        <v>0</v>
      </c>
      <c r="E45" s="44">
        <f>'Propylene Recycling HC'!D90*'Propylene Recycling HC'!D46-'Propylene Recycling HC'!$C$90*'Propylene Recycling HC'!$C$46</f>
        <v>8.4766627042845988E-3</v>
      </c>
      <c r="F45" s="44">
        <f>'Propylene Recycling HC'!E90*'Propylene Recycling HC'!E46-'Propylene Recycling HC'!$C$90*'Propylene Recycling HC'!$C$46</f>
        <v>1.6866112136104755E-2</v>
      </c>
      <c r="G45" s="44">
        <f>'Propylene Recycling HC'!F90*'Propylene Recycling HC'!F46-'Propylene Recycling HC'!$C$90*'Propylene Recycling HC'!$C$46</f>
        <v>2.5082283308704337E-2</v>
      </c>
      <c r="H45" s="44">
        <f>'Propylene Recycling HC'!G90*'Propylene Recycling HC'!G46-'Propylene Recycling HC'!$C$90*'Propylene Recycling HC'!$C$46</f>
        <v>3.3039416846912639E-2</v>
      </c>
      <c r="I45" s="44">
        <f>'Propylene Recycling HC'!H90*'Propylene Recycling HC'!H46-'Propylene Recycling HC'!$C$90*'Propylene Recycling HC'!$C$46</f>
        <v>4.0653392285547915E-2</v>
      </c>
      <c r="J45" s="44">
        <f>'Propylene Recycling HC'!I90*'Propylene Recycling HC'!I46-'Propylene Recycling HC'!$C$90*'Propylene Recycling HC'!$C$46</f>
        <v>4.8017670310260552E-2</v>
      </c>
      <c r="K45" s="44">
        <f>'Propylene Recycling HC'!J90*'Propylene Recycling HC'!J46-'Propylene Recycling HC'!$C$90*'Propylene Recycling HC'!$C$46</f>
        <v>5.5099673442833105E-2</v>
      </c>
      <c r="L45" s="44">
        <f>'Propylene Recycling HC'!K90*'Propylene Recycling HC'!K46-'Propylene Recycling HC'!$C$90*'Propylene Recycling HC'!$C$46</f>
        <v>6.1866521107908523E-2</v>
      </c>
      <c r="M45" s="44">
        <f>'Propylene Recycling HC'!L90*'Propylene Recycling HC'!L46-'Propylene Recycling HC'!$C$90*'Propylene Recycling HC'!$C$46</f>
        <v>6.8285124876461337E-2</v>
      </c>
      <c r="N45" s="44">
        <f>'Propylene Recycling HC'!M90*'Propylene Recycling HC'!M46-'Propylene Recycling HC'!$C$90*'Propylene Recycling HC'!$C$46</f>
        <v>7.4322287249026814E-2</v>
      </c>
      <c r="O45" s="44">
        <f>'Propylene Recycling HC'!N90*'Propylene Recycling HC'!N46-'Propylene Recycling HC'!$C$90*'Propylene Recycling HC'!$C$46</f>
        <v>8.8120334551746657E-2</v>
      </c>
      <c r="P45" s="44">
        <f>'Propylene Recycling HC'!O90*'Propylene Recycling HC'!O46-'Propylene Recycling HC'!$C$90*'Propylene Recycling HC'!$C$46</f>
        <v>0.10091347077456383</v>
      </c>
      <c r="Q45" s="44">
        <f>'Propylene Recycling HC'!P90*'Propylene Recycling HC'!P46-'Propylene Recycling HC'!$C$90*'Propylene Recycling HC'!$C$46</f>
        <v>0.11287594921909222</v>
      </c>
      <c r="R45" s="44">
        <f>'Propylene Recycling HC'!Q90*'Propylene Recycling HC'!Q46-'Propylene Recycling HC'!$C$90*'Propylene Recycling HC'!$C$46</f>
        <v>0.12365102067575534</v>
      </c>
      <c r="S45" s="44">
        <f>'Propylene Recycling HC'!R90*'Propylene Recycling HC'!R46-'Propylene Recycling HC'!$C$90*'Propylene Recycling HC'!$C$46</f>
        <v>0.13313491848816728</v>
      </c>
      <c r="T45" s="44">
        <f>'Propylene Recycling HC'!S90*'Propylene Recycling HC'!S46-'Propylene Recycling HC'!$C$90*'Propylene Recycling HC'!$C$46</f>
        <v>0.14154991857397695</v>
      </c>
      <c r="U45" s="44">
        <f>'Propylene Recycling HC'!T90*'Propylene Recycling HC'!T46-'Propylene Recycling HC'!$C$90*'Propylene Recycling HC'!$C$46</f>
        <v>0.14885579515062208</v>
      </c>
      <c r="V45" s="44">
        <f>'Propylene Recycling HC'!U90*'Propylene Recycling HC'!U46-'Propylene Recycling HC'!$C$90*'Propylene Recycling HC'!$C$46</f>
        <v>0.15501227054805269</v>
      </c>
      <c r="W45" s="44">
        <f>'Propylene Recycling HC'!V90*'Propylene Recycling HC'!V46-'Propylene Recycling HC'!$C$90*'Propylene Recycling HC'!$C$46</f>
        <v>0.15997904695760512</v>
      </c>
      <c r="X45" s="44">
        <f>'Propylene Recycling HC'!W90*'Propylene Recycling HC'!W46-'Propylene Recycling HC'!$C$90*'Propylene Recycling HC'!$C$46</f>
        <v>0.16371583874628687</v>
      </c>
      <c r="Y45" s="44">
        <f>'Propylene Recycling HC'!X90*'Propylene Recycling HC'!X46-'Propylene Recycling HC'!$C$90*'Propylene Recycling HC'!$C$46</f>
        <v>0.17378914392030648</v>
      </c>
      <c r="Z45" s="44">
        <f>'Propylene Recycling HC'!Y90*'Propylene Recycling HC'!Y46-'Propylene Recycling HC'!$C$90*'Propylene Recycling HC'!$C$46</f>
        <v>0.18182221820456881</v>
      </c>
      <c r="AA45" s="44">
        <f>'Propylene Recycling HC'!Z90*'Propylene Recycling HC'!Z46-'Propylene Recycling HC'!$C$90*'Propylene Recycling HC'!$C$46</f>
        <v>0.1883964080683522</v>
      </c>
      <c r="AB45" s="44">
        <f>'Propylene Recycling HC'!AA90*'Propylene Recycling HC'!AA46-'Propylene Recycling HC'!$C$90*'Propylene Recycling HC'!$C$46</f>
        <v>0.19281602299187794</v>
      </c>
      <c r="AC45" s="44">
        <f>'Propylene Recycling HC'!AB90*'Propylene Recycling HC'!AB46-'Propylene Recycling HC'!$C$90*'Propylene Recycling HC'!$C$46</f>
        <v>0.19499448153818258</v>
      </c>
      <c r="AD45" s="44">
        <f>'Propylene Recycling HC'!AC90*'Propylene Recycling HC'!AC46-'Propylene Recycling HC'!$C$90*'Propylene Recycling HC'!$C$46</f>
        <v>0.19484685714731897</v>
      </c>
      <c r="AE45" s="44">
        <f>'Propylene Recycling HC'!AD90*'Propylene Recycling HC'!AD46-'Propylene Recycling HC'!$C$90*'Propylene Recycling HC'!$C$46</f>
        <v>0.1922855579223931</v>
      </c>
      <c r="AF45" s="44">
        <f>'Propylene Recycling HC'!AE90*'Propylene Recycling HC'!AE46-'Propylene Recycling HC'!$C$90*'Propylene Recycling HC'!$C$46</f>
        <v>0.18722247032063646</v>
      </c>
      <c r="AG45" s="44">
        <f>'Propylene Recycling HC'!AF90*'Propylene Recycling HC'!AF46-'Propylene Recycling HC'!$C$90*'Propylene Recycling HC'!$C$46</f>
        <v>0.17956901297599465</v>
      </c>
      <c r="AH45" s="44">
        <f>'Propylene Recycling HC'!AG90*'Propylene Recycling HC'!AG46-'Propylene Recycling HC'!$C$90*'Propylene Recycling HC'!$C$46</f>
        <v>0.16923619185281971</v>
      </c>
    </row>
    <row r="46" spans="1:34" s="68" customFormat="1">
      <c r="A46" s="62"/>
      <c r="B46" s="62" t="s">
        <v>219</v>
      </c>
      <c r="C46" s="63" t="s">
        <v>153</v>
      </c>
      <c r="D46" s="64">
        <f>D43-D44-D45</f>
        <v>46.844581662413418</v>
      </c>
      <c r="E46" s="64">
        <f t="shared" ref="E46:AH46" si="18">E43-E44-E45</f>
        <v>47.372464435614063</v>
      </c>
      <c r="F46" s="64">
        <f t="shared" si="18"/>
        <v>47.902243553419162</v>
      </c>
      <c r="G46" s="64">
        <f t="shared" si="18"/>
        <v>48.434534499674236</v>
      </c>
      <c r="H46" s="64">
        <f t="shared" si="18"/>
        <v>48.970058731953834</v>
      </c>
      <c r="I46" s="64">
        <f t="shared" si="18"/>
        <v>49.509641632585577</v>
      </c>
      <c r="J46" s="64">
        <f t="shared" si="18"/>
        <v>50.0503227487131</v>
      </c>
      <c r="K46" s="64">
        <f t="shared" si="18"/>
        <v>50.592048738346662</v>
      </c>
      <c r="L46" s="64">
        <f t="shared" si="18"/>
        <v>51.134778623225735</v>
      </c>
      <c r="M46" s="64">
        <f t="shared" si="18"/>
        <v>51.678484729364563</v>
      </c>
      <c r="N46" s="64">
        <f t="shared" si="18"/>
        <v>52.223153627141023</v>
      </c>
      <c r="O46" s="64">
        <f t="shared" si="18"/>
        <v>52.671412267090695</v>
      </c>
      <c r="P46" s="64">
        <f t="shared" si="18"/>
        <v>53.119006521597846</v>
      </c>
      <c r="Q46" s="64">
        <f t="shared" si="18"/>
        <v>53.567036388859208</v>
      </c>
      <c r="R46" s="64">
        <f t="shared" si="18"/>
        <v>54.01728309290494</v>
      </c>
      <c r="S46" s="64">
        <f t="shared" si="18"/>
        <v>54.471418311119223</v>
      </c>
      <c r="T46" s="64">
        <f t="shared" si="18"/>
        <v>54.923094232500269</v>
      </c>
      <c r="U46" s="64">
        <f t="shared" si="18"/>
        <v>55.372247713559133</v>
      </c>
      <c r="V46" s="64">
        <f t="shared" si="18"/>
        <v>55.818820786685137</v>
      </c>
      <c r="W46" s="64">
        <f t="shared" si="18"/>
        <v>56.262760899424265</v>
      </c>
      <c r="X46" s="64">
        <f t="shared" si="18"/>
        <v>56.704021155511754</v>
      </c>
      <c r="Y46" s="64">
        <f t="shared" si="18"/>
        <v>56.93110005889455</v>
      </c>
      <c r="Z46" s="64">
        <f t="shared" si="18"/>
        <v>57.145083926205409</v>
      </c>
      <c r="AA46" s="64">
        <f t="shared" si="18"/>
        <v>57.345101506102999</v>
      </c>
      <c r="AB46" s="64">
        <f t="shared" si="18"/>
        <v>57.531565982665427</v>
      </c>
      <c r="AC46" s="64">
        <f t="shared" si="18"/>
        <v>57.704289246628669</v>
      </c>
      <c r="AD46" s="64">
        <f t="shared" si="18"/>
        <v>57.862994401812728</v>
      </c>
      <c r="AE46" s="64">
        <f t="shared" si="18"/>
        <v>58.007488437145938</v>
      </c>
      <c r="AF46" s="64">
        <f t="shared" si="18"/>
        <v>58.137586205279213</v>
      </c>
      <c r="AG46" s="64">
        <f t="shared" si="18"/>
        <v>58.253110752022316</v>
      </c>
      <c r="AH46" s="64">
        <f t="shared" si="18"/>
        <v>58.353893647302911</v>
      </c>
    </row>
    <row r="47" spans="1:34" s="67" customFormat="1">
      <c r="A47" s="58" t="s">
        <v>220</v>
      </c>
      <c r="B47" s="58" t="s">
        <v>197</v>
      </c>
      <c r="C47" s="100" t="s">
        <v>153</v>
      </c>
      <c r="D47" s="101">
        <f>D13</f>
        <v>17.63451512942034</v>
      </c>
      <c r="E47" s="101">
        <f t="shared" ref="E47:AH47" si="19">E13</f>
        <v>17.970170490393727</v>
      </c>
      <c r="F47" s="101">
        <f t="shared" si="19"/>
        <v>18.312141758767805</v>
      </c>
      <c r="G47" s="101">
        <f t="shared" si="19"/>
        <v>18.660546670994876</v>
      </c>
      <c r="H47" s="101">
        <f t="shared" si="19"/>
        <v>19.015505141269383</v>
      </c>
      <c r="I47" s="101">
        <f t="shared" si="19"/>
        <v>19.377139301545309</v>
      </c>
      <c r="J47" s="101">
        <f t="shared" si="19"/>
        <v>19.745573542284788</v>
      </c>
      <c r="K47" s="101">
        <f t="shared" si="19"/>
        <v>20.120934553951265</v>
      </c>
      <c r="L47" s="101">
        <f t="shared" si="19"/>
        <v>20.503351369260681</v>
      </c>
      <c r="M47" s="101">
        <f t="shared" si="19"/>
        <v>20.892955406204525</v>
      </c>
      <c r="N47" s="101">
        <f t="shared" si="19"/>
        <v>21.28988051185874</v>
      </c>
      <c r="O47" s="101">
        <f t="shared" si="19"/>
        <v>21.757944796641517</v>
      </c>
      <c r="P47" s="101">
        <f t="shared" si="19"/>
        <v>22.235770491638981</v>
      </c>
      <c r="Q47" s="101">
        <f t="shared" si="19"/>
        <v>22.723554214220126</v>
      </c>
      <c r="R47" s="101">
        <f t="shared" si="19"/>
        <v>23.221496445696946</v>
      </c>
      <c r="S47" s="101">
        <f t="shared" si="19"/>
        <v>23.729801605876073</v>
      </c>
      <c r="T47" s="101">
        <f t="shared" si="19"/>
        <v>24.24867812902848</v>
      </c>
      <c r="U47" s="101">
        <f t="shared" si="19"/>
        <v>24.77833854130397</v>
      </c>
      <c r="V47" s="101">
        <f t="shared" si="19"/>
        <v>25.31899953961754</v>
      </c>
      <c r="W47" s="101">
        <f t="shared" si="19"/>
        <v>25.870882072035329</v>
      </c>
      <c r="X47" s="101">
        <f t="shared" si="19"/>
        <v>26.434211419688378</v>
      </c>
      <c r="Y47" s="101">
        <f t="shared" si="19"/>
        <v>26.958967573674919</v>
      </c>
      <c r="Z47" s="101">
        <f t="shared" si="19"/>
        <v>27.493925949796711</v>
      </c>
      <c r="AA47" s="101">
        <f t="shared" si="19"/>
        <v>28.039281769077853</v>
      </c>
      <c r="AB47" s="101">
        <f t="shared" si="19"/>
        <v>28.59523394161506</v>
      </c>
      <c r="AC47" s="101">
        <f t="shared" si="19"/>
        <v>29.161985135587273</v>
      </c>
      <c r="AD47" s="101">
        <f t="shared" si="19"/>
        <v>29.73974184754541</v>
      </c>
      <c r="AE47" s="101">
        <f t="shared" si="19"/>
        <v>30.328714474005942</v>
      </c>
      <c r="AF47" s="101">
        <f t="shared" si="19"/>
        <v>30.929117384372191</v>
      </c>
      <c r="AG47" s="101">
        <f t="shared" si="19"/>
        <v>31.541168995207901</v>
      </c>
      <c r="AH47" s="101">
        <f t="shared" si="19"/>
        <v>32.165091845887943</v>
      </c>
    </row>
    <row r="48" spans="1:34" outlineLevel="1">
      <c r="A48"/>
      <c r="B48" t="s">
        <v>217</v>
      </c>
      <c r="C48" s="54" t="s">
        <v>153</v>
      </c>
      <c r="D48" s="44">
        <f>0</f>
        <v>0</v>
      </c>
      <c r="E48" s="44">
        <f>'Propylene Recycling HC'!D87*'Propylene Recycling HC'!D46-'Propylene Recycling HC'!$C$87*'Propylene Recycling HC'!$C$46</f>
        <v>1.6227898477090882E-2</v>
      </c>
      <c r="F48" s="44">
        <f>'Propylene Recycling HC'!E87*'Propylene Recycling HC'!E46-'Propylene Recycling HC'!$C$87*'Propylene Recycling HC'!$C$46</f>
        <v>3.7130770254623802E-2</v>
      </c>
      <c r="G48" s="44">
        <f>'Propylene Recycling HC'!F87*'Propylene Recycling HC'!F46-'Propylene Recycling HC'!$C$87*'Propylene Recycling HC'!$C$46</f>
        <v>6.2915283332907815E-2</v>
      </c>
      <c r="H48" s="44">
        <f>'Propylene Recycling HC'!G87*'Propylene Recycling HC'!G46-'Propylene Recycling HC'!$C$87*'Propylene Recycling HC'!$C$46</f>
        <v>9.3729169266802942E-2</v>
      </c>
      <c r="I48" s="44">
        <f>'Propylene Recycling HC'!H87*'Propylene Recycling HC'!H46-'Propylene Recycling HC'!$C$87*'Propylene Recycling HC'!$C$46</f>
        <v>0.12965554241839217</v>
      </c>
      <c r="J48" s="44">
        <f>'Propylene Recycling HC'!I87*'Propylene Recycling HC'!I46-'Propylene Recycling HC'!$C$87*'Propylene Recycling HC'!$C$46</f>
        <v>0.17112824836303306</v>
      </c>
      <c r="K48" s="44">
        <f>'Propylene Recycling HC'!J87*'Propylene Recycling HC'!J46-'Propylene Recycling HC'!$C$87*'Propylene Recycling HC'!$C$46</f>
        <v>0.21838956200023382</v>
      </c>
      <c r="L48" s="44">
        <f>'Propylene Recycling HC'!K87*'Propylene Recycling HC'!K46-'Propylene Recycling HC'!$C$87*'Propylene Recycling HC'!$C$46</f>
        <v>0.27167696343224379</v>
      </c>
      <c r="M48" s="44">
        <f>'Propylene Recycling HC'!L87*'Propylene Recycling HC'!L46-'Propylene Recycling HC'!$C$87*'Propylene Recycling HC'!$C$46</f>
        <v>0.33122222384627698</v>
      </c>
      <c r="N48" s="44">
        <f>'Propylene Recycling HC'!M87*'Propylene Recycling HC'!M46-'Propylene Recycling HC'!$C$87*'Propylene Recycling HC'!$C$46</f>
        <v>0.39725047977696948</v>
      </c>
      <c r="O48" s="44">
        <f>'Propylene Recycling HC'!N87*'Propylene Recycling HC'!N46-'Propylene Recycling HC'!$C$87*'Propylene Recycling HC'!$C$46</f>
        <v>0.50570570425462646</v>
      </c>
      <c r="P48" s="44">
        <f>'Propylene Recycling HC'!O87*'Propylene Recycling HC'!O46-'Propylene Recycling HC'!$C$87*'Propylene Recycling HC'!$C$46</f>
        <v>0.6262548249099954</v>
      </c>
      <c r="Q48" s="44">
        <f>'Propylene Recycling HC'!P87*'Propylene Recycling HC'!P46-'Propylene Recycling HC'!$C$87*'Propylene Recycling HC'!$C$46</f>
        <v>0.7602745544549061</v>
      </c>
      <c r="R48" s="44">
        <f>'Propylene Recycling HC'!Q87*'Propylene Recycling HC'!Q46-'Propylene Recycling HC'!$C$87*'Propylene Recycling HC'!$C$46</f>
        <v>0.90645454799188407</v>
      </c>
      <c r="S48" s="44">
        <f>'Propylene Recycling HC'!R87*'Propylene Recycling HC'!R46-'Propylene Recycling HC'!$C$87*'Propylene Recycling HC'!$C$46</f>
        <v>1.0644066217256229</v>
      </c>
      <c r="T48" s="44">
        <f>'Propylene Recycling HC'!S87*'Propylene Recycling HC'!S46-'Propylene Recycling HC'!$C$87*'Propylene Recycling HC'!$C$46</f>
        <v>1.2358702392180467</v>
      </c>
      <c r="U48" s="44">
        <f>'Propylene Recycling HC'!T87*'Propylene Recycling HC'!T46-'Propylene Recycling HC'!$C$87*'Propylene Recycling HC'!$C$46</f>
        <v>1.4211733451284876</v>
      </c>
      <c r="V48" s="44">
        <f>'Propylene Recycling HC'!U87*'Propylene Recycling HC'!U46-'Propylene Recycling HC'!$C$87*'Propylene Recycling HC'!$C$46</f>
        <v>1.6206420002528155</v>
      </c>
      <c r="W48" s="44">
        <f>'Propylene Recycling HC'!V87*'Propylene Recycling HC'!V46-'Propylene Recycling HC'!$C$87*'Propylene Recycling HC'!$C$46</f>
        <v>1.8346000881194227</v>
      </c>
      <c r="X48" s="44">
        <f>'Propylene Recycling HC'!W87*'Propylene Recycling HC'!W46-'Propylene Recycling HC'!$C$87*'Propylene Recycling HC'!$C$46</f>
        <v>2.0633690181466848</v>
      </c>
      <c r="Y48" s="44">
        <f>'Propylene Recycling HC'!X87*'Propylene Recycling HC'!X46-'Propylene Recycling HC'!$C$87*'Propylene Recycling HC'!$C$46</f>
        <v>2.3962565150780155</v>
      </c>
      <c r="Z48" s="44">
        <f>'Propylene Recycling HC'!Y87*'Propylene Recycling HC'!Y46-'Propylene Recycling HC'!$C$87*'Propylene Recycling HC'!$C$46</f>
        <v>2.7538142979299458</v>
      </c>
      <c r="AA48" s="44">
        <f>'Propylene Recycling HC'!Z87*'Propylene Recycling HC'!Z46-'Propylene Recycling HC'!$C$87*'Propylene Recycling HC'!$C$46</f>
        <v>3.1458626931262823</v>
      </c>
      <c r="AB48" s="44">
        <f>'Propylene Recycling HC'!AA87*'Propylene Recycling HC'!AA46-'Propylene Recycling HC'!$C$87*'Propylene Recycling HC'!$C$46</f>
        <v>3.5660205531720259</v>
      </c>
      <c r="AC48" s="44">
        <f>'Propylene Recycling HC'!AB87*'Propylene Recycling HC'!AB46-'Propylene Recycling HC'!$C$87*'Propylene Recycling HC'!$C$46</f>
        <v>4.0150394666990801</v>
      </c>
      <c r="AD48" s="44">
        <f>'Propylene Recycling HC'!AC87*'Propylene Recycling HC'!AC46-'Propylene Recycling HC'!$C$87*'Propylene Recycling HC'!$C$46</f>
        <v>4.4937135762951659</v>
      </c>
      <c r="AE48" s="44">
        <f>'Propylene Recycling HC'!AD87*'Propylene Recycling HC'!AD46-'Propylene Recycling HC'!$C$87*'Propylene Recycling HC'!$C$46</f>
        <v>5.0028080787011389</v>
      </c>
      <c r="AF48" s="44">
        <f>'Propylene Recycling HC'!AE87*'Propylene Recycling HC'!AE46-'Propylene Recycling HC'!$C$87*'Propylene Recycling HC'!$C$46</f>
        <v>5.5430886399675021</v>
      </c>
      <c r="AG48" s="44">
        <f>'Propylene Recycling HC'!AF87*'Propylene Recycling HC'!AF46-'Propylene Recycling HC'!$C$87*'Propylene Recycling HC'!$C$46</f>
        <v>6.1153208719009449</v>
      </c>
      <c r="AH48" s="44">
        <f>'Propylene Recycling HC'!AG87*'Propylene Recycling HC'!AG46-'Propylene Recycling HC'!$C$87*'Propylene Recycling HC'!$C$46</f>
        <v>6.7202697988580073</v>
      </c>
    </row>
    <row r="49" spans="1:36" s="68" customFormat="1">
      <c r="A49" s="62"/>
      <c r="B49" s="62" t="s">
        <v>219</v>
      </c>
      <c r="C49" s="63" t="s">
        <v>153</v>
      </c>
      <c r="D49" s="64">
        <f>D47-D48</f>
        <v>17.63451512942034</v>
      </c>
      <c r="E49" s="64">
        <f t="shared" ref="E49:AH49" si="20">E47-E48</f>
        <v>17.953942591916636</v>
      </c>
      <c r="F49" s="64">
        <f t="shared" si="20"/>
        <v>18.275010988513181</v>
      </c>
      <c r="G49" s="64">
        <f t="shared" si="20"/>
        <v>18.597631387661966</v>
      </c>
      <c r="H49" s="64">
        <f t="shared" si="20"/>
        <v>18.921775972002582</v>
      </c>
      <c r="I49" s="64">
        <f t="shared" si="20"/>
        <v>19.247483759126919</v>
      </c>
      <c r="J49" s="64">
        <f t="shared" si="20"/>
        <v>19.574445293921755</v>
      </c>
      <c r="K49" s="64">
        <f t="shared" si="20"/>
        <v>19.902544991951032</v>
      </c>
      <c r="L49" s="64">
        <f t="shared" si="20"/>
        <v>20.231674405828436</v>
      </c>
      <c r="M49" s="64">
        <f t="shared" si="20"/>
        <v>20.561733182358246</v>
      </c>
      <c r="N49" s="64">
        <f t="shared" si="20"/>
        <v>20.892630032081772</v>
      </c>
      <c r="O49" s="64">
        <f t="shared" si="20"/>
        <v>21.25223909238689</v>
      </c>
      <c r="P49" s="64">
        <f t="shared" si="20"/>
        <v>21.609515666728985</v>
      </c>
      <c r="Q49" s="64">
        <f t="shared" si="20"/>
        <v>21.96327965976522</v>
      </c>
      <c r="R49" s="64">
        <f t="shared" si="20"/>
        <v>22.315041897705061</v>
      </c>
      <c r="S49" s="64">
        <f t="shared" si="20"/>
        <v>22.665394984150449</v>
      </c>
      <c r="T49" s="64">
        <f t="shared" si="20"/>
        <v>23.012807889810432</v>
      </c>
      <c r="U49" s="64">
        <f t="shared" si="20"/>
        <v>23.357165196175483</v>
      </c>
      <c r="V49" s="64">
        <f t="shared" si="20"/>
        <v>23.698357539364725</v>
      </c>
      <c r="W49" s="64">
        <f t="shared" si="20"/>
        <v>24.036281983915906</v>
      </c>
      <c r="X49" s="64">
        <f t="shared" si="20"/>
        <v>24.370842401541694</v>
      </c>
      <c r="Y49" s="64">
        <f t="shared" si="20"/>
        <v>24.562711058596904</v>
      </c>
      <c r="Z49" s="64">
        <f t="shared" si="20"/>
        <v>24.740111651866766</v>
      </c>
      <c r="AA49" s="64">
        <f t="shared" si="20"/>
        <v>24.89341907595157</v>
      </c>
      <c r="AB49" s="64">
        <f t="shared" si="20"/>
        <v>25.029213388443033</v>
      </c>
      <c r="AC49" s="64">
        <f t="shared" si="20"/>
        <v>25.146945668888193</v>
      </c>
      <c r="AD49" s="64">
        <f t="shared" si="20"/>
        <v>25.246028271250246</v>
      </c>
      <c r="AE49" s="64">
        <f t="shared" si="20"/>
        <v>25.325906395304802</v>
      </c>
      <c r="AF49" s="64">
        <f t="shared" si="20"/>
        <v>25.38602874440469</v>
      </c>
      <c r="AG49" s="64">
        <f t="shared" si="20"/>
        <v>25.425848123306956</v>
      </c>
      <c r="AH49" s="64">
        <f t="shared" si="20"/>
        <v>25.444822047029938</v>
      </c>
    </row>
    <row r="50" spans="1:36" s="67" customFormat="1">
      <c r="A50" s="58" t="s">
        <v>221</v>
      </c>
      <c r="B50" s="58" t="s">
        <v>197</v>
      </c>
      <c r="C50" s="100" t="s">
        <v>153</v>
      </c>
      <c r="D50" s="101">
        <f>D31</f>
        <v>0</v>
      </c>
      <c r="E50" s="101">
        <f t="shared" ref="E50:AH50" si="21">E31</f>
        <v>0</v>
      </c>
      <c r="F50" s="101">
        <f t="shared" si="21"/>
        <v>0</v>
      </c>
      <c r="G50" s="101">
        <f t="shared" si="21"/>
        <v>0</v>
      </c>
      <c r="H50" s="101">
        <f t="shared" si="21"/>
        <v>0</v>
      </c>
      <c r="I50" s="101">
        <f t="shared" si="21"/>
        <v>0</v>
      </c>
      <c r="J50" s="101">
        <f t="shared" si="21"/>
        <v>0</v>
      </c>
      <c r="K50" s="101">
        <f t="shared" si="21"/>
        <v>0</v>
      </c>
      <c r="L50" s="101">
        <f t="shared" si="21"/>
        <v>0</v>
      </c>
      <c r="M50" s="101">
        <f t="shared" si="21"/>
        <v>0</v>
      </c>
      <c r="N50" s="101">
        <f t="shared" si="21"/>
        <v>0</v>
      </c>
      <c r="O50" s="101">
        <f t="shared" si="21"/>
        <v>0</v>
      </c>
      <c r="P50" s="101">
        <f t="shared" si="21"/>
        <v>0</v>
      </c>
      <c r="Q50" s="101">
        <f t="shared" si="21"/>
        <v>0</v>
      </c>
      <c r="R50" s="101">
        <f t="shared" si="21"/>
        <v>0</v>
      </c>
      <c r="S50" s="101">
        <f t="shared" si="21"/>
        <v>0</v>
      </c>
      <c r="T50" s="101">
        <f t="shared" si="21"/>
        <v>0</v>
      </c>
      <c r="U50" s="101">
        <f t="shared" si="21"/>
        <v>0</v>
      </c>
      <c r="V50" s="101">
        <f t="shared" si="21"/>
        <v>0</v>
      </c>
      <c r="W50" s="101">
        <f t="shared" si="21"/>
        <v>0</v>
      </c>
      <c r="X50" s="101">
        <f t="shared" si="21"/>
        <v>0</v>
      </c>
      <c r="Y50" s="101">
        <f t="shared" si="21"/>
        <v>0</v>
      </c>
      <c r="Z50" s="101">
        <f t="shared" si="21"/>
        <v>0</v>
      </c>
      <c r="AA50" s="101">
        <f t="shared" si="21"/>
        <v>0</v>
      </c>
      <c r="AB50" s="101">
        <f t="shared" si="21"/>
        <v>0</v>
      </c>
      <c r="AC50" s="101">
        <f t="shared" si="21"/>
        <v>0</v>
      </c>
      <c r="AD50" s="101">
        <f t="shared" si="21"/>
        <v>0</v>
      </c>
      <c r="AE50" s="101">
        <f t="shared" si="21"/>
        <v>0</v>
      </c>
      <c r="AF50" s="101">
        <f t="shared" si="21"/>
        <v>0</v>
      </c>
      <c r="AG50" s="101">
        <f t="shared" si="21"/>
        <v>0</v>
      </c>
      <c r="AH50" s="101">
        <f t="shared" si="21"/>
        <v>0</v>
      </c>
    </row>
    <row r="51" spans="1:36" outlineLevel="1">
      <c r="A51"/>
      <c r="B51" t="s">
        <v>217</v>
      </c>
      <c r="C51" s="54" t="s">
        <v>153</v>
      </c>
      <c r="D51" s="44">
        <f>0</f>
        <v>0</v>
      </c>
      <c r="E51" s="44">
        <f>'Propylene Recycling HC'!D97*'Propylene Recycling HC'!D48-'Propylene Recycling HC'!$C$97*'Propylene Recycling HC'!$C$48</f>
        <v>0</v>
      </c>
      <c r="F51" s="44">
        <f>'Propylene Recycling HC'!E97*'Propylene Recycling HC'!E48-'Propylene Recycling HC'!$C$97*'Propylene Recycling HC'!$C$48</f>
        <v>0</v>
      </c>
      <c r="G51" s="44">
        <f>'Propylene Recycling HC'!F97*'Propylene Recycling HC'!F48-'Propylene Recycling HC'!$C$97*'Propylene Recycling HC'!$C$48</f>
        <v>0</v>
      </c>
      <c r="H51" s="44">
        <f>'Propylene Recycling HC'!G97*'Propylene Recycling HC'!G48-'Propylene Recycling HC'!$C$97*'Propylene Recycling HC'!$C$48</f>
        <v>0</v>
      </c>
      <c r="I51" s="44">
        <f>'Propylene Recycling HC'!H97*'Propylene Recycling HC'!H48-'Propylene Recycling HC'!$C$97*'Propylene Recycling HC'!$C$48</f>
        <v>0</v>
      </c>
      <c r="J51" s="44">
        <f>'Propylene Recycling HC'!I97*'Propylene Recycling HC'!I48-'Propylene Recycling HC'!$C$97*'Propylene Recycling HC'!$C$48</f>
        <v>0</v>
      </c>
      <c r="K51" s="44">
        <f>'Propylene Recycling HC'!J97*'Propylene Recycling HC'!J48-'Propylene Recycling HC'!$C$97*'Propylene Recycling HC'!$C$48</f>
        <v>0</v>
      </c>
      <c r="L51" s="44">
        <f>'Propylene Recycling HC'!K97*'Propylene Recycling HC'!K48-'Propylene Recycling HC'!$C$97*'Propylene Recycling HC'!$C$48</f>
        <v>0</v>
      </c>
      <c r="M51" s="44">
        <f>'Propylene Recycling HC'!L97*'Propylene Recycling HC'!L48-'Propylene Recycling HC'!$C$97*'Propylene Recycling HC'!$C$48</f>
        <v>0</v>
      </c>
      <c r="N51" s="44">
        <f>'Propylene Recycling HC'!M97*'Propylene Recycling HC'!M48-'Propylene Recycling HC'!$C$97*'Propylene Recycling HC'!$C$48</f>
        <v>0</v>
      </c>
      <c r="O51" s="44">
        <f>'Propylene Recycling HC'!N97*'Propylene Recycling HC'!N48-'Propylene Recycling HC'!$C$97*'Propylene Recycling HC'!$C$48</f>
        <v>0</v>
      </c>
      <c r="P51" s="44">
        <f>'Propylene Recycling HC'!O97*'Propylene Recycling HC'!O48-'Propylene Recycling HC'!$C$97*'Propylene Recycling HC'!$C$48</f>
        <v>0</v>
      </c>
      <c r="Q51" s="44">
        <f>'Propylene Recycling HC'!P97*'Propylene Recycling HC'!P48-'Propylene Recycling HC'!$C$97*'Propylene Recycling HC'!$C$48</f>
        <v>0</v>
      </c>
      <c r="R51" s="44">
        <f>'Propylene Recycling HC'!Q97*'Propylene Recycling HC'!Q48-'Propylene Recycling HC'!$C$97*'Propylene Recycling HC'!$C$48</f>
        <v>0</v>
      </c>
      <c r="S51" s="44">
        <f>'Propylene Recycling HC'!R97*'Propylene Recycling HC'!R48-'Propylene Recycling HC'!$C$97*'Propylene Recycling HC'!$C$48</f>
        <v>0</v>
      </c>
      <c r="T51" s="44">
        <f>'Propylene Recycling HC'!S97*'Propylene Recycling HC'!S48-'Propylene Recycling HC'!$C$97*'Propylene Recycling HC'!$C$48</f>
        <v>0</v>
      </c>
      <c r="U51" s="44">
        <f>'Propylene Recycling HC'!T97*'Propylene Recycling HC'!T48-'Propylene Recycling HC'!$C$97*'Propylene Recycling HC'!$C$48</f>
        <v>0</v>
      </c>
      <c r="V51" s="44">
        <f>'Propylene Recycling HC'!U97*'Propylene Recycling HC'!U48-'Propylene Recycling HC'!$C$97*'Propylene Recycling HC'!$C$48</f>
        <v>0</v>
      </c>
      <c r="W51" s="44">
        <f>'Propylene Recycling HC'!V97*'Propylene Recycling HC'!V48-'Propylene Recycling HC'!$C$97*'Propylene Recycling HC'!$C$48</f>
        <v>0</v>
      </c>
      <c r="X51" s="44">
        <f>'Propylene Recycling HC'!W97*'Propylene Recycling HC'!W48-'Propylene Recycling HC'!$C$97*'Propylene Recycling HC'!$C$48</f>
        <v>0</v>
      </c>
      <c r="Y51" s="44">
        <f>'Propylene Recycling HC'!X97*'Propylene Recycling HC'!X48-'Propylene Recycling HC'!$C$97*'Propylene Recycling HC'!$C$48</f>
        <v>0</v>
      </c>
      <c r="Z51" s="44">
        <f>'Propylene Recycling HC'!Y97*'Propylene Recycling HC'!Y48-'Propylene Recycling HC'!$C$97*'Propylene Recycling HC'!$C$48</f>
        <v>0</v>
      </c>
      <c r="AA51" s="44">
        <f>'Propylene Recycling HC'!Z97*'Propylene Recycling HC'!Z48-'Propylene Recycling HC'!$C$97*'Propylene Recycling HC'!$C$48</f>
        <v>0</v>
      </c>
      <c r="AB51" s="44">
        <f>'Propylene Recycling HC'!AA97*'Propylene Recycling HC'!AA48-'Propylene Recycling HC'!$C$97*'Propylene Recycling HC'!$C$48</f>
        <v>0</v>
      </c>
      <c r="AC51" s="44">
        <f>'Propylene Recycling HC'!AB97*'Propylene Recycling HC'!AB48-'Propylene Recycling HC'!$C$97*'Propylene Recycling HC'!$C$48</f>
        <v>0</v>
      </c>
      <c r="AD51" s="44">
        <f>'Propylene Recycling HC'!AC97*'Propylene Recycling HC'!AC48-'Propylene Recycling HC'!$C$97*'Propylene Recycling HC'!$C$48</f>
        <v>0</v>
      </c>
      <c r="AE51" s="44">
        <f>'Propylene Recycling HC'!AD97*'Propylene Recycling HC'!AD48-'Propylene Recycling HC'!$C$97*'Propylene Recycling HC'!$C$48</f>
        <v>0</v>
      </c>
      <c r="AF51" s="44">
        <f>'Propylene Recycling HC'!AE97*'Propylene Recycling HC'!AE48-'Propylene Recycling HC'!$C$97*'Propylene Recycling HC'!$C$48</f>
        <v>0</v>
      </c>
      <c r="AG51" s="44">
        <f>'Propylene Recycling HC'!AF97*'Propylene Recycling HC'!AF48-'Propylene Recycling HC'!$C$97*'Propylene Recycling HC'!$C$48</f>
        <v>0</v>
      </c>
      <c r="AH51" s="44">
        <f>'Propylene Recycling HC'!AG97*'Propylene Recycling HC'!AG48-'Propylene Recycling HC'!$C$97*'Propylene Recycling HC'!$C$48</f>
        <v>0</v>
      </c>
    </row>
    <row r="52" spans="1:36" outlineLevel="1">
      <c r="A52"/>
      <c r="B52" t="s">
        <v>222</v>
      </c>
      <c r="C52" s="54" t="s">
        <v>153</v>
      </c>
      <c r="D52" s="44">
        <f>0</f>
        <v>0</v>
      </c>
      <c r="E52" s="44">
        <f>0</f>
        <v>0</v>
      </c>
      <c r="F52" s="44">
        <f>0</f>
        <v>0</v>
      </c>
      <c r="G52" s="44">
        <f>0</f>
        <v>0</v>
      </c>
      <c r="H52" s="44">
        <f>0</f>
        <v>0</v>
      </c>
      <c r="I52" s="44">
        <f>0</f>
        <v>0</v>
      </c>
      <c r="J52" s="44">
        <f>0</f>
        <v>0</v>
      </c>
      <c r="K52" s="44">
        <f>0</f>
        <v>0</v>
      </c>
      <c r="L52" s="44">
        <f>0</f>
        <v>0</v>
      </c>
      <c r="M52" s="44">
        <f>0</f>
        <v>0</v>
      </c>
      <c r="N52" s="44">
        <f>0</f>
        <v>0</v>
      </c>
      <c r="O52" s="44">
        <f>0</f>
        <v>0</v>
      </c>
      <c r="P52" s="44">
        <f>0</f>
        <v>0</v>
      </c>
      <c r="Q52" s="44">
        <f>0</f>
        <v>0</v>
      </c>
      <c r="R52" s="44">
        <f>0</f>
        <v>0</v>
      </c>
      <c r="S52" s="44">
        <f>0</f>
        <v>0</v>
      </c>
      <c r="T52" s="44">
        <f>0</f>
        <v>0</v>
      </c>
      <c r="U52" s="44">
        <f>0</f>
        <v>0</v>
      </c>
      <c r="V52" s="44">
        <f>0</f>
        <v>0</v>
      </c>
      <c r="W52" s="44">
        <f>0</f>
        <v>0</v>
      </c>
      <c r="X52" s="44">
        <f>0</f>
        <v>0</v>
      </c>
      <c r="Y52" s="44">
        <f>0</f>
        <v>0</v>
      </c>
      <c r="Z52" s="44">
        <f>0</f>
        <v>0</v>
      </c>
      <c r="AA52" s="44">
        <f>0</f>
        <v>0</v>
      </c>
      <c r="AB52" s="44">
        <f>0</f>
        <v>0</v>
      </c>
      <c r="AC52" s="44">
        <f>0</f>
        <v>0</v>
      </c>
      <c r="AD52" s="44">
        <f>0</f>
        <v>0</v>
      </c>
      <c r="AE52" s="44">
        <f>0</f>
        <v>0</v>
      </c>
      <c r="AF52" s="44">
        <f>0</f>
        <v>0</v>
      </c>
      <c r="AG52" s="44">
        <f>0</f>
        <v>0</v>
      </c>
      <c r="AH52" s="44">
        <f>0</f>
        <v>0</v>
      </c>
    </row>
    <row r="53" spans="1:36" s="68" customFormat="1">
      <c r="A53" s="62"/>
      <c r="B53" s="62" t="s">
        <v>219</v>
      </c>
      <c r="C53" s="63" t="s">
        <v>153</v>
      </c>
      <c r="D53" s="64">
        <f>D50-D51-D52</f>
        <v>0</v>
      </c>
      <c r="E53" s="64">
        <f t="shared" ref="E53:AH53" si="22">E50-E51-E52</f>
        <v>0</v>
      </c>
      <c r="F53" s="64">
        <f t="shared" si="22"/>
        <v>0</v>
      </c>
      <c r="G53" s="64">
        <f t="shared" si="22"/>
        <v>0</v>
      </c>
      <c r="H53" s="64">
        <f t="shared" si="22"/>
        <v>0</v>
      </c>
      <c r="I53" s="64">
        <f t="shared" si="22"/>
        <v>0</v>
      </c>
      <c r="J53" s="64">
        <f t="shared" si="22"/>
        <v>0</v>
      </c>
      <c r="K53" s="64">
        <f t="shared" si="22"/>
        <v>0</v>
      </c>
      <c r="L53" s="64">
        <f t="shared" si="22"/>
        <v>0</v>
      </c>
      <c r="M53" s="64">
        <f t="shared" si="22"/>
        <v>0</v>
      </c>
      <c r="N53" s="64">
        <f t="shared" si="22"/>
        <v>0</v>
      </c>
      <c r="O53" s="64">
        <f t="shared" si="22"/>
        <v>0</v>
      </c>
      <c r="P53" s="64">
        <f t="shared" si="22"/>
        <v>0</v>
      </c>
      <c r="Q53" s="64">
        <f t="shared" si="22"/>
        <v>0</v>
      </c>
      <c r="R53" s="64">
        <f t="shared" si="22"/>
        <v>0</v>
      </c>
      <c r="S53" s="64">
        <f t="shared" si="22"/>
        <v>0</v>
      </c>
      <c r="T53" s="64">
        <f t="shared" si="22"/>
        <v>0</v>
      </c>
      <c r="U53" s="64">
        <f t="shared" si="22"/>
        <v>0</v>
      </c>
      <c r="V53" s="64">
        <f t="shared" si="22"/>
        <v>0</v>
      </c>
      <c r="W53" s="64">
        <f t="shared" si="22"/>
        <v>0</v>
      </c>
      <c r="X53" s="64">
        <f t="shared" si="22"/>
        <v>0</v>
      </c>
      <c r="Y53" s="64">
        <f t="shared" si="22"/>
        <v>0</v>
      </c>
      <c r="Z53" s="64">
        <f t="shared" si="22"/>
        <v>0</v>
      </c>
      <c r="AA53" s="64">
        <f t="shared" si="22"/>
        <v>0</v>
      </c>
      <c r="AB53" s="64">
        <f t="shared" si="22"/>
        <v>0</v>
      </c>
      <c r="AC53" s="64">
        <f t="shared" si="22"/>
        <v>0</v>
      </c>
      <c r="AD53" s="64">
        <f t="shared" si="22"/>
        <v>0</v>
      </c>
      <c r="AE53" s="64">
        <f t="shared" si="22"/>
        <v>0</v>
      </c>
      <c r="AF53" s="64">
        <f t="shared" si="22"/>
        <v>0</v>
      </c>
      <c r="AG53" s="64">
        <f t="shared" si="22"/>
        <v>0</v>
      </c>
      <c r="AH53" s="64">
        <f t="shared" si="22"/>
        <v>0</v>
      </c>
    </row>
    <row r="54" spans="1:36" s="67" customFormat="1">
      <c r="A54" s="58" t="s">
        <v>223</v>
      </c>
      <c r="B54" s="58" t="s">
        <v>197</v>
      </c>
      <c r="C54" s="100" t="s">
        <v>153</v>
      </c>
      <c r="D54" s="101">
        <f>D25</f>
        <v>12.379169704702877</v>
      </c>
      <c r="E54" s="101">
        <f t="shared" ref="E54:AH54" si="23">E25</f>
        <v>12.589615589682824</v>
      </c>
      <c r="F54" s="101">
        <f t="shared" si="23"/>
        <v>12.80363905470743</v>
      </c>
      <c r="G54" s="101">
        <f t="shared" si="23"/>
        <v>13.021300918637456</v>
      </c>
      <c r="H54" s="101">
        <f t="shared" si="23"/>
        <v>13.242663034254292</v>
      </c>
      <c r="I54" s="101">
        <f t="shared" si="23"/>
        <v>13.467788305836613</v>
      </c>
      <c r="J54" s="101">
        <f t="shared" si="23"/>
        <v>13.696740707035834</v>
      </c>
      <c r="K54" s="101">
        <f t="shared" si="23"/>
        <v>13.929585299055443</v>
      </c>
      <c r="L54" s="101">
        <f t="shared" si="23"/>
        <v>14.166388249139384</v>
      </c>
      <c r="M54" s="101">
        <f t="shared" si="23"/>
        <v>14.407216849374752</v>
      </c>
      <c r="N54" s="101">
        <f t="shared" si="23"/>
        <v>14.652139535814122</v>
      </c>
      <c r="O54" s="101">
        <f t="shared" si="23"/>
        <v>14.90122590792296</v>
      </c>
      <c r="P54" s="101">
        <f t="shared" si="23"/>
        <v>15.154546748357649</v>
      </c>
      <c r="Q54" s="101">
        <f t="shared" si="23"/>
        <v>15.412174043079728</v>
      </c>
      <c r="R54" s="101">
        <f t="shared" si="23"/>
        <v>15.674181001812082</v>
      </c>
      <c r="S54" s="101">
        <f t="shared" si="23"/>
        <v>15.940642078842886</v>
      </c>
      <c r="T54" s="101">
        <f t="shared" si="23"/>
        <v>16.211632994183216</v>
      </c>
      <c r="U54" s="101">
        <f t="shared" si="23"/>
        <v>16.48723075508433</v>
      </c>
      <c r="V54" s="101">
        <f t="shared" si="23"/>
        <v>16.767513677920761</v>
      </c>
      <c r="W54" s="101">
        <f t="shared" si="23"/>
        <v>17.052561410445414</v>
      </c>
      <c r="X54" s="101">
        <f t="shared" si="23"/>
        <v>17.342454954422983</v>
      </c>
      <c r="Y54" s="101">
        <f t="shared" si="23"/>
        <v>17.637276688648171</v>
      </c>
      <c r="Z54" s="101">
        <f t="shared" si="23"/>
        <v>17.937110392355187</v>
      </c>
      <c r="AA54" s="101">
        <f t="shared" si="23"/>
        <v>18.242041269025222</v>
      </c>
      <c r="AB54" s="101">
        <f t="shared" si="23"/>
        <v>18.552155970598648</v>
      </c>
      <c r="AC54" s="101">
        <f t="shared" si="23"/>
        <v>18.867542622098824</v>
      </c>
      <c r="AD54" s="101">
        <f t="shared" si="23"/>
        <v>19.188290846674501</v>
      </c>
      <c r="AE54" s="101">
        <f t="shared" si="23"/>
        <v>19.514491791067964</v>
      </c>
      <c r="AF54" s="101">
        <f t="shared" si="23"/>
        <v>19.846238151516118</v>
      </c>
      <c r="AG54" s="101">
        <f t="shared" si="23"/>
        <v>20.183624200091892</v>
      </c>
      <c r="AH54" s="101">
        <f t="shared" si="23"/>
        <v>20.526745811493452</v>
      </c>
    </row>
    <row r="55" spans="1:36" outlineLevel="1">
      <c r="A55"/>
      <c r="B55" t="s">
        <v>217</v>
      </c>
      <c r="C55" s="54" t="s">
        <v>153</v>
      </c>
      <c r="D55" s="44">
        <f>0</f>
        <v>0</v>
      </c>
      <c r="E55" s="44">
        <f>'Propylene Recycling HC'!D111*'Propylene Recycling HC'!D47-'Propylene Recycling HC'!$C$111*'Propylene Recycling HC'!$C$47</f>
        <v>8.6642708277423087E-3</v>
      </c>
      <c r="F55" s="44">
        <f>'Propylene Recycling HC'!E111*'Propylene Recycling HC'!E47-'Propylene Recycling HC'!$C$111*'Propylene Recycling HC'!$C$47</f>
        <v>1.8391185006919643E-2</v>
      </c>
      <c r="G55" s="44">
        <f>'Propylene Recycling HC'!F111*'Propylene Recycling HC'!F47-'Propylene Recycling HC'!$C$111*'Propylene Recycling HC'!$C$47</f>
        <v>2.918218706996966E-2</v>
      </c>
      <c r="H55" s="44">
        <f>'Propylene Recycling HC'!G111*'Propylene Recycling HC'!G47-'Propylene Recycling HC'!$C$111*'Propylene Recycling HC'!$C$47</f>
        <v>4.1025316014492628E-2</v>
      </c>
      <c r="I55" s="44">
        <f>'Propylene Recycling HC'!H111*'Propylene Recycling HC'!H47-'Propylene Recycling HC'!$C$111*'Propylene Recycling HC'!$C$47</f>
        <v>5.3894591601988978E-2</v>
      </c>
      <c r="J55" s="44">
        <f>'Propylene Recycling HC'!I111*'Propylene Recycling HC'!I47-'Propylene Recycling HC'!$C$111*'Propylene Recycling HC'!$C$47</f>
        <v>6.7928942654131838E-2</v>
      </c>
      <c r="K55" s="44">
        <f>'Propylene Recycling HC'!J111*'Propylene Recycling HC'!J47-'Propylene Recycling HC'!$C$111*'Propylene Recycling HC'!$C$47</f>
        <v>8.3170251029573136E-2</v>
      </c>
      <c r="L55" s="44">
        <f>'Propylene Recycling HC'!K111*'Propylene Recycling HC'!K47-'Propylene Recycling HC'!$C$111*'Propylene Recycling HC'!$C$47</f>
        <v>9.9659410847217134E-2</v>
      </c>
      <c r="M55" s="44">
        <f>'Propylene Recycling HC'!L111*'Propylene Recycling HC'!L47-'Propylene Recycling HC'!$C$111*'Propylene Recycling HC'!$C$47</f>
        <v>0.11743616800870907</v>
      </c>
      <c r="N55" s="44">
        <f>'Propylene Recycling HC'!M111*'Propylene Recycling HC'!M47-'Propylene Recycling HC'!$C$111*'Propylene Recycling HC'!$C$47</f>
        <v>0.13653895749302175</v>
      </c>
      <c r="O55" s="44">
        <f>'Propylene Recycling HC'!N111*'Propylene Recycling HC'!N47-'Propylene Recycling HC'!$C$111*'Propylene Recycling HC'!$C$47</f>
        <v>0.1712096606040743</v>
      </c>
      <c r="P55" s="44">
        <f>'Propylene Recycling HC'!O111*'Propylene Recycling HC'!O47-'Propylene Recycling HC'!$C$111*'Propylene Recycling HC'!$C$47</f>
        <v>0.20822351011682744</v>
      </c>
      <c r="Q55" s="44">
        <f>'Propylene Recycling HC'!P111*'Propylene Recycling HC'!P47-'Propylene Recycling HC'!$C$111*'Propylene Recycling HC'!$C$47</f>
        <v>0.24747241317485957</v>
      </c>
      <c r="R55" s="44">
        <f>'Propylene Recycling HC'!Q111*'Propylene Recycling HC'!Q47-'Propylene Recycling HC'!$C$111*'Propylene Recycling HC'!$C$47</f>
        <v>0.28882258265306715</v>
      </c>
      <c r="S55" s="44">
        <f>'Propylene Recycling HC'!R111*'Propylene Recycling HC'!R47-'Propylene Recycling HC'!$C$111*'Propylene Recycling HC'!$C$47</f>
        <v>0.33211490566052143</v>
      </c>
      <c r="T55" s="44">
        <f>'Propylene Recycling HC'!S111*'Propylene Recycling HC'!S47-'Propylene Recycling HC'!$C$111*'Propylene Recycling HC'!$C$47</f>
        <v>0.37787287267110781</v>
      </c>
      <c r="U55" s="44">
        <f>'Propylene Recycling HC'!T111*'Propylene Recycling HC'!T47-'Propylene Recycling HC'!$C$111*'Propylene Recycling HC'!$C$47</f>
        <v>0.42614709294489456</v>
      </c>
      <c r="V55" s="44">
        <f>'Propylene Recycling HC'!U111*'Propylene Recycling HC'!U47-'Propylene Recycling HC'!$C$111*'Propylene Recycling HC'!$C$47</f>
        <v>0.47698778079529225</v>
      </c>
      <c r="W55" s="44">
        <f>'Propylene Recycling HC'!V111*'Propylene Recycling HC'!V47-'Propylene Recycling HC'!$C$111*'Propylene Recycling HC'!$C$47</f>
        <v>0.53044471144715744</v>
      </c>
      <c r="X55" s="44">
        <f>'Propylene Recycling HC'!W111*'Propylene Recycling HC'!W47-'Propylene Recycling HC'!$C$111*'Propylene Recycling HC'!$C$47</f>
        <v>0.58656717644544554</v>
      </c>
      <c r="Y55" s="44">
        <f>'Propylene Recycling HC'!X111*'Propylene Recycling HC'!X47-'Propylene Recycling HC'!$C$111*'Propylene Recycling HC'!$C$47</f>
        <v>0.67191247524001785</v>
      </c>
      <c r="Z55" s="44">
        <f>'Propylene Recycling HC'!Y111*'Propylene Recycling HC'!Y47-'Propylene Recycling HC'!$C$111*'Propylene Recycling HC'!$C$47</f>
        <v>0.76171387218216446</v>
      </c>
      <c r="AA55" s="44">
        <f>'Propylene Recycling HC'!Z111*'Propylene Recycling HC'!Z47-'Propylene Recycling HC'!$C$111*'Propylene Recycling HC'!$C$47</f>
        <v>0.85605553945593005</v>
      </c>
      <c r="AB55" s="44">
        <f>'Propylene Recycling HC'!AA111*'Propylene Recycling HC'!AA47-'Propylene Recycling HC'!$C$111*'Propylene Recycling HC'!$C$47</f>
        <v>0.95502094667211523</v>
      </c>
      <c r="AC55" s="44">
        <f>'Propylene Recycling HC'!AB111*'Propylene Recycling HC'!AB47-'Propylene Recycling HC'!$C$111*'Propylene Recycling HC'!$C$47</f>
        <v>1.0586927936322148</v>
      </c>
      <c r="AD55" s="44">
        <f>'Propylene Recycling HC'!AC111*'Propylene Recycling HC'!AC47-'Propylene Recycling HC'!$C$111*'Propylene Recycling HC'!$C$47</f>
        <v>1.1671641223260947</v>
      </c>
      <c r="AE55" s="44">
        <f>'Propylene Recycling HC'!AD111*'Propylene Recycling HC'!AD47-'Propylene Recycling HC'!$C$111*'Propylene Recycling HC'!$C$47</f>
        <v>1.2805191198142907</v>
      </c>
      <c r="AF55" s="44">
        <f>'Propylene Recycling HC'!AE111*'Propylene Recycling HC'!AE47-'Propylene Recycling HC'!$C$111*'Propylene Recycling HC'!$C$47</f>
        <v>1.3988412854753998</v>
      </c>
      <c r="AG55" s="44">
        <f>'Propylene Recycling HC'!AF111*'Propylene Recycling HC'!AF47-'Propylene Recycling HC'!$C$111*'Propylene Recycling HC'!$C$47</f>
        <v>1.5222133699825433</v>
      </c>
      <c r="AH55" s="44">
        <f>'Propylene Recycling HC'!AG111*'Propylene Recycling HC'!AG47-'Propylene Recycling HC'!$C$111*'Propylene Recycling HC'!$C$47</f>
        <v>1.6507173137739004</v>
      </c>
    </row>
    <row r="56" spans="1:36" outlineLevel="1">
      <c r="A56"/>
      <c r="B56" t="s">
        <v>222</v>
      </c>
      <c r="C56" s="54" t="s">
        <v>153</v>
      </c>
      <c r="D56" s="44">
        <f>0</f>
        <v>0</v>
      </c>
      <c r="E56" s="44">
        <f>'Propylene Recycling HC'!D67*'Propylene Recycling HC'!D45-'Propylene Recycling HC'!$C$67*'Propylene Recycling HC'!$C$45</f>
        <v>0.14158410775298202</v>
      </c>
      <c r="F56" s="44">
        <f>'Propylene Recycling HC'!E67*'Propylene Recycling HC'!E45-'Propylene Recycling HC'!$C$67*'Propylene Recycling HC'!$C$45</f>
        <v>0.28923309527633556</v>
      </c>
      <c r="G56" s="44">
        <f>'Propylene Recycling HC'!F67*'Propylene Recycling HC'!F45-'Propylene Recycling HC'!$C$67*'Propylene Recycling HC'!$C$45</f>
        <v>0.44235553129456662</v>
      </c>
      <c r="H56" s="44">
        <f>'Propylene Recycling HC'!G67*'Propylene Recycling HC'!G45-'Propylene Recycling HC'!$C$67*'Propylene Recycling HC'!$C$45</f>
        <v>0.60026455456231242</v>
      </c>
      <c r="I56" s="44">
        <f>'Propylene Recycling HC'!H67*'Propylene Recycling HC'!H45-'Propylene Recycling HC'!$C$67*'Propylene Recycling HC'!$C$45</f>
        <v>0.7621812680302813</v>
      </c>
      <c r="J56" s="44">
        <f>'Propylene Recycling HC'!I67*'Propylene Recycling HC'!I45-'Propylene Recycling HC'!$C$67*'Propylene Recycling HC'!$C$45</f>
        <v>0.93238855429828127</v>
      </c>
      <c r="K56" s="44">
        <f>'Propylene Recycling HC'!J67*'Propylene Recycling HC'!J45-'Propylene Recycling HC'!$C$67*'Propylene Recycling HC'!$C$45</f>
        <v>1.1110524554503549</v>
      </c>
      <c r="L56" s="44">
        <f>'Propylene Recycling HC'!K67*'Propylene Recycling HC'!K45-'Propylene Recycling HC'!$C$67*'Propylene Recycling HC'!$C$45</f>
        <v>1.2983284135251234</v>
      </c>
      <c r="M56" s="44">
        <f>'Propylene Recycling HC'!L67*'Propylene Recycling HC'!L45-'Propylene Recycling HC'!$C$67*'Propylene Recycling HC'!$C$45</f>
        <v>1.4943604108863513</v>
      </c>
      <c r="N56" s="44">
        <f>'Propylene Recycling HC'!M67*'Propylene Recycling HC'!M45-'Propylene Recycling HC'!$C$67*'Propylene Recycling HC'!$C$45</f>
        <v>1.6992801136614417</v>
      </c>
      <c r="O56" s="44">
        <f>'Propylene Recycling HC'!N67*'Propylene Recycling HC'!N45-'Propylene Recycling HC'!$C$67*'Propylene Recycling HC'!$C$45</f>
        <v>2.0186687263865082</v>
      </c>
      <c r="P56" s="44">
        <f>'Propylene Recycling HC'!O67*'Propylene Recycling HC'!O45-'Propylene Recycling HC'!$C$67*'Propylene Recycling HC'!$C$45</f>
        <v>2.3495610285859199</v>
      </c>
      <c r="Q56" s="44">
        <f>'Propylene Recycling HC'!P67*'Propylene Recycling HC'!P45-'Propylene Recycling HC'!$C$67*'Propylene Recycling HC'!$C$45</f>
        <v>2.6906875019390837</v>
      </c>
      <c r="R56" s="44">
        <f>'Propylene Recycling HC'!Q67*'Propylene Recycling HC'!Q45-'Propylene Recycling HC'!$C$67*'Propylene Recycling HC'!$C$45</f>
        <v>3.0406316709128305</v>
      </c>
      <c r="S56" s="44">
        <f>'Propylene Recycling HC'!R67*'Propylene Recycling HC'!R45-'Propylene Recycling HC'!$C$67*'Propylene Recycling HC'!$C$45</f>
        <v>3.3978381711341141</v>
      </c>
      <c r="T56" s="44">
        <f>'Propylene Recycling HC'!S67*'Propylene Recycling HC'!S45-'Propylene Recycling HC'!$C$67*'Propylene Recycling HC'!$C$45</f>
        <v>3.7700273654432692</v>
      </c>
      <c r="U56" s="44">
        <f>'Propylene Recycling HC'!T67*'Propylene Recycling HC'!T45-'Propylene Recycling HC'!$C$67*'Propylene Recycling HC'!$C$45</f>
        <v>4.1574560256252129</v>
      </c>
      <c r="V56" s="44">
        <f>'Propylene Recycling HC'!U67*'Propylene Recycling HC'!U45-'Propylene Recycling HC'!$C$67*'Propylene Recycling HC'!$C$45</f>
        <v>4.5603778158778159</v>
      </c>
      <c r="W56" s="44">
        <f>'Propylene Recycling HC'!V67*'Propylene Recycling HC'!V45-'Propylene Recycling HC'!$C$67*'Propylene Recycling HC'!$C$45</f>
        <v>4.9790430515858377</v>
      </c>
      <c r="X56" s="44">
        <f>'Propylene Recycling HC'!W67*'Propylene Recycling HC'!W45-'Propylene Recycling HC'!$C$67*'Propylene Recycling HC'!$C$45</f>
        <v>5.4136984563073227</v>
      </c>
      <c r="Y56" s="44">
        <f>'Propylene Recycling HC'!X67*'Propylene Recycling HC'!X45-'Propylene Recycling HC'!$C$67*'Propylene Recycling HC'!$C$45</f>
        <v>6.0208546271258276</v>
      </c>
      <c r="Z56" s="44">
        <f>'Propylene Recycling HC'!Y67*'Propylene Recycling HC'!Y45-'Propylene Recycling HC'!$C$67*'Propylene Recycling HC'!$C$45</f>
        <v>6.6529980651792204</v>
      </c>
      <c r="AA56" s="44">
        <f>'Propylene Recycling HC'!Z67*'Propylene Recycling HC'!Z45-'Propylene Recycling HC'!$C$67*'Propylene Recycling HC'!$C$45</f>
        <v>7.3105375200352327</v>
      </c>
      <c r="AB56" s="44">
        <f>'Propylene Recycling HC'!AA67*'Propylene Recycling HC'!AA45-'Propylene Recycling HC'!$C$67*'Propylene Recycling HC'!$C$45</f>
        <v>7.99387697887739</v>
      </c>
      <c r="AC56" s="44">
        <f>'Propylene Recycling HC'!AB67*'Propylene Recycling HC'!AB45-'Propylene Recycling HC'!$C$67*'Propylene Recycling HC'!$C$45</f>
        <v>8.703415320272633</v>
      </c>
      <c r="AD56" s="44">
        <f>'Propylene Recycling HC'!AC67*'Propylene Recycling HC'!AC45-'Propylene Recycling HC'!$C$67*'Propylene Recycling HC'!$C$45</f>
        <v>9.4396490054411224</v>
      </c>
      <c r="AE56" s="44">
        <f>'Propylene Recycling HC'!AD67*'Propylene Recycling HC'!AD45-'Propylene Recycling HC'!$C$67*'Propylene Recycling HC'!$C$45</f>
        <v>10.202987440973148</v>
      </c>
      <c r="AF56" s="44">
        <f>'Propylene Recycling HC'!AE67*'Propylene Recycling HC'!AE45-'Propylene Recycling HC'!$C$67*'Propylene Recycling HC'!$C$45</f>
        <v>10.993835469152389</v>
      </c>
      <c r="AG56" s="44">
        <f>'Propylene Recycling HC'!AF67*'Propylene Recycling HC'!AF45-'Propylene Recycling HC'!$C$67*'Propylene Recycling HC'!$C$45</f>
        <v>11.812593054163672</v>
      </c>
      <c r="AH56" s="44">
        <f>'Propylene Recycling HC'!AG67*'Propylene Recycling HC'!AG45-'Propylene Recycling HC'!$C$67*'Propylene Recycling HC'!$C$45</f>
        <v>12.659654966288976</v>
      </c>
    </row>
    <row r="57" spans="1:36" outlineLevel="1">
      <c r="A57"/>
      <c r="B57" t="s">
        <v>226</v>
      </c>
      <c r="C57" s="54" t="s">
        <v>153</v>
      </c>
      <c r="D57" s="44">
        <f>0</f>
        <v>0</v>
      </c>
      <c r="E57" s="44">
        <f>'Propylene Recycling HC'!D104*'Propylene Recycling HC'!D48-'Propylene Recycling HC'!$C$104*'Propylene Recycling HC'!$C$48</f>
        <v>0</v>
      </c>
      <c r="F57" s="44">
        <f>'Propylene Recycling HC'!E104*'Propylene Recycling HC'!E48-'Propylene Recycling HC'!$C$104*'Propylene Recycling HC'!$C$48</f>
        <v>0</v>
      </c>
      <c r="G57" s="44">
        <f>'Propylene Recycling HC'!F104*'Propylene Recycling HC'!F48-'Propylene Recycling HC'!$C$104*'Propylene Recycling HC'!$C$48</f>
        <v>0</v>
      </c>
      <c r="H57" s="44">
        <f>'Propylene Recycling HC'!G104*'Propylene Recycling HC'!G48-'Propylene Recycling HC'!$C$104*'Propylene Recycling HC'!$C$48</f>
        <v>0</v>
      </c>
      <c r="I57" s="44">
        <f>'Propylene Recycling HC'!H104*'Propylene Recycling HC'!H48-'Propylene Recycling HC'!$C$104*'Propylene Recycling HC'!$C$48</f>
        <v>0</v>
      </c>
      <c r="J57" s="44">
        <f>'Propylene Recycling HC'!I104*'Propylene Recycling HC'!I48-'Propylene Recycling HC'!$C$104*'Propylene Recycling HC'!$C$48</f>
        <v>0</v>
      </c>
      <c r="K57" s="44">
        <f>'Propylene Recycling HC'!J104*'Propylene Recycling HC'!J48-'Propylene Recycling HC'!$C$104*'Propylene Recycling HC'!$C$48</f>
        <v>0</v>
      </c>
      <c r="L57" s="44">
        <f>'Propylene Recycling HC'!K104*'Propylene Recycling HC'!K48-'Propylene Recycling HC'!$C$104*'Propylene Recycling HC'!$C$48</f>
        <v>0</v>
      </c>
      <c r="M57" s="44">
        <f>'Propylene Recycling HC'!L104*'Propylene Recycling HC'!L48-'Propylene Recycling HC'!$C$104*'Propylene Recycling HC'!$C$48</f>
        <v>0</v>
      </c>
      <c r="N57" s="44">
        <f>'Propylene Recycling HC'!M104*'Propylene Recycling HC'!M48-'Propylene Recycling HC'!$C$104*'Propylene Recycling HC'!$C$48</f>
        <v>0</v>
      </c>
      <c r="O57" s="44">
        <f>'Propylene Recycling HC'!N104*'Propylene Recycling HC'!N48-'Propylene Recycling HC'!$C$104*'Propylene Recycling HC'!$C$48</f>
        <v>0</v>
      </c>
      <c r="P57" s="44">
        <f>'Propylene Recycling HC'!O104*'Propylene Recycling HC'!O48-'Propylene Recycling HC'!$C$104*'Propylene Recycling HC'!$C$48</f>
        <v>0</v>
      </c>
      <c r="Q57" s="44">
        <f>'Propylene Recycling HC'!P104*'Propylene Recycling HC'!P48-'Propylene Recycling HC'!$C$104*'Propylene Recycling HC'!$C$48</f>
        <v>0</v>
      </c>
      <c r="R57" s="44">
        <f>'Propylene Recycling HC'!Q104*'Propylene Recycling HC'!Q48-'Propylene Recycling HC'!$C$104*'Propylene Recycling HC'!$C$48</f>
        <v>0</v>
      </c>
      <c r="S57" s="44">
        <f>'Propylene Recycling HC'!R104*'Propylene Recycling HC'!R48-'Propylene Recycling HC'!$C$104*'Propylene Recycling HC'!$C$48</f>
        <v>0</v>
      </c>
      <c r="T57" s="44">
        <f>'Propylene Recycling HC'!S104*'Propylene Recycling HC'!S48-'Propylene Recycling HC'!$C$104*'Propylene Recycling HC'!$C$48</f>
        <v>0</v>
      </c>
      <c r="U57" s="44">
        <f>'Propylene Recycling HC'!T104*'Propylene Recycling HC'!T48-'Propylene Recycling HC'!$C$104*'Propylene Recycling HC'!$C$48</f>
        <v>0</v>
      </c>
      <c r="V57" s="44">
        <f>'Propylene Recycling HC'!U104*'Propylene Recycling HC'!U48-'Propylene Recycling HC'!$C$104*'Propylene Recycling HC'!$C$48</f>
        <v>0</v>
      </c>
      <c r="W57" s="44">
        <f>'Propylene Recycling HC'!V104*'Propylene Recycling HC'!V48-'Propylene Recycling HC'!$C$104*'Propylene Recycling HC'!$C$48</f>
        <v>0</v>
      </c>
      <c r="X57" s="44">
        <f>'Propylene Recycling HC'!W104*'Propylene Recycling HC'!W48-'Propylene Recycling HC'!$C$104*'Propylene Recycling HC'!$C$48</f>
        <v>0</v>
      </c>
      <c r="Y57" s="44">
        <f>'Propylene Recycling HC'!X104*'Propylene Recycling HC'!X48-'Propylene Recycling HC'!$C$104*'Propylene Recycling HC'!$C$48</f>
        <v>0</v>
      </c>
      <c r="Z57" s="44">
        <f>'Propylene Recycling HC'!Y104*'Propylene Recycling HC'!Y48-'Propylene Recycling HC'!$C$104*'Propylene Recycling HC'!$C$48</f>
        <v>0</v>
      </c>
      <c r="AA57" s="44">
        <f>'Propylene Recycling HC'!Z104*'Propylene Recycling HC'!Z48-'Propylene Recycling HC'!$C$104*'Propylene Recycling HC'!$C$48</f>
        <v>0</v>
      </c>
      <c r="AB57" s="44">
        <f>'Propylene Recycling HC'!AA104*'Propylene Recycling HC'!AA48-'Propylene Recycling HC'!$C$104*'Propylene Recycling HC'!$C$48</f>
        <v>0</v>
      </c>
      <c r="AC57" s="44">
        <f>'Propylene Recycling HC'!AB104*'Propylene Recycling HC'!AB48-'Propylene Recycling HC'!$C$104*'Propylene Recycling HC'!$C$48</f>
        <v>0</v>
      </c>
      <c r="AD57" s="44">
        <f>'Propylene Recycling HC'!AC104*'Propylene Recycling HC'!AC48-'Propylene Recycling HC'!$C$104*'Propylene Recycling HC'!$C$48</f>
        <v>0</v>
      </c>
      <c r="AE57" s="44">
        <f>'Propylene Recycling HC'!AD104*'Propylene Recycling HC'!AD48-'Propylene Recycling HC'!$C$104*'Propylene Recycling HC'!$C$48</f>
        <v>0</v>
      </c>
      <c r="AF57" s="44">
        <f>'Propylene Recycling HC'!AE104*'Propylene Recycling HC'!AE48-'Propylene Recycling HC'!$C$104*'Propylene Recycling HC'!$C$48</f>
        <v>0</v>
      </c>
      <c r="AG57" s="44">
        <f>'Propylene Recycling HC'!AF104*'Propylene Recycling HC'!AF48-'Propylene Recycling HC'!$C$104*'Propylene Recycling HC'!$C$48</f>
        <v>0</v>
      </c>
      <c r="AH57" s="44">
        <f>'Propylene Recycling HC'!AG104*'Propylene Recycling HC'!AG48-'Propylene Recycling HC'!$C$104*'Propylene Recycling HC'!$C$48</f>
        <v>0</v>
      </c>
    </row>
    <row r="58" spans="1:36" outlineLevel="1">
      <c r="A58" s="181"/>
      <c r="B58" s="181" t="s">
        <v>218</v>
      </c>
      <c r="C58" s="176" t="s">
        <v>153</v>
      </c>
      <c r="D58" s="238">
        <f>0</f>
        <v>0</v>
      </c>
      <c r="E58" s="238">
        <f>'Propylene Recycling HC'!D89*'Propylene Recycling HC'!D46-'Propylene Recycling HC'!$C$89*'Propylene Recycling HC'!$C$46</f>
        <v>3.6732205051899919E-2</v>
      </c>
      <c r="F58" s="238">
        <f>'Propylene Recycling HC'!E89*'Propylene Recycling HC'!E46-'Propylene Recycling HC'!$C$89*'Propylene Recycling HC'!$C$46</f>
        <v>7.3086485923120587E-2</v>
      </c>
      <c r="G58" s="238">
        <f>'Propylene Recycling HC'!F89*'Propylene Recycling HC'!F46-'Propylene Recycling HC'!$C$89*'Propylene Recycling HC'!$C$46</f>
        <v>0.10868989433771881</v>
      </c>
      <c r="H58" s="238">
        <f>'Propylene Recycling HC'!G89*'Propylene Recycling HC'!G46-'Propylene Recycling HC'!$C$89*'Propylene Recycling HC'!$C$46</f>
        <v>0.14317080633662144</v>
      </c>
      <c r="I58" s="238">
        <f>'Propylene Recycling HC'!H89*'Propylene Recycling HC'!H46-'Propylene Recycling HC'!$C$89*'Propylene Recycling HC'!$C$46</f>
        <v>0.17616469990404093</v>
      </c>
      <c r="J58" s="238">
        <f>'Propylene Recycling HC'!I89*'Propylene Recycling HC'!I46-'Propylene Recycling HC'!$C$89*'Propylene Recycling HC'!$C$46</f>
        <v>0.20807657134446234</v>
      </c>
      <c r="K58" s="238">
        <f>'Propylene Recycling HC'!J89*'Propylene Recycling HC'!J46-'Propylene Recycling HC'!$C$89*'Propylene Recycling HC'!$C$46</f>
        <v>0.23876525158561018</v>
      </c>
      <c r="L58" s="238">
        <f>'Propylene Recycling HC'!K89*'Propylene Recycling HC'!K46-'Propylene Recycling HC'!$C$89*'Propylene Recycling HC'!$C$46</f>
        <v>0.26808825813427029</v>
      </c>
      <c r="M58" s="238">
        <f>'Propylene Recycling HC'!L89*'Propylene Recycling HC'!L46-'Propylene Recycling HC'!$C$89*'Propylene Recycling HC'!$C$46</f>
        <v>0.29590220779799919</v>
      </c>
      <c r="N58" s="238">
        <f>'Propylene Recycling HC'!M89*'Propylene Recycling HC'!M46-'Propylene Recycling HC'!$C$89*'Propylene Recycling HC'!$C$46</f>
        <v>0.32206324474578285</v>
      </c>
      <c r="O58" s="238">
        <f>'Propylene Recycling HC'!N89*'Propylene Recycling HC'!N46-'Propylene Recycling HC'!$C$89*'Propylene Recycling HC'!$C$46</f>
        <v>0.38185478305756887</v>
      </c>
      <c r="P58" s="238">
        <f>'Propylene Recycling HC'!O89*'Propylene Recycling HC'!O46-'Propylene Recycling HC'!$C$89*'Propylene Recycling HC'!$C$46</f>
        <v>0.43729170668977663</v>
      </c>
      <c r="Q58" s="238">
        <f>'Propylene Recycling HC'!P89*'Propylene Recycling HC'!P46-'Propylene Recycling HC'!$C$89*'Propylene Recycling HC'!$C$46</f>
        <v>0.48912911328273306</v>
      </c>
      <c r="R58" s="238">
        <f>'Propylene Recycling HC'!Q89*'Propylene Recycling HC'!Q46-'Propylene Recycling HC'!$C$89*'Propylene Recycling HC'!$C$46</f>
        <v>0.53582108959493979</v>
      </c>
      <c r="S58" s="238">
        <f>'Propylene Recycling HC'!R89*'Propylene Recycling HC'!R46-'Propylene Recycling HC'!$C$89*'Propylene Recycling HC'!$C$46</f>
        <v>0.57691798011539164</v>
      </c>
      <c r="T58" s="238">
        <f>'Propylene Recycling HC'!S89*'Propylene Recycling HC'!S46-'Propylene Recycling HC'!$C$89*'Propylene Recycling HC'!$C$46</f>
        <v>0.6133829804872335</v>
      </c>
      <c r="U58" s="238">
        <f>'Propylene Recycling HC'!T89*'Propylene Recycling HC'!T46-'Propylene Recycling HC'!$C$89*'Propylene Recycling HC'!$C$46</f>
        <v>0.64504177898602899</v>
      </c>
      <c r="V58" s="238">
        <f>'Propylene Recycling HC'!U89*'Propylene Recycling HC'!U46-'Propylene Recycling HC'!$C$89*'Propylene Recycling HC'!$C$46</f>
        <v>0.67171983904156152</v>
      </c>
      <c r="W58" s="238">
        <f>'Propylene Recycling HC'!V89*'Propylene Recycling HC'!V46-'Propylene Recycling HC'!$C$89*'Propylene Recycling HC'!$C$46</f>
        <v>0.69324253681628889</v>
      </c>
      <c r="X58" s="238">
        <f>'Propylene Recycling HC'!W89*'Propylene Recycling HC'!W46-'Propylene Recycling HC'!$C$89*'Propylene Recycling HC'!$C$46</f>
        <v>0.70943530123390985</v>
      </c>
      <c r="Y58" s="238">
        <f>'Propylene Recycling HC'!X89*'Propylene Recycling HC'!X46-'Propylene Recycling HC'!$C$89*'Propylene Recycling HC'!$C$46</f>
        <v>0.75308629032132801</v>
      </c>
      <c r="Z58" s="238">
        <f>'Propylene Recycling HC'!Y89*'Propylene Recycling HC'!Y46-'Propylene Recycling HC'!$C$89*'Propylene Recycling HC'!$C$46</f>
        <v>0.78789627888646496</v>
      </c>
      <c r="AA58" s="238">
        <f>'Propylene Recycling HC'!Z89*'Propylene Recycling HC'!Z46-'Propylene Recycling HC'!$C$89*'Propylene Recycling HC'!$C$46</f>
        <v>0.81638443496285951</v>
      </c>
      <c r="AB58" s="238">
        <f>'Propylene Recycling HC'!AA89*'Propylene Recycling HC'!AA46-'Propylene Recycling HC'!$C$89*'Propylene Recycling HC'!$C$46</f>
        <v>0.83553609963147113</v>
      </c>
      <c r="AC58" s="238">
        <f>'Propylene Recycling HC'!AB89*'Propylene Recycling HC'!AB46-'Propylene Recycling HC'!$C$89*'Propylene Recycling HC'!$C$46</f>
        <v>0.84497608666545809</v>
      </c>
      <c r="AD58" s="238">
        <f>'Propylene Recycling HC'!AC89*'Propylene Recycling HC'!AC46-'Propylene Recycling HC'!$C$89*'Propylene Recycling HC'!$C$46</f>
        <v>0.84433638097171548</v>
      </c>
      <c r="AE58" s="238">
        <f>'Propylene Recycling HC'!AD89*'Propylene Recycling HC'!AD46-'Propylene Recycling HC'!$C$89*'Propylene Recycling HC'!$C$46</f>
        <v>0.83323741766370363</v>
      </c>
      <c r="AF58" s="238">
        <f>'Propylene Recycling HC'!AE89*'Propylene Recycling HC'!AE46-'Propylene Recycling HC'!$C$89*'Propylene Recycling HC'!$C$46</f>
        <v>0.8112973713894247</v>
      </c>
      <c r="AG58" s="238">
        <f>'Propylene Recycling HC'!AF89*'Propylene Recycling HC'!AF46-'Propylene Recycling HC'!$C$89*'Propylene Recycling HC'!$C$46</f>
        <v>0.77813238956264374</v>
      </c>
      <c r="AH58" s="238">
        <f>'Propylene Recycling HC'!AG89*'Propylene Recycling HC'!AG46-'Propylene Recycling HC'!$C$89*'Propylene Recycling HC'!$C$46</f>
        <v>0.73335683136221874</v>
      </c>
    </row>
    <row r="59" spans="1:36" s="68" customFormat="1">
      <c r="A59" s="239"/>
      <c r="B59" s="239" t="s">
        <v>219</v>
      </c>
      <c r="C59" s="240" t="s">
        <v>153</v>
      </c>
      <c r="D59" s="241">
        <f>D54-D55-D56-D57-D58</f>
        <v>12.379169704702877</v>
      </c>
      <c r="E59" s="241">
        <f t="shared" ref="E59:AH59" si="24">E54-E55-E56-E57-E58</f>
        <v>12.4026350060502</v>
      </c>
      <c r="F59" s="241">
        <f t="shared" si="24"/>
        <v>12.422928288501055</v>
      </c>
      <c r="G59" s="241">
        <f t="shared" si="24"/>
        <v>12.441073305935202</v>
      </c>
      <c r="H59" s="241">
        <f t="shared" si="24"/>
        <v>12.458202357340866</v>
      </c>
      <c r="I59" s="241">
        <f t="shared" si="24"/>
        <v>12.475547746300304</v>
      </c>
      <c r="J59" s="241">
        <f t="shared" si="24"/>
        <v>12.48834663873896</v>
      </c>
      <c r="K59" s="241">
        <f t="shared" si="24"/>
        <v>12.496597340989904</v>
      </c>
      <c r="L59" s="241">
        <f t="shared" si="24"/>
        <v>12.500312166632774</v>
      </c>
      <c r="M59" s="241">
        <f t="shared" si="24"/>
        <v>12.499518062681693</v>
      </c>
      <c r="N59" s="241">
        <f t="shared" si="24"/>
        <v>12.494257219913877</v>
      </c>
      <c r="O59" s="241">
        <f t="shared" si="24"/>
        <v>12.329492737874808</v>
      </c>
      <c r="P59" s="241">
        <f t="shared" si="24"/>
        <v>12.159470502965124</v>
      </c>
      <c r="Q59" s="241">
        <f t="shared" si="24"/>
        <v>11.984885014683051</v>
      </c>
      <c r="R59" s="241">
        <f t="shared" si="24"/>
        <v>11.808905658651245</v>
      </c>
      <c r="S59" s="241">
        <f t="shared" si="24"/>
        <v>11.63377102193286</v>
      </c>
      <c r="T59" s="241">
        <f t="shared" si="24"/>
        <v>11.450349775581603</v>
      </c>
      <c r="U59" s="241">
        <f t="shared" si="24"/>
        <v>11.258585857528194</v>
      </c>
      <c r="V59" s="241">
        <f t="shared" si="24"/>
        <v>11.058428242206093</v>
      </c>
      <c r="W59" s="241">
        <f t="shared" si="24"/>
        <v>10.849831110596131</v>
      </c>
      <c r="X59" s="241">
        <f t="shared" si="24"/>
        <v>10.632754020436305</v>
      </c>
      <c r="Y59" s="241">
        <f t="shared" si="24"/>
        <v>10.191423295960998</v>
      </c>
      <c r="Z59" s="241">
        <f t="shared" si="24"/>
        <v>9.7345021761073376</v>
      </c>
      <c r="AA59" s="241">
        <f t="shared" si="24"/>
        <v>9.2590637745711994</v>
      </c>
      <c r="AB59" s="241">
        <f t="shared" si="24"/>
        <v>8.7677219454176729</v>
      </c>
      <c r="AC59" s="241">
        <f t="shared" si="24"/>
        <v>8.2604584215285186</v>
      </c>
      <c r="AD59" s="241">
        <f t="shared" si="24"/>
        <v>7.7371413379355678</v>
      </c>
      <c r="AE59" s="241">
        <f t="shared" si="24"/>
        <v>7.1977478126168233</v>
      </c>
      <c r="AF59" s="241">
        <f t="shared" si="24"/>
        <v>6.642264025498906</v>
      </c>
      <c r="AG59" s="241">
        <f t="shared" si="24"/>
        <v>6.0706853863830306</v>
      </c>
      <c r="AH59" s="241">
        <f t="shared" si="24"/>
        <v>5.4830167000683581</v>
      </c>
    </row>
    <row r="60" spans="1:36">
      <c r="A60" s="178" t="s">
        <v>225</v>
      </c>
      <c r="B60" s="242" t="s">
        <v>197</v>
      </c>
      <c r="C60" s="243" t="s">
        <v>153</v>
      </c>
      <c r="D60" s="180">
        <f>D35+D38</f>
        <v>35.064810426540291</v>
      </c>
      <c r="E60" s="180">
        <f t="shared" ref="E60:AH60" si="25">E35+E38</f>
        <v>36.116775689152504</v>
      </c>
      <c r="F60" s="180">
        <f t="shared" si="25"/>
        <v>37.194840842672889</v>
      </c>
      <c r="G60" s="180">
        <f t="shared" si="25"/>
        <v>38.299600968841681</v>
      </c>
      <c r="H60" s="180">
        <f t="shared" si="25"/>
        <v>39.431664105577326</v>
      </c>
      <c r="I60" s="180">
        <f t="shared" si="25"/>
        <v>40.591651521265369</v>
      </c>
      <c r="J60" s="180">
        <f t="shared" si="25"/>
        <v>41.559479269006808</v>
      </c>
      <c r="K60" s="180">
        <f t="shared" si="25"/>
        <v>42.548161106867823</v>
      </c>
      <c r="L60" s="180">
        <f t="shared" si="25"/>
        <v>43.558122404188012</v>
      </c>
      <c r="M60" s="180">
        <f t="shared" si="25"/>
        <v>44.589796919996559</v>
      </c>
      <c r="N60" s="180">
        <f t="shared" si="25"/>
        <v>45.643626964856836</v>
      </c>
      <c r="O60" s="180">
        <f t="shared" si="25"/>
        <v>45.513538753044301</v>
      </c>
      <c r="P60" s="180">
        <f t="shared" si="25"/>
        <v>45.373793604755676</v>
      </c>
      <c r="Q60" s="180">
        <f t="shared" si="25"/>
        <v>45.224170750896405</v>
      </c>
      <c r="R60" s="180">
        <f t="shared" si="25"/>
        <v>45.064445309997041</v>
      </c>
      <c r="S60" s="180">
        <f t="shared" si="25"/>
        <v>44.894388217210761</v>
      </c>
      <c r="T60" s="180">
        <f t="shared" si="25"/>
        <v>44.657909758188808</v>
      </c>
      <c r="U60" s="180">
        <f t="shared" si="25"/>
        <v>44.409635027587569</v>
      </c>
      <c r="V60" s="180">
        <f t="shared" si="25"/>
        <v>44.149308712963851</v>
      </c>
      <c r="W60" s="180">
        <f t="shared" si="25"/>
        <v>43.876670865120836</v>
      </c>
      <c r="X60" s="180">
        <f t="shared" si="25"/>
        <v>43.591456819224469</v>
      </c>
      <c r="Y60" s="180">
        <f t="shared" si="25"/>
        <v>43.239931957107011</v>
      </c>
      <c r="Z60" s="180">
        <f t="shared" si="25"/>
        <v>42.874376509212937</v>
      </c>
      <c r="AA60" s="180">
        <f t="shared" si="25"/>
        <v>42.494499544079559</v>
      </c>
      <c r="AB60" s="180">
        <f t="shared" si="25"/>
        <v>42.100004953666058</v>
      </c>
      <c r="AC60" s="180">
        <f t="shared" si="25"/>
        <v>41.690591366313512</v>
      </c>
      <c r="AD60" s="180">
        <f t="shared" si="25"/>
        <v>41.214681649789782</v>
      </c>
      <c r="AE60" s="180">
        <f t="shared" si="25"/>
        <v>40.722396518730974</v>
      </c>
      <c r="AF60" s="180">
        <f t="shared" si="25"/>
        <v>40.213408011445836</v>
      </c>
      <c r="AG60" s="180">
        <f t="shared" si="25"/>
        <v>39.68738242812433</v>
      </c>
      <c r="AH60" s="180">
        <f t="shared" si="25"/>
        <v>39.143980235262035</v>
      </c>
    </row>
    <row r="61" spans="1:36">
      <c r="A61" s="178"/>
      <c r="B61" s="181" t="s">
        <v>217</v>
      </c>
      <c r="C61" s="176" t="s">
        <v>153</v>
      </c>
      <c r="D61" s="238">
        <f>0</f>
        <v>0</v>
      </c>
      <c r="E61" s="238">
        <f>'Propylene Recycling HC'!D114*'Propylene Recycling HC'!D49-'Propylene Recycling HC'!$C$114*'Propylene Recycling HC'!$C$49</f>
        <v>0.14294018050629442</v>
      </c>
      <c r="F61" s="238">
        <f>'Propylene Recycling HC'!E114*'Propylene Recycling HC'!E49-'Propylene Recycling HC'!$C$114*'Propylene Recycling HC'!$C$49</f>
        <v>0.28803932040275337</v>
      </c>
      <c r="G61" s="238">
        <f>'Propylene Recycling HC'!F114*'Propylene Recycling HC'!F49-'Propylene Recycling HC'!$C$114*'Propylene Recycling HC'!$C$49</f>
        <v>0.43445206743974407</v>
      </c>
      <c r="H61" s="238">
        <f>'Propylene Recycling HC'!G114*'Propylene Recycling HC'!G49-'Propylene Recycling HC'!$C$114*'Propylene Recycling HC'!$C$49</f>
        <v>0.58128103877983217</v>
      </c>
      <c r="I61" s="238">
        <f>'Propylene Recycling HC'!H114*'Propylene Recycling HC'!H49-'Propylene Recycling HC'!$C$114*'Propylene Recycling HC'!$C$49</f>
        <v>0.72758569101816151</v>
      </c>
      <c r="J61" s="238">
        <f>'Propylene Recycling HC'!I114*'Propylene Recycling HC'!I49-'Propylene Recycling HC'!$C$114*'Propylene Recycling HC'!$C$49</f>
        <v>0.87811680778201118</v>
      </c>
      <c r="K61" s="238">
        <f>'Propylene Recycling HC'!J114*'Propylene Recycling HC'!J49-'Propylene Recycling HC'!$C$114*'Propylene Recycling HC'!$C$49</f>
        <v>1.0328314467715207</v>
      </c>
      <c r="L61" s="238">
        <f>'Propylene Recycling HC'!K114*'Propylene Recycling HC'!K49-'Propylene Recycling HC'!$C$114*'Propylene Recycling HC'!$C$49</f>
        <v>1.1916777644895056</v>
      </c>
      <c r="M61" s="238">
        <f>'Propylene Recycling HC'!L114*'Propylene Recycling HC'!L49-'Propylene Recycling HC'!$C$114*'Propylene Recycling HC'!$C$49</f>
        <v>1.3545948566029427</v>
      </c>
      <c r="N61" s="238">
        <f>'Propylene Recycling HC'!M114*'Propylene Recycling HC'!M49-'Propylene Recycling HC'!$C$114*'Propylene Recycling HC'!$C$49</f>
        <v>1.5215126186590442</v>
      </c>
      <c r="O61" s="238">
        <f>'Propylene Recycling HC'!N114*'Propylene Recycling HC'!N49-'Propylene Recycling HC'!$C$114*'Propylene Recycling HC'!$C$49</f>
        <v>1.8034026450589418</v>
      </c>
      <c r="P61" s="238">
        <f>'Propylene Recycling HC'!O114*'Propylene Recycling HC'!O49-'Propylene Recycling HC'!$C$114*'Propylene Recycling HC'!$C$49</f>
        <v>2.0872637732182167</v>
      </c>
      <c r="Q61" s="238">
        <f>'Propylene Recycling HC'!P114*'Propylene Recycling HC'!P49-'Propylene Recycling HC'!$C$114*'Propylene Recycling HC'!$C$49</f>
        <v>2.3716654118378475</v>
      </c>
      <c r="R61" s="238">
        <f>'Propylene Recycling HC'!Q114*'Propylene Recycling HC'!Q49-'Propylene Recycling HC'!$C$114*'Propylene Recycling HC'!$C$49</f>
        <v>2.6551281823986299</v>
      </c>
      <c r="S61" s="238">
        <f>'Propylene Recycling HC'!R114*'Propylene Recycling HC'!R49-'Propylene Recycling HC'!$C$114*'Propylene Recycling HC'!$C$49</f>
        <v>2.9361363644960639</v>
      </c>
      <c r="T61" s="238">
        <f>'Propylene Recycling HC'!S114*'Propylene Recycling HC'!S49-'Propylene Recycling HC'!$C$114*'Propylene Recycling HC'!$C$49</f>
        <v>3.222148948319524</v>
      </c>
      <c r="U61" s="238">
        <f>'Propylene Recycling HC'!T114*'Propylene Recycling HC'!T49-'Propylene Recycling HC'!$C$114*'Propylene Recycling HC'!$C$49</f>
        <v>3.5131569055208347</v>
      </c>
      <c r="V61" s="238">
        <f>'Propylene Recycling HC'!U114*'Propylene Recycling HC'!U49-'Propylene Recycling HC'!$C$114*'Propylene Recycling HC'!$C$49</f>
        <v>3.809148832429484</v>
      </c>
      <c r="W61" s="238">
        <f>'Propylene Recycling HC'!V114*'Propylene Recycling HC'!V49-'Propylene Recycling HC'!$C$114*'Propylene Recycling HC'!$C$49</f>
        <v>4.1101109210259521</v>
      </c>
      <c r="X61" s="238">
        <f>'Propylene Recycling HC'!W114*'Propylene Recycling HC'!W49-'Propylene Recycling HC'!$C$114*'Propylene Recycling HC'!$C$49</f>
        <v>4.4160269311269831</v>
      </c>
      <c r="Y61" s="238">
        <f>'Propylene Recycling HC'!X114*'Propylene Recycling HC'!X49-'Propylene Recycling HC'!$C$114*'Propylene Recycling HC'!$C$49</f>
        <v>4.8939325982296955</v>
      </c>
      <c r="Z61" s="238">
        <f>'Propylene Recycling HC'!Y114*'Propylene Recycling HC'!Y49-'Propylene Recycling HC'!$C$114*'Propylene Recycling HC'!$C$49</f>
        <v>5.3801895095846692</v>
      </c>
      <c r="AA61" s="238">
        <f>'Propylene Recycling HC'!Z114*'Propylene Recycling HC'!Z49-'Propylene Recycling HC'!$C$114*'Propylene Recycling HC'!$C$49</f>
        <v>5.8747848536066476</v>
      </c>
      <c r="AB61" s="238">
        <f>'Propylene Recycling HC'!AA114*'Propylene Recycling HC'!AA49-'Propylene Recycling HC'!$C$114*'Propylene Recycling HC'!$C$49</f>
        <v>6.3777022574216025</v>
      </c>
      <c r="AC61" s="238">
        <f>'Propylene Recycling HC'!AB114*'Propylene Recycling HC'!AB49-'Propylene Recycling HC'!$C$114*'Propylene Recycling HC'!$C$49</f>
        <v>6.8889217457946677</v>
      </c>
      <c r="AD61" s="238">
        <f>'Propylene Recycling HC'!AC114*'Propylene Recycling HC'!AC49-'Propylene Recycling HC'!$C$114*'Propylene Recycling HC'!$C$49</f>
        <v>7.4085065809075852</v>
      </c>
      <c r="AE61" s="238">
        <f>'Propylene Recycling HC'!AD114*'Propylene Recycling HC'!AD49-'Propylene Recycling HC'!$C$114*'Propylene Recycling HC'!$C$49</f>
        <v>7.9364445588068699</v>
      </c>
      <c r="AF61" s="238">
        <f>'Propylene Recycling HC'!AE114*'Propylene Recycling HC'!AE49-'Propylene Recycling HC'!$C$114*'Propylene Recycling HC'!$C$49</f>
        <v>8.4727202564771442</v>
      </c>
      <c r="AG61" s="238">
        <f>'Propylene Recycling HC'!AF114*'Propylene Recycling HC'!AF49-'Propylene Recycling HC'!$C$114*'Propylene Recycling HC'!$C$49</f>
        <v>9.0173149961738943</v>
      </c>
      <c r="AH61" s="238">
        <f>'Propylene Recycling HC'!AG114*'Propylene Recycling HC'!AG49-'Propylene Recycling HC'!$C$114*'Propylene Recycling HC'!$C$49</f>
        <v>9.5702068110976004</v>
      </c>
    </row>
    <row r="62" spans="1:36" outlineLevel="1">
      <c r="A62"/>
      <c r="B62" t="s">
        <v>222</v>
      </c>
      <c r="C62" s="54" t="s">
        <v>153</v>
      </c>
      <c r="D62" s="44">
        <f>0</f>
        <v>0</v>
      </c>
      <c r="E62" s="44">
        <f>'Propylene Recycling HC'!D66*'Propylene Recycling HC'!D45-'Propylene Recycling HC'!$C$66*'Propylene Recycling HC'!$C$45</f>
        <v>3.5396026938245506E-2</v>
      </c>
      <c r="F62" s="44">
        <f>'Propylene Recycling HC'!E66*'Propylene Recycling HC'!E45-'Propylene Recycling HC'!$C$66*'Propylene Recycling HC'!$C$45</f>
        <v>7.230827381908389E-2</v>
      </c>
      <c r="G62" s="44">
        <f>'Propylene Recycling HC'!F66*'Propylene Recycling HC'!F45-'Propylene Recycling HC'!$C$66*'Propylene Recycling HC'!$C$45</f>
        <v>0.11058888282364165</v>
      </c>
      <c r="H62" s="44">
        <f>'Propylene Recycling HC'!G66*'Propylene Recycling HC'!G45-'Propylene Recycling HC'!$C$66*'Propylene Recycling HC'!$C$45</f>
        <v>0.15006613864057811</v>
      </c>
      <c r="I62" s="44">
        <f>'Propylene Recycling HC'!H66*'Propylene Recycling HC'!H45-'Propylene Recycling HC'!$C$66*'Propylene Recycling HC'!$C$45</f>
        <v>0.19054531700757033</v>
      </c>
      <c r="J62" s="44">
        <f>'Propylene Recycling HC'!I66*'Propylene Recycling HC'!I45-'Propylene Recycling HC'!$C$66*'Propylene Recycling HC'!$C$45</f>
        <v>0.23309713857457032</v>
      </c>
      <c r="K62" s="44">
        <f>'Propylene Recycling HC'!J66*'Propylene Recycling HC'!J45-'Propylene Recycling HC'!$C$66*'Propylene Recycling HC'!$C$45</f>
        <v>0.27776311386258873</v>
      </c>
      <c r="L62" s="44">
        <f>'Propylene Recycling HC'!K66*'Propylene Recycling HC'!K45-'Propylene Recycling HC'!$C$66*'Propylene Recycling HC'!$C$45</f>
        <v>0.32458210338128085</v>
      </c>
      <c r="M62" s="44">
        <f>'Propylene Recycling HC'!L66*'Propylene Recycling HC'!L45-'Propylene Recycling HC'!$C$66*'Propylene Recycling HC'!$C$45</f>
        <v>0.37359010272158782</v>
      </c>
      <c r="N62" s="44">
        <f>'Propylene Recycling HC'!M66*'Propylene Recycling HC'!M45-'Propylene Recycling HC'!$C$66*'Propylene Recycling HC'!$C$45</f>
        <v>0.42482002841536043</v>
      </c>
      <c r="O62" s="44">
        <f>'Propylene Recycling HC'!N66*'Propylene Recycling HC'!N45-'Propylene Recycling HC'!$C$66*'Propylene Recycling HC'!$C$45</f>
        <v>0.50466718159662705</v>
      </c>
      <c r="P62" s="44">
        <f>'Propylene Recycling HC'!O66*'Propylene Recycling HC'!O45-'Propylene Recycling HC'!$C$66*'Propylene Recycling HC'!$C$45</f>
        <v>0.58739025714647997</v>
      </c>
      <c r="Q62" s="44">
        <f>'Propylene Recycling HC'!P66*'Propylene Recycling HC'!P45-'Propylene Recycling HC'!$C$66*'Propylene Recycling HC'!$C$45</f>
        <v>0.67267187548477092</v>
      </c>
      <c r="R62" s="44">
        <f>'Propylene Recycling HC'!Q66*'Propylene Recycling HC'!Q45-'Propylene Recycling HC'!$C$66*'Propylene Recycling HC'!$C$45</f>
        <v>0.76015791772820762</v>
      </c>
      <c r="S62" s="44">
        <f>'Propylene Recycling HC'!R66*'Propylene Recycling HC'!R45-'Propylene Recycling HC'!$C$66*'Propylene Recycling HC'!$C$45</f>
        <v>0.84945954278352853</v>
      </c>
      <c r="T62" s="44">
        <f>'Propylene Recycling HC'!S66*'Propylene Recycling HC'!S45-'Propylene Recycling HC'!$C$66*'Propylene Recycling HC'!$C$45</f>
        <v>0.9425068413608173</v>
      </c>
      <c r="U62" s="44">
        <f>'Propylene Recycling HC'!T66*'Propylene Recycling HC'!T45-'Propylene Recycling HC'!$C$66*'Propylene Recycling HC'!$C$45</f>
        <v>1.0393640064063032</v>
      </c>
      <c r="V62" s="44">
        <f>'Propylene Recycling HC'!U66*'Propylene Recycling HC'!U45-'Propylene Recycling HC'!$C$66*'Propylene Recycling HC'!$C$45</f>
        <v>1.140094453969454</v>
      </c>
      <c r="W62" s="44">
        <f>'Propylene Recycling HC'!V66*'Propylene Recycling HC'!V45-'Propylene Recycling HC'!$C$66*'Propylene Recycling HC'!$C$45</f>
        <v>1.2447607628964594</v>
      </c>
      <c r="X62" s="44">
        <f>'Propylene Recycling HC'!W66*'Propylene Recycling HC'!W45-'Propylene Recycling HC'!$C$66*'Propylene Recycling HC'!$C$45</f>
        <v>1.3534246140768307</v>
      </c>
      <c r="Y62" s="44">
        <f>'Propylene Recycling HC'!X66*'Propylene Recycling HC'!X45-'Propylene Recycling HC'!$C$66*'Propylene Recycling HC'!$C$45</f>
        <v>1.5052136567814569</v>
      </c>
      <c r="Z62" s="44">
        <f>'Propylene Recycling HC'!Y66*'Propylene Recycling HC'!Y45-'Propylene Recycling HC'!$C$66*'Propylene Recycling HC'!$C$45</f>
        <v>1.6632495162948051</v>
      </c>
      <c r="AA62" s="44">
        <f>'Propylene Recycling HC'!Z66*'Propylene Recycling HC'!Z45-'Propylene Recycling HC'!$C$66*'Propylene Recycling HC'!$C$45</f>
        <v>1.8276343800088082</v>
      </c>
      <c r="AB62" s="44">
        <f>'Propylene Recycling HC'!AA66*'Propylene Recycling HC'!AA45-'Propylene Recycling HC'!$C$66*'Propylene Recycling HC'!$C$45</f>
        <v>1.9984692447193475</v>
      </c>
      <c r="AC62" s="44">
        <f>'Propylene Recycling HC'!AB66*'Propylene Recycling HC'!AB45-'Propylene Recycling HC'!$C$66*'Propylene Recycling HC'!$C$45</f>
        <v>2.1758538300681582</v>
      </c>
      <c r="AD62" s="44">
        <f>'Propylene Recycling HC'!AC66*'Propylene Recycling HC'!AC45-'Propylene Recycling HC'!$C$66*'Propylene Recycling HC'!$C$45</f>
        <v>2.3599122513602806</v>
      </c>
      <c r="AE62" s="44">
        <f>'Propylene Recycling HC'!AD66*'Propylene Recycling HC'!AD45-'Propylene Recycling HC'!$C$66*'Propylene Recycling HC'!$C$45</f>
        <v>2.550746860243287</v>
      </c>
      <c r="AF62" s="44">
        <f>'Propylene Recycling HC'!AE66*'Propylene Recycling HC'!AE45-'Propylene Recycling HC'!$C$66*'Propylene Recycling HC'!$C$45</f>
        <v>2.7484588672880972</v>
      </c>
      <c r="AG62" s="44">
        <f>'Propylene Recycling HC'!AF66*'Propylene Recycling HC'!AF45-'Propylene Recycling HC'!$C$66*'Propylene Recycling HC'!$C$45</f>
        <v>2.9531482635409181</v>
      </c>
      <c r="AH62" s="44">
        <f>'Propylene Recycling HC'!AG66*'Propylene Recycling HC'!AG45-'Propylene Recycling HC'!$C$66*'Propylene Recycling HC'!$C$45</f>
        <v>3.1649137415722439</v>
      </c>
    </row>
    <row r="63" spans="1:36" outlineLevel="1">
      <c r="A63"/>
      <c r="B63" t="s">
        <v>226</v>
      </c>
      <c r="C63" s="54" t="s">
        <v>153</v>
      </c>
      <c r="D63" s="44">
        <f>0</f>
        <v>0</v>
      </c>
      <c r="E63" s="44">
        <f>'Propylene Recycling HC'!D105*'Propylene Recycling HC'!D48-'Propylene Recycling HC'!$C$105*'Propylene Recycling HC'!$C$48</f>
        <v>0</v>
      </c>
      <c r="F63" s="44">
        <f>'Propylene Recycling HC'!E105*'Propylene Recycling HC'!E48-'Propylene Recycling HC'!$C$105*'Propylene Recycling HC'!$C$48</f>
        <v>0</v>
      </c>
      <c r="G63" s="44">
        <f>'Propylene Recycling HC'!F105*'Propylene Recycling HC'!F48-'Propylene Recycling HC'!$C$105*'Propylene Recycling HC'!$C$48</f>
        <v>0</v>
      </c>
      <c r="H63" s="44">
        <f>'Propylene Recycling HC'!G105*'Propylene Recycling HC'!G48-'Propylene Recycling HC'!$C$105*'Propylene Recycling HC'!$C$48</f>
        <v>0</v>
      </c>
      <c r="I63" s="44">
        <f>'Propylene Recycling HC'!H105*'Propylene Recycling HC'!H48-'Propylene Recycling HC'!$C$105*'Propylene Recycling HC'!$C$48</f>
        <v>0</v>
      </c>
      <c r="J63" s="44">
        <f>'Propylene Recycling HC'!I105*'Propylene Recycling HC'!I48-'Propylene Recycling HC'!$C$105*'Propylene Recycling HC'!$C$48</f>
        <v>0</v>
      </c>
      <c r="K63" s="44">
        <f>'Propylene Recycling HC'!J105*'Propylene Recycling HC'!J48-'Propylene Recycling HC'!$C$105*'Propylene Recycling HC'!$C$48</f>
        <v>0</v>
      </c>
      <c r="L63" s="44">
        <f>'Propylene Recycling HC'!K105*'Propylene Recycling HC'!K48-'Propylene Recycling HC'!$C$105*'Propylene Recycling HC'!$C$48</f>
        <v>0</v>
      </c>
      <c r="M63" s="44">
        <f>'Propylene Recycling HC'!L105*'Propylene Recycling HC'!L48-'Propylene Recycling HC'!$C$105*'Propylene Recycling HC'!$C$48</f>
        <v>0</v>
      </c>
      <c r="N63" s="44">
        <f>'Propylene Recycling HC'!M105*'Propylene Recycling HC'!M48-'Propylene Recycling HC'!$C$105*'Propylene Recycling HC'!$C$48</f>
        <v>0</v>
      </c>
      <c r="O63" s="44">
        <f>'Propylene Recycling HC'!N105*'Propylene Recycling HC'!N48-'Propylene Recycling HC'!$C$105*'Propylene Recycling HC'!$C$48</f>
        <v>0</v>
      </c>
      <c r="P63" s="44">
        <f>'Propylene Recycling HC'!O105*'Propylene Recycling HC'!O48-'Propylene Recycling HC'!$C$105*'Propylene Recycling HC'!$C$48</f>
        <v>0</v>
      </c>
      <c r="Q63" s="44">
        <f>'Propylene Recycling HC'!P105*'Propylene Recycling HC'!P48-'Propylene Recycling HC'!$C$105*'Propylene Recycling HC'!$C$48</f>
        <v>0</v>
      </c>
      <c r="R63" s="44">
        <f>'Propylene Recycling HC'!Q105*'Propylene Recycling HC'!Q48-'Propylene Recycling HC'!$C$105*'Propylene Recycling HC'!$C$48</f>
        <v>0</v>
      </c>
      <c r="S63" s="44">
        <f>'Propylene Recycling HC'!R105*'Propylene Recycling HC'!R48-'Propylene Recycling HC'!$C$105*'Propylene Recycling HC'!$C$48</f>
        <v>0</v>
      </c>
      <c r="T63" s="44">
        <f>'Propylene Recycling HC'!S105*'Propylene Recycling HC'!S48-'Propylene Recycling HC'!$C$105*'Propylene Recycling HC'!$C$48</f>
        <v>0</v>
      </c>
      <c r="U63" s="44">
        <f>'Propylene Recycling HC'!T105*'Propylene Recycling HC'!T48-'Propylene Recycling HC'!$C$105*'Propylene Recycling HC'!$C$48</f>
        <v>0</v>
      </c>
      <c r="V63" s="44">
        <f>'Propylene Recycling HC'!U105*'Propylene Recycling HC'!U48-'Propylene Recycling HC'!$C$105*'Propylene Recycling HC'!$C$48</f>
        <v>0</v>
      </c>
      <c r="W63" s="44">
        <f>'Propylene Recycling HC'!V105*'Propylene Recycling HC'!V48-'Propylene Recycling HC'!$C$105*'Propylene Recycling HC'!$C$48</f>
        <v>0</v>
      </c>
      <c r="X63" s="44">
        <f>'Propylene Recycling HC'!W105*'Propylene Recycling HC'!W48-'Propylene Recycling HC'!$C$105*'Propylene Recycling HC'!$C$48</f>
        <v>0</v>
      </c>
      <c r="Y63" s="44">
        <f>'Propylene Recycling HC'!X105*'Propylene Recycling HC'!X48-'Propylene Recycling HC'!$C$105*'Propylene Recycling HC'!$C$48</f>
        <v>0</v>
      </c>
      <c r="Z63" s="44">
        <f>'Propylene Recycling HC'!Y105*'Propylene Recycling HC'!Y48-'Propylene Recycling HC'!$C$105*'Propylene Recycling HC'!$C$48</f>
        <v>0</v>
      </c>
      <c r="AA63" s="44">
        <f>'Propylene Recycling HC'!Z105*'Propylene Recycling HC'!Z48-'Propylene Recycling HC'!$C$105*'Propylene Recycling HC'!$C$48</f>
        <v>0</v>
      </c>
      <c r="AB63" s="44">
        <f>'Propylene Recycling HC'!AA105*'Propylene Recycling HC'!AA48-'Propylene Recycling HC'!$C$105*'Propylene Recycling HC'!$C$48</f>
        <v>0</v>
      </c>
      <c r="AC63" s="44">
        <f>'Propylene Recycling HC'!AB105*'Propylene Recycling HC'!AB48-'Propylene Recycling HC'!$C$105*'Propylene Recycling HC'!$C$48</f>
        <v>0</v>
      </c>
      <c r="AD63" s="44">
        <f>'Propylene Recycling HC'!AC105*'Propylene Recycling HC'!AC48-'Propylene Recycling HC'!$C$105*'Propylene Recycling HC'!$C$48</f>
        <v>0</v>
      </c>
      <c r="AE63" s="44">
        <f>'Propylene Recycling HC'!AD105*'Propylene Recycling HC'!AD48-'Propylene Recycling HC'!$C$105*'Propylene Recycling HC'!$C$48</f>
        <v>0</v>
      </c>
      <c r="AF63" s="44">
        <f>'Propylene Recycling HC'!AE105*'Propylene Recycling HC'!AE48-'Propylene Recycling HC'!$C$105*'Propylene Recycling HC'!$C$48</f>
        <v>0</v>
      </c>
      <c r="AG63" s="44">
        <f>'Propylene Recycling HC'!AF105*'Propylene Recycling HC'!AF48-'Propylene Recycling HC'!$C$105*'Propylene Recycling HC'!$C$48</f>
        <v>0</v>
      </c>
      <c r="AH63" s="44">
        <f>'Propylene Recycling HC'!AG105*'Propylene Recycling HC'!AG48-'Propylene Recycling HC'!$C$105*'Propylene Recycling HC'!$C$48</f>
        <v>0</v>
      </c>
      <c r="AJ63" s="44"/>
    </row>
    <row r="64" spans="1:36" outlineLevel="1">
      <c r="A64" s="181"/>
      <c r="B64" s="181" t="s">
        <v>218</v>
      </c>
      <c r="C64" s="176" t="s">
        <v>153</v>
      </c>
      <c r="D64" s="238">
        <f>0</f>
        <v>0</v>
      </c>
      <c r="E64" s="238">
        <f>'Propylene Recycling HC'!D91*'Propylene Recycling HC'!D46-'Propylene Recycling HC'!$C$91*'Propylene Recycling HC'!$C$46</f>
        <v>2.5429988112853796E-2</v>
      </c>
      <c r="F64" s="238">
        <f>'Propylene Recycling HC'!E91*'Propylene Recycling HC'!E46-'Propylene Recycling HC'!$C$91*'Propylene Recycling HC'!$C$46</f>
        <v>5.0598336408314265E-2</v>
      </c>
      <c r="G64" s="238">
        <f>'Propylene Recycling HC'!F91*'Propylene Recycling HC'!F46-'Propylene Recycling HC'!$C$91*'Propylene Recycling HC'!$C$46</f>
        <v>7.5246849926113024E-2</v>
      </c>
      <c r="H64" s="238">
        <f>'Propylene Recycling HC'!G91*'Propylene Recycling HC'!G46-'Propylene Recycling HC'!$C$91*'Propylene Recycling HC'!$C$46</f>
        <v>9.9118250540737918E-2</v>
      </c>
      <c r="I64" s="238">
        <f>'Propylene Recycling HC'!H91*'Propylene Recycling HC'!H46-'Propylene Recycling HC'!$C$91*'Propylene Recycling HC'!$C$46</f>
        <v>0.12196017685664376</v>
      </c>
      <c r="J64" s="238">
        <f>'Propylene Recycling HC'!I91*'Propylene Recycling HC'!I46-'Propylene Recycling HC'!$C$91*'Propylene Recycling HC'!$C$46</f>
        <v>0.14405301093078163</v>
      </c>
      <c r="K64" s="238">
        <f>'Propylene Recycling HC'!J91*'Propylene Recycling HC'!J46-'Propylene Recycling HC'!$C$91*'Propylene Recycling HC'!$C$46</f>
        <v>0.16529902032849933</v>
      </c>
      <c r="L64" s="238">
        <f>'Propylene Recycling HC'!K91*'Propylene Recycling HC'!K46-'Propylene Recycling HC'!$C$91*'Propylene Recycling HC'!$C$46</f>
        <v>0.1855995633237256</v>
      </c>
      <c r="M64" s="238">
        <f>'Propylene Recycling HC'!L91*'Propylene Recycling HC'!L46-'Propylene Recycling HC'!$C$91*'Propylene Recycling HC'!$C$46</f>
        <v>0.20485537462938405</v>
      </c>
      <c r="N64" s="238">
        <f>'Propylene Recycling HC'!M91*'Propylene Recycling HC'!M46-'Propylene Recycling HC'!$C$91*'Propylene Recycling HC'!$C$46</f>
        <v>0.22296686174708044</v>
      </c>
      <c r="O64" s="238">
        <f>'Propylene Recycling HC'!N91*'Propylene Recycling HC'!N46-'Propylene Recycling HC'!$C$91*'Propylene Recycling HC'!$C$46</f>
        <v>0.26436100365523996</v>
      </c>
      <c r="P64" s="238">
        <f>'Propylene Recycling HC'!O91*'Propylene Recycling HC'!O46-'Propylene Recycling HC'!$C$91*'Propylene Recycling HC'!$C$46</f>
        <v>0.30274041232369142</v>
      </c>
      <c r="Q64" s="238">
        <f>'Propylene Recycling HC'!P91*'Propylene Recycling HC'!P46-'Propylene Recycling HC'!$C$91*'Propylene Recycling HC'!$C$46</f>
        <v>0.33862784765727671</v>
      </c>
      <c r="R64" s="238">
        <f>'Propylene Recycling HC'!Q91*'Propylene Recycling HC'!Q46-'Propylene Recycling HC'!$C$91*'Propylene Recycling HC'!$C$46</f>
        <v>0.37095306202726597</v>
      </c>
      <c r="S64" s="238">
        <f>'Propylene Recycling HC'!R91*'Propylene Recycling HC'!R46-'Propylene Recycling HC'!$C$91*'Propylene Recycling HC'!$C$46</f>
        <v>0.39940475546450194</v>
      </c>
      <c r="T64" s="238">
        <f>'Propylene Recycling HC'!S91*'Propylene Recycling HC'!S46-'Propylene Recycling HC'!$C$91*'Propylene Recycling HC'!$C$46</f>
        <v>0.42464975572193087</v>
      </c>
      <c r="U64" s="238">
        <f>'Propylene Recycling HC'!T91*'Propylene Recycling HC'!T46-'Propylene Recycling HC'!$C$91*'Propylene Recycling HC'!$C$46</f>
        <v>0.44656738545186636</v>
      </c>
      <c r="V64" s="238">
        <f>'Propylene Recycling HC'!U91*'Propylene Recycling HC'!U46-'Propylene Recycling HC'!$C$91*'Propylene Recycling HC'!$C$46</f>
        <v>0.46503681164415811</v>
      </c>
      <c r="W64" s="238">
        <f>'Propylene Recycling HC'!V91*'Propylene Recycling HC'!V46-'Propylene Recycling HC'!$C$91*'Propylene Recycling HC'!$C$46</f>
        <v>0.47993714087281536</v>
      </c>
      <c r="X64" s="238">
        <f>'Propylene Recycling HC'!W91*'Propylene Recycling HC'!W46-'Propylene Recycling HC'!$C$91*'Propylene Recycling HC'!$C$46</f>
        <v>0.49114751623886055</v>
      </c>
      <c r="Y64" s="238">
        <f>'Propylene Recycling HC'!X91*'Propylene Recycling HC'!X46-'Propylene Recycling HC'!$C$91*'Propylene Recycling HC'!$C$46</f>
        <v>0.52136743176091938</v>
      </c>
      <c r="Z64" s="238">
        <f>'Propylene Recycling HC'!Y91*'Propylene Recycling HC'!Y46-'Propylene Recycling HC'!$C$91*'Propylene Recycling HC'!$C$46</f>
        <v>0.54546665461370647</v>
      </c>
      <c r="AA64" s="238">
        <f>'Propylene Recycling HC'!Z91*'Propylene Recycling HC'!Z46-'Propylene Recycling HC'!$C$91*'Propylene Recycling HC'!$C$46</f>
        <v>0.56518922420505657</v>
      </c>
      <c r="AB64" s="238">
        <f>'Propylene Recycling HC'!AA91*'Propylene Recycling HC'!AA46-'Propylene Recycling HC'!$C$91*'Propylene Recycling HC'!$C$46</f>
        <v>0.57844806897563383</v>
      </c>
      <c r="AC64" s="238">
        <f>'Propylene Recycling HC'!AB91*'Propylene Recycling HC'!AB46-'Propylene Recycling HC'!$C$91*'Propylene Recycling HC'!$C$46</f>
        <v>0.58498344461454777</v>
      </c>
      <c r="AD64" s="238">
        <f>'Propylene Recycling HC'!AC91*'Propylene Recycling HC'!AC46-'Propylene Recycling HC'!$C$91*'Propylene Recycling HC'!$C$46</f>
        <v>0.58454057144195692</v>
      </c>
      <c r="AE64" s="238">
        <f>'Propylene Recycling HC'!AD91*'Propylene Recycling HC'!AD46-'Propylene Recycling HC'!$C$91*'Propylene Recycling HC'!$C$46</f>
        <v>0.57685667376717931</v>
      </c>
      <c r="AF64" s="238">
        <f>'Propylene Recycling HC'!AE91*'Propylene Recycling HC'!AE46-'Propylene Recycling HC'!$C$91*'Propylene Recycling HC'!$C$46</f>
        <v>0.56166741096190931</v>
      </c>
      <c r="AG64" s="238">
        <f>'Propylene Recycling HC'!AF91*'Propylene Recycling HC'!AF46-'Propylene Recycling HC'!$C$91*'Propylene Recycling HC'!$C$46</f>
        <v>0.53870703892798411</v>
      </c>
      <c r="AH64" s="238">
        <f>'Propylene Recycling HC'!AG91*'Propylene Recycling HC'!AG46-'Propylene Recycling HC'!$C$91*'Propylene Recycling HC'!$C$46</f>
        <v>0.50770857555845916</v>
      </c>
    </row>
    <row r="65" spans="1:45">
      <c r="A65" s="178"/>
      <c r="B65" s="239" t="s">
        <v>219</v>
      </c>
      <c r="C65" s="179" t="s">
        <v>153</v>
      </c>
      <c r="D65" s="241">
        <f>D60-D61-D62-D63-D64</f>
        <v>35.064810426540291</v>
      </c>
      <c r="E65" s="241">
        <f t="shared" ref="E65:AH65" si="26">E60-E61-E62-E63-E64</f>
        <v>35.913009493595112</v>
      </c>
      <c r="F65" s="241">
        <f t="shared" si="26"/>
        <v>36.78389491204274</v>
      </c>
      <c r="G65" s="241">
        <f t="shared" si="26"/>
        <v>37.679313168652186</v>
      </c>
      <c r="H65" s="241">
        <f t="shared" si="26"/>
        <v>38.601198677616175</v>
      </c>
      <c r="I65" s="241">
        <f t="shared" si="26"/>
        <v>39.551560336382991</v>
      </c>
      <c r="J65" s="241">
        <f t="shared" si="26"/>
        <v>40.304212311719439</v>
      </c>
      <c r="K65" s="241">
        <f t="shared" si="26"/>
        <v>41.072267525905218</v>
      </c>
      <c r="L65" s="241">
        <f t="shared" si="26"/>
        <v>41.856262972993498</v>
      </c>
      <c r="M65" s="241">
        <f t="shared" si="26"/>
        <v>42.656756586042647</v>
      </c>
      <c r="N65" s="241">
        <f t="shared" si="26"/>
        <v>43.474327456035347</v>
      </c>
      <c r="O65" s="241">
        <f t="shared" si="26"/>
        <v>42.941107922733494</v>
      </c>
      <c r="P65" s="241">
        <f t="shared" si="26"/>
        <v>42.396399162067283</v>
      </c>
      <c r="Q65" s="241">
        <f t="shared" si="26"/>
        <v>41.841205615916508</v>
      </c>
      <c r="R65" s="241">
        <f t="shared" si="26"/>
        <v>41.278206147842937</v>
      </c>
      <c r="S65" s="241">
        <f t="shared" si="26"/>
        <v>40.709387554466666</v>
      </c>
      <c r="T65" s="241">
        <f t="shared" si="26"/>
        <v>40.068604212786539</v>
      </c>
      <c r="U65" s="241">
        <f t="shared" si="26"/>
        <v>39.410546730208566</v>
      </c>
      <c r="V65" s="241">
        <f t="shared" si="26"/>
        <v>38.735028614920751</v>
      </c>
      <c r="W65" s="241">
        <f t="shared" si="26"/>
        <v>38.041862040325611</v>
      </c>
      <c r="X65" s="241">
        <f t="shared" si="26"/>
        <v>37.330857757781793</v>
      </c>
      <c r="Y65" s="241">
        <f t="shared" si="26"/>
        <v>36.319418270334936</v>
      </c>
      <c r="Z65" s="241">
        <f t="shared" si="26"/>
        <v>35.28547082871976</v>
      </c>
      <c r="AA65" s="241">
        <f t="shared" si="26"/>
        <v>34.226891086259045</v>
      </c>
      <c r="AB65" s="241">
        <f t="shared" si="26"/>
        <v>33.145385382549478</v>
      </c>
      <c r="AC65" s="241">
        <f t="shared" si="26"/>
        <v>32.040832345836137</v>
      </c>
      <c r="AD65" s="241">
        <f t="shared" si="26"/>
        <v>30.86172224607996</v>
      </c>
      <c r="AE65" s="241">
        <f t="shared" si="26"/>
        <v>29.658348425913641</v>
      </c>
      <c r="AF65" s="241">
        <f t="shared" si="26"/>
        <v>28.430561476718683</v>
      </c>
      <c r="AG65" s="241">
        <f t="shared" si="26"/>
        <v>27.178212129481533</v>
      </c>
      <c r="AH65" s="241">
        <f t="shared" si="26"/>
        <v>25.901151107033733</v>
      </c>
    </row>
    <row r="66" spans="1:45" s="67" customFormat="1">
      <c r="A66" s="58" t="s">
        <v>67</v>
      </c>
      <c r="B66" s="58" t="s">
        <v>227</v>
      </c>
      <c r="C66" s="100" t="s">
        <v>153</v>
      </c>
      <c r="D66" s="101">
        <f>D45+D52+D56+D57+D58+D62+D63+D64</f>
        <v>0</v>
      </c>
      <c r="E66" s="101">
        <f t="shared" ref="E66:AG66" si="27">E45+E52+E56+E57+E58+E62+E63+E64</f>
        <v>0.24761899056026584</v>
      </c>
      <c r="F66" s="101">
        <f t="shared" si="27"/>
        <v>0.50209230356295909</v>
      </c>
      <c r="G66" s="101">
        <f t="shared" si="27"/>
        <v>0.76196344169074437</v>
      </c>
      <c r="H66" s="101">
        <f t="shared" si="27"/>
        <v>1.0256591669271626</v>
      </c>
      <c r="I66" s="101">
        <f t="shared" si="27"/>
        <v>1.2915048540840843</v>
      </c>
      <c r="J66" s="101">
        <f t="shared" si="27"/>
        <v>1.5656329454583562</v>
      </c>
      <c r="K66" s="101">
        <f t="shared" si="27"/>
        <v>1.8479795146698863</v>
      </c>
      <c r="L66" s="101">
        <f t="shared" si="27"/>
        <v>2.1384648594723088</v>
      </c>
      <c r="M66" s="101">
        <f t="shared" si="27"/>
        <v>2.4369932209117837</v>
      </c>
      <c r="N66" s="101">
        <f t="shared" si="27"/>
        <v>2.7434525358186921</v>
      </c>
      <c r="O66" s="101">
        <f t="shared" si="27"/>
        <v>3.2576720292476908</v>
      </c>
      <c r="P66" s="101">
        <f t="shared" si="27"/>
        <v>3.7778968755204323</v>
      </c>
      <c r="Q66" s="101">
        <f t="shared" si="27"/>
        <v>4.3039922875829566</v>
      </c>
      <c r="R66" s="101">
        <f t="shared" si="27"/>
        <v>4.831214760938999</v>
      </c>
      <c r="S66" s="101">
        <f t="shared" si="27"/>
        <v>5.3567553679857038</v>
      </c>
      <c r="T66" s="101">
        <f t="shared" si="27"/>
        <v>5.8921168615872279</v>
      </c>
      <c r="U66" s="101">
        <f t="shared" si="27"/>
        <v>6.4372849916200341</v>
      </c>
      <c r="V66" s="101">
        <f t="shared" si="27"/>
        <v>6.9922411910810407</v>
      </c>
      <c r="W66" s="101">
        <f t="shared" si="27"/>
        <v>7.5569625391290058</v>
      </c>
      <c r="X66" s="101">
        <f t="shared" si="27"/>
        <v>8.1314217266032109</v>
      </c>
      <c r="Y66" s="101">
        <f t="shared" si="27"/>
        <v>8.9743111499098394</v>
      </c>
      <c r="Z66" s="101">
        <f t="shared" si="27"/>
        <v>9.8314327331787652</v>
      </c>
      <c r="AA66" s="101">
        <f t="shared" si="27"/>
        <v>10.708141967280309</v>
      </c>
      <c r="AB66" s="101">
        <f t="shared" si="27"/>
        <v>11.599146415195719</v>
      </c>
      <c r="AC66" s="101">
        <f t="shared" si="27"/>
        <v>12.504223163158979</v>
      </c>
      <c r="AD66" s="101">
        <f t="shared" si="27"/>
        <v>13.423285066362395</v>
      </c>
      <c r="AE66" s="101">
        <f t="shared" si="27"/>
        <v>14.356113950569711</v>
      </c>
      <c r="AF66" s="101">
        <f t="shared" si="27"/>
        <v>15.302481589112457</v>
      </c>
      <c r="AG66" s="101">
        <f t="shared" si="27"/>
        <v>16.262149759171212</v>
      </c>
      <c r="AH66" s="101">
        <f>AH45+AH52+AH56+AH57+AH58+AH62+AH63+AH64</f>
        <v>17.234870306634718</v>
      </c>
    </row>
    <row r="67" spans="1:45" s="68" customFormat="1">
      <c r="B67" s="62" t="s">
        <v>228</v>
      </c>
      <c r="C67" s="63" t="s">
        <v>153</v>
      </c>
      <c r="D67" s="64">
        <f>D44+D48+D51+D55+D61</f>
        <v>0</v>
      </c>
      <c r="E67" s="64">
        <f t="shared" ref="E67:AG67" si="28">E44+E48+E51+E55+E61</f>
        <v>0.28729705717999032</v>
      </c>
      <c r="F67" s="64">
        <f t="shared" si="28"/>
        <v>0.58986309707585693</v>
      </c>
      <c r="G67" s="64">
        <f t="shared" si="28"/>
        <v>0.90666000264404456</v>
      </c>
      <c r="H67" s="64">
        <f t="shared" si="28"/>
        <v>1.2364208045137253</v>
      </c>
      <c r="I67" s="64">
        <f t="shared" si="28"/>
        <v>1.5776529974303135</v>
      </c>
      <c r="J67" s="64">
        <f t="shared" si="28"/>
        <v>1.9386811478003965</v>
      </c>
      <c r="K67" s="64">
        <f t="shared" si="28"/>
        <v>2.3199682819887548</v>
      </c>
      <c r="L67" s="64">
        <f t="shared" si="28"/>
        <v>2.7219525844879233</v>
      </c>
      <c r="M67" s="64">
        <f t="shared" si="28"/>
        <v>3.1450451545302442</v>
      </c>
      <c r="N67" s="64">
        <f t="shared" si="28"/>
        <v>3.5896277664967142</v>
      </c>
      <c r="O67" s="64">
        <f t="shared" si="28"/>
        <v>4.3062322559823416</v>
      </c>
      <c r="P67" s="64">
        <f t="shared" si="28"/>
        <v>5.0514652194476666</v>
      </c>
      <c r="Q67" s="64">
        <f t="shared" si="28"/>
        <v>5.8240381484143988</v>
      </c>
      <c r="R67" s="64">
        <f t="shared" si="28"/>
        <v>6.6197528399863241</v>
      </c>
      <c r="S67" s="64">
        <f t="shared" si="28"/>
        <v>7.4351302457655928</v>
      </c>
      <c r="T67" s="64">
        <f t="shared" si="28"/>
        <v>8.28617185079408</v>
      </c>
      <c r="U67" s="64">
        <f t="shared" si="28"/>
        <v>9.1735067117273381</v>
      </c>
      <c r="V67" s="64">
        <f t="shared" si="28"/>
        <v>10.097756293363078</v>
      </c>
      <c r="W67" s="64">
        <f t="shared" si="28"/>
        <v>11.059533861649005</v>
      </c>
      <c r="X67" s="64">
        <f t="shared" si="28"/>
        <v>12.059443872123554</v>
      </c>
      <c r="Y67" s="64">
        <f t="shared" si="28"/>
        <v>13.584487174764629</v>
      </c>
      <c r="Z67" s="64">
        <f t="shared" si="28"/>
        <v>15.174268171365016</v>
      </c>
      <c r="AA67" s="64">
        <f t="shared" si="28"/>
        <v>16.839138201000811</v>
      </c>
      <c r="AB67" s="64">
        <f t="shared" si="28"/>
        <v>18.573237842997514</v>
      </c>
      <c r="AC67" s="64">
        <f t="shared" si="28"/>
        <v>20.377830634627628</v>
      </c>
      <c r="AD67" s="64">
        <f t="shared" si="28"/>
        <v>22.254405822230684</v>
      </c>
      <c r="AE67" s="64">
        <f t="shared" si="28"/>
        <v>24.204260643139122</v>
      </c>
      <c r="AF67" s="64">
        <f t="shared" si="28"/>
        <v>26.228684067537742</v>
      </c>
      <c r="AG67" s="64">
        <f t="shared" si="28"/>
        <v>28.328955830133669</v>
      </c>
      <c r="AH67" s="64">
        <f>AH44+AH48+AH51+AH55+AH61</f>
        <v>30.506345450647423</v>
      </c>
    </row>
    <row r="68" spans="1:45" s="104" customFormat="1">
      <c r="A68" s="102" t="s">
        <v>390</v>
      </c>
      <c r="B68" s="102"/>
      <c r="C68" s="103" t="s">
        <v>153</v>
      </c>
      <c r="D68" s="105">
        <f t="shared" ref="D68:AG68" si="29">D46+D49+D53+IF(D59&lt;0,0,D59)+D65</f>
        <v>111.92307692307692</v>
      </c>
      <c r="E68" s="105">
        <f t="shared" si="29"/>
        <v>113.64205152717602</v>
      </c>
      <c r="F68" s="105">
        <f t="shared" si="29"/>
        <v>115.38407774247614</v>
      </c>
      <c r="G68" s="105">
        <f t="shared" si="29"/>
        <v>117.1525523619236</v>
      </c>
      <c r="H68" s="105">
        <f t="shared" si="29"/>
        <v>118.95123573891345</v>
      </c>
      <c r="I68" s="105">
        <f t="shared" si="29"/>
        <v>120.78423347439579</v>
      </c>
      <c r="J68" s="105">
        <f t="shared" si="29"/>
        <v>122.41732699309325</v>
      </c>
      <c r="K68" s="105">
        <f t="shared" si="29"/>
        <v>124.06345859719282</v>
      </c>
      <c r="L68" s="105">
        <f t="shared" si="29"/>
        <v>125.72302816868046</v>
      </c>
      <c r="M68" s="105">
        <f t="shared" si="29"/>
        <v>127.39649256044714</v>
      </c>
      <c r="N68" s="105">
        <f t="shared" si="29"/>
        <v>129.08436833517203</v>
      </c>
      <c r="O68" s="105">
        <f t="shared" si="29"/>
        <v>129.19425202008588</v>
      </c>
      <c r="P68" s="105">
        <f t="shared" si="29"/>
        <v>129.28439185335924</v>
      </c>
      <c r="Q68" s="105">
        <f t="shared" si="29"/>
        <v>129.35640667922399</v>
      </c>
      <c r="R68" s="105">
        <f t="shared" si="29"/>
        <v>129.4194367971042</v>
      </c>
      <c r="S68" s="105">
        <f t="shared" si="29"/>
        <v>129.47997187166919</v>
      </c>
      <c r="T68" s="105">
        <f t="shared" si="29"/>
        <v>129.45485611067883</v>
      </c>
      <c r="U68" s="105">
        <f t="shared" si="29"/>
        <v>129.39854549747139</v>
      </c>
      <c r="V68" s="105">
        <f t="shared" si="29"/>
        <v>129.31063518317671</v>
      </c>
      <c r="W68" s="105">
        <f t="shared" si="29"/>
        <v>129.19073603426193</v>
      </c>
      <c r="X68" s="105">
        <f t="shared" si="29"/>
        <v>129.03847533527156</v>
      </c>
      <c r="Y68" s="105">
        <f t="shared" si="29"/>
        <v>128.00465268378738</v>
      </c>
      <c r="Z68" s="105">
        <f t="shared" si="29"/>
        <v>126.90516858289928</v>
      </c>
      <c r="AA68" s="105">
        <f t="shared" si="29"/>
        <v>125.72447544288482</v>
      </c>
      <c r="AB68" s="105">
        <f t="shared" si="29"/>
        <v>124.47388669907561</v>
      </c>
      <c r="AC68" s="105">
        <f t="shared" si="29"/>
        <v>123.15252568288152</v>
      </c>
      <c r="AD68" s="105">
        <f t="shared" si="29"/>
        <v>121.70788625707851</v>
      </c>
      <c r="AE68" s="105">
        <f t="shared" si="29"/>
        <v>120.18949107098121</v>
      </c>
      <c r="AF68" s="105">
        <f t="shared" si="29"/>
        <v>118.59644045190149</v>
      </c>
      <c r="AG68" s="105">
        <f t="shared" si="29"/>
        <v>116.92785639119384</v>
      </c>
      <c r="AH68" s="105">
        <f>AH46+AH49+AH53+AH59+AH65</f>
        <v>115.18288350143496</v>
      </c>
      <c r="AI68" s="641">
        <f>AH68-AH42</f>
        <v>-47.741215757282134</v>
      </c>
      <c r="AJ68" s="104" t="s">
        <v>385</v>
      </c>
    </row>
    <row r="69" spans="1:45">
      <c r="A69" s="1" t="s">
        <v>230</v>
      </c>
      <c r="C69" s="59" t="s">
        <v>153</v>
      </c>
      <c r="D69" s="66">
        <f>'Propylene Recycling HC'!C204</f>
        <v>0</v>
      </c>
      <c r="E69" s="66">
        <f>'Propylene Recycling HC'!D204</f>
        <v>0</v>
      </c>
      <c r="F69" s="66">
        <f>'Propylene Recycling HC'!E204</f>
        <v>0</v>
      </c>
      <c r="G69" s="66">
        <f>'Propylene Recycling HC'!F204</f>
        <v>0</v>
      </c>
      <c r="H69" s="66">
        <f>'Propylene Recycling HC'!G204</f>
        <v>0</v>
      </c>
      <c r="I69" s="66">
        <f>'Propylene Recycling HC'!H204</f>
        <v>0</v>
      </c>
      <c r="J69" s="66">
        <f>'Propylene Recycling HC'!I204</f>
        <v>0</v>
      </c>
      <c r="K69" s="66">
        <f>'Propylene Recycling HC'!J204</f>
        <v>0</v>
      </c>
      <c r="L69" s="66">
        <f>'Propylene Recycling HC'!K204</f>
        <v>0</v>
      </c>
      <c r="M69" s="66">
        <f>'Propylene Recycling HC'!L204</f>
        <v>0</v>
      </c>
      <c r="N69" s="66">
        <f>'Propylene Recycling HC'!M204</f>
        <v>0</v>
      </c>
      <c r="O69" s="66">
        <f>'Propylene Recycling HC'!N204</f>
        <v>0</v>
      </c>
      <c r="P69" s="66">
        <f>'Propylene Recycling HC'!O204</f>
        <v>0</v>
      </c>
      <c r="Q69" s="66">
        <f>'Propylene Recycling HC'!P204</f>
        <v>0</v>
      </c>
      <c r="R69" s="66">
        <f>'Propylene Recycling HC'!Q204</f>
        <v>0</v>
      </c>
      <c r="S69" s="66">
        <f>'Propylene Recycling HC'!R204</f>
        <v>0</v>
      </c>
      <c r="T69" s="66">
        <f>'Propylene Recycling HC'!S204</f>
        <v>0</v>
      </c>
      <c r="U69" s="66">
        <f>'Propylene Recycling HC'!T204</f>
        <v>0</v>
      </c>
      <c r="V69" s="66">
        <f>'Propylene Recycling HC'!U204</f>
        <v>0</v>
      </c>
      <c r="W69" s="66">
        <f>'Propylene Recycling HC'!V204</f>
        <v>0</v>
      </c>
      <c r="X69" s="66">
        <f>'Propylene Recycling HC'!W204</f>
        <v>0</v>
      </c>
      <c r="Y69" s="66">
        <f>'Propylene Recycling HC'!X204</f>
        <v>0</v>
      </c>
      <c r="Z69" s="66">
        <f>'Propylene Recycling HC'!Y204</f>
        <v>0</v>
      </c>
      <c r="AA69" s="66">
        <f>'Propylene Recycling HC'!Z204</f>
        <v>0</v>
      </c>
      <c r="AB69" s="66">
        <f>'Propylene Recycling HC'!AA204</f>
        <v>0</v>
      </c>
      <c r="AC69" s="66">
        <f>'Propylene Recycling HC'!AB204</f>
        <v>0</v>
      </c>
      <c r="AD69" s="66">
        <f>'Propylene Recycling HC'!AC204</f>
        <v>0</v>
      </c>
      <c r="AE69" s="66">
        <f>'Propylene Recycling HC'!AD204</f>
        <v>0</v>
      </c>
      <c r="AF69" s="66">
        <f>'Propylene Recycling HC'!AE204</f>
        <v>0</v>
      </c>
      <c r="AG69" s="66">
        <f>'Propylene Recycling HC'!AF204</f>
        <v>0</v>
      </c>
      <c r="AH69" s="66">
        <f>'Propylene Recycling HC'!AG204</f>
        <v>0</v>
      </c>
    </row>
    <row r="70" spans="1:45">
      <c r="A70" s="1" t="s">
        <v>231</v>
      </c>
      <c r="C70" s="283" t="s">
        <v>153</v>
      </c>
      <c r="D70" s="66">
        <f>'Propylene Recycling HC'!C206</f>
        <v>4.0207245589958333E-5</v>
      </c>
      <c r="E70" s="66">
        <f>'Propylene Recycling HC'!D206</f>
        <v>8.7057284098698075E-5</v>
      </c>
      <c r="F70" s="66">
        <f>'Propylene Recycling HC'!E206</f>
        <v>1.8702116300666442E-4</v>
      </c>
      <c r="G70" s="66">
        <f>'Propylene Recycling HC'!F206</f>
        <v>3.984582805113189E-4</v>
      </c>
      <c r="H70" s="66">
        <f>'Propylene Recycling HC'!G206</f>
        <v>8.4132689793983988E-4</v>
      </c>
      <c r="I70" s="66">
        <f>'Propylene Recycling HC'!H206</f>
        <v>1.7584889720440452E-3</v>
      </c>
      <c r="J70" s="66">
        <f>'Propylene Recycling HC'!I206</f>
        <v>3.6400827812226337E-3</v>
      </c>
      <c r="K70" s="66">
        <f>'Propylene Recycling HC'!J206</f>
        <v>7.4446261077093694E-3</v>
      </c>
      <c r="L70" s="66">
        <f>'Propylene Recycling HC'!K206</f>
        <v>1.4993986401542385E-2</v>
      </c>
      <c r="M70" s="66">
        <f>'Propylene Recycling HC'!L206</f>
        <v>2.9611548763225127E-2</v>
      </c>
      <c r="N70" s="66">
        <f>'Propylene Recycling HC'!M206</f>
        <v>5.7275834838528515E-2</v>
      </c>
      <c r="O70" s="66">
        <f>'Propylene Recycling HC'!N206</f>
        <v>0.10373063115087679</v>
      </c>
      <c r="P70" s="66">
        <f>'Propylene Recycling HC'!O206</f>
        <v>0.18123627383108074</v>
      </c>
      <c r="Q70" s="66">
        <f>'Propylene Recycling HC'!P206</f>
        <v>0.30190972497092117</v>
      </c>
      <c r="R70" s="66">
        <f>'Propylene Recycling HC'!Q206</f>
        <v>0.47617447075679287</v>
      </c>
      <c r="S70" s="66">
        <f>'Propylene Recycling HC'!R206</f>
        <v>0.70797354370876719</v>
      </c>
      <c r="T70" s="66">
        <f>'Propylene Recycling HC'!S206</f>
        <v>0.99179042427298758</v>
      </c>
      <c r="U70" s="66">
        <f>'Propylene Recycling HC'!T206</f>
        <v>1.3117908799544888</v>
      </c>
      <c r="V70" s="66">
        <f>'Propylene Recycling HC'!U206</f>
        <v>1.646081952719455</v>
      </c>
      <c r="W70" s="66">
        <f>'Propylene Recycling HC'!V206</f>
        <v>1.9733124020833861</v>
      </c>
      <c r="X70" s="66">
        <f>'Propylene Recycling HC'!W206</f>
        <v>2.2778799241620891</v>
      </c>
      <c r="Y70" s="66">
        <f>'Propylene Recycling HC'!X206</f>
        <v>2.4655516032058942</v>
      </c>
      <c r="Z70" s="66">
        <f>'Propylene Recycling HC'!Y206</f>
        <v>2.6037358581040744</v>
      </c>
      <c r="AA70" s="66">
        <f>'Propylene Recycling HC'!Z206</f>
        <v>2.7003645837782515</v>
      </c>
      <c r="AB70" s="66">
        <f>'Propylene Recycling HC'!AA206</f>
        <v>2.7658316620678085</v>
      </c>
      <c r="AC70" s="66">
        <f>'Propylene Recycling HC'!AB206</f>
        <v>2.8130418952727707</v>
      </c>
      <c r="AD70" s="66">
        <f>'Propylene Recycling HC'!AC206</f>
        <v>2.8556840182080134</v>
      </c>
      <c r="AE70" s="66">
        <f>'Propylene Recycling HC'!AD206</f>
        <v>2.9060949895607964</v>
      </c>
      <c r="AF70" s="66">
        <f>'Propylene Recycling HC'!AE206</f>
        <v>2.9716360652350504</v>
      </c>
      <c r="AG70" s="66">
        <f>'Propylene Recycling HC'!AF206</f>
        <v>3.1612227754960314</v>
      </c>
      <c r="AH70" s="66">
        <f>'Propylene Recycling HC'!AG206</f>
        <v>3.6183478371990563</v>
      </c>
    </row>
    <row r="71" spans="1:45" s="104" customFormat="1">
      <c r="A71" s="102" t="s">
        <v>391</v>
      </c>
      <c r="B71" s="102"/>
      <c r="C71" s="103" t="s">
        <v>153</v>
      </c>
      <c r="D71" s="105">
        <f>D68-D69-D70</f>
        <v>111.92303671583133</v>
      </c>
      <c r="E71" s="105">
        <f t="shared" ref="E71:AH71" si="30">E68-E69-E70</f>
        <v>113.64196446989192</v>
      </c>
      <c r="F71" s="105">
        <f t="shared" si="30"/>
        <v>115.38389072131314</v>
      </c>
      <c r="G71" s="105">
        <f t="shared" si="30"/>
        <v>117.15215390364308</v>
      </c>
      <c r="H71" s="105">
        <f t="shared" si="30"/>
        <v>118.95039441201551</v>
      </c>
      <c r="I71" s="105">
        <f t="shared" si="30"/>
        <v>120.78247498542375</v>
      </c>
      <c r="J71" s="105">
        <f t="shared" si="30"/>
        <v>122.41368691031204</v>
      </c>
      <c r="K71" s="105">
        <f t="shared" si="30"/>
        <v>124.05601397108511</v>
      </c>
      <c r="L71" s="105">
        <f t="shared" si="30"/>
        <v>125.70803418227891</v>
      </c>
      <c r="M71" s="105">
        <f t="shared" si="30"/>
        <v>127.36688101168392</v>
      </c>
      <c r="N71" s="105">
        <f t="shared" si="30"/>
        <v>129.02709250033351</v>
      </c>
      <c r="O71" s="105">
        <f t="shared" si="30"/>
        <v>129.090521388935</v>
      </c>
      <c r="P71" s="105">
        <f t="shared" si="30"/>
        <v>129.10315557952816</v>
      </c>
      <c r="Q71" s="105">
        <f t="shared" si="30"/>
        <v>129.05449695425307</v>
      </c>
      <c r="R71" s="105">
        <f t="shared" si="30"/>
        <v>128.94326232634739</v>
      </c>
      <c r="S71" s="105">
        <f t="shared" si="30"/>
        <v>128.77199832796043</v>
      </c>
      <c r="T71" s="105">
        <f t="shared" si="30"/>
        <v>128.46306568640586</v>
      </c>
      <c r="U71" s="105">
        <f t="shared" si="30"/>
        <v>128.0867546175169</v>
      </c>
      <c r="V71" s="105">
        <f t="shared" si="30"/>
        <v>127.66455323045726</v>
      </c>
      <c r="W71" s="105">
        <f t="shared" si="30"/>
        <v>127.21742363217855</v>
      </c>
      <c r="X71" s="105">
        <f t="shared" si="30"/>
        <v>126.76059541110946</v>
      </c>
      <c r="Y71" s="105">
        <f t="shared" si="30"/>
        <v>125.53910108058149</v>
      </c>
      <c r="Z71" s="105">
        <f t="shared" si="30"/>
        <v>124.30143272479521</v>
      </c>
      <c r="AA71" s="105">
        <f t="shared" si="30"/>
        <v>123.02411085910657</v>
      </c>
      <c r="AB71" s="105">
        <f t="shared" si="30"/>
        <v>121.7080550370078</v>
      </c>
      <c r="AC71" s="105">
        <f t="shared" si="30"/>
        <v>120.33948378760874</v>
      </c>
      <c r="AD71" s="105">
        <f t="shared" si="30"/>
        <v>118.8522022388705</v>
      </c>
      <c r="AE71" s="105">
        <f t="shared" si="30"/>
        <v>117.28339608142041</v>
      </c>
      <c r="AF71" s="105">
        <f t="shared" si="30"/>
        <v>115.62480438666644</v>
      </c>
      <c r="AG71" s="105">
        <f t="shared" si="30"/>
        <v>113.76663361569781</v>
      </c>
      <c r="AH71" s="105">
        <f t="shared" si="30"/>
        <v>111.5645356642359</v>
      </c>
    </row>
    <row r="72" spans="1:45" s="426" customFormat="1">
      <c r="A72" s="425" t="s">
        <v>233</v>
      </c>
      <c r="C72" s="429" t="s">
        <v>153</v>
      </c>
      <c r="D72" s="430">
        <f>'Propylene Recycling HC'!C213</f>
        <v>9.9134783941819578</v>
      </c>
      <c r="E72" s="430">
        <f>'Propylene Recycling HC'!D213</f>
        <v>10.758641373449692</v>
      </c>
      <c r="F72" s="430">
        <f>'Propylene Recycling HC'!E213</f>
        <v>11.614396811232885</v>
      </c>
      <c r="G72" s="430">
        <f>'Propylene Recycling HC'!F213</f>
        <v>12.475259905069557</v>
      </c>
      <c r="H72" s="430">
        <f>'Propylene Recycling HC'!G213</f>
        <v>13.335398940664007</v>
      </c>
      <c r="I72" s="430">
        <f>'Propylene Recycling HC'!H213</f>
        <v>14.188635891959731</v>
      </c>
      <c r="J72" s="430">
        <f>'Propylene Recycling HC'!I213</f>
        <v>15.060820468887638</v>
      </c>
      <c r="K72" s="430">
        <f>'Propylene Recycling HC'!J213</f>
        <v>15.950329349900159</v>
      </c>
      <c r="L72" s="430">
        <f>'Propylene Recycling HC'!K213</f>
        <v>16.854616161541347</v>
      </c>
      <c r="M72" s="430">
        <f>'Propylene Recycling HC'!L213</f>
        <v>17.769573436468637</v>
      </c>
      <c r="N72" s="430">
        <f>'Propylene Recycling HC'!M213</f>
        <v>18.68837930969244</v>
      </c>
      <c r="O72" s="430">
        <f>'Propylene Recycling HC'!N213</f>
        <v>19.108971812613266</v>
      </c>
      <c r="P72" s="430">
        <f>'Propylene Recycling HC'!O213</f>
        <v>19.45586951103806</v>
      </c>
      <c r="Q72" s="430">
        <f>'Propylene Recycling HC'!P213</f>
        <v>19.717672226665417</v>
      </c>
      <c r="R72" s="430">
        <f>'Propylene Recycling HC'!Q213</f>
        <v>19.876932213441926</v>
      </c>
      <c r="S72" s="430">
        <f>'Propylene Recycling HC'!R213</f>
        <v>19.927067504535845</v>
      </c>
      <c r="T72" s="430">
        <f>'Propylene Recycling HC'!S213</f>
        <v>19.908889262445978</v>
      </c>
      <c r="U72" s="430">
        <f>'Propylene Recycling HC'!T213</f>
        <v>19.837529828107659</v>
      </c>
      <c r="V72" s="430">
        <f>'Propylene Recycling HC'!U213</f>
        <v>19.73417518895878</v>
      </c>
      <c r="W72" s="430">
        <f>'Propylene Recycling HC'!V213</f>
        <v>19.619464967919942</v>
      </c>
      <c r="X72" s="430">
        <f>'Propylene Recycling HC'!W213</f>
        <v>19.508285648733839</v>
      </c>
      <c r="Y72" s="430">
        <f>'Propylene Recycling HC'!X213</f>
        <v>18.749555890938574</v>
      </c>
      <c r="Z72" s="430">
        <f>'Propylene Recycling HC'!Y213</f>
        <v>17.990348065714926</v>
      </c>
      <c r="AA72" s="430">
        <f>'Propylene Recycling HC'!Z213</f>
        <v>17.224598132459356</v>
      </c>
      <c r="AB72" s="430">
        <f>'Propylene Recycling HC'!AA213</f>
        <v>16.436483040505035</v>
      </c>
      <c r="AC72" s="430">
        <f>'Propylene Recycling HC'!AB213</f>
        <v>15.611924331048844</v>
      </c>
      <c r="AD72" s="430">
        <f>'Propylene Recycling HC'!AC213</f>
        <v>14.736230660345537</v>
      </c>
      <c r="AE72" s="430">
        <f>'Propylene Recycling HC'!AD213</f>
        <v>13.795876682027629</v>
      </c>
      <c r="AF72" s="430">
        <f>'Propylene Recycling HC'!AE213</f>
        <v>12.782315835798055</v>
      </c>
      <c r="AG72" s="430">
        <f>'Propylene Recycling HC'!AF213</f>
        <v>12.123396792182071</v>
      </c>
      <c r="AH72" s="430">
        <f>'Propylene Recycling HC'!AG213</f>
        <v>12.21683700711101</v>
      </c>
      <c r="AI72" s="430"/>
    </row>
    <row r="73" spans="1:45" s="428" customFormat="1">
      <c r="A73" s="427" t="s">
        <v>234</v>
      </c>
      <c r="C73" s="431" t="s">
        <v>153</v>
      </c>
      <c r="D73" s="432">
        <f>'Propylene Recycling HC'!C214</f>
        <v>71.728733557018757</v>
      </c>
      <c r="E73" s="432">
        <f>'Propylene Recycling HC'!D214</f>
        <v>74.136638453750138</v>
      </c>
      <c r="F73" s="432">
        <f>'Propylene Recycling HC'!E214</f>
        <v>76.417858190507417</v>
      </c>
      <c r="G73" s="432">
        <f>'Propylene Recycling HC'!F214</f>
        <v>78.556029008919523</v>
      </c>
      <c r="H73" s="432">
        <f>'Propylene Recycling HC'!G214</f>
        <v>80.535434850335932</v>
      </c>
      <c r="I73" s="432">
        <f>'Propylene Recycling HC'!H214</f>
        <v>82.341135231239335</v>
      </c>
      <c r="J73" s="432">
        <f>'Propylene Recycling HC'!I214</f>
        <v>84.140168199643199</v>
      </c>
      <c r="K73" s="432">
        <f>'Propylene Recycling HC'!J214</f>
        <v>85.929393021190009</v>
      </c>
      <c r="L73" s="432">
        <f>'Propylene Recycling HC'!K214</f>
        <v>87.704765605734792</v>
      </c>
      <c r="M73" s="432">
        <f>'Propylene Recycling HC'!L214</f>
        <v>89.460704259617444</v>
      </c>
      <c r="N73" s="432">
        <f>'Propylene Recycling HC'!M214</f>
        <v>91.188940185206363</v>
      </c>
      <c r="O73" s="432">
        <f>'Propylene Recycling HC'!N214</f>
        <v>92.281151494103</v>
      </c>
      <c r="P73" s="432">
        <f>'Propylene Recycling HC'!O214</f>
        <v>93.157499275218953</v>
      </c>
      <c r="Q73" s="432">
        <f>'Propylene Recycling HC'!P214</f>
        <v>93.819804951171974</v>
      </c>
      <c r="R73" s="432">
        <f>'Propylene Recycling HC'!Q214</f>
        <v>94.231264258999062</v>
      </c>
      <c r="S73" s="432">
        <f>'Propylene Recycling HC'!R214</f>
        <v>94.383378686051401</v>
      </c>
      <c r="T73" s="432">
        <f>'Propylene Recycling HC'!S214</f>
        <v>94.450002029880764</v>
      </c>
      <c r="U73" s="432">
        <f>'Propylene Recycling HC'!T214</f>
        <v>94.446097559799156</v>
      </c>
      <c r="V73" s="432">
        <f>'Propylene Recycling HC'!U214</f>
        <v>94.392690898515809</v>
      </c>
      <c r="W73" s="432">
        <f>'Propylene Recycling HC'!V214</f>
        <v>94.310270229534538</v>
      </c>
      <c r="X73" s="432">
        <f>'Propylene Recycling HC'!W214</f>
        <v>94.213579735900225</v>
      </c>
      <c r="Y73" s="432">
        <f>'Propylene Recycling HC'!X214</f>
        <v>93.452227920218149</v>
      </c>
      <c r="Z73" s="432">
        <f>'Propylene Recycling HC'!Y214</f>
        <v>92.673164311173892</v>
      </c>
      <c r="AA73" s="432">
        <f>'Propylene Recycling HC'!Z214</f>
        <v>91.895489100316951</v>
      </c>
      <c r="AB73" s="432">
        <f>'Propylene Recycling HC'!AA214</f>
        <v>91.077946781873223</v>
      </c>
      <c r="AC73" s="432">
        <f>'Propylene Recycling HC'!AB214</f>
        <v>90.206344497022386</v>
      </c>
      <c r="AD73" s="432">
        <f>'Propylene Recycling HC'!AC214</f>
        <v>89.266590103588726</v>
      </c>
      <c r="AE73" s="432">
        <f>'Propylene Recycling HC'!AD214</f>
        <v>88.245060602012316</v>
      </c>
      <c r="AF73" s="432">
        <f>'Propylene Recycling HC'!AE214</f>
        <v>87.133120106531564</v>
      </c>
      <c r="AG73" s="432">
        <f>'Propylene Recycling HC'!AF214</f>
        <v>85.820590771304211</v>
      </c>
      <c r="AH73" s="432">
        <f>'Propylene Recycling HC'!AG214</f>
        <v>84.162730787429538</v>
      </c>
      <c r="AI73" s="432"/>
    </row>
    <row r="74" spans="1:45" hidden="1">
      <c r="A74" t="s">
        <v>277</v>
      </c>
      <c r="B74"/>
      <c r="C74" s="54"/>
      <c r="D74" s="44">
        <f t="shared" ref="D74:AH74" si="31">D4-D6-D14-D22-D26-D32</f>
        <v>0</v>
      </c>
      <c r="E74" s="44">
        <f t="shared" si="31"/>
        <v>0</v>
      </c>
      <c r="F74" s="44">
        <f t="shared" si="31"/>
        <v>0</v>
      </c>
      <c r="G74" s="44">
        <f t="shared" si="31"/>
        <v>0</v>
      </c>
      <c r="H74" s="44">
        <f t="shared" si="31"/>
        <v>0</v>
      </c>
      <c r="I74" s="44">
        <f t="shared" si="31"/>
        <v>0</v>
      </c>
      <c r="J74" s="44">
        <f t="shared" si="31"/>
        <v>0</v>
      </c>
      <c r="K74" s="44">
        <f t="shared" si="31"/>
        <v>0</v>
      </c>
      <c r="L74" s="44">
        <f t="shared" si="31"/>
        <v>0</v>
      </c>
      <c r="M74" s="44">
        <f t="shared" si="31"/>
        <v>0</v>
      </c>
      <c r="N74" s="44">
        <f t="shared" si="31"/>
        <v>0</v>
      </c>
      <c r="O74" s="44">
        <f t="shared" si="31"/>
        <v>0</v>
      </c>
      <c r="P74" s="44">
        <f t="shared" si="31"/>
        <v>0</v>
      </c>
      <c r="Q74" s="44">
        <f t="shared" si="31"/>
        <v>0</v>
      </c>
      <c r="R74" s="44">
        <f t="shared" si="31"/>
        <v>0</v>
      </c>
      <c r="S74" s="44">
        <f t="shared" si="31"/>
        <v>0</v>
      </c>
      <c r="T74" s="44">
        <f t="shared" si="31"/>
        <v>0</v>
      </c>
      <c r="U74" s="44">
        <f t="shared" si="31"/>
        <v>0</v>
      </c>
      <c r="V74" s="44">
        <f t="shared" si="31"/>
        <v>0</v>
      </c>
      <c r="W74" s="44">
        <f t="shared" si="31"/>
        <v>0</v>
      </c>
      <c r="X74" s="44">
        <f t="shared" si="31"/>
        <v>0</v>
      </c>
      <c r="Y74" s="44">
        <f t="shared" si="31"/>
        <v>0</v>
      </c>
      <c r="Z74" s="44">
        <f t="shared" si="31"/>
        <v>0</v>
      </c>
      <c r="AA74" s="44">
        <f t="shared" si="31"/>
        <v>0</v>
      </c>
      <c r="AB74" s="44">
        <f t="shared" si="31"/>
        <v>0</v>
      </c>
      <c r="AC74" s="44">
        <f t="shared" si="31"/>
        <v>0</v>
      </c>
      <c r="AD74" s="44">
        <f t="shared" si="31"/>
        <v>0</v>
      </c>
      <c r="AE74" s="44">
        <f t="shared" si="31"/>
        <v>0</v>
      </c>
      <c r="AF74" s="44">
        <f t="shared" si="31"/>
        <v>0</v>
      </c>
      <c r="AG74" s="44">
        <f t="shared" si="31"/>
        <v>0</v>
      </c>
      <c r="AH74" s="44">
        <f t="shared" si="31"/>
        <v>0</v>
      </c>
    </row>
    <row r="75" spans="1:45" hidden="1">
      <c r="A75" t="s">
        <v>278</v>
      </c>
      <c r="B75"/>
      <c r="C75" s="54"/>
      <c r="D75" s="44">
        <f t="shared" ref="D75:AH75" si="32">D42-D13-D21-D25-D31-D35-D38</f>
        <v>0</v>
      </c>
      <c r="E75" s="44">
        <f t="shared" si="32"/>
        <v>0</v>
      </c>
      <c r="F75" s="44">
        <f t="shared" si="32"/>
        <v>0</v>
      </c>
      <c r="G75" s="44">
        <f t="shared" si="32"/>
        <v>0</v>
      </c>
      <c r="H75" s="44">
        <f t="shared" si="32"/>
        <v>-1.4210854715202004E-14</v>
      </c>
      <c r="I75" s="44">
        <f t="shared" si="32"/>
        <v>0</v>
      </c>
      <c r="J75" s="44">
        <f t="shared" si="32"/>
        <v>0</v>
      </c>
      <c r="K75" s="44">
        <f t="shared" si="32"/>
        <v>0</v>
      </c>
      <c r="L75" s="44">
        <f t="shared" si="32"/>
        <v>-1.4210854715202004E-14</v>
      </c>
      <c r="M75" s="44">
        <f t="shared" si="32"/>
        <v>1.4210854715202004E-14</v>
      </c>
      <c r="N75" s="44">
        <f t="shared" si="32"/>
        <v>1.4210854715202004E-14</v>
      </c>
      <c r="O75" s="44">
        <f t="shared" si="32"/>
        <v>0</v>
      </c>
      <c r="P75" s="44">
        <f t="shared" si="32"/>
        <v>-1.4210854715202004E-14</v>
      </c>
      <c r="Q75" s="44">
        <f t="shared" si="32"/>
        <v>-1.4210854715202004E-14</v>
      </c>
      <c r="R75" s="44">
        <f t="shared" si="32"/>
        <v>0</v>
      </c>
      <c r="S75" s="44">
        <f t="shared" si="32"/>
        <v>0</v>
      </c>
      <c r="T75" s="44">
        <f t="shared" si="32"/>
        <v>0</v>
      </c>
      <c r="U75" s="44">
        <f t="shared" si="32"/>
        <v>0</v>
      </c>
      <c r="V75" s="44">
        <f t="shared" si="32"/>
        <v>-1.4210854715202004E-14</v>
      </c>
      <c r="W75" s="44">
        <f t="shared" si="32"/>
        <v>1.4210854715202004E-14</v>
      </c>
      <c r="X75" s="44">
        <f t="shared" si="32"/>
        <v>0</v>
      </c>
      <c r="Y75" s="44">
        <f t="shared" si="32"/>
        <v>0</v>
      </c>
      <c r="Z75" s="44">
        <f t="shared" si="32"/>
        <v>1.4210854715202004E-14</v>
      </c>
      <c r="AA75" s="44">
        <f t="shared" si="32"/>
        <v>-1.4210854715202004E-14</v>
      </c>
      <c r="AB75" s="44">
        <f t="shared" si="32"/>
        <v>-1.4210854715202004E-14</v>
      </c>
      <c r="AC75" s="44">
        <f t="shared" si="32"/>
        <v>0</v>
      </c>
      <c r="AD75" s="44">
        <f t="shared" si="32"/>
        <v>0</v>
      </c>
      <c r="AE75" s="44">
        <f t="shared" si="32"/>
        <v>0</v>
      </c>
      <c r="AF75" s="44">
        <f t="shared" si="32"/>
        <v>-2.8421709430404007E-14</v>
      </c>
      <c r="AG75" s="44">
        <f t="shared" si="32"/>
        <v>0</v>
      </c>
      <c r="AH75" s="44">
        <f t="shared" si="32"/>
        <v>0</v>
      </c>
    </row>
    <row r="76" spans="1:45" hidden="1">
      <c r="A76" t="s">
        <v>279</v>
      </c>
      <c r="B76"/>
      <c r="C76" s="54"/>
      <c r="D76" s="244">
        <f t="shared" ref="D76:AH76" si="33">D42-D43-D47-D50-D54-D60</f>
        <v>0</v>
      </c>
      <c r="E76" s="244">
        <f t="shared" si="33"/>
        <v>0</v>
      </c>
      <c r="F76" s="244">
        <f t="shared" si="33"/>
        <v>0</v>
      </c>
      <c r="G76" s="244">
        <f t="shared" si="33"/>
        <v>0</v>
      </c>
      <c r="H76" s="244">
        <f t="shared" si="33"/>
        <v>0</v>
      </c>
      <c r="I76" s="244">
        <f t="shared" si="33"/>
        <v>0</v>
      </c>
      <c r="J76" s="244">
        <f t="shared" si="33"/>
        <v>0</v>
      </c>
      <c r="K76" s="244">
        <f t="shared" si="33"/>
        <v>0</v>
      </c>
      <c r="L76" s="244">
        <f t="shared" si="33"/>
        <v>0</v>
      </c>
      <c r="M76" s="244">
        <f t="shared" si="33"/>
        <v>0</v>
      </c>
      <c r="N76" s="244">
        <f t="shared" si="33"/>
        <v>0</v>
      </c>
      <c r="O76" s="244">
        <f t="shared" si="33"/>
        <v>0</v>
      </c>
      <c r="P76" s="244">
        <f t="shared" si="33"/>
        <v>0</v>
      </c>
      <c r="Q76" s="244">
        <f t="shared" si="33"/>
        <v>0</v>
      </c>
      <c r="R76" s="244">
        <f t="shared" si="33"/>
        <v>0</v>
      </c>
      <c r="S76" s="244">
        <f t="shared" si="33"/>
        <v>0</v>
      </c>
      <c r="T76" s="244">
        <f t="shared" si="33"/>
        <v>0</v>
      </c>
      <c r="U76" s="244">
        <f t="shared" si="33"/>
        <v>0</v>
      </c>
      <c r="V76" s="244">
        <f t="shared" si="33"/>
        <v>0</v>
      </c>
      <c r="W76" s="244">
        <f t="shared" si="33"/>
        <v>0</v>
      </c>
      <c r="X76" s="244">
        <f t="shared" si="33"/>
        <v>0</v>
      </c>
      <c r="Y76" s="244">
        <f t="shared" si="33"/>
        <v>0</v>
      </c>
      <c r="Z76" s="244">
        <f t="shared" si="33"/>
        <v>0</v>
      </c>
      <c r="AA76" s="244">
        <f t="shared" si="33"/>
        <v>0</v>
      </c>
      <c r="AB76" s="244">
        <f t="shared" si="33"/>
        <v>0</v>
      </c>
      <c r="AC76" s="244">
        <f t="shared" si="33"/>
        <v>0</v>
      </c>
      <c r="AD76" s="244">
        <f t="shared" si="33"/>
        <v>0</v>
      </c>
      <c r="AE76" s="244">
        <f t="shared" si="33"/>
        <v>0</v>
      </c>
      <c r="AF76" s="244">
        <f t="shared" si="33"/>
        <v>0</v>
      </c>
      <c r="AG76" s="244">
        <f t="shared" si="33"/>
        <v>0</v>
      </c>
      <c r="AH76" s="244">
        <f t="shared" si="33"/>
        <v>0</v>
      </c>
    </row>
    <row r="77" spans="1:45" hidden="1">
      <c r="A77" t="s">
        <v>280</v>
      </c>
      <c r="B77"/>
      <c r="C77" s="54"/>
      <c r="D77" s="244">
        <f t="shared" ref="D77:AH77" si="34">D46+D49+D53+D59+D65-D68</f>
        <v>0</v>
      </c>
      <c r="E77" s="244">
        <f t="shared" si="34"/>
        <v>0</v>
      </c>
      <c r="F77" s="244">
        <f t="shared" si="34"/>
        <v>0</v>
      </c>
      <c r="G77" s="244">
        <f t="shared" si="34"/>
        <v>0</v>
      </c>
      <c r="H77" s="244">
        <f t="shared" si="34"/>
        <v>0</v>
      </c>
      <c r="I77" s="244">
        <f t="shared" si="34"/>
        <v>0</v>
      </c>
      <c r="J77" s="244">
        <f t="shared" si="34"/>
        <v>0</v>
      </c>
      <c r="K77" s="244">
        <f t="shared" si="34"/>
        <v>0</v>
      </c>
      <c r="L77" s="244">
        <f t="shared" si="34"/>
        <v>0</v>
      </c>
      <c r="M77" s="244">
        <f t="shared" si="34"/>
        <v>0</v>
      </c>
      <c r="N77" s="244">
        <f t="shared" si="34"/>
        <v>0</v>
      </c>
      <c r="O77" s="244">
        <f t="shared" si="34"/>
        <v>0</v>
      </c>
      <c r="P77" s="244">
        <f t="shared" si="34"/>
        <v>0</v>
      </c>
      <c r="Q77" s="244">
        <f t="shared" si="34"/>
        <v>0</v>
      </c>
      <c r="R77" s="244">
        <f t="shared" si="34"/>
        <v>0</v>
      </c>
      <c r="S77" s="244">
        <f t="shared" si="34"/>
        <v>0</v>
      </c>
      <c r="T77" s="244">
        <f t="shared" si="34"/>
        <v>0</v>
      </c>
      <c r="U77" s="244">
        <f t="shared" si="34"/>
        <v>0</v>
      </c>
      <c r="V77" s="244">
        <f t="shared" si="34"/>
        <v>0</v>
      </c>
      <c r="W77" s="244">
        <f t="shared" si="34"/>
        <v>0</v>
      </c>
      <c r="X77" s="244">
        <f t="shared" si="34"/>
        <v>0</v>
      </c>
      <c r="Y77" s="244">
        <f t="shared" si="34"/>
        <v>0</v>
      </c>
      <c r="Z77" s="244">
        <f t="shared" si="34"/>
        <v>0</v>
      </c>
      <c r="AA77" s="244">
        <f t="shared" si="34"/>
        <v>0</v>
      </c>
      <c r="AB77" s="244">
        <f t="shared" si="34"/>
        <v>0</v>
      </c>
      <c r="AC77" s="244">
        <f t="shared" si="34"/>
        <v>0</v>
      </c>
      <c r="AD77" s="244">
        <f t="shared" si="34"/>
        <v>0</v>
      </c>
      <c r="AE77" s="244">
        <f t="shared" si="34"/>
        <v>0</v>
      </c>
      <c r="AF77" s="244">
        <f t="shared" si="34"/>
        <v>0</v>
      </c>
      <c r="AG77" s="244">
        <f t="shared" si="34"/>
        <v>0</v>
      </c>
      <c r="AH77" s="244">
        <f t="shared" si="34"/>
        <v>0</v>
      </c>
    </row>
    <row r="78" spans="1:45" ht="16" thickBot="1">
      <c r="C78" s="65"/>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row>
    <row r="79" spans="1:45" ht="54" customHeight="1" thickBot="1">
      <c r="A79" s="250" t="s">
        <v>392</v>
      </c>
      <c r="B79" s="185">
        <v>2020</v>
      </c>
      <c r="C79" s="186" t="s">
        <v>282</v>
      </c>
      <c r="D79" s="186" t="s">
        <v>282</v>
      </c>
      <c r="E79" s="186" t="s">
        <v>283</v>
      </c>
      <c r="F79" s="186" t="s">
        <v>284</v>
      </c>
      <c r="G79" s="186" t="s">
        <v>285</v>
      </c>
      <c r="H79" s="186" t="s">
        <v>286</v>
      </c>
      <c r="I79" s="186" t="s">
        <v>287</v>
      </c>
      <c r="J79" s="186" t="s">
        <v>288</v>
      </c>
      <c r="K79" s="186" t="s">
        <v>289</v>
      </c>
      <c r="L79" s="186" t="s">
        <v>290</v>
      </c>
      <c r="M79" s="186" t="s">
        <v>291</v>
      </c>
      <c r="N79" s="186" t="s">
        <v>292</v>
      </c>
      <c r="O79" s="186" t="s">
        <v>293</v>
      </c>
      <c r="P79" s="186" t="s">
        <v>294</v>
      </c>
      <c r="Q79" s="186" t="s">
        <v>295</v>
      </c>
      <c r="R79" s="186" t="s">
        <v>296</v>
      </c>
      <c r="S79" s="186" t="s">
        <v>297</v>
      </c>
      <c r="T79" s="186" t="s">
        <v>298</v>
      </c>
      <c r="U79" s="186" t="s">
        <v>299</v>
      </c>
      <c r="V79" s="186" t="s">
        <v>300</v>
      </c>
      <c r="W79" s="186" t="s">
        <v>301</v>
      </c>
      <c r="X79" s="186" t="s">
        <v>292</v>
      </c>
      <c r="AJ79" s="138" t="s">
        <v>302</v>
      </c>
      <c r="AK79" s="139" t="s">
        <v>1</v>
      </c>
      <c r="AL79" s="139" t="s">
        <v>180</v>
      </c>
      <c r="AM79" s="139" t="s">
        <v>181</v>
      </c>
      <c r="AN79" s="139" t="s">
        <v>303</v>
      </c>
      <c r="AO79" s="139" t="s">
        <v>304</v>
      </c>
      <c r="AP79" s="139" t="s">
        <v>305</v>
      </c>
      <c r="AQ79" s="139" t="s">
        <v>393</v>
      </c>
      <c r="AR79" s="139" t="s">
        <v>308</v>
      </c>
      <c r="AS79" s="139"/>
    </row>
    <row r="80" spans="1:45">
      <c r="A80" t="s">
        <v>309</v>
      </c>
      <c r="B80" s="183">
        <f>'Demand Breakdown - Propylene'!J50</f>
        <v>0.26787914691943132</v>
      </c>
      <c r="C80" s="184">
        <f>D80/$D$88</f>
        <v>0.27926201641387066</v>
      </c>
      <c r="D80" s="249">
        <f>AH21*B80/(B80+B84)</f>
        <v>45.498512481402948</v>
      </c>
      <c r="N80" s="194">
        <f>X80/$X$88</f>
        <v>0.32425081499807268</v>
      </c>
      <c r="X80" s="44">
        <f>AH46*B80/(B80+B84)</f>
        <v>37.348143849168338</v>
      </c>
      <c r="AJ80" s="30" t="s">
        <v>67</v>
      </c>
      <c r="AK80" s="140">
        <f>D4</f>
        <v>111.92307692307692</v>
      </c>
      <c r="AM80" s="140">
        <f>AH4</f>
        <v>160</v>
      </c>
      <c r="AN80" s="140"/>
      <c r="AO80" s="140"/>
      <c r="AP80" s="140"/>
      <c r="AR80" s="140" t="s">
        <v>167</v>
      </c>
      <c r="AS80" s="137"/>
    </row>
    <row r="81" spans="1:45">
      <c r="A81" t="s">
        <v>310</v>
      </c>
      <c r="B81" s="183">
        <f>'Demand Breakdown - Propylene'!J51</f>
        <v>0.11060426540284357</v>
      </c>
      <c r="C81" s="184">
        <f t="shared" ref="C81:C87" si="35">D81/$D$88</f>
        <v>0.12598962280526579</v>
      </c>
      <c r="D81" s="249">
        <f>AH25</f>
        <v>20.526745811493452</v>
      </c>
      <c r="N81" s="194">
        <f t="shared" ref="N81:N87" si="36">X81/$X$88</f>
        <v>4.7602703920848199E-2</v>
      </c>
      <c r="X81" s="44">
        <f>IF(AH59&lt;0,0,AH59)</f>
        <v>5.4830167000683581</v>
      </c>
      <c r="AJ81" s="30" t="s">
        <v>168</v>
      </c>
      <c r="AN81" s="44">
        <f>-AH17</f>
        <v>0</v>
      </c>
      <c r="AO81" s="43">
        <f>-AH23</f>
        <v>0</v>
      </c>
      <c r="AP81" s="44">
        <f>-AH11+AH7</f>
        <v>2.924099258717086</v>
      </c>
      <c r="AQ81" s="43">
        <f>-AH33</f>
        <v>0</v>
      </c>
    </row>
    <row r="82" spans="1:45">
      <c r="A82" t="s">
        <v>311</v>
      </c>
      <c r="B82" s="183">
        <f>'Demand Breakdown - Propylene'!J52</f>
        <v>0.15755924170616112</v>
      </c>
      <c r="C82" s="184">
        <f t="shared" si="35"/>
        <v>0.19742378194653104</v>
      </c>
      <c r="D82" s="249">
        <f>AH13</f>
        <v>32.165091845887943</v>
      </c>
      <c r="N82" s="194">
        <f t="shared" si="36"/>
        <v>0.2209080140515231</v>
      </c>
      <c r="X82" s="44">
        <f>AH49</f>
        <v>25.444822047029938</v>
      </c>
      <c r="AJ82" s="30" t="s">
        <v>172</v>
      </c>
      <c r="AN82" s="44">
        <f>-AH20</f>
        <v>0</v>
      </c>
      <c r="AO82" s="43">
        <f>-AH24</f>
        <v>0</v>
      </c>
      <c r="AP82">
        <f>-AH12</f>
        <v>0</v>
      </c>
      <c r="AQ82" s="43">
        <f>-AH34</f>
        <v>0</v>
      </c>
    </row>
    <row r="83" spans="1:45">
      <c r="A83" t="s">
        <v>312</v>
      </c>
      <c r="B83" s="183">
        <f>'Demand Breakdown - Propylene'!J53</f>
        <v>6.3578199052132689E-2</v>
      </c>
      <c r="C83" s="184">
        <f t="shared" si="35"/>
        <v>4.8756892951291812E-2</v>
      </c>
      <c r="D83" s="249">
        <f>AH35*B83/(B83+B85)</f>
        <v>7.9436728667429115</v>
      </c>
      <c r="N83" s="194">
        <f t="shared" si="36"/>
        <v>4.5633889505311352E-2</v>
      </c>
      <c r="X83" s="44">
        <f>AH65*C83/(C83+C85+C87)</f>
        <v>5.2562429786076317</v>
      </c>
      <c r="AJ83" s="30" t="s">
        <v>175</v>
      </c>
      <c r="AL83" s="140">
        <f>AH4-D4</f>
        <v>48.07692307692308</v>
      </c>
      <c r="AS83" s="44"/>
    </row>
    <row r="84" spans="1:45">
      <c r="A84" t="s">
        <v>313</v>
      </c>
      <c r="B84" s="183">
        <f>'Demand Breakdown - Propylene'!J54</f>
        <v>0.15066350710900475</v>
      </c>
      <c r="C84" s="184">
        <f t="shared" si="35"/>
        <v>0.1570655845335388</v>
      </c>
      <c r="D84" s="249">
        <f>AH21*B84/(B80+B84)</f>
        <v>25.589768884670697</v>
      </c>
      <c r="N84" s="194">
        <f t="shared" si="36"/>
        <v>0.18236867457718134</v>
      </c>
      <c r="X84" s="44">
        <f>AH46*B84/(B80+B84)</f>
        <v>21.005749798134577</v>
      </c>
    </row>
    <row r="85" spans="1:45" ht="96">
      <c r="A85" t="s">
        <v>248</v>
      </c>
      <c r="B85" s="183">
        <f>'Demand Breakdown - Propylene'!J55</f>
        <v>0.24971563981042649</v>
      </c>
      <c r="C85" s="184">
        <f t="shared" si="35"/>
        <v>0.19150210134950174</v>
      </c>
      <c r="D85" s="249">
        <f>AH35*B85/(B83+B85)</f>
        <v>31.200307368519123</v>
      </c>
      <c r="N85" s="194">
        <f t="shared" si="36"/>
        <v>0.17923590294706337</v>
      </c>
      <c r="X85" s="44">
        <f>AH65*C85/(C83+C85+C87)</f>
        <v>20.644908128426099</v>
      </c>
      <c r="AJ85" s="260" t="s">
        <v>314</v>
      </c>
      <c r="AK85" s="136" t="s">
        <v>1</v>
      </c>
      <c r="AL85" s="136" t="s">
        <v>180</v>
      </c>
      <c r="AM85" s="136" t="s">
        <v>181</v>
      </c>
      <c r="AN85" s="136" t="s">
        <v>25</v>
      </c>
      <c r="AO85" s="136" t="s">
        <v>315</v>
      </c>
      <c r="AP85" s="136" t="s">
        <v>316</v>
      </c>
      <c r="AQ85" s="136" t="s">
        <v>317</v>
      </c>
      <c r="AR85" s="136" t="s">
        <v>318</v>
      </c>
      <c r="AS85" s="263" t="s">
        <v>319</v>
      </c>
    </row>
    <row r="86" spans="1:45">
      <c r="A86" s="131" t="s">
        <v>320</v>
      </c>
      <c r="B86" s="183">
        <f>'Demand Breakdown - Propylene'!J56</f>
        <v>0</v>
      </c>
      <c r="C86" s="184">
        <f t="shared" si="35"/>
        <v>0</v>
      </c>
      <c r="D86" s="249">
        <f>AH31</f>
        <v>0</v>
      </c>
      <c r="N86" s="194">
        <f t="shared" si="36"/>
        <v>0</v>
      </c>
      <c r="X86" s="44">
        <f>AH53</f>
        <v>0</v>
      </c>
      <c r="AK86" s="143">
        <f>D14</f>
        <v>46.844581662413418</v>
      </c>
      <c r="AL86" s="143">
        <f>AH14-D14</f>
        <v>24.243699703660226</v>
      </c>
      <c r="AM86" s="143">
        <f>AH14</f>
        <v>71.088281366073645</v>
      </c>
      <c r="AN86" s="143">
        <f>-'Yearly LC Propylene'!AH15</f>
        <v>0</v>
      </c>
      <c r="AO86" s="143">
        <f>-'Yearly LC Propylene'!AH16</f>
        <v>0</v>
      </c>
      <c r="AP86" s="143">
        <f>SUM(AM86:AO87)</f>
        <v>71.088281366073645</v>
      </c>
      <c r="AQ86" s="262">
        <f>-'Yearly LC Propylene'!AH18</f>
        <v>0</v>
      </c>
      <c r="AR86" s="262">
        <f>-'Yearly LC Propylene'!AH19</f>
        <v>0</v>
      </c>
      <c r="AS86" s="44" t="s">
        <v>167</v>
      </c>
    </row>
    <row r="87" spans="1:45" ht="16" thickBot="1">
      <c r="A87" t="s">
        <v>321</v>
      </c>
      <c r="B87" s="183"/>
      <c r="C87" s="184">
        <f t="shared" si="35"/>
        <v>0</v>
      </c>
      <c r="D87" s="249">
        <f>AH38</f>
        <v>0</v>
      </c>
      <c r="N87" s="194">
        <f t="shared" si="36"/>
        <v>0</v>
      </c>
      <c r="X87" s="44">
        <f>AH65*C87/(C83+C85+C87)</f>
        <v>0</v>
      </c>
      <c r="AN87" s="44">
        <f>-AH15-AN86</f>
        <v>0</v>
      </c>
      <c r="AO87" s="44">
        <f>-AH16-AO86</f>
        <v>0</v>
      </c>
      <c r="AP87" s="44"/>
      <c r="AQ87" s="44">
        <f>-AH18-AQ86</f>
        <v>0</v>
      </c>
      <c r="AR87" s="44">
        <f>-AH19-AR86</f>
        <v>0</v>
      </c>
    </row>
    <row r="88" spans="1:45" ht="16" thickBot="1">
      <c r="A88" s="185" t="s">
        <v>67</v>
      </c>
      <c r="B88" s="247">
        <f>SUM(B80:B86)</f>
        <v>1</v>
      </c>
      <c r="C88" s="246">
        <f>SUM(C80:C87)</f>
        <v>0.99999999999999989</v>
      </c>
      <c r="D88" s="187">
        <f>SUM(D80:D87)</f>
        <v>162.92409925871709</v>
      </c>
      <c r="E88" s="188"/>
      <c r="F88" s="188"/>
      <c r="G88" s="188"/>
      <c r="H88" s="188"/>
      <c r="I88" s="188"/>
      <c r="J88" s="188"/>
      <c r="K88" s="188"/>
      <c r="L88" s="188"/>
      <c r="M88" s="188"/>
      <c r="N88" s="248">
        <f>SUM(N80:N87)</f>
        <v>1</v>
      </c>
      <c r="X88" s="44">
        <f>SUM(X80:X87)</f>
        <v>115.18288350143493</v>
      </c>
    </row>
    <row r="89" spans="1:45" ht="81" thickBot="1">
      <c r="AJ89" s="260" t="s">
        <v>322</v>
      </c>
      <c r="AK89" s="136" t="s">
        <v>1</v>
      </c>
      <c r="AL89" s="136" t="s">
        <v>180</v>
      </c>
      <c r="AM89" s="136" t="s">
        <v>181</v>
      </c>
      <c r="AN89" s="136" t="s">
        <v>183</v>
      </c>
      <c r="AO89" s="136" t="s">
        <v>28</v>
      </c>
      <c r="AP89" s="263" t="s">
        <v>319</v>
      </c>
      <c r="AQ89" s="136"/>
      <c r="AR89" s="136"/>
    </row>
    <row r="90" spans="1:45" ht="49" thickBot="1">
      <c r="A90" s="250" t="s">
        <v>394</v>
      </c>
      <c r="B90" s="185">
        <v>2020</v>
      </c>
      <c r="C90" s="186" t="s">
        <v>282</v>
      </c>
      <c r="D90" s="186" t="s">
        <v>292</v>
      </c>
      <c r="E90" s="186" t="s">
        <v>283</v>
      </c>
      <c r="F90" s="186" t="s">
        <v>284</v>
      </c>
      <c r="G90" s="186" t="s">
        <v>285</v>
      </c>
      <c r="H90" s="186" t="s">
        <v>286</v>
      </c>
      <c r="I90" s="186" t="s">
        <v>287</v>
      </c>
      <c r="J90" s="186" t="s">
        <v>288</v>
      </c>
      <c r="K90" s="186" t="s">
        <v>289</v>
      </c>
      <c r="L90" s="186" t="s">
        <v>290</v>
      </c>
      <c r="M90" s="186" t="s">
        <v>291</v>
      </c>
      <c r="O90" s="186" t="s">
        <v>293</v>
      </c>
      <c r="P90" s="186" t="s">
        <v>294</v>
      </c>
      <c r="Q90" s="186" t="s">
        <v>295</v>
      </c>
      <c r="R90" s="186" t="s">
        <v>296</v>
      </c>
      <c r="S90" s="186" t="s">
        <v>297</v>
      </c>
      <c r="T90" s="186" t="s">
        <v>298</v>
      </c>
      <c r="U90" s="186" t="s">
        <v>299</v>
      </c>
      <c r="V90" s="186" t="s">
        <v>300</v>
      </c>
      <c r="W90" s="186" t="s">
        <v>301</v>
      </c>
      <c r="X90" s="186"/>
      <c r="AK90" s="143">
        <f>D22</f>
        <v>12.379169704702877</v>
      </c>
      <c r="AL90" s="143">
        <f>AH22-D22</f>
        <v>8.1475761067905754</v>
      </c>
      <c r="AM90" s="143">
        <f>AH22</f>
        <v>20.526745811493452</v>
      </c>
      <c r="AN90" s="143">
        <f>-'Yearly LC Propylene'!AH23</f>
        <v>0</v>
      </c>
      <c r="AO90" s="143">
        <f>-'Yearly LC Propylene'!AH24</f>
        <v>0</v>
      </c>
      <c r="AP90" s="143" t="s">
        <v>167</v>
      </c>
      <c r="AQ90" s="143"/>
    </row>
    <row r="91" spans="1:45">
      <c r="A91" t="s">
        <v>324</v>
      </c>
      <c r="B91" s="183">
        <f>B80+B84</f>
        <v>0.41854265402843605</v>
      </c>
      <c r="C91" s="184">
        <f t="shared" ref="C91" si="37">C80+C84</f>
        <v>0.43632760094740947</v>
      </c>
      <c r="D91" s="194">
        <f>N80+N84</f>
        <v>0.50661948957525405</v>
      </c>
      <c r="X91" s="44"/>
      <c r="AN91" s="44">
        <f>-(AH23+AN90)</f>
        <v>0</v>
      </c>
      <c r="AO91" s="44">
        <f>-(AH24+AO90)</f>
        <v>0</v>
      </c>
    </row>
    <row r="92" spans="1:45">
      <c r="A92" t="s">
        <v>311</v>
      </c>
      <c r="B92" s="183">
        <f>B82</f>
        <v>0.15755924170616112</v>
      </c>
      <c r="C92" s="184">
        <f>C82</f>
        <v>0.19742378194653104</v>
      </c>
      <c r="D92" s="194">
        <f>N82</f>
        <v>0.2209080140515231</v>
      </c>
      <c r="X92" s="44"/>
    </row>
    <row r="93" spans="1:45" ht="96">
      <c r="A93" t="s">
        <v>310</v>
      </c>
      <c r="B93" s="183">
        <f>B81</f>
        <v>0.11060426540284357</v>
      </c>
      <c r="C93" s="184">
        <f>C81</f>
        <v>0.12598962280526579</v>
      </c>
      <c r="D93" s="194">
        <f>N81</f>
        <v>4.7602703920848199E-2</v>
      </c>
      <c r="X93" s="44"/>
      <c r="AJ93" s="260" t="s">
        <v>325</v>
      </c>
      <c r="AK93" s="136" t="s">
        <v>1</v>
      </c>
      <c r="AL93" s="136" t="s">
        <v>180</v>
      </c>
      <c r="AM93" s="136" t="s">
        <v>181</v>
      </c>
      <c r="AN93" s="136" t="s">
        <v>326</v>
      </c>
      <c r="AO93" s="136" t="s">
        <v>327</v>
      </c>
      <c r="AP93" s="136" t="s">
        <v>328</v>
      </c>
      <c r="AQ93" s="136" t="s">
        <v>316</v>
      </c>
      <c r="AR93" s="136" t="s">
        <v>28</v>
      </c>
      <c r="AS93" s="263" t="s">
        <v>319</v>
      </c>
    </row>
    <row r="94" spans="1:45">
      <c r="A94" t="s">
        <v>312</v>
      </c>
      <c r="B94" s="183">
        <f>B83</f>
        <v>6.3578199052132689E-2</v>
      </c>
      <c r="C94" s="184">
        <f>C83</f>
        <v>4.8756892951291812E-2</v>
      </c>
      <c r="D94" s="194">
        <f>N83</f>
        <v>4.5633889505311352E-2</v>
      </c>
      <c r="X94" s="44"/>
      <c r="AK94" s="143">
        <f>D6</f>
        <v>17.63451512942034</v>
      </c>
      <c r="AL94" s="143">
        <f>AH6-D6</f>
        <v>11.606477457750518</v>
      </c>
      <c r="AM94" s="143">
        <f>AH6</f>
        <v>29.240992587170858</v>
      </c>
      <c r="AN94" s="143">
        <f>AH7</f>
        <v>2.924099258717086</v>
      </c>
      <c r="AO94" s="143">
        <f>-'Yearly LC Propylene'!AH9</f>
        <v>0</v>
      </c>
      <c r="AP94" s="143">
        <f>-'Yearly LC Propylene'!AH10</f>
        <v>0</v>
      </c>
      <c r="AQ94" s="44">
        <f>SUM(AM94:AP95)</f>
        <v>32.165091845887943</v>
      </c>
      <c r="AR94">
        <f>-'Yearly LC Propylene'!AH12</f>
        <v>0</v>
      </c>
      <c r="AS94" s="44" t="s">
        <v>167</v>
      </c>
    </row>
    <row r="95" spans="1:45">
      <c r="A95" t="s">
        <v>248</v>
      </c>
      <c r="B95" s="183">
        <f>B85+B86+B87</f>
        <v>0.24971563981042649</v>
      </c>
      <c r="C95" s="183">
        <f>C85+C86+C87</f>
        <v>0.19150210134950174</v>
      </c>
      <c r="D95" s="183">
        <f>N85+N86+N87</f>
        <v>0.17923590294706337</v>
      </c>
      <c r="X95" s="44"/>
      <c r="AN95" s="44"/>
      <c r="AO95" s="44">
        <f>-(AH9+AO94)</f>
        <v>0</v>
      </c>
      <c r="AP95" s="44">
        <f>-(AH10+AP94)</f>
        <v>0</v>
      </c>
      <c r="AR95">
        <f>-(AH12+AR94)</f>
        <v>0</v>
      </c>
    </row>
    <row r="96" spans="1:45" ht="16" thickBot="1">
      <c r="A96" t="s">
        <v>321</v>
      </c>
      <c r="B96" s="183">
        <f>B87</f>
        <v>0</v>
      </c>
      <c r="C96" s="184">
        <f>C87</f>
        <v>0</v>
      </c>
      <c r="D96" s="194">
        <f>N87</f>
        <v>0</v>
      </c>
      <c r="X96" s="44"/>
      <c r="AJ96" s="142"/>
      <c r="AK96" s="136"/>
      <c r="AL96" s="136"/>
      <c r="AM96" s="136"/>
      <c r="AN96" s="136"/>
      <c r="AO96" s="136"/>
      <c r="AP96" s="136"/>
    </row>
    <row r="97" spans="1:46" ht="97" thickBot="1">
      <c r="A97" s="185" t="s">
        <v>67</v>
      </c>
      <c r="B97" s="251">
        <f>SUM(B91:B96)</f>
        <v>1</v>
      </c>
      <c r="C97" s="252">
        <f>SUM(C91:C96)</f>
        <v>0.99999999999999989</v>
      </c>
      <c r="D97" s="253">
        <f>SUM(D91:D96)</f>
        <v>1</v>
      </c>
      <c r="X97" s="44"/>
      <c r="AJ97" s="260" t="s">
        <v>330</v>
      </c>
      <c r="AK97" s="136" t="s">
        <v>1</v>
      </c>
      <c r="AL97" s="136" t="s">
        <v>180</v>
      </c>
      <c r="AM97" s="136" t="s">
        <v>181</v>
      </c>
      <c r="AN97" s="136" t="s">
        <v>331</v>
      </c>
      <c r="AO97" s="136" t="s">
        <v>332</v>
      </c>
      <c r="AP97" s="136" t="s">
        <v>316</v>
      </c>
      <c r="AQ97" s="136" t="s">
        <v>28</v>
      </c>
      <c r="AR97" s="263" t="s">
        <v>319</v>
      </c>
    </row>
    <row r="98" spans="1:46" ht="16" thickBot="1">
      <c r="E98" s="188"/>
      <c r="F98" s="188"/>
      <c r="G98" s="188"/>
      <c r="H98" s="188"/>
      <c r="I98" s="188"/>
      <c r="J98" s="188"/>
      <c r="K98" s="188"/>
      <c r="L98" s="188"/>
      <c r="M98" s="188"/>
      <c r="X98" s="44"/>
      <c r="AK98" s="143">
        <f>D26</f>
        <v>0</v>
      </c>
      <c r="AL98" s="143">
        <f>AH26-D26</f>
        <v>0</v>
      </c>
      <c r="AM98" s="143">
        <f>AH26</f>
        <v>0</v>
      </c>
      <c r="AN98" s="143">
        <f>-'Yearly LC Propylene'!AH27</f>
        <v>0</v>
      </c>
      <c r="AO98" s="143">
        <f>-'Yearly LC Propylene'!AH28</f>
        <v>0</v>
      </c>
      <c r="AP98" s="143">
        <f>SUM(AM98:AO99)</f>
        <v>0</v>
      </c>
      <c r="AQ98" s="43">
        <f>-'Yearly LC Propylene'!AH30</f>
        <v>0</v>
      </c>
      <c r="AR98" s="44">
        <f>SUM(AP98:AQ99)</f>
        <v>0</v>
      </c>
    </row>
    <row r="99" spans="1:46" ht="16" thickBot="1">
      <c r="AN99" s="44">
        <f>-(AH27+AN98)</f>
        <v>0</v>
      </c>
      <c r="AO99" s="44">
        <f>-(AH28+AO98)</f>
        <v>0</v>
      </c>
      <c r="AP99" s="44"/>
      <c r="AQ99" s="43">
        <f>-(AH30+AQ98)</f>
        <v>0</v>
      </c>
    </row>
    <row r="100" spans="1:46" ht="49" thickBot="1">
      <c r="A100" s="250" t="s">
        <v>395</v>
      </c>
      <c r="B100" s="254">
        <v>2020</v>
      </c>
      <c r="C100" s="186" t="s">
        <v>334</v>
      </c>
      <c r="D100" s="186" t="s">
        <v>282</v>
      </c>
      <c r="E100" s="188"/>
      <c r="F100" s="188"/>
      <c r="G100" s="188"/>
      <c r="H100" s="188"/>
      <c r="I100" s="188"/>
      <c r="J100" s="188"/>
      <c r="K100" s="188"/>
      <c r="L100" s="188"/>
      <c r="M100" s="188"/>
      <c r="N100" s="255" t="s">
        <v>292</v>
      </c>
    </row>
    <row r="101" spans="1:46" ht="80">
      <c r="A101" t="s">
        <v>321</v>
      </c>
      <c r="B101" s="183">
        <f>B96</f>
        <v>0</v>
      </c>
      <c r="C101" s="183">
        <f>0</f>
        <v>0</v>
      </c>
      <c r="D101" s="184">
        <f>C96</f>
        <v>0</v>
      </c>
      <c r="N101" s="194">
        <f>D96</f>
        <v>0</v>
      </c>
      <c r="AJ101" s="260" t="s">
        <v>335</v>
      </c>
      <c r="AK101" s="136" t="s">
        <v>1</v>
      </c>
      <c r="AL101" s="136" t="s">
        <v>180</v>
      </c>
      <c r="AM101" s="136" t="s">
        <v>181</v>
      </c>
      <c r="AN101" s="136" t="s">
        <v>183</v>
      </c>
      <c r="AO101" s="136" t="s">
        <v>28</v>
      </c>
      <c r="AP101" s="263" t="s">
        <v>319</v>
      </c>
    </row>
    <row r="102" spans="1:46">
      <c r="A102" t="s">
        <v>248</v>
      </c>
      <c r="B102" s="183">
        <f>B95</f>
        <v>0.24971563981042649</v>
      </c>
      <c r="C102" s="183">
        <f>'Demand Breakdown - Propylene'!N55</f>
        <v>0.19500192105324163</v>
      </c>
      <c r="D102" s="184">
        <f>C95</f>
        <v>0.19150210134950174</v>
      </c>
      <c r="N102" s="194">
        <f>D95</f>
        <v>0.17923590294706337</v>
      </c>
      <c r="AK102" s="143">
        <f>D32</f>
        <v>35.064810426540291</v>
      </c>
      <c r="AL102" s="143">
        <f>AH32-D32</f>
        <v>4.0791698087217441</v>
      </c>
      <c r="AM102" s="143">
        <f>AH32</f>
        <v>39.143980235262035</v>
      </c>
      <c r="AN102" s="143">
        <f>-'Yearly LC Propylene'!AH33</f>
        <v>0</v>
      </c>
      <c r="AO102" s="43">
        <f>-'Yearly LC Propylene'!AH34</f>
        <v>0</v>
      </c>
      <c r="AP102" s="44">
        <f>SUM(AM102:AO103)</f>
        <v>39.143980235262035</v>
      </c>
    </row>
    <row r="103" spans="1:46">
      <c r="A103" t="s">
        <v>312</v>
      </c>
      <c r="B103" s="183">
        <f>B94</f>
        <v>6.3578199052132689E-2</v>
      </c>
      <c r="C103" s="183">
        <f>'Demand Breakdown - Propylene'!N53</f>
        <v>4.9647955417142467E-2</v>
      </c>
      <c r="D103" s="184">
        <f>C94</f>
        <v>4.8756892951291812E-2</v>
      </c>
      <c r="N103" s="194">
        <f>D94</f>
        <v>4.5633889505311352E-2</v>
      </c>
      <c r="AN103" s="44">
        <f>-(AH33+AN102)</f>
        <v>0</v>
      </c>
      <c r="AO103" s="43">
        <f>-(AH34+AO102)</f>
        <v>0</v>
      </c>
    </row>
    <row r="104" spans="1:46">
      <c r="A104" t="s">
        <v>310</v>
      </c>
      <c r="B104" s="183">
        <f>B93</f>
        <v>0.11060426540284357</v>
      </c>
      <c r="C104" s="183">
        <f>'Demand Breakdown - Propylene'!N51</f>
        <v>0.12829216132183463</v>
      </c>
      <c r="D104" s="184">
        <f>C93</f>
        <v>0.12598962280526579</v>
      </c>
      <c r="N104" s="194">
        <f>D93</f>
        <v>4.7602703920848199E-2</v>
      </c>
    </row>
    <row r="105" spans="1:46" ht="96">
      <c r="A105" t="s">
        <v>311</v>
      </c>
      <c r="B105" s="183">
        <f>B92</f>
        <v>0.15755924170616112</v>
      </c>
      <c r="C105" s="183">
        <f>'Demand Breakdown - Propylene'!N52</f>
        <v>0.18275620366981862</v>
      </c>
      <c r="D105" s="184">
        <f>C92</f>
        <v>0.19742378194653104</v>
      </c>
      <c r="N105" s="194">
        <f>D92</f>
        <v>0.2209080140515231</v>
      </c>
      <c r="AJ105" s="138" t="s">
        <v>336</v>
      </c>
      <c r="AK105" s="139" t="s">
        <v>1</v>
      </c>
      <c r="AL105" s="139" t="s">
        <v>180</v>
      </c>
      <c r="AM105" s="139" t="s">
        <v>181</v>
      </c>
      <c r="AN105" s="139" t="s">
        <v>396</v>
      </c>
      <c r="AO105" s="263" t="s">
        <v>308</v>
      </c>
      <c r="AP105" s="139" t="s">
        <v>397</v>
      </c>
      <c r="AQ105" s="139" t="s">
        <v>398</v>
      </c>
      <c r="AR105" s="139" t="s">
        <v>399</v>
      </c>
      <c r="AS105" s="139" t="s">
        <v>400</v>
      </c>
      <c r="AT105" s="139" t="s">
        <v>184</v>
      </c>
    </row>
    <row r="106" spans="1:46" ht="16" thickBot="1">
      <c r="A106" t="s">
        <v>324</v>
      </c>
      <c r="B106" s="183">
        <f>B91</f>
        <v>0.41854265402843605</v>
      </c>
      <c r="C106" s="183">
        <f>'Demand Breakdown - Propylene'!N50+'Demand Breakdown - Propylene'!N54</f>
        <v>0.44430175853796272</v>
      </c>
      <c r="D106" s="184">
        <f>C91</f>
        <v>0.43632760094740947</v>
      </c>
      <c r="N106" s="194">
        <f>D91</f>
        <v>0.50661948957525405</v>
      </c>
      <c r="AK106" s="140">
        <f>D4</f>
        <v>111.92307692307692</v>
      </c>
      <c r="AL106" s="140">
        <f>AH4-D4</f>
        <v>48.07692307692308</v>
      </c>
      <c r="AM106" s="140">
        <f>AH4</f>
        <v>160</v>
      </c>
      <c r="AN106" s="140">
        <f>AH41-AH40-AH39</f>
        <v>2.924099258717086</v>
      </c>
      <c r="AO106" s="140">
        <f>SUM(AM106:AN106)</f>
        <v>162.92409925871709</v>
      </c>
      <c r="AP106" s="140">
        <f>AH46-AH43</f>
        <v>-12.734387718770733</v>
      </c>
      <c r="AQ106" s="140">
        <f>IF(AH59-AH54&lt;AH54,-AH54,AH59-AH54)</f>
        <v>-20.526745811493452</v>
      </c>
      <c r="AR106" s="140">
        <f>AH49-AH47</f>
        <v>-6.7202697988580056</v>
      </c>
      <c r="AS106" s="44">
        <f>AH65-AH60</f>
        <v>-13.242829128228301</v>
      </c>
      <c r="AT106" s="137" t="s">
        <v>167</v>
      </c>
    </row>
    <row r="107" spans="1:46" ht="16" thickBot="1">
      <c r="A107" s="185" t="s">
        <v>67</v>
      </c>
      <c r="B107" s="251">
        <f>SUM(B101:B106)</f>
        <v>0.99999999999999989</v>
      </c>
      <c r="C107" s="251">
        <f>SUM(C101:C106)</f>
        <v>1</v>
      </c>
      <c r="D107" s="252">
        <f>SUM(D101:D106)</f>
        <v>1</v>
      </c>
      <c r="N107" s="253">
        <f>SUM(N101:N106)</f>
        <v>1</v>
      </c>
      <c r="AJ107" s="137"/>
    </row>
    <row r="109" spans="1:46" ht="78" customHeight="1" thickBot="1">
      <c r="AJ109" s="142" t="s">
        <v>343</v>
      </c>
      <c r="AK109" s="139" t="s">
        <v>1</v>
      </c>
      <c r="AL109" s="139" t="s">
        <v>180</v>
      </c>
      <c r="AM109" s="139" t="s">
        <v>181</v>
      </c>
      <c r="AN109" s="139" t="s">
        <v>344</v>
      </c>
      <c r="AO109" s="263" t="s">
        <v>308</v>
      </c>
      <c r="AP109" s="139" t="s">
        <v>345</v>
      </c>
      <c r="AQ109" s="139" t="s">
        <v>346</v>
      </c>
      <c r="AR109" s="139" t="s">
        <v>401</v>
      </c>
      <c r="AS109" s="139" t="s">
        <v>184</v>
      </c>
    </row>
    <row r="110" spans="1:46" ht="49" thickBot="1">
      <c r="A110" s="250" t="s">
        <v>395</v>
      </c>
      <c r="B110" s="254">
        <v>2020</v>
      </c>
      <c r="C110" s="186" t="s">
        <v>334</v>
      </c>
      <c r="D110" s="186" t="s">
        <v>282</v>
      </c>
      <c r="E110" s="188"/>
      <c r="F110" s="188"/>
      <c r="G110" s="188"/>
      <c r="H110" s="188"/>
      <c r="I110" s="188"/>
      <c r="J110" s="188"/>
      <c r="K110" s="188"/>
      <c r="L110" s="188"/>
      <c r="M110" s="188"/>
      <c r="N110" s="255" t="s">
        <v>292</v>
      </c>
      <c r="AK110" s="140">
        <f>D14</f>
        <v>46.844581662413418</v>
      </c>
      <c r="AL110" s="140">
        <f>AH14-D14</f>
        <v>24.243699703660226</v>
      </c>
      <c r="AM110" s="140" t="s">
        <v>167</v>
      </c>
      <c r="AN110" s="140">
        <f>AH21-AH14</f>
        <v>0</v>
      </c>
      <c r="AO110" s="143" t="s">
        <v>167</v>
      </c>
      <c r="AP110" s="143">
        <f>-AH44</f>
        <v>-12.565151526917912</v>
      </c>
      <c r="AQ110" s="143">
        <f>-AH45</f>
        <v>-0.16923619185281971</v>
      </c>
      <c r="AR110" s="143">
        <f>SUM(AP110:AQ110)</f>
        <v>-12.734387718770732</v>
      </c>
      <c r="AS110" s="143" t="s">
        <v>167</v>
      </c>
    </row>
    <row r="111" spans="1:46">
      <c r="A111" t="s">
        <v>321</v>
      </c>
      <c r="B111" s="261">
        <f>$D$4*B101</f>
        <v>0</v>
      </c>
      <c r="C111" s="261">
        <f>$AH$4*C101</f>
        <v>0</v>
      </c>
      <c r="D111" s="184"/>
      <c r="N111" s="194"/>
    </row>
    <row r="112" spans="1:46">
      <c r="A112" t="s">
        <v>248</v>
      </c>
      <c r="B112" s="261">
        <f t="shared" ref="B112:B113" si="38">$D$4*B102</f>
        <v>27.948942763397735</v>
      </c>
      <c r="C112" s="261">
        <f t="shared" ref="C112:C113" si="39">$AH$4*C102</f>
        <v>31.200307368518661</v>
      </c>
      <c r="D112" s="184"/>
      <c r="N112" s="194"/>
    </row>
    <row r="113" spans="1:46" ht="71.5" customHeight="1">
      <c r="A113" t="s">
        <v>312</v>
      </c>
      <c r="B113" s="261">
        <f t="shared" si="38"/>
        <v>7.1158676631425433</v>
      </c>
      <c r="C113" s="261">
        <f t="shared" si="39"/>
        <v>7.9436728667427943</v>
      </c>
      <c r="D113" s="184"/>
      <c r="N113" s="194"/>
      <c r="AJ113" s="142" t="s">
        <v>348</v>
      </c>
      <c r="AK113" s="139" t="s">
        <v>1</v>
      </c>
      <c r="AL113" s="139" t="s">
        <v>180</v>
      </c>
      <c r="AM113" s="139" t="s">
        <v>181</v>
      </c>
      <c r="AN113" s="139" t="s">
        <v>344</v>
      </c>
      <c r="AO113" s="263" t="s">
        <v>308</v>
      </c>
      <c r="AP113" s="139" t="s">
        <v>345</v>
      </c>
      <c r="AQ113" s="139" t="s">
        <v>349</v>
      </c>
      <c r="AR113" s="139" t="s">
        <v>350</v>
      </c>
      <c r="AS113" s="139" t="s">
        <v>402</v>
      </c>
      <c r="AT113" s="139" t="s">
        <v>184</v>
      </c>
    </row>
    <row r="114" spans="1:46" ht="16">
      <c r="A114" s="131"/>
      <c r="B114" s="261"/>
      <c r="C114" s="261"/>
      <c r="D114" s="184"/>
      <c r="N114" s="194"/>
      <c r="AK114" s="143">
        <f>D22</f>
        <v>12.379169704702877</v>
      </c>
      <c r="AL114" s="143">
        <f>AH22-D22</f>
        <v>8.1475761067905754</v>
      </c>
      <c r="AM114" s="143" t="s">
        <v>167</v>
      </c>
      <c r="AN114" s="143">
        <f>AH25-AH22</f>
        <v>0</v>
      </c>
      <c r="AO114" s="143" t="s">
        <v>167</v>
      </c>
      <c r="AP114" s="143">
        <f>-AH55</f>
        <v>-1.6507173137739004</v>
      </c>
      <c r="AQ114" s="143">
        <f>-AH56</f>
        <v>-12.659654966288976</v>
      </c>
      <c r="AR114" s="44">
        <f>-AH58</f>
        <v>-0.73335683136221874</v>
      </c>
      <c r="AS114" s="143">
        <f>SUM(AP114:AR114)</f>
        <v>-15.043729111425094</v>
      </c>
      <c r="AT114" t="s">
        <v>167</v>
      </c>
    </row>
    <row r="115" spans="1:46">
      <c r="A115" t="s">
        <v>311</v>
      </c>
      <c r="B115" s="261">
        <f>$D$4*B105</f>
        <v>17.63451512942034</v>
      </c>
      <c r="C115" s="261">
        <f>$AH$4*C105</f>
        <v>29.240992587170979</v>
      </c>
      <c r="D115" s="184"/>
      <c r="N115" s="194"/>
    </row>
    <row r="116" spans="1:46" ht="64">
      <c r="A116" t="s">
        <v>310</v>
      </c>
      <c r="B116" s="261">
        <f>$D$4*B104</f>
        <v>12.379169704702877</v>
      </c>
      <c r="C116" s="261">
        <f>$AH$4*C104</f>
        <v>20.526745811493541</v>
      </c>
      <c r="D116" s="184"/>
      <c r="N116" s="194"/>
      <c r="AJ116" s="142" t="s">
        <v>353</v>
      </c>
      <c r="AK116" s="139" t="s">
        <v>1</v>
      </c>
      <c r="AL116" s="139" t="s">
        <v>180</v>
      </c>
      <c r="AM116" s="139" t="s">
        <v>181</v>
      </c>
      <c r="AN116" s="139" t="s">
        <v>344</v>
      </c>
      <c r="AO116" s="263" t="s">
        <v>308</v>
      </c>
      <c r="AP116" s="139" t="s">
        <v>345</v>
      </c>
      <c r="AQ116" s="139" t="s">
        <v>184</v>
      </c>
      <c r="AR116" s="139"/>
      <c r="AS116" s="139"/>
      <c r="AT116" s="139"/>
    </row>
    <row r="117" spans="1:46" ht="17" thickBot="1">
      <c r="A117" t="s">
        <v>324</v>
      </c>
      <c r="B117" s="261">
        <f>$D$4*B106</f>
        <v>46.844581662413418</v>
      </c>
      <c r="C117" s="261">
        <f>$AH$4*C106</f>
        <v>71.088281366074028</v>
      </c>
      <c r="D117" s="184"/>
      <c r="N117" s="194"/>
      <c r="AK117" s="143">
        <f>D6</f>
        <v>17.63451512942034</v>
      </c>
      <c r="AL117" s="143">
        <f>AH6-D6</f>
        <v>11.606477457750518</v>
      </c>
      <c r="AM117" s="143" t="s">
        <v>167</v>
      </c>
      <c r="AN117" s="143">
        <f>AH13-AH6</f>
        <v>2.9240992587170851</v>
      </c>
      <c r="AO117" s="143" t="s">
        <v>167</v>
      </c>
      <c r="AP117" s="143">
        <f>-AH48</f>
        <v>-6.7202697988580073</v>
      </c>
      <c r="AQ117" t="s">
        <v>167</v>
      </c>
      <c r="AR117" s="44"/>
      <c r="AS117" s="44"/>
      <c r="AT117" s="143"/>
    </row>
    <row r="118" spans="1:46" ht="16" thickBot="1">
      <c r="A118" s="185" t="s">
        <v>67</v>
      </c>
      <c r="B118" s="264">
        <f>SUM(B111:B117)</f>
        <v>111.92307692307691</v>
      </c>
      <c r="C118" s="264">
        <f>SUM(C111:C117)</f>
        <v>160</v>
      </c>
      <c r="D118" s="252"/>
      <c r="N118" s="253"/>
    </row>
    <row r="119" spans="1:46" ht="51.5" customHeight="1">
      <c r="AJ119" s="142" t="s">
        <v>354</v>
      </c>
      <c r="AK119" s="139" t="s">
        <v>1</v>
      </c>
      <c r="AL119" s="139" t="s">
        <v>180</v>
      </c>
      <c r="AM119" s="139" t="s">
        <v>181</v>
      </c>
      <c r="AN119" s="139" t="s">
        <v>344</v>
      </c>
      <c r="AO119" s="263" t="s">
        <v>308</v>
      </c>
      <c r="AP119" s="139" t="s">
        <v>345</v>
      </c>
      <c r="AQ119" s="139" t="s">
        <v>355</v>
      </c>
      <c r="AR119" s="139" t="s">
        <v>403</v>
      </c>
      <c r="AS119" s="139" t="s">
        <v>184</v>
      </c>
    </row>
    <row r="120" spans="1:46" ht="16">
      <c r="A120" s="1" t="s">
        <v>357</v>
      </c>
      <c r="D120" s="1">
        <v>2020</v>
      </c>
      <c r="E120" s="1">
        <f>D120+1</f>
        <v>2021</v>
      </c>
      <c r="F120" s="1">
        <f t="shared" ref="F120:Q120" si="40">E120+1</f>
        <v>2022</v>
      </c>
      <c r="G120" s="1">
        <f t="shared" si="40"/>
        <v>2023</v>
      </c>
      <c r="H120" s="1">
        <f t="shared" si="40"/>
        <v>2024</v>
      </c>
      <c r="I120" s="1">
        <f t="shared" si="40"/>
        <v>2025</v>
      </c>
      <c r="J120" s="1">
        <f t="shared" si="40"/>
        <v>2026</v>
      </c>
      <c r="K120" s="1">
        <f t="shared" si="40"/>
        <v>2027</v>
      </c>
      <c r="L120" s="1">
        <f t="shared" si="40"/>
        <v>2028</v>
      </c>
      <c r="M120" s="1">
        <f t="shared" si="40"/>
        <v>2029</v>
      </c>
      <c r="N120" s="1">
        <f t="shared" si="40"/>
        <v>2030</v>
      </c>
      <c r="O120" s="1">
        <f t="shared" si="40"/>
        <v>2031</v>
      </c>
      <c r="P120" s="1">
        <f t="shared" si="40"/>
        <v>2032</v>
      </c>
      <c r="Q120" s="1">
        <f t="shared" si="40"/>
        <v>2033</v>
      </c>
      <c r="R120" s="1">
        <f>Q120+1</f>
        <v>2034</v>
      </c>
      <c r="S120" s="1">
        <f t="shared" ref="S120:AB120" si="41">R120+1</f>
        <v>2035</v>
      </c>
      <c r="T120" s="1">
        <f t="shared" si="41"/>
        <v>2036</v>
      </c>
      <c r="U120" s="1">
        <f t="shared" si="41"/>
        <v>2037</v>
      </c>
      <c r="V120" s="1">
        <f t="shared" si="41"/>
        <v>2038</v>
      </c>
      <c r="W120" s="1">
        <f t="shared" si="41"/>
        <v>2039</v>
      </c>
      <c r="X120" s="1">
        <f t="shared" si="41"/>
        <v>2040</v>
      </c>
      <c r="Y120" s="1">
        <f t="shared" si="41"/>
        <v>2041</v>
      </c>
      <c r="Z120" s="1">
        <f t="shared" si="41"/>
        <v>2042</v>
      </c>
      <c r="AA120" s="1">
        <f t="shared" si="41"/>
        <v>2043</v>
      </c>
      <c r="AB120" s="1">
        <f t="shared" si="41"/>
        <v>2044</v>
      </c>
      <c r="AC120" s="1">
        <f>AB120+1</f>
        <v>2045</v>
      </c>
      <c r="AD120" s="1">
        <f t="shared" ref="AD120:AF120" si="42">AC120+1</f>
        <v>2046</v>
      </c>
      <c r="AE120" s="1">
        <f t="shared" si="42"/>
        <v>2047</v>
      </c>
      <c r="AF120" s="1">
        <f t="shared" si="42"/>
        <v>2048</v>
      </c>
      <c r="AG120" s="1">
        <f>AF120+1</f>
        <v>2049</v>
      </c>
      <c r="AH120" s="1">
        <f t="shared" ref="AH120" si="43">AG120+1</f>
        <v>2050</v>
      </c>
      <c r="AK120" s="143">
        <f>D26</f>
        <v>0</v>
      </c>
      <c r="AL120" s="143">
        <f>AH26-D26</f>
        <v>0</v>
      </c>
      <c r="AM120" s="143" t="s">
        <v>167</v>
      </c>
      <c r="AN120" s="143">
        <f>AH31-AH26</f>
        <v>0</v>
      </c>
      <c r="AO120" s="143" t="s">
        <v>167</v>
      </c>
      <c r="AP120" s="143">
        <f>-AH51</f>
        <v>0</v>
      </c>
      <c r="AQ120" s="143">
        <f>-AH52</f>
        <v>0</v>
      </c>
      <c r="AR120" s="143">
        <f>SUM(AP120:AQ120)</f>
        <v>0</v>
      </c>
      <c r="AS120" t="s">
        <v>167</v>
      </c>
    </row>
    <row r="121" spans="1:46">
      <c r="C121" t="s">
        <v>168</v>
      </c>
      <c r="D121" s="44">
        <f t="shared" ref="D121:AH121" si="44">D39</f>
        <v>0</v>
      </c>
      <c r="E121" s="44">
        <f t="shared" si="44"/>
        <v>0</v>
      </c>
      <c r="F121" s="44">
        <f t="shared" si="44"/>
        <v>0</v>
      </c>
      <c r="G121" s="44">
        <f t="shared" si="44"/>
        <v>0</v>
      </c>
      <c r="H121" s="44">
        <f t="shared" si="44"/>
        <v>0</v>
      </c>
      <c r="I121" s="44">
        <f t="shared" si="44"/>
        <v>0</v>
      </c>
      <c r="J121" s="44">
        <f t="shared" si="44"/>
        <v>0</v>
      </c>
      <c r="K121" s="44">
        <f t="shared" si="44"/>
        <v>0</v>
      </c>
      <c r="L121" s="44">
        <f t="shared" si="44"/>
        <v>0</v>
      </c>
      <c r="M121" s="44">
        <f t="shared" si="44"/>
        <v>0</v>
      </c>
      <c r="N121" s="44">
        <f t="shared" si="44"/>
        <v>0</v>
      </c>
      <c r="O121" s="44">
        <f t="shared" si="44"/>
        <v>0</v>
      </c>
      <c r="P121" s="44">
        <f t="shared" si="44"/>
        <v>0</v>
      </c>
      <c r="Q121" s="44">
        <f t="shared" si="44"/>
        <v>0</v>
      </c>
      <c r="R121" s="44">
        <f t="shared" si="44"/>
        <v>0</v>
      </c>
      <c r="S121" s="44">
        <f t="shared" si="44"/>
        <v>0</v>
      </c>
      <c r="T121" s="44">
        <f t="shared" si="44"/>
        <v>0</v>
      </c>
      <c r="U121" s="44">
        <f t="shared" si="44"/>
        <v>0</v>
      </c>
      <c r="V121" s="44">
        <f t="shared" si="44"/>
        <v>0</v>
      </c>
      <c r="W121" s="44">
        <f t="shared" si="44"/>
        <v>0</v>
      </c>
      <c r="X121" s="44">
        <f t="shared" si="44"/>
        <v>0</v>
      </c>
      <c r="Y121" s="44">
        <f t="shared" si="44"/>
        <v>0</v>
      </c>
      <c r="Z121" s="44">
        <f t="shared" si="44"/>
        <v>0</v>
      </c>
      <c r="AA121" s="44">
        <f t="shared" si="44"/>
        <v>0</v>
      </c>
      <c r="AB121" s="44">
        <f t="shared" si="44"/>
        <v>0</v>
      </c>
      <c r="AC121" s="44">
        <f t="shared" si="44"/>
        <v>0</v>
      </c>
      <c r="AD121" s="44">
        <f t="shared" si="44"/>
        <v>0</v>
      </c>
      <c r="AE121" s="44">
        <f t="shared" si="44"/>
        <v>0</v>
      </c>
      <c r="AF121" s="44">
        <f t="shared" si="44"/>
        <v>0</v>
      </c>
      <c r="AG121" s="44">
        <f t="shared" si="44"/>
        <v>0</v>
      </c>
      <c r="AH121" s="44">
        <f t="shared" si="44"/>
        <v>0</v>
      </c>
    </row>
    <row r="122" spans="1:46" ht="46" customHeight="1">
      <c r="C122" t="s">
        <v>172</v>
      </c>
      <c r="D122" s="44">
        <f t="shared" ref="D122:AH122" si="45">D40</f>
        <v>0</v>
      </c>
      <c r="E122" s="44">
        <f t="shared" si="45"/>
        <v>0</v>
      </c>
      <c r="F122" s="44">
        <f t="shared" si="45"/>
        <v>0</v>
      </c>
      <c r="G122" s="44">
        <f t="shared" si="45"/>
        <v>0</v>
      </c>
      <c r="H122" s="44">
        <f t="shared" si="45"/>
        <v>0</v>
      </c>
      <c r="I122" s="44">
        <f t="shared" si="45"/>
        <v>0</v>
      </c>
      <c r="J122" s="44">
        <f t="shared" si="45"/>
        <v>0</v>
      </c>
      <c r="K122" s="44">
        <f t="shared" si="45"/>
        <v>0</v>
      </c>
      <c r="L122" s="44">
        <f t="shared" si="45"/>
        <v>0</v>
      </c>
      <c r="M122" s="44">
        <f t="shared" si="45"/>
        <v>0</v>
      </c>
      <c r="N122" s="44">
        <f t="shared" si="45"/>
        <v>0</v>
      </c>
      <c r="O122" s="44">
        <f t="shared" si="45"/>
        <v>0</v>
      </c>
      <c r="P122" s="44">
        <f t="shared" si="45"/>
        <v>0</v>
      </c>
      <c r="Q122" s="44">
        <f t="shared" si="45"/>
        <v>0</v>
      </c>
      <c r="R122" s="44">
        <f t="shared" si="45"/>
        <v>0</v>
      </c>
      <c r="S122" s="44">
        <f t="shared" si="45"/>
        <v>0</v>
      </c>
      <c r="T122" s="44">
        <f t="shared" si="45"/>
        <v>0</v>
      </c>
      <c r="U122" s="44">
        <f t="shared" si="45"/>
        <v>0</v>
      </c>
      <c r="V122" s="44">
        <f t="shared" si="45"/>
        <v>0</v>
      </c>
      <c r="W122" s="44">
        <f t="shared" si="45"/>
        <v>0</v>
      </c>
      <c r="X122" s="44">
        <f t="shared" si="45"/>
        <v>0</v>
      </c>
      <c r="Y122" s="44">
        <f t="shared" si="45"/>
        <v>0</v>
      </c>
      <c r="Z122" s="44">
        <f t="shared" si="45"/>
        <v>0</v>
      </c>
      <c r="AA122" s="44">
        <f t="shared" si="45"/>
        <v>0</v>
      </c>
      <c r="AB122" s="44">
        <f t="shared" si="45"/>
        <v>0</v>
      </c>
      <c r="AC122" s="44">
        <f t="shared" si="45"/>
        <v>0</v>
      </c>
      <c r="AD122" s="44">
        <f t="shared" si="45"/>
        <v>0</v>
      </c>
      <c r="AE122" s="44">
        <f t="shared" si="45"/>
        <v>0</v>
      </c>
      <c r="AF122" s="44">
        <f t="shared" si="45"/>
        <v>0</v>
      </c>
      <c r="AG122" s="44">
        <f t="shared" si="45"/>
        <v>0</v>
      </c>
      <c r="AH122" s="44">
        <f t="shared" si="45"/>
        <v>0</v>
      </c>
      <c r="AJ122" s="142" t="s">
        <v>358</v>
      </c>
      <c r="AK122" s="139" t="s">
        <v>1</v>
      </c>
      <c r="AL122" s="139" t="s">
        <v>180</v>
      </c>
      <c r="AM122" s="139" t="s">
        <v>181</v>
      </c>
      <c r="AN122" s="139" t="s">
        <v>344</v>
      </c>
      <c r="AO122" s="263" t="s">
        <v>308</v>
      </c>
      <c r="AP122" s="139" t="s">
        <v>345</v>
      </c>
      <c r="AQ122" s="139" t="s">
        <v>359</v>
      </c>
      <c r="AR122" s="139" t="s">
        <v>360</v>
      </c>
      <c r="AS122" s="139" t="s">
        <v>404</v>
      </c>
      <c r="AT122" s="139" t="s">
        <v>184</v>
      </c>
    </row>
    <row r="123" spans="1:46" ht="16">
      <c r="C123" t="s">
        <v>324</v>
      </c>
      <c r="D123" s="44">
        <f t="shared" ref="D123:AH123" si="46">D21</f>
        <v>46.844581662413418</v>
      </c>
      <c r="E123" s="44">
        <f t="shared" si="46"/>
        <v>47.500405805687208</v>
      </c>
      <c r="F123" s="44">
        <f t="shared" si="46"/>
        <v>48.165411486966832</v>
      </c>
      <c r="G123" s="44">
        <f t="shared" si="46"/>
        <v>48.839727247784367</v>
      </c>
      <c r="H123" s="44">
        <f t="shared" si="46"/>
        <v>49.523483429253346</v>
      </c>
      <c r="I123" s="44">
        <f t="shared" si="46"/>
        <v>50.216812197262897</v>
      </c>
      <c r="J123" s="44">
        <f t="shared" si="46"/>
        <v>50.919847568024579</v>
      </c>
      <c r="K123" s="44">
        <f t="shared" si="46"/>
        <v>51.632725433976923</v>
      </c>
      <c r="L123" s="44">
        <f t="shared" si="46"/>
        <v>52.355583590052603</v>
      </c>
      <c r="M123" s="44">
        <f t="shared" si="46"/>
        <v>53.08856176031334</v>
      </c>
      <c r="N123" s="44">
        <f t="shared" si="46"/>
        <v>53.831801624957727</v>
      </c>
      <c r="O123" s="44">
        <f t="shared" si="46"/>
        <v>54.585446847707139</v>
      </c>
      <c r="P123" s="44">
        <f t="shared" si="46"/>
        <v>55.34964310357504</v>
      </c>
      <c r="Q123" s="44">
        <f t="shared" si="46"/>
        <v>56.124538107025089</v>
      </c>
      <c r="R123" s="44">
        <f t="shared" si="46"/>
        <v>56.910281640523444</v>
      </c>
      <c r="S123" s="44">
        <f t="shared" si="46"/>
        <v>57.707025583490775</v>
      </c>
      <c r="T123" s="44">
        <f t="shared" si="46"/>
        <v>58.514923941659646</v>
      </c>
      <c r="U123" s="44">
        <f t="shared" si="46"/>
        <v>59.33413287684288</v>
      </c>
      <c r="V123" s="44">
        <f t="shared" si="46"/>
        <v>60.164810737118678</v>
      </c>
      <c r="W123" s="44">
        <f t="shared" si="46"/>
        <v>61.007118087438343</v>
      </c>
      <c r="X123" s="44">
        <f t="shared" si="46"/>
        <v>61.861217740662482</v>
      </c>
      <c r="Y123" s="44">
        <f t="shared" si="46"/>
        <v>62.72727478903176</v>
      </c>
      <c r="Z123" s="44">
        <f t="shared" si="46"/>
        <v>63.605456636078209</v>
      </c>
      <c r="AA123" s="44">
        <f t="shared" si="46"/>
        <v>64.495933028983302</v>
      </c>
      <c r="AB123" s="44">
        <f t="shared" si="46"/>
        <v>65.39887609138907</v>
      </c>
      <c r="AC123" s="44">
        <f t="shared" si="46"/>
        <v>66.314460356668519</v>
      </c>
      <c r="AD123" s="44">
        <f t="shared" si="46"/>
        <v>67.242862801661886</v>
      </c>
      <c r="AE123" s="44">
        <f t="shared" si="46"/>
        <v>68.184262880885157</v>
      </c>
      <c r="AF123" s="44">
        <f t="shared" si="46"/>
        <v>69.138842561217544</v>
      </c>
      <c r="AG123" s="44">
        <f t="shared" si="46"/>
        <v>70.106786357074597</v>
      </c>
      <c r="AH123" s="44">
        <f t="shared" si="46"/>
        <v>71.088281366073645</v>
      </c>
      <c r="AK123" s="143">
        <f>D32</f>
        <v>35.064810426540291</v>
      </c>
      <c r="AL123" s="143">
        <f>AH32-D32</f>
        <v>4.0791698087217441</v>
      </c>
      <c r="AM123" s="143" t="s">
        <v>167</v>
      </c>
      <c r="AN123" s="143">
        <f>AH35-AH32</f>
        <v>0</v>
      </c>
      <c r="AO123" s="143" t="s">
        <v>167</v>
      </c>
      <c r="AP123" s="143">
        <f>-AH61</f>
        <v>-9.5702068110976004</v>
      </c>
      <c r="AQ123" s="143">
        <f>-AH62</f>
        <v>-3.1649137415722439</v>
      </c>
      <c r="AR123" s="44">
        <f>-AH64</f>
        <v>-0.50770857555845916</v>
      </c>
      <c r="AS123" s="143">
        <f>SUM(AP123:AR123)</f>
        <v>-13.242829128228303</v>
      </c>
      <c r="AT123" t="s">
        <v>167</v>
      </c>
    </row>
    <row r="124" spans="1:46">
      <c r="C124" t="s">
        <v>310</v>
      </c>
      <c r="D124" s="44">
        <f t="shared" ref="D124:AH124" si="47">D25</f>
        <v>12.379169704702877</v>
      </c>
      <c r="E124" s="44">
        <f t="shared" si="47"/>
        <v>12.589615589682824</v>
      </c>
      <c r="F124" s="44">
        <f t="shared" si="47"/>
        <v>12.80363905470743</v>
      </c>
      <c r="G124" s="44">
        <f t="shared" si="47"/>
        <v>13.021300918637456</v>
      </c>
      <c r="H124" s="44">
        <f t="shared" si="47"/>
        <v>13.242663034254292</v>
      </c>
      <c r="I124" s="44">
        <f t="shared" si="47"/>
        <v>13.467788305836613</v>
      </c>
      <c r="J124" s="44">
        <f t="shared" si="47"/>
        <v>13.696740707035834</v>
      </c>
      <c r="K124" s="44">
        <f t="shared" si="47"/>
        <v>13.929585299055443</v>
      </c>
      <c r="L124" s="44">
        <f t="shared" si="47"/>
        <v>14.166388249139384</v>
      </c>
      <c r="M124" s="44">
        <f t="shared" si="47"/>
        <v>14.407216849374752</v>
      </c>
      <c r="N124" s="44">
        <f t="shared" si="47"/>
        <v>14.652139535814122</v>
      </c>
      <c r="O124" s="44">
        <f t="shared" si="47"/>
        <v>14.90122590792296</v>
      </c>
      <c r="P124" s="44">
        <f t="shared" si="47"/>
        <v>15.154546748357649</v>
      </c>
      <c r="Q124" s="44">
        <f t="shared" si="47"/>
        <v>15.412174043079728</v>
      </c>
      <c r="R124" s="44">
        <f t="shared" si="47"/>
        <v>15.674181001812082</v>
      </c>
      <c r="S124" s="44">
        <f t="shared" si="47"/>
        <v>15.940642078842886</v>
      </c>
      <c r="T124" s="44">
        <f t="shared" si="47"/>
        <v>16.211632994183216</v>
      </c>
      <c r="U124" s="44">
        <f t="shared" si="47"/>
        <v>16.48723075508433</v>
      </c>
      <c r="V124" s="44">
        <f t="shared" si="47"/>
        <v>16.767513677920761</v>
      </c>
      <c r="W124" s="44">
        <f t="shared" si="47"/>
        <v>17.052561410445414</v>
      </c>
      <c r="X124" s="44">
        <f t="shared" si="47"/>
        <v>17.342454954422983</v>
      </c>
      <c r="Y124" s="44">
        <f t="shared" si="47"/>
        <v>17.637276688648171</v>
      </c>
      <c r="Z124" s="44">
        <f t="shared" si="47"/>
        <v>17.937110392355187</v>
      </c>
      <c r="AA124" s="44">
        <f t="shared" si="47"/>
        <v>18.242041269025222</v>
      </c>
      <c r="AB124" s="44">
        <f t="shared" si="47"/>
        <v>18.552155970598648</v>
      </c>
      <c r="AC124" s="44">
        <f t="shared" si="47"/>
        <v>18.867542622098824</v>
      </c>
      <c r="AD124" s="44">
        <f t="shared" si="47"/>
        <v>19.188290846674501</v>
      </c>
      <c r="AE124" s="44">
        <f t="shared" si="47"/>
        <v>19.514491791067964</v>
      </c>
      <c r="AF124" s="44">
        <f t="shared" si="47"/>
        <v>19.846238151516118</v>
      </c>
      <c r="AG124" s="44">
        <f t="shared" si="47"/>
        <v>20.183624200091892</v>
      </c>
      <c r="AH124" s="44">
        <f t="shared" si="47"/>
        <v>20.526745811493452</v>
      </c>
    </row>
    <row r="125" spans="1:46" ht="64">
      <c r="C125" t="s">
        <v>311</v>
      </c>
      <c r="D125" s="44">
        <f t="shared" ref="D125:AH125" si="48">D13</f>
        <v>17.63451512942034</v>
      </c>
      <c r="E125" s="44">
        <f t="shared" si="48"/>
        <v>17.970170490393727</v>
      </c>
      <c r="F125" s="44">
        <f t="shared" si="48"/>
        <v>18.312141758767805</v>
      </c>
      <c r="G125" s="44">
        <f t="shared" si="48"/>
        <v>18.660546670994876</v>
      </c>
      <c r="H125" s="44">
        <f t="shared" si="48"/>
        <v>19.015505141269383</v>
      </c>
      <c r="I125" s="44">
        <f t="shared" si="48"/>
        <v>19.377139301545309</v>
      </c>
      <c r="J125" s="44">
        <f t="shared" si="48"/>
        <v>19.745573542284788</v>
      </c>
      <c r="K125" s="44">
        <f t="shared" si="48"/>
        <v>20.120934553951265</v>
      </c>
      <c r="L125" s="44">
        <f t="shared" si="48"/>
        <v>20.503351369260681</v>
      </c>
      <c r="M125" s="44">
        <f t="shared" si="48"/>
        <v>20.892955406204525</v>
      </c>
      <c r="N125" s="44">
        <f t="shared" si="48"/>
        <v>21.28988051185874</v>
      </c>
      <c r="O125" s="44">
        <f t="shared" si="48"/>
        <v>21.757944796641517</v>
      </c>
      <c r="P125" s="44">
        <f t="shared" si="48"/>
        <v>22.235770491638981</v>
      </c>
      <c r="Q125" s="44">
        <f t="shared" si="48"/>
        <v>22.723554214220126</v>
      </c>
      <c r="R125" s="44">
        <f t="shared" si="48"/>
        <v>23.221496445696946</v>
      </c>
      <c r="S125" s="44">
        <f t="shared" si="48"/>
        <v>23.729801605876073</v>
      </c>
      <c r="T125" s="44">
        <f t="shared" si="48"/>
        <v>24.24867812902848</v>
      </c>
      <c r="U125" s="44">
        <f t="shared" si="48"/>
        <v>24.77833854130397</v>
      </c>
      <c r="V125" s="44">
        <f t="shared" si="48"/>
        <v>25.31899953961754</v>
      </c>
      <c r="W125" s="44">
        <f t="shared" si="48"/>
        <v>25.870882072035329</v>
      </c>
      <c r="X125" s="44">
        <f t="shared" si="48"/>
        <v>26.434211419688378</v>
      </c>
      <c r="Y125" s="44">
        <f t="shared" si="48"/>
        <v>26.958967573674919</v>
      </c>
      <c r="Z125" s="44">
        <f t="shared" si="48"/>
        <v>27.493925949796711</v>
      </c>
      <c r="AA125" s="44">
        <f t="shared" si="48"/>
        <v>28.039281769077853</v>
      </c>
      <c r="AB125" s="44">
        <f t="shared" si="48"/>
        <v>28.59523394161506</v>
      </c>
      <c r="AC125" s="44">
        <f t="shared" si="48"/>
        <v>29.161985135587273</v>
      </c>
      <c r="AD125" s="44">
        <f t="shared" si="48"/>
        <v>29.73974184754541</v>
      </c>
      <c r="AE125" s="44">
        <f t="shared" si="48"/>
        <v>30.328714474005942</v>
      </c>
      <c r="AF125" s="44">
        <f t="shared" si="48"/>
        <v>30.929117384372191</v>
      </c>
      <c r="AG125" s="44">
        <f t="shared" si="48"/>
        <v>31.541168995207901</v>
      </c>
      <c r="AH125" s="44">
        <f t="shared" si="48"/>
        <v>32.165091845887943</v>
      </c>
      <c r="AJ125" s="142" t="s">
        <v>363</v>
      </c>
      <c r="AK125" s="139" t="s">
        <v>1</v>
      </c>
      <c r="AL125" s="139" t="s">
        <v>180</v>
      </c>
      <c r="AM125" s="139" t="s">
        <v>181</v>
      </c>
      <c r="AN125" s="139" t="s">
        <v>182</v>
      </c>
      <c r="AO125" s="139" t="s">
        <v>183</v>
      </c>
      <c r="AP125" s="263" t="s">
        <v>28</v>
      </c>
      <c r="AQ125" s="139" t="s">
        <v>193</v>
      </c>
      <c r="AR125" s="139" t="s">
        <v>184</v>
      </c>
    </row>
    <row r="126" spans="1:46" ht="16">
      <c r="C126" s="131" t="s">
        <v>320</v>
      </c>
      <c r="D126" s="44">
        <f t="shared" ref="D126:AH126" si="49">D31</f>
        <v>0</v>
      </c>
      <c r="E126" s="44">
        <f t="shared" si="49"/>
        <v>0</v>
      </c>
      <c r="F126" s="44">
        <f t="shared" si="49"/>
        <v>0</v>
      </c>
      <c r="G126" s="44">
        <f t="shared" si="49"/>
        <v>0</v>
      </c>
      <c r="H126" s="44">
        <f t="shared" si="49"/>
        <v>0</v>
      </c>
      <c r="I126" s="44">
        <f t="shared" si="49"/>
        <v>0</v>
      </c>
      <c r="J126" s="44">
        <f t="shared" si="49"/>
        <v>0</v>
      </c>
      <c r="K126" s="44">
        <f t="shared" si="49"/>
        <v>0</v>
      </c>
      <c r="L126" s="44">
        <f t="shared" si="49"/>
        <v>0</v>
      </c>
      <c r="M126" s="44">
        <f t="shared" si="49"/>
        <v>0</v>
      </c>
      <c r="N126" s="44">
        <f t="shared" si="49"/>
        <v>0</v>
      </c>
      <c r="O126" s="44">
        <f t="shared" si="49"/>
        <v>0</v>
      </c>
      <c r="P126" s="44">
        <f t="shared" si="49"/>
        <v>0</v>
      </c>
      <c r="Q126" s="44">
        <f t="shared" si="49"/>
        <v>0</v>
      </c>
      <c r="R126" s="44">
        <f t="shared" si="49"/>
        <v>0</v>
      </c>
      <c r="S126" s="44">
        <f t="shared" si="49"/>
        <v>0</v>
      </c>
      <c r="T126" s="44">
        <f t="shared" si="49"/>
        <v>0</v>
      </c>
      <c r="U126" s="44">
        <f t="shared" si="49"/>
        <v>0</v>
      </c>
      <c r="V126" s="44">
        <f t="shared" si="49"/>
        <v>0</v>
      </c>
      <c r="W126" s="44">
        <f t="shared" si="49"/>
        <v>0</v>
      </c>
      <c r="X126" s="44">
        <f t="shared" si="49"/>
        <v>0</v>
      </c>
      <c r="Y126" s="44">
        <f t="shared" si="49"/>
        <v>0</v>
      </c>
      <c r="Z126" s="44">
        <f t="shared" si="49"/>
        <v>0</v>
      </c>
      <c r="AA126" s="44">
        <f t="shared" si="49"/>
        <v>0</v>
      </c>
      <c r="AB126" s="44">
        <f t="shared" si="49"/>
        <v>0</v>
      </c>
      <c r="AC126" s="44">
        <f t="shared" si="49"/>
        <v>0</v>
      </c>
      <c r="AD126" s="44">
        <f t="shared" si="49"/>
        <v>0</v>
      </c>
      <c r="AE126" s="44">
        <f t="shared" si="49"/>
        <v>0</v>
      </c>
      <c r="AF126" s="44">
        <f t="shared" si="49"/>
        <v>0</v>
      </c>
      <c r="AG126" s="44">
        <f t="shared" si="49"/>
        <v>0</v>
      </c>
      <c r="AH126" s="44">
        <f t="shared" si="49"/>
        <v>0</v>
      </c>
      <c r="AK126" s="143">
        <f>D4</f>
        <v>111.92307692307692</v>
      </c>
      <c r="AL126" s="143">
        <f>AH4-D4</f>
        <v>48.07692307692308</v>
      </c>
      <c r="AM126" s="143" t="s">
        <v>167</v>
      </c>
      <c r="AN126" s="44">
        <f>AH41</f>
        <v>2.924099258717086</v>
      </c>
      <c r="AO126" s="143">
        <f>AH39</f>
        <v>0</v>
      </c>
      <c r="AP126" s="143">
        <f>AH40</f>
        <v>0</v>
      </c>
      <c r="AQ126" s="143">
        <f>AH66+AH67</f>
        <v>47.741215757282141</v>
      </c>
      <c r="AR126" t="s">
        <v>167</v>
      </c>
    </row>
    <row r="127" spans="1:46">
      <c r="C127" t="s">
        <v>321</v>
      </c>
      <c r="D127" s="44">
        <f t="shared" ref="D127:AH127" si="50">D38</f>
        <v>0</v>
      </c>
      <c r="E127" s="44">
        <f t="shared" si="50"/>
        <v>0</v>
      </c>
      <c r="F127" s="44">
        <f t="shared" si="50"/>
        <v>0</v>
      </c>
      <c r="G127" s="44">
        <f t="shared" si="50"/>
        <v>0</v>
      </c>
      <c r="H127" s="44">
        <f t="shared" si="50"/>
        <v>0</v>
      </c>
      <c r="I127" s="44">
        <f t="shared" si="50"/>
        <v>0</v>
      </c>
      <c r="J127" s="44">
        <f t="shared" si="50"/>
        <v>0</v>
      </c>
      <c r="K127" s="44">
        <f t="shared" si="50"/>
        <v>0</v>
      </c>
      <c r="L127" s="44">
        <f t="shared" si="50"/>
        <v>0</v>
      </c>
      <c r="M127" s="44">
        <f t="shared" si="50"/>
        <v>0</v>
      </c>
      <c r="N127" s="44">
        <f t="shared" si="50"/>
        <v>0</v>
      </c>
      <c r="O127" s="44">
        <f t="shared" si="50"/>
        <v>0</v>
      </c>
      <c r="P127" s="44">
        <f t="shared" si="50"/>
        <v>0</v>
      </c>
      <c r="Q127" s="44">
        <f t="shared" si="50"/>
        <v>0</v>
      </c>
      <c r="R127" s="44">
        <f t="shared" si="50"/>
        <v>0</v>
      </c>
      <c r="S127" s="44">
        <f t="shared" si="50"/>
        <v>0</v>
      </c>
      <c r="T127" s="44">
        <f t="shared" si="50"/>
        <v>0</v>
      </c>
      <c r="U127" s="44">
        <f t="shared" si="50"/>
        <v>0</v>
      </c>
      <c r="V127" s="44">
        <f t="shared" si="50"/>
        <v>0</v>
      </c>
      <c r="W127" s="44">
        <f t="shared" si="50"/>
        <v>0</v>
      </c>
      <c r="X127" s="44">
        <f t="shared" si="50"/>
        <v>0</v>
      </c>
      <c r="Y127" s="44">
        <f t="shared" si="50"/>
        <v>0</v>
      </c>
      <c r="Z127" s="44">
        <f t="shared" si="50"/>
        <v>0</v>
      </c>
      <c r="AA127" s="44">
        <f t="shared" si="50"/>
        <v>0</v>
      </c>
      <c r="AB127" s="44">
        <f t="shared" si="50"/>
        <v>0</v>
      </c>
      <c r="AC127" s="44">
        <f t="shared" si="50"/>
        <v>0</v>
      </c>
      <c r="AD127" s="44">
        <f t="shared" si="50"/>
        <v>0</v>
      </c>
      <c r="AE127" s="44">
        <f t="shared" si="50"/>
        <v>0</v>
      </c>
      <c r="AF127" s="44">
        <f t="shared" si="50"/>
        <v>0</v>
      </c>
      <c r="AG127" s="44">
        <f t="shared" si="50"/>
        <v>0</v>
      </c>
      <c r="AH127" s="44">
        <f t="shared" si="50"/>
        <v>0</v>
      </c>
    </row>
    <row r="128" spans="1:46">
      <c r="C128" t="s">
        <v>248</v>
      </c>
      <c r="D128" s="44">
        <f t="shared" ref="D128:AH128" si="51">D35</f>
        <v>35.064810426540291</v>
      </c>
      <c r="E128" s="44">
        <f t="shared" si="51"/>
        <v>36.116775689152504</v>
      </c>
      <c r="F128" s="44">
        <f t="shared" si="51"/>
        <v>37.194840842672889</v>
      </c>
      <c r="G128" s="44">
        <f t="shared" si="51"/>
        <v>38.299600968841681</v>
      </c>
      <c r="H128" s="44">
        <f t="shared" si="51"/>
        <v>39.431664105577326</v>
      </c>
      <c r="I128" s="44">
        <f t="shared" si="51"/>
        <v>40.591651521265369</v>
      </c>
      <c r="J128" s="44">
        <f t="shared" si="51"/>
        <v>41.559479269006808</v>
      </c>
      <c r="K128" s="44">
        <f t="shared" si="51"/>
        <v>42.548161106867823</v>
      </c>
      <c r="L128" s="44">
        <f t="shared" si="51"/>
        <v>43.558122404188012</v>
      </c>
      <c r="M128" s="44">
        <f t="shared" si="51"/>
        <v>44.589796919996559</v>
      </c>
      <c r="N128" s="44">
        <f t="shared" si="51"/>
        <v>45.643626964856836</v>
      </c>
      <c r="O128" s="44">
        <f t="shared" si="51"/>
        <v>45.513538753044301</v>
      </c>
      <c r="P128" s="44">
        <f t="shared" si="51"/>
        <v>45.373793604755676</v>
      </c>
      <c r="Q128" s="44">
        <f t="shared" si="51"/>
        <v>45.224170750896405</v>
      </c>
      <c r="R128" s="44">
        <f t="shared" si="51"/>
        <v>45.064445309997041</v>
      </c>
      <c r="S128" s="44">
        <f t="shared" si="51"/>
        <v>44.894388217210761</v>
      </c>
      <c r="T128" s="44">
        <f t="shared" si="51"/>
        <v>44.657909758188808</v>
      </c>
      <c r="U128" s="44">
        <f t="shared" si="51"/>
        <v>44.409635027587569</v>
      </c>
      <c r="V128" s="44">
        <f t="shared" si="51"/>
        <v>44.149308712963851</v>
      </c>
      <c r="W128" s="44">
        <f t="shared" si="51"/>
        <v>43.876670865120836</v>
      </c>
      <c r="X128" s="44">
        <f t="shared" si="51"/>
        <v>43.591456819224469</v>
      </c>
      <c r="Y128" s="44">
        <f t="shared" si="51"/>
        <v>43.239931957107011</v>
      </c>
      <c r="Z128" s="44">
        <f t="shared" si="51"/>
        <v>42.874376509212937</v>
      </c>
      <c r="AA128" s="44">
        <f t="shared" si="51"/>
        <v>42.494499544079559</v>
      </c>
      <c r="AB128" s="44">
        <f t="shared" si="51"/>
        <v>42.100004953666058</v>
      </c>
      <c r="AC128" s="44">
        <f t="shared" si="51"/>
        <v>41.690591366313512</v>
      </c>
      <c r="AD128" s="44">
        <f t="shared" si="51"/>
        <v>41.214681649789782</v>
      </c>
      <c r="AE128" s="44">
        <f t="shared" si="51"/>
        <v>40.722396518730974</v>
      </c>
      <c r="AF128" s="44">
        <f t="shared" si="51"/>
        <v>40.213408011445836</v>
      </c>
      <c r="AG128" s="44">
        <f t="shared" si="51"/>
        <v>39.68738242812433</v>
      </c>
      <c r="AH128" s="44">
        <f t="shared" si="51"/>
        <v>39.143980235262035</v>
      </c>
    </row>
    <row r="129" spans="1:36">
      <c r="C129" t="s">
        <v>364</v>
      </c>
      <c r="D129" s="44">
        <f>SUM(D121:D128)</f>
        <v>111.92307692307692</v>
      </c>
      <c r="E129" s="44">
        <f t="shared" ref="E129:AH129" si="52">SUM(E121:E128)</f>
        <v>114.17696757491626</v>
      </c>
      <c r="F129" s="44">
        <f t="shared" si="52"/>
        <v>116.47603314311496</v>
      </c>
      <c r="G129" s="44">
        <f t="shared" si="52"/>
        <v>118.82117580625837</v>
      </c>
      <c r="H129" s="44">
        <f t="shared" si="52"/>
        <v>121.21331571035435</v>
      </c>
      <c r="I129" s="44">
        <f t="shared" si="52"/>
        <v>123.65339132591018</v>
      </c>
      <c r="J129" s="44">
        <f t="shared" si="52"/>
        <v>125.921641086352</v>
      </c>
      <c r="K129" s="44">
        <f t="shared" si="52"/>
        <v>128.23140639385144</v>
      </c>
      <c r="L129" s="44">
        <f t="shared" si="52"/>
        <v>130.58344561264067</v>
      </c>
      <c r="M129" s="44">
        <f t="shared" si="52"/>
        <v>132.97853093588918</v>
      </c>
      <c r="N129" s="44">
        <f t="shared" si="52"/>
        <v>135.41744863748744</v>
      </c>
      <c r="O129" s="44">
        <f t="shared" si="52"/>
        <v>136.75815630531594</v>
      </c>
      <c r="P129" s="44">
        <f t="shared" si="52"/>
        <v>138.11375394832737</v>
      </c>
      <c r="Q129" s="44">
        <f t="shared" si="52"/>
        <v>139.48443711522134</v>
      </c>
      <c r="R129" s="44">
        <f t="shared" si="52"/>
        <v>140.87040439802951</v>
      </c>
      <c r="S129" s="44">
        <f t="shared" si="52"/>
        <v>142.2718574854205</v>
      </c>
      <c r="T129" s="44">
        <f t="shared" si="52"/>
        <v>143.63314482306015</v>
      </c>
      <c r="U129" s="44">
        <f t="shared" si="52"/>
        <v>145.00933720081875</v>
      </c>
      <c r="V129" s="44">
        <f t="shared" si="52"/>
        <v>146.40063266762081</v>
      </c>
      <c r="W129" s="44">
        <f t="shared" si="52"/>
        <v>147.80723243503994</v>
      </c>
      <c r="X129" s="44">
        <f t="shared" si="52"/>
        <v>149.22934093399832</v>
      </c>
      <c r="Y129" s="44">
        <f t="shared" si="52"/>
        <v>150.56345100846187</v>
      </c>
      <c r="Z129" s="44">
        <f t="shared" si="52"/>
        <v>151.91086948744305</v>
      </c>
      <c r="AA129" s="44">
        <f t="shared" si="52"/>
        <v>153.27175561116593</v>
      </c>
      <c r="AB129" s="44">
        <f t="shared" si="52"/>
        <v>154.64627095726883</v>
      </c>
      <c r="AC129" s="44">
        <f t="shared" si="52"/>
        <v>156.03457948066813</v>
      </c>
      <c r="AD129" s="44">
        <f t="shared" si="52"/>
        <v>157.38557714567159</v>
      </c>
      <c r="AE129" s="44">
        <f t="shared" si="52"/>
        <v>158.74986566469005</v>
      </c>
      <c r="AF129" s="44">
        <f t="shared" si="52"/>
        <v>160.12760610855167</v>
      </c>
      <c r="AG129" s="44">
        <f t="shared" si="52"/>
        <v>161.51896198049872</v>
      </c>
      <c r="AH129" s="44">
        <f t="shared" si="52"/>
        <v>162.92409925871709</v>
      </c>
    </row>
    <row r="131" spans="1:36">
      <c r="A131" s="1" t="s">
        <v>365</v>
      </c>
      <c r="C131" t="s">
        <v>168</v>
      </c>
      <c r="D131" s="44">
        <f>D121</f>
        <v>0</v>
      </c>
      <c r="E131" s="44">
        <f t="shared" ref="E131:AH132" si="53">E121</f>
        <v>0</v>
      </c>
      <c r="F131" s="44">
        <f t="shared" si="53"/>
        <v>0</v>
      </c>
      <c r="G131" s="44">
        <f t="shared" si="53"/>
        <v>0</v>
      </c>
      <c r="H131" s="44">
        <f t="shared" si="53"/>
        <v>0</v>
      </c>
      <c r="I131" s="44">
        <f t="shared" si="53"/>
        <v>0</v>
      </c>
      <c r="J131" s="44">
        <f t="shared" si="53"/>
        <v>0</v>
      </c>
      <c r="K131" s="44">
        <f t="shared" si="53"/>
        <v>0</v>
      </c>
      <c r="L131" s="44">
        <f t="shared" si="53"/>
        <v>0</v>
      </c>
      <c r="M131" s="44">
        <f t="shared" si="53"/>
        <v>0</v>
      </c>
      <c r="N131" s="44">
        <f t="shared" si="53"/>
        <v>0</v>
      </c>
      <c r="O131" s="44">
        <f t="shared" si="53"/>
        <v>0</v>
      </c>
      <c r="P131" s="44">
        <f t="shared" si="53"/>
        <v>0</v>
      </c>
      <c r="Q131" s="44">
        <f t="shared" si="53"/>
        <v>0</v>
      </c>
      <c r="R131" s="44">
        <f t="shared" si="53"/>
        <v>0</v>
      </c>
      <c r="S131" s="44">
        <f t="shared" si="53"/>
        <v>0</v>
      </c>
      <c r="T131" s="44">
        <f t="shared" si="53"/>
        <v>0</v>
      </c>
      <c r="U131" s="44">
        <f t="shared" si="53"/>
        <v>0</v>
      </c>
      <c r="V131" s="44">
        <f t="shared" si="53"/>
        <v>0</v>
      </c>
      <c r="W131" s="44">
        <f t="shared" si="53"/>
        <v>0</v>
      </c>
      <c r="X131" s="44">
        <f t="shared" si="53"/>
        <v>0</v>
      </c>
      <c r="Y131" s="44">
        <f t="shared" si="53"/>
        <v>0</v>
      </c>
      <c r="Z131" s="44">
        <f t="shared" si="53"/>
        <v>0</v>
      </c>
      <c r="AA131" s="44">
        <f t="shared" si="53"/>
        <v>0</v>
      </c>
      <c r="AB131" s="44">
        <f t="shared" si="53"/>
        <v>0</v>
      </c>
      <c r="AC131" s="44">
        <f t="shared" si="53"/>
        <v>0</v>
      </c>
      <c r="AD131" s="44">
        <f t="shared" si="53"/>
        <v>0</v>
      </c>
      <c r="AE131" s="44">
        <f t="shared" si="53"/>
        <v>0</v>
      </c>
      <c r="AF131" s="44">
        <f t="shared" si="53"/>
        <v>0</v>
      </c>
      <c r="AG131" s="44">
        <f t="shared" si="53"/>
        <v>0</v>
      </c>
      <c r="AH131" s="44">
        <f t="shared" si="53"/>
        <v>0</v>
      </c>
    </row>
    <row r="132" spans="1:36">
      <c r="C132" t="s">
        <v>172</v>
      </c>
      <c r="D132" s="44">
        <f>D122</f>
        <v>0</v>
      </c>
      <c r="E132" s="44">
        <f t="shared" si="53"/>
        <v>0</v>
      </c>
      <c r="F132" s="44">
        <f t="shared" si="53"/>
        <v>0</v>
      </c>
      <c r="G132" s="44">
        <f t="shared" si="53"/>
        <v>0</v>
      </c>
      <c r="H132" s="44">
        <f t="shared" si="53"/>
        <v>0</v>
      </c>
      <c r="I132" s="44">
        <f t="shared" si="53"/>
        <v>0</v>
      </c>
      <c r="J132" s="44">
        <f t="shared" si="53"/>
        <v>0</v>
      </c>
      <c r="K132" s="44">
        <f t="shared" si="53"/>
        <v>0</v>
      </c>
      <c r="L132" s="44">
        <f t="shared" si="53"/>
        <v>0</v>
      </c>
      <c r="M132" s="44">
        <f t="shared" si="53"/>
        <v>0</v>
      </c>
      <c r="N132" s="44">
        <f t="shared" si="53"/>
        <v>0</v>
      </c>
      <c r="O132" s="44">
        <f t="shared" si="53"/>
        <v>0</v>
      </c>
      <c r="P132" s="44">
        <f t="shared" si="53"/>
        <v>0</v>
      </c>
      <c r="Q132" s="44">
        <f t="shared" si="53"/>
        <v>0</v>
      </c>
      <c r="R132" s="44">
        <f t="shared" si="53"/>
        <v>0</v>
      </c>
      <c r="S132" s="44">
        <f t="shared" si="53"/>
        <v>0</v>
      </c>
      <c r="T132" s="44">
        <f t="shared" si="53"/>
        <v>0</v>
      </c>
      <c r="U132" s="44">
        <f t="shared" si="53"/>
        <v>0</v>
      </c>
      <c r="V132" s="44">
        <f t="shared" si="53"/>
        <v>0</v>
      </c>
      <c r="W132" s="44">
        <f t="shared" si="53"/>
        <v>0</v>
      </c>
      <c r="X132" s="44">
        <f t="shared" si="53"/>
        <v>0</v>
      </c>
      <c r="Y132" s="44">
        <f t="shared" si="53"/>
        <v>0</v>
      </c>
      <c r="Z132" s="44">
        <f t="shared" si="53"/>
        <v>0</v>
      </c>
      <c r="AA132" s="44">
        <f t="shared" si="53"/>
        <v>0</v>
      </c>
      <c r="AB132" s="44">
        <f t="shared" si="53"/>
        <v>0</v>
      </c>
      <c r="AC132" s="44">
        <f t="shared" si="53"/>
        <v>0</v>
      </c>
      <c r="AD132" s="44">
        <f t="shared" si="53"/>
        <v>0</v>
      </c>
      <c r="AE132" s="44">
        <f t="shared" si="53"/>
        <v>0</v>
      </c>
      <c r="AF132" s="44">
        <f t="shared" si="53"/>
        <v>0</v>
      </c>
      <c r="AG132" s="44">
        <f t="shared" si="53"/>
        <v>0</v>
      </c>
      <c r="AH132" s="44">
        <f t="shared" si="53"/>
        <v>0</v>
      </c>
    </row>
    <row r="133" spans="1:36">
      <c r="C133" t="s">
        <v>193</v>
      </c>
      <c r="D133" s="44" cm="1">
        <f t="array" ref="D133">-(D46-D43+D49-D47+D53-D50+_xlfn.IFS(D59&lt;0, -D54, D59-D54&lt;=0,D59-D54, else, D54)+D65-D60)</f>
        <v>0</v>
      </c>
      <c r="E133" s="44" cm="1">
        <f t="array" ref="E133">-(E46-E43+E49-E47+E53-E50+_xlfn.IFS(E59&lt;0, -E54, E59-E54&lt;=0,E59-E54, else, E54)+E65-E60)</f>
        <v>0.53491604774025348</v>
      </c>
      <c r="F133" s="44" cm="1">
        <f t="array" ref="F133">-(F46-F43+F49-F47+F53-F50+_xlfn.IFS(F59&lt;0, -F54, F59-F54&lt;=0,F59-F54, else, F54)+F65-F60)</f>
        <v>1.0919554006388168</v>
      </c>
      <c r="G133" s="44" cm="1">
        <f t="array" ref="G133">-(G46-G43+G49-G47+G53-G50+_xlfn.IFS(G59&lt;0, -G54, G59-G54&lt;=0,G59-G54, else, G54)+G65-G60)</f>
        <v>1.6686234443347914</v>
      </c>
      <c r="H133" s="44" cm="1">
        <f t="array" ref="H133">-(H46-H43+H49-H47+H53-H50+_xlfn.IFS(H59&lt;0, -H54, H59-H54&lt;=0,H59-H54, else, H54)+H65-H60)</f>
        <v>2.2620799714408903</v>
      </c>
      <c r="I133" s="44" cm="1">
        <f t="array" ref="I133">-(I46-I43+I49-I47+I53-I50+_xlfn.IFS(I59&lt;0, -I54, I59-I54&lt;=0,I59-I54, else, I54)+I65-I60)</f>
        <v>2.8691578515143945</v>
      </c>
      <c r="J133" s="44" cm="1">
        <f t="array" ref="J133">-(J46-J43+J49-J47+J53-J50+_xlfn.IFS(J59&lt;0, -J54, J59-J54&lt;=0,J59-J54, else, J54)+J65-J60)</f>
        <v>3.5043140932587562</v>
      </c>
      <c r="K133" s="44" cm="1">
        <f t="array" ref="K133">-(K46-K43+K49-K47+K53-K50+_xlfn.IFS(K59&lt;0, -K54, K59-K54&lt;=0,K59-K54, else, K54)+K65-K60)</f>
        <v>4.1679477966586376</v>
      </c>
      <c r="L133" s="44" cm="1">
        <f t="array" ref="L133">-(L46-L43+L49-L47+L53-L50+_xlfn.IFS(L59&lt;0, -L54, L59-L54&lt;=0,L59-L54, else, L54)+L65-L60)</f>
        <v>4.8604174439602374</v>
      </c>
      <c r="M133" s="44" cm="1">
        <f t="array" ref="M133">-(M46-M43+M49-M47+M53-M50+_xlfn.IFS(M59&lt;0, -M54, M59-M54&lt;=0,M59-M54, else, M54)+M65-M60)</f>
        <v>5.5820383754420249</v>
      </c>
      <c r="N133" s="44" cm="1">
        <f t="array" ref="N133">-(N46-N43+N49-N47+N53-N50+_xlfn.IFS(N59&lt;0, -N54, N59-N54&lt;=0,N59-N54, else, N54)+N65-N60)</f>
        <v>6.333080302315409</v>
      </c>
      <c r="O133" s="44" cm="1">
        <f t="array" ref="O133">-(O46-O43+O49-O47+O53-O50+_xlfn.IFS(O59&lt;0, -O54, O59-O54&lt;=0,O59-O54, else, O54)+O65-O60)</f>
        <v>7.5639042852300307</v>
      </c>
      <c r="P133" s="44" cm="1">
        <f t="array" ref="P133">-(P46-P43+P49-P47+P53-P50+_xlfn.IFS(P59&lt;0, -P54, P59-P54&lt;=0,P59-P54, else, P54)+P65-P60)</f>
        <v>8.8293620949681042</v>
      </c>
      <c r="Q133" s="44" cm="1">
        <f t="array" ref="Q133">-(Q46-Q43+Q49-Q47+Q53-Q50+_xlfn.IFS(Q59&lt;0, -Q54, Q59-Q54&lt;=0,Q59-Q54, else, Q54)+Q65-Q60)</f>
        <v>10.12803043599736</v>
      </c>
      <c r="R133" s="44" cm="1">
        <f t="array" ref="R133">-(R46-R43+R49-R47+R53-R50+_xlfn.IFS(R59&lt;0, -R54, R59-R54&lt;=0,R59-R54, else, R54)+R65-R60)</f>
        <v>11.450967600925331</v>
      </c>
      <c r="S133" s="44" cm="1">
        <f t="array" ref="S133">-(S46-S43+S49-S47+S53-S50+_xlfn.IFS(S59&lt;0, -S54, S59-S54&lt;=0,S59-S54, else, S54)+S65-S60)</f>
        <v>12.791885613751298</v>
      </c>
      <c r="T133" s="44" cm="1">
        <f t="array" ref="T133">-(T46-T43+T49-T47+T53-T50+_xlfn.IFS(T59&lt;0, -T54, T59-T54&lt;=0,T59-T54, else, T54)+T65-T60)</f>
        <v>14.178288712381306</v>
      </c>
      <c r="U133" s="44" cm="1">
        <f t="array" ref="U133">-(U46-U43+U49-U47+U53-U50+_xlfn.IFS(U59&lt;0, -U54, U59-U54&lt;=0,U59-U54, else, U54)+U65-U60)</f>
        <v>15.610791703347374</v>
      </c>
      <c r="V133" s="44" cm="1">
        <f t="array" ref="V133">-(V46-V43+V49-V47+V53-V50+_xlfn.IFS(V59&lt;0, -V54, V59-V54&lt;=0,V59-V54, else, V54)+V65-V60)</f>
        <v>17.089997484444126</v>
      </c>
      <c r="W133" s="44" cm="1">
        <f t="array" ref="W133">-(W46-W43+W49-W47+W53-W50+_xlfn.IFS(W59&lt;0, -W54, W59-W54&lt;=0,W59-W54, else, W54)+W65-W60)</f>
        <v>18.616496400778008</v>
      </c>
      <c r="X133" s="44" cm="1">
        <f t="array" ref="X133">-(X46-X43+X49-X47+X53-X50+_xlfn.IFS(X59&lt;0, -X54, X59-X54&lt;=0,X59-X54, else, X54)+X65-X60)</f>
        <v>20.190865598726766</v>
      </c>
      <c r="Y133" s="44" cm="1">
        <f t="array" ref="Y133">-(Y46-Y43+Y49-Y47+Y53-Y50+_xlfn.IFS(Y59&lt;0, -Y54, Y59-Y54&lt;=0,Y59-Y54, else, Y54)+Y65-Y60)</f>
        <v>22.558798324674473</v>
      </c>
      <c r="Z133" s="44" cm="1">
        <f t="array" ref="Z133">-(Z46-Z43+Z49-Z47+Z53-Z50+_xlfn.IFS(Z59&lt;0, -Z54, Z59-Z54&lt;=0,Z59-Z54, else, Z54)+Z65-Z60)</f>
        <v>25.005700904543772</v>
      </c>
      <c r="AA133" s="44" cm="1">
        <f t="array" ref="AA133">-(AA46-AA43+AA49-AA47+AA53-AA50+_xlfn.IFS(AA59&lt;0, -AA54, AA59-AA54&lt;=0,AA59-AA54, else, AA54)+AA65-AA60)</f>
        <v>27.547280168281123</v>
      </c>
      <c r="AB133" s="44" cm="1">
        <f t="array" ref="AB133">-(AB46-AB43+AB49-AB47+AB53-AB50+_xlfn.IFS(AB59&lt;0, -AB54, AB59-AB54&lt;=0,AB59-AB54, else, AB54)+AB65-AB60)</f>
        <v>30.172384258193226</v>
      </c>
      <c r="AC133" s="44" cm="1">
        <f t="array" ref="AC133">-(AC46-AC43+AC49-AC47+AC53-AC50+_xlfn.IFS(AC59&lt;0, -AC54, AC59-AC54&lt;=0,AC59-AC54, else, AC54)+AC65-AC60)</f>
        <v>32.882053797786611</v>
      </c>
      <c r="AD133" s="44" cm="1">
        <f t="array" ref="AD133">-(AD46-AD43+AD49-AD47+AD53-AD50+_xlfn.IFS(AD59&lt;0, -AD54, AD59-AD54&lt;=0,AD59-AD54, else, AD54)+AD65-AD60)</f>
        <v>35.677690888593077</v>
      </c>
      <c r="AE133" s="44" cm="1">
        <f t="array" ref="AE133">-(AE46-AE43+AE49-AE47+AE53-AE50+_xlfn.IFS(AE59&lt;0, -AE54, AE59-AE54&lt;=0,AE59-AE54, else, AE54)+AE65-AE60)</f>
        <v>38.560374593708829</v>
      </c>
      <c r="AF133" s="44" cm="1">
        <f t="array" ref="AF133">-(AF46-AF43+AF49-AF47+AF53-AF50+_xlfn.IFS(AF59&lt;0, -AF54, AF59-AF54&lt;=0,AF59-AF54, else, AF54)+AF65-AF60)</f>
        <v>41.531165656650195</v>
      </c>
      <c r="AG133" s="44" cm="1">
        <f t="array" ref="AG133">-(AG46-AG43+AG49-AG47+AG53-AG50+_xlfn.IFS(AG59&lt;0, -AG54, AG59-AG54&lt;=0,AG59-AG54, else, AG54)+AG65-AG60)</f>
        <v>44.591105589304888</v>
      </c>
      <c r="AH133" s="44" cm="1">
        <f t="array" ref="AH133">-(AH46-AH43+AH49-AH47+AH53-AH50+_xlfn.IFS(AH59&lt;0, -AH54, AH59-AH54&lt;=0,AH59-AH54, else, AH54)+AH65-AH60)</f>
        <v>47.741215757282134</v>
      </c>
      <c r="AI133" s="44"/>
    </row>
    <row r="134" spans="1:36">
      <c r="C134" t="s">
        <v>324</v>
      </c>
      <c r="D134" s="44">
        <f t="shared" ref="D134:AH134" si="54">D46</f>
        <v>46.844581662413418</v>
      </c>
      <c r="E134" s="44">
        <f t="shared" si="54"/>
        <v>47.372464435614063</v>
      </c>
      <c r="F134" s="44">
        <f t="shared" si="54"/>
        <v>47.902243553419162</v>
      </c>
      <c r="G134" s="44">
        <f t="shared" si="54"/>
        <v>48.434534499674236</v>
      </c>
      <c r="H134" s="44">
        <f t="shared" si="54"/>
        <v>48.970058731953834</v>
      </c>
      <c r="I134" s="44">
        <f t="shared" si="54"/>
        <v>49.509641632585577</v>
      </c>
      <c r="J134" s="44">
        <f t="shared" si="54"/>
        <v>50.0503227487131</v>
      </c>
      <c r="K134" s="44">
        <f t="shared" si="54"/>
        <v>50.592048738346662</v>
      </c>
      <c r="L134" s="44">
        <f t="shared" si="54"/>
        <v>51.134778623225735</v>
      </c>
      <c r="M134" s="44">
        <f t="shared" si="54"/>
        <v>51.678484729364563</v>
      </c>
      <c r="N134" s="44">
        <f t="shared" si="54"/>
        <v>52.223153627141023</v>
      </c>
      <c r="O134" s="44">
        <f t="shared" si="54"/>
        <v>52.671412267090695</v>
      </c>
      <c r="P134" s="44">
        <f t="shared" si="54"/>
        <v>53.119006521597846</v>
      </c>
      <c r="Q134" s="44">
        <f t="shared" si="54"/>
        <v>53.567036388859208</v>
      </c>
      <c r="R134" s="44">
        <f t="shared" si="54"/>
        <v>54.01728309290494</v>
      </c>
      <c r="S134" s="44">
        <f t="shared" si="54"/>
        <v>54.471418311119223</v>
      </c>
      <c r="T134" s="44">
        <f t="shared" si="54"/>
        <v>54.923094232500269</v>
      </c>
      <c r="U134" s="44">
        <f t="shared" si="54"/>
        <v>55.372247713559133</v>
      </c>
      <c r="V134" s="44">
        <f t="shared" si="54"/>
        <v>55.818820786685137</v>
      </c>
      <c r="W134" s="44">
        <f t="shared" si="54"/>
        <v>56.262760899424265</v>
      </c>
      <c r="X134" s="44">
        <f t="shared" si="54"/>
        <v>56.704021155511754</v>
      </c>
      <c r="Y134" s="44">
        <f t="shared" si="54"/>
        <v>56.93110005889455</v>
      </c>
      <c r="Z134" s="44">
        <f t="shared" si="54"/>
        <v>57.145083926205409</v>
      </c>
      <c r="AA134" s="44">
        <f t="shared" si="54"/>
        <v>57.345101506102999</v>
      </c>
      <c r="AB134" s="44">
        <f t="shared" si="54"/>
        <v>57.531565982665427</v>
      </c>
      <c r="AC134" s="44">
        <f t="shared" si="54"/>
        <v>57.704289246628669</v>
      </c>
      <c r="AD134" s="44">
        <f t="shared" si="54"/>
        <v>57.862994401812728</v>
      </c>
      <c r="AE134" s="44">
        <f t="shared" si="54"/>
        <v>58.007488437145938</v>
      </c>
      <c r="AF134" s="44">
        <f t="shared" si="54"/>
        <v>58.137586205279213</v>
      </c>
      <c r="AG134" s="44">
        <f t="shared" si="54"/>
        <v>58.253110752022316</v>
      </c>
      <c r="AH134" s="44">
        <f t="shared" si="54"/>
        <v>58.353893647302911</v>
      </c>
    </row>
    <row r="135" spans="1:36">
      <c r="C135" t="s">
        <v>310</v>
      </c>
      <c r="D135" s="44">
        <f t="shared" ref="D135:AH135" si="55">IF(D59&lt;0,0,D59)</f>
        <v>12.379169704702877</v>
      </c>
      <c r="E135" s="44">
        <f t="shared" si="55"/>
        <v>12.4026350060502</v>
      </c>
      <c r="F135" s="44">
        <f t="shared" si="55"/>
        <v>12.422928288501055</v>
      </c>
      <c r="G135" s="44">
        <f t="shared" si="55"/>
        <v>12.441073305935202</v>
      </c>
      <c r="H135" s="44">
        <f t="shared" si="55"/>
        <v>12.458202357340866</v>
      </c>
      <c r="I135" s="44">
        <f t="shared" si="55"/>
        <v>12.475547746300304</v>
      </c>
      <c r="J135" s="44">
        <f t="shared" si="55"/>
        <v>12.48834663873896</v>
      </c>
      <c r="K135" s="44">
        <f t="shared" si="55"/>
        <v>12.496597340989904</v>
      </c>
      <c r="L135" s="44">
        <f t="shared" si="55"/>
        <v>12.500312166632774</v>
      </c>
      <c r="M135" s="44">
        <f t="shared" si="55"/>
        <v>12.499518062681693</v>
      </c>
      <c r="N135" s="44">
        <f t="shared" si="55"/>
        <v>12.494257219913877</v>
      </c>
      <c r="O135" s="44">
        <f t="shared" si="55"/>
        <v>12.329492737874808</v>
      </c>
      <c r="P135" s="44">
        <f t="shared" si="55"/>
        <v>12.159470502965124</v>
      </c>
      <c r="Q135" s="44">
        <f t="shared" si="55"/>
        <v>11.984885014683051</v>
      </c>
      <c r="R135" s="44">
        <f t="shared" si="55"/>
        <v>11.808905658651245</v>
      </c>
      <c r="S135" s="44">
        <f t="shared" si="55"/>
        <v>11.63377102193286</v>
      </c>
      <c r="T135" s="44">
        <f t="shared" si="55"/>
        <v>11.450349775581603</v>
      </c>
      <c r="U135" s="44">
        <f t="shared" si="55"/>
        <v>11.258585857528194</v>
      </c>
      <c r="V135" s="44">
        <f t="shared" si="55"/>
        <v>11.058428242206093</v>
      </c>
      <c r="W135" s="44">
        <f t="shared" si="55"/>
        <v>10.849831110596131</v>
      </c>
      <c r="X135" s="44">
        <f t="shared" si="55"/>
        <v>10.632754020436305</v>
      </c>
      <c r="Y135" s="44">
        <f t="shared" si="55"/>
        <v>10.191423295960998</v>
      </c>
      <c r="Z135" s="44">
        <f t="shared" si="55"/>
        <v>9.7345021761073376</v>
      </c>
      <c r="AA135" s="44">
        <f t="shared" si="55"/>
        <v>9.2590637745711994</v>
      </c>
      <c r="AB135" s="44">
        <f t="shared" si="55"/>
        <v>8.7677219454176729</v>
      </c>
      <c r="AC135" s="44">
        <f t="shared" si="55"/>
        <v>8.2604584215285186</v>
      </c>
      <c r="AD135" s="44">
        <f t="shared" si="55"/>
        <v>7.7371413379355678</v>
      </c>
      <c r="AE135" s="44">
        <f t="shared" si="55"/>
        <v>7.1977478126168233</v>
      </c>
      <c r="AF135" s="44">
        <f t="shared" si="55"/>
        <v>6.642264025498906</v>
      </c>
      <c r="AG135" s="44">
        <f t="shared" si="55"/>
        <v>6.0706853863830306</v>
      </c>
      <c r="AH135" s="44">
        <f t="shared" si="55"/>
        <v>5.4830167000683581</v>
      </c>
    </row>
    <row r="136" spans="1:36">
      <c r="C136" t="s">
        <v>311</v>
      </c>
      <c r="D136" s="44">
        <f t="shared" ref="D136:AH136" si="56">D49</f>
        <v>17.63451512942034</v>
      </c>
      <c r="E136" s="44">
        <f t="shared" si="56"/>
        <v>17.953942591916636</v>
      </c>
      <c r="F136" s="44">
        <f t="shared" si="56"/>
        <v>18.275010988513181</v>
      </c>
      <c r="G136" s="44">
        <f t="shared" si="56"/>
        <v>18.597631387661966</v>
      </c>
      <c r="H136" s="44">
        <f t="shared" si="56"/>
        <v>18.921775972002582</v>
      </c>
      <c r="I136" s="44">
        <f t="shared" si="56"/>
        <v>19.247483759126919</v>
      </c>
      <c r="J136" s="44">
        <f t="shared" si="56"/>
        <v>19.574445293921755</v>
      </c>
      <c r="K136" s="44">
        <f t="shared" si="56"/>
        <v>19.902544991951032</v>
      </c>
      <c r="L136" s="44">
        <f t="shared" si="56"/>
        <v>20.231674405828436</v>
      </c>
      <c r="M136" s="44">
        <f t="shared" si="56"/>
        <v>20.561733182358246</v>
      </c>
      <c r="N136" s="44">
        <f t="shared" si="56"/>
        <v>20.892630032081772</v>
      </c>
      <c r="O136" s="44">
        <f t="shared" si="56"/>
        <v>21.25223909238689</v>
      </c>
      <c r="P136" s="44">
        <f t="shared" si="56"/>
        <v>21.609515666728985</v>
      </c>
      <c r="Q136" s="44">
        <f t="shared" si="56"/>
        <v>21.96327965976522</v>
      </c>
      <c r="R136" s="44">
        <f t="shared" si="56"/>
        <v>22.315041897705061</v>
      </c>
      <c r="S136" s="44">
        <f t="shared" si="56"/>
        <v>22.665394984150449</v>
      </c>
      <c r="T136" s="44">
        <f t="shared" si="56"/>
        <v>23.012807889810432</v>
      </c>
      <c r="U136" s="44">
        <f t="shared" si="56"/>
        <v>23.357165196175483</v>
      </c>
      <c r="V136" s="44">
        <f t="shared" si="56"/>
        <v>23.698357539364725</v>
      </c>
      <c r="W136" s="44">
        <f t="shared" si="56"/>
        <v>24.036281983915906</v>
      </c>
      <c r="X136" s="44">
        <f t="shared" si="56"/>
        <v>24.370842401541694</v>
      </c>
      <c r="Y136" s="44">
        <f t="shared" si="56"/>
        <v>24.562711058596904</v>
      </c>
      <c r="Z136" s="44">
        <f t="shared" si="56"/>
        <v>24.740111651866766</v>
      </c>
      <c r="AA136" s="44">
        <f t="shared" si="56"/>
        <v>24.89341907595157</v>
      </c>
      <c r="AB136" s="44">
        <f t="shared" si="56"/>
        <v>25.029213388443033</v>
      </c>
      <c r="AC136" s="44">
        <f t="shared" si="56"/>
        <v>25.146945668888193</v>
      </c>
      <c r="AD136" s="44">
        <f t="shared" si="56"/>
        <v>25.246028271250246</v>
      </c>
      <c r="AE136" s="44">
        <f t="shared" si="56"/>
        <v>25.325906395304802</v>
      </c>
      <c r="AF136" s="44">
        <f t="shared" si="56"/>
        <v>25.38602874440469</v>
      </c>
      <c r="AG136" s="44">
        <f t="shared" si="56"/>
        <v>25.425848123306956</v>
      </c>
      <c r="AH136" s="44">
        <f t="shared" si="56"/>
        <v>25.444822047029938</v>
      </c>
    </row>
    <row r="137" spans="1:36">
      <c r="C137" s="131" t="s">
        <v>320</v>
      </c>
      <c r="D137" s="44">
        <f t="shared" ref="D137:AH137" si="57">D53</f>
        <v>0</v>
      </c>
      <c r="E137" s="44">
        <f t="shared" si="57"/>
        <v>0</v>
      </c>
      <c r="F137" s="44">
        <f t="shared" si="57"/>
        <v>0</v>
      </c>
      <c r="G137" s="44">
        <f t="shared" si="57"/>
        <v>0</v>
      </c>
      <c r="H137" s="44">
        <f t="shared" si="57"/>
        <v>0</v>
      </c>
      <c r="I137" s="44">
        <f t="shared" si="57"/>
        <v>0</v>
      </c>
      <c r="J137" s="44">
        <f t="shared" si="57"/>
        <v>0</v>
      </c>
      <c r="K137" s="44">
        <f t="shared" si="57"/>
        <v>0</v>
      </c>
      <c r="L137" s="44">
        <f t="shared" si="57"/>
        <v>0</v>
      </c>
      <c r="M137" s="44">
        <f t="shared" si="57"/>
        <v>0</v>
      </c>
      <c r="N137" s="44">
        <f t="shared" si="57"/>
        <v>0</v>
      </c>
      <c r="O137" s="44">
        <f t="shared" si="57"/>
        <v>0</v>
      </c>
      <c r="P137" s="44">
        <f t="shared" si="57"/>
        <v>0</v>
      </c>
      <c r="Q137" s="44">
        <f t="shared" si="57"/>
        <v>0</v>
      </c>
      <c r="R137" s="44">
        <f t="shared" si="57"/>
        <v>0</v>
      </c>
      <c r="S137" s="44">
        <f t="shared" si="57"/>
        <v>0</v>
      </c>
      <c r="T137" s="44">
        <f t="shared" si="57"/>
        <v>0</v>
      </c>
      <c r="U137" s="44">
        <f t="shared" si="57"/>
        <v>0</v>
      </c>
      <c r="V137" s="44">
        <f t="shared" si="57"/>
        <v>0</v>
      </c>
      <c r="W137" s="44">
        <f t="shared" si="57"/>
        <v>0</v>
      </c>
      <c r="X137" s="44">
        <f t="shared" si="57"/>
        <v>0</v>
      </c>
      <c r="Y137" s="44">
        <f t="shared" si="57"/>
        <v>0</v>
      </c>
      <c r="Z137" s="44">
        <f t="shared" si="57"/>
        <v>0</v>
      </c>
      <c r="AA137" s="44">
        <f t="shared" si="57"/>
        <v>0</v>
      </c>
      <c r="AB137" s="44">
        <f t="shared" si="57"/>
        <v>0</v>
      </c>
      <c r="AC137" s="44">
        <f t="shared" si="57"/>
        <v>0</v>
      </c>
      <c r="AD137" s="44">
        <f t="shared" si="57"/>
        <v>0</v>
      </c>
      <c r="AE137" s="44">
        <f t="shared" si="57"/>
        <v>0</v>
      </c>
      <c r="AF137" s="44">
        <f t="shared" si="57"/>
        <v>0</v>
      </c>
      <c r="AG137" s="44">
        <f t="shared" si="57"/>
        <v>0</v>
      </c>
      <c r="AH137" s="44">
        <f t="shared" si="57"/>
        <v>0</v>
      </c>
    </row>
    <row r="138" spans="1:36">
      <c r="C138" t="s">
        <v>321</v>
      </c>
      <c r="D138" s="44">
        <f>D127</f>
        <v>0</v>
      </c>
      <c r="E138" s="44">
        <f t="shared" ref="E138:AH138" si="58">E127</f>
        <v>0</v>
      </c>
      <c r="F138" s="44">
        <f t="shared" si="58"/>
        <v>0</v>
      </c>
      <c r="G138" s="44">
        <f t="shared" si="58"/>
        <v>0</v>
      </c>
      <c r="H138" s="44">
        <f t="shared" si="58"/>
        <v>0</v>
      </c>
      <c r="I138" s="44">
        <f t="shared" si="58"/>
        <v>0</v>
      </c>
      <c r="J138" s="44">
        <f t="shared" si="58"/>
        <v>0</v>
      </c>
      <c r="K138" s="44">
        <f t="shared" si="58"/>
        <v>0</v>
      </c>
      <c r="L138" s="44">
        <f t="shared" si="58"/>
        <v>0</v>
      </c>
      <c r="M138" s="44">
        <f t="shared" si="58"/>
        <v>0</v>
      </c>
      <c r="N138" s="44">
        <f t="shared" si="58"/>
        <v>0</v>
      </c>
      <c r="O138" s="44">
        <f t="shared" si="58"/>
        <v>0</v>
      </c>
      <c r="P138" s="44">
        <f t="shared" si="58"/>
        <v>0</v>
      </c>
      <c r="Q138" s="44">
        <f t="shared" si="58"/>
        <v>0</v>
      </c>
      <c r="R138" s="44">
        <f t="shared" si="58"/>
        <v>0</v>
      </c>
      <c r="S138" s="44">
        <f t="shared" si="58"/>
        <v>0</v>
      </c>
      <c r="T138" s="44">
        <f t="shared" si="58"/>
        <v>0</v>
      </c>
      <c r="U138" s="44">
        <f t="shared" si="58"/>
        <v>0</v>
      </c>
      <c r="V138" s="44">
        <f t="shared" si="58"/>
        <v>0</v>
      </c>
      <c r="W138" s="44">
        <f t="shared" si="58"/>
        <v>0</v>
      </c>
      <c r="X138" s="44">
        <f t="shared" si="58"/>
        <v>0</v>
      </c>
      <c r="Y138" s="44">
        <f t="shared" si="58"/>
        <v>0</v>
      </c>
      <c r="Z138" s="44">
        <f t="shared" si="58"/>
        <v>0</v>
      </c>
      <c r="AA138" s="44">
        <f t="shared" si="58"/>
        <v>0</v>
      </c>
      <c r="AB138" s="44">
        <f t="shared" si="58"/>
        <v>0</v>
      </c>
      <c r="AC138" s="44">
        <f t="shared" si="58"/>
        <v>0</v>
      </c>
      <c r="AD138" s="44">
        <f t="shared" si="58"/>
        <v>0</v>
      </c>
      <c r="AE138" s="44">
        <f t="shared" si="58"/>
        <v>0</v>
      </c>
      <c r="AF138" s="44">
        <f t="shared" si="58"/>
        <v>0</v>
      </c>
      <c r="AG138" s="44">
        <f t="shared" si="58"/>
        <v>0</v>
      </c>
      <c r="AH138" s="44">
        <f t="shared" si="58"/>
        <v>0</v>
      </c>
    </row>
    <row r="139" spans="1:36">
      <c r="C139" t="s">
        <v>248</v>
      </c>
      <c r="D139" s="44">
        <f t="shared" ref="D139:AH139" si="59">D65-D138</f>
        <v>35.064810426540291</v>
      </c>
      <c r="E139" s="44">
        <f t="shared" si="59"/>
        <v>35.913009493595112</v>
      </c>
      <c r="F139" s="44">
        <f t="shared" si="59"/>
        <v>36.78389491204274</v>
      </c>
      <c r="G139" s="44">
        <f t="shared" si="59"/>
        <v>37.679313168652186</v>
      </c>
      <c r="H139" s="44">
        <f t="shared" si="59"/>
        <v>38.601198677616175</v>
      </c>
      <c r="I139" s="44">
        <f t="shared" si="59"/>
        <v>39.551560336382991</v>
      </c>
      <c r="J139" s="44">
        <f t="shared" si="59"/>
        <v>40.304212311719439</v>
      </c>
      <c r="K139" s="44">
        <f t="shared" si="59"/>
        <v>41.072267525905218</v>
      </c>
      <c r="L139" s="44">
        <f t="shared" si="59"/>
        <v>41.856262972993498</v>
      </c>
      <c r="M139" s="44">
        <f t="shared" si="59"/>
        <v>42.656756586042647</v>
      </c>
      <c r="N139" s="44">
        <f t="shared" si="59"/>
        <v>43.474327456035347</v>
      </c>
      <c r="O139" s="44">
        <f t="shared" si="59"/>
        <v>42.941107922733494</v>
      </c>
      <c r="P139" s="44">
        <f t="shared" si="59"/>
        <v>42.396399162067283</v>
      </c>
      <c r="Q139" s="44">
        <f t="shared" si="59"/>
        <v>41.841205615916508</v>
      </c>
      <c r="R139" s="44">
        <f t="shared" si="59"/>
        <v>41.278206147842937</v>
      </c>
      <c r="S139" s="44">
        <f t="shared" si="59"/>
        <v>40.709387554466666</v>
      </c>
      <c r="T139" s="44">
        <f t="shared" si="59"/>
        <v>40.068604212786539</v>
      </c>
      <c r="U139" s="44">
        <f t="shared" si="59"/>
        <v>39.410546730208566</v>
      </c>
      <c r="V139" s="44">
        <f t="shared" si="59"/>
        <v>38.735028614920751</v>
      </c>
      <c r="W139" s="44">
        <f t="shared" si="59"/>
        <v>38.041862040325611</v>
      </c>
      <c r="X139" s="44">
        <f t="shared" si="59"/>
        <v>37.330857757781793</v>
      </c>
      <c r="Y139" s="44">
        <f t="shared" si="59"/>
        <v>36.319418270334936</v>
      </c>
      <c r="Z139" s="44">
        <f t="shared" si="59"/>
        <v>35.28547082871976</v>
      </c>
      <c r="AA139" s="44">
        <f t="shared" si="59"/>
        <v>34.226891086259045</v>
      </c>
      <c r="AB139" s="44">
        <f t="shared" si="59"/>
        <v>33.145385382549478</v>
      </c>
      <c r="AC139" s="44">
        <f t="shared" si="59"/>
        <v>32.040832345836137</v>
      </c>
      <c r="AD139" s="44">
        <f t="shared" si="59"/>
        <v>30.86172224607996</v>
      </c>
      <c r="AE139" s="44">
        <f t="shared" si="59"/>
        <v>29.658348425913641</v>
      </c>
      <c r="AF139" s="44">
        <f t="shared" si="59"/>
        <v>28.430561476718683</v>
      </c>
      <c r="AG139" s="44">
        <f t="shared" si="59"/>
        <v>27.178212129481533</v>
      </c>
      <c r="AH139" s="44">
        <f t="shared" si="59"/>
        <v>25.901151107033733</v>
      </c>
    </row>
    <row r="140" spans="1:36">
      <c r="D140" s="44">
        <f>SUM(D134:D139)</f>
        <v>111.92307692307692</v>
      </c>
      <c r="E140" s="44">
        <f t="shared" ref="E140:AG140" si="60">SUM(E134:E139)</f>
        <v>113.64205152717601</v>
      </c>
      <c r="F140" s="44">
        <f t="shared" si="60"/>
        <v>115.38407774247614</v>
      </c>
      <c r="G140" s="44">
        <f t="shared" si="60"/>
        <v>117.15255236192358</v>
      </c>
      <c r="H140" s="44">
        <f t="shared" si="60"/>
        <v>118.95123573891345</v>
      </c>
      <c r="I140" s="44">
        <f t="shared" si="60"/>
        <v>120.78423347439579</v>
      </c>
      <c r="J140" s="44">
        <f t="shared" si="60"/>
        <v>122.41732699309325</v>
      </c>
      <c r="K140" s="44">
        <f t="shared" si="60"/>
        <v>124.06345859719282</v>
      </c>
      <c r="L140" s="44">
        <f t="shared" si="60"/>
        <v>125.72302816868046</v>
      </c>
      <c r="M140" s="44">
        <f t="shared" si="60"/>
        <v>127.39649256044716</v>
      </c>
      <c r="N140" s="44">
        <f t="shared" si="60"/>
        <v>129.08436833517203</v>
      </c>
      <c r="O140" s="44">
        <f t="shared" si="60"/>
        <v>129.19425202008588</v>
      </c>
      <c r="P140" s="44">
        <f t="shared" si="60"/>
        <v>129.28439185335924</v>
      </c>
      <c r="Q140" s="44">
        <f t="shared" si="60"/>
        <v>129.35640667922399</v>
      </c>
      <c r="R140" s="44">
        <f t="shared" si="60"/>
        <v>129.4194367971042</v>
      </c>
      <c r="S140" s="44">
        <f t="shared" si="60"/>
        <v>129.47997187166919</v>
      </c>
      <c r="T140" s="44">
        <f t="shared" si="60"/>
        <v>129.45485611067886</v>
      </c>
      <c r="U140" s="44">
        <f t="shared" si="60"/>
        <v>129.39854549747139</v>
      </c>
      <c r="V140" s="44">
        <f t="shared" si="60"/>
        <v>129.31063518317671</v>
      </c>
      <c r="W140" s="44">
        <f t="shared" si="60"/>
        <v>129.1907360342619</v>
      </c>
      <c r="X140" s="44">
        <f t="shared" si="60"/>
        <v>129.03847533527156</v>
      </c>
      <c r="Y140" s="44">
        <f t="shared" si="60"/>
        <v>128.00465268378738</v>
      </c>
      <c r="Z140" s="44">
        <f t="shared" si="60"/>
        <v>126.90516858289928</v>
      </c>
      <c r="AA140" s="44">
        <f t="shared" si="60"/>
        <v>125.72447544288481</v>
      </c>
      <c r="AB140" s="44">
        <f t="shared" si="60"/>
        <v>124.47388669907562</v>
      </c>
      <c r="AC140" s="44">
        <f t="shared" si="60"/>
        <v>123.15252568288152</v>
      </c>
      <c r="AD140" s="44">
        <f t="shared" si="60"/>
        <v>121.7078862570785</v>
      </c>
      <c r="AE140" s="44">
        <f t="shared" si="60"/>
        <v>120.18949107098121</v>
      </c>
      <c r="AF140" s="44">
        <f t="shared" si="60"/>
        <v>118.59644045190149</v>
      </c>
      <c r="AG140" s="44">
        <f t="shared" si="60"/>
        <v>116.92785639119383</v>
      </c>
      <c r="AH140" s="44">
        <f>SUM(AH134:AH139)</f>
        <v>115.18288350143496</v>
      </c>
    </row>
    <row r="141" spans="1:36">
      <c r="C141" t="s">
        <v>364</v>
      </c>
      <c r="D141" s="44">
        <f>SUM(D131:D139)</f>
        <v>111.92307692307692</v>
      </c>
      <c r="E141" s="44">
        <f t="shared" ref="E141:AH141" si="61">SUM(E131:E139)</f>
        <v>114.17696757491628</v>
      </c>
      <c r="F141" s="44">
        <f t="shared" si="61"/>
        <v>116.47603314311496</v>
      </c>
      <c r="G141" s="44">
        <f t="shared" si="61"/>
        <v>118.82117580625838</v>
      </c>
      <c r="H141" s="44">
        <f t="shared" si="61"/>
        <v>121.21331571035435</v>
      </c>
      <c r="I141" s="44">
        <f t="shared" si="61"/>
        <v>123.65339132591019</v>
      </c>
      <c r="J141" s="44">
        <f t="shared" si="61"/>
        <v>125.92164108635201</v>
      </c>
      <c r="K141" s="44">
        <f t="shared" si="61"/>
        <v>128.23140639385144</v>
      </c>
      <c r="L141" s="44">
        <f t="shared" si="61"/>
        <v>130.5834456126407</v>
      </c>
      <c r="M141" s="44">
        <f t="shared" si="61"/>
        <v>132.97853093588918</v>
      </c>
      <c r="N141" s="44">
        <f t="shared" si="61"/>
        <v>135.41744863748744</v>
      </c>
      <c r="O141" s="44">
        <f t="shared" si="61"/>
        <v>136.75815630531594</v>
      </c>
      <c r="P141" s="44">
        <f t="shared" si="61"/>
        <v>138.11375394832734</v>
      </c>
      <c r="Q141" s="44">
        <f t="shared" si="61"/>
        <v>139.48443711522134</v>
      </c>
      <c r="R141" s="44">
        <f t="shared" si="61"/>
        <v>140.87040439802951</v>
      </c>
      <c r="S141" s="44">
        <f t="shared" si="61"/>
        <v>142.2718574854205</v>
      </c>
      <c r="T141" s="44">
        <f t="shared" si="61"/>
        <v>143.63314482306015</v>
      </c>
      <c r="U141" s="44">
        <f t="shared" si="61"/>
        <v>145.00933720081875</v>
      </c>
      <c r="V141" s="44">
        <f t="shared" si="61"/>
        <v>146.40063266762081</v>
      </c>
      <c r="W141" s="44">
        <f t="shared" si="61"/>
        <v>147.80723243503991</v>
      </c>
      <c r="X141" s="44">
        <f t="shared" si="61"/>
        <v>149.22934093399832</v>
      </c>
      <c r="Y141" s="44">
        <f t="shared" si="61"/>
        <v>150.56345100846187</v>
      </c>
      <c r="Z141" s="44">
        <f t="shared" si="61"/>
        <v>151.91086948744305</v>
      </c>
      <c r="AA141" s="44">
        <f t="shared" si="61"/>
        <v>153.27175561116593</v>
      </c>
      <c r="AB141" s="44">
        <f t="shared" si="61"/>
        <v>154.64627095726885</v>
      </c>
      <c r="AC141" s="44">
        <f t="shared" si="61"/>
        <v>156.03457948066813</v>
      </c>
      <c r="AD141" s="44">
        <f t="shared" si="61"/>
        <v>157.38557714567156</v>
      </c>
      <c r="AE141" s="44">
        <f t="shared" si="61"/>
        <v>158.74986566469002</v>
      </c>
      <c r="AF141" s="44">
        <f t="shared" si="61"/>
        <v>160.12760610855167</v>
      </c>
      <c r="AG141" s="44">
        <f t="shared" si="61"/>
        <v>161.51896198049872</v>
      </c>
      <c r="AH141" s="44">
        <f t="shared" si="61"/>
        <v>162.92409925871709</v>
      </c>
    </row>
    <row r="142" spans="1:36">
      <c r="C142" t="s">
        <v>366</v>
      </c>
      <c r="D142" s="44">
        <f>D129-D141</f>
        <v>0</v>
      </c>
      <c r="E142" s="44">
        <f t="shared" ref="E142:AH142" si="62">E129-E141</f>
        <v>0</v>
      </c>
      <c r="F142" s="44">
        <f t="shared" si="62"/>
        <v>0</v>
      </c>
      <c r="G142" s="44">
        <f t="shared" si="62"/>
        <v>0</v>
      </c>
      <c r="H142" s="44">
        <f t="shared" si="62"/>
        <v>0</v>
      </c>
      <c r="I142" s="44">
        <f t="shared" si="62"/>
        <v>0</v>
      </c>
      <c r="J142" s="44">
        <f t="shared" si="62"/>
        <v>0</v>
      </c>
      <c r="K142" s="44">
        <f t="shared" si="62"/>
        <v>0</v>
      </c>
      <c r="L142" s="44">
        <f t="shared" si="62"/>
        <v>0</v>
      </c>
      <c r="M142" s="44">
        <f t="shared" si="62"/>
        <v>0</v>
      </c>
      <c r="N142" s="44">
        <f t="shared" si="62"/>
        <v>0</v>
      </c>
      <c r="O142" s="44">
        <f t="shared" si="62"/>
        <v>0</v>
      </c>
      <c r="P142" s="44">
        <f t="shared" si="62"/>
        <v>0</v>
      </c>
      <c r="Q142" s="44">
        <f t="shared" si="62"/>
        <v>0</v>
      </c>
      <c r="R142" s="44">
        <f t="shared" si="62"/>
        <v>0</v>
      </c>
      <c r="S142" s="44">
        <f t="shared" si="62"/>
        <v>0</v>
      </c>
      <c r="T142" s="44">
        <f t="shared" si="62"/>
        <v>0</v>
      </c>
      <c r="U142" s="44">
        <f t="shared" si="62"/>
        <v>0</v>
      </c>
      <c r="V142" s="44">
        <f t="shared" si="62"/>
        <v>0</v>
      </c>
      <c r="W142" s="44">
        <f t="shared" si="62"/>
        <v>0</v>
      </c>
      <c r="X142" s="44">
        <f t="shared" si="62"/>
        <v>0</v>
      </c>
      <c r="Y142" s="44">
        <f t="shared" si="62"/>
        <v>0</v>
      </c>
      <c r="Z142" s="44">
        <f t="shared" si="62"/>
        <v>0</v>
      </c>
      <c r="AA142" s="44">
        <f t="shared" si="62"/>
        <v>0</v>
      </c>
      <c r="AB142" s="44">
        <f t="shared" si="62"/>
        <v>0</v>
      </c>
      <c r="AC142" s="44">
        <f t="shared" si="62"/>
        <v>0</v>
      </c>
      <c r="AD142" s="44">
        <f t="shared" si="62"/>
        <v>0</v>
      </c>
      <c r="AE142" s="44">
        <f t="shared" si="62"/>
        <v>0</v>
      </c>
      <c r="AF142" s="44">
        <f t="shared" si="62"/>
        <v>0</v>
      </c>
      <c r="AG142" s="44">
        <f t="shared" si="62"/>
        <v>0</v>
      </c>
      <c r="AH142" s="44">
        <f t="shared" si="62"/>
        <v>0</v>
      </c>
      <c r="AJ142" s="208" t="s">
        <v>367</v>
      </c>
    </row>
    <row r="145" spans="4:34">
      <c r="D145">
        <v>0</v>
      </c>
      <c r="E145">
        <v>0.66080278792202662</v>
      </c>
      <c r="F145">
        <v>1.34786726379854</v>
      </c>
      <c r="G145">
        <v>2.0619696493891908</v>
      </c>
      <c r="H145">
        <v>2.8039064568836407</v>
      </c>
      <c r="I145">
        <v>3.5744949847356002</v>
      </c>
      <c r="J145">
        <v>4.3680184789590646</v>
      </c>
      <c r="K145">
        <v>5.1894181252815903</v>
      </c>
      <c r="L145">
        <v>6.0394432265048792</v>
      </c>
      <c r="M145">
        <v>6.9188610083283653</v>
      </c>
      <c r="N145">
        <v>7.8284570205311876</v>
      </c>
      <c r="O145">
        <v>9.1108558770464825</v>
      </c>
      <c r="P145">
        <v>10.424444634446488</v>
      </c>
      <c r="Q145">
        <v>11.769825052370161</v>
      </c>
      <c r="R145">
        <v>13.147608957759635</v>
      </c>
      <c r="S145">
        <v>14.558418382446018</v>
      </c>
      <c r="T145">
        <v>15.998461875393623</v>
      </c>
      <c r="U145">
        <v>17.472169527642265</v>
      </c>
      <c r="V145">
        <v>18.980178884566442</v>
      </c>
      <c r="W145">
        <v>20.523137979821321</v>
      </c>
      <c r="X145">
        <v>22.1017054739456</v>
      </c>
      <c r="Y145">
        <v>24.100436488111185</v>
      </c>
      <c r="Z145">
        <v>26.138868058547377</v>
      </c>
      <c r="AA145">
        <v>28.217447616783076</v>
      </c>
      <c r="AB145">
        <v>30.336619710726399</v>
      </c>
      <c r="AC145">
        <v>32.496825634376123</v>
      </c>
      <c r="AD145">
        <v>34.69185839782957</v>
      </c>
      <c r="AE145">
        <v>36.928160488628706</v>
      </c>
      <c r="AF145">
        <v>39.206146818500585</v>
      </c>
      <c r="AG145">
        <v>41.526227186289837</v>
      </c>
      <c r="AH145">
        <v>43.888805826140164</v>
      </c>
    </row>
    <row r="146" spans="4:34">
      <c r="D146">
        <v>0</v>
      </c>
      <c r="E146">
        <v>0.14224338598899738</v>
      </c>
      <c r="F146">
        <v>0.2903586067554651</v>
      </c>
      <c r="G146">
        <v>0.44452640102920071</v>
      </c>
      <c r="H146">
        <v>0.60493242776441369</v>
      </c>
      <c r="I146">
        <v>0.77176739116662652</v>
      </c>
      <c r="J146">
        <v>0.94304205337334412</v>
      </c>
      <c r="K146">
        <v>1.1203178565701624</v>
      </c>
      <c r="L146">
        <v>1.303756939308814</v>
      </c>
      <c r="M146">
        <v>1.4935253614284558</v>
      </c>
      <c r="N146">
        <v>1.6897931931944021</v>
      </c>
      <c r="O146">
        <v>1.8708361810328689</v>
      </c>
      <c r="P146">
        <v>2.0231058612388075</v>
      </c>
      <c r="Q146">
        <v>2.2223091568506721</v>
      </c>
      <c r="R146">
        <v>2.4241361716522136</v>
      </c>
      <c r="S146">
        <v>2.62860005311944</v>
      </c>
      <c r="T146">
        <v>2.8342389860778523</v>
      </c>
      <c r="U146">
        <v>3.0423278060346339</v>
      </c>
      <c r="V146">
        <v>3.252873240883321</v>
      </c>
      <c r="W146">
        <v>3.4658815257695261</v>
      </c>
      <c r="X146">
        <v>3.6813583854398666</v>
      </c>
      <c r="Y146">
        <v>4.2004584549306969</v>
      </c>
      <c r="Z146">
        <v>4.4182932606810725</v>
      </c>
      <c r="AA146">
        <v>4.6382240495821971</v>
      </c>
      <c r="AB146">
        <v>4.8602438673021915</v>
      </c>
      <c r="AC146">
        <v>5.0843449465423047</v>
      </c>
      <c r="AD146">
        <v>5.3083038012973081</v>
      </c>
      <c r="AE146">
        <v>5.5341139227413674</v>
      </c>
      <c r="AF146">
        <v>5.7617602082357608</v>
      </c>
      <c r="AG146">
        <v>5.9912265672061524</v>
      </c>
      <c r="AH146">
        <v>6.2224958937275208</v>
      </c>
    </row>
    <row r="147" spans="4:34">
      <c r="D147">
        <v>0</v>
      </c>
      <c r="E147">
        <v>0.51968950764971567</v>
      </c>
      <c r="F147">
        <v>1.0583652934954699</v>
      </c>
      <c r="G147">
        <v>1.6133240097961732</v>
      </c>
      <c r="H147">
        <v>2.1815441963193294</v>
      </c>
      <c r="I147">
        <v>2.7597104603781091</v>
      </c>
      <c r="J147">
        <v>3.3443127694493029</v>
      </c>
      <c r="K147">
        <v>3.9509527398610231</v>
      </c>
      <c r="L147">
        <v>4.5795937470033365</v>
      </c>
      <c r="M147">
        <v>5.230150608588751</v>
      </c>
      <c r="N147">
        <v>5.9024881480688123</v>
      </c>
      <c r="O147">
        <v>7.0070959183940644</v>
      </c>
      <c r="P147">
        <v>8.1336951190356359</v>
      </c>
      <c r="Q147">
        <v>9.2591900531530555</v>
      </c>
      <c r="R147">
        <v>10.388380842858815</v>
      </c>
      <c r="S147">
        <v>11.514868013571025</v>
      </c>
      <c r="T147">
        <v>12.66353354592286</v>
      </c>
      <c r="U147">
        <v>13.833913597340938</v>
      </c>
      <c r="V147">
        <v>15.025514502512372</v>
      </c>
      <c r="W147">
        <v>16.237812630740287</v>
      </c>
      <c r="X147">
        <v>17.47025427085876</v>
      </c>
      <c r="Y147">
        <v>19.309871130424042</v>
      </c>
      <c r="Z147">
        <v>21.255159576670028</v>
      </c>
      <c r="AA147">
        <v>23.195528214240241</v>
      </c>
      <c r="AB147">
        <v>25.16198727436192</v>
      </c>
      <c r="AC147">
        <v>27.153420022998315</v>
      </c>
      <c r="AD147">
        <v>29.16714972523782</v>
      </c>
      <c r="AE147">
        <v>31.19882873084358</v>
      </c>
      <c r="AF147">
        <v>32.438695517067238</v>
      </c>
      <c r="AG147">
        <v>33.684054895671181</v>
      </c>
      <c r="AH147">
        <v>34.933496555361771</v>
      </c>
    </row>
    <row r="148" spans="4:34">
      <c r="D148">
        <v>46.844581662413418</v>
      </c>
      <c r="E148">
        <v>47.138352179870786</v>
      </c>
      <c r="F148">
        <v>47.428597531786266</v>
      </c>
      <c r="G148">
        <v>47.715897864173435</v>
      </c>
      <c r="H148">
        <v>48.000926488727607</v>
      </c>
      <c r="I148">
        <v>48.284445175228946</v>
      </c>
      <c r="J148">
        <v>48.563523971983081</v>
      </c>
      <c r="K148">
        <v>48.838099744478036</v>
      </c>
      <c r="L148">
        <v>49.108122967041275</v>
      </c>
      <c r="M148">
        <v>49.37355831268281</v>
      </c>
      <c r="N148">
        <v>49.63438521102271</v>
      </c>
      <c r="O148">
        <v>49.630926681582601</v>
      </c>
      <c r="P148">
        <v>49.648578201799154</v>
      </c>
      <c r="Q148">
        <v>49.617534671521618</v>
      </c>
      <c r="R148">
        <v>49.580903462020061</v>
      </c>
      <c r="S148">
        <v>49.540164619106754</v>
      </c>
      <c r="T148">
        <v>49.489502532353221</v>
      </c>
      <c r="U148">
        <v>49.42893684313389</v>
      </c>
      <c r="V148">
        <v>49.358494518006715</v>
      </c>
      <c r="W148">
        <v>49.278209841119242</v>
      </c>
      <c r="X148">
        <v>49.188124395255834</v>
      </c>
      <c r="Y148">
        <v>48.639092194683514</v>
      </c>
      <c r="Z148">
        <v>48.349808227678402</v>
      </c>
      <c r="AA148">
        <v>48.047694730868834</v>
      </c>
      <c r="AB148">
        <v>47.731282229564705</v>
      </c>
      <c r="AC148">
        <v>47.40071542991798</v>
      </c>
      <c r="AD148">
        <v>47.05607244566842</v>
      </c>
      <c r="AE148">
        <v>46.69750746624505</v>
      </c>
      <c r="AF148">
        <v>46.325186794324082</v>
      </c>
      <c r="AG148">
        <v>45.939288864781616</v>
      </c>
      <c r="AH148">
        <v>45.540004251301866</v>
      </c>
    </row>
    <row r="149" spans="4:34">
      <c r="D149">
        <v>12.379169704702877</v>
      </c>
      <c r="E149">
        <v>12.182196884529915</v>
      </c>
      <c r="F149">
        <v>11.975770409580406</v>
      </c>
      <c r="G149">
        <v>11.760798632193907</v>
      </c>
      <c r="H149">
        <v>11.538280120426156</v>
      </c>
      <c r="I149">
        <v>11.309292704189513</v>
      </c>
      <c r="J149">
        <v>11.069051676321008</v>
      </c>
      <c r="K149">
        <v>10.81746982324359</v>
      </c>
      <c r="L149">
        <v>10.554471972862807</v>
      </c>
      <c r="M149">
        <v>10.279995211378409</v>
      </c>
      <c r="N149">
        <v>9.9939890563058196</v>
      </c>
      <c r="O149">
        <v>9.558380316492574</v>
      </c>
      <c r="P149">
        <v>9.1114638923606197</v>
      </c>
      <c r="Q149">
        <v>8.6624083215491368</v>
      </c>
      <c r="R149">
        <v>8.2085321141460206</v>
      </c>
      <c r="S149">
        <v>7.7518052023768051</v>
      </c>
      <c r="T149">
        <v>7.2837212137902974</v>
      </c>
      <c r="U149">
        <v>6.8042837725075334</v>
      </c>
      <c r="V149">
        <v>6.3135005664454997</v>
      </c>
      <c r="W149">
        <v>5.8113832515598736</v>
      </c>
      <c r="X149">
        <v>5.2979473456521582</v>
      </c>
      <c r="Y149">
        <v>4.6072642344822352</v>
      </c>
      <c r="Z149">
        <v>3.8682872268210486</v>
      </c>
      <c r="AA149">
        <v>3.1222244769960388</v>
      </c>
      <c r="AB149">
        <v>2.3620259261445362</v>
      </c>
      <c r="AC149">
        <v>1.5875803947039606</v>
      </c>
      <c r="AD149">
        <v>0.7986724267277272</v>
      </c>
      <c r="AE149">
        <v>0</v>
      </c>
      <c r="AF149">
        <v>0</v>
      </c>
      <c r="AG149">
        <v>0</v>
      </c>
      <c r="AH149">
        <v>0</v>
      </c>
    </row>
    <row r="150" spans="4:34">
      <c r="D150">
        <v>17.63451512942034</v>
      </c>
      <c r="E150">
        <v>17.857028204550009</v>
      </c>
      <c r="F150">
        <v>18.077747470088042</v>
      </c>
      <c r="G150">
        <v>18.296494389887719</v>
      </c>
      <c r="H150">
        <v>18.513149500161227</v>
      </c>
      <c r="I150">
        <v>18.727658087369189</v>
      </c>
      <c r="J150">
        <v>18.939614836839056</v>
      </c>
      <c r="K150">
        <v>19.14880613155816</v>
      </c>
      <c r="L150">
        <v>19.35502327307567</v>
      </c>
      <c r="M150">
        <v>19.558063392274875</v>
      </c>
      <c r="N150">
        <v>19.757730371636118</v>
      </c>
      <c r="O150">
        <v>19.750313619870138</v>
      </c>
      <c r="P150">
        <v>19.727793131965182</v>
      </c>
      <c r="Q150">
        <v>19.692920729994658</v>
      </c>
      <c r="R150">
        <v>19.644238698326795</v>
      </c>
      <c r="S150">
        <v>19.582215438037068</v>
      </c>
      <c r="T150">
        <v>19.505226790314278</v>
      </c>
      <c r="U150">
        <v>19.413057114579455</v>
      </c>
      <c r="V150">
        <v>19.305497181087947</v>
      </c>
      <c r="W150">
        <v>19.182344381016307</v>
      </c>
      <c r="X150">
        <v>19.04340293288622</v>
      </c>
      <c r="Y150">
        <v>18.377691482922664</v>
      </c>
      <c r="Z150">
        <v>17.683094062525676</v>
      </c>
      <c r="AA150">
        <v>16.983992819156533</v>
      </c>
      <c r="AB150">
        <v>16.262191291109804</v>
      </c>
      <c r="AC150">
        <v>15.518267596593352</v>
      </c>
      <c r="AD150">
        <v>14.752800103573179</v>
      </c>
      <c r="AE150">
        <v>13.966432448241317</v>
      </c>
      <c r="AF150">
        <v>13.159845810420387</v>
      </c>
      <c r="AG150">
        <v>12.33375903122273</v>
      </c>
      <c r="AH150">
        <v>11.48892871076454</v>
      </c>
    </row>
    <row r="151" spans="4:34">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row>
    <row r="152" spans="4:34">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row>
    <row r="153" spans="4:34">
      <c r="D153">
        <v>35.064810426540291</v>
      </c>
      <c r="E153">
        <v>35.676654624404819</v>
      </c>
      <c r="F153">
        <v>36.297326567610767</v>
      </c>
      <c r="G153">
        <v>36.928164859788751</v>
      </c>
      <c r="H153">
        <v>37.570576520071974</v>
      </c>
      <c r="I153">
        <v>38.226022522842207</v>
      </c>
      <c r="J153">
        <v>38.694077299427143</v>
      </c>
      <c r="K153">
        <v>39.166341972858888</v>
      </c>
      <c r="L153">
        <v>39.643033486843891</v>
      </c>
      <c r="M153">
        <v>40.124377041207502</v>
      </c>
      <c r="N153">
        <v>40.61060563672838</v>
      </c>
      <c r="O153">
        <v>39.829747710897188</v>
      </c>
      <c r="P153">
        <v>39.044673107481451</v>
      </c>
      <c r="Q153">
        <v>38.260249129782046</v>
      </c>
      <c r="R153">
        <v>37.476604151265974</v>
      </c>
      <c r="S153">
        <v>36.695785776763387</v>
      </c>
      <c r="T153">
        <v>35.858459879208013</v>
      </c>
      <c r="U153">
        <v>35.01464853958003</v>
      </c>
      <c r="V153">
        <v>34.164573774118537</v>
      </c>
      <c r="W153">
        <v>33.308462825013365</v>
      </c>
      <c r="X153">
        <v>32.446548129959879</v>
      </c>
      <c r="Y153">
        <v>31.328637022907525</v>
      </c>
      <c r="Z153">
        <v>30.197359074519429</v>
      </c>
      <c r="AA153">
        <v>29.066643703539015</v>
      </c>
      <c r="AB153">
        <v>27.931920658059283</v>
      </c>
      <c r="AC153">
        <v>26.793425455536092</v>
      </c>
      <c r="AD153">
        <v>25.610720245337557</v>
      </c>
      <c r="AE153">
        <v>24.42482260799002</v>
      </c>
      <c r="AF153">
        <v>23.235970960003641</v>
      </c>
      <c r="AG153">
        <v>22.044405435327192</v>
      </c>
      <c r="AH153">
        <v>20.850368021421207</v>
      </c>
    </row>
    <row r="154" spans="4:34">
      <c r="D154">
        <v>111.92307692307692</v>
      </c>
      <c r="E154">
        <v>112.85423189335553</v>
      </c>
      <c r="F154">
        <v>113.77944197906548</v>
      </c>
      <c r="G154">
        <v>114.70135574604382</v>
      </c>
      <c r="H154">
        <v>115.62293262938695</v>
      </c>
      <c r="I154">
        <v>116.54741848962985</v>
      </c>
      <c r="J154">
        <v>117.26626778457029</v>
      </c>
      <c r="K154">
        <v>117.97071767213868</v>
      </c>
      <c r="L154">
        <v>118.66065169982365</v>
      </c>
      <c r="M154">
        <v>119.33599395754359</v>
      </c>
      <c r="N154">
        <v>119.99671027569303</v>
      </c>
      <c r="O154">
        <v>118.76936832884249</v>
      </c>
      <c r="P154">
        <v>117.53250833360642</v>
      </c>
      <c r="Q154">
        <v>116.23311285284746</v>
      </c>
      <c r="R154">
        <v>114.91027842575886</v>
      </c>
      <c r="S154">
        <v>113.56997103628402</v>
      </c>
      <c r="T154">
        <v>112.13691041566581</v>
      </c>
      <c r="U154">
        <v>110.66092626980091</v>
      </c>
      <c r="V154">
        <v>109.1420660396587</v>
      </c>
      <c r="W154">
        <v>107.5804002987088</v>
      </c>
      <c r="X154">
        <v>105.97602280375409</v>
      </c>
      <c r="Y154">
        <v>102.95268493499594</v>
      </c>
      <c r="Z154">
        <v>100.09854859154456</v>
      </c>
      <c r="AA154">
        <v>97.22055573056042</v>
      </c>
      <c r="AB154">
        <v>94.287420104878322</v>
      </c>
      <c r="AC154">
        <v>91.299988876751385</v>
      </c>
      <c r="AD154">
        <v>88.218265221306879</v>
      </c>
      <c r="AE154">
        <v>85.088762522476387</v>
      </c>
      <c r="AF154">
        <v>82.721003564748116</v>
      </c>
      <c r="AG154">
        <v>80.317453331331535</v>
      </c>
      <c r="AH154">
        <v>77.87930098348761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F808-D4BB-4D0D-A060-7245A3CB5532}">
  <sheetPr>
    <tabColor theme="9"/>
  </sheetPr>
  <dimension ref="A2:AU152"/>
  <sheetViews>
    <sheetView zoomScale="70" zoomScaleNormal="70" workbookViewId="0">
      <pane xSplit="3" ySplit="3" topLeftCell="D40" activePane="bottomRight" state="frozen"/>
      <selection pane="topRight" activeCell="C65" sqref="C65"/>
      <selection pane="bottomLeft" activeCell="C65" sqref="C65"/>
      <selection pane="bottomRight" activeCell="AH69" sqref="AH69:AH70"/>
    </sheetView>
  </sheetViews>
  <sheetFormatPr baseColWidth="10" defaultColWidth="8.83203125" defaultRowHeight="15" outlineLevelRow="1" outlineLevelCol="1"/>
  <cols>
    <col min="1" max="1" width="29.5" style="1" customWidth="1"/>
    <col min="2" max="2" width="24.5" style="1"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s>
  <sheetData>
    <row r="2" spans="1:36" s="53" customFormat="1">
      <c r="A2" s="52" t="s">
        <v>405</v>
      </c>
      <c r="B2" s="52"/>
      <c r="C2" s="52"/>
    </row>
    <row r="3" spans="1:36"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6">
      <c r="A4" s="1" t="s">
        <v>387</v>
      </c>
      <c r="C4" s="54" t="s">
        <v>153</v>
      </c>
      <c r="D4" s="44">
        <f>'Yearly Demand - Eth&amp;Prop'!N5</f>
        <v>111.92307692307692</v>
      </c>
      <c r="E4" s="44">
        <f>'Yearly Demand - Eth&amp;Prop'!O5</f>
        <v>114.14109897114302</v>
      </c>
      <c r="F4" s="44">
        <f>'Yearly Demand - Eth&amp;Prop'!P5</f>
        <v>116.40307640304019</v>
      </c>
      <c r="G4" s="44">
        <f>'Yearly Demand - Eth&amp;Prop'!Q5</f>
        <v>118.70988029927432</v>
      </c>
      <c r="H4" s="44">
        <f>'Yearly Demand - Eth&amp;Prop'!R5</f>
        <v>121.06239900288395</v>
      </c>
      <c r="I4" s="44">
        <f>'Yearly Demand - Eth&amp;Prop'!S5</f>
        <v>123.46153846153845</v>
      </c>
      <c r="J4" s="44">
        <f>'Yearly Demand - Eth&amp;Prop'!T5</f>
        <v>125.68750385067274</v>
      </c>
      <c r="K4" s="44">
        <f>'Yearly Demand - Eth&amp;Prop'!U5</f>
        <v>127.95360256371801</v>
      </c>
      <c r="L4" s="44">
        <f>'Yearly Demand - Eth&amp;Prop'!V5</f>
        <v>130.26055818950272</v>
      </c>
      <c r="M4" s="44">
        <f>'Yearly Demand - Eth&amp;Prop'!W5</f>
        <v>132.60910736289145</v>
      </c>
      <c r="N4" s="44">
        <f>'Yearly Demand - Eth&amp;Prop'!X5</f>
        <v>135</v>
      </c>
      <c r="O4" s="44">
        <f>'Yearly Demand - Eth&amp;Prop'!Y5</f>
        <v>136.22747472491002</v>
      </c>
      <c r="P4" s="44">
        <f>'Yearly Demand - Eth&amp;Prop'!Z5</f>
        <v>137.46611014760001</v>
      </c>
      <c r="Q4" s="44">
        <f>'Yearly Demand - Eth&amp;Prop'!AA5</f>
        <v>138.71600774565835</v>
      </c>
      <c r="R4" s="44">
        <f>'Yearly Demand - Eth&amp;Prop'!AB5</f>
        <v>139.97726991934886</v>
      </c>
      <c r="S4" s="44">
        <f>'Yearly Demand - Eth&amp;Prop'!AC5</f>
        <v>141.25</v>
      </c>
      <c r="T4" s="44">
        <f>'Yearly Demand - Eth&amp;Prop'!AD5</f>
        <v>142.47844586453499</v>
      </c>
      <c r="U4" s="44">
        <f>'Yearly Demand - Eth&amp;Prop'!AE5</f>
        <v>143.71757547591665</v>
      </c>
      <c r="V4" s="44">
        <f>'Yearly Demand - Eth&amp;Prop'!AF5</f>
        <v>144.96748175028398</v>
      </c>
      <c r="W4" s="44">
        <f>'Yearly Demand - Eth&amp;Prop'!AG5</f>
        <v>146.22825841186406</v>
      </c>
      <c r="X4" s="44">
        <f>'Yearly Demand - Eth&amp;Prop'!AH5</f>
        <v>147.5</v>
      </c>
      <c r="Y4" s="44">
        <f>'Yearly Demand - Eth&amp;Prop'!AI5</f>
        <v>148.72933671873375</v>
      </c>
      <c r="Z4" s="44">
        <f>'Yearly Demand - Eth&amp;Prop'!AJ5</f>
        <v>149.96891932742022</v>
      </c>
      <c r="AA4" s="44">
        <f>'Yearly Demand - Eth&amp;Prop'!AK5</f>
        <v>151.21883322028813</v>
      </c>
      <c r="AB4" s="44">
        <f>'Yearly Demand - Eth&amp;Prop'!AL5</f>
        <v>152.47916450328322</v>
      </c>
      <c r="AC4" s="44">
        <f>'Yearly Demand - Eth&amp;Prop'!AM5</f>
        <v>153.75</v>
      </c>
      <c r="AD4" s="44">
        <f>'Yearly Demand - Eth&amp;Prop'!AN5</f>
        <v>154.98015684917894</v>
      </c>
      <c r="AE4" s="44">
        <f>'Yearly Demand - Eth&amp;Prop'!AO5</f>
        <v>156.22015620810475</v>
      </c>
      <c r="AF4" s="44">
        <f>'Yearly Demand - Eth&amp;Prop'!AP5</f>
        <v>157.4700768268963</v>
      </c>
      <c r="AG4" s="44">
        <f>'Yearly Demand - Eth&amp;Prop'!AQ5</f>
        <v>158.72999808575381</v>
      </c>
      <c r="AH4" s="44">
        <f>'Yearly Demand - Eth&amp;Prop'!AR5</f>
        <v>160</v>
      </c>
    </row>
    <row r="6" spans="1:36">
      <c r="A6" s="58" t="s">
        <v>268</v>
      </c>
      <c r="B6" s="58" t="s">
        <v>199</v>
      </c>
      <c r="C6" s="59" t="s">
        <v>153</v>
      </c>
      <c r="D6" s="60">
        <f>'R&amp;S - Transportation'!C4</f>
        <v>17.63451512942034</v>
      </c>
      <c r="E6" s="60">
        <f>D6*(1+'R&amp;S - Transportation'!$B$5)</f>
        <v>17.934301886620485</v>
      </c>
      <c r="F6" s="60">
        <f>E6*(1+'R&amp;S - Transportation'!$B$5)</f>
        <v>18.239185018693032</v>
      </c>
      <c r="G6" s="60">
        <f>F6*(1+'R&amp;S - Transportation'!$B$5)</f>
        <v>18.549251164010812</v>
      </c>
      <c r="H6" s="60">
        <f>G6*(1+'R&amp;S - Transportation'!$B$5)</f>
        <v>18.864588433798993</v>
      </c>
      <c r="I6" s="60">
        <f>H6*(1+'R&amp;S - Transportation'!$B$5)</f>
        <v>19.185286437173573</v>
      </c>
      <c r="J6" s="60">
        <f>I6*(1+'R&amp;S - Transportation'!$B$5)</f>
        <v>19.511436306605521</v>
      </c>
      <c r="K6" s="60">
        <f>J6*(1+'R&amp;S - Transportation'!$B$5)</f>
        <v>19.843130723817815</v>
      </c>
      <c r="L6" s="60">
        <f>K6*(1+'R&amp;S - Transportation'!$B$5)</f>
        <v>20.180463946122718</v>
      </c>
      <c r="M6" s="60">
        <f>L6*(1+'R&amp;S - Transportation'!$B$5)</f>
        <v>20.523531833206803</v>
      </c>
      <c r="N6" s="60">
        <f>M6*(1+'R&amp;S - Transportation'!$B$5)</f>
        <v>20.872431874371316</v>
      </c>
      <c r="O6" s="60">
        <f>N6*(1+'R&amp;S - Transportation'!$B$5)</f>
        <v>21.227263216235627</v>
      </c>
      <c r="P6" s="60">
        <f>O6*(1+'R&amp;S - Transportation'!$B$5)</f>
        <v>21.588126690911633</v>
      </c>
      <c r="Q6" s="60">
        <f>P6*(1+'R&amp;S - Transportation'!$B$5)</f>
        <v>21.955124844657128</v>
      </c>
      <c r="R6" s="60">
        <f>Q6*(1+'R&amp;S - Transportation'!$B$5)</f>
        <v>22.328361967016296</v>
      </c>
      <c r="S6" s="60">
        <f>R6*(1+'R&amp;S - Transportation'!$B$5)</f>
        <v>22.707944120455572</v>
      </c>
      <c r="T6" s="60">
        <f>S6*(1+'R&amp;S - Transportation'!$B$5)</f>
        <v>23.093979170503314</v>
      </c>
      <c r="U6" s="60">
        <f>T6*(1+'R&amp;S - Transportation'!$B$5)</f>
        <v>23.486576816401868</v>
      </c>
      <c r="V6" s="60">
        <f>U6*(1+'R&amp;S - Transportation'!$B$5)</f>
        <v>23.885848622280697</v>
      </c>
      <c r="W6" s="60">
        <f>V6*(1+'R&amp;S - Transportation'!$B$5)</f>
        <v>24.291908048859465</v>
      </c>
      <c r="X6" s="60">
        <f>W6*(1+'R&amp;S - Transportation'!$B$5)</f>
        <v>24.704870485690073</v>
      </c>
      <c r="Y6" s="60">
        <f>X6*(1+'R&amp;S - Transportation'!$B$5)</f>
        <v>25.124853283946802</v>
      </c>
      <c r="Z6" s="60">
        <f>Y6*(1+'R&amp;S - Transportation'!$B$5)</f>
        <v>25.551975789773895</v>
      </c>
      <c r="AA6" s="60">
        <f>Z6*(1+'R&amp;S - Transportation'!$B$5)</f>
        <v>25.986359378200049</v>
      </c>
      <c r="AB6" s="60">
        <f>AA6*(1+'R&amp;S - Transportation'!$B$5)</f>
        <v>26.428127487629446</v>
      </c>
      <c r="AC6" s="60">
        <f>AB6*(1+'R&amp;S - Transportation'!$B$5)</f>
        <v>26.877405654919144</v>
      </c>
      <c r="AD6" s="60">
        <f>AC6*(1+'R&amp;S - Transportation'!$B$5)</f>
        <v>27.334321551052767</v>
      </c>
      <c r="AE6" s="60">
        <f>AD6*(1+'R&amp;S - Transportation'!$B$5)</f>
        <v>27.799005017420662</v>
      </c>
      <c r="AF6" s="60">
        <f>AE6*(1+'R&amp;S - Transportation'!$B$5)</f>
        <v>28.271588102716809</v>
      </c>
      <c r="AG6" s="60">
        <f>AF6*(1+'R&amp;S - Transportation'!$B$5)</f>
        <v>28.752205100462991</v>
      </c>
      <c r="AH6" s="60">
        <f>AG6*(1+'R&amp;S - Transportation'!$B$5)</f>
        <v>29.240992587170858</v>
      </c>
      <c r="AJ6" s="43"/>
    </row>
    <row r="7" spans="1:36" outlineLevel="1">
      <c r="B7" s="1" t="s">
        <v>270</v>
      </c>
      <c r="C7" s="54" t="s">
        <v>153</v>
      </c>
      <c r="D7" s="44">
        <v>0</v>
      </c>
      <c r="E7" s="44">
        <f>E6*('R&amp;S - Transportation'!$B$8*'R&amp;S - Transportation'!$C$19*('Yearly LC Propylene'!E3-'Yearly LC Propylene'!$D$3)/10)</f>
        <v>1.7934301886620489E-2</v>
      </c>
      <c r="F7" s="44">
        <f>F6*('R&amp;S - Transportation'!$B$8*'R&amp;S - Transportation'!$C$19*('Yearly LC Propylene'!F3-'Yearly LC Propylene'!$D$3)/10)</f>
        <v>3.6478370037386069E-2</v>
      </c>
      <c r="G7" s="44">
        <f>G6*('R&amp;S - Transportation'!$B$8*'R&amp;S - Transportation'!$C$19*('Yearly LC Propylene'!G3-'Yearly LC Propylene'!$D$3)/10)</f>
        <v>5.5647753492032444E-2</v>
      </c>
      <c r="H7" s="44">
        <f>H6*('R&amp;S - Transportation'!$B$8*'R&amp;S - Transportation'!$C$19*('Yearly LC Propylene'!H3-'Yearly LC Propylene'!$D$3)/10)</f>
        <v>7.5458353735195993E-2</v>
      </c>
      <c r="I7" s="44">
        <f>I6*('R&amp;S - Transportation'!$B$8*'R&amp;S - Transportation'!$C$19*('Yearly LC Propylene'!I3-'Yearly LC Propylene'!$D$3)/10)</f>
        <v>9.5926432185867883E-2</v>
      </c>
      <c r="J7" s="44">
        <f>J6*('R&amp;S - Transportation'!$B$8*'R&amp;S - Transportation'!$C$19*('Yearly LC Propylene'!J3-'Yearly LC Propylene'!$D$3)/10)</f>
        <v>0.11706861783963314</v>
      </c>
      <c r="K7" s="44">
        <f>K6*('R&amp;S - Transportation'!$B$8*'R&amp;S - Transportation'!$C$19*('Yearly LC Propylene'!K3-'Yearly LC Propylene'!$D$3)/10)</f>
        <v>0.13890191506672472</v>
      </c>
      <c r="L7" s="44">
        <f>L6*('R&amp;S - Transportation'!$B$8*'R&amp;S - Transportation'!$C$19*('Yearly LC Propylene'!L3-'Yearly LC Propylene'!$D$3)/10)</f>
        <v>0.16144371156898177</v>
      </c>
      <c r="M7" s="44">
        <f>M6*('R&amp;S - Transportation'!$B$8*'R&amp;S - Transportation'!$C$19*('Yearly LC Propylene'!M3-'Yearly LC Propylene'!$D$3)/10)</f>
        <v>0.18471178649886127</v>
      </c>
      <c r="N7" s="44">
        <f>N6*('R&amp;S - Transportation'!$B$8*'R&amp;S - Transportation'!$C$19*('Yearly LC Propylene'!N3-'Yearly LC Propylene'!$D$3)/10)</f>
        <v>0.20872431874371319</v>
      </c>
      <c r="O7" s="44">
        <f>O6*('R&amp;S - Transportation'!$B$8*('R&amp;S - Transportation'!$C$19+('R&amp;S - Transportation'!$C$20-'R&amp;S - Transportation'!$C$19)*('Yearly LC Propylene'!O3-'Yearly LC Propylene'!$N$3)/10))</f>
        <v>0.2971816850272988</v>
      </c>
      <c r="P7" s="44">
        <f>P6*('R&amp;S - Transportation'!$B$8*('R&amp;S - Transportation'!$C$19+('R&amp;S - Transportation'!$C$20-'R&amp;S - Transportation'!$C$19)*('Yearly LC Propylene'!P3-'Yearly LC Propylene'!$N$3)/10))</f>
        <v>0.38858628043640936</v>
      </c>
      <c r="Q7" s="44">
        <f>Q6*('R&amp;S - Transportation'!$B$8*('R&amp;S - Transportation'!$C$19+('R&amp;S - Transportation'!$C$20-'R&amp;S - Transportation'!$C$19)*('Yearly LC Propylene'!Q3-'Yearly LC Propylene'!$N$3)/10))</f>
        <v>0.48301274658245696</v>
      </c>
      <c r="R7" s="44">
        <f>R6*('R&amp;S - Transportation'!$B$8*('R&amp;S - Transportation'!$C$19+('R&amp;S - Transportation'!$C$20-'R&amp;S - Transportation'!$C$19)*('Yearly LC Propylene'!R3-'Yearly LC Propylene'!$N$3)/10))</f>
        <v>0.58053741114242374</v>
      </c>
      <c r="S7" s="44">
        <f>S6*('R&amp;S - Transportation'!$B$8*('R&amp;S - Transportation'!$C$19+('R&amp;S - Transportation'!$C$20-'R&amp;S - Transportation'!$C$19)*('Yearly LC Propylene'!S3-'Yearly LC Propylene'!$N$3)/10))</f>
        <v>0.68123832361366732</v>
      </c>
      <c r="T7" s="44">
        <f>T6*('R&amp;S - Transportation'!$B$8*('R&amp;S - Transportation'!$C$19+('R&amp;S - Transportation'!$C$20-'R&amp;S - Transportation'!$C$19)*('Yearly LC Propylene'!T3-'Yearly LC Propylene'!$N$3)/10))</f>
        <v>0.78519529179711289</v>
      </c>
      <c r="U7" s="44">
        <f>U6*('R&amp;S - Transportation'!$B$8*('R&amp;S - Transportation'!$C$19+('R&amp;S - Transportation'!$C$20-'R&amp;S - Transportation'!$C$19)*('Yearly LC Propylene'!U3-'Yearly LC Propylene'!$N$3)/10))</f>
        <v>0.89248991902327113</v>
      </c>
      <c r="V7" s="44">
        <f>V6*('R&amp;S - Transportation'!$B$8*('R&amp;S - Transportation'!$C$19+('R&amp;S - Transportation'!$C$20-'R&amp;S - Transportation'!$C$19)*('Yearly LC Propylene'!V3-'Yearly LC Propylene'!$N$3)/10))</f>
        <v>1.0032056421357896</v>
      </c>
      <c r="W7" s="44">
        <f>W6*('R&amp;S - Transportation'!$B$8*('R&amp;S - Transportation'!$C$19+('R&amp;S - Transportation'!$C$20-'R&amp;S - Transportation'!$C$19)*('Yearly LC Propylene'!W3-'Yearly LC Propylene'!$N$3)/10))</f>
        <v>1.1174277702475355</v>
      </c>
      <c r="X7" s="44">
        <f>X6*('R&amp;S - Transportation'!$B$8*('R&amp;S - Transportation'!$C$19+('R&amp;S - Transportation'!$C$20-'R&amp;S - Transportation'!$C$19)*('Yearly LC Propylene'!X3-'Yearly LC Propylene'!$N$3)/10))</f>
        <v>1.2352435242845037</v>
      </c>
      <c r="Y7" s="44">
        <f>Y6*('R&amp;S - Transportation'!$B$8*('R&amp;S - Transportation'!$C$20+('R&amp;S - Transportation'!$C$21-'R&amp;S - Transportation'!$C$20)*('Yearly LC Propylene'!Y3-'Yearly LC Propylene'!$X$3)/10))</f>
        <v>1.3818669306170743</v>
      </c>
      <c r="Z7" s="44">
        <f>Z6*('R&amp;S - Transportation'!$B$8*('R&amp;S - Transportation'!$C$20+('R&amp;S - Transportation'!$C$21-'R&amp;S - Transportation'!$C$20)*('Yearly LC Propylene'!Z3-'Yearly LC Propylene'!$X$3)/10))</f>
        <v>1.5331185473864337</v>
      </c>
      <c r="AA7" s="44">
        <f>AA6*('R&amp;S - Transportation'!$B$8*('R&amp;S - Transportation'!$C$20+('R&amp;S - Transportation'!$C$21-'R&amp;S - Transportation'!$C$20)*('Yearly LC Propylene'!AA3-'Yearly LC Propylene'!$X$3)/10))</f>
        <v>1.6891133595830032</v>
      </c>
      <c r="AB7" s="44">
        <f>AB6*('R&amp;S - Transportation'!$B$8*('R&amp;S - Transportation'!$C$20+('R&amp;S - Transportation'!$C$21-'R&amp;S - Transportation'!$C$20)*('Yearly LC Propylene'!AB3-'Yearly LC Propylene'!$X$3)/10))</f>
        <v>1.8499689241340611</v>
      </c>
      <c r="AC7" s="44">
        <f>AC6*('R&amp;S - Transportation'!$B$8*('R&amp;S - Transportation'!$C$20+('R&amp;S - Transportation'!$C$21-'R&amp;S - Transportation'!$C$20)*('Yearly LC Propylene'!AC3-'Yearly LC Propylene'!$X$3)/10))</f>
        <v>2.0158054241189363</v>
      </c>
      <c r="AD7" s="44">
        <f>AD6*('R&amp;S - Transportation'!$B$8*('R&amp;S - Transportation'!$C$20+('R&amp;S - Transportation'!$C$21-'R&amp;S - Transportation'!$C$20)*('Yearly LC Propylene'!AD3-'Yearly LC Propylene'!$X$3)/10))</f>
        <v>2.1867457240842216</v>
      </c>
      <c r="AE7" s="44">
        <f>AE6*('R&amp;S - Transportation'!$B$8*('R&amp;S - Transportation'!$C$20+('R&amp;S - Transportation'!$C$21-'R&amp;S - Transportation'!$C$20)*('Yearly LC Propylene'!AE3-'Yearly LC Propylene'!$X$3)/10))</f>
        <v>2.3629154264807566</v>
      </c>
      <c r="AF7" s="44">
        <f>AF6*('R&amp;S - Transportation'!$B$8*('R&amp;S - Transportation'!$C$20+('R&amp;S - Transportation'!$C$21-'R&amp;S - Transportation'!$C$20)*('Yearly LC Propylene'!AF3-'Yearly LC Propylene'!$X$3)/10))</f>
        <v>2.544442929244513</v>
      </c>
      <c r="AG7" s="44">
        <f>AG6*('R&amp;S - Transportation'!$B$8*('R&amp;S - Transportation'!$C$20+('R&amp;S - Transportation'!$C$21-'R&amp;S - Transportation'!$C$20)*('Yearly LC Propylene'!AG3-'Yearly LC Propylene'!$X$3)/10))</f>
        <v>2.7314594845439841</v>
      </c>
      <c r="AH7" s="44">
        <f>AH6*('R&amp;S - Transportation'!$B$8*('R&amp;S - Transportation'!$C$20+('R&amp;S - Transportation'!$C$21-'R&amp;S - Transportation'!$C$20)*('Yearly LC Propylene'!AH3-'Yearly LC Propylene'!$X$3)/10))</f>
        <v>2.924099258717086</v>
      </c>
      <c r="AJ7" s="43"/>
    </row>
    <row r="8" spans="1:36" outlineLevel="1">
      <c r="B8" s="1" t="s">
        <v>191</v>
      </c>
      <c r="C8" s="54" t="s">
        <v>153</v>
      </c>
      <c r="D8" s="44">
        <f>SUM(D6:D7)</f>
        <v>17.63451512942034</v>
      </c>
      <c r="E8" s="44">
        <f t="shared" ref="E8:AH8" si="1">SUM(E6:E7)</f>
        <v>17.952236188507104</v>
      </c>
      <c r="F8" s="44">
        <f t="shared" si="1"/>
        <v>18.275663388730418</v>
      </c>
      <c r="G8" s="44">
        <f t="shared" si="1"/>
        <v>18.604898917502844</v>
      </c>
      <c r="H8" s="44">
        <f t="shared" si="1"/>
        <v>18.94004678753419</v>
      </c>
      <c r="I8" s="44">
        <f t="shared" si="1"/>
        <v>19.28121286935944</v>
      </c>
      <c r="J8" s="44">
        <f t="shared" si="1"/>
        <v>19.628504924445153</v>
      </c>
      <c r="K8" s="44">
        <f t="shared" si="1"/>
        <v>19.98203263888454</v>
      </c>
      <c r="L8" s="44">
        <f t="shared" si="1"/>
        <v>20.341907657691699</v>
      </c>
      <c r="M8" s="44">
        <f t="shared" si="1"/>
        <v>20.708243619705666</v>
      </c>
      <c r="N8" s="44">
        <f>SUM(N6:N7)</f>
        <v>21.081156193115028</v>
      </c>
      <c r="O8" s="44">
        <f t="shared" si="1"/>
        <v>21.524444901262925</v>
      </c>
      <c r="P8" s="44">
        <f t="shared" si="1"/>
        <v>21.976712971348043</v>
      </c>
      <c r="Q8" s="44">
        <f t="shared" si="1"/>
        <v>22.438137591239585</v>
      </c>
      <c r="R8" s="44">
        <f t="shared" si="1"/>
        <v>22.908899378158718</v>
      </c>
      <c r="S8" s="44">
        <f t="shared" si="1"/>
        <v>23.389182444069238</v>
      </c>
      <c r="T8" s="44">
        <f t="shared" si="1"/>
        <v>23.879174462300426</v>
      </c>
      <c r="U8" s="44">
        <f t="shared" si="1"/>
        <v>24.379066735425141</v>
      </c>
      <c r="V8" s="44">
        <f t="shared" si="1"/>
        <v>24.889054264416487</v>
      </c>
      <c r="W8" s="44">
        <f t="shared" si="1"/>
        <v>25.409335819107</v>
      </c>
      <c r="X8" s="44">
        <f t="shared" si="1"/>
        <v>25.940114009974575</v>
      </c>
      <c r="Y8" s="44">
        <f t="shared" si="1"/>
        <v>26.506720214563877</v>
      </c>
      <c r="Z8" s="44">
        <f t="shared" si="1"/>
        <v>27.085094337160328</v>
      </c>
      <c r="AA8" s="44">
        <f t="shared" si="1"/>
        <v>27.675472737783053</v>
      </c>
      <c r="AB8" s="44">
        <f t="shared" si="1"/>
        <v>28.278096411763507</v>
      </c>
      <c r="AC8" s="44">
        <f t="shared" si="1"/>
        <v>28.893211079038082</v>
      </c>
      <c r="AD8" s="44">
        <f t="shared" si="1"/>
        <v>29.521067275136989</v>
      </c>
      <c r="AE8" s="44">
        <f t="shared" si="1"/>
        <v>30.161920443901419</v>
      </c>
      <c r="AF8" s="44">
        <f t="shared" si="1"/>
        <v>30.816031031961323</v>
      </c>
      <c r="AG8" s="44">
        <f t="shared" si="1"/>
        <v>31.483664585006974</v>
      </c>
      <c r="AH8" s="44">
        <f t="shared" si="1"/>
        <v>32.165091845887943</v>
      </c>
      <c r="AJ8" s="43"/>
    </row>
    <row r="9" spans="1:36" outlineLevel="1">
      <c r="B9" s="61" t="s">
        <v>77</v>
      </c>
      <c r="C9" s="54" t="s">
        <v>153</v>
      </c>
      <c r="D9" s="44">
        <v>0</v>
      </c>
      <c r="E9" s="44">
        <f>E8*'R&amp;S - Transportation'!$B$16*('R&amp;S - Transportation'!$B$10*'R&amp;S - Transportation'!$B$19*('Yearly LC Propylene'!E$3-'Yearly LC Propylene'!$D$3)/10)</f>
        <v>0</v>
      </c>
      <c r="F9" s="44">
        <f>F8*'R&amp;S - Transportation'!$B$16*('R&amp;S - Transportation'!$B$10*'R&amp;S - Transportation'!$B$19*('Yearly LC Propylene'!F$3-'Yearly LC Propylene'!$D$3)/10)</f>
        <v>0</v>
      </c>
      <c r="G9" s="44">
        <f>G8*'R&amp;S - Transportation'!$B$16*('R&amp;S - Transportation'!$B$10*'R&amp;S - Transportation'!$B$19*('Yearly LC Propylene'!G$3-'Yearly LC Propylene'!$D$3)/10)</f>
        <v>0</v>
      </c>
      <c r="H9" s="44">
        <f>H8*'R&amp;S - Transportation'!$B$16*('R&amp;S - Transportation'!$B$10*'R&amp;S - Transportation'!$B$19*('Yearly LC Propylene'!H$3-'Yearly LC Propylene'!$D$3)/10)</f>
        <v>0</v>
      </c>
      <c r="I9" s="44">
        <f>I8*'R&amp;S - Transportation'!$B$16*('R&amp;S - Transportation'!$B$10*'R&amp;S - Transportation'!$B$19*('Yearly LC Propylene'!I$3-'Yearly LC Propylene'!$D$3)/10)</f>
        <v>0</v>
      </c>
      <c r="J9" s="44">
        <f>J8*'R&amp;S - Transportation'!$B$16*('R&amp;S - Transportation'!$B$10*'R&amp;S - Transportation'!$B$19*('Yearly LC Propylene'!J$3-'Yearly LC Propylene'!$D$3)/10)</f>
        <v>0</v>
      </c>
      <c r="K9" s="44">
        <f>K8*'R&amp;S - Transportation'!$B$16*('R&amp;S - Transportation'!$B$10*'R&amp;S - Transportation'!$B$19*('Yearly LC Propylene'!K$3-'Yearly LC Propylene'!$D$3)/10)</f>
        <v>0</v>
      </c>
      <c r="L9" s="44">
        <f>L8*'R&amp;S - Transportation'!$B$16*('R&amp;S - Transportation'!$B$10*'R&amp;S - Transportation'!$B$19*('Yearly LC Propylene'!L$3-'Yearly LC Propylene'!$D$3)/10)</f>
        <v>0</v>
      </c>
      <c r="M9" s="44">
        <f>M8*'R&amp;S - Transportation'!$B$16*('R&amp;S - Transportation'!$B$10*'R&amp;S - Transportation'!$B$19*('Yearly LC Propylene'!M$3-'Yearly LC Propylene'!$D$3)/10)</f>
        <v>0</v>
      </c>
      <c r="N9" s="44">
        <f>N8*'R&amp;S - Transportation'!$B$16*('R&amp;S - Transportation'!$B$10*'R&amp;S - Transportation'!$B$19*('Yearly LC Propylene'!N$3-'Yearly LC Propylene'!$D$3)/10)</f>
        <v>0</v>
      </c>
      <c r="O9" s="44">
        <f>O8*'R&amp;S - Transportation'!$B$16*('R&amp;S - Transportation'!$B$10*('R&amp;S - Transportation'!$B$19+('R&amp;S - Transportation'!$B$20-'R&amp;S - Transportation'!$B$19)*('Yearly LC Propylene'!O3-'Yearly LC Propylene'!$N$3)/10))</f>
        <v>0</v>
      </c>
      <c r="P9" s="44">
        <f>P8*'R&amp;S - Transportation'!$B$16*('R&amp;S - Transportation'!$B$10*('R&amp;S - Transportation'!$B$19+('R&amp;S - Transportation'!$B$20-'R&amp;S - Transportation'!$B$19)*('Yearly LC Propylene'!P3-'Yearly LC Propylene'!$N$3)/10))</f>
        <v>0</v>
      </c>
      <c r="Q9" s="44">
        <f>Q8*'R&amp;S - Transportation'!$B$16*('R&amp;S - Transportation'!$B$10*('R&amp;S - Transportation'!$B$19+('R&amp;S - Transportation'!$B$20-'R&amp;S - Transportation'!$B$19)*('Yearly LC Propylene'!Q3-'Yearly LC Propylene'!$N$3)/10))</f>
        <v>0</v>
      </c>
      <c r="R9" s="44">
        <f>R8*'R&amp;S - Transportation'!$B$16*('R&amp;S - Transportation'!$B$10*('R&amp;S - Transportation'!$B$19+('R&amp;S - Transportation'!$B$20-'R&amp;S - Transportation'!$B$19)*('Yearly LC Propylene'!R3-'Yearly LC Propylene'!$N$3)/10))</f>
        <v>0</v>
      </c>
      <c r="S9" s="44">
        <f>S8*'R&amp;S - Transportation'!$B$16*('R&amp;S - Transportation'!$B$10*('R&amp;S - Transportation'!$B$19+('R&amp;S - Transportation'!$B$20-'R&amp;S - Transportation'!$B$19)*('Yearly LC Propylene'!S3-'Yearly LC Propylene'!$N$3)/10))</f>
        <v>0</v>
      </c>
      <c r="T9" s="44">
        <f>T8*'R&amp;S - Transportation'!$B$16*('R&amp;S - Transportation'!$B$10*('R&amp;S - Transportation'!$B$19+('R&amp;S - Transportation'!$B$20-'R&amp;S - Transportation'!$B$19)*('Yearly LC Propylene'!T3-'Yearly LC Propylene'!$N$3)/10))</f>
        <v>0</v>
      </c>
      <c r="U9" s="44">
        <f>U8*'R&amp;S - Transportation'!$B$16*('R&amp;S - Transportation'!$B$10*('R&amp;S - Transportation'!$B$19+('R&amp;S - Transportation'!$B$20-'R&amp;S - Transportation'!$B$19)*('Yearly LC Propylene'!U3-'Yearly LC Propylene'!$N$3)/10))</f>
        <v>0</v>
      </c>
      <c r="V9" s="44">
        <f>V8*'R&amp;S - Transportation'!$B$16*('R&amp;S - Transportation'!$B$10*('R&amp;S - Transportation'!$B$19+('R&amp;S - Transportation'!$B$20-'R&amp;S - Transportation'!$B$19)*('Yearly LC Propylene'!V3-'Yearly LC Propylene'!$N$3)/10))</f>
        <v>0</v>
      </c>
      <c r="W9" s="44">
        <f>W8*'R&amp;S - Transportation'!$B$16*('R&amp;S - Transportation'!$B$10*('R&amp;S - Transportation'!$B$19+('R&amp;S - Transportation'!$B$20-'R&amp;S - Transportation'!$B$19)*('Yearly LC Propylene'!W3-'Yearly LC Propylene'!$N$3)/10))</f>
        <v>0</v>
      </c>
      <c r="X9" s="44">
        <f>X8*'R&amp;S - Transportation'!$B$16*('R&amp;S - Transportation'!$B$10*('R&amp;S - Transportation'!$B$19+('R&amp;S - Transportation'!$B$20-'R&amp;S - Transportation'!$B$19)*('Yearly LC Propylene'!X3-'Yearly LC Propylene'!$N$3)/10))</f>
        <v>0</v>
      </c>
      <c r="Y9" s="44">
        <f>Y8*'R&amp;S - Transportation'!$B$16*('R&amp;S - Transportation'!$B$10*('R&amp;S - Transportation'!$B$20+('R&amp;S - Transportation'!$B$21-'R&amp;S - Transportation'!$B$20)*('Yearly LC Propylene'!Y3-'Yearly LC Propylene'!$X$3)/10))</f>
        <v>0</v>
      </c>
      <c r="Z9" s="44">
        <f>Z8*'R&amp;S - Transportation'!$B$16*('R&amp;S - Transportation'!$B$10*('R&amp;S - Transportation'!$B$20+('R&amp;S - Transportation'!$B$21-'R&amp;S - Transportation'!$B$20)*('Yearly LC Propylene'!Z3-'Yearly LC Propylene'!$X$3)/10))</f>
        <v>0</v>
      </c>
      <c r="AA9" s="44">
        <f>AA8*'R&amp;S - Transportation'!$B$16*('R&amp;S - Transportation'!$B$10*('R&amp;S - Transportation'!$B$20+('R&amp;S - Transportation'!$B$21-'R&amp;S - Transportation'!$B$20)*('Yearly LC Propylene'!AA3-'Yearly LC Propylene'!$X$3)/10))</f>
        <v>0</v>
      </c>
      <c r="AB9" s="44">
        <f>AB8*'R&amp;S - Transportation'!$B$16*('R&amp;S - Transportation'!$B$10*('R&amp;S - Transportation'!$B$20+('R&amp;S - Transportation'!$B$21-'R&amp;S - Transportation'!$B$20)*('Yearly LC Propylene'!AB3-'Yearly LC Propylene'!$X$3)/10))</f>
        <v>0</v>
      </c>
      <c r="AC9" s="44">
        <f>AC8*'R&amp;S - Transportation'!$B$16*('R&amp;S - Transportation'!$B$10*('R&amp;S - Transportation'!$B$20+('R&amp;S - Transportation'!$B$21-'R&amp;S - Transportation'!$B$20)*('Yearly LC Propylene'!AC3-'Yearly LC Propylene'!$X$3)/10))</f>
        <v>0</v>
      </c>
      <c r="AD9" s="44">
        <f>AD8*'R&amp;S - Transportation'!$B$16*('R&amp;S - Transportation'!$B$10*('R&amp;S - Transportation'!$B$20+('R&amp;S - Transportation'!$B$21-'R&amp;S - Transportation'!$B$20)*('Yearly LC Propylene'!AD3-'Yearly LC Propylene'!$X$3)/10))</f>
        <v>0</v>
      </c>
      <c r="AE9" s="44">
        <f>AE8*'R&amp;S - Transportation'!$B$16*('R&amp;S - Transportation'!$B$10*('R&amp;S - Transportation'!$B$20+('R&amp;S - Transportation'!$B$21-'R&amp;S - Transportation'!$B$20)*('Yearly LC Propylene'!AE3-'Yearly LC Propylene'!$X$3)/10))</f>
        <v>0</v>
      </c>
      <c r="AF9" s="44">
        <f>AF8*'R&amp;S - Transportation'!$B$16*('R&amp;S - Transportation'!$B$10*('R&amp;S - Transportation'!$B$20+('R&amp;S - Transportation'!$B$21-'R&amp;S - Transportation'!$B$20)*('Yearly LC Propylene'!AF3-'Yearly LC Propylene'!$X$3)/10))</f>
        <v>0</v>
      </c>
      <c r="AG9" s="44">
        <f>AG8*'R&amp;S - Transportation'!$B$16*('R&amp;S - Transportation'!$B$10*('R&amp;S - Transportation'!$B$20+('R&amp;S - Transportation'!$B$21-'R&amp;S - Transportation'!$B$20)*('Yearly LC Propylene'!AG3-'Yearly LC Propylene'!$X$3)/10))</f>
        <v>0</v>
      </c>
      <c r="AH9" s="44">
        <f>AH8*'R&amp;S - Transportation'!$B$16*('R&amp;S - Transportation'!$B$10*('R&amp;S - Transportation'!$B$20+('R&amp;S - Transportation'!$B$21-'R&amp;S - Transportation'!$B$20)*('Yearly LC Propylene'!AH3-'Yearly LC Propylene'!$X$3)/10))</f>
        <v>0</v>
      </c>
    </row>
    <row r="10" spans="1:36" outlineLevel="1">
      <c r="B10" s="61" t="s">
        <v>194</v>
      </c>
      <c r="C10" s="54" t="s">
        <v>153</v>
      </c>
      <c r="D10" s="44">
        <v>0</v>
      </c>
      <c r="E10" s="44">
        <f>(E8-E9)*'R&amp;S - Transportation'!$B$16*('R&amp;S - Transportation'!$B$11*'R&amp;S - Transportation'!$B$19*('Yearly LC Propylene'!E$3-'Yearly LC Propylene'!$D$3)/10)</f>
        <v>0</v>
      </c>
      <c r="F10" s="44">
        <f>(F8-F9)*'R&amp;S - Transportation'!$B$16*('R&amp;S - Transportation'!$B$11*'R&amp;S - Transportation'!$B$19*('Yearly LC Propylene'!F$3-'Yearly LC Propylene'!$D$3)/10)</f>
        <v>0</v>
      </c>
      <c r="G10" s="44">
        <f>(G8-G9)*'R&amp;S - Transportation'!$B$16*('R&amp;S - Transportation'!$B$11*'R&amp;S - Transportation'!$B$19*('Yearly LC Propylene'!G$3-'Yearly LC Propylene'!$D$3)/10)</f>
        <v>0</v>
      </c>
      <c r="H10" s="44">
        <f>(H8-H9)*'R&amp;S - Transportation'!$B$16*('R&amp;S - Transportation'!$B$11*'R&amp;S - Transportation'!$B$19*('Yearly LC Propylene'!H$3-'Yearly LC Propylene'!$D$3)/10)</f>
        <v>0</v>
      </c>
      <c r="I10" s="44">
        <f>(I8-I9)*'R&amp;S - Transportation'!$B$16*('R&amp;S - Transportation'!$B$11*'R&amp;S - Transportation'!$B$19*('Yearly LC Propylene'!I$3-'Yearly LC Propylene'!$D$3)/10)</f>
        <v>0</v>
      </c>
      <c r="J10" s="44">
        <f>(J8-J9)*'R&amp;S - Transportation'!$B$16*('R&amp;S - Transportation'!$B$11*'R&amp;S - Transportation'!$B$19*('Yearly LC Propylene'!J$3-'Yearly LC Propylene'!$D$3)/10)</f>
        <v>0</v>
      </c>
      <c r="K10" s="44">
        <f>(K8-K9)*'R&amp;S - Transportation'!$B$16*('R&amp;S - Transportation'!$B$11*'R&amp;S - Transportation'!$B$19*('Yearly LC Propylene'!K$3-'Yearly LC Propylene'!$D$3)/10)</f>
        <v>0</v>
      </c>
      <c r="L10" s="44">
        <f>(L8-L9)*'R&amp;S - Transportation'!$B$16*('R&amp;S - Transportation'!$B$11*'R&amp;S - Transportation'!$B$19*('Yearly LC Propylene'!L$3-'Yearly LC Propylene'!$D$3)/10)</f>
        <v>0</v>
      </c>
      <c r="M10" s="44">
        <f>(M8-M9)*'R&amp;S - Transportation'!$B$16*('R&amp;S - Transportation'!$B$11*'R&amp;S - Transportation'!$B$19*('Yearly LC Propylene'!M$3-'Yearly LC Propylene'!$D$3)/10)</f>
        <v>0</v>
      </c>
      <c r="N10" s="44">
        <f>(N8-N9)*'R&amp;S - Transportation'!$B$16*('R&amp;S - Transportation'!$B$11*'R&amp;S - Transportation'!$B$19*('Yearly LC Propylene'!N$3-'Yearly LC Propylene'!$D$3)/10)</f>
        <v>0</v>
      </c>
      <c r="O10" s="44">
        <f>(O8-O9)*'R&amp;S - Transportation'!$B$16*('R&amp;S - Transportation'!$B$11*('R&amp;S - Transportation'!$B$19+('R&amp;S - Transportation'!$B$20-'R&amp;S - Transportation'!$B$19)*('Yearly LC Propylene'!O$3-'Yearly LC Propylene'!$N$3)/10))</f>
        <v>0</v>
      </c>
      <c r="P10" s="44">
        <f>(P8-P9)*'R&amp;S - Transportation'!$B$16*('R&amp;S - Transportation'!$B$11*('R&amp;S - Transportation'!$B$19+('R&amp;S - Transportation'!$B$20-'R&amp;S - Transportation'!$B$19)*('Yearly LC Propylene'!P$3-'Yearly LC Propylene'!$N$3)/10))</f>
        <v>0</v>
      </c>
      <c r="Q10" s="44">
        <f>(Q8-Q9)*'R&amp;S - Transportation'!$B$16*('R&amp;S - Transportation'!$B$11*('R&amp;S - Transportation'!$B$19+('R&amp;S - Transportation'!$B$20-'R&amp;S - Transportation'!$B$19)*('Yearly LC Propylene'!Q$3-'Yearly LC Propylene'!$N$3)/10))</f>
        <v>0</v>
      </c>
      <c r="R10" s="44">
        <f>(R8-R9)*'R&amp;S - Transportation'!$B$16*('R&amp;S - Transportation'!$B$11*('R&amp;S - Transportation'!$B$19+('R&amp;S - Transportation'!$B$20-'R&amp;S - Transportation'!$B$19)*('Yearly LC Propylene'!R$3-'Yearly LC Propylene'!$N$3)/10))</f>
        <v>0</v>
      </c>
      <c r="S10" s="44">
        <f>(S8-S9)*'R&amp;S - Transportation'!$B$16*('R&amp;S - Transportation'!$B$11*('R&amp;S - Transportation'!$B$19+('R&amp;S - Transportation'!$B$20-'R&amp;S - Transportation'!$B$19)*('Yearly LC Propylene'!S$3-'Yearly LC Propylene'!$N$3)/10))</f>
        <v>0</v>
      </c>
      <c r="T10" s="44">
        <f>(T8-T9)*'R&amp;S - Transportation'!$B$16*('R&amp;S - Transportation'!$B$11*('R&amp;S - Transportation'!$B$19+('R&amp;S - Transportation'!$B$20-'R&amp;S - Transportation'!$B$19)*('Yearly LC Propylene'!T$3-'Yearly LC Propylene'!$N$3)/10))</f>
        <v>0</v>
      </c>
      <c r="U10" s="44">
        <f>(U8-U9)*'R&amp;S - Transportation'!$B$16*('R&amp;S - Transportation'!$B$11*('R&amp;S - Transportation'!$B$19+('R&amp;S - Transportation'!$B$20-'R&amp;S - Transportation'!$B$19)*('Yearly LC Propylene'!U$3-'Yearly LC Propylene'!$N$3)/10))</f>
        <v>0</v>
      </c>
      <c r="V10" s="44">
        <f>(V8-V9)*'R&amp;S - Transportation'!$B$16*('R&amp;S - Transportation'!$B$11*('R&amp;S - Transportation'!$B$19+('R&amp;S - Transportation'!$B$20-'R&amp;S - Transportation'!$B$19)*('Yearly LC Propylene'!V$3-'Yearly LC Propylene'!$N$3)/10))</f>
        <v>0</v>
      </c>
      <c r="W10" s="44">
        <f>(W8-W9)*'R&amp;S - Transportation'!$B$16*('R&amp;S - Transportation'!$B$11*('R&amp;S - Transportation'!$B$19+('R&amp;S - Transportation'!$B$20-'R&amp;S - Transportation'!$B$19)*('Yearly LC Propylene'!W$3-'Yearly LC Propylene'!$N$3)/10))</f>
        <v>0</v>
      </c>
      <c r="X10" s="44">
        <f>(X8-X9)*'R&amp;S - Transportation'!$B$16*('R&amp;S - Transportation'!$B$11*('R&amp;S - Transportation'!$B$19+('R&amp;S - Transportation'!$B$20-'R&amp;S - Transportation'!$B$19)*('Yearly LC Propylene'!X$3-'Yearly LC Propylene'!$N$3)/10))</f>
        <v>0</v>
      </c>
      <c r="Y10" s="44">
        <f>(Y8-Y9)*'R&amp;S - Transportation'!$B$16*('R&amp;S - Transportation'!$B$11*('R&amp;S - Transportation'!$B$20+('R&amp;S - Transportation'!$B$21-'R&amp;S - Transportation'!$B$20)*('Yearly LC Propylene'!Y$3-'Yearly LC Propylene'!$X$3)/10))</f>
        <v>0</v>
      </c>
      <c r="Z10" s="44">
        <f>(Z8-Z9)*'R&amp;S - Transportation'!$B$16*('R&amp;S - Transportation'!$B$11*('R&amp;S - Transportation'!$B$20+('R&amp;S - Transportation'!$B$21-'R&amp;S - Transportation'!$B$20)*('Yearly LC Propylene'!Z$3-'Yearly LC Propylene'!$X$3)/10))</f>
        <v>0</v>
      </c>
      <c r="AA10" s="44">
        <f>(AA8-AA9)*'R&amp;S - Transportation'!$B$16*('R&amp;S - Transportation'!$B$11*('R&amp;S - Transportation'!$B$20+('R&amp;S - Transportation'!$B$21-'R&amp;S - Transportation'!$B$20)*('Yearly LC Propylene'!AA$3-'Yearly LC Propylene'!$X$3)/10))</f>
        <v>0</v>
      </c>
      <c r="AB10" s="44">
        <f>(AB8-AB9)*'R&amp;S - Transportation'!$B$16*('R&amp;S - Transportation'!$B$11*('R&amp;S - Transportation'!$B$20+('R&amp;S - Transportation'!$B$21-'R&amp;S - Transportation'!$B$20)*('Yearly LC Propylene'!AB$3-'Yearly LC Propylene'!$X$3)/10))</f>
        <v>0</v>
      </c>
      <c r="AC10" s="44">
        <f>(AC8-AC9)*'R&amp;S - Transportation'!$B$16*('R&amp;S - Transportation'!$B$11*('R&amp;S - Transportation'!$B$20+('R&amp;S - Transportation'!$B$21-'R&amp;S - Transportation'!$B$20)*('Yearly LC Propylene'!AC$3-'Yearly LC Propylene'!$X$3)/10))</f>
        <v>0</v>
      </c>
      <c r="AD10" s="44">
        <f>(AD8-AD9)*'R&amp;S - Transportation'!$B$16*('R&amp;S - Transportation'!$B$11*('R&amp;S - Transportation'!$B$20+('R&amp;S - Transportation'!$B$21-'R&amp;S - Transportation'!$B$20)*('Yearly LC Propylene'!AD$3-'Yearly LC Propylene'!$X$3)/10))</f>
        <v>0</v>
      </c>
      <c r="AE10" s="44">
        <f>(AE8-AE9)*'R&amp;S - Transportation'!$B$16*('R&amp;S - Transportation'!$B$11*('R&amp;S - Transportation'!$B$20+('R&amp;S - Transportation'!$B$21-'R&amp;S - Transportation'!$B$20)*('Yearly LC Propylene'!AE$3-'Yearly LC Propylene'!$X$3)/10))</f>
        <v>0</v>
      </c>
      <c r="AF10" s="44">
        <f>(AF8-AF9)*'R&amp;S - Transportation'!$B$16*('R&amp;S - Transportation'!$B$11*('R&amp;S - Transportation'!$B$20+('R&amp;S - Transportation'!$B$21-'R&amp;S - Transportation'!$B$20)*('Yearly LC Propylene'!AF$3-'Yearly LC Propylene'!$X$3)/10))</f>
        <v>0</v>
      </c>
      <c r="AG10" s="44">
        <f>(AG8-AG9)*'R&amp;S - Transportation'!$B$16*('R&amp;S - Transportation'!$B$11*('R&amp;S - Transportation'!$B$20+('R&amp;S - Transportation'!$B$21-'R&amp;S - Transportation'!$B$20)*('Yearly LC Propylene'!AG$3-'Yearly LC Propylene'!$X$3)/10))</f>
        <v>0</v>
      </c>
      <c r="AH10" s="44">
        <f>(AH8-AH9)*'R&amp;S - Transportation'!$B$16*('R&amp;S - Transportation'!$B$11*('R&amp;S - Transportation'!$B$20+('R&amp;S - Transportation'!$B$21-'R&amp;S - Transportation'!$B$20)*('Yearly LC Propylene'!AH$3-'Yearly LC Propylene'!$X$3)/10))</f>
        <v>0</v>
      </c>
    </row>
    <row r="11" spans="1:36" outlineLevel="1">
      <c r="B11" s="1" t="s">
        <v>168</v>
      </c>
      <c r="C11" s="54" t="s">
        <v>153</v>
      </c>
      <c r="D11" s="44">
        <f>SUM(D9:D10)</f>
        <v>0</v>
      </c>
      <c r="E11" s="44">
        <f t="shared" ref="E11:AH11" si="2">SUM(E9:E10)</f>
        <v>0</v>
      </c>
      <c r="F11" s="44">
        <f t="shared" si="2"/>
        <v>0</v>
      </c>
      <c r="G11" s="44">
        <f t="shared" si="2"/>
        <v>0</v>
      </c>
      <c r="H11" s="44">
        <f t="shared" si="2"/>
        <v>0</v>
      </c>
      <c r="I11" s="44">
        <f t="shared" si="2"/>
        <v>0</v>
      </c>
      <c r="J11" s="44">
        <f t="shared" si="2"/>
        <v>0</v>
      </c>
      <c r="K11" s="44">
        <f t="shared" si="2"/>
        <v>0</v>
      </c>
      <c r="L11" s="44">
        <f t="shared" si="2"/>
        <v>0</v>
      </c>
      <c r="M11" s="44">
        <f t="shared" si="2"/>
        <v>0</v>
      </c>
      <c r="N11" s="44">
        <f t="shared" si="2"/>
        <v>0</v>
      </c>
      <c r="O11" s="44">
        <f t="shared" si="2"/>
        <v>0</v>
      </c>
      <c r="P11" s="44">
        <f t="shared" si="2"/>
        <v>0</v>
      </c>
      <c r="Q11" s="44">
        <f t="shared" si="2"/>
        <v>0</v>
      </c>
      <c r="R11" s="44">
        <f t="shared" si="2"/>
        <v>0</v>
      </c>
      <c r="S11" s="44">
        <f t="shared" si="2"/>
        <v>0</v>
      </c>
      <c r="T11" s="44">
        <f t="shared" si="2"/>
        <v>0</v>
      </c>
      <c r="U11" s="44">
        <f t="shared" si="2"/>
        <v>0</v>
      </c>
      <c r="V11" s="44">
        <f t="shared" si="2"/>
        <v>0</v>
      </c>
      <c r="W11" s="44">
        <f t="shared" si="2"/>
        <v>0</v>
      </c>
      <c r="X11" s="44">
        <f t="shared" si="2"/>
        <v>0</v>
      </c>
      <c r="Y11" s="44">
        <f t="shared" si="2"/>
        <v>0</v>
      </c>
      <c r="Z11" s="44">
        <f t="shared" si="2"/>
        <v>0</v>
      </c>
      <c r="AA11" s="44">
        <f t="shared" si="2"/>
        <v>0</v>
      </c>
      <c r="AB11" s="44">
        <f t="shared" si="2"/>
        <v>0</v>
      </c>
      <c r="AC11" s="44">
        <f t="shared" si="2"/>
        <v>0</v>
      </c>
      <c r="AD11" s="44">
        <f t="shared" si="2"/>
        <v>0</v>
      </c>
      <c r="AE11" s="44">
        <f t="shared" si="2"/>
        <v>0</v>
      </c>
      <c r="AF11" s="44">
        <f t="shared" si="2"/>
        <v>0</v>
      </c>
      <c r="AG11" s="44">
        <f t="shared" si="2"/>
        <v>0</v>
      </c>
      <c r="AH11" s="44">
        <f t="shared" si="2"/>
        <v>0</v>
      </c>
      <c r="AI11" s="44"/>
    </row>
    <row r="12" spans="1:36" outlineLevel="1">
      <c r="B12" s="1" t="s">
        <v>172</v>
      </c>
      <c r="C12" s="54" t="s">
        <v>153</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6" s="1" customFormat="1">
      <c r="A13" s="62"/>
      <c r="B13" s="62" t="s">
        <v>197</v>
      </c>
      <c r="C13" s="63" t="s">
        <v>153</v>
      </c>
      <c r="D13" s="64">
        <f>D8-D11-D12</f>
        <v>17.63451512942034</v>
      </c>
      <c r="E13" s="64">
        <f t="shared" ref="E13:AH13" si="3">E8-E11-E12</f>
        <v>17.952236188507104</v>
      </c>
      <c r="F13" s="64">
        <f t="shared" si="3"/>
        <v>18.275663388730418</v>
      </c>
      <c r="G13" s="64">
        <f t="shared" si="3"/>
        <v>18.604898917502844</v>
      </c>
      <c r="H13" s="64">
        <f t="shared" si="3"/>
        <v>18.94004678753419</v>
      </c>
      <c r="I13" s="64">
        <f t="shared" si="3"/>
        <v>19.28121286935944</v>
      </c>
      <c r="J13" s="64">
        <f t="shared" si="3"/>
        <v>19.628504924445153</v>
      </c>
      <c r="K13" s="64">
        <f t="shared" si="3"/>
        <v>19.98203263888454</v>
      </c>
      <c r="L13" s="64">
        <f t="shared" si="3"/>
        <v>20.341907657691699</v>
      </c>
      <c r="M13" s="64">
        <f t="shared" si="3"/>
        <v>20.708243619705666</v>
      </c>
      <c r="N13" s="64">
        <f>N8-N11-N12</f>
        <v>21.081156193115028</v>
      </c>
      <c r="O13" s="64">
        <f t="shared" si="3"/>
        <v>21.524444901262925</v>
      </c>
      <c r="P13" s="64">
        <f t="shared" si="3"/>
        <v>21.976712971348043</v>
      </c>
      <c r="Q13" s="64">
        <f t="shared" si="3"/>
        <v>22.438137591239585</v>
      </c>
      <c r="R13" s="64">
        <f t="shared" si="3"/>
        <v>22.908899378158718</v>
      </c>
      <c r="S13" s="64">
        <f t="shared" si="3"/>
        <v>23.389182444069238</v>
      </c>
      <c r="T13" s="64">
        <f t="shared" si="3"/>
        <v>23.879174462300426</v>
      </c>
      <c r="U13" s="64">
        <f t="shared" si="3"/>
        <v>24.379066735425141</v>
      </c>
      <c r="V13" s="64">
        <f t="shared" si="3"/>
        <v>24.889054264416487</v>
      </c>
      <c r="W13" s="64">
        <f t="shared" si="3"/>
        <v>25.409335819107</v>
      </c>
      <c r="X13" s="64">
        <f t="shared" si="3"/>
        <v>25.940114009974575</v>
      </c>
      <c r="Y13" s="64">
        <f t="shared" si="3"/>
        <v>26.506720214563877</v>
      </c>
      <c r="Z13" s="64">
        <f t="shared" si="3"/>
        <v>27.085094337160328</v>
      </c>
      <c r="AA13" s="64">
        <f t="shared" si="3"/>
        <v>27.675472737783053</v>
      </c>
      <c r="AB13" s="64">
        <f t="shared" si="3"/>
        <v>28.278096411763507</v>
      </c>
      <c r="AC13" s="64">
        <f t="shared" si="3"/>
        <v>28.893211079038082</v>
      </c>
      <c r="AD13" s="64">
        <f t="shared" si="3"/>
        <v>29.521067275136989</v>
      </c>
      <c r="AE13" s="64">
        <f t="shared" si="3"/>
        <v>30.161920443901419</v>
      </c>
      <c r="AF13" s="64">
        <f t="shared" si="3"/>
        <v>30.816031031961323</v>
      </c>
      <c r="AG13" s="64">
        <f t="shared" si="3"/>
        <v>31.483664585006974</v>
      </c>
      <c r="AH13" s="64">
        <f t="shared" si="3"/>
        <v>32.165091845887943</v>
      </c>
    </row>
    <row r="14" spans="1:36">
      <c r="A14" s="1" t="s">
        <v>198</v>
      </c>
      <c r="B14" s="1" t="s">
        <v>199</v>
      </c>
      <c r="C14" s="54" t="s">
        <v>153</v>
      </c>
      <c r="D14" s="44">
        <f>'R&amp;S - Packaging and hh goods'!I4</f>
        <v>46.844581662413418</v>
      </c>
      <c r="E14" s="44">
        <f>D14*(1+'R&amp;S - Packaging and hh goods'!$B$5)</f>
        <v>47.500405805687208</v>
      </c>
      <c r="F14" s="44">
        <f>E14*(1+'R&amp;S - Packaging and hh goods'!$B$5)</f>
        <v>48.165411486966832</v>
      </c>
      <c r="G14" s="44">
        <f>F14*(1+'R&amp;S - Packaging and hh goods'!$B$5)</f>
        <v>48.839727247784367</v>
      </c>
      <c r="H14" s="44">
        <f>G14*(1+'R&amp;S - Packaging and hh goods'!$B$5)</f>
        <v>49.523483429253346</v>
      </c>
      <c r="I14" s="44">
        <f>H14*(1+'R&amp;S - Packaging and hh goods'!$B$5)</f>
        <v>50.216812197262897</v>
      </c>
      <c r="J14" s="44">
        <f>I14*(1+'R&amp;S - Packaging and hh goods'!$B$5)</f>
        <v>50.919847568024579</v>
      </c>
      <c r="K14" s="44">
        <f>J14*(1+'R&amp;S - Packaging and hh goods'!$B$5)</f>
        <v>51.632725433976923</v>
      </c>
      <c r="L14" s="44">
        <f>K14*(1+'R&amp;S - Packaging and hh goods'!$B$5)</f>
        <v>52.355583590052603</v>
      </c>
      <c r="M14" s="44">
        <f>L14*(1+'R&amp;S - Packaging and hh goods'!$B$5)</f>
        <v>53.08856176031334</v>
      </c>
      <c r="N14" s="44">
        <f>M14*(1+'R&amp;S - Packaging and hh goods'!$B$5)</f>
        <v>53.831801624957727</v>
      </c>
      <c r="O14" s="44">
        <f>N14*(1+'R&amp;S - Packaging and hh goods'!$B$5)</f>
        <v>54.585446847707139</v>
      </c>
      <c r="P14" s="44">
        <f>O14*(1+'R&amp;S - Packaging and hh goods'!$B$5)</f>
        <v>55.34964310357504</v>
      </c>
      <c r="Q14" s="44">
        <f>P14*(1+'R&amp;S - Packaging and hh goods'!$B$5)</f>
        <v>56.124538107025089</v>
      </c>
      <c r="R14" s="44">
        <f>Q14*(1+'R&amp;S - Packaging and hh goods'!$B$5)</f>
        <v>56.910281640523444</v>
      </c>
      <c r="S14" s="44">
        <f>R14*(1+'R&amp;S - Packaging and hh goods'!$B$5)</f>
        <v>57.707025583490775</v>
      </c>
      <c r="T14" s="44">
        <f>S14*(1+'R&amp;S - Packaging and hh goods'!$B$5)</f>
        <v>58.514923941659646</v>
      </c>
      <c r="U14" s="44">
        <f>T14*(1+'R&amp;S - Packaging and hh goods'!$B$5)</f>
        <v>59.33413287684288</v>
      </c>
      <c r="V14" s="44">
        <f>U14*(1+'R&amp;S - Packaging and hh goods'!$B$5)</f>
        <v>60.164810737118678</v>
      </c>
      <c r="W14" s="44">
        <f>V14*(1+'R&amp;S - Packaging and hh goods'!$B$5)</f>
        <v>61.007118087438343</v>
      </c>
      <c r="X14" s="44">
        <f>W14*(1+'R&amp;S - Packaging and hh goods'!$B$5)</f>
        <v>61.861217740662482</v>
      </c>
      <c r="Y14" s="44">
        <f>X14*(1+'R&amp;S - Packaging and hh goods'!$B$5)</f>
        <v>62.72727478903176</v>
      </c>
      <c r="Z14" s="44">
        <f>Y14*(1+'R&amp;S - Packaging and hh goods'!$B$5)</f>
        <v>63.605456636078209</v>
      </c>
      <c r="AA14" s="44">
        <f>Z14*(1+'R&amp;S - Packaging and hh goods'!$B$5)</f>
        <v>64.495933028983302</v>
      </c>
      <c r="AB14" s="44">
        <f>AA14*(1+'R&amp;S - Packaging and hh goods'!$B$5)</f>
        <v>65.39887609138907</v>
      </c>
      <c r="AC14" s="44">
        <f>AB14*(1+'R&amp;S - Packaging and hh goods'!$B$5)</f>
        <v>66.314460356668519</v>
      </c>
      <c r="AD14" s="44">
        <f>AC14*(1+'R&amp;S - Packaging and hh goods'!$B$5)</f>
        <v>67.242862801661886</v>
      </c>
      <c r="AE14" s="44">
        <f>AD14*(1+'R&amp;S - Packaging and hh goods'!$B$5)</f>
        <v>68.184262880885157</v>
      </c>
      <c r="AF14" s="44">
        <f>AE14*(1+'R&amp;S - Packaging and hh goods'!$B$5)</f>
        <v>69.138842561217544</v>
      </c>
      <c r="AG14" s="44">
        <f>AF14*(1+'R&amp;S - Packaging and hh goods'!$B$5)</f>
        <v>70.106786357074597</v>
      </c>
      <c r="AH14" s="44">
        <f>AG14*(1+'R&amp;S - Packaging and hh goods'!$B$5)</f>
        <v>71.088281366073645</v>
      </c>
    </row>
    <row r="15" spans="1:36" outlineLevel="1">
      <c r="B15" s="61" t="s">
        <v>25</v>
      </c>
      <c r="C15" s="54" t="s">
        <v>153</v>
      </c>
      <c r="D15" s="44">
        <v>0</v>
      </c>
      <c r="E15" s="44">
        <f>E14*'R&amp;S - Packaging and hh goods'!$B$7*('R&amp;S - Packaging and hh goods'!$D$15*'R&amp;S - Packaging and hh goods'!$P$19*('Yearly LC Propylene'!E$3-'Yearly LC Propylene'!$D$3)/10)</f>
        <v>0</v>
      </c>
      <c r="F15" s="44">
        <f>F14*'R&amp;S - Packaging and hh goods'!$B$7*('R&amp;S - Packaging and hh goods'!$D$15*'R&amp;S - Packaging and hh goods'!$P$19*('Yearly LC Propylene'!F$3-'Yearly LC Propylene'!$D$3)/10)</f>
        <v>0</v>
      </c>
      <c r="G15" s="44">
        <f>G14*'R&amp;S - Packaging and hh goods'!$B$7*('R&amp;S - Packaging and hh goods'!$D$15*'R&amp;S - Packaging and hh goods'!$P$19*('Yearly LC Propylene'!G$3-'Yearly LC Propylene'!$D$3)/10)</f>
        <v>0</v>
      </c>
      <c r="H15" s="44">
        <f>H14*'R&amp;S - Packaging and hh goods'!$B$7*('R&amp;S - Packaging and hh goods'!$D$15*'R&amp;S - Packaging and hh goods'!$P$19*('Yearly LC Propylene'!H$3-'Yearly LC Propylene'!$D$3)/10)</f>
        <v>0</v>
      </c>
      <c r="I15" s="44">
        <f>I14*'R&amp;S - Packaging and hh goods'!$B$7*('R&amp;S - Packaging and hh goods'!$D$15*'R&amp;S - Packaging and hh goods'!$P$19*('Yearly LC Propylene'!I$3-'Yearly LC Propylene'!$D$3)/10)</f>
        <v>0</v>
      </c>
      <c r="J15" s="44">
        <f>J14*'R&amp;S - Packaging and hh goods'!$B$7*('R&amp;S - Packaging and hh goods'!$D$15*'R&amp;S - Packaging and hh goods'!$P$19*('Yearly LC Propylene'!J$3-'Yearly LC Propylene'!$D$3)/10)</f>
        <v>0</v>
      </c>
      <c r="K15" s="44">
        <f>K14*'R&amp;S - Packaging and hh goods'!$B$7*('R&amp;S - Packaging and hh goods'!$D$15*'R&amp;S - Packaging and hh goods'!$P$19*('Yearly LC Propylene'!K$3-'Yearly LC Propylene'!$D$3)/10)</f>
        <v>0</v>
      </c>
      <c r="L15" s="44">
        <f>L14*'R&amp;S - Packaging and hh goods'!$B$7*('R&amp;S - Packaging and hh goods'!$D$15*'R&amp;S - Packaging and hh goods'!$P$19*('Yearly LC Propylene'!L$3-'Yearly LC Propylene'!$D$3)/10)</f>
        <v>0</v>
      </c>
      <c r="M15" s="44">
        <f>M14*'R&amp;S - Packaging and hh goods'!$B$7*('R&amp;S - Packaging and hh goods'!$D$15*'R&amp;S - Packaging and hh goods'!$P$19*('Yearly LC Propylene'!M$3-'Yearly LC Propylene'!$D$3)/10)</f>
        <v>0</v>
      </c>
      <c r="N15" s="44">
        <f>N14*'R&amp;S - Packaging and hh goods'!$B$7*('R&amp;S - Packaging and hh goods'!$D$15*'R&amp;S - Packaging and hh goods'!$P$19*('Yearly LC Propylene'!N$3-'Yearly LC Propylene'!$D$3)/10)</f>
        <v>0</v>
      </c>
      <c r="O15" s="44">
        <f>O14*'R&amp;S - Packaging and hh goods'!$B$7*('R&amp;S - Packaging and hh goods'!$D$15*('R&amp;S - Packaging and hh goods'!$P$19+('R&amp;S - Packaging and hh goods'!$P$20-'R&amp;S - Packaging and hh goods'!$P$19)*('Yearly LC Propylene'!O$3-'Yearly LC Propylene'!$N$3)/10))</f>
        <v>0</v>
      </c>
      <c r="P15" s="44">
        <f>P14*'R&amp;S - Packaging and hh goods'!$B$7*('R&amp;S - Packaging and hh goods'!$D$15*('R&amp;S - Packaging and hh goods'!$P$19+('R&amp;S - Packaging and hh goods'!$P$20-'R&amp;S - Packaging and hh goods'!$P$19)*('Yearly LC Propylene'!P$3-'Yearly LC Propylene'!$N$3)/10))</f>
        <v>0</v>
      </c>
      <c r="Q15" s="44">
        <f>Q14*'R&amp;S - Packaging and hh goods'!$B$7*('R&amp;S - Packaging and hh goods'!$D$15*('R&amp;S - Packaging and hh goods'!$P$19+('R&amp;S - Packaging and hh goods'!$P$20-'R&amp;S - Packaging and hh goods'!$P$19)*('Yearly LC Propylene'!Q$3-'Yearly LC Propylene'!$N$3)/10))</f>
        <v>0</v>
      </c>
      <c r="R15" s="44">
        <f>R14*'R&amp;S - Packaging and hh goods'!$B$7*('R&amp;S - Packaging and hh goods'!$D$15*('R&amp;S - Packaging and hh goods'!$P$19+('R&amp;S - Packaging and hh goods'!$P$20-'R&amp;S - Packaging and hh goods'!$P$19)*('Yearly LC Propylene'!R$3-'Yearly LC Propylene'!$N$3)/10))</f>
        <v>0</v>
      </c>
      <c r="S15" s="44">
        <f>S14*'R&amp;S - Packaging and hh goods'!$B$7*('R&amp;S - Packaging and hh goods'!$D$15*('R&amp;S - Packaging and hh goods'!$P$19+('R&amp;S - Packaging and hh goods'!$P$20-'R&amp;S - Packaging and hh goods'!$P$19)*('Yearly LC Propylene'!S$3-'Yearly LC Propylene'!$N$3)/10))</f>
        <v>0</v>
      </c>
      <c r="T15" s="44">
        <f>T14*'R&amp;S - Packaging and hh goods'!$B$7*('R&amp;S - Packaging and hh goods'!$D$15*('R&amp;S - Packaging and hh goods'!$P$19+('R&amp;S - Packaging and hh goods'!$P$20-'R&amp;S - Packaging and hh goods'!$P$19)*('Yearly LC Propylene'!T$3-'Yearly LC Propylene'!$N$3)/10))</f>
        <v>0</v>
      </c>
      <c r="U15" s="44">
        <f>U14*'R&amp;S - Packaging and hh goods'!$B$7*('R&amp;S - Packaging and hh goods'!$D$15*('R&amp;S - Packaging and hh goods'!$P$19+('R&amp;S - Packaging and hh goods'!$P$20-'R&amp;S - Packaging and hh goods'!$P$19)*('Yearly LC Propylene'!U$3-'Yearly LC Propylene'!$N$3)/10))</f>
        <v>0</v>
      </c>
      <c r="V15" s="44">
        <f>V14*'R&amp;S - Packaging and hh goods'!$B$7*('R&amp;S - Packaging and hh goods'!$D$15*('R&amp;S - Packaging and hh goods'!$P$19+('R&amp;S - Packaging and hh goods'!$P$20-'R&amp;S - Packaging and hh goods'!$P$19)*('Yearly LC Propylene'!V$3-'Yearly LC Propylene'!$N$3)/10))</f>
        <v>0</v>
      </c>
      <c r="W15" s="44">
        <f>W14*'R&amp;S - Packaging and hh goods'!$B$7*('R&amp;S - Packaging and hh goods'!$D$15*('R&amp;S - Packaging and hh goods'!$P$19+('R&amp;S - Packaging and hh goods'!$P$20-'R&amp;S - Packaging and hh goods'!$P$19)*('Yearly LC Propylene'!W$3-'Yearly LC Propylene'!$N$3)/10))</f>
        <v>0</v>
      </c>
      <c r="X15" s="44">
        <f>X14*'R&amp;S - Packaging and hh goods'!$B$7*('R&amp;S - Packaging and hh goods'!$D$15*('R&amp;S - Packaging and hh goods'!$P$19+('R&amp;S - Packaging and hh goods'!$P$20-'R&amp;S - Packaging and hh goods'!$P$19)*('Yearly LC Propylene'!X$3-'Yearly LC Propylene'!$N$3)/10))</f>
        <v>0</v>
      </c>
      <c r="Y15" s="44">
        <f>Y14*'R&amp;S - Packaging and hh goods'!$B$7*('R&amp;S - Packaging and hh goods'!$D$15*('R&amp;S - Packaging and hh goods'!$P$20+('R&amp;S - Packaging and hh goods'!$P$21-'R&amp;S - Packaging and hh goods'!$P$20)*('Yearly LC Propylene'!Y$3-'Yearly LC Propylene'!$X$3)/10))</f>
        <v>0</v>
      </c>
      <c r="Z15" s="44">
        <f>Z14*'R&amp;S - Packaging and hh goods'!$B$7*('R&amp;S - Packaging and hh goods'!$D$15*('R&amp;S - Packaging and hh goods'!$P$20+('R&amp;S - Packaging and hh goods'!$P$21-'R&amp;S - Packaging and hh goods'!$P$20)*('Yearly LC Propylene'!Z$3-'Yearly LC Propylene'!$X$3)/10))</f>
        <v>0</v>
      </c>
      <c r="AA15" s="44">
        <f>AA14*'R&amp;S - Packaging and hh goods'!$B$7*('R&amp;S - Packaging and hh goods'!$D$15*('R&amp;S - Packaging and hh goods'!$P$20+('R&amp;S - Packaging and hh goods'!$P$21-'R&amp;S - Packaging and hh goods'!$P$20)*('Yearly LC Propylene'!AA$3-'Yearly LC Propylene'!$X$3)/10))</f>
        <v>0</v>
      </c>
      <c r="AB15" s="44">
        <f>AB14*'R&amp;S - Packaging and hh goods'!$B$7*('R&amp;S - Packaging and hh goods'!$D$15*('R&amp;S - Packaging and hh goods'!$P$20+('R&amp;S - Packaging and hh goods'!$P$21-'R&amp;S - Packaging and hh goods'!$P$20)*('Yearly LC Propylene'!AB$3-'Yearly LC Propylene'!$X$3)/10))</f>
        <v>0</v>
      </c>
      <c r="AC15" s="44">
        <f>AC14*'R&amp;S - Packaging and hh goods'!$B$7*('R&amp;S - Packaging and hh goods'!$D$15*('R&amp;S - Packaging and hh goods'!$P$20+('R&amp;S - Packaging and hh goods'!$P$21-'R&amp;S - Packaging and hh goods'!$P$20)*('Yearly LC Propylene'!AC$3-'Yearly LC Propylene'!$X$3)/10))</f>
        <v>0</v>
      </c>
      <c r="AD15" s="44">
        <f>AD14*'R&amp;S - Packaging and hh goods'!$B$7*('R&amp;S - Packaging and hh goods'!$D$15*('R&amp;S - Packaging and hh goods'!$P$20+('R&amp;S - Packaging and hh goods'!$P$21-'R&amp;S - Packaging and hh goods'!$P$20)*('Yearly LC Propylene'!AD$3-'Yearly LC Propylene'!$X$3)/10))</f>
        <v>0</v>
      </c>
      <c r="AE15" s="44">
        <f>AE14*'R&amp;S - Packaging and hh goods'!$B$7*('R&amp;S - Packaging and hh goods'!$D$15*('R&amp;S - Packaging and hh goods'!$P$20+('R&amp;S - Packaging and hh goods'!$P$21-'R&amp;S - Packaging and hh goods'!$P$20)*('Yearly LC Propylene'!AE$3-'Yearly LC Propylene'!$X$3)/10))</f>
        <v>0</v>
      </c>
      <c r="AF15" s="44">
        <f>AF14*'R&amp;S - Packaging and hh goods'!$B$7*('R&amp;S - Packaging and hh goods'!$D$15*('R&amp;S - Packaging and hh goods'!$P$20+('R&amp;S - Packaging and hh goods'!$P$21-'R&amp;S - Packaging and hh goods'!$P$20)*('Yearly LC Propylene'!AF$3-'Yearly LC Propylene'!$X$3)/10))</f>
        <v>0</v>
      </c>
      <c r="AG15" s="44">
        <f>AG14*'R&amp;S - Packaging and hh goods'!$B$7*('R&amp;S - Packaging and hh goods'!$D$15*('R&amp;S - Packaging and hh goods'!$P$20+('R&amp;S - Packaging and hh goods'!$P$21-'R&amp;S - Packaging and hh goods'!$P$20)*('Yearly LC Propylene'!AG$3-'Yearly LC Propylene'!$X$3)/10))</f>
        <v>0</v>
      </c>
      <c r="AH15" s="44">
        <f>AH14*'R&amp;S - Packaging and hh goods'!$B$7*('R&amp;S - Packaging and hh goods'!$D$15*('R&amp;S - Packaging and hh goods'!$P$20+('R&amp;S - Packaging and hh goods'!$P$21-'R&amp;S - Packaging and hh goods'!$P$20)*('Yearly LC Propylene'!AH$3-'Yearly LC Propylene'!$X$3)/10))</f>
        <v>0</v>
      </c>
    </row>
    <row r="16" spans="1:36" outlineLevel="1">
      <c r="B16" s="61" t="s">
        <v>200</v>
      </c>
      <c r="C16" s="54" t="s">
        <v>153</v>
      </c>
      <c r="D16" s="44">
        <v>0</v>
      </c>
      <c r="E16" s="44">
        <f>E14*'R&amp;S - Packaging and hh goods'!$B$8*('R&amp;S - Packaging and hh goods'!$D$15*'R&amp;S - Packaging and hh goods'!$Q$19*('Yearly LC Propylene'!E$3-'Yearly LC Propylene'!$D$3)/10)</f>
        <v>0</v>
      </c>
      <c r="F16" s="44">
        <f>F14*'R&amp;S - Packaging and hh goods'!$B$8*('R&amp;S - Packaging and hh goods'!$D$15*'R&amp;S - Packaging and hh goods'!$Q$19*('Yearly LC Propylene'!F$3-'Yearly LC Propylene'!$D$3)/10)</f>
        <v>0</v>
      </c>
      <c r="G16" s="44">
        <f>G14*'R&amp;S - Packaging and hh goods'!$B$8*('R&amp;S - Packaging and hh goods'!$D$15*'R&amp;S - Packaging and hh goods'!$Q$19*('Yearly LC Propylene'!G$3-'Yearly LC Propylene'!$D$3)/10)</f>
        <v>0</v>
      </c>
      <c r="H16" s="44">
        <f>H14*'R&amp;S - Packaging and hh goods'!$B$8*('R&amp;S - Packaging and hh goods'!$D$15*'R&amp;S - Packaging and hh goods'!$Q$19*('Yearly LC Propylene'!H$3-'Yearly LC Propylene'!$D$3)/10)</f>
        <v>0</v>
      </c>
      <c r="I16" s="44">
        <f>I14*'R&amp;S - Packaging and hh goods'!$B$8*('R&amp;S - Packaging and hh goods'!$D$15*'R&amp;S - Packaging and hh goods'!$Q$19*('Yearly LC Propylene'!I$3-'Yearly LC Propylene'!$D$3)/10)</f>
        <v>0</v>
      </c>
      <c r="J16" s="44">
        <f>J14*'R&amp;S - Packaging and hh goods'!$B$8*('R&amp;S - Packaging and hh goods'!$D$15*'R&amp;S - Packaging and hh goods'!$Q$19*('Yearly LC Propylene'!J$3-'Yearly LC Propylene'!$D$3)/10)</f>
        <v>0</v>
      </c>
      <c r="K16" s="44">
        <f>K14*'R&amp;S - Packaging and hh goods'!$B$8*('R&amp;S - Packaging and hh goods'!$D$15*'R&amp;S - Packaging and hh goods'!$Q$19*('Yearly LC Propylene'!K$3-'Yearly LC Propylene'!$D$3)/10)</f>
        <v>0</v>
      </c>
      <c r="L16" s="44">
        <f>L14*'R&amp;S - Packaging and hh goods'!$B$8*('R&amp;S - Packaging and hh goods'!$D$15*'R&amp;S - Packaging and hh goods'!$Q$19*('Yearly LC Propylene'!L$3-'Yearly LC Propylene'!$D$3)/10)</f>
        <v>0</v>
      </c>
      <c r="M16" s="44">
        <f>M14*'R&amp;S - Packaging and hh goods'!$B$8*('R&amp;S - Packaging and hh goods'!$D$15*'R&amp;S - Packaging and hh goods'!$Q$19*('Yearly LC Propylene'!M$3-'Yearly LC Propylene'!$D$3)/10)</f>
        <v>0</v>
      </c>
      <c r="N16" s="44">
        <f>N14*'R&amp;S - Packaging and hh goods'!$B$8*('R&amp;S - Packaging and hh goods'!$D$15*'R&amp;S - Packaging and hh goods'!$Q$19*('Yearly LC Propylene'!N$3-'Yearly LC Propylene'!$D$3)/10)</f>
        <v>0</v>
      </c>
      <c r="O16" s="44">
        <f>O14*'R&amp;S - Packaging and hh goods'!$B$8*('R&amp;S - Packaging and hh goods'!$D$15*('R&amp;S - Packaging and hh goods'!$Q$19+('R&amp;S - Packaging and hh goods'!$Q$20-'R&amp;S - Packaging and hh goods'!$Q$19)*('Yearly LC Propylene'!O$3-'Yearly LC Propylene'!$N$3)/10))</f>
        <v>0</v>
      </c>
      <c r="P16" s="44">
        <f>P14*'R&amp;S - Packaging and hh goods'!$B$8*('R&amp;S - Packaging and hh goods'!$D$15*('R&amp;S - Packaging and hh goods'!$Q$19+('R&amp;S - Packaging and hh goods'!$Q$20-'R&amp;S - Packaging and hh goods'!$Q$19)*('Yearly LC Propylene'!P$3-'Yearly LC Propylene'!$N$3)/10))</f>
        <v>0</v>
      </c>
      <c r="Q16" s="44">
        <f>Q14*'R&amp;S - Packaging and hh goods'!$B$8*('R&amp;S - Packaging and hh goods'!$D$15*('R&amp;S - Packaging and hh goods'!$Q$19+('R&amp;S - Packaging and hh goods'!$Q$20-'R&amp;S - Packaging and hh goods'!$Q$19)*('Yearly LC Propylene'!Q$3-'Yearly LC Propylene'!$N$3)/10))</f>
        <v>0</v>
      </c>
      <c r="R16" s="44">
        <f>R14*'R&amp;S - Packaging and hh goods'!$B$8*('R&amp;S - Packaging and hh goods'!$D$15*('R&amp;S - Packaging and hh goods'!$Q$19+('R&amp;S - Packaging and hh goods'!$Q$20-'R&amp;S - Packaging and hh goods'!$Q$19)*('Yearly LC Propylene'!R$3-'Yearly LC Propylene'!$N$3)/10))</f>
        <v>0</v>
      </c>
      <c r="S16" s="44">
        <f>S14*'R&amp;S - Packaging and hh goods'!$B$8*('R&amp;S - Packaging and hh goods'!$D$15*('R&amp;S - Packaging and hh goods'!$Q$19+('R&amp;S - Packaging and hh goods'!$Q$20-'R&amp;S - Packaging and hh goods'!$Q$19)*('Yearly LC Propylene'!S$3-'Yearly LC Propylene'!$N$3)/10))</f>
        <v>0</v>
      </c>
      <c r="T16" s="44">
        <f>T14*'R&amp;S - Packaging and hh goods'!$B$8*('R&amp;S - Packaging and hh goods'!$D$15*('R&amp;S - Packaging and hh goods'!$Q$19+('R&amp;S - Packaging and hh goods'!$Q$20-'R&amp;S - Packaging and hh goods'!$Q$19)*('Yearly LC Propylene'!T$3-'Yearly LC Propylene'!$N$3)/10))</f>
        <v>0</v>
      </c>
      <c r="U16" s="44">
        <f>U14*'R&amp;S - Packaging and hh goods'!$B$8*('R&amp;S - Packaging and hh goods'!$D$15*('R&amp;S - Packaging and hh goods'!$Q$19+('R&amp;S - Packaging and hh goods'!$Q$20-'R&amp;S - Packaging and hh goods'!$Q$19)*('Yearly LC Propylene'!U$3-'Yearly LC Propylene'!$N$3)/10))</f>
        <v>0</v>
      </c>
      <c r="V16" s="44">
        <f>V14*'R&amp;S - Packaging and hh goods'!$B$8*('R&amp;S - Packaging and hh goods'!$D$15*('R&amp;S - Packaging and hh goods'!$Q$19+('R&amp;S - Packaging and hh goods'!$Q$20-'R&amp;S - Packaging and hh goods'!$Q$19)*('Yearly LC Propylene'!V$3-'Yearly LC Propylene'!$N$3)/10))</f>
        <v>0</v>
      </c>
      <c r="W16" s="44">
        <f>W14*'R&amp;S - Packaging and hh goods'!$B$8*('R&amp;S - Packaging and hh goods'!$D$15*('R&amp;S - Packaging and hh goods'!$Q$19+('R&amp;S - Packaging and hh goods'!$Q$20-'R&amp;S - Packaging and hh goods'!$Q$19)*('Yearly LC Propylene'!W$3-'Yearly LC Propylene'!$N$3)/10))</f>
        <v>0</v>
      </c>
      <c r="X16" s="44">
        <f>X14*'R&amp;S - Packaging and hh goods'!$B$8*('R&amp;S - Packaging and hh goods'!$D$15*('R&amp;S - Packaging and hh goods'!$Q$19+('R&amp;S - Packaging and hh goods'!$Q$20-'R&amp;S - Packaging and hh goods'!$Q$19)*('Yearly LC Propylene'!X$3-'Yearly LC Propylene'!$N$3)/10))</f>
        <v>0</v>
      </c>
      <c r="Y16" s="44">
        <f>Y14*'R&amp;S - Packaging and hh goods'!$B$8*('R&amp;S - Packaging and hh goods'!$D$15*('R&amp;S - Packaging and hh goods'!$Q$20+('R&amp;S - Packaging and hh goods'!$Q$21-'R&amp;S - Packaging and hh goods'!$Q$20)*('Yearly LC Propylene'!Y$3-'Yearly LC Propylene'!$X$3)/10))</f>
        <v>0</v>
      </c>
      <c r="Z16" s="44">
        <f>Z14*'R&amp;S - Packaging and hh goods'!$B$8*('R&amp;S - Packaging and hh goods'!$D$15*('R&amp;S - Packaging and hh goods'!$Q$20+('R&amp;S - Packaging and hh goods'!$Q$21-'R&amp;S - Packaging and hh goods'!$Q$20)*('Yearly LC Propylene'!Z$3-'Yearly LC Propylene'!$X$3)/10))</f>
        <v>0</v>
      </c>
      <c r="AA16" s="44">
        <f>AA14*'R&amp;S - Packaging and hh goods'!$B$8*('R&amp;S - Packaging and hh goods'!$D$15*('R&amp;S - Packaging and hh goods'!$Q$20+('R&amp;S - Packaging and hh goods'!$Q$21-'R&amp;S - Packaging and hh goods'!$Q$20)*('Yearly LC Propylene'!AA$3-'Yearly LC Propylene'!$X$3)/10))</f>
        <v>0</v>
      </c>
      <c r="AB16" s="44">
        <f>AB14*'R&amp;S - Packaging and hh goods'!$B$8*('R&amp;S - Packaging and hh goods'!$D$15*('R&amp;S - Packaging and hh goods'!$Q$20+('R&amp;S - Packaging and hh goods'!$Q$21-'R&amp;S - Packaging and hh goods'!$Q$20)*('Yearly LC Propylene'!AB$3-'Yearly LC Propylene'!$X$3)/10))</f>
        <v>0</v>
      </c>
      <c r="AC16" s="44">
        <f>AC14*'R&amp;S - Packaging and hh goods'!$B$8*('R&amp;S - Packaging and hh goods'!$D$15*('R&amp;S - Packaging and hh goods'!$Q$20+('R&amp;S - Packaging and hh goods'!$Q$21-'R&amp;S - Packaging and hh goods'!$Q$20)*('Yearly LC Propylene'!AC$3-'Yearly LC Propylene'!$X$3)/10))</f>
        <v>0</v>
      </c>
      <c r="AD16" s="44">
        <f>AD14*'R&amp;S - Packaging and hh goods'!$B$8*('R&amp;S - Packaging and hh goods'!$D$15*('R&amp;S - Packaging and hh goods'!$Q$20+('R&amp;S - Packaging and hh goods'!$Q$21-'R&amp;S - Packaging and hh goods'!$Q$20)*('Yearly LC Propylene'!AD$3-'Yearly LC Propylene'!$X$3)/10))</f>
        <v>0</v>
      </c>
      <c r="AE16" s="44">
        <f>AE14*'R&amp;S - Packaging and hh goods'!$B$8*('R&amp;S - Packaging and hh goods'!$D$15*('R&amp;S - Packaging and hh goods'!$Q$20+('R&amp;S - Packaging and hh goods'!$Q$21-'R&amp;S - Packaging and hh goods'!$Q$20)*('Yearly LC Propylene'!AE$3-'Yearly LC Propylene'!$X$3)/10))</f>
        <v>0</v>
      </c>
      <c r="AF16" s="44">
        <f>AF14*'R&amp;S - Packaging and hh goods'!$B$8*('R&amp;S - Packaging and hh goods'!$D$15*('R&amp;S - Packaging and hh goods'!$Q$20+('R&amp;S - Packaging and hh goods'!$Q$21-'R&amp;S - Packaging and hh goods'!$Q$20)*('Yearly LC Propylene'!AF$3-'Yearly LC Propylene'!$X$3)/10))</f>
        <v>0</v>
      </c>
      <c r="AG16" s="44">
        <f>AG14*'R&amp;S - Packaging and hh goods'!$B$8*('R&amp;S - Packaging and hh goods'!$D$15*('R&amp;S - Packaging and hh goods'!$Q$20+('R&amp;S - Packaging and hh goods'!$Q$21-'R&amp;S - Packaging and hh goods'!$Q$20)*('Yearly LC Propylene'!AG$3-'Yearly LC Propylene'!$X$3)/10))</f>
        <v>0</v>
      </c>
      <c r="AH16" s="44">
        <f>AH14*'R&amp;S - Packaging and hh goods'!$B$8*('R&amp;S - Packaging and hh goods'!$D$15*('R&amp;S - Packaging and hh goods'!$Q$20+('R&amp;S - Packaging and hh goods'!$Q$21-'R&amp;S - Packaging and hh goods'!$Q$20)*('Yearly LC Propylene'!AH$3-'Yearly LC Propylene'!$X$3)/10))</f>
        <v>0</v>
      </c>
    </row>
    <row r="17" spans="1:34" outlineLevel="1">
      <c r="B17" s="1" t="s">
        <v>168</v>
      </c>
      <c r="C17" s="54" t="s">
        <v>153</v>
      </c>
      <c r="D17" s="44">
        <f>SUM(D15:D16)</f>
        <v>0</v>
      </c>
      <c r="E17" s="44">
        <f t="shared" ref="E17:AH17" si="4">SUM(E15:E16)</f>
        <v>0</v>
      </c>
      <c r="F17" s="44">
        <f t="shared" si="4"/>
        <v>0</v>
      </c>
      <c r="G17" s="44">
        <f t="shared" si="4"/>
        <v>0</v>
      </c>
      <c r="H17" s="44">
        <f t="shared" si="4"/>
        <v>0</v>
      </c>
      <c r="I17" s="44">
        <f t="shared" si="4"/>
        <v>0</v>
      </c>
      <c r="J17" s="44">
        <f t="shared" si="4"/>
        <v>0</v>
      </c>
      <c r="K17" s="44">
        <f t="shared" si="4"/>
        <v>0</v>
      </c>
      <c r="L17" s="44">
        <f t="shared" si="4"/>
        <v>0</v>
      </c>
      <c r="M17" s="44">
        <f t="shared" si="4"/>
        <v>0</v>
      </c>
      <c r="N17" s="44">
        <f t="shared" si="4"/>
        <v>0</v>
      </c>
      <c r="O17" s="44">
        <f t="shared" si="4"/>
        <v>0</v>
      </c>
      <c r="P17" s="44">
        <f t="shared" si="4"/>
        <v>0</v>
      </c>
      <c r="Q17" s="44">
        <f t="shared" si="4"/>
        <v>0</v>
      </c>
      <c r="R17" s="44">
        <f t="shared" si="4"/>
        <v>0</v>
      </c>
      <c r="S17" s="44">
        <f t="shared" si="4"/>
        <v>0</v>
      </c>
      <c r="T17" s="44">
        <f t="shared" si="4"/>
        <v>0</v>
      </c>
      <c r="U17" s="44">
        <f t="shared" si="4"/>
        <v>0</v>
      </c>
      <c r="V17" s="44">
        <f t="shared" si="4"/>
        <v>0</v>
      </c>
      <c r="W17" s="44">
        <f t="shared" si="4"/>
        <v>0</v>
      </c>
      <c r="X17" s="44">
        <f t="shared" si="4"/>
        <v>0</v>
      </c>
      <c r="Y17" s="44">
        <f t="shared" si="4"/>
        <v>0</v>
      </c>
      <c r="Z17" s="44">
        <f t="shared" si="4"/>
        <v>0</v>
      </c>
      <c r="AA17" s="44">
        <f t="shared" si="4"/>
        <v>0</v>
      </c>
      <c r="AB17" s="44">
        <f t="shared" si="4"/>
        <v>0</v>
      </c>
      <c r="AC17" s="44">
        <f t="shared" si="4"/>
        <v>0</v>
      </c>
      <c r="AD17" s="44">
        <f t="shared" si="4"/>
        <v>0</v>
      </c>
      <c r="AE17" s="44">
        <f t="shared" si="4"/>
        <v>0</v>
      </c>
      <c r="AF17" s="44">
        <f t="shared" si="4"/>
        <v>0</v>
      </c>
      <c r="AG17" s="44">
        <f t="shared" si="4"/>
        <v>0</v>
      </c>
      <c r="AH17" s="44">
        <f t="shared" si="4"/>
        <v>0</v>
      </c>
    </row>
    <row r="18" spans="1:34" outlineLevel="1">
      <c r="B18" s="61" t="s">
        <v>202</v>
      </c>
      <c r="C18" s="54" t="s">
        <v>153</v>
      </c>
      <c r="D18" s="44">
        <v>0</v>
      </c>
      <c r="E18" s="44">
        <f>E14*'R&amp;S - Packaging and hh goods'!$B$9*('R&amp;S - Packaging and hh goods'!$E$15*'R&amp;S - Packaging and hh goods'!$R$19*('Yearly LC Propylene'!E$3-'Yearly LC Propylene'!$D$3)/10)</f>
        <v>0</v>
      </c>
      <c r="F18" s="44">
        <f>F14*'R&amp;S - Packaging and hh goods'!$B$9*('R&amp;S - Packaging and hh goods'!$E$15*'R&amp;S - Packaging and hh goods'!$R$19*('Yearly LC Propylene'!F$3-'Yearly LC Propylene'!$D$3)/10)</f>
        <v>0</v>
      </c>
      <c r="G18" s="44">
        <f>G14*'R&amp;S - Packaging and hh goods'!$B$9*('R&amp;S - Packaging and hh goods'!$E$15*'R&amp;S - Packaging and hh goods'!$R$19*('Yearly LC Propylene'!G$3-'Yearly LC Propylene'!$D$3)/10)</f>
        <v>0</v>
      </c>
      <c r="H18" s="44">
        <f>H14*'R&amp;S - Packaging and hh goods'!$B$9*('R&amp;S - Packaging and hh goods'!$E$15*'R&amp;S - Packaging and hh goods'!$R$19*('Yearly LC Propylene'!H$3-'Yearly LC Propylene'!$D$3)/10)</f>
        <v>0</v>
      </c>
      <c r="I18" s="44">
        <f>I14*'R&amp;S - Packaging and hh goods'!$B$9*('R&amp;S - Packaging and hh goods'!$E$15*'R&amp;S - Packaging and hh goods'!$R$19*('Yearly LC Propylene'!I$3-'Yearly LC Propylene'!$D$3)/10)</f>
        <v>0</v>
      </c>
      <c r="J18" s="44">
        <f>J14*'R&amp;S - Packaging and hh goods'!$B$9*('R&amp;S - Packaging and hh goods'!$E$15*'R&amp;S - Packaging and hh goods'!$R$19*('Yearly LC Propylene'!J$3-'Yearly LC Propylene'!$D$3)/10)</f>
        <v>0</v>
      </c>
      <c r="K18" s="44">
        <f>K14*'R&amp;S - Packaging and hh goods'!$B$9*('R&amp;S - Packaging and hh goods'!$E$15*'R&amp;S - Packaging and hh goods'!$R$19*('Yearly LC Propylene'!K$3-'Yearly LC Propylene'!$D$3)/10)</f>
        <v>0</v>
      </c>
      <c r="L18" s="44">
        <f>L14*'R&amp;S - Packaging and hh goods'!$B$9*('R&amp;S - Packaging and hh goods'!$E$15*'R&amp;S - Packaging and hh goods'!$R$19*('Yearly LC Propylene'!L$3-'Yearly LC Propylene'!$D$3)/10)</f>
        <v>0</v>
      </c>
      <c r="M18" s="44">
        <f>M14*'R&amp;S - Packaging and hh goods'!$B$9*('R&amp;S - Packaging and hh goods'!$E$15*'R&amp;S - Packaging and hh goods'!$R$19*('Yearly LC Propylene'!M$3-'Yearly LC Propylene'!$D$3)/10)</f>
        <v>0</v>
      </c>
      <c r="N18" s="44">
        <f>N14*'R&amp;S - Packaging and hh goods'!$B$9*('R&amp;S - Packaging and hh goods'!$E$15*'R&amp;S - Packaging and hh goods'!$R$19*('Yearly LC Propylene'!N$3-'Yearly LC Propylene'!$D$3)/10)</f>
        <v>0</v>
      </c>
      <c r="O18" s="44">
        <f>O14*'R&amp;S - Packaging and hh goods'!$B$9*('R&amp;S - Packaging and hh goods'!$E$15*'R&amp;S - Packaging and hh goods'!$R$19*('Yearly LC Propylene'!O$3-'Yearly LC Propylene'!$D$3)/10)</f>
        <v>0</v>
      </c>
      <c r="P18" s="44">
        <f>P14*'R&amp;S - Packaging and hh goods'!$B$9*('R&amp;S - Packaging and hh goods'!$E$15*'R&amp;S - Packaging and hh goods'!$R$19*('Yearly LC Propylene'!P$3-'Yearly LC Propylene'!$D$3)/10)</f>
        <v>0</v>
      </c>
      <c r="Q18" s="44">
        <f>Q14*'R&amp;S - Packaging and hh goods'!$B$9*('R&amp;S - Packaging and hh goods'!$E$15*'R&amp;S - Packaging and hh goods'!$R$19*('Yearly LC Propylene'!Q$3-'Yearly LC Propylene'!$D$3)/10)</f>
        <v>0</v>
      </c>
      <c r="R18" s="44">
        <f>R14*'R&amp;S - Packaging and hh goods'!$B$9*('R&amp;S - Packaging and hh goods'!$E$15*'R&amp;S - Packaging and hh goods'!$R$19*('Yearly LC Propylene'!R$3-'Yearly LC Propylene'!$D$3)/10)</f>
        <v>0</v>
      </c>
      <c r="S18" s="44">
        <f>S14*'R&amp;S - Packaging and hh goods'!$B$9*('R&amp;S - Packaging and hh goods'!$E$15*'R&amp;S - Packaging and hh goods'!$R$19*('Yearly LC Propylene'!S$3-'Yearly LC Propylene'!$D$3)/10)</f>
        <v>0</v>
      </c>
      <c r="T18" s="44">
        <f>T14*'R&amp;S - Packaging and hh goods'!$B$9*('R&amp;S - Packaging and hh goods'!$E$15*'R&amp;S - Packaging and hh goods'!$R$19*('Yearly LC Propylene'!T$3-'Yearly LC Propylene'!$D$3)/10)</f>
        <v>0</v>
      </c>
      <c r="U18" s="44">
        <f>U14*'R&amp;S - Packaging and hh goods'!$B$9*('R&amp;S - Packaging and hh goods'!$E$15*'R&amp;S - Packaging and hh goods'!$R$19*('Yearly LC Propylene'!U$3-'Yearly LC Propylene'!$D$3)/10)</f>
        <v>0</v>
      </c>
      <c r="V18" s="44">
        <f>V14*'R&amp;S - Packaging and hh goods'!$B$9*('R&amp;S - Packaging and hh goods'!$E$15*'R&amp;S - Packaging and hh goods'!$R$19*('Yearly LC Propylene'!V$3-'Yearly LC Propylene'!$D$3)/10)</f>
        <v>0</v>
      </c>
      <c r="W18" s="44">
        <f>W14*'R&amp;S - Packaging and hh goods'!$B$9*('R&amp;S - Packaging and hh goods'!$E$15*'R&amp;S - Packaging and hh goods'!$R$19*('Yearly LC Propylene'!W$3-'Yearly LC Propylene'!$D$3)/10)</f>
        <v>0</v>
      </c>
      <c r="X18" s="44">
        <f>X14*'R&amp;S - Packaging and hh goods'!$B$9*('R&amp;S - Packaging and hh goods'!$E$15*'R&amp;S - Packaging and hh goods'!$R$19*('Yearly LC Propylene'!X$3-'Yearly LC Propylene'!$D$3)/10)</f>
        <v>0</v>
      </c>
      <c r="Y18" s="44">
        <f>Y14*'R&amp;S - Packaging and hh goods'!$B$9*('R&amp;S - Packaging and hh goods'!$E$15*('R&amp;S - Packaging and hh goods'!$R$20+('R&amp;S - Packaging and hh goods'!$R$21-'R&amp;S - Packaging and hh goods'!$R$20)*('Yearly LC Propylene'!Y$3-'Yearly LC Propylene'!$X$3)/10))</f>
        <v>0</v>
      </c>
      <c r="Z18" s="44">
        <f>Z14*'R&amp;S - Packaging and hh goods'!$B$9*('R&amp;S - Packaging and hh goods'!$E$15*('R&amp;S - Packaging and hh goods'!$R$20+('R&amp;S - Packaging and hh goods'!$R$21-'R&amp;S - Packaging and hh goods'!$R$20)*('Yearly LC Propylene'!Z$3-'Yearly LC Propylene'!$X$3)/10))</f>
        <v>0</v>
      </c>
      <c r="AA18" s="44">
        <f>AA14*'R&amp;S - Packaging and hh goods'!$B$9*('R&amp;S - Packaging and hh goods'!$E$15*('R&amp;S - Packaging and hh goods'!$R$20+('R&amp;S - Packaging and hh goods'!$R$21-'R&amp;S - Packaging and hh goods'!$R$20)*('Yearly LC Propylene'!AA$3-'Yearly LC Propylene'!$X$3)/10))</f>
        <v>0</v>
      </c>
      <c r="AB18" s="44">
        <f>AB14*'R&amp;S - Packaging and hh goods'!$B$9*('R&amp;S - Packaging and hh goods'!$E$15*('R&amp;S - Packaging and hh goods'!$R$20+('R&amp;S - Packaging and hh goods'!$R$21-'R&amp;S - Packaging and hh goods'!$R$20)*('Yearly LC Propylene'!AB$3-'Yearly LC Propylene'!$X$3)/10))</f>
        <v>0</v>
      </c>
      <c r="AC18" s="44">
        <f>AC14*'R&amp;S - Packaging and hh goods'!$B$9*('R&amp;S - Packaging and hh goods'!$E$15*('R&amp;S - Packaging and hh goods'!$R$20+('R&amp;S - Packaging and hh goods'!$R$21-'R&amp;S - Packaging and hh goods'!$R$20)*('Yearly LC Propylene'!AC$3-'Yearly LC Propylene'!$X$3)/10))</f>
        <v>0</v>
      </c>
      <c r="AD18" s="44">
        <f>AD14*'R&amp;S - Packaging and hh goods'!$B$9*('R&amp;S - Packaging and hh goods'!$E$15*('R&amp;S - Packaging and hh goods'!$R$20+('R&amp;S - Packaging and hh goods'!$R$21-'R&amp;S - Packaging and hh goods'!$R$20)*('Yearly LC Propylene'!AD$3-'Yearly LC Propylene'!$X$3)/10))</f>
        <v>0</v>
      </c>
      <c r="AE18" s="44">
        <f>AE14*'R&amp;S - Packaging and hh goods'!$B$9*('R&amp;S - Packaging and hh goods'!$E$15*('R&amp;S - Packaging and hh goods'!$R$20+('R&amp;S - Packaging and hh goods'!$R$21-'R&amp;S - Packaging and hh goods'!$R$20)*('Yearly LC Propylene'!AE$3-'Yearly LC Propylene'!$X$3)/10))</f>
        <v>0</v>
      </c>
      <c r="AF18" s="44">
        <f>AF14*'R&amp;S - Packaging and hh goods'!$B$9*('R&amp;S - Packaging and hh goods'!$E$15*('R&amp;S - Packaging and hh goods'!$R$20+('R&amp;S - Packaging and hh goods'!$R$21-'R&amp;S - Packaging and hh goods'!$R$20)*('Yearly LC Propylene'!AF$3-'Yearly LC Propylene'!$X$3)/10))</f>
        <v>0</v>
      </c>
      <c r="AG18" s="44">
        <f>AG14*'R&amp;S - Packaging and hh goods'!$B$9*('R&amp;S - Packaging and hh goods'!$E$15*('R&amp;S - Packaging and hh goods'!$R$20+('R&amp;S - Packaging and hh goods'!$R$21-'R&amp;S - Packaging and hh goods'!$R$20)*('Yearly LC Propylene'!AG$3-'Yearly LC Propylene'!$X$3)/10))</f>
        <v>0</v>
      </c>
      <c r="AH18" s="44">
        <f>AH14*'R&amp;S - Packaging and hh goods'!$B$9*('R&amp;S - Packaging and hh goods'!$E$15*('R&amp;S - Packaging and hh goods'!$R$20+('R&amp;S - Packaging and hh goods'!$R$21-'R&amp;S - Packaging and hh goods'!$R$20)*('Yearly LC Propylene'!AH$3-'Yearly LC Propylene'!$X$3)/10))</f>
        <v>0</v>
      </c>
    </row>
    <row r="19" spans="1:34" outlineLevel="1">
      <c r="B19" s="61" t="s">
        <v>203</v>
      </c>
      <c r="C19" s="54" t="s">
        <v>153</v>
      </c>
      <c r="D19" s="44">
        <v>0</v>
      </c>
      <c r="E19" s="44">
        <f>E14*'R&amp;S - Packaging and hh goods'!$B$10*('R&amp;S - Packaging and hh goods'!$E$15*'R&amp;S - Packaging and hh goods'!$S$19*('Yearly LC Propylene'!E$3-'Yearly LC Propylene'!$D$3)/10)</f>
        <v>0</v>
      </c>
      <c r="F19" s="44">
        <f>F14*'R&amp;S - Packaging and hh goods'!$B$10*('R&amp;S - Packaging and hh goods'!$E$15*'R&amp;S - Packaging and hh goods'!$S$19*('Yearly LC Propylene'!F$3-'Yearly LC Propylene'!$D$3)/10)</f>
        <v>0</v>
      </c>
      <c r="G19" s="44">
        <f>G14*'R&amp;S - Packaging and hh goods'!$B$10*('R&amp;S - Packaging and hh goods'!$E$15*'R&amp;S - Packaging and hh goods'!$S$19*('Yearly LC Propylene'!G$3-'Yearly LC Propylene'!$D$3)/10)</f>
        <v>0</v>
      </c>
      <c r="H19" s="44">
        <f>H14*'R&amp;S - Packaging and hh goods'!$B$10*('R&amp;S - Packaging and hh goods'!$E$15*'R&amp;S - Packaging and hh goods'!$S$19*('Yearly LC Propylene'!H$3-'Yearly LC Propylene'!$D$3)/10)</f>
        <v>0</v>
      </c>
      <c r="I19" s="44">
        <f>I14*'R&amp;S - Packaging and hh goods'!$B$10*('R&amp;S - Packaging and hh goods'!$E$15*'R&amp;S - Packaging and hh goods'!$S$19*('Yearly LC Propylene'!I$3-'Yearly LC Propylene'!$D$3)/10)</f>
        <v>0</v>
      </c>
      <c r="J19" s="44">
        <f>J14*'R&amp;S - Packaging and hh goods'!$B$10*('R&amp;S - Packaging and hh goods'!$E$15*'R&amp;S - Packaging and hh goods'!$S$19*('Yearly LC Propylene'!J$3-'Yearly LC Propylene'!$D$3)/10)</f>
        <v>0</v>
      </c>
      <c r="K19" s="44">
        <f>K14*'R&amp;S - Packaging and hh goods'!$B$10*('R&amp;S - Packaging and hh goods'!$E$15*'R&amp;S - Packaging and hh goods'!$S$19*('Yearly LC Propylene'!K$3-'Yearly LC Propylene'!$D$3)/10)</f>
        <v>0</v>
      </c>
      <c r="L19" s="44">
        <f>L14*'R&amp;S - Packaging and hh goods'!$B$10*('R&amp;S - Packaging and hh goods'!$E$15*'R&amp;S - Packaging and hh goods'!$S$19*('Yearly LC Propylene'!L$3-'Yearly LC Propylene'!$D$3)/10)</f>
        <v>0</v>
      </c>
      <c r="M19" s="44">
        <f>M14*'R&amp;S - Packaging and hh goods'!$B$10*('R&amp;S - Packaging and hh goods'!$E$15*'R&amp;S - Packaging and hh goods'!$S$19*('Yearly LC Propylene'!M$3-'Yearly LC Propylene'!$D$3)/10)</f>
        <v>0</v>
      </c>
      <c r="N19" s="44">
        <f>N14*'R&amp;S - Packaging and hh goods'!$B$10*('R&amp;S - Packaging and hh goods'!$E$15*'R&amp;S - Packaging and hh goods'!$S$19*('Yearly LC Propylene'!N$3-'Yearly LC Propylene'!$D$3)/10)</f>
        <v>0</v>
      </c>
      <c r="O19" s="44">
        <f>O14*'R&amp;S - Packaging and hh goods'!$B$10*('R&amp;S - Packaging and hh goods'!$E$15*'R&amp;S - Packaging and hh goods'!$S$19*('Yearly LC Propylene'!O$3-'Yearly LC Propylene'!$D$3)/10)</f>
        <v>0</v>
      </c>
      <c r="P19" s="44">
        <f>P14*'R&amp;S - Packaging and hh goods'!$B$10*('R&amp;S - Packaging and hh goods'!$E$15*('R&amp;S - Packaging and hh goods'!$S$19+('R&amp;S - Packaging and hh goods'!$S$20-'R&amp;S - Packaging and hh goods'!$S$19)*('Yearly LC Propylene'!P$3-'Yearly LC Propylene'!$O$3)/10))</f>
        <v>0</v>
      </c>
      <c r="Q19" s="44">
        <f>Q14*'R&amp;S - Packaging and hh goods'!$B$10*('R&amp;S - Packaging and hh goods'!$E$15*('R&amp;S - Packaging and hh goods'!$S$19+('R&amp;S - Packaging and hh goods'!$S$20-'R&amp;S - Packaging and hh goods'!$S$19)*('Yearly LC Propylene'!Q$3-'Yearly LC Propylene'!$O$3)/10))</f>
        <v>0</v>
      </c>
      <c r="R19" s="44">
        <f>R14*'R&amp;S - Packaging and hh goods'!$B$10*('R&amp;S - Packaging and hh goods'!$E$15*('R&amp;S - Packaging and hh goods'!$S$19+('R&amp;S - Packaging and hh goods'!$S$20-'R&amp;S - Packaging and hh goods'!$S$19)*('Yearly LC Propylene'!R$3-'Yearly LC Propylene'!$O$3)/10))</f>
        <v>0</v>
      </c>
      <c r="S19" s="44">
        <f>S14*'R&amp;S - Packaging and hh goods'!$B$10*('R&amp;S - Packaging and hh goods'!$E$15*('R&amp;S - Packaging and hh goods'!$S$19+('R&amp;S - Packaging and hh goods'!$S$20-'R&amp;S - Packaging and hh goods'!$S$19)*('Yearly LC Propylene'!S$3-'Yearly LC Propylene'!$O$3)/10))</f>
        <v>0</v>
      </c>
      <c r="T19" s="44">
        <f>T14*'R&amp;S - Packaging and hh goods'!$B$10*('R&amp;S - Packaging and hh goods'!$E$15*('R&amp;S - Packaging and hh goods'!$S$19+('R&amp;S - Packaging and hh goods'!$S$20-'R&amp;S - Packaging and hh goods'!$S$19)*('Yearly LC Propylene'!T$3-'Yearly LC Propylene'!$O$3)/10))</f>
        <v>0</v>
      </c>
      <c r="U19" s="44">
        <f>U14*'R&amp;S - Packaging and hh goods'!$B$10*('R&amp;S - Packaging and hh goods'!$E$15*('R&amp;S - Packaging and hh goods'!$S$19+('R&amp;S - Packaging and hh goods'!$S$20-'R&amp;S - Packaging and hh goods'!$S$19)*('Yearly LC Propylene'!U$3-'Yearly LC Propylene'!$O$3)/10))</f>
        <v>0</v>
      </c>
      <c r="V19" s="44">
        <f>V14*'R&amp;S - Packaging and hh goods'!$B$10*('R&amp;S - Packaging and hh goods'!$E$15*('R&amp;S - Packaging and hh goods'!$S$19+('R&amp;S - Packaging and hh goods'!$S$20-'R&amp;S - Packaging and hh goods'!$S$19)*('Yearly LC Propylene'!V$3-'Yearly LC Propylene'!$O$3)/10))</f>
        <v>0</v>
      </c>
      <c r="W19" s="44">
        <f>W14*'R&amp;S - Packaging and hh goods'!$B$10*('R&amp;S - Packaging and hh goods'!$E$15*('R&amp;S - Packaging and hh goods'!$S$19+('R&amp;S - Packaging and hh goods'!$S$20-'R&amp;S - Packaging and hh goods'!$S$19)*('Yearly LC Propylene'!W$3-'Yearly LC Propylene'!$O$3)/10))</f>
        <v>0</v>
      </c>
      <c r="X19" s="44">
        <f>X14*'R&amp;S - Packaging and hh goods'!$B$10*('R&amp;S - Packaging and hh goods'!$E$15*('R&amp;S - Packaging and hh goods'!$S$19+('R&amp;S - Packaging and hh goods'!$S$20-'R&amp;S - Packaging and hh goods'!$S$19)*('Yearly LC Propylene'!X$3-'Yearly LC Propylene'!$O$3)/10))</f>
        <v>0</v>
      </c>
      <c r="Y19" s="44">
        <f>Y14*'R&amp;S - Packaging and hh goods'!$B$10*('R&amp;S - Packaging and hh goods'!$E$15*('R&amp;S - Packaging and hh goods'!$S$20+('R&amp;S - Packaging and hh goods'!$S$21-'R&amp;S - Packaging and hh goods'!$S$20)*('Yearly LC Propylene'!Y$3-'Yearly LC Propylene'!$X$3)/10))</f>
        <v>0</v>
      </c>
      <c r="Z19" s="44">
        <f>Z14*'R&amp;S - Packaging and hh goods'!$B$10*('R&amp;S - Packaging and hh goods'!$E$15*('R&amp;S - Packaging and hh goods'!$S$20+('R&amp;S - Packaging and hh goods'!$S$21-'R&amp;S - Packaging and hh goods'!$S$20)*('Yearly LC Propylene'!Z$3-'Yearly LC Propylene'!$X$3)/10))</f>
        <v>0</v>
      </c>
      <c r="AA19" s="44">
        <f>AA14*'R&amp;S - Packaging and hh goods'!$B$10*('R&amp;S - Packaging and hh goods'!$E$15*('R&amp;S - Packaging and hh goods'!$S$20+('R&amp;S - Packaging and hh goods'!$S$21-'R&amp;S - Packaging and hh goods'!$S$20)*('Yearly LC Propylene'!AA$3-'Yearly LC Propylene'!$X$3)/10))</f>
        <v>0</v>
      </c>
      <c r="AB19" s="44">
        <f>AB14*'R&amp;S - Packaging and hh goods'!$B$10*('R&amp;S - Packaging and hh goods'!$E$15*('R&amp;S - Packaging and hh goods'!$S$20+('R&amp;S - Packaging and hh goods'!$S$21-'R&amp;S - Packaging and hh goods'!$S$20)*('Yearly LC Propylene'!AB$3-'Yearly LC Propylene'!$X$3)/10))</f>
        <v>0</v>
      </c>
      <c r="AC19" s="44">
        <f>AC14*'R&amp;S - Packaging and hh goods'!$B$10*('R&amp;S - Packaging and hh goods'!$E$15*('R&amp;S - Packaging and hh goods'!$S$20+('R&amp;S - Packaging and hh goods'!$S$21-'R&amp;S - Packaging and hh goods'!$S$20)*('Yearly LC Propylene'!AC$3-'Yearly LC Propylene'!$X$3)/10))</f>
        <v>0</v>
      </c>
      <c r="AD19" s="44">
        <f>AD14*'R&amp;S - Packaging and hh goods'!$B$10*('R&amp;S - Packaging and hh goods'!$E$15*('R&amp;S - Packaging and hh goods'!$S$20+('R&amp;S - Packaging and hh goods'!$S$21-'R&amp;S - Packaging and hh goods'!$S$20)*('Yearly LC Propylene'!AD$3-'Yearly LC Propylene'!$X$3)/10))</f>
        <v>0</v>
      </c>
      <c r="AE19" s="44">
        <f>AE14*'R&amp;S - Packaging and hh goods'!$B$10*('R&amp;S - Packaging and hh goods'!$E$15*('R&amp;S - Packaging and hh goods'!$S$20+('R&amp;S - Packaging and hh goods'!$S$21-'R&amp;S - Packaging and hh goods'!$S$20)*('Yearly LC Propylene'!AE$3-'Yearly LC Propylene'!$X$3)/10))</f>
        <v>0</v>
      </c>
      <c r="AF19" s="44">
        <f>AF14*'R&amp;S - Packaging and hh goods'!$B$10*('R&amp;S - Packaging and hh goods'!$E$15*('R&amp;S - Packaging and hh goods'!$S$20+('R&amp;S - Packaging and hh goods'!$S$21-'R&amp;S - Packaging and hh goods'!$S$20)*('Yearly LC Propylene'!AF$3-'Yearly LC Propylene'!$X$3)/10))</f>
        <v>0</v>
      </c>
      <c r="AG19" s="44">
        <f>AG14*'R&amp;S - Packaging and hh goods'!$B$10*('R&amp;S - Packaging and hh goods'!$E$15*('R&amp;S - Packaging and hh goods'!$S$20+('R&amp;S - Packaging and hh goods'!$S$21-'R&amp;S - Packaging and hh goods'!$S$20)*('Yearly LC Propylene'!AG$3-'Yearly LC Propylene'!$X$3)/10))</f>
        <v>0</v>
      </c>
      <c r="AH19" s="44">
        <f>AH14*'R&amp;S - Packaging and hh goods'!$B$10*('R&amp;S - Packaging and hh goods'!$E$15*('R&amp;S - Packaging and hh goods'!$S$20+('R&amp;S - Packaging and hh goods'!$S$21-'R&amp;S - Packaging and hh goods'!$S$20)*('Yearly LC Propylene'!AH$3-'Yearly LC Propylene'!$X$3)/10))</f>
        <v>0</v>
      </c>
    </row>
    <row r="20" spans="1:34" outlineLevel="1">
      <c r="B20" s="1" t="s">
        <v>172</v>
      </c>
      <c r="C20" s="54" t="s">
        <v>153</v>
      </c>
      <c r="D20" s="44">
        <f>SUM(D18:D19)</f>
        <v>0</v>
      </c>
      <c r="E20" s="44">
        <f t="shared" ref="E20:AH20" si="5">SUM(E18:E19)</f>
        <v>0</v>
      </c>
      <c r="F20" s="44">
        <f t="shared" si="5"/>
        <v>0</v>
      </c>
      <c r="G20" s="44">
        <f t="shared" si="5"/>
        <v>0</v>
      </c>
      <c r="H20" s="44">
        <f t="shared" si="5"/>
        <v>0</v>
      </c>
      <c r="I20" s="44">
        <f t="shared" si="5"/>
        <v>0</v>
      </c>
      <c r="J20" s="44">
        <f t="shared" si="5"/>
        <v>0</v>
      </c>
      <c r="K20" s="44">
        <f t="shared" si="5"/>
        <v>0</v>
      </c>
      <c r="L20" s="44">
        <f t="shared" si="5"/>
        <v>0</v>
      </c>
      <c r="M20" s="44">
        <f t="shared" si="5"/>
        <v>0</v>
      </c>
      <c r="N20" s="44">
        <f t="shared" si="5"/>
        <v>0</v>
      </c>
      <c r="O20" s="44">
        <f t="shared" si="5"/>
        <v>0</v>
      </c>
      <c r="P20" s="44">
        <f t="shared" si="5"/>
        <v>0</v>
      </c>
      <c r="Q20" s="44">
        <f t="shared" si="5"/>
        <v>0</v>
      </c>
      <c r="R20" s="44">
        <f t="shared" si="5"/>
        <v>0</v>
      </c>
      <c r="S20" s="44">
        <f t="shared" si="5"/>
        <v>0</v>
      </c>
      <c r="T20" s="44">
        <f t="shared" si="5"/>
        <v>0</v>
      </c>
      <c r="U20" s="44">
        <f t="shared" si="5"/>
        <v>0</v>
      </c>
      <c r="V20" s="44">
        <f t="shared" si="5"/>
        <v>0</v>
      </c>
      <c r="W20" s="44">
        <f t="shared" si="5"/>
        <v>0</v>
      </c>
      <c r="X20" s="44">
        <f t="shared" si="5"/>
        <v>0</v>
      </c>
      <c r="Y20" s="44">
        <f t="shared" si="5"/>
        <v>0</v>
      </c>
      <c r="Z20" s="44">
        <f t="shared" si="5"/>
        <v>0</v>
      </c>
      <c r="AA20" s="44">
        <f t="shared" si="5"/>
        <v>0</v>
      </c>
      <c r="AB20" s="44">
        <f t="shared" si="5"/>
        <v>0</v>
      </c>
      <c r="AC20" s="44">
        <f t="shared" si="5"/>
        <v>0</v>
      </c>
      <c r="AD20" s="44">
        <f t="shared" si="5"/>
        <v>0</v>
      </c>
      <c r="AE20" s="44">
        <f t="shared" si="5"/>
        <v>0</v>
      </c>
      <c r="AF20" s="44">
        <f t="shared" si="5"/>
        <v>0</v>
      </c>
      <c r="AG20" s="44">
        <f t="shared" si="5"/>
        <v>0</v>
      </c>
      <c r="AH20" s="44">
        <f t="shared" si="5"/>
        <v>0</v>
      </c>
    </row>
    <row r="21" spans="1:34" s="1" customFormat="1">
      <c r="B21" s="1" t="s">
        <v>197</v>
      </c>
      <c r="C21" s="65" t="s">
        <v>153</v>
      </c>
      <c r="D21" s="66">
        <f>D14-D17-D20</f>
        <v>46.844581662413418</v>
      </c>
      <c r="E21" s="66">
        <f t="shared" ref="E21:AH21" si="6">E14-E17-E20</f>
        <v>47.500405805687208</v>
      </c>
      <c r="F21" s="66">
        <f t="shared" si="6"/>
        <v>48.165411486966832</v>
      </c>
      <c r="G21" s="66">
        <f t="shared" si="6"/>
        <v>48.839727247784367</v>
      </c>
      <c r="H21" s="66">
        <f t="shared" si="6"/>
        <v>49.523483429253346</v>
      </c>
      <c r="I21" s="66">
        <f t="shared" si="6"/>
        <v>50.216812197262897</v>
      </c>
      <c r="J21" s="66">
        <f t="shared" si="6"/>
        <v>50.919847568024579</v>
      </c>
      <c r="K21" s="66">
        <f t="shared" si="6"/>
        <v>51.632725433976923</v>
      </c>
      <c r="L21" s="66">
        <f t="shared" si="6"/>
        <v>52.355583590052603</v>
      </c>
      <c r="M21" s="66">
        <f t="shared" si="6"/>
        <v>53.08856176031334</v>
      </c>
      <c r="N21" s="66">
        <f t="shared" si="6"/>
        <v>53.831801624957727</v>
      </c>
      <c r="O21" s="66">
        <f t="shared" si="6"/>
        <v>54.585446847707139</v>
      </c>
      <c r="P21" s="66">
        <f t="shared" si="6"/>
        <v>55.34964310357504</v>
      </c>
      <c r="Q21" s="66">
        <f t="shared" si="6"/>
        <v>56.124538107025089</v>
      </c>
      <c r="R21" s="66">
        <f t="shared" si="6"/>
        <v>56.910281640523444</v>
      </c>
      <c r="S21" s="66">
        <f t="shared" si="6"/>
        <v>57.707025583490775</v>
      </c>
      <c r="T21" s="66">
        <f t="shared" si="6"/>
        <v>58.514923941659646</v>
      </c>
      <c r="U21" s="66">
        <f t="shared" si="6"/>
        <v>59.33413287684288</v>
      </c>
      <c r="V21" s="66">
        <f t="shared" si="6"/>
        <v>60.164810737118678</v>
      </c>
      <c r="W21" s="66">
        <f t="shared" si="6"/>
        <v>61.007118087438343</v>
      </c>
      <c r="X21" s="66">
        <f t="shared" si="6"/>
        <v>61.861217740662482</v>
      </c>
      <c r="Y21" s="66">
        <f t="shared" si="6"/>
        <v>62.72727478903176</v>
      </c>
      <c r="Z21" s="66">
        <f t="shared" si="6"/>
        <v>63.605456636078209</v>
      </c>
      <c r="AA21" s="66">
        <f t="shared" si="6"/>
        <v>64.495933028983302</v>
      </c>
      <c r="AB21" s="66">
        <f t="shared" si="6"/>
        <v>65.39887609138907</v>
      </c>
      <c r="AC21" s="66">
        <f t="shared" si="6"/>
        <v>66.314460356668519</v>
      </c>
      <c r="AD21" s="66">
        <f t="shared" si="6"/>
        <v>67.242862801661886</v>
      </c>
      <c r="AE21" s="66">
        <f t="shared" si="6"/>
        <v>68.184262880885157</v>
      </c>
      <c r="AF21" s="66">
        <f t="shared" si="6"/>
        <v>69.138842561217544</v>
      </c>
      <c r="AG21" s="66">
        <f t="shared" si="6"/>
        <v>70.106786357074597</v>
      </c>
      <c r="AH21" s="66">
        <f t="shared" si="6"/>
        <v>71.088281366073645</v>
      </c>
    </row>
    <row r="22" spans="1:34" s="67" customFormat="1">
      <c r="A22" s="58" t="s">
        <v>272</v>
      </c>
      <c r="B22" s="58" t="s">
        <v>199</v>
      </c>
      <c r="C22" s="59" t="s">
        <v>153</v>
      </c>
      <c r="D22" s="60">
        <f>'R&amp;S - Buildings'!I4</f>
        <v>12.379169704702877</v>
      </c>
      <c r="E22" s="60">
        <f>D22*(1+'R&amp;S - Buildings'!$B$5)</f>
        <v>12.589615589682824</v>
      </c>
      <c r="F22" s="60">
        <f>E22*(1+'R&amp;S - Buildings'!$B$5)</f>
        <v>12.80363905470743</v>
      </c>
      <c r="G22" s="60">
        <f>F22*(1+'R&amp;S - Buildings'!$B$5)</f>
        <v>13.021300918637456</v>
      </c>
      <c r="H22" s="60">
        <f>G22*(1+'R&amp;S - Buildings'!$B$5)</f>
        <v>13.242663034254292</v>
      </c>
      <c r="I22" s="60">
        <f>H22*(1+'R&amp;S - Buildings'!$B$5)</f>
        <v>13.467788305836613</v>
      </c>
      <c r="J22" s="60">
        <f>I22*(1+'R&amp;S - Buildings'!$B$5)</f>
        <v>13.696740707035834</v>
      </c>
      <c r="K22" s="60">
        <f>J22*(1+'R&amp;S - Buildings'!$B$5)</f>
        <v>13.929585299055443</v>
      </c>
      <c r="L22" s="60">
        <f>K22*(1+'R&amp;S - Buildings'!$B$5)</f>
        <v>14.166388249139384</v>
      </c>
      <c r="M22" s="60">
        <f>L22*(1+'R&amp;S - Buildings'!$B$5)</f>
        <v>14.407216849374752</v>
      </c>
      <c r="N22" s="60">
        <f>M22*(1+'R&amp;S - Buildings'!$B$5)</f>
        <v>14.652139535814122</v>
      </c>
      <c r="O22" s="60">
        <f>N22*(1+'R&amp;S - Buildings'!$B$5)</f>
        <v>14.90122590792296</v>
      </c>
      <c r="P22" s="60">
        <f>O22*(1+'R&amp;S - Buildings'!$B$5)</f>
        <v>15.154546748357649</v>
      </c>
      <c r="Q22" s="60">
        <f>P22*(1+'R&amp;S - Buildings'!$B$5)</f>
        <v>15.412174043079728</v>
      </c>
      <c r="R22" s="60">
        <f>Q22*(1+'R&amp;S - Buildings'!$B$5)</f>
        <v>15.674181001812082</v>
      </c>
      <c r="S22" s="60">
        <f>R22*(1+'R&amp;S - Buildings'!$B$5)</f>
        <v>15.940642078842886</v>
      </c>
      <c r="T22" s="60">
        <f>S22*(1+'R&amp;S - Buildings'!$B$5)</f>
        <v>16.211632994183216</v>
      </c>
      <c r="U22" s="60">
        <f>T22*(1+'R&amp;S - Buildings'!$B$5)</f>
        <v>16.48723075508433</v>
      </c>
      <c r="V22" s="60">
        <f>U22*(1+'R&amp;S - Buildings'!$B$5)</f>
        <v>16.767513677920761</v>
      </c>
      <c r="W22" s="60">
        <f>V22*(1+'R&amp;S - Buildings'!$B$5)</f>
        <v>17.052561410445414</v>
      </c>
      <c r="X22" s="60">
        <f>W22*(1+'R&amp;S - Buildings'!$B$5)</f>
        <v>17.342454954422983</v>
      </c>
      <c r="Y22" s="60">
        <f>X22*(1+'R&amp;S - Buildings'!$B$5)</f>
        <v>17.637276688648171</v>
      </c>
      <c r="Z22" s="60">
        <f>Y22*(1+'R&amp;S - Buildings'!$B$5)</f>
        <v>17.937110392355187</v>
      </c>
      <c r="AA22" s="60">
        <f>Z22*(1+'R&amp;S - Buildings'!$B$5)</f>
        <v>18.242041269025222</v>
      </c>
      <c r="AB22" s="60">
        <f>AA22*(1+'R&amp;S - Buildings'!$B$5)</f>
        <v>18.552155970598648</v>
      </c>
      <c r="AC22" s="60">
        <f>AB22*(1+'R&amp;S - Buildings'!$B$5)</f>
        <v>18.867542622098824</v>
      </c>
      <c r="AD22" s="60">
        <f>AC22*(1+'R&amp;S - Buildings'!$B$5)</f>
        <v>19.188290846674501</v>
      </c>
      <c r="AE22" s="60">
        <f>AD22*(1+'R&amp;S - Buildings'!$B$5)</f>
        <v>19.514491791067964</v>
      </c>
      <c r="AF22" s="60">
        <f>AE22*(1+'R&amp;S - Buildings'!$B$5)</f>
        <v>19.846238151516118</v>
      </c>
      <c r="AG22" s="60">
        <f>AF22*(1+'R&amp;S - Buildings'!$B$5)</f>
        <v>20.183624200091892</v>
      </c>
      <c r="AH22" s="60">
        <f>AG22*(1+'R&amp;S - Buildings'!$B$5)</f>
        <v>20.526745811493452</v>
      </c>
    </row>
    <row r="23" spans="1:34" outlineLevel="1">
      <c r="B23" s="1" t="s">
        <v>168</v>
      </c>
      <c r="C23" s="54" t="s">
        <v>153</v>
      </c>
      <c r="D23">
        <v>0</v>
      </c>
      <c r="E23" s="43">
        <f>E22*'R&amp;S - Buildings'!$B$7*'R&amp;S - Buildings'!$B$12*'R&amp;S - Buildings'!$B$15*('Yearly LC Propylene'!E$3-'Yearly LC Propylene'!$D$3)/10</f>
        <v>0</v>
      </c>
      <c r="F23" s="43">
        <f>F22*'R&amp;S - Buildings'!$B$7*'R&amp;S - Buildings'!$B$12*'R&amp;S - Buildings'!$B$15*('Yearly LC Propylene'!F$3-'Yearly LC Propylene'!$D$3)/10</f>
        <v>0</v>
      </c>
      <c r="G23" s="43">
        <f>G22*'R&amp;S - Buildings'!$B$7*'R&amp;S - Buildings'!$B$12*'R&amp;S - Buildings'!$B$15*('Yearly LC Propylene'!G$3-'Yearly LC Propylene'!$D$3)/10</f>
        <v>0</v>
      </c>
      <c r="H23" s="43">
        <f>H22*'R&amp;S - Buildings'!$B$7*'R&amp;S - Buildings'!$B$12*'R&amp;S - Buildings'!$B$15*('Yearly LC Propylene'!H$3-'Yearly LC Propylene'!$D$3)/10</f>
        <v>0</v>
      </c>
      <c r="I23" s="43">
        <f>I22*'R&amp;S - Buildings'!$B$7*'R&amp;S - Buildings'!$B$12*'R&amp;S - Buildings'!$B$15*('Yearly LC Propylene'!I$3-'Yearly LC Propylene'!$D$3)/10</f>
        <v>0</v>
      </c>
      <c r="J23" s="43">
        <f>J22*'R&amp;S - Buildings'!$B$7*'R&amp;S - Buildings'!$B$12*'R&amp;S - Buildings'!$B$15*('Yearly LC Propylene'!J$3-'Yearly LC Propylene'!$D$3)/10</f>
        <v>0</v>
      </c>
      <c r="K23" s="43">
        <f>K22*'R&amp;S - Buildings'!$B$7*'R&amp;S - Buildings'!$B$12*'R&amp;S - Buildings'!$B$15*('Yearly LC Propylene'!K$3-'Yearly LC Propylene'!$D$3)/10</f>
        <v>0</v>
      </c>
      <c r="L23" s="43">
        <f>L22*'R&amp;S - Buildings'!$B$7*'R&amp;S - Buildings'!$B$12*'R&amp;S - Buildings'!$B$15*('Yearly LC Propylene'!L$3-'Yearly LC Propylene'!$D$3)/10</f>
        <v>0</v>
      </c>
      <c r="M23" s="43">
        <f>M22*'R&amp;S - Buildings'!$B$7*'R&amp;S - Buildings'!$B$12*'R&amp;S - Buildings'!$B$15*('Yearly LC Propylene'!M$3-'Yearly LC Propylene'!$D$3)/10</f>
        <v>0</v>
      </c>
      <c r="N23" s="43">
        <f>N22*'R&amp;S - Buildings'!$B$7*'R&amp;S - Buildings'!$B$12*'R&amp;S - Buildings'!$B$15*('Yearly LC Propylene'!N$3-'Yearly LC Propylene'!$D$3)/10</f>
        <v>0</v>
      </c>
      <c r="O23" s="43">
        <f>O22*'R&amp;S - Buildings'!$B$7*'R&amp;S - Buildings'!$B$12*('R&amp;S - Buildings'!$B$15+('R&amp;S - Buildings'!$B$16-'R&amp;S - Buildings'!$B$15)*('Yearly LC Propylene'!O$3-'Yearly LC Propylene'!$N$3)/10)</f>
        <v>0</v>
      </c>
      <c r="P23" s="43">
        <f>P22*'R&amp;S - Buildings'!$B$7*'R&amp;S - Buildings'!$B$12*('R&amp;S - Buildings'!$B$15+('R&amp;S - Buildings'!$B$16-'R&amp;S - Buildings'!$B$15)*('Yearly LC Propylene'!P$3-'Yearly LC Propylene'!$N$3)/10)</f>
        <v>0</v>
      </c>
      <c r="Q23" s="43">
        <f>Q22*'R&amp;S - Buildings'!$B$7*'R&amp;S - Buildings'!$B$12*('R&amp;S - Buildings'!$B$15+('R&amp;S - Buildings'!$B$16-'R&amp;S - Buildings'!$B$15)*('Yearly LC Propylene'!Q$3-'Yearly LC Propylene'!$N$3)/10)</f>
        <v>0</v>
      </c>
      <c r="R23" s="43">
        <f>R22*'R&amp;S - Buildings'!$B$7*'R&amp;S - Buildings'!$B$12*('R&amp;S - Buildings'!$B$15+('R&amp;S - Buildings'!$B$16-'R&amp;S - Buildings'!$B$15)*('Yearly LC Propylene'!R$3-'Yearly LC Propylene'!$N$3)/10)</f>
        <v>0</v>
      </c>
      <c r="S23" s="43">
        <f>S22*'R&amp;S - Buildings'!$B$7*'R&amp;S - Buildings'!$B$12*('R&amp;S - Buildings'!$B$15+('R&amp;S - Buildings'!$B$16-'R&amp;S - Buildings'!$B$15)*('Yearly LC Propylene'!S$3-'Yearly LC Propylene'!$N$3)/10)</f>
        <v>0</v>
      </c>
      <c r="T23" s="43">
        <f>T22*'R&amp;S - Buildings'!$B$7*'R&amp;S - Buildings'!$B$12*('R&amp;S - Buildings'!$B$15+('R&amp;S - Buildings'!$B$16-'R&amp;S - Buildings'!$B$15)*('Yearly LC Propylene'!T$3-'Yearly LC Propylene'!$N$3)/10)</f>
        <v>0</v>
      </c>
      <c r="U23" s="43">
        <f>U22*'R&amp;S - Buildings'!$B$7*'R&amp;S - Buildings'!$B$12*('R&amp;S - Buildings'!$B$15+('R&amp;S - Buildings'!$B$16-'R&amp;S - Buildings'!$B$15)*('Yearly LC Propylene'!U$3-'Yearly LC Propylene'!$N$3)/10)</f>
        <v>0</v>
      </c>
      <c r="V23" s="43">
        <f>V22*'R&amp;S - Buildings'!$B$7*'R&amp;S - Buildings'!$B$12*('R&amp;S - Buildings'!$B$15+('R&amp;S - Buildings'!$B$16-'R&amp;S - Buildings'!$B$15)*('Yearly LC Propylene'!V$3-'Yearly LC Propylene'!$N$3)/10)</f>
        <v>0</v>
      </c>
      <c r="W23" s="43">
        <f>W22*'R&amp;S - Buildings'!$B$7*'R&amp;S - Buildings'!$B$12*('R&amp;S - Buildings'!$B$15+('R&amp;S - Buildings'!$B$16-'R&amp;S - Buildings'!$B$15)*('Yearly LC Propylene'!W$3-'Yearly LC Propylene'!$N$3)/10)</f>
        <v>0</v>
      </c>
      <c r="X23" s="43">
        <f>X22*'R&amp;S - Buildings'!$B$7*'R&amp;S - Buildings'!$B$12*('R&amp;S - Buildings'!$B$15+('R&amp;S - Buildings'!$B$16-'R&amp;S - Buildings'!$B$15)*('Yearly LC Propylene'!X$3-'Yearly LC Propylene'!$N$3)/10)</f>
        <v>0</v>
      </c>
      <c r="Y23" s="43">
        <f>Y22*'R&amp;S - Buildings'!$B$7*'R&amp;S - Buildings'!$B$12*('R&amp;S - Buildings'!$B$16+('R&amp;S - Buildings'!$B$17-'R&amp;S - Buildings'!$B$16)*('Yearly LC Propylene'!Y$3-'Yearly LC Propylene'!$X$3)/10)</f>
        <v>0</v>
      </c>
      <c r="Z23" s="43">
        <f>Z22*'R&amp;S - Buildings'!$B$7*'R&amp;S - Buildings'!$B$12*('R&amp;S - Buildings'!$B$16+('R&amp;S - Buildings'!$B$17-'R&amp;S - Buildings'!$B$16)*('Yearly LC Propylene'!Z$3-'Yearly LC Propylene'!$X$3)/10)</f>
        <v>0</v>
      </c>
      <c r="AA23" s="43">
        <f>AA22*'R&amp;S - Buildings'!$B$7*'R&amp;S - Buildings'!$B$12*('R&amp;S - Buildings'!$B$16+('R&amp;S - Buildings'!$B$17-'R&amp;S - Buildings'!$B$16)*('Yearly LC Propylene'!AA$3-'Yearly LC Propylene'!$X$3)/10)</f>
        <v>0</v>
      </c>
      <c r="AB23" s="43">
        <f>AB22*'R&amp;S - Buildings'!$B$7*'R&amp;S - Buildings'!$B$12*('R&amp;S - Buildings'!$B$16+('R&amp;S - Buildings'!$B$17-'R&amp;S - Buildings'!$B$16)*('Yearly LC Propylene'!AB$3-'Yearly LC Propylene'!$X$3)/10)</f>
        <v>0</v>
      </c>
      <c r="AC23" s="43">
        <f>AC22*'R&amp;S - Buildings'!$B$7*'R&amp;S - Buildings'!$B$12*('R&amp;S - Buildings'!$B$16+('R&amp;S - Buildings'!$B$17-'R&amp;S - Buildings'!$B$16)*('Yearly LC Propylene'!AC$3-'Yearly LC Propylene'!$X$3)/10)</f>
        <v>0</v>
      </c>
      <c r="AD23" s="43">
        <f>AD22*'R&amp;S - Buildings'!$B$7*'R&amp;S - Buildings'!$B$12*('R&amp;S - Buildings'!$B$16+('R&amp;S - Buildings'!$B$17-'R&amp;S - Buildings'!$B$16)*('Yearly LC Propylene'!AD$3-'Yearly LC Propylene'!$X$3)/10)</f>
        <v>0</v>
      </c>
      <c r="AE23" s="43">
        <f>AE22*'R&amp;S - Buildings'!$B$7*'R&amp;S - Buildings'!$B$12*('R&amp;S - Buildings'!$B$16+('R&amp;S - Buildings'!$B$17-'R&amp;S - Buildings'!$B$16)*('Yearly LC Propylene'!AE$3-'Yearly LC Propylene'!$X$3)/10)</f>
        <v>0</v>
      </c>
      <c r="AF23" s="43">
        <f>AF22*'R&amp;S - Buildings'!$B$7*'R&amp;S - Buildings'!$B$12*('R&amp;S - Buildings'!$B$16+('R&amp;S - Buildings'!$B$17-'R&amp;S - Buildings'!$B$16)*('Yearly LC Propylene'!AF$3-'Yearly LC Propylene'!$X$3)/10)</f>
        <v>0</v>
      </c>
      <c r="AG23" s="43">
        <f>AG22*'R&amp;S - Buildings'!$B$7*'R&amp;S - Buildings'!$B$12*('R&amp;S - Buildings'!$B$16+('R&amp;S - Buildings'!$B$17-'R&amp;S - Buildings'!$B$16)*('Yearly LC Propylene'!AG$3-'Yearly LC Propylene'!$X$3)/10)</f>
        <v>0</v>
      </c>
      <c r="AH23" s="43">
        <f>AH22*'R&amp;S - Buildings'!$B$7*'R&amp;S - Buildings'!$B$12*('R&amp;S - Buildings'!$B$16+('R&amp;S - Buildings'!$B$17-'R&amp;S - Buildings'!$B$16)*('Yearly LC Propylene'!AH$3-'Yearly LC Propylene'!$X$3)/10)</f>
        <v>0</v>
      </c>
    </row>
    <row r="24" spans="1:34" outlineLevel="1">
      <c r="B24" s="1" t="s">
        <v>172</v>
      </c>
      <c r="C24" s="54" t="s">
        <v>153</v>
      </c>
      <c r="D24">
        <v>0</v>
      </c>
      <c r="E24" s="43">
        <f>E22*'R&amp;S - Buildings'!$B$8*'R&amp;S - Buildings'!$C$12*'R&amp;S - Buildings'!$B$15*('Yearly LC Propylene'!E$3-'Yearly LC Propylene'!$D$3)/10</f>
        <v>0</v>
      </c>
      <c r="F24" s="43">
        <f>F22*'R&amp;S - Buildings'!$B$8*'R&amp;S - Buildings'!$C$12*'R&amp;S - Buildings'!$B$15*('Yearly LC Propylene'!F$3-'Yearly LC Propylene'!$D$3)/10</f>
        <v>0</v>
      </c>
      <c r="G24" s="43">
        <f>G22*'R&amp;S - Buildings'!$B$8*'R&amp;S - Buildings'!$C$12*'R&amp;S - Buildings'!$B$15*('Yearly LC Propylene'!G$3-'Yearly LC Propylene'!$D$3)/10</f>
        <v>0</v>
      </c>
      <c r="H24" s="43">
        <f>H22*'R&amp;S - Buildings'!$B$8*'R&amp;S - Buildings'!$C$12*'R&amp;S - Buildings'!$B$15*('Yearly LC Propylene'!H$3-'Yearly LC Propylene'!$D$3)/10</f>
        <v>0</v>
      </c>
      <c r="I24" s="43">
        <f>I22*'R&amp;S - Buildings'!$B$8*'R&amp;S - Buildings'!$C$12*'R&amp;S - Buildings'!$B$15*('Yearly LC Propylene'!I$3-'Yearly LC Propylene'!$D$3)/10</f>
        <v>0</v>
      </c>
      <c r="J24" s="43">
        <f>J22*'R&amp;S - Buildings'!$B$8*'R&amp;S - Buildings'!$C$12*'R&amp;S - Buildings'!$B$15*('Yearly LC Propylene'!J$3-'Yearly LC Propylene'!$D$3)/10</f>
        <v>0</v>
      </c>
      <c r="K24" s="43">
        <f>K22*'R&amp;S - Buildings'!$B$8*'R&amp;S - Buildings'!$C$12*'R&amp;S - Buildings'!$B$15*('Yearly LC Propylene'!K$3-'Yearly LC Propylene'!$D$3)/10</f>
        <v>0</v>
      </c>
      <c r="L24" s="43">
        <f>L22*'R&amp;S - Buildings'!$B$8*'R&amp;S - Buildings'!$C$12*'R&amp;S - Buildings'!$B$15*('Yearly LC Propylene'!L$3-'Yearly LC Propylene'!$D$3)/10</f>
        <v>0</v>
      </c>
      <c r="M24" s="43">
        <f>M22*'R&amp;S - Buildings'!$B$8*'R&amp;S - Buildings'!$C$12*'R&amp;S - Buildings'!$B$15*('Yearly LC Propylene'!M$3-'Yearly LC Propylene'!$D$3)/10</f>
        <v>0</v>
      </c>
      <c r="N24" s="43">
        <f>N22*'R&amp;S - Buildings'!$B$8*'R&amp;S - Buildings'!$C$12*'R&amp;S - Buildings'!$B$15*('Yearly LC Propylene'!N$3-'Yearly LC Propylene'!$D$3)/10</f>
        <v>0</v>
      </c>
      <c r="O24" s="43">
        <f>O22*'R&amp;S - Buildings'!$B$8*'R&amp;S - Buildings'!$C$12*('R&amp;S - Buildings'!$B$15+('R&amp;S - Buildings'!$B$16-'R&amp;S - Buildings'!$B$15)*('Yearly LC Propylene'!O$3-'Yearly LC Propylene'!$N$3)/10)</f>
        <v>0</v>
      </c>
      <c r="P24" s="43">
        <f>P22*'R&amp;S - Buildings'!$B$8*'R&amp;S - Buildings'!$C$12*('R&amp;S - Buildings'!$B$15+('R&amp;S - Buildings'!$B$16-'R&amp;S - Buildings'!$B$15)*('Yearly LC Propylene'!P$3-'Yearly LC Propylene'!$N$3)/10)</f>
        <v>0</v>
      </c>
      <c r="Q24" s="43">
        <f>Q22*'R&amp;S - Buildings'!$B$8*'R&amp;S - Buildings'!$C$12*('R&amp;S - Buildings'!$B$15+('R&amp;S - Buildings'!$B$16-'R&amp;S - Buildings'!$B$15)*('Yearly LC Propylene'!Q$3-'Yearly LC Propylene'!$N$3)/10)</f>
        <v>0</v>
      </c>
      <c r="R24" s="43">
        <f>R22*'R&amp;S - Buildings'!$B$8*'R&amp;S - Buildings'!$C$12*('R&amp;S - Buildings'!$B$15+('R&amp;S - Buildings'!$B$16-'R&amp;S - Buildings'!$B$15)*('Yearly LC Propylene'!R$3-'Yearly LC Propylene'!$N$3)/10)</f>
        <v>0</v>
      </c>
      <c r="S24" s="43">
        <f>S22*'R&amp;S - Buildings'!$B$8*'R&amp;S - Buildings'!$C$12*('R&amp;S - Buildings'!$B$15+('R&amp;S - Buildings'!$B$16-'R&amp;S - Buildings'!$B$15)*('Yearly LC Propylene'!S$3-'Yearly LC Propylene'!$N$3)/10)</f>
        <v>0</v>
      </c>
      <c r="T24" s="43">
        <f>T22*'R&amp;S - Buildings'!$B$8*'R&amp;S - Buildings'!$C$12*('R&amp;S - Buildings'!$B$15+('R&amp;S - Buildings'!$B$16-'R&amp;S - Buildings'!$B$15)*('Yearly LC Propylene'!T$3-'Yearly LC Propylene'!$N$3)/10)</f>
        <v>0</v>
      </c>
      <c r="U24" s="43">
        <f>U22*'R&amp;S - Buildings'!$B$8*'R&amp;S - Buildings'!$C$12*('R&amp;S - Buildings'!$B$15+('R&amp;S - Buildings'!$B$16-'R&amp;S - Buildings'!$B$15)*('Yearly LC Propylene'!U$3-'Yearly LC Propylene'!$N$3)/10)</f>
        <v>0</v>
      </c>
      <c r="V24" s="43">
        <f>V22*'R&amp;S - Buildings'!$B$8*'R&amp;S - Buildings'!$C$12*('R&amp;S - Buildings'!$B$15+('R&amp;S - Buildings'!$B$16-'R&amp;S - Buildings'!$B$15)*('Yearly LC Propylene'!V$3-'Yearly LC Propylene'!$N$3)/10)</f>
        <v>0</v>
      </c>
      <c r="W24" s="43">
        <f>W22*'R&amp;S - Buildings'!$B$8*'R&amp;S - Buildings'!$C$12*('R&amp;S - Buildings'!$B$15+('R&amp;S - Buildings'!$B$16-'R&amp;S - Buildings'!$B$15)*('Yearly LC Propylene'!W$3-'Yearly LC Propylene'!$N$3)/10)</f>
        <v>0</v>
      </c>
      <c r="X24" s="43">
        <f>X22*'R&amp;S - Buildings'!$B$8*'R&amp;S - Buildings'!$C$12*('R&amp;S - Buildings'!$B$15+('R&amp;S - Buildings'!$B$16-'R&amp;S - Buildings'!$B$15)*('Yearly LC Propylene'!X$3-'Yearly LC Propylene'!$N$3)/10)</f>
        <v>0</v>
      </c>
      <c r="Y24" s="43">
        <f>Y22*'R&amp;S - Buildings'!$B$8*'R&amp;S - Buildings'!$C$12*('R&amp;S - Buildings'!$B$16+('R&amp;S - Buildings'!$B$17-'R&amp;S - Buildings'!$B$16)*('Yearly LC Propylene'!Y$3-'Yearly LC Propylene'!$X$3)/10)</f>
        <v>0</v>
      </c>
      <c r="Z24" s="43">
        <f>Z22*'R&amp;S - Buildings'!$B$8*'R&amp;S - Buildings'!$C$12*('R&amp;S - Buildings'!$B$16+('R&amp;S - Buildings'!$B$17-'R&amp;S - Buildings'!$B$16)*('Yearly LC Propylene'!Z$3-'Yearly LC Propylene'!$X$3)/10)</f>
        <v>0</v>
      </c>
      <c r="AA24" s="43">
        <f>AA22*'R&amp;S - Buildings'!$B$8*'R&amp;S - Buildings'!$C$12*('R&amp;S - Buildings'!$B$16+('R&amp;S - Buildings'!$B$17-'R&amp;S - Buildings'!$B$16)*('Yearly LC Propylene'!AA$3-'Yearly LC Propylene'!$X$3)/10)</f>
        <v>0</v>
      </c>
      <c r="AB24" s="43">
        <f>AB22*'R&amp;S - Buildings'!$B$8*'R&amp;S - Buildings'!$C$12*('R&amp;S - Buildings'!$B$16+('R&amp;S - Buildings'!$B$17-'R&amp;S - Buildings'!$B$16)*('Yearly LC Propylene'!AB$3-'Yearly LC Propylene'!$X$3)/10)</f>
        <v>0</v>
      </c>
      <c r="AC24" s="43">
        <f>AC22*'R&amp;S - Buildings'!$B$8*'R&amp;S - Buildings'!$C$12*('R&amp;S - Buildings'!$B$16+('R&amp;S - Buildings'!$B$17-'R&amp;S - Buildings'!$B$16)*('Yearly LC Propylene'!AC$3-'Yearly LC Propylene'!$X$3)/10)</f>
        <v>0</v>
      </c>
      <c r="AD24" s="43">
        <f>AD22*'R&amp;S - Buildings'!$B$8*'R&amp;S - Buildings'!$C$12*('R&amp;S - Buildings'!$B$16+('R&amp;S - Buildings'!$B$17-'R&amp;S - Buildings'!$B$16)*('Yearly LC Propylene'!AD$3-'Yearly LC Propylene'!$X$3)/10)</f>
        <v>0</v>
      </c>
      <c r="AE24" s="43">
        <f>AE22*'R&amp;S - Buildings'!$B$8*'R&amp;S - Buildings'!$C$12*('R&amp;S - Buildings'!$B$16+('R&amp;S - Buildings'!$B$17-'R&amp;S - Buildings'!$B$16)*('Yearly LC Propylene'!AE$3-'Yearly LC Propylene'!$X$3)/10)</f>
        <v>0</v>
      </c>
      <c r="AF24" s="43">
        <f>AF22*'R&amp;S - Buildings'!$B$8*'R&amp;S - Buildings'!$C$12*('R&amp;S - Buildings'!$B$16+('R&amp;S - Buildings'!$B$17-'R&amp;S - Buildings'!$B$16)*('Yearly LC Propylene'!AF$3-'Yearly LC Propylene'!$X$3)/10)</f>
        <v>0</v>
      </c>
      <c r="AG24" s="43">
        <f>AG22*'R&amp;S - Buildings'!$B$8*'R&amp;S - Buildings'!$C$12*('R&amp;S - Buildings'!$B$16+('R&amp;S - Buildings'!$B$17-'R&amp;S - Buildings'!$B$16)*('Yearly LC Propylene'!AG$3-'Yearly LC Propylene'!$X$3)/10)</f>
        <v>0</v>
      </c>
      <c r="AH24" s="43">
        <f>AH22*'R&amp;S - Buildings'!$B$8*'R&amp;S - Buildings'!$C$12*('R&amp;S - Buildings'!$B$16+('R&amp;S - Buildings'!$B$17-'R&amp;S - Buildings'!$B$16)*('Yearly LC Propylene'!AH$3-'Yearly LC Propylene'!$X$3)/10)</f>
        <v>0</v>
      </c>
    </row>
    <row r="25" spans="1:34" s="68" customFormat="1">
      <c r="A25" s="62"/>
      <c r="B25" s="62" t="s">
        <v>197</v>
      </c>
      <c r="C25" s="63" t="s">
        <v>153</v>
      </c>
      <c r="D25" s="64">
        <f>D22-D23-D24</f>
        <v>12.379169704702877</v>
      </c>
      <c r="E25" s="64">
        <f t="shared" ref="E25:AH25" si="7">E22-E23-E24</f>
        <v>12.589615589682824</v>
      </c>
      <c r="F25" s="64">
        <f t="shared" si="7"/>
        <v>12.80363905470743</v>
      </c>
      <c r="G25" s="64">
        <f t="shared" si="7"/>
        <v>13.021300918637456</v>
      </c>
      <c r="H25" s="64">
        <f t="shared" si="7"/>
        <v>13.242663034254292</v>
      </c>
      <c r="I25" s="64">
        <f t="shared" si="7"/>
        <v>13.467788305836613</v>
      </c>
      <c r="J25" s="64">
        <f t="shared" si="7"/>
        <v>13.696740707035834</v>
      </c>
      <c r="K25" s="64">
        <f t="shared" si="7"/>
        <v>13.929585299055443</v>
      </c>
      <c r="L25" s="64">
        <f t="shared" si="7"/>
        <v>14.166388249139384</v>
      </c>
      <c r="M25" s="64">
        <f t="shared" si="7"/>
        <v>14.407216849374752</v>
      </c>
      <c r="N25" s="64">
        <f t="shared" si="7"/>
        <v>14.652139535814122</v>
      </c>
      <c r="O25" s="64">
        <f t="shared" si="7"/>
        <v>14.90122590792296</v>
      </c>
      <c r="P25" s="64">
        <f t="shared" si="7"/>
        <v>15.154546748357649</v>
      </c>
      <c r="Q25" s="64">
        <f t="shared" si="7"/>
        <v>15.412174043079728</v>
      </c>
      <c r="R25" s="64">
        <f t="shared" si="7"/>
        <v>15.674181001812082</v>
      </c>
      <c r="S25" s="64">
        <f t="shared" si="7"/>
        <v>15.940642078842886</v>
      </c>
      <c r="T25" s="64">
        <f t="shared" si="7"/>
        <v>16.211632994183216</v>
      </c>
      <c r="U25" s="64">
        <f t="shared" si="7"/>
        <v>16.48723075508433</v>
      </c>
      <c r="V25" s="64">
        <f t="shared" si="7"/>
        <v>16.767513677920761</v>
      </c>
      <c r="W25" s="64">
        <f t="shared" si="7"/>
        <v>17.052561410445414</v>
      </c>
      <c r="X25" s="64">
        <f t="shared" si="7"/>
        <v>17.342454954422983</v>
      </c>
      <c r="Y25" s="64">
        <f t="shared" si="7"/>
        <v>17.637276688648171</v>
      </c>
      <c r="Z25" s="64">
        <f t="shared" si="7"/>
        <v>17.937110392355187</v>
      </c>
      <c r="AA25" s="64">
        <f t="shared" si="7"/>
        <v>18.242041269025222</v>
      </c>
      <c r="AB25" s="64">
        <f t="shared" si="7"/>
        <v>18.552155970598648</v>
      </c>
      <c r="AC25" s="64">
        <f t="shared" si="7"/>
        <v>18.867542622098824</v>
      </c>
      <c r="AD25" s="64">
        <f t="shared" si="7"/>
        <v>19.188290846674501</v>
      </c>
      <c r="AE25" s="64">
        <f t="shared" si="7"/>
        <v>19.514491791067964</v>
      </c>
      <c r="AF25" s="64">
        <f t="shared" si="7"/>
        <v>19.846238151516118</v>
      </c>
      <c r="AG25" s="64">
        <f t="shared" si="7"/>
        <v>20.183624200091892</v>
      </c>
      <c r="AH25" s="64">
        <f t="shared" si="7"/>
        <v>20.526745811493452</v>
      </c>
    </row>
    <row r="26" spans="1:34">
      <c r="A26" s="1" t="s">
        <v>388</v>
      </c>
      <c r="B26" s="58" t="s">
        <v>199</v>
      </c>
      <c r="C26" s="59" t="s">
        <v>153</v>
      </c>
      <c r="D26" s="60">
        <v>0</v>
      </c>
      <c r="E26" s="60">
        <v>0</v>
      </c>
      <c r="F26" s="60">
        <v>0</v>
      </c>
      <c r="G26" s="60">
        <v>0</v>
      </c>
      <c r="H26" s="60">
        <v>0</v>
      </c>
      <c r="I26" s="60">
        <v>0</v>
      </c>
      <c r="J26" s="60">
        <v>0</v>
      </c>
      <c r="K26" s="60">
        <v>0</v>
      </c>
      <c r="L26" s="60">
        <v>0</v>
      </c>
      <c r="M26" s="60">
        <v>0</v>
      </c>
      <c r="N26" s="60">
        <v>0</v>
      </c>
      <c r="O26" s="60">
        <v>0</v>
      </c>
      <c r="P26" s="60">
        <v>0</v>
      </c>
      <c r="Q26" s="60">
        <v>0</v>
      </c>
      <c r="R26" s="60">
        <v>0</v>
      </c>
      <c r="S26" s="60">
        <v>0</v>
      </c>
      <c r="T26" s="60">
        <v>0</v>
      </c>
      <c r="U26" s="60">
        <v>0</v>
      </c>
      <c r="V26" s="60">
        <v>0</v>
      </c>
      <c r="W26" s="60">
        <v>0</v>
      </c>
      <c r="X26" s="60">
        <v>0</v>
      </c>
      <c r="Y26" s="60">
        <v>0</v>
      </c>
      <c r="Z26" s="60">
        <v>0</v>
      </c>
      <c r="AA26" s="60">
        <v>0</v>
      </c>
      <c r="AB26" s="60">
        <v>0</v>
      </c>
      <c r="AC26" s="60">
        <v>0</v>
      </c>
      <c r="AD26" s="60">
        <v>0</v>
      </c>
      <c r="AE26" s="60">
        <v>0</v>
      </c>
      <c r="AF26" s="60">
        <v>0</v>
      </c>
      <c r="AG26" s="60">
        <v>0</v>
      </c>
      <c r="AH26" s="60">
        <v>0</v>
      </c>
    </row>
    <row r="27" spans="1:34" outlineLevel="1">
      <c r="B27" s="61" t="s">
        <v>206</v>
      </c>
      <c r="C27" s="54" t="s">
        <v>153</v>
      </c>
      <c r="D27">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row>
    <row r="28" spans="1:34" outlineLevel="1">
      <c r="B28" s="61" t="s">
        <v>207</v>
      </c>
      <c r="C28" s="54" t="s">
        <v>153</v>
      </c>
      <c r="D28">
        <v>0</v>
      </c>
      <c r="E28" s="43">
        <v>0</v>
      </c>
      <c r="F28" s="43">
        <v>0</v>
      </c>
      <c r="G28" s="43">
        <v>0</v>
      </c>
      <c r="H28" s="43">
        <v>0</v>
      </c>
      <c r="I28" s="43">
        <v>0</v>
      </c>
      <c r="J28" s="43">
        <v>0</v>
      </c>
      <c r="K28" s="43">
        <v>0</v>
      </c>
      <c r="L28" s="43">
        <v>0</v>
      </c>
      <c r="M28" s="43">
        <v>0</v>
      </c>
      <c r="N28" s="43">
        <v>0</v>
      </c>
      <c r="O28" s="43">
        <v>0</v>
      </c>
      <c r="P28" s="43">
        <v>0</v>
      </c>
      <c r="Q28" s="43">
        <v>0</v>
      </c>
      <c r="R28" s="43">
        <v>0</v>
      </c>
      <c r="S28" s="43">
        <v>0</v>
      </c>
      <c r="T28" s="43">
        <v>0</v>
      </c>
      <c r="U28" s="43">
        <v>0</v>
      </c>
      <c r="V28" s="43">
        <v>0</v>
      </c>
      <c r="W28" s="43">
        <v>0</v>
      </c>
      <c r="X28" s="43">
        <v>0</v>
      </c>
      <c r="Y28" s="43">
        <v>0</v>
      </c>
      <c r="Z28" s="43">
        <v>0</v>
      </c>
      <c r="AA28" s="43">
        <v>0</v>
      </c>
      <c r="AB28" s="43">
        <v>0</v>
      </c>
      <c r="AC28" s="43">
        <v>0</v>
      </c>
      <c r="AD28" s="43">
        <v>0</v>
      </c>
      <c r="AE28" s="43">
        <v>0</v>
      </c>
      <c r="AF28" s="43">
        <v>0</v>
      </c>
      <c r="AG28" s="43">
        <v>0</v>
      </c>
      <c r="AH28" s="43">
        <v>0</v>
      </c>
    </row>
    <row r="29" spans="1:34" outlineLevel="1">
      <c r="B29" s="1" t="s">
        <v>168</v>
      </c>
      <c r="C29" s="54" t="s">
        <v>153</v>
      </c>
      <c r="D29" s="44">
        <v>0</v>
      </c>
      <c r="E29" s="44">
        <v>0</v>
      </c>
      <c r="F29" s="44">
        <v>0</v>
      </c>
      <c r="G29" s="44">
        <v>0</v>
      </c>
      <c r="H29" s="44">
        <v>0</v>
      </c>
      <c r="I29" s="44">
        <v>0</v>
      </c>
      <c r="J29" s="44">
        <v>0</v>
      </c>
      <c r="K29" s="44">
        <v>0</v>
      </c>
      <c r="L29" s="44">
        <v>0</v>
      </c>
      <c r="M29" s="44">
        <v>0</v>
      </c>
      <c r="N29" s="44">
        <v>0</v>
      </c>
      <c r="O29" s="44">
        <v>0</v>
      </c>
      <c r="P29" s="44">
        <v>0</v>
      </c>
      <c r="Q29" s="44">
        <v>0</v>
      </c>
      <c r="R29" s="44">
        <v>0</v>
      </c>
      <c r="S29" s="44">
        <v>0</v>
      </c>
      <c r="T29" s="44">
        <v>0</v>
      </c>
      <c r="U29" s="44">
        <v>0</v>
      </c>
      <c r="V29" s="44">
        <v>0</v>
      </c>
      <c r="W29" s="44">
        <v>0</v>
      </c>
      <c r="X29" s="44">
        <v>0</v>
      </c>
      <c r="Y29" s="44">
        <v>0</v>
      </c>
      <c r="Z29" s="44">
        <v>0</v>
      </c>
      <c r="AA29" s="44">
        <v>0</v>
      </c>
      <c r="AB29" s="44">
        <v>0</v>
      </c>
      <c r="AC29" s="44">
        <v>0</v>
      </c>
      <c r="AD29" s="44">
        <v>0</v>
      </c>
      <c r="AE29" s="44">
        <v>0</v>
      </c>
      <c r="AF29" s="44">
        <v>0</v>
      </c>
      <c r="AG29" s="44">
        <v>0</v>
      </c>
      <c r="AH29" s="44">
        <v>0</v>
      </c>
    </row>
    <row r="30" spans="1:34" outlineLevel="1">
      <c r="B30" s="1" t="s">
        <v>172</v>
      </c>
      <c r="C30" s="54" t="s">
        <v>153</v>
      </c>
      <c r="D30">
        <v>0</v>
      </c>
      <c r="E30" s="43">
        <v>0</v>
      </c>
      <c r="F30" s="43">
        <v>0</v>
      </c>
      <c r="G30" s="43">
        <v>0</v>
      </c>
      <c r="H30" s="43">
        <v>0</v>
      </c>
      <c r="I30" s="43">
        <v>0</v>
      </c>
      <c r="J30" s="43">
        <v>0</v>
      </c>
      <c r="K30" s="43">
        <v>0</v>
      </c>
      <c r="L30" s="43">
        <v>0</v>
      </c>
      <c r="M30" s="43">
        <v>0</v>
      </c>
      <c r="N30" s="43">
        <v>0</v>
      </c>
      <c r="O30" s="43">
        <v>0</v>
      </c>
      <c r="P30" s="43">
        <v>0</v>
      </c>
      <c r="Q30" s="43">
        <v>0</v>
      </c>
      <c r="R30" s="43">
        <v>0</v>
      </c>
      <c r="S30" s="43">
        <v>0</v>
      </c>
      <c r="T30" s="43">
        <v>0</v>
      </c>
      <c r="U30" s="43">
        <v>0</v>
      </c>
      <c r="V30" s="43">
        <v>0</v>
      </c>
      <c r="W30" s="43">
        <v>0</v>
      </c>
      <c r="X30" s="43">
        <v>0</v>
      </c>
      <c r="Y30" s="43">
        <v>0</v>
      </c>
      <c r="Z30" s="43">
        <v>0</v>
      </c>
      <c r="AA30" s="43">
        <v>0</v>
      </c>
      <c r="AB30" s="43">
        <v>0</v>
      </c>
      <c r="AC30" s="43">
        <v>0</v>
      </c>
      <c r="AD30" s="43">
        <v>0</v>
      </c>
      <c r="AE30" s="43">
        <v>0</v>
      </c>
      <c r="AF30" s="43">
        <v>0</v>
      </c>
      <c r="AG30" s="43">
        <v>0</v>
      </c>
      <c r="AH30" s="43">
        <v>0</v>
      </c>
    </row>
    <row r="31" spans="1:34">
      <c r="B31" s="1" t="s">
        <v>197</v>
      </c>
      <c r="C31" s="65" t="s">
        <v>153</v>
      </c>
      <c r="D31" s="66">
        <f>D26-D29-D30</f>
        <v>0</v>
      </c>
      <c r="E31" s="66">
        <f t="shared" ref="E31:AH31" si="8">E26-E29-E30</f>
        <v>0</v>
      </c>
      <c r="F31" s="66">
        <f t="shared" si="8"/>
        <v>0</v>
      </c>
      <c r="G31" s="66">
        <f t="shared" si="8"/>
        <v>0</v>
      </c>
      <c r="H31" s="66">
        <f t="shared" si="8"/>
        <v>0</v>
      </c>
      <c r="I31" s="66">
        <f t="shared" si="8"/>
        <v>0</v>
      </c>
      <c r="J31" s="66">
        <f t="shared" si="8"/>
        <v>0</v>
      </c>
      <c r="K31" s="66">
        <f t="shared" si="8"/>
        <v>0</v>
      </c>
      <c r="L31" s="66">
        <f t="shared" si="8"/>
        <v>0</v>
      </c>
      <c r="M31" s="66">
        <f t="shared" si="8"/>
        <v>0</v>
      </c>
      <c r="N31" s="66">
        <f t="shared" si="8"/>
        <v>0</v>
      </c>
      <c r="O31" s="66">
        <f t="shared" si="8"/>
        <v>0</v>
      </c>
      <c r="P31" s="66">
        <f t="shared" si="8"/>
        <v>0</v>
      </c>
      <c r="Q31" s="66">
        <f t="shared" si="8"/>
        <v>0</v>
      </c>
      <c r="R31" s="66">
        <f t="shared" si="8"/>
        <v>0</v>
      </c>
      <c r="S31" s="66">
        <f t="shared" si="8"/>
        <v>0</v>
      </c>
      <c r="T31" s="66">
        <f t="shared" si="8"/>
        <v>0</v>
      </c>
      <c r="U31" s="66">
        <f t="shared" si="8"/>
        <v>0</v>
      </c>
      <c r="V31" s="66">
        <f t="shared" si="8"/>
        <v>0</v>
      </c>
      <c r="W31" s="66">
        <f t="shared" si="8"/>
        <v>0</v>
      </c>
      <c r="X31" s="66">
        <f t="shared" si="8"/>
        <v>0</v>
      </c>
      <c r="Y31" s="66">
        <f t="shared" si="8"/>
        <v>0</v>
      </c>
      <c r="Z31" s="66">
        <f t="shared" si="8"/>
        <v>0</v>
      </c>
      <c r="AA31" s="66">
        <f t="shared" si="8"/>
        <v>0</v>
      </c>
      <c r="AB31" s="66">
        <f t="shared" si="8"/>
        <v>0</v>
      </c>
      <c r="AC31" s="66">
        <f t="shared" si="8"/>
        <v>0</v>
      </c>
      <c r="AD31" s="66">
        <f t="shared" si="8"/>
        <v>0</v>
      </c>
      <c r="AE31" s="66">
        <f t="shared" si="8"/>
        <v>0</v>
      </c>
      <c r="AF31" s="66">
        <f t="shared" si="8"/>
        <v>0</v>
      </c>
      <c r="AG31" s="66">
        <f t="shared" si="8"/>
        <v>0</v>
      </c>
      <c r="AH31" s="66">
        <f t="shared" si="8"/>
        <v>0</v>
      </c>
    </row>
    <row r="32" spans="1:34" s="67" customFormat="1">
      <c r="A32" s="58" t="s">
        <v>208</v>
      </c>
      <c r="B32" s="58" t="s">
        <v>199</v>
      </c>
      <c r="C32" s="59" t="s">
        <v>153</v>
      </c>
      <c r="D32" s="60">
        <f>D4-D6-D14-D22-D26</f>
        <v>35.064810426540291</v>
      </c>
      <c r="E32" s="60">
        <f t="shared" ref="E32:AH32" si="9">E4-E6-E14-E22-E26</f>
        <v>36.116775689152504</v>
      </c>
      <c r="F32" s="60">
        <f t="shared" si="9"/>
        <v>37.194840842672889</v>
      </c>
      <c r="G32" s="60">
        <f t="shared" si="9"/>
        <v>38.299600968841681</v>
      </c>
      <c r="H32" s="60">
        <f t="shared" si="9"/>
        <v>39.431664105577326</v>
      </c>
      <c r="I32" s="60">
        <f t="shared" si="9"/>
        <v>40.591651521265369</v>
      </c>
      <c r="J32" s="60">
        <f t="shared" si="9"/>
        <v>41.559479269006808</v>
      </c>
      <c r="K32" s="60">
        <f t="shared" si="9"/>
        <v>42.548161106867823</v>
      </c>
      <c r="L32" s="60">
        <f t="shared" si="9"/>
        <v>43.558122404188012</v>
      </c>
      <c r="M32" s="60">
        <f t="shared" si="9"/>
        <v>44.589796919996559</v>
      </c>
      <c r="N32" s="60">
        <f>N4-N6-N14-N22-N26</f>
        <v>45.643626964856836</v>
      </c>
      <c r="O32" s="60">
        <f t="shared" si="9"/>
        <v>45.513538753044301</v>
      </c>
      <c r="P32" s="60">
        <f t="shared" si="9"/>
        <v>45.373793604755676</v>
      </c>
      <c r="Q32" s="60">
        <f t="shared" si="9"/>
        <v>45.224170750896405</v>
      </c>
      <c r="R32" s="60">
        <f t="shared" si="9"/>
        <v>45.064445309997041</v>
      </c>
      <c r="S32" s="60">
        <f t="shared" si="9"/>
        <v>44.894388217210761</v>
      </c>
      <c r="T32" s="60">
        <f t="shared" si="9"/>
        <v>44.657909758188808</v>
      </c>
      <c r="U32" s="60">
        <f t="shared" si="9"/>
        <v>44.409635027587569</v>
      </c>
      <c r="V32" s="60">
        <f t="shared" si="9"/>
        <v>44.149308712963851</v>
      </c>
      <c r="W32" s="60">
        <f t="shared" si="9"/>
        <v>43.876670865120836</v>
      </c>
      <c r="X32" s="60">
        <f t="shared" si="9"/>
        <v>43.591456819224469</v>
      </c>
      <c r="Y32" s="60">
        <f t="shared" si="9"/>
        <v>43.239931957107011</v>
      </c>
      <c r="Z32" s="60">
        <f t="shared" si="9"/>
        <v>42.874376509212937</v>
      </c>
      <c r="AA32" s="60">
        <f t="shared" si="9"/>
        <v>42.494499544079559</v>
      </c>
      <c r="AB32" s="60">
        <f t="shared" si="9"/>
        <v>42.100004953666058</v>
      </c>
      <c r="AC32" s="60">
        <f t="shared" si="9"/>
        <v>41.690591366313512</v>
      </c>
      <c r="AD32" s="60">
        <f t="shared" si="9"/>
        <v>41.214681649789782</v>
      </c>
      <c r="AE32" s="60">
        <f t="shared" si="9"/>
        <v>40.722396518730974</v>
      </c>
      <c r="AF32" s="60">
        <f t="shared" si="9"/>
        <v>40.213408011445836</v>
      </c>
      <c r="AG32" s="60">
        <f t="shared" si="9"/>
        <v>39.68738242812433</v>
      </c>
      <c r="AH32" s="60">
        <f t="shared" si="9"/>
        <v>39.143980235262035</v>
      </c>
    </row>
    <row r="33" spans="1:34" outlineLevel="1">
      <c r="B33" s="1" t="s">
        <v>168</v>
      </c>
      <c r="C33" s="54" t="s">
        <v>153</v>
      </c>
      <c r="D33">
        <v>0</v>
      </c>
      <c r="E33" s="43">
        <f>E32*'R&amp;S - Others'!$B$7*'R&amp;S - Others'!$B$12*'R&amp;S - Others'!$B$15*('Yearly HC Propylene'!E$3-'Yearly HC Propylene'!$D$3)/10</f>
        <v>0</v>
      </c>
      <c r="F33" s="43">
        <f>F32*'R&amp;S - Others'!$B$7*'R&amp;S - Others'!$B$12*'R&amp;S - Others'!$B$15*('Yearly HC Propylene'!F$3-'Yearly HC Propylene'!$D$3)/10</f>
        <v>0</v>
      </c>
      <c r="G33" s="43">
        <f>G32*'R&amp;S - Others'!$B$7*'R&amp;S - Others'!$B$12*'R&amp;S - Others'!$B$15*('Yearly HC Propylene'!G$3-'Yearly HC Propylene'!$D$3)/10</f>
        <v>0</v>
      </c>
      <c r="H33" s="43">
        <f>H32*'R&amp;S - Others'!$B$7*'R&amp;S - Others'!$B$12*'R&amp;S - Others'!$B$15*('Yearly HC Propylene'!H$3-'Yearly HC Propylene'!$D$3)/10</f>
        <v>0</v>
      </c>
      <c r="I33" s="43">
        <f>I32*'R&amp;S - Others'!$B$7*'R&amp;S - Others'!$B$12*'R&amp;S - Others'!$B$15*('Yearly HC Propylene'!I$3-'Yearly HC Propylene'!$D$3)/10</f>
        <v>0</v>
      </c>
      <c r="J33" s="43">
        <f>J32*'R&amp;S - Others'!$B$7*'R&amp;S - Others'!$B$12*'R&amp;S - Others'!$B$15*('Yearly HC Propylene'!J$3-'Yearly HC Propylene'!$D$3)/10</f>
        <v>0</v>
      </c>
      <c r="K33" s="43">
        <f>K32*'R&amp;S - Others'!$B$7*'R&amp;S - Others'!$B$12*'R&amp;S - Others'!$B$15*('Yearly HC Propylene'!K$3-'Yearly HC Propylene'!$D$3)/10</f>
        <v>0</v>
      </c>
      <c r="L33" s="43">
        <f>L32*'R&amp;S - Others'!$B$7*'R&amp;S - Others'!$B$12*'R&amp;S - Others'!$B$15*('Yearly HC Propylene'!L$3-'Yearly HC Propylene'!$D$3)/10</f>
        <v>0</v>
      </c>
      <c r="M33" s="43">
        <f>M32*'R&amp;S - Others'!$B$7*'R&amp;S - Others'!$B$12*'R&amp;S - Others'!$B$15*('Yearly HC Propylene'!M$3-'Yearly HC Propylene'!$D$3)/10</f>
        <v>0</v>
      </c>
      <c r="N33" s="43">
        <f>N32*'R&amp;S - Others'!$B$7*'R&amp;S - Others'!$B$12*'R&amp;S - Others'!$B$15*('Yearly HC Propylene'!N$3-'Yearly HC Propylene'!$D$3)/10</f>
        <v>0</v>
      </c>
      <c r="O33" s="43">
        <f>O32*'R&amp;S - Others'!$B$7*'R&amp;S - Others'!$B$12*('R&amp;S - Others'!$B$15+('R&amp;S - Others'!$B$16-'R&amp;S - Others'!$B$15)*('Yearly HC Propylene'!O$3-'Yearly HC Propylene'!$N$3)/10)</f>
        <v>0</v>
      </c>
      <c r="P33" s="43">
        <f>P32*'R&amp;S - Others'!$B$7*'R&amp;S - Others'!$B$12*('R&amp;S - Others'!$B$15+('R&amp;S - Others'!$B$16-'R&amp;S - Others'!$B$15)*('Yearly HC Propylene'!P$3-'Yearly HC Propylene'!$N$3)/10)</f>
        <v>0</v>
      </c>
      <c r="Q33" s="43">
        <f>Q32*'R&amp;S - Others'!$B$7*'R&amp;S - Others'!$B$12*('R&amp;S - Others'!$B$15+('R&amp;S - Others'!$B$16-'R&amp;S - Others'!$B$15)*('Yearly HC Propylene'!Q$3-'Yearly HC Propylene'!$N$3)/10)</f>
        <v>0</v>
      </c>
      <c r="R33" s="43">
        <f>R32*'R&amp;S - Others'!$B$7*'R&amp;S - Others'!$B$12*('R&amp;S - Others'!$B$15+('R&amp;S - Others'!$B$16-'R&amp;S - Others'!$B$15)*('Yearly HC Propylene'!R$3-'Yearly HC Propylene'!$N$3)/10)</f>
        <v>0</v>
      </c>
      <c r="S33" s="43">
        <f>S32*'R&amp;S - Others'!$B$7*'R&amp;S - Others'!$B$12*('R&amp;S - Others'!$B$15+('R&amp;S - Others'!$B$16-'R&amp;S - Others'!$B$15)*('Yearly HC Propylene'!S$3-'Yearly HC Propylene'!$N$3)/10)</f>
        <v>0</v>
      </c>
      <c r="T33" s="43">
        <f>T32*'R&amp;S - Others'!$B$7*'R&amp;S - Others'!$B$12*('R&amp;S - Others'!$B$15+('R&amp;S - Others'!$B$16-'R&amp;S - Others'!$B$15)*('Yearly HC Propylene'!T$3-'Yearly HC Propylene'!$N$3)/10)</f>
        <v>0</v>
      </c>
      <c r="U33" s="43">
        <f>U32*'R&amp;S - Others'!$B$7*'R&amp;S - Others'!$B$12*('R&amp;S - Others'!$B$15+('R&amp;S - Others'!$B$16-'R&amp;S - Others'!$B$15)*('Yearly HC Propylene'!U$3-'Yearly HC Propylene'!$N$3)/10)</f>
        <v>0</v>
      </c>
      <c r="V33" s="43">
        <f>V32*'R&amp;S - Others'!$B$7*'R&amp;S - Others'!$B$12*('R&amp;S - Others'!$B$15+('R&amp;S - Others'!$B$16-'R&amp;S - Others'!$B$15)*('Yearly HC Propylene'!V$3-'Yearly HC Propylene'!$N$3)/10)</f>
        <v>0</v>
      </c>
      <c r="W33" s="43">
        <f>W32*'R&amp;S - Others'!$B$7*'R&amp;S - Others'!$B$12*('R&amp;S - Others'!$B$15+('R&amp;S - Others'!$B$16-'R&amp;S - Others'!$B$15)*('Yearly HC Propylene'!W$3-'Yearly HC Propylene'!$N$3)/10)</f>
        <v>0</v>
      </c>
      <c r="X33" s="43">
        <f>X32*'R&amp;S - Others'!$B$7*'R&amp;S - Others'!$B$12*('R&amp;S - Others'!$B$15+('R&amp;S - Others'!$B$16-'R&amp;S - Others'!$B$15)*('Yearly HC Propylene'!X$3-'Yearly HC Propylene'!$N$3)/10)</f>
        <v>0</v>
      </c>
      <c r="Y33" s="43">
        <f>Y32*'R&amp;S - Others'!$B$7*'R&amp;S - Others'!$B$12*('R&amp;S - Others'!$B$16+('R&amp;S - Others'!$B$17-'R&amp;S - Others'!$B$16)*('Yearly HC Propylene'!Y$3-'Yearly HC Propylene'!$X$3)/10)</f>
        <v>0</v>
      </c>
      <c r="Z33" s="43">
        <f>Z32*'R&amp;S - Others'!$B$7*'R&amp;S - Others'!$B$12*('R&amp;S - Others'!$B$16+('R&amp;S - Others'!$B$17-'R&amp;S - Others'!$B$16)*('Yearly HC Propylene'!Z$3-'Yearly HC Propylene'!$X$3)/10)</f>
        <v>0</v>
      </c>
      <c r="AA33" s="43">
        <f>AA32*'R&amp;S - Others'!$B$7*'R&amp;S - Others'!$B$12*('R&amp;S - Others'!$B$16+('R&amp;S - Others'!$B$17-'R&amp;S - Others'!$B$16)*('Yearly HC Propylene'!AA$3-'Yearly HC Propylene'!$X$3)/10)</f>
        <v>0</v>
      </c>
      <c r="AB33" s="43">
        <f>AB32*'R&amp;S - Others'!$B$7*'R&amp;S - Others'!$B$12*('R&amp;S - Others'!$B$16+('R&amp;S - Others'!$B$17-'R&amp;S - Others'!$B$16)*('Yearly HC Propylene'!AB$3-'Yearly HC Propylene'!$X$3)/10)</f>
        <v>0</v>
      </c>
      <c r="AC33" s="43">
        <f>AC32*'R&amp;S - Others'!$B$7*'R&amp;S - Others'!$B$12*('R&amp;S - Others'!$B$16+('R&amp;S - Others'!$B$17-'R&amp;S - Others'!$B$16)*('Yearly HC Propylene'!AC$3-'Yearly HC Propylene'!$X$3)/10)</f>
        <v>0</v>
      </c>
      <c r="AD33" s="43">
        <f>AD32*'R&amp;S - Others'!$B$7*'R&amp;S - Others'!$B$12*('R&amp;S - Others'!$B$16+('R&amp;S - Others'!$B$17-'R&amp;S - Others'!$B$16)*('Yearly HC Propylene'!AD$3-'Yearly HC Propylene'!$X$3)/10)</f>
        <v>0</v>
      </c>
      <c r="AE33" s="43">
        <f>AE32*'R&amp;S - Others'!$B$7*'R&amp;S - Others'!$B$12*('R&amp;S - Others'!$B$16+('R&amp;S - Others'!$B$17-'R&amp;S - Others'!$B$16)*('Yearly HC Propylene'!AE$3-'Yearly HC Propylene'!$X$3)/10)</f>
        <v>0</v>
      </c>
      <c r="AF33" s="43">
        <f>AF32*'R&amp;S - Others'!$B$7*'R&amp;S - Others'!$B$12*('R&amp;S - Others'!$B$16+('R&amp;S - Others'!$B$17-'R&amp;S - Others'!$B$16)*('Yearly HC Propylene'!AF$3-'Yearly HC Propylene'!$X$3)/10)</f>
        <v>0</v>
      </c>
      <c r="AG33" s="43">
        <f>AG32*'R&amp;S - Others'!$B$7*'R&amp;S - Others'!$B$12*('R&amp;S - Others'!$B$16+('R&amp;S - Others'!$B$17-'R&amp;S - Others'!$B$16)*('Yearly HC Propylene'!AG$3-'Yearly HC Propylene'!$X$3)/10)</f>
        <v>0</v>
      </c>
      <c r="AH33" s="43">
        <f>AH32*'R&amp;S - Others'!$B$7*'R&amp;S - Others'!$B$12*('R&amp;S - Others'!$B$16+('R&amp;S - Others'!$B$17-'R&amp;S - Others'!$B$16)*('Yearly HC Propylene'!AH$3-'Yearly HC Propylene'!$X$3)/10)</f>
        <v>0</v>
      </c>
    </row>
    <row r="34" spans="1:34" outlineLevel="1">
      <c r="B34" s="1" t="s">
        <v>172</v>
      </c>
      <c r="C34" s="54" t="s">
        <v>153</v>
      </c>
      <c r="D34">
        <v>0</v>
      </c>
      <c r="E34" s="43">
        <f>E32*'R&amp;S - Others'!$B$8*'R&amp;S - Others'!$B$12*'R&amp;S - Others'!$C$15*('Yearly HC Propylene'!E$3-'Yearly HC Propylene'!$D$3)/10</f>
        <v>0</v>
      </c>
      <c r="F34" s="43">
        <f>F32*'R&amp;S - Others'!$B$8*'R&amp;S - Others'!$B$12*'R&amp;S - Others'!$C$15*('Yearly HC Propylene'!F$3-'Yearly HC Propylene'!$D$3)/10</f>
        <v>0</v>
      </c>
      <c r="G34" s="43">
        <f>G32*'R&amp;S - Others'!$B$8*'R&amp;S - Others'!$B$12*'R&amp;S - Others'!$C$15*('Yearly HC Propylene'!G$3-'Yearly HC Propylene'!$D$3)/10</f>
        <v>0</v>
      </c>
      <c r="H34" s="43">
        <f>H32*'R&amp;S - Others'!$B$8*'R&amp;S - Others'!$B$12*'R&amp;S - Others'!$C$15*('Yearly HC Propylene'!H$3-'Yearly HC Propylene'!$D$3)/10</f>
        <v>0</v>
      </c>
      <c r="I34" s="43">
        <f>I32*'R&amp;S - Others'!$B$8*'R&amp;S - Others'!$B$12*'R&amp;S - Others'!$C$15*('Yearly HC Propylene'!I$3-'Yearly HC Propylene'!$D$3)/10</f>
        <v>0</v>
      </c>
      <c r="J34" s="43">
        <f>J32*'R&amp;S - Others'!$B$8*'R&amp;S - Others'!$B$12*'R&amp;S - Others'!$C$15*('Yearly HC Propylene'!J$3-'Yearly HC Propylene'!$D$3)/10</f>
        <v>0</v>
      </c>
      <c r="K34" s="43">
        <f>K32*'R&amp;S - Others'!$B$8*'R&amp;S - Others'!$B$12*'R&amp;S - Others'!$C$15*('Yearly HC Propylene'!K$3-'Yearly HC Propylene'!$D$3)/10</f>
        <v>0</v>
      </c>
      <c r="L34" s="43">
        <f>L32*'R&amp;S - Others'!$B$8*'R&amp;S - Others'!$B$12*'R&amp;S - Others'!$C$15*('Yearly HC Propylene'!L$3-'Yearly HC Propylene'!$D$3)/10</f>
        <v>0</v>
      </c>
      <c r="M34" s="43">
        <f>M32*'R&amp;S - Others'!$B$8*'R&amp;S - Others'!$B$12*'R&amp;S - Others'!$C$15*('Yearly HC Propylene'!M$3-'Yearly HC Propylene'!$D$3)/10</f>
        <v>0</v>
      </c>
      <c r="N34" s="43">
        <f>N32*'R&amp;S - Others'!$B$8*'R&amp;S - Others'!$B$12*'R&amp;S - Others'!$C$15*('Yearly HC Propylene'!N$3-'Yearly HC Propylene'!$D$3)/10</f>
        <v>0</v>
      </c>
      <c r="O34" s="43">
        <f>O32*'R&amp;S - Others'!$B$8*'R&amp;S - Others'!$B$12*('R&amp;S - Others'!$C$15+('R&amp;S - Others'!$C$16-'R&amp;S - Others'!$C$15)*('Yearly HC Propylene'!O$3-'Yearly HC Propylene'!$N$3)/10)</f>
        <v>0</v>
      </c>
      <c r="P34" s="43">
        <f>P32*'R&amp;S - Others'!$B$8*'R&amp;S - Others'!$B$12*('R&amp;S - Others'!$C$15+('R&amp;S - Others'!$C$16-'R&amp;S - Others'!$C$15)*('Yearly HC Propylene'!P$3-'Yearly HC Propylene'!$N$3)/10)</f>
        <v>0</v>
      </c>
      <c r="Q34" s="43">
        <f>Q32*'R&amp;S - Others'!$B$8*'R&amp;S - Others'!$B$12*('R&amp;S - Others'!$C$15+('R&amp;S - Others'!$C$16-'R&amp;S - Others'!$C$15)*('Yearly HC Propylene'!Q$3-'Yearly HC Propylene'!$N$3)/10)</f>
        <v>0</v>
      </c>
      <c r="R34" s="43">
        <f>R32*'R&amp;S - Others'!$B$8*'R&amp;S - Others'!$B$12*('R&amp;S - Others'!$C$15+('R&amp;S - Others'!$C$16-'R&amp;S - Others'!$C$15)*('Yearly HC Propylene'!R$3-'Yearly HC Propylene'!$N$3)/10)</f>
        <v>0</v>
      </c>
      <c r="S34" s="43">
        <f>S32*'R&amp;S - Others'!$B$8*'R&amp;S - Others'!$B$12*('R&amp;S - Others'!$C$15+('R&amp;S - Others'!$C$16-'R&amp;S - Others'!$C$15)*('Yearly HC Propylene'!S$3-'Yearly HC Propylene'!$N$3)/10)</f>
        <v>0</v>
      </c>
      <c r="T34" s="43">
        <f>T32*'R&amp;S - Others'!$B$8*'R&amp;S - Others'!$B$12*('R&amp;S - Others'!$C$15+('R&amp;S - Others'!$C$16-'R&amp;S - Others'!$C$15)*('Yearly HC Propylene'!T$3-'Yearly HC Propylene'!$N$3)/10)</f>
        <v>0</v>
      </c>
      <c r="U34" s="43">
        <f>U32*'R&amp;S - Others'!$B$8*'R&amp;S - Others'!$B$12*('R&amp;S - Others'!$C$15+('R&amp;S - Others'!$C$16-'R&amp;S - Others'!$C$15)*('Yearly HC Propylene'!U$3-'Yearly HC Propylene'!$N$3)/10)</f>
        <v>0</v>
      </c>
      <c r="V34" s="43">
        <f>V32*'R&amp;S - Others'!$B$8*'R&amp;S - Others'!$B$12*('R&amp;S - Others'!$C$15+('R&amp;S - Others'!$C$16-'R&amp;S - Others'!$C$15)*('Yearly HC Propylene'!V$3-'Yearly HC Propylene'!$N$3)/10)</f>
        <v>0</v>
      </c>
      <c r="W34" s="43">
        <f>W32*'R&amp;S - Others'!$B$8*'R&amp;S - Others'!$B$12*('R&amp;S - Others'!$C$15+('R&amp;S - Others'!$C$16-'R&amp;S - Others'!$C$15)*('Yearly HC Propylene'!W$3-'Yearly HC Propylene'!$N$3)/10)</f>
        <v>0</v>
      </c>
      <c r="X34" s="43">
        <f>X32*'R&amp;S - Others'!$B$8*'R&amp;S - Others'!$B$12*('R&amp;S - Others'!$C$15+('R&amp;S - Others'!$C$16-'R&amp;S - Others'!$C$15)*('Yearly HC Propylene'!X$3-'Yearly HC Propylene'!$N$3)/10)</f>
        <v>0</v>
      </c>
      <c r="Y34" s="43">
        <f>Y32*'R&amp;S - Others'!$B$8*'R&amp;S - Others'!$B$12*('R&amp;S - Others'!$C$16+('R&amp;S - Others'!$C$17-'R&amp;S - Others'!$C$16)*('Yearly HC Propylene'!Y$3-'Yearly HC Propylene'!$X$3)/10)</f>
        <v>0</v>
      </c>
      <c r="Z34" s="43">
        <f>Z32*'R&amp;S - Others'!$B$8*'R&amp;S - Others'!$B$12*('R&amp;S - Others'!$C$16+('R&amp;S - Others'!$C$17-'R&amp;S - Others'!$C$16)*('Yearly HC Propylene'!Z$3-'Yearly HC Propylene'!$X$3)/10)</f>
        <v>0</v>
      </c>
      <c r="AA34" s="43">
        <f>AA32*'R&amp;S - Others'!$B$8*'R&amp;S - Others'!$B$12*('R&amp;S - Others'!$C$16+('R&amp;S - Others'!$C$17-'R&amp;S - Others'!$C$16)*('Yearly HC Propylene'!AA$3-'Yearly HC Propylene'!$X$3)/10)</f>
        <v>0</v>
      </c>
      <c r="AB34" s="43">
        <f>AB32*'R&amp;S - Others'!$B$8*'R&amp;S - Others'!$B$12*('R&amp;S - Others'!$C$16+('R&amp;S - Others'!$C$17-'R&amp;S - Others'!$C$16)*('Yearly HC Propylene'!AB$3-'Yearly HC Propylene'!$X$3)/10)</f>
        <v>0</v>
      </c>
      <c r="AC34" s="43">
        <f>AC32*'R&amp;S - Others'!$B$8*'R&amp;S - Others'!$B$12*('R&amp;S - Others'!$C$16+('R&amp;S - Others'!$C$17-'R&amp;S - Others'!$C$16)*('Yearly HC Propylene'!AC$3-'Yearly HC Propylene'!$X$3)/10)</f>
        <v>0</v>
      </c>
      <c r="AD34" s="43">
        <f>AD32*'R&amp;S - Others'!$B$8*'R&amp;S - Others'!$B$12*('R&amp;S - Others'!$C$16+('R&amp;S - Others'!$C$17-'R&amp;S - Others'!$C$16)*('Yearly HC Propylene'!AD$3-'Yearly HC Propylene'!$X$3)/10)</f>
        <v>0</v>
      </c>
      <c r="AE34" s="43">
        <f>AE32*'R&amp;S - Others'!$B$8*'R&amp;S - Others'!$B$12*('R&amp;S - Others'!$C$16+('R&amp;S - Others'!$C$17-'R&amp;S - Others'!$C$16)*('Yearly HC Propylene'!AE$3-'Yearly HC Propylene'!$X$3)/10)</f>
        <v>0</v>
      </c>
      <c r="AF34" s="43">
        <f>AF32*'R&amp;S - Others'!$B$8*'R&amp;S - Others'!$B$12*('R&amp;S - Others'!$C$16+('R&amp;S - Others'!$C$17-'R&amp;S - Others'!$C$16)*('Yearly HC Propylene'!AF$3-'Yearly HC Propylene'!$X$3)/10)</f>
        <v>0</v>
      </c>
      <c r="AG34" s="43">
        <f>AG32*'R&amp;S - Others'!$B$8*'R&amp;S - Others'!$B$12*('R&amp;S - Others'!$C$16+('R&amp;S - Others'!$C$17-'R&amp;S - Others'!$C$16)*('Yearly HC Propylene'!AG$3-'Yearly HC Propylene'!$X$3)/10)</f>
        <v>0</v>
      </c>
      <c r="AH34" s="43">
        <f>AH32*'R&amp;S - Others'!$B$8*'R&amp;S - Others'!$B$12*('R&amp;S - Others'!$C$16+('R&amp;S - Others'!$C$17-'R&amp;S - Others'!$C$16)*('Yearly HC Propylene'!AH$3-'Yearly HC Propylene'!$X$3)/10)</f>
        <v>0</v>
      </c>
    </row>
    <row r="35" spans="1:34" s="181" customFormat="1">
      <c r="A35" s="178"/>
      <c r="B35" s="178" t="s">
        <v>197</v>
      </c>
      <c r="C35" s="179" t="s">
        <v>153</v>
      </c>
      <c r="D35" s="180">
        <f>D32-D33-D34</f>
        <v>35.064810426540291</v>
      </c>
      <c r="E35" s="180">
        <f t="shared" ref="E35:AH35" si="10">E32-E33-E34</f>
        <v>36.116775689152504</v>
      </c>
      <c r="F35" s="180">
        <f t="shared" si="10"/>
        <v>37.194840842672889</v>
      </c>
      <c r="G35" s="180">
        <f t="shared" si="10"/>
        <v>38.299600968841681</v>
      </c>
      <c r="H35" s="180">
        <f t="shared" si="10"/>
        <v>39.431664105577326</v>
      </c>
      <c r="I35" s="180">
        <f t="shared" si="10"/>
        <v>40.591651521265369</v>
      </c>
      <c r="J35" s="180">
        <f t="shared" si="10"/>
        <v>41.559479269006808</v>
      </c>
      <c r="K35" s="180">
        <f t="shared" si="10"/>
        <v>42.548161106867823</v>
      </c>
      <c r="L35" s="180">
        <f t="shared" si="10"/>
        <v>43.558122404188012</v>
      </c>
      <c r="M35" s="180">
        <f t="shared" si="10"/>
        <v>44.589796919996559</v>
      </c>
      <c r="N35" s="180">
        <f t="shared" si="10"/>
        <v>45.643626964856836</v>
      </c>
      <c r="O35" s="180">
        <f t="shared" si="10"/>
        <v>45.513538753044301</v>
      </c>
      <c r="P35" s="180">
        <f t="shared" si="10"/>
        <v>45.373793604755676</v>
      </c>
      <c r="Q35" s="180">
        <f t="shared" si="10"/>
        <v>45.224170750896405</v>
      </c>
      <c r="R35" s="180">
        <f t="shared" si="10"/>
        <v>45.064445309997041</v>
      </c>
      <c r="S35" s="180">
        <f t="shared" si="10"/>
        <v>44.894388217210761</v>
      </c>
      <c r="T35" s="180">
        <f t="shared" si="10"/>
        <v>44.657909758188808</v>
      </c>
      <c r="U35" s="180">
        <f t="shared" si="10"/>
        <v>44.409635027587569</v>
      </c>
      <c r="V35" s="180">
        <f t="shared" si="10"/>
        <v>44.149308712963851</v>
      </c>
      <c r="W35" s="180">
        <f t="shared" si="10"/>
        <v>43.876670865120836</v>
      </c>
      <c r="X35" s="180">
        <f t="shared" si="10"/>
        <v>43.591456819224469</v>
      </c>
      <c r="Y35" s="180">
        <f t="shared" si="10"/>
        <v>43.239931957107011</v>
      </c>
      <c r="Z35" s="180">
        <f t="shared" si="10"/>
        <v>42.874376509212937</v>
      </c>
      <c r="AA35" s="180">
        <f t="shared" si="10"/>
        <v>42.494499544079559</v>
      </c>
      <c r="AB35" s="180">
        <f t="shared" si="10"/>
        <v>42.100004953666058</v>
      </c>
      <c r="AC35" s="180">
        <f t="shared" si="10"/>
        <v>41.690591366313512</v>
      </c>
      <c r="AD35" s="180">
        <f t="shared" si="10"/>
        <v>41.214681649789782</v>
      </c>
      <c r="AE35" s="180">
        <f t="shared" si="10"/>
        <v>40.722396518730974</v>
      </c>
      <c r="AF35" s="180">
        <f t="shared" si="10"/>
        <v>40.213408011445836</v>
      </c>
      <c r="AG35" s="180">
        <f t="shared" si="10"/>
        <v>39.68738242812433</v>
      </c>
      <c r="AH35" s="180">
        <f t="shared" si="10"/>
        <v>39.143980235262035</v>
      </c>
    </row>
    <row r="36" spans="1:34" s="67" customFormat="1" outlineLevel="1">
      <c r="B36" s="58" t="s">
        <v>210</v>
      </c>
      <c r="C36" s="59" t="s">
        <v>153</v>
      </c>
      <c r="D36" s="60">
        <v>0</v>
      </c>
      <c r="E36" s="60">
        <v>0</v>
      </c>
      <c r="F36" s="60">
        <v>0</v>
      </c>
      <c r="G36" s="60">
        <v>0</v>
      </c>
      <c r="H36" s="60">
        <v>0</v>
      </c>
      <c r="I36" s="60">
        <v>0</v>
      </c>
      <c r="J36" s="60">
        <v>0</v>
      </c>
      <c r="K36" s="60">
        <v>0</v>
      </c>
      <c r="L36" s="60">
        <v>0</v>
      </c>
      <c r="M36" s="60">
        <v>0</v>
      </c>
      <c r="N36" s="60">
        <v>0</v>
      </c>
      <c r="O36" s="60">
        <v>0</v>
      </c>
      <c r="P36" s="60">
        <v>0</v>
      </c>
      <c r="Q36" s="60">
        <v>0</v>
      </c>
      <c r="R36" s="60">
        <v>0</v>
      </c>
      <c r="S36" s="60">
        <v>0</v>
      </c>
      <c r="T36" s="60">
        <v>0</v>
      </c>
      <c r="U36" s="60">
        <v>0</v>
      </c>
      <c r="V36" s="60">
        <v>0</v>
      </c>
      <c r="W36" s="60">
        <v>0</v>
      </c>
      <c r="X36" s="60">
        <v>0</v>
      </c>
      <c r="Y36" s="60">
        <v>0</v>
      </c>
      <c r="Z36" s="60">
        <v>0</v>
      </c>
      <c r="AA36" s="60">
        <v>0</v>
      </c>
      <c r="AB36" s="60">
        <v>0</v>
      </c>
      <c r="AC36" s="60">
        <v>0</v>
      </c>
      <c r="AD36" s="60">
        <v>0</v>
      </c>
      <c r="AE36" s="60">
        <v>0</v>
      </c>
      <c r="AF36" s="60">
        <v>0</v>
      </c>
      <c r="AG36" s="60">
        <v>0</v>
      </c>
      <c r="AH36" s="60">
        <v>0</v>
      </c>
    </row>
    <row r="37" spans="1:34" outlineLevel="1">
      <c r="B37" s="1" t="s">
        <v>211</v>
      </c>
      <c r="C37" s="54" t="s">
        <v>153</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4">
        <v>0</v>
      </c>
      <c r="AH37" s="44">
        <v>0</v>
      </c>
    </row>
    <row r="38" spans="1:34" s="68" customFormat="1">
      <c r="A38" s="62" t="s">
        <v>212</v>
      </c>
      <c r="B38" s="62" t="s">
        <v>213</v>
      </c>
      <c r="C38" s="63" t="s">
        <v>153</v>
      </c>
      <c r="D38" s="64">
        <f>D36+D37</f>
        <v>0</v>
      </c>
      <c r="E38" s="64">
        <f t="shared" ref="E38:AH38" si="11">E36+E37</f>
        <v>0</v>
      </c>
      <c r="F38" s="64">
        <f t="shared" si="11"/>
        <v>0</v>
      </c>
      <c r="G38" s="64">
        <f t="shared" si="11"/>
        <v>0</v>
      </c>
      <c r="H38" s="64">
        <f t="shared" si="11"/>
        <v>0</v>
      </c>
      <c r="I38" s="64">
        <f t="shared" si="11"/>
        <v>0</v>
      </c>
      <c r="J38" s="64">
        <f t="shared" si="11"/>
        <v>0</v>
      </c>
      <c r="K38" s="64">
        <f t="shared" si="11"/>
        <v>0</v>
      </c>
      <c r="L38" s="64">
        <f t="shared" si="11"/>
        <v>0</v>
      </c>
      <c r="M38" s="64">
        <f t="shared" si="11"/>
        <v>0</v>
      </c>
      <c r="N38" s="64">
        <f t="shared" si="11"/>
        <v>0</v>
      </c>
      <c r="O38" s="64">
        <f t="shared" si="11"/>
        <v>0</v>
      </c>
      <c r="P38" s="64">
        <f t="shared" si="11"/>
        <v>0</v>
      </c>
      <c r="Q38" s="64">
        <f t="shared" si="11"/>
        <v>0</v>
      </c>
      <c r="R38" s="64">
        <f t="shared" si="11"/>
        <v>0</v>
      </c>
      <c r="S38" s="64">
        <f t="shared" si="11"/>
        <v>0</v>
      </c>
      <c r="T38" s="64">
        <f t="shared" si="11"/>
        <v>0</v>
      </c>
      <c r="U38" s="64">
        <f t="shared" si="11"/>
        <v>0</v>
      </c>
      <c r="V38" s="64">
        <f t="shared" si="11"/>
        <v>0</v>
      </c>
      <c r="W38" s="64">
        <f t="shared" si="11"/>
        <v>0</v>
      </c>
      <c r="X38" s="64">
        <f t="shared" si="11"/>
        <v>0</v>
      </c>
      <c r="Y38" s="64">
        <f t="shared" si="11"/>
        <v>0</v>
      </c>
      <c r="Z38" s="64">
        <f t="shared" si="11"/>
        <v>0</v>
      </c>
      <c r="AA38" s="64">
        <f t="shared" si="11"/>
        <v>0</v>
      </c>
      <c r="AB38" s="64">
        <f t="shared" si="11"/>
        <v>0</v>
      </c>
      <c r="AC38" s="64">
        <f t="shared" si="11"/>
        <v>0</v>
      </c>
      <c r="AD38" s="64">
        <f t="shared" si="11"/>
        <v>0</v>
      </c>
      <c r="AE38" s="64">
        <f t="shared" si="11"/>
        <v>0</v>
      </c>
      <c r="AF38" s="64">
        <f t="shared" si="11"/>
        <v>0</v>
      </c>
      <c r="AG38" s="64">
        <f t="shared" si="11"/>
        <v>0</v>
      </c>
      <c r="AH38" s="64">
        <f t="shared" si="11"/>
        <v>0</v>
      </c>
    </row>
    <row r="39" spans="1:34">
      <c r="A39" s="1" t="s">
        <v>67</v>
      </c>
      <c r="B39" s="1" t="s">
        <v>168</v>
      </c>
      <c r="C39" s="54" t="s">
        <v>153</v>
      </c>
      <c r="D39" s="66">
        <f>D11+D17+D23+D29+D33</f>
        <v>0</v>
      </c>
      <c r="E39" s="66">
        <f t="shared" ref="E39:AH39" si="12">E11+E17+E23+E29+E33</f>
        <v>0</v>
      </c>
      <c r="F39" s="66">
        <f t="shared" si="12"/>
        <v>0</v>
      </c>
      <c r="G39" s="66">
        <f t="shared" si="12"/>
        <v>0</v>
      </c>
      <c r="H39" s="66">
        <f t="shared" si="12"/>
        <v>0</v>
      </c>
      <c r="I39" s="66">
        <f t="shared" si="12"/>
        <v>0</v>
      </c>
      <c r="J39" s="66">
        <f t="shared" si="12"/>
        <v>0</v>
      </c>
      <c r="K39" s="66">
        <f t="shared" si="12"/>
        <v>0</v>
      </c>
      <c r="L39" s="66">
        <f t="shared" si="12"/>
        <v>0</v>
      </c>
      <c r="M39" s="66">
        <f t="shared" si="12"/>
        <v>0</v>
      </c>
      <c r="N39" s="66">
        <f t="shared" si="12"/>
        <v>0</v>
      </c>
      <c r="O39" s="66">
        <f t="shared" si="12"/>
        <v>0</v>
      </c>
      <c r="P39" s="66">
        <f t="shared" si="12"/>
        <v>0</v>
      </c>
      <c r="Q39" s="66">
        <f t="shared" si="12"/>
        <v>0</v>
      </c>
      <c r="R39" s="66">
        <f t="shared" si="12"/>
        <v>0</v>
      </c>
      <c r="S39" s="66">
        <f t="shared" si="12"/>
        <v>0</v>
      </c>
      <c r="T39" s="66">
        <f t="shared" si="12"/>
        <v>0</v>
      </c>
      <c r="U39" s="66">
        <f t="shared" si="12"/>
        <v>0</v>
      </c>
      <c r="V39" s="66">
        <f t="shared" si="12"/>
        <v>0</v>
      </c>
      <c r="W39" s="66">
        <f t="shared" si="12"/>
        <v>0</v>
      </c>
      <c r="X39" s="66">
        <f t="shared" si="12"/>
        <v>0</v>
      </c>
      <c r="Y39" s="66">
        <f t="shared" si="12"/>
        <v>0</v>
      </c>
      <c r="Z39" s="66">
        <f t="shared" si="12"/>
        <v>0</v>
      </c>
      <c r="AA39" s="66">
        <f t="shared" si="12"/>
        <v>0</v>
      </c>
      <c r="AB39" s="66">
        <f t="shared" si="12"/>
        <v>0</v>
      </c>
      <c r="AC39" s="66">
        <f t="shared" si="12"/>
        <v>0</v>
      </c>
      <c r="AD39" s="66">
        <f t="shared" si="12"/>
        <v>0</v>
      </c>
      <c r="AE39" s="66">
        <f t="shared" si="12"/>
        <v>0</v>
      </c>
      <c r="AF39" s="66">
        <f t="shared" si="12"/>
        <v>0</v>
      </c>
      <c r="AG39" s="66">
        <f t="shared" si="12"/>
        <v>0</v>
      </c>
      <c r="AH39" s="66">
        <f t="shared" si="12"/>
        <v>0</v>
      </c>
    </row>
    <row r="40" spans="1:34">
      <c r="B40" s="1" t="s">
        <v>172</v>
      </c>
      <c r="C40" s="54" t="s">
        <v>153</v>
      </c>
      <c r="D40" s="66">
        <f>D12+D24+D30+D20+D34</f>
        <v>0</v>
      </c>
      <c r="E40" s="66">
        <f t="shared" ref="E40:AH40" si="13">E12+E24+E30+E20+E34</f>
        <v>0</v>
      </c>
      <c r="F40" s="66">
        <f t="shared" si="13"/>
        <v>0</v>
      </c>
      <c r="G40" s="66">
        <f t="shared" si="13"/>
        <v>0</v>
      </c>
      <c r="H40" s="66">
        <f t="shared" si="13"/>
        <v>0</v>
      </c>
      <c r="I40" s="66">
        <f t="shared" si="13"/>
        <v>0</v>
      </c>
      <c r="J40" s="66">
        <f t="shared" si="13"/>
        <v>0</v>
      </c>
      <c r="K40" s="66">
        <f t="shared" si="13"/>
        <v>0</v>
      </c>
      <c r="L40" s="66">
        <f t="shared" si="13"/>
        <v>0</v>
      </c>
      <c r="M40" s="66">
        <f t="shared" si="13"/>
        <v>0</v>
      </c>
      <c r="N40" s="66">
        <f t="shared" si="13"/>
        <v>0</v>
      </c>
      <c r="O40" s="66">
        <f t="shared" si="13"/>
        <v>0</v>
      </c>
      <c r="P40" s="66">
        <f t="shared" si="13"/>
        <v>0</v>
      </c>
      <c r="Q40" s="66">
        <f t="shared" si="13"/>
        <v>0</v>
      </c>
      <c r="R40" s="66">
        <f t="shared" si="13"/>
        <v>0</v>
      </c>
      <c r="S40" s="66">
        <f t="shared" si="13"/>
        <v>0</v>
      </c>
      <c r="T40" s="66">
        <f t="shared" si="13"/>
        <v>0</v>
      </c>
      <c r="U40" s="66">
        <f t="shared" si="13"/>
        <v>0</v>
      </c>
      <c r="V40" s="66">
        <f t="shared" si="13"/>
        <v>0</v>
      </c>
      <c r="W40" s="66">
        <f t="shared" si="13"/>
        <v>0</v>
      </c>
      <c r="X40" s="66">
        <f t="shared" si="13"/>
        <v>0</v>
      </c>
      <c r="Y40" s="66">
        <f t="shared" si="13"/>
        <v>0</v>
      </c>
      <c r="Z40" s="66">
        <f t="shared" si="13"/>
        <v>0</v>
      </c>
      <c r="AA40" s="66">
        <f t="shared" si="13"/>
        <v>0</v>
      </c>
      <c r="AB40" s="66">
        <f t="shared" si="13"/>
        <v>0</v>
      </c>
      <c r="AC40" s="66">
        <f t="shared" si="13"/>
        <v>0</v>
      </c>
      <c r="AD40" s="66">
        <f t="shared" si="13"/>
        <v>0</v>
      </c>
      <c r="AE40" s="66">
        <f t="shared" si="13"/>
        <v>0</v>
      </c>
      <c r="AF40" s="66">
        <f t="shared" si="13"/>
        <v>0</v>
      </c>
      <c r="AG40" s="66">
        <f t="shared" si="13"/>
        <v>0</v>
      </c>
      <c r="AH40" s="66">
        <f t="shared" si="13"/>
        <v>0</v>
      </c>
    </row>
    <row r="41" spans="1:34">
      <c r="B41" s="1" t="s">
        <v>214</v>
      </c>
      <c r="C41" s="54" t="s">
        <v>153</v>
      </c>
      <c r="D41" s="66">
        <f>D38+D7</f>
        <v>0</v>
      </c>
      <c r="E41" s="66">
        <f t="shared" ref="E41:AH41" si="14">E38+E7</f>
        <v>1.7934301886620489E-2</v>
      </c>
      <c r="F41" s="66">
        <f t="shared" si="14"/>
        <v>3.6478370037386069E-2</v>
      </c>
      <c r="G41" s="66">
        <f t="shared" si="14"/>
        <v>5.5647753492032444E-2</v>
      </c>
      <c r="H41" s="66">
        <f t="shared" si="14"/>
        <v>7.5458353735195993E-2</v>
      </c>
      <c r="I41" s="66">
        <f t="shared" si="14"/>
        <v>9.5926432185867883E-2</v>
      </c>
      <c r="J41" s="66">
        <f t="shared" si="14"/>
        <v>0.11706861783963314</v>
      </c>
      <c r="K41" s="66">
        <f t="shared" si="14"/>
        <v>0.13890191506672472</v>
      </c>
      <c r="L41" s="66">
        <f t="shared" si="14"/>
        <v>0.16144371156898177</v>
      </c>
      <c r="M41" s="66">
        <f t="shared" si="14"/>
        <v>0.18471178649886127</v>
      </c>
      <c r="N41" s="66">
        <f t="shared" si="14"/>
        <v>0.20872431874371319</v>
      </c>
      <c r="O41" s="66">
        <f t="shared" si="14"/>
        <v>0.2971816850272988</v>
      </c>
      <c r="P41" s="66">
        <f t="shared" si="14"/>
        <v>0.38858628043640936</v>
      </c>
      <c r="Q41" s="66">
        <f t="shared" si="14"/>
        <v>0.48301274658245696</v>
      </c>
      <c r="R41" s="66">
        <f t="shared" si="14"/>
        <v>0.58053741114242374</v>
      </c>
      <c r="S41" s="66">
        <f t="shared" si="14"/>
        <v>0.68123832361366732</v>
      </c>
      <c r="T41" s="66">
        <f t="shared" si="14"/>
        <v>0.78519529179711289</v>
      </c>
      <c r="U41" s="66">
        <f t="shared" si="14"/>
        <v>0.89248991902327113</v>
      </c>
      <c r="V41" s="66">
        <f t="shared" si="14"/>
        <v>1.0032056421357896</v>
      </c>
      <c r="W41" s="66">
        <f t="shared" si="14"/>
        <v>1.1174277702475355</v>
      </c>
      <c r="X41" s="66">
        <f t="shared" si="14"/>
        <v>1.2352435242845037</v>
      </c>
      <c r="Y41" s="66">
        <f t="shared" si="14"/>
        <v>1.3818669306170743</v>
      </c>
      <c r="Z41" s="66">
        <f t="shared" si="14"/>
        <v>1.5331185473864337</v>
      </c>
      <c r="AA41" s="66">
        <f t="shared" si="14"/>
        <v>1.6891133595830032</v>
      </c>
      <c r="AB41" s="66">
        <f t="shared" si="14"/>
        <v>1.8499689241340611</v>
      </c>
      <c r="AC41" s="66">
        <f t="shared" si="14"/>
        <v>2.0158054241189363</v>
      </c>
      <c r="AD41" s="66">
        <f t="shared" si="14"/>
        <v>2.1867457240842216</v>
      </c>
      <c r="AE41" s="66">
        <f t="shared" si="14"/>
        <v>2.3629154264807566</v>
      </c>
      <c r="AF41" s="66">
        <f t="shared" si="14"/>
        <v>2.544442929244513</v>
      </c>
      <c r="AG41" s="66">
        <f t="shared" si="14"/>
        <v>2.7314594845439841</v>
      </c>
      <c r="AH41" s="66">
        <f t="shared" si="14"/>
        <v>2.924099258717086</v>
      </c>
    </row>
    <row r="42" spans="1:34" s="69" customFormat="1">
      <c r="A42" s="69" t="s">
        <v>389</v>
      </c>
      <c r="C42" s="70" t="s">
        <v>153</v>
      </c>
      <c r="D42" s="71">
        <f>D4+D41-D39-D40</f>
        <v>111.92307692307692</v>
      </c>
      <c r="E42" s="71">
        <f t="shared" ref="E42:AG42" si="15">E4+E41-E39-E40</f>
        <v>114.15903327302965</v>
      </c>
      <c r="F42" s="71">
        <f t="shared" si="15"/>
        <v>116.43955477307757</v>
      </c>
      <c r="G42" s="71">
        <f t="shared" si="15"/>
        <v>118.76552805276636</v>
      </c>
      <c r="H42" s="71">
        <f t="shared" si="15"/>
        <v>121.13785735661915</v>
      </c>
      <c r="I42" s="71">
        <f t="shared" si="15"/>
        <v>123.55746489372432</v>
      </c>
      <c r="J42" s="71">
        <f t="shared" si="15"/>
        <v>125.80457246851238</v>
      </c>
      <c r="K42" s="71">
        <f t="shared" si="15"/>
        <v>128.09250447878472</v>
      </c>
      <c r="L42" s="71">
        <f t="shared" si="15"/>
        <v>130.4220019010717</v>
      </c>
      <c r="M42" s="71">
        <f t="shared" si="15"/>
        <v>132.79381914939032</v>
      </c>
      <c r="N42" s="71">
        <f t="shared" si="15"/>
        <v>135.20872431874372</v>
      </c>
      <c r="O42" s="71">
        <f t="shared" si="15"/>
        <v>136.52465640993734</v>
      </c>
      <c r="P42" s="71">
        <f t="shared" si="15"/>
        <v>137.85469642803642</v>
      </c>
      <c r="Q42" s="71">
        <f t="shared" si="15"/>
        <v>139.19902049224081</v>
      </c>
      <c r="R42" s="71">
        <f t="shared" si="15"/>
        <v>140.55780733049127</v>
      </c>
      <c r="S42" s="71">
        <f t="shared" si="15"/>
        <v>141.93123832361366</v>
      </c>
      <c r="T42" s="71">
        <f t="shared" si="15"/>
        <v>143.26364115633211</v>
      </c>
      <c r="U42" s="71">
        <f t="shared" si="15"/>
        <v>144.61006539493991</v>
      </c>
      <c r="V42" s="71">
        <f t="shared" si="15"/>
        <v>145.97068739241976</v>
      </c>
      <c r="W42" s="71">
        <f t="shared" si="15"/>
        <v>147.34568618211159</v>
      </c>
      <c r="X42" s="71">
        <f t="shared" si="15"/>
        <v>148.7352435242845</v>
      </c>
      <c r="Y42" s="71">
        <f t="shared" si="15"/>
        <v>150.11120364935081</v>
      </c>
      <c r="Z42" s="71">
        <f t="shared" si="15"/>
        <v>151.50203787480666</v>
      </c>
      <c r="AA42" s="71">
        <f t="shared" si="15"/>
        <v>152.90794657987112</v>
      </c>
      <c r="AB42" s="71">
        <f t="shared" si="15"/>
        <v>154.32913342741728</v>
      </c>
      <c r="AC42" s="71">
        <f t="shared" si="15"/>
        <v>155.76580542411892</v>
      </c>
      <c r="AD42" s="71">
        <f t="shared" si="15"/>
        <v>157.16690257326317</v>
      </c>
      <c r="AE42" s="71">
        <f t="shared" si="15"/>
        <v>158.58307163458551</v>
      </c>
      <c r="AF42" s="71">
        <f t="shared" si="15"/>
        <v>160.01451975614083</v>
      </c>
      <c r="AG42" s="71">
        <f t="shared" si="15"/>
        <v>161.4614575702978</v>
      </c>
      <c r="AH42" s="71">
        <f>AH4+AH41-AH39-AH40</f>
        <v>162.92409925871709</v>
      </c>
    </row>
    <row r="43" spans="1:34" s="67" customFormat="1">
      <c r="A43" s="58" t="s">
        <v>216</v>
      </c>
      <c r="B43" s="58" t="s">
        <v>197</v>
      </c>
      <c r="C43" s="100" t="s">
        <v>153</v>
      </c>
      <c r="D43" s="101">
        <f t="shared" ref="D43" si="16">D21</f>
        <v>46.844581662413418</v>
      </c>
      <c r="E43" s="101">
        <f t="shared" ref="E43:AH43" si="17">E21</f>
        <v>47.500405805687208</v>
      </c>
      <c r="F43" s="101">
        <f t="shared" si="17"/>
        <v>48.165411486966832</v>
      </c>
      <c r="G43" s="101">
        <f t="shared" si="17"/>
        <v>48.839727247784367</v>
      </c>
      <c r="H43" s="101">
        <f t="shared" si="17"/>
        <v>49.523483429253346</v>
      </c>
      <c r="I43" s="101">
        <f t="shared" si="17"/>
        <v>50.216812197262897</v>
      </c>
      <c r="J43" s="101">
        <f t="shared" si="17"/>
        <v>50.919847568024579</v>
      </c>
      <c r="K43" s="101">
        <f t="shared" si="17"/>
        <v>51.632725433976923</v>
      </c>
      <c r="L43" s="101">
        <f t="shared" si="17"/>
        <v>52.355583590052603</v>
      </c>
      <c r="M43" s="101">
        <f t="shared" si="17"/>
        <v>53.08856176031334</v>
      </c>
      <c r="N43" s="101">
        <f t="shared" si="17"/>
        <v>53.831801624957727</v>
      </c>
      <c r="O43" s="101">
        <f t="shared" si="17"/>
        <v>54.585446847707139</v>
      </c>
      <c r="P43" s="101">
        <f t="shared" si="17"/>
        <v>55.34964310357504</v>
      </c>
      <c r="Q43" s="101">
        <f t="shared" si="17"/>
        <v>56.124538107025089</v>
      </c>
      <c r="R43" s="101">
        <f t="shared" si="17"/>
        <v>56.910281640523444</v>
      </c>
      <c r="S43" s="101">
        <f t="shared" si="17"/>
        <v>57.707025583490775</v>
      </c>
      <c r="T43" s="101">
        <f t="shared" si="17"/>
        <v>58.514923941659646</v>
      </c>
      <c r="U43" s="101">
        <f t="shared" si="17"/>
        <v>59.33413287684288</v>
      </c>
      <c r="V43" s="101">
        <f t="shared" si="17"/>
        <v>60.164810737118678</v>
      </c>
      <c r="W43" s="101">
        <f t="shared" si="17"/>
        <v>61.007118087438343</v>
      </c>
      <c r="X43" s="101">
        <f t="shared" si="17"/>
        <v>61.861217740662482</v>
      </c>
      <c r="Y43" s="101">
        <f t="shared" si="17"/>
        <v>62.72727478903176</v>
      </c>
      <c r="Z43" s="101">
        <f t="shared" si="17"/>
        <v>63.605456636078209</v>
      </c>
      <c r="AA43" s="101">
        <f t="shared" si="17"/>
        <v>64.495933028983302</v>
      </c>
      <c r="AB43" s="101">
        <f t="shared" si="17"/>
        <v>65.39887609138907</v>
      </c>
      <c r="AC43" s="101">
        <f t="shared" si="17"/>
        <v>66.314460356668519</v>
      </c>
      <c r="AD43" s="101">
        <f t="shared" si="17"/>
        <v>67.242862801661886</v>
      </c>
      <c r="AE43" s="101">
        <f t="shared" si="17"/>
        <v>68.184262880885157</v>
      </c>
      <c r="AF43" s="101">
        <f t="shared" si="17"/>
        <v>69.138842561217544</v>
      </c>
      <c r="AG43" s="101">
        <f t="shared" si="17"/>
        <v>70.106786357074597</v>
      </c>
      <c r="AH43" s="101">
        <f t="shared" si="17"/>
        <v>71.088281366073645</v>
      </c>
    </row>
    <row r="44" spans="1:34" outlineLevel="1">
      <c r="A44"/>
      <c r="B44" t="s">
        <v>217</v>
      </c>
      <c r="C44" s="54" t="s">
        <v>153</v>
      </c>
      <c r="D44" s="44">
        <f>0</f>
        <v>0</v>
      </c>
      <c r="E44" s="44">
        <f>'Propylene Recycling LC'!D59*'Propylene Recycling LC'!D45-'Propylene Recycling LC'!$C$59*'Propylene Recycling LC'!$C$45</f>
        <v>0.11946470736886272</v>
      </c>
      <c r="F44" s="44">
        <f>'Propylene Recycling LC'!E59*'Propylene Recycling LC'!E45-'Propylene Recycling LC'!$C$59*'Propylene Recycling LC'!$C$45</f>
        <v>0.2463018214115601</v>
      </c>
      <c r="G44" s="44">
        <f>'Propylene Recycling LC'!F59*'Propylene Recycling LC'!F45-'Propylene Recycling LC'!$C$59*'Propylene Recycling LC'!$C$45</f>
        <v>0.38011046480142296</v>
      </c>
      <c r="H44" s="44">
        <f>'Propylene Recycling LC'!G59*'Propylene Recycling LC'!G45-'Propylene Recycling LC'!$C$59*'Propylene Recycling LC'!$C$45</f>
        <v>0.52038528045259758</v>
      </c>
      <c r="I44" s="44">
        <f>'Propylene Recycling LC'!H59*'Propylene Recycling LC'!H45-'Propylene Recycling LC'!$C$59*'Propylene Recycling LC'!$C$45</f>
        <v>0.666517172391771</v>
      </c>
      <c r="J44" s="44">
        <f>'Propylene Recycling LC'!I59*'Propylene Recycling LC'!I45-'Propylene Recycling LC'!$C$59*'Propylene Recycling LC'!$C$45</f>
        <v>0.82150714900122035</v>
      </c>
      <c r="K44" s="44">
        <f>'Propylene Recycling LC'!J59*'Propylene Recycling LC'!J45-'Propylene Recycling LC'!$C$59*'Propylene Recycling LC'!$C$45</f>
        <v>0.98557702218742727</v>
      </c>
      <c r="L44" s="44">
        <f>'Propylene Recycling LC'!K59*'Propylene Recycling LC'!K45-'Propylene Recycling LC'!$C$59*'Propylene Recycling LC'!$C$45</f>
        <v>1.1589384457189569</v>
      </c>
      <c r="M44" s="44">
        <f>'Propylene Recycling LC'!L59*'Propylene Recycling LC'!L45-'Propylene Recycling LC'!$C$59*'Propylene Recycling LC'!$C$45</f>
        <v>1.3417919060723156</v>
      </c>
      <c r="N44" s="44">
        <f>'Propylene Recycling LC'!M59*'Propylene Recycling LC'!M45-'Propylene Recycling LC'!$C$59*'Propylene Recycling LC'!$C$45</f>
        <v>1.5343257105676789</v>
      </c>
      <c r="O44" s="44">
        <f>'Propylene Recycling LC'!N59*'Propylene Recycling LC'!N45-'Propylene Recycling LC'!$C$59*'Propylene Recycling LC'!$C$45</f>
        <v>1.8259142460646993</v>
      </c>
      <c r="P44" s="44">
        <f>'Propylene Recycling LC'!O59*'Propylene Recycling LC'!O45-'Propylene Recycling LC'!$C$59*'Propylene Recycling LC'!$C$45</f>
        <v>2.1297231112026274</v>
      </c>
      <c r="Q44" s="44">
        <f>'Propylene Recycling LC'!P59*'Propylene Recycling LC'!P45-'Propylene Recycling LC'!$C$59*'Propylene Recycling LC'!$C$45</f>
        <v>2.4446257689467852</v>
      </c>
      <c r="R44" s="44">
        <f>'Propylene Recycling LC'!Q59*'Propylene Recycling LC'!Q45-'Propylene Recycling LC'!$C$59*'Propylene Recycling LC'!$C$45</f>
        <v>2.769347526942743</v>
      </c>
      <c r="S44" s="44">
        <f>'Propylene Recycling LC'!R59*'Propylene Recycling LC'!R45-'Propylene Recycling LC'!$C$59*'Propylene Recycling LC'!$C$45</f>
        <v>3.1024723538833849</v>
      </c>
      <c r="T44" s="44">
        <f>'Propylene Recycling LC'!S59*'Propylene Recycling LC'!S45-'Propylene Recycling LC'!$C$59*'Propylene Recycling LC'!$C$45</f>
        <v>3.4502797905854004</v>
      </c>
      <c r="U44" s="44">
        <f>'Propylene Recycling LC'!T59*'Propylene Recycling LC'!T45-'Propylene Recycling LC'!$C$59*'Propylene Recycling LC'!$C$45</f>
        <v>3.8130293681331202</v>
      </c>
      <c r="V44" s="44">
        <f>'Propylene Recycling LC'!U59*'Propylene Recycling LC'!U45-'Propylene Recycling LC'!$C$59*'Propylene Recycling LC'!$C$45</f>
        <v>4.1909776798854859</v>
      </c>
      <c r="W44" s="44">
        <f>'Propylene Recycling LC'!V59*'Propylene Recycling LC'!V45-'Propylene Recycling LC'!$C$59*'Propylene Recycling LC'!$C$45</f>
        <v>4.5843781410564732</v>
      </c>
      <c r="X44" s="44">
        <f>'Propylene Recycling LC'!W59*'Propylene Recycling LC'!W45-'Propylene Recycling LC'!$C$59*'Propylene Recycling LC'!$C$45</f>
        <v>4.9934807464044404</v>
      </c>
      <c r="Y44" s="44">
        <f>'Propylene Recycling LC'!X59*'Propylene Recycling LC'!X45-'Propylene Recycling LC'!$C$59*'Propylene Recycling LC'!$C$45</f>
        <v>5.6223855862168985</v>
      </c>
      <c r="Z44" s="44">
        <f>'Propylene Recycling LC'!Y59*'Propylene Recycling LC'!Y45-'Propylene Recycling LC'!$C$59*'Propylene Recycling LC'!$C$45</f>
        <v>6.278550491668236</v>
      </c>
      <c r="AA44" s="44">
        <f>'Propylene Recycling LC'!Z59*'Propylene Recycling LC'!Z45-'Propylene Recycling LC'!$C$59*'Propylene Recycling LC'!$C$45</f>
        <v>6.9624351148119521</v>
      </c>
      <c r="AB44" s="44">
        <f>'Propylene Recycling LC'!AA59*'Propylene Recycling LC'!AA45-'Propylene Recycling LC'!$C$59*'Propylene Recycling LC'!$C$45</f>
        <v>7.6744940857317685</v>
      </c>
      <c r="AC44" s="44">
        <f>'Propylene Recycling LC'!AB59*'Propylene Recycling LC'!AB45-'Propylene Recycling LC'!$C$59*'Propylene Recycling LC'!$C$45</f>
        <v>8.4151766285016656</v>
      </c>
      <c r="AD44" s="44">
        <f>'Propylene Recycling LC'!AC59*'Propylene Recycling LC'!AC45-'Propylene Recycling LC'!$C$59*'Propylene Recycling LC'!$C$45</f>
        <v>9.185021542701838</v>
      </c>
      <c r="AE44" s="44">
        <f>'Propylene Recycling LC'!AD59*'Propylene Recycling LC'!AD45-'Propylene Recycling LC'!$C$59*'Propylene Recycling LC'!$C$45</f>
        <v>9.9844888858168233</v>
      </c>
      <c r="AF44" s="44">
        <f>'Propylene Recycling LC'!AE59*'Propylene Recycling LC'!AE45-'Propylene Recycling LC'!$C$59*'Propylene Recycling LC'!$C$45</f>
        <v>10.814033885617699</v>
      </c>
      <c r="AG44" s="44">
        <f>'Propylene Recycling LC'!AF59*'Propylene Recycling LC'!AF45-'Propylene Recycling LC'!$C$59*'Propylene Recycling LC'!$C$45</f>
        <v>11.674106592076285</v>
      </c>
      <c r="AH44" s="44">
        <f>'Propylene Recycling LC'!AG59*'Propylene Recycling LC'!AG45-'Propylene Recycling LC'!$C$59*'Propylene Recycling LC'!$C$45</f>
        <v>12.565151526917912</v>
      </c>
    </row>
    <row r="45" spans="1:34" outlineLevel="1">
      <c r="A45"/>
      <c r="B45" s="181" t="s">
        <v>218</v>
      </c>
      <c r="C45" s="54" t="s">
        <v>153</v>
      </c>
      <c r="D45" s="44">
        <f>0</f>
        <v>0</v>
      </c>
      <c r="E45" s="44">
        <f>'Propylene Recycling LC'!D77*'Propylene Recycling LC'!D46-'Propylene Recycling LC'!$C$77*'Propylene Recycling LC'!$C$46</f>
        <v>8.4766627042845988E-3</v>
      </c>
      <c r="F45" s="44">
        <f>'Propylene Recycling LC'!E77*'Propylene Recycling LC'!E46-'Propylene Recycling LC'!$C$77*'Propylene Recycling LC'!$C$46</f>
        <v>1.6866112136104755E-2</v>
      </c>
      <c r="G45" s="44">
        <f>'Propylene Recycling LC'!F77*'Propylene Recycling LC'!F46-'Propylene Recycling LC'!$C$77*'Propylene Recycling LC'!$C$46</f>
        <v>2.5082283308704337E-2</v>
      </c>
      <c r="H45" s="44">
        <f>'Propylene Recycling LC'!G77*'Propylene Recycling LC'!G46-'Propylene Recycling LC'!$C$77*'Propylene Recycling LC'!$C$46</f>
        <v>3.3039416846912639E-2</v>
      </c>
      <c r="I45" s="44">
        <f>'Propylene Recycling LC'!H77*'Propylene Recycling LC'!H46-'Propylene Recycling LC'!$C$77*'Propylene Recycling LC'!$C$46</f>
        <v>4.0653392285547915E-2</v>
      </c>
      <c r="J45" s="44">
        <f>'Propylene Recycling LC'!I77*'Propylene Recycling LC'!I46-'Propylene Recycling LC'!$C$77*'Propylene Recycling LC'!$C$46</f>
        <v>4.8017670310260552E-2</v>
      </c>
      <c r="K45" s="44">
        <f>'Propylene Recycling LC'!J77*'Propylene Recycling LC'!J46-'Propylene Recycling LC'!$C$77*'Propylene Recycling LC'!$C$46</f>
        <v>5.5099673442833105E-2</v>
      </c>
      <c r="L45" s="44">
        <f>'Propylene Recycling LC'!K77*'Propylene Recycling LC'!K46-'Propylene Recycling LC'!$C$77*'Propylene Recycling LC'!$C$46</f>
        <v>6.1866521107908523E-2</v>
      </c>
      <c r="M45" s="44">
        <f>'Propylene Recycling LC'!L77*'Propylene Recycling LC'!L46-'Propylene Recycling LC'!$C$77*'Propylene Recycling LC'!$C$46</f>
        <v>6.8285124876461337E-2</v>
      </c>
      <c r="N45" s="44">
        <f>'Propylene Recycling LC'!M77*'Propylene Recycling LC'!M46-'Propylene Recycling LC'!$C$77*'Propylene Recycling LC'!$C$46</f>
        <v>7.4322287249026814E-2</v>
      </c>
      <c r="O45" s="44">
        <f>'Propylene Recycling LC'!N77*'Propylene Recycling LC'!N46-'Propylene Recycling LC'!$C$77*'Propylene Recycling LC'!$C$46</f>
        <v>8.8120334551746657E-2</v>
      </c>
      <c r="P45" s="44">
        <f>'Propylene Recycling LC'!O77*'Propylene Recycling LC'!O46-'Propylene Recycling LC'!$C$77*'Propylene Recycling LC'!$C$46</f>
        <v>0.10091347077456383</v>
      </c>
      <c r="Q45" s="44">
        <f>'Propylene Recycling LC'!P77*'Propylene Recycling LC'!P46-'Propylene Recycling LC'!$C$77*'Propylene Recycling LC'!$C$46</f>
        <v>0.11287594921909222</v>
      </c>
      <c r="R45" s="44">
        <f>'Propylene Recycling LC'!Q77*'Propylene Recycling LC'!Q46-'Propylene Recycling LC'!$C$77*'Propylene Recycling LC'!$C$46</f>
        <v>0.12365102067575534</v>
      </c>
      <c r="S45" s="44">
        <f>'Propylene Recycling LC'!R77*'Propylene Recycling LC'!R46-'Propylene Recycling LC'!$C$77*'Propylene Recycling LC'!$C$46</f>
        <v>0.13313491848816728</v>
      </c>
      <c r="T45" s="44">
        <f>'Propylene Recycling LC'!S77*'Propylene Recycling LC'!S46-'Propylene Recycling LC'!$C$77*'Propylene Recycling LC'!$C$46</f>
        <v>0.14154991857397695</v>
      </c>
      <c r="U45" s="44">
        <f>'Propylene Recycling LC'!T77*'Propylene Recycling LC'!T46-'Propylene Recycling LC'!$C$77*'Propylene Recycling LC'!$C$46</f>
        <v>0.14885579515062208</v>
      </c>
      <c r="V45" s="44">
        <f>'Propylene Recycling LC'!U77*'Propylene Recycling LC'!U46-'Propylene Recycling LC'!$C$77*'Propylene Recycling LC'!$C$46</f>
        <v>0.15501227054805269</v>
      </c>
      <c r="W45" s="44">
        <f>'Propylene Recycling LC'!V77*'Propylene Recycling LC'!V46-'Propylene Recycling LC'!$C$77*'Propylene Recycling LC'!$C$46</f>
        <v>0.15997904695760512</v>
      </c>
      <c r="X45" s="44">
        <f>'Propylene Recycling LC'!W77*'Propylene Recycling LC'!W46-'Propylene Recycling LC'!$C$77*'Propylene Recycling LC'!$C$46</f>
        <v>0.16371583874628687</v>
      </c>
      <c r="Y45" s="44">
        <f>'Propylene Recycling LC'!X77*'Propylene Recycling LC'!X46-'Propylene Recycling LC'!$C$77*'Propylene Recycling LC'!$C$46</f>
        <v>0.17378914392030648</v>
      </c>
      <c r="Z45" s="44">
        <f>'Propylene Recycling LC'!Y77*'Propylene Recycling LC'!Y46-'Propylene Recycling LC'!$C$77*'Propylene Recycling LC'!$C$46</f>
        <v>0.18182221820456881</v>
      </c>
      <c r="AA45" s="44">
        <f>'Propylene Recycling LC'!Z77*'Propylene Recycling LC'!Z46-'Propylene Recycling LC'!$C$77*'Propylene Recycling LC'!$C$46</f>
        <v>0.1883964080683522</v>
      </c>
      <c r="AB45" s="44">
        <f>'Propylene Recycling LC'!AA77*'Propylene Recycling LC'!AA46-'Propylene Recycling LC'!$C$77*'Propylene Recycling LC'!$C$46</f>
        <v>0.19281602299187794</v>
      </c>
      <c r="AC45" s="44">
        <f>'Propylene Recycling LC'!AB77*'Propylene Recycling LC'!AB46-'Propylene Recycling LC'!$C$77*'Propylene Recycling LC'!$C$46</f>
        <v>0.19499448153818258</v>
      </c>
      <c r="AD45" s="44">
        <f>'Propylene Recycling LC'!AC77*'Propylene Recycling LC'!AC46-'Propylene Recycling LC'!$C$77*'Propylene Recycling LC'!$C$46</f>
        <v>0.19484685714731897</v>
      </c>
      <c r="AE45" s="44">
        <f>'Propylene Recycling LC'!AD77*'Propylene Recycling LC'!AD46-'Propylene Recycling LC'!$C$77*'Propylene Recycling LC'!$C$46</f>
        <v>0.1922855579223931</v>
      </c>
      <c r="AF45" s="44">
        <f>'Propylene Recycling LC'!AE77*'Propylene Recycling LC'!AE46-'Propylene Recycling LC'!$C$77*'Propylene Recycling LC'!$C$46</f>
        <v>0.18722247032063646</v>
      </c>
      <c r="AG45" s="44">
        <f>'Propylene Recycling LC'!AF77*'Propylene Recycling LC'!AF46-'Propylene Recycling LC'!$C$77*'Propylene Recycling LC'!$C$46</f>
        <v>0.17956901297599465</v>
      </c>
      <c r="AH45" s="44">
        <f>'Propylene Recycling LC'!AG77*'Propylene Recycling LC'!AG46-'Propylene Recycling LC'!$C$77*'Propylene Recycling LC'!$C$46</f>
        <v>0.16923619185281971</v>
      </c>
    </row>
    <row r="46" spans="1:34" s="68" customFormat="1">
      <c r="A46" s="62"/>
      <c r="B46" s="62" t="s">
        <v>219</v>
      </c>
      <c r="C46" s="63" t="s">
        <v>153</v>
      </c>
      <c r="D46" s="64">
        <f>D43-D44-D45</f>
        <v>46.844581662413418</v>
      </c>
      <c r="E46" s="64">
        <f t="shared" ref="E46:AH46" si="18">E43-E44-E45</f>
        <v>47.372464435614063</v>
      </c>
      <c r="F46" s="64">
        <f t="shared" si="18"/>
        <v>47.902243553419162</v>
      </c>
      <c r="G46" s="64">
        <f t="shared" si="18"/>
        <v>48.434534499674236</v>
      </c>
      <c r="H46" s="64">
        <f t="shared" si="18"/>
        <v>48.970058731953834</v>
      </c>
      <c r="I46" s="64">
        <f t="shared" si="18"/>
        <v>49.509641632585577</v>
      </c>
      <c r="J46" s="64">
        <f t="shared" si="18"/>
        <v>50.0503227487131</v>
      </c>
      <c r="K46" s="64">
        <f t="shared" si="18"/>
        <v>50.592048738346662</v>
      </c>
      <c r="L46" s="64">
        <f t="shared" si="18"/>
        <v>51.134778623225735</v>
      </c>
      <c r="M46" s="64">
        <f t="shared" si="18"/>
        <v>51.678484729364563</v>
      </c>
      <c r="N46" s="64">
        <f t="shared" si="18"/>
        <v>52.223153627141023</v>
      </c>
      <c r="O46" s="64">
        <f t="shared" si="18"/>
        <v>52.671412267090695</v>
      </c>
      <c r="P46" s="64">
        <f t="shared" si="18"/>
        <v>53.119006521597846</v>
      </c>
      <c r="Q46" s="64">
        <f t="shared" si="18"/>
        <v>53.567036388859208</v>
      </c>
      <c r="R46" s="64">
        <f t="shared" si="18"/>
        <v>54.01728309290494</v>
      </c>
      <c r="S46" s="64">
        <f t="shared" si="18"/>
        <v>54.471418311119223</v>
      </c>
      <c r="T46" s="64">
        <f t="shared" si="18"/>
        <v>54.923094232500269</v>
      </c>
      <c r="U46" s="64">
        <f t="shared" si="18"/>
        <v>55.372247713559133</v>
      </c>
      <c r="V46" s="64">
        <f t="shared" si="18"/>
        <v>55.818820786685137</v>
      </c>
      <c r="W46" s="64">
        <f t="shared" si="18"/>
        <v>56.262760899424265</v>
      </c>
      <c r="X46" s="64">
        <f t="shared" si="18"/>
        <v>56.704021155511754</v>
      </c>
      <c r="Y46" s="64">
        <f t="shared" si="18"/>
        <v>56.93110005889455</v>
      </c>
      <c r="Z46" s="64">
        <f t="shared" si="18"/>
        <v>57.145083926205409</v>
      </c>
      <c r="AA46" s="64">
        <f t="shared" si="18"/>
        <v>57.345101506102999</v>
      </c>
      <c r="AB46" s="64">
        <f t="shared" si="18"/>
        <v>57.531565982665427</v>
      </c>
      <c r="AC46" s="64">
        <f t="shared" si="18"/>
        <v>57.704289246628669</v>
      </c>
      <c r="AD46" s="64">
        <f t="shared" si="18"/>
        <v>57.862994401812728</v>
      </c>
      <c r="AE46" s="64">
        <f t="shared" si="18"/>
        <v>58.007488437145938</v>
      </c>
      <c r="AF46" s="64">
        <f t="shared" si="18"/>
        <v>58.137586205279213</v>
      </c>
      <c r="AG46" s="64">
        <f t="shared" si="18"/>
        <v>58.253110752022316</v>
      </c>
      <c r="AH46" s="64">
        <f t="shared" si="18"/>
        <v>58.353893647302911</v>
      </c>
    </row>
    <row r="47" spans="1:34" s="67" customFormat="1">
      <c r="A47" s="58" t="s">
        <v>220</v>
      </c>
      <c r="B47" s="58" t="s">
        <v>197</v>
      </c>
      <c r="C47" s="100" t="s">
        <v>153</v>
      </c>
      <c r="D47" s="101">
        <f>D13</f>
        <v>17.63451512942034</v>
      </c>
      <c r="E47" s="101">
        <f t="shared" ref="E47:AH47" si="19">E13</f>
        <v>17.952236188507104</v>
      </c>
      <c r="F47" s="101">
        <f t="shared" si="19"/>
        <v>18.275663388730418</v>
      </c>
      <c r="G47" s="101">
        <f t="shared" si="19"/>
        <v>18.604898917502844</v>
      </c>
      <c r="H47" s="101">
        <f t="shared" si="19"/>
        <v>18.94004678753419</v>
      </c>
      <c r="I47" s="101">
        <f t="shared" si="19"/>
        <v>19.28121286935944</v>
      </c>
      <c r="J47" s="101">
        <f t="shared" si="19"/>
        <v>19.628504924445153</v>
      </c>
      <c r="K47" s="101">
        <f t="shared" si="19"/>
        <v>19.98203263888454</v>
      </c>
      <c r="L47" s="101">
        <f t="shared" si="19"/>
        <v>20.341907657691699</v>
      </c>
      <c r="M47" s="101">
        <f t="shared" si="19"/>
        <v>20.708243619705666</v>
      </c>
      <c r="N47" s="101">
        <f t="shared" si="19"/>
        <v>21.081156193115028</v>
      </c>
      <c r="O47" s="101">
        <f t="shared" si="19"/>
        <v>21.524444901262925</v>
      </c>
      <c r="P47" s="101">
        <f t="shared" si="19"/>
        <v>21.976712971348043</v>
      </c>
      <c r="Q47" s="101">
        <f t="shared" si="19"/>
        <v>22.438137591239585</v>
      </c>
      <c r="R47" s="101">
        <f t="shared" si="19"/>
        <v>22.908899378158718</v>
      </c>
      <c r="S47" s="101">
        <f t="shared" si="19"/>
        <v>23.389182444069238</v>
      </c>
      <c r="T47" s="101">
        <f t="shared" si="19"/>
        <v>23.879174462300426</v>
      </c>
      <c r="U47" s="101">
        <f t="shared" si="19"/>
        <v>24.379066735425141</v>
      </c>
      <c r="V47" s="101">
        <f t="shared" si="19"/>
        <v>24.889054264416487</v>
      </c>
      <c r="W47" s="101">
        <f t="shared" si="19"/>
        <v>25.409335819107</v>
      </c>
      <c r="X47" s="101">
        <f t="shared" si="19"/>
        <v>25.940114009974575</v>
      </c>
      <c r="Y47" s="101">
        <f t="shared" si="19"/>
        <v>26.506720214563877</v>
      </c>
      <c r="Z47" s="101">
        <f t="shared" si="19"/>
        <v>27.085094337160328</v>
      </c>
      <c r="AA47" s="101">
        <f t="shared" si="19"/>
        <v>27.675472737783053</v>
      </c>
      <c r="AB47" s="101">
        <f t="shared" si="19"/>
        <v>28.278096411763507</v>
      </c>
      <c r="AC47" s="101">
        <f t="shared" si="19"/>
        <v>28.893211079038082</v>
      </c>
      <c r="AD47" s="101">
        <f t="shared" si="19"/>
        <v>29.521067275136989</v>
      </c>
      <c r="AE47" s="101">
        <f t="shared" si="19"/>
        <v>30.161920443901419</v>
      </c>
      <c r="AF47" s="101">
        <f t="shared" si="19"/>
        <v>30.816031031961323</v>
      </c>
      <c r="AG47" s="101">
        <f t="shared" si="19"/>
        <v>31.483664585006974</v>
      </c>
      <c r="AH47" s="101">
        <f t="shared" si="19"/>
        <v>32.165091845887943</v>
      </c>
    </row>
    <row r="48" spans="1:34" outlineLevel="1">
      <c r="A48"/>
      <c r="B48" t="s">
        <v>217</v>
      </c>
      <c r="C48" s="54" t="s">
        <v>153</v>
      </c>
      <c r="D48" s="44">
        <f>0</f>
        <v>0</v>
      </c>
      <c r="E48" s="44">
        <f>'Propylene Recycling LC'!D74*'Propylene Recycling LC'!D46-'Propylene Recycling LC'!$C$74*'Propylene Recycling LC'!$C$46</f>
        <v>1.6227898477090882E-2</v>
      </c>
      <c r="F48" s="44">
        <f>'Propylene Recycling LC'!E74*'Propylene Recycling LC'!E46-'Propylene Recycling LC'!$C$74*'Propylene Recycling LC'!$C$46</f>
        <v>3.7130770254623802E-2</v>
      </c>
      <c r="G48" s="44">
        <f>'Propylene Recycling LC'!F74*'Propylene Recycling LC'!F46-'Propylene Recycling LC'!$C$74*'Propylene Recycling LC'!$C$46</f>
        <v>6.2915283332907815E-2</v>
      </c>
      <c r="H48" s="44">
        <f>'Propylene Recycling LC'!G74*'Propylene Recycling LC'!G46-'Propylene Recycling LC'!$C$74*'Propylene Recycling LC'!$C$46</f>
        <v>9.3729169266802942E-2</v>
      </c>
      <c r="I48" s="44">
        <f>'Propylene Recycling LC'!H74*'Propylene Recycling LC'!H46-'Propylene Recycling LC'!$C$74*'Propylene Recycling LC'!$C$46</f>
        <v>0.12965554241839217</v>
      </c>
      <c r="J48" s="44">
        <f>'Propylene Recycling LC'!I74*'Propylene Recycling LC'!I46-'Propylene Recycling LC'!$C$74*'Propylene Recycling LC'!$C$46</f>
        <v>0.17112824836303306</v>
      </c>
      <c r="K48" s="44">
        <f>'Propylene Recycling LC'!J74*'Propylene Recycling LC'!J46-'Propylene Recycling LC'!$C$74*'Propylene Recycling LC'!$C$46</f>
        <v>0.21838956200023382</v>
      </c>
      <c r="L48" s="44">
        <f>'Propylene Recycling LC'!K74*'Propylene Recycling LC'!K46-'Propylene Recycling LC'!$C$74*'Propylene Recycling LC'!$C$46</f>
        <v>0.27167696343224379</v>
      </c>
      <c r="M48" s="44">
        <f>'Propylene Recycling LC'!L74*'Propylene Recycling LC'!L46-'Propylene Recycling LC'!$C$74*'Propylene Recycling LC'!$C$46</f>
        <v>0.33122222384627698</v>
      </c>
      <c r="N48" s="44">
        <f>'Propylene Recycling LC'!M74*'Propylene Recycling LC'!M46-'Propylene Recycling LC'!$C$74*'Propylene Recycling LC'!$C$46</f>
        <v>0.39725047977696948</v>
      </c>
      <c r="O48" s="44">
        <f>'Propylene Recycling LC'!N74*'Propylene Recycling LC'!N46-'Propylene Recycling LC'!$C$74*'Propylene Recycling LC'!$C$46</f>
        <v>0.50570570425462646</v>
      </c>
      <c r="P48" s="44">
        <f>'Propylene Recycling LC'!O74*'Propylene Recycling LC'!O46-'Propylene Recycling LC'!$C$74*'Propylene Recycling LC'!$C$46</f>
        <v>0.6262548249099954</v>
      </c>
      <c r="Q48" s="44">
        <f>'Propylene Recycling LC'!P74*'Propylene Recycling LC'!P46-'Propylene Recycling LC'!$C$74*'Propylene Recycling LC'!$C$46</f>
        <v>0.7602745544549061</v>
      </c>
      <c r="R48" s="44">
        <f>'Propylene Recycling LC'!Q74*'Propylene Recycling LC'!Q46-'Propylene Recycling LC'!$C$74*'Propylene Recycling LC'!$C$46</f>
        <v>0.90645454799188407</v>
      </c>
      <c r="S48" s="44">
        <f>'Propylene Recycling LC'!R74*'Propylene Recycling LC'!R46-'Propylene Recycling LC'!$C$74*'Propylene Recycling LC'!$C$46</f>
        <v>1.0644066217256229</v>
      </c>
      <c r="T48" s="44">
        <f>'Propylene Recycling LC'!S74*'Propylene Recycling LC'!S46-'Propylene Recycling LC'!$C$74*'Propylene Recycling LC'!$C$46</f>
        <v>1.2358702392180467</v>
      </c>
      <c r="U48" s="44">
        <f>'Propylene Recycling LC'!T74*'Propylene Recycling LC'!T46-'Propylene Recycling LC'!$C$74*'Propylene Recycling LC'!$C$46</f>
        <v>1.4211733451284876</v>
      </c>
      <c r="V48" s="44">
        <f>'Propylene Recycling LC'!U74*'Propylene Recycling LC'!U46-'Propylene Recycling LC'!$C$74*'Propylene Recycling LC'!$C$46</f>
        <v>1.6206420002528155</v>
      </c>
      <c r="W48" s="44">
        <f>'Propylene Recycling LC'!V74*'Propylene Recycling LC'!V46-'Propylene Recycling LC'!$C$74*'Propylene Recycling LC'!$C$46</f>
        <v>1.8346000881194227</v>
      </c>
      <c r="X48" s="44">
        <f>'Propylene Recycling LC'!W74*'Propylene Recycling LC'!W46-'Propylene Recycling LC'!$C$74*'Propylene Recycling LC'!$C$46</f>
        <v>2.0633690181466848</v>
      </c>
      <c r="Y48" s="44">
        <f>'Propylene Recycling LC'!X74*'Propylene Recycling LC'!X46-'Propylene Recycling LC'!$C$74*'Propylene Recycling LC'!$C$46</f>
        <v>2.3962565150780155</v>
      </c>
      <c r="Z48" s="44">
        <f>'Propylene Recycling LC'!Y74*'Propylene Recycling LC'!Y46-'Propylene Recycling LC'!$C$74*'Propylene Recycling LC'!$C$46</f>
        <v>2.7538142979299458</v>
      </c>
      <c r="AA48" s="44">
        <f>'Propylene Recycling LC'!Z74*'Propylene Recycling LC'!Z46-'Propylene Recycling LC'!$C$74*'Propylene Recycling LC'!$C$46</f>
        <v>3.1458626931262823</v>
      </c>
      <c r="AB48" s="44">
        <f>'Propylene Recycling LC'!AA74*'Propylene Recycling LC'!AA46-'Propylene Recycling LC'!$C$74*'Propylene Recycling LC'!$C$46</f>
        <v>3.5660205531720259</v>
      </c>
      <c r="AC48" s="44">
        <f>'Propylene Recycling LC'!AB74*'Propylene Recycling LC'!AB46-'Propylene Recycling LC'!$C$74*'Propylene Recycling LC'!$C$46</f>
        <v>4.0150394666990801</v>
      </c>
      <c r="AD48" s="44">
        <f>'Propylene Recycling LC'!AC74*'Propylene Recycling LC'!AC46-'Propylene Recycling LC'!$C$74*'Propylene Recycling LC'!$C$46</f>
        <v>4.4937135762951659</v>
      </c>
      <c r="AE48" s="44">
        <f>'Propylene Recycling LC'!AD74*'Propylene Recycling LC'!AD46-'Propylene Recycling LC'!$C$74*'Propylene Recycling LC'!$C$46</f>
        <v>5.0028080787011389</v>
      </c>
      <c r="AF48" s="44">
        <f>'Propylene Recycling LC'!AE74*'Propylene Recycling LC'!AE46-'Propylene Recycling LC'!$C$74*'Propylene Recycling LC'!$C$46</f>
        <v>5.5430886399675021</v>
      </c>
      <c r="AG48" s="44">
        <f>'Propylene Recycling LC'!AF74*'Propylene Recycling LC'!AF46-'Propylene Recycling LC'!$C$74*'Propylene Recycling LC'!$C$46</f>
        <v>6.1153208719009449</v>
      </c>
      <c r="AH48" s="44">
        <f>'Propylene Recycling LC'!AG74*'Propylene Recycling LC'!AG46-'Propylene Recycling LC'!$C$74*'Propylene Recycling LC'!$C$46</f>
        <v>6.7202697988580073</v>
      </c>
    </row>
    <row r="49" spans="1:34" s="68" customFormat="1">
      <c r="A49" s="62"/>
      <c r="B49" s="62" t="s">
        <v>219</v>
      </c>
      <c r="C49" s="63" t="s">
        <v>153</v>
      </c>
      <c r="D49" s="64">
        <f>D47-D48</f>
        <v>17.63451512942034</v>
      </c>
      <c r="E49" s="64">
        <f t="shared" ref="E49:AH49" si="20">E47-E48</f>
        <v>17.936008290030014</v>
      </c>
      <c r="F49" s="64">
        <f t="shared" si="20"/>
        <v>18.238532618475794</v>
      </c>
      <c r="G49" s="64">
        <f t="shared" si="20"/>
        <v>18.541983634169934</v>
      </c>
      <c r="H49" s="64">
        <f t="shared" si="20"/>
        <v>18.846317618267388</v>
      </c>
      <c r="I49" s="64">
        <f t="shared" si="20"/>
        <v>19.151557326941049</v>
      </c>
      <c r="J49" s="64">
        <f t="shared" si="20"/>
        <v>19.45737667608212</v>
      </c>
      <c r="K49" s="64">
        <f t="shared" si="20"/>
        <v>19.763643076884307</v>
      </c>
      <c r="L49" s="64">
        <f t="shared" si="20"/>
        <v>20.070230694259454</v>
      </c>
      <c r="M49" s="64">
        <f t="shared" si="20"/>
        <v>20.377021395859387</v>
      </c>
      <c r="N49" s="64">
        <f t="shared" si="20"/>
        <v>20.68390571333806</v>
      </c>
      <c r="O49" s="64">
        <f t="shared" si="20"/>
        <v>21.018739197008298</v>
      </c>
      <c r="P49" s="64">
        <f t="shared" si="20"/>
        <v>21.350458146438047</v>
      </c>
      <c r="Q49" s="64">
        <f t="shared" si="20"/>
        <v>21.677863036784679</v>
      </c>
      <c r="R49" s="64">
        <f t="shared" si="20"/>
        <v>22.002444830166834</v>
      </c>
      <c r="S49" s="64">
        <f t="shared" si="20"/>
        <v>22.324775822343614</v>
      </c>
      <c r="T49" s="64">
        <f t="shared" si="20"/>
        <v>22.643304223082378</v>
      </c>
      <c r="U49" s="64">
        <f t="shared" si="20"/>
        <v>22.957893390296654</v>
      </c>
      <c r="V49" s="64">
        <f t="shared" si="20"/>
        <v>23.268412264163672</v>
      </c>
      <c r="W49" s="64">
        <f t="shared" si="20"/>
        <v>23.574735730987577</v>
      </c>
      <c r="X49" s="64">
        <f t="shared" si="20"/>
        <v>23.876744991827891</v>
      </c>
      <c r="Y49" s="64">
        <f t="shared" si="20"/>
        <v>24.110463699485862</v>
      </c>
      <c r="Z49" s="64">
        <f t="shared" si="20"/>
        <v>24.331280039230382</v>
      </c>
      <c r="AA49" s="64">
        <f t="shared" si="20"/>
        <v>24.529610044656771</v>
      </c>
      <c r="AB49" s="64">
        <f t="shared" si="20"/>
        <v>24.712075858591479</v>
      </c>
      <c r="AC49" s="64">
        <f t="shared" si="20"/>
        <v>24.878171612339003</v>
      </c>
      <c r="AD49" s="64">
        <f t="shared" si="20"/>
        <v>25.027353698841821</v>
      </c>
      <c r="AE49" s="64">
        <f t="shared" si="20"/>
        <v>25.159112365200279</v>
      </c>
      <c r="AF49" s="64">
        <f t="shared" si="20"/>
        <v>25.272942391993823</v>
      </c>
      <c r="AG49" s="64">
        <f t="shared" si="20"/>
        <v>25.368343713106029</v>
      </c>
      <c r="AH49" s="64">
        <f t="shared" si="20"/>
        <v>25.444822047029938</v>
      </c>
    </row>
    <row r="50" spans="1:34" s="67" customFormat="1">
      <c r="A50" s="58" t="s">
        <v>221</v>
      </c>
      <c r="B50" s="58" t="s">
        <v>197</v>
      </c>
      <c r="C50" s="100" t="s">
        <v>153</v>
      </c>
      <c r="D50" s="101">
        <f>D31</f>
        <v>0</v>
      </c>
      <c r="E50" s="101">
        <f t="shared" ref="E50:AH50" si="21">E31</f>
        <v>0</v>
      </c>
      <c r="F50" s="101">
        <f t="shared" si="21"/>
        <v>0</v>
      </c>
      <c r="G50" s="101">
        <f t="shared" si="21"/>
        <v>0</v>
      </c>
      <c r="H50" s="101">
        <f t="shared" si="21"/>
        <v>0</v>
      </c>
      <c r="I50" s="101">
        <f t="shared" si="21"/>
        <v>0</v>
      </c>
      <c r="J50" s="101">
        <f t="shared" si="21"/>
        <v>0</v>
      </c>
      <c r="K50" s="101">
        <f t="shared" si="21"/>
        <v>0</v>
      </c>
      <c r="L50" s="101">
        <f t="shared" si="21"/>
        <v>0</v>
      </c>
      <c r="M50" s="101">
        <f t="shared" si="21"/>
        <v>0</v>
      </c>
      <c r="N50" s="101">
        <f t="shared" si="21"/>
        <v>0</v>
      </c>
      <c r="O50" s="101">
        <f t="shared" si="21"/>
        <v>0</v>
      </c>
      <c r="P50" s="101">
        <f t="shared" si="21"/>
        <v>0</v>
      </c>
      <c r="Q50" s="101">
        <f t="shared" si="21"/>
        <v>0</v>
      </c>
      <c r="R50" s="101">
        <f t="shared" si="21"/>
        <v>0</v>
      </c>
      <c r="S50" s="101">
        <f t="shared" si="21"/>
        <v>0</v>
      </c>
      <c r="T50" s="101">
        <f t="shared" si="21"/>
        <v>0</v>
      </c>
      <c r="U50" s="101">
        <f t="shared" si="21"/>
        <v>0</v>
      </c>
      <c r="V50" s="101">
        <f t="shared" si="21"/>
        <v>0</v>
      </c>
      <c r="W50" s="101">
        <f t="shared" si="21"/>
        <v>0</v>
      </c>
      <c r="X50" s="101">
        <f t="shared" si="21"/>
        <v>0</v>
      </c>
      <c r="Y50" s="101">
        <f t="shared" si="21"/>
        <v>0</v>
      </c>
      <c r="Z50" s="101">
        <f t="shared" si="21"/>
        <v>0</v>
      </c>
      <c r="AA50" s="101">
        <f t="shared" si="21"/>
        <v>0</v>
      </c>
      <c r="AB50" s="101">
        <f t="shared" si="21"/>
        <v>0</v>
      </c>
      <c r="AC50" s="101">
        <f t="shared" si="21"/>
        <v>0</v>
      </c>
      <c r="AD50" s="101">
        <f t="shared" si="21"/>
        <v>0</v>
      </c>
      <c r="AE50" s="101">
        <f t="shared" si="21"/>
        <v>0</v>
      </c>
      <c r="AF50" s="101">
        <f t="shared" si="21"/>
        <v>0</v>
      </c>
      <c r="AG50" s="101">
        <f t="shared" si="21"/>
        <v>0</v>
      </c>
      <c r="AH50" s="101">
        <f t="shared" si="21"/>
        <v>0</v>
      </c>
    </row>
    <row r="51" spans="1:34" outlineLevel="1">
      <c r="A51"/>
      <c r="B51" t="s">
        <v>217</v>
      </c>
      <c r="C51" s="54" t="s">
        <v>153</v>
      </c>
      <c r="D51" s="44">
        <f>0</f>
        <v>0</v>
      </c>
      <c r="E51" s="44">
        <f>0</f>
        <v>0</v>
      </c>
      <c r="F51" s="44">
        <f>0</f>
        <v>0</v>
      </c>
      <c r="G51" s="44">
        <f>0</f>
        <v>0</v>
      </c>
      <c r="H51" s="44">
        <f>0</f>
        <v>0</v>
      </c>
      <c r="I51" s="44">
        <f>0</f>
        <v>0</v>
      </c>
      <c r="J51" s="44">
        <f>0</f>
        <v>0</v>
      </c>
      <c r="K51" s="44">
        <f>0</f>
        <v>0</v>
      </c>
      <c r="L51" s="44">
        <f>0</f>
        <v>0</v>
      </c>
      <c r="M51" s="44">
        <f>0</f>
        <v>0</v>
      </c>
      <c r="N51" s="44">
        <f>0</f>
        <v>0</v>
      </c>
      <c r="O51" s="44">
        <f>0</f>
        <v>0</v>
      </c>
      <c r="P51" s="44">
        <f>0</f>
        <v>0</v>
      </c>
      <c r="Q51" s="44">
        <f>0</f>
        <v>0</v>
      </c>
      <c r="R51" s="44">
        <f>0</f>
        <v>0</v>
      </c>
      <c r="S51" s="44">
        <f>0</f>
        <v>0</v>
      </c>
      <c r="T51" s="44">
        <f>0</f>
        <v>0</v>
      </c>
      <c r="U51" s="44">
        <f>0</f>
        <v>0</v>
      </c>
      <c r="V51" s="44">
        <f>0</f>
        <v>0</v>
      </c>
      <c r="W51" s="44">
        <f>0</f>
        <v>0</v>
      </c>
      <c r="X51" s="44">
        <f>0</f>
        <v>0</v>
      </c>
      <c r="Y51" s="44">
        <f>0</f>
        <v>0</v>
      </c>
      <c r="Z51" s="44">
        <f>0</f>
        <v>0</v>
      </c>
      <c r="AA51" s="44">
        <f>0</f>
        <v>0</v>
      </c>
      <c r="AB51" s="44">
        <f>0</f>
        <v>0</v>
      </c>
      <c r="AC51" s="44">
        <f>0</f>
        <v>0</v>
      </c>
      <c r="AD51" s="44">
        <f>0</f>
        <v>0</v>
      </c>
      <c r="AE51" s="44">
        <f>0</f>
        <v>0</v>
      </c>
      <c r="AF51" s="44">
        <f>0</f>
        <v>0</v>
      </c>
      <c r="AG51" s="44">
        <f>0</f>
        <v>0</v>
      </c>
      <c r="AH51" s="44">
        <f>0</f>
        <v>0</v>
      </c>
    </row>
    <row r="52" spans="1:34" outlineLevel="1">
      <c r="A52"/>
      <c r="B52" t="s">
        <v>222</v>
      </c>
      <c r="C52" s="54" t="s">
        <v>153</v>
      </c>
      <c r="D52" s="44">
        <v>0</v>
      </c>
      <c r="E52" s="44">
        <v>0</v>
      </c>
      <c r="F52" s="44">
        <v>0</v>
      </c>
      <c r="G52" s="44">
        <v>0</v>
      </c>
      <c r="H52" s="44">
        <v>0</v>
      </c>
      <c r="I52" s="44">
        <v>0</v>
      </c>
      <c r="J52" s="44">
        <v>0</v>
      </c>
      <c r="K52" s="44">
        <v>0</v>
      </c>
      <c r="L52" s="44">
        <v>0</v>
      </c>
      <c r="M52" s="44">
        <v>0</v>
      </c>
      <c r="N52" s="44">
        <v>0</v>
      </c>
      <c r="O52" s="44">
        <v>0</v>
      </c>
      <c r="P52" s="44">
        <v>0</v>
      </c>
      <c r="Q52" s="44">
        <v>0</v>
      </c>
      <c r="R52" s="44">
        <v>0</v>
      </c>
      <c r="S52" s="44">
        <v>0</v>
      </c>
      <c r="T52" s="44">
        <v>0</v>
      </c>
      <c r="U52" s="44">
        <v>0</v>
      </c>
      <c r="V52" s="44">
        <v>0</v>
      </c>
      <c r="W52" s="44">
        <v>0</v>
      </c>
      <c r="X52" s="44">
        <v>0</v>
      </c>
      <c r="Y52" s="44">
        <v>0</v>
      </c>
      <c r="Z52" s="44">
        <v>0</v>
      </c>
      <c r="AA52" s="44">
        <v>0</v>
      </c>
      <c r="AB52" s="44">
        <v>0</v>
      </c>
      <c r="AC52" s="44">
        <v>0</v>
      </c>
      <c r="AD52" s="44">
        <v>0</v>
      </c>
      <c r="AE52" s="44">
        <v>0</v>
      </c>
      <c r="AF52" s="44">
        <v>0</v>
      </c>
      <c r="AG52" s="44">
        <v>0</v>
      </c>
      <c r="AH52" s="44">
        <v>0</v>
      </c>
    </row>
    <row r="53" spans="1:34" s="68" customFormat="1">
      <c r="A53" s="62"/>
      <c r="B53" s="62" t="s">
        <v>219</v>
      </c>
      <c r="C53" s="63" t="s">
        <v>153</v>
      </c>
      <c r="D53" s="64">
        <f>D50-D51-D52</f>
        <v>0</v>
      </c>
      <c r="E53" s="64">
        <f t="shared" ref="E53:AH53" si="22">E50-E51-E52</f>
        <v>0</v>
      </c>
      <c r="F53" s="64">
        <f t="shared" si="22"/>
        <v>0</v>
      </c>
      <c r="G53" s="64">
        <f t="shared" si="22"/>
        <v>0</v>
      </c>
      <c r="H53" s="64">
        <f t="shared" si="22"/>
        <v>0</v>
      </c>
      <c r="I53" s="64">
        <f t="shared" si="22"/>
        <v>0</v>
      </c>
      <c r="J53" s="64">
        <f t="shared" si="22"/>
        <v>0</v>
      </c>
      <c r="K53" s="64">
        <f t="shared" si="22"/>
        <v>0</v>
      </c>
      <c r="L53" s="64">
        <f t="shared" si="22"/>
        <v>0</v>
      </c>
      <c r="M53" s="64">
        <f t="shared" si="22"/>
        <v>0</v>
      </c>
      <c r="N53" s="64">
        <f t="shared" si="22"/>
        <v>0</v>
      </c>
      <c r="O53" s="64">
        <f t="shared" si="22"/>
        <v>0</v>
      </c>
      <c r="P53" s="64">
        <f t="shared" si="22"/>
        <v>0</v>
      </c>
      <c r="Q53" s="64">
        <f t="shared" si="22"/>
        <v>0</v>
      </c>
      <c r="R53" s="64">
        <f t="shared" si="22"/>
        <v>0</v>
      </c>
      <c r="S53" s="64">
        <f t="shared" si="22"/>
        <v>0</v>
      </c>
      <c r="T53" s="64">
        <f t="shared" si="22"/>
        <v>0</v>
      </c>
      <c r="U53" s="64">
        <f t="shared" si="22"/>
        <v>0</v>
      </c>
      <c r="V53" s="64">
        <f t="shared" si="22"/>
        <v>0</v>
      </c>
      <c r="W53" s="64">
        <f t="shared" si="22"/>
        <v>0</v>
      </c>
      <c r="X53" s="64">
        <f t="shared" si="22"/>
        <v>0</v>
      </c>
      <c r="Y53" s="64">
        <f t="shared" si="22"/>
        <v>0</v>
      </c>
      <c r="Z53" s="64">
        <f t="shared" si="22"/>
        <v>0</v>
      </c>
      <c r="AA53" s="64">
        <f t="shared" si="22"/>
        <v>0</v>
      </c>
      <c r="AB53" s="64">
        <f t="shared" si="22"/>
        <v>0</v>
      </c>
      <c r="AC53" s="64">
        <f t="shared" si="22"/>
        <v>0</v>
      </c>
      <c r="AD53" s="64">
        <f t="shared" si="22"/>
        <v>0</v>
      </c>
      <c r="AE53" s="64">
        <f t="shared" si="22"/>
        <v>0</v>
      </c>
      <c r="AF53" s="64">
        <f t="shared" si="22"/>
        <v>0</v>
      </c>
      <c r="AG53" s="64">
        <f t="shared" si="22"/>
        <v>0</v>
      </c>
      <c r="AH53" s="64">
        <f t="shared" si="22"/>
        <v>0</v>
      </c>
    </row>
    <row r="54" spans="1:34" s="67" customFormat="1">
      <c r="A54" s="58" t="s">
        <v>223</v>
      </c>
      <c r="B54" s="58" t="s">
        <v>197</v>
      </c>
      <c r="C54" s="100" t="s">
        <v>153</v>
      </c>
      <c r="D54" s="101">
        <f>D25</f>
        <v>12.379169704702877</v>
      </c>
      <c r="E54" s="101">
        <f t="shared" ref="E54:AH54" si="23">E25</f>
        <v>12.589615589682824</v>
      </c>
      <c r="F54" s="101">
        <f t="shared" si="23"/>
        <v>12.80363905470743</v>
      </c>
      <c r="G54" s="101">
        <f t="shared" si="23"/>
        <v>13.021300918637456</v>
      </c>
      <c r="H54" s="101">
        <f t="shared" si="23"/>
        <v>13.242663034254292</v>
      </c>
      <c r="I54" s="101">
        <f t="shared" si="23"/>
        <v>13.467788305836613</v>
      </c>
      <c r="J54" s="101">
        <f t="shared" si="23"/>
        <v>13.696740707035834</v>
      </c>
      <c r="K54" s="101">
        <f t="shared" si="23"/>
        <v>13.929585299055443</v>
      </c>
      <c r="L54" s="101">
        <f t="shared" si="23"/>
        <v>14.166388249139384</v>
      </c>
      <c r="M54" s="101">
        <f t="shared" si="23"/>
        <v>14.407216849374752</v>
      </c>
      <c r="N54" s="101">
        <f t="shared" si="23"/>
        <v>14.652139535814122</v>
      </c>
      <c r="O54" s="101">
        <f t="shared" si="23"/>
        <v>14.90122590792296</v>
      </c>
      <c r="P54" s="101">
        <f t="shared" si="23"/>
        <v>15.154546748357649</v>
      </c>
      <c r="Q54" s="101">
        <f t="shared" si="23"/>
        <v>15.412174043079728</v>
      </c>
      <c r="R54" s="101">
        <f t="shared" si="23"/>
        <v>15.674181001812082</v>
      </c>
      <c r="S54" s="101">
        <f t="shared" si="23"/>
        <v>15.940642078842886</v>
      </c>
      <c r="T54" s="101">
        <f t="shared" si="23"/>
        <v>16.211632994183216</v>
      </c>
      <c r="U54" s="101">
        <f t="shared" si="23"/>
        <v>16.48723075508433</v>
      </c>
      <c r="V54" s="101">
        <f t="shared" si="23"/>
        <v>16.767513677920761</v>
      </c>
      <c r="W54" s="101">
        <f t="shared" si="23"/>
        <v>17.052561410445414</v>
      </c>
      <c r="X54" s="101">
        <f t="shared" si="23"/>
        <v>17.342454954422983</v>
      </c>
      <c r="Y54" s="101">
        <f t="shared" si="23"/>
        <v>17.637276688648171</v>
      </c>
      <c r="Z54" s="101">
        <f t="shared" si="23"/>
        <v>17.937110392355187</v>
      </c>
      <c r="AA54" s="101">
        <f t="shared" si="23"/>
        <v>18.242041269025222</v>
      </c>
      <c r="AB54" s="101">
        <f t="shared" si="23"/>
        <v>18.552155970598648</v>
      </c>
      <c r="AC54" s="101">
        <f t="shared" si="23"/>
        <v>18.867542622098824</v>
      </c>
      <c r="AD54" s="101">
        <f t="shared" si="23"/>
        <v>19.188290846674501</v>
      </c>
      <c r="AE54" s="101">
        <f t="shared" si="23"/>
        <v>19.514491791067964</v>
      </c>
      <c r="AF54" s="101">
        <f t="shared" si="23"/>
        <v>19.846238151516118</v>
      </c>
      <c r="AG54" s="101">
        <f t="shared" si="23"/>
        <v>20.183624200091892</v>
      </c>
      <c r="AH54" s="101">
        <f t="shared" si="23"/>
        <v>20.526745811493452</v>
      </c>
    </row>
    <row r="55" spans="1:34" outlineLevel="1">
      <c r="A55"/>
      <c r="B55" t="s">
        <v>217</v>
      </c>
      <c r="C55" s="54" t="s">
        <v>153</v>
      </c>
      <c r="D55" s="44">
        <f>0</f>
        <v>0</v>
      </c>
      <c r="E55" s="44">
        <f>'Propylene Recycling LC'!D85*'Propylene Recycling LC'!D47-'Propylene Recycling LC'!$C$85*'Propylene Recycling LC'!$C$47</f>
        <v>8.6642708277423087E-3</v>
      </c>
      <c r="F55" s="44">
        <f>'Propylene Recycling LC'!E85*'Propylene Recycling LC'!E47-'Propylene Recycling LC'!$C$85*'Propylene Recycling LC'!$C$47</f>
        <v>1.8391185006919643E-2</v>
      </c>
      <c r="G55" s="44">
        <f>'Propylene Recycling LC'!F85*'Propylene Recycling LC'!F47-'Propylene Recycling LC'!$C$85*'Propylene Recycling LC'!$C$47</f>
        <v>2.918218706996966E-2</v>
      </c>
      <c r="H55" s="44">
        <f>'Propylene Recycling LC'!G85*'Propylene Recycling LC'!G47-'Propylene Recycling LC'!$C$85*'Propylene Recycling LC'!$C$47</f>
        <v>4.1025316014492628E-2</v>
      </c>
      <c r="I55" s="44">
        <f>'Propylene Recycling LC'!H85*'Propylene Recycling LC'!H47-'Propylene Recycling LC'!$C$85*'Propylene Recycling LC'!$C$47</f>
        <v>5.3894591601988978E-2</v>
      </c>
      <c r="J55" s="44">
        <f>'Propylene Recycling LC'!I85*'Propylene Recycling LC'!I47-'Propylene Recycling LC'!$C$85*'Propylene Recycling LC'!$C$47</f>
        <v>6.7928942654131838E-2</v>
      </c>
      <c r="K55" s="44">
        <f>'Propylene Recycling LC'!J85*'Propylene Recycling LC'!J47-'Propylene Recycling LC'!$C$85*'Propylene Recycling LC'!$C$47</f>
        <v>8.3170251029573136E-2</v>
      </c>
      <c r="L55" s="44">
        <f>'Propylene Recycling LC'!K85*'Propylene Recycling LC'!K47-'Propylene Recycling LC'!$C$85*'Propylene Recycling LC'!$C$47</f>
        <v>9.9659410847217134E-2</v>
      </c>
      <c r="M55" s="44">
        <f>'Propylene Recycling LC'!L85*'Propylene Recycling LC'!L47-'Propylene Recycling LC'!$C$85*'Propylene Recycling LC'!$C$47</f>
        <v>0.11743616800870907</v>
      </c>
      <c r="N55" s="44">
        <f>'Propylene Recycling LC'!M85*'Propylene Recycling LC'!M47-'Propylene Recycling LC'!$C$85*'Propylene Recycling LC'!$C$47</f>
        <v>0.13653895749302175</v>
      </c>
      <c r="O55" s="44">
        <f>'Propylene Recycling LC'!N85*'Propylene Recycling LC'!N47-'Propylene Recycling LC'!$C$85*'Propylene Recycling LC'!$C$47</f>
        <v>0.1712096606040743</v>
      </c>
      <c r="P55" s="44">
        <f>'Propylene Recycling LC'!O85*'Propylene Recycling LC'!O47-'Propylene Recycling LC'!$C$85*'Propylene Recycling LC'!$C$47</f>
        <v>0.20822351011682744</v>
      </c>
      <c r="Q55" s="44">
        <f>'Propylene Recycling LC'!P85*'Propylene Recycling LC'!P47-'Propylene Recycling LC'!$C$85*'Propylene Recycling LC'!$C$47</f>
        <v>0.24747241317485957</v>
      </c>
      <c r="R55" s="44">
        <f>'Propylene Recycling LC'!Q85*'Propylene Recycling LC'!Q47-'Propylene Recycling LC'!$C$85*'Propylene Recycling LC'!$C$47</f>
        <v>0.28882258265306715</v>
      </c>
      <c r="S55" s="44">
        <f>'Propylene Recycling LC'!R85*'Propylene Recycling LC'!R47-'Propylene Recycling LC'!$C$85*'Propylene Recycling LC'!$C$47</f>
        <v>0.33211490566052143</v>
      </c>
      <c r="T55" s="44">
        <f>'Propylene Recycling LC'!S85*'Propylene Recycling LC'!S47-'Propylene Recycling LC'!$C$85*'Propylene Recycling LC'!$C$47</f>
        <v>0.37787287267110781</v>
      </c>
      <c r="U55" s="44">
        <f>'Propylene Recycling LC'!T85*'Propylene Recycling LC'!T47-'Propylene Recycling LC'!$C$85*'Propylene Recycling LC'!$C$47</f>
        <v>0.42614709294489456</v>
      </c>
      <c r="V55" s="44">
        <f>'Propylene Recycling LC'!U85*'Propylene Recycling LC'!U47-'Propylene Recycling LC'!$C$85*'Propylene Recycling LC'!$C$47</f>
        <v>0.47698778079529225</v>
      </c>
      <c r="W55" s="44">
        <f>'Propylene Recycling LC'!V85*'Propylene Recycling LC'!V47-'Propylene Recycling LC'!$C$85*'Propylene Recycling LC'!$C$47</f>
        <v>0.53044471144715744</v>
      </c>
      <c r="X55" s="44">
        <f>'Propylene Recycling LC'!W85*'Propylene Recycling LC'!W47-'Propylene Recycling LC'!$C$85*'Propylene Recycling LC'!$C$47</f>
        <v>0.58656717644544554</v>
      </c>
      <c r="Y55" s="44">
        <f>'Propylene Recycling LC'!X85*'Propylene Recycling LC'!X47-'Propylene Recycling LC'!$C$85*'Propylene Recycling LC'!$C$47</f>
        <v>0.67191247524001785</v>
      </c>
      <c r="Z55" s="44">
        <f>'Propylene Recycling LC'!Y85*'Propylene Recycling LC'!Y47-'Propylene Recycling LC'!$C$85*'Propylene Recycling LC'!$C$47</f>
        <v>0.76171387218216446</v>
      </c>
      <c r="AA55" s="44">
        <f>'Propylene Recycling LC'!Z85*'Propylene Recycling LC'!Z47-'Propylene Recycling LC'!$C$85*'Propylene Recycling LC'!$C$47</f>
        <v>0.85605553945593005</v>
      </c>
      <c r="AB55" s="44">
        <f>'Propylene Recycling LC'!AA85*'Propylene Recycling LC'!AA47-'Propylene Recycling LC'!$C$85*'Propylene Recycling LC'!$C$47</f>
        <v>0.95502094667211523</v>
      </c>
      <c r="AC55" s="44">
        <f>'Propylene Recycling LC'!AB85*'Propylene Recycling LC'!AB47-'Propylene Recycling LC'!$C$85*'Propylene Recycling LC'!$C$47</f>
        <v>1.0586927936322148</v>
      </c>
      <c r="AD55" s="44">
        <f>'Propylene Recycling LC'!AC85*'Propylene Recycling LC'!AC47-'Propylene Recycling LC'!$C$85*'Propylene Recycling LC'!$C$47</f>
        <v>1.1671641223260947</v>
      </c>
      <c r="AE55" s="44">
        <f>'Propylene Recycling LC'!AD85*'Propylene Recycling LC'!AD47-'Propylene Recycling LC'!$C$85*'Propylene Recycling LC'!$C$47</f>
        <v>1.2805191198142907</v>
      </c>
      <c r="AF55" s="44">
        <f>'Propylene Recycling LC'!AE85*'Propylene Recycling LC'!AE47-'Propylene Recycling LC'!$C$85*'Propylene Recycling LC'!$C$47</f>
        <v>1.3988412854753998</v>
      </c>
      <c r="AG55" s="44">
        <f>'Propylene Recycling LC'!AF85*'Propylene Recycling LC'!AF47-'Propylene Recycling LC'!$C$85*'Propylene Recycling LC'!$C$47</f>
        <v>1.5222133699825433</v>
      </c>
      <c r="AH55" s="44">
        <f>'Propylene Recycling LC'!AG85*'Propylene Recycling LC'!AG47-'Propylene Recycling LC'!$C$85*'Propylene Recycling LC'!$C$47</f>
        <v>1.6507173137739004</v>
      </c>
    </row>
    <row r="56" spans="1:34" outlineLevel="1">
      <c r="A56"/>
      <c r="B56" t="s">
        <v>222</v>
      </c>
      <c r="C56" s="54" t="s">
        <v>153</v>
      </c>
      <c r="D56" s="44">
        <f>0</f>
        <v>0</v>
      </c>
      <c r="E56" s="44">
        <f>'Propylene Recycling LC'!D63*'Propylene Recycling LC'!D45-'Propylene Recycling LC'!$C$63*'Propylene Recycling LC'!$C$45</f>
        <v>0.14158410775298202</v>
      </c>
      <c r="F56" s="44">
        <f>'Propylene Recycling LC'!E63*'Propylene Recycling LC'!E45-'Propylene Recycling LC'!$C$63*'Propylene Recycling LC'!$C$45</f>
        <v>0.28923309527633556</v>
      </c>
      <c r="G56" s="44">
        <f>'Propylene Recycling LC'!F63*'Propylene Recycling LC'!F45-'Propylene Recycling LC'!$C$63*'Propylene Recycling LC'!$C$45</f>
        <v>0.44235553129456662</v>
      </c>
      <c r="H56" s="44">
        <f>'Propylene Recycling LC'!G63*'Propylene Recycling LC'!G45-'Propylene Recycling LC'!$C$63*'Propylene Recycling LC'!$C$45</f>
        <v>0.60026455456231242</v>
      </c>
      <c r="I56" s="44">
        <f>'Propylene Recycling LC'!H63*'Propylene Recycling LC'!H45-'Propylene Recycling LC'!$C$63*'Propylene Recycling LC'!$C$45</f>
        <v>0.7621812680302813</v>
      </c>
      <c r="J56" s="44">
        <f>'Propylene Recycling LC'!I63*'Propylene Recycling LC'!I45-'Propylene Recycling LC'!$C$63*'Propylene Recycling LC'!$C$45</f>
        <v>0.93238855429828127</v>
      </c>
      <c r="K56" s="44">
        <f>'Propylene Recycling LC'!J63*'Propylene Recycling LC'!J45-'Propylene Recycling LC'!$C$63*'Propylene Recycling LC'!$C$45</f>
        <v>1.1110524554503549</v>
      </c>
      <c r="L56" s="44">
        <f>'Propylene Recycling LC'!K63*'Propylene Recycling LC'!K45-'Propylene Recycling LC'!$C$63*'Propylene Recycling LC'!$C$45</f>
        <v>1.2983284135251234</v>
      </c>
      <c r="M56" s="44">
        <f>'Propylene Recycling LC'!L63*'Propylene Recycling LC'!L45-'Propylene Recycling LC'!$C$63*'Propylene Recycling LC'!$C$45</f>
        <v>1.4943604108863513</v>
      </c>
      <c r="N56" s="44">
        <f>'Propylene Recycling LC'!M63*'Propylene Recycling LC'!M45-'Propylene Recycling LC'!$C$63*'Propylene Recycling LC'!$C$45</f>
        <v>1.6992801136614417</v>
      </c>
      <c r="O56" s="44">
        <f>'Propylene Recycling LC'!N63*'Propylene Recycling LC'!N45-'Propylene Recycling LC'!$C$63*'Propylene Recycling LC'!$C$45</f>
        <v>2.0186687263865082</v>
      </c>
      <c r="P56" s="44">
        <f>'Propylene Recycling LC'!O63*'Propylene Recycling LC'!O45-'Propylene Recycling LC'!$C$63*'Propylene Recycling LC'!$C$45</f>
        <v>2.3495610285859199</v>
      </c>
      <c r="Q56" s="44">
        <f>'Propylene Recycling LC'!P63*'Propylene Recycling LC'!P45-'Propylene Recycling LC'!$C$63*'Propylene Recycling LC'!$C$45</f>
        <v>2.6906875019390837</v>
      </c>
      <c r="R56" s="44">
        <f>'Propylene Recycling LC'!Q63*'Propylene Recycling LC'!Q45-'Propylene Recycling LC'!$C$63*'Propylene Recycling LC'!$C$45</f>
        <v>3.0406316709128305</v>
      </c>
      <c r="S56" s="44">
        <f>'Propylene Recycling LC'!R63*'Propylene Recycling LC'!R45-'Propylene Recycling LC'!$C$63*'Propylene Recycling LC'!$C$45</f>
        <v>3.3978381711341141</v>
      </c>
      <c r="T56" s="44">
        <f>'Propylene Recycling LC'!S63*'Propylene Recycling LC'!S45-'Propylene Recycling LC'!$C$63*'Propylene Recycling LC'!$C$45</f>
        <v>3.7700273654432692</v>
      </c>
      <c r="U56" s="44">
        <f>'Propylene Recycling LC'!T63*'Propylene Recycling LC'!T45-'Propylene Recycling LC'!$C$63*'Propylene Recycling LC'!$C$45</f>
        <v>4.1574560256252129</v>
      </c>
      <c r="V56" s="44">
        <f>'Propylene Recycling LC'!U63*'Propylene Recycling LC'!U45-'Propylene Recycling LC'!$C$63*'Propylene Recycling LC'!$C$45</f>
        <v>4.5603778158778159</v>
      </c>
      <c r="W56" s="44">
        <f>'Propylene Recycling LC'!V63*'Propylene Recycling LC'!V45-'Propylene Recycling LC'!$C$63*'Propylene Recycling LC'!$C$45</f>
        <v>4.9790430515858377</v>
      </c>
      <c r="X56" s="44">
        <f>'Propylene Recycling LC'!W63*'Propylene Recycling LC'!W45-'Propylene Recycling LC'!$C$63*'Propylene Recycling LC'!$C$45</f>
        <v>5.4136984563073227</v>
      </c>
      <c r="Y56" s="44">
        <f>'Propylene Recycling LC'!X63*'Propylene Recycling LC'!X45-'Propylene Recycling LC'!$C$63*'Propylene Recycling LC'!$C$45</f>
        <v>6.0208546271258276</v>
      </c>
      <c r="Z56" s="44">
        <f>'Propylene Recycling LC'!Y63*'Propylene Recycling LC'!Y45-'Propylene Recycling LC'!$C$63*'Propylene Recycling LC'!$C$45</f>
        <v>6.6529980651792204</v>
      </c>
      <c r="AA56" s="44">
        <f>'Propylene Recycling LC'!Z63*'Propylene Recycling LC'!Z45-'Propylene Recycling LC'!$C$63*'Propylene Recycling LC'!$C$45</f>
        <v>7.3105375200352327</v>
      </c>
      <c r="AB56" s="44">
        <f>'Propylene Recycling LC'!AA63*'Propylene Recycling LC'!AA45-'Propylene Recycling LC'!$C$63*'Propylene Recycling LC'!$C$45</f>
        <v>7.99387697887739</v>
      </c>
      <c r="AC56" s="44">
        <f>'Propylene Recycling LC'!AB63*'Propylene Recycling LC'!AB45-'Propylene Recycling LC'!$C$63*'Propylene Recycling LC'!$C$45</f>
        <v>8.703415320272633</v>
      </c>
      <c r="AD56" s="44">
        <f>'Propylene Recycling LC'!AC63*'Propylene Recycling LC'!AC45-'Propylene Recycling LC'!$C$63*'Propylene Recycling LC'!$C$45</f>
        <v>9.4396490054411224</v>
      </c>
      <c r="AE56" s="44">
        <f>'Propylene Recycling LC'!AD63*'Propylene Recycling LC'!AD45-'Propylene Recycling LC'!$C$63*'Propylene Recycling LC'!$C$45</f>
        <v>10.202987440973148</v>
      </c>
      <c r="AF56" s="44">
        <f>'Propylene Recycling LC'!AE63*'Propylene Recycling LC'!AE45-'Propylene Recycling LC'!$C$63*'Propylene Recycling LC'!$C$45</f>
        <v>10.993835469152389</v>
      </c>
      <c r="AG56" s="44">
        <f>'Propylene Recycling LC'!AF63*'Propylene Recycling LC'!AF45-'Propylene Recycling LC'!$C$63*'Propylene Recycling LC'!$C$45</f>
        <v>11.812593054163672</v>
      </c>
      <c r="AH56" s="44">
        <f>'Propylene Recycling LC'!AG63*'Propylene Recycling LC'!AG45-'Propylene Recycling LC'!$C$63*'Propylene Recycling LC'!$C$45</f>
        <v>12.659654966288976</v>
      </c>
    </row>
    <row r="57" spans="1:34" outlineLevel="1">
      <c r="A57"/>
      <c r="B57" t="s">
        <v>226</v>
      </c>
      <c r="C57" s="54" t="s">
        <v>153</v>
      </c>
      <c r="D57" s="44">
        <v>0</v>
      </c>
      <c r="E57" s="44">
        <v>0</v>
      </c>
      <c r="F57" s="44">
        <v>0</v>
      </c>
      <c r="G57" s="44">
        <v>0</v>
      </c>
      <c r="H57" s="44">
        <v>0</v>
      </c>
      <c r="I57" s="44">
        <v>0</v>
      </c>
      <c r="J57" s="44">
        <v>0</v>
      </c>
      <c r="K57" s="44">
        <v>0</v>
      </c>
      <c r="L57" s="44">
        <v>0</v>
      </c>
      <c r="M57" s="44">
        <v>0</v>
      </c>
      <c r="N57" s="44">
        <v>0</v>
      </c>
      <c r="O57" s="44">
        <v>0</v>
      </c>
      <c r="P57" s="44">
        <v>0</v>
      </c>
      <c r="Q57" s="44">
        <v>0</v>
      </c>
      <c r="R57" s="44">
        <v>0</v>
      </c>
      <c r="S57" s="44">
        <v>0</v>
      </c>
      <c r="T57" s="44">
        <v>0</v>
      </c>
      <c r="U57" s="44">
        <v>0</v>
      </c>
      <c r="V57" s="44">
        <v>0</v>
      </c>
      <c r="W57" s="44">
        <v>0</v>
      </c>
      <c r="X57" s="44">
        <v>0</v>
      </c>
      <c r="Y57" s="44">
        <v>0</v>
      </c>
      <c r="Z57" s="44">
        <v>0</v>
      </c>
      <c r="AA57" s="44">
        <v>0</v>
      </c>
      <c r="AB57" s="44">
        <v>0</v>
      </c>
      <c r="AC57" s="44">
        <v>0</v>
      </c>
      <c r="AD57" s="44">
        <v>0</v>
      </c>
      <c r="AE57" s="44">
        <v>0</v>
      </c>
      <c r="AF57" s="44">
        <v>0</v>
      </c>
      <c r="AG57" s="44">
        <v>0</v>
      </c>
      <c r="AH57" s="44">
        <v>0</v>
      </c>
    </row>
    <row r="58" spans="1:34" outlineLevel="1">
      <c r="A58" s="181"/>
      <c r="B58" s="181" t="s">
        <v>218</v>
      </c>
      <c r="C58" s="176" t="s">
        <v>153</v>
      </c>
      <c r="D58" s="238">
        <f>0</f>
        <v>0</v>
      </c>
      <c r="E58" s="238">
        <f>'Propylene Recycling LC'!D76*'Propylene Recycling LC'!D46-'Propylene Recycling LC'!$C$76*'Propylene Recycling LC'!$C$46</f>
        <v>3.6732205051899919E-2</v>
      </c>
      <c r="F58" s="238">
        <f>'Propylene Recycling LC'!E76*'Propylene Recycling LC'!E46-'Propylene Recycling LC'!$C$76*'Propylene Recycling LC'!$C$46</f>
        <v>7.3086485923120587E-2</v>
      </c>
      <c r="G58" s="238">
        <f>'Propylene Recycling LC'!F76*'Propylene Recycling LC'!F46-'Propylene Recycling LC'!$C$76*'Propylene Recycling LC'!$C$46</f>
        <v>0.10868989433771881</v>
      </c>
      <c r="H58" s="238">
        <f>'Propylene Recycling LC'!G76*'Propylene Recycling LC'!G46-'Propylene Recycling LC'!$C$76*'Propylene Recycling LC'!$C$46</f>
        <v>0.14317080633662144</v>
      </c>
      <c r="I58" s="238">
        <f>'Propylene Recycling LC'!H76*'Propylene Recycling LC'!H46-'Propylene Recycling LC'!$C$76*'Propylene Recycling LC'!$C$46</f>
        <v>0.17616469990404093</v>
      </c>
      <c r="J58" s="238">
        <f>'Propylene Recycling LC'!I76*'Propylene Recycling LC'!I46-'Propylene Recycling LC'!$C$76*'Propylene Recycling LC'!$C$46</f>
        <v>0.20807657134446234</v>
      </c>
      <c r="K58" s="238">
        <f>'Propylene Recycling LC'!J76*'Propylene Recycling LC'!J46-'Propylene Recycling LC'!$C$76*'Propylene Recycling LC'!$C$46</f>
        <v>0.23876525158561018</v>
      </c>
      <c r="L58" s="238">
        <f>'Propylene Recycling LC'!K76*'Propylene Recycling LC'!K46-'Propylene Recycling LC'!$C$76*'Propylene Recycling LC'!$C$46</f>
        <v>0.26808825813427029</v>
      </c>
      <c r="M58" s="238">
        <f>'Propylene Recycling LC'!L76*'Propylene Recycling LC'!L46-'Propylene Recycling LC'!$C$76*'Propylene Recycling LC'!$C$46</f>
        <v>0.29590220779799919</v>
      </c>
      <c r="N58" s="238">
        <f>'Propylene Recycling LC'!M76*'Propylene Recycling LC'!M46-'Propylene Recycling LC'!$C$76*'Propylene Recycling LC'!$C$46</f>
        <v>0.32206324474578285</v>
      </c>
      <c r="O58" s="238">
        <f>'Propylene Recycling LC'!N76*'Propylene Recycling LC'!N46-'Propylene Recycling LC'!$C$76*'Propylene Recycling LC'!$C$46</f>
        <v>0.38185478305756887</v>
      </c>
      <c r="P58" s="238">
        <f>'Propylene Recycling LC'!O76*'Propylene Recycling LC'!O46-'Propylene Recycling LC'!$C$76*'Propylene Recycling LC'!$C$46</f>
        <v>0.43729170668977663</v>
      </c>
      <c r="Q58" s="238">
        <f>'Propylene Recycling LC'!P76*'Propylene Recycling LC'!P46-'Propylene Recycling LC'!$C$76*'Propylene Recycling LC'!$C$46</f>
        <v>0.48912911328273306</v>
      </c>
      <c r="R58" s="238">
        <f>'Propylene Recycling LC'!Q76*'Propylene Recycling LC'!Q46-'Propylene Recycling LC'!$C$76*'Propylene Recycling LC'!$C$46</f>
        <v>0.53582108959493979</v>
      </c>
      <c r="S58" s="238">
        <f>'Propylene Recycling LC'!R76*'Propylene Recycling LC'!R46-'Propylene Recycling LC'!$C$76*'Propylene Recycling LC'!$C$46</f>
        <v>0.57691798011539164</v>
      </c>
      <c r="T58" s="238">
        <f>'Propylene Recycling LC'!S76*'Propylene Recycling LC'!S46-'Propylene Recycling LC'!$C$76*'Propylene Recycling LC'!$C$46</f>
        <v>0.6133829804872335</v>
      </c>
      <c r="U58" s="238">
        <f>'Propylene Recycling LC'!T76*'Propylene Recycling LC'!T46-'Propylene Recycling LC'!$C$76*'Propylene Recycling LC'!$C$46</f>
        <v>0.64504177898602899</v>
      </c>
      <c r="V58" s="238">
        <f>'Propylene Recycling LC'!U76*'Propylene Recycling LC'!U46-'Propylene Recycling LC'!$C$76*'Propylene Recycling LC'!$C$46</f>
        <v>0.67171983904156152</v>
      </c>
      <c r="W58" s="238">
        <f>'Propylene Recycling LC'!V76*'Propylene Recycling LC'!V46-'Propylene Recycling LC'!$C$76*'Propylene Recycling LC'!$C$46</f>
        <v>0.69324253681628889</v>
      </c>
      <c r="X58" s="238">
        <f>'Propylene Recycling LC'!W76*'Propylene Recycling LC'!W46-'Propylene Recycling LC'!$C$76*'Propylene Recycling LC'!$C$46</f>
        <v>0.70943530123390985</v>
      </c>
      <c r="Y58" s="238">
        <f>'Propylene Recycling LC'!X76*'Propylene Recycling LC'!X46-'Propylene Recycling LC'!$C$76*'Propylene Recycling LC'!$C$46</f>
        <v>0.75308629032132801</v>
      </c>
      <c r="Z58" s="238">
        <f>'Propylene Recycling LC'!Y76*'Propylene Recycling LC'!Y46-'Propylene Recycling LC'!$C$76*'Propylene Recycling LC'!$C$46</f>
        <v>0.78789627888646496</v>
      </c>
      <c r="AA58" s="238">
        <f>'Propylene Recycling LC'!Z76*'Propylene Recycling LC'!Z46-'Propylene Recycling LC'!$C$76*'Propylene Recycling LC'!$C$46</f>
        <v>0.81638443496285951</v>
      </c>
      <c r="AB58" s="238">
        <f>'Propylene Recycling LC'!AA76*'Propylene Recycling LC'!AA46-'Propylene Recycling LC'!$C$76*'Propylene Recycling LC'!$C$46</f>
        <v>0.83553609963147113</v>
      </c>
      <c r="AC58" s="238">
        <f>'Propylene Recycling LC'!AB76*'Propylene Recycling LC'!AB46-'Propylene Recycling LC'!$C$76*'Propylene Recycling LC'!$C$46</f>
        <v>0.84497608666545809</v>
      </c>
      <c r="AD58" s="238">
        <f>'Propylene Recycling LC'!AC76*'Propylene Recycling LC'!AC46-'Propylene Recycling LC'!$C$76*'Propylene Recycling LC'!$C$46</f>
        <v>0.84433638097171548</v>
      </c>
      <c r="AE58" s="238">
        <f>'Propylene Recycling LC'!AD76*'Propylene Recycling LC'!AD46-'Propylene Recycling LC'!$C$76*'Propylene Recycling LC'!$C$46</f>
        <v>0.83323741766370363</v>
      </c>
      <c r="AF58" s="238">
        <f>'Propylene Recycling LC'!AE76*'Propylene Recycling LC'!AE46-'Propylene Recycling LC'!$C$76*'Propylene Recycling LC'!$C$46</f>
        <v>0.8112973713894247</v>
      </c>
      <c r="AG58" s="238">
        <f>'Propylene Recycling LC'!AF76*'Propylene Recycling LC'!AF46-'Propylene Recycling LC'!$C$76*'Propylene Recycling LC'!$C$46</f>
        <v>0.77813238956264374</v>
      </c>
      <c r="AH58" s="238">
        <f>'Propylene Recycling LC'!AG76*'Propylene Recycling LC'!AG46-'Propylene Recycling LC'!$C$76*'Propylene Recycling LC'!$C$46</f>
        <v>0.73335683136221874</v>
      </c>
    </row>
    <row r="59" spans="1:34" s="68" customFormat="1">
      <c r="A59" s="239"/>
      <c r="B59" s="239" t="s">
        <v>219</v>
      </c>
      <c r="C59" s="240" t="s">
        <v>153</v>
      </c>
      <c r="D59" s="241">
        <f>D54-D55-D56-D57-D58</f>
        <v>12.379169704702877</v>
      </c>
      <c r="E59" s="241">
        <f t="shared" ref="E59:AH59" si="24">E54-E55-E56-E57-E58</f>
        <v>12.4026350060502</v>
      </c>
      <c r="F59" s="241">
        <f t="shared" si="24"/>
        <v>12.422928288501055</v>
      </c>
      <c r="G59" s="241">
        <f t="shared" si="24"/>
        <v>12.441073305935202</v>
      </c>
      <c r="H59" s="241">
        <f t="shared" si="24"/>
        <v>12.458202357340866</v>
      </c>
      <c r="I59" s="241">
        <f t="shared" si="24"/>
        <v>12.475547746300304</v>
      </c>
      <c r="J59" s="241">
        <f t="shared" si="24"/>
        <v>12.48834663873896</v>
      </c>
      <c r="K59" s="241">
        <f t="shared" si="24"/>
        <v>12.496597340989904</v>
      </c>
      <c r="L59" s="241">
        <f t="shared" si="24"/>
        <v>12.500312166632774</v>
      </c>
      <c r="M59" s="241">
        <f t="shared" si="24"/>
        <v>12.499518062681693</v>
      </c>
      <c r="N59" s="241">
        <f t="shared" si="24"/>
        <v>12.494257219913877</v>
      </c>
      <c r="O59" s="241">
        <f t="shared" si="24"/>
        <v>12.329492737874808</v>
      </c>
      <c r="P59" s="241">
        <f t="shared" si="24"/>
        <v>12.159470502965124</v>
      </c>
      <c r="Q59" s="241">
        <f t="shared" si="24"/>
        <v>11.984885014683051</v>
      </c>
      <c r="R59" s="241">
        <f t="shared" si="24"/>
        <v>11.808905658651245</v>
      </c>
      <c r="S59" s="241">
        <f t="shared" si="24"/>
        <v>11.63377102193286</v>
      </c>
      <c r="T59" s="241">
        <f t="shared" si="24"/>
        <v>11.450349775581603</v>
      </c>
      <c r="U59" s="241">
        <f t="shared" si="24"/>
        <v>11.258585857528194</v>
      </c>
      <c r="V59" s="241">
        <f t="shared" si="24"/>
        <v>11.058428242206093</v>
      </c>
      <c r="W59" s="241">
        <f t="shared" si="24"/>
        <v>10.849831110596131</v>
      </c>
      <c r="X59" s="241">
        <f t="shared" si="24"/>
        <v>10.632754020436305</v>
      </c>
      <c r="Y59" s="241">
        <f t="shared" si="24"/>
        <v>10.191423295960998</v>
      </c>
      <c r="Z59" s="241">
        <f t="shared" si="24"/>
        <v>9.7345021761073376</v>
      </c>
      <c r="AA59" s="241">
        <f t="shared" si="24"/>
        <v>9.2590637745711994</v>
      </c>
      <c r="AB59" s="241">
        <f t="shared" si="24"/>
        <v>8.7677219454176729</v>
      </c>
      <c r="AC59" s="241">
        <f t="shared" si="24"/>
        <v>8.2604584215285186</v>
      </c>
      <c r="AD59" s="241">
        <f t="shared" si="24"/>
        <v>7.7371413379355678</v>
      </c>
      <c r="AE59" s="241">
        <f t="shared" si="24"/>
        <v>7.1977478126168233</v>
      </c>
      <c r="AF59" s="241">
        <f t="shared" si="24"/>
        <v>6.642264025498906</v>
      </c>
      <c r="AG59" s="241">
        <f t="shared" si="24"/>
        <v>6.0706853863830306</v>
      </c>
      <c r="AH59" s="241">
        <f t="shared" si="24"/>
        <v>5.4830167000683581</v>
      </c>
    </row>
    <row r="60" spans="1:34">
      <c r="A60" s="178" t="s">
        <v>225</v>
      </c>
      <c r="B60" s="242" t="s">
        <v>197</v>
      </c>
      <c r="C60" s="243" t="s">
        <v>153</v>
      </c>
      <c r="D60" s="180">
        <f>D35+D38</f>
        <v>35.064810426540291</v>
      </c>
      <c r="E60" s="180">
        <f t="shared" ref="E60:AH60" si="25">E35+E38</f>
        <v>36.116775689152504</v>
      </c>
      <c r="F60" s="180">
        <f t="shared" si="25"/>
        <v>37.194840842672889</v>
      </c>
      <c r="G60" s="180">
        <f t="shared" si="25"/>
        <v>38.299600968841681</v>
      </c>
      <c r="H60" s="180">
        <f t="shared" si="25"/>
        <v>39.431664105577326</v>
      </c>
      <c r="I60" s="180">
        <f t="shared" si="25"/>
        <v>40.591651521265369</v>
      </c>
      <c r="J60" s="180">
        <f t="shared" si="25"/>
        <v>41.559479269006808</v>
      </c>
      <c r="K60" s="180">
        <f t="shared" si="25"/>
        <v>42.548161106867823</v>
      </c>
      <c r="L60" s="180">
        <f t="shared" si="25"/>
        <v>43.558122404188012</v>
      </c>
      <c r="M60" s="180">
        <f t="shared" si="25"/>
        <v>44.589796919996559</v>
      </c>
      <c r="N60" s="180">
        <f t="shared" si="25"/>
        <v>45.643626964856836</v>
      </c>
      <c r="O60" s="180">
        <f t="shared" si="25"/>
        <v>45.513538753044301</v>
      </c>
      <c r="P60" s="180">
        <f t="shared" si="25"/>
        <v>45.373793604755676</v>
      </c>
      <c r="Q60" s="180">
        <f t="shared" si="25"/>
        <v>45.224170750896405</v>
      </c>
      <c r="R60" s="180">
        <f t="shared" si="25"/>
        <v>45.064445309997041</v>
      </c>
      <c r="S60" s="180">
        <f t="shared" si="25"/>
        <v>44.894388217210761</v>
      </c>
      <c r="T60" s="180">
        <f t="shared" si="25"/>
        <v>44.657909758188808</v>
      </c>
      <c r="U60" s="180">
        <f t="shared" si="25"/>
        <v>44.409635027587569</v>
      </c>
      <c r="V60" s="180">
        <f t="shared" si="25"/>
        <v>44.149308712963851</v>
      </c>
      <c r="W60" s="180">
        <f t="shared" si="25"/>
        <v>43.876670865120836</v>
      </c>
      <c r="X60" s="180">
        <f t="shared" si="25"/>
        <v>43.591456819224469</v>
      </c>
      <c r="Y60" s="180">
        <f t="shared" si="25"/>
        <v>43.239931957107011</v>
      </c>
      <c r="Z60" s="180">
        <f t="shared" si="25"/>
        <v>42.874376509212937</v>
      </c>
      <c r="AA60" s="180">
        <f t="shared" si="25"/>
        <v>42.494499544079559</v>
      </c>
      <c r="AB60" s="180">
        <f t="shared" si="25"/>
        <v>42.100004953666058</v>
      </c>
      <c r="AC60" s="180">
        <f t="shared" si="25"/>
        <v>41.690591366313512</v>
      </c>
      <c r="AD60" s="180">
        <f t="shared" si="25"/>
        <v>41.214681649789782</v>
      </c>
      <c r="AE60" s="180">
        <f t="shared" si="25"/>
        <v>40.722396518730974</v>
      </c>
      <c r="AF60" s="180">
        <f t="shared" si="25"/>
        <v>40.213408011445836</v>
      </c>
      <c r="AG60" s="180">
        <f t="shared" si="25"/>
        <v>39.68738242812433</v>
      </c>
      <c r="AH60" s="180">
        <f t="shared" si="25"/>
        <v>39.143980235262035</v>
      </c>
    </row>
    <row r="61" spans="1:34">
      <c r="A61" s="178"/>
      <c r="B61" s="181" t="s">
        <v>217</v>
      </c>
      <c r="C61" s="176" t="s">
        <v>153</v>
      </c>
      <c r="D61" s="238">
        <f>0</f>
        <v>0</v>
      </c>
      <c r="E61" s="238">
        <f>'Propylene Recycling LC'!D88*'Propylene Recycling LC'!D49-'Propylene Recycling LC'!$C$88*'Propylene Recycling LC'!$C$49</f>
        <v>0.14294018050629442</v>
      </c>
      <c r="F61" s="238">
        <f>'Propylene Recycling LC'!E88*'Propylene Recycling LC'!E49-'Propylene Recycling LC'!$C$88*'Propylene Recycling LC'!$C$49</f>
        <v>0.28803932040275337</v>
      </c>
      <c r="G61" s="238">
        <f>'Propylene Recycling LC'!F88*'Propylene Recycling LC'!F49-'Propylene Recycling LC'!$C$88*'Propylene Recycling LC'!$C$49</f>
        <v>0.43445206743974407</v>
      </c>
      <c r="H61" s="238">
        <f>'Propylene Recycling LC'!G88*'Propylene Recycling LC'!G49-'Propylene Recycling LC'!$C$88*'Propylene Recycling LC'!$C$49</f>
        <v>0.58128103877983217</v>
      </c>
      <c r="I61" s="238">
        <f>'Propylene Recycling LC'!H88*'Propylene Recycling LC'!H49-'Propylene Recycling LC'!$C$88*'Propylene Recycling LC'!$C$49</f>
        <v>0.72758569101816151</v>
      </c>
      <c r="J61" s="238">
        <f>'Propylene Recycling LC'!I88*'Propylene Recycling LC'!I49-'Propylene Recycling LC'!$C$88*'Propylene Recycling LC'!$C$49</f>
        <v>0.87811680778201118</v>
      </c>
      <c r="K61" s="238">
        <f>'Propylene Recycling LC'!J88*'Propylene Recycling LC'!J49-'Propylene Recycling LC'!$C$88*'Propylene Recycling LC'!$C$49</f>
        <v>1.0328314467715207</v>
      </c>
      <c r="L61" s="238">
        <f>'Propylene Recycling LC'!K88*'Propylene Recycling LC'!K49-'Propylene Recycling LC'!$C$88*'Propylene Recycling LC'!$C$49</f>
        <v>1.1916777644895056</v>
      </c>
      <c r="M61" s="238">
        <f>'Propylene Recycling LC'!L88*'Propylene Recycling LC'!L49-'Propylene Recycling LC'!$C$88*'Propylene Recycling LC'!$C$49</f>
        <v>1.3545948566029427</v>
      </c>
      <c r="N61" s="238">
        <f>'Propylene Recycling LC'!M88*'Propylene Recycling LC'!M49-'Propylene Recycling LC'!$C$88*'Propylene Recycling LC'!$C$49</f>
        <v>1.5215126186590442</v>
      </c>
      <c r="O61" s="238">
        <f>'Propylene Recycling LC'!N88*'Propylene Recycling LC'!N49-'Propylene Recycling LC'!$C$88*'Propylene Recycling LC'!$C$49</f>
        <v>1.8034026450589418</v>
      </c>
      <c r="P61" s="238">
        <f>'Propylene Recycling LC'!O88*'Propylene Recycling LC'!O49-'Propylene Recycling LC'!$C$88*'Propylene Recycling LC'!$C$49</f>
        <v>2.0872637732182167</v>
      </c>
      <c r="Q61" s="238">
        <f>'Propylene Recycling LC'!P88*'Propylene Recycling LC'!P49-'Propylene Recycling LC'!$C$88*'Propylene Recycling LC'!$C$49</f>
        <v>2.3716654118378475</v>
      </c>
      <c r="R61" s="238">
        <f>'Propylene Recycling LC'!Q88*'Propylene Recycling LC'!Q49-'Propylene Recycling LC'!$C$88*'Propylene Recycling LC'!$C$49</f>
        <v>2.6551281823986299</v>
      </c>
      <c r="S61" s="238">
        <f>'Propylene Recycling LC'!R88*'Propylene Recycling LC'!R49-'Propylene Recycling LC'!$C$88*'Propylene Recycling LC'!$C$49</f>
        <v>2.9361363644960639</v>
      </c>
      <c r="T61" s="238">
        <f>'Propylene Recycling LC'!S88*'Propylene Recycling LC'!S49-'Propylene Recycling LC'!$C$88*'Propylene Recycling LC'!$C$49</f>
        <v>3.222148948319524</v>
      </c>
      <c r="U61" s="238">
        <f>'Propylene Recycling LC'!T88*'Propylene Recycling LC'!T49-'Propylene Recycling LC'!$C$88*'Propylene Recycling LC'!$C$49</f>
        <v>3.5131569055208347</v>
      </c>
      <c r="V61" s="238">
        <f>'Propylene Recycling LC'!U88*'Propylene Recycling LC'!U49-'Propylene Recycling LC'!$C$88*'Propylene Recycling LC'!$C$49</f>
        <v>3.809148832429484</v>
      </c>
      <c r="W61" s="238">
        <f>'Propylene Recycling LC'!V88*'Propylene Recycling LC'!V49-'Propylene Recycling LC'!$C$88*'Propylene Recycling LC'!$C$49</f>
        <v>4.1101109210259521</v>
      </c>
      <c r="X61" s="238">
        <f>'Propylene Recycling LC'!W88*'Propylene Recycling LC'!W49-'Propylene Recycling LC'!$C$88*'Propylene Recycling LC'!$C$49</f>
        <v>4.4160269311269831</v>
      </c>
      <c r="Y61" s="238">
        <f>'Propylene Recycling LC'!X88*'Propylene Recycling LC'!X49-'Propylene Recycling LC'!$C$88*'Propylene Recycling LC'!$C$49</f>
        <v>4.8939325982296955</v>
      </c>
      <c r="Z61" s="238">
        <f>'Propylene Recycling LC'!Y88*'Propylene Recycling LC'!Y49-'Propylene Recycling LC'!$C$88*'Propylene Recycling LC'!$C$49</f>
        <v>5.3801895095846692</v>
      </c>
      <c r="AA61" s="238">
        <f>'Propylene Recycling LC'!Z88*'Propylene Recycling LC'!Z49-'Propylene Recycling LC'!$C$88*'Propylene Recycling LC'!$C$49</f>
        <v>5.8747848536066476</v>
      </c>
      <c r="AB61" s="238">
        <f>'Propylene Recycling LC'!AA88*'Propylene Recycling LC'!AA49-'Propylene Recycling LC'!$C$88*'Propylene Recycling LC'!$C$49</f>
        <v>6.3777022574216025</v>
      </c>
      <c r="AC61" s="238">
        <f>'Propylene Recycling LC'!AB88*'Propylene Recycling LC'!AB49-'Propylene Recycling LC'!$C$88*'Propylene Recycling LC'!$C$49</f>
        <v>6.8889217457946677</v>
      </c>
      <c r="AD61" s="238">
        <f>'Propylene Recycling LC'!AC88*'Propylene Recycling LC'!AC49-'Propylene Recycling LC'!$C$88*'Propylene Recycling LC'!$C$49</f>
        <v>7.4085065809075852</v>
      </c>
      <c r="AE61" s="238">
        <f>'Propylene Recycling LC'!AD88*'Propylene Recycling LC'!AD49-'Propylene Recycling LC'!$C$88*'Propylene Recycling LC'!$C$49</f>
        <v>7.9364445588068699</v>
      </c>
      <c r="AF61" s="238">
        <f>'Propylene Recycling LC'!AE88*'Propylene Recycling LC'!AE49-'Propylene Recycling LC'!$C$88*'Propylene Recycling LC'!$C$49</f>
        <v>8.4727202564771442</v>
      </c>
      <c r="AG61" s="238">
        <f>'Propylene Recycling LC'!AF88*'Propylene Recycling LC'!AF49-'Propylene Recycling LC'!$C$88*'Propylene Recycling LC'!$C$49</f>
        <v>9.0173149961738943</v>
      </c>
      <c r="AH61" s="238">
        <f>'Propylene Recycling LC'!AG88*'Propylene Recycling LC'!AG49-'Propylene Recycling LC'!$C$88*'Propylene Recycling LC'!$C$49</f>
        <v>9.5702068110976004</v>
      </c>
    </row>
    <row r="62" spans="1:34" outlineLevel="1">
      <c r="A62"/>
      <c r="B62" t="s">
        <v>222</v>
      </c>
      <c r="C62" s="54" t="s">
        <v>153</v>
      </c>
      <c r="D62" s="44">
        <f>0</f>
        <v>0</v>
      </c>
      <c r="E62" s="44">
        <f>'Propylene Recycling LC'!D62*'Propylene Recycling LC'!D45-'Propylene Recycling LC'!$C$62*'Propylene Recycling LC'!$C$45</f>
        <v>3.5396026938245506E-2</v>
      </c>
      <c r="F62" s="44">
        <f>'Propylene Recycling LC'!E62*'Propylene Recycling LC'!E45-'Propylene Recycling LC'!$C$62*'Propylene Recycling LC'!$C$45</f>
        <v>7.230827381908389E-2</v>
      </c>
      <c r="G62" s="44">
        <f>'Propylene Recycling LC'!F62*'Propylene Recycling LC'!F45-'Propylene Recycling LC'!$C$62*'Propylene Recycling LC'!$C$45</f>
        <v>0.11058888282364165</v>
      </c>
      <c r="H62" s="44">
        <f>'Propylene Recycling LC'!G62*'Propylene Recycling LC'!G45-'Propylene Recycling LC'!$C$62*'Propylene Recycling LC'!$C$45</f>
        <v>0.15006613864057811</v>
      </c>
      <c r="I62" s="44">
        <f>'Propylene Recycling LC'!H62*'Propylene Recycling LC'!H45-'Propylene Recycling LC'!$C$62*'Propylene Recycling LC'!$C$45</f>
        <v>0.19054531700757033</v>
      </c>
      <c r="J62" s="44">
        <f>'Propylene Recycling LC'!I62*'Propylene Recycling LC'!I45-'Propylene Recycling LC'!$C$62*'Propylene Recycling LC'!$C$45</f>
        <v>0.23309713857457032</v>
      </c>
      <c r="K62" s="44">
        <f>'Propylene Recycling LC'!J62*'Propylene Recycling LC'!J45-'Propylene Recycling LC'!$C$62*'Propylene Recycling LC'!$C$45</f>
        <v>0.27776311386258873</v>
      </c>
      <c r="L62" s="44">
        <f>'Propylene Recycling LC'!K62*'Propylene Recycling LC'!K45-'Propylene Recycling LC'!$C$62*'Propylene Recycling LC'!$C$45</f>
        <v>0.32458210338128085</v>
      </c>
      <c r="M62" s="44">
        <f>'Propylene Recycling LC'!L62*'Propylene Recycling LC'!L45-'Propylene Recycling LC'!$C$62*'Propylene Recycling LC'!$C$45</f>
        <v>0.37359010272158782</v>
      </c>
      <c r="N62" s="44">
        <f>'Propylene Recycling LC'!M62*'Propylene Recycling LC'!M45-'Propylene Recycling LC'!$C$62*'Propylene Recycling LC'!$C$45</f>
        <v>0.42482002841536043</v>
      </c>
      <c r="O62" s="44">
        <f>'Propylene Recycling LC'!N62*'Propylene Recycling LC'!N45-'Propylene Recycling LC'!$C$62*'Propylene Recycling LC'!$C$45</f>
        <v>0.50466718159662705</v>
      </c>
      <c r="P62" s="44">
        <f>'Propylene Recycling LC'!O62*'Propylene Recycling LC'!O45-'Propylene Recycling LC'!$C$62*'Propylene Recycling LC'!$C$45</f>
        <v>0.58739025714647997</v>
      </c>
      <c r="Q62" s="44">
        <f>'Propylene Recycling LC'!P62*'Propylene Recycling LC'!P45-'Propylene Recycling LC'!$C$62*'Propylene Recycling LC'!$C$45</f>
        <v>0.67267187548477092</v>
      </c>
      <c r="R62" s="44">
        <f>'Propylene Recycling LC'!Q62*'Propylene Recycling LC'!Q45-'Propylene Recycling LC'!$C$62*'Propylene Recycling LC'!$C$45</f>
        <v>0.76015791772820762</v>
      </c>
      <c r="S62" s="44">
        <f>'Propylene Recycling LC'!R62*'Propylene Recycling LC'!R45-'Propylene Recycling LC'!$C$62*'Propylene Recycling LC'!$C$45</f>
        <v>0.84945954278352853</v>
      </c>
      <c r="T62" s="44">
        <f>'Propylene Recycling LC'!S62*'Propylene Recycling LC'!S45-'Propylene Recycling LC'!$C$62*'Propylene Recycling LC'!$C$45</f>
        <v>0.9425068413608173</v>
      </c>
      <c r="U62" s="44">
        <f>'Propylene Recycling LC'!T62*'Propylene Recycling LC'!T45-'Propylene Recycling LC'!$C$62*'Propylene Recycling LC'!$C$45</f>
        <v>1.0393640064063032</v>
      </c>
      <c r="V62" s="44">
        <f>'Propylene Recycling LC'!U62*'Propylene Recycling LC'!U45-'Propylene Recycling LC'!$C$62*'Propylene Recycling LC'!$C$45</f>
        <v>1.140094453969454</v>
      </c>
      <c r="W62" s="44">
        <f>'Propylene Recycling LC'!V62*'Propylene Recycling LC'!V45-'Propylene Recycling LC'!$C$62*'Propylene Recycling LC'!$C$45</f>
        <v>1.2447607628964594</v>
      </c>
      <c r="X62" s="44">
        <f>'Propylene Recycling LC'!W62*'Propylene Recycling LC'!W45-'Propylene Recycling LC'!$C$62*'Propylene Recycling LC'!$C$45</f>
        <v>1.3534246140768307</v>
      </c>
      <c r="Y62" s="44">
        <f>'Propylene Recycling LC'!X62*'Propylene Recycling LC'!X45-'Propylene Recycling LC'!$C$62*'Propylene Recycling LC'!$C$45</f>
        <v>1.5052136567814569</v>
      </c>
      <c r="Z62" s="44">
        <f>'Propylene Recycling LC'!Y62*'Propylene Recycling LC'!Y45-'Propylene Recycling LC'!$C$62*'Propylene Recycling LC'!$C$45</f>
        <v>1.6632495162948051</v>
      </c>
      <c r="AA62" s="44">
        <f>'Propylene Recycling LC'!Z62*'Propylene Recycling LC'!Z45-'Propylene Recycling LC'!$C$62*'Propylene Recycling LC'!$C$45</f>
        <v>1.8276343800088082</v>
      </c>
      <c r="AB62" s="44">
        <f>'Propylene Recycling LC'!AA62*'Propylene Recycling LC'!AA45-'Propylene Recycling LC'!$C$62*'Propylene Recycling LC'!$C$45</f>
        <v>1.9984692447193475</v>
      </c>
      <c r="AC62" s="44">
        <f>'Propylene Recycling LC'!AB62*'Propylene Recycling LC'!AB45-'Propylene Recycling LC'!$C$62*'Propylene Recycling LC'!$C$45</f>
        <v>2.1758538300681582</v>
      </c>
      <c r="AD62" s="44">
        <f>'Propylene Recycling LC'!AC62*'Propylene Recycling LC'!AC45-'Propylene Recycling LC'!$C$62*'Propylene Recycling LC'!$C$45</f>
        <v>2.3599122513602806</v>
      </c>
      <c r="AE62" s="44">
        <f>'Propylene Recycling LC'!AD62*'Propylene Recycling LC'!AD45-'Propylene Recycling LC'!$C$62*'Propylene Recycling LC'!$C$45</f>
        <v>2.550746860243287</v>
      </c>
      <c r="AF62" s="44">
        <f>'Propylene Recycling LC'!AE62*'Propylene Recycling LC'!AE45-'Propylene Recycling LC'!$C$62*'Propylene Recycling LC'!$C$45</f>
        <v>2.7484588672880972</v>
      </c>
      <c r="AG62" s="44">
        <f>'Propylene Recycling LC'!AF62*'Propylene Recycling LC'!AF45-'Propylene Recycling LC'!$C$62*'Propylene Recycling LC'!$C$45</f>
        <v>2.9531482635409181</v>
      </c>
      <c r="AH62" s="44">
        <f>'Propylene Recycling LC'!AG62*'Propylene Recycling LC'!AG45-'Propylene Recycling LC'!$C$62*'Propylene Recycling LC'!$C$45</f>
        <v>3.1649137415722439</v>
      </c>
    </row>
    <row r="63" spans="1:34" outlineLevel="1">
      <c r="A63"/>
      <c r="B63" t="s">
        <v>226</v>
      </c>
      <c r="C63" s="54" t="s">
        <v>153</v>
      </c>
      <c r="D63" s="44">
        <v>0</v>
      </c>
      <c r="E63" s="44">
        <v>0</v>
      </c>
      <c r="F63" s="44">
        <v>0</v>
      </c>
      <c r="G63" s="44">
        <v>0</v>
      </c>
      <c r="H63" s="44">
        <v>0</v>
      </c>
      <c r="I63" s="44">
        <v>0</v>
      </c>
      <c r="J63" s="44">
        <v>0</v>
      </c>
      <c r="K63" s="44">
        <v>0</v>
      </c>
      <c r="L63" s="44">
        <v>0</v>
      </c>
      <c r="M63" s="44">
        <v>0</v>
      </c>
      <c r="N63" s="44">
        <v>0</v>
      </c>
      <c r="O63" s="44">
        <v>0</v>
      </c>
      <c r="P63" s="44">
        <v>0</v>
      </c>
      <c r="Q63" s="44">
        <v>0</v>
      </c>
      <c r="R63" s="44">
        <v>0</v>
      </c>
      <c r="S63" s="44">
        <v>0</v>
      </c>
      <c r="T63" s="44">
        <v>0</v>
      </c>
      <c r="U63" s="44">
        <v>0</v>
      </c>
      <c r="V63" s="44">
        <v>0</v>
      </c>
      <c r="W63" s="44">
        <v>0</v>
      </c>
      <c r="X63" s="44">
        <v>0</v>
      </c>
      <c r="Y63" s="44">
        <v>0</v>
      </c>
      <c r="Z63" s="44">
        <v>0</v>
      </c>
      <c r="AA63" s="44">
        <v>0</v>
      </c>
      <c r="AB63" s="44">
        <v>0</v>
      </c>
      <c r="AC63" s="44">
        <v>0</v>
      </c>
      <c r="AD63" s="44">
        <v>0</v>
      </c>
      <c r="AE63" s="44">
        <v>0</v>
      </c>
      <c r="AF63" s="44">
        <v>0</v>
      </c>
      <c r="AG63" s="44">
        <v>0</v>
      </c>
      <c r="AH63" s="44">
        <v>0</v>
      </c>
    </row>
    <row r="64" spans="1:34" outlineLevel="1">
      <c r="A64" s="181"/>
      <c r="B64" s="181" t="s">
        <v>218</v>
      </c>
      <c r="C64" s="176" t="s">
        <v>153</v>
      </c>
      <c r="D64" s="238">
        <f>0</f>
        <v>0</v>
      </c>
      <c r="E64" s="238">
        <f>'Propylene Recycling LC'!D78*'Propylene Recycling LC'!D46-'Propylene Recycling LC'!$C$78*'Propylene Recycling LC'!$C$46</f>
        <v>2.5429988112853796E-2</v>
      </c>
      <c r="F64" s="238">
        <f>'Propylene Recycling LC'!E78*'Propylene Recycling LC'!E46-'Propylene Recycling LC'!$C$78*'Propylene Recycling LC'!$C$46</f>
        <v>5.0598336408314265E-2</v>
      </c>
      <c r="G64" s="238">
        <f>'Propylene Recycling LC'!F78*'Propylene Recycling LC'!F46-'Propylene Recycling LC'!$C$78*'Propylene Recycling LC'!$C$46</f>
        <v>7.5246849926113024E-2</v>
      </c>
      <c r="H64" s="238">
        <f>'Propylene Recycling LC'!G78*'Propylene Recycling LC'!G46-'Propylene Recycling LC'!$C$78*'Propylene Recycling LC'!$C$46</f>
        <v>9.9118250540737918E-2</v>
      </c>
      <c r="I64" s="238">
        <f>'Propylene Recycling LC'!H78*'Propylene Recycling LC'!H46-'Propylene Recycling LC'!$C$78*'Propylene Recycling LC'!$C$46</f>
        <v>0.12196017685664376</v>
      </c>
      <c r="J64" s="238">
        <f>'Propylene Recycling LC'!I78*'Propylene Recycling LC'!I46-'Propylene Recycling LC'!$C$78*'Propylene Recycling LC'!$C$46</f>
        <v>0.14405301093078163</v>
      </c>
      <c r="K64" s="238">
        <f>'Propylene Recycling LC'!J78*'Propylene Recycling LC'!J46-'Propylene Recycling LC'!$C$78*'Propylene Recycling LC'!$C$46</f>
        <v>0.16529902032849933</v>
      </c>
      <c r="L64" s="238">
        <f>'Propylene Recycling LC'!K78*'Propylene Recycling LC'!K46-'Propylene Recycling LC'!$C$78*'Propylene Recycling LC'!$C$46</f>
        <v>0.1855995633237256</v>
      </c>
      <c r="M64" s="238">
        <f>'Propylene Recycling LC'!L78*'Propylene Recycling LC'!L46-'Propylene Recycling LC'!$C$78*'Propylene Recycling LC'!$C$46</f>
        <v>0.20485537462938405</v>
      </c>
      <c r="N64" s="238">
        <f>'Propylene Recycling LC'!M78*'Propylene Recycling LC'!M46-'Propylene Recycling LC'!$C$78*'Propylene Recycling LC'!$C$46</f>
        <v>0.22296686174708044</v>
      </c>
      <c r="O64" s="238">
        <f>'Propylene Recycling LC'!N78*'Propylene Recycling LC'!N46-'Propylene Recycling LC'!$C$78*'Propylene Recycling LC'!$C$46</f>
        <v>0.26436100365523996</v>
      </c>
      <c r="P64" s="238">
        <f>'Propylene Recycling LC'!O78*'Propylene Recycling LC'!O46-'Propylene Recycling LC'!$C$78*'Propylene Recycling LC'!$C$46</f>
        <v>0.30274041232369142</v>
      </c>
      <c r="Q64" s="238">
        <f>'Propylene Recycling LC'!P78*'Propylene Recycling LC'!P46-'Propylene Recycling LC'!$C$78*'Propylene Recycling LC'!$C$46</f>
        <v>0.33862784765727671</v>
      </c>
      <c r="R64" s="238">
        <f>'Propylene Recycling LC'!Q78*'Propylene Recycling LC'!Q46-'Propylene Recycling LC'!$C$78*'Propylene Recycling LC'!$C$46</f>
        <v>0.37095306202726597</v>
      </c>
      <c r="S64" s="238">
        <f>'Propylene Recycling LC'!R78*'Propylene Recycling LC'!R46-'Propylene Recycling LC'!$C$78*'Propylene Recycling LC'!$C$46</f>
        <v>0.39940475546450194</v>
      </c>
      <c r="T64" s="238">
        <f>'Propylene Recycling LC'!S78*'Propylene Recycling LC'!S46-'Propylene Recycling LC'!$C$78*'Propylene Recycling LC'!$C$46</f>
        <v>0.42464975572193087</v>
      </c>
      <c r="U64" s="238">
        <f>'Propylene Recycling LC'!T78*'Propylene Recycling LC'!T46-'Propylene Recycling LC'!$C$78*'Propylene Recycling LC'!$C$46</f>
        <v>0.44656738545186636</v>
      </c>
      <c r="V64" s="238">
        <f>'Propylene Recycling LC'!U78*'Propylene Recycling LC'!U46-'Propylene Recycling LC'!$C$78*'Propylene Recycling LC'!$C$46</f>
        <v>0.46503681164415811</v>
      </c>
      <c r="W64" s="238">
        <f>'Propylene Recycling LC'!V78*'Propylene Recycling LC'!V46-'Propylene Recycling LC'!$C$78*'Propylene Recycling LC'!$C$46</f>
        <v>0.47993714087281536</v>
      </c>
      <c r="X64" s="238">
        <f>'Propylene Recycling LC'!W78*'Propylene Recycling LC'!W46-'Propylene Recycling LC'!$C$78*'Propylene Recycling LC'!$C$46</f>
        <v>0.49114751623886055</v>
      </c>
      <c r="Y64" s="238">
        <f>'Propylene Recycling LC'!X78*'Propylene Recycling LC'!X46-'Propylene Recycling LC'!$C$78*'Propylene Recycling LC'!$C$46</f>
        <v>0.52136743176091938</v>
      </c>
      <c r="Z64" s="238">
        <f>'Propylene Recycling LC'!Y78*'Propylene Recycling LC'!Y46-'Propylene Recycling LC'!$C$78*'Propylene Recycling LC'!$C$46</f>
        <v>0.54546665461370647</v>
      </c>
      <c r="AA64" s="238">
        <f>'Propylene Recycling LC'!Z78*'Propylene Recycling LC'!Z46-'Propylene Recycling LC'!$C$78*'Propylene Recycling LC'!$C$46</f>
        <v>0.56518922420505657</v>
      </c>
      <c r="AB64" s="238">
        <f>'Propylene Recycling LC'!AA78*'Propylene Recycling LC'!AA46-'Propylene Recycling LC'!$C$78*'Propylene Recycling LC'!$C$46</f>
        <v>0.57844806897563383</v>
      </c>
      <c r="AC64" s="238">
        <f>'Propylene Recycling LC'!AB78*'Propylene Recycling LC'!AB46-'Propylene Recycling LC'!$C$78*'Propylene Recycling LC'!$C$46</f>
        <v>0.58498344461454777</v>
      </c>
      <c r="AD64" s="238">
        <f>'Propylene Recycling LC'!AC78*'Propylene Recycling LC'!AC46-'Propylene Recycling LC'!$C$78*'Propylene Recycling LC'!$C$46</f>
        <v>0.58454057144195692</v>
      </c>
      <c r="AE64" s="238">
        <f>'Propylene Recycling LC'!AD78*'Propylene Recycling LC'!AD46-'Propylene Recycling LC'!$C$78*'Propylene Recycling LC'!$C$46</f>
        <v>0.57685667376717931</v>
      </c>
      <c r="AF64" s="238">
        <f>'Propylene Recycling LC'!AE78*'Propylene Recycling LC'!AE46-'Propylene Recycling LC'!$C$78*'Propylene Recycling LC'!$C$46</f>
        <v>0.56166741096190931</v>
      </c>
      <c r="AG64" s="238">
        <f>'Propylene Recycling LC'!AF78*'Propylene Recycling LC'!AF46-'Propylene Recycling LC'!$C$78*'Propylene Recycling LC'!$C$46</f>
        <v>0.53870703892798411</v>
      </c>
      <c r="AH64" s="238">
        <f>'Propylene Recycling LC'!AG78*'Propylene Recycling LC'!AG46-'Propylene Recycling LC'!$C$78*'Propylene Recycling LC'!$C$46</f>
        <v>0.50770857555845916</v>
      </c>
    </row>
    <row r="65" spans="1:46">
      <c r="A65" s="178"/>
      <c r="B65" s="239" t="s">
        <v>219</v>
      </c>
      <c r="C65" s="179" t="s">
        <v>153</v>
      </c>
      <c r="D65" s="241">
        <f>D60-D61-D62-D63-D64</f>
        <v>35.064810426540291</v>
      </c>
      <c r="E65" s="241">
        <f t="shared" ref="E65:AH65" si="26">E60-E61-E62-E63-E64</f>
        <v>35.913009493595112</v>
      </c>
      <c r="F65" s="241">
        <f t="shared" si="26"/>
        <v>36.78389491204274</v>
      </c>
      <c r="G65" s="241">
        <f t="shared" si="26"/>
        <v>37.679313168652186</v>
      </c>
      <c r="H65" s="241">
        <f t="shared" si="26"/>
        <v>38.601198677616175</v>
      </c>
      <c r="I65" s="241">
        <f t="shared" si="26"/>
        <v>39.551560336382991</v>
      </c>
      <c r="J65" s="241">
        <f t="shared" si="26"/>
        <v>40.304212311719439</v>
      </c>
      <c r="K65" s="241">
        <f t="shared" si="26"/>
        <v>41.072267525905218</v>
      </c>
      <c r="L65" s="241">
        <f t="shared" si="26"/>
        <v>41.856262972993498</v>
      </c>
      <c r="M65" s="241">
        <f t="shared" si="26"/>
        <v>42.656756586042647</v>
      </c>
      <c r="N65" s="241">
        <f t="shared" si="26"/>
        <v>43.474327456035347</v>
      </c>
      <c r="O65" s="241">
        <f t="shared" si="26"/>
        <v>42.941107922733494</v>
      </c>
      <c r="P65" s="241">
        <f t="shared" si="26"/>
        <v>42.396399162067283</v>
      </c>
      <c r="Q65" s="241">
        <f t="shared" si="26"/>
        <v>41.841205615916508</v>
      </c>
      <c r="R65" s="241">
        <f t="shared" si="26"/>
        <v>41.278206147842937</v>
      </c>
      <c r="S65" s="241">
        <f t="shared" si="26"/>
        <v>40.709387554466666</v>
      </c>
      <c r="T65" s="241">
        <f t="shared" si="26"/>
        <v>40.068604212786539</v>
      </c>
      <c r="U65" s="241">
        <f t="shared" si="26"/>
        <v>39.410546730208566</v>
      </c>
      <c r="V65" s="241">
        <f t="shared" si="26"/>
        <v>38.735028614920751</v>
      </c>
      <c r="W65" s="241">
        <f t="shared" si="26"/>
        <v>38.041862040325611</v>
      </c>
      <c r="X65" s="241">
        <f t="shared" si="26"/>
        <v>37.330857757781793</v>
      </c>
      <c r="Y65" s="241">
        <f t="shared" si="26"/>
        <v>36.319418270334936</v>
      </c>
      <c r="Z65" s="241">
        <f t="shared" si="26"/>
        <v>35.28547082871976</v>
      </c>
      <c r="AA65" s="241">
        <f t="shared" si="26"/>
        <v>34.226891086259045</v>
      </c>
      <c r="AB65" s="241">
        <f t="shared" si="26"/>
        <v>33.145385382549478</v>
      </c>
      <c r="AC65" s="241">
        <f t="shared" si="26"/>
        <v>32.040832345836137</v>
      </c>
      <c r="AD65" s="241">
        <f t="shared" si="26"/>
        <v>30.86172224607996</v>
      </c>
      <c r="AE65" s="241">
        <f t="shared" si="26"/>
        <v>29.658348425913641</v>
      </c>
      <c r="AF65" s="241">
        <f t="shared" si="26"/>
        <v>28.430561476718683</v>
      </c>
      <c r="AG65" s="241">
        <f t="shared" si="26"/>
        <v>27.178212129481533</v>
      </c>
      <c r="AH65" s="241">
        <f t="shared" si="26"/>
        <v>25.901151107033733</v>
      </c>
    </row>
    <row r="66" spans="1:46" s="67" customFormat="1">
      <c r="A66" s="58" t="s">
        <v>67</v>
      </c>
      <c r="B66" s="58" t="s">
        <v>227</v>
      </c>
      <c r="C66" s="100" t="s">
        <v>153</v>
      </c>
      <c r="D66" s="101">
        <f>D45+D52+D56+D57+D58+D62+D63+D64</f>
        <v>0</v>
      </c>
      <c r="E66" s="101">
        <f t="shared" ref="E66:AH66" si="27">E45+E52+E56+E57+E58+E62+E63+E64</f>
        <v>0.24761899056026584</v>
      </c>
      <c r="F66" s="101">
        <f t="shared" si="27"/>
        <v>0.50209230356295909</v>
      </c>
      <c r="G66" s="101">
        <f t="shared" si="27"/>
        <v>0.76196344169074437</v>
      </c>
      <c r="H66" s="101">
        <f t="shared" si="27"/>
        <v>1.0256591669271626</v>
      </c>
      <c r="I66" s="101">
        <f t="shared" si="27"/>
        <v>1.2915048540840843</v>
      </c>
      <c r="J66" s="101">
        <f t="shared" si="27"/>
        <v>1.5656329454583562</v>
      </c>
      <c r="K66" s="101">
        <f t="shared" si="27"/>
        <v>1.8479795146698863</v>
      </c>
      <c r="L66" s="101">
        <f t="shared" si="27"/>
        <v>2.1384648594723088</v>
      </c>
      <c r="M66" s="101">
        <f t="shared" si="27"/>
        <v>2.4369932209117837</v>
      </c>
      <c r="N66" s="101">
        <f t="shared" si="27"/>
        <v>2.7434525358186921</v>
      </c>
      <c r="O66" s="101">
        <f t="shared" si="27"/>
        <v>3.2576720292476908</v>
      </c>
      <c r="P66" s="101">
        <f t="shared" si="27"/>
        <v>3.7778968755204323</v>
      </c>
      <c r="Q66" s="101">
        <f t="shared" si="27"/>
        <v>4.3039922875829566</v>
      </c>
      <c r="R66" s="101">
        <f t="shared" si="27"/>
        <v>4.831214760938999</v>
      </c>
      <c r="S66" s="101">
        <f t="shared" si="27"/>
        <v>5.3567553679857038</v>
      </c>
      <c r="T66" s="101">
        <f t="shared" si="27"/>
        <v>5.8921168615872279</v>
      </c>
      <c r="U66" s="101">
        <f t="shared" si="27"/>
        <v>6.4372849916200341</v>
      </c>
      <c r="V66" s="101">
        <f t="shared" si="27"/>
        <v>6.9922411910810407</v>
      </c>
      <c r="W66" s="101">
        <f t="shared" si="27"/>
        <v>7.5569625391290058</v>
      </c>
      <c r="X66" s="101">
        <f t="shared" si="27"/>
        <v>8.1314217266032109</v>
      </c>
      <c r="Y66" s="101">
        <f t="shared" si="27"/>
        <v>8.9743111499098394</v>
      </c>
      <c r="Z66" s="101">
        <f t="shared" si="27"/>
        <v>9.8314327331787652</v>
      </c>
      <c r="AA66" s="101">
        <f t="shared" si="27"/>
        <v>10.708141967280309</v>
      </c>
      <c r="AB66" s="101">
        <f t="shared" si="27"/>
        <v>11.599146415195719</v>
      </c>
      <c r="AC66" s="101">
        <f t="shared" si="27"/>
        <v>12.504223163158979</v>
      </c>
      <c r="AD66" s="101">
        <f t="shared" si="27"/>
        <v>13.423285066362395</v>
      </c>
      <c r="AE66" s="101">
        <f t="shared" si="27"/>
        <v>14.356113950569711</v>
      </c>
      <c r="AF66" s="101">
        <f t="shared" si="27"/>
        <v>15.302481589112457</v>
      </c>
      <c r="AG66" s="101">
        <f t="shared" si="27"/>
        <v>16.262149759171212</v>
      </c>
      <c r="AH66" s="101">
        <f t="shared" si="27"/>
        <v>17.234870306634718</v>
      </c>
    </row>
    <row r="67" spans="1:46" s="68" customFormat="1">
      <c r="B67" s="62" t="s">
        <v>228</v>
      </c>
      <c r="C67" s="63" t="s">
        <v>153</v>
      </c>
      <c r="D67" s="64">
        <f>D44+D48+D51+D55+D61</f>
        <v>0</v>
      </c>
      <c r="E67" s="64">
        <f t="shared" ref="E67:AH67" si="28">E44+E48+E51+E55+E61</f>
        <v>0.28729705717999032</v>
      </c>
      <c r="F67" s="64">
        <f t="shared" si="28"/>
        <v>0.58986309707585693</v>
      </c>
      <c r="G67" s="64">
        <f t="shared" si="28"/>
        <v>0.90666000264404456</v>
      </c>
      <c r="H67" s="64">
        <f t="shared" si="28"/>
        <v>1.2364208045137253</v>
      </c>
      <c r="I67" s="64">
        <f t="shared" si="28"/>
        <v>1.5776529974303135</v>
      </c>
      <c r="J67" s="64">
        <f t="shared" si="28"/>
        <v>1.9386811478003965</v>
      </c>
      <c r="K67" s="64">
        <f t="shared" si="28"/>
        <v>2.3199682819887548</v>
      </c>
      <c r="L67" s="64">
        <f t="shared" si="28"/>
        <v>2.7219525844879233</v>
      </c>
      <c r="M67" s="64">
        <f t="shared" si="28"/>
        <v>3.1450451545302442</v>
      </c>
      <c r="N67" s="64">
        <f t="shared" si="28"/>
        <v>3.5896277664967142</v>
      </c>
      <c r="O67" s="64">
        <f t="shared" si="28"/>
        <v>4.3062322559823416</v>
      </c>
      <c r="P67" s="64">
        <f t="shared" si="28"/>
        <v>5.0514652194476666</v>
      </c>
      <c r="Q67" s="64">
        <f t="shared" si="28"/>
        <v>5.8240381484143988</v>
      </c>
      <c r="R67" s="64">
        <f t="shared" si="28"/>
        <v>6.6197528399863241</v>
      </c>
      <c r="S67" s="64">
        <f t="shared" si="28"/>
        <v>7.4351302457655928</v>
      </c>
      <c r="T67" s="64">
        <f t="shared" si="28"/>
        <v>8.28617185079408</v>
      </c>
      <c r="U67" s="64">
        <f t="shared" si="28"/>
        <v>9.1735067117273381</v>
      </c>
      <c r="V67" s="64">
        <f t="shared" si="28"/>
        <v>10.097756293363078</v>
      </c>
      <c r="W67" s="64">
        <f t="shared" si="28"/>
        <v>11.059533861649005</v>
      </c>
      <c r="X67" s="64">
        <f t="shared" si="28"/>
        <v>12.059443872123554</v>
      </c>
      <c r="Y67" s="64">
        <f t="shared" si="28"/>
        <v>13.584487174764629</v>
      </c>
      <c r="Z67" s="64">
        <f t="shared" si="28"/>
        <v>15.174268171365016</v>
      </c>
      <c r="AA67" s="64">
        <f t="shared" si="28"/>
        <v>16.839138201000811</v>
      </c>
      <c r="AB67" s="64">
        <f t="shared" si="28"/>
        <v>18.573237842997514</v>
      </c>
      <c r="AC67" s="64">
        <f t="shared" si="28"/>
        <v>20.377830634627628</v>
      </c>
      <c r="AD67" s="64">
        <f t="shared" si="28"/>
        <v>22.254405822230684</v>
      </c>
      <c r="AE67" s="64">
        <f t="shared" si="28"/>
        <v>24.204260643139122</v>
      </c>
      <c r="AF67" s="64">
        <f t="shared" si="28"/>
        <v>26.228684067537742</v>
      </c>
      <c r="AG67" s="64">
        <f t="shared" si="28"/>
        <v>28.328955830133669</v>
      </c>
      <c r="AH67" s="64">
        <f t="shared" si="28"/>
        <v>30.506345450647423</v>
      </c>
    </row>
    <row r="68" spans="1:46" s="104" customFormat="1">
      <c r="A68" s="102" t="s">
        <v>390</v>
      </c>
      <c r="B68" s="102"/>
      <c r="C68" s="103" t="s">
        <v>153</v>
      </c>
      <c r="D68" s="105">
        <f t="shared" ref="D68:AG68" si="29">D46+D49+D53+IF(D59&lt;0,0,D59)+D65</f>
        <v>111.92307692307692</v>
      </c>
      <c r="E68" s="105">
        <f t="shared" si="29"/>
        <v>113.6241172252894</v>
      </c>
      <c r="F68" s="105">
        <f t="shared" si="29"/>
        <v>115.34759937243875</v>
      </c>
      <c r="G68" s="105">
        <f t="shared" si="29"/>
        <v>117.09690460843156</v>
      </c>
      <c r="H68" s="105">
        <f t="shared" si="29"/>
        <v>118.87577738517825</v>
      </c>
      <c r="I68" s="105">
        <f t="shared" si="29"/>
        <v>120.68830704220993</v>
      </c>
      <c r="J68" s="105">
        <f t="shared" si="29"/>
        <v>122.30025837525362</v>
      </c>
      <c r="K68" s="105">
        <f t="shared" si="29"/>
        <v>123.9245566821261</v>
      </c>
      <c r="L68" s="105">
        <f t="shared" si="29"/>
        <v>125.56158445711148</v>
      </c>
      <c r="M68" s="105">
        <f t="shared" si="29"/>
        <v>127.21178077394829</v>
      </c>
      <c r="N68" s="105">
        <f t="shared" si="29"/>
        <v>128.87564401642831</v>
      </c>
      <c r="O68" s="105">
        <f t="shared" si="29"/>
        <v>128.96075212470728</v>
      </c>
      <c r="P68" s="105">
        <f t="shared" si="29"/>
        <v>129.02533433306832</v>
      </c>
      <c r="Q68" s="105">
        <f t="shared" si="29"/>
        <v>129.07099005624343</v>
      </c>
      <c r="R68" s="105">
        <f t="shared" si="29"/>
        <v>129.10683972956593</v>
      </c>
      <c r="S68" s="105">
        <f t="shared" si="29"/>
        <v>129.13935270986235</v>
      </c>
      <c r="T68" s="105">
        <f t="shared" si="29"/>
        <v>129.0853524439508</v>
      </c>
      <c r="U68" s="105">
        <f t="shared" si="29"/>
        <v>128.99927369159255</v>
      </c>
      <c r="V68" s="105">
        <f t="shared" si="29"/>
        <v>128.88068990797564</v>
      </c>
      <c r="W68" s="105">
        <f t="shared" si="29"/>
        <v>128.72918978133356</v>
      </c>
      <c r="X68" s="105">
        <f t="shared" si="29"/>
        <v>128.54437792555774</v>
      </c>
      <c r="Y68" s="105">
        <f t="shared" si="29"/>
        <v>127.55240532467636</v>
      </c>
      <c r="Z68" s="105">
        <f t="shared" si="29"/>
        <v>126.49633697026289</v>
      </c>
      <c r="AA68" s="105">
        <f t="shared" si="29"/>
        <v>125.36066641159002</v>
      </c>
      <c r="AB68" s="105">
        <f t="shared" si="29"/>
        <v>124.15674916922406</v>
      </c>
      <c r="AC68" s="105">
        <f t="shared" si="29"/>
        <v>122.88375162633231</v>
      </c>
      <c r="AD68" s="105">
        <f t="shared" si="29"/>
        <v>121.48921168467008</v>
      </c>
      <c r="AE68" s="105">
        <f t="shared" si="29"/>
        <v>120.02269704087668</v>
      </c>
      <c r="AF68" s="105">
        <f t="shared" si="29"/>
        <v>118.48335409949063</v>
      </c>
      <c r="AG68" s="105">
        <f t="shared" si="29"/>
        <v>116.87035198099292</v>
      </c>
      <c r="AH68" s="105">
        <f>AH46+AH49+AH53+AH59+AH65</f>
        <v>115.18288350143496</v>
      </c>
      <c r="AI68" s="641">
        <f>AH68-AH42</f>
        <v>-47.741215757282134</v>
      </c>
      <c r="AJ68" s="104" t="s">
        <v>385</v>
      </c>
    </row>
    <row r="69" spans="1:46">
      <c r="A69" s="1" t="s">
        <v>230</v>
      </c>
      <c r="C69" s="59" t="s">
        <v>153</v>
      </c>
      <c r="D69" s="66">
        <f>'Propylene Recycling LC'!C190</f>
        <v>0</v>
      </c>
      <c r="E69" s="66">
        <f>'Propylene Recycling LC'!D190</f>
        <v>0</v>
      </c>
      <c r="F69" s="66">
        <f>'Propylene Recycling LC'!E190</f>
        <v>0</v>
      </c>
      <c r="G69" s="66">
        <f>'Propylene Recycling LC'!F190</f>
        <v>0</v>
      </c>
      <c r="H69" s="66">
        <f>'Propylene Recycling LC'!G190</f>
        <v>0</v>
      </c>
      <c r="I69" s="66">
        <f>'Propylene Recycling LC'!H190</f>
        <v>0</v>
      </c>
      <c r="J69" s="66">
        <f>'Propylene Recycling LC'!I190</f>
        <v>0</v>
      </c>
      <c r="K69" s="66">
        <f>'Propylene Recycling LC'!J190</f>
        <v>0</v>
      </c>
      <c r="L69" s="66">
        <f>'Propylene Recycling LC'!K190</f>
        <v>0</v>
      </c>
      <c r="M69" s="66">
        <f>'Propylene Recycling LC'!L190</f>
        <v>0</v>
      </c>
      <c r="N69" s="66">
        <f>'Propylene Recycling LC'!M190</f>
        <v>0</v>
      </c>
      <c r="O69" s="66">
        <f>'Propylene Recycling LC'!N190</f>
        <v>0</v>
      </c>
      <c r="P69" s="66">
        <f>'Propylene Recycling LC'!O190</f>
        <v>0</v>
      </c>
      <c r="Q69" s="66">
        <f>'Propylene Recycling LC'!P190</f>
        <v>0</v>
      </c>
      <c r="R69" s="66">
        <f>'Propylene Recycling LC'!Q190</f>
        <v>0</v>
      </c>
      <c r="S69" s="66">
        <f>'Propylene Recycling LC'!R190</f>
        <v>0</v>
      </c>
      <c r="T69" s="66">
        <f>'Propylene Recycling LC'!S190</f>
        <v>0</v>
      </c>
      <c r="U69" s="66">
        <f>'Propylene Recycling LC'!T190</f>
        <v>0</v>
      </c>
      <c r="V69" s="66">
        <f>'Propylene Recycling LC'!U190</f>
        <v>0</v>
      </c>
      <c r="W69" s="66">
        <f>'Propylene Recycling LC'!V190</f>
        <v>0</v>
      </c>
      <c r="X69" s="66">
        <f>'Propylene Recycling LC'!W190</f>
        <v>0</v>
      </c>
      <c r="Y69" s="66">
        <f>'Propylene Recycling LC'!X190</f>
        <v>0</v>
      </c>
      <c r="Z69" s="66">
        <f>'Propylene Recycling LC'!Y190</f>
        <v>0</v>
      </c>
      <c r="AA69" s="66">
        <f>'Propylene Recycling LC'!Z190</f>
        <v>0</v>
      </c>
      <c r="AB69" s="66">
        <f>'Propylene Recycling LC'!AA190</f>
        <v>0</v>
      </c>
      <c r="AC69" s="66">
        <f>'Propylene Recycling LC'!AB190</f>
        <v>0</v>
      </c>
      <c r="AD69" s="66">
        <f>'Propylene Recycling LC'!AC190</f>
        <v>0</v>
      </c>
      <c r="AE69" s="66">
        <f>'Propylene Recycling LC'!AD190</f>
        <v>0</v>
      </c>
      <c r="AF69" s="66">
        <f>'Propylene Recycling LC'!AE190</f>
        <v>0</v>
      </c>
      <c r="AG69" s="66">
        <f>'Propylene Recycling LC'!AF190</f>
        <v>0</v>
      </c>
      <c r="AH69" s="66">
        <f>'Propylene Recycling LC'!AG190</f>
        <v>0</v>
      </c>
    </row>
    <row r="70" spans="1:46">
      <c r="A70" s="1" t="s">
        <v>231</v>
      </c>
      <c r="C70" s="283" t="s">
        <v>153</v>
      </c>
      <c r="D70" s="66">
        <f>'Propylene Recycling LC'!C192</f>
        <v>2.0103622794979166E-5</v>
      </c>
      <c r="E70" s="66">
        <f>'Propylene Recycling LC'!D192</f>
        <v>4.3528642049349038E-5</v>
      </c>
      <c r="F70" s="66">
        <f>'Propylene Recycling LC'!E192</f>
        <v>9.3510581503332212E-5</v>
      </c>
      <c r="G70" s="66">
        <f>'Propylene Recycling LC'!F192</f>
        <v>1.9922914025565945E-4</v>
      </c>
      <c r="H70" s="66">
        <f>'Propylene Recycling LC'!G192</f>
        <v>4.2066344896991994E-4</v>
      </c>
      <c r="I70" s="66">
        <f>'Propylene Recycling LC'!H192</f>
        <v>8.792444860220226E-4</v>
      </c>
      <c r="J70" s="66">
        <f>'Propylene Recycling LC'!I192</f>
        <v>1.8200413906113168E-3</v>
      </c>
      <c r="K70" s="66">
        <f>'Propylene Recycling LC'!J192</f>
        <v>3.7223130538546847E-3</v>
      </c>
      <c r="L70" s="66">
        <f>'Propylene Recycling LC'!K192</f>
        <v>7.4969932007711926E-3</v>
      </c>
      <c r="M70" s="66">
        <f>'Propylene Recycling LC'!L192</f>
        <v>1.4805774381612563E-2</v>
      </c>
      <c r="N70" s="66">
        <f>'Propylene Recycling LC'!M192</f>
        <v>2.8637917419264258E-2</v>
      </c>
      <c r="O70" s="66">
        <f>'Propylene Recycling LC'!N192</f>
        <v>5.1865315575438393E-2</v>
      </c>
      <c r="P70" s="66">
        <f>'Propylene Recycling LC'!O192</f>
        <v>9.0618136915540368E-2</v>
      </c>
      <c r="Q70" s="66">
        <f>'Propylene Recycling LC'!P192</f>
        <v>0.15092502940253727</v>
      </c>
      <c r="R70" s="66">
        <f>'Propylene Recycling LC'!Q192</f>
        <v>0.23799030891330661</v>
      </c>
      <c r="S70" s="66">
        <f>'Propylene Recycling LC'!R192</f>
        <v>0.35376416411709904</v>
      </c>
      <c r="T70" s="66">
        <f>'Propylene Recycling LC'!S192</f>
        <v>0.49546706555939302</v>
      </c>
      <c r="U70" s="66">
        <f>'Propylene Recycling LC'!T192</f>
        <v>0.65516659390709009</v>
      </c>
      <c r="V70" s="66">
        <f>'Propylene Recycling LC'!U192</f>
        <v>0.82191093943388582</v>
      </c>
      <c r="W70" s="66">
        <f>'Propylene Recycling LC'!V192</f>
        <v>0.98502880269324467</v>
      </c>
      <c r="X70" s="66">
        <f>'Propylene Recycling LC'!W192</f>
        <v>1.1367290433274451</v>
      </c>
      <c r="Y70" s="66">
        <f>'Propylene Recycling LC'!X192</f>
        <v>1.2299056248690099</v>
      </c>
      <c r="Z70" s="66">
        <f>'Propylene Recycling LC'!Y192</f>
        <v>1.2982690109392225</v>
      </c>
      <c r="AA70" s="66">
        <f>'Propylene Recycling LC'!Z192</f>
        <v>1.3457835806254472</v>
      </c>
      <c r="AB70" s="66">
        <f>'Propylene Recycling LC'!AA192</f>
        <v>1.3776333846773241</v>
      </c>
      <c r="AC70" s="66">
        <f>'Propylene Recycling LC'!AB192</f>
        <v>1.4002423281732019</v>
      </c>
      <c r="AD70" s="66">
        <f>'Propylene Recycling LC'!AC192</f>
        <v>1.4204056997144163</v>
      </c>
      <c r="AE70" s="66">
        <f>'Propylene Recycling LC'!AD192</f>
        <v>1.4442193601814548</v>
      </c>
      <c r="AF70" s="66">
        <f>'Propylene Recycling LC'!AE192</f>
        <v>1.475271804015762</v>
      </c>
      <c r="AG70" s="66">
        <f>'Propylene Recycling LC'!AF192</f>
        <v>1.5806986622885675</v>
      </c>
      <c r="AH70" s="66">
        <f>'Propylene Recycling LC'!AG192</f>
        <v>1.8092460095558578</v>
      </c>
    </row>
    <row r="71" spans="1:46" s="104" customFormat="1">
      <c r="A71" s="102" t="s">
        <v>391</v>
      </c>
      <c r="B71" s="102"/>
      <c r="C71" s="103" t="s">
        <v>153</v>
      </c>
      <c r="D71" s="105">
        <f>D68-D69-D70</f>
        <v>111.92305681945412</v>
      </c>
      <c r="E71" s="105">
        <f t="shared" ref="E71:AH71" si="30">E68-E69-E70</f>
        <v>113.62407369664734</v>
      </c>
      <c r="F71" s="105">
        <f t="shared" si="30"/>
        <v>115.34750586185724</v>
      </c>
      <c r="G71" s="105">
        <f t="shared" si="30"/>
        <v>117.09670537929131</v>
      </c>
      <c r="H71" s="105">
        <f t="shared" si="30"/>
        <v>118.87535672172929</v>
      </c>
      <c r="I71" s="105">
        <f t="shared" si="30"/>
        <v>120.6874277977239</v>
      </c>
      <c r="J71" s="105">
        <f t="shared" si="30"/>
        <v>122.298438333863</v>
      </c>
      <c r="K71" s="105">
        <f t="shared" si="30"/>
        <v>123.92083436907224</v>
      </c>
      <c r="L71" s="105">
        <f t="shared" si="30"/>
        <v>125.5540874639107</v>
      </c>
      <c r="M71" s="105">
        <f t="shared" si="30"/>
        <v>127.19697499956668</v>
      </c>
      <c r="N71" s="105">
        <f t="shared" si="30"/>
        <v>128.84700609900904</v>
      </c>
      <c r="O71" s="105">
        <f t="shared" si="30"/>
        <v>128.90888680913184</v>
      </c>
      <c r="P71" s="105">
        <f t="shared" si="30"/>
        <v>128.93471619615278</v>
      </c>
      <c r="Q71" s="105">
        <f t="shared" si="30"/>
        <v>128.92006502684089</v>
      </c>
      <c r="R71" s="105">
        <f t="shared" si="30"/>
        <v>128.86884942065262</v>
      </c>
      <c r="S71" s="105">
        <f t="shared" si="30"/>
        <v>128.78558854574524</v>
      </c>
      <c r="T71" s="105">
        <f t="shared" si="30"/>
        <v>128.58988537839141</v>
      </c>
      <c r="U71" s="105">
        <f t="shared" si="30"/>
        <v>128.34410709768545</v>
      </c>
      <c r="V71" s="105">
        <f t="shared" si="30"/>
        <v>128.05877896854176</v>
      </c>
      <c r="W71" s="105">
        <f t="shared" si="30"/>
        <v>127.74416097864031</v>
      </c>
      <c r="X71" s="105">
        <f t="shared" si="30"/>
        <v>127.40764888223029</v>
      </c>
      <c r="Y71" s="105">
        <f t="shared" si="30"/>
        <v>126.32249969980735</v>
      </c>
      <c r="Z71" s="105">
        <f t="shared" si="30"/>
        <v>125.19806795932367</v>
      </c>
      <c r="AA71" s="105">
        <f t="shared" si="30"/>
        <v>124.01488283096457</v>
      </c>
      <c r="AB71" s="105">
        <f t="shared" si="30"/>
        <v>122.77911578454673</v>
      </c>
      <c r="AC71" s="105">
        <f t="shared" si="30"/>
        <v>121.48350929815911</v>
      </c>
      <c r="AD71" s="105">
        <f t="shared" si="30"/>
        <v>120.06880598495566</v>
      </c>
      <c r="AE71" s="105">
        <f t="shared" si="30"/>
        <v>118.57847768069523</v>
      </c>
      <c r="AF71" s="105">
        <f t="shared" si="30"/>
        <v>117.00808229547486</v>
      </c>
      <c r="AG71" s="105">
        <f t="shared" si="30"/>
        <v>115.28965331870435</v>
      </c>
      <c r="AH71" s="105">
        <f t="shared" si="30"/>
        <v>113.37363749187909</v>
      </c>
    </row>
    <row r="72" spans="1:46" s="426" customFormat="1">
      <c r="A72" s="425" t="s">
        <v>233</v>
      </c>
      <c r="C72" s="429" t="s">
        <v>153</v>
      </c>
      <c r="D72" s="430">
        <f>'Propylene Recycling LC'!C199</f>
        <v>9.9134984978047527</v>
      </c>
      <c r="E72" s="430">
        <f>'Propylene Recycling LC'!D199</f>
        <v>10.758684902091741</v>
      </c>
      <c r="F72" s="430">
        <f>'Propylene Recycling LC'!E199</f>
        <v>11.614490321814387</v>
      </c>
      <c r="G72" s="430">
        <f>'Propylene Recycling LC'!F199</f>
        <v>12.475459134209812</v>
      </c>
      <c r="H72" s="430">
        <f>'Propylene Recycling LC'!G199</f>
        <v>13.335819604112976</v>
      </c>
      <c r="I72" s="430">
        <f>'Propylene Recycling LC'!H199</f>
        <v>14.189515136445753</v>
      </c>
      <c r="J72" s="430">
        <f>'Propylene Recycling LC'!I199</f>
        <v>15.062640510278248</v>
      </c>
      <c r="K72" s="430">
        <f>'Propylene Recycling LC'!J199</f>
        <v>15.954051662954013</v>
      </c>
      <c r="L72" s="430">
        <f>'Propylene Recycling LC'!K199</f>
        <v>16.862113154742119</v>
      </c>
      <c r="M72" s="430">
        <f>'Propylene Recycling LC'!L199</f>
        <v>17.784379210850247</v>
      </c>
      <c r="N72" s="430">
        <f>'Propylene Recycling LC'!M199</f>
        <v>18.717017227111704</v>
      </c>
      <c r="O72" s="430">
        <f>'Propylene Recycling LC'!N199</f>
        <v>19.160837128188707</v>
      </c>
      <c r="P72" s="430">
        <f>'Propylene Recycling LC'!O199</f>
        <v>19.546487647953601</v>
      </c>
      <c r="Q72" s="430">
        <f>'Propylene Recycling LC'!P199</f>
        <v>19.864700469035679</v>
      </c>
      <c r="R72" s="430">
        <f>'Propylene Recycling LC'!Q199</f>
        <v>20.10683052711148</v>
      </c>
      <c r="S72" s="430">
        <f>'Propylene Recycling LC'!R199</f>
        <v>20.268300354602246</v>
      </c>
      <c r="T72" s="430">
        <f>'Propylene Recycling LC'!S199</f>
        <v>20.387167368356273</v>
      </c>
      <c r="U72" s="430">
        <f>'Propylene Recycling LC'!T199</f>
        <v>20.470652503463818</v>
      </c>
      <c r="V72" s="430">
        <f>'Propylene Recycling LC'!U199</f>
        <v>20.528991065929088</v>
      </c>
      <c r="W72" s="430">
        <f>'Propylene Recycling LC'!V199</f>
        <v>20.572133273762791</v>
      </c>
      <c r="X72" s="430">
        <f>'Propylene Recycling LC'!W199</f>
        <v>20.607145062381637</v>
      </c>
      <c r="Y72" s="430">
        <f>'Propylene Recycling LC'!X199</f>
        <v>19.935808372210953</v>
      </c>
      <c r="Z72" s="430">
        <f>'Propylene Recycling LC'!Y199</f>
        <v>19.238884082957398</v>
      </c>
      <c r="AA72" s="430">
        <f>'Propylene Recycling LC'!Z199</f>
        <v>18.514266302393427</v>
      </c>
      <c r="AB72" s="430">
        <f>'Propylene Recycling LC'!AA199</f>
        <v>17.751332531901312</v>
      </c>
      <c r="AC72" s="430">
        <f>'Propylene Recycling LC'!AB199</f>
        <v>16.942476028501336</v>
      </c>
      <c r="AD72" s="430">
        <f>'Propylene Recycling LC'!AC199</f>
        <v>16.079888954024842</v>
      </c>
      <c r="AE72" s="430">
        <f>'Propylene Recycling LC'!AD199</f>
        <v>15.156277821058803</v>
      </c>
      <c r="AF72" s="430">
        <f>'Propylene Recycling LC'!AE199</f>
        <v>14.16685968934819</v>
      </c>
      <c r="AG72" s="430">
        <f>'Propylene Recycling LC'!AF199</f>
        <v>13.704764856129492</v>
      </c>
      <c r="AH72" s="430">
        <f>'Propylene Recycling LC'!AG199</f>
        <v>14.026569826394839</v>
      </c>
      <c r="AI72" s="430"/>
    </row>
    <row r="73" spans="1:46" s="428" customFormat="1">
      <c r="A73" s="427" t="s">
        <v>234</v>
      </c>
      <c r="C73" s="431" t="s">
        <v>153</v>
      </c>
      <c r="D73" s="432">
        <f>'Propylene Recycling LC'!C200</f>
        <v>71.728753660641544</v>
      </c>
      <c r="E73" s="432">
        <f>'Propylene Recycling LC'!D200</f>
        <v>74.13668198239219</v>
      </c>
      <c r="F73" s="432">
        <f>'Propylene Recycling LC'!E200</f>
        <v>76.417951701088924</v>
      </c>
      <c r="G73" s="432">
        <f>'Propylene Recycling LC'!F200</f>
        <v>78.556228238059788</v>
      </c>
      <c r="H73" s="432">
        <f>'Propylene Recycling LC'!G200</f>
        <v>80.535855513784895</v>
      </c>
      <c r="I73" s="432">
        <f>'Propylene Recycling LC'!H200</f>
        <v>82.34201447572535</v>
      </c>
      <c r="J73" s="432">
        <f>'Propylene Recycling LC'!I200</f>
        <v>84.1419882410338</v>
      </c>
      <c r="K73" s="432">
        <f>'Propylene Recycling LC'!J200</f>
        <v>85.933115334243865</v>
      </c>
      <c r="L73" s="432">
        <f>'Propylene Recycling LC'!K200</f>
        <v>87.712262598935567</v>
      </c>
      <c r="M73" s="432">
        <f>'Propylene Recycling LC'!L200</f>
        <v>89.475510033999058</v>
      </c>
      <c r="N73" s="432">
        <f>'Propylene Recycling LC'!M200</f>
        <v>91.217578102625623</v>
      </c>
      <c r="O73" s="432">
        <f>'Propylene Recycling LC'!N200</f>
        <v>92.33301680967844</v>
      </c>
      <c r="P73" s="432">
        <f>'Propylene Recycling LC'!O200</f>
        <v>93.248117412134491</v>
      </c>
      <c r="Q73" s="432">
        <f>'Propylene Recycling LC'!P200</f>
        <v>93.958449446817951</v>
      </c>
      <c r="R73" s="432">
        <f>'Propylene Recycling LC'!Q200</f>
        <v>94.444341818828775</v>
      </c>
      <c r="S73" s="432">
        <f>'Propylene Recycling LC'!R200</f>
        <v>94.699351514555715</v>
      </c>
      <c r="T73" s="432">
        <f>'Propylene Recycling LC'!S200</f>
        <v>94.894569371835061</v>
      </c>
      <c r="U73" s="432">
        <f>'Propylene Recycling LC'!T200</f>
        <v>95.037053182486034</v>
      </c>
      <c r="V73" s="432">
        <f>'Propylene Recycling LC'!U200</f>
        <v>95.136883881299894</v>
      </c>
      <c r="W73" s="432">
        <f>'Propylene Recycling LC'!V200</f>
        <v>95.203866300384945</v>
      </c>
      <c r="X73" s="432">
        <f>'Propylene Recycling LC'!W200</f>
        <v>95.244930182671212</v>
      </c>
      <c r="Y73" s="432">
        <f>'Propylene Recycling LC'!X200</f>
        <v>94.56255263283515</v>
      </c>
      <c r="Z73" s="432">
        <f>'Propylene Recycling LC'!Y200</f>
        <v>93.837377610496404</v>
      </c>
      <c r="AA73" s="432">
        <f>'Propylene Recycling LC'!Z200</f>
        <v>93.092469417466731</v>
      </c>
      <c r="AB73" s="432">
        <f>'Propylene Recycling LC'!AA200</f>
        <v>92.291779096266964</v>
      </c>
      <c r="AC73" s="432">
        <f>'Propylene Recycling LC'!AB200</f>
        <v>91.427591529281614</v>
      </c>
      <c r="AD73" s="432">
        <f>'Propylene Recycling LC'!AC200</f>
        <v>90.492703017812502</v>
      </c>
      <c r="AE73" s="432">
        <f>'Propylene Recycling LC'!AD200</f>
        <v>89.479728255062682</v>
      </c>
      <c r="AF73" s="432">
        <f>'Propylene Recycling LC'!AE200</f>
        <v>88.383800824952687</v>
      </c>
      <c r="AG73" s="432">
        <f>'Propylene Recycling LC'!AF200</f>
        <v>87.136519605900787</v>
      </c>
      <c r="AH73" s="432">
        <f>'Propylene Recycling LC'!AG200</f>
        <v>85.68788637678891</v>
      </c>
      <c r="AI73" s="432"/>
    </row>
    <row r="74" spans="1:46" hidden="1">
      <c r="A74" t="s">
        <v>277</v>
      </c>
      <c r="B74"/>
      <c r="C74" s="54"/>
      <c r="D74" s="44">
        <f t="shared" ref="D74:AH74" si="31">D4-D6-D14-D22-D26-D32</f>
        <v>0</v>
      </c>
      <c r="E74" s="44">
        <f t="shared" si="31"/>
        <v>0</v>
      </c>
      <c r="F74" s="44">
        <f t="shared" si="31"/>
        <v>0</v>
      </c>
      <c r="G74" s="44">
        <f t="shared" si="31"/>
        <v>0</v>
      </c>
      <c r="H74" s="44">
        <f t="shared" si="31"/>
        <v>0</v>
      </c>
      <c r="I74" s="44">
        <f t="shared" si="31"/>
        <v>0</v>
      </c>
      <c r="J74" s="44">
        <f t="shared" si="31"/>
        <v>0</v>
      </c>
      <c r="K74" s="44">
        <f t="shared" si="31"/>
        <v>0</v>
      </c>
      <c r="L74" s="44">
        <f t="shared" si="31"/>
        <v>0</v>
      </c>
      <c r="M74" s="44">
        <f t="shared" si="31"/>
        <v>0</v>
      </c>
      <c r="N74" s="44">
        <f t="shared" si="31"/>
        <v>0</v>
      </c>
      <c r="O74" s="44">
        <f t="shared" si="31"/>
        <v>0</v>
      </c>
      <c r="P74" s="44">
        <f t="shared" si="31"/>
        <v>0</v>
      </c>
      <c r="Q74" s="44">
        <f t="shared" si="31"/>
        <v>0</v>
      </c>
      <c r="R74" s="44">
        <f t="shared" si="31"/>
        <v>0</v>
      </c>
      <c r="S74" s="44">
        <f t="shared" si="31"/>
        <v>0</v>
      </c>
      <c r="T74" s="44">
        <f t="shared" si="31"/>
        <v>0</v>
      </c>
      <c r="U74" s="44">
        <f t="shared" si="31"/>
        <v>0</v>
      </c>
      <c r="V74" s="44">
        <f t="shared" si="31"/>
        <v>0</v>
      </c>
      <c r="W74" s="44">
        <f t="shared" si="31"/>
        <v>0</v>
      </c>
      <c r="X74" s="44">
        <f t="shared" si="31"/>
        <v>0</v>
      </c>
      <c r="Y74" s="44">
        <f t="shared" si="31"/>
        <v>0</v>
      </c>
      <c r="Z74" s="44">
        <f t="shared" si="31"/>
        <v>0</v>
      </c>
      <c r="AA74" s="44">
        <f t="shared" si="31"/>
        <v>0</v>
      </c>
      <c r="AB74" s="44">
        <f t="shared" si="31"/>
        <v>0</v>
      </c>
      <c r="AC74" s="44">
        <f t="shared" si="31"/>
        <v>0</v>
      </c>
      <c r="AD74" s="44">
        <f t="shared" si="31"/>
        <v>0</v>
      </c>
      <c r="AE74" s="44">
        <f t="shared" si="31"/>
        <v>0</v>
      </c>
      <c r="AF74" s="44">
        <f t="shared" si="31"/>
        <v>0</v>
      </c>
      <c r="AG74" s="44">
        <f t="shared" si="31"/>
        <v>0</v>
      </c>
      <c r="AH74" s="44">
        <f t="shared" si="31"/>
        <v>0</v>
      </c>
    </row>
    <row r="75" spans="1:46" hidden="1">
      <c r="A75" t="s">
        <v>278</v>
      </c>
      <c r="B75"/>
      <c r="C75" s="54"/>
      <c r="D75" s="44">
        <f t="shared" ref="D75:AH75" si="32">D42-D13-D21-D25-D31-D35-D38</f>
        <v>0</v>
      </c>
      <c r="E75" s="44">
        <f t="shared" si="32"/>
        <v>1.4210854715202004E-14</v>
      </c>
      <c r="F75" s="44">
        <f t="shared" si="32"/>
        <v>0</v>
      </c>
      <c r="G75" s="44">
        <f t="shared" si="32"/>
        <v>1.4210854715202004E-14</v>
      </c>
      <c r="H75" s="44">
        <f t="shared" si="32"/>
        <v>0</v>
      </c>
      <c r="I75" s="44">
        <f t="shared" si="32"/>
        <v>0</v>
      </c>
      <c r="J75" s="44">
        <f t="shared" si="32"/>
        <v>0</v>
      </c>
      <c r="K75" s="44">
        <f t="shared" si="32"/>
        <v>0</v>
      </c>
      <c r="L75" s="44">
        <f t="shared" si="32"/>
        <v>-1.4210854715202004E-14</v>
      </c>
      <c r="M75" s="44">
        <f t="shared" si="32"/>
        <v>0</v>
      </c>
      <c r="N75" s="44">
        <f t="shared" si="32"/>
        <v>1.4210854715202004E-14</v>
      </c>
      <c r="O75" s="44">
        <f t="shared" si="32"/>
        <v>1.4210854715202004E-14</v>
      </c>
      <c r="P75" s="44">
        <f t="shared" si="32"/>
        <v>1.4210854715202004E-14</v>
      </c>
      <c r="Q75" s="44">
        <f t="shared" si="32"/>
        <v>0</v>
      </c>
      <c r="R75" s="44">
        <f t="shared" si="32"/>
        <v>-1.4210854715202004E-14</v>
      </c>
      <c r="S75" s="44">
        <f t="shared" si="32"/>
        <v>0</v>
      </c>
      <c r="T75" s="44">
        <f t="shared" si="32"/>
        <v>1.4210854715202004E-14</v>
      </c>
      <c r="U75" s="44">
        <f t="shared" si="32"/>
        <v>-1.4210854715202004E-14</v>
      </c>
      <c r="V75" s="44">
        <f t="shared" si="32"/>
        <v>-1.4210854715202004E-14</v>
      </c>
      <c r="W75" s="44">
        <f t="shared" si="32"/>
        <v>0</v>
      </c>
      <c r="X75" s="44">
        <f t="shared" si="32"/>
        <v>-1.4210854715202004E-14</v>
      </c>
      <c r="Y75" s="44">
        <f t="shared" si="32"/>
        <v>0</v>
      </c>
      <c r="Z75" s="44">
        <f t="shared" si="32"/>
        <v>0</v>
      </c>
      <c r="AA75" s="44">
        <f t="shared" si="32"/>
        <v>-1.4210854715202004E-14</v>
      </c>
      <c r="AB75" s="44">
        <f t="shared" si="32"/>
        <v>0</v>
      </c>
      <c r="AC75" s="44">
        <f t="shared" si="32"/>
        <v>-1.4210854715202004E-14</v>
      </c>
      <c r="AD75" s="44">
        <f t="shared" si="32"/>
        <v>1.4210854715202004E-14</v>
      </c>
      <c r="AE75" s="44">
        <f t="shared" si="32"/>
        <v>0</v>
      </c>
      <c r="AF75" s="44">
        <f t="shared" si="32"/>
        <v>0</v>
      </c>
      <c r="AG75" s="44">
        <f t="shared" si="32"/>
        <v>0</v>
      </c>
      <c r="AH75" s="44">
        <f t="shared" si="32"/>
        <v>0</v>
      </c>
    </row>
    <row r="76" spans="1:46" hidden="1">
      <c r="A76" t="s">
        <v>279</v>
      </c>
      <c r="B76"/>
      <c r="C76" s="54"/>
      <c r="D76" s="244">
        <f t="shared" ref="D76:AH76" si="33">D42-D43-D47-D50-D54-D60</f>
        <v>0</v>
      </c>
      <c r="E76" s="244">
        <f t="shared" si="33"/>
        <v>0</v>
      </c>
      <c r="F76" s="244">
        <f t="shared" si="33"/>
        <v>0</v>
      </c>
      <c r="G76" s="244">
        <f t="shared" si="33"/>
        <v>0</v>
      </c>
      <c r="H76" s="244">
        <f t="shared" si="33"/>
        <v>0</v>
      </c>
      <c r="I76" s="244">
        <f t="shared" si="33"/>
        <v>0</v>
      </c>
      <c r="J76" s="244">
        <f t="shared" si="33"/>
        <v>0</v>
      </c>
      <c r="K76" s="244">
        <f t="shared" si="33"/>
        <v>0</v>
      </c>
      <c r="L76" s="244">
        <f t="shared" si="33"/>
        <v>0</v>
      </c>
      <c r="M76" s="244">
        <f t="shared" si="33"/>
        <v>0</v>
      </c>
      <c r="N76" s="244">
        <f t="shared" si="33"/>
        <v>0</v>
      </c>
      <c r="O76" s="244">
        <f t="shared" si="33"/>
        <v>0</v>
      </c>
      <c r="P76" s="244">
        <f t="shared" si="33"/>
        <v>0</v>
      </c>
      <c r="Q76" s="244">
        <f t="shared" si="33"/>
        <v>0</v>
      </c>
      <c r="R76" s="244">
        <f t="shared" si="33"/>
        <v>0</v>
      </c>
      <c r="S76" s="244">
        <f t="shared" si="33"/>
        <v>0</v>
      </c>
      <c r="T76" s="244">
        <f t="shared" si="33"/>
        <v>0</v>
      </c>
      <c r="U76" s="244">
        <f t="shared" si="33"/>
        <v>0</v>
      </c>
      <c r="V76" s="244">
        <f t="shared" si="33"/>
        <v>0</v>
      </c>
      <c r="W76" s="244">
        <f t="shared" si="33"/>
        <v>0</v>
      </c>
      <c r="X76" s="244">
        <f t="shared" si="33"/>
        <v>0</v>
      </c>
      <c r="Y76" s="244">
        <f t="shared" si="33"/>
        <v>0</v>
      </c>
      <c r="Z76" s="244">
        <f t="shared" si="33"/>
        <v>0</v>
      </c>
      <c r="AA76" s="244">
        <f t="shared" si="33"/>
        <v>0</v>
      </c>
      <c r="AB76" s="244">
        <f t="shared" si="33"/>
        <v>0</v>
      </c>
      <c r="AC76" s="244">
        <f t="shared" si="33"/>
        <v>0</v>
      </c>
      <c r="AD76" s="244">
        <f t="shared" si="33"/>
        <v>0</v>
      </c>
      <c r="AE76" s="244">
        <f t="shared" si="33"/>
        <v>0</v>
      </c>
      <c r="AF76" s="244">
        <f t="shared" si="33"/>
        <v>0</v>
      </c>
      <c r="AG76" s="244">
        <f t="shared" si="33"/>
        <v>0</v>
      </c>
      <c r="AH76" s="244">
        <f t="shared" si="33"/>
        <v>0</v>
      </c>
    </row>
    <row r="77" spans="1:46" hidden="1">
      <c r="A77" t="s">
        <v>280</v>
      </c>
      <c r="B77"/>
      <c r="C77" s="54"/>
      <c r="D77" s="244" t="e">
        <f>D46+D49+D53+D59+D65-#REF!</f>
        <v>#REF!</v>
      </c>
      <c r="E77" s="244" t="e">
        <f>E46+E49+E53+E59+E65-#REF!</f>
        <v>#REF!</v>
      </c>
      <c r="F77" s="244" t="e">
        <f>F46+F49+F53+F59+F65-#REF!</f>
        <v>#REF!</v>
      </c>
      <c r="G77" s="244" t="e">
        <f>G46+G49+G53+G59+G65-#REF!</f>
        <v>#REF!</v>
      </c>
      <c r="H77" s="244" t="e">
        <f>H46+H49+H53+H59+H65-#REF!</f>
        <v>#REF!</v>
      </c>
      <c r="I77" s="244" t="e">
        <f>I46+I49+I53+I59+I65-#REF!</f>
        <v>#REF!</v>
      </c>
      <c r="J77" s="244" t="e">
        <f>J46+J49+J53+J59+J65-#REF!</f>
        <v>#REF!</v>
      </c>
      <c r="K77" s="244" t="e">
        <f>K46+K49+K53+K59+K65-#REF!</f>
        <v>#REF!</v>
      </c>
      <c r="L77" s="244" t="e">
        <f>L46+L49+L53+L59+L65-#REF!</f>
        <v>#REF!</v>
      </c>
      <c r="M77" s="244" t="e">
        <f>M46+M49+M53+M59+M65-#REF!</f>
        <v>#REF!</v>
      </c>
      <c r="N77" s="244" t="e">
        <f>N46+N49+N53+N59+N65-#REF!</f>
        <v>#REF!</v>
      </c>
      <c r="O77" s="244" t="e">
        <f>O46+O49+O53+O59+O65-#REF!</f>
        <v>#REF!</v>
      </c>
      <c r="P77" s="244" t="e">
        <f>P46+P49+P53+P59+P65-#REF!</f>
        <v>#REF!</v>
      </c>
      <c r="Q77" s="244" t="e">
        <f>Q46+Q49+Q53+Q59+Q65-#REF!</f>
        <v>#REF!</v>
      </c>
      <c r="R77" s="244" t="e">
        <f>R46+R49+R53+R59+R65-#REF!</f>
        <v>#REF!</v>
      </c>
      <c r="S77" s="244" t="e">
        <f>S46+S49+S53+S59+S65-#REF!</f>
        <v>#REF!</v>
      </c>
      <c r="T77" s="244" t="e">
        <f>T46+T49+T53+T59+T65-#REF!</f>
        <v>#REF!</v>
      </c>
      <c r="U77" s="244" t="e">
        <f>U46+U49+U53+U59+U65-#REF!</f>
        <v>#REF!</v>
      </c>
      <c r="V77" s="244" t="e">
        <f>V46+V49+V53+V59+V65-#REF!</f>
        <v>#REF!</v>
      </c>
      <c r="W77" s="244" t="e">
        <f>W46+W49+W53+W59+W65-#REF!</f>
        <v>#REF!</v>
      </c>
      <c r="X77" s="244" t="e">
        <f>X46+X49+X53+X59+X65-#REF!</f>
        <v>#REF!</v>
      </c>
      <c r="Y77" s="244" t="e">
        <f>Y46+Y49+Y53+Y59+Y65-#REF!</f>
        <v>#REF!</v>
      </c>
      <c r="Z77" s="244" t="e">
        <f>Z46+Z49+Z53+Z59+Z65-#REF!</f>
        <v>#REF!</v>
      </c>
      <c r="AA77" s="244" t="e">
        <f>AA46+AA49+AA53+AA59+AA65-#REF!</f>
        <v>#REF!</v>
      </c>
      <c r="AB77" s="244" t="e">
        <f>AB46+AB49+AB53+AB59+AB65-#REF!</f>
        <v>#REF!</v>
      </c>
      <c r="AC77" s="244" t="e">
        <f>AC46+AC49+AC53+AC59+AC65-#REF!</f>
        <v>#REF!</v>
      </c>
      <c r="AD77" s="244" t="e">
        <f>AD46+AD49+AD53+AD59+AD65-#REF!</f>
        <v>#REF!</v>
      </c>
      <c r="AE77" s="244" t="e">
        <f>AE46+AE49+AE53+AE59+AE65-#REF!</f>
        <v>#REF!</v>
      </c>
      <c r="AF77" s="244" t="e">
        <f>AF46+AF49+AF53+AF59+AF65-#REF!</f>
        <v>#REF!</v>
      </c>
      <c r="AG77" s="244" t="e">
        <f>AG46+AG49+AG53+AG59+AG65-#REF!</f>
        <v>#REF!</v>
      </c>
      <c r="AH77" s="244" t="e">
        <f>AH46+AH49+AH53+AH59+AH65-#REF!</f>
        <v>#REF!</v>
      </c>
    </row>
    <row r="78" spans="1:46" ht="16" thickBot="1">
      <c r="C78" s="65"/>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row>
    <row r="79" spans="1:46" ht="54" customHeight="1" thickBot="1">
      <c r="A79" s="250" t="s">
        <v>392</v>
      </c>
      <c r="B79" s="185">
        <v>2020</v>
      </c>
      <c r="C79" s="186" t="s">
        <v>282</v>
      </c>
      <c r="D79" s="186" t="s">
        <v>282</v>
      </c>
      <c r="E79" s="186" t="s">
        <v>283</v>
      </c>
      <c r="F79" s="186" t="s">
        <v>284</v>
      </c>
      <c r="G79" s="186" t="s">
        <v>285</v>
      </c>
      <c r="H79" s="186" t="s">
        <v>286</v>
      </c>
      <c r="I79" s="186" t="s">
        <v>287</v>
      </c>
      <c r="J79" s="186" t="s">
        <v>288</v>
      </c>
      <c r="K79" s="186" t="s">
        <v>289</v>
      </c>
      <c r="L79" s="186" t="s">
        <v>290</v>
      </c>
      <c r="M79" s="186" t="s">
        <v>291</v>
      </c>
      <c r="N79" s="186" t="s">
        <v>292</v>
      </c>
      <c r="O79" s="186" t="s">
        <v>293</v>
      </c>
      <c r="P79" s="186" t="s">
        <v>294</v>
      </c>
      <c r="Q79" s="186" t="s">
        <v>295</v>
      </c>
      <c r="R79" s="186" t="s">
        <v>296</v>
      </c>
      <c r="S79" s="186" t="s">
        <v>297</v>
      </c>
      <c r="T79" s="186" t="s">
        <v>298</v>
      </c>
      <c r="U79" s="186" t="s">
        <v>299</v>
      </c>
      <c r="V79" s="186" t="s">
        <v>300</v>
      </c>
      <c r="W79" s="186" t="s">
        <v>301</v>
      </c>
      <c r="X79" s="186" t="s">
        <v>292</v>
      </c>
      <c r="AJ79" s="138" t="s">
        <v>302</v>
      </c>
      <c r="AK79" s="139" t="s">
        <v>1</v>
      </c>
      <c r="AL79" s="139" t="s">
        <v>180</v>
      </c>
      <c r="AM79" s="139" t="s">
        <v>181</v>
      </c>
      <c r="AN79" s="139" t="s">
        <v>303</v>
      </c>
      <c r="AO79" s="139" t="s">
        <v>304</v>
      </c>
      <c r="AP79" s="139" t="s">
        <v>305</v>
      </c>
      <c r="AQ79" s="139" t="s">
        <v>393</v>
      </c>
      <c r="AR79" s="139" t="s">
        <v>308</v>
      </c>
      <c r="AS79" s="139"/>
      <c r="AT79" s="139"/>
    </row>
    <row r="80" spans="1:46">
      <c r="A80" t="s">
        <v>309</v>
      </c>
      <c r="B80" s="183">
        <f>'Demand Breakdown - Propylene'!J50</f>
        <v>0.26787914691943132</v>
      </c>
      <c r="C80" s="184">
        <f>D80/$D$88</f>
        <v>0.27926201641387066</v>
      </c>
      <c r="D80" s="249">
        <f>AH21*B80/(B80+B84)</f>
        <v>45.498512481402948</v>
      </c>
      <c r="N80" s="194">
        <f>X80/$X$88</f>
        <v>0.32425081499807268</v>
      </c>
      <c r="X80" s="44">
        <f>AH46*B80/(B80+B84)</f>
        <v>37.348143849168338</v>
      </c>
      <c r="AJ80" s="30" t="s">
        <v>67</v>
      </c>
      <c r="AK80" s="140">
        <f>D4</f>
        <v>111.92307692307692</v>
      </c>
      <c r="AM80" s="140">
        <f>AH4</f>
        <v>160</v>
      </c>
      <c r="AN80" s="140"/>
      <c r="AO80" s="140"/>
      <c r="AP80" s="140"/>
      <c r="AR80" s="140">
        <f>AH42</f>
        <v>162.92409925871709</v>
      </c>
      <c r="AS80" s="137"/>
      <c r="AT80" s="140"/>
    </row>
    <row r="81" spans="1:45">
      <c r="A81" t="s">
        <v>310</v>
      </c>
      <c r="B81" s="183">
        <f>'Demand Breakdown - Propylene'!J51</f>
        <v>0.11060426540284357</v>
      </c>
      <c r="C81" s="184">
        <f t="shared" ref="C81:C87" si="34">D81/$D$88</f>
        <v>0.12598962280526579</v>
      </c>
      <c r="D81" s="249">
        <f>AH25</f>
        <v>20.526745811493452</v>
      </c>
      <c r="N81" s="194">
        <f t="shared" ref="N81:N87" si="35">X81/$X$88</f>
        <v>4.7602703920848199E-2</v>
      </c>
      <c r="X81" s="44">
        <f>IF(AH59&lt;0,0,AH59)</f>
        <v>5.4830167000683581</v>
      </c>
      <c r="AJ81" s="30" t="s">
        <v>168</v>
      </c>
      <c r="AN81" s="44">
        <f>-AH17</f>
        <v>0</v>
      </c>
      <c r="AO81" s="43">
        <f>-AH23</f>
        <v>0</v>
      </c>
      <c r="AP81" s="44">
        <f>-AH11</f>
        <v>0</v>
      </c>
      <c r="AQ81" s="43">
        <f>-AH33</f>
        <v>0</v>
      </c>
    </row>
    <row r="82" spans="1:45">
      <c r="A82" t="s">
        <v>311</v>
      </c>
      <c r="B82" s="183">
        <f>'Demand Breakdown - Propylene'!J52</f>
        <v>0.15755924170616112</v>
      </c>
      <c r="C82" s="184">
        <f t="shared" si="34"/>
        <v>0.19742378194653104</v>
      </c>
      <c r="D82" s="249">
        <f>AH13</f>
        <v>32.165091845887943</v>
      </c>
      <c r="N82" s="194">
        <f t="shared" si="35"/>
        <v>0.2209080140515231</v>
      </c>
      <c r="X82" s="44">
        <f>AH49</f>
        <v>25.444822047029938</v>
      </c>
      <c r="AJ82" s="30" t="s">
        <v>172</v>
      </c>
      <c r="AN82" s="44">
        <f>-AH20</f>
        <v>0</v>
      </c>
      <c r="AO82" s="43">
        <f>-AH24</f>
        <v>0</v>
      </c>
      <c r="AP82">
        <f>-AH12</f>
        <v>0</v>
      </c>
      <c r="AQ82" s="43">
        <f>-AH34</f>
        <v>0</v>
      </c>
    </row>
    <row r="83" spans="1:45">
      <c r="A83" t="s">
        <v>312</v>
      </c>
      <c r="B83" s="183">
        <f>'Demand Breakdown - Propylene'!J53</f>
        <v>6.3578199052132689E-2</v>
      </c>
      <c r="C83" s="184">
        <f t="shared" si="34"/>
        <v>4.8756892951291812E-2</v>
      </c>
      <c r="D83" s="249">
        <f>AH35*B83/(B83+B85)</f>
        <v>7.9436728667429115</v>
      </c>
      <c r="N83" s="194">
        <f t="shared" si="35"/>
        <v>4.5633889505311352E-2</v>
      </c>
      <c r="X83" s="44">
        <f>AH65*C83/(C83+C85+C87)</f>
        <v>5.2562429786076317</v>
      </c>
      <c r="AJ83" s="30" t="s">
        <v>175</v>
      </c>
      <c r="AL83" s="140">
        <f>AH4-D4</f>
        <v>48.07692307692308</v>
      </c>
      <c r="AS83" s="44"/>
    </row>
    <row r="84" spans="1:45">
      <c r="A84" t="s">
        <v>313</v>
      </c>
      <c r="B84" s="183">
        <f>'Demand Breakdown - Propylene'!J54</f>
        <v>0.15066350710900475</v>
      </c>
      <c r="C84" s="184">
        <f t="shared" si="34"/>
        <v>0.1570655845335388</v>
      </c>
      <c r="D84" s="249">
        <f>AH21*B84/(B80+B84)</f>
        <v>25.589768884670697</v>
      </c>
      <c r="N84" s="194">
        <f t="shared" si="35"/>
        <v>0.18236867457718134</v>
      </c>
      <c r="X84" s="44">
        <f>AH46*B84/(B80+B84)</f>
        <v>21.005749798134577</v>
      </c>
    </row>
    <row r="85" spans="1:45">
      <c r="A85" t="s">
        <v>248</v>
      </c>
      <c r="B85" s="183">
        <f>'Demand Breakdown - Propylene'!J55</f>
        <v>0.24971563981042649</v>
      </c>
      <c r="C85" s="184">
        <f t="shared" si="34"/>
        <v>0.19150210134950174</v>
      </c>
      <c r="D85" s="249">
        <f>AH35*B85/(B83+B85)</f>
        <v>31.200307368519123</v>
      </c>
      <c r="N85" s="194">
        <f t="shared" si="35"/>
        <v>0.17923590294706337</v>
      </c>
      <c r="X85" s="44">
        <f>AH65*C85/(C83+C85+C87)</f>
        <v>20.644908128426099</v>
      </c>
      <c r="AJ85" s="142"/>
      <c r="AK85" s="139"/>
      <c r="AL85" s="139"/>
      <c r="AM85" s="139"/>
      <c r="AN85" s="139"/>
      <c r="AO85" s="139"/>
      <c r="AP85" s="139"/>
    </row>
    <row r="86" spans="1:45">
      <c r="A86" s="131" t="s">
        <v>320</v>
      </c>
      <c r="B86" s="183">
        <f>'Demand Breakdown - Propylene'!J56</f>
        <v>0</v>
      </c>
      <c r="C86" s="184">
        <f t="shared" si="34"/>
        <v>0</v>
      </c>
      <c r="D86" s="249">
        <f>AH31</f>
        <v>0</v>
      </c>
      <c r="N86" s="194">
        <f t="shared" si="35"/>
        <v>0</v>
      </c>
      <c r="X86" s="44">
        <f>AH53</f>
        <v>0</v>
      </c>
      <c r="AK86" s="141"/>
      <c r="AL86" s="143"/>
      <c r="AM86" s="141"/>
      <c r="AN86" s="143"/>
      <c r="AO86" s="143"/>
      <c r="AP86" s="141"/>
    </row>
    <row r="87" spans="1:45" ht="16" thickBot="1">
      <c r="A87" t="s">
        <v>321</v>
      </c>
      <c r="B87" s="183"/>
      <c r="C87" s="184">
        <f t="shared" si="34"/>
        <v>0</v>
      </c>
      <c r="D87" s="249">
        <f>AH38</f>
        <v>0</v>
      </c>
      <c r="N87" s="194">
        <f t="shared" si="35"/>
        <v>0</v>
      </c>
      <c r="X87" s="44">
        <f>AH65*C87/(C83+C85+C87)</f>
        <v>0</v>
      </c>
    </row>
    <row r="88" spans="1:45" ht="16" thickBot="1">
      <c r="A88" s="185" t="s">
        <v>67</v>
      </c>
      <c r="B88" s="247">
        <f>SUM(B80:B86)</f>
        <v>1</v>
      </c>
      <c r="C88" s="246">
        <f>SUM(C80:C87)</f>
        <v>0.99999999999999989</v>
      </c>
      <c r="D88" s="187">
        <f>SUM(D80:D87)</f>
        <v>162.92409925871709</v>
      </c>
      <c r="E88" s="188"/>
      <c r="F88" s="188"/>
      <c r="G88" s="188"/>
      <c r="H88" s="188"/>
      <c r="I88" s="188"/>
      <c r="J88" s="188"/>
      <c r="K88" s="188"/>
      <c r="L88" s="188"/>
      <c r="M88" s="188"/>
      <c r="N88" s="248">
        <f>SUM(N80:N87)</f>
        <v>1</v>
      </c>
      <c r="X88" s="44">
        <f>SUM(X80:X87)</f>
        <v>115.18288350143493</v>
      </c>
    </row>
    <row r="89" spans="1:45" ht="16" thickBot="1">
      <c r="AJ89" s="142"/>
      <c r="AK89" s="136"/>
      <c r="AL89" s="136"/>
      <c r="AM89" s="136"/>
      <c r="AN89" s="136"/>
      <c r="AO89" s="136"/>
      <c r="AP89" s="136"/>
      <c r="AQ89" s="136"/>
    </row>
    <row r="90" spans="1:45" ht="49" thickBot="1">
      <c r="A90" s="250" t="s">
        <v>394</v>
      </c>
      <c r="B90" s="185">
        <v>2020</v>
      </c>
      <c r="C90" s="186" t="s">
        <v>282</v>
      </c>
      <c r="D90" s="186" t="s">
        <v>292</v>
      </c>
      <c r="E90" s="186" t="s">
        <v>283</v>
      </c>
      <c r="F90" s="186" t="s">
        <v>284</v>
      </c>
      <c r="G90" s="186" t="s">
        <v>285</v>
      </c>
      <c r="H90" s="186" t="s">
        <v>286</v>
      </c>
      <c r="I90" s="186" t="s">
        <v>287</v>
      </c>
      <c r="J90" s="186" t="s">
        <v>288</v>
      </c>
      <c r="K90" s="186" t="s">
        <v>289</v>
      </c>
      <c r="L90" s="186" t="s">
        <v>290</v>
      </c>
      <c r="M90" s="186" t="s">
        <v>291</v>
      </c>
      <c r="O90" s="186" t="s">
        <v>293</v>
      </c>
      <c r="P90" s="186" t="s">
        <v>294</v>
      </c>
      <c r="Q90" s="186" t="s">
        <v>295</v>
      </c>
      <c r="R90" s="186" t="s">
        <v>296</v>
      </c>
      <c r="S90" s="186" t="s">
        <v>297</v>
      </c>
      <c r="T90" s="186" t="s">
        <v>298</v>
      </c>
      <c r="U90" s="186" t="s">
        <v>299</v>
      </c>
      <c r="V90" s="186" t="s">
        <v>300</v>
      </c>
      <c r="W90" s="186" t="s">
        <v>301</v>
      </c>
      <c r="X90" s="186"/>
      <c r="AK90" s="141"/>
      <c r="AL90" s="143"/>
      <c r="AM90" s="143"/>
      <c r="AN90" s="143"/>
      <c r="AO90" s="143"/>
      <c r="AP90" s="141"/>
      <c r="AQ90" s="143"/>
    </row>
    <row r="91" spans="1:45">
      <c r="A91" t="s">
        <v>324</v>
      </c>
      <c r="B91" s="183">
        <f>B80+B84</f>
        <v>0.41854265402843605</v>
      </c>
      <c r="C91" s="184">
        <f t="shared" ref="C91" si="36">C80+C84</f>
        <v>0.43632760094740947</v>
      </c>
      <c r="D91" s="194">
        <f>N80+N84</f>
        <v>0.50661948957525405</v>
      </c>
      <c r="X91" s="44"/>
    </row>
    <row r="92" spans="1:45">
      <c r="A92" t="s">
        <v>311</v>
      </c>
      <c r="B92" s="183">
        <f>B82</f>
        <v>0.15755924170616112</v>
      </c>
      <c r="C92" s="184">
        <f>C82</f>
        <v>0.19742378194653104</v>
      </c>
      <c r="D92" s="194">
        <f>N82</f>
        <v>0.2209080140515231</v>
      </c>
      <c r="X92" s="44"/>
      <c r="AJ92" s="142"/>
      <c r="AK92" s="136"/>
      <c r="AL92" s="136"/>
      <c r="AM92" s="136"/>
      <c r="AN92" s="136"/>
      <c r="AO92" s="136"/>
      <c r="AP92" s="139"/>
    </row>
    <row r="93" spans="1:45">
      <c r="A93" t="s">
        <v>310</v>
      </c>
      <c r="B93" s="183">
        <f>B81</f>
        <v>0.11060426540284357</v>
      </c>
      <c r="C93" s="184">
        <f>C81</f>
        <v>0.12598962280526579</v>
      </c>
      <c r="D93" s="194">
        <f>N81</f>
        <v>4.7602703920848199E-2</v>
      </c>
      <c r="X93" s="44"/>
      <c r="AK93" s="141"/>
      <c r="AL93" s="143"/>
      <c r="AM93" s="141"/>
      <c r="AN93" s="143"/>
      <c r="AO93" s="143"/>
      <c r="AP93" s="141"/>
    </row>
    <row r="94" spans="1:45">
      <c r="A94" t="s">
        <v>312</v>
      </c>
      <c r="B94" s="183">
        <f>B83</f>
        <v>6.3578199052132689E-2</v>
      </c>
      <c r="C94" s="184">
        <f>C83</f>
        <v>4.8756892951291812E-2</v>
      </c>
      <c r="D94" s="194">
        <f>N83</f>
        <v>4.5633889505311352E-2</v>
      </c>
      <c r="X94" s="44"/>
    </row>
    <row r="95" spans="1:45">
      <c r="A95" t="s">
        <v>248</v>
      </c>
      <c r="B95" s="183">
        <f>B85+B86+B87</f>
        <v>0.24971563981042649</v>
      </c>
      <c r="C95" s="183">
        <f>C85+C86+C87</f>
        <v>0.19150210134950174</v>
      </c>
      <c r="D95" s="183">
        <f>N85+N86+N87</f>
        <v>0.17923590294706337</v>
      </c>
      <c r="X95" s="44"/>
      <c r="AJ95" s="142"/>
      <c r="AK95" s="136"/>
      <c r="AL95" s="136"/>
      <c r="AM95" s="136"/>
      <c r="AN95" s="136"/>
      <c r="AO95" s="136"/>
      <c r="AP95" s="136"/>
    </row>
    <row r="96" spans="1:45" ht="16" thickBot="1">
      <c r="A96" t="s">
        <v>321</v>
      </c>
      <c r="B96" s="183">
        <f>B87</f>
        <v>0</v>
      </c>
      <c r="C96" s="184">
        <f>C87</f>
        <v>0</v>
      </c>
      <c r="D96" s="194">
        <f>N87</f>
        <v>0</v>
      </c>
      <c r="X96" s="44"/>
      <c r="AK96" s="141"/>
      <c r="AL96" s="143"/>
      <c r="AM96" s="143"/>
      <c r="AN96" s="143"/>
      <c r="AO96" s="143"/>
      <c r="AP96" s="141"/>
    </row>
    <row r="97" spans="1:47" ht="16" thickBot="1">
      <c r="A97" s="185" t="s">
        <v>67</v>
      </c>
      <c r="B97" s="251">
        <f>SUM(B91:B96)</f>
        <v>1</v>
      </c>
      <c r="C97" s="252">
        <f>SUM(C91:C96)</f>
        <v>0.99999999999999989</v>
      </c>
      <c r="D97" s="253">
        <f>SUM(D91:D96)</f>
        <v>1</v>
      </c>
      <c r="X97" s="44"/>
    </row>
    <row r="98" spans="1:47" ht="16" thickBot="1">
      <c r="E98" s="188"/>
      <c r="F98" s="188"/>
      <c r="G98" s="188"/>
      <c r="H98" s="188"/>
      <c r="I98" s="188"/>
      <c r="J98" s="188"/>
      <c r="K98" s="188"/>
      <c r="L98" s="188"/>
      <c r="M98" s="188"/>
      <c r="X98" s="44"/>
    </row>
    <row r="99" spans="1:47" ht="16" thickBot="1"/>
    <row r="100" spans="1:47" ht="49" thickBot="1">
      <c r="A100" s="250" t="s">
        <v>395</v>
      </c>
      <c r="B100" s="254">
        <v>2020</v>
      </c>
      <c r="C100" s="186" t="s">
        <v>334</v>
      </c>
      <c r="D100" s="186" t="s">
        <v>282</v>
      </c>
      <c r="E100" s="188"/>
      <c r="F100" s="188"/>
      <c r="G100" s="188"/>
      <c r="H100" s="188"/>
      <c r="I100" s="188"/>
      <c r="J100" s="188"/>
      <c r="K100" s="188"/>
      <c r="L100" s="188"/>
      <c r="M100" s="188"/>
      <c r="N100" s="255" t="s">
        <v>292</v>
      </c>
    </row>
    <row r="101" spans="1:47">
      <c r="A101" t="s">
        <v>321</v>
      </c>
      <c r="B101" s="183">
        <f>B96</f>
        <v>0</v>
      </c>
      <c r="C101" s="183">
        <f>0</f>
        <v>0</v>
      </c>
      <c r="D101" s="184">
        <f>C96</f>
        <v>0</v>
      </c>
      <c r="N101" s="194">
        <f>D96</f>
        <v>0</v>
      </c>
    </row>
    <row r="102" spans="1:47">
      <c r="A102" t="s">
        <v>248</v>
      </c>
      <c r="B102" s="183">
        <f>B95</f>
        <v>0.24971563981042649</v>
      </c>
      <c r="C102" s="183">
        <f>'Demand Breakdown - Propylene'!N55</f>
        <v>0.19500192105324163</v>
      </c>
      <c r="D102" s="184">
        <f>C95</f>
        <v>0.19150210134950174</v>
      </c>
      <c r="N102" s="194">
        <f>D95</f>
        <v>0.17923590294706337</v>
      </c>
      <c r="AJ102" s="138"/>
      <c r="AK102" s="139"/>
      <c r="AL102" s="139"/>
      <c r="AM102" s="139"/>
      <c r="AN102" s="139"/>
      <c r="AO102" s="139"/>
      <c r="AP102" s="139"/>
      <c r="AQ102" s="139"/>
      <c r="AR102" s="139"/>
      <c r="AS102" s="139"/>
      <c r="AT102" s="139"/>
      <c r="AU102" s="139"/>
    </row>
    <row r="103" spans="1:47">
      <c r="A103" t="s">
        <v>312</v>
      </c>
      <c r="B103" s="183">
        <f>B94</f>
        <v>6.3578199052132689E-2</v>
      </c>
      <c r="C103" s="183">
        <f>'Demand Breakdown - Propylene'!N53</f>
        <v>4.9647955417142467E-2</v>
      </c>
      <c r="D103" s="184">
        <f>C94</f>
        <v>4.8756892951291812E-2</v>
      </c>
      <c r="N103" s="194">
        <f>D94</f>
        <v>4.5633889505311352E-2</v>
      </c>
      <c r="AK103" s="140"/>
      <c r="AL103" s="140"/>
      <c r="AM103" s="140"/>
      <c r="AN103" s="140"/>
      <c r="AO103" s="140"/>
      <c r="AP103" s="140"/>
      <c r="AQ103" s="140"/>
      <c r="AR103" s="140"/>
      <c r="AS103" s="140"/>
      <c r="AT103" s="137"/>
      <c r="AU103" s="137"/>
    </row>
    <row r="104" spans="1:47">
      <c r="A104" t="s">
        <v>310</v>
      </c>
      <c r="B104" s="183">
        <f>B93</f>
        <v>0.11060426540284357</v>
      </c>
      <c r="C104" s="183">
        <f>'Demand Breakdown - Propylene'!N51</f>
        <v>0.12829216132183463</v>
      </c>
      <c r="D104" s="184">
        <f>C93</f>
        <v>0.12598962280526579</v>
      </c>
      <c r="N104" s="194">
        <f>D93</f>
        <v>4.7602703920848199E-2</v>
      </c>
      <c r="AJ104" s="137"/>
    </row>
    <row r="105" spans="1:47" ht="96">
      <c r="A105" t="s">
        <v>311</v>
      </c>
      <c r="B105" s="183">
        <f>B92</f>
        <v>0.15755924170616112</v>
      </c>
      <c r="C105" s="183">
        <f>'Demand Breakdown - Propylene'!N52</f>
        <v>0.18275620366981862</v>
      </c>
      <c r="D105" s="184">
        <f>C92</f>
        <v>0.19742378194653104</v>
      </c>
      <c r="N105" s="194">
        <f>D92</f>
        <v>0.2209080140515231</v>
      </c>
      <c r="AJ105" s="138" t="s">
        <v>336</v>
      </c>
      <c r="AK105" s="139" t="s">
        <v>1</v>
      </c>
      <c r="AL105" s="139" t="s">
        <v>180</v>
      </c>
      <c r="AM105" s="139" t="s">
        <v>181</v>
      </c>
      <c r="AN105" s="139" t="s">
        <v>396</v>
      </c>
      <c r="AO105" s="263" t="s">
        <v>308</v>
      </c>
      <c r="AP105" s="139" t="s">
        <v>397</v>
      </c>
      <c r="AQ105" s="139" t="s">
        <v>398</v>
      </c>
      <c r="AR105" s="139" t="s">
        <v>399</v>
      </c>
      <c r="AS105" s="139" t="s">
        <v>400</v>
      </c>
      <c r="AT105" s="139" t="s">
        <v>184</v>
      </c>
    </row>
    <row r="106" spans="1:47" ht="16" thickBot="1">
      <c r="A106" t="s">
        <v>324</v>
      </c>
      <c r="B106" s="183">
        <f>B91</f>
        <v>0.41854265402843605</v>
      </c>
      <c r="C106" s="183">
        <f>'Demand Breakdown - Propylene'!N50+'Demand Breakdown - Propylene'!N54</f>
        <v>0.44430175853796272</v>
      </c>
      <c r="D106" s="184">
        <f>C91</f>
        <v>0.43632760094740947</v>
      </c>
      <c r="N106" s="194">
        <f>D91</f>
        <v>0.50661948957525405</v>
      </c>
      <c r="AK106" s="140">
        <f>D4</f>
        <v>111.92307692307692</v>
      </c>
      <c r="AL106" s="140">
        <f>AH4-D4</f>
        <v>48.07692307692308</v>
      </c>
      <c r="AM106" s="140">
        <f>AH4</f>
        <v>160</v>
      </c>
      <c r="AN106" s="140">
        <f>AH41-AH40-AH39</f>
        <v>2.924099258717086</v>
      </c>
      <c r="AO106" s="140">
        <f>SUM(AM106:AN106)</f>
        <v>162.92409925871709</v>
      </c>
      <c r="AP106" s="140">
        <f>AH46-AH43</f>
        <v>-12.734387718770733</v>
      </c>
      <c r="AQ106" s="140">
        <f>IF(AH59-AH54&lt;-AH54,-AH54,AH59-AH54)</f>
        <v>-15.043729111425094</v>
      </c>
      <c r="AR106" s="140">
        <f>AH49-AH47</f>
        <v>-6.7202697988580056</v>
      </c>
      <c r="AS106" s="44">
        <f>AH65-AH60</f>
        <v>-13.242829128228301</v>
      </c>
      <c r="AT106" s="137" t="s">
        <v>167</v>
      </c>
    </row>
    <row r="107" spans="1:47" ht="16" thickBot="1">
      <c r="A107" s="185" t="s">
        <v>67</v>
      </c>
      <c r="B107" s="251">
        <f>SUM(B101:B106)</f>
        <v>0.99999999999999989</v>
      </c>
      <c r="C107" s="251">
        <f>SUM(C101:C106)</f>
        <v>1</v>
      </c>
      <c r="D107" s="252">
        <f>SUM(D101:D106)</f>
        <v>1</v>
      </c>
      <c r="N107" s="253">
        <f>SUM(N101:N106)</f>
        <v>1</v>
      </c>
      <c r="AK107" s="141"/>
      <c r="AL107" s="143"/>
      <c r="AM107" s="141"/>
      <c r="AN107" s="143"/>
      <c r="AO107" s="143"/>
      <c r="AP107" s="141"/>
    </row>
    <row r="109" spans="1:47" ht="16" thickBot="1"/>
    <row r="110" spans="1:47" ht="49" thickBot="1">
      <c r="A110" s="250" t="s">
        <v>395</v>
      </c>
      <c r="B110" s="254">
        <v>2020</v>
      </c>
      <c r="C110" s="186" t="s">
        <v>334</v>
      </c>
      <c r="D110" s="186" t="s">
        <v>282</v>
      </c>
      <c r="E110" s="188"/>
      <c r="F110" s="188"/>
      <c r="G110" s="188"/>
      <c r="H110" s="188"/>
      <c r="I110" s="188"/>
      <c r="J110" s="188"/>
      <c r="K110" s="188"/>
      <c r="L110" s="188"/>
      <c r="M110" s="188"/>
      <c r="N110" s="255" t="s">
        <v>292</v>
      </c>
      <c r="AJ110" s="142"/>
      <c r="AK110" s="136"/>
      <c r="AL110" s="136"/>
      <c r="AM110" s="136"/>
      <c r="AN110" s="136"/>
      <c r="AO110" s="136"/>
      <c r="AP110" s="136"/>
      <c r="AQ110" s="136"/>
    </row>
    <row r="111" spans="1:47">
      <c r="A111" t="s">
        <v>321</v>
      </c>
      <c r="B111" s="261">
        <f>$D$4*B101</f>
        <v>0</v>
      </c>
      <c r="C111" s="261">
        <f>$AH$4*C101</f>
        <v>0</v>
      </c>
      <c r="D111" s="184"/>
      <c r="N111" s="194"/>
      <c r="AK111" s="141"/>
      <c r="AL111" s="143"/>
      <c r="AM111" s="143"/>
      <c r="AN111" s="143"/>
      <c r="AO111" s="143"/>
      <c r="AP111" s="141"/>
      <c r="AQ111" s="143"/>
    </row>
    <row r="112" spans="1:47">
      <c r="A112" t="s">
        <v>248</v>
      </c>
      <c r="B112" s="261">
        <f t="shared" ref="B112:B113" si="37">$D$4*B102</f>
        <v>27.948942763397735</v>
      </c>
      <c r="C112" s="261">
        <f t="shared" ref="C112:C113" si="38">$AH$4*C102</f>
        <v>31.200307368518661</v>
      </c>
      <c r="D112" s="184"/>
      <c r="N112" s="194"/>
    </row>
    <row r="113" spans="1:42">
      <c r="A113" t="s">
        <v>312</v>
      </c>
      <c r="B113" s="261">
        <f t="shared" si="37"/>
        <v>7.1158676631425433</v>
      </c>
      <c r="C113" s="261">
        <f t="shared" si="38"/>
        <v>7.9436728667427943</v>
      </c>
      <c r="D113" s="184"/>
      <c r="N113" s="194"/>
      <c r="AJ113" s="142"/>
      <c r="AK113" s="136"/>
      <c r="AL113" s="136"/>
      <c r="AM113" s="136"/>
      <c r="AN113" s="136"/>
      <c r="AO113" s="136"/>
      <c r="AP113" s="139"/>
    </row>
    <row r="114" spans="1:42">
      <c r="A114" s="131"/>
      <c r="B114" s="261"/>
      <c r="C114" s="261"/>
      <c r="D114" s="184"/>
      <c r="N114" s="194"/>
      <c r="AK114" s="141"/>
      <c r="AL114" s="143"/>
      <c r="AM114" s="141"/>
      <c r="AN114" s="143"/>
      <c r="AO114" s="143"/>
      <c r="AP114" s="141"/>
    </row>
    <row r="115" spans="1:42">
      <c r="A115" t="s">
        <v>311</v>
      </c>
      <c r="B115" s="261">
        <f>$D$4*B105</f>
        <v>17.63451512942034</v>
      </c>
      <c r="C115" s="261">
        <f>$AH$4*C105</f>
        <v>29.240992587170979</v>
      </c>
      <c r="D115" s="184"/>
      <c r="N115" s="194"/>
    </row>
    <row r="116" spans="1:42">
      <c r="A116" t="s">
        <v>310</v>
      </c>
      <c r="B116" s="261">
        <f>$D$4*B104</f>
        <v>12.379169704702877</v>
      </c>
      <c r="C116" s="261">
        <f>$AH$4*C104</f>
        <v>20.526745811493541</v>
      </c>
      <c r="D116" s="184"/>
      <c r="N116" s="194"/>
      <c r="AJ116" s="142"/>
      <c r="AK116" s="136"/>
      <c r="AL116" s="136"/>
      <c r="AM116" s="136"/>
      <c r="AN116" s="136"/>
      <c r="AO116" s="136"/>
      <c r="AP116" s="136"/>
    </row>
    <row r="117" spans="1:42" ht="16" thickBot="1">
      <c r="A117" t="s">
        <v>324</v>
      </c>
      <c r="B117" s="261">
        <f>$D$4*B106</f>
        <v>46.844581662413418</v>
      </c>
      <c r="C117" s="261">
        <f>$AH$4*C106</f>
        <v>71.088281366074028</v>
      </c>
      <c r="D117" s="184"/>
      <c r="N117" s="194"/>
      <c r="AK117" s="141"/>
      <c r="AL117" s="143"/>
      <c r="AM117" s="143"/>
      <c r="AN117" s="143"/>
      <c r="AO117" s="143"/>
      <c r="AP117" s="141"/>
    </row>
    <row r="118" spans="1:42" ht="16" thickBot="1">
      <c r="A118" s="185" t="s">
        <v>67</v>
      </c>
      <c r="B118" s="264">
        <f>SUM(B111:B117)</f>
        <v>111.92307692307691</v>
      </c>
      <c r="C118" s="264">
        <f>SUM(C111:C117)</f>
        <v>160</v>
      </c>
      <c r="D118" s="252"/>
      <c r="N118" s="253"/>
    </row>
    <row r="120" spans="1:42">
      <c r="A120" s="1" t="s">
        <v>357</v>
      </c>
      <c r="D120" s="1">
        <v>2020</v>
      </c>
      <c r="E120" s="1">
        <f>D120+1</f>
        <v>2021</v>
      </c>
      <c r="F120" s="1">
        <f t="shared" ref="F120:Q120" si="39">E120+1</f>
        <v>2022</v>
      </c>
      <c r="G120" s="1">
        <f t="shared" si="39"/>
        <v>2023</v>
      </c>
      <c r="H120" s="1">
        <f t="shared" si="39"/>
        <v>2024</v>
      </c>
      <c r="I120" s="1">
        <f t="shared" si="39"/>
        <v>2025</v>
      </c>
      <c r="J120" s="1">
        <f t="shared" si="39"/>
        <v>2026</v>
      </c>
      <c r="K120" s="1">
        <f t="shared" si="39"/>
        <v>2027</v>
      </c>
      <c r="L120" s="1">
        <f t="shared" si="39"/>
        <v>2028</v>
      </c>
      <c r="M120" s="1">
        <f t="shared" si="39"/>
        <v>2029</v>
      </c>
      <c r="N120" s="1">
        <f t="shared" si="39"/>
        <v>2030</v>
      </c>
      <c r="O120" s="1">
        <f t="shared" si="39"/>
        <v>2031</v>
      </c>
      <c r="P120" s="1">
        <f t="shared" si="39"/>
        <v>2032</v>
      </c>
      <c r="Q120" s="1">
        <f t="shared" si="39"/>
        <v>2033</v>
      </c>
      <c r="R120" s="1">
        <f>Q120+1</f>
        <v>2034</v>
      </c>
      <c r="S120" s="1">
        <f t="shared" ref="S120:AB120" si="40">R120+1</f>
        <v>2035</v>
      </c>
      <c r="T120" s="1">
        <f t="shared" si="40"/>
        <v>2036</v>
      </c>
      <c r="U120" s="1">
        <f t="shared" si="40"/>
        <v>2037</v>
      </c>
      <c r="V120" s="1">
        <f t="shared" si="40"/>
        <v>2038</v>
      </c>
      <c r="W120" s="1">
        <f t="shared" si="40"/>
        <v>2039</v>
      </c>
      <c r="X120" s="1">
        <f t="shared" si="40"/>
        <v>2040</v>
      </c>
      <c r="Y120" s="1">
        <f t="shared" si="40"/>
        <v>2041</v>
      </c>
      <c r="Z120" s="1">
        <f t="shared" si="40"/>
        <v>2042</v>
      </c>
      <c r="AA120" s="1">
        <f t="shared" si="40"/>
        <v>2043</v>
      </c>
      <c r="AB120" s="1">
        <f t="shared" si="40"/>
        <v>2044</v>
      </c>
      <c r="AC120" s="1">
        <f>AB120+1</f>
        <v>2045</v>
      </c>
      <c r="AD120" s="1">
        <f t="shared" ref="AD120:AF120" si="41">AC120+1</f>
        <v>2046</v>
      </c>
      <c r="AE120" s="1">
        <f t="shared" si="41"/>
        <v>2047</v>
      </c>
      <c r="AF120" s="1">
        <f t="shared" si="41"/>
        <v>2048</v>
      </c>
      <c r="AG120" s="1">
        <f>AF120+1</f>
        <v>2049</v>
      </c>
      <c r="AH120" s="1">
        <f t="shared" ref="AH120" si="42">AG120+1</f>
        <v>2050</v>
      </c>
      <c r="AK120" s="141"/>
      <c r="AL120" s="143"/>
      <c r="AM120" s="143"/>
      <c r="AN120" s="143"/>
      <c r="AO120" s="143"/>
      <c r="AP120" s="141"/>
    </row>
    <row r="121" spans="1:42">
      <c r="C121" t="s">
        <v>168</v>
      </c>
      <c r="D121" s="44">
        <f t="shared" ref="D121:AH121" si="43">D39</f>
        <v>0</v>
      </c>
      <c r="E121" s="44">
        <f t="shared" si="43"/>
        <v>0</v>
      </c>
      <c r="F121" s="44">
        <f t="shared" si="43"/>
        <v>0</v>
      </c>
      <c r="G121" s="44">
        <f t="shared" si="43"/>
        <v>0</v>
      </c>
      <c r="H121" s="44">
        <f t="shared" si="43"/>
        <v>0</v>
      </c>
      <c r="I121" s="44">
        <f t="shared" si="43"/>
        <v>0</v>
      </c>
      <c r="J121" s="44">
        <f t="shared" si="43"/>
        <v>0</v>
      </c>
      <c r="K121" s="44">
        <f t="shared" si="43"/>
        <v>0</v>
      </c>
      <c r="L121" s="44">
        <f t="shared" si="43"/>
        <v>0</v>
      </c>
      <c r="M121" s="44">
        <f t="shared" si="43"/>
        <v>0</v>
      </c>
      <c r="N121" s="44">
        <f t="shared" si="43"/>
        <v>0</v>
      </c>
      <c r="O121" s="44">
        <f t="shared" si="43"/>
        <v>0</v>
      </c>
      <c r="P121" s="44">
        <f t="shared" si="43"/>
        <v>0</v>
      </c>
      <c r="Q121" s="44">
        <f t="shared" si="43"/>
        <v>0</v>
      </c>
      <c r="R121" s="44">
        <f t="shared" si="43"/>
        <v>0</v>
      </c>
      <c r="S121" s="44">
        <f t="shared" si="43"/>
        <v>0</v>
      </c>
      <c r="T121" s="44">
        <f t="shared" si="43"/>
        <v>0</v>
      </c>
      <c r="U121" s="44">
        <f t="shared" si="43"/>
        <v>0</v>
      </c>
      <c r="V121" s="44">
        <f t="shared" si="43"/>
        <v>0</v>
      </c>
      <c r="W121" s="44">
        <f t="shared" si="43"/>
        <v>0</v>
      </c>
      <c r="X121" s="44">
        <f t="shared" si="43"/>
        <v>0</v>
      </c>
      <c r="Y121" s="44">
        <f t="shared" si="43"/>
        <v>0</v>
      </c>
      <c r="Z121" s="44">
        <f t="shared" si="43"/>
        <v>0</v>
      </c>
      <c r="AA121" s="44">
        <f t="shared" si="43"/>
        <v>0</v>
      </c>
      <c r="AB121" s="44">
        <f t="shared" si="43"/>
        <v>0</v>
      </c>
      <c r="AC121" s="44">
        <f t="shared" si="43"/>
        <v>0</v>
      </c>
      <c r="AD121" s="44">
        <f t="shared" si="43"/>
        <v>0</v>
      </c>
      <c r="AE121" s="44">
        <f t="shared" si="43"/>
        <v>0</v>
      </c>
      <c r="AF121" s="44">
        <f t="shared" si="43"/>
        <v>0</v>
      </c>
      <c r="AG121" s="44">
        <f t="shared" si="43"/>
        <v>0</v>
      </c>
      <c r="AH121" s="44">
        <f t="shared" si="43"/>
        <v>0</v>
      </c>
    </row>
    <row r="122" spans="1:42">
      <c r="C122" t="s">
        <v>172</v>
      </c>
      <c r="D122" s="44">
        <f t="shared" ref="D122:AH122" si="44">D40</f>
        <v>0</v>
      </c>
      <c r="E122" s="44">
        <f t="shared" si="44"/>
        <v>0</v>
      </c>
      <c r="F122" s="44">
        <f t="shared" si="44"/>
        <v>0</v>
      </c>
      <c r="G122" s="44">
        <f t="shared" si="44"/>
        <v>0</v>
      </c>
      <c r="H122" s="44">
        <f t="shared" si="44"/>
        <v>0</v>
      </c>
      <c r="I122" s="44">
        <f t="shared" si="44"/>
        <v>0</v>
      </c>
      <c r="J122" s="44">
        <f t="shared" si="44"/>
        <v>0</v>
      </c>
      <c r="K122" s="44">
        <f t="shared" si="44"/>
        <v>0</v>
      </c>
      <c r="L122" s="44">
        <f t="shared" si="44"/>
        <v>0</v>
      </c>
      <c r="M122" s="44">
        <f t="shared" si="44"/>
        <v>0</v>
      </c>
      <c r="N122" s="44">
        <f t="shared" si="44"/>
        <v>0</v>
      </c>
      <c r="O122" s="44">
        <f t="shared" si="44"/>
        <v>0</v>
      </c>
      <c r="P122" s="44">
        <f t="shared" si="44"/>
        <v>0</v>
      </c>
      <c r="Q122" s="44">
        <f t="shared" si="44"/>
        <v>0</v>
      </c>
      <c r="R122" s="44">
        <f t="shared" si="44"/>
        <v>0</v>
      </c>
      <c r="S122" s="44">
        <f t="shared" si="44"/>
        <v>0</v>
      </c>
      <c r="T122" s="44">
        <f t="shared" si="44"/>
        <v>0</v>
      </c>
      <c r="U122" s="44">
        <f t="shared" si="44"/>
        <v>0</v>
      </c>
      <c r="V122" s="44">
        <f t="shared" si="44"/>
        <v>0</v>
      </c>
      <c r="W122" s="44">
        <f t="shared" si="44"/>
        <v>0</v>
      </c>
      <c r="X122" s="44">
        <f t="shared" si="44"/>
        <v>0</v>
      </c>
      <c r="Y122" s="44">
        <f t="shared" si="44"/>
        <v>0</v>
      </c>
      <c r="Z122" s="44">
        <f t="shared" si="44"/>
        <v>0</v>
      </c>
      <c r="AA122" s="44">
        <f t="shared" si="44"/>
        <v>0</v>
      </c>
      <c r="AB122" s="44">
        <f t="shared" si="44"/>
        <v>0</v>
      </c>
      <c r="AC122" s="44">
        <f t="shared" si="44"/>
        <v>0</v>
      </c>
      <c r="AD122" s="44">
        <f t="shared" si="44"/>
        <v>0</v>
      </c>
      <c r="AE122" s="44">
        <f t="shared" si="44"/>
        <v>0</v>
      </c>
      <c r="AF122" s="44">
        <f t="shared" si="44"/>
        <v>0</v>
      </c>
      <c r="AG122" s="44">
        <f t="shared" si="44"/>
        <v>0</v>
      </c>
      <c r="AH122" s="44">
        <f t="shared" si="44"/>
        <v>0</v>
      </c>
    </row>
    <row r="123" spans="1:42">
      <c r="C123" t="s">
        <v>324</v>
      </c>
      <c r="D123" s="44">
        <f t="shared" ref="D123:AH123" si="45">D21</f>
        <v>46.844581662413418</v>
      </c>
      <c r="E123" s="44">
        <f t="shared" si="45"/>
        <v>47.500405805687208</v>
      </c>
      <c r="F123" s="44">
        <f t="shared" si="45"/>
        <v>48.165411486966832</v>
      </c>
      <c r="G123" s="44">
        <f t="shared" si="45"/>
        <v>48.839727247784367</v>
      </c>
      <c r="H123" s="44">
        <f t="shared" si="45"/>
        <v>49.523483429253346</v>
      </c>
      <c r="I123" s="44">
        <f t="shared" si="45"/>
        <v>50.216812197262897</v>
      </c>
      <c r="J123" s="44">
        <f t="shared" si="45"/>
        <v>50.919847568024579</v>
      </c>
      <c r="K123" s="44">
        <f t="shared" si="45"/>
        <v>51.632725433976923</v>
      </c>
      <c r="L123" s="44">
        <f t="shared" si="45"/>
        <v>52.355583590052603</v>
      </c>
      <c r="M123" s="44">
        <f t="shared" si="45"/>
        <v>53.08856176031334</v>
      </c>
      <c r="N123" s="44">
        <f t="shared" si="45"/>
        <v>53.831801624957727</v>
      </c>
      <c r="O123" s="44">
        <f t="shared" si="45"/>
        <v>54.585446847707139</v>
      </c>
      <c r="P123" s="44">
        <f t="shared" si="45"/>
        <v>55.34964310357504</v>
      </c>
      <c r="Q123" s="44">
        <f t="shared" si="45"/>
        <v>56.124538107025089</v>
      </c>
      <c r="R123" s="44">
        <f t="shared" si="45"/>
        <v>56.910281640523444</v>
      </c>
      <c r="S123" s="44">
        <f t="shared" si="45"/>
        <v>57.707025583490775</v>
      </c>
      <c r="T123" s="44">
        <f t="shared" si="45"/>
        <v>58.514923941659646</v>
      </c>
      <c r="U123" s="44">
        <f t="shared" si="45"/>
        <v>59.33413287684288</v>
      </c>
      <c r="V123" s="44">
        <f t="shared" si="45"/>
        <v>60.164810737118678</v>
      </c>
      <c r="W123" s="44">
        <f t="shared" si="45"/>
        <v>61.007118087438343</v>
      </c>
      <c r="X123" s="44">
        <f t="shared" si="45"/>
        <v>61.861217740662482</v>
      </c>
      <c r="Y123" s="44">
        <f t="shared" si="45"/>
        <v>62.72727478903176</v>
      </c>
      <c r="Z123" s="44">
        <f t="shared" si="45"/>
        <v>63.605456636078209</v>
      </c>
      <c r="AA123" s="44">
        <f t="shared" si="45"/>
        <v>64.495933028983302</v>
      </c>
      <c r="AB123" s="44">
        <f t="shared" si="45"/>
        <v>65.39887609138907</v>
      </c>
      <c r="AC123" s="44">
        <f t="shared" si="45"/>
        <v>66.314460356668519</v>
      </c>
      <c r="AD123" s="44">
        <f t="shared" si="45"/>
        <v>67.242862801661886</v>
      </c>
      <c r="AE123" s="44">
        <f t="shared" si="45"/>
        <v>68.184262880885157</v>
      </c>
      <c r="AF123" s="44">
        <f t="shared" si="45"/>
        <v>69.138842561217544</v>
      </c>
      <c r="AG123" s="44">
        <f t="shared" si="45"/>
        <v>70.106786357074597</v>
      </c>
      <c r="AH123" s="44">
        <f t="shared" si="45"/>
        <v>71.088281366073645</v>
      </c>
    </row>
    <row r="124" spans="1:42">
      <c r="C124" t="s">
        <v>310</v>
      </c>
      <c r="D124" s="44">
        <f t="shared" ref="D124:AH124" si="46">D25</f>
        <v>12.379169704702877</v>
      </c>
      <c r="E124" s="44">
        <f t="shared" si="46"/>
        <v>12.589615589682824</v>
      </c>
      <c r="F124" s="44">
        <f t="shared" si="46"/>
        <v>12.80363905470743</v>
      </c>
      <c r="G124" s="44">
        <f t="shared" si="46"/>
        <v>13.021300918637456</v>
      </c>
      <c r="H124" s="44">
        <f t="shared" si="46"/>
        <v>13.242663034254292</v>
      </c>
      <c r="I124" s="44">
        <f t="shared" si="46"/>
        <v>13.467788305836613</v>
      </c>
      <c r="J124" s="44">
        <f t="shared" si="46"/>
        <v>13.696740707035834</v>
      </c>
      <c r="K124" s="44">
        <f t="shared" si="46"/>
        <v>13.929585299055443</v>
      </c>
      <c r="L124" s="44">
        <f t="shared" si="46"/>
        <v>14.166388249139384</v>
      </c>
      <c r="M124" s="44">
        <f t="shared" si="46"/>
        <v>14.407216849374752</v>
      </c>
      <c r="N124" s="44">
        <f t="shared" si="46"/>
        <v>14.652139535814122</v>
      </c>
      <c r="O124" s="44">
        <f t="shared" si="46"/>
        <v>14.90122590792296</v>
      </c>
      <c r="P124" s="44">
        <f t="shared" si="46"/>
        <v>15.154546748357649</v>
      </c>
      <c r="Q124" s="44">
        <f t="shared" si="46"/>
        <v>15.412174043079728</v>
      </c>
      <c r="R124" s="44">
        <f t="shared" si="46"/>
        <v>15.674181001812082</v>
      </c>
      <c r="S124" s="44">
        <f t="shared" si="46"/>
        <v>15.940642078842886</v>
      </c>
      <c r="T124" s="44">
        <f t="shared" si="46"/>
        <v>16.211632994183216</v>
      </c>
      <c r="U124" s="44">
        <f t="shared" si="46"/>
        <v>16.48723075508433</v>
      </c>
      <c r="V124" s="44">
        <f t="shared" si="46"/>
        <v>16.767513677920761</v>
      </c>
      <c r="W124" s="44">
        <f t="shared" si="46"/>
        <v>17.052561410445414</v>
      </c>
      <c r="X124" s="44">
        <f t="shared" si="46"/>
        <v>17.342454954422983</v>
      </c>
      <c r="Y124" s="44">
        <f t="shared" si="46"/>
        <v>17.637276688648171</v>
      </c>
      <c r="Z124" s="44">
        <f t="shared" si="46"/>
        <v>17.937110392355187</v>
      </c>
      <c r="AA124" s="44">
        <f t="shared" si="46"/>
        <v>18.242041269025222</v>
      </c>
      <c r="AB124" s="44">
        <f t="shared" si="46"/>
        <v>18.552155970598648</v>
      </c>
      <c r="AC124" s="44">
        <f t="shared" si="46"/>
        <v>18.867542622098824</v>
      </c>
      <c r="AD124" s="44">
        <f t="shared" si="46"/>
        <v>19.188290846674501</v>
      </c>
      <c r="AE124" s="44">
        <f t="shared" si="46"/>
        <v>19.514491791067964</v>
      </c>
      <c r="AF124" s="44">
        <f t="shared" si="46"/>
        <v>19.846238151516118</v>
      </c>
      <c r="AG124" s="44">
        <f t="shared" si="46"/>
        <v>20.183624200091892</v>
      </c>
      <c r="AH124" s="44">
        <f t="shared" si="46"/>
        <v>20.526745811493452</v>
      </c>
    </row>
    <row r="125" spans="1:42">
      <c r="C125" t="s">
        <v>311</v>
      </c>
      <c r="D125" s="44">
        <f t="shared" ref="D125:AH125" si="47">D13</f>
        <v>17.63451512942034</v>
      </c>
      <c r="E125" s="44">
        <f t="shared" si="47"/>
        <v>17.952236188507104</v>
      </c>
      <c r="F125" s="44">
        <f t="shared" si="47"/>
        <v>18.275663388730418</v>
      </c>
      <c r="G125" s="44">
        <f t="shared" si="47"/>
        <v>18.604898917502844</v>
      </c>
      <c r="H125" s="44">
        <f t="shared" si="47"/>
        <v>18.94004678753419</v>
      </c>
      <c r="I125" s="44">
        <f t="shared" si="47"/>
        <v>19.28121286935944</v>
      </c>
      <c r="J125" s="44">
        <f t="shared" si="47"/>
        <v>19.628504924445153</v>
      </c>
      <c r="K125" s="44">
        <f t="shared" si="47"/>
        <v>19.98203263888454</v>
      </c>
      <c r="L125" s="44">
        <f t="shared" si="47"/>
        <v>20.341907657691699</v>
      </c>
      <c r="M125" s="44">
        <f t="shared" si="47"/>
        <v>20.708243619705666</v>
      </c>
      <c r="N125" s="44">
        <f t="shared" si="47"/>
        <v>21.081156193115028</v>
      </c>
      <c r="O125" s="44">
        <f t="shared" si="47"/>
        <v>21.524444901262925</v>
      </c>
      <c r="P125" s="44">
        <f t="shared" si="47"/>
        <v>21.976712971348043</v>
      </c>
      <c r="Q125" s="44">
        <f t="shared" si="47"/>
        <v>22.438137591239585</v>
      </c>
      <c r="R125" s="44">
        <f t="shared" si="47"/>
        <v>22.908899378158718</v>
      </c>
      <c r="S125" s="44">
        <f t="shared" si="47"/>
        <v>23.389182444069238</v>
      </c>
      <c r="T125" s="44">
        <f t="shared" si="47"/>
        <v>23.879174462300426</v>
      </c>
      <c r="U125" s="44">
        <f t="shared" si="47"/>
        <v>24.379066735425141</v>
      </c>
      <c r="V125" s="44">
        <f t="shared" si="47"/>
        <v>24.889054264416487</v>
      </c>
      <c r="W125" s="44">
        <f t="shared" si="47"/>
        <v>25.409335819107</v>
      </c>
      <c r="X125" s="44">
        <f t="shared" si="47"/>
        <v>25.940114009974575</v>
      </c>
      <c r="Y125" s="44">
        <f t="shared" si="47"/>
        <v>26.506720214563877</v>
      </c>
      <c r="Z125" s="44">
        <f t="shared" si="47"/>
        <v>27.085094337160328</v>
      </c>
      <c r="AA125" s="44">
        <f t="shared" si="47"/>
        <v>27.675472737783053</v>
      </c>
      <c r="AB125" s="44">
        <f t="shared" si="47"/>
        <v>28.278096411763507</v>
      </c>
      <c r="AC125" s="44">
        <f t="shared" si="47"/>
        <v>28.893211079038082</v>
      </c>
      <c r="AD125" s="44">
        <f t="shared" si="47"/>
        <v>29.521067275136989</v>
      </c>
      <c r="AE125" s="44">
        <f t="shared" si="47"/>
        <v>30.161920443901419</v>
      </c>
      <c r="AF125" s="44">
        <f t="shared" si="47"/>
        <v>30.816031031961323</v>
      </c>
      <c r="AG125" s="44">
        <f t="shared" si="47"/>
        <v>31.483664585006974</v>
      </c>
      <c r="AH125" s="44">
        <f t="shared" si="47"/>
        <v>32.165091845887943</v>
      </c>
    </row>
    <row r="126" spans="1:42">
      <c r="C126" s="131" t="s">
        <v>320</v>
      </c>
      <c r="D126" s="44">
        <f t="shared" ref="D126:AH126" si="48">D31</f>
        <v>0</v>
      </c>
      <c r="E126" s="44">
        <f t="shared" si="48"/>
        <v>0</v>
      </c>
      <c r="F126" s="44">
        <f t="shared" si="48"/>
        <v>0</v>
      </c>
      <c r="G126" s="44">
        <f t="shared" si="48"/>
        <v>0</v>
      </c>
      <c r="H126" s="44">
        <f t="shared" si="48"/>
        <v>0</v>
      </c>
      <c r="I126" s="44">
        <f t="shared" si="48"/>
        <v>0</v>
      </c>
      <c r="J126" s="44">
        <f t="shared" si="48"/>
        <v>0</v>
      </c>
      <c r="K126" s="44">
        <f t="shared" si="48"/>
        <v>0</v>
      </c>
      <c r="L126" s="44">
        <f t="shared" si="48"/>
        <v>0</v>
      </c>
      <c r="M126" s="44">
        <f t="shared" si="48"/>
        <v>0</v>
      </c>
      <c r="N126" s="44">
        <f t="shared" si="48"/>
        <v>0</v>
      </c>
      <c r="O126" s="44">
        <f t="shared" si="48"/>
        <v>0</v>
      </c>
      <c r="P126" s="44">
        <f t="shared" si="48"/>
        <v>0</v>
      </c>
      <c r="Q126" s="44">
        <f t="shared" si="48"/>
        <v>0</v>
      </c>
      <c r="R126" s="44">
        <f t="shared" si="48"/>
        <v>0</v>
      </c>
      <c r="S126" s="44">
        <f t="shared" si="48"/>
        <v>0</v>
      </c>
      <c r="T126" s="44">
        <f t="shared" si="48"/>
        <v>0</v>
      </c>
      <c r="U126" s="44">
        <f t="shared" si="48"/>
        <v>0</v>
      </c>
      <c r="V126" s="44">
        <f t="shared" si="48"/>
        <v>0</v>
      </c>
      <c r="W126" s="44">
        <f t="shared" si="48"/>
        <v>0</v>
      </c>
      <c r="X126" s="44">
        <f t="shared" si="48"/>
        <v>0</v>
      </c>
      <c r="Y126" s="44">
        <f t="shared" si="48"/>
        <v>0</v>
      </c>
      <c r="Z126" s="44">
        <f t="shared" si="48"/>
        <v>0</v>
      </c>
      <c r="AA126" s="44">
        <f t="shared" si="48"/>
        <v>0</v>
      </c>
      <c r="AB126" s="44">
        <f t="shared" si="48"/>
        <v>0</v>
      </c>
      <c r="AC126" s="44">
        <f t="shared" si="48"/>
        <v>0</v>
      </c>
      <c r="AD126" s="44">
        <f t="shared" si="48"/>
        <v>0</v>
      </c>
      <c r="AE126" s="44">
        <f t="shared" si="48"/>
        <v>0</v>
      </c>
      <c r="AF126" s="44">
        <f t="shared" si="48"/>
        <v>0</v>
      </c>
      <c r="AG126" s="44">
        <f t="shared" si="48"/>
        <v>0</v>
      </c>
      <c r="AH126" s="44">
        <f t="shared" si="48"/>
        <v>0</v>
      </c>
    </row>
    <row r="127" spans="1:42">
      <c r="C127" t="s">
        <v>321</v>
      </c>
      <c r="D127" s="44">
        <f t="shared" ref="D127:AH127" si="49">D38</f>
        <v>0</v>
      </c>
      <c r="E127" s="44">
        <f t="shared" si="49"/>
        <v>0</v>
      </c>
      <c r="F127" s="44">
        <f t="shared" si="49"/>
        <v>0</v>
      </c>
      <c r="G127" s="44">
        <f t="shared" si="49"/>
        <v>0</v>
      </c>
      <c r="H127" s="44">
        <f t="shared" si="49"/>
        <v>0</v>
      </c>
      <c r="I127" s="44">
        <f t="shared" si="49"/>
        <v>0</v>
      </c>
      <c r="J127" s="44">
        <f t="shared" si="49"/>
        <v>0</v>
      </c>
      <c r="K127" s="44">
        <f t="shared" si="49"/>
        <v>0</v>
      </c>
      <c r="L127" s="44">
        <f t="shared" si="49"/>
        <v>0</v>
      </c>
      <c r="M127" s="44">
        <f t="shared" si="49"/>
        <v>0</v>
      </c>
      <c r="N127" s="44">
        <f t="shared" si="49"/>
        <v>0</v>
      </c>
      <c r="O127" s="44">
        <f t="shared" si="49"/>
        <v>0</v>
      </c>
      <c r="P127" s="44">
        <f t="shared" si="49"/>
        <v>0</v>
      </c>
      <c r="Q127" s="44">
        <f t="shared" si="49"/>
        <v>0</v>
      </c>
      <c r="R127" s="44">
        <f t="shared" si="49"/>
        <v>0</v>
      </c>
      <c r="S127" s="44">
        <f t="shared" si="49"/>
        <v>0</v>
      </c>
      <c r="T127" s="44">
        <f t="shared" si="49"/>
        <v>0</v>
      </c>
      <c r="U127" s="44">
        <f t="shared" si="49"/>
        <v>0</v>
      </c>
      <c r="V127" s="44">
        <f t="shared" si="49"/>
        <v>0</v>
      </c>
      <c r="W127" s="44">
        <f t="shared" si="49"/>
        <v>0</v>
      </c>
      <c r="X127" s="44">
        <f t="shared" si="49"/>
        <v>0</v>
      </c>
      <c r="Y127" s="44">
        <f t="shared" si="49"/>
        <v>0</v>
      </c>
      <c r="Z127" s="44">
        <f t="shared" si="49"/>
        <v>0</v>
      </c>
      <c r="AA127" s="44">
        <f t="shared" si="49"/>
        <v>0</v>
      </c>
      <c r="AB127" s="44">
        <f t="shared" si="49"/>
        <v>0</v>
      </c>
      <c r="AC127" s="44">
        <f t="shared" si="49"/>
        <v>0</v>
      </c>
      <c r="AD127" s="44">
        <f t="shared" si="49"/>
        <v>0</v>
      </c>
      <c r="AE127" s="44">
        <f t="shared" si="49"/>
        <v>0</v>
      </c>
      <c r="AF127" s="44">
        <f t="shared" si="49"/>
        <v>0</v>
      </c>
      <c r="AG127" s="44">
        <f t="shared" si="49"/>
        <v>0</v>
      </c>
      <c r="AH127" s="44">
        <f t="shared" si="49"/>
        <v>0</v>
      </c>
    </row>
    <row r="128" spans="1:42">
      <c r="C128" t="s">
        <v>248</v>
      </c>
      <c r="D128" s="44">
        <f t="shared" ref="D128:AH128" si="50">D35</f>
        <v>35.064810426540291</v>
      </c>
      <c r="E128" s="44">
        <f t="shared" si="50"/>
        <v>36.116775689152504</v>
      </c>
      <c r="F128" s="44">
        <f t="shared" si="50"/>
        <v>37.194840842672889</v>
      </c>
      <c r="G128" s="44">
        <f t="shared" si="50"/>
        <v>38.299600968841681</v>
      </c>
      <c r="H128" s="44">
        <f t="shared" si="50"/>
        <v>39.431664105577326</v>
      </c>
      <c r="I128" s="44">
        <f t="shared" si="50"/>
        <v>40.591651521265369</v>
      </c>
      <c r="J128" s="44">
        <f t="shared" si="50"/>
        <v>41.559479269006808</v>
      </c>
      <c r="K128" s="44">
        <f t="shared" si="50"/>
        <v>42.548161106867823</v>
      </c>
      <c r="L128" s="44">
        <f t="shared" si="50"/>
        <v>43.558122404188012</v>
      </c>
      <c r="M128" s="44">
        <f t="shared" si="50"/>
        <v>44.589796919996559</v>
      </c>
      <c r="N128" s="44">
        <f t="shared" si="50"/>
        <v>45.643626964856836</v>
      </c>
      <c r="O128" s="44">
        <f t="shared" si="50"/>
        <v>45.513538753044301</v>
      </c>
      <c r="P128" s="44">
        <f t="shared" si="50"/>
        <v>45.373793604755676</v>
      </c>
      <c r="Q128" s="44">
        <f t="shared" si="50"/>
        <v>45.224170750896405</v>
      </c>
      <c r="R128" s="44">
        <f t="shared" si="50"/>
        <v>45.064445309997041</v>
      </c>
      <c r="S128" s="44">
        <f t="shared" si="50"/>
        <v>44.894388217210761</v>
      </c>
      <c r="T128" s="44">
        <f t="shared" si="50"/>
        <v>44.657909758188808</v>
      </c>
      <c r="U128" s="44">
        <f t="shared" si="50"/>
        <v>44.409635027587569</v>
      </c>
      <c r="V128" s="44">
        <f t="shared" si="50"/>
        <v>44.149308712963851</v>
      </c>
      <c r="W128" s="44">
        <f t="shared" si="50"/>
        <v>43.876670865120836</v>
      </c>
      <c r="X128" s="44">
        <f t="shared" si="50"/>
        <v>43.591456819224469</v>
      </c>
      <c r="Y128" s="44">
        <f t="shared" si="50"/>
        <v>43.239931957107011</v>
      </c>
      <c r="Z128" s="44">
        <f t="shared" si="50"/>
        <v>42.874376509212937</v>
      </c>
      <c r="AA128" s="44">
        <f t="shared" si="50"/>
        <v>42.494499544079559</v>
      </c>
      <c r="AB128" s="44">
        <f t="shared" si="50"/>
        <v>42.100004953666058</v>
      </c>
      <c r="AC128" s="44">
        <f t="shared" si="50"/>
        <v>41.690591366313512</v>
      </c>
      <c r="AD128" s="44">
        <f t="shared" si="50"/>
        <v>41.214681649789782</v>
      </c>
      <c r="AE128" s="44">
        <f t="shared" si="50"/>
        <v>40.722396518730974</v>
      </c>
      <c r="AF128" s="44">
        <f t="shared" si="50"/>
        <v>40.213408011445836</v>
      </c>
      <c r="AG128" s="44">
        <f t="shared" si="50"/>
        <v>39.68738242812433</v>
      </c>
      <c r="AH128" s="44">
        <f t="shared" si="50"/>
        <v>39.143980235262035</v>
      </c>
    </row>
    <row r="129" spans="1:36">
      <c r="C129" t="s">
        <v>364</v>
      </c>
      <c r="D129" s="44">
        <f>SUM(D121:D128)</f>
        <v>111.92307692307692</v>
      </c>
      <c r="E129" s="44">
        <f t="shared" ref="E129:AH129" si="51">SUM(E121:E128)</f>
        <v>114.15903327302964</v>
      </c>
      <c r="F129" s="44">
        <f t="shared" si="51"/>
        <v>116.43955477307757</v>
      </c>
      <c r="G129" s="44">
        <f t="shared" si="51"/>
        <v>118.76552805276634</v>
      </c>
      <c r="H129" s="44">
        <f t="shared" si="51"/>
        <v>121.13785735661915</v>
      </c>
      <c r="I129" s="44">
        <f t="shared" si="51"/>
        <v>123.55746489372433</v>
      </c>
      <c r="J129" s="44">
        <f t="shared" si="51"/>
        <v>125.80457246851236</v>
      </c>
      <c r="K129" s="44">
        <f t="shared" si="51"/>
        <v>128.09250447878475</v>
      </c>
      <c r="L129" s="44">
        <f t="shared" si="51"/>
        <v>130.42200190107172</v>
      </c>
      <c r="M129" s="44">
        <f t="shared" si="51"/>
        <v>132.79381914939032</v>
      </c>
      <c r="N129" s="44">
        <f t="shared" si="51"/>
        <v>135.20872431874369</v>
      </c>
      <c r="O129" s="44">
        <f t="shared" si="51"/>
        <v>136.52465640993734</v>
      </c>
      <c r="P129" s="44">
        <f t="shared" si="51"/>
        <v>137.85469642803639</v>
      </c>
      <c r="Q129" s="44">
        <f t="shared" si="51"/>
        <v>139.19902049224081</v>
      </c>
      <c r="R129" s="44">
        <f t="shared" si="51"/>
        <v>140.5578073304913</v>
      </c>
      <c r="S129" s="44">
        <f t="shared" si="51"/>
        <v>141.93123832361366</v>
      </c>
      <c r="T129" s="44">
        <f t="shared" si="51"/>
        <v>143.26364115633208</v>
      </c>
      <c r="U129" s="44">
        <f t="shared" si="51"/>
        <v>144.61006539493991</v>
      </c>
      <c r="V129" s="44">
        <f t="shared" si="51"/>
        <v>145.97068739241976</v>
      </c>
      <c r="W129" s="44">
        <f t="shared" si="51"/>
        <v>147.34568618211159</v>
      </c>
      <c r="X129" s="44">
        <f t="shared" si="51"/>
        <v>148.7352435242845</v>
      </c>
      <c r="Y129" s="44">
        <f t="shared" si="51"/>
        <v>150.11120364935081</v>
      </c>
      <c r="Z129" s="44">
        <f t="shared" si="51"/>
        <v>151.50203787480666</v>
      </c>
      <c r="AA129" s="44">
        <f t="shared" si="51"/>
        <v>152.90794657987112</v>
      </c>
      <c r="AB129" s="44">
        <f t="shared" si="51"/>
        <v>154.32913342741728</v>
      </c>
      <c r="AC129" s="44">
        <f t="shared" si="51"/>
        <v>155.76580542411892</v>
      </c>
      <c r="AD129" s="44">
        <f t="shared" si="51"/>
        <v>157.16690257326314</v>
      </c>
      <c r="AE129" s="44">
        <f t="shared" si="51"/>
        <v>158.58307163458551</v>
      </c>
      <c r="AF129" s="44">
        <f t="shared" si="51"/>
        <v>160.01451975614083</v>
      </c>
      <c r="AG129" s="44">
        <f t="shared" si="51"/>
        <v>161.4614575702978</v>
      </c>
      <c r="AH129" s="44">
        <f t="shared" si="51"/>
        <v>162.92409925871709</v>
      </c>
    </row>
    <row r="131" spans="1:36">
      <c r="A131" s="1" t="s">
        <v>365</v>
      </c>
      <c r="C131" t="s">
        <v>168</v>
      </c>
      <c r="D131" s="44">
        <f>D121</f>
        <v>0</v>
      </c>
      <c r="E131" s="44">
        <f t="shared" ref="E131:AH132" si="52">E121</f>
        <v>0</v>
      </c>
      <c r="F131" s="44">
        <f t="shared" si="52"/>
        <v>0</v>
      </c>
      <c r="G131" s="44">
        <f t="shared" si="52"/>
        <v>0</v>
      </c>
      <c r="H131" s="44">
        <f t="shared" si="52"/>
        <v>0</v>
      </c>
      <c r="I131" s="44">
        <f t="shared" si="52"/>
        <v>0</v>
      </c>
      <c r="J131" s="44">
        <f t="shared" si="52"/>
        <v>0</v>
      </c>
      <c r="K131" s="44">
        <f t="shared" si="52"/>
        <v>0</v>
      </c>
      <c r="L131" s="44">
        <f t="shared" si="52"/>
        <v>0</v>
      </c>
      <c r="M131" s="44">
        <f t="shared" si="52"/>
        <v>0</v>
      </c>
      <c r="N131" s="44">
        <f t="shared" si="52"/>
        <v>0</v>
      </c>
      <c r="O131" s="44">
        <f t="shared" si="52"/>
        <v>0</v>
      </c>
      <c r="P131" s="44">
        <f t="shared" si="52"/>
        <v>0</v>
      </c>
      <c r="Q131" s="44">
        <f t="shared" si="52"/>
        <v>0</v>
      </c>
      <c r="R131" s="44">
        <f t="shared" si="52"/>
        <v>0</v>
      </c>
      <c r="S131" s="44">
        <f t="shared" si="52"/>
        <v>0</v>
      </c>
      <c r="T131" s="44">
        <f t="shared" si="52"/>
        <v>0</v>
      </c>
      <c r="U131" s="44">
        <f t="shared" si="52"/>
        <v>0</v>
      </c>
      <c r="V131" s="44">
        <f t="shared" si="52"/>
        <v>0</v>
      </c>
      <c r="W131" s="44">
        <f t="shared" si="52"/>
        <v>0</v>
      </c>
      <c r="X131" s="44">
        <f t="shared" si="52"/>
        <v>0</v>
      </c>
      <c r="Y131" s="44">
        <f t="shared" si="52"/>
        <v>0</v>
      </c>
      <c r="Z131" s="44">
        <f t="shared" si="52"/>
        <v>0</v>
      </c>
      <c r="AA131" s="44">
        <f t="shared" si="52"/>
        <v>0</v>
      </c>
      <c r="AB131" s="44">
        <f t="shared" si="52"/>
        <v>0</v>
      </c>
      <c r="AC131" s="44">
        <f t="shared" si="52"/>
        <v>0</v>
      </c>
      <c r="AD131" s="44">
        <f t="shared" si="52"/>
        <v>0</v>
      </c>
      <c r="AE131" s="44">
        <f t="shared" si="52"/>
        <v>0</v>
      </c>
      <c r="AF131" s="44">
        <f t="shared" si="52"/>
        <v>0</v>
      </c>
      <c r="AG131" s="44">
        <f t="shared" si="52"/>
        <v>0</v>
      </c>
      <c r="AH131" s="44">
        <f t="shared" si="52"/>
        <v>0</v>
      </c>
    </row>
    <row r="132" spans="1:36">
      <c r="C132" t="s">
        <v>172</v>
      </c>
      <c r="D132" s="44">
        <f>D122</f>
        <v>0</v>
      </c>
      <c r="E132" s="44">
        <f t="shared" si="52"/>
        <v>0</v>
      </c>
      <c r="F132" s="44">
        <f t="shared" si="52"/>
        <v>0</v>
      </c>
      <c r="G132" s="44">
        <f t="shared" si="52"/>
        <v>0</v>
      </c>
      <c r="H132" s="44">
        <f t="shared" si="52"/>
        <v>0</v>
      </c>
      <c r="I132" s="44">
        <f t="shared" si="52"/>
        <v>0</v>
      </c>
      <c r="J132" s="44">
        <f t="shared" si="52"/>
        <v>0</v>
      </c>
      <c r="K132" s="44">
        <f t="shared" si="52"/>
        <v>0</v>
      </c>
      <c r="L132" s="44">
        <f t="shared" si="52"/>
        <v>0</v>
      </c>
      <c r="M132" s="44">
        <f t="shared" si="52"/>
        <v>0</v>
      </c>
      <c r="N132" s="44">
        <f t="shared" si="52"/>
        <v>0</v>
      </c>
      <c r="O132" s="44">
        <f t="shared" si="52"/>
        <v>0</v>
      </c>
      <c r="P132" s="44">
        <f t="shared" si="52"/>
        <v>0</v>
      </c>
      <c r="Q132" s="44">
        <f t="shared" si="52"/>
        <v>0</v>
      </c>
      <c r="R132" s="44">
        <f t="shared" si="52"/>
        <v>0</v>
      </c>
      <c r="S132" s="44">
        <f t="shared" si="52"/>
        <v>0</v>
      </c>
      <c r="T132" s="44">
        <f t="shared" si="52"/>
        <v>0</v>
      </c>
      <c r="U132" s="44">
        <f t="shared" si="52"/>
        <v>0</v>
      </c>
      <c r="V132" s="44">
        <f t="shared" si="52"/>
        <v>0</v>
      </c>
      <c r="W132" s="44">
        <f t="shared" si="52"/>
        <v>0</v>
      </c>
      <c r="X132" s="44">
        <f t="shared" si="52"/>
        <v>0</v>
      </c>
      <c r="Y132" s="44">
        <f t="shared" si="52"/>
        <v>0</v>
      </c>
      <c r="Z132" s="44">
        <f t="shared" si="52"/>
        <v>0</v>
      </c>
      <c r="AA132" s="44">
        <f t="shared" si="52"/>
        <v>0</v>
      </c>
      <c r="AB132" s="44">
        <f t="shared" si="52"/>
        <v>0</v>
      </c>
      <c r="AC132" s="44">
        <f t="shared" si="52"/>
        <v>0</v>
      </c>
      <c r="AD132" s="44">
        <f t="shared" si="52"/>
        <v>0</v>
      </c>
      <c r="AE132" s="44">
        <f t="shared" si="52"/>
        <v>0</v>
      </c>
      <c r="AF132" s="44">
        <f t="shared" si="52"/>
        <v>0</v>
      </c>
      <c r="AG132" s="44">
        <f t="shared" si="52"/>
        <v>0</v>
      </c>
      <c r="AH132" s="44">
        <f t="shared" si="52"/>
        <v>0</v>
      </c>
    </row>
    <row r="133" spans="1:36">
      <c r="C133" t="s">
        <v>193</v>
      </c>
      <c r="D133" s="44" cm="1">
        <f t="array" ref="D133">-(D46-D43+D49-D47+D53-D50+_xlfn.IFS(D59&lt;0, -D54, D59-D54&lt;=0,D59-D54, else, D54)+D65-D60)</f>
        <v>0</v>
      </c>
      <c r="E133" s="44" cm="1">
        <f t="array" ref="E133">-(E46-E43+E49-E47+E53-E50+_xlfn.IFS(E59&lt;0, -E54, E59-E54&lt;=0,E59-E54, else, E54)+E65-E60)</f>
        <v>0.53491604774025348</v>
      </c>
      <c r="F133" s="44" cm="1">
        <f t="array" ref="F133">-(F46-F43+F49-F47+F53-F50+_xlfn.IFS(F59&lt;0, -F54, F59-F54&lt;=0,F59-F54, else, F54)+F65-F60)</f>
        <v>1.0919554006388168</v>
      </c>
      <c r="G133" s="44" cm="1">
        <f t="array" ref="G133">-(G46-G43+G49-G47+G53-G50+_xlfn.IFS(G59&lt;0, -G54, G59-G54&lt;=0,G59-G54, else, G54)+G65-G60)</f>
        <v>1.6686234443347914</v>
      </c>
      <c r="H133" s="44" cm="1">
        <f t="array" ref="H133">-(H46-H43+H49-H47+H53-H50+_xlfn.IFS(H59&lt;0, -H54, H59-H54&lt;=0,H59-H54, else, H54)+H65-H60)</f>
        <v>2.2620799714408903</v>
      </c>
      <c r="I133" s="44" cm="1">
        <f t="array" ref="I133">-(I46-I43+I49-I47+I53-I50+_xlfn.IFS(I59&lt;0, -I54, I59-I54&lt;=0,I59-I54, else, I54)+I65-I60)</f>
        <v>2.8691578515143945</v>
      </c>
      <c r="J133" s="44" cm="1">
        <f t="array" ref="J133">-(J46-J43+J49-J47+J53-J50+_xlfn.IFS(J59&lt;0, -J54, J59-J54&lt;=0,J59-J54, else, J54)+J65-J60)</f>
        <v>3.5043140932587562</v>
      </c>
      <c r="K133" s="44" cm="1">
        <f t="array" ref="K133">-(K46-K43+K49-K47+K53-K50+_xlfn.IFS(K59&lt;0, -K54, K59-K54&lt;=0,K59-K54, else, K54)+K65-K60)</f>
        <v>4.1679477966586376</v>
      </c>
      <c r="L133" s="44" cm="1">
        <f t="array" ref="L133">-(L46-L43+L49-L47+L53-L50+_xlfn.IFS(L59&lt;0, -L54, L59-L54&lt;=0,L59-L54, else, L54)+L65-L60)</f>
        <v>4.8604174439602374</v>
      </c>
      <c r="M133" s="44" cm="1">
        <f t="array" ref="M133">-(M46-M43+M49-M47+M53-M50+_xlfn.IFS(M59&lt;0, -M54, M59-M54&lt;=0,M59-M54, else, M54)+M65-M60)</f>
        <v>5.5820383754420249</v>
      </c>
      <c r="N133" s="44" cm="1">
        <f t="array" ref="N133">-(N46-N43+N49-N47+N53-N50+_xlfn.IFS(N59&lt;0, -N54, N59-N54&lt;=0,N59-N54, else, N54)+N65-N60)</f>
        <v>6.333080302315409</v>
      </c>
      <c r="O133" s="44" cm="1">
        <f t="array" ref="O133">-(O46-O43+O49-O47+O53-O50+_xlfn.IFS(O59&lt;0, -O54, O59-O54&lt;=0,O59-O54, else, O54)+O65-O60)</f>
        <v>7.5639042852300307</v>
      </c>
      <c r="P133" s="44" cm="1">
        <f t="array" ref="P133">-(P46-P43+P49-P47+P53-P50+_xlfn.IFS(P59&lt;0, -P54, P59-P54&lt;=0,P59-P54, else, P54)+P65-P60)</f>
        <v>8.8293620949681042</v>
      </c>
      <c r="Q133" s="44" cm="1">
        <f t="array" ref="Q133">-(Q46-Q43+Q49-Q47+Q53-Q50+_xlfn.IFS(Q59&lt;0, -Q54, Q59-Q54&lt;=0,Q59-Q54, else, Q54)+Q65-Q60)</f>
        <v>10.12803043599736</v>
      </c>
      <c r="R133" s="44" cm="1">
        <f t="array" ref="R133">-(R46-R43+R49-R47+R53-R50+_xlfn.IFS(R59&lt;0, -R54, R59-R54&lt;=0,R59-R54, else, R54)+R65-R60)</f>
        <v>11.450967600925331</v>
      </c>
      <c r="S133" s="44" cm="1">
        <f t="array" ref="S133">-(S46-S43+S49-S47+S53-S50+_xlfn.IFS(S59&lt;0, -S54, S59-S54&lt;=0,S59-S54, else, S54)+S65-S60)</f>
        <v>12.791885613751298</v>
      </c>
      <c r="T133" s="44" cm="1">
        <f t="array" ref="T133">-(T46-T43+T49-T47+T53-T50+_xlfn.IFS(T59&lt;0, -T54, T59-T54&lt;=0,T59-T54, else, T54)+T65-T60)</f>
        <v>14.178288712381306</v>
      </c>
      <c r="U133" s="44" cm="1">
        <f t="array" ref="U133">-(U46-U43+U49-U47+U53-U50+_xlfn.IFS(U59&lt;0, -U54, U59-U54&lt;=0,U59-U54, else, U54)+U65-U60)</f>
        <v>15.610791703347374</v>
      </c>
      <c r="V133" s="44" cm="1">
        <f t="array" ref="V133">-(V46-V43+V49-V47+V53-V50+_xlfn.IFS(V59&lt;0, -V54, V59-V54&lt;=0,V59-V54, else, V54)+V65-V60)</f>
        <v>17.089997484444126</v>
      </c>
      <c r="W133" s="44" cm="1">
        <f t="array" ref="W133">-(W46-W43+W49-W47+W53-W50+_xlfn.IFS(W59&lt;0, -W54, W59-W54&lt;=0,W59-W54, else, W54)+W65-W60)</f>
        <v>18.616496400778008</v>
      </c>
      <c r="X133" s="44" cm="1">
        <f t="array" ref="X133">-(X46-X43+X49-X47+X53-X50+_xlfn.IFS(X59&lt;0, -X54, X59-X54&lt;=0,X59-X54, else, X54)+X65-X60)</f>
        <v>20.190865598726766</v>
      </c>
      <c r="Y133" s="44" cm="1">
        <f t="array" ref="Y133">-(Y46-Y43+Y49-Y47+Y53-Y50+_xlfn.IFS(Y59&lt;0, -Y54, Y59-Y54&lt;=0,Y59-Y54, else, Y54)+Y65-Y60)</f>
        <v>22.558798324674473</v>
      </c>
      <c r="Z133" s="44" cm="1">
        <f t="array" ref="Z133">-(Z46-Z43+Z49-Z47+Z53-Z50+_xlfn.IFS(Z59&lt;0, -Z54, Z59-Z54&lt;=0,Z59-Z54, else, Z54)+Z65-Z60)</f>
        <v>25.005700904543772</v>
      </c>
      <c r="AA133" s="44" cm="1">
        <f t="array" ref="AA133">-(AA46-AA43+AA49-AA47+AA53-AA50+_xlfn.IFS(AA59&lt;0, -AA54, AA59-AA54&lt;=0,AA59-AA54, else, AA54)+AA65-AA60)</f>
        <v>27.547280168281123</v>
      </c>
      <c r="AB133" s="44" cm="1">
        <f t="array" ref="AB133">-(AB46-AB43+AB49-AB47+AB53-AB50+_xlfn.IFS(AB59&lt;0, -AB54, AB59-AB54&lt;=0,AB59-AB54, else, AB54)+AB65-AB60)</f>
        <v>30.172384258193226</v>
      </c>
      <c r="AC133" s="44" cm="1">
        <f t="array" ref="AC133">-(AC46-AC43+AC49-AC47+AC53-AC50+_xlfn.IFS(AC59&lt;0, -AC54, AC59-AC54&lt;=0,AC59-AC54, else, AC54)+AC65-AC60)</f>
        <v>32.882053797786611</v>
      </c>
      <c r="AD133" s="44" cm="1">
        <f t="array" ref="AD133">-(AD46-AD43+AD49-AD47+AD53-AD50+_xlfn.IFS(AD59&lt;0, -AD54, AD59-AD54&lt;=0,AD59-AD54, else, AD54)+AD65-AD60)</f>
        <v>35.677690888593077</v>
      </c>
      <c r="AE133" s="44" cm="1">
        <f t="array" ref="AE133">-(AE46-AE43+AE49-AE47+AE53-AE50+_xlfn.IFS(AE59&lt;0, -AE54, AE59-AE54&lt;=0,AE59-AE54, else, AE54)+AE65-AE60)</f>
        <v>38.560374593708829</v>
      </c>
      <c r="AF133" s="44" cm="1">
        <f t="array" ref="AF133">-(AF46-AF43+AF49-AF47+AF53-AF50+_xlfn.IFS(AF59&lt;0, -AF54, AF59-AF54&lt;=0,AF59-AF54, else, AF54)+AF65-AF60)</f>
        <v>41.531165656650195</v>
      </c>
      <c r="AG133" s="44" cm="1">
        <f t="array" ref="AG133">-(AG46-AG43+AG49-AG47+AG53-AG50+_xlfn.IFS(AG59&lt;0, -AG54, AG59-AG54&lt;=0,AG59-AG54, else, AG54)+AG65-AG60)</f>
        <v>44.591105589304888</v>
      </c>
      <c r="AH133" s="44" cm="1">
        <f t="array" ref="AH133">-(AH46-AH43+AH49-AH47+AH53-AH50+_xlfn.IFS(AH59&lt;0, -AH54, AH59-AH54&lt;=0,AH59-AH54, else, AH54)+AH65-AH60)</f>
        <v>47.741215757282134</v>
      </c>
      <c r="AI133" s="44"/>
    </row>
    <row r="134" spans="1:36">
      <c r="C134" t="s">
        <v>324</v>
      </c>
      <c r="D134" s="44">
        <f t="shared" ref="D134:AH134" si="53">D46</f>
        <v>46.844581662413418</v>
      </c>
      <c r="E134" s="44">
        <f t="shared" si="53"/>
        <v>47.372464435614063</v>
      </c>
      <c r="F134" s="44">
        <f t="shared" si="53"/>
        <v>47.902243553419162</v>
      </c>
      <c r="G134" s="44">
        <f t="shared" si="53"/>
        <v>48.434534499674236</v>
      </c>
      <c r="H134" s="44">
        <f t="shared" si="53"/>
        <v>48.970058731953834</v>
      </c>
      <c r="I134" s="44">
        <f t="shared" si="53"/>
        <v>49.509641632585577</v>
      </c>
      <c r="J134" s="44">
        <f t="shared" si="53"/>
        <v>50.0503227487131</v>
      </c>
      <c r="K134" s="44">
        <f t="shared" si="53"/>
        <v>50.592048738346662</v>
      </c>
      <c r="L134" s="44">
        <f t="shared" si="53"/>
        <v>51.134778623225735</v>
      </c>
      <c r="M134" s="44">
        <f t="shared" si="53"/>
        <v>51.678484729364563</v>
      </c>
      <c r="N134" s="44">
        <f t="shared" si="53"/>
        <v>52.223153627141023</v>
      </c>
      <c r="O134" s="44">
        <f t="shared" si="53"/>
        <v>52.671412267090695</v>
      </c>
      <c r="P134" s="44">
        <f t="shared" si="53"/>
        <v>53.119006521597846</v>
      </c>
      <c r="Q134" s="44">
        <f t="shared" si="53"/>
        <v>53.567036388859208</v>
      </c>
      <c r="R134" s="44">
        <f t="shared" si="53"/>
        <v>54.01728309290494</v>
      </c>
      <c r="S134" s="44">
        <f t="shared" si="53"/>
        <v>54.471418311119223</v>
      </c>
      <c r="T134" s="44">
        <f t="shared" si="53"/>
        <v>54.923094232500269</v>
      </c>
      <c r="U134" s="44">
        <f t="shared" si="53"/>
        <v>55.372247713559133</v>
      </c>
      <c r="V134" s="44">
        <f t="shared" si="53"/>
        <v>55.818820786685137</v>
      </c>
      <c r="W134" s="44">
        <f t="shared" si="53"/>
        <v>56.262760899424265</v>
      </c>
      <c r="X134" s="44">
        <f t="shared" si="53"/>
        <v>56.704021155511754</v>
      </c>
      <c r="Y134" s="44">
        <f t="shared" si="53"/>
        <v>56.93110005889455</v>
      </c>
      <c r="Z134" s="44">
        <f t="shared" si="53"/>
        <v>57.145083926205409</v>
      </c>
      <c r="AA134" s="44">
        <f t="shared" si="53"/>
        <v>57.345101506102999</v>
      </c>
      <c r="AB134" s="44">
        <f t="shared" si="53"/>
        <v>57.531565982665427</v>
      </c>
      <c r="AC134" s="44">
        <f t="shared" si="53"/>
        <v>57.704289246628669</v>
      </c>
      <c r="AD134" s="44">
        <f t="shared" si="53"/>
        <v>57.862994401812728</v>
      </c>
      <c r="AE134" s="44">
        <f t="shared" si="53"/>
        <v>58.007488437145938</v>
      </c>
      <c r="AF134" s="44">
        <f t="shared" si="53"/>
        <v>58.137586205279213</v>
      </c>
      <c r="AG134" s="44">
        <f t="shared" si="53"/>
        <v>58.253110752022316</v>
      </c>
      <c r="AH134" s="44">
        <f t="shared" si="53"/>
        <v>58.353893647302911</v>
      </c>
    </row>
    <row r="135" spans="1:36">
      <c r="C135" t="s">
        <v>310</v>
      </c>
      <c r="D135" s="44">
        <f t="shared" ref="D135:AH135" si="54">IF(D59&lt;0,0,D59)</f>
        <v>12.379169704702877</v>
      </c>
      <c r="E135" s="44">
        <f t="shared" si="54"/>
        <v>12.4026350060502</v>
      </c>
      <c r="F135" s="44">
        <f t="shared" si="54"/>
        <v>12.422928288501055</v>
      </c>
      <c r="G135" s="44">
        <f t="shared" si="54"/>
        <v>12.441073305935202</v>
      </c>
      <c r="H135" s="44">
        <f t="shared" si="54"/>
        <v>12.458202357340866</v>
      </c>
      <c r="I135" s="44">
        <f t="shared" si="54"/>
        <v>12.475547746300304</v>
      </c>
      <c r="J135" s="44">
        <f t="shared" si="54"/>
        <v>12.48834663873896</v>
      </c>
      <c r="K135" s="44">
        <f t="shared" si="54"/>
        <v>12.496597340989904</v>
      </c>
      <c r="L135" s="44">
        <f t="shared" si="54"/>
        <v>12.500312166632774</v>
      </c>
      <c r="M135" s="44">
        <f t="shared" si="54"/>
        <v>12.499518062681693</v>
      </c>
      <c r="N135" s="44">
        <f t="shared" si="54"/>
        <v>12.494257219913877</v>
      </c>
      <c r="O135" s="44">
        <f t="shared" si="54"/>
        <v>12.329492737874808</v>
      </c>
      <c r="P135" s="44">
        <f t="shared" si="54"/>
        <v>12.159470502965124</v>
      </c>
      <c r="Q135" s="44">
        <f t="shared" si="54"/>
        <v>11.984885014683051</v>
      </c>
      <c r="R135" s="44">
        <f t="shared" si="54"/>
        <v>11.808905658651245</v>
      </c>
      <c r="S135" s="44">
        <f t="shared" si="54"/>
        <v>11.63377102193286</v>
      </c>
      <c r="T135" s="44">
        <f t="shared" si="54"/>
        <v>11.450349775581603</v>
      </c>
      <c r="U135" s="44">
        <f t="shared" si="54"/>
        <v>11.258585857528194</v>
      </c>
      <c r="V135" s="44">
        <f t="shared" si="54"/>
        <v>11.058428242206093</v>
      </c>
      <c r="W135" s="44">
        <f t="shared" si="54"/>
        <v>10.849831110596131</v>
      </c>
      <c r="X135" s="44">
        <f t="shared" si="54"/>
        <v>10.632754020436305</v>
      </c>
      <c r="Y135" s="44">
        <f t="shared" si="54"/>
        <v>10.191423295960998</v>
      </c>
      <c r="Z135" s="44">
        <f t="shared" si="54"/>
        <v>9.7345021761073376</v>
      </c>
      <c r="AA135" s="44">
        <f t="shared" si="54"/>
        <v>9.2590637745711994</v>
      </c>
      <c r="AB135" s="44">
        <f t="shared" si="54"/>
        <v>8.7677219454176729</v>
      </c>
      <c r="AC135" s="44">
        <f t="shared" si="54"/>
        <v>8.2604584215285186</v>
      </c>
      <c r="AD135" s="44">
        <f t="shared" si="54"/>
        <v>7.7371413379355678</v>
      </c>
      <c r="AE135" s="44">
        <f t="shared" si="54"/>
        <v>7.1977478126168233</v>
      </c>
      <c r="AF135" s="44">
        <f t="shared" si="54"/>
        <v>6.642264025498906</v>
      </c>
      <c r="AG135" s="44">
        <f t="shared" si="54"/>
        <v>6.0706853863830306</v>
      </c>
      <c r="AH135" s="44">
        <f t="shared" si="54"/>
        <v>5.4830167000683581</v>
      </c>
    </row>
    <row r="136" spans="1:36">
      <c r="C136" t="s">
        <v>311</v>
      </c>
      <c r="D136" s="44">
        <f t="shared" ref="D136:AH136" si="55">D49</f>
        <v>17.63451512942034</v>
      </c>
      <c r="E136" s="44">
        <f t="shared" si="55"/>
        <v>17.936008290030014</v>
      </c>
      <c r="F136" s="44">
        <f t="shared" si="55"/>
        <v>18.238532618475794</v>
      </c>
      <c r="G136" s="44">
        <f t="shared" si="55"/>
        <v>18.541983634169934</v>
      </c>
      <c r="H136" s="44">
        <f t="shared" si="55"/>
        <v>18.846317618267388</v>
      </c>
      <c r="I136" s="44">
        <f t="shared" si="55"/>
        <v>19.151557326941049</v>
      </c>
      <c r="J136" s="44">
        <f t="shared" si="55"/>
        <v>19.45737667608212</v>
      </c>
      <c r="K136" s="44">
        <f t="shared" si="55"/>
        <v>19.763643076884307</v>
      </c>
      <c r="L136" s="44">
        <f t="shared" si="55"/>
        <v>20.070230694259454</v>
      </c>
      <c r="M136" s="44">
        <f t="shared" si="55"/>
        <v>20.377021395859387</v>
      </c>
      <c r="N136" s="44">
        <f t="shared" si="55"/>
        <v>20.68390571333806</v>
      </c>
      <c r="O136" s="44">
        <f t="shared" si="55"/>
        <v>21.018739197008298</v>
      </c>
      <c r="P136" s="44">
        <f t="shared" si="55"/>
        <v>21.350458146438047</v>
      </c>
      <c r="Q136" s="44">
        <f t="shared" si="55"/>
        <v>21.677863036784679</v>
      </c>
      <c r="R136" s="44">
        <f t="shared" si="55"/>
        <v>22.002444830166834</v>
      </c>
      <c r="S136" s="44">
        <f t="shared" si="55"/>
        <v>22.324775822343614</v>
      </c>
      <c r="T136" s="44">
        <f t="shared" si="55"/>
        <v>22.643304223082378</v>
      </c>
      <c r="U136" s="44">
        <f t="shared" si="55"/>
        <v>22.957893390296654</v>
      </c>
      <c r="V136" s="44">
        <f t="shared" si="55"/>
        <v>23.268412264163672</v>
      </c>
      <c r="W136" s="44">
        <f t="shared" si="55"/>
        <v>23.574735730987577</v>
      </c>
      <c r="X136" s="44">
        <f t="shared" si="55"/>
        <v>23.876744991827891</v>
      </c>
      <c r="Y136" s="44">
        <f t="shared" si="55"/>
        <v>24.110463699485862</v>
      </c>
      <c r="Z136" s="44">
        <f t="shared" si="55"/>
        <v>24.331280039230382</v>
      </c>
      <c r="AA136" s="44">
        <f t="shared" si="55"/>
        <v>24.529610044656771</v>
      </c>
      <c r="AB136" s="44">
        <f t="shared" si="55"/>
        <v>24.712075858591479</v>
      </c>
      <c r="AC136" s="44">
        <f t="shared" si="55"/>
        <v>24.878171612339003</v>
      </c>
      <c r="AD136" s="44">
        <f t="shared" si="55"/>
        <v>25.027353698841821</v>
      </c>
      <c r="AE136" s="44">
        <f t="shared" si="55"/>
        <v>25.159112365200279</v>
      </c>
      <c r="AF136" s="44">
        <f t="shared" si="55"/>
        <v>25.272942391993823</v>
      </c>
      <c r="AG136" s="44">
        <f t="shared" si="55"/>
        <v>25.368343713106029</v>
      </c>
      <c r="AH136" s="44">
        <f t="shared" si="55"/>
        <v>25.444822047029938</v>
      </c>
    </row>
    <row r="137" spans="1:36">
      <c r="C137" s="131" t="s">
        <v>320</v>
      </c>
      <c r="D137" s="44">
        <f t="shared" ref="D137:AH137" si="56">D53</f>
        <v>0</v>
      </c>
      <c r="E137" s="44">
        <f t="shared" si="56"/>
        <v>0</v>
      </c>
      <c r="F137" s="44">
        <f t="shared" si="56"/>
        <v>0</v>
      </c>
      <c r="G137" s="44">
        <f t="shared" si="56"/>
        <v>0</v>
      </c>
      <c r="H137" s="44">
        <f t="shared" si="56"/>
        <v>0</v>
      </c>
      <c r="I137" s="44">
        <f t="shared" si="56"/>
        <v>0</v>
      </c>
      <c r="J137" s="44">
        <f t="shared" si="56"/>
        <v>0</v>
      </c>
      <c r="K137" s="44">
        <f t="shared" si="56"/>
        <v>0</v>
      </c>
      <c r="L137" s="44">
        <f t="shared" si="56"/>
        <v>0</v>
      </c>
      <c r="M137" s="44">
        <f t="shared" si="56"/>
        <v>0</v>
      </c>
      <c r="N137" s="44">
        <f t="shared" si="56"/>
        <v>0</v>
      </c>
      <c r="O137" s="44">
        <f t="shared" si="56"/>
        <v>0</v>
      </c>
      <c r="P137" s="44">
        <f t="shared" si="56"/>
        <v>0</v>
      </c>
      <c r="Q137" s="44">
        <f t="shared" si="56"/>
        <v>0</v>
      </c>
      <c r="R137" s="44">
        <f t="shared" si="56"/>
        <v>0</v>
      </c>
      <c r="S137" s="44">
        <f t="shared" si="56"/>
        <v>0</v>
      </c>
      <c r="T137" s="44">
        <f t="shared" si="56"/>
        <v>0</v>
      </c>
      <c r="U137" s="44">
        <f t="shared" si="56"/>
        <v>0</v>
      </c>
      <c r="V137" s="44">
        <f t="shared" si="56"/>
        <v>0</v>
      </c>
      <c r="W137" s="44">
        <f t="shared" si="56"/>
        <v>0</v>
      </c>
      <c r="X137" s="44">
        <f t="shared" si="56"/>
        <v>0</v>
      </c>
      <c r="Y137" s="44">
        <f t="shared" si="56"/>
        <v>0</v>
      </c>
      <c r="Z137" s="44">
        <f t="shared" si="56"/>
        <v>0</v>
      </c>
      <c r="AA137" s="44">
        <f t="shared" si="56"/>
        <v>0</v>
      </c>
      <c r="AB137" s="44">
        <f t="shared" si="56"/>
        <v>0</v>
      </c>
      <c r="AC137" s="44">
        <f t="shared" si="56"/>
        <v>0</v>
      </c>
      <c r="AD137" s="44">
        <f t="shared" si="56"/>
        <v>0</v>
      </c>
      <c r="AE137" s="44">
        <f t="shared" si="56"/>
        <v>0</v>
      </c>
      <c r="AF137" s="44">
        <f t="shared" si="56"/>
        <v>0</v>
      </c>
      <c r="AG137" s="44">
        <f t="shared" si="56"/>
        <v>0</v>
      </c>
      <c r="AH137" s="44">
        <f t="shared" si="56"/>
        <v>0</v>
      </c>
    </row>
    <row r="138" spans="1:36">
      <c r="C138" t="s">
        <v>321</v>
      </c>
      <c r="D138" s="44">
        <f>D127</f>
        <v>0</v>
      </c>
      <c r="E138" s="44">
        <f t="shared" ref="E138:AH138" si="57">E127</f>
        <v>0</v>
      </c>
      <c r="F138" s="44">
        <f t="shared" si="57"/>
        <v>0</v>
      </c>
      <c r="G138" s="44">
        <f t="shared" si="57"/>
        <v>0</v>
      </c>
      <c r="H138" s="44">
        <f t="shared" si="57"/>
        <v>0</v>
      </c>
      <c r="I138" s="44">
        <f t="shared" si="57"/>
        <v>0</v>
      </c>
      <c r="J138" s="44">
        <f t="shared" si="57"/>
        <v>0</v>
      </c>
      <c r="K138" s="44">
        <f t="shared" si="57"/>
        <v>0</v>
      </c>
      <c r="L138" s="44">
        <f t="shared" si="57"/>
        <v>0</v>
      </c>
      <c r="M138" s="44">
        <f t="shared" si="57"/>
        <v>0</v>
      </c>
      <c r="N138" s="44">
        <f t="shared" si="57"/>
        <v>0</v>
      </c>
      <c r="O138" s="44">
        <f t="shared" si="57"/>
        <v>0</v>
      </c>
      <c r="P138" s="44">
        <f t="shared" si="57"/>
        <v>0</v>
      </c>
      <c r="Q138" s="44">
        <f t="shared" si="57"/>
        <v>0</v>
      </c>
      <c r="R138" s="44">
        <f t="shared" si="57"/>
        <v>0</v>
      </c>
      <c r="S138" s="44">
        <f t="shared" si="57"/>
        <v>0</v>
      </c>
      <c r="T138" s="44">
        <f t="shared" si="57"/>
        <v>0</v>
      </c>
      <c r="U138" s="44">
        <f t="shared" si="57"/>
        <v>0</v>
      </c>
      <c r="V138" s="44">
        <f t="shared" si="57"/>
        <v>0</v>
      </c>
      <c r="W138" s="44">
        <f t="shared" si="57"/>
        <v>0</v>
      </c>
      <c r="X138" s="44">
        <f t="shared" si="57"/>
        <v>0</v>
      </c>
      <c r="Y138" s="44">
        <f t="shared" si="57"/>
        <v>0</v>
      </c>
      <c r="Z138" s="44">
        <f t="shared" si="57"/>
        <v>0</v>
      </c>
      <c r="AA138" s="44">
        <f t="shared" si="57"/>
        <v>0</v>
      </c>
      <c r="AB138" s="44">
        <f t="shared" si="57"/>
        <v>0</v>
      </c>
      <c r="AC138" s="44">
        <f t="shared" si="57"/>
        <v>0</v>
      </c>
      <c r="AD138" s="44">
        <f t="shared" si="57"/>
        <v>0</v>
      </c>
      <c r="AE138" s="44">
        <f t="shared" si="57"/>
        <v>0</v>
      </c>
      <c r="AF138" s="44">
        <f t="shared" si="57"/>
        <v>0</v>
      </c>
      <c r="AG138" s="44">
        <f t="shared" si="57"/>
        <v>0</v>
      </c>
      <c r="AH138" s="44">
        <f t="shared" si="57"/>
        <v>0</v>
      </c>
    </row>
    <row r="139" spans="1:36">
      <c r="C139" t="s">
        <v>248</v>
      </c>
      <c r="D139" s="44">
        <f t="shared" ref="D139:AH139" si="58">D65-D138</f>
        <v>35.064810426540291</v>
      </c>
      <c r="E139" s="44">
        <f t="shared" si="58"/>
        <v>35.913009493595112</v>
      </c>
      <c r="F139" s="44">
        <f t="shared" si="58"/>
        <v>36.78389491204274</v>
      </c>
      <c r="G139" s="44">
        <f t="shared" si="58"/>
        <v>37.679313168652186</v>
      </c>
      <c r="H139" s="44">
        <f t="shared" si="58"/>
        <v>38.601198677616175</v>
      </c>
      <c r="I139" s="44">
        <f t="shared" si="58"/>
        <v>39.551560336382991</v>
      </c>
      <c r="J139" s="44">
        <f t="shared" si="58"/>
        <v>40.304212311719439</v>
      </c>
      <c r="K139" s="44">
        <f t="shared" si="58"/>
        <v>41.072267525905218</v>
      </c>
      <c r="L139" s="44">
        <f t="shared" si="58"/>
        <v>41.856262972993498</v>
      </c>
      <c r="M139" s="44">
        <f t="shared" si="58"/>
        <v>42.656756586042647</v>
      </c>
      <c r="N139" s="44">
        <f t="shared" si="58"/>
        <v>43.474327456035347</v>
      </c>
      <c r="O139" s="44">
        <f t="shared" si="58"/>
        <v>42.941107922733494</v>
      </c>
      <c r="P139" s="44">
        <f t="shared" si="58"/>
        <v>42.396399162067283</v>
      </c>
      <c r="Q139" s="44">
        <f t="shared" si="58"/>
        <v>41.841205615916508</v>
      </c>
      <c r="R139" s="44">
        <f t="shared" si="58"/>
        <v>41.278206147842937</v>
      </c>
      <c r="S139" s="44">
        <f t="shared" si="58"/>
        <v>40.709387554466666</v>
      </c>
      <c r="T139" s="44">
        <f t="shared" si="58"/>
        <v>40.068604212786539</v>
      </c>
      <c r="U139" s="44">
        <f t="shared" si="58"/>
        <v>39.410546730208566</v>
      </c>
      <c r="V139" s="44">
        <f t="shared" si="58"/>
        <v>38.735028614920751</v>
      </c>
      <c r="W139" s="44">
        <f t="shared" si="58"/>
        <v>38.041862040325611</v>
      </c>
      <c r="X139" s="44">
        <f t="shared" si="58"/>
        <v>37.330857757781793</v>
      </c>
      <c r="Y139" s="44">
        <f t="shared" si="58"/>
        <v>36.319418270334936</v>
      </c>
      <c r="Z139" s="44">
        <f t="shared" si="58"/>
        <v>35.28547082871976</v>
      </c>
      <c r="AA139" s="44">
        <f t="shared" si="58"/>
        <v>34.226891086259045</v>
      </c>
      <c r="AB139" s="44">
        <f t="shared" si="58"/>
        <v>33.145385382549478</v>
      </c>
      <c r="AC139" s="44">
        <f t="shared" si="58"/>
        <v>32.040832345836137</v>
      </c>
      <c r="AD139" s="44">
        <f t="shared" si="58"/>
        <v>30.86172224607996</v>
      </c>
      <c r="AE139" s="44">
        <f t="shared" si="58"/>
        <v>29.658348425913641</v>
      </c>
      <c r="AF139" s="44">
        <f t="shared" si="58"/>
        <v>28.430561476718683</v>
      </c>
      <c r="AG139" s="44">
        <f t="shared" si="58"/>
        <v>27.178212129481533</v>
      </c>
      <c r="AH139" s="44">
        <f t="shared" si="58"/>
        <v>25.901151107033733</v>
      </c>
    </row>
    <row r="140" spans="1:36">
      <c r="D140" s="44">
        <f>SUM(D134:D139)</f>
        <v>111.92307692307692</v>
      </c>
      <c r="E140" s="44">
        <f t="shared" ref="E140:AG140" si="59">SUM(E134:E139)</f>
        <v>113.6241172252894</v>
      </c>
      <c r="F140" s="44">
        <f t="shared" si="59"/>
        <v>115.34759937243875</v>
      </c>
      <c r="G140" s="44">
        <f t="shared" si="59"/>
        <v>117.09690460843156</v>
      </c>
      <c r="H140" s="44">
        <f t="shared" si="59"/>
        <v>118.87577738517825</v>
      </c>
      <c r="I140" s="44">
        <f t="shared" si="59"/>
        <v>120.68830704220991</v>
      </c>
      <c r="J140" s="44">
        <f t="shared" si="59"/>
        <v>122.30025837525362</v>
      </c>
      <c r="K140" s="44">
        <f t="shared" si="59"/>
        <v>123.9245566821261</v>
      </c>
      <c r="L140" s="44">
        <f t="shared" si="59"/>
        <v>125.56158445711145</v>
      </c>
      <c r="M140" s="44">
        <f t="shared" si="59"/>
        <v>127.21178077394829</v>
      </c>
      <c r="N140" s="44">
        <f t="shared" si="59"/>
        <v>128.87564401642831</v>
      </c>
      <c r="O140" s="44">
        <f t="shared" si="59"/>
        <v>128.96075212470731</v>
      </c>
      <c r="P140" s="44">
        <f t="shared" si="59"/>
        <v>129.02533433306832</v>
      </c>
      <c r="Q140" s="44">
        <f t="shared" si="59"/>
        <v>129.07099005624343</v>
      </c>
      <c r="R140" s="44">
        <f t="shared" si="59"/>
        <v>129.10683972956596</v>
      </c>
      <c r="S140" s="44">
        <f t="shared" si="59"/>
        <v>129.13935270986235</v>
      </c>
      <c r="T140" s="44">
        <f t="shared" si="59"/>
        <v>129.0853524439508</v>
      </c>
      <c r="U140" s="44">
        <f t="shared" si="59"/>
        <v>128.99927369159252</v>
      </c>
      <c r="V140" s="44">
        <f t="shared" si="59"/>
        <v>128.88068990797564</v>
      </c>
      <c r="W140" s="44">
        <f t="shared" si="59"/>
        <v>128.72918978133359</v>
      </c>
      <c r="X140" s="44">
        <f t="shared" si="59"/>
        <v>128.54437792555774</v>
      </c>
      <c r="Y140" s="44">
        <f t="shared" si="59"/>
        <v>127.55240532467634</v>
      </c>
      <c r="Z140" s="44">
        <f t="shared" si="59"/>
        <v>126.49633697026289</v>
      </c>
      <c r="AA140" s="44">
        <f t="shared" si="59"/>
        <v>125.36066641159</v>
      </c>
      <c r="AB140" s="44">
        <f t="shared" si="59"/>
        <v>124.15674916922406</v>
      </c>
      <c r="AC140" s="44">
        <f t="shared" si="59"/>
        <v>122.88375162633233</v>
      </c>
      <c r="AD140" s="44">
        <f t="shared" si="59"/>
        <v>121.48921168467008</v>
      </c>
      <c r="AE140" s="44">
        <f t="shared" si="59"/>
        <v>120.02269704087668</v>
      </c>
      <c r="AF140" s="44">
        <f t="shared" si="59"/>
        <v>118.48335409949063</v>
      </c>
      <c r="AG140" s="44">
        <f t="shared" si="59"/>
        <v>116.87035198099291</v>
      </c>
      <c r="AH140" s="44">
        <f>SUM(AH134:AH139)</f>
        <v>115.18288350143496</v>
      </c>
    </row>
    <row r="141" spans="1:36">
      <c r="C141" t="s">
        <v>364</v>
      </c>
      <c r="D141" s="44">
        <f>SUM(D131:D139)</f>
        <v>111.92307692307692</v>
      </c>
      <c r="E141" s="44">
        <f t="shared" ref="E141:AH141" si="60">SUM(E131:E139)</f>
        <v>114.15903327302965</v>
      </c>
      <c r="F141" s="44">
        <f t="shared" si="60"/>
        <v>116.43955477307756</v>
      </c>
      <c r="G141" s="44">
        <f t="shared" si="60"/>
        <v>118.76552805276636</v>
      </c>
      <c r="H141" s="44">
        <f t="shared" si="60"/>
        <v>121.13785735661915</v>
      </c>
      <c r="I141" s="44">
        <f t="shared" si="60"/>
        <v>123.55746489372432</v>
      </c>
      <c r="J141" s="44">
        <f t="shared" si="60"/>
        <v>125.80457246851238</v>
      </c>
      <c r="K141" s="44">
        <f t="shared" si="60"/>
        <v>128.09250447878475</v>
      </c>
      <c r="L141" s="44">
        <f t="shared" si="60"/>
        <v>130.4220019010717</v>
      </c>
      <c r="M141" s="44">
        <f t="shared" si="60"/>
        <v>132.79381914939032</v>
      </c>
      <c r="N141" s="44">
        <f t="shared" si="60"/>
        <v>135.20872431874372</v>
      </c>
      <c r="O141" s="44">
        <f t="shared" si="60"/>
        <v>136.52465640993734</v>
      </c>
      <c r="P141" s="44">
        <f t="shared" si="60"/>
        <v>137.85469642803639</v>
      </c>
      <c r="Q141" s="44">
        <f t="shared" si="60"/>
        <v>139.19902049224083</v>
      </c>
      <c r="R141" s="44">
        <f t="shared" si="60"/>
        <v>140.5578073304913</v>
      </c>
      <c r="S141" s="44">
        <f t="shared" si="60"/>
        <v>141.93123832361366</v>
      </c>
      <c r="T141" s="44">
        <f t="shared" si="60"/>
        <v>143.26364115633208</v>
      </c>
      <c r="U141" s="44">
        <f t="shared" si="60"/>
        <v>144.61006539493991</v>
      </c>
      <c r="V141" s="44">
        <f t="shared" si="60"/>
        <v>145.97068739241979</v>
      </c>
      <c r="W141" s="44">
        <f t="shared" si="60"/>
        <v>147.34568618211159</v>
      </c>
      <c r="X141" s="44">
        <f t="shared" si="60"/>
        <v>148.7352435242845</v>
      </c>
      <c r="Y141" s="44">
        <f t="shared" si="60"/>
        <v>150.11120364935084</v>
      </c>
      <c r="Z141" s="44">
        <f t="shared" si="60"/>
        <v>151.50203787480666</v>
      </c>
      <c r="AA141" s="44">
        <f t="shared" si="60"/>
        <v>152.90794657987112</v>
      </c>
      <c r="AB141" s="44">
        <f t="shared" si="60"/>
        <v>154.32913342741728</v>
      </c>
      <c r="AC141" s="44">
        <f t="shared" si="60"/>
        <v>155.76580542411892</v>
      </c>
      <c r="AD141" s="44">
        <f t="shared" si="60"/>
        <v>157.16690257326314</v>
      </c>
      <c r="AE141" s="44">
        <f t="shared" si="60"/>
        <v>158.58307163458551</v>
      </c>
      <c r="AF141" s="44">
        <f t="shared" si="60"/>
        <v>160.0145197561408</v>
      </c>
      <c r="AG141" s="44">
        <f t="shared" si="60"/>
        <v>161.4614575702978</v>
      </c>
      <c r="AH141" s="44">
        <f t="shared" si="60"/>
        <v>162.92409925871709</v>
      </c>
    </row>
    <row r="142" spans="1:36">
      <c r="C142" t="s">
        <v>366</v>
      </c>
      <c r="D142" s="44">
        <f>D129-D141</f>
        <v>0</v>
      </c>
      <c r="E142" s="44">
        <f t="shared" ref="E142:AH142" si="61">E129-E141</f>
        <v>0</v>
      </c>
      <c r="F142" s="44">
        <f t="shared" si="61"/>
        <v>0</v>
      </c>
      <c r="G142" s="44">
        <f t="shared" si="61"/>
        <v>0</v>
      </c>
      <c r="H142" s="44">
        <f t="shared" si="61"/>
        <v>0</v>
      </c>
      <c r="I142" s="44">
        <f t="shared" si="61"/>
        <v>0</v>
      </c>
      <c r="J142" s="44">
        <f t="shared" si="61"/>
        <v>0</v>
      </c>
      <c r="K142" s="44">
        <f t="shared" si="61"/>
        <v>0</v>
      </c>
      <c r="L142" s="44">
        <f t="shared" si="61"/>
        <v>0</v>
      </c>
      <c r="M142" s="44">
        <f t="shared" si="61"/>
        <v>0</v>
      </c>
      <c r="N142" s="44">
        <f t="shared" si="61"/>
        <v>0</v>
      </c>
      <c r="O142" s="44">
        <f t="shared" si="61"/>
        <v>0</v>
      </c>
      <c r="P142" s="44">
        <f t="shared" si="61"/>
        <v>0</v>
      </c>
      <c r="Q142" s="44">
        <f t="shared" si="61"/>
        <v>0</v>
      </c>
      <c r="R142" s="44">
        <f t="shared" si="61"/>
        <v>0</v>
      </c>
      <c r="S142" s="44">
        <f t="shared" si="61"/>
        <v>0</v>
      </c>
      <c r="T142" s="44">
        <f t="shared" si="61"/>
        <v>0</v>
      </c>
      <c r="U142" s="44">
        <f t="shared" si="61"/>
        <v>0</v>
      </c>
      <c r="V142" s="44">
        <f t="shared" si="61"/>
        <v>0</v>
      </c>
      <c r="W142" s="44">
        <f t="shared" si="61"/>
        <v>0</v>
      </c>
      <c r="X142" s="44">
        <f t="shared" si="61"/>
        <v>0</v>
      </c>
      <c r="Y142" s="44">
        <f t="shared" si="61"/>
        <v>0</v>
      </c>
      <c r="Z142" s="44">
        <f t="shared" si="61"/>
        <v>0</v>
      </c>
      <c r="AA142" s="44">
        <f t="shared" si="61"/>
        <v>0</v>
      </c>
      <c r="AB142" s="44">
        <f t="shared" si="61"/>
        <v>0</v>
      </c>
      <c r="AC142" s="44">
        <f t="shared" si="61"/>
        <v>0</v>
      </c>
      <c r="AD142" s="44">
        <f t="shared" si="61"/>
        <v>0</v>
      </c>
      <c r="AE142" s="44">
        <f t="shared" si="61"/>
        <v>0</v>
      </c>
      <c r="AF142" s="44">
        <f t="shared" si="61"/>
        <v>0</v>
      </c>
      <c r="AG142" s="44">
        <f t="shared" si="61"/>
        <v>0</v>
      </c>
      <c r="AH142" s="44">
        <f t="shared" si="61"/>
        <v>0</v>
      </c>
      <c r="AJ142" s="208" t="s">
        <v>367</v>
      </c>
    </row>
    <row r="144" spans="1:36">
      <c r="D144">
        <v>0</v>
      </c>
      <c r="E144">
        <v>0.36374414573886427</v>
      </c>
      <c r="F144">
        <v>0.74151790492138414</v>
      </c>
      <c r="G144">
        <v>1.1337277966830479</v>
      </c>
      <c r="H144">
        <v>1.5407908303183575</v>
      </c>
      <c r="I144">
        <v>1.9631347595641815</v>
      </c>
      <c r="J144">
        <v>2.3979206697350532</v>
      </c>
      <c r="K144">
        <v>2.8476389804102342</v>
      </c>
      <c r="L144">
        <v>3.3126845408501504</v>
      </c>
      <c r="M144">
        <v>3.7934615397725517</v>
      </c>
      <c r="N144">
        <v>4.2903837129386559</v>
      </c>
      <c r="O144">
        <v>5.0434072845473219</v>
      </c>
      <c r="P144">
        <v>5.8154669998934612</v>
      </c>
      <c r="Q144">
        <v>6.6069593222199616</v>
      </c>
      <c r="R144">
        <v>7.4182884357579999</v>
      </c>
      <c r="S144">
        <v>8.2498663896520625</v>
      </c>
      <c r="T144">
        <v>9.0999013312522941</v>
      </c>
      <c r="U144">
        <v>9.9707150978471333</v>
      </c>
      <c r="V144">
        <v>10.86273625420009</v>
      </c>
      <c r="W144">
        <v>11.776401693131401</v>
      </c>
      <c r="X144">
        <v>12.712156790686837</v>
      </c>
      <c r="Y144">
        <v>13.867283990110685</v>
      </c>
      <c r="Z144">
        <v>15.051615464480728</v>
      </c>
      <c r="AA144">
        <v>16.265737743976718</v>
      </c>
      <c r="AB144">
        <v>17.510247279071049</v>
      </c>
      <c r="AC144">
        <v>18.785750569547474</v>
      </c>
      <c r="AD144">
        <v>20.089541971675903</v>
      </c>
      <c r="AE144">
        <v>21.425252909257033</v>
      </c>
      <c r="AF144">
        <v>22.793513685761937</v>
      </c>
      <c r="AG144">
        <v>24.194965063167281</v>
      </c>
      <c r="AH144">
        <v>25.630258392220995</v>
      </c>
    </row>
    <row r="145" spans="4:34">
      <c r="D145">
        <v>0</v>
      </c>
      <c r="E145">
        <v>0.18454975918628228</v>
      </c>
      <c r="F145">
        <v>0.37577228898919007</v>
      </c>
      <c r="G145">
        <v>0.57385073480945803</v>
      </c>
      <c r="H145">
        <v>0.7789727581607051</v>
      </c>
      <c r="I145">
        <v>0.9913306420517497</v>
      </c>
      <c r="J145">
        <v>1.2100288410565403</v>
      </c>
      <c r="K145">
        <v>1.4359493369793801</v>
      </c>
      <c r="L145">
        <v>1.6692766925158633</v>
      </c>
      <c r="M145">
        <v>1.91019971012768</v>
      </c>
      <c r="N145">
        <v>2.1589115239562222</v>
      </c>
      <c r="O145">
        <v>2.4046604809824492</v>
      </c>
      <c r="P145">
        <v>2.6429549531497485</v>
      </c>
      <c r="Q145">
        <v>2.9206552292545314</v>
      </c>
      <c r="R145">
        <v>3.2050331365347615</v>
      </c>
      <c r="S145">
        <v>3.4962234919214223</v>
      </c>
      <c r="T145">
        <v>3.7936264070986718</v>
      </c>
      <c r="U145">
        <v>4.0980131520904344</v>
      </c>
      <c r="V145">
        <v>4.4095238341615044</v>
      </c>
      <c r="W145">
        <v>4.7283012644492937</v>
      </c>
      <c r="X145">
        <v>5.0544910095095759</v>
      </c>
      <c r="Y145">
        <v>5.7680407033405769</v>
      </c>
      <c r="Z145">
        <v>6.1234923916780293</v>
      </c>
      <c r="AA145">
        <v>6.4870242404483323</v>
      </c>
      <c r="AB145">
        <v>6.858797005162188</v>
      </c>
      <c r="AC145">
        <v>7.2389745421465737</v>
      </c>
      <c r="AD145">
        <v>7.6266164269271508</v>
      </c>
      <c r="AE145">
        <v>8.0228943748261692</v>
      </c>
      <c r="AF145">
        <v>8.4279795295510329</v>
      </c>
      <c r="AG145">
        <v>8.8420463416749868</v>
      </c>
      <c r="AH145">
        <v>9.2652726319569787</v>
      </c>
    </row>
    <row r="146" spans="4:34">
      <c r="D146">
        <v>0</v>
      </c>
      <c r="E146">
        <v>0.39470029650526328</v>
      </c>
      <c r="F146">
        <v>0.80418754469548048</v>
      </c>
      <c r="G146">
        <v>1.2286883029451303</v>
      </c>
      <c r="H146">
        <v>1.6684298876832244</v>
      </c>
      <c r="I146">
        <v>2.1236403081696338</v>
      </c>
      <c r="J146">
        <v>2.5805030408336052</v>
      </c>
      <c r="K146">
        <v>3.0519446933123575</v>
      </c>
      <c r="L146">
        <v>3.5381525359869315</v>
      </c>
      <c r="M146">
        <v>4.0393132774175768</v>
      </c>
      <c r="N146">
        <v>4.5556129669908003</v>
      </c>
      <c r="O146">
        <v>5.4177423721489788</v>
      </c>
      <c r="P146">
        <v>6.3071469547421657</v>
      </c>
      <c r="Q146">
        <v>7.2130149872974414</v>
      </c>
      <c r="R146">
        <v>8.1427833941377727</v>
      </c>
      <c r="S146">
        <v>9.0963180048014465</v>
      </c>
      <c r="T146">
        <v>10.073463867560086</v>
      </c>
      <c r="U146">
        <v>11.074044514100532</v>
      </c>
      <c r="V146">
        <v>12.097861205402936</v>
      </c>
      <c r="W146">
        <v>13.144692158406244</v>
      </c>
      <c r="X146">
        <v>14.214291753043881</v>
      </c>
      <c r="Y146">
        <v>15.741993193645214</v>
      </c>
      <c r="Z146">
        <v>17.394162925464911</v>
      </c>
      <c r="AA146">
        <v>19.059950529648937</v>
      </c>
      <c r="AB146">
        <v>20.759138768060765</v>
      </c>
      <c r="AC146">
        <v>22.49127248394511</v>
      </c>
      <c r="AD146">
        <v>24.254431158947408</v>
      </c>
      <c r="AE146">
        <v>26.049341348157448</v>
      </c>
      <c r="AF146">
        <v>27.875427435783426</v>
      </c>
      <c r="AG146">
        <v>29.732072691288174</v>
      </c>
      <c r="AH146">
        <v>31.352234872901157</v>
      </c>
    </row>
    <row r="147" spans="4:34">
      <c r="D147">
        <v>46.844581662413418</v>
      </c>
      <c r="E147">
        <v>47.234035096965279</v>
      </c>
      <c r="F147">
        <v>47.621987624565769</v>
      </c>
      <c r="G147">
        <v>48.008351499019518</v>
      </c>
      <c r="H147">
        <v>48.393037784813579</v>
      </c>
      <c r="I147">
        <v>48.775956357278133</v>
      </c>
      <c r="J147">
        <v>49.157015903205668</v>
      </c>
      <c r="K147">
        <v>49.536123921943776</v>
      </c>
      <c r="L147">
        <v>49.913186726977663</v>
      </c>
      <c r="M147">
        <v>50.288109448018446</v>
      </c>
      <c r="N147">
        <v>50.660796033613771</v>
      </c>
      <c r="O147">
        <v>50.808275762911556</v>
      </c>
      <c r="P147">
        <v>50.958143380913342</v>
      </c>
      <c r="Q147">
        <v>51.066263697813241</v>
      </c>
      <c r="R147">
        <v>51.163612275553533</v>
      </c>
      <c r="S147">
        <v>51.250087328616139</v>
      </c>
      <c r="T147">
        <v>51.325591573650918</v>
      </c>
      <c r="U147">
        <v>51.39003246461882</v>
      </c>
      <c r="V147">
        <v>51.443322434927921</v>
      </c>
      <c r="W147">
        <v>51.485379146728192</v>
      </c>
      <c r="X147">
        <v>51.51612574753419</v>
      </c>
      <c r="Y147">
        <v>51.053307874542298</v>
      </c>
      <c r="Z147">
        <v>50.902012081386907</v>
      </c>
      <c r="AA147">
        <v>50.732446015889487</v>
      </c>
      <c r="AB147">
        <v>50.543510433848525</v>
      </c>
      <c r="AC147">
        <v>50.335127318721405</v>
      </c>
      <c r="AD147">
        <v>50.107232022321469</v>
      </c>
      <c r="AE147">
        <v>49.859773916217442</v>
      </c>
      <c r="AF147">
        <v>49.592717061693463</v>
      </c>
      <c r="AG147">
        <v>49.306040898628197</v>
      </c>
      <c r="AH147">
        <v>48.999740953655724</v>
      </c>
    </row>
    <row r="148" spans="4:34">
      <c r="D148">
        <v>12.379169704702877</v>
      </c>
      <c r="E148">
        <v>12.229688607790319</v>
      </c>
      <c r="F148">
        <v>12.073203852741992</v>
      </c>
      <c r="G148">
        <v>11.9095324904427</v>
      </c>
      <c r="H148">
        <v>11.738487480196984</v>
      </c>
      <c r="I148">
        <v>11.559877604328227</v>
      </c>
      <c r="J148">
        <v>11.373507381062117</v>
      </c>
      <c r="K148">
        <v>11.17917697566085</v>
      </c>
      <c r="L148">
        <v>10.976682109773805</v>
      </c>
      <c r="M148">
        <v>10.765813968969722</v>
      </c>
      <c r="N148">
        <v>10.546359108414764</v>
      </c>
      <c r="O148">
        <v>10.201141924836172</v>
      </c>
      <c r="P148">
        <v>9.8437610259996404</v>
      </c>
      <c r="Q148">
        <v>9.4785436883963943</v>
      </c>
      <c r="R148">
        <v>9.102193244642061</v>
      </c>
      <c r="S148">
        <v>8.7145710665043872</v>
      </c>
      <c r="T148">
        <v>8.3155404146487371</v>
      </c>
      <c r="U148">
        <v>7.9049666127805152</v>
      </c>
      <c r="V148">
        <v>7.4827172280967797</v>
      </c>
      <c r="W148">
        <v>7.0486622582150416</v>
      </c>
      <c r="X148">
        <v>6.6026743247509501</v>
      </c>
      <c r="Y148">
        <v>6.0208657433183745</v>
      </c>
      <c r="Z148">
        <v>5.3824566726409255</v>
      </c>
      <c r="AA148">
        <v>4.732973177227966</v>
      </c>
      <c r="AB148">
        <v>4.0677883230557601</v>
      </c>
      <c r="AC148">
        <v>3.386652796639241</v>
      </c>
      <c r="AD148">
        <v>2.6893255772722613</v>
      </c>
      <c r="AE148">
        <v>1.9755747700398398</v>
      </c>
      <c r="AF148">
        <v>1.2451784658184974</v>
      </c>
      <c r="AG148">
        <v>0.49792562862786538</v>
      </c>
      <c r="AH148">
        <v>0</v>
      </c>
    </row>
    <row r="149" spans="4:34">
      <c r="D149">
        <v>17.63451512942034</v>
      </c>
      <c r="E149">
        <v>17.89028599241496</v>
      </c>
      <c r="F149">
        <v>18.146825145035919</v>
      </c>
      <c r="G149">
        <v>18.404191763691742</v>
      </c>
      <c r="H149">
        <v>18.662448591004782</v>
      </c>
      <c r="I149">
        <v>18.921662055674837</v>
      </c>
      <c r="J149">
        <v>19.181902395405185</v>
      </c>
      <c r="K149">
        <v>19.443243782957936</v>
      </c>
      <c r="L149">
        <v>19.705764455406722</v>
      </c>
      <c r="M149">
        <v>19.969546846656328</v>
      </c>
      <c r="N149">
        <v>20.234677723299971</v>
      </c>
      <c r="O149">
        <v>20.422891339553036</v>
      </c>
      <c r="P149">
        <v>20.606654039661528</v>
      </c>
      <c r="Q149">
        <v>20.787845370156841</v>
      </c>
      <c r="R149">
        <v>20.965324520099937</v>
      </c>
      <c r="S149">
        <v>21.1392273856579</v>
      </c>
      <c r="T149">
        <v>21.309696839707755</v>
      </c>
      <c r="U149">
        <v>21.476882853691386</v>
      </c>
      <c r="V149">
        <v>21.640942619719013</v>
      </c>
      <c r="W149">
        <v>21.802040672874696</v>
      </c>
      <c r="X149">
        <v>21.96034901367549</v>
      </c>
      <c r="Y149">
        <v>21.882565345049137</v>
      </c>
      <c r="Z149">
        <v>21.792737087538534</v>
      </c>
      <c r="AA149">
        <v>21.70612947160733</v>
      </c>
      <c r="AB149">
        <v>21.611397950763791</v>
      </c>
      <c r="AC149">
        <v>21.509000959134386</v>
      </c>
      <c r="AD149">
        <v>21.399401132942486</v>
      </c>
      <c r="AE149">
        <v>21.283064577532688</v>
      </c>
      <c r="AF149">
        <v>21.160460110738285</v>
      </c>
      <c r="AG149">
        <v>21.032058482701768</v>
      </c>
      <c r="AH149">
        <v>20.898331572293753</v>
      </c>
    </row>
    <row r="150" spans="4:34">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4:34">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row>
    <row r="152" spans="4:34">
      <c r="D152">
        <v>35.064810426540291</v>
      </c>
      <c r="E152">
        <v>35.862029374428673</v>
      </c>
      <c r="F152">
        <v>36.676060412127832</v>
      </c>
      <c r="G152">
        <v>37.50718546517475</v>
      </c>
      <c r="H152">
        <v>38.355690024441522</v>
      </c>
      <c r="I152">
        <v>39.221863166657556</v>
      </c>
      <c r="J152">
        <v>39.903694237214204</v>
      </c>
      <c r="K152">
        <v>40.598426787520197</v>
      </c>
      <c r="L152">
        <v>41.306254839560559</v>
      </c>
      <c r="M152">
        <v>42.027374358428013</v>
      </c>
      <c r="N152">
        <v>42.761983249529528</v>
      </c>
      <c r="O152">
        <v>42.226537244957811</v>
      </c>
      <c r="P152">
        <v>41.680569073676516</v>
      </c>
      <c r="Q152">
        <v>41.125738197102393</v>
      </c>
      <c r="R152">
        <v>40.560572323765214</v>
      </c>
      <c r="S152">
        <v>39.9849446564603</v>
      </c>
      <c r="T152">
        <v>39.345820722413634</v>
      </c>
      <c r="U152">
        <v>38.695410699811092</v>
      </c>
      <c r="V152">
        <v>38.033583815911534</v>
      </c>
      <c r="W152">
        <v>37.360208988306731</v>
      </c>
      <c r="X152">
        <v>36.675154885083579</v>
      </c>
      <c r="Y152">
        <v>35.777146799344536</v>
      </c>
      <c r="Z152">
        <v>34.855561251616628</v>
      </c>
      <c r="AA152">
        <v>33.923685401072362</v>
      </c>
      <c r="AB152">
        <v>32.978253667455199</v>
      </c>
      <c r="AC152">
        <v>32.019026753984754</v>
      </c>
      <c r="AD152">
        <v>31.000354283176481</v>
      </c>
      <c r="AE152">
        <v>29.96716973855489</v>
      </c>
      <c r="AF152">
        <v>28.919243466794175</v>
      </c>
      <c r="AG152">
        <v>27.856348464209521</v>
      </c>
      <c r="AH152">
        <v>26.778260835688471</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42E6-2217-4A68-A163-58760CD59E89}">
  <sheetPr>
    <tabColor rgb="FFFFFF00"/>
  </sheetPr>
  <dimension ref="A1:FI41"/>
  <sheetViews>
    <sheetView zoomScale="70" zoomScaleNormal="70" workbookViewId="0">
      <pane ySplit="1" topLeftCell="A2" activePane="bottomLeft" state="frozen"/>
      <selection activeCell="CJ13" sqref="CJ13"/>
      <selection pane="bottomLeft" activeCell="D20" sqref="D20"/>
    </sheetView>
  </sheetViews>
  <sheetFormatPr baseColWidth="10" defaultColWidth="8.83203125" defaultRowHeight="15" outlineLevelCol="1"/>
  <cols>
    <col min="1" max="1" width="25.5" customWidth="1"/>
    <col min="2" max="2" width="12.33203125" customWidth="1"/>
    <col min="3" max="3" width="17.33203125" customWidth="1"/>
    <col min="5" max="13" width="8.6640625" hidden="1" customWidth="1" outlineLevel="1"/>
    <col min="14" max="14" width="8.6640625" collapsed="1"/>
    <col min="15" max="23" width="8.6640625" hidden="1" customWidth="1" outlineLevel="1"/>
    <col min="24" max="24" width="8.6640625" collapsed="1"/>
    <col min="25" max="33" width="8.6640625" hidden="1" customWidth="1" outlineLevel="1"/>
    <col min="34" max="34" width="8.6640625" collapsed="1"/>
    <col min="36" max="36" width="11.5" bestFit="1" customWidth="1"/>
    <col min="37" max="45" width="8.6640625" hidden="1" customWidth="1" outlineLevel="1"/>
    <col min="46" max="46" width="9.5" bestFit="1" customWidth="1" collapsed="1"/>
    <col min="47" max="55" width="0" hidden="1" customWidth="1" outlineLevel="1"/>
    <col min="56" max="56" width="11.5" bestFit="1" customWidth="1" collapsed="1"/>
    <col min="57" max="65" width="0" hidden="1" customWidth="1" outlineLevel="1"/>
    <col min="66" max="66" width="11.5" bestFit="1" customWidth="1" collapsed="1"/>
    <col min="67" max="67" width="8.6640625" customWidth="1"/>
    <col min="69" max="77" width="8.6640625" hidden="1" customWidth="1" outlineLevel="1"/>
    <col min="78" max="78" width="8.6640625" collapsed="1"/>
    <col min="79" max="87" width="0" hidden="1" customWidth="1" outlineLevel="1"/>
    <col min="88" max="88" width="8.6640625" collapsed="1"/>
    <col min="89" max="97" width="8.6640625" hidden="1" customWidth="1" outlineLevel="1"/>
    <col min="98" max="98" width="8.6640625" collapsed="1"/>
    <col min="101" max="109" width="8.6640625" hidden="1" customWidth="1" outlineLevel="1"/>
    <col min="110" max="110" width="8.6640625" collapsed="1"/>
    <col min="111" max="119" width="0" hidden="1" customWidth="1" outlineLevel="1"/>
    <col min="120" max="120" width="8.6640625" collapsed="1"/>
    <col min="121" max="129" width="8.6640625" hidden="1" customWidth="1" outlineLevel="1"/>
    <col min="130" max="130" width="8.6640625" collapsed="1"/>
    <col min="135" max="135" width="36.5" customWidth="1"/>
    <col min="141" max="165" width="8.6640625" style="43"/>
  </cols>
  <sheetData>
    <row r="1" spans="1:165" ht="16" thickBot="1">
      <c r="A1" s="1"/>
      <c r="B1" s="1"/>
      <c r="D1" s="748" t="s">
        <v>406</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407</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c r="BP1" s="748" t="s">
        <v>1883</v>
      </c>
      <c r="BQ1" s="748"/>
      <c r="BR1" s="748"/>
      <c r="BS1" s="748"/>
      <c r="BT1" s="748"/>
      <c r="BU1" s="748"/>
      <c r="BV1" s="748"/>
      <c r="BW1" s="748"/>
      <c r="BX1" s="748"/>
      <c r="BY1" s="748"/>
      <c r="BZ1" s="748"/>
      <c r="CA1" s="748"/>
      <c r="CB1" s="748"/>
      <c r="CC1" s="748"/>
      <c r="CD1" s="748"/>
      <c r="CE1" s="748"/>
      <c r="CF1" s="748"/>
      <c r="CG1" s="748"/>
      <c r="CH1" s="748"/>
      <c r="CI1" s="748"/>
      <c r="CJ1" s="748"/>
      <c r="CK1" s="748"/>
      <c r="CL1" s="748"/>
      <c r="CM1" s="748"/>
      <c r="CN1" s="748"/>
      <c r="CO1" s="748"/>
      <c r="CP1" s="748"/>
      <c r="CQ1" s="748"/>
      <c r="CR1" s="748"/>
      <c r="CS1" s="748"/>
      <c r="CT1" s="748"/>
      <c r="CV1" s="748" t="s">
        <v>1884</v>
      </c>
      <c r="CW1" s="748"/>
      <c r="CX1" s="748"/>
      <c r="CY1" s="748"/>
      <c r="CZ1" s="748"/>
      <c r="DA1" s="748"/>
      <c r="DB1" s="748"/>
      <c r="DC1" s="748"/>
      <c r="DD1" s="748"/>
      <c r="DE1" s="748"/>
      <c r="DF1" s="748"/>
      <c r="DG1" s="748"/>
      <c r="DH1" s="748"/>
      <c r="DI1" s="748"/>
      <c r="DJ1" s="748"/>
      <c r="DK1" s="748"/>
      <c r="DL1" s="748"/>
      <c r="DM1" s="748"/>
      <c r="DN1" s="748"/>
      <c r="DO1" s="748"/>
      <c r="DP1" s="748"/>
      <c r="DQ1" s="748"/>
      <c r="DR1" s="748"/>
      <c r="DS1" s="748"/>
      <c r="DT1" s="748"/>
      <c r="DU1" s="748"/>
      <c r="DV1" s="748"/>
      <c r="DW1" s="748"/>
      <c r="DX1" s="748"/>
      <c r="DY1" s="748"/>
      <c r="DZ1" s="748"/>
      <c r="EE1" t="s">
        <v>408</v>
      </c>
      <c r="EF1" t="s">
        <v>409</v>
      </c>
      <c r="EG1" t="s">
        <v>410</v>
      </c>
      <c r="EH1" t="s">
        <v>411</v>
      </c>
      <c r="EK1" s="43">
        <v>2.665</v>
      </c>
      <c r="EL1" s="43">
        <v>2.665</v>
      </c>
      <c r="EM1" s="43">
        <v>2.665</v>
      </c>
      <c r="EN1" s="43">
        <v>2.665</v>
      </c>
      <c r="EO1" s="43">
        <v>2.665</v>
      </c>
      <c r="EP1" s="43">
        <v>2.665</v>
      </c>
      <c r="EQ1" s="43">
        <v>2.665</v>
      </c>
      <c r="ER1" s="43">
        <v>2.665</v>
      </c>
      <c r="ES1" s="43">
        <v>2.665</v>
      </c>
      <c r="ET1" s="43">
        <v>2.665</v>
      </c>
      <c r="EU1" s="43">
        <v>2.665</v>
      </c>
      <c r="EV1" s="43">
        <v>2.665</v>
      </c>
      <c r="EW1" s="43">
        <v>2.665</v>
      </c>
      <c r="EX1" s="43">
        <v>2.665</v>
      </c>
      <c r="EY1" s="43">
        <v>2.665</v>
      </c>
      <c r="EZ1" s="43">
        <v>2.665</v>
      </c>
      <c r="FA1" s="43">
        <v>2.665</v>
      </c>
      <c r="FB1" s="43">
        <v>2.665</v>
      </c>
      <c r="FC1" s="43">
        <v>2.665</v>
      </c>
      <c r="FD1" s="43">
        <v>2.665</v>
      </c>
      <c r="FE1" s="43">
        <v>2.665</v>
      </c>
      <c r="FF1" s="43">
        <v>2.665</v>
      </c>
      <c r="FG1" s="43">
        <v>2.665</v>
      </c>
      <c r="FH1" s="43">
        <v>2.665</v>
      </c>
      <c r="FI1" s="43">
        <v>2.665</v>
      </c>
    </row>
    <row r="2" spans="1:165" s="645" customFormat="1" ht="16" thickBot="1">
      <c r="A2" s="649" t="s">
        <v>412</v>
      </c>
      <c r="C2" s="650"/>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1"/>
      <c r="AG2" s="651"/>
      <c r="AH2" s="651"/>
      <c r="AI2" s="651"/>
      <c r="AJ2" s="651"/>
      <c r="AK2" s="651"/>
      <c r="AL2" s="651"/>
      <c r="AM2" s="651"/>
      <c r="AN2" s="651"/>
      <c r="AO2" s="651"/>
      <c r="AP2" s="651"/>
      <c r="AQ2" s="651"/>
      <c r="AR2" s="651"/>
      <c r="AS2" s="651"/>
      <c r="AT2" s="651"/>
      <c r="AU2" s="651"/>
      <c r="AV2" s="651"/>
      <c r="AW2" s="651"/>
      <c r="AX2" s="651"/>
      <c r="AY2" s="651"/>
      <c r="AZ2" s="651"/>
      <c r="BA2" s="651"/>
      <c r="BB2" s="651"/>
      <c r="BC2" s="651"/>
      <c r="BD2" s="651"/>
      <c r="BE2" s="651"/>
      <c r="BF2" s="651"/>
      <c r="BG2" s="651"/>
      <c r="BH2" s="651"/>
      <c r="BI2" s="651"/>
      <c r="BJ2" s="651"/>
      <c r="BK2" s="651"/>
      <c r="BL2" s="651"/>
      <c r="BM2" s="651"/>
      <c r="BN2" s="651"/>
      <c r="BP2" s="651"/>
      <c r="BQ2" s="651"/>
      <c r="BR2" s="651"/>
      <c r="BS2" s="651"/>
      <c r="BT2" s="651"/>
      <c r="BU2" s="651"/>
      <c r="BV2" s="651"/>
      <c r="BW2" s="651"/>
      <c r="BX2" s="651"/>
      <c r="BY2" s="651"/>
      <c r="BZ2" s="651"/>
      <c r="CA2" s="651"/>
      <c r="CB2" s="651"/>
      <c r="CC2" s="651"/>
      <c r="CD2" s="651"/>
      <c r="CE2" s="651"/>
      <c r="CF2" s="651"/>
      <c r="CG2" s="651"/>
      <c r="CH2" s="651"/>
      <c r="CI2" s="651"/>
      <c r="CJ2" s="651"/>
      <c r="CK2" s="651"/>
      <c r="CL2" s="651"/>
      <c r="CM2" s="651"/>
      <c r="CN2" s="651"/>
      <c r="CO2" s="651"/>
      <c r="CP2" s="651"/>
      <c r="CQ2" s="651"/>
      <c r="CR2" s="651"/>
      <c r="CS2" s="651"/>
      <c r="CT2" s="651"/>
      <c r="CV2" s="651"/>
      <c r="CW2" s="651"/>
      <c r="CX2" s="651"/>
      <c r="CY2" s="651"/>
      <c r="CZ2" s="651"/>
      <c r="DA2" s="651"/>
      <c r="DB2" s="651"/>
      <c r="DC2" s="651"/>
      <c r="DD2" s="651"/>
      <c r="DE2" s="651"/>
      <c r="DF2" s="651"/>
      <c r="DG2" s="651"/>
      <c r="DH2" s="651"/>
      <c r="DI2" s="651"/>
      <c r="DJ2" s="651"/>
      <c r="DK2" s="651"/>
      <c r="DL2" s="651"/>
      <c r="DM2" s="651"/>
      <c r="DN2" s="651"/>
      <c r="DO2" s="651"/>
      <c r="DP2" s="651"/>
      <c r="DQ2" s="651"/>
      <c r="DR2" s="651"/>
      <c r="DS2" s="651"/>
      <c r="DT2" s="651"/>
      <c r="DU2" s="651"/>
      <c r="DV2" s="651"/>
      <c r="DW2" s="651"/>
      <c r="DX2" s="651"/>
      <c r="DY2" s="651"/>
      <c r="DZ2" s="651"/>
      <c r="EK2" s="646"/>
      <c r="EL2" s="646"/>
      <c r="EM2" s="646"/>
      <c r="EN2" s="646"/>
      <c r="EO2" s="646"/>
      <c r="EP2" s="646"/>
      <c r="EQ2" s="646"/>
      <c r="ER2" s="646"/>
      <c r="ES2" s="646"/>
      <c r="ET2" s="646"/>
      <c r="EU2" s="646"/>
      <c r="EV2" s="646"/>
      <c r="EW2" s="646"/>
      <c r="EX2" s="646"/>
      <c r="EY2" s="646"/>
      <c r="EZ2" s="646"/>
      <c r="FA2" s="646"/>
      <c r="FB2" s="646"/>
      <c r="FC2" s="646"/>
      <c r="FD2" s="646"/>
      <c r="FE2" s="646"/>
      <c r="FF2" s="646"/>
      <c r="FG2" s="646"/>
      <c r="FH2" s="646"/>
      <c r="FI2" s="646"/>
    </row>
    <row r="3" spans="1:165" s="1" customFormat="1">
      <c r="A3" s="3" t="s">
        <v>121</v>
      </c>
      <c r="C3" s="54" t="s">
        <v>413</v>
      </c>
      <c r="D3" s="43">
        <v>2.5984502619948584</v>
      </c>
      <c r="E3" s="43">
        <v>2.5026859846603231</v>
      </c>
      <c r="F3" s="43">
        <v>2.4127806745166174</v>
      </c>
      <c r="G3" s="43">
        <v>2.3165203482431123</v>
      </c>
      <c r="H3" s="43">
        <v>2.2371905461327817</v>
      </c>
      <c r="I3" s="43">
        <v>2.1620005336307151</v>
      </c>
      <c r="J3" s="43">
        <v>2.0522682171328164</v>
      </c>
      <c r="K3" s="43">
        <v>1.9405684212396161</v>
      </c>
      <c r="L3" s="43">
        <v>1.8440605702255679</v>
      </c>
      <c r="M3" s="43">
        <v>1.7387585217358443</v>
      </c>
      <c r="N3" s="43">
        <v>1.6340046823923657</v>
      </c>
      <c r="O3" s="43">
        <v>1.419635684540189</v>
      </c>
      <c r="P3" s="43">
        <v>1.2431176590479829</v>
      </c>
      <c r="Q3" s="43">
        <v>1.1019972784103458</v>
      </c>
      <c r="R3" s="43">
        <v>0.98118696900957303</v>
      </c>
      <c r="S3" s="43">
        <v>0.88332102777608612</v>
      </c>
      <c r="T3" s="43">
        <v>0.74052948842822741</v>
      </c>
      <c r="U3" s="43">
        <v>0.6360941610202685</v>
      </c>
      <c r="V3" s="43">
        <v>0.5554157325906004</v>
      </c>
      <c r="W3" s="43">
        <v>0.49262635112169001</v>
      </c>
      <c r="X3" s="43">
        <v>0.44043947711283632</v>
      </c>
      <c r="Y3" s="43">
        <v>0.39746136150210937</v>
      </c>
      <c r="Z3" s="43">
        <v>0.36063638481531707</v>
      </c>
      <c r="AA3" s="43">
        <v>0.3285839126740363</v>
      </c>
      <c r="AB3" s="43">
        <v>0.30110456914635864</v>
      </c>
      <c r="AC3" s="43">
        <v>0.27672080573549118</v>
      </c>
      <c r="AD3" s="43">
        <v>0.26482183491196343</v>
      </c>
      <c r="AE3" s="43">
        <v>0.25306798364189209</v>
      </c>
      <c r="AF3" s="43">
        <v>0.24171776521789756</v>
      </c>
      <c r="AG3" s="43">
        <v>0.2302596642174618</v>
      </c>
      <c r="AH3" s="43">
        <v>0.21897259756407511</v>
      </c>
      <c r="AI3" s="443"/>
      <c r="AJ3" s="43">
        <v>2.5984502619948584</v>
      </c>
      <c r="AK3" s="43">
        <v>2.5045380201334169</v>
      </c>
      <c r="AL3" s="43">
        <v>2.4169175155692173</v>
      </c>
      <c r="AM3" s="43">
        <v>2.3233890240923767</v>
      </c>
      <c r="AN3" s="43">
        <v>2.246982274771089</v>
      </c>
      <c r="AO3" s="43">
        <v>2.1749276983784851</v>
      </c>
      <c r="AP3" s="43">
        <v>2.0788757321867486</v>
      </c>
      <c r="AQ3" s="43">
        <v>1.9805332177915727</v>
      </c>
      <c r="AR3" s="43">
        <v>1.8969293385055579</v>
      </c>
      <c r="AS3" s="43">
        <v>1.8040701877620693</v>
      </c>
      <c r="AT3" s="43">
        <v>1.7111485716612485</v>
      </c>
      <c r="AU3" s="43">
        <v>1.5051026127172566</v>
      </c>
      <c r="AV3" s="43">
        <v>1.3348250882855108</v>
      </c>
      <c r="AW3" s="43">
        <v>1.1987069267825479</v>
      </c>
      <c r="AX3" s="43">
        <v>1.0817028779583904</v>
      </c>
      <c r="AY3" s="43">
        <v>0.98721131787379279</v>
      </c>
      <c r="AZ3" s="43">
        <v>0.8412442909952127</v>
      </c>
      <c r="BA3" s="43">
        <v>0.7343332266076571</v>
      </c>
      <c r="BB3" s="43">
        <v>0.6516689207463352</v>
      </c>
      <c r="BC3" s="43">
        <v>0.58755187109432794</v>
      </c>
      <c r="BD3" s="43">
        <v>0.53423079475557445</v>
      </c>
      <c r="BE3" s="43">
        <v>0.49053199141826159</v>
      </c>
      <c r="BF3" s="43">
        <v>0.45313305571309903</v>
      </c>
      <c r="BG3" s="43">
        <v>0.4206148995906715</v>
      </c>
      <c r="BH3" s="43">
        <v>0.39295367266342113</v>
      </c>
      <c r="BI3" s="43">
        <v>0.36846471277666593</v>
      </c>
      <c r="BJ3" s="43">
        <v>0.35981190418155989</v>
      </c>
      <c r="BK3" s="43">
        <v>0.3512107683726956</v>
      </c>
      <c r="BL3" s="43">
        <v>0.34301734997370187</v>
      </c>
      <c r="BM3" s="43">
        <v>0.33452241503206359</v>
      </c>
      <c r="BN3" s="43">
        <v>0.32610316538216344</v>
      </c>
      <c r="BO3" s="443"/>
      <c r="BP3" s="43">
        <v>2.5984502619948584</v>
      </c>
      <c r="BQ3" s="43">
        <v>2.599909245858977</v>
      </c>
      <c r="BR3" s="43">
        <v>2.6013682297230951</v>
      </c>
      <c r="BS3" s="43">
        <v>2.6024624676211841</v>
      </c>
      <c r="BT3" s="43">
        <v>2.6039214514853026</v>
      </c>
      <c r="BU3" s="43">
        <v>2.6053804353494212</v>
      </c>
      <c r="BV3" s="43">
        <v>2.5980855160288288</v>
      </c>
      <c r="BW3" s="43">
        <v>2.5904258507422071</v>
      </c>
      <c r="BX3" s="43">
        <v>2.5831309314216155</v>
      </c>
      <c r="BY3" s="43">
        <v>2.5758360121010231</v>
      </c>
      <c r="BZ3" s="43">
        <v>2.5681763468144014</v>
      </c>
      <c r="CA3" s="43">
        <v>2.5674468548823426</v>
      </c>
      <c r="CB3" s="43">
        <v>2.5663526169842537</v>
      </c>
      <c r="CC3" s="43">
        <v>2.5656231250521944</v>
      </c>
      <c r="CD3" s="43">
        <v>2.5645288871541054</v>
      </c>
      <c r="CE3" s="43">
        <v>2.5637993952220466</v>
      </c>
      <c r="CF3" s="43">
        <v>2.5616109194258692</v>
      </c>
      <c r="CG3" s="43">
        <v>2.5594224436296913</v>
      </c>
      <c r="CH3" s="43">
        <v>2.5572339678335139</v>
      </c>
      <c r="CI3" s="43">
        <v>2.5554102380033656</v>
      </c>
      <c r="CJ3" s="43">
        <v>2.5532217622071882</v>
      </c>
      <c r="CK3" s="43">
        <v>2.5499390485129219</v>
      </c>
      <c r="CL3" s="43">
        <v>2.5470210807846851</v>
      </c>
      <c r="CM3" s="43">
        <v>2.5437383670904188</v>
      </c>
      <c r="CN3" s="43">
        <v>2.5404556533961524</v>
      </c>
      <c r="CO3" s="43">
        <v>2.5375376856679157</v>
      </c>
      <c r="CP3" s="43">
        <v>2.5371729397018865</v>
      </c>
      <c r="CQ3" s="43">
        <v>2.5368081937358564</v>
      </c>
      <c r="CR3" s="43">
        <v>2.5364434477698268</v>
      </c>
      <c r="CS3" s="43">
        <v>2.5360787018037971</v>
      </c>
      <c r="CT3" s="43">
        <v>2.5357139558377675</v>
      </c>
      <c r="CV3" s="43">
        <f>AJ3</f>
        <v>2.5984502619948584</v>
      </c>
      <c r="CW3" s="43">
        <f t="shared" ref="CW3:DZ3" si="0">AK3</f>
        <v>2.5045380201334169</v>
      </c>
      <c r="CX3" s="43">
        <f t="shared" si="0"/>
        <v>2.4169175155692173</v>
      </c>
      <c r="CY3" s="43">
        <f t="shared" si="0"/>
        <v>2.3233890240923767</v>
      </c>
      <c r="CZ3" s="43">
        <f t="shared" si="0"/>
        <v>2.246982274771089</v>
      </c>
      <c r="DA3" s="43">
        <f t="shared" si="0"/>
        <v>2.1749276983784851</v>
      </c>
      <c r="DB3" s="43">
        <f t="shared" si="0"/>
        <v>2.0788757321867486</v>
      </c>
      <c r="DC3" s="43">
        <f t="shared" si="0"/>
        <v>1.9805332177915727</v>
      </c>
      <c r="DD3" s="43">
        <f t="shared" si="0"/>
        <v>1.8969293385055579</v>
      </c>
      <c r="DE3" s="43">
        <f t="shared" si="0"/>
        <v>1.8040701877620693</v>
      </c>
      <c r="DF3" s="43">
        <f t="shared" si="0"/>
        <v>1.7111485716612485</v>
      </c>
      <c r="DG3" s="43">
        <f t="shared" si="0"/>
        <v>1.5051026127172566</v>
      </c>
      <c r="DH3" s="43">
        <f t="shared" si="0"/>
        <v>1.3348250882855108</v>
      </c>
      <c r="DI3" s="43">
        <f t="shared" si="0"/>
        <v>1.1987069267825479</v>
      </c>
      <c r="DJ3" s="43">
        <f t="shared" si="0"/>
        <v>1.0817028779583904</v>
      </c>
      <c r="DK3" s="43">
        <f t="shared" si="0"/>
        <v>0.98721131787379279</v>
      </c>
      <c r="DL3" s="43">
        <f t="shared" si="0"/>
        <v>0.8412442909952127</v>
      </c>
      <c r="DM3" s="43">
        <f t="shared" si="0"/>
        <v>0.7343332266076571</v>
      </c>
      <c r="DN3" s="43">
        <f t="shared" si="0"/>
        <v>0.6516689207463352</v>
      </c>
      <c r="DO3" s="43">
        <f t="shared" si="0"/>
        <v>0.58755187109432794</v>
      </c>
      <c r="DP3" s="43">
        <f t="shared" si="0"/>
        <v>0.53423079475557445</v>
      </c>
      <c r="DQ3" s="43">
        <f t="shared" si="0"/>
        <v>0.49053199141826159</v>
      </c>
      <c r="DR3" s="43">
        <f t="shared" si="0"/>
        <v>0.45313305571309903</v>
      </c>
      <c r="DS3" s="43">
        <f t="shared" si="0"/>
        <v>0.4206148995906715</v>
      </c>
      <c r="DT3" s="43">
        <f t="shared" si="0"/>
        <v>0.39295367266342113</v>
      </c>
      <c r="DU3" s="43">
        <f t="shared" si="0"/>
        <v>0.36846471277666593</v>
      </c>
      <c r="DV3" s="43">
        <f t="shared" si="0"/>
        <v>0.35981190418155989</v>
      </c>
      <c r="DW3" s="43">
        <f t="shared" si="0"/>
        <v>0.3512107683726956</v>
      </c>
      <c r="DX3" s="43">
        <f t="shared" si="0"/>
        <v>0.34301734997370187</v>
      </c>
      <c r="DY3" s="43">
        <f t="shared" si="0"/>
        <v>0.33452241503206359</v>
      </c>
      <c r="DZ3" s="43">
        <f t="shared" si="0"/>
        <v>0.32610316538216344</v>
      </c>
      <c r="EK3" s="443"/>
      <c r="EL3" s="443"/>
      <c r="EM3" s="443"/>
      <c r="EN3" s="443"/>
      <c r="EO3" s="443"/>
      <c r="EP3" s="443"/>
      <c r="EQ3" s="443"/>
      <c r="ER3" s="443"/>
      <c r="ES3" s="443"/>
      <c r="ET3" s="443"/>
      <c r="EU3" s="443"/>
      <c r="EV3" s="443"/>
      <c r="EW3" s="443"/>
      <c r="EX3" s="443"/>
      <c r="EY3" s="443"/>
      <c r="EZ3" s="443"/>
      <c r="FA3" s="443"/>
      <c r="FB3" s="443"/>
      <c r="FC3" s="443"/>
      <c r="FD3" s="443"/>
      <c r="FE3" s="443"/>
      <c r="FF3" s="443"/>
      <c r="FG3" s="443"/>
      <c r="FH3" s="443"/>
      <c r="FI3" s="443"/>
    </row>
    <row r="4" spans="1:165">
      <c r="A4" s="3" t="s">
        <v>4</v>
      </c>
      <c r="C4" s="54" t="s">
        <v>413</v>
      </c>
      <c r="D4" s="43">
        <f>'Scope 3 Yearly'!D43</f>
        <v>0.93492203464847856</v>
      </c>
      <c r="E4" s="43">
        <f>'Scope 3 Yearly'!E43</f>
        <v>0.93373902032321221</v>
      </c>
      <c r="F4" s="43">
        <f>'Scope 3 Yearly'!F43</f>
        <v>0.93276730919333439</v>
      </c>
      <c r="G4" s="43">
        <f>'Scope 3 Yearly'!G43</f>
        <v>0.93199108124423558</v>
      </c>
      <c r="H4" s="43">
        <f>'Scope 3 Yearly'!H43</f>
        <v>0.93138599067738648</v>
      </c>
      <c r="I4" s="43">
        <f>'Scope 3 Yearly'!I43</f>
        <v>0.93091086619462171</v>
      </c>
      <c r="J4" s="43">
        <f>'Scope 3 Yearly'!J43</f>
        <v>0.93049210174700625</v>
      </c>
      <c r="K4" s="43">
        <f>'Scope 3 Yearly'!K43</f>
        <v>0.9299954451134953</v>
      </c>
      <c r="L4" s="43">
        <f>'Scope 3 Yearly'!L43</f>
        <v>0.92917790353902863</v>
      </c>
      <c r="M4" s="43">
        <f>'Scope 3 Yearly'!M43</f>
        <v>0.92761275556390177</v>
      </c>
      <c r="N4" s="43">
        <f>'Scope 3 Yearly'!N43</f>
        <v>0.92459118142957619</v>
      </c>
      <c r="O4" s="43">
        <f>'Scope 3 Yearly'!O43</f>
        <v>0.91397679908441587</v>
      </c>
      <c r="P4" s="43">
        <f>'Scope 3 Yearly'!P43</f>
        <v>0.89909379533196054</v>
      </c>
      <c r="Q4" s="43">
        <f>'Scope 3 Yearly'!Q43</f>
        <v>0.87827848374871365</v>
      </c>
      <c r="R4" s="43">
        <f>'Scope 3 Yearly'!R43</f>
        <v>0.85009737602566182</v>
      </c>
      <c r="S4" s="43">
        <f>'Scope 3 Yearly'!S43</f>
        <v>0.81419879448309418</v>
      </c>
      <c r="T4" s="43">
        <f>'Scope 3 Yearly'!T43</f>
        <v>0.77138764601566079</v>
      </c>
      <c r="U4" s="43">
        <f>'Scope 3 Yearly'!U43</f>
        <v>0.72377243156450621</v>
      </c>
      <c r="V4" s="43">
        <f>'Scope 3 Yearly'!V43</f>
        <v>0.67425120717986364</v>
      </c>
      <c r="W4" s="43">
        <f>'Scope 3 Yearly'!W43</f>
        <v>0.6255967406375823</v>
      </c>
      <c r="X4" s="43">
        <f>'Scope 3 Yearly'!X43</f>
        <v>0.57981774360225491</v>
      </c>
      <c r="Y4" s="43">
        <f>'Scope 3 Yearly'!Y43</f>
        <v>0.53367638176179066</v>
      </c>
      <c r="Z4" s="43">
        <f>'Scope 3 Yearly'!Z43</f>
        <v>0.49204986076015667</v>
      </c>
      <c r="AA4" s="43">
        <f>'Scope 3 Yearly'!AA43</f>
        <v>0.45445654560366983</v>
      </c>
      <c r="AB4" s="43">
        <f>'Scope 3 Yearly'!AB43</f>
        <v>0.42018649798464403</v>
      </c>
      <c r="AC4" s="43">
        <f>'Scope 3 Yearly'!AC43</f>
        <v>0.38849733905765171</v>
      </c>
      <c r="AD4" s="43">
        <f>'Scope 3 Yearly'!AD43</f>
        <v>0.35870515771092165</v>
      </c>
      <c r="AE4" s="43">
        <f>'Scope 3 Yearly'!AE43</f>
        <v>0.33020471789297817</v>
      </c>
      <c r="AF4" s="43">
        <f>'Scope 3 Yearly'!AF43</f>
        <v>0.30245238207966774</v>
      </c>
      <c r="AG4" s="43">
        <f>'Scope 3 Yearly'!AG43</f>
        <v>0.27494699135973649</v>
      </c>
      <c r="AH4" s="43">
        <f>'Scope 3 Yearly'!AH43</f>
        <v>0.24723869872862056</v>
      </c>
      <c r="AI4" s="43"/>
      <c r="AJ4" s="43">
        <f>'Scope 3 Yearly'!AJ43</f>
        <v>0.93492146414365851</v>
      </c>
      <c r="AK4" s="43">
        <f>'Scope 3 Yearly'!AK43</f>
        <v>0.93373792600494165</v>
      </c>
      <c r="AL4" s="43">
        <f>'Scope 3 Yearly'!AL43</f>
        <v>0.93276522005089402</v>
      </c>
      <c r="AM4" s="43">
        <f>'Scope 3 Yearly'!AM43</f>
        <v>0.93198711555078484</v>
      </c>
      <c r="AN4" s="43">
        <f>'Scope 3 Yearly'!AN43</f>
        <v>0.93137851513444136</v>
      </c>
      <c r="AO4" s="43">
        <f>'Scope 3 Yearly'!AO43</f>
        <v>0.93089689609248072</v>
      </c>
      <c r="AP4" s="43">
        <f>'Scope 3 Yearly'!AP43</f>
        <v>0.93046627840821261</v>
      </c>
      <c r="AQ4" s="43">
        <f>'Scope 3 Yearly'!AQ43</f>
        <v>0.92994836805885206</v>
      </c>
      <c r="AR4" s="43">
        <f>'Scope 3 Yearly'!AR43</f>
        <v>0.92909357469913556</v>
      </c>
      <c r="AS4" s="43">
        <f>'Scope 3 Yearly'!AS43</f>
        <v>0.92746500020097145</v>
      </c>
      <c r="AT4" s="43">
        <f>'Scope 3 Yearly'!AT43</f>
        <v>0.92433818194055828</v>
      </c>
      <c r="AU4" s="43">
        <f>'Scope 3 Yearly'!AU43</f>
        <v>0.9135834075360223</v>
      </c>
      <c r="AV4" s="43">
        <f>'Scope 3 Yearly'!AV43</f>
        <v>0.89850305233059724</v>
      </c>
      <c r="AW4" s="43">
        <f>'Scope 3 Yearly'!AW43</f>
        <v>0.87742606079462937</v>
      </c>
      <c r="AX4" s="43">
        <f>'Scope 3 Yearly'!AX43</f>
        <v>0.84892318833935498</v>
      </c>
      <c r="AY4" s="43">
        <f>'Scope 3 Yearly'!AY43</f>
        <v>0.81256262643120025</v>
      </c>
      <c r="AZ4" s="43">
        <f>'Scope 3 Yearly'!AZ43</f>
        <v>0.76917022271021596</v>
      </c>
      <c r="BA4" s="43">
        <f>'Scope 3 Yearly'!BA43</f>
        <v>0.72091397729376938</v>
      </c>
      <c r="BB4" s="43">
        <f>'Scope 3 Yearly'!BB43</f>
        <v>0.67074970293685654</v>
      </c>
      <c r="BC4" s="43">
        <f>'Scope 3 Yearly'!BC43</f>
        <v>0.6215211290406597</v>
      </c>
      <c r="BD4" s="43">
        <f>'Scope 3 Yearly'!BD43</f>
        <v>0.57530301380761917</v>
      </c>
      <c r="BE4" s="43">
        <f>'Scope 3 Yearly'!BE43</f>
        <v>0.52876559626772468</v>
      </c>
      <c r="BF4" s="43">
        <f>'Scope 3 Yearly'!BF43</f>
        <v>0.48695030955603646</v>
      </c>
      <c r="BG4" s="43">
        <f>'Scope 3 Yearly'!BG43</f>
        <v>0.44938432035201209</v>
      </c>
      <c r="BH4" s="43">
        <f>'Scope 3 Yearly'!BH43</f>
        <v>0.41534725803522549</v>
      </c>
      <c r="BI4" s="43">
        <f>'Scope 3 Yearly'!BI43</f>
        <v>0.38407768384454438</v>
      </c>
      <c r="BJ4" s="43">
        <f>'Scope 3 Yearly'!BJ43</f>
        <v>0.35487580897681725</v>
      </c>
      <c r="BK4" s="43">
        <f>'Scope 3 Yearly'!BK43</f>
        <v>0.32713616783362637</v>
      </c>
      <c r="BL4" s="43">
        <f>'Scope 3 Yearly'!BL43</f>
        <v>0.30034131777903955</v>
      </c>
      <c r="BM4" s="43">
        <f>'Scope 3 Yearly'!BM43</f>
        <v>0.27404583361323342</v>
      </c>
      <c r="BN4" s="43">
        <f>'Scope 3 Yearly'!BN43</f>
        <v>0.24787324949564121</v>
      </c>
      <c r="BO4" s="43"/>
      <c r="BP4" s="43">
        <f>'Scope 3 Yearly'!BP43</f>
        <v>0.93492899236244886</v>
      </c>
      <c r="BQ4" s="43">
        <f>'Scope 3 Yearly'!BQ43</f>
        <v>0.9463595019173191</v>
      </c>
      <c r="BR4" s="43">
        <f>'Scope 3 Yearly'!BR43</f>
        <v>0.9576485925190914</v>
      </c>
      <c r="BS4" s="43">
        <f>'Scope 3 Yearly'!BS43</f>
        <v>0.96879150867990382</v>
      </c>
      <c r="BT4" s="43">
        <f>'Scope 3 Yearly'!BT43</f>
        <v>0.97978256146405163</v>
      </c>
      <c r="BU4" s="43">
        <f>'Scope 3 Yearly'!BU43</f>
        <v>0.99061504922470001</v>
      </c>
      <c r="BV4" s="43">
        <f>'Scope 3 Yearly'!BV43</f>
        <v>1.0014302314659815</v>
      </c>
      <c r="BW4" s="43">
        <f>'Scope 3 Yearly'!BW43</f>
        <v>1.0122265741123453</v>
      </c>
      <c r="BX4" s="43">
        <f>'Scope 3 Yearly'!BX43</f>
        <v>1.0230025331020887</v>
      </c>
      <c r="BY4" s="43">
        <f>'Scope 3 Yearly'!BY43</f>
        <v>1.0337565506184438</v>
      </c>
      <c r="BZ4" s="43">
        <f>'Scope 3 Yearly'!BZ43</f>
        <v>1.0444870513164777</v>
      </c>
      <c r="CA4" s="43">
        <f>'Scope 3 Yearly'!CA43</f>
        <v>1.0550857507401368</v>
      </c>
      <c r="CB4" s="43">
        <f>'Scope 3 Yearly'!CB43</f>
        <v>1.0655453775565595</v>
      </c>
      <c r="CC4" s="43">
        <f>'Scope 3 Yearly'!CC43</f>
        <v>1.0758578606009033</v>
      </c>
      <c r="CD4" s="43">
        <f>'Scope 3 Yearly'!CD43</f>
        <v>1.0860142493309548</v>
      </c>
      <c r="CE4" s="43">
        <f>'Scope 3 Yearly'!CE43</f>
        <v>1.0960046252960649</v>
      </c>
      <c r="CF4" s="43">
        <f>'Scope 3 Yearly'!CF43</f>
        <v>1.1059672047980778</v>
      </c>
      <c r="CG4" s="43">
        <f>'Scope 3 Yearly'!CG43</f>
        <v>1.1159012069240144</v>
      </c>
      <c r="CH4" s="43">
        <f>'Scope 3 Yearly'!CH43</f>
        <v>1.12580583308339</v>
      </c>
      <c r="CI4" s="43">
        <f>'Scope 3 Yearly'!CI43</f>
        <v>1.135680266448742</v>
      </c>
      <c r="CJ4" s="43">
        <f>'Scope 3 Yearly'!CJ43</f>
        <v>1.1455236713800416</v>
      </c>
      <c r="CK4" s="43">
        <f>'Scope 3 Yearly'!CK43</f>
        <v>1.1553362124642714</v>
      </c>
      <c r="CL4" s="43">
        <f>'Scope 3 Yearly'!CL43</f>
        <v>1.1651170838233047</v>
      </c>
      <c r="CM4" s="43">
        <f>'Scope 3 Yearly'!CM43</f>
        <v>1.1748654612608997</v>
      </c>
      <c r="CN4" s="43">
        <f>'Scope 3 Yearly'!CN43</f>
        <v>1.1845805017192972</v>
      </c>
      <c r="CO4" s="43">
        <f>'Scope 3 Yearly'!CO43</f>
        <v>1.1942613427203839</v>
      </c>
      <c r="CP4" s="43">
        <f>'Scope 3 Yearly'!CP43</f>
        <v>1.2039080768000934</v>
      </c>
      <c r="CQ4" s="43">
        <f>'Scope 3 Yearly'!CQ43</f>
        <v>1.2135198650383663</v>
      </c>
      <c r="CR4" s="43">
        <f>'Scope 3 Yearly'!CR43</f>
        <v>1.2230958494948914</v>
      </c>
      <c r="CS4" s="43">
        <f>'Scope 3 Yearly'!CS43</f>
        <v>1.2326351526740549</v>
      </c>
      <c r="CT4" s="43">
        <f>'Scope 3 Yearly'!CT43</f>
        <v>1.2421368769749814</v>
      </c>
      <c r="CV4" s="43">
        <f>'Scope 3 Yearly'!CV43</f>
        <v>0.93492146414365851</v>
      </c>
      <c r="CW4" s="43">
        <f>'Scope 3 Yearly'!CW43</f>
        <v>0.93373792600494165</v>
      </c>
      <c r="CX4" s="43">
        <f>'Scope 3 Yearly'!CX43</f>
        <v>0.93276522005089402</v>
      </c>
      <c r="CY4" s="43">
        <f>'Scope 3 Yearly'!CY43</f>
        <v>0.93198711555078484</v>
      </c>
      <c r="CZ4" s="43">
        <f>'Scope 3 Yearly'!CZ43</f>
        <v>0.93137851513444136</v>
      </c>
      <c r="DA4" s="43">
        <f>'Scope 3 Yearly'!DA43</f>
        <v>0.93089689609248072</v>
      </c>
      <c r="DB4" s="43">
        <f>'Scope 3 Yearly'!DB43</f>
        <v>0.93046627840821261</v>
      </c>
      <c r="DC4" s="43">
        <f>'Scope 3 Yearly'!DC43</f>
        <v>0.92994836805885206</v>
      </c>
      <c r="DD4" s="43">
        <f>'Scope 3 Yearly'!DD43</f>
        <v>0.92909357469913556</v>
      </c>
      <c r="DE4" s="43">
        <f>'Scope 3 Yearly'!DE43</f>
        <v>0.92746500020097145</v>
      </c>
      <c r="DF4" s="43">
        <f>'Scope 3 Yearly'!DF43</f>
        <v>0.92433818194055828</v>
      </c>
      <c r="DG4" s="43">
        <f>'Scope 3 Yearly'!DG43</f>
        <v>0.9135834075360223</v>
      </c>
      <c r="DH4" s="43">
        <f>'Scope 3 Yearly'!DH43</f>
        <v>0.89850305233059724</v>
      </c>
      <c r="DI4" s="43">
        <f>'Scope 3 Yearly'!DI43</f>
        <v>0.87742350731696617</v>
      </c>
      <c r="DJ4" s="43">
        <f>'Scope 3 Yearly'!DJ43</f>
        <v>0.84891783660748887</v>
      </c>
      <c r="DK4" s="43">
        <f>'Scope 3 Yearly'!DK43</f>
        <v>0.81255435916798502</v>
      </c>
      <c r="DL4" s="43">
        <f>'Scope 3 Yearly'!DL43</f>
        <v>0.76915906086173402</v>
      </c>
      <c r="DM4" s="43">
        <f>'Scope 3 Yearly'!DM43</f>
        <v>0.72090004830700283</v>
      </c>
      <c r="DN4" s="43">
        <f>'Scope 3 Yearly'!DN43</f>
        <v>0.67073317569757451</v>
      </c>
      <c r="DO4" s="43">
        <f>'Scope 3 Yearly'!DO43</f>
        <v>0.62150214024873107</v>
      </c>
      <c r="DP4" s="43">
        <f>'Scope 3 Yearly'!DP43</f>
        <v>0.57528161378917042</v>
      </c>
      <c r="DQ4" s="43">
        <f>'Scope 3 Yearly'!DQ43</f>
        <v>0.52874108290644095</v>
      </c>
      <c r="DR4" s="43">
        <f>'Scope 3 Yearly'!DR43</f>
        <v>0.48692242504480848</v>
      </c>
      <c r="DS4" s="43">
        <f>'Scope 3 Yearly'!DS43</f>
        <v>0.44934409055223351</v>
      </c>
      <c r="DT4" s="43">
        <f>'Scope 3 Yearly'!DT43</f>
        <v>0.41529360948546662</v>
      </c>
      <c r="DU4" s="43">
        <f>'Scope 3 Yearly'!DU43</f>
        <v>0.38400928549859353</v>
      </c>
      <c r="DV4" s="43">
        <f>'Scope 3 Yearly'!DV43</f>
        <v>0.35479108830903938</v>
      </c>
      <c r="DW4" s="43">
        <f>'Scope 3 Yearly'!DW43</f>
        <v>0.32703331308633393</v>
      </c>
      <c r="DX4" s="43">
        <f>'Scope 3 Yearly'!DX43</f>
        <v>0.30021826194830525</v>
      </c>
      <c r="DY4" s="43">
        <f>'Scope 3 Yearly'!DY43</f>
        <v>0.27390023261404789</v>
      </c>
      <c r="DZ4" s="43">
        <f>'Scope 3 Yearly'!DZ43</f>
        <v>0.24770248275868756</v>
      </c>
    </row>
    <row r="5" spans="1:165">
      <c r="A5" t="s">
        <v>5</v>
      </c>
      <c r="C5" s="54" t="s">
        <v>413</v>
      </c>
      <c r="D5" s="43">
        <f>'Scope 3 Yearly'!D66</f>
        <v>0.98265006202422689</v>
      </c>
      <c r="E5" s="43">
        <f>'Scope 3 Yearly'!E66</f>
        <v>0.98388444235873795</v>
      </c>
      <c r="F5" s="43">
        <f>'Scope 3 Yearly'!F66</f>
        <v>0.98536428874208137</v>
      </c>
      <c r="G5" s="43">
        <f>'Scope 3 Yearly'!G66</f>
        <v>0.98706932803077085</v>
      </c>
      <c r="H5" s="43">
        <f>'Scope 3 Yearly'!H66</f>
        <v>0.98896930621450729</v>
      </c>
      <c r="I5" s="43">
        <f>'Scope 3 Yearly'!I66</f>
        <v>0.991014615785207</v>
      </c>
      <c r="J5" s="43">
        <f>'Scope 3 Yearly'!J66</f>
        <v>0.99311869567513689</v>
      </c>
      <c r="K5" s="43">
        <f>'Scope 3 Yearly'!K66</f>
        <v>0.99512626085321687</v>
      </c>
      <c r="L5" s="43">
        <f>'Scope 3 Yearly'!L66</f>
        <v>0.99675919522751499</v>
      </c>
      <c r="M5" s="43">
        <f>'Scope 3 Yearly'!M66</f>
        <v>0.99753226525140715</v>
      </c>
      <c r="N5" s="43">
        <f>'Scope 3 Yearly'!N66</f>
        <v>0.99664266278086533</v>
      </c>
      <c r="O5" s="43">
        <f>'Scope 3 Yearly'!O66</f>
        <v>0.98980149238730841</v>
      </c>
      <c r="P5" s="43">
        <f>'Scope 3 Yearly'!P66</f>
        <v>0.97816252113705715</v>
      </c>
      <c r="Q5" s="43">
        <f>'Scope 3 Yearly'!Q66</f>
        <v>0.95978945379467673</v>
      </c>
      <c r="R5" s="43">
        <f>'Scope 3 Yearly'!R66</f>
        <v>0.93299787256752231</v>
      </c>
      <c r="S5" s="43">
        <f>'Scope 3 Yearly'!S66</f>
        <v>0.89707295212113314</v>
      </c>
      <c r="T5" s="43">
        <f>'Scope 3 Yearly'!T66</f>
        <v>0.85285427033643679</v>
      </c>
      <c r="U5" s="43">
        <f>'Scope 3 Yearly'!U66</f>
        <v>0.80275314939902576</v>
      </c>
      <c r="V5" s="43">
        <f>'Scope 3 Yearly'!V66</f>
        <v>0.75007149843605903</v>
      </c>
      <c r="W5" s="43">
        <f>'Scope 3 Yearly'!W66</f>
        <v>0.69802319909022714</v>
      </c>
      <c r="X5" s="43">
        <f>'Scope 3 Yearly'!X66</f>
        <v>0.64898567774102589</v>
      </c>
      <c r="Y5" s="43">
        <f>'Scope 3 Yearly'!Y66</f>
        <v>0.60067933992750855</v>
      </c>
      <c r="Z5" s="43">
        <f>'Scope 3 Yearly'!Z66</f>
        <v>0.55719919026356712</v>
      </c>
      <c r="AA5" s="43">
        <f>'Scope 3 Yearly'!AA66</f>
        <v>0.5182010250853597</v>
      </c>
      <c r="AB5" s="43">
        <f>'Scope 3 Yearly'!AB66</f>
        <v>0.48305615331130647</v>
      </c>
      <c r="AC5" s="43">
        <f>'Scope 3 Yearly'!AC66</f>
        <v>0.45102775875632889</v>
      </c>
      <c r="AD5" s="43">
        <f>'Scope 3 Yearly'!AD66</f>
        <v>0.42140664921766691</v>
      </c>
      <c r="AE5" s="43">
        <f>'Scope 3 Yearly'!AE66</f>
        <v>0.3935611715079303</v>
      </c>
      <c r="AF5" s="43">
        <f>'Scope 3 Yearly'!AF66</f>
        <v>0.36694963212042214</v>
      </c>
      <c r="AG5" s="43">
        <f>'Scope 3 Yearly'!AG66</f>
        <v>0.34116619076587679</v>
      </c>
      <c r="AH5" s="43">
        <f>'Scope 3 Yearly'!AH66</f>
        <v>0.31560818599296547</v>
      </c>
      <c r="AI5" s="43"/>
      <c r="AJ5" s="43">
        <f>'Scope 3 Yearly'!AJ66</f>
        <v>0.9826494956942956</v>
      </c>
      <c r="AK5" s="43">
        <f>'Scope 3 Yearly'!AK66</f>
        <v>0.98388331252028127</v>
      </c>
      <c r="AL5" s="43">
        <f>'Scope 3 Yearly'!AL66</f>
        <v>0.98536205240706942</v>
      </c>
      <c r="AM5" s="43">
        <f>'Scope 3 Yearly'!AM66</f>
        <v>0.98706493938495821</v>
      </c>
      <c r="AN5" s="43">
        <f>'Scope 3 Yearly'!AN66</f>
        <v>0.98896077636231738</v>
      </c>
      <c r="AO5" s="43">
        <f>'Scope 3 Yearly'!AO66</f>
        <v>0.99099822057971221</v>
      </c>
      <c r="AP5" s="43">
        <f>'Scope 3 Yearly'!AP66</f>
        <v>0.99308759599323304</v>
      </c>
      <c r="AQ5" s="43">
        <f>'Scope 3 Yearly'!AQ66</f>
        <v>0.99506820368466431</v>
      </c>
      <c r="AR5" s="43">
        <f>'Scope 3 Yearly'!AR66</f>
        <v>0.99665291163794567</v>
      </c>
      <c r="AS5" s="43">
        <f>'Scope 3 Yearly'!AS66</f>
        <v>0.99734229789485296</v>
      </c>
      <c r="AT5" s="43">
        <f>'Scope 3 Yearly'!AT66</f>
        <v>0.99631140450641809</v>
      </c>
      <c r="AU5" s="43">
        <f>'Scope 3 Yearly'!AU66</f>
        <v>0.98926127766340888</v>
      </c>
      <c r="AV5" s="43">
        <f>'Scope 3 Yearly'!AV66</f>
        <v>0.97731142704295015</v>
      </c>
      <c r="AW5" s="43">
        <f>'Scope 3 Yearly'!AW66</f>
        <v>0.9584934081331552</v>
      </c>
      <c r="AX5" s="43">
        <f>'Scope 3 Yearly'!AX66</f>
        <v>0.93111812301927666</v>
      </c>
      <c r="AY5" s="43">
        <f>'Scope 3 Yearly'!AY66</f>
        <v>0.89447167171380104</v>
      </c>
      <c r="AZ5" s="43">
        <f>'Scope 3 Yearly'!AZ66</f>
        <v>0.84942019777207278</v>
      </c>
      <c r="BA5" s="43">
        <f>'Scope 3 Yearly'!BA66</f>
        <v>0.79843056416870872</v>
      </c>
      <c r="BB5" s="43">
        <f>'Scope 3 Yearly'!BB66</f>
        <v>0.74488996869189061</v>
      </c>
      <c r="BC5" s="43">
        <f>'Scope 3 Yearly'!BC66</f>
        <v>0.69210994410151383</v>
      </c>
      <c r="BD5" s="43">
        <f>'Scope 3 Yearly'!BD66</f>
        <v>0.64255188377084405</v>
      </c>
      <c r="BE5" s="43">
        <f>'Scope 3 Yearly'!BE66</f>
        <v>0.59420573604012172</v>
      </c>
      <c r="BF5" s="43">
        <f>'Scope 3 Yearly'!BF66</f>
        <v>0.55096130010642219</v>
      </c>
      <c r="BG5" s="43">
        <f>'Scope 3 Yearly'!BG66</f>
        <v>0.51242959331763993</v>
      </c>
      <c r="BH5" s="43">
        <f>'Scope 3 Yearly'!BH66</f>
        <v>0.47792156312029344</v>
      </c>
      <c r="BI5" s="43">
        <f>'Scope 3 Yearly'!BI66</f>
        <v>0.44664241372196356</v>
      </c>
      <c r="BJ5" s="43">
        <f>'Scope 3 Yearly'!BJ66</f>
        <v>0.41783737890480815</v>
      </c>
      <c r="BK5" s="43">
        <f>'Scope 3 Yearly'!BK66</f>
        <v>0.3908485091520984</v>
      </c>
      <c r="BL5" s="43">
        <f>'Scope 3 Yearly'!BL66</f>
        <v>0.3651285645536132</v>
      </c>
      <c r="BM5" s="43">
        <f>'Scope 3 Yearly'!BM66</f>
        <v>0.34026416643699881</v>
      </c>
      <c r="BN5" s="43">
        <f>'Scope 3 Yearly'!BN66</f>
        <v>0.31577168133522315</v>
      </c>
      <c r="BO5" s="43"/>
      <c r="BP5" s="43">
        <f>'Scope 3 Yearly'!BP66</f>
        <v>0.98265836376166216</v>
      </c>
      <c r="BQ5" s="43">
        <f>'Scope 3 Yearly'!BQ66</f>
        <v>0.99446246014899087</v>
      </c>
      <c r="BR5" s="43">
        <f>'Scope 3 Yearly'!BR66</f>
        <v>1.0062049518102754</v>
      </c>
      <c r="BS5" s="43">
        <f>'Scope 3 Yearly'!BS66</f>
        <v>1.0178838194457653</v>
      </c>
      <c r="BT5" s="43">
        <f>'Scope 3 Yearly'!BT66</f>
        <v>1.0294966361205569</v>
      </c>
      <c r="BU5" s="43">
        <f>'Scope 3 Yearly'!BU66</f>
        <v>1.0410405334422612</v>
      </c>
      <c r="BV5" s="43">
        <f>'Scope 3 Yearly'!BV66</f>
        <v>1.0525768617666698</v>
      </c>
      <c r="BW5" s="43">
        <f>'Scope 3 Yearly'!BW66</f>
        <v>1.0641049623127548</v>
      </c>
      <c r="BX5" s="43">
        <f>'Scope 3 Yearly'!BX66</f>
        <v>1.0756241718341921</v>
      </c>
      <c r="BY5" s="43">
        <f>'Scope 3 Yearly'!BY66</f>
        <v>1.0871338209999268</v>
      </c>
      <c r="BZ5" s="43">
        <f>'Scope 3 Yearly'!BZ66</f>
        <v>1.0986332327725536</v>
      </c>
      <c r="CA5" s="43">
        <f>'Scope 3 Yearly'!CA66</f>
        <v>1.1100754485020263</v>
      </c>
      <c r="CB5" s="43">
        <f>'Scope 3 Yearly'!CB66</f>
        <v>1.1214573389705509</v>
      </c>
      <c r="CC5" s="43">
        <f>'Scope 3 Yearly'!CC66</f>
        <v>1.1327754280456883</v>
      </c>
      <c r="CD5" s="43">
        <f>'Scope 3 Yearly'!CD66</f>
        <v>1.1440258584129204</v>
      </c>
      <c r="CE5" s="43">
        <f>'Scope 3 Yearly'!CE66</f>
        <v>1.1552043534148417</v>
      </c>
      <c r="CF5" s="43">
        <f>'Scope 3 Yearly'!CF66</f>
        <v>1.1663708462145934</v>
      </c>
      <c r="CG5" s="43">
        <f>'Scope 3 Yearly'!CG66</f>
        <v>1.1775250000534667</v>
      </c>
      <c r="CH5" s="43">
        <f>'Scope 3 Yearly'!CH66</f>
        <v>1.1886664705466163</v>
      </c>
      <c r="CI5" s="43">
        <f>'Scope 3 Yearly'!CI66</f>
        <v>1.1997949054418275</v>
      </c>
      <c r="CJ5" s="43">
        <f>'Scope 3 Yearly'!CJ66</f>
        <v>1.2109099443713376</v>
      </c>
      <c r="CK5" s="43">
        <f>'Scope 3 Yearly'!CK66</f>
        <v>1.2220116603308468</v>
      </c>
      <c r="CL5" s="43">
        <f>'Scope 3 Yearly'!CL66</f>
        <v>1.2330997057921804</v>
      </c>
      <c r="CM5" s="43">
        <f>'Scope 3 Yearly'!CM66</f>
        <v>1.2441737253259075</v>
      </c>
      <c r="CN5" s="43">
        <f>'Scope 3 Yearly'!CN66</f>
        <v>1.2552333553670438</v>
      </c>
      <c r="CO5" s="43">
        <f>'Scope 3 Yearly'!CO66</f>
        <v>1.2662782239741013</v>
      </c>
      <c r="CP5" s="43">
        <f>'Scope 3 Yearly'!CP66</f>
        <v>1.277308372797155</v>
      </c>
      <c r="CQ5" s="43">
        <f>'Scope 3 Yearly'!CQ66</f>
        <v>1.2883234400612265</v>
      </c>
      <c r="CR5" s="43">
        <f>'Scope 3 Yearly'!CR66</f>
        <v>1.2993230557882174</v>
      </c>
      <c r="CS5" s="43">
        <f>'Scope 3 Yearly'!CS66</f>
        <v>1.3103068415662225</v>
      </c>
      <c r="CT5" s="43">
        <f>'Scope 3 Yearly'!CT66</f>
        <v>1.3212744103124132</v>
      </c>
      <c r="CV5" s="43">
        <f>'Scope 3 Yearly'!CV66</f>
        <v>0.9826494956942956</v>
      </c>
      <c r="CW5" s="43">
        <f>'Scope 3 Yearly'!CW66</f>
        <v>0.98388331252028127</v>
      </c>
      <c r="CX5" s="43">
        <f>'Scope 3 Yearly'!CX66</f>
        <v>0.98536205240706942</v>
      </c>
      <c r="CY5" s="43">
        <f>'Scope 3 Yearly'!CY66</f>
        <v>0.98706493938495821</v>
      </c>
      <c r="CZ5" s="43">
        <f>'Scope 3 Yearly'!CZ66</f>
        <v>0.98896077636231738</v>
      </c>
      <c r="DA5" s="43">
        <f>'Scope 3 Yearly'!DA66</f>
        <v>0.99099822057971221</v>
      </c>
      <c r="DB5" s="43">
        <f>'Scope 3 Yearly'!DB66</f>
        <v>0.99308759599323304</v>
      </c>
      <c r="DC5" s="43">
        <f>'Scope 3 Yearly'!DC66</f>
        <v>0.99506820368466431</v>
      </c>
      <c r="DD5" s="43">
        <f>'Scope 3 Yearly'!DD66</f>
        <v>0.99665291163794545</v>
      </c>
      <c r="DE5" s="43">
        <f>'Scope 3 Yearly'!DE66</f>
        <v>0.99734229789485285</v>
      </c>
      <c r="DF5" s="43">
        <f>'Scope 3 Yearly'!DF66</f>
        <v>0.99631140450641809</v>
      </c>
      <c r="DG5" s="43">
        <f>'Scope 3 Yearly'!DG66</f>
        <v>0.98926127766340888</v>
      </c>
      <c r="DH5" s="43">
        <f>'Scope 3 Yearly'!DH66</f>
        <v>0.97731142704295015</v>
      </c>
      <c r="DI5" s="43">
        <f>'Scope 3 Yearly'!DI66</f>
        <v>0.95849347009583952</v>
      </c>
      <c r="DJ5" s="43">
        <f>'Scope 3 Yearly'!DJ66</f>
        <v>0.93111823127795179</v>
      </c>
      <c r="DK5" s="43">
        <f>'Scope 3 Yearly'!DK66</f>
        <v>0.89447193739511965</v>
      </c>
      <c r="DL5" s="43">
        <f>'Scope 3 Yearly'!DL66</f>
        <v>0.84942082772421224</v>
      </c>
      <c r="DM5" s="43">
        <f>'Scope 3 Yearly'!DM66</f>
        <v>0.79843176875125521</v>
      </c>
      <c r="DN5" s="43">
        <f>'Scope 3 Yearly'!DN66</f>
        <v>0.74489182944452181</v>
      </c>
      <c r="DO5" s="43">
        <f>'Scope 3 Yearly'!DO66</f>
        <v>0.69211230117143363</v>
      </c>
      <c r="DP5" s="43">
        <f>'Scope 3 Yearly'!DP66</f>
        <v>0.64255427764849082</v>
      </c>
      <c r="DQ5" s="43">
        <f>'Scope 3 Yearly'!DQ66</f>
        <v>0.59420674885999369</v>
      </c>
      <c r="DR5" s="43">
        <f>'Scope 3 Yearly'!DR66</f>
        <v>0.55095968347115576</v>
      </c>
      <c r="DS5" s="43">
        <f>'Scope 3 Yearly'!DS66</f>
        <v>0.51242230110619791</v>
      </c>
      <c r="DT5" s="43">
        <f>'Scope 3 Yearly'!DT66</f>
        <v>0.47790426264166058</v>
      </c>
      <c r="DU5" s="43">
        <f>'Scope 3 Yearly'!DU66</f>
        <v>0.44660989804702345</v>
      </c>
      <c r="DV5" s="43">
        <f>'Scope 3 Yearly'!DV66</f>
        <v>0.41778360147559018</v>
      </c>
      <c r="DW5" s="43">
        <f>'Scope 3 Yearly'!DW66</f>
        <v>0.39076656071912452</v>
      </c>
      <c r="DX5" s="43">
        <f>'Scope 3 Yearly'!DX66</f>
        <v>0.36501059858727891</v>
      </c>
      <c r="DY5" s="43">
        <f>'Scope 3 Yearly'!DY66</f>
        <v>0.34010153714401098</v>
      </c>
      <c r="DZ5" s="43">
        <f>'Scope 3 Yearly'!DZ66</f>
        <v>0.3155541374907232</v>
      </c>
    </row>
    <row r="6" spans="1:165">
      <c r="A6" t="s">
        <v>6</v>
      </c>
      <c r="C6" s="54" t="s">
        <v>413</v>
      </c>
      <c r="D6" s="43">
        <f>'Scope 3 Yearly'!D89</f>
        <v>0.9550017093678278</v>
      </c>
      <c r="E6" s="43">
        <f>'Scope 3 Yearly'!E89</f>
        <v>0.96549877057818201</v>
      </c>
      <c r="F6" s="43">
        <f>'Scope 3 Yearly'!F89</f>
        <v>0.96246510297763854</v>
      </c>
      <c r="G6" s="43">
        <f>'Scope 3 Yearly'!G89</f>
        <v>0.95945240879989913</v>
      </c>
      <c r="H6" s="43">
        <f>'Scope 3 Yearly'!H89</f>
        <v>0.95643764378815355</v>
      </c>
      <c r="I6" s="43">
        <f>'Scope 3 Yearly'!I89</f>
        <v>0.95338202283883366</v>
      </c>
      <c r="J6" s="43">
        <f>'Scope 3 Yearly'!J89</f>
        <v>0.95021707316545956</v>
      </c>
      <c r="K6" s="43">
        <f>'Scope 3 Yearly'!K89</f>
        <v>0.94681981453741471</v>
      </c>
      <c r="L6" s="43">
        <f>'Scope 3 Yearly'!L89</f>
        <v>0.94297113955703338</v>
      </c>
      <c r="M6" s="43">
        <f>'Scope 3 Yearly'!M89</f>
        <v>0.93829216943943905</v>
      </c>
      <c r="N6" s="43">
        <f>'Scope 3 Yearly'!N89</f>
        <v>0.93216409650204302</v>
      </c>
      <c r="O6" s="43">
        <f>'Scope 3 Yearly'!O89</f>
        <v>0.92129707729122734</v>
      </c>
      <c r="P6" s="43">
        <f>'Scope 3 Yearly'!P89</f>
        <v>0.90666728654659945</v>
      </c>
      <c r="Q6" s="43">
        <f>'Scope 3 Yearly'!Q89</f>
        <v>0.8868531797282766</v>
      </c>
      <c r="R6" s="43">
        <f>'Scope 3 Yearly'!R89</f>
        <v>0.86065714203027355</v>
      </c>
      <c r="S6" s="43">
        <f>'Scope 3 Yearly'!S89</f>
        <v>0.82766244321171323</v>
      </c>
      <c r="T6" s="43">
        <f>'Scope 3 Yearly'!T89</f>
        <v>0.78864131840601814</v>
      </c>
      <c r="U6" s="43">
        <f>'Scope 3 Yearly'!U89</f>
        <v>0.74552681581805957</v>
      </c>
      <c r="V6" s="43">
        <f>'Scope 3 Yearly'!V89</f>
        <v>0.70085842040822743</v>
      </c>
      <c r="W6" s="43">
        <f>'Scope 3 Yearly'!W89</f>
        <v>0.65703485120043914</v>
      </c>
      <c r="X6" s="43">
        <f>'Scope 3 Yearly'!X89</f>
        <v>0.61577029826663443</v>
      </c>
      <c r="Y6" s="43">
        <f>'Scope 3 Yearly'!Y89</f>
        <v>0.57522438280541022</v>
      </c>
      <c r="Z6" s="43">
        <f>'Scope 3 Yearly'!Z89</f>
        <v>0.53840926437254466</v>
      </c>
      <c r="AA6" s="43">
        <f>'Scope 3 Yearly'!AA89</f>
        <v>0.50502131706871756</v>
      </c>
      <c r="AB6" s="43">
        <f>'Scope 3 Yearly'!AB89</f>
        <v>0.4745375213149281</v>
      </c>
      <c r="AC6" s="43">
        <f>'Scope 3 Yearly'!AC89</f>
        <v>0.4463796570069985</v>
      </c>
      <c r="AD6" s="43">
        <f>'Scope 3 Yearly'!AD89</f>
        <v>0.41999478816485203</v>
      </c>
      <c r="AE6" s="43">
        <f>'Scope 3 Yearly'!AE89</f>
        <v>0.39488192326050819</v>
      </c>
      <c r="AF6" s="43">
        <f>'Scope 3 Yearly'!AF89</f>
        <v>0.37059134579727726</v>
      </c>
      <c r="AG6" s="43">
        <f>'Scope 3 Yearly'!AG89</f>
        <v>0.3467241878838459</v>
      </c>
      <c r="AH6" s="43">
        <f>'Scope 3 Yearly'!AH89</f>
        <v>0.32295131486214479</v>
      </c>
      <c r="AI6" s="43"/>
      <c r="AJ6" s="43">
        <f>'Scope 3 Yearly'!AJ89</f>
        <v>0.95500135462922764</v>
      </c>
      <c r="AK6" s="43">
        <f>'Scope 3 Yearly'!AK89</f>
        <v>0.95161000235686444</v>
      </c>
      <c r="AL6" s="43">
        <f>'Scope 3 Yearly'!AL89</f>
        <v>0.94829388145884363</v>
      </c>
      <c r="AM6" s="43">
        <f>'Scope 3 Yearly'!AM89</f>
        <v>0.94504202843321838</v>
      </c>
      <c r="AN6" s="43">
        <f>'Scope 3 Yearly'!AN89</f>
        <v>0.94183515709823129</v>
      </c>
      <c r="AO6" s="43">
        <f>'Scope 3 Yearly'!AO89</f>
        <v>0.93863792953938319</v>
      </c>
      <c r="AP6" s="43">
        <f>'Scope 3 Yearly'!AP89</f>
        <v>0.9353846902932168</v>
      </c>
      <c r="AQ6" s="43">
        <f>'Scope 3 Yearly'!AQ89</f>
        <v>0.93195417031675731</v>
      </c>
      <c r="AR6" s="43">
        <f>'Scope 3 Yearly'!AR89</f>
        <v>0.92812723055506741</v>
      </c>
      <c r="AS6" s="43">
        <f>'Scope 3 Yearly'!AS89</f>
        <v>0.92352250607885433</v>
      </c>
      <c r="AT6" s="43">
        <f>'Scope 3 Yearly'!AT89</f>
        <v>0.91751406635192767</v>
      </c>
      <c r="AU6" s="43">
        <f>'Scope 3 Yearly'!AU89</f>
        <v>0.90577713976462015</v>
      </c>
      <c r="AV6" s="43">
        <f>'Scope 3 Yearly'!AV89</f>
        <v>0.89030381894197275</v>
      </c>
      <c r="AW6" s="43">
        <f>'Scope 3 Yearly'!AW89</f>
        <v>0.86969389096232974</v>
      </c>
      <c r="AX6" s="43">
        <f>'Scope 3 Yearly'!AX89</f>
        <v>0.84277400543689307</v>
      </c>
      <c r="AY6" s="43">
        <f>'Scope 3 Yearly'!AY89</f>
        <v>0.80915390394393905</v>
      </c>
      <c r="AZ6" s="43">
        <f>'Scope 3 Yearly'!AZ89</f>
        <v>0.76963243095780542</v>
      </c>
      <c r="BA6" s="43">
        <f>'Scope 3 Yearly'!BA89</f>
        <v>0.72616684661097564</v>
      </c>
      <c r="BB6" s="43">
        <f>'Scope 3 Yearly'!BB89</f>
        <v>0.68132664201529569</v>
      </c>
      <c r="BC6" s="43">
        <f>'Scope 3 Yearly'!BC89</f>
        <v>0.63754493133600854</v>
      </c>
      <c r="BD6" s="43">
        <f>'Scope 3 Yearly'!BD89</f>
        <v>0.59656535310933601</v>
      </c>
      <c r="BE6" s="43">
        <f>'Scope 3 Yearly'!BE89</f>
        <v>0.55573813524610127</v>
      </c>
      <c r="BF6" s="43">
        <f>'Scope 3 Yearly'!BF89</f>
        <v>0.51897390419340028</v>
      </c>
      <c r="BG6" s="43">
        <f>'Scope 3 Yearly'!BG89</f>
        <v>0.48591628684065236</v>
      </c>
      <c r="BH6" s="43">
        <f>'Scope 3 Yearly'!BH89</f>
        <v>0.45598483905971909</v>
      </c>
      <c r="BI6" s="43">
        <f>'Scope 3 Yearly'!BI89</f>
        <v>0.4285545926114086</v>
      </c>
      <c r="BJ6" s="43">
        <f>'Scope 3 Yearly'!BJ89</f>
        <v>0.40304335558265575</v>
      </c>
      <c r="BK6" s="43">
        <f>'Scope 3 Yearly'!BK89</f>
        <v>0.37907669334474214</v>
      </c>
      <c r="BL6" s="43">
        <f>'Scope 3 Yearly'!BL89</f>
        <v>0.35604802845292566</v>
      </c>
      <c r="BM6" s="43">
        <f>'Scope 3 Yearly'!BM89</f>
        <v>0.33350398865089875</v>
      </c>
      <c r="BN6" s="43">
        <f>'Scope 3 Yearly'!BN89</f>
        <v>0.31112850761014355</v>
      </c>
      <c r="BO6" s="43"/>
      <c r="BP6" s="43">
        <f>'Scope 3 Yearly'!BP89</f>
        <v>0.95500964634628061</v>
      </c>
      <c r="BQ6" s="43">
        <f>'Scope 3 Yearly'!BQ89</f>
        <v>0.96659886462602651</v>
      </c>
      <c r="BR6" s="43">
        <f>'Scope 3 Yearly'!BR89</f>
        <v>0.97808028741683661</v>
      </c>
      <c r="BS6" s="43">
        <f>'Scope 3 Yearly'!BS89</f>
        <v>0.9894503285506262</v>
      </c>
      <c r="BT6" s="43">
        <f>'Scope 3 Yearly'!BT89</f>
        <v>1.0007046896005618</v>
      </c>
      <c r="BU6" s="43">
        <f>'Scope 3 Yearly'!BU89</f>
        <v>1.0118382999855642</v>
      </c>
      <c r="BV6" s="43">
        <f>'Scope 3 Yearly'!BV89</f>
        <v>1.0229586968969255</v>
      </c>
      <c r="BW6" s="43">
        <f>'Scope 3 Yearly'!BW89</f>
        <v>1.0340647180169054</v>
      </c>
      <c r="BX6" s="43">
        <f>'Scope 3 Yearly'!BX89</f>
        <v>1.0451551933307393</v>
      </c>
      <c r="BY6" s="43">
        <f>'Scope 3 Yearly'!BY89</f>
        <v>1.0562289422703597</v>
      </c>
      <c r="BZ6" s="43">
        <f>'Scope 3 Yearly'!BZ89</f>
        <v>1.0672847708546638</v>
      </c>
      <c r="CA6" s="43">
        <f>'Scope 3 Yearly'!CA89</f>
        <v>1.0782402969528435</v>
      </c>
      <c r="CB6" s="43">
        <f>'Scope 3 Yearly'!CB89</f>
        <v>1.089090006382188</v>
      </c>
      <c r="CC6" s="43">
        <f>'Scope 3 Yearly'!CC89</f>
        <v>1.0998277764089219</v>
      </c>
      <c r="CD6" s="43">
        <f>'Scope 3 Yearly'!CD89</f>
        <v>1.110446815399369</v>
      </c>
      <c r="CE6" s="43">
        <f>'Scope 3 Yearly'!CE89</f>
        <v>1.120939595637358</v>
      </c>
      <c r="CF6" s="43">
        <f>'Scope 3 Yearly'!CF89</f>
        <v>1.131411266971744</v>
      </c>
      <c r="CG6" s="43">
        <f>'Scope 3 Yearly'!CG89</f>
        <v>1.1418612366882477</v>
      </c>
      <c r="CH6" s="43">
        <f>'Scope 3 Yearly'!CH89</f>
        <v>1.1522888986531585</v>
      </c>
      <c r="CI6" s="43">
        <f>'Scope 3 Yearly'!CI89</f>
        <v>1.1626936328887196</v>
      </c>
      <c r="CJ6" s="43">
        <f>'Scope 3 Yearly'!CJ89</f>
        <v>1.1730748051362814</v>
      </c>
      <c r="CK6" s="43">
        <f>'Scope 3 Yearly'!CK89</f>
        <v>1.1834325418113787</v>
      </c>
      <c r="CL6" s="43">
        <f>'Scope 3 Yearly'!CL89</f>
        <v>1.1937662312485047</v>
      </c>
      <c r="CM6" s="43">
        <f>'Scope 3 Yearly'!CM89</f>
        <v>1.2040752478773378</v>
      </c>
      <c r="CN6" s="43">
        <f>'Scope 3 Yearly'!CN89</f>
        <v>1.214358951810327</v>
      </c>
      <c r="CO6" s="43">
        <f>'Scope 3 Yearly'!CO89</f>
        <v>1.2246166884185627</v>
      </c>
      <c r="CP6" s="43">
        <f>'Scope 3 Yearly'!CP89</f>
        <v>1.2348485292276683</v>
      </c>
      <c r="CQ6" s="43">
        <f>'Scope 3 Yearly'!CQ89</f>
        <v>1.2450538374948112</v>
      </c>
      <c r="CR6" s="43">
        <f>'Scope 3 Yearly'!CR89</f>
        <v>1.2552319620401042</v>
      </c>
      <c r="CS6" s="43">
        <f>'Scope 3 Yearly'!CS89</f>
        <v>1.2653822368405367</v>
      </c>
      <c r="CT6" s="43">
        <f>'Scope 3 Yearly'!CT89</f>
        <v>1.2755039806125876</v>
      </c>
      <c r="CV6" s="43">
        <f>'Scope 3 Yearly'!CV89</f>
        <v>0.95500135462922764</v>
      </c>
      <c r="CW6" s="43">
        <f>'Scope 3 Yearly'!CW89</f>
        <v>0.95161000235686455</v>
      </c>
      <c r="CX6" s="43">
        <f>'Scope 3 Yearly'!CX89</f>
        <v>0.94829388145884363</v>
      </c>
      <c r="CY6" s="43">
        <f>'Scope 3 Yearly'!CY89</f>
        <v>0.94504202843321838</v>
      </c>
      <c r="CZ6" s="43">
        <f>'Scope 3 Yearly'!CZ89</f>
        <v>0.94183515709823129</v>
      </c>
      <c r="DA6" s="43">
        <f>'Scope 3 Yearly'!DA89</f>
        <v>0.93863792953938308</v>
      </c>
      <c r="DB6" s="43">
        <f>'Scope 3 Yearly'!DB89</f>
        <v>0.9353846902932168</v>
      </c>
      <c r="DC6" s="43">
        <f>'Scope 3 Yearly'!DC89</f>
        <v>0.93195417031675731</v>
      </c>
      <c r="DD6" s="43">
        <f>'Scope 3 Yearly'!DD89</f>
        <v>0.92812723055506741</v>
      </c>
      <c r="DE6" s="43">
        <f>'Scope 3 Yearly'!DE89</f>
        <v>0.92352250607885433</v>
      </c>
      <c r="DF6" s="43">
        <f>'Scope 3 Yearly'!DF89</f>
        <v>0.91751406635192767</v>
      </c>
      <c r="DG6" s="43">
        <f>'Scope 3 Yearly'!DG89</f>
        <v>0.90577713976462015</v>
      </c>
      <c r="DH6" s="43">
        <f>'Scope 3 Yearly'!DH89</f>
        <v>0.89030381894197275</v>
      </c>
      <c r="DI6" s="43">
        <f>'Scope 3 Yearly'!DI89</f>
        <v>0.86969462627874972</v>
      </c>
      <c r="DJ6" s="43">
        <f>'Scope 3 Yearly'!DJ89</f>
        <v>0.84277532952304424</v>
      </c>
      <c r="DK6" s="43">
        <f>'Scope 3 Yearly'!DK89</f>
        <v>0.80915576280192414</v>
      </c>
      <c r="DL6" s="43">
        <f>'Scope 3 Yearly'!DL89</f>
        <v>0.76963483678173905</v>
      </c>
      <c r="DM6" s="43">
        <f>'Scope 3 Yearly'!DM89</f>
        <v>0.72616980295434641</v>
      </c>
      <c r="DN6" s="43">
        <f>'Scope 3 Yearly'!DN89</f>
        <v>0.68133003796300329</v>
      </c>
      <c r="DO6" s="43">
        <f>'Scope 3 Yearly'!DO89</f>
        <v>0.63754845391339499</v>
      </c>
      <c r="DP6" s="43">
        <f>'Scope 3 Yearly'!DP89</f>
        <v>0.59656844479739524</v>
      </c>
      <c r="DQ6" s="43">
        <f>'Scope 3 Yearly'!DQ89</f>
        <v>0.55573930850633591</v>
      </c>
      <c r="DR6" s="43">
        <f>'Scope 3 Yearly'!DR89</f>
        <v>0.51897190678660055</v>
      </c>
      <c r="DS6" s="43">
        <f>'Scope 3 Yearly'!DS89</f>
        <v>0.48590271591933809</v>
      </c>
      <c r="DT6" s="43">
        <f>'Scope 3 Yearly'!DT89</f>
        <v>0.45595637538091188</v>
      </c>
      <c r="DU6" s="43">
        <f>'Scope 3 Yearly'!DU89</f>
        <v>0.4285074607054683</v>
      </c>
      <c r="DV6" s="43">
        <f>'Scope 3 Yearly'!DV89</f>
        <v>0.40297333311246553</v>
      </c>
      <c r="DW6" s="43">
        <f>'Scope 3 Yearly'!DW89</f>
        <v>0.37897941940574453</v>
      </c>
      <c r="DX6" s="43">
        <f>'Scope 3 Yearly'!DX89</f>
        <v>0.35591823500562747</v>
      </c>
      <c r="DY6" s="43">
        <f>'Scope 3 Yearly'!DY89</f>
        <v>0.33333546043352291</v>
      </c>
      <c r="DZ6" s="43">
        <f>'Scope 3 Yearly'!DZ89</f>
        <v>0.310914162576438</v>
      </c>
    </row>
    <row r="7" spans="1:165">
      <c r="A7" t="s">
        <v>7</v>
      </c>
      <c r="C7" s="54" t="s">
        <v>413</v>
      </c>
      <c r="D7" s="43">
        <f>'Scope 3 Yearly'!D112</f>
        <v>1.0242296100586308</v>
      </c>
      <c r="E7" s="43">
        <f>'Scope 3 Yearly'!E112</f>
        <v>1.023553184178029</v>
      </c>
      <c r="F7" s="43">
        <f>'Scope 3 Yearly'!F112</f>
        <v>1.0220729502886692</v>
      </c>
      <c r="G7" s="43">
        <f>'Scope 3 Yearly'!G112</f>
        <v>1.02059075474547</v>
      </c>
      <c r="H7" s="43">
        <f>'Scope 3 Yearly'!H112</f>
        <v>1.0190923075065772</v>
      </c>
      <c r="I7" s="43">
        <f>'Scope 3 Yearly'!I112</f>
        <v>1.0175558888232386</v>
      </c>
      <c r="J7" s="43">
        <f>'Scope 3 Yearly'!J112</f>
        <v>1.015944205490106</v>
      </c>
      <c r="K7" s="43">
        <f>'Scope 3 Yearly'!K112</f>
        <v>1.0141882160524671</v>
      </c>
      <c r="L7" s="43">
        <f>'Scope 3 Yearly'!L112</f>
        <v>1.0121570372200828</v>
      </c>
      <c r="M7" s="43">
        <f>'Scope 3 Yearly'!M112</f>
        <v>1.00960621818681</v>
      </c>
      <c r="N7" s="43">
        <f>'Scope 3 Yearly'!N112</f>
        <v>1.0061015385490044</v>
      </c>
      <c r="O7" s="43">
        <f>'Scope 3 Yearly'!O112</f>
        <v>0.99693769250149855</v>
      </c>
      <c r="P7" s="43">
        <f>'Scope 3 Yearly'!P112</f>
        <v>0.98477263668397419</v>
      </c>
      <c r="Q7" s="43">
        <f>'Scope 3 Yearly'!Q112</f>
        <v>0.96823642926700515</v>
      </c>
      <c r="R7" s="43">
        <f>'Scope 3 Yearly'!R112</f>
        <v>0.94591113760896284</v>
      </c>
      <c r="S7" s="43">
        <f>'Scope 3 Yearly'!S112</f>
        <v>0.91680909402980726</v>
      </c>
      <c r="T7" s="43">
        <f>'Scope 3 Yearly'!T112</f>
        <v>0.88085454538549701</v>
      </c>
      <c r="U7" s="43">
        <f>'Scope 3 Yearly'!U112</f>
        <v>0.83908790701308567</v>
      </c>
      <c r="V7" s="43">
        <f>'Scope 3 Yearly'!V112</f>
        <v>0.79339527287546141</v>
      </c>
      <c r="W7" s="43">
        <f>'Scope 3 Yearly'!W112</f>
        <v>0.74592686109119022</v>
      </c>
      <c r="X7" s="43">
        <f>'Scope 3 Yearly'!X112</f>
        <v>0.69853696800808895</v>
      </c>
      <c r="Y7" s="43">
        <f>'Scope 3 Yearly'!Y112</f>
        <v>0.64745053619009796</v>
      </c>
      <c r="Z7" s="43">
        <f>'Scope 3 Yearly'!Z112</f>
        <v>0.59953470299789957</v>
      </c>
      <c r="AA7" s="43">
        <f>'Scope 3 Yearly'!AA112</f>
        <v>0.55406106799889276</v>
      </c>
      <c r="AB7" s="43">
        <f>'Scope 3 Yearly'!AB112</f>
        <v>0.51071980089774094</v>
      </c>
      <c r="AC7" s="43">
        <f>'Scope 3 Yearly'!AC112</f>
        <v>0.46916159980200545</v>
      </c>
      <c r="AD7" s="43">
        <f>'Scope 3 Yearly'!AD112</f>
        <v>0.4290067400797033</v>
      </c>
      <c r="AE7" s="43">
        <f>'Scope 3 Yearly'!AE112</f>
        <v>0.38988714358529908</v>
      </c>
      <c r="AF7" s="43">
        <f>'Scope 3 Yearly'!AF112</f>
        <v>0.35145488466069574</v>
      </c>
      <c r="AG7" s="43">
        <f>'Scope 3 Yearly'!AG112</f>
        <v>0.31338153988424694</v>
      </c>
      <c r="AH7" s="43">
        <f>'Scope 3 Yearly'!AH112</f>
        <v>0.27537074525767918</v>
      </c>
      <c r="AI7" s="43"/>
      <c r="AJ7" s="43">
        <f>'Scope 3 Yearly'!AJ112</f>
        <v>1.0242292391497747</v>
      </c>
      <c r="AK7" s="43">
        <f>'Scope 3 Yearly'!AK112</f>
        <v>1.023552422103843</v>
      </c>
      <c r="AL7" s="43">
        <f>'Scope 3 Yearly'!AL112</f>
        <v>1.0220714264300073</v>
      </c>
      <c r="AM7" s="43">
        <f>'Scope 3 Yearly'!AM112</f>
        <v>1.0205877367141993</v>
      </c>
      <c r="AN7" s="43">
        <f>'Scope 3 Yearly'!AN112</f>
        <v>1.0190863927744929</v>
      </c>
      <c r="AO7" s="43">
        <f>'Scope 3 Yearly'!AO112</f>
        <v>1.017544434585073</v>
      </c>
      <c r="AP7" s="43">
        <f>'Scope 3 Yearly'!AP112</f>
        <v>1.0159223310086665</v>
      </c>
      <c r="AQ7" s="43">
        <f>'Scope 3 Yearly'!AQ112</f>
        <v>1.0141471351147546</v>
      </c>
      <c r="AR7" s="43">
        <f>'Scope 3 Yearly'!AR112</f>
        <v>1.0120814457972258</v>
      </c>
      <c r="AS7" s="43">
        <f>'Scope 3 Yearly'!AS112</f>
        <v>1.0094705738246856</v>
      </c>
      <c r="AT7" s="43">
        <f>'Scope 3 Yearly'!AT112</f>
        <v>1.0058644772336118</v>
      </c>
      <c r="AU7" s="43">
        <f>'Scope 3 Yearly'!AU112</f>
        <v>0.99655708705672752</v>
      </c>
      <c r="AV7" s="43">
        <f>'Scope 3 Yearly'!AV112</f>
        <v>0.98418452682974622</v>
      </c>
      <c r="AW7" s="43">
        <f>'Scope 3 Yearly'!AW112</f>
        <v>0.96737011810620066</v>
      </c>
      <c r="AX7" s="43">
        <f>'Scope 3 Yearly'!AX112</f>
        <v>0.94469851539150096</v>
      </c>
      <c r="AY7" s="43">
        <f>'Scope 3 Yearly'!AY112</f>
        <v>0.91519677697514212</v>
      </c>
      <c r="AZ7" s="43">
        <f>'Scope 3 Yearly'!AZ112</f>
        <v>0.87881726379483682</v>
      </c>
      <c r="BA7" s="43">
        <f>'Scope 3 Yearly'!BA112</f>
        <v>0.8366367204991072</v>
      </c>
      <c r="BB7" s="43">
        <f>'Scope 3 Yearly'!BB112</f>
        <v>0.79058293964534476</v>
      </c>
      <c r="BC7" s="43">
        <f>'Scope 3 Yearly'!BC112</f>
        <v>0.74284579156831554</v>
      </c>
      <c r="BD7" s="43">
        <f>'Scope 3 Yearly'!BD112</f>
        <v>0.69530861872629512</v>
      </c>
      <c r="BE7" s="43">
        <f>'Scope 3 Yearly'!BE112</f>
        <v>0.64441231546874</v>
      </c>
      <c r="BF7" s="43">
        <f>'Scope 3 Yearly'!BF112</f>
        <v>0.5964329974307595</v>
      </c>
      <c r="BG7" s="43">
        <f>'Scope 3 Yearly'!BG112</f>
        <v>0.55098787422914131</v>
      </c>
      <c r="BH7" s="43">
        <f>'Scope 3 Yearly'!BH112</f>
        <v>0.50780000130341907</v>
      </c>
      <c r="BI7" s="43">
        <f>'Scope 3 Yearly'!BI112</f>
        <v>0.46651283276934619</v>
      </c>
      <c r="BJ7" s="43">
        <f>'Scope 3 Yearly'!BJ112</f>
        <v>0.42674178785031769</v>
      </c>
      <c r="BK7" s="43">
        <f>'Scope 3 Yearly'!BK112</f>
        <v>0.38812412346444636</v>
      </c>
      <c r="BL7" s="43">
        <f>'Scope 3 Yearly'!BL112</f>
        <v>0.35033463007691545</v>
      </c>
      <c r="BM7" s="43">
        <f>'Scope 3 Yearly'!BM112</f>
        <v>0.31308742176668841</v>
      </c>
      <c r="BN7" s="43">
        <f>'Scope 3 Yearly'!BN112</f>
        <v>0.27614099758063648</v>
      </c>
      <c r="BO7" s="43"/>
      <c r="BP7" s="43">
        <f>'Scope 3 Yearly'!BP112</f>
        <v>1.0242287414357147</v>
      </c>
      <c r="BQ7" s="43">
        <f>'Scope 3 Yearly'!BQ112</f>
        <v>1.0367894740985055</v>
      </c>
      <c r="BR7" s="43">
        <f>'Scope 3 Yearly'!BR112</f>
        <v>1.0492351774033923</v>
      </c>
      <c r="BS7" s="43">
        <f>'Scope 3 Yearly'!BS112</f>
        <v>1.0615625701361142</v>
      </c>
      <c r="BT7" s="43">
        <f>'Scope 3 Yearly'!BT112</f>
        <v>1.0737676005067862</v>
      </c>
      <c r="BU7" s="43">
        <f>'Scope 3 Yearly'!BU112</f>
        <v>1.0858453896055433</v>
      </c>
      <c r="BV7" s="43">
        <f>'Scope 3 Yearly'!BV112</f>
        <v>1.0979087613315364</v>
      </c>
      <c r="BW7" s="43">
        <f>'Scope 3 Yearly'!BW112</f>
        <v>1.1099565744178548</v>
      </c>
      <c r="BX7" s="43">
        <f>'Scope 3 Yearly'!BX112</f>
        <v>1.1219876781823543</v>
      </c>
      <c r="BY7" s="43">
        <f>'Scope 3 Yearly'!BY112</f>
        <v>1.134000909713194</v>
      </c>
      <c r="BZ7" s="43">
        <f>'Scope 3 Yearly'!BZ112</f>
        <v>1.1459950910469576</v>
      </c>
      <c r="CA7" s="43">
        <f>'Scope 3 Yearly'!CA112</f>
        <v>1.1578845249057599</v>
      </c>
      <c r="CB7" s="43">
        <f>'Scope 3 Yearly'!CB112</f>
        <v>1.1696637268874732</v>
      </c>
      <c r="CC7" s="43">
        <f>'Scope 3 Yearly'!CC112</f>
        <v>1.1813265789288967</v>
      </c>
      <c r="CD7" s="43">
        <f>'Scope 3 Yearly'!CD112</f>
        <v>1.1928662689148528</v>
      </c>
      <c r="CE7" s="43">
        <f>'Scope 3 Yearly'!CE112</f>
        <v>1.2042752232136511</v>
      </c>
      <c r="CF7" s="43">
        <f>'Scope 3 Yearly'!CF112</f>
        <v>1.2156627630549517</v>
      </c>
      <c r="CG7" s="43">
        <f>'Scope 3 Yearly'!CG112</f>
        <v>1.227028291657573</v>
      </c>
      <c r="CH7" s="43">
        <f>'Scope 3 Yearly'!CH112</f>
        <v>1.2383711986980193</v>
      </c>
      <c r="CI7" s="43">
        <f>'Scope 3 Yearly'!CI112</f>
        <v>1.2496908598833045</v>
      </c>
      <c r="CJ7" s="43">
        <f>'Scope 3 Yearly'!CJ112</f>
        <v>1.2609866365114673</v>
      </c>
      <c r="CK7" s="43">
        <f>'Scope 3 Yearly'!CK112</f>
        <v>1.2722586770337725</v>
      </c>
      <c r="CL7" s="43">
        <f>'Scope 3 Yearly'!CL112</f>
        <v>1.2835063655503984</v>
      </c>
      <c r="CM7" s="43">
        <f>'Scope 3 Yearly'!CM112</f>
        <v>1.2947290721423941</v>
      </c>
      <c r="CN7" s="43">
        <f>'Scope 3 Yearly'!CN112</f>
        <v>1.3059261524568386</v>
      </c>
      <c r="CO7" s="43">
        <f>'Scope 3 Yearly'!CO112</f>
        <v>1.3170969472802148</v>
      </c>
      <c r="CP7" s="43">
        <f>'Scope 3 Yearly'!CP112</f>
        <v>1.3282415469198408</v>
      </c>
      <c r="CQ7" s="43">
        <f>'Scope 3 Yearly'!CQ112</f>
        <v>1.3393593102485739</v>
      </c>
      <c r="CR7" s="43">
        <f>'Scope 3 Yearly'!CR112</f>
        <v>1.3504495815939397</v>
      </c>
      <c r="CS7" s="43">
        <f>'Scope 3 Yearly'!CS112</f>
        <v>1.3615116903297519</v>
      </c>
      <c r="CT7" s="43">
        <f>'Scope 3 Yearly'!CT112</f>
        <v>1.3725449504563496</v>
      </c>
      <c r="CV7" s="43">
        <f>'Scope 3 Yearly'!CV112</f>
        <v>1.0242292391497747</v>
      </c>
      <c r="CW7" s="43">
        <f>'Scope 3 Yearly'!CW112</f>
        <v>1.023552422103843</v>
      </c>
      <c r="CX7" s="43">
        <f>'Scope 3 Yearly'!CX112</f>
        <v>1.0220714264300073</v>
      </c>
      <c r="CY7" s="43">
        <f>'Scope 3 Yearly'!CY112</f>
        <v>1.0205877367141993</v>
      </c>
      <c r="CZ7" s="43">
        <f>'Scope 3 Yearly'!CZ112</f>
        <v>1.0190863927744929</v>
      </c>
      <c r="DA7" s="43">
        <f>'Scope 3 Yearly'!DA112</f>
        <v>1.0175444345850733</v>
      </c>
      <c r="DB7" s="43">
        <f>'Scope 3 Yearly'!DB112</f>
        <v>1.0159223310086667</v>
      </c>
      <c r="DC7" s="43">
        <f>'Scope 3 Yearly'!DC112</f>
        <v>1.0141471351147546</v>
      </c>
      <c r="DD7" s="43">
        <f>'Scope 3 Yearly'!DD112</f>
        <v>1.0120814457972258</v>
      </c>
      <c r="DE7" s="43">
        <f>'Scope 3 Yearly'!DE112</f>
        <v>1.0094705738246856</v>
      </c>
      <c r="DF7" s="43">
        <f>'Scope 3 Yearly'!DF112</f>
        <v>1.0058644772336118</v>
      </c>
      <c r="DG7" s="43">
        <f>'Scope 3 Yearly'!DG112</f>
        <v>0.99655708705672752</v>
      </c>
      <c r="DH7" s="43">
        <f>'Scope 3 Yearly'!DH112</f>
        <v>0.98418452682974622</v>
      </c>
      <c r="DI7" s="43">
        <f>'Scope 3 Yearly'!DI112</f>
        <v>0.96736969213462842</v>
      </c>
      <c r="DJ7" s="43">
        <f>'Scope 3 Yearly'!DJ112</f>
        <v>0.94469744486074869</v>
      </c>
      <c r="DK7" s="43">
        <f>'Scope 3 Yearly'!DK112</f>
        <v>0.91519491303708123</v>
      </c>
      <c r="DL7" s="43">
        <f>'Scope 3 Yearly'!DL112</f>
        <v>0.87881452157165718</v>
      </c>
      <c r="DM7" s="43">
        <f>'Scope 3 Yearly'!DM112</f>
        <v>0.83663304081477186</v>
      </c>
      <c r="DN7" s="43">
        <f>'Scope 3 Yearly'!DN112</f>
        <v>0.79057822203630301</v>
      </c>
      <c r="DO7" s="43">
        <f>'Scope 3 Yearly'!DO112</f>
        <v>0.74283983316898117</v>
      </c>
      <c r="DP7" s="43">
        <f>'Scope 3 Yearly'!DP112</f>
        <v>0.69530107859782797</v>
      </c>
      <c r="DQ7" s="43">
        <f>'Scope 3 Yearly'!DQ112</f>
        <v>0.64440184720257987</v>
      </c>
      <c r="DR7" s="43">
        <f>'Scope 3 Yearly'!DR112</f>
        <v>0.59641944906458089</v>
      </c>
      <c r="DS7" s="43">
        <f>'Scope 3 Yearly'!DS112</f>
        <v>0.55096116539996465</v>
      </c>
      <c r="DT7" s="43">
        <f>'Scope 3 Yearly'!DT112</f>
        <v>0.50775821191800774</v>
      </c>
      <c r="DU7" s="43">
        <f>'Scope 3 Yearly'!DU112</f>
        <v>0.46645376179498321</v>
      </c>
      <c r="DV7" s="43">
        <f>'Scope 3 Yearly'!DV112</f>
        <v>0.42666295037287283</v>
      </c>
      <c r="DW7" s="43">
        <f>'Scope 3 Yearly'!DW112</f>
        <v>0.38802271924020748</v>
      </c>
      <c r="DX7" s="43">
        <f>'Scope 3 Yearly'!DX112</f>
        <v>0.3502074720225592</v>
      </c>
      <c r="DY7" s="43">
        <f>'Scope 3 Yearly'!DY112</f>
        <v>0.31293083818363776</v>
      </c>
      <c r="DZ7" s="43">
        <f>'Scope 3 Yearly'!DZ112</f>
        <v>0.27595075641023215</v>
      </c>
    </row>
    <row r="8" spans="1:165">
      <c r="A8" t="s">
        <v>8</v>
      </c>
      <c r="C8" s="54" t="s">
        <v>413</v>
      </c>
      <c r="D8" s="43">
        <f>'Scope 3 Yearly'!D135</f>
        <v>0.95981060169486876</v>
      </c>
      <c r="E8" s="43">
        <f>'Scope 3 Yearly'!E135</f>
        <v>0.95943587728376734</v>
      </c>
      <c r="F8" s="43">
        <f>'Scope 3 Yearly'!F135</f>
        <v>0.95849926219149895</v>
      </c>
      <c r="G8" s="43">
        <f>'Scope 3 Yearly'!G135</f>
        <v>0.95770432642867087</v>
      </c>
      <c r="H8" s="43">
        <f>'Scope 3 Yearly'!H135</f>
        <v>0.95703464702112684</v>
      </c>
      <c r="I8" s="43">
        <f>'Scope 3 Yearly'!I135</f>
        <v>0.95646633209642595</v>
      </c>
      <c r="J8" s="43">
        <f>'Scope 3 Yearly'!J135</f>
        <v>0.95595988035233637</v>
      </c>
      <c r="K8" s="43">
        <f>'Scope 3 Yearly'!K135</f>
        <v>0.95544400245484318</v>
      </c>
      <c r="L8" s="43">
        <f>'Scope 3 Yearly'!L135</f>
        <v>0.95478548088085058</v>
      </c>
      <c r="M8" s="43">
        <f>'Scope 3 Yearly'!M135</f>
        <v>0.95373730741230744</v>
      </c>
      <c r="N8" s="43">
        <f>'Scope 3 Yearly'!N135</f>
        <v>0.9518623619154809</v>
      </c>
      <c r="O8" s="43">
        <f>'Scope 3 Yearly'!O135</f>
        <v>0.94474476316958811</v>
      </c>
      <c r="P8" s="43">
        <f>'Scope 3 Yearly'!P135</f>
        <v>0.93472578792513028</v>
      </c>
      <c r="Q8" s="43">
        <f>'Scope 3 Yearly'!Q135</f>
        <v>0.92042130718824067</v>
      </c>
      <c r="R8" s="43">
        <f>'Scope 3 Yearly'!R135</f>
        <v>0.90039672634111168</v>
      </c>
      <c r="S8" s="43">
        <f>'Scope 3 Yearly'!S135</f>
        <v>0.87364650743160377</v>
      </c>
      <c r="T8" s="43">
        <f>'Scope 3 Yearly'!T135</f>
        <v>0.84007937940971944</v>
      </c>
      <c r="U8" s="43">
        <f>'Scope 3 Yearly'!U135</f>
        <v>0.80072675882791999</v>
      </c>
      <c r="V8" s="43">
        <f>'Scope 3 Yearly'!V135</f>
        <v>0.75747307213807735</v>
      </c>
      <c r="W8" s="43">
        <f>'Scope 3 Yearly'!W135</f>
        <v>0.71247245510631263</v>
      </c>
      <c r="X8" s="43">
        <f>'Scope 3 Yearly'!X135</f>
        <v>0.66758526115542804</v>
      </c>
      <c r="Y8" s="43">
        <f>'Scope 3 Yearly'!Y135</f>
        <v>0.61925423832270199</v>
      </c>
      <c r="Z8" s="43">
        <f>'Scope 3 Yearly'!Z135</f>
        <v>0.57420145602576822</v>
      </c>
      <c r="AA8" s="43">
        <f>'Scope 3 Yearly'!AA135</f>
        <v>0.53159976178127544</v>
      </c>
      <c r="AB8" s="43">
        <f>'Scope 3 Yearly'!AB135</f>
        <v>0.49111845964068457</v>
      </c>
      <c r="AC8" s="43">
        <f>'Scope 3 Yearly'!AC135</f>
        <v>0.45239559464564105</v>
      </c>
      <c r="AD8" s="43">
        <f>'Scope 3 Yearly'!AD135</f>
        <v>0.41503771421915558</v>
      </c>
      <c r="AE8" s="43">
        <f>'Scope 3 Yearly'!AE135</f>
        <v>0.37866110623409016</v>
      </c>
      <c r="AF8" s="43">
        <f>'Scope 3 Yearly'!AF135</f>
        <v>0.34289894413082522</v>
      </c>
      <c r="AG8" s="43">
        <f>'Scope 3 Yearly'!AG135</f>
        <v>0.3073995594913656</v>
      </c>
      <c r="AH8" s="43">
        <f>'Scope 3 Yearly'!AH135</f>
        <v>0.27183948395873497</v>
      </c>
      <c r="AI8" s="43"/>
      <c r="AJ8" s="43">
        <f>'Scope 3 Yearly'!AJ135</f>
        <v>0.95981021058607219</v>
      </c>
      <c r="AK8" s="43">
        <f>'Scope 3 Yearly'!AK135</f>
        <v>0.95943507221625501</v>
      </c>
      <c r="AL8" s="43">
        <f>'Scope 3 Yearly'!AL135</f>
        <v>0.95849764922971759</v>
      </c>
      <c r="AM8" s="43">
        <f>'Scope 3 Yearly'!AM135</f>
        <v>0.95770112535569063</v>
      </c>
      <c r="AN8" s="43">
        <f>'Scope 3 Yearly'!AN135</f>
        <v>0.95702835981469492</v>
      </c>
      <c r="AO8" s="43">
        <f>'Scope 3 Yearly'!AO135</f>
        <v>0.95645412786385664</v>
      </c>
      <c r="AP8" s="43">
        <f>'Scope 3 Yearly'!AP135</f>
        <v>0.95593651406935276</v>
      </c>
      <c r="AQ8" s="43">
        <f>'Scope 3 Yearly'!AQ135</f>
        <v>0.95539999726183</v>
      </c>
      <c r="AR8" s="43">
        <f>'Scope 3 Yearly'!AR135</f>
        <v>0.95470425904606726</v>
      </c>
      <c r="AS8" s="43">
        <f>'Scope 3 Yearly'!AS135</f>
        <v>0.95359106088819634</v>
      </c>
      <c r="AT8" s="43">
        <f>'Scope 3 Yearly'!AT135</f>
        <v>0.95160579957747049</v>
      </c>
      <c r="AU8" s="43">
        <f>'Scope 3 Yearly'!AU135</f>
        <v>0.9443311213047717</v>
      </c>
      <c r="AV8" s="43">
        <f>'Scope 3 Yearly'!AV135</f>
        <v>0.93408374128093341</v>
      </c>
      <c r="AW8" s="43">
        <f>'Scope 3 Yearly'!AW135</f>
        <v>0.91947113733644614</v>
      </c>
      <c r="AX8" s="43">
        <f>'Scope 3 Yearly'!AX135</f>
        <v>0.89906078863958827</v>
      </c>
      <c r="AY8" s="43">
        <f>'Scope 3 Yearly'!AY135</f>
        <v>0.87186343971117841</v>
      </c>
      <c r="AZ8" s="43">
        <f>'Scope 3 Yearly'!AZ135</f>
        <v>0.83782003906167379</v>
      </c>
      <c r="BA8" s="43">
        <f>'Scope 3 Yearly'!BA135</f>
        <v>0.79800394740345082</v>
      </c>
      <c r="BB8" s="43">
        <f>'Scope 3 Yearly'!BB135</f>
        <v>0.75434699577448927</v>
      </c>
      <c r="BC8" s="43">
        <f>'Scope 3 Yearly'!BC135</f>
        <v>0.7090472047897074</v>
      </c>
      <c r="BD8" s="43">
        <f>'Scope 3 Yearly'!BD135</f>
        <v>0.66399596704577646</v>
      </c>
      <c r="BE8" s="43">
        <f>'Scope 3 Yearly'!BE135</f>
        <v>0.61587470708331427</v>
      </c>
      <c r="BF8" s="43">
        <f>'Scope 3 Yearly'!BF135</f>
        <v>0.57074699537429674</v>
      </c>
      <c r="BG8" s="43">
        <f>'Scope 3 Yearly'!BG135</f>
        <v>0.52816884566692457</v>
      </c>
      <c r="BH8" s="43">
        <f>'Scope 3 Yearly'!BH135</f>
        <v>0.48784553252514867</v>
      </c>
      <c r="BI8" s="43">
        <f>'Scope 3 Yearly'!BI135</f>
        <v>0.44940666362168569</v>
      </c>
      <c r="BJ8" s="43">
        <f>'Scope 3 Yearly'!BJ135</f>
        <v>0.41245293074685818</v>
      </c>
      <c r="BK8" s="43">
        <f>'Scope 3 Yearly'!BK135</f>
        <v>0.37660573411590859</v>
      </c>
      <c r="BL8" s="43">
        <f>'Scope 3 Yearly'!BL135</f>
        <v>0.34152219155450114</v>
      </c>
      <c r="BM8" s="43">
        <f>'Scope 3 Yearly'!BM135</f>
        <v>0.3068963263467987</v>
      </c>
      <c r="BN8" s="43">
        <f>'Scope 3 Yearly'!BN135</f>
        <v>0.27246438257246214</v>
      </c>
      <c r="BO8" s="43"/>
      <c r="BP8" s="43">
        <f>'Scope 3 Yearly'!BP135</f>
        <v>0.95980968576617665</v>
      </c>
      <c r="BQ8" s="43">
        <f>'Scope 3 Yearly'!BQ135</f>
        <v>0.971437309531195</v>
      </c>
      <c r="BR8" s="43">
        <f>'Scope 3 Yearly'!BR135</f>
        <v>0.98296493693968956</v>
      </c>
      <c r="BS8" s="43">
        <f>'Scope 3 Yearly'!BS135</f>
        <v>0.99438925060919536</v>
      </c>
      <c r="BT8" s="43">
        <f>'Scope 3 Yearly'!BT135</f>
        <v>1.0057062722515469</v>
      </c>
      <c r="BU8" s="43">
        <f>'Scope 3 Yearly'!BU135</f>
        <v>1.0169113072368201</v>
      </c>
      <c r="BV8" s="43">
        <f>'Scope 3 Yearly'!BV135</f>
        <v>1.0281040793399003</v>
      </c>
      <c r="BW8" s="43">
        <f>'Scope 3 Yearly'!BW135</f>
        <v>1.0392835120304622</v>
      </c>
      <c r="BX8" s="43">
        <f>'Scope 3 Yearly'!BX135</f>
        <v>1.050448521617513</v>
      </c>
      <c r="BY8" s="43">
        <f>'Scope 3 Yearly'!BY135</f>
        <v>1.0615980146037598</v>
      </c>
      <c r="BZ8" s="43">
        <f>'Scope 3 Yearly'!BZ135</f>
        <v>1.0727308850367068</v>
      </c>
      <c r="CA8" s="43">
        <f>'Scope 3 Yearly'!CA135</f>
        <v>1.0837707490465356</v>
      </c>
      <c r="CB8" s="43">
        <f>'Scope 3 Yearly'!CB135</f>
        <v>1.094712498239429</v>
      </c>
      <c r="CC8" s="43">
        <f>'Scope 3 Yearly'!CC135</f>
        <v>1.105550459968627</v>
      </c>
      <c r="CD8" s="43">
        <f>'Scope 3 Yearly'!CD135</f>
        <v>1.1162783414203759</v>
      </c>
      <c r="CE8" s="43">
        <f>'Scope 3 Yearly'!CE135</f>
        <v>1.1268891673642876</v>
      </c>
      <c r="CF8" s="43">
        <f>'Scope 3 Yearly'!CF135</f>
        <v>1.1374804306411701</v>
      </c>
      <c r="CG8" s="43">
        <f>'Scope 3 Yearly'!CG135</f>
        <v>1.1480515820304296</v>
      </c>
      <c r="CH8" s="43">
        <f>'Scope 3 Yearly'!CH135</f>
        <v>1.1586020598762414</v>
      </c>
      <c r="CI8" s="43">
        <f>'Scope 3 Yearly'!CI135</f>
        <v>1.1691312896940969</v>
      </c>
      <c r="CJ8" s="43">
        <f>'Scope 3 Yearly'!CJ135</f>
        <v>1.1796386837660195</v>
      </c>
      <c r="CK8" s="43">
        <f>'Scope 3 Yearly'!CK135</f>
        <v>1.1901243595927782</v>
      </c>
      <c r="CL8" s="43">
        <f>'Scope 3 Yearly'!CL135</f>
        <v>1.2005877503925646</v>
      </c>
      <c r="CM8" s="43">
        <f>'Scope 3 Yearly'!CM135</f>
        <v>1.2110282764987756</v>
      </c>
      <c r="CN8" s="43">
        <f>'Scope 3 Yearly'!CN135</f>
        <v>1.2214453449778688</v>
      </c>
      <c r="CO8" s="43">
        <f>'Scope 3 Yearly'!CO135</f>
        <v>1.2318383492363625</v>
      </c>
      <c r="CP8" s="43">
        <f>'Scope 3 Yearly'!CP135</f>
        <v>1.242207355863802</v>
      </c>
      <c r="CQ8" s="43">
        <f>'Scope 3 Yearly'!CQ135</f>
        <v>1.2525517748416186</v>
      </c>
      <c r="CR8" s="43">
        <f>'Scope 3 Yearly'!CR135</f>
        <v>1.2628710027734296</v>
      </c>
      <c r="CS8" s="43">
        <f>'Scope 3 Yearly'!CS135</f>
        <v>1.2731644225087755</v>
      </c>
      <c r="CT8" s="43">
        <f>'Scope 3 Yearly'!CT135</f>
        <v>1.2834314027563702</v>
      </c>
      <c r="CV8" s="43">
        <f>'Scope 3 Yearly'!CV135</f>
        <v>0.95981021058607219</v>
      </c>
      <c r="CW8" s="43">
        <f>'Scope 3 Yearly'!CW135</f>
        <v>0.95943507221625501</v>
      </c>
      <c r="CX8" s="43">
        <f>'Scope 3 Yearly'!CX135</f>
        <v>0.95849764922971759</v>
      </c>
      <c r="CY8" s="43">
        <f>'Scope 3 Yearly'!CY135</f>
        <v>0.95770112535569063</v>
      </c>
      <c r="CZ8" s="43">
        <f>'Scope 3 Yearly'!CZ135</f>
        <v>0.95702835981469492</v>
      </c>
      <c r="DA8" s="43">
        <f>'Scope 3 Yearly'!DA135</f>
        <v>0.95645412786385675</v>
      </c>
      <c r="DB8" s="43">
        <f>'Scope 3 Yearly'!DB135</f>
        <v>0.95593651406935276</v>
      </c>
      <c r="DC8" s="43">
        <f>'Scope 3 Yearly'!DC135</f>
        <v>0.95539999726183</v>
      </c>
      <c r="DD8" s="43">
        <f>'Scope 3 Yearly'!DD135</f>
        <v>0.95470425904606726</v>
      </c>
      <c r="DE8" s="43">
        <f>'Scope 3 Yearly'!DE135</f>
        <v>0.95359106088819634</v>
      </c>
      <c r="DF8" s="43">
        <f>'Scope 3 Yearly'!DF135</f>
        <v>0.95160579957747049</v>
      </c>
      <c r="DG8" s="43">
        <f>'Scope 3 Yearly'!DG135</f>
        <v>0.9443311213047717</v>
      </c>
      <c r="DH8" s="43">
        <f>'Scope 3 Yearly'!DH135</f>
        <v>0.93408374128093341</v>
      </c>
      <c r="DI8" s="43">
        <f>'Scope 3 Yearly'!DI135</f>
        <v>0.91947091576860351</v>
      </c>
      <c r="DJ8" s="43">
        <f>'Scope 3 Yearly'!DJ135</f>
        <v>0.89906013661134576</v>
      </c>
      <c r="DK8" s="43">
        <f>'Scope 3 Yearly'!DK135</f>
        <v>0.87186221519061635</v>
      </c>
      <c r="DL8" s="43">
        <f>'Scope 3 Yearly'!DL135</f>
        <v>0.83781816083071226</v>
      </c>
      <c r="DM8" s="43">
        <f>'Scope 3 Yearly'!DM135</f>
        <v>0.79800135595360411</v>
      </c>
      <c r="DN8" s="43">
        <f>'Scope 3 Yearly'!DN135</f>
        <v>0.75434358541625657</v>
      </c>
      <c r="DO8" s="43">
        <f>'Scope 3 Yearly'!DO135</f>
        <v>0.70904276146255452</v>
      </c>
      <c r="DP8" s="43">
        <f>'Scope 3 Yearly'!DP135</f>
        <v>0.6639901317475555</v>
      </c>
      <c r="DQ8" s="43">
        <f>'Scope 3 Yearly'!DQ135</f>
        <v>0.61586616596879029</v>
      </c>
      <c r="DR8" s="43">
        <f>'Scope 3 Yearly'!DR135</f>
        <v>0.57073556367777123</v>
      </c>
      <c r="DS8" s="43">
        <f>'Scope 3 Yearly'!DS135</f>
        <v>0.5281450186872102</v>
      </c>
      <c r="DT8" s="43">
        <f>'Scope 3 Yearly'!DT135</f>
        <v>0.48780728083374575</v>
      </c>
      <c r="DU8" s="43">
        <f>'Scope 3 Yearly'!DU135</f>
        <v>0.44935163192189087</v>
      </c>
      <c r="DV8" s="43">
        <f>'Scope 3 Yearly'!DV135</f>
        <v>0.41237843315211131</v>
      </c>
      <c r="DW8" s="43">
        <f>'Scope 3 Yearly'!DW135</f>
        <v>0.37650872093982679</v>
      </c>
      <c r="DX8" s="43">
        <f>'Scope 3 Yearly'!DX135</f>
        <v>0.34139917582523033</v>
      </c>
      <c r="DY8" s="43">
        <f>'Scope 3 Yearly'!DY135</f>
        <v>0.30674328385459515</v>
      </c>
      <c r="DZ8" s="43">
        <f>'Scope 3 Yearly'!DZ135</f>
        <v>0.2722766743238203</v>
      </c>
    </row>
    <row r="9" spans="1:165">
      <c r="A9" t="s">
        <v>9</v>
      </c>
      <c r="C9" s="54" t="s">
        <v>413</v>
      </c>
      <c r="D9" s="43">
        <f>'Scope 3 Yearly'!D158</f>
        <v>0.95658965127668072</v>
      </c>
      <c r="E9" s="43">
        <f>'Scope 3 Yearly'!E158</f>
        <v>0.9562300119390541</v>
      </c>
      <c r="F9" s="43">
        <f>'Scope 3 Yearly'!F158</f>
        <v>0.95532057778664037</v>
      </c>
      <c r="G9" s="43">
        <f>'Scope 3 Yearly'!G158</f>
        <v>0.95456000501283089</v>
      </c>
      <c r="H9" s="43">
        <f>'Scope 3 Yearly'!H158</f>
        <v>0.95393176399685431</v>
      </c>
      <c r="I9" s="43">
        <f>'Scope 3 Yearly'!I158</f>
        <v>0.95341185426008535</v>
      </c>
      <c r="J9" s="43">
        <f>'Scope 3 Yearly'!J158</f>
        <v>0.95296066409544777</v>
      </c>
      <c r="K9" s="43">
        <f>'Scope 3 Yearly'!K158</f>
        <v>0.95250679177496211</v>
      </c>
      <c r="L9" s="43">
        <f>'Scope 3 Yearly'!L158</f>
        <v>0.95191690306388899</v>
      </c>
      <c r="M9" s="43">
        <f>'Scope 3 Yearly'!M158</f>
        <v>0.95094386187358226</v>
      </c>
      <c r="N9" s="43">
        <f>'Scope 3 Yearly'!N158</f>
        <v>0.94915040308380472</v>
      </c>
      <c r="O9" s="43">
        <f>'Scope 3 Yearly'!O158</f>
        <v>0.94213511670299255</v>
      </c>
      <c r="P9" s="43">
        <f>'Scope 3 Yearly'!P158</f>
        <v>0.93222344548718805</v>
      </c>
      <c r="Q9" s="43">
        <f>'Scope 3 Yearly'!Q158</f>
        <v>0.91803055108430243</v>
      </c>
      <c r="R9" s="43">
        <f>'Scope 3 Yearly'!R158</f>
        <v>0.89812100577771914</v>
      </c>
      <c r="S9" s="43">
        <f>'Scope 3 Yearly'!S158</f>
        <v>0.87148837810169355</v>
      </c>
      <c r="T9" s="43">
        <f>'Scope 3 Yearly'!T158</f>
        <v>0.83804062111093058</v>
      </c>
      <c r="U9" s="43">
        <f>'Scope 3 Yearly'!U158</f>
        <v>0.79880870141866178</v>
      </c>
      <c r="V9" s="43">
        <f>'Scope 3 Yearly'!V158</f>
        <v>0.75567696210120838</v>
      </c>
      <c r="W9" s="43">
        <f>'Scope 3 Yearly'!W158</f>
        <v>0.71079973480706893</v>
      </c>
      <c r="X9" s="43">
        <f>'Scope 3 Yearly'!X158</f>
        <v>0.66603767581279527</v>
      </c>
      <c r="Y9" s="43">
        <f>'Scope 3 Yearly'!Y158</f>
        <v>0.61784442342933243</v>
      </c>
      <c r="Z9" s="43">
        <f>'Scope 3 Yearly'!Z158</f>
        <v>0.57293479367716182</v>
      </c>
      <c r="AA9" s="43">
        <f>'Scope 3 Yearly'!AA158</f>
        <v>0.53047669647039486</v>
      </c>
      <c r="AB9" s="43">
        <f>'Scope 3 Yearly'!AB158</f>
        <v>0.49013839257783198</v>
      </c>
      <c r="AC9" s="43">
        <f>'Scope 3 Yearly'!AC158</f>
        <v>0.4515572943878231</v>
      </c>
      <c r="AD9" s="43">
        <f>'Scope 3 Yearly'!AD158</f>
        <v>0.41433926292612844</v>
      </c>
      <c r="AE9" s="43">
        <f>'Scope 3 Yearly'!AE158</f>
        <v>0.37809980436652996</v>
      </c>
      <c r="AF9" s="43">
        <f>'Scope 3 Yearly'!AF158</f>
        <v>0.34247114710433196</v>
      </c>
      <c r="AG9" s="43">
        <f>'Scope 3 Yearly'!AG158</f>
        <v>0.30710046047172174</v>
      </c>
      <c r="AH9" s="43">
        <f>'Scope 3 Yearly'!AH158</f>
        <v>0.2716629208937878</v>
      </c>
      <c r="AI9" s="43"/>
      <c r="AJ9" s="43">
        <f>'Scope 3 Yearly'!AJ158</f>
        <v>0.95658925915788706</v>
      </c>
      <c r="AK9" s="43">
        <f>'Scope 3 Yearly'!AK158</f>
        <v>0.95622920472187556</v>
      </c>
      <c r="AL9" s="43">
        <f>'Scope 3 Yearly'!AL158</f>
        <v>0.9553189603697031</v>
      </c>
      <c r="AM9" s="43">
        <f>'Scope 3 Yearly'!AM158</f>
        <v>0.95455679478776512</v>
      </c>
      <c r="AN9" s="43">
        <f>'Scope 3 Yearly'!AN158</f>
        <v>0.95392545816670504</v>
      </c>
      <c r="AO9" s="43">
        <f>'Scope 3 Yearly'!AO158</f>
        <v>0.95339961252779581</v>
      </c>
      <c r="AP9" s="43">
        <f>'Scope 3 Yearly'!AP158</f>
        <v>0.95293722322238694</v>
      </c>
      <c r="AQ9" s="43">
        <f>'Scope 3 Yearly'!AQ158</f>
        <v>0.95246264036918382</v>
      </c>
      <c r="AR9" s="43">
        <f>'Scope 3 Yearly'!AR158</f>
        <v>0.95183539970850917</v>
      </c>
      <c r="AS9" s="43">
        <f>'Scope 3 Yearly'!AS158</f>
        <v>0.95079708524137185</v>
      </c>
      <c r="AT9" s="43">
        <f>'Scope 3 Yearly'!AT158</f>
        <v>0.94889286569466336</v>
      </c>
      <c r="AU9" s="43">
        <f>'Scope 3 Yearly'!AU158</f>
        <v>0.94171982301717394</v>
      </c>
      <c r="AV9" s="43">
        <f>'Scope 3 Yearly'!AV158</f>
        <v>0.93157870200349269</v>
      </c>
      <c r="AW9" s="43">
        <f>'Scope 3 Yearly'!AW158</f>
        <v>0.91707618829795834</v>
      </c>
      <c r="AX9" s="43">
        <f>'Scope 3 Yearly'!AX158</f>
        <v>0.89677890230199275</v>
      </c>
      <c r="AY9" s="43">
        <f>'Scope 3 Yearly'!AY158</f>
        <v>0.8696967728479803</v>
      </c>
      <c r="AZ9" s="43">
        <f>'Scope 3 Yearly'!AZ158</f>
        <v>0.83577017782501573</v>
      </c>
      <c r="BA9" s="43">
        <f>'Scope 3 Yearly'!BA158</f>
        <v>0.79607230874866808</v>
      </c>
      <c r="BB9" s="43">
        <f>'Scope 3 Yearly'!BB158</f>
        <v>0.75253519858094653</v>
      </c>
      <c r="BC9" s="43">
        <f>'Scope 3 Yearly'!BC158</f>
        <v>0.7073572754507772</v>
      </c>
      <c r="BD9" s="43">
        <f>'Scope 3 Yearly'!BD158</f>
        <v>0.6624303344617507</v>
      </c>
      <c r="BE9" s="43">
        <f>'Scope 3 Yearly'!BE158</f>
        <v>0.61444782666404318</v>
      </c>
      <c r="BF9" s="43">
        <f>'Scope 3 Yearly'!BF158</f>
        <v>0.56946269527147386</v>
      </c>
      <c r="BG9" s="43">
        <f>'Scope 3 Yearly'!BG158</f>
        <v>0.52702789423881402</v>
      </c>
      <c r="BH9" s="43">
        <f>'Scope 3 Yearly'!BH158</f>
        <v>0.48684780908623537</v>
      </c>
      <c r="BI9" s="43">
        <f>'Scope 3 Yearly'!BI158</f>
        <v>0.44855135516430289</v>
      </c>
      <c r="BJ9" s="43">
        <f>'Scope 3 Yearly'!BJ158</f>
        <v>0.41173848789168549</v>
      </c>
      <c r="BK9" s="43">
        <f>'Scope 3 Yearly'!BK158</f>
        <v>0.37602981464848195</v>
      </c>
      <c r="BL9" s="43">
        <f>'Scope 3 Yearly'!BL158</f>
        <v>0.34108156962838065</v>
      </c>
      <c r="BM9" s="43">
        <f>'Scope 3 Yearly'!BM158</f>
        <v>0.30658677157580444</v>
      </c>
      <c r="BN9" s="43">
        <f>'Scope 3 Yearly'!BN158</f>
        <v>0.27228055182205346</v>
      </c>
      <c r="BO9" s="43"/>
      <c r="BP9" s="43">
        <f>'Scope 3 Yearly'!BP158</f>
        <v>0.95658873298269975</v>
      </c>
      <c r="BQ9" s="43">
        <f>'Scope 3 Yearly'!BQ158</f>
        <v>0.96816970130282953</v>
      </c>
      <c r="BR9" s="43">
        <f>'Scope 3 Yearly'!BR158</f>
        <v>0.97965142491650437</v>
      </c>
      <c r="BS9" s="43">
        <f>'Scope 3 Yearly'!BS158</f>
        <v>0.99103058463284932</v>
      </c>
      <c r="BT9" s="43">
        <f>'Scope 3 Yearly'!BT158</f>
        <v>1.0023032058387848</v>
      </c>
      <c r="BU9" s="43">
        <f>'Scope 3 Yearly'!BU158</f>
        <v>1.013464603118384</v>
      </c>
      <c r="BV9" s="43">
        <f>'Scope 3 Yearly'!BV158</f>
        <v>1.0246138452403186</v>
      </c>
      <c r="BW9" s="43">
        <f>'Scope 3 Yearly'!BW158</f>
        <v>1.0357498589110925</v>
      </c>
      <c r="BX9" s="43">
        <f>'Scope 3 Yearly'!BX158</f>
        <v>1.0468715637892707</v>
      </c>
      <c r="BY9" s="43">
        <f>'Scope 3 Yearly'!BY158</f>
        <v>1.0579778698482882</v>
      </c>
      <c r="BZ9" s="43">
        <f>'Scope 3 Yearly'!BZ158</f>
        <v>1.0690676747361942</v>
      </c>
      <c r="CA9" s="43">
        <f>'Scope 3 Yearly'!CA158</f>
        <v>1.0800650602535744</v>
      </c>
      <c r="CB9" s="43">
        <f>'Scope 3 Yearly'!CB158</f>
        <v>1.0909649368070267</v>
      </c>
      <c r="CC9" s="43">
        <f>'Scope 3 Yearly'!CC158</f>
        <v>1.1017616540206134</v>
      </c>
      <c r="CD9" s="43">
        <f>'Scope 3 Yearly'!CD158</f>
        <v>1.1124489450456521</v>
      </c>
      <c r="CE9" s="43">
        <f>'Scope 3 Yearly'!CE158</f>
        <v>1.1230198645718195</v>
      </c>
      <c r="CF9" s="43">
        <f>'Scope 3 Yearly'!CF158</f>
        <v>1.1335713140204811</v>
      </c>
      <c r="CG9" s="43">
        <f>'Scope 3 Yearly'!CG158</f>
        <v>1.1441027465490725</v>
      </c>
      <c r="CH9" s="43">
        <f>'Scope 3 Yearly'!CH158</f>
        <v>1.1546136029351526</v>
      </c>
      <c r="CI9" s="43">
        <f>'Scope 3 Yearly'!CI158</f>
        <v>1.1651033111846365</v>
      </c>
      <c r="CJ9" s="43">
        <f>'Scope 3 Yearly'!CJ158</f>
        <v>1.1755712861287471</v>
      </c>
      <c r="CK9" s="43">
        <f>'Scope 3 Yearly'!CK158</f>
        <v>1.1860176437207284</v>
      </c>
      <c r="CL9" s="43">
        <f>'Scope 3 Yearly'!CL158</f>
        <v>1.1964418196346727</v>
      </c>
      <c r="CM9" s="43">
        <f>'Scope 3 Yearly'!CM158</f>
        <v>1.2068432367165947</v>
      </c>
      <c r="CN9" s="43">
        <f>'Scope 3 Yearly'!CN158</f>
        <v>1.2172213046039202</v>
      </c>
      <c r="CO9" s="43">
        <f>'Scope 3 Yearly'!CO158</f>
        <v>1.2275754193341699</v>
      </c>
      <c r="CP9" s="43">
        <f>'Scope 3 Yearly'!CP158</f>
        <v>1.2379056463110001</v>
      </c>
      <c r="CQ9" s="43">
        <f>'Scope 3 Yearly'!CQ158</f>
        <v>1.2482113980712708</v>
      </c>
      <c r="CR9" s="43">
        <f>'Scope 3 Yearly'!CR158</f>
        <v>1.2584920738324039</v>
      </c>
      <c r="CS9" s="43">
        <f>'Scope 3 Yearly'!CS158</f>
        <v>1.2687470591177266</v>
      </c>
      <c r="CT9" s="43">
        <f>'Scope 3 Yearly'!CT158</f>
        <v>1.2789757253713712</v>
      </c>
      <c r="CV9" s="43">
        <f>'Scope 3 Yearly'!CV158</f>
        <v>0.95658925915788706</v>
      </c>
      <c r="CW9" s="43">
        <f>'Scope 3 Yearly'!CW158</f>
        <v>0.95622920472187556</v>
      </c>
      <c r="CX9" s="43">
        <f>'Scope 3 Yearly'!CX158</f>
        <v>0.9553189603697031</v>
      </c>
      <c r="CY9" s="43">
        <f>'Scope 3 Yearly'!CY158</f>
        <v>0.95455679478776512</v>
      </c>
      <c r="CZ9" s="43">
        <f>'Scope 3 Yearly'!CZ158</f>
        <v>0.95392545816670504</v>
      </c>
      <c r="DA9" s="43">
        <f>'Scope 3 Yearly'!DA158</f>
        <v>0.95339961252779593</v>
      </c>
      <c r="DB9" s="43">
        <f>'Scope 3 Yearly'!DB158</f>
        <v>0.95293722322238705</v>
      </c>
      <c r="DC9" s="43">
        <f>'Scope 3 Yearly'!DC158</f>
        <v>0.95246264036918382</v>
      </c>
      <c r="DD9" s="43">
        <f>'Scope 3 Yearly'!DD158</f>
        <v>0.95183539970850917</v>
      </c>
      <c r="DE9" s="43">
        <f>'Scope 3 Yearly'!DE158</f>
        <v>0.95079708524137185</v>
      </c>
      <c r="DF9" s="43">
        <f>'Scope 3 Yearly'!DF158</f>
        <v>0.94889286569466336</v>
      </c>
      <c r="DG9" s="43">
        <f>'Scope 3 Yearly'!DG158</f>
        <v>0.94171982301717394</v>
      </c>
      <c r="DH9" s="43">
        <f>'Scope 3 Yearly'!DH158</f>
        <v>0.93157870200349269</v>
      </c>
      <c r="DI9" s="43">
        <f>'Scope 3 Yearly'!DI158</f>
        <v>0.91707597695030219</v>
      </c>
      <c r="DJ9" s="43">
        <f>'Scope 3 Yearly'!DJ158</f>
        <v>0.89677827119887565</v>
      </c>
      <c r="DK9" s="43">
        <f>'Scope 3 Yearly'!DK158</f>
        <v>0.86969558029829308</v>
      </c>
      <c r="DL9" s="43">
        <f>'Scope 3 Yearly'!DL158</f>
        <v>0.83576834279366508</v>
      </c>
      <c r="DM9" s="43">
        <f>'Scope 3 Yearly'!DM158</f>
        <v>0.79606977171054583</v>
      </c>
      <c r="DN9" s="43">
        <f>'Scope 3 Yearly'!DN158</f>
        <v>0.75253185358525432</v>
      </c>
      <c r="DO9" s="43">
        <f>'Scope 3 Yearly'!DO158</f>
        <v>0.70735290787723337</v>
      </c>
      <c r="DP9" s="43">
        <f>'Scope 3 Yearly'!DP158</f>
        <v>0.66242458440504215</v>
      </c>
      <c r="DQ9" s="43">
        <f>'Scope 3 Yearly'!DQ158</f>
        <v>0.61443938190710101</v>
      </c>
      <c r="DR9" s="43">
        <f>'Scope 3 Yearly'!DR158</f>
        <v>0.569451369408431</v>
      </c>
      <c r="DS9" s="43">
        <f>'Scope 3 Yearly'!DS158</f>
        <v>0.52700421135157283</v>
      </c>
      <c r="DT9" s="43">
        <f>'Scope 3 Yearly'!DT158</f>
        <v>0.48680973427953295</v>
      </c>
      <c r="DU9" s="43">
        <f>'Scope 3 Yearly'!DU158</f>
        <v>0.44849652542823654</v>
      </c>
      <c r="DV9" s="43">
        <f>'Scope 3 Yearly'!DV158</f>
        <v>0.4116642072910735</v>
      </c>
      <c r="DW9" s="43">
        <f>'Scope 3 Yearly'!DW158</f>
        <v>0.37593302102480802</v>
      </c>
      <c r="DX9" s="43">
        <f>'Scope 3 Yearly'!DX158</f>
        <v>0.34095876101536415</v>
      </c>
      <c r="DY9" s="43">
        <f>'Scope 3 Yearly'!DY158</f>
        <v>0.30643390613814331</v>
      </c>
      <c r="DZ9" s="43">
        <f>'Scope 3 Yearly'!DZ158</f>
        <v>0.27209297021949974</v>
      </c>
    </row>
    <row r="10" spans="1:165">
      <c r="A10" t="s">
        <v>10</v>
      </c>
      <c r="C10" s="54" t="s">
        <v>413</v>
      </c>
      <c r="D10" s="43">
        <f>'Scope 3 Yearly'!D181</f>
        <v>0.98582389346283572</v>
      </c>
      <c r="E10" s="43">
        <f>'Scope 3 Yearly'!E181</f>
        <v>0.98586320570935304</v>
      </c>
      <c r="F10" s="43">
        <f>'Scope 3 Yearly'!F181</f>
        <v>0.98609902470034327</v>
      </c>
      <c r="G10" s="43">
        <f>'Scope 3 Yearly'!G181</f>
        <v>0.98651837829982858</v>
      </c>
      <c r="H10" s="43">
        <f>'Scope 3 Yearly'!H181</f>
        <v>0.98710371864797342</v>
      </c>
      <c r="I10" s="43">
        <f>'Scope 3 Yearly'!I181</f>
        <v>0.98782771273258607</v>
      </c>
      <c r="J10" s="43">
        <f>'Scope 3 Yearly'!J181</f>
        <v>0.98864273917588208</v>
      </c>
      <c r="K10" s="43">
        <f>'Scope 3 Yearly'!K181</f>
        <v>0.98946060497953137</v>
      </c>
      <c r="L10" s="43">
        <f>'Scope 3 Yearly'!L181</f>
        <v>0.990115578751942</v>
      </c>
      <c r="M10" s="43">
        <f>'Scope 3 Yearly'!M181</f>
        <v>0.99030234029066011</v>
      </c>
      <c r="N10" s="43">
        <f>'Scope 3 Yearly'!N181</f>
        <v>0.9894840969801979</v>
      </c>
      <c r="O10" s="43">
        <f>'Scope 3 Yearly'!O181</f>
        <v>0.98678299332126329</v>
      </c>
      <c r="P10" s="43">
        <f>'Scope 3 Yearly'!P181</f>
        <v>0.98090289302092559</v>
      </c>
      <c r="Q10" s="43">
        <f>'Scope 3 Yearly'!Q181</f>
        <v>0.97018462284215312</v>
      </c>
      <c r="R10" s="43">
        <f>'Scope 3 Yearly'!R181</f>
        <v>0.95290559063401248</v>
      </c>
      <c r="S10" s="43">
        <f>'Scope 3 Yearly'!S181</f>
        <v>0.92783100037380106</v>
      </c>
      <c r="T10" s="43">
        <f>'Scope 3 Yearly'!T181</f>
        <v>0.89480253856211933</v>
      </c>
      <c r="U10" s="43">
        <f>'Scope 3 Yearly'!U181</f>
        <v>0.8549986116698074</v>
      </c>
      <c r="V10" s="43">
        <f>'Scope 3 Yearly'!V181</f>
        <v>0.81064607833311331</v>
      </c>
      <c r="W10" s="43">
        <f>'Scope 3 Yearly'!W181</f>
        <v>0.76433643070537649</v>
      </c>
      <c r="X10" s="43">
        <f>'Scope 3 Yearly'!X181</f>
        <v>0.71833902820639961</v>
      </c>
      <c r="Y10" s="43">
        <f>'Scope 3 Yearly'!Y181</f>
        <v>0.67421120289229564</v>
      </c>
      <c r="Z10" s="43">
        <f>'Scope 3 Yearly'!Z181</f>
        <v>0.63274818617811612</v>
      </c>
      <c r="AA10" s="43">
        <f>'Scope 3 Yearly'!AA181</f>
        <v>0.59414354118559176</v>
      </c>
      <c r="AB10" s="43">
        <f>'Scope 3 Yearly'!AB181</f>
        <v>0.55821043861897257</v>
      </c>
      <c r="AC10" s="43">
        <f>'Scope 3 Yearly'!AC181</f>
        <v>0.52457279039856897</v>
      </c>
      <c r="AD10" s="43">
        <f>'Scope 3 Yearly'!AD181</f>
        <v>0.49279615711703084</v>
      </c>
      <c r="AE10" s="43">
        <f>'Scope 3 Yearly'!AE181</f>
        <v>0.46246287794316654</v>
      </c>
      <c r="AF10" s="43">
        <f>'Scope 3 Yearly'!AF181</f>
        <v>0.43320739860482677</v>
      </c>
      <c r="AG10" s="43">
        <f>'Scope 3 Yearly'!AG181</f>
        <v>0.40472739195405683</v>
      </c>
      <c r="AH10" s="43">
        <f>'Scope 3 Yearly'!AH181</f>
        <v>0.3767820456365617</v>
      </c>
      <c r="AI10" s="43"/>
      <c r="AJ10" s="43">
        <f>'Scope 3 Yearly'!AJ181</f>
        <v>0.98582389346283572</v>
      </c>
      <c r="AK10" s="43">
        <f>'Scope 3 Yearly'!AK181</f>
        <v>0.98586320570935304</v>
      </c>
      <c r="AL10" s="43">
        <f>'Scope 3 Yearly'!AL181</f>
        <v>0.98609902470034327</v>
      </c>
      <c r="AM10" s="43">
        <f>'Scope 3 Yearly'!AM181</f>
        <v>0.98651837829982858</v>
      </c>
      <c r="AN10" s="43">
        <f>'Scope 3 Yearly'!AN181</f>
        <v>0.98710371864797342</v>
      </c>
      <c r="AO10" s="43">
        <f>'Scope 3 Yearly'!AO181</f>
        <v>0.98782771273258607</v>
      </c>
      <c r="AP10" s="43">
        <f>'Scope 3 Yearly'!AP181</f>
        <v>0.98864273917588208</v>
      </c>
      <c r="AQ10" s="43">
        <f>'Scope 3 Yearly'!AQ181</f>
        <v>0.98946060497953137</v>
      </c>
      <c r="AR10" s="43">
        <f>'Scope 3 Yearly'!AR181</f>
        <v>0.990115578751942</v>
      </c>
      <c r="AS10" s="43">
        <f>'Scope 3 Yearly'!AS181</f>
        <v>0.99030234029066011</v>
      </c>
      <c r="AT10" s="43">
        <f>'Scope 3 Yearly'!AT181</f>
        <v>0.9894840969801979</v>
      </c>
      <c r="AU10" s="43">
        <f>'Scope 3 Yearly'!AU181</f>
        <v>0.98678299332126329</v>
      </c>
      <c r="AV10" s="43">
        <f>'Scope 3 Yearly'!AV181</f>
        <v>0.98090289302092559</v>
      </c>
      <c r="AW10" s="43">
        <f>'Scope 3 Yearly'!AW181</f>
        <v>0.97018462284215312</v>
      </c>
      <c r="AX10" s="43">
        <f>'Scope 3 Yearly'!AX181</f>
        <v>0.95290559063401248</v>
      </c>
      <c r="AY10" s="43">
        <f>'Scope 3 Yearly'!AY181</f>
        <v>0.92783100037380106</v>
      </c>
      <c r="AZ10" s="43">
        <f>'Scope 3 Yearly'!AZ181</f>
        <v>0.89480253856211933</v>
      </c>
      <c r="BA10" s="43">
        <f>'Scope 3 Yearly'!BA181</f>
        <v>0.8549986116698074</v>
      </c>
      <c r="BB10" s="43">
        <f>'Scope 3 Yearly'!BB181</f>
        <v>0.81064607833311342</v>
      </c>
      <c r="BC10" s="43">
        <f>'Scope 3 Yearly'!BC181</f>
        <v>0.76433643070537649</v>
      </c>
      <c r="BD10" s="43">
        <f>'Scope 3 Yearly'!BD181</f>
        <v>0.71833902820639961</v>
      </c>
      <c r="BE10" s="43">
        <f>'Scope 3 Yearly'!BE181</f>
        <v>0.67421120289229564</v>
      </c>
      <c r="BF10" s="43">
        <f>'Scope 3 Yearly'!BF181</f>
        <v>0.63274818617811612</v>
      </c>
      <c r="BG10" s="43">
        <f>'Scope 3 Yearly'!BG181</f>
        <v>0.59414354118559176</v>
      </c>
      <c r="BH10" s="43">
        <f>'Scope 3 Yearly'!BH181</f>
        <v>0.55821043861897257</v>
      </c>
      <c r="BI10" s="43">
        <f>'Scope 3 Yearly'!BI181</f>
        <v>0.52457279039856897</v>
      </c>
      <c r="BJ10" s="43">
        <f>'Scope 3 Yearly'!BJ181</f>
        <v>0.49279615711703084</v>
      </c>
      <c r="BK10" s="43">
        <f>'Scope 3 Yearly'!BK181</f>
        <v>0.46246287794316654</v>
      </c>
      <c r="BL10" s="43">
        <f>'Scope 3 Yearly'!BL181</f>
        <v>0.43320739860482677</v>
      </c>
      <c r="BM10" s="43">
        <f>'Scope 3 Yearly'!BM181</f>
        <v>0.40472739195405683</v>
      </c>
      <c r="BN10" s="43">
        <f>'Scope 3 Yearly'!BN181</f>
        <v>0.3767820456365617</v>
      </c>
      <c r="BO10" s="43"/>
      <c r="BP10" s="43">
        <f>'Scope 3 Yearly'!BP181</f>
        <v>0.98582389346283572</v>
      </c>
      <c r="BQ10" s="43">
        <f>'Scope 3 Yearly'!BQ181</f>
        <v>0.99764669945094486</v>
      </c>
      <c r="BR10" s="43">
        <f>'Scope 3 Yearly'!BR181</f>
        <v>1.0094148439985102</v>
      </c>
      <c r="BS10" s="43">
        <f>'Scope 3 Yearly'!BS181</f>
        <v>1.021126535395052</v>
      </c>
      <c r="BT10" s="43">
        <f>'Scope 3 Yearly'!BT181</f>
        <v>1.0327796202382835</v>
      </c>
      <c r="BU10" s="43">
        <f>'Scope 3 Yearly'!BU181</f>
        <v>1.0443715534237932</v>
      </c>
      <c r="BV10" s="43">
        <f>'Scope 3 Yearly'!BV181</f>
        <v>1.055956770691187</v>
      </c>
      <c r="BW10" s="43">
        <f>'Scope 3 Yearly'!BW181</f>
        <v>1.0675346875086882</v>
      </c>
      <c r="BX10" s="43">
        <f>'Scope 3 Yearly'!BX181</f>
        <v>1.0791047153824938</v>
      </c>
      <c r="BY10" s="43">
        <f>'Scope 3 Yearly'!BY181</f>
        <v>1.0906662604198614</v>
      </c>
      <c r="BZ10" s="43">
        <f>'Scope 3 Yearly'!BZ181</f>
        <v>1.102218721890259</v>
      </c>
      <c r="CA10" s="43">
        <f>'Scope 3 Yearly'!CA181</f>
        <v>1.1137204337134627</v>
      </c>
      <c r="CB10" s="43">
        <f>'Scope 3 Yearly'!CB181</f>
        <v>1.125168619356512</v>
      </c>
      <c r="CC10" s="43">
        <f>'Scope 3 Yearly'!CC181</f>
        <v>1.1365601944715196</v>
      </c>
      <c r="CD10" s="43">
        <f>'Scope 3 Yearly'!CD181</f>
        <v>1.1478917364904166</v>
      </c>
      <c r="CE10" s="43">
        <f>'Scope 3 Yearly'!CE181</f>
        <v>1.1591594507651388</v>
      </c>
      <c r="CF10" s="43">
        <f>'Scope 3 Yearly'!CF181</f>
        <v>1.1704165155702109</v>
      </c>
      <c r="CG10" s="43">
        <f>'Scope 3 Yearly'!CG181</f>
        <v>1.1816626321019972</v>
      </c>
      <c r="CH10" s="43">
        <f>'Scope 3 Yearly'!CH181</f>
        <v>1.1928974947902442</v>
      </c>
      <c r="CI10" s="43">
        <f>'Scope 3 Yearly'!CI181</f>
        <v>1.2041207910840375</v>
      </c>
      <c r="CJ10" s="43">
        <f>'Scope 3 Yearly'!CJ181</f>
        <v>1.2153322012315928</v>
      </c>
      <c r="CK10" s="43">
        <f>'Scope 3 Yearly'!CK181</f>
        <v>1.226531790001482</v>
      </c>
      <c r="CL10" s="43">
        <f>'Scope 3 Yearly'!CL181</f>
        <v>1.2377192490343982</v>
      </c>
      <c r="CM10" s="43">
        <f>'Scope 3 Yearly'!CM181</f>
        <v>1.2488942629603046</v>
      </c>
      <c r="CN10" s="43">
        <f>'Scope 3 Yearly'!CN181</f>
        <v>1.2600565091905449</v>
      </c>
      <c r="CO10" s="43">
        <f>'Scope 3 Yearly'!CO181</f>
        <v>1.2712056577040505</v>
      </c>
      <c r="CP10" s="43">
        <f>'Scope 3 Yearly'!CP181</f>
        <v>1.2823417454566406</v>
      </c>
      <c r="CQ10" s="43">
        <f>'Scope 3 Yearly'!CQ181</f>
        <v>1.2934644514479183</v>
      </c>
      <c r="CR10" s="43">
        <f>'Scope 3 Yearly'!CR181</f>
        <v>1.3045734473989172</v>
      </c>
      <c r="CS10" s="43">
        <f>'Scope 3 Yearly'!CS181</f>
        <v>1.3156683975474128</v>
      </c>
      <c r="CT10" s="43">
        <f>'Scope 3 Yearly'!CT181</f>
        <v>1.3267489584375309</v>
      </c>
      <c r="CV10" s="43">
        <f>'Scope 3 Yearly'!CV181</f>
        <v>0.98582389346283572</v>
      </c>
      <c r="CW10" s="43">
        <f>'Scope 3 Yearly'!CW181</f>
        <v>0.98586320570935304</v>
      </c>
      <c r="CX10" s="43">
        <f>'Scope 3 Yearly'!CX181</f>
        <v>0.98609902470034327</v>
      </c>
      <c r="CY10" s="43">
        <f>'Scope 3 Yearly'!CY181</f>
        <v>0.98651837829982869</v>
      </c>
      <c r="CZ10" s="43">
        <f>'Scope 3 Yearly'!CZ181</f>
        <v>0.98710371864797342</v>
      </c>
      <c r="DA10" s="43">
        <f>'Scope 3 Yearly'!DA181</f>
        <v>0.98782771273258607</v>
      </c>
      <c r="DB10" s="43">
        <f>'Scope 3 Yearly'!DB181</f>
        <v>0.98864273917588208</v>
      </c>
      <c r="DC10" s="43">
        <f>'Scope 3 Yearly'!DC181</f>
        <v>0.98946060497953137</v>
      </c>
      <c r="DD10" s="43">
        <f>'Scope 3 Yearly'!DD181</f>
        <v>0.990115578751942</v>
      </c>
      <c r="DE10" s="43">
        <f>'Scope 3 Yearly'!DE181</f>
        <v>0.99030234029066011</v>
      </c>
      <c r="DF10" s="43">
        <f>'Scope 3 Yearly'!DF181</f>
        <v>0.9894840969801979</v>
      </c>
      <c r="DG10" s="43">
        <f>'Scope 3 Yearly'!DG181</f>
        <v>0.98678299332126351</v>
      </c>
      <c r="DH10" s="43">
        <f>'Scope 3 Yearly'!DH181</f>
        <v>0.98090289302092559</v>
      </c>
      <c r="DI10" s="43">
        <f>'Scope 3 Yearly'!DI181</f>
        <v>0.97018063325306458</v>
      </c>
      <c r="DJ10" s="43">
        <f>'Scope 3 Yearly'!DJ181</f>
        <v>0.95289717186207068</v>
      </c>
      <c r="DK10" s="43">
        <f>'Scope 3 Yearly'!DK181</f>
        <v>0.92781781397590057</v>
      </c>
      <c r="DL10" s="43">
        <f>'Scope 3 Yearly'!DL181</f>
        <v>0.89478438365271495</v>
      </c>
      <c r="DM10" s="43">
        <f>'Scope 3 Yearly'!DM181</f>
        <v>0.85497543672570031</v>
      </c>
      <c r="DN10" s="43">
        <f>'Scope 3 Yearly'!DN181</f>
        <v>0.81061795240627765</v>
      </c>
      <c r="DO10" s="43">
        <f>'Scope 3 Yearly'!DO181</f>
        <v>0.76430349296761202</v>
      </c>
      <c r="DP10" s="43">
        <f>'Scope 3 Yearly'!DP181</f>
        <v>0.71830143618313147</v>
      </c>
      <c r="DQ10" s="43">
        <f>'Scope 3 Yearly'!DQ181</f>
        <v>0.67416742996375978</v>
      </c>
      <c r="DR10" s="43">
        <f>'Scope 3 Yearly'!DR181</f>
        <v>0.63269801685122473</v>
      </c>
      <c r="DS10" s="43">
        <f>'Scope 3 Yearly'!DS181</f>
        <v>0.59407124125794586</v>
      </c>
      <c r="DT10" s="43">
        <f>'Scope 3 Yearly'!DT181</f>
        <v>0.55811487413105998</v>
      </c>
      <c r="DU10" s="43">
        <f>'Scope 3 Yearly'!DU181</f>
        <v>0.52445281681955447</v>
      </c>
      <c r="DV10" s="43">
        <f>'Scope 3 Yearly'!DV181</f>
        <v>0.49265061296674434</v>
      </c>
      <c r="DW10" s="43">
        <f>'Scope 3 Yearly'!DW181</f>
        <v>0.46229058218865032</v>
      </c>
      <c r="DX10" s="43">
        <f>'Scope 3 Yearly'!DX181</f>
        <v>0.4330071552369118</v>
      </c>
      <c r="DY10" s="43">
        <f>'Scope 3 Yearly'!DY181</f>
        <v>0.40449802131214085</v>
      </c>
      <c r="DZ10" s="43">
        <f>'Scope 3 Yearly'!DZ181</f>
        <v>0.37652247006474432</v>
      </c>
    </row>
    <row r="11" spans="1:165" ht="16" thickBot="1"/>
    <row r="12" spans="1:165" s="645" customFormat="1" ht="16" thickBot="1">
      <c r="A12" s="644" t="s">
        <v>414</v>
      </c>
      <c r="EK12" s="646"/>
      <c r="EL12" s="646"/>
      <c r="EM12" s="646"/>
      <c r="EN12" s="646"/>
      <c r="EO12" s="646"/>
      <c r="EP12" s="646"/>
      <c r="EQ12" s="646"/>
      <c r="ER12" s="646"/>
      <c r="ES12" s="646"/>
      <c r="ET12" s="646"/>
      <c r="EU12" s="646"/>
      <c r="EV12" s="646"/>
      <c r="EW12" s="646"/>
      <c r="EX12" s="646"/>
      <c r="EY12" s="646"/>
      <c r="EZ12" s="646"/>
      <c r="FA12" s="646"/>
      <c r="FB12" s="646"/>
      <c r="FC12" s="646"/>
      <c r="FD12" s="646"/>
      <c r="FE12" s="646"/>
      <c r="FF12" s="646"/>
      <c r="FG12" s="646"/>
      <c r="FH12" s="646"/>
      <c r="FI12" s="646"/>
    </row>
    <row r="13" spans="1:165">
      <c r="A13" t="s">
        <v>4</v>
      </c>
      <c r="C13" s="54" t="s">
        <v>415</v>
      </c>
      <c r="D13" s="44">
        <f>'Scope 3 Yearly'!$EE$186*'Scope 3 Yearly'!D37*'Yearly HC Ethylene'!D157*'Scope 3 Yearly'!$B$197</f>
        <v>2.8157270224244916E-3</v>
      </c>
      <c r="E13" s="44">
        <f>'Scope 3 Yearly'!$EE$186*'Scope 3 Yearly'!E37*'Yearly HC Ethylene'!E157*'Scope 3 Yearly'!$B$197</f>
        <v>5.70860090759512E-3</v>
      </c>
      <c r="F13" s="44">
        <f>'Scope 3 Yearly'!$EE$186*'Scope 3 Yearly'!F37*'Yearly HC Ethylene'!F157*'Scope 3 Yearly'!$B$197</f>
        <v>1.1502676664849214E-2</v>
      </c>
      <c r="G13" s="44">
        <f>'Scope 3 Yearly'!$EE$186*'Scope 3 Yearly'!G37*'Yearly HC Ethylene'!G157*'Scope 3 Yearly'!$B$197</f>
        <v>2.310607968032645E-2</v>
      </c>
      <c r="H13" s="44">
        <f>'Scope 3 Yearly'!$EE$186*'Scope 3 Yearly'!H37*'Yearly HC Ethylene'!H157*'Scope 3 Yearly'!$B$197</f>
        <v>4.6230761319066442E-2</v>
      </c>
      <c r="I13" s="44">
        <f>'Scope 3 Yearly'!$EE$186*'Scope 3 Yearly'!I37*'Yearly HC Ethylene'!I157*'Scope 3 Yearly'!$B$197</f>
        <v>9.201570312497083E-2</v>
      </c>
      <c r="J13" s="44">
        <f>'Scope 3 Yearly'!$EE$186*'Scope 3 Yearly'!J37*'Yearly HC Ethylene'!J157*'Scope 3 Yearly'!$B$197</f>
        <v>0.18129828163795433</v>
      </c>
      <c r="K13" s="44">
        <f>'Scope 3 Yearly'!$EE$186*'Scope 3 Yearly'!K37*'Yearly HC Ethylene'!K157*'Scope 3 Yearly'!$B$197</f>
        <v>0.35368782674681071</v>
      </c>
      <c r="L13" s="44">
        <f>'Scope 3 Yearly'!$EE$186*'Scope 3 Yearly'!L37*'Yearly HC Ethylene'!L157*'Scope 3 Yearly'!$B$197</f>
        <v>0.68086936356525085</v>
      </c>
      <c r="M13" s="44">
        <f>'Scope 3 Yearly'!$EE$186*'Scope 3 Yearly'!M37*'Yearly HC Ethylene'!M157*'Scope 3 Yearly'!$B$197</f>
        <v>1.2876132384876109</v>
      </c>
      <c r="N13" s="44">
        <f>'Scope 3 Yearly'!$EE$186*'Scope 3 Yearly'!N37*'Yearly HC Ethylene'!N157*'Scope 3 Yearly'!$B$197</f>
        <v>2.3786226494975495</v>
      </c>
      <c r="O13" s="44">
        <f>'Scope 3 Yearly'!$EE$186*'Scope 3 Yearly'!O37*'Yearly HC Ethylene'!O157*'Scope 3 Yearly'!$B$197</f>
        <v>4.1590506736445754</v>
      </c>
      <c r="P13" s="44">
        <f>'Scope 3 Yearly'!$EE$186*'Scope 3 Yearly'!P37*'Yearly HC Ethylene'!P157*'Scope 3 Yearly'!$B$197</f>
        <v>7.0013384449394644</v>
      </c>
      <c r="Q13" s="44">
        <f>'Scope 3 Yearly'!$EE$186*'Scope 3 Yearly'!Q37*'Yearly HC Ethylene'!Q157*'Scope 3 Yearly'!$B$197</f>
        <v>11.260222333887878</v>
      </c>
      <c r="R13" s="44">
        <f>'Scope 3 Yearly'!$EE$186*'Scope 3 Yearly'!R37*'Yearly HC Ethylene'!R157*'Scope 3 Yearly'!$B$197</f>
        <v>17.185412096126107</v>
      </c>
      <c r="S13" s="44">
        <f>'Scope 3 Yearly'!$EE$186*'Scope 3 Yearly'!S37*'Yearly HC Ethylene'!S157*'Scope 3 Yearly'!$B$197</f>
        <v>24.75828098178172</v>
      </c>
      <c r="T13" s="44">
        <f>'Scope 3 Yearly'!$EE$186*'Scope 3 Yearly'!T37*'Yearly HC Ethylene'!T157*'Scope 3 Yearly'!$B$197</f>
        <v>33.576301049628924</v>
      </c>
      <c r="U13" s="44">
        <f>'Scope 3 Yearly'!$EE$186*'Scope 3 Yearly'!U37*'Yearly HC Ethylene'!U157*'Scope 3 Yearly'!$B$197</f>
        <v>42.991341158540024</v>
      </c>
      <c r="V13" s="44">
        <f>'Scope 3 Yearly'!$EE$186*'Scope 3 Yearly'!V37*'Yearly HC Ethylene'!V157*'Scope 3 Yearly'!$B$197</f>
        <v>52.24347991088343</v>
      </c>
      <c r="W13" s="44">
        <f>'Scope 3 Yearly'!$EE$186*'Scope 3 Yearly'!W37*'Yearly HC Ethylene'!W157*'Scope 3 Yearly'!$B$197</f>
        <v>60.696037470713705</v>
      </c>
      <c r="X13" s="44">
        <f>'Scope 3 Yearly'!$EE$186*'Scope 3 Yearly'!X37*'Yearly HC Ethylene'!X157*'Scope 3 Yearly'!$B$197</f>
        <v>67.964498620205703</v>
      </c>
      <c r="Y13" s="44">
        <f>'Scope 3 Yearly'!$EE$186*'Scope 3 Yearly'!Y37*'Yearly HC Ethylene'!Y157*'Scope 3 Yearly'!$B$197</f>
        <v>72.164120287242469</v>
      </c>
      <c r="Z13" s="44">
        <f>'Scope 3 Yearly'!$EE$186*'Scope 3 Yearly'!Z37*'Yearly HC Ethylene'!Z157*'Scope 3 Yearly'!$B$197</f>
        <v>74.855689662913619</v>
      </c>
      <c r="AA13" s="44">
        <f>'Scope 3 Yearly'!$EE$186*'Scope 3 Yearly'!AA37*'Yearly HC Ethylene'!AA157*'Scope 3 Yearly'!$B$197</f>
        <v>76.284567948707576</v>
      </c>
      <c r="AB13" s="44">
        <f>'Scope 3 Yearly'!$EE$186*'Scope 3 Yearly'!AB37*'Yearly HC Ethylene'!AB157*'Scope 3 Yearly'!$B$197</f>
        <v>76.709382195297778</v>
      </c>
      <c r="AC13" s="44">
        <f>'Scope 3 Yearly'!$EE$186*'Scope 3 Yearly'!AC37*'Yearly HC Ethylene'!AC157*'Scope 3 Yearly'!$B$197</f>
        <v>76.353198699052484</v>
      </c>
      <c r="AD13" s="44">
        <f>'Scope 3 Yearly'!$EE$186*'Scope 3 Yearly'!AD37*'Yearly HC Ethylene'!AD157*'Scope 3 Yearly'!$B$197</f>
        <v>75.330807949135405</v>
      </c>
      <c r="AE13" s="44">
        <f>'Scope 3 Yearly'!$EE$186*'Scope 3 Yearly'!AE37*'Yearly HC Ethylene'!AE157*'Scope 3 Yearly'!$B$197</f>
        <v>73.813646176995434</v>
      </c>
      <c r="AF13" s="44">
        <f>'Scope 3 Yearly'!$EE$186*'Scope 3 Yearly'!AF37*'Yearly HC Ethylene'!AF157*'Scope 3 Yearly'!$B$197</f>
        <v>71.880841566445085</v>
      </c>
      <c r="AG13" s="44">
        <f>'Scope 3 Yearly'!$EE$186*'Scope 3 Yearly'!AG37*'Yearly HC Ethylene'!AG157*'Scope 3 Yearly'!$B$197</f>
        <v>69.597114852539775</v>
      </c>
      <c r="AH13" s="44">
        <f>'Scope 3 Yearly'!$EE$186*'Scope 3 Yearly'!AH37*'Yearly HC Ethylene'!AH157*'Scope 3 Yearly'!$B$197</f>
        <v>67.039335832567801</v>
      </c>
      <c r="AJ13" s="44">
        <f>'Scope 3 Yearly'!$EE$186*'Scope 3 Yearly'!AJ37*'Yearly LC Ethylene'!D157*'Scope 3 Yearly'!$B$197</f>
        <v>2.8157289074840254E-3</v>
      </c>
      <c r="AK13" s="44">
        <f>'Scope 3 Yearly'!$EE$186*'Scope 3 Yearly'!AK37*'Yearly LC Ethylene'!E157*'Scope 3 Yearly'!$B$197</f>
        <v>5.7082656084633428E-3</v>
      </c>
      <c r="AL13" s="44">
        <f>'Scope 3 Yearly'!$EE$186*'Scope 3 Yearly'!AL37*'Yearly LC Ethylene'!F157*'Scope 3 Yearly'!$B$197</f>
        <v>1.1501332395277914E-2</v>
      </c>
      <c r="AM13" s="44">
        <f>'Scope 3 Yearly'!$EE$186*'Scope 3 Yearly'!AM37*'Yearly LC Ethylene'!G157*'Scope 3 Yearly'!$B$197</f>
        <v>2.3102083833176197E-2</v>
      </c>
      <c r="AN13" s="44">
        <f>'Scope 3 Yearly'!$EE$186*'Scope 3 Yearly'!AN37*'Yearly LC Ethylene'!H157*'Scope 3 Yearly'!$B$197</f>
        <v>4.6220335760293212E-2</v>
      </c>
      <c r="AO13" s="44">
        <f>'Scope 3 Yearly'!$EE$186*'Scope 3 Yearly'!AO37*'Yearly LC Ethylene'!I157*'Scope 3 Yearly'!$B$197</f>
        <v>9.199068107452503E-2</v>
      </c>
      <c r="AP13" s="44">
        <f>'Scope 3 Yearly'!$EE$186*'Scope 3 Yearly'!AP37*'Yearly LC Ethylene'!J157*'Scope 3 Yearly'!$B$197</f>
        <v>0.18124236942573183</v>
      </c>
      <c r="AQ13" s="44">
        <f>'Scope 3 Yearly'!$EE$186*'Scope 3 Yearly'!AQ37*'Yearly LC Ethylene'!K157*'Scope 3 Yearly'!$B$197</f>
        <v>0.35357285058434562</v>
      </c>
      <c r="AR13" s="44">
        <f>'Scope 3 Yearly'!$EE$186*'Scope 3 Yearly'!AR37*'Yearly LC Ethylene'!L157*'Scope 3 Yearly'!$B$197</f>
        <v>0.68066151827060273</v>
      </c>
      <c r="AS13" s="44">
        <f>'Scope 3 Yearly'!$EE$186*'Scope 3 Yearly'!AS37*'Yearly LC Ethylene'!M157*'Scope 3 Yearly'!$B$197</f>
        <v>1.2873301957612855</v>
      </c>
      <c r="AT13" s="44">
        <f>'Scope 3 Yearly'!$EE$186*'Scope 3 Yearly'!AT37*'Yearly LC Ethylene'!N157*'Scope 3 Yearly'!$B$197</f>
        <v>2.3785790572868311</v>
      </c>
      <c r="AU13" s="44">
        <f>'Scope 3 Yearly'!$EE$186*'Scope 3 Yearly'!AU37*'Yearly LC Ethylene'!O157*'Scope 3 Yearly'!$B$197</f>
        <v>4.1603199300428679</v>
      </c>
      <c r="AV13" s="44">
        <f>'Scope 3 Yearly'!$EE$186*'Scope 3 Yearly'!AV37*'Yearly LC Ethylene'!P157*'Scope 3 Yearly'!$B$197</f>
        <v>7.0073126998463602</v>
      </c>
      <c r="AW13" s="44">
        <f>'Scope 3 Yearly'!$EE$186*'Scope 3 Yearly'!AW37*'Yearly LC Ethylene'!Q157*'Scope 3 Yearly'!$B$197</f>
        <v>11.279179542935402</v>
      </c>
      <c r="AX13" s="44">
        <f>'Scope 3 Yearly'!$EE$186*'Scope 3 Yearly'!AX37*'Yearly LC Ethylene'!R157*'Scope 3 Yearly'!$B$197</f>
        <v>17.234123479429453</v>
      </c>
      <c r="AY13" s="44">
        <f>'Scope 3 Yearly'!$EE$186*'Scope 3 Yearly'!AY37*'Yearly LC Ethylene'!S157*'Scope 3 Yearly'!$B$197</f>
        <v>24.872143350946239</v>
      </c>
      <c r="AZ13" s="44">
        <f>'Scope 3 Yearly'!$EE$186*'Scope 3 Yearly'!AZ37*'Yearly LC Ethylene'!T157*'Scope 3 Yearly'!$B$197</f>
        <v>33.809975353796595</v>
      </c>
      <c r="BA13" s="44">
        <f>'Scope 3 Yearly'!$EE$186*'Scope 3 Yearly'!BA37*'Yearly LC Ethylene'!U157*'Scope 3 Yearly'!$B$197</f>
        <v>43.409686056816042</v>
      </c>
      <c r="BB13" s="44">
        <f>'Scope 3 Yearly'!$EE$186*'Scope 3 Yearly'!BB37*'Yearly LC Ethylene'!V157*'Scope 3 Yearly'!$B$197</f>
        <v>52.90913091047684</v>
      </c>
      <c r="BC13" s="44">
        <f>'Scope 3 Yearly'!$EE$186*'Scope 3 Yearly'!BC37*'Yearly LC Ethylene'!W157*'Scope 3 Yearly'!$B$197</f>
        <v>61.655210026215521</v>
      </c>
      <c r="BD13" s="44">
        <f>'Scope 3 Yearly'!$EE$186*'Scope 3 Yearly'!BD37*'Yearly LC Ethylene'!X157*'Scope 3 Yearly'!$B$197</f>
        <v>69.239587174645479</v>
      </c>
      <c r="BE13" s="44">
        <f>'Scope 3 Yearly'!$EE$186*'Scope 3 Yearly'!BE37*'Yearly LC Ethylene'!Y157*'Scope 3 Yearly'!$B$197</f>
        <v>73.799449097032721</v>
      </c>
      <c r="BF13" s="44">
        <f>'Scope 3 Yearly'!$EE$186*'Scope 3 Yearly'!BF37*'Yearly LC Ethylene'!Z157*'Scope 3 Yearly'!$B$197</f>
        <v>76.842616096317556</v>
      </c>
      <c r="BG13" s="44">
        <f>'Scope 3 Yearly'!$EE$186*'Scope 3 Yearly'!BG37*'Yearly LC Ethylene'!AA157*'Scope 3 Yearly'!$B$197</f>
        <v>78.605177614833394</v>
      </c>
      <c r="BH13" s="44">
        <f>'Scope 3 Yearly'!$EE$186*'Scope 3 Yearly'!BH37*'Yearly LC Ethylene'!AB157*'Scope 3 Yearly'!$B$197</f>
        <v>79.346501379440227</v>
      </c>
      <c r="BI13" s="44">
        <f>'Scope 3 Yearly'!$EE$186*'Scope 3 Yearly'!BI37*'Yearly LC Ethylene'!AC157*'Scope 3 Yearly'!$B$197</f>
        <v>79.29919738307737</v>
      </c>
      <c r="BJ13" s="44">
        <f>'Scope 3 Yearly'!$EE$186*'Scope 3 Yearly'!BJ37*'Yearly LC Ethylene'!AD157*'Scope 3 Yearly'!$B$197</f>
        <v>78.593266009952131</v>
      </c>
      <c r="BK13" s="44">
        <f>'Scope 3 Yearly'!$EE$186*'Scope 3 Yearly'!BK37*'Yearly LC Ethylene'!AE157*'Scope 3 Yearly'!$B$197</f>
        <v>77.422947166829545</v>
      </c>
      <c r="BL13" s="44">
        <f>'Scope 3 Yearly'!$EE$186*'Scope 3 Yearly'!BL37*'Yearly LC Ethylene'!AF157*'Scope 3 Yearly'!$B$197</f>
        <v>75.888907468688643</v>
      </c>
      <c r="BM13" s="44">
        <f>'Scope 3 Yearly'!$EE$186*'Scope 3 Yearly'!BM37*'Yearly LC Ethylene'!AG157*'Scope 3 Yearly'!$B$197</f>
        <v>74.069930465413137</v>
      </c>
      <c r="BN13" s="44">
        <f>'Scope 3 Yearly'!$EE$186*'Scope 3 Yearly'!BN37*'Yearly LC Ethylene'!AH157*'Scope 3 Yearly'!$B$197</f>
        <v>72.041476357387069</v>
      </c>
      <c r="BP13" s="44">
        <f>'Scope 3 Yearly'!$EE$186*'Scope 3 Yearly'!BP37*'Yearly LC Ethylene'!AJ157*'Scope 3 Yearly'!$B$197</f>
        <v>0</v>
      </c>
      <c r="BQ13" s="44">
        <f>'Scope 3 Yearly'!$EE$186*'Scope 3 Yearly'!BQ37*'Yearly LC Ethylene'!AK157*'Scope 3 Yearly'!$B$197</f>
        <v>0</v>
      </c>
      <c r="BR13" s="44">
        <f>'Scope 3 Yearly'!$EE$186*'Scope 3 Yearly'!BR37*'Yearly LC Ethylene'!AL157*'Scope 3 Yearly'!$B$197</f>
        <v>0</v>
      </c>
      <c r="BS13" s="44">
        <f>'Scope 3 Yearly'!$EE$186*'Scope 3 Yearly'!BS37*'Yearly LC Ethylene'!AM157*'Scope 3 Yearly'!$B$197</f>
        <v>0</v>
      </c>
      <c r="BT13" s="44">
        <f>'Scope 3 Yearly'!$EE$186*'Scope 3 Yearly'!BT37*'Yearly LC Ethylene'!AN157*'Scope 3 Yearly'!$B$197</f>
        <v>0</v>
      </c>
      <c r="BU13" s="44">
        <f>'Scope 3 Yearly'!$EE$186*'Scope 3 Yearly'!BU37*'Yearly LC Ethylene'!AO157*'Scope 3 Yearly'!$B$197</f>
        <v>0</v>
      </c>
      <c r="BV13" s="44">
        <f>'Scope 3 Yearly'!$EE$186*'Scope 3 Yearly'!BV37*'Yearly LC Ethylene'!AP157*'Scope 3 Yearly'!$B$197</f>
        <v>0</v>
      </c>
      <c r="BW13" s="44">
        <f>'Scope 3 Yearly'!$EE$186*'Scope 3 Yearly'!BW37*'Yearly LC Ethylene'!AQ157*'Scope 3 Yearly'!$B$197</f>
        <v>0</v>
      </c>
      <c r="BX13" s="44">
        <f>'Scope 3 Yearly'!$EE$186*'Scope 3 Yearly'!BX37*'Yearly LC Ethylene'!AR157*'Scope 3 Yearly'!$B$197</f>
        <v>0</v>
      </c>
      <c r="BY13" s="44">
        <f>'Scope 3 Yearly'!$EE$186*'Scope 3 Yearly'!BY37*'Yearly LC Ethylene'!AS157*'Scope 3 Yearly'!$B$197</f>
        <v>0</v>
      </c>
      <c r="BZ13" s="44">
        <f>'Scope 3 Yearly'!$EE$186*'Scope 3 Yearly'!BZ37*'Yearly LC Ethylene'!AT157*'Scope 3 Yearly'!$B$197</f>
        <v>0</v>
      </c>
      <c r="CA13" s="44">
        <f>'Scope 3 Yearly'!$EE$186*'Scope 3 Yearly'!CA37*'Yearly LC Ethylene'!AU157*'Scope 3 Yearly'!$B$197</f>
        <v>0</v>
      </c>
      <c r="CB13" s="44">
        <f>'Scope 3 Yearly'!$EE$186*'Scope 3 Yearly'!CB37*'Yearly LC Ethylene'!AV157*'Scope 3 Yearly'!$B$197</f>
        <v>0</v>
      </c>
      <c r="CC13" s="44">
        <f>'Scope 3 Yearly'!$EE$186*'Scope 3 Yearly'!CC37*'Yearly LC Ethylene'!AW157*'Scope 3 Yearly'!$B$197</f>
        <v>0</v>
      </c>
      <c r="CD13" s="44">
        <f>'Scope 3 Yearly'!$EE$186*'Scope 3 Yearly'!CD37*'Yearly LC Ethylene'!AX157*'Scope 3 Yearly'!$B$197</f>
        <v>0</v>
      </c>
      <c r="CE13" s="44">
        <f>'Scope 3 Yearly'!$EE$186*'Scope 3 Yearly'!CE37*'Yearly LC Ethylene'!AY157*'Scope 3 Yearly'!$B$197</f>
        <v>0</v>
      </c>
      <c r="CF13" s="44">
        <f>'Scope 3 Yearly'!$EE$186*'Scope 3 Yearly'!CF37*'Yearly LC Ethylene'!AZ157*'Scope 3 Yearly'!$B$197</f>
        <v>0</v>
      </c>
      <c r="CG13" s="44">
        <f>'Scope 3 Yearly'!$EE$186*'Scope 3 Yearly'!CG37*'Yearly LC Ethylene'!BA157*'Scope 3 Yearly'!$B$197</f>
        <v>0</v>
      </c>
      <c r="CH13" s="44">
        <f>'Scope 3 Yearly'!$EE$186*'Scope 3 Yearly'!CH37*'Yearly LC Ethylene'!BB157*'Scope 3 Yearly'!$B$197</f>
        <v>0</v>
      </c>
      <c r="CI13" s="44">
        <f>'Scope 3 Yearly'!$EE$186*'Scope 3 Yearly'!CI37*'Yearly LC Ethylene'!BC157*'Scope 3 Yearly'!$B$197</f>
        <v>0</v>
      </c>
      <c r="CJ13" s="44">
        <f>'Scope 3 Yearly'!$EE$186*'Scope 3 Yearly'!CJ37*'Yearly LC Ethylene'!BD157*'Scope 3 Yearly'!$B$197</f>
        <v>0</v>
      </c>
      <c r="CK13" s="44">
        <f>'Scope 3 Yearly'!$EE$186*'Scope 3 Yearly'!CK37*'Yearly LC Ethylene'!BE157*'Scope 3 Yearly'!$B$197</f>
        <v>0</v>
      </c>
      <c r="CL13" s="44">
        <f>'Scope 3 Yearly'!$EE$186*'Scope 3 Yearly'!CL37*'Yearly LC Ethylene'!BF157*'Scope 3 Yearly'!$B$197</f>
        <v>0</v>
      </c>
      <c r="CM13" s="44">
        <f>'Scope 3 Yearly'!$EE$186*'Scope 3 Yearly'!CM37*'Yearly LC Ethylene'!BG157*'Scope 3 Yearly'!$B$197</f>
        <v>0</v>
      </c>
      <c r="CN13" s="44">
        <f>'Scope 3 Yearly'!$EE$186*'Scope 3 Yearly'!CN37*'Yearly LC Ethylene'!BH157*'Scope 3 Yearly'!$B$197</f>
        <v>0</v>
      </c>
      <c r="CO13" s="44">
        <f>'Scope 3 Yearly'!$EE$186*'Scope 3 Yearly'!CO37*'Yearly LC Ethylene'!BI157*'Scope 3 Yearly'!$B$197</f>
        <v>0</v>
      </c>
      <c r="CP13" s="44">
        <f>'Scope 3 Yearly'!$EE$186*'Scope 3 Yearly'!CP37*'Yearly LC Ethylene'!BJ157*'Scope 3 Yearly'!$B$197</f>
        <v>0</v>
      </c>
      <c r="CQ13" s="44">
        <f>'Scope 3 Yearly'!$EE$186*'Scope 3 Yearly'!CQ37*'Yearly LC Ethylene'!BK157*'Scope 3 Yearly'!$B$197</f>
        <v>0</v>
      </c>
      <c r="CR13" s="44">
        <f>'Scope 3 Yearly'!$EE$186*'Scope 3 Yearly'!CR37*'Yearly LC Ethylene'!BL157*'Scope 3 Yearly'!$B$197</f>
        <v>0</v>
      </c>
      <c r="CS13" s="44">
        <f>'Scope 3 Yearly'!$EE$186*'Scope 3 Yearly'!CS37*'Yearly LC Ethylene'!BM157*'Scope 3 Yearly'!$B$197</f>
        <v>0</v>
      </c>
      <c r="CT13" s="44">
        <f>'Scope 3 Yearly'!$EE$186*'Scope 3 Yearly'!CT37*'Yearly LC Ethylene'!BN157*'Scope 3 Yearly'!$B$197</f>
        <v>0</v>
      </c>
      <c r="CV13" s="44">
        <f>'Scope 3 Yearly'!$EE$186*'Scope 3 Yearly'!CV37*'Yearly LC Ethylene'!D4*'Scope 3 Yearly'!$B$197</f>
        <v>2.8157296424148777E-3</v>
      </c>
      <c r="CW13" s="44">
        <f>'Scope 3 Yearly'!$EE$186*'Scope 3 Yearly'!CW37*'Yearly LC Ethylene'!E4*'Scope 3 Yearly'!$B$197</f>
        <v>5.7352321581649887E-3</v>
      </c>
      <c r="CX13" s="44">
        <f>'Scope 3 Yearly'!$EE$186*'Scope 3 Yearly'!CX37*'Yearly LC Ethylene'!F4*'Scope 3 Yearly'!$B$197</f>
        <v>1.1649388196804937E-2</v>
      </c>
      <c r="CY13" s="44">
        <f>'Scope 3 Yearly'!$EE$186*'Scope 3 Yearly'!CY37*'Yearly LC Ethylene'!G4*'Scope 3 Yearly'!$B$197</f>
        <v>2.3581301530233793E-2</v>
      </c>
      <c r="CZ13" s="44">
        <f>'Scope 3 Yearly'!$EE$186*'Scope 3 Yearly'!CZ37*'Yearly LC Ethylene'!H4*'Scope 3 Yearly'!$B$197</f>
        <v>4.752703057478512E-2</v>
      </c>
      <c r="DA13" s="44">
        <f>'Scope 3 Yearly'!$EE$186*'Scope 3 Yearly'!DA37*'Yearly LC Ethylene'!I4*'Scope 3 Yearly'!$B$197</f>
        <v>9.5246323330044375E-2</v>
      </c>
      <c r="DB13" s="44">
        <f>'Scope 3 Yearly'!$EE$186*'Scope 3 Yearly'!DB37*'Yearly LC Ethylene'!J4*'Scope 3 Yearly'!$B$197</f>
        <v>0.18894365806020544</v>
      </c>
      <c r="DC13" s="44">
        <f>'Scope 3 Yearly'!$EE$186*'Scope 3 Yearly'!DC37*'Yearly LC Ethylene'!K4*'Scope 3 Yearly'!$B$197</f>
        <v>0.37106751170618874</v>
      </c>
      <c r="DD13" s="44">
        <f>'Scope 3 Yearly'!$EE$186*'Scope 3 Yearly'!DD37*'Yearly LC Ethylene'!L4*'Scope 3 Yearly'!$B$197</f>
        <v>0.71901080150717767</v>
      </c>
      <c r="DE13" s="44">
        <f>'Scope 3 Yearly'!$EE$186*'Scope 3 Yearly'!DE37*'Yearly LC Ethylene'!M4*'Scope 3 Yearly'!$B$197</f>
        <v>1.3685182529711379</v>
      </c>
      <c r="DF13" s="44">
        <f>'Scope 3 Yearly'!$EE$186*'Scope 3 Yearly'!DF37*'Yearly LC Ethylene'!N4*'Scope 3 Yearly'!$B$197</f>
        <v>2.5442626690034591</v>
      </c>
      <c r="DG13" s="44">
        <f>'Scope 3 Yearly'!$EE$186*'Scope 3 Yearly'!DG37*'Yearly LC Ethylene'!O4*'Scope 3 Yearly'!$B$197</f>
        <v>4.5071985523540752</v>
      </c>
      <c r="DH13" s="44">
        <f>'Scope 3 Yearly'!$EE$186*'Scope 3 Yearly'!DH37*'Yearly LC Ethylene'!P4*'Scope 3 Yearly'!$B$197</f>
        <v>7.6875697180109315</v>
      </c>
      <c r="DI13" s="44">
        <f>'Scope 3 Yearly'!$EE$186*'Scope 3 Yearly'!DI37*'Yearly LC Ethylene'!Q4*'Scope 3 Yearly'!$B$197</f>
        <v>12.527409913210317</v>
      </c>
      <c r="DJ13" s="44">
        <f>'Scope 3 Yearly'!$EE$186*'Scope 3 Yearly'!DJ37*'Yearly LC Ethylene'!R4*'Scope 3 Yearly'!$B$197</f>
        <v>19.371647133654729</v>
      </c>
      <c r="DK13" s="44">
        <f>'Scope 3 Yearly'!$EE$186*'Scope 3 Yearly'!DK37*'Yearly LC Ethylene'!S4*'Scope 3 Yearly'!$B$197</f>
        <v>28.283762367955468</v>
      </c>
      <c r="DL13" s="44">
        <f>'Scope 3 Yearly'!$EE$186*'Scope 3 Yearly'!DL37*'Yearly LC Ethylene'!T4*'Scope 3 Yearly'!$B$197</f>
        <v>38.901138982956041</v>
      </c>
      <c r="DM13" s="44">
        <f>'Scope 3 Yearly'!$EE$186*'Scope 3 Yearly'!DM37*'Yearly LC Ethylene'!U4*'Scope 3 Yearly'!$B$197</f>
        <v>50.53054510428511</v>
      </c>
      <c r="DN13" s="44">
        <f>'Scope 3 Yearly'!$EE$186*'Scope 3 Yearly'!DN37*'Yearly LC Ethylene'!V4*'Scope 3 Yearly'!$B$197</f>
        <v>62.294459407073184</v>
      </c>
      <c r="DO13" s="44">
        <f>'Scope 3 Yearly'!$EE$186*'Scope 3 Yearly'!DO37*'Yearly LC Ethylene'!W4*'Scope 3 Yearly'!$B$197</f>
        <v>73.397578935565789</v>
      </c>
      <c r="DP13" s="44">
        <f>'Scope 3 Yearly'!$EE$186*'Scope 3 Yearly'!DP37*'Yearly LC Ethylene'!X4*'Scope 3 Yearly'!$B$197</f>
        <v>83.300118304722261</v>
      </c>
      <c r="DQ13" s="44">
        <f>'Scope 3 Yearly'!$EE$186*'Scope 3 Yearly'!DQ37*'Yearly LC Ethylene'!Y4*'Scope 3 Yearly'!$B$197</f>
        <v>90.52607683433672</v>
      </c>
      <c r="DR13" s="44">
        <f>'Scope 3 Yearly'!$EE$186*'Scope 3 Yearly'!DR37*'Yearly LC Ethylene'!Z4*'Scope 3 Yearly'!$B$197</f>
        <v>96.065869709568801</v>
      </c>
      <c r="DS13" s="44">
        <f>'Scope 3 Yearly'!$EE$186*'Scope 3 Yearly'!DS37*'Yearly LC Ethylene'!AA4*'Scope 3 Yearly'!$B$197</f>
        <v>100.10024945975513</v>
      </c>
      <c r="DT13" s="44">
        <f>'Scope 3 Yearly'!$EE$186*'Scope 3 Yearly'!DT37*'Yearly LC Ethylene'!AB4*'Scope 3 Yearly'!$B$197</f>
        <v>102.86498202029081</v>
      </c>
      <c r="DU13" s="44">
        <f>'Scope 3 Yearly'!$EE$186*'Scope 3 Yearly'!DU37*'Yearly LC Ethylene'!AC4*'Scope 3 Yearly'!$B$197</f>
        <v>104.58619662758291</v>
      </c>
      <c r="DV13" s="44">
        <f>'Scope 3 Yearly'!$EE$186*'Scope 3 Yearly'!DV37*'Yearly LC Ethylene'!AD4*'Scope 3 Yearly'!$B$197</f>
        <v>105.39637839640862</v>
      </c>
      <c r="DW13" s="44">
        <f>'Scope 3 Yearly'!$EE$186*'Scope 3 Yearly'!DW37*'Yearly LC Ethylene'!AE4*'Scope 3 Yearly'!$B$197</f>
        <v>105.49375152676653</v>
      </c>
      <c r="DX13" s="44">
        <f>'Scope 3 Yearly'!$EE$186*'Scope 3 Yearly'!DX37*'Yearly LC Ethylene'!AF4*'Scope 3 Yearly'!$B$197</f>
        <v>104.9806032544066</v>
      </c>
      <c r="DY13" s="44">
        <f>'Scope 3 Yearly'!$EE$186*'Scope 3 Yearly'!DY37*'Yearly LC Ethylene'!AG4*'Scope 3 Yearly'!$B$197</f>
        <v>103.93297380531502</v>
      </c>
      <c r="DZ13" s="44">
        <f>'Scope 3 Yearly'!$EE$186*'Scope 3 Yearly'!DZ37*'Yearly LC Ethylene'!AH4*'Scope 3 Yearly'!$B$197</f>
        <v>102.41952932525706</v>
      </c>
    </row>
    <row r="14" spans="1:165">
      <c r="A14" t="s">
        <v>5</v>
      </c>
      <c r="C14" s="54" t="s">
        <v>415</v>
      </c>
      <c r="D14" s="44">
        <f>'Scope 3 Yearly'!$EE$187*'Scope 3 Yearly'!D60*'Yearly HC Propylene'!D71*'Scope 3 Yearly'!$B$197</f>
        <v>2.3762587279603348E-3</v>
      </c>
      <c r="E14" s="44">
        <f>'Scope 3 Yearly'!$EE$187*'Scope 3 Yearly'!E60*'Yearly HC Propylene'!E71*'Scope 3 Yearly'!$B$197</f>
        <v>4.8076700970117589E-3</v>
      </c>
      <c r="F14" s="44">
        <f>'Scope 3 Yearly'!$EE$187*'Scope 3 Yearly'!F60*'Yearly HC Propylene'!F71*'Scope 3 Yearly'!$B$197</f>
        <v>9.6988339892449711E-3</v>
      </c>
      <c r="G14" s="44">
        <f>'Scope 3 Yearly'!$EE$187*'Scope 3 Yearly'!G60*'Yearly HC Propylene'!G71*'Scope 3 Yearly'!$B$197</f>
        <v>1.9497528748369516E-2</v>
      </c>
      <c r="H14" s="44">
        <f>'Scope 3 Yearly'!$EE$187*'Scope 3 Yearly'!H60*'Yearly HC Propylene'!H71*'Scope 3 Yearly'!$B$197</f>
        <v>3.9023073582433704E-2</v>
      </c>
      <c r="I14" s="44">
        <f>'Scope 3 Yearly'!$EE$187*'Scope 3 Yearly'!I60*'Yearly HC Propylene'!I71*'Scope 3 Yearly'!$B$197</f>
        <v>7.7657291082211991E-2</v>
      </c>
      <c r="J14" s="44">
        <f>'Scope 3 Yearly'!$EE$187*'Scope 3 Yearly'!J60*'Yearly HC Propylene'!J71*'Scope 3 Yearly'!$B$197</f>
        <v>0.15308229331291848</v>
      </c>
      <c r="K14" s="44">
        <f>'Scope 3 Yearly'!$EE$187*'Scope 3 Yearly'!K60*'Yearly HC Propylene'!K71*'Scope 3 Yearly'!$B$197</f>
        <v>0.29869105826841957</v>
      </c>
      <c r="L14" s="44">
        <f>'Scope 3 Yearly'!$EE$187*'Scope 3 Yearly'!L60*'Yearly HC Propylene'!L71*'Scope 3 Yearly'!$B$197</f>
        <v>0.57489541194705485</v>
      </c>
      <c r="M14" s="44">
        <f>'Scope 3 Yearly'!$EE$187*'Scope 3 Yearly'!M60*'Yearly HC Propylene'!M71*'Scope 3 Yearly'!$B$197</f>
        <v>1.0866157005529291</v>
      </c>
      <c r="N14" s="44">
        <f>'Scope 3 Yearly'!$EE$187*'Scope 3 Yearly'!N60*'Yearly HC Propylene'!N71*'Scope 3 Yearly'!$B$197</f>
        <v>2.0054480251451121</v>
      </c>
      <c r="O14" s="44">
        <f>'Scope 3 Yearly'!$EE$187*'Scope 3 Yearly'!O60*'Yearly HC Propylene'!O71*'Scope 3 Yearly'!$B$197</f>
        <v>3.5302740851701455</v>
      </c>
      <c r="P14" s="44">
        <f>'Scope 3 Yearly'!$EE$187*'Scope 3 Yearly'!P60*'Yearly HC Propylene'!P71*'Scope 3 Yearly'!$B$197</f>
        <v>5.9788241886019211</v>
      </c>
      <c r="Q14" s="44">
        <f>'Scope 3 Yearly'!$EE$187*'Scope 3 Yearly'!Q60*'Yearly HC Propylene'!Q71*'Scope 3 Yearly'!$B$197</f>
        <v>9.6649587932481804</v>
      </c>
      <c r="R14" s="44">
        <f>'Scope 3 Yearly'!$EE$187*'Scope 3 Yearly'!R60*'Yearly HC Propylene'!R71*'Scope 3 Yearly'!$B$197</f>
        <v>14.809782952634551</v>
      </c>
      <c r="S14" s="44">
        <f>'Scope 3 Yearly'!$EE$187*'Scope 3 Yearly'!S60*'Yearly HC Propylene'!S71*'Scope 3 Yearly'!$B$197</f>
        <v>21.408786380460651</v>
      </c>
      <c r="T14" s="44">
        <f>'Scope 3 Yearly'!$EE$187*'Scope 3 Yearly'!T60*'Yearly HC Propylene'!T71*'Scope 3 Yearly'!$B$197</f>
        <v>29.132293849364782</v>
      </c>
      <c r="U14" s="44">
        <f>'Scope 3 Yearly'!$EE$187*'Scope 3 Yearly'!U60*'Yearly HC Propylene'!U71*'Scope 3 Yearly'!$B$197</f>
        <v>37.409736775139201</v>
      </c>
      <c r="V14" s="44">
        <f>'Scope 3 Yearly'!$EE$187*'Scope 3 Yearly'!V60*'Yearly HC Propylene'!V71*'Scope 3 Yearly'!$B$197</f>
        <v>45.572161054155806</v>
      </c>
      <c r="W14" s="44">
        <f>'Scope 3 Yearly'!$EE$187*'Scope 3 Yearly'!W60*'Yearly HC Propylene'!W71*'Scope 3 Yearly'!$B$197</f>
        <v>53.049486765290233</v>
      </c>
      <c r="X14" s="44">
        <f>'Scope 3 Yearly'!$EE$187*'Scope 3 Yearly'!X60*'Yearly HC Propylene'!X71*'Scope 3 Yearly'!$B$197</f>
        <v>59.485318811276265</v>
      </c>
      <c r="Y14" s="44">
        <f>'Scope 3 Yearly'!$EE$187*'Scope 3 Yearly'!Y60*'Yearly HC Propylene'!Y71*'Scope 3 Yearly'!$B$197</f>
        <v>63.971257780872278</v>
      </c>
      <c r="Z14" s="44">
        <f>'Scope 3 Yearly'!$EE$187*'Scope 3 Yearly'!Z60*'Yearly HC Propylene'!Z71*'Scope 3 Yearly'!$B$197</f>
        <v>67.205551554478689</v>
      </c>
      <c r="AA14" s="44">
        <f>'Scope 3 Yearly'!$EE$187*'Scope 3 Yearly'!AA60*'Yearly HC Propylene'!AA71*'Scope 3 Yearly'!$B$197</f>
        <v>69.333913072881984</v>
      </c>
      <c r="AB14" s="44">
        <f>'Scope 3 Yearly'!$EE$187*'Scope 3 Yearly'!AB60*'Yearly HC Propylene'!AB71*'Scope 3 Yearly'!$B$197</f>
        <v>70.545271349253611</v>
      </c>
      <c r="AC14" s="44">
        <f>'Scope 3 Yearly'!$EE$187*'Scope 3 Yearly'!AC60*'Yearly HC Propylene'!AC71*'Scope 3 Yearly'!$B$197</f>
        <v>71.007905311952442</v>
      </c>
      <c r="AD14" s="44">
        <f>'Scope 3 Yearly'!$EE$187*'Scope 3 Yearly'!AD60*'Yearly HC Propylene'!AD71*'Scope 3 Yearly'!$B$197</f>
        <v>70.830935168080785</v>
      </c>
      <c r="AE14" s="44">
        <f>'Scope 3 Yearly'!$EE$187*'Scope 3 Yearly'!AE60*'Yearly HC Propylene'!AE71*'Scope 3 Yearly'!$B$197</f>
        <v>70.154893866428466</v>
      </c>
      <c r="AF14" s="44">
        <f>'Scope 3 Yearly'!$EE$187*'Scope 3 Yearly'!AF60*'Yearly HC Propylene'!AF71*'Scope 3 Yearly'!$B$197</f>
        <v>69.070290404299413</v>
      </c>
      <c r="AG14" s="44">
        <f>'Scope 3 Yearly'!$EE$187*'Scope 3 Yearly'!AG60*'Yearly HC Propylene'!AG71*'Scope 3 Yearly'!$B$197</f>
        <v>67.480689818230999</v>
      </c>
      <c r="AH14" s="44">
        <f>'Scope 3 Yearly'!$EE$187*'Scope 3 Yearly'!AH60*'Yearly HC Propylene'!AH71*'Scope 3 Yearly'!$B$197</f>
        <v>65.225990077709952</v>
      </c>
      <c r="AJ14" s="44">
        <f>'Scope 3 Yearly'!$EE$187*'Scope 3 Yearly'!AJ60*'Yearly LC Propylene'!D71*'Scope 3 Yearly'!$B$197</f>
        <v>2.3762601990991853E-3</v>
      </c>
      <c r="AK14" s="44">
        <f>'Scope 3 Yearly'!$EE$187*'Scope 3 Yearly'!AK60*'Yearly LC Propylene'!E71*'Scope 3 Yearly'!$B$197</f>
        <v>4.8069176068846094E-3</v>
      </c>
      <c r="AL14" s="44">
        <f>'Scope 3 Yearly'!$EE$187*'Scope 3 Yearly'!AL60*'Yearly LC Propylene'!F71*'Scope 3 Yearly'!$B$197</f>
        <v>9.6957938634645562E-3</v>
      </c>
      <c r="AM14" s="44">
        <f>'Scope 3 Yearly'!$EE$187*'Scope 3 Yearly'!AM60*'Yearly LC Propylene'!G71*'Scope 3 Yearly'!$B$197</f>
        <v>1.9488376001622388E-2</v>
      </c>
      <c r="AN14" s="44">
        <f>'Scope 3 Yearly'!$EE$187*'Scope 3 Yearly'!AN60*'Yearly LC Propylene'!H71*'Scope 3 Yearly'!$B$197</f>
        <v>3.8998765168775824E-2</v>
      </c>
      <c r="AO14" s="44">
        <f>'Scope 3 Yearly'!$EE$187*'Scope 3 Yearly'!AO60*'Yearly LC Propylene'!I71*'Scope 3 Yearly'!$B$197</f>
        <v>7.7597425266886053E-2</v>
      </c>
      <c r="AP14" s="44">
        <f>'Scope 3 Yearly'!$EE$187*'Scope 3 Yearly'!AP60*'Yearly LC Propylene'!J71*'Scope 3 Yearly'!$B$197</f>
        <v>0.15294310199218242</v>
      </c>
      <c r="AQ14" s="44">
        <f>'Scope 3 Yearly'!$EE$187*'Scope 3 Yearly'!AQ60*'Yearly LC Propylene'!K71*'Scope 3 Yearly'!$B$197</f>
        <v>0.29838469754862856</v>
      </c>
      <c r="AR14" s="44">
        <f>'Scope 3 Yearly'!$EE$187*'Scope 3 Yearly'!AR60*'Yearly LC Propylene'!L71*'Scope 3 Yearly'!$B$197</f>
        <v>0.57426339830193285</v>
      </c>
      <c r="AS14" s="44">
        <f>'Scope 3 Yearly'!$EE$187*'Scope 3 Yearly'!AS60*'Yearly LC Propylene'!M71*'Scope 3 Yearly'!$B$197</f>
        <v>1.0854277406031909</v>
      </c>
      <c r="AT14" s="44">
        <f>'Scope 3 Yearly'!$EE$187*'Scope 3 Yearly'!AT60*'Yearly LC Propylene'!N71*'Scope 3 Yearly'!$B$197</f>
        <v>2.0035583216383444</v>
      </c>
      <c r="AU14" s="44">
        <f>'Scope 3 Yearly'!$EE$187*'Scope 3 Yearly'!AU60*'Yearly LC Propylene'!O71*'Scope 3 Yearly'!$B$197</f>
        <v>3.5281495935566705</v>
      </c>
      <c r="AV14" s="44">
        <f>'Scope 3 Yearly'!$EE$187*'Scope 3 Yearly'!AV60*'Yearly LC Propylene'!P71*'Scope 3 Yearly'!$B$197</f>
        <v>5.9792953233530204</v>
      </c>
      <c r="AW14" s="44">
        <f>'Scope 3 Yearly'!$EE$187*'Scope 3 Yearly'!AW60*'Yearly LC Propylene'!Q71*'Scope 3 Yearly'!$B$197</f>
        <v>9.6767066804531989</v>
      </c>
      <c r="AX14" s="44">
        <f>'Scope 3 Yearly'!$EE$187*'Scope 3 Yearly'!AX60*'Yearly LC Propylene'!R71*'Scope 3 Yearly'!$B$197</f>
        <v>14.853261960049474</v>
      </c>
      <c r="AY14" s="44">
        <f>'Scope 3 Yearly'!$EE$187*'Scope 3 Yearly'!AY60*'Yearly LC Propylene'!S71*'Scope 3 Yearly'!$B$197</f>
        <v>21.521950322981311</v>
      </c>
      <c r="AZ14" s="44">
        <f>'Scope 3 Yearly'!$EE$187*'Scope 3 Yearly'!AZ60*'Yearly LC Propylene'!T71*'Scope 3 Yearly'!$B$197</f>
        <v>29.371173116180859</v>
      </c>
      <c r="BA14" s="44">
        <f>'Scope 3 Yearly'!$EE$187*'Scope 3 Yearly'!BA60*'Yearly LC Propylene'!U71*'Scope 3 Yearly'!$B$197</f>
        <v>37.840041943608824</v>
      </c>
      <c r="BB14" s="44">
        <f>'Scope 3 Yearly'!$EE$187*'Scope 3 Yearly'!BB60*'Yearly LC Propylene'!V71*'Scope 3 Yearly'!$B$197</f>
        <v>46.253472444181625</v>
      </c>
      <c r="BC14" s="44">
        <f>'Scope 3 Yearly'!$EE$187*'Scope 3 Yearly'!BC60*'Yearly LC Propylene'!W71*'Scope 3 Yearly'!$B$197</f>
        <v>54.020465401358237</v>
      </c>
      <c r="BD14" s="44">
        <f>'Scope 3 Yearly'!$EE$187*'Scope 3 Yearly'!BD60*'Yearly LC Propylene'!X71*'Scope 3 Yearly'!$B$197</f>
        <v>60.757431235235742</v>
      </c>
      <c r="BE14" s="44">
        <f>'Scope 3 Yearly'!$EE$187*'Scope 3 Yearly'!BE60*'Yearly LC Propylene'!Y71*'Scope 3 Yearly'!$B$197</f>
        <v>65.498929640561954</v>
      </c>
      <c r="BF14" s="44">
        <f>'Scope 3 Yearly'!$EE$187*'Scope 3 Yearly'!BF60*'Yearly LC Propylene'!Z71*'Scope 3 Yearly'!$B$197</f>
        <v>68.943235798332339</v>
      </c>
      <c r="BG14" s="44">
        <f>'Scope 3 Yearly'!$EE$187*'Scope 3 Yearly'!BG60*'Yearly LC Propylene'!AA71*'Scope 3 Yearly'!$B$197</f>
        <v>71.233244911988351</v>
      </c>
      <c r="BH14" s="44">
        <f>'Scope 3 Yearly'!$EE$187*'Scope 3 Yearly'!BH60*'Yearly LC Propylene'!AB71*'Scope 3 Yearly'!$B$197</f>
        <v>72.564103602737021</v>
      </c>
      <c r="BI14" s="44">
        <f>'Scope 3 Yearly'!$EE$187*'Scope 3 Yearly'!BI60*'Yearly LC Propylene'!AC71*'Scope 3 Yearly'!$B$197</f>
        <v>73.115330095416354</v>
      </c>
      <c r="BJ14" s="44">
        <f>'Scope 3 Yearly'!$EE$187*'Scope 3 Yearly'!BJ60*'Yearly LC Propylene'!AD71*'Scope 3 Yearly'!$B$197</f>
        <v>73.008820675214011</v>
      </c>
      <c r="BK14" s="44">
        <f>'Scope 3 Yearly'!$EE$187*'Scope 3 Yearly'!BK60*'Yearly LC Propylene'!AE71*'Scope 3 Yearly'!$B$197</f>
        <v>72.398183757423567</v>
      </c>
      <c r="BL14" s="44">
        <f>'Scope 3 Yearly'!$EE$187*'Scope 3 Yearly'!BL60*'Yearly LC Propylene'!AF71*'Scope 3 Yearly'!$B$197</f>
        <v>71.381828585259285</v>
      </c>
      <c r="BM14" s="44">
        <f>'Scope 3 Yearly'!$EE$187*'Scope 3 Yearly'!BM60*'Yearly LC Propylene'!AG71*'Scope 3 Yearly'!$B$197</f>
        <v>69.929533606784346</v>
      </c>
      <c r="BN14" s="44">
        <f>'Scope 3 Yearly'!$EE$187*'Scope 3 Yearly'!BN60*'Yearly LC Propylene'!AH71*'Scope 3 Yearly'!$B$197</f>
        <v>68.026470883436303</v>
      </c>
      <c r="BP14" s="44">
        <f>'Scope 3 Yearly'!$EE$187*'Scope 3 Yearly'!BP60*'Yearly LC Propylene'!AJ71*'Scope 3 Yearly'!$B$197</f>
        <v>0</v>
      </c>
      <c r="BQ14" s="44">
        <f>'Scope 3 Yearly'!$EE$187*'Scope 3 Yearly'!BQ60*'Yearly LC Propylene'!AK71*'Scope 3 Yearly'!$B$197</f>
        <v>0</v>
      </c>
      <c r="BR14" s="44">
        <f>'Scope 3 Yearly'!$EE$187*'Scope 3 Yearly'!BR60*'Yearly LC Propylene'!AL71*'Scope 3 Yearly'!$B$197</f>
        <v>0</v>
      </c>
      <c r="BS14" s="44">
        <f>'Scope 3 Yearly'!$EE$187*'Scope 3 Yearly'!BS60*'Yearly LC Propylene'!AM71*'Scope 3 Yearly'!$B$197</f>
        <v>0</v>
      </c>
      <c r="BT14" s="44">
        <f>'Scope 3 Yearly'!$EE$187*'Scope 3 Yearly'!BT60*'Yearly LC Propylene'!AN71*'Scope 3 Yearly'!$B$197</f>
        <v>0</v>
      </c>
      <c r="BU14" s="44">
        <f>'Scope 3 Yearly'!$EE$187*'Scope 3 Yearly'!BU60*'Yearly LC Propylene'!AO71*'Scope 3 Yearly'!$B$197</f>
        <v>0</v>
      </c>
      <c r="BV14" s="44">
        <f>'Scope 3 Yearly'!$EE$187*'Scope 3 Yearly'!BV60*'Yearly LC Propylene'!AP71*'Scope 3 Yearly'!$B$197</f>
        <v>0</v>
      </c>
      <c r="BW14" s="44">
        <f>'Scope 3 Yearly'!$EE$187*'Scope 3 Yearly'!BW60*'Yearly LC Propylene'!AQ71*'Scope 3 Yearly'!$B$197</f>
        <v>0</v>
      </c>
      <c r="BX14" s="44">
        <f>'Scope 3 Yearly'!$EE$187*'Scope 3 Yearly'!BX60*'Yearly LC Propylene'!AR71*'Scope 3 Yearly'!$B$197</f>
        <v>0</v>
      </c>
      <c r="BY14" s="44">
        <f>'Scope 3 Yearly'!$EE$187*'Scope 3 Yearly'!BY60*'Yearly LC Propylene'!AS71*'Scope 3 Yearly'!$B$197</f>
        <v>0</v>
      </c>
      <c r="BZ14" s="44">
        <f>'Scope 3 Yearly'!$EE$187*'Scope 3 Yearly'!BZ60*'Yearly LC Propylene'!AT71*'Scope 3 Yearly'!$B$197</f>
        <v>0</v>
      </c>
      <c r="CA14" s="44">
        <f>'Scope 3 Yearly'!$EE$187*'Scope 3 Yearly'!CA60*'Yearly LC Propylene'!AU71*'Scope 3 Yearly'!$B$197</f>
        <v>0</v>
      </c>
      <c r="CB14" s="44">
        <f>'Scope 3 Yearly'!$EE$187*'Scope 3 Yearly'!CB60*'Yearly LC Propylene'!AV71*'Scope 3 Yearly'!$B$197</f>
        <v>0</v>
      </c>
      <c r="CC14" s="44">
        <f>'Scope 3 Yearly'!$EE$187*'Scope 3 Yearly'!CC60*'Yearly LC Propylene'!AW71*'Scope 3 Yearly'!$B$197</f>
        <v>0</v>
      </c>
      <c r="CD14" s="44">
        <f>'Scope 3 Yearly'!$EE$187*'Scope 3 Yearly'!CD60*'Yearly LC Propylene'!AX71*'Scope 3 Yearly'!$B$197</f>
        <v>0</v>
      </c>
      <c r="CE14" s="44">
        <f>'Scope 3 Yearly'!$EE$187*'Scope 3 Yearly'!CE60*'Yearly LC Propylene'!AY71*'Scope 3 Yearly'!$B$197</f>
        <v>0</v>
      </c>
      <c r="CF14" s="44">
        <f>'Scope 3 Yearly'!$EE$187*'Scope 3 Yearly'!CF60*'Yearly LC Propylene'!AZ71*'Scope 3 Yearly'!$B$197</f>
        <v>0</v>
      </c>
      <c r="CG14" s="44">
        <f>'Scope 3 Yearly'!$EE$187*'Scope 3 Yearly'!CG60*'Yearly LC Propylene'!BA71*'Scope 3 Yearly'!$B$197</f>
        <v>0</v>
      </c>
      <c r="CH14" s="44">
        <f>'Scope 3 Yearly'!$EE$187*'Scope 3 Yearly'!CH60*'Yearly LC Propylene'!BB71*'Scope 3 Yearly'!$B$197</f>
        <v>0</v>
      </c>
      <c r="CI14" s="44">
        <f>'Scope 3 Yearly'!$EE$187*'Scope 3 Yearly'!CI60*'Yearly LC Propylene'!BC71*'Scope 3 Yearly'!$B$197</f>
        <v>0</v>
      </c>
      <c r="CJ14" s="44">
        <f>'Scope 3 Yearly'!$EE$187*'Scope 3 Yearly'!CJ60*'Yearly LC Propylene'!BD71*'Scope 3 Yearly'!$B$197</f>
        <v>0</v>
      </c>
      <c r="CK14" s="44">
        <f>'Scope 3 Yearly'!$EE$187*'Scope 3 Yearly'!CK60*'Yearly LC Propylene'!BE71*'Scope 3 Yearly'!$B$197</f>
        <v>0</v>
      </c>
      <c r="CL14" s="44">
        <f>'Scope 3 Yearly'!$EE$187*'Scope 3 Yearly'!CL60*'Yearly LC Propylene'!BF71*'Scope 3 Yearly'!$B$197</f>
        <v>0</v>
      </c>
      <c r="CM14" s="44">
        <f>'Scope 3 Yearly'!$EE$187*'Scope 3 Yearly'!CM60*'Yearly LC Propylene'!BG71*'Scope 3 Yearly'!$B$197</f>
        <v>0</v>
      </c>
      <c r="CN14" s="44">
        <f>'Scope 3 Yearly'!$EE$187*'Scope 3 Yearly'!CN60*'Yearly LC Propylene'!BH71*'Scope 3 Yearly'!$B$197</f>
        <v>0</v>
      </c>
      <c r="CO14" s="44">
        <f>'Scope 3 Yearly'!$EE$187*'Scope 3 Yearly'!CO60*'Yearly LC Propylene'!BI71*'Scope 3 Yearly'!$B$197</f>
        <v>0</v>
      </c>
      <c r="CP14" s="44">
        <f>'Scope 3 Yearly'!$EE$187*'Scope 3 Yearly'!CP60*'Yearly LC Propylene'!BJ71*'Scope 3 Yearly'!$B$197</f>
        <v>0</v>
      </c>
      <c r="CQ14" s="44">
        <f>'Scope 3 Yearly'!$EE$187*'Scope 3 Yearly'!CQ60*'Yearly LC Propylene'!BK71*'Scope 3 Yearly'!$B$197</f>
        <v>0</v>
      </c>
      <c r="CR14" s="44">
        <f>'Scope 3 Yearly'!$EE$187*'Scope 3 Yearly'!CR60*'Yearly LC Propylene'!BL71*'Scope 3 Yearly'!$B$197</f>
        <v>0</v>
      </c>
      <c r="CS14" s="44">
        <f>'Scope 3 Yearly'!$EE$187*'Scope 3 Yearly'!CS60*'Yearly LC Propylene'!BM71*'Scope 3 Yearly'!$B$197</f>
        <v>0</v>
      </c>
      <c r="CT14" s="44">
        <f>'Scope 3 Yearly'!$EE$187*'Scope 3 Yearly'!CT60*'Yearly LC Propylene'!BN71*'Scope 3 Yearly'!$B$197</f>
        <v>0</v>
      </c>
      <c r="CV14" s="44">
        <f>'Scope 3 Yearly'!$EE$187*'Scope 3 Yearly'!CV60*'Yearly LC Propylene'!D4*'Scope 3 Yearly'!$B$197</f>
        <v>2.3762606259231131E-3</v>
      </c>
      <c r="CW14" s="44">
        <f>'Scope 3 Yearly'!$EE$187*'Scope 3 Yearly'!CW60*'Yearly LC Propylene'!E4*'Scope 3 Yearly'!$B$197</f>
        <v>4.8287905939578676E-3</v>
      </c>
      <c r="CX14" s="44">
        <f>'Scope 3 Yearly'!$EE$187*'Scope 3 Yearly'!CX60*'Yearly LC Propylene'!F4*'Scope 3 Yearly'!$B$197</f>
        <v>9.7845222178332466E-3</v>
      </c>
      <c r="CY14" s="44">
        <f>'Scope 3 Yearly'!$EE$187*'Scope 3 Yearly'!CY60*'Yearly LC Propylene'!G4*'Scope 3 Yearly'!$B$197</f>
        <v>1.9756856308520723E-2</v>
      </c>
      <c r="CZ14" s="44">
        <f>'Scope 3 Yearly'!$EE$187*'Scope 3 Yearly'!CZ60*'Yearly LC Propylene'!H4*'Scope 3 Yearly'!$B$197</f>
        <v>3.9716255746209725E-2</v>
      </c>
      <c r="DA14" s="44">
        <f>'Scope 3 Yearly'!$EE$187*'Scope 3 Yearly'!DA60*'Yearly LC Propylene'!I4*'Scope 3 Yearly'!$B$197</f>
        <v>7.9381072899829333E-2</v>
      </c>
      <c r="DB14" s="44">
        <f>'Scope 3 Yearly'!$EE$187*'Scope 3 Yearly'!DB60*'Yearly LC Propylene'!J4*'Scope 3 Yearly'!$B$197</f>
        <v>0.15718137518730385</v>
      </c>
      <c r="DC14" s="44">
        <f>'Scope 3 Yearly'!$EE$187*'Scope 3 Yearly'!DC60*'Yearly LC Propylene'!K4*'Scope 3 Yearly'!$B$197</f>
        <v>0.3080950608153839</v>
      </c>
      <c r="DD14" s="44">
        <f>'Scope 3 Yearly'!$EE$187*'Scope 3 Yearly'!DD60*'Yearly LC Propylene'!L4*'Scope 3 Yearly'!$B$197</f>
        <v>0.59579000828716266</v>
      </c>
      <c r="DE14" s="44">
        <f>'Scope 3 Yearly'!$EE$187*'Scope 3 Yearly'!DE60*'Yearly LC Propylene'!M4*'Scope 3 Yearly'!$B$197</f>
        <v>1.1316118468131777</v>
      </c>
      <c r="DF14" s="44">
        <f>'Scope 3 Yearly'!$EE$187*'Scope 3 Yearly'!DF60*'Yearly LC Propylene'!N4*'Scope 3 Yearly'!$B$197</f>
        <v>2.0992367739870734</v>
      </c>
      <c r="DG14" s="44">
        <f>'Scope 3 Yearly'!$EE$187*'Scope 3 Yearly'!DG60*'Yearly LC Propylene'!O4*'Scope 3 Yearly'!$B$197</f>
        <v>3.7284544260597499</v>
      </c>
      <c r="DH14" s="44">
        <f>'Scope 3 Yearly'!$EE$187*'Scope 3 Yearly'!DH60*'Yearly LC Propylene'!P4*'Scope 3 Yearly'!$B$197</f>
        <v>6.3749352678189064</v>
      </c>
      <c r="DI14" s="44">
        <f>'Scope 3 Yearly'!$EE$187*'Scope 3 Yearly'!DI60*'Yearly LC Propylene'!Q4*'Scope 3 Yearly'!$B$197</f>
        <v>10.411943170973004</v>
      </c>
      <c r="DJ14" s="44">
        <f>'Scope 3 Yearly'!$EE$187*'Scope 3 Yearly'!DJ60*'Yearly LC Propylene'!R4*'Scope 3 Yearly'!$B$197</f>
        <v>16.133456628054166</v>
      </c>
      <c r="DK14" s="44">
        <f>'Scope 3 Yearly'!$EE$187*'Scope 3 Yearly'!DK60*'Yearly LC Propylene'!S4*'Scope 3 Yearly'!$B$197</f>
        <v>23.604586974499142</v>
      </c>
      <c r="DL14" s="44">
        <f>'Scope 3 Yearly'!$EE$187*'Scope 3 Yearly'!DL60*'Yearly LC Propylene'!T4*'Scope 3 Yearly'!$B$197</f>
        <v>32.542768781381632</v>
      </c>
      <c r="DM14" s="44">
        <f>'Scope 3 Yearly'!$EE$187*'Scope 3 Yearly'!DM60*'Yearly LC Propylene'!U4*'Scope 3 Yearly'!$B$197</f>
        <v>42.371449829969215</v>
      </c>
      <c r="DN14" s="44">
        <f>'Scope 3 Yearly'!$EE$187*'Scope 3 Yearly'!DN60*'Yearly LC Propylene'!V4*'Scope 3 Yearly'!$B$197</f>
        <v>52.358827542560334</v>
      </c>
      <c r="DO14" s="44">
        <f>'Scope 3 Yearly'!$EE$187*'Scope 3 Yearly'!DO60*'Yearly LC Propylene'!W4*'Scope 3 Yearly'!$B$197</f>
        <v>61.83425070046939</v>
      </c>
      <c r="DP14" s="44">
        <f>'Scope 3 Yearly'!$EE$187*'Scope 3 Yearly'!DP60*'Yearly LC Propylene'!X4*'Scope 3 Yearly'!$B$197</f>
        <v>70.335127138839425</v>
      </c>
      <c r="DQ14" s="44">
        <f>'Scope 3 Yearly'!$EE$187*'Scope 3 Yearly'!DQ60*'Yearly LC Propylene'!Y4*'Scope 3 Yearly'!$B$197</f>
        <v>77.111793472451467</v>
      </c>
      <c r="DR14" s="44">
        <f>'Scope 3 Yearly'!$EE$187*'Scope 3 Yearly'!DR60*'Yearly LC Propylene'!Z4*'Scope 3 Yearly'!$B$197</f>
        <v>82.577077399848676</v>
      </c>
      <c r="DS14" s="44">
        <f>'Scope 3 Yearly'!$EE$187*'Scope 3 Yearly'!DS60*'Yearly LC Propylene'!AA4*'Scope 3 Yearly'!$B$197</f>
        <v>86.848026207452662</v>
      </c>
      <c r="DT14" s="44">
        <f>'Scope 3 Yearly'!$EE$187*'Scope 3 Yearly'!DT60*'Yearly LC Propylene'!AB4*'Scope 3 Yearly'!$B$197</f>
        <v>90.101253870733544</v>
      </c>
      <c r="DU14" s="44">
        <f>'Scope 3 Yearly'!$EE$187*'Scope 3 Yearly'!DU60*'Yearly LC Propylene'!AC4*'Scope 3 Yearly'!$B$197</f>
        <v>92.513194748330307</v>
      </c>
      <c r="DV14" s="44">
        <f>'Scope 3 Yearly'!$EE$187*'Scope 3 Yearly'!DV60*'Yearly LC Propylene'!AD4*'Scope 3 Yearly'!$B$197</f>
        <v>94.208331327601201</v>
      </c>
      <c r="DW14" s="44">
        <f>'Scope 3 Yearly'!$EE$187*'Scope 3 Yearly'!DW60*'Yearly LC Propylene'!AE4*'Scope 3 Yearly'!$B$197</f>
        <v>95.343979530550712</v>
      </c>
      <c r="DX14" s="44">
        <f>'Scope 3 Yearly'!$EE$187*'Scope 3 Yearly'!DX60*'Yearly LC Propylene'!AF4*'Scope 3 Yearly'!$B$197</f>
        <v>96.020874490421093</v>
      </c>
      <c r="DY14" s="44">
        <f>'Scope 3 Yearly'!$EE$187*'Scope 3 Yearly'!DY60*'Yearly LC Propylene'!AG4*'Scope 3 Yearly'!$B$197</f>
        <v>96.223430739541158</v>
      </c>
      <c r="DZ14" s="44">
        <f>'Scope 3 Yearly'!$EE$187*'Scope 3 Yearly'!DZ60*'Yearly LC Propylene'!AH4*'Scope 3 Yearly'!$B$197</f>
        <v>95.937090237396148</v>
      </c>
    </row>
    <row r="15" spans="1:165">
      <c r="A15" t="s">
        <v>6</v>
      </c>
      <c r="C15" s="54" t="s">
        <v>415</v>
      </c>
      <c r="D15" s="44">
        <f>'Scope 3 Yearly'!$EE$188*'Scope 3 Yearly'!D83*'Yearly Methanol'!D122*'Scope 3 Yearly'!$B$197</f>
        <v>1.3367979852345079E-3</v>
      </c>
      <c r="E15" s="44">
        <f>'Scope 3 Yearly'!$EE$188*'Scope 3 Yearly'!E83*'Yearly Methanol'!E122*'Scope 3 Yearly'!$B$197</f>
        <v>2.8885648103533215E-3</v>
      </c>
      <c r="F15" s="44">
        <f>'Scope 3 Yearly'!$EE$188*'Scope 3 Yearly'!F83*'Yearly Methanol'!F122*'Scope 3 Yearly'!$B$197</f>
        <v>6.0267983716495608E-3</v>
      </c>
      <c r="G15" s="44">
        <f>'Scope 3 Yearly'!$EE$188*'Scope 3 Yearly'!G83*'Yearly Methanol'!G122*'Scope 3 Yearly'!$B$197</f>
        <v>1.2497405846430634E-2</v>
      </c>
      <c r="H15" s="44">
        <f>'Scope 3 Yearly'!$EE$188*'Scope 3 Yearly'!H83*'Yearly Methanol'!H122*'Scope 3 Yearly'!$B$197</f>
        <v>2.5738480478807932E-2</v>
      </c>
      <c r="I15" s="44">
        <f>'Scope 3 Yearly'!$EE$188*'Scope 3 Yearly'!I83*'Yearly Methanol'!I122*'Scope 3 Yearly'!$B$197</f>
        <v>5.2596404810080738E-2</v>
      </c>
      <c r="J15" s="44">
        <f>'Scope 3 Yearly'!$EE$188*'Scope 3 Yearly'!J83*'Yearly Methanol'!J122*'Scope 3 Yearly'!$B$197</f>
        <v>0.10643967905360663</v>
      </c>
      <c r="K15" s="44">
        <f>'Scope 3 Yearly'!$EE$188*'Scope 3 Yearly'!K83*'Yearly Methanol'!K122*'Scope 3 Yearly'!$B$197</f>
        <v>0.21282906974697047</v>
      </c>
      <c r="L15" s="44">
        <f>'Scope 3 Yearly'!$EE$188*'Scope 3 Yearly'!L83*'Yearly Methanol'!L122*'Scope 3 Yearly'!$B$197</f>
        <v>0.41909884907501743</v>
      </c>
      <c r="M15" s="44">
        <f>'Scope 3 Yearly'!$EE$188*'Scope 3 Yearly'!M83*'Yearly Methanol'!M122*'Scope 3 Yearly'!$B$197</f>
        <v>0.80922779007413614</v>
      </c>
      <c r="N15" s="44">
        <f>'Scope 3 Yearly'!$EE$188*'Scope 3 Yearly'!N83*'Yearly Methanol'!N122*'Scope 3 Yearly'!$B$197</f>
        <v>1.5236346970792334</v>
      </c>
      <c r="O15" s="44">
        <f>'Scope 3 Yearly'!$EE$188*'Scope 3 Yearly'!O83*'Yearly Methanol'!O122*'Scope 3 Yearly'!$B$197</f>
        <v>2.6741798028931747</v>
      </c>
      <c r="P15" s="44">
        <f>'Scope 3 Yearly'!$EE$188*'Scope 3 Yearly'!P83*'Yearly Methanol'!P122*'Scope 3 Yearly'!$B$197</f>
        <v>4.5137609885598877</v>
      </c>
      <c r="Q15" s="44">
        <f>'Scope 3 Yearly'!$EE$188*'Scope 3 Yearly'!Q83*'Yearly Methanol'!Q122*'Scope 3 Yearly'!$B$197</f>
        <v>7.2694738189476213</v>
      </c>
      <c r="R15" s="44">
        <f>'Scope 3 Yearly'!$EE$188*'Scope 3 Yearly'!R83*'Yearly Methanol'!R122*'Scope 3 Yearly'!$B$197</f>
        <v>11.092865847887618</v>
      </c>
      <c r="S15" s="44">
        <f>'Scope 3 Yearly'!$EE$188*'Scope 3 Yearly'!S83*'Yearly Methanol'!S122*'Scope 3 Yearly'!$B$197</f>
        <v>15.960904913943263</v>
      </c>
      <c r="T15" s="44">
        <f>'Scope 3 Yearly'!$EE$188*'Scope 3 Yearly'!T83*'Yearly Methanol'!T122*'Scope 3 Yearly'!$B$197</f>
        <v>21.576872378689206</v>
      </c>
      <c r="U15" s="44">
        <f>'Scope 3 Yearly'!$EE$188*'Scope 3 Yearly'!U83*'Yearly Methanol'!U122*'Scope 3 Yearly'!$B$197</f>
        <v>27.510238769090957</v>
      </c>
      <c r="V15" s="44">
        <f>'Scope 3 Yearly'!$EE$188*'Scope 3 Yearly'!V83*'Yearly Methanol'!V122*'Scope 3 Yearly'!$B$197</f>
        <v>33.248802973818982</v>
      </c>
      <c r="W15" s="44">
        <f>'Scope 3 Yearly'!$EE$188*'Scope 3 Yearly'!W83*'Yearly Methanol'!W122*'Scope 3 Yearly'!$B$197</f>
        <v>38.363612338922287</v>
      </c>
      <c r="X15" s="44">
        <f>'Scope 3 Yearly'!$EE$188*'Scope 3 Yearly'!X83*'Yearly Methanol'!X122*'Scope 3 Yearly'!$B$197</f>
        <v>42.593327196991872</v>
      </c>
      <c r="Y15" s="44">
        <f>'Scope 3 Yearly'!$EE$188*'Scope 3 Yearly'!Y83*'Yearly Methanol'!Y122*'Scope 3 Yearly'!$B$197</f>
        <v>45.835051539400339</v>
      </c>
      <c r="Z15" s="44">
        <f>'Scope 3 Yearly'!$EE$188*'Scope 3 Yearly'!Z83*'Yearly Methanol'!Z122*'Scope 3 Yearly'!$B$197</f>
        <v>48.164653936994796</v>
      </c>
      <c r="AA15" s="44">
        <f>'Scope 3 Yearly'!$EE$188*'Scope 3 Yearly'!AA83*'Yearly Methanol'!AA122*'Scope 3 Yearly'!$B$197</f>
        <v>49.691146194855925</v>
      </c>
      <c r="AB15" s="44">
        <f>'Scope 3 Yearly'!$EE$188*'Scope 3 Yearly'!AB83*'Yearly Methanol'!AB122*'Scope 3 Yearly'!$B$197</f>
        <v>50.543799937624662</v>
      </c>
      <c r="AC15" s="44">
        <f>'Scope 3 Yearly'!$EE$188*'Scope 3 Yearly'!AC83*'Yearly Methanol'!AC122*'Scope 3 Yearly'!$B$197</f>
        <v>50.843805285673035</v>
      </c>
      <c r="AD15" s="44">
        <f>'Scope 3 Yearly'!$EE$188*'Scope 3 Yearly'!AD83*'Yearly Methanol'!AD122*'Scope 3 Yearly'!$B$197</f>
        <v>50.691915983332393</v>
      </c>
      <c r="AE15" s="44">
        <f>'Scope 3 Yearly'!$EE$188*'Scope 3 Yearly'!AE83*'Yearly Methanol'!AE122*'Scope 3 Yearly'!$B$197</f>
        <v>50.166710936258092</v>
      </c>
      <c r="AF15" s="44">
        <f>'Scope 3 Yearly'!$EE$188*'Scope 3 Yearly'!AF83*'Yearly Methanol'!AF122*'Scope 3 Yearly'!$B$197</f>
        <v>49.329551460593059</v>
      </c>
      <c r="AG15" s="44">
        <f>'Scope 3 Yearly'!$EE$188*'Scope 3 Yearly'!AG83*'Yearly Methanol'!AG122*'Scope 3 Yearly'!$B$197</f>
        <v>48.232946161633365</v>
      </c>
      <c r="AH15" s="44">
        <f>'Scope 3 Yearly'!$EE$188*'Scope 3 Yearly'!AH83*'Yearly Methanol'!AH122*'Scope 3 Yearly'!$B$197</f>
        <v>46.92834832721352</v>
      </c>
      <c r="AJ15" s="44">
        <f>'Scope 3 Yearly'!$EE$188*'Scope 3 Yearly'!AJ83*'Yearly Methanol'!AJ122*'Scope 3 Yearly'!$B$197</f>
        <v>1.3367984064809929E-3</v>
      </c>
      <c r="AK15" s="44">
        <f>'Scope 3 Yearly'!$EE$188*'Scope 3 Yearly'!AK83*'Yearly Methanol'!AK122*'Scope 3 Yearly'!$B$197</f>
        <v>2.8085778829220562E-3</v>
      </c>
      <c r="AL15" s="44">
        <f>'Scope 3 Yearly'!$EE$188*'Scope 3 Yearly'!AL83*'Yearly Methanol'!AL122*'Scope 3 Yearly'!$B$197</f>
        <v>5.8608296825822716E-3</v>
      </c>
      <c r="AM15" s="44">
        <f>'Scope 3 Yearly'!$EE$188*'Scope 3 Yearly'!AM83*'Yearly Methanol'!AM122*'Scope 3 Yearly'!$B$197</f>
        <v>1.2156139948108735E-2</v>
      </c>
      <c r="AN15" s="44">
        <f>'Scope 3 Yearly'!$EE$188*'Scope 3 Yearly'!AN83*'Yearly Methanol'!AN122*'Scope 3 Yearly'!$B$197</f>
        <v>2.5043718269706021E-2</v>
      </c>
      <c r="AO15" s="44">
        <f>'Scope 3 Yearly'!$EE$188*'Scope 3 Yearly'!AO83*'Yearly Methanol'!AO122*'Scope 3 Yearly'!$B$197</f>
        <v>5.1197729412353045E-2</v>
      </c>
      <c r="AP15" s="44">
        <f>'Scope 3 Yearly'!$EE$188*'Scope 3 Yearly'!AP83*'Yearly Methanol'!AP122*'Scope 3 Yearly'!$B$197</f>
        <v>0.10366174110589983</v>
      </c>
      <c r="AQ15" s="44">
        <f>'Scope 3 Yearly'!$EE$188*'Scope 3 Yearly'!AQ83*'Yearly Methanol'!AQ122*'Scope 3 Yearly'!$B$197</f>
        <v>0.20740176521941198</v>
      </c>
      <c r="AR15" s="44">
        <f>'Scope 3 Yearly'!$EE$188*'Scope 3 Yearly'!AR83*'Yearly Methanol'!AR122*'Scope 3 Yearly'!$B$197</f>
        <v>0.40871312760653145</v>
      </c>
      <c r="AS15" s="44">
        <f>'Scope 3 Yearly'!$EE$188*'Scope 3 Yearly'!AS83*'Yearly Methanol'!AS122*'Scope 3 Yearly'!$B$197</f>
        <v>0.78987891835270874</v>
      </c>
      <c r="AT15" s="44">
        <f>'Scope 3 Yearly'!$EE$188*'Scope 3 Yearly'!AT83*'Yearly Methanol'!AT122*'Scope 3 Yearly'!$B$197</f>
        <v>1.4888361396281373</v>
      </c>
      <c r="AU15" s="44">
        <f>'Scope 3 Yearly'!$EE$188*'Scope 3 Yearly'!AU83*'Yearly Methanol'!AU122*'Scope 3 Yearly'!$B$197</f>
        <v>2.6119407621086861</v>
      </c>
      <c r="AV15" s="44">
        <f>'Scope 3 Yearly'!$EE$188*'Scope 3 Yearly'!AV83*'Yearly Methanol'!AV122*'Scope 3 Yearly'!$B$197</f>
        <v>4.4083723767156799</v>
      </c>
      <c r="AW15" s="44">
        <f>'Scope 3 Yearly'!$EE$188*'Scope 3 Yearly'!AW83*'Yearly Methanol'!AW122*'Scope 3 Yearly'!$B$197</f>
        <v>7.102601079637898</v>
      </c>
      <c r="AX15" s="44">
        <f>'Scope 3 Yearly'!$EE$188*'Scope 3 Yearly'!AX83*'Yearly Methanol'!AX122*'Scope 3 Yearly'!$B$197</f>
        <v>10.848769589676746</v>
      </c>
      <c r="AY15" s="44">
        <f>'Scope 3 Yearly'!$EE$188*'Scope 3 Yearly'!AY83*'Yearly Methanol'!AY122*'Scope 3 Yearly'!$B$197</f>
        <v>15.634443366660429</v>
      </c>
      <c r="AZ15" s="44">
        <f>'Scope 3 Yearly'!$EE$188*'Scope 3 Yearly'!AZ83*'Yearly Methanol'!AZ122*'Scope 3 Yearly'!$B$197</f>
        <v>21.181051822520068</v>
      </c>
      <c r="BA15" s="44">
        <f>'Scope 3 Yearly'!$EE$188*'Scope 3 Yearly'!BA83*'Yearly Methanol'!BA122*'Scope 3 Yearly'!$B$197</f>
        <v>27.07550527510805</v>
      </c>
      <c r="BB15" s="44">
        <f>'Scope 3 Yearly'!$EE$188*'Scope 3 Yearly'!BB83*'Yearly Methanol'!BB122*'Scope 3 Yearly'!$B$197</f>
        <v>32.816434664669607</v>
      </c>
      <c r="BC15" s="44">
        <f>'Scope 3 Yearly'!$EE$188*'Scope 3 Yearly'!BC83*'Yearly Methanol'!BC122*'Scope 3 Yearly'!$B$197</f>
        <v>37.975276251193215</v>
      </c>
      <c r="BD15" s="44">
        <f>'Scope 3 Yearly'!$EE$188*'Scope 3 Yearly'!BD83*'Yearly Methanol'!BD122*'Scope 3 Yearly'!$B$197</f>
        <v>42.283069227632055</v>
      </c>
      <c r="BE15" s="44">
        <f>'Scope 3 Yearly'!$EE$188*'Scope 3 Yearly'!BE83*'Yearly Methanol'!BE122*'Scope 3 Yearly'!$B$197</f>
        <v>45.507625083168868</v>
      </c>
      <c r="BF15" s="44">
        <f>'Scope 3 Yearly'!$EE$188*'Scope 3 Yearly'!BF83*'Yearly Methanol'!BF122*'Scope 3 Yearly'!$B$197</f>
        <v>47.818469757228343</v>
      </c>
      <c r="BG15" s="44">
        <f>'Scope 3 Yearly'!$EE$188*'Scope 3 Yearly'!BG83*'Yearly Methanol'!BG122*'Scope 3 Yearly'!$B$197</f>
        <v>49.326156586929521</v>
      </c>
      <c r="BH15" s="44">
        <f>'Scope 3 Yearly'!$EE$188*'Scope 3 Yearly'!BH83*'Yearly Methanol'!BH122*'Scope 3 Yearly'!$B$197</f>
        <v>50.16396805233844</v>
      </c>
      <c r="BI15" s="44">
        <f>'Scope 3 Yearly'!$EE$188*'Scope 3 Yearly'!BI83*'Yearly Methanol'!BI122*'Scope 3 Yearly'!$B$197</f>
        <v>50.45950636236762</v>
      </c>
      <c r="BJ15" s="44">
        <f>'Scope 3 Yearly'!$EE$188*'Scope 3 Yearly'!BJ83*'Yearly Methanol'!BJ122*'Scope 3 Yearly'!$B$197</f>
        <v>50.321329594219108</v>
      </c>
      <c r="BK15" s="44">
        <f>'Scope 3 Yearly'!$EE$188*'Scope 3 Yearly'!BK83*'Yearly Methanol'!BK122*'Scope 3 Yearly'!$B$197</f>
        <v>49.78061451945139</v>
      </c>
      <c r="BL15" s="44">
        <f>'Scope 3 Yearly'!$EE$188*'Scope 3 Yearly'!BL83*'Yearly Methanol'!BL122*'Scope 3 Yearly'!$B$197</f>
        <v>48.927532766188804</v>
      </c>
      <c r="BM15" s="44">
        <f>'Scope 3 Yearly'!$EE$188*'Scope 3 Yearly'!BM83*'Yearly Methanol'!BM122*'Scope 3 Yearly'!$B$197</f>
        <v>47.836459465576134</v>
      </c>
      <c r="BN15" s="44">
        <f>'Scope 3 Yearly'!$EE$188*'Scope 3 Yearly'!BN83*'Yearly Methanol'!BN122*'Scope 3 Yearly'!$B$197</f>
        <v>46.550554542317464</v>
      </c>
      <c r="BP15" s="44">
        <f>'Scope 3 Yearly'!$EE$188*'Scope 3 Yearly'!BP83*'Yearly Methanol'!BP122*'Scope 3 Yearly'!$B$197</f>
        <v>0</v>
      </c>
      <c r="BQ15" s="44">
        <f>'Scope 3 Yearly'!$EE$188*'Scope 3 Yearly'!BQ83*'Yearly Methanol'!BQ122*'Scope 3 Yearly'!$B$197</f>
        <v>0</v>
      </c>
      <c r="BR15" s="44">
        <f>'Scope 3 Yearly'!$EE$188*'Scope 3 Yearly'!BR83*'Yearly Methanol'!BR122*'Scope 3 Yearly'!$B$197</f>
        <v>0</v>
      </c>
      <c r="BS15" s="44">
        <f>'Scope 3 Yearly'!$EE$188*'Scope 3 Yearly'!BS83*'Yearly Methanol'!BS122*'Scope 3 Yearly'!$B$197</f>
        <v>0</v>
      </c>
      <c r="BT15" s="44">
        <f>'Scope 3 Yearly'!$EE$188*'Scope 3 Yearly'!BT83*'Yearly Methanol'!BT122*'Scope 3 Yearly'!$B$197</f>
        <v>0</v>
      </c>
      <c r="BU15" s="44">
        <f>'Scope 3 Yearly'!$EE$188*'Scope 3 Yearly'!BU83*'Yearly Methanol'!BU122*'Scope 3 Yearly'!$B$197</f>
        <v>0</v>
      </c>
      <c r="BV15" s="44">
        <f>'Scope 3 Yearly'!$EE$188*'Scope 3 Yearly'!BV83*'Yearly Methanol'!BV122*'Scope 3 Yearly'!$B$197</f>
        <v>0</v>
      </c>
      <c r="BW15" s="44">
        <f>'Scope 3 Yearly'!$EE$188*'Scope 3 Yearly'!BW83*'Yearly Methanol'!BW122*'Scope 3 Yearly'!$B$197</f>
        <v>0</v>
      </c>
      <c r="BX15" s="44">
        <f>'Scope 3 Yearly'!$EE$188*'Scope 3 Yearly'!BX83*'Yearly Methanol'!BX122*'Scope 3 Yearly'!$B$197</f>
        <v>0</v>
      </c>
      <c r="BY15" s="44">
        <f>'Scope 3 Yearly'!$EE$188*'Scope 3 Yearly'!BY83*'Yearly Methanol'!BY122*'Scope 3 Yearly'!$B$197</f>
        <v>0</v>
      </c>
      <c r="BZ15" s="44">
        <f>'Scope 3 Yearly'!$EE$188*'Scope 3 Yearly'!BZ83*'Yearly Methanol'!BZ122*'Scope 3 Yearly'!$B$197</f>
        <v>0</v>
      </c>
      <c r="CA15" s="44">
        <f>'Scope 3 Yearly'!$EE$188*'Scope 3 Yearly'!CA83*'Yearly Methanol'!CA122*'Scope 3 Yearly'!$B$197</f>
        <v>0</v>
      </c>
      <c r="CB15" s="44">
        <f>'Scope 3 Yearly'!$EE$188*'Scope 3 Yearly'!CB83*'Yearly Methanol'!CB122*'Scope 3 Yearly'!$B$197</f>
        <v>0</v>
      </c>
      <c r="CC15" s="44">
        <f>'Scope 3 Yearly'!$EE$188*'Scope 3 Yearly'!CC83*'Yearly Methanol'!CC122*'Scope 3 Yearly'!$B$197</f>
        <v>0</v>
      </c>
      <c r="CD15" s="44">
        <f>'Scope 3 Yearly'!$EE$188*'Scope 3 Yearly'!CD83*'Yearly Methanol'!CD122*'Scope 3 Yearly'!$B$197</f>
        <v>0</v>
      </c>
      <c r="CE15" s="44">
        <f>'Scope 3 Yearly'!$EE$188*'Scope 3 Yearly'!CE83*'Yearly Methanol'!CE122*'Scope 3 Yearly'!$B$197</f>
        <v>0</v>
      </c>
      <c r="CF15" s="44">
        <f>'Scope 3 Yearly'!$EE$188*'Scope 3 Yearly'!CF83*'Yearly Methanol'!CF122*'Scope 3 Yearly'!$B$197</f>
        <v>0</v>
      </c>
      <c r="CG15" s="44">
        <f>'Scope 3 Yearly'!$EE$188*'Scope 3 Yearly'!CG83*'Yearly Methanol'!CG122*'Scope 3 Yearly'!$B$197</f>
        <v>0</v>
      </c>
      <c r="CH15" s="44">
        <f>'Scope 3 Yearly'!$EE$188*'Scope 3 Yearly'!CH83*'Yearly Methanol'!CH122*'Scope 3 Yearly'!$B$197</f>
        <v>0</v>
      </c>
      <c r="CI15" s="44">
        <f>'Scope 3 Yearly'!$EE$188*'Scope 3 Yearly'!CI83*'Yearly Methanol'!CI122*'Scope 3 Yearly'!$B$197</f>
        <v>0</v>
      </c>
      <c r="CJ15" s="44">
        <f>'Scope 3 Yearly'!$EE$188*'Scope 3 Yearly'!CJ83*'Yearly Methanol'!CJ122*'Scope 3 Yearly'!$B$197</f>
        <v>0</v>
      </c>
      <c r="CK15" s="44">
        <f>'Scope 3 Yearly'!$EE$188*'Scope 3 Yearly'!CK83*'Yearly Methanol'!CK122*'Scope 3 Yearly'!$B$197</f>
        <v>0</v>
      </c>
      <c r="CL15" s="44">
        <f>'Scope 3 Yearly'!$EE$188*'Scope 3 Yearly'!CL83*'Yearly Methanol'!CL122*'Scope 3 Yearly'!$B$197</f>
        <v>0</v>
      </c>
      <c r="CM15" s="44">
        <f>'Scope 3 Yearly'!$EE$188*'Scope 3 Yearly'!CM83*'Yearly Methanol'!CM122*'Scope 3 Yearly'!$B$197</f>
        <v>0</v>
      </c>
      <c r="CN15" s="44">
        <f>'Scope 3 Yearly'!$EE$188*'Scope 3 Yearly'!CN83*'Yearly Methanol'!CN122*'Scope 3 Yearly'!$B$197</f>
        <v>0</v>
      </c>
      <c r="CO15" s="44">
        <f>'Scope 3 Yearly'!$EE$188*'Scope 3 Yearly'!CO83*'Yearly Methanol'!CO122*'Scope 3 Yearly'!$B$197</f>
        <v>0</v>
      </c>
      <c r="CP15" s="44">
        <f>'Scope 3 Yearly'!$EE$188*'Scope 3 Yearly'!CP83*'Yearly Methanol'!CP122*'Scope 3 Yearly'!$B$197</f>
        <v>0</v>
      </c>
      <c r="CQ15" s="44">
        <f>'Scope 3 Yearly'!$EE$188*'Scope 3 Yearly'!CQ83*'Yearly Methanol'!CQ122*'Scope 3 Yearly'!$B$197</f>
        <v>0</v>
      </c>
      <c r="CR15" s="44">
        <f>'Scope 3 Yearly'!$EE$188*'Scope 3 Yearly'!CR83*'Yearly Methanol'!CR122*'Scope 3 Yearly'!$B$197</f>
        <v>0</v>
      </c>
      <c r="CS15" s="44">
        <f>'Scope 3 Yearly'!$EE$188*'Scope 3 Yearly'!CS83*'Yearly Methanol'!CS122*'Scope 3 Yearly'!$B$197</f>
        <v>0</v>
      </c>
      <c r="CT15" s="44">
        <f>'Scope 3 Yearly'!$EE$188*'Scope 3 Yearly'!CT83*'Yearly Methanol'!CT122*'Scope 3 Yearly'!$B$197</f>
        <v>0</v>
      </c>
      <c r="CV15" s="44">
        <f>'Scope 3 Yearly'!$EE$188*'Scope 3 Yearly'!CV83*'Yearly Methanol'!D6*'Scope 3 Yearly'!$B$197</f>
        <v>1.3367984449276509E-3</v>
      </c>
      <c r="CW15" s="44">
        <f>'Scope 3 Yearly'!$EE$188*'Scope 3 Yearly'!CW83*'Yearly Methanol'!E6*'Scope 3 Yearly'!$B$197</f>
        <v>2.828901850376648E-3</v>
      </c>
      <c r="CX15" s="44">
        <f>'Scope 3 Yearly'!$EE$188*'Scope 3 Yearly'!CX83*'Yearly Methanol'!F6*'Scope 3 Yearly'!$B$197</f>
        <v>5.9492681482649903E-3</v>
      </c>
      <c r="CY15" s="44">
        <f>'Scope 3 Yearly'!$EE$188*'Scope 3 Yearly'!CY83*'Yearly Methanol'!G6*'Scope 3 Yearly'!$B$197</f>
        <v>1.2430415790198364E-2</v>
      </c>
      <c r="CZ15" s="44">
        <f>'Scope 3 Yearly'!$EE$188*'Scope 3 Yearly'!CZ83*'Yearly Methanol'!H6*'Scope 3 Yearly'!$B$197</f>
        <v>2.5787976341890728E-2</v>
      </c>
      <c r="DA15" s="44">
        <f>'Scope 3 Yearly'!$EE$188*'Scope 3 Yearly'!DA83*'Yearly Methanol'!I6*'Scope 3 Yearly'!$B$197</f>
        <v>5.3064248802128872E-2</v>
      </c>
      <c r="DB15" s="44">
        <f>'Scope 3 Yearly'!$EE$188*'Scope 3 Yearly'!DB83*'Yearly Methanol'!J6*'Scope 3 Yearly'!$B$197</f>
        <v>0.1081285709594277</v>
      </c>
      <c r="DC15" s="44">
        <f>'Scope 3 Yearly'!$EE$188*'Scope 3 Yearly'!DC83*'Yearly Methanol'!K6*'Scope 3 Yearly'!$B$197</f>
        <v>0.21768194826765197</v>
      </c>
      <c r="DD15" s="44">
        <f>'Scope 3 Yearly'!$EE$188*'Scope 3 Yearly'!DD83*'Yearly Methanol'!L6*'Scope 3 Yearly'!$B$197</f>
        <v>0.43156824188388571</v>
      </c>
      <c r="DE15" s="44">
        <f>'Scope 3 Yearly'!$EE$188*'Scope 3 Yearly'!DE83*'Yearly Methanol'!M6*'Scope 3 Yearly'!$B$197</f>
        <v>0.83899429675682358</v>
      </c>
      <c r="DF15" s="44">
        <f>'Scope 3 Yearly'!$EE$188*'Scope 3 Yearly'!DF83*'Yearly Methanol'!N6*'Scope 3 Yearly'!$B$197</f>
        <v>1.5906413963080106</v>
      </c>
      <c r="DG15" s="44">
        <f>'Scope 3 Yearly'!$EE$188*'Scope 3 Yearly'!DG83*'Yearly Methanol'!O6*'Scope 3 Yearly'!$B$197</f>
        <v>2.8403080540472656</v>
      </c>
      <c r="DH15" s="44">
        <f>'Scope 3 Yearly'!$EE$188*'Scope 3 Yearly'!DH83*'Yearly Methanol'!P6*'Scope 3 Yearly'!$B$197</f>
        <v>4.8822120660828352</v>
      </c>
      <c r="DI15" s="44">
        <f>'Scope 3 Yearly'!$EE$188*'Scope 3 Yearly'!DI83*'Yearly Methanol'!Q6*'Scope 3 Yearly'!$B$197</f>
        <v>8.0162108970493673</v>
      </c>
      <c r="DJ15" s="44">
        <f>'Scope 3 Yearly'!$EE$188*'Scope 3 Yearly'!DJ83*'Yearly Methanol'!R6*'Scope 3 Yearly'!$B$197</f>
        <v>12.486579293077185</v>
      </c>
      <c r="DK15" s="44">
        <f>'Scope 3 Yearly'!$EE$188*'Scope 3 Yearly'!DK83*'Yearly Methanol'!S6*'Scope 3 Yearly'!$B$197</f>
        <v>18.364276688853135</v>
      </c>
      <c r="DL15" s="44">
        <f>'Scope 3 Yearly'!$EE$188*'Scope 3 Yearly'!DL83*'Yearly Methanol'!T6*'Scope 3 Yearly'!$B$197</f>
        <v>25.418909461618021</v>
      </c>
      <c r="DM15" s="44">
        <f>'Scope 3 Yearly'!$EE$188*'Scope 3 Yearly'!DM83*'Yearly Methanol'!U6*'Scope 3 Yearly'!$B$197</f>
        <v>33.228311911810877</v>
      </c>
      <c r="DN15" s="44">
        <f>'Scope 3 Yearly'!$EE$188*'Scope 3 Yearly'!DN83*'Yearly Methanol'!V6*'Scope 3 Yearly'!$B$197</f>
        <v>41.226067999627418</v>
      </c>
      <c r="DO15" s="44">
        <f>'Scope 3 Yearly'!$EE$188*'Scope 3 Yearly'!DO83*'Yearly Methanol'!W6*'Scope 3 Yearly'!$B$197</f>
        <v>48.885657424362989</v>
      </c>
      <c r="DP15" s="44">
        <f>'Scope 3 Yearly'!$EE$188*'Scope 3 Yearly'!DP83*'Yearly Methanol'!X6*'Scope 3 Yearly'!$B$197</f>
        <v>55.837688622482638</v>
      </c>
      <c r="DQ15" s="44">
        <f>'Scope 3 Yearly'!$EE$188*'Scope 3 Yearly'!DQ83*'Yearly Methanol'!Y6*'Scope 3 Yearly'!$B$197</f>
        <v>61.280346694636322</v>
      </c>
      <c r="DR15" s="44">
        <f>'Scope 3 Yearly'!$EE$188*'Scope 3 Yearly'!DR83*'Yearly Methanol'!Z6*'Scope 3 Yearly'!$B$197</f>
        <v>65.714512582889455</v>
      </c>
      <c r="DS15" s="44">
        <f>'Scope 3 Yearly'!$EE$188*'Scope 3 Yearly'!DS83*'Yearly Methanol'!AA6*'Scope 3 Yearly'!$B$197</f>
        <v>69.237349528595075</v>
      </c>
      <c r="DT15" s="44">
        <f>'Scope 3 Yearly'!$EE$188*'Scope 3 Yearly'!DT83*'Yearly Methanol'!AB6*'Scope 3 Yearly'!$B$197</f>
        <v>71.987598487209056</v>
      </c>
      <c r="DU15" s="44">
        <f>'Scope 3 Yearly'!$EE$188*'Scope 3 Yearly'!DU83*'Yearly Methanol'!AC6*'Scope 3 Yearly'!$B$197</f>
        <v>74.105205760298887</v>
      </c>
      <c r="DV15" s="44">
        <f>'Scope 3 Yearly'!$EE$188*'Scope 3 Yearly'!DV83*'Yearly Methanol'!AD6*'Scope 3 Yearly'!$B$197</f>
        <v>75.713090957305042</v>
      </c>
      <c r="DW15" s="44">
        <f>'Scope 3 Yearly'!$EE$188*'Scope 3 Yearly'!DW83*'Yearly Methanol'!AE6*'Scope 3 Yearly'!$B$197</f>
        <v>76.825386439326678</v>
      </c>
      <c r="DX15" s="44">
        <f>'Scope 3 Yearly'!$EE$188*'Scope 3 Yearly'!DX83*'Yearly Methanol'!AF6*'Scope 3 Yearly'!$B$197</f>
        <v>77.549278756595243</v>
      </c>
      <c r="DY15" s="44">
        <f>'Scope 3 Yearly'!$EE$188*'Scope 3 Yearly'!DY83*'Yearly Methanol'!AG6*'Scope 3 Yearly'!$B$197</f>
        <v>77.975919045449942</v>
      </c>
      <c r="DZ15" s="44">
        <f>'Scope 3 Yearly'!$EE$188*'Scope 3 Yearly'!DZ83*'Yearly Methanol'!AH6*'Scope 3 Yearly'!$B$197</f>
        <v>78.152419390402443</v>
      </c>
    </row>
    <row r="16" spans="1:165">
      <c r="A16" t="s">
        <v>7</v>
      </c>
      <c r="C16" s="54" t="s">
        <v>415</v>
      </c>
      <c r="D16" s="44">
        <f>'Scope 3 Yearly'!$EE$189*'Scope 3 Yearly'!D106*'Yearly BTX'!D129*'Scope 3 Yearly'!$B$197</f>
        <v>1.1273297730200389E-3</v>
      </c>
      <c r="E16" s="44">
        <f>'Scope 3 Yearly'!$EE$189*'Scope 3 Yearly'!E106*'Yearly BTX'!E129*'Scope 3 Yearly'!$B$197</f>
        <v>2.293164602463428E-3</v>
      </c>
      <c r="F16" s="44">
        <f>'Scope 3 Yearly'!$EE$189*'Scope 3 Yearly'!F106*'Yearly BTX'!F129*'Scope 3 Yearly'!$B$197</f>
        <v>4.6372798956317652E-3</v>
      </c>
      <c r="G16" s="44">
        <f>'Scope 3 Yearly'!$EE$189*'Scope 3 Yearly'!G106*'Yearly BTX'!G129*'Scope 3 Yearly'!$B$197</f>
        <v>9.3458358205469969E-3</v>
      </c>
      <c r="H16" s="44">
        <f>'Scope 3 Yearly'!$EE$189*'Scope 3 Yearly'!H106*'Yearly BTX'!H129*'Scope 3 Yearly'!$B$197</f>
        <v>1.8754436947320641E-2</v>
      </c>
      <c r="I16" s="44">
        <f>'Scope 3 Yearly'!$EE$189*'Scope 3 Yearly'!I106*'Yearly BTX'!I129*'Scope 3 Yearly'!$B$197</f>
        <v>3.7424440316401311E-2</v>
      </c>
      <c r="J16" s="44">
        <f>'Scope 3 Yearly'!$EE$189*'Scope 3 Yearly'!J106*'Yearly BTX'!J129*'Scope 3 Yearly'!$B$197</f>
        <v>7.3505936900130756E-2</v>
      </c>
      <c r="K16" s="44">
        <f>'Scope 3 Yearly'!$EE$189*'Scope 3 Yearly'!K106*'Yearly BTX'!K129*'Scope 3 Yearly'!$B$197</f>
        <v>0.14290654721235171</v>
      </c>
      <c r="L16" s="44">
        <f>'Scope 3 Yearly'!$EE$189*'Scope 3 Yearly'!L106*'Yearly BTX'!L129*'Scope 3 Yearly'!$B$197</f>
        <v>0.27406931780364596</v>
      </c>
      <c r="M16" s="44">
        <f>'Scope 3 Yearly'!$EE$189*'Scope 3 Yearly'!M106*'Yearly BTX'!M129*'Scope 3 Yearly'!$B$197</f>
        <v>0.51618051476583626</v>
      </c>
      <c r="N16" s="44">
        <f>'Scope 3 Yearly'!$EE$189*'Scope 3 Yearly'!N106*'Yearly BTX'!N129*'Scope 3 Yearly'!$B$197</f>
        <v>0.94931435063966485</v>
      </c>
      <c r="O16" s="44">
        <f>'Scope 3 Yearly'!$EE$189*'Scope 3 Yearly'!O106*'Yearly BTX'!O129*'Scope 3 Yearly'!$B$197</f>
        <v>1.6638920005898146</v>
      </c>
      <c r="P16" s="44">
        <f>'Scope 3 Yearly'!$EE$189*'Scope 3 Yearly'!P106*'Yearly BTX'!P129*'Scope 3 Yearly'!$B$197</f>
        <v>2.8060349013554626</v>
      </c>
      <c r="Q16" s="44">
        <f>'Scope 3 Yearly'!$EE$189*'Scope 3 Yearly'!Q106*'Yearly BTX'!Q129*'Scope 3 Yearly'!$B$197</f>
        <v>4.5177150004589874</v>
      </c>
      <c r="R16" s="44">
        <f>'Scope 3 Yearly'!$EE$189*'Scope 3 Yearly'!R106*'Yearly BTX'!R129*'Scope 3 Yearly'!$B$197</f>
        <v>6.8960622210347129</v>
      </c>
      <c r="S16" s="44">
        <f>'Scope 3 Yearly'!$EE$189*'Scope 3 Yearly'!S106*'Yearly BTX'!S129*'Scope 3 Yearly'!$B$197</f>
        <v>9.9330966203438411</v>
      </c>
      <c r="T16" s="44">
        <f>'Scope 3 Yearly'!$EE$189*'Scope 3 Yearly'!T106*'Yearly BTX'!T129*'Scope 3 Yearly'!$B$197</f>
        <v>13.470444684826727</v>
      </c>
      <c r="U16" s="44">
        <f>'Scope 3 Yearly'!$EE$189*'Scope 3 Yearly'!U106*'Yearly BTX'!U129*'Scope 3 Yearly'!$B$197</f>
        <v>17.241887908194158</v>
      </c>
      <c r="V16" s="44">
        <f>'Scope 3 Yearly'!$EE$189*'Scope 3 Yearly'!V106*'Yearly BTX'!V129*'Scope 3 Yearly'!$B$197</f>
        <v>20.937736229940008</v>
      </c>
      <c r="W16" s="44">
        <f>'Scope 3 Yearly'!$EE$189*'Scope 3 Yearly'!W106*'Yearly BTX'!W129*'Scope 3 Yearly'!$B$197</f>
        <v>24.295807548856359</v>
      </c>
      <c r="X16" s="44">
        <f>'Scope 3 Yearly'!$EE$189*'Scope 3 Yearly'!X106*'Yearly BTX'!X129*'Scope 3 Yearly'!$B$197</f>
        <v>27.153735591895895</v>
      </c>
      <c r="Y16" s="44">
        <f>'Scope 3 Yearly'!$EE$189*'Scope 3 Yearly'!Y106*'Yearly BTX'!Y129*'Scope 3 Yearly'!$B$197</f>
        <v>28.94659772052611</v>
      </c>
      <c r="Z16" s="44">
        <f>'Scope 3 Yearly'!$EE$189*'Scope 3 Yearly'!Z106*'Yearly BTX'!Z129*'Scope 3 Yearly'!$B$197</f>
        <v>29.968060170552835</v>
      </c>
      <c r="AA16" s="44">
        <f>'Scope 3 Yearly'!$EE$189*'Scope 3 Yearly'!AA106*'Yearly BTX'!AA129*'Scope 3 Yearly'!$B$197</f>
        <v>30.411569308808282</v>
      </c>
      <c r="AB16" s="44">
        <f>'Scope 3 Yearly'!$EE$189*'Scope 3 Yearly'!AB106*'Yearly BTX'!AB129*'Scope 3 Yearly'!$B$197</f>
        <v>30.392148772985898</v>
      </c>
      <c r="AC16" s="44">
        <f>'Scope 3 Yearly'!$EE$189*'Scope 3 Yearly'!AC106*'Yearly BTX'!AC129*'Scope 3 Yearly'!$B$197</f>
        <v>30.000553103696053</v>
      </c>
      <c r="AD16" s="44">
        <f>'Scope 3 Yearly'!$EE$189*'Scope 3 Yearly'!AD106*'Yearly BTX'!AD129*'Scope 3 Yearly'!$B$197</f>
        <v>29.256265330455236</v>
      </c>
      <c r="AE16" s="44">
        <f>'Scope 3 Yearly'!$EE$189*'Scope 3 Yearly'!AE106*'Yearly BTX'!AE129*'Scope 3 Yearly'!$B$197</f>
        <v>28.264946513184835</v>
      </c>
      <c r="AF16" s="44">
        <f>'Scope 3 Yearly'!$EE$189*'Scope 3 Yearly'!AF106*'Yearly BTX'!AF129*'Scope 3 Yearly'!$B$197</f>
        <v>27.065304991265702</v>
      </c>
      <c r="AG16" s="44">
        <f>'Scope 3 Yearly'!$EE$189*'Scope 3 Yearly'!AG106*'Yearly BTX'!AG129*'Scope 3 Yearly'!$B$197</f>
        <v>25.688999058766726</v>
      </c>
      <c r="AH16" s="44">
        <f>'Scope 3 Yearly'!$EE$189*'Scope 3 Yearly'!AH106*'Yearly BTX'!AH129*'Scope 3 Yearly'!$B$197</f>
        <v>24.169323902435266</v>
      </c>
      <c r="AJ16" s="44">
        <f>'Scope 3 Yearly'!$EE$189*'Scope 3 Yearly'!AJ106*'Yearly BTX'!AJ129*'Scope 3 Yearly'!$B$197</f>
        <v>1.1273302307849161E-3</v>
      </c>
      <c r="AK16" s="44">
        <f>'Scope 3 Yearly'!$EE$189*'Scope 3 Yearly'!AK106*'Yearly BTX'!AK129*'Scope 3 Yearly'!$B$197</f>
        <v>2.2931666039838479E-3</v>
      </c>
      <c r="AL16" s="44">
        <f>'Scope 3 Yearly'!$EE$189*'Scope 3 Yearly'!AL106*'Yearly BTX'!AL129*'Scope 3 Yearly'!$B$197</f>
        <v>4.6372883946624302E-3</v>
      </c>
      <c r="AM16" s="44">
        <f>'Scope 3 Yearly'!$EE$189*'Scope 3 Yearly'!AM106*'Yearly BTX'!AM129*'Scope 3 Yearly'!$B$197</f>
        <v>9.3458715324234963E-3</v>
      </c>
      <c r="AN16" s="44">
        <f>'Scope 3 Yearly'!$EE$189*'Scope 3 Yearly'!AN106*'Yearly BTX'!AN129*'Scope 3 Yearly'!$B$197</f>
        <v>1.8754585206807499E-2</v>
      </c>
      <c r="AO16" s="44">
        <f>'Scope 3 Yearly'!$EE$189*'Scope 3 Yearly'!AO106*'Yearly BTX'!AO129*'Scope 3 Yearly'!$B$197</f>
        <v>3.7425047015174184E-2</v>
      </c>
      <c r="AP16" s="44">
        <f>'Scope 3 Yearly'!$EE$189*'Scope 3 Yearly'!AP106*'Yearly BTX'!AP129*'Scope 3 Yearly'!$B$197</f>
        <v>7.3508361498758792E-2</v>
      </c>
      <c r="AQ16" s="44">
        <f>'Scope 3 Yearly'!$EE$189*'Scope 3 Yearly'!AQ106*'Yearly BTX'!AQ129*'Scope 3 Yearly'!$B$197</f>
        <v>0.14291602303041578</v>
      </c>
      <c r="AR16" s="44">
        <f>'Scope 3 Yearly'!$EE$189*'Scope 3 Yearly'!AR106*'Yearly BTX'!AR129*'Scope 3 Yearly'!$B$197</f>
        <v>0.27410529586405913</v>
      </c>
      <c r="AS16" s="44">
        <f>'Scope 3 Yearly'!$EE$189*'Scope 3 Yearly'!AS106*'Yearly BTX'!AS129*'Scope 3 Yearly'!$B$197</f>
        <v>0.51631207481125219</v>
      </c>
      <c r="AT16" s="44">
        <f>'Scope 3 Yearly'!$EE$189*'Scope 3 Yearly'!AT106*'Yearly BTX'!AT129*'Scope 3 Yearly'!$B$197</f>
        <v>0.94977456153109463</v>
      </c>
      <c r="AU16" s="44">
        <f>'Scope 3 Yearly'!$EE$189*'Scope 3 Yearly'!AU106*'Yearly BTX'!AU129*'Scope 3 Yearly'!$B$197</f>
        <v>1.6653192235336565</v>
      </c>
      <c r="AV16" s="44">
        <f>'Scope 3 Yearly'!$EE$189*'Scope 3 Yearly'!AV106*'Yearly BTX'!AV129*'Scope 3 Yearly'!$B$197</f>
        <v>2.8101514876799483</v>
      </c>
      <c r="AW16" s="44">
        <f>'Scope 3 Yearly'!$EE$189*'Scope 3 Yearly'!AW106*'Yearly BTX'!AW129*'Scope 3 Yearly'!$B$197</f>
        <v>4.5285429619407607</v>
      </c>
      <c r="AX16" s="44">
        <f>'Scope 3 Yearly'!$EE$189*'Scope 3 Yearly'!AX106*'Yearly BTX'!AX129*'Scope 3 Yearly'!$B$197</f>
        <v>6.921680852489021</v>
      </c>
      <c r="AY16" s="44">
        <f>'Scope 3 Yearly'!$EE$189*'Scope 3 Yearly'!AY106*'Yearly BTX'!AY129*'Scope 3 Yearly'!$B$197</f>
        <v>9.9871202014702583</v>
      </c>
      <c r="AZ16" s="44">
        <f>'Scope 3 Yearly'!$EE$189*'Scope 3 Yearly'!AZ106*'Yearly BTX'!AZ129*'Scope 3 Yearly'!$B$197</f>
        <v>13.571571781440776</v>
      </c>
      <c r="BA16" s="44">
        <f>'Scope 3 Yearly'!$EE$189*'Scope 3 Yearly'!BA106*'Yearly BTX'!BA129*'Scope 3 Yearly'!$B$197</f>
        <v>17.410622454268157</v>
      </c>
      <c r="BB16" s="44">
        <f>'Scope 3 Yearly'!$EE$189*'Scope 3 Yearly'!BB106*'Yearly BTX'!BB129*'Scope 3 Yearly'!$B$197</f>
        <v>21.191116320463085</v>
      </c>
      <c r="BC16" s="44">
        <f>'Scope 3 Yearly'!$EE$189*'Scope 3 Yearly'!BC106*'Yearly BTX'!BC129*'Scope 3 Yearly'!$B$197</f>
        <v>24.642985593338771</v>
      </c>
      <c r="BD16" s="44">
        <f>'Scope 3 Yearly'!$EE$189*'Scope 3 Yearly'!BD106*'Yearly BTX'!BD129*'Scope 3 Yearly'!$B$197</f>
        <v>27.594591149810697</v>
      </c>
      <c r="BE16" s="44">
        <f>'Scope 3 Yearly'!$EE$189*'Scope 3 Yearly'!BE106*'Yearly BTX'!BE129*'Scope 3 Yearly'!$B$197</f>
        <v>29.435761315491881</v>
      </c>
      <c r="BF16" s="44">
        <f>'Scope 3 Yearly'!$EE$189*'Scope 3 Yearly'!BF106*'Yearly BTX'!BF129*'Scope 3 Yearly'!$B$197</f>
        <v>30.552048952153459</v>
      </c>
      <c r="BG16" s="44">
        <f>'Scope 3 Yearly'!$EE$189*'Scope 3 Yearly'!BG106*'Yearly BTX'!BG129*'Scope 3 Yearly'!$B$197</f>
        <v>31.090969171125167</v>
      </c>
      <c r="BH16" s="44">
        <f>'Scope 3 Yearly'!$EE$189*'Scope 3 Yearly'!BH106*'Yearly BTX'!BH129*'Scope 3 Yearly'!$B$197</f>
        <v>31.161851877305544</v>
      </c>
      <c r="BI16" s="44">
        <f>'Scope 3 Yearly'!$EE$189*'Scope 3 Yearly'!BI106*'Yearly BTX'!BI129*'Scope 3 Yearly'!$B$197</f>
        <v>30.857908181820655</v>
      </c>
      <c r="BJ16" s="44">
        <f>'Scope 3 Yearly'!$EE$189*'Scope 3 Yearly'!BJ106*'Yearly BTX'!BJ129*'Scope 3 Yearly'!$B$197</f>
        <v>30.201918666373523</v>
      </c>
      <c r="BK16" s="44">
        <f>'Scope 3 Yearly'!$EE$189*'Scope 3 Yearly'!BK106*'Yearly BTX'!BK129*'Scope 3 Yearly'!$B$197</f>
        <v>29.306231295045936</v>
      </c>
      <c r="BL16" s="44">
        <f>'Scope 3 Yearly'!$EE$189*'Scope 3 Yearly'!BL106*'Yearly BTX'!BL129*'Scope 3 Yearly'!$B$197</f>
        <v>28.215131078737116</v>
      </c>
      <c r="BM16" s="44">
        <f>'Scope 3 Yearly'!$EE$189*'Scope 3 Yearly'!BM106*'Yearly BTX'!BM129*'Scope 3 Yearly'!$B$197</f>
        <v>26.963406917565251</v>
      </c>
      <c r="BN16" s="44">
        <f>'Scope 3 Yearly'!$EE$189*'Scope 3 Yearly'!BN106*'Yearly BTX'!BN129*'Scope 3 Yearly'!$B$197</f>
        <v>25.582632005058375</v>
      </c>
      <c r="BP16" s="44">
        <f>'Scope 3 Yearly'!$EE$189*'Scope 3 Yearly'!BP106*'Yearly BTX'!BP129*'Scope 3 Yearly'!$B$197</f>
        <v>0</v>
      </c>
      <c r="BQ16" s="44">
        <f>'Scope 3 Yearly'!$EE$189*'Scope 3 Yearly'!BQ106*'Yearly BTX'!BQ129*'Scope 3 Yearly'!$B$197</f>
        <v>0</v>
      </c>
      <c r="BR16" s="44">
        <f>'Scope 3 Yearly'!$EE$189*'Scope 3 Yearly'!BR106*'Yearly BTX'!BR129*'Scope 3 Yearly'!$B$197</f>
        <v>0</v>
      </c>
      <c r="BS16" s="44">
        <f>'Scope 3 Yearly'!$EE$189*'Scope 3 Yearly'!BS106*'Yearly BTX'!BS129*'Scope 3 Yearly'!$B$197</f>
        <v>0</v>
      </c>
      <c r="BT16" s="44">
        <f>'Scope 3 Yearly'!$EE$189*'Scope 3 Yearly'!BT106*'Yearly BTX'!BT129*'Scope 3 Yearly'!$B$197</f>
        <v>0</v>
      </c>
      <c r="BU16" s="44">
        <f>'Scope 3 Yearly'!$EE$189*'Scope 3 Yearly'!BU106*'Yearly BTX'!BU129*'Scope 3 Yearly'!$B$197</f>
        <v>0</v>
      </c>
      <c r="BV16" s="44">
        <f>'Scope 3 Yearly'!$EE$189*'Scope 3 Yearly'!BV106*'Yearly BTX'!BV129*'Scope 3 Yearly'!$B$197</f>
        <v>0</v>
      </c>
      <c r="BW16" s="44">
        <f>'Scope 3 Yearly'!$EE$189*'Scope 3 Yearly'!BW106*'Yearly BTX'!BW129*'Scope 3 Yearly'!$B$197</f>
        <v>0</v>
      </c>
      <c r="BX16" s="44">
        <f>'Scope 3 Yearly'!$EE$189*'Scope 3 Yearly'!BX106*'Yearly BTX'!BX129*'Scope 3 Yearly'!$B$197</f>
        <v>0</v>
      </c>
      <c r="BY16" s="44">
        <f>'Scope 3 Yearly'!$EE$189*'Scope 3 Yearly'!BY106*'Yearly BTX'!BY129*'Scope 3 Yearly'!$B$197</f>
        <v>0</v>
      </c>
      <c r="BZ16" s="44">
        <f>'Scope 3 Yearly'!$EE$189*'Scope 3 Yearly'!BZ106*'Yearly BTX'!BZ129*'Scope 3 Yearly'!$B$197</f>
        <v>0</v>
      </c>
      <c r="CA16" s="44">
        <f>'Scope 3 Yearly'!$EE$189*'Scope 3 Yearly'!CA106*'Yearly BTX'!CA129*'Scope 3 Yearly'!$B$197</f>
        <v>0</v>
      </c>
      <c r="CB16" s="44">
        <f>'Scope 3 Yearly'!$EE$189*'Scope 3 Yearly'!CB106*'Yearly BTX'!CB129*'Scope 3 Yearly'!$B$197</f>
        <v>0</v>
      </c>
      <c r="CC16" s="44">
        <f>'Scope 3 Yearly'!$EE$189*'Scope 3 Yearly'!CC106*'Yearly BTX'!CC129*'Scope 3 Yearly'!$B$197</f>
        <v>0</v>
      </c>
      <c r="CD16" s="44">
        <f>'Scope 3 Yearly'!$EE$189*'Scope 3 Yearly'!CD106*'Yearly BTX'!CD129*'Scope 3 Yearly'!$B$197</f>
        <v>0</v>
      </c>
      <c r="CE16" s="44">
        <f>'Scope 3 Yearly'!$EE$189*'Scope 3 Yearly'!CE106*'Yearly BTX'!CE129*'Scope 3 Yearly'!$B$197</f>
        <v>0</v>
      </c>
      <c r="CF16" s="44">
        <f>'Scope 3 Yearly'!$EE$189*'Scope 3 Yearly'!CF106*'Yearly BTX'!CF129*'Scope 3 Yearly'!$B$197</f>
        <v>0</v>
      </c>
      <c r="CG16" s="44">
        <f>'Scope 3 Yearly'!$EE$189*'Scope 3 Yearly'!CG106*'Yearly BTX'!CG129*'Scope 3 Yearly'!$B$197</f>
        <v>0</v>
      </c>
      <c r="CH16" s="44">
        <f>'Scope 3 Yearly'!$EE$189*'Scope 3 Yearly'!CH106*'Yearly BTX'!CH129*'Scope 3 Yearly'!$B$197</f>
        <v>0</v>
      </c>
      <c r="CI16" s="44">
        <f>'Scope 3 Yearly'!$EE$189*'Scope 3 Yearly'!CI106*'Yearly BTX'!CI129*'Scope 3 Yearly'!$B$197</f>
        <v>0</v>
      </c>
      <c r="CJ16" s="44">
        <f>'Scope 3 Yearly'!$EE$189*'Scope 3 Yearly'!CJ106*'Yearly BTX'!CJ129*'Scope 3 Yearly'!$B$197</f>
        <v>0</v>
      </c>
      <c r="CK16" s="44">
        <f>'Scope 3 Yearly'!$EE$189*'Scope 3 Yearly'!CK106*'Yearly BTX'!CK129*'Scope 3 Yearly'!$B$197</f>
        <v>0</v>
      </c>
      <c r="CL16" s="44">
        <f>'Scope 3 Yearly'!$EE$189*'Scope 3 Yearly'!CL106*'Yearly BTX'!CL129*'Scope 3 Yearly'!$B$197</f>
        <v>0</v>
      </c>
      <c r="CM16" s="44">
        <f>'Scope 3 Yearly'!$EE$189*'Scope 3 Yearly'!CM106*'Yearly BTX'!CM129*'Scope 3 Yearly'!$B$197</f>
        <v>0</v>
      </c>
      <c r="CN16" s="44">
        <f>'Scope 3 Yearly'!$EE$189*'Scope 3 Yearly'!CN106*'Yearly BTX'!CN129*'Scope 3 Yearly'!$B$197</f>
        <v>0</v>
      </c>
      <c r="CO16" s="44">
        <f>'Scope 3 Yearly'!$EE$189*'Scope 3 Yearly'!CO106*'Yearly BTX'!CO129*'Scope 3 Yearly'!$B$197</f>
        <v>0</v>
      </c>
      <c r="CP16" s="44">
        <f>'Scope 3 Yearly'!$EE$189*'Scope 3 Yearly'!CP106*'Yearly BTX'!CP129*'Scope 3 Yearly'!$B$197</f>
        <v>0</v>
      </c>
      <c r="CQ16" s="44">
        <f>'Scope 3 Yearly'!$EE$189*'Scope 3 Yearly'!CQ106*'Yearly BTX'!CQ129*'Scope 3 Yearly'!$B$197</f>
        <v>0</v>
      </c>
      <c r="CR16" s="44">
        <f>'Scope 3 Yearly'!$EE$189*'Scope 3 Yearly'!CR106*'Yearly BTX'!CR129*'Scope 3 Yearly'!$B$197</f>
        <v>0</v>
      </c>
      <c r="CS16" s="44">
        <f>'Scope 3 Yearly'!$EE$189*'Scope 3 Yearly'!CS106*'Yearly BTX'!CS129*'Scope 3 Yearly'!$B$197</f>
        <v>0</v>
      </c>
      <c r="CT16" s="44">
        <f>'Scope 3 Yearly'!$EE$189*'Scope 3 Yearly'!CT106*'Yearly BTX'!CT129*'Scope 3 Yearly'!$B$197</f>
        <v>0</v>
      </c>
      <c r="CV16" s="44">
        <f>'Scope 3 Yearly'!$EE$189*'Scope 3 Yearly'!CV106*'Yearly BTX'!D5*'Scope 3 Yearly'!$B$197</f>
        <v>9.1227689314378024E-4</v>
      </c>
      <c r="CW16" s="44">
        <f>'Scope 3 Yearly'!$EE$189*'Scope 3 Yearly'!CW106*'Yearly BTX'!E5*'Scope 3 Yearly'!$B$197</f>
        <v>1.8633519614485565E-3</v>
      </c>
      <c r="CX16" s="44">
        <f>'Scope 3 Yearly'!$EE$189*'Scope 3 Yearly'!CX106*'Yearly BTX'!F5*'Scope 3 Yearly'!$B$197</f>
        <v>3.7894122866228915E-3</v>
      </c>
      <c r="CY16" s="44">
        <f>'Scope 3 Yearly'!$EE$189*'Scope 3 Yearly'!CY106*'Yearly BTX'!G5*'Scope 3 Yearly'!$B$197</f>
        <v>7.6793513419375521E-3</v>
      </c>
      <c r="CZ16" s="44">
        <f>'Scope 3 Yearly'!$EE$189*'Scope 3 Yearly'!CZ106*'Yearly BTX'!H5*'Scope 3 Yearly'!$B$197</f>
        <v>1.5493414210338615E-2</v>
      </c>
      <c r="DA16" s="44">
        <f>'Scope 3 Yearly'!$EE$189*'Scope 3 Yearly'!DA106*'Yearly BTX'!I5*'Scope 3 Yearly'!$B$197</f>
        <v>3.1078817535688398E-2</v>
      </c>
      <c r="DB16" s="44">
        <f>'Scope 3 Yearly'!$EE$189*'Scope 3 Yearly'!DB106*'Yearly BTX'!J5*'Scope 3 Yearly'!$B$197</f>
        <v>6.1375792894070642E-2</v>
      </c>
      <c r="DC16" s="44">
        <f>'Scope 3 Yearly'!$EE$189*'Scope 3 Yearly'!DC106*'Yearly BTX'!K5*'Scope 3 Yearly'!$B$197</f>
        <v>0.1199839890603728</v>
      </c>
      <c r="DD16" s="44">
        <f>'Scope 3 Yearly'!$EE$189*'Scope 3 Yearly'!DD106*'Yearly BTX'!L5*'Scope 3 Yearly'!$B$197</f>
        <v>0.23140180126977458</v>
      </c>
      <c r="DE16" s="44">
        <f>'Scope 3 Yearly'!$EE$189*'Scope 3 Yearly'!DE106*'Yearly BTX'!M5*'Scope 3 Yearly'!$B$197</f>
        <v>0.43832513173037502</v>
      </c>
      <c r="DF16" s="44">
        <f>'Scope 3 Yearly'!$EE$189*'Scope 3 Yearly'!DF106*'Yearly BTX'!N5*'Scope 3 Yearly'!$B$197</f>
        <v>0.81091121005394462</v>
      </c>
      <c r="DG16" s="44">
        <f>'Scope 3 Yearly'!$EE$189*'Scope 3 Yearly'!DG106*'Yearly BTX'!O5*'Scope 3 Yearly'!$B$197</f>
        <v>1.4377825726984028</v>
      </c>
      <c r="DH16" s="44">
        <f>'Scope 3 Yearly'!$EE$189*'Scope 3 Yearly'!DH106*'Yearly BTX'!P5*'Scope 3 Yearly'!$B$197</f>
        <v>2.4539591160510934</v>
      </c>
      <c r="DI16" s="44">
        <f>'Scope 3 Yearly'!$EE$189*'Scope 3 Yearly'!DI106*'Yearly BTX'!Q5*'Scope 3 Yearly'!$B$197</f>
        <v>4.0006889647170096</v>
      </c>
      <c r="DJ16" s="44">
        <f>'Scope 3 Yearly'!$EE$189*'Scope 3 Yearly'!DJ106*'Yearly BTX'!R5*'Scope 3 Yearly'!$B$197</f>
        <v>6.1875187865954242</v>
      </c>
      <c r="DK16" s="44">
        <f>'Scope 3 Yearly'!$EE$189*'Scope 3 Yearly'!DK106*'Yearly BTX'!S5*'Scope 3 Yearly'!$B$197</f>
        <v>9.0354005523392829</v>
      </c>
      <c r="DL16" s="44">
        <f>'Scope 3 Yearly'!$EE$189*'Scope 3 Yearly'!DL106*'Yearly BTX'!T5*'Scope 3 Yearly'!$B$197</f>
        <v>12.431498863473438</v>
      </c>
      <c r="DM16" s="44">
        <f>'Scope 3 Yearly'!$EE$189*'Scope 3 Yearly'!DM106*'Yearly BTX'!U5*'Scope 3 Yearly'!$B$197</f>
        <v>16.152482248517263</v>
      </c>
      <c r="DN16" s="44">
        <f>'Scope 3 Yearly'!$EE$189*'Scope 3 Yearly'!DN106*'Yearly BTX'!V5*'Scope 3 Yearly'!$B$197</f>
        <v>19.917312128831092</v>
      </c>
      <c r="DO16" s="44">
        <f>'Scope 3 Yearly'!$EE$189*'Scope 3 Yearly'!DO106*'Yearly BTX'!W5*'Scope 3 Yearly'!$B$197</f>
        <v>23.470308771902012</v>
      </c>
      <c r="DP16" s="44">
        <f>'Scope 3 Yearly'!$EE$189*'Scope 3 Yearly'!DP106*'Yearly BTX'!X5*'Scope 3 Yearly'!$B$197</f>
        <v>26.636588543849172</v>
      </c>
      <c r="DQ16" s="44">
        <f>'Scope 3 Yearly'!$EE$189*'Scope 3 Yearly'!DQ106*'Yearly BTX'!Y5*'Scope 3 Yearly'!$B$197</f>
        <v>28.939283919392871</v>
      </c>
      <c r="DR16" s="44">
        <f>'Scope 3 Yearly'!$EE$189*'Scope 3 Yearly'!DR106*'Yearly BTX'!Z5*'Scope 3 Yearly'!$B$197</f>
        <v>30.636145353960668</v>
      </c>
      <c r="DS16" s="44">
        <f>'Scope 3 Yearly'!$EE$189*'Scope 3 Yearly'!DS106*'Yearly BTX'!AA5*'Scope 3 Yearly'!$B$197</f>
        <v>31.826272011863406</v>
      </c>
      <c r="DT16" s="44">
        <f>'Scope 3 Yearly'!$EE$189*'Scope 3 Yearly'!DT106*'Yearly BTX'!AB5*'Scope 3 Yearly'!$B$197</f>
        <v>32.591599698105426</v>
      </c>
      <c r="DU16" s="44">
        <f>'Scope 3 Yearly'!$EE$189*'Scope 3 Yearly'!DU106*'Yearly BTX'!AC5*'Scope 3 Yearly'!$B$197</f>
        <v>33.005918823554047</v>
      </c>
      <c r="DV16" s="44">
        <f>'Scope 3 Yearly'!$EE$189*'Scope 3 Yearly'!DV106*'Yearly BTX'!AD5*'Scope 3 Yearly'!$B$197</f>
        <v>33.087872509063288</v>
      </c>
      <c r="DW16" s="44">
        <f>'Scope 3 Yearly'!$EE$189*'Scope 3 Yearly'!DW106*'Yearly BTX'!AE5*'Scope 3 Yearly'!$B$197</f>
        <v>32.928471979371793</v>
      </c>
      <c r="DX16" s="44">
        <f>'Scope 3 Yearly'!$EE$189*'Scope 3 Yearly'!DX106*'Yearly BTX'!AF5*'Scope 3 Yearly'!$B$197</f>
        <v>32.562480545766995</v>
      </c>
      <c r="DY16" s="44">
        <f>'Scope 3 Yearly'!$EE$189*'Scope 3 Yearly'!DY106*'Yearly BTX'!AG5*'Scope 3 Yearly'!$B$197</f>
        <v>32.015277421890325</v>
      </c>
      <c r="DZ16" s="44">
        <f>'Scope 3 Yearly'!$EE$189*'Scope 3 Yearly'!DZ106*'Yearly BTX'!AH5*'Scope 3 Yearly'!$B$197</f>
        <v>31.3081079460237</v>
      </c>
    </row>
    <row r="17" spans="1:165">
      <c r="A17" t="s">
        <v>8</v>
      </c>
      <c r="C17" s="54" t="s">
        <v>415</v>
      </c>
      <c r="D17" s="44">
        <f>'Scope 3 Yearly'!$EE$190*'Scope 3 Yearly'!D129*'Yearly BTX'!D130*'Scope 3 Yearly'!$B$197</f>
        <v>2.5103298387282917E-4</v>
      </c>
      <c r="E17" s="44">
        <f>'Scope 3 Yearly'!$EE$190*'Scope 3 Yearly'!E129*'Yearly BTX'!E130*'Scope 3 Yearly'!$B$197</f>
        <v>5.1064024604423515E-4</v>
      </c>
      <c r="F17" s="44">
        <f>'Scope 3 Yearly'!$EE$190*'Scope 3 Yearly'!F129*'Yearly BTX'!F130*'Scope 3 Yearly'!$B$197</f>
        <v>1.0326261552867113E-3</v>
      </c>
      <c r="G17" s="44">
        <f>'Scope 3 Yearly'!$EE$190*'Scope 3 Yearly'!G129*'Yearly BTX'!G130*'Scope 3 Yearly'!$B$197</f>
        <v>2.0811240055626386E-3</v>
      </c>
      <c r="H17" s="44">
        <f>'Scope 3 Yearly'!$EE$190*'Scope 3 Yearly'!H129*'Yearly BTX'!H130*'Scope 3 Yearly'!$B$197</f>
        <v>4.1762245444191297E-3</v>
      </c>
      <c r="I17" s="44">
        <f>'Scope 3 Yearly'!$EE$190*'Scope 3 Yearly'!I129*'Yearly BTX'!I130*'Scope 3 Yearly'!$B$197</f>
        <v>8.3336474803010711E-3</v>
      </c>
      <c r="J17" s="44">
        <f>'Scope 3 Yearly'!$EE$190*'Scope 3 Yearly'!J129*'Yearly BTX'!J130*'Scope 3 Yearly'!$B$197</f>
        <v>1.6368249215112072E-2</v>
      </c>
      <c r="K17" s="44">
        <f>'Scope 3 Yearly'!$EE$190*'Scope 3 Yearly'!K129*'Yearly BTX'!K130*'Scope 3 Yearly'!$B$197</f>
        <v>3.1822327255293999E-2</v>
      </c>
      <c r="L17" s="44">
        <f>'Scope 3 Yearly'!$EE$190*'Scope 3 Yearly'!L129*'Yearly BTX'!L130*'Scope 3 Yearly'!$B$197</f>
        <v>6.1029558770481405E-2</v>
      </c>
      <c r="M17" s="44">
        <f>'Scope 3 Yearly'!$EE$190*'Scope 3 Yearly'!M129*'Yearly BTX'!M130*'Scope 3 Yearly'!$B$197</f>
        <v>0.11494270615380749</v>
      </c>
      <c r="N17" s="44">
        <f>'Scope 3 Yearly'!$EE$190*'Scope 3 Yearly'!N129*'Yearly BTX'!N130*'Scope 3 Yearly'!$B$197</f>
        <v>0.21139263752074802</v>
      </c>
      <c r="O17" s="44">
        <f>'Scope 3 Yearly'!$EE$190*'Scope 3 Yearly'!O129*'Yearly BTX'!O130*'Scope 3 Yearly'!$B$197</f>
        <v>0.37051427518961449</v>
      </c>
      <c r="P17" s="44">
        <f>'Scope 3 Yearly'!$EE$190*'Scope 3 Yearly'!P129*'Yearly BTX'!P130*'Scope 3 Yearly'!$B$197</f>
        <v>0.62484583570564534</v>
      </c>
      <c r="Q17" s="44">
        <f>'Scope 3 Yearly'!$EE$190*'Scope 3 Yearly'!Q129*'Yearly BTX'!Q130*'Scope 3 Yearly'!$B$197</f>
        <v>1.0060015303366781</v>
      </c>
      <c r="R17" s="44">
        <f>'Scope 3 Yearly'!$EE$190*'Scope 3 Yearly'!R129*'Yearly BTX'!R130*'Scope 3 Yearly'!$B$197</f>
        <v>1.5356101805786879</v>
      </c>
      <c r="S17" s="44">
        <f>'Scope 3 Yearly'!$EE$190*'Scope 3 Yearly'!S129*'Yearly BTX'!S130*'Scope 3 Yearly'!$B$197</f>
        <v>2.2118948185161655</v>
      </c>
      <c r="T17" s="44">
        <f>'Scope 3 Yearly'!$EE$190*'Scope 3 Yearly'!T129*'Yearly BTX'!T130*'Scope 3 Yearly'!$B$197</f>
        <v>2.9995889439405734</v>
      </c>
      <c r="U17" s="44">
        <f>'Scope 3 Yearly'!$EE$190*'Scope 3 Yearly'!U129*'Yearly BTX'!U130*'Scope 3 Yearly'!$B$197</f>
        <v>3.8394112111486782</v>
      </c>
      <c r="V17" s="44">
        <f>'Scope 3 Yearly'!$EE$190*'Scope 3 Yearly'!V129*'Yearly BTX'!V130*'Scope 3 Yearly'!$B$197</f>
        <v>4.6624000599784123</v>
      </c>
      <c r="W17" s="44">
        <f>'Scope 3 Yearly'!$EE$190*'Scope 3 Yearly'!W129*'Yearly BTX'!W130*'Scope 3 Yearly'!$B$197</f>
        <v>5.4101729685099027</v>
      </c>
      <c r="X17" s="44">
        <f>'Scope 3 Yearly'!$EE$190*'Scope 3 Yearly'!X129*'Yearly BTX'!X130*'Scope 3 Yearly'!$B$197</f>
        <v>6.0465743317206808</v>
      </c>
      <c r="Y17" s="44">
        <f>'Scope 3 Yearly'!$EE$190*'Scope 3 Yearly'!Y129*'Yearly BTX'!Y130*'Scope 3 Yearly'!$B$197</f>
        <v>6.4458075823576557</v>
      </c>
      <c r="Z17" s="44">
        <f>'Scope 3 Yearly'!$EE$190*'Scope 3 Yearly'!Z129*'Yearly BTX'!Z130*'Scope 3 Yearly'!$B$197</f>
        <v>6.6732661068117087</v>
      </c>
      <c r="AA17" s="44">
        <f>'Scope 3 Yearly'!$EE$190*'Scope 3 Yearly'!AA129*'Yearly BTX'!AA130*'Scope 3 Yearly'!$B$197</f>
        <v>6.772026403058363</v>
      </c>
      <c r="AB17" s="44">
        <f>'Scope 3 Yearly'!$EE$190*'Scope 3 Yearly'!AB129*'Yearly BTX'!AB130*'Scope 3 Yearly'!$B$197</f>
        <v>6.7677018520950352</v>
      </c>
      <c r="AC17" s="44">
        <f>'Scope 3 Yearly'!$EE$190*'Scope 3 Yearly'!AC129*'Yearly BTX'!AC130*'Scope 3 Yearly'!$B$197</f>
        <v>6.6805016098179593</v>
      </c>
      <c r="AD17" s="44">
        <f>'Scope 3 Yearly'!$EE$190*'Scope 3 Yearly'!AD129*'Yearly BTX'!AD130*'Scope 3 Yearly'!$B$197</f>
        <v>6.5147641432413677</v>
      </c>
      <c r="AE17" s="44">
        <f>'Scope 3 Yearly'!$EE$190*'Scope 3 Yearly'!AE129*'Yearly BTX'!AE130*'Scope 3 Yearly'!$B$197</f>
        <v>6.2940179812713799</v>
      </c>
      <c r="AF17" s="44">
        <f>'Scope 3 Yearly'!$EE$190*'Scope 3 Yearly'!AF129*'Yearly BTX'!AF130*'Scope 3 Yearly'!$B$197</f>
        <v>6.0268826691094866</v>
      </c>
      <c r="AG17" s="44">
        <f>'Scope 3 Yearly'!$EE$190*'Scope 3 Yearly'!AG129*'Yearly BTX'!AG130*'Scope 3 Yearly'!$B$197</f>
        <v>5.7204078529325582</v>
      </c>
      <c r="AH17" s="44">
        <f>'Scope 3 Yearly'!$EE$190*'Scope 3 Yearly'!AH129*'Yearly BTX'!AH130*'Scope 3 Yearly'!$B$197</f>
        <v>5.3820076810029986</v>
      </c>
      <c r="AJ17" s="44">
        <f>'Scope 3 Yearly'!$EE$190*'Scope 3 Yearly'!AJ129*'Yearly BTX'!AJ130*'Scope 3 Yearly'!$B$197</f>
        <v>2.5103308580758305E-4</v>
      </c>
      <c r="AK17" s="44">
        <f>'Scope 3 Yearly'!$EE$190*'Scope 3 Yearly'!AK129*'Yearly BTX'!AK130*'Scope 3 Yearly'!$B$197</f>
        <v>5.1064069174136409E-4</v>
      </c>
      <c r="AL17" s="44">
        <f>'Scope 3 Yearly'!$EE$190*'Scope 3 Yearly'!AL129*'Yearly BTX'!AL130*'Scope 3 Yearly'!$B$197</f>
        <v>1.0326280478447532E-3</v>
      </c>
      <c r="AM17" s="44">
        <f>'Scope 3 Yearly'!$EE$190*'Scope 3 Yearly'!AM129*'Yearly BTX'!AM130*'Scope 3 Yearly'!$B$197</f>
        <v>2.0811319578576386E-3</v>
      </c>
      <c r="AN17" s="44">
        <f>'Scope 3 Yearly'!$EE$190*'Scope 3 Yearly'!AN129*'Yearly BTX'!AN130*'Scope 3 Yearly'!$B$197</f>
        <v>4.1762575587351398E-3</v>
      </c>
      <c r="AO17" s="44">
        <f>'Scope 3 Yearly'!$EE$190*'Scope 3 Yearly'!AO129*'Yearly BTX'!AO130*'Scope 3 Yearly'!$B$197</f>
        <v>8.3337825795479024E-3</v>
      </c>
      <c r="AP17" s="44">
        <f>'Scope 3 Yearly'!$EE$190*'Scope 3 Yearly'!AP129*'Yearly BTX'!AP130*'Scope 3 Yearly'!$B$197</f>
        <v>1.6368789122992493E-2</v>
      </c>
      <c r="AQ17" s="44">
        <f>'Scope 3 Yearly'!$EE$190*'Scope 3 Yearly'!AQ129*'Yearly BTX'!AQ130*'Scope 3 Yearly'!$B$197</f>
        <v>3.1824437323652151E-2</v>
      </c>
      <c r="AR17" s="44">
        <f>'Scope 3 Yearly'!$EE$190*'Scope 3 Yearly'!AR129*'Yearly BTX'!AR130*'Scope 3 Yearly'!$B$197</f>
        <v>6.1037570339124075E-2</v>
      </c>
      <c r="AS17" s="44">
        <f>'Scope 3 Yearly'!$EE$190*'Scope 3 Yearly'!AS129*'Yearly BTX'!AS130*'Scope 3 Yearly'!$B$197</f>
        <v>0.11497200185019514</v>
      </c>
      <c r="AT17" s="44">
        <f>'Scope 3 Yearly'!$EE$190*'Scope 3 Yearly'!AT129*'Yearly BTX'!AT130*'Scope 3 Yearly'!$B$197</f>
        <v>0.21149511695139137</v>
      </c>
      <c r="AU17" s="44">
        <f>'Scope 3 Yearly'!$EE$190*'Scope 3 Yearly'!AU129*'Yearly BTX'!AU130*'Scope 3 Yearly'!$B$197</f>
        <v>0.37083208816929347</v>
      </c>
      <c r="AV17" s="44">
        <f>'Scope 3 Yearly'!$EE$190*'Scope 3 Yearly'!AV129*'Yearly BTX'!AV130*'Scope 3 Yearly'!$B$197</f>
        <v>0.6257625141906259</v>
      </c>
      <c r="AW17" s="44">
        <f>'Scope 3 Yearly'!$EE$190*'Scope 3 Yearly'!AW129*'Yearly BTX'!AW130*'Scope 3 Yearly'!$B$197</f>
        <v>1.0084126930195794</v>
      </c>
      <c r="AX17" s="44">
        <f>'Scope 3 Yearly'!$EE$190*'Scope 3 Yearly'!AX129*'Yearly BTX'!AX130*'Scope 3 Yearly'!$B$197</f>
        <v>1.5413149190240183</v>
      </c>
      <c r="AY17" s="44">
        <f>'Scope 3 Yearly'!$EE$190*'Scope 3 Yearly'!AY129*'Yearly BTX'!AY130*'Scope 3 Yearly'!$B$197</f>
        <v>2.223924750745605</v>
      </c>
      <c r="AZ17" s="44">
        <f>'Scope 3 Yearly'!$EE$190*'Scope 3 Yearly'!AZ129*'Yearly BTX'!AZ130*'Scope 3 Yearly'!$B$197</f>
        <v>3.0221078531550551</v>
      </c>
      <c r="BA17" s="44">
        <f>'Scope 3 Yearly'!$EE$190*'Scope 3 Yearly'!BA129*'Yearly BTX'!BA130*'Scope 3 Yearly'!$B$197</f>
        <v>3.8769848986331392</v>
      </c>
      <c r="BB17" s="44">
        <f>'Scope 3 Yearly'!$EE$190*'Scope 3 Yearly'!BB129*'Yearly BTX'!BB130*'Scope 3 Yearly'!$B$197</f>
        <v>4.7188225564832083</v>
      </c>
      <c r="BC17" s="44">
        <f>'Scope 3 Yearly'!$EE$190*'Scope 3 Yearly'!BC129*'Yearly BTX'!BC130*'Scope 3 Yearly'!$B$197</f>
        <v>5.4874823260087968</v>
      </c>
      <c r="BD17" s="44">
        <f>'Scope 3 Yearly'!$EE$190*'Scope 3 Yearly'!BD129*'Yearly BTX'!BD130*'Scope 3 Yearly'!$B$197</f>
        <v>6.1447437306036683</v>
      </c>
      <c r="BE17" s="44">
        <f>'Scope 3 Yearly'!$EE$190*'Scope 3 Yearly'!BE129*'Yearly BTX'!BE130*'Scope 3 Yearly'!$B$197</f>
        <v>6.5547341802219679</v>
      </c>
      <c r="BF17" s="44">
        <f>'Scope 3 Yearly'!$EE$190*'Scope 3 Yearly'!BF129*'Yearly BTX'!BF130*'Scope 3 Yearly'!$B$197</f>
        <v>6.8033083091042386</v>
      </c>
      <c r="BG17" s="44">
        <f>'Scope 3 Yearly'!$EE$190*'Scope 3 Yearly'!BG129*'Yearly BTX'!BG130*'Scope 3 Yearly'!$B$197</f>
        <v>6.9233146762521951</v>
      </c>
      <c r="BH17" s="44">
        <f>'Scope 3 Yearly'!$EE$190*'Scope 3 Yearly'!BH129*'Yearly BTX'!BH130*'Scope 3 Yearly'!$B$197</f>
        <v>6.9390987863354177</v>
      </c>
      <c r="BI17" s="44">
        <f>'Scope 3 Yearly'!$EE$190*'Scope 3 Yearly'!BI129*'Yearly BTX'!BI130*'Scope 3 Yearly'!$B$197</f>
        <v>6.8714168226075332</v>
      </c>
      <c r="BJ17" s="44">
        <f>'Scope 3 Yearly'!$EE$190*'Scope 3 Yearly'!BJ129*'Yearly BTX'!BJ130*'Scope 3 Yearly'!$B$197</f>
        <v>6.7253415486343879</v>
      </c>
      <c r="BK17" s="44">
        <f>'Scope 3 Yearly'!$EE$190*'Scope 3 Yearly'!BK129*'Yearly BTX'!BK130*'Scope 3 Yearly'!$B$197</f>
        <v>6.5258905283360189</v>
      </c>
      <c r="BL17" s="44">
        <f>'Scope 3 Yearly'!$EE$190*'Scope 3 Yearly'!BL129*'Yearly BTX'!BL130*'Scope 3 Yearly'!$B$197</f>
        <v>6.2829251161208095</v>
      </c>
      <c r="BM17" s="44">
        <f>'Scope 3 Yearly'!$EE$190*'Scope 3 Yearly'!BM129*'Yearly BTX'!BM130*'Scope 3 Yearly'!$B$197</f>
        <v>6.0041920792713501</v>
      </c>
      <c r="BN17" s="44">
        <f>'Scope 3 Yearly'!$EE$190*'Scope 3 Yearly'!BN129*'Yearly BTX'!BN130*'Scope 3 Yearly'!$B$197</f>
        <v>5.6967221138372128</v>
      </c>
      <c r="BP17" s="44">
        <f>'Scope 3 Yearly'!$EE$190*'Scope 3 Yearly'!BP129*'Yearly BTX'!BP130*'Scope 3 Yearly'!$B$197</f>
        <v>0</v>
      </c>
      <c r="BQ17" s="44">
        <f>'Scope 3 Yearly'!$EE$190*'Scope 3 Yearly'!BQ129*'Yearly BTX'!BQ130*'Scope 3 Yearly'!$B$197</f>
        <v>0</v>
      </c>
      <c r="BR17" s="44">
        <f>'Scope 3 Yearly'!$EE$190*'Scope 3 Yearly'!BR129*'Yearly BTX'!BR130*'Scope 3 Yearly'!$B$197</f>
        <v>0</v>
      </c>
      <c r="BS17" s="44">
        <f>'Scope 3 Yearly'!$EE$190*'Scope 3 Yearly'!BS129*'Yearly BTX'!BS130*'Scope 3 Yearly'!$B$197</f>
        <v>0</v>
      </c>
      <c r="BT17" s="44">
        <f>'Scope 3 Yearly'!$EE$190*'Scope 3 Yearly'!BT129*'Yearly BTX'!BT130*'Scope 3 Yearly'!$B$197</f>
        <v>0</v>
      </c>
      <c r="BU17" s="44">
        <f>'Scope 3 Yearly'!$EE$190*'Scope 3 Yearly'!BU129*'Yearly BTX'!BU130*'Scope 3 Yearly'!$B$197</f>
        <v>0</v>
      </c>
      <c r="BV17" s="44">
        <f>'Scope 3 Yearly'!$EE$190*'Scope 3 Yearly'!BV129*'Yearly BTX'!BV130*'Scope 3 Yearly'!$B$197</f>
        <v>0</v>
      </c>
      <c r="BW17" s="44">
        <f>'Scope 3 Yearly'!$EE$190*'Scope 3 Yearly'!BW129*'Yearly BTX'!BW130*'Scope 3 Yearly'!$B$197</f>
        <v>0</v>
      </c>
      <c r="BX17" s="44">
        <f>'Scope 3 Yearly'!$EE$190*'Scope 3 Yearly'!BX129*'Yearly BTX'!BX130*'Scope 3 Yearly'!$B$197</f>
        <v>0</v>
      </c>
      <c r="BY17" s="44">
        <f>'Scope 3 Yearly'!$EE$190*'Scope 3 Yearly'!BY129*'Yearly BTX'!BY130*'Scope 3 Yearly'!$B$197</f>
        <v>0</v>
      </c>
      <c r="BZ17" s="44">
        <f>'Scope 3 Yearly'!$EE$190*'Scope 3 Yearly'!BZ129*'Yearly BTX'!BZ130*'Scope 3 Yearly'!$B$197</f>
        <v>0</v>
      </c>
      <c r="CA17" s="44">
        <f>'Scope 3 Yearly'!$EE$190*'Scope 3 Yearly'!CA129*'Yearly BTX'!CA130*'Scope 3 Yearly'!$B$197</f>
        <v>0</v>
      </c>
      <c r="CB17" s="44">
        <f>'Scope 3 Yearly'!$EE$190*'Scope 3 Yearly'!CB129*'Yearly BTX'!CB130*'Scope 3 Yearly'!$B$197</f>
        <v>0</v>
      </c>
      <c r="CC17" s="44">
        <f>'Scope 3 Yearly'!$EE$190*'Scope 3 Yearly'!CC129*'Yearly BTX'!CC130*'Scope 3 Yearly'!$B$197</f>
        <v>0</v>
      </c>
      <c r="CD17" s="44">
        <f>'Scope 3 Yearly'!$EE$190*'Scope 3 Yearly'!CD129*'Yearly BTX'!CD130*'Scope 3 Yearly'!$B$197</f>
        <v>0</v>
      </c>
      <c r="CE17" s="44">
        <f>'Scope 3 Yearly'!$EE$190*'Scope 3 Yearly'!CE129*'Yearly BTX'!CE130*'Scope 3 Yearly'!$B$197</f>
        <v>0</v>
      </c>
      <c r="CF17" s="44">
        <f>'Scope 3 Yearly'!$EE$190*'Scope 3 Yearly'!CF129*'Yearly BTX'!CF130*'Scope 3 Yearly'!$B$197</f>
        <v>0</v>
      </c>
      <c r="CG17" s="44">
        <f>'Scope 3 Yearly'!$EE$190*'Scope 3 Yearly'!CG129*'Yearly BTX'!CG130*'Scope 3 Yearly'!$B$197</f>
        <v>0</v>
      </c>
      <c r="CH17" s="44">
        <f>'Scope 3 Yearly'!$EE$190*'Scope 3 Yearly'!CH129*'Yearly BTX'!CH130*'Scope 3 Yearly'!$B$197</f>
        <v>0</v>
      </c>
      <c r="CI17" s="44">
        <f>'Scope 3 Yearly'!$EE$190*'Scope 3 Yearly'!CI129*'Yearly BTX'!CI130*'Scope 3 Yearly'!$B$197</f>
        <v>0</v>
      </c>
      <c r="CJ17" s="44">
        <f>'Scope 3 Yearly'!$EE$190*'Scope 3 Yearly'!CJ129*'Yearly BTX'!CJ130*'Scope 3 Yearly'!$B$197</f>
        <v>0</v>
      </c>
      <c r="CK17" s="44">
        <f>'Scope 3 Yearly'!$EE$190*'Scope 3 Yearly'!CK129*'Yearly BTX'!CK130*'Scope 3 Yearly'!$B$197</f>
        <v>0</v>
      </c>
      <c r="CL17" s="44">
        <f>'Scope 3 Yearly'!$EE$190*'Scope 3 Yearly'!CL129*'Yearly BTX'!CL130*'Scope 3 Yearly'!$B$197</f>
        <v>0</v>
      </c>
      <c r="CM17" s="44">
        <f>'Scope 3 Yearly'!$EE$190*'Scope 3 Yearly'!CM129*'Yearly BTX'!CM130*'Scope 3 Yearly'!$B$197</f>
        <v>0</v>
      </c>
      <c r="CN17" s="44">
        <f>'Scope 3 Yearly'!$EE$190*'Scope 3 Yearly'!CN129*'Yearly BTX'!CN130*'Scope 3 Yearly'!$B$197</f>
        <v>0</v>
      </c>
      <c r="CO17" s="44">
        <f>'Scope 3 Yearly'!$EE$190*'Scope 3 Yearly'!CO129*'Yearly BTX'!CO130*'Scope 3 Yearly'!$B$197</f>
        <v>0</v>
      </c>
      <c r="CP17" s="44">
        <f>'Scope 3 Yearly'!$EE$190*'Scope 3 Yearly'!CP129*'Yearly BTX'!CP130*'Scope 3 Yearly'!$B$197</f>
        <v>0</v>
      </c>
      <c r="CQ17" s="44">
        <f>'Scope 3 Yearly'!$EE$190*'Scope 3 Yearly'!CQ129*'Yearly BTX'!CQ130*'Scope 3 Yearly'!$B$197</f>
        <v>0</v>
      </c>
      <c r="CR17" s="44">
        <f>'Scope 3 Yearly'!$EE$190*'Scope 3 Yearly'!CR129*'Yearly BTX'!CR130*'Scope 3 Yearly'!$B$197</f>
        <v>0</v>
      </c>
      <c r="CS17" s="44">
        <f>'Scope 3 Yearly'!$EE$190*'Scope 3 Yearly'!CS129*'Yearly BTX'!CS130*'Scope 3 Yearly'!$B$197</f>
        <v>0</v>
      </c>
      <c r="CT17" s="44">
        <f>'Scope 3 Yearly'!$EE$190*'Scope 3 Yearly'!CT129*'Yearly BTX'!CT130*'Scope 3 Yearly'!$B$197</f>
        <v>0</v>
      </c>
      <c r="CV17" s="44">
        <f>'Scope 3 Yearly'!$EE$190*'Scope 3 Yearly'!CV129*'Yearly BTX'!D6*'Scope 3 Yearly'!$B$197</f>
        <v>4.8686745792490924E-4</v>
      </c>
      <c r="CW17" s="44">
        <f>'Scope 3 Yearly'!$EE$190*'Scope 3 Yearly'!CW129*'Yearly BTX'!E6*'Scope 3 Yearly'!$B$197</f>
        <v>9.9444087590944965E-4</v>
      </c>
      <c r="CX17" s="44">
        <f>'Scope 3 Yearly'!$EE$190*'Scope 3 Yearly'!CX129*'Yearly BTX'!F6*'Scope 3 Yearly'!$B$197</f>
        <v>2.0223481937152728E-3</v>
      </c>
      <c r="CY17" s="44">
        <f>'Scope 3 Yearly'!$EE$190*'Scope 3 Yearly'!CY129*'Yearly BTX'!G6*'Scope 3 Yearly'!$B$197</f>
        <v>4.0983459018424529E-3</v>
      </c>
      <c r="CZ17" s="44">
        <f>'Scope 3 Yearly'!$EE$190*'Scope 3 Yearly'!CZ129*'Yearly BTX'!H6*'Scope 3 Yearly'!$B$197</f>
        <v>8.2685851717351003E-3</v>
      </c>
      <c r="DA17" s="44">
        <f>'Scope 3 Yearly'!$EE$190*'Scope 3 Yearly'!DA129*'Yearly BTX'!I6*'Scope 3 Yearly'!$B$197</f>
        <v>1.6586263449871165E-2</v>
      </c>
      <c r="DB17" s="44">
        <f>'Scope 3 Yearly'!$EE$190*'Scope 3 Yearly'!DB129*'Yearly BTX'!J6*'Scope 3 Yearly'!$B$197</f>
        <v>3.27552703450446E-2</v>
      </c>
      <c r="DC17" s="44">
        <f>'Scope 3 Yearly'!$EE$190*'Scope 3 Yearly'!DC129*'Yearly BTX'!K6*'Scope 3 Yearly'!$B$197</f>
        <v>6.4033518972739206E-2</v>
      </c>
      <c r="DD17" s="44">
        <f>'Scope 3 Yearly'!$EE$190*'Scope 3 Yearly'!DD129*'Yearly BTX'!L6*'Scope 3 Yearly'!$B$197</f>
        <v>0.12349540757874264</v>
      </c>
      <c r="DE17" s="44">
        <f>'Scope 3 Yearly'!$EE$190*'Scope 3 Yearly'!DE129*'Yearly BTX'!M6*'Scope 3 Yearly'!$B$197</f>
        <v>0.2339270502563684</v>
      </c>
      <c r="DF17" s="44">
        <f>'Scope 3 Yearly'!$EE$190*'Scope 3 Yearly'!DF129*'Yearly BTX'!N6*'Scope 3 Yearly'!$B$197</f>
        <v>0.43277022843496754</v>
      </c>
      <c r="DG17" s="44">
        <f>'Scope 3 Yearly'!$EE$190*'Scope 3 Yearly'!DG129*'Yearly BTX'!O6*'Scope 3 Yearly'!$B$197</f>
        <v>0.76732135986270344</v>
      </c>
      <c r="DH17" s="44">
        <f>'Scope 3 Yearly'!$EE$190*'Scope 3 Yearly'!DH129*'Yearly BTX'!P6*'Scope 3 Yearly'!$B$197</f>
        <v>1.3096383846424502</v>
      </c>
      <c r="DI17" s="44">
        <f>'Scope 3 Yearly'!$EE$190*'Scope 3 Yearly'!DI129*'Yearly BTX'!Q6*'Scope 3 Yearly'!$B$197</f>
        <v>2.1351031477819333</v>
      </c>
      <c r="DJ17" s="44">
        <f>'Scope 3 Yearly'!$EE$190*'Scope 3 Yearly'!DJ129*'Yearly BTX'!R6*'Scope 3 Yearly'!$B$197</f>
        <v>3.3021789383604894</v>
      </c>
      <c r="DK17" s="44">
        <f>'Scope 3 Yearly'!$EE$190*'Scope 3 Yearly'!DK129*'Yearly BTX'!S6*'Scope 3 Yearly'!$B$197</f>
        <v>4.8220474850473201</v>
      </c>
      <c r="DL17" s="44">
        <f>'Scope 3 Yearly'!$EE$190*'Scope 3 Yearly'!DL129*'Yearly BTX'!T6*'Scope 3 Yearly'!$B$197</f>
        <v>6.6344903563197049</v>
      </c>
      <c r="DM17" s="44">
        <f>'Scope 3 Yearly'!$EE$190*'Scope 3 Yearly'!DM129*'Yearly BTX'!U6*'Scope 3 Yearly'!$B$197</f>
        <v>8.6203191493894291</v>
      </c>
      <c r="DN17" s="44">
        <f>'Scope 3 Yearly'!$EE$190*'Scope 3 Yearly'!DN129*'Yearly BTX'!V6*'Scope 3 Yearly'!$B$197</f>
        <v>10.629548109504334</v>
      </c>
      <c r="DO17" s="44">
        <f>'Scope 3 Yearly'!$EE$190*'Scope 3 Yearly'!DO129*'Yearly BTX'!W6*'Scope 3 Yearly'!$B$197</f>
        <v>12.525725088915168</v>
      </c>
      <c r="DP17" s="44">
        <f>'Scope 3 Yearly'!$EE$190*'Scope 3 Yearly'!DP129*'Yearly BTX'!X6*'Scope 3 Yearly'!$B$197</f>
        <v>14.215517514035836</v>
      </c>
      <c r="DQ17" s="44">
        <f>'Scope 3 Yearly'!$EE$190*'Scope 3 Yearly'!DQ129*'Yearly BTX'!Y6*'Scope 3 Yearly'!$B$197</f>
        <v>15.444428881069346</v>
      </c>
      <c r="DR17" s="44">
        <f>'Scope 3 Yearly'!$EE$190*'Scope 3 Yearly'!DR129*'Yearly BTX'!Z6*'Scope 3 Yearly'!$B$197</f>
        <v>16.350016449172564</v>
      </c>
      <c r="DS17" s="44">
        <f>'Scope 3 Yearly'!$EE$190*'Scope 3 Yearly'!DS129*'Yearly BTX'!AA6*'Scope 3 Yearly'!$B$197</f>
        <v>16.985167843334267</v>
      </c>
      <c r="DT17" s="44">
        <f>'Scope 3 Yearly'!$EE$190*'Scope 3 Yearly'!DT129*'Yearly BTX'!AB6*'Scope 3 Yearly'!$B$197</f>
        <v>17.393610880618866</v>
      </c>
      <c r="DU17" s="44">
        <f>'Scope 3 Yearly'!$EE$190*'Scope 3 Yearly'!DU129*'Yearly BTX'!AC6*'Scope 3 Yearly'!$B$197</f>
        <v>17.614726312668999</v>
      </c>
      <c r="DV17" s="44">
        <f>'Scope 3 Yearly'!$EE$190*'Scope 3 Yearly'!DV129*'Yearly BTX'!AD6*'Scope 3 Yearly'!$B$197</f>
        <v>17.658463672270386</v>
      </c>
      <c r="DW17" s="44">
        <f>'Scope 3 Yearly'!$EE$190*'Scope 3 Yearly'!DW129*'Yearly BTX'!AE6*'Scope 3 Yearly'!$B$197</f>
        <v>17.573394181564179</v>
      </c>
      <c r="DX17" s="44">
        <f>'Scope 3 Yearly'!$EE$190*'Scope 3 Yearly'!DX129*'Yearly BTX'!AF6*'Scope 3 Yearly'!$B$197</f>
        <v>17.378070458864805</v>
      </c>
      <c r="DY17" s="44">
        <f>'Scope 3 Yearly'!$EE$190*'Scope 3 Yearly'!DY129*'Yearly BTX'!AG6*'Scope 3 Yearly'!$B$197</f>
        <v>17.086036980989121</v>
      </c>
      <c r="DZ17" s="44">
        <f>'Scope 3 Yearly'!$EE$190*'Scope 3 Yearly'!DZ129*'Yearly BTX'!AH6*'Scope 3 Yearly'!$B$197</f>
        <v>16.708632042176301</v>
      </c>
    </row>
    <row r="18" spans="1:165">
      <c r="A18" t="s">
        <v>9</v>
      </c>
      <c r="C18" s="54" t="s">
        <v>415</v>
      </c>
      <c r="D18" s="44">
        <f>'Scope 3 Yearly'!$EE$191*'Scope 3 Yearly'!D152*'Yearly BTX'!D131*'Scope 3 Yearly'!$B$197</f>
        <v>7.3949617909335882E-4</v>
      </c>
      <c r="E18" s="44">
        <f>'Scope 3 Yearly'!$EE$191*'Scope 3 Yearly'!E152*'Yearly BTX'!E131*'Scope 3 Yearly'!$B$197</f>
        <v>1.5042505770170081E-3</v>
      </c>
      <c r="F18" s="44">
        <f>'Scope 3 Yearly'!$EE$191*'Scope 3 Yearly'!F152*'Yearly BTX'!F131*'Scope 3 Yearly'!$B$197</f>
        <v>3.0419233539973074E-3</v>
      </c>
      <c r="G18" s="44">
        <f>'Scope 3 Yearly'!$EE$191*'Scope 3 Yearly'!G152*'Yearly BTX'!G131*'Scope 3 Yearly'!$B$197</f>
        <v>6.1306017503766387E-3</v>
      </c>
      <c r="H18" s="44">
        <f>'Scope 3 Yearly'!$EE$191*'Scope 3 Yearly'!H152*'Yearly BTX'!H131*'Scope 3 Yearly'!$B$197</f>
        <v>1.2302375751540098E-2</v>
      </c>
      <c r="I18" s="44">
        <f>'Scope 3 Yearly'!$EE$191*'Scope 3 Yearly'!I152*'Yearly BTX'!I131*'Scope 3 Yearly'!$B$197</f>
        <v>2.4549365483842567E-2</v>
      </c>
      <c r="J18" s="44">
        <f>'Scope 3 Yearly'!$EE$191*'Scope 3 Yearly'!J152*'Yearly BTX'!J131*'Scope 3 Yearly'!$B$197</f>
        <v>4.8217798180477923E-2</v>
      </c>
      <c r="K18" s="44">
        <f>'Scope 3 Yearly'!$EE$191*'Scope 3 Yearly'!K152*'Yearly BTX'!K131*'Scope 3 Yearly'!$B$197</f>
        <v>9.3742619205250316E-2</v>
      </c>
      <c r="L18" s="44">
        <f>'Scope 3 Yearly'!$EE$191*'Scope 3 Yearly'!L152*'Yearly BTX'!L131*'Scope 3 Yearly'!$B$197</f>
        <v>0.17978165588545758</v>
      </c>
      <c r="M18" s="44">
        <f>'Scope 3 Yearly'!$EE$191*'Scope 3 Yearly'!M152*'Yearly BTX'!M131*'Scope 3 Yearly'!$B$197</f>
        <v>0.33859969596047718</v>
      </c>
      <c r="N18" s="44">
        <f>'Scope 3 Yearly'!$EE$191*'Scope 3 Yearly'!N152*'Yearly BTX'!N131*'Scope 3 Yearly'!$B$197</f>
        <v>0.62272313910052868</v>
      </c>
      <c r="O18" s="44">
        <f>'Scope 3 Yearly'!$EE$191*'Scope 3 Yearly'!O152*'Yearly BTX'!O131*'Scope 3 Yearly'!$B$197</f>
        <v>1.0914656973565984</v>
      </c>
      <c r="P18" s="44">
        <f>'Scope 3 Yearly'!$EE$191*'Scope 3 Yearly'!P152*'Yearly BTX'!P131*'Scope 3 Yearly'!$B$197</f>
        <v>1.84067886577328</v>
      </c>
      <c r="Q18" s="44">
        <f>'Scope 3 Yearly'!$EE$191*'Scope 3 Yearly'!Q152*'Yearly BTX'!Q131*'Scope 3 Yearly'!$B$197</f>
        <v>2.9634921928144506</v>
      </c>
      <c r="R18" s="44">
        <f>'Scope 3 Yearly'!$EE$191*'Scope 3 Yearly'!R152*'Yearly BTX'!R131*'Scope 3 Yearly'!$B$197</f>
        <v>4.5236201378623413</v>
      </c>
      <c r="S18" s="44">
        <f>'Scope 3 Yearly'!$EE$191*'Scope 3 Yearly'!S152*'Yearly BTX'!S131*'Scope 3 Yearly'!$B$197</f>
        <v>6.5158280860722524</v>
      </c>
      <c r="T18" s="44">
        <f>'Scope 3 Yearly'!$EE$191*'Scope 3 Yearly'!T152*'Yearly BTX'!T131*'Scope 3 Yearly'!$B$197</f>
        <v>8.8362275294407038</v>
      </c>
      <c r="U18" s="44">
        <f>'Scope 3 Yearly'!$EE$191*'Scope 3 Yearly'!U152*'Yearly BTX'!U131*'Scope 3 Yearly'!$B$197</f>
        <v>11.310186720526648</v>
      </c>
      <c r="V18" s="44">
        <f>'Scope 3 Yearly'!$EE$191*'Scope 3 Yearly'!V152*'Yearly BTX'!V131*'Scope 3 Yearly'!$B$197</f>
        <v>13.73455781215316</v>
      </c>
      <c r="W18" s="44">
        <f>'Scope 3 Yearly'!$EE$191*'Scope 3 Yearly'!W152*'Yearly BTX'!W131*'Scope 3 Yearly'!$B$197</f>
        <v>15.937356823492227</v>
      </c>
      <c r="X18" s="44">
        <f>'Scope 3 Yearly'!$EE$191*'Scope 3 Yearly'!X152*'Yearly BTX'!X131*'Scope 3 Yearly'!$B$197</f>
        <v>17.812076110191956</v>
      </c>
      <c r="Y18" s="44">
        <f>'Scope 3 Yearly'!$EE$191*'Scope 3 Yearly'!Y152*'Yearly BTX'!Y131*'Scope 3 Yearly'!$B$197</f>
        <v>18.988142533250631</v>
      </c>
      <c r="Z18" s="44">
        <f>'Scope 3 Yearly'!$EE$191*'Scope 3 Yearly'!Z152*'Yearly BTX'!Z131*'Scope 3 Yearly'!$B$197</f>
        <v>19.658192767849272</v>
      </c>
      <c r="AA18" s="44">
        <f>'Scope 3 Yearly'!$EE$191*'Scope 3 Yearly'!AA152*'Yearly BTX'!AA131*'Scope 3 Yearly'!$B$197</f>
        <v>19.949122113442861</v>
      </c>
      <c r="AB18" s="44">
        <f>'Scope 3 Yearly'!$EE$191*'Scope 3 Yearly'!AB152*'Yearly BTX'!AB131*'Scope 3 Yearly'!$B$197</f>
        <v>19.936382795826759</v>
      </c>
      <c r="AC18" s="44">
        <f>'Scope 3 Yearly'!$EE$191*'Scope 3 Yearly'!AC152*'Yearly BTX'!AC131*'Scope 3 Yearly'!$B$197</f>
        <v>19.679507205276551</v>
      </c>
      <c r="AD18" s="44">
        <f>'Scope 3 Yearly'!$EE$191*'Scope 3 Yearly'!AD152*'Yearly BTX'!AD131*'Scope 3 Yearly'!$B$197</f>
        <v>19.191275653489352</v>
      </c>
      <c r="AE18" s="44">
        <f>'Scope 3 Yearly'!$EE$191*'Scope 3 Yearly'!AE152*'Yearly BTX'!AE131*'Scope 3 Yearly'!$B$197</f>
        <v>18.540998782267415</v>
      </c>
      <c r="AF18" s="44">
        <f>'Scope 3 Yearly'!$EE$191*'Scope 3 Yearly'!AF152*'Yearly BTX'!AF131*'Scope 3 Yearly'!$B$197</f>
        <v>17.754068158263415</v>
      </c>
      <c r="AG18" s="44">
        <f>'Scope 3 Yearly'!$EE$191*'Scope 3 Yearly'!AG152*'Yearly BTX'!AG131*'Scope 3 Yearly'!$B$197</f>
        <v>16.851250719476212</v>
      </c>
      <c r="AH18" s="44">
        <f>'Scope 3 Yearly'!$EE$191*'Scope 3 Yearly'!AH152*'Yearly BTX'!AH131*'Scope 3 Yearly'!$B$197</f>
        <v>15.854387158816715</v>
      </c>
      <c r="AJ18" s="44">
        <f>'Scope 3 Yearly'!$EE$191*'Scope 3 Yearly'!AJ152*'Yearly BTX'!AJ131*'Scope 3 Yearly'!$B$197</f>
        <v>7.3949647937406244E-4</v>
      </c>
      <c r="AK18" s="44">
        <f>'Scope 3 Yearly'!$EE$191*'Scope 3 Yearly'!AK152*'Yearly BTX'!AK131*'Scope 3 Yearly'!$B$197</f>
        <v>1.5042518899573188E-3</v>
      </c>
      <c r="AL18" s="44">
        <f>'Scope 3 Yearly'!$EE$191*'Scope 3 Yearly'!AL152*'Yearly BTX'!AL131*'Scope 3 Yearly'!$B$197</f>
        <v>3.0419289291190271E-3</v>
      </c>
      <c r="AM18" s="44">
        <f>'Scope 3 Yearly'!$EE$191*'Scope 3 Yearly'!AM152*'Yearly BTX'!AM131*'Scope 3 Yearly'!$B$197</f>
        <v>6.1306251763491026E-3</v>
      </c>
      <c r="AN18" s="44">
        <f>'Scope 3 Yearly'!$EE$191*'Scope 3 Yearly'!AN152*'Yearly BTX'!AN131*'Scope 3 Yearly'!$B$197</f>
        <v>1.2302473005535046E-2</v>
      </c>
      <c r="AO18" s="44">
        <f>'Scope 3 Yearly'!$EE$191*'Scope 3 Yearly'!AO152*'Yearly BTX'!AO131*'Scope 3 Yearly'!$B$197</f>
        <v>2.454976346093422E-2</v>
      </c>
      <c r="AP18" s="44">
        <f>'Scope 3 Yearly'!$EE$191*'Scope 3 Yearly'!AP152*'Yearly BTX'!AP131*'Scope 3 Yearly'!$B$197</f>
        <v>4.8219388648027155E-2</v>
      </c>
      <c r="AQ18" s="44">
        <f>'Scope 3 Yearly'!$EE$191*'Scope 3 Yearly'!AQ152*'Yearly BTX'!AQ131*'Scope 3 Yearly'!$B$197</f>
        <v>9.374883507164529E-2</v>
      </c>
      <c r="AR18" s="44">
        <f>'Scope 3 Yearly'!$EE$191*'Scope 3 Yearly'!AR152*'Yearly BTX'!AR131*'Scope 3 Yearly'!$B$197</f>
        <v>0.17980525646697637</v>
      </c>
      <c r="AS18" s="44">
        <f>'Scope 3 Yearly'!$EE$191*'Scope 3 Yearly'!AS152*'Yearly BTX'!AS131*'Scope 3 Yearly'!$B$197</f>
        <v>0.3386859955981118</v>
      </c>
      <c r="AT18" s="44">
        <f>'Scope 3 Yearly'!$EE$191*'Scope 3 Yearly'!AT152*'Yearly BTX'!AT131*'Scope 3 Yearly'!$B$197</f>
        <v>0.6230250243198624</v>
      </c>
      <c r="AU18" s="44">
        <f>'Scope 3 Yearly'!$EE$191*'Scope 3 Yearly'!AU152*'Yearly BTX'!AU131*'Scope 3 Yearly'!$B$197</f>
        <v>1.0924019149026478</v>
      </c>
      <c r="AV18" s="44">
        <f>'Scope 3 Yearly'!$EE$191*'Scope 3 Yearly'!AV152*'Yearly BTX'!AV131*'Scope 3 Yearly'!$B$197</f>
        <v>1.8433792289950461</v>
      </c>
      <c r="AW18" s="44">
        <f>'Scope 3 Yearly'!$EE$191*'Scope 3 Yearly'!AW152*'Yearly BTX'!AW131*'Scope 3 Yearly'!$B$197</f>
        <v>2.9705950267276284</v>
      </c>
      <c r="AX18" s="44">
        <f>'Scope 3 Yearly'!$EE$191*'Scope 3 Yearly'!AX152*'Yearly BTX'!AX131*'Scope 3 Yearly'!$B$197</f>
        <v>4.5404252294402125</v>
      </c>
      <c r="AY18" s="44">
        <f>'Scope 3 Yearly'!$EE$191*'Scope 3 Yearly'!AY152*'Yearly BTX'!AY131*'Scope 3 Yearly'!$B$197</f>
        <v>6.5512660145116843</v>
      </c>
      <c r="AZ18" s="44">
        <f>'Scope 3 Yearly'!$EE$191*'Scope 3 Yearly'!AZ152*'Yearly BTX'!AZ131*'Scope 3 Yearly'!$B$197</f>
        <v>8.9025640206242507</v>
      </c>
      <c r="BA18" s="44">
        <f>'Scope 3 Yearly'!$EE$191*'Scope 3 Yearly'!BA152*'Yearly BTX'!BA131*'Scope 3 Yearly'!$B$197</f>
        <v>11.420871770357719</v>
      </c>
      <c r="BB18" s="44">
        <f>'Scope 3 Yearly'!$EE$191*'Scope 3 Yearly'!BB152*'Yearly BTX'!BB131*'Scope 3 Yearly'!$B$197</f>
        <v>13.900767925009649</v>
      </c>
      <c r="BC18" s="44">
        <f>'Scope 3 Yearly'!$EE$191*'Scope 3 Yearly'!BC152*'Yearly BTX'!BC131*'Scope 3 Yearly'!$B$197</f>
        <v>16.165095718981579</v>
      </c>
      <c r="BD18" s="44">
        <f>'Scope 3 Yearly'!$EE$191*'Scope 3 Yearly'!BD152*'Yearly BTX'!BD131*'Scope 3 Yearly'!$B$197</f>
        <v>18.101264782763522</v>
      </c>
      <c r="BE18" s="44">
        <f>'Scope 3 Yearly'!$EE$191*'Scope 3 Yearly'!BE152*'Yearly BTX'!BE131*'Scope 3 Yearly'!$B$197</f>
        <v>19.309019900358312</v>
      </c>
      <c r="BF18" s="44">
        <f>'Scope 3 Yearly'!$EE$191*'Scope 3 Yearly'!BF152*'Yearly BTX'!BF131*'Scope 3 Yearly'!$B$197</f>
        <v>20.041272752927757</v>
      </c>
      <c r="BG18" s="44">
        <f>'Scope 3 Yearly'!$EE$191*'Scope 3 Yearly'!BG152*'Yearly BTX'!BG131*'Scope 3 Yearly'!$B$197</f>
        <v>20.394789046299568</v>
      </c>
      <c r="BH18" s="44">
        <f>'Scope 3 Yearly'!$EE$191*'Scope 3 Yearly'!BH152*'Yearly BTX'!BH131*'Scope 3 Yearly'!$B$197</f>
        <v>20.441286079943744</v>
      </c>
      <c r="BI18" s="44">
        <f>'Scope 3 Yearly'!$EE$191*'Scope 3 Yearly'!BI152*'Yearly BTX'!BI131*'Scope 3 Yearly'!$B$197</f>
        <v>20.241907684331551</v>
      </c>
      <c r="BJ18" s="44">
        <f>'Scope 3 Yearly'!$EE$191*'Scope 3 Yearly'!BJ152*'Yearly BTX'!BJ131*'Scope 3 Yearly'!$B$197</f>
        <v>19.811597271346621</v>
      </c>
      <c r="BK18" s="44">
        <f>'Scope 3 Yearly'!$EE$191*'Scope 3 Yearly'!BK152*'Yearly BTX'!BK131*'Scope 3 Yearly'!$B$197</f>
        <v>19.2240519012066</v>
      </c>
      <c r="BL18" s="44">
        <f>'Scope 3 Yearly'!$EE$191*'Scope 3 Yearly'!BL152*'Yearly BTX'!BL131*'Scope 3 Yearly'!$B$197</f>
        <v>18.50832127803076</v>
      </c>
      <c r="BM18" s="44">
        <f>'Scope 3 Yearly'!$EE$191*'Scope 3 Yearly'!BM152*'Yearly BTX'!BM131*'Scope 3 Yearly'!$B$197</f>
        <v>17.687225928099842</v>
      </c>
      <c r="BN18" s="44">
        <f>'Scope 3 Yearly'!$EE$191*'Scope 3 Yearly'!BN152*'Yearly BTX'!BN131*'Scope 3 Yearly'!$B$197</f>
        <v>16.781476965884991</v>
      </c>
      <c r="BP18" s="44">
        <f>'Scope 3 Yearly'!$EE$191*'Scope 3 Yearly'!BP152*'Yearly BTX'!BP131*'Scope 3 Yearly'!$B$197</f>
        <v>0</v>
      </c>
      <c r="BQ18" s="44">
        <f>'Scope 3 Yearly'!$EE$191*'Scope 3 Yearly'!BQ152*'Yearly BTX'!BQ131*'Scope 3 Yearly'!$B$197</f>
        <v>0</v>
      </c>
      <c r="BR18" s="44">
        <f>'Scope 3 Yearly'!$EE$191*'Scope 3 Yearly'!BR152*'Yearly BTX'!BR131*'Scope 3 Yearly'!$B$197</f>
        <v>0</v>
      </c>
      <c r="BS18" s="44">
        <f>'Scope 3 Yearly'!$EE$191*'Scope 3 Yearly'!BS152*'Yearly BTX'!BS131*'Scope 3 Yearly'!$B$197</f>
        <v>0</v>
      </c>
      <c r="BT18" s="44">
        <f>'Scope 3 Yearly'!$EE$191*'Scope 3 Yearly'!BT152*'Yearly BTX'!BT131*'Scope 3 Yearly'!$B$197</f>
        <v>0</v>
      </c>
      <c r="BU18" s="44">
        <f>'Scope 3 Yearly'!$EE$191*'Scope 3 Yearly'!BU152*'Yearly BTX'!BU131*'Scope 3 Yearly'!$B$197</f>
        <v>0</v>
      </c>
      <c r="BV18" s="44">
        <f>'Scope 3 Yearly'!$EE$191*'Scope 3 Yearly'!BV152*'Yearly BTX'!BV131*'Scope 3 Yearly'!$B$197</f>
        <v>0</v>
      </c>
      <c r="BW18" s="44">
        <f>'Scope 3 Yearly'!$EE$191*'Scope 3 Yearly'!BW152*'Yearly BTX'!BW131*'Scope 3 Yearly'!$B$197</f>
        <v>0</v>
      </c>
      <c r="BX18" s="44">
        <f>'Scope 3 Yearly'!$EE$191*'Scope 3 Yearly'!BX152*'Yearly BTX'!BX131*'Scope 3 Yearly'!$B$197</f>
        <v>0</v>
      </c>
      <c r="BY18" s="44">
        <f>'Scope 3 Yearly'!$EE$191*'Scope 3 Yearly'!BY152*'Yearly BTX'!BY131*'Scope 3 Yearly'!$B$197</f>
        <v>0</v>
      </c>
      <c r="BZ18" s="44">
        <f>'Scope 3 Yearly'!$EE$191*'Scope 3 Yearly'!BZ152*'Yearly BTX'!BZ131*'Scope 3 Yearly'!$B$197</f>
        <v>0</v>
      </c>
      <c r="CA18" s="44">
        <f>'Scope 3 Yearly'!$EE$191*'Scope 3 Yearly'!CA152*'Yearly BTX'!CA131*'Scope 3 Yearly'!$B$197</f>
        <v>0</v>
      </c>
      <c r="CB18" s="44">
        <f>'Scope 3 Yearly'!$EE$191*'Scope 3 Yearly'!CB152*'Yearly BTX'!CB131*'Scope 3 Yearly'!$B$197</f>
        <v>0</v>
      </c>
      <c r="CC18" s="44">
        <f>'Scope 3 Yearly'!$EE$191*'Scope 3 Yearly'!CC152*'Yearly BTX'!CC131*'Scope 3 Yearly'!$B$197</f>
        <v>0</v>
      </c>
      <c r="CD18" s="44">
        <f>'Scope 3 Yearly'!$EE$191*'Scope 3 Yearly'!CD152*'Yearly BTX'!CD131*'Scope 3 Yearly'!$B$197</f>
        <v>0</v>
      </c>
      <c r="CE18" s="44">
        <f>'Scope 3 Yearly'!$EE$191*'Scope 3 Yearly'!CE152*'Yearly BTX'!CE131*'Scope 3 Yearly'!$B$197</f>
        <v>0</v>
      </c>
      <c r="CF18" s="44">
        <f>'Scope 3 Yearly'!$EE$191*'Scope 3 Yearly'!CF152*'Yearly BTX'!CF131*'Scope 3 Yearly'!$B$197</f>
        <v>0</v>
      </c>
      <c r="CG18" s="44">
        <f>'Scope 3 Yearly'!$EE$191*'Scope 3 Yearly'!CG152*'Yearly BTX'!CG131*'Scope 3 Yearly'!$B$197</f>
        <v>0</v>
      </c>
      <c r="CH18" s="44">
        <f>'Scope 3 Yearly'!$EE$191*'Scope 3 Yearly'!CH152*'Yearly BTX'!CH131*'Scope 3 Yearly'!$B$197</f>
        <v>0</v>
      </c>
      <c r="CI18" s="44">
        <f>'Scope 3 Yearly'!$EE$191*'Scope 3 Yearly'!CI152*'Yearly BTX'!CI131*'Scope 3 Yearly'!$B$197</f>
        <v>0</v>
      </c>
      <c r="CJ18" s="44">
        <f>'Scope 3 Yearly'!$EE$191*'Scope 3 Yearly'!CJ152*'Yearly BTX'!CJ131*'Scope 3 Yearly'!$B$197</f>
        <v>0</v>
      </c>
      <c r="CK18" s="44">
        <f>'Scope 3 Yearly'!$EE$191*'Scope 3 Yearly'!CK152*'Yearly BTX'!CK131*'Scope 3 Yearly'!$B$197</f>
        <v>0</v>
      </c>
      <c r="CL18" s="44">
        <f>'Scope 3 Yearly'!$EE$191*'Scope 3 Yearly'!CL152*'Yearly BTX'!CL131*'Scope 3 Yearly'!$B$197</f>
        <v>0</v>
      </c>
      <c r="CM18" s="44">
        <f>'Scope 3 Yearly'!$EE$191*'Scope 3 Yearly'!CM152*'Yearly BTX'!CM131*'Scope 3 Yearly'!$B$197</f>
        <v>0</v>
      </c>
      <c r="CN18" s="44">
        <f>'Scope 3 Yearly'!$EE$191*'Scope 3 Yearly'!CN152*'Yearly BTX'!CN131*'Scope 3 Yearly'!$B$197</f>
        <v>0</v>
      </c>
      <c r="CO18" s="44">
        <f>'Scope 3 Yearly'!$EE$191*'Scope 3 Yearly'!CO152*'Yearly BTX'!CO131*'Scope 3 Yearly'!$B$197</f>
        <v>0</v>
      </c>
      <c r="CP18" s="44">
        <f>'Scope 3 Yearly'!$EE$191*'Scope 3 Yearly'!CP152*'Yearly BTX'!CP131*'Scope 3 Yearly'!$B$197</f>
        <v>0</v>
      </c>
      <c r="CQ18" s="44">
        <f>'Scope 3 Yearly'!$EE$191*'Scope 3 Yearly'!CQ152*'Yearly BTX'!CQ131*'Scope 3 Yearly'!$B$197</f>
        <v>0</v>
      </c>
      <c r="CR18" s="44">
        <f>'Scope 3 Yearly'!$EE$191*'Scope 3 Yearly'!CR152*'Yearly BTX'!CR131*'Scope 3 Yearly'!$B$197</f>
        <v>0</v>
      </c>
      <c r="CS18" s="44">
        <f>'Scope 3 Yearly'!$EE$191*'Scope 3 Yearly'!CS152*'Yearly BTX'!CS131*'Scope 3 Yearly'!$B$197</f>
        <v>0</v>
      </c>
      <c r="CT18" s="44">
        <f>'Scope 3 Yearly'!$EE$191*'Scope 3 Yearly'!CT152*'Yearly BTX'!CT131*'Scope 3 Yearly'!$B$197</f>
        <v>0</v>
      </c>
      <c r="CV18" s="44">
        <f>'Scope 3 Yearly'!$EE$191*'Scope 3 Yearly'!CV152*'Yearly BTX'!D7*'Scope 3 Yearly'!$B$197</f>
        <v>6.9125285782657621E-4</v>
      </c>
      <c r="CW18" s="44">
        <f>'Scope 3 Yearly'!$EE$191*'Scope 3 Yearly'!CW152*'Yearly BTX'!E7*'Scope 3 Yearly'!$B$197</f>
        <v>1.4119039714459442E-3</v>
      </c>
      <c r="CX18" s="44">
        <f>'Scope 3 Yearly'!$EE$191*'Scope 3 Yearly'!CX152*'Yearly BTX'!F7*'Scope 3 Yearly'!$B$197</f>
        <v>2.871323489937802E-3</v>
      </c>
      <c r="CY18" s="44">
        <f>'Scope 3 Yearly'!$EE$191*'Scope 3 Yearly'!CY152*'Yearly BTX'!G7*'Scope 3 Yearly'!$B$197</f>
        <v>5.8188183886534704E-3</v>
      </c>
      <c r="CZ18" s="44">
        <f>'Scope 3 Yearly'!$EE$191*'Scope 3 Yearly'!CZ152*'Yearly BTX'!H7*'Scope 3 Yearly'!$B$197</f>
        <v>1.1739710751064168E-2</v>
      </c>
      <c r="DA18" s="44">
        <f>'Scope 3 Yearly'!$EE$191*'Scope 3 Yearly'!DA152*'Yearly BTX'!I7*'Scope 3 Yearly'!$B$197</f>
        <v>2.3549123737401745E-2</v>
      </c>
      <c r="DB18" s="44">
        <f>'Scope 3 Yearly'!$EE$191*'Scope 3 Yearly'!DB152*'Yearly BTX'!J7*'Scope 3 Yearly'!$B$197</f>
        <v>4.6505827954486802E-2</v>
      </c>
      <c r="DC18" s="44">
        <f>'Scope 3 Yearly'!$EE$191*'Scope 3 Yearly'!DC152*'Yearly BTX'!K7*'Scope 3 Yearly'!$B$197</f>
        <v>9.0914585204059983E-2</v>
      </c>
      <c r="DD18" s="44">
        <f>'Scope 3 Yearly'!$EE$191*'Scope 3 Yearly'!DD152*'Yearly BTX'!L7*'Scope 3 Yearly'!$B$197</f>
        <v>0.17533838425165385</v>
      </c>
      <c r="DE18" s="44">
        <f>'Scope 3 Yearly'!$EE$191*'Scope 3 Yearly'!DE152*'Yearly BTX'!M7*'Scope 3 Yearly'!$B$197</f>
        <v>0.33212887692649096</v>
      </c>
      <c r="DF18" s="44">
        <f>'Scope 3 Yearly'!$EE$191*'Scope 3 Yearly'!DF152*'Yearly BTX'!N7*'Scope 3 Yearly'!$B$197</f>
        <v>0.61444578461448673</v>
      </c>
      <c r="DG18" s="44">
        <f>'Scope 3 Yearly'!$EE$191*'Scope 3 Yearly'!DG152*'Yearly BTX'!O7*'Scope 3 Yearly'!$B$197</f>
        <v>1.0894404097927515</v>
      </c>
      <c r="DH18" s="44">
        <f>'Scope 3 Yearly'!$EE$191*'Scope 3 Yearly'!DH152*'Yearly BTX'!P7*'Scope 3 Yearly'!$B$197</f>
        <v>1.8594203850919515</v>
      </c>
      <c r="DI18" s="44">
        <f>'Scope 3 Yearly'!$EE$191*'Scope 3 Yearly'!DI152*'Yearly BTX'!Q7*'Scope 3 Yearly'!$B$197</f>
        <v>3.0314126126836158</v>
      </c>
      <c r="DJ18" s="44">
        <f>'Scope 3 Yearly'!$EE$191*'Scope 3 Yearly'!DJ152*'Yearly BTX'!R7*'Scope 3 Yearly'!$B$197</f>
        <v>4.6884230832048628</v>
      </c>
      <c r="DK18" s="44">
        <f>'Scope 3 Yearly'!$EE$191*'Scope 3 Yearly'!DK152*'Yearly BTX'!S7*'Scope 3 Yearly'!$B$197</f>
        <v>6.8463275792166609</v>
      </c>
      <c r="DL18" s="44">
        <f>'Scope 3 Yearly'!$EE$191*'Scope 3 Yearly'!DL152*'Yearly BTX'!T7*'Scope 3 Yearly'!$B$197</f>
        <v>9.4196281644606881</v>
      </c>
      <c r="DM18" s="44">
        <f>'Scope 3 Yearly'!$EE$191*'Scope 3 Yearly'!DM152*'Yearly BTX'!U7*'Scope 3 Yearly'!$B$197</f>
        <v>12.239101526295984</v>
      </c>
      <c r="DN18" s="44">
        <f>'Scope 3 Yearly'!$EE$191*'Scope 3 Yearly'!DN152*'Yearly BTX'!V7*'Scope 3 Yearly'!$B$197</f>
        <v>15.091798370375381</v>
      </c>
      <c r="DO18" s="44">
        <f>'Scope 3 Yearly'!$EE$191*'Scope 3 Yearly'!DO152*'Yearly BTX'!W7*'Scope 3 Yearly'!$B$197</f>
        <v>17.783984374240241</v>
      </c>
      <c r="DP18" s="44">
        <f>'Scope 3 Yearly'!$EE$191*'Scope 3 Yearly'!DP152*'Yearly BTX'!X7*'Scope 3 Yearly'!$B$197</f>
        <v>20.183146248761158</v>
      </c>
      <c r="DQ18" s="44">
        <f>'Scope 3 Yearly'!$EE$191*'Scope 3 Yearly'!DQ152*'Yearly BTX'!Y7*'Scope 3 Yearly'!$B$197</f>
        <v>21.927950672737467</v>
      </c>
      <c r="DR18" s="44">
        <f>'Scope 3 Yearly'!$EE$191*'Scope 3 Yearly'!DR152*'Yearly BTX'!Z7*'Scope 3 Yearly'!$B$197</f>
        <v>23.213701002265786</v>
      </c>
      <c r="DS18" s="44">
        <f>'Scope 3 Yearly'!$EE$191*'Scope 3 Yearly'!DS152*'Yearly BTX'!AA7*'Scope 3 Yearly'!$B$197</f>
        <v>24.115486917960581</v>
      </c>
      <c r="DT18" s="44">
        <f>'Scope 3 Yearly'!$EE$191*'Scope 3 Yearly'!DT152*'Yearly BTX'!AB7*'Scope 3 Yearly'!$B$197</f>
        <v>24.695393034474716</v>
      </c>
      <c r="DU18" s="44">
        <f>'Scope 3 Yearly'!$EE$191*'Scope 3 Yearly'!DU152*'Yearly BTX'!AC7*'Scope 3 Yearly'!$B$197</f>
        <v>25.009332016894415</v>
      </c>
      <c r="DV18" s="44">
        <f>'Scope 3 Yearly'!$EE$191*'Scope 3 Yearly'!DV152*'Yearly BTX'!AD7*'Scope 3 Yearly'!$B$197</f>
        <v>25.071430180010744</v>
      </c>
      <c r="DW18" s="44">
        <f>'Scope 3 Yearly'!$EE$191*'Scope 3 Yearly'!DW152*'Yearly BTX'!AE7*'Scope 3 Yearly'!$B$197</f>
        <v>24.950648789496057</v>
      </c>
      <c r="DX18" s="44">
        <f>'Scope 3 Yearly'!$EE$191*'Scope 3 Yearly'!DX152*'Yearly BTX'!AF7*'Scope 3 Yearly'!$B$197</f>
        <v>24.673328793428272</v>
      </c>
      <c r="DY18" s="44">
        <f>'Scope 3 Yearly'!$EE$191*'Scope 3 Yearly'!DY152*'Yearly BTX'!AG7*'Scope 3 Yearly'!$B$197</f>
        <v>24.258700596622937</v>
      </c>
      <c r="DZ18" s="44">
        <f>'Scope 3 Yearly'!$EE$191*'Scope 3 Yearly'!DZ152*'Yearly BTX'!AH7*'Scope 3 Yearly'!$B$197</f>
        <v>23.722862272935966</v>
      </c>
    </row>
    <row r="19" spans="1:165" ht="16" thickBot="1">
      <c r="A19" t="s">
        <v>10</v>
      </c>
      <c r="C19" s="54" t="s">
        <v>415</v>
      </c>
      <c r="D19" s="44">
        <f>'Scope 3 Yearly'!$EE$192*'Scope 3 Yearly'!D175*'Yearly Butadiene'!D76*'Scope 3 Yearly'!$B$197</f>
        <v>3.1934916709143153E-4</v>
      </c>
      <c r="E19" s="44">
        <f>'Scope 3 Yearly'!$EE$192*'Scope 3 Yearly'!E175*'Yearly Butadiene'!E76*'Scope 3 Yearly'!$B$197</f>
        <v>6.4908158925755077E-4</v>
      </c>
      <c r="F19" s="44">
        <f>'Scope 3 Yearly'!$EE$192*'Scope 3 Yearly'!F175*'Yearly Butadiene'!F76*'Scope 3 Yearly'!$B$197</f>
        <v>1.3155883824188129E-3</v>
      </c>
      <c r="G19" s="44">
        <f>'Scope 3 Yearly'!$EE$192*'Scope 3 Yearly'!G175*'Yearly Butadiene'!G76*'Scope 3 Yearly'!$B$197</f>
        <v>2.6574000865001849E-3</v>
      </c>
      <c r="H19" s="44">
        <f>'Scope 3 Yearly'!$EE$192*'Scope 3 Yearly'!H175*'Yearly Butadiene'!H76*'Scope 3 Yearly'!$B$197</f>
        <v>5.3445914806636687E-3</v>
      </c>
      <c r="I19" s="44">
        <f>'Scope 3 Yearly'!$EE$192*'Scope 3 Yearly'!I175*'Yearly Butadiene'!I76*'Scope 3 Yearly'!$B$197</f>
        <v>1.0688779497195992E-2</v>
      </c>
      <c r="J19" s="44">
        <f>'Scope 3 Yearly'!$EE$192*'Scope 3 Yearly'!J175*'Yearly Butadiene'!J76*'Scope 3 Yearly'!$B$197</f>
        <v>2.1187926980790649E-2</v>
      </c>
      <c r="K19" s="44">
        <f>'Scope 3 Yearly'!$EE$192*'Scope 3 Yearly'!K175*'Yearly Butadiene'!K76*'Scope 3 Yearly'!$B$197</f>
        <v>4.1580064101158248E-2</v>
      </c>
      <c r="L19" s="44">
        <f>'Scope 3 Yearly'!$EE$192*'Scope 3 Yearly'!L175*'Yearly Butadiene'!L76*'Scope 3 Yearly'!$B$197</f>
        <v>8.0509797418211654E-2</v>
      </c>
      <c r="M19" s="44">
        <f>'Scope 3 Yearly'!$EE$192*'Scope 3 Yearly'!M175*'Yearly Butadiene'!M76*'Scope 3 Yearly'!$B$197</f>
        <v>0.15312924708992856</v>
      </c>
      <c r="N19" s="44">
        <f>'Scope 3 Yearly'!$EE$192*'Scope 3 Yearly'!N175*'Yearly Butadiene'!N76*'Scope 3 Yearly'!$B$197</f>
        <v>0.28455975023363322</v>
      </c>
      <c r="O19" s="44">
        <f>'Scope 3 Yearly'!$EE$192*'Scope 3 Yearly'!O175*'Yearly Butadiene'!O76*'Scope 3 Yearly'!$B$197</f>
        <v>0.51143016618216475</v>
      </c>
      <c r="P19" s="44">
        <f>'Scope 3 Yearly'!$EE$192*'Scope 3 Yearly'!P175*'Yearly Butadiene'!P76*'Scope 3 Yearly'!$B$197</f>
        <v>0.88542637569223936</v>
      </c>
      <c r="Q19" s="44">
        <f>'Scope 3 Yearly'!$EE$192*'Scope 3 Yearly'!Q175*'Yearly Butadiene'!Q76*'Scope 3 Yearly'!$B$197</f>
        <v>1.4650628710838491</v>
      </c>
      <c r="R19" s="44">
        <f>'Scope 3 Yearly'!$EE$192*'Scope 3 Yearly'!R175*'Yearly Butadiene'!R76*'Scope 3 Yearly'!$B$197</f>
        <v>2.3011437290644197</v>
      </c>
      <c r="S19" s="44">
        <f>'Scope 3 Yearly'!$EE$192*'Scope 3 Yearly'!S175*'Yearly Butadiene'!S76*'Scope 3 Yearly'!$B$197</f>
        <v>3.4147710266455036</v>
      </c>
      <c r="T19" s="44">
        <f>'Scope 3 Yearly'!$EE$192*'Scope 3 Yearly'!T175*'Yearly Butadiene'!T76*'Scope 3 Yearly'!$B$197</f>
        <v>4.7318031383097479</v>
      </c>
      <c r="U19" s="44">
        <f>'Scope 3 Yearly'!$EE$192*'Scope 3 Yearly'!U175*'Yearly Butadiene'!U76*'Scope 3 Yearly'!$B$197</f>
        <v>6.1944242665871636</v>
      </c>
      <c r="V19" s="44">
        <f>'Scope 3 Yearly'!$EE$192*'Scope 3 Yearly'!V175*'Yearly Butadiene'!V76*'Scope 3 Yearly'!$B$197</f>
        <v>7.6981491584791604</v>
      </c>
      <c r="W19" s="44">
        <f>'Scope 3 Yearly'!$EE$192*'Scope 3 Yearly'!W175*'Yearly Butadiene'!W76*'Scope 3 Yearly'!$B$197</f>
        <v>9.1448623213789784</v>
      </c>
      <c r="X19" s="44">
        <f>'Scope 3 Yearly'!$EE$192*'Scope 3 Yearly'!X175*'Yearly Butadiene'!X76*'Scope 3 Yearly'!$B$197</f>
        <v>10.549168031776372</v>
      </c>
      <c r="Y19" s="44">
        <f>'Scope 3 Yearly'!$EE$192*'Scope 3 Yearly'!Y175*'Yearly Butadiene'!Y76*'Scope 3 Yearly'!$B$197</f>
        <v>11.612817913836711</v>
      </c>
      <c r="Z19" s="44">
        <f>'Scope 3 Yearly'!$EE$192*'Scope 3 Yearly'!Z175*'Yearly Butadiene'!Z76*'Scope 3 Yearly'!$B$197</f>
        <v>12.592508605338743</v>
      </c>
      <c r="AA19" s="44">
        <f>'Scope 3 Yearly'!$EE$192*'Scope 3 Yearly'!AA175*'Yearly Butadiene'!AA76*'Scope 3 Yearly'!$B$197</f>
        <v>13.418086863303262</v>
      </c>
      <c r="AB19" s="44">
        <f>'Scope 3 Yearly'!$EE$192*'Scope 3 Yearly'!AB175*'Yearly Butadiene'!AB76*'Scope 3 Yearly'!$B$197</f>
        <v>14.112236469725202</v>
      </c>
      <c r="AC19" s="44">
        <f>'Scope 3 Yearly'!$EE$192*'Scope 3 Yearly'!AC175*'Yearly Butadiene'!AC76*'Scope 3 Yearly'!$B$197</f>
        <v>14.699218513362867</v>
      </c>
      <c r="AD19" s="44">
        <f>'Scope 3 Yearly'!$EE$192*'Scope 3 Yearly'!AD175*'Yearly Butadiene'!AD76*'Scope 3 Yearly'!$B$197</f>
        <v>15.190583730553287</v>
      </c>
      <c r="AE19" s="44">
        <f>'Scope 3 Yearly'!$EE$192*'Scope 3 Yearly'!AE175*'Yearly Butadiene'!AE76*'Scope 3 Yearly'!$B$197</f>
        <v>15.613979520780495</v>
      </c>
      <c r="AF19" s="44">
        <f>'Scope 3 Yearly'!$EE$192*'Scope 3 Yearly'!AF175*'Yearly Butadiene'!AF76*'Scope 3 Yearly'!$B$197</f>
        <v>15.983418709170328</v>
      </c>
      <c r="AG19" s="44">
        <f>'Scope 3 Yearly'!$EE$192*'Scope 3 Yearly'!AG175*'Yearly Butadiene'!AG76*'Scope 3 Yearly'!$B$197</f>
        <v>16.309647891650599</v>
      </c>
      <c r="AH19" s="44">
        <f>'Scope 3 Yearly'!$EE$192*'Scope 3 Yearly'!AH175*'Yearly Butadiene'!AH76*'Scope 3 Yearly'!$B$197</f>
        <v>16.961551607941072</v>
      </c>
      <c r="AJ19" s="44">
        <f>'Scope 3 Yearly'!$EE$192*'Scope 3 Yearly'!AJ175*'Yearly Butadiene'!AJ76*'Scope 3 Yearly'!$B$197</f>
        <v>3.1934916709143148E-4</v>
      </c>
      <c r="AK19" s="44">
        <f>'Scope 3 Yearly'!$EE$192*'Scope 3 Yearly'!AK175*'Yearly Butadiene'!AK76*'Scope 3 Yearly'!$B$197</f>
        <v>6.4908158925755088E-4</v>
      </c>
      <c r="AL19" s="44">
        <f>'Scope 3 Yearly'!$EE$192*'Scope 3 Yearly'!AL175*'Yearly Butadiene'!AL76*'Scope 3 Yearly'!$B$197</f>
        <v>1.3155883824188129E-3</v>
      </c>
      <c r="AM19" s="44">
        <f>'Scope 3 Yearly'!$EE$192*'Scope 3 Yearly'!AM175*'Yearly Butadiene'!AM76*'Scope 3 Yearly'!$B$197</f>
        <v>2.6574000865001854E-3</v>
      </c>
      <c r="AN19" s="44">
        <f>'Scope 3 Yearly'!$EE$192*'Scope 3 Yearly'!AN175*'Yearly Butadiene'!AN76*'Scope 3 Yearly'!$B$197</f>
        <v>5.3445914806636696E-3</v>
      </c>
      <c r="AO19" s="44">
        <f>'Scope 3 Yearly'!$EE$192*'Scope 3 Yearly'!AO175*'Yearly Butadiene'!AO76*'Scope 3 Yearly'!$B$197</f>
        <v>1.0688779497195992E-2</v>
      </c>
      <c r="AP19" s="44">
        <f>'Scope 3 Yearly'!$EE$192*'Scope 3 Yearly'!AP175*'Yearly Butadiene'!AP76*'Scope 3 Yearly'!$B$197</f>
        <v>2.1187926980790649E-2</v>
      </c>
      <c r="AQ19" s="44">
        <f>'Scope 3 Yearly'!$EE$192*'Scope 3 Yearly'!AQ175*'Yearly Butadiene'!AQ76*'Scope 3 Yearly'!$B$197</f>
        <v>4.1580064101158248E-2</v>
      </c>
      <c r="AR19" s="44">
        <f>'Scope 3 Yearly'!$EE$192*'Scope 3 Yearly'!AR175*'Yearly Butadiene'!AR76*'Scope 3 Yearly'!$B$197</f>
        <v>8.0509797418211668E-2</v>
      </c>
      <c r="AS19" s="44">
        <f>'Scope 3 Yearly'!$EE$192*'Scope 3 Yearly'!AS175*'Yearly Butadiene'!AS76*'Scope 3 Yearly'!$B$197</f>
        <v>0.15312924708992856</v>
      </c>
      <c r="AT19" s="44">
        <f>'Scope 3 Yearly'!$EE$192*'Scope 3 Yearly'!AT175*'Yearly Butadiene'!AT76*'Scope 3 Yearly'!$B$197</f>
        <v>0.28455975023363328</v>
      </c>
      <c r="AU19" s="44">
        <f>'Scope 3 Yearly'!$EE$192*'Scope 3 Yearly'!AU175*'Yearly Butadiene'!AU76*'Scope 3 Yearly'!$B$197</f>
        <v>0.51143016618216475</v>
      </c>
      <c r="AV19" s="44">
        <f>'Scope 3 Yearly'!$EE$192*'Scope 3 Yearly'!AV175*'Yearly Butadiene'!AV76*'Scope 3 Yearly'!$B$197</f>
        <v>0.88542637569223936</v>
      </c>
      <c r="AW19" s="44">
        <f>'Scope 3 Yearly'!$EE$192*'Scope 3 Yearly'!AW175*'Yearly Butadiene'!AW76*'Scope 3 Yearly'!$B$197</f>
        <v>1.4650628710838489</v>
      </c>
      <c r="AX19" s="44">
        <f>'Scope 3 Yearly'!$EE$192*'Scope 3 Yearly'!AX175*'Yearly Butadiene'!AX76*'Scope 3 Yearly'!$B$197</f>
        <v>2.3011437290644197</v>
      </c>
      <c r="AY19" s="44">
        <f>'Scope 3 Yearly'!$EE$192*'Scope 3 Yearly'!AY175*'Yearly Butadiene'!AY76*'Scope 3 Yearly'!$B$197</f>
        <v>3.414771026645504</v>
      </c>
      <c r="AZ19" s="44">
        <f>'Scope 3 Yearly'!$EE$192*'Scope 3 Yearly'!AZ175*'Yearly Butadiene'!AZ76*'Scope 3 Yearly'!$B$197</f>
        <v>4.731803138309747</v>
      </c>
      <c r="BA19" s="44">
        <f>'Scope 3 Yearly'!$EE$192*'Scope 3 Yearly'!BA175*'Yearly Butadiene'!BA76*'Scope 3 Yearly'!$B$197</f>
        <v>6.1944242665871636</v>
      </c>
      <c r="BB19" s="44">
        <f>'Scope 3 Yearly'!$EE$192*'Scope 3 Yearly'!BB175*'Yearly Butadiene'!BB76*'Scope 3 Yearly'!$B$197</f>
        <v>7.6981491584791621</v>
      </c>
      <c r="BC19" s="44">
        <f>'Scope 3 Yearly'!$EE$192*'Scope 3 Yearly'!BC175*'Yearly Butadiene'!BC76*'Scope 3 Yearly'!$B$197</f>
        <v>9.1448623213789784</v>
      </c>
      <c r="BD19" s="44">
        <f>'Scope 3 Yearly'!$EE$192*'Scope 3 Yearly'!BD175*'Yearly Butadiene'!BD76*'Scope 3 Yearly'!$B$197</f>
        <v>10.549168031776375</v>
      </c>
      <c r="BE19" s="44">
        <f>'Scope 3 Yearly'!$EE$192*'Scope 3 Yearly'!BE175*'Yearly Butadiene'!BE76*'Scope 3 Yearly'!$B$197</f>
        <v>11.612817913836707</v>
      </c>
      <c r="BF19" s="44">
        <f>'Scope 3 Yearly'!$EE$192*'Scope 3 Yearly'!BF175*'Yearly Butadiene'!BF76*'Scope 3 Yearly'!$B$197</f>
        <v>12.59250860533874</v>
      </c>
      <c r="BG19" s="44">
        <f>'Scope 3 Yearly'!$EE$192*'Scope 3 Yearly'!BG175*'Yearly Butadiene'!BG76*'Scope 3 Yearly'!$B$197</f>
        <v>13.418086863303262</v>
      </c>
      <c r="BH19" s="44">
        <f>'Scope 3 Yearly'!$EE$192*'Scope 3 Yearly'!BH175*'Yearly Butadiene'!BH76*'Scope 3 Yearly'!$B$197</f>
        <v>14.1122364697252</v>
      </c>
      <c r="BI19" s="44">
        <f>'Scope 3 Yearly'!$EE$192*'Scope 3 Yearly'!BI175*'Yearly Butadiene'!BI76*'Scope 3 Yearly'!$B$197</f>
        <v>14.699218513362867</v>
      </c>
      <c r="BJ19" s="44">
        <f>'Scope 3 Yearly'!$EE$192*'Scope 3 Yearly'!BJ175*'Yearly Butadiene'!BJ76*'Scope 3 Yearly'!$B$197</f>
        <v>15.190583730553284</v>
      </c>
      <c r="BK19" s="44">
        <f>'Scope 3 Yearly'!$EE$192*'Scope 3 Yearly'!BK175*'Yearly Butadiene'!BK76*'Scope 3 Yearly'!$B$197</f>
        <v>15.613979520780495</v>
      </c>
      <c r="BL19" s="44">
        <f>'Scope 3 Yearly'!$EE$192*'Scope 3 Yearly'!BL175*'Yearly Butadiene'!BL76*'Scope 3 Yearly'!$B$197</f>
        <v>15.983418709170328</v>
      </c>
      <c r="BM19" s="44">
        <f>'Scope 3 Yearly'!$EE$192*'Scope 3 Yearly'!BM175*'Yearly Butadiene'!BM76*'Scope 3 Yearly'!$B$197</f>
        <v>16.309647891650599</v>
      </c>
      <c r="BN19" s="44">
        <f>'Scope 3 Yearly'!$EE$192*'Scope 3 Yearly'!BN175*'Yearly Butadiene'!BN76*'Scope 3 Yearly'!$B$197</f>
        <v>16.961551607941072</v>
      </c>
      <c r="BP19" s="44">
        <f>'Scope 3 Yearly'!$EE$192*'Scope 3 Yearly'!BP175*'Yearly Butadiene'!BP76*'Scope 3 Yearly'!$B$197</f>
        <v>0</v>
      </c>
      <c r="BQ19" s="44">
        <f>'Scope 3 Yearly'!$EE$192*'Scope 3 Yearly'!BQ175*'Yearly Butadiene'!BQ76*'Scope 3 Yearly'!$B$197</f>
        <v>0</v>
      </c>
      <c r="BR19" s="44">
        <f>'Scope 3 Yearly'!$EE$192*'Scope 3 Yearly'!BR175*'Yearly Butadiene'!BR76*'Scope 3 Yearly'!$B$197</f>
        <v>0</v>
      </c>
      <c r="BS19" s="44">
        <f>'Scope 3 Yearly'!$EE$192*'Scope 3 Yearly'!BS175*'Yearly Butadiene'!BS76*'Scope 3 Yearly'!$B$197</f>
        <v>0</v>
      </c>
      <c r="BT19" s="44">
        <f>'Scope 3 Yearly'!$EE$192*'Scope 3 Yearly'!BT175*'Yearly Butadiene'!BT76*'Scope 3 Yearly'!$B$197</f>
        <v>0</v>
      </c>
      <c r="BU19" s="44">
        <f>'Scope 3 Yearly'!$EE$192*'Scope 3 Yearly'!BU175*'Yearly Butadiene'!BU76*'Scope 3 Yearly'!$B$197</f>
        <v>0</v>
      </c>
      <c r="BV19" s="44">
        <f>'Scope 3 Yearly'!$EE$192*'Scope 3 Yearly'!BV175*'Yearly Butadiene'!BV76*'Scope 3 Yearly'!$B$197</f>
        <v>0</v>
      </c>
      <c r="BW19" s="44">
        <f>'Scope 3 Yearly'!$EE$192*'Scope 3 Yearly'!BW175*'Yearly Butadiene'!BW76*'Scope 3 Yearly'!$B$197</f>
        <v>0</v>
      </c>
      <c r="BX19" s="44">
        <f>'Scope 3 Yearly'!$EE$192*'Scope 3 Yearly'!BX175*'Yearly Butadiene'!BX76*'Scope 3 Yearly'!$B$197</f>
        <v>0</v>
      </c>
      <c r="BY19" s="44">
        <f>'Scope 3 Yearly'!$EE$192*'Scope 3 Yearly'!BY175*'Yearly Butadiene'!BY76*'Scope 3 Yearly'!$B$197</f>
        <v>0</v>
      </c>
      <c r="BZ19" s="44">
        <f>'Scope 3 Yearly'!$EE$192*'Scope 3 Yearly'!BZ175*'Yearly Butadiene'!BZ76*'Scope 3 Yearly'!$B$197</f>
        <v>0</v>
      </c>
      <c r="CA19" s="44">
        <f>'Scope 3 Yearly'!$EE$192*'Scope 3 Yearly'!CA175*'Yearly Butadiene'!CA76*'Scope 3 Yearly'!$B$197</f>
        <v>0</v>
      </c>
      <c r="CB19" s="44">
        <f>'Scope 3 Yearly'!$EE$192*'Scope 3 Yearly'!CB175*'Yearly Butadiene'!CB76*'Scope 3 Yearly'!$B$197</f>
        <v>0</v>
      </c>
      <c r="CC19" s="44">
        <f>'Scope 3 Yearly'!$EE$192*'Scope 3 Yearly'!CC175*'Yearly Butadiene'!CC76*'Scope 3 Yearly'!$B$197</f>
        <v>0</v>
      </c>
      <c r="CD19" s="44">
        <f>'Scope 3 Yearly'!$EE$192*'Scope 3 Yearly'!CD175*'Yearly Butadiene'!CD76*'Scope 3 Yearly'!$B$197</f>
        <v>0</v>
      </c>
      <c r="CE19" s="44">
        <f>'Scope 3 Yearly'!$EE$192*'Scope 3 Yearly'!CE175*'Yearly Butadiene'!CE76*'Scope 3 Yearly'!$B$197</f>
        <v>0</v>
      </c>
      <c r="CF19" s="44">
        <f>'Scope 3 Yearly'!$EE$192*'Scope 3 Yearly'!CF175*'Yearly Butadiene'!CF76*'Scope 3 Yearly'!$B$197</f>
        <v>0</v>
      </c>
      <c r="CG19" s="44">
        <f>'Scope 3 Yearly'!$EE$192*'Scope 3 Yearly'!CG175*'Yearly Butadiene'!CG76*'Scope 3 Yearly'!$B$197</f>
        <v>0</v>
      </c>
      <c r="CH19" s="44">
        <f>'Scope 3 Yearly'!$EE$192*'Scope 3 Yearly'!CH175*'Yearly Butadiene'!CH76*'Scope 3 Yearly'!$B$197</f>
        <v>0</v>
      </c>
      <c r="CI19" s="44">
        <f>'Scope 3 Yearly'!$EE$192*'Scope 3 Yearly'!CI175*'Yearly Butadiene'!CI76*'Scope 3 Yearly'!$B$197</f>
        <v>0</v>
      </c>
      <c r="CJ19" s="44">
        <f>'Scope 3 Yearly'!$EE$192*'Scope 3 Yearly'!CJ175*'Yearly Butadiene'!CJ76*'Scope 3 Yearly'!$B$197</f>
        <v>0</v>
      </c>
      <c r="CK19" s="44">
        <f>'Scope 3 Yearly'!$EE$192*'Scope 3 Yearly'!CK175*'Yearly Butadiene'!CK76*'Scope 3 Yearly'!$B$197</f>
        <v>0</v>
      </c>
      <c r="CL19" s="44">
        <f>'Scope 3 Yearly'!$EE$192*'Scope 3 Yearly'!CL175*'Yearly Butadiene'!CL76*'Scope 3 Yearly'!$B$197</f>
        <v>0</v>
      </c>
      <c r="CM19" s="44">
        <f>'Scope 3 Yearly'!$EE$192*'Scope 3 Yearly'!CM175*'Yearly Butadiene'!CM76*'Scope 3 Yearly'!$B$197</f>
        <v>0</v>
      </c>
      <c r="CN19" s="44">
        <f>'Scope 3 Yearly'!$EE$192*'Scope 3 Yearly'!CN175*'Yearly Butadiene'!CN76*'Scope 3 Yearly'!$B$197</f>
        <v>0</v>
      </c>
      <c r="CO19" s="44">
        <f>'Scope 3 Yearly'!$EE$192*'Scope 3 Yearly'!CO175*'Yearly Butadiene'!CO76*'Scope 3 Yearly'!$B$197</f>
        <v>0</v>
      </c>
      <c r="CP19" s="44">
        <f>'Scope 3 Yearly'!$EE$192*'Scope 3 Yearly'!CP175*'Yearly Butadiene'!CP76*'Scope 3 Yearly'!$B$197</f>
        <v>0</v>
      </c>
      <c r="CQ19" s="44">
        <f>'Scope 3 Yearly'!$EE$192*'Scope 3 Yearly'!CQ175*'Yearly Butadiene'!CQ76*'Scope 3 Yearly'!$B$197</f>
        <v>0</v>
      </c>
      <c r="CR19" s="44">
        <f>'Scope 3 Yearly'!$EE$192*'Scope 3 Yearly'!CR175*'Yearly Butadiene'!CR76*'Scope 3 Yearly'!$B$197</f>
        <v>0</v>
      </c>
      <c r="CS19" s="44">
        <f>'Scope 3 Yearly'!$EE$192*'Scope 3 Yearly'!CS175*'Yearly Butadiene'!CS76*'Scope 3 Yearly'!$B$197</f>
        <v>0</v>
      </c>
      <c r="CT19" s="44">
        <f>'Scope 3 Yearly'!$EE$192*'Scope 3 Yearly'!CT175*'Yearly Butadiene'!CT76*'Scope 3 Yearly'!$B$197</f>
        <v>0</v>
      </c>
      <c r="CV19" s="44">
        <f>'Scope 3 Yearly'!$EE$192*'Scope 3 Yearly'!CV175*'Yearly Butadiene'!D4*'Scope 3 Yearly'!$B$197</f>
        <v>3.1934916709143148E-4</v>
      </c>
      <c r="CW19" s="44">
        <f>'Scope 3 Yearly'!$EE$192*'Scope 3 Yearly'!CW175*'Yearly Butadiene'!E4*'Scope 3 Yearly'!$B$197</f>
        <v>6.5105142858850164E-4</v>
      </c>
      <c r="CX19" s="44">
        <f>'Scope 3 Yearly'!$EE$192*'Scope 3 Yearly'!CX175*'Yearly Butadiene'!F4*'Scope 3 Yearly'!$B$197</f>
        <v>1.3235614710720965E-3</v>
      </c>
      <c r="CY19" s="44">
        <f>'Scope 3 Yearly'!$EE$192*'Scope 3 Yearly'!CY175*'Yearly Butadiene'!G4*'Scope 3 Yearly'!$B$197</f>
        <v>2.6814686680988902E-3</v>
      </c>
      <c r="CZ19" s="44">
        <f>'Scope 3 Yearly'!$EE$192*'Scope 3 Yearly'!CZ175*'Yearly Butadiene'!H4*'Scope 3 Yearly'!$B$197</f>
        <v>5.4087524042554418E-3</v>
      </c>
      <c r="DA19" s="44">
        <f>'Scope 3 Yearly'!$EE$192*'Scope 3 Yearly'!DA175*'Yearly Butadiene'!I4*'Scope 3 Yearly'!$B$197</f>
        <v>1.0847867158373842E-2</v>
      </c>
      <c r="DB19" s="44">
        <f>'Scope 3 Yearly'!$EE$192*'Scope 3 Yearly'!DB175*'Yearly Butadiene'!J4*'Scope 3 Yearly'!$B$197</f>
        <v>2.1564469974108866E-2</v>
      </c>
      <c r="DC19" s="44">
        <f>'Scope 3 Yearly'!$EE$192*'Scope 3 Yearly'!DC175*'Yearly Butadiene'!K4*'Scope 3 Yearly'!$B$197</f>
        <v>4.2438789863909782E-2</v>
      </c>
      <c r="DD19" s="44">
        <f>'Scope 3 Yearly'!$EE$192*'Scope 3 Yearly'!DD175*'Yearly Butadiene'!L4*'Scope 3 Yearly'!$B$197</f>
        <v>8.2404060681955146E-2</v>
      </c>
      <c r="DE19" s="44">
        <f>'Scope 3 Yearly'!$EE$192*'Scope 3 Yearly'!DE175*'Yearly Butadiene'!M4*'Scope 3 Yearly'!$B$197</f>
        <v>0.15717288624119824</v>
      </c>
      <c r="DF19" s="44">
        <f>'Scope 3 Yearly'!$EE$192*'Scope 3 Yearly'!DF175*'Yearly Butadiene'!N4*'Scope 3 Yearly'!$B$197</f>
        <v>0.29284172314313495</v>
      </c>
      <c r="DG19" s="44">
        <f>'Scope 3 Yearly'!$EE$192*'Scope 3 Yearly'!DG175*'Yearly Butadiene'!O4*'Scope 3 Yearly'!$B$197</f>
        <v>0.52793070225057181</v>
      </c>
      <c r="DH19" s="44">
        <f>'Scope 3 Yearly'!$EE$192*'Scope 3 Yearly'!DH175*'Yearly Butadiene'!P4*'Scope 3 Yearly'!$B$197</f>
        <v>0.91662633604894983</v>
      </c>
      <c r="DI19" s="44">
        <f>'Scope 3 Yearly'!$EE$192*'Scope 3 Yearly'!DI175*'Yearly Butadiene'!Q4*'Scope 3 Yearly'!$B$197</f>
        <v>1.521095936281907</v>
      </c>
      <c r="DJ19" s="44">
        <f>'Scope 3 Yearly'!$EE$192*'Scope 3 Yearly'!DJ175*'Yearly Butadiene'!R4*'Scope 3 Yearly'!$B$197</f>
        <v>2.3962192759004104</v>
      </c>
      <c r="DK19" s="44">
        <f>'Scope 3 Yearly'!$EE$192*'Scope 3 Yearly'!DK175*'Yearly Butadiene'!S4*'Scope 3 Yearly'!$B$197</f>
        <v>3.5665569877945491</v>
      </c>
      <c r="DL19" s="44">
        <f>'Scope 3 Yearly'!$EE$192*'Scope 3 Yearly'!DL175*'Yearly Butadiene'!T4*'Scope 3 Yearly'!$B$197</f>
        <v>4.9598765867931416</v>
      </c>
      <c r="DM19" s="44">
        <f>'Scope 3 Yearly'!$EE$192*'Scope 3 Yearly'!DM175*'Yearly Butadiene'!U4*'Scope 3 Yearly'!$B$197</f>
        <v>6.5172378741079937</v>
      </c>
      <c r="DN19" s="44">
        <f>'Scope 3 Yearly'!$EE$192*'Scope 3 Yearly'!DN175*'Yearly Butadiene'!V4*'Scope 3 Yearly'!$B$197</f>
        <v>8.1301535716654474</v>
      </c>
      <c r="DO19" s="44">
        <f>'Scope 3 Yearly'!$EE$192*'Scope 3 Yearly'!DO175*'Yearly Butadiene'!W4*'Scope 3 Yearly'!$B$197</f>
        <v>9.6948227471857624</v>
      </c>
      <c r="DP19" s="44">
        <f>'Scope 3 Yearly'!$EE$192*'Scope 3 Yearly'!DP175*'Yearly Butadiene'!X4*'Scope 3 Yearly'!$B$197</f>
        <v>11.135936107188664</v>
      </c>
      <c r="DQ19" s="44">
        <f>'Scope 3 Yearly'!$EE$192*'Scope 3 Yearly'!DQ175*'Yearly Butadiene'!Y4*'Scope 3 Yearly'!$B$197</f>
        <v>12.403511944570257</v>
      </c>
      <c r="DR19" s="44">
        <f>'Scope 3 Yearly'!$EE$192*'Scope 3 Yearly'!DR175*'Yearly Butadiene'!Z4*'Scope 3 Yearly'!$B$197</f>
        <v>13.499027432401483</v>
      </c>
      <c r="DS19" s="44">
        <f>'Scope 3 Yearly'!$EE$192*'Scope 3 Yearly'!DS175*'Yearly Butadiene'!AA4*'Scope 3 Yearly'!$B$197</f>
        <v>14.435316180323989</v>
      </c>
      <c r="DT19" s="44">
        <f>'Scope 3 Yearly'!$EE$192*'Scope 3 Yearly'!DT175*'Yearly Butadiene'!AB4*'Scope 3 Yearly'!$B$197</f>
        <v>15.235806138339738</v>
      </c>
      <c r="DU19" s="44">
        <f>'Scope 3 Yearly'!$EE$192*'Scope 3 Yearly'!DU175*'Yearly Butadiene'!AC4*'Scope 3 Yearly'!$B$197</f>
        <v>15.926148353418325</v>
      </c>
      <c r="DV19" s="44">
        <f>'Scope 3 Yearly'!$EE$192*'Scope 3 Yearly'!DV175*'Yearly Butadiene'!AD4*'Scope 3 Yearly'!$B$197</f>
        <v>16.519934433067149</v>
      </c>
      <c r="DW19" s="44">
        <f>'Scope 3 Yearly'!$EE$192*'Scope 3 Yearly'!DW175*'Yearly Butadiene'!AE4*'Scope 3 Yearly'!$B$197</f>
        <v>17.047232202767265</v>
      </c>
      <c r="DX19" s="44">
        <f>'Scope 3 Yearly'!$EE$192*'Scope 3 Yearly'!DX175*'Yearly Butadiene'!AF4*'Scope 3 Yearly'!$B$197</f>
        <v>17.524550827104392</v>
      </c>
      <c r="DY19" s="44">
        <f>'Scope 3 Yearly'!$EE$192*'Scope 3 Yearly'!DY175*'Yearly Butadiene'!AG4*'Scope 3 Yearly'!$B$197</f>
        <v>17.964693220152594</v>
      </c>
      <c r="DZ19" s="44">
        <f>'Scope 3 Yearly'!$EE$192*'Scope 3 Yearly'!DZ175*'Yearly Butadiene'!AH4*'Scope 3 Yearly'!$B$197</f>
        <v>18.377341481390399</v>
      </c>
    </row>
    <row r="20" spans="1:165" s="488" customFormat="1" ht="16" thickBot="1">
      <c r="A20" s="185" t="s">
        <v>67</v>
      </c>
      <c r="C20" s="639" t="s">
        <v>415</v>
      </c>
      <c r="D20" s="640">
        <f>SUM(D13:D19)</f>
        <v>8.9659918386969916E-3</v>
      </c>
      <c r="E20" s="640">
        <f t="shared" ref="E20:AH20" si="1">SUM(E13:E19)</f>
        <v>1.8361972829742425E-2</v>
      </c>
      <c r="F20" s="640">
        <f t="shared" si="1"/>
        <v>3.7255726813078337E-2</v>
      </c>
      <c r="G20" s="640">
        <f t="shared" si="1"/>
        <v>7.5315975938113067E-2</v>
      </c>
      <c r="H20" s="640">
        <f t="shared" si="1"/>
        <v>0.15156994410425159</v>
      </c>
      <c r="I20" s="640">
        <f t="shared" si="1"/>
        <v>0.30326563179500449</v>
      </c>
      <c r="J20" s="640">
        <f t="shared" si="1"/>
        <v>0.60010016528099075</v>
      </c>
      <c r="K20" s="640">
        <f t="shared" si="1"/>
        <v>1.1752595125362553</v>
      </c>
      <c r="L20" s="640">
        <f t="shared" si="1"/>
        <v>2.2702539544651197</v>
      </c>
      <c r="M20" s="640">
        <f t="shared" si="1"/>
        <v>4.3063088930847258</v>
      </c>
      <c r="N20" s="640">
        <f t="shared" si="1"/>
        <v>7.9756952492164697</v>
      </c>
      <c r="O20" s="640">
        <f t="shared" si="1"/>
        <v>14.000806701026089</v>
      </c>
      <c r="P20" s="640">
        <f t="shared" si="1"/>
        <v>23.650909600627905</v>
      </c>
      <c r="Q20" s="640">
        <f t="shared" si="1"/>
        <v>38.146926540777642</v>
      </c>
      <c r="R20" s="640">
        <f t="shared" si="1"/>
        <v>58.344497165188429</v>
      </c>
      <c r="S20" s="640">
        <f t="shared" si="1"/>
        <v>84.203562827763392</v>
      </c>
      <c r="T20" s="640">
        <f t="shared" si="1"/>
        <v>114.32353157420067</v>
      </c>
      <c r="U20" s="640">
        <f t="shared" si="1"/>
        <v>146.49722680922685</v>
      </c>
      <c r="V20" s="640">
        <f t="shared" si="1"/>
        <v>178.09728719940898</v>
      </c>
      <c r="W20" s="640">
        <f t="shared" si="1"/>
        <v>206.89733623716367</v>
      </c>
      <c r="X20" s="640">
        <f t="shared" si="1"/>
        <v>231.60469869405873</v>
      </c>
      <c r="Y20" s="640">
        <f t="shared" si="1"/>
        <v>247.96379535748619</v>
      </c>
      <c r="Z20" s="640">
        <f t="shared" si="1"/>
        <v>259.11792280493967</v>
      </c>
      <c r="AA20" s="640">
        <f t="shared" si="1"/>
        <v>265.86043190505825</v>
      </c>
      <c r="AB20" s="640">
        <f t="shared" si="1"/>
        <v>269.00692337280896</v>
      </c>
      <c r="AC20" s="640">
        <f t="shared" si="1"/>
        <v>269.2646897288314</v>
      </c>
      <c r="AD20" s="640">
        <f t="shared" si="1"/>
        <v>267.00654795828785</v>
      </c>
      <c r="AE20" s="640">
        <f t="shared" si="1"/>
        <v>262.84919377718609</v>
      </c>
      <c r="AF20" s="640">
        <f t="shared" si="1"/>
        <v>257.11035795914643</v>
      </c>
      <c r="AG20" s="640">
        <f t="shared" si="1"/>
        <v>249.88105635523027</v>
      </c>
      <c r="AH20" s="640">
        <f t="shared" si="1"/>
        <v>241.56094458768726</v>
      </c>
      <c r="AJ20" s="640">
        <f>SUM(AJ13:AJ19)</f>
        <v>8.9659964761221959E-3</v>
      </c>
      <c r="AK20" s="640">
        <f t="shared" ref="AK20" si="2">SUM(AK13:AK19)</f>
        <v>1.828090187321009E-2</v>
      </c>
      <c r="AL20" s="640">
        <f t="shared" ref="AL20" si="3">SUM(AL13:AL19)</f>
        <v>3.7085389695369765E-2</v>
      </c>
      <c r="AM20" s="640">
        <f t="shared" ref="AM20" si="4">SUM(AM13:AM19)</f>
        <v>7.4961628536037744E-2</v>
      </c>
      <c r="AN20" s="640">
        <f t="shared" ref="AN20" si="5">SUM(AN13:AN19)</f>
        <v>0.15084072645051641</v>
      </c>
      <c r="AO20" s="640">
        <f t="shared" ref="AO20" si="6">SUM(AO13:AO19)</f>
        <v>0.30178320830661648</v>
      </c>
      <c r="AP20" s="640">
        <f t="shared" ref="AP20" si="7">SUM(AP13:AP19)</f>
        <v>0.597131678774383</v>
      </c>
      <c r="AQ20" s="640">
        <f t="shared" ref="AQ20" si="8">SUM(AQ13:AQ19)</f>
        <v>1.169428672879258</v>
      </c>
      <c r="AR20" s="640">
        <f t="shared" ref="AR20" si="9">SUM(AR13:AR19)</f>
        <v>2.2590959642674382</v>
      </c>
      <c r="AS20" s="640">
        <f t="shared" ref="AS20" si="10">SUM(AS13:AS19)</f>
        <v>4.2857361740666731</v>
      </c>
      <c r="AT20" s="640">
        <f t="shared" ref="AT20" si="11">SUM(AT13:AT19)</f>
        <v>7.9398279715892954</v>
      </c>
      <c r="AU20" s="640">
        <f t="shared" ref="AU20" si="12">SUM(AU13:AU19)</f>
        <v>13.940393678495987</v>
      </c>
      <c r="AV20" s="640">
        <f t="shared" ref="AV20" si="13">SUM(AV13:AV19)</f>
        <v>23.559700006472923</v>
      </c>
      <c r="AW20" s="640">
        <f t="shared" ref="AW20" si="14">SUM(AW13:AW19)</f>
        <v>38.031100855798321</v>
      </c>
      <c r="AX20" s="640">
        <f t="shared" ref="AX20" si="15">SUM(AX13:AX19)</f>
        <v>58.240719759173338</v>
      </c>
      <c r="AY20" s="640">
        <f t="shared" ref="AY20" si="16">SUM(AY13:AY19)</f>
        <v>84.205619033961042</v>
      </c>
      <c r="AZ20" s="640">
        <f t="shared" ref="AZ20" si="17">SUM(AZ13:AZ19)</f>
        <v>114.59024708602736</v>
      </c>
      <c r="BA20" s="640">
        <f t="shared" ref="BA20" si="18">SUM(BA13:BA19)</f>
        <v>147.22813666537908</v>
      </c>
      <c r="BB20" s="640">
        <f t="shared" ref="BB20" si="19">SUM(BB13:BB19)</f>
        <v>179.48789397976321</v>
      </c>
      <c r="BC20" s="640">
        <f t="shared" ref="BC20" si="20">SUM(BC13:BC19)</f>
        <v>209.09137763847511</v>
      </c>
      <c r="BD20" s="640">
        <f t="shared" ref="BD20" si="21">SUM(BD13:BD19)</f>
        <v>234.66985533246753</v>
      </c>
      <c r="BE20" s="640">
        <f t="shared" ref="BE20" si="22">SUM(BE13:BE19)</f>
        <v>251.71833713067241</v>
      </c>
      <c r="BF20" s="640">
        <f t="shared" ref="BF20" si="23">SUM(BF13:BF19)</f>
        <v>263.59346027140248</v>
      </c>
      <c r="BG20" s="640">
        <f t="shared" ref="BG20" si="24">SUM(BG13:BG19)</f>
        <v>270.99173887073147</v>
      </c>
      <c r="BH20" s="640">
        <f t="shared" ref="BH20" si="25">SUM(BH13:BH19)</f>
        <v>274.72904624782558</v>
      </c>
      <c r="BI20" s="640">
        <f t="shared" ref="BI20" si="26">SUM(BI13:BI19)</f>
        <v>275.54448504298398</v>
      </c>
      <c r="BJ20" s="640">
        <f t="shared" ref="BJ20" si="27">SUM(BJ13:BJ19)</f>
        <v>273.8528574962931</v>
      </c>
      <c r="BK20" s="640">
        <f t="shared" ref="BK20" si="28">SUM(BK13:BK19)</f>
        <v>270.27189868907351</v>
      </c>
      <c r="BL20" s="640">
        <f t="shared" ref="BL20" si="29">SUM(BL13:BL19)</f>
        <v>265.18806500219574</v>
      </c>
      <c r="BM20" s="640">
        <f t="shared" ref="BM20" si="30">SUM(BM13:BM19)</f>
        <v>258.80039635436066</v>
      </c>
      <c r="BN20" s="640">
        <f t="shared" ref="BN20" si="31">SUM(BN13:BN19)</f>
        <v>251.64088447586246</v>
      </c>
      <c r="BP20" s="640">
        <f>SUM(BP13:BP19)</f>
        <v>0</v>
      </c>
      <c r="BQ20" s="640">
        <f t="shared" ref="BQ20:CT20" si="32">SUM(BQ13:BQ19)</f>
        <v>0</v>
      </c>
      <c r="BR20" s="640">
        <f t="shared" si="32"/>
        <v>0</v>
      </c>
      <c r="BS20" s="640">
        <f t="shared" si="32"/>
        <v>0</v>
      </c>
      <c r="BT20" s="640">
        <f t="shared" si="32"/>
        <v>0</v>
      </c>
      <c r="BU20" s="640">
        <f t="shared" si="32"/>
        <v>0</v>
      </c>
      <c r="BV20" s="640">
        <f t="shared" si="32"/>
        <v>0</v>
      </c>
      <c r="BW20" s="640">
        <f t="shared" si="32"/>
        <v>0</v>
      </c>
      <c r="BX20" s="640">
        <f t="shared" si="32"/>
        <v>0</v>
      </c>
      <c r="BY20" s="640">
        <f t="shared" si="32"/>
        <v>0</v>
      </c>
      <c r="BZ20" s="640">
        <f t="shared" si="32"/>
        <v>0</v>
      </c>
      <c r="CA20" s="640">
        <f t="shared" si="32"/>
        <v>0</v>
      </c>
      <c r="CB20" s="640">
        <f t="shared" si="32"/>
        <v>0</v>
      </c>
      <c r="CC20" s="640">
        <f t="shared" si="32"/>
        <v>0</v>
      </c>
      <c r="CD20" s="640">
        <f t="shared" si="32"/>
        <v>0</v>
      </c>
      <c r="CE20" s="640">
        <f t="shared" si="32"/>
        <v>0</v>
      </c>
      <c r="CF20" s="640">
        <f t="shared" si="32"/>
        <v>0</v>
      </c>
      <c r="CG20" s="640">
        <f t="shared" si="32"/>
        <v>0</v>
      </c>
      <c r="CH20" s="640">
        <f t="shared" si="32"/>
        <v>0</v>
      </c>
      <c r="CI20" s="640">
        <f t="shared" si="32"/>
        <v>0</v>
      </c>
      <c r="CJ20" s="640">
        <f t="shared" si="32"/>
        <v>0</v>
      </c>
      <c r="CK20" s="640">
        <f t="shared" si="32"/>
        <v>0</v>
      </c>
      <c r="CL20" s="640">
        <f t="shared" si="32"/>
        <v>0</v>
      </c>
      <c r="CM20" s="640">
        <f t="shared" si="32"/>
        <v>0</v>
      </c>
      <c r="CN20" s="640">
        <f t="shared" si="32"/>
        <v>0</v>
      </c>
      <c r="CO20" s="640">
        <f t="shared" si="32"/>
        <v>0</v>
      </c>
      <c r="CP20" s="640">
        <f t="shared" si="32"/>
        <v>0</v>
      </c>
      <c r="CQ20" s="640">
        <f t="shared" si="32"/>
        <v>0</v>
      </c>
      <c r="CR20" s="640">
        <f t="shared" si="32"/>
        <v>0</v>
      </c>
      <c r="CS20" s="640">
        <f t="shared" si="32"/>
        <v>0</v>
      </c>
      <c r="CT20" s="640">
        <f t="shared" si="32"/>
        <v>0</v>
      </c>
      <c r="CV20" s="640">
        <f>SUM(CV13:CV19)</f>
        <v>8.9385350892523391E-3</v>
      </c>
      <c r="CW20" s="640">
        <f t="shared" ref="CW20:DZ20" si="33">SUM(CW13:CW19)</f>
        <v>1.8313672839891954E-2</v>
      </c>
      <c r="CX20" s="640">
        <f t="shared" si="33"/>
        <v>3.738982400425124E-2</v>
      </c>
      <c r="CY20" s="640">
        <f t="shared" si="33"/>
        <v>7.604655792948524E-2</v>
      </c>
      <c r="CZ20" s="640">
        <f t="shared" si="33"/>
        <v>0.15394172520027891</v>
      </c>
      <c r="DA20" s="640">
        <f t="shared" si="33"/>
        <v>0.30975371691333775</v>
      </c>
      <c r="DB20" s="640">
        <f t="shared" si="33"/>
        <v>0.61645496537464783</v>
      </c>
      <c r="DC20" s="640">
        <f t="shared" si="33"/>
        <v>1.2142154038903066</v>
      </c>
      <c r="DD20" s="640">
        <f t="shared" si="33"/>
        <v>2.3590087054603521</v>
      </c>
      <c r="DE20" s="640">
        <f t="shared" si="33"/>
        <v>4.5006783416955711</v>
      </c>
      <c r="DF20" s="640">
        <f t="shared" si="33"/>
        <v>8.3851097855450778</v>
      </c>
      <c r="DG20" s="640">
        <f t="shared" si="33"/>
        <v>14.898436077065522</v>
      </c>
      <c r="DH20" s="640">
        <f t="shared" si="33"/>
        <v>25.484361273747115</v>
      </c>
      <c r="DI20" s="640">
        <f t="shared" si="33"/>
        <v>41.643864642697153</v>
      </c>
      <c r="DJ20" s="640">
        <f t="shared" si="33"/>
        <v>64.566023138847271</v>
      </c>
      <c r="DK20" s="640">
        <f t="shared" si="33"/>
        <v>94.522958635705564</v>
      </c>
      <c r="DL20" s="640">
        <f t="shared" si="33"/>
        <v>130.30831119700267</v>
      </c>
      <c r="DM20" s="640">
        <f t="shared" si="33"/>
        <v>169.65944764437589</v>
      </c>
      <c r="DN20" s="640">
        <f t="shared" si="33"/>
        <v>209.64816712963722</v>
      </c>
      <c r="DO20" s="640">
        <f t="shared" si="33"/>
        <v>247.59232804264136</v>
      </c>
      <c r="DP20" s="640">
        <f t="shared" si="33"/>
        <v>281.64412247987917</v>
      </c>
      <c r="DQ20" s="640">
        <f t="shared" si="33"/>
        <v>307.63339241919448</v>
      </c>
      <c r="DR20" s="640">
        <f t="shared" si="33"/>
        <v>328.05634993010744</v>
      </c>
      <c r="DS20" s="640">
        <f t="shared" si="33"/>
        <v>343.54786814928508</v>
      </c>
      <c r="DT20" s="640">
        <f t="shared" si="33"/>
        <v>354.87024412977212</v>
      </c>
      <c r="DU20" s="640">
        <f t="shared" si="33"/>
        <v>362.76072264274791</v>
      </c>
      <c r="DV20" s="640">
        <f t="shared" si="33"/>
        <v>367.6555014757264</v>
      </c>
      <c r="DW20" s="640">
        <f t="shared" si="33"/>
        <v>370.16286464984324</v>
      </c>
      <c r="DX20" s="640">
        <f t="shared" si="33"/>
        <v>370.6891871265874</v>
      </c>
      <c r="DY20" s="640">
        <f t="shared" si="33"/>
        <v>369.45703180996105</v>
      </c>
      <c r="DZ20" s="640">
        <f t="shared" si="33"/>
        <v>366.62598269558202</v>
      </c>
      <c r="EK20" s="643"/>
      <c r="EL20" s="643"/>
      <c r="EM20" s="643"/>
      <c r="EN20" s="643"/>
      <c r="EO20" s="643"/>
      <c r="EP20" s="643"/>
      <c r="EQ20" s="643"/>
      <c r="ER20" s="643"/>
      <c r="ES20" s="643"/>
      <c r="ET20" s="643"/>
      <c r="EU20" s="643"/>
      <c r="EV20" s="643"/>
      <c r="EW20" s="643"/>
      <c r="EX20" s="643"/>
      <c r="EY20" s="643"/>
      <c r="EZ20" s="643"/>
      <c r="FA20" s="643"/>
      <c r="FB20" s="643"/>
      <c r="FC20" s="643"/>
      <c r="FD20" s="643"/>
      <c r="FE20" s="643"/>
      <c r="FF20" s="643"/>
      <c r="FG20" s="643"/>
      <c r="FH20" s="643"/>
      <c r="FI20" s="643"/>
    </row>
    <row r="21" spans="1:165" ht="16" thickBot="1">
      <c r="BP21" s="54"/>
      <c r="CV21" s="54"/>
    </row>
    <row r="22" spans="1:165" s="645" customFormat="1" ht="16" thickBot="1">
      <c r="A22" s="644" t="s">
        <v>416</v>
      </c>
      <c r="EK22" s="646"/>
      <c r="EL22" s="646"/>
      <c r="EM22" s="646"/>
      <c r="EN22" s="646"/>
      <c r="EO22" s="646"/>
      <c r="EP22" s="646"/>
      <c r="EQ22" s="646"/>
      <c r="ER22" s="646"/>
      <c r="ES22" s="646"/>
      <c r="ET22" s="646"/>
      <c r="EU22" s="646"/>
      <c r="EV22" s="646"/>
      <c r="EW22" s="646"/>
      <c r="EX22" s="646"/>
      <c r="EY22" s="646"/>
      <c r="EZ22" s="646"/>
      <c r="FA22" s="646"/>
      <c r="FB22" s="646"/>
      <c r="FC22" s="646"/>
      <c r="FD22" s="646"/>
      <c r="FE22" s="646"/>
      <c r="FF22" s="646"/>
      <c r="FG22" s="646"/>
      <c r="FH22" s="646"/>
      <c r="FI22" s="646"/>
    </row>
    <row r="23" spans="1:165">
      <c r="A23" t="s">
        <v>4</v>
      </c>
      <c r="C23" s="54" t="s">
        <v>415</v>
      </c>
      <c r="D23" s="44">
        <f>('Scope 3 Yearly'!$EE$186*'Scope 3 Yearly'!D37*(1-'Scope 3 Yearly'!$B$197)+'Scope 3 Yearly'!D30*'Scope 3 Yearly'!D40+'Scope 3 Yearly'!D26*'Scope 3 Yearly'!D36)*'Yearly HC Ethylene'!D157</f>
        <v>142.12541529656696</v>
      </c>
      <c r="E23" s="44">
        <f>('Scope 3 Yearly'!$EE$186*'Scope 3 Yearly'!E37*(1-'Scope 3 Yearly'!$B$197)+'Scope 3 Yearly'!E30*'Scope 3 Yearly'!E40+'Scope 3 Yearly'!E26*'Scope 3 Yearly'!E36)*'Yearly HC Ethylene'!E157</f>
        <v>144.66142645372872</v>
      </c>
      <c r="F23" s="44">
        <f>('Scope 3 Yearly'!$EE$186*'Scope 3 Yearly'!F37*(1-'Scope 3 Yearly'!$B$197)+'Scope 3 Yearly'!F30*'Scope 3 Yearly'!F40+'Scope 3 Yearly'!F26*'Scope 3 Yearly'!F36)*'Yearly HC Ethylene'!F157</f>
        <v>146.81613089459356</v>
      </c>
      <c r="G23" s="44">
        <f>('Scope 3 Yearly'!$EE$186*'Scope 3 Yearly'!G37*(1-'Scope 3 Yearly'!$B$197)+'Scope 3 Yearly'!G30*'Scope 3 Yearly'!G40+'Scope 3 Yearly'!G26*'Scope 3 Yearly'!G36)*'Yearly HC Ethylene'!G157</f>
        <v>149.11957970389548</v>
      </c>
      <c r="H23" s="44">
        <f>('Scope 3 Yearly'!$EE$186*'Scope 3 Yearly'!H37*(1-'Scope 3 Yearly'!$B$197)+'Scope 3 Yearly'!H30*'Scope 3 Yearly'!H40+'Scope 3 Yearly'!H26*'Scope 3 Yearly'!H36)*'Yearly HC Ethylene'!H157</f>
        <v>151.58162724679832</v>
      </c>
      <c r="I23" s="44">
        <f>('Scope 3 Yearly'!$EE$186*'Scope 3 Yearly'!I37*(1-'Scope 3 Yearly'!$B$197)+'Scope 3 Yearly'!I30*'Scope 3 Yearly'!I40+'Scope 3 Yearly'!I26*'Scope 3 Yearly'!I36)*'Yearly HC Ethylene'!I157</f>
        <v>154.20923609333948</v>
      </c>
      <c r="J23" s="44">
        <f>('Scope 3 Yearly'!$EE$186*'Scope 3 Yearly'!J37*(1-'Scope 3 Yearly'!$B$197)+'Scope 3 Yearly'!J30*'Scope 3 Yearly'!J40+'Scope 3 Yearly'!J26*'Scope 3 Yearly'!J36)*'Yearly HC Ethylene'!J157</f>
        <v>156.51754440876758</v>
      </c>
      <c r="K23" s="44">
        <f>('Scope 3 Yearly'!$EE$186*'Scope 3 Yearly'!K37*(1-'Scope 3 Yearly'!$B$197)+'Scope 3 Yearly'!K30*'Scope 3 Yearly'!K40+'Scope 3 Yearly'!K26*'Scope 3 Yearly'!K36)*'Yearly HC Ethylene'!K157</f>
        <v>158.9010408280763</v>
      </c>
      <c r="L23" s="44">
        <f>('Scope 3 Yearly'!$EE$186*'Scope 3 Yearly'!L37*(1-'Scope 3 Yearly'!$B$197)+'Scope 3 Yearly'!L30*'Scope 3 Yearly'!L40+'Scope 3 Yearly'!L26*'Scope 3 Yearly'!L36)*'Yearly HC Ethylene'!L157</f>
        <v>161.31484792587301</v>
      </c>
      <c r="M23" s="44">
        <f>('Scope 3 Yearly'!$EE$186*'Scope 3 Yearly'!M37*(1-'Scope 3 Yearly'!$B$197)+'Scope 3 Yearly'!M30*'Scope 3 Yearly'!M40+'Scope 3 Yearly'!M26*'Scope 3 Yearly'!M36)*'Yearly HC Ethylene'!M157</f>
        <v>163.67359940737393</v>
      </c>
      <c r="N23" s="44">
        <f>('Scope 3 Yearly'!$EE$186*'Scope 3 Yearly'!N37*(1-'Scope 3 Yearly'!$B$197)+'Scope 3 Yearly'!N30*'Scope 3 Yearly'!N40+'Scope 3 Yearly'!N26*'Scope 3 Yearly'!N36)*'Yearly HC Ethylene'!N157</f>
        <v>165.82721902408045</v>
      </c>
      <c r="O23" s="44">
        <f>('Scope 3 Yearly'!$EE$186*'Scope 3 Yearly'!O37*(1-'Scope 3 Yearly'!$B$197)+'Scope 3 Yearly'!O30*'Scope 3 Yearly'!O40+'Scope 3 Yearly'!O26*'Scope 3 Yearly'!O36)*'Yearly HC Ethylene'!O157</f>
        <v>163.44150066826867</v>
      </c>
      <c r="P23" s="44">
        <f>('Scope 3 Yearly'!$EE$186*'Scope 3 Yearly'!P37*(1-'Scope 3 Yearly'!$B$197)+'Scope 3 Yearly'!P30*'Scope 3 Yearly'!P40+'Scope 3 Yearly'!P26*'Scope 3 Yearly'!P36)*'Yearly HC Ethylene'!P157</f>
        <v>160.32046040104672</v>
      </c>
      <c r="Q23" s="44">
        <f>('Scope 3 Yearly'!$EE$186*'Scope 3 Yearly'!Q37*(1-'Scope 3 Yearly'!$B$197)+'Scope 3 Yearly'!Q30*'Scope 3 Yearly'!Q40+'Scope 3 Yearly'!Q26*'Scope 3 Yearly'!Q36)*'Yearly HC Ethylene'!Q157</f>
        <v>156.16014867019996</v>
      </c>
      <c r="R23" s="44">
        <f>('Scope 3 Yearly'!$EE$186*'Scope 3 Yearly'!R37*(1-'Scope 3 Yearly'!$B$197)+'Scope 3 Yearly'!R30*'Scope 3 Yearly'!R40+'Scope 3 Yearly'!R26*'Scope 3 Yearly'!R36)*'Yearly HC Ethylene'!R157</f>
        <v>150.7119277508005</v>
      </c>
      <c r="S23" s="44">
        <f>('Scope 3 Yearly'!$EE$186*'Scope 3 Yearly'!S37*(1-'Scope 3 Yearly'!$B$197)+'Scope 3 Yearly'!S30*'Scope 3 Yearly'!S40+'Scope 3 Yearly'!S26*'Scope 3 Yearly'!S36)*'Yearly HC Ethylene'!S157</f>
        <v>143.84224906179836</v>
      </c>
      <c r="T23" s="44">
        <f>('Scope 3 Yearly'!$EE$186*'Scope 3 Yearly'!T37*(1-'Scope 3 Yearly'!$B$197)+'Scope 3 Yearly'!T30*'Scope 3 Yearly'!T40+'Scope 3 Yearly'!T26*'Scope 3 Yearly'!T36)*'Yearly HC Ethylene'!T157</f>
        <v>135.57720569457132</v>
      </c>
      <c r="U23" s="44">
        <f>('Scope 3 Yearly'!$EE$186*'Scope 3 Yearly'!U37*(1-'Scope 3 Yearly'!$B$197)+'Scope 3 Yearly'!U30*'Scope 3 Yearly'!U40+'Scope 3 Yearly'!U26*'Scope 3 Yearly'!U36)*'Yearly HC Ethylene'!U157</f>
        <v>126.50733818162014</v>
      </c>
      <c r="V23" s="44">
        <f>('Scope 3 Yearly'!$EE$186*'Scope 3 Yearly'!V37*(1-'Scope 3 Yearly'!$B$197)+'Scope 3 Yearly'!V30*'Scope 3 Yearly'!V40+'Scope 3 Yearly'!V26*'Scope 3 Yearly'!V36)*'Yearly HC Ethylene'!V157</f>
        <v>117.23424684934456</v>
      </c>
      <c r="W23" s="44">
        <f>('Scope 3 Yearly'!$EE$186*'Scope 3 Yearly'!W37*(1-'Scope 3 Yearly'!$B$197)+'Scope 3 Yearly'!W30*'Scope 3 Yearly'!W40+'Scope 3 Yearly'!W26*'Scope 3 Yearly'!W36)*'Yearly HC Ethylene'!W157</f>
        <v>108.32145193652524</v>
      </c>
      <c r="X23" s="44">
        <f>('Scope 3 Yearly'!$EE$186*'Scope 3 Yearly'!X37*(1-'Scope 3 Yearly'!$B$197)+'Scope 3 Yearly'!X30*'Scope 3 Yearly'!X40+'Scope 3 Yearly'!X26*'Scope 3 Yearly'!X36)*'Yearly HC Ethylene'!X157</f>
        <v>100.16672551439977</v>
      </c>
      <c r="Y23" s="44">
        <f>('Scope 3 Yearly'!$EE$186*'Scope 3 Yearly'!Y37*(1-'Scope 3 Yearly'!$B$197)+'Scope 3 Yearly'!Y30*'Scope 3 Yearly'!Y40+'Scope 3 Yearly'!Y26*'Scope 3 Yearly'!Y36)*'Yearly HC Ethylene'!Y157</f>
        <v>90.858358941768103</v>
      </c>
      <c r="Z23" s="44">
        <f>('Scope 3 Yearly'!$EE$186*'Scope 3 Yearly'!Z37*(1-'Scope 3 Yearly'!$B$197)+'Scope 3 Yearly'!Z30*'Scope 3 Yearly'!Z40+'Scope 3 Yearly'!Z26*'Scope 3 Yearly'!Z36)*'Yearly HC Ethylene'!Z157</f>
        <v>82.792662976538082</v>
      </c>
      <c r="AA23" s="44">
        <f>('Scope 3 Yearly'!$EE$186*'Scope 3 Yearly'!AA37*(1-'Scope 3 Yearly'!$B$197)+'Scope 3 Yearly'!AA30*'Scope 3 Yearly'!AA40+'Scope 3 Yearly'!AA26*'Scope 3 Yearly'!AA36)*'Yearly HC Ethylene'!AA157</f>
        <v>75.839155883594557</v>
      </c>
      <c r="AB23" s="44">
        <f>('Scope 3 Yearly'!$EE$186*'Scope 3 Yearly'!AB37*(1-'Scope 3 Yearly'!$B$197)+'Scope 3 Yearly'!AB30*'Scope 3 Yearly'!AB40+'Scope 3 Yearly'!AB26*'Scope 3 Yearly'!AB36)*'Yearly HC Ethylene'!AB157</f>
        <v>69.826828345355381</v>
      </c>
      <c r="AC23" s="44">
        <f>('Scope 3 Yearly'!$EE$186*'Scope 3 Yearly'!AC37*(1-'Scope 3 Yearly'!$B$197)+'Scope 3 Yearly'!AC30*'Scope 3 Yearly'!AC40+'Scope 3 Yearly'!AC26*'Scope 3 Yearly'!AC36)*'Yearly HC Ethylene'!AC157</f>
        <v>64.581710485960386</v>
      </c>
      <c r="AD23" s="44">
        <f>('Scope 3 Yearly'!$EE$186*'Scope 3 Yearly'!AD37*(1-'Scope 3 Yearly'!$B$197)+'Scope 3 Yearly'!AD30*'Scope 3 Yearly'!AD40+'Scope 3 Yearly'!AD26*'Scope 3 Yearly'!AD36)*'Yearly HC Ethylene'!AD157</f>
        <v>59.904638457953972</v>
      </c>
      <c r="AE23" s="44">
        <f>('Scope 3 Yearly'!$EE$186*'Scope 3 Yearly'!AE37*(1-'Scope 3 Yearly'!$B$197)+'Scope 3 Yearly'!AE30*'Scope 3 Yearly'!AE40+'Scope 3 Yearly'!AE26*'Scope 3 Yearly'!AE36)*'Yearly HC Ethylene'!AE157</f>
        <v>55.714225855267408</v>
      </c>
      <c r="AF23" s="44">
        <f>('Scope 3 Yearly'!$EE$186*'Scope 3 Yearly'!AF37*(1-'Scope 3 Yearly'!$B$197)+'Scope 3 Yearly'!AF30*'Scope 3 Yearly'!AF40+'Scope 3 Yearly'!AF26*'Scope 3 Yearly'!AF36)*'Yearly HC Ethylene'!AF157</f>
        <v>51.90867447829968</v>
      </c>
      <c r="AG23" s="44">
        <f>('Scope 3 Yearly'!$EE$186*'Scope 3 Yearly'!AG37*(1-'Scope 3 Yearly'!$B$197)+'Scope 3 Yearly'!AG30*'Scope 3 Yearly'!AG40+'Scope 3 Yearly'!AG26*'Scope 3 Yearly'!AG36)*'Yearly HC Ethylene'!AG157</f>
        <v>48.414475733054061</v>
      </c>
      <c r="AH23" s="44">
        <f>('Scope 3 Yearly'!$EE$186*'Scope 3 Yearly'!AH37*(1-'Scope 3 Yearly'!$B$197)+'Scope 3 Yearly'!AH30*'Scope 3 Yearly'!AH40+'Scope 3 Yearly'!AH26*'Scope 3 Yearly'!AH36)*'Yearly HC Ethylene'!AH157</f>
        <v>45.185280709884992</v>
      </c>
      <c r="AI23" s="44"/>
      <c r="AJ23" s="44">
        <f>('Scope 3 Yearly'!$EE$186*'Scope 3 Yearly'!AJ37*(1-'Scope 3 Yearly'!$B$197)+'Scope 3 Yearly'!AJ30*'Scope 3 Yearly'!AJ40+'Scope 3 Yearly'!AJ26*'Scope 3 Yearly'!AJ36)*'Yearly LC Ethylene'!D157</f>
        <v>142.12545757818347</v>
      </c>
      <c r="AK23" s="44">
        <f>('Scope 3 Yearly'!$EE$186*'Scope 3 Yearly'!AK37*(1-'Scope 3 Yearly'!$B$197)+'Scope 3 Yearly'!AK30*'Scope 3 Yearly'!AK40+'Scope 3 Yearly'!AK26*'Scope 3 Yearly'!AK36)*'Yearly LC Ethylene'!E157</f>
        <v>144.65282394087038</v>
      </c>
      <c r="AL23" s="44">
        <f>('Scope 3 Yearly'!$EE$186*'Scope 3 Yearly'!AL37*(1-'Scope 3 Yearly'!$B$197)+'Scope 3 Yearly'!AL30*'Scope 3 Yearly'!AL40+'Scope 3 Yearly'!AL26*'Scope 3 Yearly'!AL36)*'Yearly LC Ethylene'!F157</f>
        <v>146.79876289545771</v>
      </c>
      <c r="AM23" s="44">
        <f>('Scope 3 Yearly'!$EE$186*'Scope 3 Yearly'!AM37*(1-'Scope 3 Yearly'!$B$197)+'Scope 3 Yearly'!AM30*'Scope 3 Yearly'!AM40+'Scope 3 Yearly'!AM26*'Scope 3 Yearly'!AM36)*'Yearly LC Ethylene'!G157</f>
        <v>149.0933747375436</v>
      </c>
      <c r="AN23" s="44">
        <f>('Scope 3 Yearly'!$EE$186*'Scope 3 Yearly'!AN37*(1-'Scope 3 Yearly'!$B$197)+'Scope 3 Yearly'!AN30*'Scope 3 Yearly'!AN40+'Scope 3 Yearly'!AN26*'Scope 3 Yearly'!AN36)*'Yearly LC Ethylene'!H157</f>
        <v>151.5466195197547</v>
      </c>
      <c r="AO23" s="44">
        <f>('Scope 3 Yearly'!$EE$186*'Scope 3 Yearly'!AO37*(1-'Scope 3 Yearly'!$B$197)+'Scope 3 Yearly'!AO30*'Scope 3 Yearly'!AO40+'Scope 3 Yearly'!AO26*'Scope 3 Yearly'!AO36)*'Yearly LC Ethylene'!I157</f>
        <v>154.16567953740369</v>
      </c>
      <c r="AP23" s="44">
        <f>('Scope 3 Yearly'!$EE$186*'Scope 3 Yearly'!AP37*(1-'Scope 3 Yearly'!$B$197)+'Scope 3 Yearly'!AP30*'Scope 3 Yearly'!AP40+'Scope 3 Yearly'!AP26*'Scope 3 Yearly'!AP36)*'Yearly LC Ethylene'!J157</f>
        <v>156.46611336275546</v>
      </c>
      <c r="AQ23" s="44">
        <f>('Scope 3 Yearly'!$EE$186*'Scope 3 Yearly'!AQ37*(1-'Scope 3 Yearly'!$B$197)+'Scope 3 Yearly'!AQ30*'Scope 3 Yearly'!AQ40+'Scope 3 Yearly'!AQ26*'Scope 3 Yearly'!AQ36)*'Yearly LC Ethylene'!K157</f>
        <v>158.84328247196129</v>
      </c>
      <c r="AR23" s="44">
        <f>('Scope 3 Yearly'!$EE$186*'Scope 3 Yearly'!AR37*(1-'Scope 3 Yearly'!$B$197)+'Scope 3 Yearly'!AR30*'Scope 3 Yearly'!AR40+'Scope 3 Yearly'!AR26*'Scope 3 Yearly'!AR36)*'Yearly LC Ethylene'!L157</f>
        <v>161.25397089724743</v>
      </c>
      <c r="AS23" s="44">
        <f>('Scope 3 Yearly'!$EE$186*'Scope 3 Yearly'!AS37*(1-'Scope 3 Yearly'!$B$197)+'Scope 3 Yearly'!AS30*'Scope 3 Yearly'!AS40+'Scope 3 Yearly'!AS26*'Scope 3 Yearly'!AS36)*'Yearly LC Ethylene'!M157</f>
        <v>163.61582369516174</v>
      </c>
      <c r="AT23" s="44">
        <f>('Scope 3 Yearly'!$EE$186*'Scope 3 Yearly'!AT37*(1-'Scope 3 Yearly'!$B$197)+'Scope 3 Yearly'!AT30*'Scope 3 Yearly'!AT40+'Scope 3 Yearly'!AT26*'Scope 3 Yearly'!AT36)*'Yearly LC Ethylene'!N157</f>
        <v>165.78408340860753</v>
      </c>
      <c r="AU23" s="44">
        <f>('Scope 3 Yearly'!$EE$186*'Scope 3 Yearly'!AU37*(1-'Scope 3 Yearly'!$B$197)+'Scope 3 Yearly'!AU30*'Scope 3 Yearly'!AU40+'Scope 3 Yearly'!AU26*'Scope 3 Yearly'!AU36)*'Yearly LC Ethylene'!O157</f>
        <v>163.42528195142287</v>
      </c>
      <c r="AV23" s="44">
        <f>('Scope 3 Yearly'!$EE$186*'Scope 3 Yearly'!AV37*(1-'Scope 3 Yearly'!$B$197)+'Scope 3 Yearly'!AV30*'Scope 3 Yearly'!AV40+'Scope 3 Yearly'!AV26*'Scope 3 Yearly'!AV36)*'Yearly LC Ethylene'!P157</f>
        <v>160.35192144783048</v>
      </c>
      <c r="AW23" s="44">
        <f>('Scope 3 Yearly'!$EE$186*'Scope 3 Yearly'!AW37*(1-'Scope 3 Yearly'!$B$197)+'Scope 3 Yearly'!AW30*'Scope 3 Yearly'!AW40+'Scope 3 Yearly'!AW26*'Scope 3 Yearly'!AW36)*'Yearly LC Ethylene'!Q157</f>
        <v>156.26265289644297</v>
      </c>
      <c r="AX23" s="44">
        <f>('Scope 3 Yearly'!$EE$186*'Scope 3 Yearly'!AX37*(1-'Scope 3 Yearly'!$B$197)+'Scope 3 Yearly'!AX30*'Scope 3 Yearly'!AX40+'Scope 3 Yearly'!AX26*'Scope 3 Yearly'!AX36)*'Yearly LC Ethylene'!R157</f>
        <v>150.90733429329012</v>
      </c>
      <c r="AY23" s="44">
        <f>('Scope 3 Yearly'!$EE$186*'Scope 3 Yearly'!AY37*(1-'Scope 3 Yearly'!$B$197)+'Scope 3 Yearly'!AY30*'Scope 3 Yearly'!AY40+'Scope 3 Yearly'!AY26*'Scope 3 Yearly'!AY36)*'Yearly LC Ethylene'!S157</f>
        <v>144.16826699308527</v>
      </c>
      <c r="AZ23" s="44">
        <f>('Scope 3 Yearly'!$EE$186*'Scope 3 Yearly'!AZ37*(1-'Scope 3 Yearly'!$B$197)+'Scope 3 Yearly'!AZ30*'Scope 3 Yearly'!AZ40+'Scope 3 Yearly'!AZ26*'Scope 3 Yearly'!AZ36)*'Yearly LC Ethylene'!T157</f>
        <v>136.05430681999837</v>
      </c>
      <c r="BA23" s="44">
        <f>('Scope 3 Yearly'!$EE$186*'Scope 3 Yearly'!BA37*(1-'Scope 3 Yearly'!$B$197)+'Scope 3 Yearly'!BA30*'Scope 3 Yearly'!BA40+'Scope 3 Yearly'!BA26*'Scope 3 Yearly'!BA36)*'Yearly LC Ethylene'!U157</f>
        <v>127.12726140856169</v>
      </c>
      <c r="BB23" s="44">
        <f>('Scope 3 Yearly'!$EE$186*'Scope 3 Yearly'!BB37*(1-'Scope 3 Yearly'!$B$197)+'Scope 3 Yearly'!BB30*'Scope 3 Yearly'!BB40+'Scope 3 Yearly'!BB26*'Scope 3 Yearly'!BB36)*'Yearly LC Ethylene'!V157</f>
        <v>117.96971520790768</v>
      </c>
      <c r="BC23" s="44">
        <f>('Scope 3 Yearly'!$EE$186*'Scope 3 Yearly'!BC37*(1-'Scope 3 Yearly'!$B$197)+'Scope 3 Yearly'!BC30*'Scope 3 Yearly'!BC40+'Scope 3 Yearly'!BC26*'Scope 3 Yearly'!BC36)*'Yearly LC Ethylene'!W157</f>
        <v>109.13592181340947</v>
      </c>
      <c r="BD23" s="44">
        <f>('Scope 3 Yearly'!$EE$186*'Scope 3 Yearly'!BD37*(1-'Scope 3 Yearly'!$B$197)+'Scope 3 Yearly'!BD30*'Scope 3 Yearly'!BD40+'Scope 3 Yearly'!BD26*'Scope 3 Yearly'!BD36)*'Yearly LC Ethylene'!X157</f>
        <v>101.02500944220434</v>
      </c>
      <c r="BE23" s="44">
        <f>('Scope 3 Yearly'!$EE$186*'Scope 3 Yearly'!BE37*(1-'Scope 3 Yearly'!$B$197)+'Scope 3 Yearly'!BE30*'Scope 3 Yearly'!BE40+'Scope 3 Yearly'!BE26*'Scope 3 Yearly'!BE36)*'Yearly LC Ethylene'!Y157</f>
        <v>91.768986338041671</v>
      </c>
      <c r="BF23" s="44">
        <f>('Scope 3 Yearly'!$EE$186*'Scope 3 Yearly'!BF37*(1-'Scope 3 Yearly'!$B$197)+'Scope 3 Yearly'!BF30*'Scope 3 Yearly'!BF40+'Scope 3 Yearly'!BF26*'Scope 3 Yearly'!BF36)*'Yearly LC Ethylene'!Z157</f>
        <v>83.73286790409189</v>
      </c>
      <c r="BG23" s="44">
        <f>('Scope 3 Yearly'!$EE$186*'Scope 3 Yearly'!BG37*(1-'Scope 3 Yearly'!$B$197)+'Scope 3 Yearly'!BG30*'Scope 3 Yearly'!BG40+'Scope 3 Yearly'!BG26*'Scope 3 Yearly'!BG36)*'Yearly LC Ethylene'!AA157</f>
        <v>76.795861429150008</v>
      </c>
      <c r="BH23" s="44">
        <f>('Scope 3 Yearly'!$EE$186*'Scope 3 Yearly'!BH37*(1-'Scope 3 Yearly'!$B$197)+'Scope 3 Yearly'!BH30*'Scope 3 Yearly'!BH40+'Scope 3 Yearly'!BH26*'Scope 3 Yearly'!BH36)*'Yearly LC Ethylene'!AB157</f>
        <v>70.795117671415994</v>
      </c>
      <c r="BI23" s="44">
        <f>('Scope 3 Yearly'!$EE$186*'Scope 3 Yearly'!BI37*(1-'Scope 3 Yearly'!$B$197)+'Scope 3 Yearly'!BI30*'Scope 3 Yearly'!BI40+'Scope 3 Yearly'!BI26*'Scope 3 Yearly'!BI36)*'Yearly LC Ethylene'!AC157</f>
        <v>65.56326799946649</v>
      </c>
      <c r="BJ23" s="44">
        <f>('Scope 3 Yearly'!$EE$186*'Scope 3 Yearly'!BJ37*(1-'Scope 3 Yearly'!$B$197)+'Scope 3 Yearly'!BJ30*'Scope 3 Yearly'!BJ40+'Scope 3 Yearly'!BJ26*'Scope 3 Yearly'!BJ36)*'Yearly LC Ethylene'!AD157</f>
        <v>60.906542481100828</v>
      </c>
      <c r="BK23" s="44">
        <f>('Scope 3 Yearly'!$EE$186*'Scope 3 Yearly'!BK37*(1-'Scope 3 Yearly'!$B$197)+'Scope 3 Yearly'!BK30*'Scope 3 Yearly'!BK40+'Scope 3 Yearly'!BK26*'Scope 3 Yearly'!BK36)*'Yearly LC Ethylene'!AE157</f>
        <v>56.748346454332911</v>
      </c>
      <c r="BL23" s="44">
        <f>('Scope 3 Yearly'!$EE$186*'Scope 3 Yearly'!BL37*(1-'Scope 3 Yearly'!$B$197)+'Scope 3 Yearly'!BL30*'Scope 3 Yearly'!BL40+'Scope 3 Yearly'!BL26*'Scope 3 Yearly'!BL36)*'Yearly LC Ethylene'!AF157</f>
        <v>52.990057195403978</v>
      </c>
      <c r="BM23" s="44">
        <f>('Scope 3 Yearly'!$EE$186*'Scope 3 Yearly'!BM37*(1-'Scope 3 Yearly'!$B$197)+'Scope 3 Yearly'!BM30*'Scope 3 Yearly'!BM40+'Scope 3 Yearly'!BM26*'Scope 3 Yearly'!BM36)*'Yearly LC Ethylene'!AG157</f>
        <v>49.558598664956335</v>
      </c>
      <c r="BN23" s="44">
        <f>('Scope 3 Yearly'!$EE$186*'Scope 3 Yearly'!BN37*(1-'Scope 3 Yearly'!$B$197)+'Scope 3 Yearly'!BN30*'Scope 3 Yearly'!BN40+'Scope 3 Yearly'!BN26*'Scope 3 Yearly'!BN36)*'Yearly LC Ethylene'!AH157</f>
        <v>46.404041606246153</v>
      </c>
      <c r="BO23" s="44"/>
      <c r="BP23" s="44">
        <f>('Scope 3 Yearly'!$EE$186*'Scope 3 Yearly'!BP37*(1-'Scope 3 Yearly'!$B$197)+'Scope 3 Yearly'!BP30*'Scope 3 Yearly'!BP40+'Scope 3 Yearly'!BP26*'Scope 3 Yearly'!BP36)*'Yearly HC Ethylene'!D4</f>
        <v>142.12678646794336</v>
      </c>
      <c r="BQ23" s="44">
        <f>('Scope 3 Yearly'!$EE$186*'Scope 3 Yearly'!BQ37*(1-'Scope 3 Yearly'!$B$197)+'Scope 3 Yearly'!BQ30*'Scope 3 Yearly'!BQ40+'Scope 3 Yearly'!BQ26*'Scope 3 Yearly'!BQ36)*'Yearly HC Ethylene'!E4</f>
        <v>147.7167207570393</v>
      </c>
      <c r="BR23" s="44">
        <f>('Scope 3 Yearly'!$EE$186*'Scope 3 Yearly'!BR37*(1-'Scope 3 Yearly'!$B$197)+'Scope 3 Yearly'!BR30*'Scope 3 Yearly'!BR40+'Scope 3 Yearly'!BR26*'Scope 3 Yearly'!BR36)*'Yearly HC Ethylene'!F4</f>
        <v>153.44368281142144</v>
      </c>
      <c r="BS23" s="44">
        <f>('Scope 3 Yearly'!$EE$186*'Scope 3 Yearly'!BS37*(1-'Scope 3 Yearly'!$B$197)+'Scope 3 Yearly'!BS30*'Scope 3 Yearly'!BS40+'Scope 3 Yearly'!BS26*'Scope 3 Yearly'!BS36)*'Yearly HC Ethylene'!G4</f>
        <v>159.31003780324957</v>
      </c>
      <c r="BT23" s="44">
        <f>('Scope 3 Yearly'!$EE$186*'Scope 3 Yearly'!BT37*(1-'Scope 3 Yearly'!$B$197)+'Scope 3 Yearly'!BT30*'Scope 3 Yearly'!BT40+'Scope 3 Yearly'!BT26*'Scope 3 Yearly'!BT36)*'Yearly HC Ethylene'!H4</f>
        <v>165.31776053423081</v>
      </c>
      <c r="BU23" s="44">
        <f>('Scope 3 Yearly'!$EE$186*'Scope 3 Yearly'!BU37*(1-'Scope 3 Yearly'!$B$197)+'Scope 3 Yearly'!BU30*'Scope 3 Yearly'!BU40+'Scope 3 Yearly'!BU26*'Scope 3 Yearly'!BU36)*'Yearly HC Ethylene'!I4</f>
        <v>171.46838261055854</v>
      </c>
      <c r="BV23" s="44">
        <f>('Scope 3 Yearly'!$EE$186*'Scope 3 Yearly'!BV37*(1-'Scope 3 Yearly'!$B$197)+'Scope 3 Yearly'!BV30*'Scope 3 Yearly'!BV40+'Scope 3 Yearly'!BV26*'Scope 3 Yearly'!BV36)*'Yearly HC Ethylene'!J4</f>
        <v>177.34041852968733</v>
      </c>
      <c r="BW23" s="44">
        <f>('Scope 3 Yearly'!$EE$186*'Scope 3 Yearly'!BW37*(1-'Scope 3 Yearly'!$B$197)+'Scope 3 Yearly'!BW30*'Scope 3 Yearly'!BW40+'Scope 3 Yearly'!BW26*'Scope 3 Yearly'!BW36)*'Yearly HC Ethylene'!K4</f>
        <v>183.37911410470716</v>
      </c>
      <c r="BX23" s="44">
        <f>('Scope 3 Yearly'!$EE$186*'Scope 3 Yearly'!BX37*(1-'Scope 3 Yearly'!$B$197)+'Scope 3 Yearly'!BX30*'Scope 3 Yearly'!BX40+'Scope 3 Yearly'!BX26*'Scope 3 Yearly'!BX36)*'Yearly HC Ethylene'!L4</f>
        <v>189.58853454591247</v>
      </c>
      <c r="BY23" s="44">
        <f>('Scope 3 Yearly'!$EE$186*'Scope 3 Yearly'!BY37*(1-'Scope 3 Yearly'!$B$197)+'Scope 3 Yearly'!BY30*'Scope 3 Yearly'!BY40+'Scope 3 Yearly'!BY26*'Scope 3 Yearly'!BY36)*'Yearly HC Ethylene'!M4</f>
        <v>195.97281841659904</v>
      </c>
      <c r="BZ23" s="44">
        <f>('Scope 3 Yearly'!$EE$186*'Scope 3 Yearly'!BZ37*(1-'Scope 3 Yearly'!$B$197)+'Scope 3 Yearly'!BZ30*'Scope 3 Yearly'!BZ40+'Scope 3 Yearly'!BZ26*'Scope 3 Yearly'!BZ36)*'Yearly HC Ethylene'!N4</f>
        <v>202.53617713881059</v>
      </c>
      <c r="CA23" s="44">
        <f>('Scope 3 Yearly'!$EE$186*'Scope 3 Yearly'!CA37*(1-'Scope 3 Yearly'!$B$197)+'Scope 3 Yearly'!CA30*'Scope 3 Yearly'!CA40+'Scope 3 Yearly'!CA26*'Scope 3 Yearly'!CA36)*'Yearly HC Ethylene'!O4</f>
        <v>207.17358876355408</v>
      </c>
      <c r="CB23" s="44">
        <f>('Scope 3 Yearly'!$EE$186*'Scope 3 Yearly'!CB37*(1-'Scope 3 Yearly'!$B$197)+'Scope 3 Yearly'!CB30*'Scope 3 Yearly'!CB40+'Scope 3 Yearly'!CB26*'Scope 3 Yearly'!CB36)*'Yearly HC Ethylene'!P4</f>
        <v>211.84168070690157</v>
      </c>
      <c r="CC23" s="44">
        <f>('Scope 3 Yearly'!$EE$186*'Scope 3 Yearly'!CC37*(1-'Scope 3 Yearly'!$B$197)+'Scope 3 Yearly'!CC30*'Scope 3 Yearly'!CC40+'Scope 3 Yearly'!CC26*'Scope 3 Yearly'!CC36)*'Yearly HC Ethylene'!Q4</f>
        <v>216.53814542579207</v>
      </c>
      <c r="CD23" s="44">
        <f>('Scope 3 Yearly'!$EE$186*'Scope 3 Yearly'!CD37*(1-'Scope 3 Yearly'!$B$197)+'Scope 3 Yearly'!CD30*'Scope 3 Yearly'!CD40+'Scope 3 Yearly'!CD26*'Scope 3 Yearly'!CD36)*'Yearly HC Ethylene'!R4</f>
        <v>221.26024925193795</v>
      </c>
      <c r="CE23" s="44">
        <f>('Scope 3 Yearly'!$EE$186*'Scope 3 Yearly'!CE37*(1-'Scope 3 Yearly'!$B$197)+'Scope 3 Yearly'!CE30*'Scope 3 Yearly'!CE40+'Scope 3 Yearly'!CE26*'Scope 3 Yearly'!CE36)*'Yearly HC Ethylene'!S4</f>
        <v>226.00478887973063</v>
      </c>
      <c r="CF23" s="44">
        <f>('Scope 3 Yearly'!$EE$186*'Scope 3 Yearly'!CF37*(1-'Scope 3 Yearly'!$B$197)+'Scope 3 Yearly'!CF30*'Scope 3 Yearly'!CF40+'Scope 3 Yearly'!CF26*'Scope 3 Yearly'!CF36)*'Yearly HC Ethylene'!T4</f>
        <v>230.67037840263103</v>
      </c>
      <c r="CG23" s="44">
        <f>('Scope 3 Yearly'!$EE$186*'Scope 3 Yearly'!CG37*(1-'Scope 3 Yearly'!$B$197)+'Scope 3 Yearly'!CG30*'Scope 3 Yearly'!CG40+'Scope 3 Yearly'!CG26*'Scope 3 Yearly'!CG36)*'Yearly HC Ethylene'!U4</f>
        <v>235.40411638945577</v>
      </c>
      <c r="CH23" s="44">
        <f>('Scope 3 Yearly'!$EE$186*'Scope 3 Yearly'!CH37*(1-'Scope 3 Yearly'!$B$197)+'Scope 3 Yearly'!CH30*'Scope 3 Yearly'!CH40+'Scope 3 Yearly'!CH26*'Scope 3 Yearly'!CH36)*'Yearly HC Ethylene'!V4</f>
        <v>240.20664459529704</v>
      </c>
      <c r="CI23" s="44">
        <f>('Scope 3 Yearly'!$EE$186*'Scope 3 Yearly'!CI37*(1-'Scope 3 Yearly'!$B$197)+'Scope 3 Yearly'!CI30*'Scope 3 Yearly'!CI40+'Scope 3 Yearly'!CI26*'Scope 3 Yearly'!CI36)*'Yearly HC Ethylene'!W4</f>
        <v>245.0785998923962</v>
      </c>
      <c r="CJ23" s="44">
        <f>('Scope 3 Yearly'!$EE$186*'Scope 3 Yearly'!CJ37*(1-'Scope 3 Yearly'!$B$197)+'Scope 3 Yearly'!CJ30*'Scope 3 Yearly'!CJ40+'Scope 3 Yearly'!CJ26*'Scope 3 Yearly'!CJ36)*'Yearly HC Ethylene'!X4</f>
        <v>250.02061366890536</v>
      </c>
      <c r="CK23" s="44">
        <f>('Scope 3 Yearly'!$EE$186*'Scope 3 Yearly'!CK37*(1-'Scope 3 Yearly'!$B$197)+'Scope 3 Yearly'!CK30*'Scope 3 Yearly'!CK40+'Scope 3 Yearly'!CK26*'Scope 3 Yearly'!CK36)*'Yearly HC Ethylene'!Y4</f>
        <v>254.88286003526906</v>
      </c>
      <c r="CL23" s="44">
        <f>('Scope 3 Yearly'!$EE$186*'Scope 3 Yearly'!CL37*(1-'Scope 3 Yearly'!$B$197)+'Scope 3 Yearly'!CL30*'Scope 3 Yearly'!CL40+'Scope 3 Yearly'!CL26*'Scope 3 Yearly'!CL36)*'Yearly HC Ethylene'!Z4</f>
        <v>259.81090249688674</v>
      </c>
      <c r="CM23" s="44">
        <f>('Scope 3 Yearly'!$EE$186*'Scope 3 Yearly'!CM37*(1-'Scope 3 Yearly'!$B$197)+'Scope 3 Yearly'!CM30*'Scope 3 Yearly'!CM40+'Scope 3 Yearly'!CM26*'Scope 3 Yearly'!CM36)*'Yearly HC Ethylene'!AA4</f>
        <v>264.80526338218937</v>
      </c>
      <c r="CN23" s="44">
        <f>('Scope 3 Yearly'!$EE$186*'Scope 3 Yearly'!CN37*(1-'Scope 3 Yearly'!$B$197)+'Scope 3 Yearly'!CN30*'Scope 3 Yearly'!CN40+'Scope 3 Yearly'!CN26*'Scope 3 Yearly'!CN36)*'Yearly HC Ethylene'!AB4</f>
        <v>269.86645742280939</v>
      </c>
      <c r="CO23" s="44">
        <f>('Scope 3 Yearly'!$EE$186*'Scope 3 Yearly'!CO37*(1-'Scope 3 Yearly'!$B$197)+'Scope 3 Yearly'!CO30*'Scope 3 Yearly'!CO40+'Scope 3 Yearly'!CO26*'Scope 3 Yearly'!CO36)*'Yearly HC Ethylene'!AC4</f>
        <v>274.99499111788958</v>
      </c>
      <c r="CP23" s="44">
        <f>('Scope 3 Yearly'!$EE$186*'Scope 3 Yearly'!CP37*(1-'Scope 3 Yearly'!$B$197)+'Scope 3 Yearly'!CP30*'Scope 3 Yearly'!CP40+'Scope 3 Yearly'!CP26*'Scope 3 Yearly'!CP36)*'Yearly HC Ethylene'!AD4</f>
        <v>280.0426853507883</v>
      </c>
      <c r="CQ23" s="44">
        <f>('Scope 3 Yearly'!$EE$186*'Scope 3 Yearly'!CQ37*(1-'Scope 3 Yearly'!$B$197)+'Scope 3 Yearly'!CQ30*'Scope 3 Yearly'!CQ40+'Scope 3 Yearly'!CQ26*'Scope 3 Yearly'!CQ36)*'Yearly HC Ethylene'!AE4</f>
        <v>285.15359196253377</v>
      </c>
      <c r="CR23" s="44">
        <f>('Scope 3 Yearly'!$EE$186*'Scope 3 Yearly'!CR37*(1-'Scope 3 Yearly'!$B$197)+'Scope 3 Yearly'!CR30*'Scope 3 Yearly'!CR40+'Scope 3 Yearly'!CR26*'Scope 3 Yearly'!CR36)*'Yearly HC Ethylene'!AF4</f>
        <v>290.3281154906889</v>
      </c>
      <c r="CS23" s="44">
        <f>('Scope 3 Yearly'!$EE$186*'Scope 3 Yearly'!CS37*(1-'Scope 3 Yearly'!$B$197)+'Scope 3 Yearly'!CS30*'Scope 3 Yearly'!CS40+'Scope 3 Yearly'!CS26*'Scope 3 Yearly'!CS36)*'Yearly HC Ethylene'!AG4</f>
        <v>295.56665027925425</v>
      </c>
      <c r="CT23" s="44">
        <f>('Scope 3 Yearly'!$EE$186*'Scope 3 Yearly'!CT37*(1-'Scope 3 Yearly'!$B$197)+'Scope 3 Yearly'!CT30*'Scope 3 Yearly'!CT40+'Scope 3 Yearly'!CT26*'Scope 3 Yearly'!CT36)*'Yearly HC Ethylene'!AH4</f>
        <v>300.86957980848126</v>
      </c>
      <c r="CV23" s="44">
        <f>('Scope 3 Yearly'!$EE$186*'Scope 3 Yearly'!CV37*(1-'Scope 3 Yearly'!$B$197)+'Scope 3 Yearly'!CV30*'Scope 3 Yearly'!CV40+'Scope 3 Yearly'!CV26*'Scope 3 Yearly'!CV36)*'Yearly HC Ethylene'!D4</f>
        <v>142.12549467422048</v>
      </c>
      <c r="CW23" s="44">
        <f>('Scope 3 Yearly'!$EE$186*'Scope 3 Yearly'!CW37*(1-'Scope 3 Yearly'!$B$197)+'Scope 3 Yearly'!CW30*'Scope 3 Yearly'!CW40+'Scope 3 Yearly'!CW26*'Scope 3 Yearly'!CW36)*'Yearly HC Ethylene'!E4</f>
        <v>145.33618169501929</v>
      </c>
      <c r="CX23" s="44">
        <f>('Scope 3 Yearly'!$EE$186*'Scope 3 Yearly'!CX37*(1-'Scope 3 Yearly'!$B$197)+'Scope 3 Yearly'!CX30*'Scope 3 Yearly'!CX40+'Scope 3 Yearly'!CX26*'Scope 3 Yearly'!CX36)*'Yearly HC Ethylene'!F4</f>
        <v>148.68849251605243</v>
      </c>
      <c r="CY23" s="44">
        <f>('Scope 3 Yearly'!$EE$186*'Scope 3 Yearly'!CY37*(1-'Scope 3 Yearly'!$B$197)+'Scope 3 Yearly'!CY30*'Scope 3 Yearly'!CY40+'Scope 3 Yearly'!CY26*'Scope 3 Yearly'!CY36)*'Yearly HC Ethylene'!G4</f>
        <v>152.18609071088218</v>
      </c>
      <c r="CZ23" s="44">
        <f>('Scope 3 Yearly'!$EE$186*'Scope 3 Yearly'!CZ37*(1-'Scope 3 Yearly'!$B$197)+'Scope 3 Yearly'!CZ30*'Scope 3 Yearly'!CZ40+'Scope 3 Yearly'!CZ26*'Scope 3 Yearly'!CZ36)*'Yearly HC Ethylene'!H4</f>
        <v>155.83099302381655</v>
      </c>
      <c r="DA23" s="44">
        <f>('Scope 3 Yearly'!$EE$186*'Scope 3 Yearly'!DA37*(1-'Scope 3 Yearly'!$B$197)+'Scope 3 Yearly'!DA30*'Scope 3 Yearly'!DA40+'Scope 3 Yearly'!DA26*'Scope 3 Yearly'!DA36)*'Yearly HC Ethylene'!I4</f>
        <v>159.62175720516453</v>
      </c>
      <c r="DB23" s="44">
        <f>('Scope 3 Yearly'!$EE$186*'Scope 3 Yearly'!DB37*(1-'Scope 3 Yearly'!$B$197)+'Scope 3 Yearly'!DB30*'Scope 3 Yearly'!DB40+'Scope 3 Yearly'!DB26*'Scope 3 Yearly'!DB36)*'Yearly HC Ethylene'!J4</f>
        <v>163.11461781752985</v>
      </c>
      <c r="DC23" s="44">
        <f>('Scope 3 Yearly'!$EE$186*'Scope 3 Yearly'!DC37*(1-'Scope 3 Yearly'!$B$197)+'Scope 3 Yearly'!DC30*'Scope 3 Yearly'!DC40+'Scope 3 Yearly'!DC26*'Scope 3 Yearly'!DC36)*'Yearly HC Ethylene'!K4</f>
        <v>166.70279259479875</v>
      </c>
      <c r="DD23" s="44">
        <f>('Scope 3 Yearly'!$EE$186*'Scope 3 Yearly'!DD37*(1-'Scope 3 Yearly'!$B$197)+'Scope 3 Yearly'!DD30*'Scope 3 Yearly'!DD40+'Scope 3 Yearly'!DD26*'Scope 3 Yearly'!DD36)*'Yearly HC Ethylene'!L4</f>
        <v>170.33921229398885</v>
      </c>
      <c r="DE23" s="44">
        <f>('Scope 3 Yearly'!$EE$186*'Scope 3 Yearly'!DE37*(1-'Scope 3 Yearly'!$B$197)+'Scope 3 Yearly'!DE30*'Scope 3 Yearly'!DE40+'Scope 3 Yearly'!DE26*'Scope 3 Yearly'!DE36)*'Yearly HC Ethylene'!M4</f>
        <v>173.93458332523815</v>
      </c>
      <c r="DF23" s="44">
        <f>('Scope 3 Yearly'!$EE$186*'Scope 3 Yearly'!DF37*(1-'Scope 3 Yearly'!$B$197)+'Scope 3 Yearly'!DF30*'Scope 3 Yearly'!DF40+'Scope 3 Yearly'!DF26*'Scope 3 Yearly'!DF36)*'Yearly HC Ethylene'!N4</f>
        <v>177.33203075142168</v>
      </c>
      <c r="DG23" s="44">
        <f>('Scope 3 Yearly'!$EE$186*'Scope 3 Yearly'!DG37*(1-'Scope 3 Yearly'!$B$197)+'Scope 3 Yearly'!DG30*'Scope 3 Yearly'!DG40+'Scope 3 Yearly'!DG26*'Scope 3 Yearly'!DG36)*'Yearly HC Ethylene'!O4</f>
        <v>177.05133417994611</v>
      </c>
      <c r="DH23" s="44">
        <f>('Scope 3 Yearly'!$EE$186*'Scope 3 Yearly'!DH37*(1-'Scope 3 Yearly'!$B$197)+'Scope 3 Yearly'!DH30*'Scope 3 Yearly'!DH40+'Scope 3 Yearly'!DH26*'Scope 3 Yearly'!DH36)*'Yearly HC Ethylene'!P4</f>
        <v>175.91859081359922</v>
      </c>
      <c r="DI23" s="44">
        <f>('Scope 3 Yearly'!$EE$186*'Scope 3 Yearly'!DI37*(1-'Scope 3 Yearly'!$B$197)+'Scope 3 Yearly'!DI30*'Scope 3 Yearly'!DI40+'Scope 3 Yearly'!DI26*'Scope 3 Yearly'!DI36)*'Yearly HC Ethylene'!Q4</f>
        <v>173.55573599194491</v>
      </c>
      <c r="DJ23" s="44">
        <f>('Scope 3 Yearly'!$EE$186*'Scope 3 Yearly'!DJ37*(1-'Scope 3 Yearly'!$B$197)+'Scope 3 Yearly'!DJ30*'Scope 3 Yearly'!DJ40+'Scope 3 Yearly'!DJ26*'Scope 3 Yearly'!DJ36)*'Yearly HC Ethylene'!R4</f>
        <v>169.62415485181776</v>
      </c>
      <c r="DK23" s="44">
        <f>('Scope 3 Yearly'!$EE$186*'Scope 3 Yearly'!DK37*(1-'Scope 3 Yearly'!$B$197)+'Scope 3 Yearly'!DK30*'Scope 3 Yearly'!DK40+'Scope 3 Yearly'!DK26*'Scope 3 Yearly'!DK36)*'Yearly HC Ethylene'!S4</f>
        <v>163.94328977189866</v>
      </c>
      <c r="DL23" s="44">
        <f>('Scope 3 Yearly'!$EE$186*'Scope 3 Yearly'!DL37*(1-'Scope 3 Yearly'!$B$197)+'Scope 3 Yearly'!DL30*'Scope 3 Yearly'!DL40+'Scope 3 Yearly'!DL26*'Scope 3 Yearly'!DL36)*'Yearly HC Ethylene'!T4</f>
        <v>156.54159588850973</v>
      </c>
      <c r="DM23" s="44">
        <f>('Scope 3 Yearly'!$EE$186*'Scope 3 Yearly'!DM37*(1-'Scope 3 Yearly'!$B$197)+'Scope 3 Yearly'!DM30*'Scope 3 Yearly'!DM40+'Scope 3 Yearly'!DM26*'Scope 3 Yearly'!DM36)*'Yearly HC Ethylene'!U4</f>
        <v>147.98102451563167</v>
      </c>
      <c r="DN23" s="44">
        <f>('Scope 3 Yearly'!$EE$186*'Scope 3 Yearly'!DN37*(1-'Scope 3 Yearly'!$B$197)+'Scope 3 Yearly'!DN30*'Scope 3 Yearly'!DN40+'Scope 3 Yearly'!DN26*'Scope 3 Yearly'!DN36)*'Yearly HC Ethylene'!V4</f>
        <v>138.89586747734313</v>
      </c>
      <c r="DO23" s="44">
        <f>('Scope 3 Yearly'!$EE$186*'Scope 3 Yearly'!DO37*(1-'Scope 3 Yearly'!$B$197)+'Scope 3 Yearly'!DO30*'Scope 3 Yearly'!DO40+'Scope 3 Yearly'!DO26*'Scope 3 Yearly'!DO36)*'Yearly HC Ethylene'!W4</f>
        <v>129.92109559921226</v>
      </c>
      <c r="DP23" s="44">
        <f>('Scope 3 Yearly'!$EE$186*'Scope 3 Yearly'!DP37*(1-'Scope 3 Yearly'!$B$197)+'Scope 3 Yearly'!DP30*'Scope 3 Yearly'!DP40+'Scope 3 Yearly'!DP26*'Scope 3 Yearly'!DP36)*'Yearly HC Ethylene'!X4</f>
        <v>121.54022838184831</v>
      </c>
      <c r="DQ23" s="44">
        <f>('Scope 3 Yearly'!$EE$186*'Scope 3 Yearly'!DQ37*(1-'Scope 3 Yearly'!$B$197)+'Scope 3 Yearly'!DQ30*'Scope 3 Yearly'!DQ40+'Scope 3 Yearly'!DQ26*'Scope 3 Yearly'!DQ36)*'Yearly HC Ethylene'!Y4</f>
        <v>112.56840545413742</v>
      </c>
      <c r="DR23" s="44">
        <f>('Scope 3 Yearly'!$EE$186*'Scope 3 Yearly'!DR37*(1-'Scope 3 Yearly'!$B$197)+'Scope 3 Yearly'!DR30*'Scope 3 Yearly'!DR40+'Scope 3 Yearly'!DR26*'Scope 3 Yearly'!DR36)*'Yearly HC Ethylene'!Z4</f>
        <v>104.67981423746068</v>
      </c>
      <c r="DS23" s="44">
        <f>('Scope 3 Yearly'!$EE$186*'Scope 3 Yearly'!DS37*(1-'Scope 3 Yearly'!$B$197)+'Scope 3 Yearly'!DS30*'Scope 3 Yearly'!DS40+'Scope 3 Yearly'!DS26*'Scope 3 Yearly'!DS36)*'Yearly HC Ethylene'!AA4</f>
        <v>97.796164575856807</v>
      </c>
      <c r="DT23" s="44">
        <f>('Scope 3 Yearly'!$EE$186*'Scope 3 Yearly'!DT37*(1-'Scope 3 Yearly'!$B$197)+'Scope 3 Yearly'!DT30*'Scope 3 Yearly'!DT40+'Scope 3 Yearly'!DT26*'Scope 3 Yearly'!DT36)*'Yearly HC Ethylene'!AB4</f>
        <v>91.778949037336304</v>
      </c>
      <c r="DU23" s="44">
        <f>('Scope 3 Yearly'!$EE$186*'Scope 3 Yearly'!DU37*(1-'Scope 3 Yearly'!$B$197)+'Scope 3 Yearly'!DU30*'Scope 3 Yearly'!DU40+'Scope 3 Yearly'!DU26*'Scope 3 Yearly'!DU36)*'Yearly HC Ethylene'!AC4</f>
        <v>86.47014175205787</v>
      </c>
      <c r="DV23" s="44">
        <f>('Scope 3 Yearly'!$EE$186*'Scope 3 Yearly'!DV37*(1-'Scope 3 Yearly'!$B$197)+'Scope 3 Yearly'!DV30*'Scope 3 Yearly'!DV40+'Scope 3 Yearly'!DV26*'Scope 3 Yearly'!DV36)*'Yearly HC Ethylene'!AD4</f>
        <v>81.677850076139734</v>
      </c>
      <c r="DW23" s="44">
        <f>('Scope 3 Yearly'!$EE$186*'Scope 3 Yearly'!DW37*(1-'Scope 3 Yearly'!$B$197)+'Scope 3 Yearly'!DW30*'Scope 3 Yearly'!DW40+'Scope 3 Yearly'!DW26*'Scope 3 Yearly'!DW36)*'Yearly HC Ethylene'!AE4</f>
        <v>77.32327661860316</v>
      </c>
      <c r="DX23" s="44">
        <f>('Scope 3 Yearly'!$EE$186*'Scope 3 Yearly'!DX37*(1-'Scope 3 Yearly'!$B$197)+'Scope 3 Yearly'!DX30*'Scope 3 Yearly'!DX40+'Scope 3 Yearly'!DX26*'Scope 3 Yearly'!DX36)*'Yearly HC Ethylene'!AF4</f>
        <v>73.303574348520598</v>
      </c>
      <c r="DY23" s="44">
        <f>('Scope 3 Yearly'!$EE$186*'Scope 3 Yearly'!DY37*(1-'Scope 3 Yearly'!$B$197)+'Scope 3 Yearly'!DY30*'Scope 3 Yearly'!DY40+'Scope 3 Yearly'!DY26*'Scope 3 Yearly'!DY36)*'Yearly HC Ethylene'!AG4</f>
        <v>69.539319188076902</v>
      </c>
      <c r="DZ23" s="44">
        <f>('Scope 3 Yearly'!$EE$186*'Scope 3 Yearly'!DZ37*(1-'Scope 3 Yearly'!$B$197)+'Scope 3 Yearly'!DZ30*'Scope 3 Yearly'!DZ40+'Scope 3 Yearly'!DZ26*'Scope 3 Yearly'!DZ36)*'Yearly HC Ethylene'!AH4</f>
        <v>65.971442291438279</v>
      </c>
    </row>
    <row r="24" spans="1:165">
      <c r="A24" t="s">
        <v>5</v>
      </c>
      <c r="C24" s="54" t="s">
        <v>415</v>
      </c>
      <c r="D24" s="44">
        <f>('Scope 3 Yearly'!$EE$187*'Scope 3 Yearly'!D60*(1-'Scope 3 Yearly'!$B$197)+'Scope 3 Yearly'!D49*'Scope 3 Yearly'!D59+'Scope 3 Yearly'!D53*'Scope 3 Yearly'!D63)*'Yearly HC Propylene'!D71</f>
        <v>106.94204213525619</v>
      </c>
      <c r="E24" s="44">
        <f>('Scope 3 Yearly'!$EE$187*'Scope 3 Yearly'!E60*(1-'Scope 3 Yearly'!$B$197)+'Scope 3 Yearly'!E49*'Scope 3 Yearly'!E59+'Scope 3 Yearly'!E53*'Scope 3 Yearly'!E63)*'Yearly HC Propylene'!E71</f>
        <v>108.61850187088857</v>
      </c>
      <c r="F24" s="44">
        <f>('Scope 3 Yearly'!$EE$187*'Scope 3 Yearly'!F60*(1-'Scope 3 Yearly'!$B$197)+'Scope 3 Yearly'!F49*'Scope 3 Yearly'!F59+'Scope 3 Yearly'!F53*'Scope 3 Yearly'!F63)*'Yearly HC Propylene'!F71</f>
        <v>110.35706061192873</v>
      </c>
      <c r="G24" s="44">
        <f>('Scope 3 Yearly'!$EE$187*'Scope 3 Yearly'!G60*(1-'Scope 3 Yearly'!$B$197)+'Scope 3 Yearly'!G49*'Scope 3 Yearly'!G59+'Scope 3 Yearly'!G53*'Scope 3 Yearly'!G63)*'Yearly HC Propylene'!G71</f>
        <v>112.1606807075526</v>
      </c>
      <c r="H24" s="44">
        <f>('Scope 3 Yearly'!$EE$187*'Scope 3 Yearly'!H60*(1-'Scope 3 Yearly'!$B$197)+'Scope 3 Yearly'!H49*'Scope 3 Yearly'!H59+'Scope 3 Yearly'!H53*'Scope 3 Yearly'!H63)*'Yearly HC Propylene'!H71</f>
        <v>114.03128512287168</v>
      </c>
      <c r="I24" s="44">
        <f>('Scope 3 Yearly'!$EE$187*'Scope 3 Yearly'!I60*(1-'Scope 3 Yearly'!$B$197)+'Scope 3 Yearly'!I49*'Scope 3 Yearly'!I59+'Scope 3 Yearly'!I53*'Scope 3 Yearly'!I63)*'Yearly HC Propylene'!I71</f>
        <v>115.96838988609836</v>
      </c>
      <c r="J24" s="44">
        <f>('Scope 3 Yearly'!$EE$187*'Scope 3 Yearly'!J60*(1-'Scope 3 Yearly'!$B$197)+'Scope 3 Yearly'!J49*'Scope 3 Yearly'!J59+'Scope 3 Yearly'!J53*'Scope 3 Yearly'!J63)*'Yearly HC Propylene'!J71</f>
        <v>117.73696309507881</v>
      </c>
      <c r="K24" s="44">
        <f>('Scope 3 Yearly'!$EE$187*'Scope 3 Yearly'!K60*(1-'Scope 3 Yearly'!$B$197)+'Scope 3 Yearly'!K49*'Scope 3 Yearly'!K59+'Scope 3 Yearly'!K53*'Scope 3 Yearly'!K63)*'Yearly HC Propylene'!K71</f>
        <v>119.52112840780306</v>
      </c>
      <c r="L24" s="44">
        <f>('Scope 3 Yearly'!$EE$187*'Scope 3 Yearly'!L60*(1-'Scope 3 Yearly'!$B$197)+'Scope 3 Yearly'!L49*'Scope 3 Yearly'!L59+'Scope 3 Yearly'!L53*'Scope 3 Yearly'!L63)*'Yearly HC Propylene'!L71</f>
        <v>121.28313673713137</v>
      </c>
      <c r="M24" s="44">
        <f>('Scope 3 Yearly'!$EE$187*'Scope 3 Yearly'!M60*(1-'Scope 3 Yearly'!$B$197)+'Scope 3 Yearly'!M49*'Scope 3 Yearly'!M59+'Scope 3 Yearly'!M53*'Scope 3 Yearly'!M63)*'Yearly HC Propylene'!M71</f>
        <v>122.95433421065016</v>
      </c>
      <c r="N24" s="44">
        <f>('Scope 3 Yearly'!$EE$187*'Scope 3 Yearly'!N60*(1-'Scope 3 Yearly'!$B$197)+'Scope 3 Yearly'!N49*'Scope 3 Yearly'!N59+'Scope 3 Yearly'!N53*'Scope 3 Yearly'!N63)*'Yearly HC Propylene'!N71</f>
        <v>124.41707090685094</v>
      </c>
      <c r="O24" s="44">
        <f>('Scope 3 Yearly'!$EE$187*'Scope 3 Yearly'!O60*(1-'Scope 3 Yearly'!$B$197)+'Scope 3 Yearly'!O49*'Scope 3 Yearly'!O59+'Scope 3 Yearly'!O53*'Scope 3 Yearly'!O63)*'Yearly HC Propylene'!O71</f>
        <v>123.4192850718903</v>
      </c>
      <c r="P24" s="44">
        <f>('Scope 3 Yearly'!$EE$187*'Scope 3 Yearly'!P60*(1-'Scope 3 Yearly'!$B$197)+'Scope 3 Yearly'!P49*'Scope 3 Yearly'!P59+'Scope 3 Yearly'!P53*'Scope 3 Yearly'!P63)*'Yearly HC Propylene'!P71</f>
        <v>121.76258164769058</v>
      </c>
      <c r="Q24" s="44">
        <f>('Scope 3 Yearly'!$EE$187*'Scope 3 Yearly'!Q60*(1-'Scope 3 Yearly'!$B$197)+'Scope 3 Yearly'!Q49*'Scope 3 Yearly'!Q59+'Scope 3 Yearly'!Q53*'Scope 3 Yearly'!Q63)*'Yearly HC Propylene'!Q71</f>
        <v>119.1890362555763</v>
      </c>
      <c r="R24" s="44">
        <f>('Scope 3 Yearly'!$EE$187*'Scope 3 Yearly'!R60*(1-'Scope 3 Yearly'!$B$197)+'Scope 3 Yearly'!R49*'Scope 3 Yearly'!R59+'Scope 3 Yearly'!R53*'Scope 3 Yearly'!R63)*'Yearly HC Propylene'!R71</f>
        <v>115.49018778882177</v>
      </c>
      <c r="S24" s="44">
        <f>('Scope 3 Yearly'!$EE$187*'Scope 3 Yearly'!S60*(1-'Scope 3 Yearly'!$B$197)+'Scope 3 Yearly'!S49*'Scope 3 Yearly'!S59+'Scope 3 Yearly'!S53*'Scope 3 Yearly'!S63)*'Yearly HC Propylene'!S71</f>
        <v>110.59670653144967</v>
      </c>
      <c r="T24" s="44">
        <f>('Scope 3 Yearly'!$EE$187*'Scope 3 Yearly'!T60*(1-'Scope 3 Yearly'!$B$197)+'Scope 3 Yearly'!T49*'Scope 3 Yearly'!T59+'Scope 3 Yearly'!T53*'Scope 3 Yearly'!T63)*'Yearly HC Propylene'!T71</f>
        <v>104.58465015370686</v>
      </c>
      <c r="U24" s="44">
        <f>('Scope 3 Yearly'!$EE$187*'Scope 3 Yearly'!U60*(1-'Scope 3 Yearly'!$B$197)+'Scope 3 Yearly'!U49*'Scope 3 Yearly'!U59+'Scope 3 Yearly'!U53*'Scope 3 Yearly'!U63)*'Yearly HC Propylene'!U71</f>
        <v>97.863714554547158</v>
      </c>
      <c r="V24" s="44">
        <f>('Scope 3 Yearly'!$EE$187*'Scope 3 Yearly'!V60*(1-'Scope 3 Yearly'!$B$197)+'Scope 3 Yearly'!V49*'Scope 3 Yearly'!V59+'Scope 3 Yearly'!V53*'Scope 3 Yearly'!V63)*'Yearly HC Propylene'!V71</f>
        <v>90.904626692048012</v>
      </c>
      <c r="W24" s="44">
        <f>('Scope 3 Yearly'!$EE$187*'Scope 3 Yearly'!W60*(1-'Scope 3 Yearly'!$B$197)+'Scope 3 Yearly'!W49*'Scope 3 Yearly'!W59+'Scope 3 Yearly'!W53*'Scope 3 Yearly'!W63)*'Yearly HC Propylene'!W71</f>
        <v>84.149248814347885</v>
      </c>
      <c r="X24" s="44">
        <f>('Scope 3 Yearly'!$EE$187*'Scope 3 Yearly'!X60*(1-'Scope 3 Yearly'!$B$197)+'Scope 3 Yearly'!X49*'Scope 3 Yearly'!X59+'Scope 3 Yearly'!X53*'Scope 3 Yearly'!X63)*'Yearly HC Propylene'!X71</f>
        <v>77.910973671393833</v>
      </c>
      <c r="Y24" s="44">
        <f>('Scope 3 Yearly'!$EE$187*'Scope 3 Yearly'!Y60*(1-'Scope 3 Yearly'!$B$197)+'Scope 3 Yearly'!Y49*'Scope 3 Yearly'!Y59+'Scope 3 Yearly'!Y53*'Scope 3 Yearly'!Y63)*'Yearly HC Propylene'!Y71</f>
        <v>71.423935442631034</v>
      </c>
      <c r="Z24" s="44">
        <f>('Scope 3 Yearly'!$EE$187*'Scope 3 Yearly'!Z60*(1-'Scope 3 Yearly'!$B$197)+'Scope 3 Yearly'!Z49*'Scope 3 Yearly'!Z59+'Scope 3 Yearly'!Z53*'Scope 3 Yearly'!Z63)*'Yearly HC Propylene'!Z71</f>
        <v>65.734473599253391</v>
      </c>
      <c r="AA24" s="44">
        <f>('Scope 3 Yearly'!$EE$187*'Scope 3 Yearly'!AA60*(1-'Scope 3 Yearly'!$B$197)+'Scope 3 Yearly'!AA49*'Scope 3 Yearly'!AA59+'Scope 3 Yearly'!AA53*'Scope 3 Yearly'!AA63)*'Yearly HC Propylene'!AA71</f>
        <v>60.754790824153538</v>
      </c>
      <c r="AB24" s="44">
        <f>('Scope 3 Yearly'!$EE$187*'Scope 3 Yearly'!AB60*(1-'Scope 3 Yearly'!$B$197)+'Scope 3 Yearly'!AB49*'Scope 3 Yearly'!AB59+'Scope 3 Yearly'!AB53*'Scope 3 Yearly'!AB63)*'Yearly HC Propylene'!AB71</f>
        <v>56.381273546095592</v>
      </c>
      <c r="AC24" s="44">
        <f>('Scope 3 Yearly'!$EE$187*'Scope 3 Yearly'!AC60*(1-'Scope 3 Yearly'!$B$197)+'Scope 3 Yearly'!AC49*'Scope 3 Yearly'!AC59+'Scope 3 Yearly'!AC53*'Scope 3 Yearly'!AC63)*'Yearly HC Propylene'!AC71</f>
        <v>52.496842018072151</v>
      </c>
      <c r="AD24" s="44">
        <f>('Scope 3 Yearly'!$EE$187*'Scope 3 Yearly'!AD60*(1-'Scope 3 Yearly'!$B$197)+'Scope 3 Yearly'!AD49*'Scope 3 Yearly'!AD59+'Scope 3 Yearly'!AD53*'Scope 3 Yearly'!AD63)*'Yearly HC Propylene'!AD71</f>
        <v>48.974961694963888</v>
      </c>
      <c r="AE24" s="44">
        <f>('Scope 3 Yearly'!$EE$187*'Scope 3 Yearly'!AE60*(1-'Scope 3 Yearly'!$B$197)+'Scope 3 Yearly'!AE49*'Scope 3 Yearly'!AE59+'Scope 3 Yearly'!AE53*'Scope 3 Yearly'!AE63)*'Yearly HC Propylene'!AE71</f>
        <v>45.752109447916851</v>
      </c>
      <c r="AF24" s="44">
        <f>('Scope 3 Yearly'!$EE$187*'Scope 3 Yearly'!AF60*(1-'Scope 3 Yearly'!$B$197)+'Scope 3 Yearly'!AF49*'Scope 3 Yearly'!AF59+'Scope 3 Yearly'!AF53*'Scope 3 Yearly'!AF63)*'Yearly HC Propylene'!AF71</f>
        <v>42.762018135495509</v>
      </c>
      <c r="AG24" s="44">
        <f>('Scope 3 Yearly'!$EE$187*'Scope 3 Yearly'!AG60*(1-'Scope 3 Yearly'!$B$197)+'Scope 3 Yearly'!AG49*'Scope 3 Yearly'!AG59+'Scope 3 Yearly'!AG53*'Scope 3 Yearly'!AG63)*'Yearly HC Propylene'!AG71</f>
        <v>39.911988349140074</v>
      </c>
      <c r="AH24" s="44">
        <f>('Scope 3 Yearly'!$EE$187*'Scope 3 Yearly'!AH60*(1-'Scope 3 Yearly'!$B$197)+'Scope 3 Yearly'!AH49*'Scope 3 Yearly'!AH59+'Scope 3 Yearly'!AH53*'Scope 3 Yearly'!AH63)*'Yearly HC Propylene'!AH71</f>
        <v>37.118147215818588</v>
      </c>
      <c r="AI24" s="44"/>
      <c r="AJ24" s="44">
        <f>('Scope 3 Yearly'!$EE$187*'Scope 3 Yearly'!AJ60*(1-'Scope 3 Yearly'!$B$197)+'Scope 3 Yearly'!AJ49*'Scope 3 Yearly'!AJ59+'Scope 3 Yearly'!AJ53*'Scope 3 Yearly'!AJ63)*'Yearly LC Propylene'!D71</f>
        <v>106.94207194248507</v>
      </c>
      <c r="AK24" s="44">
        <f>('Scope 3 Yearly'!$EE$187*'Scope 3 Yearly'!AK60*(1-'Scope 3 Yearly'!$B$197)+'Scope 3 Yearly'!AK49*'Scope 3 Yearly'!AK59+'Scope 3 Yearly'!AK53*'Scope 3 Yearly'!AK63)*'Yearly LC Propylene'!E71</f>
        <v>108.60142567676806</v>
      </c>
      <c r="AL24" s="44">
        <f>('Scope 3 Yearly'!$EE$187*'Scope 3 Yearly'!AL60*(1-'Scope 3 Yearly'!$B$197)+'Scope 3 Yearly'!AL49*'Scope 3 Yearly'!AL59+'Scope 3 Yearly'!AL53*'Scope 3 Yearly'!AL63)*'Yearly LC Propylene'!F71</f>
        <v>110.32231365403905</v>
      </c>
      <c r="AM24" s="44">
        <f>('Scope 3 Yearly'!$EE$187*'Scope 3 Yearly'!AM60*(1-'Scope 3 Yearly'!$B$197)+'Scope 3 Yearly'!AM49*'Scope 3 Yearly'!AM59+'Scope 3 Yearly'!AM53*'Scope 3 Yearly'!AM63)*'Yearly LC Propylene'!G71</f>
        <v>112.10771106860842</v>
      </c>
      <c r="AN24" s="44">
        <f>('Scope 3 Yearly'!$EE$187*'Scope 3 Yearly'!AN60*(1-'Scope 3 Yearly'!$B$197)+'Scope 3 Yearly'!AN49*'Scope 3 Yearly'!AN59+'Scope 3 Yearly'!AN53*'Scope 3 Yearly'!AN63)*'Yearly LC Propylene'!H71</f>
        <v>113.9596053348797</v>
      </c>
      <c r="AO24" s="44">
        <f>('Scope 3 Yearly'!$EE$187*'Scope 3 Yearly'!AO60*(1-'Scope 3 Yearly'!$B$197)+'Scope 3 Yearly'!AO49*'Scope 3 Yearly'!AO59+'Scope 3 Yearly'!AO53*'Scope 3 Yearly'!AO63)*'Yearly LC Propylene'!I71</f>
        <v>115.87768351641594</v>
      </c>
      <c r="AP24" s="44">
        <f>('Scope 3 Yearly'!$EE$187*'Scope 3 Yearly'!AP60*(1-'Scope 3 Yearly'!$B$197)+'Scope 3 Yearly'!AP49*'Scope 3 Yearly'!AP59+'Scope 3 Yearly'!AP53*'Scope 3 Yearly'!AP63)*'Yearly LC Propylene'!J71</f>
        <v>117.6273000845419</v>
      </c>
      <c r="AQ24" s="44">
        <f>('Scope 3 Yearly'!$EE$187*'Scope 3 Yearly'!AQ60*(1-'Scope 3 Yearly'!$B$197)+'Scope 3 Yearly'!AQ49*'Scope 3 Yearly'!AQ59+'Scope 3 Yearly'!AQ53*'Scope 3 Yearly'!AQ63)*'Yearly LC Propylene'!K71</f>
        <v>119.39338664911102</v>
      </c>
      <c r="AR24" s="44">
        <f>('Scope 3 Yearly'!$EE$187*'Scope 3 Yearly'!AR60*(1-'Scope 3 Yearly'!$B$197)+'Scope 3 Yearly'!AR49*'Scope 3 Yearly'!AR59+'Scope 3 Yearly'!AR53*'Scope 3 Yearly'!AR63)*'Yearly LC Propylene'!L71</f>
        <v>121.13978544071747</v>
      </c>
      <c r="AS24" s="44">
        <f>('Scope 3 Yearly'!$EE$187*'Scope 3 Yearly'!AS60*(1-'Scope 3 Yearly'!$B$197)+'Scope 3 Yearly'!AS49*'Scope 3 Yearly'!AS59+'Scope 3 Yearly'!AS53*'Scope 3 Yearly'!AS63)*'Yearly LC Propylene'!M71</f>
        <v>122.80080202006751</v>
      </c>
      <c r="AT24" s="44">
        <f>('Scope 3 Yearly'!$EE$187*'Scope 3 Yearly'!AT60*(1-'Scope 3 Yearly'!$B$197)+'Scope 3 Yearly'!AT49*'Scope 3 Yearly'!AT59+'Scope 3 Yearly'!AT53*'Scope 3 Yearly'!AT63)*'Yearly LC Propylene'!N71</f>
        <v>124.26411480575693</v>
      </c>
      <c r="AU24" s="44">
        <f>('Scope 3 Yearly'!$EE$187*'Scope 3 Yearly'!AU60*(1-'Scope 3 Yearly'!$B$197)+'Scope 3 Yearly'!AU49*'Scope 3 Yearly'!AU59+'Scope 3 Yearly'!AU53*'Scope 3 Yearly'!AU63)*'Yearly LC Propylene'!O71</f>
        <v>123.28314274595917</v>
      </c>
      <c r="AV24" s="44">
        <f>('Scope 3 Yearly'!$EE$187*'Scope 3 Yearly'!AV60*(1-'Scope 3 Yearly'!$B$197)+'Scope 3 Yearly'!AV49*'Scope 3 Yearly'!AV59+'Scope 3 Yearly'!AV53*'Scope 3 Yearly'!AV63)*'Yearly LC Propylene'!P71</f>
        <v>121.66859276456265</v>
      </c>
      <c r="AW24" s="44">
        <f>('Scope 3 Yearly'!$EE$187*'Scope 3 Yearly'!AW60*(1-'Scope 3 Yearly'!$B$197)+'Scope 3 Yearly'!AW49*'Scope 3 Yearly'!AW59+'Scope 3 Yearly'!AW53*'Scope 3 Yearly'!AW63)*'Yearly LC Propylene'!Q71</f>
        <v>119.16824973046074</v>
      </c>
      <c r="AX24" s="44">
        <f>('Scope 3 Yearly'!$EE$187*'Scope 3 Yearly'!AX60*(1-'Scope 3 Yearly'!$B$197)+'Scope 3 Yearly'!AX49*'Scope 3 Yearly'!AX59+'Scope 3 Yearly'!AX53*'Scope 3 Yearly'!AX63)*'Yearly LC Propylene'!R71</f>
        <v>115.57783584720852</v>
      </c>
      <c r="AY24" s="44">
        <f>('Scope 3 Yearly'!$EE$187*'Scope 3 Yearly'!AY60*(1-'Scope 3 Yearly'!$B$197)+'Scope 3 Yearly'!AY49*'Scope 3 Yearly'!AY59+'Scope 3 Yearly'!AY53*'Scope 3 Yearly'!AY63)*'Yearly LC Propylene'!S71</f>
        <v>110.82079846371143</v>
      </c>
      <c r="AZ24" s="44">
        <f>('Scope 3 Yearly'!$EE$187*'Scope 3 Yearly'!AZ60*(1-'Scope 3 Yearly'!$B$197)+'Scope 3 Yearly'!AZ49*'Scope 3 Yearly'!AZ59+'Scope 3 Yearly'!AZ53*'Scope 3 Yearly'!AZ63)*'Yearly LC Propylene'!T71</f>
        <v>104.95525850140571</v>
      </c>
      <c r="BA24" s="44">
        <f>('Scope 3 Yearly'!$EE$187*'Scope 3 Yearly'!BA60*(1-'Scope 3 Yearly'!$B$197)+'Scope 3 Yearly'!BA49*'Scope 3 Yearly'!BA59+'Scope 3 Yearly'!BA53*'Scope 3 Yearly'!BA63)*'Yearly LC Propylene'!U71</f>
        <v>98.368338418700603</v>
      </c>
      <c r="BB24" s="44">
        <f>('Scope 3 Yearly'!$EE$187*'Scope 3 Yearly'!BB60*(1-'Scope 3 Yearly'!$B$197)+'Scope 3 Yearly'!BB49*'Scope 3 Yearly'!BB59+'Scope 3 Yearly'!BB53*'Scope 3 Yearly'!BB63)*'Yearly LC Propylene'!V71</f>
        <v>91.512398807762409</v>
      </c>
      <c r="BC24" s="44">
        <f>('Scope 3 Yearly'!$EE$187*'Scope 3 Yearly'!BC60*(1-'Scope 3 Yearly'!$B$197)+'Scope 3 Yearly'!BC49*'Scope 3 Yearly'!BC59+'Scope 3 Yearly'!BC53*'Scope 3 Yearly'!BC63)*'Yearly LC Propylene'!W71</f>
        <v>84.821677481282165</v>
      </c>
      <c r="BD24" s="44">
        <f>('Scope 3 Yearly'!$EE$187*'Scope 3 Yearly'!BD60*(1-'Scope 3 Yearly'!$B$197)+'Scope 3 Yearly'!BD49*'Scope 3 Yearly'!BD59+'Scope 3 Yearly'!BD53*'Scope 3 Yearly'!BD63)*'Yearly LC Propylene'!X71</f>
        <v>78.612568016133693</v>
      </c>
      <c r="BE24" s="44">
        <f>('Scope 3 Yearly'!$EE$187*'Scope 3 Yearly'!BE60*(1-'Scope 3 Yearly'!$B$197)+'Scope 3 Yearly'!BE49*'Scope 3 Yearly'!BE59+'Scope 3 Yearly'!BE53*'Scope 3 Yearly'!BE63)*'Yearly LC Propylene'!Y71</f>
        <v>72.131742387828851</v>
      </c>
      <c r="BF24" s="44">
        <f>('Scope 3 Yearly'!$EE$187*'Scope 3 Yearly'!BF60*(1-'Scope 3 Yearly'!$B$197)+'Scope 3 Yearly'!BF49*'Scope 3 Yearly'!BF59+'Scope 3 Yearly'!BF53*'Scope 3 Yearly'!BF63)*'Yearly LC Propylene'!Z71</f>
        <v>66.428166914064761</v>
      </c>
      <c r="BG24" s="44">
        <f>('Scope 3 Yearly'!$EE$187*'Scope 3 Yearly'!BG60*(1-'Scope 3 Yearly'!$B$197)+'Scope 3 Yearly'!BG49*'Scope 3 Yearly'!BG59+'Scope 3 Yearly'!BG53*'Scope 3 Yearly'!BG63)*'Yearly LC Propylene'!AA71</f>
        <v>61.424739721493204</v>
      </c>
      <c r="BH24" s="44">
        <f>('Scope 3 Yearly'!$EE$187*'Scope 3 Yearly'!BH60*(1-'Scope 3 Yearly'!$B$197)+'Scope 3 Yearly'!BH49*'Scope 3 Yearly'!BH59+'Scope 3 Yearly'!BH53*'Scope 3 Yearly'!BH63)*'Yearly LC Propylene'!AB71</f>
        <v>57.025081156215649</v>
      </c>
      <c r="BI24" s="44">
        <f>('Scope 3 Yearly'!$EE$187*'Scope 3 Yearly'!BI60*(1-'Scope 3 Yearly'!$B$197)+'Scope 3 Yearly'!BI49*'Scope 3 Yearly'!BI59+'Scope 3 Yearly'!BI53*'Scope 3 Yearly'!BI63)*'Yearly LC Propylene'!AC71</f>
        <v>53.116783344189422</v>
      </c>
      <c r="BJ24" s="44">
        <f>('Scope 3 Yearly'!$EE$187*'Scope 3 Yearly'!BJ60*(1-'Scope 3 Yearly'!$B$197)+'Scope 3 Yearly'!BJ49*'Scope 3 Yearly'!BJ59+'Scope 3 Yearly'!BJ53*'Scope 3 Yearly'!BJ63)*'Yearly LC Propylene'!AD71</f>
        <v>49.576146532145302</v>
      </c>
      <c r="BK24" s="44">
        <f>('Scope 3 Yearly'!$EE$187*'Scope 3 Yearly'!BK60*(1-'Scope 3 Yearly'!$B$197)+'Scope 3 Yearly'!BK49*'Scope 3 Yearly'!BK59+'Scope 3 Yearly'!BK53*'Scope 3 Yearly'!BK63)*'Yearly LC Propylene'!AE71</f>
        <v>46.34115765285064</v>
      </c>
      <c r="BL24" s="44">
        <f>('Scope 3 Yearly'!$EE$187*'Scope 3 Yearly'!BL60*(1-'Scope 3 Yearly'!$B$197)+'Scope 3 Yearly'!BL49*'Scope 3 Yearly'!BL59+'Scope 3 Yearly'!BL53*'Scope 3 Yearly'!BL63)*'Yearly LC Propylene'!AF71</f>
        <v>43.345411245211871</v>
      </c>
      <c r="BM24" s="44">
        <f>('Scope 3 Yearly'!$EE$187*'Scope 3 Yearly'!BM60*(1-'Scope 3 Yearly'!$B$197)+'Scope 3 Yearly'!BM49*'Scope 3 Yearly'!BM59+'Scope 3 Yearly'!BM53*'Scope 3 Yearly'!BM63)*'Yearly LC Propylene'!AG71</f>
        <v>40.511810583528927</v>
      </c>
      <c r="BN24" s="44">
        <f>('Scope 3 Yearly'!$EE$187*'Scope 3 Yearly'!BN60*(1-'Scope 3 Yearly'!$B$197)+'Scope 3 Yearly'!BN49*'Scope 3 Yearly'!BN59+'Scope 3 Yearly'!BN53*'Scope 3 Yearly'!BN63)*'Yearly LC Propylene'!AH71</f>
        <v>37.789547782931827</v>
      </c>
      <c r="BO24" s="44"/>
      <c r="BP24" s="44">
        <f>('Scope 3 Yearly'!$EE$187*'Scope 3 Yearly'!BP60*(1-'Scope 3 Yearly'!$B$197)+'Scope 3 Yearly'!BP49*'Scope 3 Yearly'!BP59+'Scope 3 Yearly'!BP53*'Scope 3 Yearly'!BP63)*'Yearly HC Propylene'!D4</f>
        <v>106.94308818518198</v>
      </c>
      <c r="BQ24" s="44">
        <f>('Scope 3 Yearly'!$EE$187*'Scope 3 Yearly'!BQ60*(1-'Scope 3 Yearly'!$B$197)+'Scope 3 Yearly'!BQ49*'Scope 3 Yearly'!BQ59+'Scope 3 Yearly'!BQ53*'Scope 3 Yearly'!BQ63)*'Yearly HC Propylene'!E4</f>
        <v>110.46070856035622</v>
      </c>
      <c r="BR24" s="44">
        <f>('Scope 3 Yearly'!$EE$187*'Scope 3 Yearly'!BR60*(1-'Scope 3 Yearly'!$B$197)+'Scope 3 Yearly'!BR49*'Scope 3 Yearly'!BR59+'Scope 3 Yearly'!BR53*'Scope 3 Yearly'!BR63)*'Yearly HC Propylene'!F4</f>
        <v>114.0603338926373</v>
      </c>
      <c r="BS24" s="44">
        <f>('Scope 3 Yearly'!$EE$187*'Scope 3 Yearly'!BS60*(1-'Scope 3 Yearly'!$B$197)+'Scope 3 Yearly'!BS49*'Scope 3 Yearly'!BS59+'Scope 3 Yearly'!BS53*'Scope 3 Yearly'!BS63)*'Yearly HC Propylene'!G4</f>
        <v>117.74361685111244</v>
      </c>
      <c r="BT24" s="44">
        <f>('Scope 3 Yearly'!$EE$187*'Scope 3 Yearly'!BT60*(1-'Scope 3 Yearly'!$B$197)+'Scope 3 Yearly'!BT49*'Scope 3 Yearly'!BT59+'Scope 3 Yearly'!BT53*'Scope 3 Yearly'!BT63)*'Yearly HC Propylene'!H4</f>
        <v>121.51212291555412</v>
      </c>
      <c r="BU24" s="44">
        <f>('Scope 3 Yearly'!$EE$187*'Scope 3 Yearly'!BU60*(1-'Scope 3 Yearly'!$B$197)+'Scope 3 Yearly'!BU49*'Scope 3 Yearly'!BU59+'Scope 3 Yearly'!BU53*'Scope 3 Yearly'!BU63)*'Yearly HC Propylene'!I4</f>
        <v>125.36731876211402</v>
      </c>
      <c r="BV24" s="44">
        <f>('Scope 3 Yearly'!$EE$187*'Scope 3 Yearly'!BV60*(1-'Scope 3 Yearly'!$B$197)+'Scope 3 Yearly'!BV49*'Scope 3 Yearly'!BV59+'Scope 3 Yearly'!BV53*'Scope 3 Yearly'!BV63)*'Yearly HC Propylene'!J4</f>
        <v>129.09846290324785</v>
      </c>
      <c r="BW24" s="44">
        <f>('Scope 3 Yearly'!$EE$187*'Scope 3 Yearly'!BW60*(1-'Scope 3 Yearly'!$B$197)+'Scope 3 Yearly'!BW49*'Scope 3 Yearly'!BW59+'Scope 3 Yearly'!BW53*'Scope 3 Yearly'!BW63)*'Yearly HC Propylene'!K4</f>
        <v>132.92087275925107</v>
      </c>
      <c r="BX24" s="44">
        <f>('Scope 3 Yearly'!$EE$187*'Scope 3 Yearly'!BX60*(1-'Scope 3 Yearly'!$B$197)+'Scope 3 Yearly'!BX49*'Scope 3 Yearly'!BX59+'Scope 3 Yearly'!BX53*'Scope 3 Yearly'!BX63)*'Yearly HC Propylene'!L4</f>
        <v>136.83651420184339</v>
      </c>
      <c r="BY24" s="44">
        <f>('Scope 3 Yearly'!$EE$187*'Scope 3 Yearly'!BY60*(1-'Scope 3 Yearly'!$B$197)+'Scope 3 Yearly'!BY49*'Scope 3 Yearly'!BY59+'Scope 3 Yearly'!BY53*'Scope 3 Yearly'!BY63)*'Yearly HC Propylene'!M4</f>
        <v>140.84738816336426</v>
      </c>
      <c r="BZ24" s="44">
        <f>('Scope 3 Yearly'!$EE$187*'Scope 3 Yearly'!BZ60*(1-'Scope 3 Yearly'!$B$197)+'Scope 3 Yearly'!BZ49*'Scope 3 Yearly'!BZ59+'Scope 3 Yearly'!BZ53*'Scope 3 Yearly'!BZ63)*'Yearly HC Propylene'!N4</f>
        <v>144.95553084245481</v>
      </c>
      <c r="CA24" s="44">
        <f>('Scope 3 Yearly'!$EE$187*'Scope 3 Yearly'!CA60*(1-'Scope 3 Yearly'!$B$197)+'Scope 3 Yearly'!CA49*'Scope 3 Yearly'!CA59+'Scope 3 Yearly'!CA53*'Scope 3 Yearly'!CA63)*'Yearly HC Propylene'!O4</f>
        <v>147.84266329881854</v>
      </c>
      <c r="CB24" s="44">
        <f>('Scope 3 Yearly'!$EE$187*'Scope 3 Yearly'!CB60*(1-'Scope 3 Yearly'!$B$197)+'Scope 3 Yearly'!CB49*'Scope 3 Yearly'!CB59+'Scope 3 Yearly'!CB53*'Scope 3 Yearly'!CB63)*'Yearly HC Propylene'!P4</f>
        <v>150.75593420455107</v>
      </c>
      <c r="CC24" s="44">
        <f>('Scope 3 Yearly'!$EE$187*'Scope 3 Yearly'!CC60*(1-'Scope 3 Yearly'!$B$197)+'Scope 3 Yearly'!CC49*'Scope 3 Yearly'!CC59+'Scope 3 Yearly'!CC53*'Scope 3 Yearly'!CC63)*'Yearly HC Propylene'!Q4</f>
        <v>153.6949510397871</v>
      </c>
      <c r="CD24" s="44">
        <f>('Scope 3 Yearly'!$EE$187*'Scope 3 Yearly'!CD60*(1-'Scope 3 Yearly'!$B$197)+'Scope 3 Yearly'!CD49*'Scope 3 Yearly'!CD59+'Scope 3 Yearly'!CD53*'Scope 3 Yearly'!CD63)*'Yearly HC Propylene'!R4</f>
        <v>156.65921282400629</v>
      </c>
      <c r="CE24" s="44">
        <f>('Scope 3 Yearly'!$EE$187*'Scope 3 Yearly'!CE60*(1-'Scope 3 Yearly'!$B$197)+'Scope 3 Yearly'!CE49*'Scope 3 Yearly'!CE59+'Scope 3 Yearly'!CE53*'Scope 3 Yearly'!CE63)*'Yearly HC Propylene'!S4</f>
        <v>159.64809960274297</v>
      </c>
      <c r="CF24" s="44">
        <f>('Scope 3 Yearly'!$EE$187*'Scope 3 Yearly'!CF60*(1-'Scope 3 Yearly'!$B$197)+'Scope 3 Yearly'!CF49*'Scope 3 Yearly'!CF59+'Scope 3 Yearly'!CF53*'Scope 3 Yearly'!CF63)*'Yearly HC Propylene'!T4</f>
        <v>162.61243869425442</v>
      </c>
      <c r="CG24" s="44">
        <f>('Scope 3 Yearly'!$EE$187*'Scope 3 Yearly'!CG60*(1-'Scope 3 Yearly'!$B$197)+'Scope 3 Yearly'!CG49*'Scope 3 Yearly'!CG59+'Scope 3 Yearly'!CG53*'Scope 3 Yearly'!CG63)*'Yearly HC Propylene'!U4</f>
        <v>165.6139904421548</v>
      </c>
      <c r="CH24" s="44">
        <f>('Scope 3 Yearly'!$EE$187*'Scope 3 Yearly'!CH60*(1-'Scope 3 Yearly'!$B$197)+'Scope 3 Yearly'!CH49*'Scope 3 Yearly'!CH59+'Scope 3 Yearly'!CH53*'Scope 3 Yearly'!CH63)*'Yearly HC Propylene'!V4</f>
        <v>168.65310019225001</v>
      </c>
      <c r="CI24" s="44">
        <f>('Scope 3 Yearly'!$EE$187*'Scope 3 Yearly'!CI60*(1-'Scope 3 Yearly'!$B$197)+'Scope 3 Yearly'!CI49*'Scope 3 Yearly'!CI59+'Scope 3 Yearly'!CI53*'Scope 3 Yearly'!CI63)*'Yearly HC Propylene'!W4</f>
        <v>171.73011392679317</v>
      </c>
      <c r="CJ24" s="44">
        <f>('Scope 3 Yearly'!$EE$187*'Scope 3 Yearly'!CJ60*(1-'Scope 3 Yearly'!$B$197)+'Scope 3 Yearly'!CJ49*'Scope 3 Yearly'!CJ59+'Scope 3 Yearly'!CJ53*'Scope 3 Yearly'!CJ63)*'Yearly HC Propylene'!X4</f>
        <v>174.84537815692963</v>
      </c>
      <c r="CK24" s="44">
        <f>('Scope 3 Yearly'!$EE$187*'Scope 3 Yearly'!CK60*(1-'Scope 3 Yearly'!$B$197)+'Scope 3 Yearly'!CK49*'Scope 3 Yearly'!CK59+'Scope 3 Yearly'!CK53*'Scope 3 Yearly'!CK63)*'Yearly HC Propylene'!Y4</f>
        <v>177.93538164242622</v>
      </c>
      <c r="CL24" s="44">
        <f>('Scope 3 Yearly'!$EE$187*'Scope 3 Yearly'!CL60*(1-'Scope 3 Yearly'!$B$197)+'Scope 3 Yearly'!CL49*'Scope 3 Yearly'!CL59+'Scope 3 Yearly'!CL53*'Scope 3 Yearly'!CL63)*'Yearly HC Propylene'!Z4</f>
        <v>181.06217242745473</v>
      </c>
      <c r="CM24" s="44">
        <f>('Scope 3 Yearly'!$EE$187*'Scope 3 Yearly'!CM60*(1-'Scope 3 Yearly'!$B$197)+'Scope 3 Yearly'!CM49*'Scope 3 Yearly'!CM59+'Scope 3 Yearly'!CM53*'Scope 3 Yearly'!CM63)*'Yearly HC Propylene'!AA4</f>
        <v>184.22606520527611</v>
      </c>
      <c r="CN24" s="44">
        <f>('Scope 3 Yearly'!$EE$187*'Scope 3 Yearly'!CN60*(1-'Scope 3 Yearly'!$B$197)+'Scope 3 Yearly'!CN49*'Scope 3 Yearly'!CN59+'Scope 3 Yearly'!CN53*'Scope 3 Yearly'!CN63)*'Yearly HC Propylene'!AB4</f>
        <v>187.42737467503025</v>
      </c>
      <c r="CO24" s="44">
        <f>('Scope 3 Yearly'!$EE$187*'Scope 3 Yearly'!CO60*(1-'Scope 3 Yearly'!$B$197)+'Scope 3 Yearly'!CO49*'Scope 3 Yearly'!CO59+'Scope 3 Yearly'!CO53*'Scope 3 Yearly'!CO63)*'Yearly HC Propylene'!AC4</f>
        <v>190.66641542647378</v>
      </c>
      <c r="CP24" s="44">
        <f>('Scope 3 Yearly'!$EE$187*'Scope 3 Yearly'!CP60*(1-'Scope 3 Yearly'!$B$197)+'Scope 3 Yearly'!CP49*'Scope 3 Yearly'!CP59+'Scope 3 Yearly'!CP53*'Scope 3 Yearly'!CP63)*'Yearly HC Propylene'!AD4</f>
        <v>193.87946547664458</v>
      </c>
      <c r="CQ24" s="44">
        <f>('Scope 3 Yearly'!$EE$187*'Scope 3 Yearly'!CQ60*(1-'Scope 3 Yearly'!$B$197)+'Scope 3 Yearly'!CQ49*'Scope 3 Yearly'!CQ59+'Scope 3 Yearly'!CQ53*'Scope 3 Yearly'!CQ63)*'Yearly HC Propylene'!AE4</f>
        <v>197.12881415685297</v>
      </c>
      <c r="CR24" s="44">
        <f>('Scope 3 Yearly'!$EE$187*'Scope 3 Yearly'!CR60*(1-'Scope 3 Yearly'!$B$197)+'Scope 3 Yearly'!CR49*'Scope 3 Yearly'!CR59+'Scope 3 Yearly'!CR53*'Scope 3 Yearly'!CR63)*'Yearly HC Propylene'!AF4</f>
        <v>200.41474573755957</v>
      </c>
      <c r="CS24" s="44">
        <f>('Scope 3 Yearly'!$EE$187*'Scope 3 Yearly'!CS60*(1-'Scope 3 Yearly'!$B$197)+'Scope 3 Yearly'!CS49*'Scope 3 Yearly'!CS59+'Scope 3 Yearly'!CS53*'Scope 3 Yearly'!CS63)*'Yearly HC Propylene'!AG4</f>
        <v>203.73754388071197</v>
      </c>
      <c r="CT24" s="44">
        <f>('Scope 3 Yearly'!$EE$187*'Scope 3 Yearly'!CT60*(1-'Scope 3 Yearly'!$B$197)+'Scope 3 Yearly'!CT49*'Scope 3 Yearly'!CT59+'Scope 3 Yearly'!CT53*'Scope 3 Yearly'!CT63)*'Yearly HC Propylene'!AH4</f>
        <v>207.09749151648987</v>
      </c>
      <c r="CV24" s="44">
        <f>('Scope 3 Yearly'!$EE$187*'Scope 3 Yearly'!CV60*(1-'Scope 3 Yearly'!$B$197)+'Scope 3 Yearly'!CV49*'Scope 3 Yearly'!CV59+'Scope 3 Yearly'!CV53*'Scope 3 Yearly'!CV63)*'Yearly HC Propylene'!D4</f>
        <v>106.94209115142321</v>
      </c>
      <c r="CW24" s="44">
        <f>('Scope 3 Yearly'!$EE$187*'Scope 3 Yearly'!CW60*(1-'Scope 3 Yearly'!$B$197)+'Scope 3 Yearly'!CW49*'Scope 3 Yearly'!CW59+'Scope 3 Yearly'!CW53*'Scope 3 Yearly'!CW63)*'Yearly HC Propylene'!E4</f>
        <v>109.09559632295577</v>
      </c>
      <c r="CX24" s="44">
        <f>('Scope 3 Yearly'!$EE$187*'Scope 3 Yearly'!CX60*(1-'Scope 3 Yearly'!$B$197)+'Scope 3 Yearly'!CX49*'Scope 3 Yearly'!CX59+'Scope 3 Yearly'!CX53*'Scope 3 Yearly'!CX63)*'Yearly HC Propylene'!F4</f>
        <v>111.33189754974822</v>
      </c>
      <c r="CY24" s="44">
        <f>('Scope 3 Yearly'!$EE$187*'Scope 3 Yearly'!CY60*(1-'Scope 3 Yearly'!$B$197)+'Scope 3 Yearly'!CY49*'Scope 3 Yearly'!CY59+'Scope 3 Yearly'!CY53*'Scope 3 Yearly'!CY63)*'Yearly HC Propylene'!G4</f>
        <v>113.65215544257084</v>
      </c>
      <c r="CZ24" s="44">
        <f>('Scope 3 Yearly'!$EE$187*'Scope 3 Yearly'!CZ60*(1-'Scope 3 Yearly'!$B$197)+'Scope 3 Yearly'!CZ49*'Scope 3 Yearly'!CZ59+'Scope 3 Yearly'!CZ53*'Scope 3 Yearly'!CZ63)*'Yearly HC Propylene'!H4</f>
        <v>116.05620871916652</v>
      </c>
      <c r="DA24" s="44">
        <f>('Scope 3 Yearly'!$EE$187*'Scope 3 Yearly'!DA60*(1-'Scope 3 Yearly'!$B$197)+'Scope 3 Yearly'!DA49*'Scope 3 Yearly'!DA59+'Scope 3 Yearly'!DA53*'Scope 3 Yearly'!DA63)*'Yearly HC Propylene'!I4</f>
        <v>118.54123781869001</v>
      </c>
      <c r="DB24" s="44">
        <f>('Scope 3 Yearly'!$EE$187*'Scope 3 Yearly'!DB60*(1-'Scope 3 Yearly'!$B$197)+'Scope 3 Yearly'!DB49*'Scope 3 Yearly'!DB59+'Scope 3 Yearly'!DB53*'Scope 3 Yearly'!DB63)*'Yearly HC Propylene'!J4</f>
        <v>120.88692164621455</v>
      </c>
      <c r="DC24" s="44">
        <f>('Scope 3 Yearly'!$EE$187*'Scope 3 Yearly'!DC60*(1-'Scope 3 Yearly'!$B$197)+'Scope 3 Yearly'!DC49*'Scope 3 Yearly'!DC59+'Scope 3 Yearly'!DC53*'Scope 3 Yearly'!DC63)*'Yearly HC Propylene'!K4</f>
        <v>123.27881765658452</v>
      </c>
      <c r="DD24" s="44">
        <f>('Scope 3 Yearly'!$EE$187*'Scope 3 Yearly'!DD60*(1-'Scope 3 Yearly'!$B$197)+'Scope 3 Yearly'!DD49*'Scope 3 Yearly'!DD59+'Scope 3 Yearly'!DD53*'Scope 3 Yearly'!DD63)*'Yearly HC Propylene'!L4</f>
        <v>125.68078339146211</v>
      </c>
      <c r="DE24" s="44">
        <f>('Scope 3 Yearly'!$EE$187*'Scope 3 Yearly'!DE60*(1-'Scope 3 Yearly'!$B$197)+'Scope 3 Yearly'!DE49*'Scope 3 Yearly'!DE59+'Scope 3 Yearly'!DE53*'Scope 3 Yearly'!DE63)*'Yearly HC Propylene'!M4</f>
        <v>128.02588064208118</v>
      </c>
      <c r="DF24" s="44">
        <f>('Scope 3 Yearly'!$EE$187*'Scope 3 Yearly'!DF60*(1-'Scope 3 Yearly'!$B$197)+'Scope 3 Yearly'!DF49*'Scope 3 Yearly'!DF59+'Scope 3 Yearly'!DF53*'Scope 3 Yearly'!DF63)*'Yearly HC Propylene'!N4</f>
        <v>130.19825610760705</v>
      </c>
      <c r="DG24" s="44">
        <f>('Scope 3 Yearly'!$EE$187*'Scope 3 Yearly'!DG60*(1-'Scope 3 Yearly'!$B$197)+'Scope 3 Yearly'!DG49*'Scope 3 Yearly'!DG59+'Scope 3 Yearly'!DG53*'Scope 3 Yearly'!DG63)*'Yearly HC Propylene'!O4</f>
        <v>130.28233838757274</v>
      </c>
      <c r="DH24" s="44">
        <f>('Scope 3 Yearly'!$EE$187*'Scope 3 Yearly'!DH60*(1-'Scope 3 Yearly'!$B$197)+'Scope 3 Yearly'!DH49*'Scope 3 Yearly'!DH59+'Scope 3 Yearly'!DH53*'Scope 3 Yearly'!DH63)*'Yearly HC Propylene'!P4</f>
        <v>129.7191995135901</v>
      </c>
      <c r="DI24" s="44">
        <f>('Scope 3 Yearly'!$EE$187*'Scope 3 Yearly'!DI60*(1-'Scope 3 Yearly'!$B$197)+'Scope 3 Yearly'!DI49*'Scope 3 Yearly'!DI59+'Scope 3 Yearly'!DI53*'Scope 3 Yearly'!DI63)*'Yearly HC Propylene'!Q4</f>
        <v>128.2226572480717</v>
      </c>
      <c r="DJ24" s="44">
        <f>('Scope 3 Yearly'!$EE$187*'Scope 3 Yearly'!DJ60*(1-'Scope 3 Yearly'!$B$197)+'Scope 3 Yearly'!DJ49*'Scope 3 Yearly'!DJ59+'Scope 3 Yearly'!DJ53*'Scope 3 Yearly'!DJ63)*'Yearly HC Propylene'!R4</f>
        <v>125.53942742144241</v>
      </c>
      <c r="DK24" s="44">
        <f>('Scope 3 Yearly'!$EE$187*'Scope 3 Yearly'!DK60*(1-'Scope 3 Yearly'!$B$197)+'Scope 3 Yearly'!DK49*'Scope 3 Yearly'!DK59+'Scope 3 Yearly'!DK53*'Scope 3 Yearly'!DK63)*'Yearly HC Propylene'!S4</f>
        <v>121.54470838671439</v>
      </c>
      <c r="DL24" s="44">
        <f>('Scope 3 Yearly'!$EE$187*'Scope 3 Yearly'!DL60*(1-'Scope 3 Yearly'!$B$197)+'Scope 3 Yearly'!DL49*'Scope 3 Yearly'!DL59+'Scope 3 Yearly'!DL53*'Scope 3 Yearly'!DL63)*'Yearly HC Propylene'!T4</f>
        <v>116.28867176298567</v>
      </c>
      <c r="DM24" s="44">
        <f>('Scope 3 Yearly'!$EE$187*'Scope 3 Yearly'!DM60*(1-'Scope 3 Yearly'!$B$197)+'Scope 3 Yearly'!DM49*'Scope 3 Yearly'!DM59+'Scope 3 Yearly'!DM53*'Scope 3 Yearly'!DM63)*'Yearly HC Propylene'!U4</f>
        <v>110.14811036353468</v>
      </c>
      <c r="DN24" s="44">
        <f>('Scope 3 Yearly'!$EE$187*'Scope 3 Yearly'!DN60*(1-'Scope 3 Yearly'!$B$197)+'Scope 3 Yearly'!DN49*'Scope 3 Yearly'!DN59+'Scope 3 Yearly'!DN53*'Scope 3 Yearly'!DN63)*'Yearly HC Propylene'!V4</f>
        <v>103.59183114227721</v>
      </c>
      <c r="DO24" s="44">
        <f>('Scope 3 Yearly'!$EE$187*'Scope 3 Yearly'!DO60*(1-'Scope 3 Yearly'!$B$197)+'Scope 3 Yearly'!DO49*'Scope 3 Yearly'!DO59+'Scope 3 Yearly'!DO53*'Scope 3 Yearly'!DO63)*'Yearly HC Propylene'!W4</f>
        <v>97.0907012970697</v>
      </c>
      <c r="DP24" s="44">
        <f>('Scope 3 Yearly'!$EE$187*'Scope 3 Yearly'!DP60*(1-'Scope 3 Yearly'!$B$197)+'Scope 3 Yearly'!DP49*'Scope 3 Yearly'!DP59+'Scope 3 Yearly'!DP53*'Scope 3 Yearly'!DP63)*'Yearly HC Propylene'!X4</f>
        <v>91.004916661433825</v>
      </c>
      <c r="DQ24" s="44">
        <f>('Scope 3 Yearly'!$EE$187*'Scope 3 Yearly'!DQ60*(1-'Scope 3 Yearly'!$B$197)+'Scope 3 Yearly'!DQ49*'Scope 3 Yearly'!DQ59+'Scope 3 Yearly'!DQ53*'Scope 3 Yearly'!DQ63)*'Yearly HC Propylene'!Y4</f>
        <v>84.920594158439314</v>
      </c>
      <c r="DR24" s="44">
        <f>('Scope 3 Yearly'!$EE$187*'Scope 3 Yearly'!DR60*(1-'Scope 3 Yearly'!$B$197)+'Scope 3 Yearly'!DR49*'Scope 3 Yearly'!DR59+'Scope 3 Yearly'!DR53*'Scope 3 Yearly'!DR63)*'Yearly HC Propylene'!Z4</f>
        <v>79.564642089593917</v>
      </c>
      <c r="DS24" s="44">
        <f>('Scope 3 Yearly'!$EE$187*'Scope 3 Yearly'!DS60*(1-'Scope 3 Yearly'!$B$197)+'Scope 3 Yearly'!DS49*'Scope 3 Yearly'!DS59+'Scope 3 Yearly'!DS53*'Scope 3 Yearly'!DS63)*'Yearly HC Propylene'!AA4</f>
        <v>74.889434163912441</v>
      </c>
      <c r="DT24" s="44">
        <f>('Scope 3 Yearly'!$EE$187*'Scope 3 Yearly'!DT60*(1-'Scope 3 Yearly'!$B$197)+'Scope 3 Yearly'!DT49*'Scope 3 Yearly'!DT59+'Scope 3 Yearly'!DT53*'Scope 3 Yearly'!DT63)*'Yearly HC Propylene'!AB4</f>
        <v>70.806790949755083</v>
      </c>
      <c r="DU24" s="44">
        <f>('Scope 3 Yearly'!$EE$187*'Scope 3 Yearly'!DU60*(1-'Scope 3 Yearly'!$B$197)+'Scope 3 Yearly'!DU49*'Scope 3 Yearly'!DU59+'Scope 3 Yearly'!DU53*'Scope 3 Yearly'!DU63)*'Yearly HC Propylene'!AC4</f>
        <v>67.208933003694753</v>
      </c>
      <c r="DV24" s="44">
        <f>('Scope 3 Yearly'!$EE$187*'Scope 3 Yearly'!DV60*(1-'Scope 3 Yearly'!$B$197)+'Scope 3 Yearly'!DV49*'Scope 3 Yearly'!DV59+'Scope 3 Yearly'!DV53*'Scope 3 Yearly'!DV63)*'Yearly HC Propylene'!AD4</f>
        <v>63.971531045859649</v>
      </c>
      <c r="DW24" s="44">
        <f>('Scope 3 Yearly'!$EE$187*'Scope 3 Yearly'!DW60*(1-'Scope 3 Yearly'!$B$197)+'Scope 3 Yearly'!DW49*'Scope 3 Yearly'!DW59+'Scope 3 Yearly'!DW53*'Scope 3 Yearly'!DW63)*'Yearly HC Propylene'!AE4</f>
        <v>61.02847001631261</v>
      </c>
      <c r="DX24" s="44">
        <f>('Scope 3 Yearly'!$EE$187*'Scope 3 Yearly'!DX60*(1-'Scope 3 Yearly'!$B$197)+'Scope 3 Yearly'!DX49*'Scope 3 Yearly'!DX59+'Scope 3 Yearly'!DX53*'Scope 3 Yearly'!DX63)*'Yearly HC Propylene'!AF4</f>
        <v>58.307056227075478</v>
      </c>
      <c r="DY24" s="44">
        <f>('Scope 3 Yearly'!$EE$187*'Scope 3 Yearly'!DY60*(1-'Scope 3 Yearly'!$B$197)+'Scope 3 Yearly'!DY49*'Scope 3 Yearly'!DY59+'Scope 3 Yearly'!DY53*'Scope 3 Yearly'!DY63)*'Yearly HC Propylene'!AG4</f>
        <v>55.744478745378274</v>
      </c>
      <c r="DZ24" s="44">
        <f>('Scope 3 Yearly'!$EE$187*'Scope 3 Yearly'!DZ60*(1-'Scope 3 Yearly'!$B$197)+'Scope 3 Yearly'!DZ49*'Scope 3 Yearly'!DZ59+'Scope 3 Yearly'!DZ53*'Scope 3 Yearly'!DZ63)*'Yearly HC Propylene'!AH4</f>
        <v>53.294242794010259</v>
      </c>
    </row>
    <row r="25" spans="1:165">
      <c r="A25" t="s">
        <v>6</v>
      </c>
      <c r="C25" s="54" t="s">
        <v>415</v>
      </c>
      <c r="D25" s="44">
        <f>('Scope 3 Yearly'!$EE$188*'Scope 3 Yearly'!D83*(1-'Scope 3 Yearly'!$B$197)+'Scope 3 Yearly'!D72*'Scope 3 Yearly'!D82+'Scope 3 Yearly'!D76*'Scope 3 Yearly'!D86)*'Yearly Methanol'!D122</f>
        <v>64.450337112102119</v>
      </c>
      <c r="E25" s="44">
        <f>('Scope 3 Yearly'!$EE$188*'Scope 3 Yearly'!E83*(1-'Scope 3 Yearly'!$B$197)+'Scope 3 Yearly'!E72*'Scope 3 Yearly'!E82+'Scope 3 Yearly'!E76*'Scope 3 Yearly'!E86)*'Yearly Methanol'!E122</f>
        <v>69.628283977982576</v>
      </c>
      <c r="F25" s="44">
        <f>('Scope 3 Yearly'!$EE$188*'Scope 3 Yearly'!F83*(1-'Scope 3 Yearly'!$B$197)+'Scope 3 Yearly'!F72*'Scope 3 Yearly'!F82+'Scope 3 Yearly'!F76*'Scope 3 Yearly'!F86)*'Yearly Methanol'!F122</f>
        <v>72.850806568517129</v>
      </c>
      <c r="G25" s="44">
        <f>('Scope 3 Yearly'!$EE$188*'Scope 3 Yearly'!G83*(1-'Scope 3 Yearly'!$B$197)+'Scope 3 Yearly'!G72*'Scope 3 Yearly'!G82+'Scope 3 Yearly'!G76*'Scope 3 Yearly'!G86)*'Yearly Methanol'!G122</f>
        <v>76.030339108895674</v>
      </c>
      <c r="H25" s="44">
        <f>('Scope 3 Yearly'!$EE$188*'Scope 3 Yearly'!H83*(1-'Scope 3 Yearly'!$B$197)+'Scope 3 Yearly'!H72*'Scope 3 Yearly'!H82+'Scope 3 Yearly'!H76*'Scope 3 Yearly'!H86)*'Yearly Methanol'!H122</f>
        <v>79.166305141832424</v>
      </c>
      <c r="I25" s="44">
        <f>('Scope 3 Yearly'!$EE$188*'Scope 3 Yearly'!I83*(1-'Scope 3 Yearly'!$B$197)+'Scope 3 Yearly'!I72*'Scope 3 Yearly'!I82+'Scope 3 Yearly'!I76*'Scope 3 Yearly'!I86)*'Yearly Methanol'!I122</f>
        <v>82.268267269491304</v>
      </c>
      <c r="J25" s="44">
        <f>('Scope 3 Yearly'!$EE$188*'Scope 3 Yearly'!J83*(1-'Scope 3 Yearly'!$B$197)+'Scope 3 Yearly'!J72*'Scope 3 Yearly'!J82+'Scope 3 Yearly'!J76*'Scope 3 Yearly'!J86)*'Yearly Methanol'!J122</f>
        <v>85.309309096355506</v>
      </c>
      <c r="K25" s="44">
        <f>('Scope 3 Yearly'!$EE$188*'Scope 3 Yearly'!K83*(1-'Scope 3 Yearly'!$B$197)+'Scope 3 Yearly'!K72*'Scope 3 Yearly'!K82+'Scope 3 Yearly'!K76*'Scope 3 Yearly'!K86)*'Yearly Methanol'!K122</f>
        <v>88.283120230294003</v>
      </c>
      <c r="L25" s="44">
        <f>('Scope 3 Yearly'!$EE$188*'Scope 3 Yearly'!L83*(1-'Scope 3 Yearly'!$B$197)+'Scope 3 Yearly'!L72*'Scope 3 Yearly'!L82+'Scope 3 Yearly'!L76*'Scope 3 Yearly'!L86)*'Yearly Methanol'!L122</f>
        <v>91.163928400368192</v>
      </c>
      <c r="M25" s="44">
        <f>('Scope 3 Yearly'!$EE$188*'Scope 3 Yearly'!M83*(1-'Scope 3 Yearly'!$B$197)+'Scope 3 Yearly'!M72*'Scope 3 Yearly'!M82+'Scope 3 Yearly'!M76*'Scope 3 Yearly'!M86)*'Yearly Methanol'!M122</f>
        <v>93.904574517037474</v>
      </c>
      <c r="N25" s="44">
        <f>('Scope 3 Yearly'!$EE$188*'Scope 3 Yearly'!N83*(1-'Scope 3 Yearly'!$B$197)+'Scope 3 Yearly'!N72*'Scope 3 Yearly'!N82+'Scope 3 Yearly'!N76*'Scope 3 Yearly'!N86)*'Yearly Methanol'!N122</f>
        <v>96.423885453014194</v>
      </c>
      <c r="O25" s="44">
        <f>('Scope 3 Yearly'!$EE$188*'Scope 3 Yearly'!O83*(1-'Scope 3 Yearly'!$B$197)+'Scope 3 Yearly'!O72*'Scope 3 Yearly'!O82+'Scope 3 Yearly'!O76*'Scope 3 Yearly'!O86)*'Yearly Methanol'!O122</f>
        <v>94.886009287562729</v>
      </c>
      <c r="P25" s="44">
        <f>('Scope 3 Yearly'!$EE$188*'Scope 3 Yearly'!P83*(1-'Scope 3 Yearly'!$B$197)+'Scope 3 Yearly'!P72*'Scope 3 Yearly'!P82+'Scope 3 Yearly'!P76*'Scope 3 Yearly'!P86)*'Yearly Methanol'!P122</f>
        <v>92.877494842745477</v>
      </c>
      <c r="Q25" s="44">
        <f>('Scope 3 Yearly'!$EE$188*'Scope 3 Yearly'!Q83*(1-'Scope 3 Yearly'!$B$197)+'Scope 3 Yearly'!Q72*'Scope 3 Yearly'!Q82+'Scope 3 Yearly'!Q76*'Scope 3 Yearly'!Q86)*'Yearly Methanol'!Q122</f>
        <v>90.249325410540365</v>
      </c>
      <c r="R25" s="44">
        <f>('Scope 3 Yearly'!$EE$188*'Scope 3 Yearly'!R83*(1-'Scope 3 Yearly'!$B$197)+'Scope 3 Yearly'!R72*'Scope 3 Yearly'!R82+'Scope 3 Yearly'!R76*'Scope 3 Yearly'!R86)*'Yearly Methanol'!R122</f>
        <v>86.886620657318687</v>
      </c>
      <c r="S25" s="44">
        <f>('Scope 3 Yearly'!$EE$188*'Scope 3 Yearly'!S83*(1-'Scope 3 Yearly'!$B$197)+'Scope 3 Yearly'!S72*'Scope 3 Yearly'!S82+'Scope 3 Yearly'!S76*'Scope 3 Yearly'!S86)*'Yearly Methanol'!S122</f>
        <v>82.771353991226178</v>
      </c>
      <c r="T25" s="44">
        <f>('Scope 3 Yearly'!$EE$188*'Scope 3 Yearly'!T83*(1-'Scope 3 Yearly'!$B$197)+'Scope 3 Yearly'!T72*'Scope 3 Yearly'!T82+'Scope 3 Yearly'!T76*'Scope 3 Yearly'!T86)*'Yearly Methanol'!T122</f>
        <v>77.872351337017051</v>
      </c>
      <c r="U25" s="44">
        <f>('Scope 3 Yearly'!$EE$188*'Scope 3 Yearly'!U83*(1-'Scope 3 Yearly'!$B$197)+'Scope 3 Yearly'!U72*'Scope 3 Yearly'!U82+'Scope 3 Yearly'!U76*'Scope 3 Yearly'!U86)*'Yearly Methanol'!U122</f>
        <v>72.602228727052733</v>
      </c>
      <c r="V25" s="44">
        <f>('Scope 3 Yearly'!$EE$188*'Scope 3 Yearly'!V83*(1-'Scope 3 Yearly'!$B$197)+'Scope 3 Yearly'!V72*'Scope 3 Yearly'!V82+'Scope 3 Yearly'!V76*'Scope 3 Yearly'!V86)*'Yearly Methanol'!V122</f>
        <v>67.264269510758439</v>
      </c>
      <c r="W25" s="44">
        <f>('Scope 3 Yearly'!$EE$188*'Scope 3 Yearly'!W83*(1-'Scope 3 Yearly'!$B$197)+'Scope 3 Yearly'!W72*'Scope 3 Yearly'!W82+'Scope 3 Yearly'!W76*'Scope 3 Yearly'!W86)*'Yearly Methanol'!W122</f>
        <v>62.129138318655933</v>
      </c>
      <c r="X25" s="44">
        <f>('Scope 3 Yearly'!$EE$188*'Scope 3 Yearly'!X83*(1-'Scope 3 Yearly'!$B$197)+'Scope 3 Yearly'!X72*'Scope 3 Yearly'!X82+'Scope 3 Yearly'!X76*'Scope 3 Yearly'!X86)*'Yearly Methanol'!X122</f>
        <v>57.377440828356505</v>
      </c>
      <c r="Y25" s="44">
        <f>('Scope 3 Yearly'!$EE$188*'Scope 3 Yearly'!Y83*(1-'Scope 3 Yearly'!$B$197)+'Scope 3 Yearly'!Y72*'Scope 3 Yearly'!Y82+'Scope 3 Yearly'!Y76*'Scope 3 Yearly'!Y86)*'Yearly Methanol'!Y122</f>
        <v>53.032303281657079</v>
      </c>
      <c r="Z25" s="44">
        <f>('Scope 3 Yearly'!$EE$188*'Scope 3 Yearly'!Z83*(1-'Scope 3 Yearly'!$B$197)+'Scope 3 Yearly'!Z72*'Scope 3 Yearly'!Z82+'Scope 3 Yearly'!Z76*'Scope 3 Yearly'!Z86)*'Yearly Methanol'!Z122</f>
        <v>49.174252822108478</v>
      </c>
      <c r="AA25" s="44">
        <f>('Scope 3 Yearly'!$EE$188*'Scope 3 Yearly'!AA83*(1-'Scope 3 Yearly'!$B$197)+'Scope 3 Yearly'!AA72*'Scope 3 Yearly'!AA82+'Scope 3 Yearly'!AA76*'Scope 3 Yearly'!AA86)*'Yearly Methanol'!AA122</f>
        <v>45.751527028249079</v>
      </c>
      <c r="AB25" s="44">
        <f>('Scope 3 Yearly'!$EE$188*'Scope 3 Yearly'!AB83*(1-'Scope 3 Yearly'!$B$197)+'Scope 3 Yearly'!AB72*'Scope 3 Yearly'!AB82+'Scope 3 Yearly'!AB76*'Scope 3 Yearly'!AB86)*'Yearly Methanol'!AB122</f>
        <v>42.694173210803044</v>
      </c>
      <c r="AC25" s="44">
        <f>('Scope 3 Yearly'!$EE$188*'Scope 3 Yearly'!AC83*(1-'Scope 3 Yearly'!$B$197)+'Scope 3 Yearly'!AC72*'Scope 3 Yearly'!AC82+'Scope 3 Yearly'!AC76*'Scope 3 Yearly'!AC86)*'Yearly Methanol'!AC122</f>
        <v>39.931244823164121</v>
      </c>
      <c r="AD25" s="44">
        <f>('Scope 3 Yearly'!$EE$188*'Scope 3 Yearly'!AD83*(1-'Scope 3 Yearly'!$B$197)+'Scope 3 Yearly'!AD72*'Scope 3 Yearly'!AD82+'Scope 3 Yearly'!AD76*'Scope 3 Yearly'!AD86)*'Yearly Methanol'!AD122</f>
        <v>37.399964246682281</v>
      </c>
      <c r="AE25" s="44">
        <f>('Scope 3 Yearly'!$EE$188*'Scope 3 Yearly'!AE83*(1-'Scope 3 Yearly'!$B$197)+'Scope 3 Yearly'!AE72*'Scope 3 Yearly'!AE82+'Scope 3 Yearly'!AE76*'Scope 3 Yearly'!AE86)*'Yearly Methanol'!AE122</f>
        <v>35.049109864348033</v>
      </c>
      <c r="AF25" s="44">
        <f>('Scope 3 Yearly'!$EE$188*'Scope 3 Yearly'!AF83*(1-'Scope 3 Yearly'!$B$197)+'Scope 3 Yearly'!AF72*'Scope 3 Yearly'!AF82+'Scope 3 Yearly'!AF76*'Scope 3 Yearly'!AF86)*'Yearly Methanol'!AF122</f>
        <v>32.839314597681259</v>
      </c>
      <c r="AG25" s="44">
        <f>('Scope 3 Yearly'!$EE$188*'Scope 3 Yearly'!AG83*(1-'Scope 3 Yearly'!$B$197)+'Scope 3 Yearly'!AG72*'Scope 3 Yearly'!AG82+'Scope 3 Yearly'!AG76*'Scope 3 Yearly'!AG86)*'Yearly Methanol'!AG122</f>
        <v>30.742059912960642</v>
      </c>
      <c r="AH25" s="44">
        <f>('Scope 3 Yearly'!$EE$188*'Scope 3 Yearly'!AH83*(1-'Scope 3 Yearly'!$B$197)+'Scope 3 Yearly'!AH72*'Scope 3 Yearly'!AH82+'Scope 3 Yearly'!AH76*'Scope 3 Yearly'!AH86)*'Yearly Methanol'!AH122</f>
        <v>28.738111016734095</v>
      </c>
      <c r="AI25" s="44"/>
      <c r="AJ25" s="44">
        <f>('Scope 3 Yearly'!$EE$188*'Scope 3 Yearly'!AJ83*(1-'Scope 3 Yearly'!$B$197)+'Scope 3 Yearly'!AJ72*'Scope 3 Yearly'!AJ82+'Scope 3 Yearly'!AJ76*'Scope 3 Yearly'!AJ86)*'Yearly Methanol'!AJ122</f>
        <v>64.450343034571361</v>
      </c>
      <c r="AK25" s="44">
        <f>('Scope 3 Yearly'!$EE$188*'Scope 3 Yearly'!AK83*(1-'Scope 3 Yearly'!$B$197)+'Scope 3 Yearly'!AK72*'Scope 3 Yearly'!AK82+'Scope 3 Yearly'!AK76*'Scope 3 Yearly'!AK86)*'Yearly Methanol'!AK122</f>
        <v>67.700159762565988</v>
      </c>
      <c r="AL25" s="44">
        <f>('Scope 3 Yearly'!$EE$188*'Scope 3 Yearly'!AL83*(1-'Scope 3 Yearly'!$B$197)+'Scope 3 Yearly'!AL72*'Scope 3 Yearly'!AL82+'Scope 3 Yearly'!AL76*'Scope 3 Yearly'!AL86)*'Yearly Methanol'!AL122</f>
        <v>70.844492111936177</v>
      </c>
      <c r="AM25" s="44">
        <f>('Scope 3 Yearly'!$EE$188*'Scope 3 Yearly'!AM83*(1-'Scope 3 Yearly'!$B$197)+'Scope 3 Yearly'!AM72*'Scope 3 Yearly'!AM82+'Scope 3 Yearly'!AM76*'Scope 3 Yearly'!AM86)*'Yearly Methanol'!AM122</f>
        <v>73.953940624902231</v>
      </c>
      <c r="AN25" s="44">
        <f>('Scope 3 Yearly'!$EE$188*'Scope 3 Yearly'!AN83*(1-'Scope 3 Yearly'!$B$197)+'Scope 3 Yearly'!AN72*'Scope 3 Yearly'!AN82+'Scope 3 Yearly'!AN76*'Scope 3 Yearly'!AN86)*'Yearly Methanol'!AN122</f>
        <v>77.02885574942789</v>
      </c>
      <c r="AO25" s="44">
        <f>('Scope 3 Yearly'!$EE$188*'Scope 3 Yearly'!AO83*(1-'Scope 3 Yearly'!$B$197)+'Scope 3 Yearly'!AO72*'Scope 3 Yearly'!AO82+'Scope 3 Yearly'!AO76*'Scope 3 Yearly'!AO86)*'Yearly Methanol'!AO122</f>
        <v>80.079507328014785</v>
      </c>
      <c r="AP25" s="44">
        <f>('Scope 3 Yearly'!$EE$188*'Scope 3 Yearly'!AP83*(1-'Scope 3 Yearly'!$B$197)+'Scope 3 Yearly'!AP72*'Scope 3 Yearly'!AP82+'Scope 3 Yearly'!AP76*'Scope 3 Yearly'!AP86)*'Yearly Methanol'!AP122</f>
        <v>83.080749948008247</v>
      </c>
      <c r="AQ25" s="44">
        <f>('Scope 3 Yearly'!$EE$188*'Scope 3 Yearly'!AQ83*(1-'Scope 3 Yearly'!$B$197)+'Scope 3 Yearly'!AQ72*'Scope 3 Yearly'!AQ82+'Scope 3 Yearly'!AQ76*'Scope 3 Yearly'!AQ86)*'Yearly Methanol'!AQ122</f>
        <v>86.027631490857331</v>
      </c>
      <c r="AR25" s="44">
        <f>('Scope 3 Yearly'!$EE$188*'Scope 3 Yearly'!AR83*(1-'Scope 3 Yearly'!$B$197)+'Scope 3 Yearly'!AR72*'Scope 3 Yearly'!AR82+'Scope 3 Yearly'!AR76*'Scope 3 Yearly'!AR86)*'Yearly Methanol'!AR122</f>
        <v>88.896504676537162</v>
      </c>
      <c r="AS25" s="44">
        <f>('Scope 3 Yearly'!$EE$188*'Scope 3 Yearly'!AS83*(1-'Scope 3 Yearly'!$B$197)+'Scope 3 Yearly'!AS72*'Scope 3 Yearly'!AS82+'Scope 3 Yearly'!AS76*'Scope 3 Yearly'!AS86)*'Yearly Methanol'!AS122</f>
        <v>91.643289878676669</v>
      </c>
      <c r="AT25" s="44">
        <f>('Scope 3 Yearly'!$EE$188*'Scope 3 Yearly'!AT83*(1-'Scope 3 Yearly'!$B$197)+'Scope 3 Yearly'!AT72*'Scope 3 Yearly'!AT82+'Scope 3 Yearly'!AT76*'Scope 3 Yearly'!AT86)*'Yearly Methanol'!AT122</f>
        <v>94.191399507034404</v>
      </c>
      <c r="AU25" s="44">
        <f>('Scope 3 Yearly'!$EE$188*'Scope 3 Yearly'!AU83*(1-'Scope 3 Yearly'!$B$197)+'Scope 3 Yearly'!AU72*'Scope 3 Yearly'!AU82+'Scope 3 Yearly'!AU76*'Scope 3 Yearly'!AU86)*'Yearly Methanol'!AU122</f>
        <v>92.625162525898233</v>
      </c>
      <c r="AV25" s="44">
        <f>('Scope 3 Yearly'!$EE$188*'Scope 3 Yearly'!AV83*(1-'Scope 3 Yearly'!$B$197)+'Scope 3 Yearly'!AV72*'Scope 3 Yearly'!AV82+'Scope 3 Yearly'!AV76*'Scope 3 Yearly'!AV86)*'Yearly Methanol'!AV122</f>
        <v>90.621063177964004</v>
      </c>
      <c r="AW25" s="44">
        <f>('Scope 3 Yearly'!$EE$188*'Scope 3 Yearly'!AW83*(1-'Scope 3 Yearly'!$B$197)+'Scope 3 Yearly'!AW72*'Scope 3 Yearly'!AW82+'Scope 3 Yearly'!AW76*'Scope 3 Yearly'!AW86)*'Yearly Methanol'!AW122</f>
        <v>88.037046648065797</v>
      </c>
      <c r="AX25" s="44">
        <f>('Scope 3 Yearly'!$EE$188*'Scope 3 Yearly'!AX83*(1-'Scope 3 Yearly'!$B$197)+'Scope 3 Yearly'!AX72*'Scope 3 Yearly'!AX82+'Scope 3 Yearly'!AX76*'Scope 3 Yearly'!AX86)*'Yearly Methanol'!AX122</f>
        <v>84.761510837971159</v>
      </c>
      <c r="AY25" s="44">
        <f>('Scope 3 Yearly'!$EE$188*'Scope 3 Yearly'!AY83*(1-'Scope 3 Yearly'!$B$197)+'Scope 3 Yearly'!AY72*'Scope 3 Yearly'!AY82+'Scope 3 Yearly'!AY76*'Scope 3 Yearly'!AY86)*'Yearly Methanol'!AY122</f>
        <v>80.773142332317846</v>
      </c>
      <c r="AZ25" s="44">
        <f>('Scope 3 Yearly'!$EE$188*'Scope 3 Yearly'!AZ83*(1-'Scope 3 Yearly'!$B$197)+'Scope 3 Yearly'!AZ72*'Scope 3 Yearly'!AZ82+'Scope 3 Yearly'!AZ76*'Scope 3 Yearly'!AZ86)*'Yearly Methanol'!AZ122</f>
        <v>76.033047789308497</v>
      </c>
      <c r="BA25" s="44">
        <f>('Scope 3 Yearly'!$EE$188*'Scope 3 Yearly'!BA83*(1-'Scope 3 Yearly'!$B$197)+'Scope 3 Yearly'!BA72*'Scope 3 Yearly'!BA82+'Scope 3 Yearly'!BA76*'Scope 3 Yearly'!BA86)*'Yearly Methanol'!BA122</f>
        <v>70.933412922203544</v>
      </c>
      <c r="BB25" s="44">
        <f>('Scope 3 Yearly'!$EE$188*'Scope 3 Yearly'!BB83*(1-'Scope 3 Yearly'!$B$197)+'Scope 3 Yearly'!BB72*'Scope 3 Yearly'!BB82+'Scope 3 Yearly'!BB76*'Scope 3 Yearly'!BB86)*'Yearly Methanol'!BB122</f>
        <v>65.762130783646725</v>
      </c>
      <c r="BC25" s="44">
        <f>('Scope 3 Yearly'!$EE$188*'Scope 3 Yearly'!BC83*(1-'Scope 3 Yearly'!$B$197)+'Scope 3 Yearly'!BC72*'Scope 3 Yearly'!BC82+'Scope 3 Yearly'!BC76*'Scope 3 Yearly'!BC86)*'Yearly Methanol'!BC122</f>
        <v>60.780215238420453</v>
      </c>
      <c r="BD25" s="44">
        <f>('Scope 3 Yearly'!$EE$188*'Scope 3 Yearly'!BD83*(1-'Scope 3 Yearly'!$B$197)+'Scope 3 Yearly'!BD72*'Scope 3 Yearly'!BD82+'Scope 3 Yearly'!BD76*'Scope 3 Yearly'!BD86)*'Yearly Methanol'!BD122</f>
        <v>56.165357152384402</v>
      </c>
      <c r="BE25" s="44">
        <f>('Scope 3 Yearly'!$EE$188*'Scope 3 Yearly'!BE83*(1-'Scope 3 Yearly'!$B$197)+'Scope 3 Yearly'!BE72*'Scope 3 Yearly'!BE82+'Scope 3 Yearly'!BE76*'Scope 3 Yearly'!BE86)*'Yearly Methanol'!BE122</f>
        <v>51.814967475200625</v>
      </c>
      <c r="BF25" s="44">
        <f>('Scope 3 Yearly'!$EE$188*'Scope 3 Yearly'!BF83*(1-'Scope 3 Yearly'!$B$197)+'Scope 3 Yearly'!BF72*'Scope 3 Yearly'!BF82+'Scope 3 Yearly'!BF76*'Scope 3 Yearly'!BF86)*'Yearly Methanol'!BF122</f>
        <v>47.957249366830219</v>
      </c>
      <c r="BG25" s="44">
        <f>('Scope 3 Yearly'!$EE$188*'Scope 3 Yearly'!BG83*(1-'Scope 3 Yearly'!$B$197)+'Scope 3 Yearly'!BG72*'Scope 3 Yearly'!BG82+'Scope 3 Yearly'!BG76*'Scope 3 Yearly'!BG86)*'Yearly Methanol'!BG122</f>
        <v>44.542189660422707</v>
      </c>
      <c r="BH25" s="44">
        <f>('Scope 3 Yearly'!$EE$188*'Scope 3 Yearly'!BH83*(1-'Scope 3 Yearly'!$B$197)+'Scope 3 Yearly'!BH72*'Scope 3 Yearly'!BH82+'Scope 3 Yearly'!BH76*'Scope 3 Yearly'!BH86)*'Yearly Methanol'!BH122</f>
        <v>41.500824174558581</v>
      </c>
      <c r="BI25" s="44">
        <f>('Scope 3 Yearly'!$EE$188*'Scope 3 Yearly'!BI83*(1-'Scope 3 Yearly'!$B$197)+'Scope 3 Yearly'!BI72*'Scope 3 Yearly'!BI82+'Scope 3 Yearly'!BI76*'Scope 3 Yearly'!BI86)*'Yearly Methanol'!BI122</f>
        <v>38.763063357731347</v>
      </c>
      <c r="BJ25" s="44">
        <f>('Scope 3 Yearly'!$EE$188*'Scope 3 Yearly'!BJ83*(1-'Scope 3 Yearly'!$B$197)+'Scope 3 Yearly'!BJ72*'Scope 3 Yearly'!BJ82+'Scope 3 Yearly'!BJ76*'Scope 3 Yearly'!BJ86)*'Yearly Methanol'!BJ122</f>
        <v>36.266688351204976</v>
      </c>
      <c r="BK25" s="44">
        <f>('Scope 3 Yearly'!$EE$188*'Scope 3 Yearly'!BK83*(1-'Scope 3 Yearly'!$B$197)+'Scope 3 Yearly'!BK72*'Scope 3 Yearly'!BK82+'Scope 3 Yearly'!BK76*'Scope 3 Yearly'!BK86)*'Yearly Methanol'!BK122</f>
        <v>33.956717875763587</v>
      </c>
      <c r="BL25" s="44">
        <f>('Scope 3 Yearly'!$EE$188*'Scope 3 Yearly'!BL83*(1-'Scope 3 Yearly'!$B$197)+'Scope 3 Yearly'!BL72*'Scope 3 Yearly'!BL82+'Scope 3 Yearly'!BL76*'Scope 3 Yearly'!BL86)*'Yearly Methanol'!BL122</f>
        <v>31.796152528211181</v>
      </c>
      <c r="BM25" s="44">
        <f>('Scope 3 Yearly'!$EE$188*'Scope 3 Yearly'!BM83*(1-'Scope 3 Yearly'!$B$197)+'Scope 3 Yearly'!BM72*'Scope 3 Yearly'!BM82+'Scope 3 Yearly'!BM76*'Scope 3 Yearly'!BM86)*'Yearly Methanol'!BM122</f>
        <v>29.7571661110963</v>
      </c>
      <c r="BN25" s="44">
        <f>('Scope 3 Yearly'!$EE$188*'Scope 3 Yearly'!BN83*(1-'Scope 3 Yearly'!$B$197)+'Scope 3 Yearly'!BN72*'Scope 3 Yearly'!BN82+'Scope 3 Yearly'!BN76*'Scope 3 Yearly'!BN86)*'Yearly Methanol'!BN122</f>
        <v>27.818714842616632</v>
      </c>
      <c r="BO25" s="44"/>
      <c r="BP25" s="44">
        <f>('Scope 3 Yearly'!$EE$188*'Scope 3 Yearly'!BP83*(1-'Scope 3 Yearly'!$B$197)+'Scope 3 Yearly'!BP72*'Scope 3 Yearly'!BP82+'Scope 3 Yearly'!BP76*'Scope 3 Yearly'!BP86)*'Yearly Methanol'!D6</f>
        <v>64.450934896193118</v>
      </c>
      <c r="BQ25" s="44">
        <f>('Scope 3 Yearly'!$EE$188*'Scope 3 Yearly'!BQ83*(1-'Scope 3 Yearly'!$B$197)+'Scope 3 Yearly'!BQ72*'Scope 3 Yearly'!BQ82+'Scope 3 Yearly'!BQ76*'Scope 3 Yearly'!BQ86)*'Yearly Methanol'!E6</f>
        <v>69.404572436454359</v>
      </c>
      <c r="BR25" s="44">
        <f>('Scope 3 Yearly'!$EE$188*'Scope 3 Yearly'!BR83*(1-'Scope 3 Yearly'!$B$197)+'Scope 3 Yearly'!BR72*'Scope 3 Yearly'!BR82+'Scope 3 Yearly'!BR76*'Scope 3 Yearly'!BR86)*'Yearly Methanol'!F6</f>
        <v>74.448989356094216</v>
      </c>
      <c r="BS25" s="44">
        <f>('Scope 3 Yearly'!$EE$188*'Scope 3 Yearly'!BS83*(1-'Scope 3 Yearly'!$B$197)+'Scope 3 Yearly'!BS72*'Scope 3 Yearly'!BS82+'Scope 3 Yearly'!BS76*'Scope 3 Yearly'!BS86)*'Yearly Methanol'!G6</f>
        <v>79.581196270274376</v>
      </c>
      <c r="BT25" s="44">
        <f>('Scope 3 Yearly'!$EE$188*'Scope 3 Yearly'!BT83*(1-'Scope 3 Yearly'!$B$197)+'Scope 3 Yearly'!BT72*'Scope 3 Yearly'!BT82+'Scope 3 Yearly'!BT76*'Scope 3 Yearly'!BT86)*'Yearly Methanol'!H6</f>
        <v>84.798075054710495</v>
      </c>
      <c r="BU25" s="44">
        <f>('Scope 3 Yearly'!$EE$188*'Scope 3 Yearly'!BU83*(1-'Scope 3 Yearly'!$B$197)+'Scope 3 Yearly'!BU72*'Scope 3 Yearly'!BU82+'Scope 3 Yearly'!BU76*'Scope 3 Yearly'!BU86)*'Yearly Methanol'!I6</f>
        <v>90.096340171457214</v>
      </c>
      <c r="BV25" s="44">
        <f>('Scope 3 Yearly'!$EE$188*'Scope 3 Yearly'!BV83*(1-'Scope 3 Yearly'!$B$197)+'Scope 3 Yearly'!BV72*'Scope 3 Yearly'!BV82+'Scope 3 Yearly'!BV76*'Scope 3 Yearly'!BV86)*'Yearly Methanol'!J6</f>
        <v>95.492450334677301</v>
      </c>
      <c r="BW25" s="44">
        <f>('Scope 3 Yearly'!$EE$188*'Scope 3 Yearly'!BW83*(1-'Scope 3 Yearly'!$B$197)+'Scope 3 Yearly'!BW72*'Scope 3 Yearly'!BW82+'Scope 3 Yearly'!BW76*'Scope 3 Yearly'!BW86)*'Yearly Methanol'!K6</f>
        <v>100.98586683672329</v>
      </c>
      <c r="BX25" s="44">
        <f>('Scope 3 Yearly'!$EE$188*'Scope 3 Yearly'!BX83*(1-'Scope 3 Yearly'!$B$197)+'Scope 3 Yearly'!BX72*'Scope 3 Yearly'!BX82+'Scope 3 Yearly'!BX76*'Scope 3 Yearly'!BX86)*'Yearly Methanol'!L6</f>
        <v>106.57603173402376</v>
      </c>
      <c r="BY25" s="44">
        <f>('Scope 3 Yearly'!$EE$188*'Scope 3 Yearly'!BY83*(1-'Scope 3 Yearly'!$B$197)+'Scope 3 Yearly'!BY72*'Scope 3 Yearly'!BY82+'Scope 3 Yearly'!BY76*'Scope 3 Yearly'!BY86)*'Yearly Methanol'!M6</f>
        <v>112.26236678022383</v>
      </c>
      <c r="BZ25" s="44">
        <f>('Scope 3 Yearly'!$EE$188*'Scope 3 Yearly'!BZ83*(1-'Scope 3 Yearly'!$B$197)+'Scope 3 Yearly'!BZ72*'Scope 3 Yearly'!BZ82+'Scope 3 Yearly'!BZ76*'Scope 3 Yearly'!BZ86)*'Yearly Methanol'!N6</f>
        <v>118.04427229040286</v>
      </c>
      <c r="CA25" s="44">
        <f>('Scope 3 Yearly'!$EE$188*'Scope 3 Yearly'!CA83*(1-'Scope 3 Yearly'!$B$197)+'Scope 3 Yearly'!CA72*'Scope 3 Yearly'!CA82+'Scope 3 Yearly'!CA76*'Scope 3 Yearly'!CA86)*'Yearly Methanol'!O6</f>
        <v>121.12569117277748</v>
      </c>
      <c r="CB25" s="44">
        <f>('Scope 3 Yearly'!$EE$188*'Scope 3 Yearly'!CB83*(1-'Scope 3 Yearly'!$B$197)+'Scope 3 Yearly'!CB72*'Scope 3 Yearly'!CB82+'Scope 3 Yearly'!CB76*'Scope 3 Yearly'!CB86)*'Yearly Methanol'!P6</f>
        <v>124.22382258881531</v>
      </c>
      <c r="CC25" s="44">
        <f>('Scope 3 Yearly'!$EE$188*'Scope 3 Yearly'!CC83*(1-'Scope 3 Yearly'!$B$197)+'Scope 3 Yearly'!CC72*'Scope 3 Yearly'!CC82+'Scope 3 Yearly'!CC76*'Scope 3 Yearly'!CC86)*'Yearly Methanol'!Q6</f>
        <v>127.33693875758944</v>
      </c>
      <c r="CD25" s="44">
        <f>('Scope 3 Yearly'!$EE$188*'Scope 3 Yearly'!CD83*(1-'Scope 3 Yearly'!$B$197)+'Scope 3 Yearly'!CD72*'Scope 3 Yearly'!CD82+'Scope 3 Yearly'!CD76*'Scope 3 Yearly'!CD86)*'Yearly Methanol'!R6</f>
        <v>130.46313088457615</v>
      </c>
      <c r="CE25" s="44">
        <f>('Scope 3 Yearly'!$EE$188*'Scope 3 Yearly'!CE83*(1-'Scope 3 Yearly'!$B$197)+'Scope 3 Yearly'!CE72*'Scope 3 Yearly'!CE82+'Scope 3 Yearly'!CE76*'Scope 3 Yearly'!CE86)*'Yearly Methanol'!S6</f>
        <v>133.60029009521918</v>
      </c>
      <c r="CF25" s="44">
        <f>('Scope 3 Yearly'!$EE$188*'Scope 3 Yearly'!CF83*(1-'Scope 3 Yearly'!$B$197)+'Scope 3 Yearly'!CF72*'Scope 3 Yearly'!CF82+'Scope 3 Yearly'!CF76*'Scope 3 Yearly'!CF86)*'Yearly Methanol'!T6</f>
        <v>136.55232724920933</v>
      </c>
      <c r="CG25" s="44">
        <f>('Scope 3 Yearly'!$EE$188*'Scope 3 Yearly'!CG83*(1-'Scope 3 Yearly'!$B$197)+'Scope 3 Yearly'!CG72*'Scope 3 Yearly'!CG82+'Scope 3 Yearly'!CG76*'Scope 3 Yearly'!CG86)*'Yearly Methanol'!U6</f>
        <v>139.53250810467932</v>
      </c>
      <c r="CH25" s="44">
        <f>('Scope 3 Yearly'!$EE$188*'Scope 3 Yearly'!CH83*(1-'Scope 3 Yearly'!$B$197)+'Scope 3 Yearly'!CH72*'Scope 3 Yearly'!CH82+'Scope 3 Yearly'!CH76*'Scope 3 Yearly'!CH86)*'Yearly Methanol'!V6</f>
        <v>142.54061290006265</v>
      </c>
      <c r="CI25" s="44">
        <f>('Scope 3 Yearly'!$EE$188*'Scope 3 Yearly'!CI83*(1-'Scope 3 Yearly'!$B$197)+'Scope 3 Yearly'!CI72*'Scope 3 Yearly'!CI82+'Scope 3 Yearly'!CI76*'Scope 3 Yearly'!CI86)*'Yearly Methanol'!W6</f>
        <v>145.57641536400615</v>
      </c>
      <c r="CJ25" s="44">
        <f>('Scope 3 Yearly'!$EE$188*'Scope 3 Yearly'!CJ83*(1-'Scope 3 Yearly'!$B$197)+'Scope 3 Yearly'!CJ72*'Scope 3 Yearly'!CJ82+'Scope 3 Yearly'!CJ76*'Scope 3 Yearly'!CJ86)*'Yearly Methanol'!X6</f>
        <v>148.63968252128507</v>
      </c>
      <c r="CK25" s="44">
        <f>('Scope 3 Yearly'!$EE$188*'Scope 3 Yearly'!CK83*(1-'Scope 3 Yearly'!$B$197)+'Scope 3 Yearly'!CK72*'Scope 3 Yearly'!CK82+'Scope 3 Yearly'!CK76*'Scope 3 Yearly'!CK86)*'Yearly Methanol'!Y6</f>
        <v>151.27482984189902</v>
      </c>
      <c r="CL25" s="44">
        <f>('Scope 3 Yearly'!$EE$188*'Scope 3 Yearly'!CL83*(1-'Scope 3 Yearly'!$B$197)+'Scope 3 Yearly'!CL72*'Scope 3 Yearly'!CL82+'Scope 3 Yearly'!CL76*'Scope 3 Yearly'!CL86)*'Yearly Methanol'!Z6</f>
        <v>153.92907267710873</v>
      </c>
      <c r="CM25" s="44">
        <f>('Scope 3 Yearly'!$EE$188*'Scope 3 Yearly'!CM83*(1-'Scope 3 Yearly'!$B$197)+'Scope 3 Yearly'!CM72*'Scope 3 Yearly'!CM82+'Scope 3 Yearly'!CM76*'Scope 3 Yearly'!CM86)*'Yearly Methanol'!AA6</f>
        <v>156.60220886200608</v>
      </c>
      <c r="CN25" s="44">
        <f>('Scope 3 Yearly'!$EE$188*'Scope 3 Yearly'!CN83*(1-'Scope 3 Yearly'!$B$197)+'Scope 3 Yearly'!CN72*'Scope 3 Yearly'!CN82+'Scope 3 Yearly'!CN76*'Scope 3 Yearly'!CN86)*'Yearly Methanol'!AB6</f>
        <v>159.29403059415338</v>
      </c>
      <c r="CO25" s="44">
        <f>('Scope 3 Yearly'!$EE$188*'Scope 3 Yearly'!CO83*(1-'Scope 3 Yearly'!$B$197)+'Scope 3 Yearly'!CO72*'Scope 3 Yearly'!CO82+'Scope 3 Yearly'!CO76*'Scope 3 Yearly'!CO86)*'Yearly Methanol'!AC6</f>
        <v>162.00432426994314</v>
      </c>
      <c r="CP25" s="44">
        <f>('Scope 3 Yearly'!$EE$188*'Scope 3 Yearly'!CP83*(1-'Scope 3 Yearly'!$B$197)+'Scope 3 Yearly'!CP72*'Scope 3 Yearly'!CP82+'Scope 3 Yearly'!CP76*'Scope 3 Yearly'!CP86)*'Yearly Methanol'!AD6</f>
        <v>164.73303209899731</v>
      </c>
      <c r="CQ25" s="44">
        <f>('Scope 3 Yearly'!$EE$188*'Scope 3 Yearly'!CQ83*(1-'Scope 3 Yearly'!$B$197)+'Scope 3 Yearly'!CQ72*'Scope 3 Yearly'!CQ82+'Scope 3 Yearly'!CQ76*'Scope 3 Yearly'!CQ86)*'Yearly Methanol'!AE6</f>
        <v>167.47994053303705</v>
      </c>
      <c r="CR25" s="44">
        <f>('Scope 3 Yearly'!$EE$188*'Scope 3 Yearly'!CR83*(1-'Scope 3 Yearly'!$B$197)+'Scope 3 Yearly'!CR72*'Scope 3 Yearly'!CR82+'Scope 3 Yearly'!CR76*'Scope 3 Yearly'!CR86)*'Yearly Methanol'!AF6</f>
        <v>170.24483025466583</v>
      </c>
      <c r="CS25" s="44">
        <f>('Scope 3 Yearly'!$EE$188*'Scope 3 Yearly'!CS83*(1-'Scope 3 Yearly'!$B$197)+'Scope 3 Yearly'!CS72*'Scope 3 Yearly'!CS82+'Scope 3 Yearly'!CS76*'Scope 3 Yearly'!CS86)*'Yearly Methanol'!AG6</f>
        <v>173.02747601472177</v>
      </c>
      <c r="CT25" s="44">
        <f>('Scope 3 Yearly'!$EE$188*'Scope 3 Yearly'!CT83*(1-'Scope 3 Yearly'!$B$197)+'Scope 3 Yearly'!CT72*'Scope 3 Yearly'!CT82+'Scope 3 Yearly'!CT76*'Scope 3 Yearly'!CT86)*'Yearly Methanol'!AH6</f>
        <v>175.82764646459515</v>
      </c>
      <c r="CV25" s="44">
        <f>('Scope 3 Yearly'!$EE$188*'Scope 3 Yearly'!CV83*(1-'Scope 3 Yearly'!$B$197)+'Scope 3 Yearly'!CV72*'Scope 3 Yearly'!CV82+'Scope 3 Yearly'!CV76*'Scope 3 Yearly'!CV86)*'Yearly Methanol'!D6</f>
        <v>64.45034488817943</v>
      </c>
      <c r="CW25" s="44">
        <f>('Scope 3 Yearly'!$EE$188*'Scope 3 Yearly'!CW83*(1-'Scope 3 Yearly'!$B$197)+'Scope 3 Yearly'!CW72*'Scope 3 Yearly'!CW82+'Scope 3 Yearly'!CW76*'Scope 3 Yearly'!CW86)*'Yearly Methanol'!E6</f>
        <v>68.190064583098717</v>
      </c>
      <c r="CX25" s="44">
        <f>('Scope 3 Yearly'!$EE$188*'Scope 3 Yearly'!CX83*(1-'Scope 3 Yearly'!$B$197)+'Scope 3 Yearly'!CX72*'Scope 3 Yearly'!CX82+'Scope 3 Yearly'!CX76*'Scope 3 Yearly'!CX86)*'Yearly Methanol'!F6</f>
        <v>71.913517919505892</v>
      </c>
      <c r="CY25" s="44">
        <f>('Scope 3 Yearly'!$EE$188*'Scope 3 Yearly'!CY83*(1-'Scope 3 Yearly'!$B$197)+'Scope 3 Yearly'!CY72*'Scope 3 Yearly'!CY82+'Scope 3 Yearly'!CY76*'Scope 3 Yearly'!CY86)*'Yearly Methanol'!G6</f>
        <v>75.622544262843817</v>
      </c>
      <c r="CZ25" s="44">
        <f>('Scope 3 Yearly'!$EE$188*'Scope 3 Yearly'!CZ83*(1-'Scope 3 Yearly'!$B$197)+'Scope 3 Yearly'!CZ72*'Scope 3 Yearly'!CZ82+'Scope 3 Yearly'!CZ76*'Scope 3 Yearly'!CZ86)*'Yearly Methanol'!H6</f>
        <v>79.318026513340016</v>
      </c>
      <c r="DA25" s="44">
        <f>('Scope 3 Yearly'!$EE$188*'Scope 3 Yearly'!DA83*(1-'Scope 3 Yearly'!$B$197)+'Scope 3 Yearly'!DA72*'Scope 3 Yearly'!DA82+'Scope 3 Yearly'!DA76*'Scope 3 Yearly'!DA86)*'Yearly Methanol'!I6</f>
        <v>82.998971821207135</v>
      </c>
      <c r="DB25" s="44">
        <f>('Scope 3 Yearly'!$EE$188*'Scope 3 Yearly'!DB83*(1-'Scope 3 Yearly'!$B$197)+'Scope 3 Yearly'!DB72*'Scope 3 Yearly'!DB82+'Scope 3 Yearly'!DB76*'Scope 3 Yearly'!DB86)*'Yearly Methanol'!J6</f>
        <v>86.660735873019178</v>
      </c>
      <c r="DC25" s="44">
        <f>('Scope 3 Yearly'!$EE$188*'Scope 3 Yearly'!DC83*(1-'Scope 3 Yearly'!$B$197)+'Scope 3 Yearly'!DC72*'Scope 3 Yearly'!DC82+'Scope 3 Yearly'!DC76*'Scope 3 Yearly'!DC86)*'Yearly Methanol'!K6</f>
        <v>90.291721519198973</v>
      </c>
      <c r="DD25" s="44">
        <f>('Scope 3 Yearly'!$EE$188*'Scope 3 Yearly'!DD83*(1-'Scope 3 Yearly'!$B$197)+'Scope 3 Yearly'!DD72*'Scope 3 Yearly'!DD82+'Scope 3 Yearly'!DD76*'Scope 3 Yearly'!DD86)*'Yearly Methanol'!L6</f>
        <v>93.867570287122533</v>
      </c>
      <c r="DE25" s="44">
        <f>('Scope 3 Yearly'!$EE$188*'Scope 3 Yearly'!DE83*(1-'Scope 3 Yearly'!$B$197)+'Scope 3 Yearly'!DE72*'Scope 3 Yearly'!DE82+'Scope 3 Yearly'!DE76*'Scope 3 Yearly'!DE86)*'Yearly Methanol'!M6</f>
        <v>97.341751701124352</v>
      </c>
      <c r="DF25" s="44">
        <f>('Scope 3 Yearly'!$EE$188*'Scope 3 Yearly'!DF83*(1-'Scope 3 Yearly'!$B$197)+'Scope 3 Yearly'!DF72*'Scope 3 Yearly'!DF82+'Scope 3 Yearly'!DF76*'Scope 3 Yearly'!DF86)*'Yearly Methanol'!N6</f>
        <v>100.63212145662732</v>
      </c>
      <c r="DG25" s="44">
        <f>('Scope 3 Yearly'!$EE$188*'Scope 3 Yearly'!DG83*(1-'Scope 3 Yearly'!$B$197)+'Scope 3 Yearly'!DG72*'Scope 3 Yearly'!DG82+'Scope 3 Yearly'!DG76*'Scope 3 Yearly'!DG86)*'Yearly Methanol'!O6</f>
        <v>100.7235688290845</v>
      </c>
      <c r="DH25" s="44">
        <f>('Scope 3 Yearly'!$EE$188*'Scope 3 Yearly'!DH83*(1-'Scope 3 Yearly'!$B$197)+'Scope 3 Yearly'!DH72*'Scope 3 Yearly'!DH82+'Scope 3 Yearly'!DH76*'Scope 3 Yearly'!DH86)*'Yearly Methanol'!P6</f>
        <v>100.36158706228225</v>
      </c>
      <c r="DI25" s="44">
        <f>('Scope 3 Yearly'!$EE$188*'Scope 3 Yearly'!DI83*(1-'Scope 3 Yearly'!$B$197)+'Scope 3 Yearly'!DI72*'Scope 3 Yearly'!DI82+'Scope 3 Yearly'!DI76*'Scope 3 Yearly'!DI86)*'Yearly Methanol'!Q6</f>
        <v>99.361279729967237</v>
      </c>
      <c r="DJ25" s="44">
        <f>('Scope 3 Yearly'!$EE$188*'Scope 3 Yearly'!DJ83*(1-'Scope 3 Yearly'!$B$197)+'Scope 3 Yearly'!DJ72*'Scope 3 Yearly'!DJ82+'Scope 3 Yearly'!DJ76*'Scope 3 Yearly'!DJ86)*'Yearly Methanol'!R6</f>
        <v>97.557729227327428</v>
      </c>
      <c r="DK25" s="44">
        <f>('Scope 3 Yearly'!$EE$188*'Scope 3 Yearly'!DK83*(1-'Scope 3 Yearly'!$B$197)+'Scope 3 Yearly'!DK72*'Scope 3 Yearly'!DK82+'Scope 3 Yearly'!DK76*'Scope 3 Yearly'!DK86)*'Yearly Methanol'!S6</f>
        <v>94.876440435477278</v>
      </c>
      <c r="DL25" s="44">
        <f>('Scope 3 Yearly'!$EE$188*'Scope 3 Yearly'!DL83*(1-'Scope 3 Yearly'!$B$197)+'Scope 3 Yearly'!DL72*'Scope 3 Yearly'!DL82+'Scope 3 Yearly'!DL76*'Scope 3 Yearly'!DL86)*'Yearly Methanol'!T6</f>
        <v>91.245570524144242</v>
      </c>
      <c r="DM25" s="44">
        <f>('Scope 3 Yearly'!$EE$188*'Scope 3 Yearly'!DM83*(1-'Scope 3 Yearly'!$B$197)+'Scope 3 Yearly'!DM72*'Scope 3 Yearly'!DM82+'Scope 3 Yearly'!DM76*'Scope 3 Yearly'!DM86)*'Yearly Methanol'!U6</f>
        <v>87.052763950269437</v>
      </c>
      <c r="DN25" s="44">
        <f>('Scope 3 Yearly'!$EE$188*'Scope 3 Yearly'!DN83*(1-'Scope 3 Yearly'!$B$197)+'Scope 3 Yearly'!DN72*'Scope 3 Yearly'!DN82+'Scope 3 Yearly'!DN76*'Scope 3 Yearly'!DN86)*'Yearly Methanol'!V6</f>
        <v>82.614522363266175</v>
      </c>
      <c r="DO25" s="44">
        <f>('Scope 3 Yearly'!$EE$188*'Scope 3 Yearly'!DO83*(1-'Scope 3 Yearly'!$B$197)+'Scope 3 Yearly'!DO72*'Scope 3 Yearly'!DO82+'Scope 3 Yearly'!DO76*'Scope 3 Yearly'!DO86)*'Yearly Methanol'!W6</f>
        <v>78.242506010238941</v>
      </c>
      <c r="DP25" s="44">
        <f>('Scope 3 Yearly'!$EE$188*'Scope 3 Yearly'!DP83*(1-'Scope 3 Yearly'!$B$197)+'Scope 3 Yearly'!DP72*'Scope 3 Yearly'!DP82+'Scope 3 Yearly'!DP76*'Scope 3 Yearly'!DP86)*'Yearly Methanol'!X6</f>
        <v>74.170200539649883</v>
      </c>
      <c r="DQ25" s="44">
        <f>('Scope 3 Yearly'!$EE$188*'Scope 3 Yearly'!DQ83*(1-'Scope 3 Yearly'!$B$197)+'Scope 3 Yearly'!DQ72*'Scope 3 Yearly'!DQ82+'Scope 3 Yearly'!DQ76*'Scope 3 Yearly'!DQ86)*'Yearly Methanol'!Y6</f>
        <v>69.773783295625549</v>
      </c>
      <c r="DR25" s="44">
        <f>('Scope 3 Yearly'!$EE$188*'Scope 3 Yearly'!DR83*(1-'Scope 3 Yearly'!$B$197)+'Scope 3 Yearly'!DR72*'Scope 3 Yearly'!DR82+'Scope 3 Yearly'!DR76*'Scope 3 Yearly'!DR86)*'Yearly Methanol'!Z6</f>
        <v>65.905230404846776</v>
      </c>
      <c r="DS25" s="44">
        <f>('Scope 3 Yearly'!$EE$188*'Scope 3 Yearly'!DS83*(1-'Scope 3 Yearly'!$B$197)+'Scope 3 Yearly'!DS72*'Scope 3 Yearly'!DS82+'Scope 3 Yearly'!DS76*'Scope 3 Yearly'!DS86)*'Yearly Methanol'!AA6</f>
        <v>62.522267447548423</v>
      </c>
      <c r="DT25" s="44">
        <f>('Scope 3 Yearly'!$EE$188*'Scope 3 Yearly'!DT83*(1-'Scope 3 Yearly'!$B$197)+'Scope 3 Yearly'!DT72*'Scope 3 Yearly'!DT82+'Scope 3 Yearly'!DT76*'Scope 3 Yearly'!DT86)*'Yearly Methanol'!AB6</f>
        <v>59.555589072406228</v>
      </c>
      <c r="DU25" s="44">
        <f>('Scope 3 Yearly'!$EE$188*'Scope 3 Yearly'!DU83*(1-'Scope 3 Yearly'!$B$197)+'Scope 3 Yearly'!DU72*'Scope 3 Yearly'!DU82+'Scope 3 Yearly'!DU76*'Scope 3 Yearly'!DU86)*'Yearly Methanol'!AC6</f>
        <v>56.927722704923426</v>
      </c>
      <c r="DV25" s="44">
        <f>('Scope 3 Yearly'!$EE$188*'Scope 3 Yearly'!DV83*(1-'Scope 3 Yearly'!$B$197)+'Scope 3 Yearly'!DV72*'Scope 3 Yearly'!DV82+'Scope 3 Yearly'!DV76*'Scope 3 Yearly'!DV86)*'Yearly Methanol'!AD6</f>
        <v>54.566584309220268</v>
      </c>
      <c r="DW25" s="44">
        <f>('Scope 3 Yearly'!$EE$188*'Scope 3 Yearly'!DW83*(1-'Scope 3 Yearly'!$B$197)+'Scope 3 Yearly'!DW72*'Scope 3 Yearly'!DW82+'Scope 3 Yearly'!DW76*'Scope 3 Yearly'!DW86)*'Yearly Methanol'!AE6</f>
        <v>52.404696048848201</v>
      </c>
      <c r="DX25" s="44">
        <f>('Scope 3 Yearly'!$EE$188*'Scope 3 Yearly'!DX83*(1-'Scope 3 Yearly'!$B$197)+'Scope 3 Yearly'!DX72*'Scope 3 Yearly'!DX82+'Scope 3 Yearly'!DX76*'Scope 3 Yearly'!DX86)*'Yearly Methanol'!AF6</f>
        <v>50.396342435264394</v>
      </c>
      <c r="DY25" s="44">
        <f>('Scope 3 Yearly'!$EE$188*'Scope 3 Yearly'!DY83*(1-'Scope 3 Yearly'!$B$197)+'Scope 3 Yearly'!DY72*'Scope 3 Yearly'!DY82+'Scope 3 Yearly'!DY76*'Scope 3 Yearly'!DY86)*'Yearly Methanol'!AG6</f>
        <v>48.505729763938874</v>
      </c>
      <c r="DZ25" s="44">
        <f>('Scope 3 Yearly'!$EE$188*'Scope 3 Yearly'!DZ83*(1-'Scope 3 Yearly'!$B$197)+'Scope 3 Yearly'!DZ72*'Scope 3 Yearly'!DZ82+'Scope 3 Yearly'!DZ76*'Scope 3 Yearly'!DZ86)*'Yearly Methanol'!AH6</f>
        <v>46.704059503862432</v>
      </c>
    </row>
    <row r="26" spans="1:165">
      <c r="A26" t="s">
        <v>7</v>
      </c>
      <c r="C26" s="54" t="s">
        <v>415</v>
      </c>
      <c r="D26" s="44">
        <f>('Scope 3 Yearly'!$EE$189*'Scope 3 Yearly'!D106*(1-'Scope 3 Yearly'!$B$197)+'Scope 3 Yearly'!D95*'Scope 3 Yearly'!D105+'Scope 3 Yearly'!D99*'Scope 3 Yearly'!D109)*'Yearly BTX'!D129</f>
        <v>50.838791598055003</v>
      </c>
      <c r="E26" s="44">
        <f>('Scope 3 Yearly'!$EE$189*'Scope 3 Yearly'!E106*(1-'Scope 3 Yearly'!$B$197)+'Scope 3 Yearly'!E95*'Scope 3 Yearly'!E105+'Scope 3 Yearly'!E99*'Scope 3 Yearly'!E109)*'Yearly BTX'!E129</f>
        <v>51.827051354301389</v>
      </c>
      <c r="F26" s="44">
        <f>('Scope 3 Yearly'!$EE$189*'Scope 3 Yearly'!F106*(1-'Scope 3 Yearly'!$B$197)+'Scope 3 Yearly'!F95*'Scope 3 Yearly'!F105+'Scope 3 Yearly'!F99*'Scope 3 Yearly'!F109)*'Yearly BTX'!F129</f>
        <v>52.681137300693237</v>
      </c>
      <c r="G26" s="44">
        <f>('Scope 3 Yearly'!$EE$189*'Scope 3 Yearly'!G106*(1-'Scope 3 Yearly'!$B$197)+'Scope 3 Yearly'!G95*'Scope 3 Yearly'!G105+'Scope 3 Yearly'!G99*'Scope 3 Yearly'!G109)*'Yearly BTX'!G129</f>
        <v>53.560868941494142</v>
      </c>
      <c r="H26" s="44">
        <f>('Scope 3 Yearly'!$EE$189*'Scope 3 Yearly'!H106*(1-'Scope 3 Yearly'!$B$197)+'Scope 3 Yearly'!H95*'Scope 3 Yearly'!H105+'Scope 3 Yearly'!H99*'Scope 3 Yearly'!H109)*'Yearly BTX'!H129</f>
        <v>54.466758907043392</v>
      </c>
      <c r="I26" s="44">
        <f>('Scope 3 Yearly'!$EE$189*'Scope 3 Yearly'!I106*(1-'Scope 3 Yearly'!$B$197)+'Scope 3 Yearly'!I95*'Scope 3 Yearly'!I105+'Scope 3 Yearly'!I99*'Scope 3 Yearly'!I109)*'Yearly BTX'!I129</f>
        <v>55.398046658666878</v>
      </c>
      <c r="J26" s="44">
        <f>('Scope 3 Yearly'!$EE$189*'Scope 3 Yearly'!J106*(1-'Scope 3 Yearly'!$B$197)+'Scope 3 Yearly'!J95*'Scope 3 Yearly'!J105+'Scope 3 Yearly'!J99*'Scope 3 Yearly'!J109)*'Yearly BTX'!J129</f>
        <v>55.879051471803081</v>
      </c>
      <c r="K26" s="44">
        <f>('Scope 3 Yearly'!$EE$189*'Scope 3 Yearly'!K106*(1-'Scope 3 Yearly'!$B$197)+'Scope 3 Yearly'!K95*'Scope 3 Yearly'!K105+'Scope 3 Yearly'!K99*'Scope 3 Yearly'!K109)*'Yearly BTX'!K129</f>
        <v>56.346785069394947</v>
      </c>
      <c r="L26" s="44">
        <f>('Scope 3 Yearly'!$EE$189*'Scope 3 Yearly'!L106*(1-'Scope 3 Yearly'!$B$197)+'Scope 3 Yearly'!L95*'Scope 3 Yearly'!L105+'Scope 3 Yearly'!L99*'Scope 3 Yearly'!L109)*'Yearly BTX'!L129</f>
        <v>56.782958803120884</v>
      </c>
      <c r="M26" s="44">
        <f>('Scope 3 Yearly'!$EE$189*'Scope 3 Yearly'!M106*(1-'Scope 3 Yearly'!$B$197)+'Scope 3 Yearly'!M95*'Scope 3 Yearly'!M105+'Scope 3 Yearly'!M99*'Scope 3 Yearly'!M109)*'Yearly BTX'!M129</f>
        <v>57.155441764862587</v>
      </c>
      <c r="N26" s="44">
        <f>('Scope 3 Yearly'!$EE$189*'Scope 3 Yearly'!N106*(1-'Scope 3 Yearly'!$B$197)+'Scope 3 Yearly'!N95*'Scope 3 Yearly'!N105+'Scope 3 Yearly'!N99*'Scope 3 Yearly'!N109)*'Yearly BTX'!N129</f>
        <v>57.410771783632498</v>
      </c>
      <c r="O26" s="44">
        <f>('Scope 3 Yearly'!$EE$189*'Scope 3 Yearly'!O106*(1-'Scope 3 Yearly'!$B$197)+'Scope 3 Yearly'!O95*'Scope 3 Yearly'!O105+'Scope 3 Yearly'!O99*'Scope 3 Yearly'!O109)*'Yearly BTX'!O129</f>
        <v>56.469981191078745</v>
      </c>
      <c r="P26" s="44">
        <f>('Scope 3 Yearly'!$EE$189*'Scope 3 Yearly'!P106*(1-'Scope 3 Yearly'!$B$197)+'Scope 3 Yearly'!P95*'Scope 3 Yearly'!P105+'Scope 3 Yearly'!P99*'Scope 3 Yearly'!P109)*'Yearly BTX'!P129</f>
        <v>55.231975017206572</v>
      </c>
      <c r="Q26" s="44">
        <f>('Scope 3 Yearly'!$EE$189*'Scope 3 Yearly'!Q106*(1-'Scope 3 Yearly'!$B$197)+'Scope 3 Yearly'!Q95*'Scope 3 Yearly'!Q105+'Scope 3 Yearly'!Q99*'Scope 3 Yearly'!Q109)*'Yearly BTX'!Q129</f>
        <v>53.595716719524646</v>
      </c>
      <c r="R26" s="44">
        <f>('Scope 3 Yearly'!$EE$189*'Scope 3 Yearly'!R106*(1-'Scope 3 Yearly'!$B$197)+'Scope 3 Yearly'!R95*'Scope 3 Yearly'!R105+'Scope 3 Yearly'!R99*'Scope 3 Yearly'!R109)*'Yearly BTX'!R129</f>
        <v>51.484974009483665</v>
      </c>
      <c r="S26" s="44">
        <f>('Scope 3 Yearly'!$EE$189*'Scope 3 Yearly'!S106*(1-'Scope 3 Yearly'!$B$197)+'Scope 3 Yearly'!S95*'Scope 3 Yearly'!S105+'Scope 3 Yearly'!S99*'Scope 3 Yearly'!S109)*'Yearly BTX'!S129</f>
        <v>48.890446323530078</v>
      </c>
      <c r="T26" s="44">
        <f>('Scope 3 Yearly'!$EE$189*'Scope 3 Yearly'!T106*(1-'Scope 3 Yearly'!$B$197)+'Scope 3 Yearly'!T95*'Scope 3 Yearly'!T105+'Scope 3 Yearly'!T99*'Scope 3 Yearly'!T109)*'Yearly BTX'!T129</f>
        <v>45.862513351832504</v>
      </c>
      <c r="U26" s="44">
        <f>('Scope 3 Yearly'!$EE$189*'Scope 3 Yearly'!U106*(1-'Scope 3 Yearly'!$B$197)+'Scope 3 Yearly'!U95*'Scope 3 Yearly'!U105+'Scope 3 Yearly'!U99*'Scope 3 Yearly'!U109)*'Yearly BTX'!U129</f>
        <v>42.597254271257981</v>
      </c>
      <c r="V26" s="44">
        <f>('Scope 3 Yearly'!$EE$189*'Scope 3 Yearly'!V106*(1-'Scope 3 Yearly'!$B$197)+'Scope 3 Yearly'!V95*'Scope 3 Yearly'!V105+'Scope 3 Yearly'!V99*'Scope 3 Yearly'!V109)*'Yearly BTX'!V129</f>
        <v>39.302423856432647</v>
      </c>
      <c r="W26" s="44">
        <f>('Scope 3 Yearly'!$EE$189*'Scope 3 Yearly'!W106*(1-'Scope 3 Yearly'!$B$197)+'Scope 3 Yearly'!W95*'Scope 3 Yearly'!W105+'Scope 3 Yearly'!W99*'Scope 3 Yearly'!W109)*'Yearly BTX'!W129</f>
        <v>36.162867017447489</v>
      </c>
      <c r="X26" s="44">
        <f>('Scope 3 Yearly'!$EE$189*'Scope 3 Yearly'!X106*(1-'Scope 3 Yearly'!$B$197)+'Scope 3 Yearly'!X95*'Scope 3 Yearly'!X105+'Scope 3 Yearly'!X99*'Scope 3 Yearly'!X109)*'Yearly BTX'!X129</f>
        <v>33.301339175382282</v>
      </c>
      <c r="Y26" s="44">
        <f>('Scope 3 Yearly'!$EE$189*'Scope 3 Yearly'!Y106*(1-'Scope 3 Yearly'!$B$197)+'Scope 3 Yearly'!Y95*'Scope 3 Yearly'!Y105+'Scope 3 Yearly'!Y99*'Scope 3 Yearly'!Y109)*'Yearly BTX'!Y129</f>
        <v>30.203227036735754</v>
      </c>
      <c r="Z26" s="44">
        <f>('Scope 3 Yearly'!$EE$189*'Scope 3 Yearly'!Z106*(1-'Scope 3 Yearly'!$B$197)+'Scope 3 Yearly'!Z95*'Scope 3 Yearly'!Z105+'Scope 3 Yearly'!Z99*'Scope 3 Yearly'!Z109)*'Yearly BTX'!Z129</f>
        <v>27.437846113559257</v>
      </c>
      <c r="AA26" s="44">
        <f>('Scope 3 Yearly'!$EE$189*'Scope 3 Yearly'!AA106*(1-'Scope 3 Yearly'!$B$197)+'Scope 3 Yearly'!AA95*'Scope 3 Yearly'!AA105+'Scope 3 Yearly'!AA99*'Scope 3 Yearly'!AA109)*'Yearly BTX'!AA129</f>
        <v>25.018390651144959</v>
      </c>
      <c r="AB26" s="44">
        <f>('Scope 3 Yearly'!$EE$189*'Scope 3 Yearly'!AB106*(1-'Scope 3 Yearly'!$B$197)+'Scope 3 Yearly'!AB95*'Scope 3 Yearly'!AB105+'Scope 3 Yearly'!AB99*'Scope 3 Yearly'!AB109)*'Yearly BTX'!AB129</f>
        <v>22.891473443300306</v>
      </c>
      <c r="AC26" s="44">
        <f>('Scope 3 Yearly'!$EE$189*'Scope 3 Yearly'!AC106*(1-'Scope 3 Yearly'!$B$197)+'Scope 3 Yearly'!AC95*'Scope 3 Yearly'!AC105+'Scope 3 Yearly'!AC99*'Scope 3 Yearly'!AC109)*'Yearly BTX'!AC129</f>
        <v>20.998360471130358</v>
      </c>
      <c r="AD26" s="44">
        <f>('Scope 3 Yearly'!$EE$189*'Scope 3 Yearly'!AD106*(1-'Scope 3 Yearly'!$B$197)+'Scope 3 Yearly'!AD95*'Scope 3 Yearly'!AD105+'Scope 3 Yearly'!AD99*'Scope 3 Yearly'!AD109)*'Yearly BTX'!AD129</f>
        <v>19.253402631528171</v>
      </c>
      <c r="AE26" s="44">
        <f>('Scope 3 Yearly'!$EE$189*'Scope 3 Yearly'!AE106*(1-'Scope 3 Yearly'!$B$197)+'Scope 3 Yearly'!AE95*'Scope 3 Yearly'!AE105+'Scope 3 Yearly'!AE99*'Scope 3 Yearly'!AE109)*'Yearly BTX'!AE129</f>
        <v>17.653669579491254</v>
      </c>
      <c r="AF26" s="44">
        <f>('Scope 3 Yearly'!$EE$189*'Scope 3 Yearly'!AF106*(1-'Scope 3 Yearly'!$B$197)+'Scope 3 Yearly'!AF95*'Scope 3 Yearly'!AF105+'Scope 3 Yearly'!AF99*'Scope 3 Yearly'!AF109)*'Yearly BTX'!AF129</f>
        <v>16.167141323168465</v>
      </c>
      <c r="AG26" s="44">
        <f>('Scope 3 Yearly'!$EE$189*'Scope 3 Yearly'!AG106*(1-'Scope 3 Yearly'!$B$197)+'Scope 3 Yearly'!AG95*'Scope 3 Yearly'!AG105+'Scope 3 Yearly'!AG99*'Scope 3 Yearly'!AG109)*'Yearly BTX'!AG129</f>
        <v>14.77115346987614</v>
      </c>
      <c r="AH26" s="44">
        <f>('Scope 3 Yearly'!$EE$189*'Scope 3 Yearly'!AH106*(1-'Scope 3 Yearly'!$B$197)+'Scope 3 Yearly'!AH95*'Scope 3 Yearly'!AH105+'Scope 3 Yearly'!AH99*'Scope 3 Yearly'!AH109)*'Yearly BTX'!AH129</f>
        <v>13.451574464098947</v>
      </c>
      <c r="AI26" s="44"/>
      <c r="AJ26" s="44">
        <f>('Scope 3 Yearly'!$EE$189*'Scope 3 Yearly'!AJ106*(1-'Scope 3 Yearly'!$B$197)+'Scope 3 Yearly'!AJ95*'Scope 3 Yearly'!AJ105+'Scope 3 Yearly'!AJ99*'Scope 3 Yearly'!AJ109)*'Yearly BTX'!AJ129</f>
        <v>50.83880064504411</v>
      </c>
      <c r="AK26" s="44">
        <f>('Scope 3 Yearly'!$EE$189*'Scope 3 Yearly'!AK106*(1-'Scope 3 Yearly'!$B$197)+'Scope 3 Yearly'!AK95*'Scope 3 Yearly'!AK105+'Scope 3 Yearly'!AK99*'Scope 3 Yearly'!AK109)*'Yearly BTX'!AK129</f>
        <v>51.827071722829523</v>
      </c>
      <c r="AL26" s="44">
        <f>('Scope 3 Yearly'!$EE$189*'Scope 3 Yearly'!AL106*(1-'Scope 3 Yearly'!$B$197)+'Scope 3 Yearly'!AL95*'Scope 3 Yearly'!AL105+'Scope 3 Yearly'!AL99*'Scope 3 Yearly'!AL109)*'Yearly BTX'!AL129</f>
        <v>52.681181903064804</v>
      </c>
      <c r="AM26" s="44">
        <f>('Scope 3 Yearly'!$EE$189*'Scope 3 Yearly'!AM106*(1-'Scope 3 Yearly'!$B$197)+'Scope 3 Yearly'!AM95*'Scope 3 Yearly'!AM105+'Scope 3 Yearly'!AM99*'Scope 3 Yearly'!AM109)*'Yearly BTX'!AM129</f>
        <v>53.560965798162535</v>
      </c>
      <c r="AN26" s="44">
        <f>('Scope 3 Yearly'!$EE$189*'Scope 3 Yearly'!AN106*(1-'Scope 3 Yearly'!$B$197)+'Scope 3 Yearly'!AN95*'Scope 3 Yearly'!AN105+'Scope 3 Yearly'!AN99*'Scope 3 Yearly'!AN109)*'Yearly BTX'!AN129</f>
        <v>54.466967368724966</v>
      </c>
      <c r="AO26" s="44">
        <f>('Scope 3 Yearly'!$EE$189*'Scope 3 Yearly'!AO106*(1-'Scope 3 Yearly'!$B$197)+'Scope 3 Yearly'!AO95*'Scope 3 Yearly'!AO105+'Scope 3 Yearly'!AO99*'Scope 3 Yearly'!AO109)*'Yearly BTX'!AO129</f>
        <v>55.398490872180723</v>
      </c>
      <c r="AP26" s="44">
        <f>('Scope 3 Yearly'!$EE$189*'Scope 3 Yearly'!AP106*(1-'Scope 3 Yearly'!$B$197)+'Scope 3 Yearly'!AP95*'Scope 3 Yearly'!AP105+'Scope 3 Yearly'!AP99*'Scope 3 Yearly'!AP109)*'Yearly BTX'!AP129</f>
        <v>55.879984006538059</v>
      </c>
      <c r="AQ26" s="44">
        <f>('Scope 3 Yearly'!$EE$189*'Scope 3 Yearly'!AQ106*(1-'Scope 3 Yearly'!$B$197)+'Scope 3 Yearly'!AQ95*'Scope 3 Yearly'!AQ105+'Scope 3 Yearly'!AQ99*'Scope 3 Yearly'!AQ109)*'Yearly BTX'!AQ129</f>
        <v>56.348716635727115</v>
      </c>
      <c r="AR26" s="44">
        <f>('Scope 3 Yearly'!$EE$189*'Scope 3 Yearly'!AR106*(1-'Scope 3 Yearly'!$B$197)+'Scope 3 Yearly'!AR95*'Scope 3 Yearly'!AR105+'Scope 3 Yearly'!AR99*'Scope 3 Yearly'!AR109)*'Yearly BTX'!AR129</f>
        <v>56.786891724843017</v>
      </c>
      <c r="AS26" s="44">
        <f>('Scope 3 Yearly'!$EE$189*'Scope 3 Yearly'!AS106*(1-'Scope 3 Yearly'!$B$197)+'Scope 3 Yearly'!AS95*'Scope 3 Yearly'!AS105+'Scope 3 Yearly'!AS99*'Scope 3 Yearly'!AS109)*'Yearly BTX'!AS129</f>
        <v>57.163273359371914</v>
      </c>
      <c r="AT26" s="44">
        <f>('Scope 3 Yearly'!$EE$189*'Scope 3 Yearly'!AT106*(1-'Scope 3 Yearly'!$B$197)+'Scope 3 Yearly'!AT95*'Scope 3 Yearly'!AT105+'Scope 3 Yearly'!AT99*'Scope 3 Yearly'!AT109)*'Yearly BTX'!AT129</f>
        <v>57.425984428387409</v>
      </c>
      <c r="AU26" s="44">
        <f>('Scope 3 Yearly'!$EE$189*'Scope 3 Yearly'!AU106*(1-'Scope 3 Yearly'!$B$197)+'Scope 3 Yearly'!AU95*'Scope 3 Yearly'!AU105+'Scope 3 Yearly'!AU99*'Scope 3 Yearly'!AU109)*'Yearly BTX'!AU129</f>
        <v>56.496843449685663</v>
      </c>
      <c r="AV26" s="44">
        <f>('Scope 3 Yearly'!$EE$189*'Scope 3 Yearly'!AV106*(1-'Scope 3 Yearly'!$B$197)+'Scope 3 Yearly'!AV95*'Scope 3 Yearly'!AV105+'Scope 3 Yearly'!AV99*'Scope 3 Yearly'!AV109)*'Yearly BTX'!AV129</f>
        <v>55.277354954264126</v>
      </c>
      <c r="AW26" s="44">
        <f>('Scope 3 Yearly'!$EE$189*'Scope 3 Yearly'!AW106*(1-'Scope 3 Yearly'!$B$197)+'Scope 3 Yearly'!AW95*'Scope 3 Yearly'!AW105+'Scope 3 Yearly'!AW99*'Scope 3 Yearly'!AW109)*'Yearly BTX'!AW129</f>
        <v>53.667926916967154</v>
      </c>
      <c r="AX26" s="44">
        <f>('Scope 3 Yearly'!$EE$189*'Scope 3 Yearly'!AX106*(1-'Scope 3 Yearly'!$B$197)+'Scope 3 Yearly'!AX95*'Scope 3 Yearly'!AX105+'Scope 3 Yearly'!AX99*'Scope 3 Yearly'!AX109)*'Yearly BTX'!AX129</f>
        <v>51.592058601022629</v>
      </c>
      <c r="AY26" s="44">
        <f>('Scope 3 Yearly'!$EE$189*'Scope 3 Yearly'!AY106*(1-'Scope 3 Yearly'!$B$197)+'Scope 3 Yearly'!AY95*'Scope 3 Yearly'!AY105+'Scope 3 Yearly'!AY99*'Scope 3 Yearly'!AY109)*'Yearly BTX'!AY129</f>
        <v>49.037371257459817</v>
      </c>
      <c r="AZ26" s="44">
        <f>('Scope 3 Yearly'!$EE$189*'Scope 3 Yearly'!AZ106*(1-'Scope 3 Yearly'!$B$197)+'Scope 3 Yearly'!AZ95*'Scope 3 Yearly'!AZ105+'Scope 3 Yearly'!AZ99*'Scope 3 Yearly'!AZ109)*'Yearly BTX'!AZ129</f>
        <v>46.048518697848863</v>
      </c>
      <c r="BA26" s="44">
        <f>('Scope 3 Yearly'!$EE$189*'Scope 3 Yearly'!BA106*(1-'Scope 3 Yearly'!$B$197)+'Scope 3 Yearly'!BA95*'Scope 3 Yearly'!BA105+'Scope 3 Yearly'!BA99*'Scope 3 Yearly'!BA109)*'Yearly BTX'!BA129</f>
        <v>42.815409933914879</v>
      </c>
      <c r="BB26" s="44">
        <f>('Scope 3 Yearly'!$EE$189*'Scope 3 Yearly'!BB106*(1-'Scope 3 Yearly'!$B$197)+'Scope 3 Yearly'!BB95*'Scope 3 Yearly'!BB105+'Scope 3 Yearly'!BB99*'Scope 3 Yearly'!BB109)*'Yearly BTX'!BB129</f>
        <v>39.541636941205567</v>
      </c>
      <c r="BC26" s="44">
        <f>('Scope 3 Yearly'!$EE$189*'Scope 3 Yearly'!BC106*(1-'Scope 3 Yearly'!$B$197)+'Scope 3 Yearly'!BC95*'Scope 3 Yearly'!BC105+'Scope 3 Yearly'!BC99*'Scope 3 Yearly'!BC109)*'Yearly BTX'!BC129</f>
        <v>36.411299776979682</v>
      </c>
      <c r="BD26" s="44">
        <f>('Scope 3 Yearly'!$EE$189*'Scope 3 Yearly'!BD106*(1-'Scope 3 Yearly'!$B$197)+'Scope 3 Yearly'!BD95*'Scope 3 Yearly'!BD105+'Scope 3 Yearly'!BD99*'Scope 3 Yearly'!BD109)*'Yearly BTX'!BD129</f>
        <v>33.549242245419762</v>
      </c>
      <c r="BE26" s="44">
        <f>('Scope 3 Yearly'!$EE$189*'Scope 3 Yearly'!BE106*(1-'Scope 3 Yearly'!$B$197)+'Scope 3 Yearly'!BE95*'Scope 3 Yearly'!BE105+'Scope 3 Yearly'!BE99*'Scope 3 Yearly'!BE109)*'Yearly BTX'!BE129</f>
        <v>30.426974905090933</v>
      </c>
      <c r="BF26" s="44">
        <f>('Scope 3 Yearly'!$EE$189*'Scope 3 Yearly'!BF106*(1-'Scope 3 Yearly'!$B$197)+'Scope 3 Yearly'!BF95*'Scope 3 Yearly'!BF105+'Scope 3 Yearly'!BF99*'Scope 3 Yearly'!BF109)*'Yearly BTX'!BF129</f>
        <v>27.662376914164426</v>
      </c>
      <c r="BG26" s="44">
        <f>('Scope 3 Yearly'!$EE$189*'Scope 3 Yearly'!BG106*(1-'Scope 3 Yearly'!$B$197)+'Scope 3 Yearly'!BG95*'Scope 3 Yearly'!BG105+'Scope 3 Yearly'!BG99*'Scope 3 Yearly'!BG109)*'Yearly BTX'!BG129</f>
        <v>25.244452397248171</v>
      </c>
      <c r="BH26" s="44">
        <f>('Scope 3 Yearly'!$EE$189*'Scope 3 Yearly'!BH106*(1-'Scope 3 Yearly'!$B$197)+'Scope 3 Yearly'!BH95*'Scope 3 Yearly'!BH105+'Scope 3 Yearly'!BH99*'Scope 3 Yearly'!BH109)*'Yearly BTX'!BH129</f>
        <v>23.118797248043222</v>
      </c>
      <c r="BI26" s="44">
        <f>('Scope 3 Yearly'!$EE$189*'Scope 3 Yearly'!BI106*(1-'Scope 3 Yearly'!$B$197)+'Scope 3 Yearly'!BI95*'Scope 3 Yearly'!BI105+'Scope 3 Yearly'!BI99*'Scope 3 Yearly'!BI109)*'Yearly BTX'!BI129</f>
        <v>21.22795989918799</v>
      </c>
      <c r="BJ26" s="44">
        <f>('Scope 3 Yearly'!$EE$189*'Scope 3 Yearly'!BJ106*(1-'Scope 3 Yearly'!$B$197)+'Scope 3 Yearly'!BJ95*'Scope 3 Yearly'!BJ105+'Scope 3 Yearly'!BJ99*'Scope 3 Yearly'!BJ109)*'Yearly BTX'!BJ129</f>
        <v>19.487281812487989</v>
      </c>
      <c r="BK26" s="44">
        <f>('Scope 3 Yearly'!$EE$189*'Scope 3 Yearly'!BK106*(1-'Scope 3 Yearly'!$B$197)+'Scope 3 Yearly'!BK95*'Scope 3 Yearly'!BK105+'Scope 3 Yearly'!BK99*'Scope 3 Yearly'!BK109)*'Yearly BTX'!BK129</f>
        <v>17.894880935580073</v>
      </c>
      <c r="BL26" s="44">
        <f>('Scope 3 Yearly'!$EE$189*'Scope 3 Yearly'!BL106*(1-'Scope 3 Yearly'!$B$197)+'Scope 3 Yearly'!BL95*'Scope 3 Yearly'!BL105+'Scope 3 Yearly'!BL99*'Scope 3 Yearly'!BL109)*'Yearly BTX'!BL129</f>
        <v>16.419402793225611</v>
      </c>
      <c r="BM26" s="44">
        <f>('Scope 3 Yearly'!$EE$189*'Scope 3 Yearly'!BM106*(1-'Scope 3 Yearly'!$B$197)+'Scope 3 Yearly'!BM95*'Scope 3 Yearly'!BM105+'Scope 3 Yearly'!BM99*'Scope 3 Yearly'!BM109)*'Yearly BTX'!BM129</f>
        <v>15.038250716913524</v>
      </c>
      <c r="BN26" s="44">
        <f>('Scope 3 Yearly'!$EE$189*'Scope 3 Yearly'!BN106*(1-'Scope 3 Yearly'!$B$197)+'Scope 3 Yearly'!BN95*'Scope 3 Yearly'!BN105+'Scope 3 Yearly'!BN99*'Scope 3 Yearly'!BN109)*'Yearly BTX'!BN129</f>
        <v>13.736422871132154</v>
      </c>
      <c r="BO26" s="44"/>
      <c r="BP26" s="44">
        <f>('Scope 3 Yearly'!$EE$189*'Scope 3 Yearly'!BP106*(1-'Scope 3 Yearly'!$B$197)+'Scope 3 Yearly'!BP95*'Scope 3 Yearly'!BP105+'Scope 3 Yearly'!BP99*'Scope 3 Yearly'!BP109)*'Yearly Demand - BTX'!N7</f>
        <v>50.839392092740674</v>
      </c>
      <c r="BQ26" s="44">
        <f>('Scope 3 Yearly'!$EE$189*'Scope 3 Yearly'!BQ106*(1-'Scope 3 Yearly'!$B$197)+'Scope 3 Yearly'!BQ95*'Scope 3 Yearly'!BQ105+'Scope 3 Yearly'!BQ99*'Scope 3 Yearly'!BQ109)*'Yearly Demand - BTX'!O7</f>
        <v>52.78585985207377</v>
      </c>
      <c r="BR26" s="44">
        <f>('Scope 3 Yearly'!$EE$189*'Scope 3 Yearly'!BR106*(1-'Scope 3 Yearly'!$B$197)+'Scope 3 Yearly'!BR95*'Scope 3 Yearly'!BR105+'Scope 3 Yearly'!BR99*'Scope 3 Yearly'!BR109)*'Yearly Demand - BTX'!P7</f>
        <v>54.784504127090131</v>
      </c>
      <c r="BS26" s="44">
        <f>('Scope 3 Yearly'!$EE$189*'Scope 3 Yearly'!BS106*(1-'Scope 3 Yearly'!$B$197)+'Scope 3 Yearly'!BS95*'Scope 3 Yearly'!BS105+'Scope 3 Yearly'!BS99*'Scope 3 Yearly'!BS109)*'Yearly Demand - BTX'!Q7</f>
        <v>56.836475953829812</v>
      </c>
      <c r="BT26" s="44">
        <f>('Scope 3 Yearly'!$EE$189*'Scope 3 Yearly'!BT106*(1-'Scope 3 Yearly'!$B$197)+'Scope 3 Yearly'!BT95*'Scope 3 Yearly'!BT105+'Scope 3 Yearly'!BT99*'Scope 3 Yearly'!BT109)*'Yearly Demand - BTX'!R7</f>
        <v>58.942850310721816</v>
      </c>
      <c r="BU26" s="44">
        <f>('Scope 3 Yearly'!$EE$189*'Scope 3 Yearly'!BU106*(1-'Scope 3 Yearly'!$B$197)+'Scope 3 Yearly'!BU95*'Scope 3 Yearly'!BU105+'Scope 3 Yearly'!BU99*'Scope 3 Yearly'!BU109)*'Yearly Demand - BTX'!S7</f>
        <v>61.104614109405652</v>
      </c>
      <c r="BV26" s="44">
        <f>('Scope 3 Yearly'!$EE$189*'Scope 3 Yearly'!BV106*(1-'Scope 3 Yearly'!$B$197)+'Scope 3 Yearly'!BV95*'Scope 3 Yearly'!BV105+'Scope 3 Yearly'!BV99*'Scope 3 Yearly'!BV109)*'Yearly Demand - BTX'!T7</f>
        <v>62.829691116890288</v>
      </c>
      <c r="BW26" s="44">
        <f>('Scope 3 Yearly'!$EE$189*'Scope 3 Yearly'!BW106*(1-'Scope 3 Yearly'!$B$197)+'Scope 3 Yearly'!BW95*'Scope 3 Yearly'!BW105+'Scope 3 Yearly'!BW99*'Scope 3 Yearly'!BW109)*'Yearly Demand - BTX'!U7</f>
        <v>64.592628052793572</v>
      </c>
      <c r="BX26" s="44">
        <f>('Scope 3 Yearly'!$EE$189*'Scope 3 Yearly'!BX106*(1-'Scope 3 Yearly'!$B$197)+'Scope 3 Yearly'!BX95*'Scope 3 Yearly'!BX105+'Scope 3 Yearly'!BX99*'Scope 3 Yearly'!BX109)*'Yearly Demand - BTX'!V7</f>
        <v>66.394110749284494</v>
      </c>
      <c r="BY26" s="44">
        <f>('Scope 3 Yearly'!$EE$189*'Scope 3 Yearly'!BY106*(1-'Scope 3 Yearly'!$B$197)+'Scope 3 Yearly'!BY95*'Scope 3 Yearly'!BY105+'Scope 3 Yearly'!BY99*'Scope 3 Yearly'!BY109)*'Yearly Demand - BTX'!W7</f>
        <v>68.234832575742303</v>
      </c>
      <c r="BZ26" s="44">
        <f>('Scope 3 Yearly'!$EE$189*'Scope 3 Yearly'!BZ106*(1-'Scope 3 Yearly'!$B$197)+'Scope 3 Yearly'!BZ95*'Scope 3 Yearly'!BZ105+'Scope 3 Yearly'!BZ99*'Scope 3 Yearly'!BZ109)*'Yearly Demand - BTX'!X7</f>
        <v>70.115494182755683</v>
      </c>
      <c r="CA26" s="44">
        <f>('Scope 3 Yearly'!$EE$189*'Scope 3 Yearly'!CA106*(1-'Scope 3 Yearly'!$B$197)+'Scope 3 Yearly'!CA95*'Scope 3 Yearly'!CA105+'Scope 3 Yearly'!CA99*'Scope 3 Yearly'!CA109)*'Yearly Demand - BTX'!Y7</f>
        <v>71.561011974221984</v>
      </c>
      <c r="CB26" s="44">
        <f>('Scope 3 Yearly'!$EE$189*'Scope 3 Yearly'!CB106*(1-'Scope 3 Yearly'!$B$197)+'Scope 3 Yearly'!CB95*'Scope 3 Yearly'!CB105+'Scope 3 Yearly'!CB99*'Scope 3 Yearly'!CB109)*'Yearly Demand - BTX'!Z7</f>
        <v>73.016109553033147</v>
      </c>
      <c r="CC26" s="44">
        <f>('Scope 3 Yearly'!$EE$189*'Scope 3 Yearly'!CC106*(1-'Scope 3 Yearly'!$B$197)+'Scope 3 Yearly'!CC95*'Scope 3 Yearly'!CC105+'Scope 3 Yearly'!CC99*'Scope 3 Yearly'!CC109)*'Yearly Demand - BTX'!AA7</f>
        <v>74.480311005960914</v>
      </c>
      <c r="CD26" s="44">
        <f>('Scope 3 Yearly'!$EE$189*'Scope 3 Yearly'!CD106*(1-'Scope 3 Yearly'!$B$197)+'Scope 3 Yearly'!CD95*'Scope 3 Yearly'!CD105+'Scope 3 Yearly'!CD99*'Scope 3 Yearly'!CD109)*'Yearly Demand - BTX'!AB7</f>
        <v>75.953048062663441</v>
      </c>
      <c r="CE26" s="44">
        <f>('Scope 3 Yearly'!$EE$189*'Scope 3 Yearly'!CE106*(1-'Scope 3 Yearly'!$B$197)+'Scope 3 Yearly'!CE95*'Scope 3 Yearly'!CE105+'Scope 3 Yearly'!CE99*'Scope 3 Yearly'!CE109)*'Yearly Demand - BTX'!AC7</f>
        <v>77.433651135067208</v>
      </c>
      <c r="CF26" s="44">
        <f>('Scope 3 Yearly'!$EE$189*'Scope 3 Yearly'!CF106*(1-'Scope 3 Yearly'!$B$197)+'Scope 3 Yearly'!CF95*'Scope 3 Yearly'!CF105+'Scope 3 Yearly'!CF99*'Scope 3 Yearly'!CF109)*'Yearly Demand - BTX'!AD7</f>
        <v>78.899097389577335</v>
      </c>
      <c r="CG26" s="44">
        <f>('Scope 3 Yearly'!$EE$189*'Scope 3 Yearly'!CG106*(1-'Scope 3 Yearly'!$B$197)+'Scope 3 Yearly'!CG95*'Scope 3 Yearly'!CG105+'Scope 3 Yearly'!CG99*'Scope 3 Yearly'!CG109)*'Yearly Demand - BTX'!AE7</f>
        <v>80.383112059171438</v>
      </c>
      <c r="CH26" s="44">
        <f>('Scope 3 Yearly'!$EE$189*'Scope 3 Yearly'!CH106*(1-'Scope 3 Yearly'!$B$197)+'Scope 3 Yearly'!CH95*'Scope 3 Yearly'!CH105+'Scope 3 Yearly'!CH99*'Scope 3 Yearly'!CH109)*'Yearly Demand - BTX'!AF7</f>
        <v>81.885847751253223</v>
      </c>
      <c r="CI26" s="44">
        <f>('Scope 3 Yearly'!$EE$189*'Scope 3 Yearly'!CI106*(1-'Scope 3 Yearly'!$B$197)+'Scope 3 Yearly'!CI95*'Scope 3 Yearly'!CI105+'Scope 3 Yearly'!CI99*'Scope 3 Yearly'!CI109)*'Yearly Demand - BTX'!AG7</f>
        <v>83.407456125832184</v>
      </c>
      <c r="CJ26" s="44">
        <f>('Scope 3 Yearly'!$EE$189*'Scope 3 Yearly'!CJ106*(1-'Scope 3 Yearly'!$B$197)+'Scope 3 Yearly'!CJ95*'Scope 3 Yearly'!CJ105+'Scope 3 Yearly'!CJ99*'Scope 3 Yearly'!CJ109)*'Yearly Demand - BTX'!AH7</f>
        <v>84.948087785085121</v>
      </c>
      <c r="CK26" s="44">
        <f>('Scope 3 Yearly'!$EE$189*'Scope 3 Yearly'!CK106*(1-'Scope 3 Yearly'!$B$197)+'Scope 3 Yearly'!CK95*'Scope 3 Yearly'!CK105+'Scope 3 Yearly'!CK99*'Scope 3 Yearly'!CK109)*'Yearly Demand - BTX'!AI7</f>
        <v>86.04447894974399</v>
      </c>
      <c r="CL26" s="44">
        <f>('Scope 3 Yearly'!$EE$189*'Scope 3 Yearly'!CL106*(1-'Scope 3 Yearly'!$B$197)+'Scope 3 Yearly'!CL95*'Scope 3 Yearly'!CL105+'Scope 3 Yearly'!CL99*'Scope 3 Yearly'!CL109)*'Yearly Demand - BTX'!AJ7</f>
        <v>87.145890594626408</v>
      </c>
      <c r="CM26" s="44">
        <f>('Scope 3 Yearly'!$EE$189*'Scope 3 Yearly'!CM106*(1-'Scope 3 Yearly'!$B$197)+'Scope 3 Yearly'!CM95*'Scope 3 Yearly'!CM105+'Scope 3 Yearly'!CM99*'Scope 3 Yearly'!CM109)*'Yearly Demand - BTX'!AK7</f>
        <v>88.252286014544637</v>
      </c>
      <c r="CN26" s="44">
        <f>('Scope 3 Yearly'!$EE$189*'Scope 3 Yearly'!CN106*(1-'Scope 3 Yearly'!$B$197)+'Scope 3 Yearly'!CN95*'Scope 3 Yearly'!CN105+'Scope 3 Yearly'!CN99*'Scope 3 Yearly'!CN109)*'Yearly Demand - BTX'!AL7</f>
        <v>89.36362653927263</v>
      </c>
      <c r="CO26" s="44">
        <f>('Scope 3 Yearly'!$EE$189*'Scope 3 Yearly'!CO106*(1-'Scope 3 Yearly'!$B$197)+'Scope 3 Yearly'!CO95*'Scope 3 Yearly'!CO105+'Scope 3 Yearly'!CO99*'Scope 3 Yearly'!CO109)*'Yearly Demand - BTX'!AM7</f>
        <v>90.479871468773467</v>
      </c>
      <c r="CP26" s="44">
        <f>('Scope 3 Yearly'!$EE$189*'Scope 3 Yearly'!CP106*(1-'Scope 3 Yearly'!$B$197)+'Scope 3 Yearly'!CP95*'Scope 3 Yearly'!CP105+'Scope 3 Yearly'!CP99*'Scope 3 Yearly'!CP109)*'Yearly Demand - BTX'!AN7</f>
        <v>91.481177776582882</v>
      </c>
      <c r="CQ26" s="44">
        <f>('Scope 3 Yearly'!$EE$189*'Scope 3 Yearly'!CQ106*(1-'Scope 3 Yearly'!$B$197)+'Scope 3 Yearly'!CQ95*'Scope 3 Yearly'!CQ105+'Scope 3 Yearly'!CQ99*'Scope 3 Yearly'!CQ109)*'Yearly Demand - BTX'!AO7</f>
        <v>92.484599702829925</v>
      </c>
      <c r="CR26" s="44">
        <f>('Scope 3 Yearly'!$EE$189*'Scope 3 Yearly'!CR106*(1-'Scope 3 Yearly'!$B$197)+'Scope 3 Yearly'!CR95*'Scope 3 Yearly'!CR105+'Scope 3 Yearly'!CR99*'Scope 3 Yearly'!CR109)*'Yearly Demand - BTX'!AP7</f>
        <v>93.490081877553905</v>
      </c>
      <c r="CS26" s="44">
        <f>('Scope 3 Yearly'!$EE$189*'Scope 3 Yearly'!CS106*(1-'Scope 3 Yearly'!$B$197)+'Scope 3 Yearly'!CS95*'Scope 3 Yearly'!CS105+'Scope 3 Yearly'!CS99*'Scope 3 Yearly'!CS109)*'Yearly Demand - BTX'!AQ7</f>
        <v>94.497567115848369</v>
      </c>
      <c r="CT26" s="44">
        <f>('Scope 3 Yearly'!$EE$189*'Scope 3 Yearly'!CT106*(1-'Scope 3 Yearly'!$B$197)+'Scope 3 Yearly'!CT95*'Scope 3 Yearly'!CT105+'Scope 3 Yearly'!CT99*'Scope 3 Yearly'!CT109)*'Yearly Demand - BTX'!AR7</f>
        <v>95.506996364661262</v>
      </c>
      <c r="CV26" s="44">
        <f>('Scope 3 Yearly'!$EE$189*'Scope 3 Yearly'!CV106*(1-'Scope 3 Yearly'!$B$197)+'Scope 3 Yearly'!CV95*'Scope 3 Yearly'!CV105+'Scope 3 Yearly'!CV99*'Scope 3 Yearly'!CV109)*'Yearly Demand - BTX'!N7</f>
        <v>50.838806954660697</v>
      </c>
      <c r="CW26" s="44">
        <f>('Scope 3 Yearly'!$EE$189*'Scope 3 Yearly'!CW106*(1-'Scope 3 Yearly'!$B$197)+'Scope 3 Yearly'!CW95*'Scope 3 Yearly'!CW105+'Scope 3 Yearly'!CW99*'Scope 3 Yearly'!CW109)*'Yearly Demand - BTX'!O7</f>
        <v>52.040383738501959</v>
      </c>
      <c r="CX26" s="44">
        <f>('Scope 3 Yearly'!$EE$189*'Scope 3 Yearly'!CX106*(1-'Scope 3 Yearly'!$B$197)+'Scope 3 Yearly'!CX95*'Scope 3 Yearly'!CX105+'Scope 3 Yearly'!CX99*'Scope 3 Yearly'!CX109)*'Yearly Demand - BTX'!P7</f>
        <v>53.197080120903671</v>
      </c>
      <c r="CY26" s="44">
        <f>('Scope 3 Yearly'!$EE$189*'Scope 3 Yearly'!CY106*(1-'Scope 3 Yearly'!$B$197)+'Scope 3 Yearly'!CY95*'Scope 3 Yearly'!CY105+'Scope 3 Yearly'!CY99*'Scope 3 Yearly'!CY109)*'Yearly Demand - BTX'!Q7</f>
        <v>54.384815881671784</v>
      </c>
      <c r="CZ26" s="44">
        <f>('Scope 3 Yearly'!$EE$189*'Scope 3 Yearly'!CZ106*(1-'Scope 3 Yearly'!$B$197)+'Scope 3 Yearly'!CZ95*'Scope 3 Yearly'!CZ105+'Scope 3 Yearly'!CZ99*'Scope 3 Yearly'!CZ109)*'Yearly Demand - BTX'!R7</f>
        <v>55.602893961554308</v>
      </c>
      <c r="DA26" s="44">
        <f>('Scope 3 Yearly'!$EE$189*'Scope 3 Yearly'!DA106*(1-'Scope 3 Yearly'!$B$197)+'Scope 3 Yearly'!DA95*'Scope 3 Yearly'!DA105+'Scope 3 Yearly'!DA99*'Scope 3 Yearly'!DA109)*'Yearly Demand - BTX'!S7</f>
        <v>56.849231557566895</v>
      </c>
      <c r="DB26" s="44">
        <f>('Scope 3 Yearly'!$EE$189*'Scope 3 Yearly'!DB106*(1-'Scope 3 Yearly'!$B$197)+'Scope 3 Yearly'!DB95*'Scope 3 Yearly'!DB105+'Scope 3 Yearly'!DB99*'Scope 3 Yearly'!DB109)*'Yearly Demand - BTX'!T7</f>
        <v>57.655557877154955</v>
      </c>
      <c r="DC26" s="44">
        <f>('Scope 3 Yearly'!$EE$189*'Scope 3 Yearly'!DC106*(1-'Scope 3 Yearly'!$B$197)+'Scope 3 Yearly'!DC95*'Scope 3 Yearly'!DC105+'Scope 3 Yearly'!DC99*'Scope 3 Yearly'!DC109)*'Yearly Demand - BTX'!U7</f>
        <v>58.458939937644054</v>
      </c>
      <c r="DD26" s="44">
        <f>('Scope 3 Yearly'!$EE$189*'Scope 3 Yearly'!DD106*(1-'Scope 3 Yearly'!$B$197)+'Scope 3 Yearly'!DD95*'Scope 3 Yearly'!DD105+'Scope 3 Yearly'!DD99*'Scope 3 Yearly'!DD109)*'Yearly Demand - BTX'!V7</f>
        <v>59.240939731674516</v>
      </c>
      <c r="DE26" s="44">
        <f>('Scope 3 Yearly'!$EE$189*'Scope 3 Yearly'!DE106*(1-'Scope 3 Yearly'!$B$197)+'Scope 3 Yearly'!DE95*'Scope 3 Yearly'!DE105+'Scope 3 Yearly'!DE99*'Scope 3 Yearly'!DE109)*'Yearly Demand - BTX'!W7</f>
        <v>59.968848875691428</v>
      </c>
      <c r="DF26" s="44">
        <f>('Scope 3 Yearly'!$EE$189*'Scope 3 Yearly'!DF106*(1-'Scope 3 Yearly'!$B$197)+'Scope 3 Yearly'!DF95*'Scope 3 Yearly'!DF105+'Scope 3 Yearly'!DF99*'Scope 3 Yearly'!DF109)*'Yearly Demand - BTX'!X7</f>
        <v>60.587879356673461</v>
      </c>
      <c r="DG26" s="44">
        <f>('Scope 3 Yearly'!$EE$189*'Scope 3 Yearly'!DG106*(1-'Scope 3 Yearly'!$B$197)+'Scope 3 Yearly'!DG95*'Scope 3 Yearly'!DG105+'Scope 3 Yearly'!DG99*'Scope 3 Yearly'!DG109)*'Yearly Demand - BTX'!Y7</f>
        <v>60.276001661071554</v>
      </c>
      <c r="DH26" s="44">
        <f>('Scope 3 Yearly'!$EE$189*'Scope 3 Yearly'!DH106*(1-'Scope 3 Yearly'!$B$197)+'Scope 3 Yearly'!DH95*'Scope 3 Yearly'!DH105+'Scope 3 Yearly'!DH99*'Scope 3 Yearly'!DH109)*'Yearly Demand - BTX'!Z7</f>
        <v>59.649852869447564</v>
      </c>
      <c r="DI26" s="44">
        <f>('Scope 3 Yearly'!$EE$189*'Scope 3 Yearly'!DI106*(1-'Scope 3 Yearly'!$B$197)+'Scope 3 Yearly'!DI95*'Scope 3 Yearly'!DI105+'Scope 3 Yearly'!DI99*'Scope 3 Yearly'!DI109)*'Yearly Demand - BTX'!AA7</f>
        <v>58.588940993079405</v>
      </c>
      <c r="DJ26" s="44">
        <f>('Scope 3 Yearly'!$EE$189*'Scope 3 Yearly'!DJ106*(1-'Scope 3 Yearly'!$B$197)+'Scope 3 Yearly'!DJ95*'Scope 3 Yearly'!DJ105+'Scope 3 Yearly'!DJ99*'Scope 3 Yearly'!DJ109)*'Yearly Demand - BTX'!AB7</f>
        <v>56.991796798603218</v>
      </c>
      <c r="DK26" s="44">
        <f>('Scope 3 Yearly'!$EE$189*'Scope 3 Yearly'!DK106*(1-'Scope 3 Yearly'!$B$197)+'Scope 3 Yearly'!DK95*'Scope 3 Yearly'!DK105+'Scope 3 Yearly'!DK99*'Scope 3 Yearly'!DK109)*'Yearly Demand - BTX'!AC7</f>
        <v>54.8225013095878</v>
      </c>
      <c r="DL26" s="44">
        <f>('Scope 3 Yearly'!$EE$189*'Scope 3 Yearly'!DL106*(1-'Scope 3 Yearly'!$B$197)+'Scope 3 Yearly'!DL95*'Scope 3 Yearly'!DL105+'Scope 3 Yearly'!DL99*'Scope 3 Yearly'!DL109)*'Yearly Demand - BTX'!AD7</f>
        <v>52.123496762354456</v>
      </c>
      <c r="DM26" s="44">
        <f>('Scope 3 Yearly'!$EE$189*'Scope 3 Yearly'!DM106*(1-'Scope 3 Yearly'!$B$197)+'Scope 3 Yearly'!DM95*'Scope 3 Yearly'!DM105+'Scope 3 Yearly'!DM99*'Scope 3 Yearly'!DM109)*'Yearly Demand - BTX'!AE7</f>
        <v>49.085092444022855</v>
      </c>
      <c r="DN26" s="44">
        <f>('Scope 3 Yearly'!$EE$189*'Scope 3 Yearly'!DN106*(1-'Scope 3 Yearly'!$B$197)+'Scope 3 Yearly'!DN95*'Scope 3 Yearly'!DN105+'Scope 3 Yearly'!DN99*'Scope 3 Yearly'!DN109)*'Yearly Demand - BTX'!AF7</f>
        <v>45.925730244982759</v>
      </c>
      <c r="DO26" s="44">
        <f>('Scope 3 Yearly'!$EE$189*'Scope 3 Yearly'!DO106*(1-'Scope 3 Yearly'!$B$197)+'Scope 3 Yearly'!DO95*'Scope 3 Yearly'!DO105+'Scope 3 Yearly'!DO99*'Scope 3 Yearly'!DO109)*'Yearly Demand - BTX'!AG7</f>
        <v>42.853489788693764</v>
      </c>
      <c r="DP26" s="44">
        <f>('Scope 3 Yearly'!$EE$189*'Scope 3 Yearly'!DP106*(1-'Scope 3 Yearly'!$B$197)+'Scope 3 Yearly'!DP95*'Scope 3 Yearly'!DP105+'Scope 3 Yearly'!DP99*'Scope 3 Yearly'!DP109)*'Yearly Demand - BTX'!AH7</f>
        <v>40.018599532142446</v>
      </c>
      <c r="DQ26" s="44">
        <f>('Scope 3 Yearly'!$EE$189*'Scope 3 Yearly'!DQ106*(1-'Scope 3 Yearly'!$B$197)+'Scope 3 Yearly'!DQ95*'Scope 3 Yearly'!DQ105+'Scope 3 Yearly'!DQ99*'Scope 3 Yearly'!DQ109)*'Yearly Demand - BTX'!AI7</f>
        <v>36.965434602900494</v>
      </c>
      <c r="DR26" s="44">
        <f>('Scope 3 Yearly'!$EE$189*'Scope 3 Yearly'!DR106*(1-'Scope 3 Yearly'!$B$197)+'Scope 3 Yearly'!DR95*'Scope 3 Yearly'!DR105+'Scope 3 Yearly'!DR99*'Scope 3 Yearly'!DR109)*'Yearly Demand - BTX'!AJ7</f>
        <v>34.277394831811598</v>
      </c>
      <c r="DS26" s="44">
        <f>('Scope 3 Yearly'!$EE$189*'Scope 3 Yearly'!DS106*(1-'Scope 3 Yearly'!$B$197)+'Scope 3 Yearly'!DS95*'Scope 3 Yearly'!DS105+'Scope 3 Yearly'!DS99*'Scope 3 Yearly'!DS109)*'Yearly Demand - BTX'!AK7</f>
        <v>31.933167345880644</v>
      </c>
      <c r="DT26" s="44">
        <f>('Scope 3 Yearly'!$EE$189*'Scope 3 Yearly'!DT106*(1-'Scope 3 Yearly'!$B$197)+'Scope 3 Yearly'!DT95*'Scope 3 Yearly'!DT105+'Scope 3 Yearly'!DT99*'Scope 3 Yearly'!DT109)*'Yearly Demand - BTX'!AL7</f>
        <v>29.87942166783931</v>
      </c>
      <c r="DU26" s="44">
        <f>('Scope 3 Yearly'!$EE$189*'Scope 3 Yearly'!DU106*(1-'Scope 3 Yearly'!$B$197)+'Scope 3 Yearly'!DU95*'Scope 3 Yearly'!DU105+'Scope 3 Yearly'!DU99*'Scope 3 Yearly'!DU109)*'Yearly Demand - BTX'!AM7</f>
        <v>28.058092049045122</v>
      </c>
      <c r="DV26" s="44">
        <f>('Scope 3 Yearly'!$EE$189*'Scope 3 Yearly'!DV106*(1-'Scope 3 Yearly'!$B$197)+'Scope 3 Yearly'!DV95*'Scope 3 Yearly'!DV105+'Scope 3 Yearly'!DV99*'Scope 3 Yearly'!DV109)*'Yearly Demand - BTX'!AN7</f>
        <v>26.38214531063748</v>
      </c>
      <c r="DW26" s="44">
        <f>('Scope 3 Yearly'!$EE$189*'Scope 3 Yearly'!DW106*(1-'Scope 3 Yearly'!$B$197)+'Scope 3 Yearly'!DW95*'Scope 3 Yearly'!DW105+'Scope 3 Yearly'!DW99*'Scope 3 Yearly'!DW109)*'Yearly Demand - BTX'!AO7</f>
        <v>24.84648456184053</v>
      </c>
      <c r="DX26" s="44">
        <f>('Scope 3 Yearly'!$EE$189*'Scope 3 Yearly'!DX106*(1-'Scope 3 Yearly'!$B$197)+'Scope 3 Yearly'!DX95*'Scope 3 Yearly'!DX105+'Scope 3 Yearly'!DX99*'Scope 3 Yearly'!DX109)*'Yearly Demand - BTX'!AP7</f>
        <v>23.416247417497146</v>
      </c>
      <c r="DY26" s="44">
        <f>('Scope 3 Yearly'!$EE$189*'Scope 3 Yearly'!DY106*(1-'Scope 3 Yearly'!$B$197)+'Scope 3 Yearly'!DY95*'Scope 3 Yearly'!DY105+'Scope 3 Yearly'!DY99*'Scope 3 Yearly'!DY109)*'Yearly Demand - BTX'!AQ7</f>
        <v>22.065021603990907</v>
      </c>
      <c r="DZ26" s="44">
        <f>('Scope 3 Yearly'!$EE$189*'Scope 3 Yearly'!DZ106*(1-'Scope 3 Yearly'!$B$197)+'Scope 3 Yearly'!DZ95*'Scope 3 Yearly'!DZ105+'Scope 3 Yearly'!DZ99*'Scope 3 Yearly'!DZ109)*'Yearly Demand - BTX'!AR7</f>
        <v>20.77350520415402</v>
      </c>
    </row>
    <row r="27" spans="1:165">
      <c r="A27" t="s">
        <v>8</v>
      </c>
      <c r="C27" s="54" t="s">
        <v>415</v>
      </c>
      <c r="D27" s="44">
        <f>('Scope 3 Yearly'!$EE$190*'Scope 3 Yearly'!D129*(1-'Scope 3 Yearly'!$B$197)+'Scope 3 Yearly'!D118*'Scope 3 Yearly'!D128+'Scope 3 Yearly'!D122*'Scope 3 Yearly'!D132)*'Yearly BTX'!D130</f>
        <v>12.843809410309508</v>
      </c>
      <c r="E27" s="44">
        <f>('Scope 3 Yearly'!$EE$190*'Scope 3 Yearly'!E129*(1-'Scope 3 Yearly'!$B$197)+'Scope 3 Yearly'!E118*'Scope 3 Yearly'!E128+'Scope 3 Yearly'!E122*'Scope 3 Yearly'!E132)*'Yearly BTX'!E130</f>
        <v>13.097119942567263</v>
      </c>
      <c r="F27" s="44">
        <f>('Scope 3 Yearly'!$EE$190*'Scope 3 Yearly'!F129*(1-'Scope 3 Yearly'!$B$197)+'Scope 3 Yearly'!F118*'Scope 3 Yearly'!F128+'Scope 3 Yearly'!F122*'Scope 3 Yearly'!F132)*'Yearly BTX'!F130</f>
        <v>13.318938087459602</v>
      </c>
      <c r="G27" s="44">
        <f>('Scope 3 Yearly'!$EE$190*'Scope 3 Yearly'!G129*(1-'Scope 3 Yearly'!$B$197)+'Scope 3 Yearly'!G118*'Scope 3 Yearly'!G128+'Scope 3 Yearly'!G122*'Scope 3 Yearly'!G132)*'Yearly BTX'!G130</f>
        <v>13.549755330759591</v>
      </c>
      <c r="H27" s="44">
        <f>('Scope 3 Yearly'!$EE$190*'Scope 3 Yearly'!H129*(1-'Scope 3 Yearly'!$B$197)+'Scope 3 Yearly'!H118*'Scope 3 Yearly'!H128+'Scope 3 Yearly'!H122*'Scope 3 Yearly'!H132)*'Yearly BTX'!H130</f>
        <v>13.789836527033431</v>
      </c>
      <c r="I27" s="44">
        <f>('Scope 3 Yearly'!$EE$190*'Scope 3 Yearly'!I129*(1-'Scope 3 Yearly'!$B$197)+'Scope 3 Yearly'!I118*'Scope 3 Yearly'!I128+'Scope 3 Yearly'!I122*'Scope 3 Yearly'!I132)*'Yearly BTX'!I130</f>
        <v>14.039158245557758</v>
      </c>
      <c r="J27" s="44">
        <f>('Scope 3 Yearly'!$EE$190*'Scope 3 Yearly'!J129*(1-'Scope 3 Yearly'!$B$197)+'Scope 3 Yearly'!J118*'Scope 3 Yearly'!J128+'Scope 3 Yearly'!J122*'Scope 3 Yearly'!J132)*'Yearly BTX'!J130</f>
        <v>14.177259769528376</v>
      </c>
      <c r="K27" s="44">
        <f>('Scope 3 Yearly'!$EE$190*'Scope 3 Yearly'!K129*(1-'Scope 3 Yearly'!$B$197)+'Scope 3 Yearly'!K118*'Scope 3 Yearly'!K128+'Scope 3 Yearly'!K122*'Scope 3 Yearly'!K132)*'Yearly BTX'!K130</f>
        <v>14.315001115727274</v>
      </c>
      <c r="L27" s="44">
        <f>('Scope 3 Yearly'!$EE$190*'Scope 3 Yearly'!L129*(1-'Scope 3 Yearly'!$B$197)+'Scope 3 Yearly'!L118*'Scope 3 Yearly'!L128+'Scope 3 Yearly'!L122*'Scope 3 Yearly'!L132)*'Yearly BTX'!L130</f>
        <v>14.448072827887691</v>
      </c>
      <c r="M27" s="44">
        <f>('Scope 3 Yearly'!$EE$190*'Scope 3 Yearly'!M129*(1-'Scope 3 Yearly'!$B$197)+'Scope 3 Yearly'!M118*'Scope 3 Yearly'!M128+'Scope 3 Yearly'!M122*'Scope 3 Yearly'!M132)*'Yearly BTX'!M130</f>
        <v>14.568786493260742</v>
      </c>
      <c r="N27" s="44">
        <f>('Scope 3 Yearly'!$EE$190*'Scope 3 Yearly'!N129*(1-'Scope 3 Yearly'!$B$197)+'Scope 3 Yearly'!N118*'Scope 3 Yearly'!N128+'Scope 3 Yearly'!N122*'Scope 3 Yearly'!N132)*'Yearly BTX'!N130</f>
        <v>14.664160939780093</v>
      </c>
      <c r="O27" s="44">
        <f>('Scope 3 Yearly'!$EE$190*'Scope 3 Yearly'!O129*(1-'Scope 3 Yearly'!$B$197)+'Scope 3 Yearly'!O118*'Scope 3 Yearly'!O128+'Scope 3 Yearly'!O122*'Scope 3 Yearly'!O132)*'Yearly BTX'!O130</f>
        <v>14.458676051582628</v>
      </c>
      <c r="P27" s="44">
        <f>('Scope 3 Yearly'!$EE$190*'Scope 3 Yearly'!P129*(1-'Scope 3 Yearly'!$B$197)+'Scope 3 Yearly'!P118*'Scope 3 Yearly'!P128+'Scope 3 Yearly'!P122*'Scope 3 Yearly'!P132)*'Yearly BTX'!P130</f>
        <v>14.181608926780983</v>
      </c>
      <c r="Q27" s="44">
        <f>('Scope 3 Yearly'!$EE$190*'Scope 3 Yearly'!Q129*(1-'Scope 3 Yearly'!$B$197)+'Scope 3 Yearly'!Q118*'Scope 3 Yearly'!Q128+'Scope 3 Yearly'!Q122*'Scope 3 Yearly'!Q132)*'Yearly BTX'!Q130</f>
        <v>13.806614937942756</v>
      </c>
      <c r="R27" s="44">
        <f>('Scope 3 Yearly'!$EE$190*'Scope 3 Yearly'!R129*(1-'Scope 3 Yearly'!$B$197)+'Scope 3 Yearly'!R118*'Scope 3 Yearly'!R128+'Scope 3 Yearly'!R122*'Scope 3 Yearly'!R132)*'Yearly BTX'!R130</f>
        <v>13.312522746462447</v>
      </c>
      <c r="S27" s="44">
        <f>('Scope 3 Yearly'!$EE$190*'Scope 3 Yearly'!S129*(1-'Scope 3 Yearly'!$B$197)+'Scope 3 Yearly'!S118*'Scope 3 Yearly'!S128+'Scope 3 Yearly'!S122*'Scope 3 Yearly'!S132)*'Yearly BTX'!S130</f>
        <v>12.693990513080763</v>
      </c>
      <c r="T27" s="44">
        <f>('Scope 3 Yearly'!$EE$190*'Scope 3 Yearly'!T129*(1-'Scope 3 Yearly'!$B$197)+'Scope 3 Yearly'!T118*'Scope 3 Yearly'!T128+'Scope 3 Yearly'!T122*'Scope 3 Yearly'!T132)*'Yearly BTX'!T130</f>
        <v>11.960002041224289</v>
      </c>
      <c r="U27" s="44">
        <f>('Scope 3 Yearly'!$EE$190*'Scope 3 Yearly'!U129*(1-'Scope 3 Yearly'!$B$197)+'Scope 3 Yearly'!U118*'Scope 3 Yearly'!U128+'Scope 3 Yearly'!U122*'Scope 3 Yearly'!U132)*'Yearly BTX'!U130</f>
        <v>11.157341153349812</v>
      </c>
      <c r="V27" s="44">
        <f>('Scope 3 Yearly'!$EE$190*'Scope 3 Yearly'!V129*(1-'Scope 3 Yearly'!$B$197)+'Scope 3 Yearly'!V118*'Scope 3 Yearly'!V128+'Scope 3 Yearly'!V122*'Scope 3 Yearly'!V132)*'Yearly BTX'!V130</f>
        <v>10.337086661137274</v>
      </c>
      <c r="W27" s="44">
        <f>('Scope 3 Yearly'!$EE$190*'Scope 3 Yearly'!W129*(1-'Scope 3 Yearly'!$B$197)+'Scope 3 Yearly'!W118*'Scope 3 Yearly'!W128+'Scope 3 Yearly'!W122*'Scope 3 Yearly'!W132)*'Yearly BTX'!W130</f>
        <v>9.5462586308171566</v>
      </c>
      <c r="X27" s="44">
        <f>('Scope 3 Yearly'!$EE$190*'Scope 3 Yearly'!X129*(1-'Scope 3 Yearly'!$B$197)+'Scope 3 Yearly'!X118*'Scope 3 Yearly'!X128+'Scope 3 Yearly'!X122*'Scope 3 Yearly'!X132)*'Yearly BTX'!X130</f>
        <v>8.8174779776170222</v>
      </c>
      <c r="Y27" s="44">
        <f>('Scope 3 Yearly'!$EE$190*'Scope 3 Yearly'!Y129*(1-'Scope 3 Yearly'!$B$197)+'Scope 3 Yearly'!Y118*'Scope 3 Yearly'!Y128+'Scope 3 Yearly'!Y122*'Scope 3 Yearly'!Y132)*'Yearly BTX'!Y130</f>
        <v>8.0154712349758768</v>
      </c>
      <c r="Z27" s="44">
        <f>('Scope 3 Yearly'!$EE$190*'Scope 3 Yearly'!Z129*(1-'Scope 3 Yearly'!$B$197)+'Scope 3 Yearly'!Z118*'Scope 3 Yearly'!Z128+'Scope 3 Yearly'!Z122*'Scope 3 Yearly'!Z132)*'Yearly BTX'!Z130</f>
        <v>7.2935926091707701</v>
      </c>
      <c r="AA27" s="44">
        <f>('Scope 3 Yearly'!$EE$190*'Scope 3 Yearly'!AA129*(1-'Scope 3 Yearly'!$B$197)+'Scope 3 Yearly'!AA118*'Scope 3 Yearly'!AA128+'Scope 3 Yearly'!AA122*'Scope 3 Yearly'!AA132)*'Yearly BTX'!AA130</f>
        <v>6.6574144726231648</v>
      </c>
      <c r="AB27" s="44">
        <f>('Scope 3 Yearly'!$EE$190*'Scope 3 Yearly'!AB129*(1-'Scope 3 Yearly'!$B$197)+'Scope 3 Yearly'!AB118*'Scope 3 Yearly'!AB128+'Scope 3 Yearly'!AB122*'Scope 3 Yearly'!AB132)*'Yearly BTX'!AB130</f>
        <v>6.0948224763305507</v>
      </c>
      <c r="AC27" s="44">
        <f>('Scope 3 Yearly'!$EE$190*'Scope 3 Yearly'!AC129*(1-'Scope 3 Yearly'!$B$197)+'Scope 3 Yearly'!AC118*'Scope 3 Yearly'!AC128+'Scope 3 Yearly'!AC122*'Scope 3 Yearly'!AC132)*'Yearly BTX'!AC130</f>
        <v>5.5918015066867142</v>
      </c>
      <c r="AD27" s="44">
        <f>('Scope 3 Yearly'!$EE$190*'Scope 3 Yearly'!AD129*(1-'Scope 3 Yearly'!$B$197)+'Scope 3 Yearly'!AD118*'Scope 3 Yearly'!AD128+'Scope 3 Yearly'!AD122*'Scope 3 Yearly'!AD132)*'Yearly BTX'!AD130</f>
        <v>5.1266962664448386</v>
      </c>
      <c r="AE27" s="44">
        <f>('Scope 3 Yearly'!$EE$190*'Scope 3 Yearly'!AE129*(1-'Scope 3 Yearly'!$B$197)+'Scope 3 Yearly'!AE118*'Scope 3 Yearly'!AE128+'Scope 3 Yearly'!AE122*'Scope 3 Yearly'!AE132)*'Yearly BTX'!AE130</f>
        <v>4.699508692156777</v>
      </c>
      <c r="AF27" s="44">
        <f>('Scope 3 Yearly'!$EE$190*'Scope 3 Yearly'!AF129*(1-'Scope 3 Yearly'!$B$197)+'Scope 3 Yearly'!AF118*'Scope 3 Yearly'!AF128+'Scope 3 Yearly'!AF122*'Scope 3 Yearly'!AF132)*'Yearly BTX'!AF130</f>
        <v>4.3022188086904052</v>
      </c>
      <c r="AG27" s="44">
        <f>('Scope 3 Yearly'!$EE$190*'Scope 3 Yearly'!AG129*(1-'Scope 3 Yearly'!$B$197)+'Scope 3 Yearly'!AG118*'Scope 3 Yearly'!AG128+'Scope 3 Yearly'!AG122*'Scope 3 Yearly'!AG132)*'Yearly BTX'!AG130</f>
        <v>3.9291002389798773</v>
      </c>
      <c r="AH27" s="44">
        <f>('Scope 3 Yearly'!$EE$190*'Scope 3 Yearly'!AH129*(1-'Scope 3 Yearly'!$B$197)+'Scope 3 Yearly'!AH118*'Scope 3 Yearly'!AH128+'Scope 3 Yearly'!AH122*'Scope 3 Yearly'!AH132)*'Yearly BTX'!AH130</f>
        <v>3.5765562313019101</v>
      </c>
      <c r="AI27" s="44"/>
      <c r="AJ27" s="44">
        <f>('Scope 3 Yearly'!$EE$190*'Scope 3 Yearly'!AJ129*(1-'Scope 3 Yearly'!$B$197)+'Scope 3 Yearly'!AJ118*'Scope 3 Yearly'!AJ128+'Scope 3 Yearly'!AJ122*'Scope 3 Yearly'!AJ132)*'Yearly BTX'!AJ130</f>
        <v>12.843811489985416</v>
      </c>
      <c r="AK27" s="44">
        <f>('Scope 3 Yearly'!$EE$190*'Scope 3 Yearly'!AK129*(1-'Scope 3 Yearly'!$B$197)+'Scope 3 Yearly'!AK118*'Scope 3 Yearly'!AK128+'Scope 3 Yearly'!AK122*'Scope 3 Yearly'!AK132)*'Yearly BTX'!AK130</f>
        <v>13.097124650008293</v>
      </c>
      <c r="AL27" s="44">
        <f>('Scope 3 Yearly'!$EE$190*'Scope 3 Yearly'!AL129*(1-'Scope 3 Yearly'!$B$197)+'Scope 3 Yearly'!AL118*'Scope 3 Yearly'!AL128+'Scope 3 Yearly'!AL122*'Scope 3 Yearly'!AL132)*'Yearly BTX'!AL130</f>
        <v>13.318948450921008</v>
      </c>
      <c r="AM27" s="44">
        <f>('Scope 3 Yearly'!$EE$190*'Scope 3 Yearly'!AM129*(1-'Scope 3 Yearly'!$B$197)+'Scope 3 Yearly'!AM118*'Scope 3 Yearly'!AM128+'Scope 3 Yearly'!AM122*'Scope 3 Yearly'!AM132)*'Yearly BTX'!AM130</f>
        <v>13.549777955672276</v>
      </c>
      <c r="AN27" s="44">
        <f>('Scope 3 Yearly'!$EE$190*'Scope 3 Yearly'!AN129*(1-'Scope 3 Yearly'!$B$197)+'Scope 3 Yearly'!AN118*'Scope 3 Yearly'!AN128+'Scope 3 Yearly'!AN122*'Scope 3 Yearly'!AN132)*'Yearly BTX'!AN130</f>
        <v>13.789885480924294</v>
      </c>
      <c r="AO27" s="44">
        <f>('Scope 3 Yearly'!$EE$190*'Scope 3 Yearly'!AO129*(1-'Scope 3 Yearly'!$B$197)+'Scope 3 Yearly'!AO118*'Scope 3 Yearly'!AO128+'Scope 3 Yearly'!AO122*'Scope 3 Yearly'!AO132)*'Yearly BTX'!AO130</f>
        <v>14.03926311628684</v>
      </c>
      <c r="AP27" s="44">
        <f>('Scope 3 Yearly'!$EE$190*'Scope 3 Yearly'!AP129*(1-'Scope 3 Yearly'!$B$197)+'Scope 3 Yearly'!AP118*'Scope 3 Yearly'!AP128+'Scope 3 Yearly'!AP122*'Scope 3 Yearly'!AP132)*'Yearly BTX'!AP130</f>
        <v>14.177481173856656</v>
      </c>
      <c r="AQ27" s="44">
        <f>('Scope 3 Yearly'!$EE$190*'Scope 3 Yearly'!AQ129*(1-'Scope 3 Yearly'!$B$197)+'Scope 3 Yearly'!AQ118*'Scope 3 Yearly'!AQ128+'Scope 3 Yearly'!AQ122*'Scope 3 Yearly'!AQ132)*'Yearly BTX'!AQ130</f>
        <v>14.315462337271192</v>
      </c>
      <c r="AR27" s="44">
        <f>('Scope 3 Yearly'!$EE$190*'Scope 3 Yearly'!AR129*(1-'Scope 3 Yearly'!$B$197)+'Scope 3 Yearly'!AR118*'Scope 3 Yearly'!AR128+'Scope 3 Yearly'!AR122*'Scope 3 Yearly'!AR132)*'Yearly BTX'!AR130</f>
        <v>14.449017364040639</v>
      </c>
      <c r="AS27" s="44">
        <f>('Scope 3 Yearly'!$EE$190*'Scope 3 Yearly'!AS129*(1-'Scope 3 Yearly'!$B$197)+'Scope 3 Yearly'!AS118*'Scope 3 Yearly'!AS128+'Scope 3 Yearly'!AS122*'Scope 3 Yearly'!AS132)*'Yearly BTX'!AS130</f>
        <v>14.570678353340309</v>
      </c>
      <c r="AT27" s="44">
        <f>('Scope 3 Yearly'!$EE$190*'Scope 3 Yearly'!AT129*(1-'Scope 3 Yearly'!$B$197)+'Scope 3 Yearly'!AT118*'Scope 3 Yearly'!AT128+'Scope 3 Yearly'!AT122*'Scope 3 Yearly'!AT132)*'Yearly BTX'!AT130</f>
        <v>14.667857712858325</v>
      </c>
      <c r="AU27" s="44">
        <f>('Scope 3 Yearly'!$EE$190*'Scope 3 Yearly'!AU129*(1-'Scope 3 Yearly'!$B$197)+'Scope 3 Yearly'!AU118*'Scope 3 Yearly'!AU128+'Scope 3 Yearly'!AU122*'Scope 3 Yearly'!AU132)*'Yearly BTX'!AU130</f>
        <v>14.46524420765042</v>
      </c>
      <c r="AV27" s="44">
        <f>('Scope 3 Yearly'!$EE$190*'Scope 3 Yearly'!AV129*(1-'Scope 3 Yearly'!$B$197)+'Scope 3 Yearly'!AV118*'Scope 3 Yearly'!AV128+'Scope 3 Yearly'!AV122*'Scope 3 Yearly'!AV132)*'Yearly BTX'!AV130</f>
        <v>14.192774936172842</v>
      </c>
      <c r="AW27" s="44">
        <f>('Scope 3 Yearly'!$EE$190*'Scope 3 Yearly'!AW129*(1-'Scope 3 Yearly'!$B$197)+'Scope 3 Yearly'!AW118*'Scope 3 Yearly'!AW128+'Scope 3 Yearly'!AW122*'Scope 3 Yearly'!AW132)*'Yearly BTX'!AW130</f>
        <v>13.824497393620559</v>
      </c>
      <c r="AX27" s="44">
        <f>('Scope 3 Yearly'!$EE$190*'Scope 3 Yearly'!AX129*(1-'Scope 3 Yearly'!$B$197)+'Scope 3 Yearly'!AX118*'Scope 3 Yearly'!AX128+'Scope 3 Yearly'!AX122*'Scope 3 Yearly'!AX132)*'Yearly BTX'!AX130</f>
        <v>13.339216267293672</v>
      </c>
      <c r="AY27" s="44">
        <f>('Scope 3 Yearly'!$EE$190*'Scope 3 Yearly'!AY129*(1-'Scope 3 Yearly'!$B$197)+'Scope 3 Yearly'!AY118*'Scope 3 Yearly'!AY128+'Scope 3 Yearly'!AY122*'Scope 3 Yearly'!AY132)*'Yearly BTX'!AY130</f>
        <v>12.73085875420584</v>
      </c>
      <c r="AZ27" s="44">
        <f>('Scope 3 Yearly'!$EE$190*'Scope 3 Yearly'!AZ129*(1-'Scope 3 Yearly'!$B$197)+'Scope 3 Yearly'!AZ118*'Scope 3 Yearly'!AZ128+'Scope 3 Yearly'!AZ122*'Scope 3 Yearly'!AZ132)*'Yearly BTX'!AZ130</f>
        <v>12.006986080502795</v>
      </c>
      <c r="BA27" s="44">
        <f>('Scope 3 Yearly'!$EE$190*'Scope 3 Yearly'!BA129*(1-'Scope 3 Yearly'!$B$197)+'Scope 3 Yearly'!BA118*'Scope 3 Yearly'!BA128+'Scope 3 Yearly'!BA122*'Scope 3 Yearly'!BA132)*'Yearly BTX'!BA130</f>
        <v>11.2127987526152</v>
      </c>
      <c r="BB27" s="44">
        <f>('Scope 3 Yearly'!$EE$190*'Scope 3 Yearly'!BB129*(1-'Scope 3 Yearly'!$B$197)+'Scope 3 Yearly'!BB118*'Scope 3 Yearly'!BB128+'Scope 3 Yearly'!BB122*'Scope 3 Yearly'!BB132)*'Yearly BTX'!BB130</f>
        <v>10.398257802892287</v>
      </c>
      <c r="BC27" s="44">
        <f>('Scope 3 Yearly'!$EE$190*'Scope 3 Yearly'!BC129*(1-'Scope 3 Yearly'!$B$197)+'Scope 3 Yearly'!BC118*'Scope 3 Yearly'!BC128+'Scope 3 Yearly'!BC122*'Scope 3 Yearly'!BC132)*'Yearly BTX'!BC130</f>
        <v>9.6101180752407309</v>
      </c>
      <c r="BD27" s="44">
        <f>('Scope 3 Yearly'!$EE$190*'Scope 3 Yearly'!BD129*(1-'Scope 3 Yearly'!$B$197)+'Scope 3 Yearly'!BD118*'Scope 3 Yearly'!BD128+'Scope 3 Yearly'!BD122*'Scope 3 Yearly'!BD132)*'Yearly BTX'!BD130</f>
        <v>8.881472699430212</v>
      </c>
      <c r="BE27" s="44">
        <f>('Scope 3 Yearly'!$EE$190*'Scope 3 Yearly'!BE129*(1-'Scope 3 Yearly'!$B$197)+'Scope 3 Yearly'!BE118*'Scope 3 Yearly'!BE128+'Scope 3 Yearly'!BE122*'Scope 3 Yearly'!BE132)*'Yearly BTX'!BE130</f>
        <v>8.073413870199774</v>
      </c>
      <c r="BF27" s="44">
        <f>('Scope 3 Yearly'!$EE$190*'Scope 3 Yearly'!BF129*(1-'Scope 3 Yearly'!$B$197)+'Scope 3 Yearly'!BF118*'Scope 3 Yearly'!BF128+'Scope 3 Yearly'!BF122*'Scope 3 Yearly'!BF132)*'Yearly BTX'!BF130</f>
        <v>7.3518593031006674</v>
      </c>
      <c r="BG27" s="44">
        <f>('Scope 3 Yearly'!$EE$190*'Scope 3 Yearly'!BG129*(1-'Scope 3 Yearly'!$B$197)+'Scope 3 Yearly'!BG118*'Scope 3 Yearly'!BG128+'Scope 3 Yearly'!BG122*'Scope 3 Yearly'!BG132)*'Yearly BTX'!BG130</f>
        <v>6.7161399373187765</v>
      </c>
      <c r="BH27" s="44">
        <f>('Scope 3 Yearly'!$EE$190*'Scope 3 Yearly'!BH129*(1-'Scope 3 Yearly'!$B$197)+'Scope 3 Yearly'!BH118*'Scope 3 Yearly'!BH128+'Scope 3 Yearly'!BH122*'Scope 3 Yearly'!BH132)*'Yearly BTX'!BH130</f>
        <v>6.1538853949746937</v>
      </c>
      <c r="BI27" s="44">
        <f>('Scope 3 Yearly'!$EE$190*'Scope 3 Yearly'!BI129*(1-'Scope 3 Yearly'!$B$197)+'Scope 3 Yearly'!BI118*'Scope 3 Yearly'!BI128+'Scope 3 Yearly'!BI122*'Scope 3 Yearly'!BI132)*'Yearly BTX'!BI130</f>
        <v>5.6514244336139114</v>
      </c>
      <c r="BJ27" s="44">
        <f>('Scope 3 Yearly'!$EE$190*'Scope 3 Yearly'!BJ129*(1-'Scope 3 Yearly'!$B$197)+'Scope 3 Yearly'!BJ118*'Scope 3 Yearly'!BJ128+'Scope 3 Yearly'!BJ122*'Scope 3 Yearly'!BJ132)*'Yearly BTX'!BJ130</f>
        <v>5.1873714217513998</v>
      </c>
      <c r="BK27" s="44">
        <f>('Scope 3 Yearly'!$EE$190*'Scope 3 Yearly'!BK129*(1-'Scope 3 Yearly'!$B$197)+'Scope 3 Yearly'!BK118*'Scope 3 Yearly'!BK128+'Scope 3 Yearly'!BK122*'Scope 3 Yearly'!BK132)*'Yearly BTX'!BK130</f>
        <v>4.7620059931129424</v>
      </c>
      <c r="BL27" s="44">
        <f>('Scope 3 Yearly'!$EE$190*'Scope 3 Yearly'!BL129*(1-'Scope 3 Yearly'!$B$197)+'Scope 3 Yearly'!BL118*'Scope 3 Yearly'!BL128+'Scope 3 Yearly'!BL122*'Scope 3 Yearly'!BL132)*'Yearly BTX'!BL130</f>
        <v>4.3674845941419189</v>
      </c>
      <c r="BM27" s="44">
        <f>('Scope 3 Yearly'!$EE$190*'Scope 3 Yearly'!BM129*(1-'Scope 3 Yearly'!$B$197)+'Scope 3 Yearly'!BM118*'Scope 3 Yearly'!BM128+'Scope 3 Yearly'!BM122*'Scope 3 Yearly'!BM132)*'Yearly BTX'!BM130</f>
        <v>3.9980995052941912</v>
      </c>
      <c r="BN27" s="44">
        <f>('Scope 3 Yearly'!$EE$190*'Scope 3 Yearly'!BN129*(1-'Scope 3 Yearly'!$B$197)+'Scope 3 Yearly'!BN118*'Scope 3 Yearly'!BN128+'Scope 3 Yearly'!BN122*'Scope 3 Yearly'!BN132)*'Yearly BTX'!BN130</f>
        <v>3.6500287672953822</v>
      </c>
      <c r="BO27" s="44"/>
      <c r="BP27" s="44">
        <f>('Scope 3 Yearly'!$EE$190*'Scope 3 Yearly'!BP129*(1-'Scope 3 Yearly'!$B$197)+'Scope 3 Yearly'!BP118*'Scope 3 Yearly'!BP128+'Scope 3 Yearly'!BP122*'Scope 3 Yearly'!BP132)*'Yearly Demand - BTX'!N8</f>
        <v>12.84393214339539</v>
      </c>
      <c r="BQ27" s="44">
        <f>('Scope 3 Yearly'!$EE$190*'Scope 3 Yearly'!BQ129*(1-'Scope 3 Yearly'!$B$197)+'Scope 3 Yearly'!BQ118*'Scope 3 Yearly'!BQ128+'Scope 3 Yearly'!BQ122*'Scope 3 Yearly'!BQ132)*'Yearly Demand - BTX'!O8</f>
        <v>13.334798796502692</v>
      </c>
      <c r="BR27" s="44">
        <f>('Scope 3 Yearly'!$EE$190*'Scope 3 Yearly'!BR129*(1-'Scope 3 Yearly'!$B$197)+'Scope 3 Yearly'!BR118*'Scope 3 Yearly'!BR128+'Scope 3 Yearly'!BR122*'Scope 3 Yearly'!BR132)*'Yearly Demand - BTX'!P8</f>
        <v>13.838801688998911</v>
      </c>
      <c r="BS27" s="44">
        <f>('Scope 3 Yearly'!$EE$190*'Scope 3 Yearly'!BS129*(1-'Scope 3 Yearly'!$B$197)+'Scope 3 Yearly'!BS118*'Scope 3 Yearly'!BS128+'Scope 3 Yearly'!BS122*'Scope 3 Yearly'!BS132)*'Yearly Demand - BTX'!Q8</f>
        <v>14.356230574879982</v>
      </c>
      <c r="BT27" s="44">
        <f>('Scope 3 Yearly'!$EE$190*'Scope 3 Yearly'!BT129*(1-'Scope 3 Yearly'!$B$197)+'Scope 3 Yearly'!BT118*'Scope 3 Yearly'!BT128+'Scope 3 Yearly'!BT122*'Scope 3 Yearly'!BT132)*'Yearly Demand - BTX'!R8</f>
        <v>14.887355971133386</v>
      </c>
      <c r="BU27" s="44">
        <f>('Scope 3 Yearly'!$EE$190*'Scope 3 Yearly'!BU129*(1-'Scope 3 Yearly'!$B$197)+'Scope 3 Yearly'!BU118*'Scope 3 Yearly'!BU128+'Scope 3 Yearly'!BU122*'Scope 3 Yearly'!BU132)*'Yearly Demand - BTX'!S8</f>
        <v>15.432426132053291</v>
      </c>
      <c r="BV27" s="44">
        <f>('Scope 3 Yearly'!$EE$190*'Scope 3 Yearly'!BV129*(1-'Scope 3 Yearly'!$B$197)+'Scope 3 Yearly'!BV118*'Scope 3 Yearly'!BV128+'Scope 3 Yearly'!BV122*'Scope 3 Yearly'!BV132)*'Yearly Demand - BTX'!T8</f>
        <v>15.86716987790212</v>
      </c>
      <c r="BW27" s="44">
        <f>('Scope 3 Yearly'!$EE$190*'Scope 3 Yearly'!BW129*(1-'Scope 3 Yearly'!$B$197)+'Scope 3 Yearly'!BW118*'Scope 3 Yearly'!BW128+'Scope 3 Yearly'!BW122*'Scope 3 Yearly'!BW132)*'Yearly Demand - BTX'!U8</f>
        <v>16.311444103762437</v>
      </c>
      <c r="BX27" s="44">
        <f>('Scope 3 Yearly'!$EE$190*'Scope 3 Yearly'!BX129*(1-'Scope 3 Yearly'!$B$197)+'Scope 3 Yearly'!BX118*'Scope 3 Yearly'!BX128+'Scope 3 Yearly'!BX122*'Scope 3 Yearly'!BX132)*'Yearly Demand - BTX'!V8</f>
        <v>16.765421360267585</v>
      </c>
      <c r="BY27" s="44">
        <f>('Scope 3 Yearly'!$EE$190*'Scope 3 Yearly'!BY129*(1-'Scope 3 Yearly'!$B$197)+'Scope 3 Yearly'!BY118*'Scope 3 Yearly'!BY128+'Scope 3 Yearly'!BY122*'Scope 3 Yearly'!BY132)*'Yearly Demand - BTX'!W8</f>
        <v>17.229276090165818</v>
      </c>
      <c r="BZ27" s="44">
        <f>('Scope 3 Yearly'!$EE$190*'Scope 3 Yearly'!BZ129*(1-'Scope 3 Yearly'!$B$197)+'Scope 3 Yearly'!BZ118*'Scope 3 Yearly'!BZ128+'Scope 3 Yearly'!BZ122*'Scope 3 Yearly'!BZ132)*'Yearly Demand - BTX'!X8</f>
        <v>17.703184563757905</v>
      </c>
      <c r="CA27" s="44">
        <f>('Scope 3 Yearly'!$EE$190*'Scope 3 Yearly'!CA129*(1-'Scope 3 Yearly'!$B$197)+'Scope 3 Yearly'!CA118*'Scope 3 Yearly'!CA128+'Scope 3 Yearly'!CA122*'Scope 3 Yearly'!CA132)*'Yearly Demand - BTX'!Y8</f>
        <v>18.067200516548038</v>
      </c>
      <c r="CB27" s="44">
        <f>('Scope 3 Yearly'!$EE$190*'Scope 3 Yearly'!CB129*(1-'Scope 3 Yearly'!$B$197)+'Scope 3 Yearly'!CB118*'Scope 3 Yearly'!CB128+'Scope 3 Yearly'!CB122*'Scope 3 Yearly'!CB132)*'Yearly Demand - BTX'!Z8</f>
        <v>18.433616739987244</v>
      </c>
      <c r="CC27" s="44">
        <f>('Scope 3 Yearly'!$EE$190*'Scope 3 Yearly'!CC129*(1-'Scope 3 Yearly'!$B$197)+'Scope 3 Yearly'!CC118*'Scope 3 Yearly'!CC128+'Scope 3 Yearly'!CC122*'Scope 3 Yearly'!CC132)*'Yearly Demand - BTX'!AA8</f>
        <v>18.802313289209323</v>
      </c>
      <c r="CD27" s="44">
        <f>('Scope 3 Yearly'!$EE$190*'Scope 3 Yearly'!CD129*(1-'Scope 3 Yearly'!$B$197)+'Scope 3 Yearly'!CD118*'Scope 3 Yearly'!CD128+'Scope 3 Yearly'!CD122*'Scope 3 Yearly'!CD132)*'Yearly Demand - BTX'!AB8</f>
        <v>19.173146921055764</v>
      </c>
      <c r="CE27" s="44">
        <f>('Scope 3 Yearly'!$EE$190*'Scope 3 Yearly'!CE129*(1-'Scope 3 Yearly'!$B$197)+'Scope 3 Yearly'!CE118*'Scope 3 Yearly'!CE128+'Scope 3 Yearly'!CE122*'Scope 3 Yearly'!CE132)*'Yearly Demand - BTX'!AC8</f>
        <v>19.545948837101214</v>
      </c>
      <c r="CF27" s="44">
        <f>('Scope 3 Yearly'!$EE$190*'Scope 3 Yearly'!CF129*(1-'Scope 3 Yearly'!$B$197)+'Scope 3 Yearly'!CF118*'Scope 3 Yearly'!CF128+'Scope 3 Yearly'!CF122*'Scope 3 Yearly'!CF132)*'Yearly Demand - BTX'!AD8</f>
        <v>19.914908083379274</v>
      </c>
      <c r="CG27" s="44">
        <f>('Scope 3 Yearly'!$EE$190*'Scope 3 Yearly'!CG129*(1-'Scope 3 Yearly'!$B$197)+'Scope 3 Yearly'!CG118*'Scope 3 Yearly'!CG128+'Scope 3 Yearly'!CG122*'Scope 3 Yearly'!CG132)*'Yearly Demand - BTX'!AE8</f>
        <v>20.288537884366118</v>
      </c>
      <c r="CH27" s="44">
        <f>('Scope 3 Yearly'!$EE$190*'Scope 3 Yearly'!CH129*(1-'Scope 3 Yearly'!$B$197)+'Scope 3 Yearly'!CH118*'Scope 3 Yearly'!CH128+'Scope 3 Yearly'!CH122*'Scope 3 Yearly'!CH132)*'Yearly Demand - BTX'!AF8</f>
        <v>20.666876585368261</v>
      </c>
      <c r="CI27" s="44">
        <f>('Scope 3 Yearly'!$EE$190*'Scope 3 Yearly'!CI129*(1-'Scope 3 Yearly'!$B$197)+'Scope 3 Yearly'!CI118*'Scope 3 Yearly'!CI128+'Scope 3 Yearly'!CI122*'Scope 3 Yearly'!CI132)*'Yearly Demand - BTX'!AG8</f>
        <v>21.049962292314941</v>
      </c>
      <c r="CJ27" s="44">
        <f>('Scope 3 Yearly'!$EE$190*'Scope 3 Yearly'!CJ129*(1-'Scope 3 Yearly'!$B$197)+'Scope 3 Yearly'!CJ118*'Scope 3 Yearly'!CJ128+'Scope 3 Yearly'!CJ122*'Scope 3 Yearly'!CJ132)*'Yearly Demand - BTX'!AH8</f>
        <v>21.437832843953657</v>
      </c>
      <c r="CK27" s="44">
        <f>('Scope 3 Yearly'!$EE$190*'Scope 3 Yearly'!CK129*(1-'Scope 3 Yearly'!$B$197)+'Scope 3 Yearly'!CK118*'Scope 3 Yearly'!CK128+'Scope 3 Yearly'!CK122*'Scope 3 Yearly'!CK132)*'Yearly Demand - BTX'!AI8</f>
        <v>21.713582071216511</v>
      </c>
      <c r="CL27" s="44">
        <f>('Scope 3 Yearly'!$EE$190*'Scope 3 Yearly'!CL129*(1-'Scope 3 Yearly'!$B$197)+'Scope 3 Yearly'!CL118*'Scope 3 Yearly'!CL128+'Scope 3 Yearly'!CL122*'Scope 3 Yearly'!CL132)*'Yearly Demand - BTX'!AJ8</f>
        <v>21.990592251202774</v>
      </c>
      <c r="CM27" s="44">
        <f>('Scope 3 Yearly'!$EE$190*'Scope 3 Yearly'!CM129*(1-'Scope 3 Yearly'!$B$197)+'Scope 3 Yearly'!CM118*'Scope 3 Yearly'!CM128+'Scope 3 Yearly'!CM122*'Scope 3 Yearly'!CM132)*'Yearly Demand - BTX'!AK8</f>
        <v>22.26885413037434</v>
      </c>
      <c r="CN27" s="44">
        <f>('Scope 3 Yearly'!$EE$190*'Scope 3 Yearly'!CN129*(1-'Scope 3 Yearly'!$B$197)+'Scope 3 Yearly'!CN118*'Scope 3 Yearly'!CN128+'Scope 3 Yearly'!CN122*'Scope 3 Yearly'!CN132)*'Yearly Demand - BTX'!AL8</f>
        <v>22.548357960577455</v>
      </c>
      <c r="CO27" s="44">
        <f>('Scope 3 Yearly'!$EE$190*'Scope 3 Yearly'!CO129*(1-'Scope 3 Yearly'!$B$197)+'Scope 3 Yearly'!CO118*'Scope 3 Yearly'!CO128+'Scope 3 Yearly'!CO122*'Scope 3 Yearly'!CO132)*'Yearly Demand - BTX'!AM8</f>
        <v>22.829093482743943</v>
      </c>
      <c r="CP27" s="44">
        <f>('Scope 3 Yearly'!$EE$190*'Scope 3 Yearly'!CP129*(1-'Scope 3 Yearly'!$B$197)+'Scope 3 Yearly'!CP118*'Scope 3 Yearly'!CP128+'Scope 3 Yearly'!CP122*'Scope 3 Yearly'!CP132)*'Yearly Demand - BTX'!AN8</f>
        <v>23.080824151026203</v>
      </c>
      <c r="CQ27" s="44">
        <f>('Scope 3 Yearly'!$EE$190*'Scope 3 Yearly'!CQ129*(1-'Scope 3 Yearly'!$B$197)+'Scope 3 Yearly'!CQ118*'Scope 3 Yearly'!CQ128+'Scope 3 Yearly'!CQ122*'Scope 3 Yearly'!CQ132)*'Yearly Demand - BTX'!AO8</f>
        <v>23.333085287012214</v>
      </c>
      <c r="CR27" s="44">
        <f>('Scope 3 Yearly'!$EE$190*'Scope 3 Yearly'!CR129*(1-'Scope 3 Yearly'!$B$197)+'Scope 3 Yearly'!CR118*'Scope 3 Yearly'!CR128+'Scope 3 Yearly'!CR122*'Scope 3 Yearly'!CR132)*'Yearly Demand - BTX'!AP8</f>
        <v>23.585862949272482</v>
      </c>
      <c r="CS27" s="44">
        <f>('Scope 3 Yearly'!$EE$190*'Scope 3 Yearly'!CS129*(1-'Scope 3 Yearly'!$B$197)+'Scope 3 Yearly'!CS118*'Scope 3 Yearly'!CS128+'Scope 3 Yearly'!CS122*'Scope 3 Yearly'!CS132)*'Yearly Demand - BTX'!AQ8</f>
        <v>23.839142739629928</v>
      </c>
      <c r="CT27" s="44">
        <f>('Scope 3 Yearly'!$EE$190*'Scope 3 Yearly'!CT129*(1-'Scope 3 Yearly'!$B$197)+'Scope 3 Yearly'!CT118*'Scope 3 Yearly'!CT128+'Scope 3 Yearly'!CT122*'Scope 3 Yearly'!CT132)*'Yearly Demand - BTX'!AR8</f>
        <v>24.09290978977452</v>
      </c>
      <c r="CV27" s="44">
        <f>('Scope 3 Yearly'!$EE$190*'Scope 3 Yearly'!CV129*(1-'Scope 3 Yearly'!$B$197)+'Scope 3 Yearly'!CV118*'Scope 3 Yearly'!CV128+'Scope 3 Yearly'!CV122*'Scope 3 Yearly'!CV132)*'Yearly Demand - BTX'!N8</f>
        <v>12.843813084034156</v>
      </c>
      <c r="CW27" s="44">
        <f>('Scope 3 Yearly'!$EE$190*'Scope 3 Yearly'!CW129*(1-'Scope 3 Yearly'!$B$197)+'Scope 3 Yearly'!CW118*'Scope 3 Yearly'!CW128+'Scope 3 Yearly'!CW122*'Scope 3 Yearly'!CW132)*'Yearly Demand - BTX'!O8</f>
        <v>13.15103033994477</v>
      </c>
      <c r="CX27" s="44">
        <f>('Scope 3 Yearly'!$EE$190*'Scope 3 Yearly'!CX129*(1-'Scope 3 Yearly'!$B$197)+'Scope 3 Yearly'!CX118*'Scope 3 Yearly'!CX128+'Scope 3 Yearly'!CX122*'Scope 3 Yearly'!CX132)*'Yearly Demand - BTX'!P8</f>
        <v>13.449378739709159</v>
      </c>
      <c r="CY27" s="44">
        <f>('Scope 3 Yearly'!$EE$190*'Scope 3 Yearly'!CY129*(1-'Scope 3 Yearly'!$B$197)+'Scope 3 Yearly'!CY118*'Scope 3 Yearly'!CY128+'Scope 3 Yearly'!CY122*'Scope 3 Yearly'!CY132)*'Yearly Demand - BTX'!Q8</f>
        <v>13.758194393538215</v>
      </c>
      <c r="CZ27" s="44">
        <f>('Scope 3 Yearly'!$EE$190*'Scope 3 Yearly'!CZ129*(1-'Scope 3 Yearly'!$B$197)+'Scope 3 Yearly'!CZ118*'Scope 3 Yearly'!CZ128+'Scope 3 Yearly'!CZ122*'Scope 3 Yearly'!CZ132)*'Yearly Demand - BTX'!R8</f>
        <v>14.077478096900331</v>
      </c>
      <c r="DA27" s="44">
        <f>('Scope 3 Yearly'!$EE$190*'Scope 3 Yearly'!DA129*(1-'Scope 3 Yearly'!$B$197)+'Scope 3 Yearly'!DA118*'Scope 3 Yearly'!DA128+'Scope 3 Yearly'!DA122*'Scope 3 Yearly'!DA132)*'Yearly Demand - BTX'!S8</f>
        <v>14.40691447059235</v>
      </c>
      <c r="DB27" s="44">
        <f>('Scope 3 Yearly'!$EE$190*'Scope 3 Yearly'!DB129*(1-'Scope 3 Yearly'!$B$197)+'Scope 3 Yearly'!DB118*'Scope 3 Yearly'!DB128+'Scope 3 Yearly'!DB122*'Scope 3 Yearly'!DB132)*'Yearly Demand - BTX'!T8</f>
        <v>14.627967435995124</v>
      </c>
      <c r="DC27" s="44">
        <f>('Scope 3 Yearly'!$EE$190*'Scope 3 Yearly'!DC129*(1-'Scope 3 Yearly'!$B$197)+'Scope 3 Yearly'!DC118*'Scope 3 Yearly'!DC128+'Scope 3 Yearly'!DC122*'Scope 3 Yearly'!DC132)*'Yearly Demand - BTX'!U8</f>
        <v>14.851567221382615</v>
      </c>
      <c r="DD27" s="44">
        <f>('Scope 3 Yearly'!$EE$190*'Scope 3 Yearly'!DD129*(1-'Scope 3 Yearly'!$B$197)+'Scope 3 Yearly'!DD118*'Scope 3 Yearly'!DD128+'Scope 3 Yearly'!DD122*'Scope 3 Yearly'!DD132)*'Yearly Demand - BTX'!V8</f>
        <v>15.073432280685658</v>
      </c>
      <c r="DE27" s="44">
        <f>('Scope 3 Yearly'!$EE$190*'Scope 3 Yearly'!DE129*(1-'Scope 3 Yearly'!$B$197)+'Scope 3 Yearly'!DE118*'Scope 3 Yearly'!DE128+'Scope 3 Yearly'!DE122*'Scope 3 Yearly'!DE132)*'Yearly Demand - BTX'!W8</f>
        <v>15.285807771967209</v>
      </c>
      <c r="DF27" s="44">
        <f>('Scope 3 Yearly'!$EE$190*'Scope 3 Yearly'!DF129*(1-'Scope 3 Yearly'!$B$197)+'Scope 3 Yearly'!DF118*'Scope 3 Yearly'!DF128+'Scope 3 Yearly'!DF122*'Scope 3 Yearly'!DF132)*'Yearly Demand - BTX'!X8</f>
        <v>15.475475124605856</v>
      </c>
      <c r="DG27" s="44">
        <f>('Scope 3 Yearly'!$EE$190*'Scope 3 Yearly'!DG129*(1-'Scope 3 Yearly'!$B$197)+'Scope 3 Yearly'!DG118*'Scope 3 Yearly'!DG128+'Scope 3 Yearly'!DG122*'Scope 3 Yearly'!DG132)*'Yearly Demand - BTX'!Y8</f>
        <v>15.432845990141661</v>
      </c>
      <c r="DH27" s="44">
        <f>('Scope 3 Yearly'!$EE$190*'Scope 3 Yearly'!DH129*(1-'Scope 3 Yearly'!$B$197)+'Scope 3 Yearly'!DH118*'Scope 3 Yearly'!DH128+'Scope 3 Yearly'!DH122*'Scope 3 Yearly'!DH132)*'Yearly Demand - BTX'!Z8</f>
        <v>15.315438617718922</v>
      </c>
      <c r="DI27" s="44">
        <f>('Scope 3 Yearly'!$EE$190*'Scope 3 Yearly'!DI129*(1-'Scope 3 Yearly'!$B$197)+'Scope 3 Yearly'!DI118*'Scope 3 Yearly'!DI128+'Scope 3 Yearly'!DI122*'Scope 3 Yearly'!DI132)*'Yearly Demand - BTX'!AA8</f>
        <v>15.092117556673218</v>
      </c>
      <c r="DJ27" s="44">
        <f>('Scope 3 Yearly'!$EE$190*'Scope 3 Yearly'!DJ129*(1-'Scope 3 Yearly'!$B$197)+'Scope 3 Yearly'!DJ118*'Scope 3 Yearly'!DJ128+'Scope 3 Yearly'!DJ122*'Scope 3 Yearly'!DJ132)*'Yearly Demand - BTX'!AB8</f>
        <v>14.735327947219282</v>
      </c>
      <c r="DK27" s="44">
        <f>('Scope 3 Yearly'!$EE$190*'Scope 3 Yearly'!DK129*(1-'Scope 3 Yearly'!$B$197)+'Scope 3 Yearly'!DK118*'Scope 3 Yearly'!DK128+'Scope 3 Yearly'!DK122*'Scope 3 Yearly'!DK132)*'Yearly Demand - BTX'!AC8</f>
        <v>14.232767842718589</v>
      </c>
      <c r="DL27" s="44">
        <f>('Scope 3 Yearly'!$EE$190*'Scope 3 Yearly'!DL129*(1-'Scope 3 Yearly'!$B$197)+'Scope 3 Yearly'!DL118*'Scope 3 Yearly'!DL128+'Scope 3 Yearly'!DL122*'Scope 3 Yearly'!DL132)*'Yearly Demand - BTX'!AD8</f>
        <v>13.591014820677799</v>
      </c>
      <c r="DM27" s="44">
        <f>('Scope 3 Yearly'!$EE$190*'Scope 3 Yearly'!DM129*(1-'Scope 3 Yearly'!$B$197)+'Scope 3 Yearly'!DM118*'Scope 3 Yearly'!DM128+'Scope 3 Yearly'!DM122*'Scope 3 Yearly'!DM132)*'Yearly Demand - BTX'!AE8</f>
        <v>12.854747021641243</v>
      </c>
      <c r="DN27" s="44">
        <f>('Scope 3 Yearly'!$EE$190*'Scope 3 Yearly'!DN129*(1-'Scope 3 Yearly'!$B$197)+'Scope 3 Yearly'!DN118*'Scope 3 Yearly'!DN128+'Scope 3 Yearly'!DN122*'Scope 3 Yearly'!DN132)*'Yearly Demand - BTX'!AF8</f>
        <v>12.077081775432903</v>
      </c>
      <c r="DO27" s="44">
        <f>('Scope 3 Yearly'!$EE$190*'Scope 3 Yearly'!DO129*(1-'Scope 3 Yearly'!$B$197)+'Scope 3 Yearly'!DO118*'Scope 3 Yearly'!DO128+'Scope 3 Yearly'!DO122*'Scope 3 Yearly'!DO132)*'Yearly Demand - BTX'!AG8</f>
        <v>11.31042009837395</v>
      </c>
      <c r="DP27" s="44">
        <f>('Scope 3 Yearly'!$EE$190*'Scope 3 Yearly'!DP129*(1-'Scope 3 Yearly'!$B$197)+'Scope 3 Yearly'!DP118*'Scope 3 Yearly'!DP128+'Scope 3 Yearly'!DP122*'Scope 3 Yearly'!DP132)*'Yearly Demand - BTX'!AH8</f>
        <v>10.594102144368918</v>
      </c>
      <c r="DQ27" s="44">
        <f>('Scope 3 Yearly'!$EE$190*'Scope 3 Yearly'!DQ129*(1-'Scope 3 Yearly'!$B$197)+'Scope 3 Yearly'!DQ118*'Scope 3 Yearly'!DQ128+'Scope 3 Yearly'!DQ122*'Scope 3 Yearly'!DQ132)*'Yearly Demand - BTX'!AI8</f>
        <v>9.808311650169534</v>
      </c>
      <c r="DR27" s="44">
        <f>('Scope 3 Yearly'!$EE$190*'Scope 3 Yearly'!DR129*(1-'Scope 3 Yearly'!$B$197)+'Scope 3 Yearly'!DR118*'Scope 3 Yearly'!DR128+'Scope 3 Yearly'!DR122*'Scope 3 Yearly'!DR132)*'Yearly Demand - BTX'!AJ8</f>
        <v>9.1099396433743092</v>
      </c>
      <c r="DS27" s="44">
        <f>('Scope 3 Yearly'!$EE$190*'Scope 3 Yearly'!DS129*(1-'Scope 3 Yearly'!$B$197)+'Scope 3 Yearly'!DS118*'Scope 3 Yearly'!DS128+'Scope 3 Yearly'!DS122*'Scope 3 Yearly'!DS132)*'Yearly Demand - BTX'!AK8</f>
        <v>8.4956337005009228</v>
      </c>
      <c r="DT27" s="44">
        <f>('Scope 3 Yearly'!$EE$190*'Scope 3 Yearly'!DT129*(1-'Scope 3 Yearly'!$B$197)+'Scope 3 Yearly'!DT118*'Scope 3 Yearly'!DT128+'Scope 3 Yearly'!DT122*'Scope 3 Yearly'!DT132)*'Yearly Demand - BTX'!AL8</f>
        <v>7.9534646478016873</v>
      </c>
      <c r="DU27" s="44">
        <f>('Scope 3 Yearly'!$EE$190*'Scope 3 Yearly'!DU129*(1-'Scope 3 Yearly'!$B$197)+'Scope 3 Yearly'!DU118*'Scope 3 Yearly'!DU128+'Scope 3 Yearly'!DU122*'Scope 3 Yearly'!DU132)*'Yearly Demand - BTX'!AM8</f>
        <v>7.469779843169353</v>
      </c>
      <c r="DV27" s="44">
        <f>('Scope 3 Yearly'!$EE$190*'Scope 3 Yearly'!DV129*(1-'Scope 3 Yearly'!$B$197)+'Scope 3 Yearly'!DV118*'Scope 3 Yearly'!DV128+'Scope 3 Yearly'!DV122*'Scope 3 Yearly'!DV132)*'Yearly Demand - BTX'!AN8</f>
        <v>7.0227334907833958</v>
      </c>
      <c r="DW27" s="44">
        <f>('Scope 3 Yearly'!$EE$190*'Scope 3 Yearly'!DW129*(1-'Scope 3 Yearly'!$B$197)+'Scope 3 Yearly'!DW118*'Scope 3 Yearly'!DW128+'Scope 3 Yearly'!DW122*'Scope 3 Yearly'!DW132)*'Yearly Demand - BTX'!AO8</f>
        <v>6.6118969339450047</v>
      </c>
      <c r="DX27" s="44">
        <f>('Scope 3 Yearly'!$EE$190*'Scope 3 Yearly'!DX129*(1-'Scope 3 Yearly'!$B$197)+'Scope 3 Yearly'!DX118*'Scope 3 Yearly'!DX128+'Scope 3 Yearly'!DX122*'Scope 3 Yearly'!DX132)*'Yearly Demand - BTX'!AP8</f>
        <v>6.2286126442265806</v>
      </c>
      <c r="DY27" s="44">
        <f>('Scope 3 Yearly'!$EE$190*'Scope 3 Yearly'!DY129*(1-'Scope 3 Yearly'!$B$197)+'Scope 3 Yearly'!DY118*'Scope 3 Yearly'!DY128+'Scope 3 Yearly'!DY122*'Scope 3 Yearly'!DY132)*'Yearly Demand - BTX'!AQ8</f>
        <v>5.8662509104202334</v>
      </c>
      <c r="DZ27" s="44">
        <f>('Scope 3 Yearly'!$EE$190*'Scope 3 Yearly'!DZ129*(1-'Scope 3 Yearly'!$B$197)+'Scope 3 Yearly'!DZ118*'Scope 3 Yearly'!DZ128+'Scope 3 Yearly'!DZ122*'Scope 3 Yearly'!DZ132)*'Yearly Demand - BTX'!AR8</f>
        <v>5.5199153596290742</v>
      </c>
    </row>
    <row r="28" spans="1:165">
      <c r="A28" t="s">
        <v>9</v>
      </c>
      <c r="C28" s="54" t="s">
        <v>415</v>
      </c>
      <c r="D28" s="44">
        <f>('Scope 3 Yearly'!$EE$191*'Scope 3 Yearly'!D152*(1-'Scope 3 Yearly'!$B$197)+'Scope 3 Yearly'!D141*'Scope 3 Yearly'!D151+'Scope 3 Yearly'!D145*'Scope 3 Yearly'!D155)*'Yearly BTX'!D131</f>
        <v>45.898666718334404</v>
      </c>
      <c r="E28" s="44">
        <f>('Scope 3 Yearly'!$EE$191*'Scope 3 Yearly'!E152*(1-'Scope 3 Yearly'!$B$197)+'Scope 3 Yearly'!E141*'Scope 3 Yearly'!E151+'Scope 3 Yearly'!E145*'Scope 3 Yearly'!E155)*'Yearly BTX'!E131</f>
        <v>46.804588045381365</v>
      </c>
      <c r="F28" s="44">
        <f>('Scope 3 Yearly'!$EE$191*'Scope 3 Yearly'!F152*(1-'Scope 3 Yearly'!$B$197)+'Scope 3 Yearly'!F141*'Scope 3 Yearly'!F151+'Scope 3 Yearly'!F145*'Scope 3 Yearly'!F155)*'Yearly BTX'!F131</f>
        <v>47.598421328820969</v>
      </c>
      <c r="G28" s="44">
        <f>('Scope 3 Yearly'!$EE$191*'Scope 3 Yearly'!G152*(1-'Scope 3 Yearly'!$B$197)+'Scope 3 Yearly'!G141*'Scope 3 Yearly'!G151+'Scope 3 Yearly'!G145*'Scope 3 Yearly'!G155)*'Yearly BTX'!G131</f>
        <v>48.424880763567593</v>
      </c>
      <c r="H28" s="44">
        <f>('Scope 3 Yearly'!$EE$191*'Scope 3 Yearly'!H152*(1-'Scope 3 Yearly'!$B$197)+'Scope 3 Yearly'!H141*'Scope 3 Yearly'!H151+'Scope 3 Yearly'!H145*'Scope 3 Yearly'!H155)*'Yearly BTX'!H131</f>
        <v>49.284922331396729</v>
      </c>
      <c r="I28" s="44">
        <f>('Scope 3 Yearly'!$EE$191*'Scope 3 Yearly'!I152*(1-'Scope 3 Yearly'!$B$197)+'Scope 3 Yearly'!I141*'Scope 3 Yearly'!I151+'Scope 3 Yearly'!I145*'Scope 3 Yearly'!I155)*'Yearly BTX'!I131</f>
        <v>50.178462497420931</v>
      </c>
      <c r="J28" s="44">
        <f>('Scope 3 Yearly'!$EE$191*'Scope 3 Yearly'!J152*(1-'Scope 3 Yearly'!$B$197)+'Scope 3 Yearly'!J141*'Scope 3 Yearly'!J151+'Scope 3 Yearly'!J145*'Scope 3 Yearly'!J155)*'Yearly BTX'!J131</f>
        <v>50.67491016399353</v>
      </c>
      <c r="K28" s="44">
        <f>('Scope 3 Yearly'!$EE$191*'Scope 3 Yearly'!K152*(1-'Scope 3 Yearly'!$B$197)+'Scope 3 Yearly'!K141*'Scope 3 Yearly'!K151+'Scope 3 Yearly'!K145*'Scope 3 Yearly'!K155)*'Yearly BTX'!K131</f>
        <v>51.170409959124228</v>
      </c>
      <c r="L28" s="44">
        <f>('Scope 3 Yearly'!$EE$191*'Scope 3 Yearly'!L152*(1-'Scope 3 Yearly'!$B$197)+'Scope 3 Yearly'!L141*'Scope 3 Yearly'!L151+'Scope 3 Yearly'!L145*'Scope 3 Yearly'!L155)*'Yearly BTX'!L131</f>
        <v>51.649420605574306</v>
      </c>
      <c r="M28" s="44">
        <f>('Scope 3 Yearly'!$EE$191*'Scope 3 Yearly'!M152*(1-'Scope 3 Yearly'!$B$197)+'Scope 3 Yearly'!M141*'Scope 3 Yearly'!M151+'Scope 3 Yearly'!M145*'Scope 3 Yearly'!M155)*'Yearly BTX'!M131</f>
        <v>52.084202102199541</v>
      </c>
      <c r="N28" s="44">
        <f>('Scope 3 Yearly'!$EE$191*'Scope 3 Yearly'!N152*(1-'Scope 3 Yearly'!$B$197)+'Scope 3 Yearly'!N141*'Scope 3 Yearly'!N151+'Scope 3 Yearly'!N145*'Scope 3 Yearly'!N155)*'Yearly BTX'!N131</f>
        <v>52.427900797789597</v>
      </c>
      <c r="O28" s="44">
        <f>('Scope 3 Yearly'!$EE$191*'Scope 3 Yearly'!O152*(1-'Scope 3 Yearly'!$B$197)+'Scope 3 Yearly'!O141*'Scope 3 Yearly'!O151+'Scope 3 Yearly'!O145*'Scope 3 Yearly'!O155)*'Yearly BTX'!O131</f>
        <v>51.694716601839595</v>
      </c>
      <c r="P28" s="44">
        <f>('Scope 3 Yearly'!$EE$191*'Scope 3 Yearly'!P152*(1-'Scope 3 Yearly'!$B$197)+'Scope 3 Yearly'!P141*'Scope 3 Yearly'!P151+'Scope 3 Yearly'!P145*'Scope 3 Yearly'!P155)*'Yearly BTX'!P131</f>
        <v>50.703382209077759</v>
      </c>
      <c r="Q28" s="44">
        <f>('Scope 3 Yearly'!$EE$191*'Scope 3 Yearly'!Q152*(1-'Scope 3 Yearly'!$B$197)+'Scope 3 Yearly'!Q141*'Scope 3 Yearly'!Q151+'Scope 3 Yearly'!Q145*'Scope 3 Yearly'!Q155)*'Yearly BTX'!Q131</f>
        <v>49.358593589997817</v>
      </c>
      <c r="R28" s="44">
        <f>('Scope 3 Yearly'!$EE$191*'Scope 3 Yearly'!R152*(1-'Scope 3 Yearly'!$B$197)+'Scope 3 Yearly'!R141*'Scope 3 Yearly'!R151+'Scope 3 Yearly'!R145*'Scope 3 Yearly'!R155)*'Yearly BTX'!R131</f>
        <v>47.583640556530021</v>
      </c>
      <c r="S28" s="44">
        <f>('Scope 3 Yearly'!$EE$191*'Scope 3 Yearly'!S152*(1-'Scope 3 Yearly'!$B$197)+'Scope 3 Yearly'!S141*'Scope 3 Yearly'!S151+'Scope 3 Yearly'!S145*'Scope 3 Yearly'!S155)*'Yearly BTX'!S131</f>
        <v>45.358915556318827</v>
      </c>
      <c r="T28" s="44">
        <f>('Scope 3 Yearly'!$EE$191*'Scope 3 Yearly'!T152*(1-'Scope 3 Yearly'!$B$197)+'Scope 3 Yearly'!T141*'Scope 3 Yearly'!T151+'Scope 3 Yearly'!T145*'Scope 3 Yearly'!T155)*'Yearly BTX'!T131</f>
        <v>42.716921940771712</v>
      </c>
      <c r="U28" s="44">
        <f>('Scope 3 Yearly'!$EE$191*'Scope 3 Yearly'!U152*(1-'Scope 3 Yearly'!$B$197)+'Scope 3 Yearly'!U141*'Scope 3 Yearly'!U151+'Scope 3 Yearly'!U145*'Scope 3 Yearly'!U155)*'Yearly BTX'!U131</f>
        <v>39.826196321204648</v>
      </c>
      <c r="V28" s="44">
        <f>('Scope 3 Yearly'!$EE$191*'Scope 3 Yearly'!V152*(1-'Scope 3 Yearly'!$B$197)+'Scope 3 Yearly'!V141*'Scope 3 Yearly'!V151+'Scope 3 Yearly'!V145*'Scope 3 Yearly'!V155)*'Yearly BTX'!V131</f>
        <v>36.871188770210743</v>
      </c>
      <c r="W28" s="44">
        <f>('Scope 3 Yearly'!$EE$191*'Scope 3 Yearly'!W152*(1-'Scope 3 Yearly'!$B$197)+'Scope 3 Yearly'!W141*'Scope 3 Yearly'!W151+'Scope 3 Yearly'!W145*'Scope 3 Yearly'!W155)*'Yearly BTX'!W131</f>
        <v>34.021841693707671</v>
      </c>
      <c r="X28" s="44">
        <f>('Scope 3 Yearly'!$EE$191*'Scope 3 Yearly'!X152*(1-'Scope 3 Yearly'!$B$197)+'Scope 3 Yearly'!X141*'Scope 3 Yearly'!X151+'Scope 3 Yearly'!X145*'Scope 3 Yearly'!X155)*'Yearly BTX'!X131</f>
        <v>31.396183437979726</v>
      </c>
      <c r="Y28" s="44">
        <f>('Scope 3 Yearly'!$EE$191*'Scope 3 Yearly'!Y152*(1-'Scope 3 Yearly'!$B$197)+'Scope 3 Yearly'!Y141*'Scope 3 Yearly'!Y151+'Scope 3 Yearly'!Y145*'Scope 3 Yearly'!Y155)*'Yearly BTX'!Y131</f>
        <v>28.513775949183596</v>
      </c>
      <c r="Z28" s="44">
        <f>('Scope 3 Yearly'!$EE$191*'Scope 3 Yearly'!Z152*(1-'Scope 3 Yearly'!$B$197)+'Scope 3 Yearly'!Z141*'Scope 3 Yearly'!Z151+'Scope 3 Yearly'!Z145*'Scope 3 Yearly'!Z155)*'Yearly BTX'!Z131</f>
        <v>25.92240212265704</v>
      </c>
      <c r="AA28" s="44">
        <f>('Scope 3 Yearly'!$EE$191*'Scope 3 Yearly'!AA152*(1-'Scope 3 Yearly'!$B$197)+'Scope 3 Yearly'!AA141*'Scope 3 Yearly'!AA151+'Scope 3 Yearly'!AA145*'Scope 3 Yearly'!AA155)*'Yearly BTX'!AA131</f>
        <v>23.64104032402436</v>
      </c>
      <c r="AB28" s="44">
        <f>('Scope 3 Yearly'!$EE$191*'Scope 3 Yearly'!AB152*(1-'Scope 3 Yearly'!$B$197)+'Scope 3 Yearly'!AB141*'Scope 3 Yearly'!AB151+'Scope 3 Yearly'!AB145*'Scope 3 Yearly'!AB155)*'Yearly BTX'!AB131</f>
        <v>21.62585073394051</v>
      </c>
      <c r="AC28" s="44">
        <f>('Scope 3 Yearly'!$EE$191*'Scope 3 Yearly'!AC152*(1-'Scope 3 Yearly'!$B$197)+'Scope 3 Yearly'!AC141*'Scope 3 Yearly'!AC151+'Scope 3 Yearly'!AC145*'Scope 3 Yearly'!AC155)*'Yearly BTX'!AC131</f>
        <v>19.826266630776072</v>
      </c>
      <c r="AD28" s="44">
        <f>('Scope 3 Yearly'!$EE$191*'Scope 3 Yearly'!AD152*(1-'Scope 3 Yearly'!$B$197)+'Scope 3 Yearly'!AD141*'Scope 3 Yearly'!AD151+'Scope 3 Yearly'!AD145*'Scope 3 Yearly'!AD155)*'Yearly BTX'!AD131</f>
        <v>18.164759849014711</v>
      </c>
      <c r="AE28" s="44">
        <f>('Scope 3 Yearly'!$EE$191*'Scope 3 Yearly'!AE152*(1-'Scope 3 Yearly'!$B$197)+'Scope 3 Yearly'!AE141*'Scope 3 Yearly'!AE151+'Scope 3 Yearly'!AE145*'Scope 3 Yearly'!AE155)*'Yearly BTX'!AE131</f>
        <v>16.640734311847318</v>
      </c>
      <c r="AF28" s="44">
        <f>('Scope 3 Yearly'!$EE$191*'Scope 3 Yearly'!AF152*(1-'Scope 3 Yearly'!$B$197)+'Scope 3 Yearly'!AF141*'Scope 3 Yearly'!AF151+'Scope 3 Yearly'!AF145*'Scope 3 Yearly'!AF155)*'Yearly BTX'!AF131</f>
        <v>15.225270059015712</v>
      </c>
      <c r="AG28" s="44">
        <f>('Scope 3 Yearly'!$EE$191*'Scope 3 Yearly'!AG152*(1-'Scope 3 Yearly'!$B$197)+'Scope 3 Yearly'!AG141*'Scope 3 Yearly'!AG151+'Scope 3 Yearly'!AG145*'Scope 3 Yearly'!AG155)*'Yearly BTX'!AG131</f>
        <v>13.897679847086005</v>
      </c>
      <c r="AH28" s="44">
        <f>('Scope 3 Yearly'!$EE$191*'Scope 3 Yearly'!AH152*(1-'Scope 3 Yearly'!$B$197)+'Scope 3 Yearly'!AH141*'Scope 3 Yearly'!AH151+'Scope 3 Yearly'!AH145*'Scope 3 Yearly'!AH155)*'Yearly BTX'!AH131</f>
        <v>12.644870311858345</v>
      </c>
      <c r="AI28" s="44"/>
      <c r="AJ28" s="44">
        <f>('Scope 3 Yearly'!$EE$191*'Scope 3 Yearly'!AJ152*(1-'Scope 3 Yearly'!$B$197)+'Scope 3 Yearly'!AJ141*'Scope 3 Yearly'!AJ151+'Scope 3 Yearly'!AJ145*'Scope 3 Yearly'!AJ155)*'Yearly BTX'!AJ131</f>
        <v>45.898674110744764</v>
      </c>
      <c r="AK28" s="44">
        <f>('Scope 3 Yearly'!$EE$191*'Scope 3 Yearly'!AK152*(1-'Scope 3 Yearly'!$B$197)+'Scope 3 Yearly'!AK141*'Scope 3 Yearly'!AK151+'Scope 3 Yearly'!AK145*'Scope 3 Yearly'!AK155)*'Yearly BTX'!AK131</f>
        <v>46.804604783752609</v>
      </c>
      <c r="AL28" s="44">
        <f>('Scope 3 Yearly'!$EE$191*'Scope 3 Yearly'!AL152*(1-'Scope 3 Yearly'!$B$197)+'Scope 3 Yearly'!AL141*'Scope 3 Yearly'!AL151+'Scope 3 Yearly'!AL145*'Scope 3 Yearly'!AL155)*'Yearly BTX'!AL131</f>
        <v>47.598458190014384</v>
      </c>
      <c r="AM28" s="44">
        <f>('Scope 3 Yearly'!$EE$191*'Scope 3 Yearly'!AM152*(1-'Scope 3 Yearly'!$B$197)+'Scope 3 Yearly'!AM141*'Scope 3 Yearly'!AM151+'Scope 3 Yearly'!AM145*'Scope 3 Yearly'!AM155)*'Yearly BTX'!AM131</f>
        <v>48.42496126173355</v>
      </c>
      <c r="AN28" s="44">
        <f>('Scope 3 Yearly'!$EE$191*'Scope 3 Yearly'!AN152*(1-'Scope 3 Yearly'!$B$197)+'Scope 3 Yearly'!AN141*'Scope 3 Yearly'!AN151+'Scope 3 Yearly'!AN145*'Scope 3 Yearly'!AN155)*'Yearly BTX'!AN131</f>
        <v>49.285096559837775</v>
      </c>
      <c r="AO28" s="44">
        <f>('Scope 3 Yearly'!$EE$191*'Scope 3 Yearly'!AO152*(1-'Scope 3 Yearly'!$B$197)+'Scope 3 Yearly'!AO141*'Scope 3 Yearly'!AO151+'Scope 3 Yearly'!AO145*'Scope 3 Yearly'!AO155)*'Yearly BTX'!AO131</f>
        <v>50.178835848054192</v>
      </c>
      <c r="AP28" s="44">
        <f>('Scope 3 Yearly'!$EE$191*'Scope 3 Yearly'!AP152*(1-'Scope 3 Yearly'!$B$197)+'Scope 3 Yearly'!AP141*'Scope 3 Yearly'!AP151+'Scope 3 Yearly'!AP145*'Scope 3 Yearly'!AP155)*'Yearly BTX'!AP131</f>
        <v>50.675698634897941</v>
      </c>
      <c r="AQ28" s="44">
        <f>('Scope 3 Yearly'!$EE$191*'Scope 3 Yearly'!AQ152*(1-'Scope 3 Yearly'!$B$197)+'Scope 3 Yearly'!AQ141*'Scope 3 Yearly'!AQ151+'Scope 3 Yearly'!AQ145*'Scope 3 Yearly'!AQ155)*'Yearly BTX'!AQ131</f>
        <v>51.17205297824642</v>
      </c>
      <c r="AR28" s="44">
        <f>('Scope 3 Yearly'!$EE$191*'Scope 3 Yearly'!AR152*(1-'Scope 3 Yearly'!$B$197)+'Scope 3 Yearly'!AR141*'Scope 3 Yearly'!AR151+'Scope 3 Yearly'!AR145*'Scope 3 Yearly'!AR155)*'Yearly BTX'!AR131</f>
        <v>51.652786331801764</v>
      </c>
      <c r="AS28" s="44">
        <f>('Scope 3 Yearly'!$EE$191*'Scope 3 Yearly'!AS152*(1-'Scope 3 Yearly'!$B$197)+'Scope 3 Yearly'!AS141*'Scope 3 Yearly'!AS151+'Scope 3 Yearly'!AS145*'Scope 3 Yearly'!AS155)*'Yearly BTX'!AS131</f>
        <v>52.090945292108813</v>
      </c>
      <c r="AT28" s="44">
        <f>('Scope 3 Yearly'!$EE$191*'Scope 3 Yearly'!AT152*(1-'Scope 3 Yearly'!$B$197)+'Scope 3 Yearly'!AT141*'Scope 3 Yearly'!AT151+'Scope 3 Yearly'!AT145*'Scope 3 Yearly'!AT155)*'Yearly BTX'!AT131</f>
        <v>52.441080230956707</v>
      </c>
      <c r="AU28" s="44">
        <f>('Scope 3 Yearly'!$EE$191*'Scope 3 Yearly'!AU152*(1-'Scope 3 Yearly'!$B$197)+'Scope 3 Yearly'!AU141*'Scope 3 Yearly'!AU151+'Scope 3 Yearly'!AU145*'Scope 3 Yearly'!AU155)*'Yearly BTX'!AU131</f>
        <v>51.718136625059451</v>
      </c>
      <c r="AV28" s="44">
        <f>('Scope 3 Yearly'!$EE$191*'Scope 3 Yearly'!AV152*(1-'Scope 3 Yearly'!$B$197)+'Scope 3 Yearly'!AV141*'Scope 3 Yearly'!AV151+'Scope 3 Yearly'!AV145*'Scope 3 Yearly'!AV155)*'Yearly BTX'!AV131</f>
        <v>50.743198727779621</v>
      </c>
      <c r="AW28" s="44">
        <f>('Scope 3 Yearly'!$EE$191*'Scope 3 Yearly'!AW152*(1-'Scope 3 Yearly'!$B$197)+'Scope 3 Yearly'!AW141*'Scope 3 Yearly'!AW151+'Scope 3 Yearly'!AW145*'Scope 3 Yearly'!AW155)*'Yearly BTX'!AW131</f>
        <v>49.422352792653506</v>
      </c>
      <c r="AX28" s="44">
        <f>('Scope 3 Yearly'!$EE$191*'Scope 3 Yearly'!AX152*(1-'Scope 3 Yearly'!$B$197)+'Scope 3 Yearly'!AX141*'Scope 3 Yearly'!AX151+'Scope 3 Yearly'!AX145*'Scope 3 Yearly'!AX155)*'Yearly BTX'!AX131</f>
        <v>47.678782747997772</v>
      </c>
      <c r="AY28" s="44">
        <f>('Scope 3 Yearly'!$EE$191*'Scope 3 Yearly'!AY152*(1-'Scope 3 Yearly'!$B$197)+'Scope 3 Yearly'!AY141*'Scope 3 Yearly'!AY151+'Scope 3 Yearly'!AY145*'Scope 3 Yearly'!AY155)*'Yearly BTX'!AY131</f>
        <v>45.490238780582942</v>
      </c>
      <c r="AZ28" s="44">
        <f>('Scope 3 Yearly'!$EE$191*'Scope 3 Yearly'!AZ152*(1-'Scope 3 Yearly'!$B$197)+'Scope 3 Yearly'!AZ141*'Scope 3 Yearly'!AZ151+'Scope 3 Yearly'!AZ145*'Scope 3 Yearly'!AZ155)*'Yearly BTX'!AZ131</f>
        <v>42.884109250895932</v>
      </c>
      <c r="BA28" s="44">
        <f>('Scope 3 Yearly'!$EE$191*'Scope 3 Yearly'!BA152*(1-'Scope 3 Yearly'!$B$197)+'Scope 3 Yearly'!BA141*'Scope 3 Yearly'!BA151+'Scope 3 Yearly'!BA145*'Scope 3 Yearly'!BA155)*'Yearly BTX'!BA131</f>
        <v>40.023255188979547</v>
      </c>
      <c r="BB28" s="44">
        <f>('Scope 3 Yearly'!$EE$191*'Scope 3 Yearly'!BB152*(1-'Scope 3 Yearly'!$B$197)+'Scope 3 Yearly'!BB141*'Scope 3 Yearly'!BB151+'Scope 3 Yearly'!BB145*'Scope 3 Yearly'!BB155)*'Yearly BTX'!BB131</f>
        <v>37.088143934507194</v>
      </c>
      <c r="BC28" s="44">
        <f>('Scope 3 Yearly'!$EE$191*'Scope 3 Yearly'!BC152*(1-'Scope 3 Yearly'!$B$197)+'Scope 3 Yearly'!BC141*'Scope 3 Yearly'!BC151+'Scope 3 Yearly'!BC145*'Scope 3 Yearly'!BC155)*'Yearly BTX'!BC131</f>
        <v>34.247810942309741</v>
      </c>
      <c r="BD28" s="44">
        <f>('Scope 3 Yearly'!$EE$191*'Scope 3 Yearly'!BD152*(1-'Scope 3 Yearly'!$B$197)+'Scope 3 Yearly'!BD141*'Scope 3 Yearly'!BD151+'Scope 3 Yearly'!BD145*'Scope 3 Yearly'!BD155)*'Yearly BTX'!BD131</f>
        <v>31.622026856347034</v>
      </c>
      <c r="BE28" s="44">
        <f>('Scope 3 Yearly'!$EE$191*'Scope 3 Yearly'!BE152*(1-'Scope 3 Yearly'!$B$197)+'Scope 3 Yearly'!BE141*'Scope 3 Yearly'!BE151+'Scope 3 Yearly'!BE145*'Scope 3 Yearly'!BE155)*'Yearly BTX'!BE131</f>
        <v>28.717660475823124</v>
      </c>
      <c r="BF28" s="44">
        <f>('Scope 3 Yearly'!$EE$191*'Scope 3 Yearly'!BF152*(1-'Scope 3 Yearly'!$B$197)+'Scope 3 Yearly'!BF141*'Scope 3 Yearly'!BF151+'Scope 3 Yearly'!BF145*'Scope 3 Yearly'!BF155)*'Yearly BTX'!BF131</f>
        <v>26.126799939181332</v>
      </c>
      <c r="BG28" s="44">
        <f>('Scope 3 Yearly'!$EE$191*'Scope 3 Yearly'!BG152*(1-'Scope 3 Yearly'!$B$197)+'Scope 3 Yearly'!BG141*'Scope 3 Yearly'!BG151+'Scope 3 Yearly'!BG145*'Scope 3 Yearly'!BG155)*'Yearly BTX'!BG131</f>
        <v>23.84641829018366</v>
      </c>
      <c r="BH28" s="44">
        <f>('Scope 3 Yearly'!$EE$191*'Scope 3 Yearly'!BH152*(1-'Scope 3 Yearly'!$B$197)+'Scope 3 Yearly'!BH141*'Scope 3 Yearly'!BH151+'Scope 3 Yearly'!BH145*'Scope 3 Yearly'!BH155)*'Yearly BTX'!BH131</f>
        <v>21.831801102270543</v>
      </c>
      <c r="BI28" s="44">
        <f>('Scope 3 Yearly'!$EE$191*'Scope 3 Yearly'!BI152*(1-'Scope 3 Yearly'!$B$197)+'Scope 3 Yearly'!BI141*'Scope 3 Yearly'!BI151+'Scope 3 Yearly'!BI145*'Scope 3 Yearly'!BI155)*'Yearly BTX'!BI131</f>
        <v>20.033596995815866</v>
      </c>
      <c r="BJ28" s="44">
        <f>('Scope 3 Yearly'!$EE$191*'Scope 3 Yearly'!BJ152*(1-'Scope 3 Yearly'!$B$197)+'Scope 3 Yearly'!BJ141*'Scope 3 Yearly'!BJ151+'Scope 3 Yearly'!BJ145*'Scope 3 Yearly'!BJ155)*'Yearly BTX'!BJ131</f>
        <v>18.37522194452476</v>
      </c>
      <c r="BK28" s="44">
        <f>('Scope 3 Yearly'!$EE$191*'Scope 3 Yearly'!BK152*(1-'Scope 3 Yearly'!$B$197)+'Scope 3 Yearly'!BK141*'Scope 3 Yearly'!BK151+'Scope 3 Yearly'!BK145*'Scope 3 Yearly'!BK155)*'Yearly BTX'!BK131</f>
        <v>16.857027542192153</v>
      </c>
      <c r="BL28" s="44">
        <f>('Scope 3 Yearly'!$EE$191*'Scope 3 Yearly'!BL152*(1-'Scope 3 Yearly'!$B$197)+'Scope 3 Yearly'!BL141*'Scope 3 Yearly'!BL151+'Scope 3 Yearly'!BL145*'Scope 3 Yearly'!BL155)*'Yearly BTX'!BL131</f>
        <v>15.450686535759486</v>
      </c>
      <c r="BM28" s="44">
        <f>('Scope 3 Yearly'!$EE$191*'Scope 3 Yearly'!BM152*(1-'Scope 3 Yearly'!$B$197)+'Scope 3 Yearly'!BM141*'Scope 3 Yearly'!BM151+'Scope 3 Yearly'!BM145*'Scope 3 Yearly'!BM155)*'Yearly BTX'!BM131</f>
        <v>14.135556566768861</v>
      </c>
      <c r="BN28" s="44">
        <f>('Scope 3 Yearly'!$EE$191*'Scope 3 Yearly'!BN152*(1-'Scope 3 Yearly'!$B$197)+'Scope 3 Yearly'!BN141*'Scope 3 Yearly'!BN151+'Scope 3 Yearly'!BN145*'Scope 3 Yearly'!BN155)*'Yearly BTX'!BN131</f>
        <v>12.897750592281794</v>
      </c>
      <c r="BO28" s="44"/>
      <c r="BP28" s="44">
        <f>('Scope 3 Yearly'!$EE$191*'Scope 3 Yearly'!BP152*(1-'Scope 3 Yearly'!$B$197)+'Scope 3 Yearly'!BP141*'Scope 3 Yearly'!BP151+'Scope 3 Yearly'!BP145*'Scope 3 Yearly'!BP155)*'Yearly Demand - BTX'!N9</f>
        <v>45.899107710382935</v>
      </c>
      <c r="BQ28" s="44">
        <f>('Scope 3 Yearly'!$EE$191*'Scope 3 Yearly'!BQ152*(1-'Scope 3 Yearly'!$B$197)+'Scope 3 Yearly'!BQ141*'Scope 3 Yearly'!BQ151+'Scope 3 Yearly'!BQ145*'Scope 3 Yearly'!BQ155)*'Yearly Demand - BTX'!O9</f>
        <v>47.653100361484725</v>
      </c>
      <c r="BR28" s="44">
        <f>('Scope 3 Yearly'!$EE$191*'Scope 3 Yearly'!BR152*(1-'Scope 3 Yearly'!$B$197)+'Scope 3 Yearly'!BR141*'Scope 3 Yearly'!BR151+'Scope 3 Yearly'!BR145*'Scope 3 Yearly'!BR155)*'Yearly Demand - BTX'!P9</f>
        <v>49.454027978035008</v>
      </c>
      <c r="BS28" s="44">
        <f>('Scope 3 Yearly'!$EE$191*'Scope 3 Yearly'!BS152*(1-'Scope 3 Yearly'!$B$197)+'Scope 3 Yearly'!BS141*'Scope 3 Yearly'!BS151+'Scope 3 Yearly'!BS145*'Scope 3 Yearly'!BS155)*'Yearly Demand - BTX'!Q9</f>
        <v>51.302925825893212</v>
      </c>
      <c r="BT28" s="44">
        <f>('Scope 3 Yearly'!$EE$191*'Scope 3 Yearly'!BT152*(1-'Scope 3 Yearly'!$B$197)+'Scope 3 Yearly'!BT141*'Scope 3 Yearly'!BT151+'Scope 3 Yearly'!BT145*'Scope 3 Yearly'!BT155)*'Yearly Demand - BTX'!R9</f>
        <v>53.200760421273543</v>
      </c>
      <c r="BU28" s="44">
        <f>('Scope 3 Yearly'!$EE$191*'Scope 3 Yearly'!BU152*(1-'Scope 3 Yearly'!$B$197)+'Scope 3 Yearly'!BU141*'Scope 3 Yearly'!BU151+'Scope 3 Yearly'!BU145*'Scope 3 Yearly'!BU155)*'Yearly Demand - BTX'!S9</f>
        <v>55.148418719739617</v>
      </c>
      <c r="BV28" s="44">
        <f>('Scope 3 Yearly'!$EE$191*'Scope 3 Yearly'!BV152*(1-'Scope 3 Yearly'!$B$197)+'Scope 3 Yearly'!BV141*'Scope 3 Yearly'!BV151+'Scope 3 Yearly'!BV145*'Scope 3 Yearly'!BV155)*'Yearly Demand - BTX'!T9</f>
        <v>56.701813692982626</v>
      </c>
      <c r="BW28" s="44">
        <f>('Scope 3 Yearly'!$EE$191*'Scope 3 Yearly'!BW152*(1-'Scope 3 Yearly'!$B$197)+'Scope 3 Yearly'!BW141*'Scope 3 Yearly'!BW151+'Scope 3 Yearly'!BW145*'Scope 3 Yearly'!BW155)*'Yearly Demand - BTX'!U9</f>
        <v>58.28926022013448</v>
      </c>
      <c r="BX28" s="44">
        <f>('Scope 3 Yearly'!$EE$191*'Scope 3 Yearly'!BX152*(1-'Scope 3 Yearly'!$B$197)+'Scope 3 Yearly'!BX141*'Scope 3 Yearly'!BX151+'Scope 3 Yearly'!BX145*'Scope 3 Yearly'!BX155)*'Yearly Demand - BTX'!V9</f>
        <v>59.911374791111236</v>
      </c>
      <c r="BY28" s="44">
        <f>('Scope 3 Yearly'!$EE$191*'Scope 3 Yearly'!BY152*(1-'Scope 3 Yearly'!$B$197)+'Scope 3 Yearly'!BY141*'Scope 3 Yearly'!BY151+'Scope 3 Yearly'!BY145*'Scope 3 Yearly'!BY155)*'Yearly Demand - BTX'!W9</f>
        <v>61.568780655179822</v>
      </c>
      <c r="BZ28" s="44">
        <f>('Scope 3 Yearly'!$EE$191*'Scope 3 Yearly'!BZ152*(1-'Scope 3 Yearly'!$B$197)+'Scope 3 Yearly'!BZ141*'Scope 3 Yearly'!BZ151+'Scope 3 Yearly'!BZ145*'Scope 3 Yearly'!BZ155)*'Yearly Demand - BTX'!X9</f>
        <v>63.262107590259269</v>
      </c>
      <c r="CA28" s="44">
        <f>('Scope 3 Yearly'!$EE$191*'Scope 3 Yearly'!CA152*(1-'Scope 3 Yearly'!$B$197)+'Scope 3 Yearly'!CA141*'Scope 3 Yearly'!CA151+'Scope 3 Yearly'!CA145*'Scope 3 Yearly'!CA155)*'Yearly Demand - BTX'!Y9</f>
        <v>64.562730225526238</v>
      </c>
      <c r="CB28" s="44">
        <f>('Scope 3 Yearly'!$EE$191*'Scope 3 Yearly'!CB152*(1-'Scope 3 Yearly'!$B$197)+'Scope 3 Yearly'!CB141*'Scope 3 Yearly'!CB151+'Scope 3 Yearly'!CB145*'Scope 3 Yearly'!CB155)*'Yearly Demand - BTX'!Z9</f>
        <v>65.871926646768316</v>
      </c>
      <c r="CC28" s="44">
        <f>('Scope 3 Yearly'!$EE$191*'Scope 3 Yearly'!CC152*(1-'Scope 3 Yearly'!$B$197)+'Scope 3 Yearly'!CC141*'Scope 3 Yearly'!CC151+'Scope 3 Yearly'!CC145*'Scope 3 Yearly'!CC155)*'Yearly Demand - BTX'!AA9</f>
        <v>67.18926827410462</v>
      </c>
      <c r="CD28" s="44">
        <f>('Scope 3 Yearly'!$EE$191*'Scope 3 Yearly'!CD152*(1-'Scope 3 Yearly'!$B$197)+'Scope 3 Yearly'!CD141*'Scope 3 Yearly'!CD151+'Scope 3 Yearly'!CD145*'Scope 3 Yearly'!CD155)*'Yearly Demand - BTX'!AB9</f>
        <v>68.514243275453438</v>
      </c>
      <c r="CE28" s="44">
        <f>('Scope 3 Yearly'!$EE$191*'Scope 3 Yearly'!CE152*(1-'Scope 3 Yearly'!$B$197)+'Scope 3 Yearly'!CE141*'Scope 3 Yearly'!CE151+'Scope 3 Yearly'!CE145*'Scope 3 Yearly'!CE155)*'Yearly Demand - BTX'!AC9</f>
        <v>69.846248502310146</v>
      </c>
      <c r="CF28" s="44">
        <f>('Scope 3 Yearly'!$EE$191*'Scope 3 Yearly'!CF152*(1-'Scope 3 Yearly'!$B$197)+'Scope 3 Yearly'!CF141*'Scope 3 Yearly'!CF151+'Scope 3 Yearly'!CF145*'Scope 3 Yearly'!CF155)*'Yearly Demand - BTX'!AD9</f>
        <v>71.164518965923889</v>
      </c>
      <c r="CG28" s="44">
        <f>('Scope 3 Yearly'!$EE$191*'Scope 3 Yearly'!CG152*(1-'Scope 3 Yearly'!$B$197)+'Scope 3 Yearly'!CG141*'Scope 3 Yearly'!CG151+'Scope 3 Yearly'!CG145*'Scope 3 Yearly'!CG155)*'Yearly Demand - BTX'!AE9</f>
        <v>72.4994761970284</v>
      </c>
      <c r="CH28" s="44">
        <f>('Scope 3 Yearly'!$EE$191*'Scope 3 Yearly'!CH152*(1-'Scope 3 Yearly'!$B$197)+'Scope 3 Yearly'!CH141*'Scope 3 Yearly'!CH151+'Scope 3 Yearly'!CH145*'Scope 3 Yearly'!CH155)*'Yearly Demand - BTX'!AF9</f>
        <v>73.851257186389688</v>
      </c>
      <c r="CI28" s="44">
        <f>('Scope 3 Yearly'!$EE$191*'Scope 3 Yearly'!CI152*(1-'Scope 3 Yearly'!$B$197)+'Scope 3 Yearly'!CI141*'Scope 3 Yearly'!CI151+'Scope 3 Yearly'!CI145*'Scope 3 Yearly'!CI155)*'Yearly Demand - BTX'!AG9</f>
        <v>75.219998069328639</v>
      </c>
      <c r="CJ28" s="44">
        <f>('Scope 3 Yearly'!$EE$191*'Scope 3 Yearly'!CJ152*(1-'Scope 3 Yearly'!$B$197)+'Scope 3 Yearly'!CJ141*'Scope 3 Yearly'!CJ151+'Scope 3 Yearly'!CJ145*'Scope 3 Yearly'!CJ155)*'Yearly Demand - BTX'!AH9</f>
        <v>76.605834026377693</v>
      </c>
      <c r="CK28" s="44">
        <f>('Scope 3 Yearly'!$EE$191*'Scope 3 Yearly'!CK152*(1-'Scope 3 Yearly'!$B$197)+'Scope 3 Yearly'!CK141*'Scope 3 Yearly'!CK151+'Scope 3 Yearly'!CK145*'Scope 3 Yearly'!CK155)*'Yearly Demand - BTX'!AI9</f>
        <v>77.59101413643441</v>
      </c>
      <c r="CL28" s="44">
        <f>('Scope 3 Yearly'!$EE$191*'Scope 3 Yearly'!CL152*(1-'Scope 3 Yearly'!$B$197)+'Scope 3 Yearly'!CL141*'Scope 3 Yearly'!CL151+'Scope 3 Yearly'!CL145*'Scope 3 Yearly'!CL155)*'Yearly Demand - BTX'!AJ9</f>
        <v>78.580698968488662</v>
      </c>
      <c r="CM28" s="44">
        <f>('Scope 3 Yearly'!$EE$191*'Scope 3 Yearly'!CM152*(1-'Scope 3 Yearly'!$B$197)+'Scope 3 Yearly'!CM141*'Scope 3 Yearly'!CM151+'Scope 3 Yearly'!CM145*'Scope 3 Yearly'!CM155)*'Yearly Demand - BTX'!AK9</f>
        <v>79.574855457828718</v>
      </c>
      <c r="CN28" s="44">
        <f>('Scope 3 Yearly'!$EE$191*'Scope 3 Yearly'!CN152*(1-'Scope 3 Yearly'!$B$197)+'Scope 3 Yearly'!CN141*'Scope 3 Yearly'!CN151+'Scope 3 Yearly'!CN145*'Scope 3 Yearly'!CN155)*'Yearly Demand - BTX'!AL9</f>
        <v>80.573448772533609</v>
      </c>
      <c r="CO28" s="44">
        <f>('Scope 3 Yearly'!$EE$191*'Scope 3 Yearly'!CO152*(1-'Scope 3 Yearly'!$B$197)+'Scope 3 Yearly'!CO141*'Scope 3 Yearly'!CO151+'Scope 3 Yearly'!CO145*'Scope 3 Yearly'!CO155)*'Yearly Demand - BTX'!AM9</f>
        <v>81.576442255240309</v>
      </c>
      <c r="CP28" s="44">
        <f>('Scope 3 Yearly'!$EE$191*'Scope 3 Yearly'!CP152*(1-'Scope 3 Yearly'!$B$197)+'Scope 3 Yearly'!CP141*'Scope 3 Yearly'!CP151+'Scope 3 Yearly'!CP145*'Scope 3 Yearly'!CP155)*'Yearly Demand - BTX'!AN9</f>
        <v>82.475790242220043</v>
      </c>
      <c r="CQ28" s="44">
        <f>('Scope 3 Yearly'!$EE$191*'Scope 3 Yearly'!CQ152*(1-'Scope 3 Yearly'!$B$197)+'Scope 3 Yearly'!CQ141*'Scope 3 Yearly'!CQ151+'Scope 3 Yearly'!CQ145*'Scope 3 Yearly'!CQ155)*'Yearly Demand - BTX'!AO9</f>
        <v>83.377033139044826</v>
      </c>
      <c r="CR28" s="44">
        <f>('Scope 3 Yearly'!$EE$191*'Scope 3 Yearly'!CR152*(1-'Scope 3 Yearly'!$B$197)+'Scope 3 Yearly'!CR141*'Scope 3 Yearly'!CR151+'Scope 3 Yearly'!CR145*'Scope 3 Yearly'!CR155)*'Yearly Demand - BTX'!AP9</f>
        <v>84.280121133625741</v>
      </c>
      <c r="CS28" s="44">
        <f>('Scope 3 Yearly'!$EE$191*'Scope 3 Yearly'!CS152*(1-'Scope 3 Yearly'!$B$197)+'Scope 3 Yearly'!CS141*'Scope 3 Yearly'!CS151+'Scope 3 Yearly'!CS145*'Scope 3 Yearly'!CS155)*'Yearly Demand - BTX'!AQ9</f>
        <v>85.185002781980202</v>
      </c>
      <c r="CT28" s="44">
        <f>('Scope 3 Yearly'!$EE$191*'Scope 3 Yearly'!CT152*(1-'Scope 3 Yearly'!$B$197)+'Scope 3 Yearly'!CT141*'Scope 3 Yearly'!CT151+'Scope 3 Yearly'!CT145*'Scope 3 Yearly'!CT155)*'Yearly Demand - BTX'!AR9</f>
        <v>86.091624960408751</v>
      </c>
      <c r="CV28" s="44">
        <f>('Scope 3 Yearly'!$EE$191*'Scope 3 Yearly'!CV152*(1-'Scope 3 Yearly'!$B$197)+'Scope 3 Yearly'!CV141*'Scope 3 Yearly'!CV151+'Scope 3 Yearly'!CV145*'Scope 3 Yearly'!CV155)*'Yearly Demand - BTX'!N9</f>
        <v>45.898679807240988</v>
      </c>
      <c r="CW28" s="44">
        <f>('Scope 3 Yearly'!$EE$191*'Scope 3 Yearly'!CW152*(1-'Scope 3 Yearly'!$B$197)+'Scope 3 Yearly'!CW141*'Scope 3 Yearly'!CW151+'Scope 3 Yearly'!CW145*'Scope 3 Yearly'!CW155)*'Yearly Demand - BTX'!O9</f>
        <v>46.997245121269039</v>
      </c>
      <c r="CX28" s="44">
        <f>('Scope 3 Yearly'!$EE$191*'Scope 3 Yearly'!CX152*(1-'Scope 3 Yearly'!$B$197)+'Scope 3 Yearly'!CX141*'Scope 3 Yearly'!CX151+'Scope 3 Yearly'!CX145*'Scope 3 Yearly'!CX155)*'Yearly Demand - BTX'!P9</f>
        <v>48.064582123932382</v>
      </c>
      <c r="CY28" s="44">
        <f>('Scope 3 Yearly'!$EE$191*'Scope 3 Yearly'!CY152*(1-'Scope 3 Yearly'!$B$197)+'Scope 3 Yearly'!CY141*'Scope 3 Yearly'!CY151+'Scope 3 Yearly'!CY145*'Scope 3 Yearly'!CY155)*'Yearly Demand - BTX'!Q9</f>
        <v>49.16981169123757</v>
      </c>
      <c r="CZ28" s="44">
        <f>('Scope 3 Yearly'!$EE$191*'Scope 3 Yearly'!CZ152*(1-'Scope 3 Yearly'!$B$197)+'Scope 3 Yearly'!CZ141*'Scope 3 Yearly'!CZ151+'Scope 3 Yearly'!CZ145*'Scope 3 Yearly'!CZ155)*'Yearly Demand - BTX'!R9</f>
        <v>50.312953525574173</v>
      </c>
      <c r="DA28" s="44">
        <f>('Scope 3 Yearly'!$EE$191*'Scope 3 Yearly'!DA152*(1-'Scope 3 Yearly'!$B$197)+'Scope 3 Yearly'!DA141*'Scope 3 Yearly'!DA151+'Scope 3 Yearly'!DA145*'Scope 3 Yearly'!DA155)*'Yearly Demand - BTX'!S9</f>
        <v>51.492887504768944</v>
      </c>
      <c r="DB28" s="44">
        <f>('Scope 3 Yearly'!$EE$191*'Scope 3 Yearly'!DB152*(1-'Scope 3 Yearly'!$B$197)+'Scope 3 Yearly'!DB141*'Scope 3 Yearly'!DB151+'Scope 3 Yearly'!DB145*'Scope 3 Yearly'!DB155)*'Yearly Demand - BTX'!T9</f>
        <v>52.285907513283675</v>
      </c>
      <c r="DC28" s="44">
        <f>('Scope 3 Yearly'!$EE$191*'Scope 3 Yearly'!DC152*(1-'Scope 3 Yearly'!$B$197)+'Scope 3 Yearly'!DC141*'Scope 3 Yearly'!DC151+'Scope 3 Yearly'!DC145*'Scope 3 Yearly'!DC155)*'Yearly Demand - BTX'!U9</f>
        <v>53.088413545953784</v>
      </c>
      <c r="DD28" s="44">
        <f>('Scope 3 Yearly'!$EE$191*'Scope 3 Yearly'!DD152*(1-'Scope 3 Yearly'!$B$197)+'Scope 3 Yearly'!DD141*'Scope 3 Yearly'!DD151+'Scope 3 Yearly'!DD145*'Scope 3 Yearly'!DD155)*'Yearly Demand - BTX'!V9</f>
        <v>53.884963749770861</v>
      </c>
      <c r="DE28" s="44">
        <f>('Scope 3 Yearly'!$EE$191*'Scope 3 Yearly'!DE152*(1-'Scope 3 Yearly'!$B$197)+'Scope 3 Yearly'!DE141*'Scope 3 Yearly'!DE151+'Scope 3 Yearly'!DE145*'Scope 3 Yearly'!DE155)*'Yearly Demand - BTX'!W9</f>
        <v>54.647570764108991</v>
      </c>
      <c r="DF28" s="44">
        <f>('Scope 3 Yearly'!$EE$191*'Scope 3 Yearly'!DF152*(1-'Scope 3 Yearly'!$B$197)+'Scope 3 Yearly'!DF141*'Scope 3 Yearly'!DF151+'Scope 3 Yearly'!DF145*'Scope 3 Yearly'!DF155)*'Yearly Demand - BTX'!X9</f>
        <v>55.328504578429225</v>
      </c>
      <c r="DG28" s="44">
        <f>('Scope 3 Yearly'!$EE$191*'Scope 3 Yearly'!DG152*(1-'Scope 3 Yearly'!$B$197)+'Scope 3 Yearly'!DG141*'Scope 3 Yearly'!DG151+'Scope 3 Yearly'!DG145*'Scope 3 Yearly'!DG155)*'Yearly Demand - BTX'!Y9</f>
        <v>55.177640002061992</v>
      </c>
      <c r="DH28" s="44">
        <f>('Scope 3 Yearly'!$EE$191*'Scope 3 Yearly'!DH152*(1-'Scope 3 Yearly'!$B$197)+'Scope 3 Yearly'!DH141*'Scope 3 Yearly'!DH151+'Scope 3 Yearly'!DH145*'Scope 3 Yearly'!DH155)*'Yearly Demand - BTX'!Z9</f>
        <v>54.757040034595612</v>
      </c>
      <c r="DI28" s="44">
        <f>('Scope 3 Yearly'!$EE$191*'Scope 3 Yearly'!DI152*(1-'Scope 3 Yearly'!$B$197)+'Scope 3 Yearly'!DI141*'Scope 3 Yearly'!DI151+'Scope 3 Yearly'!DI145*'Scope 3 Yearly'!DI155)*'Yearly Demand - BTX'!AA9</f>
        <v>53.95407420875209</v>
      </c>
      <c r="DJ28" s="44">
        <f>('Scope 3 Yearly'!$EE$191*'Scope 3 Yearly'!DJ152*(1-'Scope 3 Yearly'!$B$197)+'Scope 3 Yearly'!DJ141*'Scope 3 Yearly'!DJ151+'Scope 3 Yearly'!DJ145*'Scope 3 Yearly'!DJ155)*'Yearly Demand - BTX'!AB9</f>
        <v>52.668948897588216</v>
      </c>
      <c r="DK28" s="44">
        <f>('Scope 3 Yearly'!$EE$191*'Scope 3 Yearly'!DK152*(1-'Scope 3 Yearly'!$B$197)+'Scope 3 Yearly'!DK141*'Scope 3 Yearly'!DK151+'Scope 3 Yearly'!DK145*'Scope 3 Yearly'!DK155)*'Yearly Demand - BTX'!AC9</f>
        <v>50.856899771979236</v>
      </c>
      <c r="DL28" s="44">
        <f>('Scope 3 Yearly'!$EE$191*'Scope 3 Yearly'!DL152*(1-'Scope 3 Yearly'!$B$197)+'Scope 3 Yearly'!DL141*'Scope 3 Yearly'!DL151+'Scope 3 Yearly'!DL145*'Scope 3 Yearly'!DL155)*'Yearly Demand - BTX'!AD9</f>
        <v>48.541620727529491</v>
      </c>
      <c r="DM28" s="44">
        <f>('Scope 3 Yearly'!$EE$191*'Scope 3 Yearly'!DM152*(1-'Scope 3 Yearly'!$B$197)+'Scope 3 Yearly'!DM141*'Scope 3 Yearly'!DM151+'Scope 3 Yearly'!DM145*'Scope 3 Yearly'!DM155)*'Yearly Demand - BTX'!AE9</f>
        <v>45.884068000143706</v>
      </c>
      <c r="DN28" s="44">
        <f>('Scope 3 Yearly'!$EE$191*'Scope 3 Yearly'!DN152*(1-'Scope 3 Yearly'!$B$197)+'Scope 3 Yearly'!DN141*'Scope 3 Yearly'!DN151+'Scope 3 Yearly'!DN145*'Scope 3 Yearly'!DN155)*'Yearly Demand - BTX'!AF9</f>
        <v>43.076114834494753</v>
      </c>
      <c r="DO28" s="44">
        <f>('Scope 3 Yearly'!$EE$191*'Scope 3 Yearly'!DO152*(1-'Scope 3 Yearly'!$B$197)+'Scope 3 Yearly'!DO141*'Scope 3 Yearly'!DO151+'Scope 3 Yearly'!DO145*'Scope 3 Yearly'!DO155)*'Yearly Demand - BTX'!AG9</f>
        <v>40.307218514326976</v>
      </c>
      <c r="DP28" s="44">
        <f>('Scope 3 Yearly'!$EE$191*'Scope 3 Yearly'!DP152*(1-'Scope 3 Yearly'!$B$197)+'Scope 3 Yearly'!DP141*'Scope 3 Yearly'!DP151+'Scope 3 Yearly'!DP145*'Scope 3 Yearly'!DP155)*'Yearly Demand - BTX'!AH9</f>
        <v>37.719755930748946</v>
      </c>
      <c r="DQ28" s="44">
        <f>('Scope 3 Yearly'!$EE$191*'Scope 3 Yearly'!DQ152*(1-'Scope 3 Yearly'!$B$197)+'Scope 3 Yearly'!DQ141*'Scope 3 Yearly'!DQ151+'Scope 3 Yearly'!DQ145*'Scope 3 Yearly'!DQ155)*'Yearly Demand - BTX'!AI9</f>
        <v>34.888805199287937</v>
      </c>
      <c r="DR28" s="44">
        <f>('Scope 3 Yearly'!$EE$191*'Scope 3 Yearly'!DR152*(1-'Scope 3 Yearly'!$B$197)+'Scope 3 Yearly'!DR141*'Scope 3 Yearly'!DR151+'Scope 3 Yearly'!DR145*'Scope 3 Yearly'!DR155)*'Yearly Demand - BTX'!AJ9</f>
        <v>32.374609021703485</v>
      </c>
      <c r="DS28" s="44">
        <f>('Scope 3 Yearly'!$EE$191*'Scope 3 Yearly'!DS152*(1-'Scope 3 Yearly'!$B$197)+'Scope 3 Yearly'!DS141*'Scope 3 Yearly'!DS151+'Scope 3 Yearly'!DS145*'Scope 3 Yearly'!DS155)*'Yearly Demand - BTX'!AK9</f>
        <v>30.164713176480383</v>
      </c>
      <c r="DT28" s="44">
        <f>('Scope 3 Yearly'!$EE$191*'Scope 3 Yearly'!DT152*(1-'Scope 3 Yearly'!$B$197)+'Scope 3 Yearly'!DT141*'Scope 3 Yearly'!DT151+'Scope 3 Yearly'!DT145*'Scope 3 Yearly'!DT155)*'Yearly Demand - BTX'!AL9</f>
        <v>28.216069543079414</v>
      </c>
      <c r="DU28" s="44">
        <f>('Scope 3 Yearly'!$EE$191*'Scope 3 Yearly'!DU152*(1-'Scope 3 Yearly'!$B$197)+'Scope 3 Yearly'!DU141*'Scope 3 Yearly'!DU151+'Scope 3 Yearly'!DU145*'Scope 3 Yearly'!DU155)*'Yearly Demand - BTX'!AM9</f>
        <v>26.479440853078721</v>
      </c>
      <c r="DV28" s="44">
        <f>('Scope 3 Yearly'!$EE$191*'Scope 3 Yearly'!DV152*(1-'Scope 3 Yearly'!$B$197)+'Scope 3 Yearly'!DV141*'Scope 3 Yearly'!DV151+'Scope 3 Yearly'!DV145*'Scope 3 Yearly'!DV155)*'Yearly Demand - BTX'!AN9</f>
        <v>24.876623642041643</v>
      </c>
      <c r="DW28" s="44">
        <f>('Scope 3 Yearly'!$EE$191*'Scope 3 Yearly'!DW152*(1-'Scope 3 Yearly'!$B$197)+'Scope 3 Yearly'!DW141*'Scope 3 Yearly'!DW151+'Scope 3 Yearly'!DW145*'Scope 3 Yearly'!DW155)*'Yearly Demand - BTX'!AO9</f>
        <v>23.405457465371011</v>
      </c>
      <c r="DX28" s="44">
        <f>('Scope 3 Yearly'!$EE$191*'Scope 3 Yearly'!DX152*(1-'Scope 3 Yearly'!$B$197)+'Scope 3 Yearly'!DX141*'Scope 3 Yearly'!DX151+'Scope 3 Yearly'!DX145*'Scope 3 Yearly'!DX155)*'Yearly Demand - BTX'!AP9</f>
        <v>22.034729475106605</v>
      </c>
      <c r="DY28" s="44">
        <f>('Scope 3 Yearly'!$EE$191*'Scope 3 Yearly'!DY152*(1-'Scope 3 Yearly'!$B$197)+'Scope 3 Yearly'!DY141*'Scope 3 Yearly'!DY151+'Scope 3 Yearly'!DY145*'Scope 3 Yearly'!DY155)*'Yearly Demand - BTX'!AQ9</f>
        <v>20.740534713880976</v>
      </c>
      <c r="DZ28" s="44">
        <f>('Scope 3 Yearly'!$EE$191*'Scope 3 Yearly'!DZ152*(1-'Scope 3 Yearly'!$B$197)+'Scope 3 Yearly'!DZ141*'Scope 3 Yearly'!DZ151+'Scope 3 Yearly'!DZ145*'Scope 3 Yearly'!DZ155)*'Yearly Demand - BTX'!AR9</f>
        <v>19.50518643494291</v>
      </c>
    </row>
    <row r="29" spans="1:165" ht="16" thickBot="1">
      <c r="A29" t="s">
        <v>10</v>
      </c>
      <c r="C29" s="54" t="s">
        <v>415</v>
      </c>
      <c r="D29" s="44">
        <f>('Scope 3 Yearly'!$EE$192*'Scope 3 Yearly'!D175*(1-'Scope 3 Yearly'!$B$197)+'Scope 3 Yearly'!D164*'Scope 3 Yearly'!D174+'Scope 3 Yearly'!D168*'Scope 3 Yearly'!D178)*'Yearly Butadiene'!D76</f>
        <v>14.372100324015667</v>
      </c>
      <c r="E29" s="44">
        <f>('Scope 3 Yearly'!$EE$192*'Scope 3 Yearly'!E175*(1-'Scope 3 Yearly'!$B$197)+'Scope 3 Yearly'!E164*'Scope 3 Yearly'!E174+'Scope 3 Yearly'!E168*'Scope 3 Yearly'!E178)*'Yearly Butadiene'!E76</f>
        <v>14.664519514812362</v>
      </c>
      <c r="F29" s="44">
        <f>('Scope 3 Yearly'!$EE$192*'Scope 3 Yearly'!F175*(1-'Scope 3 Yearly'!$B$197)+'Scope 3 Yearly'!F164*'Scope 3 Yearly'!F174+'Scope 3 Yearly'!F168*'Scope 3 Yearly'!F178)*'Yearly Butadiene'!F76</f>
        <v>14.969228098247699</v>
      </c>
      <c r="G29" s="44">
        <f>('Scope 3 Yearly'!$EE$192*'Scope 3 Yearly'!G175*(1-'Scope 3 Yearly'!$B$197)+'Scope 3 Yearly'!G164*'Scope 3 Yearly'!G174+'Scope 3 Yearly'!G168*'Scope 3 Yearly'!G178)*'Yearly Butadiene'!G76</f>
        <v>15.286763567101474</v>
      </c>
      <c r="H29" s="44">
        <f>('Scope 3 Yearly'!$EE$192*'Scope 3 Yearly'!H175*(1-'Scope 3 Yearly'!$B$197)+'Scope 3 Yearly'!H164*'Scope 3 Yearly'!H174+'Scope 3 Yearly'!H168*'Scope 3 Yearly'!H178)*'Yearly Butadiene'!H76</f>
        <v>15.617522132968414</v>
      </c>
      <c r="I29" s="44">
        <f>('Scope 3 Yearly'!$EE$192*'Scope 3 Yearly'!I175*(1-'Scope 3 Yearly'!$B$197)+'Scope 3 Yearly'!I164*'Scope 3 Yearly'!I174+'Scope 3 Yearly'!I168*'Scope 3 Yearly'!I178)*'Yearly Butadiene'!I76</f>
        <v>15.96157395357392</v>
      </c>
      <c r="J29" s="44">
        <f>('Scope 3 Yearly'!$EE$192*'Scope 3 Yearly'!J175*(1-'Scope 3 Yearly'!$B$197)+'Scope 3 Yearly'!J164*'Scope 3 Yearly'!J174+'Scope 3 Yearly'!J168*'Scope 3 Yearly'!J178)*'Yearly Butadiene'!J76</f>
        <v>16.295101392007943</v>
      </c>
      <c r="K29" s="44">
        <f>('Scope 3 Yearly'!$EE$192*'Scope 3 Yearly'!K175*(1-'Scope 3 Yearly'!$B$197)+'Scope 3 Yearly'!K164*'Scope 3 Yearly'!K174+'Scope 3 Yearly'!K168*'Scope 3 Yearly'!K178)*'Yearly Butadiene'!K76</f>
        <v>16.636813260701441</v>
      </c>
      <c r="L29" s="44">
        <f>('Scope 3 Yearly'!$EE$192*'Scope 3 Yearly'!L175*(1-'Scope 3 Yearly'!$B$197)+'Scope 3 Yearly'!L164*'Scope 3 Yearly'!L174+'Scope 3 Yearly'!L168*'Scope 3 Yearly'!L178)*'Yearly Butadiene'!L76</f>
        <v>16.981986410189993</v>
      </c>
      <c r="M29" s="44">
        <f>('Scope 3 Yearly'!$EE$192*'Scope 3 Yearly'!M175*(1-'Scope 3 Yearly'!$B$197)+'Scope 3 Yearly'!M164*'Scope 3 Yearly'!M174+'Scope 3 Yearly'!M168*'Scope 3 Yearly'!M178)*'Yearly Butadiene'!M76</f>
        <v>17.321714473006629</v>
      </c>
      <c r="N29" s="44">
        <f>('Scope 3 Yearly'!$EE$192*'Scope 3 Yearly'!N175*(1-'Scope 3 Yearly'!$B$197)+'Scope 3 Yearly'!N164*'Scope 3 Yearly'!N174+'Scope 3 Yearly'!N168*'Scope 3 Yearly'!N178)*'Yearly Butadiene'!N76</f>
        <v>17.643813960821891</v>
      </c>
      <c r="O29" s="44">
        <f>('Scope 3 Yearly'!$EE$192*'Scope 3 Yearly'!O175*(1-'Scope 3 Yearly'!$B$197)+'Scope 3 Yearly'!O164*'Scope 3 Yearly'!O174+'Scope 3 Yearly'!O168*'Scope 3 Yearly'!O178)*'Yearly Butadiene'!O76</f>
        <v>17.861807018720185</v>
      </c>
      <c r="P29" s="44">
        <f>('Scope 3 Yearly'!$EE$192*'Scope 3 Yearly'!P175*(1-'Scope 3 Yearly'!$B$197)+'Scope 3 Yearly'!P164*'Scope 3 Yearly'!P174+'Scope 3 Yearly'!P168*'Scope 3 Yearly'!P178)*'Yearly Butadiene'!P76</f>
        <v>18.001639464844502</v>
      </c>
      <c r="Q29" s="44">
        <f>('Scope 3 Yearly'!$EE$192*'Scope 3 Yearly'!Q175*(1-'Scope 3 Yearly'!$B$197)+'Scope 3 Yearly'!Q164*'Scope 3 Yearly'!Q174+'Scope 3 Yearly'!Q168*'Scope 3 Yearly'!Q178)*'Yearly Butadiene'!Q76</f>
        <v>18.01722534613625</v>
      </c>
      <c r="R29" s="44">
        <f>('Scope 3 Yearly'!$EE$192*'Scope 3 Yearly'!R175*(1-'Scope 3 Yearly'!$B$197)+'Scope 3 Yearly'!R164*'Scope 3 Yearly'!R174+'Scope 3 Yearly'!R168*'Scope 3 Yearly'!R178)*'Yearly Butadiene'!R76</f>
        <v>17.867248596436397</v>
      </c>
      <c r="S29" s="44">
        <f>('Scope 3 Yearly'!$EE$192*'Scope 3 Yearly'!S175*(1-'Scope 3 Yearly'!$B$197)+'Scope 3 Yearly'!S164*'Scope 3 Yearly'!S174+'Scope 3 Yearly'!S168*'Scope 3 Yearly'!S178)*'Yearly Butadiene'!S76</f>
        <v>17.526753887161782</v>
      </c>
      <c r="T29" s="44">
        <f>('Scope 3 Yearly'!$EE$192*'Scope 3 Yearly'!T175*(1-'Scope 3 Yearly'!$B$197)+'Scope 3 Yearly'!T164*'Scope 3 Yearly'!T174+'Scope 3 Yearly'!T168*'Scope 3 Yearly'!T178)*'Yearly Butadiene'!T76</f>
        <v>16.831400704878575</v>
      </c>
      <c r="U29" s="44">
        <f>('Scope 3 Yearly'!$EE$192*'Scope 3 Yearly'!U175*(1-'Scope 3 Yearly'!$B$197)+'Scope 3 Yearly'!U164*'Scope 3 Yearly'!U174+'Scope 3 Yearly'!U168*'Scope 3 Yearly'!U178)*'Yearly Butadiene'!U76</f>
        <v>16.003253520517372</v>
      </c>
      <c r="V29" s="44">
        <f>('Scope 3 Yearly'!$EE$192*'Scope 3 Yearly'!V175*(1-'Scope 3 Yearly'!$B$197)+'Scope 3 Yearly'!V164*'Scope 3 Yearly'!V174+'Scope 3 Yearly'!V168*'Scope 3 Yearly'!V178)*'Yearly Butadiene'!V76</f>
        <v>15.108792440599295</v>
      </c>
      <c r="W29" s="44">
        <f>('Scope 3 Yearly'!$EE$192*'Scope 3 Yearly'!W175*(1-'Scope 3 Yearly'!$B$197)+'Scope 3 Yearly'!W164*'Scope 3 Yearly'!W174+'Scope 3 Yearly'!W168*'Scope 3 Yearly'!W178)*'Yearly Butadiene'!W76</f>
        <v>14.216420389970059</v>
      </c>
      <c r="X29" s="44">
        <f>('Scope 3 Yearly'!$EE$192*'Scope 3 Yearly'!X175*(1-'Scope 3 Yearly'!$B$197)+'Scope 3 Yearly'!X164*'Scope 3 Yearly'!X174+'Scope 3 Yearly'!X168*'Scope 3 Yearly'!X178)*'Yearly Butadiene'!X76</f>
        <v>13.487425795009425</v>
      </c>
      <c r="Y29" s="44">
        <f>('Scope 3 Yearly'!$EE$192*'Scope 3 Yearly'!Y175*(1-'Scope 3 Yearly'!$B$197)+'Scope 3 Yearly'!Y164*'Scope 3 Yearly'!Y174+'Scope 3 Yearly'!Y168*'Scope 3 Yearly'!Y178)*'Yearly Butadiene'!Y76</f>
        <v>12.618320031506615</v>
      </c>
      <c r="Z29" s="44">
        <f>('Scope 3 Yearly'!$EE$192*'Scope 3 Yearly'!Z175*(1-'Scope 3 Yearly'!$B$197)+'Scope 3 Yearly'!Z164*'Scope 3 Yearly'!Z174+'Scope 3 Yearly'!Z168*'Scope 3 Yearly'!Z178)*'Yearly Butadiene'!Z76</f>
        <v>11.95652019090854</v>
      </c>
      <c r="AA29" s="44">
        <f>('Scope 3 Yearly'!$EE$192*'Scope 3 Yearly'!AA175*(1-'Scope 3 Yearly'!$B$197)+'Scope 3 Yearly'!AA164*'Scope 3 Yearly'!AA174+'Scope 3 Yearly'!AA168*'Scope 3 Yearly'!AA178)*'Yearly Butadiene'!AA76</f>
        <v>11.390803343180888</v>
      </c>
      <c r="AB29" s="44">
        <f>('Scope 3 Yearly'!$EE$192*'Scope 3 Yearly'!AB175*(1-'Scope 3 Yearly'!$B$197)+'Scope 3 Yearly'!AB164*'Scope 3 Yearly'!AB174+'Scope 3 Yearly'!AB168*'Scope 3 Yearly'!AB178)*'Yearly Butadiene'!AB76</f>
        <v>10.909636227747864</v>
      </c>
      <c r="AC29" s="44">
        <f>('Scope 3 Yearly'!$EE$192*'Scope 3 Yearly'!AC175*(1-'Scope 3 Yearly'!$B$197)+'Scope 3 Yearly'!AC164*'Scope 3 Yearly'!AC174+'Scope 3 Yearly'!AC168*'Scope 3 Yearly'!AC178)*'Yearly Butadiene'!AC76</f>
        <v>10.498395791318782</v>
      </c>
      <c r="AD29" s="44">
        <f>('Scope 3 Yearly'!$EE$192*'Scope 3 Yearly'!AD175*(1-'Scope 3 Yearly'!$B$197)+'Scope 3 Yearly'!AD164*'Scope 3 Yearly'!AD174+'Scope 3 Yearly'!AD168*'Scope 3 Yearly'!AD178)*'Yearly Butadiene'!AD76</f>
        <v>10.13546164834883</v>
      </c>
      <c r="AE29" s="44">
        <f>('Scope 3 Yearly'!$EE$192*'Scope 3 Yearly'!AE175*(1-'Scope 3 Yearly'!$B$197)+'Scope 3 Yearly'!AE164*'Scope 3 Yearly'!AE174+'Scope 3 Yearly'!AE168*'Scope 3 Yearly'!AE178)*'Yearly Butadiene'!AE76</f>
        <v>9.814877648047208</v>
      </c>
      <c r="AF29" s="44">
        <f>('Scope 3 Yearly'!$EE$192*'Scope 3 Yearly'!AF175*(1-'Scope 3 Yearly'!$B$197)+'Scope 3 Yearly'!AF164*'Scope 3 Yearly'!AF174+'Scope 3 Yearly'!AF168*'Scope 3 Yearly'!AF178)*'Yearly Butadiene'!AF76</f>
        <v>9.5254703784582322</v>
      </c>
      <c r="AG29" s="44">
        <f>('Scope 3 Yearly'!$EE$192*'Scope 3 Yearly'!AG175*(1-'Scope 3 Yearly'!$B$197)+'Scope 3 Yearly'!AG164*'Scope 3 Yearly'!AG174+'Scope 3 Yearly'!AG168*'Scope 3 Yearly'!AG178)*'Yearly Butadiene'!AG76</f>
        <v>9.2584758211957716</v>
      </c>
      <c r="AH29" s="44">
        <f>('Scope 3 Yearly'!$EE$192*'Scope 3 Yearly'!AH175*(1-'Scope 3 Yearly'!$B$197)+'Scope 3 Yearly'!AH164*'Scope 3 Yearly'!AH174+'Scope 3 Yearly'!AH168*'Scope 3 Yearly'!AH178)*'Yearly Butadiene'!AH76</f>
        <v>9.2030018667673641</v>
      </c>
      <c r="AI29" s="44"/>
      <c r="AJ29" s="44">
        <f>('Scope 3 Yearly'!$EE$192*'Scope 3 Yearly'!AJ175*(1-'Scope 3 Yearly'!$B$197)+'Scope 3 Yearly'!AJ164*'Scope 3 Yearly'!AJ174+'Scope 3 Yearly'!AJ168*'Scope 3 Yearly'!AJ178)*'Yearly Butadiene'!AJ76</f>
        <v>14.372100324015667</v>
      </c>
      <c r="AK29" s="44">
        <f>('Scope 3 Yearly'!$EE$192*'Scope 3 Yearly'!AK175*(1-'Scope 3 Yearly'!$B$197)+'Scope 3 Yearly'!AK164*'Scope 3 Yearly'!AK174+'Scope 3 Yearly'!AK168*'Scope 3 Yearly'!AK178)*'Yearly Butadiene'!AK76</f>
        <v>14.664519514812362</v>
      </c>
      <c r="AL29" s="44">
        <f>('Scope 3 Yearly'!$EE$192*'Scope 3 Yearly'!AL175*(1-'Scope 3 Yearly'!$B$197)+'Scope 3 Yearly'!AL164*'Scope 3 Yearly'!AL174+'Scope 3 Yearly'!AL168*'Scope 3 Yearly'!AL178)*'Yearly Butadiene'!AL76</f>
        <v>14.969228098247699</v>
      </c>
      <c r="AM29" s="44">
        <f>('Scope 3 Yearly'!$EE$192*'Scope 3 Yearly'!AM175*(1-'Scope 3 Yearly'!$B$197)+'Scope 3 Yearly'!AM164*'Scope 3 Yearly'!AM174+'Scope 3 Yearly'!AM168*'Scope 3 Yearly'!AM178)*'Yearly Butadiene'!AM76</f>
        <v>15.286763567101474</v>
      </c>
      <c r="AN29" s="44">
        <f>('Scope 3 Yearly'!$EE$192*'Scope 3 Yearly'!AN175*(1-'Scope 3 Yearly'!$B$197)+'Scope 3 Yearly'!AN164*'Scope 3 Yearly'!AN174+'Scope 3 Yearly'!AN168*'Scope 3 Yearly'!AN178)*'Yearly Butadiene'!AN76</f>
        <v>15.617522132968414</v>
      </c>
      <c r="AO29" s="44">
        <f>('Scope 3 Yearly'!$EE$192*'Scope 3 Yearly'!AO175*(1-'Scope 3 Yearly'!$B$197)+'Scope 3 Yearly'!AO164*'Scope 3 Yearly'!AO174+'Scope 3 Yearly'!AO168*'Scope 3 Yearly'!AO178)*'Yearly Butadiene'!AO76</f>
        <v>15.96157395357392</v>
      </c>
      <c r="AP29" s="44">
        <f>('Scope 3 Yearly'!$EE$192*'Scope 3 Yearly'!AP175*(1-'Scope 3 Yearly'!$B$197)+'Scope 3 Yearly'!AP164*'Scope 3 Yearly'!AP174+'Scope 3 Yearly'!AP168*'Scope 3 Yearly'!AP178)*'Yearly Butadiene'!AP76</f>
        <v>16.295101392007943</v>
      </c>
      <c r="AQ29" s="44">
        <f>('Scope 3 Yearly'!$EE$192*'Scope 3 Yearly'!AQ175*(1-'Scope 3 Yearly'!$B$197)+'Scope 3 Yearly'!AQ164*'Scope 3 Yearly'!AQ174+'Scope 3 Yearly'!AQ168*'Scope 3 Yearly'!AQ178)*'Yearly Butadiene'!AQ76</f>
        <v>16.636813260701441</v>
      </c>
      <c r="AR29" s="44">
        <f>('Scope 3 Yearly'!$EE$192*'Scope 3 Yearly'!AR175*(1-'Scope 3 Yearly'!$B$197)+'Scope 3 Yearly'!AR164*'Scope 3 Yearly'!AR174+'Scope 3 Yearly'!AR168*'Scope 3 Yearly'!AR178)*'Yearly Butadiene'!AR76</f>
        <v>16.981986410189993</v>
      </c>
      <c r="AS29" s="44">
        <f>('Scope 3 Yearly'!$EE$192*'Scope 3 Yearly'!AS175*(1-'Scope 3 Yearly'!$B$197)+'Scope 3 Yearly'!AS164*'Scope 3 Yearly'!AS174+'Scope 3 Yearly'!AS168*'Scope 3 Yearly'!AS178)*'Yearly Butadiene'!AS76</f>
        <v>17.321714473006629</v>
      </c>
      <c r="AT29" s="44">
        <f>('Scope 3 Yearly'!$EE$192*'Scope 3 Yearly'!AT175*(1-'Scope 3 Yearly'!$B$197)+'Scope 3 Yearly'!AT164*'Scope 3 Yearly'!AT174+'Scope 3 Yearly'!AT168*'Scope 3 Yearly'!AT178)*'Yearly Butadiene'!AT76</f>
        <v>17.643813960821895</v>
      </c>
      <c r="AU29" s="44">
        <f>('Scope 3 Yearly'!$EE$192*'Scope 3 Yearly'!AU175*(1-'Scope 3 Yearly'!$B$197)+'Scope 3 Yearly'!AU164*'Scope 3 Yearly'!AU174+'Scope 3 Yearly'!AU168*'Scope 3 Yearly'!AU178)*'Yearly Butadiene'!AU76</f>
        <v>17.861807018720185</v>
      </c>
      <c r="AV29" s="44">
        <f>('Scope 3 Yearly'!$EE$192*'Scope 3 Yearly'!AV175*(1-'Scope 3 Yearly'!$B$197)+'Scope 3 Yearly'!AV164*'Scope 3 Yearly'!AV174+'Scope 3 Yearly'!AV168*'Scope 3 Yearly'!AV178)*'Yearly Butadiene'!AV76</f>
        <v>18.001639464844502</v>
      </c>
      <c r="AW29" s="44">
        <f>('Scope 3 Yearly'!$EE$192*'Scope 3 Yearly'!AW175*(1-'Scope 3 Yearly'!$B$197)+'Scope 3 Yearly'!AW164*'Scope 3 Yearly'!AW174+'Scope 3 Yearly'!AW168*'Scope 3 Yearly'!AW178)*'Yearly Butadiene'!AW76</f>
        <v>18.01722534613625</v>
      </c>
      <c r="AX29" s="44">
        <f>('Scope 3 Yearly'!$EE$192*'Scope 3 Yearly'!AX175*(1-'Scope 3 Yearly'!$B$197)+'Scope 3 Yearly'!AX164*'Scope 3 Yearly'!AX174+'Scope 3 Yearly'!AX168*'Scope 3 Yearly'!AX178)*'Yearly Butadiene'!AX76</f>
        <v>17.867248596436397</v>
      </c>
      <c r="AY29" s="44">
        <f>('Scope 3 Yearly'!$EE$192*'Scope 3 Yearly'!AY175*(1-'Scope 3 Yearly'!$B$197)+'Scope 3 Yearly'!AY164*'Scope 3 Yearly'!AY174+'Scope 3 Yearly'!AY168*'Scope 3 Yearly'!AY178)*'Yearly Butadiene'!AY76</f>
        <v>17.526753887161782</v>
      </c>
      <c r="AZ29" s="44">
        <f>('Scope 3 Yearly'!$EE$192*'Scope 3 Yearly'!AZ175*(1-'Scope 3 Yearly'!$B$197)+'Scope 3 Yearly'!AZ164*'Scope 3 Yearly'!AZ174+'Scope 3 Yearly'!AZ168*'Scope 3 Yearly'!AZ178)*'Yearly Butadiene'!AZ76</f>
        <v>16.831400704878575</v>
      </c>
      <c r="BA29" s="44">
        <f>('Scope 3 Yearly'!$EE$192*'Scope 3 Yearly'!BA175*(1-'Scope 3 Yearly'!$B$197)+'Scope 3 Yearly'!BA164*'Scope 3 Yearly'!BA174+'Scope 3 Yearly'!BA168*'Scope 3 Yearly'!BA178)*'Yearly Butadiene'!BA76</f>
        <v>16.003253520517372</v>
      </c>
      <c r="BB29" s="44">
        <f>('Scope 3 Yearly'!$EE$192*'Scope 3 Yearly'!BB175*(1-'Scope 3 Yearly'!$B$197)+'Scope 3 Yearly'!BB164*'Scope 3 Yearly'!BB174+'Scope 3 Yearly'!BB168*'Scope 3 Yearly'!BB178)*'Yearly Butadiene'!BB76</f>
        <v>15.108792440599295</v>
      </c>
      <c r="BC29" s="44">
        <f>('Scope 3 Yearly'!$EE$192*'Scope 3 Yearly'!BC175*(1-'Scope 3 Yearly'!$B$197)+'Scope 3 Yearly'!BC164*'Scope 3 Yearly'!BC174+'Scope 3 Yearly'!BC168*'Scope 3 Yearly'!BC178)*'Yearly Butadiene'!BC76</f>
        <v>14.216420389970059</v>
      </c>
      <c r="BD29" s="44">
        <f>('Scope 3 Yearly'!$EE$192*'Scope 3 Yearly'!BD175*(1-'Scope 3 Yearly'!$B$197)+'Scope 3 Yearly'!BD164*'Scope 3 Yearly'!BD174+'Scope 3 Yearly'!BD168*'Scope 3 Yearly'!BD178)*'Yearly Butadiene'!BD76</f>
        <v>13.487425795009425</v>
      </c>
      <c r="BE29" s="44">
        <f>('Scope 3 Yearly'!$EE$192*'Scope 3 Yearly'!BE175*(1-'Scope 3 Yearly'!$B$197)+'Scope 3 Yearly'!BE164*'Scope 3 Yearly'!BE174+'Scope 3 Yearly'!BE168*'Scope 3 Yearly'!BE178)*'Yearly Butadiene'!BE76</f>
        <v>12.618320031506615</v>
      </c>
      <c r="BF29" s="44">
        <f>('Scope 3 Yearly'!$EE$192*'Scope 3 Yearly'!BF175*(1-'Scope 3 Yearly'!$B$197)+'Scope 3 Yearly'!BF164*'Scope 3 Yearly'!BF174+'Scope 3 Yearly'!BF168*'Scope 3 Yearly'!BF178)*'Yearly Butadiene'!BF76</f>
        <v>11.95652019090854</v>
      </c>
      <c r="BG29" s="44">
        <f>('Scope 3 Yearly'!$EE$192*'Scope 3 Yearly'!BG175*(1-'Scope 3 Yearly'!$B$197)+'Scope 3 Yearly'!BG164*'Scope 3 Yearly'!BG174+'Scope 3 Yearly'!BG168*'Scope 3 Yearly'!BG178)*'Yearly Butadiene'!BG76</f>
        <v>11.390803343180888</v>
      </c>
      <c r="BH29" s="44">
        <f>('Scope 3 Yearly'!$EE$192*'Scope 3 Yearly'!BH175*(1-'Scope 3 Yearly'!$B$197)+'Scope 3 Yearly'!BH164*'Scope 3 Yearly'!BH174+'Scope 3 Yearly'!BH168*'Scope 3 Yearly'!BH178)*'Yearly Butadiene'!BH76</f>
        <v>10.909636227747864</v>
      </c>
      <c r="BI29" s="44">
        <f>('Scope 3 Yearly'!$EE$192*'Scope 3 Yearly'!BI175*(1-'Scope 3 Yearly'!$B$197)+'Scope 3 Yearly'!BI164*'Scope 3 Yearly'!BI174+'Scope 3 Yearly'!BI168*'Scope 3 Yearly'!BI178)*'Yearly Butadiene'!BI76</f>
        <v>10.498395791318782</v>
      </c>
      <c r="BJ29" s="44">
        <f>('Scope 3 Yearly'!$EE$192*'Scope 3 Yearly'!BJ175*(1-'Scope 3 Yearly'!$B$197)+'Scope 3 Yearly'!BJ164*'Scope 3 Yearly'!BJ174+'Scope 3 Yearly'!BJ168*'Scope 3 Yearly'!BJ178)*'Yearly Butadiene'!BJ76</f>
        <v>10.13546164834883</v>
      </c>
      <c r="BK29" s="44">
        <f>('Scope 3 Yearly'!$EE$192*'Scope 3 Yearly'!BK175*(1-'Scope 3 Yearly'!$B$197)+'Scope 3 Yearly'!BK164*'Scope 3 Yearly'!BK174+'Scope 3 Yearly'!BK168*'Scope 3 Yearly'!BK178)*'Yearly Butadiene'!BK76</f>
        <v>9.814877648047208</v>
      </c>
      <c r="BL29" s="44">
        <f>('Scope 3 Yearly'!$EE$192*'Scope 3 Yearly'!BL175*(1-'Scope 3 Yearly'!$B$197)+'Scope 3 Yearly'!BL164*'Scope 3 Yearly'!BL174+'Scope 3 Yearly'!BL168*'Scope 3 Yearly'!BL178)*'Yearly Butadiene'!BL76</f>
        <v>9.5254703784582322</v>
      </c>
      <c r="BM29" s="44">
        <f>('Scope 3 Yearly'!$EE$192*'Scope 3 Yearly'!BM175*(1-'Scope 3 Yearly'!$B$197)+'Scope 3 Yearly'!BM164*'Scope 3 Yearly'!BM174+'Scope 3 Yearly'!BM168*'Scope 3 Yearly'!BM178)*'Yearly Butadiene'!BM76</f>
        <v>9.2584758211957716</v>
      </c>
      <c r="BN29" s="44">
        <f>('Scope 3 Yearly'!$EE$192*'Scope 3 Yearly'!BN175*(1-'Scope 3 Yearly'!$B$197)+'Scope 3 Yearly'!BN164*'Scope 3 Yearly'!BN174+'Scope 3 Yearly'!BN168*'Scope 3 Yearly'!BN178)*'Yearly Butadiene'!BN76</f>
        <v>9.2030018667673641</v>
      </c>
      <c r="BO29" s="44"/>
      <c r="BP29" s="44">
        <f>('Scope 3 Yearly'!$EE$192*'Scope 3 Yearly'!BP175*(1-'Scope 3 Yearly'!$B$197)+'Scope 3 Yearly'!BP164*'Scope 3 Yearly'!BP174+'Scope 3 Yearly'!BP168*'Scope 3 Yearly'!BP178)*'Yearly Butadiene'!D4</f>
        <v>14.372232892473018</v>
      </c>
      <c r="BQ29" s="44">
        <f>('Scope 3 Yearly'!$EE$192*'Scope 3 Yearly'!BQ175*(1-'Scope 3 Yearly'!$B$197)+'Scope 3 Yearly'!BQ164*'Scope 3 Yearly'!BQ174+'Scope 3 Yearly'!BQ168*'Scope 3 Yearly'!BQ178)*'Yearly Butadiene'!E4</f>
        <v>14.928891026312101</v>
      </c>
      <c r="BR29" s="44">
        <f>('Scope 3 Yearly'!$EE$192*'Scope 3 Yearly'!BR175*(1-'Scope 3 Yearly'!$B$197)+'Scope 3 Yearly'!BR164*'Scope 3 Yearly'!BR174+'Scope 3 Yearly'!BR168*'Scope 3 Yearly'!BR178)*'Yearly Butadiene'!F4</f>
        <v>15.502818129508821</v>
      </c>
      <c r="BS29" s="44">
        <f>('Scope 3 Yearly'!$EE$192*'Scope 3 Yearly'!BS175*(1-'Scope 3 Yearly'!$B$197)+'Scope 3 Yearly'!BS164*'Scope 3 Yearly'!BS174+'Scope 3 Yearly'!BS168*'Scope 3 Yearly'!BS178)*'Yearly Butadiene'!G4</f>
        <v>16.094497417662808</v>
      </c>
      <c r="BT29" s="44">
        <f>('Scope 3 Yearly'!$EE$192*'Scope 3 Yearly'!BT175*(1-'Scope 3 Yearly'!$B$197)+'Scope 3 Yearly'!BT164*'Scope 3 Yearly'!BT174+'Scope 3 Yearly'!BT168*'Scope 3 Yearly'!BT178)*'Yearly Butadiene'!H4</f>
        <v>16.704410566218016</v>
      </c>
      <c r="BU29" s="44">
        <f>('Scope 3 Yearly'!$EE$192*'Scope 3 Yearly'!BU175*(1-'Scope 3 Yearly'!$B$197)+'Scope 3 Yearly'!BU164*'Scope 3 Yearly'!BU174+'Scope 3 Yearly'!BU168*'Scope 3 Yearly'!BU178)*'Yearly Butadiene'!I4</f>
        <v>17.33303614109732</v>
      </c>
      <c r="BV29" s="44">
        <f>('Scope 3 Yearly'!$EE$192*'Scope 3 Yearly'!BV175*(1-'Scope 3 Yearly'!$B$197)+'Scope 3 Yearly'!BV164*'Scope 3 Yearly'!BV174+'Scope 3 Yearly'!BV168*'Scope 3 Yearly'!BV178)*'Yearly Butadiene'!J4</f>
        <v>17.958766561788437</v>
      </c>
      <c r="BW29" s="44">
        <f>('Scope 3 Yearly'!$EE$192*'Scope 3 Yearly'!BW175*(1-'Scope 3 Yearly'!$B$197)+'Scope 3 Yearly'!BW164*'Scope 3 Yearly'!BW174+'Scope 3 Yearly'!BW168*'Scope 3 Yearly'!BW178)*'Yearly Butadiene'!K4</f>
        <v>18.604373579550533</v>
      </c>
      <c r="BX29" s="44">
        <f>('Scope 3 Yearly'!$EE$192*'Scope 3 Yearly'!BX175*(1-'Scope 3 Yearly'!$B$197)+'Scope 3 Yearly'!BX164*'Scope 3 Yearly'!BX174+'Scope 3 Yearly'!BX168*'Scope 3 Yearly'!BX178)*'Yearly Butadiene'!L4</f>
        <v>19.270438127916105</v>
      </c>
      <c r="BY29" s="44">
        <f>('Scope 3 Yearly'!$EE$192*'Scope 3 Yearly'!BY175*(1-'Scope 3 Yearly'!$B$197)+'Scope 3 Yearly'!BY164*'Scope 3 Yearly'!BY174+'Scope 3 Yearly'!BY168*'Scope 3 Yearly'!BY178)*'Yearly Butadiene'!M4</f>
        <v>19.957556688417728</v>
      </c>
      <c r="BZ29" s="44">
        <f>('Scope 3 Yearly'!$EE$192*'Scope 3 Yearly'!BZ175*(1-'Scope 3 Yearly'!$B$197)+'Scope 3 Yearly'!BZ164*'Scope 3 Yearly'!BZ174+'Scope 3 Yearly'!BZ168*'Scope 3 Yearly'!BZ178)*'Yearly Butadiene'!N4</f>
        <v>20.666341634533307</v>
      </c>
      <c r="CA29" s="44">
        <f>('Scope 3 Yearly'!$EE$192*'Scope 3 Yearly'!CA175*(1-'Scope 3 Yearly'!$B$197)+'Scope 3 Yearly'!CA164*'Scope 3 Yearly'!CA174+'Scope 3 Yearly'!CA168*'Scope 3 Yearly'!CA178)*'Yearly Butadiene'!O4</f>
        <v>21.335180137401654</v>
      </c>
      <c r="CB29" s="44">
        <f>('Scope 3 Yearly'!$EE$192*'Scope 3 Yearly'!CB175*(1-'Scope 3 Yearly'!$B$197)+'Scope 3 Yearly'!CB164*'Scope 3 Yearly'!CB174+'Scope 3 Yearly'!CB168*'Scope 3 Yearly'!CB178)*'Yearly Butadiene'!P4</f>
        <v>22.021335506316106</v>
      </c>
      <c r="CC29" s="44">
        <f>('Scope 3 Yearly'!$EE$192*'Scope 3 Yearly'!CC175*(1-'Scope 3 Yearly'!$B$197)+'Scope 3 Yearly'!CC164*'Scope 3 Yearly'!CC174+'Scope 3 Yearly'!CC168*'Scope 3 Yearly'!CC178)*'Yearly Butadiene'!Q4</f>
        <v>22.725138008238499</v>
      </c>
      <c r="CD29" s="44">
        <f>('Scope 3 Yearly'!$EE$192*'Scope 3 Yearly'!CD175*(1-'Scope 3 Yearly'!$B$197)+'Scope 3 Yearly'!CD164*'Scope 3 Yearly'!CD174+'Scope 3 Yearly'!CD168*'Scope 3 Yearly'!CD178)*'Yearly Butadiene'!R4</f>
        <v>23.446908740098777</v>
      </c>
      <c r="CE29" s="44">
        <f>('Scope 3 Yearly'!$EE$192*'Scope 3 Yearly'!CE175*(1-'Scope 3 Yearly'!$B$197)+'Scope 3 Yearly'!CE164*'Scope 3 Yearly'!CE174+'Scope 3 Yearly'!CE168*'Scope 3 Yearly'!CE178)*'Yearly Butadiene'!S4</f>
        <v>24.186957418873313</v>
      </c>
      <c r="CF29" s="44">
        <f>('Scope 3 Yearly'!$EE$192*'Scope 3 Yearly'!CF175*(1-'Scope 3 Yearly'!$B$197)+'Scope 3 Yearly'!CF164*'Scope 3 Yearly'!CF174+'Scope 3 Yearly'!CF168*'Scope 3 Yearly'!CF178)*'Yearly Butadiene'!T4</f>
        <v>24.712127568571198</v>
      </c>
      <c r="CG29" s="44">
        <f>('Scope 3 Yearly'!$EE$192*'Scope 3 Yearly'!CG175*(1-'Scope 3 Yearly'!$B$197)+'Scope 3 Yearly'!CG164*'Scope 3 Yearly'!CG174+'Scope 3 Yearly'!CG168*'Scope 3 Yearly'!CG178)*'Yearly Butadiene'!U4</f>
        <v>25.246006049067596</v>
      </c>
      <c r="CH29" s="44">
        <f>('Scope 3 Yearly'!$EE$192*'Scope 3 Yearly'!CH175*(1-'Scope 3 Yearly'!$B$197)+'Scope 3 Yearly'!CH164*'Scope 3 Yearly'!CH174+'Scope 3 Yearly'!CH168*'Scope 3 Yearly'!CH178)*'Yearly Butadiene'!V4</f>
        <v>25.788713710291606</v>
      </c>
      <c r="CI29" s="44">
        <f>('Scope 3 Yearly'!$EE$192*'Scope 3 Yearly'!CI175*(1-'Scope 3 Yearly'!$B$197)+'Scope 3 Yearly'!CI164*'Scope 3 Yearly'!CI174+'Scope 3 Yearly'!CI168*'Scope 3 Yearly'!CI178)*'Yearly Butadiene'!W4</f>
        <v>26.340372628197279</v>
      </c>
      <c r="CJ29" s="44">
        <f>('Scope 3 Yearly'!$EE$192*'Scope 3 Yearly'!CJ175*(1-'Scope 3 Yearly'!$B$197)+'Scope 3 Yearly'!CJ164*'Scope 3 Yearly'!CJ174+'Scope 3 Yearly'!CJ168*'Scope 3 Yearly'!CJ178)*'Yearly Butadiene'!X4</f>
        <v>26.901106100862066</v>
      </c>
      <c r="CK29" s="44">
        <f>('Scope 3 Yearly'!$EE$192*'Scope 3 Yearly'!CK175*(1-'Scope 3 Yearly'!$B$197)+'Scope 3 Yearly'!CK164*'Scope 3 Yearly'!CK174+'Scope 3 Yearly'!CK168*'Scope 3 Yearly'!CK178)*'Yearly Butadiene'!Y4</f>
        <v>27.446568745083461</v>
      </c>
      <c r="CL29" s="44">
        <f>('Scope 3 Yearly'!$EE$192*'Scope 3 Yearly'!CL175*(1-'Scope 3 Yearly'!$B$197)+'Scope 3 Yearly'!CL164*'Scope 3 Yearly'!CL174+'Scope 3 Yearly'!CL168*'Scope 3 Yearly'!CL178)*'Yearly Butadiene'!Z4</f>
        <v>28.000361520973133</v>
      </c>
      <c r="CM29" s="44">
        <f>('Scope 3 Yearly'!$EE$192*'Scope 3 Yearly'!CM175*(1-'Scope 3 Yearly'!$B$197)+'Scope 3 Yearly'!CM164*'Scope 3 Yearly'!CM174+'Scope 3 Yearly'!CM168*'Scope 3 Yearly'!CM178)*'Yearly Butadiene'!AA4</f>
        <v>28.562588738201779</v>
      </c>
      <c r="CN29" s="44">
        <f>('Scope 3 Yearly'!$EE$192*'Scope 3 Yearly'!CN175*(1-'Scope 3 Yearly'!$B$197)+'Scope 3 Yearly'!CN164*'Scope 3 Yearly'!CN174+'Scope 3 Yearly'!CN168*'Scope 3 Yearly'!CN178)*'Yearly Butadiene'!AB4</f>
        <v>29.133355562055087</v>
      </c>
      <c r="CO29" s="44">
        <f>('Scope 3 Yearly'!$EE$192*'Scope 3 Yearly'!CO175*(1-'Scope 3 Yearly'!$B$197)+'Scope 3 Yearly'!CO164*'Scope 3 Yearly'!CO174+'Scope 3 Yearly'!CO168*'Scope 3 Yearly'!CO178)*'Yearly Butadiene'!AC4</f>
        <v>29.712768003858127</v>
      </c>
      <c r="CP29" s="44">
        <f>('Scope 3 Yearly'!$EE$192*'Scope 3 Yearly'!CP175*(1-'Scope 3 Yearly'!$B$197)+'Scope 3 Yearly'!CP164*'Scope 3 Yearly'!CP174+'Scope 3 Yearly'!CP168*'Scope 3 Yearly'!CP178)*'Yearly Butadiene'!AD4</f>
        <v>30.281978047084284</v>
      </c>
      <c r="CQ29" s="44">
        <f>('Scope 3 Yearly'!$EE$192*'Scope 3 Yearly'!CQ175*(1-'Scope 3 Yearly'!$B$197)+'Scope 3 Yearly'!CQ164*'Scope 3 Yearly'!CQ174+'Scope 3 Yearly'!CQ168*'Scope 3 Yearly'!CQ178)*'Yearly Butadiene'!AE4</f>
        <v>30.859328123608339</v>
      </c>
      <c r="CR29" s="44">
        <f>('Scope 3 Yearly'!$EE$192*'Scope 3 Yearly'!CR175*(1-'Scope 3 Yearly'!$B$197)+'Scope 3 Yearly'!CR164*'Scope 3 Yearly'!CR174+'Scope 3 Yearly'!CR168*'Scope 3 Yearly'!CR178)*'Yearly Butadiene'!AF4</f>
        <v>31.444911789587071</v>
      </c>
      <c r="CS29" s="44">
        <f>('Scope 3 Yearly'!$EE$192*'Scope 3 Yearly'!CS175*(1-'Scope 3 Yearly'!$B$197)+'Scope 3 Yearly'!CS164*'Scope 3 Yearly'!CS174+'Scope 3 Yearly'!CS168*'Scope 3 Yearly'!CS178)*'Yearly Butadiene'!AG4</f>
        <v>32.038823212968865</v>
      </c>
      <c r="CT29" s="44">
        <f>('Scope 3 Yearly'!$EE$192*'Scope 3 Yearly'!CT175*(1-'Scope 3 Yearly'!$B$197)+'Scope 3 Yearly'!CT164*'Scope 3 Yearly'!CT174+'Scope 3 Yearly'!CT168*'Scope 3 Yearly'!CT178)*'Yearly Butadiene'!AH4</f>
        <v>32.641157160160759</v>
      </c>
      <c r="CV29" s="44">
        <f>('Scope 3 Yearly'!$EE$192*'Scope 3 Yearly'!CV175*(1-'Scope 3 Yearly'!$B$197)+'Scope 3 Yearly'!CV164*'Scope 3 Yearly'!CV174+'Scope 3 Yearly'!CV168*'Scope 3 Yearly'!CV178)*'Yearly Butadiene'!D4</f>
        <v>14.372100324015667</v>
      </c>
      <c r="CW29" s="44">
        <f>('Scope 3 Yearly'!$EE$192*'Scope 3 Yearly'!CW175*(1-'Scope 3 Yearly'!$B$197)+'Scope 3 Yearly'!CW164*'Scope 3 Yearly'!CW174+'Scope 3 Yearly'!CW168*'Scope 3 Yearly'!CW178)*'Yearly Butadiene'!E4</f>
        <v>14.709023546027932</v>
      </c>
      <c r="CX29" s="44">
        <f>('Scope 3 Yearly'!$EE$192*'Scope 3 Yearly'!CX175*(1-'Scope 3 Yearly'!$B$197)+'Scope 3 Yearly'!CX164*'Scope 3 Yearly'!CX174+'Scope 3 Yearly'!CX168*'Scope 3 Yearly'!CX178)*'Yearly Butadiene'!F4</f>
        <v>15.059948709871767</v>
      </c>
      <c r="CY29" s="44">
        <f>('Scope 3 Yearly'!$EE$192*'Scope 3 Yearly'!CY175*(1-'Scope 3 Yearly'!$B$197)+'Scope 3 Yearly'!CY164*'Scope 3 Yearly'!CY174+'Scope 3 Yearly'!CY168*'Scope 3 Yearly'!CY178)*'Yearly Butadiene'!G4</f>
        <v>15.425218712852399</v>
      </c>
      <c r="CZ29" s="44">
        <f>('Scope 3 Yearly'!$EE$192*'Scope 3 Yearly'!CZ175*(1-'Scope 3 Yearly'!$B$197)+'Scope 3 Yearly'!CZ164*'Scope 3 Yearly'!CZ174+'Scope 3 Yearly'!CZ168*'Scope 3 Yearly'!CZ178)*'Yearly Butadiene'!H4</f>
        <v>15.805007864645283</v>
      </c>
      <c r="DA29" s="44">
        <f>('Scope 3 Yearly'!$EE$192*'Scope 3 Yearly'!DA175*(1-'Scope 3 Yearly'!$B$197)+'Scope 3 Yearly'!DA164*'Scope 3 Yearly'!DA174+'Scope 3 Yearly'!DA168*'Scope 3 Yearly'!DA178)*'Yearly Butadiene'!I4</f>
        <v>16.199139848693893</v>
      </c>
      <c r="DB29" s="44">
        <f>('Scope 3 Yearly'!$EE$192*'Scope 3 Yearly'!DB175*(1-'Scope 3 Yearly'!$B$197)+'Scope 3 Yearly'!DB164*'Scope 3 Yearly'!DB174+'Scope 3 Yearly'!DB168*'Scope 3 Yearly'!DB178)*'Yearly Butadiene'!J4</f>
        <v>16.584691131491816</v>
      </c>
      <c r="DC29" s="44">
        <f>('Scope 3 Yearly'!$EE$192*'Scope 3 Yearly'!DC175*(1-'Scope 3 Yearly'!$B$197)+'Scope 3 Yearly'!DC164*'Scope 3 Yearly'!DC174+'Scope 3 Yearly'!DC168*'Scope 3 Yearly'!DC178)*'Yearly Butadiene'!K4</f>
        <v>16.980402441379319</v>
      </c>
      <c r="DD29" s="44">
        <f>('Scope 3 Yearly'!$EE$192*'Scope 3 Yearly'!DD175*(1-'Scope 3 Yearly'!$B$197)+'Scope 3 Yearly'!DD164*'Scope 3 Yearly'!DD174+'Scope 3 Yearly'!DD168*'Scope 3 Yearly'!DD178)*'Yearly Butadiene'!L4</f>
        <v>17.381544650724546</v>
      </c>
      <c r="DE29" s="44">
        <f>('Scope 3 Yearly'!$EE$192*'Scope 3 Yearly'!DE175*(1-'Scope 3 Yearly'!$B$197)+'Scope 3 Yearly'!DE164*'Scope 3 Yearly'!DE174+'Scope 3 Yearly'!DE168*'Scope 3 Yearly'!DE178)*'Yearly Butadiene'!M4</f>
        <v>17.779123910728405</v>
      </c>
      <c r="DF29" s="44">
        <f>('Scope 3 Yearly'!$EE$192*'Scope 3 Yearly'!DF175*(1-'Scope 3 Yearly'!$B$197)+'Scope 3 Yearly'!DF164*'Scope 3 Yearly'!DF174+'Scope 3 Yearly'!DF168*'Scope 3 Yearly'!DF178)*'Yearly Butadiene'!N4</f>
        <v>18.15732857110617</v>
      </c>
      <c r="DG29" s="44">
        <f>('Scope 3 Yearly'!$EE$192*'Scope 3 Yearly'!DG175*(1-'Scope 3 Yearly'!$B$197)+'Scope 3 Yearly'!DG164*'Scope 3 Yearly'!DG174+'Scope 3 Yearly'!DG168*'Scope 3 Yearly'!DG178)*'Yearly Butadiene'!O4</f>
        <v>18.438091740365525</v>
      </c>
      <c r="DH29" s="44">
        <f>('Scope 3 Yearly'!$EE$192*'Scope 3 Yearly'!DH175*(1-'Scope 3 Yearly'!$B$197)+'Scope 3 Yearly'!DH164*'Scope 3 Yearly'!DH174+'Scope 3 Yearly'!DH168*'Scope 3 Yearly'!DH178)*'Yearly Butadiene'!P4</f>
        <v>18.635967121076604</v>
      </c>
      <c r="DI29" s="44">
        <f>('Scope 3 Yearly'!$EE$192*'Scope 3 Yearly'!DI175*(1-'Scope 3 Yearly'!$B$197)+'Scope 3 Yearly'!DI164*'Scope 3 Yearly'!DI174+'Scope 3 Yearly'!DI168*'Scope 3 Yearly'!DI178)*'Yearly Butadiene'!Q4</f>
        <v>18.706315474917741</v>
      </c>
      <c r="DJ29" s="44">
        <f>('Scope 3 Yearly'!$EE$192*'Scope 3 Yearly'!DJ175*(1-'Scope 3 Yearly'!$B$197)+'Scope 3 Yearly'!DJ164*'Scope 3 Yearly'!DJ174+'Scope 3 Yearly'!DJ168*'Scope 3 Yearly'!DJ178)*'Yearly Butadiene'!R4</f>
        <v>18.605463428176368</v>
      </c>
      <c r="DK29" s="44">
        <f>('Scope 3 Yearly'!$EE$192*'Scope 3 Yearly'!DK175*(1-'Scope 3 Yearly'!$B$197)+'Scope 3 Yearly'!DK164*'Scope 3 Yearly'!DK174+'Scope 3 Yearly'!DK168*'Scope 3 Yearly'!DK178)*'Yearly Butadiene'!S4</f>
        <v>18.305814961484817</v>
      </c>
      <c r="DL29" s="44">
        <f>('Scope 3 Yearly'!$EE$192*'Scope 3 Yearly'!DL175*(1-'Scope 3 Yearly'!$B$197)+'Scope 3 Yearly'!DL164*'Scope 3 Yearly'!DL174+'Scope 3 Yearly'!DL168*'Scope 3 Yearly'!DL178)*'Yearly Butadiene'!T4</f>
        <v>17.642676129776913</v>
      </c>
      <c r="DM29" s="44">
        <f>('Scope 3 Yearly'!$EE$192*'Scope 3 Yearly'!DM175*(1-'Scope 3 Yearly'!$B$197)+'Scope 3 Yearly'!DM164*'Scope 3 Yearly'!DM174+'Scope 3 Yearly'!DM168*'Scope 3 Yearly'!DM178)*'Yearly Butadiene'!U4</f>
        <v>16.837240309070832</v>
      </c>
      <c r="DN29" s="44">
        <f>('Scope 3 Yearly'!$EE$192*'Scope 3 Yearly'!DN175*(1-'Scope 3 Yearly'!$B$197)+'Scope 3 Yearly'!DN164*'Scope 3 Yearly'!DN174+'Scope 3 Yearly'!DN168*'Scope 3 Yearly'!DN178)*'Yearly Butadiene'!V4</f>
        <v>15.956667024201664</v>
      </c>
      <c r="DO29" s="44">
        <f>('Scope 3 Yearly'!$EE$192*'Scope 3 Yearly'!DO175*(1-'Scope 3 Yearly'!$B$197)+'Scope 3 Yearly'!DO164*'Scope 3 Yearly'!DO174+'Scope 3 Yearly'!DO168*'Scope 3 Yearly'!DO178)*'Yearly Butadiene'!W4</f>
        <v>15.071377888109543</v>
      </c>
      <c r="DP29" s="44">
        <f>('Scope 3 Yearly'!$EE$192*'Scope 3 Yearly'!DP175*(1-'Scope 3 Yearly'!$B$197)+'Scope 3 Yearly'!DP164*'Scope 3 Yearly'!DP174+'Scope 3 Yearly'!DP168*'Scope 3 Yearly'!DP178)*'Yearly Butadiene'!X4</f>
        <v>14.237626270740314</v>
      </c>
      <c r="DQ29" s="44">
        <f>('Scope 3 Yearly'!$EE$192*'Scope 3 Yearly'!DQ175*(1-'Scope 3 Yearly'!$B$197)+'Scope 3 Yearly'!DQ164*'Scope 3 Yearly'!DQ174+'Scope 3 Yearly'!DQ168*'Scope 3 Yearly'!DQ178)*'Yearly Butadiene'!Y4</f>
        <v>13.477476732388832</v>
      </c>
      <c r="DR29" s="44">
        <f>('Scope 3 Yearly'!$EE$192*'Scope 3 Yearly'!DR175*(1-'Scope 3 Yearly'!$B$197)+'Scope 3 Yearly'!DR164*'Scope 3 Yearly'!DR174+'Scope 3 Yearly'!DR168*'Scope 3 Yearly'!DR178)*'Yearly Butadiene'!Z4</f>
        <v>12.817255013406035</v>
      </c>
      <c r="DS29" s="44">
        <f>('Scope 3 Yearly'!$EE$192*'Scope 3 Yearly'!DS175*(1-'Scope 3 Yearly'!$B$197)+'Scope 3 Yearly'!DS164*'Scope 3 Yearly'!DS174+'Scope 3 Yearly'!DS168*'Scope 3 Yearly'!DS178)*'Yearly Butadiene'!AA4</f>
        <v>12.254343669245582</v>
      </c>
      <c r="DT29" s="44">
        <f>('Scope 3 Yearly'!$EE$192*'Scope 3 Yearly'!DT175*(1-'Scope 3 Yearly'!$B$197)+'Scope 3 Yearly'!DT164*'Scope 3 Yearly'!DT174+'Scope 3 Yearly'!DT168*'Scope 3 Yearly'!DT178)*'Yearly Butadiene'!AB4</f>
        <v>11.778225440195669</v>
      </c>
      <c r="DU29" s="44">
        <f>('Scope 3 Yearly'!$EE$192*'Scope 3 Yearly'!DU175*(1-'Scope 3 Yearly'!$B$197)+'Scope 3 Yearly'!DU164*'Scope 3 Yearly'!DU174+'Scope 3 Yearly'!DU168*'Scope 3 Yearly'!DU178)*'Yearly Butadiene'!AC4</f>
        <v>11.374686939543562</v>
      </c>
      <c r="DV29" s="44">
        <f>('Scope 3 Yearly'!$EE$192*'Scope 3 Yearly'!DV175*(1-'Scope 3 Yearly'!$B$197)+'Scope 3 Yearly'!DV164*'Scope 3 Yearly'!DV174+'Scope 3 Yearly'!DV168*'Scope 3 Yearly'!DV178)*'Yearly Butadiene'!AD4</f>
        <v>11.022431056603699</v>
      </c>
      <c r="DW29" s="44">
        <f>('Scope 3 Yearly'!$EE$192*'Scope 3 Yearly'!DW175*(1-'Scope 3 Yearly'!$B$197)+'Scope 3 Yearly'!DW164*'Scope 3 Yearly'!DW174+'Scope 3 Yearly'!DW168*'Scope 3 Yearly'!DW178)*'Yearly Butadiene'!AE4</f>
        <v>10.715813869573168</v>
      </c>
      <c r="DX29" s="44">
        <f>('Scope 3 Yearly'!$EE$192*'Scope 3 Yearly'!DX175*(1-'Scope 3 Yearly'!$B$197)+'Scope 3 Yearly'!DX164*'Scope 3 Yearly'!DX174+'Scope 3 Yearly'!DX168*'Scope 3 Yearly'!DX178)*'Yearly Butadiene'!AF4</f>
        <v>10.443922719961932</v>
      </c>
      <c r="DY29" s="44">
        <f>('Scope 3 Yearly'!$EE$192*'Scope 3 Yearly'!DY175*(1-'Scope 3 Yearly'!$B$197)+'Scope 3 Yearly'!DY164*'Scope 3 Yearly'!DY174+'Scope 3 Yearly'!DY168*'Scope 3 Yearly'!DY178)*'Yearly Butadiene'!AG4</f>
        <v>10.197993170602384</v>
      </c>
      <c r="DZ29" s="44">
        <f>('Scope 3 Yearly'!$EE$192*'Scope 3 Yearly'!DZ175*(1-'Scope 3 Yearly'!$B$197)+'Scope 3 Yearly'!DZ164*'Scope 3 Yearly'!DZ174+'Scope 3 Yearly'!DZ168*'Scope 3 Yearly'!DZ178)*'Yearly Butadiene'!AH4</f>
        <v>9.9711814030194823</v>
      </c>
    </row>
    <row r="30" spans="1:165" s="488" customFormat="1" ht="16" thickBot="1">
      <c r="A30" s="185" t="s">
        <v>67</v>
      </c>
      <c r="C30" s="639" t="s">
        <v>415</v>
      </c>
      <c r="D30" s="640">
        <f>SUM(D23:D29)</f>
        <v>437.47116259463985</v>
      </c>
      <c r="E30" s="640">
        <f t="shared" ref="E30:AH30" si="34">SUM(E23:E29)</f>
        <v>449.30149115966219</v>
      </c>
      <c r="F30" s="640">
        <f t="shared" si="34"/>
        <v>458.591722890261</v>
      </c>
      <c r="G30" s="640">
        <f t="shared" si="34"/>
        <v>468.13286812326658</v>
      </c>
      <c r="H30" s="640">
        <f t="shared" si="34"/>
        <v>477.93825740994441</v>
      </c>
      <c r="I30" s="640">
        <f t="shared" si="34"/>
        <v>488.02313460414859</v>
      </c>
      <c r="J30" s="640">
        <f t="shared" si="34"/>
        <v>496.59013939753493</v>
      </c>
      <c r="K30" s="640">
        <f t="shared" si="34"/>
        <v>505.17429887112132</v>
      </c>
      <c r="L30" s="640">
        <f t="shared" si="34"/>
        <v>513.62435171014545</v>
      </c>
      <c r="M30" s="640">
        <f t="shared" si="34"/>
        <v>521.66265296839106</v>
      </c>
      <c r="N30" s="640">
        <f t="shared" si="34"/>
        <v>528.81482286596963</v>
      </c>
      <c r="O30" s="640">
        <f t="shared" si="34"/>
        <v>522.23197589094286</v>
      </c>
      <c r="P30" s="640">
        <f t="shared" si="34"/>
        <v>513.07914250939257</v>
      </c>
      <c r="Q30" s="640">
        <f t="shared" si="34"/>
        <v>500.3766609299181</v>
      </c>
      <c r="R30" s="640">
        <f t="shared" si="34"/>
        <v>483.3371221058535</v>
      </c>
      <c r="S30" s="640">
        <f t="shared" si="34"/>
        <v>461.68041586456565</v>
      </c>
      <c r="T30" s="640">
        <f t="shared" si="34"/>
        <v>435.40504522400238</v>
      </c>
      <c r="U30" s="640">
        <f t="shared" si="34"/>
        <v>406.5573267295498</v>
      </c>
      <c r="V30" s="640">
        <f t="shared" si="34"/>
        <v>377.02263478053095</v>
      </c>
      <c r="W30" s="640">
        <f t="shared" si="34"/>
        <v>348.54722680147131</v>
      </c>
      <c r="X30" s="640">
        <f t="shared" si="34"/>
        <v>322.4575664001386</v>
      </c>
      <c r="Y30" s="640">
        <f t="shared" si="34"/>
        <v>294.66539191845811</v>
      </c>
      <c r="Z30" s="640">
        <f t="shared" si="34"/>
        <v>270.31175043419552</v>
      </c>
      <c r="AA30" s="640">
        <f t="shared" si="34"/>
        <v>249.05312252697058</v>
      </c>
      <c r="AB30" s="640">
        <f t="shared" si="34"/>
        <v>230.42405798357322</v>
      </c>
      <c r="AC30" s="640">
        <f t="shared" si="34"/>
        <v>213.92462172710859</v>
      </c>
      <c r="AD30" s="640">
        <f t="shared" si="34"/>
        <v>198.95988479493667</v>
      </c>
      <c r="AE30" s="640">
        <f t="shared" si="34"/>
        <v>185.32423539907484</v>
      </c>
      <c r="AF30" s="640">
        <f t="shared" si="34"/>
        <v>172.73010778080928</v>
      </c>
      <c r="AG30" s="640">
        <f t="shared" si="34"/>
        <v>160.92493337229257</v>
      </c>
      <c r="AH30" s="640">
        <f t="shared" si="34"/>
        <v>149.91754181646422</v>
      </c>
      <c r="AJ30" s="640">
        <f>SUM(AJ23:AJ29)</f>
        <v>437.4712591250298</v>
      </c>
      <c r="AK30" s="640">
        <f t="shared" ref="AK30:BN30" si="35">SUM(AK23:AK29)</f>
        <v>447.34773005160724</v>
      </c>
      <c r="AL30" s="640">
        <f t="shared" si="35"/>
        <v>456.53338530368086</v>
      </c>
      <c r="AM30" s="640">
        <f t="shared" si="35"/>
        <v>465.97749501372402</v>
      </c>
      <c r="AN30" s="640">
        <f t="shared" si="35"/>
        <v>475.69455214651771</v>
      </c>
      <c r="AO30" s="640">
        <f t="shared" si="35"/>
        <v>485.70103417193013</v>
      </c>
      <c r="AP30" s="640">
        <f t="shared" si="35"/>
        <v>494.20242860260623</v>
      </c>
      <c r="AQ30" s="640">
        <f t="shared" si="35"/>
        <v>502.73734582387578</v>
      </c>
      <c r="AR30" s="640">
        <f t="shared" si="35"/>
        <v>511.16094284537752</v>
      </c>
      <c r="AS30" s="640">
        <f t="shared" si="35"/>
        <v>519.2065270717336</v>
      </c>
      <c r="AT30" s="640">
        <f t="shared" si="35"/>
        <v>526.41833405442321</v>
      </c>
      <c r="AU30" s="640">
        <f t="shared" si="35"/>
        <v>519.87561852439603</v>
      </c>
      <c r="AV30" s="640">
        <f t="shared" si="35"/>
        <v>510.85654547341818</v>
      </c>
      <c r="AW30" s="640">
        <f t="shared" si="35"/>
        <v>498.39995172434698</v>
      </c>
      <c r="AX30" s="640">
        <f t="shared" si="35"/>
        <v>481.72398719122037</v>
      </c>
      <c r="AY30" s="640">
        <f t="shared" si="35"/>
        <v>460.54743046852491</v>
      </c>
      <c r="AZ30" s="640">
        <f t="shared" si="35"/>
        <v>434.81362784483872</v>
      </c>
      <c r="BA30" s="640">
        <f t="shared" si="35"/>
        <v>406.48373014549287</v>
      </c>
      <c r="BB30" s="640">
        <f t="shared" si="35"/>
        <v>377.38107591852116</v>
      </c>
      <c r="BC30" s="640">
        <f t="shared" si="35"/>
        <v>349.22346371761228</v>
      </c>
      <c r="BD30" s="640">
        <f t="shared" si="35"/>
        <v>323.34310220692885</v>
      </c>
      <c r="BE30" s="640">
        <f t="shared" si="35"/>
        <v>295.55206548369165</v>
      </c>
      <c r="BF30" s="640">
        <f t="shared" si="35"/>
        <v>271.21584053234182</v>
      </c>
      <c r="BG30" s="640">
        <f t="shared" si="35"/>
        <v>249.96060477899744</v>
      </c>
      <c r="BH30" s="640">
        <f t="shared" si="35"/>
        <v>231.33514297522655</v>
      </c>
      <c r="BI30" s="640">
        <f t="shared" si="35"/>
        <v>214.85449182132379</v>
      </c>
      <c r="BJ30" s="640">
        <f t="shared" si="35"/>
        <v>199.9347141915641</v>
      </c>
      <c r="BK30" s="640">
        <f t="shared" si="35"/>
        <v>186.37501410187951</v>
      </c>
      <c r="BL30" s="640">
        <f t="shared" si="35"/>
        <v>173.89466527041225</v>
      </c>
      <c r="BM30" s="640">
        <f t="shared" si="35"/>
        <v>162.25795796975387</v>
      </c>
      <c r="BN30" s="640">
        <f t="shared" si="35"/>
        <v>151.49950832927129</v>
      </c>
      <c r="BP30" s="640">
        <f>SUM(BP23:BP29)</f>
        <v>437.47547438831043</v>
      </c>
      <c r="BQ30" s="640">
        <f t="shared" ref="BQ30:CT30" si="36">SUM(BQ23:BQ29)</f>
        <v>456.28465179022322</v>
      </c>
      <c r="BR30" s="640">
        <f t="shared" si="36"/>
        <v>475.53315798378583</v>
      </c>
      <c r="BS30" s="640">
        <f t="shared" si="36"/>
        <v>495.22498069690215</v>
      </c>
      <c r="BT30" s="640">
        <f t="shared" si="36"/>
        <v>515.36333577384221</v>
      </c>
      <c r="BU30" s="640">
        <f t="shared" si="36"/>
        <v>535.95053664642569</v>
      </c>
      <c r="BV30" s="640">
        <f t="shared" si="36"/>
        <v>555.28877301717603</v>
      </c>
      <c r="BW30" s="640">
        <f t="shared" si="36"/>
        <v>575.08355965692249</v>
      </c>
      <c r="BX30" s="640">
        <f t="shared" si="36"/>
        <v>595.34242551035902</v>
      </c>
      <c r="BY30" s="640">
        <f t="shared" si="36"/>
        <v>616.07301936969282</v>
      </c>
      <c r="BZ30" s="640">
        <f t="shared" si="36"/>
        <v>637.28310824297432</v>
      </c>
      <c r="CA30" s="640">
        <f t="shared" si="36"/>
        <v>651.66806608884792</v>
      </c>
      <c r="CB30" s="640">
        <f t="shared" si="36"/>
        <v>666.16442594637272</v>
      </c>
      <c r="CC30" s="640">
        <f t="shared" si="36"/>
        <v>680.76706580068185</v>
      </c>
      <c r="CD30" s="640">
        <f t="shared" si="36"/>
        <v>695.46993995979176</v>
      </c>
      <c r="CE30" s="640">
        <f t="shared" si="36"/>
        <v>710.2659844710447</v>
      </c>
      <c r="CF30" s="640">
        <f t="shared" si="36"/>
        <v>724.52579635354641</v>
      </c>
      <c r="CG30" s="640">
        <f t="shared" si="36"/>
        <v>738.96774712592332</v>
      </c>
      <c r="CH30" s="640">
        <f t="shared" si="36"/>
        <v>753.59305292091256</v>
      </c>
      <c r="CI30" s="640">
        <f t="shared" si="36"/>
        <v>768.4029182988686</v>
      </c>
      <c r="CJ30" s="640">
        <f t="shared" si="36"/>
        <v>783.39853510339856</v>
      </c>
      <c r="CK30" s="640">
        <f t="shared" si="36"/>
        <v>796.88871542207266</v>
      </c>
      <c r="CL30" s="640">
        <f t="shared" si="36"/>
        <v>810.51969093674109</v>
      </c>
      <c r="CM30" s="640">
        <f t="shared" si="36"/>
        <v>824.29212179042099</v>
      </c>
      <c r="CN30" s="640">
        <f t="shared" si="36"/>
        <v>838.20665152643187</v>
      </c>
      <c r="CO30" s="640">
        <f t="shared" si="36"/>
        <v>852.26390602492233</v>
      </c>
      <c r="CP30" s="640">
        <f t="shared" si="36"/>
        <v>865.97495314334355</v>
      </c>
      <c r="CQ30" s="640">
        <f t="shared" si="36"/>
        <v>879.81639290491887</v>
      </c>
      <c r="CR30" s="640">
        <f t="shared" si="36"/>
        <v>893.78866923295334</v>
      </c>
      <c r="CS30" s="640">
        <f t="shared" si="36"/>
        <v>907.89220602511523</v>
      </c>
      <c r="CT30" s="640">
        <f t="shared" si="36"/>
        <v>922.12740606457157</v>
      </c>
      <c r="CV30" s="640">
        <f>SUM(CV23:CV29)</f>
        <v>437.47133088377456</v>
      </c>
      <c r="CW30" s="640">
        <f t="shared" ref="CW30:DZ30" si="37">SUM(CW23:CW29)</f>
        <v>449.51952534681755</v>
      </c>
      <c r="CX30" s="640">
        <f t="shared" si="37"/>
        <v>461.7048976797235</v>
      </c>
      <c r="CY30" s="640">
        <f t="shared" si="37"/>
        <v>474.1988310955968</v>
      </c>
      <c r="CZ30" s="640">
        <f t="shared" si="37"/>
        <v>487.00356170499714</v>
      </c>
      <c r="DA30" s="640">
        <f t="shared" si="37"/>
        <v>500.11014022668377</v>
      </c>
      <c r="DB30" s="640">
        <f t="shared" si="37"/>
        <v>511.81639929468912</v>
      </c>
      <c r="DC30" s="640">
        <f t="shared" si="37"/>
        <v>523.65265491694197</v>
      </c>
      <c r="DD30" s="640">
        <f t="shared" si="37"/>
        <v>535.46844638542905</v>
      </c>
      <c r="DE30" s="640">
        <f t="shared" si="37"/>
        <v>546.98356699093983</v>
      </c>
      <c r="DF30" s="640">
        <f t="shared" si="37"/>
        <v>557.71159594647077</v>
      </c>
      <c r="DG30" s="640">
        <f t="shared" si="37"/>
        <v>557.38182079024409</v>
      </c>
      <c r="DH30" s="640">
        <f t="shared" si="37"/>
        <v>554.35767603231034</v>
      </c>
      <c r="DI30" s="640">
        <f t="shared" si="37"/>
        <v>547.48112120340625</v>
      </c>
      <c r="DJ30" s="640">
        <f t="shared" si="37"/>
        <v>535.7228485721746</v>
      </c>
      <c r="DK30" s="640">
        <f t="shared" si="37"/>
        <v>518.58242247986072</v>
      </c>
      <c r="DL30" s="640">
        <f t="shared" si="37"/>
        <v>495.97464661597837</v>
      </c>
      <c r="DM30" s="640">
        <f t="shared" si="37"/>
        <v>469.8430466043144</v>
      </c>
      <c r="DN30" s="640">
        <f t="shared" si="37"/>
        <v>442.13781486199866</v>
      </c>
      <c r="DO30" s="640">
        <f t="shared" si="37"/>
        <v>414.79680919602515</v>
      </c>
      <c r="DP30" s="640">
        <f t="shared" si="37"/>
        <v>389.28542946093256</v>
      </c>
      <c r="DQ30" s="640">
        <f t="shared" si="37"/>
        <v>362.40281109294904</v>
      </c>
      <c r="DR30" s="640">
        <f t="shared" si="37"/>
        <v>338.72888524219684</v>
      </c>
      <c r="DS30" s="640">
        <f t="shared" si="37"/>
        <v>318.05572407942526</v>
      </c>
      <c r="DT30" s="640">
        <f t="shared" si="37"/>
        <v>299.96851035841371</v>
      </c>
      <c r="DU30" s="640">
        <f t="shared" si="37"/>
        <v>283.98879714551276</v>
      </c>
      <c r="DV30" s="640">
        <f t="shared" si="37"/>
        <v>269.51989893128587</v>
      </c>
      <c r="DW30" s="640">
        <f t="shared" si="37"/>
        <v>256.33609551449365</v>
      </c>
      <c r="DX30" s="640">
        <f t="shared" si="37"/>
        <v>244.13048526765274</v>
      </c>
      <c r="DY30" s="640">
        <f t="shared" si="37"/>
        <v>232.65932809628856</v>
      </c>
      <c r="DZ30" s="640">
        <f t="shared" si="37"/>
        <v>221.73953299105645</v>
      </c>
      <c r="EK30" s="643"/>
      <c r="EL30" s="643"/>
      <c r="EM30" s="643"/>
      <c r="EN30" s="643"/>
      <c r="EO30" s="643"/>
      <c r="EP30" s="643"/>
      <c r="EQ30" s="643"/>
      <c r="ER30" s="643"/>
      <c r="ES30" s="643"/>
      <c r="ET30" s="643"/>
      <c r="EU30" s="643"/>
      <c r="EV30" s="643"/>
      <c r="EW30" s="643"/>
      <c r="EX30" s="643"/>
      <c r="EY30" s="643"/>
      <c r="EZ30" s="643"/>
      <c r="FA30" s="643"/>
      <c r="FB30" s="643"/>
      <c r="FC30" s="643"/>
      <c r="FD30" s="643"/>
      <c r="FE30" s="643"/>
      <c r="FF30" s="643"/>
      <c r="FG30" s="643"/>
      <c r="FH30" s="643"/>
      <c r="FI30" s="643"/>
    </row>
    <row r="31" spans="1:165" ht="16" thickBot="1"/>
    <row r="32" spans="1:165" s="645" customFormat="1" ht="16" thickBot="1">
      <c r="A32" s="644" t="s">
        <v>417</v>
      </c>
      <c r="EK32" s="646"/>
      <c r="EL32" s="646"/>
      <c r="EM32" s="646"/>
      <c r="EN32" s="646"/>
      <c r="EO32" s="646"/>
      <c r="EP32" s="646"/>
      <c r="EQ32" s="646"/>
      <c r="ER32" s="646"/>
      <c r="ES32" s="646"/>
      <c r="ET32" s="646"/>
      <c r="EU32" s="646"/>
      <c r="EV32" s="646"/>
      <c r="EW32" s="646"/>
      <c r="EX32" s="646"/>
      <c r="EY32" s="646"/>
      <c r="EZ32" s="646"/>
      <c r="FA32" s="646"/>
      <c r="FB32" s="646"/>
      <c r="FC32" s="646"/>
      <c r="FD32" s="646"/>
      <c r="FE32" s="646"/>
      <c r="FF32" s="646"/>
      <c r="FG32" s="646"/>
      <c r="FH32" s="646"/>
      <c r="FI32" s="646"/>
    </row>
    <row r="33" spans="1:165" s="1" customFormat="1">
      <c r="A33" t="s">
        <v>121</v>
      </c>
      <c r="C33" s="54" t="s">
        <v>415</v>
      </c>
      <c r="D33" s="44">
        <f>D3*'Yearly Summary'!D15</f>
        <v>480.71329846904882</v>
      </c>
      <c r="E33" s="44">
        <f>E3*'Yearly Summary'!E15</f>
        <v>473.95292610403015</v>
      </c>
      <c r="F33" s="44">
        <f>F3*'Yearly Summary'!F15</f>
        <v>467.58549691843257</v>
      </c>
      <c r="G33" s="44">
        <f>G3*'Yearly Summary'!G15</f>
        <v>459.25780243258771</v>
      </c>
      <c r="H33" s="44">
        <f>H3*'Yearly Summary'!H15</f>
        <v>453.59567862955191</v>
      </c>
      <c r="I33" s="44">
        <f>I3*'Yearly Summary'!I15</f>
        <v>448.16774879557795</v>
      </c>
      <c r="J33" s="44">
        <f>J3*'Yearly Summary'!J15</f>
        <v>430.07355356028978</v>
      </c>
      <c r="K33" s="44">
        <f>K3*'Yearly Summary'!K15</f>
        <v>411.1075613726095</v>
      </c>
      <c r="L33" s="44">
        <f>L3*'Yearly Summary'!L15</f>
        <v>394.92494096480885</v>
      </c>
      <c r="M33" s="44">
        <f>M3*'Yearly Summary'!M15</f>
        <v>376.43275644436898</v>
      </c>
      <c r="N33" s="44">
        <f>N3*'Yearly Summary'!N15</f>
        <v>357.60776522917058</v>
      </c>
      <c r="O33" s="44">
        <f>O3*'Yearly Summary'!O15</f>
        <v>322.5033674614678</v>
      </c>
      <c r="P33" s="44">
        <f>P3*'Yearly Summary'!P15</f>
        <v>292.36585707031588</v>
      </c>
      <c r="Q33" s="44">
        <f>Q3*'Yearly Summary'!Q15</f>
        <v>267.67120155839592</v>
      </c>
      <c r="R33" s="44">
        <f>R3*'Yearly Summary'!R15</f>
        <v>245.59096772792043</v>
      </c>
      <c r="S33" s="44">
        <f>S3*'Yearly Summary'!S15</f>
        <v>227.36503845146973</v>
      </c>
      <c r="T33" s="44">
        <f>T3*'Yearly Summary'!T15</f>
        <v>205.4311451206286</v>
      </c>
      <c r="U33" s="44">
        <f>U3*'Yearly Summary'!U15</f>
        <v>188.63164860810568</v>
      </c>
      <c r="V33" s="44">
        <f>V3*'Yearly Summary'!V15</f>
        <v>174.84751207162569</v>
      </c>
      <c r="W33" s="44">
        <f>W3*'Yearly Summary'!W15</f>
        <v>163.64321017871831</v>
      </c>
      <c r="X33" s="44">
        <f>X3*'Yearly Summary'!X15</f>
        <v>153.57609235223799</v>
      </c>
      <c r="Y33" s="44">
        <f>Y3*'Yearly Summary'!Y15</f>
        <v>145.01843934038237</v>
      </c>
      <c r="Z33" s="44">
        <f>Z3*'Yearly Summary'!Z15</f>
        <v>137.19449551627525</v>
      </c>
      <c r="AA33" s="44">
        <f>AA3*'Yearly Summary'!AA15</f>
        <v>129.91326209040818</v>
      </c>
      <c r="AB33" s="44">
        <f>AB3*'Yearly Summary'!AB15</f>
        <v>123.36593942919696</v>
      </c>
      <c r="AC33" s="44">
        <f>AC3*'Yearly Summary'!AC15</f>
        <v>117.17403168518391</v>
      </c>
      <c r="AD33" s="44">
        <f>AD3*'Yearly Summary'!AD15</f>
        <v>111.8576563668184</v>
      </c>
      <c r="AE33" s="44">
        <f>AE3*'Yearly Summary'!AE15</f>
        <v>106.61539661329931</v>
      </c>
      <c r="AF33" s="44">
        <f>AF3*'Yearly Summary'!AF15</f>
        <v>101.5570742362985</v>
      </c>
      <c r="AG33" s="44">
        <f>AG3*'Yearly Summary'!AG15</f>
        <v>96.468627207855889</v>
      </c>
      <c r="AH33" s="44">
        <f>AH3*'Yearly Summary'!AH15</f>
        <v>91.468588184151344</v>
      </c>
      <c r="AJ33" s="44">
        <f>AJ3*'Yearly Summary'!AJ15</f>
        <v>480.71329846904882</v>
      </c>
      <c r="AK33" s="656">
        <f>AK3*'Yearly Summary'!AK15</f>
        <v>474.30366033001832</v>
      </c>
      <c r="AL33" s="656">
        <f>AL3*'Yearly Summary'!AL15</f>
        <v>468.38719717228599</v>
      </c>
      <c r="AM33" s="656">
        <f>AM3*'Yearly Summary'!AM15</f>
        <v>460.61954008300262</v>
      </c>
      <c r="AN33" s="656">
        <f>AN3*'Yearly Summary'!AN15</f>
        <v>455.58097478786397</v>
      </c>
      <c r="AO33" s="44">
        <f>AO3*'Yearly Summary'!AO15</f>
        <v>450.84746058713262</v>
      </c>
      <c r="AP33" s="44">
        <f>AP3*'Yearly Summary'!AP15</f>
        <v>435.64942734478007</v>
      </c>
      <c r="AQ33" s="44">
        <f>AQ3*'Yearly Summary'!AQ15</f>
        <v>419.5740652440536</v>
      </c>
      <c r="AR33" s="44">
        <f>AR3*'Yearly Summary'!AR15</f>
        <v>406.24734302088842</v>
      </c>
      <c r="AS33" s="44">
        <f>AS3*'Yearly Summary'!AS15</f>
        <v>390.57241423059315</v>
      </c>
      <c r="AT33" s="44">
        <f>AT3*'Yearly Summary'!AT15</f>
        <v>374.49098113412197</v>
      </c>
      <c r="AU33" s="44">
        <f>AU3*'Yearly Summary'!AU15</f>
        <v>341.91917423771082</v>
      </c>
      <c r="AV33" s="44">
        <f>AV3*'Yearly Summary'!AV15</f>
        <v>313.93430713101145</v>
      </c>
      <c r="AW33" s="44">
        <f>AW3*'Yearly Summary'!AW15</f>
        <v>291.16162961046786</v>
      </c>
      <c r="AX33" s="44">
        <f>AX3*'Yearly Summary'!AX15</f>
        <v>270.75008635717603</v>
      </c>
      <c r="AY33" s="44">
        <f>AY3*'Yearly Summary'!AY15</f>
        <v>254.10618811284419</v>
      </c>
      <c r="AZ33" s="44">
        <f>AZ3*'Yearly Summary'!AZ15</f>
        <v>233.37055542804015</v>
      </c>
      <c r="BA33" s="44">
        <f>BA3*'Yearly Summary'!BA15</f>
        <v>217.76412306714801</v>
      </c>
      <c r="BB33" s="44">
        <f>BB3*'Yearly Summary'!BB15</f>
        <v>205.14847311839802</v>
      </c>
      <c r="BC33" s="44">
        <f>BC3*'Yearly Summary'!BC15</f>
        <v>195.17606825834889</v>
      </c>
      <c r="BD33" s="44">
        <f>BD3*'Yearly Summary'!BD15</f>
        <v>186.28002741855144</v>
      </c>
      <c r="BE33" s="44">
        <f>BE3*'Yearly Summary'!BE15</f>
        <v>178.97635023732641</v>
      </c>
      <c r="BF33" s="44">
        <f>BF3*'Yearly Summary'!BF15</f>
        <v>172.38238735157839</v>
      </c>
      <c r="BG33" s="44">
        <f>BG3*'Yearly Summary'!BG15</f>
        <v>166.2998448249088</v>
      </c>
      <c r="BH33" s="44">
        <f>BH3*'Yearly Summary'!BH15</f>
        <v>160.99755350013544</v>
      </c>
      <c r="BI33" s="44">
        <f>BI3*'Yearly Summary'!BI15</f>
        <v>156.02186404095107</v>
      </c>
      <c r="BJ33" s="44">
        <f>BJ3*'Yearly Summary'!BJ15</f>
        <v>151.98035444475846</v>
      </c>
      <c r="BK33" s="44">
        <f>BK3*'Yearly Summary'!BK15</f>
        <v>147.96212000449233</v>
      </c>
      <c r="BL33" s="44">
        <f>BL3*'Yearly Summary'!BL15</f>
        <v>144.11782453893989</v>
      </c>
      <c r="BM33" s="44">
        <f>BM3*'Yearly Summary'!BM15</f>
        <v>140.1501138207276</v>
      </c>
      <c r="BN33" s="44">
        <f>BN3*'Yearly Summary'!BN15</f>
        <v>136.21885327985419</v>
      </c>
      <c r="BP33" s="44">
        <f>BP3*'Yearly Summary'!D14</f>
        <v>480.71329846904882</v>
      </c>
      <c r="BQ33" s="44">
        <f>BQ3*'Yearly Summary'!E14</f>
        <v>493.31452008949964</v>
      </c>
      <c r="BR33" s="44">
        <f>BR3*'Yearly Summary'!F14</f>
        <v>506.03332737733541</v>
      </c>
      <c r="BS33" s="44">
        <f>BS3*'Yearly Summary'!G14</f>
        <v>518.79870286576067</v>
      </c>
      <c r="BT33" s="44">
        <f>BT3*'Yearly Summary'!H14</f>
        <v>531.75601594180227</v>
      </c>
      <c r="BU33" s="44">
        <f>BU3*'Yearly Summary'!I14</f>
        <v>544.83606002297563</v>
      </c>
      <c r="BV33" s="44">
        <f>BV3*'Yearly Summary'!J14</f>
        <v>555.96733091317242</v>
      </c>
      <c r="BW33" s="44">
        <f>BW3*'Yearly Summary'!K14</f>
        <v>566.99254106073079</v>
      </c>
      <c r="BX33" s="44">
        <f>BX3*'Yearly Summary'!L14</f>
        <v>578.07081551133138</v>
      </c>
      <c r="BY33" s="44">
        <f>BY3*'Yearly Summary'!M14</f>
        <v>589.12535058875551</v>
      </c>
      <c r="BZ33" s="44">
        <f>BZ3*'Yearly Summary'!N14</f>
        <v>600.07217502425715</v>
      </c>
      <c r="CA33" s="44">
        <f>CA3*'Yearly Summary'!O14</f>
        <v>632.26164600824211</v>
      </c>
      <c r="CB33" s="44">
        <f>CB3*'Yearly Summary'!P14</f>
        <v>663.37763385406708</v>
      </c>
      <c r="CC33" s="44">
        <f>CC3*'Yearly Summary'!Q14</f>
        <v>693.60532909572021</v>
      </c>
      <c r="CD33" s="44">
        <f>CD3*'Yearly Summary'!R14</f>
        <v>722.75306252483995</v>
      </c>
      <c r="CE33" s="44">
        <f>CE3*'Yearly Summary'!S14</f>
        <v>751.02332264581185</v>
      </c>
      <c r="CF33" s="44">
        <f>CF3*'Yearly Summary'!T14</f>
        <v>819.17475033697747</v>
      </c>
      <c r="CG33" s="44">
        <f>CG3*'Yearly Summary'!U14</f>
        <v>884.46466615356053</v>
      </c>
      <c r="CH33" s="44">
        <f>CH3*'Yearly Summary'!V14</f>
        <v>946.90024128064431</v>
      </c>
      <c r="CI33" s="44">
        <f>CI3*'Yearly Summary'!W14</f>
        <v>1006.6323287286398</v>
      </c>
      <c r="CJ33" s="44">
        <f>CJ3*'Yearly Summary'!X14</f>
        <v>1063.3889687303881</v>
      </c>
      <c r="CK33" s="44">
        <f>CK3*'Yearly Summary'!Y14</f>
        <v>1118.5365875611531</v>
      </c>
      <c r="CL33" s="44">
        <f>CL3*'Yearly Summary'!Z14</f>
        <v>1171.8015355176537</v>
      </c>
      <c r="CM33" s="44">
        <f>CM3*'Yearly Summary'!AA14</f>
        <v>1222.8632378050531</v>
      </c>
      <c r="CN33" s="44">
        <f>CN3*'Yearly Summary'!AB14</f>
        <v>1271.8891936583066</v>
      </c>
      <c r="CO33" s="44">
        <f>CO3*'Yearly Summary'!AC14</f>
        <v>1319.0765100094527</v>
      </c>
      <c r="CP33" s="44">
        <f>CP3*'Yearly Summary'!AD14</f>
        <v>1321.8050392526513</v>
      </c>
      <c r="CQ33" s="44">
        <f>CQ3*'Yearly Summary'!AE14</f>
        <v>1324.3810349852456</v>
      </c>
      <c r="CR33" s="44">
        <f>CR3*'Yearly Summary'!AF14</f>
        <v>1326.8047022499591</v>
      </c>
      <c r="CS33" s="44">
        <f>CS3*'Yearly Summary'!AG14</f>
        <v>1329.0762468700618</v>
      </c>
      <c r="CT33" s="44">
        <f>CT3*'Yearly Summary'!AH14</f>
        <v>1331.1958754540656</v>
      </c>
      <c r="CV33" s="44">
        <f>AJ33</f>
        <v>480.71329846904882</v>
      </c>
      <c r="CW33" s="44">
        <f t="shared" ref="CW33:DZ33" si="38">AK33</f>
        <v>474.30366033001832</v>
      </c>
      <c r="CX33" s="44">
        <f t="shared" si="38"/>
        <v>468.38719717228599</v>
      </c>
      <c r="CY33" s="44">
        <f t="shared" si="38"/>
        <v>460.61954008300262</v>
      </c>
      <c r="CZ33" s="44">
        <f t="shared" si="38"/>
        <v>455.58097478786397</v>
      </c>
      <c r="DA33" s="44">
        <f t="shared" si="38"/>
        <v>450.84746058713262</v>
      </c>
      <c r="DB33" s="44">
        <f t="shared" si="38"/>
        <v>435.64942734478007</v>
      </c>
      <c r="DC33" s="44">
        <f t="shared" si="38"/>
        <v>419.5740652440536</v>
      </c>
      <c r="DD33" s="44">
        <f t="shared" si="38"/>
        <v>406.24734302088842</v>
      </c>
      <c r="DE33" s="44">
        <f t="shared" si="38"/>
        <v>390.57241423059315</v>
      </c>
      <c r="DF33" s="44">
        <f t="shared" si="38"/>
        <v>374.49098113412197</v>
      </c>
      <c r="DG33" s="44">
        <f t="shared" si="38"/>
        <v>341.91917423771082</v>
      </c>
      <c r="DH33" s="44">
        <f t="shared" si="38"/>
        <v>313.93430713101145</v>
      </c>
      <c r="DI33" s="44">
        <f t="shared" si="38"/>
        <v>291.16162961046786</v>
      </c>
      <c r="DJ33" s="44">
        <f t="shared" si="38"/>
        <v>270.75008635717603</v>
      </c>
      <c r="DK33" s="44">
        <f t="shared" si="38"/>
        <v>254.10618811284419</v>
      </c>
      <c r="DL33" s="44">
        <f t="shared" si="38"/>
        <v>233.37055542804015</v>
      </c>
      <c r="DM33" s="44">
        <f t="shared" si="38"/>
        <v>217.76412306714801</v>
      </c>
      <c r="DN33" s="44">
        <f t="shared" si="38"/>
        <v>205.14847311839802</v>
      </c>
      <c r="DO33" s="44">
        <f t="shared" si="38"/>
        <v>195.17606825834889</v>
      </c>
      <c r="DP33" s="44">
        <f t="shared" si="38"/>
        <v>186.28002741855144</v>
      </c>
      <c r="DQ33" s="44">
        <f t="shared" si="38"/>
        <v>178.97635023732641</v>
      </c>
      <c r="DR33" s="44">
        <f t="shared" si="38"/>
        <v>172.38238735157839</v>
      </c>
      <c r="DS33" s="44">
        <f t="shared" si="38"/>
        <v>166.2998448249088</v>
      </c>
      <c r="DT33" s="44">
        <f t="shared" si="38"/>
        <v>160.99755350013544</v>
      </c>
      <c r="DU33" s="44">
        <f t="shared" si="38"/>
        <v>156.02186404095107</v>
      </c>
      <c r="DV33" s="44">
        <f t="shared" si="38"/>
        <v>151.98035444475846</v>
      </c>
      <c r="DW33" s="44">
        <f t="shared" si="38"/>
        <v>147.96212000449233</v>
      </c>
      <c r="DX33" s="44">
        <f t="shared" si="38"/>
        <v>144.11782453893989</v>
      </c>
      <c r="DY33" s="44">
        <f t="shared" si="38"/>
        <v>140.1501138207276</v>
      </c>
      <c r="DZ33" s="44">
        <f t="shared" si="38"/>
        <v>136.21885327985419</v>
      </c>
      <c r="EK33" s="443"/>
      <c r="EL33" s="443"/>
      <c r="EM33" s="443"/>
      <c r="EN33" s="443"/>
      <c r="EO33" s="443"/>
      <c r="EP33" s="443"/>
      <c r="EQ33" s="443"/>
      <c r="ER33" s="443"/>
      <c r="ES33" s="443"/>
      <c r="ET33" s="443"/>
      <c r="EU33" s="443"/>
      <c r="EV33" s="443"/>
      <c r="EW33" s="443"/>
      <c r="EX33" s="443"/>
      <c r="EY33" s="443"/>
      <c r="EZ33" s="443"/>
      <c r="FA33" s="443"/>
      <c r="FB33" s="443"/>
      <c r="FC33" s="443"/>
      <c r="FD33" s="443"/>
      <c r="FE33" s="443"/>
      <c r="FF33" s="443"/>
      <c r="FG33" s="443"/>
      <c r="FH33" s="443"/>
      <c r="FI33" s="443"/>
    </row>
    <row r="34" spans="1:165">
      <c r="A34" t="s">
        <v>4</v>
      </c>
      <c r="C34" s="54" t="s">
        <v>415</v>
      </c>
      <c r="D34" s="44">
        <f>'Scope 3 Yearly'!D43*'Yearly HC Ethylene'!D157</f>
        <v>152.10455404273827</v>
      </c>
      <c r="E34" s="44">
        <f>'Scope 3 Yearly'!E43*'Yearly HC Ethylene'!E157</f>
        <v>154.94912414457158</v>
      </c>
      <c r="F34" s="44">
        <f>'Scope 3 Yearly'!F43*'Yearly HC Ethylene'!F157</f>
        <v>157.35189105339424</v>
      </c>
      <c r="G34" s="44">
        <f>'Scope 3 Yearly'!G43*'Yearly HC Ethylene'!G157</f>
        <v>159.87900244299016</v>
      </c>
      <c r="H34" s="44">
        <f>'Scope 3 Yearly'!H43*'Yearly HC Ethylene'!H157</f>
        <v>162.54004141087196</v>
      </c>
      <c r="I34" s="44">
        <f>'Scope 3 Yearly'!I43*'Yearly HC Ethylene'!I157</f>
        <v>165.34185687719966</v>
      </c>
      <c r="J34" s="44">
        <f>'Scope 3 Yearly'!J43*'Yearly HC Ethylene'!J157</f>
        <v>167.76489527168602</v>
      </c>
      <c r="K34" s="44">
        <f>'Scope 3 Yearly'!K43*'Yearly HC Ethylene'!K157</f>
        <v>170.23419409821346</v>
      </c>
      <c r="L34" s="44">
        <f>'Scope 3 Yearly'!L43*'Yearly HC Ethylene'!L157</f>
        <v>172.70640455262233</v>
      </c>
      <c r="M34" s="44">
        <f>'Scope 3 Yearly'!M43*'Yearly HC Ethylene'!M157</f>
        <v>175.0992578419872</v>
      </c>
      <c r="N34" s="44">
        <f>'Scope 3 Yearly'!N43*'Yearly HC Ethylene'!N157</f>
        <v>177.26850531872284</v>
      </c>
      <c r="O34" s="44">
        <f>'Scope 3 Yearly'!O43*'Yearly HC Ethylene'!O157</f>
        <v>175.0641779036188</v>
      </c>
      <c r="P34" s="44">
        <f>'Scope 3 Yearly'!P43*'Yearly HC Ethylene'!P157</f>
        <v>172.06521891310149</v>
      </c>
      <c r="Q34" s="44">
        <f>'Scope 3 Yearly'!Q43*'Yearly HC Ethylene'!Q157</f>
        <v>167.96334441845642</v>
      </c>
      <c r="R34" s="44">
        <f>'Scope 3 Yearly'!R43*'Yearly HC Ethylene'!R157</f>
        <v>162.49916049781757</v>
      </c>
      <c r="S34" s="44">
        <f>'Scope 3 Yearly'!S43*'Yearly HC Ethylene'!S157</f>
        <v>155.58660138770745</v>
      </c>
      <c r="T34" s="44">
        <f>'Scope 3 Yearly'!T43*'Yearly HC Ethylene'!T157</f>
        <v>147.21554891795574</v>
      </c>
      <c r="U34" s="44">
        <f>'Scope 3 Yearly'!U43*'Yearly HC Ethylene'!U157</f>
        <v>137.9453803615163</v>
      </c>
      <c r="V34" s="44">
        <f>'Scope 3 Yearly'!V43*'Yearly HC Ethylene'!V157</f>
        <v>128.35591503314527</v>
      </c>
      <c r="W34" s="44">
        <f>'Scope 3 Yearly'!W43*'Yearly HC Ethylene'!W157</f>
        <v>118.99533093271369</v>
      </c>
      <c r="X34" s="44">
        <f>'Scope 3 Yearly'!X43*'Yearly HC Ethylene'!X157</f>
        <v>110.25510803535539</v>
      </c>
      <c r="Y34" s="44">
        <f>'Scope 3 Yearly'!Y43*'Yearly HC Ethylene'!Y157</f>
        <v>100.45564439610301</v>
      </c>
      <c r="Z34" s="44">
        <f>'Scope 3 Yearly'!Z43*'Yearly HC Ethylene'!Z157</f>
        <v>91.724382269839651</v>
      </c>
      <c r="AA34" s="44">
        <f>'Scope 3 Yearly'!AA43*'Yearly HC Ethylene'!AA157</f>
        <v>83.940561877020329</v>
      </c>
      <c r="AB34" s="44">
        <f>'Scope 3 Yearly'!AB43*'Yearly HC Ethylene'!AB157</f>
        <v>76.94522706307427</v>
      </c>
      <c r="AC34" s="44">
        <f>'Scope 3 Yearly'!AC43*'Yearly HC Ethylene'!AC157</f>
        <v>70.575270635297969</v>
      </c>
      <c r="AD34" s="44">
        <f>'Scope 3 Yearly'!AD43*'Yearly HC Ethylene'!AD157</f>
        <v>64.634857795639022</v>
      </c>
      <c r="AE34" s="44">
        <f>'Scope 3 Yearly'!AE43*'Yearly HC Ethylene'!AE157</f>
        <v>59.047035797177799</v>
      </c>
      <c r="AF34" s="44">
        <f>'Scope 3 Yearly'!AF43*'Yearly HC Ethylene'!AF157</f>
        <v>53.698354693184541</v>
      </c>
      <c r="AG34" s="44">
        <f>'Scope 3 Yearly'!AG43*'Yearly HC Ethylene'!AG157</f>
        <v>48.491450524794757</v>
      </c>
      <c r="AH34" s="44">
        <f>'Scope 3 Yearly'!AH43*'Yearly HC Ethylene'!AH157</f>
        <v>43.347739132822106</v>
      </c>
      <c r="AI34" s="44"/>
      <c r="AJ34" s="44">
        <f>'Scope 3 Yearly'!AJ43*'Yearly LC Ethylene'!D157</f>
        <v>152.10449081194747</v>
      </c>
      <c r="AK34" s="44">
        <f>'Scope 3 Yearly'!AK43*'Yearly LC Ethylene'!E157</f>
        <v>154.93969426281731</v>
      </c>
      <c r="AL34" s="44">
        <f>'Scope 3 Yearly'!AL43*'Yearly LC Ethylene'!F157</f>
        <v>157.33285105093233</v>
      </c>
      <c r="AM34" s="44">
        <f>'Scope 3 Yearly'!AM43*'Yearly LC Ethylene'!G157</f>
        <v>159.85006944053296</v>
      </c>
      <c r="AN34" s="44">
        <f>'Scope 3 Yearly'!AN43*'Yearly LC Ethylene'!H157</f>
        <v>162.50086357948376</v>
      </c>
      <c r="AO34" s="44">
        <f>'Scope 3 Yearly'!AO43*'Yearly LC Ethylene'!I157</f>
        <v>165.29196589812051</v>
      </c>
      <c r="AP34" s="44">
        <f>'Scope 3 Yearly'!AP43*'Yearly LC Ethylene'!J157</f>
        <v>167.70362925740528</v>
      </c>
      <c r="AQ34" s="44">
        <f>'Scope 3 Yearly'!AQ43*'Yearly LC Ethylene'!K157</f>
        <v>170.16063131811885</v>
      </c>
      <c r="AR34" s="44">
        <f>'Scope 3 Yearly'!AR43*'Yearly LC Ethylene'!L157</f>
        <v>172.6193099367199</v>
      </c>
      <c r="AS34" s="44">
        <f>'Scope 3 Yearly'!AS43*'Yearly LC Ethylene'!M157</f>
        <v>174.99711545604441</v>
      </c>
      <c r="AT34" s="44">
        <f>'Scope 3 Yearly'!AT43*'Yearly LC Ethylene'!N157</f>
        <v>177.14969094228314</v>
      </c>
      <c r="AU34" s="44">
        <f>'Scope 3 Yearly'!AU43*'Yearly LC Ethylene'!O157</f>
        <v>174.92955187572946</v>
      </c>
      <c r="AV34" s="44">
        <f>'Scope 3 Yearly'!AV43*'Yearly LC Ethylene'!P157</f>
        <v>171.91667730121998</v>
      </c>
      <c r="AW34" s="44">
        <f>'Scope 3 Yearly'!AW43*'Yearly LC Ethylene'!Q157</f>
        <v>167.80388013617022</v>
      </c>
      <c r="AX34" s="44">
        <f>'Scope 3 Yearly'!AX43*'Yearly LC Ethylene'!R157</f>
        <v>162.33241362009801</v>
      </c>
      <c r="AY34" s="44">
        <f>'Scope 3 Yearly'!AY43*'Yearly LC Ethylene'!S157</f>
        <v>155.41242190711137</v>
      </c>
      <c r="AZ34" s="44">
        <f>'Scope 3 Yearly'!AZ43*'Yearly LC Ethylene'!T157</f>
        <v>147.03097036309606</v>
      </c>
      <c r="BA34" s="44">
        <f>'Scope 3 Yearly'!BA43*'Yearly LC Ethylene'!U157</f>
        <v>137.74332589027972</v>
      </c>
      <c r="BB34" s="44">
        <f>'Scope 3 Yearly'!BB43*'Yearly LC Ethylene'!V157</f>
        <v>128.12870409520843</v>
      </c>
      <c r="BC34" s="44">
        <f>'Scope 3 Yearly'!BC43*'Yearly LC Ethylene'!W157</f>
        <v>118.74042442317079</v>
      </c>
      <c r="BD34" s="44">
        <f>'Scope 3 Yearly'!BD43*'Yearly LC Ethylene'!X157</f>
        <v>109.97898083645039</v>
      </c>
      <c r="BE34" s="44">
        <f>'Scope 3 Yearly'!BE43*'Yearly LC Ethylene'!Y157</f>
        <v>100.19311962471791</v>
      </c>
      <c r="BF34" s="44">
        <f>'Scope 3 Yearly'!BF43*'Yearly LC Ethylene'!Z157</f>
        <v>91.496246540326013</v>
      </c>
      <c r="BG34" s="44">
        <f>'Scope 3 Yearly'!BG43*'Yearly LC Ethylene'!AA157</f>
        <v>83.771682447868216</v>
      </c>
      <c r="BH34" s="44">
        <f>'Scope 3 Yearly'!BH43*'Yearly LC Ethylene'!AB157</f>
        <v>76.861620187170061</v>
      </c>
      <c r="BI34" s="44">
        <f>'Scope 3 Yearly'!BI43*'Yearly LC Ethylene'!AC157</f>
        <v>70.602922259561197</v>
      </c>
      <c r="BJ34" s="44">
        <f>'Scope 3 Yearly'!BJ43*'Yearly LC Ethylene'!AD157</f>
        <v>64.800976214834748</v>
      </c>
      <c r="BK34" s="44">
        <f>'Scope 3 Yearly'!BK43*'Yearly LC Ethylene'!AE157</f>
        <v>59.381210769350673</v>
      </c>
      <c r="BL34" s="44">
        <f>'Scope 3 Yearly'!BL43*'Yearly LC Ethylene'!AF157</f>
        <v>54.236160080443682</v>
      </c>
      <c r="BM34" s="44">
        <f>'Scope 3 Yearly'!BM43*'Yearly LC Ethylene'!AG157</f>
        <v>49.276267875686393</v>
      </c>
      <c r="BN34" s="44">
        <f>'Scope 3 Yearly'!BN43*'Yearly LC Ethylene'!AH157</f>
        <v>44.429391851208123</v>
      </c>
      <c r="BO34" s="44"/>
      <c r="BP34" s="44">
        <f>'Scope 3 Yearly'!BP43*'Yearly HC Ethylene'!D4</f>
        <v>152.1057552958907</v>
      </c>
      <c r="BQ34" s="44">
        <f>'Scope 3 Yearly'!BQ43*'Yearly HC Ethylene'!E4</f>
        <v>157.77590220502904</v>
      </c>
      <c r="BR34" s="44">
        <f>'Scope 3 Yearly'!BR43*'Yearly HC Ethylene'!F4</f>
        <v>163.60938260961424</v>
      </c>
      <c r="BS34" s="44">
        <f>'Scope 3 Yearly'!BS43*'Yearly HC Ethylene'!G4</f>
        <v>169.60937764086736</v>
      </c>
      <c r="BT34" s="44">
        <f>'Scope 3 Yearly'!BT43*'Yearly HC Ethylene'!H4</f>
        <v>175.77890237083548</v>
      </c>
      <c r="BU34" s="44">
        <f>'Scope 3 Yearly'!BU43*'Yearly HC Ethylene'!I4</f>
        <v>182.12076674207947</v>
      </c>
      <c r="BV34" s="44">
        <f>'Scope 3 Yearly'!BV43*'Yearly HC Ethylene'!J4</f>
        <v>188.16338140628119</v>
      </c>
      <c r="BW34" s="44">
        <f>'Scope 3 Yearly'!BW43*'Yearly HC Ethylene'!K4</f>
        <v>194.38019269432684</v>
      </c>
      <c r="BX34" s="44">
        <f>'Scope 3 Yearly'!BX43*'Yearly HC Ethylene'!L4</f>
        <v>200.77555966333617</v>
      </c>
      <c r="BY34" s="44">
        <f>'Scope 3 Yearly'!BY43*'Yearly HC Ethylene'!M4</f>
        <v>207.35393102000256</v>
      </c>
      <c r="BZ34" s="44">
        <f>'Scope 3 Yearly'!BZ43*'Yearly HC Ethylene'!N4</f>
        <v>214.11984551987791</v>
      </c>
      <c r="CA34" s="44">
        <f>'Scope 3 Yearly'!CA43*'Yearly HC Ethylene'!O4</f>
        <v>218.86821645924172</v>
      </c>
      <c r="CB34" s="44">
        <f>'Scope 3 Yearly'!CB43*'Yearly HC Ethylene'!P4</f>
        <v>223.6701199010185</v>
      </c>
      <c r="CC34" s="44">
        <f>'Scope 3 Yearly'!CC43*'Yearly HC Ethylene'!Q4</f>
        <v>228.52409541599013</v>
      </c>
      <c r="CD34" s="44">
        <f>'Scope 3 Yearly'!CD43*'Yearly HC Ethylene'!R4</f>
        <v>233.42840621783108</v>
      </c>
      <c r="CE34" s="44">
        <f>'Scope 3 Yearly'!CE43*'Yearly HC Ethylene'!S4</f>
        <v>238.38100600189412</v>
      </c>
      <c r="CF34" s="44">
        <f>'Scope 3 Yearly'!CF43*'Yearly HC Ethylene'!T4</f>
        <v>243.25133099970731</v>
      </c>
      <c r="CG34" s="44">
        <f>'Scope 3 Yearly'!CG43*'Yearly HC Ethylene'!U4</f>
        <v>248.19466298671895</v>
      </c>
      <c r="CH34" s="44">
        <f>'Scope 3 Yearly'!CH43*'Yearly HC Ethylene'!V4</f>
        <v>253.21177675989324</v>
      </c>
      <c r="CI34" s="44">
        <f>'Scope 3 Yearly'!CI43*'Yearly HC Ethylene'!W4</f>
        <v>258.30344632216577</v>
      </c>
      <c r="CJ34" s="44">
        <f>'Scope 3 Yearly'!CJ43*'Yearly HC Ethylene'!X4</f>
        <v>263.47044441740957</v>
      </c>
      <c r="CK34" s="44">
        <f>'Scope 3 Yearly'!CK43*'Yearly HC Ethylene'!Y4</f>
        <v>268.55485207623491</v>
      </c>
      <c r="CL34" s="44">
        <f>'Scope 3 Yearly'!CL43*'Yearly HC Ethylene'!Z4</f>
        <v>273.71019183675793</v>
      </c>
      <c r="CM34" s="44">
        <f>'Scope 3 Yearly'!CM43*'Yearly HC Ethylene'!AA4</f>
        <v>278.93712270719885</v>
      </c>
      <c r="CN34" s="44">
        <f>'Scope 3 Yearly'!CN43*'Yearly HC Ethylene'!AB4</f>
        <v>284.23630015664423</v>
      </c>
      <c r="CO34" s="44">
        <f>'Scope 3 Yearly'!CO43*'Yearly HC Ethylene'!AC4</f>
        <v>289.6083756096931</v>
      </c>
      <c r="CP34" s="44">
        <f>'Scope 3 Yearly'!CP43*'Yearly HC Ethylene'!AD4</f>
        <v>294.89727434383548</v>
      </c>
      <c r="CQ34" s="44">
        <f>'Scope 3 Yearly'!CQ43*'Yearly HC Ethylene'!AE4</f>
        <v>300.25483388858572</v>
      </c>
      <c r="CR34" s="44">
        <f>'Scope 3 Yearly'!CR43*'Yearly HC Ethylene'!AF4</f>
        <v>305.68159998898165</v>
      </c>
      <c r="CS34" s="44">
        <f>'Scope 3 Yearly'!CS43*'Yearly HC Ethylene'!AG4</f>
        <v>311.17811225722659</v>
      </c>
      <c r="CT34" s="44">
        <f>'Scope 3 Yearly'!CT43*'Yearly HC Ethylene'!AH4</f>
        <v>316.74490362862025</v>
      </c>
      <c r="CV34" s="44">
        <f>'Scope 3 Yearly'!CV43*'Yearly HC Ethylene'!D4</f>
        <v>152.10453051260288</v>
      </c>
      <c r="CW34" s="44">
        <f>'Scope 3 Yearly'!CW43*'Yearly HC Ethylene'!E4</f>
        <v>155.67164845918501</v>
      </c>
      <c r="CX34" s="44">
        <f>'Scope 3 Yearly'!CX43*'Yearly HC Ethylene'!F4</f>
        <v>159.35818520947223</v>
      </c>
      <c r="CY34" s="44">
        <f>'Scope 3 Yearly'!CY43*'Yearly HC Ethylene'!G4</f>
        <v>163.16591673400447</v>
      </c>
      <c r="CZ34" s="44">
        <f>'Scope 3 Yearly'!CZ43*'Yearly HC Ethylene'!H4</f>
        <v>167.09492444678244</v>
      </c>
      <c r="DA34" s="44">
        <f>'Scope 3 Yearly'!DA43*'Yearly HC Ethylene'!I4</f>
        <v>171.14181397392531</v>
      </c>
      <c r="DB34" s="44">
        <f>'Scope 3 Yearly'!DB43*'Yearly HC Ethylene'!J4</f>
        <v>174.82963438552332</v>
      </c>
      <c r="DC34" s="44">
        <f>'Scope 3 Yearly'!DC43*'Yearly HC Ethylene'!K4</f>
        <v>178.58011990800767</v>
      </c>
      <c r="DD34" s="44">
        <f>'Scope 3 Yearly'!DD43*'Yearly HC Ethylene'!L4</f>
        <v>182.34488811496738</v>
      </c>
      <c r="DE34" s="44">
        <f>'Scope 3 Yearly'!DE43*'Yearly HC Ethylene'!M4</f>
        <v>186.03365904679157</v>
      </c>
      <c r="DF34" s="44">
        <f>'Scope 3 Yearly'!DF43*'Yearly HC Ethylene'!N4</f>
        <v>189.48932729781444</v>
      </c>
      <c r="DG34" s="44">
        <f>'Scope 3 Yearly'!DG43*'Yearly HC Ethylene'!O4</f>
        <v>189.51480564863934</v>
      </c>
      <c r="DH34" s="44">
        <f>'Scope 3 Yearly'!DH43*'Yearly HC Ethylene'!P4</f>
        <v>188.60603187736911</v>
      </c>
      <c r="DI34" s="44">
        <f>'Scope 3 Yearly'!DI43*'Yearly HC Ethylene'!Q4</f>
        <v>186.37444652246353</v>
      </c>
      <c r="DJ34" s="44">
        <f>'Scope 3 Yearly'!DJ43*'Yearly HC Ethylene'!R4</f>
        <v>182.46679335124176</v>
      </c>
      <c r="DK34" s="44">
        <f>'Scope 3 Yearly'!DK43*'Yearly HC Ethylene'!S4</f>
        <v>176.73057311903673</v>
      </c>
      <c r="DL34" s="44">
        <f>'Scope 3 Yearly'!DL43*'Yearly HC Ethylene'!T4</f>
        <v>169.17225437915343</v>
      </c>
      <c r="DM34" s="44">
        <f>'Scope 3 Yearly'!DM43*'Yearly HC Ethylene'!U4</f>
        <v>160.33995072903394</v>
      </c>
      <c r="DN34" s="44">
        <f>'Scope 3 Yearly'!DN43*'Yearly HC Ethylene'!V4</f>
        <v>150.85864201381196</v>
      </c>
      <c r="DO34" s="44">
        <f>'Scope 3 Yearly'!DO43*'Yearly HC Ethylene'!W4</f>
        <v>141.35681447106921</v>
      </c>
      <c r="DP34" s="44">
        <f>'Scope 3 Yearly'!DP43*'Yearly HC Ethylene'!X4</f>
        <v>132.31477117150919</v>
      </c>
      <c r="DQ34" s="44">
        <f>'Scope 3 Yearly'!DQ43*'Yearly HC Ethylene'!Y4</f>
        <v>122.90446865133531</v>
      </c>
      <c r="DR34" s="44">
        <f>'Scope 3 Yearly'!DR43*'Yearly HC Ethylene'!Z4</f>
        <v>114.38818657717474</v>
      </c>
      <c r="DS34" s="44">
        <f>'Scope 3 Yearly'!DS43*'Yearly HC Ethylene'!AA4</f>
        <v>106.68349003094008</v>
      </c>
      <c r="DT34" s="44">
        <f>'Scope 3 Yearly'!DT43*'Yearly HC Ethylene'!AB4</f>
        <v>99.648372455499754</v>
      </c>
      <c r="DU34" s="44">
        <f>'Scope 3 Yearly'!DU43*'Yearly HC Ethylene'!AC4</f>
        <v>93.12225173340893</v>
      </c>
      <c r="DV34" s="44">
        <f>'Scope 3 Yearly'!DV43*'Yearly HC Ethylene'!AD4</f>
        <v>86.906074408861897</v>
      </c>
      <c r="DW34" s="44">
        <f>'Scope 3 Yearly'!DW43*'Yearly HC Ethylene'!AE4</f>
        <v>80.916131598444494</v>
      </c>
      <c r="DX34" s="44">
        <f>'Scope 3 Yearly'!DX43*'Yearly HC Ethylene'!AF4</f>
        <v>75.031894430978909</v>
      </c>
      <c r="DY34" s="44">
        <f>'Scope 3 Yearly'!DY43*'Yearly HC Ethylene'!AG4</f>
        <v>69.145973280702364</v>
      </c>
      <c r="DZ34" s="44">
        <f>'Scope 3 Yearly'!DZ43*'Yearly HC Ethylene'!AH4</f>
        <v>63.164133103465325</v>
      </c>
    </row>
    <row r="35" spans="1:165">
      <c r="A35" t="s">
        <v>5</v>
      </c>
      <c r="C35" s="54" t="s">
        <v>415</v>
      </c>
      <c r="D35" s="44">
        <f>'Scope 3 Yearly'!D66*'Yearly HC Propylene'!D71</f>
        <v>109.98117897075149</v>
      </c>
      <c r="E35" s="44">
        <f>'Scope 3 Yearly'!E66*'Yearly HC Propylene'!E71</f>
        <v>111.81056084101112</v>
      </c>
      <c r="F35" s="44">
        <f>'Scope 3 Yearly'!F66*'Yearly HC Propylene'!F71</f>
        <v>113.69516541290076</v>
      </c>
      <c r="G35" s="44">
        <f>'Scope 3 Yearly'!G66*'Yearly HC Propylene'!G71</f>
        <v>115.63729783102643</v>
      </c>
      <c r="H35" s="44">
        <f>'Scope 3 Yearly'!H66*'Yearly HC Propylene'!H71</f>
        <v>117.63828903559299</v>
      </c>
      <c r="I35" s="44">
        <f>'Scope 3 Yearly'!I66*'Yearly HC Propylene'!I71</f>
        <v>119.69719804126609</v>
      </c>
      <c r="J35" s="44">
        <f>'Scope 3 Yearly'!J66*'Yearly HC Propylene'!J71</f>
        <v>121.57132107715367</v>
      </c>
      <c r="K35" s="44">
        <f>'Scope 3 Yearly'!K66*'Yearly HC Propylene'!K71</f>
        <v>123.45139731940036</v>
      </c>
      <c r="L35" s="44">
        <f>'Scope 3 Yearly'!L66*'Yearly HC Propylene'!L71</f>
        <v>125.30063898516127</v>
      </c>
      <c r="M35" s="44">
        <f>'Scope 3 Yearly'!M66*'Yearly HC Propylene'!M71</f>
        <v>127.0525733335915</v>
      </c>
      <c r="N35" s="44">
        <f>'Scope 3 Yearly'!N66*'Yearly HC Propylene'!N71</f>
        <v>128.59390504040542</v>
      </c>
      <c r="O35" s="44">
        <f>'Scope 3 Yearly'!O66*'Yearly HC Propylene'!O71</f>
        <v>127.77399072382362</v>
      </c>
      <c r="P35" s="44">
        <f>'Scope 3 Yearly'!P66*'Yearly HC Propylene'!P71</f>
        <v>126.28386814842099</v>
      </c>
      <c r="Q35" s="44">
        <f>'Scope 3 Yearly'!Q66*'Yearly HC Propylene'!Q71</f>
        <v>123.86514514146933</v>
      </c>
      <c r="R35" s="44">
        <f>'Scope 3 Yearly'!R66*'Yearly HC Propylene'!R71</f>
        <v>120.30378943239806</v>
      </c>
      <c r="S35" s="44">
        <f>'Scope 3 Yearly'!S66*'Yearly HC Propylene'!S71</f>
        <v>115.51787669060108</v>
      </c>
      <c r="T35" s="44">
        <f>'Scope 3 Yearly'!T66*'Yearly HC Propylene'!T71</f>
        <v>109.56027415116142</v>
      </c>
      <c r="U35" s="44">
        <f>'Scope 3 Yearly'!U66*'Yearly HC Propylene'!U71</f>
        <v>102.82204566551189</v>
      </c>
      <c r="V35" s="44">
        <f>'Scope 3 Yearly'!V66*'Yearly HC Propylene'!V71</f>
        <v>95.75754273873909</v>
      </c>
      <c r="W35" s="44">
        <f>'Scope 3 Yearly'!W66*'Yearly HC Propylene'!W71</f>
        <v>88.800713023749935</v>
      </c>
      <c r="X35" s="44">
        <f>'Scope 3 Yearly'!X66*'Yearly HC Propylene'!X71</f>
        <v>82.265810923734847</v>
      </c>
      <c r="Y35" s="44">
        <f>'Scope 3 Yearly'!Y66*'Yearly HC Propylene'!Y71</f>
        <v>75.408744372176457</v>
      </c>
      <c r="Z35" s="44">
        <f>'Scope 3 Yearly'!Z66*'Yearly HC Propylene'!Z71</f>
        <v>69.260657662857156</v>
      </c>
      <c r="AA35" s="44">
        <f>'Scope 3 Yearly'!AA66*'Yearly HC Propylene'!AA71</f>
        <v>63.751220357403959</v>
      </c>
      <c r="AB35" s="44">
        <f>'Scope 3 Yearly'!AB66*'Yearly HC Propylene'!AB71</f>
        <v>58.791824893177761</v>
      </c>
      <c r="AC35" s="44">
        <f>'Scope 3 Yearly'!AC66*'Yearly HC Propylene'!AC71</f>
        <v>54.27644766261875</v>
      </c>
      <c r="AD35" s="44">
        <f>'Scope 3 Yearly'!AD66*'Yearly HC Propylene'!AD71</f>
        <v>50.085108297622909</v>
      </c>
      <c r="AE35" s="44">
        <f>'Scope 3 Yearly'!AE66*'Yearly HC Propylene'!AE71</f>
        <v>46.158190760232415</v>
      </c>
      <c r="AF35" s="44">
        <f>'Scope 3 Yearly'!AF66*'Yearly HC Propylene'!AF71</f>
        <v>42.428479433683023</v>
      </c>
      <c r="AG35" s="44">
        <f>'Scope 3 Yearly'!AG66*'Yearly HC Propylene'!AG71</f>
        <v>38.813329026924769</v>
      </c>
      <c r="AH35" s="44">
        <f>'Scope 3 Yearly'!AH66*'Yearly HC Propylene'!AH71</f>
        <v>35.210680722136992</v>
      </c>
      <c r="AI35" s="44"/>
      <c r="AJ35" s="44">
        <f>'Scope 3 Yearly'!AJ66*'Yearly LC Propylene'!D71</f>
        <v>109.98113534020058</v>
      </c>
      <c r="AK35" s="44">
        <f>'Scope 3 Yearly'!AK66*'Yearly LC Propylene'!E71</f>
        <v>111.79283001070596</v>
      </c>
      <c r="AL35" s="44">
        <f>'Scope 3 Yearly'!AL66*'Yearly LC Propylene'!F71</f>
        <v>113.65905511607612</v>
      </c>
      <c r="AM35" s="44">
        <f>'Scope 3 Yearly'!AM66*'Yearly LC Propylene'!G71</f>
        <v>115.58205239738848</v>
      </c>
      <c r="AN35" s="44">
        <f>'Scope 3 Yearly'!AN66*'Yearly LC Propylene'!H71</f>
        <v>117.56306507386883</v>
      </c>
      <c r="AO35" s="44">
        <f>'Scope 3 Yearly'!AO66*'Yearly LC Propylene'!I71</f>
        <v>119.60102619388688</v>
      </c>
      <c r="AP35" s="44">
        <f>'Scope 3 Yearly'!AP66*'Yearly LC Propylene'!J71</f>
        <v>121.45306211870266</v>
      </c>
      <c r="AQ35" s="44">
        <f>'Scope 3 Yearly'!AQ66*'Yearly LC Propylene'!K71</f>
        <v>123.30968205473752</v>
      </c>
      <c r="AR35" s="44">
        <f>'Scope 3 Yearly'!AR66*'Yearly LC Propylene'!L71</f>
        <v>125.1338468389519</v>
      </c>
      <c r="AS35" s="44">
        <f>'Scope 3 Yearly'!AS66*'Yearly LC Propylene'!M71</f>
        <v>126.858923331342</v>
      </c>
      <c r="AT35" s="44">
        <f>'Scope 3 Yearly'!AT66*'Yearly LC Propylene'!N71</f>
        <v>128.3717416129507</v>
      </c>
      <c r="AU35" s="44">
        <f>'Scope 3 Yearly'!AU66*'Yearly LC Propylene'!O71</f>
        <v>127.52457006696952</v>
      </c>
      <c r="AV35" s="44">
        <f>'Scope 3 Yearly'!AV66*'Yearly LC Propylene'!P71</f>
        <v>126.00937148103985</v>
      </c>
      <c r="AW35" s="44">
        <f>'Scope 3 Yearly'!AW66*'Yearly LC Propylene'!Q71</f>
        <v>123.56903250432471</v>
      </c>
      <c r="AX35" s="44">
        <f>'Scope 3 Yearly'!AX66*'Yearly LC Propylene'!R71</f>
        <v>119.99212118821187</v>
      </c>
      <c r="AY35" s="44">
        <f>'Scope 3 Yearly'!AY66*'Yearly LC Propylene'!S71</f>
        <v>115.19506067915849</v>
      </c>
      <c r="AZ35" s="44">
        <f>'Scope 3 Yearly'!AZ66*'Yearly LC Propylene'!T71</f>
        <v>109.22684586960141</v>
      </c>
      <c r="BA35" s="44">
        <f>'Scope 3 Yearly'!BA66*'Yearly LC Propylene'!U71</f>
        <v>102.47385783773417</v>
      </c>
      <c r="BB35" s="44">
        <f>'Scope 3 Yearly'!BB66*'Yearly LC Propylene'!V71</f>
        <v>95.38969985659881</v>
      </c>
      <c r="BC35" s="44">
        <f>'Scope 3 Yearly'!BC66*'Yearly LC Propylene'!W71</f>
        <v>88.413004114221522</v>
      </c>
      <c r="BD35" s="44">
        <f>'Scope 3 Yearly'!BD66*'Yearly LC Propylene'!X71</f>
        <v>81.866024796091352</v>
      </c>
      <c r="BE35" s="44">
        <f>'Scope 3 Yearly'!BE66*'Yearly LC Propylene'!Y71</f>
        <v>75.061553912552085</v>
      </c>
      <c r="BF35" s="44">
        <f>'Scope 3 Yearly'!BF66*'Yearly LC Propylene'!Z71</f>
        <v>68.97929029368116</v>
      </c>
      <c r="BG35" s="44">
        <f>'Scope 3 Yearly'!BG66*'Yearly LC Propylene'!AA71</f>
        <v>63.548895974405937</v>
      </c>
      <c r="BH35" s="44">
        <f>'Scope 3 Yearly'!BH66*'Yearly LC Propylene'!AB71</f>
        <v>58.678786934278065</v>
      </c>
      <c r="BI35" s="44">
        <f>'Scope 3 Yearly'!BI66*'Yearly LC Propylene'!AC71</f>
        <v>54.259687820344389</v>
      </c>
      <c r="BJ35" s="44">
        <f>'Scope 3 Yearly'!BJ66*'Yearly LC Propylene'!AD71</f>
        <v>50.169235180983812</v>
      </c>
      <c r="BK35" s="44">
        <f>'Scope 3 Yearly'!BK66*'Yearly LC Propylene'!AE71</f>
        <v>46.346221219025104</v>
      </c>
      <c r="BL35" s="44">
        <f>'Scope 3 Yearly'!BL66*'Yearly LC Propylene'!AF71</f>
        <v>42.722993129717779</v>
      </c>
      <c r="BM35" s="44">
        <f>'Scope 3 Yearly'!BM66*'Yearly LC Propylene'!AG71</f>
        <v>39.228937785299507</v>
      </c>
      <c r="BN35" s="44">
        <f>'Scope 3 Yearly'!BN66*'Yearly LC Propylene'!AH71</f>
        <v>35.800184129900757</v>
      </c>
      <c r="BO35" s="44"/>
      <c r="BP35" s="44">
        <f>'Scope 3 Yearly'!BP66*'Yearly HC Propylene'!D4</f>
        <v>109.98214763640142</v>
      </c>
      <c r="BQ35" s="44">
        <f>'Scope 3 Yearly'!BQ66*'Yearly HC Propylene'!E4</f>
        <v>113.50903808695234</v>
      </c>
      <c r="BR35" s="44">
        <f>'Scope 3 Yearly'!BR66*'Yearly HC Propylene'!F4</f>
        <v>117.12535188268885</v>
      </c>
      <c r="BS35" s="44">
        <f>'Scope 3 Yearly'!BS66*'Yearly HC Propylene'!G4</f>
        <v>120.83286636497496</v>
      </c>
      <c r="BT35" s="44">
        <f>'Scope 3 Yearly'!BT66*'Yearly HC Propylene'!H4</f>
        <v>124.63333253415368</v>
      </c>
      <c r="BU35" s="44">
        <f>'Scope 3 Yearly'!BU66*'Yearly HC Propylene'!I4</f>
        <v>128.52846585960225</v>
      </c>
      <c r="BV35" s="44">
        <f>'Scope 3 Yearly'!BV66*'Yearly HC Propylene'!J4</f>
        <v>132.29575836642732</v>
      </c>
      <c r="BW35" s="44">
        <f>'Scope 3 Yearly'!BW66*'Yearly HC Propylene'!K4</f>
        <v>136.15606343384636</v>
      </c>
      <c r="BX35" s="44">
        <f>'Scope 3 Yearly'!BX66*'Yearly HC Propylene'!L4</f>
        <v>140.11140502524344</v>
      </c>
      <c r="BY35" s="44">
        <f>'Scope 3 Yearly'!BY66*'Yearly HC Propylene'!M4</f>
        <v>144.16384558680971</v>
      </c>
      <c r="BZ35" s="44">
        <f>'Scope 3 Yearly'!BZ66*'Yearly HC Propylene'!N4</f>
        <v>148.31548642429473</v>
      </c>
      <c r="CA35" s="44">
        <f>'Scope 3 Yearly'!CA66*'Yearly HC Propylene'!O4</f>
        <v>151.22277510355295</v>
      </c>
      <c r="CB35" s="44">
        <f>'Scope 3 Yearly'!CB66*'Yearly HC Propylene'!P4</f>
        <v>154.16237808476015</v>
      </c>
      <c r="CC35" s="44">
        <f>'Scope 3 Yearly'!CC66*'Yearly HC Propylene'!Q4</f>
        <v>157.13408505087716</v>
      </c>
      <c r="CD35" s="44">
        <f>'Scope 3 Yearly'!CD66*'Yearly HC Propylene'!R4</f>
        <v>160.13761637778012</v>
      </c>
      <c r="CE35" s="44">
        <f>'Scope 3 Yearly'!CE66*'Yearly HC Propylene'!S4</f>
        <v>163.17261491984638</v>
      </c>
      <c r="CF35" s="44">
        <f>'Scope 3 Yearly'!CF66*'Yearly HC Propylene'!T4</f>
        <v>166.1827054703578</v>
      </c>
      <c r="CG35" s="44">
        <f>'Scope 3 Yearly'!CG66*'Yearly HC Propylene'!U4</f>
        <v>169.23103806996286</v>
      </c>
      <c r="CH35" s="44">
        <f>'Scope 3 Yearly'!CH66*'Yearly HC Propylene'!V4</f>
        <v>172.31798487614108</v>
      </c>
      <c r="CI35" s="44">
        <f>'Scope 3 Yearly'!CI66*'Yearly HC Propylene'!W4</f>
        <v>175.44391947418558</v>
      </c>
      <c r="CJ35" s="44">
        <f>'Scope 3 Yearly'!CJ66*'Yearly HC Propylene'!X4</f>
        <v>178.60921679477229</v>
      </c>
      <c r="CK35" s="44">
        <f>'Scope 3 Yearly'!CK66*'Yearly HC Propylene'!Y4</f>
        <v>181.74898370356541</v>
      </c>
      <c r="CL35" s="44">
        <f>'Scope 3 Yearly'!CL66*'Yearly HC Propylene'!Z4</f>
        <v>184.92663030061311</v>
      </c>
      <c r="CM35" s="44">
        <f>'Scope 3 Yearly'!CM66*'Yearly HC Propylene'!AA4</f>
        <v>188.142499067123</v>
      </c>
      <c r="CN35" s="44">
        <f>'Scope 3 Yearly'!CN66*'Yearly HC Propylene'!AB4</f>
        <v>191.39693328301965</v>
      </c>
      <c r="CO35" s="44">
        <f>'Scope 3 Yearly'!CO66*'Yearly HC Propylene'!AC4</f>
        <v>194.69027693601808</v>
      </c>
      <c r="CP35" s="44">
        <f>'Scope 3 Yearly'!CP66*'Yearly HC Propylene'!AD4</f>
        <v>197.95745196087262</v>
      </c>
      <c r="CQ35" s="44">
        <f>'Scope 3 Yearly'!CQ66*'Yearly HC Propylene'!AE4</f>
        <v>201.26208905292768</v>
      </c>
      <c r="CR35" s="44">
        <f>'Scope 3 Yearly'!CR66*'Yearly HC Propylene'!AF4</f>
        <v>204.60450141792828</v>
      </c>
      <c r="CS35" s="44">
        <f>'Scope 3 Yearly'!CS66*'Yearly HC Propylene'!AG4</f>
        <v>207.9850024535566</v>
      </c>
      <c r="CT35" s="44">
        <f>'Scope 3 Yearly'!CT66*'Yearly HC Propylene'!AH4</f>
        <v>211.40390564998611</v>
      </c>
      <c r="CV35" s="44">
        <f>'Scope 3 Yearly'!CV66*'Yearly HC Propylene'!D4</f>
        <v>109.9811550950154</v>
      </c>
      <c r="CW35" s="44">
        <f>'Scope 3 Yearly'!CW66*'Yearly HC Propylene'!E4</f>
        <v>112.30152255043346</v>
      </c>
      <c r="CX35" s="44">
        <f>'Scope 3 Yearly'!CX66*'Yearly HC Propylene'!F4</f>
        <v>114.69917427099659</v>
      </c>
      <c r="CY35" s="44">
        <f>'Scope 3 Yearly'!CY66*'Yearly HC Propylene'!G4</f>
        <v>117.17436080199884</v>
      </c>
      <c r="CZ35" s="44">
        <f>'Scope 3 Yearly'!CZ66*'Yearly HC Propylene'!H4</f>
        <v>119.72596410617675</v>
      </c>
      <c r="DA35" s="44">
        <f>'Scope 3 Yearly'!DA66*'Yearly HC Propylene'!I4</f>
        <v>122.35016492541831</v>
      </c>
      <c r="DB35" s="44">
        <f>'Scope 3 Yearly'!DB66*'Yearly HC Propylene'!J4</f>
        <v>124.81870104545482</v>
      </c>
      <c r="DC35" s="44">
        <f>'Scope 3 Yearly'!DC66*'Yearly HC Propylene'!K4</f>
        <v>127.32256145806033</v>
      </c>
      <c r="DD35" s="44">
        <f>'Scope 3 Yearly'!DD66*'Yearly HC Propylene'!L4</f>
        <v>129.8245645911519</v>
      </c>
      <c r="DE35" s="44">
        <f>'Scope 3 Yearly'!DE66*'Yearly HC Propylene'!M4</f>
        <v>132.2566718590914</v>
      </c>
      <c r="DF35" s="44">
        <f>'Scope 3 Yearly'!DF66*'Yearly HC Propylene'!N4</f>
        <v>134.50203960836643</v>
      </c>
      <c r="DG35" s="44">
        <f>'Scope 3 Yearly'!DG66*'Yearly HC Propylene'!O4</f>
        <v>134.76456569922422</v>
      </c>
      <c r="DH35" s="44">
        <f>'Scope 3 Yearly'!DH66*'Yearly HC Propylene'!P4</f>
        <v>134.34720027839433</v>
      </c>
      <c r="DI35" s="44">
        <f>'Scope 3 Yearly'!DI66*'Yearly HC Propylene'!Q4</f>
        <v>132.95838762197741</v>
      </c>
      <c r="DJ35" s="44">
        <f>'Scope 3 Yearly'!DJ66*'Yearly HC Propylene'!R4</f>
        <v>130.33538798642056</v>
      </c>
      <c r="DK35" s="44">
        <f>'Scope 3 Yearly'!DK66*'Yearly HC Propylene'!S4</f>
        <v>126.34416115706065</v>
      </c>
      <c r="DL35" s="44">
        <f>'Scope 3 Yearly'!DL66*'Yearly HC Propylene'!T4</f>
        <v>121.02415941911268</v>
      </c>
      <c r="DM35" s="44">
        <f>'Scope 3 Yearly'!DM66*'Yearly HC Propylene'!U4</f>
        <v>114.74867798787815</v>
      </c>
      <c r="DN35" s="44">
        <f>'Scope 3 Yearly'!DN66*'Yearly HC Propylene'!V4</f>
        <v>107.98509269093437</v>
      </c>
      <c r="DO35" s="44">
        <f>'Scope 3 Yearly'!DO66*'Yearly HC Propylene'!W4</f>
        <v>101.20637642572628</v>
      </c>
      <c r="DP35" s="44">
        <f>'Scope 3 Yearly'!DP66*'Yearly HC Propylene'!X4</f>
        <v>94.776755953152403</v>
      </c>
      <c r="DQ35" s="44">
        <f>'Scope 3 Yearly'!DQ66*'Yearly HC Propylene'!Y4</f>
        <v>88.375975631742065</v>
      </c>
      <c r="DR35" s="44">
        <f>'Scope 3 Yearly'!DR66*'Yearly HC Propylene'!Z4</f>
        <v>82.626828323146739</v>
      </c>
      <c r="DS35" s="44">
        <f>'Scope 3 Yearly'!DS66*'Yearly HC Propylene'!AA4</f>
        <v>77.487902489334402</v>
      </c>
      <c r="DT35" s="44">
        <f>'Scope 3 Yearly'!DT66*'Yearly HC Propylene'!AB4</f>
        <v>72.870442680158035</v>
      </c>
      <c r="DU35" s="44">
        <f>'Scope 3 Yearly'!DU66*'Yearly HC Propylene'!AC4</f>
        <v>68.666271824729861</v>
      </c>
      <c r="DV35" s="44">
        <f>'Scope 3 Yearly'!DV66*'Yearly HC Propylene'!AD4</f>
        <v>64.748168085701835</v>
      </c>
      <c r="DW35" s="44">
        <f>'Scope 3 Yearly'!DW66*'Yearly HC Propylene'!AE4</f>
        <v>61.045613156445484</v>
      </c>
      <c r="DX35" s="44">
        <f>'Scope 3 Yearly'!DX66*'Yearly HC Propylene'!AF4</f>
        <v>57.478247002170214</v>
      </c>
      <c r="DY35" s="44">
        <f>'Scope 3 Yearly'!DY66*'Yearly HC Propylene'!AG4</f>
        <v>53.984316339830791</v>
      </c>
      <c r="DZ35" s="44">
        <f>'Scope 3 Yearly'!DZ66*'Yearly HC Propylene'!AH4</f>
        <v>50.48866199851571</v>
      </c>
    </row>
    <row r="36" spans="1:165">
      <c r="A36" t="s">
        <v>6</v>
      </c>
      <c r="C36" s="54" t="s">
        <v>415</v>
      </c>
      <c r="D36" s="44">
        <f>'Scope 3 Yearly'!D89*'Yearly Methanol'!D122</f>
        <v>67.767172099621177</v>
      </c>
      <c r="E36" s="44">
        <f>'Scope 3 Yearly'!E89*'Yearly Methanol'!E122</f>
        <v>72.264918577727528</v>
      </c>
      <c r="F36" s="44">
        <f>'Scope 3 Yearly'!F89*'Yearly Methanol'!F122</f>
        <v>75.679535209073464</v>
      </c>
      <c r="G36" s="44">
        <f>'Scope 3 Yearly'!G89*'Yearly Methanol'!G122</f>
        <v>79.046567442986913</v>
      </c>
      <c r="H36" s="44">
        <f>'Scope 3 Yearly'!H89*'Yearly Methanol'!H122</f>
        <v>82.36402157334571</v>
      </c>
      <c r="I36" s="44">
        <f>'Scope 3 Yearly'!I89*'Yearly Methanol'!I122</f>
        <v>85.640666529865669</v>
      </c>
      <c r="J36" s="44">
        <f>'Scope 3 Yearly'!J89*'Yearly Methanol'!J122</f>
        <v>88.84772085847159</v>
      </c>
      <c r="K36" s="44">
        <f>'Scope 3 Yearly'!K89*'Yearly Methanol'!K122</f>
        <v>91.978624144280843</v>
      </c>
      <c r="L36" s="44">
        <f>'Scope 3 Yearly'!L89*'Yearly Methanol'!L122</f>
        <v>95.007957554551822</v>
      </c>
      <c r="M36" s="44">
        <f>'Scope 3 Yearly'!M89*'Yearly Methanol'!M122</f>
        <v>97.890343390512442</v>
      </c>
      <c r="N36" s="44">
        <f>'Scope 3 Yearly'!N89*'Yearly Methanol'!N122</f>
        <v>100.54890280236712</v>
      </c>
      <c r="O36" s="44">
        <f>'Scope 3 Yearly'!O89*'Yearly Methanol'!O122</f>
        <v>99.110609168636955</v>
      </c>
      <c r="P36" s="44">
        <f>'Scope 3 Yearly'!P89*'Yearly Methanol'!P122</f>
        <v>97.193761695528522</v>
      </c>
      <c r="Q36" s="44">
        <f>'Scope 3 Yearly'!Q89*'Yearly Methanol'!Q122</f>
        <v>94.651205016735133</v>
      </c>
      <c r="R36" s="44">
        <f>'Scope 3 Yearly'!R89*'Yearly Methanol'!R122</f>
        <v>91.365530463934618</v>
      </c>
      <c r="S36" s="44">
        <f>'Scope 3 Yearly'!S89*'Yearly Methanol'!S122</f>
        <v>87.308900791231849</v>
      </c>
      <c r="T36" s="44">
        <f>'Scope 3 Yearly'!T89*'Yearly Methanol'!T122</f>
        <v>82.423659860626415</v>
      </c>
      <c r="U36" s="44">
        <f>'Scope 3 Yearly'!U89*'Yearly Methanol'!U122</f>
        <v>77.111259011444886</v>
      </c>
      <c r="V36" s="44">
        <f>'Scope 3 Yearly'!V89*'Yearly Methanol'!V122</f>
        <v>71.658439013181805</v>
      </c>
      <c r="W36" s="44">
        <f>'Scope 3 Yearly'!W89*'Yearly Methanol'!W122</f>
        <v>66.327135966728321</v>
      </c>
      <c r="X36" s="44">
        <f>'Scope 3 Yearly'!X89*'Yearly Methanol'!X122</f>
        <v>61.298167306156003</v>
      </c>
      <c r="Y36" s="44">
        <f>'Scope 3 Yearly'!Y89*'Yearly Methanol'!Y122</f>
        <v>56.631912320726322</v>
      </c>
      <c r="Z36" s="44">
        <f>'Scope 3 Yearly'!Z89*'Yearly Methanol'!Z122</f>
        <v>52.379029419999583</v>
      </c>
      <c r="AA36" s="44">
        <f>'Scope 3 Yearly'!AA89*'Yearly Methanol'!AA122</f>
        <v>48.503291916582327</v>
      </c>
      <c r="AB36" s="44">
        <f>'Scope 3 Yearly'!AB89*'Yearly Methanol'!AB122</f>
        <v>44.948434855971577</v>
      </c>
      <c r="AC36" s="44">
        <f>'Scope 3 Yearly'!AC89*'Yearly Methanol'!AC122</f>
        <v>41.654309993338948</v>
      </c>
      <c r="AD36" s="44">
        <f>'Scope 3 Yearly'!AD89*'Yearly Methanol'!AD122</f>
        <v>38.565425377854957</v>
      </c>
      <c r="AE36" s="44">
        <f>'Scope 3 Yearly'!AE89*'Yearly Methanol'!AE122</f>
        <v>35.63374015083096</v>
      </c>
      <c r="AF36" s="44">
        <f>'Scope 3 Yearly'!AF89*'Yearly Methanol'!AF122</f>
        <v>32.818796182481677</v>
      </c>
      <c r="AG36" s="44">
        <f>'Scope 3 Yearly'!AG89*'Yearly Methanol'!AG122</f>
        <v>30.087890654598745</v>
      </c>
      <c r="AH36" s="44">
        <f>'Scope 3 Yearly'!AH89*'Yearly Methanol'!AH122</f>
        <v>27.417722113346869</v>
      </c>
      <c r="AI36" s="44"/>
      <c r="AJ36" s="44">
        <f>'Scope 3 Yearly'!AJ89*'Yearly Methanol'!AJ122</f>
        <v>67.767148876277176</v>
      </c>
      <c r="AK36" s="44">
        <f>'Scope 3 Yearly'!AK89*'Yearly Methanol'!AK122</f>
        <v>71.225388437324028</v>
      </c>
      <c r="AL36" s="44">
        <f>'Scope 3 Yearly'!AL89*'Yearly Methanol'!AL122</f>
        <v>74.565251283133378</v>
      </c>
      <c r="AM36" s="44">
        <f>'Scope 3 Yearly'!AM89*'Yearly Methanol'!AM122</f>
        <v>77.859363712327763</v>
      </c>
      <c r="AN36" s="44">
        <f>'Scope 3 Yearly'!AN89*'Yearly Methanol'!AN122</f>
        <v>81.10657880063728</v>
      </c>
      <c r="AO36" s="44">
        <f>'Scope 3 Yearly'!AO89*'Yearly Methanol'!AO122</f>
        <v>84.316347801937113</v>
      </c>
      <c r="AP36" s="44">
        <f>'Scope 3 Yearly'!AP89*'Yearly Methanol'!AP122</f>
        <v>87.461098905819554</v>
      </c>
      <c r="AQ36" s="44">
        <f>'Scope 3 Yearly'!AQ89*'Yearly Methanol'!AQ122</f>
        <v>90.535001947208713</v>
      </c>
      <c r="AR36" s="44">
        <f>'Scope 3 Yearly'!AR89*'Yearly Methanol'!AR122</f>
        <v>93.513377934849018</v>
      </c>
      <c r="AS36" s="44">
        <f>'Scope 3 Yearly'!AS89*'Yearly Methanol'!AS122</f>
        <v>96.35142271918258</v>
      </c>
      <c r="AT36" s="44">
        <f>'Scope 3 Yearly'!AT89*'Yearly Methanol'!AT122</f>
        <v>98.972458798977726</v>
      </c>
      <c r="AU36" s="44">
        <f>'Scope 3 Yearly'!AU89*'Yearly Methanol'!AU122</f>
        <v>97.447830805437277</v>
      </c>
      <c r="AV36" s="44">
        <f>'Scope 3 Yearly'!AV89*'Yearly Methanol'!AV122</f>
        <v>95.451363183916328</v>
      </c>
      <c r="AW36" s="44">
        <f>'Scope 3 Yearly'!AW89*'Yearly Methanol'!AW122</f>
        <v>92.839042151129135</v>
      </c>
      <c r="AX36" s="44">
        <f>'Scope 3 Yearly'!AX89*'Yearly Methanol'!AX122</f>
        <v>89.496568926008266</v>
      </c>
      <c r="AY36" s="44">
        <f>'Scope 3 Yearly'!AY89*'Yearly Methanol'!AY122</f>
        <v>85.398741917244948</v>
      </c>
      <c r="AZ36" s="44">
        <f>'Scope 3 Yearly'!AZ89*'Yearly Methanol'!AZ122</f>
        <v>80.493605473689044</v>
      </c>
      <c r="BA36" s="44">
        <f>'Scope 3 Yearly'!BA89*'Yearly Methanol'!BA122</f>
        <v>75.179885533115211</v>
      </c>
      <c r="BB36" s="44">
        <f>'Scope 3 Yearly'!BB89*'Yearly Methanol'!BB122</f>
        <v>69.745595320276706</v>
      </c>
      <c r="BC36" s="44">
        <f>'Scope 3 Yearly'!BC89*'Yearly Methanol'!BC122</f>
        <v>64.454635854143561</v>
      </c>
      <c r="BD36" s="44">
        <f>'Scope 3 Yearly'!BD89*'Yearly Methanol'!BD122</f>
        <v>59.489642162540235</v>
      </c>
      <c r="BE36" s="44">
        <f>'Scope 3 Yearly'!BE89*'Yearly Methanol'!BE122</f>
        <v>54.818956063636669</v>
      </c>
      <c r="BF36" s="44">
        <f>'Scope 3 Yearly'!BF89*'Yearly Methanol'!BF122</f>
        <v>50.593860389734338</v>
      </c>
      <c r="BG36" s="44">
        <f>'Scope 3 Yearly'!BG89*'Yearly Methanol'!BG122</f>
        <v>46.7726756926089</v>
      </c>
      <c r="BH36" s="44">
        <f>'Scope 3 Yearly'!BH89*'Yearly Methanol'!BH122</f>
        <v>43.293256564898364</v>
      </c>
      <c r="BI36" s="44">
        <f>'Scope 3 Yearly'!BI89*'Yearly Methanol'!BI122</f>
        <v>40.090711813960112</v>
      </c>
      <c r="BJ36" s="44">
        <f>'Scope 3 Yearly'!BJ89*'Yearly Methanol'!BJ122</f>
        <v>37.106497377622105</v>
      </c>
      <c r="BK36" s="44">
        <f>'Scope 3 Yearly'!BK89*'Yearly Methanol'!BK122</f>
        <v>34.303578613675931</v>
      </c>
      <c r="BL36" s="44">
        <f>'Scope 3 Yearly'!BL89*'Yearly Methanol'!BL122</f>
        <v>31.626175198188331</v>
      </c>
      <c r="BM36" s="44">
        <f>'Scope 3 Yearly'!BM89*'Yearly Methanol'!BM122</f>
        <v>29.035773782187167</v>
      </c>
      <c r="BN36" s="44">
        <f>'Scope 3 Yearly'!BN89*'Yearly Methanol'!BN122</f>
        <v>26.508955648970463</v>
      </c>
      <c r="BO36" s="44"/>
      <c r="BP36" s="44">
        <f>'Scope 3 Yearly'!BP89*'Yearly Methanol'!D6</f>
        <v>67.767739207730912</v>
      </c>
      <c r="BQ36" s="44">
        <f>'Scope 3 Yearly'!BQ89*'Yearly Methanol'!E6</f>
        <v>72.870796586450552</v>
      </c>
      <c r="BR36" s="44">
        <f>'Scope 3 Yearly'!BR89*'Yearly Methanol'!F6</f>
        <v>78.067898112629194</v>
      </c>
      <c r="BS36" s="44">
        <f>'Scope 3 Yearly'!BS89*'Yearly Methanol'!G6</f>
        <v>83.35730951515049</v>
      </c>
      <c r="BT36" s="44">
        <f>'Scope 3 Yearly'!BT89*'Yearly Methanol'!H6</f>
        <v>88.737169836710493</v>
      </c>
      <c r="BU36" s="44">
        <f>'Scope 3 Yearly'!BU89*'Yearly Methanol'!I6</f>
        <v>94.205470085791333</v>
      </c>
      <c r="BV36" s="44">
        <f>'Scope 3 Yearly'!BV89*'Yearly Methanol'!J6</f>
        <v>99.771094297277145</v>
      </c>
      <c r="BW36" s="44">
        <f>'Scope 3 Yearly'!BW89*'Yearly Methanol'!K6</f>
        <v>105.43374840896139</v>
      </c>
      <c r="BX36" s="44">
        <f>'Scope 3 Yearly'!BX89*'Yearly Methanol'!L6</f>
        <v>111.19311694997909</v>
      </c>
      <c r="BY36" s="44">
        <f>'Scope 3 Yearly'!BY89*'Yearly Methanol'!M6</f>
        <v>117.0488625538455</v>
      </c>
      <c r="BZ36" s="44">
        <f>'Scope 3 Yearly'!BZ89*'Yearly Methanol'!N6</f>
        <v>123.0006253952004</v>
      </c>
      <c r="CA36" s="44">
        <f>'Scope 3 Yearly'!CA89*'Yearly Methanol'!O6</f>
        <v>126.14455276795258</v>
      </c>
      <c r="CB36" s="44">
        <f>'Scope 3 Yearly'!CB89*'Yearly Methanol'!P6</f>
        <v>129.31414690662214</v>
      </c>
      <c r="CC36" s="44">
        <f>'Scope 3 Yearly'!CC89*'Yearly Methanol'!Q6</f>
        <v>132.50811624387666</v>
      </c>
      <c r="CD36" s="44">
        <f>'Scope 3 Yearly'!CD89*'Yearly Methanol'!R6</f>
        <v>135.72504472322152</v>
      </c>
      <c r="CE36" s="44">
        <f>'Scope 3 Yearly'!CE89*'Yearly Methanol'!S6</f>
        <v>138.96337763476862</v>
      </c>
      <c r="CF36" s="44">
        <f>'Scope 3 Yearly'!CF89*'Yearly Methanol'!T6</f>
        <v>142.0093907674879</v>
      </c>
      <c r="CG36" s="44">
        <f>'Scope 3 Yearly'!CG89*'Yearly Methanol'!U6</f>
        <v>145.08500034527128</v>
      </c>
      <c r="CH36" s="44">
        <f>'Scope 3 Yearly'!CH89*'Yearly Methanol'!V6</f>
        <v>148.19002784056048</v>
      </c>
      <c r="CI36" s="44">
        <f>'Scope 3 Yearly'!CI89*'Yearly Methanol'!W6</f>
        <v>151.32428917850925</v>
      </c>
      <c r="CJ36" s="44">
        <f>'Scope 3 Yearly'!CJ89*'Yearly Methanol'!X6</f>
        <v>154.48759457252035</v>
      </c>
      <c r="CK36" s="44">
        <f>'Scope 3 Yearly'!CK89*'Yearly Methanol'!Y6</f>
        <v>157.20647865176889</v>
      </c>
      <c r="CL36" s="44">
        <f>'Scope 3 Yearly'!CL89*'Yearly Methanol'!Z6</f>
        <v>159.94585642680096</v>
      </c>
      <c r="CM36" s="44">
        <f>'Scope 3 Yearly'!CM89*'Yearly Methanol'!AA6</f>
        <v>162.70556077505626</v>
      </c>
      <c r="CN36" s="44">
        <f>'Scope 3 Yearly'!CN89*'Yearly Methanol'!AB6</f>
        <v>165.48541975822917</v>
      </c>
      <c r="CO36" s="44">
        <f>'Scope 3 Yearly'!CO89*'Yearly Methanol'!AC6</f>
        <v>168.28525648203154</v>
      </c>
      <c r="CP36" s="44">
        <f>'Scope 3 Yearly'!CP89*'Yearly Methanol'!AD6</f>
        <v>171.10499167297365</v>
      </c>
      <c r="CQ36" s="44">
        <f>'Scope 3 Yearly'!CQ89*'Yearly Methanol'!AE6</f>
        <v>173.94444743406922</v>
      </c>
      <c r="CR36" s="44">
        <f>'Scope 3 Yearly'!CR89*'Yearly Methanol'!AF6</f>
        <v>176.80344091898357</v>
      </c>
      <c r="CS36" s="44">
        <f>'Scope 3 Yearly'!CS89*'Yearly Methanol'!AG6</f>
        <v>179.6817841917327</v>
      </c>
      <c r="CT36" s="44">
        <f>'Scope 3 Yearly'!CT89*'Yearly Methanol'!AH6</f>
        <v>182.57928408197324</v>
      </c>
      <c r="CV36" s="44">
        <f>'Scope 3 Yearly'!CV89*'Yearly Methanol'!D6</f>
        <v>67.767150825277412</v>
      </c>
      <c r="CW36" s="44">
        <f>'Scope 3 Yearly'!CW89*'Yearly Methanol'!E6</f>
        <v>71.74080319058514</v>
      </c>
      <c r="CX36" s="44">
        <f>'Scope 3 Yearly'!CX89*'Yearly Methanol'!F6</f>
        <v>75.690422423377328</v>
      </c>
      <c r="CY36" s="44">
        <f>'Scope 3 Yearly'!CY89*'Yearly Methanol'!G6</f>
        <v>79.616084401454387</v>
      </c>
      <c r="CZ36" s="44">
        <f>'Scope 3 Yearly'!CZ89*'Yearly Methanol'!H6</f>
        <v>83.516932779610045</v>
      </c>
      <c r="DA36" s="44">
        <f>'Scope 3 Yearly'!DA89*'Yearly Methanol'!I6</f>
        <v>87.390275100154852</v>
      </c>
      <c r="DB36" s="44">
        <f>'Scope 3 Yearly'!DB89*'Yearly Methanol'!J6</f>
        <v>91.229835987090084</v>
      </c>
      <c r="DC36" s="44">
        <f>'Scope 3 Yearly'!DC89*'Yearly Methanol'!K6</f>
        <v>95.022506628306559</v>
      </c>
      <c r="DD36" s="44">
        <f>'Scope 3 Yearly'!DD89*'Yearly Methanol'!L6</f>
        <v>98.742617699371422</v>
      </c>
      <c r="DE36" s="44">
        <f>'Scope 3 Yearly'!DE89*'Yearly Methanol'!M6</f>
        <v>102.34264045733509</v>
      </c>
      <c r="DF36" s="44">
        <f>'Scope 3 Yearly'!DF89*'Yearly Methanol'!N6</f>
        <v>105.74010522028556</v>
      </c>
      <c r="DG36" s="44">
        <f>'Scope 3 Yearly'!DG89*'Yearly Methanol'!O6</f>
        <v>105.96789280269346</v>
      </c>
      <c r="DH36" s="44">
        <f>'Scope 3 Yearly'!DH89*'Yearly Methanol'!P6</f>
        <v>105.71107820246353</v>
      </c>
      <c r="DI36" s="44">
        <f>'Scope 3 Yearly'!DI89*'Yearly Methanol'!Q6</f>
        <v>104.78149316422791</v>
      </c>
      <c r="DJ36" s="44">
        <f>'Scope 3 Yearly'!DJ89*'Yearly Methanol'!R6</f>
        <v>103.0087327955499</v>
      </c>
      <c r="DK36" s="44">
        <f>'Scope 3 Yearly'!DK89*'Yearly Methanol'!S6</f>
        <v>100.3113979283235</v>
      </c>
      <c r="DL36" s="44">
        <f>'Scope 3 Yearly'!DL89*'Yearly Methanol'!T6</f>
        <v>96.600924416584675</v>
      </c>
      <c r="DM36" s="44">
        <f>'Scope 3 Yearly'!DM89*'Yearly Methanol'!U6</f>
        <v>92.267206143123886</v>
      </c>
      <c r="DN36" s="44">
        <f>'Scope 3 Yearly'!DN89*'Yearly Methanol'!V6</f>
        <v>87.622398699111884</v>
      </c>
      <c r="DO36" s="44">
        <f>'Scope 3 Yearly'!DO89*'Yearly Methanol'!W6</f>
        <v>82.976773826141468</v>
      </c>
      <c r="DP36" s="44">
        <f>'Scope 3 Yearly'!DP89*'Yearly Methanol'!X6</f>
        <v>78.564831186457937</v>
      </c>
      <c r="DQ36" s="44">
        <f>'Scope 3 Yearly'!DQ89*'Yearly Methanol'!Y6</f>
        <v>73.824080927271723</v>
      </c>
      <c r="DR36" s="44">
        <f>'Scope 3 Yearly'!DR89*'Yearly Methanol'!Z6</f>
        <v>69.534054423385015</v>
      </c>
      <c r="DS36" s="44">
        <f>'Scope 3 Yearly'!DS89*'Yearly Methanol'!AA6</f>
        <v>65.659579013148772</v>
      </c>
      <c r="DT36" s="44">
        <f>'Scope 3 Yearly'!DT89*'Yearly Methanol'!AB6</f>
        <v>62.13494952119909</v>
      </c>
      <c r="DU36" s="44">
        <f>'Scope 3 Yearly'!DU89*'Yearly Methanol'!AC6</f>
        <v>58.884946294833398</v>
      </c>
      <c r="DV36" s="44">
        <f>'Scope 3 Yearly'!DV89*'Yearly Methanol'!AD6</f>
        <v>55.837414204772024</v>
      </c>
      <c r="DW36" s="44">
        <f>'Scope 3 Yearly'!DW89*'Yearly Methanol'!AE6</f>
        <v>52.946598542323137</v>
      </c>
      <c r="DX36" s="44">
        <f>'Scope 3 Yearly'!DX89*'Yearly Methanol'!AF6</f>
        <v>50.132222997677182</v>
      </c>
      <c r="DY36" s="44">
        <f>'Scope 3 Yearly'!DY89*'Yearly Methanol'!AG6</f>
        <v>47.332978543001303</v>
      </c>
      <c r="DZ36" s="44">
        <f>'Scope 3 Yearly'!DZ89*'Yearly Methanol'!AH6</f>
        <v>44.505141557370123</v>
      </c>
    </row>
    <row r="37" spans="1:165">
      <c r="A37" t="s">
        <v>7</v>
      </c>
      <c r="C37" s="54" t="s">
        <v>415</v>
      </c>
      <c r="D37" s="44">
        <f>'Scope 3 Yearly'!D112*'Yearly BTX'!D129</f>
        <v>53.088165770575209</v>
      </c>
      <c r="E37" s="44">
        <f>'Scope 3 Yearly'!E112*'Yearly BTX'!E129</f>
        <v>54.126249743492167</v>
      </c>
      <c r="F37" s="44">
        <f>'Scope 3 Yearly'!F112*'Yearly BTX'!F129</f>
        <v>55.056905034215347</v>
      </c>
      <c r="G37" s="44">
        <f>'Scope 3 Yearly'!G112*'Yearly BTX'!G129</f>
        <v>56.009963092761275</v>
      </c>
      <c r="H37" s="44">
        <f>'Scope 3 Yearly'!H112*'Yearly BTX'!H129</f>
        <v>56.986600967233549</v>
      </c>
      <c r="I37" s="44">
        <f>'Scope 3 Yearly'!I112*'Yearly BTX'!I129</f>
        <v>57.987595270117048</v>
      </c>
      <c r="J37" s="44">
        <f>'Scope 3 Yearly'!J112*'Yearly BTX'!J129</f>
        <v>58.518075868971913</v>
      </c>
      <c r="K37" s="44">
        <f>'Scope 3 Yearly'!K112*'Yearly BTX'!K129</f>
        <v>59.041379400653113</v>
      </c>
      <c r="L37" s="44">
        <f>'Scope 3 Yearly'!L112*'Yearly BTX'!L129</f>
        <v>59.549085842774403</v>
      </c>
      <c r="M37" s="44">
        <f>'Scope 3 Yearly'!M112*'Yearly BTX'!M129</f>
        <v>60.025248342345833</v>
      </c>
      <c r="N37" s="44">
        <f>'Scope 3 Yearly'!N112*'Yearly BTX'!N129</f>
        <v>60.441104040476716</v>
      </c>
      <c r="O37" s="44">
        <f>'Scope 3 Yearly'!O112*'Yearly BTX'!O129</f>
        <v>59.793233992068423</v>
      </c>
      <c r="P37" s="44">
        <f>'Scope 3 Yearly'!P112*'Yearly BTX'!P129</f>
        <v>58.950352005236915</v>
      </c>
      <c r="Q37" s="44">
        <f>'Scope 3 Yearly'!Q112*'Yearly BTX'!Q129</f>
        <v>57.83105051008156</v>
      </c>
      <c r="R37" s="44">
        <f>'Scope 3 Yearly'!R112*'Yearly BTX'!R129</f>
        <v>56.353659996767966</v>
      </c>
      <c r="S37" s="44">
        <f>'Scope 3 Yearly'!S112*'Yearly BTX'!S129</f>
        <v>54.465321137795634</v>
      </c>
      <c r="T37" s="44">
        <f>'Scope 3 Yearly'!T112*'Yearly BTX'!T129</f>
        <v>52.130934838797181</v>
      </c>
      <c r="U37" s="44">
        <f>'Scope 3 Yearly'!U112*'Yearly BTX'!U129</f>
        <v>49.451108548137746</v>
      </c>
      <c r="V37" s="44">
        <f>'Scope 3 Yearly'!V112*'Yearly BTX'!V129</f>
        <v>46.548770782774525</v>
      </c>
      <c r="W37" s="44">
        <f>'Scope 3 Yearly'!W112*'Yearly BTX'!W129</f>
        <v>43.559294472399955</v>
      </c>
      <c r="X37" s="44">
        <f>'Scope 3 Yearly'!X112*'Yearly BTX'!X129</f>
        <v>40.596252531075805</v>
      </c>
      <c r="Y37" s="44">
        <f>'Scope 3 Yearly'!Y112*'Yearly BTX'!Y129</f>
        <v>37.076691270819708</v>
      </c>
      <c r="Z37" s="44">
        <f>'Scope 3 Yearly'!Z112*'Yearly BTX'!Z129</f>
        <v>33.763828390767138</v>
      </c>
      <c r="AA37" s="44">
        <f>'Scope 3 Yearly'!AA112*'Yearly BTX'!AA129</f>
        <v>30.655999061263234</v>
      </c>
      <c r="AB37" s="44">
        <f>'Scope 3 Yearly'!AB112*'Yearly BTX'!AB129</f>
        <v>27.737530638986392</v>
      </c>
      <c r="AC37" s="44">
        <f>'Scope 3 Yearly'!AC112*'Yearly BTX'!AC129</f>
        <v>24.985439556658815</v>
      </c>
      <c r="AD37" s="44">
        <f>'Scope 3 Yearly'!AD112*'Yearly BTX'!AD129</f>
        <v>22.336023103443711</v>
      </c>
      <c r="AE37" s="44">
        <f>'Scope 3 Yearly'!AE112*'Yearly BTX'!AE129</f>
        <v>19.814959083667233</v>
      </c>
      <c r="AF37" s="44">
        <f>'Scope 3 Yearly'!AF112*'Yearly BTX'!AF129</f>
        <v>17.404154439517658</v>
      </c>
      <c r="AG37" s="44">
        <f>'Scope 3 Yearly'!AG112*'Yearly BTX'!AG129</f>
        <v>15.089917363697673</v>
      </c>
      <c r="AH37" s="44">
        <f>'Scope 3 Yearly'!AH112*'Yearly BTX'!AH129</f>
        <v>12.864109489737126</v>
      </c>
      <c r="AI37" s="44"/>
      <c r="AJ37" s="44">
        <f>'Scope 3 Yearly'!AJ112*'Yearly BTX'!AJ129</f>
        <v>53.08815145564521</v>
      </c>
      <c r="AK37" s="44">
        <f>'Scope 3 Yearly'!AK112*'Yearly BTX'!AK129</f>
        <v>54.126220393008524</v>
      </c>
      <c r="AL37" s="44">
        <f>'Scope 3 Yearly'!AL112*'Yearly BTX'!AL129</f>
        <v>55.056846687082789</v>
      </c>
      <c r="AM37" s="44">
        <f>'Scope 3 Yearly'!AM112*'Yearly BTX'!AM129</f>
        <v>56.009848459181157</v>
      </c>
      <c r="AN37" s="44">
        <f>'Scope 3 Yearly'!AN112*'Yearly BTX'!AN129</f>
        <v>56.986378678963973</v>
      </c>
      <c r="AO37" s="44">
        <f>'Scope 3 Yearly'!AO112*'Yearly BTX'!AO129</f>
        <v>57.987170663013089</v>
      </c>
      <c r="AP37" s="44">
        <f>'Scope 3 Yearly'!AP112*'Yearly BTX'!AP129</f>
        <v>58.517290770304704</v>
      </c>
      <c r="AQ37" s="44">
        <f>'Scope 3 Yearly'!AQ112*'Yearly BTX'!AQ129</f>
        <v>59.039963624696746</v>
      </c>
      <c r="AR37" s="44">
        <f>'Scope 3 Yearly'!AR112*'Yearly BTX'!AR129</f>
        <v>59.546611276310408</v>
      </c>
      <c r="AS37" s="44">
        <f>'Scope 3 Yearly'!AS112*'Yearly BTX'!AS129</f>
        <v>60.021090320784417</v>
      </c>
      <c r="AT37" s="44">
        <f>'Scope 3 Yearly'!AT112*'Yearly BTX'!AT129</f>
        <v>60.434428118292658</v>
      </c>
      <c r="AU37" s="44">
        <f>'Scope 3 Yearly'!AU112*'Yearly BTX'!AU129</f>
        <v>59.783834011375212</v>
      </c>
      <c r="AV37" s="44">
        <f>'Scope 3 Yearly'!AV112*'Yearly BTX'!AV129</f>
        <v>58.938058874306996</v>
      </c>
      <c r="AW37" s="44">
        <f>'Scope 3 Yearly'!AW112*'Yearly BTX'!AW129</f>
        <v>57.816392438382074</v>
      </c>
      <c r="AX37" s="44">
        <f>'Scope 3 Yearly'!AX112*'Yearly BTX'!AX129</f>
        <v>56.337860012018659</v>
      </c>
      <c r="AY37" s="44">
        <f>'Scope 3 Yearly'!AY112*'Yearly BTX'!AY129</f>
        <v>54.449836608291861</v>
      </c>
      <c r="AZ37" s="44">
        <f>'Scope 3 Yearly'!AZ112*'Yearly BTX'!AZ129</f>
        <v>52.116997435894731</v>
      </c>
      <c r="BA37" s="44">
        <f>'Scope 3 Yearly'!BA112*'Yearly BTX'!BA129</f>
        <v>49.439114847918411</v>
      </c>
      <c r="BB37" s="44">
        <f>'Scope 3 Yearly'!BB112*'Yearly BTX'!BB129</f>
        <v>46.538621480124526</v>
      </c>
      <c r="BC37" s="44">
        <f>'Scope 3 Yearly'!BC112*'Yearly BTX'!BC129</f>
        <v>43.551189722990458</v>
      </c>
      <c r="BD37" s="44">
        <f>'Scope 3 Yearly'!BD112*'Yearly BTX'!BD129</f>
        <v>40.591331625135894</v>
      </c>
      <c r="BE37" s="44">
        <f>'Scope 3 Yearly'!BE112*'Yearly BTX'!BE129</f>
        <v>37.077502298582949</v>
      </c>
      <c r="BF37" s="44">
        <f>'Scope 3 Yearly'!BF112*'Yearly BTX'!BF129</f>
        <v>33.773422546867984</v>
      </c>
      <c r="BG37" s="44">
        <f>'Scope 3 Yearly'!BG112*'Yearly BTX'!BG129</f>
        <v>30.678432521509237</v>
      </c>
      <c r="BH37" s="44">
        <f>'Scope 3 Yearly'!BH112*'Yearly BTX'!BH129</f>
        <v>27.776995479823107</v>
      </c>
      <c r="BI37" s="44">
        <f>'Scope 3 Yearly'!BI112*'Yearly BTX'!BI129</f>
        <v>25.046219628006316</v>
      </c>
      <c r="BJ37" s="44">
        <f>'Scope 3 Yearly'!BJ112*'Yearly BTX'!BJ129</f>
        <v>22.422869174699986</v>
      </c>
      <c r="BK37" s="44">
        <f>'Scope 3 Yearly'!BK112*'Yearly BTX'!BK129</f>
        <v>19.932943469823737</v>
      </c>
      <c r="BL37" s="44">
        <f>'Scope 3 Yearly'!BL112*'Yearly BTX'!BL129</f>
        <v>17.559300750257179</v>
      </c>
      <c r="BM37" s="44">
        <f>'Scope 3 Yearly'!BM112*'Yearly BTX'!BM129</f>
        <v>15.289178187682275</v>
      </c>
      <c r="BN37" s="44">
        <f>'Scope 3 Yearly'!BN112*'Yearly BTX'!BN129</f>
        <v>13.11460571498716</v>
      </c>
      <c r="BO37" s="44"/>
      <c r="BP37" s="44">
        <f>'Scope 3 Yearly'!BP112*'Yearly Demand - BTX'!N7</f>
        <v>53.088132246764417</v>
      </c>
      <c r="BQ37" s="44">
        <f>'Scope 3 Yearly'!BQ112*'Yearly Demand - BTX'!O7</f>
        <v>55.051861614337305</v>
      </c>
      <c r="BR37" s="44">
        <f>'Scope 3 Yearly'!BR112*'Yearly Demand - BTX'!P7</f>
        <v>57.073593175473171</v>
      </c>
      <c r="BS37" s="44">
        <f>'Scope 3 Yearly'!BS112*'Yearly Demand - BTX'!Q7</f>
        <v>59.154653167889194</v>
      </c>
      <c r="BT37" s="44">
        <f>'Scope 3 Yearly'!BT112*'Yearly Demand - BTX'!R7</f>
        <v>61.296341358217262</v>
      </c>
      <c r="BU37" s="44">
        <f>'Scope 3 Yearly'!BU112*'Yearly Demand - BTX'!S7</f>
        <v>63.49992200878453</v>
      </c>
      <c r="BV37" s="44">
        <f>'Scope 3 Yearly'!BV112*'Yearly Demand - BTX'!T7</f>
        <v>65.24915032945141</v>
      </c>
      <c r="BW37" s="44">
        <f>'Scope 3 Yearly'!BW112*'Yearly Demand - BTX'!U7</f>
        <v>67.03753050359461</v>
      </c>
      <c r="BX37" s="44">
        <f>'Scope 3 Yearly'!BX112*'Yearly Demand - BTX'!V7</f>
        <v>68.865787300698955</v>
      </c>
      <c r="BY37" s="44">
        <f>'Scope 3 Yearly'!BY112*'Yearly Demand - BTX'!W7</f>
        <v>70.734655400398935</v>
      </c>
      <c r="BZ37" s="44">
        <f>'Scope 3 Yearly'!BZ112*'Yearly Demand - BTX'!X7</f>
        <v>72.644879247032847</v>
      </c>
      <c r="CA37" s="44">
        <f>'Scope 3 Yearly'!CA112*'Yearly Demand - BTX'!Y7</f>
        <v>74.108339659490994</v>
      </c>
      <c r="CB37" s="44">
        <f>'Scope 3 Yearly'!CB112*'Yearly Demand - BTX'!Z7</f>
        <v>75.586187500921866</v>
      </c>
      <c r="CC37" s="44">
        <f>'Scope 3 Yearly'!CC112*'Yearly Demand - BTX'!AA7</f>
        <v>77.07809610640993</v>
      </c>
      <c r="CD37" s="44">
        <f>'Scope 3 Yearly'!CD112*'Yearly Demand - BTX'!AB7</f>
        <v>78.583677038282886</v>
      </c>
      <c r="CE37" s="44">
        <f>'Scope 3 Yearly'!CE112*'Yearly Demand - BTX'!AC7</f>
        <v>80.102472989635586</v>
      </c>
      <c r="CF37" s="44">
        <f>'Scope 3 Yearly'!CF112*'Yearly Demand - BTX'!AD7</f>
        <v>81.605786155949374</v>
      </c>
      <c r="CG37" s="44">
        <f>'Scope 3 Yearly'!CG112*'Yearly Demand - BTX'!AE7</f>
        <v>83.128526278637679</v>
      </c>
      <c r="CH37" s="44">
        <f>'Scope 3 Yearly'!CH112*'Yearly Demand - BTX'!AF7</f>
        <v>84.670868358723226</v>
      </c>
      <c r="CI37" s="44">
        <f>'Scope 3 Yearly'!CI112*'Yearly Demand - BTX'!AG7</f>
        <v>86.23298711208848</v>
      </c>
      <c r="CJ37" s="44">
        <f>'Scope 3 Yearly'!CJ112*'Yearly Demand - BTX'!AH7</f>
        <v>87.815056880222102</v>
      </c>
      <c r="CK37" s="44">
        <f>'Scope 3 Yearly'!CK112*'Yearly Demand - BTX'!AI7</f>
        <v>88.938219244193192</v>
      </c>
      <c r="CL37" s="44">
        <f>'Scope 3 Yearly'!CL112*'Yearly Demand - BTX'!AJ7</f>
        <v>90.066967415922917</v>
      </c>
      <c r="CM37" s="44">
        <f>'Scope 3 Yearly'!CM112*'Yearly Demand - BTX'!AK7</f>
        <v>91.201276779062624</v>
      </c>
      <c r="CN37" s="44">
        <f>'Scope 3 Yearly'!CN112*'Yearly Demand - BTX'!AL7</f>
        <v>92.341121063731677</v>
      </c>
      <c r="CO37" s="44">
        <f>'Scope 3 Yearly'!CO112*'Yearly Demand - BTX'!AM7</f>
        <v>93.486472290250504</v>
      </c>
      <c r="CP37" s="44">
        <f>'Scope 3 Yearly'!CP112*'Yearly Demand - BTX'!AN7</f>
        <v>94.513498633984526</v>
      </c>
      <c r="CQ37" s="44">
        <f>'Scope 3 Yearly'!CQ112*'Yearly Demand - BTX'!AO7</f>
        <v>95.543166464515167</v>
      </c>
      <c r="CR37" s="44">
        <f>'Scope 3 Yearly'!CR112*'Yearly Demand - BTX'!AP7</f>
        <v>96.575430889389651</v>
      </c>
      <c r="CS37" s="44">
        <f>'Scope 3 Yearly'!CS112*'Yearly Demand - BTX'!AQ7</f>
        <v>97.610245456049768</v>
      </c>
      <c r="CT37" s="44">
        <f>'Scope 3 Yearly'!CT112*'Yearly Demand - BTX'!AR7</f>
        <v>98.647562105171303</v>
      </c>
      <c r="CV37" s="44">
        <f>'Scope 3 Yearly'!CV112*'Yearly Demand - BTX'!N7</f>
        <v>53.088158044429299</v>
      </c>
      <c r="CW37" s="44">
        <f>'Scope 3 Yearly'!CW112*'Yearly Demand - BTX'!O7</f>
        <v>54.348995340327747</v>
      </c>
      <c r="CX37" s="44">
        <f>'Scope 3 Yearly'!CX112*'Yearly Demand - BTX'!P7</f>
        <v>55.59600940248955</v>
      </c>
      <c r="CY37" s="44">
        <f>'Scope 3 Yearly'!CY112*'Yearly Demand - BTX'!Q7</f>
        <v>56.871366126811033</v>
      </c>
      <c r="CZ37" s="44">
        <f>'Scope 3 Yearly'!CZ112*'Yearly Demand - BTX'!R7</f>
        <v>58.174848426733476</v>
      </c>
      <c r="DA37" s="44">
        <f>'Scope 3 Yearly'!DA112*'Yearly Demand - BTX'!S7</f>
        <v>59.505702059569757</v>
      </c>
      <c r="DB37" s="44">
        <f>'Scope 3 Yearly'!DB112*'Yearly Demand - BTX'!T7</f>
        <v>60.376664467671674</v>
      </c>
      <c r="DC37" s="44">
        <f>'Scope 3 Yearly'!DC112*'Yearly Demand - BTX'!U7</f>
        <v>61.250972400470182</v>
      </c>
      <c r="DD37" s="44">
        <f>'Scope 3 Yearly'!DD112*'Yearly Demand - BTX'!V7</f>
        <v>62.119920684126981</v>
      </c>
      <c r="DE37" s="44">
        <f>'Scope 3 Yearly'!DE112*'Yearly Demand - BTX'!W7</f>
        <v>62.966927596549638</v>
      </c>
      <c r="DF37" s="44">
        <f>'Scope 3 Yearly'!DF112*'Yearly Demand - BTX'!X7</f>
        <v>63.761969015730671</v>
      </c>
      <c r="DG37" s="44">
        <f>'Scope 3 Yearly'!DG112*'Yearly Demand - BTX'!Y7</f>
        <v>63.782863929098461</v>
      </c>
      <c r="DH37" s="44">
        <f>'Scope 3 Yearly'!DH112*'Yearly Demand - BTX'!Z7</f>
        <v>63.600122385958187</v>
      </c>
      <c r="DI37" s="44">
        <f>'Scope 3 Yearly'!DI112*'Yearly Demand - BTX'!AA7</f>
        <v>63.118036477590316</v>
      </c>
      <c r="DJ37" s="44">
        <f>'Scope 3 Yearly'!DJ112*'Yearly Demand - BTX'!AB7</f>
        <v>62.234804387051746</v>
      </c>
      <c r="DK37" s="44">
        <f>'Scope 3 Yearly'!DK112*'Yearly Demand - BTX'!AC7</f>
        <v>60.874270589222974</v>
      </c>
      <c r="DL37" s="44">
        <f>'Scope 3 Yearly'!DL112*'Yearly Demand - BTX'!AD7</f>
        <v>58.993622324909374</v>
      </c>
      <c r="DM37" s="44">
        <f>'Scope 3 Yearly'!DM112*'Yearly Demand - BTX'!AE7</f>
        <v>56.680088137980846</v>
      </c>
      <c r="DN37" s="44">
        <f>'Scope 3 Yearly'!DN112*'Yearly Demand - BTX'!AF7</f>
        <v>54.054022441483276</v>
      </c>
      <c r="DO37" s="44">
        <f>'Scope 3 Yearly'!DO112*'Yearly Demand - BTX'!AG7</f>
        <v>51.258515058666866</v>
      </c>
      <c r="DP37" s="44">
        <f>'Scope 3 Yearly'!DP112*'Yearly Demand - BTX'!AH7</f>
        <v>48.420738172821068</v>
      </c>
      <c r="DQ37" s="44">
        <f>'Scope 3 Yearly'!DQ112*'Yearly Demand - BTX'!AI7</f>
        <v>45.047405690709837</v>
      </c>
      <c r="DR37" s="44">
        <f>'Scope 3 Yearly'!DR112*'Yearly Demand - BTX'!AJ7</f>
        <v>41.852298147416562</v>
      </c>
      <c r="DS37" s="44">
        <f>'Scope 3 Yearly'!DS112*'Yearly Demand - BTX'!AK7</f>
        <v>38.809943192988541</v>
      </c>
      <c r="DT37" s="44">
        <f>'Scope 3 Yearly'!DT112*'Yearly Demand - BTX'!AL7</f>
        <v>35.903226556583036</v>
      </c>
      <c r="DU37" s="44">
        <f>'Scope 3 Yearly'!DU112*'Yearly Demand - BTX'!AM7</f>
        <v>33.10850941290073</v>
      </c>
      <c r="DV37" s="44">
        <f>'Scope 3 Yearly'!DV112*'Yearly Demand - BTX'!AN7</f>
        <v>30.359996094650061</v>
      </c>
      <c r="DW37" s="44">
        <f>'Scope 3 Yearly'!DW112*'Yearly Demand - BTX'!AO7</f>
        <v>27.679592005449642</v>
      </c>
      <c r="DX37" s="44">
        <f>'Scope 3 Yearly'!DX112*'Yearly Demand - BTX'!AP7</f>
        <v>25.044576245003523</v>
      </c>
      <c r="DY37" s="44">
        <f>'Scope 3 Yearly'!DY112*'Yearly Demand - BTX'!AQ7</f>
        <v>22.434809882884185</v>
      </c>
      <c r="DZ37" s="44">
        <f>'Scope 3 Yearly'!DZ112*'Yearly Demand - BTX'!AR7</f>
        <v>19.83313506191293</v>
      </c>
    </row>
    <row r="38" spans="1:165">
      <c r="A38" t="s">
        <v>8</v>
      </c>
      <c r="C38" s="54" t="s">
        <v>415</v>
      </c>
      <c r="D38" s="44">
        <f>'Scope 3 Yearly'!D135*'Yearly BTX'!D130</f>
        <v>13.451993017407323</v>
      </c>
      <c r="E38" s="44">
        <f>'Scope 3 Yearly'!E135*'Yearly BTX'!E130</f>
        <v>13.718738407961016</v>
      </c>
      <c r="F38" s="44">
        <f>'Scope 3 Yearly'!F135*'Yearly BTX'!F130</f>
        <v>13.96118814120878</v>
      </c>
      <c r="G38" s="44">
        <f>'Scope 3 Yearly'!G135*'Yearly BTX'!G130</f>
        <v>14.211692532328579</v>
      </c>
      <c r="H38" s="44">
        <f>'Scope 3 Yearly'!H135*'Yearly BTX'!H130</f>
        <v>14.470634958710859</v>
      </c>
      <c r="I38" s="44">
        <f>'Scope 3 Yearly'!I135*'Yearly BTX'!I130</f>
        <v>14.738293858777849</v>
      </c>
      <c r="J38" s="44">
        <f>'Scope 3 Yearly'!J135*'Yearly BTX'!J130</f>
        <v>14.888829043495143</v>
      </c>
      <c r="K38" s="44">
        <f>'Scope 3 Yearly'!K135*'Yearly BTX'!K130</f>
        <v>15.039862680111302</v>
      </c>
      <c r="L38" s="44">
        <f>'Scope 3 Yearly'!L135*'Yearly BTX'!L130</f>
        <v>15.189158119675644</v>
      </c>
      <c r="M38" s="44">
        <f>'Scope 3 Yearly'!M135*'Yearly BTX'!M130</f>
        <v>15.332445058689887</v>
      </c>
      <c r="N38" s="44">
        <f>'Scope 3 Yearly'!N135*'Yearly BTX'!N130</f>
        <v>15.461991391347768</v>
      </c>
      <c r="O38" s="44">
        <f>'Scope 3 Yearly'!O135*'Yearly BTX'!O130</f>
        <v>15.321427041405526</v>
      </c>
      <c r="P38" s="44">
        <f>'Scope 3 Yearly'!P135*'Yearly BTX'!P130</f>
        <v>15.129875406431847</v>
      </c>
      <c r="Q38" s="44">
        <f>'Scope 3 Yearly'!Q135*'Yearly BTX'!Q130</f>
        <v>14.865072221347267</v>
      </c>
      <c r="R38" s="44">
        <f>'Scope 3 Yearly'!R135*'Yearly BTX'!R130</f>
        <v>14.504621244578443</v>
      </c>
      <c r="S38" s="44">
        <f>'Scope 3 Yearly'!S135*'Yearly BTX'!S130</f>
        <v>14.033874816754539</v>
      </c>
      <c r="T38" s="44">
        <f>'Scope 3 Yearly'!T135*'Yearly BTX'!T130</f>
        <v>13.443499487252394</v>
      </c>
      <c r="U38" s="44">
        <f>'Scope 3 Yearly'!U135*'Yearly BTX'!U130</f>
        <v>12.760086213618047</v>
      </c>
      <c r="V38" s="44">
        <f>'Scope 3 Yearly'!V135*'Yearly BTX'!V130</f>
        <v>12.01673555265959</v>
      </c>
      <c r="W38" s="44">
        <f>'Scope 3 Yearly'!W135*'Yearly BTX'!W130</f>
        <v>11.250021855479575</v>
      </c>
      <c r="X38" s="44">
        <f>'Scope 3 Yearly'!X135*'Yearly BTX'!X130</f>
        <v>10.490688397008155</v>
      </c>
      <c r="Y38" s="44">
        <f>'Scope 3 Yearly'!Y135*'Yearly BTX'!Y130</f>
        <v>9.5887955887000231</v>
      </c>
      <c r="Z38" s="44">
        <f>'Scope 3 Yearly'!Z135*'Yearly BTX'!Z130</f>
        <v>8.7438428618741995</v>
      </c>
      <c r="AA38" s="44">
        <f>'Scope 3 Yearly'!AA135*'Yearly BTX'!AA130</f>
        <v>7.9532258236739821</v>
      </c>
      <c r="AB38" s="44">
        <f>'Scope 3 Yearly'!AB135*'Yearly BTX'!AB130</f>
        <v>7.212271287499151</v>
      </c>
      <c r="AC38" s="44">
        <f>'Scope 3 Yearly'!AC135*'Yearly BTX'!AC130</f>
        <v>6.5145376725367079</v>
      </c>
      <c r="AD38" s="44">
        <f>'Scope 3 Yearly'!AD135*'Yearly BTX'!AD130</f>
        <v>5.8429207305230051</v>
      </c>
      <c r="AE38" s="44">
        <f>'Scope 3 Yearly'!AE135*'Yearly BTX'!AE130</f>
        <v>5.2036210465033657</v>
      </c>
      <c r="AF38" s="44">
        <f>'Scope 3 Yearly'!AF135*'Yearly BTX'!AF130</f>
        <v>4.5914534921612127</v>
      </c>
      <c r="AG38" s="44">
        <f>'Scope 3 Yearly'!AG135*'Yearly BTX'!AG130</f>
        <v>4.0023714235836252</v>
      </c>
      <c r="AH38" s="44">
        <f>'Scope 3 Yearly'!AH135*'Yearly BTX'!AH130</f>
        <v>3.4338013101989269</v>
      </c>
      <c r="AI38" s="44"/>
      <c r="AJ38" s="44">
        <f>'Scope 3 Yearly'!AJ135*'Yearly BTX'!AJ130</f>
        <v>13.451988780091693</v>
      </c>
      <c r="AK38" s="44">
        <f>'Scope 3 Yearly'!AK135*'Yearly BTX'!AK130</f>
        <v>13.71872967150018</v>
      </c>
      <c r="AL38" s="44">
        <f>'Scope 3 Yearly'!AL135*'Yearly BTX'!AL130</f>
        <v>13.961170667235733</v>
      </c>
      <c r="AM38" s="44">
        <f>'Scope 3 Yearly'!AM135*'Yearly BTX'!AM130</f>
        <v>14.211657969963584</v>
      </c>
      <c r="AN38" s="44">
        <f>'Scope 3 Yearly'!AN135*'Yearly BTX'!AN130</f>
        <v>14.470567435014543</v>
      </c>
      <c r="AO38" s="44">
        <f>'Scope 3 Yearly'!AO135*'Yearly BTX'!AO130</f>
        <v>14.738163786327652</v>
      </c>
      <c r="AP38" s="44">
        <f>'Scope 3 Yearly'!AP135*'Yearly BTX'!AP130</f>
        <v>14.888585939755956</v>
      </c>
      <c r="AQ38" s="44">
        <f>'Scope 3 Yearly'!AQ135*'Yearly BTX'!AQ130</f>
        <v>15.039418544349706</v>
      </c>
      <c r="AR38" s="44">
        <f>'Scope 3 Yearly'!AR135*'Yearly BTX'!AR130</f>
        <v>15.188369193708533</v>
      </c>
      <c r="AS38" s="44">
        <f>'Scope 3 Yearly'!AS135*'Yearly BTX'!AS130</f>
        <v>15.331091829636572</v>
      </c>
      <c r="AT38" s="44">
        <f>'Scope 3 Yearly'!AT135*'Yearly BTX'!AT130</f>
        <v>15.459759125609773</v>
      </c>
      <c r="AU38" s="44">
        <f>'Scope 3 Yearly'!AU135*'Yearly BTX'!AU130</f>
        <v>15.31815927744902</v>
      </c>
      <c r="AV38" s="44">
        <f>'Scope 3 Yearly'!AV135*'Yearly BTX'!AV130</f>
        <v>15.125362964010684</v>
      </c>
      <c r="AW38" s="44">
        <f>'Scope 3 Yearly'!AW135*'Yearly BTX'!AW130</f>
        <v>14.859257873722013</v>
      </c>
      <c r="AX38" s="44">
        <f>'Scope 3 Yearly'!AX135*'Yearly BTX'!AX130</f>
        <v>14.497625181646768</v>
      </c>
      <c r="AY38" s="44">
        <f>'Scope 3 Yearly'!AY135*'Yearly BTX'!AY130</f>
        <v>14.025916931594121</v>
      </c>
      <c r="AZ38" s="44">
        <f>'Scope 3 Yearly'!AZ135*'Yearly BTX'!AZ130</f>
        <v>13.434832249973343</v>
      </c>
      <c r="BA38" s="44">
        <f>'Scope 3 Yearly'!BA135*'Yearly BTX'!BA130</f>
        <v>12.750860698355687</v>
      </c>
      <c r="BB38" s="44">
        <f>'Scope 3 Yearly'!BB135*'Yearly BTX'!BB130</f>
        <v>12.007094778418496</v>
      </c>
      <c r="BC38" s="44">
        <f>'Scope 3 Yearly'!BC135*'Yearly BTX'!BC130</f>
        <v>11.24028188119768</v>
      </c>
      <c r="BD38" s="44">
        <f>'Scope 3 Yearly'!BD135*'Yearly BTX'!BD130</f>
        <v>10.481461048801735</v>
      </c>
      <c r="BE38" s="44">
        <f>'Scope 3 Yearly'!BE135*'Yearly BTX'!BE130</f>
        <v>9.5816368006989183</v>
      </c>
      <c r="BF38" s="44">
        <f>'Scope 3 Yearly'!BF135*'Yearly BTX'!BF130</f>
        <v>8.7389195625777667</v>
      </c>
      <c r="BG38" s="44">
        <f>'Scope 3 Yearly'!BG135*'Yearly BTX'!BG130</f>
        <v>7.9517845099372595</v>
      </c>
      <c r="BH38" s="44">
        <f>'Scope 3 Yearly'!BH135*'Yearly BTX'!BH130</f>
        <v>7.2156523344193708</v>
      </c>
      <c r="BI38" s="44">
        <f>'Scope 3 Yearly'!BI135*'Yearly BTX'!BI130</f>
        <v>6.5240727393729445</v>
      </c>
      <c r="BJ38" s="44">
        <f>'Scope 3 Yearly'!BJ135*'Yearly BTX'!BJ130</f>
        <v>5.8600470319681355</v>
      </c>
      <c r="BK38" s="44">
        <f>'Scope 3 Yearly'!BK135*'Yearly BTX'!BK130</f>
        <v>5.2298402554721246</v>
      </c>
      <c r="BL38" s="44">
        <f>'Scope 3 Yearly'!BL135*'Yearly BTX'!BL130</f>
        <v>4.6285373674110817</v>
      </c>
      <c r="BM38" s="44">
        <f>'Scope 3 Yearly'!BM135*'Yearly BTX'!BM130</f>
        <v>4.052386956038089</v>
      </c>
      <c r="BN38" s="44">
        <f>'Scope 3 Yearly'!BN135*'Yearly BTX'!BN130</f>
        <v>3.4989262115006463</v>
      </c>
      <c r="BO38" s="44"/>
      <c r="BP38" s="44">
        <f>'Scope 3 Yearly'!BP135*'Yearly Demand - BTX'!N8</f>
        <v>13.451983094133745</v>
      </c>
      <c r="BQ38" s="44">
        <f>'Scope 3 Yearly'!BQ135*'Yearly Demand - BTX'!O8</f>
        <v>13.947517221730131</v>
      </c>
      <c r="BR38" s="44">
        <f>'Scope 3 Yearly'!BR135*'Yearly Demand - BTX'!P8</f>
        <v>14.457762830286635</v>
      </c>
      <c r="BS38" s="44">
        <f>'Scope 3 Yearly'!BS135*'Yearly Demand - BTX'!Q8</f>
        <v>14.983057047679257</v>
      </c>
      <c r="BT38" s="44">
        <f>'Scope 3 Yearly'!BT135*'Yearly Demand - BTX'!R8</f>
        <v>15.523731172787166</v>
      </c>
      <c r="BU38" s="44">
        <f>'Scope 3 Yearly'!BU135*'Yearly Demand - BTX'!S8</f>
        <v>16.080108454496067</v>
      </c>
      <c r="BV38" s="44">
        <f>'Scope 3 Yearly'!BV135*'Yearly Demand - BTX'!T8</f>
        <v>16.521382625354544</v>
      </c>
      <c r="BW38" s="44">
        <f>'Scope 3 Yearly'!BW135*'Yearly Demand - BTX'!U8</f>
        <v>16.972536607941738</v>
      </c>
      <c r="BX38" s="44">
        <f>'Scope 3 Yearly'!BX135*'Yearly Demand - BTX'!V8</f>
        <v>17.433753481395971</v>
      </c>
      <c r="BY38" s="44">
        <f>'Scope 3 Yearly'!BY135*'Yearly Demand - BTX'!W8</f>
        <v>17.905218858604439</v>
      </c>
      <c r="BZ38" s="44">
        <f>'Scope 3 Yearly'!BZ135*'Yearly Demand - BTX'!X8</f>
        <v>18.38712085153448</v>
      </c>
      <c r="CA38" s="44">
        <f>'Scope 3 Yearly'!CA135*'Yearly Demand - BTX'!Y8</f>
        <v>18.755988422121941</v>
      </c>
      <c r="CB38" s="44">
        <f>'Scope 3 Yearly'!CB135*'Yearly Demand - BTX'!Z8</f>
        <v>19.128556231724055</v>
      </c>
      <c r="CC38" s="44">
        <f>'Scope 3 Yearly'!CC135*'Yearly Demand - BTX'!AA8</f>
        <v>19.504744691661738</v>
      </c>
      <c r="CD38" s="44">
        <f>'Scope 3 Yearly'!CD135*'Yearly Demand - BTX'!AB8</f>
        <v>19.884459184859622</v>
      </c>
      <c r="CE38" s="44">
        <f>'Scope 3 Yearly'!CE135*'Yearly Demand - BTX'!AC8</f>
        <v>20.267588312928563</v>
      </c>
      <c r="CF38" s="44">
        <f>'Scope 3 Yearly'!CF135*'Yearly Demand - BTX'!AD8</f>
        <v>20.646786630929753</v>
      </c>
      <c r="CG38" s="44">
        <f>'Scope 3 Yearly'!CG135*'Yearly Demand - BTX'!AE8</f>
        <v>21.030887650002676</v>
      </c>
      <c r="CH38" s="44">
        <f>'Scope 3 Yearly'!CH135*'Yearly Demand - BTX'!AF8</f>
        <v>21.419935770604905</v>
      </c>
      <c r="CI38" s="44">
        <f>'Scope 3 Yearly'!CI135*'Yearly Demand - BTX'!AG8</f>
        <v>21.81397533288774</v>
      </c>
      <c r="CJ38" s="44">
        <f>'Scope 3 Yearly'!CJ135*'Yearly Demand - BTX'!AH8</f>
        <v>22.213050594620071</v>
      </c>
      <c r="CK38" s="44">
        <f>'Scope 3 Yearly'!CK135*'Yearly Demand - BTX'!AI8</f>
        <v>22.496038654330984</v>
      </c>
      <c r="CL38" s="44">
        <f>'Scope 3 Yearly'!CL135*'Yearly Demand - BTX'!AJ8</f>
        <v>22.780440529222346</v>
      </c>
      <c r="CM38" s="44">
        <f>'Scope 3 Yearly'!CM135*'Yearly Demand - BTX'!AK8</f>
        <v>23.066250234533054</v>
      </c>
      <c r="CN38" s="44">
        <f>'Scope 3 Yearly'!CN135*'Yearly Demand - BTX'!AL8</f>
        <v>23.353461375116495</v>
      </c>
      <c r="CO38" s="44">
        <f>'Scope 3 Yearly'!CO135*'Yearly Demand - BTX'!AM8</f>
        <v>23.642067131441696</v>
      </c>
      <c r="CP38" s="44">
        <f>'Scope 3 Yearly'!CP135*'Yearly Demand - BTX'!AN8</f>
        <v>23.900752401512428</v>
      </c>
      <c r="CQ38" s="44">
        <f>'Scope 3 Yearly'!CQ135*'Yearly Demand - BTX'!AO8</f>
        <v>24.1601103321299</v>
      </c>
      <c r="CR38" s="44">
        <f>'Scope 3 Yearly'!CR135*'Yearly Demand - BTX'!AP8</f>
        <v>24.420129814943685</v>
      </c>
      <c r="CS38" s="44">
        <f>'Scope 3 Yearly'!CS135*'Yearly Demand - BTX'!AQ8</f>
        <v>24.680799353763636</v>
      </c>
      <c r="CT38" s="44">
        <f>'Scope 3 Yearly'!CT135*'Yearly Demand - BTX'!AR8</f>
        <v>24.942107052942738</v>
      </c>
      <c r="CV38" s="44">
        <f>'Scope 3 Yearly'!CV135*'Yearly Demand - BTX'!N8</f>
        <v>13.451990449621471</v>
      </c>
      <c r="CW38" s="44">
        <f>'Scope 3 Yearly'!CW135*'Yearly Demand - BTX'!O8</f>
        <v>13.775193789217328</v>
      </c>
      <c r="CX38" s="44">
        <f>'Scope 3 Yearly'!CX135*'Yearly Demand - BTX'!P8</f>
        <v>14.097890133390157</v>
      </c>
      <c r="CY38" s="44">
        <f>'Scope 3 Yearly'!CY135*'Yearly Demand - BTX'!Q8</f>
        <v>14.430255141072866</v>
      </c>
      <c r="CZ38" s="44">
        <f>'Scope 3 Yearly'!CZ135*'Yearly Demand - BTX'!R8</f>
        <v>14.772355897946326</v>
      </c>
      <c r="DA38" s="44">
        <f>'Scope 3 Yearly'!DA135*'Yearly Demand - BTX'!S8</f>
        <v>15.124117509905481</v>
      </c>
      <c r="DB38" s="44">
        <f>'Scope 3 Yearly'!DB135*'Yearly Demand - BTX'!T8</f>
        <v>15.361667395218999</v>
      </c>
      <c r="DC38" s="44">
        <f>'Scope 3 Yearly'!DC135*'Yearly Demand - BTX'!U8</f>
        <v>15.602635124147485</v>
      </c>
      <c r="DD38" s="44">
        <f>'Scope 3 Yearly'!DD135*'Yearly Demand - BTX'!V8</f>
        <v>15.84473523197393</v>
      </c>
      <c r="DE38" s="44">
        <f>'Scope 3 Yearly'!DE135*'Yearly Demand - BTX'!W8</f>
        <v>16.083542369081101</v>
      </c>
      <c r="DF38" s="44">
        <f>'Scope 3 Yearly'!DF135*'Yearly Demand - BTX'!X8</f>
        <v>16.31097890805421</v>
      </c>
      <c r="DG38" s="44">
        <f>'Scope 3 Yearly'!DG135*'Yearly Demand - BTX'!Y8</f>
        <v>16.342813822410339</v>
      </c>
      <c r="DH38" s="44">
        <f>'Scope 3 Yearly'!DH135*'Yearly Demand - BTX'!Z8</f>
        <v>16.321795356285051</v>
      </c>
      <c r="DI38" s="44">
        <f>'Scope 3 Yearly'!DI135*'Yearly Demand - BTX'!AA8</f>
        <v>16.221824433037597</v>
      </c>
      <c r="DJ38" s="44">
        <f>'Scope 3 Yearly'!DJ135*'Yearly Demand - BTX'!AB8</f>
        <v>16.015113729103749</v>
      </c>
      <c r="DK38" s="44">
        <f>'Scope 3 Yearly'!DK135*'Yearly Demand - BTX'!AC8</f>
        <v>15.680818446778996</v>
      </c>
      <c r="DL38" s="44">
        <f>'Scope 3 Yearly'!DL135*'Yearly Demand - BTX'!AD8</f>
        <v>15.207516838280108</v>
      </c>
      <c r="DM38" s="44">
        <f>'Scope 3 Yearly'!DM135*'Yearly Demand - BTX'!AE8</f>
        <v>14.618399664524141</v>
      </c>
      <c r="DN38" s="44">
        <f>'Scope 3 Yearly'!DN135*'Yearly Demand - BTX'!AF8</f>
        <v>13.946109460835915</v>
      </c>
      <c r="DO38" s="44">
        <f>'Scope 3 Yearly'!DO135*'Yearly Demand - BTX'!AG8</f>
        <v>13.229516175684358</v>
      </c>
      <c r="DP38" s="44">
        <f>'Scope 3 Yearly'!DP135*'Yearly Demand - BTX'!AH8</f>
        <v>12.503189827371243</v>
      </c>
      <c r="DQ38" s="44">
        <f>'Scope 3 Yearly'!DQ135*'Yearly Demand - BTX'!AI8</f>
        <v>11.641261657957413</v>
      </c>
      <c r="DR38" s="44">
        <f>'Scope 3 Yearly'!DR135*'Yearly Demand - BTX'!AJ8</f>
        <v>10.829368833742002</v>
      </c>
      <c r="DS38" s="44">
        <f>'Scope 3 Yearly'!DS135*'Yearly Demand - BTX'!AK8</f>
        <v>10.05948861605598</v>
      </c>
      <c r="DT38" s="44">
        <f>'Scope 3 Yearly'!DT135*'Yearly Demand - BTX'!AL8</f>
        <v>9.3266461232106099</v>
      </c>
      <c r="DU38" s="44">
        <f>'Scope 3 Yearly'!DU135*'Yearly Demand - BTX'!AM8</f>
        <v>8.6241847025674865</v>
      </c>
      <c r="DV38" s="44">
        <f>'Scope 3 Yearly'!DV135*'Yearly Demand - BTX'!AN8</f>
        <v>7.93438774932911</v>
      </c>
      <c r="DW38" s="44">
        <f>'Scope 3 Yearly'!DW135*'Yearly Demand - BTX'!AO8</f>
        <v>7.2623682482630674</v>
      </c>
      <c r="DX38" s="44">
        <f>'Scope 3 Yearly'!DX135*'Yearly Demand - BTX'!AP8</f>
        <v>6.6016340339256674</v>
      </c>
      <c r="DY38" s="44">
        <f>'Scope 3 Yearly'!DY135*'Yearly Demand - BTX'!AQ8</f>
        <v>5.9463407145887679</v>
      </c>
      <c r="DZ38" s="44">
        <f>'Scope 3 Yearly'!DZ135*'Yearly Demand - BTX'!AR8</f>
        <v>5.2914039226552214</v>
      </c>
    </row>
    <row r="39" spans="1:165">
      <c r="A39" t="s">
        <v>9</v>
      </c>
      <c r="C39" s="54" t="s">
        <v>415</v>
      </c>
      <c r="D39" s="44">
        <f>'Scope 3 Yearly'!D158*'Yearly BTX'!D131</f>
        <v>48.079739964236516</v>
      </c>
      <c r="E39" s="44">
        <f>'Scope 3 Yearly'!E158*'Yearly BTX'!E131</f>
        <v>49.033842987283464</v>
      </c>
      <c r="F39" s="44">
        <f>'Scope 3 Yearly'!F158*'Yearly BTX'!F131</f>
        <v>49.901668957233404</v>
      </c>
      <c r="G39" s="44">
        <f>'Scope 3 Yearly'!G158*'Yearly BTX'!G131</f>
        <v>50.798738685470369</v>
      </c>
      <c r="H39" s="44">
        <f>'Scope 3 Yearly'!H158*'Yearly BTX'!H131</f>
        <v>51.726438717169088</v>
      </c>
      <c r="I39" s="44">
        <f>'Scope 3 Yearly'!I158*'Yearly BTX'!I131</f>
        <v>52.685779863070465</v>
      </c>
      <c r="J39" s="44">
        <f>'Scope 3 Yearly'!J158*'Yearly BTX'!J131</f>
        <v>53.226902425098011</v>
      </c>
      <c r="K39" s="44">
        <f>'Scope 3 Yearly'!K158*'Yearly BTX'!K131</f>
        <v>53.77024989535925</v>
      </c>
      <c r="L39" s="44">
        <f>'Scope 3 Yearly'!L158*'Yearly BTX'!L131</f>
        <v>54.307808377177039</v>
      </c>
      <c r="M39" s="44">
        <f>'Scope 3 Yearly'!M158*'Yearly BTX'!M131</f>
        <v>54.824271149853736</v>
      </c>
      <c r="N39" s="44">
        <f>'Scope 3 Yearly'!N158*'Yearly BTX'!N131</f>
        <v>55.291917398519026</v>
      </c>
      <c r="O39" s="44">
        <f>'Scope 3 Yearly'!O158*'Yearly BTX'!O131</f>
        <v>54.79403179642317</v>
      </c>
      <c r="P39" s="44">
        <f>'Scope 3 Yearly'!P158*'Yearly BTX'!P131</f>
        <v>54.113607817737524</v>
      </c>
      <c r="Q39" s="44">
        <f>'Scope 3 Yearly'!Q158*'Yearly BTX'!Q131</f>
        <v>53.170756022130853</v>
      </c>
      <c r="R39" s="44">
        <f>'Scope 3 Yearly'!R158*'Yearly BTX'!R131</f>
        <v>51.885102709626793</v>
      </c>
      <c r="S39" s="44">
        <f>'Scope 3 Yearly'!S158*'Yearly BTX'!S131</f>
        <v>50.204054742803493</v>
      </c>
      <c r="T39" s="44">
        <f>'Scope 3 Yearly'!T158*'Yearly BTX'!T131</f>
        <v>48.09416862669022</v>
      </c>
      <c r="U39" s="44">
        <f>'Scope 3 Yearly'!U158*'Yearly BTX'!U131</f>
        <v>45.650695133500953</v>
      </c>
      <c r="V39" s="44">
        <f>'Scope 3 Yearly'!V158*'Yearly BTX'!V131</f>
        <v>42.992314810076678</v>
      </c>
      <c r="W39" s="44">
        <f>'Scope 3 Yearly'!W158*'Yearly BTX'!W131</f>
        <v>40.250185470101208</v>
      </c>
      <c r="X39" s="44">
        <f>'Scope 3 Yearly'!X158*'Yearly BTX'!X131</f>
        <v>37.534564879850251</v>
      </c>
      <c r="Y39" s="44">
        <f>'Scope 3 Yearly'!Y158*'Yearly BTX'!Y131</f>
        <v>34.309117354726631</v>
      </c>
      <c r="Z39" s="44">
        <f>'Scope 3 Yearly'!Z158*'Yearly BTX'!Z131</f>
        <v>31.288056948503954</v>
      </c>
      <c r="AA39" s="44">
        <f>'Scope 3 Yearly'!AA158*'Yearly BTX'!AA131</f>
        <v>28.461657493990558</v>
      </c>
      <c r="AB39" s="44">
        <f>'Scope 3 Yearly'!AB158*'Yearly BTX'!AB131</f>
        <v>25.813081912207927</v>
      </c>
      <c r="AC39" s="44">
        <f>'Scope 3 Yearly'!AC158*'Yearly BTX'!AC131</f>
        <v>23.319188674320092</v>
      </c>
      <c r="AD39" s="44">
        <f>'Scope 3 Yearly'!AD158*'Yearly BTX'!AD131</f>
        <v>20.918660054872444</v>
      </c>
      <c r="AE39" s="44">
        <f>'Scope 3 Yearly'!AE158*'Yearly BTX'!AE131</f>
        <v>18.633599479307609</v>
      </c>
      <c r="AF39" s="44">
        <f>'Scope 3 Yearly'!AF158*'Yearly BTX'!AF131</f>
        <v>16.445359496717387</v>
      </c>
      <c r="AG39" s="44">
        <f>'Scope 3 Yearly'!AG158*'Yearly BTX'!AG131</f>
        <v>14.339366244880241</v>
      </c>
      <c r="AH39" s="44">
        <f>'Scope 3 Yearly'!AH158*'Yearly BTX'!AH131</f>
        <v>12.306323637522523</v>
      </c>
      <c r="AI39" s="44"/>
      <c r="AJ39" s="44">
        <f>'Scope 3 Yearly'!AJ158*'Yearly BTX'!AJ131</f>
        <v>48.079724702608658</v>
      </c>
      <c r="AK39" s="44">
        <f>'Scope 3 Yearly'!AK158*'Yearly BTX'!AK131</f>
        <v>49.033811513043311</v>
      </c>
      <c r="AL39" s="44">
        <f>'Scope 3 Yearly'!AL158*'Yearly BTX'!AL131</f>
        <v>49.901605987638504</v>
      </c>
      <c r="AM39" s="44">
        <f>'Scope 3 Yearly'!AM158*'Yearly BTX'!AM131</f>
        <v>50.798614098280837</v>
      </c>
      <c r="AN39" s="44">
        <f>'Scope 3 Yearly'!AN158*'Yearly BTX'!AN131</f>
        <v>51.726195233139478</v>
      </c>
      <c r="AO39" s="44">
        <f>'Scope 3 Yearly'!AO158*'Yearly BTX'!AO131</f>
        <v>52.685310660027717</v>
      </c>
      <c r="AP39" s="44">
        <f>'Scope 3 Yearly'!AP158*'Yearly BTX'!AP131</f>
        <v>53.22602507916659</v>
      </c>
      <c r="AQ39" s="44">
        <f>'Scope 3 Yearly'!AQ158*'Yearly BTX'!AQ131</f>
        <v>53.768646138174169</v>
      </c>
      <c r="AR39" s="44">
        <f>'Scope 3 Yearly'!AR158*'Yearly BTX'!AR131</f>
        <v>54.304957641825773</v>
      </c>
      <c r="AS39" s="44">
        <f>'Scope 3 Yearly'!AS158*'Yearly BTX'!AS131</f>
        <v>54.819377143567351</v>
      </c>
      <c r="AT39" s="44">
        <f>'Scope 3 Yearly'!AT158*'Yearly BTX'!AT131</f>
        <v>55.283835444470846</v>
      </c>
      <c r="AU39" s="44">
        <f>'Scope 3 Yearly'!AU158*'Yearly BTX'!AU131</f>
        <v>54.78218273154387</v>
      </c>
      <c r="AV39" s="44">
        <f>'Scope 3 Yearly'!AV158*'Yearly BTX'!AV131</f>
        <v>54.097212168590438</v>
      </c>
      <c r="AW39" s="44">
        <f>'Scope 3 Yearly'!AW158*'Yearly BTX'!AW131</f>
        <v>53.149572690286021</v>
      </c>
      <c r="AX39" s="44">
        <f>'Scope 3 Yearly'!AX158*'Yearly BTX'!AX131</f>
        <v>51.859524973902445</v>
      </c>
      <c r="AY39" s="44">
        <f>'Scope 3 Yearly'!AY158*'Yearly BTX'!AY131</f>
        <v>50.174839954093876</v>
      </c>
      <c r="AZ39" s="44">
        <f>'Scope 3 Yearly'!AZ158*'Yearly BTX'!AZ131</f>
        <v>48.062207748148829</v>
      </c>
      <c r="BA39" s="44">
        <f>'Scope 3 Yearly'!BA158*'Yearly BTX'!BA131</f>
        <v>45.616537809457832</v>
      </c>
      <c r="BB39" s="44">
        <f>'Scope 3 Yearly'!BB158*'Yearly BTX'!BB131</f>
        <v>42.956504395852789</v>
      </c>
      <c r="BC39" s="44">
        <f>'Scope 3 Yearly'!BC158*'Yearly BTX'!BC131</f>
        <v>40.213902386559262</v>
      </c>
      <c r="BD39" s="44">
        <f>'Scope 3 Yearly'!BD158*'Yearly BTX'!BD131</f>
        <v>37.500057730465663</v>
      </c>
      <c r="BE39" s="44">
        <f>'Scope 3 Yearly'!BE158*'Yearly BTX'!BE131</f>
        <v>34.282121492522869</v>
      </c>
      <c r="BF39" s="44">
        <f>'Scope 3 Yearly'!BF158*'Yearly BTX'!BF131</f>
        <v>31.269053008913883</v>
      </c>
      <c r="BG39" s="44">
        <f>'Scope 3 Yearly'!BG158*'Yearly BTX'!BG131</f>
        <v>28.455142519343674</v>
      </c>
      <c r="BH39" s="44">
        <f>'Scope 3 Yearly'!BH158*'Yearly BTX'!BH131</f>
        <v>25.823899855851476</v>
      </c>
      <c r="BI39" s="44">
        <f>'Scope 3 Yearly'!BI158*'Yearly BTX'!BI131</f>
        <v>23.35214622033946</v>
      </c>
      <c r="BJ39" s="44">
        <f>'Scope 3 Yearly'!BJ158*'Yearly BTX'!BJ131</f>
        <v>20.978938719638773</v>
      </c>
      <c r="BK39" s="44">
        <f>'Scope 3 Yearly'!BK158*'Yearly BTX'!BK131</f>
        <v>18.726607907648422</v>
      </c>
      <c r="BL39" s="44">
        <f>'Scope 3 Yearly'!BL158*'Yearly BTX'!BL131</f>
        <v>16.577477222978736</v>
      </c>
      <c r="BM39" s="44">
        <f>'Scope 3 Yearly'!BM158*'Yearly BTX'!BM131</f>
        <v>14.51803946381443</v>
      </c>
      <c r="BN39" s="44">
        <f>'Scope 3 Yearly'!BN158*'Yearly BTX'!BN131</f>
        <v>12.539407304689997</v>
      </c>
      <c r="BO39" s="44"/>
      <c r="BP39" s="44">
        <f>'Scope 3 Yearly'!BP158*'Yearly Demand - BTX'!N9</f>
        <v>48.07970422337565</v>
      </c>
      <c r="BQ39" s="44">
        <f>'Scope 3 Yearly'!BQ158*'Yearly Demand - BTX'!O9</f>
        <v>49.850435403679683</v>
      </c>
      <c r="BR39" s="44">
        <f>'Scope 3 Yearly'!BR158*'Yearly Demand - BTX'!P9</f>
        <v>51.673750691618565</v>
      </c>
      <c r="BS39" s="44">
        <f>'Scope 3 Yearly'!BS158*'Yearly Demand - BTX'!Q9</f>
        <v>53.550855245587158</v>
      </c>
      <c r="BT39" s="44">
        <f>'Scope 3 Yearly'!BT158*'Yearly Demand - BTX'!R9</f>
        <v>55.48293355823882</v>
      </c>
      <c r="BU39" s="44">
        <f>'Scope 3 Yearly'!BU158*'Yearly Demand - BTX'!S9</f>
        <v>57.471141531258546</v>
      </c>
      <c r="BV39" s="44">
        <f>'Scope 3 Yearly'!BV158*'Yearly Demand - BTX'!T9</f>
        <v>59.047955959708567</v>
      </c>
      <c r="BW39" s="44">
        <f>'Scope 3 Yearly'!BW158*'Yearly Demand - BTX'!U9</f>
        <v>60.660074717880939</v>
      </c>
      <c r="BX39" s="44">
        <f>'Scope 3 Yearly'!BX158*'Yearly Demand - BTX'!V9</f>
        <v>62.308152053088904</v>
      </c>
      <c r="BY39" s="44">
        <f>'Scope 3 Yearly'!BY158*'Yearly Demand - BTX'!W9</f>
        <v>63.992851273028691</v>
      </c>
      <c r="BZ39" s="44">
        <f>'Scope 3 Yearly'!BZ158*'Yearly Demand - BTX'!X9</f>
        <v>65.714844622285611</v>
      </c>
      <c r="CA39" s="44">
        <f>'Scope 3 Yearly'!CA158*'Yearly Demand - BTX'!Y9</f>
        <v>67.03286616275679</v>
      </c>
      <c r="CB39" s="44">
        <f>'Scope 3 Yearly'!CB158*'Yearly Demand - BTX'!Z9</f>
        <v>68.364123444721017</v>
      </c>
      <c r="CC39" s="44">
        <f>'Scope 3 Yearly'!CC158*'Yearly Demand - BTX'!AA9</f>
        <v>69.708332613933976</v>
      </c>
      <c r="CD39" s="44">
        <f>'Scope 3 Yearly'!CD158*'Yearly Demand - BTX'!AB9</f>
        <v>71.065156221508687</v>
      </c>
      <c r="CE39" s="44">
        <f>'Scope 3 Yearly'!CE158*'Yearly Demand - BTX'!AC9</f>
        <v>72.434196967346168</v>
      </c>
      <c r="CF39" s="44">
        <f>'Scope 3 Yearly'!CF158*'Yearly Demand - BTX'!AD9</f>
        <v>73.789186860587691</v>
      </c>
      <c r="CG39" s="44">
        <f>'Scope 3 Yearly'!CG158*'Yearly Demand - BTX'!AE9</f>
        <v>75.161696046207794</v>
      </c>
      <c r="CH39" s="44">
        <f>'Scope 3 Yearly'!CH158*'Yearly Demand - BTX'!AF9</f>
        <v>76.55188322999696</v>
      </c>
      <c r="CI39" s="44">
        <f>'Scope 3 Yearly'!CI158*'Yearly Demand - BTX'!AG9</f>
        <v>77.95990690448626</v>
      </c>
      <c r="CJ39" s="44">
        <f>'Scope 3 Yearly'!CJ158*'Yearly Demand - BTX'!AH9</f>
        <v>79.385925270146899</v>
      </c>
      <c r="CK39" s="44">
        <f>'Scope 3 Yearly'!CK158*'Yearly Demand - BTX'!AI9</f>
        <v>80.39706533105182</v>
      </c>
      <c r="CL39" s="44">
        <f>'Scope 3 Yearly'!CL158*'Yearly Demand - BTX'!AJ9</f>
        <v>81.413258310351949</v>
      </c>
      <c r="CM39" s="44">
        <f>'Scope 3 Yearly'!CM158*'Yearly Demand - BTX'!AK9</f>
        <v>82.434482865846164</v>
      </c>
      <c r="CN39" s="44">
        <f>'Scope 3 Yearly'!CN158*'Yearly Demand - BTX'!AL9</f>
        <v>83.460716190190851</v>
      </c>
      <c r="CO39" s="44">
        <f>'Scope 3 Yearly'!CO158*'Yearly Demand - BTX'!AM9</f>
        <v>84.49193396091502</v>
      </c>
      <c r="CP39" s="44">
        <f>'Scope 3 Yearly'!CP158*'Yearly Demand - BTX'!AN9</f>
        <v>85.416222588791328</v>
      </c>
      <c r="CQ39" s="44">
        <f>'Scope 3 Yearly'!CQ158*'Yearly Demand - BTX'!AO9</f>
        <v>86.342916059466873</v>
      </c>
      <c r="CR39" s="44">
        <f>'Scope 3 Yearly'!CR158*'Yearly Demand - BTX'!AP9</f>
        <v>87.271974720860385</v>
      </c>
      <c r="CS39" s="44">
        <f>'Scope 3 Yearly'!CS158*'Yearly Demand - BTX'!AQ9</f>
        <v>88.203357536114865</v>
      </c>
      <c r="CT39" s="44">
        <f>'Scope 3 Yearly'!CT158*'Yearly Demand - BTX'!AR9</f>
        <v>89.137022042115461</v>
      </c>
      <c r="CV39" s="44">
        <f>'Scope 3 Yearly'!CV158*'Yearly Demand - BTX'!N9</f>
        <v>48.079730669795623</v>
      </c>
      <c r="CW39" s="44">
        <f>'Scope 3 Yearly'!CW158*'Yearly Demand - BTX'!O9</f>
        <v>49.235626912259519</v>
      </c>
      <c r="CX39" s="44">
        <f>'Scope 3 Yearly'!CX158*'Yearly Demand - BTX'!P9</f>
        <v>50.390284272109994</v>
      </c>
      <c r="CY39" s="44">
        <f>'Scope 3 Yearly'!CY158*'Yearly Demand - BTX'!Q9</f>
        <v>51.579974961427531</v>
      </c>
      <c r="CZ39" s="44">
        <f>'Scope 3 Yearly'!CZ158*'Yearly Demand - BTX'!R9</f>
        <v>52.804962117909035</v>
      </c>
      <c r="DA39" s="44">
        <f>'Scope 3 Yearly'!DA158*'Yearly Demand - BTX'!S9</f>
        <v>54.065000295853039</v>
      </c>
      <c r="DB39" s="44">
        <f>'Scope 3 Yearly'!DB158*'Yearly Demand - BTX'!T9</f>
        <v>54.917270004295951</v>
      </c>
      <c r="DC39" s="44">
        <f>'Scope 3 Yearly'!DC158*'Yearly Demand - BTX'!U9</f>
        <v>55.782247454541348</v>
      </c>
      <c r="DD39" s="44">
        <f>'Scope 3 Yearly'!DD158*'Yearly Demand - BTX'!V9</f>
        <v>56.651748758827331</v>
      </c>
      <c r="DE39" s="44">
        <f>'Scope 3 Yearly'!DE158*'Yearly Demand - BTX'!W9</f>
        <v>57.509914149154383</v>
      </c>
      <c r="DF39" s="44">
        <f>'Scope 3 Yearly'!DF158*'Yearly Demand - BTX'!X9</f>
        <v>58.327782895229092</v>
      </c>
      <c r="DG39" s="44">
        <f>'Scope 3 Yearly'!DG158*'Yearly Demand - BTX'!Y9</f>
        <v>58.446644727406202</v>
      </c>
      <c r="DH39" s="44">
        <f>'Scope 3 Yearly'!DH158*'Yearly Demand - BTX'!Z9</f>
        <v>58.376359526855111</v>
      </c>
      <c r="DI39" s="44">
        <f>'Scope 3 Yearly'!DI158*'Yearly Demand - BTX'!AA9</f>
        <v>58.023291153954112</v>
      </c>
      <c r="DJ39" s="44">
        <f>'Scope 3 Yearly'!DJ158*'Yearly Demand - BTX'!AB9</f>
        <v>57.28774180840027</v>
      </c>
      <c r="DK39" s="44">
        <f>'Scope 3 Yearly'!DK158*'Yearly Demand - BTX'!AC9</f>
        <v>56.094912434140895</v>
      </c>
      <c r="DL39" s="44">
        <f>'Scope 3 Yearly'!DL158*'Yearly Demand - BTX'!AD9</f>
        <v>54.403870013114336</v>
      </c>
      <c r="DM39" s="44">
        <f>'Scope 3 Yearly'!DM158*'Yearly Demand - BTX'!AE9</f>
        <v>52.297710492661331</v>
      </c>
      <c r="DN39" s="44">
        <f>'Scope 3 Yearly'!DN158*'Yearly Demand - BTX'!AF9</f>
        <v>49.893514536868857</v>
      </c>
      <c r="DO39" s="44">
        <f>'Scope 3 Yearly'!DO158*'Yearly Demand - BTX'!AG9</f>
        <v>47.330709918468152</v>
      </c>
      <c r="DP39" s="44">
        <f>'Scope 3 Yearly'!DP158*'Yearly Demand - BTX'!AH9</f>
        <v>44.733304713371091</v>
      </c>
      <c r="DQ39" s="44">
        <f>'Scope 3 Yearly'!DQ158*'Yearly Demand - BTX'!AI9</f>
        <v>41.651254844896989</v>
      </c>
      <c r="DR39" s="44">
        <f>'Scope 3 Yearly'!DR158*'Yearly Demand - BTX'!AJ9</f>
        <v>38.748972722291086</v>
      </c>
      <c r="DS39" s="44">
        <f>'Scope 3 Yearly'!DS158*'Yearly Demand - BTX'!AK9</f>
        <v>35.997483607800078</v>
      </c>
      <c r="DT39" s="44">
        <f>'Scope 3 Yearly'!DT158*'Yearly Demand - BTX'!AL9</f>
        <v>33.378884281479962</v>
      </c>
      <c r="DU39" s="44">
        <f>'Scope 3 Yearly'!DU158*'Yearly Demand - BTX'!AM9</f>
        <v>30.86925512791392</v>
      </c>
      <c r="DV39" s="44">
        <f>'Scope 3 Yearly'!DV158*'Yearly Demand - BTX'!AN9</f>
        <v>28.405074059237865</v>
      </c>
      <c r="DW39" s="44">
        <f>'Scope 3 Yearly'!DW158*'Yearly Demand - BTX'!AO9</f>
        <v>26.00453202757361</v>
      </c>
      <c r="DX39" s="44">
        <f>'Scope 3 Yearly'!DX158*'Yearly Demand - BTX'!AP9</f>
        <v>23.644284291417339</v>
      </c>
      <c r="DY39" s="44">
        <f>'Scope 3 Yearly'!DY158*'Yearly Demand - BTX'!AQ9</f>
        <v>21.303300125941774</v>
      </c>
      <c r="DZ39" s="44">
        <f>'Scope 3 Yearly'!DZ158*'Yearly Demand - BTX'!AR9</f>
        <v>18.963266153403971</v>
      </c>
    </row>
    <row r="40" spans="1:165" ht="16" thickBot="1">
      <c r="A40" t="s">
        <v>10</v>
      </c>
      <c r="C40" s="54" t="s">
        <v>415</v>
      </c>
      <c r="D40" s="44">
        <f>'Scope 3 Yearly'!D181*'Yearly Butadiene'!D76</f>
        <v>14.735472933865545</v>
      </c>
      <c r="E40" s="44">
        <f>'Scope 3 Yearly'!E181*'Yearly Butadiene'!E76</f>
        <v>15.068938717053021</v>
      </c>
      <c r="F40" s="44">
        <f>'Scope 3 Yearly'!F181*'Yearly Butadiene'!F76</f>
        <v>15.413303537480237</v>
      </c>
      <c r="G40" s="44">
        <f>'Scope 3 Yearly'!G181*'Yearly Butadiene'!G76</f>
        <v>15.769065663635534</v>
      </c>
      <c r="H40" s="44">
        <f>'Scope 3 Yearly'!H181*'Yearly Butadiene'!H76</f>
        <v>16.136674538270615</v>
      </c>
      <c r="I40" s="44">
        <f>'Scope 3 Yearly'!I181*'Yearly Butadiene'!I76</f>
        <v>16.516426086647833</v>
      </c>
      <c r="J40" s="44">
        <f>'Scope 3 Yearly'!J181*'Yearly Butadiene'!J76</f>
        <v>16.884200527691835</v>
      </c>
      <c r="K40" s="44">
        <f>'Scope 3 Yearly'!K181*'Yearly Butadiene'!K76</f>
        <v>17.26046294761467</v>
      </c>
      <c r="L40" s="44">
        <f>'Scope 3 Yearly'!L181*'Yearly Butadiene'!L76</f>
        <v>17.642418184056545</v>
      </c>
      <c r="M40" s="44">
        <f>'Scope 3 Yearly'!M181*'Yearly Butadiene'!M76</f>
        <v>18.024397233195401</v>
      </c>
      <c r="N40" s="44">
        <f>'Scope 3 Yearly'!N181*'Yearly Butadiene'!N76</f>
        <v>18.39933344931185</v>
      </c>
      <c r="O40" s="44">
        <f>'Scope 3 Yearly'!O181*'Yearly Butadiene'!O76</f>
        <v>18.684744627219033</v>
      </c>
      <c r="P40" s="44">
        <f>'Scope 3 Yearly'!P181*'Yearly Butadiene'!P76</f>
        <v>18.916708139648776</v>
      </c>
      <c r="Q40" s="44">
        <f>'Scope 3 Yearly'!Q181*'Yearly Butadiene'!Q76</f>
        <v>19.05526305822573</v>
      </c>
      <c r="R40" s="44">
        <f>'Scope 3 Yearly'!R181*'Yearly Butadiene'!R76</f>
        <v>19.060275520998381</v>
      </c>
      <c r="S40" s="44">
        <f>'Scope 3 Yearly'!S181*'Yearly Butadiene'!S76</f>
        <v>18.89923909438183</v>
      </c>
      <c r="T40" s="44">
        <f>'Scope 3 Yearly'!T181*'Yearly Butadiene'!T76</f>
        <v>18.374987521028658</v>
      </c>
      <c r="U40" s="44">
        <f>'Scope 3 Yearly'!U181*'Yearly Butadiene'!U76</f>
        <v>17.69813578126502</v>
      </c>
      <c r="V40" s="44">
        <f>'Scope 3 Yearly'!V181*'Yearly Butadiene'!V76</f>
        <v>16.913127947278578</v>
      </c>
      <c r="W40" s="44">
        <f>'Scope 3 Yearly'!W181*'Yearly Butadiene'!W76</f>
        <v>16.073368634170873</v>
      </c>
      <c r="X40" s="44">
        <f>'Scope 3 Yearly'!X181*'Yearly Butadiene'!X76</f>
        <v>15.349194285167544</v>
      </c>
      <c r="Y40" s="44">
        <f>'Scope 3 Yearly'!Y181*'Yearly Butadiene'!Y76</f>
        <v>14.392770225558216</v>
      </c>
      <c r="Z40" s="44">
        <f>'Scope 3 Yearly'!Z181*'Yearly Butadiene'!Z76</f>
        <v>13.60461409257719</v>
      </c>
      <c r="AA40" s="44">
        <f>'Scope 3 Yearly'!AA181*'Yearly Butadiene'!AA76</f>
        <v>12.867040896299477</v>
      </c>
      <c r="AB40" s="44">
        <f>'Scope 3 Yearly'!AB181*'Yearly Butadiene'!AB76</f>
        <v>12.176591446876385</v>
      </c>
      <c r="AC40" s="44">
        <f>'Scope 3 Yearly'!AC181*'Yearly Butadiene'!AC76</f>
        <v>11.525441898008745</v>
      </c>
      <c r="AD40" s="44">
        <f>'Scope 3 Yearly'!AD181*'Yearly Butadiene'!AD76</f>
        <v>10.896750033125278</v>
      </c>
      <c r="AE40" s="44">
        <f>'Scope 3 Yearly'!AE181*'Yearly Butadiene'!AE76</f>
        <v>10.289423225362164</v>
      </c>
      <c r="AF40" s="44">
        <f>'Scope 3 Yearly'!AF181*'Yearly Butadiene'!AF76</f>
        <v>9.6952505063719894</v>
      </c>
      <c r="AG40" s="44">
        <f>'Scope 3 Yearly'!AG181*'Yearly Butadiene'!AG76</f>
        <v>9.1076858980732993</v>
      </c>
      <c r="AH40" s="44">
        <f>'Scope 3 Yearly'!AH181*'Yearly Butadiene'!AH76</f>
        <v>8.7069788652850892</v>
      </c>
      <c r="AI40" s="44"/>
      <c r="AJ40" s="44">
        <f>'Scope 3 Yearly'!AJ181*'Yearly Butadiene'!AJ76</f>
        <v>14.735472933865545</v>
      </c>
      <c r="AK40" s="44">
        <f>'Scope 3 Yearly'!AK181*'Yearly Butadiene'!AK76</f>
        <v>15.068938717053021</v>
      </c>
      <c r="AL40" s="44">
        <f>'Scope 3 Yearly'!AL181*'Yearly Butadiene'!AL76</f>
        <v>15.413303537480237</v>
      </c>
      <c r="AM40" s="44">
        <f>'Scope 3 Yearly'!AM181*'Yearly Butadiene'!AM76</f>
        <v>15.769065663635534</v>
      </c>
      <c r="AN40" s="44">
        <f>'Scope 3 Yearly'!AN181*'Yearly Butadiene'!AN76</f>
        <v>16.136674538270615</v>
      </c>
      <c r="AO40" s="44">
        <f>'Scope 3 Yearly'!AO181*'Yearly Butadiene'!AO76</f>
        <v>16.516426086647833</v>
      </c>
      <c r="AP40" s="44">
        <f>'Scope 3 Yearly'!AP181*'Yearly Butadiene'!AP76</f>
        <v>16.884200527691835</v>
      </c>
      <c r="AQ40" s="44">
        <f>'Scope 3 Yearly'!AQ181*'Yearly Butadiene'!AQ76</f>
        <v>17.26046294761467</v>
      </c>
      <c r="AR40" s="44">
        <f>'Scope 3 Yearly'!AR181*'Yearly Butadiene'!AR76</f>
        <v>17.642418184056545</v>
      </c>
      <c r="AS40" s="44">
        <f>'Scope 3 Yearly'!AS181*'Yearly Butadiene'!AS76</f>
        <v>18.024397233195401</v>
      </c>
      <c r="AT40" s="44">
        <f>'Scope 3 Yearly'!AT181*'Yearly Butadiene'!AT76</f>
        <v>18.39933344931185</v>
      </c>
      <c r="AU40" s="44">
        <f>'Scope 3 Yearly'!AU181*'Yearly Butadiene'!AU76</f>
        <v>18.684744627219033</v>
      </c>
      <c r="AV40" s="44">
        <f>'Scope 3 Yearly'!AV181*'Yearly Butadiene'!AV76</f>
        <v>18.916708139648776</v>
      </c>
      <c r="AW40" s="44">
        <f>'Scope 3 Yearly'!AW181*'Yearly Butadiene'!AW76</f>
        <v>19.05526305822573</v>
      </c>
      <c r="AX40" s="44">
        <f>'Scope 3 Yearly'!AX181*'Yearly Butadiene'!AX76</f>
        <v>19.060275520998381</v>
      </c>
      <c r="AY40" s="44">
        <f>'Scope 3 Yearly'!AY181*'Yearly Butadiene'!AY76</f>
        <v>18.89923909438183</v>
      </c>
      <c r="AZ40" s="44">
        <f>'Scope 3 Yearly'!AZ181*'Yearly Butadiene'!AZ76</f>
        <v>18.374987521028658</v>
      </c>
      <c r="BA40" s="44">
        <f>'Scope 3 Yearly'!BA181*'Yearly Butadiene'!BA76</f>
        <v>17.69813578126502</v>
      </c>
      <c r="BB40" s="44">
        <f>'Scope 3 Yearly'!BB181*'Yearly Butadiene'!BB76</f>
        <v>16.913127947278578</v>
      </c>
      <c r="BC40" s="44">
        <f>'Scope 3 Yearly'!BC181*'Yearly Butadiene'!BC76</f>
        <v>16.073368634170873</v>
      </c>
      <c r="BD40" s="44">
        <f>'Scope 3 Yearly'!BD181*'Yearly Butadiene'!BD76</f>
        <v>15.349194285167544</v>
      </c>
      <c r="BE40" s="44">
        <f>'Scope 3 Yearly'!BE181*'Yearly Butadiene'!BE76</f>
        <v>14.392770225558216</v>
      </c>
      <c r="BF40" s="44">
        <f>'Scope 3 Yearly'!BF181*'Yearly Butadiene'!BF76</f>
        <v>13.60461409257719</v>
      </c>
      <c r="BG40" s="44">
        <f>'Scope 3 Yearly'!BG181*'Yearly Butadiene'!BG76</f>
        <v>12.867040896299477</v>
      </c>
      <c r="BH40" s="44">
        <f>'Scope 3 Yearly'!BH181*'Yearly Butadiene'!BH76</f>
        <v>12.176591446876385</v>
      </c>
      <c r="BI40" s="44">
        <f>'Scope 3 Yearly'!BI181*'Yearly Butadiene'!BI76</f>
        <v>11.525441898008745</v>
      </c>
      <c r="BJ40" s="44">
        <f>'Scope 3 Yearly'!BJ181*'Yearly Butadiene'!BJ76</f>
        <v>10.896750033125278</v>
      </c>
      <c r="BK40" s="44">
        <f>'Scope 3 Yearly'!BK181*'Yearly Butadiene'!BK76</f>
        <v>10.289423225362164</v>
      </c>
      <c r="BL40" s="44">
        <f>'Scope 3 Yearly'!BL181*'Yearly Butadiene'!BL76</f>
        <v>9.6952505063719894</v>
      </c>
      <c r="BM40" s="44">
        <f>'Scope 3 Yearly'!BM181*'Yearly Butadiene'!BM76</f>
        <v>9.1076858980732993</v>
      </c>
      <c r="BN40" s="44">
        <f>'Scope 3 Yearly'!BN181*'Yearly Butadiene'!BN76</f>
        <v>8.7069788652850892</v>
      </c>
      <c r="BO40" s="44"/>
      <c r="BP40" s="44">
        <f>'Scope 3 Yearly'!BP181*'Yearly Butadiene'!D4</f>
        <v>14.735472933865545</v>
      </c>
      <c r="BQ40" s="44">
        <f>'Scope 3 Yearly'!BQ181*'Yearly Butadiene'!E4</f>
        <v>15.29532762252926</v>
      </c>
      <c r="BR40" s="44">
        <f>'Scope 3 Yearly'!BR181*'Yearly Butadiene'!F4</f>
        <v>15.873364004479576</v>
      </c>
      <c r="BS40" s="44">
        <f>'Scope 3 Yearly'!BS181*'Yearly Butadiene'!G4</f>
        <v>16.470095801341042</v>
      </c>
      <c r="BT40" s="44">
        <f>'Scope 3 Yearly'!BT181*'Yearly Butadiene'!H4</f>
        <v>17.086043094380727</v>
      </c>
      <c r="BU40" s="44">
        <f>'Scope 3 Yearly'!BU181*'Yearly Butadiene'!I4</f>
        <v>17.721731269922113</v>
      </c>
      <c r="BV40" s="44">
        <f>'Scope 3 Yearly'!BV181*'Yearly Butadiene'!J4</f>
        <v>18.354289613314073</v>
      </c>
      <c r="BW40" s="44">
        <f>'Scope 3 Yearly'!BW181*'Yearly Butadiene'!K4</f>
        <v>19.007008319121962</v>
      </c>
      <c r="BX40" s="44">
        <f>'Scope 3 Yearly'!BX181*'Yearly Butadiene'!L4</f>
        <v>19.680480062770371</v>
      </c>
      <c r="BY40" s="44">
        <f>'Scope 3 Yearly'!BY181*'Yearly Butadiene'!M4</f>
        <v>20.375313725485256</v>
      </c>
      <c r="BZ40" s="44">
        <f>'Scope 3 Yearly'!BZ181*'Yearly Butadiene'!N4</f>
        <v>21.092134776208542</v>
      </c>
      <c r="CA40" s="44">
        <f>'Scope 3 Yearly'!CA181*'Yearly Butadiene'!O4</f>
        <v>21.768689106879201</v>
      </c>
      <c r="CB40" s="44">
        <f>'Scope 3 Yearly'!CB181*'Yearly Butadiene'!P4</f>
        <v>22.463479900776964</v>
      </c>
      <c r="CC40" s="44">
        <f>'Scope 3 Yearly'!CC181*'Yearly Butadiene'!Q4</f>
        <v>23.176892191906969</v>
      </c>
      <c r="CD40" s="44">
        <f>'Scope 3 Yearly'!CD181*'Yearly Butadiene'!R4</f>
        <v>23.909308912844793</v>
      </c>
      <c r="CE40" s="44">
        <f>'Scope 3 Yearly'!CE181*'Yearly Butadiene'!S4</f>
        <v>24.661109358035819</v>
      </c>
      <c r="CF40" s="44">
        <f>'Scope 3 Yearly'!CF181*'Yearly Butadiene'!T4</f>
        <v>25.193797929681029</v>
      </c>
      <c r="CG40" s="44">
        <f>'Scope 3 Yearly'!CG181*'Yearly Butadiene'!U4</f>
        <v>25.735373402250062</v>
      </c>
      <c r="CH40" s="44">
        <f>'Scope 3 Yearly'!CH181*'Yearly Butadiene'!V4</f>
        <v>26.2859616616369</v>
      </c>
      <c r="CI40" s="44">
        <f>'Scope 3 Yearly'!CI181*'Yearly Butadiene'!W4</f>
        <v>26.845689978901042</v>
      </c>
      <c r="CJ40" s="44">
        <f>'Scope 3 Yearly'!CJ181*'Yearly Butadiene'!X4</f>
        <v>27.414687011779375</v>
      </c>
      <c r="CK40" s="44">
        <f>'Scope 3 Yearly'!CK181*'Yearly Butadiene'!Y4</f>
        <v>27.968142148170688</v>
      </c>
      <c r="CL40" s="44">
        <f>'Scope 3 Yearly'!CL181*'Yearly Butadiene'!Z4</f>
        <v>28.530112011528374</v>
      </c>
      <c r="CM40" s="44">
        <f>'Scope 3 Yearly'!CM181*'Yearly Butadiene'!AA4</f>
        <v>29.100705943089817</v>
      </c>
      <c r="CN40" s="44">
        <f>'Scope 3 Yearly'!CN181*'Yearly Butadiene'!AB4</f>
        <v>29.680034292309507</v>
      </c>
      <c r="CO40" s="44">
        <f>'Scope 3 Yearly'!CO181*'Yearly Butadiene'!AC4</f>
        <v>30.268208412255003</v>
      </c>
      <c r="CP40" s="44">
        <f>'Scope 3 Yearly'!CP181*'Yearly Butadiene'!AD4</f>
        <v>30.846027332335712</v>
      </c>
      <c r="CQ40" s="44">
        <f>'Scope 3 Yearly'!CQ181*'Yearly Butadiene'!AE4</f>
        <v>31.4321809448188</v>
      </c>
      <c r="CR40" s="44">
        <f>'Scope 3 Yearly'!CR181*'Yearly Butadiene'!AF4</f>
        <v>32.026767966460888</v>
      </c>
      <c r="CS40" s="44">
        <f>'Scope 3 Yearly'!CS181*'Yearly Butadiene'!AG4</f>
        <v>32.629887877040552</v>
      </c>
      <c r="CT40" s="44">
        <f>'Scope 3 Yearly'!CT181*'Yearly Butadiene'!AH4</f>
        <v>33.241640910776709</v>
      </c>
      <c r="CV40" s="44">
        <f>'Scope 3 Yearly'!CV181*'Yearly Butadiene'!D4</f>
        <v>14.735472933865545</v>
      </c>
      <c r="CW40" s="44">
        <f>'Scope 3 Yearly'!CW181*'Yearly Butadiene'!E4</f>
        <v>15.114670083728338</v>
      </c>
      <c r="CX40" s="44">
        <f>'Scope 3 Yearly'!CX181*'Yearly Butadiene'!F4</f>
        <v>15.506715456577878</v>
      </c>
      <c r="CY40" s="44">
        <f>'Scope 3 Yearly'!CY181*'Yearly Butadiene'!G4</f>
        <v>15.91188911185797</v>
      </c>
      <c r="CZ40" s="44">
        <f>'Scope 3 Yearly'!CZ181*'Yearly Butadiene'!H4</f>
        <v>16.330392607429143</v>
      </c>
      <c r="DA40" s="44">
        <f>'Scope 3 Yearly'!DA181*'Yearly Butadiene'!I4</f>
        <v>16.762250186380729</v>
      </c>
      <c r="DB40" s="44">
        <f>'Scope 3 Yearly'!DB181*'Yearly Butadiene'!J4</f>
        <v>17.184259491093307</v>
      </c>
      <c r="DC40" s="44">
        <f>'Scope 3 Yearly'!DC181*'Yearly Butadiene'!K4</f>
        <v>17.616931955793092</v>
      </c>
      <c r="DD40" s="44">
        <f>'Scope 3 Yearly'!DD181*'Yearly Butadiene'!L4</f>
        <v>18.057515299207136</v>
      </c>
      <c r="DE40" s="44">
        <f>'Scope 3 Yearly'!DE181*'Yearly Butadiene'!M4</f>
        <v>18.50036220863463</v>
      </c>
      <c r="DF40" s="44">
        <f>'Scope 3 Yearly'!DF181*'Yearly Butadiene'!N4</f>
        <v>18.934837086263236</v>
      </c>
      <c r="DG40" s="44">
        <f>'Scope 3 Yearly'!DG181*'Yearly Butadiene'!O4</f>
        <v>19.287580210719966</v>
      </c>
      <c r="DH40" s="44">
        <f>'Scope 3 Yearly'!DH181*'Yearly Butadiene'!P4</f>
        <v>19.583280268330931</v>
      </c>
      <c r="DI40" s="44">
        <f>'Scope 3 Yearly'!DI181*'Yearly Butadiene'!Q4</f>
        <v>19.784057239518052</v>
      </c>
      <c r="DJ40" s="44">
        <f>'Scope 3 Yearly'!DJ181*'Yearly Butadiene'!R4</f>
        <v>19.847788881104652</v>
      </c>
      <c r="DK40" s="44">
        <f>'Scope 3 Yearly'!DK181*'Yearly Butadiene'!S4</f>
        <v>19.739317623377957</v>
      </c>
      <c r="DL40" s="44">
        <f>'Scope 3 Yearly'!DL181*'Yearly Butadiene'!T4</f>
        <v>19.260679127889816</v>
      </c>
      <c r="DM40" s="44">
        <f>'Scope 3 Yearly'!DM181*'Yearly Butadiene'!U4</f>
        <v>18.620468749822059</v>
      </c>
      <c r="DN40" s="44">
        <f>'Scope 3 Yearly'!DN181*'Yearly Butadiene'!V4</f>
        <v>17.862282813271175</v>
      </c>
      <c r="DO40" s="44">
        <f>'Scope 3 Yearly'!DO181*'Yearly Butadiene'!W4</f>
        <v>17.040030181297386</v>
      </c>
      <c r="DP40" s="44">
        <f>'Scope 3 Yearly'!DP181*'Yearly Butadiene'!X4</f>
        <v>16.202984692676363</v>
      </c>
      <c r="DQ40" s="44">
        <f>'Scope 3 Yearly'!DQ181*'Yearly Butadiene'!Y4</f>
        <v>15.372785823081321</v>
      </c>
      <c r="DR40" s="44">
        <f>'Scope 3 Yearly'!DR181*'Yearly Butadiene'!Z4</f>
        <v>14.584038588977009</v>
      </c>
      <c r="DS40" s="44">
        <f>'Scope 3 Yearly'!DS181*'Yearly Butadiene'!AA4</f>
        <v>13.842558985030214</v>
      </c>
      <c r="DT40" s="44">
        <f>'Scope 3 Yearly'!DT181*'Yearly Butadiene'!AB4</f>
        <v>13.146131528576499</v>
      </c>
      <c r="DU40" s="44">
        <f>'Scope 3 Yearly'!DU181*'Yearly Butadiene'!AC4</f>
        <v>12.487552321438894</v>
      </c>
      <c r="DV40" s="44">
        <f>'Scope 3 Yearly'!DV181*'Yearly Butadiene'!AD4</f>
        <v>11.850440279827859</v>
      </c>
      <c r="DW40" s="44">
        <f>'Scope 3 Yearly'!DW181*'Yearly Butadiene'!AE4</f>
        <v>11.234016684550816</v>
      </c>
      <c r="DX40" s="44">
        <f>'Scope 3 Yearly'!DX181*'Yearly Butadiene'!AF4</f>
        <v>10.630156329058973</v>
      </c>
      <c r="DY40" s="44">
        <f>'Scope 3 Yearly'!DY181*'Yearly Butadiene'!AG4</f>
        <v>10.031954181239101</v>
      </c>
      <c r="DZ40" s="44">
        <f>'Scope 3 Yearly'!DZ181*'Yearly Butadiene'!AH4</f>
        <v>9.433755093707294</v>
      </c>
    </row>
    <row r="41" spans="1:165" s="488" customFormat="1" ht="16" thickBot="1">
      <c r="A41" s="185" t="s">
        <v>67</v>
      </c>
      <c r="C41" s="639" t="s">
        <v>415</v>
      </c>
      <c r="D41" s="640">
        <f>SUM(D33:D40)</f>
        <v>939.92157526824428</v>
      </c>
      <c r="E41" s="640">
        <f t="shared" ref="E41:AH41" si="39">SUM(E33:E40)</f>
        <v>944.92529952313009</v>
      </c>
      <c r="F41" s="640">
        <f t="shared" si="39"/>
        <v>948.64515426393893</v>
      </c>
      <c r="G41" s="640">
        <f t="shared" si="39"/>
        <v>950.6101301237868</v>
      </c>
      <c r="H41" s="640">
        <f t="shared" si="39"/>
        <v>955.45837983074671</v>
      </c>
      <c r="I41" s="640">
        <f t="shared" si="39"/>
        <v>960.77556532252265</v>
      </c>
      <c r="J41" s="640">
        <f t="shared" si="39"/>
        <v>951.77549863285799</v>
      </c>
      <c r="K41" s="640">
        <f t="shared" si="39"/>
        <v>941.88373185824253</v>
      </c>
      <c r="L41" s="640">
        <f t="shared" si="39"/>
        <v>934.6284125808279</v>
      </c>
      <c r="M41" s="640">
        <f t="shared" si="39"/>
        <v>924.6812927945449</v>
      </c>
      <c r="N41" s="640">
        <f t="shared" si="39"/>
        <v>913.61342467032125</v>
      </c>
      <c r="O41" s="640">
        <f t="shared" si="39"/>
        <v>873.0455827146634</v>
      </c>
      <c r="P41" s="640">
        <f t="shared" si="39"/>
        <v>835.01924919642204</v>
      </c>
      <c r="Q41" s="640">
        <f t="shared" si="39"/>
        <v>799.07303794684219</v>
      </c>
      <c r="R41" s="640">
        <f t="shared" si="39"/>
        <v>761.56310759404232</v>
      </c>
      <c r="S41" s="640">
        <f t="shared" si="39"/>
        <v>723.3809071127456</v>
      </c>
      <c r="T41" s="640">
        <f t="shared" si="39"/>
        <v>676.67421852414066</v>
      </c>
      <c r="U41" s="640">
        <f t="shared" si="39"/>
        <v>632.07035932310043</v>
      </c>
      <c r="V41" s="640">
        <f t="shared" si="39"/>
        <v>589.09035794948124</v>
      </c>
      <c r="W41" s="640">
        <f t="shared" si="39"/>
        <v>548.89926053406191</v>
      </c>
      <c r="X41" s="640">
        <f t="shared" si="39"/>
        <v>511.365878710586</v>
      </c>
      <c r="Y41" s="640">
        <f t="shared" si="39"/>
        <v>472.88211486919272</v>
      </c>
      <c r="Z41" s="640">
        <f t="shared" si="39"/>
        <v>437.95890716269412</v>
      </c>
      <c r="AA41" s="640">
        <f t="shared" si="39"/>
        <v>406.04625951664207</v>
      </c>
      <c r="AB41" s="640">
        <f t="shared" si="39"/>
        <v>376.99090152699046</v>
      </c>
      <c r="AC41" s="640">
        <f t="shared" si="39"/>
        <v>350.024667777964</v>
      </c>
      <c r="AD41" s="640">
        <f t="shared" si="39"/>
        <v>325.13740175989977</v>
      </c>
      <c r="AE41" s="640">
        <f t="shared" si="39"/>
        <v>301.39596615638084</v>
      </c>
      <c r="AF41" s="640">
        <f t="shared" si="39"/>
        <v>278.638922480416</v>
      </c>
      <c r="AG41" s="640">
        <f t="shared" si="39"/>
        <v>256.400638344409</v>
      </c>
      <c r="AH41" s="640">
        <f t="shared" si="39"/>
        <v>234.75594345520102</v>
      </c>
      <c r="AI41" s="640"/>
      <c r="AJ41" s="640">
        <f t="shared" ref="AJ41" si="40">SUM(AJ33:AJ40)</f>
        <v>939.92141136968519</v>
      </c>
      <c r="AK41" s="640">
        <f t="shared" ref="AK41" si="41">SUM(AK33:AK40)</f>
        <v>944.20927333547081</v>
      </c>
      <c r="AL41" s="640">
        <f t="shared" ref="AL41" si="42">SUM(AL33:AL40)</f>
        <v>948.27728150186522</v>
      </c>
      <c r="AM41" s="640">
        <f t="shared" ref="AM41" si="43">SUM(AM33:AM40)</f>
        <v>950.70021182431287</v>
      </c>
      <c r="AN41" s="640">
        <f t="shared" ref="AN41" si="44">SUM(AN33:AN40)</f>
        <v>956.07129812724258</v>
      </c>
      <c r="AO41" s="640">
        <f t="shared" ref="AO41" si="45">SUM(AO33:AO40)</f>
        <v>961.98387167709348</v>
      </c>
      <c r="AP41" s="640">
        <f t="shared" ref="AP41" si="46">SUM(AP33:AP40)</f>
        <v>955.78331994362657</v>
      </c>
      <c r="AQ41" s="640">
        <f t="shared" ref="AQ41" si="47">SUM(AQ33:AQ40)</f>
        <v>948.68787181895391</v>
      </c>
      <c r="AR41" s="640">
        <f t="shared" ref="AR41" si="48">SUM(AR33:AR40)</f>
        <v>944.19623402731042</v>
      </c>
      <c r="AS41" s="640">
        <f t="shared" ref="AS41" si="49">SUM(AS33:AS40)</f>
        <v>936.97583226434574</v>
      </c>
      <c r="AT41" s="640">
        <f t="shared" ref="AT41" si="50">SUM(AT33:AT40)</f>
        <v>928.56222862601862</v>
      </c>
      <c r="AU41" s="640">
        <f t="shared" ref="AU41" si="51">SUM(AU33:AU40)</f>
        <v>890.39004763343439</v>
      </c>
      <c r="AV41" s="640">
        <f t="shared" ref="AV41" si="52">SUM(AV33:AV40)</f>
        <v>854.38906124374455</v>
      </c>
      <c r="AW41" s="640">
        <f t="shared" ref="AW41" si="53">SUM(AW33:AW40)</f>
        <v>820.25407046270766</v>
      </c>
      <c r="AX41" s="640">
        <f t="shared" ref="AX41" si="54">SUM(AX33:AX40)</f>
        <v>784.32647578006049</v>
      </c>
      <c r="AY41" s="640">
        <f t="shared" ref="AY41" si="55">SUM(AY33:AY40)</f>
        <v>747.66224520472065</v>
      </c>
      <c r="AZ41" s="640">
        <f t="shared" ref="AZ41" si="56">SUM(AZ33:AZ40)</f>
        <v>702.11100208947221</v>
      </c>
      <c r="BA41" s="640">
        <f t="shared" ref="BA41" si="57">SUM(BA33:BA40)</f>
        <v>658.66584146527407</v>
      </c>
      <c r="BB41" s="640">
        <f t="shared" ref="BB41" si="58">SUM(BB33:BB40)</f>
        <v>616.82782099215638</v>
      </c>
      <c r="BC41" s="640">
        <f t="shared" ref="BC41" si="59">SUM(BC33:BC40)</f>
        <v>577.86287527480306</v>
      </c>
      <c r="BD41" s="640">
        <f t="shared" ref="BD41" si="60">SUM(BD33:BD40)</f>
        <v>541.53671990320424</v>
      </c>
      <c r="BE41" s="640">
        <f t="shared" ref="BE41" si="61">SUM(BE33:BE40)</f>
        <v>504.384010655596</v>
      </c>
      <c r="BF41" s="640">
        <f t="shared" ref="BF41" si="62">SUM(BF33:BF40)</f>
        <v>470.83779378625684</v>
      </c>
      <c r="BG41" s="640">
        <f t="shared" ref="BG41" si="63">SUM(BG33:BG40)</f>
        <v>440.34549938688156</v>
      </c>
      <c r="BH41" s="640">
        <f t="shared" ref="BH41" si="64">SUM(BH33:BH40)</f>
        <v>412.82435630345225</v>
      </c>
      <c r="BI41" s="640">
        <f t="shared" ref="BI41" si="65">SUM(BI33:BI40)</f>
        <v>387.42306642054427</v>
      </c>
      <c r="BJ41" s="640">
        <f t="shared" ref="BJ41" si="66">SUM(BJ33:BJ40)</f>
        <v>364.2156681776313</v>
      </c>
      <c r="BK41" s="640">
        <f t="shared" ref="BK41" si="67">SUM(BK33:BK40)</f>
        <v>342.17194546485047</v>
      </c>
      <c r="BL41" s="640">
        <f t="shared" ref="BL41" si="68">SUM(BL33:BL40)</f>
        <v>321.16371879430864</v>
      </c>
      <c r="BM41" s="640">
        <f t="shared" ref="BM41" si="69">SUM(BM33:BM40)</f>
        <v>300.65838376950876</v>
      </c>
      <c r="BN41" s="640">
        <f t="shared" ref="BN41" si="70">SUM(BN33:BN40)</f>
        <v>280.81730300639634</v>
      </c>
      <c r="BO41" s="640"/>
      <c r="BP41" s="640">
        <f t="shared" ref="BP41" si="71">SUM(BP33:BP40)</f>
        <v>939.92423310721131</v>
      </c>
      <c r="BQ41" s="640">
        <f t="shared" ref="BQ41" si="72">SUM(BQ33:BQ40)</f>
        <v>971.61539883020794</v>
      </c>
      <c r="BR41" s="640">
        <f t="shared" ref="BR41" si="73">SUM(BR33:BR40)</f>
        <v>1003.9144306841256</v>
      </c>
      <c r="BS41" s="640">
        <f t="shared" ref="BS41" si="74">SUM(BS33:BS40)</f>
        <v>1036.7569176492502</v>
      </c>
      <c r="BT41" s="640">
        <f t="shared" ref="BT41" si="75">SUM(BT33:BT40)</f>
        <v>1070.2944698671258</v>
      </c>
      <c r="BU41" s="640">
        <f t="shared" ref="BU41" si="76">SUM(BU33:BU40)</f>
        <v>1104.4636659749101</v>
      </c>
      <c r="BV41" s="640">
        <f t="shared" ref="BV41" si="77">SUM(BV33:BV40)</f>
        <v>1135.3703435109867</v>
      </c>
      <c r="BW41" s="640">
        <f t="shared" ref="BW41" si="78">SUM(BW33:BW40)</f>
        <v>1166.6396957464046</v>
      </c>
      <c r="BX41" s="640">
        <f t="shared" ref="BX41" si="79">SUM(BX33:BX40)</f>
        <v>1198.4390700478443</v>
      </c>
      <c r="BY41" s="640">
        <f t="shared" ref="BY41" si="80">SUM(BY33:BY40)</f>
        <v>1230.7000290069307</v>
      </c>
      <c r="BZ41" s="640">
        <f t="shared" ref="BZ41" si="81">SUM(BZ33:BZ40)</f>
        <v>1263.3471118606917</v>
      </c>
      <c r="CA41" s="640">
        <f t="shared" ref="CA41" si="82">SUM(CA33:CA40)</f>
        <v>1310.1630736902384</v>
      </c>
      <c r="CB41" s="640">
        <f t="shared" ref="CB41" si="83">SUM(CB33:CB40)</f>
        <v>1356.0666258246117</v>
      </c>
      <c r="CC41" s="640">
        <f t="shared" ref="CC41" si="84">SUM(CC33:CC40)</f>
        <v>1401.2396914103765</v>
      </c>
      <c r="CD41" s="640">
        <f t="shared" ref="CD41" si="85">SUM(CD33:CD40)</f>
        <v>1445.4867312011691</v>
      </c>
      <c r="CE41" s="640">
        <f t="shared" ref="CE41" si="86">SUM(CE33:CE40)</f>
        <v>1489.0056888302672</v>
      </c>
      <c r="CF41" s="640">
        <f t="shared" ref="CF41" si="87">SUM(CF33:CF40)</f>
        <v>1571.8537351516784</v>
      </c>
      <c r="CG41" s="640">
        <f t="shared" ref="CG41" si="88">SUM(CG33:CG40)</f>
        <v>1652.0318509326119</v>
      </c>
      <c r="CH41" s="640">
        <f t="shared" ref="CH41" si="89">SUM(CH33:CH40)</f>
        <v>1729.5486797782014</v>
      </c>
      <c r="CI41" s="640">
        <f t="shared" ref="CI41" si="90">SUM(CI33:CI40)</f>
        <v>1804.5565430318638</v>
      </c>
      <c r="CJ41" s="640">
        <f t="shared" ref="CJ41" si="91">SUM(CJ33:CJ40)</f>
        <v>1876.7849442718582</v>
      </c>
      <c r="CK41" s="640">
        <f t="shared" ref="CK41" si="92">SUM(CK33:CK40)</f>
        <v>1945.8463673704694</v>
      </c>
      <c r="CL41" s="640">
        <f t="shared" ref="CL41" si="93">SUM(CL33:CL40)</f>
        <v>2013.1749923488512</v>
      </c>
      <c r="CM41" s="640">
        <f t="shared" ref="CM41" si="94">SUM(CM33:CM40)</f>
        <v>2078.4511361769632</v>
      </c>
      <c r="CN41" s="640">
        <f t="shared" ref="CN41" si="95">SUM(CN33:CN40)</f>
        <v>2141.8431797775479</v>
      </c>
      <c r="CO41" s="640">
        <f t="shared" ref="CO41" si="96">SUM(CO33:CO40)</f>
        <v>2203.5491008320578</v>
      </c>
      <c r="CP41" s="640">
        <f t="shared" ref="CP41" si="97">SUM(CP33:CP40)</f>
        <v>2220.4412581869574</v>
      </c>
      <c r="CQ41" s="640">
        <f t="shared" ref="CQ41" si="98">SUM(CQ33:CQ40)</f>
        <v>2237.3207791617592</v>
      </c>
      <c r="CR41" s="640">
        <f t="shared" ref="CR41" si="99">SUM(CR33:CR40)</f>
        <v>2254.188547967507</v>
      </c>
      <c r="CS41" s="640">
        <f t="shared" ref="CS41" si="100">SUM(CS33:CS40)</f>
        <v>2271.0454359955461</v>
      </c>
      <c r="CT41" s="640">
        <f t="shared" ref="CT41" si="101">SUM(CT33:CT40)</f>
        <v>2287.8923009256519</v>
      </c>
      <c r="CV41" s="640">
        <f t="shared" ref="CV41:DZ41" si="102">SUM(CV33:CV40)</f>
        <v>939.92148699965651</v>
      </c>
      <c r="CW41" s="640">
        <f t="shared" si="102"/>
        <v>946.49212065575489</v>
      </c>
      <c r="CX41" s="640">
        <f t="shared" si="102"/>
        <v>953.72587834069964</v>
      </c>
      <c r="CY41" s="640">
        <f t="shared" si="102"/>
        <v>959.36938736162972</v>
      </c>
      <c r="CZ41" s="640">
        <f t="shared" si="102"/>
        <v>968.00135517045112</v>
      </c>
      <c r="DA41" s="640">
        <f t="shared" si="102"/>
        <v>977.1867846383401</v>
      </c>
      <c r="DB41" s="640">
        <f t="shared" si="102"/>
        <v>974.36746012112815</v>
      </c>
      <c r="DC41" s="640">
        <f t="shared" si="102"/>
        <v>970.75204017338035</v>
      </c>
      <c r="DD41" s="640">
        <f t="shared" si="102"/>
        <v>969.83333340051456</v>
      </c>
      <c r="DE41" s="640">
        <f t="shared" si="102"/>
        <v>966.26613191723095</v>
      </c>
      <c r="DF41" s="640">
        <f t="shared" si="102"/>
        <v>961.55802116586563</v>
      </c>
      <c r="DG41" s="640">
        <f t="shared" si="102"/>
        <v>930.02634107790277</v>
      </c>
      <c r="DH41" s="640">
        <f t="shared" si="102"/>
        <v>900.48017502666778</v>
      </c>
      <c r="DI41" s="640">
        <f t="shared" si="102"/>
        <v>872.42316622323665</v>
      </c>
      <c r="DJ41" s="640">
        <f t="shared" si="102"/>
        <v>841.94644929604863</v>
      </c>
      <c r="DK41" s="640">
        <f t="shared" si="102"/>
        <v>809.88163941078574</v>
      </c>
      <c r="DL41" s="640">
        <f t="shared" si="102"/>
        <v>768.03358194708449</v>
      </c>
      <c r="DM41" s="640">
        <f t="shared" si="102"/>
        <v>727.33662497217244</v>
      </c>
      <c r="DN41" s="640">
        <f t="shared" si="102"/>
        <v>687.37053577471545</v>
      </c>
      <c r="DO41" s="640">
        <f t="shared" si="102"/>
        <v>649.57480431540262</v>
      </c>
      <c r="DP41" s="640">
        <f t="shared" si="102"/>
        <v>613.7966031359108</v>
      </c>
      <c r="DQ41" s="640">
        <f t="shared" si="102"/>
        <v>577.79358346432116</v>
      </c>
      <c r="DR41" s="640">
        <f t="shared" si="102"/>
        <v>544.9461349677116</v>
      </c>
      <c r="DS41" s="640">
        <f t="shared" si="102"/>
        <v>514.84029076020681</v>
      </c>
      <c r="DT41" s="640">
        <f t="shared" si="102"/>
        <v>487.40620664684241</v>
      </c>
      <c r="DU41" s="640">
        <f t="shared" si="102"/>
        <v>461.78483545874428</v>
      </c>
      <c r="DV41" s="640">
        <f t="shared" si="102"/>
        <v>438.0219093271391</v>
      </c>
      <c r="DW41" s="640">
        <f t="shared" si="102"/>
        <v>415.05097226754253</v>
      </c>
      <c r="DX41" s="640">
        <f t="shared" si="102"/>
        <v>392.68083986917173</v>
      </c>
      <c r="DY41" s="640">
        <f t="shared" si="102"/>
        <v>370.32978688891586</v>
      </c>
      <c r="DZ41" s="640">
        <f t="shared" si="102"/>
        <v>347.89835017088478</v>
      </c>
      <c r="EK41" s="643"/>
      <c r="EL41" s="643"/>
      <c r="EM41" s="643"/>
      <c r="EN41" s="643"/>
      <c r="EO41" s="643"/>
      <c r="EP41" s="643"/>
      <c r="EQ41" s="643"/>
      <c r="ER41" s="643"/>
      <c r="ES41" s="643"/>
      <c r="ET41" s="643"/>
      <c r="EU41" s="643"/>
      <c r="EV41" s="643"/>
      <c r="EW41" s="643"/>
      <c r="EX41" s="643"/>
      <c r="EY41" s="643"/>
      <c r="EZ41" s="643"/>
      <c r="FA41" s="643"/>
      <c r="FB41" s="643"/>
      <c r="FC41" s="643"/>
      <c r="FD41" s="643"/>
      <c r="FE41" s="643"/>
      <c r="FF41" s="643"/>
      <c r="FG41" s="643"/>
      <c r="FH41" s="643"/>
      <c r="FI41" s="643"/>
    </row>
  </sheetData>
  <mergeCells count="4">
    <mergeCell ref="D1:AH1"/>
    <mergeCell ref="AJ1:BN1"/>
    <mergeCell ref="BP1:CT1"/>
    <mergeCell ref="CV1:DZ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9D7C-3889-4C62-A2DB-7F16243DA2AF}">
  <sheetPr>
    <tabColor rgb="FFFFFF00"/>
  </sheetPr>
  <dimension ref="A1:FI211"/>
  <sheetViews>
    <sheetView zoomScale="85" zoomScaleNormal="85" workbookViewId="0">
      <pane ySplit="1" topLeftCell="A2" activePane="bottomLeft" state="frozen"/>
      <selection activeCell="BP13" sqref="BP13"/>
      <selection pane="bottomLeft" activeCell="N11" sqref="N11"/>
    </sheetView>
  </sheetViews>
  <sheetFormatPr baseColWidth="10" defaultColWidth="8.83203125" defaultRowHeight="15" outlineLevelCol="1"/>
  <cols>
    <col min="1" max="1" width="31.5" customWidth="1"/>
    <col min="2" max="2" width="12.33203125" customWidth="1"/>
    <col min="3" max="3" width="17.33203125" customWidth="1"/>
    <col min="4" max="4" width="8.6640625" customWidth="1"/>
    <col min="5" max="13" width="8.6640625" hidden="1" customWidth="1" outlineLevel="1"/>
    <col min="14" max="14" width="8.6640625" customWidth="1" collapsed="1"/>
    <col min="15" max="23" width="8.6640625" hidden="1" customWidth="1" outlineLevel="1"/>
    <col min="24" max="24" width="8.6640625" customWidth="1" collapsed="1"/>
    <col min="25" max="33" width="8.6640625" hidden="1" customWidth="1" outlineLevel="1"/>
    <col min="34" max="34" width="8.6640625" collapsed="1"/>
    <col min="36" max="36" width="11.5" bestFit="1" customWidth="1"/>
    <col min="37" max="45" width="0" hidden="1" customWidth="1" outlineLevel="1"/>
    <col min="46" max="46" width="8.6640625" collapsed="1"/>
    <col min="47" max="55" width="0" hidden="1" customWidth="1" outlineLevel="1"/>
    <col min="56" max="56" width="8.6640625" collapsed="1"/>
    <col min="57" max="65" width="0" hidden="1" customWidth="1" outlineLevel="1"/>
    <col min="66" max="66" width="8.6640625" collapsed="1"/>
    <col min="67" max="67" width="8.6640625" customWidth="1"/>
    <col min="69" max="77" width="8.6640625" hidden="1" customWidth="1" outlineLevel="1"/>
    <col min="78" max="78" width="8.6640625" collapsed="1"/>
    <col min="79" max="87" width="0" hidden="1" customWidth="1" outlineLevel="1"/>
    <col min="88" max="88" width="8.6640625" collapsed="1"/>
    <col min="89" max="97" width="8.6640625" hidden="1" customWidth="1" outlineLevel="1"/>
    <col min="98" max="98" width="8.6640625" collapsed="1"/>
    <col min="101" max="109" width="8.6640625" hidden="1" customWidth="1" outlineLevel="1"/>
    <col min="110" max="110" width="8.6640625" collapsed="1"/>
    <col min="111" max="119" width="0" hidden="1" customWidth="1" outlineLevel="1"/>
    <col min="120" max="120" width="8.6640625" collapsed="1"/>
    <col min="121" max="129" width="8.6640625" hidden="1" customWidth="1" outlineLevel="1"/>
    <col min="130" max="130" width="8.6640625" collapsed="1"/>
    <col min="135" max="135" width="36.5" customWidth="1"/>
    <col min="141" max="165" width="8.6640625" style="43"/>
  </cols>
  <sheetData>
    <row r="1" spans="1:165">
      <c r="A1" s="1"/>
      <c r="B1" s="1"/>
      <c r="D1" s="748" t="s">
        <v>406</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407</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c r="BP1" s="748" t="s">
        <v>1883</v>
      </c>
      <c r="BQ1" s="748"/>
      <c r="BR1" s="748"/>
      <c r="BS1" s="748"/>
      <c r="BT1" s="748"/>
      <c r="BU1" s="748"/>
      <c r="BV1" s="748"/>
      <c r="BW1" s="748"/>
      <c r="BX1" s="748"/>
      <c r="BY1" s="748"/>
      <c r="BZ1" s="748"/>
      <c r="CA1" s="748"/>
      <c r="CB1" s="748"/>
      <c r="CC1" s="748"/>
      <c r="CD1" s="748"/>
      <c r="CE1" s="748"/>
      <c r="CF1" s="748"/>
      <c r="CG1" s="748"/>
      <c r="CH1" s="748"/>
      <c r="CI1" s="748"/>
      <c r="CJ1" s="748"/>
      <c r="CK1" s="748"/>
      <c r="CL1" s="748"/>
      <c r="CM1" s="748"/>
      <c r="CN1" s="748"/>
      <c r="CO1" s="748"/>
      <c r="CP1" s="748"/>
      <c r="CQ1" s="748"/>
      <c r="CR1" s="748"/>
      <c r="CS1" s="748"/>
      <c r="CT1" s="748"/>
      <c r="CV1" s="748" t="s">
        <v>1884</v>
      </c>
      <c r="CW1" s="748"/>
      <c r="CX1" s="748"/>
      <c r="CY1" s="748"/>
      <c r="CZ1" s="748"/>
      <c r="DA1" s="748"/>
      <c r="DB1" s="748"/>
      <c r="DC1" s="748"/>
      <c r="DD1" s="748"/>
      <c r="DE1" s="748"/>
      <c r="DF1" s="748"/>
      <c r="DG1" s="748"/>
      <c r="DH1" s="748"/>
      <c r="DI1" s="748"/>
      <c r="DJ1" s="748"/>
      <c r="DK1" s="748"/>
      <c r="DL1" s="748"/>
      <c r="DM1" s="748"/>
      <c r="DN1" s="748"/>
      <c r="DO1" s="748"/>
      <c r="DP1" s="748"/>
      <c r="DQ1" s="748"/>
      <c r="DR1" s="748"/>
      <c r="DS1" s="748"/>
      <c r="DT1" s="748"/>
      <c r="DU1" s="748"/>
      <c r="DV1" s="748"/>
      <c r="DW1" s="748"/>
      <c r="DX1" s="748"/>
      <c r="DY1" s="748"/>
      <c r="DZ1" s="748"/>
      <c r="EE1" t="s">
        <v>408</v>
      </c>
      <c r="EF1" t="s">
        <v>409</v>
      </c>
      <c r="EG1" t="s">
        <v>410</v>
      </c>
      <c r="EH1" t="s">
        <v>411</v>
      </c>
      <c r="EK1" s="43">
        <v>2.665</v>
      </c>
      <c r="EL1" s="43">
        <v>2.665</v>
      </c>
      <c r="EM1" s="43">
        <v>2.665</v>
      </c>
      <c r="EN1" s="43">
        <v>2.665</v>
      </c>
      <c r="EO1" s="43">
        <v>2.665</v>
      </c>
      <c r="EP1" s="43">
        <v>2.665</v>
      </c>
      <c r="EQ1" s="43">
        <v>2.665</v>
      </c>
      <c r="ER1" s="43">
        <v>2.665</v>
      </c>
      <c r="ES1" s="43">
        <v>2.665</v>
      </c>
      <c r="ET1" s="43">
        <v>2.665</v>
      </c>
      <c r="EU1" s="43">
        <v>2.665</v>
      </c>
      <c r="EV1" s="43">
        <v>2.665</v>
      </c>
      <c r="EW1" s="43">
        <v>2.665</v>
      </c>
      <c r="EX1" s="43">
        <v>2.665</v>
      </c>
      <c r="EY1" s="43">
        <v>2.665</v>
      </c>
      <c r="EZ1" s="43">
        <v>2.665</v>
      </c>
      <c r="FA1" s="43">
        <v>2.665</v>
      </c>
      <c r="FB1" s="43">
        <v>2.665</v>
      </c>
      <c r="FC1" s="43">
        <v>2.665</v>
      </c>
      <c r="FD1" s="43">
        <v>2.665</v>
      </c>
      <c r="FE1" s="43">
        <v>2.665</v>
      </c>
      <c r="FF1" s="43">
        <v>2.665</v>
      </c>
      <c r="FG1" s="43">
        <v>2.665</v>
      </c>
      <c r="FH1" s="43">
        <v>2.665</v>
      </c>
      <c r="FI1" s="43">
        <v>2.665</v>
      </c>
    </row>
    <row r="2" spans="1:165" s="53" customFormat="1">
      <c r="A2" s="52" t="s">
        <v>418</v>
      </c>
      <c r="B2" s="52"/>
      <c r="C2" s="52"/>
      <c r="EE2" s="53" t="s">
        <v>419</v>
      </c>
      <c r="EF2" s="53" t="s">
        <v>420</v>
      </c>
      <c r="EG2" s="53" t="s">
        <v>410</v>
      </c>
      <c r="EK2" s="454">
        <v>1.3140000000000001</v>
      </c>
      <c r="EL2" s="454">
        <v>1.3140000000000001</v>
      </c>
      <c r="EM2" s="454">
        <v>1.3140000000000001</v>
      </c>
      <c r="EN2" s="454">
        <v>1.3140000000000001</v>
      </c>
      <c r="EO2" s="454">
        <v>1.3140000000000001</v>
      </c>
      <c r="EP2" s="454">
        <v>1.3140000000000001</v>
      </c>
      <c r="EQ2" s="454">
        <v>1.3140000000000001</v>
      </c>
      <c r="ER2" s="454">
        <v>1.3140000000000001</v>
      </c>
      <c r="ES2" s="454">
        <v>1.3140000000000001</v>
      </c>
      <c r="ET2" s="454">
        <v>1.3140000000000001</v>
      </c>
      <c r="EU2" s="454">
        <v>1.3140000000000001</v>
      </c>
      <c r="EV2" s="454">
        <v>1.3140000000000001</v>
      </c>
      <c r="EW2" s="454">
        <v>1.3140000000000001</v>
      </c>
      <c r="EX2" s="454">
        <v>1.3140000000000001</v>
      </c>
      <c r="EY2" s="454">
        <v>1.3140000000000001</v>
      </c>
      <c r="EZ2" s="454">
        <v>1.3140000000000001</v>
      </c>
      <c r="FA2" s="454">
        <v>1.3140000000000001</v>
      </c>
      <c r="FB2" s="454">
        <v>1.3140000000000001</v>
      </c>
      <c r="FC2" s="454">
        <v>1.3140000000000001</v>
      </c>
      <c r="FD2" s="454">
        <v>1.3140000000000001</v>
      </c>
      <c r="FE2" s="454">
        <v>1.3140000000000001</v>
      </c>
      <c r="FF2" s="454">
        <v>1.3140000000000001</v>
      </c>
      <c r="FG2" s="454">
        <v>1.3140000000000001</v>
      </c>
      <c r="FH2" s="454">
        <v>1.3140000000000001</v>
      </c>
      <c r="FI2" s="454">
        <v>1.3140000000000001</v>
      </c>
    </row>
    <row r="3" spans="1:165" s="1" customFormat="1" ht="16" thickBo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c r="BP3" s="1">
        <v>2020</v>
      </c>
      <c r="BQ3" s="1">
        <f>BP3+1</f>
        <v>2021</v>
      </c>
      <c r="BR3" s="1">
        <f t="shared" ref="BR3" si="5">BQ3+1</f>
        <v>2022</v>
      </c>
      <c r="BS3" s="1">
        <f t="shared" ref="BS3" si="6">BR3+1</f>
        <v>2023</v>
      </c>
      <c r="BT3" s="1">
        <f t="shared" ref="BT3" si="7">BS3+1</f>
        <v>2024</v>
      </c>
      <c r="BU3" s="1">
        <f t="shared" ref="BU3" si="8">BT3+1</f>
        <v>2025</v>
      </c>
      <c r="BV3" s="1">
        <f t="shared" ref="BV3" si="9">BU3+1</f>
        <v>2026</v>
      </c>
      <c r="BW3" s="1">
        <f t="shared" ref="BW3" si="10">BV3+1</f>
        <v>2027</v>
      </c>
      <c r="BX3" s="1">
        <f t="shared" ref="BX3" si="11">BW3+1</f>
        <v>2028</v>
      </c>
      <c r="BY3" s="1">
        <f t="shared" ref="BY3" si="12">BX3+1</f>
        <v>2029</v>
      </c>
      <c r="BZ3" s="1">
        <f t="shared" ref="BZ3" si="13">BY3+1</f>
        <v>2030</v>
      </c>
      <c r="CA3" s="1">
        <f t="shared" ref="CA3" si="14">BZ3+1</f>
        <v>2031</v>
      </c>
      <c r="CB3" s="1">
        <f t="shared" ref="CB3" si="15">CA3+1</f>
        <v>2032</v>
      </c>
      <c r="CC3" s="1">
        <f t="shared" ref="CC3" si="16">CB3+1</f>
        <v>2033</v>
      </c>
      <c r="CD3" s="1">
        <f>CC3+1</f>
        <v>2034</v>
      </c>
      <c r="CE3" s="1">
        <f t="shared" ref="CE3" si="17">CD3+1</f>
        <v>2035</v>
      </c>
      <c r="CF3" s="1">
        <f t="shared" ref="CF3" si="18">CE3+1</f>
        <v>2036</v>
      </c>
      <c r="CG3" s="1">
        <f t="shared" ref="CG3" si="19">CF3+1</f>
        <v>2037</v>
      </c>
      <c r="CH3" s="1">
        <f t="shared" ref="CH3" si="20">CG3+1</f>
        <v>2038</v>
      </c>
      <c r="CI3" s="1">
        <f t="shared" ref="CI3" si="21">CH3+1</f>
        <v>2039</v>
      </c>
      <c r="CJ3" s="1">
        <f t="shared" ref="CJ3" si="22">CI3+1</f>
        <v>2040</v>
      </c>
      <c r="CK3" s="1">
        <f t="shared" ref="CK3" si="23">CJ3+1</f>
        <v>2041</v>
      </c>
      <c r="CL3" s="1">
        <f t="shared" ref="CL3" si="24">CK3+1</f>
        <v>2042</v>
      </c>
      <c r="CM3" s="1">
        <f t="shared" ref="CM3" si="25">CL3+1</f>
        <v>2043</v>
      </c>
      <c r="CN3" s="1">
        <f t="shared" ref="CN3" si="26">CM3+1</f>
        <v>2044</v>
      </c>
      <c r="CO3" s="1">
        <f>CN3+1</f>
        <v>2045</v>
      </c>
      <c r="CP3" s="1">
        <f t="shared" ref="CP3" si="27">CO3+1</f>
        <v>2046</v>
      </c>
      <c r="CQ3" s="1">
        <f t="shared" ref="CQ3" si="28">CP3+1</f>
        <v>2047</v>
      </c>
      <c r="CR3" s="1">
        <f t="shared" ref="CR3" si="29">CQ3+1</f>
        <v>2048</v>
      </c>
      <c r="CS3" s="1">
        <f>CR3+1</f>
        <v>2049</v>
      </c>
      <c r="CT3" s="1">
        <f t="shared" ref="CT3" si="30">CS3+1</f>
        <v>2050</v>
      </c>
      <c r="CV3" s="1">
        <v>2020</v>
      </c>
      <c r="CW3" s="1">
        <f>CV3+1</f>
        <v>2021</v>
      </c>
      <c r="CX3" s="1">
        <f t="shared" ref="CX3" si="31">CW3+1</f>
        <v>2022</v>
      </c>
      <c r="CY3" s="1">
        <f t="shared" ref="CY3" si="32">CX3+1</f>
        <v>2023</v>
      </c>
      <c r="CZ3" s="1">
        <f t="shared" ref="CZ3" si="33">CY3+1</f>
        <v>2024</v>
      </c>
      <c r="DA3" s="1">
        <f t="shared" ref="DA3" si="34">CZ3+1</f>
        <v>2025</v>
      </c>
      <c r="DB3" s="1">
        <f t="shared" ref="DB3" si="35">DA3+1</f>
        <v>2026</v>
      </c>
      <c r="DC3" s="1">
        <f t="shared" ref="DC3" si="36">DB3+1</f>
        <v>2027</v>
      </c>
      <c r="DD3" s="1">
        <f t="shared" ref="DD3" si="37">DC3+1</f>
        <v>2028</v>
      </c>
      <c r="DE3" s="1">
        <f t="shared" ref="DE3" si="38">DD3+1</f>
        <v>2029</v>
      </c>
      <c r="DF3" s="1">
        <f t="shared" ref="DF3" si="39">DE3+1</f>
        <v>2030</v>
      </c>
      <c r="DG3" s="1">
        <f t="shared" ref="DG3" si="40">DF3+1</f>
        <v>2031</v>
      </c>
      <c r="DH3" s="1">
        <f t="shared" ref="DH3" si="41">DG3+1</f>
        <v>2032</v>
      </c>
      <c r="DI3" s="1">
        <f t="shared" ref="DI3" si="42">DH3+1</f>
        <v>2033</v>
      </c>
      <c r="DJ3" s="1">
        <f>DI3+1</f>
        <v>2034</v>
      </c>
      <c r="DK3" s="1">
        <f t="shared" ref="DK3" si="43">DJ3+1</f>
        <v>2035</v>
      </c>
      <c r="DL3" s="1">
        <f t="shared" ref="DL3" si="44">DK3+1</f>
        <v>2036</v>
      </c>
      <c r="DM3" s="1">
        <f t="shared" ref="DM3" si="45">DL3+1</f>
        <v>2037</v>
      </c>
      <c r="DN3" s="1">
        <f t="shared" ref="DN3" si="46">DM3+1</f>
        <v>2038</v>
      </c>
      <c r="DO3" s="1">
        <f t="shared" ref="DO3" si="47">DN3+1</f>
        <v>2039</v>
      </c>
      <c r="DP3" s="1">
        <f t="shared" ref="DP3" si="48">DO3+1</f>
        <v>2040</v>
      </c>
      <c r="DQ3" s="1">
        <f t="shared" ref="DQ3" si="49">DP3+1</f>
        <v>2041</v>
      </c>
      <c r="DR3" s="1">
        <f t="shared" ref="DR3" si="50">DQ3+1</f>
        <v>2042</v>
      </c>
      <c r="DS3" s="1">
        <f t="shared" ref="DS3" si="51">DR3+1</f>
        <v>2043</v>
      </c>
      <c r="DT3" s="1">
        <f t="shared" ref="DT3" si="52">DS3+1</f>
        <v>2044</v>
      </c>
      <c r="DU3" s="1">
        <f>DT3+1</f>
        <v>2045</v>
      </c>
      <c r="DV3" s="1">
        <f t="shared" ref="DV3" si="53">DU3+1</f>
        <v>2046</v>
      </c>
      <c r="DW3" s="1">
        <f t="shared" ref="DW3" si="54">DV3+1</f>
        <v>2047</v>
      </c>
      <c r="DX3" s="1">
        <f t="shared" ref="DX3" si="55">DW3+1</f>
        <v>2048</v>
      </c>
      <c r="DY3" s="1">
        <f>DX3+1</f>
        <v>2049</v>
      </c>
      <c r="DZ3" s="1">
        <f t="shared" ref="DZ3" si="56">DY3+1</f>
        <v>2050</v>
      </c>
      <c r="EE3" s="1" t="s">
        <v>421</v>
      </c>
      <c r="EF3" s="1" t="s">
        <v>422</v>
      </c>
      <c r="EG3" s="1" t="s">
        <v>410</v>
      </c>
      <c r="EH3" s="1" t="s">
        <v>423</v>
      </c>
      <c r="EK3" s="443">
        <v>1.736E-2</v>
      </c>
      <c r="EL3" s="443">
        <v>1.736E-2</v>
      </c>
      <c r="EM3" s="443">
        <v>1.736E-2</v>
      </c>
      <c r="EN3" s="443">
        <v>1.736E-2</v>
      </c>
      <c r="EO3" s="443">
        <v>1.736E-2</v>
      </c>
      <c r="EP3" s="443">
        <v>1.736E-2</v>
      </c>
      <c r="EQ3" s="443">
        <v>1.736E-2</v>
      </c>
      <c r="ER3" s="443">
        <v>1.736E-2</v>
      </c>
      <c r="ES3" s="443">
        <v>1.736E-2</v>
      </c>
      <c r="ET3" s="443">
        <v>1.736E-2</v>
      </c>
      <c r="EU3" s="443">
        <v>1.736E-2</v>
      </c>
      <c r="EV3" s="443">
        <v>1.736E-2</v>
      </c>
      <c r="EW3" s="443">
        <v>1.736E-2</v>
      </c>
      <c r="EX3" s="443">
        <v>1.736E-2</v>
      </c>
      <c r="EY3" s="443">
        <v>1.736E-2</v>
      </c>
      <c r="EZ3" s="443">
        <v>1.736E-2</v>
      </c>
      <c r="FA3" s="443">
        <v>1.736E-2</v>
      </c>
      <c r="FB3" s="443">
        <v>1.736E-2</v>
      </c>
      <c r="FC3" s="443">
        <v>1.736E-2</v>
      </c>
      <c r="FD3" s="443">
        <v>1.736E-2</v>
      </c>
      <c r="FE3" s="443">
        <v>1.736E-2</v>
      </c>
      <c r="FF3" s="443">
        <v>1.736E-2</v>
      </c>
      <c r="FG3" s="443">
        <v>1.736E-2</v>
      </c>
      <c r="FH3" s="443">
        <v>1.736E-2</v>
      </c>
      <c r="FI3" s="443">
        <v>1.736E-2</v>
      </c>
    </row>
    <row r="4" spans="1:165" s="554" customFormat="1">
      <c r="A4" s="550" t="s">
        <v>424</v>
      </c>
      <c r="B4" s="551"/>
      <c r="C4" s="552" t="s">
        <v>153</v>
      </c>
      <c r="D4" s="553">
        <f>'Ethylene Recycling HC'!C50+'Propylene Recycling HC'!C50+'Methanol Recycling HC'!C47+'BTX Recycling HC'!C47+'Butadiene Recycling HC'!C47</f>
        <v>324.40768545388835</v>
      </c>
      <c r="E4" s="553">
        <f>'Ethylene Recycling HC'!D50+'Propylene Recycling HC'!D50+'Methanol Recycling HC'!D47+'BTX Recycling HC'!D47+'Butadiene Recycling HC'!D47</f>
        <v>335.28231755915317</v>
      </c>
      <c r="F4" s="553">
        <f>'Ethylene Recycling HC'!E50+'Propylene Recycling HC'!E50+'Methanol Recycling HC'!E47+'BTX Recycling HC'!E47+'Butadiene Recycling HC'!E47</f>
        <v>345.61565231605346</v>
      </c>
      <c r="G4" s="553">
        <f>'Ethylene Recycling HC'!F50+'Propylene Recycling HC'!F50+'Methanol Recycling HC'!F47+'BTX Recycling HC'!F47+'Butadiene Recycling HC'!F47</f>
        <v>355.33676550135777</v>
      </c>
      <c r="H4" s="553">
        <f>'Ethylene Recycling HC'!G50+'Propylene Recycling HC'!G50+'Methanol Recycling HC'!G47+'BTX Recycling HC'!G47+'Butadiene Recycling HC'!G47</f>
        <v>364.37757107154272</v>
      </c>
      <c r="I4" s="553">
        <f>'Ethylene Recycling HC'!H50+'Propylene Recycling HC'!H50+'Methanol Recycling HC'!H47+'BTX Recycling HC'!H47+'Butadiene Recycling HC'!H47</f>
        <v>372.67361549702787</v>
      </c>
      <c r="J4" s="553">
        <f>'Ethylene Recycling HC'!I50+'Propylene Recycling HC'!I50+'Methanol Recycling HC'!I47+'BTX Recycling HC'!I47+'Butadiene Recycling HC'!I47</f>
        <v>380.98503260864499</v>
      </c>
      <c r="K4" s="553">
        <f>'Ethylene Recycling HC'!J50+'Propylene Recycling HC'!J50+'Methanol Recycling HC'!J47+'BTX Recycling HC'!J47+'Butadiene Recycling HC'!J47</f>
        <v>389.30429718846113</v>
      </c>
      <c r="L4" s="553">
        <f>'Ethylene Recycling HC'!K50+'Propylene Recycling HC'!K50+'Methanol Recycling HC'!K47+'BTX Recycling HC'!K47+'Butadiene Recycling HC'!K47</f>
        <v>397.62369296828092</v>
      </c>
      <c r="M4" s="553">
        <f>'Ethylene Recycling HC'!L50+'Propylene Recycling HC'!L50+'Methanol Recycling HC'!L47+'BTX Recycling HC'!L47+'Butadiene Recycling HC'!L47</f>
        <v>405.93532266444282</v>
      </c>
      <c r="N4" s="553">
        <f>'Ethylene Recycling HC'!M50+'Propylene Recycling HC'!M50+'Methanol Recycling HC'!M47+'BTX Recycling HC'!M47+'Butadiene Recycling HC'!M47</f>
        <v>414.23111869081907</v>
      </c>
      <c r="O4" s="553">
        <f>'Ethylene Recycling HC'!N50+'Propylene Recycling HC'!N50+'Methanol Recycling HC'!N47+'BTX Recycling HC'!N47+'Butadiene Recycling HC'!N47</f>
        <v>421.89834140174162</v>
      </c>
      <c r="P4" s="553">
        <f>'Ethylene Recycling HC'!O50+'Propylene Recycling HC'!O50+'Methanol Recycling HC'!O47+'BTX Recycling HC'!O47+'Butadiene Recycling HC'!O47</f>
        <v>428.89446700163188</v>
      </c>
      <c r="Q4" s="553">
        <f>'Ethylene Recycling HC'!P50+'Propylene Recycling HC'!P50+'Methanol Recycling HC'!P47+'BTX Recycling HC'!P47+'Butadiene Recycling HC'!P47</f>
        <v>435.22211847756631</v>
      </c>
      <c r="R4" s="553">
        <f>'Ethylene Recycling HC'!Q50+'Propylene Recycling HC'!Q50+'Methanol Recycling HC'!Q47+'BTX Recycling HC'!Q47+'Butadiene Recycling HC'!Q47</f>
        <v>440.80407589964892</v>
      </c>
      <c r="S4" s="553">
        <f>'Ethylene Recycling HC'!R50+'Propylene Recycling HC'!R50+'Methanol Recycling HC'!R47+'BTX Recycling HC'!R47+'Butadiene Recycling HC'!R47</f>
        <v>445.6076767546682</v>
      </c>
      <c r="T4" s="553">
        <f>'Ethylene Recycling HC'!S50+'Propylene Recycling HC'!S50+'Methanol Recycling HC'!S47+'BTX Recycling HC'!S47+'Butadiene Recycling HC'!S47</f>
        <v>450.4143123955148</v>
      </c>
      <c r="U4" s="553">
        <f>'Ethylene Recycling HC'!T50+'Propylene Recycling HC'!T50+'Methanol Recycling HC'!T47+'BTX Recycling HC'!T47+'Butadiene Recycling HC'!T47</f>
        <v>455.22292203816841</v>
      </c>
      <c r="V4" s="553">
        <f>'Ethylene Recycling HC'!U50+'Propylene Recycling HC'!U50+'Methanol Recycling HC'!U47+'BTX Recycling HC'!U47+'Butadiene Recycling HC'!U47</f>
        <v>460.032431743833</v>
      </c>
      <c r="W4" s="553">
        <f>'Ethylene Recycling HC'!V50+'Propylene Recycling HC'!V50+'Methanol Recycling HC'!V47+'BTX Recycling HC'!V47+'Butadiene Recycling HC'!V47</f>
        <v>464.84175475170753</v>
      </c>
      <c r="X4" s="553">
        <f>'Ethylene Recycling HC'!W50+'Propylene Recycling HC'!W50+'Methanol Recycling HC'!W47+'BTX Recycling HC'!W47+'Butadiene Recycling HC'!W47</f>
        <v>469.64979182321167</v>
      </c>
      <c r="Y4" s="553">
        <f>'Ethylene Recycling HC'!X50+'Propylene Recycling HC'!X50+'Methanol Recycling HC'!X47+'BTX Recycling HC'!X47+'Butadiene Recycling HC'!X47</f>
        <v>474.46065744505586</v>
      </c>
      <c r="Z4" s="553">
        <f>'Ethylene Recycling HC'!Y50+'Propylene Recycling HC'!Y50+'Methanol Recycling HC'!Y47+'BTX Recycling HC'!Y47+'Butadiene Recycling HC'!Y47</f>
        <v>479.27339534463073</v>
      </c>
      <c r="AA4" s="553">
        <f>'Ethylene Recycling HC'!Z50+'Propylene Recycling HC'!Z50+'Methanol Recycling HC'!Z47+'BTX Recycling HC'!Z47+'Butadiene Recycling HC'!Z47</f>
        <v>484.15728243058498</v>
      </c>
      <c r="AB4" s="553">
        <f>'Ethylene Recycling HC'!AA50+'Propylene Recycling HC'!AA50+'Methanol Recycling HC'!AA47+'BTX Recycling HC'!AA47+'Butadiene Recycling HC'!AA47</f>
        <v>489.04247920674112</v>
      </c>
      <c r="AC4" s="553">
        <f>'Ethylene Recycling HC'!AB50+'Propylene Recycling HC'!AB50+'Methanol Recycling HC'!AB47+'BTX Recycling HC'!AB47+'Butadiene Recycling HC'!AB47</f>
        <v>493.92799580601064</v>
      </c>
      <c r="AD4" s="553">
        <f>'Ethylene Recycling HC'!AC50+'Propylene Recycling HC'!AC50+'Methanol Recycling HC'!AC47+'BTX Recycling HC'!AC47+'Butadiene Recycling HC'!AC47</f>
        <v>498.81754733218145</v>
      </c>
      <c r="AE4" s="553">
        <f>'Ethylene Recycling HC'!AD50+'Propylene Recycling HC'!AD50+'Methanol Recycling HC'!AD47+'BTX Recycling HC'!AD47+'Butadiene Recycling HC'!AD47</f>
        <v>503.71026729589505</v>
      </c>
      <c r="AF4" s="553">
        <f>'Ethylene Recycling HC'!AE50+'Propylene Recycling HC'!AE50+'Methanol Recycling HC'!AE47+'BTX Recycling HC'!AE47+'Butadiene Recycling HC'!AE47</f>
        <v>508.60527910332672</v>
      </c>
      <c r="AG4" s="553">
        <f>'Ethylene Recycling HC'!AF50+'Propylene Recycling HC'!AF50+'Methanol Recycling HC'!AF47+'BTX Recycling HC'!AF47+'Butadiene Recycling HC'!AF47</f>
        <v>513.50169627310368</v>
      </c>
      <c r="AH4" s="553">
        <f>'Ethylene Recycling HC'!AG50+'Propylene Recycling HC'!AG50+'Methanol Recycling HC'!AG47+'BTX Recycling HC'!AG47+'Butadiene Recycling HC'!AG47</f>
        <v>518.39862266023749</v>
      </c>
      <c r="AJ4" s="553">
        <f>'Ethylene Recycling LC'!C50+'Propylene Recycling LC'!C50+'Methanol Recycling LC'!C47+'BTX Recycling LC'!C47+'Butadiene Recycling LC'!C47</f>
        <v>324.40768545388835</v>
      </c>
      <c r="AK4" s="553">
        <f>'Ethylene Recycling LC'!D50+'Propylene Recycling LC'!D50+'Methanol Recycling LC'!D47+'BTX Recycling LC'!D47+'Butadiene Recycling LC'!D47</f>
        <v>335.28231755915317</v>
      </c>
      <c r="AL4" s="553">
        <f>'Ethylene Recycling LC'!E50+'Propylene Recycling LC'!E50+'Methanol Recycling LC'!E47+'BTX Recycling LC'!E47+'Butadiene Recycling LC'!E47</f>
        <v>345.61565231605346</v>
      </c>
      <c r="AM4" s="553">
        <f>'Ethylene Recycling LC'!F50+'Propylene Recycling LC'!F50+'Methanol Recycling LC'!F47+'BTX Recycling LC'!F47+'Butadiene Recycling LC'!F47</f>
        <v>355.33676550135777</v>
      </c>
      <c r="AN4" s="553">
        <f>'Ethylene Recycling LC'!G50+'Propylene Recycling LC'!G50+'Methanol Recycling LC'!G47+'BTX Recycling LC'!G47+'Butadiene Recycling LC'!G47</f>
        <v>364.37757107154272</v>
      </c>
      <c r="AO4" s="553">
        <f>'Ethylene Recycling LC'!H50+'Propylene Recycling LC'!H50+'Methanol Recycling LC'!H47+'BTX Recycling LC'!H47+'Butadiene Recycling LC'!H47</f>
        <v>372.67361549702787</v>
      </c>
      <c r="AP4" s="553">
        <f>'Ethylene Recycling LC'!I50+'Propylene Recycling LC'!I50+'Methanol Recycling LC'!I47+'BTX Recycling LC'!I47+'Butadiene Recycling LC'!I47</f>
        <v>380.98503260864499</v>
      </c>
      <c r="AQ4" s="553">
        <f>'Ethylene Recycling LC'!J50+'Propylene Recycling LC'!J50+'Methanol Recycling LC'!J47+'BTX Recycling LC'!J47+'Butadiene Recycling LC'!J47</f>
        <v>389.30429718846113</v>
      </c>
      <c r="AR4" s="553">
        <f>'Ethylene Recycling LC'!K50+'Propylene Recycling LC'!K50+'Methanol Recycling LC'!K47+'BTX Recycling LC'!K47+'Butadiene Recycling LC'!K47</f>
        <v>397.62369296828092</v>
      </c>
      <c r="AS4" s="553">
        <f>'Ethylene Recycling LC'!L50+'Propylene Recycling LC'!L50+'Methanol Recycling LC'!L47+'BTX Recycling LC'!L47+'Butadiene Recycling LC'!L47</f>
        <v>405.93532266444282</v>
      </c>
      <c r="AT4" s="553">
        <f>'Ethylene Recycling LC'!M50+'Propylene Recycling LC'!M50+'Methanol Recycling LC'!M47+'BTX Recycling LC'!M47+'Butadiene Recycling LC'!M47</f>
        <v>414.23111869081907</v>
      </c>
      <c r="AU4" s="553">
        <f>'Ethylene Recycling LC'!N50+'Propylene Recycling LC'!N50+'Methanol Recycling LC'!N47+'BTX Recycling LC'!N47+'Butadiene Recycling LC'!N47</f>
        <v>421.89834140174162</v>
      </c>
      <c r="AV4" s="553">
        <f>'Ethylene Recycling LC'!O50+'Propylene Recycling LC'!O50+'Methanol Recycling LC'!O47+'BTX Recycling LC'!O47+'Butadiene Recycling LC'!O47</f>
        <v>428.89446700163188</v>
      </c>
      <c r="AW4" s="553">
        <f>'Ethylene Recycling LC'!P50+'Propylene Recycling LC'!P50+'Methanol Recycling LC'!P47+'BTX Recycling LC'!P47+'Butadiene Recycling LC'!P47</f>
        <v>435.20535221817238</v>
      </c>
      <c r="AX4" s="553">
        <f>'Ethylene Recycling LC'!Q50+'Propylene Recycling LC'!Q50+'Methanol Recycling LC'!Q47+'BTX Recycling LC'!Q47+'Butadiene Recycling LC'!Q47</f>
        <v>440.77011659663145</v>
      </c>
      <c r="AY4" s="553">
        <f>'Ethylene Recycling LC'!R50+'Propylene Recycling LC'!R50+'Methanol Recycling LC'!R47+'BTX Recycling LC'!R47+'Butadiene Recycling LC'!R47</f>
        <v>445.55618768528529</v>
      </c>
      <c r="AZ4" s="553">
        <f>'Ethylene Recycling LC'!S50+'Propylene Recycling LC'!S50+'Methanol Recycling LC'!S47+'BTX Recycling LC'!S47+'Butadiene Recycling LC'!S47</f>
        <v>450.344926491031</v>
      </c>
      <c r="BA4" s="553">
        <f>'Ethylene Recycling LC'!T50+'Propylene Recycling LC'!T50+'Methanol Recycling LC'!T47+'BTX Recycling LC'!T47+'Butadiene Recycling LC'!T47</f>
        <v>455.13527219008904</v>
      </c>
      <c r="BB4" s="553">
        <f>'Ethylene Recycling LC'!U50+'Propylene Recycling LC'!U50+'Methanol Recycling LC'!U47+'BTX Recycling LC'!U47+'Butadiene Recycling LC'!U47</f>
        <v>459.92615097034019</v>
      </c>
      <c r="BC4" s="553">
        <f>'Ethylene Recycling LC'!V50+'Propylene Recycling LC'!V50+'Methanol Recycling LC'!V47+'BTX Recycling LC'!V47+'Butadiene Recycling LC'!V47</f>
        <v>464.71647636645787</v>
      </c>
      <c r="BD4" s="553">
        <f>'Ethylene Recycling LC'!W50+'Propylene Recycling LC'!W50+'Methanol Recycling LC'!W47+'BTX Recycling LC'!W47+'Butadiene Recycling LC'!W47</f>
        <v>469.50514960641442</v>
      </c>
      <c r="BE4" s="553">
        <f>'Ethylene Recycling LC'!X50+'Propylene Recycling LC'!X50+'Methanol Recycling LC'!X47+'BTX Recycling LC'!X47+'Butadiene Recycling LC'!X47</f>
        <v>474.29628400629014</v>
      </c>
      <c r="BF4" s="553">
        <f>'Ethylene Recycling LC'!Y50+'Propylene Recycling LC'!Y50+'Methanol Recycling LC'!Y47+'BTX Recycling LC'!Y47+'Butadiene Recycling LC'!Y47</f>
        <v>479.08892344156408</v>
      </c>
      <c r="BG4" s="553">
        <f>'Ethylene Recycling LC'!Z50+'Propylene Recycling LC'!Z50+'Methanol Recycling LC'!Z47+'BTX Recycling LC'!Z47+'Butadiene Recycling LC'!Z47</f>
        <v>483.95234512086449</v>
      </c>
      <c r="BH4" s="553">
        <f>'Ethylene Recycling LC'!AA50+'Propylene Recycling LC'!AA50+'Methanol Recycling LC'!AA47+'BTX Recycling LC'!AA47+'Butadiene Recycling LC'!AA47</f>
        <v>488.81671000183707</v>
      </c>
      <c r="BI4" s="553">
        <f>'Ethylene Recycling LC'!AB50+'Propylene Recycling LC'!AB50+'Methanol Recycling LC'!AB47+'BTX Recycling LC'!AB47+'Butadiene Recycling LC'!AB47</f>
        <v>493.68102882694615</v>
      </c>
      <c r="BJ4" s="553">
        <f>'Ethylene Recycling LC'!AC50+'Propylene Recycling LC'!AC50+'Methanol Recycling LC'!AC47+'BTX Recycling LC'!AC47+'Butadiene Recycling LC'!AC47</f>
        <v>498.54901492833073</v>
      </c>
      <c r="BK4" s="553">
        <f>'Ethylene Recycling LC'!AD50+'Propylene Recycling LC'!AD50+'Methanol Recycling LC'!AD47+'BTX Recycling LC'!AD47+'Butadiene Recycling LC'!AD47</f>
        <v>503.41980211739235</v>
      </c>
      <c r="BL4" s="553">
        <f>'Ethylene Recycling LC'!AE50+'Propylene Recycling LC'!AE50+'Methanol Recycling LC'!AE47+'BTX Recycling LC'!AE47+'Butadiene Recycling LC'!AE47</f>
        <v>508.29251424020032</v>
      </c>
      <c r="BM4" s="553">
        <f>'Ethylene Recycling LC'!AF50+'Propylene Recycling LC'!AF50+'Methanol Recycling LC'!AF47+'BTX Recycling LC'!AF47+'Butadiene Recycling LC'!AF47</f>
        <v>513.16626539604181</v>
      </c>
      <c r="BN4" s="553">
        <f>'Ethylene Recycling LC'!AG50+'Propylene Recycling LC'!AG50+'Methanol Recycling LC'!AG47+'BTX Recycling LC'!AG47+'Butadiene Recycling LC'!AG47</f>
        <v>518.04016016292849</v>
      </c>
      <c r="BP4" s="553">
        <f>'Ethylene Recycling HC'!C32+'Propylene Recycling HC'!C32+'Methanol Recycling HC'!C32+'BTX Recycling HC'!C32+'Butadiene Recycling HC'!C32</f>
        <v>324.40768545388835</v>
      </c>
      <c r="BQ4" s="553">
        <f>'Ethylene Recycling HC'!D32+'Propylene Recycling HC'!D32+'Methanol Recycling HC'!D32+'BTX Recycling HC'!D32+'Butadiene Recycling HC'!D32</f>
        <v>335.28231755915317</v>
      </c>
      <c r="BR4" s="553">
        <f>'Ethylene Recycling HC'!E32+'Propylene Recycling HC'!E32+'Methanol Recycling HC'!E32+'BTX Recycling HC'!E32+'Butadiene Recycling HC'!E32</f>
        <v>345.61565231605346</v>
      </c>
      <c r="BS4" s="553">
        <f>'Ethylene Recycling HC'!F32+'Propylene Recycling HC'!F32+'Methanol Recycling HC'!F32+'BTX Recycling HC'!F32+'Butadiene Recycling HC'!F32</f>
        <v>355.33676550135777</v>
      </c>
      <c r="BT4" s="553">
        <f>'Ethylene Recycling HC'!G32+'Propylene Recycling HC'!G32+'Methanol Recycling HC'!G32+'BTX Recycling HC'!G32+'Butadiene Recycling HC'!G32</f>
        <v>364.37757107154272</v>
      </c>
      <c r="BU4" s="553">
        <f>'Ethylene Recycling HC'!H32+'Propylene Recycling HC'!H32+'Methanol Recycling HC'!H32+'BTX Recycling HC'!H32+'Butadiene Recycling HC'!H32</f>
        <v>372.67361549702787</v>
      </c>
      <c r="BV4" s="553">
        <f>'Ethylene Recycling HC'!I32+'Propylene Recycling HC'!I32+'Methanol Recycling HC'!I32+'BTX Recycling HC'!I32+'Butadiene Recycling HC'!I32</f>
        <v>380.98503260864499</v>
      </c>
      <c r="BW4" s="553">
        <f>'Ethylene Recycling HC'!J32+'Propylene Recycling HC'!J32+'Methanol Recycling HC'!J32+'BTX Recycling HC'!J32+'Butadiene Recycling HC'!J32</f>
        <v>389.30429718846113</v>
      </c>
      <c r="BX4" s="553">
        <f>'Ethylene Recycling HC'!K32+'Propylene Recycling HC'!K32+'Methanol Recycling HC'!K32+'BTX Recycling HC'!K32+'Butadiene Recycling HC'!K32</f>
        <v>397.62369296828092</v>
      </c>
      <c r="BY4" s="553">
        <f>'Ethylene Recycling HC'!L32+'Propylene Recycling HC'!L32+'Methanol Recycling HC'!L32+'BTX Recycling HC'!L32+'Butadiene Recycling HC'!L32</f>
        <v>405.93532266444282</v>
      </c>
      <c r="BZ4" s="553">
        <f>'Ethylene Recycling HC'!M32+'Propylene Recycling HC'!M32+'Methanol Recycling HC'!M32+'BTX Recycling HC'!M32+'Butadiene Recycling HC'!M32</f>
        <v>414.23111869081902</v>
      </c>
      <c r="CA4" s="553">
        <f>'Ethylene Recycling HC'!N32+'Propylene Recycling HC'!N32+'Methanol Recycling HC'!N32+'BTX Recycling HC'!N32+'Butadiene Recycling HC'!N32</f>
        <v>421.89834140174162</v>
      </c>
      <c r="CB4" s="553">
        <f>'Ethylene Recycling HC'!O32+'Propylene Recycling HC'!O32+'Methanol Recycling HC'!O32+'BTX Recycling HC'!O32+'Butadiene Recycling HC'!O32</f>
        <v>428.89446700163188</v>
      </c>
      <c r="CC4" s="553">
        <f>'Ethylene Recycling HC'!P32+'Propylene Recycling HC'!P32+'Methanol Recycling HC'!P32+'BTX Recycling HC'!P32+'Butadiene Recycling HC'!P32</f>
        <v>435.17997522300169</v>
      </c>
      <c r="CD4" s="553">
        <f>'Ethylene Recycling HC'!Q32+'Propylene Recycling HC'!Q32+'Methanol Recycling HC'!Q32+'BTX Recycling HC'!Q32+'Butadiene Recycling HC'!Q32</f>
        <v>440.71871663624506</v>
      </c>
      <c r="CE4" s="553">
        <f>'Ethylene Recycling HC'!R32+'Propylene Recycling HC'!R32+'Methanol Recycling HC'!R32+'BTX Recycling HC'!R32+'Butadiene Recycling HC'!R32</f>
        <v>445.47825510447694</v>
      </c>
      <c r="CF4" s="553">
        <f>'Ethylene Recycling HC'!S32+'Propylene Recycling HC'!S32+'Methanol Recycling HC'!S32+'BTX Recycling HC'!S32+'Butadiene Recycling HC'!S32</f>
        <v>450.23990570364913</v>
      </c>
      <c r="CG4" s="553">
        <f>'Ethylene Recycling HC'!T32+'Propylene Recycling HC'!T32+'Methanol Recycling HC'!T32+'BTX Recycling HC'!T32+'Butadiene Recycling HC'!T32</f>
        <v>455.002607549804</v>
      </c>
      <c r="CH4" s="553">
        <f>'Ethylene Recycling HC'!U32+'Propylene Recycling HC'!U32+'Methanol Recycling HC'!U32+'BTX Recycling HC'!U32+'Butadiene Recycling HC'!U32</f>
        <v>459.76528702255717</v>
      </c>
      <c r="CI4" s="553">
        <f>'Ethylene Recycling HC'!V32+'Propylene Recycling HC'!V32+'Methanol Recycling HC'!V32+'BTX Recycling HC'!V32+'Butadiene Recycling HC'!V32</f>
        <v>464.52685810380467</v>
      </c>
      <c r="CJ4" s="553">
        <f>'Ethylene Recycling HC'!W32+'Propylene Recycling HC'!W32+'Methanol Recycling HC'!W32+'BTX Recycling HC'!W32+'Butadiene Recycling HC'!W32</f>
        <v>469.28622272768155</v>
      </c>
      <c r="CK4" s="553">
        <f>'Ethylene Recycling HC'!X32+'Propylene Recycling HC'!X32+'Methanol Recycling HC'!X32+'BTX Recycling HC'!X32+'Butadiene Recycling HC'!X32</f>
        <v>474.04749243843122</v>
      </c>
      <c r="CL4" s="553">
        <f>'Ethylene Recycling HC'!Y32+'Propylene Recycling HC'!Y32+'Methanol Recycling HC'!Y32+'BTX Recycling HC'!Y32+'Butadiene Recycling HC'!Y32</f>
        <v>478.80971133567579</v>
      </c>
      <c r="CM4" s="553">
        <f>'Ethylene Recycling HC'!Z32+'Propylene Recycling HC'!Z32+'Methanol Recycling HC'!Z32+'BTX Recycling HC'!Z32+'Butadiene Recycling HC'!Z32</f>
        <v>483.5719127163805</v>
      </c>
      <c r="CN4" s="553">
        <f>'Ethylene Recycling HC'!AA32+'Propylene Recycling HC'!AA32+'Methanol Recycling HC'!AA32+'BTX Recycling HC'!AA32+'Butadiene Recycling HC'!AA32</f>
        <v>488.33311935106536</v>
      </c>
      <c r="CO4" s="553">
        <f>'Ethylene Recycling HC'!AB32+'Propylene Recycling HC'!AB32+'Methanol Recycling HC'!AB32+'BTX Recycling HC'!AB32+'Butadiene Recycling HC'!AB32</f>
        <v>493.09234376861764</v>
      </c>
      <c r="CP4" s="553">
        <f>'Ethylene Recycling HC'!AC32+'Propylene Recycling HC'!AC32+'Methanol Recycling HC'!AC32+'BTX Recycling HC'!AC32+'Butadiene Recycling HC'!AC32</f>
        <v>497.85329532816434</v>
      </c>
      <c r="CQ4" s="553">
        <f>'Ethylene Recycling HC'!AD32+'Propylene Recycling HC'!AD32+'Methanol Recycling HC'!AD32+'BTX Recycling HC'!AD32+'Butadiene Recycling HC'!AD32</f>
        <v>502.61510817254663</v>
      </c>
      <c r="CR4" s="553">
        <f>'Ethylene Recycling HC'!AE32+'Propylene Recycling HC'!AE32+'Methanol Recycling HC'!AE32+'BTX Recycling HC'!AE32+'Butadiene Recycling HC'!AE32</f>
        <v>507.37690720102233</v>
      </c>
      <c r="CS4" s="553">
        <f>'Ethylene Recycling HC'!AF32+'Propylene Recycling HC'!AF32+'Methanol Recycling HC'!AF32+'BTX Recycling HC'!AF32+'Butadiene Recycling HC'!AF32</f>
        <v>512.13780829676875</v>
      </c>
      <c r="CT4" s="553">
        <f>'Ethylene Recycling HC'!AG32+'Propylene Recycling HC'!AG32+'Methanol Recycling HC'!AG32+'BTX Recycling HC'!AG32+'Butadiene Recycling HC'!AG32</f>
        <v>516.89691856104844</v>
      </c>
      <c r="CV4" s="553">
        <f>BP4</f>
        <v>324.40768545388835</v>
      </c>
      <c r="CW4" s="553">
        <f t="shared" ref="CW4:DZ4" si="57">BQ4</f>
        <v>335.28231755915317</v>
      </c>
      <c r="CX4" s="553">
        <f t="shared" si="57"/>
        <v>345.61565231605346</v>
      </c>
      <c r="CY4" s="553">
        <f t="shared" si="57"/>
        <v>355.33676550135777</v>
      </c>
      <c r="CZ4" s="553">
        <f t="shared" si="57"/>
        <v>364.37757107154272</v>
      </c>
      <c r="DA4" s="553">
        <f t="shared" si="57"/>
        <v>372.67361549702787</v>
      </c>
      <c r="DB4" s="553">
        <f t="shared" si="57"/>
        <v>380.98503260864499</v>
      </c>
      <c r="DC4" s="553">
        <f t="shared" si="57"/>
        <v>389.30429718846113</v>
      </c>
      <c r="DD4" s="553">
        <f t="shared" si="57"/>
        <v>397.62369296828092</v>
      </c>
      <c r="DE4" s="553">
        <f t="shared" si="57"/>
        <v>405.93532266444282</v>
      </c>
      <c r="DF4" s="553">
        <f t="shared" si="57"/>
        <v>414.23111869081902</v>
      </c>
      <c r="DG4" s="553">
        <f t="shared" si="57"/>
        <v>421.89834140174162</v>
      </c>
      <c r="DH4" s="553">
        <f t="shared" si="57"/>
        <v>428.89446700163188</v>
      </c>
      <c r="DI4" s="553">
        <f t="shared" si="57"/>
        <v>435.17997522300169</v>
      </c>
      <c r="DJ4" s="553">
        <f t="shared" si="57"/>
        <v>440.71871663624506</v>
      </c>
      <c r="DK4" s="553">
        <f t="shared" si="57"/>
        <v>445.47825510447694</v>
      </c>
      <c r="DL4" s="553">
        <f t="shared" si="57"/>
        <v>450.23990570364913</v>
      </c>
      <c r="DM4" s="553">
        <f t="shared" si="57"/>
        <v>455.002607549804</v>
      </c>
      <c r="DN4" s="553">
        <f t="shared" si="57"/>
        <v>459.76528702255717</v>
      </c>
      <c r="DO4" s="553">
        <f t="shared" si="57"/>
        <v>464.52685810380467</v>
      </c>
      <c r="DP4" s="553">
        <f t="shared" si="57"/>
        <v>469.28622272768155</v>
      </c>
      <c r="DQ4" s="553">
        <f t="shared" si="57"/>
        <v>474.04749243843122</v>
      </c>
      <c r="DR4" s="553">
        <f t="shared" si="57"/>
        <v>478.80971133567579</v>
      </c>
      <c r="DS4" s="553">
        <f t="shared" si="57"/>
        <v>483.5719127163805</v>
      </c>
      <c r="DT4" s="553">
        <f t="shared" si="57"/>
        <v>488.33311935106536</v>
      </c>
      <c r="DU4" s="553">
        <f t="shared" si="57"/>
        <v>493.09234376861764</v>
      </c>
      <c r="DV4" s="553">
        <f t="shared" si="57"/>
        <v>497.85329532816434</v>
      </c>
      <c r="DW4" s="553">
        <f t="shared" si="57"/>
        <v>502.61510817254663</v>
      </c>
      <c r="DX4" s="553">
        <f t="shared" si="57"/>
        <v>507.37690720102233</v>
      </c>
      <c r="DY4" s="553">
        <f t="shared" si="57"/>
        <v>512.13780829676875</v>
      </c>
      <c r="DZ4" s="553">
        <f t="shared" si="57"/>
        <v>516.89691856104844</v>
      </c>
      <c r="EE4" s="554" t="s">
        <v>425</v>
      </c>
      <c r="EF4" s="554" t="s">
        <v>426</v>
      </c>
      <c r="EG4" s="554" t="s">
        <v>410</v>
      </c>
      <c r="EH4" s="554" t="s">
        <v>427</v>
      </c>
      <c r="EK4" s="613">
        <v>4.8379999999999999E-2</v>
      </c>
      <c r="EL4" s="613">
        <v>4.8379999999999999E-2</v>
      </c>
      <c r="EM4" s="613">
        <v>4.8379999999999999E-2</v>
      </c>
      <c r="EN4" s="613">
        <v>4.8379999999999999E-2</v>
      </c>
      <c r="EO4" s="613">
        <v>4.8379999999999999E-2</v>
      </c>
      <c r="EP4" s="613">
        <v>4.8379999999999999E-2</v>
      </c>
      <c r="EQ4" s="613">
        <v>4.8379999999999999E-2</v>
      </c>
      <c r="ER4" s="613">
        <v>4.8379999999999999E-2</v>
      </c>
      <c r="ES4" s="613">
        <v>4.8379999999999999E-2</v>
      </c>
      <c r="ET4" s="613">
        <v>4.8379999999999999E-2</v>
      </c>
      <c r="EU4" s="613">
        <v>4.8379999999999999E-2</v>
      </c>
      <c r="EV4" s="613">
        <v>4.8379999999999999E-2</v>
      </c>
      <c r="EW4" s="613">
        <v>4.8379999999999999E-2</v>
      </c>
      <c r="EX4" s="613">
        <v>4.8379999999999999E-2</v>
      </c>
      <c r="EY4" s="613">
        <v>4.8379999999999999E-2</v>
      </c>
      <c r="EZ4" s="613">
        <v>4.8379999999999999E-2</v>
      </c>
      <c r="FA4" s="613">
        <v>4.8379999999999999E-2</v>
      </c>
      <c r="FB4" s="613">
        <v>4.8379999999999999E-2</v>
      </c>
      <c r="FC4" s="613">
        <v>4.8379999999999999E-2</v>
      </c>
      <c r="FD4" s="613">
        <v>4.8379999999999999E-2</v>
      </c>
      <c r="FE4" s="613">
        <v>4.8379999999999999E-2</v>
      </c>
      <c r="FF4" s="613">
        <v>4.8379999999999999E-2</v>
      </c>
      <c r="FG4" s="613">
        <v>4.8379999999999999E-2</v>
      </c>
      <c r="FH4" s="613">
        <v>4.8379999999999999E-2</v>
      </c>
      <c r="FI4" s="613">
        <v>4.8379999999999999E-2</v>
      </c>
    </row>
    <row r="5" spans="1:165" ht="16" thickBot="1">
      <c r="A5" s="1"/>
      <c r="B5" s="1"/>
      <c r="C5" s="54"/>
      <c r="EE5" t="s">
        <v>428</v>
      </c>
      <c r="EF5" t="s">
        <v>429</v>
      </c>
      <c r="EG5" t="s">
        <v>410</v>
      </c>
      <c r="EH5" t="s">
        <v>430</v>
      </c>
      <c r="EK5" s="43">
        <v>0.48</v>
      </c>
      <c r="EL5" s="43">
        <v>0.4660353086988977</v>
      </c>
      <c r="EM5" s="43">
        <v>0.45207061739779542</v>
      </c>
      <c r="EN5" s="43">
        <v>0.43810592609669313</v>
      </c>
      <c r="EO5" s="43">
        <v>0.42414123479559085</v>
      </c>
      <c r="EP5" s="43">
        <v>0.41017654349448857</v>
      </c>
      <c r="EQ5" s="43">
        <v>0.39621185219338628</v>
      </c>
      <c r="ER5" s="43">
        <v>0.382247160892284</v>
      </c>
      <c r="ES5" s="43">
        <v>0.36828246959118172</v>
      </c>
      <c r="ET5" s="43">
        <v>0.35431777829007943</v>
      </c>
      <c r="EU5" s="43">
        <v>0.34035308698897715</v>
      </c>
      <c r="EV5" s="43">
        <v>0.32638839568787487</v>
      </c>
      <c r="EW5" s="43">
        <v>0.31242370438677258</v>
      </c>
      <c r="EX5" s="43">
        <v>0.2984590130856703</v>
      </c>
      <c r="EY5" s="43">
        <v>0.28449432178456802</v>
      </c>
      <c r="EZ5" s="43">
        <v>0.27052963048346573</v>
      </c>
      <c r="FA5" s="43">
        <v>0.25656493918236345</v>
      </c>
      <c r="FB5" s="43">
        <v>0.24260024788126119</v>
      </c>
      <c r="FC5" s="43">
        <v>0.22863555658015894</v>
      </c>
      <c r="FD5" s="43">
        <v>0.21467086527905668</v>
      </c>
      <c r="FE5" s="43">
        <v>0.20070617397795443</v>
      </c>
      <c r="FF5" s="43">
        <v>0.18674148267685217</v>
      </c>
      <c r="FG5" s="43">
        <v>0.17277679137574992</v>
      </c>
      <c r="FH5" s="43">
        <v>0.15881210007464766</v>
      </c>
      <c r="FI5" s="43">
        <v>0.14484740877354568</v>
      </c>
    </row>
    <row r="6" spans="1:165" s="554" customFormat="1">
      <c r="A6" s="550" t="s">
        <v>431</v>
      </c>
      <c r="B6" s="551"/>
      <c r="C6" s="552" t="s">
        <v>153</v>
      </c>
      <c r="D6" s="553">
        <f>SUM(D9:D12)</f>
        <v>186.18442597654681</v>
      </c>
      <c r="E6" s="553">
        <f t="shared" ref="E6:AH6" si="58">SUM(E9:E12)</f>
        <v>195.12542685141733</v>
      </c>
      <c r="F6" s="553">
        <f t="shared" si="58"/>
        <v>204.11469043170919</v>
      </c>
      <c r="G6" s="553">
        <f t="shared" si="58"/>
        <v>212.89440617546649</v>
      </c>
      <c r="H6" s="553">
        <f t="shared" si="58"/>
        <v>221.4058360674909</v>
      </c>
      <c r="I6" s="553">
        <f t="shared" si="58"/>
        <v>229.59054703296104</v>
      </c>
      <c r="J6" s="553">
        <f t="shared" si="58"/>
        <v>237.90339149658507</v>
      </c>
      <c r="K6" s="553">
        <f t="shared" si="58"/>
        <v>246.33961336312672</v>
      </c>
      <c r="L6" s="553">
        <f t="shared" si="58"/>
        <v>254.89512861701499</v>
      </c>
      <c r="M6" s="553">
        <f t="shared" si="58"/>
        <v>263.56725539396405</v>
      </c>
      <c r="N6" s="553">
        <f t="shared" si="58"/>
        <v>272.35458377916575</v>
      </c>
      <c r="O6" s="553">
        <f t="shared" si="58"/>
        <v>281.7202540930632</v>
      </c>
      <c r="P6" s="553">
        <f t="shared" si="58"/>
        <v>290.76459254036195</v>
      </c>
      <c r="Q6" s="553">
        <f t="shared" si="58"/>
        <v>299.47713954779238</v>
      </c>
      <c r="R6" s="553">
        <f t="shared" si="58"/>
        <v>307.7885325285813</v>
      </c>
      <c r="S6" s="553">
        <f t="shared" si="58"/>
        <v>315.66619454967724</v>
      </c>
      <c r="T6" s="553">
        <f t="shared" si="58"/>
        <v>323.63577516670409</v>
      </c>
      <c r="U6" s="553">
        <f t="shared" si="58"/>
        <v>331.670044008692</v>
      </c>
      <c r="V6" s="553">
        <f t="shared" si="58"/>
        <v>339.74025510945063</v>
      </c>
      <c r="W6" s="553">
        <f t="shared" si="58"/>
        <v>347.81933205478174</v>
      </c>
      <c r="X6" s="553">
        <f t="shared" si="58"/>
        <v>355.83113682889996</v>
      </c>
      <c r="Y6" s="553">
        <f t="shared" si="58"/>
        <v>364.95957243362557</v>
      </c>
      <c r="Z6" s="553">
        <f t="shared" si="58"/>
        <v>374.04764017181014</v>
      </c>
      <c r="AA6" s="553">
        <f t="shared" si="58"/>
        <v>383.16096268034005</v>
      </c>
      <c r="AB6" s="553">
        <f t="shared" si="58"/>
        <v>392.24688807941618</v>
      </c>
      <c r="AC6" s="553">
        <f t="shared" si="58"/>
        <v>401.31486172301686</v>
      </c>
      <c r="AD6" s="553">
        <f t="shared" si="58"/>
        <v>410.38138049197607</v>
      </c>
      <c r="AE6" s="553">
        <f t="shared" si="58"/>
        <v>419.46060695738811</v>
      </c>
      <c r="AF6" s="553">
        <f t="shared" si="58"/>
        <v>428.56384311496436</v>
      </c>
      <c r="AG6" s="553">
        <f t="shared" si="58"/>
        <v>437.72276681549744</v>
      </c>
      <c r="AH6" s="553">
        <f t="shared" si="58"/>
        <v>446.83506204813705</v>
      </c>
      <c r="AJ6" s="553">
        <f>SUM(AJ9:AJ12)</f>
        <v>186.18439578806351</v>
      </c>
      <c r="AK6" s="553">
        <f t="shared" ref="AK6:BN6" si="59">SUM(AK9:AK12)</f>
        <v>195.12536184049767</v>
      </c>
      <c r="AL6" s="553">
        <f t="shared" si="59"/>
        <v>204.11455501747582</v>
      </c>
      <c r="AM6" s="553">
        <f t="shared" si="59"/>
        <v>212.89412608189267</v>
      </c>
      <c r="AN6" s="553">
        <f t="shared" si="59"/>
        <v>221.4052612775626</v>
      </c>
      <c r="AO6" s="553">
        <f t="shared" si="59"/>
        <v>229.5893782903058</v>
      </c>
      <c r="AP6" s="553">
        <f t="shared" si="59"/>
        <v>237.90103602341486</v>
      </c>
      <c r="AQ6" s="553">
        <f t="shared" si="59"/>
        <v>246.33491983631546</v>
      </c>
      <c r="AR6" s="553">
        <f t="shared" si="59"/>
        <v>254.88591309691054</v>
      </c>
      <c r="AS6" s="553">
        <f t="shared" si="59"/>
        <v>263.54950422775516</v>
      </c>
      <c r="AT6" s="553">
        <f t="shared" si="59"/>
        <v>272.3210809910442</v>
      </c>
      <c r="AU6" s="553">
        <f t="shared" si="59"/>
        <v>281.6618874781152</v>
      </c>
      <c r="AV6" s="553">
        <f t="shared" si="59"/>
        <v>290.66649199638573</v>
      </c>
      <c r="AW6" s="553">
        <f t="shared" si="59"/>
        <v>299.30951856599341</v>
      </c>
      <c r="AX6" s="553">
        <f t="shared" si="59"/>
        <v>307.52868621352576</v>
      </c>
      <c r="AY6" s="553">
        <f t="shared" si="59"/>
        <v>315.28518160674884</v>
      </c>
      <c r="AZ6" s="553">
        <f t="shared" si="59"/>
        <v>323.10875586354973</v>
      </c>
      <c r="BA6" s="553">
        <f t="shared" si="59"/>
        <v>330.98295969356934</v>
      </c>
      <c r="BB6" s="553">
        <f t="shared" si="59"/>
        <v>338.89051120668097</v>
      </c>
      <c r="BC6" s="553">
        <f t="shared" si="59"/>
        <v>346.81498990712572</v>
      </c>
      <c r="BD6" s="553">
        <f t="shared" si="59"/>
        <v>354.68763379921722</v>
      </c>
      <c r="BE6" s="553">
        <f t="shared" si="59"/>
        <v>363.71000523255464</v>
      </c>
      <c r="BF6" s="553">
        <f t="shared" si="59"/>
        <v>372.68711270296285</v>
      </c>
      <c r="BG6" s="553">
        <f t="shared" si="59"/>
        <v>381.70197828269698</v>
      </c>
      <c r="BH6" s="553">
        <f t="shared" si="59"/>
        <v>390.69979888675624</v>
      </c>
      <c r="BI6" s="553">
        <f t="shared" si="59"/>
        <v>399.68366270926379</v>
      </c>
      <c r="BJ6" s="553">
        <f t="shared" si="59"/>
        <v>408.66232223772829</v>
      </c>
      <c r="BK6" s="553">
        <f t="shared" si="59"/>
        <v>417.64460469285677</v>
      </c>
      <c r="BL6" s="553">
        <f t="shared" si="59"/>
        <v>426.63355586375326</v>
      </c>
      <c r="BM6" s="553">
        <f t="shared" si="59"/>
        <v>435.64547466982964</v>
      </c>
      <c r="BN6" s="553">
        <f t="shared" si="59"/>
        <v>444.55642430658872</v>
      </c>
      <c r="BP6" s="553">
        <f>SUM(BP9:BP12)</f>
        <v>186.18435850912638</v>
      </c>
      <c r="BQ6" s="553">
        <f t="shared" ref="BQ6:CT6" si="60">SUM(BQ9:BQ12)</f>
        <v>190.59251635229654</v>
      </c>
      <c r="BR6" s="553">
        <f t="shared" si="60"/>
        <v>194.61499217444174</v>
      </c>
      <c r="BS6" s="553">
        <f t="shared" si="60"/>
        <v>198.22400933215147</v>
      </c>
      <c r="BT6" s="553">
        <f t="shared" si="60"/>
        <v>201.39472479833762</v>
      </c>
      <c r="BU6" s="553">
        <f t="shared" si="60"/>
        <v>204.10555518983418</v>
      </c>
      <c r="BV6" s="553">
        <f t="shared" si="60"/>
        <v>206.74740988586825</v>
      </c>
      <c r="BW6" s="553">
        <f t="shared" si="60"/>
        <v>209.31655310645411</v>
      </c>
      <c r="BX6" s="553">
        <f t="shared" si="60"/>
        <v>211.80931778919631</v>
      </c>
      <c r="BY6" s="553">
        <f t="shared" si="60"/>
        <v>214.222115521923</v>
      </c>
      <c r="BZ6" s="553">
        <f t="shared" si="60"/>
        <v>216.55144648587014</v>
      </c>
      <c r="CA6" s="553">
        <f t="shared" si="60"/>
        <v>218.50831722291912</v>
      </c>
      <c r="CB6" s="553">
        <f t="shared" si="60"/>
        <v>220.08297061204263</v>
      </c>
      <c r="CC6" s="553">
        <f t="shared" si="60"/>
        <v>221.26793213017001</v>
      </c>
      <c r="CD6" s="553">
        <f t="shared" si="60"/>
        <v>222.05809911894164</v>
      </c>
      <c r="CE6" s="553">
        <f t="shared" si="60"/>
        <v>222.45080729777959</v>
      </c>
      <c r="CF6" s="553">
        <f t="shared" si="60"/>
        <v>222.80722662206864</v>
      </c>
      <c r="CG6" s="553">
        <f t="shared" si="60"/>
        <v>223.12712294111554</v>
      </c>
      <c r="CH6" s="553">
        <f t="shared" si="60"/>
        <v>223.41028416596973</v>
      </c>
      <c r="CI6" s="553">
        <f t="shared" si="60"/>
        <v>223.65652085460317</v>
      </c>
      <c r="CJ6" s="553">
        <f t="shared" si="60"/>
        <v>223.86566679327586</v>
      </c>
      <c r="CK6" s="553">
        <f t="shared" si="60"/>
        <v>224.03977304044028</v>
      </c>
      <c r="CL6" s="553">
        <f t="shared" si="60"/>
        <v>224.17870811346796</v>
      </c>
      <c r="CM6" s="553">
        <f t="shared" si="60"/>
        <v>224.28236207033717</v>
      </c>
      <c r="CN6" s="553">
        <f t="shared" si="60"/>
        <v>224.35064702064545</v>
      </c>
      <c r="CO6" s="553">
        <f t="shared" si="60"/>
        <v>224.38349763361788</v>
      </c>
      <c r="CP6" s="553">
        <f t="shared" si="60"/>
        <v>224.38272579976456</v>
      </c>
      <c r="CQ6" s="553">
        <f t="shared" si="60"/>
        <v>224.34829380948042</v>
      </c>
      <c r="CR6" s="553">
        <f t="shared" si="60"/>
        <v>224.28018509537588</v>
      </c>
      <c r="CS6" s="553">
        <f t="shared" si="60"/>
        <v>224.17840468844696</v>
      </c>
      <c r="CT6" s="553">
        <f t="shared" si="60"/>
        <v>224.04297967204047</v>
      </c>
      <c r="CV6" s="553">
        <f>SUM(CV9:CV12)</f>
        <v>186.18439578806351</v>
      </c>
      <c r="CW6" s="553">
        <f t="shared" ref="CW6:DZ6" si="61">SUM(CW9:CW12)</f>
        <v>195.12536184049767</v>
      </c>
      <c r="CX6" s="553">
        <f t="shared" si="61"/>
        <v>204.11455501747582</v>
      </c>
      <c r="CY6" s="553">
        <f t="shared" si="61"/>
        <v>212.89412608189267</v>
      </c>
      <c r="CZ6" s="553">
        <f t="shared" si="61"/>
        <v>221.4052612775626</v>
      </c>
      <c r="DA6" s="553">
        <f t="shared" si="61"/>
        <v>229.5893782903058</v>
      </c>
      <c r="DB6" s="553">
        <f t="shared" si="61"/>
        <v>237.90103602341486</v>
      </c>
      <c r="DC6" s="553">
        <f t="shared" si="61"/>
        <v>246.33491983631546</v>
      </c>
      <c r="DD6" s="553">
        <f t="shared" si="61"/>
        <v>254.88591309691054</v>
      </c>
      <c r="DE6" s="553">
        <f t="shared" si="61"/>
        <v>263.54950422775516</v>
      </c>
      <c r="DF6" s="553">
        <f t="shared" si="61"/>
        <v>272.32108099104414</v>
      </c>
      <c r="DG6" s="553">
        <f t="shared" si="61"/>
        <v>281.6618874781152</v>
      </c>
      <c r="DH6" s="553">
        <f t="shared" si="61"/>
        <v>290.66649199638573</v>
      </c>
      <c r="DI6" s="553">
        <f t="shared" si="61"/>
        <v>299.2937594519924</v>
      </c>
      <c r="DJ6" s="553">
        <f t="shared" si="61"/>
        <v>307.49640703840316</v>
      </c>
      <c r="DK6" s="553">
        <f t="shared" si="61"/>
        <v>315.23569441793552</v>
      </c>
      <c r="DL6" s="553">
        <f t="shared" si="61"/>
        <v>323.04133251805058</v>
      </c>
      <c r="DM6" s="553">
        <f t="shared" si="61"/>
        <v>330.89686034202441</v>
      </c>
      <c r="DN6" s="553">
        <f t="shared" si="61"/>
        <v>338.78498445693526</v>
      </c>
      <c r="DO6" s="553">
        <f t="shared" si="61"/>
        <v>346.68927299898667</v>
      </c>
      <c r="DP6" s="553">
        <f t="shared" si="61"/>
        <v>354.54095279046624</v>
      </c>
      <c r="DQ6" s="553">
        <f t="shared" si="61"/>
        <v>363.54157334111414</v>
      </c>
      <c r="DR6" s="553">
        <f t="shared" si="61"/>
        <v>372.49613162253524</v>
      </c>
      <c r="DS6" s="553">
        <f t="shared" si="61"/>
        <v>381.43909949119853</v>
      </c>
      <c r="DT6" s="553">
        <f t="shared" si="61"/>
        <v>390.36225261251764</v>
      </c>
      <c r="DU6" s="553">
        <f t="shared" si="61"/>
        <v>399.2686397431421</v>
      </c>
      <c r="DV6" s="553">
        <f t="shared" si="61"/>
        <v>408.16696988240983</v>
      </c>
      <c r="DW6" s="553">
        <f t="shared" si="61"/>
        <v>417.06602974651264</v>
      </c>
      <c r="DX6" s="553">
        <f t="shared" si="61"/>
        <v>425.96882515331004</v>
      </c>
      <c r="DY6" s="553">
        <f t="shared" si="61"/>
        <v>434.8916156160625</v>
      </c>
      <c r="DZ6" s="553">
        <f t="shared" si="61"/>
        <v>443.71042552119741</v>
      </c>
      <c r="EE6" s="554" t="s">
        <v>432</v>
      </c>
      <c r="EF6" s="554" t="s">
        <v>433</v>
      </c>
      <c r="EG6" s="554" t="s">
        <v>410</v>
      </c>
      <c r="EH6" s="554" t="s">
        <v>430</v>
      </c>
      <c r="EK6" s="613">
        <v>0.48</v>
      </c>
      <c r="EL6" s="613">
        <v>0.4660353086988977</v>
      </c>
      <c r="EM6" s="613">
        <v>0.45207061739779542</v>
      </c>
      <c r="EN6" s="613">
        <v>0.43810592609669313</v>
      </c>
      <c r="EO6" s="613">
        <v>0.42414123479559085</v>
      </c>
      <c r="EP6" s="613">
        <v>0.41017654349448857</v>
      </c>
      <c r="EQ6" s="613">
        <v>0.39621185219338628</v>
      </c>
      <c r="ER6" s="613">
        <v>0.382247160892284</v>
      </c>
      <c r="ES6" s="613">
        <v>0.36828246959118172</v>
      </c>
      <c r="ET6" s="613">
        <v>0.35431777829007943</v>
      </c>
      <c r="EU6" s="613">
        <v>0.34035308698897715</v>
      </c>
      <c r="EV6" s="613">
        <v>0.32638839568787487</v>
      </c>
      <c r="EW6" s="613">
        <v>0.31242370438677258</v>
      </c>
      <c r="EX6" s="613">
        <v>0.2984590130856703</v>
      </c>
      <c r="EY6" s="613">
        <v>0.28449432178456802</v>
      </c>
      <c r="EZ6" s="613">
        <v>0.27052963048346573</v>
      </c>
      <c r="FA6" s="613">
        <v>0.25656493918236345</v>
      </c>
      <c r="FB6" s="613">
        <v>0.24260024788126119</v>
      </c>
      <c r="FC6" s="613">
        <v>0.22863555658015894</v>
      </c>
      <c r="FD6" s="613">
        <v>0.21467086527905668</v>
      </c>
      <c r="FE6" s="613">
        <v>0.20070617397795443</v>
      </c>
      <c r="FF6" s="613">
        <v>0.18674148267685217</v>
      </c>
      <c r="FG6" s="613">
        <v>0.17277679137574992</v>
      </c>
      <c r="FH6" s="613">
        <v>0.15881210007464766</v>
      </c>
      <c r="FI6" s="613">
        <v>0.14484740877354568</v>
      </c>
    </row>
    <row r="7" spans="1:165" s="82" customFormat="1" ht="16" thickBot="1">
      <c r="A7" s="600" t="s">
        <v>434</v>
      </c>
      <c r="C7" s="170" t="s">
        <v>153</v>
      </c>
      <c r="D7" s="604">
        <f>SUM(D13:D16)</f>
        <v>138.22325947734151</v>
      </c>
      <c r="E7" s="604">
        <f t="shared" ref="E7:AH7" si="62">SUM(E13:E16)</f>
        <v>140.15689070773584</v>
      </c>
      <c r="F7" s="604">
        <f t="shared" si="62"/>
        <v>141.50096188434421</v>
      </c>
      <c r="G7" s="604">
        <f t="shared" si="62"/>
        <v>142.44235932589126</v>
      </c>
      <c r="H7" s="604">
        <f t="shared" si="62"/>
        <v>142.97173500405182</v>
      </c>
      <c r="I7" s="604">
        <f t="shared" si="62"/>
        <v>143.0830684640668</v>
      </c>
      <c r="J7" s="604">
        <f t="shared" si="62"/>
        <v>143.08164111205988</v>
      </c>
      <c r="K7" s="604">
        <f t="shared" si="62"/>
        <v>142.96468382533433</v>
      </c>
      <c r="L7" s="604">
        <f t="shared" si="62"/>
        <v>142.72856435126585</v>
      </c>
      <c r="M7" s="604">
        <f t="shared" si="62"/>
        <v>142.36806727047872</v>
      </c>
      <c r="N7" s="604">
        <f t="shared" si="62"/>
        <v>141.87653491165321</v>
      </c>
      <c r="O7" s="604">
        <f t="shared" si="62"/>
        <v>140.17808730867822</v>
      </c>
      <c r="P7" s="604">
        <f t="shared" si="62"/>
        <v>138.12987446126974</v>
      </c>
      <c r="Q7" s="604">
        <f t="shared" si="62"/>
        <v>135.74497892977377</v>
      </c>
      <c r="R7" s="604">
        <f t="shared" si="62"/>
        <v>133.01554337106751</v>
      </c>
      <c r="S7" s="604">
        <f t="shared" si="62"/>
        <v>129.94148220499079</v>
      </c>
      <c r="T7" s="604">
        <f t="shared" si="62"/>
        <v>126.77853722881053</v>
      </c>
      <c r="U7" s="604">
        <f t="shared" si="62"/>
        <v>123.55287802947618</v>
      </c>
      <c r="V7" s="604">
        <f t="shared" si="62"/>
        <v>120.29217663438219</v>
      </c>
      <c r="W7" s="604">
        <f t="shared" si="62"/>
        <v>117.02242269692563</v>
      </c>
      <c r="X7" s="604">
        <f t="shared" si="62"/>
        <v>113.81865499431149</v>
      </c>
      <c r="Y7" s="604">
        <f t="shared" si="62"/>
        <v>109.50108501143001</v>
      </c>
      <c r="Z7" s="604">
        <f t="shared" si="62"/>
        <v>105.22575517282036</v>
      </c>
      <c r="AA7" s="604">
        <f t="shared" si="62"/>
        <v>100.99631975024471</v>
      </c>
      <c r="AB7" s="604">
        <f t="shared" si="62"/>
        <v>96.795591127324755</v>
      </c>
      <c r="AC7" s="604">
        <f t="shared" si="62"/>
        <v>92.613134082993597</v>
      </c>
      <c r="AD7" s="604">
        <f t="shared" si="62"/>
        <v>88.436166840205132</v>
      </c>
      <c r="AE7" s="604">
        <f t="shared" si="62"/>
        <v>84.249660338506729</v>
      </c>
      <c r="AF7" s="604">
        <f t="shared" si="62"/>
        <v>80.041435988362224</v>
      </c>
      <c r="AG7" s="604">
        <f t="shared" si="62"/>
        <v>75.77892945760604</v>
      </c>
      <c r="AH7" s="604">
        <f t="shared" si="62"/>
        <v>71.563560612100432</v>
      </c>
      <c r="AJ7" s="604">
        <f>SUM(AJ13:AJ16)</f>
        <v>138.22328966582484</v>
      </c>
      <c r="AK7" s="604">
        <f t="shared" ref="AK7:BN7" si="63">SUM(AK13:AK16)</f>
        <v>140.15695571865547</v>
      </c>
      <c r="AL7" s="604">
        <f t="shared" si="63"/>
        <v>141.5010972985776</v>
      </c>
      <c r="AM7" s="604">
        <f t="shared" si="63"/>
        <v>142.44263941946508</v>
      </c>
      <c r="AN7" s="604">
        <f t="shared" si="63"/>
        <v>142.97230979398012</v>
      </c>
      <c r="AO7" s="604">
        <f t="shared" si="63"/>
        <v>143.08423720672209</v>
      </c>
      <c r="AP7" s="604">
        <f t="shared" si="63"/>
        <v>143.08399658523015</v>
      </c>
      <c r="AQ7" s="604">
        <f t="shared" si="63"/>
        <v>142.96937735214559</v>
      </c>
      <c r="AR7" s="604">
        <f t="shared" si="63"/>
        <v>142.73777987137029</v>
      </c>
      <c r="AS7" s="604">
        <f t="shared" si="63"/>
        <v>142.38581843668754</v>
      </c>
      <c r="AT7" s="604">
        <f t="shared" si="63"/>
        <v>141.91003769977482</v>
      </c>
      <c r="AU7" s="604">
        <f t="shared" si="63"/>
        <v>140.2364539236263</v>
      </c>
      <c r="AV7" s="604">
        <f t="shared" si="63"/>
        <v>138.22797500524601</v>
      </c>
      <c r="AW7" s="604">
        <f t="shared" si="63"/>
        <v>135.89583365217879</v>
      </c>
      <c r="AX7" s="604">
        <f t="shared" si="63"/>
        <v>133.2414303831055</v>
      </c>
      <c r="AY7" s="604">
        <f t="shared" si="63"/>
        <v>130.27100607853626</v>
      </c>
      <c r="AZ7" s="604">
        <f t="shared" si="63"/>
        <v>127.2361706274811</v>
      </c>
      <c r="BA7" s="604">
        <f t="shared" si="63"/>
        <v>124.15231249651946</v>
      </c>
      <c r="BB7" s="604">
        <f t="shared" si="63"/>
        <v>121.03563976365901</v>
      </c>
      <c r="BC7" s="604">
        <f t="shared" si="63"/>
        <v>117.90148645933199</v>
      </c>
      <c r="BD7" s="604">
        <f t="shared" si="63"/>
        <v>114.81751580719695</v>
      </c>
      <c r="BE7" s="604">
        <f t="shared" si="63"/>
        <v>110.58627877373527</v>
      </c>
      <c r="BF7" s="604">
        <f t="shared" si="63"/>
        <v>106.40181073860099</v>
      </c>
      <c r="BG7" s="604">
        <f t="shared" si="63"/>
        <v>102.25036683816728</v>
      </c>
      <c r="BH7" s="604">
        <f t="shared" si="63"/>
        <v>98.116911115080669</v>
      </c>
      <c r="BI7" s="604">
        <f t="shared" si="63"/>
        <v>93.997366117682176</v>
      </c>
      <c r="BJ7" s="604">
        <f t="shared" si="63"/>
        <v>89.886692690602217</v>
      </c>
      <c r="BK7" s="604">
        <f t="shared" si="63"/>
        <v>85.775197424535449</v>
      </c>
      <c r="BL7" s="604">
        <f t="shared" si="63"/>
        <v>81.658958376446861</v>
      </c>
      <c r="BM7" s="604">
        <f t="shared" si="63"/>
        <v>77.520790726211956</v>
      </c>
      <c r="BN7" s="604">
        <f t="shared" si="63"/>
        <v>73.483735856339791</v>
      </c>
      <c r="BP7" s="604">
        <f>SUM(BP13:BP16)</f>
        <v>138.22332694476194</v>
      </c>
      <c r="BQ7" s="604">
        <f t="shared" ref="BQ7:CT7" si="64">SUM(BQ13:BQ16)</f>
        <v>144.68980120685663</v>
      </c>
      <c r="BR7" s="604">
        <f t="shared" si="64"/>
        <v>151.00066014161177</v>
      </c>
      <c r="BS7" s="604">
        <f t="shared" si="64"/>
        <v>157.11275616920634</v>
      </c>
      <c r="BT7" s="604">
        <f t="shared" si="64"/>
        <v>162.9828462732051</v>
      </c>
      <c r="BU7" s="604">
        <f t="shared" si="64"/>
        <v>168.56806030719375</v>
      </c>
      <c r="BV7" s="604">
        <f t="shared" si="64"/>
        <v>174.23762272277676</v>
      </c>
      <c r="BW7" s="604">
        <f t="shared" si="64"/>
        <v>179.98774408200705</v>
      </c>
      <c r="BX7" s="604">
        <f t="shared" si="64"/>
        <v>185.81437517908466</v>
      </c>
      <c r="BY7" s="604">
        <f t="shared" si="64"/>
        <v>191.71320714251991</v>
      </c>
      <c r="BZ7" s="604">
        <f t="shared" si="64"/>
        <v>197.67967220494899</v>
      </c>
      <c r="CA7" s="604">
        <f t="shared" si="64"/>
        <v>203.39002417882261</v>
      </c>
      <c r="CB7" s="604">
        <f t="shared" si="64"/>
        <v>208.81149638958931</v>
      </c>
      <c r="CC7" s="604">
        <f t="shared" si="64"/>
        <v>213.91204309283179</v>
      </c>
      <c r="CD7" s="604">
        <f t="shared" si="64"/>
        <v>218.66061751730351</v>
      </c>
      <c r="CE7" s="604">
        <f t="shared" si="64"/>
        <v>223.02744780669747</v>
      </c>
      <c r="CF7" s="604">
        <f t="shared" si="64"/>
        <v>227.4326790815806</v>
      </c>
      <c r="CG7" s="604">
        <f t="shared" si="64"/>
        <v>231.87548460868857</v>
      </c>
      <c r="CH7" s="604">
        <f t="shared" si="64"/>
        <v>236.35500285658753</v>
      </c>
      <c r="CI7" s="604">
        <f t="shared" si="64"/>
        <v>240.87033724920158</v>
      </c>
      <c r="CJ7" s="604">
        <f t="shared" si="64"/>
        <v>245.42055593440574</v>
      </c>
      <c r="CK7" s="604">
        <f t="shared" si="64"/>
        <v>250.00771939799102</v>
      </c>
      <c r="CL7" s="604">
        <f t="shared" si="64"/>
        <v>254.63100322220788</v>
      </c>
      <c r="CM7" s="604">
        <f t="shared" si="64"/>
        <v>259.28955064604338</v>
      </c>
      <c r="CN7" s="604">
        <f t="shared" si="64"/>
        <v>263.98247233041997</v>
      </c>
      <c r="CO7" s="604">
        <f t="shared" si="64"/>
        <v>268.70884613499982</v>
      </c>
      <c r="CP7" s="604">
        <f t="shared" si="64"/>
        <v>273.47056952839978</v>
      </c>
      <c r="CQ7" s="604">
        <f t="shared" si="64"/>
        <v>278.2668143630662</v>
      </c>
      <c r="CR7" s="604">
        <f t="shared" si="64"/>
        <v>283.09672210564645</v>
      </c>
      <c r="CS7" s="604">
        <f t="shared" si="64"/>
        <v>287.95940360832179</v>
      </c>
      <c r="CT7" s="604">
        <f t="shared" si="64"/>
        <v>292.85393888900796</v>
      </c>
      <c r="CV7" s="604">
        <f>SUM(CV13:CV16)</f>
        <v>138.22328966582484</v>
      </c>
      <c r="CW7" s="604">
        <f t="shared" ref="CW7:DZ7" si="65">SUM(CW13:CW16)</f>
        <v>140.15695571865547</v>
      </c>
      <c r="CX7" s="604">
        <f t="shared" si="65"/>
        <v>141.5010972985776</v>
      </c>
      <c r="CY7" s="604">
        <f t="shared" si="65"/>
        <v>142.44263941946508</v>
      </c>
      <c r="CZ7" s="604">
        <f t="shared" si="65"/>
        <v>142.97230979398012</v>
      </c>
      <c r="DA7" s="604">
        <f t="shared" si="65"/>
        <v>143.08423720672209</v>
      </c>
      <c r="DB7" s="604">
        <f t="shared" si="65"/>
        <v>143.08399658523015</v>
      </c>
      <c r="DC7" s="604">
        <f t="shared" si="65"/>
        <v>142.96937735214559</v>
      </c>
      <c r="DD7" s="604">
        <f t="shared" si="65"/>
        <v>142.73777987137029</v>
      </c>
      <c r="DE7" s="604">
        <f t="shared" si="65"/>
        <v>142.38581843668754</v>
      </c>
      <c r="DF7" s="604">
        <f t="shared" si="65"/>
        <v>141.91003769977479</v>
      </c>
      <c r="DG7" s="604">
        <f t="shared" si="65"/>
        <v>140.2364539236263</v>
      </c>
      <c r="DH7" s="604">
        <f t="shared" si="65"/>
        <v>138.22797500524601</v>
      </c>
      <c r="DI7" s="604">
        <f t="shared" si="65"/>
        <v>135.88621577100912</v>
      </c>
      <c r="DJ7" s="604">
        <f t="shared" si="65"/>
        <v>133.22230959784176</v>
      </c>
      <c r="DK7" s="604">
        <f t="shared" si="65"/>
        <v>130.24256068654122</v>
      </c>
      <c r="DL7" s="604">
        <f t="shared" si="65"/>
        <v>127.19857318559838</v>
      </c>
      <c r="DM7" s="604">
        <f t="shared" si="65"/>
        <v>124.10574720777942</v>
      </c>
      <c r="DN7" s="604">
        <f t="shared" si="65"/>
        <v>120.98030256562164</v>
      </c>
      <c r="DO7" s="604">
        <f t="shared" si="65"/>
        <v>117.83758510481783</v>
      </c>
      <c r="DP7" s="604">
        <f t="shared" si="65"/>
        <v>114.7452699372151</v>
      </c>
      <c r="DQ7" s="604">
        <f t="shared" si="65"/>
        <v>110.50591909731683</v>
      </c>
      <c r="DR7" s="604">
        <f t="shared" si="65"/>
        <v>106.31357971314026</v>
      </c>
      <c r="DS7" s="604">
        <f t="shared" si="65"/>
        <v>102.13281322518171</v>
      </c>
      <c r="DT7" s="604">
        <f t="shared" si="65"/>
        <v>97.970866738547613</v>
      </c>
      <c r="DU7" s="604">
        <f t="shared" si="65"/>
        <v>93.823704025475251</v>
      </c>
      <c r="DV7" s="604">
        <f t="shared" si="65"/>
        <v>89.686325445754278</v>
      </c>
      <c r="DW7" s="604">
        <f t="shared" si="65"/>
        <v>85.549078426033773</v>
      </c>
      <c r="DX7" s="604">
        <f t="shared" si="65"/>
        <v>81.408082047712085</v>
      </c>
      <c r="DY7" s="604">
        <f t="shared" si="65"/>
        <v>77.246192680706045</v>
      </c>
      <c r="DZ7" s="604">
        <f t="shared" si="65"/>
        <v>73.186493039850987</v>
      </c>
      <c r="EE7" s="82" t="s">
        <v>435</v>
      </c>
      <c r="EF7" s="82" t="s">
        <v>436</v>
      </c>
      <c r="EG7" s="82" t="s">
        <v>410</v>
      </c>
      <c r="EH7" s="82" t="s">
        <v>437</v>
      </c>
      <c r="EK7" s="614">
        <v>2.9649999999999999</v>
      </c>
      <c r="EL7" s="614">
        <v>2.955508373881282</v>
      </c>
      <c r="EM7" s="614">
        <v>2.9460167477625641</v>
      </c>
      <c r="EN7" s="614">
        <v>2.9365251216438462</v>
      </c>
      <c r="EO7" s="614">
        <v>2.9270334955251283</v>
      </c>
      <c r="EP7" s="614">
        <v>2.9175418694064104</v>
      </c>
      <c r="EQ7" s="614">
        <v>2.9080502432876925</v>
      </c>
      <c r="ER7" s="614">
        <v>2.8985586171689741</v>
      </c>
      <c r="ES7" s="614">
        <v>2.8890669910502562</v>
      </c>
      <c r="ET7" s="614">
        <v>2.8795753649315383</v>
      </c>
      <c r="EU7" s="614">
        <v>2.8700837388128204</v>
      </c>
      <c r="EV7" s="614">
        <v>2.8605921126941025</v>
      </c>
      <c r="EW7" s="614">
        <v>2.8511004865753846</v>
      </c>
      <c r="EX7" s="614">
        <v>2.8416088604566667</v>
      </c>
      <c r="EY7" s="614">
        <v>2.8321172343379488</v>
      </c>
      <c r="EZ7" s="614">
        <v>2.8226256082192309</v>
      </c>
      <c r="FA7" s="614">
        <v>2.8131339821005126</v>
      </c>
      <c r="FB7" s="614">
        <v>2.8036423559817947</v>
      </c>
      <c r="FC7" s="614">
        <v>2.7941507298630768</v>
      </c>
      <c r="FD7" s="614">
        <v>2.7846591037443589</v>
      </c>
      <c r="FE7" s="614">
        <v>2.775167477625641</v>
      </c>
      <c r="FF7" s="614">
        <v>2.7656758515069231</v>
      </c>
      <c r="FG7" s="614">
        <v>2.7561842253882052</v>
      </c>
      <c r="FH7" s="614">
        <v>2.7466925992694873</v>
      </c>
      <c r="FI7" s="614">
        <v>2.7372009731507694</v>
      </c>
    </row>
    <row r="8" spans="1:165" ht="16" thickBot="1">
      <c r="EE8" t="s">
        <v>438</v>
      </c>
      <c r="EF8" t="s">
        <v>439</v>
      </c>
      <c r="EG8" t="s">
        <v>410</v>
      </c>
      <c r="EH8" t="s">
        <v>440</v>
      </c>
      <c r="EK8" s="43">
        <v>0.3</v>
      </c>
      <c r="EL8" s="43">
        <v>0.29050837388128203</v>
      </c>
      <c r="EM8" s="43">
        <v>0.28101674776256408</v>
      </c>
      <c r="EN8" s="43">
        <v>0.27152512164384612</v>
      </c>
      <c r="EO8" s="43">
        <v>0.26203349552512817</v>
      </c>
      <c r="EP8" s="43">
        <v>0.25254186940641021</v>
      </c>
      <c r="EQ8" s="43">
        <v>0.24305024328769226</v>
      </c>
      <c r="ER8" s="43">
        <v>0.2335586171689743</v>
      </c>
      <c r="ES8" s="43">
        <v>0.22406699105025635</v>
      </c>
      <c r="ET8" s="43">
        <v>0.21457536493153839</v>
      </c>
      <c r="EU8" s="43">
        <v>0.20508373881282044</v>
      </c>
      <c r="EV8" s="43">
        <v>0.19559211269410248</v>
      </c>
      <c r="EW8" s="43">
        <v>0.18610048657538453</v>
      </c>
      <c r="EX8" s="43">
        <v>0.17660886045666657</v>
      </c>
      <c r="EY8" s="43">
        <v>0.16711723433794862</v>
      </c>
      <c r="EZ8" s="43">
        <v>0.15762560821923066</v>
      </c>
      <c r="FA8" s="43">
        <v>0.14813398210051271</v>
      </c>
      <c r="FB8" s="43">
        <v>0.13864235598179475</v>
      </c>
      <c r="FC8" s="43">
        <v>0.1291507298630768</v>
      </c>
      <c r="FD8" s="43">
        <v>0.11965910374435886</v>
      </c>
      <c r="FE8" s="43">
        <v>0.11016747762564091</v>
      </c>
      <c r="FF8" s="43">
        <v>0.10067585150692297</v>
      </c>
      <c r="FG8" s="43">
        <v>9.1184225388205031E-2</v>
      </c>
      <c r="FH8" s="43">
        <v>8.169259926948709E-2</v>
      </c>
      <c r="FI8" s="43">
        <v>7.2200973150769357E-2</v>
      </c>
    </row>
    <row r="9" spans="1:165" s="554" customFormat="1">
      <c r="A9" s="550" t="s">
        <v>193</v>
      </c>
      <c r="C9" s="552" t="s">
        <v>153</v>
      </c>
      <c r="D9" s="602">
        <f>'Ethylene Recycling HC'!C224+'Propylene Recycling HC'!C216+'Methanol Recycling HC'!C249+'BTX Recycling HC'!C277+'Butadiene Recycling HC'!C165</f>
        <v>30.315500465033136</v>
      </c>
      <c r="E9" s="602">
        <f>'Ethylene Recycling HC'!D224+'Propylene Recycling HC'!D216+'Methanol Recycling HC'!D249+'BTX Recycling HC'!D277+'Butadiene Recycling HC'!D165</f>
        <v>32.56733496473128</v>
      </c>
      <c r="F9" s="602">
        <f>'Ethylene Recycling HC'!E224+'Propylene Recycling HC'!E216+'Methanol Recycling HC'!E249+'BTX Recycling HC'!E277+'Butadiene Recycling HC'!E165</f>
        <v>35.305857599473008</v>
      </c>
      <c r="G9" s="602">
        <f>'Ethylene Recycling HC'!F224+'Propylene Recycling HC'!F216+'Methanol Recycling HC'!F249+'BTX Recycling HC'!F277+'Butadiene Recycling HC'!F165</f>
        <v>38.091801059041629</v>
      </c>
      <c r="H9" s="602">
        <f>'Ethylene Recycling HC'!G224+'Propylene Recycling HC'!G216+'Methanol Recycling HC'!G249+'BTX Recycling HC'!G277+'Butadiene Recycling HC'!G165</f>
        <v>40.909184065292116</v>
      </c>
      <c r="I9" s="602">
        <f>'Ethylene Recycling HC'!H224+'Propylene Recycling HC'!H216+'Methanol Recycling HC'!H249+'BTX Recycling HC'!H277+'Butadiene Recycling HC'!H165</f>
        <v>43.740982355694051</v>
      </c>
      <c r="J9" s="602">
        <f>'Ethylene Recycling HC'!I224+'Propylene Recycling HC'!I216+'Methanol Recycling HC'!I249+'BTX Recycling HC'!I277+'Butadiene Recycling HC'!I165</f>
        <v>46.669763218992188</v>
      </c>
      <c r="K9" s="602">
        <f>'Ethylene Recycling HC'!J224+'Propylene Recycling HC'!J216+'Methanol Recycling HC'!J249+'BTX Recycling HC'!J277+'Butadiene Recycling HC'!J165</f>
        <v>49.695666966486648</v>
      </c>
      <c r="L9" s="602">
        <f>'Ethylene Recycling HC'!K224+'Propylene Recycling HC'!K216+'Methanol Recycling HC'!K249+'BTX Recycling HC'!K277+'Butadiene Recycling HC'!K165</f>
        <v>52.818670299499416</v>
      </c>
      <c r="M9" s="602">
        <f>'Ethylene Recycling HC'!L224+'Propylene Recycling HC'!L216+'Methanol Recycling HC'!L249+'BTX Recycling HC'!L277+'Butadiene Recycling HC'!L165</f>
        <v>56.038580610666415</v>
      </c>
      <c r="N9" s="602">
        <f>'Ethylene Recycling HC'!M224+'Propylene Recycling HC'!M216+'Methanol Recycling HC'!M249+'BTX Recycling HC'!M277+'Butadiene Recycling HC'!M165</f>
        <v>59.355030545071337</v>
      </c>
      <c r="O9" s="602">
        <f>'Ethylene Recycling HC'!N224+'Propylene Recycling HC'!N216+'Methanol Recycling HC'!N249+'BTX Recycling HC'!N277+'Butadiene Recycling HC'!N165</f>
        <v>64.877409164958962</v>
      </c>
      <c r="P9" s="602">
        <f>'Ethylene Recycling HC'!O224+'Propylene Recycling HC'!O216+'Methanol Recycling HC'!O249+'BTX Recycling HC'!O277+'Butadiene Recycling HC'!O165</f>
        <v>70.474424983634364</v>
      </c>
      <c r="Q9" s="602">
        <f>'Ethylene Recycling HC'!P224+'Propylene Recycling HC'!P216+'Methanol Recycling HC'!P249+'BTX Recycling HC'!P277+'Butadiene Recycling HC'!P165</f>
        <v>76.125293159808237</v>
      </c>
      <c r="R9" s="602">
        <f>'Ethylene Recycling HC'!Q224+'Propylene Recycling HC'!Q216+'Methanol Recycling HC'!Q249+'BTX Recycling HC'!Q277+'Butadiene Recycling HC'!Q165</f>
        <v>81.797816511663541</v>
      </c>
      <c r="S9" s="602">
        <f>'Ethylene Recycling HC'!R224+'Propylene Recycling HC'!R216+'Methanol Recycling HC'!R249+'BTX Recycling HC'!R277+'Butadiene Recycling HC'!R165</f>
        <v>87.463157583657917</v>
      </c>
      <c r="T9" s="602">
        <f>'Ethylene Recycling HC'!S224+'Propylene Recycling HC'!S216+'Methanol Recycling HC'!S249+'BTX Recycling HC'!S277+'Butadiene Recycling HC'!S165</f>
        <v>93.259371194336055</v>
      </c>
      <c r="U9" s="602">
        <f>'Ethylene Recycling HC'!T224+'Propylene Recycling HC'!T216+'Methanol Recycling HC'!T249+'BTX Recycling HC'!T277+'Butadiene Recycling HC'!T165</f>
        <v>99.187629194303</v>
      </c>
      <c r="V9" s="602">
        <f>'Ethylene Recycling HC'!U224+'Propylene Recycling HC'!U216+'Methanol Recycling HC'!U249+'BTX Recycling HC'!U277+'Butadiene Recycling HC'!U165</f>
        <v>105.24907332756284</v>
      </c>
      <c r="W9" s="602">
        <f>'Ethylene Recycling HC'!V224+'Propylene Recycling HC'!V216+'Methanol Recycling HC'!V249+'BTX Recycling HC'!V277+'Butadiene Recycling HC'!V165</f>
        <v>111.44481393697437</v>
      </c>
      <c r="X9" s="602">
        <f>'Ethylene Recycling HC'!W224+'Propylene Recycling HC'!W216+'Methanol Recycling HC'!W249+'BTX Recycling HC'!W277+'Butadiene Recycling HC'!W165</f>
        <v>117.77592866182746</v>
      </c>
      <c r="Y9" s="602">
        <f>'Ethylene Recycling HC'!X224+'Propylene Recycling HC'!X216+'Methanol Recycling HC'!X249+'BTX Recycling HC'!X277+'Butadiene Recycling HC'!X165</f>
        <v>127.50348997556203</v>
      </c>
      <c r="Z9" s="602">
        <f>'Ethylene Recycling HC'!Y224+'Propylene Recycling HC'!Y216+'Methanol Recycling HC'!Y249+'BTX Recycling HC'!Y277+'Butadiene Recycling HC'!Y165</f>
        <v>137.45434578523137</v>
      </c>
      <c r="AA9" s="602">
        <f>'Ethylene Recycling HC'!Z224+'Propylene Recycling HC'!Z216+'Methanol Recycling HC'!Z249+'BTX Recycling HC'!Z277+'Butadiene Recycling HC'!Z165</f>
        <v>147.65213766984152</v>
      </c>
      <c r="AB9" s="602">
        <f>'Ethylene Recycling HC'!AA224+'Propylene Recycling HC'!AA216+'Methanol Recycling HC'!AA249+'BTX Recycling HC'!AA277+'Butadiene Recycling HC'!AA165</f>
        <v>158.08112681398583</v>
      </c>
      <c r="AC9" s="602">
        <f>'Ethylene Recycling HC'!AB224+'Propylene Recycling HC'!AB216+'Methanol Recycling HC'!AB249+'BTX Recycling HC'!AB277+'Butadiene Recycling HC'!AB165</f>
        <v>168.74340050091948</v>
      </c>
      <c r="AD9" s="602">
        <f>'Ethylene Recycling HC'!AC224+'Propylene Recycling HC'!AC216+'Methanol Recycling HC'!AC249+'BTX Recycling HC'!AC277+'Butadiene Recycling HC'!AC165</f>
        <v>179.64269722538904</v>
      </c>
      <c r="AE9" s="602">
        <f>'Ethylene Recycling HC'!AD224+'Propylene Recycling HC'!AD216+'Methanol Recycling HC'!AD249+'BTX Recycling HC'!AD277+'Butadiene Recycling HC'!AD165</f>
        <v>190.78132627494816</v>
      </c>
      <c r="AF9" s="602">
        <f>'Ethylene Recycling HC'!AE224+'Propylene Recycling HC'!AE216+'Methanol Recycling HC'!AE249+'BTX Recycling HC'!AE277+'Butadiene Recycling HC'!AE165</f>
        <v>202.16155994505252</v>
      </c>
      <c r="AG9" s="602">
        <f>'Ethylene Recycling HC'!AF224+'Propylene Recycling HC'!AF216+'Methanol Recycling HC'!AF249+'BTX Recycling HC'!AF277+'Butadiene Recycling HC'!AF165</f>
        <v>213.78563169345082</v>
      </c>
      <c r="AH9" s="602">
        <f>'Ethylene Recycling HC'!AG224+'Propylene Recycling HC'!AG216+'Methanol Recycling HC'!AG249+'BTX Recycling HC'!AG277+'Butadiene Recycling HC'!AG165</f>
        <v>225.65573427792651</v>
      </c>
      <c r="AJ9" s="603">
        <f>D9</f>
        <v>30.315500465033136</v>
      </c>
      <c r="AK9" s="603">
        <f t="shared" ref="AK9:BN9" si="66">E9</f>
        <v>32.56733496473128</v>
      </c>
      <c r="AL9" s="603">
        <f t="shared" si="66"/>
        <v>35.305857599473008</v>
      </c>
      <c r="AM9" s="603">
        <f t="shared" si="66"/>
        <v>38.091801059041629</v>
      </c>
      <c r="AN9" s="603">
        <f t="shared" si="66"/>
        <v>40.909184065292116</v>
      </c>
      <c r="AO9" s="603">
        <f t="shared" si="66"/>
        <v>43.740982355694051</v>
      </c>
      <c r="AP9" s="603">
        <f t="shared" si="66"/>
        <v>46.669763218992188</v>
      </c>
      <c r="AQ9" s="603">
        <f t="shared" si="66"/>
        <v>49.695666966486648</v>
      </c>
      <c r="AR9" s="603">
        <f t="shared" si="66"/>
        <v>52.818670299499416</v>
      </c>
      <c r="AS9" s="603">
        <f t="shared" si="66"/>
        <v>56.038580610666415</v>
      </c>
      <c r="AT9" s="603">
        <f t="shared" si="66"/>
        <v>59.355030545071337</v>
      </c>
      <c r="AU9" s="603">
        <f t="shared" si="66"/>
        <v>64.877409164958962</v>
      </c>
      <c r="AV9" s="603">
        <f t="shared" si="66"/>
        <v>70.474424983634364</v>
      </c>
      <c r="AW9" s="603">
        <f t="shared" si="66"/>
        <v>76.125293159808237</v>
      </c>
      <c r="AX9" s="603">
        <f t="shared" si="66"/>
        <v>81.797816511663541</v>
      </c>
      <c r="AY9" s="603">
        <f t="shared" si="66"/>
        <v>87.463157583657917</v>
      </c>
      <c r="AZ9" s="603">
        <f t="shared" si="66"/>
        <v>93.259371194336055</v>
      </c>
      <c r="BA9" s="603">
        <f t="shared" si="66"/>
        <v>99.187629194303</v>
      </c>
      <c r="BB9" s="603">
        <f t="shared" si="66"/>
        <v>105.24907332756284</v>
      </c>
      <c r="BC9" s="603">
        <f t="shared" si="66"/>
        <v>111.44481393697437</v>
      </c>
      <c r="BD9" s="603">
        <f t="shared" si="66"/>
        <v>117.77592866182746</v>
      </c>
      <c r="BE9" s="603">
        <f t="shared" si="66"/>
        <v>127.50348997556203</v>
      </c>
      <c r="BF9" s="603">
        <f t="shared" si="66"/>
        <v>137.45434578523137</v>
      </c>
      <c r="BG9" s="603">
        <f t="shared" si="66"/>
        <v>147.65213766984152</v>
      </c>
      <c r="BH9" s="603">
        <f t="shared" si="66"/>
        <v>158.08112681398583</v>
      </c>
      <c r="BI9" s="603">
        <f t="shared" si="66"/>
        <v>168.74340050091948</v>
      </c>
      <c r="BJ9" s="603">
        <f t="shared" si="66"/>
        <v>179.64269722538904</v>
      </c>
      <c r="BK9" s="603">
        <f t="shared" si="66"/>
        <v>190.78132627494816</v>
      </c>
      <c r="BL9" s="603">
        <f t="shared" si="66"/>
        <v>202.16155994505252</v>
      </c>
      <c r="BM9" s="603">
        <f t="shared" si="66"/>
        <v>213.78563169345082</v>
      </c>
      <c r="BN9" s="603">
        <f t="shared" si="66"/>
        <v>225.65573427792651</v>
      </c>
      <c r="BO9" s="658">
        <f>BN9/$BN$4</f>
        <v>0.43559505928450737</v>
      </c>
      <c r="BP9" s="553">
        <f>'Ethylene Recycling HC'!C225+'Propylene Recycling HC'!C217+'Methanol Recycling HC'!C250+'BTX Recycling LC'!C278+'Butadiene Recycling LC'!C166</f>
        <v>30.315500465033136</v>
      </c>
      <c r="BQ9" s="553">
        <f>'Ethylene Recycling HC'!D225+'Propylene Recycling HC'!D217+'Methanol Recycling HC'!D250+'BTX Recycling LC'!D278+'Butadiene Recycling LC'!D166</f>
        <v>30.821769322799181</v>
      </c>
      <c r="BR9" s="553">
        <f>'Ethylene Recycling HC'!E225+'Propylene Recycling HC'!E217+'Methanol Recycling HC'!E250+'BTX Recycling LC'!E278+'Butadiene Recycling LC'!E166</f>
        <v>31.336492870489923</v>
      </c>
      <c r="BS9" s="553">
        <f>'Ethylene Recycling HC'!F225+'Propylene Recycling HC'!F217+'Methanol Recycling HC'!F250+'BTX Recycling LC'!F278+'Butadiene Recycling LC'!F166</f>
        <v>31.859812301427105</v>
      </c>
      <c r="BT9" s="553">
        <f>'Ethylene Recycling HC'!G225+'Propylene Recycling HC'!G217+'Methanol Recycling HC'!G250+'BTX Recycling LC'!G278+'Butadiene Recycling LC'!G166</f>
        <v>32.391871166860938</v>
      </c>
      <c r="BU9" s="553">
        <f>'Ethylene Recycling HC'!H225+'Propylene Recycling HC'!H217+'Methanol Recycling HC'!H250+'BTX Recycling LC'!H278+'Butadiene Recycling LC'!H166</f>
        <v>32.932815415347505</v>
      </c>
      <c r="BV9" s="553">
        <f>'Ethylene Recycling HC'!I225+'Propylene Recycling HC'!I217+'Methanol Recycling HC'!I250+'BTX Recycling LC'!I278+'Butadiene Recycling LC'!I166</f>
        <v>33.482793432783815</v>
      </c>
      <c r="BW9" s="553">
        <f>'Ethylene Recycling HC'!J225+'Propylene Recycling HC'!J217+'Methanol Recycling HC'!J250+'BTX Recycling LC'!J278+'Butadiene Recycling LC'!J166</f>
        <v>34.041956083111295</v>
      </c>
      <c r="BX9" s="553">
        <f>'Ethylene Recycling HC'!K225+'Propylene Recycling HC'!K217+'Methanol Recycling HC'!K250+'BTX Recycling LC'!K278+'Butadiene Recycling LC'!K166</f>
        <v>34.610456749699253</v>
      </c>
      <c r="BY9" s="553">
        <f>'Ethylene Recycling HC'!L225+'Propylene Recycling HC'!L217+'Methanol Recycling HC'!L250+'BTX Recycling LC'!L278+'Butadiene Recycling LC'!L166</f>
        <v>35.188451377419227</v>
      </c>
      <c r="BZ9" s="553">
        <f>'Ethylene Recycling HC'!M225+'Propylene Recycling HC'!M217+'Methanol Recycling HC'!M250+'BTX Recycling LC'!M278+'Butadiene Recycling LC'!M166</f>
        <v>35.776098515422127</v>
      </c>
      <c r="CA9" s="553">
        <f>'Ethylene Recycling HC'!N225+'Propylene Recycling HC'!N217+'Methanol Recycling HC'!N250+'BTX Recycling LC'!N278+'Butadiene Recycling LC'!N166</f>
        <v>36.373559360629685</v>
      </c>
      <c r="CB9" s="553">
        <f>'Ethylene Recycling HC'!O225+'Propylene Recycling HC'!O217+'Methanol Recycling HC'!O250+'BTX Recycling LC'!O278+'Butadiene Recycling LC'!O166</f>
        <v>36.980997801952192</v>
      </c>
      <c r="CC9" s="553">
        <f>'Ethylene Recycling HC'!P225+'Propylene Recycling HC'!P217+'Methanol Recycling HC'!P250+'BTX Recycling LC'!P278+'Butadiene Recycling LC'!P166</f>
        <v>37.598580465244787</v>
      </c>
      <c r="CD9" s="553">
        <f>'Ethylene Recycling HC'!Q225+'Propylene Recycling HC'!Q217+'Methanol Recycling HC'!Q250+'BTX Recycling LC'!Q278+'Butadiene Recycling LC'!Q166</f>
        <v>38.226476759014382</v>
      </c>
      <c r="CE9" s="553">
        <f>'Ethylene Recycling HC'!R225+'Propylene Recycling HC'!R217+'Methanol Recycling HC'!R250+'BTX Recycling LC'!R278+'Butadiene Recycling LC'!R166</f>
        <v>38.864858920889915</v>
      </c>
      <c r="CF9" s="553">
        <f>'Ethylene Recycling HC'!S225+'Propylene Recycling HC'!S217+'Methanol Recycling HC'!S250+'BTX Recycling LC'!S278+'Butadiene Recycling LC'!S166</f>
        <v>39.51390206486878</v>
      </c>
      <c r="CG9" s="553">
        <f>'Ethylene Recycling HC'!T225+'Propylene Recycling HC'!T217+'Methanol Recycling HC'!T250+'BTX Recycling LC'!T278+'Butadiene Recycling LC'!T166</f>
        <v>40.17378422935208</v>
      </c>
      <c r="CH9" s="553">
        <f>'Ethylene Recycling HC'!U225+'Propylene Recycling HC'!U217+'Methanol Recycling HC'!U250+'BTX Recycling LC'!U278+'Butadiene Recycling LC'!U166</f>
        <v>40.844686425982253</v>
      </c>
      <c r="CI9" s="553">
        <f>'Ethylene Recycling HC'!V225+'Propylene Recycling HC'!V217+'Methanol Recycling HC'!V250+'BTX Recycling LC'!V278+'Butadiene Recycling LC'!V166</f>
        <v>41.526792689296158</v>
      </c>
      <c r="CJ9" s="553">
        <f>'Ethylene Recycling HC'!W225+'Propylene Recycling HC'!W217+'Methanol Recycling HC'!W250+'BTX Recycling LC'!W278+'Butadiene Recycling LC'!W166</f>
        <v>42.220290127207399</v>
      </c>
      <c r="CK9" s="553">
        <f>'Ethylene Recycling HC'!X225+'Propylene Recycling HC'!X217+'Methanol Recycling HC'!X250+'BTX Recycling LC'!X278+'Butadiene Recycling LC'!X166</f>
        <v>42.925368972331761</v>
      </c>
      <c r="CL9" s="553">
        <f>'Ethylene Recycling HC'!Y225+'Propylene Recycling HC'!Y217+'Methanol Recycling HC'!Y250+'BTX Recycling LC'!Y278+'Butadiene Recycling LC'!Y166</f>
        <v>43.642222634169691</v>
      </c>
      <c r="CM9" s="553">
        <f>'Ethylene Recycling HC'!Z225+'Propylene Recycling HC'!Z217+'Methanol Recycling HC'!Z250+'BTX Recycling LC'!Z278+'Butadiene Recycling LC'!Z166</f>
        <v>44.371047752160322</v>
      </c>
      <c r="CN9" s="553">
        <f>'Ethylene Recycling HC'!AA225+'Propylene Recycling HC'!AA217+'Methanol Recycling HC'!AA250+'BTX Recycling LC'!AA278+'Butadiene Recycling LC'!AA166</f>
        <v>45.112044249621398</v>
      </c>
      <c r="CO9" s="553">
        <f>'Ethylene Recycling HC'!AB225+'Propylene Recycling HC'!AB217+'Methanol Recycling HC'!AB250+'BTX Recycling LC'!AB278+'Butadiene Recycling LC'!AB166</f>
        <v>45.865415388590073</v>
      </c>
      <c r="CP9" s="553">
        <f>'Ethylene Recycling HC'!AC225+'Propylene Recycling HC'!AC217+'Methanol Recycling HC'!AC250+'BTX Recycling LC'!AC278+'Butadiene Recycling LC'!AC166</f>
        <v>46.631367825579531</v>
      </c>
      <c r="CQ9" s="553">
        <f>'Ethylene Recycling HC'!AD225+'Propylene Recycling HC'!AD217+'Methanol Recycling HC'!AD250+'BTX Recycling LC'!AD278+'Butadiene Recycling LC'!AD166</f>
        <v>47.410111668266701</v>
      </c>
      <c r="CR9" s="553">
        <f>'Ethylene Recycling HC'!AE225+'Propylene Recycling HC'!AE217+'Methanol Recycling HC'!AE250+'BTX Recycling LC'!AE278+'Butadiene Recycling LC'!AE166</f>
        <v>48.201860533126748</v>
      </c>
      <c r="CS9" s="553">
        <f>'Ethylene Recycling HC'!AF225+'Propylene Recycling HC'!AF217+'Methanol Recycling HC'!AF250+'BTX Recycling LC'!AF278+'Butadiene Recycling LC'!AF166</f>
        <v>49.006831604029962</v>
      </c>
      <c r="CT9" s="553">
        <f>'Ethylene Recycling HC'!AG225+'Propylene Recycling HC'!AG217+'Methanol Recycling HC'!AG250+'BTX Recycling LC'!AG278+'Butadiene Recycling LC'!AG166</f>
        <v>49.825245691817265</v>
      </c>
      <c r="CV9" s="553">
        <f>AJ9</f>
        <v>30.315500465033136</v>
      </c>
      <c r="CW9" s="553">
        <f t="shared" ref="CW9:DZ10" si="67">AK9</f>
        <v>32.56733496473128</v>
      </c>
      <c r="CX9" s="553">
        <f t="shared" si="67"/>
        <v>35.305857599473008</v>
      </c>
      <c r="CY9" s="553">
        <f t="shared" si="67"/>
        <v>38.091801059041629</v>
      </c>
      <c r="CZ9" s="553">
        <f t="shared" si="67"/>
        <v>40.909184065292116</v>
      </c>
      <c r="DA9" s="553">
        <f t="shared" si="67"/>
        <v>43.740982355694051</v>
      </c>
      <c r="DB9" s="553">
        <f t="shared" si="67"/>
        <v>46.669763218992188</v>
      </c>
      <c r="DC9" s="553">
        <f t="shared" si="67"/>
        <v>49.695666966486648</v>
      </c>
      <c r="DD9" s="553">
        <f t="shared" si="67"/>
        <v>52.818670299499416</v>
      </c>
      <c r="DE9" s="553">
        <f t="shared" si="67"/>
        <v>56.038580610666415</v>
      </c>
      <c r="DF9" s="553">
        <f t="shared" si="67"/>
        <v>59.355030545071337</v>
      </c>
      <c r="DG9" s="553">
        <f t="shared" si="67"/>
        <v>64.877409164958962</v>
      </c>
      <c r="DH9" s="553">
        <f t="shared" si="67"/>
        <v>70.474424983634364</v>
      </c>
      <c r="DI9" s="553">
        <f t="shared" si="67"/>
        <v>76.125293159808237</v>
      </c>
      <c r="DJ9" s="553">
        <f t="shared" si="67"/>
        <v>81.797816511663541</v>
      </c>
      <c r="DK9" s="553">
        <f t="shared" si="67"/>
        <v>87.463157583657917</v>
      </c>
      <c r="DL9" s="553">
        <f t="shared" si="67"/>
        <v>93.259371194336055</v>
      </c>
      <c r="DM9" s="553">
        <f t="shared" si="67"/>
        <v>99.187629194303</v>
      </c>
      <c r="DN9" s="553">
        <f t="shared" si="67"/>
        <v>105.24907332756284</v>
      </c>
      <c r="DO9" s="553">
        <f t="shared" si="67"/>
        <v>111.44481393697437</v>
      </c>
      <c r="DP9" s="553">
        <f t="shared" si="67"/>
        <v>117.77592866182746</v>
      </c>
      <c r="DQ9" s="553">
        <f t="shared" si="67"/>
        <v>127.50348997556203</v>
      </c>
      <c r="DR9" s="553">
        <f t="shared" si="67"/>
        <v>137.45434578523137</v>
      </c>
      <c r="DS9" s="553">
        <f t="shared" si="67"/>
        <v>147.65213766984152</v>
      </c>
      <c r="DT9" s="553">
        <f t="shared" si="67"/>
        <v>158.08112681398583</v>
      </c>
      <c r="DU9" s="553">
        <f t="shared" si="67"/>
        <v>168.74340050091948</v>
      </c>
      <c r="DV9" s="553">
        <f t="shared" si="67"/>
        <v>179.64269722538904</v>
      </c>
      <c r="DW9" s="553">
        <f t="shared" si="67"/>
        <v>190.78132627494816</v>
      </c>
      <c r="DX9" s="553">
        <f t="shared" si="67"/>
        <v>202.16155994505252</v>
      </c>
      <c r="DY9" s="553">
        <f t="shared" si="67"/>
        <v>213.78563169345082</v>
      </c>
      <c r="DZ9" s="553">
        <f t="shared" si="67"/>
        <v>225.65573427792651</v>
      </c>
      <c r="EA9" s="655">
        <f>(BN9/AJ9)^(1/30)-1</f>
        <v>6.9201077452102577E-2</v>
      </c>
      <c r="EE9" s="554" t="s">
        <v>441</v>
      </c>
      <c r="EF9" s="554" t="s">
        <v>442</v>
      </c>
      <c r="EG9" s="554" t="s">
        <v>410</v>
      </c>
      <c r="EH9" s="554" t="s">
        <v>443</v>
      </c>
      <c r="EK9" s="613">
        <v>1.39</v>
      </c>
      <c r="EL9" s="613">
        <v>1.39</v>
      </c>
      <c r="EM9" s="613">
        <v>1.39</v>
      </c>
      <c r="EN9" s="613">
        <v>1.39</v>
      </c>
      <c r="EO9" s="613">
        <v>1.39</v>
      </c>
      <c r="EP9" s="613">
        <v>1.39</v>
      </c>
      <c r="EQ9" s="613">
        <v>1.39</v>
      </c>
      <c r="ER9" s="613">
        <v>1.39</v>
      </c>
      <c r="ES9" s="613">
        <v>1.39</v>
      </c>
      <c r="ET9" s="613">
        <v>1.39</v>
      </c>
      <c r="EU9" s="613">
        <v>1.39</v>
      </c>
      <c r="EV9" s="613">
        <v>1.39</v>
      </c>
      <c r="EW9" s="613">
        <v>1.39</v>
      </c>
      <c r="EX9" s="613">
        <v>1.39</v>
      </c>
      <c r="EY9" s="613">
        <v>1.39</v>
      </c>
      <c r="EZ9" s="613">
        <v>1.39</v>
      </c>
      <c r="FA9" s="613">
        <v>1.39</v>
      </c>
      <c r="FB9" s="613">
        <v>1.39</v>
      </c>
      <c r="FC9" s="613">
        <v>1.39</v>
      </c>
      <c r="FD9" s="613">
        <v>1.39</v>
      </c>
      <c r="FE9" s="613">
        <v>1.39</v>
      </c>
      <c r="FF9" s="613">
        <v>1.39</v>
      </c>
      <c r="FG9" s="613">
        <v>1.39</v>
      </c>
      <c r="FH9" s="613">
        <v>1.39</v>
      </c>
      <c r="FI9" s="613">
        <v>1.39</v>
      </c>
    </row>
    <row r="10" spans="1:165">
      <c r="A10" s="601" t="s">
        <v>88</v>
      </c>
      <c r="C10" s="54" t="s">
        <v>153</v>
      </c>
      <c r="D10" s="299">
        <f>'Ethylene Recycling HC'!C311+'Ethylene Recycling HC'!C313+'Propylene Recycling HC'!C204+'Propylene Recycling HC'!C206+'Methanol Recycling HC'!C336+'Methanol Recycling HC'!C338+'BTX Recycling HC'!C364+'BTX Recycling HC'!C366+'Butadiene Recycling HC'!C252+'Butadiene Recycling HC'!C254</f>
        <v>1.4354770303603507E-4</v>
      </c>
      <c r="E10" s="299">
        <f>'Ethylene Recycling HC'!D311+'Ethylene Recycling HC'!D313+'Propylene Recycling HC'!D204+'Propylene Recycling HC'!D206+'Methanol Recycling HC'!D336+'Methanol Recycling HC'!D338+'BTX Recycling HC'!D364+'BTX Recycling HC'!D366+'Butadiene Recycling HC'!D252+'Butadiene Recycling HC'!D254</f>
        <v>3.158390529245656E-4</v>
      </c>
      <c r="F10" s="299">
        <f>'Ethylene Recycling HC'!E311+'Ethylene Recycling HC'!E313+'Propylene Recycling HC'!E204+'Propylene Recycling HC'!E206+'Methanol Recycling HC'!E336+'Methanol Recycling HC'!E338+'BTX Recycling HC'!E364+'BTX Recycling HC'!E366+'Butadiene Recycling HC'!E252+'Butadiene Recycling HC'!E254</f>
        <v>6.6777722906309492E-4</v>
      </c>
      <c r="G10" s="299">
        <f>'Ethylene Recycling HC'!F311+'Ethylene Recycling HC'!F313+'Propylene Recycling HC'!F204+'Propylene Recycling HC'!F206+'Methanol Recycling HC'!F336+'Methanol Recycling HC'!F338+'BTX Recycling HC'!F364+'BTX Recycling HC'!F366+'Butadiene Recycling HC'!F252+'Butadiene Recycling HC'!F254</f>
        <v>1.4024692843980216E-3</v>
      </c>
      <c r="H10" s="299">
        <f>'Ethylene Recycling HC'!G311+'Ethylene Recycling HC'!G313+'Propylene Recycling HC'!G204+'Propylene Recycling HC'!G206+'Methanol Recycling HC'!G336+'Methanol Recycling HC'!G338+'BTX Recycling HC'!G364+'BTX Recycling HC'!G366+'Butadiene Recycling HC'!G252+'Butadiene Recycling HC'!G254</f>
        <v>2.9231961786486062E-3</v>
      </c>
      <c r="I10" s="299">
        <f>'Ethylene Recycling HC'!H311+'Ethylene Recycling HC'!H313+'Propylene Recycling HC'!H204+'Propylene Recycling HC'!H206+'Methanol Recycling HC'!H336+'Methanol Recycling HC'!H338+'BTX Recycling HC'!H364+'BTX Recycling HC'!H366+'Butadiene Recycling HC'!H252+'Butadiene Recycling HC'!H254</f>
        <v>6.0389710653165635E-3</v>
      </c>
      <c r="J10" s="299">
        <f>'Ethylene Recycling HC'!I311+'Ethylene Recycling HC'!I313+'Propylene Recycling HC'!I204+'Propylene Recycling HC'!I206+'Methanol Recycling HC'!I336+'Methanol Recycling HC'!I338+'BTX Recycling HC'!I364+'BTX Recycling HC'!I366+'Butadiene Recycling HC'!I252+'Butadiene Recycling HC'!I254</f>
        <v>1.2369595120386111E-2</v>
      </c>
      <c r="K10" s="299">
        <f>'Ethylene Recycling HC'!J311+'Ethylene Recycling HC'!J313+'Propylene Recycling HC'!J204+'Propylene Recycling HC'!J206+'Methanol Recycling HC'!J336+'Methanol Recycling HC'!J338+'BTX Recycling HC'!J364+'BTX Recycling HC'!J366+'Butadiene Recycling HC'!J252+'Butadiene Recycling HC'!J254</f>
        <v>2.505819030144138E-2</v>
      </c>
      <c r="L10" s="299">
        <f>'Ethylene Recycling HC'!K311+'Ethylene Recycling HC'!K313+'Propylene Recycling HC'!K204+'Propylene Recycling HC'!K206+'Methanol Recycling HC'!K336+'Methanol Recycling HC'!K338+'BTX Recycling HC'!K364+'BTX Recycling HC'!K366+'Butadiene Recycling HC'!K252+'Butadiene Recycling HC'!K254</f>
        <v>5.0036313066890464E-2</v>
      </c>
      <c r="M10" s="299">
        <f>'Ethylene Recycling HC'!L311+'Ethylene Recycling HC'!L313+'Propylene Recycling HC'!L204+'Propylene Recycling HC'!L206+'Methanol Recycling HC'!L336+'Methanol Recycling HC'!L338+'BTX Recycling HC'!L364+'BTX Recycling HC'!L366+'Butadiene Recycling HC'!L252+'Butadiene Recycling HC'!L254</f>
        <v>9.8050971519133959E-2</v>
      </c>
      <c r="N10" s="299">
        <f>'Ethylene Recycling HC'!M311+'Ethylene Recycling HC'!M313+'Propylene Recycling HC'!M204+'Propylene Recycling HC'!M206+'Methanol Recycling HC'!M336+'Methanol Recycling HC'!M338+'BTX Recycling HC'!M364+'BTX Recycling HC'!M366+'Butadiene Recycling HC'!M252+'Butadiene Recycling HC'!M254</f>
        <v>0.1847508666146595</v>
      </c>
      <c r="O10" s="299">
        <f>'Ethylene Recycling HC'!N311+'Ethylene Recycling HC'!N313+'Propylene Recycling HC'!N204+'Propylene Recycling HC'!N206+'Methanol Recycling HC'!N336+'Methanol Recycling HC'!N338+'BTX Recycling HC'!N364+'BTX Recycling HC'!N366+'Butadiene Recycling HC'!N252+'Butadiene Recycling HC'!N254</f>
        <v>0.33368717653257113</v>
      </c>
      <c r="P10" s="299">
        <f>'Ethylene Recycling HC'!O311+'Ethylene Recycling HC'!O313+'Propylene Recycling HC'!O204+'Propylene Recycling HC'!O206+'Methanol Recycling HC'!O336+'Methanol Recycling HC'!O338+'BTX Recycling HC'!O364+'BTX Recycling HC'!O366+'Butadiene Recycling HC'!O252+'Butadiene Recycling HC'!O254</f>
        <v>0.57062631522602314</v>
      </c>
      <c r="Q10" s="299">
        <f>'Ethylene Recycling HC'!P311+'Ethylene Recycling HC'!P313+'Propylene Recycling HC'!P204+'Propylene Recycling HC'!P206+'Methanol Recycling HC'!P336+'Methanol Recycling HC'!P338+'BTX Recycling HC'!P364+'BTX Recycling HC'!P366+'Butadiene Recycling HC'!P252+'Butadiene Recycling HC'!P254</f>
        <v>0.93065399909364943</v>
      </c>
      <c r="R10" s="299">
        <f>'Ethylene Recycling HC'!Q311+'Ethylene Recycling HC'!Q313+'Propylene Recycling HC'!Q204+'Propylene Recycling HC'!Q206+'Methanol Recycling HC'!Q336+'Methanol Recycling HC'!Q338+'BTX Recycling HC'!Q364+'BTX Recycling HC'!Q366+'Butadiene Recycling HC'!Q252+'Butadiene Recycling HC'!Q254</f>
        <v>1.4375944119973327</v>
      </c>
      <c r="S10" s="299">
        <f>'Ethylene Recycling HC'!R311+'Ethylene Recycling HC'!R313+'Propylene Recycling HC'!R204+'Propylene Recycling HC'!R206+'Methanol Recycling HC'!R336+'Methanol Recycling HC'!R338+'BTX Recycling HC'!R364+'BTX Recycling HC'!R366+'Butadiene Recycling HC'!R252+'Butadiene Recycling HC'!R254</f>
        <v>2.140458335418935</v>
      </c>
      <c r="T10" s="299">
        <f>'Ethylene Recycling HC'!S311+'Ethylene Recycling HC'!S313+'Propylene Recycling HC'!S204+'Propylene Recycling HC'!S206+'Methanol Recycling HC'!S336+'Methanol Recycling HC'!S338+'BTX Recycling HC'!S364+'BTX Recycling HC'!S366+'Butadiene Recycling HC'!S252+'Butadiene Recycling HC'!S254</f>
        <v>3.0249489419312789</v>
      </c>
      <c r="U10" s="299">
        <f>'Ethylene Recycling HC'!T311+'Ethylene Recycling HC'!T313+'Propylene Recycling HC'!T204+'Propylene Recycling HC'!T206+'Methanol Recycling HC'!T336+'Methanol Recycling HC'!T338+'BTX Recycling HC'!T364+'BTX Recycling HC'!T366+'Butadiene Recycling HC'!T252+'Butadiene Recycling HC'!T254</f>
        <v>4.0327913353860119</v>
      </c>
      <c r="V10" s="299">
        <f>'Ethylene Recycling HC'!U311+'Ethylene Recycling HC'!U313+'Propylene Recycling HC'!U204+'Propylene Recycling HC'!U206+'Methanol Recycling HC'!U336+'Methanol Recycling HC'!U338+'BTX Recycling HC'!U364+'BTX Recycling HC'!U366+'Butadiene Recycling HC'!U252+'Butadiene Recycling HC'!U254</f>
        <v>5.0967984326007514</v>
      </c>
      <c r="W10" s="299">
        <f>'Ethylene Recycling HC'!V311+'Ethylene Recycling HC'!V313+'Propylene Recycling HC'!V204+'Propylene Recycling HC'!V206+'Methanol Recycling HC'!V336+'Methanol Recycling HC'!V338+'BTX Recycling HC'!V364+'BTX Recycling HC'!V366+'Butadiene Recycling HC'!V252+'Butadiene Recycling HC'!V254</f>
        <v>6.1493957199981244</v>
      </c>
      <c r="X10" s="299">
        <f>'Ethylene Recycling HC'!W311+'Ethylene Recycling HC'!W313+'Propylene Recycling HC'!W204+'Propylene Recycling HC'!W206+'Methanol Recycling HC'!W336+'Methanol Recycling HC'!W338+'BTX Recycling HC'!W364+'BTX Recycling HC'!W366+'Butadiene Recycling HC'!W252+'Butadiene Recycling HC'!W254</f>
        <v>6.9688480271066666</v>
      </c>
      <c r="Y10" s="299">
        <f>'Ethylene Recycling HC'!X311+'Ethylene Recycling HC'!X313+'Propylene Recycling HC'!X204+'Propylene Recycling HC'!X206+'Methanol Recycling HC'!X336+'Methanol Recycling HC'!X338+'BTX Recycling HC'!X364+'BTX Recycling HC'!X366+'Butadiene Recycling HC'!X252+'Butadiene Recycling HC'!X254</f>
        <v>7.9445203752829103</v>
      </c>
      <c r="Z10" s="299">
        <f>'Ethylene Recycling HC'!Y311+'Ethylene Recycling HC'!Y313+'Propylene Recycling HC'!Y204+'Propylene Recycling HC'!Y206+'Methanol Recycling HC'!Y336+'Methanol Recycling HC'!Y338+'BTX Recycling HC'!Y364+'BTX Recycling HC'!Y366+'Butadiene Recycling HC'!Y252+'Butadiene Recycling HC'!Y254</f>
        <v>8.8261534428789208</v>
      </c>
      <c r="AA10" s="299">
        <f>'Ethylene Recycling HC'!Z311+'Ethylene Recycling HC'!Z313+'Propylene Recycling HC'!Z204+'Propylene Recycling HC'!Z206+'Methanol Recycling HC'!Z336+'Methanol Recycling HC'!Z338+'BTX Recycling HC'!Z364+'BTX Recycling HC'!Z366+'Butadiene Recycling HC'!Z252+'Butadiene Recycling HC'!Z254</f>
        <v>9.6562135301777321</v>
      </c>
      <c r="AB10" s="299">
        <f>'Ethylene Recycling HC'!AA311+'Ethylene Recycling HC'!AA313+'Propylene Recycling HC'!AA204+'Propylene Recycling HC'!AA206+'Methanol Recycling HC'!AA336+'Methanol Recycling HC'!AA338+'BTX Recycling HC'!AA364+'BTX Recycling HC'!AA366+'Butadiene Recycling HC'!AA252+'Butadiene Recycling HC'!AA254</f>
        <v>10.446149984394843</v>
      </c>
      <c r="AC10" s="299">
        <f>'Ethylene Recycling HC'!AB311+'Ethylene Recycling HC'!AB313+'Propylene Recycling HC'!AB204+'Propylene Recycling HC'!AB206+'Methanol Recycling HC'!AB336+'Methanol Recycling HC'!AB338+'BTX Recycling HC'!AB364+'BTX Recycling HC'!AB366+'Butadiene Recycling HC'!AB252+'Butadiene Recycling HC'!AB254</f>
        <v>11.241767905112534</v>
      </c>
      <c r="AD10" s="299">
        <f>'Ethylene Recycling HC'!AC311+'Ethylene Recycling HC'!AC313+'Propylene Recycling HC'!AC204+'Propylene Recycling HC'!AC206+'Methanol Recycling HC'!AC336+'Methanol Recycling HC'!AC338+'BTX Recycling HC'!AC364+'BTX Recycling HC'!AC366+'Butadiene Recycling HC'!AC252+'Butadiene Recycling HC'!AC254</f>
        <v>12.10482635607972</v>
      </c>
      <c r="AE10" s="299">
        <f>'Ethylene Recycling HC'!AD311+'Ethylene Recycling HC'!AD313+'Propylene Recycling HC'!AD204+'Propylene Recycling HC'!AD206+'Methanol Recycling HC'!AD336+'Methanol Recycling HC'!AD338+'BTX Recycling HC'!AD364+'BTX Recycling HC'!AD366+'Butadiene Recycling HC'!AD252+'Butadiene Recycling HC'!AD254</f>
        <v>13.108085723769516</v>
      </c>
      <c r="AF10" s="299">
        <f>'Ethylene Recycling HC'!AE311+'Ethylene Recycling HC'!AE313+'Propylene Recycling HC'!AE204+'Propylene Recycling HC'!AE206+'Methanol Recycling HC'!AE336+'Methanol Recycling HC'!AE338+'BTX Recycling HC'!AE364+'BTX Recycling HC'!AE366+'Butadiene Recycling HC'!AE252+'Butadiene Recycling HC'!AE254</f>
        <v>14.321690003667198</v>
      </c>
      <c r="AG10" s="299">
        <f>'Ethylene Recycling HC'!AF311+'Ethylene Recycling HC'!AF313+'Propylene Recycling HC'!AF204+'Propylene Recycling HC'!AF206+'Methanol Recycling HC'!AF336+'Methanol Recycling HC'!AF338+'BTX Recycling HC'!AF364+'BTX Recycling HC'!AF366+'Butadiene Recycling HC'!AF252+'Butadiene Recycling HC'!AF254</f>
        <v>15.899849382626009</v>
      </c>
      <c r="AH10" s="299">
        <f>'Ethylene Recycling HC'!AG311+'Ethylene Recycling HC'!AG313+'Propylene Recycling HC'!AG204+'Propylene Recycling HC'!AG206+'Methanol Recycling HC'!AG336+'Methanol Recycling HC'!AG338+'BTX Recycling HC'!AG364+'BTX Recycling HC'!AG366+'Butadiene Recycling HC'!AG252+'Butadiene Recycling HC'!AG254</f>
        <v>17.49842448961699</v>
      </c>
      <c r="AJ10" s="299">
        <f>'Ethylene Recycling LC'!C269+'Ethylene Recycling LC'!C271+'Propylene Recycling LC'!C190+'Propylene Recycling LC'!C192+'Methanol Recycling LC'!C336+'Methanol Recycling LC'!C338+'BTX Recycling LC'!C364+'BTX Recycling LC'!C366+'Butadiene Recycling LC'!C252+'Butadiene Recycling LC'!C254</f>
        <v>7.9316887475859034E-5</v>
      </c>
      <c r="AK10" s="299">
        <f>'Ethylene Recycling LC'!D269+'Ethylene Recycling LC'!D271+'Propylene Recycling LC'!D190+'Propylene Recycling LC'!D192+'Methanol Recycling LC'!D336+'Methanol Recycling LC'!D338+'BTX Recycling LC'!D364+'BTX Recycling LC'!D366+'Butadiene Recycling LC'!D252+'Butadiene Recycling LC'!D254</f>
        <v>1.7542669949898788E-4</v>
      </c>
      <c r="AL10" s="299">
        <f>'Ethylene Recycling LC'!E269+'Ethylene Recycling LC'!E271+'Propylene Recycling LC'!E190+'Propylene Recycling LC'!E192+'Methanol Recycling LC'!E336+'Methanol Recycling LC'!E338+'BTX Recycling LC'!E364+'BTX Recycling LC'!E366+'Butadiene Recycling LC'!E252+'Butadiene Recycling LC'!E254</f>
        <v>3.7081619095552889E-4</v>
      </c>
      <c r="AM10" s="299">
        <f>'Ethylene Recycling LC'!F269+'Ethylene Recycling LC'!F271+'Propylene Recycling LC'!F190+'Propylene Recycling LC'!F192+'Methanol Recycling LC'!F336+'Methanol Recycling LC'!F338+'BTX Recycling LC'!F364+'BTX Recycling LC'!F366+'Butadiene Recycling LC'!F252+'Butadiene Recycling LC'!F254</f>
        <v>7.7865286161852708E-4</v>
      </c>
      <c r="AN10" s="299">
        <f>'Ethylene Recycling LC'!G269+'Ethylene Recycling LC'!G271+'Propylene Recycling LC'!G190+'Propylene Recycling LC'!G192+'Methanol Recycling LC'!G336+'Methanol Recycling LC'!G338+'BTX Recycling LC'!G364+'BTX Recycling LC'!G366+'Butadiene Recycling LC'!G252+'Butadiene Recycling LC'!G254</f>
        <v>1.6227664765883023E-3</v>
      </c>
      <c r="AO10" s="299">
        <f>'Ethylene Recycling LC'!H269+'Ethylene Recycling LC'!H271+'Propylene Recycling LC'!H190+'Propylene Recycling LC'!H192+'Methanol Recycling LC'!H336+'Methanol Recycling LC'!H338+'BTX Recycling LC'!H364+'BTX Recycling LC'!H366+'Butadiene Recycling LC'!H252+'Butadiene Recycling LC'!H254</f>
        <v>3.3522063406073647E-3</v>
      </c>
      <c r="AP10" s="299">
        <f>'Ethylene Recycling LC'!I269+'Ethylene Recycling LC'!I271+'Propylene Recycling LC'!I190+'Propylene Recycling LC'!I192+'Methanol Recycling LC'!I336+'Methanol Recycling LC'!I338+'BTX Recycling LC'!I364+'BTX Recycling LC'!I366+'Butadiene Recycling LC'!I252+'Butadiene Recycling LC'!I254</f>
        <v>6.8661531338542209E-3</v>
      </c>
      <c r="AQ10" s="299">
        <f>'Ethylene Recycling LC'!J269+'Ethylene Recycling LC'!J271+'Propylene Recycling LC'!J190+'Propylene Recycling LC'!J192+'Methanol Recycling LC'!J336+'Methanol Recycling LC'!J338+'BTX Recycling LC'!J364+'BTX Recycling LC'!J366+'Butadiene Recycling LC'!J252+'Butadiene Recycling LC'!J254</f>
        <v>1.3909670559745213E-2</v>
      </c>
      <c r="AR10" s="299">
        <f>'Ethylene Recycling LC'!K269+'Ethylene Recycling LC'!K271+'Propylene Recycling LC'!K190+'Propylene Recycling LC'!K192+'Methanol Recycling LC'!K336+'Methanol Recycling LC'!K338+'BTX Recycling LC'!K364+'BTX Recycling LC'!K366+'Butadiene Recycling LC'!K252+'Butadiene Recycling LC'!K254</f>
        <v>2.7776602669648355E-2</v>
      </c>
      <c r="AS10" s="299">
        <f>'Ethylene Recycling LC'!L269+'Ethylene Recycling LC'!L271+'Propylene Recycling LC'!L190+'Propylene Recycling LC'!L192+'Methanol Recycling LC'!L336+'Methanol Recycling LC'!L338+'BTX Recycling LC'!L364+'BTX Recycling LC'!L366+'Butadiene Recycling LC'!L252+'Butadiene Recycling LC'!L254</f>
        <v>5.4436312529275936E-2</v>
      </c>
      <c r="AT10" s="299">
        <f>'Ethylene Recycling LC'!M269+'Ethylene Recycling LC'!M271+'Propylene Recycling LC'!M190+'Propylene Recycling LC'!M192+'Methanol Recycling LC'!M336+'Methanol Recycling LC'!M338+'BTX Recycling LC'!M364+'BTX Recycling LC'!M366+'Butadiene Recycling LC'!M252+'Butadiene Recycling LC'!M254</f>
        <v>0.10099389631070295</v>
      </c>
      <c r="AU10" s="299">
        <f>'Ethylene Recycling LC'!N269+'Ethylene Recycling LC'!N271+'Propylene Recycling LC'!N190+'Propylene Recycling LC'!N192+'Methanol Recycling LC'!N336+'Methanol Recycling LC'!N338+'BTX Recycling LC'!N364+'BTX Recycling LC'!N366+'Butadiene Recycling LC'!N252+'Butadiene Recycling LC'!N254</f>
        <v>0.18517161686826905</v>
      </c>
      <c r="AV10" s="299">
        <f>'Ethylene Recycling LC'!O269+'Ethylene Recycling LC'!O271+'Propylene Recycling LC'!O190+'Propylene Recycling LC'!O192+'Methanol Recycling LC'!O336+'Methanol Recycling LC'!O338+'BTX Recycling LC'!O364+'BTX Recycling LC'!O366+'Butadiene Recycling LC'!O252+'Butadiene Recycling LC'!O254</f>
        <v>0.31647982824093002</v>
      </c>
      <c r="AW10" s="299">
        <f>'Ethylene Recycling LC'!P269+'Ethylene Recycling LC'!P271+'Propylene Recycling LC'!P190+'Propylene Recycling LC'!P192+'Methanol Recycling LC'!P336+'Methanol Recycling LC'!P338+'BTX Recycling LC'!P364+'BTX Recycling LC'!P366+'Butadiene Recycling LC'!P252+'Butadiene Recycling LC'!P254</f>
        <v>0.5158541713486644</v>
      </c>
      <c r="AX10" s="299">
        <f>'Ethylene Recycling LC'!Q269+'Ethylene Recycling LC'!Q271+'Propylene Recycling LC'!Q190+'Propylene Recycling LC'!Q192+'Methanol Recycling LC'!Q336+'Methanol Recycling LC'!Q338+'BTX Recycling LC'!Q364+'BTX Recycling LC'!Q366+'Butadiene Recycling LC'!Q252+'Butadiene Recycling LC'!Q254</f>
        <v>0.79641195834009326</v>
      </c>
      <c r="AY10" s="299">
        <f>'Ethylene Recycling LC'!R269+'Ethylene Recycling LC'!R271+'Propylene Recycling LC'!R190+'Propylene Recycling LC'!R192+'Methanol Recycling LC'!R336+'Methanol Recycling LC'!R338+'BTX Recycling LC'!R364+'BTX Recycling LC'!R366+'Butadiene Recycling LC'!R252+'Butadiene Recycling LC'!R254</f>
        <v>1.1861641330346837</v>
      </c>
      <c r="AZ10" s="299">
        <f>'Ethylene Recycling LC'!S269+'Ethylene Recycling LC'!S271+'Propylene Recycling LC'!S190+'Propylene Recycling LC'!S192+'Methanol Recycling LC'!S336+'Methanol Recycling LC'!S338+'BTX Recycling LC'!S364+'BTX Recycling LC'!S366+'Butadiene Recycling LC'!S252+'Butadiene Recycling LC'!S254</f>
        <v>1.6772574545687884</v>
      </c>
      <c r="BA10" s="299">
        <f>'Ethylene Recycling LC'!T269+'Ethylene Recycling LC'!T271+'Propylene Recycling LC'!T190+'Propylene Recycling LC'!T192+'Methanol Recycling LC'!T336+'Methanol Recycling LC'!T338+'BTX Recycling LC'!T364+'BTX Recycling LC'!T366+'Butadiene Recycling LC'!T252+'Butadiene Recycling LC'!T254</f>
        <v>2.237350982909839</v>
      </c>
      <c r="BB10" s="299">
        <f>'Ethylene Recycling LC'!U269+'Ethylene Recycling LC'!U271+'Propylene Recycling LC'!U190+'Propylene Recycling LC'!U192+'Methanol Recycling LC'!U336+'Methanol Recycling LC'!U338+'BTX Recycling LC'!U364+'BTX Recycling LC'!U366+'Butadiene Recycling LC'!U252+'Butadiene Recycling LC'!U254</f>
        <v>2.8292876321404838</v>
      </c>
      <c r="BC10" s="299">
        <f>'Ethylene Recycling LC'!V269+'Ethylene Recycling LC'!V271+'Propylene Recycling LC'!V190+'Propylene Recycling LC'!V192+'Methanol Recycling LC'!V336+'Methanol Recycling LC'!V338+'BTX Recycling LC'!V364+'BTX Recycling LC'!V366+'Butadiene Recycling LC'!V252+'Butadiene Recycling LC'!V254</f>
        <v>3.4156195234536617</v>
      </c>
      <c r="BD10" s="299">
        <f>'Ethylene Recycling LC'!W269+'Ethylene Recycling LC'!W271+'Propylene Recycling LC'!W190+'Propylene Recycling LC'!W192+'Methanol Recycling LC'!W336+'Methanol Recycling LC'!W338+'BTX Recycling LC'!W364+'BTX Recycling LC'!W366+'Butadiene Recycling LC'!W252+'Butadiene Recycling LC'!W254</f>
        <v>3.7973548621716344</v>
      </c>
      <c r="BE10" s="299">
        <f>'Ethylene Recycling LC'!X269+'Ethylene Recycling LC'!X271+'Propylene Recycling LC'!X190+'Propylene Recycling LC'!X192+'Methanol Recycling LC'!X336+'Methanol Recycling LC'!X338+'BTX Recycling LC'!X364+'BTX Recycling LC'!X366+'Butadiene Recycling LC'!X252+'Butadiene Recycling LC'!X254</f>
        <v>4.4204139262841853</v>
      </c>
      <c r="BF10" s="299">
        <f>'Ethylene Recycling LC'!Y269+'Ethylene Recycling LC'!Y271+'Propylene Recycling LC'!Y190+'Propylene Recycling LC'!Y192+'Methanol Recycling LC'!Y336+'Methanol Recycling LC'!Y338+'BTX Recycling LC'!Y364+'BTX Recycling LC'!Y366+'Butadiene Recycling LC'!Y252+'Butadiene Recycling LC'!Y254</f>
        <v>4.9199867113925526</v>
      </c>
      <c r="BG10" s="299">
        <f>'Ethylene Recycling LC'!Z269+'Ethylene Recycling LC'!Z271+'Propylene Recycling LC'!Z190+'Propylene Recycling LC'!Z192+'Methanol Recycling LC'!Z336+'Methanol Recycling LC'!Z338+'BTX Recycling LC'!Z364+'BTX Recycling LC'!Z366+'Butadiene Recycling LC'!Z252+'Butadiene Recycling LC'!Z254</f>
        <v>5.3928714051738051</v>
      </c>
      <c r="BH10" s="299">
        <f>'Ethylene Recycling LC'!AA269+'Ethylene Recycling LC'!AA271+'Propylene Recycling LC'!AA190+'Propylene Recycling LC'!AA192+'Methanol Recycling LC'!AA336+'Methanol Recycling LC'!AA338+'BTX Recycling LC'!AA364+'BTX Recycling LC'!AA366+'Butadiene Recycling LC'!AA252+'Butadiene Recycling LC'!AA254</f>
        <v>5.8451490319546489</v>
      </c>
      <c r="BI10" s="299">
        <f>'Ethylene Recycling LC'!AB269+'Ethylene Recycling LC'!AB271+'Propylene Recycling LC'!AB190+'Propylene Recycling LC'!AB192+'Methanol Recycling LC'!AB336+'Methanol Recycling LC'!AB338+'BTX Recycling LC'!AB364+'BTX Recycling LC'!AB366+'Butadiene Recycling LC'!AB252+'Butadiene Recycling LC'!AB254</f>
        <v>6.3024889440528238</v>
      </c>
      <c r="BJ10" s="299">
        <f>'Ethylene Recycling LC'!AC269+'Ethylene Recycling LC'!AC271+'Propylene Recycling LC'!AC190+'Propylene Recycling LC'!AC192+'Methanol Recycling LC'!AC336+'Methanol Recycling LC'!AC338+'BTX Recycling LC'!AC364+'BTX Recycling LC'!AC366+'Butadiene Recycling LC'!AC252+'Butadiene Recycling LC'!AC254</f>
        <v>6.7997458605725125</v>
      </c>
      <c r="BK10" s="299">
        <f>'Ethylene Recycling LC'!AD269+'Ethylene Recycling LC'!AD271+'Propylene Recycling LC'!AD190+'Propylene Recycling LC'!AD192+'Methanol Recycling LC'!AD336+'Methanol Recycling LC'!AD338+'BTX Recycling LC'!AD364+'BTX Recycling LC'!AD366+'Butadiene Recycling LC'!AD252+'Butadiene Recycling LC'!AD254</f>
        <v>7.3886629437411724</v>
      </c>
      <c r="BL10" s="299">
        <f>'Ethylene Recycling LC'!AE269+'Ethylene Recycling LC'!AE271+'Propylene Recycling LC'!AE190+'Propylene Recycling LC'!AE192+'Methanol Recycling LC'!AE336+'Methanol Recycling LC'!AE338+'BTX Recycling LC'!AE364+'BTX Recycling LC'!AE366+'Butadiene Recycling LC'!AE252+'Butadiene Recycling LC'!AE254</f>
        <v>8.105558760669771</v>
      </c>
      <c r="BM10" s="299">
        <f>'Ethylene Recycling LC'!AF269+'Ethylene Recycling LC'!AF271+'Propylene Recycling LC'!AF190+'Propylene Recycling LC'!AF192+'Methanol Recycling LC'!AF336+'Methanol Recycling LC'!AF338+'BTX Recycling LC'!AF364+'BTX Recycling LC'!AF366+'Butadiene Recycling LC'!AF252+'Butadiene Recycling LC'!AF254</f>
        <v>9.0405935295120603</v>
      </c>
      <c r="BN10" s="299">
        <f>'Ethylene Recycling LC'!AG269+'Ethylene Recycling LC'!AG271+'Propylene Recycling LC'!AG190+'Propylene Recycling LC'!AG192+'Methanol Recycling LC'!AG336+'Methanol Recycling LC'!AG338+'BTX Recycling LC'!AG364+'BTX Recycling LC'!AG366+'Butadiene Recycling LC'!AG252+'Butadiene Recycling LC'!AG254</f>
        <v>9.7546725913874042</v>
      </c>
      <c r="BO10" s="2">
        <f t="shared" ref="BO10:BO16" si="68">BN10/$BN$4</f>
        <v>1.8829954396430322E-2</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V10" s="360">
        <f>AJ10</f>
        <v>7.9316887475859034E-5</v>
      </c>
      <c r="CW10" s="360">
        <f t="shared" si="67"/>
        <v>1.7542669949898788E-4</v>
      </c>
      <c r="CX10" s="360">
        <f t="shared" si="67"/>
        <v>3.7081619095552889E-4</v>
      </c>
      <c r="CY10" s="360">
        <f t="shared" si="67"/>
        <v>7.7865286161852708E-4</v>
      </c>
      <c r="CZ10" s="360">
        <f t="shared" si="67"/>
        <v>1.6227664765883023E-3</v>
      </c>
      <c r="DA10" s="360">
        <f t="shared" si="67"/>
        <v>3.3522063406073647E-3</v>
      </c>
      <c r="DB10" s="360">
        <f t="shared" si="67"/>
        <v>6.8661531338542209E-3</v>
      </c>
      <c r="DC10" s="360">
        <f t="shared" si="67"/>
        <v>1.3909670559745213E-2</v>
      </c>
      <c r="DD10" s="360">
        <f t="shared" si="67"/>
        <v>2.7776602669648355E-2</v>
      </c>
      <c r="DE10" s="360">
        <f t="shared" si="67"/>
        <v>5.4436312529275936E-2</v>
      </c>
      <c r="DF10" s="360">
        <f t="shared" si="67"/>
        <v>0.10099389631070295</v>
      </c>
      <c r="DG10" s="360">
        <f t="shared" si="67"/>
        <v>0.18517161686826905</v>
      </c>
      <c r="DH10" s="360">
        <f t="shared" si="67"/>
        <v>0.31647982824093002</v>
      </c>
      <c r="DI10" s="360">
        <f t="shared" si="67"/>
        <v>0.5158541713486644</v>
      </c>
      <c r="DJ10" s="360">
        <f t="shared" si="67"/>
        <v>0.79641195834009326</v>
      </c>
      <c r="DK10" s="360">
        <f t="shared" si="67"/>
        <v>1.1861641330346837</v>
      </c>
      <c r="DL10" s="360">
        <f t="shared" si="67"/>
        <v>1.6772574545687884</v>
      </c>
      <c r="DM10" s="360">
        <f t="shared" si="67"/>
        <v>2.237350982909839</v>
      </c>
      <c r="DN10" s="360">
        <f t="shared" si="67"/>
        <v>2.8292876321404838</v>
      </c>
      <c r="DO10" s="360">
        <f t="shared" si="67"/>
        <v>3.4156195234536617</v>
      </c>
      <c r="DP10" s="360">
        <f t="shared" si="67"/>
        <v>3.7973548621716344</v>
      </c>
      <c r="DQ10" s="360">
        <f t="shared" si="67"/>
        <v>4.4204139262841853</v>
      </c>
      <c r="DR10" s="360">
        <f t="shared" si="67"/>
        <v>4.9199867113925526</v>
      </c>
      <c r="DS10" s="360">
        <f t="shared" si="67"/>
        <v>5.3928714051738051</v>
      </c>
      <c r="DT10" s="360">
        <f t="shared" si="67"/>
        <v>5.8451490319546489</v>
      </c>
      <c r="DU10" s="360">
        <f t="shared" si="67"/>
        <v>6.3024889440528238</v>
      </c>
      <c r="DV10" s="360">
        <f t="shared" si="67"/>
        <v>6.7997458605725125</v>
      </c>
      <c r="DW10" s="360">
        <f t="shared" si="67"/>
        <v>7.3886629437411724</v>
      </c>
      <c r="DX10" s="360">
        <f t="shared" si="67"/>
        <v>8.105558760669771</v>
      </c>
      <c r="DY10" s="360">
        <f t="shared" si="67"/>
        <v>9.0405935295120603</v>
      </c>
      <c r="DZ10" s="360">
        <f t="shared" si="67"/>
        <v>9.7546725913874042</v>
      </c>
      <c r="EE10" t="s">
        <v>444</v>
      </c>
      <c r="EF10" t="s">
        <v>445</v>
      </c>
      <c r="EG10" t="s">
        <v>410</v>
      </c>
      <c r="EH10" t="s">
        <v>446</v>
      </c>
      <c r="EK10" s="43">
        <v>5.0000000000000001E-3</v>
      </c>
      <c r="EL10" s="43">
        <v>5.0000000000000001E-3</v>
      </c>
      <c r="EM10" s="43">
        <v>5.0000000000000001E-3</v>
      </c>
      <c r="EN10" s="43">
        <v>5.0000000000000001E-3</v>
      </c>
      <c r="EO10" s="43">
        <v>5.0000000000000001E-3</v>
      </c>
      <c r="EP10" s="43">
        <v>5.0000000000000001E-3</v>
      </c>
      <c r="EQ10" s="43">
        <v>5.0000000000000001E-3</v>
      </c>
      <c r="ER10" s="43">
        <v>5.0000000000000001E-3</v>
      </c>
      <c r="ES10" s="43">
        <v>5.0000000000000001E-3</v>
      </c>
      <c r="ET10" s="43">
        <v>5.0000000000000001E-3</v>
      </c>
      <c r="EU10" s="43">
        <v>5.0000000000000001E-3</v>
      </c>
      <c r="EV10" s="43">
        <v>5.0000000000000001E-3</v>
      </c>
      <c r="EW10" s="43">
        <v>5.0000000000000001E-3</v>
      </c>
      <c r="EX10" s="43">
        <v>5.0000000000000001E-3</v>
      </c>
      <c r="EY10" s="43">
        <v>5.0000000000000001E-3</v>
      </c>
      <c r="EZ10" s="43">
        <v>5.0000000000000001E-3</v>
      </c>
      <c r="FA10" s="43">
        <v>5.0000000000000001E-3</v>
      </c>
      <c r="FB10" s="43">
        <v>5.0000000000000001E-3</v>
      </c>
      <c r="FC10" s="43">
        <v>5.0000000000000001E-3</v>
      </c>
      <c r="FD10" s="43">
        <v>5.0000000000000001E-3</v>
      </c>
      <c r="FE10" s="43">
        <v>5.0000000000000001E-3</v>
      </c>
      <c r="FF10" s="43">
        <v>5.0000000000000001E-3</v>
      </c>
      <c r="FG10" s="43">
        <v>5.0000000000000001E-3</v>
      </c>
      <c r="FH10" s="43">
        <v>5.0000000000000001E-3</v>
      </c>
      <c r="FI10" s="43">
        <v>5.0000000000000001E-3</v>
      </c>
    </row>
    <row r="11" spans="1:165">
      <c r="A11" s="601" t="s">
        <v>447</v>
      </c>
      <c r="C11" s="54" t="s">
        <v>153</v>
      </c>
      <c r="D11" s="44">
        <f>(D$4-D$9-D$10)*'Ethylene Recycling HC'!C250</f>
        <v>47.054726630584348</v>
      </c>
      <c r="E11" s="44">
        <f>(E$4-E$9-E$10)*'Ethylene Recycling HC'!D250</f>
        <v>50.048824903554333</v>
      </c>
      <c r="F11" s="44">
        <f>(F$4-F$9-F$10)*'Ethylene Recycling HC'!E250</f>
        <v>52.959424330982628</v>
      </c>
      <c r="G11" s="44">
        <f>(G$4-G$9-G$10)*'Ethylene Recycling HC'!F250</f>
        <v>55.834866907253577</v>
      </c>
      <c r="H11" s="44">
        <f>(H$4-H$9-H$10)*'Ethylene Recycling HC'!G250</f>
        <v>58.655070770893047</v>
      </c>
      <c r="I11" s="44">
        <f>(I$4-I$9-I$10)*'Ethylene Recycling HC'!H250</f>
        <v>61.399630911783447</v>
      </c>
      <c r="J11" s="44">
        <f>(J$4-J$9-J$10)*'Ethylene Recycling HC'!I250</f>
        <v>64.186156760550219</v>
      </c>
      <c r="K11" s="44">
        <f>(K$4-K$9-K$10)*'Ethylene Recycling HC'!J250</f>
        <v>67.011158214250131</v>
      </c>
      <c r="L11" s="44">
        <f>(L$4-L$9-L$10)*'Ethylene Recycling HC'!K250</f>
        <v>69.870343901424818</v>
      </c>
      <c r="M11" s="44">
        <f>(M$4-M$9-M$10)*'Ethylene Recycling HC'!L250</f>
        <v>72.758127745109505</v>
      </c>
      <c r="N11" s="44">
        <f>(N$4-N$9-N$10)*'Ethylene Recycling HC'!M250</f>
        <v>75.667485286215054</v>
      </c>
      <c r="O11" s="44">
        <f>(O$4-O$9-O$10)*'Ethylene Recycling HC'!N250</f>
        <v>77.995610919841326</v>
      </c>
      <c r="P11" s="44">
        <f>(P$4-P$9-P$10)*'Ethylene Recycling HC'!O250</f>
        <v>80.158269117420787</v>
      </c>
      <c r="Q11" s="44">
        <f>(Q$4-Q$9-Q$10)*'Ethylene Recycling HC'!P250</f>
        <v>82.139441955747031</v>
      </c>
      <c r="R11" s="44">
        <f>(R$4-R$9-R$10)*'Ethylene Recycling HC'!Q250</f>
        <v>83.909446714365174</v>
      </c>
      <c r="S11" s="44">
        <f>(S$4-S$9-S$10)*'Ethylene Recycling HC'!R250</f>
        <v>85.440974600541907</v>
      </c>
      <c r="T11" s="44">
        <f>(T$4-T$9-T$10)*'Ethylene Recycling HC'!S250</f>
        <v>86.8798914342687</v>
      </c>
      <c r="U11" s="44">
        <f>(U$4-U$9-U$10)*'Ethylene Recycling HC'!T250</f>
        <v>88.235293711458809</v>
      </c>
      <c r="V11" s="44">
        <f>(V$4-V$9-V$10)*'Ethylene Recycling HC'!U250</f>
        <v>89.51975935581936</v>
      </c>
      <c r="W11" s="44">
        <f>(W$4-W$9-W$10)*'Ethylene Recycling HC'!V250</f>
        <v>90.747358451424091</v>
      </c>
      <c r="X11" s="44">
        <f>(X$4-X$9-X$10)*'Ethylene Recycling HC'!W250</f>
        <v>91.974670702474</v>
      </c>
      <c r="Y11" s="44">
        <f>(Y$4-Y$9-Y$10)*'Ethylene Recycling HC'!X250</f>
        <v>92.211440009625363</v>
      </c>
      <c r="Z11" s="44">
        <f>(Z$4-Z$9-Z$10)*'Ethylene Recycling HC'!Y250</f>
        <v>92.350029856315004</v>
      </c>
      <c r="AA11" s="44">
        <f>(AA$4-AA$9-AA$10)*'Ethylene Recycling HC'!Z250</f>
        <v>92.389297894506598</v>
      </c>
      <c r="AB11" s="44">
        <f>(AB$4-AB$9-AB$10)*'Ethylene Recycling HC'!AA250</f>
        <v>92.308378293607845</v>
      </c>
      <c r="AC11" s="44">
        <f>(AC$4-AC$9-AC$10)*'Ethylene Recycling HC'!AB250</f>
        <v>92.089896037327122</v>
      </c>
      <c r="AD11" s="44">
        <f>(AD$4-AD$9-AD$10)*'Ethylene Recycling HC'!AC250</f>
        <v>91.711580426879564</v>
      </c>
      <c r="AE11" s="44">
        <f>(AE$4-AE$9-AE$10)*'Ethylene Recycling HC'!AD250</f>
        <v>91.145540010341975</v>
      </c>
      <c r="AF11" s="44">
        <f>(AF$4-AF$9-AF$10)*'Ethylene Recycling HC'!AE250</f>
        <v>90.36308101849184</v>
      </c>
      <c r="AG11" s="44">
        <f>(AG$4-AG$9-AG$10)*'Ethylene Recycling HC'!AF250</f>
        <v>89.307502381997836</v>
      </c>
      <c r="AH11" s="44">
        <f>(AH$4-AH$9-AH$10)*'Ethylene Recycling HC'!AG250</f>
        <v>88.078228445662077</v>
      </c>
      <c r="AJ11" s="44">
        <f>(AJ$4-AJ$9-AJ$10)*'Ethylene Recycling LC'!C208</f>
        <v>47.054736907514837</v>
      </c>
      <c r="AK11" s="44">
        <f>(AK$4-AK$9-AK$10)*'Ethylene Recycling LC'!D208</f>
        <v>50.048848118396762</v>
      </c>
      <c r="AL11" s="44">
        <f>(AL$4-AL$9-AL$10)*'Ethylene Recycling LC'!E208</f>
        <v>52.959475012333129</v>
      </c>
      <c r="AM11" s="44">
        <f>(AM$4-AM$9-AM$10)*'Ethylene Recycling LC'!F208</f>
        <v>55.83497669894399</v>
      </c>
      <c r="AN11" s="44">
        <f>(AN$4-AN$9-AN$10)*'Ethylene Recycling LC'!G208</f>
        <v>58.655306582145684</v>
      </c>
      <c r="AO11" s="44">
        <f>(AO$4-AO$9-AO$10)*'Ethylene Recycling LC'!H208</f>
        <v>61.400132441198735</v>
      </c>
      <c r="AP11" s="44">
        <f>(AP$4-AP$9-AP$10)*'Ethylene Recycling LC'!I208</f>
        <v>64.187213421411641</v>
      </c>
      <c r="AQ11" s="44">
        <f>(AQ$4-AQ$9-AQ$10)*'Ethylene Recycling LC'!J208</f>
        <v>67.013358188812489</v>
      </c>
      <c r="AR11" s="44">
        <f>(AR$4-AR$9-AR$10)*'Ethylene Recycling LC'!K208</f>
        <v>69.874855202731993</v>
      </c>
      <c r="AS11" s="44">
        <f>(AS$4-AS$9-AS$10)*'Ethylene Recycling LC'!L208</f>
        <v>72.767199594179388</v>
      </c>
      <c r="AT11" s="44">
        <f>(AT$4-AT$9-AT$10)*'Ethylene Recycling LC'!M208</f>
        <v>75.68535343987989</v>
      </c>
      <c r="AU11" s="44">
        <f>(AU$4-AU$9-AU$10)*'Ethylene Recycling LC'!N208</f>
        <v>78.028086322221256</v>
      </c>
      <c r="AV11" s="44">
        <f>(AV$4-AV$9-AV$10)*'Ethylene Recycling LC'!O208</f>
        <v>80.215197930505454</v>
      </c>
      <c r="AW11" s="44">
        <f>(AW$4-AW$9-AW$10)*'Ethylene Recycling LC'!P208</f>
        <v>82.230724320755527</v>
      </c>
      <c r="AX11" s="44">
        <f>(AX$4-AX$9-AX$10)*'Ethylene Recycling LC'!Q208</f>
        <v>84.05194174704863</v>
      </c>
      <c r="AY11" s="44">
        <f>(AY$4-AY$9-AY$10)*'Ethylene Recycling LC'!R208</f>
        <v>85.657647832462217</v>
      </c>
      <c r="AZ11" s="44">
        <f>(AZ$4-AZ$9-AZ$10)*'Ethylene Recycling LC'!S208</f>
        <v>87.193502403934929</v>
      </c>
      <c r="BA11" s="44">
        <f>(BA$4-BA$9-BA$10)*'Ethylene Recycling LC'!T208</f>
        <v>88.663379864560937</v>
      </c>
      <c r="BB11" s="44">
        <f>(BB$4-BB$9-BB$10)*'Ethylene Recycling LC'!U208</f>
        <v>90.073034242723011</v>
      </c>
      <c r="BC11" s="44">
        <f>(BC$4-BC$9-BC$10)*'Ethylene Recycling LC'!V208</f>
        <v>91.429045879442469</v>
      </c>
      <c r="BD11" s="44">
        <f>(BD$4-BD$9-BD$10)*'Ethylene Recycling LC'!W208</f>
        <v>92.781830955310738</v>
      </c>
      <c r="BE11" s="44">
        <f>(BE$4-BE$9-BE$10)*'Ethylene Recycling LC'!X208</f>
        <v>93.125287388408751</v>
      </c>
      <c r="BF11" s="44">
        <f>(BF$4-BF$9-BF$10)*'Ethylene Recycling LC'!Y208</f>
        <v>93.382179888730079</v>
      </c>
      <c r="BG11" s="44">
        <f>(BG$4-BG$9-BG$10)*'Ethylene Recycling LC'!Z208</f>
        <v>93.536473655626722</v>
      </c>
      <c r="BH11" s="44">
        <f>(BH$4-BH$9-BH$10)*'Ethylene Recycling LC'!AA208</f>
        <v>93.568445036898254</v>
      </c>
      <c r="BI11" s="44">
        <f>(BI$4-BI$9-BI$10)*'Ethylene Recycling LC'!AB208</f>
        <v>93.466307552045706</v>
      </c>
      <c r="BJ11" s="44">
        <f>(BJ$4-BJ$9-BJ$10)*'Ethylene Recycling LC'!AC208</f>
        <v>93.215829456920972</v>
      </c>
      <c r="BK11" s="44">
        <f>(BK$4-BK$9-BK$10)*'Ethylene Recycling LC'!AD208</f>
        <v>92.795943121205781</v>
      </c>
      <c r="BL11" s="44">
        <f>(BL$4-BL$9-BL$10)*'Ethylene Recycling LC'!AE208</f>
        <v>92.18918901866526</v>
      </c>
      <c r="BM11" s="44">
        <f>(BM$4-BM$9-BM$10)*'Ethylene Recycling LC'!AF208</f>
        <v>91.360332641128892</v>
      </c>
      <c r="BN11" s="44">
        <f>(BN$4-BN$9-BN$10)*'Ethylene Recycling LC'!AG208</f>
        <v>90.441521053956663</v>
      </c>
      <c r="BO11" s="2">
        <f t="shared" si="68"/>
        <v>0.17458399562209995</v>
      </c>
      <c r="BP11" s="44">
        <f>(BP$4-BP$9-BP$10)*'Ethylene Recycling HC'!C229</f>
        <v>47.05474959821683</v>
      </c>
      <c r="BQ11" s="44">
        <f>(BQ$4-BQ$9-BQ$10)*'Ethylene Recycling HC'!D229</f>
        <v>49.342906184171767</v>
      </c>
      <c r="BR11" s="44">
        <f>(BR$4-BR$9-BR$10)*'Ethylene Recycling HC'!E229</f>
        <v>51.583686036998493</v>
      </c>
      <c r="BS11" s="44">
        <f>(BS$4-BS$9-BS$10)*'Ethylene Recycling HC'!F229</f>
        <v>53.761869621828474</v>
      </c>
      <c r="BT11" s="44">
        <f>(BT$4-BT$9-BT$10)*'Ethylene Recycling HC'!G229</f>
        <v>55.862127103961114</v>
      </c>
      <c r="BU11" s="44">
        <f>(BU$4-BU$9-BU$10)*'Ethylene Recycling HC'!H229</f>
        <v>57.869182947246216</v>
      </c>
      <c r="BV11" s="44">
        <f>(BV$4-BV$9-BV$10)*'Ethylene Recycling HC'!I229</f>
        <v>59.909386033918459</v>
      </c>
      <c r="BW11" s="44">
        <f>(BW$4-BW$9-BW$10)*'Ethylene Recycling HC'!J229</f>
        <v>61.981436444846686</v>
      </c>
      <c r="BX11" s="44">
        <f>(BX$4-BX$9-BX$10)*'Ethylene Recycling HC'!K229</f>
        <v>64.083936633786934</v>
      </c>
      <c r="BY11" s="44">
        <f>(BY$4-BY$9-BY$10)*'Ethylene Recycling HC'!L229</f>
        <v>66.215391211862396</v>
      </c>
      <c r="BZ11" s="44">
        <f>(BZ$4-BZ$9-BZ$10)*'Ethylene Recycling HC'!M229</f>
        <v>68.374206978355019</v>
      </c>
      <c r="CA11" s="44">
        <f>(CA$4-CA$9-CA$10)*'Ethylene Recycling HC'!N229</f>
        <v>70.44822850497917</v>
      </c>
      <c r="CB11" s="44">
        <f>(CB$4-CB$9-CB$10)*'Ethylene Recycling HC'!O229</f>
        <v>72.425609108100787</v>
      </c>
      <c r="CC11" s="44">
        <f>(CC$4-CC$9-CC$10)*'Ethylene Recycling HC'!P229</f>
        <v>74.294709967066154</v>
      </c>
      <c r="CD11" s="44">
        <f>(CD$4-CD$9-CD$10)*'Ethylene Recycling HC'!Q229</f>
        <v>76.04420052080475</v>
      </c>
      <c r="CE11" s="44">
        <f>(CE$4-CE$9-CE$10)*'Ethylene Recycling HC'!R229</f>
        <v>77.663158671065091</v>
      </c>
      <c r="CF11" s="44">
        <f>(CF$4-CF$9-CF$10)*'Ethylene Recycling HC'!S229</f>
        <v>79.297500435860499</v>
      </c>
      <c r="CG11" s="44">
        <f>(CG$4-CG$9-CG$10)*'Ethylene Recycling HC'!T229</f>
        <v>80.946931057264152</v>
      </c>
      <c r="CH11" s="44">
        <f>(CH$4-CH$9-CH$10)*'Ethylene Recycling HC'!U229</f>
        <v>82.611142437644531</v>
      </c>
      <c r="CI11" s="44">
        <f>(CI$4-CI$9-CI$10)*'Ethylene Recycling HC'!V229</f>
        <v>84.289813034931029</v>
      </c>
      <c r="CJ11" s="44">
        <f>(CJ$4-CJ$9-CJ$10)*'Ethylene Recycling HC'!W229</f>
        <v>85.982607763562072</v>
      </c>
      <c r="CK11" s="44">
        <f>(CK$4-CK$9-CK$10)*'Ethylene Recycling HC'!X229</f>
        <v>87.690239913004589</v>
      </c>
      <c r="CL11" s="44">
        <f>(CL$4-CL$9-CL$10)*'Ethylene Recycling HC'!Y229</f>
        <v>89.412413345202737</v>
      </c>
      <c r="CM11" s="44">
        <f>(CM$4-CM$9-CM$10)*'Ethylene Recycling HC'!Z229</f>
        <v>91.148819508907764</v>
      </c>
      <c r="CN11" s="44">
        <f>(CN$4-CN$9-CN$10)*'Ethylene Recycling HC'!AA229</f>
        <v>92.899137341262588</v>
      </c>
      <c r="CO11" s="44">
        <f>(CO$4-CO$9-CO$10)*'Ethylene Recycling HC'!AB229</f>
        <v>94.663033173772448</v>
      </c>
      <c r="CP11" s="44">
        <f>(CP$4-CP$9-CP$10)*'Ethylene Recycling HC'!AC229</f>
        <v>96.441166638219059</v>
      </c>
      <c r="CQ11" s="44">
        <f>(CQ$4-CQ$9-CQ$10)*'Ethylene Recycling HC'!AD229</f>
        <v>98.233238245623539</v>
      </c>
      <c r="CR11" s="44">
        <f>(CR$4-CR$9-CR$10)*'Ethylene Recycling HC'!AE229</f>
        <v>100.03893683404544</v>
      </c>
      <c r="CS11" s="44">
        <f>(CS$4-CS$9-CS$10)*'Ethylene Recycling HC'!AF229</f>
        <v>101.85793947395628</v>
      </c>
      <c r="CT11" s="44">
        <f>(CT$4-CT$9-CT$10)*'Ethylene Recycling HC'!AG229</f>
        <v>103.68991137696932</v>
      </c>
      <c r="CV11" s="44">
        <f>(CV$4-CV$9-CV$10)*'Ethylene Recycling LC'!C208</f>
        <v>47.054736907514837</v>
      </c>
      <c r="CW11" s="44">
        <f>(CW$4-CW$9-CW$10)*'Ethylene Recycling LC'!D208</f>
        <v>50.048848118396762</v>
      </c>
      <c r="CX11" s="44">
        <f>(CX$4-CX$9-CX$10)*'Ethylene Recycling LC'!E208</f>
        <v>52.959475012333129</v>
      </c>
      <c r="CY11" s="44">
        <f>(CY$4-CY$9-CY$10)*'Ethylene Recycling LC'!F208</f>
        <v>55.83497669894399</v>
      </c>
      <c r="CZ11" s="44">
        <f>(CZ$4-CZ$9-CZ$10)*'Ethylene Recycling LC'!G208</f>
        <v>58.655306582145684</v>
      </c>
      <c r="DA11" s="44">
        <f>(DA$4-DA$9-DA$10)*'Ethylene Recycling LC'!H208</f>
        <v>61.400132441198735</v>
      </c>
      <c r="DB11" s="44">
        <f>(DB$4-DB$9-DB$10)*'Ethylene Recycling LC'!I208</f>
        <v>64.187213421411641</v>
      </c>
      <c r="DC11" s="44">
        <f>(DC$4-DC$9-DC$10)*'Ethylene Recycling LC'!J208</f>
        <v>67.013358188812489</v>
      </c>
      <c r="DD11" s="44">
        <f>(DD$4-DD$9-DD$10)*'Ethylene Recycling LC'!K208</f>
        <v>69.874855202731993</v>
      </c>
      <c r="DE11" s="44">
        <f>(DE$4-DE$9-DE$10)*'Ethylene Recycling LC'!L208</f>
        <v>72.767199594179388</v>
      </c>
      <c r="DF11" s="44">
        <f>(DF$4-DF$9-DF$10)*'Ethylene Recycling LC'!M208</f>
        <v>75.685353439879876</v>
      </c>
      <c r="DG11" s="44">
        <f>(DG$4-DG$9-DG$10)*'Ethylene Recycling LC'!N208</f>
        <v>78.028086322221256</v>
      </c>
      <c r="DH11" s="44">
        <f>(DH$4-DH$9-DH$10)*'Ethylene Recycling LC'!O208</f>
        <v>80.215197930505454</v>
      </c>
      <c r="DI11" s="44">
        <f>(DI$4-DI$9-DI$10)*'Ethylene Recycling LC'!P208</f>
        <v>82.224904529863053</v>
      </c>
      <c r="DJ11" s="44">
        <f>(DJ$4-DJ$9-DJ$10)*'Ethylene Recycling LC'!Q208</f>
        <v>84.039879889677962</v>
      </c>
      <c r="DK11" s="44">
        <f>(DK$4-DK$9-DK$10)*'Ethylene Recycling LC'!R208</f>
        <v>85.638944013068212</v>
      </c>
      <c r="DL11" s="44">
        <f>(DL$4-DL$9-DL$10)*'Ethylene Recycling LC'!S208</f>
        <v>87.167737304097244</v>
      </c>
      <c r="DM11" s="44">
        <f>(DM$4-DM$9-DM$10)*'Ethylene Recycling LC'!T208</f>
        <v>88.630125261396159</v>
      </c>
      <c r="DN11" s="44">
        <f>(DN$4-DN$9-DN$10)*'Ethylene Recycling LC'!U208</f>
        <v>90.03185307209057</v>
      </c>
      <c r="DO11" s="44">
        <f>(DO$4-DO$9-DO$10)*'Ethylene Recycling LC'!V208</f>
        <v>91.379492306802433</v>
      </c>
      <c r="DP11" s="44">
        <f>(DP$4-DP$9-DP$10)*'Ethylene Recycling LC'!W208</f>
        <v>92.723450454315312</v>
      </c>
      <c r="DQ11" s="44">
        <f>(DQ$4-DQ$9-DQ$10)*'Ethylene Recycling LC'!X208</f>
        <v>93.057616081951124</v>
      </c>
      <c r="DR11" s="44">
        <f>(DR$4-DR$9-DR$10)*'Ethylene Recycling LC'!Y208</f>
        <v>93.304745064697059</v>
      </c>
      <c r="DS11" s="44">
        <f>(DS$4-DS$9-DS$10)*'Ethylene Recycling LC'!Z208</f>
        <v>93.428938095959239</v>
      </c>
      <c r="DT11" s="44">
        <f>(DT$4-DT$9-DT$10)*'Ethylene Recycling LC'!AA208</f>
        <v>93.429170929476001</v>
      </c>
      <c r="DU11" s="44">
        <f>(DU$4-DU$9-DU$10)*'Ethylene Recycling LC'!AB208</f>
        <v>93.293626601602668</v>
      </c>
      <c r="DV11" s="44">
        <f>(DV$4-DV$9-DV$10)*'Ethylene Recycling LC'!AC208</f>
        <v>93.008041203004609</v>
      </c>
      <c r="DW11" s="44">
        <f>(DW$4-DW$9-DW$10)*'Ethylene Recycling LC'!AD208</f>
        <v>92.551316161972665</v>
      </c>
      <c r="DX11" s="44">
        <f>(DX$4-DX$9-DX$10)*'Ethylene Recycling LC'!AE208</f>
        <v>91.905961241212864</v>
      </c>
      <c r="DY11" s="44">
        <f>(DY$4-DY$9-DY$10)*'Ethylene Recycling LC'!AF208</f>
        <v>91.036711473890975</v>
      </c>
      <c r="DZ11" s="44">
        <f>(DZ$4-DZ$9-DZ$10)*'Ethylene Recycling LC'!AG208</f>
        <v>90.07568374135505</v>
      </c>
      <c r="EB11" s="2">
        <f>DZ11/SUM($DZ$11:$DZ$16)</f>
        <v>0.32000000000000012</v>
      </c>
      <c r="EC11" s="2">
        <f>BN11/SUM($BN$11:$BN$16)</f>
        <v>0.31999999999999995</v>
      </c>
      <c r="EE11" t="s">
        <v>448</v>
      </c>
      <c r="EF11" t="s">
        <v>449</v>
      </c>
      <c r="EG11" t="s">
        <v>410</v>
      </c>
      <c r="EH11" t="s">
        <v>450</v>
      </c>
      <c r="EK11" s="43">
        <v>2.8940000000000001</v>
      </c>
      <c r="EL11" s="43">
        <v>2.8940000000000001</v>
      </c>
      <c r="EM11" s="43">
        <v>2.8940000000000001</v>
      </c>
      <c r="EN11" s="43">
        <v>2.8940000000000001</v>
      </c>
      <c r="EO11" s="43">
        <v>2.8940000000000001</v>
      </c>
      <c r="EP11" s="43">
        <v>2.8940000000000001</v>
      </c>
      <c r="EQ11" s="43">
        <v>2.8940000000000001</v>
      </c>
      <c r="ER11" s="43">
        <v>2.8940000000000001</v>
      </c>
      <c r="ES11" s="43">
        <v>2.8940000000000001</v>
      </c>
      <c r="ET11" s="43">
        <v>2.8940000000000001</v>
      </c>
      <c r="EU11" s="43">
        <v>2.8940000000000001</v>
      </c>
      <c r="EV11" s="43">
        <v>2.8940000000000001</v>
      </c>
      <c r="EW11" s="43">
        <v>2.8940000000000001</v>
      </c>
      <c r="EX11" s="43">
        <v>2.8940000000000001</v>
      </c>
      <c r="EY11" s="43">
        <v>2.8940000000000001</v>
      </c>
      <c r="EZ11" s="43">
        <v>2.8940000000000001</v>
      </c>
      <c r="FA11" s="43">
        <v>2.8940000000000001</v>
      </c>
      <c r="FB11" s="43">
        <v>2.8940000000000001</v>
      </c>
      <c r="FC11" s="43">
        <v>2.8940000000000001</v>
      </c>
      <c r="FD11" s="43">
        <v>2.8940000000000001</v>
      </c>
      <c r="FE11" s="43">
        <v>2.8940000000000001</v>
      </c>
      <c r="FF11" s="43">
        <v>2.8940000000000001</v>
      </c>
      <c r="FG11" s="43">
        <v>2.8940000000000001</v>
      </c>
      <c r="FH11" s="43">
        <v>2.8940000000000001</v>
      </c>
      <c r="FI11" s="43">
        <v>2.8940000000000001</v>
      </c>
    </row>
    <row r="12" spans="1:165">
      <c r="A12" s="601" t="s">
        <v>33</v>
      </c>
      <c r="C12" s="54" t="s">
        <v>153</v>
      </c>
      <c r="D12" s="44">
        <f>(D$4-D$9-D$10)*'Ethylene Recycling HC'!C251</f>
        <v>108.81405533322629</v>
      </c>
      <c r="E12" s="44">
        <f>(E$4-E$9-E$10)*'Ethylene Recycling HC'!D251</f>
        <v>112.50895114407879</v>
      </c>
      <c r="F12" s="44">
        <f>(F$4-F$9-F$10)*'Ethylene Recycling HC'!E251</f>
        <v>115.84874072402449</v>
      </c>
      <c r="G12" s="44">
        <f>(G$4-G$9-G$10)*'Ethylene Recycling HC'!F251</f>
        <v>118.96633573988687</v>
      </c>
      <c r="H12" s="44">
        <f>(H$4-H$9-H$10)*'Ethylene Recycling HC'!G251</f>
        <v>121.83865803512708</v>
      </c>
      <c r="I12" s="44">
        <f>(I$4-I$9-I$10)*'Ethylene Recycling HC'!H251</f>
        <v>124.44389479441823</v>
      </c>
      <c r="J12" s="44">
        <f>(J$4-J$9-J$10)*'Ethylene Recycling HC'!I251</f>
        <v>127.03510192192229</v>
      </c>
      <c r="K12" s="44">
        <f>(K$4-K$9-K$10)*'Ethylene Recycling HC'!J251</f>
        <v>129.60772999208851</v>
      </c>
      <c r="L12" s="44">
        <f>(L$4-L$9-L$10)*'Ethylene Recycling HC'!K251</f>
        <v>132.15607810302387</v>
      </c>
      <c r="M12" s="44">
        <f>(M$4-M$9-M$10)*'Ethylene Recycling HC'!L251</f>
        <v>134.672496066669</v>
      </c>
      <c r="N12" s="44">
        <f>(N$4-N$9-N$10)*'Ethylene Recycling HC'!M251</f>
        <v>137.14731708126473</v>
      </c>
      <c r="O12" s="44">
        <f>(O$4-O$9-O$10)*'Ethylene Recycling HC'!N251</f>
        <v>138.51354683173037</v>
      </c>
      <c r="P12" s="44">
        <f>(P$4-P$9-P$10)*'Ethylene Recycling HC'!O251</f>
        <v>139.5612721240808</v>
      </c>
      <c r="Q12" s="44">
        <f>(Q$4-Q$9-Q$10)*'Ethylene Recycling HC'!P251</f>
        <v>140.28175043314349</v>
      </c>
      <c r="R12" s="44">
        <f>(R$4-R$9-R$10)*'Ethylene Recycling HC'!Q251</f>
        <v>140.64367489055522</v>
      </c>
      <c r="S12" s="44">
        <f>(S$4-S$9-S$10)*'Ethylene Recycling HC'!R251</f>
        <v>140.62160403005851</v>
      </c>
      <c r="T12" s="44">
        <f>(T$4-T$9-T$10)*'Ethylene Recycling HC'!S251</f>
        <v>140.47156359616807</v>
      </c>
      <c r="U12" s="44">
        <f>(U$4-U$9-U$10)*'Ethylene Recycling HC'!T251</f>
        <v>140.21432976754417</v>
      </c>
      <c r="V12" s="44">
        <f>(V$4-V$9-V$10)*'Ethylene Recycling HC'!U251</f>
        <v>139.87462399346768</v>
      </c>
      <c r="W12" s="44">
        <f>(W$4-W$9-W$10)*'Ethylene Recycling HC'!V251</f>
        <v>139.47776394638515</v>
      </c>
      <c r="X12" s="44">
        <f>(X$4-X$9-X$10)*'Ethylene Recycling HC'!W251</f>
        <v>139.1116894374918</v>
      </c>
      <c r="Y12" s="44">
        <f>(Y$4-Y$9-Y$10)*'Ethylene Recycling HC'!X251</f>
        <v>137.30012207315528</v>
      </c>
      <c r="Z12" s="44">
        <f>(Z$4-Z$9-Z$10)*'Ethylene Recycling HC'!Y251</f>
        <v>135.41711108738482</v>
      </c>
      <c r="AA12" s="44">
        <f>(AA$4-AA$9-AA$10)*'Ethylene Recycling HC'!Z251</f>
        <v>133.46331358581421</v>
      </c>
      <c r="AB12" s="44">
        <f>(AB$4-AB$9-AB$10)*'Ethylene Recycling HC'!AA251</f>
        <v>131.41123298742767</v>
      </c>
      <c r="AC12" s="44">
        <f>(AC$4-AC$9-AC$10)*'Ethylene Recycling HC'!AB251</f>
        <v>129.23979727965775</v>
      </c>
      <c r="AD12" s="44">
        <f>(AD$4-AD$9-AD$10)*'Ethylene Recycling HC'!AC251</f>
        <v>126.92227648362777</v>
      </c>
      <c r="AE12" s="44">
        <f>(AE$4-AE$9-AE$10)*'Ethylene Recycling HC'!AD251</f>
        <v>124.42565494832847</v>
      </c>
      <c r="AF12" s="44">
        <f>(AF$4-AF$9-AF$10)*'Ethylene Recycling HC'!AE251</f>
        <v>121.7175121477528</v>
      </c>
      <c r="AG12" s="44">
        <f>(AG$4-AG$9-AG$10)*'Ethylene Recycling HC'!AF251</f>
        <v>118.72978335742276</v>
      </c>
      <c r="AH12" s="44">
        <f>(AH$4-AH$9-AH$10)*'Ethylene Recycling HC'!AG251</f>
        <v>115.60267483493148</v>
      </c>
      <c r="AJ12" s="44">
        <f>(AJ$4-AJ$9-AJ$10)*'Ethylene Recycling LC'!C209</f>
        <v>108.81407909862806</v>
      </c>
      <c r="AK12" s="44">
        <f>(AK$4-AK$9-AK$10)*'Ethylene Recycling LC'!D209</f>
        <v>112.50900333067014</v>
      </c>
      <c r="AL12" s="44">
        <f>(AL$4-AL$9-AL$10)*'Ethylene Recycling LC'!E209</f>
        <v>115.84885158947871</v>
      </c>
      <c r="AM12" s="44">
        <f>(AM$4-AM$9-AM$10)*'Ethylene Recycling LC'!F209</f>
        <v>118.96656967104542</v>
      </c>
      <c r="AN12" s="44">
        <f>(AN$4-AN$9-AN$10)*'Ethylene Recycling LC'!G209</f>
        <v>121.83914786364819</v>
      </c>
      <c r="AO12" s="44">
        <f>(AO$4-AO$9-AO$10)*'Ethylene Recycling LC'!H209</f>
        <v>124.44491128707242</v>
      </c>
      <c r="AP12" s="44">
        <f>(AP$4-AP$9-AP$10)*'Ethylene Recycling LC'!I209</f>
        <v>127.03719322987718</v>
      </c>
      <c r="AQ12" s="44">
        <f>(AQ$4-AQ$9-AQ$10)*'Ethylene Recycling LC'!J209</f>
        <v>129.61198501045658</v>
      </c>
      <c r="AR12" s="44">
        <f>(AR$4-AR$9-AR$10)*'Ethylene Recycling LC'!K209</f>
        <v>132.1646109920095</v>
      </c>
      <c r="AS12" s="44">
        <f>(AS$4-AS$9-AS$10)*'Ethylene Recycling LC'!L209</f>
        <v>134.68928771038009</v>
      </c>
      <c r="AT12" s="44">
        <f>(AT$4-AT$9-AT$10)*'Ethylene Recycling LC'!M209</f>
        <v>137.17970310978228</v>
      </c>
      <c r="AU12" s="44">
        <f>(AU$4-AU$9-AU$10)*'Ethylene Recycling LC'!N209</f>
        <v>138.57122037406668</v>
      </c>
      <c r="AV12" s="44">
        <f>(AV$4-AV$9-AV$10)*'Ethylene Recycling LC'!O209</f>
        <v>139.660389254005</v>
      </c>
      <c r="AW12" s="44">
        <f>(AW$4-AW$9-AW$10)*'Ethylene Recycling LC'!P209</f>
        <v>140.43764691408097</v>
      </c>
      <c r="AX12" s="44">
        <f>(AX$4-AX$9-AX$10)*'Ethylene Recycling LC'!Q209</f>
        <v>140.8825159964735</v>
      </c>
      <c r="AY12" s="44">
        <f>(AY$4-AY$9-AY$10)*'Ethylene Recycling LC'!R209</f>
        <v>140.97821205759402</v>
      </c>
      <c r="AZ12" s="44">
        <f>(AZ$4-AZ$9-AZ$10)*'Ethylene Recycling LC'!S209</f>
        <v>140.97862481070993</v>
      </c>
      <c r="BA12" s="44">
        <f>(BA$4-BA$9-BA$10)*'Ethylene Recycling LC'!T209</f>
        <v>140.89459965179557</v>
      </c>
      <c r="BB12" s="44">
        <f>(BB$4-BB$9-BB$10)*'Ethylene Recycling LC'!U209</f>
        <v>140.73911600425464</v>
      </c>
      <c r="BC12" s="44">
        <f>(BC$4-BC$9-BC$10)*'Ethylene Recycling LC'!V209</f>
        <v>140.52551056725522</v>
      </c>
      <c r="BD12" s="44">
        <f>(BD$4-BD$9-BD$10)*'Ethylene Recycling LC'!W209</f>
        <v>140.33251931990739</v>
      </c>
      <c r="BE12" s="44">
        <f>(BE$4-BE$9-BE$10)*'Ethylene Recycling LC'!X209</f>
        <v>138.66081394229965</v>
      </c>
      <c r="BF12" s="44">
        <f>(BF$4-BF$9-BF$10)*'Ethylene Recycling LC'!Y209</f>
        <v>136.93060031760885</v>
      </c>
      <c r="BG12" s="44">
        <f>(BG$4-BG$9-BG$10)*'Ethylene Recycling LC'!Z209</f>
        <v>135.12049555205493</v>
      </c>
      <c r="BH12" s="44">
        <f>(BH$4-BH$9-BH$10)*'Ethylene Recycling LC'!AA209</f>
        <v>133.20507800391749</v>
      </c>
      <c r="BI12" s="44">
        <f>(BI$4-BI$9-BI$10)*'Ethylene Recycling LC'!AB209</f>
        <v>131.17146571224578</v>
      </c>
      <c r="BJ12" s="44">
        <f>(BJ$4-BJ$9-BJ$10)*'Ethylene Recycling LC'!AC209</f>
        <v>129.0040496948458</v>
      </c>
      <c r="BK12" s="44">
        <f>(BK$4-BK$9-BK$10)*'Ethylene Recycling LC'!AD209</f>
        <v>126.67867235296163</v>
      </c>
      <c r="BL12" s="44">
        <f>(BL$4-BL$9-BL$10)*'Ethylene Recycling LC'!AE209</f>
        <v>124.1772481393657</v>
      </c>
      <c r="BM12" s="44">
        <f>(BM$4-BM$9-BM$10)*'Ethylene Recycling LC'!AF209</f>
        <v>121.45891680573787</v>
      </c>
      <c r="BN12" s="44">
        <f>(BN$4-BN$9-BN$10)*'Ethylene Recycling LC'!AG209</f>
        <v>118.70449638331812</v>
      </c>
      <c r="BO12" s="2">
        <f t="shared" si="68"/>
        <v>0.22914149425400618</v>
      </c>
      <c r="BP12" s="44">
        <f>(BP$4-BP$9-BP$10)*'Ethylene Recycling HC'!C230</f>
        <v>108.81410844587641</v>
      </c>
      <c r="BQ12" s="44">
        <f>(BQ$4-BQ$9-BQ$10)*'Ethylene Recycling HC'!D230</f>
        <v>110.42784084532559</v>
      </c>
      <c r="BR12" s="44">
        <f>(BR$4-BR$9-BR$10)*'Ethylene Recycling HC'!E230</f>
        <v>111.6948132669533</v>
      </c>
      <c r="BS12" s="44">
        <f>(BS$4-BS$9-BS$10)*'Ethylene Recycling HC'!F230</f>
        <v>112.60232740889589</v>
      </c>
      <c r="BT12" s="44">
        <f>(BT$4-BT$9-BT$10)*'Ethylene Recycling HC'!G230</f>
        <v>113.14072652751558</v>
      </c>
      <c r="BU12" s="44">
        <f>(BU$4-BU$9-BU$10)*'Ethylene Recycling HC'!H230</f>
        <v>113.30355682724046</v>
      </c>
      <c r="BV12" s="44">
        <f>(BV$4-BV$9-BV$10)*'Ethylene Recycling HC'!I230</f>
        <v>113.35523041916598</v>
      </c>
      <c r="BW12" s="44">
        <f>(BW$4-BW$9-BW$10)*'Ethylene Recycling HC'!J230</f>
        <v>113.29316057849613</v>
      </c>
      <c r="BX12" s="44">
        <f>(BX$4-BX$9-BX$10)*'Ethylene Recycling HC'!K230</f>
        <v>113.11492440571011</v>
      </c>
      <c r="BY12" s="44">
        <f>(BY$4-BY$9-BY$10)*'Ethylene Recycling HC'!L230</f>
        <v>112.81827293264138</v>
      </c>
      <c r="BZ12" s="44">
        <f>(BZ$4-BZ$9-BZ$10)*'Ethylene Recycling HC'!M230</f>
        <v>112.40114099209298</v>
      </c>
      <c r="CA12" s="44">
        <f>(CA$4-CA$9-CA$10)*'Ethylene Recycling HC'!N230</f>
        <v>111.68652935731025</v>
      </c>
      <c r="CB12" s="44">
        <f>(CB$4-CB$9-CB$10)*'Ethylene Recycling HC'!O230</f>
        <v>110.67636370198967</v>
      </c>
      <c r="CC12" s="44">
        <f>(CC$4-CC$9-CC$10)*'Ethylene Recycling HC'!P230</f>
        <v>109.37464169785906</v>
      </c>
      <c r="CD12" s="44">
        <f>(CD$4-CD$9-CD$10)*'Ethylene Recycling HC'!Q230</f>
        <v>107.78742183912253</v>
      </c>
      <c r="CE12" s="44">
        <f>(CE$4-CE$9-CE$10)*'Ethylene Recycling HC'!R230</f>
        <v>105.92278970582458</v>
      </c>
      <c r="CF12" s="44">
        <f>(CF$4-CF$9-CF$10)*'Ethylene Recycling HC'!S230</f>
        <v>103.99582412133935</v>
      </c>
      <c r="CG12" s="44">
        <f>(CG$4-CG$9-CG$10)*'Ethylene Recycling HC'!T230</f>
        <v>102.00640765449931</v>
      </c>
      <c r="CH12" s="44">
        <f>(CH$4-CH$9-CH$10)*'Ethylene Recycling HC'!U230</f>
        <v>99.95445530234295</v>
      </c>
      <c r="CI12" s="44">
        <f>(CI$4-CI$9-CI$10)*'Ethylene Recycling HC'!V230</f>
        <v>97.839915130375999</v>
      </c>
      <c r="CJ12" s="44">
        <f>(CJ$4-CJ$9-CJ$10)*'Ethylene Recycling HC'!W230</f>
        <v>95.662768902506386</v>
      </c>
      <c r="CK12" s="44">
        <f>(CK$4-CK$9-CK$10)*'Ethylene Recycling HC'!X230</f>
        <v>93.424164155103938</v>
      </c>
      <c r="CL12" s="44">
        <f>(CL$4-CL$9-CL$10)*'Ethylene Recycling HC'!Y230</f>
        <v>91.124072134095556</v>
      </c>
      <c r="CM12" s="44">
        <f>(CM$4-CM$9-CM$10)*'Ethylene Recycling HC'!Z230</f>
        <v>88.762494809269072</v>
      </c>
      <c r="CN12" s="44">
        <f>(CN$4-CN$9-CN$10)*'Ethylene Recycling HC'!AA230</f>
        <v>86.339465429761461</v>
      </c>
      <c r="CO12" s="44">
        <f>(CO$4-CO$9-CO$10)*'Ethylene Recycling HC'!AB230</f>
        <v>83.855049071255351</v>
      </c>
      <c r="CP12" s="44">
        <f>(CP$4-CP$9-CP$10)*'Ethylene Recycling HC'!AC230</f>
        <v>81.310191335965968</v>
      </c>
      <c r="CQ12" s="44">
        <f>(CQ$4-CQ$9-CQ$10)*'Ethylene Recycling HC'!AD230</f>
        <v>78.704943895590191</v>
      </c>
      <c r="CR12" s="44">
        <f>(CR$4-CR$9-CR$10)*'Ethylene Recycling HC'!AE230</f>
        <v>76.039387728203693</v>
      </c>
      <c r="CS12" s="44">
        <f>(CS$4-CS$9-CS$10)*'Ethylene Recycling HC'!AF230</f>
        <v>73.313633610460741</v>
      </c>
      <c r="CT12" s="44">
        <f>(CT$4-CT$9-CT$10)*'Ethylene Recycling HC'!AG230</f>
        <v>70.52782260325391</v>
      </c>
      <c r="CV12" s="44">
        <f>(CV$4-CV$9-CV$10)*'Ethylene Recycling LC'!C209</f>
        <v>108.81407909862806</v>
      </c>
      <c r="CW12" s="44">
        <f>(CW$4-CW$9-CW$10)*'Ethylene Recycling LC'!D209</f>
        <v>112.50900333067014</v>
      </c>
      <c r="CX12" s="44">
        <f>(CX$4-CX$9-CX$10)*'Ethylene Recycling LC'!E209</f>
        <v>115.84885158947871</v>
      </c>
      <c r="CY12" s="44">
        <f>(CY$4-CY$9-CY$10)*'Ethylene Recycling LC'!F209</f>
        <v>118.96656967104542</v>
      </c>
      <c r="CZ12" s="44">
        <f>(CZ$4-CZ$9-CZ$10)*'Ethylene Recycling LC'!G209</f>
        <v>121.83914786364819</v>
      </c>
      <c r="DA12" s="44">
        <f>(DA$4-DA$9-DA$10)*'Ethylene Recycling LC'!H209</f>
        <v>124.44491128707242</v>
      </c>
      <c r="DB12" s="44">
        <f>(DB$4-DB$9-DB$10)*'Ethylene Recycling LC'!I209</f>
        <v>127.03719322987718</v>
      </c>
      <c r="DC12" s="44">
        <f>(DC$4-DC$9-DC$10)*'Ethylene Recycling LC'!J209</f>
        <v>129.61198501045658</v>
      </c>
      <c r="DD12" s="44">
        <f>(DD$4-DD$9-DD$10)*'Ethylene Recycling LC'!K209</f>
        <v>132.1646109920095</v>
      </c>
      <c r="DE12" s="44">
        <f>(DE$4-DE$9-DE$10)*'Ethylene Recycling LC'!L209</f>
        <v>134.68928771038009</v>
      </c>
      <c r="DF12" s="44">
        <f>(DF$4-DF$9-DF$10)*'Ethylene Recycling LC'!M209</f>
        <v>137.17970310978225</v>
      </c>
      <c r="DG12" s="44">
        <f>(DG$4-DG$9-DG$10)*'Ethylene Recycling LC'!N209</f>
        <v>138.57122037406668</v>
      </c>
      <c r="DH12" s="44">
        <f>(DH$4-DH$9-DH$10)*'Ethylene Recycling LC'!O209</f>
        <v>139.660389254005</v>
      </c>
      <c r="DI12" s="44">
        <f>(DI$4-DI$9-DI$10)*'Ethylene Recycling LC'!P209</f>
        <v>140.42770759097246</v>
      </c>
      <c r="DJ12" s="44">
        <f>(DJ$4-DJ$9-DJ$10)*'Ethylene Recycling LC'!Q209</f>
        <v>140.86229867872154</v>
      </c>
      <c r="DK12" s="44">
        <f>(DK$4-DK$9-DK$10)*'Ethylene Recycling LC'!R209</f>
        <v>140.94742868817471</v>
      </c>
      <c r="DL12" s="44">
        <f>(DL$4-DL$9-DL$10)*'Ethylene Recycling LC'!S209</f>
        <v>140.93696656504846</v>
      </c>
      <c r="DM12" s="44">
        <f>(DM$4-DM$9-DM$10)*'Ethylene Recycling LC'!T209</f>
        <v>140.84175490341536</v>
      </c>
      <c r="DN12" s="44">
        <f>(DN$4-DN$9-DN$10)*'Ethylene Recycling LC'!U209</f>
        <v>140.67477042514142</v>
      </c>
      <c r="DO12" s="44">
        <f>(DO$4-DO$9-DO$10)*'Ethylene Recycling LC'!V209</f>
        <v>140.44934723175618</v>
      </c>
      <c r="DP12" s="44">
        <f>(DP$4-DP$9-DP$10)*'Ethylene Recycling LC'!W209</f>
        <v>140.24421881215179</v>
      </c>
      <c r="DQ12" s="44">
        <f>(DQ$4-DQ$9-DQ$10)*'Ethylene Recycling LC'!X209</f>
        <v>138.5600533573168</v>
      </c>
      <c r="DR12" s="44">
        <f>(DR$4-DR$9-DR$10)*'Ethylene Recycling LC'!Y209</f>
        <v>136.81705406121429</v>
      </c>
      <c r="DS12" s="44">
        <f>(DS$4-DS$9-DS$10)*'Ethylene Recycling LC'!Z209</f>
        <v>134.96515232022398</v>
      </c>
      <c r="DT12" s="44">
        <f>(DT$4-DT$9-DT$10)*'Ethylene Recycling LC'!AA209</f>
        <v>133.0068058371011</v>
      </c>
      <c r="DU12" s="44">
        <f>(DU$4-DU$9-DU$10)*'Ethylene Recycling LC'!AB209</f>
        <v>130.92912369656719</v>
      </c>
      <c r="DV12" s="44">
        <f>(DV$4-DV$9-DV$10)*'Ethylene Recycling LC'!AC209</f>
        <v>128.71648559344368</v>
      </c>
      <c r="DW12" s="44">
        <f>(DW$4-DW$9-DW$10)*'Ethylene Recycling LC'!AD209</f>
        <v>126.34472436585062</v>
      </c>
      <c r="DX12" s="44">
        <f>(DX$4-DX$9-DX$10)*'Ethylene Recycling LC'!AE209</f>
        <v>123.79574520637487</v>
      </c>
      <c r="DY12" s="44">
        <f>(DY$4-DY$9-DY$10)*'Ethylene Recycling LC'!AF209</f>
        <v>121.02867891920864</v>
      </c>
      <c r="DZ12" s="44">
        <f>(DZ$4-DZ$9-DZ$10)*'Ethylene Recycling LC'!AG209</f>
        <v>118.22433491052848</v>
      </c>
      <c r="EB12" s="2">
        <f t="shared" ref="EB12:EB16" si="69">DZ12/SUM($DZ$11:$DZ$16)</f>
        <v>0.42000000000000004</v>
      </c>
      <c r="EC12" s="2">
        <f t="shared" ref="EC12:EC16" si="70">BN12/SUM($BN$11:$BN$16)</f>
        <v>0.41999999999999993</v>
      </c>
    </row>
    <row r="13" spans="1:165">
      <c r="A13" s="601" t="s">
        <v>451</v>
      </c>
      <c r="C13" s="54" t="s">
        <v>153</v>
      </c>
      <c r="D13" s="44">
        <f>(D$4-D$9-D$10)*'Ethylene Recycling HC'!C252</f>
        <v>23.527363315292174</v>
      </c>
      <c r="E13" s="44">
        <f>(E$4-E$9-E$10)*'Ethylene Recycling HC'!D252</f>
        <v>23.510839118000323</v>
      </c>
      <c r="F13" s="44">
        <f>(F$4-F$9-F$10)*'Ethylene Recycling HC'!E252</f>
        <v>23.376620896097798</v>
      </c>
      <c r="G13" s="44">
        <f>(G$4-G$9-G$10)*'Ethylene Recycling HC'!F252</f>
        <v>23.158780024031309</v>
      </c>
      <c r="H13" s="44">
        <f>(H$4-H$9-H$10)*'Ethylene Recycling HC'!G252</f>
        <v>22.858226109245077</v>
      </c>
      <c r="I13" s="44">
        <f>(I$4-I$9-I$10)*'Ethylene Recycling HC'!H252</f>
        <v>22.476650601635004</v>
      </c>
      <c r="J13" s="44">
        <f>(J$4-J$9-J$10)*'Ethylene Recycling HC'!I252</f>
        <v>22.063991386439127</v>
      </c>
      <c r="K13" s="44">
        <f>(K$4-K$9-K$10)*'Ethylene Recycling HC'!J252</f>
        <v>21.620154086016502</v>
      </c>
      <c r="L13" s="44">
        <f>(L$4-L$9-L$10)*'Ethylene Recycling HC'!K252</f>
        <v>21.144972496483813</v>
      </c>
      <c r="M13" s="44">
        <f>(M$4-M$9-M$10)*'Ethylene Recycling HC'!L252</f>
        <v>20.638122773853162</v>
      </c>
      <c r="N13" s="44">
        <f>(N$4-N$9-N$10)*'Ethylene Recycling HC'!M252</f>
        <v>20.099175779150862</v>
      </c>
      <c r="O13" s="44">
        <f>(O$4-O$9-O$10)*'Ethylene Recycling HC'!N252</f>
        <v>19.380006981606904</v>
      </c>
      <c r="P13" s="44">
        <f>(P$4-P$9-P$10)*'Ethylene Recycling HC'!O252</f>
        <v>18.6081696165441</v>
      </c>
      <c r="Q13" s="44">
        <f>(Q$4-Q$9-Q$10)*'Ethylene Recycling HC'!P252</f>
        <v>17.788919842160318</v>
      </c>
      <c r="R13" s="44">
        <f>(R$4-R$9-R$10)*'Ethylene Recycling HC'!Q252</f>
        <v>16.924916808863419</v>
      </c>
      <c r="S13" s="44">
        <f>(S$4-S$9-S$10)*'Ethylene Recycling HC'!R252</f>
        <v>16.020182737601594</v>
      </c>
      <c r="T13" s="44">
        <f>(T$4-T$9-T$10)*'Ethylene Recycling HC'!S252</f>
        <v>15.109546336394544</v>
      </c>
      <c r="U13" s="44">
        <f>(U$4-U$9-U$10)*'Ethylene Recycling HC'!T252</f>
        <v>14.197434227508653</v>
      </c>
      <c r="V13" s="44">
        <f>(V$4-V$9-V$10)*'Ethylene Recycling HC'!U252</f>
        <v>13.288089279379424</v>
      </c>
      <c r="W13" s="44">
        <f>(W$4-W$9-W$10)*'Ethylene Recycling HC'!V252</f>
        <v>12.385162441712202</v>
      </c>
      <c r="X13" s="44">
        <f>(X$4-X$9-X$10)*'Ethylene Recycling HC'!W252</f>
        <v>11.496833837809236</v>
      </c>
      <c r="Y13" s="44">
        <f>(Y$4-Y$9-Y$10)*'Ethylene Recycling HC'!X252</f>
        <v>10.509392059920524</v>
      </c>
      <c r="Z13" s="44">
        <f>(Z$4-Z$9-Z$10)*'Ethylene Recycling HC'!Y252</f>
        <v>9.5457963553402383</v>
      </c>
      <c r="AA13" s="44">
        <f>(AA$4-AA$9-AA$10)*'Ethylene Recycling HC'!Z252</f>
        <v>8.6070218557382177</v>
      </c>
      <c r="AB13" s="44">
        <f>(AB$4-AB$9-AB$10)*'Ethylene Recycling HC'!AA252</f>
        <v>7.6923648578006389</v>
      </c>
      <c r="AC13" s="44">
        <f>(AC$4-AC$9-AC$10)*'Ethylene Recycling HC'!AB252</f>
        <v>6.8020945936661921</v>
      </c>
      <c r="AD13" s="44">
        <f>(AD$4-AD$9-AD$10)*'Ethylene Recycling HC'!AC252</f>
        <v>5.936687125847099</v>
      </c>
      <c r="AE13" s="44">
        <f>(AE$4-AE$9-AE$10)*'Ethylene Recycling HC'!AD252</f>
        <v>5.0969545400520033</v>
      </c>
      <c r="AF13" s="44">
        <f>(AF$4-AF$9-AF$10)*'Ethylene Recycling HC'!AE252</f>
        <v>4.2844564276008921</v>
      </c>
      <c r="AG13" s="44">
        <f>(AG$4-AG$9-AG$10)*'Ethylene Recycling HC'!AF252</f>
        <v>3.5003999874299865</v>
      </c>
      <c r="AH13" s="44">
        <f>(AH$4-AH$9-AH$10)*'Ethylene Recycling HC'!AG252</f>
        <v>2.7524446389269399</v>
      </c>
      <c r="AJ13" s="44">
        <f>(AJ$4-AJ$9-AJ$10)*'Ethylene Recycling LC'!C210</f>
        <v>23.527368453757418</v>
      </c>
      <c r="AK13" s="44">
        <f>(AK$4-AK$9-AK$10)*'Ethylene Recycling LC'!D210</f>
        <v>23.510850023359769</v>
      </c>
      <c r="AL13" s="44">
        <f>(AL$4-AL$9-AL$10)*'Ethylene Recycling LC'!E210</f>
        <v>23.376643267162667</v>
      </c>
      <c r="AM13" s="44">
        <f>(AM$4-AM$9-AM$10)*'Ethylene Recycling LC'!F210</f>
        <v>23.15882556263017</v>
      </c>
      <c r="AN13" s="44">
        <f>(AN$4-AN$9-AN$10)*'Ethylene Recycling LC'!G210</f>
        <v>22.858318006277358</v>
      </c>
      <c r="AO13" s="44">
        <f>(AO$4-AO$9-AO$10)*'Ethylene Recycling LC'!H210</f>
        <v>22.476834197224527</v>
      </c>
      <c r="AP13" s="44">
        <f>(AP$4-AP$9-AP$10)*'Ethylene Recycling LC'!I210</f>
        <v>22.064354613610242</v>
      </c>
      <c r="AQ13" s="44">
        <f>(AQ$4-AQ$9-AQ$10)*'Ethylene Recycling LC'!J210</f>
        <v>21.620863875106721</v>
      </c>
      <c r="AR13" s="44">
        <f>(AR$4-AR$9-AR$10)*'Ethylene Recycling LC'!K210</f>
        <v>21.146337758721511</v>
      </c>
      <c r="AS13" s="44">
        <f>(AS$4-AS$9-AS$10)*'Ethylene Recycling LC'!L210</f>
        <v>20.640696038733566</v>
      </c>
      <c r="AT13" s="44">
        <f>(AT$4-AT$9-AT$10)*'Ethylene Recycling LC'!M210</f>
        <v>20.103922007468086</v>
      </c>
      <c r="AU13" s="44">
        <f>(AU$4-AU$9-AU$10)*'Ethylene Recycling LC'!N210</f>
        <v>19.38807632701533</v>
      </c>
      <c r="AV13" s="44">
        <f>(AV$4-AV$9-AV$10)*'Ethylene Recycling LC'!O210</f>
        <v>18.621385233867326</v>
      </c>
      <c r="AW13" s="44">
        <f>(AW$4-AW$9-AW$10)*'Ethylene Recycling LC'!P210</f>
        <v>17.808688842721754</v>
      </c>
      <c r="AX13" s="44">
        <f>(AX$4-AX$9-AX$10)*'Ethylene Recycling LC'!Q210</f>
        <v>16.953658704660366</v>
      </c>
      <c r="AY13" s="44">
        <f>(AY$4-AY$9-AY$10)*'Ethylene Recycling LC'!R210</f>
        <v>16.060808968586656</v>
      </c>
      <c r="AZ13" s="44">
        <f>(AZ$4-AZ$9-AZ$10)*'Ethylene Recycling LC'!S210</f>
        <v>15.164087374597367</v>
      </c>
      <c r="BA13" s="44">
        <f>(BA$4-BA$9-BA$10)*'Ethylene Recycling LC'!T210</f>
        <v>14.266315111185992</v>
      </c>
      <c r="BB13" s="44">
        <f>(BB$4-BB$9-BB$10)*'Ethylene Recycling LC'!U210</f>
        <v>13.370216020404186</v>
      </c>
      <c r="BC13" s="44">
        <f>(BC$4-BC$9-BC$10)*'Ethylene Recycling LC'!V210</f>
        <v>12.478198863648384</v>
      </c>
      <c r="BD13" s="44">
        <f>(BD$4-BD$9-BD$10)*'Ethylene Recycling LC'!W210</f>
        <v>11.597728869413828</v>
      </c>
      <c r="BE13" s="44">
        <f>(BE$4-BE$9-BE$10)*'Ethylene Recycling LC'!X210</f>
        <v>10.613543783237747</v>
      </c>
      <c r="BF13" s="44">
        <f>(BF$4-BF$9-BF$10)*'Ethylene Recycling LC'!Y210</f>
        <v>9.6524849404216031</v>
      </c>
      <c r="BG13" s="44">
        <f>(BG$4-BG$9-BG$10)*'Ethylene Recycling LC'!Z210</f>
        <v>8.71389318254068</v>
      </c>
      <c r="BH13" s="44">
        <f>(BH$4-BH$9-BH$10)*'Ethylene Recycling LC'!AA210</f>
        <v>7.7973704197415055</v>
      </c>
      <c r="BI13" s="44">
        <f>(BI$4-BI$9-BI$10)*'Ethylene Recycling LC'!AB210</f>
        <v>6.9037613532760878</v>
      </c>
      <c r="BJ13" s="44">
        <f>(BJ$4-BJ$9-BJ$10)*'Ethylene Recycling LC'!AC210</f>
        <v>6.034060388952458</v>
      </c>
      <c r="BK13" s="44">
        <f>(BK$4-BK$9-BK$10)*'Ethylene Recycling LC'!AD210</f>
        <v>5.1892468192779395</v>
      </c>
      <c r="BL13" s="44">
        <f>(BL$4-BL$9-BL$10)*'Ethylene Recycling LC'!AE210</f>
        <v>4.3710391345056658</v>
      </c>
      <c r="BM13" s="44">
        <f>(BM$4-BM$9-BM$10)*'Ethylene Recycling LC'!AF210</f>
        <v>3.5808604954679617</v>
      </c>
      <c r="BN13" s="44">
        <f>(BN$4-BN$9-BN$10)*'Ethylene Recycling LC'!AG210</f>
        <v>2.8262975329361457</v>
      </c>
      <c r="BO13" s="2">
        <f t="shared" si="68"/>
        <v>5.4557498631906233E-3</v>
      </c>
      <c r="BP13" s="44">
        <f>(BP$4-BP$9-BP$10)*'Ethylene Recycling HC'!C231</f>
        <v>23.527374799108415</v>
      </c>
      <c r="BQ13" s="44">
        <f>(BQ$4-BQ$9-BQ$10)*'Ethylene Recycling HC'!D231</f>
        <v>24.387289913731955</v>
      </c>
      <c r="BR13" s="44">
        <f>(BR$4-BR$9-BR$10)*'Ethylene Recycling HC'!E231</f>
        <v>25.205188587534199</v>
      </c>
      <c r="BS13" s="44">
        <f>(BS$4-BS$9-BS$10)*'Ethylene Recycling HC'!F231</f>
        <v>25.975199341954436</v>
      </c>
      <c r="BT13" s="44">
        <f>(BT$4-BT$9-BT$10)*'Ethylene Recycling HC'!G231</f>
        <v>26.691650272336421</v>
      </c>
      <c r="BU13" s="44">
        <f>(BU$4-BU$9-BU$10)*'Ethylene Recycling HC'!H231</f>
        <v>27.349134406575278</v>
      </c>
      <c r="BV13" s="44">
        <f>(BV$4-BV$9-BV$10)*'Ethylene Recycling HC'!I231</f>
        <v>28.008680477574419</v>
      </c>
      <c r="BW13" s="44">
        <f>(BW$4-BW$9-BW$10)*'Ethylene Recycling HC'!J231</f>
        <v>28.669670927201739</v>
      </c>
      <c r="BX13" s="44">
        <f>(BX$4-BX$9-BX$10)*'Ethylene Recycling HC'!K231</f>
        <v>29.331469486461408</v>
      </c>
      <c r="BY13" s="44">
        <f>(BY$4-BY$9-BY$10)*'Ethylene Recycling HC'!L231</f>
        <v>29.993421887120221</v>
      </c>
      <c r="BZ13" s="44">
        <f>(BZ$4-BZ$9-BZ$10)*'Ethylene Recycling HC'!M231</f>
        <v>30.65485663420716</v>
      </c>
      <c r="CA13" s="44">
        <f>(CA$4-CA$9-CA$10)*'Ethylene Recycling HC'!N231</f>
        <v>31.266059823534192</v>
      </c>
      <c r="CB13" s="44">
        <f>(CB$4-CB$9-CB$10)*'Ethylene Recycling HC'!O231</f>
        <v>31.823373699014006</v>
      </c>
      <c r="CC13" s="44">
        <f>(CC$4-CC$9-CC$10)*'Ethylene Recycling HC'!P231</f>
        <v>32.323367393805654</v>
      </c>
      <c r="CD13" s="44">
        <f>(CD$4-CD$9-CD$10)*'Ethylene Recycling HC'!Q231</f>
        <v>32.762868326006597</v>
      </c>
      <c r="CE13" s="44">
        <f>(CE$4-CE$9-CE$10)*'Ethylene Recycling HC'!R231</f>
        <v>33.138991788962365</v>
      </c>
      <c r="CF13" s="44">
        <f>(CF$4-CF$9-CF$10)*'Ethylene Recycling HC'!S231</f>
        <v>33.515241896924493</v>
      </c>
      <c r="CG13" s="44">
        <f>(CG$4-CG$9-CG$10)*'Ethylene Recycling HC'!T231</f>
        <v>33.891514865280946</v>
      </c>
      <c r="CH13" s="44">
        <f>(CH$4-CH$9-CH$10)*'Ethylene Recycling HC'!U231</f>
        <v>34.267705128799847</v>
      </c>
      <c r="CI13" s="44">
        <f>(CI$4-CI$9-CI$10)*'Ethylene Recycling HC'!V231</f>
        <v>34.643705357448269</v>
      </c>
      <c r="CJ13" s="44">
        <f>(CJ$4-CJ$9-CJ$10)*'Ethylene Recycling HC'!W231</f>
        <v>35.019406473238902</v>
      </c>
      <c r="CK13" s="44">
        <f>(CK$4-CK$9-CK$10)*'Ethylene Recycling HC'!X231</f>
        <v>35.395126336566797</v>
      </c>
      <c r="CL13" s="44">
        <f>(CL$4-CL$9-CL$10)*'Ethylene Recycling HC'!Y231</f>
        <v>35.770767571263832</v>
      </c>
      <c r="CM13" s="44">
        <f>(CM$4-CM$9-CM$10)*'Ethylene Recycling HC'!Z231</f>
        <v>36.146231186555347</v>
      </c>
      <c r="CN13" s="44">
        <f>(CN$4-CN$9-CN$10)*'Ethylene Recycling HC'!AA231</f>
        <v>36.52141658835901</v>
      </c>
      <c r="CO13" s="44">
        <f>(CO$4-CO$9-CO$10)*'Ethylene Recycling HC'!AB231</f>
        <v>36.896221591352308</v>
      </c>
      <c r="CP13" s="44">
        <f>(CP$4-CP$9-CP$10)*'Ethylene Recycling HC'!AC231</f>
        <v>37.270931211713538</v>
      </c>
      <c r="CQ13" s="44">
        <f>(CQ$4-CQ$9-CQ$10)*'Ethylene Recycling HC'!AD231</f>
        <v>37.645453210903987</v>
      </c>
      <c r="CR13" s="44">
        <f>(CR$4-CR$9-CR$10)*'Ethylene Recycling HC'!AE231</f>
        <v>38.019693864101789</v>
      </c>
      <c r="CS13" s="44">
        <f>(CS$4-CS$9-CS$10)*'Ethylene Recycling HC'!AF231</f>
        <v>38.393557967828087</v>
      </c>
      <c r="CT13" s="44">
        <f>(CT$4-CT$9-CT$10)*'Ethylene Recycling HC'!AG231</f>
        <v>38.766948848146193</v>
      </c>
      <c r="CV13" s="44">
        <f>(CV$4-CV$9-CV$10)*'Ethylene Recycling LC'!C210</f>
        <v>23.527368453757418</v>
      </c>
      <c r="CW13" s="44">
        <f>(CW$4-CW$9-CW$10)*'Ethylene Recycling LC'!D210</f>
        <v>23.510850023359769</v>
      </c>
      <c r="CX13" s="44">
        <f>(CX$4-CX$9-CX$10)*'Ethylene Recycling LC'!E210</f>
        <v>23.376643267162667</v>
      </c>
      <c r="CY13" s="44">
        <f>(CY$4-CY$9-CY$10)*'Ethylene Recycling LC'!F210</f>
        <v>23.15882556263017</v>
      </c>
      <c r="CZ13" s="44">
        <f>(CZ$4-CZ$9-CZ$10)*'Ethylene Recycling LC'!G210</f>
        <v>22.858318006277358</v>
      </c>
      <c r="DA13" s="44">
        <f>(DA$4-DA$9-DA$10)*'Ethylene Recycling LC'!H210</f>
        <v>22.476834197224527</v>
      </c>
      <c r="DB13" s="44">
        <f>(DB$4-DB$9-DB$10)*'Ethylene Recycling LC'!I210</f>
        <v>22.064354613610242</v>
      </c>
      <c r="DC13" s="44">
        <f>(DC$4-DC$9-DC$10)*'Ethylene Recycling LC'!J210</f>
        <v>21.620863875106721</v>
      </c>
      <c r="DD13" s="44">
        <f>(DD$4-DD$9-DD$10)*'Ethylene Recycling LC'!K210</f>
        <v>21.146337758721511</v>
      </c>
      <c r="DE13" s="44">
        <f>(DE$4-DE$9-DE$10)*'Ethylene Recycling LC'!L210</f>
        <v>20.640696038733566</v>
      </c>
      <c r="DF13" s="44">
        <f>(DF$4-DF$9-DF$10)*'Ethylene Recycling LC'!M210</f>
        <v>20.103922007468082</v>
      </c>
      <c r="DG13" s="44">
        <f>(DG$4-DG$9-DG$10)*'Ethylene Recycling LC'!N210</f>
        <v>19.38807632701533</v>
      </c>
      <c r="DH13" s="44">
        <f>(DH$4-DH$9-DH$10)*'Ethylene Recycling LC'!O210</f>
        <v>18.621385233867326</v>
      </c>
      <c r="DI13" s="44">
        <f>(DI$4-DI$9-DI$10)*'Ethylene Recycling LC'!P210</f>
        <v>17.807428451961609</v>
      </c>
      <c r="DJ13" s="44">
        <f>(DJ$4-DJ$9-DJ$10)*'Ethylene Recycling LC'!Q210</f>
        <v>16.951225773202079</v>
      </c>
      <c r="DK13" s="44">
        <f>(DK$4-DK$9-DK$10)*'Ethylene Recycling LC'!R210</f>
        <v>16.057302002450278</v>
      </c>
      <c r="DL13" s="44">
        <f>(DL$4-DL$9-DL$10)*'Ethylene Recycling LC'!S210</f>
        <v>15.159606487669075</v>
      </c>
      <c r="DM13" s="44">
        <f>(DM$4-DM$9-DM$10)*'Ethylene Recycling LC'!T210</f>
        <v>14.260964304027828</v>
      </c>
      <c r="DN13" s="44">
        <f>(DN$4-DN$9-DN$10)*'Ethylene Recycling LC'!U210</f>
        <v>13.36410319038843</v>
      </c>
      <c r="DO13" s="44">
        <f>(DO$4-DO$9-DO$10)*'Ethylene Recycling LC'!V210</f>
        <v>12.47143581228042</v>
      </c>
      <c r="DP13" s="44">
        <f>(DP$4-DP$9-DP$10)*'Ethylene Recycling LC'!W210</f>
        <v>11.5904313067894</v>
      </c>
      <c r="DQ13" s="44">
        <f>(DQ$4-DQ$9-DQ$10)*'Ethylene Recycling LC'!X210</f>
        <v>10.605831244634119</v>
      </c>
      <c r="DR13" s="44">
        <f>(DR$4-DR$9-DR$10)*'Ethylene Recycling LC'!Y210</f>
        <v>9.6444808600528056</v>
      </c>
      <c r="DS13" s="44">
        <f>(DS$4-DS$9-DS$10)*'Ethylene Recycling LC'!Z210</f>
        <v>8.7038751292226024</v>
      </c>
      <c r="DT13" s="44">
        <f>(DT$4-DT$9-DT$10)*'Ethylene Recycling LC'!AA210</f>
        <v>7.7857642441229853</v>
      </c>
      <c r="DU13" s="44">
        <f>(DU$4-DU$9-DU$10)*'Ethylene Recycling LC'!AB210</f>
        <v>6.8910065103456359</v>
      </c>
      <c r="DV13" s="44">
        <f>(DV$4-DV$9-DV$10)*'Ethylene Recycling LC'!AC210</f>
        <v>6.020609810015908</v>
      </c>
      <c r="DW13" s="44">
        <f>(DW$4-DW$9-DW$10)*'Ethylene Recycling LC'!AD210</f>
        <v>5.175567022215561</v>
      </c>
      <c r="DX13" s="44">
        <f>(DX$4-DX$9-DX$10)*'Ethylene Recycling LC'!AE210</f>
        <v>4.3576102312643892</v>
      </c>
      <c r="DY13" s="44">
        <f>(DY$4-DY$9-DY$10)*'Ethylene Recycling LC'!AF210</f>
        <v>3.5681761912435941</v>
      </c>
      <c r="DZ13" s="44">
        <f>(DZ$4-DZ$9-DZ$10)*'Ethylene Recycling LC'!AG210</f>
        <v>2.8148651169173453</v>
      </c>
      <c r="EB13" s="2">
        <f t="shared" si="69"/>
        <v>1.0000000000000004E-2</v>
      </c>
      <c r="EC13" s="2">
        <f t="shared" si="70"/>
        <v>9.9999999999999985E-3</v>
      </c>
    </row>
    <row r="14" spans="1:165">
      <c r="A14" s="601" t="s">
        <v>452</v>
      </c>
      <c r="C14" s="54" t="s">
        <v>153</v>
      </c>
      <c r="D14" s="44">
        <f>(D$4-D$9-D$10)*'Ethylene Recycling HC'!C253</f>
        <v>79.404851189111085</v>
      </c>
      <c r="E14" s="44">
        <f>(E$4-E$9-E$10)*'Ethylene Recycling HC'!D253</f>
        <v>80.623006245846611</v>
      </c>
      <c r="F14" s="44">
        <f>(F$4-F$9-F$10)*'Ethylene Recycling HC'!E253</f>
        <v>81.507864009402965</v>
      </c>
      <c r="G14" s="44">
        <f>(G$4-G$9-G$10)*'Ethylene Recycling HC'!F253</f>
        <v>82.166082551015236</v>
      </c>
      <c r="H14" s="44">
        <f>(H$4-H$9-H$10)*'Ethylene Recycling HC'!G253</f>
        <v>82.591515092838407</v>
      </c>
      <c r="I14" s="44">
        <f>(I$4-I$9-I$10)*'Ethylene Recycling HC'!H253</f>
        <v>82.779859532850935</v>
      </c>
      <c r="J14" s="44">
        <f>(J$4-J$9-J$10)*'Ethylene Recycling HC'!I253</f>
        <v>82.907119149044078</v>
      </c>
      <c r="K14" s="44">
        <f>(K$4-K$9-K$10)*'Ethylene Recycling HC'!J253</f>
        <v>82.971586099738801</v>
      </c>
      <c r="L14" s="44">
        <f>(L$4-L$9-L$10)*'Ethylene Recycling HC'!K253</f>
        <v>82.971033382941997</v>
      </c>
      <c r="M14" s="44">
        <f>(M$4-M$9-M$10)*'Ethylene Recycling HC'!L253</f>
        <v>82.90228978649499</v>
      </c>
      <c r="N14" s="44">
        <f>(N$4-N$9-N$10)*'Ethylene Recycling HC'!M253</f>
        <v>82.761312031797743</v>
      </c>
      <c r="O14" s="44">
        <f>(O$4-O$9-O$10)*'Ethylene Recycling HC'!N253</f>
        <v>81.9191706155041</v>
      </c>
      <c r="P14" s="44">
        <f>(P$4-P$9-P$10)*'Ethylene Recycling HC'!O253</f>
        <v>80.873967948826348</v>
      </c>
      <c r="Q14" s="44">
        <f>(Q$4-Q$9-Q$10)*'Ethylene Recycling HC'!P253</f>
        <v>79.632278756516399</v>
      </c>
      <c r="R14" s="44">
        <f>(R$4-R$9-R$10)*'Ethylene Recycling HC'!Q253</f>
        <v>78.188348074749385</v>
      </c>
      <c r="S14" s="44">
        <f>(S$4-S$9-S$10)*'Ethylene Recycling HC'!R253</f>
        <v>76.54087307965213</v>
      </c>
      <c r="T14" s="44">
        <f>(T$4-T$9-T$10)*'Ethylene Recycling HC'!S253</f>
        <v>74.839471697454286</v>
      </c>
      <c r="U14" s="44">
        <f>(U$4-U$9-U$10)*'Ethylene Recycling HC'!T253</f>
        <v>73.099186146594192</v>
      </c>
      <c r="V14" s="44">
        <f>(V$4-V$9-V$10)*'Ethylene Recycling HC'!U253</f>
        <v>71.336058236668535</v>
      </c>
      <c r="W14" s="44">
        <f>(W$4-W$9-W$10)*'Ethylene Recycling HC'!V253</f>
        <v>69.565258200645232</v>
      </c>
      <c r="X14" s="44">
        <f>(X$4-X$9-X$10)*'Ethylene Recycling HC'!W253</f>
        <v>67.831319643074551</v>
      </c>
      <c r="Y14" s="44">
        <f>(Y$4-Y$9-Y$10)*'Ethylene Recycling HC'!X253</f>
        <v>65.429440889182658</v>
      </c>
      <c r="Z14" s="44">
        <f>(Z$4-Z$9-Z$10)*'Ethylene Recycling HC'!Y253</f>
        <v>63.046654998061157</v>
      </c>
      <c r="AA14" s="44">
        <f>(AA$4-AA$9-AA$10)*'Ethylene Recycling HC'!Z253</f>
        <v>60.68495156514166</v>
      </c>
      <c r="AB14" s="44">
        <f>(AB$4-AB$9-AB$10)*'Ethylene Recycling HC'!AA253</f>
        <v>58.333766838321566</v>
      </c>
      <c r="AC14" s="44">
        <f>(AC$4-AC$9-AC$10)*'Ethylene Recycling HC'!AB253</f>
        <v>55.986470886329485</v>
      </c>
      <c r="AD14" s="44">
        <f>(AD$4-AD$9-AD$10)*'Ethylene Recycling HC'!AC253</f>
        <v>53.634897481791093</v>
      </c>
      <c r="AE14" s="44">
        <f>(AE$4-AE$9-AE$10)*'Ethylene Recycling HC'!AD253</f>
        <v>51.269366255817282</v>
      </c>
      <c r="AF14" s="44">
        <f>(AF$4-AF$9-AF$10)*'Ethylene Recycling HC'!AE253</f>
        <v>48.881752878537526</v>
      </c>
      <c r="AG14" s="44">
        <f>(AG$4-AG$9-AG$10)*'Ethylene Recycling HC'!AF253</f>
        <v>46.451253887246672</v>
      </c>
      <c r="AH14" s="44">
        <f>(AH$4-AH$9-AH$10)*'Ethylene Recycling HC'!AG253</f>
        <v>44.039114222831039</v>
      </c>
      <c r="AJ14" s="44">
        <f>(AJ$4-AJ$9-AJ$10)*'Ethylene Recycling LC'!C211</f>
        <v>79.404868531431291</v>
      </c>
      <c r="AK14" s="44">
        <f>(AK$4-AK$9-AK$10)*'Ethylene Recycling LC'!D211</f>
        <v>80.623043642336739</v>
      </c>
      <c r="AL14" s="44">
        <f>(AL$4-AL$9-AL$10)*'Ethylene Recycling LC'!E211</f>
        <v>81.507942011168979</v>
      </c>
      <c r="AM14" s="44">
        <f>(AM$4-AM$9-AM$10)*'Ethylene Recycling LC'!F211</f>
        <v>82.166244119468729</v>
      </c>
      <c r="AN14" s="44">
        <f>(AN$4-AN$9-AN$10)*'Ethylene Recycling LC'!G211</f>
        <v>82.591847135888997</v>
      </c>
      <c r="AO14" s="44">
        <f>(AO$4-AO$9-AO$10)*'Ethylene Recycling LC'!H211</f>
        <v>82.780535701973335</v>
      </c>
      <c r="AP14" s="44">
        <f>(AP$4-AP$9-AP$10)*'Ethylene Recycling LC'!I211</f>
        <v>82.908484002656735</v>
      </c>
      <c r="AQ14" s="44">
        <f>(AQ$4-AQ$9-AQ$10)*'Ethylene Recycling LC'!J211</f>
        <v>82.974310054729017</v>
      </c>
      <c r="AR14" s="44">
        <f>(AR$4-AR$9-AR$10)*'Ethylene Recycling LC'!K211</f>
        <v>82.976390553244272</v>
      </c>
      <c r="AS14" s="44">
        <f>(AS$4-AS$9-AS$10)*'Ethylene Recycling LC'!L211</f>
        <v>82.912626460675583</v>
      </c>
      <c r="AT14" s="44">
        <f>(AT$4-AT$9-AT$10)*'Ethylene Recycling LC'!M211</f>
        <v>82.780855324868668</v>
      </c>
      <c r="AU14" s="44">
        <f>(AU$4-AU$9-AU$10)*'Ethylene Recycling LC'!N211</f>
        <v>81.953279689040343</v>
      </c>
      <c r="AV14" s="44">
        <f>(AV$4-AV$9-AV$10)*'Ethylene Recycling LC'!O211</f>
        <v>80.931405054884991</v>
      </c>
      <c r="AW14" s="44">
        <f>(AW$4-AW$9-AW$10)*'Ethylene Recycling LC'!P211</f>
        <v>79.720774886546437</v>
      </c>
      <c r="AX14" s="44">
        <f>(AX$4-AX$9-AX$10)*'Ethylene Recycling LC'!Q211</f>
        <v>78.321127537022605</v>
      </c>
      <c r="AY14" s="44">
        <f>(AY$4-AY$9-AY$10)*'Ethylene Recycling LC'!R211</f>
        <v>76.734976183247412</v>
      </c>
      <c r="AZ14" s="44">
        <f>(AZ$4-AZ$9-AZ$10)*'Ethylene Recycling LC'!S211</f>
        <v>75.109620277302653</v>
      </c>
      <c r="BA14" s="44">
        <f>(BA$4-BA$9-BA$10)*'Ethylene Recycling LC'!T211</f>
        <v>73.453837308007266</v>
      </c>
      <c r="BB14" s="44">
        <f>(BB$4-BB$9-BB$10)*'Ethylene Recycling LC'!U211</f>
        <v>71.776949162169899</v>
      </c>
      <c r="BC14" s="44">
        <f>(BC$4-BC$9-BC$10)*'Ethylene Recycling LC'!V211</f>
        <v>70.087827262174628</v>
      </c>
      <c r="BD14" s="44">
        <f>(BD$4-BD$9-BD$10)*'Ethylene Recycling LC'!W211</f>
        <v>68.426600329541643</v>
      </c>
      <c r="BE14" s="44">
        <f>(BE$4-BE$9-BE$10)*'Ethylene Recycling LC'!X211</f>
        <v>66.077869360157635</v>
      </c>
      <c r="BF14" s="44">
        <f>(BF$4-BF$9-BF$10)*'Ethylene Recycling LC'!Y211</f>
        <v>63.751295885575296</v>
      </c>
      <c r="BG14" s="44">
        <f>(BG$4-BG$9-BG$10)*'Ethylene Recycling LC'!Z211</f>
        <v>61.43846205917928</v>
      </c>
      <c r="BH14" s="44">
        <f>(BH$4-BH$9-BH$10)*'Ethylene Recycling LC'!AA211</f>
        <v>59.130059016373139</v>
      </c>
      <c r="BI14" s="44">
        <f>(BI$4-BI$9-BI$10)*'Ethylene Recycling LC'!AB211</f>
        <v>56.823266523118626</v>
      </c>
      <c r="BJ14" s="44">
        <f>(BJ$4-BJ$9-BJ$10)*'Ethylene Recycling LC'!AC211</f>
        <v>54.514614548467101</v>
      </c>
      <c r="BK14" s="44">
        <f>(BK$4-BK$9-BK$10)*'Ethylene Recycling LC'!AD211</f>
        <v>52.197718005678169</v>
      </c>
      <c r="BL14" s="44">
        <f>(BL$4-BL$9-BL$10)*'Ethylene Recycling LC'!AE211</f>
        <v>49.86958285276927</v>
      </c>
      <c r="BM14" s="44">
        <f>(BM$4-BM$9-BM$10)*'Ethylene Recycling LC'!AF211</f>
        <v>47.51898657499386</v>
      </c>
      <c r="BN14" s="44">
        <f>(BN$4-BN$9-BN$10)*'Ethylene Recycling LC'!AG211</f>
        <v>45.220760526978331</v>
      </c>
      <c r="BO14" s="2">
        <f t="shared" si="68"/>
        <v>8.7291997811049973E-2</v>
      </c>
      <c r="BP14" s="44">
        <f>(BP$4-BP$9-BP$10)*'Ethylene Recycling HC'!C232</f>
        <v>79.404889946990906</v>
      </c>
      <c r="BQ14" s="44">
        <f>(BQ$4-BQ$9-BQ$10)*'Ethylene Recycling HC'!D232</f>
        <v>83.158324408289488</v>
      </c>
      <c r="BR14" s="44">
        <f>(BR$4-BR$9-BR$10)*'Ethylene Recycling HC'!E232</f>
        <v>86.824855782827683</v>
      </c>
      <c r="BS14" s="44">
        <f>(BS$4-BS$9-BS$10)*'Ethylene Recycling HC'!F232</f>
        <v>90.379460724060621</v>
      </c>
      <c r="BT14" s="44">
        <f>(BT$4-BT$9-BT$10)*'Ethylene Recycling HC'!G232</f>
        <v>93.797026413069418</v>
      </c>
      <c r="BU14" s="44">
        <f>(BU$4-BU$9-BU$10)*'Ethylene Recycling HC'!H232</f>
        <v>97.052621890000012</v>
      </c>
      <c r="BV14" s="44">
        <f>(BV$4-BV$9-BV$10)*'Ethylene Recycling HC'!I232</f>
        <v>100.35864667398869</v>
      </c>
      <c r="BW14" s="44">
        <f>(BW$4-BW$9-BW$10)*'Ethylene Recycling HC'!J232</f>
        <v>103.71291944668843</v>
      </c>
      <c r="BX14" s="44">
        <f>(BX$4-BX$9-BX$10)*'Ethylene Recycling HC'!K232</f>
        <v>107.11310556689614</v>
      </c>
      <c r="BY14" s="44">
        <f>(BY$4-BY$9-BY$10)*'Ethylene Recycling HC'!L232</f>
        <v>110.5567170177904</v>
      </c>
      <c r="BZ14" s="44">
        <f>(BZ$4-BZ$9-BZ$10)*'Ethylene Recycling HC'!M232</f>
        <v>114.04111274618623</v>
      </c>
      <c r="CA14" s="44">
        <f>(CA$4-CA$9-CA$10)*'Ethylene Recycling HC'!N232</f>
        <v>117.37944530545052</v>
      </c>
      <c r="CB14" s="44">
        <f>(CB$4-CB$9-CB$10)*'Ethylene Recycling HC'!O232</f>
        <v>120.55258312582143</v>
      </c>
      <c r="CC14" s="44">
        <f>(CC$4-CC$9-CC$10)*'Ethylene Recycling HC'!P232</f>
        <v>123.54179206439362</v>
      </c>
      <c r="CD14" s="44">
        <f>(CD$4-CD$9-CD$10)*'Ethylene Recycling HC'!Q232</f>
        <v>126.32889768946674</v>
      </c>
      <c r="CE14" s="44">
        <f>(CE$4-CE$9-CE$10)*'Ethylene Recycling HC'!R232</f>
        <v>128.89644659019703</v>
      </c>
      <c r="CF14" s="44">
        <f>(CF$4-CF$9-CF$10)*'Ethylene Recycling HC'!S232</f>
        <v>131.48708463156149</v>
      </c>
      <c r="CG14" s="44">
        <f>(CG$4-CG$9-CG$10)*'Ethylene Recycling HC'!T232</f>
        <v>134.10033095205802</v>
      </c>
      <c r="CH14" s="44">
        <f>(CH$4-CH$9-CH$10)*'Ethylene Recycling HC'!U232</f>
        <v>136.73568403472197</v>
      </c>
      <c r="CI14" s="44">
        <f>(CI$4-CI$9-CI$10)*'Ethylene Recycling HC'!V232</f>
        <v>139.39262155626096</v>
      </c>
      <c r="CJ14" s="44">
        <f>(CJ$4-CJ$9-CJ$10)*'Ethylene Recycling HC'!W232</f>
        <v>142.07060024509096</v>
      </c>
      <c r="CK14" s="44">
        <f>(CK$4-CK$9-CK$10)*'Ethylene Recycling HC'!X232</f>
        <v>144.7708090599161</v>
      </c>
      <c r="CL14" s="44">
        <f>(CL$4-CL$9-CL$10)*'Ethylene Recycling HC'!Y232</f>
        <v>147.49276750389703</v>
      </c>
      <c r="CM14" s="44">
        <f>(CM$4-CM$9-CM$10)*'Ethylene Recycling HC'!Z232</f>
        <v>150.23597587542747</v>
      </c>
      <c r="CN14" s="44">
        <f>(CN$4-CN$9-CN$10)*'Ethylene Recycling HC'!AA232</f>
        <v>152.99991512501833</v>
      </c>
      <c r="CO14" s="44">
        <f>(CO$4-CO$9-CO$10)*'Ethylene Recycling HC'!AB232</f>
        <v>155.78404671904281</v>
      </c>
      <c r="CP14" s="44">
        <f>(CP$4-CP$9-CP$10)*'Ethylene Recycling HC'!AC232</f>
        <v>158.58946678624167</v>
      </c>
      <c r="CQ14" s="44">
        <f>(CQ$4-CQ$9-CQ$10)*'Ethylene Recycling HC'!AD232</f>
        <v>161.4156917604175</v>
      </c>
      <c r="CR14" s="44">
        <f>(CR$4-CR$9-CR$10)*'Ethylene Recycling HC'!AE232</f>
        <v>164.26222002799503</v>
      </c>
      <c r="CS14" s="44">
        <f>(CS$4-CS$9-CS$10)*'Ethylene Recycling HC'!AF232</f>
        <v>167.12853178918618</v>
      </c>
      <c r="CT14" s="44">
        <f>(CT$4-CT$9-CT$10)*'Ethylene Recycling HC'!AG232</f>
        <v>170.01408892440014</v>
      </c>
      <c r="CV14" s="44">
        <f>(CV$4-CV$9-CV$10)*'Ethylene Recycling LC'!C211</f>
        <v>79.404868531431291</v>
      </c>
      <c r="CW14" s="44">
        <f>(CW$4-CW$9-CW$10)*'Ethylene Recycling LC'!D211</f>
        <v>80.623043642336739</v>
      </c>
      <c r="CX14" s="44">
        <f>(CX$4-CX$9-CX$10)*'Ethylene Recycling LC'!E211</f>
        <v>81.507942011168979</v>
      </c>
      <c r="CY14" s="44">
        <f>(CY$4-CY$9-CY$10)*'Ethylene Recycling LC'!F211</f>
        <v>82.166244119468729</v>
      </c>
      <c r="CZ14" s="44">
        <f>(CZ$4-CZ$9-CZ$10)*'Ethylene Recycling LC'!G211</f>
        <v>82.591847135888997</v>
      </c>
      <c r="DA14" s="44">
        <f>(DA$4-DA$9-DA$10)*'Ethylene Recycling LC'!H211</f>
        <v>82.780535701973335</v>
      </c>
      <c r="DB14" s="44">
        <f>(DB$4-DB$9-DB$10)*'Ethylene Recycling LC'!I211</f>
        <v>82.908484002656735</v>
      </c>
      <c r="DC14" s="44">
        <f>(DC$4-DC$9-DC$10)*'Ethylene Recycling LC'!J211</f>
        <v>82.974310054729017</v>
      </c>
      <c r="DD14" s="44">
        <f>(DD$4-DD$9-DD$10)*'Ethylene Recycling LC'!K211</f>
        <v>82.976390553244272</v>
      </c>
      <c r="DE14" s="44">
        <f>(DE$4-DE$9-DE$10)*'Ethylene Recycling LC'!L211</f>
        <v>82.912626460675583</v>
      </c>
      <c r="DF14" s="44">
        <f>(DF$4-DF$9-DF$10)*'Ethylene Recycling LC'!M211</f>
        <v>82.780855324868654</v>
      </c>
      <c r="DG14" s="44">
        <f>(DG$4-DG$9-DG$10)*'Ethylene Recycling LC'!N211</f>
        <v>81.953279689040343</v>
      </c>
      <c r="DH14" s="44">
        <f>(DH$4-DH$9-DH$10)*'Ethylene Recycling LC'!O211</f>
        <v>80.931405054884991</v>
      </c>
      <c r="DI14" s="44">
        <f>(DI$4-DI$9-DI$10)*'Ethylene Recycling LC'!P211</f>
        <v>79.715132734620155</v>
      </c>
      <c r="DJ14" s="44">
        <f>(DJ$4-DJ$9-DJ$10)*'Ethylene Recycling LC'!Q211</f>
        <v>78.309888079018108</v>
      </c>
      <c r="DK14" s="44">
        <f>(DK$4-DK$9-DK$10)*'Ethylene Recycling LC'!R211</f>
        <v>76.718220678373626</v>
      </c>
      <c r="DL14" s="44">
        <f>(DL$4-DL$9-DL$10)*'Ethylene Recycling LC'!S211</f>
        <v>75.087425884235941</v>
      </c>
      <c r="DM14" s="44">
        <f>(DM$4-DM$9-DM$10)*'Ethylene Recycling LC'!T211</f>
        <v>73.426287284374752</v>
      </c>
      <c r="DN14" s="44">
        <f>(DN$4-DN$9-DN$10)*'Ethylene Recycling LC'!U211</f>
        <v>71.744132916822153</v>
      </c>
      <c r="DO14" s="44">
        <f>(DO$4-DO$9-DO$10)*'Ethylene Recycling LC'!V211</f>
        <v>70.049840403556431</v>
      </c>
      <c r="DP14" s="44">
        <f>(DP$4-DP$9-DP$10)*'Ethylene Recycling LC'!W211</f>
        <v>68.383544710057507</v>
      </c>
      <c r="DQ14" s="44">
        <f>(DQ$4-DQ$9-DQ$10)*'Ethylene Recycling LC'!X211</f>
        <v>66.029852587560868</v>
      </c>
      <c r="DR14" s="44">
        <f>(DR$4-DR$9-DR$10)*'Ethylene Recycling LC'!Y211</f>
        <v>63.698431726860441</v>
      </c>
      <c r="DS14" s="44">
        <f>(DS$4-DS$9-DS$10)*'Ethylene Recycling LC'!Z211</f>
        <v>61.367828442746756</v>
      </c>
      <c r="DT14" s="44">
        <f>(DT$4-DT$9-DT$10)*'Ethylene Recycling LC'!AA211</f>
        <v>59.042045517932692</v>
      </c>
      <c r="DU14" s="44">
        <f>(DU$4-DU$9-DU$10)*'Ethylene Recycling LC'!AB211</f>
        <v>56.718284354383364</v>
      </c>
      <c r="DV14" s="44">
        <f>(DV$4-DV$9-DV$10)*'Ethylene Recycling LC'!AC211</f>
        <v>54.393095524971372</v>
      </c>
      <c r="DW14" s="44">
        <f>(DW$4-DW$9-DW$10)*'Ethylene Recycling LC'!AD211</f>
        <v>52.060115341109537</v>
      </c>
      <c r="DX14" s="44">
        <f>(DX$4-DX$9-DX$10)*'Ethylene Recycling LC'!AE211</f>
        <v>49.716371274880153</v>
      </c>
      <c r="DY14" s="44">
        <f>(DY$4-DY$9-DY$10)*'Ethylene Recycling LC'!AF211</f>
        <v>47.350662429746166</v>
      </c>
      <c r="DZ14" s="44">
        <f>(DZ$4-DZ$9-DZ$10)*'Ethylene Recycling LC'!AG211</f>
        <v>45.037841870677525</v>
      </c>
      <c r="EB14" s="2">
        <f t="shared" si="69"/>
        <v>0.16000000000000006</v>
      </c>
      <c r="EC14" s="2">
        <f t="shared" si="70"/>
        <v>0.15999999999999998</v>
      </c>
    </row>
    <row r="15" spans="1:165">
      <c r="A15" s="601" t="s">
        <v>453</v>
      </c>
      <c r="C15" s="54" t="s">
        <v>153</v>
      </c>
      <c r="D15" s="44">
        <f>(D$4-D$9-D$10)*'Ethylene Recycling HC'!C254</f>
        <v>20.586442900880652</v>
      </c>
      <c r="E15" s="44">
        <f>(E$4-E$9-E$10)*'Ethylene Recycling HC'!D254</f>
        <v>21.089121783957371</v>
      </c>
      <c r="F15" s="44">
        <f>(F$4-F$9-F$10)*'Ethylene Recycling HC'!E254</f>
        <v>21.514766134461695</v>
      </c>
      <c r="G15" s="44">
        <f>(G$4-G$9-G$10)*'Ethylene Recycling HC'!F254</f>
        <v>21.889805776139188</v>
      </c>
      <c r="H15" s="44">
        <f>(H$4-H$9-H$10)*'Ethylene Recycling HC'!G254</f>
        <v>22.211295181624937</v>
      </c>
      <c r="I15" s="44">
        <f>(I$4-I$9-I$10)*'Ethylene Recycling HC'!H254</f>
        <v>22.476650601635008</v>
      </c>
      <c r="J15" s="44">
        <f>(J$4-J$9-J$10)*'Ethylene Recycling HC'!I254</f>
        <v>22.732597186028197</v>
      </c>
      <c r="K15" s="44">
        <f>(K$4-K$9-K$10)*'Ethylene Recycling HC'!J254</f>
        <v>22.9784883741432</v>
      </c>
      <c r="L15" s="44">
        <f>(L$4-L$9-L$10)*'Ethylene Recycling HC'!K254</f>
        <v>23.213502414618105</v>
      </c>
      <c r="M15" s="44">
        <f>(M$4-M$9-M$10)*'Ethylene Recycling HC'!L254</f>
        <v>23.436512302511225</v>
      </c>
      <c r="N15" s="44">
        <f>(N$4-N$9-N$10)*'Ethylene Recycling HC'!M254</f>
        <v>23.646089151942192</v>
      </c>
      <c r="O15" s="44">
        <f>(O$4-O$9-O$10)*'Ethylene Recycling HC'!N254</f>
        <v>23.660253922329904</v>
      </c>
      <c r="P15" s="44">
        <f>(P$4-P$9-P$10)*'Ethylene Recycling HC'!O254</f>
        <v>23.618061436382899</v>
      </c>
      <c r="Q15" s="44">
        <f>(Q$4-Q$9-Q$10)*'Ethylene Recycling HC'!P254</f>
        <v>23.519578583258944</v>
      </c>
      <c r="R15" s="44">
        <f>(R$4-R$9-R$10)*'Ethylene Recycling HC'!Q254</f>
        <v>23.361152778431197</v>
      </c>
      <c r="S15" s="44">
        <f>(S$4-S$9-S$10)*'Ethylene Recycling HC'!R254</f>
        <v>23.140263954313415</v>
      </c>
      <c r="T15" s="44">
        <f>(T$4-T$9-T$10)*'Ethylene Recycling HC'!S254</f>
        <v>22.90040616609798</v>
      </c>
      <c r="U15" s="44">
        <f>(U$4-U$9-U$10)*'Ethylene Recycling HC'!T254</f>
        <v>22.645494263712145</v>
      </c>
      <c r="V15" s="44">
        <f>(V$4-V$9-V$10)*'Ethylene Recycling HC'!U254</f>
        <v>22.379939838954815</v>
      </c>
      <c r="W15" s="44">
        <f>(W$4-W$9-W$10)*'Ethylene Recycling HC'!V254</f>
        <v>22.108093704364769</v>
      </c>
      <c r="X15" s="44">
        <f>(X$4-X$9-X$10)*'Ethylene Recycling HC'!W254</f>
        <v>21.843984291837543</v>
      </c>
      <c r="Y15" s="44">
        <f>(Y$4-Y$9-Y$10)*'Ethylene Recycling HC'!X254</f>
        <v>21.357796766935252</v>
      </c>
      <c r="Z15" s="44">
        <f>(Z$4-Z$9-Z$10)*'Ethylene Recycling HC'!Y254</f>
        <v>20.867554823301912</v>
      </c>
      <c r="AA15" s="44">
        <f>(AA$4-AA$9-AA$10)*'Ethylene Recycling HC'!Z254</f>
        <v>20.373583380038564</v>
      </c>
      <c r="AB15" s="44">
        <f>(AB$4-AB$9-AB$10)*'Ethylene Recycling HC'!AA254</f>
        <v>19.871942549318319</v>
      </c>
      <c r="AC15" s="44">
        <f>(AC$4-AC$9-AC$10)*'Ethylene Recycling HC'!AB254</f>
        <v>19.35980768966532</v>
      </c>
      <c r="AD15" s="44">
        <f>(AD$4-AD$9-AD$10)*'Ethylene Recycling HC'!AC254</f>
        <v>18.833628123377014</v>
      </c>
      <c r="AE15" s="44">
        <f>(AE$4-AE$9-AE$10)*'Ethylene Recycling HC'!AD254</f>
        <v>18.289072173127792</v>
      </c>
      <c r="AF15" s="44">
        <f>(AF$4-AF$9-AF$10)*'Ethylene Recycling HC'!AE254</f>
        <v>17.722069768712803</v>
      </c>
      <c r="AG15" s="44">
        <f>(AG$4-AG$9-AG$10)*'Ethylene Recycling HC'!AF254</f>
        <v>17.123578316887262</v>
      </c>
      <c r="AH15" s="44">
        <f>(AH$4-AH$9-AH$10)*'Ethylene Recycling HC'!AG254</f>
        <v>16.514667833561639</v>
      </c>
      <c r="AJ15" s="44">
        <f>(AJ$4-AJ$9-AJ$10)*'Ethylene Recycling LC'!C212</f>
        <v>20.586447397037741</v>
      </c>
      <c r="AK15" s="44">
        <f>(AK$4-AK$9-AK$10)*'Ethylene Recycling LC'!D212</f>
        <v>21.089131566017993</v>
      </c>
      <c r="AL15" s="44">
        <f>(AL$4-AL$9-AL$10)*'Ethylene Recycling LC'!E212</f>
        <v>21.514786723760334</v>
      </c>
      <c r="AM15" s="44">
        <f>(AM$4-AM$9-AM$10)*'Ethylene Recycling LC'!F212</f>
        <v>21.889848819472359</v>
      </c>
      <c r="AN15" s="44">
        <f>(AN$4-AN$9-AN$10)*'Ethylene Recycling LC'!G212</f>
        <v>22.211384477797811</v>
      </c>
      <c r="AO15" s="44">
        <f>(AO$4-AO$9-AO$10)*'Ethylene Recycling LC'!H212</f>
        <v>22.476834197224534</v>
      </c>
      <c r="AP15" s="44">
        <f>(AP$4-AP$9-AP$10)*'Ethylene Recycling LC'!I212</f>
        <v>22.732971420083285</v>
      </c>
      <c r="AQ15" s="44">
        <f>(AQ$4-AQ$9-AQ$10)*'Ethylene Recycling LC'!J212</f>
        <v>22.979242757312385</v>
      </c>
      <c r="AR15" s="44">
        <f>(AR$4-AR$9-AR$10)*'Ethylene Recycling LC'!K212</f>
        <v>23.215001235118187</v>
      </c>
      <c r="AS15" s="44">
        <f>(AS$4-AS$9-AS$10)*'Ethylene Recycling LC'!L212</f>
        <v>23.439434484663543</v>
      </c>
      <c r="AT15" s="44">
        <f>(AT$4-AT$9-AT$10)*'Ethylene Recycling LC'!M212</f>
        <v>23.651672949962457</v>
      </c>
      <c r="AU15" s="44">
        <f>(AU$4-AU$9-AU$10)*'Ethylene Recycling LC'!N212</f>
        <v>23.670105454454301</v>
      </c>
      <c r="AV15" s="44">
        <f>(AV$4-AV$9-AV$10)*'Ethylene Recycling LC'!O212</f>
        <v>23.634835104523916</v>
      </c>
      <c r="AW15" s="44">
        <f>(AW$4-AW$9-AW$10)*'Ethylene Recycling LC'!P212</f>
        <v>23.545716120913998</v>
      </c>
      <c r="AX15" s="44">
        <f>(AX$4-AX$9-AX$10)*'Ethylene Recycling LC'!Q212</f>
        <v>23.400824690939661</v>
      </c>
      <c r="AY15" s="44">
        <f>(AY$4-AY$9-AY$10)*'Ethylene Recycling LC'!R212</f>
        <v>23.198946287958499</v>
      </c>
      <c r="AZ15" s="44">
        <f>(AZ$4-AZ$9-AZ$10)*'Ethylene Recycling LC'!S212</f>
        <v>22.983069927124134</v>
      </c>
      <c r="BA15" s="44">
        <f>(BA$4-BA$9-BA$10)*'Ethylene Recycling LC'!T212</f>
        <v>22.755362119495008</v>
      </c>
      <c r="BB15" s="44">
        <f>(BB$4-BB$9-BB$10)*'Ethylene Recycling LC'!U212</f>
        <v>22.518258560680732</v>
      </c>
      <c r="BC15" s="44">
        <f>(BC$4-BC$9-BC$10)*'Ethylene Recycling LC'!V212</f>
        <v>22.274168065017204</v>
      </c>
      <c r="BD15" s="44">
        <f>(BD$4-BD$9-BD$10)*'Ethylene Recycling LC'!W212</f>
        <v>22.03568485188627</v>
      </c>
      <c r="BE15" s="44">
        <f>(BE$4-BE$9-BE$10)*'Ethylene Recycling LC'!X212</f>
        <v>21.569459946579933</v>
      </c>
      <c r="BF15" s="44">
        <f>(BF$4-BF$9-BF$10)*'Ethylene Recycling LC'!Y212</f>
        <v>21.100781032549548</v>
      </c>
      <c r="BG15" s="44">
        <f>(BG$4-BG$9-BG$10)*'Ethylene Recycling LC'!Z212</f>
        <v>20.626557280191232</v>
      </c>
      <c r="BH15" s="44">
        <f>(BH$4-BH$9-BH$10)*'Ethylene Recycling LC'!AA212</f>
        <v>20.143206917665559</v>
      </c>
      <c r="BI15" s="44">
        <f>(BI$4-BI$9-BI$10)*'Ethylene Recycling LC'!AB212</f>
        <v>19.649166928555026</v>
      </c>
      <c r="BJ15" s="44">
        <f>(BJ$4-BJ$9-BJ$10)*'Ethylene Recycling LC'!AC212</f>
        <v>19.142536406331949</v>
      </c>
      <c r="BK15" s="44">
        <f>(BK$4-BK$9-BK$10)*'Ethylene Recycling LC'!AD212</f>
        <v>18.620238586820857</v>
      </c>
      <c r="BL15" s="44">
        <f>(BL$4-BL$9-BL$10)*'Ethylene Recycling LC'!AE212</f>
        <v>18.080207329091643</v>
      </c>
      <c r="BM15" s="44">
        <f>(BM$4-BM$9-BM$10)*'Ethylene Recycling LC'!AF212</f>
        <v>17.517182423775736</v>
      </c>
      <c r="BN15" s="44">
        <f>(BN$4-BN$9-BN$10)*'Ethylene Recycling LC'!AG212</f>
        <v>16.957785197616872</v>
      </c>
      <c r="BO15" s="2">
        <f t="shared" si="68"/>
        <v>3.2734499179143735E-2</v>
      </c>
      <c r="BP15" s="44">
        <f>(BP$4-BP$9-BP$10)*'Ethylene Recycling HC'!C233</f>
        <v>20.586452949219865</v>
      </c>
      <c r="BQ15" s="44">
        <f>(BQ$4-BQ$9-BQ$10)*'Ethylene Recycling HC'!D233</f>
        <v>21.697888404310831</v>
      </c>
      <c r="BR15" s="44">
        <f>(BR$4-BR$9-BR$10)*'Ethylene Recycling HC'!E233</f>
        <v>22.795715031784876</v>
      </c>
      <c r="BS15" s="44">
        <f>(BS$4-BS$9-BS$10)*'Ethylene Recycling HC'!F233</f>
        <v>23.872599146154887</v>
      </c>
      <c r="BT15" s="44">
        <f>(BT$4-BT$9-BT$10)*'Ethylene Recycling HC'!G233</f>
        <v>24.921059872844779</v>
      </c>
      <c r="BU15" s="44">
        <f>(BU$4-BU$9-BU$10)*'Ethylene Recycling HC'!H233</f>
        <v>25.933547739568272</v>
      </c>
      <c r="BV15" s="44">
        <f>(BV$4-BV$9-BV$10)*'Ethylene Recycling HC'!I233</f>
        <v>26.966173760046829</v>
      </c>
      <c r="BW15" s="44">
        <f>(BW$4-BW$9-BW$10)*'Ethylene Recycling HC'!J233</f>
        <v>28.018356635175259</v>
      </c>
      <c r="BX15" s="44">
        <f>(BX$4-BX$9-BX$10)*'Ethylene Recycling HC'!K233</f>
        <v>29.089460662315677</v>
      </c>
      <c r="BY15" s="44">
        <f>(BY$4-BY$9-BY$10)*'Ethylene Recycling HC'!L233</f>
        <v>30.178795322763722</v>
      </c>
      <c r="BZ15" s="44">
        <f>(BZ$4-BZ$9-BZ$10)*'Ethylene Recycling HC'!M233</f>
        <v>31.285615001166143</v>
      </c>
      <c r="CA15" s="44">
        <f>(CA$4-CA$9-CA$10)*'Ethylene Recycling HC'!N233</f>
        <v>32.358380039317332</v>
      </c>
      <c r="CB15" s="44">
        <f>(CB$4-CB$9-CB$10)*'Ethylene Recycling HC'!O233</f>
        <v>33.391027575812707</v>
      </c>
      <c r="CC15" s="44">
        <f>(CC$4-CC$9-CC$10)*'Ethylene Recycling HC'!P233</f>
        <v>34.37753793338738</v>
      </c>
      <c r="CD15" s="44">
        <f>(CD$4-CD$9-CD$10)*'Ethylene Recycling HC'!Q233</f>
        <v>35.311985845229039</v>
      </c>
      <c r="CE15" s="44">
        <f>(CE$4-CE$9-CE$10)*'Ethylene Recycling HC'!R233</f>
        <v>36.188592260339242</v>
      </c>
      <c r="CF15" s="44">
        <f>(CF$4-CF$9-CF$10)*'Ethylene Recycling HC'!S233</f>
        <v>37.074867261793905</v>
      </c>
      <c r="CG15" s="44">
        <f>(CG$4-CG$9-CG$10)*'Ethylene Recycling HC'!T233</f>
        <v>37.970664961265364</v>
      </c>
      <c r="CH15" s="44">
        <f>(CH$4-CH$9-CH$10)*'Ethylene Recycling HC'!U233</f>
        <v>38.875831735362148</v>
      </c>
      <c r="CI15" s="44">
        <f>(CI$4-CI$9-CI$10)*'Ethylene Recycling HC'!V233</f>
        <v>39.790206153324768</v>
      </c>
      <c r="CJ15" s="44">
        <f>(CJ$4-CJ$9-CJ$10)*'Ethylene Recycling HC'!W233</f>
        <v>40.713618907911865</v>
      </c>
      <c r="CK15" s="44">
        <f>(CK$4-CK$9-CK$10)*'Ethylene Recycling HC'!X233</f>
        <v>41.646397126825207</v>
      </c>
      <c r="CL15" s="44">
        <f>(CL$4-CL$9-CL$10)*'Ethylene Recycling HC'!Y233</f>
        <v>42.588391560920726</v>
      </c>
      <c r="CM15" s="44">
        <f>(CM$4-CM$9-CM$10)*'Ethylene Recycling HC'!Z233</f>
        <v>43.539445746786356</v>
      </c>
      <c r="CN15" s="44">
        <f>(CN$4-CN$9-CN$10)*'Ethylene Recycling HC'!AA233</f>
        <v>44.499395940184968</v>
      </c>
      <c r="CO15" s="44">
        <f>(CO$4-CO$9-CO$10)*'Ethylene Recycling HC'!AB233</f>
        <v>45.468071051969467</v>
      </c>
      <c r="CP15" s="44">
        <f>(CP$4-CP$9-CP$10)*'Ethylene Recycling HC'!AC233</f>
        <v>46.445777070932721</v>
      </c>
      <c r="CQ15" s="44">
        <f>(CQ$4-CQ$9-CQ$10)*'Ethylene Recycling HC'!AD233</f>
        <v>47.432360635745958</v>
      </c>
      <c r="CR15" s="44">
        <f>(CR$4-CR$9-CR$10)*'Ethylene Recycling HC'!AE233</f>
        <v>48.427661588574047</v>
      </c>
      <c r="CS15" s="44">
        <f>(CS$4-CS$9-CS$10)*'Ethylene Recycling HC'!AF233</f>
        <v>49.431512912338313</v>
      </c>
      <c r="CT15" s="44">
        <f>(CT$4-CT$9-CT$10)*'Ethylene Recycling HC'!AG233</f>
        <v>50.443740669876966</v>
      </c>
      <c r="CV15" s="44">
        <f>(CV$4-CV$9-CV$10)*'Ethylene Recycling LC'!C212</f>
        <v>20.586447397037741</v>
      </c>
      <c r="CW15" s="44">
        <f>(CW$4-CW$9-CW$10)*'Ethylene Recycling LC'!D212</f>
        <v>21.089131566017993</v>
      </c>
      <c r="CX15" s="44">
        <f>(CX$4-CX$9-CX$10)*'Ethylene Recycling LC'!E212</f>
        <v>21.514786723760334</v>
      </c>
      <c r="CY15" s="44">
        <f>(CY$4-CY$9-CY$10)*'Ethylene Recycling LC'!F212</f>
        <v>21.889848819472359</v>
      </c>
      <c r="CZ15" s="44">
        <f>(CZ$4-CZ$9-CZ$10)*'Ethylene Recycling LC'!G212</f>
        <v>22.211384477797811</v>
      </c>
      <c r="DA15" s="44">
        <f>(DA$4-DA$9-DA$10)*'Ethylene Recycling LC'!H212</f>
        <v>22.476834197224534</v>
      </c>
      <c r="DB15" s="44">
        <f>(DB$4-DB$9-DB$10)*'Ethylene Recycling LC'!I212</f>
        <v>22.732971420083285</v>
      </c>
      <c r="DC15" s="44">
        <f>(DC$4-DC$9-DC$10)*'Ethylene Recycling LC'!J212</f>
        <v>22.979242757312385</v>
      </c>
      <c r="DD15" s="44">
        <f>(DD$4-DD$9-DD$10)*'Ethylene Recycling LC'!K212</f>
        <v>23.215001235118187</v>
      </c>
      <c r="DE15" s="44">
        <f>(DE$4-DE$9-DE$10)*'Ethylene Recycling LC'!L212</f>
        <v>23.439434484663543</v>
      </c>
      <c r="DF15" s="44">
        <f>(DF$4-DF$9-DF$10)*'Ethylene Recycling LC'!M212</f>
        <v>23.651672949962453</v>
      </c>
      <c r="DG15" s="44">
        <f>(DG$4-DG$9-DG$10)*'Ethylene Recycling LC'!N212</f>
        <v>23.670105454454301</v>
      </c>
      <c r="DH15" s="44">
        <f>(DH$4-DH$9-DH$10)*'Ethylene Recycling LC'!O212</f>
        <v>23.634835104523916</v>
      </c>
      <c r="DI15" s="44">
        <f>(DI$4-DI$9-DI$10)*'Ethylene Recycling LC'!P212</f>
        <v>23.54404969823112</v>
      </c>
      <c r="DJ15" s="44">
        <f>(DJ$4-DJ$9-DJ$10)*'Ethylene Recycling LC'!Q212</f>
        <v>23.397466560194417</v>
      </c>
      <c r="DK15" s="44">
        <f>(DK$4-DK$9-DK$10)*'Ethylene Recycling LC'!R212</f>
        <v>23.193880670205957</v>
      </c>
      <c r="DL15" s="44">
        <f>(DL$4-DL$9-DL$10)*'Ethylene Recycling LC'!S212</f>
        <v>22.976278582873437</v>
      </c>
      <c r="DM15" s="44">
        <f>(DM$4-DM$9-DM$10)*'Ethylene Recycling LC'!T212</f>
        <v>22.746827360970006</v>
      </c>
      <c r="DN15" s="44">
        <f>(DN$4-DN$9-DN$10)*'Ethylene Recycling LC'!U212</f>
        <v>22.507963268022618</v>
      </c>
      <c r="DO15" s="44">
        <f>(DO$4-DO$9-DO$10)*'Ethylene Recycling LC'!V212</f>
        <v>22.26209570229495</v>
      </c>
      <c r="DP15" s="44">
        <f>(DP$4-DP$9-DP$10)*'Ethylene Recycling LC'!W212</f>
        <v>22.021819482899854</v>
      </c>
      <c r="DQ15" s="44">
        <f>(DQ$4-DQ$9-DQ$10)*'Ethylene Recycling LC'!X212</f>
        <v>21.553786077804819</v>
      </c>
      <c r="DR15" s="44">
        <f>(DR$4-DR$9-DR$10)*'Ethylene Recycling LC'!Y212</f>
        <v>21.083283740580548</v>
      </c>
      <c r="DS15" s="44">
        <f>(DS$4-DS$9-DS$10)*'Ethylene Recycling LC'!Z212</f>
        <v>20.602843660311727</v>
      </c>
      <c r="DT15" s="44">
        <f>(DT$4-DT$9-DT$10)*'Ethylene Recycling LC'!AA212</f>
        <v>20.113224297317714</v>
      </c>
      <c r="DU15" s="44">
        <f>(DU$4-DU$9-DU$10)*'Ethylene Recycling LC'!AB212</f>
        <v>19.612864683291431</v>
      </c>
      <c r="DV15" s="44">
        <f>(DV$4-DV$9-DV$10)*'Ethylene Recycling LC'!AC212</f>
        <v>19.099865604188409</v>
      </c>
      <c r="DW15" s="44">
        <f>(DW$4-DW$9-DW$10)*'Ethylene Recycling LC'!AD212</f>
        <v>18.571152256185265</v>
      </c>
      <c r="DX15" s="44">
        <f>(DX$4-DX$9-DX$10)*'Ethylene Recycling LC'!AE212</f>
        <v>18.024660502048178</v>
      </c>
      <c r="DY15" s="44">
        <f>(DY$4-DY$9-DY$10)*'Ethylene Recycling LC'!AF212</f>
        <v>17.455132178786261</v>
      </c>
      <c r="DZ15" s="44">
        <f>(DZ$4-DZ$9-DZ$10)*'Ethylene Recycling LC'!AG212</f>
        <v>16.88919070150407</v>
      </c>
      <c r="EB15" s="2">
        <f t="shared" si="69"/>
        <v>6.0000000000000012E-2</v>
      </c>
      <c r="EC15" s="2">
        <f t="shared" si="70"/>
        <v>5.9999999999999984E-2</v>
      </c>
    </row>
    <row r="16" spans="1:165" s="82" customFormat="1" ht="16" thickBot="1">
      <c r="A16" s="600" t="s">
        <v>454</v>
      </c>
      <c r="C16" s="170" t="s">
        <v>153</v>
      </c>
      <c r="D16" s="604">
        <f>(D$4-D$9-D$10)*'Ethylene Recycling HC'!C255</f>
        <v>14.704602072057609</v>
      </c>
      <c r="E16" s="604">
        <f>(E$4-E$9-E$10)*'Ethylene Recycling HC'!D255</f>
        <v>14.933923559931536</v>
      </c>
      <c r="F16" s="604">
        <f>(F$4-F$9-F$10)*'Ethylene Recycling HC'!E255</f>
        <v>15.101710844381765</v>
      </c>
      <c r="G16" s="604">
        <f>(G$4-G$9-G$10)*'Ethylene Recycling HC'!F255</f>
        <v>15.227690974705521</v>
      </c>
      <c r="H16" s="604">
        <f>(H$4-H$9-H$10)*'Ethylene Recycling HC'!G255</f>
        <v>15.310698620343404</v>
      </c>
      <c r="I16" s="604">
        <f>(I$4-I$9-I$10)*'Ethylene Recycling HC'!H255</f>
        <v>15.34990772794586</v>
      </c>
      <c r="J16" s="604">
        <f>(J$4-J$9-J$10)*'Ethylene Recycling HC'!I255</f>
        <v>15.377933390548487</v>
      </c>
      <c r="K16" s="604">
        <f>(K$4-K$9-K$10)*'Ethylene Recycling HC'!J255</f>
        <v>15.394455265435839</v>
      </c>
      <c r="L16" s="604">
        <f>(L$4-L$9-L$10)*'Ethylene Recycling HC'!K255</f>
        <v>15.399056057221912</v>
      </c>
      <c r="M16" s="604">
        <f>(M$4-M$9-M$10)*'Ethylene Recycling HC'!L255</f>
        <v>15.391142407619313</v>
      </c>
      <c r="N16" s="604">
        <f>(N$4-N$9-N$10)*'Ethylene Recycling HC'!M255</f>
        <v>15.369957948762426</v>
      </c>
      <c r="O16" s="604">
        <f>(O$4-O$9-O$10)*'Ethylene Recycling HC'!N255</f>
        <v>15.218655789237326</v>
      </c>
      <c r="P16" s="604">
        <f>(P$4-P$9-P$10)*'Ethylene Recycling HC'!O255</f>
        <v>15.02967545951639</v>
      </c>
      <c r="Q16" s="604">
        <f>(Q$4-Q$9-Q$10)*'Ethylene Recycling HC'!P255</f>
        <v>14.804201747838118</v>
      </c>
      <c r="R16" s="604">
        <f>(R$4-R$9-R$10)*'Ethylene Recycling HC'!Q255</f>
        <v>14.5411257090235</v>
      </c>
      <c r="S16" s="604">
        <f>(S$4-S$9-S$10)*'Ethylene Recycling HC'!R255</f>
        <v>14.24016243342364</v>
      </c>
      <c r="T16" s="604">
        <f>(T$4-T$9-T$10)*'Ethylene Recycling HC'!S255</f>
        <v>13.929113028863719</v>
      </c>
      <c r="U16" s="604">
        <f>(U$4-U$9-U$10)*'Ethylene Recycling HC'!T255</f>
        <v>13.610763391661186</v>
      </c>
      <c r="V16" s="604">
        <f>(V$4-V$9-V$10)*'Ethylene Recycling HC'!U255</f>
        <v>13.288089279379422</v>
      </c>
      <c r="W16" s="604">
        <f>(W$4-W$9-W$10)*'Ethylene Recycling HC'!V255</f>
        <v>12.963908350203425</v>
      </c>
      <c r="X16" s="604">
        <f>(X$4-X$9-X$10)*'Ethylene Recycling HC'!W255</f>
        <v>12.646517221590155</v>
      </c>
      <c r="Y16" s="604">
        <f>(Y$4-Y$9-Y$10)*'Ethylene Recycling HC'!X255</f>
        <v>12.204455295391572</v>
      </c>
      <c r="Z16" s="604">
        <f>(Z$4-Z$9-Z$10)*'Ethylene Recycling HC'!Y255</f>
        <v>11.765748996117035</v>
      </c>
      <c r="AA16" s="604">
        <f>(AA$4-AA$9-AA$10)*'Ethylene Recycling HC'!Z255</f>
        <v>11.330762949326257</v>
      </c>
      <c r="AB16" s="604">
        <f>(AB$4-AB$9-AB$10)*'Ethylene Recycling HC'!AA255</f>
        <v>10.897516881884235</v>
      </c>
      <c r="AC16" s="604">
        <f>(AC$4-AC$9-AC$10)*'Ethylene Recycling HC'!AB255</f>
        <v>10.464760913332601</v>
      </c>
      <c r="AD16" s="604">
        <f>(AD$4-AD$9-AD$10)*'Ethylene Recycling HC'!AC255</f>
        <v>10.030954109189924</v>
      </c>
      <c r="AE16" s="604">
        <f>(AE$4-AE$9-AE$10)*'Ethylene Recycling HC'!AD255</f>
        <v>9.5942673695096534</v>
      </c>
      <c r="AF16" s="604">
        <f>(AF$4-AF$9-AF$10)*'Ethylene Recycling HC'!AE255</f>
        <v>9.1531569135109976</v>
      </c>
      <c r="AG16" s="604">
        <f>(AG$4-AG$9-AG$10)*'Ethylene Recycling HC'!AF255</f>
        <v>8.7036972660421341</v>
      </c>
      <c r="AH16" s="604">
        <f>(AH$4-AH$9-AH$10)*'Ethylene Recycling HC'!AG255</f>
        <v>8.2573339167808193</v>
      </c>
      <c r="AJ16" s="604">
        <f>(AJ$4-AJ$9-AJ$10)*'Ethylene Recycling LC'!C213</f>
        <v>14.704605283598386</v>
      </c>
      <c r="AK16" s="604">
        <f>(AK$4-AK$9-AK$10)*'Ethylene Recycling LC'!D213</f>
        <v>14.933930486940969</v>
      </c>
      <c r="AL16" s="604">
        <f>(AL$4-AL$9-AL$10)*'Ethylene Recycling LC'!E213</f>
        <v>15.101725296485618</v>
      </c>
      <c r="AM16" s="604">
        <f>(AM$4-AM$9-AM$10)*'Ethylene Recycling LC'!F213</f>
        <v>15.227720917893814</v>
      </c>
      <c r="AN16" s="604">
        <f>(AN$4-AN$9-AN$10)*'Ethylene Recycling LC'!G213</f>
        <v>15.310760174015968</v>
      </c>
      <c r="AO16" s="604">
        <f>(AO$4-AO$9-AO$10)*'Ethylene Recycling LC'!H213</f>
        <v>15.35003311029968</v>
      </c>
      <c r="AP16" s="604">
        <f>(AP$4-AP$9-AP$10)*'Ethylene Recycling LC'!I213</f>
        <v>15.378186548879869</v>
      </c>
      <c r="AQ16" s="604">
        <f>(AQ$4-AQ$9-AQ$10)*'Ethylene Recycling LC'!J213</f>
        <v>15.394960664997461</v>
      </c>
      <c r="AR16" s="604">
        <f>(AR$4-AR$9-AR$10)*'Ethylene Recycling LC'!K213</f>
        <v>15.400050324286322</v>
      </c>
      <c r="AS16" s="604">
        <f>(AS$4-AS$9-AS$10)*'Ethylene Recycling LC'!L213</f>
        <v>15.393061452614864</v>
      </c>
      <c r="AT16" s="604">
        <f>(AT$4-AT$9-AT$10)*'Ethylene Recycling LC'!M213</f>
        <v>15.373587417475598</v>
      </c>
      <c r="AU16" s="604">
        <f>(AU$4-AU$9-AU$10)*'Ethylene Recycling LC'!N213</f>
        <v>15.224992453116336</v>
      </c>
      <c r="AV16" s="604">
        <f>(AV$4-AV$9-AV$10)*'Ethylene Recycling LC'!O213</f>
        <v>15.040349611969765</v>
      </c>
      <c r="AW16" s="604">
        <f>(AW$4-AW$9-AW$10)*'Ethylene Recycling LC'!P213</f>
        <v>14.820653801996627</v>
      </c>
      <c r="AX16" s="604">
        <f>(AX$4-AX$9-AX$10)*'Ethylene Recycling LC'!Q213</f>
        <v>14.56581945048285</v>
      </c>
      <c r="AY16" s="604">
        <f>(AY$4-AY$9-AY$10)*'Ethylene Recycling LC'!R213</f>
        <v>14.276274638743693</v>
      </c>
      <c r="AZ16" s="604">
        <f>(AZ$4-AZ$9-AZ$10)*'Ethylene Recycling LC'!S213</f>
        <v>13.979393048456947</v>
      </c>
      <c r="BA16" s="604">
        <f>(BA$4-BA$9-BA$10)*'Ethylene Recycling LC'!T213</f>
        <v>13.676797957831196</v>
      </c>
      <c r="BB16" s="604">
        <f>(BB$4-BB$9-BB$10)*'Ethylene Recycling LC'!U213</f>
        <v>13.370216020404182</v>
      </c>
      <c r="BC16" s="604">
        <f>(BC$4-BC$9-BC$10)*'Ethylene Recycling LC'!V213</f>
        <v>13.061292268491764</v>
      </c>
      <c r="BD16" s="604">
        <f>(BD$4-BD$9-BD$10)*'Ethylene Recycling LC'!W213</f>
        <v>12.757501756355209</v>
      </c>
      <c r="BE16" s="604">
        <f>(BE$4-BE$9-BE$10)*'Ethylene Recycling LC'!X213</f>
        <v>12.325405683759961</v>
      </c>
      <c r="BF16" s="604">
        <f>(BF$4-BF$9-BF$10)*'Ethylene Recycling LC'!Y213</f>
        <v>11.897248880054532</v>
      </c>
      <c r="BG16" s="604">
        <f>(BG$4-BG$9-BG$10)*'Ethylene Recycling LC'!Z213</f>
        <v>11.471454316256082</v>
      </c>
      <c r="BH16" s="604">
        <f>(BH$4-BH$9-BH$10)*'Ethylene Recycling LC'!AA213</f>
        <v>11.046274761300463</v>
      </c>
      <c r="BI16" s="604">
        <f>(BI$4-BI$9-BI$10)*'Ethylene Recycling LC'!AB213</f>
        <v>10.621171312732441</v>
      </c>
      <c r="BJ16" s="604">
        <f>(BJ$4-BJ$9-BJ$10)*'Ethylene Recycling LC'!AC213</f>
        <v>10.195481346850704</v>
      </c>
      <c r="BK16" s="604">
        <f>(BK$4-BK$9-BK$10)*'Ethylene Recycling LC'!AD213</f>
        <v>9.767994012758475</v>
      </c>
      <c r="BL16" s="604">
        <f>(BL$4-BL$9-BL$10)*'Ethylene Recycling LC'!AE213</f>
        <v>9.3381290600802878</v>
      </c>
      <c r="BM16" s="604">
        <f>(BM$4-BM$9-BM$10)*'Ethylene Recycling LC'!AF213</f>
        <v>8.9037612319743982</v>
      </c>
      <c r="BN16" s="604">
        <f>(BN$4-BN$9-BN$10)*'Ethylene Recycling LC'!AG213</f>
        <v>8.4788925988084358</v>
      </c>
      <c r="BO16" s="659">
        <f t="shared" si="68"/>
        <v>1.6367249589571867E-2</v>
      </c>
      <c r="BP16" s="604">
        <f>(BP$4-BP$9-BP$10)*'Ethylene Recycling HC'!C234</f>
        <v>14.704609249442761</v>
      </c>
      <c r="BQ16" s="604">
        <f>(BQ$4-BQ$9-BQ$10)*'Ethylene Recycling HC'!D234</f>
        <v>15.44629848052436</v>
      </c>
      <c r="BR16" s="604">
        <f>(BR$4-BR$9-BR$10)*'Ethylene Recycling HC'!E234</f>
        <v>16.174900739465006</v>
      </c>
      <c r="BS16" s="604">
        <f>(BS$4-BS$9-BS$10)*'Ethylene Recycling HC'!F234</f>
        <v>16.885496957036384</v>
      </c>
      <c r="BT16" s="604">
        <f>(BT$4-BT$9-BT$10)*'Ethylene Recycling HC'!G234</f>
        <v>17.573109714954494</v>
      </c>
      <c r="BU16" s="604">
        <f>(BU$4-BU$9-BU$10)*'Ethylene Recycling HC'!H234</f>
        <v>18.232756271050185</v>
      </c>
      <c r="BV16" s="604">
        <f>(BV$4-BV$9-BV$10)*'Ethylene Recycling HC'!I234</f>
        <v>18.904121811166853</v>
      </c>
      <c r="BW16" s="604">
        <f>(BW$4-BW$9-BW$10)*'Ethylene Recycling HC'!J234</f>
        <v>19.586797072941629</v>
      </c>
      <c r="BX16" s="604">
        <f>(BX$4-BX$9-BX$10)*'Ethylene Recycling HC'!K234</f>
        <v>20.280339463411437</v>
      </c>
      <c r="BY16" s="604">
        <f>(BY$4-BY$9-BY$10)*'Ethylene Recycling HC'!L234</f>
        <v>20.984272914845548</v>
      </c>
      <c r="BZ16" s="604">
        <f>(BZ$4-BZ$9-BZ$10)*'Ethylene Recycling HC'!M234</f>
        <v>21.698087823389432</v>
      </c>
      <c r="CA16" s="604">
        <f>(CA$4-CA$9-CA$10)*'Ethylene Recycling HC'!N234</f>
        <v>22.38613901052058</v>
      </c>
      <c r="CB16" s="604">
        <f>(CB$4-CB$9-CB$10)*'Ethylene Recycling HC'!O234</f>
        <v>23.044511988941178</v>
      </c>
      <c r="CC16" s="604">
        <f>(CC$4-CC$9-CC$10)*'Ethylene Recycling HC'!P234</f>
        <v>23.669345701245142</v>
      </c>
      <c r="CD16" s="604">
        <f>(CD$4-CD$9-CD$10)*'Ethylene Recycling HC'!Q234</f>
        <v>24.256865656601118</v>
      </c>
      <c r="CE16" s="604">
        <f>(CE$4-CE$9-CE$10)*'Ethylene Recycling HC'!R234</f>
        <v>24.803417167198827</v>
      </c>
      <c r="CF16" s="604">
        <f>(CF$4-CF$9-CF$10)*'Ethylene Recycling HC'!S234</f>
        <v>25.355485291300724</v>
      </c>
      <c r="CG16" s="604">
        <f>(CG$4-CG$9-CG$10)*'Ethylene Recycling HC'!T234</f>
        <v>25.912973830084251</v>
      </c>
      <c r="CH16" s="604">
        <f>(CH$4-CH$9-CH$10)*'Ethylene Recycling HC'!U234</f>
        <v>26.475781957703553</v>
      </c>
      <c r="CI16" s="604">
        <f>(CI$4-CI$9-CI$10)*'Ethylene Recycling HC'!V234</f>
        <v>27.043804182167598</v>
      </c>
      <c r="CJ16" s="604">
        <f>(CJ$4-CJ$9-CJ$10)*'Ethylene Recycling HC'!W234</f>
        <v>27.616930308164015</v>
      </c>
      <c r="CK16" s="604">
        <f>(CK$4-CK$9-CK$10)*'Ethylene Recycling HC'!X234</f>
        <v>28.195386874682931</v>
      </c>
      <c r="CL16" s="604">
        <f>(CL$4-CL$9-CL$10)*'Ethylene Recycling HC'!Y234</f>
        <v>28.779076586126294</v>
      </c>
      <c r="CM16" s="604">
        <f>(CM$4-CM$9-CM$10)*'Ethylene Recycling HC'!Z234</f>
        <v>29.367897837274214</v>
      </c>
      <c r="CN16" s="604">
        <f>(CN$4-CN$9-CN$10)*'Ethylene Recycling HC'!AA234</f>
        <v>29.961744676857638</v>
      </c>
      <c r="CO16" s="604">
        <f>(CO$4-CO$9-CO$10)*'Ethylene Recycling HC'!AB234</f>
        <v>30.560506772635247</v>
      </c>
      <c r="CP16" s="604">
        <f>(CP$4-CP$9-CP$10)*'Ethylene Recycling HC'!AC234</f>
        <v>31.164394459511886</v>
      </c>
      <c r="CQ16" s="604">
        <f>(CQ$4-CQ$9-CQ$10)*'Ethylene Recycling HC'!AD234</f>
        <v>31.773308755998769</v>
      </c>
      <c r="CR16" s="604">
        <f>(CR$4-CR$9-CR$10)*'Ethylene Recycling HC'!AE234</f>
        <v>32.3871466249756</v>
      </c>
      <c r="CS16" s="604">
        <f>(CS$4-CS$9-CS$10)*'Ethylene Recycling HC'!AF234</f>
        <v>33.005800938969216</v>
      </c>
      <c r="CT16" s="604">
        <f>(CT$4-CT$9-CT$10)*'Ethylene Recycling HC'!AG234</f>
        <v>33.629160446584642</v>
      </c>
      <c r="CV16" s="604">
        <f>(CV$4-CV$9-CV$10)*'Ethylene Recycling LC'!C213</f>
        <v>14.704605283598386</v>
      </c>
      <c r="CW16" s="604">
        <f>(CW$4-CW$9-CW$10)*'Ethylene Recycling LC'!D213</f>
        <v>14.933930486940969</v>
      </c>
      <c r="CX16" s="604">
        <f>(CX$4-CX$9-CX$10)*'Ethylene Recycling LC'!E213</f>
        <v>15.101725296485618</v>
      </c>
      <c r="CY16" s="604">
        <f>(CY$4-CY$9-CY$10)*'Ethylene Recycling LC'!F213</f>
        <v>15.227720917893814</v>
      </c>
      <c r="CZ16" s="604">
        <f>(CZ$4-CZ$9-CZ$10)*'Ethylene Recycling LC'!G213</f>
        <v>15.310760174015968</v>
      </c>
      <c r="DA16" s="604">
        <f>(DA$4-DA$9-DA$10)*'Ethylene Recycling LC'!H213</f>
        <v>15.35003311029968</v>
      </c>
      <c r="DB16" s="604">
        <f>(DB$4-DB$9-DB$10)*'Ethylene Recycling LC'!I213</f>
        <v>15.378186548879869</v>
      </c>
      <c r="DC16" s="604">
        <f>(DC$4-DC$9-DC$10)*'Ethylene Recycling LC'!J213</f>
        <v>15.394960664997461</v>
      </c>
      <c r="DD16" s="604">
        <f>(DD$4-DD$9-DD$10)*'Ethylene Recycling LC'!K213</f>
        <v>15.400050324286322</v>
      </c>
      <c r="DE16" s="604">
        <f>(DE$4-DE$9-DE$10)*'Ethylene Recycling LC'!L213</f>
        <v>15.393061452614864</v>
      </c>
      <c r="DF16" s="604">
        <f>(DF$4-DF$9-DF$10)*'Ethylene Recycling LC'!M213</f>
        <v>15.373587417475594</v>
      </c>
      <c r="DG16" s="604">
        <f>(DG$4-DG$9-DG$10)*'Ethylene Recycling LC'!N213</f>
        <v>15.224992453116336</v>
      </c>
      <c r="DH16" s="604">
        <f>(DH$4-DH$9-DH$10)*'Ethylene Recycling LC'!O213</f>
        <v>15.040349611969765</v>
      </c>
      <c r="DI16" s="604">
        <f>(DI$4-DI$9-DI$10)*'Ethylene Recycling LC'!P213</f>
        <v>14.819604886196238</v>
      </c>
      <c r="DJ16" s="604">
        <f>(DJ$4-DJ$9-DJ$10)*'Ethylene Recycling LC'!Q213</f>
        <v>14.563729185427137</v>
      </c>
      <c r="DK16" s="604">
        <f>(DK$4-DK$9-DK$10)*'Ethylene Recycling LC'!R213</f>
        <v>14.273157335511359</v>
      </c>
      <c r="DL16" s="604">
        <f>(DL$4-DL$9-DL$10)*'Ethylene Recycling LC'!S213</f>
        <v>13.975262230819926</v>
      </c>
      <c r="DM16" s="604">
        <f>(DM$4-DM$9-DM$10)*'Ethylene Recycling LC'!T213</f>
        <v>13.671668258406841</v>
      </c>
      <c r="DN16" s="604">
        <f>(DN$4-DN$9-DN$10)*'Ethylene Recycling LC'!U213</f>
        <v>13.364103190388429</v>
      </c>
      <c r="DO16" s="604">
        <f>(DO$4-DO$9-DO$10)*'Ethylene Recycling LC'!V213</f>
        <v>13.054213186686043</v>
      </c>
      <c r="DP16" s="604">
        <f>(DP$4-DP$9-DP$10)*'Ethylene Recycling LC'!W213</f>
        <v>12.749474437468336</v>
      </c>
      <c r="DQ16" s="604">
        <f>(DQ$4-DQ$9-DQ$10)*'Ethylene Recycling LC'!X213</f>
        <v>12.316449187317039</v>
      </c>
      <c r="DR16" s="604">
        <f>(DR$4-DR$9-DR$10)*'Ethylene Recycling LC'!Y213</f>
        <v>11.887383385646478</v>
      </c>
      <c r="DS16" s="604">
        <f>(DS$4-DS$9-DS$10)*'Ethylene Recycling LC'!Z213</f>
        <v>11.458265992900637</v>
      </c>
      <c r="DT16" s="604">
        <f>(DT$4-DT$9-DT$10)*'Ethylene Recycling LC'!AA213</f>
        <v>11.029832679174225</v>
      </c>
      <c r="DU16" s="604">
        <f>(DU$4-DU$9-DU$10)*'Ethylene Recycling LC'!AB213</f>
        <v>10.601548477454822</v>
      </c>
      <c r="DV16" s="604">
        <f>(DV$4-DV$9-DV$10)*'Ethylene Recycling LC'!AC213</f>
        <v>10.172754506578602</v>
      </c>
      <c r="DW16" s="604">
        <f>(DW$4-DW$9-DW$10)*'Ethylene Recycling LC'!AD213</f>
        <v>9.74224380652341</v>
      </c>
      <c r="DX16" s="604">
        <f>(DX$4-DX$9-DX$10)*'Ethylene Recycling LC'!AE213</f>
        <v>9.3094400395193784</v>
      </c>
      <c r="DY16" s="604">
        <f>(DY$4-DY$9-DY$10)*'Ethylene Recycling LC'!AF213</f>
        <v>8.8722218809300237</v>
      </c>
      <c r="DZ16" s="604">
        <f>(DZ$4-DZ$9-DZ$10)*'Ethylene Recycling LC'!AG213</f>
        <v>8.444595350752035</v>
      </c>
      <c r="EB16" s="2">
        <f t="shared" si="69"/>
        <v>3.0000000000000006E-2</v>
      </c>
      <c r="EC16" s="2">
        <f t="shared" si="70"/>
        <v>2.9999999999999992E-2</v>
      </c>
      <c r="EK16" s="614"/>
      <c r="EL16" s="614"/>
      <c r="EM16" s="614"/>
      <c r="EN16" s="614"/>
      <c r="EO16" s="614"/>
      <c r="EP16" s="614"/>
      <c r="EQ16" s="614"/>
      <c r="ER16" s="614"/>
      <c r="ES16" s="614"/>
      <c r="ET16" s="614"/>
      <c r="EU16" s="614"/>
      <c r="EV16" s="614"/>
      <c r="EW16" s="614"/>
      <c r="EX16" s="614"/>
      <c r="EY16" s="614"/>
      <c r="EZ16" s="614"/>
      <c r="FA16" s="614"/>
      <c r="FB16" s="614"/>
      <c r="FC16" s="614"/>
      <c r="FD16" s="614"/>
      <c r="FE16" s="614"/>
      <c r="FF16" s="614"/>
      <c r="FG16" s="614"/>
      <c r="FH16" s="614"/>
      <c r="FI16" s="614"/>
    </row>
    <row r="17" spans="1:165" ht="16" thickBot="1"/>
    <row r="18" spans="1:165" s="188" customFormat="1" ht="16" thickBot="1">
      <c r="A18" s="185" t="s">
        <v>455</v>
      </c>
      <c r="C18" s="608"/>
      <c r="EK18" s="615"/>
      <c r="EL18" s="615"/>
      <c r="EM18" s="615"/>
      <c r="EN18" s="615"/>
      <c r="EO18" s="615"/>
      <c r="EP18" s="615"/>
      <c r="EQ18" s="615"/>
      <c r="ER18" s="615"/>
      <c r="ES18" s="615"/>
      <c r="ET18" s="615"/>
      <c r="EU18" s="615"/>
      <c r="EV18" s="615"/>
      <c r="EW18" s="615"/>
      <c r="EX18" s="615"/>
      <c r="EY18" s="615"/>
      <c r="EZ18" s="615"/>
      <c r="FA18" s="615"/>
      <c r="FB18" s="615"/>
      <c r="FC18" s="615"/>
      <c r="FD18" s="615"/>
      <c r="FE18" s="615"/>
      <c r="FF18" s="615"/>
      <c r="FG18" s="615"/>
      <c r="FH18" s="615"/>
      <c r="FI18" s="615"/>
    </row>
    <row r="19" spans="1:165">
      <c r="A19" s="606" t="s">
        <v>456</v>
      </c>
      <c r="C19" s="54" t="s">
        <v>153</v>
      </c>
      <c r="D19" s="44">
        <f t="shared" ref="D19:AH19" si="71">D11*(1-D205)</f>
        <v>47.052557942569585</v>
      </c>
      <c r="E19" s="44">
        <f t="shared" si="71"/>
        <v>50.044358166318929</v>
      </c>
      <c r="F19" s="44">
        <f t="shared" si="71"/>
        <v>52.950287542324624</v>
      </c>
      <c r="G19" s="44">
        <f t="shared" si="71"/>
        <v>55.816290845964467</v>
      </c>
      <c r="H19" s="44">
        <f t="shared" si="71"/>
        <v>58.617567731205149</v>
      </c>
      <c r="I19" s="44">
        <f t="shared" si="71"/>
        <v>61.324544972985457</v>
      </c>
      <c r="J19" s="44">
        <f t="shared" si="71"/>
        <v>64.037026523235681</v>
      </c>
      <c r="K19" s="44">
        <f t="shared" si="71"/>
        <v>66.718076325115121</v>
      </c>
      <c r="L19" s="44">
        <f t="shared" si="71"/>
        <v>69.30233864048796</v>
      </c>
      <c r="M19" s="44">
        <f t="shared" si="71"/>
        <v>71.677379600986583</v>
      </c>
      <c r="N19" s="44">
        <f t="shared" si="71"/>
        <v>73.659920051755478</v>
      </c>
      <c r="O19" s="44">
        <f t="shared" si="71"/>
        <v>74.406661654170335</v>
      </c>
      <c r="P19" s="44">
        <f t="shared" si="71"/>
        <v>73.993245712773501</v>
      </c>
      <c r="Q19" s="44">
        <f t="shared" si="71"/>
        <v>72.041164889406787</v>
      </c>
      <c r="R19" s="44">
        <f t="shared" si="71"/>
        <v>68.246276555785442</v>
      </c>
      <c r="S19" s="44">
        <f t="shared" si="71"/>
        <v>62.547632303017338</v>
      </c>
      <c r="T19" s="44">
        <f t="shared" si="71"/>
        <v>55.34481350588981</v>
      </c>
      <c r="U19" s="44">
        <f t="shared" si="71"/>
        <v>47.219650095192627</v>
      </c>
      <c r="V19" s="44">
        <f t="shared" si="71"/>
        <v>38.899682947480258</v>
      </c>
      <c r="W19" s="44">
        <f t="shared" si="71"/>
        <v>31.050088738375983</v>
      </c>
      <c r="X19" s="44">
        <f t="shared" si="71"/>
        <v>24.139056866144042</v>
      </c>
      <c r="Y19" s="44">
        <f t="shared" si="71"/>
        <v>18.172060513005039</v>
      </c>
      <c r="Z19" s="44">
        <f t="shared" si="71"/>
        <v>13.439069141280541</v>
      </c>
      <c r="AA19" s="44">
        <f t="shared" si="71"/>
        <v>9.8025873459767556</v>
      </c>
      <c r="AB19" s="44">
        <f t="shared" si="71"/>
        <v>7.0733848862237982</v>
      </c>
      <c r="AC19" s="44">
        <f t="shared" si="71"/>
        <v>5.0610666448703983</v>
      </c>
      <c r="AD19" s="44">
        <f t="shared" si="71"/>
        <v>3.5967075490386886</v>
      </c>
      <c r="AE19" s="44">
        <f t="shared" si="71"/>
        <v>2.5414972579324755</v>
      </c>
      <c r="AF19" s="44">
        <f t="shared" si="71"/>
        <v>1.7868595476448021</v>
      </c>
      <c r="AG19" s="44">
        <f t="shared" si="71"/>
        <v>1.2500553470753255</v>
      </c>
      <c r="AH19" s="44">
        <f t="shared" si="71"/>
        <v>0.87152845582730742</v>
      </c>
      <c r="AI19" s="44"/>
      <c r="AJ19" s="44">
        <f>AJ11*(1-D205)</f>
        <v>47.052568219026426</v>
      </c>
      <c r="AK19" s="44">
        <f t="shared" ref="AK19:BN19" si="72">AK11*(1-E205)</f>
        <v>50.044381379089494</v>
      </c>
      <c r="AL19" s="44">
        <f t="shared" si="72"/>
        <v>52.950338214931364</v>
      </c>
      <c r="AM19" s="44">
        <f t="shared" si="72"/>
        <v>55.816400601127569</v>
      </c>
      <c r="AN19" s="44">
        <f t="shared" si="72"/>
        <v>58.617803391684141</v>
      </c>
      <c r="AO19" s="44">
        <f t="shared" si="72"/>
        <v>61.325045889077728</v>
      </c>
      <c r="AP19" s="44">
        <f t="shared" si="72"/>
        <v>64.03808072904927</v>
      </c>
      <c r="AQ19" s="44">
        <f t="shared" si="72"/>
        <v>66.720266677806762</v>
      </c>
      <c r="AR19" s="44">
        <f t="shared" si="72"/>
        <v>69.306813267539184</v>
      </c>
      <c r="AS19" s="44">
        <f t="shared" si="72"/>
        <v>71.68631669694571</v>
      </c>
      <c r="AT19" s="44">
        <f t="shared" si="72"/>
        <v>73.67731413807202</v>
      </c>
      <c r="AU19" s="44">
        <f t="shared" si="72"/>
        <v>74.437642708725448</v>
      </c>
      <c r="AV19" s="44">
        <f t="shared" si="72"/>
        <v>74.045796094675339</v>
      </c>
      <c r="AW19" s="44">
        <f t="shared" si="72"/>
        <v>72.12122494037007</v>
      </c>
      <c r="AX19" s="44">
        <f t="shared" si="72"/>
        <v>68.362172390987936</v>
      </c>
      <c r="AY19" s="44">
        <f t="shared" si="72"/>
        <v>62.706249379934107</v>
      </c>
      <c r="AZ19" s="44">
        <f t="shared" si="72"/>
        <v>55.544592077697885</v>
      </c>
      <c r="BA19" s="44">
        <f t="shared" si="72"/>
        <v>47.448742984328149</v>
      </c>
      <c r="BB19" s="44">
        <f t="shared" si="72"/>
        <v>39.140101575034976</v>
      </c>
      <c r="BC19" s="44">
        <f t="shared" si="72"/>
        <v>31.28333470269941</v>
      </c>
      <c r="BD19" s="44">
        <f t="shared" si="72"/>
        <v>24.350898747115227</v>
      </c>
      <c r="BE19" s="44">
        <f t="shared" si="72"/>
        <v>18.352151940545582</v>
      </c>
      <c r="BF19" s="44">
        <f t="shared" si="72"/>
        <v>13.589270886438424</v>
      </c>
      <c r="BG19" s="44">
        <f t="shared" si="72"/>
        <v>9.9243037228281921</v>
      </c>
      <c r="BH19" s="44">
        <f t="shared" si="72"/>
        <v>7.1699409867900332</v>
      </c>
      <c r="BI19" s="44">
        <f t="shared" si="72"/>
        <v>5.1367113215017426</v>
      </c>
      <c r="BJ19" s="44">
        <f t="shared" si="72"/>
        <v>3.6557005771470381</v>
      </c>
      <c r="BK19" s="44">
        <f t="shared" si="72"/>
        <v>2.5875170081064023</v>
      </c>
      <c r="BL19" s="44">
        <f t="shared" si="72"/>
        <v>1.8229694110797672</v>
      </c>
      <c r="BM19" s="44">
        <f t="shared" si="72"/>
        <v>1.2787892313921045</v>
      </c>
      <c r="BN19" s="44">
        <f t="shared" si="72"/>
        <v>0.89491308553572324</v>
      </c>
      <c r="BP19" s="44">
        <f>BP11</f>
        <v>47.05474959821683</v>
      </c>
      <c r="BQ19" s="44">
        <f t="shared" ref="BQ19:CT19" si="73">BQ11</f>
        <v>49.342906184171767</v>
      </c>
      <c r="BR19" s="44">
        <f t="shared" si="73"/>
        <v>51.583686036998493</v>
      </c>
      <c r="BS19" s="44">
        <f t="shared" si="73"/>
        <v>53.761869621828474</v>
      </c>
      <c r="BT19" s="44">
        <f t="shared" si="73"/>
        <v>55.862127103961114</v>
      </c>
      <c r="BU19" s="44">
        <f t="shared" si="73"/>
        <v>57.869182947246216</v>
      </c>
      <c r="BV19" s="44">
        <f t="shared" si="73"/>
        <v>59.909386033918459</v>
      </c>
      <c r="BW19" s="44">
        <f t="shared" si="73"/>
        <v>61.981436444846686</v>
      </c>
      <c r="BX19" s="44">
        <f t="shared" si="73"/>
        <v>64.083936633786934</v>
      </c>
      <c r="BY19" s="44">
        <f t="shared" si="73"/>
        <v>66.215391211862396</v>
      </c>
      <c r="BZ19" s="44">
        <f t="shared" si="73"/>
        <v>68.374206978355019</v>
      </c>
      <c r="CA19" s="44">
        <f t="shared" si="73"/>
        <v>70.44822850497917</v>
      </c>
      <c r="CB19" s="44">
        <f t="shared" si="73"/>
        <v>72.425609108100787</v>
      </c>
      <c r="CC19" s="44">
        <f t="shared" si="73"/>
        <v>74.294709967066154</v>
      </c>
      <c r="CD19" s="44">
        <f t="shared" si="73"/>
        <v>76.04420052080475</v>
      </c>
      <c r="CE19" s="44">
        <f t="shared" si="73"/>
        <v>77.663158671065091</v>
      </c>
      <c r="CF19" s="44">
        <f t="shared" si="73"/>
        <v>79.297500435860499</v>
      </c>
      <c r="CG19" s="44">
        <f t="shared" si="73"/>
        <v>80.946931057264152</v>
      </c>
      <c r="CH19" s="44">
        <f t="shared" si="73"/>
        <v>82.611142437644531</v>
      </c>
      <c r="CI19" s="44">
        <f t="shared" si="73"/>
        <v>84.289813034931029</v>
      </c>
      <c r="CJ19" s="44">
        <f t="shared" si="73"/>
        <v>85.982607763562072</v>
      </c>
      <c r="CK19" s="44">
        <f t="shared" si="73"/>
        <v>87.690239913004589</v>
      </c>
      <c r="CL19" s="44">
        <f t="shared" si="73"/>
        <v>89.412413345202737</v>
      </c>
      <c r="CM19" s="44">
        <f t="shared" si="73"/>
        <v>91.148819508907764</v>
      </c>
      <c r="CN19" s="44">
        <f t="shared" si="73"/>
        <v>92.899137341262588</v>
      </c>
      <c r="CO19" s="44">
        <f t="shared" si="73"/>
        <v>94.663033173772448</v>
      </c>
      <c r="CP19" s="44">
        <f t="shared" si="73"/>
        <v>96.441166638219059</v>
      </c>
      <c r="CQ19" s="44">
        <f t="shared" si="73"/>
        <v>98.233238245623539</v>
      </c>
      <c r="CR19" s="44">
        <f t="shared" si="73"/>
        <v>100.03893683404544</v>
      </c>
      <c r="CS19" s="44">
        <f t="shared" si="73"/>
        <v>101.85793947395628</v>
      </c>
      <c r="CT19" s="44">
        <f t="shared" si="73"/>
        <v>103.68991137696932</v>
      </c>
      <c r="CV19" s="44">
        <f>CV11*(1-D205)</f>
        <v>47.052568219026426</v>
      </c>
      <c r="CW19" s="44">
        <f t="shared" ref="CW19:DZ19" si="74">CW11*(1-E205)</f>
        <v>50.044381379089494</v>
      </c>
      <c r="CX19" s="44">
        <f t="shared" si="74"/>
        <v>52.950338214931364</v>
      </c>
      <c r="CY19" s="44">
        <f t="shared" si="74"/>
        <v>55.816400601127569</v>
      </c>
      <c r="CZ19" s="44">
        <f t="shared" si="74"/>
        <v>58.617803391684141</v>
      </c>
      <c r="DA19" s="44">
        <f t="shared" si="74"/>
        <v>61.325045889077728</v>
      </c>
      <c r="DB19" s="44">
        <f t="shared" si="74"/>
        <v>64.03808072904927</v>
      </c>
      <c r="DC19" s="44">
        <f t="shared" si="74"/>
        <v>66.720266677806762</v>
      </c>
      <c r="DD19" s="44">
        <f t="shared" si="74"/>
        <v>69.306813267539184</v>
      </c>
      <c r="DE19" s="44">
        <f t="shared" si="74"/>
        <v>71.68631669694571</v>
      </c>
      <c r="DF19" s="44">
        <f t="shared" si="74"/>
        <v>73.677314138072006</v>
      </c>
      <c r="DG19" s="44">
        <f t="shared" si="74"/>
        <v>74.437642708725448</v>
      </c>
      <c r="DH19" s="44">
        <f t="shared" si="74"/>
        <v>74.045796094675339</v>
      </c>
      <c r="DI19" s="44">
        <f t="shared" si="74"/>
        <v>72.116120638401071</v>
      </c>
      <c r="DJ19" s="44">
        <f t="shared" si="74"/>
        <v>68.352362090883148</v>
      </c>
      <c r="DK19" s="44">
        <f t="shared" si="74"/>
        <v>62.692557124858745</v>
      </c>
      <c r="DL19" s="44">
        <f t="shared" si="74"/>
        <v>55.528179020292583</v>
      </c>
      <c r="DM19" s="44">
        <f t="shared" si="74"/>
        <v>47.430946582690616</v>
      </c>
      <c r="DN19" s="44">
        <f t="shared" si="74"/>
        <v>39.122206816463958</v>
      </c>
      <c r="DO19" s="44">
        <f t="shared" si="74"/>
        <v>31.266379467262993</v>
      </c>
      <c r="DP19" s="44">
        <f t="shared" si="74"/>
        <v>24.335576591323427</v>
      </c>
      <c r="DQ19" s="44">
        <f t="shared" si="74"/>
        <v>18.338815991385548</v>
      </c>
      <c r="DR19" s="44">
        <f t="shared" si="74"/>
        <v>13.578002325337343</v>
      </c>
      <c r="DS19" s="44">
        <f t="shared" si="74"/>
        <v>9.9128941035274512</v>
      </c>
      <c r="DT19" s="44">
        <f t="shared" si="74"/>
        <v>7.1592687229642138</v>
      </c>
      <c r="DU19" s="44">
        <f t="shared" si="74"/>
        <v>5.1272211403190262</v>
      </c>
      <c r="DV19" s="44">
        <f t="shared" si="74"/>
        <v>3.6475516217154129</v>
      </c>
      <c r="DW19" s="44">
        <f t="shared" si="74"/>
        <v>2.5806958433402842</v>
      </c>
      <c r="DX19" s="44">
        <f t="shared" si="74"/>
        <v>1.8173688023732595</v>
      </c>
      <c r="DY19" s="44">
        <f t="shared" si="74"/>
        <v>1.2742594398321285</v>
      </c>
      <c r="DZ19" s="44">
        <f t="shared" si="74"/>
        <v>0.89129314864822784</v>
      </c>
    </row>
    <row r="20" spans="1:165" s="82" customFormat="1" ht="16" thickBot="1">
      <c r="A20" s="607" t="s">
        <v>457</v>
      </c>
      <c r="C20" s="170" t="s">
        <v>153</v>
      </c>
      <c r="D20" s="604">
        <f>D11*D205</f>
        <v>2.1686880147632421E-3</v>
      </c>
      <c r="E20" s="604">
        <f t="shared" ref="E20:AH20" si="75">E11*E205</f>
        <v>4.4667372354030175E-3</v>
      </c>
      <c r="F20" s="604">
        <f t="shared" si="75"/>
        <v>9.1367886580026002E-3</v>
      </c>
      <c r="G20" s="604">
        <f t="shared" si="75"/>
        <v>1.8576061289111753E-2</v>
      </c>
      <c r="H20" s="604">
        <f t="shared" si="75"/>
        <v>3.7503039687898712E-2</v>
      </c>
      <c r="I20" s="604">
        <f t="shared" si="75"/>
        <v>7.5085938797994245E-2</v>
      </c>
      <c r="J20" s="604">
        <f t="shared" si="75"/>
        <v>0.14913023731454109</v>
      </c>
      <c r="K20" s="604">
        <f t="shared" si="75"/>
        <v>0.29308188913501504</v>
      </c>
      <c r="L20" s="604">
        <f t="shared" si="75"/>
        <v>0.56800526093685089</v>
      </c>
      <c r="M20" s="604">
        <f t="shared" si="75"/>
        <v>1.0807481441229239</v>
      </c>
      <c r="N20" s="604">
        <f t="shared" si="75"/>
        <v>2.0075652344595709</v>
      </c>
      <c r="O20" s="604">
        <f t="shared" si="75"/>
        <v>3.5889492656709874</v>
      </c>
      <c r="P20" s="604">
        <f t="shared" si="75"/>
        <v>6.1650234046472843</v>
      </c>
      <c r="Q20" s="604">
        <f t="shared" si="75"/>
        <v>10.098277066340243</v>
      </c>
      <c r="R20" s="604">
        <f t="shared" si="75"/>
        <v>15.663170158579737</v>
      </c>
      <c r="S20" s="604">
        <f t="shared" si="75"/>
        <v>22.893342297524569</v>
      </c>
      <c r="T20" s="604">
        <f t="shared" si="75"/>
        <v>31.535077928378882</v>
      </c>
      <c r="U20" s="604">
        <f t="shared" si="75"/>
        <v>41.015643616266182</v>
      </c>
      <c r="V20" s="604">
        <f t="shared" si="75"/>
        <v>50.620076408339102</v>
      </c>
      <c r="W20" s="604">
        <f t="shared" si="75"/>
        <v>59.697269713048108</v>
      </c>
      <c r="X20" s="604">
        <f t="shared" si="75"/>
        <v>67.835613836329955</v>
      </c>
      <c r="Y20" s="604">
        <f t="shared" si="75"/>
        <v>74.039379496620327</v>
      </c>
      <c r="Z20" s="604">
        <f t="shared" si="75"/>
        <v>78.910960715034463</v>
      </c>
      <c r="AA20" s="604">
        <f t="shared" si="75"/>
        <v>82.586710548529837</v>
      </c>
      <c r="AB20" s="604">
        <f t="shared" si="75"/>
        <v>85.234993407384053</v>
      </c>
      <c r="AC20" s="604">
        <f t="shared" si="75"/>
        <v>87.028829392456728</v>
      </c>
      <c r="AD20" s="604">
        <f t="shared" si="75"/>
        <v>88.114872877840881</v>
      </c>
      <c r="AE20" s="604">
        <f t="shared" si="75"/>
        <v>88.604042752409498</v>
      </c>
      <c r="AF20" s="604">
        <f t="shared" si="75"/>
        <v>88.576221470847045</v>
      </c>
      <c r="AG20" s="604">
        <f t="shared" si="75"/>
        <v>88.057447034922504</v>
      </c>
      <c r="AH20" s="604">
        <f t="shared" si="75"/>
        <v>87.206699989834775</v>
      </c>
      <c r="AI20" s="604"/>
      <c r="AJ20" s="604">
        <f t="shared" ref="AJ20:BN20" si="76">AJ11*D205</f>
        <v>2.1686884884129171E-3</v>
      </c>
      <c r="AK20" s="604">
        <f t="shared" si="76"/>
        <v>4.4667393072718642E-3</v>
      </c>
      <c r="AL20" s="604">
        <f t="shared" si="76"/>
        <v>9.1367974017681208E-3</v>
      </c>
      <c r="AM20" s="604">
        <f t="shared" si="76"/>
        <v>1.8576097816415983E-2</v>
      </c>
      <c r="AN20" s="604">
        <f t="shared" si="76"/>
        <v>3.7503190461542837E-2</v>
      </c>
      <c r="AO20" s="604">
        <f t="shared" si="76"/>
        <v>7.5086552121013006E-2</v>
      </c>
      <c r="AP20" s="604">
        <f t="shared" si="76"/>
        <v>0.14913269236237348</v>
      </c>
      <c r="AQ20" s="604">
        <f t="shared" si="76"/>
        <v>0.29309151100572983</v>
      </c>
      <c r="AR20" s="604">
        <f t="shared" si="76"/>
        <v>0.56804193519280943</v>
      </c>
      <c r="AS20" s="604">
        <f t="shared" si="76"/>
        <v>1.0808828972336744</v>
      </c>
      <c r="AT20" s="604">
        <f t="shared" si="76"/>
        <v>2.0080393018078619</v>
      </c>
      <c r="AU20" s="604">
        <f t="shared" si="76"/>
        <v>3.5904436134958106</v>
      </c>
      <c r="AV20" s="604">
        <f t="shared" si="76"/>
        <v>6.1694018358301195</v>
      </c>
      <c r="AW20" s="604">
        <f t="shared" si="76"/>
        <v>10.109499380385465</v>
      </c>
      <c r="AX20" s="604">
        <f t="shared" si="76"/>
        <v>15.689769356060694</v>
      </c>
      <c r="AY20" s="604">
        <f t="shared" si="76"/>
        <v>22.95139845252811</v>
      </c>
      <c r="AZ20" s="604">
        <f t="shared" si="76"/>
        <v>31.64891032623704</v>
      </c>
      <c r="BA20" s="604">
        <f t="shared" si="76"/>
        <v>41.214636880232788</v>
      </c>
      <c r="BB20" s="604">
        <f t="shared" si="76"/>
        <v>50.932932667688036</v>
      </c>
      <c r="BC20" s="604">
        <f t="shared" si="76"/>
        <v>60.145711176743063</v>
      </c>
      <c r="BD20" s="604">
        <f t="shared" si="76"/>
        <v>68.430932208195514</v>
      </c>
      <c r="BE20" s="604">
        <f t="shared" si="76"/>
        <v>74.773135447863169</v>
      </c>
      <c r="BF20" s="604">
        <f t="shared" si="76"/>
        <v>79.792909002291651</v>
      </c>
      <c r="BG20" s="604">
        <f t="shared" si="76"/>
        <v>83.612169932798523</v>
      </c>
      <c r="BH20" s="604">
        <f t="shared" si="76"/>
        <v>86.398504050108215</v>
      </c>
      <c r="BI20" s="604">
        <f t="shared" si="76"/>
        <v>88.329596230543956</v>
      </c>
      <c r="BJ20" s="604">
        <f t="shared" si="76"/>
        <v>89.560128879773927</v>
      </c>
      <c r="BK20" s="604">
        <f t="shared" si="76"/>
        <v>90.208426113099378</v>
      </c>
      <c r="BL20" s="604">
        <f t="shared" si="76"/>
        <v>90.366219607585492</v>
      </c>
      <c r="BM20" s="604">
        <f t="shared" si="76"/>
        <v>90.081543409736781</v>
      </c>
      <c r="BN20" s="604">
        <f t="shared" si="76"/>
        <v>89.546607968420943</v>
      </c>
      <c r="BP20" s="82">
        <v>0</v>
      </c>
      <c r="BQ20" s="82">
        <v>0</v>
      </c>
      <c r="BR20" s="82">
        <v>0</v>
      </c>
      <c r="BS20" s="82">
        <v>0</v>
      </c>
      <c r="BT20" s="82">
        <v>0</v>
      </c>
      <c r="BU20" s="82">
        <v>0</v>
      </c>
      <c r="BV20" s="82">
        <v>0</v>
      </c>
      <c r="BW20" s="82">
        <v>0</v>
      </c>
      <c r="BX20" s="82">
        <v>0</v>
      </c>
      <c r="BY20" s="82">
        <v>0</v>
      </c>
      <c r="BZ20" s="82">
        <v>0</v>
      </c>
      <c r="CA20" s="82">
        <v>0</v>
      </c>
      <c r="CB20" s="82">
        <v>0</v>
      </c>
      <c r="CC20" s="82">
        <v>0</v>
      </c>
      <c r="CD20" s="82">
        <v>0</v>
      </c>
      <c r="CE20" s="82">
        <v>0</v>
      </c>
      <c r="CF20" s="82">
        <v>0</v>
      </c>
      <c r="CG20" s="82">
        <v>0</v>
      </c>
      <c r="CH20" s="82">
        <v>0</v>
      </c>
      <c r="CI20" s="82">
        <v>0</v>
      </c>
      <c r="CJ20" s="82">
        <v>0</v>
      </c>
      <c r="CK20" s="82">
        <v>0</v>
      </c>
      <c r="CL20" s="82">
        <v>0</v>
      </c>
      <c r="CM20" s="82">
        <v>0</v>
      </c>
      <c r="CN20" s="82">
        <v>0</v>
      </c>
      <c r="CO20" s="82">
        <v>0</v>
      </c>
      <c r="CP20" s="82">
        <v>0</v>
      </c>
      <c r="CQ20" s="82">
        <v>0</v>
      </c>
      <c r="CR20" s="82">
        <v>0</v>
      </c>
      <c r="CS20" s="82">
        <v>0</v>
      </c>
      <c r="CT20" s="82">
        <v>0</v>
      </c>
      <c r="CV20" s="604">
        <f>CV11*D205</f>
        <v>2.1686884884129171E-3</v>
      </c>
      <c r="CW20" s="604">
        <f t="shared" ref="CW20:DZ20" si="77">CW11*E205</f>
        <v>4.4667393072718642E-3</v>
      </c>
      <c r="CX20" s="604">
        <f t="shared" si="77"/>
        <v>9.1367974017681208E-3</v>
      </c>
      <c r="CY20" s="604">
        <f t="shared" si="77"/>
        <v>1.8576097816415983E-2</v>
      </c>
      <c r="CZ20" s="604">
        <f t="shared" si="77"/>
        <v>3.7503190461542837E-2</v>
      </c>
      <c r="DA20" s="604">
        <f t="shared" si="77"/>
        <v>7.5086552121013006E-2</v>
      </c>
      <c r="DB20" s="604">
        <f t="shared" si="77"/>
        <v>0.14913269236237348</v>
      </c>
      <c r="DC20" s="604">
        <f t="shared" si="77"/>
        <v>0.29309151100572983</v>
      </c>
      <c r="DD20" s="604">
        <f t="shared" si="77"/>
        <v>0.56804193519280943</v>
      </c>
      <c r="DE20" s="604">
        <f t="shared" si="77"/>
        <v>1.0808828972336744</v>
      </c>
      <c r="DF20" s="604">
        <f t="shared" si="77"/>
        <v>2.0080393018078619</v>
      </c>
      <c r="DG20" s="604">
        <f t="shared" si="77"/>
        <v>3.5904436134958106</v>
      </c>
      <c r="DH20" s="604">
        <f t="shared" si="77"/>
        <v>6.1694018358301195</v>
      </c>
      <c r="DI20" s="604">
        <f t="shared" si="77"/>
        <v>10.108783891461982</v>
      </c>
      <c r="DJ20" s="604">
        <f t="shared" si="77"/>
        <v>15.68751779879482</v>
      </c>
      <c r="DK20" s="604">
        <f t="shared" si="77"/>
        <v>22.946386888209467</v>
      </c>
      <c r="DL20" s="604">
        <f t="shared" si="77"/>
        <v>31.639558283804661</v>
      </c>
      <c r="DM20" s="604">
        <f t="shared" si="77"/>
        <v>41.199178678705543</v>
      </c>
      <c r="DN20" s="604">
        <f t="shared" si="77"/>
        <v>50.909646255626612</v>
      </c>
      <c r="DO20" s="604">
        <f t="shared" si="77"/>
        <v>60.11311283953944</v>
      </c>
      <c r="DP20" s="604">
        <f t="shared" si="77"/>
        <v>68.387873862991881</v>
      </c>
      <c r="DQ20" s="604">
        <f t="shared" si="77"/>
        <v>74.71880009056558</v>
      </c>
      <c r="DR20" s="604">
        <f t="shared" si="77"/>
        <v>79.726742739359722</v>
      </c>
      <c r="DS20" s="604">
        <f t="shared" si="77"/>
        <v>83.51604399243179</v>
      </c>
      <c r="DT20" s="604">
        <f t="shared" si="77"/>
        <v>86.269902206511787</v>
      </c>
      <c r="DU20" s="604">
        <f t="shared" si="77"/>
        <v>88.166405461283645</v>
      </c>
      <c r="DV20" s="604">
        <f t="shared" si="77"/>
        <v>89.360489581289201</v>
      </c>
      <c r="DW20" s="604">
        <f t="shared" si="77"/>
        <v>89.970620318632385</v>
      </c>
      <c r="DX20" s="604">
        <f t="shared" si="77"/>
        <v>90.088592438839612</v>
      </c>
      <c r="DY20" s="604">
        <f t="shared" si="77"/>
        <v>89.762452034058853</v>
      </c>
      <c r="DZ20" s="604">
        <f t="shared" si="77"/>
        <v>89.184390592706819</v>
      </c>
      <c r="EK20" s="614"/>
      <c r="EL20" s="614"/>
      <c r="EM20" s="614"/>
      <c r="EN20" s="614"/>
      <c r="EO20" s="614"/>
      <c r="EP20" s="614"/>
      <c r="EQ20" s="614"/>
      <c r="ER20" s="614"/>
      <c r="ES20" s="614"/>
      <c r="ET20" s="614"/>
      <c r="EU20" s="614"/>
      <c r="EV20" s="614"/>
      <c r="EW20" s="614"/>
      <c r="EX20" s="614"/>
      <c r="EY20" s="614"/>
      <c r="EZ20" s="614"/>
      <c r="FA20" s="614"/>
      <c r="FB20" s="614"/>
      <c r="FC20" s="614"/>
      <c r="FD20" s="614"/>
      <c r="FE20" s="614"/>
      <c r="FF20" s="614"/>
      <c r="FG20" s="614"/>
      <c r="FH20" s="614"/>
      <c r="FI20" s="614"/>
    </row>
    <row r="21" spans="1:165">
      <c r="A21" s="112"/>
      <c r="C21" s="5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row>
    <row r="22" spans="1:165" s="69" customFormat="1" ht="16" thickBot="1">
      <c r="A22" s="621" t="s">
        <v>4</v>
      </c>
      <c r="C22" s="70"/>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1"/>
      <c r="DV22" s="71"/>
      <c r="DW22" s="71"/>
      <c r="DX22" s="71"/>
      <c r="DY22" s="71"/>
      <c r="DZ22" s="71"/>
      <c r="EK22" s="622"/>
      <c r="EL22" s="622"/>
      <c r="EM22" s="622"/>
      <c r="EN22" s="622"/>
      <c r="EO22" s="622"/>
      <c r="EP22" s="622"/>
      <c r="EQ22" s="622"/>
      <c r="ER22" s="622"/>
      <c r="ES22" s="622"/>
      <c r="ET22" s="622"/>
      <c r="EU22" s="622"/>
      <c r="EV22" s="622"/>
      <c r="EW22" s="622"/>
      <c r="EX22" s="622"/>
      <c r="EY22" s="622"/>
      <c r="EZ22" s="622"/>
      <c r="FA22" s="622"/>
      <c r="FB22" s="622"/>
      <c r="FC22" s="622"/>
      <c r="FD22" s="622"/>
      <c r="FE22" s="622"/>
      <c r="FF22" s="622"/>
      <c r="FG22" s="622"/>
      <c r="FH22" s="622"/>
      <c r="FI22" s="622"/>
    </row>
    <row r="23" spans="1:165" s="624" customFormat="1" ht="16" thickBot="1">
      <c r="A23" s="623" t="s">
        <v>108</v>
      </c>
      <c r="C23" s="625"/>
      <c r="D23" s="628">
        <v>2020</v>
      </c>
      <c r="E23" s="628">
        <v>2021</v>
      </c>
      <c r="F23" s="628">
        <v>2022</v>
      </c>
      <c r="G23" s="628">
        <v>2023</v>
      </c>
      <c r="H23" s="628">
        <v>2024</v>
      </c>
      <c r="I23" s="628">
        <v>2025</v>
      </c>
      <c r="J23" s="628">
        <v>2026</v>
      </c>
      <c r="K23" s="628">
        <v>2027</v>
      </c>
      <c r="L23" s="628">
        <v>2028</v>
      </c>
      <c r="M23" s="628">
        <v>2029</v>
      </c>
      <c r="N23" s="628">
        <v>2030</v>
      </c>
      <c r="O23" s="628">
        <v>2031</v>
      </c>
      <c r="P23" s="628">
        <v>2032</v>
      </c>
      <c r="Q23" s="628">
        <v>2033</v>
      </c>
      <c r="R23" s="628">
        <v>2034</v>
      </c>
      <c r="S23" s="628">
        <v>2035</v>
      </c>
      <c r="T23" s="628">
        <v>2036</v>
      </c>
      <c r="U23" s="628">
        <v>2037</v>
      </c>
      <c r="V23" s="628">
        <v>2038</v>
      </c>
      <c r="W23" s="628">
        <v>2039</v>
      </c>
      <c r="X23" s="628">
        <v>2040</v>
      </c>
      <c r="Y23" s="628">
        <v>2041</v>
      </c>
      <c r="Z23" s="628">
        <v>2042</v>
      </c>
      <c r="AA23" s="628">
        <v>2043</v>
      </c>
      <c r="AB23" s="628">
        <v>2044</v>
      </c>
      <c r="AC23" s="628">
        <v>2045</v>
      </c>
      <c r="AD23" s="628">
        <v>2046</v>
      </c>
      <c r="AE23" s="628">
        <v>2047</v>
      </c>
      <c r="AF23" s="628">
        <v>2048</v>
      </c>
      <c r="AG23" s="628">
        <v>2049</v>
      </c>
      <c r="AH23" s="628">
        <v>2050</v>
      </c>
      <c r="AI23" s="626"/>
      <c r="AJ23" s="628">
        <v>2020</v>
      </c>
      <c r="AK23" s="628">
        <v>2021</v>
      </c>
      <c r="AL23" s="628">
        <v>2022</v>
      </c>
      <c r="AM23" s="628">
        <v>2023</v>
      </c>
      <c r="AN23" s="628">
        <v>2024</v>
      </c>
      <c r="AO23" s="628">
        <v>2025</v>
      </c>
      <c r="AP23" s="628">
        <v>2026</v>
      </c>
      <c r="AQ23" s="628">
        <v>2027</v>
      </c>
      <c r="AR23" s="628">
        <v>2028</v>
      </c>
      <c r="AS23" s="628">
        <v>2029</v>
      </c>
      <c r="AT23" s="628">
        <v>2030</v>
      </c>
      <c r="AU23" s="628">
        <v>2031</v>
      </c>
      <c r="AV23" s="628">
        <v>2032</v>
      </c>
      <c r="AW23" s="628">
        <v>2033</v>
      </c>
      <c r="AX23" s="628">
        <v>2034</v>
      </c>
      <c r="AY23" s="628">
        <v>2035</v>
      </c>
      <c r="AZ23" s="628">
        <v>2036</v>
      </c>
      <c r="BA23" s="628">
        <v>2037</v>
      </c>
      <c r="BB23" s="628">
        <v>2038</v>
      </c>
      <c r="BC23" s="628">
        <v>2039</v>
      </c>
      <c r="BD23" s="628">
        <v>2040</v>
      </c>
      <c r="BE23" s="628">
        <v>2041</v>
      </c>
      <c r="BF23" s="628">
        <v>2042</v>
      </c>
      <c r="BG23" s="628">
        <v>2043</v>
      </c>
      <c r="BH23" s="628">
        <v>2044</v>
      </c>
      <c r="BI23" s="628">
        <v>2045</v>
      </c>
      <c r="BJ23" s="628">
        <v>2046</v>
      </c>
      <c r="BK23" s="628">
        <v>2047</v>
      </c>
      <c r="BL23" s="628">
        <v>2048</v>
      </c>
      <c r="BM23" s="628">
        <v>2049</v>
      </c>
      <c r="BN23" s="628">
        <v>2050</v>
      </c>
      <c r="BP23" s="628">
        <v>2020</v>
      </c>
      <c r="BQ23" s="628">
        <v>2021</v>
      </c>
      <c r="BR23" s="628">
        <v>2022</v>
      </c>
      <c r="BS23" s="628">
        <v>2023</v>
      </c>
      <c r="BT23" s="628">
        <v>2024</v>
      </c>
      <c r="BU23" s="628">
        <v>2025</v>
      </c>
      <c r="BV23" s="628">
        <v>2026</v>
      </c>
      <c r="BW23" s="628">
        <v>2027</v>
      </c>
      <c r="BX23" s="628">
        <v>2028</v>
      </c>
      <c r="BY23" s="628">
        <v>2029</v>
      </c>
      <c r="BZ23" s="628">
        <v>2030</v>
      </c>
      <c r="CA23" s="628">
        <v>2031</v>
      </c>
      <c r="CB23" s="628">
        <v>2032</v>
      </c>
      <c r="CC23" s="628">
        <v>2033</v>
      </c>
      <c r="CD23" s="628">
        <v>2034</v>
      </c>
      <c r="CE23" s="628">
        <v>2035</v>
      </c>
      <c r="CF23" s="628">
        <v>2036</v>
      </c>
      <c r="CG23" s="628">
        <v>2037</v>
      </c>
      <c r="CH23" s="628">
        <v>2038</v>
      </c>
      <c r="CI23" s="628">
        <v>2039</v>
      </c>
      <c r="CJ23" s="628">
        <v>2040</v>
      </c>
      <c r="CK23" s="628">
        <v>2041</v>
      </c>
      <c r="CL23" s="628">
        <v>2042</v>
      </c>
      <c r="CM23" s="628">
        <v>2043</v>
      </c>
      <c r="CN23" s="628">
        <v>2044</v>
      </c>
      <c r="CO23" s="628">
        <v>2045</v>
      </c>
      <c r="CP23" s="628">
        <v>2046</v>
      </c>
      <c r="CQ23" s="628">
        <v>2047</v>
      </c>
      <c r="CR23" s="628">
        <v>2048</v>
      </c>
      <c r="CS23" s="628">
        <v>2049</v>
      </c>
      <c r="CT23" s="628">
        <v>2050</v>
      </c>
      <c r="CV23" s="628">
        <v>2020</v>
      </c>
      <c r="CW23" s="628">
        <v>2021</v>
      </c>
      <c r="CX23" s="628">
        <v>2022</v>
      </c>
      <c r="CY23" s="628">
        <v>2023</v>
      </c>
      <c r="CZ23" s="628">
        <v>2024</v>
      </c>
      <c r="DA23" s="628">
        <v>2025</v>
      </c>
      <c r="DB23" s="628">
        <v>2026</v>
      </c>
      <c r="DC23" s="628">
        <v>2027</v>
      </c>
      <c r="DD23" s="628">
        <v>2028</v>
      </c>
      <c r="DE23" s="628">
        <v>2029</v>
      </c>
      <c r="DF23" s="628">
        <v>2030</v>
      </c>
      <c r="DG23" s="628">
        <v>2031</v>
      </c>
      <c r="DH23" s="628">
        <v>2032</v>
      </c>
      <c r="DI23" s="628">
        <v>2033</v>
      </c>
      <c r="DJ23" s="628">
        <v>2034</v>
      </c>
      <c r="DK23" s="628">
        <v>2035</v>
      </c>
      <c r="DL23" s="628">
        <v>2036</v>
      </c>
      <c r="DM23" s="628">
        <v>2037</v>
      </c>
      <c r="DN23" s="628">
        <v>2038</v>
      </c>
      <c r="DO23" s="628">
        <v>2039</v>
      </c>
      <c r="DP23" s="628">
        <v>2040</v>
      </c>
      <c r="DQ23" s="628">
        <v>2041</v>
      </c>
      <c r="DR23" s="628">
        <v>2042</v>
      </c>
      <c r="DS23" s="628">
        <v>2043</v>
      </c>
      <c r="DT23" s="628">
        <v>2044</v>
      </c>
      <c r="DU23" s="628">
        <v>2045</v>
      </c>
      <c r="DV23" s="628">
        <v>2046</v>
      </c>
      <c r="DW23" s="628">
        <v>2047</v>
      </c>
      <c r="DX23" s="628">
        <v>2048</v>
      </c>
      <c r="DY23" s="628">
        <v>2049</v>
      </c>
      <c r="DZ23" s="628">
        <v>2050</v>
      </c>
      <c r="EK23" s="627"/>
      <c r="EL23" s="627"/>
      <c r="EM23" s="627"/>
      <c r="EN23" s="627"/>
      <c r="EO23" s="627"/>
      <c r="EP23" s="627"/>
      <c r="EQ23" s="627"/>
      <c r="ER23" s="627"/>
      <c r="ES23" s="627"/>
      <c r="ET23" s="627"/>
      <c r="EU23" s="627"/>
      <c r="EV23" s="627"/>
      <c r="EW23" s="627"/>
      <c r="EX23" s="627"/>
      <c r="EY23" s="627"/>
      <c r="EZ23" s="627"/>
      <c r="FA23" s="627"/>
      <c r="FB23" s="627"/>
      <c r="FC23" s="627"/>
      <c r="FD23" s="627"/>
      <c r="FE23" s="627"/>
      <c r="FF23" s="627"/>
      <c r="FG23" s="627"/>
      <c r="FH23" s="627"/>
      <c r="FI23" s="627"/>
    </row>
    <row r="24" spans="1:165">
      <c r="A24" s="606" t="s">
        <v>193</v>
      </c>
      <c r="C24" s="54" t="s">
        <v>458</v>
      </c>
      <c r="D24" s="43">
        <f>$B$186</f>
        <v>0.48</v>
      </c>
      <c r="E24" s="43">
        <f>D24-($D24-$AH24)/30</f>
        <v>0.46399999999999997</v>
      </c>
      <c r="F24" s="43">
        <f t="shared" ref="F24:AG24" si="78">E24-($D24-$AH24)/30</f>
        <v>0.44799999999999995</v>
      </c>
      <c r="G24" s="43">
        <f t="shared" si="78"/>
        <v>0.43199999999999994</v>
      </c>
      <c r="H24" s="43">
        <f t="shared" si="78"/>
        <v>0.41599999999999993</v>
      </c>
      <c r="I24" s="43">
        <f t="shared" si="78"/>
        <v>0.39999999999999991</v>
      </c>
      <c r="J24" s="43">
        <f t="shared" si="78"/>
        <v>0.3839999999999999</v>
      </c>
      <c r="K24" s="43">
        <f t="shared" si="78"/>
        <v>0.36799999999999988</v>
      </c>
      <c r="L24" s="43">
        <f t="shared" si="78"/>
        <v>0.35199999999999987</v>
      </c>
      <c r="M24" s="43">
        <f t="shared" si="78"/>
        <v>0.33599999999999985</v>
      </c>
      <c r="N24" s="43">
        <f t="shared" si="78"/>
        <v>0.31999999999999984</v>
      </c>
      <c r="O24" s="43">
        <f t="shared" si="78"/>
        <v>0.30399999999999983</v>
      </c>
      <c r="P24" s="43">
        <f t="shared" si="78"/>
        <v>0.28799999999999981</v>
      </c>
      <c r="Q24" s="43">
        <f t="shared" si="78"/>
        <v>0.2719999999999998</v>
      </c>
      <c r="R24" s="43">
        <f t="shared" si="78"/>
        <v>0.25599999999999978</v>
      </c>
      <c r="S24" s="43">
        <f t="shared" si="78"/>
        <v>0.23999999999999977</v>
      </c>
      <c r="T24" s="43">
        <f t="shared" si="78"/>
        <v>0.22399999999999975</v>
      </c>
      <c r="U24" s="43">
        <f t="shared" si="78"/>
        <v>0.20799999999999974</v>
      </c>
      <c r="V24" s="43">
        <f t="shared" si="78"/>
        <v>0.19199999999999973</v>
      </c>
      <c r="W24" s="43">
        <f t="shared" si="78"/>
        <v>0.17599999999999971</v>
      </c>
      <c r="X24" s="43">
        <f t="shared" si="78"/>
        <v>0.1599999999999997</v>
      </c>
      <c r="Y24" s="43">
        <f t="shared" si="78"/>
        <v>0.14399999999999968</v>
      </c>
      <c r="Z24" s="43">
        <f t="shared" si="78"/>
        <v>0.12799999999999967</v>
      </c>
      <c r="AA24" s="43">
        <f t="shared" si="78"/>
        <v>0.11199999999999967</v>
      </c>
      <c r="AB24" s="43">
        <f t="shared" si="78"/>
        <v>9.5999999999999669E-2</v>
      </c>
      <c r="AC24" s="43">
        <f t="shared" si="78"/>
        <v>7.9999999999999669E-2</v>
      </c>
      <c r="AD24" s="43">
        <f t="shared" si="78"/>
        <v>6.3999999999999668E-2</v>
      </c>
      <c r="AE24" s="43">
        <f t="shared" si="78"/>
        <v>4.7999999999999668E-2</v>
      </c>
      <c r="AF24" s="43">
        <f t="shared" si="78"/>
        <v>3.1999999999999668E-2</v>
      </c>
      <c r="AG24" s="43">
        <f t="shared" si="78"/>
        <v>1.5999999999999667E-2</v>
      </c>
      <c r="AH24" s="43">
        <f>$C$186</f>
        <v>0</v>
      </c>
      <c r="AI24" s="44"/>
      <c r="AJ24" s="43">
        <f>D24</f>
        <v>0.48</v>
      </c>
      <c r="AK24" s="43">
        <f t="shared" ref="AK24:BN24" si="79">E24</f>
        <v>0.46399999999999997</v>
      </c>
      <c r="AL24" s="43">
        <f t="shared" si="79"/>
        <v>0.44799999999999995</v>
      </c>
      <c r="AM24" s="43">
        <f t="shared" si="79"/>
        <v>0.43199999999999994</v>
      </c>
      <c r="AN24" s="43">
        <f t="shared" si="79"/>
        <v>0.41599999999999993</v>
      </c>
      <c r="AO24" s="43">
        <f t="shared" si="79"/>
        <v>0.39999999999999991</v>
      </c>
      <c r="AP24" s="43">
        <f t="shared" si="79"/>
        <v>0.3839999999999999</v>
      </c>
      <c r="AQ24" s="43">
        <f t="shared" si="79"/>
        <v>0.36799999999999988</v>
      </c>
      <c r="AR24" s="43">
        <f t="shared" si="79"/>
        <v>0.35199999999999987</v>
      </c>
      <c r="AS24" s="43">
        <f t="shared" si="79"/>
        <v>0.33599999999999985</v>
      </c>
      <c r="AT24" s="43">
        <f t="shared" si="79"/>
        <v>0.31999999999999984</v>
      </c>
      <c r="AU24" s="43">
        <f t="shared" si="79"/>
        <v>0.30399999999999983</v>
      </c>
      <c r="AV24" s="43">
        <f t="shared" si="79"/>
        <v>0.28799999999999981</v>
      </c>
      <c r="AW24" s="43">
        <f t="shared" si="79"/>
        <v>0.2719999999999998</v>
      </c>
      <c r="AX24" s="43">
        <f t="shared" si="79"/>
        <v>0.25599999999999978</v>
      </c>
      <c r="AY24" s="43">
        <f t="shared" si="79"/>
        <v>0.23999999999999977</v>
      </c>
      <c r="AZ24" s="43">
        <f t="shared" si="79"/>
        <v>0.22399999999999975</v>
      </c>
      <c r="BA24" s="43">
        <f t="shared" si="79"/>
        <v>0.20799999999999974</v>
      </c>
      <c r="BB24" s="43">
        <f t="shared" si="79"/>
        <v>0.19199999999999973</v>
      </c>
      <c r="BC24" s="43">
        <f t="shared" si="79"/>
        <v>0.17599999999999971</v>
      </c>
      <c r="BD24" s="43">
        <f t="shared" si="79"/>
        <v>0.1599999999999997</v>
      </c>
      <c r="BE24" s="43">
        <f t="shared" si="79"/>
        <v>0.14399999999999968</v>
      </c>
      <c r="BF24" s="43">
        <f t="shared" si="79"/>
        <v>0.12799999999999967</v>
      </c>
      <c r="BG24" s="43">
        <f t="shared" si="79"/>
        <v>0.11199999999999967</v>
      </c>
      <c r="BH24" s="43">
        <f t="shared" si="79"/>
        <v>9.5999999999999669E-2</v>
      </c>
      <c r="BI24" s="43">
        <f t="shared" si="79"/>
        <v>7.9999999999999669E-2</v>
      </c>
      <c r="BJ24" s="43">
        <f t="shared" si="79"/>
        <v>6.3999999999999668E-2</v>
      </c>
      <c r="BK24" s="43">
        <f t="shared" si="79"/>
        <v>4.7999999999999668E-2</v>
      </c>
      <c r="BL24" s="43">
        <f t="shared" si="79"/>
        <v>3.1999999999999668E-2</v>
      </c>
      <c r="BM24" s="43">
        <f t="shared" si="79"/>
        <v>1.5999999999999667E-2</v>
      </c>
      <c r="BN24" s="43">
        <f t="shared" si="79"/>
        <v>0</v>
      </c>
      <c r="BP24" s="43">
        <f>D24</f>
        <v>0.48</v>
      </c>
      <c r="BQ24" s="43">
        <f>BP24-($BP24-$CT24)/30</f>
        <v>0.48</v>
      </c>
      <c r="BR24" s="43">
        <f t="shared" ref="BR24:CS24" si="80">BQ24-($BP24-$CT24)/30</f>
        <v>0.48</v>
      </c>
      <c r="BS24" s="43">
        <f t="shared" si="80"/>
        <v>0.48</v>
      </c>
      <c r="BT24" s="43">
        <f t="shared" si="80"/>
        <v>0.48</v>
      </c>
      <c r="BU24" s="43">
        <f t="shared" si="80"/>
        <v>0.48</v>
      </c>
      <c r="BV24" s="43">
        <f t="shared" si="80"/>
        <v>0.48</v>
      </c>
      <c r="BW24" s="43">
        <f t="shared" si="80"/>
        <v>0.48</v>
      </c>
      <c r="BX24" s="43">
        <f t="shared" si="80"/>
        <v>0.48</v>
      </c>
      <c r="BY24" s="43">
        <f t="shared" si="80"/>
        <v>0.48</v>
      </c>
      <c r="BZ24" s="43">
        <f t="shared" si="80"/>
        <v>0.48</v>
      </c>
      <c r="CA24" s="43">
        <f t="shared" si="80"/>
        <v>0.48</v>
      </c>
      <c r="CB24" s="43">
        <f t="shared" si="80"/>
        <v>0.48</v>
      </c>
      <c r="CC24" s="43">
        <f t="shared" si="80"/>
        <v>0.48</v>
      </c>
      <c r="CD24" s="43">
        <f t="shared" si="80"/>
        <v>0.48</v>
      </c>
      <c r="CE24" s="43">
        <f t="shared" si="80"/>
        <v>0.48</v>
      </c>
      <c r="CF24" s="43">
        <f t="shared" si="80"/>
        <v>0.48</v>
      </c>
      <c r="CG24" s="43">
        <f t="shared" si="80"/>
        <v>0.48</v>
      </c>
      <c r="CH24" s="43">
        <f t="shared" si="80"/>
        <v>0.48</v>
      </c>
      <c r="CI24" s="43">
        <f t="shared" si="80"/>
        <v>0.48</v>
      </c>
      <c r="CJ24" s="43">
        <f t="shared" si="80"/>
        <v>0.48</v>
      </c>
      <c r="CK24" s="43">
        <f t="shared" si="80"/>
        <v>0.48</v>
      </c>
      <c r="CL24" s="43">
        <f t="shared" si="80"/>
        <v>0.48</v>
      </c>
      <c r="CM24" s="43">
        <f t="shared" si="80"/>
        <v>0.48</v>
      </c>
      <c r="CN24" s="43">
        <f t="shared" si="80"/>
        <v>0.48</v>
      </c>
      <c r="CO24" s="43">
        <f t="shared" si="80"/>
        <v>0.48</v>
      </c>
      <c r="CP24" s="43">
        <f t="shared" si="80"/>
        <v>0.48</v>
      </c>
      <c r="CQ24" s="43">
        <f t="shared" si="80"/>
        <v>0.48</v>
      </c>
      <c r="CR24" s="43">
        <f t="shared" si="80"/>
        <v>0.48</v>
      </c>
      <c r="CS24" s="43">
        <f t="shared" si="80"/>
        <v>0.48</v>
      </c>
      <c r="CT24" s="43">
        <f>BP24</f>
        <v>0.48</v>
      </c>
      <c r="CV24" s="43">
        <f>AJ24</f>
        <v>0.48</v>
      </c>
      <c r="CW24" s="43">
        <f t="shared" ref="CW24:DZ25" si="81">AK24</f>
        <v>0.46399999999999997</v>
      </c>
      <c r="CX24" s="43">
        <f t="shared" si="81"/>
        <v>0.44799999999999995</v>
      </c>
      <c r="CY24" s="43">
        <f t="shared" si="81"/>
        <v>0.43199999999999994</v>
      </c>
      <c r="CZ24" s="43">
        <f t="shared" si="81"/>
        <v>0.41599999999999993</v>
      </c>
      <c r="DA24" s="43">
        <f t="shared" si="81"/>
        <v>0.39999999999999991</v>
      </c>
      <c r="DB24" s="43">
        <f t="shared" si="81"/>
        <v>0.3839999999999999</v>
      </c>
      <c r="DC24" s="43">
        <f t="shared" si="81"/>
        <v>0.36799999999999988</v>
      </c>
      <c r="DD24" s="43">
        <f t="shared" si="81"/>
        <v>0.35199999999999987</v>
      </c>
      <c r="DE24" s="43">
        <f t="shared" si="81"/>
        <v>0.33599999999999985</v>
      </c>
      <c r="DF24" s="43">
        <f t="shared" si="81"/>
        <v>0.31999999999999984</v>
      </c>
      <c r="DG24" s="43">
        <f t="shared" si="81"/>
        <v>0.30399999999999983</v>
      </c>
      <c r="DH24" s="43">
        <f t="shared" si="81"/>
        <v>0.28799999999999981</v>
      </c>
      <c r="DI24" s="43">
        <f t="shared" si="81"/>
        <v>0.2719999999999998</v>
      </c>
      <c r="DJ24" s="43">
        <f t="shared" si="81"/>
        <v>0.25599999999999978</v>
      </c>
      <c r="DK24" s="43">
        <f t="shared" si="81"/>
        <v>0.23999999999999977</v>
      </c>
      <c r="DL24" s="43">
        <f t="shared" si="81"/>
        <v>0.22399999999999975</v>
      </c>
      <c r="DM24" s="43">
        <f t="shared" si="81"/>
        <v>0.20799999999999974</v>
      </c>
      <c r="DN24" s="43">
        <f t="shared" si="81"/>
        <v>0.19199999999999973</v>
      </c>
      <c r="DO24" s="43">
        <f t="shared" si="81"/>
        <v>0.17599999999999971</v>
      </c>
      <c r="DP24" s="43">
        <f t="shared" si="81"/>
        <v>0.1599999999999997</v>
      </c>
      <c r="DQ24" s="43">
        <f t="shared" si="81"/>
        <v>0.14399999999999968</v>
      </c>
      <c r="DR24" s="43">
        <f t="shared" si="81"/>
        <v>0.12799999999999967</v>
      </c>
      <c r="DS24" s="43">
        <f t="shared" si="81"/>
        <v>0.11199999999999967</v>
      </c>
      <c r="DT24" s="43">
        <f t="shared" si="81"/>
        <v>9.5999999999999669E-2</v>
      </c>
      <c r="DU24" s="43">
        <f t="shared" si="81"/>
        <v>7.9999999999999669E-2</v>
      </c>
      <c r="DV24" s="43">
        <f t="shared" si="81"/>
        <v>6.3999999999999668E-2</v>
      </c>
      <c r="DW24" s="43">
        <f t="shared" si="81"/>
        <v>4.7999999999999668E-2</v>
      </c>
      <c r="DX24" s="43">
        <f t="shared" si="81"/>
        <v>3.1999999999999668E-2</v>
      </c>
      <c r="DY24" s="43">
        <f t="shared" si="81"/>
        <v>1.5999999999999667E-2</v>
      </c>
      <c r="DZ24" s="43">
        <f t="shared" si="81"/>
        <v>0</v>
      </c>
    </row>
    <row r="25" spans="1:165">
      <c r="A25" s="606" t="s">
        <v>88</v>
      </c>
      <c r="C25" s="54" t="s">
        <v>458</v>
      </c>
      <c r="D25" s="43">
        <f>$B$187</f>
        <v>3</v>
      </c>
      <c r="E25" s="43">
        <f t="shared" ref="E25:AG25" si="82">D25-($D25-$AH25)/30</f>
        <v>2.9</v>
      </c>
      <c r="F25" s="43">
        <f t="shared" si="82"/>
        <v>2.8</v>
      </c>
      <c r="G25" s="43">
        <f t="shared" si="82"/>
        <v>2.6999999999999997</v>
      </c>
      <c r="H25" s="43">
        <f t="shared" si="82"/>
        <v>2.5999999999999996</v>
      </c>
      <c r="I25" s="43">
        <f t="shared" si="82"/>
        <v>2.4999999999999996</v>
      </c>
      <c r="J25" s="43">
        <f t="shared" si="82"/>
        <v>2.3999999999999995</v>
      </c>
      <c r="K25" s="43">
        <f t="shared" si="82"/>
        <v>2.2999999999999994</v>
      </c>
      <c r="L25" s="43">
        <f t="shared" si="82"/>
        <v>2.1999999999999993</v>
      </c>
      <c r="M25" s="43">
        <f t="shared" si="82"/>
        <v>2.0999999999999992</v>
      </c>
      <c r="N25" s="43">
        <f t="shared" si="82"/>
        <v>1.9999999999999991</v>
      </c>
      <c r="O25" s="43">
        <f t="shared" si="82"/>
        <v>1.899999999999999</v>
      </c>
      <c r="P25" s="43">
        <f t="shared" si="82"/>
        <v>1.7999999999999989</v>
      </c>
      <c r="Q25" s="43">
        <f t="shared" si="82"/>
        <v>1.6999999999999988</v>
      </c>
      <c r="R25" s="43">
        <f t="shared" si="82"/>
        <v>1.5999999999999988</v>
      </c>
      <c r="S25" s="43">
        <f t="shared" si="82"/>
        <v>1.4999999999999987</v>
      </c>
      <c r="T25" s="43">
        <f t="shared" si="82"/>
        <v>1.3999999999999986</v>
      </c>
      <c r="U25" s="43">
        <f t="shared" si="82"/>
        <v>1.2999999999999985</v>
      </c>
      <c r="V25" s="43">
        <f t="shared" si="82"/>
        <v>1.1999999999999984</v>
      </c>
      <c r="W25" s="43">
        <f t="shared" si="82"/>
        <v>1.0999999999999983</v>
      </c>
      <c r="X25" s="43">
        <f t="shared" si="82"/>
        <v>0.99999999999999833</v>
      </c>
      <c r="Y25" s="43">
        <f t="shared" si="82"/>
        <v>0.89999999999999836</v>
      </c>
      <c r="Z25" s="43">
        <f t="shared" si="82"/>
        <v>0.79999999999999838</v>
      </c>
      <c r="AA25" s="43">
        <f t="shared" si="82"/>
        <v>0.6999999999999984</v>
      </c>
      <c r="AB25" s="43">
        <f t="shared" si="82"/>
        <v>0.59999999999999842</v>
      </c>
      <c r="AC25" s="43">
        <f t="shared" si="82"/>
        <v>0.49999999999999845</v>
      </c>
      <c r="AD25" s="43">
        <f t="shared" si="82"/>
        <v>0.39999999999999847</v>
      </c>
      <c r="AE25" s="43">
        <f t="shared" si="82"/>
        <v>0.29999999999999849</v>
      </c>
      <c r="AF25" s="43">
        <f t="shared" si="82"/>
        <v>0.19999999999999848</v>
      </c>
      <c r="AG25" s="43">
        <f t="shared" si="82"/>
        <v>9.9999999999998479E-2</v>
      </c>
      <c r="AH25" s="43">
        <f>$C$187</f>
        <v>0</v>
      </c>
      <c r="AI25" s="44"/>
      <c r="AJ25" s="43">
        <f t="shared" ref="AJ25:AJ32" si="83">D25</f>
        <v>3</v>
      </c>
      <c r="AK25" s="43">
        <f t="shared" ref="AK25:AK32" si="84">E25</f>
        <v>2.9</v>
      </c>
      <c r="AL25" s="43">
        <f t="shared" ref="AL25:AL32" si="85">F25</f>
        <v>2.8</v>
      </c>
      <c r="AM25" s="43">
        <f t="shared" ref="AM25:AM32" si="86">G25</f>
        <v>2.6999999999999997</v>
      </c>
      <c r="AN25" s="43">
        <f t="shared" ref="AN25:AN32" si="87">H25</f>
        <v>2.5999999999999996</v>
      </c>
      <c r="AO25" s="43">
        <f t="shared" ref="AO25:AO32" si="88">I25</f>
        <v>2.4999999999999996</v>
      </c>
      <c r="AP25" s="43">
        <f t="shared" ref="AP25:AP32" si="89">J25</f>
        <v>2.3999999999999995</v>
      </c>
      <c r="AQ25" s="43">
        <f t="shared" ref="AQ25:AQ32" si="90">K25</f>
        <v>2.2999999999999994</v>
      </c>
      <c r="AR25" s="43">
        <f t="shared" ref="AR25:AR32" si="91">L25</f>
        <v>2.1999999999999993</v>
      </c>
      <c r="AS25" s="43">
        <f t="shared" ref="AS25:AS32" si="92">M25</f>
        <v>2.0999999999999992</v>
      </c>
      <c r="AT25" s="43">
        <f t="shared" ref="AT25:AT32" si="93">N25</f>
        <v>1.9999999999999991</v>
      </c>
      <c r="AU25" s="43">
        <f t="shared" ref="AU25:AU32" si="94">O25</f>
        <v>1.899999999999999</v>
      </c>
      <c r="AV25" s="43">
        <f t="shared" ref="AV25:AV32" si="95">P25</f>
        <v>1.7999999999999989</v>
      </c>
      <c r="AW25" s="43">
        <f t="shared" ref="AW25:AW32" si="96">Q25</f>
        <v>1.6999999999999988</v>
      </c>
      <c r="AX25" s="43">
        <f t="shared" ref="AX25:AX32" si="97">R25</f>
        <v>1.5999999999999988</v>
      </c>
      <c r="AY25" s="43">
        <f t="shared" ref="AY25:AY32" si="98">S25</f>
        <v>1.4999999999999987</v>
      </c>
      <c r="AZ25" s="43">
        <f t="shared" ref="AZ25:AZ32" si="99">T25</f>
        <v>1.3999999999999986</v>
      </c>
      <c r="BA25" s="43">
        <f t="shared" ref="BA25:BA32" si="100">U25</f>
        <v>1.2999999999999985</v>
      </c>
      <c r="BB25" s="43">
        <f t="shared" ref="BB25:BB32" si="101">V25</f>
        <v>1.1999999999999984</v>
      </c>
      <c r="BC25" s="43">
        <f t="shared" ref="BC25:BC32" si="102">W25</f>
        <v>1.0999999999999983</v>
      </c>
      <c r="BD25" s="43">
        <f t="shared" ref="BD25:BD32" si="103">X25</f>
        <v>0.99999999999999833</v>
      </c>
      <c r="BE25" s="43">
        <f t="shared" ref="BE25:BE32" si="104">Y25</f>
        <v>0.89999999999999836</v>
      </c>
      <c r="BF25" s="43">
        <f t="shared" ref="BF25:BF32" si="105">Z25</f>
        <v>0.79999999999999838</v>
      </c>
      <c r="BG25" s="43">
        <f t="shared" ref="BG25:BG32" si="106">AA25</f>
        <v>0.6999999999999984</v>
      </c>
      <c r="BH25" s="43">
        <f t="shared" ref="BH25:BH32" si="107">AB25</f>
        <v>0.59999999999999842</v>
      </c>
      <c r="BI25" s="43">
        <f t="shared" ref="BI25:BI32" si="108">AC25</f>
        <v>0.49999999999999845</v>
      </c>
      <c r="BJ25" s="43">
        <f t="shared" ref="BJ25:BJ32" si="109">AD25</f>
        <v>0.39999999999999847</v>
      </c>
      <c r="BK25" s="43">
        <f t="shared" ref="BK25:BK32" si="110">AE25</f>
        <v>0.29999999999999849</v>
      </c>
      <c r="BL25" s="43">
        <f t="shared" ref="BL25:BL32" si="111">AF25</f>
        <v>0.19999999999999848</v>
      </c>
      <c r="BM25" s="43">
        <f t="shared" ref="BM25:BM32" si="112">AG25</f>
        <v>9.9999999999998479E-2</v>
      </c>
      <c r="BN25" s="43">
        <f t="shared" ref="BN25:BN32" si="113">AH25</f>
        <v>0</v>
      </c>
      <c r="BP25" s="43">
        <f t="shared" ref="BP25:BP32" si="114">D25</f>
        <v>3</v>
      </c>
      <c r="BQ25" s="43">
        <f t="shared" ref="BQ25:CS25" si="115">BP25-($BP25-$CT25)/30</f>
        <v>3</v>
      </c>
      <c r="BR25" s="43">
        <f t="shared" si="115"/>
        <v>3</v>
      </c>
      <c r="BS25" s="43">
        <f t="shared" si="115"/>
        <v>3</v>
      </c>
      <c r="BT25" s="43">
        <f t="shared" si="115"/>
        <v>3</v>
      </c>
      <c r="BU25" s="43">
        <f t="shared" si="115"/>
        <v>3</v>
      </c>
      <c r="BV25" s="43">
        <f t="shared" si="115"/>
        <v>3</v>
      </c>
      <c r="BW25" s="43">
        <f t="shared" si="115"/>
        <v>3</v>
      </c>
      <c r="BX25" s="43">
        <f t="shared" si="115"/>
        <v>3</v>
      </c>
      <c r="BY25" s="43">
        <f t="shared" si="115"/>
        <v>3</v>
      </c>
      <c r="BZ25" s="43">
        <f t="shared" si="115"/>
        <v>3</v>
      </c>
      <c r="CA25" s="43">
        <f t="shared" si="115"/>
        <v>3</v>
      </c>
      <c r="CB25" s="43">
        <f t="shared" si="115"/>
        <v>3</v>
      </c>
      <c r="CC25" s="43">
        <f t="shared" si="115"/>
        <v>3</v>
      </c>
      <c r="CD25" s="43">
        <f t="shared" si="115"/>
        <v>3</v>
      </c>
      <c r="CE25" s="43">
        <f t="shared" si="115"/>
        <v>3</v>
      </c>
      <c r="CF25" s="43">
        <f t="shared" si="115"/>
        <v>3</v>
      </c>
      <c r="CG25" s="43">
        <f t="shared" si="115"/>
        <v>3</v>
      </c>
      <c r="CH25" s="43">
        <f t="shared" si="115"/>
        <v>3</v>
      </c>
      <c r="CI25" s="43">
        <f t="shared" si="115"/>
        <v>3</v>
      </c>
      <c r="CJ25" s="43">
        <f t="shared" si="115"/>
        <v>3</v>
      </c>
      <c r="CK25" s="43">
        <f t="shared" si="115"/>
        <v>3</v>
      </c>
      <c r="CL25" s="43">
        <f t="shared" si="115"/>
        <v>3</v>
      </c>
      <c r="CM25" s="43">
        <f t="shared" si="115"/>
        <v>3</v>
      </c>
      <c r="CN25" s="43">
        <f t="shared" si="115"/>
        <v>3</v>
      </c>
      <c r="CO25" s="43">
        <f t="shared" si="115"/>
        <v>3</v>
      </c>
      <c r="CP25" s="43">
        <f t="shared" si="115"/>
        <v>3</v>
      </c>
      <c r="CQ25" s="43">
        <f t="shared" si="115"/>
        <v>3</v>
      </c>
      <c r="CR25" s="43">
        <f t="shared" si="115"/>
        <v>3</v>
      </c>
      <c r="CS25" s="43">
        <f t="shared" si="115"/>
        <v>3</v>
      </c>
      <c r="CT25" s="43">
        <f t="shared" ref="CT25:CT32" si="116">BP25</f>
        <v>3</v>
      </c>
      <c r="CV25" s="43">
        <f>AJ25</f>
        <v>3</v>
      </c>
      <c r="CW25" s="43">
        <f t="shared" si="81"/>
        <v>2.9</v>
      </c>
      <c r="CX25" s="43">
        <f t="shared" si="81"/>
        <v>2.8</v>
      </c>
      <c r="CY25" s="43">
        <f t="shared" si="81"/>
        <v>2.6999999999999997</v>
      </c>
      <c r="CZ25" s="43">
        <f t="shared" si="81"/>
        <v>2.5999999999999996</v>
      </c>
      <c r="DA25" s="43">
        <f t="shared" si="81"/>
        <v>2.4999999999999996</v>
      </c>
      <c r="DB25" s="43">
        <f t="shared" si="81"/>
        <v>2.3999999999999995</v>
      </c>
      <c r="DC25" s="43">
        <f t="shared" si="81"/>
        <v>2.2999999999999994</v>
      </c>
      <c r="DD25" s="43">
        <f t="shared" si="81"/>
        <v>2.1999999999999993</v>
      </c>
      <c r="DE25" s="43">
        <f t="shared" si="81"/>
        <v>2.0999999999999992</v>
      </c>
      <c r="DF25" s="43">
        <f t="shared" si="81"/>
        <v>1.9999999999999991</v>
      </c>
      <c r="DG25" s="43">
        <f t="shared" si="81"/>
        <v>1.899999999999999</v>
      </c>
      <c r="DH25" s="43">
        <f t="shared" si="81"/>
        <v>1.7999999999999989</v>
      </c>
      <c r="DI25" s="43">
        <f t="shared" si="81"/>
        <v>1.6999999999999988</v>
      </c>
      <c r="DJ25" s="43">
        <f t="shared" si="81"/>
        <v>1.5999999999999988</v>
      </c>
      <c r="DK25" s="43">
        <f t="shared" si="81"/>
        <v>1.4999999999999987</v>
      </c>
      <c r="DL25" s="43">
        <f t="shared" si="81"/>
        <v>1.3999999999999986</v>
      </c>
      <c r="DM25" s="43">
        <f t="shared" si="81"/>
        <v>1.2999999999999985</v>
      </c>
      <c r="DN25" s="43">
        <f t="shared" si="81"/>
        <v>1.1999999999999984</v>
      </c>
      <c r="DO25" s="43">
        <f t="shared" si="81"/>
        <v>1.0999999999999983</v>
      </c>
      <c r="DP25" s="43">
        <f t="shared" si="81"/>
        <v>0.99999999999999833</v>
      </c>
      <c r="DQ25" s="43">
        <f t="shared" si="81"/>
        <v>0.89999999999999836</v>
      </c>
      <c r="DR25" s="43">
        <f t="shared" si="81"/>
        <v>0.79999999999999838</v>
      </c>
      <c r="DS25" s="43">
        <f t="shared" si="81"/>
        <v>0.6999999999999984</v>
      </c>
      <c r="DT25" s="43">
        <f t="shared" si="81"/>
        <v>0.59999999999999842</v>
      </c>
      <c r="DU25" s="43">
        <f t="shared" si="81"/>
        <v>0.49999999999999845</v>
      </c>
      <c r="DV25" s="43">
        <f t="shared" si="81"/>
        <v>0.39999999999999847</v>
      </c>
      <c r="DW25" s="43">
        <f t="shared" si="81"/>
        <v>0.29999999999999849</v>
      </c>
      <c r="DX25" s="43">
        <f t="shared" si="81"/>
        <v>0.19999999999999848</v>
      </c>
      <c r="DY25" s="43">
        <f t="shared" si="81"/>
        <v>9.9999999999998479E-2</v>
      </c>
      <c r="DZ25" s="43">
        <f t="shared" si="81"/>
        <v>0</v>
      </c>
    </row>
    <row r="26" spans="1:165">
      <c r="A26" s="606" t="s">
        <v>459</v>
      </c>
      <c r="C26" s="54" t="s">
        <v>458</v>
      </c>
      <c r="D26" s="43">
        <f>$BP$186</f>
        <v>1.3521142181450381</v>
      </c>
      <c r="E26" s="43">
        <f t="shared" ref="E26:AG26" si="117">D26-($D26-$AH26)/30</f>
        <v>1.4003770775402034</v>
      </c>
      <c r="F26" s="43">
        <f t="shared" si="117"/>
        <v>1.4486399369353689</v>
      </c>
      <c r="G26" s="43">
        <f t="shared" si="117"/>
        <v>1.4969027963305344</v>
      </c>
      <c r="H26" s="43">
        <f t="shared" si="117"/>
        <v>1.5451656557256999</v>
      </c>
      <c r="I26" s="43">
        <f t="shared" si="117"/>
        <v>1.5934285151208654</v>
      </c>
      <c r="J26" s="43">
        <f t="shared" si="117"/>
        <v>1.6416913745160309</v>
      </c>
      <c r="K26" s="43">
        <f t="shared" si="117"/>
        <v>1.6899542339111964</v>
      </c>
      <c r="L26" s="43">
        <f t="shared" si="117"/>
        <v>1.7382170933063619</v>
      </c>
      <c r="M26" s="43">
        <f t="shared" si="117"/>
        <v>1.7864799527015274</v>
      </c>
      <c r="N26" s="43">
        <f t="shared" si="117"/>
        <v>1.8347428120966929</v>
      </c>
      <c r="O26" s="43">
        <f t="shared" si="117"/>
        <v>1.8830056714918584</v>
      </c>
      <c r="P26" s="43">
        <f t="shared" si="117"/>
        <v>1.9312685308870239</v>
      </c>
      <c r="Q26" s="43">
        <f t="shared" si="117"/>
        <v>1.9795313902821894</v>
      </c>
      <c r="R26" s="43">
        <f t="shared" si="117"/>
        <v>2.0277942496773549</v>
      </c>
      <c r="S26" s="43">
        <f t="shared" si="117"/>
        <v>2.0760571090725204</v>
      </c>
      <c r="T26" s="43">
        <f t="shared" si="117"/>
        <v>2.1243199684676859</v>
      </c>
      <c r="U26" s="43">
        <f t="shared" si="117"/>
        <v>2.1725828278628514</v>
      </c>
      <c r="V26" s="43">
        <f t="shared" si="117"/>
        <v>2.2208456872580169</v>
      </c>
      <c r="W26" s="43">
        <f t="shared" si="117"/>
        <v>2.2691085466531824</v>
      </c>
      <c r="X26" s="43">
        <f t="shared" si="117"/>
        <v>2.3173714060483479</v>
      </c>
      <c r="Y26" s="43">
        <f t="shared" si="117"/>
        <v>2.3656342654435134</v>
      </c>
      <c r="Z26" s="43">
        <f t="shared" si="117"/>
        <v>2.4138971248386789</v>
      </c>
      <c r="AA26" s="43">
        <f t="shared" si="117"/>
        <v>2.4621599842338444</v>
      </c>
      <c r="AB26" s="43">
        <f t="shared" si="117"/>
        <v>2.5104228436290099</v>
      </c>
      <c r="AC26" s="43">
        <f t="shared" si="117"/>
        <v>2.5586857030241754</v>
      </c>
      <c r="AD26" s="43">
        <f t="shared" si="117"/>
        <v>2.6069485624193409</v>
      </c>
      <c r="AE26" s="43">
        <f t="shared" si="117"/>
        <v>2.6552114218145064</v>
      </c>
      <c r="AF26" s="43">
        <f t="shared" si="117"/>
        <v>2.7034742812096719</v>
      </c>
      <c r="AG26" s="43">
        <f t="shared" si="117"/>
        <v>2.7517371406048374</v>
      </c>
      <c r="AH26" s="43">
        <f>EB186</f>
        <v>2.8</v>
      </c>
      <c r="AI26" s="44"/>
      <c r="AJ26" s="43">
        <f t="shared" si="83"/>
        <v>1.3521142181450381</v>
      </c>
      <c r="AK26" s="43">
        <f t="shared" si="84"/>
        <v>1.4003770775402034</v>
      </c>
      <c r="AL26" s="43">
        <f t="shared" si="85"/>
        <v>1.4486399369353689</v>
      </c>
      <c r="AM26" s="43">
        <f t="shared" si="86"/>
        <v>1.4969027963305344</v>
      </c>
      <c r="AN26" s="43">
        <f t="shared" si="87"/>
        <v>1.5451656557256999</v>
      </c>
      <c r="AO26" s="43">
        <f t="shared" si="88"/>
        <v>1.5934285151208654</v>
      </c>
      <c r="AP26" s="43">
        <f t="shared" si="89"/>
        <v>1.6416913745160309</v>
      </c>
      <c r="AQ26" s="43">
        <f t="shared" si="90"/>
        <v>1.6899542339111964</v>
      </c>
      <c r="AR26" s="43">
        <f t="shared" si="91"/>
        <v>1.7382170933063619</v>
      </c>
      <c r="AS26" s="43">
        <f t="shared" si="92"/>
        <v>1.7864799527015274</v>
      </c>
      <c r="AT26" s="43">
        <f t="shared" si="93"/>
        <v>1.8347428120966929</v>
      </c>
      <c r="AU26" s="43">
        <f t="shared" si="94"/>
        <v>1.8830056714918584</v>
      </c>
      <c r="AV26" s="43">
        <f t="shared" si="95"/>
        <v>1.9312685308870239</v>
      </c>
      <c r="AW26" s="43">
        <f t="shared" si="96"/>
        <v>1.9795313902821894</v>
      </c>
      <c r="AX26" s="43">
        <f t="shared" si="97"/>
        <v>2.0277942496773549</v>
      </c>
      <c r="AY26" s="43">
        <f t="shared" si="98"/>
        <v>2.0760571090725204</v>
      </c>
      <c r="AZ26" s="43">
        <f t="shared" si="99"/>
        <v>2.1243199684676859</v>
      </c>
      <c r="BA26" s="43">
        <f t="shared" si="100"/>
        <v>2.1725828278628514</v>
      </c>
      <c r="BB26" s="43">
        <f t="shared" si="101"/>
        <v>2.2208456872580169</v>
      </c>
      <c r="BC26" s="43">
        <f t="shared" si="102"/>
        <v>2.2691085466531824</v>
      </c>
      <c r="BD26" s="43">
        <f t="shared" si="103"/>
        <v>2.3173714060483479</v>
      </c>
      <c r="BE26" s="43">
        <f t="shared" si="104"/>
        <v>2.3656342654435134</v>
      </c>
      <c r="BF26" s="43">
        <f t="shared" si="105"/>
        <v>2.4138971248386789</v>
      </c>
      <c r="BG26" s="43">
        <f t="shared" si="106"/>
        <v>2.4621599842338444</v>
      </c>
      <c r="BH26" s="43">
        <f t="shared" si="107"/>
        <v>2.5104228436290099</v>
      </c>
      <c r="BI26" s="43">
        <f t="shared" si="108"/>
        <v>2.5586857030241754</v>
      </c>
      <c r="BJ26" s="43">
        <f t="shared" si="109"/>
        <v>2.6069485624193409</v>
      </c>
      <c r="BK26" s="43">
        <f t="shared" si="110"/>
        <v>2.6552114218145064</v>
      </c>
      <c r="BL26" s="43">
        <f t="shared" si="111"/>
        <v>2.7034742812096719</v>
      </c>
      <c r="BM26" s="43">
        <f t="shared" si="112"/>
        <v>2.7517371406048374</v>
      </c>
      <c r="BN26" s="43">
        <f t="shared" si="113"/>
        <v>2.8</v>
      </c>
      <c r="BP26" s="43">
        <f t="shared" si="114"/>
        <v>1.3521142181450381</v>
      </c>
      <c r="BQ26" s="43">
        <f t="shared" ref="BQ26:CS26" si="118">BP26-($BP26-$CT26)/30</f>
        <v>1.3521142181450381</v>
      </c>
      <c r="BR26" s="43">
        <f t="shared" si="118"/>
        <v>1.3521142181450381</v>
      </c>
      <c r="BS26" s="43">
        <f t="shared" si="118"/>
        <v>1.3521142181450381</v>
      </c>
      <c r="BT26" s="43">
        <f t="shared" si="118"/>
        <v>1.3521142181450381</v>
      </c>
      <c r="BU26" s="43">
        <f t="shared" si="118"/>
        <v>1.3521142181450381</v>
      </c>
      <c r="BV26" s="43">
        <f t="shared" si="118"/>
        <v>1.3521142181450381</v>
      </c>
      <c r="BW26" s="43">
        <f t="shared" si="118"/>
        <v>1.3521142181450381</v>
      </c>
      <c r="BX26" s="43">
        <f t="shared" si="118"/>
        <v>1.3521142181450381</v>
      </c>
      <c r="BY26" s="43">
        <f t="shared" si="118"/>
        <v>1.3521142181450381</v>
      </c>
      <c r="BZ26" s="43">
        <f t="shared" si="118"/>
        <v>1.3521142181450381</v>
      </c>
      <c r="CA26" s="43">
        <f t="shared" si="118"/>
        <v>1.3521142181450381</v>
      </c>
      <c r="CB26" s="43">
        <f t="shared" si="118"/>
        <v>1.3521142181450381</v>
      </c>
      <c r="CC26" s="43">
        <f t="shared" si="118"/>
        <v>1.3521142181450381</v>
      </c>
      <c r="CD26" s="43">
        <f t="shared" si="118"/>
        <v>1.3521142181450381</v>
      </c>
      <c r="CE26" s="43">
        <f t="shared" si="118"/>
        <v>1.3521142181450381</v>
      </c>
      <c r="CF26" s="43">
        <f t="shared" si="118"/>
        <v>1.3521142181450381</v>
      </c>
      <c r="CG26" s="43">
        <f t="shared" si="118"/>
        <v>1.3521142181450381</v>
      </c>
      <c r="CH26" s="43">
        <f t="shared" si="118"/>
        <v>1.3521142181450381</v>
      </c>
      <c r="CI26" s="43">
        <f t="shared" si="118"/>
        <v>1.3521142181450381</v>
      </c>
      <c r="CJ26" s="43">
        <f t="shared" si="118"/>
        <v>1.3521142181450381</v>
      </c>
      <c r="CK26" s="43">
        <f t="shared" si="118"/>
        <v>1.3521142181450381</v>
      </c>
      <c r="CL26" s="43">
        <f t="shared" si="118"/>
        <v>1.3521142181450381</v>
      </c>
      <c r="CM26" s="43">
        <f t="shared" si="118"/>
        <v>1.3521142181450381</v>
      </c>
      <c r="CN26" s="43">
        <f t="shared" si="118"/>
        <v>1.3521142181450381</v>
      </c>
      <c r="CO26" s="43">
        <f t="shared" si="118"/>
        <v>1.3521142181450381</v>
      </c>
      <c r="CP26" s="43">
        <f t="shared" si="118"/>
        <v>1.3521142181450381</v>
      </c>
      <c r="CQ26" s="43">
        <f t="shared" si="118"/>
        <v>1.3521142181450381</v>
      </c>
      <c r="CR26" s="43">
        <f t="shared" si="118"/>
        <v>1.3521142181450381</v>
      </c>
      <c r="CS26" s="43">
        <f t="shared" si="118"/>
        <v>1.3521142181450381</v>
      </c>
      <c r="CT26" s="43">
        <f t="shared" si="116"/>
        <v>1.3521142181450381</v>
      </c>
      <c r="CV26" s="43">
        <f>AJ26</f>
        <v>1.3521142181450381</v>
      </c>
      <c r="CW26" s="43">
        <f t="shared" ref="CW26:DZ26" si="119">AK26</f>
        <v>1.4003770775402034</v>
      </c>
      <c r="CX26" s="43">
        <f t="shared" si="119"/>
        <v>1.4486399369353689</v>
      </c>
      <c r="CY26" s="43">
        <f t="shared" si="119"/>
        <v>1.4969027963305344</v>
      </c>
      <c r="CZ26" s="43">
        <f t="shared" si="119"/>
        <v>1.5451656557256999</v>
      </c>
      <c r="DA26" s="43">
        <f t="shared" si="119"/>
        <v>1.5934285151208654</v>
      </c>
      <c r="DB26" s="43">
        <f t="shared" si="119"/>
        <v>1.6416913745160309</v>
      </c>
      <c r="DC26" s="43">
        <f t="shared" si="119"/>
        <v>1.6899542339111964</v>
      </c>
      <c r="DD26" s="43">
        <f t="shared" si="119"/>
        <v>1.7382170933063619</v>
      </c>
      <c r="DE26" s="43">
        <f t="shared" si="119"/>
        <v>1.7864799527015274</v>
      </c>
      <c r="DF26" s="43">
        <f t="shared" si="119"/>
        <v>1.8347428120966929</v>
      </c>
      <c r="DG26" s="43">
        <f t="shared" si="119"/>
        <v>1.8830056714918584</v>
      </c>
      <c r="DH26" s="43">
        <f t="shared" si="119"/>
        <v>1.9312685308870239</v>
      </c>
      <c r="DI26" s="43">
        <f t="shared" si="119"/>
        <v>1.9795313902821894</v>
      </c>
      <c r="DJ26" s="43">
        <f t="shared" si="119"/>
        <v>2.0277942496773549</v>
      </c>
      <c r="DK26" s="43">
        <f t="shared" si="119"/>
        <v>2.0760571090725204</v>
      </c>
      <c r="DL26" s="43">
        <f t="shared" si="119"/>
        <v>2.1243199684676859</v>
      </c>
      <c r="DM26" s="43">
        <f t="shared" si="119"/>
        <v>2.1725828278628514</v>
      </c>
      <c r="DN26" s="43">
        <f t="shared" si="119"/>
        <v>2.2208456872580169</v>
      </c>
      <c r="DO26" s="43">
        <f t="shared" si="119"/>
        <v>2.2691085466531824</v>
      </c>
      <c r="DP26" s="43">
        <f t="shared" si="119"/>
        <v>2.3173714060483479</v>
      </c>
      <c r="DQ26" s="43">
        <f t="shared" si="119"/>
        <v>2.3656342654435134</v>
      </c>
      <c r="DR26" s="43">
        <f t="shared" si="119"/>
        <v>2.4138971248386789</v>
      </c>
      <c r="DS26" s="43">
        <f t="shared" si="119"/>
        <v>2.4621599842338444</v>
      </c>
      <c r="DT26" s="43">
        <f t="shared" si="119"/>
        <v>2.5104228436290099</v>
      </c>
      <c r="DU26" s="43">
        <f t="shared" si="119"/>
        <v>2.5586857030241754</v>
      </c>
      <c r="DV26" s="43">
        <f t="shared" si="119"/>
        <v>2.6069485624193409</v>
      </c>
      <c r="DW26" s="43">
        <f t="shared" si="119"/>
        <v>2.6552114218145064</v>
      </c>
      <c r="DX26" s="43">
        <f t="shared" si="119"/>
        <v>2.7034742812096719</v>
      </c>
      <c r="DY26" s="43">
        <f t="shared" si="119"/>
        <v>2.7517371406048374</v>
      </c>
      <c r="DZ26" s="43">
        <f t="shared" si="119"/>
        <v>2.8</v>
      </c>
    </row>
    <row r="27" spans="1:165">
      <c r="A27" s="606" t="s">
        <v>460</v>
      </c>
      <c r="C27" s="54" t="s">
        <v>458</v>
      </c>
      <c r="D27" s="43">
        <f>$BZ$186</f>
        <v>6.7605710907251967E-2</v>
      </c>
      <c r="E27" s="43">
        <f t="shared" ref="E27:AG27" si="120">D27-($D27-$AH27)/30</f>
        <v>6.7605710907251967E-2</v>
      </c>
      <c r="F27" s="43">
        <f t="shared" si="120"/>
        <v>6.7605710907251967E-2</v>
      </c>
      <c r="G27" s="43">
        <f t="shared" si="120"/>
        <v>6.7605710907251967E-2</v>
      </c>
      <c r="H27" s="43">
        <f t="shared" si="120"/>
        <v>6.7605710907251967E-2</v>
      </c>
      <c r="I27" s="43">
        <f t="shared" si="120"/>
        <v>6.7605710907251967E-2</v>
      </c>
      <c r="J27" s="43">
        <f t="shared" si="120"/>
        <v>6.7605710907251967E-2</v>
      </c>
      <c r="K27" s="43">
        <f t="shared" si="120"/>
        <v>6.7605710907251967E-2</v>
      </c>
      <c r="L27" s="43">
        <f t="shared" si="120"/>
        <v>6.7605710907251967E-2</v>
      </c>
      <c r="M27" s="43">
        <f t="shared" si="120"/>
        <v>6.7605710907251967E-2</v>
      </c>
      <c r="N27" s="43">
        <f t="shared" si="120"/>
        <v>6.7605710907251967E-2</v>
      </c>
      <c r="O27" s="43">
        <f t="shared" si="120"/>
        <v>6.7605710907251967E-2</v>
      </c>
      <c r="P27" s="43">
        <f t="shared" si="120"/>
        <v>6.7605710907251967E-2</v>
      </c>
      <c r="Q27" s="43">
        <f t="shared" si="120"/>
        <v>6.7605710907251967E-2</v>
      </c>
      <c r="R27" s="43">
        <f t="shared" si="120"/>
        <v>6.7605710907251967E-2</v>
      </c>
      <c r="S27" s="43">
        <f t="shared" si="120"/>
        <v>6.7605710907251967E-2</v>
      </c>
      <c r="T27" s="43">
        <f t="shared" si="120"/>
        <v>6.7605710907251967E-2</v>
      </c>
      <c r="U27" s="43">
        <f t="shared" si="120"/>
        <v>6.7605710907251967E-2</v>
      </c>
      <c r="V27" s="43">
        <f t="shared" si="120"/>
        <v>6.7605710907251967E-2</v>
      </c>
      <c r="W27" s="43">
        <f t="shared" si="120"/>
        <v>6.7605710907251967E-2</v>
      </c>
      <c r="X27" s="43">
        <f t="shared" si="120"/>
        <v>6.7605710907251967E-2</v>
      </c>
      <c r="Y27" s="43">
        <f t="shared" si="120"/>
        <v>6.7605710907251967E-2</v>
      </c>
      <c r="Z27" s="43">
        <f t="shared" si="120"/>
        <v>6.7605710907251967E-2</v>
      </c>
      <c r="AA27" s="43">
        <f t="shared" si="120"/>
        <v>6.7605710907251967E-2</v>
      </c>
      <c r="AB27" s="43">
        <f t="shared" si="120"/>
        <v>6.7605710907251967E-2</v>
      </c>
      <c r="AC27" s="43">
        <f t="shared" si="120"/>
        <v>6.7605710907251967E-2</v>
      </c>
      <c r="AD27" s="43">
        <f t="shared" si="120"/>
        <v>6.7605710907251967E-2</v>
      </c>
      <c r="AE27" s="43">
        <f t="shared" si="120"/>
        <v>6.7605710907251967E-2</v>
      </c>
      <c r="AF27" s="43">
        <f t="shared" si="120"/>
        <v>6.7605710907251967E-2</v>
      </c>
      <c r="AG27" s="43">
        <f t="shared" si="120"/>
        <v>6.7605710907251967E-2</v>
      </c>
      <c r="AH27" s="43">
        <f>$BZ$186</f>
        <v>6.7605710907251967E-2</v>
      </c>
      <c r="AI27" s="44"/>
      <c r="AJ27" s="43">
        <f t="shared" si="83"/>
        <v>6.7605710907251967E-2</v>
      </c>
      <c r="AK27" s="43">
        <f t="shared" si="84"/>
        <v>6.7605710907251967E-2</v>
      </c>
      <c r="AL27" s="43">
        <f t="shared" si="85"/>
        <v>6.7605710907251967E-2</v>
      </c>
      <c r="AM27" s="43">
        <f t="shared" si="86"/>
        <v>6.7605710907251967E-2</v>
      </c>
      <c r="AN27" s="43">
        <f t="shared" si="87"/>
        <v>6.7605710907251967E-2</v>
      </c>
      <c r="AO27" s="43">
        <f t="shared" si="88"/>
        <v>6.7605710907251967E-2</v>
      </c>
      <c r="AP27" s="43">
        <f t="shared" si="89"/>
        <v>6.7605710907251967E-2</v>
      </c>
      <c r="AQ27" s="43">
        <f t="shared" si="90"/>
        <v>6.7605710907251967E-2</v>
      </c>
      <c r="AR27" s="43">
        <f t="shared" si="91"/>
        <v>6.7605710907251967E-2</v>
      </c>
      <c r="AS27" s="43">
        <f t="shared" si="92"/>
        <v>6.7605710907251967E-2</v>
      </c>
      <c r="AT27" s="43">
        <f t="shared" si="93"/>
        <v>6.7605710907251967E-2</v>
      </c>
      <c r="AU27" s="43">
        <f t="shared" si="94"/>
        <v>6.7605710907251967E-2</v>
      </c>
      <c r="AV27" s="43">
        <f t="shared" si="95"/>
        <v>6.7605710907251967E-2</v>
      </c>
      <c r="AW27" s="43">
        <f t="shared" si="96"/>
        <v>6.7605710907251967E-2</v>
      </c>
      <c r="AX27" s="43">
        <f t="shared" si="97"/>
        <v>6.7605710907251967E-2</v>
      </c>
      <c r="AY27" s="43">
        <f t="shared" si="98"/>
        <v>6.7605710907251967E-2</v>
      </c>
      <c r="AZ27" s="43">
        <f t="shared" si="99"/>
        <v>6.7605710907251967E-2</v>
      </c>
      <c r="BA27" s="43">
        <f t="shared" si="100"/>
        <v>6.7605710907251967E-2</v>
      </c>
      <c r="BB27" s="43">
        <f t="shared" si="101"/>
        <v>6.7605710907251967E-2</v>
      </c>
      <c r="BC27" s="43">
        <f t="shared" si="102"/>
        <v>6.7605710907251967E-2</v>
      </c>
      <c r="BD27" s="43">
        <f t="shared" si="103"/>
        <v>6.7605710907251967E-2</v>
      </c>
      <c r="BE27" s="43">
        <f t="shared" si="104"/>
        <v>6.7605710907251967E-2</v>
      </c>
      <c r="BF27" s="43">
        <f t="shared" si="105"/>
        <v>6.7605710907251967E-2</v>
      </c>
      <c r="BG27" s="43">
        <f t="shared" si="106"/>
        <v>6.7605710907251967E-2</v>
      </c>
      <c r="BH27" s="43">
        <f t="shared" si="107"/>
        <v>6.7605710907251967E-2</v>
      </c>
      <c r="BI27" s="43">
        <f t="shared" si="108"/>
        <v>6.7605710907251967E-2</v>
      </c>
      <c r="BJ27" s="43">
        <f t="shared" si="109"/>
        <v>6.7605710907251967E-2</v>
      </c>
      <c r="BK27" s="43">
        <f t="shared" si="110"/>
        <v>6.7605710907251967E-2</v>
      </c>
      <c r="BL27" s="43">
        <f t="shared" si="111"/>
        <v>6.7605710907251967E-2</v>
      </c>
      <c r="BM27" s="43">
        <f t="shared" si="112"/>
        <v>6.7605710907251967E-2</v>
      </c>
      <c r="BN27" s="43">
        <f t="shared" si="113"/>
        <v>6.7605710907251967E-2</v>
      </c>
      <c r="BP27" s="43">
        <f>D27</f>
        <v>6.7605710907251967E-2</v>
      </c>
      <c r="BQ27" s="43">
        <f t="shared" ref="BQ27:CT27" si="121">E27</f>
        <v>6.7605710907251967E-2</v>
      </c>
      <c r="BR27" s="43">
        <f t="shared" si="121"/>
        <v>6.7605710907251967E-2</v>
      </c>
      <c r="BS27" s="43">
        <f t="shared" si="121"/>
        <v>6.7605710907251967E-2</v>
      </c>
      <c r="BT27" s="43">
        <f t="shared" si="121"/>
        <v>6.7605710907251967E-2</v>
      </c>
      <c r="BU27" s="43">
        <f t="shared" si="121"/>
        <v>6.7605710907251967E-2</v>
      </c>
      <c r="BV27" s="43">
        <f t="shared" si="121"/>
        <v>6.7605710907251967E-2</v>
      </c>
      <c r="BW27" s="43">
        <f t="shared" si="121"/>
        <v>6.7605710907251967E-2</v>
      </c>
      <c r="BX27" s="43">
        <f t="shared" si="121"/>
        <v>6.7605710907251967E-2</v>
      </c>
      <c r="BY27" s="43">
        <f t="shared" si="121"/>
        <v>6.7605710907251967E-2</v>
      </c>
      <c r="BZ27" s="43">
        <f t="shared" si="121"/>
        <v>6.7605710907251967E-2</v>
      </c>
      <c r="CA27" s="43">
        <f t="shared" si="121"/>
        <v>6.7605710907251967E-2</v>
      </c>
      <c r="CB27" s="43">
        <f t="shared" si="121"/>
        <v>6.7605710907251967E-2</v>
      </c>
      <c r="CC27" s="43">
        <f t="shared" si="121"/>
        <v>6.7605710907251967E-2</v>
      </c>
      <c r="CD27" s="43">
        <f t="shared" si="121"/>
        <v>6.7605710907251967E-2</v>
      </c>
      <c r="CE27" s="43">
        <f t="shared" si="121"/>
        <v>6.7605710907251967E-2</v>
      </c>
      <c r="CF27" s="43">
        <f t="shared" si="121"/>
        <v>6.7605710907251967E-2</v>
      </c>
      <c r="CG27" s="43">
        <f t="shared" si="121"/>
        <v>6.7605710907251967E-2</v>
      </c>
      <c r="CH27" s="43">
        <f t="shared" si="121"/>
        <v>6.7605710907251967E-2</v>
      </c>
      <c r="CI27" s="43">
        <f t="shared" si="121"/>
        <v>6.7605710907251967E-2</v>
      </c>
      <c r="CJ27" s="43">
        <f t="shared" si="121"/>
        <v>6.7605710907251967E-2</v>
      </c>
      <c r="CK27" s="43">
        <f t="shared" si="121"/>
        <v>6.7605710907251967E-2</v>
      </c>
      <c r="CL27" s="43">
        <f t="shared" si="121"/>
        <v>6.7605710907251967E-2</v>
      </c>
      <c r="CM27" s="43">
        <f t="shared" si="121"/>
        <v>6.7605710907251967E-2</v>
      </c>
      <c r="CN27" s="43">
        <f t="shared" si="121"/>
        <v>6.7605710907251967E-2</v>
      </c>
      <c r="CO27" s="43">
        <f t="shared" si="121"/>
        <v>6.7605710907251967E-2</v>
      </c>
      <c r="CP27" s="43">
        <f t="shared" si="121"/>
        <v>6.7605710907251967E-2</v>
      </c>
      <c r="CQ27" s="43">
        <f t="shared" si="121"/>
        <v>6.7605710907251967E-2</v>
      </c>
      <c r="CR27" s="43">
        <f t="shared" si="121"/>
        <v>6.7605710907251967E-2</v>
      </c>
      <c r="CS27" s="43">
        <f t="shared" si="121"/>
        <v>6.7605710907251967E-2</v>
      </c>
      <c r="CT27" s="43">
        <f t="shared" si="121"/>
        <v>6.7605710907251967E-2</v>
      </c>
      <c r="CV27" s="43">
        <f>AJ27</f>
        <v>6.7605710907251967E-2</v>
      </c>
      <c r="CW27" s="43">
        <f t="shared" ref="CW27:CW28" si="122">AK27</f>
        <v>6.7605710907251967E-2</v>
      </c>
      <c r="CX27" s="43">
        <f t="shared" ref="CX27:CX28" si="123">AL27</f>
        <v>6.7605710907251967E-2</v>
      </c>
      <c r="CY27" s="43">
        <f t="shared" ref="CY27:CY28" si="124">AM27</f>
        <v>6.7605710907251967E-2</v>
      </c>
      <c r="CZ27" s="43">
        <f t="shared" ref="CZ27:CZ28" si="125">AN27</f>
        <v>6.7605710907251967E-2</v>
      </c>
      <c r="DA27" s="43">
        <f t="shared" ref="DA27:DA28" si="126">AO27</f>
        <v>6.7605710907251967E-2</v>
      </c>
      <c r="DB27" s="43">
        <f t="shared" ref="DB27:DB28" si="127">AP27</f>
        <v>6.7605710907251967E-2</v>
      </c>
      <c r="DC27" s="43">
        <f t="shared" ref="DC27:DC28" si="128">AQ27</f>
        <v>6.7605710907251967E-2</v>
      </c>
      <c r="DD27" s="43">
        <f t="shared" ref="DD27:DD28" si="129">AR27</f>
        <v>6.7605710907251967E-2</v>
      </c>
      <c r="DE27" s="43">
        <f t="shared" ref="DE27:DE28" si="130">AS27</f>
        <v>6.7605710907251967E-2</v>
      </c>
      <c r="DF27" s="43">
        <f t="shared" ref="DF27:DF28" si="131">AT27</f>
        <v>6.7605710907251967E-2</v>
      </c>
      <c r="DG27" s="43">
        <f t="shared" ref="DG27:DG28" si="132">AU27</f>
        <v>6.7605710907251967E-2</v>
      </c>
      <c r="DH27" s="43">
        <f t="shared" ref="DH27:DH28" si="133">AV27</f>
        <v>6.7605710907251967E-2</v>
      </c>
      <c r="DI27" s="43">
        <f t="shared" ref="DI27:DI28" si="134">AW27</f>
        <v>6.7605710907251967E-2</v>
      </c>
      <c r="DJ27" s="43">
        <f t="shared" ref="DJ27:DJ28" si="135">AX27</f>
        <v>6.7605710907251967E-2</v>
      </c>
      <c r="DK27" s="43">
        <f t="shared" ref="DK27:DK28" si="136">AY27</f>
        <v>6.7605710907251967E-2</v>
      </c>
      <c r="DL27" s="43">
        <f t="shared" ref="DL27:DL28" si="137">AZ27</f>
        <v>6.7605710907251967E-2</v>
      </c>
      <c r="DM27" s="43">
        <f t="shared" ref="DM27:DM28" si="138">BA27</f>
        <v>6.7605710907251967E-2</v>
      </c>
      <c r="DN27" s="43">
        <f t="shared" ref="DN27:DN28" si="139">BB27</f>
        <v>6.7605710907251967E-2</v>
      </c>
      <c r="DO27" s="43">
        <f t="shared" ref="DO27:DO28" si="140">BC27</f>
        <v>6.7605710907251967E-2</v>
      </c>
      <c r="DP27" s="43">
        <f t="shared" ref="DP27:DP28" si="141">BD27</f>
        <v>6.7605710907251967E-2</v>
      </c>
      <c r="DQ27" s="43">
        <f t="shared" ref="DQ27:DQ28" si="142">BE27</f>
        <v>6.7605710907251967E-2</v>
      </c>
      <c r="DR27" s="43">
        <f t="shared" ref="DR27:DR28" si="143">BF27</f>
        <v>6.7605710907251967E-2</v>
      </c>
      <c r="DS27" s="43">
        <f t="shared" ref="DS27:DS28" si="144">BG27</f>
        <v>6.7605710907251967E-2</v>
      </c>
      <c r="DT27" s="43">
        <f t="shared" ref="DT27:DT28" si="145">BH27</f>
        <v>6.7605710907251967E-2</v>
      </c>
      <c r="DU27" s="43">
        <f t="shared" ref="DU27:DU28" si="146">BI27</f>
        <v>6.7605710907251967E-2</v>
      </c>
      <c r="DV27" s="43">
        <f t="shared" ref="DV27:DV28" si="147">BJ27</f>
        <v>6.7605710907251967E-2</v>
      </c>
      <c r="DW27" s="43">
        <f t="shared" ref="DW27:DW28" si="148">BK27</f>
        <v>6.7605710907251967E-2</v>
      </c>
      <c r="DX27" s="43">
        <f t="shared" ref="DX27:DX28" si="149">BL27</f>
        <v>6.7605710907251967E-2</v>
      </c>
      <c r="DY27" s="43">
        <f t="shared" ref="DY27:DY28" si="150">BM27</f>
        <v>6.7605710907251967E-2</v>
      </c>
      <c r="DZ27" s="43">
        <f t="shared" ref="DZ27:DZ28" si="151">BN27</f>
        <v>6.7605710907251967E-2</v>
      </c>
    </row>
    <row r="28" spans="1:165">
      <c r="A28" s="606" t="s">
        <v>33</v>
      </c>
      <c r="C28" s="54" t="s">
        <v>458</v>
      </c>
      <c r="D28" s="43">
        <f>$B$190</f>
        <v>5.0000000000000001E-3</v>
      </c>
      <c r="E28" s="43">
        <f t="shared" ref="E28:AG28" si="152">D28-($D28-$AH28)/30</f>
        <v>4.8333333333333336E-3</v>
      </c>
      <c r="F28" s="43">
        <f t="shared" si="152"/>
        <v>4.6666666666666671E-3</v>
      </c>
      <c r="G28" s="43">
        <f t="shared" si="152"/>
        <v>4.5000000000000005E-3</v>
      </c>
      <c r="H28" s="43">
        <f t="shared" si="152"/>
        <v>4.333333333333334E-3</v>
      </c>
      <c r="I28" s="43">
        <f t="shared" si="152"/>
        <v>4.1666666666666675E-3</v>
      </c>
      <c r="J28" s="43">
        <f t="shared" si="152"/>
        <v>4.000000000000001E-3</v>
      </c>
      <c r="K28" s="43">
        <f t="shared" si="152"/>
        <v>3.8333333333333344E-3</v>
      </c>
      <c r="L28" s="43">
        <f t="shared" si="152"/>
        <v>3.6666666666666679E-3</v>
      </c>
      <c r="M28" s="43">
        <f t="shared" si="152"/>
        <v>3.5000000000000014E-3</v>
      </c>
      <c r="N28" s="43">
        <f t="shared" si="152"/>
        <v>3.3333333333333348E-3</v>
      </c>
      <c r="O28" s="43">
        <f t="shared" si="152"/>
        <v>3.1666666666666683E-3</v>
      </c>
      <c r="P28" s="43">
        <f t="shared" si="152"/>
        <v>3.0000000000000018E-3</v>
      </c>
      <c r="Q28" s="43">
        <f t="shared" si="152"/>
        <v>2.8333333333333353E-3</v>
      </c>
      <c r="R28" s="43">
        <f t="shared" si="152"/>
        <v>2.6666666666666687E-3</v>
      </c>
      <c r="S28" s="43">
        <f t="shared" si="152"/>
        <v>2.5000000000000022E-3</v>
      </c>
      <c r="T28" s="43">
        <f t="shared" si="152"/>
        <v>2.3333333333333357E-3</v>
      </c>
      <c r="U28" s="43">
        <f t="shared" si="152"/>
        <v>2.1666666666666692E-3</v>
      </c>
      <c r="V28" s="43">
        <f t="shared" si="152"/>
        <v>2.0000000000000026E-3</v>
      </c>
      <c r="W28" s="43">
        <f t="shared" si="152"/>
        <v>1.8333333333333359E-3</v>
      </c>
      <c r="X28" s="43">
        <f t="shared" si="152"/>
        <v>1.6666666666666692E-3</v>
      </c>
      <c r="Y28" s="43">
        <f t="shared" si="152"/>
        <v>1.5000000000000024E-3</v>
      </c>
      <c r="Z28" s="43">
        <f t="shared" si="152"/>
        <v>1.3333333333333357E-3</v>
      </c>
      <c r="AA28" s="43">
        <f t="shared" si="152"/>
        <v>1.1666666666666689E-3</v>
      </c>
      <c r="AB28" s="43">
        <f t="shared" si="152"/>
        <v>1.0000000000000022E-3</v>
      </c>
      <c r="AC28" s="43">
        <f t="shared" si="152"/>
        <v>8.3333333333333556E-4</v>
      </c>
      <c r="AD28" s="43">
        <f t="shared" si="152"/>
        <v>6.6666666666666892E-4</v>
      </c>
      <c r="AE28" s="43">
        <f t="shared" si="152"/>
        <v>5.0000000000000229E-4</v>
      </c>
      <c r="AF28" s="43">
        <f t="shared" si="152"/>
        <v>3.3333333333333565E-4</v>
      </c>
      <c r="AG28" s="43">
        <f t="shared" si="152"/>
        <v>1.6666666666666899E-4</v>
      </c>
      <c r="AH28" s="43">
        <f>$C$190</f>
        <v>0</v>
      </c>
      <c r="AI28" s="44"/>
      <c r="AJ28" s="43">
        <f t="shared" si="83"/>
        <v>5.0000000000000001E-3</v>
      </c>
      <c r="AK28" s="43">
        <f t="shared" si="84"/>
        <v>4.8333333333333336E-3</v>
      </c>
      <c r="AL28" s="43">
        <f t="shared" si="85"/>
        <v>4.6666666666666671E-3</v>
      </c>
      <c r="AM28" s="43">
        <f t="shared" si="86"/>
        <v>4.5000000000000005E-3</v>
      </c>
      <c r="AN28" s="43">
        <f t="shared" si="87"/>
        <v>4.333333333333334E-3</v>
      </c>
      <c r="AO28" s="43">
        <f t="shared" si="88"/>
        <v>4.1666666666666675E-3</v>
      </c>
      <c r="AP28" s="43">
        <f t="shared" si="89"/>
        <v>4.000000000000001E-3</v>
      </c>
      <c r="AQ28" s="43">
        <f t="shared" si="90"/>
        <v>3.8333333333333344E-3</v>
      </c>
      <c r="AR28" s="43">
        <f t="shared" si="91"/>
        <v>3.6666666666666679E-3</v>
      </c>
      <c r="AS28" s="43">
        <f t="shared" si="92"/>
        <v>3.5000000000000014E-3</v>
      </c>
      <c r="AT28" s="43">
        <f t="shared" si="93"/>
        <v>3.3333333333333348E-3</v>
      </c>
      <c r="AU28" s="43">
        <f t="shared" si="94"/>
        <v>3.1666666666666683E-3</v>
      </c>
      <c r="AV28" s="43">
        <f t="shared" si="95"/>
        <v>3.0000000000000018E-3</v>
      </c>
      <c r="AW28" s="43">
        <f t="shared" si="96"/>
        <v>2.8333333333333353E-3</v>
      </c>
      <c r="AX28" s="43">
        <f t="shared" si="97"/>
        <v>2.6666666666666687E-3</v>
      </c>
      <c r="AY28" s="43">
        <f t="shared" si="98"/>
        <v>2.5000000000000022E-3</v>
      </c>
      <c r="AZ28" s="43">
        <f t="shared" si="99"/>
        <v>2.3333333333333357E-3</v>
      </c>
      <c r="BA28" s="43">
        <f t="shared" si="100"/>
        <v>2.1666666666666692E-3</v>
      </c>
      <c r="BB28" s="43">
        <f t="shared" si="101"/>
        <v>2.0000000000000026E-3</v>
      </c>
      <c r="BC28" s="43">
        <f t="shared" si="102"/>
        <v>1.8333333333333359E-3</v>
      </c>
      <c r="BD28" s="43">
        <f t="shared" si="103"/>
        <v>1.6666666666666692E-3</v>
      </c>
      <c r="BE28" s="43">
        <f t="shared" si="104"/>
        <v>1.5000000000000024E-3</v>
      </c>
      <c r="BF28" s="43">
        <f t="shared" si="105"/>
        <v>1.3333333333333357E-3</v>
      </c>
      <c r="BG28" s="43">
        <f t="shared" si="106"/>
        <v>1.1666666666666689E-3</v>
      </c>
      <c r="BH28" s="43">
        <f t="shared" si="107"/>
        <v>1.0000000000000022E-3</v>
      </c>
      <c r="BI28" s="43">
        <f t="shared" si="108"/>
        <v>8.3333333333333556E-4</v>
      </c>
      <c r="BJ28" s="43">
        <f t="shared" si="109"/>
        <v>6.6666666666666892E-4</v>
      </c>
      <c r="BK28" s="43">
        <f t="shared" si="110"/>
        <v>5.0000000000000229E-4</v>
      </c>
      <c r="BL28" s="43">
        <f t="shared" si="111"/>
        <v>3.3333333333333565E-4</v>
      </c>
      <c r="BM28" s="43">
        <f t="shared" si="112"/>
        <v>1.6666666666666899E-4</v>
      </c>
      <c r="BN28" s="43">
        <f t="shared" si="113"/>
        <v>0</v>
      </c>
      <c r="BP28" s="43">
        <f t="shared" si="114"/>
        <v>5.0000000000000001E-3</v>
      </c>
      <c r="BQ28" s="43">
        <f t="shared" ref="BQ28:CS28" si="153">BP28-($BP28-$CT28)/30</f>
        <v>5.0000000000000001E-3</v>
      </c>
      <c r="BR28" s="43">
        <f t="shared" si="153"/>
        <v>5.0000000000000001E-3</v>
      </c>
      <c r="BS28" s="43">
        <f t="shared" si="153"/>
        <v>5.0000000000000001E-3</v>
      </c>
      <c r="BT28" s="43">
        <f t="shared" si="153"/>
        <v>5.0000000000000001E-3</v>
      </c>
      <c r="BU28" s="43">
        <f t="shared" si="153"/>
        <v>5.0000000000000001E-3</v>
      </c>
      <c r="BV28" s="43">
        <f t="shared" si="153"/>
        <v>5.0000000000000001E-3</v>
      </c>
      <c r="BW28" s="43">
        <f t="shared" si="153"/>
        <v>5.0000000000000001E-3</v>
      </c>
      <c r="BX28" s="43">
        <f t="shared" si="153"/>
        <v>5.0000000000000001E-3</v>
      </c>
      <c r="BY28" s="43">
        <f t="shared" si="153"/>
        <v>5.0000000000000001E-3</v>
      </c>
      <c r="BZ28" s="43">
        <f t="shared" si="153"/>
        <v>5.0000000000000001E-3</v>
      </c>
      <c r="CA28" s="43">
        <f t="shared" si="153"/>
        <v>5.0000000000000001E-3</v>
      </c>
      <c r="CB28" s="43">
        <f t="shared" si="153"/>
        <v>5.0000000000000001E-3</v>
      </c>
      <c r="CC28" s="43">
        <f t="shared" si="153"/>
        <v>5.0000000000000001E-3</v>
      </c>
      <c r="CD28" s="43">
        <f t="shared" si="153"/>
        <v>5.0000000000000001E-3</v>
      </c>
      <c r="CE28" s="43">
        <f t="shared" si="153"/>
        <v>5.0000000000000001E-3</v>
      </c>
      <c r="CF28" s="43">
        <f t="shared" si="153"/>
        <v>5.0000000000000001E-3</v>
      </c>
      <c r="CG28" s="43">
        <f t="shared" si="153"/>
        <v>5.0000000000000001E-3</v>
      </c>
      <c r="CH28" s="43">
        <f t="shared" si="153"/>
        <v>5.0000000000000001E-3</v>
      </c>
      <c r="CI28" s="43">
        <f t="shared" si="153"/>
        <v>5.0000000000000001E-3</v>
      </c>
      <c r="CJ28" s="43">
        <f t="shared" si="153"/>
        <v>5.0000000000000001E-3</v>
      </c>
      <c r="CK28" s="43">
        <f t="shared" si="153"/>
        <v>5.0000000000000001E-3</v>
      </c>
      <c r="CL28" s="43">
        <f t="shared" si="153"/>
        <v>5.0000000000000001E-3</v>
      </c>
      <c r="CM28" s="43">
        <f t="shared" si="153"/>
        <v>5.0000000000000001E-3</v>
      </c>
      <c r="CN28" s="43">
        <f t="shared" si="153"/>
        <v>5.0000000000000001E-3</v>
      </c>
      <c r="CO28" s="43">
        <f t="shared" si="153"/>
        <v>5.0000000000000001E-3</v>
      </c>
      <c r="CP28" s="43">
        <f t="shared" si="153"/>
        <v>5.0000000000000001E-3</v>
      </c>
      <c r="CQ28" s="43">
        <f t="shared" si="153"/>
        <v>5.0000000000000001E-3</v>
      </c>
      <c r="CR28" s="43">
        <f t="shared" si="153"/>
        <v>5.0000000000000001E-3</v>
      </c>
      <c r="CS28" s="43">
        <f t="shared" si="153"/>
        <v>5.0000000000000001E-3</v>
      </c>
      <c r="CT28" s="43">
        <f t="shared" si="116"/>
        <v>5.0000000000000001E-3</v>
      </c>
      <c r="CV28" s="43">
        <f>AJ28</f>
        <v>5.0000000000000001E-3</v>
      </c>
      <c r="CW28" s="43">
        <f t="shared" si="122"/>
        <v>4.8333333333333336E-3</v>
      </c>
      <c r="CX28" s="43">
        <f t="shared" si="123"/>
        <v>4.6666666666666671E-3</v>
      </c>
      <c r="CY28" s="43">
        <f t="shared" si="124"/>
        <v>4.5000000000000005E-3</v>
      </c>
      <c r="CZ28" s="43">
        <f t="shared" si="125"/>
        <v>4.333333333333334E-3</v>
      </c>
      <c r="DA28" s="43">
        <f t="shared" si="126"/>
        <v>4.1666666666666675E-3</v>
      </c>
      <c r="DB28" s="43">
        <f t="shared" si="127"/>
        <v>4.000000000000001E-3</v>
      </c>
      <c r="DC28" s="43">
        <f t="shared" si="128"/>
        <v>3.8333333333333344E-3</v>
      </c>
      <c r="DD28" s="43">
        <f t="shared" si="129"/>
        <v>3.6666666666666679E-3</v>
      </c>
      <c r="DE28" s="43">
        <f t="shared" si="130"/>
        <v>3.5000000000000014E-3</v>
      </c>
      <c r="DF28" s="43">
        <f t="shared" si="131"/>
        <v>3.3333333333333348E-3</v>
      </c>
      <c r="DG28" s="43">
        <f t="shared" si="132"/>
        <v>3.1666666666666683E-3</v>
      </c>
      <c r="DH28" s="43">
        <f t="shared" si="133"/>
        <v>3.0000000000000018E-3</v>
      </c>
      <c r="DI28" s="43">
        <f t="shared" si="134"/>
        <v>2.8333333333333353E-3</v>
      </c>
      <c r="DJ28" s="43">
        <f t="shared" si="135"/>
        <v>2.6666666666666687E-3</v>
      </c>
      <c r="DK28" s="43">
        <f t="shared" si="136"/>
        <v>2.5000000000000022E-3</v>
      </c>
      <c r="DL28" s="43">
        <f t="shared" si="137"/>
        <v>2.3333333333333357E-3</v>
      </c>
      <c r="DM28" s="43">
        <f t="shared" si="138"/>
        <v>2.1666666666666692E-3</v>
      </c>
      <c r="DN28" s="43">
        <f t="shared" si="139"/>
        <v>2.0000000000000026E-3</v>
      </c>
      <c r="DO28" s="43">
        <f t="shared" si="140"/>
        <v>1.8333333333333359E-3</v>
      </c>
      <c r="DP28" s="43">
        <f t="shared" si="141"/>
        <v>1.6666666666666692E-3</v>
      </c>
      <c r="DQ28" s="43">
        <f t="shared" si="142"/>
        <v>1.5000000000000024E-3</v>
      </c>
      <c r="DR28" s="43">
        <f t="shared" si="143"/>
        <v>1.3333333333333357E-3</v>
      </c>
      <c r="DS28" s="43">
        <f t="shared" si="144"/>
        <v>1.1666666666666689E-3</v>
      </c>
      <c r="DT28" s="43">
        <f t="shared" si="145"/>
        <v>1.0000000000000022E-3</v>
      </c>
      <c r="DU28" s="43">
        <f t="shared" si="146"/>
        <v>8.3333333333333556E-4</v>
      </c>
      <c r="DV28" s="43">
        <f t="shared" si="147"/>
        <v>6.6666666666666892E-4</v>
      </c>
      <c r="DW28" s="43">
        <f t="shared" si="148"/>
        <v>5.0000000000000229E-4</v>
      </c>
      <c r="DX28" s="43">
        <f t="shared" si="149"/>
        <v>3.3333333333333565E-4</v>
      </c>
      <c r="DY28" s="43">
        <f t="shared" si="150"/>
        <v>1.6666666666666899E-4</v>
      </c>
      <c r="DZ28" s="43">
        <f t="shared" si="151"/>
        <v>0</v>
      </c>
    </row>
    <row r="29" spans="1:165">
      <c r="A29" s="606" t="s">
        <v>451</v>
      </c>
      <c r="C29" s="54" t="s">
        <v>458</v>
      </c>
      <c r="D29" s="43">
        <f>$B$191</f>
        <v>0</v>
      </c>
      <c r="E29" s="43">
        <f t="shared" ref="E29:AG29" si="154">D29-($D29-$AH29)/30</f>
        <v>0</v>
      </c>
      <c r="F29" s="43">
        <f t="shared" si="154"/>
        <v>0</v>
      </c>
      <c r="G29" s="43">
        <f t="shared" si="154"/>
        <v>0</v>
      </c>
      <c r="H29" s="43">
        <f t="shared" si="154"/>
        <v>0</v>
      </c>
      <c r="I29" s="43">
        <f t="shared" si="154"/>
        <v>0</v>
      </c>
      <c r="J29" s="43">
        <f t="shared" si="154"/>
        <v>0</v>
      </c>
      <c r="K29" s="43">
        <f t="shared" si="154"/>
        <v>0</v>
      </c>
      <c r="L29" s="43">
        <f t="shared" si="154"/>
        <v>0</v>
      </c>
      <c r="M29" s="43">
        <f t="shared" si="154"/>
        <v>0</v>
      </c>
      <c r="N29" s="43">
        <f t="shared" si="154"/>
        <v>0</v>
      </c>
      <c r="O29" s="43">
        <f t="shared" si="154"/>
        <v>0</v>
      </c>
      <c r="P29" s="43">
        <f t="shared" si="154"/>
        <v>0</v>
      </c>
      <c r="Q29" s="43">
        <f t="shared" si="154"/>
        <v>0</v>
      </c>
      <c r="R29" s="43">
        <f t="shared" si="154"/>
        <v>0</v>
      </c>
      <c r="S29" s="43">
        <f t="shared" si="154"/>
        <v>0</v>
      </c>
      <c r="T29" s="43">
        <f t="shared" si="154"/>
        <v>0</v>
      </c>
      <c r="U29" s="43">
        <f t="shared" si="154"/>
        <v>0</v>
      </c>
      <c r="V29" s="43">
        <f t="shared" si="154"/>
        <v>0</v>
      </c>
      <c r="W29" s="43">
        <f t="shared" si="154"/>
        <v>0</v>
      </c>
      <c r="X29" s="43">
        <f t="shared" si="154"/>
        <v>0</v>
      </c>
      <c r="Y29" s="43">
        <f t="shared" si="154"/>
        <v>0</v>
      </c>
      <c r="Z29" s="43">
        <f t="shared" si="154"/>
        <v>0</v>
      </c>
      <c r="AA29" s="43">
        <f t="shared" si="154"/>
        <v>0</v>
      </c>
      <c r="AB29" s="43">
        <f t="shared" si="154"/>
        <v>0</v>
      </c>
      <c r="AC29" s="43">
        <f t="shared" si="154"/>
        <v>0</v>
      </c>
      <c r="AD29" s="43">
        <f t="shared" si="154"/>
        <v>0</v>
      </c>
      <c r="AE29" s="43">
        <f t="shared" si="154"/>
        <v>0</v>
      </c>
      <c r="AF29" s="43">
        <f t="shared" si="154"/>
        <v>0</v>
      </c>
      <c r="AG29" s="43">
        <f t="shared" si="154"/>
        <v>0</v>
      </c>
      <c r="AH29" s="43">
        <f>$C$191</f>
        <v>0</v>
      </c>
      <c r="AI29" s="44"/>
      <c r="AJ29" s="43">
        <f t="shared" si="83"/>
        <v>0</v>
      </c>
      <c r="AK29" s="43">
        <f t="shared" si="84"/>
        <v>0</v>
      </c>
      <c r="AL29" s="43">
        <f t="shared" si="85"/>
        <v>0</v>
      </c>
      <c r="AM29" s="43">
        <f t="shared" si="86"/>
        <v>0</v>
      </c>
      <c r="AN29" s="43">
        <f t="shared" si="87"/>
        <v>0</v>
      </c>
      <c r="AO29" s="43">
        <f t="shared" si="88"/>
        <v>0</v>
      </c>
      <c r="AP29" s="43">
        <f t="shared" si="89"/>
        <v>0</v>
      </c>
      <c r="AQ29" s="43">
        <f t="shared" si="90"/>
        <v>0</v>
      </c>
      <c r="AR29" s="43">
        <f t="shared" si="91"/>
        <v>0</v>
      </c>
      <c r="AS29" s="43">
        <f t="shared" si="92"/>
        <v>0</v>
      </c>
      <c r="AT29" s="43">
        <f t="shared" si="93"/>
        <v>0</v>
      </c>
      <c r="AU29" s="43">
        <f t="shared" si="94"/>
        <v>0</v>
      </c>
      <c r="AV29" s="43">
        <f t="shared" si="95"/>
        <v>0</v>
      </c>
      <c r="AW29" s="43">
        <f t="shared" si="96"/>
        <v>0</v>
      </c>
      <c r="AX29" s="43">
        <f t="shared" si="97"/>
        <v>0</v>
      </c>
      <c r="AY29" s="43">
        <f t="shared" si="98"/>
        <v>0</v>
      </c>
      <c r="AZ29" s="43">
        <f t="shared" si="99"/>
        <v>0</v>
      </c>
      <c r="BA29" s="43">
        <f t="shared" si="100"/>
        <v>0</v>
      </c>
      <c r="BB29" s="43">
        <f t="shared" si="101"/>
        <v>0</v>
      </c>
      <c r="BC29" s="43">
        <f t="shared" si="102"/>
        <v>0</v>
      </c>
      <c r="BD29" s="43">
        <f t="shared" si="103"/>
        <v>0</v>
      </c>
      <c r="BE29" s="43">
        <f t="shared" si="104"/>
        <v>0</v>
      </c>
      <c r="BF29" s="43">
        <f t="shared" si="105"/>
        <v>0</v>
      </c>
      <c r="BG29" s="43">
        <f t="shared" si="106"/>
        <v>0</v>
      </c>
      <c r="BH29" s="43">
        <f t="shared" si="107"/>
        <v>0</v>
      </c>
      <c r="BI29" s="43">
        <f t="shared" si="108"/>
        <v>0</v>
      </c>
      <c r="BJ29" s="43">
        <f t="shared" si="109"/>
        <v>0</v>
      </c>
      <c r="BK29" s="43">
        <f t="shared" si="110"/>
        <v>0</v>
      </c>
      <c r="BL29" s="43">
        <f t="shared" si="111"/>
        <v>0</v>
      </c>
      <c r="BM29" s="43">
        <f t="shared" si="112"/>
        <v>0</v>
      </c>
      <c r="BN29" s="43">
        <f t="shared" si="113"/>
        <v>0</v>
      </c>
      <c r="BP29" s="43">
        <f t="shared" si="114"/>
        <v>0</v>
      </c>
      <c r="BQ29" s="43">
        <f t="shared" ref="BQ29:CS29" si="155">BP29-($BP29-$CT29)/30</f>
        <v>0</v>
      </c>
      <c r="BR29" s="43">
        <f t="shared" si="155"/>
        <v>0</v>
      </c>
      <c r="BS29" s="43">
        <f t="shared" si="155"/>
        <v>0</v>
      </c>
      <c r="BT29" s="43">
        <f t="shared" si="155"/>
        <v>0</v>
      </c>
      <c r="BU29" s="43">
        <f t="shared" si="155"/>
        <v>0</v>
      </c>
      <c r="BV29" s="43">
        <f t="shared" si="155"/>
        <v>0</v>
      </c>
      <c r="BW29" s="43">
        <f t="shared" si="155"/>
        <v>0</v>
      </c>
      <c r="BX29" s="43">
        <f t="shared" si="155"/>
        <v>0</v>
      </c>
      <c r="BY29" s="43">
        <f t="shared" si="155"/>
        <v>0</v>
      </c>
      <c r="BZ29" s="43">
        <f t="shared" si="155"/>
        <v>0</v>
      </c>
      <c r="CA29" s="43">
        <f t="shared" si="155"/>
        <v>0</v>
      </c>
      <c r="CB29" s="43">
        <f t="shared" si="155"/>
        <v>0</v>
      </c>
      <c r="CC29" s="43">
        <f t="shared" si="155"/>
        <v>0</v>
      </c>
      <c r="CD29" s="43">
        <f t="shared" si="155"/>
        <v>0</v>
      </c>
      <c r="CE29" s="43">
        <f t="shared" si="155"/>
        <v>0</v>
      </c>
      <c r="CF29" s="43">
        <f t="shared" si="155"/>
        <v>0</v>
      </c>
      <c r="CG29" s="43">
        <f t="shared" si="155"/>
        <v>0</v>
      </c>
      <c r="CH29" s="43">
        <f t="shared" si="155"/>
        <v>0</v>
      </c>
      <c r="CI29" s="43">
        <f t="shared" si="155"/>
        <v>0</v>
      </c>
      <c r="CJ29" s="43">
        <f t="shared" si="155"/>
        <v>0</v>
      </c>
      <c r="CK29" s="43">
        <f t="shared" si="155"/>
        <v>0</v>
      </c>
      <c r="CL29" s="43">
        <f t="shared" si="155"/>
        <v>0</v>
      </c>
      <c r="CM29" s="43">
        <f t="shared" si="155"/>
        <v>0</v>
      </c>
      <c r="CN29" s="43">
        <f t="shared" si="155"/>
        <v>0</v>
      </c>
      <c r="CO29" s="43">
        <f t="shared" si="155"/>
        <v>0</v>
      </c>
      <c r="CP29" s="43">
        <f t="shared" si="155"/>
        <v>0</v>
      </c>
      <c r="CQ29" s="43">
        <f t="shared" si="155"/>
        <v>0</v>
      </c>
      <c r="CR29" s="43">
        <f t="shared" si="155"/>
        <v>0</v>
      </c>
      <c r="CS29" s="43">
        <f t="shared" si="155"/>
        <v>0</v>
      </c>
      <c r="CT29" s="43">
        <f t="shared" si="116"/>
        <v>0</v>
      </c>
      <c r="CV29" s="43">
        <f t="shared" ref="CV29:CV32" si="156">AJ29</f>
        <v>0</v>
      </c>
      <c r="CW29" s="43">
        <f t="shared" ref="CW29:CW32" si="157">CV29-($BP29-$CT29)/30</f>
        <v>0</v>
      </c>
      <c r="CX29" s="43">
        <f t="shared" ref="CX29:CX32" si="158">CW29-($BP29-$CT29)/30</f>
        <v>0</v>
      </c>
      <c r="CY29" s="43">
        <f t="shared" ref="CY29:CY32" si="159">CX29-($BP29-$CT29)/30</f>
        <v>0</v>
      </c>
      <c r="CZ29" s="43">
        <f t="shared" ref="CZ29:CZ32" si="160">CY29-($BP29-$CT29)/30</f>
        <v>0</v>
      </c>
      <c r="DA29" s="43">
        <f t="shared" ref="DA29:DA32" si="161">CZ29-($BP29-$CT29)/30</f>
        <v>0</v>
      </c>
      <c r="DB29" s="43">
        <f t="shared" ref="DB29:DB32" si="162">DA29-($BP29-$CT29)/30</f>
        <v>0</v>
      </c>
      <c r="DC29" s="43">
        <f t="shared" ref="DC29:DC32" si="163">DB29-($BP29-$CT29)/30</f>
        <v>0</v>
      </c>
      <c r="DD29" s="43">
        <f t="shared" ref="DD29:DD32" si="164">DC29-($BP29-$CT29)/30</f>
        <v>0</v>
      </c>
      <c r="DE29" s="43">
        <f t="shared" ref="DE29:DE32" si="165">DD29-($BP29-$CT29)/30</f>
        <v>0</v>
      </c>
      <c r="DF29" s="43">
        <f t="shared" ref="DF29:DF32" si="166">DE29-($BP29-$CT29)/30</f>
        <v>0</v>
      </c>
      <c r="DG29" s="43">
        <f t="shared" ref="DG29:DG32" si="167">DF29-($BP29-$CT29)/30</f>
        <v>0</v>
      </c>
      <c r="DH29" s="43">
        <f t="shared" ref="DH29:DH32" si="168">DG29-($BP29-$CT29)/30</f>
        <v>0</v>
      </c>
      <c r="DI29" s="43">
        <f t="shared" ref="DI29:DI32" si="169">DH29-($BP29-$CT29)/30</f>
        <v>0</v>
      </c>
      <c r="DJ29" s="43">
        <f t="shared" ref="DJ29:DJ32" si="170">DI29-($BP29-$CT29)/30</f>
        <v>0</v>
      </c>
      <c r="DK29" s="43">
        <f t="shared" ref="DK29:DK32" si="171">DJ29-($BP29-$CT29)/30</f>
        <v>0</v>
      </c>
      <c r="DL29" s="43">
        <f t="shared" ref="DL29:DL32" si="172">DK29-($BP29-$CT29)/30</f>
        <v>0</v>
      </c>
      <c r="DM29" s="43">
        <f t="shared" ref="DM29:DM32" si="173">DL29-($BP29-$CT29)/30</f>
        <v>0</v>
      </c>
      <c r="DN29" s="43">
        <f t="shared" ref="DN29:DN32" si="174">DM29-($BP29-$CT29)/30</f>
        <v>0</v>
      </c>
      <c r="DO29" s="43">
        <f t="shared" ref="DO29:DO32" si="175">DN29-($BP29-$CT29)/30</f>
        <v>0</v>
      </c>
      <c r="DP29" s="43">
        <f t="shared" ref="DP29:DP32" si="176">DO29-($BP29-$CT29)/30</f>
        <v>0</v>
      </c>
      <c r="DQ29" s="43">
        <f t="shared" ref="DQ29:DQ32" si="177">DP29-($BP29-$CT29)/30</f>
        <v>0</v>
      </c>
      <c r="DR29" s="43">
        <f t="shared" ref="DR29:DR32" si="178">DQ29-($BP29-$CT29)/30</f>
        <v>0</v>
      </c>
      <c r="DS29" s="43">
        <f t="shared" ref="DS29:DS32" si="179">DR29-($BP29-$CT29)/30</f>
        <v>0</v>
      </c>
      <c r="DT29" s="43">
        <f t="shared" ref="DT29:DT32" si="180">DS29-($BP29-$CT29)/30</f>
        <v>0</v>
      </c>
      <c r="DU29" s="43">
        <f t="shared" ref="DU29:DU32" si="181">DT29-($BP29-$CT29)/30</f>
        <v>0</v>
      </c>
      <c r="DV29" s="43">
        <f t="shared" ref="DV29:DV32" si="182">DU29-($BP29-$CT29)/30</f>
        <v>0</v>
      </c>
      <c r="DW29" s="43">
        <f t="shared" ref="DW29:DW32" si="183">DV29-($BP29-$CT29)/30</f>
        <v>0</v>
      </c>
      <c r="DX29" s="43">
        <f t="shared" ref="DX29:DX32" si="184">DW29-($BP29-$CT29)/30</f>
        <v>0</v>
      </c>
      <c r="DY29" s="43">
        <f t="shared" ref="DY29:DY32" si="185">DX29-($BP29-$CT29)/30</f>
        <v>0</v>
      </c>
      <c r="DZ29" s="43">
        <v>0</v>
      </c>
    </row>
    <row r="30" spans="1:165">
      <c r="A30" s="606" t="s">
        <v>452</v>
      </c>
      <c r="C30" s="54" t="s">
        <v>458</v>
      </c>
      <c r="D30" s="43">
        <f>$B$192</f>
        <v>2.8940000000000001</v>
      </c>
      <c r="E30" s="43">
        <f t="shared" ref="E30:AG30" si="186">D30-($D30-$AH30)/30</f>
        <v>2.8940000000000001</v>
      </c>
      <c r="F30" s="43">
        <f t="shared" si="186"/>
        <v>2.8940000000000001</v>
      </c>
      <c r="G30" s="43">
        <f t="shared" si="186"/>
        <v>2.8940000000000001</v>
      </c>
      <c r="H30" s="43">
        <f t="shared" si="186"/>
        <v>2.8940000000000001</v>
      </c>
      <c r="I30" s="43">
        <f t="shared" si="186"/>
        <v>2.8940000000000001</v>
      </c>
      <c r="J30" s="43">
        <f t="shared" si="186"/>
        <v>2.8940000000000001</v>
      </c>
      <c r="K30" s="43">
        <f t="shared" si="186"/>
        <v>2.8940000000000001</v>
      </c>
      <c r="L30" s="43">
        <f t="shared" si="186"/>
        <v>2.8940000000000001</v>
      </c>
      <c r="M30" s="43">
        <f t="shared" si="186"/>
        <v>2.8940000000000001</v>
      </c>
      <c r="N30" s="43">
        <f t="shared" si="186"/>
        <v>2.8940000000000001</v>
      </c>
      <c r="O30" s="43">
        <f t="shared" si="186"/>
        <v>2.8940000000000001</v>
      </c>
      <c r="P30" s="43">
        <f t="shared" si="186"/>
        <v>2.8940000000000001</v>
      </c>
      <c r="Q30" s="43">
        <f t="shared" si="186"/>
        <v>2.8940000000000001</v>
      </c>
      <c r="R30" s="43">
        <f t="shared" si="186"/>
        <v>2.8940000000000001</v>
      </c>
      <c r="S30" s="43">
        <f t="shared" si="186"/>
        <v>2.8940000000000001</v>
      </c>
      <c r="T30" s="43">
        <f t="shared" si="186"/>
        <v>2.8940000000000001</v>
      </c>
      <c r="U30" s="43">
        <f t="shared" si="186"/>
        <v>2.8940000000000001</v>
      </c>
      <c r="V30" s="43">
        <f t="shared" si="186"/>
        <v>2.8940000000000001</v>
      </c>
      <c r="W30" s="43">
        <f t="shared" si="186"/>
        <v>2.8940000000000001</v>
      </c>
      <c r="X30" s="43">
        <f t="shared" si="186"/>
        <v>2.8940000000000001</v>
      </c>
      <c r="Y30" s="43">
        <f t="shared" si="186"/>
        <v>2.8940000000000001</v>
      </c>
      <c r="Z30" s="43">
        <f t="shared" si="186"/>
        <v>2.8940000000000001</v>
      </c>
      <c r="AA30" s="43">
        <f t="shared" si="186"/>
        <v>2.8940000000000001</v>
      </c>
      <c r="AB30" s="43">
        <f t="shared" si="186"/>
        <v>2.8940000000000001</v>
      </c>
      <c r="AC30" s="43">
        <f t="shared" si="186"/>
        <v>2.8940000000000001</v>
      </c>
      <c r="AD30" s="43">
        <f t="shared" si="186"/>
        <v>2.8940000000000001</v>
      </c>
      <c r="AE30" s="43">
        <f t="shared" si="186"/>
        <v>2.8940000000000001</v>
      </c>
      <c r="AF30" s="43">
        <f t="shared" si="186"/>
        <v>2.8940000000000001</v>
      </c>
      <c r="AG30" s="43">
        <f t="shared" si="186"/>
        <v>2.8940000000000001</v>
      </c>
      <c r="AH30" s="43">
        <f>$C$192</f>
        <v>2.8940000000000001</v>
      </c>
      <c r="AI30" s="44"/>
      <c r="AJ30" s="43">
        <f t="shared" si="83"/>
        <v>2.8940000000000001</v>
      </c>
      <c r="AK30" s="43">
        <f t="shared" si="84"/>
        <v>2.8940000000000001</v>
      </c>
      <c r="AL30" s="43">
        <f t="shared" si="85"/>
        <v>2.8940000000000001</v>
      </c>
      <c r="AM30" s="43">
        <f t="shared" si="86"/>
        <v>2.8940000000000001</v>
      </c>
      <c r="AN30" s="43">
        <f t="shared" si="87"/>
        <v>2.8940000000000001</v>
      </c>
      <c r="AO30" s="43">
        <f t="shared" si="88"/>
        <v>2.8940000000000001</v>
      </c>
      <c r="AP30" s="43">
        <f t="shared" si="89"/>
        <v>2.8940000000000001</v>
      </c>
      <c r="AQ30" s="43">
        <f t="shared" si="90"/>
        <v>2.8940000000000001</v>
      </c>
      <c r="AR30" s="43">
        <f t="shared" si="91"/>
        <v>2.8940000000000001</v>
      </c>
      <c r="AS30" s="43">
        <f t="shared" si="92"/>
        <v>2.8940000000000001</v>
      </c>
      <c r="AT30" s="43">
        <f t="shared" si="93"/>
        <v>2.8940000000000001</v>
      </c>
      <c r="AU30" s="43">
        <f t="shared" si="94"/>
        <v>2.8940000000000001</v>
      </c>
      <c r="AV30" s="43">
        <f t="shared" si="95"/>
        <v>2.8940000000000001</v>
      </c>
      <c r="AW30" s="43">
        <f t="shared" si="96"/>
        <v>2.8940000000000001</v>
      </c>
      <c r="AX30" s="43">
        <f t="shared" si="97"/>
        <v>2.8940000000000001</v>
      </c>
      <c r="AY30" s="43">
        <f t="shared" si="98"/>
        <v>2.8940000000000001</v>
      </c>
      <c r="AZ30" s="43">
        <f t="shared" si="99"/>
        <v>2.8940000000000001</v>
      </c>
      <c r="BA30" s="43">
        <f t="shared" si="100"/>
        <v>2.8940000000000001</v>
      </c>
      <c r="BB30" s="43">
        <f t="shared" si="101"/>
        <v>2.8940000000000001</v>
      </c>
      <c r="BC30" s="43">
        <f t="shared" si="102"/>
        <v>2.8940000000000001</v>
      </c>
      <c r="BD30" s="43">
        <f t="shared" si="103"/>
        <v>2.8940000000000001</v>
      </c>
      <c r="BE30" s="43">
        <f t="shared" si="104"/>
        <v>2.8940000000000001</v>
      </c>
      <c r="BF30" s="43">
        <f t="shared" si="105"/>
        <v>2.8940000000000001</v>
      </c>
      <c r="BG30" s="43">
        <f t="shared" si="106"/>
        <v>2.8940000000000001</v>
      </c>
      <c r="BH30" s="43">
        <f t="shared" si="107"/>
        <v>2.8940000000000001</v>
      </c>
      <c r="BI30" s="43">
        <f t="shared" si="108"/>
        <v>2.8940000000000001</v>
      </c>
      <c r="BJ30" s="43">
        <f t="shared" si="109"/>
        <v>2.8940000000000001</v>
      </c>
      <c r="BK30" s="43">
        <f t="shared" si="110"/>
        <v>2.8940000000000001</v>
      </c>
      <c r="BL30" s="43">
        <f t="shared" si="111"/>
        <v>2.8940000000000001</v>
      </c>
      <c r="BM30" s="43">
        <f t="shared" si="112"/>
        <v>2.8940000000000001</v>
      </c>
      <c r="BN30" s="43">
        <f t="shared" si="113"/>
        <v>2.8940000000000001</v>
      </c>
      <c r="BP30" s="43">
        <f t="shared" si="114"/>
        <v>2.8940000000000001</v>
      </c>
      <c r="BQ30" s="43">
        <f t="shared" ref="BQ30:CS30" si="187">BP30-($BP30-$CT30)/30</f>
        <v>2.8940000000000001</v>
      </c>
      <c r="BR30" s="43">
        <f t="shared" si="187"/>
        <v>2.8940000000000001</v>
      </c>
      <c r="BS30" s="43">
        <f t="shared" si="187"/>
        <v>2.8940000000000001</v>
      </c>
      <c r="BT30" s="43">
        <f t="shared" si="187"/>
        <v>2.8940000000000001</v>
      </c>
      <c r="BU30" s="43">
        <f t="shared" si="187"/>
        <v>2.8940000000000001</v>
      </c>
      <c r="BV30" s="43">
        <f t="shared" si="187"/>
        <v>2.8940000000000001</v>
      </c>
      <c r="BW30" s="43">
        <f t="shared" si="187"/>
        <v>2.8940000000000001</v>
      </c>
      <c r="BX30" s="43">
        <f t="shared" si="187"/>
        <v>2.8940000000000001</v>
      </c>
      <c r="BY30" s="43">
        <f t="shared" si="187"/>
        <v>2.8940000000000001</v>
      </c>
      <c r="BZ30" s="43">
        <f t="shared" si="187"/>
        <v>2.8940000000000001</v>
      </c>
      <c r="CA30" s="43">
        <f t="shared" si="187"/>
        <v>2.8940000000000001</v>
      </c>
      <c r="CB30" s="43">
        <f t="shared" si="187"/>
        <v>2.8940000000000001</v>
      </c>
      <c r="CC30" s="43">
        <f t="shared" si="187"/>
        <v>2.8940000000000001</v>
      </c>
      <c r="CD30" s="43">
        <f t="shared" si="187"/>
        <v>2.8940000000000001</v>
      </c>
      <c r="CE30" s="43">
        <f t="shared" si="187"/>
        <v>2.8940000000000001</v>
      </c>
      <c r="CF30" s="43">
        <f t="shared" si="187"/>
        <v>2.8940000000000001</v>
      </c>
      <c r="CG30" s="43">
        <f t="shared" si="187"/>
        <v>2.8940000000000001</v>
      </c>
      <c r="CH30" s="43">
        <f t="shared" si="187"/>
        <v>2.8940000000000001</v>
      </c>
      <c r="CI30" s="43">
        <f t="shared" si="187"/>
        <v>2.8940000000000001</v>
      </c>
      <c r="CJ30" s="43">
        <f t="shared" si="187"/>
        <v>2.8940000000000001</v>
      </c>
      <c r="CK30" s="43">
        <f t="shared" si="187"/>
        <v>2.8940000000000001</v>
      </c>
      <c r="CL30" s="43">
        <f t="shared" si="187"/>
        <v>2.8940000000000001</v>
      </c>
      <c r="CM30" s="43">
        <f t="shared" si="187"/>
        <v>2.8940000000000001</v>
      </c>
      <c r="CN30" s="43">
        <f t="shared" si="187"/>
        <v>2.8940000000000001</v>
      </c>
      <c r="CO30" s="43">
        <f t="shared" si="187"/>
        <v>2.8940000000000001</v>
      </c>
      <c r="CP30" s="43">
        <f t="shared" si="187"/>
        <v>2.8940000000000001</v>
      </c>
      <c r="CQ30" s="43">
        <f t="shared" si="187"/>
        <v>2.8940000000000001</v>
      </c>
      <c r="CR30" s="43">
        <f t="shared" si="187"/>
        <v>2.8940000000000001</v>
      </c>
      <c r="CS30" s="43">
        <f t="shared" si="187"/>
        <v>2.8940000000000001</v>
      </c>
      <c r="CT30" s="43">
        <f t="shared" si="116"/>
        <v>2.8940000000000001</v>
      </c>
      <c r="CV30" s="43">
        <f t="shared" si="156"/>
        <v>2.8940000000000001</v>
      </c>
      <c r="CW30" s="43">
        <f t="shared" si="157"/>
        <v>2.8940000000000001</v>
      </c>
      <c r="CX30" s="43">
        <f t="shared" si="158"/>
        <v>2.8940000000000001</v>
      </c>
      <c r="CY30" s="43">
        <f t="shared" si="159"/>
        <v>2.8940000000000001</v>
      </c>
      <c r="CZ30" s="43">
        <f t="shared" si="160"/>
        <v>2.8940000000000001</v>
      </c>
      <c r="DA30" s="43">
        <f t="shared" si="161"/>
        <v>2.8940000000000001</v>
      </c>
      <c r="DB30" s="43">
        <f t="shared" si="162"/>
        <v>2.8940000000000001</v>
      </c>
      <c r="DC30" s="43">
        <f t="shared" si="163"/>
        <v>2.8940000000000001</v>
      </c>
      <c r="DD30" s="43">
        <f t="shared" si="164"/>
        <v>2.8940000000000001</v>
      </c>
      <c r="DE30" s="43">
        <f t="shared" si="165"/>
        <v>2.8940000000000001</v>
      </c>
      <c r="DF30" s="43">
        <f t="shared" si="166"/>
        <v>2.8940000000000001</v>
      </c>
      <c r="DG30" s="43">
        <f t="shared" si="167"/>
        <v>2.8940000000000001</v>
      </c>
      <c r="DH30" s="43">
        <f t="shared" si="168"/>
        <v>2.8940000000000001</v>
      </c>
      <c r="DI30" s="43">
        <f t="shared" si="169"/>
        <v>2.8940000000000001</v>
      </c>
      <c r="DJ30" s="43">
        <f t="shared" si="170"/>
        <v>2.8940000000000001</v>
      </c>
      <c r="DK30" s="43">
        <f t="shared" si="171"/>
        <v>2.8940000000000001</v>
      </c>
      <c r="DL30" s="43">
        <f t="shared" si="172"/>
        <v>2.8940000000000001</v>
      </c>
      <c r="DM30" s="43">
        <f t="shared" si="173"/>
        <v>2.8940000000000001</v>
      </c>
      <c r="DN30" s="43">
        <f t="shared" si="174"/>
        <v>2.8940000000000001</v>
      </c>
      <c r="DO30" s="43">
        <f t="shared" si="175"/>
        <v>2.8940000000000001</v>
      </c>
      <c r="DP30" s="43">
        <f t="shared" si="176"/>
        <v>2.8940000000000001</v>
      </c>
      <c r="DQ30" s="43">
        <f t="shared" si="177"/>
        <v>2.8940000000000001</v>
      </c>
      <c r="DR30" s="43">
        <f t="shared" si="178"/>
        <v>2.8940000000000001</v>
      </c>
      <c r="DS30" s="43">
        <f t="shared" si="179"/>
        <v>2.8940000000000001</v>
      </c>
      <c r="DT30" s="43">
        <f t="shared" si="180"/>
        <v>2.8940000000000001</v>
      </c>
      <c r="DU30" s="43">
        <f t="shared" si="181"/>
        <v>2.8940000000000001</v>
      </c>
      <c r="DV30" s="43">
        <f t="shared" si="182"/>
        <v>2.8940000000000001</v>
      </c>
      <c r="DW30" s="43">
        <f t="shared" si="183"/>
        <v>2.8940000000000001</v>
      </c>
      <c r="DX30" s="43">
        <f t="shared" si="184"/>
        <v>2.8940000000000001</v>
      </c>
      <c r="DY30" s="43">
        <f t="shared" si="185"/>
        <v>2.8940000000000001</v>
      </c>
      <c r="DZ30" s="43">
        <f t="shared" ref="DZ30:DZ32" si="188">CV30</f>
        <v>2.8940000000000001</v>
      </c>
    </row>
    <row r="31" spans="1:165">
      <c r="A31" s="606" t="s">
        <v>453</v>
      </c>
      <c r="C31" s="54" t="s">
        <v>458</v>
      </c>
      <c r="D31" s="43">
        <f>$B$193</f>
        <v>0</v>
      </c>
      <c r="E31" s="43">
        <f t="shared" ref="E31:AG31" si="189">D31-($D31-$AH31)/30</f>
        <v>0</v>
      </c>
      <c r="F31" s="43">
        <f t="shared" si="189"/>
        <v>0</v>
      </c>
      <c r="G31" s="43">
        <f t="shared" si="189"/>
        <v>0</v>
      </c>
      <c r="H31" s="43">
        <f t="shared" si="189"/>
        <v>0</v>
      </c>
      <c r="I31" s="43">
        <f t="shared" si="189"/>
        <v>0</v>
      </c>
      <c r="J31" s="43">
        <f t="shared" si="189"/>
        <v>0</v>
      </c>
      <c r="K31" s="43">
        <f t="shared" si="189"/>
        <v>0</v>
      </c>
      <c r="L31" s="43">
        <f t="shared" si="189"/>
        <v>0</v>
      </c>
      <c r="M31" s="43">
        <f t="shared" si="189"/>
        <v>0</v>
      </c>
      <c r="N31" s="43">
        <f t="shared" si="189"/>
        <v>0</v>
      </c>
      <c r="O31" s="43">
        <f t="shared" si="189"/>
        <v>0</v>
      </c>
      <c r="P31" s="43">
        <f t="shared" si="189"/>
        <v>0</v>
      </c>
      <c r="Q31" s="43">
        <f t="shared" si="189"/>
        <v>0</v>
      </c>
      <c r="R31" s="43">
        <f t="shared" si="189"/>
        <v>0</v>
      </c>
      <c r="S31" s="43">
        <f t="shared" si="189"/>
        <v>0</v>
      </c>
      <c r="T31" s="43">
        <f t="shared" si="189"/>
        <v>0</v>
      </c>
      <c r="U31" s="43">
        <f t="shared" si="189"/>
        <v>0</v>
      </c>
      <c r="V31" s="43">
        <f t="shared" si="189"/>
        <v>0</v>
      </c>
      <c r="W31" s="43">
        <f t="shared" si="189"/>
        <v>0</v>
      </c>
      <c r="X31" s="43">
        <f t="shared" si="189"/>
        <v>0</v>
      </c>
      <c r="Y31" s="43">
        <f t="shared" si="189"/>
        <v>0</v>
      </c>
      <c r="Z31" s="43">
        <f t="shared" si="189"/>
        <v>0</v>
      </c>
      <c r="AA31" s="43">
        <f t="shared" si="189"/>
        <v>0</v>
      </c>
      <c r="AB31" s="43">
        <f t="shared" si="189"/>
        <v>0</v>
      </c>
      <c r="AC31" s="43">
        <f t="shared" si="189"/>
        <v>0</v>
      </c>
      <c r="AD31" s="43">
        <f t="shared" si="189"/>
        <v>0</v>
      </c>
      <c r="AE31" s="43">
        <f t="shared" si="189"/>
        <v>0</v>
      </c>
      <c r="AF31" s="43">
        <f t="shared" si="189"/>
        <v>0</v>
      </c>
      <c r="AG31" s="43">
        <f t="shared" si="189"/>
        <v>0</v>
      </c>
      <c r="AH31" s="43">
        <f>$C$193</f>
        <v>0</v>
      </c>
      <c r="AI31" s="44"/>
      <c r="AJ31" s="43">
        <f t="shared" si="83"/>
        <v>0</v>
      </c>
      <c r="AK31" s="43">
        <f t="shared" si="84"/>
        <v>0</v>
      </c>
      <c r="AL31" s="43">
        <f t="shared" si="85"/>
        <v>0</v>
      </c>
      <c r="AM31" s="43">
        <f t="shared" si="86"/>
        <v>0</v>
      </c>
      <c r="AN31" s="43">
        <f t="shared" si="87"/>
        <v>0</v>
      </c>
      <c r="AO31" s="43">
        <f t="shared" si="88"/>
        <v>0</v>
      </c>
      <c r="AP31" s="43">
        <f t="shared" si="89"/>
        <v>0</v>
      </c>
      <c r="AQ31" s="43">
        <f t="shared" si="90"/>
        <v>0</v>
      </c>
      <c r="AR31" s="43">
        <f t="shared" si="91"/>
        <v>0</v>
      </c>
      <c r="AS31" s="43">
        <f t="shared" si="92"/>
        <v>0</v>
      </c>
      <c r="AT31" s="43">
        <f t="shared" si="93"/>
        <v>0</v>
      </c>
      <c r="AU31" s="43">
        <f t="shared" si="94"/>
        <v>0</v>
      </c>
      <c r="AV31" s="43">
        <f t="shared" si="95"/>
        <v>0</v>
      </c>
      <c r="AW31" s="43">
        <f t="shared" si="96"/>
        <v>0</v>
      </c>
      <c r="AX31" s="43">
        <f t="shared" si="97"/>
        <v>0</v>
      </c>
      <c r="AY31" s="43">
        <f t="shared" si="98"/>
        <v>0</v>
      </c>
      <c r="AZ31" s="43">
        <f t="shared" si="99"/>
        <v>0</v>
      </c>
      <c r="BA31" s="43">
        <f t="shared" si="100"/>
        <v>0</v>
      </c>
      <c r="BB31" s="43">
        <f t="shared" si="101"/>
        <v>0</v>
      </c>
      <c r="BC31" s="43">
        <f t="shared" si="102"/>
        <v>0</v>
      </c>
      <c r="BD31" s="43">
        <f t="shared" si="103"/>
        <v>0</v>
      </c>
      <c r="BE31" s="43">
        <f t="shared" si="104"/>
        <v>0</v>
      </c>
      <c r="BF31" s="43">
        <f t="shared" si="105"/>
        <v>0</v>
      </c>
      <c r="BG31" s="43">
        <f t="shared" si="106"/>
        <v>0</v>
      </c>
      <c r="BH31" s="43">
        <f t="shared" si="107"/>
        <v>0</v>
      </c>
      <c r="BI31" s="43">
        <f t="shared" si="108"/>
        <v>0</v>
      </c>
      <c r="BJ31" s="43">
        <f t="shared" si="109"/>
        <v>0</v>
      </c>
      <c r="BK31" s="43">
        <f t="shared" si="110"/>
        <v>0</v>
      </c>
      <c r="BL31" s="43">
        <f t="shared" si="111"/>
        <v>0</v>
      </c>
      <c r="BM31" s="43">
        <f t="shared" si="112"/>
        <v>0</v>
      </c>
      <c r="BN31" s="43">
        <f t="shared" si="113"/>
        <v>0</v>
      </c>
      <c r="BP31" s="43">
        <f t="shared" si="114"/>
        <v>0</v>
      </c>
      <c r="BQ31" s="43">
        <f t="shared" ref="BQ31:CS31" si="190">BP31-($BP31-$CT31)/30</f>
        <v>0</v>
      </c>
      <c r="BR31" s="43">
        <f t="shared" si="190"/>
        <v>0</v>
      </c>
      <c r="BS31" s="43">
        <f t="shared" si="190"/>
        <v>0</v>
      </c>
      <c r="BT31" s="43">
        <f t="shared" si="190"/>
        <v>0</v>
      </c>
      <c r="BU31" s="43">
        <f t="shared" si="190"/>
        <v>0</v>
      </c>
      <c r="BV31" s="43">
        <f t="shared" si="190"/>
        <v>0</v>
      </c>
      <c r="BW31" s="43">
        <f t="shared" si="190"/>
        <v>0</v>
      </c>
      <c r="BX31" s="43">
        <f t="shared" si="190"/>
        <v>0</v>
      </c>
      <c r="BY31" s="43">
        <f t="shared" si="190"/>
        <v>0</v>
      </c>
      <c r="BZ31" s="43">
        <f t="shared" si="190"/>
        <v>0</v>
      </c>
      <c r="CA31" s="43">
        <f t="shared" si="190"/>
        <v>0</v>
      </c>
      <c r="CB31" s="43">
        <f t="shared" si="190"/>
        <v>0</v>
      </c>
      <c r="CC31" s="43">
        <f t="shared" si="190"/>
        <v>0</v>
      </c>
      <c r="CD31" s="43">
        <f t="shared" si="190"/>
        <v>0</v>
      </c>
      <c r="CE31" s="43">
        <f t="shared" si="190"/>
        <v>0</v>
      </c>
      <c r="CF31" s="43">
        <f t="shared" si="190"/>
        <v>0</v>
      </c>
      <c r="CG31" s="43">
        <f t="shared" si="190"/>
        <v>0</v>
      </c>
      <c r="CH31" s="43">
        <f t="shared" si="190"/>
        <v>0</v>
      </c>
      <c r="CI31" s="43">
        <f t="shared" si="190"/>
        <v>0</v>
      </c>
      <c r="CJ31" s="43">
        <f t="shared" si="190"/>
        <v>0</v>
      </c>
      <c r="CK31" s="43">
        <f t="shared" si="190"/>
        <v>0</v>
      </c>
      <c r="CL31" s="43">
        <f t="shared" si="190"/>
        <v>0</v>
      </c>
      <c r="CM31" s="43">
        <f t="shared" si="190"/>
        <v>0</v>
      </c>
      <c r="CN31" s="43">
        <f t="shared" si="190"/>
        <v>0</v>
      </c>
      <c r="CO31" s="43">
        <f t="shared" si="190"/>
        <v>0</v>
      </c>
      <c r="CP31" s="43">
        <f t="shared" si="190"/>
        <v>0</v>
      </c>
      <c r="CQ31" s="43">
        <f t="shared" si="190"/>
        <v>0</v>
      </c>
      <c r="CR31" s="43">
        <f t="shared" si="190"/>
        <v>0</v>
      </c>
      <c r="CS31" s="43">
        <f t="shared" si="190"/>
        <v>0</v>
      </c>
      <c r="CT31" s="43">
        <f t="shared" si="116"/>
        <v>0</v>
      </c>
      <c r="CV31" s="43">
        <f t="shared" si="156"/>
        <v>0</v>
      </c>
      <c r="CW31" s="43">
        <f t="shared" si="157"/>
        <v>0</v>
      </c>
      <c r="CX31" s="43">
        <f t="shared" si="158"/>
        <v>0</v>
      </c>
      <c r="CY31" s="43">
        <f t="shared" si="159"/>
        <v>0</v>
      </c>
      <c r="CZ31" s="43">
        <f t="shared" si="160"/>
        <v>0</v>
      </c>
      <c r="DA31" s="43">
        <f t="shared" si="161"/>
        <v>0</v>
      </c>
      <c r="DB31" s="43">
        <f t="shared" si="162"/>
        <v>0</v>
      </c>
      <c r="DC31" s="43">
        <f t="shared" si="163"/>
        <v>0</v>
      </c>
      <c r="DD31" s="43">
        <f t="shared" si="164"/>
        <v>0</v>
      </c>
      <c r="DE31" s="43">
        <f t="shared" si="165"/>
        <v>0</v>
      </c>
      <c r="DF31" s="43">
        <f t="shared" si="166"/>
        <v>0</v>
      </c>
      <c r="DG31" s="43">
        <f t="shared" si="167"/>
        <v>0</v>
      </c>
      <c r="DH31" s="43">
        <f t="shared" si="168"/>
        <v>0</v>
      </c>
      <c r="DI31" s="43">
        <f t="shared" si="169"/>
        <v>0</v>
      </c>
      <c r="DJ31" s="43">
        <f t="shared" si="170"/>
        <v>0</v>
      </c>
      <c r="DK31" s="43">
        <f t="shared" si="171"/>
        <v>0</v>
      </c>
      <c r="DL31" s="43">
        <f t="shared" si="172"/>
        <v>0</v>
      </c>
      <c r="DM31" s="43">
        <f t="shared" si="173"/>
        <v>0</v>
      </c>
      <c r="DN31" s="43">
        <f t="shared" si="174"/>
        <v>0</v>
      </c>
      <c r="DO31" s="43">
        <f t="shared" si="175"/>
        <v>0</v>
      </c>
      <c r="DP31" s="43">
        <f t="shared" si="176"/>
        <v>0</v>
      </c>
      <c r="DQ31" s="43">
        <f t="shared" si="177"/>
        <v>0</v>
      </c>
      <c r="DR31" s="43">
        <f t="shared" si="178"/>
        <v>0</v>
      </c>
      <c r="DS31" s="43">
        <f t="shared" si="179"/>
        <v>0</v>
      </c>
      <c r="DT31" s="43">
        <f t="shared" si="180"/>
        <v>0</v>
      </c>
      <c r="DU31" s="43">
        <f t="shared" si="181"/>
        <v>0</v>
      </c>
      <c r="DV31" s="43">
        <f t="shared" si="182"/>
        <v>0</v>
      </c>
      <c r="DW31" s="43">
        <f t="shared" si="183"/>
        <v>0</v>
      </c>
      <c r="DX31" s="43">
        <f t="shared" si="184"/>
        <v>0</v>
      </c>
      <c r="DY31" s="43">
        <f t="shared" si="185"/>
        <v>0</v>
      </c>
      <c r="DZ31" s="43">
        <f t="shared" si="188"/>
        <v>0</v>
      </c>
    </row>
    <row r="32" spans="1:165" ht="16" thickBot="1">
      <c r="A32" s="606" t="s">
        <v>454</v>
      </c>
      <c r="C32" s="54" t="s">
        <v>458</v>
      </c>
      <c r="D32" s="43">
        <f>$B$194</f>
        <v>0</v>
      </c>
      <c r="E32" s="43">
        <f t="shared" ref="E32:AG32" si="191">D32-($D32-$AH32)/30</f>
        <v>0</v>
      </c>
      <c r="F32" s="43">
        <f t="shared" si="191"/>
        <v>0</v>
      </c>
      <c r="G32" s="43">
        <f t="shared" si="191"/>
        <v>0</v>
      </c>
      <c r="H32" s="43">
        <f t="shared" si="191"/>
        <v>0</v>
      </c>
      <c r="I32" s="43">
        <f t="shared" si="191"/>
        <v>0</v>
      </c>
      <c r="J32" s="43">
        <f t="shared" si="191"/>
        <v>0</v>
      </c>
      <c r="K32" s="43">
        <f t="shared" si="191"/>
        <v>0</v>
      </c>
      <c r="L32" s="43">
        <f t="shared" si="191"/>
        <v>0</v>
      </c>
      <c r="M32" s="43">
        <f t="shared" si="191"/>
        <v>0</v>
      </c>
      <c r="N32" s="43">
        <f t="shared" si="191"/>
        <v>0</v>
      </c>
      <c r="O32" s="43">
        <f t="shared" si="191"/>
        <v>0</v>
      </c>
      <c r="P32" s="43">
        <f t="shared" si="191"/>
        <v>0</v>
      </c>
      <c r="Q32" s="43">
        <f t="shared" si="191"/>
        <v>0</v>
      </c>
      <c r="R32" s="43">
        <f t="shared" si="191"/>
        <v>0</v>
      </c>
      <c r="S32" s="43">
        <f t="shared" si="191"/>
        <v>0</v>
      </c>
      <c r="T32" s="43">
        <f t="shared" si="191"/>
        <v>0</v>
      </c>
      <c r="U32" s="43">
        <f t="shared" si="191"/>
        <v>0</v>
      </c>
      <c r="V32" s="43">
        <f t="shared" si="191"/>
        <v>0</v>
      </c>
      <c r="W32" s="43">
        <f t="shared" si="191"/>
        <v>0</v>
      </c>
      <c r="X32" s="43">
        <f t="shared" si="191"/>
        <v>0</v>
      </c>
      <c r="Y32" s="43">
        <f t="shared" si="191"/>
        <v>0</v>
      </c>
      <c r="Z32" s="43">
        <f t="shared" si="191"/>
        <v>0</v>
      </c>
      <c r="AA32" s="43">
        <f t="shared" si="191"/>
        <v>0</v>
      </c>
      <c r="AB32" s="43">
        <f t="shared" si="191"/>
        <v>0</v>
      </c>
      <c r="AC32" s="43">
        <f t="shared" si="191"/>
        <v>0</v>
      </c>
      <c r="AD32" s="43">
        <f t="shared" si="191"/>
        <v>0</v>
      </c>
      <c r="AE32" s="43">
        <f t="shared" si="191"/>
        <v>0</v>
      </c>
      <c r="AF32" s="43">
        <f t="shared" si="191"/>
        <v>0</v>
      </c>
      <c r="AG32" s="43">
        <f t="shared" si="191"/>
        <v>0</v>
      </c>
      <c r="AH32" s="43">
        <f>$C$194</f>
        <v>0</v>
      </c>
      <c r="AI32" s="44"/>
      <c r="AJ32" s="43">
        <f t="shared" si="83"/>
        <v>0</v>
      </c>
      <c r="AK32" s="43">
        <f t="shared" si="84"/>
        <v>0</v>
      </c>
      <c r="AL32" s="43">
        <f t="shared" si="85"/>
        <v>0</v>
      </c>
      <c r="AM32" s="43">
        <f t="shared" si="86"/>
        <v>0</v>
      </c>
      <c r="AN32" s="43">
        <f t="shared" si="87"/>
        <v>0</v>
      </c>
      <c r="AO32" s="43">
        <f t="shared" si="88"/>
        <v>0</v>
      </c>
      <c r="AP32" s="43">
        <f t="shared" si="89"/>
        <v>0</v>
      </c>
      <c r="AQ32" s="43">
        <f t="shared" si="90"/>
        <v>0</v>
      </c>
      <c r="AR32" s="43">
        <f t="shared" si="91"/>
        <v>0</v>
      </c>
      <c r="AS32" s="43">
        <f t="shared" si="92"/>
        <v>0</v>
      </c>
      <c r="AT32" s="43">
        <f t="shared" si="93"/>
        <v>0</v>
      </c>
      <c r="AU32" s="43">
        <f t="shared" si="94"/>
        <v>0</v>
      </c>
      <c r="AV32" s="43">
        <f t="shared" si="95"/>
        <v>0</v>
      </c>
      <c r="AW32" s="43">
        <f t="shared" si="96"/>
        <v>0</v>
      </c>
      <c r="AX32" s="43">
        <f t="shared" si="97"/>
        <v>0</v>
      </c>
      <c r="AY32" s="43">
        <f t="shared" si="98"/>
        <v>0</v>
      </c>
      <c r="AZ32" s="43">
        <f t="shared" si="99"/>
        <v>0</v>
      </c>
      <c r="BA32" s="43">
        <f t="shared" si="100"/>
        <v>0</v>
      </c>
      <c r="BB32" s="43">
        <f t="shared" si="101"/>
        <v>0</v>
      </c>
      <c r="BC32" s="43">
        <f t="shared" si="102"/>
        <v>0</v>
      </c>
      <c r="BD32" s="43">
        <f t="shared" si="103"/>
        <v>0</v>
      </c>
      <c r="BE32" s="43">
        <f t="shared" si="104"/>
        <v>0</v>
      </c>
      <c r="BF32" s="43">
        <f t="shared" si="105"/>
        <v>0</v>
      </c>
      <c r="BG32" s="43">
        <f t="shared" si="106"/>
        <v>0</v>
      </c>
      <c r="BH32" s="43">
        <f t="shared" si="107"/>
        <v>0</v>
      </c>
      <c r="BI32" s="43">
        <f t="shared" si="108"/>
        <v>0</v>
      </c>
      <c r="BJ32" s="43">
        <f t="shared" si="109"/>
        <v>0</v>
      </c>
      <c r="BK32" s="43">
        <f t="shared" si="110"/>
        <v>0</v>
      </c>
      <c r="BL32" s="43">
        <f t="shared" si="111"/>
        <v>0</v>
      </c>
      <c r="BM32" s="43">
        <f t="shared" si="112"/>
        <v>0</v>
      </c>
      <c r="BN32" s="43">
        <f t="shared" si="113"/>
        <v>0</v>
      </c>
      <c r="BP32" s="43">
        <f t="shared" si="114"/>
        <v>0</v>
      </c>
      <c r="BQ32" s="43">
        <f t="shared" ref="BQ32:CS32" si="192">BP32-($BP32-$CT32)/30</f>
        <v>0</v>
      </c>
      <c r="BR32" s="43">
        <f t="shared" si="192"/>
        <v>0</v>
      </c>
      <c r="BS32" s="43">
        <f t="shared" si="192"/>
        <v>0</v>
      </c>
      <c r="BT32" s="43">
        <f t="shared" si="192"/>
        <v>0</v>
      </c>
      <c r="BU32" s="43">
        <f t="shared" si="192"/>
        <v>0</v>
      </c>
      <c r="BV32" s="43">
        <f t="shared" si="192"/>
        <v>0</v>
      </c>
      <c r="BW32" s="43">
        <f t="shared" si="192"/>
        <v>0</v>
      </c>
      <c r="BX32" s="43">
        <f t="shared" si="192"/>
        <v>0</v>
      </c>
      <c r="BY32" s="43">
        <f t="shared" si="192"/>
        <v>0</v>
      </c>
      <c r="BZ32" s="43">
        <f t="shared" si="192"/>
        <v>0</v>
      </c>
      <c r="CA32" s="43">
        <f t="shared" si="192"/>
        <v>0</v>
      </c>
      <c r="CB32" s="43">
        <f t="shared" si="192"/>
        <v>0</v>
      </c>
      <c r="CC32" s="43">
        <f t="shared" si="192"/>
        <v>0</v>
      </c>
      <c r="CD32" s="43">
        <f t="shared" si="192"/>
        <v>0</v>
      </c>
      <c r="CE32" s="43">
        <f t="shared" si="192"/>
        <v>0</v>
      </c>
      <c r="CF32" s="43">
        <f t="shared" si="192"/>
        <v>0</v>
      </c>
      <c r="CG32" s="43">
        <f t="shared" si="192"/>
        <v>0</v>
      </c>
      <c r="CH32" s="43">
        <f t="shared" si="192"/>
        <v>0</v>
      </c>
      <c r="CI32" s="43">
        <f t="shared" si="192"/>
        <v>0</v>
      </c>
      <c r="CJ32" s="43">
        <f t="shared" si="192"/>
        <v>0</v>
      </c>
      <c r="CK32" s="43">
        <f t="shared" si="192"/>
        <v>0</v>
      </c>
      <c r="CL32" s="43">
        <f t="shared" si="192"/>
        <v>0</v>
      </c>
      <c r="CM32" s="43">
        <f t="shared" si="192"/>
        <v>0</v>
      </c>
      <c r="CN32" s="43">
        <f t="shared" si="192"/>
        <v>0</v>
      </c>
      <c r="CO32" s="43">
        <f t="shared" si="192"/>
        <v>0</v>
      </c>
      <c r="CP32" s="43">
        <f t="shared" si="192"/>
        <v>0</v>
      </c>
      <c r="CQ32" s="43">
        <f t="shared" si="192"/>
        <v>0</v>
      </c>
      <c r="CR32" s="43">
        <f t="shared" si="192"/>
        <v>0</v>
      </c>
      <c r="CS32" s="43">
        <f t="shared" si="192"/>
        <v>0</v>
      </c>
      <c r="CT32" s="43">
        <f t="shared" si="116"/>
        <v>0</v>
      </c>
      <c r="CV32" s="43">
        <f t="shared" si="156"/>
        <v>0</v>
      </c>
      <c r="CW32" s="43">
        <f t="shared" si="157"/>
        <v>0</v>
      </c>
      <c r="CX32" s="43">
        <f t="shared" si="158"/>
        <v>0</v>
      </c>
      <c r="CY32" s="43">
        <f t="shared" si="159"/>
        <v>0</v>
      </c>
      <c r="CZ32" s="43">
        <f t="shared" si="160"/>
        <v>0</v>
      </c>
      <c r="DA32" s="43">
        <f t="shared" si="161"/>
        <v>0</v>
      </c>
      <c r="DB32" s="43">
        <f t="shared" si="162"/>
        <v>0</v>
      </c>
      <c r="DC32" s="43">
        <f t="shared" si="163"/>
        <v>0</v>
      </c>
      <c r="DD32" s="43">
        <f t="shared" si="164"/>
        <v>0</v>
      </c>
      <c r="DE32" s="43">
        <f t="shared" si="165"/>
        <v>0</v>
      </c>
      <c r="DF32" s="43">
        <f t="shared" si="166"/>
        <v>0</v>
      </c>
      <c r="DG32" s="43">
        <f t="shared" si="167"/>
        <v>0</v>
      </c>
      <c r="DH32" s="43">
        <f t="shared" si="168"/>
        <v>0</v>
      </c>
      <c r="DI32" s="43">
        <f t="shared" si="169"/>
        <v>0</v>
      </c>
      <c r="DJ32" s="43">
        <f t="shared" si="170"/>
        <v>0</v>
      </c>
      <c r="DK32" s="43">
        <f t="shared" si="171"/>
        <v>0</v>
      </c>
      <c r="DL32" s="43">
        <f t="shared" si="172"/>
        <v>0</v>
      </c>
      <c r="DM32" s="43">
        <f t="shared" si="173"/>
        <v>0</v>
      </c>
      <c r="DN32" s="43">
        <f t="shared" si="174"/>
        <v>0</v>
      </c>
      <c r="DO32" s="43">
        <f t="shared" si="175"/>
        <v>0</v>
      </c>
      <c r="DP32" s="43">
        <f t="shared" si="176"/>
        <v>0</v>
      </c>
      <c r="DQ32" s="43">
        <f t="shared" si="177"/>
        <v>0</v>
      </c>
      <c r="DR32" s="43">
        <f t="shared" si="178"/>
        <v>0</v>
      </c>
      <c r="DS32" s="43">
        <f t="shared" si="179"/>
        <v>0</v>
      </c>
      <c r="DT32" s="43">
        <f t="shared" si="180"/>
        <v>0</v>
      </c>
      <c r="DU32" s="43">
        <f t="shared" si="181"/>
        <v>0</v>
      </c>
      <c r="DV32" s="43">
        <f t="shared" si="182"/>
        <v>0</v>
      </c>
      <c r="DW32" s="43">
        <f t="shared" si="183"/>
        <v>0</v>
      </c>
      <c r="DX32" s="43">
        <f t="shared" si="184"/>
        <v>0</v>
      </c>
      <c r="DY32" s="43">
        <f t="shared" si="185"/>
        <v>0</v>
      </c>
      <c r="DZ32" s="43">
        <f t="shared" si="188"/>
        <v>0</v>
      </c>
    </row>
    <row r="33" spans="1:165" s="624" customFormat="1" ht="16" thickBot="1">
      <c r="A33" s="623" t="s">
        <v>461</v>
      </c>
      <c r="C33" s="625"/>
      <c r="D33" s="626"/>
      <c r="E33" s="626"/>
      <c r="F33" s="626"/>
      <c r="G33" s="626"/>
      <c r="H33" s="626"/>
      <c r="I33" s="626"/>
      <c r="J33" s="626"/>
      <c r="K33" s="626"/>
      <c r="L33" s="626"/>
      <c r="M33" s="626"/>
      <c r="N33" s="626"/>
      <c r="O33" s="626"/>
      <c r="P33" s="626"/>
      <c r="Q33" s="626"/>
      <c r="R33" s="626"/>
      <c r="S33" s="626"/>
      <c r="T33" s="626"/>
      <c r="U33" s="626"/>
      <c r="V33" s="626"/>
      <c r="W33" s="626"/>
      <c r="X33" s="626"/>
      <c r="Y33" s="626"/>
      <c r="Z33" s="626"/>
      <c r="AA33" s="626"/>
      <c r="AB33" s="626"/>
      <c r="AC33" s="626"/>
      <c r="AD33" s="626"/>
      <c r="AE33" s="626"/>
      <c r="AF33" s="626"/>
      <c r="AG33" s="626"/>
      <c r="AH33" s="626"/>
      <c r="AI33" s="626"/>
      <c r="AJ33" s="626"/>
      <c r="AK33" s="626"/>
      <c r="AL33" s="626"/>
      <c r="AM33" s="626"/>
      <c r="AN33" s="626"/>
      <c r="AO33" s="626"/>
      <c r="AP33" s="626"/>
      <c r="AQ33" s="626"/>
      <c r="AR33" s="626"/>
      <c r="AS33" s="626"/>
      <c r="AT33" s="626"/>
      <c r="AU33" s="626"/>
      <c r="AV33" s="626"/>
      <c r="AW33" s="626"/>
      <c r="AX33" s="626"/>
      <c r="AY33" s="626"/>
      <c r="AZ33" s="626"/>
      <c r="BA33" s="626"/>
      <c r="BB33" s="626"/>
      <c r="BC33" s="626"/>
      <c r="BD33" s="626"/>
      <c r="BE33" s="626"/>
      <c r="BF33" s="626"/>
      <c r="BG33" s="626"/>
      <c r="BH33" s="626"/>
      <c r="BI33" s="626"/>
      <c r="BJ33" s="626"/>
      <c r="BK33" s="626"/>
      <c r="BL33" s="626"/>
      <c r="BM33" s="626"/>
      <c r="BN33" s="626"/>
      <c r="BP33" s="626"/>
      <c r="BQ33" s="626"/>
      <c r="BR33" s="626"/>
      <c r="BS33" s="626"/>
      <c r="BT33" s="626"/>
      <c r="BU33" s="626"/>
      <c r="BV33" s="626"/>
      <c r="BW33" s="626"/>
      <c r="BX33" s="626"/>
      <c r="BY33" s="626"/>
      <c r="BZ33" s="626"/>
      <c r="CA33" s="626"/>
      <c r="CB33" s="626"/>
      <c r="CC33" s="626"/>
      <c r="CD33" s="626"/>
      <c r="CE33" s="626"/>
      <c r="CF33" s="626"/>
      <c r="CG33" s="626"/>
      <c r="CH33" s="626"/>
      <c r="CI33" s="626"/>
      <c r="CJ33" s="626"/>
      <c r="CK33" s="626"/>
      <c r="CL33" s="626"/>
      <c r="CM33" s="626"/>
      <c r="CN33" s="626"/>
      <c r="CO33" s="626"/>
      <c r="CP33" s="626"/>
      <c r="CQ33" s="626"/>
      <c r="CR33" s="626"/>
      <c r="CS33" s="626"/>
      <c r="CT33" s="626"/>
      <c r="CV33" s="626"/>
      <c r="CW33" s="626"/>
      <c r="CX33" s="626"/>
      <c r="CY33" s="626"/>
      <c r="CZ33" s="626"/>
      <c r="DA33" s="626"/>
      <c r="DB33" s="626"/>
      <c r="DC33" s="626"/>
      <c r="DD33" s="626"/>
      <c r="DE33" s="626"/>
      <c r="DF33" s="626"/>
      <c r="DG33" s="626"/>
      <c r="DH33" s="626"/>
      <c r="DI33" s="626"/>
      <c r="DJ33" s="626"/>
      <c r="DK33" s="626"/>
      <c r="DL33" s="626"/>
      <c r="DM33" s="626"/>
      <c r="DN33" s="626"/>
      <c r="DO33" s="626"/>
      <c r="DP33" s="626"/>
      <c r="DQ33" s="626"/>
      <c r="DR33" s="626"/>
      <c r="DS33" s="626"/>
      <c r="DT33" s="626"/>
      <c r="DU33" s="626"/>
      <c r="DV33" s="626"/>
      <c r="DW33" s="626"/>
      <c r="DX33" s="626"/>
      <c r="DY33" s="626"/>
      <c r="DZ33" s="626"/>
      <c r="EK33" s="627"/>
      <c r="EL33" s="627"/>
      <c r="EM33" s="627"/>
      <c r="EN33" s="627"/>
      <c r="EO33" s="627"/>
      <c r="EP33" s="627"/>
      <c r="EQ33" s="627"/>
      <c r="ER33" s="627"/>
      <c r="ES33" s="627"/>
      <c r="ET33" s="627"/>
      <c r="EU33" s="627"/>
      <c r="EV33" s="627"/>
      <c r="EW33" s="627"/>
      <c r="EX33" s="627"/>
      <c r="EY33" s="627"/>
      <c r="EZ33" s="627"/>
      <c r="FA33" s="627"/>
      <c r="FB33" s="627"/>
      <c r="FC33" s="627"/>
      <c r="FD33" s="627"/>
      <c r="FE33" s="627"/>
      <c r="FF33" s="627"/>
      <c r="FG33" s="627"/>
      <c r="FH33" s="627"/>
      <c r="FI33" s="627"/>
    </row>
    <row r="34" spans="1:165">
      <c r="A34" s="606" t="s">
        <v>193</v>
      </c>
      <c r="C34" s="54" t="s">
        <v>462</v>
      </c>
      <c r="D34" s="168">
        <f>'Ethylene Recycling HC'!C268/'Ethylene Recycling HC'!C266</f>
        <v>0.1244096024777484</v>
      </c>
      <c r="E34" s="168">
        <f>'Ethylene Recycling HC'!D268/'Ethylene Recycling HC'!D266</f>
        <v>0.13023750490268587</v>
      </c>
      <c r="F34" s="168">
        <f>'Ethylene Recycling HC'!E268/'Ethylene Recycling HC'!E266</f>
        <v>0.13603977359262209</v>
      </c>
      <c r="G34" s="168">
        <f>'Ethylene Recycling HC'!F268/'Ethylene Recycling HC'!F266</f>
        <v>0.14181640854755709</v>
      </c>
      <c r="H34" s="168">
        <f>'Ethylene Recycling HC'!G268/'Ethylene Recycling HC'!G266</f>
        <v>0.14756740976749086</v>
      </c>
      <c r="I34" s="168">
        <f>'Ethylene Recycling HC'!H268/'Ethylene Recycling HC'!H266</f>
        <v>0.15329277725242327</v>
      </c>
      <c r="J34" s="168">
        <f>'Ethylene Recycling HC'!I268/'Ethylene Recycling HC'!I266</f>
        <v>0.15899251100235454</v>
      </c>
      <c r="K34" s="168">
        <f>'Ethylene Recycling HC'!J268/'Ethylene Recycling HC'!J266</f>
        <v>0.1646666110172845</v>
      </c>
      <c r="L34" s="168">
        <f>'Ethylene Recycling HC'!K268/'Ethylene Recycling HC'!K266</f>
        <v>0.17031507729721329</v>
      </c>
      <c r="M34" s="168">
        <f>'Ethylene Recycling HC'!L268/'Ethylene Recycling HC'!L266</f>
        <v>0.17593790984214078</v>
      </c>
      <c r="N34" s="168">
        <f>'Ethylene Recycling HC'!M268/'Ethylene Recycling HC'!M266</f>
        <v>0.18153510865206698</v>
      </c>
      <c r="O34" s="168">
        <f>'Ethylene Recycling HC'!N268/'Ethylene Recycling HC'!N266</f>
        <v>0.1936982995349982</v>
      </c>
      <c r="P34" s="168">
        <f>'Ethylene Recycling HC'!O268/'Ethylene Recycling HC'!O266</f>
        <v>0.20580746239184983</v>
      </c>
      <c r="Q34" s="168">
        <f>'Ethylene Recycling HC'!P268/'Ethylene Recycling HC'!P266</f>
        <v>0.21786048192454138</v>
      </c>
      <c r="R34" s="168">
        <f>'Ethylene Recycling HC'!Q268/'Ethylene Recycling HC'!Q266</f>
        <v>0.2298596461335167</v>
      </c>
      <c r="S34" s="168">
        <f>'Ethylene Recycling HC'!R268/'Ethylene Recycling HC'!R266</f>
        <v>0.24180495039020972</v>
      </c>
      <c r="T34" s="168">
        <f>'Ethylene Recycling HC'!S268/'Ethylene Recycling HC'!S266</f>
        <v>0.25369639006661809</v>
      </c>
      <c r="U34" s="168">
        <f>'Ethylene Recycling HC'!T268/'Ethylene Recycling HC'!T266</f>
        <v>0.26553396053530298</v>
      </c>
      <c r="V34" s="168">
        <f>'Ethylene Recycling HC'!U268/'Ethylene Recycling HC'!U266</f>
        <v>0.277317657169389</v>
      </c>
      <c r="W34" s="168">
        <f>'Ethylene Recycling HC'!V268/'Ethylene Recycling HC'!V266</f>
        <v>0.28904747534256392</v>
      </c>
      <c r="X34" s="168">
        <f>'Ethylene Recycling HC'!W268/'Ethylene Recycling HC'!W266</f>
        <v>0.30072341042907913</v>
      </c>
      <c r="Y34" s="168">
        <f>'Ethylene Recycling HC'!X268/'Ethylene Recycling HC'!X266</f>
        <v>0.32060744948990882</v>
      </c>
      <c r="Z34" s="168">
        <f>'Ethylene Recycling HC'!Y268/'Ethylene Recycling HC'!Y266</f>
        <v>0.34040132569965831</v>
      </c>
      <c r="AA34" s="168">
        <f>'Ethylene Recycling HC'!Z268/'Ethylene Recycling HC'!Z266</f>
        <v>0.36010329457270795</v>
      </c>
      <c r="AB34" s="168">
        <f>'Ethylene Recycling HC'!AA268/'Ethylene Recycling HC'!AA266</f>
        <v>0.37971545469929285</v>
      </c>
      <c r="AC34" s="168">
        <f>'Ethylene Recycling HC'!AB268/'Ethylene Recycling HC'!AB266</f>
        <v>0.39923778665811549</v>
      </c>
      <c r="AD34" s="168">
        <f>'Ethylene Recycling HC'!AC268/'Ethylene Recycling HC'!AC266</f>
        <v>0.41867027103378812</v>
      </c>
      <c r="AE34" s="168">
        <f>'Ethylene Recycling HC'!AD268/'Ethylene Recycling HC'!AD266</f>
        <v>0.43801288841683012</v>
      </c>
      <c r="AF34" s="168">
        <f>'Ethylene Recycling HC'!AE268/'Ethylene Recycling HC'!AE266</f>
        <v>0.45726561940366545</v>
      </c>
      <c r="AG34" s="168">
        <f>'Ethylene Recycling HC'!AF268/'Ethylene Recycling HC'!AF266</f>
        <v>0.47642844459662193</v>
      </c>
      <c r="AH34" s="168">
        <f>'Ethylene Recycling HC'!AG268/'Ethylene Recycling HC'!AG266</f>
        <v>0.49550134460392686</v>
      </c>
      <c r="AI34" s="44"/>
      <c r="AJ34" s="168">
        <f>'Ethylene Recycling LC'!C226/'Ethylene Recycling LC'!C224</f>
        <v>0.1244096024777484</v>
      </c>
      <c r="AK34" s="168">
        <f>'Ethylene Recycling LC'!D226/'Ethylene Recycling LC'!D224</f>
        <v>0.13023750490268587</v>
      </c>
      <c r="AL34" s="168">
        <f>'Ethylene Recycling LC'!E226/'Ethylene Recycling LC'!E224</f>
        <v>0.13603977359262212</v>
      </c>
      <c r="AM34" s="168">
        <f>'Ethylene Recycling LC'!F226/'Ethylene Recycling LC'!F224</f>
        <v>0.14181640854755706</v>
      </c>
      <c r="AN34" s="168">
        <f>'Ethylene Recycling LC'!G226/'Ethylene Recycling LC'!G224</f>
        <v>0.14756740976749086</v>
      </c>
      <c r="AO34" s="168">
        <f>'Ethylene Recycling LC'!H226/'Ethylene Recycling LC'!H224</f>
        <v>0.15329277725242327</v>
      </c>
      <c r="AP34" s="168">
        <f>'Ethylene Recycling LC'!I226/'Ethylene Recycling LC'!I224</f>
        <v>0.15899251100235454</v>
      </c>
      <c r="AQ34" s="168">
        <f>'Ethylene Recycling LC'!J226/'Ethylene Recycling LC'!J224</f>
        <v>0.1646666110172845</v>
      </c>
      <c r="AR34" s="168">
        <f>'Ethylene Recycling LC'!K226/'Ethylene Recycling LC'!K224</f>
        <v>0.17031507729721329</v>
      </c>
      <c r="AS34" s="168">
        <f>'Ethylene Recycling LC'!L226/'Ethylene Recycling LC'!L224</f>
        <v>0.17593790984214078</v>
      </c>
      <c r="AT34" s="168">
        <f>'Ethylene Recycling LC'!M226/'Ethylene Recycling LC'!M224</f>
        <v>0.18153510865206698</v>
      </c>
      <c r="AU34" s="168">
        <f>'Ethylene Recycling LC'!N226/'Ethylene Recycling LC'!N224</f>
        <v>0.1936982995349982</v>
      </c>
      <c r="AV34" s="168">
        <f>'Ethylene Recycling LC'!O226/'Ethylene Recycling LC'!O224</f>
        <v>0.20580746239184983</v>
      </c>
      <c r="AW34" s="168">
        <f>'Ethylene Recycling LC'!P226/'Ethylene Recycling LC'!P224</f>
        <v>0.21786379841805242</v>
      </c>
      <c r="AX34" s="168">
        <f>'Ethylene Recycling LC'!Q226/'Ethylene Recycling LC'!Q224</f>
        <v>0.22986664434093232</v>
      </c>
      <c r="AY34" s="168">
        <f>'Ethylene Recycling LC'!R226/'Ethylene Recycling LC'!R224</f>
        <v>0.2418159930555871</v>
      </c>
      <c r="AZ34" s="168">
        <f>'Ethylene Recycling LC'!S226/'Ethylene Recycling LC'!S224</f>
        <v>0.25371183745754672</v>
      </c>
      <c r="BA34" s="168">
        <f>'Ethylene Recycling LC'!T226/'Ethylene Recycling LC'!T224</f>
        <v>0.26555417044277391</v>
      </c>
      <c r="BB34" s="168">
        <f>'Ethylene Recycling LC'!U226/'Ethylene Recycling LC'!U224</f>
        <v>0.27734298490766363</v>
      </c>
      <c r="BC34" s="168">
        <f>'Ethylene Recycling LC'!V226/'Ethylene Recycling LC'!V224</f>
        <v>0.28907827374904355</v>
      </c>
      <c r="BD34" s="168">
        <f>'Ethylene Recycling LC'!W226/'Ethylene Recycling LC'!W224</f>
        <v>0.30076002986417405</v>
      </c>
      <c r="BE34" s="168">
        <f>'Ethylene Recycling LC'!X226/'Ethylene Recycling LC'!X224</f>
        <v>0.32065136965092389</v>
      </c>
      <c r="BF34" s="168">
        <f>'Ethylene Recycling LC'!Y226/'Ethylene Recycling LC'!Y224</f>
        <v>0.34045313794786281</v>
      </c>
      <c r="BG34" s="168">
        <f>'Ethylene Recycling LC'!Z226/'Ethylene Recycling LC'!Z224</f>
        <v>0.36016358308036861</v>
      </c>
      <c r="BH34" s="168">
        <f>'Ethylene Recycling LC'!AA226/'Ethylene Recycling LC'!AA224</f>
        <v>0.37978480172429169</v>
      </c>
      <c r="BI34" s="168">
        <f>'Ethylene Recycling LC'!AB226/'Ethylene Recycling LC'!AB224</f>
        <v>0.39931677024799228</v>
      </c>
      <c r="BJ34" s="168">
        <f>'Ethylene Recycling LC'!AC226/'Ethylene Recycling LC'!AC224</f>
        <v>0.41875946502558492</v>
      </c>
      <c r="BK34" s="168">
        <f>'Ethylene Recycling LC'!AD226/'Ethylene Recycling LC'!AD224</f>
        <v>0.43811286243693592</v>
      </c>
      <c r="BL34" s="168">
        <f>'Ethylene Recycling LC'!AE226/'Ethylene Recycling LC'!AE224</f>
        <v>0.45737693886766195</v>
      </c>
      <c r="BM34" s="168">
        <f>'Ethylene Recycling LC'!AF226/'Ethylene Recycling LC'!AF224</f>
        <v>0.47655167070912791</v>
      </c>
      <c r="BN34" s="168">
        <f>'Ethylene Recycling LC'!AG226/'Ethylene Recycling LC'!AG224</f>
        <v>0.49563703435844564</v>
      </c>
      <c r="BP34" s="168">
        <f>'Ethylene Recycling HC'!C258/'Ethylene Recycling HC'!C256</f>
        <v>0.1244096024777484</v>
      </c>
      <c r="BQ34" s="168">
        <f>'Ethylene Recycling HC'!D258/'Ethylene Recycling HC'!D256</f>
        <v>0.12238472338060473</v>
      </c>
      <c r="BR34" s="168">
        <f>'Ethylene Recycling HC'!E258/'Ethylene Recycling HC'!E256</f>
        <v>0.12070834104856779</v>
      </c>
      <c r="BS34" s="168">
        <f>'Ethylene Recycling HC'!F258/'Ethylene Recycling HC'!F256</f>
        <v>0.11936674812855302</v>
      </c>
      <c r="BT34" s="168">
        <f>'Ethylene Recycling HC'!G258/'Ethylene Recycling HC'!G256</f>
        <v>0.1183490277531237</v>
      </c>
      <c r="BU34" s="168">
        <f>'Ethylene Recycling HC'!H258/'Ethylene Recycling HC'!H256</f>
        <v>0.11764690538963903</v>
      </c>
      <c r="BV34" s="168">
        <f>'Ethylene Recycling HC'!I258/'Ethylene Recycling HC'!I256</f>
        <v>0.1170022096879301</v>
      </c>
      <c r="BW34" s="168">
        <f>'Ethylene Recycling HC'!J258/'Ethylene Recycling HC'!J256</f>
        <v>0.11641410514804341</v>
      </c>
      <c r="BX34" s="168">
        <f>'Ethylene Recycling HC'!K258/'Ethylene Recycling HC'!K256</f>
        <v>0.11588183687869243</v>
      </c>
      <c r="BY34" s="168">
        <f>'Ethylene Recycling HC'!L258/'Ethylene Recycling HC'!L256</f>
        <v>0.1154047290040101</v>
      </c>
      <c r="BZ34" s="168">
        <f>'Ethylene Recycling HC'!M258/'Ethylene Recycling HC'!M256</f>
        <v>0.11498218325411065</v>
      </c>
      <c r="CA34" s="168">
        <f>'Ethylene Recycling HC'!N258/'Ethylene Recycling HC'!N256</f>
        <v>0.11477790088303043</v>
      </c>
      <c r="CB34" s="168">
        <f>'Ethylene Recycling HC'!O258/'Ethylene Recycling HC'!O256</f>
        <v>0.11479116827202895</v>
      </c>
      <c r="CC34" s="168">
        <f>'Ethylene Recycling HC'!P258/'Ethylene Recycling HC'!P256</f>
        <v>0.11502250986077536</v>
      </c>
      <c r="CD34" s="168">
        <f>'Ethylene Recycling HC'!Q258/'Ethylene Recycling HC'!Q256</f>
        <v>0.11547369740200648</v>
      </c>
      <c r="CE34" s="168">
        <f>'Ethylene Recycling HC'!R258/'Ethylene Recycling HC'!R256</f>
        <v>0.11614777116677601</v>
      </c>
      <c r="CF34" s="168">
        <f>'Ethylene Recycling HC'!S258/'Ethylene Recycling HC'!S256</f>
        <v>0.11683856891556076</v>
      </c>
      <c r="CG34" s="168">
        <f>'Ethylene Recycling HC'!T258/'Ethylene Recycling HC'!T256</f>
        <v>0.11754635097476956</v>
      </c>
      <c r="CH34" s="168">
        <f>'Ethylene Recycling HC'!U258/'Ethylene Recycling HC'!U256</f>
        <v>0.11827138499340757</v>
      </c>
      <c r="CI34" s="168">
        <f>'Ethylene Recycling HC'!V258/'Ethylene Recycling HC'!V256</f>
        <v>0.11901394611303961</v>
      </c>
      <c r="CJ34" s="168">
        <f>'Ethylene Recycling HC'!W258/'Ethylene Recycling HC'!W256</f>
        <v>0.11977431714311855</v>
      </c>
      <c r="CK34" s="168">
        <f>'Ethylene Recycling HC'!X258/'Ethylene Recycling HC'!X256</f>
        <v>0.12055146093840829</v>
      </c>
      <c r="CL34" s="168">
        <f>'Ethylene Recycling HC'!Y258/'Ethylene Recycling HC'!Y256</f>
        <v>0.12134564788229356</v>
      </c>
      <c r="CM34" s="168">
        <f>'Ethylene Recycling HC'!Z258/'Ethylene Recycling HC'!Z256</f>
        <v>0.12215715534206703</v>
      </c>
      <c r="CN34" s="168">
        <f>'Ethylene Recycling HC'!AA258/'Ethylene Recycling HC'!AA256</f>
        <v>0.12298626783131163</v>
      </c>
      <c r="CO34" s="168">
        <f>'Ethylene Recycling HC'!AB258/'Ethylene Recycling HC'!AB256</f>
        <v>0.12383327717707693</v>
      </c>
      <c r="CP34" s="168">
        <f>'Ethylene Recycling HC'!AC258/'Ethylene Recycling HC'!AC256</f>
        <v>0.12469730377412702</v>
      </c>
      <c r="CQ34" s="168">
        <f>'Ethylene Recycling HC'!AD258/'Ethylene Recycling HC'!AD256</f>
        <v>0.12557862799655367</v>
      </c>
      <c r="CR34" s="168">
        <f>'Ethylene Recycling HC'!AE258/'Ethylene Recycling HC'!AE256</f>
        <v>0.12647753698676634</v>
      </c>
      <c r="CS34" s="168">
        <f>'Ethylene Recycling HC'!AF258/'Ethylene Recycling HC'!AF256</f>
        <v>0.12739432481183355</v>
      </c>
      <c r="CT34" s="168">
        <f>'Ethylene Recycling HC'!AG258/'Ethylene Recycling HC'!AG256</f>
        <v>0.12832929262419485</v>
      </c>
      <c r="CV34" s="168">
        <f>'Ethylene Recycling LC'!C226/'Ethylene Recycling HC'!C256</f>
        <v>0.1244096024777484</v>
      </c>
      <c r="CW34" s="168">
        <f>'Ethylene Recycling LC'!D226/'Ethylene Recycling HC'!D256</f>
        <v>0.13023750490268587</v>
      </c>
      <c r="CX34" s="168">
        <f>'Ethylene Recycling LC'!E226/'Ethylene Recycling HC'!E256</f>
        <v>0.13603977359262212</v>
      </c>
      <c r="CY34" s="168">
        <f>'Ethylene Recycling LC'!F226/'Ethylene Recycling HC'!F256</f>
        <v>0.14181640854755706</v>
      </c>
      <c r="CZ34" s="168">
        <f>'Ethylene Recycling LC'!G226/'Ethylene Recycling HC'!G256</f>
        <v>0.14756740976749086</v>
      </c>
      <c r="DA34" s="168">
        <f>'Ethylene Recycling LC'!H226/'Ethylene Recycling HC'!H256</f>
        <v>0.15329277725242327</v>
      </c>
      <c r="DB34" s="168">
        <f>'Ethylene Recycling LC'!I226/'Ethylene Recycling HC'!I256</f>
        <v>0.15899251100235454</v>
      </c>
      <c r="DC34" s="168">
        <f>'Ethylene Recycling LC'!J226/'Ethylene Recycling HC'!J256</f>
        <v>0.1646666110172845</v>
      </c>
      <c r="DD34" s="168">
        <f>'Ethylene Recycling LC'!K226/'Ethylene Recycling HC'!K256</f>
        <v>0.17031507729721329</v>
      </c>
      <c r="DE34" s="168">
        <f>'Ethylene Recycling LC'!L226/'Ethylene Recycling HC'!L256</f>
        <v>0.17593790984214078</v>
      </c>
      <c r="DF34" s="168">
        <f>'Ethylene Recycling LC'!M226/'Ethylene Recycling HC'!M256</f>
        <v>0.18153510865206698</v>
      </c>
      <c r="DG34" s="168">
        <f>'Ethylene Recycling LC'!N226/'Ethylene Recycling HC'!N256</f>
        <v>0.1936982995349982</v>
      </c>
      <c r="DH34" s="168">
        <f>'Ethylene Recycling LC'!O226/'Ethylene Recycling HC'!O256</f>
        <v>0.20580746239184983</v>
      </c>
      <c r="DI34" s="168">
        <f>'Ethylene Recycling LC'!P226/'Ethylene Recycling HC'!P256</f>
        <v>0.21786711501253905</v>
      </c>
      <c r="DJ34" s="168">
        <f>'Ethylene Recycling LC'!Q226/'Ethylene Recycling HC'!Q256</f>
        <v>0.22987364297448976</v>
      </c>
      <c r="DK34" s="168">
        <f>'Ethylene Recycling LC'!R226/'Ethylene Recycling HC'!R256</f>
        <v>0.24182703672959591</v>
      </c>
      <c r="DL34" s="168">
        <f>'Ethylene Recycling LC'!S226/'Ethylene Recycling HC'!S256</f>
        <v>0.25372728672975103</v>
      </c>
      <c r="DM34" s="168">
        <f>'Ethylene Recycling LC'!T226/'Ethylene Recycling HC'!T256</f>
        <v>0.26557438342684891</v>
      </c>
      <c r="DN34" s="168">
        <f>'Ethylene Recycling LC'!U226/'Ethylene Recycling HC'!U256</f>
        <v>0.27736831727278338</v>
      </c>
      <c r="DO34" s="168">
        <f>'Ethylene Recycling LC'!V226/'Ethylene Recycling HC'!V256</f>
        <v>0.28910907871944785</v>
      </c>
      <c r="DP34" s="168">
        <f>'Ethylene Recycling LC'!W226/'Ethylene Recycling HC'!W256</f>
        <v>0.30079665821873636</v>
      </c>
      <c r="DQ34" s="168">
        <f>'Ethylene Recycling LC'!X226/'Ethylene Recycling HC'!X256</f>
        <v>0.3206953018468735</v>
      </c>
      <c r="DR34" s="168">
        <f>'Ethylene Recycling LC'!Y226/'Ethylene Recycling HC'!Y256</f>
        <v>0.34050496597108065</v>
      </c>
      <c r="DS34" s="168">
        <f>'Ethylene Recycling LC'!Z226/'Ethylene Recycling HC'!Z256</f>
        <v>0.36024034311060965</v>
      </c>
      <c r="DT34" s="168">
        <f>'Ethylene Recycling LC'!AA226/'Ethylene Recycling HC'!AA256</f>
        <v>0.37988886976770092</v>
      </c>
      <c r="DU34" s="168">
        <f>'Ethylene Recycling LC'!AB226/'Ethylene Recycling HC'!AB256</f>
        <v>0.39945050600299731</v>
      </c>
      <c r="DV34" s="168">
        <f>'Ethylene Recycling LC'!AC226/'Ethylene Recycling HC'!AC256</f>
        <v>0.41892521187714221</v>
      </c>
      <c r="DW34" s="168">
        <f>'Ethylene Recycling LC'!AD226/'Ethylene Recycling HC'!AD256</f>
        <v>0.43831294745077903</v>
      </c>
      <c r="DX34" s="168">
        <f>'Ethylene Recycling LC'!AE226/'Ethylene Recycling HC'!AE256</f>
        <v>0.45761367278455095</v>
      </c>
      <c r="DY34" s="168">
        <f>'Ethylene Recycling LC'!AF226/'Ethylene Recycling HC'!AF256</f>
        <v>0.47682734793910125</v>
      </c>
      <c r="DZ34" s="168">
        <f>'Ethylene Recycling LC'!AG226/'Ethylene Recycling HC'!AG256</f>
        <v>0.49595393297507334</v>
      </c>
    </row>
    <row r="35" spans="1:165">
      <c r="A35" s="606" t="s">
        <v>88</v>
      </c>
      <c r="C35" s="54" t="s">
        <v>462</v>
      </c>
      <c r="D35" s="168">
        <f>('Ethylene Recycling HC'!C311+'Ethylene Recycling HC'!C313)/'Ethylene Recycling HC'!C266</f>
        <v>5.1618069506838636E-7</v>
      </c>
      <c r="E35" s="168">
        <f>('Ethylene Recycling HC'!D311+'Ethylene Recycling HC'!D313)/'Ethylene Recycling HC'!D266</f>
        <v>1.0394315889216699E-6</v>
      </c>
      <c r="F35" s="168">
        <f>('Ethylene Recycling HC'!E311+'Ethylene Recycling HC'!E313)/'Ethylene Recycling HC'!E266</f>
        <v>2.0886787790577259E-6</v>
      </c>
      <c r="G35" s="168">
        <f>('Ethylene Recycling HC'!F311+'Ethylene Recycling HC'!F313)/'Ethylene Recycling HC'!F266</f>
        <v>4.1853883099056701E-6</v>
      </c>
      <c r="H35" s="168">
        <f>('Ethylene Recycling HC'!G311+'Ethylene Recycling HC'!G313)/'Ethylene Recycling HC'!G266</f>
        <v>8.3554748946043746E-6</v>
      </c>
      <c r="I35" s="168">
        <f>('Ethylene Recycling HC'!H311+'Ethylene Recycling HC'!H313)/'Ethylene Recycling HC'!H266</f>
        <v>1.6595580395103861E-5</v>
      </c>
      <c r="J35" s="168">
        <f>('Ethylene Recycling HC'!I311+'Ethylene Recycling HC'!I313)/'Ethylene Recycling HC'!I266</f>
        <v>3.2733237849204314E-5</v>
      </c>
      <c r="K35" s="168">
        <f>('Ethylene Recycling HC'!J311+'Ethylene Recycling HC'!J313)/'Ethylene Recycling HC'!J266</f>
        <v>6.3952110949596692E-5</v>
      </c>
      <c r="L35" s="168">
        <f>('Ethylene Recycling HC'!K311+'Ethylene Recycling HC'!K313)/'Ethylene Recycling HC'!K266</f>
        <v>1.2334195185064622E-4</v>
      </c>
      <c r="M35" s="168">
        <f>('Ethylene Recycling HC'!L311+'Ethylene Recycling HC'!L313)/'Ethylene Recycling HC'!L266</f>
        <v>2.3379118022276549E-4</v>
      </c>
      <c r="N35" s="168">
        <f>('Ethylene Recycling HC'!M311+'Ethylene Recycling HC'!M313)/'Ethylene Recycling HC'!M266</f>
        <v>4.3496343348727593E-4</v>
      </c>
      <c r="O35" s="168">
        <f>('Ethylene Recycling HC'!N311+'Ethylene Recycling HC'!N313)/'Ethylene Recycling HC'!N266</f>
        <v>7.3717896582739799E-4</v>
      </c>
      <c r="P35" s="168">
        <f>('Ethylene Recycling HC'!O311+'Ethylene Recycling HC'!O313)/'Ethylene Recycling HC'!O266</f>
        <v>1.2073871885698467E-3</v>
      </c>
      <c r="Q35" s="168">
        <f>('Ethylene Recycling HC'!P311+'Ethylene Recycling HC'!P313)/'Ethylene Recycling HC'!P266</f>
        <v>1.888252954369847E-3</v>
      </c>
      <c r="R35" s="168">
        <f>('Ethylene Recycling HC'!Q311+'Ethylene Recycling HC'!Q313)/'Ethylene Recycling HC'!Q266</f>
        <v>2.80046484882594E-3</v>
      </c>
      <c r="S35" s="168">
        <f>('Ethylene Recycling HC'!R311+'Ethylene Recycling HC'!R313)/'Ethylene Recycling HC'!R266</f>
        <v>4.1567399613534617E-3</v>
      </c>
      <c r="T35" s="168">
        <f>('Ethylene Recycling HC'!S311+'Ethylene Recycling HC'!S313)/'Ethylene Recycling HC'!S266</f>
        <v>5.9252533449701628E-3</v>
      </c>
      <c r="U35" s="168">
        <f>('Ethylene Recycling HC'!T311+'Ethylene Recycling HC'!T313)/'Ethylene Recycling HC'!T266</f>
        <v>7.9550568242697552E-3</v>
      </c>
      <c r="V35" s="168">
        <f>('Ethylene Recycling HC'!U311+'Ethylene Recycling HC'!U313)/'Ethylene Recycling HC'!U266</f>
        <v>1.011109803138377E-2</v>
      </c>
      <c r="W35" s="168">
        <f>('Ethylene Recycling HC'!V311+'Ethylene Recycling HC'!V313)/'Ethylene Recycling HC'!V266</f>
        <v>1.2254722918750068E-2</v>
      </c>
      <c r="X35" s="168">
        <f>('Ethylene Recycling HC'!W311+'Ethylene Recycling HC'!W313)/'Ethylene Recycling HC'!W266</f>
        <v>1.4278803635664548E-2</v>
      </c>
      <c r="Y35" s="168">
        <f>('Ethylene Recycling HC'!X311+'Ethylene Recycling HC'!X313)/'Ethylene Recycling HC'!X266</f>
        <v>1.6587900982139824E-2</v>
      </c>
      <c r="Z35" s="168">
        <f>('Ethylene Recycling HC'!Y311+'Ethylene Recycling HC'!Y313)/'Ethylene Recycling HC'!Y266</f>
        <v>1.8757752091764408E-2</v>
      </c>
      <c r="AA35" s="168">
        <f>('Ethylene Recycling HC'!Z311+'Ethylene Recycling HC'!Z313)/'Ethylene Recycling HC'!Z266</f>
        <v>2.0799491754974669E-2</v>
      </c>
      <c r="AB35" s="168">
        <f>('Ethylene Recycling HC'!AA311+'Ethylene Recycling HC'!AA313)/'Ethylene Recycling HC'!AA266</f>
        <v>2.2768107156559702E-2</v>
      </c>
      <c r="AC35" s="168">
        <f>('Ethylene Recycling HC'!AB311+'Ethylene Recycling HC'!AB313)/'Ethylene Recycling HC'!AB266</f>
        <v>2.4760582827623012E-2</v>
      </c>
      <c r="AD35" s="168">
        <f>('Ethylene Recycling HC'!AC311+'Ethylene Recycling HC'!AC313)/'Ethylene Recycling HC'!AC266</f>
        <v>2.6914547672249076E-2</v>
      </c>
      <c r="AE35" s="168">
        <f>('Ethylene Recycling HC'!AD311+'Ethylene Recycling HC'!AD313)/'Ethylene Recycling HC'!AD266</f>
        <v>2.9398137822606522E-2</v>
      </c>
      <c r="AF35" s="168">
        <f>('Ethylene Recycling HC'!AE311+'Ethylene Recycling HC'!AE313)/'Ethylene Recycling HC'!AE266</f>
        <v>3.2379257057143805E-2</v>
      </c>
      <c r="AG35" s="168">
        <f>('Ethylene Recycling HC'!AF311+'Ethylene Recycling HC'!AF313)/'Ethylene Recycling HC'!AF266</f>
        <v>3.5969035994114246E-2</v>
      </c>
      <c r="AH35" s="168">
        <f>('Ethylene Recycling HC'!AG311+'Ethylene Recycling HC'!AG313)/'Ethylene Recycling HC'!AG266</f>
        <v>4.0155277284935953E-2</v>
      </c>
      <c r="AI35" s="44"/>
      <c r="AJ35" s="168">
        <f>('Ethylene Recycling LC'!C269+'Ethylene Recycling LC'!C271)/'Ethylene Recycling LC'!C224</f>
        <v>2.9576745522143303E-7</v>
      </c>
      <c r="AK35" s="168">
        <f>('Ethylene Recycling LC'!D269+'Ethylene Recycling LC'!D271)/'Ethylene Recycling LC'!D224</f>
        <v>5.9558607842047061E-7</v>
      </c>
      <c r="AL35" s="168">
        <f>('Ethylene Recycling LC'!E269+'Ethylene Recycling LC'!E271)/'Ethylene Recycling LC'!E224</f>
        <v>1.1967964186941717E-6</v>
      </c>
      <c r="AM35" s="168">
        <f>('Ethylene Recycling LC'!F269+'Ethylene Recycling LC'!F271)/'Ethylene Recycling LC'!F224</f>
        <v>2.3981943946399071E-6</v>
      </c>
      <c r="AN35" s="168">
        <f>('Ethylene Recycling LC'!G269+'Ethylene Recycling LC'!G271)/'Ethylene Recycling LC'!G224</f>
        <v>4.7876210217747493E-6</v>
      </c>
      <c r="AO35" s="168">
        <f>('Ethylene Recycling LC'!H269+'Ethylene Recycling LC'!H271)/'Ethylene Recycling LC'!H224</f>
        <v>9.5091362933134831E-6</v>
      </c>
      <c r="AP35" s="168">
        <f>('Ethylene Recycling LC'!I269+'Ethylene Recycling LC'!I271)/'Ethylene Recycling LC'!I224</f>
        <v>1.8755886363658772E-5</v>
      </c>
      <c r="AQ35" s="168">
        <f>('Ethylene Recycling LC'!J269+'Ethylene Recycling LC'!J271)/'Ethylene Recycling LC'!J224</f>
        <v>3.6644053705059629E-5</v>
      </c>
      <c r="AR35" s="168">
        <f>('Ethylene Recycling LC'!K269+'Ethylene Recycling LC'!K271)/'Ethylene Recycling LC'!K224</f>
        <v>7.0673962760418649E-5</v>
      </c>
      <c r="AS35" s="168">
        <f>('Ethylene Recycling LC'!L269+'Ethylene Recycling LC'!L271)/'Ethylene Recycling LC'!L224</f>
        <v>1.3396049695066901E-4</v>
      </c>
      <c r="AT35" s="168">
        <f>('Ethylene Recycling LC'!M269+'Ethylene Recycling LC'!M271)/'Ethylene Recycling LC'!M224</f>
        <v>2.4923060677397999E-4</v>
      </c>
      <c r="AU35" s="168">
        <f>('Ethylene Recycling LC'!N269+'Ethylene Recycling LC'!N271)/'Ethylene Recycling LC'!N224</f>
        <v>4.2239771624285759E-4</v>
      </c>
      <c r="AV35" s="168">
        <f>('Ethylene Recycling LC'!O269+'Ethylene Recycling LC'!O271)/'Ethylene Recycling LC'!O224</f>
        <v>6.9182330846943591E-4</v>
      </c>
      <c r="AW35" s="168">
        <f>('Ethylene Recycling LC'!P269+'Ethylene Recycling LC'!P271)/'Ethylene Recycling LC'!P224</f>
        <v>1.0819204494765691E-3</v>
      </c>
      <c r="AX35" s="168">
        <f>('Ethylene Recycling LC'!Q269+'Ethylene Recycling LC'!Q271)/'Ethylene Recycling LC'!Q224</f>
        <v>1.6045343551271758E-3</v>
      </c>
      <c r="AY35" s="168">
        <f>('Ethylene Recycling LC'!R269+'Ethylene Recycling LC'!R271)/'Ethylene Recycling LC'!R224</f>
        <v>2.3819034709335624E-3</v>
      </c>
      <c r="AZ35" s="168">
        <f>('Ethylene Recycling LC'!S269+'Ethylene Recycling LC'!S271)/'Ethylene Recycling LC'!S224</f>
        <v>3.3953573560034107E-3</v>
      </c>
      <c r="BA35" s="168">
        <f>('Ethylene Recycling LC'!T269+'Ethylene Recycling LC'!T271)/'Ethylene Recycling LC'!T224</f>
        <v>4.5585738676753515E-3</v>
      </c>
      <c r="BB35" s="168">
        <f>('Ethylene Recycling LC'!U269+'Ethylene Recycling LC'!U271)/'Ethylene Recycling LC'!U224</f>
        <v>5.7941677626199995E-3</v>
      </c>
      <c r="BC35" s="168">
        <f>('Ethylene Recycling LC'!V269+'Ethylene Recycling LC'!V271)/'Ethylene Recycling LC'!V224</f>
        <v>7.0226847205211544E-3</v>
      </c>
      <c r="BD35" s="168">
        <f>('Ethylene Recycling LC'!W269+'Ethylene Recycling LC'!W271)/'Ethylene Recycling LC'!W224</f>
        <v>8.1827320307710019E-3</v>
      </c>
      <c r="BE35" s="168">
        <f>('Ethylene Recycling LC'!X269+'Ethylene Recycling LC'!X271)/'Ethylene Recycling LC'!X224</f>
        <v>9.5061472449781848E-3</v>
      </c>
      <c r="BF35" s="168">
        <f>('Ethylene Recycling LC'!Y269+'Ethylene Recycling LC'!Y271)/'Ethylene Recycling LC'!Y224</f>
        <v>1.0749800746306023E-2</v>
      </c>
      <c r="BG35" s="168">
        <f>('Ethylene Recycling LC'!Z269+'Ethylene Recycling LC'!Z271)/'Ethylene Recycling LC'!Z224</f>
        <v>1.1920069602356755E-2</v>
      </c>
      <c r="BH35" s="168">
        <f>('Ethylene Recycling LC'!AA269+'Ethylene Recycling LC'!AA271)/'Ethylene Recycling LC'!AA224</f>
        <v>1.3048463405182514E-2</v>
      </c>
      <c r="BI35" s="168">
        <f>('Ethylene Recycling LC'!AB269+'Ethylene Recycling LC'!AB271)/'Ethylene Recycling LC'!AB224</f>
        <v>1.419056270193449E-2</v>
      </c>
      <c r="BJ35" s="168">
        <f>('Ethylene Recycling LC'!AC269+'Ethylene Recycling LC'!AC271)/'Ethylene Recycling LC'!AC224</f>
        <v>1.5425245312689344E-2</v>
      </c>
      <c r="BK35" s="168">
        <f>('Ethylene Recycling LC'!AD269+'Ethylene Recycling LC'!AD271)/'Ethylene Recycling LC'!AD224</f>
        <v>1.684887801273548E-2</v>
      </c>
      <c r="BL35" s="168">
        <f>('Ethylene Recycling LC'!AE269+'Ethylene Recycling LC'!AE271)/'Ethylene Recycling LC'!AE224</f>
        <v>1.8557699676320968E-2</v>
      </c>
      <c r="BM35" s="168">
        <f>('Ethylene Recycling LC'!AF269+'Ethylene Recycling LC'!AF271)/'Ethylene Recycling LC'!AF224</f>
        <v>2.0615415095693448E-2</v>
      </c>
      <c r="BN35" s="168">
        <f>('Ethylene Recycling LC'!AG269+'Ethylene Recycling LC'!AG271)/'Ethylene Recycling LC'!AG224</f>
        <v>2.3015046582344281E-2</v>
      </c>
      <c r="BP35" s="168">
        <f>0</f>
        <v>0</v>
      </c>
      <c r="BQ35" s="168">
        <f>0</f>
        <v>0</v>
      </c>
      <c r="BR35" s="168">
        <f>0</f>
        <v>0</v>
      </c>
      <c r="BS35" s="168">
        <f>0</f>
        <v>0</v>
      </c>
      <c r="BT35" s="168">
        <f>0</f>
        <v>0</v>
      </c>
      <c r="BU35" s="168">
        <f>0</f>
        <v>0</v>
      </c>
      <c r="BV35" s="168">
        <f>0</f>
        <v>0</v>
      </c>
      <c r="BW35" s="168">
        <f>0</f>
        <v>0</v>
      </c>
      <c r="BX35" s="168">
        <f>0</f>
        <v>0</v>
      </c>
      <c r="BY35" s="168">
        <f>0</f>
        <v>0</v>
      </c>
      <c r="BZ35" s="168">
        <f>0</f>
        <v>0</v>
      </c>
      <c r="CA35" s="168">
        <f>0</f>
        <v>0</v>
      </c>
      <c r="CB35" s="168">
        <f>0</f>
        <v>0</v>
      </c>
      <c r="CC35" s="168">
        <f>0</f>
        <v>0</v>
      </c>
      <c r="CD35" s="168">
        <f>0</f>
        <v>0</v>
      </c>
      <c r="CE35" s="168">
        <f>0</f>
        <v>0</v>
      </c>
      <c r="CF35" s="168">
        <f>0</f>
        <v>0</v>
      </c>
      <c r="CG35" s="168">
        <f>0</f>
        <v>0</v>
      </c>
      <c r="CH35" s="168">
        <f>0</f>
        <v>0</v>
      </c>
      <c r="CI35" s="168">
        <f>0</f>
        <v>0</v>
      </c>
      <c r="CJ35" s="168">
        <f>0</f>
        <v>0</v>
      </c>
      <c r="CK35" s="168">
        <f>0</f>
        <v>0</v>
      </c>
      <c r="CL35" s="168">
        <f>0</f>
        <v>0</v>
      </c>
      <c r="CM35" s="168">
        <f>0</f>
        <v>0</v>
      </c>
      <c r="CN35" s="168">
        <f>0</f>
        <v>0</v>
      </c>
      <c r="CO35" s="168">
        <f>0</f>
        <v>0</v>
      </c>
      <c r="CP35" s="168">
        <f>0</f>
        <v>0</v>
      </c>
      <c r="CQ35" s="168">
        <f>0</f>
        <v>0</v>
      </c>
      <c r="CR35" s="168">
        <f>0</f>
        <v>0</v>
      </c>
      <c r="CS35" s="168">
        <f>0</f>
        <v>0</v>
      </c>
      <c r="CT35" s="168">
        <f>0</f>
        <v>0</v>
      </c>
      <c r="CV35" s="168">
        <f>('Ethylene Recycling LC'!C269+'Ethylene Recycling LC'!C271)/'Ethylene Recycling HC'!C256</f>
        <v>2.9576745522143303E-7</v>
      </c>
      <c r="CW35" s="168">
        <f>('Ethylene Recycling LC'!D269+'Ethylene Recycling LC'!D271)/'Ethylene Recycling HC'!D256</f>
        <v>5.9558607842047061E-7</v>
      </c>
      <c r="CX35" s="168">
        <f>('Ethylene Recycling LC'!E269+'Ethylene Recycling LC'!E271)/'Ethylene Recycling HC'!E256</f>
        <v>1.1967964186941717E-6</v>
      </c>
      <c r="CY35" s="168">
        <f>('Ethylene Recycling LC'!F269+'Ethylene Recycling LC'!F271)/'Ethylene Recycling HC'!F256</f>
        <v>2.3981943946399071E-6</v>
      </c>
      <c r="CZ35" s="168">
        <f>('Ethylene Recycling LC'!G269+'Ethylene Recycling LC'!G271)/'Ethylene Recycling HC'!G256</f>
        <v>4.7876210217747493E-6</v>
      </c>
      <c r="DA35" s="168">
        <f>('Ethylene Recycling LC'!H269+'Ethylene Recycling LC'!H271)/'Ethylene Recycling HC'!H256</f>
        <v>9.5091362933134831E-6</v>
      </c>
      <c r="DB35" s="168">
        <f>('Ethylene Recycling LC'!I269+'Ethylene Recycling LC'!I271)/'Ethylene Recycling HC'!I256</f>
        <v>1.8755886363658772E-5</v>
      </c>
      <c r="DC35" s="168">
        <f>('Ethylene Recycling LC'!J269+'Ethylene Recycling LC'!J271)/'Ethylene Recycling HC'!J256</f>
        <v>3.6644053705059629E-5</v>
      </c>
      <c r="DD35" s="168">
        <f>('Ethylene Recycling LC'!K269+'Ethylene Recycling LC'!K271)/'Ethylene Recycling HC'!K256</f>
        <v>7.0673962760418649E-5</v>
      </c>
      <c r="DE35" s="168">
        <f>('Ethylene Recycling LC'!L269+'Ethylene Recycling LC'!L271)/'Ethylene Recycling HC'!L256</f>
        <v>1.3396049695066901E-4</v>
      </c>
      <c r="DF35" s="168">
        <f>('Ethylene Recycling LC'!M269+'Ethylene Recycling LC'!M271)/'Ethylene Recycling HC'!M256</f>
        <v>2.4923060677397999E-4</v>
      </c>
      <c r="DG35" s="168">
        <f>('Ethylene Recycling LC'!N269+'Ethylene Recycling LC'!N271)/'Ethylene Recycling HC'!N256</f>
        <v>4.2239771624285759E-4</v>
      </c>
      <c r="DH35" s="168">
        <f>('Ethylene Recycling LC'!O269+'Ethylene Recycling LC'!O271)/'Ethylene Recycling HC'!O256</f>
        <v>6.9182330846943591E-4</v>
      </c>
      <c r="DI35" s="168">
        <f>('Ethylene Recycling LC'!P269+'Ethylene Recycling LC'!P271)/'Ethylene Recycling HC'!P256</f>
        <v>1.0819369198191583E-3</v>
      </c>
      <c r="DJ35" s="168">
        <f>('Ethylene Recycling LC'!Q269+'Ethylene Recycling LC'!Q271)/'Ethylene Recycling HC'!Q256</f>
        <v>1.6045832075738372E-3</v>
      </c>
      <c r="DK35" s="168">
        <f>('Ethylene Recycling LC'!R269+'Ethylene Recycling LC'!R271)/'Ethylene Recycling HC'!R256</f>
        <v>2.3820122518504946E-3</v>
      </c>
      <c r="DL35" s="168">
        <f>('Ethylene Recycling LC'!S269+'Ethylene Recycling LC'!S271)/'Ethylene Recycling HC'!S256</f>
        <v>3.395564109462569E-3</v>
      </c>
      <c r="DM35" s="168">
        <f>('Ethylene Recycling LC'!T269+'Ethylene Recycling LC'!T271)/'Ethylene Recycling HC'!T256</f>
        <v>4.5589208491625503E-3</v>
      </c>
      <c r="DN35" s="168">
        <f>('Ethylene Recycling LC'!U269+'Ethylene Recycling LC'!U271)/'Ethylene Recycling HC'!U256</f>
        <v>5.7946969989133811E-3</v>
      </c>
      <c r="DO35" s="168">
        <f>('Ethylene Recycling LC'!V269+'Ethylene Recycling LC'!V271)/'Ethylene Recycling HC'!V256</f>
        <v>7.023433076985889E-3</v>
      </c>
      <c r="DP35" s="168">
        <f>('Ethylene Recycling LC'!W269+'Ethylene Recycling LC'!W271)/'Ethylene Recycling HC'!W256</f>
        <v>8.1837285727990334E-3</v>
      </c>
      <c r="DQ35" s="168">
        <f>('Ethylene Recycling LC'!X269+'Ethylene Recycling LC'!X271)/'Ethylene Recycling HC'!X256</f>
        <v>9.5074496748538059E-3</v>
      </c>
      <c r="DR35" s="168">
        <f>('Ethylene Recycling LC'!Y269+'Ethylene Recycling LC'!Y271)/'Ethylene Recycling HC'!Y256</f>
        <v>1.0751437215060651E-2</v>
      </c>
      <c r="DS35" s="168">
        <f>('Ethylene Recycling LC'!Z269+'Ethylene Recycling LC'!Z271)/'Ethylene Recycling HC'!Z256</f>
        <v>1.1922610072704497E-2</v>
      </c>
      <c r="DT35" s="168">
        <f>('Ethylene Recycling LC'!AA269+'Ethylene Recycling LC'!AA271)/'Ethylene Recycling HC'!AA256</f>
        <v>1.305203892492398E-2</v>
      </c>
      <c r="DU35" s="168">
        <f>('Ethylene Recycling LC'!AB269+'Ethylene Recycling LC'!AB271)/'Ethylene Recycling HC'!AB256</f>
        <v>1.4195315283739934E-2</v>
      </c>
      <c r="DV35" s="168">
        <f>('Ethylene Recycling LC'!AC269+'Ethylene Recycling LC'!AC271)/'Ethylene Recycling HC'!AC256</f>
        <v>1.5431350693125153E-2</v>
      </c>
      <c r="DW35" s="168">
        <f>('Ethylene Recycling LC'!AD269+'Ethylene Recycling LC'!AD271)/'Ethylene Recycling HC'!AD256</f>
        <v>1.6856572851849921E-2</v>
      </c>
      <c r="DX35" s="168">
        <f>('Ethylene Recycling LC'!AE269+'Ethylene Recycling LC'!AE271)/'Ethylene Recycling HC'!AE256</f>
        <v>1.8567304963687886E-2</v>
      </c>
      <c r="DY35" s="168">
        <f>('Ethylene Recycling LC'!AF269+'Ethylene Recycling LC'!AF271)/'Ethylene Recycling HC'!AF256</f>
        <v>2.0627340771076929E-2</v>
      </c>
      <c r="DZ35" s="168">
        <f>('Ethylene Recycling LC'!AG269+'Ethylene Recycling LC'!AG271)/'Ethylene Recycling HC'!AG256</f>
        <v>2.3029761859690346E-2</v>
      </c>
      <c r="EA35" s="168"/>
    </row>
    <row r="36" spans="1:165">
      <c r="A36" s="606" t="s">
        <v>459</v>
      </c>
      <c r="C36" s="54" t="s">
        <v>462</v>
      </c>
      <c r="D36" s="168">
        <f>('Ethylene Recycling HC'!C284-('Ethylene Recycling HC'!C311+'Ethylene Recycling HC'!C313)*'Ethylene Recycling HC'!C250/SUM('Ethylene Recycling HC'!C250:C251))/('Ethylene Recycling HC'!C$266)*D$19/SUM(D$19:D$20)</f>
        <v>0.1400878510203247</v>
      </c>
      <c r="E36" s="168">
        <f>('Ethylene Recycling HC'!D284-('Ethylene Recycling HC'!D311+'Ethylene Recycling HC'!D313)*'Ethylene Recycling HC'!D250/SUM('Ethylene Recycling HC'!D250:D251))/('Ethylene Recycling HC'!D$266)*E$19/SUM(E$19:E$20)</f>
        <v>0.14378757865820721</v>
      </c>
      <c r="F36" s="168">
        <f>('Ethylene Recycling HC'!E284-('Ethylene Recycling HC'!E311+'Ethylene Recycling HC'!E313)*'Ethylene Recycling HC'!E250/SUM('Ethylene Recycling HC'!E250:E251))/('Ethylene Recycling HC'!E$266)*F$19/SUM(F$19:F$20)</f>
        <v>0.14742311823980628</v>
      </c>
      <c r="G36" s="168">
        <f>('Ethylene Recycling HC'!F284-('Ethylene Recycling HC'!F311+'Ethylene Recycling HC'!F313)*'Ethylene Recycling HC'!F250/SUM('Ethylene Recycling HC'!F250:F251))/('Ethylene Recycling HC'!F$266)*G$19/SUM(G$19:G$20)</f>
        <v>0.15098872507316491</v>
      </c>
      <c r="H36" s="168">
        <f>('Ethylene Recycling HC'!G284-('Ethylene Recycling HC'!G311+'Ethylene Recycling HC'!G313)*'Ethylene Recycling HC'!G250/SUM('Ethylene Recycling HC'!G250:G251))/('Ethylene Recycling HC'!G$266)*H$19/SUM(H$19:H$20)</f>
        <v>0.15447289725470409</v>
      </c>
      <c r="I36" s="168">
        <f>('Ethylene Recycling HC'!H284-('Ethylene Recycling HC'!H311+'Ethylene Recycling HC'!H313)*'Ethylene Recycling HC'!H250/SUM('Ethylene Recycling HC'!H250:H251))/('Ethylene Recycling HC'!H$266)*I$19/SUM(I$19:I$20)</f>
        <v>0.15785325605342967</v>
      </c>
      <c r="J36" s="168">
        <f>('Ethylene Recycling HC'!I284-('Ethylene Recycling HC'!I311+'Ethylene Recycling HC'!I313)*'Ethylene Recycling HC'!I250/SUM('Ethylene Recycling HC'!I250:I251))/('Ethylene Recycling HC'!I$266)*J$19/SUM(J$19:J$20)</f>
        <v>0.16108730834588555</v>
      </c>
      <c r="K36" s="168">
        <f>('Ethylene Recycling HC'!J284-('Ethylene Recycling HC'!J311+'Ethylene Recycling HC'!J313)*'Ethylene Recycling HC'!J250/SUM('Ethylene Recycling HC'!J250:J251))/('Ethylene Recycling HC'!J$266)*K$19/SUM(K$19:K$20)</f>
        <v>0.16409647639394753</v>
      </c>
      <c r="L36" s="168">
        <f>('Ethylene Recycling HC'!K284-('Ethylene Recycling HC'!K311+'Ethylene Recycling HC'!K313)*'Ethylene Recycling HC'!K250/SUM('Ethylene Recycling HC'!K250:K251))/('Ethylene Recycling HC'!K$266)*L$19/SUM(L$19:L$20)</f>
        <v>0.16674020947459567</v>
      </c>
      <c r="M36" s="168">
        <f>('Ethylene Recycling HC'!L284-('Ethylene Recycling HC'!L311+'Ethylene Recycling HC'!L313)*'Ethylene Recycling HC'!L250/SUM('Ethylene Recycling HC'!L250:L251))/('Ethylene Recycling HC'!L$266)*M$19/SUM(M$19:M$20)</f>
        <v>0.16877808247086337</v>
      </c>
      <c r="N36" s="168">
        <f>('Ethylene Recycling HC'!M284-('Ethylene Recycling HC'!M311+'Ethylene Recycling HC'!M313)*'Ethylene Recycling HC'!M250/SUM('Ethylene Recycling HC'!M250:M251))/('Ethylene Recycling HC'!M$266)*N$19/SUM(N$19:N$20)</f>
        <v>0.16982275341436043</v>
      </c>
      <c r="O36" s="168">
        <f>('Ethylene Recycling HC'!N284-('Ethylene Recycling HC'!N311+'Ethylene Recycling HC'!N313)*'Ethylene Recycling HC'!N250/SUM('Ethylene Recycling HC'!N250:N251))/('Ethylene Recycling HC'!N$266)*O$19/SUM(O$19:O$20)</f>
        <v>0.16794504014082459</v>
      </c>
      <c r="P36" s="168">
        <f>('Ethylene Recycling HC'!O284-('Ethylene Recycling HC'!O311+'Ethylene Recycling HC'!O313)*'Ethylene Recycling HC'!O250/SUM('Ethylene Recycling HC'!O250:O251))/('Ethylene Recycling HC'!O$266)*P$19/SUM(P$19:P$20)</f>
        <v>0.16381019101400138</v>
      </c>
      <c r="Q36" s="168">
        <f>('Ethylene Recycling HC'!P284-('Ethylene Recycling HC'!P311+'Ethylene Recycling HC'!P313)*'Ethylene Recycling HC'!P250/SUM('Ethylene Recycling HC'!P250:P251))/('Ethylene Recycling HC'!P$266)*Q$19/SUM(Q$19:Q$20)</f>
        <v>0.15670711930762724</v>
      </c>
      <c r="R36" s="168">
        <f>('Ethylene Recycling HC'!Q284-('Ethylene Recycling HC'!Q311+'Ethylene Recycling HC'!Q313)*'Ethylene Recycling HC'!Q250/SUM('Ethylene Recycling HC'!Q250:Q251))/('Ethylene Recycling HC'!Q$266)*R$19/SUM(R$19:R$20)</f>
        <v>0.14613942276595576</v>
      </c>
      <c r="S36" s="168">
        <f>('Ethylene Recycling HC'!R284-('Ethylene Recycling HC'!R311+'Ethylene Recycling HC'!R313)*'Ethylene Recycling HC'!R250/SUM('Ethylene Recycling HC'!R250:R251))/('Ethylene Recycling HC'!R$266)*S$19/SUM(S$19:S$20)</f>
        <v>0.13205991334581385</v>
      </c>
      <c r="T36" s="168">
        <f>('Ethylene Recycling HC'!S284-('Ethylene Recycling HC'!S311+'Ethylene Recycling HC'!S313)*'Ethylene Recycling HC'!S250/SUM('Ethylene Recycling HC'!S250:S251))/('Ethylene Recycling HC'!S$266)*T$19/SUM(T$19:T$20)</f>
        <v>0.11519283153083433</v>
      </c>
      <c r="U36" s="168">
        <f>('Ethylene Recycling HC'!T284-('Ethylene Recycling HC'!T311+'Ethylene Recycling HC'!T313)*'Ethylene Recycling HC'!T250/SUM('Ethylene Recycling HC'!T250:T251))/('Ethylene Recycling HC'!T$266)*U$19/SUM(U$19:U$20)</f>
        <v>9.6881240325728479E-2</v>
      </c>
      <c r="V36" s="168">
        <f>('Ethylene Recycling HC'!U284-('Ethylene Recycling HC'!U311+'Ethylene Recycling HC'!U313)*'Ethylene Recycling HC'!U250/SUM('Ethylene Recycling HC'!U250:U251))/('Ethylene Recycling HC'!U$266)*V$19/SUM(V$19:V$20)</f>
        <v>7.8677725312911104E-2</v>
      </c>
      <c r="W36" s="168">
        <f>('Ethylene Recycling HC'!V284-('Ethylene Recycling HC'!V311+'Ethylene Recycling HC'!V313)*'Ethylene Recycling HC'!V250/SUM('Ethylene Recycling HC'!V250:V251))/('Ethylene Recycling HC'!V$266)*W$19/SUM(W$19:W$20)</f>
        <v>6.1918989382094676E-2</v>
      </c>
      <c r="X36" s="168">
        <f>('Ethylene Recycling HC'!W284-('Ethylene Recycling HC'!W311+'Ethylene Recycling HC'!W313)*'Ethylene Recycling HC'!W250/SUM('Ethylene Recycling HC'!W250:W251))/('Ethylene Recycling HC'!W$266)*X$19/SUM(X$19:X$20)</f>
        <v>4.7449105053900494E-2</v>
      </c>
      <c r="Y36" s="168">
        <f>('Ethylene Recycling HC'!X284-('Ethylene Recycling HC'!X311+'Ethylene Recycling HC'!X313)*'Ethylene Recycling HC'!X250/SUM('Ethylene Recycling HC'!X250:X251))/('Ethylene Recycling HC'!X$266)*Y$19/SUM(Y$19:Y$20)</f>
        <v>3.5104027988846521E-2</v>
      </c>
      <c r="Z36" s="168">
        <f>('Ethylene Recycling HC'!Y284-('Ethylene Recycling HC'!Y311+'Ethylene Recycling HC'!Y313)*'Ethylene Recycling HC'!Y250/SUM('Ethylene Recycling HC'!Y250:Y251))/('Ethylene Recycling HC'!Y$266)*Z$19/SUM(Z$19:Z$20)</f>
        <v>2.5513590354558562E-2</v>
      </c>
      <c r="AA36" s="168">
        <f>('Ethylene Recycling HC'!Z284-('Ethylene Recycling HC'!Z311+'Ethylene Recycling HC'!Z313)*'Ethylene Recycling HC'!Z250/SUM('Ethylene Recycling HC'!Z250:Z251))/('Ethylene Recycling HC'!Z$266)*AA$19/SUM(AA$19:AA$20)</f>
        <v>1.8288509888234373E-2</v>
      </c>
      <c r="AB36" s="168">
        <f>('Ethylene Recycling HC'!AA284-('Ethylene Recycling HC'!AA311+'Ethylene Recycling HC'!AA313)*'Ethylene Recycling HC'!AA250/SUM('Ethylene Recycling HC'!AA250:AA251))/('Ethylene Recycling HC'!AA$266)*AB$19/SUM(AB$19:AB$20)</f>
        <v>1.2969070101646456E-2</v>
      </c>
      <c r="AC36" s="168">
        <f>('Ethylene Recycling HC'!AB284-('Ethylene Recycling HC'!AB311+'Ethylene Recycling HC'!AB313)*'Ethylene Recycling HC'!AB250/SUM('Ethylene Recycling HC'!AB250:AB251))/('Ethylene Recycling HC'!AB$266)*AC$19/SUM(AC$19:AC$20)</f>
        <v>9.1186854213026157E-3</v>
      </c>
      <c r="AD36" s="168">
        <f>('Ethylene Recycling HC'!AC284-('Ethylene Recycling HC'!AC311+'Ethylene Recycling HC'!AC313)*'Ethylene Recycling HC'!AC250/SUM('Ethylene Recycling HC'!AC250:AC251))/('Ethylene Recycling HC'!AC$266)*AD$19/SUM(AD$19:AD$20)</f>
        <v>6.3663416839012882E-3</v>
      </c>
      <c r="AE36" s="168">
        <f>('Ethylene Recycling HC'!AD284-('Ethylene Recycling HC'!AD311+'Ethylene Recycling HC'!AD313)*'Ethylene Recycling HC'!AD250/SUM('Ethylene Recycling HC'!AD250:AD251))/('Ethylene Recycling HC'!AD$266)*AE$19/SUM(AE$19:AE$20)</f>
        <v>4.4172148836214261E-3</v>
      </c>
      <c r="AF36" s="168">
        <f>('Ethylene Recycling HC'!AE284-('Ethylene Recycling HC'!AE311+'Ethylene Recycling HC'!AE313)*'Ethylene Recycling HC'!AE250/SUM('Ethylene Recycling HC'!AE250:AE251))/('Ethylene Recycling HC'!AE$266)*AF$19/SUM(AF$19:AF$20)</f>
        <v>3.0470040914714787E-3</v>
      </c>
      <c r="AG36" s="168">
        <f>('Ethylene Recycling HC'!AF284-('Ethylene Recycling HC'!AF311+'Ethylene Recycling HC'!AF313)*'Ethylene Recycling HC'!AF250/SUM('Ethylene Recycling HC'!AF250:AF251))/('Ethylene Recycling HC'!AF$266)*AG$19/SUM(AG$19:AG$20)</f>
        <v>2.0899157153802693E-3</v>
      </c>
      <c r="AH36" s="168">
        <f>('Ethylene Recycling HC'!AG284-('Ethylene Recycling HC'!AG311+'Ethylene Recycling HC'!AG313)*'Ethylene Recycling HC'!AG250/SUM('Ethylene Recycling HC'!AG250:AG251))/('Ethylene Recycling HC'!AG$266)*AH$19/SUM(AH$19:AH$20)</f>
        <v>1.4256141825515214E-3</v>
      </c>
      <c r="AI36" s="44"/>
      <c r="AJ36" s="168">
        <f>('Ethylene Recycling LC'!C242-('Ethylene Recycling LC'!C269+'Ethylene Recycling LC'!C271)*'Ethylene Recycling LC'!C208/SUM('Ethylene Recycling LC'!C208:C209))/('Ethylene Recycling LC'!C$224)*AJ19/SUM(AJ19:AJ20)</f>
        <v>0.14008791755710392</v>
      </c>
      <c r="AK36" s="168">
        <f>('Ethylene Recycling LC'!D242-('Ethylene Recycling LC'!D269+'Ethylene Recycling LC'!D271)*'Ethylene Recycling LC'!D208/SUM('Ethylene Recycling LC'!D208:D209))/('Ethylene Recycling LC'!D$224)*AK19/SUM(AK19:AK20)</f>
        <v>0.14378771529863277</v>
      </c>
      <c r="AL36" s="168">
        <f>('Ethylene Recycling LC'!E242-('Ethylene Recycling LC'!E269+'Ethylene Recycling LC'!E271)*'Ethylene Recycling LC'!E208/SUM('Ethylene Recycling LC'!E208:E209))/('Ethylene Recycling LC'!E$224)*AL19/SUM(AL19:AL20)</f>
        <v>0.14742339799776361</v>
      </c>
      <c r="AM36" s="168">
        <f>('Ethylene Recycling LC'!F242-('Ethylene Recycling LC'!F269+'Ethylene Recycling LC'!F271)*'Ethylene Recycling LC'!F208/SUM('Ethylene Recycling LC'!F208:F209))/('Ethylene Recycling LC'!F$224)*AM19/SUM(AM19:AM20)</f>
        <v>0.15098929574735859</v>
      </c>
      <c r="AN36" s="168">
        <f>('Ethylene Recycling LC'!G242-('Ethylene Recycling LC'!G269+'Ethylene Recycling LC'!G271)*'Ethylene Recycling LC'!G208/SUM('Ethylene Recycling LC'!G208:G209))/('Ethylene Recycling LC'!G$224)*AN19/SUM(AN19:AN20)</f>
        <v>0.15447405595931629</v>
      </c>
      <c r="AO36" s="168">
        <f>('Ethylene Recycling LC'!H242-('Ethylene Recycling LC'!H269+'Ethylene Recycling LC'!H271)*'Ethylene Recycling LC'!H208/SUM('Ethylene Recycling LC'!H208:H209))/('Ethylene Recycling LC'!H$224)*AO19/SUM(AO19:AO20)</f>
        <v>0.15785559443437872</v>
      </c>
      <c r="AP36" s="168">
        <f>('Ethylene Recycling LC'!I242-('Ethylene Recycling LC'!I269+'Ethylene Recycling LC'!I271)*'Ethylene Recycling LC'!I208/SUM('Ethylene Recycling LC'!I208:I209))/('Ethylene Recycling LC'!I$224)*AP19/SUM(AP19:AP20)</f>
        <v>0.16109198914358536</v>
      </c>
      <c r="AQ36" s="168">
        <f>('Ethylene Recycling LC'!J242-('Ethylene Recycling LC'!J269+'Ethylene Recycling LC'!J271)*'Ethylene Recycling LC'!J208/SUM('Ethylene Recycling LC'!J208:J209))/('Ethylene Recycling LC'!J$224)*AQ19/SUM(AQ19:AQ20)</f>
        <v>0.16410574275215017</v>
      </c>
      <c r="AR36" s="168">
        <f>('Ethylene Recycling LC'!K242-('Ethylene Recycling LC'!K269+'Ethylene Recycling LC'!K271)*'Ethylene Recycling LC'!K208/SUM('Ethylene Recycling LC'!K208:K209))/('Ethylene Recycling LC'!K$224)*AR19/SUM(AR19:AR20)</f>
        <v>0.16675827649166816</v>
      </c>
      <c r="AS36" s="168">
        <f>('Ethylene Recycling LC'!L242-('Ethylene Recycling LC'!L269+'Ethylene Recycling LC'!L271)*'Ethylene Recycling LC'!L208/SUM('Ethylene Recycling LC'!L208:L209))/('Ethylene Recycling LC'!L$224)*AS19/SUM(AS19:AS20)</f>
        <v>0.16881257883234183</v>
      </c>
      <c r="AT36" s="168">
        <f>('Ethylene Recycling LC'!M242-('Ethylene Recycling LC'!M269+'Ethylene Recycling LC'!M271)*'Ethylene Recycling LC'!M208/SUM('Ethylene Recycling LC'!M208:M209))/('Ethylene Recycling LC'!M$224)*AT19/SUM(AT19:AT20)</f>
        <v>0.16988703966237748</v>
      </c>
      <c r="AU36" s="168">
        <f>('Ethylene Recycling LC'!N242-('Ethylene Recycling LC'!N269+'Ethylene Recycling LC'!N271)*'Ethylene Recycling LC'!N208/SUM('Ethylene Recycling LC'!N208:N209))/('Ethylene Recycling LC'!N$224)*AU19/SUM(AU19:AU20)</f>
        <v>0.16805321949996183</v>
      </c>
      <c r="AV36" s="168">
        <f>('Ethylene Recycling LC'!O242-('Ethylene Recycling LC'!O269+'Ethylene Recycling LC'!O271)*'Ethylene Recycling LC'!O208/SUM('Ethylene Recycling LC'!O208:O209))/('Ethylene Recycling LC'!O$224)*AV19/SUM(AV19:AV20)</f>
        <v>0.16398381346308055</v>
      </c>
      <c r="AW36" s="168">
        <f>('Ethylene Recycling LC'!P242-('Ethylene Recycling LC'!P269+'Ethylene Recycling LC'!P271)*'Ethylene Recycling LC'!P208/SUM('Ethylene Recycling LC'!P208:P209))/('Ethylene Recycling LC'!P$224)*AW19/SUM(AW19:AW20)</f>
        <v>0.15696761948964541</v>
      </c>
      <c r="AX36" s="168">
        <f>('Ethylene Recycling LC'!Q242-('Ethylene Recycling LC'!Q269+'Ethylene Recycling LC'!Q271)*'Ethylene Recycling LC'!Q208/SUM('Ethylene Recycling LC'!Q208:Q209))/('Ethylene Recycling LC'!Q$224)*AX19/SUM(AX19:AX20)</f>
        <v>0.14650155475873014</v>
      </c>
      <c r="AY36" s="168">
        <f>('Ethylene Recycling LC'!R242-('Ethylene Recycling LC'!R269+'Ethylene Recycling LC'!R271)*'Ethylene Recycling LC'!R208/SUM('Ethylene Recycling LC'!R208:R209))/('Ethylene Recycling LC'!R$224)*AY19/SUM(AY19:AY20)</f>
        <v>0.13254903998980019</v>
      </c>
      <c r="AZ36" s="168">
        <f>('Ethylene Recycling LC'!S242-('Ethylene Recycling LC'!S269+'Ethylene Recycling LC'!S271)*'Ethylene Recycling LC'!S208/SUM('Ethylene Recycling LC'!S208:S209))/('Ethylene Recycling LC'!S$224)*AZ19/SUM(AZ19:AZ20)</f>
        <v>0.11580627715278204</v>
      </c>
      <c r="BA36" s="168">
        <f>('Ethylene Recycling LC'!T242-('Ethylene Recycling LC'!T269+'Ethylene Recycling LC'!T271)*'Ethylene Recycling LC'!T208/SUM('Ethylene Recycling LC'!T208:T209))/('Ethylene Recycling LC'!T$224)*BA19/SUM(BA19:BA20)</f>
        <v>9.7580569090394254E-2</v>
      </c>
      <c r="BB36" s="168">
        <f>('Ethylene Recycling LC'!U242-('Ethylene Recycling LC'!U269+'Ethylene Recycling LC'!U271)*'Ethylene Recycling LC'!U208/SUM('Ethylene Recycling LC'!U208:U209))/('Ethylene Recycling LC'!U$224)*BB19/SUM(BB19:BB20)</f>
        <v>7.9406953719598036E-2</v>
      </c>
      <c r="BC36" s="168">
        <f>('Ethylene Recycling LC'!V242-('Ethylene Recycling LC'!V269+'Ethylene Recycling LC'!V271)*'Ethylene Recycling LC'!V208/SUM('Ethylene Recycling LC'!V208:V209))/('Ethylene Recycling LC'!V$224)*BC19/SUM(BC19:BC20)</f>
        <v>6.2621871961652795E-2</v>
      </c>
      <c r="BD36" s="168">
        <f>('Ethylene Recycling LC'!W242-('Ethylene Recycling LC'!W269+'Ethylene Recycling LC'!W271)*'Ethylene Recycling LC'!W208/SUM('Ethylene Recycling LC'!W208:W209))/('Ethylene Recycling LC'!W$224)*BD19/SUM(BD19:BD20)</f>
        <v>4.8083331871797981E-2</v>
      </c>
      <c r="BE36" s="168">
        <f>('Ethylene Recycling LC'!X242-('Ethylene Recycling LC'!X269+'Ethylene Recycling LC'!X271)*'Ethylene Recycling LC'!X208/SUM('Ethylene Recycling LC'!X208:X209))/('Ethylene Recycling LC'!X$224)*BE19/SUM(BE19:BE20)</f>
        <v>3.5662386483583386E-2</v>
      </c>
      <c r="BF36" s="168">
        <f>('Ethylene Recycling LC'!Y242-('Ethylene Recycling LC'!Y269+'Ethylene Recycling LC'!Y271)*'Ethylene Recycling LC'!Y208/SUM('Ethylene Recycling LC'!Y208:Y209))/('Ethylene Recycling LC'!Y$224)*BF19/SUM(BF19:BF20)</f>
        <v>2.598399682509548E-2</v>
      </c>
      <c r="BG36" s="168">
        <f>('Ethylene Recycling LC'!Z242-('Ethylene Recycling LC'!Z269+'Ethylene Recycling LC'!Z271)*'Ethylene Recycling LC'!Z208/SUM('Ethylene Recycling LC'!Z208:Z209))/('Ethylene Recycling LC'!Z$224)*BG19/SUM(BG19:BG20)</f>
        <v>1.8672091646097008E-2</v>
      </c>
      <c r="BH36" s="168">
        <f>('Ethylene Recycling LC'!AA242-('Ethylene Recycling LC'!AA269+'Ethylene Recycling LC'!AA271)*'Ethylene Recycling LC'!AA208/SUM('Ethylene Recycling LC'!AA208:AA209))/('Ethylene Recycling LC'!AA$224)*BH19/SUM(BH19:BH20)</f>
        <v>1.3274847494679567E-2</v>
      </c>
      <c r="BI36" s="168">
        <f>('Ethylene Recycling LC'!AB242-('Ethylene Recycling LC'!AB269+'Ethylene Recycling LC'!AB271)*'Ethylene Recycling LC'!AB208/SUM('Ethylene Recycling LC'!AB208:AB209))/('Ethylene Recycling LC'!AB$224)*BI19/SUM(BI19:BI20)</f>
        <v>9.3591129841010066E-3</v>
      </c>
      <c r="BJ36" s="168">
        <f>('Ethylene Recycling LC'!AC242-('Ethylene Recycling LC'!AC269+'Ethylene Recycling LC'!AC271)*'Ethylene Recycling LC'!AC208/SUM('Ethylene Recycling LC'!AC208:AC209))/('Ethylene Recycling LC'!AC$224)*BJ19/SUM(BJ19:BJ20)</f>
        <v>6.554305470304494E-3</v>
      </c>
      <c r="BK36" s="168">
        <f>('Ethylene Recycling LC'!AD242-('Ethylene Recycling LC'!AD269+'Ethylene Recycling LC'!AD271)*'Ethylene Recycling LC'!AD208/SUM('Ethylene Recycling LC'!AD208:AD209))/('Ethylene Recycling LC'!AD$224)*BK19/SUM(BK19:BK20)</f>
        <v>4.5643181328431665E-3</v>
      </c>
      <c r="BL36" s="168">
        <f>('Ethylene Recycling LC'!AE242-('Ethylene Recycling LC'!AE269+'Ethylene Recycling LC'!AE271)*'Ethylene Recycling LC'!AE208/SUM('Ethylene Recycling LC'!AE208:AE209))/('Ethylene Recycling LC'!AE$224)*BL19/SUM(BL19:BL20)</f>
        <v>3.1627750402004684E-3</v>
      </c>
      <c r="BM36" s="168">
        <f>('Ethylene Recycling LC'!AF242-('Ethylene Recycling LC'!AF269+'Ethylene Recycling LC'!AF271)*'Ethylene Recycling LC'!AF208/SUM('Ethylene Recycling LC'!AF208:AF209))/('Ethylene Recycling LC'!AF$224)*BM19/SUM(BM19:BM20)</f>
        <v>2.1816298756973931E-3</v>
      </c>
      <c r="BN36" s="168">
        <f>('Ethylene Recycling LC'!AG242-('Ethylene Recycling LC'!AG269+'Ethylene Recycling LC'!AG271)*'Ethylene Recycling LC'!AG208/SUM('Ethylene Recycling LC'!AG208:AG209))/('Ethylene Recycling LC'!AG$224)*BN19/SUM(BN19:BN20)</f>
        <v>1.4985257222231948E-3</v>
      </c>
      <c r="BP36" s="168">
        <f>('Ethylene Recycling HC'!C260)/('Ethylene Recycling HC'!C$256)*BP19/SUM(BP19:BP20)</f>
        <v>0.14009446360356026</v>
      </c>
      <c r="BQ36" s="168">
        <f>('Ethylene Recycling HC'!D260)/('Ethylene Recycling HC'!D$256)*BQ19/SUM(BQ19:BQ20)</f>
        <v>0.14223218249745001</v>
      </c>
      <c r="BR36" s="168">
        <f>('Ethylene Recycling HC'!E260)/('Ethylene Recycling HC'!E$256)*BR19/SUM(BR19:BR20)</f>
        <v>0.14432107095589505</v>
      </c>
      <c r="BS36" s="168">
        <f>('Ethylene Recycling HC'!F260)/('Ethylene Recycling HC'!F$256)*BS19/SUM(BS19:BS20)</f>
        <v>0.14636124646103446</v>
      </c>
      <c r="BT36" s="168">
        <f>('Ethylene Recycling HC'!G260)/('Ethylene Recycling HC'!G$256)*BT19/SUM(BT19:BT20)</f>
        <v>0.1483524702634077</v>
      </c>
      <c r="BU36" s="168">
        <f>('Ethylene Recycling HC'!H260)/('Ethylene Recycling HC'!H$256)*BU19/SUM(BU19:BU20)</f>
        <v>0.15029414378196482</v>
      </c>
      <c r="BV36" s="168">
        <f>('Ethylene Recycling HC'!I260)/('Ethylene Recycling HC'!I$256)*BV19/SUM(BV19:BV20)</f>
        <v>0.15222881904980085</v>
      </c>
      <c r="BW36" s="168">
        <f>('Ethylene Recycling HC'!J260)/('Ethylene Recycling HC'!J$256)*BW19/SUM(BW19:BW20)</f>
        <v>0.15415628578850465</v>
      </c>
      <c r="BX36" s="168">
        <f>('Ethylene Recycling HC'!K260)/('Ethylene Recycling HC'!K$256)*BX19/SUM(BX19:BX20)</f>
        <v>0.15607632639634811</v>
      </c>
      <c r="BY36" s="168">
        <f>('Ethylene Recycling HC'!L260)/('Ethylene Recycling HC'!L$256)*BY19/SUM(BY19:BY20)</f>
        <v>0.15798871539988377</v>
      </c>
      <c r="BZ36" s="168">
        <f>('Ethylene Recycling HC'!M260)/('Ethylene Recycling HC'!M$256)*BZ19/SUM(BZ19:BZ20)</f>
        <v>0.15989321889209063</v>
      </c>
      <c r="CA36" s="168">
        <f>('Ethylene Recycling HC'!N260)/('Ethylene Recycling HC'!N$256)*CA19/SUM(CA19:CA20)</f>
        <v>0.16175958491197417</v>
      </c>
      <c r="CB36" s="168">
        <f>('Ethylene Recycling HC'!O260)/('Ethylene Recycling HC'!O$256)*CB19/SUM(CB19:CB20)</f>
        <v>0.16358659210332899</v>
      </c>
      <c r="CC36" s="168">
        <f>('Ethylene Recycling HC'!P260)/('Ethylene Recycling HC'!P$256)*CC19/SUM(CC19:CC20)</f>
        <v>0.16537279365734969</v>
      </c>
      <c r="CD36" s="168">
        <f>('Ethylene Recycling HC'!Q260)/('Ethylene Recycling HC'!Q$256)*CD19/SUM(CD19:CD20)</f>
        <v>0.16711650277084752</v>
      </c>
      <c r="CE36" s="168">
        <f>('Ethylene Recycling HC'!R260)/('Ethylene Recycling HC'!R$256)*CE19/SUM(CE19:CE20)</f>
        <v>0.1688157757071457</v>
      </c>
      <c r="CF36" s="168">
        <f>('Ethylene Recycling HC'!S260)/('Ethylene Recycling HC'!S$256)*CF19/SUM(CF19:CF20)</f>
        <v>0.17050903362803568</v>
      </c>
      <c r="CG36" s="168">
        <f>('Ethylene Recycling HC'!T260)/('Ethylene Recycling HC'!T$256)*CG19/SUM(CG19:CG20)</f>
        <v>0.17219612204645654</v>
      </c>
      <c r="CH36" s="168">
        <f>('Ethylene Recycling HC'!U260)/('Ethylene Recycling HC'!U$256)*CH19/SUM(CH19:CH20)</f>
        <v>0.17387688287929992</v>
      </c>
      <c r="CI36" s="168">
        <f>('Ethylene Recycling HC'!V260)/('Ethylene Recycling HC'!V$256)*CI19/SUM(CI19:CI20)</f>
        <v>0.17555115433787488</v>
      </c>
      <c r="CJ36" s="168">
        <f>('Ethylene Recycling HC'!W260)/('Ethylene Recycling HC'!W$256)*CJ19/SUM(CJ19:CJ20)</f>
        <v>0.17721877081518539</v>
      </c>
      <c r="CK36" s="168">
        <f>('Ethylene Recycling HC'!X260)/('Ethylene Recycling HC'!X$256)*CK19/SUM(CK19:CK20)</f>
        <v>0.17887983284512765</v>
      </c>
      <c r="CL36" s="168">
        <f>('Ethylene Recycling HC'!Y260)/('Ethylene Recycling HC'!Y$256)*CL19/SUM(CL19:CL20)</f>
        <v>0.18053418088178463</v>
      </c>
      <c r="CM36" s="168">
        <f>('Ethylene Recycling HC'!Z260)/('Ethylene Recycling HC'!Z$256)*CM19/SUM(CM19:CM20)</f>
        <v>0.18218165169467621</v>
      </c>
      <c r="CN36" s="168">
        <f>('Ethylene Recycling HC'!AA260)/('Ethylene Recycling HC'!AA$256)*CN19/SUM(CN19:CN20)</f>
        <v>0.18382207826255698</v>
      </c>
      <c r="CO36" s="168">
        <f>('Ethylene Recycling HC'!AB260)/('Ethylene Recycling HC'!AB$256)*CO19/SUM(CO19:CO20)</f>
        <v>0.18545528966418529</v>
      </c>
      <c r="CP36" s="168">
        <f>('Ethylene Recycling HC'!AC260)/('Ethylene Recycling HC'!AC$256)*CP19/SUM(CP19:CP20)</f>
        <v>0.18708136294000979</v>
      </c>
      <c r="CQ36" s="168">
        <f>('Ethylene Recycling HC'!AD260)/('Ethylene Recycling HC'!AD$256)*CQ19/SUM(CQ19:CQ20)</f>
        <v>0.18870013207834357</v>
      </c>
      <c r="CR36" s="168">
        <f>('Ethylene Recycling HC'!AE260)/('Ethylene Recycling HC'!AE$256)*CR19/SUM(CR19:CR20)</f>
        <v>0.19031142727514974</v>
      </c>
      <c r="CS36" s="168">
        <f>('Ethylene Recycling HC'!AF260)/('Ethylene Recycling HC'!AF$256)*CS19/SUM(CS19:CS20)</f>
        <v>0.19191507482971729</v>
      </c>
      <c r="CT36" s="168">
        <f>('Ethylene Recycling HC'!AG260)/('Ethylene Recycling HC'!AG$256)*CT19/SUM(CT19:CT20)</f>
        <v>0.19351089703742877</v>
      </c>
      <c r="CV36" s="168">
        <f>AJ36*(1-SUM(CV$34:CV$35))/(1-SUM(AJ$34:AJ$35))</f>
        <v>0.14008791755710392</v>
      </c>
      <c r="CW36" s="168">
        <f t="shared" ref="CW36:DZ42" si="193">AK36*(1-SUM(CW$34:CW$35))/(1-SUM(AK$34:AK$35))</f>
        <v>0.14378771529863277</v>
      </c>
      <c r="CX36" s="168">
        <f t="shared" si="193"/>
        <v>0.14742339799776361</v>
      </c>
      <c r="CY36" s="168">
        <f t="shared" si="193"/>
        <v>0.15098929574735859</v>
      </c>
      <c r="CZ36" s="168">
        <f t="shared" si="193"/>
        <v>0.15447405595931629</v>
      </c>
      <c r="DA36" s="168">
        <f t="shared" si="193"/>
        <v>0.15785559443437872</v>
      </c>
      <c r="DB36" s="168">
        <f t="shared" si="193"/>
        <v>0.16109198914358536</v>
      </c>
      <c r="DC36" s="168">
        <f t="shared" si="193"/>
        <v>0.16410574275215017</v>
      </c>
      <c r="DD36" s="168">
        <f t="shared" si="193"/>
        <v>0.16675827649166816</v>
      </c>
      <c r="DE36" s="168">
        <f t="shared" si="193"/>
        <v>0.16881257883234183</v>
      </c>
      <c r="DF36" s="168">
        <f t="shared" si="193"/>
        <v>0.16988703966237748</v>
      </c>
      <c r="DG36" s="168">
        <f t="shared" si="193"/>
        <v>0.16805321949996183</v>
      </c>
      <c r="DH36" s="168">
        <f t="shared" si="193"/>
        <v>0.16398381346308055</v>
      </c>
      <c r="DI36" s="168">
        <f t="shared" si="193"/>
        <v>0.15696694964727403</v>
      </c>
      <c r="DJ36" s="168">
        <f t="shared" si="193"/>
        <v>0.14650021132484956</v>
      </c>
      <c r="DK36" s="168">
        <f t="shared" si="193"/>
        <v>0.13254708412438632</v>
      </c>
      <c r="DL36" s="168">
        <f t="shared" si="193"/>
        <v>0.11580383660411279</v>
      </c>
      <c r="DM36" s="168">
        <f t="shared" si="193"/>
        <v>9.7577820373898103E-2</v>
      </c>
      <c r="DN36" s="168">
        <f t="shared" si="193"/>
        <v>7.9404089027984875E-2</v>
      </c>
      <c r="DO36" s="168">
        <f t="shared" si="193"/>
        <v>6.2619064842622113E-2</v>
      </c>
      <c r="DP36" s="168">
        <f t="shared" si="193"/>
        <v>4.808071395494589E-2</v>
      </c>
      <c r="DQ36" s="168">
        <f t="shared" si="193"/>
        <v>3.5659978193949171E-2</v>
      </c>
      <c r="DR36" s="168">
        <f t="shared" si="193"/>
        <v>2.5981855599013361E-2</v>
      </c>
      <c r="DS36" s="168">
        <f t="shared" si="193"/>
        <v>1.8669733519539381E-2</v>
      </c>
      <c r="DT36" s="168">
        <f t="shared" si="193"/>
        <v>1.3272494019427148E-2</v>
      </c>
      <c r="DU36" s="168">
        <f t="shared" si="193"/>
        <v>9.3569030195711726E-3</v>
      </c>
      <c r="DV36" s="168">
        <f t="shared" si="193"/>
        <v>6.5523147640708214E-3</v>
      </c>
      <c r="DW36" s="168">
        <f t="shared" si="193"/>
        <v>4.5625781204057352E-3</v>
      </c>
      <c r="DX36" s="168">
        <f t="shared" si="193"/>
        <v>3.1612883640261854E-3</v>
      </c>
      <c r="DY36" s="168">
        <f t="shared" si="193"/>
        <v>2.1803820594289056E-3</v>
      </c>
      <c r="DZ36" s="168">
        <f t="shared" si="193"/>
        <v>1.4974933464087579E-3</v>
      </c>
    </row>
    <row r="37" spans="1:165">
      <c r="A37" s="606" t="s">
        <v>460</v>
      </c>
      <c r="C37" s="54" t="s">
        <v>462</v>
      </c>
      <c r="D37" s="168">
        <f>('Ethylene Recycling HC'!C284-('Ethylene Recycling HC'!C311+'Ethylene Recycling HC'!C313)*'Ethylene Recycling HC'!C250/SUM('Ethylene Recycling HC'!C250:C251))/('Ethylene Recycling HC'!C$266)*D$20/SUM(D$19:D$20)</f>
        <v>6.4567551012323473E-6</v>
      </c>
      <c r="E37" s="168">
        <f>('Ethylene Recycling HC'!D284-('Ethylene Recycling HC'!D311+'Ethylene Recycling HC'!D313)*'Ethylene Recycling HC'!D250/SUM('Ethylene Recycling HC'!D250:D251))/('Ethylene Recycling HC'!D$266)*E$20/SUM(E$19:E$20)</f>
        <v>1.2833840918621511E-5</v>
      </c>
      <c r="F37" s="168">
        <f>('Ethylene Recycling HC'!E284-('Ethylene Recycling HC'!E311+'Ethylene Recycling HC'!E313)*'Ethylene Recycling HC'!E250/SUM('Ethylene Recycling HC'!E250:E251))/('Ethylene Recycling HC'!E$266)*F$20/SUM(F$19:F$20)</f>
        <v>2.5438461945729095E-5</v>
      </c>
      <c r="G37" s="168">
        <f>('Ethylene Recycling HC'!F284-('Ethylene Recycling HC'!F311+'Ethylene Recycling HC'!F313)*'Ethylene Recycling HC'!F250/SUM('Ethylene Recycling HC'!F250:F251))/('Ethylene Recycling HC'!F$266)*G$20/SUM(G$19:G$20)</f>
        <v>5.0250128921397892E-5</v>
      </c>
      <c r="H37" s="168">
        <f>('Ethylene Recycling HC'!G284-('Ethylene Recycling HC'!G311+'Ethylene Recycling HC'!G313)*'Ethylene Recycling HC'!G250/SUM('Ethylene Recycling HC'!G250:G251))/('Ethylene Recycling HC'!G$266)*H$20/SUM(H$19:H$20)</f>
        <v>9.8830494349629036E-5</v>
      </c>
      <c r="I37" s="168">
        <f>('Ethylene Recycling HC'!H284-('Ethylene Recycling HC'!H311+'Ethylene Recycling HC'!H313)*'Ethylene Recycling HC'!H250/SUM('Ethylene Recycling HC'!H250:H251))/('Ethylene Recycling HC'!H$266)*I$20/SUM(I$19:I$20)</f>
        <v>1.9327595383403489E-4</v>
      </c>
      <c r="J37" s="168">
        <f>('Ethylene Recycling HC'!I284-('Ethylene Recycling HC'!I311+'Ethylene Recycling HC'!I313)*'Ethylene Recycling HC'!I250/SUM('Ethylene Recycling HC'!I250:I251))/('Ethylene Recycling HC'!I$266)*J$20/SUM(J$19:J$20)</f>
        <v>3.7514216112557758E-4</v>
      </c>
      <c r="K37" s="168">
        <f>('Ethylene Recycling HC'!J284-('Ethylene Recycling HC'!J311+'Ethylene Recycling HC'!J313)*'Ethylene Recycling HC'!J250/SUM('Ethylene Recycling HC'!J250:J251))/('Ethylene Recycling HC'!J$266)*K$20/SUM(K$19:K$20)</f>
        <v>7.2084969997603652E-4</v>
      </c>
      <c r="L37" s="168">
        <f>('Ethylene Recycling HC'!K284-('Ethylene Recycling HC'!K311+'Ethylene Recycling HC'!K313)*'Ethylene Recycling HC'!K250/SUM('Ethylene Recycling HC'!K250:K251))/('Ethylene Recycling HC'!K$266)*L$20/SUM(L$19:L$20)</f>
        <v>1.3666106808111612E-3</v>
      </c>
      <c r="M37" s="168">
        <f>('Ethylene Recycling HC'!L284-('Ethylene Recycling HC'!L311+'Ethylene Recycling HC'!L313)*'Ethylene Recycling HC'!L250/SUM('Ethylene Recycling HC'!L250:L251))/('Ethylene Recycling HC'!L$266)*M$20/SUM(M$19:M$20)</f>
        <v>2.5448279556874406E-3</v>
      </c>
      <c r="N37" s="168">
        <f>('Ethylene Recycling HC'!M284-('Ethylene Recycling HC'!M311+'Ethylene Recycling HC'!M313)*'Ethylene Recycling HC'!M250/SUM('Ethylene Recycling HC'!M250:M251))/('Ethylene Recycling HC'!M$266)*N$20/SUM(N$19:N$20)</f>
        <v>4.6284364079586761E-3</v>
      </c>
      <c r="O37" s="168">
        <f>('Ethylene Recycling HC'!N284-('Ethylene Recycling HC'!N311+'Ethylene Recycling HC'!N313)*'Ethylene Recycling HC'!N250/SUM('Ethylene Recycling HC'!N250:N251))/('Ethylene Recycling HC'!N$266)*O$20/SUM(O$19:O$20)</f>
        <v>8.1007024786027906E-3</v>
      </c>
      <c r="P37" s="168">
        <f>('Ethylene Recycling HC'!O284-('Ethylene Recycling HC'!O311+'Ethylene Recycling HC'!O313)*'Ethylene Recycling HC'!O250/SUM('Ethylene Recycling HC'!O250:O251))/('Ethylene Recycling HC'!O$266)*P$20/SUM(P$19:P$20)</f>
        <v>1.3648457393547237E-2</v>
      </c>
      <c r="Q37" s="168">
        <f>('Ethylene Recycling HC'!P284-('Ethylene Recycling HC'!P311+'Ethylene Recycling HC'!P313)*'Ethylene Recycling HC'!P250/SUM('Ethylene Recycling HC'!P250:P251))/('Ethylene Recycling HC'!P$266)*Q$20/SUM(Q$19:Q$20)</f>
        <v>2.1966217668270231E-2</v>
      </c>
      <c r="R37" s="168">
        <f>('Ethylene Recycling HC'!Q284-('Ethylene Recycling HC'!Q311+'Ethylene Recycling HC'!Q313)*'Ethylene Recycling HC'!Q250/SUM('Ethylene Recycling HC'!Q250:Q251))/('Ethylene Recycling HC'!Q$266)*R$20/SUM(R$19:R$20)</f>
        <v>3.3540388738845274E-2</v>
      </c>
      <c r="S37" s="168">
        <f>('Ethylene Recycling HC'!R284-('Ethylene Recycling HC'!R311+'Ethylene Recycling HC'!R313)*'Ethylene Recycling HC'!R250/SUM('Ethylene Recycling HC'!R250:R251))/('Ethylene Recycling HC'!R$266)*S$20/SUM(S$19:S$20)</f>
        <v>4.8335847236559648E-2</v>
      </c>
      <c r="T37" s="168">
        <f>('Ethylene Recycling HC'!S284-('Ethylene Recycling HC'!S311+'Ethylene Recycling HC'!S313)*'Ethylene Recycling HC'!S250/SUM('Ethylene Recycling HC'!S250:S251))/('Ethylene Recycling HC'!S$266)*T$20/SUM(T$19:T$20)</f>
        <v>6.5636049504962143E-2</v>
      </c>
      <c r="U37" s="168">
        <f>('Ethylene Recycling HC'!T284-('Ethylene Recycling HC'!T311+'Ethylene Recycling HC'!T313)*'Ethylene Recycling HC'!T250/SUM('Ethylene Recycling HC'!T250:T251))/('Ethylene Recycling HC'!T$266)*U$20/SUM(U$19:U$20)</f>
        <v>8.4152390335193672E-2</v>
      </c>
      <c r="V37" s="168">
        <f>('Ethylene Recycling HC'!U284-('Ethylene Recycling HC'!U311+'Ethylene Recycling HC'!U313)*'Ethylene Recycling HC'!U250/SUM('Ethylene Recycling HC'!U250:U251))/('Ethylene Recycling HC'!U$266)*V$20/SUM(V$19:V$20)</f>
        <v>0.10238316009801449</v>
      </c>
      <c r="W37" s="168">
        <f>('Ethylene Recycling HC'!V284-('Ethylene Recycling HC'!V311+'Ethylene Recycling HC'!V313)*'Ethylene Recycling HC'!V250/SUM('Ethylene Recycling HC'!V250:V251))/('Ethylene Recycling HC'!V$266)*W$20/SUM(W$19:W$20)</f>
        <v>0.1190461850414538</v>
      </c>
      <c r="X37" s="168">
        <f>('Ethylene Recycling HC'!W284-('Ethylene Recycling HC'!W311+'Ethylene Recycling HC'!W313)*'Ethylene Recycling HC'!W250/SUM('Ethylene Recycling HC'!W250:W251))/('Ethylene Recycling HC'!W$266)*X$20/SUM(X$19:X$20)</f>
        <v>0.13334154624036915</v>
      </c>
      <c r="Y37" s="168">
        <f>('Ethylene Recycling HC'!X284-('Ethylene Recycling HC'!X311+'Ethylene Recycling HC'!X313)*'Ethylene Recycling HC'!X250/SUM('Ethylene Recycling HC'!X250:X251))/('Ethylene Recycling HC'!X$266)*Y$20/SUM(Y$19:Y$20)</f>
        <v>0.14302618287376537</v>
      </c>
      <c r="Z37" s="168">
        <f>('Ethylene Recycling HC'!Y284-('Ethylene Recycling HC'!Y311+'Ethylene Recycling HC'!Y313)*'Ethylene Recycling HC'!Y250/SUM('Ethylene Recycling HC'!Y250:Y251))/('Ethylene Recycling HC'!Y$266)*Z$20/SUM(Z$19:Z$20)</f>
        <v>0.14980962632179859</v>
      </c>
      <c r="AA37" s="168">
        <f>('Ethylene Recycling HC'!Z284-('Ethylene Recycling HC'!Z311+'Ethylene Recycling HC'!Z313)*'Ethylene Recycling HC'!Z250/SUM('Ethylene Recycling HC'!Z250:Z251))/('Ethylene Recycling HC'!Z$266)*AA$20/SUM(AA$19:AA$20)</f>
        <v>0.1540805319244048</v>
      </c>
      <c r="AB37" s="168">
        <f>('Ethylene Recycling HC'!AA284-('Ethylene Recycling HC'!AA311+'Ethylene Recycling HC'!AA313)*'Ethylene Recycling HC'!AA250/SUM('Ethylene Recycling HC'!AA250:AA251))/('Ethylene Recycling HC'!AA$266)*AB$20/SUM(AB$19:AB$20)</f>
        <v>0.15627858831302432</v>
      </c>
      <c r="AC37" s="168">
        <f>('Ethylene Recycling HC'!AB284-('Ethylene Recycling HC'!AB311+'Ethylene Recycling HC'!AB313)*'Ethylene Recycling HC'!AB250/SUM('Ethylene Recycling HC'!AB250:AB251))/('Ethylene Recycling HC'!AB$266)*AC$20/SUM(AC$19:AC$20)</f>
        <v>0.15680262156167468</v>
      </c>
      <c r="AD37" s="168">
        <f>('Ethylene Recycling HC'!AC284-('Ethylene Recycling HC'!AC311+'Ethylene Recycling HC'!AC313)*'Ethylene Recycling HC'!AC250/SUM('Ethylene Recycling HC'!AC250:AC251))/('Ethylene Recycling HC'!AC$266)*AD$20/SUM(AD$19:AD$20)</f>
        <v>0.15596747317523624</v>
      </c>
      <c r="AE37" s="168">
        <f>('Ethylene Recycling HC'!AD284-('Ethylene Recycling HC'!AD311+'Ethylene Recycling HC'!AD313)*'Ethylene Recycling HC'!AD250/SUM('Ethylene Recycling HC'!AD250:AD251))/('Ethylene Recycling HC'!AD$266)*AE$20/SUM(AE$19:AE$20)</f>
        <v>0.15399705633102476</v>
      </c>
      <c r="AF37" s="168">
        <f>('Ethylene Recycling HC'!AE284-('Ethylene Recycling HC'!AE311+'Ethylene Recycling HC'!AE313)*'Ethylene Recycling HC'!AE250/SUM('Ethylene Recycling HC'!AE250:AE251))/('Ethylene Recycling HC'!AE$266)*AF$20/SUM(AF$19:AF$20)</f>
        <v>0.15104271042706757</v>
      </c>
      <c r="AG37" s="168">
        <f>('Ethylene Recycling HC'!AF284-('Ethylene Recycling HC'!AF311+'Ethylene Recycling HC'!AF313)*'Ethylene Recycling HC'!AF250/SUM('Ethylene Recycling HC'!AF250:AF251))/('Ethylene Recycling HC'!AF$266)*AG$20/SUM(AG$19:AG$20)</f>
        <v>0.14721959539241172</v>
      </c>
      <c r="AH37" s="168">
        <f>('Ethylene Recycling HC'!AG284-('Ethylene Recycling HC'!AG311+'Ethylene Recycling HC'!AG313)*'Ethylene Recycling HC'!AG250/SUM('Ethylene Recycling HC'!AG250:AG251))/('Ethylene Recycling HC'!AG$266)*AH$20/SUM(AH$19:AH$20)</f>
        <v>0.14264951131286827</v>
      </c>
      <c r="AI37" s="44"/>
      <c r="AJ37" s="168">
        <f>('Ethylene Recycling LC'!C242-('Ethylene Recycling LC'!C269+'Ethylene Recycling LC'!C271)*'Ethylene Recycling LC'!C208/SUM('Ethylene Recycling LC'!C208:C209))/('Ethylene Recycling LC'!C$224)*AJ20/SUM(AJ19:AJ20)</f>
        <v>6.4567581679628716E-6</v>
      </c>
      <c r="AK37" s="168">
        <f>('Ethylene Recycling LC'!D242-('Ethylene Recycling LC'!D269+'Ethylene Recycling LC'!D271)*'Ethylene Recycling LC'!D208/SUM('Ethylene Recycling LC'!D208:D209))/('Ethylene Recycling LC'!D$224)*AK20/SUM(AK19:AK20)</f>
        <v>1.2833853114539275E-5</v>
      </c>
      <c r="AL37" s="168">
        <f>('Ethylene Recycling LC'!E242-('Ethylene Recycling LC'!E269+'Ethylene Recycling LC'!E271)*'Ethylene Recycling LC'!E208/SUM('Ethylene Recycling LC'!E208:E209))/('Ethylene Recycling LC'!E$224)*AL20/SUM(AL19:AL20)</f>
        <v>2.5438510219108712E-5</v>
      </c>
      <c r="AM37" s="168">
        <f>('Ethylene Recycling LC'!F242-('Ethylene Recycling LC'!F269+'Ethylene Recycling LC'!F271)*'Ethylene Recycling LC'!F208/SUM('Ethylene Recycling LC'!F208:F209))/('Ethylene Recycling LC'!F$224)*AM20/SUM(AM19:AM20)</f>
        <v>5.0250318845856119E-5</v>
      </c>
      <c r="AN37" s="168">
        <f>('Ethylene Recycling LC'!G242-('Ethylene Recycling LC'!G269+'Ethylene Recycling LC'!G271)*'Ethylene Recycling LC'!G208/SUM('Ethylene Recycling LC'!G208:G209))/('Ethylene Recycling LC'!G$224)*AN20/SUM(AN19:AN20)</f>
        <v>9.8831235679348775E-5</v>
      </c>
      <c r="AO37" s="168">
        <f>('Ethylene Recycling LC'!H242-('Ethylene Recycling LC'!H269+'Ethylene Recycling LC'!H271)*'Ethylene Recycling LC'!H208/SUM('Ethylene Recycling LC'!H208:H209))/('Ethylene Recycling LC'!H$224)*AO20/SUM(AO19:AO20)</f>
        <v>1.9327881695399614E-4</v>
      </c>
      <c r="AP37" s="168">
        <f>('Ethylene Recycling LC'!I242-('Ethylene Recycling LC'!I269+'Ethylene Recycling LC'!I271)*'Ethylene Recycling LC'!I208/SUM('Ethylene Recycling LC'!I208:I209))/('Ethylene Recycling LC'!I$224)*AP20/SUM(AP19:AP20)</f>
        <v>3.7515306182646417E-4</v>
      </c>
      <c r="AQ37" s="168">
        <f>('Ethylene Recycling LC'!J242-('Ethylene Recycling LC'!J269+'Ethylene Recycling LC'!J271)*'Ethylene Recycling LC'!J208/SUM('Ethylene Recycling LC'!J208:J209))/('Ethylene Recycling LC'!J$224)*AQ20/SUM(AQ19:AQ20)</f>
        <v>7.208904056126051E-4</v>
      </c>
      <c r="AR37" s="168">
        <f>('Ethylene Recycling LC'!K242-('Ethylene Recycling LC'!K269+'Ethylene Recycling LC'!K271)*'Ethylene Recycling LC'!K208/SUM('Ethylene Recycling LC'!K208:K209))/('Ethylene Recycling LC'!K$224)*AR20/SUM(AR19:AR20)</f>
        <v>1.3667587589416821E-3</v>
      </c>
      <c r="AS37" s="168">
        <f>('Ethylene Recycling LC'!L242-('Ethylene Recycling LC'!L269+'Ethylene Recycling LC'!L271)*'Ethylene Recycling LC'!L208/SUM('Ethylene Recycling LC'!L208:L209))/('Ethylene Recycling LC'!L$224)*AS20/SUM(AS19:AS20)</f>
        <v>2.5453480901964647E-3</v>
      </c>
      <c r="AT37" s="168">
        <f>('Ethylene Recycling LC'!M242-('Ethylene Recycling LC'!M269+'Ethylene Recycling LC'!M271)*'Ethylene Recycling LC'!M208/SUM('Ethylene Recycling LC'!M208:M209))/('Ethylene Recycling LC'!M$224)*AT20/SUM(AT19:AT20)</f>
        <v>4.6301884983286105E-3</v>
      </c>
      <c r="AU37" s="168">
        <f>('Ethylene Recycling LC'!N242-('Ethylene Recycling LC'!N269+'Ethylene Recycling LC'!N271)*'Ethylene Recycling LC'!N208/SUM('Ethylene Recycling LC'!N208:N209))/('Ethylene Recycling LC'!N$224)*AU20/SUM(AU19:AU20)</f>
        <v>8.1059204284866463E-3</v>
      </c>
      <c r="AV37" s="168">
        <f>('Ethylene Recycling LC'!O242-('Ethylene Recycling LC'!O269+'Ethylene Recycling LC'!O271)*'Ethylene Recycling LC'!O208/SUM('Ethylene Recycling LC'!O208:O209))/('Ethylene Recycling LC'!O$224)*AV20/SUM(AV19:AV20)</f>
        <v>1.3662923395840208E-2</v>
      </c>
      <c r="AW37" s="168">
        <f>('Ethylene Recycling LC'!P242-('Ethylene Recycling LC'!P269+'Ethylene Recycling LC'!P271)*'Ethylene Recycling LC'!P208/SUM('Ethylene Recycling LC'!P208:P209))/('Ethylene Recycling LC'!P$224)*AW20/SUM(AW19:AW20)</f>
        <v>2.2002732944194626E-2</v>
      </c>
      <c r="AX37" s="168">
        <f>('Ethylene Recycling LC'!Q242-('Ethylene Recycling LC'!Q269+'Ethylene Recycling LC'!Q271)*'Ethylene Recycling LC'!Q208/SUM('Ethylene Recycling LC'!Q208:Q209))/('Ethylene Recycling LC'!Q$224)*AX20/SUM(AX19:AX20)</f>
        <v>3.3623501478601187E-2</v>
      </c>
      <c r="AY37" s="168">
        <f>('Ethylene Recycling LC'!R242-('Ethylene Recycling LC'!R269+'Ethylene Recycling LC'!R271)*'Ethylene Recycling LC'!R208/SUM('Ethylene Recycling LC'!R208:R209))/('Ethylene Recycling LC'!R$224)*AY20/SUM(AY19:AY20)</f>
        <v>4.8514874695718621E-2</v>
      </c>
      <c r="AZ37" s="168">
        <f>('Ethylene Recycling LC'!S242-('Ethylene Recycling LC'!S269+'Ethylene Recycling LC'!S271)*'Ethylene Recycling LC'!S208/SUM('Ethylene Recycling LC'!S208:S209))/('Ethylene Recycling LC'!S$224)*AZ20/SUM(AZ19:AZ20)</f>
        <v>6.5985586422109485E-2</v>
      </c>
      <c r="BA37" s="168">
        <f>('Ethylene Recycling LC'!T242-('Ethylene Recycling LC'!T269+'Ethylene Recycling LC'!T271)*'Ethylene Recycling LC'!T208/SUM('Ethylene Recycling LC'!T208:T209))/('Ethylene Recycling LC'!T$224)*BA20/SUM(BA19:BA20)</f>
        <v>8.475983700886261E-2</v>
      </c>
      <c r="BB37" s="168">
        <f>('Ethylene Recycling LC'!U242-('Ethylene Recycling LC'!U269+'Ethylene Recycling LC'!U271)*'Ethylene Recycling LC'!U208/SUM('Ethylene Recycling LC'!U208:U209))/('Ethylene Recycling LC'!U$224)*BB20/SUM(BB19:BB20)</f>
        <v>0.1033321035049688</v>
      </c>
      <c r="BC37" s="168">
        <f>('Ethylene Recycling LC'!V242-('Ethylene Recycling LC'!V269+'Ethylene Recycling LC'!V271)*'Ethylene Recycling LC'!V208/SUM('Ethylene Recycling LC'!V208:V209))/('Ethylene Recycling LC'!V$224)*BC20/SUM(BC19:BC20)</f>
        <v>0.12039755544435457</v>
      </c>
      <c r="BD37" s="168">
        <f>('Ethylene Recycling LC'!W242-('Ethylene Recycling LC'!W269+'Ethylene Recycling LC'!W271)*'Ethylene Recycling LC'!W208/SUM('Ethylene Recycling LC'!W208:W209))/('Ethylene Recycling LC'!W$224)*BD20/SUM(BD19:BD20)</f>
        <v>0.1351238513959562</v>
      </c>
      <c r="BE37" s="168">
        <f>('Ethylene Recycling LC'!X242-('Ethylene Recycling LC'!X269+'Ethylene Recycling LC'!X271)*'Ethylene Recycling LC'!X208/SUM('Ethylene Recycling LC'!X208:X209))/('Ethylene Recycling LC'!X$224)*BE20/SUM(BE19:BE20)</f>
        <v>0.14530113218165475</v>
      </c>
      <c r="BF37" s="168">
        <f>('Ethylene Recycling LC'!Y242-('Ethylene Recycling LC'!Y269+'Ethylene Recycling LC'!Y271)*'Ethylene Recycling LC'!Y208/SUM('Ethylene Recycling LC'!Y208:Y209))/('Ethylene Recycling LC'!Y$224)*BF20/SUM(BF19:BF20)</f>
        <v>0.15257173924244838</v>
      </c>
      <c r="BG37" s="168">
        <f>('Ethylene Recycling LC'!Z242-('Ethylene Recycling LC'!Z269+'Ethylene Recycling LC'!Z271)*'Ethylene Recycling LC'!Z208/SUM('Ethylene Recycling LC'!Z208:Z209))/('Ethylene Recycling LC'!Z$224)*BG20/SUM(BG19:BG20)</f>
        <v>0.15731220479710809</v>
      </c>
      <c r="BH37" s="168">
        <f>('Ethylene Recycling LC'!AA242-('Ethylene Recycling LC'!AA269+'Ethylene Recycling LC'!AA271)*'Ethylene Recycling LC'!AA208/SUM('Ethylene Recycling LC'!AA208:AA209))/('Ethylene Recycling LC'!AA$224)*BH20/SUM(BH19:BH20)</f>
        <v>0.15996323639856319</v>
      </c>
      <c r="BI37" s="168">
        <f>('Ethylene Recycling LC'!AB242-('Ethylene Recycling LC'!AB269+'Ethylene Recycling LC'!AB271)*'Ethylene Recycling LC'!AB208/SUM('Ethylene Recycling LC'!AB208:AB209))/('Ethylene Recycling LC'!AB$224)*BI20/SUM(BI19:BI20)</f>
        <v>0.16093695347473747</v>
      </c>
      <c r="BJ37" s="168">
        <f>('Ethylene Recycling LC'!AC242-('Ethylene Recycling LC'!AC269+'Ethylene Recycling LC'!AC271)*'Ethylene Recycling LC'!AC208/SUM('Ethylene Recycling LC'!AC208:AC209))/('Ethylene Recycling LC'!AC$224)*BJ20/SUM(BJ19:BJ20)</f>
        <v>0.16057235275433432</v>
      </c>
      <c r="BK37" s="168">
        <f>('Ethylene Recycling LC'!AD242-('Ethylene Recycling LC'!AD269+'Ethylene Recycling LC'!AD271)*'Ethylene Recycling LC'!AD208/SUM('Ethylene Recycling LC'!AD208:AD209))/('Ethylene Recycling LC'!AD$224)*BK20/SUM(BK19:BK20)</f>
        <v>0.15912550671293257</v>
      </c>
      <c r="BL37" s="168">
        <f>('Ethylene Recycling LC'!AE242-('Ethylene Recycling LC'!AE269+'Ethylene Recycling LC'!AE271)*'Ethylene Recycling LC'!AE208/SUM('Ethylene Recycling LC'!AE208:AE209))/('Ethylene Recycling LC'!AE$224)*BL20/SUM(BL19:BL20)</f>
        <v>0.15678157961128811</v>
      </c>
      <c r="BM37" s="168">
        <f>('Ethylene Recycling LC'!AF242-('Ethylene Recycling LC'!AF269+'Ethylene Recycling LC'!AF271)*'Ethylene Recycling LC'!AF208/SUM('Ethylene Recycling LC'!AF208:AF209))/('Ethylene Recycling LC'!AF$224)*BM20/SUM(BM19:BM20)</f>
        <v>0.15368020118348547</v>
      </c>
      <c r="BN37" s="168">
        <f>('Ethylene Recycling LC'!AG242-('Ethylene Recycling LC'!AG269+'Ethylene Recycling LC'!AG271)*'Ethylene Recycling LC'!AG208/SUM('Ethylene Recycling LC'!AG208:AG209))/('Ethylene Recycling LC'!AG$224)*BN20/SUM(BN19:BN20)</f>
        <v>0.14994517070692534</v>
      </c>
      <c r="BP37" s="168">
        <f>('Ethylene Recycling HC'!C260)/('Ethylene Recycling HC'!C$256)*BP20/SUM(BP19:BP20)</f>
        <v>0</v>
      </c>
      <c r="BQ37" s="168">
        <f>('Ethylene Recycling HC'!D260)/('Ethylene Recycling HC'!D$256)*BQ20/SUM(BQ19:BQ20)</f>
        <v>0</v>
      </c>
      <c r="BR37" s="168">
        <f>('Ethylene Recycling HC'!E260)/('Ethylene Recycling HC'!E$256)*BR20/SUM(BR19:BR20)</f>
        <v>0</v>
      </c>
      <c r="BS37" s="168">
        <f>('Ethylene Recycling HC'!F260)/('Ethylene Recycling HC'!F$256)*BS20/SUM(BS19:BS20)</f>
        <v>0</v>
      </c>
      <c r="BT37" s="168">
        <f>('Ethylene Recycling HC'!G260)/('Ethylene Recycling HC'!G$256)*BT20/SUM(BT19:BT20)</f>
        <v>0</v>
      </c>
      <c r="BU37" s="168">
        <f>('Ethylene Recycling HC'!H260)/('Ethylene Recycling HC'!H$256)*BU20/SUM(BU19:BU20)</f>
        <v>0</v>
      </c>
      <c r="BV37" s="168">
        <f>('Ethylene Recycling HC'!I260)/('Ethylene Recycling HC'!I$256)*BV20/SUM(BV19:BV20)</f>
        <v>0</v>
      </c>
      <c r="BW37" s="168">
        <f>('Ethylene Recycling HC'!J260)/('Ethylene Recycling HC'!J$256)*BW20/SUM(BW19:BW20)</f>
        <v>0</v>
      </c>
      <c r="BX37" s="168">
        <f>('Ethylene Recycling HC'!K260)/('Ethylene Recycling HC'!K$256)*BX20/SUM(BX19:BX20)</f>
        <v>0</v>
      </c>
      <c r="BY37" s="168">
        <f>('Ethylene Recycling HC'!L260)/('Ethylene Recycling HC'!L$256)*BY20/SUM(BY19:BY20)</f>
        <v>0</v>
      </c>
      <c r="BZ37" s="168">
        <f>('Ethylene Recycling HC'!M260)/('Ethylene Recycling HC'!M$256)*BZ20/SUM(BZ19:BZ20)</f>
        <v>0</v>
      </c>
      <c r="CA37" s="168">
        <f>('Ethylene Recycling HC'!N260)/('Ethylene Recycling HC'!N$256)*CA20/SUM(CA19:CA20)</f>
        <v>0</v>
      </c>
      <c r="CB37" s="168">
        <f>('Ethylene Recycling HC'!O260)/('Ethylene Recycling HC'!O$256)*CB20/SUM(CB19:CB20)</f>
        <v>0</v>
      </c>
      <c r="CC37" s="168">
        <f>('Ethylene Recycling HC'!P260)/('Ethylene Recycling HC'!P$256)*CC20/SUM(CC19:CC20)</f>
        <v>0</v>
      </c>
      <c r="CD37" s="168">
        <f>('Ethylene Recycling HC'!Q260)/('Ethylene Recycling HC'!Q$256)*CD20/SUM(CD19:CD20)</f>
        <v>0</v>
      </c>
      <c r="CE37" s="168">
        <f>('Ethylene Recycling HC'!R260)/('Ethylene Recycling HC'!R$256)*CE20/SUM(CE19:CE20)</f>
        <v>0</v>
      </c>
      <c r="CF37" s="168">
        <f>('Ethylene Recycling HC'!S260)/('Ethylene Recycling HC'!S$256)*CF20/SUM(CF19:CF20)</f>
        <v>0</v>
      </c>
      <c r="CG37" s="168">
        <f>('Ethylene Recycling HC'!T260)/('Ethylene Recycling HC'!T$256)*CG20/SUM(CG19:CG20)</f>
        <v>0</v>
      </c>
      <c r="CH37" s="168">
        <f>('Ethylene Recycling HC'!U260)/('Ethylene Recycling HC'!U$256)*CH20/SUM(CH19:CH20)</f>
        <v>0</v>
      </c>
      <c r="CI37" s="168">
        <f>('Ethylene Recycling HC'!V260)/('Ethylene Recycling HC'!V$256)*CI20/SUM(CI19:CI20)</f>
        <v>0</v>
      </c>
      <c r="CJ37" s="168">
        <f>('Ethylene Recycling HC'!W260)/('Ethylene Recycling HC'!W$256)*CJ20/SUM(CJ19:CJ20)</f>
        <v>0</v>
      </c>
      <c r="CK37" s="168">
        <f>('Ethylene Recycling HC'!X260)/('Ethylene Recycling HC'!X$256)*CK20/SUM(CK19:CK20)</f>
        <v>0</v>
      </c>
      <c r="CL37" s="168">
        <f>('Ethylene Recycling HC'!Y260)/('Ethylene Recycling HC'!Y$256)*CL20/SUM(CL19:CL20)</f>
        <v>0</v>
      </c>
      <c r="CM37" s="168">
        <f>('Ethylene Recycling HC'!Z260)/('Ethylene Recycling HC'!Z$256)*CM20/SUM(CM19:CM20)</f>
        <v>0</v>
      </c>
      <c r="CN37" s="168">
        <f>('Ethylene Recycling HC'!AA260)/('Ethylene Recycling HC'!AA$256)*CN20/SUM(CN19:CN20)</f>
        <v>0</v>
      </c>
      <c r="CO37" s="168">
        <f>('Ethylene Recycling HC'!AB260)/('Ethylene Recycling HC'!AB$256)*CO20/SUM(CO19:CO20)</f>
        <v>0</v>
      </c>
      <c r="CP37" s="168">
        <f>('Ethylene Recycling HC'!AC260)/('Ethylene Recycling HC'!AC$256)*CP20/SUM(CP19:CP20)</f>
        <v>0</v>
      </c>
      <c r="CQ37" s="168">
        <f>('Ethylene Recycling HC'!AD260)/('Ethylene Recycling HC'!AD$256)*CQ20/SUM(CQ19:CQ20)</f>
        <v>0</v>
      </c>
      <c r="CR37" s="168">
        <f>('Ethylene Recycling HC'!AE260)/('Ethylene Recycling HC'!AE$256)*CR20/SUM(CR19:CR20)</f>
        <v>0</v>
      </c>
      <c r="CS37" s="168">
        <f>('Ethylene Recycling HC'!AF260)/('Ethylene Recycling HC'!AF$256)*CS20/SUM(CS19:CS20)</f>
        <v>0</v>
      </c>
      <c r="CT37" s="168">
        <f>('Ethylene Recycling HC'!AG260)/('Ethylene Recycling HC'!AG$256)*CT20/SUM(CT19:CT20)</f>
        <v>0</v>
      </c>
      <c r="CV37" s="168">
        <f t="shared" ref="CV37:CV42" si="194">AJ37*(1-SUM(CV$34:CV$35))/(1-SUM(AJ$34:AJ$35))</f>
        <v>6.4567581679628716E-6</v>
      </c>
      <c r="CW37" s="168">
        <f t="shared" si="193"/>
        <v>1.2833853114539277E-5</v>
      </c>
      <c r="CX37" s="168">
        <f t="shared" si="193"/>
        <v>2.5438510219108712E-5</v>
      </c>
      <c r="CY37" s="168">
        <f t="shared" si="193"/>
        <v>5.0250318845856119E-5</v>
      </c>
      <c r="CZ37" s="168">
        <f t="shared" si="193"/>
        <v>9.8831235679348775E-5</v>
      </c>
      <c r="DA37" s="168">
        <f t="shared" si="193"/>
        <v>1.9327881695399614E-4</v>
      </c>
      <c r="DB37" s="168">
        <f t="shared" si="193"/>
        <v>3.7515306182646417E-4</v>
      </c>
      <c r="DC37" s="168">
        <f t="shared" si="193"/>
        <v>7.208904056126051E-4</v>
      </c>
      <c r="DD37" s="168">
        <f t="shared" si="193"/>
        <v>1.3667587589416821E-3</v>
      </c>
      <c r="DE37" s="168">
        <f t="shared" si="193"/>
        <v>2.5453480901964647E-3</v>
      </c>
      <c r="DF37" s="168">
        <f t="shared" si="193"/>
        <v>4.6301884983286105E-3</v>
      </c>
      <c r="DG37" s="168">
        <f t="shared" si="193"/>
        <v>8.1059204284866463E-3</v>
      </c>
      <c r="DH37" s="168">
        <f t="shared" si="193"/>
        <v>1.3662923395840208E-2</v>
      </c>
      <c r="DI37" s="168">
        <f t="shared" si="193"/>
        <v>2.2002639049907E-2</v>
      </c>
      <c r="DJ37" s="168">
        <f t="shared" si="193"/>
        <v>3.3623193147736409E-2</v>
      </c>
      <c r="DK37" s="168">
        <f t="shared" si="193"/>
        <v>4.851415882055661E-2</v>
      </c>
      <c r="DL37" s="168">
        <f t="shared" si="193"/>
        <v>6.5984195814975818E-2</v>
      </c>
      <c r="DM37" s="168">
        <f t="shared" si="193"/>
        <v>8.4757449435554022E-2</v>
      </c>
      <c r="DN37" s="168">
        <f t="shared" si="193"/>
        <v>0.10332837568773851</v>
      </c>
      <c r="DO37" s="168">
        <f t="shared" si="193"/>
        <v>0.12039215844393684</v>
      </c>
      <c r="DP37" s="168">
        <f t="shared" si="193"/>
        <v>0.13511649452208913</v>
      </c>
      <c r="DQ37" s="168">
        <f t="shared" si="193"/>
        <v>0.14529131996085359</v>
      </c>
      <c r="DR37" s="168">
        <f t="shared" si="193"/>
        <v>0.15255916648123466</v>
      </c>
      <c r="DS37" s="168">
        <f t="shared" si="193"/>
        <v>0.15729233760199135</v>
      </c>
      <c r="DT37" s="168">
        <f t="shared" si="193"/>
        <v>0.15993487678702625</v>
      </c>
      <c r="DU37" s="168">
        <f t="shared" si="193"/>
        <v>0.16089895148039002</v>
      </c>
      <c r="DV37" s="168">
        <f t="shared" si="193"/>
        <v>0.16052358292127852</v>
      </c>
      <c r="DW37" s="168">
        <f t="shared" si="193"/>
        <v>0.1590648447799265</v>
      </c>
      <c r="DX37" s="168">
        <f t="shared" si="193"/>
        <v>0.15670788374736738</v>
      </c>
      <c r="DY37" s="168">
        <f t="shared" si="193"/>
        <v>0.15359230146350208</v>
      </c>
      <c r="DZ37" s="168">
        <f t="shared" si="193"/>
        <v>0.14984186933182461</v>
      </c>
    </row>
    <row r="38" spans="1:165">
      <c r="A38" s="606" t="s">
        <v>33</v>
      </c>
      <c r="C38" s="54" t="s">
        <v>462</v>
      </c>
      <c r="D38" s="168">
        <f>('Ethylene Recycling HC'!C285-('Ethylene Recycling HC'!C311+'Ethylene Recycling HC'!C313)*'Ethylene Recycling HC'!C251/SUM('Ethylene Recycling HC'!C250:C251))/('Ethylene Recycling HC'!C$266)</f>
        <v>0.3239680867306724</v>
      </c>
      <c r="E38" s="168">
        <f>('Ethylene Recycling HC'!D285-('Ethylene Recycling HC'!D311+'Ethylene Recycling HC'!D313)*'Ethylene Recycling HC'!D251/SUM('Ethylene Recycling HC'!D250:D251))/('Ethylene Recycling HC'!D$266)</f>
        <v>0.32326100793654289</v>
      </c>
      <c r="F38" s="168">
        <f>('Ethylene Recycling HC'!E285-('Ethylene Recycling HC'!E311+'Ethylene Recycling HC'!E313)*'Ethylene Recycling HC'!E251/SUM('Ethylene Recycling HC'!E250:E251))/('Ethylene Recycling HC'!E$266)</f>
        <v>0.32254371778508251</v>
      </c>
      <c r="G38" s="168">
        <f>('Ethylene Recycling HC'!F285-('Ethylene Recycling HC'!F311+'Ethylene Recycling HC'!F313)*'Ethylene Recycling HC'!F251/SUM('Ethylene Recycling HC'!F250:F251))/('Ethylene Recycling HC'!F$266)</f>
        <v>0.32181599829989971</v>
      </c>
      <c r="H38" s="168">
        <f>('Ethylene Recycling HC'!G285-('Ethylene Recycling HC'!G311+'Ethylene Recycling HC'!G313)*'Ethylene Recycling HC'!G251/SUM('Ethylene Recycling HC'!G250:G251))/('Ethylene Recycling HC'!G$266)</f>
        <v>0.32107730212579166</v>
      </c>
      <c r="I38" s="168">
        <f>('Ethylene Recycling HC'!H285-('Ethylene Recycling HC'!H311+'Ethylene Recycling HC'!H313)*'Ethylene Recycling HC'!H251/SUM('Ethylene Recycling HC'!H250:H251))/('Ethylene Recycling HC'!H$266)</f>
        <v>0.32032645326472192</v>
      </c>
      <c r="J38" s="168">
        <f>('Ethylene Recycling HC'!I285-('Ethylene Recycling HC'!I311+'Ethylene Recycling HC'!I313)*'Ethylene Recycling HC'!I251/SUM('Ethylene Recycling HC'!I250:I251))/('Ethylene Recycling HC'!I$266)</f>
        <v>0.31956109996179277</v>
      </c>
      <c r="K38" s="168">
        <f>('Ethylene Recycling HC'!J285-('Ethylene Recycling HC'!J311+'Ethylene Recycling HC'!J313)*'Ethylene Recycling HC'!J251/SUM('Ethylene Recycling HC'!J250:J251))/('Ethylene Recycling HC'!J$266)</f>
        <v>0.31877675401611899</v>
      </c>
      <c r="L38" s="168">
        <f>('Ethylene Recycling HC'!K285-('Ethylene Recycling HC'!K311+'Ethylene Recycling HC'!K313)*'Ethylene Recycling HC'!K251/SUM('Ethylene Recycling HC'!K250:K251))/('Ethylene Recycling HC'!K$266)</f>
        <v>0.31796520259657535</v>
      </c>
      <c r="M38" s="168">
        <f>('Ethylene Recycling HC'!L285-('Ethylene Recycling HC'!L311+'Ethylene Recycling HC'!L313)*'Ethylene Recycling HC'!L251/SUM('Ethylene Recycling HC'!L250:L251))/('Ethylene Recycling HC'!L$266)</f>
        <v>0.31711211785683679</v>
      </c>
      <c r="N38" s="168">
        <f>('Ethylene Recycling HC'!M285-('Ethylene Recycling HC'!M311+'Ethylene Recycling HC'!M313)*'Ethylene Recycling HC'!M251/SUM('Ethylene Recycling HC'!M250:M251))/('Ethylene Recycling HC'!M$266)</f>
        <v>0.31619278155295327</v>
      </c>
      <c r="O38" s="168">
        <f>('Ethylene Recycling HC'!N285-('Ethylene Recycling HC'!N311+'Ethylene Recycling HC'!N313)*'Ethylene Recycling HC'!N251/SUM('Ethylene Recycling HC'!N250:N251))/('Ethylene Recycling HC'!N$266)</f>
        <v>0.31264221059700126</v>
      </c>
      <c r="P38" s="168">
        <f>('Ethylene Recycling HC'!O285-('Ethylene Recycling HC'!O311+'Ethylene Recycling HC'!O313)*'Ethylene Recycling HC'!O251/SUM('Ethylene Recycling HC'!O250:O251))/('Ethylene Recycling HC'!O$266)</f>
        <v>0.30896818249528546</v>
      </c>
      <c r="Q38" s="168">
        <f>('Ethylene Recycling HC'!P285-('Ethylene Recycling HC'!P311+'Ethylene Recycling HC'!P313)*'Ethylene Recycling HC'!P251/SUM('Ethylene Recycling HC'!P250:P251))/('Ethylene Recycling HC'!P$266)</f>
        <v>0.30514705079459226</v>
      </c>
      <c r="R38" s="168">
        <f>('Ethylene Recycling HC'!Q285-('Ethylene Recycling HC'!Q311+'Ethylene Recycling HC'!Q313)*'Ethylene Recycling HC'!Q251/SUM('Ethylene Recycling HC'!Q250:Q251))/('Ethylene Recycling HC'!Q$266)</f>
        <v>0.30116786587452432</v>
      </c>
      <c r="S38" s="168">
        <f>('Ethylene Recycling HC'!R285-('Ethylene Recycling HC'!R311+'Ethylene Recycling HC'!R313)*'Ethylene Recycling HC'!R251/SUM('Ethylene Recycling HC'!R250:R251))/('Ethylene Recycling HC'!R$266)</f>
        <v>0.29690135595848965</v>
      </c>
      <c r="T38" s="168">
        <f>('Ethylene Recycling HC'!S285-('Ethylene Recycling HC'!S311+'Ethylene Recycling HC'!S313)*'Ethylene Recycling HC'!S251/SUM('Ethylene Recycling HC'!S250:S251))/('Ethylene Recycling HC'!S$266)</f>
        <v>0.29237278319646426</v>
      </c>
      <c r="U38" s="168">
        <f>('Ethylene Recycling HC'!T285-('Ethylene Recycling HC'!T311+'Ethylene Recycling HC'!T313)*'Ethylene Recycling HC'!T251/SUM('Ethylene Recycling HC'!T250:T251))/('Ethylene Recycling HC'!T$266)</f>
        <v>0.28767977212739615</v>
      </c>
      <c r="V38" s="168">
        <f>('Ethylene Recycling HC'!U285-('Ethylene Recycling HC'!U311+'Ethylene Recycling HC'!U313)*'Ethylene Recycling HC'!U251/SUM('Ethylene Recycling HC'!U250:U251))/('Ethylene Recycling HC'!U$266)</f>
        <v>0.28290763345457115</v>
      </c>
      <c r="W38" s="168">
        <f>('Ethylene Recycling HC'!V285-('Ethylene Recycling HC'!V311+'Ethylene Recycling HC'!V313)*'Ethylene Recycling HC'!V251/SUM('Ethylene Recycling HC'!V250:V251))/('Ethylene Recycling HC'!V$266)</f>
        <v>0.27814162650558133</v>
      </c>
      <c r="X38" s="168">
        <f>('Ethylene Recycling HC'!W285-('Ethylene Recycling HC'!W311+'Ethylene Recycling HC'!W313)*'Ethylene Recycling HC'!W251/SUM('Ethylene Recycling HC'!W250:W251))/('Ethylene Recycling HC'!W$266)</f>
        <v>0.27344586008258259</v>
      </c>
      <c r="Y38" s="168">
        <f>('Ethylene Recycling HC'!X285-('Ethylene Recycling HC'!X311+'Ethylene Recycling HC'!X313)*'Ethylene Recycling HC'!X251/SUM('Ethylene Recycling HC'!X250:X251))/('Ethylene Recycling HC'!X$266)</f>
        <v>0.2652306448505799</v>
      </c>
      <c r="Z38" s="168">
        <f>('Ethylene Recycling HC'!Y285-('Ethylene Recycling HC'!Y311+'Ethylene Recycling HC'!Y313)*'Ethylene Recycling HC'!Y251/SUM('Ethylene Recycling HC'!Y250:Y251))/('Ethylene Recycling HC'!Y$266)</f>
        <v>0.25708452445331187</v>
      </c>
      <c r="AA38" s="168">
        <f>('Ethylene Recycling HC'!Z285-('Ethylene Recycling HC'!Z311+'Ethylene Recycling HC'!Z313)*'Ethylene Recycling HC'!Z251/SUM('Ethylene Recycling HC'!Z250:Z251))/('Ethylene Recycling HC'!Z$266)</f>
        <v>0.24900008988264477</v>
      </c>
      <c r="AB38" s="168">
        <f>('Ethylene Recycling HC'!AA285-('Ethylene Recycling HC'!AA311+'Ethylene Recycling HC'!AA313)*'Ethylene Recycling HC'!AA251/SUM('Ethylene Recycling HC'!AA250:AA251))/('Ethylene Recycling HC'!AA$266)</f>
        <v>0.24094284704866292</v>
      </c>
      <c r="AC38" s="168">
        <f>('Ethylene Recycling HC'!AB285-('Ethylene Recycling HC'!AB311+'Ethylene Recycling HC'!AB313)*'Ethylene Recycling HC'!AB251/SUM('Ethylene Recycling HC'!AB250:AB251))/('Ethylene Recycling HC'!AB$266)</f>
        <v>0.23285547059542805</v>
      </c>
      <c r="AD38" s="168">
        <f>('Ethylene Recycling HC'!AC285-('Ethylene Recycling HC'!AC311+'Ethylene Recycling HC'!AC313)*'Ethylene Recycling HC'!AC251/SUM('Ethylene Recycling HC'!AC250:AC251))/('Ethylene Recycling HC'!AC$266)</f>
        <v>0.22465840449255606</v>
      </c>
      <c r="AE38" s="168">
        <f>('Ethylene Recycling HC'!AD285-('Ethylene Recycling HC'!AD311+'Ethylene Recycling HC'!AD313)*'Ethylene Recycling HC'!AD251/SUM('Ethylene Recycling HC'!AD250:AD251))/('Ethylene Recycling HC'!AD$266)</f>
        <v>0.21625632419104626</v>
      </c>
      <c r="AF38" s="168">
        <f>('Ethylene Recycling HC'!AE285-('Ethylene Recycling HC'!AE311+'Ethylene Recycling HC'!AE313)*'Ethylene Recycling HC'!AE251/SUM('Ethylene Recycling HC'!AE250:AE251))/('Ethylene Recycling HC'!AE$266)</f>
        <v>0.20755618873725587</v>
      </c>
      <c r="AG38" s="168">
        <f>('Ethylene Recycling HC'!AF285-('Ethylene Recycling HC'!AF311+'Ethylene Recycling HC'!AF313)*'Ethylene Recycling HC'!AF251/SUM('Ethylene Recycling HC'!AF250:AF251))/('Ethylene Recycling HC'!AF$266)</f>
        <v>0.19849940300876975</v>
      </c>
      <c r="AH38" s="168">
        <f>('Ethylene Recycling HC'!AG285-('Ethylene Recycling HC'!AG311+'Ethylene Recycling HC'!AG313)*'Ethylene Recycling HC'!AG251/SUM('Ethylene Recycling HC'!AG250:AG251))/('Ethylene Recycling HC'!AG$266)</f>
        <v>0.18909860221273841</v>
      </c>
      <c r="AI38" s="44"/>
      <c r="AJ38" s="168">
        <f>('Ethylene Recycling LC'!C243-('Ethylene Recycling LC'!C269+'Ethylene Recycling LC'!C271)*'Ethylene Recycling LC'!C209/SUM('Ethylene Recycling LC'!C208:C209))/('Ethylene Recycling LC'!C$224)</f>
        <v>0.32396824060406626</v>
      </c>
      <c r="AK38" s="168">
        <f>('Ethylene Recycling LC'!D243-('Ethylene Recycling LC'!D269+'Ethylene Recycling LC'!D271)*'Ethylene Recycling LC'!D209/SUM('Ethylene Recycling LC'!D208:D209))/('Ethylene Recycling LC'!D$224)</f>
        <v>0.32326131512943196</v>
      </c>
      <c r="AL38" s="168">
        <f>('Ethylene Recycling LC'!E243-('Ethylene Recycling LC'!E269+'Ethylene Recycling LC'!E271)*'Ethylene Recycling LC'!E209/SUM('Ethylene Recycling LC'!E208:E209))/('Ethylene Recycling LC'!E$224)</f>
        <v>0.32254432986121218</v>
      </c>
      <c r="AM38" s="168">
        <f>('Ethylene Recycling LC'!F243-('Ethylene Recycling LC'!F269+'Ethylene Recycling LC'!F271)*'Ethylene Recycling LC'!F209/SUM('Ethylene Recycling LC'!F208:F209))/('Ethylene Recycling LC'!F$224)</f>
        <v>0.32181721462969692</v>
      </c>
      <c r="AN38" s="168">
        <f>('Ethylene Recycling LC'!G243-('Ethylene Recycling LC'!G269+'Ethylene Recycling LC'!G271)*'Ethylene Recycling LC'!G209/SUM('Ethylene Recycling LC'!G208:G209))/('Ethylene Recycling LC'!G$224)</f>
        <v>0.32107971053372253</v>
      </c>
      <c r="AO38" s="168">
        <f>('Ethylene Recycling LC'!H243-('Ethylene Recycling LC'!H269+'Ethylene Recycling LC'!H271)*'Ethylene Recycling LC'!H209/SUM('Ethylene Recycling LC'!H208:H209))/('Ethylene Recycling LC'!H$224)</f>
        <v>0.32033119846475472</v>
      </c>
      <c r="AP38" s="168">
        <f>('Ethylene Recycling LC'!I243-('Ethylene Recycling LC'!I269+'Ethylene Recycling LC'!I271)*'Ethylene Recycling LC'!I209/SUM('Ethylene Recycling LC'!I208:I209))/('Ethylene Recycling LC'!I$224)</f>
        <v>0.31957038561487755</v>
      </c>
      <c r="AQ38" s="168">
        <f>('Ethylene Recycling LC'!J243-('Ethylene Recycling LC'!J269+'Ethylene Recycling LC'!J271)*'Ethylene Recycling LC'!J209/SUM('Ethylene Recycling LC'!J208:J209))/('Ethylene Recycling LC'!J$224)</f>
        <v>0.31879475500952431</v>
      </c>
      <c r="AR38" s="168">
        <f>('Ethylene Recycling LC'!K243-('Ethylene Recycling LC'!K269+'Ethylene Recycling LC'!K271)*'Ethylene Recycling LC'!K209/SUM('Ethylene Recycling LC'!K208:K209))/('Ethylene Recycling LC'!K$224)</f>
        <v>0.31799965549046261</v>
      </c>
      <c r="AS38" s="168">
        <f>('Ethylene Recycling LC'!L243-('Ethylene Recycling LC'!L269+'Ethylene Recycling LC'!L271)*'Ethylene Recycling LC'!L209/SUM('Ethylene Recycling LC'!L208:L209))/('Ethylene Recycling LC'!L$224)</f>
        <v>0.31717693204412134</v>
      </c>
      <c r="AT38" s="168">
        <f>('Ethylene Recycling LC'!M243-('Ethylene Recycling LC'!M269+'Ethylene Recycling LC'!M271)*'Ethylene Recycling LC'!M209/SUM('Ethylene Recycling LC'!M208:M209))/('Ethylene Recycling LC'!M$224)</f>
        <v>0.31631247604127966</v>
      </c>
      <c r="AU38" s="168">
        <f>('Ethylene Recycling LC'!N243-('Ethylene Recycling LC'!N269+'Ethylene Recycling LC'!N271)*'Ethylene Recycling LC'!N209/SUM('Ethylene Recycling LC'!N208:N209))/('Ethylene Recycling LC'!N$224)</f>
        <v>0.31284359453756466</v>
      </c>
      <c r="AV38" s="168">
        <f>('Ethylene Recycling LC'!O243-('Ethylene Recycling LC'!O269+'Ethylene Recycling LC'!O271)*'Ethylene Recycling LC'!O209/SUM('Ethylene Recycling LC'!O208:O209))/('Ethylene Recycling LC'!O$224)</f>
        <v>0.30929565792401376</v>
      </c>
      <c r="AW38" s="168">
        <f>('Ethylene Recycling LC'!P243-('Ethylene Recycling LC'!P269+'Ethylene Recycling LC'!P271)*'Ethylene Recycling LC'!P209/SUM('Ethylene Recycling LC'!P208:P209))/('Ethylene Recycling LC'!P$224)</f>
        <v>0.30565430829907264</v>
      </c>
      <c r="AX38" s="168">
        <f>('Ethylene Recycling LC'!Q243-('Ethylene Recycling LC'!Q269+'Ethylene Recycling LC'!Q271)*'Ethylene Recycling LC'!Q209/SUM('Ethylene Recycling LC'!Q208:Q209))/('Ethylene Recycling LC'!Q$224)</f>
        <v>0.30191415676143585</v>
      </c>
      <c r="AY38" s="168">
        <f>('Ethylene Recycling LC'!R243-('Ethylene Recycling LC'!R269+'Ethylene Recycling LC'!R271)*'Ethylene Recycling LC'!R209/SUM('Ethylene Recycling LC'!R208:R209))/('Ethylene Recycling LC'!R$224)</f>
        <v>0.29800102625324959</v>
      </c>
      <c r="AZ38" s="168">
        <f>('Ethylene Recycling LC'!S243-('Ethylene Recycling LC'!S269+'Ethylene Recycling LC'!S271)*'Ethylene Recycling LC'!S209/SUM('Ethylene Recycling LC'!S208:S209))/('Ethylene Recycling LC'!S$224)</f>
        <v>0.29392977942135978</v>
      </c>
      <c r="BA38" s="168">
        <f>('Ethylene Recycling LC'!T243-('Ethylene Recycling LC'!T269+'Ethylene Recycling LC'!T271)*'Ethylene Recycling LC'!T209/SUM('Ethylene Recycling LC'!T208:T209))/('Ethylene Recycling LC'!T$224)</f>
        <v>0.28975636341570726</v>
      </c>
      <c r="BB38" s="168">
        <f>('Ethylene Recycling LC'!U243-('Ethylene Recycling LC'!U269+'Ethylene Recycling LC'!U271)*'Ethylene Recycling LC'!U209/SUM('Ethylene Recycling LC'!U208:U209))/('Ethylene Recycling LC'!U$224)</f>
        <v>0.2855297769133856</v>
      </c>
      <c r="BC38" s="168">
        <f>('Ethylene Recycling LC'!V243-('Ethylene Recycling LC'!V269+'Ethylene Recycling LC'!V271)*'Ethylene Recycling LC'!V209/SUM('Ethylene Recycling LC'!V208:V209))/('Ethylene Recycling LC'!V$224)</f>
        <v>0.28129899237785544</v>
      </c>
      <c r="BD38" s="168">
        <f>('Ethylene Recycling LC'!W243-('Ethylene Recycling LC'!W269+'Ethylene Recycling LC'!W271)*'Ethylene Recycling LC'!W209/SUM('Ethylene Recycling LC'!W208:W209))/('Ethylene Recycling LC'!W$224)</f>
        <v>0.27710086469247797</v>
      </c>
      <c r="BE38" s="168">
        <f>('Ethylene Recycling LC'!X243-('Ethylene Recycling LC'!X269+'Ethylene Recycling LC'!X271)*'Ethylene Recycling LC'!X209/SUM('Ethylene Recycling LC'!X208:X209))/('Ethylene Recycling LC'!X$224)</f>
        <v>0.26944935683610793</v>
      </c>
      <c r="BF38" s="168">
        <f>('Ethylene Recycling LC'!Y243-('Ethylene Recycling LC'!Y269+'Ethylene Recycling LC'!Y271)*'Ethylene Recycling LC'!Y209/SUM('Ethylene Recycling LC'!Y208:Y209))/('Ethylene Recycling LC'!Y$224)</f>
        <v>0.26182451682981167</v>
      </c>
      <c r="BG38" s="168">
        <f>('Ethylene Recycling LC'!Z243-('Ethylene Recycling LC'!Z269+'Ethylene Recycling LC'!Z271)*'Ethylene Recycling LC'!Z209/SUM('Ethylene Recycling LC'!Z208:Z209))/('Ethylene Recycling LC'!Z$224)</f>
        <v>0.25422259804590325</v>
      </c>
      <c r="BH38" s="168">
        <f>('Ethylene Recycling LC'!AA243-('Ethylene Recycling LC'!AA269+'Ethylene Recycling LC'!AA271)*'Ethylene Recycling LC'!AA209/SUM('Ethylene Recycling LC'!AA208:AA209))/('Ethylene Recycling LC'!AA$224)</f>
        <v>0.24662366109801889</v>
      </c>
      <c r="BI38" s="168">
        <f>('Ethylene Recycling LC'!AB243-('Ethylene Recycling LC'!AB269+'Ethylene Recycling LC'!AB271)*'Ethylene Recycling LC'!AB209/SUM('Ethylene Recycling LC'!AB208:AB209))/('Ethylene Recycling LC'!AB$224)</f>
        <v>0.23899504781439229</v>
      </c>
      <c r="BJ38" s="168">
        <f>('Ethylene Recycling LC'!AC243-('Ethylene Recycling LC'!AC269+'Ethylene Recycling LC'!AC271)*'Ethylene Recycling LC'!AC209/SUM('Ethylene Recycling LC'!AC208:AC209))/('Ethylene Recycling LC'!AC$224)</f>
        <v>0.23129135736445516</v>
      </c>
      <c r="BK38" s="168">
        <f>('Ethylene Recycling LC'!AD243-('Ethylene Recycling LC'!AD269+'Ethylene Recycling LC'!AD271)*'Ethylene Recycling LC'!AD209/SUM('Ethylene Recycling LC'!AD208:AD209))/('Ethylene Recycling LC'!AD$224)</f>
        <v>0.22345814904933164</v>
      </c>
      <c r="BL38" s="168">
        <f>('Ethylene Recycling LC'!AE243-('Ethylene Recycling LC'!AE269+'Ethylene Recycling LC'!AE271)*'Ethylene Recycling LC'!AE209/SUM('Ethylene Recycling LC'!AE208:AE209))/('Ethylene Recycling LC'!AE$224)</f>
        <v>0.21544228805426768</v>
      </c>
      <c r="BM38" s="168">
        <f>('Ethylene Recycling LC'!AF243-('Ethylene Recycling LC'!AF269+'Ethylene Recycling LC'!AF271)*'Ethylene Recycling LC'!AF209/SUM('Ethylene Recycling LC'!AF208:AF209))/('Ethylene Recycling LC'!AF$224)</f>
        <v>0.20721037921533278</v>
      </c>
      <c r="BN38" s="168">
        <f>('Ethylene Recycling LC'!AG243-('Ethylene Recycling LC'!AG269+'Ethylene Recycling LC'!AG271)*'Ethylene Recycling LC'!AG209/SUM('Ethylene Recycling LC'!AG208:AG209))/('Ethylene Recycling LC'!AG$224)</f>
        <v>0.19876985156325741</v>
      </c>
      <c r="BP38" s="168">
        <f>('Ethylene Recycling HC'!C261)/('Ethylene Recycling HC'!C$256)</f>
        <v>0.32396844708323314</v>
      </c>
      <c r="BQ38" s="168">
        <f>('Ethylene Recycling HC'!D261)/('Ethylene Recycling HC'!D$256)</f>
        <v>0.31831106082985466</v>
      </c>
      <c r="BR38" s="168">
        <f>('Ethylene Recycling HC'!E261)/('Ethylene Recycling HC'!E$256)</f>
        <v>0.31250025559133904</v>
      </c>
      <c r="BS38" s="168">
        <f>('Ethylene Recycling HC'!F261)/('Ethylene Recycling HC'!F$256)</f>
        <v>0.30654843497645073</v>
      </c>
      <c r="BT38" s="168">
        <f>('Ethylene Recycling HC'!G261)/('Ethylene Recycling HC'!G$256)</f>
        <v>0.30046665134173556</v>
      </c>
      <c r="BU38" s="168">
        <f>('Ethylene Recycling HC'!H261)/('Ethylene Recycling HC'!H$256)</f>
        <v>0.2942647570525555</v>
      </c>
      <c r="BV38" s="168">
        <f>('Ethylene Recycling HC'!I261)/('Ethylene Recycling HC'!I$256)</f>
        <v>0.28803387919979734</v>
      </c>
      <c r="BW38" s="168">
        <f>('Ethylene Recycling HC'!J261)/('Ethylene Recycling HC'!J$256)</f>
        <v>0.28177554186828907</v>
      </c>
      <c r="BX38" s="168">
        <f>('Ethylene Recycling HC'!K261)/('Ethylene Recycling HC'!K$256)</f>
        <v>0.27549121962859963</v>
      </c>
      <c r="BY38" s="168">
        <f>('Ethylene Recycling HC'!L261)/('Ethylene Recycling HC'!L$256)</f>
        <v>0.26918234096407995</v>
      </c>
      <c r="BZ38" s="168">
        <f>('Ethylene Recycling HC'!M261)/('Ethylene Recycling HC'!M$256)</f>
        <v>0.26285029157352935</v>
      </c>
      <c r="CA38" s="168">
        <f>('Ethylene Recycling HC'!N261)/('Ethylene Recycling HC'!N$256)</f>
        <v>0.25644884211418634</v>
      </c>
      <c r="CB38" s="168">
        <f>('Ethylene Recycling HC'!O261)/('Ethylene Recycling HC'!O$256)</f>
        <v>0.2499829740799793</v>
      </c>
      <c r="CC38" s="168">
        <f>('Ethylene Recycling HC'!P261)/('Ethylene Recycling HC'!P$256)</f>
        <v>0.24345730753730099</v>
      </c>
      <c r="CD38" s="168">
        <f>('Ethylene Recycling HC'!Q261)/('Ethylene Recycling HC'!Q$256)</f>
        <v>0.23687614383574299</v>
      </c>
      <c r="CE38" s="168">
        <f>('Ethylene Recycling HC'!R261)/('Ethylene Recycling HC'!R$256)</f>
        <v>0.23024350561105519</v>
      </c>
      <c r="CF38" s="168">
        <f>('Ethylene Recycling HC'!S261)/('Ethylene Recycling HC'!S$256)</f>
        <v>0.22361647435058044</v>
      </c>
      <c r="CG38" s="168">
        <f>('Ethylene Recycling HC'!T261)/('Ethylene Recycling HC'!T$256)</f>
        <v>0.21699535229530451</v>
      </c>
      <c r="CH38" s="168">
        <f>('Ethylene Recycling HC'!U261)/('Ethylene Recycling HC'!U$256)</f>
        <v>0.21038044754057331</v>
      </c>
      <c r="CI38" s="168">
        <f>('Ethylene Recycling HC'!V261)/('Ethylene Recycling HC'!V$256)</f>
        <v>0.20377207426405433</v>
      </c>
      <c r="CJ38" s="168">
        <f>('Ethylene Recycling HC'!W261)/('Ethylene Recycling HC'!W$256)</f>
        <v>0.19717055295994182</v>
      </c>
      <c r="CK38" s="168">
        <f>('Ethylene Recycling HC'!X261)/('Ethylene Recycling HC'!X$256)</f>
        <v>0.19057649841464727</v>
      </c>
      <c r="CL38" s="168">
        <f>('Ethylene Recycling HC'!Y261)/('Ethylene Recycling HC'!Y$256)</f>
        <v>0.18399022133344811</v>
      </c>
      <c r="CM38" s="168">
        <f>('Ethylene Recycling HC'!Z261)/('Ethylene Recycling HC'!Z$256)</f>
        <v>0.17741203890536864</v>
      </c>
      <c r="CN38" s="168">
        <f>('Ethylene Recycling HC'!AA261)/('Ethylene Recycling HC'!AA$256)</f>
        <v>0.17084227502646085</v>
      </c>
      <c r="CO38" s="168">
        <f>('Ethylene Recycling HC'!AB261)/('Ethylene Recycling HC'!AB$256)</f>
        <v>0.16428126052929845</v>
      </c>
      <c r="CP38" s="168">
        <f>('Ethylene Recycling HC'!AC261)/('Ethylene Recycling HC'!AC$256)</f>
        <v>0.15772954585990268</v>
      </c>
      <c r="CQ38" s="168">
        <f>('Ethylene Recycling HC'!AD261)/('Ethylene Recycling HC'!AD$256)</f>
        <v>0.15118745521939622</v>
      </c>
      <c r="CR38" s="168">
        <f>('Ethylene Recycling HC'!AE261)/('Ethylene Recycling HC'!AE$256)</f>
        <v>0.14465531987499186</v>
      </c>
      <c r="CS38" s="168">
        <f>('Ethylene Recycling HC'!AF261)/('Ethylene Recycling HC'!AF$256)</f>
        <v>0.13813347838228709</v>
      </c>
      <c r="CT38" s="168">
        <f>('Ethylene Recycling HC'!AG261)/('Ethylene Recycling HC'!AG$256)</f>
        <v>0.13162227681374658</v>
      </c>
      <c r="CV38" s="168">
        <f t="shared" si="194"/>
        <v>0.32396824060406626</v>
      </c>
      <c r="CW38" s="168">
        <f t="shared" si="193"/>
        <v>0.32326131512943196</v>
      </c>
      <c r="CX38" s="168">
        <f t="shared" si="193"/>
        <v>0.32254432986121212</v>
      </c>
      <c r="CY38" s="168">
        <f t="shared" si="193"/>
        <v>0.32181721462969692</v>
      </c>
      <c r="CZ38" s="168">
        <f t="shared" si="193"/>
        <v>0.32107971053372253</v>
      </c>
      <c r="DA38" s="168">
        <f t="shared" si="193"/>
        <v>0.32033119846475472</v>
      </c>
      <c r="DB38" s="168">
        <f t="shared" si="193"/>
        <v>0.31957038561487755</v>
      </c>
      <c r="DC38" s="168">
        <f t="shared" si="193"/>
        <v>0.31879475500952431</v>
      </c>
      <c r="DD38" s="168">
        <f t="shared" si="193"/>
        <v>0.31799965549046261</v>
      </c>
      <c r="DE38" s="168">
        <f t="shared" si="193"/>
        <v>0.31717693204412134</v>
      </c>
      <c r="DF38" s="168">
        <f t="shared" si="193"/>
        <v>0.31631247604127966</v>
      </c>
      <c r="DG38" s="168">
        <f t="shared" si="193"/>
        <v>0.31284359453756466</v>
      </c>
      <c r="DH38" s="168">
        <f t="shared" si="193"/>
        <v>0.30929565792401376</v>
      </c>
      <c r="DI38" s="168">
        <f t="shared" si="193"/>
        <v>0.3056530039523076</v>
      </c>
      <c r="DJ38" s="168">
        <f t="shared" si="193"/>
        <v>0.30191138817848201</v>
      </c>
      <c r="DK38" s="168">
        <f t="shared" si="193"/>
        <v>0.29799662901355178</v>
      </c>
      <c r="DL38" s="168">
        <f t="shared" si="193"/>
        <v>0.29392358502542842</v>
      </c>
      <c r="DM38" s="168">
        <f t="shared" si="193"/>
        <v>0.28974820135943508</v>
      </c>
      <c r="DN38" s="168">
        <f t="shared" si="193"/>
        <v>0.28551947611831768</v>
      </c>
      <c r="DO38" s="168">
        <f t="shared" si="193"/>
        <v>0.28128638272997875</v>
      </c>
      <c r="DP38" s="168">
        <f t="shared" si="193"/>
        <v>0.27708577782151522</v>
      </c>
      <c r="DQ38" s="168">
        <f t="shared" si="193"/>
        <v>0.26943116085549645</v>
      </c>
      <c r="DR38" s="168">
        <f t="shared" si="193"/>
        <v>0.26180294103113272</v>
      </c>
      <c r="DS38" s="168">
        <f t="shared" si="193"/>
        <v>0.25419049189136184</v>
      </c>
      <c r="DT38" s="168">
        <f t="shared" si="193"/>
        <v>0.24657993760640909</v>
      </c>
      <c r="DU38" s="168">
        <f t="shared" si="193"/>
        <v>0.23893861398574068</v>
      </c>
      <c r="DV38" s="168">
        <f t="shared" si="193"/>
        <v>0.23122110840383137</v>
      </c>
      <c r="DW38" s="168">
        <f t="shared" si="193"/>
        <v>0.22337296218301894</v>
      </c>
      <c r="DX38" s="168">
        <f t="shared" si="193"/>
        <v>0.21534101846901038</v>
      </c>
      <c r="DY38" s="168">
        <f t="shared" si="193"/>
        <v>0.2070918620988115</v>
      </c>
      <c r="DZ38" s="168">
        <f t="shared" si="193"/>
        <v>0.19863291351518128</v>
      </c>
    </row>
    <row r="39" spans="1:165">
      <c r="A39" s="606" t="s">
        <v>451</v>
      </c>
      <c r="C39" s="54" t="s">
        <v>462</v>
      </c>
      <c r="D39" s="168">
        <f>'Ethylene Recycling HC'!C286/('Ethylene Recycling HC'!C$266)</f>
        <v>7.004723180178013E-2</v>
      </c>
      <c r="E39" s="168">
        <f>'Ethylene Recycling HC'!D286/('Ethylene Recycling HC'!D$266)</f>
        <v>6.7551553785891394E-2</v>
      </c>
      <c r="F39" s="168">
        <f>'Ethylene Recycling HC'!E286/('Ethylene Recycling HC'!E$266)</f>
        <v>6.5085003722689119E-2</v>
      </c>
      <c r="G39" s="168">
        <f>'Ethylene Recycling HC'!F286/('Ethylene Recycling HC'!F$266)</f>
        <v>6.2647402176028308E-2</v>
      </c>
      <c r="H39" s="168">
        <f>'Ethylene Recycling HC'!G286/('Ethylene Recycling HC'!G$266)</f>
        <v>6.0238569709763948E-2</v>
      </c>
      <c r="I39" s="168">
        <f>'Ethylene Recycling HC'!H286/('Ethylene Recycling HC'!H$266)</f>
        <v>5.7858326887751048E-2</v>
      </c>
      <c r="J39" s="168">
        <f>'Ethylene Recycling HC'!I286/('Ethylene Recycling HC'!I$266)</f>
        <v>5.5506494273844562E-2</v>
      </c>
      <c r="K39" s="168">
        <f>'Ethylene Recycling HC'!J286/('Ethylene Recycling HC'!J$266)</f>
        <v>5.3182892431899512E-2</v>
      </c>
      <c r="L39" s="168">
        <f>'Ethylene Recycling HC'!K286/('Ethylene Recycling HC'!K$266)</f>
        <v>5.0887341925770879E-2</v>
      </c>
      <c r="M39" s="168">
        <f>'Ethylene Recycling HC'!L286/('Ethylene Recycling HC'!L$266)</f>
        <v>4.8619663319313652E-2</v>
      </c>
      <c r="N39" s="168">
        <f>'Ethylene Recycling HC'!M286/('Ethylene Recycling HC'!M$266)</f>
        <v>4.637967717638284E-2</v>
      </c>
      <c r="O39" s="168">
        <f>'Ethylene Recycling HC'!N286/('Ethylene Recycling HC'!N$266)</f>
        <v>4.3809059058598394E-2</v>
      </c>
      <c r="P39" s="168">
        <f>'Ethylene Recycling HC'!O286/('Ethylene Recycling HC'!O$266)</f>
        <v>4.129801195562377E-2</v>
      </c>
      <c r="Q39" s="168">
        <f>'Ethylene Recycling HC'!P286/('Ethylene Recycling HC'!P$266)</f>
        <v>3.8846262731081077E-2</v>
      </c>
      <c r="R39" s="168">
        <f>'Ethylene Recycling HC'!Q286/('Ethylene Recycling HC'!Q$266)</f>
        <v>3.6453310083013508E-2</v>
      </c>
      <c r="S39" s="168">
        <f>'Ethylene Recycling HC'!R286/('Ethylene Recycling HC'!R$266)</f>
        <v>3.4118777232440535E-2</v>
      </c>
      <c r="T39" s="168">
        <f>'Ethylene Recycling HC'!S286/('Ethylene Recycling HC'!S$266)</f>
        <v>3.1842287357157592E-2</v>
      </c>
      <c r="U39" s="168">
        <f>'Ethylene Recycling HC'!T286/('Ethylene Recycling HC'!T$266)</f>
        <v>2.9623463591742751E-2</v>
      </c>
      <c r="V39" s="168">
        <f>'Ethylene Recycling HC'!U286/('Ethylene Recycling HC'!U$266)</f>
        <v>2.7461929027563187E-2</v>
      </c>
      <c r="W39" s="168">
        <f>'Ethylene Recycling HC'!V286/('Ethylene Recycling HC'!V$266)</f>
        <v>2.5357306712781857E-2</v>
      </c>
      <c r="X39" s="168">
        <f>'Ethylene Recycling HC'!W286/('Ethylene Recycling HC'!W$266)</f>
        <v>2.3309219652364002E-2</v>
      </c>
      <c r="Y39" s="168">
        <f>'Ethylene Recycling HC'!X286/('Ethylene Recycling HC'!X$266)</f>
        <v>2.1061169065812801E-2</v>
      </c>
      <c r="Z39" s="168">
        <f>'Ethylene Recycling HC'!Y286/('Ethylene Recycling HC'!Y$266)</f>
        <v>1.8908495329943101E-2</v>
      </c>
      <c r="AA39" s="168">
        <f>'Ethylene Recycling HC'!Z286/('Ethylene Recycling HC'!Z$266)</f>
        <v>1.6850613242918665E-2</v>
      </c>
      <c r="AB39" s="168">
        <f>'Ethylene Recycling HC'!AA286/('Ethylene Recycling HC'!AA$266)</f>
        <v>1.4886829087216944E-2</v>
      </c>
      <c r="AC39" s="168">
        <f>'Ethylene Recycling HC'!AB286/('Ethylene Recycling HC'!AB$266)</f>
        <v>1.3016514622407473E-2</v>
      </c>
      <c r="AD39" s="168">
        <f>'Ethylene Recycling HC'!AC286/('Ethylene Recycling HC'!AC$266)</f>
        <v>1.1239041426680073E-2</v>
      </c>
      <c r="AE39" s="168">
        <f>'Ethylene Recycling HC'!AD286/('Ethylene Recycling HC'!AD$266)</f>
        <v>9.5537808969138657E-3</v>
      </c>
      <c r="AF39" s="168">
        <f>'Ethylene Recycling HC'!AE286/('Ethylene Recycling HC'!AE$266)</f>
        <v>7.9601042487462172E-3</v>
      </c>
      <c r="AG39" s="168">
        <f>'Ethylene Recycling HC'!AF286/('Ethylene Recycling HC'!AF$266)</f>
        <v>6.457382516641642E-3</v>
      </c>
      <c r="AH39" s="168">
        <f>'Ethylene Recycling HC'!AG286/('Ethylene Recycling HC'!AG$266)</f>
        <v>5.0449865539607319E-3</v>
      </c>
      <c r="AI39" s="44"/>
      <c r="AJ39" s="168">
        <f>'Ethylene Recycling LC'!C244/('Ethylene Recycling LC'!C$224)</f>
        <v>7.004723180178013E-2</v>
      </c>
      <c r="AK39" s="168">
        <f>'Ethylene Recycling LC'!D244/('Ethylene Recycling LC'!D$224)</f>
        <v>6.7551553785891394E-2</v>
      </c>
      <c r="AL39" s="168">
        <f>'Ethylene Recycling LC'!E244/('Ethylene Recycling LC'!E$224)</f>
        <v>6.5085003722689119E-2</v>
      </c>
      <c r="AM39" s="168">
        <f>'Ethylene Recycling LC'!F244/('Ethylene Recycling LC'!F$224)</f>
        <v>6.2647402176028322E-2</v>
      </c>
      <c r="AN39" s="168">
        <f>'Ethylene Recycling LC'!G244/('Ethylene Recycling LC'!G$224)</f>
        <v>6.0238569709763948E-2</v>
      </c>
      <c r="AO39" s="168">
        <f>'Ethylene Recycling LC'!H244/('Ethylene Recycling LC'!H$224)</f>
        <v>5.7858326887751048E-2</v>
      </c>
      <c r="AP39" s="168">
        <f>'Ethylene Recycling LC'!I244/('Ethylene Recycling LC'!I$224)</f>
        <v>5.5506494273844562E-2</v>
      </c>
      <c r="AQ39" s="168">
        <f>'Ethylene Recycling LC'!J244/('Ethylene Recycling LC'!J$224)</f>
        <v>5.3182892431899512E-2</v>
      </c>
      <c r="AR39" s="168">
        <f>'Ethylene Recycling LC'!K244/('Ethylene Recycling LC'!K$224)</f>
        <v>5.0887341925770879E-2</v>
      </c>
      <c r="AS39" s="168">
        <f>'Ethylene Recycling LC'!L244/('Ethylene Recycling LC'!L$224)</f>
        <v>4.8619663319313652E-2</v>
      </c>
      <c r="AT39" s="168">
        <f>'Ethylene Recycling LC'!M244/('Ethylene Recycling LC'!M$224)</f>
        <v>4.637967717638284E-2</v>
      </c>
      <c r="AU39" s="168">
        <f>'Ethylene Recycling LC'!N244/('Ethylene Recycling LC'!N$224)</f>
        <v>4.3809059058598394E-2</v>
      </c>
      <c r="AV39" s="168">
        <f>'Ethylene Recycling LC'!O244/('Ethylene Recycling LC'!O$224)</f>
        <v>4.129801195562377E-2</v>
      </c>
      <c r="AW39" s="168">
        <f>'Ethylene Recycling LC'!P244/('Ethylene Recycling LC'!P$224)</f>
        <v>3.884609801190337E-2</v>
      </c>
      <c r="AX39" s="168">
        <f>'Ethylene Recycling LC'!Q244/('Ethylene Recycling LC'!Q$224)</f>
        <v>3.6452978834529172E-2</v>
      </c>
      <c r="AY39" s="168">
        <f>'Ethylene Recycling LC'!R244/('Ethylene Recycling LC'!R$224)</f>
        <v>3.4118280312498549E-2</v>
      </c>
      <c r="AZ39" s="168">
        <f>'Ethylene Recycling LC'!S244/('Ethylene Recycling LC'!S$224)</f>
        <v>3.1841628268477973E-2</v>
      </c>
      <c r="BA39" s="168">
        <f>'Ethylene Recycling LC'!T244/('Ethylene Recycling LC'!T$224)</f>
        <v>2.9622648458808087E-2</v>
      </c>
      <c r="BB39" s="168">
        <f>'Ethylene Recycling LC'!U244/('Ethylene Recycling LC'!U$224)</f>
        <v>2.7460966573508758E-2</v>
      </c>
      <c r="BC39" s="168">
        <f>'Ethylene Recycling LC'!V244/('Ethylene Recycling LC'!V$224)</f>
        <v>2.5356208236284088E-2</v>
      </c>
      <c r="BD39" s="168">
        <f>'Ethylene Recycling LC'!W244/('Ethylene Recycling LC'!W$224)</f>
        <v>2.3307999004527499E-2</v>
      </c>
      <c r="BE39" s="168">
        <f>'Ethylene Recycling LC'!X244/('Ethylene Recycling LC'!X$224)</f>
        <v>2.1059807540821329E-2</v>
      </c>
      <c r="BF39" s="168">
        <f>'Ethylene Recycling LC'!Y244/('Ethylene Recycling LC'!Y$224)</f>
        <v>1.8907010045494572E-2</v>
      </c>
      <c r="BG39" s="168">
        <f>'Ethylene Recycling LC'!Z244/('Ethylene Recycling LC'!Z$224)</f>
        <v>1.6849025645550266E-2</v>
      </c>
      <c r="BH39" s="168">
        <f>'Ethylene Recycling LC'!AA244/('Ethylene Recycling LC'!AA$224)</f>
        <v>1.4885164758616974E-2</v>
      </c>
      <c r="BI39" s="168">
        <f>'Ethylene Recycling LC'!AB244/('Ethylene Recycling LC'!AB$224)</f>
        <v>1.3014803311293476E-2</v>
      </c>
      <c r="BJ39" s="168">
        <f>'Ethylene Recycling LC'!AC244/('Ethylene Recycling LC'!AC$224)</f>
        <v>1.1237317009505334E-2</v>
      </c>
      <c r="BK39" s="168">
        <f>'Ethylene Recycling LC'!AD244/('Ethylene Recycling LC'!AD$224)</f>
        <v>9.5520813385720667E-3</v>
      </c>
      <c r="BL39" s="168">
        <f>'Ethylene Recycling LC'!AE244/('Ethylene Recycling LC'!AE$224)</f>
        <v>7.9584715632742692E-3</v>
      </c>
      <c r="BM39" s="168">
        <f>'Ethylene Recycling LC'!AF244/('Ethylene Recycling LC'!AF$224)</f>
        <v>6.4558627279207356E-3</v>
      </c>
      <c r="BN39" s="168">
        <f>'Ethylene Recycling LC'!AG244/('Ethylene Recycling LC'!AG$224)</f>
        <v>5.0436296564155434E-3</v>
      </c>
      <c r="BP39" s="168">
        <f>'Ethylene Recycling HC'!C262/('Ethylene Recycling HC'!C$256)</f>
        <v>7.004723180178013E-2</v>
      </c>
      <c r="BQ39" s="168">
        <f>'Ethylene Recycling HC'!D262/('Ethylene Recycling HC'!D$256)</f>
        <v>7.0296983657213569E-2</v>
      </c>
      <c r="BR39" s="168">
        <f>'Ethylene Recycling HC'!E262/('Ethylene Recycling HC'!E$256)</f>
        <v>7.0519191047904856E-2</v>
      </c>
      <c r="BS39" s="168">
        <f>'Ethylene Recycling HC'!F262/('Ethylene Recycling HC'!F$256)</f>
        <v>7.0714850125277187E-2</v>
      </c>
      <c r="BT39" s="168">
        <f>'Ethylene Recycling HC'!G262/('Ethylene Recycling HC'!G$256)</f>
        <v>7.0884738168648861E-2</v>
      </c>
      <c r="BU39" s="168">
        <f>'Ethylene Recycling HC'!H262/('Ethylene Recycling HC'!H$256)</f>
        <v>7.1029424116134082E-2</v>
      </c>
      <c r="BV39" s="168">
        <f>'Ethylene Recycling HC'!I262/('Ethylene Recycling HC'!I$256)</f>
        <v>7.1169621899152852E-2</v>
      </c>
      <c r="BW39" s="168">
        <f>'Ethylene Recycling HC'!J262/('Ethylene Recycling HC'!J$256)</f>
        <v>7.1305381714552904E-2</v>
      </c>
      <c r="BX39" s="168">
        <f>'Ethylene Recycling HC'!K262/('Ethylene Recycling HC'!K$256)</f>
        <v>7.1436747580201659E-2</v>
      </c>
      <c r="BY39" s="168">
        <f>'Ethylene Recycling HC'!L262/('Ethylene Recycling HC'!L$256)</f>
        <v>7.1563757423575611E-2</v>
      </c>
      <c r="BZ39" s="168">
        <f>'Ethylene Recycling HC'!M262/('Ethylene Recycling HC'!M$256)</f>
        <v>7.1686443156417062E-2</v>
      </c>
      <c r="CA39" s="168">
        <f>'Ethylene Recycling HC'!N262/('Ethylene Recycling HC'!N$256)</f>
        <v>7.1791512238386257E-2</v>
      </c>
      <c r="CB39" s="168">
        <f>'Ethylene Recycling HC'!O262/('Ethylene Recycling HC'!O$256)</f>
        <v>7.1878957136311275E-2</v>
      </c>
      <c r="CC39" s="168">
        <f>'Ethylene Recycling HC'!P262/('Ethylene Recycling HC'!P$256)</f>
        <v>7.1948669948319E-2</v>
      </c>
      <c r="CD39" s="168">
        <f>'Ethylene Recycling HC'!Q262/('Ethylene Recycling HC'!Q$256)</f>
        <v>7.2000441031476708E-2</v>
      </c>
      <c r="CE39" s="168">
        <f>'Ethylene Recycling HC'!R262/('Ethylene Recycling HC'!R$256)</f>
        <v>7.203395664990779E-2</v>
      </c>
      <c r="CF39" s="168">
        <f>'Ethylene Recycling HC'!S262/('Ethylene Recycling HC'!S$256)</f>
        <v>7.2065972776490281E-2</v>
      </c>
      <c r="CG39" s="168">
        <f>'Ethylene Recycling HC'!T262/('Ethylene Recycling HC'!T$256)</f>
        <v>7.209646312536136E-2</v>
      </c>
      <c r="CH39" s="168">
        <f>'Ethylene Recycling HC'!U262/('Ethylene Recycling HC'!U$256)</f>
        <v>7.2125400707539311E-2</v>
      </c>
      <c r="CI39" s="168">
        <f>'Ethylene Recycling HC'!V262/('Ethylene Recycling HC'!V$256)</f>
        <v>7.2152757813342114E-2</v>
      </c>
      <c r="CJ39" s="168">
        <f>'Ethylene Recycling HC'!W262/('Ethylene Recycling HC'!W$256)</f>
        <v>7.2178505994264328E-2</v>
      </c>
      <c r="CK39" s="168">
        <f>'Ethylene Recycling HC'!X262/('Ethylene Recycling HC'!X$256)</f>
        <v>7.2202725056956726E-2</v>
      </c>
      <c r="CL39" s="168">
        <f>'Ethylene Recycling HC'!Y262/('Ethylene Recycling HC'!Y$256)</f>
        <v>7.2225387744075525E-2</v>
      </c>
      <c r="CM39" s="168">
        <f>'Ethylene Recycling HC'!Z262/('Ethylene Recycling HC'!Z$256)</f>
        <v>7.2246466115347949E-2</v>
      </c>
      <c r="CN39" s="168">
        <f>'Ethylene Recycling HC'!AA262/('Ethylene Recycling HC'!AA$256)</f>
        <v>7.2265931530699976E-2</v>
      </c>
      <c r="CO39" s="168">
        <f>'Ethylene Recycling HC'!AB262/('Ethylene Recycling HC'!AB$256)</f>
        <v>7.2283754632891217E-2</v>
      </c>
      <c r="CP39" s="168">
        <f>'Ethylene Recycling HC'!AC262/('Ethylene Recycling HC'!AC$256)</f>
        <v>7.2300002708257177E-2</v>
      </c>
      <c r="CQ39" s="168">
        <f>'Ethylene Recycling HC'!AD262/('Ethylene Recycling HC'!AD$256)</f>
        <v>7.2314647464685078E-2</v>
      </c>
      <c r="CR39" s="168">
        <f>'Ethylene Recycling HC'!AE262/('Ethylene Recycling HC'!AE$256)</f>
        <v>7.232765993749582E-2</v>
      </c>
      <c r="CS39" s="168">
        <f>'Ethylene Recycling HC'!AF262/('Ethylene Recycling HC'!AF$256)</f>
        <v>7.2339010473099069E-2</v>
      </c>
      <c r="CT39" s="168">
        <f>'Ethylene Recycling HC'!AG262/('Ethylene Recycling HC'!AG$256)</f>
        <v>7.2348668712191838E-2</v>
      </c>
      <c r="CV39" s="168">
        <f t="shared" si="194"/>
        <v>7.004723180178013E-2</v>
      </c>
      <c r="CW39" s="168">
        <f t="shared" si="193"/>
        <v>6.7551553785891394E-2</v>
      </c>
      <c r="CX39" s="168">
        <f t="shared" si="193"/>
        <v>6.5085003722689119E-2</v>
      </c>
      <c r="CY39" s="168">
        <f t="shared" si="193"/>
        <v>6.2647402176028322E-2</v>
      </c>
      <c r="CZ39" s="168">
        <f t="shared" si="193"/>
        <v>6.0238569709763948E-2</v>
      </c>
      <c r="DA39" s="168">
        <f t="shared" si="193"/>
        <v>5.7858326887751048E-2</v>
      </c>
      <c r="DB39" s="168">
        <f t="shared" si="193"/>
        <v>5.5506494273844562E-2</v>
      </c>
      <c r="DC39" s="168">
        <f t="shared" si="193"/>
        <v>5.3182892431899512E-2</v>
      </c>
      <c r="DD39" s="168">
        <f t="shared" si="193"/>
        <v>5.0887341925770879E-2</v>
      </c>
      <c r="DE39" s="168">
        <f t="shared" si="193"/>
        <v>4.8619663319313652E-2</v>
      </c>
      <c r="DF39" s="168">
        <f t="shared" si="193"/>
        <v>4.637967717638284E-2</v>
      </c>
      <c r="DG39" s="168">
        <f t="shared" si="193"/>
        <v>4.3809059058598394E-2</v>
      </c>
      <c r="DH39" s="168">
        <f t="shared" si="193"/>
        <v>4.129801195562377E-2</v>
      </c>
      <c r="DI39" s="168">
        <f t="shared" si="193"/>
        <v>3.8845932240373575E-2</v>
      </c>
      <c r="DJ39" s="168">
        <f t="shared" si="193"/>
        <v>3.6452644557074608E-2</v>
      </c>
      <c r="DK39" s="168">
        <f t="shared" si="193"/>
        <v>3.4117776870418171E-2</v>
      </c>
      <c r="DL39" s="168">
        <f t="shared" si="193"/>
        <v>3.1840957225030171E-2</v>
      </c>
      <c r="DM39" s="168">
        <f t="shared" si="193"/>
        <v>2.9621814027699134E-2</v>
      </c>
      <c r="DN39" s="168">
        <f t="shared" si="193"/>
        <v>2.7459975889482392E-2</v>
      </c>
      <c r="DO39" s="168">
        <f t="shared" si="193"/>
        <v>2.5355071606342244E-2</v>
      </c>
      <c r="DP39" s="168">
        <f t="shared" si="193"/>
        <v>2.3306729990900384E-2</v>
      </c>
      <c r="DQ39" s="168">
        <f t="shared" si="193"/>
        <v>2.1058385366895235E-2</v>
      </c>
      <c r="DR39" s="168">
        <f t="shared" si="193"/>
        <v>1.8905452002545415E-2</v>
      </c>
      <c r="DS39" s="168">
        <f t="shared" si="193"/>
        <v>1.6846897756741776E-2</v>
      </c>
      <c r="DT39" s="168">
        <f t="shared" si="193"/>
        <v>1.4882525792941352E-2</v>
      </c>
      <c r="DU39" s="168">
        <f t="shared" si="193"/>
        <v>1.3011730129707827E-2</v>
      </c>
      <c r="DV39" s="168">
        <f t="shared" si="193"/>
        <v>1.1233903955731457E-2</v>
      </c>
      <c r="DW39" s="168">
        <f t="shared" si="193"/>
        <v>9.548439887680886E-3</v>
      </c>
      <c r="DX39" s="168">
        <f t="shared" si="193"/>
        <v>7.9547306490750473E-3</v>
      </c>
      <c r="DY39" s="168">
        <f t="shared" si="193"/>
        <v>6.4521701993993947E-3</v>
      </c>
      <c r="DZ39" s="168">
        <f t="shared" si="193"/>
        <v>5.0401549604546791E-3</v>
      </c>
    </row>
    <row r="40" spans="1:165">
      <c r="A40" s="606" t="s">
        <v>452</v>
      </c>
      <c r="C40" s="54" t="s">
        <v>462</v>
      </c>
      <c r="D40" s="168">
        <f>'Ethylene Recycling HC'!C287/('Ethylene Recycling HC'!C$266)</f>
        <v>0.23640940733100796</v>
      </c>
      <c r="E40" s="168">
        <f>'Ethylene Recycling HC'!D287/('Ethylene Recycling HC'!D$266)</f>
        <v>0.23164674452758469</v>
      </c>
      <c r="F40" s="168">
        <f>'Ethylene Recycling HC'!E287/('Ethylene Recycling HC'!E$266)</f>
        <v>0.22693355280300462</v>
      </c>
      <c r="G40" s="168">
        <f>'Ethylene Recycling HC'!F287/('Ethylene Recycling HC'!F$266)</f>
        <v>0.22226955018618275</v>
      </c>
      <c r="H40" s="168">
        <f>'Ethylene Recycling HC'!G287/('Ethylene Recycling HC'!G$266)</f>
        <v>0.21765445470603403</v>
      </c>
      <c r="I40" s="168">
        <f>'Ethylene Recycling HC'!H287/('Ethylene Recycling HC'!H$266)</f>
        <v>0.21308798439147356</v>
      </c>
      <c r="J40" s="168">
        <f>'Ethylene Recycling HC'!I287/('Ethylene Recycling HC'!I$266)</f>
        <v>0.20856985727141611</v>
      </c>
      <c r="K40" s="168">
        <f>'Ethylene Recycling HC'!J287/('Ethylene Recycling HC'!J$266)</f>
        <v>0.20409979137477688</v>
      </c>
      <c r="L40" s="168">
        <f>'Ethylene Recycling HC'!K287/('Ethylene Recycling HC'!K$266)</f>
        <v>0.19967750473047069</v>
      </c>
      <c r="M40" s="168">
        <f>'Ethylene Recycling HC'!L287/('Ethylene Recycling HC'!L$266)</f>
        <v>0.19530271536741267</v>
      </c>
      <c r="N40" s="168">
        <f>'Ethylene Recycling HC'!M287/('Ethylene Recycling HC'!M$266)</f>
        <v>0.19097514131451776</v>
      </c>
      <c r="O40" s="168">
        <f>'Ethylene Recycling HC'!N287/('Ethylene Recycling HC'!N$266)</f>
        <v>0.1851806238734621</v>
      </c>
      <c r="P40" s="168">
        <f>'Ethylene Recycling HC'!O287/('Ethylene Recycling HC'!O$266)</f>
        <v>0.17948751349944195</v>
      </c>
      <c r="Q40" s="168">
        <f>'Ethylene Recycling HC'!P287/('Ethylene Recycling HC'!P$266)</f>
        <v>0.17389568618544363</v>
      </c>
      <c r="R40" s="168">
        <f>'Ethylene Recycling HC'!Q287/('Ethylene Recycling HC'!Q$266)</f>
        <v>0.168404024045471</v>
      </c>
      <c r="S40" s="168">
        <f>'Ethylene Recycling HC'!R287/('Ethylene Recycling HC'!R$266)</f>
        <v>0.16301193566610489</v>
      </c>
      <c r="T40" s="168">
        <f>'Ethylene Recycling HC'!S287/('Ethylene Recycling HC'!S$266)</f>
        <v>0.15771882956592134</v>
      </c>
      <c r="U40" s="168">
        <f>'Ethylene Recycling HC'!T287/('Ethylene Recycling HC'!T$266)</f>
        <v>0.15252411419550205</v>
      </c>
      <c r="V40" s="168">
        <f>'Ethylene Recycling HC'!U287/('Ethylene Recycling HC'!U$266)</f>
        <v>0.14742719793744458</v>
      </c>
      <c r="W40" s="168">
        <f>'Ethylene Recycling HC'!V287/('Ethylene Recycling HC'!V$266)</f>
        <v>0.14242748910637298</v>
      </c>
      <c r="X40" s="168">
        <f>'Ethylene Recycling HC'!W287/('Ethylene Recycling HC'!W$266)</f>
        <v>0.13752439594894772</v>
      </c>
      <c r="Y40" s="168">
        <f>'Ethylene Recycling HC'!X287/('Ethylene Recycling HC'!X$266)</f>
        <v>0.13112276224844754</v>
      </c>
      <c r="Z40" s="168">
        <f>'Ethylene Recycling HC'!Y287/('Ethylene Recycling HC'!Y$266)</f>
        <v>0.12488401566753128</v>
      </c>
      <c r="AA40" s="168">
        <f>'Ethylene Recycling HC'!Z287/('Ethylene Recycling HC'!Z$266)</f>
        <v>0.11880748830766714</v>
      </c>
      <c r="AB40" s="168">
        <f>'Ethylene Recycling HC'!AA287/('Ethylene Recycling HC'!AA$266)</f>
        <v>0.11289178724472861</v>
      </c>
      <c r="AC40" s="168">
        <f>'Ethylene Recycling HC'!AB287/('Ethylene Recycling HC'!AB$266)</f>
        <v>0.10713592804596929</v>
      </c>
      <c r="AD40" s="168">
        <f>'Ethylene Recycling HC'!AC287/('Ethylene Recycling HC'!AC$266)</f>
        <v>0.10153892599276491</v>
      </c>
      <c r="AE40" s="168">
        <f>'Ethylene Recycling HC'!AD287/('Ethylene Recycling HC'!AD$266)</f>
        <v>9.6099796080721944E-2</v>
      </c>
      <c r="AF40" s="168">
        <f>'Ethylene Recycling HC'!AE287/('Ethylene Recycling HC'!AE$266)</f>
        <v>9.0817553019786543E-2</v>
      </c>
      <c r="AG40" s="168">
        <f>'Ethylene Recycling HC'!AF287/('Ethylene Recycling HC'!AF$266)</f>
        <v>8.5691211234352777E-2</v>
      </c>
      <c r="AH40" s="168">
        <f>'Ethylene Recycling HC'!AG287/('Ethylene Recycling HC'!AG$266)</f>
        <v>8.071978486337171E-2</v>
      </c>
      <c r="AI40" s="44"/>
      <c r="AJ40" s="168">
        <f>'Ethylene Recycling LC'!C245/('Ethylene Recycling LC'!C$224)</f>
        <v>0.23640940733100796</v>
      </c>
      <c r="AK40" s="168">
        <f>'Ethylene Recycling LC'!D245/('Ethylene Recycling LC'!D$224)</f>
        <v>0.23164674452758469</v>
      </c>
      <c r="AL40" s="168">
        <f>'Ethylene Recycling LC'!E245/('Ethylene Recycling LC'!E$224)</f>
        <v>0.22693355280300462</v>
      </c>
      <c r="AM40" s="168">
        <f>'Ethylene Recycling LC'!F245/('Ethylene Recycling LC'!F$224)</f>
        <v>0.2222695501861828</v>
      </c>
      <c r="AN40" s="168">
        <f>'Ethylene Recycling LC'!G245/('Ethylene Recycling LC'!G$224)</f>
        <v>0.21765445470603403</v>
      </c>
      <c r="AO40" s="168">
        <f>'Ethylene Recycling LC'!H245/('Ethylene Recycling LC'!H$224)</f>
        <v>0.21308798439147356</v>
      </c>
      <c r="AP40" s="168">
        <f>'Ethylene Recycling LC'!I245/('Ethylene Recycling LC'!I$224)</f>
        <v>0.20856985727141611</v>
      </c>
      <c r="AQ40" s="168">
        <f>'Ethylene Recycling LC'!J245/('Ethylene Recycling LC'!J$224)</f>
        <v>0.20409979137477688</v>
      </c>
      <c r="AR40" s="168">
        <f>'Ethylene Recycling LC'!K245/('Ethylene Recycling LC'!K$224)</f>
        <v>0.19967750473047069</v>
      </c>
      <c r="AS40" s="168">
        <f>'Ethylene Recycling LC'!L245/('Ethylene Recycling LC'!L$224)</f>
        <v>0.19530271536741267</v>
      </c>
      <c r="AT40" s="168">
        <f>'Ethylene Recycling LC'!M245/('Ethylene Recycling LC'!M$224)</f>
        <v>0.19097514131451776</v>
      </c>
      <c r="AU40" s="168">
        <f>'Ethylene Recycling LC'!N245/('Ethylene Recycling LC'!N$224)</f>
        <v>0.1851806238734621</v>
      </c>
      <c r="AV40" s="168">
        <f>'Ethylene Recycling LC'!O245/('Ethylene Recycling LC'!O$224)</f>
        <v>0.17948751349944195</v>
      </c>
      <c r="AW40" s="168">
        <f>'Ethylene Recycling LC'!P245/('Ethylene Recycling LC'!P$224)</f>
        <v>0.17389494881838635</v>
      </c>
      <c r="AX40" s="168">
        <f>'Ethylene Recycling LC'!Q245/('Ethylene Recycling LC'!Q$224)</f>
        <v>0.16840249377078279</v>
      </c>
      <c r="AY40" s="168">
        <f>'Ethylene Recycling LC'!R245/('Ethylene Recycling LC'!R$224)</f>
        <v>0.16300956149304877</v>
      </c>
      <c r="AZ40" s="168">
        <f>'Ethylene Recycling LC'!S245/('Ethylene Recycling LC'!S$224)</f>
        <v>0.1577155650173051</v>
      </c>
      <c r="BA40" s="168">
        <f>'Ethylene Recycling LC'!T245/('Ethylene Recycling LC'!T$224)</f>
        <v>0.15251991727138392</v>
      </c>
      <c r="BB40" s="168">
        <f>'Ethylene Recycling LC'!U245/('Ethylene Recycling LC'!U$224)</f>
        <v>0.14742203107883659</v>
      </c>
      <c r="BC40" s="168">
        <f>'Ethylene Recycling LC'!V245/('Ethylene Recycling LC'!V$224)</f>
        <v>0.14242131915894157</v>
      </c>
      <c r="BD40" s="168">
        <f>'Ethylene Recycling LC'!W245/('Ethylene Recycling LC'!W$224)</f>
        <v>0.13751719412671237</v>
      </c>
      <c r="BE40" s="168">
        <f>'Ethylene Recycling LC'!X245/('Ethylene Recycling LC'!X$224)</f>
        <v>0.1311142856573716</v>
      </c>
      <c r="BF40" s="168">
        <f>'Ethylene Recycling LC'!Y245/('Ethylene Recycling LC'!Y$224)</f>
        <v>0.12487420588187123</v>
      </c>
      <c r="BG40" s="168">
        <f>'Ethylene Recycling LC'!Z245/('Ethylene Recycling LC'!Z$224)</f>
        <v>0.11879629474141147</v>
      </c>
      <c r="BH40" s="168">
        <f>'Ethylene Recycling LC'!AA245/('Ethylene Recycling LC'!AA$224)</f>
        <v>0.11287916608617882</v>
      </c>
      <c r="BI40" s="168">
        <f>'Ethylene Recycling LC'!AB245/('Ethylene Recycling LC'!AB$224)</f>
        <v>0.10712184263910796</v>
      </c>
      <c r="BJ40" s="168">
        <f>'Ethylene Recycling LC'!AC245/('Ethylene Recycling LC'!AC$224)</f>
        <v>0.10152334677553107</v>
      </c>
      <c r="BK40" s="168">
        <f>'Ethylene Recycling LC'!AD245/('Ethylene Recycling LC'!AD$224)</f>
        <v>9.6082700523283868E-2</v>
      </c>
      <c r="BL40" s="168">
        <f>'Ethylene Recycling LC'!AE245/('Ethylene Recycling LC'!AE$224)</f>
        <v>9.079892556281112E-2</v>
      </c>
      <c r="BM40" s="168">
        <f>'Ethylene Recycling LC'!AF245/('Ethylene Recycling LC'!AF$224)</f>
        <v>8.567104322727262E-2</v>
      </c>
      <c r="BN40" s="168">
        <f>'Ethylene Recycling LC'!AG245/('Ethylene Recycling LC'!AG$224)</f>
        <v>8.0698074502648695E-2</v>
      </c>
      <c r="BP40" s="168">
        <f>'Ethylene Recycling HC'!C263/('Ethylene Recycling HC'!C$256)</f>
        <v>0.23640940733100796</v>
      </c>
      <c r="BQ40" s="168">
        <f>'Ethylene Recycling HC'!D263/('Ethylene Recycling HC'!D$256)</f>
        <v>0.23970598588731082</v>
      </c>
      <c r="BR40" s="168">
        <f>'Ethylene Recycling HC'!E263/('Ethylene Recycling HC'!E$256)</f>
        <v>0.24291897564631565</v>
      </c>
      <c r="BS40" s="168">
        <f>'Ethylene Recycling HC'!F263/('Ethylene Recycling HC'!F$256)</f>
        <v>0.24604893057288227</v>
      </c>
      <c r="BT40" s="168">
        <f>'Ethylene Recycling HC'!G263/('Ethylene Recycling HC'!G$256)</f>
        <v>0.24909578802548413</v>
      </c>
      <c r="BU40" s="168">
        <f>'Ethylene Recycling HC'!H263/('Ethylene Recycling HC'!H$256)</f>
        <v>0.25205886736035976</v>
      </c>
      <c r="BV40" s="168">
        <f>'Ethylene Recycling HC'!I263/('Ethylene Recycling HC'!I$256)</f>
        <v>0.25500976184212576</v>
      </c>
      <c r="BW40" s="168">
        <f>'Ethylene Recycling HC'!J263/('Ethylene Recycling HC'!J$256)</f>
        <v>0.2579481755704478</v>
      </c>
      <c r="BX40" s="168">
        <f>'Ethylene Recycling HC'!K263/('Ethylene Recycling HC'!K$256)</f>
        <v>0.26087379933166038</v>
      </c>
      <c r="BY40" s="168">
        <f>'Ethylene Recycling HC'!L263/('Ethylene Recycling HC'!L$256)</f>
        <v>0.26378630981100409</v>
      </c>
      <c r="BZ40" s="168">
        <f>'Ethylene Recycling HC'!M263/('Ethylene Recycling HC'!M$256)</f>
        <v>0.26668536877942789</v>
      </c>
      <c r="CA40" s="168">
        <f>'Ethylene Recycling HC'!N263/('Ethylene Recycling HC'!N$256)</f>
        <v>0.26952062177781322</v>
      </c>
      <c r="CB40" s="168">
        <f>'Ethylene Recycling HC'!O263/('Ethylene Recycling HC'!O$256)</f>
        <v>0.27229023663952379</v>
      </c>
      <c r="CC40" s="168">
        <f>'Ethylene Recycling HC'!P263/('Ethylene Recycling HC'!P$256)</f>
        <v>0.27499200543592828</v>
      </c>
      <c r="CD40" s="168">
        <f>'Ethylene Recycling HC'!Q263/('Ethylene Recycling HC'!Q$256)</f>
        <v>0.2776233221754234</v>
      </c>
      <c r="CE40" s="168">
        <f>'Ethylene Recycling HC'!R263/('Ethylene Recycling HC'!R$256)</f>
        <v>0.28018115654013187</v>
      </c>
      <c r="CF40" s="168">
        <f>'Ethylene Recycling HC'!S263/('Ethylene Recycling HC'!S$256)</f>
        <v>0.28272941280449831</v>
      </c>
      <c r="CG40" s="168">
        <f>'Ethylene Recycling HC'!T263/('Ethylene Recycling HC'!T$256)</f>
        <v>0.2852678496082226</v>
      </c>
      <c r="CH40" s="168">
        <f>'Ethylene Recycling HC'!U263/('Ethylene Recycling HC'!U$256)</f>
        <v>0.28779621993815158</v>
      </c>
      <c r="CI40" s="168">
        <f>'Ethylene Recycling HC'!V263/('Ethylene Recycling HC'!V$256)</f>
        <v>0.29031427095754947</v>
      </c>
      <c r="CJ40" s="168">
        <f>'Ethylene Recycling HC'!W263/('Ethylene Recycling HC'!W$256)</f>
        <v>0.29282174383038906</v>
      </c>
      <c r="CK40" s="168">
        <f>'Ethylene Recycling HC'!X263/('Ethylene Recycling HC'!X$256)</f>
        <v>0.29531881941688226</v>
      </c>
      <c r="CL40" s="168">
        <f>'Ethylene Recycling HC'!Y263/('Ethylene Recycling HC'!Y$256)</f>
        <v>0.29780524841109446</v>
      </c>
      <c r="CM40" s="168">
        <f>'Ethylene Recycling HC'!Z263/('Ethylene Recycling HC'!Z$256)</f>
        <v>0.30028077572932338</v>
      </c>
      <c r="CN40" s="168">
        <f>'Ethylene Recycling HC'!AA263/('Ethylene Recycling HC'!AA$256)</f>
        <v>0.30274514034463096</v>
      </c>
      <c r="CO40" s="168">
        <f>'Ethylene Recycling HC'!AB263/('Ethylene Recycling HC'!AB$256)</f>
        <v>0.30519807511665131</v>
      </c>
      <c r="CP40" s="168">
        <f>'Ethylene Recycling HC'!AC263/('Ethylene Recycling HC'!AC$256)</f>
        <v>0.30763972096685327</v>
      </c>
      <c r="CQ40" s="168">
        <f>'Ethylene Recycling HC'!AD263/('Ethylene Recycling HC'!AD$256)</f>
        <v>0.31006981851242177</v>
      </c>
      <c r="CR40" s="168">
        <f>'Ethylene Recycling HC'!AE263/('Ethylene Recycling HC'!AE$256)</f>
        <v>0.31248810243526715</v>
      </c>
      <c r="CS40" s="168">
        <f>'Ethylene Recycling HC'!AF263/('Ethylene Recycling HC'!AF$256)</f>
        <v>0.31489430131956936</v>
      </c>
      <c r="CT40" s="168">
        <f>'Ethylene Recycling HC'!AG263/('Ethylene Recycling HC'!AG$256)</f>
        <v>0.31728813748479306</v>
      </c>
      <c r="CV40" s="168">
        <f t="shared" si="194"/>
        <v>0.23640940733100796</v>
      </c>
      <c r="CW40" s="168">
        <f t="shared" si="193"/>
        <v>0.23164674452758469</v>
      </c>
      <c r="CX40" s="168">
        <f t="shared" si="193"/>
        <v>0.22693355280300462</v>
      </c>
      <c r="CY40" s="168">
        <f t="shared" si="193"/>
        <v>0.2222695501861828</v>
      </c>
      <c r="CZ40" s="168">
        <f t="shared" si="193"/>
        <v>0.21765445470603403</v>
      </c>
      <c r="DA40" s="168">
        <f t="shared" si="193"/>
        <v>0.21308798439147356</v>
      </c>
      <c r="DB40" s="168">
        <f t="shared" si="193"/>
        <v>0.20856985727141608</v>
      </c>
      <c r="DC40" s="168">
        <f t="shared" si="193"/>
        <v>0.20409979137477691</v>
      </c>
      <c r="DD40" s="168">
        <f t="shared" si="193"/>
        <v>0.19967750473047069</v>
      </c>
      <c r="DE40" s="168">
        <f t="shared" si="193"/>
        <v>0.19530271536741267</v>
      </c>
      <c r="DF40" s="168">
        <f t="shared" si="193"/>
        <v>0.19097514131451776</v>
      </c>
      <c r="DG40" s="168">
        <f t="shared" si="193"/>
        <v>0.1851806238734621</v>
      </c>
      <c r="DH40" s="168">
        <f t="shared" si="193"/>
        <v>0.17948751349944195</v>
      </c>
      <c r="DI40" s="168">
        <f t="shared" si="193"/>
        <v>0.17389420674046441</v>
      </c>
      <c r="DJ40" s="168">
        <f t="shared" si="193"/>
        <v>0.16840094950310538</v>
      </c>
      <c r="DK40" s="168">
        <f t="shared" si="193"/>
        <v>0.16300715615866473</v>
      </c>
      <c r="DL40" s="168">
        <f t="shared" si="193"/>
        <v>0.1577122412552277</v>
      </c>
      <c r="DM40" s="168">
        <f t="shared" si="193"/>
        <v>0.15251562098559154</v>
      </c>
      <c r="DN40" s="168">
        <f t="shared" si="193"/>
        <v>0.14741671266985296</v>
      </c>
      <c r="DO40" s="168">
        <f t="shared" si="193"/>
        <v>0.1424149349103897</v>
      </c>
      <c r="DP40" s="168">
        <f t="shared" si="193"/>
        <v>0.1375097069463124</v>
      </c>
      <c r="DQ40" s="168">
        <f t="shared" si="193"/>
        <v>0.13110543147776724</v>
      </c>
      <c r="DR40" s="168">
        <f t="shared" si="193"/>
        <v>0.12486391555169539</v>
      </c>
      <c r="DS40" s="168">
        <f t="shared" si="193"/>
        <v>0.11878129177854653</v>
      </c>
      <c r="DT40" s="168">
        <f t="shared" si="193"/>
        <v>0.11285915392980535</v>
      </c>
      <c r="DU40" s="168">
        <f t="shared" si="193"/>
        <v>0.10709654799067224</v>
      </c>
      <c r="DV40" s="168">
        <f t="shared" si="193"/>
        <v>0.10149251160005672</v>
      </c>
      <c r="DW40" s="168">
        <f t="shared" si="193"/>
        <v>9.6046071811378475E-2</v>
      </c>
      <c r="DX40" s="168">
        <f t="shared" si="193"/>
        <v>9.0756245132629088E-2</v>
      </c>
      <c r="DY40" s="168">
        <f t="shared" si="193"/>
        <v>8.5622042375813737E-2</v>
      </c>
      <c r="DZ40" s="168">
        <f t="shared" si="193"/>
        <v>8.0642479367274866E-2</v>
      </c>
    </row>
    <row r="41" spans="1:165">
      <c r="A41" s="606" t="s">
        <v>453</v>
      </c>
      <c r="C41" s="54" t="s">
        <v>462</v>
      </c>
      <c r="D41" s="168">
        <f>'Ethylene Recycling HC'!C288/('Ethylene Recycling HC'!C$266)</f>
        <v>6.1291327826557621E-2</v>
      </c>
      <c r="E41" s="168">
        <f>'Ethylene Recycling HC'!D288/('Ethylene Recycling HC'!D$266)</f>
        <v>6.0593453825112886E-2</v>
      </c>
      <c r="F41" s="168">
        <f>'Ethylene Recycling HC'!E288/('Ethylene Recycling HC'!E$266)</f>
        <v>5.9901242364244857E-2</v>
      </c>
      <c r="G41" s="168">
        <f>'Ethylene Recycling HC'!F288/('Ethylene Recycling HC'!F$266)</f>
        <v>5.9214667810218551E-2</v>
      </c>
      <c r="H41" s="168">
        <f>'Ethylene Recycling HC'!G288/('Ethylene Recycling HC'!G$266)</f>
        <v>5.8533704529298944E-2</v>
      </c>
      <c r="I41" s="168">
        <f>'Ethylene Recycling HC'!H288/('Ethylene Recycling HC'!H$266)</f>
        <v>5.7858326887751055E-2</v>
      </c>
      <c r="J41" s="168">
        <f>'Ethylene Recycling HC'!I288/('Ethylene Recycling HC'!I$266)</f>
        <v>5.7188509251839867E-2</v>
      </c>
      <c r="K41" s="168">
        <f>'Ethylene Recycling HC'!J288/('Ethylene Recycling HC'!J$266)</f>
        <v>5.6524225987830391E-2</v>
      </c>
      <c r="L41" s="168">
        <f>'Ethylene Recycling HC'!K288/('Ethylene Recycling HC'!K$266)</f>
        <v>5.5865451461987611E-2</v>
      </c>
      <c r="M41" s="168">
        <f>'Ethylene Recycling HC'!L288/('Ethylene Recycling HC'!L$266)</f>
        <v>5.5212160040576538E-2</v>
      </c>
      <c r="N41" s="168">
        <f>'Ethylene Recycling HC'!M288/('Ethylene Recycling HC'!M$266)</f>
        <v>5.456432608986217E-2</v>
      </c>
      <c r="O41" s="168">
        <f>'Ethylene Recycling HC'!N288/('Ethylene Recycling HC'!N$266)</f>
        <v>5.3484679464178418E-2</v>
      </c>
      <c r="P41" s="168">
        <f>'Ethylene Recycling HC'!O288/('Ethylene Recycling HC'!O$266)</f>
        <v>5.2416707482137864E-2</v>
      </c>
      <c r="Q41" s="168">
        <f>'Ethylene Recycling HC'!P288/('Ethylene Recycling HC'!P$266)</f>
        <v>5.1360495020288402E-2</v>
      </c>
      <c r="R41" s="168">
        <f>'Ethylene Recycling HC'!Q288/('Ethylene Recycling HC'!Q$266)</f>
        <v>5.0315836452610195E-2</v>
      </c>
      <c r="S41" s="168">
        <f>'Ethylene Recycling HC'!R288/('Ethylene Recycling HC'!R$266)</f>
        <v>4.928267822463632E-2</v>
      </c>
      <c r="T41" s="168">
        <f>'Ethylene Recycling HC'!S288/('Ethylene Recycling HC'!S$266)</f>
        <v>4.8260966775691978E-2</v>
      </c>
      <c r="U41" s="168">
        <f>'Ethylene Recycling HC'!T288/('Ethylene Recycling HC'!T$266)</f>
        <v>4.7250648538895448E-2</v>
      </c>
      <c r="V41" s="168">
        <f>'Ethylene Recycling HC'!U288/('Ethylene Recycling HC'!U$266)</f>
        <v>4.6251669941159042E-2</v>
      </c>
      <c r="W41" s="168">
        <f>'Ethylene Recycling HC'!V288/('Ethylene Recycling HC'!V$266)</f>
        <v>4.5263977403190034E-2</v>
      </c>
      <c r="X41" s="168">
        <f>'Ethylene Recycling HC'!W288/('Ethylene Recycling HC'!W$266)</f>
        <v>4.4287517339491593E-2</v>
      </c>
      <c r="Y41" s="168">
        <f>'Ethylene Recycling HC'!X288/('Ethylene Recycling HC'!X$266)</f>
        <v>4.2801730682135684E-2</v>
      </c>
      <c r="Z41" s="168">
        <f>'Ethylene Recycling HC'!Y288/('Ethylene Recycling HC'!Y$266)</f>
        <v>4.133485025615468E-2</v>
      </c>
      <c r="AA41" s="168">
        <f>'Ethylene Recycling HC'!Z288/('Ethylene Recycling HC'!Z$266)</f>
        <v>3.988689463830114E-2</v>
      </c>
      <c r="AB41" s="168">
        <f>'Ethylene Recycling HC'!AA288/('Ethylene Recycling HC'!AA$266)</f>
        <v>3.8457641808643778E-2</v>
      </c>
      <c r="AC41" s="168">
        <f>'Ethylene Recycling HC'!AB288/('Ethylene Recycling HC'!AB$266)</f>
        <v>3.7047003156082815E-2</v>
      </c>
      <c r="AD41" s="168">
        <f>'Ethylene Recycling HC'!AC288/('Ethylene Recycling HC'!AC$266)</f>
        <v>3.5654890043260945E-2</v>
      </c>
      <c r="AE41" s="168">
        <f>'Ethylene Recycling HC'!AD288/('Ethylene Recycling HC'!AD$266)</f>
        <v>3.4281213806573313E-2</v>
      </c>
      <c r="AF41" s="168">
        <f>'Ethylene Recycling HC'!AE288/('Ethylene Recycling HC'!AE$266)</f>
        <v>3.2925885756177581E-2</v>
      </c>
      <c r="AG41" s="168">
        <f>'Ethylene Recycling HC'!AF288/('Ethylene Recycling HC'!AF$266)</f>
        <v>3.1588817176003765E-2</v>
      </c>
      <c r="AH41" s="168">
        <f>'Ethylene Recycling HC'!AG288/('Ethylene Recycling HC'!AG$266)</f>
        <v>3.0269919323764386E-2</v>
      </c>
      <c r="AI41" s="44"/>
      <c r="AJ41" s="168">
        <f>'Ethylene Recycling LC'!C246/('Ethylene Recycling LC'!C$224)</f>
        <v>6.1291327826557621E-2</v>
      </c>
      <c r="AK41" s="168">
        <f>'Ethylene Recycling LC'!D246/('Ethylene Recycling LC'!D$224)</f>
        <v>6.0593453825112886E-2</v>
      </c>
      <c r="AL41" s="168">
        <f>'Ethylene Recycling LC'!E246/('Ethylene Recycling LC'!E$224)</f>
        <v>5.9901242364244857E-2</v>
      </c>
      <c r="AM41" s="168">
        <f>'Ethylene Recycling LC'!F246/('Ethylene Recycling LC'!F$224)</f>
        <v>5.9214667810218558E-2</v>
      </c>
      <c r="AN41" s="168">
        <f>'Ethylene Recycling LC'!G246/('Ethylene Recycling LC'!G$224)</f>
        <v>5.8533704529298944E-2</v>
      </c>
      <c r="AO41" s="168">
        <f>'Ethylene Recycling LC'!H246/('Ethylene Recycling LC'!H$224)</f>
        <v>5.7858326887751055E-2</v>
      </c>
      <c r="AP41" s="168">
        <f>'Ethylene Recycling LC'!I246/('Ethylene Recycling LC'!I$224)</f>
        <v>5.7188509251839867E-2</v>
      </c>
      <c r="AQ41" s="168">
        <f>'Ethylene Recycling LC'!J246/('Ethylene Recycling LC'!J$224)</f>
        <v>5.6524225987830391E-2</v>
      </c>
      <c r="AR41" s="168">
        <f>'Ethylene Recycling LC'!K246/('Ethylene Recycling LC'!K$224)</f>
        <v>5.5865451461987611E-2</v>
      </c>
      <c r="AS41" s="168">
        <f>'Ethylene Recycling LC'!L246/('Ethylene Recycling LC'!L$224)</f>
        <v>5.5212160040576538E-2</v>
      </c>
      <c r="AT41" s="168">
        <f>'Ethylene Recycling LC'!M246/('Ethylene Recycling LC'!M$224)</f>
        <v>5.456432608986217E-2</v>
      </c>
      <c r="AU41" s="168">
        <f>'Ethylene Recycling LC'!N246/('Ethylene Recycling LC'!N$224)</f>
        <v>5.3484679464178418E-2</v>
      </c>
      <c r="AV41" s="168">
        <f>'Ethylene Recycling LC'!O246/('Ethylene Recycling LC'!O$224)</f>
        <v>5.2416707482137864E-2</v>
      </c>
      <c r="AW41" s="168">
        <f>'Ethylene Recycling LC'!P246/('Ethylene Recycling LC'!P$224)</f>
        <v>5.1360277237214522E-2</v>
      </c>
      <c r="AX41" s="168">
        <f>'Ethylene Recycling LC'!Q246/('Ethylene Recycling LC'!Q$224)</f>
        <v>5.0315379236392378E-2</v>
      </c>
      <c r="AY41" s="168">
        <f>'Ethylene Recycling LC'!R246/('Ethylene Recycling LC'!R$224)</f>
        <v>4.9281960451386782E-2</v>
      </c>
      <c r="AZ41" s="168">
        <f>'Ethylene Recycling LC'!S246/('Ethylene Recycling LC'!S$224)</f>
        <v>4.8259967844411923E-2</v>
      </c>
      <c r="BA41" s="168">
        <f>'Ethylene Recycling LC'!T246/('Ethylene Recycling LC'!T$224)</f>
        <v>4.7249348368181489E-2</v>
      </c>
      <c r="BB41" s="168">
        <f>'Ethylene Recycling LC'!U246/('Ethylene Recycling LC'!U$224)</f>
        <v>4.6250048965909472E-2</v>
      </c>
      <c r="BC41" s="168">
        <f>'Ethylene Recycling LC'!V246/('Ethylene Recycling LC'!V$224)</f>
        <v>4.5262016571310841E-2</v>
      </c>
      <c r="BD41" s="168">
        <f>'Ethylene Recycling LC'!W246/('Ethylene Recycling LC'!W$224)</f>
        <v>4.4285198108602243E-2</v>
      </c>
      <c r="BE41" s="168">
        <f>'Ethylene Recycling LC'!X246/('Ethylene Recycling LC'!X$224)</f>
        <v>4.2798963711991725E-2</v>
      </c>
      <c r="BF41" s="168">
        <f>'Ethylene Recycling LC'!Y246/('Ethylene Recycling LC'!Y$224)</f>
        <v>4.1331603355267199E-2</v>
      </c>
      <c r="BG41" s="168">
        <f>'Ethylene Recycling LC'!Z246/('Ethylene Recycling LC'!Z$224)</f>
        <v>3.988313665465696E-2</v>
      </c>
      <c r="BH41" s="168">
        <f>'Ethylene Recycling LC'!AA246/('Ethylene Recycling LC'!AA$224)</f>
        <v>3.8453342293093849E-2</v>
      </c>
      <c r="BI41" s="168">
        <f>'Ethylene Recycling LC'!AB246/('Ethylene Recycling LC'!AB$224)</f>
        <v>3.7042132501373747E-2</v>
      </c>
      <c r="BJ41" s="168">
        <f>'Ethylene Recycling LC'!AC246/('Ethylene Recycling LC'!AC$224)</f>
        <v>3.5649419478430734E-2</v>
      </c>
      <c r="BK41" s="168">
        <f>'Ethylene Recycling LC'!AD246/('Ethylene Recycling LC'!AD$224)</f>
        <v>3.427511539134686E-2</v>
      </c>
      <c r="BL41" s="168">
        <f>'Ethylene Recycling LC'!AE246/('Ethylene Recycling LC'!AE$224)</f>
        <v>3.2919132375361794E-2</v>
      </c>
      <c r="BM41" s="168">
        <f>'Ethylene Recycling LC'!AF246/('Ethylene Recycling LC'!AF$224)</f>
        <v>3.1581382533882568E-2</v>
      </c>
      <c r="BN41" s="168">
        <f>'Ethylene Recycling LC'!AG246/('Ethylene Recycling LC'!AG$224)</f>
        <v>3.0261777938493262E-2</v>
      </c>
      <c r="BP41" s="168">
        <f>'Ethylene Recycling HC'!C264/('Ethylene Recycling HC'!C$256)</f>
        <v>6.1291327826557621E-2</v>
      </c>
      <c r="BQ41" s="168">
        <f>'Ethylene Recycling HC'!D264/('Ethylene Recycling HC'!D$256)</f>
        <v>6.2544715380408913E-2</v>
      </c>
      <c r="BR41" s="168">
        <f>'Ethylene Recycling HC'!E264/('Ethylene Recycling HC'!E$256)</f>
        <v>6.3777954995943881E-2</v>
      </c>
      <c r="BS41" s="168">
        <f>'Ethylene Recycling HC'!F264/('Ethylene Recycling HC'!F$256)</f>
        <v>6.4990733988112795E-2</v>
      </c>
      <c r="BT41" s="168">
        <f>'Ethylene Recycling HC'!G264/('Ethylene Recycling HC'!G$256)</f>
        <v>6.6182599649998855E-2</v>
      </c>
      <c r="BU41" s="168">
        <f>'Ethylene Recycling HC'!H264/('Ethylene Recycling HC'!H$256)</f>
        <v>6.7352952888590889E-2</v>
      </c>
      <c r="BV41" s="168">
        <f>'Ethylene Recycling HC'!I264/('Ethylene Recycling HC'!I$256)</f>
        <v>6.8520628528216637E-2</v>
      </c>
      <c r="BW41" s="168">
        <f>'Ethylene Recycling HC'!J264/('Ethylene Recycling HC'!J$256)</f>
        <v>6.9685474240657644E-2</v>
      </c>
      <c r="BX41" s="168">
        <f>'Ethylene Recycling HC'!K264/('Ethylene Recycling HC'!K$256)</f>
        <v>7.0847335471454109E-2</v>
      </c>
      <c r="BY41" s="168">
        <f>'Ethylene Recycling HC'!L264/('Ethylene Recycling HC'!L$256)</f>
        <v>7.2006055059073579E-2</v>
      </c>
      <c r="BZ41" s="168">
        <f>'Ethylene Recycling HC'!M264/('Ethylene Recycling HC'!M$256)</f>
        <v>7.3161472850993517E-2</v>
      </c>
      <c r="CA41" s="168">
        <f>'Ethylene Recycling HC'!N264/('Ethylene Recycling HC'!N$256)</f>
        <v>7.4299641519217641E-2</v>
      </c>
      <c r="CB41" s="168">
        <f>'Ethylene Recycling HC'!O264/('Ethylene Recycling HC'!O$256)</f>
        <v>7.5419792463223126E-2</v>
      </c>
      <c r="CC41" s="168">
        <f>'Ethylene Recycling HC'!P264/('Ethylene Recycling HC'!P$256)</f>
        <v>7.652105364737162E-2</v>
      </c>
      <c r="CD41" s="168">
        <f>'Ethylene Recycling HC'!Q264/('Ethylene Recycling HC'!Q$256)</f>
        <v>7.7602440947930632E-2</v>
      </c>
      <c r="CE41" s="168">
        <f>'Ethylene Recycling HC'!R264/('Ethylene Recycling HC'!R$256)</f>
        <v>7.8662848366156932E-2</v>
      </c>
      <c r="CF41" s="168">
        <f>'Ethylene Recycling HC'!S264/('Ethylene Recycling HC'!S$256)</f>
        <v>7.972003851255538E-2</v>
      </c>
      <c r="CG41" s="168">
        <f>'Ethylene Recycling HC'!T264/('Ethylene Recycling HC'!T$256)</f>
        <v>8.0773924007442738E-2</v>
      </c>
      <c r="CH41" s="168">
        <f>'Ethylene Recycling HC'!U264/('Ethylene Recycling HC'!U$256)</f>
        <v>8.1824415472611781E-2</v>
      </c>
      <c r="CI41" s="168">
        <f>'Ethylene Recycling HC'!V264/('Ethylene Recycling HC'!V$256)</f>
        <v>8.2871421468966741E-2</v>
      </c>
      <c r="CJ41" s="168">
        <f>'Ethylene Recycling HC'!W264/('Ethylene Recycling HC'!W$256)</f>
        <v>8.391484843235604E-2</v>
      </c>
      <c r="CK41" s="168">
        <f>'Ethylene Recycling HC'!X264/('Ethylene Recycling HC'!X$256)</f>
        <v>8.4954728873349747E-2</v>
      </c>
      <c r="CL41" s="168">
        <f>'Ethylene Recycling HC'!Y264/('Ethylene Recycling HC'!Y$256)</f>
        <v>8.5990972593919537E-2</v>
      </c>
      <c r="CM41" s="168">
        <f>'Ethylene Recycling HC'!Z264/('Ethylene Recycling HC'!Z$256)</f>
        <v>8.7023487333756408E-2</v>
      </c>
      <c r="CN41" s="168">
        <f>'Ethylene Recycling HC'!AA264/('Ethylene Recycling HC'!AA$256)</f>
        <v>8.8052178709736292E-2</v>
      </c>
      <c r="CO41" s="168">
        <f>'Ethylene Recycling HC'!AB264/('Ethylene Recycling HC'!AB$256)</f>
        <v>8.9076950153663834E-2</v>
      </c>
      <c r="CP41" s="168">
        <f>'Ethylene Recycling HC'!AC264/('Ethylene Recycling HC'!AC$256)</f>
        <v>9.0097824198183185E-2</v>
      </c>
      <c r="CQ41" s="168">
        <f>'Ethylene Recycling HC'!AD264/('Ethylene Recycling HC'!AD$256)</f>
        <v>9.1114706962759084E-2</v>
      </c>
      <c r="CR41" s="168">
        <f>'Ethylene Recycling HC'!AE264/('Ethylene Recycling HC'!AE$256)</f>
        <v>9.2127502432462358E-2</v>
      </c>
      <c r="CS41" s="168">
        <f>'Ethylene Recycling HC'!AF264/('Ethylene Recycling HC'!AF$256)</f>
        <v>9.3136112398416959E-2</v>
      </c>
      <c r="CT41" s="168">
        <f>'Ethylene Recycling HC'!AG264/('Ethylene Recycling HC'!AG$256)</f>
        <v>9.4140436396586952E-2</v>
      </c>
      <c r="CV41" s="168">
        <f t="shared" si="194"/>
        <v>6.1291327826557621E-2</v>
      </c>
      <c r="CW41" s="168">
        <f t="shared" si="193"/>
        <v>6.0593453825112886E-2</v>
      </c>
      <c r="CX41" s="168">
        <f t="shared" si="193"/>
        <v>5.9901242364244857E-2</v>
      </c>
      <c r="CY41" s="168">
        <f t="shared" si="193"/>
        <v>5.9214667810218558E-2</v>
      </c>
      <c r="CZ41" s="168">
        <f t="shared" si="193"/>
        <v>5.8533704529298944E-2</v>
      </c>
      <c r="DA41" s="168">
        <f t="shared" si="193"/>
        <v>5.7858326887751055E-2</v>
      </c>
      <c r="DB41" s="168">
        <f t="shared" si="193"/>
        <v>5.7188509251839867E-2</v>
      </c>
      <c r="DC41" s="168">
        <f t="shared" si="193"/>
        <v>5.6524225987830391E-2</v>
      </c>
      <c r="DD41" s="168">
        <f t="shared" si="193"/>
        <v>5.5865451461987611E-2</v>
      </c>
      <c r="DE41" s="168">
        <f t="shared" si="193"/>
        <v>5.5212160040576538E-2</v>
      </c>
      <c r="DF41" s="168">
        <f t="shared" si="193"/>
        <v>5.456432608986217E-2</v>
      </c>
      <c r="DG41" s="168">
        <f t="shared" si="193"/>
        <v>5.3484679464178418E-2</v>
      </c>
      <c r="DH41" s="168">
        <f t="shared" si="193"/>
        <v>5.2416707482137864E-2</v>
      </c>
      <c r="DI41" s="168">
        <f t="shared" si="193"/>
        <v>5.1360058062775799E-2</v>
      </c>
      <c r="DJ41" s="168">
        <f t="shared" si="193"/>
        <v>5.0314917839342416E-2</v>
      </c>
      <c r="DK41" s="168">
        <f t="shared" si="193"/>
        <v>4.9281233257270678E-2</v>
      </c>
      <c r="DL41" s="168">
        <f t="shared" si="193"/>
        <v>4.8258950794186357E-2</v>
      </c>
      <c r="DM41" s="168">
        <f t="shared" si="193"/>
        <v>4.7248017416082082E-2</v>
      </c>
      <c r="DN41" s="168">
        <f t="shared" si="193"/>
        <v>4.6248380445444014E-2</v>
      </c>
      <c r="DO41" s="168">
        <f t="shared" si="193"/>
        <v>4.5259987633751095E-2</v>
      </c>
      <c r="DP41" s="168">
        <f t="shared" si="193"/>
        <v>4.4282786982710723E-2</v>
      </c>
      <c r="DQ41" s="168">
        <f t="shared" si="193"/>
        <v>4.279607348756128E-2</v>
      </c>
      <c r="DR41" s="168">
        <f t="shared" si="193"/>
        <v>4.1328197400913223E-2</v>
      </c>
      <c r="DS41" s="168">
        <f t="shared" si="193"/>
        <v>3.9878099753300145E-2</v>
      </c>
      <c r="DT41" s="168">
        <f t="shared" si="193"/>
        <v>3.844652496509849E-2</v>
      </c>
      <c r="DU41" s="168">
        <f t="shared" si="193"/>
        <v>3.7033385753783822E-2</v>
      </c>
      <c r="DV41" s="168">
        <f t="shared" si="193"/>
        <v>3.5638591859561884E-2</v>
      </c>
      <c r="DW41" s="168">
        <f t="shared" si="193"/>
        <v>3.4262049008737333E-2</v>
      </c>
      <c r="DX41" s="168">
        <f t="shared" si="193"/>
        <v>3.2903658593901375E-2</v>
      </c>
      <c r="DY41" s="168">
        <f t="shared" si="193"/>
        <v>3.1563319083548445E-2</v>
      </c>
      <c r="DZ41" s="168">
        <f t="shared" si="193"/>
        <v>3.0240929762728078E-2</v>
      </c>
    </row>
    <row r="42" spans="1:165" ht="16" thickBot="1">
      <c r="A42" s="606" t="s">
        <v>454</v>
      </c>
      <c r="C42" s="54" t="s">
        <v>462</v>
      </c>
      <c r="D42" s="168">
        <f>'Ethylene Recycling HC'!C289/('Ethylene Recycling HC'!C$266)</f>
        <v>4.3779519876112581E-2</v>
      </c>
      <c r="E42" s="168">
        <f>'Ethylene Recycling HC'!D289/('Ethylene Recycling HC'!D$266)</f>
        <v>4.2908283091467499E-2</v>
      </c>
      <c r="F42" s="168">
        <f>'Ethylene Recycling HC'!E289/('Ethylene Recycling HC'!E$266)</f>
        <v>4.2046064351825722E-2</v>
      </c>
      <c r="G42" s="168">
        <f>'Ethylene Recycling HC'!F289/('Ethylene Recycling HC'!F$266)</f>
        <v>4.1192812389717254E-2</v>
      </c>
      <c r="H42" s="168">
        <f>'Ethylene Recycling HC'!G289/('Ethylene Recycling HC'!G$266)</f>
        <v>4.0348475937672088E-2</v>
      </c>
      <c r="I42" s="168">
        <f>'Ethylene Recycling HC'!H289/('Ethylene Recycling HC'!H$266)</f>
        <v>3.9513003728220239E-2</v>
      </c>
      <c r="J42" s="168">
        <f>'Ethylene Recycling HC'!I289/('Ethylene Recycling HC'!I$266)</f>
        <v>3.8686344493891675E-2</v>
      </c>
      <c r="K42" s="168">
        <f>'Ethylene Recycling HC'!J289/('Ethylene Recycling HC'!J$266)</f>
        <v>3.7868446967216418E-2</v>
      </c>
      <c r="L42" s="168">
        <f>'Ethylene Recycling HC'!K289/('Ethylene Recycling HC'!K$266)</f>
        <v>3.7059259880724456E-2</v>
      </c>
      <c r="M42" s="168">
        <f>'Ethylene Recycling HC'!L289/('Ethylene Recycling HC'!L$266)</f>
        <v>3.6258731966945783E-2</v>
      </c>
      <c r="N42" s="168">
        <f>'Ethylene Recycling HC'!M289/('Ethylene Recycling HC'!M$266)</f>
        <v>3.5466811958410414E-2</v>
      </c>
      <c r="O42" s="168">
        <f>'Ethylene Recycling HC'!N289/('Ethylene Recycling HC'!N$266)</f>
        <v>3.4402205886506727E-2</v>
      </c>
      <c r="P42" s="168">
        <f>'Ethylene Recycling HC'!O289/('Ethylene Recycling HC'!O$266)</f>
        <v>3.3356086579542282E-2</v>
      </c>
      <c r="Q42" s="168">
        <f>'Ethylene Recycling HC'!P289/('Ethylene Recycling HC'!P$266)</f>
        <v>3.23284334137856E-2</v>
      </c>
      <c r="R42" s="168">
        <f>'Ethylene Recycling HC'!Q289/('Ethylene Recycling HC'!Q$266)</f>
        <v>3.1319041057236957E-2</v>
      </c>
      <c r="S42" s="168">
        <f>'Ethylene Recycling HC'!R289/('Ethylene Recycling HC'!R$266)</f>
        <v>3.032780198439158E-2</v>
      </c>
      <c r="T42" s="168">
        <f>'Ethylene Recycling HC'!S289/('Ethylene Recycling HC'!S$266)</f>
        <v>2.9354608657379651E-2</v>
      </c>
      <c r="U42" s="168">
        <f>'Ethylene Recycling HC'!T289/('Ethylene Recycling HC'!T$266)</f>
        <v>2.8399353525968254E-2</v>
      </c>
      <c r="V42" s="168">
        <f>'Ethylene Recycling HC'!U289/('Ethylene Recycling HC'!U$266)</f>
        <v>2.7461929027563177E-2</v>
      </c>
      <c r="W42" s="168">
        <f>'Ethylene Recycling HC'!V289/('Ethylene Recycling HC'!V$266)</f>
        <v>2.654222758721091E-2</v>
      </c>
      <c r="X42" s="168">
        <f>'Ethylene Recycling HC'!W289/('Ethylene Recycling HC'!W$266)</f>
        <v>2.5640141617600396E-2</v>
      </c>
      <c r="Y42" s="168">
        <f>'Ethylene Recycling HC'!X289/('Ethylene Recycling HC'!X$266)</f>
        <v>2.4458131818363246E-2</v>
      </c>
      <c r="Z42" s="168">
        <f>'Ethylene Recycling HC'!Y289/('Ethylene Recycling HC'!Y$266)</f>
        <v>2.3305819825278698E-2</v>
      </c>
      <c r="AA42" s="168">
        <f>'Ethylene Recycling HC'!Z289/('Ethylene Recycling HC'!Z$266)</f>
        <v>2.2183085788146081E-2</v>
      </c>
      <c r="AB42" s="168">
        <f>'Ethylene Recycling HC'!AA289/('Ethylene Recycling HC'!AA$266)</f>
        <v>2.1089674540224E-2</v>
      </c>
      <c r="AC42" s="168">
        <f>'Ethylene Recycling HC'!AB289/('Ethylene Recycling HC'!AB$266)</f>
        <v>2.0025407111396106E-2</v>
      </c>
      <c r="AD42" s="168">
        <f>'Ethylene Recycling HC'!AC289/('Ethylene Recycling HC'!AC$266)</f>
        <v>1.8990104479562876E-2</v>
      </c>
      <c r="AE42" s="168">
        <f>'Ethylene Recycling HC'!AD289/('Ethylene Recycling HC'!AD$266)</f>
        <v>1.7983587570661395E-2</v>
      </c>
      <c r="AF42" s="168">
        <f>'Ethylene Recycling HC'!AE289/('Ethylene Recycling HC'!AE$266)</f>
        <v>1.7005677258685105E-2</v>
      </c>
      <c r="AG42" s="168">
        <f>'Ethylene Recycling HC'!AF289/('Ethylene Recycling HC'!AF$266)</f>
        <v>1.6056194365703554E-2</v>
      </c>
      <c r="AH42" s="168">
        <f>'Ethylene Recycling HC'!AG289/('Ethylene Recycling HC'!AG$266)</f>
        <v>1.5134959661882193E-2</v>
      </c>
      <c r="AI42" s="44"/>
      <c r="AJ42" s="168">
        <f>'Ethylene Recycling LC'!C247/('Ethylene Recycling LC'!C$224)</f>
        <v>4.3779519876112581E-2</v>
      </c>
      <c r="AK42" s="168">
        <f>'Ethylene Recycling LC'!D247/('Ethylene Recycling LC'!D$224)</f>
        <v>4.2908283091467499E-2</v>
      </c>
      <c r="AL42" s="168">
        <f>'Ethylene Recycling LC'!E247/('Ethylene Recycling LC'!E$224)</f>
        <v>4.2046064351825722E-2</v>
      </c>
      <c r="AM42" s="168">
        <f>'Ethylene Recycling LC'!F247/('Ethylene Recycling LC'!F$224)</f>
        <v>4.1192812389717261E-2</v>
      </c>
      <c r="AN42" s="168">
        <f>'Ethylene Recycling LC'!G247/('Ethylene Recycling LC'!G$224)</f>
        <v>4.0348475937672088E-2</v>
      </c>
      <c r="AO42" s="168">
        <f>'Ethylene Recycling LC'!H247/('Ethylene Recycling LC'!H$224)</f>
        <v>3.9513003728220239E-2</v>
      </c>
      <c r="AP42" s="168">
        <f>'Ethylene Recycling LC'!I247/('Ethylene Recycling LC'!I$224)</f>
        <v>3.8686344493891675E-2</v>
      </c>
      <c r="AQ42" s="168">
        <f>'Ethylene Recycling LC'!J247/('Ethylene Recycling LC'!J$224)</f>
        <v>3.7868446967216418E-2</v>
      </c>
      <c r="AR42" s="168">
        <f>'Ethylene Recycling LC'!K247/('Ethylene Recycling LC'!K$224)</f>
        <v>3.7059259880724456E-2</v>
      </c>
      <c r="AS42" s="168">
        <f>'Ethylene Recycling LC'!L247/('Ethylene Recycling LC'!L$224)</f>
        <v>3.6258731966945783E-2</v>
      </c>
      <c r="AT42" s="168">
        <f>'Ethylene Recycling LC'!M247/('Ethylene Recycling LC'!M$224)</f>
        <v>3.5466811958410414E-2</v>
      </c>
      <c r="AU42" s="168">
        <f>'Ethylene Recycling LC'!N247/('Ethylene Recycling LC'!N$224)</f>
        <v>3.4402205886506727E-2</v>
      </c>
      <c r="AV42" s="168">
        <f>'Ethylene Recycling LC'!O247/('Ethylene Recycling LC'!O$224)</f>
        <v>3.3356086579542282E-2</v>
      </c>
      <c r="AW42" s="168">
        <f>'Ethylene Recycling LC'!P247/('Ethylene Recycling LC'!P$224)</f>
        <v>3.2328296332053807E-2</v>
      </c>
      <c r="AX42" s="168">
        <f>'Ethylene Recycling LC'!Q247/('Ethylene Recycling LC'!Q$224)</f>
        <v>3.1318756463468725E-2</v>
      </c>
      <c r="AY42" s="168">
        <f>'Ethylene Recycling LC'!R247/('Ethylene Recycling LC'!R$224)</f>
        <v>3.0327360277776483E-2</v>
      </c>
      <c r="AZ42" s="168">
        <f>'Ethylene Recycling LC'!S247/('Ethylene Recycling LC'!S$224)</f>
        <v>2.9354001060003129E-2</v>
      </c>
      <c r="BA42" s="168">
        <f>'Ethylene Recycling LC'!T247/('Ethylene Recycling LC'!T$224)</f>
        <v>2.839857207621271E-2</v>
      </c>
      <c r="BB42" s="168">
        <f>'Ethylene Recycling LC'!U247/('Ethylene Recycling LC'!U$224)</f>
        <v>2.7460966573508747E-2</v>
      </c>
      <c r="BC42" s="168">
        <f>'Ethylene Recycling LC'!V247/('Ethylene Recycling LC'!V$224)</f>
        <v>2.6541077780035671E-2</v>
      </c>
      <c r="BD42" s="168">
        <f>'Ethylene Recycling LC'!W247/('Ethylene Recycling LC'!W$224)</f>
        <v>2.5638798904980248E-2</v>
      </c>
      <c r="BE42" s="168">
        <f>'Ethylene Recycling LC'!X247/('Ethylene Recycling LC'!X$224)</f>
        <v>2.4456550692566699E-2</v>
      </c>
      <c r="BF42" s="168">
        <f>'Ethylene Recycling LC'!Y247/('Ethylene Recycling LC'!Y$224)</f>
        <v>2.3303989125842143E-2</v>
      </c>
      <c r="BG42" s="168">
        <f>'Ethylene Recycling LC'!Z247/('Ethylene Recycling LC'!Z$224)</f>
        <v>2.218099578654718E-2</v>
      </c>
      <c r="BH42" s="168">
        <f>'Ethylene Recycling LC'!AA247/('Ethylene Recycling LC'!AA$224)</f>
        <v>2.108731674137404E-2</v>
      </c>
      <c r="BI42" s="168">
        <f>'Ethylene Recycling LC'!AB247/('Ethylene Recycling LC'!AB$224)</f>
        <v>2.002277432506688E-2</v>
      </c>
      <c r="BJ42" s="168">
        <f>'Ethylene Recycling LC'!AC247/('Ethylene Recycling LC'!AC$224)</f>
        <v>1.8987190809164185E-2</v>
      </c>
      <c r="BK42" s="168">
        <f>'Ethylene Recycling LC'!AD247/('Ethylene Recycling LC'!AD$224)</f>
        <v>1.7980388402018009E-2</v>
      </c>
      <c r="BL42" s="168">
        <f>'Ethylene Recycling LC'!AE247/('Ethylene Recycling LC'!AE$224)</f>
        <v>1.7002189248813214E-2</v>
      </c>
      <c r="BM42" s="168">
        <f>'Ethylene Recycling LC'!AF247/('Ethylene Recycling LC'!AF$224)</f>
        <v>1.6052415431586704E-2</v>
      </c>
      <c r="BN42" s="168">
        <f>'Ethylene Recycling LC'!AG247/('Ethylene Recycling LC'!AG$224)</f>
        <v>1.5130888969246631E-2</v>
      </c>
      <c r="BP42" s="168">
        <f>'Ethylene Recycling HC'!C265/('Ethylene Recycling HC'!C$256)</f>
        <v>4.3779519876112581E-2</v>
      </c>
      <c r="BQ42" s="168">
        <f>'Ethylene Recycling HC'!D265/('Ethylene Recycling HC'!D$256)</f>
        <v>4.4524348367157331E-2</v>
      </c>
      <c r="BR42" s="168">
        <f>'Ethylene Recycling HC'!E265/('Ethylene Recycling HC'!E$256)</f>
        <v>4.5254210714033717E-2</v>
      </c>
      <c r="BS42" s="168">
        <f>'Ethylene Recycling HC'!F265/('Ethylene Recycling HC'!F$256)</f>
        <v>4.5969055747689537E-2</v>
      </c>
      <c r="BT42" s="168">
        <f>'Ethylene Recycling HC'!G265/('Ethylene Recycling HC'!G$256)</f>
        <v>4.6668724797601334E-2</v>
      </c>
      <c r="BU42" s="168">
        <f>'Ethylene Recycling HC'!H265/('Ethylene Recycling HC'!H$256)</f>
        <v>4.7352949410756059E-2</v>
      </c>
      <c r="BV42" s="168">
        <f>'Ethylene Recycling HC'!I265/('Ethylene Recycling HC'!I$256)</f>
        <v>4.8035079792976616E-2</v>
      </c>
      <c r="BW42" s="168">
        <f>'Ethylene Recycling HC'!J265/('Ethylene Recycling HC'!J$256)</f>
        <v>4.871503566950456E-2</v>
      </c>
      <c r="BX42" s="168">
        <f>'Ethylene Recycling HC'!K265/('Ethylene Recycling HC'!K$256)</f>
        <v>4.9392734713043736E-2</v>
      </c>
      <c r="BY42" s="168">
        <f>'Ethylene Recycling HC'!L265/('Ethylene Recycling HC'!L$256)</f>
        <v>5.0068092338373053E-2</v>
      </c>
      <c r="BZ42" s="168">
        <f>'Ethylene Recycling HC'!M265/('Ethylene Recycling HC'!M$256)</f>
        <v>5.0741021493431009E-2</v>
      </c>
      <c r="CA42" s="168">
        <f>'Ethylene Recycling HC'!N265/('Ethylene Recycling HC'!N$256)</f>
        <v>5.1401896555392061E-2</v>
      </c>
      <c r="CB42" s="168">
        <f>'Ethylene Recycling HC'!O265/('Ethylene Recycling HC'!O$256)</f>
        <v>5.2050279305604727E-2</v>
      </c>
      <c r="CC42" s="168">
        <f>'Ethylene Recycling HC'!P265/('Ethylene Recycling HC'!P$256)</f>
        <v>5.2685659912955207E-2</v>
      </c>
      <c r="CD42" s="168">
        <f>'Ethylene Recycling HC'!Q265/('Ethylene Recycling HC'!Q$256)</f>
        <v>5.3307451836572442E-2</v>
      </c>
      <c r="CE42" s="168">
        <f>'Ethylene Recycling HC'!R265/('Ethylene Recycling HC'!R$256)</f>
        <v>5.3914985958826697E-2</v>
      </c>
      <c r="CF42" s="168">
        <f>'Ethylene Recycling HC'!S265/('Ethylene Recycling HC'!S$256)</f>
        <v>5.4520499012279421E-2</v>
      </c>
      <c r="CG42" s="168">
        <f>'Ethylene Recycling HC'!T265/('Ethylene Recycling HC'!T$256)</f>
        <v>5.5123937942442761E-2</v>
      </c>
      <c r="CH42" s="168">
        <f>'Ethylene Recycling HC'!U265/('Ethylene Recycling HC'!U$256)</f>
        <v>5.5725248468416685E-2</v>
      </c>
      <c r="CI42" s="168">
        <f>'Ethylene Recycling HC'!V265/('Ethylene Recycling HC'!V$256)</f>
        <v>5.6324375045173042E-2</v>
      </c>
      <c r="CJ42" s="168">
        <f>'Ethylene Recycling HC'!W265/('Ethylene Recycling HC'!W$256)</f>
        <v>5.6921260824745051E-2</v>
      </c>
      <c r="CK42" s="168">
        <f>'Ethylene Recycling HC'!X265/('Ethylene Recycling HC'!X$256)</f>
        <v>5.7515934454628138E-2</v>
      </c>
      <c r="CL42" s="168">
        <f>'Ethylene Recycling HC'!Y265/('Ethylene Recycling HC'!Y$256)</f>
        <v>5.8108341153384375E-2</v>
      </c>
      <c r="CM42" s="168">
        <f>'Ethylene Recycling HC'!Z265/('Ethylene Recycling HC'!Z$256)</f>
        <v>5.869842487946051E-2</v>
      </c>
      <c r="CN42" s="168">
        <f>'Ethylene Recycling HC'!AA265/('Ethylene Recycling HC'!AA$256)</f>
        <v>5.9286128294603391E-2</v>
      </c>
      <c r="CO42" s="168">
        <f>'Ethylene Recycling HC'!AB265/('Ethylene Recycling HC'!AB$256)</f>
        <v>5.9871392726233139E-2</v>
      </c>
      <c r="CP42" s="168">
        <f>'Ethylene Recycling HC'!AC265/('Ethylene Recycling HC'!AC$256)</f>
        <v>6.0454239552667023E-2</v>
      </c>
      <c r="CQ42" s="168">
        <f>'Ethylene Recycling HC'!AD265/('Ethylene Recycling HC'!AD$256)</f>
        <v>6.1034611765840616E-2</v>
      </c>
      <c r="CR42" s="168">
        <f>'Ethylene Recycling HC'!AE265/('Ethylene Recycling HC'!AE$256)</f>
        <v>6.1612451057866807E-2</v>
      </c>
      <c r="CS42" s="168">
        <f>'Ethylene Recycling HC'!AF265/('Ethylene Recycling HC'!AF$256)</f>
        <v>6.2187697785076726E-2</v>
      </c>
      <c r="CT42" s="168">
        <f>'Ethylene Recycling HC'!AG265/('Ethylene Recycling HC'!AG$256)</f>
        <v>6.2760290931057963E-2</v>
      </c>
      <c r="CV42" s="168">
        <f t="shared" si="194"/>
        <v>4.3779519876112581E-2</v>
      </c>
      <c r="CW42" s="168">
        <f t="shared" si="193"/>
        <v>4.2908283091467499E-2</v>
      </c>
      <c r="CX42" s="168">
        <f t="shared" si="193"/>
        <v>4.2046064351825722E-2</v>
      </c>
      <c r="CY42" s="168">
        <f t="shared" si="193"/>
        <v>4.1192812389717261E-2</v>
      </c>
      <c r="CZ42" s="168">
        <f t="shared" si="193"/>
        <v>4.0348475937672088E-2</v>
      </c>
      <c r="DA42" s="168">
        <f t="shared" si="193"/>
        <v>3.9513003728220239E-2</v>
      </c>
      <c r="DB42" s="168">
        <f t="shared" si="193"/>
        <v>3.8686344493891675E-2</v>
      </c>
      <c r="DC42" s="168">
        <f t="shared" si="193"/>
        <v>3.7868446967216418E-2</v>
      </c>
      <c r="DD42" s="168">
        <f t="shared" si="193"/>
        <v>3.7059259880724456E-2</v>
      </c>
      <c r="DE42" s="168">
        <f t="shared" si="193"/>
        <v>3.6258731966945783E-2</v>
      </c>
      <c r="DF42" s="168">
        <f t="shared" si="193"/>
        <v>3.5466811958410414E-2</v>
      </c>
      <c r="DG42" s="168">
        <f t="shared" si="193"/>
        <v>3.4402205886506727E-2</v>
      </c>
      <c r="DH42" s="168">
        <f t="shared" si="193"/>
        <v>3.3356086579542282E-2</v>
      </c>
      <c r="DI42" s="168">
        <f t="shared" si="193"/>
        <v>3.2328158374539076E-2</v>
      </c>
      <c r="DJ42" s="168">
        <f t="shared" si="193"/>
        <v>3.1318469267345793E-2</v>
      </c>
      <c r="DK42" s="168">
        <f t="shared" si="193"/>
        <v>3.0326912773705035E-2</v>
      </c>
      <c r="DL42" s="168">
        <f t="shared" si="193"/>
        <v>2.9353382441824689E-2</v>
      </c>
      <c r="DM42" s="168">
        <f t="shared" si="193"/>
        <v>2.8397772125728096E-2</v>
      </c>
      <c r="DN42" s="168">
        <f t="shared" si="193"/>
        <v>2.7459975889482381E-2</v>
      </c>
      <c r="DO42" s="168">
        <f t="shared" si="193"/>
        <v>2.653988803654514E-2</v>
      </c>
      <c r="DP42" s="168">
        <f t="shared" si="193"/>
        <v>2.5637402989990423E-2</v>
      </c>
      <c r="DQ42" s="168">
        <f t="shared" si="193"/>
        <v>2.4454899135749303E-2</v>
      </c>
      <c r="DR42" s="168">
        <f t="shared" si="193"/>
        <v>2.3302068747323414E-2</v>
      </c>
      <c r="DS42" s="168">
        <f t="shared" si="193"/>
        <v>2.2178194515204353E-2</v>
      </c>
      <c r="DT42" s="168">
        <f t="shared" si="193"/>
        <v>2.1083578206666908E-2</v>
      </c>
      <c r="DU42" s="168">
        <f t="shared" si="193"/>
        <v>2.001804635339665E-2</v>
      </c>
      <c r="DV42" s="168">
        <f t="shared" si="193"/>
        <v>1.8981423925201427E-2</v>
      </c>
      <c r="DW42" s="168">
        <f t="shared" si="193"/>
        <v>1.7973533906222847E-2</v>
      </c>
      <c r="DX42" s="168">
        <f t="shared" si="193"/>
        <v>1.6994197295751242E-2</v>
      </c>
      <c r="DY42" s="168">
        <f t="shared" si="193"/>
        <v>1.6043234009317425E-2</v>
      </c>
      <c r="DZ42" s="168">
        <f t="shared" si="193"/>
        <v>1.5120464881364039E-2</v>
      </c>
    </row>
    <row r="43" spans="1:165" s="624" customFormat="1" ht="16" thickBot="1">
      <c r="A43" s="623" t="s">
        <v>463</v>
      </c>
      <c r="C43" s="625" t="s">
        <v>413</v>
      </c>
      <c r="D43" s="627">
        <f>SUMPRODUCT(D24:D32,D34:D42)</f>
        <v>0.93492203464847856</v>
      </c>
      <c r="E43" s="627">
        <f t="shared" ref="E43:AH43" si="195">SUMPRODUCT(E24:E32,E34:E42)</f>
        <v>0.93373902032321221</v>
      </c>
      <c r="F43" s="627">
        <f t="shared" si="195"/>
        <v>0.93276730919333439</v>
      </c>
      <c r="G43" s="627">
        <f t="shared" si="195"/>
        <v>0.93199108124423558</v>
      </c>
      <c r="H43" s="627">
        <f t="shared" si="195"/>
        <v>0.93138599067738648</v>
      </c>
      <c r="I43" s="627">
        <f t="shared" si="195"/>
        <v>0.93091086619462171</v>
      </c>
      <c r="J43" s="627">
        <f t="shared" si="195"/>
        <v>0.93049210174700625</v>
      </c>
      <c r="K43" s="627">
        <f t="shared" si="195"/>
        <v>0.9299954451134953</v>
      </c>
      <c r="L43" s="627">
        <f t="shared" si="195"/>
        <v>0.92917790353902863</v>
      </c>
      <c r="M43" s="627">
        <f t="shared" si="195"/>
        <v>0.92761275556390177</v>
      </c>
      <c r="N43" s="627">
        <f t="shared" si="195"/>
        <v>0.92459118142957619</v>
      </c>
      <c r="O43" s="627">
        <f t="shared" si="195"/>
        <v>0.91397679908441587</v>
      </c>
      <c r="P43" s="627">
        <f t="shared" si="195"/>
        <v>0.89909379533196054</v>
      </c>
      <c r="Q43" s="627">
        <f t="shared" si="195"/>
        <v>0.87827848374871365</v>
      </c>
      <c r="R43" s="627">
        <f t="shared" si="195"/>
        <v>0.85009737602566182</v>
      </c>
      <c r="S43" s="627">
        <f t="shared" si="195"/>
        <v>0.81419879448309418</v>
      </c>
      <c r="T43" s="627">
        <f t="shared" si="195"/>
        <v>0.77138764601566079</v>
      </c>
      <c r="U43" s="627">
        <f t="shared" si="195"/>
        <v>0.72377243156450621</v>
      </c>
      <c r="V43" s="627">
        <f t="shared" si="195"/>
        <v>0.67425120717986364</v>
      </c>
      <c r="W43" s="627">
        <f t="shared" si="195"/>
        <v>0.6255967406375823</v>
      </c>
      <c r="X43" s="627">
        <f t="shared" si="195"/>
        <v>0.57981774360225491</v>
      </c>
      <c r="Y43" s="627">
        <f t="shared" si="195"/>
        <v>0.53367638176179066</v>
      </c>
      <c r="Z43" s="627">
        <f t="shared" si="195"/>
        <v>0.49204986076015667</v>
      </c>
      <c r="AA43" s="627">
        <f t="shared" si="195"/>
        <v>0.45445654560366983</v>
      </c>
      <c r="AB43" s="627">
        <f t="shared" si="195"/>
        <v>0.42018649798464403</v>
      </c>
      <c r="AC43" s="627">
        <f t="shared" si="195"/>
        <v>0.38849733905765171</v>
      </c>
      <c r="AD43" s="627">
        <f t="shared" si="195"/>
        <v>0.35870515771092165</v>
      </c>
      <c r="AE43" s="627">
        <f t="shared" si="195"/>
        <v>0.33020471789297817</v>
      </c>
      <c r="AF43" s="627">
        <f t="shared" si="195"/>
        <v>0.30245238207966774</v>
      </c>
      <c r="AG43" s="627">
        <f t="shared" si="195"/>
        <v>0.27494699135973649</v>
      </c>
      <c r="AH43" s="627">
        <f t="shared" si="195"/>
        <v>0.24723869872862056</v>
      </c>
      <c r="AI43" s="626"/>
      <c r="AJ43" s="627">
        <f>SUMPRODUCT(AJ24:AJ32,AJ34:AJ42)</f>
        <v>0.93492146414365851</v>
      </c>
      <c r="AK43" s="627">
        <f t="shared" ref="AK43" si="196">SUMPRODUCT(AK24:AK32,AK34:AK42)</f>
        <v>0.93373792600494165</v>
      </c>
      <c r="AL43" s="627">
        <f t="shared" ref="AL43" si="197">SUMPRODUCT(AL24:AL32,AL34:AL42)</f>
        <v>0.93276522005089402</v>
      </c>
      <c r="AM43" s="627">
        <f t="shared" ref="AM43" si="198">SUMPRODUCT(AM24:AM32,AM34:AM42)</f>
        <v>0.93198711555078484</v>
      </c>
      <c r="AN43" s="627">
        <f t="shared" ref="AN43" si="199">SUMPRODUCT(AN24:AN32,AN34:AN42)</f>
        <v>0.93137851513444136</v>
      </c>
      <c r="AO43" s="627">
        <f t="shared" ref="AO43" si="200">SUMPRODUCT(AO24:AO32,AO34:AO42)</f>
        <v>0.93089689609248072</v>
      </c>
      <c r="AP43" s="627">
        <f t="shared" ref="AP43" si="201">SUMPRODUCT(AP24:AP32,AP34:AP42)</f>
        <v>0.93046627840821261</v>
      </c>
      <c r="AQ43" s="627">
        <f t="shared" ref="AQ43" si="202">SUMPRODUCT(AQ24:AQ32,AQ34:AQ42)</f>
        <v>0.92994836805885206</v>
      </c>
      <c r="AR43" s="627">
        <f t="shared" ref="AR43" si="203">SUMPRODUCT(AR24:AR32,AR34:AR42)</f>
        <v>0.92909357469913556</v>
      </c>
      <c r="AS43" s="627">
        <f t="shared" ref="AS43" si="204">SUMPRODUCT(AS24:AS32,AS34:AS42)</f>
        <v>0.92746500020097145</v>
      </c>
      <c r="AT43" s="627">
        <f t="shared" ref="AT43" si="205">SUMPRODUCT(AT24:AT32,AT34:AT42)</f>
        <v>0.92433818194055828</v>
      </c>
      <c r="AU43" s="627">
        <f t="shared" ref="AU43" si="206">SUMPRODUCT(AU24:AU32,AU34:AU42)</f>
        <v>0.9135834075360223</v>
      </c>
      <c r="AV43" s="627">
        <f t="shared" ref="AV43" si="207">SUMPRODUCT(AV24:AV32,AV34:AV42)</f>
        <v>0.89850305233059724</v>
      </c>
      <c r="AW43" s="627">
        <f t="shared" ref="AW43" si="208">SUMPRODUCT(AW24:AW32,AW34:AW42)</f>
        <v>0.87742606079462937</v>
      </c>
      <c r="AX43" s="627">
        <f t="shared" ref="AX43" si="209">SUMPRODUCT(AX24:AX32,AX34:AX42)</f>
        <v>0.84892318833935498</v>
      </c>
      <c r="AY43" s="627">
        <f t="shared" ref="AY43" si="210">SUMPRODUCT(AY24:AY32,AY34:AY42)</f>
        <v>0.81256262643120025</v>
      </c>
      <c r="AZ43" s="627">
        <f t="shared" ref="AZ43" si="211">SUMPRODUCT(AZ24:AZ32,AZ34:AZ42)</f>
        <v>0.76917022271021596</v>
      </c>
      <c r="BA43" s="627">
        <f t="shared" ref="BA43" si="212">SUMPRODUCT(BA24:BA32,BA34:BA42)</f>
        <v>0.72091397729376938</v>
      </c>
      <c r="BB43" s="627">
        <f t="shared" ref="BB43" si="213">SUMPRODUCT(BB24:BB32,BB34:BB42)</f>
        <v>0.67074970293685654</v>
      </c>
      <c r="BC43" s="627">
        <f t="shared" ref="BC43" si="214">SUMPRODUCT(BC24:BC32,BC34:BC42)</f>
        <v>0.6215211290406597</v>
      </c>
      <c r="BD43" s="627">
        <f t="shared" ref="BD43" si="215">SUMPRODUCT(BD24:BD32,BD34:BD42)</f>
        <v>0.57530301380761917</v>
      </c>
      <c r="BE43" s="627">
        <f t="shared" ref="BE43" si="216">SUMPRODUCT(BE24:BE32,BE34:BE42)</f>
        <v>0.52876559626772468</v>
      </c>
      <c r="BF43" s="627">
        <f t="shared" ref="BF43" si="217">SUMPRODUCT(BF24:BF32,BF34:BF42)</f>
        <v>0.48695030955603646</v>
      </c>
      <c r="BG43" s="627">
        <f t="shared" ref="BG43" si="218">SUMPRODUCT(BG24:BG32,BG34:BG42)</f>
        <v>0.44938432035201209</v>
      </c>
      <c r="BH43" s="627">
        <f t="shared" ref="BH43" si="219">SUMPRODUCT(BH24:BH32,BH34:BH42)</f>
        <v>0.41534725803522549</v>
      </c>
      <c r="BI43" s="627">
        <f t="shared" ref="BI43" si="220">SUMPRODUCT(BI24:BI32,BI34:BI42)</f>
        <v>0.38407768384454438</v>
      </c>
      <c r="BJ43" s="627">
        <f t="shared" ref="BJ43" si="221">SUMPRODUCT(BJ24:BJ32,BJ34:BJ42)</f>
        <v>0.35487580897681725</v>
      </c>
      <c r="BK43" s="627">
        <f t="shared" ref="BK43" si="222">SUMPRODUCT(BK24:BK32,BK34:BK42)</f>
        <v>0.32713616783362637</v>
      </c>
      <c r="BL43" s="627">
        <f t="shared" ref="BL43" si="223">SUMPRODUCT(BL24:BL32,BL34:BL42)</f>
        <v>0.30034131777903955</v>
      </c>
      <c r="BM43" s="627">
        <f t="shared" ref="BM43" si="224">SUMPRODUCT(BM24:BM32,BM34:BM42)</f>
        <v>0.27404583361323342</v>
      </c>
      <c r="BN43" s="627">
        <f t="shared" ref="BN43" si="225">SUMPRODUCT(BN24:BN32,BN34:BN42)</f>
        <v>0.24787324949564121</v>
      </c>
      <c r="BP43" s="627">
        <f>SUMPRODUCT(BP24:BP32,BP34:BP42)</f>
        <v>0.93492899236244886</v>
      </c>
      <c r="BQ43" s="627">
        <f t="shared" ref="BQ43" si="226">SUMPRODUCT(BQ24:BQ32,BQ34:BQ42)</f>
        <v>0.9463595019173191</v>
      </c>
      <c r="BR43" s="627">
        <f t="shared" ref="BR43" si="227">SUMPRODUCT(BR24:BR32,BR34:BR42)</f>
        <v>0.9576485925190914</v>
      </c>
      <c r="BS43" s="627">
        <f t="shared" ref="BS43" si="228">SUMPRODUCT(BS24:BS32,BS34:BS42)</f>
        <v>0.96879150867990382</v>
      </c>
      <c r="BT43" s="627">
        <f t="shared" ref="BT43" si="229">SUMPRODUCT(BT24:BT32,BT34:BT42)</f>
        <v>0.97978256146405163</v>
      </c>
      <c r="BU43" s="627">
        <f t="shared" ref="BU43" si="230">SUMPRODUCT(BU24:BU32,BU34:BU42)</f>
        <v>0.99061504922470001</v>
      </c>
      <c r="BV43" s="627">
        <f t="shared" ref="BV43" si="231">SUMPRODUCT(BV24:BV32,BV34:BV42)</f>
        <v>1.0014302314659815</v>
      </c>
      <c r="BW43" s="627">
        <f t="shared" ref="BW43" si="232">SUMPRODUCT(BW24:BW32,BW34:BW42)</f>
        <v>1.0122265741123453</v>
      </c>
      <c r="BX43" s="627">
        <f t="shared" ref="BX43" si="233">SUMPRODUCT(BX24:BX32,BX34:BX42)</f>
        <v>1.0230025331020887</v>
      </c>
      <c r="BY43" s="627">
        <f t="shared" ref="BY43" si="234">SUMPRODUCT(BY24:BY32,BY34:BY42)</f>
        <v>1.0337565506184438</v>
      </c>
      <c r="BZ43" s="627">
        <f t="shared" ref="BZ43" si="235">SUMPRODUCT(BZ24:BZ32,BZ34:BZ42)</f>
        <v>1.0444870513164777</v>
      </c>
      <c r="CA43" s="627">
        <f t="shared" ref="CA43" si="236">SUMPRODUCT(CA24:CA32,CA34:CA42)</f>
        <v>1.0550857507401368</v>
      </c>
      <c r="CB43" s="627">
        <f t="shared" ref="CB43" si="237">SUMPRODUCT(CB24:CB32,CB34:CB42)</f>
        <v>1.0655453775565595</v>
      </c>
      <c r="CC43" s="627">
        <f t="shared" ref="CC43" si="238">SUMPRODUCT(CC24:CC32,CC34:CC42)</f>
        <v>1.0758578606009033</v>
      </c>
      <c r="CD43" s="627">
        <f t="shared" ref="CD43" si="239">SUMPRODUCT(CD24:CD32,CD34:CD42)</f>
        <v>1.0860142493309548</v>
      </c>
      <c r="CE43" s="627">
        <f t="shared" ref="CE43" si="240">SUMPRODUCT(CE24:CE32,CE34:CE42)</f>
        <v>1.0960046252960649</v>
      </c>
      <c r="CF43" s="627">
        <f t="shared" ref="CF43" si="241">SUMPRODUCT(CF24:CF32,CF34:CF42)</f>
        <v>1.1059672047980778</v>
      </c>
      <c r="CG43" s="627">
        <f t="shared" ref="CG43" si="242">SUMPRODUCT(CG24:CG32,CG34:CG42)</f>
        <v>1.1159012069240144</v>
      </c>
      <c r="CH43" s="627">
        <f t="shared" ref="CH43" si="243">SUMPRODUCT(CH24:CH32,CH34:CH42)</f>
        <v>1.12580583308339</v>
      </c>
      <c r="CI43" s="627">
        <f t="shared" ref="CI43" si="244">SUMPRODUCT(CI24:CI32,CI34:CI42)</f>
        <v>1.135680266448742</v>
      </c>
      <c r="CJ43" s="627">
        <f t="shared" ref="CJ43" si="245">SUMPRODUCT(CJ24:CJ32,CJ34:CJ42)</f>
        <v>1.1455236713800416</v>
      </c>
      <c r="CK43" s="627">
        <f t="shared" ref="CK43" si="246">SUMPRODUCT(CK24:CK32,CK34:CK42)</f>
        <v>1.1553362124642714</v>
      </c>
      <c r="CL43" s="627">
        <f t="shared" ref="CL43" si="247">SUMPRODUCT(CL24:CL32,CL34:CL42)</f>
        <v>1.1651170838233047</v>
      </c>
      <c r="CM43" s="627">
        <f t="shared" ref="CM43" si="248">SUMPRODUCT(CM24:CM32,CM34:CM42)</f>
        <v>1.1748654612608997</v>
      </c>
      <c r="CN43" s="627">
        <f t="shared" ref="CN43" si="249">SUMPRODUCT(CN24:CN32,CN34:CN42)</f>
        <v>1.1845805017192972</v>
      </c>
      <c r="CO43" s="627">
        <f t="shared" ref="CO43" si="250">SUMPRODUCT(CO24:CO32,CO34:CO42)</f>
        <v>1.1942613427203839</v>
      </c>
      <c r="CP43" s="627">
        <f t="shared" ref="CP43" si="251">SUMPRODUCT(CP24:CP32,CP34:CP42)</f>
        <v>1.2039080768000934</v>
      </c>
      <c r="CQ43" s="627">
        <f t="shared" ref="CQ43" si="252">SUMPRODUCT(CQ24:CQ32,CQ34:CQ42)</f>
        <v>1.2135198650383663</v>
      </c>
      <c r="CR43" s="627">
        <f t="shared" ref="CR43" si="253">SUMPRODUCT(CR24:CR32,CR34:CR42)</f>
        <v>1.2230958494948914</v>
      </c>
      <c r="CS43" s="627">
        <f t="shared" ref="CS43" si="254">SUMPRODUCT(CS24:CS32,CS34:CS42)</f>
        <v>1.2326351526740549</v>
      </c>
      <c r="CT43" s="627">
        <f t="shared" ref="CT43" si="255">SUMPRODUCT(CT24:CT32,CT34:CT42)</f>
        <v>1.2421368769749814</v>
      </c>
      <c r="CV43" s="627">
        <f>SUMPRODUCT(CV24:CV32,CV34:CV42)</f>
        <v>0.93492146414365851</v>
      </c>
      <c r="CW43" s="627">
        <f t="shared" ref="CW43:DZ43" si="256">SUMPRODUCT(CW24:CW32,CW34:CW42)</f>
        <v>0.93373792600494165</v>
      </c>
      <c r="CX43" s="627">
        <f t="shared" si="256"/>
        <v>0.93276522005089402</v>
      </c>
      <c r="CY43" s="627">
        <f t="shared" si="256"/>
        <v>0.93198711555078484</v>
      </c>
      <c r="CZ43" s="627">
        <f t="shared" si="256"/>
        <v>0.93137851513444136</v>
      </c>
      <c r="DA43" s="627">
        <f t="shared" si="256"/>
        <v>0.93089689609248072</v>
      </c>
      <c r="DB43" s="627">
        <f t="shared" si="256"/>
        <v>0.93046627840821261</v>
      </c>
      <c r="DC43" s="627">
        <f t="shared" si="256"/>
        <v>0.92994836805885206</v>
      </c>
      <c r="DD43" s="627">
        <f t="shared" si="256"/>
        <v>0.92909357469913556</v>
      </c>
      <c r="DE43" s="627">
        <f t="shared" si="256"/>
        <v>0.92746500020097145</v>
      </c>
      <c r="DF43" s="627">
        <f t="shared" si="256"/>
        <v>0.92433818194055828</v>
      </c>
      <c r="DG43" s="627">
        <f t="shared" si="256"/>
        <v>0.9135834075360223</v>
      </c>
      <c r="DH43" s="627">
        <f t="shared" si="256"/>
        <v>0.89850305233059724</v>
      </c>
      <c r="DI43" s="627">
        <f t="shared" si="256"/>
        <v>0.87742350731696617</v>
      </c>
      <c r="DJ43" s="627">
        <f t="shared" si="256"/>
        <v>0.84891783660748887</v>
      </c>
      <c r="DK43" s="627">
        <f t="shared" si="256"/>
        <v>0.81255435916798502</v>
      </c>
      <c r="DL43" s="627">
        <f t="shared" si="256"/>
        <v>0.76915906086173402</v>
      </c>
      <c r="DM43" s="627">
        <f t="shared" si="256"/>
        <v>0.72090004830700283</v>
      </c>
      <c r="DN43" s="627">
        <f t="shared" si="256"/>
        <v>0.67073317569757451</v>
      </c>
      <c r="DO43" s="627">
        <f t="shared" si="256"/>
        <v>0.62150214024873107</v>
      </c>
      <c r="DP43" s="627">
        <f t="shared" si="256"/>
        <v>0.57528161378917042</v>
      </c>
      <c r="DQ43" s="627">
        <f t="shared" si="256"/>
        <v>0.52874108290644095</v>
      </c>
      <c r="DR43" s="627">
        <f t="shared" si="256"/>
        <v>0.48692242504480848</v>
      </c>
      <c r="DS43" s="627">
        <f t="shared" si="256"/>
        <v>0.44934409055223351</v>
      </c>
      <c r="DT43" s="627">
        <f t="shared" si="256"/>
        <v>0.41529360948546662</v>
      </c>
      <c r="DU43" s="627">
        <f t="shared" si="256"/>
        <v>0.38400928549859353</v>
      </c>
      <c r="DV43" s="627">
        <f t="shared" si="256"/>
        <v>0.35479108830903938</v>
      </c>
      <c r="DW43" s="627">
        <f t="shared" si="256"/>
        <v>0.32703331308633393</v>
      </c>
      <c r="DX43" s="627">
        <f t="shared" si="256"/>
        <v>0.30021826194830525</v>
      </c>
      <c r="DY43" s="627">
        <f t="shared" si="256"/>
        <v>0.27390023261404789</v>
      </c>
      <c r="DZ43" s="627">
        <f t="shared" si="256"/>
        <v>0.24770248275868756</v>
      </c>
      <c r="EK43" s="627"/>
      <c r="EL43" s="627"/>
      <c r="EM43" s="627"/>
      <c r="EN43" s="627"/>
      <c r="EO43" s="627"/>
      <c r="EP43" s="627"/>
      <c r="EQ43" s="627"/>
      <c r="ER43" s="627"/>
      <c r="ES43" s="627"/>
      <c r="ET43" s="627"/>
      <c r="EU43" s="627"/>
      <c r="EV43" s="627"/>
      <c r="EW43" s="627"/>
      <c r="EX43" s="627"/>
      <c r="EY43" s="627"/>
      <c r="EZ43" s="627"/>
      <c r="FA43" s="627"/>
      <c r="FB43" s="627"/>
      <c r="FC43" s="627"/>
      <c r="FD43" s="627"/>
      <c r="FE43" s="627"/>
      <c r="FF43" s="627"/>
      <c r="FG43" s="627"/>
      <c r="FH43" s="627"/>
      <c r="FI43" s="627"/>
    </row>
    <row r="44" spans="1:165">
      <c r="A44" s="112"/>
      <c r="C44" s="5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row>
    <row r="45" spans="1:165" s="69" customFormat="1" ht="16" thickBot="1">
      <c r="A45" s="621" t="s">
        <v>5</v>
      </c>
      <c r="C45" s="70"/>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P45" s="71"/>
      <c r="BQ45" s="71"/>
      <c r="BR45" s="71"/>
      <c r="BS45" s="71"/>
      <c r="BT45" s="71"/>
      <c r="BU45" s="71"/>
      <c r="BV45" s="71"/>
      <c r="BW45" s="71"/>
      <c r="BX45" s="71"/>
      <c r="BY45" s="71"/>
      <c r="BZ45" s="71"/>
      <c r="CA45" s="71"/>
      <c r="CB45" s="71"/>
      <c r="CC45" s="71"/>
      <c r="CD45" s="71"/>
      <c r="CE45" s="71"/>
      <c r="CF45" s="71"/>
      <c r="CG45" s="71"/>
      <c r="CH45" s="71"/>
      <c r="CI45" s="71"/>
      <c r="CJ45" s="71"/>
      <c r="CK45" s="71"/>
      <c r="CL45" s="71"/>
      <c r="CM45" s="71"/>
      <c r="CN45" s="71"/>
      <c r="CO45" s="71"/>
      <c r="CP45" s="71"/>
      <c r="CQ45" s="71"/>
      <c r="CR45" s="71"/>
      <c r="CS45" s="71"/>
      <c r="CT45" s="71"/>
      <c r="CV45" s="71"/>
      <c r="CW45" s="71"/>
      <c r="CX45" s="71"/>
      <c r="CY45" s="71"/>
      <c r="CZ45" s="71"/>
      <c r="DA45" s="71"/>
      <c r="DB45" s="71"/>
      <c r="DC45" s="71"/>
      <c r="DD45" s="71"/>
      <c r="DE45" s="71"/>
      <c r="DF45" s="71"/>
      <c r="DG45" s="71"/>
      <c r="DH45" s="71"/>
      <c r="DI45" s="71"/>
      <c r="DJ45" s="71"/>
      <c r="DK45" s="71"/>
      <c r="DL45" s="71"/>
      <c r="DM45" s="71"/>
      <c r="DN45" s="71"/>
      <c r="DO45" s="71"/>
      <c r="DP45" s="71"/>
      <c r="DQ45" s="71"/>
      <c r="DR45" s="71"/>
      <c r="DS45" s="71"/>
      <c r="DT45" s="71"/>
      <c r="DU45" s="71"/>
      <c r="DV45" s="71"/>
      <c r="DW45" s="71"/>
      <c r="DX45" s="71"/>
      <c r="DY45" s="71"/>
      <c r="DZ45" s="71"/>
      <c r="EK45" s="622"/>
      <c r="EL45" s="622"/>
      <c r="EM45" s="622"/>
      <c r="EN45" s="622"/>
      <c r="EO45" s="622"/>
      <c r="EP45" s="622"/>
      <c r="EQ45" s="622"/>
      <c r="ER45" s="622"/>
      <c r="ES45" s="622"/>
      <c r="ET45" s="622"/>
      <c r="EU45" s="622"/>
      <c r="EV45" s="622"/>
      <c r="EW45" s="622"/>
      <c r="EX45" s="622"/>
      <c r="EY45" s="622"/>
      <c r="EZ45" s="622"/>
      <c r="FA45" s="622"/>
      <c r="FB45" s="622"/>
      <c r="FC45" s="622"/>
      <c r="FD45" s="622"/>
      <c r="FE45" s="622"/>
      <c r="FF45" s="622"/>
      <c r="FG45" s="622"/>
      <c r="FH45" s="622"/>
      <c r="FI45" s="622"/>
    </row>
    <row r="46" spans="1:165" s="624" customFormat="1" ht="16" thickBot="1">
      <c r="A46" s="623" t="s">
        <v>108</v>
      </c>
      <c r="C46" s="625"/>
      <c r="D46" s="628">
        <v>2020</v>
      </c>
      <c r="E46" s="628">
        <v>2021</v>
      </c>
      <c r="F46" s="628">
        <v>2022</v>
      </c>
      <c r="G46" s="628">
        <v>2023</v>
      </c>
      <c r="H46" s="628">
        <v>2024</v>
      </c>
      <c r="I46" s="628">
        <v>2025</v>
      </c>
      <c r="J46" s="628">
        <v>2026</v>
      </c>
      <c r="K46" s="628">
        <v>2027</v>
      </c>
      <c r="L46" s="628">
        <v>2028</v>
      </c>
      <c r="M46" s="628">
        <v>2029</v>
      </c>
      <c r="N46" s="628">
        <v>2030</v>
      </c>
      <c r="O46" s="628">
        <v>2031</v>
      </c>
      <c r="P46" s="628">
        <v>2032</v>
      </c>
      <c r="Q46" s="628">
        <v>2033</v>
      </c>
      <c r="R46" s="628">
        <v>2034</v>
      </c>
      <c r="S46" s="628">
        <v>2035</v>
      </c>
      <c r="T46" s="628">
        <v>2036</v>
      </c>
      <c r="U46" s="628">
        <v>2037</v>
      </c>
      <c r="V46" s="628">
        <v>2038</v>
      </c>
      <c r="W46" s="628">
        <v>2039</v>
      </c>
      <c r="X46" s="628">
        <v>2040</v>
      </c>
      <c r="Y46" s="628">
        <v>2041</v>
      </c>
      <c r="Z46" s="628">
        <v>2042</v>
      </c>
      <c r="AA46" s="628">
        <v>2043</v>
      </c>
      <c r="AB46" s="628">
        <v>2044</v>
      </c>
      <c r="AC46" s="628">
        <v>2045</v>
      </c>
      <c r="AD46" s="628">
        <v>2046</v>
      </c>
      <c r="AE46" s="628">
        <v>2047</v>
      </c>
      <c r="AF46" s="628">
        <v>2048</v>
      </c>
      <c r="AG46" s="628">
        <v>2049</v>
      </c>
      <c r="AH46" s="628">
        <v>2050</v>
      </c>
      <c r="AI46" s="626"/>
      <c r="AJ46" s="628">
        <v>2020</v>
      </c>
      <c r="AK46" s="628">
        <v>2021</v>
      </c>
      <c r="AL46" s="628">
        <v>2022</v>
      </c>
      <c r="AM46" s="628">
        <v>2023</v>
      </c>
      <c r="AN46" s="628">
        <v>2024</v>
      </c>
      <c r="AO46" s="628">
        <v>2025</v>
      </c>
      <c r="AP46" s="628">
        <v>2026</v>
      </c>
      <c r="AQ46" s="628">
        <v>2027</v>
      </c>
      <c r="AR46" s="628">
        <v>2028</v>
      </c>
      <c r="AS46" s="628">
        <v>2029</v>
      </c>
      <c r="AT46" s="628">
        <v>2030</v>
      </c>
      <c r="AU46" s="628">
        <v>2031</v>
      </c>
      <c r="AV46" s="628">
        <v>2032</v>
      </c>
      <c r="AW46" s="628">
        <v>2033</v>
      </c>
      <c r="AX46" s="628">
        <v>2034</v>
      </c>
      <c r="AY46" s="628">
        <v>2035</v>
      </c>
      <c r="AZ46" s="628">
        <v>2036</v>
      </c>
      <c r="BA46" s="628">
        <v>2037</v>
      </c>
      <c r="BB46" s="628">
        <v>2038</v>
      </c>
      <c r="BC46" s="628">
        <v>2039</v>
      </c>
      <c r="BD46" s="628">
        <v>2040</v>
      </c>
      <c r="BE46" s="628">
        <v>2041</v>
      </c>
      <c r="BF46" s="628">
        <v>2042</v>
      </c>
      <c r="BG46" s="628">
        <v>2043</v>
      </c>
      <c r="BH46" s="628">
        <v>2044</v>
      </c>
      <c r="BI46" s="628">
        <v>2045</v>
      </c>
      <c r="BJ46" s="628">
        <v>2046</v>
      </c>
      <c r="BK46" s="628">
        <v>2047</v>
      </c>
      <c r="BL46" s="628">
        <v>2048</v>
      </c>
      <c r="BM46" s="628">
        <v>2049</v>
      </c>
      <c r="BN46" s="628">
        <v>2050</v>
      </c>
      <c r="BP46" s="628">
        <v>2020</v>
      </c>
      <c r="BQ46" s="628">
        <v>2021</v>
      </c>
      <c r="BR46" s="628">
        <v>2022</v>
      </c>
      <c r="BS46" s="628">
        <v>2023</v>
      </c>
      <c r="BT46" s="628">
        <v>2024</v>
      </c>
      <c r="BU46" s="628">
        <v>2025</v>
      </c>
      <c r="BV46" s="628">
        <v>2026</v>
      </c>
      <c r="BW46" s="628">
        <v>2027</v>
      </c>
      <c r="BX46" s="628">
        <v>2028</v>
      </c>
      <c r="BY46" s="628">
        <v>2029</v>
      </c>
      <c r="BZ46" s="628">
        <v>2030</v>
      </c>
      <c r="CA46" s="628">
        <v>2031</v>
      </c>
      <c r="CB46" s="628">
        <v>2032</v>
      </c>
      <c r="CC46" s="628">
        <v>2033</v>
      </c>
      <c r="CD46" s="628">
        <v>2034</v>
      </c>
      <c r="CE46" s="628">
        <v>2035</v>
      </c>
      <c r="CF46" s="628">
        <v>2036</v>
      </c>
      <c r="CG46" s="628">
        <v>2037</v>
      </c>
      <c r="CH46" s="628">
        <v>2038</v>
      </c>
      <c r="CI46" s="628">
        <v>2039</v>
      </c>
      <c r="CJ46" s="628">
        <v>2040</v>
      </c>
      <c r="CK46" s="628">
        <v>2041</v>
      </c>
      <c r="CL46" s="628">
        <v>2042</v>
      </c>
      <c r="CM46" s="628">
        <v>2043</v>
      </c>
      <c r="CN46" s="628">
        <v>2044</v>
      </c>
      <c r="CO46" s="628">
        <v>2045</v>
      </c>
      <c r="CP46" s="628">
        <v>2046</v>
      </c>
      <c r="CQ46" s="628">
        <v>2047</v>
      </c>
      <c r="CR46" s="628">
        <v>2048</v>
      </c>
      <c r="CS46" s="628">
        <v>2049</v>
      </c>
      <c r="CT46" s="628">
        <v>2050</v>
      </c>
      <c r="CV46" s="628">
        <v>2020</v>
      </c>
      <c r="CW46" s="628">
        <v>2021</v>
      </c>
      <c r="CX46" s="628">
        <v>2022</v>
      </c>
      <c r="CY46" s="628">
        <v>2023</v>
      </c>
      <c r="CZ46" s="628">
        <v>2024</v>
      </c>
      <c r="DA46" s="628">
        <v>2025</v>
      </c>
      <c r="DB46" s="628">
        <v>2026</v>
      </c>
      <c r="DC46" s="628">
        <v>2027</v>
      </c>
      <c r="DD46" s="628">
        <v>2028</v>
      </c>
      <c r="DE46" s="628">
        <v>2029</v>
      </c>
      <c r="DF46" s="628">
        <v>2030</v>
      </c>
      <c r="DG46" s="628">
        <v>2031</v>
      </c>
      <c r="DH46" s="628">
        <v>2032</v>
      </c>
      <c r="DI46" s="628">
        <v>2033</v>
      </c>
      <c r="DJ46" s="628">
        <v>2034</v>
      </c>
      <c r="DK46" s="628">
        <v>2035</v>
      </c>
      <c r="DL46" s="628">
        <v>2036</v>
      </c>
      <c r="DM46" s="628">
        <v>2037</v>
      </c>
      <c r="DN46" s="628">
        <v>2038</v>
      </c>
      <c r="DO46" s="628">
        <v>2039</v>
      </c>
      <c r="DP46" s="628">
        <v>2040</v>
      </c>
      <c r="DQ46" s="628">
        <v>2041</v>
      </c>
      <c r="DR46" s="628">
        <v>2042</v>
      </c>
      <c r="DS46" s="628">
        <v>2043</v>
      </c>
      <c r="DT46" s="628">
        <v>2044</v>
      </c>
      <c r="DU46" s="628">
        <v>2045</v>
      </c>
      <c r="DV46" s="628">
        <v>2046</v>
      </c>
      <c r="DW46" s="628">
        <v>2047</v>
      </c>
      <c r="DX46" s="628">
        <v>2048</v>
      </c>
      <c r="DY46" s="628">
        <v>2049</v>
      </c>
      <c r="DZ46" s="628">
        <v>2050</v>
      </c>
      <c r="EK46" s="627"/>
      <c r="EL46" s="627"/>
      <c r="EM46" s="627"/>
      <c r="EN46" s="627"/>
      <c r="EO46" s="627"/>
      <c r="EP46" s="627"/>
      <c r="EQ46" s="627"/>
      <c r="ER46" s="627"/>
      <c r="ES46" s="627"/>
      <c r="ET46" s="627"/>
      <c r="EU46" s="627"/>
      <c r="EV46" s="627"/>
      <c r="EW46" s="627"/>
      <c r="EX46" s="627"/>
      <c r="EY46" s="627"/>
      <c r="EZ46" s="627"/>
      <c r="FA46" s="627"/>
      <c r="FB46" s="627"/>
      <c r="FC46" s="627"/>
      <c r="FD46" s="627"/>
      <c r="FE46" s="627"/>
      <c r="FF46" s="627"/>
      <c r="FG46" s="627"/>
      <c r="FH46" s="627"/>
      <c r="FI46" s="627"/>
    </row>
    <row r="47" spans="1:165">
      <c r="A47" s="606" t="s">
        <v>193</v>
      </c>
      <c r="C47" s="54" t="s">
        <v>458</v>
      </c>
      <c r="D47" s="43">
        <f>$B$186</f>
        <v>0.48</v>
      </c>
      <c r="E47" s="43">
        <f>D47-($D47-$AH47)/30</f>
        <v>0.46399999999999997</v>
      </c>
      <c r="F47" s="43">
        <f t="shared" ref="F47:AG47" si="257">E47-($D47-$AH47)/30</f>
        <v>0.44799999999999995</v>
      </c>
      <c r="G47" s="43">
        <f t="shared" si="257"/>
        <v>0.43199999999999994</v>
      </c>
      <c r="H47" s="43">
        <f t="shared" si="257"/>
        <v>0.41599999999999993</v>
      </c>
      <c r="I47" s="43">
        <f t="shared" si="257"/>
        <v>0.39999999999999991</v>
      </c>
      <c r="J47" s="43">
        <f t="shared" si="257"/>
        <v>0.3839999999999999</v>
      </c>
      <c r="K47" s="43">
        <f t="shared" si="257"/>
        <v>0.36799999999999988</v>
      </c>
      <c r="L47" s="43">
        <f t="shared" si="257"/>
        <v>0.35199999999999987</v>
      </c>
      <c r="M47" s="43">
        <f t="shared" si="257"/>
        <v>0.33599999999999985</v>
      </c>
      <c r="N47" s="43">
        <f t="shared" si="257"/>
        <v>0.31999999999999984</v>
      </c>
      <c r="O47" s="43">
        <f t="shared" si="257"/>
        <v>0.30399999999999983</v>
      </c>
      <c r="P47" s="43">
        <f t="shared" si="257"/>
        <v>0.28799999999999981</v>
      </c>
      <c r="Q47" s="43">
        <f t="shared" si="257"/>
        <v>0.2719999999999998</v>
      </c>
      <c r="R47" s="43">
        <f t="shared" si="257"/>
        <v>0.25599999999999978</v>
      </c>
      <c r="S47" s="43">
        <f t="shared" si="257"/>
        <v>0.23999999999999977</v>
      </c>
      <c r="T47" s="43">
        <f t="shared" si="257"/>
        <v>0.22399999999999975</v>
      </c>
      <c r="U47" s="43">
        <f t="shared" si="257"/>
        <v>0.20799999999999974</v>
      </c>
      <c r="V47" s="43">
        <f t="shared" si="257"/>
        <v>0.19199999999999973</v>
      </c>
      <c r="W47" s="43">
        <f t="shared" si="257"/>
        <v>0.17599999999999971</v>
      </c>
      <c r="X47" s="43">
        <f t="shared" si="257"/>
        <v>0.1599999999999997</v>
      </c>
      <c r="Y47" s="43">
        <f t="shared" si="257"/>
        <v>0.14399999999999968</v>
      </c>
      <c r="Z47" s="43">
        <f t="shared" si="257"/>
        <v>0.12799999999999967</v>
      </c>
      <c r="AA47" s="43">
        <f t="shared" si="257"/>
        <v>0.11199999999999967</v>
      </c>
      <c r="AB47" s="43">
        <f t="shared" si="257"/>
        <v>9.5999999999999669E-2</v>
      </c>
      <c r="AC47" s="43">
        <f t="shared" si="257"/>
        <v>7.9999999999999669E-2</v>
      </c>
      <c r="AD47" s="43">
        <f t="shared" si="257"/>
        <v>6.3999999999999668E-2</v>
      </c>
      <c r="AE47" s="43">
        <f t="shared" si="257"/>
        <v>4.7999999999999668E-2</v>
      </c>
      <c r="AF47" s="43">
        <f t="shared" si="257"/>
        <v>3.1999999999999668E-2</v>
      </c>
      <c r="AG47" s="43">
        <f t="shared" si="257"/>
        <v>1.5999999999999667E-2</v>
      </c>
      <c r="AH47" s="43">
        <f>$C$186</f>
        <v>0</v>
      </c>
      <c r="AI47" s="44"/>
      <c r="AJ47" s="43">
        <f>D47</f>
        <v>0.48</v>
      </c>
      <c r="AK47" s="43">
        <f t="shared" ref="AK47:AK55" si="258">E47</f>
        <v>0.46399999999999997</v>
      </c>
      <c r="AL47" s="43">
        <f t="shared" ref="AL47:AL55" si="259">F47</f>
        <v>0.44799999999999995</v>
      </c>
      <c r="AM47" s="43">
        <f t="shared" ref="AM47:AM55" si="260">G47</f>
        <v>0.43199999999999994</v>
      </c>
      <c r="AN47" s="43">
        <f t="shared" ref="AN47:AN55" si="261">H47</f>
        <v>0.41599999999999993</v>
      </c>
      <c r="AO47" s="43">
        <f t="shared" ref="AO47:AO55" si="262">I47</f>
        <v>0.39999999999999991</v>
      </c>
      <c r="AP47" s="43">
        <f t="shared" ref="AP47:AP55" si="263">J47</f>
        <v>0.3839999999999999</v>
      </c>
      <c r="AQ47" s="43">
        <f t="shared" ref="AQ47:AQ55" si="264">K47</f>
        <v>0.36799999999999988</v>
      </c>
      <c r="AR47" s="43">
        <f t="shared" ref="AR47:AR55" si="265">L47</f>
        <v>0.35199999999999987</v>
      </c>
      <c r="AS47" s="43">
        <f t="shared" ref="AS47:AS55" si="266">M47</f>
        <v>0.33599999999999985</v>
      </c>
      <c r="AT47" s="43">
        <f t="shared" ref="AT47:AT55" si="267">N47</f>
        <v>0.31999999999999984</v>
      </c>
      <c r="AU47" s="43">
        <f t="shared" ref="AU47:AU55" si="268">O47</f>
        <v>0.30399999999999983</v>
      </c>
      <c r="AV47" s="43">
        <f t="shared" ref="AV47:AV55" si="269">P47</f>
        <v>0.28799999999999981</v>
      </c>
      <c r="AW47" s="43">
        <f t="shared" ref="AW47:AW55" si="270">Q47</f>
        <v>0.2719999999999998</v>
      </c>
      <c r="AX47" s="43">
        <f t="shared" ref="AX47:AX55" si="271">R47</f>
        <v>0.25599999999999978</v>
      </c>
      <c r="AY47" s="43">
        <f t="shared" ref="AY47:AY55" si="272">S47</f>
        <v>0.23999999999999977</v>
      </c>
      <c r="AZ47" s="43">
        <f t="shared" ref="AZ47:AZ55" si="273">T47</f>
        <v>0.22399999999999975</v>
      </c>
      <c r="BA47" s="43">
        <f t="shared" ref="BA47:BA55" si="274">U47</f>
        <v>0.20799999999999974</v>
      </c>
      <c r="BB47" s="43">
        <f t="shared" ref="BB47:BB55" si="275">V47</f>
        <v>0.19199999999999973</v>
      </c>
      <c r="BC47" s="43">
        <f t="shared" ref="BC47:BC55" si="276">W47</f>
        <v>0.17599999999999971</v>
      </c>
      <c r="BD47" s="43">
        <f t="shared" ref="BD47:BD55" si="277">X47</f>
        <v>0.1599999999999997</v>
      </c>
      <c r="BE47" s="43">
        <f t="shared" ref="BE47:BE55" si="278">Y47</f>
        <v>0.14399999999999968</v>
      </c>
      <c r="BF47" s="43">
        <f t="shared" ref="BF47:BF55" si="279">Z47</f>
        <v>0.12799999999999967</v>
      </c>
      <c r="BG47" s="43">
        <f t="shared" ref="BG47:BG55" si="280">AA47</f>
        <v>0.11199999999999967</v>
      </c>
      <c r="BH47" s="43">
        <f t="shared" ref="BH47:BH55" si="281">AB47</f>
        <v>9.5999999999999669E-2</v>
      </c>
      <c r="BI47" s="43">
        <f t="shared" ref="BI47:BI55" si="282">AC47</f>
        <v>7.9999999999999669E-2</v>
      </c>
      <c r="BJ47" s="43">
        <f t="shared" ref="BJ47:BJ55" si="283">AD47</f>
        <v>6.3999999999999668E-2</v>
      </c>
      <c r="BK47" s="43">
        <f t="shared" ref="BK47:BK55" si="284">AE47</f>
        <v>4.7999999999999668E-2</v>
      </c>
      <c r="BL47" s="43">
        <f t="shared" ref="BL47:BL55" si="285">AF47</f>
        <v>3.1999999999999668E-2</v>
      </c>
      <c r="BM47" s="43">
        <f t="shared" ref="BM47:BM55" si="286">AG47</f>
        <v>1.5999999999999667E-2</v>
      </c>
      <c r="BN47" s="43">
        <f t="shared" ref="BN47:BN55" si="287">AH47</f>
        <v>0</v>
      </c>
      <c r="BP47" s="43">
        <f>D47</f>
        <v>0.48</v>
      </c>
      <c r="BQ47" s="43">
        <f>BP47-($BP47-$CT47)/30</f>
        <v>0.48</v>
      </c>
      <c r="BR47" s="43">
        <f t="shared" ref="BR47:CS47" si="288">BQ47-($BP47-$CT47)/30</f>
        <v>0.48</v>
      </c>
      <c r="BS47" s="43">
        <f t="shared" si="288"/>
        <v>0.48</v>
      </c>
      <c r="BT47" s="43">
        <f t="shared" si="288"/>
        <v>0.48</v>
      </c>
      <c r="BU47" s="43">
        <f t="shared" si="288"/>
        <v>0.48</v>
      </c>
      <c r="BV47" s="43">
        <f t="shared" si="288"/>
        <v>0.48</v>
      </c>
      <c r="BW47" s="43">
        <f t="shared" si="288"/>
        <v>0.48</v>
      </c>
      <c r="BX47" s="43">
        <f t="shared" si="288"/>
        <v>0.48</v>
      </c>
      <c r="BY47" s="43">
        <f t="shared" si="288"/>
        <v>0.48</v>
      </c>
      <c r="BZ47" s="43">
        <f t="shared" si="288"/>
        <v>0.48</v>
      </c>
      <c r="CA47" s="43">
        <f t="shared" si="288"/>
        <v>0.48</v>
      </c>
      <c r="CB47" s="43">
        <f t="shared" si="288"/>
        <v>0.48</v>
      </c>
      <c r="CC47" s="43">
        <f t="shared" si="288"/>
        <v>0.48</v>
      </c>
      <c r="CD47" s="43">
        <f t="shared" si="288"/>
        <v>0.48</v>
      </c>
      <c r="CE47" s="43">
        <f t="shared" si="288"/>
        <v>0.48</v>
      </c>
      <c r="CF47" s="43">
        <f t="shared" si="288"/>
        <v>0.48</v>
      </c>
      <c r="CG47" s="43">
        <f t="shared" si="288"/>
        <v>0.48</v>
      </c>
      <c r="CH47" s="43">
        <f t="shared" si="288"/>
        <v>0.48</v>
      </c>
      <c r="CI47" s="43">
        <f t="shared" si="288"/>
        <v>0.48</v>
      </c>
      <c r="CJ47" s="43">
        <f t="shared" si="288"/>
        <v>0.48</v>
      </c>
      <c r="CK47" s="43">
        <f t="shared" si="288"/>
        <v>0.48</v>
      </c>
      <c r="CL47" s="43">
        <f t="shared" si="288"/>
        <v>0.48</v>
      </c>
      <c r="CM47" s="43">
        <f t="shared" si="288"/>
        <v>0.48</v>
      </c>
      <c r="CN47" s="43">
        <f t="shared" si="288"/>
        <v>0.48</v>
      </c>
      <c r="CO47" s="43">
        <f t="shared" si="288"/>
        <v>0.48</v>
      </c>
      <c r="CP47" s="43">
        <f t="shared" si="288"/>
        <v>0.48</v>
      </c>
      <c r="CQ47" s="43">
        <f t="shared" si="288"/>
        <v>0.48</v>
      </c>
      <c r="CR47" s="43">
        <f t="shared" si="288"/>
        <v>0.48</v>
      </c>
      <c r="CS47" s="43">
        <f t="shared" si="288"/>
        <v>0.48</v>
      </c>
      <c r="CT47" s="43">
        <f>BP47</f>
        <v>0.48</v>
      </c>
      <c r="CV47" s="43">
        <f>AJ47</f>
        <v>0.48</v>
      </c>
      <c r="CW47" s="43">
        <f t="shared" ref="CW47:CW51" si="289">AK47</f>
        <v>0.46399999999999997</v>
      </c>
      <c r="CX47" s="43">
        <f t="shared" ref="CX47:CX51" si="290">AL47</f>
        <v>0.44799999999999995</v>
      </c>
      <c r="CY47" s="43">
        <f t="shared" ref="CY47:CY51" si="291">AM47</f>
        <v>0.43199999999999994</v>
      </c>
      <c r="CZ47" s="43">
        <f t="shared" ref="CZ47:CZ51" si="292">AN47</f>
        <v>0.41599999999999993</v>
      </c>
      <c r="DA47" s="43">
        <f t="shared" ref="DA47:DA51" si="293">AO47</f>
        <v>0.39999999999999991</v>
      </c>
      <c r="DB47" s="43">
        <f t="shared" ref="DB47:DB51" si="294">AP47</f>
        <v>0.3839999999999999</v>
      </c>
      <c r="DC47" s="43">
        <f t="shared" ref="DC47:DC51" si="295">AQ47</f>
        <v>0.36799999999999988</v>
      </c>
      <c r="DD47" s="43">
        <f t="shared" ref="DD47:DD51" si="296">AR47</f>
        <v>0.35199999999999987</v>
      </c>
      <c r="DE47" s="43">
        <f t="shared" ref="DE47:DE51" si="297">AS47</f>
        <v>0.33599999999999985</v>
      </c>
      <c r="DF47" s="43">
        <f t="shared" ref="DF47:DF51" si="298">AT47</f>
        <v>0.31999999999999984</v>
      </c>
      <c r="DG47" s="43">
        <f t="shared" ref="DG47:DG51" si="299">AU47</f>
        <v>0.30399999999999983</v>
      </c>
      <c r="DH47" s="43">
        <f t="shared" ref="DH47:DH51" si="300">AV47</f>
        <v>0.28799999999999981</v>
      </c>
      <c r="DI47" s="43">
        <f t="shared" ref="DI47:DI51" si="301">AW47</f>
        <v>0.2719999999999998</v>
      </c>
      <c r="DJ47" s="43">
        <f t="shared" ref="DJ47:DJ51" si="302">AX47</f>
        <v>0.25599999999999978</v>
      </c>
      <c r="DK47" s="43">
        <f t="shared" ref="DK47:DK51" si="303">AY47</f>
        <v>0.23999999999999977</v>
      </c>
      <c r="DL47" s="43">
        <f t="shared" ref="DL47:DL51" si="304">AZ47</f>
        <v>0.22399999999999975</v>
      </c>
      <c r="DM47" s="43">
        <f t="shared" ref="DM47:DM51" si="305">BA47</f>
        <v>0.20799999999999974</v>
      </c>
      <c r="DN47" s="43">
        <f t="shared" ref="DN47:DN51" si="306">BB47</f>
        <v>0.19199999999999973</v>
      </c>
      <c r="DO47" s="43">
        <f t="shared" ref="DO47:DO51" si="307">BC47</f>
        <v>0.17599999999999971</v>
      </c>
      <c r="DP47" s="43">
        <f t="shared" ref="DP47:DP51" si="308">BD47</f>
        <v>0.1599999999999997</v>
      </c>
      <c r="DQ47" s="43">
        <f t="shared" ref="DQ47:DQ51" si="309">BE47</f>
        <v>0.14399999999999968</v>
      </c>
      <c r="DR47" s="43">
        <f t="shared" ref="DR47:DR51" si="310">BF47</f>
        <v>0.12799999999999967</v>
      </c>
      <c r="DS47" s="43">
        <f t="shared" ref="DS47:DS51" si="311">BG47</f>
        <v>0.11199999999999967</v>
      </c>
      <c r="DT47" s="43">
        <f t="shared" ref="DT47:DT51" si="312">BH47</f>
        <v>9.5999999999999669E-2</v>
      </c>
      <c r="DU47" s="43">
        <f t="shared" ref="DU47:DU51" si="313">BI47</f>
        <v>7.9999999999999669E-2</v>
      </c>
      <c r="DV47" s="43">
        <f t="shared" ref="DV47:DV51" si="314">BJ47</f>
        <v>6.3999999999999668E-2</v>
      </c>
      <c r="DW47" s="43">
        <f t="shared" ref="DW47:DW51" si="315">BK47</f>
        <v>4.7999999999999668E-2</v>
      </c>
      <c r="DX47" s="43">
        <f t="shared" ref="DX47:DX51" si="316">BL47</f>
        <v>3.1999999999999668E-2</v>
      </c>
      <c r="DY47" s="43">
        <f t="shared" ref="DY47:DY51" si="317">BM47</f>
        <v>1.5999999999999667E-2</v>
      </c>
      <c r="DZ47" s="43">
        <f t="shared" ref="DZ47:DZ51" si="318">BN47</f>
        <v>0</v>
      </c>
    </row>
    <row r="48" spans="1:165">
      <c r="A48" s="606" t="s">
        <v>88</v>
      </c>
      <c r="C48" s="54" t="s">
        <v>458</v>
      </c>
      <c r="D48" s="43">
        <f>$B$187</f>
        <v>3</v>
      </c>
      <c r="E48" s="43">
        <f t="shared" ref="E48:AG48" si="319">D48-($D48-$AH48)/30</f>
        <v>2.9</v>
      </c>
      <c r="F48" s="43">
        <f t="shared" si="319"/>
        <v>2.8</v>
      </c>
      <c r="G48" s="43">
        <f t="shared" si="319"/>
        <v>2.6999999999999997</v>
      </c>
      <c r="H48" s="43">
        <f t="shared" si="319"/>
        <v>2.5999999999999996</v>
      </c>
      <c r="I48" s="43">
        <f t="shared" si="319"/>
        <v>2.4999999999999996</v>
      </c>
      <c r="J48" s="43">
        <f t="shared" si="319"/>
        <v>2.3999999999999995</v>
      </c>
      <c r="K48" s="43">
        <f t="shared" si="319"/>
        <v>2.2999999999999994</v>
      </c>
      <c r="L48" s="43">
        <f t="shared" si="319"/>
        <v>2.1999999999999993</v>
      </c>
      <c r="M48" s="43">
        <f t="shared" si="319"/>
        <v>2.0999999999999992</v>
      </c>
      <c r="N48" s="43">
        <f t="shared" si="319"/>
        <v>1.9999999999999991</v>
      </c>
      <c r="O48" s="43">
        <f t="shared" si="319"/>
        <v>1.899999999999999</v>
      </c>
      <c r="P48" s="43">
        <f t="shared" si="319"/>
        <v>1.7999999999999989</v>
      </c>
      <c r="Q48" s="43">
        <f t="shared" si="319"/>
        <v>1.6999999999999988</v>
      </c>
      <c r="R48" s="43">
        <f t="shared" si="319"/>
        <v>1.5999999999999988</v>
      </c>
      <c r="S48" s="43">
        <f t="shared" si="319"/>
        <v>1.4999999999999987</v>
      </c>
      <c r="T48" s="43">
        <f t="shared" si="319"/>
        <v>1.3999999999999986</v>
      </c>
      <c r="U48" s="43">
        <f t="shared" si="319"/>
        <v>1.2999999999999985</v>
      </c>
      <c r="V48" s="43">
        <f t="shared" si="319"/>
        <v>1.1999999999999984</v>
      </c>
      <c r="W48" s="43">
        <f t="shared" si="319"/>
        <v>1.0999999999999983</v>
      </c>
      <c r="X48" s="43">
        <f t="shared" si="319"/>
        <v>0.99999999999999833</v>
      </c>
      <c r="Y48" s="43">
        <f t="shared" si="319"/>
        <v>0.89999999999999836</v>
      </c>
      <c r="Z48" s="43">
        <f t="shared" si="319"/>
        <v>0.79999999999999838</v>
      </c>
      <c r="AA48" s="43">
        <f t="shared" si="319"/>
        <v>0.6999999999999984</v>
      </c>
      <c r="AB48" s="43">
        <f t="shared" si="319"/>
        <v>0.59999999999999842</v>
      </c>
      <c r="AC48" s="43">
        <f t="shared" si="319"/>
        <v>0.49999999999999845</v>
      </c>
      <c r="AD48" s="43">
        <f t="shared" si="319"/>
        <v>0.39999999999999847</v>
      </c>
      <c r="AE48" s="43">
        <f t="shared" si="319"/>
        <v>0.29999999999999849</v>
      </c>
      <c r="AF48" s="43">
        <f t="shared" si="319"/>
        <v>0.19999999999999848</v>
      </c>
      <c r="AG48" s="43">
        <f t="shared" si="319"/>
        <v>9.9999999999998479E-2</v>
      </c>
      <c r="AH48" s="43">
        <f>$C$187</f>
        <v>0</v>
      </c>
      <c r="AI48" s="44"/>
      <c r="AJ48" s="43">
        <f t="shared" ref="AJ48:AJ55" si="320">D48</f>
        <v>3</v>
      </c>
      <c r="AK48" s="43">
        <f t="shared" si="258"/>
        <v>2.9</v>
      </c>
      <c r="AL48" s="43">
        <f t="shared" si="259"/>
        <v>2.8</v>
      </c>
      <c r="AM48" s="43">
        <f t="shared" si="260"/>
        <v>2.6999999999999997</v>
      </c>
      <c r="AN48" s="43">
        <f t="shared" si="261"/>
        <v>2.5999999999999996</v>
      </c>
      <c r="AO48" s="43">
        <f t="shared" si="262"/>
        <v>2.4999999999999996</v>
      </c>
      <c r="AP48" s="43">
        <f t="shared" si="263"/>
        <v>2.3999999999999995</v>
      </c>
      <c r="AQ48" s="43">
        <f t="shared" si="264"/>
        <v>2.2999999999999994</v>
      </c>
      <c r="AR48" s="43">
        <f t="shared" si="265"/>
        <v>2.1999999999999993</v>
      </c>
      <c r="AS48" s="43">
        <f t="shared" si="266"/>
        <v>2.0999999999999992</v>
      </c>
      <c r="AT48" s="43">
        <f t="shared" si="267"/>
        <v>1.9999999999999991</v>
      </c>
      <c r="AU48" s="43">
        <f t="shared" si="268"/>
        <v>1.899999999999999</v>
      </c>
      <c r="AV48" s="43">
        <f t="shared" si="269"/>
        <v>1.7999999999999989</v>
      </c>
      <c r="AW48" s="43">
        <f t="shared" si="270"/>
        <v>1.6999999999999988</v>
      </c>
      <c r="AX48" s="43">
        <f t="shared" si="271"/>
        <v>1.5999999999999988</v>
      </c>
      <c r="AY48" s="43">
        <f t="shared" si="272"/>
        <v>1.4999999999999987</v>
      </c>
      <c r="AZ48" s="43">
        <f t="shared" si="273"/>
        <v>1.3999999999999986</v>
      </c>
      <c r="BA48" s="43">
        <f t="shared" si="274"/>
        <v>1.2999999999999985</v>
      </c>
      <c r="BB48" s="43">
        <f t="shared" si="275"/>
        <v>1.1999999999999984</v>
      </c>
      <c r="BC48" s="43">
        <f t="shared" si="276"/>
        <v>1.0999999999999983</v>
      </c>
      <c r="BD48" s="43">
        <f t="shared" si="277"/>
        <v>0.99999999999999833</v>
      </c>
      <c r="BE48" s="43">
        <f t="shared" si="278"/>
        <v>0.89999999999999836</v>
      </c>
      <c r="BF48" s="43">
        <f t="shared" si="279"/>
        <v>0.79999999999999838</v>
      </c>
      <c r="BG48" s="43">
        <f t="shared" si="280"/>
        <v>0.6999999999999984</v>
      </c>
      <c r="BH48" s="43">
        <f t="shared" si="281"/>
        <v>0.59999999999999842</v>
      </c>
      <c r="BI48" s="43">
        <f t="shared" si="282"/>
        <v>0.49999999999999845</v>
      </c>
      <c r="BJ48" s="43">
        <f t="shared" si="283"/>
        <v>0.39999999999999847</v>
      </c>
      <c r="BK48" s="43">
        <f t="shared" si="284"/>
        <v>0.29999999999999849</v>
      </c>
      <c r="BL48" s="43">
        <f t="shared" si="285"/>
        <v>0.19999999999999848</v>
      </c>
      <c r="BM48" s="43">
        <f t="shared" si="286"/>
        <v>9.9999999999998479E-2</v>
      </c>
      <c r="BN48" s="43">
        <f t="shared" si="287"/>
        <v>0</v>
      </c>
      <c r="BP48" s="43">
        <f t="shared" ref="BP48:BP55" si="321">D48</f>
        <v>3</v>
      </c>
      <c r="BQ48" s="43">
        <f t="shared" ref="BQ48:CS48" si="322">BP48-($BP48-$CT48)/30</f>
        <v>3</v>
      </c>
      <c r="BR48" s="43">
        <f t="shared" si="322"/>
        <v>3</v>
      </c>
      <c r="BS48" s="43">
        <f t="shared" si="322"/>
        <v>3</v>
      </c>
      <c r="BT48" s="43">
        <f t="shared" si="322"/>
        <v>3</v>
      </c>
      <c r="BU48" s="43">
        <f t="shared" si="322"/>
        <v>3</v>
      </c>
      <c r="BV48" s="43">
        <f t="shared" si="322"/>
        <v>3</v>
      </c>
      <c r="BW48" s="43">
        <f t="shared" si="322"/>
        <v>3</v>
      </c>
      <c r="BX48" s="43">
        <f t="shared" si="322"/>
        <v>3</v>
      </c>
      <c r="BY48" s="43">
        <f t="shared" si="322"/>
        <v>3</v>
      </c>
      <c r="BZ48" s="43">
        <f t="shared" si="322"/>
        <v>3</v>
      </c>
      <c r="CA48" s="43">
        <f t="shared" si="322"/>
        <v>3</v>
      </c>
      <c r="CB48" s="43">
        <f t="shared" si="322"/>
        <v>3</v>
      </c>
      <c r="CC48" s="43">
        <f t="shared" si="322"/>
        <v>3</v>
      </c>
      <c r="CD48" s="43">
        <f t="shared" si="322"/>
        <v>3</v>
      </c>
      <c r="CE48" s="43">
        <f t="shared" si="322"/>
        <v>3</v>
      </c>
      <c r="CF48" s="43">
        <f t="shared" si="322"/>
        <v>3</v>
      </c>
      <c r="CG48" s="43">
        <f t="shared" si="322"/>
        <v>3</v>
      </c>
      <c r="CH48" s="43">
        <f t="shared" si="322"/>
        <v>3</v>
      </c>
      <c r="CI48" s="43">
        <f t="shared" si="322"/>
        <v>3</v>
      </c>
      <c r="CJ48" s="43">
        <f t="shared" si="322"/>
        <v>3</v>
      </c>
      <c r="CK48" s="43">
        <f t="shared" si="322"/>
        <v>3</v>
      </c>
      <c r="CL48" s="43">
        <f t="shared" si="322"/>
        <v>3</v>
      </c>
      <c r="CM48" s="43">
        <f t="shared" si="322"/>
        <v>3</v>
      </c>
      <c r="CN48" s="43">
        <f t="shared" si="322"/>
        <v>3</v>
      </c>
      <c r="CO48" s="43">
        <f t="shared" si="322"/>
        <v>3</v>
      </c>
      <c r="CP48" s="43">
        <f t="shared" si="322"/>
        <v>3</v>
      </c>
      <c r="CQ48" s="43">
        <f t="shared" si="322"/>
        <v>3</v>
      </c>
      <c r="CR48" s="43">
        <f t="shared" si="322"/>
        <v>3</v>
      </c>
      <c r="CS48" s="43">
        <f t="shared" si="322"/>
        <v>3</v>
      </c>
      <c r="CT48" s="43">
        <f t="shared" ref="CT48:CT49" si="323">BP48</f>
        <v>3</v>
      </c>
      <c r="CV48" s="43">
        <f>AJ48</f>
        <v>3</v>
      </c>
      <c r="CW48" s="43">
        <f t="shared" si="289"/>
        <v>2.9</v>
      </c>
      <c r="CX48" s="43">
        <f t="shared" si="290"/>
        <v>2.8</v>
      </c>
      <c r="CY48" s="43">
        <f t="shared" si="291"/>
        <v>2.6999999999999997</v>
      </c>
      <c r="CZ48" s="43">
        <f t="shared" si="292"/>
        <v>2.5999999999999996</v>
      </c>
      <c r="DA48" s="43">
        <f t="shared" si="293"/>
        <v>2.4999999999999996</v>
      </c>
      <c r="DB48" s="43">
        <f t="shared" si="294"/>
        <v>2.3999999999999995</v>
      </c>
      <c r="DC48" s="43">
        <f t="shared" si="295"/>
        <v>2.2999999999999994</v>
      </c>
      <c r="DD48" s="43">
        <f t="shared" si="296"/>
        <v>2.1999999999999993</v>
      </c>
      <c r="DE48" s="43">
        <f t="shared" si="297"/>
        <v>2.0999999999999992</v>
      </c>
      <c r="DF48" s="43">
        <f t="shared" si="298"/>
        <v>1.9999999999999991</v>
      </c>
      <c r="DG48" s="43">
        <f t="shared" si="299"/>
        <v>1.899999999999999</v>
      </c>
      <c r="DH48" s="43">
        <f t="shared" si="300"/>
        <v>1.7999999999999989</v>
      </c>
      <c r="DI48" s="43">
        <f t="shared" si="301"/>
        <v>1.6999999999999988</v>
      </c>
      <c r="DJ48" s="43">
        <f t="shared" si="302"/>
        <v>1.5999999999999988</v>
      </c>
      <c r="DK48" s="43">
        <f t="shared" si="303"/>
        <v>1.4999999999999987</v>
      </c>
      <c r="DL48" s="43">
        <f t="shared" si="304"/>
        <v>1.3999999999999986</v>
      </c>
      <c r="DM48" s="43">
        <f t="shared" si="305"/>
        <v>1.2999999999999985</v>
      </c>
      <c r="DN48" s="43">
        <f t="shared" si="306"/>
        <v>1.1999999999999984</v>
      </c>
      <c r="DO48" s="43">
        <f t="shared" si="307"/>
        <v>1.0999999999999983</v>
      </c>
      <c r="DP48" s="43">
        <f t="shared" si="308"/>
        <v>0.99999999999999833</v>
      </c>
      <c r="DQ48" s="43">
        <f t="shared" si="309"/>
        <v>0.89999999999999836</v>
      </c>
      <c r="DR48" s="43">
        <f t="shared" si="310"/>
        <v>0.79999999999999838</v>
      </c>
      <c r="DS48" s="43">
        <f t="shared" si="311"/>
        <v>0.6999999999999984</v>
      </c>
      <c r="DT48" s="43">
        <f t="shared" si="312"/>
        <v>0.59999999999999842</v>
      </c>
      <c r="DU48" s="43">
        <f t="shared" si="313"/>
        <v>0.49999999999999845</v>
      </c>
      <c r="DV48" s="43">
        <f t="shared" si="314"/>
        <v>0.39999999999999847</v>
      </c>
      <c r="DW48" s="43">
        <f t="shared" si="315"/>
        <v>0.29999999999999849</v>
      </c>
      <c r="DX48" s="43">
        <f t="shared" si="316"/>
        <v>0.19999999999999848</v>
      </c>
      <c r="DY48" s="43">
        <f t="shared" si="317"/>
        <v>9.9999999999998479E-2</v>
      </c>
      <c r="DZ48" s="43">
        <f t="shared" si="318"/>
        <v>0</v>
      </c>
    </row>
    <row r="49" spans="1:165">
      <c r="A49" s="606" t="s">
        <v>459</v>
      </c>
      <c r="C49" s="54" t="s">
        <v>458</v>
      </c>
      <c r="D49" s="43">
        <f>$BP$187</f>
        <v>1.4219670000000002</v>
      </c>
      <c r="E49" s="43">
        <f t="shared" ref="E49:AG49" si="324">D49-($D49-$AH49)/30</f>
        <v>1.4679014333333336</v>
      </c>
      <c r="F49" s="43">
        <f t="shared" si="324"/>
        <v>1.5138358666666669</v>
      </c>
      <c r="G49" s="43">
        <f t="shared" si="324"/>
        <v>1.5597703000000003</v>
      </c>
      <c r="H49" s="43">
        <f t="shared" si="324"/>
        <v>1.6057047333333336</v>
      </c>
      <c r="I49" s="43">
        <f t="shared" si="324"/>
        <v>1.651639166666667</v>
      </c>
      <c r="J49" s="43">
        <f t="shared" si="324"/>
        <v>1.6975736000000003</v>
      </c>
      <c r="K49" s="43">
        <f t="shared" si="324"/>
        <v>1.7435080333333337</v>
      </c>
      <c r="L49" s="43">
        <f t="shared" si="324"/>
        <v>1.7894424666666671</v>
      </c>
      <c r="M49" s="43">
        <f t="shared" si="324"/>
        <v>1.8353769000000004</v>
      </c>
      <c r="N49" s="43">
        <f t="shared" si="324"/>
        <v>1.8813113333333338</v>
      </c>
      <c r="O49" s="43">
        <f t="shared" si="324"/>
        <v>1.9272457666666671</v>
      </c>
      <c r="P49" s="43">
        <f t="shared" si="324"/>
        <v>1.9731802000000005</v>
      </c>
      <c r="Q49" s="43">
        <f t="shared" si="324"/>
        <v>2.0191146333333339</v>
      </c>
      <c r="R49" s="43">
        <f t="shared" si="324"/>
        <v>2.065049066666667</v>
      </c>
      <c r="S49" s="43">
        <f t="shared" si="324"/>
        <v>2.1109835000000001</v>
      </c>
      <c r="T49" s="43">
        <f t="shared" si="324"/>
        <v>2.1569179333333333</v>
      </c>
      <c r="U49" s="43">
        <f t="shared" si="324"/>
        <v>2.2028523666666664</v>
      </c>
      <c r="V49" s="43">
        <f t="shared" si="324"/>
        <v>2.2487867999999995</v>
      </c>
      <c r="W49" s="43">
        <f t="shared" si="324"/>
        <v>2.2947212333333327</v>
      </c>
      <c r="X49" s="43">
        <f t="shared" si="324"/>
        <v>2.3406556666666658</v>
      </c>
      <c r="Y49" s="43">
        <f t="shared" si="324"/>
        <v>2.3865900999999989</v>
      </c>
      <c r="Z49" s="43">
        <f t="shared" si="324"/>
        <v>2.4325245333333321</v>
      </c>
      <c r="AA49" s="43">
        <f t="shared" si="324"/>
        <v>2.4784589666666652</v>
      </c>
      <c r="AB49" s="43">
        <f t="shared" si="324"/>
        <v>2.5243933999999983</v>
      </c>
      <c r="AC49" s="43">
        <f t="shared" si="324"/>
        <v>2.5703278333333315</v>
      </c>
      <c r="AD49" s="43">
        <f t="shared" si="324"/>
        <v>2.6162622666666646</v>
      </c>
      <c r="AE49" s="43">
        <f t="shared" si="324"/>
        <v>2.6621966999999978</v>
      </c>
      <c r="AF49" s="43">
        <f t="shared" si="324"/>
        <v>2.7081311333333309</v>
      </c>
      <c r="AG49" s="43">
        <f t="shared" si="324"/>
        <v>2.754065566666664</v>
      </c>
      <c r="AH49" s="43">
        <f>EB187</f>
        <v>2.8</v>
      </c>
      <c r="AI49" s="44"/>
      <c r="AJ49" s="43">
        <f t="shared" si="320"/>
        <v>1.4219670000000002</v>
      </c>
      <c r="AK49" s="43">
        <f t="shared" si="258"/>
        <v>1.4679014333333336</v>
      </c>
      <c r="AL49" s="43">
        <f t="shared" si="259"/>
        <v>1.5138358666666669</v>
      </c>
      <c r="AM49" s="43">
        <f t="shared" si="260"/>
        <v>1.5597703000000003</v>
      </c>
      <c r="AN49" s="43">
        <f t="shared" si="261"/>
        <v>1.6057047333333336</v>
      </c>
      <c r="AO49" s="43">
        <f t="shared" si="262"/>
        <v>1.651639166666667</v>
      </c>
      <c r="AP49" s="43">
        <f t="shared" si="263"/>
        <v>1.6975736000000003</v>
      </c>
      <c r="AQ49" s="43">
        <f t="shared" si="264"/>
        <v>1.7435080333333337</v>
      </c>
      <c r="AR49" s="43">
        <f t="shared" si="265"/>
        <v>1.7894424666666671</v>
      </c>
      <c r="AS49" s="43">
        <f t="shared" si="266"/>
        <v>1.8353769000000004</v>
      </c>
      <c r="AT49" s="43">
        <f t="shared" si="267"/>
        <v>1.8813113333333338</v>
      </c>
      <c r="AU49" s="43">
        <f t="shared" si="268"/>
        <v>1.9272457666666671</v>
      </c>
      <c r="AV49" s="43">
        <f t="shared" si="269"/>
        <v>1.9731802000000005</v>
      </c>
      <c r="AW49" s="43">
        <f t="shared" si="270"/>
        <v>2.0191146333333339</v>
      </c>
      <c r="AX49" s="43">
        <f t="shared" si="271"/>
        <v>2.065049066666667</v>
      </c>
      <c r="AY49" s="43">
        <f t="shared" si="272"/>
        <v>2.1109835000000001</v>
      </c>
      <c r="AZ49" s="43">
        <f t="shared" si="273"/>
        <v>2.1569179333333333</v>
      </c>
      <c r="BA49" s="43">
        <f t="shared" si="274"/>
        <v>2.2028523666666664</v>
      </c>
      <c r="BB49" s="43">
        <f t="shared" si="275"/>
        <v>2.2487867999999995</v>
      </c>
      <c r="BC49" s="43">
        <f t="shared" si="276"/>
        <v>2.2947212333333327</v>
      </c>
      <c r="BD49" s="43">
        <f t="shared" si="277"/>
        <v>2.3406556666666658</v>
      </c>
      <c r="BE49" s="43">
        <f t="shared" si="278"/>
        <v>2.3865900999999989</v>
      </c>
      <c r="BF49" s="43">
        <f t="shared" si="279"/>
        <v>2.4325245333333321</v>
      </c>
      <c r="BG49" s="43">
        <f t="shared" si="280"/>
        <v>2.4784589666666652</v>
      </c>
      <c r="BH49" s="43">
        <f t="shared" si="281"/>
        <v>2.5243933999999983</v>
      </c>
      <c r="BI49" s="43">
        <f t="shared" si="282"/>
        <v>2.5703278333333315</v>
      </c>
      <c r="BJ49" s="43">
        <f t="shared" si="283"/>
        <v>2.6162622666666646</v>
      </c>
      <c r="BK49" s="43">
        <f t="shared" si="284"/>
        <v>2.6621966999999978</v>
      </c>
      <c r="BL49" s="43">
        <f t="shared" si="285"/>
        <v>2.7081311333333309</v>
      </c>
      <c r="BM49" s="43">
        <f t="shared" si="286"/>
        <v>2.754065566666664</v>
      </c>
      <c r="BN49" s="43">
        <f t="shared" si="287"/>
        <v>2.8</v>
      </c>
      <c r="BP49" s="43">
        <f t="shared" si="321"/>
        <v>1.4219670000000002</v>
      </c>
      <c r="BQ49" s="43">
        <f t="shared" ref="BQ49:CS49" si="325">BP49-($BP49-$CT49)/30</f>
        <v>1.4219670000000002</v>
      </c>
      <c r="BR49" s="43">
        <f t="shared" si="325"/>
        <v>1.4219670000000002</v>
      </c>
      <c r="BS49" s="43">
        <f t="shared" si="325"/>
        <v>1.4219670000000002</v>
      </c>
      <c r="BT49" s="43">
        <f t="shared" si="325"/>
        <v>1.4219670000000002</v>
      </c>
      <c r="BU49" s="43">
        <f t="shared" si="325"/>
        <v>1.4219670000000002</v>
      </c>
      <c r="BV49" s="43">
        <f t="shared" si="325"/>
        <v>1.4219670000000002</v>
      </c>
      <c r="BW49" s="43">
        <f t="shared" si="325"/>
        <v>1.4219670000000002</v>
      </c>
      <c r="BX49" s="43">
        <f t="shared" si="325"/>
        <v>1.4219670000000002</v>
      </c>
      <c r="BY49" s="43">
        <f t="shared" si="325"/>
        <v>1.4219670000000002</v>
      </c>
      <c r="BZ49" s="43">
        <f t="shared" si="325"/>
        <v>1.4219670000000002</v>
      </c>
      <c r="CA49" s="43">
        <f t="shared" si="325"/>
        <v>1.4219670000000002</v>
      </c>
      <c r="CB49" s="43">
        <f t="shared" si="325"/>
        <v>1.4219670000000002</v>
      </c>
      <c r="CC49" s="43">
        <f t="shared" si="325"/>
        <v>1.4219670000000002</v>
      </c>
      <c r="CD49" s="43">
        <f t="shared" si="325"/>
        <v>1.4219670000000002</v>
      </c>
      <c r="CE49" s="43">
        <f t="shared" si="325"/>
        <v>1.4219670000000002</v>
      </c>
      <c r="CF49" s="43">
        <f t="shared" si="325"/>
        <v>1.4219670000000002</v>
      </c>
      <c r="CG49" s="43">
        <f t="shared" si="325"/>
        <v>1.4219670000000002</v>
      </c>
      <c r="CH49" s="43">
        <f t="shared" si="325"/>
        <v>1.4219670000000002</v>
      </c>
      <c r="CI49" s="43">
        <f t="shared" si="325"/>
        <v>1.4219670000000002</v>
      </c>
      <c r="CJ49" s="43">
        <f t="shared" si="325"/>
        <v>1.4219670000000002</v>
      </c>
      <c r="CK49" s="43">
        <f t="shared" si="325"/>
        <v>1.4219670000000002</v>
      </c>
      <c r="CL49" s="43">
        <f t="shared" si="325"/>
        <v>1.4219670000000002</v>
      </c>
      <c r="CM49" s="43">
        <f t="shared" si="325"/>
        <v>1.4219670000000002</v>
      </c>
      <c r="CN49" s="43">
        <f t="shared" si="325"/>
        <v>1.4219670000000002</v>
      </c>
      <c r="CO49" s="43">
        <f t="shared" si="325"/>
        <v>1.4219670000000002</v>
      </c>
      <c r="CP49" s="43">
        <f t="shared" si="325"/>
        <v>1.4219670000000002</v>
      </c>
      <c r="CQ49" s="43">
        <f t="shared" si="325"/>
        <v>1.4219670000000002</v>
      </c>
      <c r="CR49" s="43">
        <f t="shared" si="325"/>
        <v>1.4219670000000002</v>
      </c>
      <c r="CS49" s="43">
        <f t="shared" si="325"/>
        <v>1.4219670000000002</v>
      </c>
      <c r="CT49" s="43">
        <f t="shared" si="323"/>
        <v>1.4219670000000002</v>
      </c>
      <c r="CV49" s="43">
        <f>AJ49</f>
        <v>1.4219670000000002</v>
      </c>
      <c r="CW49" s="43">
        <f t="shared" si="289"/>
        <v>1.4679014333333336</v>
      </c>
      <c r="CX49" s="43">
        <f t="shared" si="290"/>
        <v>1.5138358666666669</v>
      </c>
      <c r="CY49" s="43">
        <f t="shared" si="291"/>
        <v>1.5597703000000003</v>
      </c>
      <c r="CZ49" s="43">
        <f t="shared" si="292"/>
        <v>1.6057047333333336</v>
      </c>
      <c r="DA49" s="43">
        <f t="shared" si="293"/>
        <v>1.651639166666667</v>
      </c>
      <c r="DB49" s="43">
        <f t="shared" si="294"/>
        <v>1.6975736000000003</v>
      </c>
      <c r="DC49" s="43">
        <f t="shared" si="295"/>
        <v>1.7435080333333337</v>
      </c>
      <c r="DD49" s="43">
        <f t="shared" si="296"/>
        <v>1.7894424666666671</v>
      </c>
      <c r="DE49" s="43">
        <f t="shared" si="297"/>
        <v>1.8353769000000004</v>
      </c>
      <c r="DF49" s="43">
        <f t="shared" si="298"/>
        <v>1.8813113333333338</v>
      </c>
      <c r="DG49" s="43">
        <f t="shared" si="299"/>
        <v>1.9272457666666671</v>
      </c>
      <c r="DH49" s="43">
        <f t="shared" si="300"/>
        <v>1.9731802000000005</v>
      </c>
      <c r="DI49" s="43">
        <f t="shared" si="301"/>
        <v>2.0191146333333339</v>
      </c>
      <c r="DJ49" s="43">
        <f t="shared" si="302"/>
        <v>2.065049066666667</v>
      </c>
      <c r="DK49" s="43">
        <f t="shared" si="303"/>
        <v>2.1109835000000001</v>
      </c>
      <c r="DL49" s="43">
        <f t="shared" si="304"/>
        <v>2.1569179333333333</v>
      </c>
      <c r="DM49" s="43">
        <f t="shared" si="305"/>
        <v>2.2028523666666664</v>
      </c>
      <c r="DN49" s="43">
        <f t="shared" si="306"/>
        <v>2.2487867999999995</v>
      </c>
      <c r="DO49" s="43">
        <f t="shared" si="307"/>
        <v>2.2947212333333327</v>
      </c>
      <c r="DP49" s="43">
        <f t="shared" si="308"/>
        <v>2.3406556666666658</v>
      </c>
      <c r="DQ49" s="43">
        <f t="shared" si="309"/>
        <v>2.3865900999999989</v>
      </c>
      <c r="DR49" s="43">
        <f t="shared" si="310"/>
        <v>2.4325245333333321</v>
      </c>
      <c r="DS49" s="43">
        <f t="shared" si="311"/>
        <v>2.4784589666666652</v>
      </c>
      <c r="DT49" s="43">
        <f t="shared" si="312"/>
        <v>2.5243933999999983</v>
      </c>
      <c r="DU49" s="43">
        <f t="shared" si="313"/>
        <v>2.5703278333333315</v>
      </c>
      <c r="DV49" s="43">
        <f t="shared" si="314"/>
        <v>2.6162622666666646</v>
      </c>
      <c r="DW49" s="43">
        <f t="shared" si="315"/>
        <v>2.6621966999999978</v>
      </c>
      <c r="DX49" s="43">
        <f t="shared" si="316"/>
        <v>2.7081311333333309</v>
      </c>
      <c r="DY49" s="43">
        <f t="shared" si="317"/>
        <v>2.754065566666664</v>
      </c>
      <c r="DZ49" s="43">
        <f t="shared" si="318"/>
        <v>2.8</v>
      </c>
    </row>
    <row r="50" spans="1:165">
      <c r="A50" s="606" t="s">
        <v>460</v>
      </c>
      <c r="C50" s="54" t="s">
        <v>458</v>
      </c>
      <c r="D50" s="43">
        <f>$BZ$187</f>
        <v>7.1098350000000074E-2</v>
      </c>
      <c r="E50" s="43">
        <f t="shared" ref="E50:AG50" si="326">D50-($D50-$AH50)/30</f>
        <v>7.1098350000000074E-2</v>
      </c>
      <c r="F50" s="43">
        <f t="shared" si="326"/>
        <v>7.1098350000000074E-2</v>
      </c>
      <c r="G50" s="43">
        <f t="shared" si="326"/>
        <v>7.1098350000000074E-2</v>
      </c>
      <c r="H50" s="43">
        <f t="shared" si="326"/>
        <v>7.1098350000000074E-2</v>
      </c>
      <c r="I50" s="43">
        <f t="shared" si="326"/>
        <v>7.1098350000000074E-2</v>
      </c>
      <c r="J50" s="43">
        <f t="shared" si="326"/>
        <v>7.1098350000000074E-2</v>
      </c>
      <c r="K50" s="43">
        <f t="shared" si="326"/>
        <v>7.1098350000000074E-2</v>
      </c>
      <c r="L50" s="43">
        <f t="shared" si="326"/>
        <v>7.1098350000000074E-2</v>
      </c>
      <c r="M50" s="43">
        <f t="shared" si="326"/>
        <v>7.1098350000000074E-2</v>
      </c>
      <c r="N50" s="43">
        <f t="shared" si="326"/>
        <v>7.1098350000000074E-2</v>
      </c>
      <c r="O50" s="43">
        <f t="shared" si="326"/>
        <v>7.1098350000000074E-2</v>
      </c>
      <c r="P50" s="43">
        <f t="shared" si="326"/>
        <v>7.1098350000000074E-2</v>
      </c>
      <c r="Q50" s="43">
        <f t="shared" si="326"/>
        <v>7.1098350000000074E-2</v>
      </c>
      <c r="R50" s="43">
        <f t="shared" si="326"/>
        <v>7.1098350000000074E-2</v>
      </c>
      <c r="S50" s="43">
        <f t="shared" si="326"/>
        <v>7.1098350000000074E-2</v>
      </c>
      <c r="T50" s="43">
        <f t="shared" si="326"/>
        <v>7.1098350000000074E-2</v>
      </c>
      <c r="U50" s="43">
        <f t="shared" si="326"/>
        <v>7.1098350000000074E-2</v>
      </c>
      <c r="V50" s="43">
        <f t="shared" si="326"/>
        <v>7.1098350000000074E-2</v>
      </c>
      <c r="W50" s="43">
        <f t="shared" si="326"/>
        <v>7.1098350000000074E-2</v>
      </c>
      <c r="X50" s="43">
        <f t="shared" si="326"/>
        <v>7.1098350000000074E-2</v>
      </c>
      <c r="Y50" s="43">
        <f t="shared" si="326"/>
        <v>7.1098350000000074E-2</v>
      </c>
      <c r="Z50" s="43">
        <f t="shared" si="326"/>
        <v>7.1098350000000074E-2</v>
      </c>
      <c r="AA50" s="43">
        <f t="shared" si="326"/>
        <v>7.1098350000000074E-2</v>
      </c>
      <c r="AB50" s="43">
        <f t="shared" si="326"/>
        <v>7.1098350000000074E-2</v>
      </c>
      <c r="AC50" s="43">
        <f t="shared" si="326"/>
        <v>7.1098350000000074E-2</v>
      </c>
      <c r="AD50" s="43">
        <f t="shared" si="326"/>
        <v>7.1098350000000074E-2</v>
      </c>
      <c r="AE50" s="43">
        <f t="shared" si="326"/>
        <v>7.1098350000000074E-2</v>
      </c>
      <c r="AF50" s="43">
        <f t="shared" si="326"/>
        <v>7.1098350000000074E-2</v>
      </c>
      <c r="AG50" s="43">
        <f t="shared" si="326"/>
        <v>7.1098350000000074E-2</v>
      </c>
      <c r="AH50" s="43">
        <f>$BZ$187</f>
        <v>7.1098350000000074E-2</v>
      </c>
      <c r="AI50" s="44"/>
      <c r="AJ50" s="43">
        <f t="shared" si="320"/>
        <v>7.1098350000000074E-2</v>
      </c>
      <c r="AK50" s="43">
        <f t="shared" si="258"/>
        <v>7.1098350000000074E-2</v>
      </c>
      <c r="AL50" s="43">
        <f t="shared" si="259"/>
        <v>7.1098350000000074E-2</v>
      </c>
      <c r="AM50" s="43">
        <f t="shared" si="260"/>
        <v>7.1098350000000074E-2</v>
      </c>
      <c r="AN50" s="43">
        <f t="shared" si="261"/>
        <v>7.1098350000000074E-2</v>
      </c>
      <c r="AO50" s="43">
        <f t="shared" si="262"/>
        <v>7.1098350000000074E-2</v>
      </c>
      <c r="AP50" s="43">
        <f t="shared" si="263"/>
        <v>7.1098350000000074E-2</v>
      </c>
      <c r="AQ50" s="43">
        <f t="shared" si="264"/>
        <v>7.1098350000000074E-2</v>
      </c>
      <c r="AR50" s="43">
        <f t="shared" si="265"/>
        <v>7.1098350000000074E-2</v>
      </c>
      <c r="AS50" s="43">
        <f t="shared" si="266"/>
        <v>7.1098350000000074E-2</v>
      </c>
      <c r="AT50" s="43">
        <f t="shared" si="267"/>
        <v>7.1098350000000074E-2</v>
      </c>
      <c r="AU50" s="43">
        <f t="shared" si="268"/>
        <v>7.1098350000000074E-2</v>
      </c>
      <c r="AV50" s="43">
        <f t="shared" si="269"/>
        <v>7.1098350000000074E-2</v>
      </c>
      <c r="AW50" s="43">
        <f t="shared" si="270"/>
        <v>7.1098350000000074E-2</v>
      </c>
      <c r="AX50" s="43">
        <f t="shared" si="271"/>
        <v>7.1098350000000074E-2</v>
      </c>
      <c r="AY50" s="43">
        <f t="shared" si="272"/>
        <v>7.1098350000000074E-2</v>
      </c>
      <c r="AZ50" s="43">
        <f t="shared" si="273"/>
        <v>7.1098350000000074E-2</v>
      </c>
      <c r="BA50" s="43">
        <f t="shared" si="274"/>
        <v>7.1098350000000074E-2</v>
      </c>
      <c r="BB50" s="43">
        <f t="shared" si="275"/>
        <v>7.1098350000000074E-2</v>
      </c>
      <c r="BC50" s="43">
        <f t="shared" si="276"/>
        <v>7.1098350000000074E-2</v>
      </c>
      <c r="BD50" s="43">
        <f t="shared" si="277"/>
        <v>7.1098350000000074E-2</v>
      </c>
      <c r="BE50" s="43">
        <f t="shared" si="278"/>
        <v>7.1098350000000074E-2</v>
      </c>
      <c r="BF50" s="43">
        <f t="shared" si="279"/>
        <v>7.1098350000000074E-2</v>
      </c>
      <c r="BG50" s="43">
        <f t="shared" si="280"/>
        <v>7.1098350000000074E-2</v>
      </c>
      <c r="BH50" s="43">
        <f t="shared" si="281"/>
        <v>7.1098350000000074E-2</v>
      </c>
      <c r="BI50" s="43">
        <f t="shared" si="282"/>
        <v>7.1098350000000074E-2</v>
      </c>
      <c r="BJ50" s="43">
        <f t="shared" si="283"/>
        <v>7.1098350000000074E-2</v>
      </c>
      <c r="BK50" s="43">
        <f t="shared" si="284"/>
        <v>7.1098350000000074E-2</v>
      </c>
      <c r="BL50" s="43">
        <f t="shared" si="285"/>
        <v>7.1098350000000074E-2</v>
      </c>
      <c r="BM50" s="43">
        <f t="shared" si="286"/>
        <v>7.1098350000000074E-2</v>
      </c>
      <c r="BN50" s="43">
        <f t="shared" si="287"/>
        <v>7.1098350000000074E-2</v>
      </c>
      <c r="BP50" s="43">
        <f t="shared" si="321"/>
        <v>7.1098350000000074E-2</v>
      </c>
      <c r="BQ50" s="43">
        <f t="shared" ref="BQ50:CS50" si="327">BP50-($BP50-$CT50)/30</f>
        <v>7.1098350000000074E-2</v>
      </c>
      <c r="BR50" s="43">
        <f t="shared" si="327"/>
        <v>7.1098350000000074E-2</v>
      </c>
      <c r="BS50" s="43">
        <f t="shared" si="327"/>
        <v>7.1098350000000074E-2</v>
      </c>
      <c r="BT50" s="43">
        <f t="shared" si="327"/>
        <v>7.1098350000000074E-2</v>
      </c>
      <c r="BU50" s="43">
        <f t="shared" si="327"/>
        <v>7.1098350000000074E-2</v>
      </c>
      <c r="BV50" s="43">
        <f t="shared" si="327"/>
        <v>7.1098350000000074E-2</v>
      </c>
      <c r="BW50" s="43">
        <f t="shared" si="327"/>
        <v>7.1098350000000074E-2</v>
      </c>
      <c r="BX50" s="43">
        <f t="shared" si="327"/>
        <v>7.1098350000000074E-2</v>
      </c>
      <c r="BY50" s="43">
        <f t="shared" si="327"/>
        <v>7.1098350000000074E-2</v>
      </c>
      <c r="BZ50" s="43">
        <f t="shared" si="327"/>
        <v>7.1098350000000074E-2</v>
      </c>
      <c r="CA50" s="43">
        <f t="shared" si="327"/>
        <v>7.1098350000000074E-2</v>
      </c>
      <c r="CB50" s="43">
        <f t="shared" si="327"/>
        <v>7.1098350000000074E-2</v>
      </c>
      <c r="CC50" s="43">
        <f t="shared" si="327"/>
        <v>7.1098350000000074E-2</v>
      </c>
      <c r="CD50" s="43">
        <f t="shared" si="327"/>
        <v>7.1098350000000074E-2</v>
      </c>
      <c r="CE50" s="43">
        <f t="shared" si="327"/>
        <v>7.1098350000000074E-2</v>
      </c>
      <c r="CF50" s="43">
        <f t="shared" si="327"/>
        <v>7.1098350000000074E-2</v>
      </c>
      <c r="CG50" s="43">
        <f t="shared" si="327"/>
        <v>7.1098350000000074E-2</v>
      </c>
      <c r="CH50" s="43">
        <f t="shared" si="327"/>
        <v>7.1098350000000074E-2</v>
      </c>
      <c r="CI50" s="43">
        <f t="shared" si="327"/>
        <v>7.1098350000000074E-2</v>
      </c>
      <c r="CJ50" s="43">
        <f t="shared" si="327"/>
        <v>7.1098350000000074E-2</v>
      </c>
      <c r="CK50" s="43">
        <f t="shared" si="327"/>
        <v>7.1098350000000074E-2</v>
      </c>
      <c r="CL50" s="43">
        <f t="shared" si="327"/>
        <v>7.1098350000000074E-2</v>
      </c>
      <c r="CM50" s="43">
        <f t="shared" si="327"/>
        <v>7.1098350000000074E-2</v>
      </c>
      <c r="CN50" s="43">
        <f t="shared" si="327"/>
        <v>7.1098350000000074E-2</v>
      </c>
      <c r="CO50" s="43">
        <f t="shared" si="327"/>
        <v>7.1098350000000074E-2</v>
      </c>
      <c r="CP50" s="43">
        <f t="shared" si="327"/>
        <v>7.1098350000000074E-2</v>
      </c>
      <c r="CQ50" s="43">
        <f t="shared" si="327"/>
        <v>7.1098350000000074E-2</v>
      </c>
      <c r="CR50" s="43">
        <f t="shared" si="327"/>
        <v>7.1098350000000074E-2</v>
      </c>
      <c r="CS50" s="43">
        <f t="shared" si="327"/>
        <v>7.1098350000000074E-2</v>
      </c>
      <c r="CT50" s="43">
        <f>BN50</f>
        <v>7.1098350000000074E-2</v>
      </c>
      <c r="CV50" s="43">
        <f>AJ50</f>
        <v>7.1098350000000074E-2</v>
      </c>
      <c r="CW50" s="43">
        <f t="shared" si="289"/>
        <v>7.1098350000000074E-2</v>
      </c>
      <c r="CX50" s="43">
        <f t="shared" si="290"/>
        <v>7.1098350000000074E-2</v>
      </c>
      <c r="CY50" s="43">
        <f t="shared" si="291"/>
        <v>7.1098350000000074E-2</v>
      </c>
      <c r="CZ50" s="43">
        <f t="shared" si="292"/>
        <v>7.1098350000000074E-2</v>
      </c>
      <c r="DA50" s="43">
        <f t="shared" si="293"/>
        <v>7.1098350000000074E-2</v>
      </c>
      <c r="DB50" s="43">
        <f t="shared" si="294"/>
        <v>7.1098350000000074E-2</v>
      </c>
      <c r="DC50" s="43">
        <f t="shared" si="295"/>
        <v>7.1098350000000074E-2</v>
      </c>
      <c r="DD50" s="43">
        <f t="shared" si="296"/>
        <v>7.1098350000000074E-2</v>
      </c>
      <c r="DE50" s="43">
        <f t="shared" si="297"/>
        <v>7.1098350000000074E-2</v>
      </c>
      <c r="DF50" s="43">
        <f t="shared" si="298"/>
        <v>7.1098350000000074E-2</v>
      </c>
      <c r="DG50" s="43">
        <f t="shared" si="299"/>
        <v>7.1098350000000074E-2</v>
      </c>
      <c r="DH50" s="43">
        <f t="shared" si="300"/>
        <v>7.1098350000000074E-2</v>
      </c>
      <c r="DI50" s="43">
        <f t="shared" si="301"/>
        <v>7.1098350000000074E-2</v>
      </c>
      <c r="DJ50" s="43">
        <f t="shared" si="302"/>
        <v>7.1098350000000074E-2</v>
      </c>
      <c r="DK50" s="43">
        <f t="shared" si="303"/>
        <v>7.1098350000000074E-2</v>
      </c>
      <c r="DL50" s="43">
        <f t="shared" si="304"/>
        <v>7.1098350000000074E-2</v>
      </c>
      <c r="DM50" s="43">
        <f t="shared" si="305"/>
        <v>7.1098350000000074E-2</v>
      </c>
      <c r="DN50" s="43">
        <f t="shared" si="306"/>
        <v>7.1098350000000074E-2</v>
      </c>
      <c r="DO50" s="43">
        <f t="shared" si="307"/>
        <v>7.1098350000000074E-2</v>
      </c>
      <c r="DP50" s="43">
        <f t="shared" si="308"/>
        <v>7.1098350000000074E-2</v>
      </c>
      <c r="DQ50" s="43">
        <f t="shared" si="309"/>
        <v>7.1098350000000074E-2</v>
      </c>
      <c r="DR50" s="43">
        <f t="shared" si="310"/>
        <v>7.1098350000000074E-2</v>
      </c>
      <c r="DS50" s="43">
        <f t="shared" si="311"/>
        <v>7.1098350000000074E-2</v>
      </c>
      <c r="DT50" s="43">
        <f t="shared" si="312"/>
        <v>7.1098350000000074E-2</v>
      </c>
      <c r="DU50" s="43">
        <f t="shared" si="313"/>
        <v>7.1098350000000074E-2</v>
      </c>
      <c r="DV50" s="43">
        <f t="shared" si="314"/>
        <v>7.1098350000000074E-2</v>
      </c>
      <c r="DW50" s="43">
        <f t="shared" si="315"/>
        <v>7.1098350000000074E-2</v>
      </c>
      <c r="DX50" s="43">
        <f t="shared" si="316"/>
        <v>7.1098350000000074E-2</v>
      </c>
      <c r="DY50" s="43">
        <f t="shared" si="317"/>
        <v>7.1098350000000074E-2</v>
      </c>
      <c r="DZ50" s="43">
        <f t="shared" si="318"/>
        <v>7.1098350000000074E-2</v>
      </c>
    </row>
    <row r="51" spans="1:165">
      <c r="A51" s="606" t="s">
        <v>33</v>
      </c>
      <c r="C51" s="54" t="s">
        <v>458</v>
      </c>
      <c r="D51" s="43">
        <f>$B$190</f>
        <v>5.0000000000000001E-3</v>
      </c>
      <c r="E51" s="43">
        <f t="shared" ref="E51:AG51" si="328">D51-($D51-$AH51)/30</f>
        <v>4.8333333333333336E-3</v>
      </c>
      <c r="F51" s="43">
        <f t="shared" si="328"/>
        <v>4.6666666666666671E-3</v>
      </c>
      <c r="G51" s="43">
        <f t="shared" si="328"/>
        <v>4.5000000000000005E-3</v>
      </c>
      <c r="H51" s="43">
        <f t="shared" si="328"/>
        <v>4.333333333333334E-3</v>
      </c>
      <c r="I51" s="43">
        <f t="shared" si="328"/>
        <v>4.1666666666666675E-3</v>
      </c>
      <c r="J51" s="43">
        <f t="shared" si="328"/>
        <v>4.000000000000001E-3</v>
      </c>
      <c r="K51" s="43">
        <f t="shared" si="328"/>
        <v>3.8333333333333344E-3</v>
      </c>
      <c r="L51" s="43">
        <f t="shared" si="328"/>
        <v>3.6666666666666679E-3</v>
      </c>
      <c r="M51" s="43">
        <f t="shared" si="328"/>
        <v>3.5000000000000014E-3</v>
      </c>
      <c r="N51" s="43">
        <f t="shared" si="328"/>
        <v>3.3333333333333348E-3</v>
      </c>
      <c r="O51" s="43">
        <f t="shared" si="328"/>
        <v>3.1666666666666683E-3</v>
      </c>
      <c r="P51" s="43">
        <f t="shared" si="328"/>
        <v>3.0000000000000018E-3</v>
      </c>
      <c r="Q51" s="43">
        <f t="shared" si="328"/>
        <v>2.8333333333333353E-3</v>
      </c>
      <c r="R51" s="43">
        <f t="shared" si="328"/>
        <v>2.6666666666666687E-3</v>
      </c>
      <c r="S51" s="43">
        <f t="shared" si="328"/>
        <v>2.5000000000000022E-3</v>
      </c>
      <c r="T51" s="43">
        <f t="shared" si="328"/>
        <v>2.3333333333333357E-3</v>
      </c>
      <c r="U51" s="43">
        <f t="shared" si="328"/>
        <v>2.1666666666666692E-3</v>
      </c>
      <c r="V51" s="43">
        <f t="shared" si="328"/>
        <v>2.0000000000000026E-3</v>
      </c>
      <c r="W51" s="43">
        <f t="shared" si="328"/>
        <v>1.8333333333333359E-3</v>
      </c>
      <c r="X51" s="43">
        <f t="shared" si="328"/>
        <v>1.6666666666666692E-3</v>
      </c>
      <c r="Y51" s="43">
        <f t="shared" si="328"/>
        <v>1.5000000000000024E-3</v>
      </c>
      <c r="Z51" s="43">
        <f t="shared" si="328"/>
        <v>1.3333333333333357E-3</v>
      </c>
      <c r="AA51" s="43">
        <f t="shared" si="328"/>
        <v>1.1666666666666689E-3</v>
      </c>
      <c r="AB51" s="43">
        <f t="shared" si="328"/>
        <v>1.0000000000000022E-3</v>
      </c>
      <c r="AC51" s="43">
        <f t="shared" si="328"/>
        <v>8.3333333333333556E-4</v>
      </c>
      <c r="AD51" s="43">
        <f t="shared" si="328"/>
        <v>6.6666666666666892E-4</v>
      </c>
      <c r="AE51" s="43">
        <f t="shared" si="328"/>
        <v>5.0000000000000229E-4</v>
      </c>
      <c r="AF51" s="43">
        <f t="shared" si="328"/>
        <v>3.3333333333333565E-4</v>
      </c>
      <c r="AG51" s="43">
        <f t="shared" si="328"/>
        <v>1.6666666666666899E-4</v>
      </c>
      <c r="AH51" s="43">
        <f>$C$190</f>
        <v>0</v>
      </c>
      <c r="AI51" s="44"/>
      <c r="AJ51" s="43">
        <f t="shared" si="320"/>
        <v>5.0000000000000001E-3</v>
      </c>
      <c r="AK51" s="43">
        <f t="shared" si="258"/>
        <v>4.8333333333333336E-3</v>
      </c>
      <c r="AL51" s="43">
        <f t="shared" si="259"/>
        <v>4.6666666666666671E-3</v>
      </c>
      <c r="AM51" s="43">
        <f t="shared" si="260"/>
        <v>4.5000000000000005E-3</v>
      </c>
      <c r="AN51" s="43">
        <f t="shared" si="261"/>
        <v>4.333333333333334E-3</v>
      </c>
      <c r="AO51" s="43">
        <f t="shared" si="262"/>
        <v>4.1666666666666675E-3</v>
      </c>
      <c r="AP51" s="43">
        <f t="shared" si="263"/>
        <v>4.000000000000001E-3</v>
      </c>
      <c r="AQ51" s="43">
        <f t="shared" si="264"/>
        <v>3.8333333333333344E-3</v>
      </c>
      <c r="AR51" s="43">
        <f t="shared" si="265"/>
        <v>3.6666666666666679E-3</v>
      </c>
      <c r="AS51" s="43">
        <f t="shared" si="266"/>
        <v>3.5000000000000014E-3</v>
      </c>
      <c r="AT51" s="43">
        <f t="shared" si="267"/>
        <v>3.3333333333333348E-3</v>
      </c>
      <c r="AU51" s="43">
        <f t="shared" si="268"/>
        <v>3.1666666666666683E-3</v>
      </c>
      <c r="AV51" s="43">
        <f t="shared" si="269"/>
        <v>3.0000000000000018E-3</v>
      </c>
      <c r="AW51" s="43">
        <f t="shared" si="270"/>
        <v>2.8333333333333353E-3</v>
      </c>
      <c r="AX51" s="43">
        <f t="shared" si="271"/>
        <v>2.6666666666666687E-3</v>
      </c>
      <c r="AY51" s="43">
        <f t="shared" si="272"/>
        <v>2.5000000000000022E-3</v>
      </c>
      <c r="AZ51" s="43">
        <f t="shared" si="273"/>
        <v>2.3333333333333357E-3</v>
      </c>
      <c r="BA51" s="43">
        <f t="shared" si="274"/>
        <v>2.1666666666666692E-3</v>
      </c>
      <c r="BB51" s="43">
        <f t="shared" si="275"/>
        <v>2.0000000000000026E-3</v>
      </c>
      <c r="BC51" s="43">
        <f t="shared" si="276"/>
        <v>1.8333333333333359E-3</v>
      </c>
      <c r="BD51" s="43">
        <f t="shared" si="277"/>
        <v>1.6666666666666692E-3</v>
      </c>
      <c r="BE51" s="43">
        <f t="shared" si="278"/>
        <v>1.5000000000000024E-3</v>
      </c>
      <c r="BF51" s="43">
        <f t="shared" si="279"/>
        <v>1.3333333333333357E-3</v>
      </c>
      <c r="BG51" s="43">
        <f t="shared" si="280"/>
        <v>1.1666666666666689E-3</v>
      </c>
      <c r="BH51" s="43">
        <f t="shared" si="281"/>
        <v>1.0000000000000022E-3</v>
      </c>
      <c r="BI51" s="43">
        <f t="shared" si="282"/>
        <v>8.3333333333333556E-4</v>
      </c>
      <c r="BJ51" s="43">
        <f t="shared" si="283"/>
        <v>6.6666666666666892E-4</v>
      </c>
      <c r="BK51" s="43">
        <f t="shared" si="284"/>
        <v>5.0000000000000229E-4</v>
      </c>
      <c r="BL51" s="43">
        <f t="shared" si="285"/>
        <v>3.3333333333333565E-4</v>
      </c>
      <c r="BM51" s="43">
        <f t="shared" si="286"/>
        <v>1.6666666666666899E-4</v>
      </c>
      <c r="BN51" s="43">
        <f t="shared" si="287"/>
        <v>0</v>
      </c>
      <c r="BP51" s="43">
        <f t="shared" si="321"/>
        <v>5.0000000000000001E-3</v>
      </c>
      <c r="BQ51" s="43">
        <f t="shared" ref="BQ51:CS51" si="329">BP51-($BP51-$CT51)/30</f>
        <v>5.0000000000000001E-3</v>
      </c>
      <c r="BR51" s="43">
        <f t="shared" si="329"/>
        <v>5.0000000000000001E-3</v>
      </c>
      <c r="BS51" s="43">
        <f t="shared" si="329"/>
        <v>5.0000000000000001E-3</v>
      </c>
      <c r="BT51" s="43">
        <f t="shared" si="329"/>
        <v>5.0000000000000001E-3</v>
      </c>
      <c r="BU51" s="43">
        <f t="shared" si="329"/>
        <v>5.0000000000000001E-3</v>
      </c>
      <c r="BV51" s="43">
        <f t="shared" si="329"/>
        <v>5.0000000000000001E-3</v>
      </c>
      <c r="BW51" s="43">
        <f t="shared" si="329"/>
        <v>5.0000000000000001E-3</v>
      </c>
      <c r="BX51" s="43">
        <f t="shared" si="329"/>
        <v>5.0000000000000001E-3</v>
      </c>
      <c r="BY51" s="43">
        <f t="shared" si="329"/>
        <v>5.0000000000000001E-3</v>
      </c>
      <c r="BZ51" s="43">
        <f t="shared" si="329"/>
        <v>5.0000000000000001E-3</v>
      </c>
      <c r="CA51" s="43">
        <f t="shared" si="329"/>
        <v>5.0000000000000001E-3</v>
      </c>
      <c r="CB51" s="43">
        <f t="shared" si="329"/>
        <v>5.0000000000000001E-3</v>
      </c>
      <c r="CC51" s="43">
        <f t="shared" si="329"/>
        <v>5.0000000000000001E-3</v>
      </c>
      <c r="CD51" s="43">
        <f t="shared" si="329"/>
        <v>5.0000000000000001E-3</v>
      </c>
      <c r="CE51" s="43">
        <f t="shared" si="329"/>
        <v>5.0000000000000001E-3</v>
      </c>
      <c r="CF51" s="43">
        <f t="shared" si="329"/>
        <v>5.0000000000000001E-3</v>
      </c>
      <c r="CG51" s="43">
        <f t="shared" si="329"/>
        <v>5.0000000000000001E-3</v>
      </c>
      <c r="CH51" s="43">
        <f t="shared" si="329"/>
        <v>5.0000000000000001E-3</v>
      </c>
      <c r="CI51" s="43">
        <f t="shared" si="329"/>
        <v>5.0000000000000001E-3</v>
      </c>
      <c r="CJ51" s="43">
        <f t="shared" si="329"/>
        <v>5.0000000000000001E-3</v>
      </c>
      <c r="CK51" s="43">
        <f t="shared" si="329"/>
        <v>5.0000000000000001E-3</v>
      </c>
      <c r="CL51" s="43">
        <f t="shared" si="329"/>
        <v>5.0000000000000001E-3</v>
      </c>
      <c r="CM51" s="43">
        <f t="shared" si="329"/>
        <v>5.0000000000000001E-3</v>
      </c>
      <c r="CN51" s="43">
        <f t="shared" si="329"/>
        <v>5.0000000000000001E-3</v>
      </c>
      <c r="CO51" s="43">
        <f t="shared" si="329"/>
        <v>5.0000000000000001E-3</v>
      </c>
      <c r="CP51" s="43">
        <f t="shared" si="329"/>
        <v>5.0000000000000001E-3</v>
      </c>
      <c r="CQ51" s="43">
        <f t="shared" si="329"/>
        <v>5.0000000000000001E-3</v>
      </c>
      <c r="CR51" s="43">
        <f t="shared" si="329"/>
        <v>5.0000000000000001E-3</v>
      </c>
      <c r="CS51" s="43">
        <f t="shared" si="329"/>
        <v>5.0000000000000001E-3</v>
      </c>
      <c r="CT51" s="43">
        <f t="shared" ref="CT51:CT55" si="330">BP51</f>
        <v>5.0000000000000001E-3</v>
      </c>
      <c r="CV51" s="43">
        <f>AJ51</f>
        <v>5.0000000000000001E-3</v>
      </c>
      <c r="CW51" s="43">
        <f t="shared" si="289"/>
        <v>4.8333333333333336E-3</v>
      </c>
      <c r="CX51" s="43">
        <f t="shared" si="290"/>
        <v>4.6666666666666671E-3</v>
      </c>
      <c r="CY51" s="43">
        <f t="shared" si="291"/>
        <v>4.5000000000000005E-3</v>
      </c>
      <c r="CZ51" s="43">
        <f t="shared" si="292"/>
        <v>4.333333333333334E-3</v>
      </c>
      <c r="DA51" s="43">
        <f t="shared" si="293"/>
        <v>4.1666666666666675E-3</v>
      </c>
      <c r="DB51" s="43">
        <f t="shared" si="294"/>
        <v>4.000000000000001E-3</v>
      </c>
      <c r="DC51" s="43">
        <f t="shared" si="295"/>
        <v>3.8333333333333344E-3</v>
      </c>
      <c r="DD51" s="43">
        <f t="shared" si="296"/>
        <v>3.6666666666666679E-3</v>
      </c>
      <c r="DE51" s="43">
        <f t="shared" si="297"/>
        <v>3.5000000000000014E-3</v>
      </c>
      <c r="DF51" s="43">
        <f t="shared" si="298"/>
        <v>3.3333333333333348E-3</v>
      </c>
      <c r="DG51" s="43">
        <f t="shared" si="299"/>
        <v>3.1666666666666683E-3</v>
      </c>
      <c r="DH51" s="43">
        <f t="shared" si="300"/>
        <v>3.0000000000000018E-3</v>
      </c>
      <c r="DI51" s="43">
        <f t="shared" si="301"/>
        <v>2.8333333333333353E-3</v>
      </c>
      <c r="DJ51" s="43">
        <f t="shared" si="302"/>
        <v>2.6666666666666687E-3</v>
      </c>
      <c r="DK51" s="43">
        <f t="shared" si="303"/>
        <v>2.5000000000000022E-3</v>
      </c>
      <c r="DL51" s="43">
        <f t="shared" si="304"/>
        <v>2.3333333333333357E-3</v>
      </c>
      <c r="DM51" s="43">
        <f t="shared" si="305"/>
        <v>2.1666666666666692E-3</v>
      </c>
      <c r="DN51" s="43">
        <f t="shared" si="306"/>
        <v>2.0000000000000026E-3</v>
      </c>
      <c r="DO51" s="43">
        <f t="shared" si="307"/>
        <v>1.8333333333333359E-3</v>
      </c>
      <c r="DP51" s="43">
        <f t="shared" si="308"/>
        <v>1.6666666666666692E-3</v>
      </c>
      <c r="DQ51" s="43">
        <f t="shared" si="309"/>
        <v>1.5000000000000024E-3</v>
      </c>
      <c r="DR51" s="43">
        <f t="shared" si="310"/>
        <v>1.3333333333333357E-3</v>
      </c>
      <c r="DS51" s="43">
        <f t="shared" si="311"/>
        <v>1.1666666666666689E-3</v>
      </c>
      <c r="DT51" s="43">
        <f t="shared" si="312"/>
        <v>1.0000000000000022E-3</v>
      </c>
      <c r="DU51" s="43">
        <f t="shared" si="313"/>
        <v>8.3333333333333556E-4</v>
      </c>
      <c r="DV51" s="43">
        <f t="shared" si="314"/>
        <v>6.6666666666666892E-4</v>
      </c>
      <c r="DW51" s="43">
        <f t="shared" si="315"/>
        <v>5.0000000000000229E-4</v>
      </c>
      <c r="DX51" s="43">
        <f t="shared" si="316"/>
        <v>3.3333333333333565E-4</v>
      </c>
      <c r="DY51" s="43">
        <f t="shared" si="317"/>
        <v>1.6666666666666899E-4</v>
      </c>
      <c r="DZ51" s="43">
        <f t="shared" si="318"/>
        <v>0</v>
      </c>
    </row>
    <row r="52" spans="1:165">
      <c r="A52" s="606" t="s">
        <v>451</v>
      </c>
      <c r="C52" s="54" t="s">
        <v>458</v>
      </c>
      <c r="D52" s="43">
        <f>$B$191</f>
        <v>0</v>
      </c>
      <c r="E52" s="43">
        <f t="shared" ref="E52:AG52" si="331">D52-($D52-$AH52)/30</f>
        <v>0</v>
      </c>
      <c r="F52" s="43">
        <f t="shared" si="331"/>
        <v>0</v>
      </c>
      <c r="G52" s="43">
        <f t="shared" si="331"/>
        <v>0</v>
      </c>
      <c r="H52" s="43">
        <f t="shared" si="331"/>
        <v>0</v>
      </c>
      <c r="I52" s="43">
        <f t="shared" si="331"/>
        <v>0</v>
      </c>
      <c r="J52" s="43">
        <f t="shared" si="331"/>
        <v>0</v>
      </c>
      <c r="K52" s="43">
        <f t="shared" si="331"/>
        <v>0</v>
      </c>
      <c r="L52" s="43">
        <f t="shared" si="331"/>
        <v>0</v>
      </c>
      <c r="M52" s="43">
        <f t="shared" si="331"/>
        <v>0</v>
      </c>
      <c r="N52" s="43">
        <f t="shared" si="331"/>
        <v>0</v>
      </c>
      <c r="O52" s="43">
        <f t="shared" si="331"/>
        <v>0</v>
      </c>
      <c r="P52" s="43">
        <f t="shared" si="331"/>
        <v>0</v>
      </c>
      <c r="Q52" s="43">
        <f t="shared" si="331"/>
        <v>0</v>
      </c>
      <c r="R52" s="43">
        <f t="shared" si="331"/>
        <v>0</v>
      </c>
      <c r="S52" s="43">
        <f t="shared" si="331"/>
        <v>0</v>
      </c>
      <c r="T52" s="43">
        <f t="shared" si="331"/>
        <v>0</v>
      </c>
      <c r="U52" s="43">
        <f t="shared" si="331"/>
        <v>0</v>
      </c>
      <c r="V52" s="43">
        <f t="shared" si="331"/>
        <v>0</v>
      </c>
      <c r="W52" s="43">
        <f t="shared" si="331"/>
        <v>0</v>
      </c>
      <c r="X52" s="43">
        <f t="shared" si="331"/>
        <v>0</v>
      </c>
      <c r="Y52" s="43">
        <f t="shared" si="331"/>
        <v>0</v>
      </c>
      <c r="Z52" s="43">
        <f t="shared" si="331"/>
        <v>0</v>
      </c>
      <c r="AA52" s="43">
        <f t="shared" si="331"/>
        <v>0</v>
      </c>
      <c r="AB52" s="43">
        <f t="shared" si="331"/>
        <v>0</v>
      </c>
      <c r="AC52" s="43">
        <f t="shared" si="331"/>
        <v>0</v>
      </c>
      <c r="AD52" s="43">
        <f t="shared" si="331"/>
        <v>0</v>
      </c>
      <c r="AE52" s="43">
        <f t="shared" si="331"/>
        <v>0</v>
      </c>
      <c r="AF52" s="43">
        <f t="shared" si="331"/>
        <v>0</v>
      </c>
      <c r="AG52" s="43">
        <f t="shared" si="331"/>
        <v>0</v>
      </c>
      <c r="AH52" s="43">
        <f>$C$191</f>
        <v>0</v>
      </c>
      <c r="AI52" s="44"/>
      <c r="AJ52" s="43">
        <f t="shared" si="320"/>
        <v>0</v>
      </c>
      <c r="AK52" s="43">
        <f t="shared" si="258"/>
        <v>0</v>
      </c>
      <c r="AL52" s="43">
        <f t="shared" si="259"/>
        <v>0</v>
      </c>
      <c r="AM52" s="43">
        <f t="shared" si="260"/>
        <v>0</v>
      </c>
      <c r="AN52" s="43">
        <f t="shared" si="261"/>
        <v>0</v>
      </c>
      <c r="AO52" s="43">
        <f t="shared" si="262"/>
        <v>0</v>
      </c>
      <c r="AP52" s="43">
        <f t="shared" si="263"/>
        <v>0</v>
      </c>
      <c r="AQ52" s="43">
        <f t="shared" si="264"/>
        <v>0</v>
      </c>
      <c r="AR52" s="43">
        <f t="shared" si="265"/>
        <v>0</v>
      </c>
      <c r="AS52" s="43">
        <f t="shared" si="266"/>
        <v>0</v>
      </c>
      <c r="AT52" s="43">
        <f t="shared" si="267"/>
        <v>0</v>
      </c>
      <c r="AU52" s="43">
        <f t="shared" si="268"/>
        <v>0</v>
      </c>
      <c r="AV52" s="43">
        <f t="shared" si="269"/>
        <v>0</v>
      </c>
      <c r="AW52" s="43">
        <f t="shared" si="270"/>
        <v>0</v>
      </c>
      <c r="AX52" s="43">
        <f t="shared" si="271"/>
        <v>0</v>
      </c>
      <c r="AY52" s="43">
        <f t="shared" si="272"/>
        <v>0</v>
      </c>
      <c r="AZ52" s="43">
        <f t="shared" si="273"/>
        <v>0</v>
      </c>
      <c r="BA52" s="43">
        <f t="shared" si="274"/>
        <v>0</v>
      </c>
      <c r="BB52" s="43">
        <f t="shared" si="275"/>
        <v>0</v>
      </c>
      <c r="BC52" s="43">
        <f t="shared" si="276"/>
        <v>0</v>
      </c>
      <c r="BD52" s="43">
        <f t="shared" si="277"/>
        <v>0</v>
      </c>
      <c r="BE52" s="43">
        <f t="shared" si="278"/>
        <v>0</v>
      </c>
      <c r="BF52" s="43">
        <f t="shared" si="279"/>
        <v>0</v>
      </c>
      <c r="BG52" s="43">
        <f t="shared" si="280"/>
        <v>0</v>
      </c>
      <c r="BH52" s="43">
        <f t="shared" si="281"/>
        <v>0</v>
      </c>
      <c r="BI52" s="43">
        <f t="shared" si="282"/>
        <v>0</v>
      </c>
      <c r="BJ52" s="43">
        <f t="shared" si="283"/>
        <v>0</v>
      </c>
      <c r="BK52" s="43">
        <f t="shared" si="284"/>
        <v>0</v>
      </c>
      <c r="BL52" s="43">
        <f t="shared" si="285"/>
        <v>0</v>
      </c>
      <c r="BM52" s="43">
        <f t="shared" si="286"/>
        <v>0</v>
      </c>
      <c r="BN52" s="43">
        <f t="shared" si="287"/>
        <v>0</v>
      </c>
      <c r="BP52" s="43">
        <f t="shared" si="321"/>
        <v>0</v>
      </c>
      <c r="BQ52" s="43">
        <f t="shared" ref="BQ52:CS52" si="332">BP52-($BP52-$CT52)/30</f>
        <v>0</v>
      </c>
      <c r="BR52" s="43">
        <f t="shared" si="332"/>
        <v>0</v>
      </c>
      <c r="BS52" s="43">
        <f t="shared" si="332"/>
        <v>0</v>
      </c>
      <c r="BT52" s="43">
        <f t="shared" si="332"/>
        <v>0</v>
      </c>
      <c r="BU52" s="43">
        <f t="shared" si="332"/>
        <v>0</v>
      </c>
      <c r="BV52" s="43">
        <f t="shared" si="332"/>
        <v>0</v>
      </c>
      <c r="BW52" s="43">
        <f t="shared" si="332"/>
        <v>0</v>
      </c>
      <c r="BX52" s="43">
        <f t="shared" si="332"/>
        <v>0</v>
      </c>
      <c r="BY52" s="43">
        <f t="shared" si="332"/>
        <v>0</v>
      </c>
      <c r="BZ52" s="43">
        <f t="shared" si="332"/>
        <v>0</v>
      </c>
      <c r="CA52" s="43">
        <f t="shared" si="332"/>
        <v>0</v>
      </c>
      <c r="CB52" s="43">
        <f t="shared" si="332"/>
        <v>0</v>
      </c>
      <c r="CC52" s="43">
        <f t="shared" si="332"/>
        <v>0</v>
      </c>
      <c r="CD52" s="43">
        <f t="shared" si="332"/>
        <v>0</v>
      </c>
      <c r="CE52" s="43">
        <f t="shared" si="332"/>
        <v>0</v>
      </c>
      <c r="CF52" s="43">
        <f t="shared" si="332"/>
        <v>0</v>
      </c>
      <c r="CG52" s="43">
        <f t="shared" si="332"/>
        <v>0</v>
      </c>
      <c r="CH52" s="43">
        <f t="shared" si="332"/>
        <v>0</v>
      </c>
      <c r="CI52" s="43">
        <f t="shared" si="332"/>
        <v>0</v>
      </c>
      <c r="CJ52" s="43">
        <f t="shared" si="332"/>
        <v>0</v>
      </c>
      <c r="CK52" s="43">
        <f t="shared" si="332"/>
        <v>0</v>
      </c>
      <c r="CL52" s="43">
        <f t="shared" si="332"/>
        <v>0</v>
      </c>
      <c r="CM52" s="43">
        <f t="shared" si="332"/>
        <v>0</v>
      </c>
      <c r="CN52" s="43">
        <f t="shared" si="332"/>
        <v>0</v>
      </c>
      <c r="CO52" s="43">
        <f t="shared" si="332"/>
        <v>0</v>
      </c>
      <c r="CP52" s="43">
        <f t="shared" si="332"/>
        <v>0</v>
      </c>
      <c r="CQ52" s="43">
        <f t="shared" si="332"/>
        <v>0</v>
      </c>
      <c r="CR52" s="43">
        <f t="shared" si="332"/>
        <v>0</v>
      </c>
      <c r="CS52" s="43">
        <f t="shared" si="332"/>
        <v>0</v>
      </c>
      <c r="CT52" s="43">
        <f t="shared" si="330"/>
        <v>0</v>
      </c>
      <c r="CV52" s="43">
        <f t="shared" ref="CV52:CV55" si="333">AJ52</f>
        <v>0</v>
      </c>
      <c r="CW52" s="43">
        <f t="shared" ref="CW52:CW55" si="334">CV52-($BP52-$CT52)/30</f>
        <v>0</v>
      </c>
      <c r="CX52" s="43">
        <f t="shared" ref="CX52:CX55" si="335">CW52-($BP52-$CT52)/30</f>
        <v>0</v>
      </c>
      <c r="CY52" s="43">
        <f t="shared" ref="CY52:CY55" si="336">CX52-($BP52-$CT52)/30</f>
        <v>0</v>
      </c>
      <c r="CZ52" s="43">
        <f t="shared" ref="CZ52:CZ55" si="337">CY52-($BP52-$CT52)/30</f>
        <v>0</v>
      </c>
      <c r="DA52" s="43">
        <f t="shared" ref="DA52:DA55" si="338">CZ52-($BP52-$CT52)/30</f>
        <v>0</v>
      </c>
      <c r="DB52" s="43">
        <f t="shared" ref="DB52:DB55" si="339">DA52-($BP52-$CT52)/30</f>
        <v>0</v>
      </c>
      <c r="DC52" s="43">
        <f t="shared" ref="DC52:DC55" si="340">DB52-($BP52-$CT52)/30</f>
        <v>0</v>
      </c>
      <c r="DD52" s="43">
        <f t="shared" ref="DD52:DD55" si="341">DC52-($BP52-$CT52)/30</f>
        <v>0</v>
      </c>
      <c r="DE52" s="43">
        <f t="shared" ref="DE52:DE55" si="342">DD52-($BP52-$CT52)/30</f>
        <v>0</v>
      </c>
      <c r="DF52" s="43">
        <f t="shared" ref="DF52:DF55" si="343">DE52-($BP52-$CT52)/30</f>
        <v>0</v>
      </c>
      <c r="DG52" s="43">
        <f t="shared" ref="DG52:DG55" si="344">DF52-($BP52-$CT52)/30</f>
        <v>0</v>
      </c>
      <c r="DH52" s="43">
        <f t="shared" ref="DH52:DH55" si="345">DG52-($BP52-$CT52)/30</f>
        <v>0</v>
      </c>
      <c r="DI52" s="43">
        <f t="shared" ref="DI52:DI55" si="346">DH52-($BP52-$CT52)/30</f>
        <v>0</v>
      </c>
      <c r="DJ52" s="43">
        <f t="shared" ref="DJ52:DJ55" si="347">DI52-($BP52-$CT52)/30</f>
        <v>0</v>
      </c>
      <c r="DK52" s="43">
        <f t="shared" ref="DK52:DK55" si="348">DJ52-($BP52-$CT52)/30</f>
        <v>0</v>
      </c>
      <c r="DL52" s="43">
        <f t="shared" ref="DL52:DL55" si="349">DK52-($BP52-$CT52)/30</f>
        <v>0</v>
      </c>
      <c r="DM52" s="43">
        <f t="shared" ref="DM52:DM55" si="350">DL52-($BP52-$CT52)/30</f>
        <v>0</v>
      </c>
      <c r="DN52" s="43">
        <f t="shared" ref="DN52:DN55" si="351">DM52-($BP52-$CT52)/30</f>
        <v>0</v>
      </c>
      <c r="DO52" s="43">
        <f t="shared" ref="DO52:DO55" si="352">DN52-($BP52-$CT52)/30</f>
        <v>0</v>
      </c>
      <c r="DP52" s="43">
        <f t="shared" ref="DP52:DP55" si="353">DO52-($BP52-$CT52)/30</f>
        <v>0</v>
      </c>
      <c r="DQ52" s="43">
        <f t="shared" ref="DQ52:DQ55" si="354">DP52-($BP52-$CT52)/30</f>
        <v>0</v>
      </c>
      <c r="DR52" s="43">
        <f t="shared" ref="DR52:DR55" si="355">DQ52-($BP52-$CT52)/30</f>
        <v>0</v>
      </c>
      <c r="DS52" s="43">
        <f t="shared" ref="DS52:DS55" si="356">DR52-($BP52-$CT52)/30</f>
        <v>0</v>
      </c>
      <c r="DT52" s="43">
        <f t="shared" ref="DT52:DT55" si="357">DS52-($BP52-$CT52)/30</f>
        <v>0</v>
      </c>
      <c r="DU52" s="43">
        <f t="shared" ref="DU52:DU55" si="358">DT52-($BP52-$CT52)/30</f>
        <v>0</v>
      </c>
      <c r="DV52" s="43">
        <f t="shared" ref="DV52:DV55" si="359">DU52-($BP52-$CT52)/30</f>
        <v>0</v>
      </c>
      <c r="DW52" s="43">
        <f t="shared" ref="DW52:DW55" si="360">DV52-($BP52-$CT52)/30</f>
        <v>0</v>
      </c>
      <c r="DX52" s="43">
        <f t="shared" ref="DX52:DX55" si="361">DW52-($BP52-$CT52)/30</f>
        <v>0</v>
      </c>
      <c r="DY52" s="43">
        <f t="shared" ref="DY52:DY55" si="362">DX52-($BP52-$CT52)/30</f>
        <v>0</v>
      </c>
      <c r="DZ52" s="43">
        <v>0</v>
      </c>
    </row>
    <row r="53" spans="1:165">
      <c r="A53" s="606" t="s">
        <v>452</v>
      </c>
      <c r="C53" s="54" t="s">
        <v>458</v>
      </c>
      <c r="D53" s="43">
        <f>$B$192</f>
        <v>2.8940000000000001</v>
      </c>
      <c r="E53" s="43">
        <f t="shared" ref="E53:AG53" si="363">D53-($D53-$AH53)/30</f>
        <v>2.8940000000000001</v>
      </c>
      <c r="F53" s="43">
        <f t="shared" si="363"/>
        <v>2.8940000000000001</v>
      </c>
      <c r="G53" s="43">
        <f t="shared" si="363"/>
        <v>2.8940000000000001</v>
      </c>
      <c r="H53" s="43">
        <f t="shared" si="363"/>
        <v>2.8940000000000001</v>
      </c>
      <c r="I53" s="43">
        <f t="shared" si="363"/>
        <v>2.8940000000000001</v>
      </c>
      <c r="J53" s="43">
        <f t="shared" si="363"/>
        <v>2.8940000000000001</v>
      </c>
      <c r="K53" s="43">
        <f t="shared" si="363"/>
        <v>2.8940000000000001</v>
      </c>
      <c r="L53" s="43">
        <f t="shared" si="363"/>
        <v>2.8940000000000001</v>
      </c>
      <c r="M53" s="43">
        <f t="shared" si="363"/>
        <v>2.8940000000000001</v>
      </c>
      <c r="N53" s="43">
        <f t="shared" si="363"/>
        <v>2.8940000000000001</v>
      </c>
      <c r="O53" s="43">
        <f t="shared" si="363"/>
        <v>2.8940000000000001</v>
      </c>
      <c r="P53" s="43">
        <f t="shared" si="363"/>
        <v>2.8940000000000001</v>
      </c>
      <c r="Q53" s="43">
        <f t="shared" si="363"/>
        <v>2.8940000000000001</v>
      </c>
      <c r="R53" s="43">
        <f t="shared" si="363"/>
        <v>2.8940000000000001</v>
      </c>
      <c r="S53" s="43">
        <f t="shared" si="363"/>
        <v>2.8940000000000001</v>
      </c>
      <c r="T53" s="43">
        <f t="shared" si="363"/>
        <v>2.8940000000000001</v>
      </c>
      <c r="U53" s="43">
        <f t="shared" si="363"/>
        <v>2.8940000000000001</v>
      </c>
      <c r="V53" s="43">
        <f t="shared" si="363"/>
        <v>2.8940000000000001</v>
      </c>
      <c r="W53" s="43">
        <f t="shared" si="363"/>
        <v>2.8940000000000001</v>
      </c>
      <c r="X53" s="43">
        <f t="shared" si="363"/>
        <v>2.8940000000000001</v>
      </c>
      <c r="Y53" s="43">
        <f t="shared" si="363"/>
        <v>2.8940000000000001</v>
      </c>
      <c r="Z53" s="43">
        <f t="shared" si="363"/>
        <v>2.8940000000000001</v>
      </c>
      <c r="AA53" s="43">
        <f t="shared" si="363"/>
        <v>2.8940000000000001</v>
      </c>
      <c r="AB53" s="43">
        <f t="shared" si="363"/>
        <v>2.8940000000000001</v>
      </c>
      <c r="AC53" s="43">
        <f t="shared" si="363"/>
        <v>2.8940000000000001</v>
      </c>
      <c r="AD53" s="43">
        <f t="shared" si="363"/>
        <v>2.8940000000000001</v>
      </c>
      <c r="AE53" s="43">
        <f t="shared" si="363"/>
        <v>2.8940000000000001</v>
      </c>
      <c r="AF53" s="43">
        <f t="shared" si="363"/>
        <v>2.8940000000000001</v>
      </c>
      <c r="AG53" s="43">
        <f t="shared" si="363"/>
        <v>2.8940000000000001</v>
      </c>
      <c r="AH53" s="43">
        <f>$C$192</f>
        <v>2.8940000000000001</v>
      </c>
      <c r="AI53" s="44"/>
      <c r="AJ53" s="43">
        <f t="shared" si="320"/>
        <v>2.8940000000000001</v>
      </c>
      <c r="AK53" s="43">
        <f t="shared" si="258"/>
        <v>2.8940000000000001</v>
      </c>
      <c r="AL53" s="43">
        <f t="shared" si="259"/>
        <v>2.8940000000000001</v>
      </c>
      <c r="AM53" s="43">
        <f t="shared" si="260"/>
        <v>2.8940000000000001</v>
      </c>
      <c r="AN53" s="43">
        <f t="shared" si="261"/>
        <v>2.8940000000000001</v>
      </c>
      <c r="AO53" s="43">
        <f t="shared" si="262"/>
        <v>2.8940000000000001</v>
      </c>
      <c r="AP53" s="43">
        <f t="shared" si="263"/>
        <v>2.8940000000000001</v>
      </c>
      <c r="AQ53" s="43">
        <f t="shared" si="264"/>
        <v>2.8940000000000001</v>
      </c>
      <c r="AR53" s="43">
        <f t="shared" si="265"/>
        <v>2.8940000000000001</v>
      </c>
      <c r="AS53" s="43">
        <f t="shared" si="266"/>
        <v>2.8940000000000001</v>
      </c>
      <c r="AT53" s="43">
        <f t="shared" si="267"/>
        <v>2.8940000000000001</v>
      </c>
      <c r="AU53" s="43">
        <f t="shared" si="268"/>
        <v>2.8940000000000001</v>
      </c>
      <c r="AV53" s="43">
        <f t="shared" si="269"/>
        <v>2.8940000000000001</v>
      </c>
      <c r="AW53" s="43">
        <f t="shared" si="270"/>
        <v>2.8940000000000001</v>
      </c>
      <c r="AX53" s="43">
        <f t="shared" si="271"/>
        <v>2.8940000000000001</v>
      </c>
      <c r="AY53" s="43">
        <f t="shared" si="272"/>
        <v>2.8940000000000001</v>
      </c>
      <c r="AZ53" s="43">
        <f t="shared" si="273"/>
        <v>2.8940000000000001</v>
      </c>
      <c r="BA53" s="43">
        <f t="shared" si="274"/>
        <v>2.8940000000000001</v>
      </c>
      <c r="BB53" s="43">
        <f t="shared" si="275"/>
        <v>2.8940000000000001</v>
      </c>
      <c r="BC53" s="43">
        <f t="shared" si="276"/>
        <v>2.8940000000000001</v>
      </c>
      <c r="BD53" s="43">
        <f t="shared" si="277"/>
        <v>2.8940000000000001</v>
      </c>
      <c r="BE53" s="43">
        <f t="shared" si="278"/>
        <v>2.8940000000000001</v>
      </c>
      <c r="BF53" s="43">
        <f t="shared" si="279"/>
        <v>2.8940000000000001</v>
      </c>
      <c r="BG53" s="43">
        <f t="shared" si="280"/>
        <v>2.8940000000000001</v>
      </c>
      <c r="BH53" s="43">
        <f t="shared" si="281"/>
        <v>2.8940000000000001</v>
      </c>
      <c r="BI53" s="43">
        <f t="shared" si="282"/>
        <v>2.8940000000000001</v>
      </c>
      <c r="BJ53" s="43">
        <f t="shared" si="283"/>
        <v>2.8940000000000001</v>
      </c>
      <c r="BK53" s="43">
        <f t="shared" si="284"/>
        <v>2.8940000000000001</v>
      </c>
      <c r="BL53" s="43">
        <f t="shared" si="285"/>
        <v>2.8940000000000001</v>
      </c>
      <c r="BM53" s="43">
        <f t="shared" si="286"/>
        <v>2.8940000000000001</v>
      </c>
      <c r="BN53" s="43">
        <f t="shared" si="287"/>
        <v>2.8940000000000001</v>
      </c>
      <c r="BP53" s="43">
        <f t="shared" si="321"/>
        <v>2.8940000000000001</v>
      </c>
      <c r="BQ53" s="43">
        <f t="shared" ref="BQ53:CS53" si="364">BP53-($BP53-$CT53)/30</f>
        <v>2.8940000000000001</v>
      </c>
      <c r="BR53" s="43">
        <f t="shared" si="364"/>
        <v>2.8940000000000001</v>
      </c>
      <c r="BS53" s="43">
        <f t="shared" si="364"/>
        <v>2.8940000000000001</v>
      </c>
      <c r="BT53" s="43">
        <f t="shared" si="364"/>
        <v>2.8940000000000001</v>
      </c>
      <c r="BU53" s="43">
        <f t="shared" si="364"/>
        <v>2.8940000000000001</v>
      </c>
      <c r="BV53" s="43">
        <f t="shared" si="364"/>
        <v>2.8940000000000001</v>
      </c>
      <c r="BW53" s="43">
        <f t="shared" si="364"/>
        <v>2.8940000000000001</v>
      </c>
      <c r="BX53" s="43">
        <f t="shared" si="364"/>
        <v>2.8940000000000001</v>
      </c>
      <c r="BY53" s="43">
        <f t="shared" si="364"/>
        <v>2.8940000000000001</v>
      </c>
      <c r="BZ53" s="43">
        <f t="shared" si="364"/>
        <v>2.8940000000000001</v>
      </c>
      <c r="CA53" s="43">
        <f t="shared" si="364"/>
        <v>2.8940000000000001</v>
      </c>
      <c r="CB53" s="43">
        <f t="shared" si="364"/>
        <v>2.8940000000000001</v>
      </c>
      <c r="CC53" s="43">
        <f t="shared" si="364"/>
        <v>2.8940000000000001</v>
      </c>
      <c r="CD53" s="43">
        <f t="shared" si="364"/>
        <v>2.8940000000000001</v>
      </c>
      <c r="CE53" s="43">
        <f t="shared" si="364"/>
        <v>2.8940000000000001</v>
      </c>
      <c r="CF53" s="43">
        <f t="shared" si="364"/>
        <v>2.8940000000000001</v>
      </c>
      <c r="CG53" s="43">
        <f t="shared" si="364"/>
        <v>2.8940000000000001</v>
      </c>
      <c r="CH53" s="43">
        <f t="shared" si="364"/>
        <v>2.8940000000000001</v>
      </c>
      <c r="CI53" s="43">
        <f t="shared" si="364"/>
        <v>2.8940000000000001</v>
      </c>
      <c r="CJ53" s="43">
        <f t="shared" si="364"/>
        <v>2.8940000000000001</v>
      </c>
      <c r="CK53" s="43">
        <f t="shared" si="364"/>
        <v>2.8940000000000001</v>
      </c>
      <c r="CL53" s="43">
        <f t="shared" si="364"/>
        <v>2.8940000000000001</v>
      </c>
      <c r="CM53" s="43">
        <f t="shared" si="364"/>
        <v>2.8940000000000001</v>
      </c>
      <c r="CN53" s="43">
        <f t="shared" si="364"/>
        <v>2.8940000000000001</v>
      </c>
      <c r="CO53" s="43">
        <f t="shared" si="364"/>
        <v>2.8940000000000001</v>
      </c>
      <c r="CP53" s="43">
        <f t="shared" si="364"/>
        <v>2.8940000000000001</v>
      </c>
      <c r="CQ53" s="43">
        <f t="shared" si="364"/>
        <v>2.8940000000000001</v>
      </c>
      <c r="CR53" s="43">
        <f t="shared" si="364"/>
        <v>2.8940000000000001</v>
      </c>
      <c r="CS53" s="43">
        <f t="shared" si="364"/>
        <v>2.8940000000000001</v>
      </c>
      <c r="CT53" s="43">
        <f t="shared" si="330"/>
        <v>2.8940000000000001</v>
      </c>
      <c r="CV53" s="43">
        <f t="shared" si="333"/>
        <v>2.8940000000000001</v>
      </c>
      <c r="CW53" s="43">
        <f t="shared" si="334"/>
        <v>2.8940000000000001</v>
      </c>
      <c r="CX53" s="43">
        <f t="shared" si="335"/>
        <v>2.8940000000000001</v>
      </c>
      <c r="CY53" s="43">
        <f t="shared" si="336"/>
        <v>2.8940000000000001</v>
      </c>
      <c r="CZ53" s="43">
        <f t="shared" si="337"/>
        <v>2.8940000000000001</v>
      </c>
      <c r="DA53" s="43">
        <f t="shared" si="338"/>
        <v>2.8940000000000001</v>
      </c>
      <c r="DB53" s="43">
        <f t="shared" si="339"/>
        <v>2.8940000000000001</v>
      </c>
      <c r="DC53" s="43">
        <f t="shared" si="340"/>
        <v>2.8940000000000001</v>
      </c>
      <c r="DD53" s="43">
        <f t="shared" si="341"/>
        <v>2.8940000000000001</v>
      </c>
      <c r="DE53" s="43">
        <f t="shared" si="342"/>
        <v>2.8940000000000001</v>
      </c>
      <c r="DF53" s="43">
        <f t="shared" si="343"/>
        <v>2.8940000000000001</v>
      </c>
      <c r="DG53" s="43">
        <f t="shared" si="344"/>
        <v>2.8940000000000001</v>
      </c>
      <c r="DH53" s="43">
        <f t="shared" si="345"/>
        <v>2.8940000000000001</v>
      </c>
      <c r="DI53" s="43">
        <f t="shared" si="346"/>
        <v>2.8940000000000001</v>
      </c>
      <c r="DJ53" s="43">
        <f t="shared" si="347"/>
        <v>2.8940000000000001</v>
      </c>
      <c r="DK53" s="43">
        <f t="shared" si="348"/>
        <v>2.8940000000000001</v>
      </c>
      <c r="DL53" s="43">
        <f t="shared" si="349"/>
        <v>2.8940000000000001</v>
      </c>
      <c r="DM53" s="43">
        <f t="shared" si="350"/>
        <v>2.8940000000000001</v>
      </c>
      <c r="DN53" s="43">
        <f t="shared" si="351"/>
        <v>2.8940000000000001</v>
      </c>
      <c r="DO53" s="43">
        <f t="shared" si="352"/>
        <v>2.8940000000000001</v>
      </c>
      <c r="DP53" s="43">
        <f t="shared" si="353"/>
        <v>2.8940000000000001</v>
      </c>
      <c r="DQ53" s="43">
        <f t="shared" si="354"/>
        <v>2.8940000000000001</v>
      </c>
      <c r="DR53" s="43">
        <f t="shared" si="355"/>
        <v>2.8940000000000001</v>
      </c>
      <c r="DS53" s="43">
        <f t="shared" si="356"/>
        <v>2.8940000000000001</v>
      </c>
      <c r="DT53" s="43">
        <f t="shared" si="357"/>
        <v>2.8940000000000001</v>
      </c>
      <c r="DU53" s="43">
        <f t="shared" si="358"/>
        <v>2.8940000000000001</v>
      </c>
      <c r="DV53" s="43">
        <f t="shared" si="359"/>
        <v>2.8940000000000001</v>
      </c>
      <c r="DW53" s="43">
        <f t="shared" si="360"/>
        <v>2.8940000000000001</v>
      </c>
      <c r="DX53" s="43">
        <f t="shared" si="361"/>
        <v>2.8940000000000001</v>
      </c>
      <c r="DY53" s="43">
        <f t="shared" si="362"/>
        <v>2.8940000000000001</v>
      </c>
      <c r="DZ53" s="43">
        <f t="shared" ref="DZ53:DZ55" si="365">CV53</f>
        <v>2.8940000000000001</v>
      </c>
    </row>
    <row r="54" spans="1:165">
      <c r="A54" s="606" t="s">
        <v>453</v>
      </c>
      <c r="C54" s="54" t="s">
        <v>458</v>
      </c>
      <c r="D54" s="43">
        <f>$B$193</f>
        <v>0</v>
      </c>
      <c r="E54" s="43">
        <f t="shared" ref="E54:AG54" si="366">D54-($D54-$AH54)/30</f>
        <v>0</v>
      </c>
      <c r="F54" s="43">
        <f t="shared" si="366"/>
        <v>0</v>
      </c>
      <c r="G54" s="43">
        <f t="shared" si="366"/>
        <v>0</v>
      </c>
      <c r="H54" s="43">
        <f t="shared" si="366"/>
        <v>0</v>
      </c>
      <c r="I54" s="43">
        <f t="shared" si="366"/>
        <v>0</v>
      </c>
      <c r="J54" s="43">
        <f t="shared" si="366"/>
        <v>0</v>
      </c>
      <c r="K54" s="43">
        <f t="shared" si="366"/>
        <v>0</v>
      </c>
      <c r="L54" s="43">
        <f t="shared" si="366"/>
        <v>0</v>
      </c>
      <c r="M54" s="43">
        <f t="shared" si="366"/>
        <v>0</v>
      </c>
      <c r="N54" s="43">
        <f t="shared" si="366"/>
        <v>0</v>
      </c>
      <c r="O54" s="43">
        <f t="shared" si="366"/>
        <v>0</v>
      </c>
      <c r="P54" s="43">
        <f t="shared" si="366"/>
        <v>0</v>
      </c>
      <c r="Q54" s="43">
        <f t="shared" si="366"/>
        <v>0</v>
      </c>
      <c r="R54" s="43">
        <f t="shared" si="366"/>
        <v>0</v>
      </c>
      <c r="S54" s="43">
        <f t="shared" si="366"/>
        <v>0</v>
      </c>
      <c r="T54" s="43">
        <f t="shared" si="366"/>
        <v>0</v>
      </c>
      <c r="U54" s="43">
        <f t="shared" si="366"/>
        <v>0</v>
      </c>
      <c r="V54" s="43">
        <f t="shared" si="366"/>
        <v>0</v>
      </c>
      <c r="W54" s="43">
        <f t="shared" si="366"/>
        <v>0</v>
      </c>
      <c r="X54" s="43">
        <f t="shared" si="366"/>
        <v>0</v>
      </c>
      <c r="Y54" s="43">
        <f t="shared" si="366"/>
        <v>0</v>
      </c>
      <c r="Z54" s="43">
        <f t="shared" si="366"/>
        <v>0</v>
      </c>
      <c r="AA54" s="43">
        <f t="shared" si="366"/>
        <v>0</v>
      </c>
      <c r="AB54" s="43">
        <f t="shared" si="366"/>
        <v>0</v>
      </c>
      <c r="AC54" s="43">
        <f t="shared" si="366"/>
        <v>0</v>
      </c>
      <c r="AD54" s="43">
        <f t="shared" si="366"/>
        <v>0</v>
      </c>
      <c r="AE54" s="43">
        <f t="shared" si="366"/>
        <v>0</v>
      </c>
      <c r="AF54" s="43">
        <f t="shared" si="366"/>
        <v>0</v>
      </c>
      <c r="AG54" s="43">
        <f t="shared" si="366"/>
        <v>0</v>
      </c>
      <c r="AH54" s="43">
        <f>$C$193</f>
        <v>0</v>
      </c>
      <c r="AI54" s="44"/>
      <c r="AJ54" s="43">
        <f t="shared" si="320"/>
        <v>0</v>
      </c>
      <c r="AK54" s="43">
        <f t="shared" si="258"/>
        <v>0</v>
      </c>
      <c r="AL54" s="43">
        <f t="shared" si="259"/>
        <v>0</v>
      </c>
      <c r="AM54" s="43">
        <f t="shared" si="260"/>
        <v>0</v>
      </c>
      <c r="AN54" s="43">
        <f t="shared" si="261"/>
        <v>0</v>
      </c>
      <c r="AO54" s="43">
        <f t="shared" si="262"/>
        <v>0</v>
      </c>
      <c r="AP54" s="43">
        <f t="shared" si="263"/>
        <v>0</v>
      </c>
      <c r="AQ54" s="43">
        <f t="shared" si="264"/>
        <v>0</v>
      </c>
      <c r="AR54" s="43">
        <f t="shared" si="265"/>
        <v>0</v>
      </c>
      <c r="AS54" s="43">
        <f t="shared" si="266"/>
        <v>0</v>
      </c>
      <c r="AT54" s="43">
        <f t="shared" si="267"/>
        <v>0</v>
      </c>
      <c r="AU54" s="43">
        <f t="shared" si="268"/>
        <v>0</v>
      </c>
      <c r="AV54" s="43">
        <f t="shared" si="269"/>
        <v>0</v>
      </c>
      <c r="AW54" s="43">
        <f t="shared" si="270"/>
        <v>0</v>
      </c>
      <c r="AX54" s="43">
        <f t="shared" si="271"/>
        <v>0</v>
      </c>
      <c r="AY54" s="43">
        <f t="shared" si="272"/>
        <v>0</v>
      </c>
      <c r="AZ54" s="43">
        <f t="shared" si="273"/>
        <v>0</v>
      </c>
      <c r="BA54" s="43">
        <f t="shared" si="274"/>
        <v>0</v>
      </c>
      <c r="BB54" s="43">
        <f t="shared" si="275"/>
        <v>0</v>
      </c>
      <c r="BC54" s="43">
        <f t="shared" si="276"/>
        <v>0</v>
      </c>
      <c r="BD54" s="43">
        <f t="shared" si="277"/>
        <v>0</v>
      </c>
      <c r="BE54" s="43">
        <f t="shared" si="278"/>
        <v>0</v>
      </c>
      <c r="BF54" s="43">
        <f t="shared" si="279"/>
        <v>0</v>
      </c>
      <c r="BG54" s="43">
        <f t="shared" si="280"/>
        <v>0</v>
      </c>
      <c r="BH54" s="43">
        <f t="shared" si="281"/>
        <v>0</v>
      </c>
      <c r="BI54" s="43">
        <f t="shared" si="282"/>
        <v>0</v>
      </c>
      <c r="BJ54" s="43">
        <f t="shared" si="283"/>
        <v>0</v>
      </c>
      <c r="BK54" s="43">
        <f t="shared" si="284"/>
        <v>0</v>
      </c>
      <c r="BL54" s="43">
        <f t="shared" si="285"/>
        <v>0</v>
      </c>
      <c r="BM54" s="43">
        <f t="shared" si="286"/>
        <v>0</v>
      </c>
      <c r="BN54" s="43">
        <f t="shared" si="287"/>
        <v>0</v>
      </c>
      <c r="BP54" s="43">
        <f t="shared" si="321"/>
        <v>0</v>
      </c>
      <c r="BQ54" s="43">
        <f t="shared" ref="BQ54:CS54" si="367">BP54-($BP54-$CT54)/30</f>
        <v>0</v>
      </c>
      <c r="BR54" s="43">
        <f t="shared" si="367"/>
        <v>0</v>
      </c>
      <c r="BS54" s="43">
        <f t="shared" si="367"/>
        <v>0</v>
      </c>
      <c r="BT54" s="43">
        <f t="shared" si="367"/>
        <v>0</v>
      </c>
      <c r="BU54" s="43">
        <f t="shared" si="367"/>
        <v>0</v>
      </c>
      <c r="BV54" s="43">
        <f t="shared" si="367"/>
        <v>0</v>
      </c>
      <c r="BW54" s="43">
        <f t="shared" si="367"/>
        <v>0</v>
      </c>
      <c r="BX54" s="43">
        <f t="shared" si="367"/>
        <v>0</v>
      </c>
      <c r="BY54" s="43">
        <f t="shared" si="367"/>
        <v>0</v>
      </c>
      <c r="BZ54" s="43">
        <f t="shared" si="367"/>
        <v>0</v>
      </c>
      <c r="CA54" s="43">
        <f t="shared" si="367"/>
        <v>0</v>
      </c>
      <c r="CB54" s="43">
        <f t="shared" si="367"/>
        <v>0</v>
      </c>
      <c r="CC54" s="43">
        <f t="shared" si="367"/>
        <v>0</v>
      </c>
      <c r="CD54" s="43">
        <f t="shared" si="367"/>
        <v>0</v>
      </c>
      <c r="CE54" s="43">
        <f t="shared" si="367"/>
        <v>0</v>
      </c>
      <c r="CF54" s="43">
        <f t="shared" si="367"/>
        <v>0</v>
      </c>
      <c r="CG54" s="43">
        <f t="shared" si="367"/>
        <v>0</v>
      </c>
      <c r="CH54" s="43">
        <f t="shared" si="367"/>
        <v>0</v>
      </c>
      <c r="CI54" s="43">
        <f t="shared" si="367"/>
        <v>0</v>
      </c>
      <c r="CJ54" s="43">
        <f t="shared" si="367"/>
        <v>0</v>
      </c>
      <c r="CK54" s="43">
        <f t="shared" si="367"/>
        <v>0</v>
      </c>
      <c r="CL54" s="43">
        <f t="shared" si="367"/>
        <v>0</v>
      </c>
      <c r="CM54" s="43">
        <f t="shared" si="367"/>
        <v>0</v>
      </c>
      <c r="CN54" s="43">
        <f t="shared" si="367"/>
        <v>0</v>
      </c>
      <c r="CO54" s="43">
        <f t="shared" si="367"/>
        <v>0</v>
      </c>
      <c r="CP54" s="43">
        <f t="shared" si="367"/>
        <v>0</v>
      </c>
      <c r="CQ54" s="43">
        <f t="shared" si="367"/>
        <v>0</v>
      </c>
      <c r="CR54" s="43">
        <f t="shared" si="367"/>
        <v>0</v>
      </c>
      <c r="CS54" s="43">
        <f t="shared" si="367"/>
        <v>0</v>
      </c>
      <c r="CT54" s="43">
        <f t="shared" si="330"/>
        <v>0</v>
      </c>
      <c r="CV54" s="43">
        <f t="shared" si="333"/>
        <v>0</v>
      </c>
      <c r="CW54" s="43">
        <f t="shared" si="334"/>
        <v>0</v>
      </c>
      <c r="CX54" s="43">
        <f t="shared" si="335"/>
        <v>0</v>
      </c>
      <c r="CY54" s="43">
        <f t="shared" si="336"/>
        <v>0</v>
      </c>
      <c r="CZ54" s="43">
        <f t="shared" si="337"/>
        <v>0</v>
      </c>
      <c r="DA54" s="43">
        <f t="shared" si="338"/>
        <v>0</v>
      </c>
      <c r="DB54" s="43">
        <f t="shared" si="339"/>
        <v>0</v>
      </c>
      <c r="DC54" s="43">
        <f t="shared" si="340"/>
        <v>0</v>
      </c>
      <c r="DD54" s="43">
        <f t="shared" si="341"/>
        <v>0</v>
      </c>
      <c r="DE54" s="43">
        <f t="shared" si="342"/>
        <v>0</v>
      </c>
      <c r="DF54" s="43">
        <f t="shared" si="343"/>
        <v>0</v>
      </c>
      <c r="DG54" s="43">
        <f t="shared" si="344"/>
        <v>0</v>
      </c>
      <c r="DH54" s="43">
        <f t="shared" si="345"/>
        <v>0</v>
      </c>
      <c r="DI54" s="43">
        <f t="shared" si="346"/>
        <v>0</v>
      </c>
      <c r="DJ54" s="43">
        <f t="shared" si="347"/>
        <v>0</v>
      </c>
      <c r="DK54" s="43">
        <f t="shared" si="348"/>
        <v>0</v>
      </c>
      <c r="DL54" s="43">
        <f t="shared" si="349"/>
        <v>0</v>
      </c>
      <c r="DM54" s="43">
        <f t="shared" si="350"/>
        <v>0</v>
      </c>
      <c r="DN54" s="43">
        <f t="shared" si="351"/>
        <v>0</v>
      </c>
      <c r="DO54" s="43">
        <f t="shared" si="352"/>
        <v>0</v>
      </c>
      <c r="DP54" s="43">
        <f t="shared" si="353"/>
        <v>0</v>
      </c>
      <c r="DQ54" s="43">
        <f t="shared" si="354"/>
        <v>0</v>
      </c>
      <c r="DR54" s="43">
        <f t="shared" si="355"/>
        <v>0</v>
      </c>
      <c r="DS54" s="43">
        <f t="shared" si="356"/>
        <v>0</v>
      </c>
      <c r="DT54" s="43">
        <f t="shared" si="357"/>
        <v>0</v>
      </c>
      <c r="DU54" s="43">
        <f t="shared" si="358"/>
        <v>0</v>
      </c>
      <c r="DV54" s="43">
        <f t="shared" si="359"/>
        <v>0</v>
      </c>
      <c r="DW54" s="43">
        <f t="shared" si="360"/>
        <v>0</v>
      </c>
      <c r="DX54" s="43">
        <f t="shared" si="361"/>
        <v>0</v>
      </c>
      <c r="DY54" s="43">
        <f t="shared" si="362"/>
        <v>0</v>
      </c>
      <c r="DZ54" s="43">
        <f t="shared" si="365"/>
        <v>0</v>
      </c>
    </row>
    <row r="55" spans="1:165" ht="16" thickBot="1">
      <c r="A55" s="606" t="s">
        <v>454</v>
      </c>
      <c r="C55" s="54" t="s">
        <v>458</v>
      </c>
      <c r="D55" s="43">
        <f>$B$194</f>
        <v>0</v>
      </c>
      <c r="E55" s="43">
        <f t="shared" ref="E55:AG55" si="368">D55-($D55-$AH55)/30</f>
        <v>0</v>
      </c>
      <c r="F55" s="43">
        <f t="shared" si="368"/>
        <v>0</v>
      </c>
      <c r="G55" s="43">
        <f t="shared" si="368"/>
        <v>0</v>
      </c>
      <c r="H55" s="43">
        <f t="shared" si="368"/>
        <v>0</v>
      </c>
      <c r="I55" s="43">
        <f t="shared" si="368"/>
        <v>0</v>
      </c>
      <c r="J55" s="43">
        <f t="shared" si="368"/>
        <v>0</v>
      </c>
      <c r="K55" s="43">
        <f t="shared" si="368"/>
        <v>0</v>
      </c>
      <c r="L55" s="43">
        <f t="shared" si="368"/>
        <v>0</v>
      </c>
      <c r="M55" s="43">
        <f t="shared" si="368"/>
        <v>0</v>
      </c>
      <c r="N55" s="43">
        <f t="shared" si="368"/>
        <v>0</v>
      </c>
      <c r="O55" s="43">
        <f t="shared" si="368"/>
        <v>0</v>
      </c>
      <c r="P55" s="43">
        <f t="shared" si="368"/>
        <v>0</v>
      </c>
      <c r="Q55" s="43">
        <f t="shared" si="368"/>
        <v>0</v>
      </c>
      <c r="R55" s="43">
        <f t="shared" si="368"/>
        <v>0</v>
      </c>
      <c r="S55" s="43">
        <f t="shared" si="368"/>
        <v>0</v>
      </c>
      <c r="T55" s="43">
        <f t="shared" si="368"/>
        <v>0</v>
      </c>
      <c r="U55" s="43">
        <f t="shared" si="368"/>
        <v>0</v>
      </c>
      <c r="V55" s="43">
        <f t="shared" si="368"/>
        <v>0</v>
      </c>
      <c r="W55" s="43">
        <f t="shared" si="368"/>
        <v>0</v>
      </c>
      <c r="X55" s="43">
        <f t="shared" si="368"/>
        <v>0</v>
      </c>
      <c r="Y55" s="43">
        <f t="shared" si="368"/>
        <v>0</v>
      </c>
      <c r="Z55" s="43">
        <f t="shared" si="368"/>
        <v>0</v>
      </c>
      <c r="AA55" s="43">
        <f t="shared" si="368"/>
        <v>0</v>
      </c>
      <c r="AB55" s="43">
        <f t="shared" si="368"/>
        <v>0</v>
      </c>
      <c r="AC55" s="43">
        <f t="shared" si="368"/>
        <v>0</v>
      </c>
      <c r="AD55" s="43">
        <f t="shared" si="368"/>
        <v>0</v>
      </c>
      <c r="AE55" s="43">
        <f t="shared" si="368"/>
        <v>0</v>
      </c>
      <c r="AF55" s="43">
        <f t="shared" si="368"/>
        <v>0</v>
      </c>
      <c r="AG55" s="43">
        <f t="shared" si="368"/>
        <v>0</v>
      </c>
      <c r="AH55" s="43">
        <f>$C$194</f>
        <v>0</v>
      </c>
      <c r="AI55" s="44"/>
      <c r="AJ55" s="43">
        <f t="shared" si="320"/>
        <v>0</v>
      </c>
      <c r="AK55" s="43">
        <f t="shared" si="258"/>
        <v>0</v>
      </c>
      <c r="AL55" s="43">
        <f t="shared" si="259"/>
        <v>0</v>
      </c>
      <c r="AM55" s="43">
        <f t="shared" si="260"/>
        <v>0</v>
      </c>
      <c r="AN55" s="43">
        <f t="shared" si="261"/>
        <v>0</v>
      </c>
      <c r="AO55" s="43">
        <f t="shared" si="262"/>
        <v>0</v>
      </c>
      <c r="AP55" s="43">
        <f t="shared" si="263"/>
        <v>0</v>
      </c>
      <c r="AQ55" s="43">
        <f t="shared" si="264"/>
        <v>0</v>
      </c>
      <c r="AR55" s="43">
        <f t="shared" si="265"/>
        <v>0</v>
      </c>
      <c r="AS55" s="43">
        <f t="shared" si="266"/>
        <v>0</v>
      </c>
      <c r="AT55" s="43">
        <f t="shared" si="267"/>
        <v>0</v>
      </c>
      <c r="AU55" s="43">
        <f t="shared" si="268"/>
        <v>0</v>
      </c>
      <c r="AV55" s="43">
        <f t="shared" si="269"/>
        <v>0</v>
      </c>
      <c r="AW55" s="43">
        <f t="shared" si="270"/>
        <v>0</v>
      </c>
      <c r="AX55" s="43">
        <f t="shared" si="271"/>
        <v>0</v>
      </c>
      <c r="AY55" s="43">
        <f t="shared" si="272"/>
        <v>0</v>
      </c>
      <c r="AZ55" s="43">
        <f t="shared" si="273"/>
        <v>0</v>
      </c>
      <c r="BA55" s="43">
        <f t="shared" si="274"/>
        <v>0</v>
      </c>
      <c r="BB55" s="43">
        <f t="shared" si="275"/>
        <v>0</v>
      </c>
      <c r="BC55" s="43">
        <f t="shared" si="276"/>
        <v>0</v>
      </c>
      <c r="BD55" s="43">
        <f t="shared" si="277"/>
        <v>0</v>
      </c>
      <c r="BE55" s="43">
        <f t="shared" si="278"/>
        <v>0</v>
      </c>
      <c r="BF55" s="43">
        <f t="shared" si="279"/>
        <v>0</v>
      </c>
      <c r="BG55" s="43">
        <f t="shared" si="280"/>
        <v>0</v>
      </c>
      <c r="BH55" s="43">
        <f t="shared" si="281"/>
        <v>0</v>
      </c>
      <c r="BI55" s="43">
        <f t="shared" si="282"/>
        <v>0</v>
      </c>
      <c r="BJ55" s="43">
        <f t="shared" si="283"/>
        <v>0</v>
      </c>
      <c r="BK55" s="43">
        <f t="shared" si="284"/>
        <v>0</v>
      </c>
      <c r="BL55" s="43">
        <f t="shared" si="285"/>
        <v>0</v>
      </c>
      <c r="BM55" s="43">
        <f t="shared" si="286"/>
        <v>0</v>
      </c>
      <c r="BN55" s="43">
        <f t="shared" si="287"/>
        <v>0</v>
      </c>
      <c r="BP55" s="43">
        <f t="shared" si="321"/>
        <v>0</v>
      </c>
      <c r="BQ55" s="43">
        <f t="shared" ref="BQ55:CS55" si="369">BP55-($BP55-$CT55)/30</f>
        <v>0</v>
      </c>
      <c r="BR55" s="43">
        <f t="shared" si="369"/>
        <v>0</v>
      </c>
      <c r="BS55" s="43">
        <f t="shared" si="369"/>
        <v>0</v>
      </c>
      <c r="BT55" s="43">
        <f t="shared" si="369"/>
        <v>0</v>
      </c>
      <c r="BU55" s="43">
        <f t="shared" si="369"/>
        <v>0</v>
      </c>
      <c r="BV55" s="43">
        <f t="shared" si="369"/>
        <v>0</v>
      </c>
      <c r="BW55" s="43">
        <f t="shared" si="369"/>
        <v>0</v>
      </c>
      <c r="BX55" s="43">
        <f t="shared" si="369"/>
        <v>0</v>
      </c>
      <c r="BY55" s="43">
        <f t="shared" si="369"/>
        <v>0</v>
      </c>
      <c r="BZ55" s="43">
        <f t="shared" si="369"/>
        <v>0</v>
      </c>
      <c r="CA55" s="43">
        <f t="shared" si="369"/>
        <v>0</v>
      </c>
      <c r="CB55" s="43">
        <f t="shared" si="369"/>
        <v>0</v>
      </c>
      <c r="CC55" s="43">
        <f t="shared" si="369"/>
        <v>0</v>
      </c>
      <c r="CD55" s="43">
        <f t="shared" si="369"/>
        <v>0</v>
      </c>
      <c r="CE55" s="43">
        <f t="shared" si="369"/>
        <v>0</v>
      </c>
      <c r="CF55" s="43">
        <f t="shared" si="369"/>
        <v>0</v>
      </c>
      <c r="CG55" s="43">
        <f t="shared" si="369"/>
        <v>0</v>
      </c>
      <c r="CH55" s="43">
        <f t="shared" si="369"/>
        <v>0</v>
      </c>
      <c r="CI55" s="43">
        <f t="shared" si="369"/>
        <v>0</v>
      </c>
      <c r="CJ55" s="43">
        <f t="shared" si="369"/>
        <v>0</v>
      </c>
      <c r="CK55" s="43">
        <f t="shared" si="369"/>
        <v>0</v>
      </c>
      <c r="CL55" s="43">
        <f t="shared" si="369"/>
        <v>0</v>
      </c>
      <c r="CM55" s="43">
        <f t="shared" si="369"/>
        <v>0</v>
      </c>
      <c r="CN55" s="43">
        <f t="shared" si="369"/>
        <v>0</v>
      </c>
      <c r="CO55" s="43">
        <f t="shared" si="369"/>
        <v>0</v>
      </c>
      <c r="CP55" s="43">
        <f t="shared" si="369"/>
        <v>0</v>
      </c>
      <c r="CQ55" s="43">
        <f t="shared" si="369"/>
        <v>0</v>
      </c>
      <c r="CR55" s="43">
        <f t="shared" si="369"/>
        <v>0</v>
      </c>
      <c r="CS55" s="43">
        <f t="shared" si="369"/>
        <v>0</v>
      </c>
      <c r="CT55" s="43">
        <f t="shared" si="330"/>
        <v>0</v>
      </c>
      <c r="CV55" s="43">
        <f t="shared" si="333"/>
        <v>0</v>
      </c>
      <c r="CW55" s="43">
        <f t="shared" si="334"/>
        <v>0</v>
      </c>
      <c r="CX55" s="43">
        <f t="shared" si="335"/>
        <v>0</v>
      </c>
      <c r="CY55" s="43">
        <f t="shared" si="336"/>
        <v>0</v>
      </c>
      <c r="CZ55" s="43">
        <f t="shared" si="337"/>
        <v>0</v>
      </c>
      <c r="DA55" s="43">
        <f t="shared" si="338"/>
        <v>0</v>
      </c>
      <c r="DB55" s="43">
        <f t="shared" si="339"/>
        <v>0</v>
      </c>
      <c r="DC55" s="43">
        <f t="shared" si="340"/>
        <v>0</v>
      </c>
      <c r="DD55" s="43">
        <f t="shared" si="341"/>
        <v>0</v>
      </c>
      <c r="DE55" s="43">
        <f t="shared" si="342"/>
        <v>0</v>
      </c>
      <c r="DF55" s="43">
        <f t="shared" si="343"/>
        <v>0</v>
      </c>
      <c r="DG55" s="43">
        <f t="shared" si="344"/>
        <v>0</v>
      </c>
      <c r="DH55" s="43">
        <f t="shared" si="345"/>
        <v>0</v>
      </c>
      <c r="DI55" s="43">
        <f t="shared" si="346"/>
        <v>0</v>
      </c>
      <c r="DJ55" s="43">
        <f t="shared" si="347"/>
        <v>0</v>
      </c>
      <c r="DK55" s="43">
        <f t="shared" si="348"/>
        <v>0</v>
      </c>
      <c r="DL55" s="43">
        <f t="shared" si="349"/>
        <v>0</v>
      </c>
      <c r="DM55" s="43">
        <f t="shared" si="350"/>
        <v>0</v>
      </c>
      <c r="DN55" s="43">
        <f t="shared" si="351"/>
        <v>0</v>
      </c>
      <c r="DO55" s="43">
        <f t="shared" si="352"/>
        <v>0</v>
      </c>
      <c r="DP55" s="43">
        <f t="shared" si="353"/>
        <v>0</v>
      </c>
      <c r="DQ55" s="43">
        <f t="shared" si="354"/>
        <v>0</v>
      </c>
      <c r="DR55" s="43">
        <f t="shared" si="355"/>
        <v>0</v>
      </c>
      <c r="DS55" s="43">
        <f t="shared" si="356"/>
        <v>0</v>
      </c>
      <c r="DT55" s="43">
        <f t="shared" si="357"/>
        <v>0</v>
      </c>
      <c r="DU55" s="43">
        <f t="shared" si="358"/>
        <v>0</v>
      </c>
      <c r="DV55" s="43">
        <f t="shared" si="359"/>
        <v>0</v>
      </c>
      <c r="DW55" s="43">
        <f t="shared" si="360"/>
        <v>0</v>
      </c>
      <c r="DX55" s="43">
        <f t="shared" si="361"/>
        <v>0</v>
      </c>
      <c r="DY55" s="43">
        <f t="shared" si="362"/>
        <v>0</v>
      </c>
      <c r="DZ55" s="43">
        <f t="shared" si="365"/>
        <v>0</v>
      </c>
    </row>
    <row r="56" spans="1:165" s="624" customFormat="1" ht="16" thickBot="1">
      <c r="A56" s="623" t="s">
        <v>461</v>
      </c>
      <c r="C56" s="625"/>
      <c r="D56" s="626"/>
      <c r="E56" s="626"/>
      <c r="F56" s="626"/>
      <c r="G56" s="626"/>
      <c r="H56" s="626"/>
      <c r="I56" s="626"/>
      <c r="J56" s="626"/>
      <c r="K56" s="626"/>
      <c r="L56" s="626"/>
      <c r="M56" s="626"/>
      <c r="N56" s="626"/>
      <c r="O56" s="626"/>
      <c r="P56" s="626"/>
      <c r="Q56" s="626"/>
      <c r="R56" s="626"/>
      <c r="S56" s="626"/>
      <c r="T56" s="626"/>
      <c r="U56" s="626"/>
      <c r="V56" s="626"/>
      <c r="W56" s="626"/>
      <c r="X56" s="626"/>
      <c r="Y56" s="626"/>
      <c r="Z56" s="626"/>
      <c r="AA56" s="626"/>
      <c r="AB56" s="626"/>
      <c r="AC56" s="626"/>
      <c r="AD56" s="626"/>
      <c r="AE56" s="626"/>
      <c r="AF56" s="626"/>
      <c r="AG56" s="626"/>
      <c r="AH56" s="626"/>
      <c r="AI56" s="626"/>
      <c r="AJ56" s="626"/>
      <c r="AK56" s="626"/>
      <c r="AL56" s="626"/>
      <c r="AM56" s="626"/>
      <c r="AN56" s="626"/>
      <c r="AO56" s="626"/>
      <c r="AP56" s="626"/>
      <c r="AQ56" s="626"/>
      <c r="AR56" s="626"/>
      <c r="AS56" s="626"/>
      <c r="AT56" s="626"/>
      <c r="AU56" s="626"/>
      <c r="AV56" s="626"/>
      <c r="AW56" s="626"/>
      <c r="AX56" s="626"/>
      <c r="AY56" s="626"/>
      <c r="AZ56" s="626"/>
      <c r="BA56" s="626"/>
      <c r="BB56" s="626"/>
      <c r="BC56" s="626"/>
      <c r="BD56" s="626"/>
      <c r="BE56" s="626"/>
      <c r="BF56" s="626"/>
      <c r="BG56" s="626"/>
      <c r="BH56" s="626"/>
      <c r="BI56" s="626"/>
      <c r="BJ56" s="626"/>
      <c r="BK56" s="626"/>
      <c r="BL56" s="626"/>
      <c r="BM56" s="626"/>
      <c r="BN56" s="626"/>
      <c r="BP56" s="626"/>
      <c r="BQ56" s="626"/>
      <c r="BR56" s="626"/>
      <c r="BS56" s="626"/>
      <c r="BT56" s="626"/>
      <c r="BU56" s="626"/>
      <c r="BV56" s="626"/>
      <c r="BW56" s="626"/>
      <c r="BX56" s="626"/>
      <c r="BY56" s="626"/>
      <c r="BZ56" s="626"/>
      <c r="CA56" s="626"/>
      <c r="CB56" s="626"/>
      <c r="CC56" s="626"/>
      <c r="CD56" s="626"/>
      <c r="CE56" s="626"/>
      <c r="CF56" s="626"/>
      <c r="CG56" s="626"/>
      <c r="CH56" s="626"/>
      <c r="CI56" s="626"/>
      <c r="CJ56" s="626"/>
      <c r="CK56" s="626"/>
      <c r="CL56" s="626"/>
      <c r="CM56" s="626"/>
      <c r="CN56" s="626"/>
      <c r="CO56" s="626"/>
      <c r="CP56" s="626"/>
      <c r="CQ56" s="626"/>
      <c r="CR56" s="626"/>
      <c r="CS56" s="626"/>
      <c r="CT56" s="626"/>
      <c r="CV56" s="626"/>
      <c r="CW56" s="626"/>
      <c r="CX56" s="626"/>
      <c r="CY56" s="626"/>
      <c r="CZ56" s="626"/>
      <c r="DA56" s="626"/>
      <c r="DB56" s="626"/>
      <c r="DC56" s="626"/>
      <c r="DD56" s="626"/>
      <c r="DE56" s="626"/>
      <c r="DF56" s="626"/>
      <c r="DG56" s="626"/>
      <c r="DH56" s="626"/>
      <c r="DI56" s="626"/>
      <c r="DJ56" s="626"/>
      <c r="DK56" s="626"/>
      <c r="DL56" s="626"/>
      <c r="DM56" s="626"/>
      <c r="DN56" s="626"/>
      <c r="DO56" s="626"/>
      <c r="DP56" s="626"/>
      <c r="DQ56" s="626"/>
      <c r="DR56" s="626"/>
      <c r="DS56" s="626"/>
      <c r="DT56" s="626"/>
      <c r="DU56" s="626"/>
      <c r="DV56" s="626"/>
      <c r="DW56" s="626"/>
      <c r="DX56" s="626"/>
      <c r="DY56" s="626"/>
      <c r="DZ56" s="626"/>
      <c r="EK56" s="627"/>
      <c r="EL56" s="627"/>
      <c r="EM56" s="627"/>
      <c r="EN56" s="627"/>
      <c r="EO56" s="627"/>
      <c r="EP56" s="627"/>
      <c r="EQ56" s="627"/>
      <c r="ER56" s="627"/>
      <c r="ES56" s="627"/>
      <c r="ET56" s="627"/>
      <c r="EU56" s="627"/>
      <c r="EV56" s="627"/>
      <c r="EW56" s="627"/>
      <c r="EX56" s="627"/>
      <c r="EY56" s="627"/>
      <c r="EZ56" s="627"/>
      <c r="FA56" s="627"/>
      <c r="FB56" s="627"/>
      <c r="FC56" s="627"/>
      <c r="FD56" s="627"/>
      <c r="FE56" s="627"/>
      <c r="FF56" s="627"/>
      <c r="FG56" s="627"/>
      <c r="FH56" s="627"/>
      <c r="FI56" s="627"/>
    </row>
    <row r="57" spans="1:165">
      <c r="A57" s="606" t="s">
        <v>193</v>
      </c>
      <c r="C57" s="54" t="s">
        <v>462</v>
      </c>
      <c r="D57" s="168">
        <f>'Propylene Recycling HC'!C161/'Propylene Recycling HC'!C159</f>
        <v>5.2918767120919918E-2</v>
      </c>
      <c r="E57" s="168">
        <f>'Propylene Recycling HC'!D161/'Propylene Recycling HC'!D159</f>
        <v>5.6881653030495395E-2</v>
      </c>
      <c r="F57" s="168">
        <f>'Propylene Recycling HC'!E161/'Propylene Recycling HC'!E159</f>
        <v>6.091831502309103E-2</v>
      </c>
      <c r="G57" s="168">
        <f>'Propylene Recycling HC'!F161/'Propylene Recycling HC'!F159</f>
        <v>6.5028753098706787E-2</v>
      </c>
      <c r="H57" s="168">
        <f>'Propylene Recycling HC'!G161/'Propylene Recycling HC'!G159</f>
        <v>6.9212967257342703E-2</v>
      </c>
      <c r="I57" s="168">
        <f>'Propylene Recycling HC'!H161/'Propylene Recycling HC'!H159</f>
        <v>7.3470957498998776E-2</v>
      </c>
      <c r="J57" s="168">
        <f>'Propylene Recycling HC'!I161/'Propylene Recycling HC'!I159</f>
        <v>7.7802723823674966E-2</v>
      </c>
      <c r="K57" s="168">
        <f>'Propylene Recycling HC'!J161/'Propylene Recycling HC'!J159</f>
        <v>8.2208266231371285E-2</v>
      </c>
      <c r="L57" s="168">
        <f>'Propylene Recycling HC'!K161/'Propylene Recycling HC'!K159</f>
        <v>8.6687584722087763E-2</v>
      </c>
      <c r="M57" s="168">
        <f>'Propylene Recycling HC'!L161/'Propylene Recycling HC'!L159</f>
        <v>9.1240679295824398E-2</v>
      </c>
      <c r="N57" s="168">
        <f>'Propylene Recycling HC'!M161/'Propylene Recycling HC'!M159</f>
        <v>9.5867549952581135E-2</v>
      </c>
      <c r="O57" s="168">
        <f>'Propylene Recycling HC'!N161/'Propylene Recycling HC'!N159</f>
        <v>0.10451030847545772</v>
      </c>
      <c r="P57" s="168">
        <f>'Propylene Recycling HC'!O161/'Propylene Recycling HC'!O159</f>
        <v>0.1133085642810075</v>
      </c>
      <c r="Q57" s="168">
        <f>'Propylene Recycling HC'!P161/'Propylene Recycling HC'!P159</f>
        <v>0.12226730990617359</v>
      </c>
      <c r="R57" s="168">
        <f>'Propylene Recycling HC'!Q161/'Propylene Recycling HC'!Q159</f>
        <v>0.13138407006318598</v>
      </c>
      <c r="S57" s="168">
        <f>'Propylene Recycling HC'!R161/'Propylene Recycling HC'!R159</f>
        <v>0.14065870021045596</v>
      </c>
      <c r="T57" s="168">
        <f>'Propylene Recycling HC'!S161/'Propylene Recycling HC'!S159</f>
        <v>0.15009105593713096</v>
      </c>
      <c r="U57" s="168">
        <f>'Propylene Recycling HC'!T161/'Propylene Recycling HC'!T159</f>
        <v>0.15968099296294666</v>
      </c>
      <c r="V57" s="168">
        <f>'Propylene Recycling HC'!U161/'Propylene Recycling HC'!U159</f>
        <v>0.1694283671380796</v>
      </c>
      <c r="W57" s="168">
        <f>'Propylene Recycling HC'!V161/'Propylene Recycling HC'!V159</f>
        <v>0.17933303444299953</v>
      </c>
      <c r="X57" s="168">
        <f>'Propylene Recycling HC'!W161/'Propylene Recycling HC'!W159</f>
        <v>0.18939485098832262</v>
      </c>
      <c r="Y57" s="168">
        <f>'Propylene Recycling HC'!X161/'Propylene Recycling HC'!X159</f>
        <v>0.20519545265261596</v>
      </c>
      <c r="Z57" s="168">
        <f>'Propylene Recycling HC'!Y161/'Propylene Recycling HC'!Y159</f>
        <v>0.22125923821388108</v>
      </c>
      <c r="AA57" s="168">
        <f>'Propylene Recycling HC'!Z161/'Propylene Recycling HC'!Z159</f>
        <v>0.23761329399101896</v>
      </c>
      <c r="AB57" s="168">
        <f>'Propylene Recycling HC'!AA161/'Propylene Recycling HC'!AA159</f>
        <v>0.25423500024863827</v>
      </c>
      <c r="AC57" s="168">
        <f>'Propylene Recycling HC'!AB161/'Propylene Recycling HC'!AB159</f>
        <v>0.27112374883427687</v>
      </c>
      <c r="AD57" s="168">
        <f>'Propylene Recycling HC'!AC161/'Propylene Recycling HC'!AC159</f>
        <v>0.28827893296568219</v>
      </c>
      <c r="AE57" s="168">
        <f>'Propylene Recycling HC'!AD161/'Propylene Recycling HC'!AD159</f>
        <v>0.30569994722695304</v>
      </c>
      <c r="AF57" s="168">
        <f>'Propylene Recycling HC'!AE161/'Propylene Recycling HC'!AE159</f>
        <v>0.32338618756469706</v>
      </c>
      <c r="AG57" s="168">
        <f>'Propylene Recycling HC'!AF161/'Propylene Recycling HC'!AF159</f>
        <v>0.341337051284199</v>
      </c>
      <c r="AH57" s="168">
        <f>'Propylene Recycling HC'!AG161/'Propylene Recycling HC'!AG159</f>
        <v>0.35955193704560384</v>
      </c>
      <c r="AI57" s="44"/>
      <c r="AJ57" s="168">
        <f>'Propylene Recycling LC'!C147/'Propylene Recycling LC'!C145</f>
        <v>5.2918767120919918E-2</v>
      </c>
      <c r="AK57" s="168">
        <f>'Propylene Recycling LC'!D147/'Propylene Recycling LC'!D145</f>
        <v>5.6881653030495395E-2</v>
      </c>
      <c r="AL57" s="168">
        <f>'Propylene Recycling LC'!E147/'Propylene Recycling LC'!E145</f>
        <v>6.091831502309103E-2</v>
      </c>
      <c r="AM57" s="168">
        <f>'Propylene Recycling LC'!F147/'Propylene Recycling LC'!F145</f>
        <v>6.5028753098706787E-2</v>
      </c>
      <c r="AN57" s="168">
        <f>'Propylene Recycling LC'!G147/'Propylene Recycling LC'!G145</f>
        <v>6.9212967257342703E-2</v>
      </c>
      <c r="AO57" s="168">
        <f>'Propylene Recycling LC'!H147/'Propylene Recycling LC'!H145</f>
        <v>7.3470957498998776E-2</v>
      </c>
      <c r="AP57" s="168">
        <f>'Propylene Recycling LC'!I147/'Propylene Recycling LC'!I145</f>
        <v>7.7802723823674966E-2</v>
      </c>
      <c r="AQ57" s="168">
        <f>'Propylene Recycling LC'!J147/'Propylene Recycling LC'!J145</f>
        <v>8.2208266231371285E-2</v>
      </c>
      <c r="AR57" s="168">
        <f>'Propylene Recycling LC'!K147/'Propylene Recycling LC'!K145</f>
        <v>8.6687584722087763E-2</v>
      </c>
      <c r="AS57" s="168">
        <f>'Propylene Recycling LC'!L147/'Propylene Recycling LC'!L145</f>
        <v>9.1240679295824398E-2</v>
      </c>
      <c r="AT57" s="168">
        <f>'Propylene Recycling LC'!M147/'Propylene Recycling LC'!M145</f>
        <v>9.5867549952581135E-2</v>
      </c>
      <c r="AU57" s="168">
        <f>'Propylene Recycling LC'!N147/'Propylene Recycling LC'!N145</f>
        <v>0.10451030847545772</v>
      </c>
      <c r="AV57" s="168">
        <f>'Propylene Recycling LC'!O147/'Propylene Recycling LC'!O145</f>
        <v>0.1133085642810075</v>
      </c>
      <c r="AW57" s="168">
        <f>'Propylene Recycling LC'!P147/'Propylene Recycling LC'!P145</f>
        <v>0.12228114451669141</v>
      </c>
      <c r="AX57" s="168">
        <f>'Propylene Recycling LC'!Q147/'Propylene Recycling LC'!Q145</f>
        <v>0.13141379905279843</v>
      </c>
      <c r="AY57" s="168">
        <f>'Propylene Recycling LC'!R147/'Propylene Recycling LC'!R145</f>
        <v>0.14070643622579954</v>
      </c>
      <c r="AZ57" s="168">
        <f>'Propylene Recycling LC'!S147/'Propylene Recycling LC'!S145</f>
        <v>0.15015896441363863</v>
      </c>
      <c r="BA57" s="168">
        <f>'Propylene Recycling LC'!T147/'Propylene Recycling LC'!T145</f>
        <v>0.15977129203570919</v>
      </c>
      <c r="BB57" s="168">
        <f>'Propylene Recycling LC'!U147/'Propylene Recycling LC'!U145</f>
        <v>0.16954332755283086</v>
      </c>
      <c r="BC57" s="168">
        <f>'Propylene Recycling LC'!V147/'Propylene Recycling LC'!V145</f>
        <v>0.17947497946722596</v>
      </c>
      <c r="BD57" s="168">
        <f>'Propylene Recycling LC'!W147/'Propylene Recycling LC'!W145</f>
        <v>0.18956615632249621</v>
      </c>
      <c r="BE57" s="168">
        <f>'Propylene Recycling LC'!X147/'Propylene Recycling LC'!X145</f>
        <v>0.20540422543256914</v>
      </c>
      <c r="BF57" s="168">
        <f>'Propylene Recycling LC'!Y147/'Propylene Recycling LC'!Y145</f>
        <v>0.22150933951551408</v>
      </c>
      <c r="BG57" s="168">
        <f>'Propylene Recycling LC'!Z147/'Propylene Recycling LC'!Z145</f>
        <v>0.23790860636237024</v>
      </c>
      <c r="BH57" s="168">
        <f>'Propylene Recycling LC'!AA147/'Propylene Recycling LC'!AA145</f>
        <v>0.254579539397571</v>
      </c>
      <c r="BI57" s="168">
        <f>'Propylene Recycling LC'!AB147/'Propylene Recycling LC'!AB145</f>
        <v>0.27152161477558656</v>
      </c>
      <c r="BJ57" s="168">
        <f>'Propylene Recycling LC'!AC147/'Propylene Recycling LC'!AC145</f>
        <v>0.28873430959658658</v>
      </c>
      <c r="BK57" s="168">
        <f>'Propylene Recycling LC'!AD147/'Propylene Recycling LC'!AD145</f>
        <v>0.30621710190430662</v>
      </c>
      <c r="BL57" s="168">
        <f>'Propylene Recycling LC'!AE147/'Propylene Recycling LC'!AE145</f>
        <v>0.3239694706839209</v>
      </c>
      <c r="BM57" s="168">
        <f>'Propylene Recycling LC'!AF147/'Propylene Recycling LC'!AF145</f>
        <v>0.34199089585992082</v>
      </c>
      <c r="BN57" s="168">
        <f>'Propylene Recycling LC'!AG147/'Propylene Recycling LC'!AG145</f>
        <v>0.36028085829399947</v>
      </c>
      <c r="BP57" s="168">
        <f>'Propylene Recycling HC'!C151/'Propylene Recycling HC'!C149</f>
        <v>5.2918767120919918E-2</v>
      </c>
      <c r="BQ57" s="168">
        <f>'Propylene Recycling HC'!D151/'Propylene Recycling HC'!D149</f>
        <v>5.205746619835705E-2</v>
      </c>
      <c r="BR57" s="168">
        <f>'Propylene Recycling HC'!E151/'Propylene Recycling HC'!E149</f>
        <v>5.1344401575788588E-2</v>
      </c>
      <c r="BS57" s="168">
        <f>'Propylene Recycling HC'!F151/'Propylene Recycling HC'!F149</f>
        <v>5.0773742704677459E-2</v>
      </c>
      <c r="BT57" s="168">
        <f>'Propylene Recycling HC'!G151/'Propylene Recycling HC'!G149</f>
        <v>5.034084599518758E-2</v>
      </c>
      <c r="BU57" s="168">
        <f>'Propylene Recycling HC'!H151/'Propylene Recycling HC'!H149</f>
        <v>5.0042191798858326E-2</v>
      </c>
      <c r="BV57" s="168">
        <f>'Propylene Recycling HC'!I151/'Propylene Recycling HC'!I149</f>
        <v>4.9767964560581489E-2</v>
      </c>
      <c r="BW57" s="168">
        <f>'Propylene Recycling HC'!J151/'Propylene Recycling HC'!J149</f>
        <v>4.9517808892777744E-2</v>
      </c>
      <c r="BX57" s="168">
        <f>'Propylene Recycling HC'!K151/'Propylene Recycling HC'!K149</f>
        <v>4.9291403695504672E-2</v>
      </c>
      <c r="BY57" s="168">
        <f>'Propylene Recycling HC'!L151/'Propylene Recycling HC'!L149</f>
        <v>4.9088461478754265E-2</v>
      </c>
      <c r="BZ57" s="168">
        <f>'Propylene Recycling HC'!M151/'Propylene Recycling HC'!M149</f>
        <v>4.8908727762935492E-2</v>
      </c>
      <c r="CA57" s="168">
        <f>'Propylene Recycling HC'!N151/'Propylene Recycling HC'!N149</f>
        <v>4.8821834380055031E-2</v>
      </c>
      <c r="CB57" s="168">
        <f>'Propylene Recycling HC'!O151/'Propylene Recycling HC'!O149</f>
        <v>4.8827477785827036E-2</v>
      </c>
      <c r="CC57" s="168">
        <f>'Propylene Recycling HC'!P151/'Propylene Recycling HC'!P149</f>
        <v>4.8925881055481762E-2</v>
      </c>
      <c r="CD57" s="168">
        <f>'Propylene Recycling HC'!Q151/'Propylene Recycling HC'!Q149</f>
        <v>4.9117797820319428E-2</v>
      </c>
      <c r="CE57" s="168">
        <f>'Propylene Recycling HC'!R151/'Propylene Recycling HC'!R149</f>
        <v>4.9404521287557734E-2</v>
      </c>
      <c r="CF57" s="168">
        <f>'Propylene Recycling HC'!S151/'Propylene Recycling HC'!S149</f>
        <v>4.969835845500737E-2</v>
      </c>
      <c r="CG57" s="168">
        <f>'Propylene Recycling HC'!T151/'Propylene Recycling HC'!T149</f>
        <v>4.9999420054897423E-2</v>
      </c>
      <c r="CH57" s="168">
        <f>'Propylene Recycling HC'!U151/'Propylene Recycling HC'!U149</f>
        <v>5.030781993419059E-2</v>
      </c>
      <c r="CI57" s="168">
        <f>'Propylene Recycling HC'!V151/'Propylene Recycling HC'!V149</f>
        <v>5.0623675126878681E-2</v>
      </c>
      <c r="CJ57" s="168">
        <f>'Propylene Recycling HC'!W151/'Propylene Recycling HC'!W149</f>
        <v>5.0947105928560089E-2</v>
      </c>
      <c r="CK57" s="168">
        <f>'Propylene Recycling HC'!X151/'Propylene Recycling HC'!X149</f>
        <v>5.1277671179982373E-2</v>
      </c>
      <c r="CL57" s="168">
        <f>'Propylene Recycling HC'!Y151/'Propylene Recycling HC'!Y149</f>
        <v>5.1615485891201782E-2</v>
      </c>
      <c r="CM57" s="168">
        <f>'Propylene Recycling HC'!Z151/'Propylene Recycling HC'!Z149</f>
        <v>5.1960668042943824E-2</v>
      </c>
      <c r="CN57" s="168">
        <f>'Propylene Recycling HC'!AA151/'Propylene Recycling HC'!AA149</f>
        <v>5.2313338655674287E-2</v>
      </c>
      <c r="CO57" s="168">
        <f>'Propylene Recycling HC'!AB151/'Propylene Recycling HC'!AB149</f>
        <v>5.2673621860709154E-2</v>
      </c>
      <c r="CP57" s="168">
        <f>'Propylene Recycling HC'!AC151/'Propylene Recycling HC'!AC149</f>
        <v>5.3041143509882115E-2</v>
      </c>
      <c r="CQ57" s="168">
        <f>'Propylene Recycling HC'!AD151/'Propylene Recycling HC'!AD149</f>
        <v>5.3416022862888352E-2</v>
      </c>
      <c r="CR57" s="168">
        <f>'Propylene Recycling HC'!AE151/'Propylene Recycling HC'!AE149</f>
        <v>5.3798382058389153E-2</v>
      </c>
      <c r="CS57" s="168">
        <f>'Propylene Recycling HC'!AF151/'Propylene Recycling HC'!AF149</f>
        <v>5.418834618051311E-2</v>
      </c>
      <c r="CT57" s="168">
        <f>'Propylene Recycling HC'!AG151/'Propylene Recycling HC'!AG149</f>
        <v>5.4586043327216491E-2</v>
      </c>
      <c r="CV57" s="168">
        <f>'Propylene Recycling LC'!C147/'Propylene Recycling HC'!C149</f>
        <v>5.2918767120919918E-2</v>
      </c>
      <c r="CW57" s="168">
        <f>'Propylene Recycling LC'!D147/'Propylene Recycling HC'!D149</f>
        <v>5.6881653030495395E-2</v>
      </c>
      <c r="CX57" s="168">
        <f>'Propylene Recycling LC'!E147/'Propylene Recycling HC'!E149</f>
        <v>6.091831502309103E-2</v>
      </c>
      <c r="CY57" s="168">
        <f>'Propylene Recycling LC'!F147/'Propylene Recycling HC'!F149</f>
        <v>6.5028753098706787E-2</v>
      </c>
      <c r="CZ57" s="168">
        <f>'Propylene Recycling LC'!G147/'Propylene Recycling HC'!G149</f>
        <v>6.9212967257342703E-2</v>
      </c>
      <c r="DA57" s="168">
        <f>'Propylene Recycling LC'!H147/'Propylene Recycling HC'!H149</f>
        <v>7.3470957498998776E-2</v>
      </c>
      <c r="DB57" s="168">
        <f>'Propylene Recycling LC'!I147/'Propylene Recycling HC'!I149</f>
        <v>7.7802723823674966E-2</v>
      </c>
      <c r="DC57" s="168">
        <f>'Propylene Recycling LC'!J147/'Propylene Recycling HC'!J149</f>
        <v>8.2208266231371285E-2</v>
      </c>
      <c r="DD57" s="168">
        <f>'Propylene Recycling LC'!K147/'Propylene Recycling HC'!K149</f>
        <v>8.6687584722087763E-2</v>
      </c>
      <c r="DE57" s="168">
        <f>'Propylene Recycling LC'!L147/'Propylene Recycling HC'!L149</f>
        <v>9.1240679295824398E-2</v>
      </c>
      <c r="DF57" s="168">
        <f>'Propylene Recycling LC'!M147/'Propylene Recycling HC'!M149</f>
        <v>9.5867549952581149E-2</v>
      </c>
      <c r="DG57" s="168">
        <f>'Propylene Recycling LC'!N147/'Propylene Recycling HC'!N149</f>
        <v>0.10451030847545772</v>
      </c>
      <c r="DH57" s="168">
        <f>'Propylene Recycling LC'!O147/'Propylene Recycling HC'!O149</f>
        <v>0.1133085642810075</v>
      </c>
      <c r="DI57" s="168">
        <f>'Propylene Recycling LC'!P147/'Propylene Recycling HC'!P149</f>
        <v>0.12229498225835045</v>
      </c>
      <c r="DJ57" s="168">
        <f>'Propylene Recycling LC'!Q147/'Propylene Recycling HC'!Q149</f>
        <v>0.13144354149933693</v>
      </c>
      <c r="DK57" s="168">
        <f>'Propylene Recycling LC'!R147/'Propylene Recycling HC'!R149</f>
        <v>0.14075420465294225</v>
      </c>
      <c r="DL57" s="168">
        <f>'Propylene Recycling LC'!S147/'Propylene Recycling HC'!S149</f>
        <v>0.15022693436814169</v>
      </c>
      <c r="DM57" s="168">
        <f>'Propylene Recycling LC'!T147/'Propylene Recycling HC'!T149</f>
        <v>0.15986169329391053</v>
      </c>
      <c r="DN57" s="168">
        <f>'Propylene Recycling LC'!U147/'Propylene Recycling HC'!U149</f>
        <v>0.16965844407922404</v>
      </c>
      <c r="DO57" s="168">
        <f>'Propylene Recycling LC'!V147/'Propylene Recycling HC'!V149</f>
        <v>0.17961714937305742</v>
      </c>
      <c r="DP57" s="168">
        <f>'Propylene Recycling LC'!W147/'Propylene Recycling HC'!W149</f>
        <v>0.18973777182438611</v>
      </c>
      <c r="DQ57" s="168">
        <f>'Propylene Recycling LC'!X147/'Propylene Recycling HC'!X149</f>
        <v>0.20561342347014072</v>
      </c>
      <c r="DR57" s="168">
        <f>'Propylene Recycling LC'!Y147/'Propylene Recycling HC'!Y149</f>
        <v>0.22176000686307576</v>
      </c>
      <c r="DS57" s="168">
        <f>'Propylene Recycling LC'!Z147/'Propylene Recycling HC'!Z149</f>
        <v>0.23828552178828025</v>
      </c>
      <c r="DT57" s="168">
        <f>'Propylene Recycling LC'!AA147/'Propylene Recycling HC'!AA149</f>
        <v>0.25509810263487248</v>
      </c>
      <c r="DU57" s="168">
        <f>'Propylene Recycling LC'!AB147/'Propylene Recycling HC'!AB149</f>
        <v>0.27219759316497055</v>
      </c>
      <c r="DV57" s="168">
        <f>'Propylene Recycling LC'!AC147/'Propylene Recycling HC'!AC149</f>
        <v>0.28958383714069297</v>
      </c>
      <c r="DW57" s="168">
        <f>'Propylene Recycling LC'!AD147/'Propylene Recycling HC'!AD149</f>
        <v>0.30725667832415776</v>
      </c>
      <c r="DX57" s="168">
        <f>'Propylene Recycling LC'!AE147/'Propylene Recycling HC'!AE149</f>
        <v>0.32521596047748325</v>
      </c>
      <c r="DY57" s="168">
        <f>'Propylene Recycling LC'!AF147/'Propylene Recycling HC'!AF149</f>
        <v>0.34346152736278757</v>
      </c>
      <c r="DZ57" s="168">
        <f>'Propylene Recycling LC'!AG147/'Propylene Recycling HC'!AG149</f>
        <v>0.36199322274218937</v>
      </c>
    </row>
    <row r="58" spans="1:165">
      <c r="A58" s="606" t="s">
        <v>88</v>
      </c>
      <c r="C58" s="54" t="s">
        <v>462</v>
      </c>
      <c r="D58" s="168">
        <f>('Propylene Recycling HC'!C204+'Propylene Recycling HC'!C206)/'Propylene Recycling HC'!C159</f>
        <v>4.4119488970523497E-7</v>
      </c>
      <c r="E58" s="168">
        <f>('Propylene Recycling HC'!D204+'Propylene Recycling HC'!D206)/'Propylene Recycling HC'!D159</f>
        <v>9.2429743934701893E-7</v>
      </c>
      <c r="F58" s="168">
        <f>('Propylene Recycling HC'!E204+'Propylene Recycling HC'!E206)/'Propylene Recycling HC'!E159</f>
        <v>1.9262588004952832E-6</v>
      </c>
      <c r="G58" s="168">
        <f>('Propylene Recycling HC'!F204+'Propylene Recycling HC'!F206)/'Propylene Recycling HC'!F159</f>
        <v>3.9917193279068874E-6</v>
      </c>
      <c r="H58" s="168">
        <f>('Propylene Recycling HC'!G204+'Propylene Recycling HC'!G206)/'Propylene Recycling HC'!G159</f>
        <v>8.2192165446034228E-6</v>
      </c>
      <c r="I58" s="168">
        <f>('Propylene Recycling HC'!H204+'Propylene Recycling HC'!H206)/'Propylene Recycling HC'!H159</f>
        <v>1.6796867160509868E-5</v>
      </c>
      <c r="J58" s="168">
        <f>('Propylene Recycling HC'!I204+'Propylene Recycling HC'!I206)/'Propylene Recycling HC'!I159</f>
        <v>3.4011096313207176E-5</v>
      </c>
      <c r="K58" s="168">
        <f>('Propylene Recycling HC'!J204+'Propylene Recycling HC'!J206)/'Propylene Recycling HC'!J159</f>
        <v>6.8072386843526066E-5</v>
      </c>
      <c r="L58" s="168">
        <f>('Propylene Recycling HC'!K204+'Propylene Recycling HC'!K206)/'Propylene Recycling HC'!K159</f>
        <v>1.3423387991928551E-4</v>
      </c>
      <c r="M58" s="168">
        <f>('Propylene Recycling HC'!L204+'Propylene Recycling HC'!L206)/'Propylene Recycling HC'!L159</f>
        <v>2.5966987246066819E-4</v>
      </c>
      <c r="N58" s="168">
        <f>('Propylene Recycling HC'!M204+'Propylene Recycling HC'!M206)/'Propylene Recycling HC'!M159</f>
        <v>4.9220496651149334E-4</v>
      </c>
      <c r="O58" s="168">
        <f>('Propylene Recycling HC'!N204+'Propylene Recycling HC'!N206)/'Propylene Recycling HC'!N159</f>
        <v>8.7521849698112453E-4</v>
      </c>
      <c r="P58" s="168">
        <f>('Propylene Recycling HC'!O204+'Propylene Recycling HC'!O206)/'Propylene Recycling HC'!O159</f>
        <v>1.5042221040671622E-3</v>
      </c>
      <c r="Q58" s="168">
        <f>('Propylene Recycling HC'!P204+'Propylene Recycling HC'!P206)/'Propylene Recycling HC'!P159</f>
        <v>2.4690347553374798E-3</v>
      </c>
      <c r="R58" s="168">
        <f>('Propylene Recycling HC'!Q204+'Propylene Recycling HC'!Q206)/'Propylene Recycling HC'!Q159</f>
        <v>3.8443715789716849E-3</v>
      </c>
      <c r="S58" s="168">
        <f>('Propylene Recycling HC'!R204+'Propylene Recycling HC'!R206)/'Propylene Recycling HC'!R159</f>
        <v>5.65344311854446E-3</v>
      </c>
      <c r="T58" s="168">
        <f>('Propylene Recycling HC'!S204+'Propylene Recycling HC'!S206)/'Propylene Recycling HC'!S159</f>
        <v>7.8343003863269502E-3</v>
      </c>
      <c r="U58" s="168">
        <f>('Propylene Recycling HC'!T204+'Propylene Recycling HC'!T206)/'Propylene Recycling HC'!T159</f>
        <v>1.0251249946320679E-2</v>
      </c>
      <c r="V58" s="168">
        <f>('Propylene Recycling HC'!U204+'Propylene Recycling HC'!U206)/'Propylene Recycling HC'!U159</f>
        <v>1.2727502936223777E-2</v>
      </c>
      <c r="W58" s="168">
        <f>('Propylene Recycling HC'!V204+'Propylene Recycling HC'!V206)/'Propylene Recycling HC'!V159</f>
        <v>1.5097839315977036E-2</v>
      </c>
      <c r="X58" s="168">
        <f>('Propylene Recycling HC'!W204+'Propylene Recycling HC'!W206)/'Propylene Recycling HC'!W159</f>
        <v>1.7247441455297788E-2</v>
      </c>
      <c r="Y58" s="168">
        <f>('Propylene Recycling HC'!X204+'Propylene Recycling HC'!X206)/'Propylene Recycling HC'!X159</f>
        <v>1.8476759083765393E-2</v>
      </c>
      <c r="Z58" s="168">
        <f>('Propylene Recycling HC'!Y204+'Propylene Recycling HC'!Y206)/'Propylene Recycling HC'!Y159</f>
        <v>1.9313876297160127E-2</v>
      </c>
      <c r="AA58" s="168">
        <f>('Propylene Recycling HC'!Z204+'Propylene Recycling HC'!Z206)/'Propylene Recycling HC'!Z159</f>
        <v>1.9822192996059015E-2</v>
      </c>
      <c r="AB58" s="168">
        <f>('Propylene Recycling HC'!AA204+'Propylene Recycling HC'!AA206)/'Propylene Recycling HC'!AA159</f>
        <v>2.0093470805082617E-2</v>
      </c>
      <c r="AC58" s="168">
        <f>('Propylene Recycling HC'!AB204+'Propylene Recycling HC'!AB206)/'Propylene Recycling HC'!AB159</f>
        <v>2.0227793261792856E-2</v>
      </c>
      <c r="AD58" s="168">
        <f>('Propylene Recycling HC'!AC204+'Propylene Recycling HC'!AC206)/'Propylene Recycling HC'!AC159</f>
        <v>2.032659516260418E-2</v>
      </c>
      <c r="AE58" s="168">
        <f>('Propylene Recycling HC'!AD204+'Propylene Recycling HC'!AD206)/'Propylene Recycling HC'!AD159</f>
        <v>2.0477907855848999E-2</v>
      </c>
      <c r="AF58" s="168">
        <f>('Propylene Recycling HC'!AE204+'Propylene Recycling HC'!AE206)/'Propylene Recycling HC'!AE159</f>
        <v>2.0731552423011518E-2</v>
      </c>
      <c r="AG58" s="168">
        <f>('Propylene Recycling HC'!AF204+'Propylene Recycling HC'!AF206)/'Propylene Recycling HC'!AF159</f>
        <v>2.1836894925860002E-2</v>
      </c>
      <c r="AH58" s="168">
        <f>('Propylene Recycling HC'!AG204+'Propylene Recycling HC'!AG206)/'Propylene Recycling HC'!AG159</f>
        <v>2.4750549708235543E-2</v>
      </c>
      <c r="AI58" s="44"/>
      <c r="AJ58" s="168">
        <f>('Propylene Recycling LC'!C190+'Propylene Recycling LC'!C192)/'Propylene Recycling LC'!C145</f>
        <v>2.2059744485261748E-7</v>
      </c>
      <c r="AK58" s="168">
        <f>('Propylene Recycling LC'!D190+'Propylene Recycling LC'!D192)/'Propylene Recycling LC'!D145</f>
        <v>4.6214871967350946E-7</v>
      </c>
      <c r="AL58" s="168">
        <f>('Propylene Recycling LC'!E190+'Propylene Recycling LC'!E192)/'Propylene Recycling LC'!E145</f>
        <v>9.6312940024764159E-7</v>
      </c>
      <c r="AM58" s="168">
        <f>('Propylene Recycling LC'!F190+'Propylene Recycling LC'!F192)/'Propylene Recycling LC'!F145</f>
        <v>1.9958596639534437E-6</v>
      </c>
      <c r="AN58" s="168">
        <f>('Propylene Recycling LC'!G190+'Propylene Recycling LC'!G192)/'Propylene Recycling LC'!G145</f>
        <v>4.1096082723017114E-6</v>
      </c>
      <c r="AO58" s="168">
        <f>('Propylene Recycling LC'!H190+'Propylene Recycling LC'!H192)/'Propylene Recycling LC'!H145</f>
        <v>8.3984335802549342E-6</v>
      </c>
      <c r="AP58" s="168">
        <f>('Propylene Recycling LC'!I190+'Propylene Recycling LC'!I192)/'Propylene Recycling LC'!I145</f>
        <v>1.7005548156603588E-5</v>
      </c>
      <c r="AQ58" s="168">
        <f>('Propylene Recycling LC'!J190+'Propylene Recycling LC'!J192)/'Propylene Recycling LC'!J145</f>
        <v>3.4036193421763033E-5</v>
      </c>
      <c r="AR58" s="168">
        <f>('Propylene Recycling LC'!K190+'Propylene Recycling LC'!K192)/'Propylene Recycling LC'!K145</f>
        <v>6.7116939959642753E-5</v>
      </c>
      <c r="AS58" s="168">
        <f>('Propylene Recycling LC'!L190+'Propylene Recycling LC'!L192)/'Propylene Recycling LC'!L145</f>
        <v>1.2983493623033409E-4</v>
      </c>
      <c r="AT58" s="168">
        <f>('Propylene Recycling LC'!M190+'Propylene Recycling LC'!M192)/'Propylene Recycling LC'!M145</f>
        <v>2.4610248325574667E-4</v>
      </c>
      <c r="AU58" s="168">
        <f>('Propylene Recycling LC'!N190+'Propylene Recycling LC'!N192)/'Propylene Recycling LC'!N145</f>
        <v>4.3760924849056226E-4</v>
      </c>
      <c r="AV58" s="168">
        <f>('Propylene Recycling LC'!O190+'Propylene Recycling LC'!O192)/'Propylene Recycling LC'!O145</f>
        <v>7.5211105203358108E-4</v>
      </c>
      <c r="AW58" s="168">
        <f>('Propylene Recycling LC'!P190+'Propylene Recycling LC'!P192)/'Propylene Recycling LC'!P145</f>
        <v>1.2344130597197783E-3</v>
      </c>
      <c r="AX58" s="168">
        <f>('Propylene Recycling LC'!Q190+'Propylene Recycling LC'!Q192)/'Propylene Recycling LC'!Q145</f>
        <v>1.9218380247412632E-3</v>
      </c>
      <c r="AY58" s="168">
        <f>('Propylene Recycling LC'!R190+'Propylene Recycling LC'!R192)/'Propylene Recycling LC'!R145</f>
        <v>2.8259026649490658E-3</v>
      </c>
      <c r="AZ58" s="168">
        <f>('Propylene Recycling LC'!S190+'Propylene Recycling LC'!S192)/'Propylene Recycling LC'!S145</f>
        <v>3.9155389781758082E-3</v>
      </c>
      <c r="BA58" s="168">
        <f>('Propylene Recycling LC'!T190+'Propylene Recycling LC'!T192)/'Propylene Recycling LC'!T145</f>
        <v>5.1228245640655683E-3</v>
      </c>
      <c r="BB58" s="168">
        <f>('Propylene Recycling LC'!U190+'Propylene Recycling LC'!U192)/'Propylene Recycling LC'!U145</f>
        <v>6.3593260240504519E-3</v>
      </c>
      <c r="BC58" s="168">
        <f>('Propylene Recycling LC'!V190+'Propylene Recycling LC'!V192)/'Propylene Recycling LC'!V145</f>
        <v>7.5424336494514877E-3</v>
      </c>
      <c r="BD58" s="168">
        <f>('Propylene Recycling LC'!W190+'Propylene Recycling LC'!W192)/'Propylene Recycling LC'!W145</f>
        <v>8.614765205386149E-3</v>
      </c>
      <c r="BE58" s="168">
        <f>('Propylene Recycling LC'!X190+'Propylene Recycling LC'!X192)/'Propylene Recycling LC'!X145</f>
        <v>9.2262480911591664E-3</v>
      </c>
      <c r="BF58" s="168">
        <f>('Propylene Recycling LC'!Y190+'Propylene Recycling LC'!Y192)/'Propylene Recycling LC'!Y145</f>
        <v>9.6411278379678264E-3</v>
      </c>
      <c r="BG58" s="168">
        <f>('Propylene Recycling LC'!Z190+'Propylene Recycling LC'!Z192)/'Propylene Recycling LC'!Z145</f>
        <v>9.8910851414185687E-3</v>
      </c>
      <c r="BH58" s="168">
        <f>('Propylene Recycling LC'!AA190+'Propylene Recycling LC'!AA192)/'Propylene Recycling LC'!AA145</f>
        <v>1.0021922318762077E-2</v>
      </c>
      <c r="BI58" s="168">
        <f>('Propylene Recycling LC'!AB190+'Propylene Recycling LC'!AB192)/'Propylene Recycling LC'!AB145</f>
        <v>1.0083524429724973E-2</v>
      </c>
      <c r="BJ58" s="168">
        <f>('Propylene Recycling LC'!AC190+'Propylene Recycling LC'!AC192)/'Propylene Recycling LC'!AC145</f>
        <v>1.0126337085787508E-2</v>
      </c>
      <c r="BK58" s="168">
        <f>('Propylene Recycling LC'!AD190+'Propylene Recycling LC'!AD192)/'Propylene Recycling LC'!AD145</f>
        <v>1.0193962215381921E-2</v>
      </c>
      <c r="BL58" s="168">
        <f>('Propylene Recycling LC'!AE190+'Propylene Recycling LC'!AE192)/'Propylene Recycling LC'!AE145</f>
        <v>1.0310764454322004E-2</v>
      </c>
      <c r="BM58" s="168">
        <f>('Propylene Recycling LC'!AF190+'Propylene Recycling LC'!AF192)/'Propylene Recycling LC'!AF145</f>
        <v>1.0939966203778437E-2</v>
      </c>
      <c r="BN58" s="168">
        <f>('Propylene Recycling LC'!AG190+'Propylene Recycling LC'!AG192)/'Propylene Recycling LC'!AG145</f>
        <v>1.2400857426902168E-2</v>
      </c>
      <c r="BP58" s="168">
        <f>0</f>
        <v>0</v>
      </c>
      <c r="BQ58" s="168">
        <f>0</f>
        <v>0</v>
      </c>
      <c r="BR58" s="168">
        <f>0</f>
        <v>0</v>
      </c>
      <c r="BS58" s="168">
        <f>0</f>
        <v>0</v>
      </c>
      <c r="BT58" s="168">
        <f>0</f>
        <v>0</v>
      </c>
      <c r="BU58" s="168">
        <f>0</f>
        <v>0</v>
      </c>
      <c r="BV58" s="168">
        <f>0</f>
        <v>0</v>
      </c>
      <c r="BW58" s="168">
        <f>0</f>
        <v>0</v>
      </c>
      <c r="BX58" s="168">
        <f>0</f>
        <v>0</v>
      </c>
      <c r="BY58" s="168">
        <f>0</f>
        <v>0</v>
      </c>
      <c r="BZ58" s="168">
        <f>0</f>
        <v>0</v>
      </c>
      <c r="CA58" s="168">
        <f>0</f>
        <v>0</v>
      </c>
      <c r="CB58" s="168">
        <f>0</f>
        <v>0</v>
      </c>
      <c r="CC58" s="168">
        <f>0</f>
        <v>0</v>
      </c>
      <c r="CD58" s="168">
        <f>0</f>
        <v>0</v>
      </c>
      <c r="CE58" s="168">
        <f>0</f>
        <v>0</v>
      </c>
      <c r="CF58" s="168">
        <f>0</f>
        <v>0</v>
      </c>
      <c r="CG58" s="168">
        <f>0</f>
        <v>0</v>
      </c>
      <c r="CH58" s="168">
        <f>0</f>
        <v>0</v>
      </c>
      <c r="CI58" s="168">
        <f>0</f>
        <v>0</v>
      </c>
      <c r="CJ58" s="168">
        <f>0</f>
        <v>0</v>
      </c>
      <c r="CK58" s="168">
        <f>0</f>
        <v>0</v>
      </c>
      <c r="CL58" s="168">
        <f>0</f>
        <v>0</v>
      </c>
      <c r="CM58" s="168">
        <f>0</f>
        <v>0</v>
      </c>
      <c r="CN58" s="168">
        <f>0</f>
        <v>0</v>
      </c>
      <c r="CO58" s="168">
        <f>0</f>
        <v>0</v>
      </c>
      <c r="CP58" s="168">
        <f>0</f>
        <v>0</v>
      </c>
      <c r="CQ58" s="168">
        <f>0</f>
        <v>0</v>
      </c>
      <c r="CR58" s="168">
        <f>0</f>
        <v>0</v>
      </c>
      <c r="CS58" s="168">
        <f>0</f>
        <v>0</v>
      </c>
      <c r="CT58" s="168">
        <f>0</f>
        <v>0</v>
      </c>
      <c r="CV58" s="168">
        <f>('Propylene Recycling LC'!C190+'Propylene Recycling LC'!C192)/'Propylene Recycling HC'!C149</f>
        <v>2.2059744485261748E-7</v>
      </c>
      <c r="CW58" s="168">
        <f>('Propylene Recycling LC'!D190+'Propylene Recycling LC'!D192)/'Propylene Recycling HC'!D149</f>
        <v>4.6214871967350946E-7</v>
      </c>
      <c r="CX58" s="168">
        <f>('Propylene Recycling LC'!E190+'Propylene Recycling LC'!E192)/'Propylene Recycling HC'!E149</f>
        <v>9.6312940024764159E-7</v>
      </c>
      <c r="CY58" s="168">
        <f>('Propylene Recycling LC'!F190+'Propylene Recycling LC'!F192)/'Propylene Recycling HC'!F149</f>
        <v>1.9958596639534437E-6</v>
      </c>
      <c r="CZ58" s="168">
        <f>('Propylene Recycling LC'!G190+'Propylene Recycling LC'!G192)/'Propylene Recycling HC'!G149</f>
        <v>4.1096082723017114E-6</v>
      </c>
      <c r="DA58" s="168">
        <f>('Propylene Recycling LC'!H190+'Propylene Recycling LC'!H192)/'Propylene Recycling HC'!H149</f>
        <v>8.3984335802549342E-6</v>
      </c>
      <c r="DB58" s="168">
        <f>('Propylene Recycling LC'!I190+'Propylene Recycling LC'!I192)/'Propylene Recycling HC'!I149</f>
        <v>1.7005548156603588E-5</v>
      </c>
      <c r="DC58" s="168">
        <f>('Propylene Recycling LC'!J190+'Propylene Recycling LC'!J192)/'Propylene Recycling HC'!J149</f>
        <v>3.4036193421763033E-5</v>
      </c>
      <c r="DD58" s="168">
        <f>('Propylene Recycling LC'!K190+'Propylene Recycling LC'!K192)/'Propylene Recycling HC'!K149</f>
        <v>6.7116939959642753E-5</v>
      </c>
      <c r="DE58" s="168">
        <f>('Propylene Recycling LC'!L190+'Propylene Recycling LC'!L192)/'Propylene Recycling HC'!L149</f>
        <v>1.2983493623033407E-4</v>
      </c>
      <c r="DF58" s="168">
        <f>('Propylene Recycling LC'!M190+'Propylene Recycling LC'!M192)/'Propylene Recycling HC'!M149</f>
        <v>2.4610248325574672E-4</v>
      </c>
      <c r="DG58" s="168">
        <f>('Propylene Recycling LC'!N190+'Propylene Recycling LC'!N192)/'Propylene Recycling HC'!N149</f>
        <v>4.3760924849056226E-4</v>
      </c>
      <c r="DH58" s="168">
        <f>('Propylene Recycling LC'!O190+'Propylene Recycling LC'!O192)/'Propylene Recycling HC'!O149</f>
        <v>7.5211105203358108E-4</v>
      </c>
      <c r="DI58" s="168">
        <f>('Propylene Recycling LC'!P190+'Propylene Recycling LC'!P192)/'Propylene Recycling HC'!P149</f>
        <v>1.2345527500137192E-3</v>
      </c>
      <c r="DJ58" s="168">
        <f>('Propylene Recycling LC'!Q190+'Propylene Recycling LC'!Q192)/'Propylene Recycling HC'!Q149</f>
        <v>1.9222729879271577E-3</v>
      </c>
      <c r="DK58" s="168">
        <f>('Propylene Recycling LC'!R190+'Propylene Recycling LC'!R192)/'Propylene Recycling HC'!R149</f>
        <v>2.8268620306268833E-3</v>
      </c>
      <c r="DL58" s="168">
        <f>('Propylene Recycling LC'!S190+'Propylene Recycling LC'!S192)/'Propylene Recycling HC'!S149</f>
        <v>3.9173113599129941E-3</v>
      </c>
      <c r="DM58" s="168">
        <f>('Propylene Recycling LC'!T190+'Propylene Recycling LC'!T192)/'Propylene Recycling HC'!T149</f>
        <v>5.1257231435302237E-3</v>
      </c>
      <c r="DN58" s="168">
        <f>('Propylene Recycling LC'!U190+'Propylene Recycling LC'!U192)/'Propylene Recycling HC'!U149</f>
        <v>6.3636438791536696E-3</v>
      </c>
      <c r="DO58" s="168">
        <f>('Propylene Recycling LC'!V190+'Propylene Recycling LC'!V192)/'Propylene Recycling HC'!V149</f>
        <v>7.5484083378724908E-3</v>
      </c>
      <c r="DP58" s="168">
        <f>('Propylene Recycling LC'!W190+'Propylene Recycling LC'!W192)/'Propylene Recycling HC'!W149</f>
        <v>8.6225642096127847E-3</v>
      </c>
      <c r="DQ58" s="168">
        <f>('Propylene Recycling LC'!X190+'Propylene Recycling LC'!X192)/'Propylene Recycling HC'!X149</f>
        <v>9.235644747877178E-3</v>
      </c>
      <c r="DR58" s="168">
        <f>('Propylene Recycling LC'!Y190+'Propylene Recycling LC'!Y192)/'Propylene Recycling HC'!Y149</f>
        <v>9.6520380593965588E-3</v>
      </c>
      <c r="DS58" s="168">
        <f>('Propylene Recycling LC'!Z190+'Propylene Recycling LC'!Z192)/'Propylene Recycling HC'!Z149</f>
        <v>9.9067554554344971E-3</v>
      </c>
      <c r="DT58" s="168">
        <f>('Propylene Recycling LC'!AA190+'Propylene Recycling LC'!AA192)/'Propylene Recycling HC'!AA149</f>
        <v>1.0042336372829029E-2</v>
      </c>
      <c r="DU58" s="168">
        <f>('Propylene Recycling LC'!AB190+'Propylene Recycling LC'!AB192)/'Propylene Recycling HC'!AB149</f>
        <v>1.0108628304453153E-2</v>
      </c>
      <c r="DV58" s="168">
        <f>('Propylene Recycling LC'!AC190+'Propylene Recycling LC'!AC192)/'Propylene Recycling HC'!AC149</f>
        <v>1.01561312667676E-2</v>
      </c>
      <c r="DW58" s="168">
        <f>('Propylene Recycling LC'!AD190+'Propylene Recycling LC'!AD192)/'Propylene Recycling HC'!AD149</f>
        <v>1.022856969706097E-2</v>
      </c>
      <c r="DX58" s="168">
        <f>('Propylene Recycling LC'!AE190+'Propylene Recycling LC'!AE192)/'Propylene Recycling HC'!AE149</f>
        <v>1.035043566972698E-2</v>
      </c>
      <c r="DY58" s="168">
        <f>('Propylene Recycling LC'!AF190+'Propylene Recycling LC'!AF192)/'Propylene Recycling HC'!AF149</f>
        <v>1.0987010318502953E-2</v>
      </c>
      <c r="DZ58" s="168">
        <f>('Propylene Recycling LC'!AG190+'Propylene Recycling LC'!AG192)/'Propylene Recycling HC'!AG149</f>
        <v>1.2459796965032084E-2</v>
      </c>
    </row>
    <row r="59" spans="1:165">
      <c r="A59" s="606" t="s">
        <v>459</v>
      </c>
      <c r="C59" s="54" t="s">
        <v>462</v>
      </c>
      <c r="D59" s="168">
        <f>('Propylene Recycling HC'!C177-('Propylene Recycling HC'!C204+'Propylene Recycling HC'!C206)*'Propylene Recycling HC'!C143/SUM('Propylene Recycling HC'!C143:C144))/('Propylene Recycling HC'!C$159)*D$19/SUM(D$19:D$20)</f>
        <v>0.15152588012722124</v>
      </c>
      <c r="E59" s="168">
        <f>('Propylene Recycling HC'!D177-('Propylene Recycling HC'!D204+'Propylene Recycling HC'!D206)*'Propylene Recycling HC'!D143/SUM('Propylene Recycling HC'!D143:D144))/('Propylene Recycling HC'!D$159)*E$19/SUM(E$19:E$20)</f>
        <v>0.15591469920268403</v>
      </c>
      <c r="F59" s="168">
        <f>('Propylene Recycling HC'!E177-('Propylene Recycling HC'!E204+'Propylene Recycling HC'!E206)*'Propylene Recycling HC'!E143/SUM('Propylene Recycling HC'!E143:E144))/('Propylene Recycling HC'!E$159)*F$19/SUM(F$19:F$20)</f>
        <v>0.16024168622796517</v>
      </c>
      <c r="G59" s="168">
        <f>('Propylene Recycling HC'!F177-('Propylene Recycling HC'!F204+'Propylene Recycling HC'!F206)*'Propylene Recycling HC'!F143/SUM('Propylene Recycling HC'!F143:F144))/('Propylene Recycling HC'!F$159)*G$19/SUM(G$19:G$20)</f>
        <v>0.16449891800480823</v>
      </c>
      <c r="H59" s="168">
        <f>('Propylene Recycling HC'!G177-('Propylene Recycling HC'!G204+'Propylene Recycling HC'!G206)*'Propylene Recycling HC'!G143/SUM('Propylene Recycling HC'!G143:G144))/('Propylene Recycling HC'!G$159)*H$19/SUM(H$19:H$20)</f>
        <v>0.16867212922413252</v>
      </c>
      <c r="I59" s="168">
        <f>('Propylene Recycling HC'!H177-('Propylene Recycling HC'!H204+'Propylene Recycling HC'!H206)*'Propylene Recycling HC'!H143/SUM('Propylene Recycling HC'!H143:H144))/('Propylene Recycling HC'!H$159)*I$19/SUM(I$19:I$20)</f>
        <v>0.17273504127415504</v>
      </c>
      <c r="J59" s="168">
        <f>('Propylene Recycling HC'!I177-('Propylene Recycling HC'!I204+'Propylene Recycling HC'!I206)*'Propylene Recycling HC'!I143/SUM('Propylene Recycling HC'!I143:I144))/('Propylene Recycling HC'!I$159)*J$19/SUM(J$19:J$20)</f>
        <v>0.17663910134045313</v>
      </c>
      <c r="K59" s="168">
        <f>('Propylene Recycling HC'!J177-('Propylene Recycling HC'!J204+'Propylene Recycling HC'!J206)*'Propylene Recycling HC'!J143/SUM('Propylene Recycling HC'!J143:J144))/('Propylene Recycling HC'!J$159)*K$19/SUM(K$19:K$20)</f>
        <v>0.18029569159576975</v>
      </c>
      <c r="L59" s="168">
        <f>('Propylene Recycling HC'!K177-('Propylene Recycling HC'!K204+'Propylene Recycling HC'!K206)*'Propylene Recycling HC'!K143/SUM('Propylene Recycling HC'!K143:K144))/('Propylene Recycling HC'!K$159)*L$19/SUM(L$19:L$20)</f>
        <v>0.18354719682278603</v>
      </c>
      <c r="M59" s="168">
        <f>('Propylene Recycling HC'!L177-('Propylene Recycling HC'!L204+'Propylene Recycling HC'!L206)*'Propylene Recycling HC'!L143/SUM('Propylene Recycling HC'!L143:L144))/('Propylene Recycling HC'!L$159)*M$19/SUM(M$19:M$20)</f>
        <v>0.18612448106538848</v>
      </c>
      <c r="N59" s="168">
        <f>('Propylene Recycling HC'!M177-('Propylene Recycling HC'!M204+'Propylene Recycling HC'!M206)*'Propylene Recycling HC'!M143/SUM('Propylene Recycling HC'!M143:M144))/('Propylene Recycling HC'!M$159)*N$19/SUM(N$19:N$20)</f>
        <v>0.18759380536225642</v>
      </c>
      <c r="O59" s="168">
        <f>('Propylene Recycling HC'!N177-('Propylene Recycling HC'!N204+'Propylene Recycling HC'!N206)*'Propylene Recycling HC'!N143/SUM('Propylene Recycling HC'!N143:N144))/('Propylene Recycling HC'!N$159)*O$19/SUM(O$19:O$20)</f>
        <v>0.18650264135449185</v>
      </c>
      <c r="P59" s="168">
        <f>('Propylene Recycling HC'!O177-('Propylene Recycling HC'!O204+'Propylene Recycling HC'!O206)*'Propylene Recycling HC'!O143/SUM('Propylene Recycling HC'!O143:O144))/('Propylene Recycling HC'!O$159)*P$19/SUM(P$19:P$20)</f>
        <v>0.18283641201797435</v>
      </c>
      <c r="Q59" s="168">
        <f>('Propylene Recycling HC'!P177-('Propylene Recycling HC'!P204+'Propylene Recycling HC'!P206)*'Propylene Recycling HC'!P143/SUM('Propylene Recycling HC'!P143:P144))/('Propylene Recycling HC'!P$159)*Q$19/SUM(Q$19:Q$20)</f>
        <v>0.17574651636532618</v>
      </c>
      <c r="R59" s="168">
        <f>('Propylene Recycling HC'!Q177-('Propylene Recycling HC'!Q204+'Propylene Recycling HC'!Q206)*'Propylene Recycling HC'!Q143/SUM('Propylene Recycling HC'!Q143:Q144))/('Propylene Recycling HC'!Q$159)*R$19/SUM(R$19:R$20)</f>
        <v>0.16461740526377006</v>
      </c>
      <c r="S59" s="168">
        <f>('Propylene Recycling HC'!R177-('Propylene Recycling HC'!R204+'Propylene Recycling HC'!R206)*'Propylene Recycling HC'!R143/SUM('Propylene Recycling HC'!R143:R144))/('Propylene Recycling HC'!R$159)*S$19/SUM(S$19:S$20)</f>
        <v>0.14941654932840898</v>
      </c>
      <c r="T59" s="168">
        <f>('Propylene Recycling HC'!S177-('Propylene Recycling HC'!S204+'Propylene Recycling HC'!S206)*'Propylene Recycling HC'!S143/SUM('Propylene Recycling HC'!S143:S144))/('Propylene Recycling HC'!S$159)*T$19/SUM(T$19:T$20)</f>
        <v>0.13091995162349557</v>
      </c>
      <c r="U59" s="168">
        <f>('Propylene Recycling HC'!T177-('Propylene Recycling HC'!T204+'Propylene Recycling HC'!T206)*'Propylene Recycling HC'!T143/SUM('Propylene Recycling HC'!T143:T144))/('Propylene Recycling HC'!T$159)*U$19/SUM(U$19:U$20)</f>
        <v>0.11060635501440089</v>
      </c>
      <c r="V59" s="168">
        <f>('Propylene Recycling HC'!U177-('Propylene Recycling HC'!U204+'Propylene Recycling HC'!U206)*'Propylene Recycling HC'!U143/SUM('Propylene Recycling HC'!U143:U144))/('Propylene Recycling HC'!U$159)*V$19/SUM(V$19:V$20)</f>
        <v>9.023582128392979E-2</v>
      </c>
      <c r="W59" s="168">
        <f>('Propylene Recycling HC'!V177-('Propylene Recycling HC'!V204+'Propylene Recycling HC'!V206)*'Propylene Recycling HC'!V143/SUM('Propylene Recycling HC'!V143:V144))/('Propylene Recycling HC'!V$159)*W$19/SUM(W$19:W$20)</f>
        <v>7.1345959616195831E-2</v>
      </c>
      <c r="X59" s="168">
        <f>('Propylene Recycling HC'!W177-('Propylene Recycling HC'!W204+'Propylene Recycling HC'!W206)*'Propylene Recycling HC'!W143/SUM('Propylene Recycling HC'!W143:W144))/('Propylene Recycling HC'!W$159)*X$19/SUM(X$19:X$20)</f>
        <v>5.4930617108576343E-2</v>
      </c>
      <c r="Y59" s="168">
        <f>('Propylene Recycling HC'!X177-('Propylene Recycling HC'!X204+'Propylene Recycling HC'!X206)*'Propylene Recycling HC'!X143/SUM('Propylene Recycling HC'!X143:X144))/('Propylene Recycling HC'!X$159)*Y$19/SUM(Y$19:Y$20)</f>
        <v>4.1140891229376517E-2</v>
      </c>
      <c r="Z59" s="168">
        <f>('Propylene Recycling HC'!Y177-('Propylene Recycling HC'!Y204+'Propylene Recycling HC'!Y206)*'Propylene Recycling HC'!Y143/SUM('Propylene Recycling HC'!Y143:Y144))/('Propylene Recycling HC'!Y$159)*Z$19/SUM(Z$19:Z$20)</f>
        <v>3.0289164169879822E-2</v>
      </c>
      <c r="AA59" s="168">
        <f>('Propylene Recycling HC'!Z177-('Propylene Recycling HC'!Z204+'Propylene Recycling HC'!Z206)*'Propylene Recycling HC'!Z143/SUM('Propylene Recycling HC'!Z143:Z144))/('Propylene Recycling HC'!Z$159)*AA$19/SUM(AA$19:AA$20)</f>
        <v>2.2004547667813654E-2</v>
      </c>
      <c r="AB59" s="168">
        <f>('Propylene Recycling HC'!AA177-('Propylene Recycling HC'!AA204+'Propylene Recycling HC'!AA206)*'Propylene Recycling HC'!AA143/SUM('Propylene Recycling HC'!AA143:AA144))/('Propylene Recycling HC'!AA$159)*AB$19/SUM(AB$19:AB$20)</f>
        <v>1.5822837237251055E-2</v>
      </c>
      <c r="AC59" s="168">
        <f>('Propylene Recycling HC'!AB177-('Propylene Recycling HC'!AB204+'Propylene Recycling HC'!AB206)*'Propylene Recycling HC'!AB143/SUM('Propylene Recycling HC'!AB143:AB144))/('Propylene Recycling HC'!AB$159)*AC$19/SUM(AC$19:AC$20)</f>
        <v>1.128765918077502E-2</v>
      </c>
      <c r="AD59" s="168">
        <f>('Propylene Recycling HC'!AC177-('Propylene Recycling HC'!AC204+'Propylene Recycling HC'!AC206)*'Propylene Recycling HC'!AC143/SUM('Propylene Recycling HC'!AC143:AC144))/('Propylene Recycling HC'!AC$159)*AD$19/SUM(AD$19:AD$20)</f>
        <v>8.0019911421697794E-3</v>
      </c>
      <c r="AE59" s="168">
        <f>('Propylene Recycling HC'!AD177-('Propylene Recycling HC'!AD204+'Propylene Recycling HC'!AD206)*'Propylene Recycling HC'!AD143/SUM('Propylene Recycling HC'!AD143:AD144))/('Propylene Recycling HC'!AD$159)*AE$19/SUM(AE$19:AE$20)</f>
        <v>5.6439604637752022E-3</v>
      </c>
      <c r="AF59" s="168">
        <f>('Propylene Recycling HC'!AE177-('Propylene Recycling HC'!AE204+'Propylene Recycling HC'!AE206)*'Propylene Recycling HC'!AE143/SUM('Propylene Recycling HC'!AE143:AE144))/('Propylene Recycling HC'!AE$159)*AF$19/SUM(AF$19:AF$20)</f>
        <v>3.9640575818767933E-3</v>
      </c>
      <c r="AG59" s="168">
        <f>('Propylene Recycling HC'!AF177-('Propylene Recycling HC'!AF204+'Propylene Recycling HC'!AF206)*'Propylene Recycling HC'!AF143/SUM('Propylene Recycling HC'!AF143:AF144))/('Propylene Recycling HC'!AF$159)*AG$19/SUM(AG$19:AG$20)</f>
        <v>2.769836757924951E-3</v>
      </c>
      <c r="AH59" s="168">
        <f>('Propylene Recycling HC'!AG177-('Propylene Recycling HC'!AG204+'Propylene Recycling HC'!AG206)*'Propylene Recycling HC'!AG143/SUM('Propylene Recycling HC'!AG143:AG144))/('Propylene Recycling HC'!AG$159)*AH$19/SUM(AH$19:AH$20)</f>
        <v>1.9219967690703849E-3</v>
      </c>
      <c r="AI59" s="44"/>
      <c r="AJ59" s="168">
        <f>('Propylene Recycling LC'!C163-('Propylene Recycling LC'!C190+'Propylene Recycling LC'!C192)*'Propylene Recycling LC'!C129/SUM('Propylene Recycling LC'!C129:C130))/('Propylene Recycling LC'!C$145)*AJ$19/SUM(AJ$19:AJ$20)</f>
        <v>0.15152594671960704</v>
      </c>
      <c r="AK59" s="168">
        <f>('Propylene Recycling LC'!D163-('Propylene Recycling LC'!D190+'Propylene Recycling LC'!D192)*'Propylene Recycling LC'!D129/SUM('Propylene Recycling LC'!D129:D130))/('Propylene Recycling LC'!D$145)*AK$19/SUM(AK$19:AK$20)</f>
        <v>0.15591484147785917</v>
      </c>
      <c r="AL59" s="168">
        <f>('Propylene Recycling LC'!E163-('Propylene Recycling LC'!E190+'Propylene Recycling LC'!E192)*'Propylene Recycling LC'!E129/SUM('Propylene Recycling LC'!E129:E130))/('Propylene Recycling LC'!E$145)*AL$19/SUM(AL$19:AL$20)</f>
        <v>0.16024198833407874</v>
      </c>
      <c r="AM59" s="168">
        <f>('Propylene Recycling LC'!F163-('Propylene Recycling LC'!F190+'Propylene Recycling LC'!F192)*'Propylene Recycling LC'!F129/SUM('Propylene Recycling LC'!F129:F130))/('Propylene Recycling LC'!F$145)*AM$19/SUM(AM$19:AM$20)</f>
        <v>0.16449955530868146</v>
      </c>
      <c r="AN59" s="168">
        <f>('Propylene Recycling LC'!G163-('Propylene Recycling LC'!G190+'Propylene Recycling LC'!G192)*'Propylene Recycling LC'!G129/SUM('Propylene Recycling LC'!G129:G130))/('Propylene Recycling LC'!G$145)*AN$19/SUM(AN$19:AN$20)</f>
        <v>0.16867346387017726</v>
      </c>
      <c r="AO59" s="168">
        <f>('Propylene Recycling LC'!H163-('Propylene Recycling LC'!H190+'Propylene Recycling LC'!H192)*'Propylene Recycling LC'!H129/SUM('Propylene Recycling LC'!H129:H130))/('Propylene Recycling LC'!H$145)*AO$19/SUM(AO$19:AO$20)</f>
        <v>0.17273781258467466</v>
      </c>
      <c r="AP59" s="168">
        <f>('Propylene Recycling LC'!I163-('Propylene Recycling LC'!I190+'Propylene Recycling LC'!I192)*'Propylene Recycling LC'!I129/SUM('Propylene Recycling LC'!I129:I130))/('Propylene Recycling LC'!I$145)*AP$19/SUM(AP$19:AP$20)</f>
        <v>0.17664479623413726</v>
      </c>
      <c r="AQ59" s="168">
        <f>('Propylene Recycling LC'!J163-('Propylene Recycling LC'!J190+'Propylene Recycling LC'!J192)*'Propylene Recycling LC'!J129/SUM('Propylene Recycling LC'!J129:J130))/('Propylene Recycling LC'!J$145)*AQ$19/SUM(AQ$19:AQ$20)</f>
        <v>0.18030724099151318</v>
      </c>
      <c r="AR59" s="168">
        <f>('Propylene Recycling LC'!K163-('Propylene Recycling LC'!K190+'Propylene Recycling LC'!K192)*'Propylene Recycling LC'!K129/SUM('Propylene Recycling LC'!K129:K130))/('Propylene Recycling LC'!K$145)*AR$19/SUM(AR$19:AR$20)</f>
        <v>0.18357022035037937</v>
      </c>
      <c r="AS59" s="168">
        <f>('Propylene Recycling LC'!L163-('Propylene Recycling LC'!L190+'Propylene Recycling LC'!L192)*'Propylene Recycling LC'!L129/SUM('Propylene Recycling LC'!L129:L130))/('Propylene Recycling LC'!L$145)*AS$19/SUM(AS$19:AS$20)</f>
        <v>0.1861693453570665</v>
      </c>
      <c r="AT59" s="168">
        <f>('Propylene Recycling LC'!M163-('Propylene Recycling LC'!M190+'Propylene Recycling LC'!M192)*'Propylene Recycling LC'!M129/SUM('Propylene Recycling LC'!M129:M130))/('Propylene Recycling LC'!M$145)*AT$19/SUM(AT$19:AT$20)</f>
        <v>0.18767898688647136</v>
      </c>
      <c r="AU59" s="168">
        <f>('Propylene Recycling LC'!N163-('Propylene Recycling LC'!N190+'Propylene Recycling LC'!N192)*'Propylene Recycling LC'!N129/SUM('Propylene Recycling LC'!N129:N130))/('Propylene Recycling LC'!N$145)*AU$19/SUM(AU$19:AU$20)</f>
        <v>0.18665303242167497</v>
      </c>
      <c r="AV59" s="168">
        <f>('Propylene Recycling LC'!O163-('Propylene Recycling LC'!O190+'Propylene Recycling LC'!O192)*'Propylene Recycling LC'!O129/SUM('Propylene Recycling LC'!O129:O130))/('Propylene Recycling LC'!O$145)*AV$19/SUM(AV$19:AV$20)</f>
        <v>0.18308969462343572</v>
      </c>
      <c r="AW59" s="168">
        <f>('Propylene Recycling LC'!P163-('Propylene Recycling LC'!P190+'Propylene Recycling LC'!P192)*'Propylene Recycling LC'!P129/SUM('Propylene Recycling LC'!P129:P130))/('Propylene Recycling LC'!P$145)*AW$19/SUM(AW$19:AW$20)</f>
        <v>0.17614362177347673</v>
      </c>
      <c r="AX59" s="168">
        <f>('Propylene Recycling LC'!Q163-('Propylene Recycling LC'!Q190+'Propylene Recycling LC'!Q192)*'Propylene Recycling LC'!Q129/SUM('Propylene Recycling LC'!Q129:Q130))/('Propylene Recycling LC'!Q$145)*AX$19/SUM(AX$19:AX$20)</f>
        <v>0.16519602831293248</v>
      </c>
      <c r="AY59" s="168">
        <f>('Propylene Recycling LC'!R163-('Propylene Recycling LC'!R190+'Propylene Recycling LC'!R192)*'Propylene Recycling LC'!R129/SUM('Propylene Recycling LC'!R129:R130))/('Propylene Recycling LC'!R$145)*AY$19/SUM(AY$19:AY$20)</f>
        <v>0.1501904942896507</v>
      </c>
      <c r="AZ59" s="168">
        <f>('Propylene Recycling LC'!S163-('Propylene Recycling LC'!S190+'Propylene Recycling LC'!S192)*'Propylene Recycling LC'!S129/SUM('Propylene Recycling LC'!S129:S130))/('Propylene Recycling LC'!S$145)*AZ$19/SUM(AZ$19:AZ$20)</f>
        <v>0.13186329389529308</v>
      </c>
      <c r="BA59" s="168">
        <f>('Propylene Recycling LC'!T163-('Propylene Recycling LC'!T190+'Propylene Recycling LC'!T192)*'Propylene Recycling LC'!T129/SUM('Propylene Recycling LC'!T129:T130))/('Propylene Recycling LC'!T$145)*BA$19/SUM(BA$19:BA$20)</f>
        <v>0.1116542673875161</v>
      </c>
      <c r="BB59" s="168">
        <f>('Propylene Recycling LC'!U163-('Propylene Recycling LC'!U190+'Propylene Recycling LC'!U192)*'Propylene Recycling LC'!U129/SUM('Propylene Recycling LC'!U129:U130))/('Propylene Recycling LC'!U$145)*BB$19/SUM(BB$19:BB$20)</f>
        <v>9.1302920126217935E-2</v>
      </c>
      <c r="BC59" s="168">
        <f>('Propylene Recycling LC'!V163-('Propylene Recycling LC'!V190+'Propylene Recycling LC'!V192)*'Propylene Recycling LC'!V129/SUM('Propylene Recycling LC'!V129:V130))/('Propylene Recycling LC'!V$145)*BC$19/SUM(BC$19:BC$20)</f>
        <v>7.2352252518010987E-2</v>
      </c>
      <c r="BD59" s="168">
        <f>('Propylene Recycling LC'!W163-('Propylene Recycling LC'!W190+'Propylene Recycling LC'!W192)*'Propylene Recycling LC'!W129/SUM('Propylene Recycling LC'!W129:W130))/('Propylene Recycling LC'!W$145)*BD$19/SUM(BD$19:BD$20)</f>
        <v>5.5820388849379309E-2</v>
      </c>
      <c r="BE59" s="168">
        <f>('Propylene Recycling LC'!X163-('Propylene Recycling LC'!X190+'Propylene Recycling LC'!X192)*'Propylene Recycling LC'!X129/SUM('Propylene Recycling LC'!X129:X130))/('Propylene Recycling LC'!X$145)*BE$19/SUM(BE$19:BE$20)</f>
        <v>4.1862129061774687E-2</v>
      </c>
      <c r="BF59" s="168">
        <f>('Propylene Recycling LC'!Y163-('Propylene Recycling LC'!Y190+'Propylene Recycling LC'!Y192)*'Propylene Recycling LC'!Y129/SUM('Propylene Recycling LC'!Y129:Y130))/('Propylene Recycling LC'!Y$145)*BF$19/SUM(BF$19:BF$20)</f>
        <v>3.0849796940610977E-2</v>
      </c>
      <c r="BG59" s="168">
        <f>('Propylene Recycling LC'!Z163-('Propylene Recycling LC'!Z190+'Propylene Recycling LC'!Z192)*'Propylene Recycling LC'!Z129/SUM('Propylene Recycling LC'!Z129:Z130))/('Propylene Recycling LC'!Z$145)*BG$19/SUM(BG$19:BG$20)</f>
        <v>2.2426726659989731E-2</v>
      </c>
      <c r="BH59" s="168">
        <f>('Propylene Recycling LC'!AA163-('Propylene Recycling LC'!AA190+'Propylene Recycling LC'!AA192)*'Propylene Recycling LC'!AA129/SUM('Propylene Recycling LC'!AA129:AA130))/('Propylene Recycling LC'!AA$145)*BH$19/SUM(BH$19:BH$20)</f>
        <v>1.6133667709178401E-2</v>
      </c>
      <c r="BI59" s="168">
        <f>('Propylene Recycling LC'!AB163-('Propylene Recycling LC'!AB190+'Propylene Recycling LC'!AB192)*'Propylene Recycling LC'!AB129/SUM('Propylene Recycling LC'!AB129:AB130))/('Propylene Recycling LC'!AB$145)*BI$19/SUM(BI$19:BI$20)</f>
        <v>1.1513210544954487E-2</v>
      </c>
      <c r="BJ59" s="168">
        <f>('Propylene Recycling LC'!AC163-('Propylene Recycling LC'!AC190+'Propylene Recycling LC'!AC192)*'Propylene Recycling LC'!AC129/SUM('Propylene Recycling LC'!AC129:AC130))/('Propylene Recycling LC'!AC$145)*BJ$19/SUM(BJ$19:BJ$20)</f>
        <v>8.1644599923925351E-3</v>
      </c>
      <c r="BK59" s="168">
        <f>('Propylene Recycling LC'!AD163-('Propylene Recycling LC'!AD190+'Propylene Recycling LC'!AD192)*'Propylene Recycling LC'!AD129/SUM('Propylene Recycling LC'!AD129:AD130))/('Propylene Recycling LC'!AD$145)*BK$19/SUM(BK$19:BK$20)</f>
        <v>5.7608202511786845E-3</v>
      </c>
      <c r="BL59" s="168">
        <f>('Propylene Recycling LC'!AE163-('Propylene Recycling LC'!AE190+'Propylene Recycling LC'!AE192)*'Propylene Recycling LC'!AE129/SUM('Propylene Recycling LC'!AE129:AE130))/('Propylene Recycling LC'!AE$145)*BL$19/SUM(BL$19:BL$20)</f>
        <v>4.0482888372286759E-3</v>
      </c>
      <c r="BM59" s="168">
        <f>('Propylene Recycling LC'!AF163-('Propylene Recycling LC'!AF190+'Propylene Recycling LC'!AF192)*'Propylene Recycling LC'!AF129/SUM('Propylene Recycling LC'!AF129:AF130))/('Propylene Recycling LC'!AF$145)*BM$19/SUM(BM$19:BM$20)</f>
        <v>2.8324344425220143E-3</v>
      </c>
      <c r="BN59" s="168">
        <f>('Propylene Recycling LC'!AG163-('Propylene Recycling LC'!AG190+'Propylene Recycling LC'!AG192)*'Propylene Recycling LC'!AG129/SUM('Propylene Recycling LC'!AG129:AG130))/('Propylene Recycling LC'!AG$145)*BN$19/SUM(BN$19:BN$20)</f>
        <v>1.9725317192138847E-3</v>
      </c>
      <c r="BP59" s="168">
        <f>('Propylene Recycling HC'!C153)/('Propylene Recycling HC'!C$149)*BP$19/SUM(BP$19:BP$20)</f>
        <v>0.15153299726065281</v>
      </c>
      <c r="BQ59" s="168">
        <f>('Propylene Recycling HC'!D153)/('Propylene Recycling HC'!D$149)*BQ$19/SUM(BQ$19:BQ$20)</f>
        <v>0.15362988664478627</v>
      </c>
      <c r="BR59" s="168">
        <f>('Propylene Recycling HC'!E153)/('Propylene Recycling HC'!E$149)*BR$19/SUM(BR$19:BR$20)</f>
        <v>0.15570600555469388</v>
      </c>
      <c r="BS59" s="168">
        <f>('Propylene Recycling HC'!F153)/('Propylene Recycling HC'!F$149)*BS$19/SUM(BS$19:BS$20)</f>
        <v>0.15776140396248262</v>
      </c>
      <c r="BT59" s="168">
        <f>('Propylene Recycling HC'!G153)/('Propylene Recycling HC'!G$149)*BT$19/SUM(BT$19:BT$20)</f>
        <v>0.1597959803138764</v>
      </c>
      <c r="BU59" s="168">
        <f>('Propylene Recycling HC'!H153)/('Propylene Recycling HC'!H$149)*BU$19/SUM(BU$19:BU$20)</f>
        <v>0.16180947999692774</v>
      </c>
      <c r="BV59" s="168">
        <f>('Propylene Recycling HC'!I153)/('Propylene Recycling HC'!I$149)*BV$19/SUM(BV$19:BV$20)</f>
        <v>0.16382000290975574</v>
      </c>
      <c r="BW59" s="168">
        <f>('Propylene Recycling HC'!J153)/('Propylene Recycling HC'!J$149)*BW$19/SUM(BW$19:BW$20)</f>
        <v>0.1658274596085067</v>
      </c>
      <c r="BX59" s="168">
        <f>('Propylene Recycling HC'!K153)/('Propylene Recycling HC'!K$149)*BX$19/SUM(BX$19:BX$20)</f>
        <v>0.16783175753428686</v>
      </c>
      <c r="BY59" s="168">
        <f>('Propylene Recycling HC'!L153)/('Propylene Recycling HC'!L$149)*BY$19/SUM(BY$19:BY$20)</f>
        <v>0.16983280077989443</v>
      </c>
      <c r="BZ59" s="168">
        <f>('Propylene Recycling HC'!M153)/('Propylene Recycling HC'!M$149)*BZ$19/SUM(BZ$19:BZ$20)</f>
        <v>0.1718304898508296</v>
      </c>
      <c r="CA59" s="168">
        <f>('Propylene Recycling HC'!N153)/('Propylene Recycling HC'!N$149)*CA$19/SUM(CA$19:CA$20)</f>
        <v>0.17381195679761791</v>
      </c>
      <c r="CB59" s="168">
        <f>('Propylene Recycling HC'!O153)/('Propylene Recycling HC'!O$149)*CB$19/SUM(CB$19:CB$20)</f>
        <v>0.17577668210517911</v>
      </c>
      <c r="CC59" s="168">
        <f>('Propylene Recycling HC'!P153)/('Propylene Recycling HC'!P$149)*CC$19/SUM(CC$19:CC$20)</f>
        <v>0.17772405036009892</v>
      </c>
      <c r="CD59" s="168">
        <f>('Propylene Recycling HC'!Q153)/('Propylene Recycling HC'!Q$149)*CD$19/SUM(CD$19:CD$20)</f>
        <v>0.17965334406514757</v>
      </c>
      <c r="CE59" s="168">
        <f>('Propylene Recycling HC'!R153)/('Propylene Recycling HC'!R$149)*CE$19/SUM(CE$19:CE$20)</f>
        <v>0.18156373643407639</v>
      </c>
      <c r="CF59" s="168">
        <f>('Propylene Recycling HC'!S153)/('Propylene Recycling HC'!S$149)*CF$19/SUM(CF$19:CF$20)</f>
        <v>0.18347157026095315</v>
      </c>
      <c r="CG59" s="168">
        <f>('Propylene Recycling HC'!T153)/('Propylene Recycling HC'!T$149)*CG$19/SUM(CG$19:CG$20)</f>
        <v>0.18537677983328757</v>
      </c>
      <c r="CH59" s="168">
        <f>('Propylene Recycling HC'!U153)/('Propylene Recycling HC'!U$149)*CH$19/SUM(CH$19:CH$20)</f>
        <v>0.18727929790897754</v>
      </c>
      <c r="CI59" s="168">
        <f>('Propylene Recycling HC'!V153)/('Propylene Recycling HC'!V$149)*CI$19/SUM(CI$19:CI$20)</f>
        <v>0.18917905566971721</v>
      </c>
      <c r="CJ59" s="168">
        <f>('Propylene Recycling HC'!W153)/('Propylene Recycling HC'!W$149)*CJ$19/SUM(CJ$19:CJ$20)</f>
        <v>0.19107598267304979</v>
      </c>
      <c r="CK59" s="168">
        <f>('Propylene Recycling HC'!X153)/('Propylene Recycling HC'!X$149)*CK$19/SUM(CK$19:CK$20)</f>
        <v>0.19297012168199151</v>
      </c>
      <c r="CL59" s="168">
        <f>('Propylene Recycling HC'!Y153)/('Propylene Recycling HC'!Y$149)*CL$19/SUM(CL$19:CL$20)</f>
        <v>0.19486140483222097</v>
      </c>
      <c r="CM59" s="168">
        <f>('Propylene Recycling HC'!Z153)/('Propylene Recycling HC'!Z$149)*CM$19/SUM(CM$19:CM$20)</f>
        <v>0.19674976269215427</v>
      </c>
      <c r="CN59" s="168">
        <f>('Propylene Recycling HC'!AA153)/('Propylene Recycling HC'!AA$149)*CN$19/SUM(CN$19:CN$20)</f>
        <v>0.19863512421777052</v>
      </c>
      <c r="CO59" s="168">
        <f>('Propylene Recycling HC'!AB153)/('Propylene Recycling HC'!AB$149)*CO$19/SUM(CO$19:CO$20)</f>
        <v>0.20051741670614975</v>
      </c>
      <c r="CP59" s="168">
        <f>('Propylene Recycling HC'!AC153)/('Propylene Recycling HC'!AC$149)*CP$19/SUM(CP$19:CP$20)</f>
        <v>0.20239667292715441</v>
      </c>
      <c r="CQ59" s="168">
        <f>('Propylene Recycling HC'!AD153)/('Propylene Recycling HC'!AD$149)*CQ$19/SUM(CQ$19:CQ$20)</f>
        <v>0.20427282226618854</v>
      </c>
      <c r="CR59" s="168">
        <f>('Propylene Recycling HC'!AE153)/('Propylene Recycling HC'!AE$149)*CR$19/SUM(CR$19:CR$20)</f>
        <v>0.20614579249554549</v>
      </c>
      <c r="CS59" s="168">
        <f>('Propylene Recycling HC'!AF153)/('Propylene Recycling HC'!AF$149)*CS$19/SUM(CS$19:CS$20)</f>
        <v>0.20801550973003233</v>
      </c>
      <c r="CT59" s="168">
        <f>('Propylene Recycling HC'!AG153)/('Propylene Recycling HC'!AG$149)*CT$19/SUM(CT$19:CT$20)</f>
        <v>0.20988189838135796</v>
      </c>
      <c r="CV59" s="168">
        <f>AJ59*(1-SUM(CV$34:CV$35))/(1-SUM(AJ$34:AJ$35))</f>
        <v>0.15152594671960704</v>
      </c>
      <c r="CW59" s="168">
        <f t="shared" ref="CW59:DZ65" si="370">AK59*(1-SUM(CW$34:CW$35))/(1-SUM(AK$34:AK$35))</f>
        <v>0.15591484147785917</v>
      </c>
      <c r="CX59" s="168">
        <f t="shared" si="370"/>
        <v>0.16024198833407877</v>
      </c>
      <c r="CY59" s="168">
        <f t="shared" si="370"/>
        <v>0.16449955530868143</v>
      </c>
      <c r="CZ59" s="168">
        <f t="shared" si="370"/>
        <v>0.16867346387017726</v>
      </c>
      <c r="DA59" s="168">
        <f t="shared" si="370"/>
        <v>0.17273781258467466</v>
      </c>
      <c r="DB59" s="168">
        <f t="shared" si="370"/>
        <v>0.17664479623413726</v>
      </c>
      <c r="DC59" s="168">
        <f t="shared" si="370"/>
        <v>0.18030724099151318</v>
      </c>
      <c r="DD59" s="168">
        <f t="shared" si="370"/>
        <v>0.18357022035037937</v>
      </c>
      <c r="DE59" s="168">
        <f t="shared" si="370"/>
        <v>0.18616934535706647</v>
      </c>
      <c r="DF59" s="168">
        <f t="shared" si="370"/>
        <v>0.18767898688647136</v>
      </c>
      <c r="DG59" s="168">
        <f t="shared" si="370"/>
        <v>0.18665303242167497</v>
      </c>
      <c r="DH59" s="168">
        <f t="shared" si="370"/>
        <v>0.18308969462343572</v>
      </c>
      <c r="DI59" s="168">
        <f t="shared" si="370"/>
        <v>0.17614287009958565</v>
      </c>
      <c r="DJ59" s="168">
        <f t="shared" si="370"/>
        <v>0.16519451344886335</v>
      </c>
      <c r="DK59" s="168">
        <f t="shared" si="370"/>
        <v>0.1501882781106931</v>
      </c>
      <c r="DL59" s="168">
        <f t="shared" si="370"/>
        <v>0.13186051495451068</v>
      </c>
      <c r="DM59" s="168">
        <f t="shared" si="370"/>
        <v>0.1116511222334194</v>
      </c>
      <c r="DN59" s="168">
        <f t="shared" si="370"/>
        <v>9.1299626274769272E-2</v>
      </c>
      <c r="DO59" s="168">
        <f t="shared" si="370"/>
        <v>7.2349009220124896E-2</v>
      </c>
      <c r="DP59" s="168">
        <f t="shared" si="370"/>
        <v>5.5817349685266297E-2</v>
      </c>
      <c r="DQ59" s="168">
        <f t="shared" si="370"/>
        <v>4.1859302102016056E-2</v>
      </c>
      <c r="DR59" s="168">
        <f t="shared" si="370"/>
        <v>3.0847254745494424E-2</v>
      </c>
      <c r="DS59" s="168">
        <f t="shared" si="370"/>
        <v>2.2423894354925047E-2</v>
      </c>
      <c r="DT59" s="168">
        <f t="shared" si="370"/>
        <v>1.6130807398527035E-2</v>
      </c>
      <c r="DU59" s="168">
        <f t="shared" si="370"/>
        <v>1.1510491934016454E-2</v>
      </c>
      <c r="DV59" s="168">
        <f t="shared" si="370"/>
        <v>8.1619802420246183E-3</v>
      </c>
      <c r="DW59" s="168">
        <f t="shared" si="370"/>
        <v>5.7586241073966093E-3</v>
      </c>
      <c r="DX59" s="168">
        <f t="shared" si="370"/>
        <v>4.0463859214397166E-3</v>
      </c>
      <c r="DY59" s="168">
        <f t="shared" si="370"/>
        <v>2.830814388719041E-3</v>
      </c>
      <c r="DZ59" s="168">
        <f t="shared" si="370"/>
        <v>1.9711727875586409E-3</v>
      </c>
    </row>
    <row r="60" spans="1:165">
      <c r="A60" s="606" t="s">
        <v>460</v>
      </c>
      <c r="C60" s="54" t="s">
        <v>462</v>
      </c>
      <c r="D60" s="168">
        <f>('Propylene Recycling HC'!C177-('Propylene Recycling HC'!C204+'Propylene Recycling HC'!C206)*'Propylene Recycling HC'!C143/SUM('Propylene Recycling HC'!C143:C144))/('Propylene Recycling HC'!C$159)*D$20/SUM(D$19:D$20)</f>
        <v>6.9839425214554155E-6</v>
      </c>
      <c r="E60" s="168">
        <f>('Propylene Recycling HC'!D177-('Propylene Recycling HC'!D204+'Propylene Recycling HC'!D206)*'Propylene Recycling HC'!D143/SUM('Propylene Recycling HC'!D143:D144))/('Propylene Recycling HC'!D$159)*E$20/SUM(E$19:E$20)</f>
        <v>1.3916253859441128E-5</v>
      </c>
      <c r="F60" s="168">
        <f>('Propylene Recycling HC'!E177-('Propylene Recycling HC'!E204+'Propylene Recycling HC'!E206)*'Propylene Recycling HC'!E143/SUM('Propylene Recycling HC'!E143:E144))/('Propylene Recycling HC'!E$159)*F$20/SUM(F$19:F$20)</f>
        <v>2.7650358274194313E-5</v>
      </c>
      <c r="G60" s="168">
        <f>('Propylene Recycling HC'!F177-('Propylene Recycling HC'!F204+'Propylene Recycling HC'!F206)*'Propylene Recycling HC'!F143/SUM('Propylene Recycling HC'!F143:F144))/('Propylene Recycling HC'!F$159)*G$20/SUM(G$19:G$20)</f>
        <v>5.4746417874358225E-5</v>
      </c>
      <c r="H60" s="168">
        <f>('Propylene Recycling HC'!G177-('Propylene Recycling HC'!G204+'Propylene Recycling HC'!G206)*'Propylene Recycling HC'!G143/SUM('Propylene Recycling HC'!G143:G144))/('Propylene Recycling HC'!G$159)*H$20/SUM(H$19:H$20)</f>
        <v>1.079150466553309E-4</v>
      </c>
      <c r="I60" s="168">
        <f>('Propylene Recycling HC'!H177-('Propylene Recycling HC'!H204+'Propylene Recycling HC'!H206)*'Propylene Recycling HC'!H143/SUM('Propylene Recycling HC'!H143:H144))/('Propylene Recycling HC'!H$159)*I$20/SUM(I$19:I$20)</f>
        <v>2.1149725192569658E-4</v>
      </c>
      <c r="J60" s="168">
        <f>('Propylene Recycling HC'!I177-('Propylene Recycling HC'!I204+'Propylene Recycling HC'!I206)*'Propylene Recycling HC'!I143/SUM('Propylene Recycling HC'!I143:I144))/('Propylene Recycling HC'!I$159)*J$20/SUM(J$19:J$20)</f>
        <v>4.1135937335208458E-4</v>
      </c>
      <c r="K60" s="168">
        <f>('Propylene Recycling HC'!J177-('Propylene Recycling HC'!J204+'Propylene Recycling HC'!J206)*'Propylene Recycling HC'!J143/SUM('Propylene Recycling HC'!J143:J144))/('Propylene Recycling HC'!J$159)*K$20/SUM(K$19:K$20)</f>
        <v>7.9201027377194956E-4</v>
      </c>
      <c r="L60" s="168">
        <f>('Propylene Recycling HC'!K177-('Propylene Recycling HC'!K204+'Propylene Recycling HC'!K206)*'Propylene Recycling HC'!K143/SUM('Propylene Recycling HC'!K143:K144))/('Propylene Recycling HC'!K$159)*L$20/SUM(L$19:L$20)</f>
        <v>1.5043615478315992E-3</v>
      </c>
      <c r="M60" s="168">
        <f>('Propylene Recycling HC'!L177-('Propylene Recycling HC'!L204+'Propylene Recycling HC'!L206)*'Propylene Recycling HC'!L143/SUM('Propylene Recycling HC'!L143:L144))/('Propylene Recycling HC'!L$159)*M$20/SUM(M$19:M$20)</f>
        <v>2.80637613438218E-3</v>
      </c>
      <c r="N60" s="168">
        <f>('Propylene Recycling HC'!M177-('Propylene Recycling HC'!M204+'Propylene Recycling HC'!M206)*'Propylene Recycling HC'!M143/SUM('Propylene Recycling HC'!M143:M144))/('Propylene Recycling HC'!M$159)*N$20/SUM(N$19:N$20)</f>
        <v>5.1127777708776662E-3</v>
      </c>
      <c r="O60" s="168">
        <f>('Propylene Recycling HC'!N177-('Propylene Recycling HC'!N204+'Propylene Recycling HC'!N206)*'Propylene Recycling HC'!N143/SUM('Propylene Recycling HC'!N143:N144))/('Propylene Recycling HC'!N$159)*O$20/SUM(O$19:O$20)</f>
        <v>8.9958143915382545E-3</v>
      </c>
      <c r="P60" s="168">
        <f>('Propylene Recycling HC'!O177-('Propylene Recycling HC'!O204+'Propylene Recycling HC'!O206)*'Propylene Recycling HC'!O143/SUM('Propylene Recycling HC'!O143:O144))/('Propylene Recycling HC'!O$159)*P$20/SUM(P$19:P$20)</f>
        <v>1.5233698001140099E-2</v>
      </c>
      <c r="Q60" s="168">
        <f>('Propylene Recycling HC'!P177-('Propylene Recycling HC'!P204+'Propylene Recycling HC'!P206)*'Propylene Recycling HC'!P143/SUM('Propylene Recycling HC'!P143:P144))/('Propylene Recycling HC'!P$159)*Q$20/SUM(Q$19:Q$20)</f>
        <v>2.4635040513651212E-2</v>
      </c>
      <c r="R60" s="168">
        <f>('Propylene Recycling HC'!Q177-('Propylene Recycling HC'!Q204+'Propylene Recycling HC'!Q206)*'Propylene Recycling HC'!Q143/SUM('Propylene Recycling HC'!Q143:Q144))/('Propylene Recycling HC'!Q$159)*R$20/SUM(R$19:R$20)</f>
        <v>3.7781261628283345E-2</v>
      </c>
      <c r="S60" s="168">
        <f>('Propylene Recycling HC'!R177-('Propylene Recycling HC'!R204+'Propylene Recycling HC'!R206)*'Propylene Recycling HC'!R143/SUM('Propylene Recycling HC'!R143:R144))/('Propylene Recycling HC'!R$159)*S$20/SUM(S$19:S$20)</f>
        <v>5.4688628214072582E-2</v>
      </c>
      <c r="T60" s="168">
        <f>('Propylene Recycling HC'!S177-('Propylene Recycling HC'!S204+'Propylene Recycling HC'!S206)*'Propylene Recycling HC'!S143/SUM('Propylene Recycling HC'!S143:S144))/('Propylene Recycling HC'!S$159)*T$20/SUM(T$19:T$20)</f>
        <v>7.4597249774582083E-2</v>
      </c>
      <c r="U60" s="168">
        <f>('Propylene Recycling HC'!T177-('Propylene Recycling HC'!T204+'Propylene Recycling HC'!T206)*'Propylene Recycling HC'!T143/SUM('Propylene Recycling HC'!T143:T144))/('Propylene Recycling HC'!T$159)*U$20/SUM(U$19:U$20)</f>
        <v>9.607421549755929E-2</v>
      </c>
      <c r="V60" s="168">
        <f>('Propylene Recycling HC'!U177-('Propylene Recycling HC'!U204+'Propylene Recycling HC'!U206)*'Propylene Recycling HC'!U143/SUM('Propylene Recycling HC'!U143:U144))/('Propylene Recycling HC'!U$159)*V$20/SUM(V$19:V$20)</f>
        <v>0.11742368631458566</v>
      </c>
      <c r="W60" s="168">
        <f>('Propylene Recycling HC'!V177-('Propylene Recycling HC'!V204+'Propylene Recycling HC'!V206)*'Propylene Recycling HC'!V143/SUM('Propylene Recycling HC'!V143:V144))/('Propylene Recycling HC'!V$159)*W$20/SUM(W$19:W$20)</f>
        <v>0.1371705900756485</v>
      </c>
      <c r="X60" s="168">
        <f>('Propylene Recycling HC'!W177-('Propylene Recycling HC'!W204+'Propylene Recycling HC'!W206)*'Propylene Recycling HC'!W143/SUM('Propylene Recycling HC'!W143:W144))/('Propylene Recycling HC'!W$159)*X$20/SUM(X$19:X$20)</f>
        <v>0.15436610264566286</v>
      </c>
      <c r="Y60" s="168">
        <f>('Propylene Recycling HC'!X177-('Propylene Recycling HC'!X204+'Propylene Recycling HC'!X206)*'Propylene Recycling HC'!X143/SUM('Propylene Recycling HC'!X143:X144))/('Propylene Recycling HC'!X$159)*Y$20/SUM(Y$19:Y$20)</f>
        <v>0.1676224914825179</v>
      </c>
      <c r="Z60" s="168">
        <f>('Propylene Recycling HC'!Y177-('Propylene Recycling HC'!Y204+'Propylene Recycling HC'!Y206)*'Propylene Recycling HC'!Y143/SUM('Propylene Recycling HC'!Y143:Y144))/('Propylene Recycling HC'!Y$159)*Z$20/SUM(Z$19:Z$20)</f>
        <v>0.17785063971126139</v>
      </c>
      <c r="AA60" s="168">
        <f>('Propylene Recycling HC'!Z177-('Propylene Recycling HC'!Z204+'Propylene Recycling HC'!Z206)*'Propylene Recycling HC'!Z143/SUM('Propylene Recycling HC'!Z143:Z144))/('Propylene Recycling HC'!Z$159)*AA$20/SUM(AA$19:AA$20)</f>
        <v>0.18538811691781712</v>
      </c>
      <c r="AB60" s="168">
        <f>('Propylene Recycling HC'!AA177-('Propylene Recycling HC'!AA204+'Propylene Recycling HC'!AA206)*'Propylene Recycling HC'!AA143/SUM('Propylene Recycling HC'!AA143:AA144))/('Propylene Recycling HC'!AA$159)*AB$20/SUM(AB$19:AB$20)</f>
        <v>0.19066676694348536</v>
      </c>
      <c r="AC60" s="168">
        <f>('Propylene Recycling HC'!AB177-('Propylene Recycling HC'!AB204+'Propylene Recycling HC'!AB206)*'Propylene Recycling HC'!AB143/SUM('Propylene Recycling HC'!AB143:AB144))/('Propylene Recycling HC'!AB$159)*AC$20/SUM(AC$19:AC$20)</f>
        <v>0.19409974892931345</v>
      </c>
      <c r="AD60" s="168">
        <f>('Propylene Recycling HC'!AC177-('Propylene Recycling HC'!AC204+'Propylene Recycling HC'!AC206)*'Propylene Recycling HC'!AC143/SUM('Propylene Recycling HC'!AC143:AC144))/('Propylene Recycling HC'!AC$159)*AD$20/SUM(AD$19:AD$20)</f>
        <v>0.19603885571690513</v>
      </c>
      <c r="AE60" s="168">
        <f>('Propylene Recycling HC'!AD177-('Propylene Recycling HC'!AD204+'Propylene Recycling HC'!AD206)*'Propylene Recycling HC'!AD143/SUM('Propylene Recycling HC'!AD143:AD144))/('Propylene Recycling HC'!AD$159)*AE$20/SUM(AE$19:AE$20)</f>
        <v>0.196765002466327</v>
      </c>
      <c r="AF60" s="168">
        <f>('Propylene Recycling HC'!AE177-('Propylene Recycling HC'!AE204+'Propylene Recycling HC'!AE206)*'Propylene Recycling HC'!AE143/SUM('Propylene Recycling HC'!AE143:AE144))/('Propylene Recycling HC'!AE$159)*AF$20/SUM(AF$19:AF$20)</f>
        <v>0.19650186986342044</v>
      </c>
      <c r="AG60" s="168">
        <f>('Propylene Recycling HC'!AF177-('Propylene Recycling HC'!AF204+'Propylene Recycling HC'!AF206)*'Propylene Recycling HC'!AF143/SUM('Propylene Recycling HC'!AF143:AF144))/('Propylene Recycling HC'!AF$159)*AG$20/SUM(AG$19:AG$20)</f>
        <v>0.19511516364215886</v>
      </c>
      <c r="AH60" s="168">
        <f>('Propylene Recycling HC'!AG177-('Propylene Recycling HC'!AG204+'Propylene Recycling HC'!AG206)*'Propylene Recycling HC'!AG143/SUM('Propylene Recycling HC'!AG143:AG144))/('Propylene Recycling HC'!AG$159)*AH$20/SUM(AH$19:AH$20)</f>
        <v>0.19231844296196426</v>
      </c>
      <c r="AI60" s="44"/>
      <c r="AJ60" s="168">
        <f>('Propylene Recycling LC'!C163-('Propylene Recycling LC'!C190+'Propylene Recycling LC'!C192)*'Propylene Recycling LC'!C129/SUM('Propylene Recycling LC'!C129:C130))/('Propylene Recycling LC'!C$145)*AJ$20/SUM(AJ$19:AJ$20)</f>
        <v>6.9839455907488861E-6</v>
      </c>
      <c r="AK60" s="168">
        <f>('Propylene Recycling LC'!D163-('Propylene Recycling LC'!D190+'Propylene Recycling LC'!D192)*'Propylene Recycling LC'!D129/SUM('Propylene Recycling LC'!D129:D130))/('Propylene Recycling LC'!D$145)*AK$20/SUM(AK$19:AK$20)</f>
        <v>1.3916266558291623E-5</v>
      </c>
      <c r="AL60" s="168">
        <f>('Propylene Recycling LC'!E163-('Propylene Recycling LC'!E190+'Propylene Recycling LC'!E192)*'Propylene Recycling LC'!E129/SUM('Propylene Recycling LC'!E129:E130))/('Propylene Recycling LC'!E$145)*AL$20/SUM(AL$19:AL$20)</f>
        <v>2.7650410403839684E-5</v>
      </c>
      <c r="AM60" s="168">
        <f>('Propylene Recycling LC'!F163-('Propylene Recycling LC'!F190+'Propylene Recycling LC'!F192)*'Propylene Recycling LC'!F129/SUM('Propylene Recycling LC'!F129:F130))/('Propylene Recycling LC'!F$145)*AM$20/SUM(AM$19:AM$20)</f>
        <v>5.4746629973650917E-5</v>
      </c>
      <c r="AN60" s="168">
        <f>('Propylene Recycling LC'!G163-('Propylene Recycling LC'!G190+'Propylene Recycling LC'!G192)*'Propylene Recycling LC'!G129/SUM('Propylene Recycling LC'!G129:G130))/('Propylene Recycling LC'!G$145)*AN$20/SUM(AN$19:AN$20)</f>
        <v>1.0791590055093799E-4</v>
      </c>
      <c r="AO60" s="168">
        <f>('Propylene Recycling LC'!H163-('Propylene Recycling LC'!H190+'Propylene Recycling LC'!H192)*'Propylene Recycling LC'!H129/SUM('Propylene Recycling LC'!H129:H130))/('Propylene Recycling LC'!H$145)*AO$20/SUM(AO$19:AO$20)</f>
        <v>2.1150064512579549E-4</v>
      </c>
      <c r="AP60" s="168">
        <f>('Propylene Recycling LC'!I163-('Propylene Recycling LC'!I190+'Propylene Recycling LC'!I192)*'Propylene Recycling LC'!I129/SUM('Propylene Recycling LC'!I129:I130))/('Propylene Recycling LC'!I$145)*AP$20/SUM(AP$19:AP$20)</f>
        <v>4.1137263569252582E-4</v>
      </c>
      <c r="AQ60" s="168">
        <f>('Propylene Recycling LC'!J163-('Propylene Recycling LC'!J190+'Propylene Recycling LC'!J192)*'Propylene Recycling LC'!J129/SUM('Propylene Recycling LC'!J129:J130))/('Propylene Recycling LC'!J$145)*AQ$20/SUM(AQ$19:AQ$20)</f>
        <v>7.9206100842902142E-4</v>
      </c>
      <c r="AR60" s="168">
        <f>('Propylene Recycling LC'!K163-('Propylene Recycling LC'!K190+'Propylene Recycling LC'!K192)*'Propylene Recycling LC'!K129/SUM('Propylene Recycling LC'!K129:K130))/('Propylene Recycling LC'!K$145)*AR$20/SUM(AR$19:AR$20)</f>
        <v>1.5045502497578961E-3</v>
      </c>
      <c r="AS60" s="168">
        <f>('Propylene Recycling LC'!L163-('Propylene Recycling LC'!L190+'Propylene Recycling LC'!L192)*'Propylene Recycling LC'!L129/SUM('Propylene Recycling LC'!L129:L130))/('Propylene Recycling LC'!L$145)*AS$20/SUM(AS$19:AS$20)</f>
        <v>2.8070525960530502E-3</v>
      </c>
      <c r="AT60" s="168">
        <f>('Propylene Recycling LC'!M163-('Propylene Recycling LC'!M190+'Propylene Recycling LC'!M192)*'Propylene Recycling LC'!M129/SUM('Propylene Recycling LC'!M129:M130))/('Propylene Recycling LC'!M$145)*AT$20/SUM(AT$19:AT$20)</f>
        <v>5.1150993518203538E-3</v>
      </c>
      <c r="AU60" s="168">
        <f>('Propylene Recycling LC'!N163-('Propylene Recycling LC'!N190+'Propylene Recycling LC'!N192)*'Propylene Recycling LC'!N129/SUM('Propylene Recycling LC'!N129:N130))/('Propylene Recycling LC'!N$145)*AU$20/SUM(AU$19:AU$20)</f>
        <v>9.0030683913566983E-3</v>
      </c>
      <c r="AV60" s="168">
        <f>('Propylene Recycling LC'!O163-('Propylene Recycling LC'!O190+'Propylene Recycling LC'!O192)*'Propylene Recycling LC'!O129/SUM('Propylene Recycling LC'!O129:O130))/('Propylene Recycling LC'!O$145)*AV$20/SUM(AV$19:AV$20)</f>
        <v>1.5254801186648688E-2</v>
      </c>
      <c r="AW60" s="168">
        <f>('Propylene Recycling LC'!P163-('Propylene Recycling LC'!P190+'Propylene Recycling LC'!P192)*'Propylene Recycling LC'!P129/SUM('Propylene Recycling LC'!P129:P130))/('Propylene Recycling LC'!P$145)*AW$20/SUM(AW$19:AW$20)</f>
        <v>2.4690704250380103E-2</v>
      </c>
      <c r="AX60" s="168">
        <f>('Propylene Recycling LC'!Q163-('Propylene Recycling LC'!Q190+'Propylene Recycling LC'!Q192)*'Propylene Recycling LC'!Q129/SUM('Propylene Recycling LC'!Q129:Q130))/('Propylene Recycling LC'!Q$145)*AX$20/SUM(AX$19:AX$20)</f>
        <v>3.7914061126425917E-2</v>
      </c>
      <c r="AY60" s="168">
        <f>('Propylene Recycling LC'!R163-('Propylene Recycling LC'!R190+'Propylene Recycling LC'!R192)*'Propylene Recycling LC'!R129/SUM('Propylene Recycling LC'!R129:R130))/('Propylene Recycling LC'!R$145)*AY$20/SUM(AY$19:AY$20)</f>
        <v>5.4971903316019116E-2</v>
      </c>
      <c r="AZ60" s="168">
        <f>('Propylene Recycling LC'!S163-('Propylene Recycling LC'!S190+'Propylene Recycling LC'!S192)*'Propylene Recycling LC'!S129/SUM('Propylene Recycling LC'!S129:S130))/('Propylene Recycling LC'!S$145)*AZ$20/SUM(AZ$19:AZ$20)</f>
        <v>7.513475943754451E-2</v>
      </c>
      <c r="BA60" s="168">
        <f>('Propylene Recycling LC'!T163-('Propylene Recycling LC'!T190+'Propylene Recycling LC'!T192)*'Propylene Recycling LC'!T129/SUM('Propylene Recycling LC'!T129:T130))/('Propylene Recycling LC'!T$145)*BA$20/SUM(BA$19:BA$20)</f>
        <v>9.6984446732863286E-2</v>
      </c>
      <c r="BB60" s="168">
        <f>('Propylene Recycling LC'!U163-('Propylene Recycling LC'!U190+'Propylene Recycling LC'!U192)*'Propylene Recycling LC'!U129/SUM('Propylene Recycling LC'!U129:U130))/('Propylene Recycling LC'!U$145)*BB$20/SUM(BB$19:BB$20)</f>
        <v>0.11881229981574981</v>
      </c>
      <c r="BC60" s="168">
        <f>('Propylene Recycling LC'!V163-('Propylene Recycling LC'!V190+'Propylene Recycling LC'!V192)*'Propylene Recycling LC'!V129/SUM('Propylene Recycling LC'!V129:V130))/('Propylene Recycling LC'!V$145)*BC$20/SUM(BC$19:BC$20)</f>
        <v>0.13910530077087876</v>
      </c>
      <c r="BD60" s="168">
        <f>('Propylene Recycling LC'!W163-('Propylene Recycling LC'!W190+'Propylene Recycling LC'!W192)*'Propylene Recycling LC'!W129/SUM('Propylene Recycling LC'!W129:W130))/('Propylene Recycling LC'!W$145)*BD$20/SUM(BD$19:BD$20)</f>
        <v>0.1568665405271546</v>
      </c>
      <c r="BE60" s="168">
        <f>('Propylene Recycling LC'!X163-('Propylene Recycling LC'!X190+'Propylene Recycling LC'!X192)*'Propylene Recycling LC'!X129/SUM('Propylene Recycling LC'!X129:X130))/('Propylene Recycling LC'!X$145)*BE$20/SUM(BE$19:BE$20)</f>
        <v>0.17056106862086892</v>
      </c>
      <c r="BF60" s="168">
        <f>('Propylene Recycling LC'!Y163-('Propylene Recycling LC'!Y190+'Propylene Recycling LC'!Y192)*'Propylene Recycling LC'!Y129/SUM('Propylene Recycling LC'!Y129:Y130))/('Propylene Recycling LC'!Y$145)*BF$20/SUM(BF$19:BF$20)</f>
        <v>0.18114253962498644</v>
      </c>
      <c r="BG60" s="168">
        <f>('Propylene Recycling LC'!Z163-('Propylene Recycling LC'!Z190+'Propylene Recycling LC'!Z192)*'Propylene Recycling LC'!Z129/SUM('Propylene Recycling LC'!Z129:Z130))/('Propylene Recycling LC'!Z$145)*BG$20/SUM(BG$19:BG$20)</f>
        <v>0.18894497114374004</v>
      </c>
      <c r="BH60" s="168">
        <f>('Propylene Recycling LC'!AA163-('Propylene Recycling LC'!AA190+'Propylene Recycling LC'!AA192)*'Propylene Recycling LC'!AA129/SUM('Propylene Recycling LC'!AA129:AA130))/('Propylene Recycling LC'!AA$145)*BH$20/SUM(BH$19:BH$20)</f>
        <v>0.19441230513371452</v>
      </c>
      <c r="BI60" s="168">
        <f>('Propylene Recycling LC'!AB163-('Propylene Recycling LC'!AB190+'Propylene Recycling LC'!AB192)*'Propylene Recycling LC'!AB129/SUM('Propylene Recycling LC'!AB129:AB130))/('Propylene Recycling LC'!AB$145)*BI$20/SUM(BI$19:BI$20)</f>
        <v>0.1979782734716263</v>
      </c>
      <c r="BJ60" s="168">
        <f>('Propylene Recycling LC'!AC163-('Propylene Recycling LC'!AC190+'Propylene Recycling LC'!AC192)*'Propylene Recycling LC'!AC129/SUM('Propylene Recycling LC'!AC129:AC130))/('Propylene Recycling LC'!AC$145)*BJ$20/SUM(BJ$19:BJ$20)</f>
        <v>0.20001914098858734</v>
      </c>
      <c r="BK60" s="168">
        <f>('Propylene Recycling LC'!AD163-('Propylene Recycling LC'!AD190+'Propylene Recycling LC'!AD192)*'Propylene Recycling LC'!AD129/SUM('Propylene Recycling LC'!AD129:AD130))/('Propylene Recycling LC'!AD$145)*BK$20/SUM(BK$19:BK$20)</f>
        <v>0.20083907713503585</v>
      </c>
      <c r="BL60" s="168">
        <f>('Propylene Recycling LC'!AE163-('Propylene Recycling LC'!AE190+'Propylene Recycling LC'!AE192)*'Propylene Recycling LC'!AE129/SUM('Propylene Recycling LC'!AE129:AE130))/('Propylene Recycling LC'!AE$145)*BL$20/SUM(BL$19:BL$20)</f>
        <v>0.20067728831679008</v>
      </c>
      <c r="BM60" s="168">
        <f>('Propylene Recycling LC'!AF163-('Propylene Recycling LC'!AF190+'Propylene Recycling LC'!AF192)*'Propylene Recycling LC'!AF129/SUM('Propylene Recycling LC'!AF129:AF130))/('Propylene Recycling LC'!AF$145)*BM$20/SUM(BM$19:BM$20)</f>
        <v>0.1995247222339534</v>
      </c>
      <c r="BN60" s="168">
        <f>('Propylene Recycling LC'!AG163-('Propylene Recycling LC'!AG190+'Propylene Recycling LC'!AG192)*'Propylene Recycling LC'!AG129/SUM('Propylene Recycling LC'!AG129:AG130))/('Propylene Recycling LC'!AG$145)*BN$20/SUM(BN$19:BN$20)</f>
        <v>0.19737506068534319</v>
      </c>
      <c r="BP60" s="168">
        <f>('Propylene Recycling HC'!C153)/('Propylene Recycling HC'!C$149)*BP$20/SUM(BP$19:BP$20)</f>
        <v>0</v>
      </c>
      <c r="BQ60" s="168">
        <f>('Propylene Recycling HC'!D153)/('Propylene Recycling HC'!D$149)*BQ$20/SUM(BQ$19:BQ$20)</f>
        <v>0</v>
      </c>
      <c r="BR60" s="168">
        <f>('Propylene Recycling HC'!E153)/('Propylene Recycling HC'!E$149)*BR$20/SUM(BR$19:BR$20)</f>
        <v>0</v>
      </c>
      <c r="BS60" s="168">
        <f>('Propylene Recycling HC'!F153)/('Propylene Recycling HC'!F$149)*BS$20/SUM(BS$19:BS$20)</f>
        <v>0</v>
      </c>
      <c r="BT60" s="168">
        <f>('Propylene Recycling HC'!G153)/('Propylene Recycling HC'!G$149)*BT$20/SUM(BT$19:BT$20)</f>
        <v>0</v>
      </c>
      <c r="BU60" s="168">
        <f>('Propylene Recycling HC'!H153)/('Propylene Recycling HC'!H$149)*BU$20/SUM(BU$19:BU$20)</f>
        <v>0</v>
      </c>
      <c r="BV60" s="168">
        <f>('Propylene Recycling HC'!I153)/('Propylene Recycling HC'!I$149)*BV$20/SUM(BV$19:BV$20)</f>
        <v>0</v>
      </c>
      <c r="BW60" s="168">
        <f>('Propylene Recycling HC'!J153)/('Propylene Recycling HC'!J$149)*BW$20/SUM(BW$19:BW$20)</f>
        <v>0</v>
      </c>
      <c r="BX60" s="168">
        <f>('Propylene Recycling HC'!K153)/('Propylene Recycling HC'!K$149)*BX$20/SUM(BX$19:BX$20)</f>
        <v>0</v>
      </c>
      <c r="BY60" s="168">
        <f>('Propylene Recycling HC'!L153)/('Propylene Recycling HC'!L$149)*BY$20/SUM(BY$19:BY$20)</f>
        <v>0</v>
      </c>
      <c r="BZ60" s="168">
        <f>('Propylene Recycling HC'!M153)/('Propylene Recycling HC'!M$149)*BZ$20/SUM(BZ$19:BZ$20)</f>
        <v>0</v>
      </c>
      <c r="CA60" s="168">
        <f>('Propylene Recycling HC'!N153)/('Propylene Recycling HC'!N$149)*CA$20/SUM(CA$19:CA$20)</f>
        <v>0</v>
      </c>
      <c r="CB60" s="168">
        <f>('Propylene Recycling HC'!O153)/('Propylene Recycling HC'!O$149)*CB$20/SUM(CB$19:CB$20)</f>
        <v>0</v>
      </c>
      <c r="CC60" s="168">
        <f>('Propylene Recycling HC'!P153)/('Propylene Recycling HC'!P$149)*CC$20/SUM(CC$19:CC$20)</f>
        <v>0</v>
      </c>
      <c r="CD60" s="168">
        <f>('Propylene Recycling HC'!Q153)/('Propylene Recycling HC'!Q$149)*CD$20/SUM(CD$19:CD$20)</f>
        <v>0</v>
      </c>
      <c r="CE60" s="168">
        <f>('Propylene Recycling HC'!R153)/('Propylene Recycling HC'!R$149)*CE$20/SUM(CE$19:CE$20)</f>
        <v>0</v>
      </c>
      <c r="CF60" s="168">
        <f>('Propylene Recycling HC'!S153)/('Propylene Recycling HC'!S$149)*CF$20/SUM(CF$19:CF$20)</f>
        <v>0</v>
      </c>
      <c r="CG60" s="168">
        <f>('Propylene Recycling HC'!T153)/('Propylene Recycling HC'!T$149)*CG$20/SUM(CG$19:CG$20)</f>
        <v>0</v>
      </c>
      <c r="CH60" s="168">
        <f>('Propylene Recycling HC'!U153)/('Propylene Recycling HC'!U$149)*CH$20/SUM(CH$19:CH$20)</f>
        <v>0</v>
      </c>
      <c r="CI60" s="168">
        <f>('Propylene Recycling HC'!V153)/('Propylene Recycling HC'!V$149)*CI$20/SUM(CI$19:CI$20)</f>
        <v>0</v>
      </c>
      <c r="CJ60" s="168">
        <f>('Propylene Recycling HC'!W153)/('Propylene Recycling HC'!W$149)*CJ$20/SUM(CJ$19:CJ$20)</f>
        <v>0</v>
      </c>
      <c r="CK60" s="168">
        <f>('Propylene Recycling HC'!X153)/('Propylene Recycling HC'!X$149)*CK$20/SUM(CK$19:CK$20)</f>
        <v>0</v>
      </c>
      <c r="CL60" s="168">
        <f>('Propylene Recycling HC'!Y153)/('Propylene Recycling HC'!Y$149)*CL$20/SUM(CL$19:CL$20)</f>
        <v>0</v>
      </c>
      <c r="CM60" s="168">
        <f>('Propylene Recycling HC'!Z153)/('Propylene Recycling HC'!Z$149)*CM$20/SUM(CM$19:CM$20)</f>
        <v>0</v>
      </c>
      <c r="CN60" s="168">
        <f>('Propylene Recycling HC'!AA153)/('Propylene Recycling HC'!AA$149)*CN$20/SUM(CN$19:CN$20)</f>
        <v>0</v>
      </c>
      <c r="CO60" s="168">
        <f>('Propylene Recycling HC'!AB153)/('Propylene Recycling HC'!AB$149)*CO$20/SUM(CO$19:CO$20)</f>
        <v>0</v>
      </c>
      <c r="CP60" s="168">
        <f>('Propylene Recycling HC'!AC153)/('Propylene Recycling HC'!AC$149)*CP$20/SUM(CP$19:CP$20)</f>
        <v>0</v>
      </c>
      <c r="CQ60" s="168">
        <f>('Propylene Recycling HC'!AD153)/('Propylene Recycling HC'!AD$149)*CQ$20/SUM(CQ$19:CQ$20)</f>
        <v>0</v>
      </c>
      <c r="CR60" s="168">
        <f>('Propylene Recycling HC'!AE153)/('Propylene Recycling HC'!AE$149)*CR$20/SUM(CR$19:CR$20)</f>
        <v>0</v>
      </c>
      <c r="CS60" s="168">
        <f>('Propylene Recycling HC'!AF153)/('Propylene Recycling HC'!AF$149)*CS$20/SUM(CS$19:CS$20)</f>
        <v>0</v>
      </c>
      <c r="CT60" s="168">
        <f>('Propylene Recycling HC'!AG153)/('Propylene Recycling HC'!AG$149)*CT$20/SUM(CT$19:CT$20)</f>
        <v>0</v>
      </c>
      <c r="CV60" s="168">
        <f t="shared" ref="CV60:CV65" si="371">AJ60*(1-SUM(CV$34:CV$35))/(1-SUM(AJ$34:AJ$35))</f>
        <v>6.9839455907488861E-6</v>
      </c>
      <c r="CW60" s="168">
        <f t="shared" si="370"/>
        <v>1.3916266558291623E-5</v>
      </c>
      <c r="CX60" s="168">
        <f t="shared" si="370"/>
        <v>2.7650410403839684E-5</v>
      </c>
      <c r="CY60" s="168">
        <f t="shared" si="370"/>
        <v>5.4746629973650917E-5</v>
      </c>
      <c r="CZ60" s="168">
        <f t="shared" si="370"/>
        <v>1.0791590055093801E-4</v>
      </c>
      <c r="DA60" s="168">
        <f t="shared" si="370"/>
        <v>2.1150064512579547E-4</v>
      </c>
      <c r="DB60" s="168">
        <f t="shared" si="370"/>
        <v>4.1137263569252582E-4</v>
      </c>
      <c r="DC60" s="168">
        <f t="shared" si="370"/>
        <v>7.9206100842902142E-4</v>
      </c>
      <c r="DD60" s="168">
        <f t="shared" si="370"/>
        <v>1.5045502497578961E-3</v>
      </c>
      <c r="DE60" s="168">
        <f t="shared" si="370"/>
        <v>2.8070525960530502E-3</v>
      </c>
      <c r="DF60" s="168">
        <f t="shared" si="370"/>
        <v>5.1150993518203538E-3</v>
      </c>
      <c r="DG60" s="168">
        <f t="shared" si="370"/>
        <v>9.0030683913566983E-3</v>
      </c>
      <c r="DH60" s="168">
        <f t="shared" si="370"/>
        <v>1.5254801186648686E-2</v>
      </c>
      <c r="DI60" s="168">
        <f t="shared" si="370"/>
        <v>2.4690598885465098E-2</v>
      </c>
      <c r="DJ60" s="168">
        <f t="shared" si="370"/>
        <v>3.7913713450700895E-2</v>
      </c>
      <c r="DK60" s="168">
        <f t="shared" si="370"/>
        <v>5.497109216231752E-2</v>
      </c>
      <c r="DL60" s="168">
        <f t="shared" si="370"/>
        <v>7.5133176017010944E-2</v>
      </c>
      <c r="DM60" s="168">
        <f t="shared" si="370"/>
        <v>9.698171480835116E-2</v>
      </c>
      <c r="DN60" s="168">
        <f t="shared" si="370"/>
        <v>0.11880801353371935</v>
      </c>
      <c r="DO60" s="168">
        <f t="shared" si="370"/>
        <v>0.13909906516780859</v>
      </c>
      <c r="DP60" s="168">
        <f t="shared" si="370"/>
        <v>0.15685799986360263</v>
      </c>
      <c r="DQ60" s="168">
        <f t="shared" si="370"/>
        <v>0.17054955059041546</v>
      </c>
      <c r="DR60" s="168">
        <f t="shared" si="370"/>
        <v>0.18112761247066769</v>
      </c>
      <c r="DS60" s="168">
        <f t="shared" si="370"/>
        <v>0.18892110899895045</v>
      </c>
      <c r="DT60" s="168">
        <f t="shared" si="370"/>
        <v>0.19437783810506643</v>
      </c>
      <c r="DU60" s="168">
        <f t="shared" si="370"/>
        <v>0.19793152492154539</v>
      </c>
      <c r="DV60" s="168">
        <f t="shared" si="370"/>
        <v>0.19995839018095046</v>
      </c>
      <c r="DW60" s="168">
        <f t="shared" si="370"/>
        <v>0.20076251312657586</v>
      </c>
      <c r="DX60" s="168">
        <f t="shared" si="370"/>
        <v>0.20058295908392709</v>
      </c>
      <c r="DY60" s="168">
        <f t="shared" si="370"/>
        <v>0.19941060104541339</v>
      </c>
      <c r="DZ60" s="168">
        <f t="shared" si="370"/>
        <v>0.19723908354727829</v>
      </c>
    </row>
    <row r="61" spans="1:165">
      <c r="A61" s="606" t="s">
        <v>33</v>
      </c>
      <c r="C61" s="54" t="s">
        <v>462</v>
      </c>
      <c r="D61" s="168">
        <f>('Propylene Recycling HC'!C178-('Propylene Recycling HC'!C204+'Propylene Recycling HC'!C206)*'Propylene Recycling HC'!C144/SUM('Propylene Recycling HC'!C143:C144))/('Propylene Recycling HC'!C$159)</f>
        <v>0.35041974816127996</v>
      </c>
      <c r="E61" s="168">
        <f>('Propylene Recycling HC'!D178-('Propylene Recycling HC'!D204+'Propylene Recycling HC'!D206)*'Propylene Recycling HC'!D144/SUM('Propylene Recycling HC'!D143:D144))/('Propylene Recycling HC'!D$159)</f>
        <v>0.3505250125686411</v>
      </c>
      <c r="F61" s="168">
        <f>('Propylene Recycling HC'!E178-('Propylene Recycling HC'!E204+'Propylene Recycling HC'!E206)*'Propylene Recycling HC'!E144/SUM('Propylene Recycling HC'!E143:E144))/('Propylene Recycling HC'!E$159)</f>
        <v>0.35058917378239862</v>
      </c>
      <c r="G61" s="168">
        <f>('Propylene Recycling HC'!F178-('Propylene Recycling HC'!F204+'Propylene Recycling HC'!F206)*'Propylene Recycling HC'!F144/SUM('Propylene Recycling HC'!F143:F144))/('Propylene Recycling HC'!F$159)</f>
        <v>0.35061150090060206</v>
      </c>
      <c r="H61" s="168">
        <f>('Propylene Recycling HC'!G178-('Propylene Recycling HC'!G204+'Propylene Recycling HC'!G206)*'Propylene Recycling HC'!G144/SUM('Propylene Recycling HC'!G143:G144))/('Propylene Recycling HC'!G$159)</f>
        <v>0.35059090078307026</v>
      </c>
      <c r="I61" s="168">
        <f>('Propylene Recycling HC'!H178-('Propylene Recycling HC'!H204+'Propylene Recycling HC'!H206)*'Propylene Recycling HC'!H144/SUM('Propylene Recycling HC'!H143:H144))/('Propylene Recycling HC'!H$159)</f>
        <v>0.35052557361982428</v>
      </c>
      <c r="J61" s="168">
        <f>('Propylene Recycling HC'!I178-('Propylene Recycling HC'!I204+'Propylene Recycling HC'!I206)*'Propylene Recycling HC'!I144/SUM('Propylene Recycling HC'!I143:I144))/('Propylene Recycling HC'!I$159)</f>
        <v>0.35041237016273941</v>
      </c>
      <c r="K61" s="168">
        <f>('Propylene Recycling HC'!J178-('Propylene Recycling HC'!J204+'Propylene Recycling HC'!J206)*'Propylene Recycling HC'!J144/SUM('Propylene Recycling HC'!J143:J144))/('Propylene Recycling HC'!J$159)</f>
        <v>0.35024563959565064</v>
      </c>
      <c r="L61" s="168">
        <f>('Propylene Recycling HC'!K178-('Propylene Recycling HC'!K204+'Propylene Recycling HC'!K206)*'Propylene Recycling HC'!K144/SUM('Propylene Recycling HC'!K143:K144))/('Propylene Recycling HC'!K$159)</f>
        <v>0.35001528310231944</v>
      </c>
      <c r="M61" s="168">
        <f>('Propylene Recycling HC'!L178-('Propylene Recycling HC'!L204+'Propylene Recycling HC'!L206)*'Propylene Recycling HC'!L144/SUM('Propylene Recycling HC'!L143:L144))/('Propylene Recycling HC'!L$159)</f>
        <v>0.3497037501053446</v>
      </c>
      <c r="N61" s="168">
        <f>('Propylene Recycling HC'!M178-('Propylene Recycling HC'!M204+'Propylene Recycling HC'!M206)*'Propylene Recycling HC'!M144/SUM('Propylene Recycling HC'!M143:M144))/('Propylene Recycling HC'!M$159)</f>
        <v>0.34928068192880546</v>
      </c>
      <c r="O61" s="168">
        <f>('Propylene Recycling HC'!N178-('Propylene Recycling HC'!N204+'Propylene Recycling HC'!N206)*'Propylene Recycling HC'!N144/SUM('Propylene Recycling HC'!N143:N144))/('Propylene Recycling HC'!N$159)</f>
        <v>0.34718856851238578</v>
      </c>
      <c r="P61" s="168">
        <f>('Propylene Recycling HC'!O178-('Propylene Recycling HC'!O204+'Propylene Recycling HC'!O206)*'Propylene Recycling HC'!O144/SUM('Propylene Recycling HC'!O143:O144))/('Propylene Recycling HC'!O$159)</f>
        <v>0.34485420940827954</v>
      </c>
      <c r="Q61" s="168">
        <f>('Propylene Recycling HC'!P178-('Propylene Recycling HC'!P204+'Propylene Recycling HC'!P206)*'Propylene Recycling HC'!P144/SUM('Propylene Recycling HC'!P143:P144))/('Propylene Recycling HC'!P$159)</f>
        <v>0.34222140891395109</v>
      </c>
      <c r="R61" s="168">
        <f>('Propylene Recycling HC'!Q178-('Propylene Recycling HC'!Q204+'Propylene Recycling HC'!Q206)*'Propylene Recycling HC'!Q144/SUM('Propylene Recycling HC'!Q143:Q144))/('Propylene Recycling HC'!Q$159)</f>
        <v>0.33924776552929392</v>
      </c>
      <c r="S61" s="168">
        <f>('Propylene Recycling HC'!R178-('Propylene Recycling HC'!R204+'Propylene Recycling HC'!R206)*'Propylene Recycling HC'!R144/SUM('Propylene Recycling HC'!R143:R144))/('Propylene Recycling HC'!R$159)</f>
        <v>0.3359231047053341</v>
      </c>
      <c r="T61" s="168">
        <f>('Propylene Recycling HC'!S178-('Propylene Recycling HC'!S204+'Propylene Recycling HC'!S206)*'Propylene Recycling HC'!S144/SUM('Propylene Recycling HC'!S143:S144))/('Propylene Recycling HC'!S$159)</f>
        <v>0.33229004030395703</v>
      </c>
      <c r="U61" s="168">
        <f>('Propylene Recycling HC'!T178-('Propylene Recycling HC'!T204+'Propylene Recycling HC'!T206)*'Propylene Recycling HC'!T144/SUM('Propylene Recycling HC'!T143:T144))/('Propylene Recycling HC'!T$159)</f>
        <v>0.32843521510876644</v>
      </c>
      <c r="V61" s="168">
        <f>('Propylene Recycling HC'!U178-('Propylene Recycling HC'!U204+'Propylene Recycling HC'!U206)*'Propylene Recycling HC'!U144/SUM('Propylene Recycling HC'!U143:U144))/('Propylene Recycling HC'!U$159)</f>
        <v>0.32446798062268017</v>
      </c>
      <c r="W61" s="168">
        <f>('Propylene Recycling HC'!V178-('Propylene Recycling HC'!V204+'Propylene Recycling HC'!V206)*'Propylene Recycling HC'!V144/SUM('Propylene Recycling HC'!V143:V144))/('Propylene Recycling HC'!V$159)</f>
        <v>0.32048780915646968</v>
      </c>
      <c r="X61" s="168">
        <f>('Propylene Recycling HC'!W178-('Propylene Recycling HC'!W204+'Propylene Recycling HC'!W206)*'Propylene Recycling HC'!W144/SUM('Propylene Recycling HC'!W143:W144))/('Propylene Recycling HC'!W$159)</f>
        <v>0.31656128862828659</v>
      </c>
      <c r="Y61" s="168">
        <f>('Propylene Recycling HC'!X178-('Propylene Recycling HC'!X204+'Propylene Recycling HC'!X206)*'Propylene Recycling HC'!X144/SUM('Propylene Recycling HC'!X143:X144))/('Propylene Recycling HC'!X$159)</f>
        <v>0.31084253675851892</v>
      </c>
      <c r="Z61" s="168">
        <f>('Propylene Recycling HC'!Y178-('Propylene Recycling HC'!Y204+'Propylene Recycling HC'!Y206)*'Propylene Recycling HC'!Y144/SUM('Propylene Recycling HC'!Y143:Y144))/('Propylene Recycling HC'!Y$159)</f>
        <v>0.3052050008834038</v>
      </c>
      <c r="AA61" s="168">
        <f>('Propylene Recycling HC'!Z178-('Propylene Recycling HC'!Z204+'Propylene Recycling HC'!Z206)*'Propylene Recycling HC'!Z144/SUM('Propylene Recycling HC'!Z143:Z144))/('Propylene Recycling HC'!Z$159)</f>
        <v>0.29959435627051578</v>
      </c>
      <c r="AB61" s="168">
        <f>('Propylene Recycling HC'!AA178-('Propylene Recycling HC'!AA204+'Propylene Recycling HC'!AA206)*'Propylene Recycling HC'!AA144/SUM('Propylene Recycling HC'!AA143:AA144))/('Propylene Recycling HC'!AA$159)</f>
        <v>0.29396089484063131</v>
      </c>
      <c r="AC61" s="168">
        <f>('Propylene Recycling HC'!AB178-('Propylene Recycling HC'!AB204+'Propylene Recycling HC'!AB206)*'Propylene Recycling HC'!AB144/SUM('Propylene Recycling HC'!AB143:AB144))/('Propylene Recycling HC'!AB$159)</f>
        <v>0.28824255569995327</v>
      </c>
      <c r="AD61" s="168">
        <f>('Propylene Recycling HC'!AC178-('Propylene Recycling HC'!AC204+'Propylene Recycling HC'!AC206)*'Propylene Recycling HC'!AC144/SUM('Propylene Recycling HC'!AC143:AC144))/('Propylene Recycling HC'!AC$159)</f>
        <v>0.28237795770675495</v>
      </c>
      <c r="AE61" s="168">
        <f>('Propylene Recycling HC'!AD178-('Propylene Recycling HC'!AD204+'Propylene Recycling HC'!AD206)*'Propylene Recycling HC'!AD144/SUM('Propylene Recycling HC'!AD143:AD144))/('Propylene Recycling HC'!AD$159)</f>
        <v>0.27631486715786935</v>
      </c>
      <c r="AF61" s="168">
        <f>('Propylene Recycling HC'!AE178-('Propylene Recycling HC'!AE204+'Propylene Recycling HC'!AE206)*'Propylene Recycling HC'!AE144/SUM('Propylene Recycling HC'!AE143:AE144))/('Propylene Recycling HC'!AE$159)</f>
        <v>0.27002414795972102</v>
      </c>
      <c r="AG61" s="168">
        <f>('Propylene Recycling HC'!AF178-('Propylene Recycling HC'!AF204+'Propylene Recycling HC'!AF206)*'Propylene Recycling HC'!AF144/SUM('Propylene Recycling HC'!AF143:AF144))/('Propylene Recycling HC'!AF$159)</f>
        <v>0.2630780460827381</v>
      </c>
      <c r="AH61" s="168">
        <f>('Propylene Recycling HC'!AG178-('Propylene Recycling HC'!AG204+'Propylene Recycling HC'!AG206)*'Propylene Recycling HC'!AG144/SUM('Propylene Recycling HC'!AG143:AG144))/('Propylene Recycling HC'!AG$159)</f>
        <v>0.25494057714698298</v>
      </c>
      <c r="AI61" s="44"/>
      <c r="AJ61" s="168">
        <f>('Propylene Recycling LC'!C164-('Propylene Recycling LC'!C190+'Propylene Recycling LC'!C192)*'Propylene Recycling LC'!C130/SUM('Propylene Recycling LC'!C129:C130))/('Propylene Recycling LC'!C$145)</f>
        <v>0.35041990216326979</v>
      </c>
      <c r="AK61" s="168">
        <f>('Propylene Recycling LC'!D164-('Propylene Recycling LC'!D190+'Propylene Recycling LC'!D192)*'Propylene Recycling LC'!D130/SUM('Propylene Recycling LC'!D129:D130))/('Propylene Recycling LC'!D$145)</f>
        <v>0.35052533242948675</v>
      </c>
      <c r="AL61" s="168">
        <f>('Propylene Recycling LC'!E164-('Propylene Recycling LC'!E190+'Propylene Recycling LC'!E192)*'Propylene Recycling LC'!E130/SUM('Propylene Recycling LC'!E129:E130))/('Propylene Recycling LC'!E$145)</f>
        <v>0.3505898347535556</v>
      </c>
      <c r="AM61" s="168">
        <f>('Propylene Recycling LC'!F164-('Propylene Recycling LC'!F190+'Propylene Recycling LC'!F192)*'Propylene Recycling LC'!F130/SUM('Propylene Recycling LC'!F129:F130))/('Propylene Recycling LC'!F$145)</f>
        <v>0.35061285924429353</v>
      </c>
      <c r="AN61" s="168">
        <f>('Propylene Recycling LC'!G164-('Propylene Recycling LC'!G190+'Propylene Recycling LC'!G192)*'Propylene Recycling LC'!G130/SUM('Propylene Recycling LC'!G129:G130))/('Propylene Recycling LC'!G$145)</f>
        <v>0.35059367489140225</v>
      </c>
      <c r="AO61" s="168">
        <f>('Propylene Recycling LC'!H164-('Propylene Recycling LC'!H190+'Propylene Recycling LC'!H192)*'Propylene Recycling LC'!H130/SUM('Propylene Recycling LC'!H129:H130))/('Propylene Recycling LC'!H$145)</f>
        <v>0.35053119734968485</v>
      </c>
      <c r="AP61" s="168">
        <f>('Propylene Recycling LC'!I164-('Propylene Recycling LC'!I190+'Propylene Recycling LC'!I192)*'Propylene Recycling LC'!I130/SUM('Propylene Recycling LC'!I129:I130))/('Propylene Recycling LC'!I$145)</f>
        <v>0.35042366755487142</v>
      </c>
      <c r="AQ61" s="168">
        <f>('Propylene Recycling LC'!J164-('Propylene Recycling LC'!J190+'Propylene Recycling LC'!J192)*'Propylene Recycling LC'!J130/SUM('Propylene Recycling LC'!J129:J130))/('Propylene Recycling LC'!J$145)</f>
        <v>0.35026807565867191</v>
      </c>
      <c r="AR61" s="168">
        <f>('Propylene Recycling LC'!K164-('Propylene Recycling LC'!K190+'Propylene Recycling LC'!K192)*'Propylene Recycling LC'!K130/SUM('Propylene Recycling LC'!K129:K130))/('Propylene Recycling LC'!K$145)</f>
        <v>0.35005918781275952</v>
      </c>
      <c r="AS61" s="168">
        <f>('Propylene Recycling LC'!L164-('Propylene Recycling LC'!L190+'Propylene Recycling LC'!L192)*'Propylene Recycling LC'!L130/SUM('Propylene Recycling LC'!L129:L130))/('Propylene Recycling LC'!L$145)</f>
        <v>0.34978804428822607</v>
      </c>
      <c r="AT61" s="168">
        <f>('Propylene Recycling LC'!M164-('Propylene Recycling LC'!M190+'Propylene Recycling LC'!M192)*'Propylene Recycling LC'!M130/SUM('Propylene Recycling LC'!M129:M130))/('Propylene Recycling LC'!M$145)</f>
        <v>0.3494392813069036</v>
      </c>
      <c r="AU61" s="168">
        <f>('Propylene Recycling LC'!N164-('Propylene Recycling LC'!N190+'Propylene Recycling LC'!N192)*'Propylene Recycling LC'!N130/SUM('Propylene Recycling LC'!N129:N130))/('Propylene Recycling LC'!N$145)</f>
        <v>0.34746853269387473</v>
      </c>
      <c r="AV61" s="168">
        <f>('Propylene Recycling LC'!O164-('Propylene Recycling LC'!O190+'Propylene Recycling LC'!O192)*'Propylene Recycling LC'!O130/SUM('Propylene Recycling LC'!O129:O130))/('Propylene Recycling LC'!O$145)</f>
        <v>0.34533193466934325</v>
      </c>
      <c r="AW61" s="168">
        <f>('Propylene Recycling LC'!P164-('Propylene Recycling LC'!P190+'Propylene Recycling LC'!P192)*'Propylene Recycling LC'!P130/SUM('Propylene Recycling LC'!P129:P130))/('Propylene Recycling LC'!P$145)</f>
        <v>0.34299467017155777</v>
      </c>
      <c r="AX61" s="168">
        <f>('Propylene Recycling LC'!Q164-('Propylene Recycling LC'!Q190+'Propylene Recycling LC'!Q192)*'Propylene Recycling LC'!Q130/SUM('Propylene Recycling LC'!Q129:Q130))/('Propylene Recycling LC'!Q$145)</f>
        <v>0.34044020673074266</v>
      </c>
      <c r="AY61" s="168">
        <f>('Propylene Recycling LC'!R164-('Propylene Recycling LC'!R190+'Propylene Recycling LC'!R192)*'Propylene Recycling LC'!R130/SUM('Propylene Recycling LC'!R129:R130))/('Propylene Recycling LC'!R$145)</f>
        <v>0.33766311272599814</v>
      </c>
      <c r="AZ61" s="168">
        <f>('Propylene Recycling LC'!S164-('Propylene Recycling LC'!S190+'Propylene Recycling LC'!S192)*'Propylene Recycling LC'!S130/SUM('Propylene Recycling LC'!S129:S130))/('Propylene Recycling LC'!S$145)</f>
        <v>0.33468435253543022</v>
      </c>
      <c r="BA61" s="168">
        <f>('Propylene Recycling LC'!T164-('Propylene Recycling LC'!T190+'Propylene Recycling LC'!T192)*'Propylene Recycling LC'!T130/SUM('Propylene Recycling LC'!T129:T130))/('Propylene Recycling LC'!T$145)</f>
        <v>0.33154689278437938</v>
      </c>
      <c r="BB61" s="168">
        <f>('Propylene Recycling LC'!U164-('Propylene Recycling LC'!U190+'Propylene Recycling LC'!U192)*'Propylene Recycling LC'!U130/SUM('Propylene Recycling LC'!U129:U130))/('Propylene Recycling LC'!U$145)</f>
        <v>0.32830503115932441</v>
      </c>
      <c r="BC61" s="168">
        <f>('Propylene Recycling LC'!V164-('Propylene Recycling LC'!V190+'Propylene Recycling LC'!V192)*'Propylene Recycling LC'!V130/SUM('Propylene Recycling LC'!V129:V130))/('Propylene Recycling LC'!V$145)</f>
        <v>0.32500810167488769</v>
      </c>
      <c r="BD61" s="168">
        <f>('Propylene Recycling LC'!W164-('Propylene Recycling LC'!W190+'Propylene Recycling LC'!W192)*'Propylene Recycling LC'!W130/SUM('Propylene Recycling LC'!W129:W130))/('Propylene Recycling LC'!W$145)</f>
        <v>0.32168898068200724</v>
      </c>
      <c r="BE61" s="168">
        <f>('Propylene Recycling LC'!X164-('Propylene Recycling LC'!X190+'Propylene Recycling LC'!X192)*'Propylene Recycling LC'!X130/SUM('Propylene Recycling LC'!X129:X130))/('Propylene Recycling LC'!X$145)</f>
        <v>0.3162918936083477</v>
      </c>
      <c r="BF61" s="168">
        <f>('Propylene Recycling LC'!Y164-('Propylene Recycling LC'!Y190+'Propylene Recycling LC'!Y192)*'Propylene Recycling LC'!Y130/SUM('Propylene Recycling LC'!Y129:Y130))/('Propylene Recycling LC'!Y$145)</f>
        <v>0.31085414736782285</v>
      </c>
      <c r="BG61" s="168">
        <f>('Propylene Recycling LC'!Z164-('Propylene Recycling LC'!Z190+'Propylene Recycling LC'!Z192)*'Propylene Recycling LC'!Z130/SUM('Propylene Recycling LC'!Z129:Z130))/('Propylene Recycling LC'!Z$145)</f>
        <v>0.30534237005845355</v>
      </c>
      <c r="BH61" s="168">
        <f>('Propylene Recycling LC'!AA164-('Propylene Recycling LC'!AA190+'Propylene Recycling LC'!AA192)*'Propylene Recycling LC'!AA130/SUM('Propylene Recycling LC'!AA129:AA130))/('Propylene Recycling LC'!AA$145)</f>
        <v>0.29973558633884023</v>
      </c>
      <c r="BI61" s="168">
        <f>('Propylene Recycling LC'!AB164-('Propylene Recycling LC'!AB190+'Propylene Recycling LC'!AB192)*'Propylene Recycling LC'!AB130/SUM('Propylene Recycling LC'!AB129:AB130))/('Propylene Recycling LC'!AB$145)</f>
        <v>0.29400225313690553</v>
      </c>
      <c r="BJ61" s="168">
        <f>('Propylene Recycling LC'!AC164-('Propylene Recycling LC'!AC190+'Propylene Recycling LC'!AC192)*'Propylene Recycling LC'!AC130/SUM('Propylene Recycling LC'!AC129:AC130))/('Propylene Recycling LC'!AC$145)</f>
        <v>0.28811123350046275</v>
      </c>
      <c r="BK61" s="168">
        <f>('Propylene Recycling LC'!AD164-('Propylene Recycling LC'!AD190+'Propylene Recycling LC'!AD192)*'Propylene Recycling LC'!AD130/SUM('Propylene Recycling LC'!AD129:AD130))/('Propylene Recycling LC'!AD$145)</f>
        <v>0.28203604412920691</v>
      </c>
      <c r="BL61" s="168">
        <f>('Propylene Recycling LC'!AE164-('Propylene Recycling LC'!AE190+'Propylene Recycling LC'!AE192)*'Propylene Recycling LC'!AE130/SUM('Propylene Recycling LC'!AE129:AE130))/('Propylene Recycling LC'!AE$145)</f>
        <v>0.2757618226751325</v>
      </c>
      <c r="BM61" s="168">
        <f>('Propylene Recycling LC'!AF164-('Propylene Recycling LC'!AF190+'Propylene Recycling LC'!AF192)*'Propylene Recycling LC'!AF130/SUM('Propylene Recycling LC'!AF129:AF130))/('Propylene Recycling LC'!AF$145)</f>
        <v>0.26902355045442394</v>
      </c>
      <c r="BN61" s="168">
        <f>('Propylene Recycling LC'!AG164-('Propylene Recycling LC'!AG190+'Propylene Recycling LC'!AG192)*'Propylene Recycling LC'!AG130/SUM('Propylene Recycling LC'!AG129:AG130))/('Propylene Recycling LC'!AG$145)</f>
        <v>0.26164371503098116</v>
      </c>
      <c r="BP61" s="168">
        <f>('Propylene Recycling HC'!C154)/('Propylene Recycling HC'!C$149)</f>
        <v>0.35042005616525956</v>
      </c>
      <c r="BQ61" s="168">
        <f>('Propylene Recycling HC'!D154)/('Propylene Recycling HC'!D$149)</f>
        <v>0.34381875700985592</v>
      </c>
      <c r="BR61" s="168">
        <f>('Propylene Recycling HC'!E154)/('Propylene Recycling HC'!E$149)</f>
        <v>0.33715219967996479</v>
      </c>
      <c r="BS61" s="168">
        <f>('Propylene Recycling HC'!F154)/('Propylene Recycling HC'!F$149)</f>
        <v>0.33042566016450187</v>
      </c>
      <c r="BT61" s="168">
        <f>('Propylene Recycling HC'!G154)/('Propylene Recycling HC'!G$149)</f>
        <v>0.32364383968484017</v>
      </c>
      <c r="BU61" s="168">
        <f>('Propylene Recycling HC'!H154)/('Propylene Recycling HC'!H$149)</f>
        <v>0.3168109290350809</v>
      </c>
      <c r="BV61" s="168">
        <f>('Propylene Recycling HC'!I154)/('Propylene Recycling HC'!I$149)</f>
        <v>0.30996568996033846</v>
      </c>
      <c r="BW61" s="168">
        <f>('Propylene Recycling HC'!J154)/('Propylene Recycling HC'!J$149)</f>
        <v>0.30310877074409337</v>
      </c>
      <c r="BX61" s="168">
        <f>('Propylene Recycling HC'!K154)/('Propylene Recycling HC'!K$149)</f>
        <v>0.29624079860848096</v>
      </c>
      <c r="BY61" s="168">
        <f>('Propylene Recycling HC'!L154)/('Propylene Recycling HC'!L$149)</f>
        <v>0.28936238117201529</v>
      </c>
      <c r="BZ61" s="168">
        <f>('Propylene Recycling HC'!M154)/('Propylene Recycling HC'!M$149)</f>
        <v>0.28247410785440841</v>
      </c>
      <c r="CA61" s="168">
        <f>('Propylene Recycling HC'!N154)/('Propylene Recycling HC'!N$149)</f>
        <v>0.27555631458009833</v>
      </c>
      <c r="CB61" s="168">
        <f>('Propylene Recycling HC'!O154)/('Propylene Recycling HC'!O$149)</f>
        <v>0.26861112027328277</v>
      </c>
      <c r="CC61" s="168">
        <f>('Propylene Recycling HC'!P154)/('Propylene Recycling HC'!P$149)</f>
        <v>0.26164049012163731</v>
      </c>
      <c r="CD61" s="168">
        <f>('Propylene Recycling HC'!Q154)/('Propylene Recycling HC'!Q$149)</f>
        <v>0.2546462537437188</v>
      </c>
      <c r="CE61" s="168">
        <f>('Propylene Recycling HC'!R154)/('Propylene Recycling HC'!R$149)</f>
        <v>0.2476301222045916</v>
      </c>
      <c r="CF61" s="168">
        <f>('Propylene Recycling HC'!S154)/('Propylene Recycling HC'!S$149)</f>
        <v>0.24061637563919253</v>
      </c>
      <c r="CG61" s="168">
        <f>('Propylene Recycling HC'!T154)/('Propylene Recycling HC'!T$149)</f>
        <v>0.23360514260850113</v>
      </c>
      <c r="CH61" s="168">
        <f>('Propylene Recycling HC'!U154)/('Propylene Recycling HC'!U$149)</f>
        <v>0.22659655416370253</v>
      </c>
      <c r="CI61" s="168">
        <f>('Propylene Recycling HC'!V154)/('Propylene Recycling HC'!V$149)</f>
        <v>0.21959074394315334</v>
      </c>
      <c r="CJ61" s="168">
        <f>('Propylene Recycling HC'!W154)/('Propylene Recycling HC'!W$149)</f>
        <v>0.21258784827200294</v>
      </c>
      <c r="CK61" s="168">
        <f>('Propylene Recycling HC'!X154)/('Propylene Recycling HC'!X$149)</f>
        <v>0.20558812865529824</v>
      </c>
      <c r="CL61" s="168">
        <f>('Propylene Recycling HC'!Y154)/('Propylene Recycling HC'!Y$149)</f>
        <v>0.19859171725438274</v>
      </c>
      <c r="CM61" s="168">
        <f>('Propylene Recycling HC'!Z154)/('Propylene Recycling HC'!Z$149)</f>
        <v>0.19159874898852144</v>
      </c>
      <c r="CN61" s="168">
        <f>('Propylene Recycling HC'!AA154)/('Propylene Recycling HC'!AA$149)</f>
        <v>0.18460936162987507</v>
      </c>
      <c r="CO61" s="168">
        <f>('Propylene Recycling HC'!AB154)/('Propylene Recycling HC'!AB$149)</f>
        <v>0.17762369590111743</v>
      </c>
      <c r="CP61" s="168">
        <f>('Propylene Recycling HC'!AC154)/('Propylene Recycling HC'!AC$149)</f>
        <v>0.17064198593951965</v>
      </c>
      <c r="CQ61" s="168">
        <f>('Propylene Recycling HC'!AD154)/('Propylene Recycling HC'!AD$149)</f>
        <v>0.16366436964700701</v>
      </c>
      <c r="CR61" s="168">
        <f>('Propylene Recycling HC'!AE154)/('Propylene Recycling HC'!AE$149)</f>
        <v>0.15669098793113118</v>
      </c>
      <c r="CS61" s="168">
        <f>('Propylene Recycling HC'!AF154)/('Propylene Recycling HC'!AF$149)</f>
        <v>0.14972198479962517</v>
      </c>
      <c r="CT61" s="168">
        <f>('Propylene Recycling HC'!AG154)/('Propylene Recycling HC'!AG$149)</f>
        <v>0.1427575074575903</v>
      </c>
      <c r="CV61" s="168">
        <f t="shared" si="371"/>
        <v>0.35041990216326979</v>
      </c>
      <c r="CW61" s="168">
        <f t="shared" si="370"/>
        <v>0.35052533242948675</v>
      </c>
      <c r="CX61" s="168">
        <f t="shared" si="370"/>
        <v>0.35058983475355554</v>
      </c>
      <c r="CY61" s="168">
        <f t="shared" si="370"/>
        <v>0.35061285924429353</v>
      </c>
      <c r="CZ61" s="168">
        <f t="shared" si="370"/>
        <v>0.35059367489140225</v>
      </c>
      <c r="DA61" s="168">
        <f t="shared" si="370"/>
        <v>0.35053119734968485</v>
      </c>
      <c r="DB61" s="168">
        <f t="shared" si="370"/>
        <v>0.35042366755487142</v>
      </c>
      <c r="DC61" s="168">
        <f t="shared" si="370"/>
        <v>0.35026807565867191</v>
      </c>
      <c r="DD61" s="168">
        <f t="shared" si="370"/>
        <v>0.35005918781275952</v>
      </c>
      <c r="DE61" s="168">
        <f t="shared" si="370"/>
        <v>0.34978804428822607</v>
      </c>
      <c r="DF61" s="168">
        <f t="shared" si="370"/>
        <v>0.3494392813069036</v>
      </c>
      <c r="DG61" s="168">
        <f t="shared" si="370"/>
        <v>0.34746853269387473</v>
      </c>
      <c r="DH61" s="168">
        <f t="shared" si="370"/>
        <v>0.34533193466934331</v>
      </c>
      <c r="DI61" s="168">
        <f t="shared" si="370"/>
        <v>0.34299320647882942</v>
      </c>
      <c r="DJ61" s="168">
        <f t="shared" si="370"/>
        <v>0.34043708486006496</v>
      </c>
      <c r="DK61" s="168">
        <f t="shared" si="370"/>
        <v>0.33765813024099656</v>
      </c>
      <c r="DL61" s="168">
        <f t="shared" si="370"/>
        <v>0.33467729926101991</v>
      </c>
      <c r="DM61" s="168">
        <f t="shared" si="370"/>
        <v>0.3315375535437709</v>
      </c>
      <c r="DN61" s="168">
        <f t="shared" si="370"/>
        <v>0.32829318720076328</v>
      </c>
      <c r="DO61" s="168">
        <f t="shared" si="370"/>
        <v>0.32499353270084141</v>
      </c>
      <c r="DP61" s="168">
        <f t="shared" si="370"/>
        <v>0.32167146619266396</v>
      </c>
      <c r="DQ61" s="168">
        <f t="shared" si="370"/>
        <v>0.31627053433983338</v>
      </c>
      <c r="DR61" s="168">
        <f t="shared" si="370"/>
        <v>0.31082853125446819</v>
      </c>
      <c r="DS61" s="168">
        <f t="shared" si="370"/>
        <v>0.30530380791096356</v>
      </c>
      <c r="DT61" s="168">
        <f t="shared" si="370"/>
        <v>0.29968244672386529</v>
      </c>
      <c r="DU61" s="168">
        <f t="shared" si="370"/>
        <v>0.29393283047343011</v>
      </c>
      <c r="DV61" s="168">
        <f t="shared" si="370"/>
        <v>0.28802372692465256</v>
      </c>
      <c r="DW61" s="168">
        <f t="shared" si="370"/>
        <v>0.28192852615821851</v>
      </c>
      <c r="DX61" s="168">
        <f t="shared" si="370"/>
        <v>0.27563219963007329</v>
      </c>
      <c r="DY61" s="168">
        <f t="shared" si="370"/>
        <v>0.2688696783578769</v>
      </c>
      <c r="DZ61" s="168">
        <f t="shared" si="370"/>
        <v>0.26146346143947347</v>
      </c>
    </row>
    <row r="62" spans="1:165">
      <c r="A62" s="606" t="s">
        <v>451</v>
      </c>
      <c r="C62" s="54" t="s">
        <v>462</v>
      </c>
      <c r="D62" s="168">
        <f>'Propylene Recycling HC'!C179/('Propylene Recycling HC'!C$159)</f>
        <v>7.5766498630326404E-2</v>
      </c>
      <c r="E62" s="168">
        <f>'Propylene Recycling HC'!D179/('Propylene Recycling HC'!D$159)</f>
        <v>7.3248858281298179E-2</v>
      </c>
      <c r="F62" s="168">
        <f>'Propylene Recycling HC'!E179/('Propylene Recycling HC'!E$159)</f>
        <v>7.0744153601593793E-2</v>
      </c>
      <c r="G62" s="168">
        <f>'Propylene Recycling HC'!F179/('Propylene Recycling HC'!F$159)</f>
        <v>6.8252901023794388E-2</v>
      </c>
      <c r="H62" s="168">
        <f>'Propylene Recycling HC'!G179/('Propylene Recycling HC'!G$159)</f>
        <v>6.5775616980481094E-2</v>
      </c>
      <c r="I62" s="168">
        <f>'Propylene Recycling HC'!H179/('Propylene Recycling HC'!H$159)</f>
        <v>6.3312817904235055E-2</v>
      </c>
      <c r="J62" s="168">
        <f>'Propylene Recycling HC'!I179/('Propylene Recycling HC'!I$159)</f>
        <v>6.0865020227637422E-2</v>
      </c>
      <c r="K62" s="168">
        <f>'Propylene Recycling HC'!J179/('Propylene Recycling HC'!J$159)</f>
        <v>5.8432740383269323E-2</v>
      </c>
      <c r="L62" s="168">
        <f>'Propylene Recycling HC'!K179/('Propylene Recycling HC'!K$159)</f>
        <v>5.601649480371191E-2</v>
      </c>
      <c r="M62" s="168">
        <f>'Propylene Recycling HC'!L179/('Propylene Recycling HC'!L$159)</f>
        <v>5.3616799921546318E-2</v>
      </c>
      <c r="N62" s="168">
        <f>'Propylene Recycling HC'!M179/('Propylene Recycling HC'!M$159)</f>
        <v>5.1234172169353692E-2</v>
      </c>
      <c r="O62" s="168">
        <f>'Propylene Recycling HC'!N179/('Propylene Recycling HC'!N$159)</f>
        <v>4.8654939906166754E-2</v>
      </c>
      <c r="P62" s="168">
        <f>'Propylene Recycling HC'!O179/('Propylene Recycling HC'!O$159)</f>
        <v>4.6107954657387575E-2</v>
      </c>
      <c r="Q62" s="168">
        <f>'Propylene Recycling HC'!P179/('Propylene Recycling HC'!P$159)</f>
        <v>4.3594056941326675E-2</v>
      </c>
      <c r="R62" s="168">
        <f>'Propylene Recycling HC'!Q179/('Propylene Recycling HC'!Q$159)</f>
        <v>4.1114487350342496E-2</v>
      </c>
      <c r="S62" s="168">
        <f>'Propylene Recycling HC'!R179/('Propylene Recycling HC'!R$159)</f>
        <v>3.8670358490529445E-2</v>
      </c>
      <c r="T62" s="168">
        <f>'Propylene Recycling HC'!S179/('Propylene Recycling HC'!S$159)</f>
        <v>3.6262781613349046E-2</v>
      </c>
      <c r="U62" s="168">
        <f>'Propylene Recycling HC'!T179/('Propylene Recycling HC'!T$159)</f>
        <v>3.3892866617161115E-2</v>
      </c>
      <c r="V62" s="168">
        <f>'Propylene Recycling HC'!U179/('Propylene Recycling HC'!U$159)</f>
        <v>3.156172204875294E-2</v>
      </c>
      <c r="W62" s="168">
        <f>'Propylene Recycling HC'!V179/('Propylene Recycling HC'!V$159)</f>
        <v>2.9270455104866318E-2</v>
      </c>
      <c r="X62" s="168">
        <f>'Propylene Recycling HC'!W179/('Propylene Recycling HC'!W$159)</f>
        <v>2.7020171633722546E-2</v>
      </c>
      <c r="Y62" s="168">
        <f>'Propylene Recycling HC'!X179/('Propylene Recycling HC'!X$159)</f>
        <v>2.4638940967768874E-2</v>
      </c>
      <c r="Z62" s="168">
        <f>'Propylene Recycling HC'!Y179/('Propylene Recycling HC'!Y$159)</f>
        <v>2.2323901837868709E-2</v>
      </c>
      <c r="AA62" s="168">
        <f>'Propylene Recycling HC'!Z179/('Propylene Recycling HC'!Z$159)</f>
        <v>2.0076183258236471E-2</v>
      </c>
      <c r="AB62" s="168">
        <f>'Propylene Recycling HC'!AA179/('Propylene Recycling HC'!AA$159)</f>
        <v>1.7898359994032654E-2</v>
      </c>
      <c r="AC62" s="168">
        <f>'Propylene Recycling HC'!AB179/('Propylene Recycling HC'!AB$159)</f>
        <v>1.5792318775257302E-2</v>
      </c>
      <c r="AD62" s="168">
        <f>'Propylene Recycling HC'!AC179/('Propylene Recycling HC'!AC$159)</f>
        <v>1.3759940629330116E-2</v>
      </c>
      <c r="AE62" s="168">
        <f>'Propylene Recycling HC'!AD179/('Propylene Recycling HC'!AD$159)</f>
        <v>1.1803100897141771E-2</v>
      </c>
      <c r="AF62" s="168">
        <f>'Propylene Recycling HC'!AE179/('Propylene Recycling HC'!AE$159)</f>
        <v>9.9236692490510831E-3</v>
      </c>
      <c r="AG62" s="168">
        <f>'Propylene Recycling HC'!AF179/('Propylene Recycling HC'!AF$159)</f>
        <v>8.1235097008281864E-3</v>
      </c>
      <c r="AH62" s="168">
        <f>'Propylene Recycling HC'!AG179/('Propylene Recycling HC'!AG$159)</f>
        <v>6.4044806295439618E-3</v>
      </c>
      <c r="AI62" s="44"/>
      <c r="AJ62" s="168">
        <f>'Propylene Recycling LC'!C165/('Propylene Recycling LC'!C$145)</f>
        <v>7.5766498630326404E-2</v>
      </c>
      <c r="AK62" s="168">
        <f>'Propylene Recycling LC'!D165/('Propylene Recycling LC'!D$145)</f>
        <v>7.3248858281298179E-2</v>
      </c>
      <c r="AL62" s="168">
        <f>'Propylene Recycling LC'!E165/('Propylene Recycling LC'!E$145)</f>
        <v>7.0744153601593793E-2</v>
      </c>
      <c r="AM62" s="168">
        <f>'Propylene Recycling LC'!F165/('Propylene Recycling LC'!F$145)</f>
        <v>6.8252901023794388E-2</v>
      </c>
      <c r="AN62" s="168">
        <f>'Propylene Recycling LC'!G165/('Propylene Recycling LC'!G$145)</f>
        <v>6.5775616980481094E-2</v>
      </c>
      <c r="AO62" s="168">
        <f>'Propylene Recycling LC'!H165/('Propylene Recycling LC'!H$145)</f>
        <v>6.3312817904235055E-2</v>
      </c>
      <c r="AP62" s="168">
        <f>'Propylene Recycling LC'!I165/('Propylene Recycling LC'!I$145)</f>
        <v>6.0865020227637422E-2</v>
      </c>
      <c r="AQ62" s="168">
        <f>'Propylene Recycling LC'!J165/('Propylene Recycling LC'!J$145)</f>
        <v>5.8432740383269323E-2</v>
      </c>
      <c r="AR62" s="168">
        <f>'Propylene Recycling LC'!K165/('Propylene Recycling LC'!K$145)</f>
        <v>5.601649480371191E-2</v>
      </c>
      <c r="AS62" s="168">
        <f>'Propylene Recycling LC'!L165/('Propylene Recycling LC'!L$145)</f>
        <v>5.3616799921546318E-2</v>
      </c>
      <c r="AT62" s="168">
        <f>'Propylene Recycling LC'!M165/('Propylene Recycling LC'!M$145)</f>
        <v>5.1234172169353692E-2</v>
      </c>
      <c r="AU62" s="168">
        <f>'Propylene Recycling LC'!N165/('Propylene Recycling LC'!N$145)</f>
        <v>4.8654939906166754E-2</v>
      </c>
      <c r="AV62" s="168">
        <f>'Propylene Recycling LC'!O165/('Propylene Recycling LC'!O$145)</f>
        <v>4.6107954657387575E-2</v>
      </c>
      <c r="AW62" s="168">
        <f>'Propylene Recycling LC'!P165/('Propylene Recycling LC'!P$145)</f>
        <v>4.3593369822337621E-2</v>
      </c>
      <c r="AX62" s="168">
        <f>'Propylene Recycling LC'!Q165/('Propylene Recycling LC'!Q$145)</f>
        <v>4.1113080178167505E-2</v>
      </c>
      <c r="AY62" s="168">
        <f>'Propylene Recycling LC'!R165/('Propylene Recycling LC'!R$145)</f>
        <v>3.8668210369838987E-2</v>
      </c>
      <c r="AZ62" s="168">
        <f>'Propylene Recycling LC'!S165/('Propylene Recycling LC'!S$145)</f>
        <v>3.6259884185018042E-2</v>
      </c>
      <c r="BA62" s="168">
        <f>'Propylene Recycling LC'!T165/('Propylene Recycling LC'!T$145)</f>
        <v>3.3889224554559692E-2</v>
      </c>
      <c r="BB62" s="168">
        <f>'Propylene Recycling LC'!U165/('Propylene Recycling LC'!U$145)</f>
        <v>3.1557353552992384E-2</v>
      </c>
      <c r="BC62" s="168">
        <f>'Propylene Recycling LC'!V165/('Propylene Recycling LC'!V$145)</f>
        <v>2.9265392399002242E-2</v>
      </c>
      <c r="BD62" s="168">
        <f>'Propylene Recycling LC'!W165/('Propylene Recycling LC'!W$145)</f>
        <v>2.7014461455916759E-2</v>
      </c>
      <c r="BE62" s="168">
        <f>'Propylene Recycling LC'!X165/('Propylene Recycling LC'!X$145)</f>
        <v>2.4632469011590327E-2</v>
      </c>
      <c r="BF62" s="168">
        <f>'Propylene Recycling LC'!Y165/('Propylene Recycling LC'!Y$145)</f>
        <v>2.2316732267221896E-2</v>
      </c>
      <c r="BG62" s="168">
        <f>'Propylene Recycling LC'!Z165/('Propylene Recycling LC'!Z$145)</f>
        <v>2.0068406699124217E-2</v>
      </c>
      <c r="BH62" s="168">
        <f>'Propylene Recycling LC'!AA165/('Propylene Recycling LC'!AA$145)</f>
        <v>1.7890091054458265E-2</v>
      </c>
      <c r="BI62" s="168">
        <f>'Propylene Recycling LC'!AB165/('Propylene Recycling LC'!AB$145)</f>
        <v>1.5783698346528929E-2</v>
      </c>
      <c r="BJ62" s="168">
        <f>'Propylene Recycling LC'!AC165/('Propylene Recycling LC'!AC$145)</f>
        <v>1.375113668113263E-2</v>
      </c>
      <c r="BK62" s="168">
        <f>'Propylene Recycling LC'!AD165/('Propylene Recycling LC'!AD$145)</f>
        <v>1.179430926762676E-2</v>
      </c>
      <c r="BL62" s="168">
        <f>'Propylene Recycling LC'!AE165/('Propylene Recycling LC'!AE$145)</f>
        <v>9.9151144299691341E-3</v>
      </c>
      <c r="BM62" s="168">
        <f>'Propylene Recycling LC'!AF165/('Propylene Recycling LC'!AF$145)</f>
        <v>8.115445617727618E-3</v>
      </c>
      <c r="BN62" s="168">
        <f>'Propylene Recycling LC'!AG165/('Propylene Recycling LC'!AG$145)</f>
        <v>6.3971914170600054E-3</v>
      </c>
      <c r="BP62" s="168">
        <f>'Propylene Recycling HC'!C155/('Propylene Recycling HC'!C$149)</f>
        <v>7.5766498630326404E-2</v>
      </c>
      <c r="BQ62" s="168">
        <f>'Propylene Recycling HC'!D155/('Propylene Recycling HC'!D$149)</f>
        <v>7.5930196957511617E-2</v>
      </c>
      <c r="BR62" s="168">
        <f>'Propylene Recycling HC'!E155/('Propylene Recycling HC'!E$149)</f>
        <v>7.6082178993621769E-2</v>
      </c>
      <c r="BS62" s="168">
        <f>'Propylene Recycling HC'!F155/('Propylene Recycling HC'!F$149)</f>
        <v>7.62228684608144E-2</v>
      </c>
      <c r="BT62" s="168">
        <f>'Propylene Recycling HC'!G155/('Propylene Recycling HC'!G$149)</f>
        <v>7.6352595981986932E-2</v>
      </c>
      <c r="BU62" s="168">
        <f>'Propylene Recycling HC'!H155/('Propylene Recycling HC'!H$149)</f>
        <v>7.647160356019192E-2</v>
      </c>
      <c r="BV62" s="168">
        <f>'Propylene Recycling HC'!I155/('Propylene Recycling HC'!I$149)</f>
        <v>7.6588702056417143E-2</v>
      </c>
      <c r="BW62" s="168">
        <f>'Propylene Recycling HC'!J155/('Propylene Recycling HC'!J$149)</f>
        <v>7.6703912822352865E-2</v>
      </c>
      <c r="BX62" s="168">
        <f>'Propylene Recycling HC'!K155/('Propylene Recycling HC'!K$149)</f>
        <v>7.6817254581403246E-2</v>
      </c>
      <c r="BY62" s="168">
        <f>'Propylene Recycling HC'!L155/('Propylene Recycling HC'!L$149)</f>
        <v>7.6928743466368812E-2</v>
      </c>
      <c r="BZ62" s="168">
        <f>'Propylene Recycling HC'!M155/('Propylene Recycling HC'!M$149)</f>
        <v>7.7038393051202247E-2</v>
      </c>
      <c r="CA62" s="168">
        <f>'Propylene Recycling HC'!N155/('Propylene Recycling HC'!N$149)</f>
        <v>7.7140549231777572E-2</v>
      </c>
      <c r="CB62" s="168">
        <f>'Propylene Recycling HC'!O155/('Propylene Recycling HC'!O$149)</f>
        <v>7.7235208803790881E-2</v>
      </c>
      <c r="CC62" s="168">
        <f>'Propylene Recycling HC'!P155/('Propylene Recycling HC'!P$149)</f>
        <v>7.7322325870189362E-2</v>
      </c>
      <c r="CD62" s="168">
        <f>'Propylene Recycling HC'!Q155/('Propylene Recycling HC'!Q$149)</f>
        <v>7.740181125742604E-2</v>
      </c>
      <c r="CE62" s="168">
        <f>'Propylene Recycling HC'!R155/('Propylene Recycling HC'!R$149)</f>
        <v>7.7473531515064087E-2</v>
      </c>
      <c r="CF62" s="168">
        <f>'Propylene Recycling HC'!S155/('Propylene Recycling HC'!S$149)</f>
        <v>7.7544613950071437E-2</v>
      </c>
      <c r="CG62" s="168">
        <f>'Propylene Recycling HC'!T155/('Propylene Recycling HC'!T$149)</f>
        <v>7.7615047381514923E-2</v>
      </c>
      <c r="CH62" s="168">
        <f>'Propylene Recycling HC'!U155/('Propylene Recycling HC'!U$149)</f>
        <v>7.7684820329383258E-2</v>
      </c>
      <c r="CI62" s="168">
        <f>'Propylene Recycling HC'!V155/('Propylene Recycling HC'!V$149)</f>
        <v>7.7753921007108678E-2</v>
      </c>
      <c r="CJ62" s="168">
        <f>'Propylene Recycling HC'!W155/('Propylene Recycling HC'!W$149)</f>
        <v>7.7822337313858125E-2</v>
      </c>
      <c r="CK62" s="168">
        <f>'Propylene Recycling HC'!X155/('Propylene Recycling HC'!X$149)</f>
        <v>7.7890103196123509E-2</v>
      </c>
      <c r="CL62" s="168">
        <f>'Propylene Recycling HC'!Y155/('Propylene Recycling HC'!Y$149)</f>
        <v>7.795720705974328E-2</v>
      </c>
      <c r="CM62" s="168">
        <f>'Propylene Recycling HC'!Z155/('Propylene Recycling HC'!Z$149)</f>
        <v>7.8023637020065789E-2</v>
      </c>
      <c r="CN62" s="168">
        <f>'Propylene Recycling HC'!AA155/('Propylene Recycling HC'!AA$149)</f>
        <v>7.8089380894772506E-2</v>
      </c>
      <c r="CO62" s="168">
        <f>'Propylene Recycling HC'!AB155/('Propylene Recycling HC'!AB$149)</f>
        <v>7.8154426196491558E-2</v>
      </c>
      <c r="CP62" s="168">
        <f>'Propylene Recycling HC'!AC155/('Propylene Recycling HC'!AC$149)</f>
        <v>7.8218801546083808E-2</v>
      </c>
      <c r="CQ62" s="168">
        <f>'Propylene Recycling HC'!AD155/('Propylene Recycling HC'!AD$149)</f>
        <v>7.8282494909239206E-2</v>
      </c>
      <c r="CR62" s="168">
        <f>'Propylene Recycling HC'!AE155/('Propylene Recycling HC'!AE$149)</f>
        <v>7.8345493965565463E-2</v>
      </c>
      <c r="CS62" s="168">
        <f>'Propylene Recycling HC'!AF155/('Propylene Recycling HC'!AF$149)</f>
        <v>7.840778610163554E-2</v>
      </c>
      <c r="CT62" s="168">
        <f>'Propylene Recycling HC'!AG155/('Propylene Recycling HC'!AG$149)</f>
        <v>7.8469358403841033E-2</v>
      </c>
      <c r="CV62" s="168">
        <f t="shared" si="371"/>
        <v>7.5766498630326404E-2</v>
      </c>
      <c r="CW62" s="168">
        <f t="shared" si="370"/>
        <v>7.3248858281298165E-2</v>
      </c>
      <c r="CX62" s="168">
        <f t="shared" si="370"/>
        <v>7.0744153601593793E-2</v>
      </c>
      <c r="CY62" s="168">
        <f t="shared" si="370"/>
        <v>6.8252901023794388E-2</v>
      </c>
      <c r="CZ62" s="168">
        <f t="shared" si="370"/>
        <v>6.5775616980481094E-2</v>
      </c>
      <c r="DA62" s="168">
        <f t="shared" si="370"/>
        <v>6.3312817904235055E-2</v>
      </c>
      <c r="DB62" s="168">
        <f t="shared" si="370"/>
        <v>6.0865020227637422E-2</v>
      </c>
      <c r="DC62" s="168">
        <f t="shared" si="370"/>
        <v>5.8432740383269323E-2</v>
      </c>
      <c r="DD62" s="168">
        <f t="shared" si="370"/>
        <v>5.601649480371191E-2</v>
      </c>
      <c r="DE62" s="168">
        <f t="shared" si="370"/>
        <v>5.3616799921546318E-2</v>
      </c>
      <c r="DF62" s="168">
        <f t="shared" si="370"/>
        <v>5.1234172169353685E-2</v>
      </c>
      <c r="DG62" s="168">
        <f t="shared" si="370"/>
        <v>4.8654939906166754E-2</v>
      </c>
      <c r="DH62" s="168">
        <f t="shared" si="370"/>
        <v>4.6107954657387575E-2</v>
      </c>
      <c r="DI62" s="168">
        <f t="shared" si="370"/>
        <v>4.3593183792337849E-2</v>
      </c>
      <c r="DJ62" s="168">
        <f t="shared" si="370"/>
        <v>4.1112703167118458E-2</v>
      </c>
      <c r="DK62" s="168">
        <f t="shared" si="370"/>
        <v>3.8667639789959379E-2</v>
      </c>
      <c r="DL62" s="168">
        <f t="shared" si="370"/>
        <v>3.6259120029444869E-2</v>
      </c>
      <c r="DM62" s="168">
        <f t="shared" si="370"/>
        <v>3.3888269939604657E-2</v>
      </c>
      <c r="DN62" s="168">
        <f t="shared" si="370"/>
        <v>3.1556215087381725E-2</v>
      </c>
      <c r="DO62" s="168">
        <f t="shared" si="370"/>
        <v>2.9264080534036053E-2</v>
      </c>
      <c r="DP62" s="168">
        <f t="shared" si="370"/>
        <v>2.7012990642411486E-2</v>
      </c>
      <c r="DQ62" s="168">
        <f t="shared" si="370"/>
        <v>2.4630805574966053E-2</v>
      </c>
      <c r="DR62" s="168">
        <f t="shared" si="370"/>
        <v>2.2314893244167827E-2</v>
      </c>
      <c r="DS62" s="168">
        <f t="shared" si="370"/>
        <v>2.0065872229836933E-2</v>
      </c>
      <c r="DT62" s="168">
        <f t="shared" si="370"/>
        <v>1.788691935048373E-2</v>
      </c>
      <c r="DU62" s="168">
        <f t="shared" si="370"/>
        <v>1.5779971346592644E-2</v>
      </c>
      <c r="DV62" s="168">
        <f t="shared" si="370"/>
        <v>1.3746960117553891E-2</v>
      </c>
      <c r="DW62" s="168">
        <f t="shared" si="370"/>
        <v>1.1789813033091987E-2</v>
      </c>
      <c r="DX62" s="168">
        <f t="shared" si="370"/>
        <v>9.9104537872737285E-3</v>
      </c>
      <c r="DY62" s="168">
        <f t="shared" si="370"/>
        <v>8.1108038656226272E-3</v>
      </c>
      <c r="DZ62" s="168">
        <f t="shared" si="370"/>
        <v>6.3927842149670731E-3</v>
      </c>
    </row>
    <row r="63" spans="1:165">
      <c r="A63" s="606" t="s">
        <v>452</v>
      </c>
      <c r="C63" s="54" t="s">
        <v>462</v>
      </c>
      <c r="D63" s="168">
        <f>'Propylene Recycling HC'!C180/('Propylene Recycling HC'!C$159)</f>
        <v>0.25571193287735161</v>
      </c>
      <c r="E63" s="168">
        <f>'Propylene Recycling HC'!D180/('Propylene Recycling HC'!D$159)</f>
        <v>0.25118385307621138</v>
      </c>
      <c r="F63" s="168">
        <f>'Propylene Recycling HC'!E180/('Propylene Recycling HC'!E$159)</f>
        <v>0.24666545592060146</v>
      </c>
      <c r="G63" s="168">
        <f>'Propylene Recycling HC'!F180/('Propylene Recycling HC'!F$159)</f>
        <v>0.24215755294743502</v>
      </c>
      <c r="H63" s="168">
        <f>'Propylene Recycling HC'!G180/('Propylene Recycling HC'!G$159)</f>
        <v>0.23766095569362525</v>
      </c>
      <c r="I63" s="168">
        <f>'Propylene Recycling HC'!H180/('Propylene Recycling HC'!H$159)</f>
        <v>0.23317647569608538</v>
      </c>
      <c r="J63" s="168">
        <f>'Propylene Recycling HC'!I180/('Propylene Recycling HC'!I$159)</f>
        <v>0.22870492449172869</v>
      </c>
      <c r="K63" s="168">
        <f>'Propylene Recycling HC'!J180/('Propylene Recycling HC'!J$159)</f>
        <v>0.22424711361746832</v>
      </c>
      <c r="L63" s="168">
        <f>'Propylene Recycling HC'!K180/('Propylene Recycling HC'!K$159)</f>
        <v>0.21980385461021759</v>
      </c>
      <c r="M63" s="168">
        <f>'Propylene Recycling HC'!L180/('Propylene Recycling HC'!L$159)</f>
        <v>0.21537595900688963</v>
      </c>
      <c r="N63" s="168">
        <f>'Propylene Recycling HC'!M180/('Propylene Recycling HC'!M$159)</f>
        <v>0.21096423834439776</v>
      </c>
      <c r="O63" s="168">
        <f>'Propylene Recycling HC'!N180/('Propylene Recycling HC'!N$159)</f>
        <v>0.20566413248680324</v>
      </c>
      <c r="P63" s="168">
        <f>'Propylene Recycling HC'!O180/('Propylene Recycling HC'!O$159)</f>
        <v>0.20039226447249234</v>
      </c>
      <c r="Q63" s="168">
        <f>'Propylene Recycling HC'!P180/('Propylene Recycling HC'!P$159)</f>
        <v>0.19514923476419407</v>
      </c>
      <c r="R63" s="168">
        <f>'Propylene Recycling HC'!Q180/('Propylene Recycling HC'!Q$159)</f>
        <v>0.18993735001285</v>
      </c>
      <c r="S63" s="168">
        <f>'Propylene Recycling HC'!R180/('Propylene Recycling HC'!R$159)</f>
        <v>0.18475837945475193</v>
      </c>
      <c r="T63" s="168">
        <f>'Propylene Recycling HC'!S180/('Propylene Recycling HC'!S$159)</f>
        <v>0.17961409017861962</v>
      </c>
      <c r="U63" s="168">
        <f>'Propylene Recycling HC'!T180/('Propylene Recycling HC'!T$159)</f>
        <v>0.17450624712802801</v>
      </c>
      <c r="V63" s="168">
        <f>'Propylene Recycling HC'!U180/('Propylene Recycling HC'!U$159)</f>
        <v>0.16943661310383171</v>
      </c>
      <c r="W63" s="168">
        <f>'Propylene Recycling HC'!V180/('Propylene Recycling HC'!V$159)</f>
        <v>0.16440694876658568</v>
      </c>
      <c r="X63" s="168">
        <f>'Propylene Recycling HC'!W180/('Propylene Recycling HC'!W$159)</f>
        <v>0.15941901263896313</v>
      </c>
      <c r="Y63" s="168">
        <f>'Propylene Recycling HC'!X180/('Propylene Recycling HC'!X$159)</f>
        <v>0.15339727763804506</v>
      </c>
      <c r="Z63" s="168">
        <f>'Propylene Recycling HC'!Y180/('Propylene Recycling HC'!Y$159)</f>
        <v>0.14744158423150508</v>
      </c>
      <c r="AA63" s="168">
        <f>'Propylene Recycling HC'!Z180/('Propylene Recycling HC'!Z$159)</f>
        <v>0.14154979841566739</v>
      </c>
      <c r="AB63" s="168">
        <f>'Propylene Recycling HC'!AA180/('Propylene Recycling HC'!AA$159)</f>
        <v>0.13572922995474773</v>
      </c>
      <c r="AC63" s="168">
        <f>'Propylene Recycling HC'!AB180/('Propylene Recycling HC'!AB$159)</f>
        <v>0.12998293145788717</v>
      </c>
      <c r="AD63" s="168">
        <f>'Propylene Recycling HC'!AC180/('Propylene Recycling HC'!AC$159)</f>
        <v>0.12431394637532739</v>
      </c>
      <c r="AE63" s="168">
        <f>'Propylene Recycling HC'!AD180/('Propylene Recycling HC'!AD$159)</f>
        <v>0.1187253090241909</v>
      </c>
      <c r="AF63" s="168">
        <f>'Propylene Recycling HC'!AE180/('Propylene Recycling HC'!AE$159)</f>
        <v>0.1132200446141739</v>
      </c>
      <c r="AG63" s="168">
        <f>'Propylene Recycling HC'!AF180/('Propylene Recycling HC'!AF$159)</f>
        <v>0.10780116927315263</v>
      </c>
      <c r="AH63" s="168">
        <f>'Propylene Recycling HC'!AG180/('Propylene Recycling HC'!AG$159)</f>
        <v>0.10247169007270339</v>
      </c>
      <c r="AI63" s="44"/>
      <c r="AJ63" s="168">
        <f>'Propylene Recycling LC'!C166/('Propylene Recycling LC'!C$145)</f>
        <v>0.25571193287735161</v>
      </c>
      <c r="AK63" s="168">
        <f>'Propylene Recycling LC'!D166/('Propylene Recycling LC'!D$145)</f>
        <v>0.25118385307621138</v>
      </c>
      <c r="AL63" s="168">
        <f>'Propylene Recycling LC'!E166/('Propylene Recycling LC'!E$145)</f>
        <v>0.24666545592060146</v>
      </c>
      <c r="AM63" s="168">
        <f>'Propylene Recycling LC'!F166/('Propylene Recycling LC'!F$145)</f>
        <v>0.24215755294743502</v>
      </c>
      <c r="AN63" s="168">
        <f>'Propylene Recycling LC'!G166/('Propylene Recycling LC'!G$145)</f>
        <v>0.23766095569362525</v>
      </c>
      <c r="AO63" s="168">
        <f>'Propylene Recycling LC'!H166/('Propylene Recycling LC'!H$145)</f>
        <v>0.23317647569608538</v>
      </c>
      <c r="AP63" s="168">
        <f>'Propylene Recycling LC'!I166/('Propylene Recycling LC'!I$145)</f>
        <v>0.22870492449172869</v>
      </c>
      <c r="AQ63" s="168">
        <f>'Propylene Recycling LC'!J166/('Propylene Recycling LC'!J$145)</f>
        <v>0.22424711361746832</v>
      </c>
      <c r="AR63" s="168">
        <f>'Propylene Recycling LC'!K166/('Propylene Recycling LC'!K$145)</f>
        <v>0.21980385461021759</v>
      </c>
      <c r="AS63" s="168">
        <f>'Propylene Recycling LC'!L166/('Propylene Recycling LC'!L$145)</f>
        <v>0.21537595900688963</v>
      </c>
      <c r="AT63" s="168">
        <f>'Propylene Recycling LC'!M166/('Propylene Recycling LC'!M$145)</f>
        <v>0.21096423834439776</v>
      </c>
      <c r="AU63" s="168">
        <f>'Propylene Recycling LC'!N166/('Propylene Recycling LC'!N$145)</f>
        <v>0.20566413248680324</v>
      </c>
      <c r="AV63" s="168">
        <f>'Propylene Recycling LC'!O166/('Propylene Recycling LC'!O$145)</f>
        <v>0.20039226447249234</v>
      </c>
      <c r="AW63" s="168">
        <f>'Propylene Recycling LC'!P166/('Propylene Recycling LC'!P$145)</f>
        <v>0.19514615886912226</v>
      </c>
      <c r="AX63" s="168">
        <f>'Propylene Recycling LC'!Q166/('Propylene Recycling LC'!Q$145)</f>
        <v>0.18993084927378809</v>
      </c>
      <c r="AY63" s="168">
        <f>'Propylene Recycling LC'!R166/('Propylene Recycling LC'!R$145)</f>
        <v>0.18474811621145307</v>
      </c>
      <c r="AZ63" s="168">
        <f>'Propylene Recycling LC'!S166/('Propylene Recycling LC'!S$145)</f>
        <v>0.17959973885391767</v>
      </c>
      <c r="BA63" s="168">
        <f>'Propylene Recycling LC'!T166/('Propylene Recycling LC'!T$145)</f>
        <v>0.17448749502058433</v>
      </c>
      <c r="BB63" s="168">
        <f>'Propylene Recycling LC'!U166/('Propylene Recycling LC'!U$145)</f>
        <v>0.16941316117922242</v>
      </c>
      <c r="BC63" s="168">
        <f>'Propylene Recycling LC'!V166/('Propylene Recycling LC'!V$145)</f>
        <v>0.16437851244673235</v>
      </c>
      <c r="BD63" s="168">
        <f>'Propylene Recycling LC'!W166/('Propylene Recycling LC'!W$145)</f>
        <v>0.15938532258990898</v>
      </c>
      <c r="BE63" s="168">
        <f>'Propylene Recycling LC'!X166/('Propylene Recycling LC'!X$145)</f>
        <v>0.15335698449151408</v>
      </c>
      <c r="BF63" s="168">
        <f>'Propylene Recycling LC'!Y166/('Propylene Recycling LC'!Y$145)</f>
        <v>0.14739423171839591</v>
      </c>
      <c r="BG63" s="168">
        <f>'Propylene Recycling LC'!Z166/('Propylene Recycling LC'!Z$145)</f>
        <v>0.14149496875205317</v>
      </c>
      <c r="BH63" s="168">
        <f>'Propylene Recycling LC'!AA166/('Propylene Recycling LC'!AA$145)</f>
        <v>0.13566652382964198</v>
      </c>
      <c r="BI63" s="168">
        <f>'Propylene Recycling LC'!AB166/('Propylene Recycling LC'!AB$145)</f>
        <v>0.12991197869835364</v>
      </c>
      <c r="BJ63" s="168">
        <f>'Propylene Recycling LC'!AC166/('Propylene Recycling LC'!AC$145)</f>
        <v>0.12423440725712943</v>
      </c>
      <c r="BK63" s="168">
        <f>'Propylene Recycling LC'!AD166/('Propylene Recycling LC'!AD$145)</f>
        <v>0.11863687557436343</v>
      </c>
      <c r="BL63" s="168">
        <f>'Propylene Recycling LC'!AE166/('Propylene Recycling LC'!AE$145)</f>
        <v>0.11312244190555711</v>
      </c>
      <c r="BM63" s="168">
        <f>'Propylene Recycling LC'!AF166/('Propylene Recycling LC'!AF$145)</f>
        <v>0.10769415671092615</v>
      </c>
      <c r="BN63" s="168">
        <f>'Propylene Recycling LC'!AG166/('Propylene Recycling LC'!AG$145)</f>
        <v>0.10235506267296009</v>
      </c>
      <c r="BP63" s="168">
        <f>'Propylene Recycling HC'!C156/('Propylene Recycling HC'!C$149)</f>
        <v>0.25571193287735161</v>
      </c>
      <c r="BQ63" s="168">
        <f>'Propylene Recycling HC'!D156/('Propylene Recycling HC'!D$149)</f>
        <v>0.25891470406568878</v>
      </c>
      <c r="BR63" s="168">
        <f>'Propylene Recycling HC'!E156/('Propylene Recycling HC'!E$149)</f>
        <v>0.26208191999132879</v>
      </c>
      <c r="BS63" s="168">
        <f>'Propylene Recycling HC'!F156/('Propylene Recycling HC'!F$149)</f>
        <v>0.26521381628831309</v>
      </c>
      <c r="BT63" s="168">
        <f>'Propylene Recycling HC'!G156/('Propylene Recycling HC'!G$149)</f>
        <v>0.26831036631149296</v>
      </c>
      <c r="BU63" s="168">
        <f>'Propylene Recycling HC'!H156/('Propylene Recycling HC'!H$149)</f>
        <v>0.2713712805427928</v>
      </c>
      <c r="BV63" s="168">
        <f>'Propylene Recycling HC'!I156/('Propylene Recycling HC'!I$149)</f>
        <v>0.27442701183490403</v>
      </c>
      <c r="BW63" s="168">
        <f>'Propylene Recycling HC'!J156/('Propylene Recycling HC'!J$149)</f>
        <v>0.27747743432390171</v>
      </c>
      <c r="BX63" s="168">
        <f>'Propylene Recycling HC'!K156/('Propylene Recycling HC'!K$149)</f>
        <v>0.28052241648291298</v>
      </c>
      <c r="BY63" s="168">
        <f>'Propylene Recycling HC'!L156/('Propylene Recycling HC'!L$149)</f>
        <v>0.2835618207870354</v>
      </c>
      <c r="BZ63" s="168">
        <f>'Propylene Recycling HC'!M156/('Propylene Recycling HC'!M$149)</f>
        <v>0.28659550336743533</v>
      </c>
      <c r="CA63" s="168">
        <f>'Propylene Recycling HC'!N156/('Propylene Recycling HC'!N$149)</f>
        <v>0.28960204549241919</v>
      </c>
      <c r="CB63" s="168">
        <f>'Propylene Recycling HC'!O156/('Propylene Recycling HC'!O$149)</f>
        <v>0.29258066783307951</v>
      </c>
      <c r="CC63" s="168">
        <f>'Propylene Recycling HC'!P156/('Propylene Recycling HC'!P$149)</f>
        <v>0.29553043122669315</v>
      </c>
      <c r="CD63" s="168">
        <f>'Propylene Recycling HC'!Q156/('Propylene Recycling HC'!Q$149)</f>
        <v>0.29845022719079561</v>
      </c>
      <c r="CE63" s="168">
        <f>'Propylene Recycling HC'!R156/('Propylene Recycling HC'!R$149)</f>
        <v>0.30133876675184407</v>
      </c>
      <c r="CF63" s="168">
        <f>'Propylene Recycling HC'!S156/('Propylene Recycling HC'!S$149)</f>
        <v>0.3042232321799368</v>
      </c>
      <c r="CG63" s="168">
        <f>'Propylene Recycling HC'!T156/('Propylene Recycling HC'!T$149)</f>
        <v>0.30710352081025327</v>
      </c>
      <c r="CH63" s="168">
        <f>'Propylene Recycling HC'!U156/('Propylene Recycling HC'!U$149)</f>
        <v>0.30997952757348002</v>
      </c>
      <c r="CI63" s="168">
        <f>'Propylene Recycling HC'!V156/('Propylene Recycling HC'!V$149)</f>
        <v>0.31285114492318905</v>
      </c>
      <c r="CJ63" s="168">
        <f>'Propylene Recycling HC'!W156/('Propylene Recycling HC'!W$149)</f>
        <v>0.31571826276109882</v>
      </c>
      <c r="CK63" s="168">
        <f>'Propylene Recycling HC'!X156/('Propylene Recycling HC'!X$149)</f>
        <v>0.31858095801776171</v>
      </c>
      <c r="CL63" s="168">
        <f>'Propylene Recycling HC'!Y156/('Propylene Recycling HC'!Y$149)</f>
        <v>0.32143912464860847</v>
      </c>
      <c r="CM63" s="168">
        <f>'Propylene Recycling HC'!Z156/('Propylene Recycling HC'!Z$149)</f>
        <v>0.32429265415144343</v>
      </c>
      <c r="CN63" s="168">
        <f>'Propylene Recycling HC'!AA156/('Propylene Recycling HC'!AA$149)</f>
        <v>0.32714143549606095</v>
      </c>
      <c r="CO63" s="168">
        <f>'Propylene Recycling HC'!AB156/('Propylene Recycling HC'!AB$149)</f>
        <v>0.32998535505185267</v>
      </c>
      <c r="CP63" s="168">
        <f>'Propylene Recycling HC'!AC156/('Propylene Recycling HC'!AC$149)</f>
        <v>0.33282447276105981</v>
      </c>
      <c r="CQ63" s="168">
        <f>'Propylene Recycling HC'!AD156/('Propylene Recycling HC'!AD$149)</f>
        <v>0.33565867829281948</v>
      </c>
      <c r="CR63" s="168">
        <f>'Propylene Recycling HC'!AE156/('Propylene Recycling HC'!AE$149)</f>
        <v>0.33848785879164528</v>
      </c>
      <c r="CS63" s="168">
        <f>'Propylene Recycling HC'!AF156/('Propylene Recycling HC'!AF$149)</f>
        <v>0.34131189880832519</v>
      </c>
      <c r="CT63" s="168">
        <f>'Propylene Recycling HC'!AG156/('Propylene Recycling HC'!AG$149)</f>
        <v>0.3441306802288932</v>
      </c>
      <c r="CV63" s="168">
        <f t="shared" si="371"/>
        <v>0.25571193287735161</v>
      </c>
      <c r="CW63" s="168">
        <f t="shared" si="370"/>
        <v>0.25118385307621138</v>
      </c>
      <c r="CX63" s="168">
        <f t="shared" si="370"/>
        <v>0.24666545592060146</v>
      </c>
      <c r="CY63" s="168">
        <f t="shared" si="370"/>
        <v>0.24215755294743502</v>
      </c>
      <c r="CZ63" s="168">
        <f t="shared" si="370"/>
        <v>0.23766095569362525</v>
      </c>
      <c r="DA63" s="168">
        <f t="shared" si="370"/>
        <v>0.23317647569608538</v>
      </c>
      <c r="DB63" s="168">
        <f t="shared" si="370"/>
        <v>0.22870492449172869</v>
      </c>
      <c r="DC63" s="168">
        <f t="shared" si="370"/>
        <v>0.22424711361746832</v>
      </c>
      <c r="DD63" s="168">
        <f t="shared" si="370"/>
        <v>0.21980385461021756</v>
      </c>
      <c r="DE63" s="168">
        <f t="shared" si="370"/>
        <v>0.21537595900688963</v>
      </c>
      <c r="DF63" s="168">
        <f t="shared" si="370"/>
        <v>0.21096423834439779</v>
      </c>
      <c r="DG63" s="168">
        <f t="shared" si="370"/>
        <v>0.20566413248680324</v>
      </c>
      <c r="DH63" s="168">
        <f t="shared" si="370"/>
        <v>0.20039226447249234</v>
      </c>
      <c r="DI63" s="168">
        <f t="shared" si="370"/>
        <v>0.19514532610395546</v>
      </c>
      <c r="DJ63" s="168">
        <f t="shared" si="370"/>
        <v>0.1899291075889418</v>
      </c>
      <c r="DK63" s="168">
        <f t="shared" si="370"/>
        <v>0.18474539010758384</v>
      </c>
      <c r="DL63" s="168">
        <f t="shared" si="370"/>
        <v>0.17959595389584429</v>
      </c>
      <c r="DM63" s="168">
        <f t="shared" si="370"/>
        <v>0.17448257993697286</v>
      </c>
      <c r="DN63" s="168">
        <f t="shared" si="370"/>
        <v>0.16940704941647047</v>
      </c>
      <c r="DO63" s="168">
        <f t="shared" si="370"/>
        <v>0.16437114393416524</v>
      </c>
      <c r="DP63" s="168">
        <f t="shared" si="370"/>
        <v>0.15937664479022787</v>
      </c>
      <c r="DQ63" s="168">
        <f t="shared" si="370"/>
        <v>0.15334662825704684</v>
      </c>
      <c r="DR63" s="168">
        <f t="shared" si="370"/>
        <v>0.14738208561264346</v>
      </c>
      <c r="DS63" s="168">
        <f t="shared" si="370"/>
        <v>0.14147709913948334</v>
      </c>
      <c r="DT63" s="168">
        <f t="shared" si="370"/>
        <v>0.13564247174116845</v>
      </c>
      <c r="DU63" s="168">
        <f t="shared" si="370"/>
        <v>0.12988130262195496</v>
      </c>
      <c r="DV63" s="168">
        <f t="shared" si="370"/>
        <v>0.12419667416548703</v>
      </c>
      <c r="DW63" s="168">
        <f t="shared" si="370"/>
        <v>0.11859164874463131</v>
      </c>
      <c r="DX63" s="168">
        <f t="shared" si="370"/>
        <v>0.11306926820935043</v>
      </c>
      <c r="DY63" s="168">
        <f t="shared" si="370"/>
        <v>0.10763255940596535</v>
      </c>
      <c r="DZ63" s="168">
        <f t="shared" si="370"/>
        <v>0.10228454743947317</v>
      </c>
    </row>
    <row r="64" spans="1:165">
      <c r="A64" s="606" t="s">
        <v>453</v>
      </c>
      <c r="C64" s="54" t="s">
        <v>462</v>
      </c>
      <c r="D64" s="168">
        <f>'Propylene Recycling HC'!C181/('Propylene Recycling HC'!C$159)</f>
        <v>6.6295686301535608E-2</v>
      </c>
      <c r="E64" s="168">
        <f>'Propylene Recycling HC'!D181/('Propylene Recycling HC'!D$159)</f>
        <v>6.5703911505542154E-2</v>
      </c>
      <c r="F64" s="168">
        <f>'Propylene Recycling HC'!E181/('Propylene Recycling HC'!E$159)</f>
        <v>6.5109663491732361E-2</v>
      </c>
      <c r="G64" s="168">
        <f>'Propylene Recycling HC'!F181/('Propylene Recycling HC'!F$159)</f>
        <v>6.4513016036189225E-2</v>
      </c>
      <c r="H64" s="168">
        <f>'Propylene Recycling HC'!G181/('Propylene Recycling HC'!G$159)</f>
        <v>6.3914042914995792E-2</v>
      </c>
      <c r="I64" s="168">
        <f>'Propylene Recycling HC'!H181/('Propylene Recycling HC'!H$159)</f>
        <v>6.3312817904235055E-2</v>
      </c>
      <c r="J64" s="168">
        <f>'Propylene Recycling HC'!I181/('Propylene Recycling HC'!I$159)</f>
        <v>6.2709414779990078E-2</v>
      </c>
      <c r="K64" s="168">
        <f>'Propylene Recycling HC'!J181/('Propylene Recycling HC'!J$159)</f>
        <v>6.2103907318343851E-2</v>
      </c>
      <c r="L64" s="168">
        <f>'Propylene Recycling HC'!K181/('Propylene Recycling HC'!K$159)</f>
        <v>6.149636929537939E-2</v>
      </c>
      <c r="M64" s="168">
        <f>'Propylene Recycling HC'!L181/('Propylene Recycling HC'!L$159)</f>
        <v>6.0886874487179728E-2</v>
      </c>
      <c r="N64" s="168">
        <f>'Propylene Recycling HC'!M181/('Propylene Recycling HC'!M$159)</f>
        <v>6.0275496669827885E-2</v>
      </c>
      <c r="O64" s="168">
        <f>'Propylene Recycling HC'!N181/('Propylene Recycling HC'!N$159)</f>
        <v>5.9400816204461263E-2</v>
      </c>
      <c r="P64" s="168">
        <f>'Propylene Recycling HC'!O181/('Propylene Recycling HC'!O$159)</f>
        <v>5.8521634757453464E-2</v>
      </c>
      <c r="Q64" s="168">
        <f>'Propylene Recycling HC'!P181/('Propylene Recycling HC'!P$159)</f>
        <v>5.7637779982827882E-2</v>
      </c>
      <c r="R64" s="168">
        <f>'Propylene Recycling HC'!Q181/('Propylene Recycling HC'!Q$159)</f>
        <v>5.6749574089205133E-2</v>
      </c>
      <c r="S64" s="168">
        <f>'Propylene Recycling HC'!R181/('Propylene Recycling HC'!R$159)</f>
        <v>5.5857184486320308E-2</v>
      </c>
      <c r="T64" s="168">
        <f>'Propylene Recycling HC'!S181/('Propylene Recycling HC'!S$159)</f>
        <v>5.4960778382732133E-2</v>
      </c>
      <c r="U64" s="168">
        <f>'Propylene Recycling HC'!T181/('Propylene Recycling HC'!T$159)</f>
        <v>5.4060522786050363E-2</v>
      </c>
      <c r="V64" s="168">
        <f>'Propylene Recycling HC'!U181/('Propylene Recycling HC'!U$159)</f>
        <v>5.3156584503162831E-2</v>
      </c>
      <c r="W64" s="168">
        <f>'Propylene Recycling HC'!V181/('Propylene Recycling HC'!V$159)</f>
        <v>5.2249130140462299E-2</v>
      </c>
      <c r="X64" s="168">
        <f>'Propylene Recycling HC'!W181/('Propylene Recycling HC'!W$159)</f>
        <v>5.1338326104072823E-2</v>
      </c>
      <c r="Y64" s="168">
        <f>'Propylene Recycling HC'!X181/('Propylene Recycling HC'!X$159)</f>
        <v>5.0072686482885119E-2</v>
      </c>
      <c r="Z64" s="168">
        <f>'Propylene Recycling HC'!Y181/('Propylene Recycling HC'!Y$159)</f>
        <v>4.8801087738596705E-2</v>
      </c>
      <c r="AA64" s="168">
        <f>'Propylene Recycling HC'!Z181/('Propylene Recycling HC'!Z$159)</f>
        <v>4.7522104674559744E-2</v>
      </c>
      <c r="AB64" s="168">
        <f>'Propylene Recycling HC'!AA181/('Propylene Recycling HC'!AA$159)</f>
        <v>4.6237429984584355E-2</v>
      </c>
      <c r="AC64" s="168">
        <f>'Propylene Recycling HC'!AB181/('Propylene Recycling HC'!AB$159)</f>
        <v>4.4947368821886192E-2</v>
      </c>
      <c r="AD64" s="168">
        <f>'Propylene Recycling HC'!AC181/('Propylene Recycling HC'!AC$159)</f>
        <v>4.3652225444771424E-2</v>
      </c>
      <c r="AE64" s="168">
        <f>'Propylene Recycling HC'!AD181/('Propylene Recycling HC'!AD$159)</f>
        <v>4.2352303219155799E-2</v>
      </c>
      <c r="AF64" s="168">
        <f>'Propylene Recycling HC'!AE181/('Propylene Recycling HC'!AE$159)</f>
        <v>4.1047904621074979E-2</v>
      </c>
      <c r="AG64" s="168">
        <f>'Propylene Recycling HC'!AF181/('Propylene Recycling HC'!AF$159)</f>
        <v>3.9739331239186604E-2</v>
      </c>
      <c r="AH64" s="168">
        <f>'Propylene Recycling HC'!AG181/('Propylene Recycling HC'!AG$159)</f>
        <v>3.8426883777263769E-2</v>
      </c>
      <c r="AI64" s="44"/>
      <c r="AJ64" s="168">
        <f>'Propylene Recycling LC'!C167/('Propylene Recycling LC'!C$145)</f>
        <v>6.6295686301535608E-2</v>
      </c>
      <c r="AK64" s="168">
        <f>'Propylene Recycling LC'!D167/('Propylene Recycling LC'!D$145)</f>
        <v>6.5703911505542154E-2</v>
      </c>
      <c r="AL64" s="168">
        <f>'Propylene Recycling LC'!E167/('Propylene Recycling LC'!E$145)</f>
        <v>6.5109663491732361E-2</v>
      </c>
      <c r="AM64" s="168">
        <f>'Propylene Recycling LC'!F167/('Propylene Recycling LC'!F$145)</f>
        <v>6.4513016036189225E-2</v>
      </c>
      <c r="AN64" s="168">
        <f>'Propylene Recycling LC'!G167/('Propylene Recycling LC'!G$145)</f>
        <v>6.3914042914995792E-2</v>
      </c>
      <c r="AO64" s="168">
        <f>'Propylene Recycling LC'!H167/('Propylene Recycling LC'!H$145)</f>
        <v>6.3312817904235055E-2</v>
      </c>
      <c r="AP64" s="168">
        <f>'Propylene Recycling LC'!I167/('Propylene Recycling LC'!I$145)</f>
        <v>6.2709414779990078E-2</v>
      </c>
      <c r="AQ64" s="168">
        <f>'Propylene Recycling LC'!J167/('Propylene Recycling LC'!J$145)</f>
        <v>6.2103907318343851E-2</v>
      </c>
      <c r="AR64" s="168">
        <f>'Propylene Recycling LC'!K167/('Propylene Recycling LC'!K$145)</f>
        <v>6.149636929537939E-2</v>
      </c>
      <c r="AS64" s="168">
        <f>'Propylene Recycling LC'!L167/('Propylene Recycling LC'!L$145)</f>
        <v>6.0886874487179728E-2</v>
      </c>
      <c r="AT64" s="168">
        <f>'Propylene Recycling LC'!M167/('Propylene Recycling LC'!M$145)</f>
        <v>6.0275496669827885E-2</v>
      </c>
      <c r="AU64" s="168">
        <f>'Propylene Recycling LC'!N167/('Propylene Recycling LC'!N$145)</f>
        <v>5.9400816204461263E-2</v>
      </c>
      <c r="AV64" s="168">
        <f>'Propylene Recycling LC'!O167/('Propylene Recycling LC'!O$145)</f>
        <v>5.8521634757453464E-2</v>
      </c>
      <c r="AW64" s="168">
        <f>'Propylene Recycling LC'!P167/('Propylene Recycling LC'!P$145)</f>
        <v>5.7636871510070554E-2</v>
      </c>
      <c r="AX64" s="168">
        <f>'Propylene Recycling LC'!Q167/('Propylene Recycling LC'!Q$145)</f>
        <v>5.6747631795217121E-2</v>
      </c>
      <c r="AY64" s="168">
        <f>'Propylene Recycling LC'!R167/('Propylene Recycling LC'!R$145)</f>
        <v>5.5854081645322975E-2</v>
      </c>
      <c r="AZ64" s="168">
        <f>'Propylene Recycling LC'!S167/('Propylene Recycling LC'!S$145)</f>
        <v>5.4956386967917971E-2</v>
      </c>
      <c r="BA64" s="168">
        <f>'Propylene Recycling LC'!T167/('Propylene Recycling LC'!T$145)</f>
        <v>5.405471354570264E-2</v>
      </c>
      <c r="BB64" s="168">
        <f>'Propylene Recycling LC'!U167/('Propylene Recycling LC'!U$145)</f>
        <v>5.314922703661875E-2</v>
      </c>
      <c r="BC64" s="168">
        <f>'Propylene Recycling LC'!V167/('Propylene Recycling LC'!V$145)</f>
        <v>5.2240092973919877E-2</v>
      </c>
      <c r="BD64" s="168">
        <f>'Propylene Recycling LC'!W167/('Propylene Recycling LC'!W$145)</f>
        <v>5.1327476766241831E-2</v>
      </c>
      <c r="BE64" s="168">
        <f>'Propylene Recycling LC'!X167/('Propylene Recycling LC'!X$145)</f>
        <v>5.0059533797748072E-2</v>
      </c>
      <c r="BF64" s="168">
        <f>'Propylene Recycling LC'!Y167/('Propylene Recycling LC'!Y$145)</f>
        <v>4.8785414723694374E-2</v>
      </c>
      <c r="BG64" s="168">
        <f>'Propylene Recycling LC'!Z167/('Propylene Recycling LC'!Z$145)</f>
        <v>4.7503696870078847E-2</v>
      </c>
      <c r="BH64" s="168">
        <f>'Propylene Recycling LC'!AA167/('Propylene Recycling LC'!AA$145)</f>
        <v>4.6216068557350526E-2</v>
      </c>
      <c r="BI64" s="168">
        <f>'Propylene Recycling LC'!AB167/('Propylene Recycling LC'!AB$145)</f>
        <v>4.4922833755505424E-2</v>
      </c>
      <c r="BJ64" s="168">
        <f>'Propylene Recycling LC'!AC167/('Propylene Recycling LC'!AC$145)</f>
        <v>4.3624295678075957E-2</v>
      </c>
      <c r="BK64" s="168">
        <f>'Propylene Recycling LC'!AD167/('Propylene Recycling LC'!AD$145)</f>
        <v>4.2320756783837232E-2</v>
      </c>
      <c r="BL64" s="168">
        <f>'Propylene Recycling LC'!AE167/('Propylene Recycling LC'!AE$145)</f>
        <v>4.1012518778508734E-2</v>
      </c>
      <c r="BM64" s="168">
        <f>'Propylene Recycling LC'!AF167/('Propylene Recycling LC'!AF$145)</f>
        <v>3.9699882616451389E-2</v>
      </c>
      <c r="BN64" s="168">
        <f>'Propylene Recycling LC'!AG167/('Propylene Recycling LC'!AG$145)</f>
        <v>3.8383148502360034E-2</v>
      </c>
      <c r="BP64" s="168">
        <f>'Propylene Recycling HC'!C157/('Propylene Recycling HC'!C$149)</f>
        <v>6.6295686301535608E-2</v>
      </c>
      <c r="BQ64" s="168">
        <f>'Propylene Recycling HC'!D157/('Propylene Recycling HC'!D$149)</f>
        <v>6.7556704575597093E-2</v>
      </c>
      <c r="BR64" s="168">
        <f>'Propylene Recycling HC'!E157/('Propylene Recycling HC'!E$149)</f>
        <v>6.8809152739036136E-2</v>
      </c>
      <c r="BS64" s="168">
        <f>'Propylene Recycling HC'!F157/('Propylene Recycling HC'!F$149)</f>
        <v>7.0052897788394811E-2</v>
      </c>
      <c r="BT64" s="168">
        <f>'Propylene Recycling HC'!G157/('Propylene Recycling HC'!G$149)</f>
        <v>7.1287747160627926E-2</v>
      </c>
      <c r="BU64" s="168">
        <f>'Propylene Recycling HC'!H157/('Propylene Recycling HC'!H$149)</f>
        <v>7.2513446026020487E-2</v>
      </c>
      <c r="BV64" s="168">
        <f>'Propylene Recycling HC'!I157/('Propylene Recycling HC'!I$149)</f>
        <v>7.3738005950098884E-2</v>
      </c>
      <c r="BW64" s="168">
        <f>'Propylene Recycling HC'!J157/('Propylene Recycling HC'!J$149)</f>
        <v>7.4961362138656257E-2</v>
      </c>
      <c r="BX64" s="168">
        <f>'Propylene Recycling HC'!K157/('Propylene Recycling HC'!K$149)</f>
        <v>7.6183448850533561E-2</v>
      </c>
      <c r="BY64" s="168">
        <f>'Propylene Recycling HC'!L157/('Propylene Recycling HC'!L$149)</f>
        <v>7.7404199235629398E-2</v>
      </c>
      <c r="BZ64" s="168">
        <f>'Propylene Recycling HC'!M157/('Propylene Recycling HC'!M$149)</f>
        <v>7.8623545171597337E-2</v>
      </c>
      <c r="CA64" s="168">
        <f>'Propylene Recycling HC'!N157/('Propylene Recycling HC'!N$149)</f>
        <v>7.9835554034367387E-2</v>
      </c>
      <c r="CB64" s="168">
        <f>'Propylene Recycling HC'!O157/('Propylene Recycling HC'!O$149)</f>
        <v>8.1039898892647538E-2</v>
      </c>
      <c r="CC64" s="168">
        <f>'Propylene Recycling HC'!P157/('Propylene Recycling HC'!P$149)</f>
        <v>8.223620881806934E-2</v>
      </c>
      <c r="CD64" s="168">
        <f>'Propylene Recycling HC'!Q157/('Propylene Recycling HC'!Q$149)</f>
        <v>8.3424065204563969E-2</v>
      </c>
      <c r="CE64" s="168">
        <f>'Propylene Recycling HC'!R157/('Propylene Recycling HC'!R$149)</f>
        <v>8.4602997605407362E-2</v>
      </c>
      <c r="CF64" s="168">
        <f>'Propylene Recycling HC'!S157/('Propylene Recycling HC'!S$149)</f>
        <v>8.5780561510128001E-2</v>
      </c>
      <c r="CG64" s="168">
        <f>'Propylene Recycling HC'!T157/('Propylene Recycling HC'!T$149)</f>
        <v>8.6956719750975048E-2</v>
      </c>
      <c r="CH64" s="168">
        <f>'Propylene Recycling HC'!U157/('Propylene Recycling HC'!U$149)</f>
        <v>8.8131434310107101E-2</v>
      </c>
      <c r="CI64" s="168">
        <f>'Propylene Recycling HC'!V157/('Propylene Recycling HC'!V$149)</f>
        <v>8.9304666293064938E-2</v>
      </c>
      <c r="CJ64" s="168">
        <f>'Propylene Recycling HC'!W157/('Propylene Recycling HC'!W$149)</f>
        <v>9.0476375901477266E-2</v>
      </c>
      <c r="CK64" s="168">
        <f>'Propylene Recycling HC'!X157/('Propylene Recycling HC'!X$149)</f>
        <v>9.164657696401371E-2</v>
      </c>
      <c r="CL64" s="168">
        <f>'Propylene Recycling HC'!Y157/('Propylene Recycling HC'!Y$149)</f>
        <v>9.2815231114114369E-2</v>
      </c>
      <c r="CM64" s="168">
        <f>'Propylene Recycling HC'!Z157/('Propylene Recycling HC'!Z$149)</f>
        <v>9.3982299108009482E-2</v>
      </c>
      <c r="CN64" s="168">
        <f>'Propylene Recycling HC'!AA157/('Propylene Recycling HC'!AA$149)</f>
        <v>9.5147740798970287E-2</v>
      </c>
      <c r="CO64" s="168">
        <f>'Propylene Recycling HC'!AB157/('Propylene Recycling HC'!AB$149)</f>
        <v>9.6311515110827875E-2</v>
      </c>
      <c r="CP64" s="168">
        <f>'Propylene Recycling HC'!AC157/('Propylene Recycling HC'!AC$149)</f>
        <v>9.7473631628049451E-2</v>
      </c>
      <c r="CQ64" s="168">
        <f>'Propylene Recycling HC'!AD157/('Propylene Recycling HC'!AD$149)</f>
        <v>9.8634050417687025E-2</v>
      </c>
      <c r="CR64" s="168">
        <f>'Propylene Recycling HC'!AE157/('Propylene Recycling HC'!AE$149)</f>
        <v>9.9792730638908547E-2</v>
      </c>
      <c r="CS64" s="168">
        <f>'Propylene Recycling HC'!AF157/('Propylene Recycling HC'!AF$149)</f>
        <v>0.10094963051766656</v>
      </c>
      <c r="CT64" s="168">
        <f>'Propylene Recycling HC'!AG157/('Propylene Recycling HC'!AG$149)</f>
        <v>0.10210470732066063</v>
      </c>
      <c r="CV64" s="168">
        <f t="shared" si="371"/>
        <v>6.6295686301535608E-2</v>
      </c>
      <c r="CW64" s="168">
        <f t="shared" si="370"/>
        <v>6.5703911505542154E-2</v>
      </c>
      <c r="CX64" s="168">
        <f t="shared" si="370"/>
        <v>6.5109663491732361E-2</v>
      </c>
      <c r="CY64" s="168">
        <f t="shared" si="370"/>
        <v>6.4513016036189225E-2</v>
      </c>
      <c r="CZ64" s="168">
        <f t="shared" si="370"/>
        <v>6.3914042914995792E-2</v>
      </c>
      <c r="DA64" s="168">
        <f t="shared" si="370"/>
        <v>6.3312817904235055E-2</v>
      </c>
      <c r="DB64" s="168">
        <f t="shared" si="370"/>
        <v>6.2709414779990078E-2</v>
      </c>
      <c r="DC64" s="168">
        <f t="shared" si="370"/>
        <v>6.2103907318343851E-2</v>
      </c>
      <c r="DD64" s="168">
        <f t="shared" si="370"/>
        <v>6.149636929537939E-2</v>
      </c>
      <c r="DE64" s="168">
        <f t="shared" si="370"/>
        <v>6.0886874487179728E-2</v>
      </c>
      <c r="DF64" s="168">
        <f t="shared" si="370"/>
        <v>6.0275496669827885E-2</v>
      </c>
      <c r="DG64" s="168">
        <f t="shared" si="370"/>
        <v>5.9400816204461269E-2</v>
      </c>
      <c r="DH64" s="168">
        <f t="shared" si="370"/>
        <v>5.8521634757453464E-2</v>
      </c>
      <c r="DI64" s="168">
        <f t="shared" si="370"/>
        <v>5.7636625550943336E-2</v>
      </c>
      <c r="DJ64" s="168">
        <f t="shared" si="370"/>
        <v>5.674711141376914E-2</v>
      </c>
      <c r="DK64" s="168">
        <f t="shared" si="370"/>
        <v>5.585325747438577E-2</v>
      </c>
      <c r="DL64" s="168">
        <f t="shared" si="370"/>
        <v>5.495522879462738E-2</v>
      </c>
      <c r="DM64" s="168">
        <f t="shared" si="370"/>
        <v>5.4053190895402448E-2</v>
      </c>
      <c r="DN64" s="168">
        <f t="shared" si="370"/>
        <v>5.3147309620853435E-2</v>
      </c>
      <c r="DO64" s="168">
        <f t="shared" si="370"/>
        <v>5.2237751233653131E-2</v>
      </c>
      <c r="DP64" s="168">
        <f t="shared" si="370"/>
        <v>5.1324682220581806E-2</v>
      </c>
      <c r="DQ64" s="168">
        <f t="shared" si="370"/>
        <v>5.0056153265253582E-2</v>
      </c>
      <c r="DR64" s="168">
        <f t="shared" si="370"/>
        <v>4.8781394533762228E-2</v>
      </c>
      <c r="DS64" s="168">
        <f t="shared" si="370"/>
        <v>4.749769755670262E-2</v>
      </c>
      <c r="DT64" s="168">
        <f t="shared" si="370"/>
        <v>4.6207874988749648E-2</v>
      </c>
      <c r="DU64" s="168">
        <f t="shared" si="370"/>
        <v>4.4912226140302151E-2</v>
      </c>
      <c r="DV64" s="168">
        <f t="shared" si="370"/>
        <v>4.3611045890170987E-2</v>
      </c>
      <c r="DW64" s="168">
        <f t="shared" si="370"/>
        <v>4.2304623236388929E-2</v>
      </c>
      <c r="DX64" s="168">
        <f t="shared" si="370"/>
        <v>4.0993240665541372E-2</v>
      </c>
      <c r="DY64" s="168">
        <f t="shared" si="370"/>
        <v>3.9677175666964819E-2</v>
      </c>
      <c r="DZ64" s="168">
        <f t="shared" si="370"/>
        <v>3.8356705289802437E-2</v>
      </c>
    </row>
    <row r="65" spans="1:165" ht="16" thickBot="1">
      <c r="A65" s="606" t="s">
        <v>454</v>
      </c>
      <c r="C65" s="54" t="s">
        <v>462</v>
      </c>
      <c r="D65" s="168">
        <f>'Propylene Recycling HC'!C182/('Propylene Recycling HC'!C$159)</f>
        <v>4.7354061643954004E-2</v>
      </c>
      <c r="E65" s="168">
        <f>'Propylene Recycling HC'!D182/('Propylene Recycling HC'!D$159)</f>
        <v>4.652717178382889E-2</v>
      </c>
      <c r="F65" s="168">
        <f>'Propylene Recycling HC'!E182/('Propylene Recycling HC'!E$159)</f>
        <v>4.5701975335542905E-2</v>
      </c>
      <c r="G65" s="168">
        <f>'Propylene Recycling HC'!F182/('Propylene Recycling HC'!F$159)</f>
        <v>4.4878619851262062E-2</v>
      </c>
      <c r="H65" s="168">
        <f>'Propylene Recycling HC'!G182/('Propylene Recycling HC'!G$159)</f>
        <v>4.4057252883152438E-2</v>
      </c>
      <c r="I65" s="168">
        <f>'Propylene Recycling HC'!H182/('Propylene Recycling HC'!H$159)</f>
        <v>4.3238021983380039E-2</v>
      </c>
      <c r="J65" s="168">
        <f>'Propylene Recycling HC'!I182/('Propylene Recycling HC'!I$159)</f>
        <v>4.2421074704110946E-2</v>
      </c>
      <c r="K65" s="168">
        <f>'Propylene Recycling HC'!J182/('Propylene Recycling HC'!J$159)</f>
        <v>4.1606558597511147E-2</v>
      </c>
      <c r="L65" s="168">
        <f>'Propylene Recycling HC'!K182/('Propylene Recycling HC'!K$159)</f>
        <v>4.0794621215746722E-2</v>
      </c>
      <c r="M65" s="168">
        <f>'Propylene Recycling HC'!L182/('Propylene Recycling HC'!L$159)</f>
        <v>3.9985410110983707E-2</v>
      </c>
      <c r="N65" s="168">
        <f>'Propylene Recycling HC'!M182/('Propylene Recycling HC'!M$159)</f>
        <v>3.9179072835388122E-2</v>
      </c>
      <c r="O65" s="168">
        <f>'Propylene Recycling HC'!N182/('Propylene Recycling HC'!N$159)</f>
        <v>3.8207560171713777E-2</v>
      </c>
      <c r="P65" s="168">
        <f>'Propylene Recycling HC'!O182/('Propylene Recycling HC'!O$159)</f>
        <v>3.7241040300197661E-2</v>
      </c>
      <c r="Q65" s="168">
        <f>'Propylene Recycling HC'!P182/('Propylene Recycling HC'!P$159)</f>
        <v>3.6279617857211462E-2</v>
      </c>
      <c r="R65" s="168">
        <f>'Propylene Recycling HC'!Q182/('Propylene Recycling HC'!Q$159)</f>
        <v>3.5323714484097074E-2</v>
      </c>
      <c r="S65" s="168">
        <f>'Propylene Recycling HC'!R182/('Propylene Recycling HC'!R$159)</f>
        <v>3.4373651991581725E-2</v>
      </c>
      <c r="T65" s="168">
        <f>'Propylene Recycling HC'!S182/('Propylene Recycling HC'!S$159)</f>
        <v>3.3429751799806146E-2</v>
      </c>
      <c r="U65" s="168">
        <f>'Propylene Recycling HC'!T182/('Propylene Recycling HC'!T$159)</f>
        <v>3.2492334938766021E-2</v>
      </c>
      <c r="V65" s="168">
        <f>'Propylene Recycling HC'!U182/('Propylene Recycling HC'!U$159)</f>
        <v>3.1561722048752933E-2</v>
      </c>
      <c r="W65" s="168">
        <f>'Propylene Recycling HC'!V182/('Propylene Recycling HC'!V$159)</f>
        <v>3.0638233380794643E-2</v>
      </c>
      <c r="X65" s="168">
        <f>'Propylene Recycling HC'!W182/('Propylene Recycling HC'!W$159)</f>
        <v>2.9722188797094793E-2</v>
      </c>
      <c r="Y65" s="168">
        <f>'Propylene Recycling HC'!X182/('Propylene Recycling HC'!X$159)</f>
        <v>2.8612963704505782E-2</v>
      </c>
      <c r="Z65" s="168">
        <f>'Propylene Recycling HC'!Y182/('Propylene Recycling HC'!Y$159)</f>
        <v>2.7515506916442823E-2</v>
      </c>
      <c r="AA65" s="168">
        <f>'Propylene Recycling HC'!Z182/('Propylene Recycling HC'!Z$159)</f>
        <v>2.6429405808311292E-2</v>
      </c>
      <c r="AB65" s="168">
        <f>'Propylene Recycling HC'!AA182/('Propylene Recycling HC'!AA$159)</f>
        <v>2.535600999154625E-2</v>
      </c>
      <c r="AC65" s="168">
        <f>'Propylene Recycling HC'!AB182/('Propylene Recycling HC'!AB$159)</f>
        <v>2.4295875038857388E-2</v>
      </c>
      <c r="AD65" s="168">
        <f>'Propylene Recycling HC'!AC182/('Propylene Recycling HC'!AC$159)</f>
        <v>2.324955485645433E-2</v>
      </c>
      <c r="AE65" s="168">
        <f>'Propylene Recycling HC'!AD182/('Propylene Recycling HC'!AD$159)</f>
        <v>2.2217601688737453E-2</v>
      </c>
      <c r="AF65" s="168">
        <f>'Propylene Recycling HC'!AE182/('Propylene Recycling HC'!AE$159)</f>
        <v>2.1200566122972775E-2</v>
      </c>
      <c r="AG65" s="168">
        <f>'Propylene Recycling HC'!AF182/('Propylene Recycling HC'!AF$159)</f>
        <v>2.019899709395118E-2</v>
      </c>
      <c r="AH65" s="168">
        <f>'Propylene Recycling HC'!AG182/('Propylene Recycling HC'!AG$159)</f>
        <v>1.9213441888631885E-2</v>
      </c>
      <c r="AI65" s="44"/>
      <c r="AJ65" s="168">
        <f>'Propylene Recycling LC'!C168/('Propylene Recycling LC'!C$145)</f>
        <v>4.7354061643954004E-2</v>
      </c>
      <c r="AK65" s="168">
        <f>'Propylene Recycling LC'!D168/('Propylene Recycling LC'!D$145)</f>
        <v>4.652717178382889E-2</v>
      </c>
      <c r="AL65" s="168">
        <f>'Propylene Recycling LC'!E168/('Propylene Recycling LC'!E$145)</f>
        <v>4.5701975335542905E-2</v>
      </c>
      <c r="AM65" s="168">
        <f>'Propylene Recycling LC'!F168/('Propylene Recycling LC'!F$145)</f>
        <v>4.4878619851262062E-2</v>
      </c>
      <c r="AN65" s="168">
        <f>'Propylene Recycling LC'!G168/('Propylene Recycling LC'!G$145)</f>
        <v>4.4057252883152438E-2</v>
      </c>
      <c r="AO65" s="168">
        <f>'Propylene Recycling LC'!H168/('Propylene Recycling LC'!H$145)</f>
        <v>4.3238021983380039E-2</v>
      </c>
      <c r="AP65" s="168">
        <f>'Propylene Recycling LC'!I168/('Propylene Recycling LC'!I$145)</f>
        <v>4.2421074704110946E-2</v>
      </c>
      <c r="AQ65" s="168">
        <f>'Propylene Recycling LC'!J168/('Propylene Recycling LC'!J$145)</f>
        <v>4.1606558597511147E-2</v>
      </c>
      <c r="AR65" s="168">
        <f>'Propylene Recycling LC'!K168/('Propylene Recycling LC'!K$145)</f>
        <v>4.0794621215746722E-2</v>
      </c>
      <c r="AS65" s="168">
        <f>'Propylene Recycling LC'!L168/('Propylene Recycling LC'!L$145)</f>
        <v>3.9985410110983707E-2</v>
      </c>
      <c r="AT65" s="168">
        <f>'Propylene Recycling LC'!M168/('Propylene Recycling LC'!M$145)</f>
        <v>3.9179072835388122E-2</v>
      </c>
      <c r="AU65" s="168">
        <f>'Propylene Recycling LC'!N168/('Propylene Recycling LC'!N$145)</f>
        <v>3.8207560171713777E-2</v>
      </c>
      <c r="AV65" s="168">
        <f>'Propylene Recycling LC'!O168/('Propylene Recycling LC'!O$145)</f>
        <v>3.7241040300197661E-2</v>
      </c>
      <c r="AW65" s="168">
        <f>'Propylene Recycling LC'!P168/('Propylene Recycling LC'!P$145)</f>
        <v>3.6279046026643391E-2</v>
      </c>
      <c r="AX65" s="168">
        <f>'Propylene Recycling LC'!Q168/('Propylene Recycling LC'!Q$145)</f>
        <v>3.5322505505186168E-2</v>
      </c>
      <c r="AY65" s="168">
        <f>'Propylene Recycling LC'!R168/('Propylene Recycling LC'!R$145)</f>
        <v>3.4371742550967983E-2</v>
      </c>
      <c r="AZ65" s="168">
        <f>'Propylene Recycling LC'!S168/('Propylene Recycling LC'!S$145)</f>
        <v>3.3427080733063511E-2</v>
      </c>
      <c r="BA65" s="168">
        <f>'Propylene Recycling LC'!T168/('Propylene Recycling LC'!T$145)</f>
        <v>3.2488843374619207E-2</v>
      </c>
      <c r="BB65" s="168">
        <f>'Propylene Recycling LC'!U168/('Propylene Recycling LC'!U$145)</f>
        <v>3.1557353552992384E-2</v>
      </c>
      <c r="BC65" s="168">
        <f>'Propylene Recycling LC'!V168/('Propylene Recycling LC'!V$145)</f>
        <v>3.0632934099890194E-2</v>
      </c>
      <c r="BD65" s="168">
        <f>'Propylene Recycling LC'!W168/('Propylene Recycling LC'!W$145)</f>
        <v>2.9715907601508426E-2</v>
      </c>
      <c r="BE65" s="168">
        <f>'Propylene Recycling LC'!X168/('Propylene Recycling LC'!X$145)</f>
        <v>2.8605447884427464E-2</v>
      </c>
      <c r="BF65" s="168">
        <f>'Propylene Recycling LC'!Y168/('Propylene Recycling LC'!Y$145)</f>
        <v>2.7506670003785122E-2</v>
      </c>
      <c r="BG65" s="168">
        <f>'Propylene Recycling LC'!Z168/('Propylene Recycling LC'!Z$145)</f>
        <v>2.6419168312771114E-2</v>
      </c>
      <c r="BH65" s="168">
        <f>'Propylene Recycling LC'!AA168/('Propylene Recycling LC'!AA$145)</f>
        <v>2.5344295660482536E-2</v>
      </c>
      <c r="BI65" s="168">
        <f>'Propylene Recycling LC'!AB168/('Propylene Recycling LC'!AB$145)</f>
        <v>2.428261284081373E-2</v>
      </c>
      <c r="BJ65" s="168">
        <f>'Propylene Recycling LC'!AC168/('Propylene Recycling LC'!AC$145)</f>
        <v>2.3234679219844786E-2</v>
      </c>
      <c r="BK65" s="168">
        <f>'Propylene Recycling LC'!AD168/('Propylene Recycling LC'!AD$145)</f>
        <v>2.2201052739062137E-2</v>
      </c>
      <c r="BL65" s="168">
        <f>'Propylene Recycling LC'!AE168/('Propylene Recycling LC'!AE$145)</f>
        <v>2.1182289918570428E-2</v>
      </c>
      <c r="BM65" s="168">
        <f>'Propylene Recycling LC'!AF168/('Propylene Recycling LC'!AF$145)</f>
        <v>2.017894586029571E-2</v>
      </c>
      <c r="BN65" s="168">
        <f>'Propylene Recycling LC'!AG168/('Propylene Recycling LC'!AG$145)</f>
        <v>1.9191574251180017E-2</v>
      </c>
      <c r="BP65" s="168">
        <f>'Propylene Recycling HC'!C158/('Propylene Recycling HC'!C$149)</f>
        <v>4.7354061643954004E-2</v>
      </c>
      <c r="BQ65" s="168">
        <f>'Propylene Recycling HC'!D158/('Propylene Recycling HC'!D$149)</f>
        <v>4.8092284548203364E-2</v>
      </c>
      <c r="BR65" s="168">
        <f>'Propylene Recycling HC'!E158/('Propylene Recycling HC'!E$149)</f>
        <v>4.8824141465566087E-2</v>
      </c>
      <c r="BS65" s="168">
        <f>'Propylene Recycling HC'!F158/('Propylene Recycling HC'!F$149)</f>
        <v>4.9549610630815852E-2</v>
      </c>
      <c r="BT65" s="168">
        <f>'Propylene Recycling HC'!G158/('Propylene Recycling HC'!G$149)</f>
        <v>5.0268624551988085E-2</v>
      </c>
      <c r="BU65" s="168">
        <f>'Propylene Recycling HC'!H158/('Propylene Recycling HC'!H$149)</f>
        <v>5.098106904012796E-2</v>
      </c>
      <c r="BV65" s="168">
        <f>'Propylene Recycling HC'!I158/('Propylene Recycling HC'!I$149)</f>
        <v>5.1692622727904383E-2</v>
      </c>
      <c r="BW65" s="168">
        <f>'Propylene Recycling HC'!J158/('Propylene Recycling HC'!J$149)</f>
        <v>5.2403251469711545E-2</v>
      </c>
      <c r="BX65" s="168">
        <f>'Propylene Recycling HC'!K158/('Propylene Recycling HC'!K$149)</f>
        <v>5.3112920246877825E-2</v>
      </c>
      <c r="BY65" s="168">
        <f>'Propylene Recycling HC'!L158/('Propylene Recycling HC'!L$149)</f>
        <v>5.3821593080302536E-2</v>
      </c>
      <c r="BZ65" s="168">
        <f>'Propylene Recycling HC'!M158/('Propylene Recycling HC'!M$149)</f>
        <v>5.4529232941591725E-2</v>
      </c>
      <c r="CA65" s="168">
        <f>'Propylene Recycling HC'!N158/('Propylene Recycling HC'!N$149)</f>
        <v>5.5231745483664836E-2</v>
      </c>
      <c r="CB65" s="168">
        <f>'Propylene Recycling HC'!O158/('Propylene Recycling HC'!O$149)</f>
        <v>5.5928944306193398E-2</v>
      </c>
      <c r="CC65" s="168">
        <f>'Propylene Recycling HC'!P158/('Propylene Recycling HC'!P$149)</f>
        <v>5.6620612547830358E-2</v>
      </c>
      <c r="CD65" s="168">
        <f>'Propylene Recycling HC'!Q158/('Propylene Recycling HC'!Q$149)</f>
        <v>5.7306500718028786E-2</v>
      </c>
      <c r="CE65" s="168">
        <f>'Propylene Recycling HC'!R158/('Propylene Recycling HC'!R$149)</f>
        <v>5.7986324201459015E-2</v>
      </c>
      <c r="CF65" s="168">
        <f>'Propylene Recycling HC'!S158/('Propylene Recycling HC'!S$149)</f>
        <v>5.8665288004710915E-2</v>
      </c>
      <c r="CG65" s="168">
        <f>'Propylene Recycling HC'!T158/('Propylene Recycling HC'!T$149)</f>
        <v>5.9343369560570784E-2</v>
      </c>
      <c r="CH65" s="168">
        <f>'Propylene Recycling HC'!U158/('Propylene Recycling HC'!U$149)</f>
        <v>6.0020545780159203E-2</v>
      </c>
      <c r="CI65" s="168">
        <f>'Propylene Recycling HC'!V158/('Propylene Recycling HC'!V$149)</f>
        <v>6.0696793036888269E-2</v>
      </c>
      <c r="CJ65" s="168">
        <f>'Propylene Recycling HC'!W158/('Propylene Recycling HC'!W$149)</f>
        <v>6.137208714995316E-2</v>
      </c>
      <c r="CK65" s="168">
        <f>'Propylene Recycling HC'!X158/('Propylene Recycling HC'!X$149)</f>
        <v>6.2046440304829205E-2</v>
      </c>
      <c r="CL65" s="168">
        <f>'Propylene Recycling HC'!Y158/('Propylene Recycling HC'!Y$149)</f>
        <v>6.2719829199728586E-2</v>
      </c>
      <c r="CM65" s="168">
        <f>'Propylene Recycling HC'!Z158/('Propylene Recycling HC'!Z$149)</f>
        <v>6.3392229996861879E-2</v>
      </c>
      <c r="CN65" s="168">
        <f>'Propylene Recycling HC'!AA158/('Propylene Recycling HC'!AA$149)</f>
        <v>6.4063618306876485E-2</v>
      </c>
      <c r="CO65" s="168">
        <f>'Propylene Recycling HC'!AB158/('Propylene Recycling HC'!AB$149)</f>
        <v>6.4733969172851596E-2</v>
      </c>
      <c r="CP65" s="168">
        <f>'Propylene Recycling HC'!AC158/('Propylene Recycling HC'!AC$149)</f>
        <v>6.5403291688250875E-2</v>
      </c>
      <c r="CQ65" s="168">
        <f>'Propylene Recycling HC'!AD158/('Propylene Recycling HC'!AD$149)</f>
        <v>6.6071561604170451E-2</v>
      </c>
      <c r="CR65" s="168">
        <f>'Propylene Recycling HC'!AE158/('Propylene Recycling HC'!AE$149)</f>
        <v>6.6738754118815038E-2</v>
      </c>
      <c r="CS65" s="168">
        <f>'Propylene Recycling HC'!AF158/('Propylene Recycling HC'!AF$149)</f>
        <v>6.7404843862202177E-2</v>
      </c>
      <c r="CT65" s="168">
        <f>'Propylene Recycling HC'!AG158/('Propylene Recycling HC'!AG$149)</f>
        <v>6.8069804880440413E-2</v>
      </c>
      <c r="CV65" s="168">
        <f t="shared" si="371"/>
        <v>4.7354061643954004E-2</v>
      </c>
      <c r="CW65" s="168">
        <f t="shared" si="370"/>
        <v>4.652717178382889E-2</v>
      </c>
      <c r="CX65" s="168">
        <f t="shared" si="370"/>
        <v>4.5701975335542898E-2</v>
      </c>
      <c r="CY65" s="168">
        <f t="shared" si="370"/>
        <v>4.4878619851262062E-2</v>
      </c>
      <c r="CZ65" s="168">
        <f t="shared" si="370"/>
        <v>4.4057252883152438E-2</v>
      </c>
      <c r="DA65" s="168">
        <f t="shared" si="370"/>
        <v>4.3238021983380039E-2</v>
      </c>
      <c r="DB65" s="168">
        <f t="shared" si="370"/>
        <v>4.2421074704110946E-2</v>
      </c>
      <c r="DC65" s="168">
        <f t="shared" si="370"/>
        <v>4.1606558597511153E-2</v>
      </c>
      <c r="DD65" s="168">
        <f t="shared" si="370"/>
        <v>4.0794621215746722E-2</v>
      </c>
      <c r="DE65" s="168">
        <f t="shared" si="370"/>
        <v>3.9985410110983707E-2</v>
      </c>
      <c r="DF65" s="168">
        <f t="shared" si="370"/>
        <v>3.9179072835388122E-2</v>
      </c>
      <c r="DG65" s="168">
        <f t="shared" si="370"/>
        <v>3.8207560171713777E-2</v>
      </c>
      <c r="DH65" s="168">
        <f t="shared" si="370"/>
        <v>3.7241040300197661E-2</v>
      </c>
      <c r="DI65" s="168">
        <f t="shared" si="370"/>
        <v>3.6278891209730824E-2</v>
      </c>
      <c r="DJ65" s="168">
        <f t="shared" si="370"/>
        <v>3.5322181594284872E-2</v>
      </c>
      <c r="DK65" s="168">
        <f t="shared" si="370"/>
        <v>3.4371235368852782E-2</v>
      </c>
      <c r="DL65" s="168">
        <f t="shared" si="370"/>
        <v>3.3426376277144496E-2</v>
      </c>
      <c r="DM65" s="168">
        <f t="shared" si="370"/>
        <v>3.2487928206563134E-2</v>
      </c>
      <c r="DN65" s="168">
        <f t="shared" si="370"/>
        <v>3.1556215087381725E-2</v>
      </c>
      <c r="DO65" s="168">
        <f t="shared" si="370"/>
        <v>3.0631560932822779E-2</v>
      </c>
      <c r="DP65" s="168">
        <f t="shared" si="370"/>
        <v>2.9714289706652623E-2</v>
      </c>
      <c r="DQ65" s="168">
        <f t="shared" si="370"/>
        <v>2.8603516151573468E-2</v>
      </c>
      <c r="DR65" s="168">
        <f t="shared" si="370"/>
        <v>2.7504403300951035E-2</v>
      </c>
      <c r="DS65" s="168">
        <f t="shared" si="370"/>
        <v>2.6415831796241018E-2</v>
      </c>
      <c r="DT65" s="168">
        <f t="shared" si="370"/>
        <v>2.5339802413185283E-2</v>
      </c>
      <c r="DU65" s="168">
        <f t="shared" si="370"/>
        <v>2.4276878994757906E-2</v>
      </c>
      <c r="DV65" s="168">
        <f t="shared" si="370"/>
        <v>2.3227622267591053E-2</v>
      </c>
      <c r="DW65" s="168">
        <f t="shared" si="370"/>
        <v>2.2192589238761388E-2</v>
      </c>
      <c r="DX65" s="168">
        <f t="shared" si="370"/>
        <v>2.1172333090993877E-2</v>
      </c>
      <c r="DY65" s="168">
        <f t="shared" si="370"/>
        <v>2.0167404206413032E-2</v>
      </c>
      <c r="DZ65" s="168">
        <f t="shared" si="370"/>
        <v>1.9178352644901218E-2</v>
      </c>
    </row>
    <row r="66" spans="1:165" s="624" customFormat="1" ht="16" thickBot="1">
      <c r="A66" s="623" t="s">
        <v>463</v>
      </c>
      <c r="C66" s="625" t="s">
        <v>413</v>
      </c>
      <c r="D66" s="627">
        <f>SUMPRODUCT(D47:D55,D57:D65)</f>
        <v>0.98265006202422689</v>
      </c>
      <c r="E66" s="627">
        <f t="shared" ref="E66" si="372">SUMPRODUCT(E47:E55,E57:E65)</f>
        <v>0.98388444235873795</v>
      </c>
      <c r="F66" s="627">
        <f t="shared" ref="F66" si="373">SUMPRODUCT(F47:F55,F57:F65)</f>
        <v>0.98536428874208137</v>
      </c>
      <c r="G66" s="627">
        <f t="shared" ref="G66" si="374">SUMPRODUCT(G47:G55,G57:G65)</f>
        <v>0.98706932803077085</v>
      </c>
      <c r="H66" s="627">
        <f t="shared" ref="H66" si="375">SUMPRODUCT(H47:H55,H57:H65)</f>
        <v>0.98896930621450729</v>
      </c>
      <c r="I66" s="627">
        <f t="shared" ref="I66" si="376">SUMPRODUCT(I47:I55,I57:I65)</f>
        <v>0.991014615785207</v>
      </c>
      <c r="J66" s="627">
        <f t="shared" ref="J66" si="377">SUMPRODUCT(J47:J55,J57:J65)</f>
        <v>0.99311869567513689</v>
      </c>
      <c r="K66" s="627">
        <f t="shared" ref="K66" si="378">SUMPRODUCT(K47:K55,K57:K65)</f>
        <v>0.99512626085321687</v>
      </c>
      <c r="L66" s="627">
        <f t="shared" ref="L66" si="379">SUMPRODUCT(L47:L55,L57:L65)</f>
        <v>0.99675919522751499</v>
      </c>
      <c r="M66" s="627">
        <f t="shared" ref="M66" si="380">SUMPRODUCT(M47:M55,M57:M65)</f>
        <v>0.99753226525140715</v>
      </c>
      <c r="N66" s="627">
        <f t="shared" ref="N66" si="381">SUMPRODUCT(N47:N55,N57:N65)</f>
        <v>0.99664266278086533</v>
      </c>
      <c r="O66" s="627">
        <f t="shared" ref="O66" si="382">SUMPRODUCT(O47:O55,O57:O65)</f>
        <v>0.98980149238730841</v>
      </c>
      <c r="P66" s="627">
        <f t="shared" ref="P66" si="383">SUMPRODUCT(P47:P55,P57:P65)</f>
        <v>0.97816252113705715</v>
      </c>
      <c r="Q66" s="627">
        <f t="shared" ref="Q66" si="384">SUMPRODUCT(Q47:Q55,Q57:Q65)</f>
        <v>0.95978945379467673</v>
      </c>
      <c r="R66" s="627">
        <f t="shared" ref="R66" si="385">SUMPRODUCT(R47:R55,R57:R65)</f>
        <v>0.93299787256752231</v>
      </c>
      <c r="S66" s="627">
        <f t="shared" ref="S66" si="386">SUMPRODUCT(S47:S55,S57:S65)</f>
        <v>0.89707295212113314</v>
      </c>
      <c r="T66" s="627">
        <f t="shared" ref="T66" si="387">SUMPRODUCT(T47:T55,T57:T65)</f>
        <v>0.85285427033643679</v>
      </c>
      <c r="U66" s="627">
        <f t="shared" ref="U66" si="388">SUMPRODUCT(U47:U55,U57:U65)</f>
        <v>0.80275314939902576</v>
      </c>
      <c r="V66" s="627">
        <f t="shared" ref="V66" si="389">SUMPRODUCT(V47:V55,V57:V65)</f>
        <v>0.75007149843605903</v>
      </c>
      <c r="W66" s="627">
        <f t="shared" ref="W66" si="390">SUMPRODUCT(W47:W55,W57:W65)</f>
        <v>0.69802319909022714</v>
      </c>
      <c r="X66" s="627">
        <f t="shared" ref="X66" si="391">SUMPRODUCT(X47:X55,X57:X65)</f>
        <v>0.64898567774102589</v>
      </c>
      <c r="Y66" s="627">
        <f t="shared" ref="Y66" si="392">SUMPRODUCT(Y47:Y55,Y57:Y65)</f>
        <v>0.60067933992750855</v>
      </c>
      <c r="Z66" s="627">
        <f t="shared" ref="Z66" si="393">SUMPRODUCT(Z47:Z55,Z57:Z65)</f>
        <v>0.55719919026356712</v>
      </c>
      <c r="AA66" s="627">
        <f t="shared" ref="AA66" si="394">SUMPRODUCT(AA47:AA55,AA57:AA65)</f>
        <v>0.5182010250853597</v>
      </c>
      <c r="AB66" s="627">
        <f t="shared" ref="AB66" si="395">SUMPRODUCT(AB47:AB55,AB57:AB65)</f>
        <v>0.48305615331130647</v>
      </c>
      <c r="AC66" s="627">
        <f t="shared" ref="AC66" si="396">SUMPRODUCT(AC47:AC55,AC57:AC65)</f>
        <v>0.45102775875632889</v>
      </c>
      <c r="AD66" s="627">
        <f t="shared" ref="AD66" si="397">SUMPRODUCT(AD47:AD55,AD57:AD65)</f>
        <v>0.42140664921766691</v>
      </c>
      <c r="AE66" s="627">
        <f t="shared" ref="AE66" si="398">SUMPRODUCT(AE47:AE55,AE57:AE65)</f>
        <v>0.3935611715079303</v>
      </c>
      <c r="AF66" s="627">
        <f t="shared" ref="AF66" si="399">SUMPRODUCT(AF47:AF55,AF57:AF65)</f>
        <v>0.36694963212042214</v>
      </c>
      <c r="AG66" s="627">
        <f t="shared" ref="AG66" si="400">SUMPRODUCT(AG47:AG55,AG57:AG65)</f>
        <v>0.34116619076587679</v>
      </c>
      <c r="AH66" s="627">
        <f t="shared" ref="AH66" si="401">SUMPRODUCT(AH47:AH55,AH57:AH65)</f>
        <v>0.31560818599296547</v>
      </c>
      <c r="AI66" s="626"/>
      <c r="AJ66" s="627">
        <f>SUMPRODUCT(AJ47:AJ55,AJ57:AJ65)</f>
        <v>0.9826494956942956</v>
      </c>
      <c r="AK66" s="627">
        <f t="shared" ref="AK66" si="402">SUMPRODUCT(AK47:AK55,AK57:AK65)</f>
        <v>0.98388331252028127</v>
      </c>
      <c r="AL66" s="627">
        <f t="shared" ref="AL66" si="403">SUMPRODUCT(AL47:AL55,AL57:AL65)</f>
        <v>0.98536205240706942</v>
      </c>
      <c r="AM66" s="627">
        <f t="shared" ref="AM66" si="404">SUMPRODUCT(AM47:AM55,AM57:AM65)</f>
        <v>0.98706493938495821</v>
      </c>
      <c r="AN66" s="627">
        <f t="shared" ref="AN66" si="405">SUMPRODUCT(AN47:AN55,AN57:AN65)</f>
        <v>0.98896077636231738</v>
      </c>
      <c r="AO66" s="627">
        <f t="shared" ref="AO66" si="406">SUMPRODUCT(AO47:AO55,AO57:AO65)</f>
        <v>0.99099822057971221</v>
      </c>
      <c r="AP66" s="627">
        <f t="shared" ref="AP66" si="407">SUMPRODUCT(AP47:AP55,AP57:AP65)</f>
        <v>0.99308759599323304</v>
      </c>
      <c r="AQ66" s="627">
        <f t="shared" ref="AQ66" si="408">SUMPRODUCT(AQ47:AQ55,AQ57:AQ65)</f>
        <v>0.99506820368466431</v>
      </c>
      <c r="AR66" s="627">
        <f t="shared" ref="AR66" si="409">SUMPRODUCT(AR47:AR55,AR57:AR65)</f>
        <v>0.99665291163794567</v>
      </c>
      <c r="AS66" s="627">
        <f t="shared" ref="AS66" si="410">SUMPRODUCT(AS47:AS55,AS57:AS65)</f>
        <v>0.99734229789485296</v>
      </c>
      <c r="AT66" s="627">
        <f t="shared" ref="AT66" si="411">SUMPRODUCT(AT47:AT55,AT57:AT65)</f>
        <v>0.99631140450641809</v>
      </c>
      <c r="AU66" s="627">
        <f t="shared" ref="AU66" si="412">SUMPRODUCT(AU47:AU55,AU57:AU65)</f>
        <v>0.98926127766340888</v>
      </c>
      <c r="AV66" s="627">
        <f t="shared" ref="AV66" si="413">SUMPRODUCT(AV47:AV55,AV57:AV65)</f>
        <v>0.97731142704295015</v>
      </c>
      <c r="AW66" s="627">
        <f t="shared" ref="AW66" si="414">SUMPRODUCT(AW47:AW55,AW57:AW65)</f>
        <v>0.9584934081331552</v>
      </c>
      <c r="AX66" s="627">
        <f t="shared" ref="AX66" si="415">SUMPRODUCT(AX47:AX55,AX57:AX65)</f>
        <v>0.93111812301927666</v>
      </c>
      <c r="AY66" s="627">
        <f t="shared" ref="AY66" si="416">SUMPRODUCT(AY47:AY55,AY57:AY65)</f>
        <v>0.89447167171380104</v>
      </c>
      <c r="AZ66" s="627">
        <f t="shared" ref="AZ66" si="417">SUMPRODUCT(AZ47:AZ55,AZ57:AZ65)</f>
        <v>0.84942019777207278</v>
      </c>
      <c r="BA66" s="627">
        <f t="shared" ref="BA66" si="418">SUMPRODUCT(BA47:BA55,BA57:BA65)</f>
        <v>0.79843056416870872</v>
      </c>
      <c r="BB66" s="627">
        <f t="shared" ref="BB66" si="419">SUMPRODUCT(BB47:BB55,BB57:BB65)</f>
        <v>0.74488996869189061</v>
      </c>
      <c r="BC66" s="627">
        <f t="shared" ref="BC66" si="420">SUMPRODUCT(BC47:BC55,BC57:BC65)</f>
        <v>0.69210994410151383</v>
      </c>
      <c r="BD66" s="627">
        <f t="shared" ref="BD66" si="421">SUMPRODUCT(BD47:BD55,BD57:BD65)</f>
        <v>0.64255188377084405</v>
      </c>
      <c r="BE66" s="627">
        <f t="shared" ref="BE66" si="422">SUMPRODUCT(BE47:BE55,BE57:BE65)</f>
        <v>0.59420573604012172</v>
      </c>
      <c r="BF66" s="627">
        <f t="shared" ref="BF66" si="423">SUMPRODUCT(BF47:BF55,BF57:BF65)</f>
        <v>0.55096130010642219</v>
      </c>
      <c r="BG66" s="627">
        <f t="shared" ref="BG66" si="424">SUMPRODUCT(BG47:BG55,BG57:BG65)</f>
        <v>0.51242959331763993</v>
      </c>
      <c r="BH66" s="627">
        <f t="shared" ref="BH66" si="425">SUMPRODUCT(BH47:BH55,BH57:BH65)</f>
        <v>0.47792156312029344</v>
      </c>
      <c r="BI66" s="627">
        <f t="shared" ref="BI66" si="426">SUMPRODUCT(BI47:BI55,BI57:BI65)</f>
        <v>0.44664241372196356</v>
      </c>
      <c r="BJ66" s="627">
        <f t="shared" ref="BJ66" si="427">SUMPRODUCT(BJ47:BJ55,BJ57:BJ65)</f>
        <v>0.41783737890480815</v>
      </c>
      <c r="BK66" s="627">
        <f t="shared" ref="BK66" si="428">SUMPRODUCT(BK47:BK55,BK57:BK65)</f>
        <v>0.3908485091520984</v>
      </c>
      <c r="BL66" s="627">
        <f t="shared" ref="BL66" si="429">SUMPRODUCT(BL47:BL55,BL57:BL65)</f>
        <v>0.3651285645536132</v>
      </c>
      <c r="BM66" s="627">
        <f t="shared" ref="BM66" si="430">SUMPRODUCT(BM47:BM55,BM57:BM65)</f>
        <v>0.34026416643699881</v>
      </c>
      <c r="BN66" s="627">
        <f t="shared" ref="BN66" si="431">SUMPRODUCT(BN47:BN55,BN57:BN65)</f>
        <v>0.31577168133522315</v>
      </c>
      <c r="BP66" s="627">
        <f>SUMPRODUCT(BP47:BP55,BP57:BP65)</f>
        <v>0.98265836376166216</v>
      </c>
      <c r="BQ66" s="627">
        <f t="shared" ref="BQ66" si="432">SUMPRODUCT(BQ47:BQ55,BQ57:BQ65)</f>
        <v>0.99446246014899087</v>
      </c>
      <c r="BR66" s="627">
        <f t="shared" ref="BR66" si="433">SUMPRODUCT(BR47:BR55,BR57:BR65)</f>
        <v>1.0062049518102754</v>
      </c>
      <c r="BS66" s="627">
        <f t="shared" ref="BS66" si="434">SUMPRODUCT(BS47:BS55,BS57:BS65)</f>
        <v>1.0178838194457653</v>
      </c>
      <c r="BT66" s="627">
        <f t="shared" ref="BT66" si="435">SUMPRODUCT(BT47:BT55,BT57:BT65)</f>
        <v>1.0294966361205569</v>
      </c>
      <c r="BU66" s="627">
        <f t="shared" ref="BU66" si="436">SUMPRODUCT(BU47:BU55,BU57:BU65)</f>
        <v>1.0410405334422612</v>
      </c>
      <c r="BV66" s="627">
        <f t="shared" ref="BV66" si="437">SUMPRODUCT(BV47:BV55,BV57:BV65)</f>
        <v>1.0525768617666698</v>
      </c>
      <c r="BW66" s="627">
        <f t="shared" ref="BW66" si="438">SUMPRODUCT(BW47:BW55,BW57:BW65)</f>
        <v>1.0641049623127548</v>
      </c>
      <c r="BX66" s="627">
        <f t="shared" ref="BX66" si="439">SUMPRODUCT(BX47:BX55,BX57:BX65)</f>
        <v>1.0756241718341921</v>
      </c>
      <c r="BY66" s="627">
        <f t="shared" ref="BY66" si="440">SUMPRODUCT(BY47:BY55,BY57:BY65)</f>
        <v>1.0871338209999268</v>
      </c>
      <c r="BZ66" s="627">
        <f t="shared" ref="BZ66" si="441">SUMPRODUCT(BZ47:BZ55,BZ57:BZ65)</f>
        <v>1.0986332327725536</v>
      </c>
      <c r="CA66" s="627">
        <f t="shared" ref="CA66" si="442">SUMPRODUCT(CA47:CA55,CA57:CA65)</f>
        <v>1.1100754485020263</v>
      </c>
      <c r="CB66" s="627">
        <f t="shared" ref="CB66" si="443">SUMPRODUCT(CB47:CB55,CB57:CB65)</f>
        <v>1.1214573389705509</v>
      </c>
      <c r="CC66" s="627">
        <f t="shared" ref="CC66" si="444">SUMPRODUCT(CC47:CC55,CC57:CC65)</f>
        <v>1.1327754280456883</v>
      </c>
      <c r="CD66" s="627">
        <f t="shared" ref="CD66" si="445">SUMPRODUCT(CD47:CD55,CD57:CD65)</f>
        <v>1.1440258584129204</v>
      </c>
      <c r="CE66" s="627">
        <f t="shared" ref="CE66" si="446">SUMPRODUCT(CE47:CE55,CE57:CE65)</f>
        <v>1.1552043534148417</v>
      </c>
      <c r="CF66" s="627">
        <f t="shared" ref="CF66" si="447">SUMPRODUCT(CF47:CF55,CF57:CF65)</f>
        <v>1.1663708462145934</v>
      </c>
      <c r="CG66" s="627">
        <f t="shared" ref="CG66" si="448">SUMPRODUCT(CG47:CG55,CG57:CG65)</f>
        <v>1.1775250000534667</v>
      </c>
      <c r="CH66" s="627">
        <f t="shared" ref="CH66" si="449">SUMPRODUCT(CH47:CH55,CH57:CH65)</f>
        <v>1.1886664705466163</v>
      </c>
      <c r="CI66" s="627">
        <f t="shared" ref="CI66" si="450">SUMPRODUCT(CI47:CI55,CI57:CI65)</f>
        <v>1.1997949054418275</v>
      </c>
      <c r="CJ66" s="627">
        <f t="shared" ref="CJ66" si="451">SUMPRODUCT(CJ47:CJ55,CJ57:CJ65)</f>
        <v>1.2109099443713376</v>
      </c>
      <c r="CK66" s="627">
        <f t="shared" ref="CK66" si="452">SUMPRODUCT(CK47:CK55,CK57:CK65)</f>
        <v>1.2220116603308468</v>
      </c>
      <c r="CL66" s="627">
        <f t="shared" ref="CL66" si="453">SUMPRODUCT(CL47:CL55,CL57:CL65)</f>
        <v>1.2330997057921804</v>
      </c>
      <c r="CM66" s="627">
        <f t="shared" ref="CM66" si="454">SUMPRODUCT(CM47:CM55,CM57:CM65)</f>
        <v>1.2441737253259075</v>
      </c>
      <c r="CN66" s="627">
        <f t="shared" ref="CN66" si="455">SUMPRODUCT(CN47:CN55,CN57:CN65)</f>
        <v>1.2552333553670438</v>
      </c>
      <c r="CO66" s="627">
        <f t="shared" ref="CO66" si="456">SUMPRODUCT(CO47:CO55,CO57:CO65)</f>
        <v>1.2662782239741013</v>
      </c>
      <c r="CP66" s="627">
        <f t="shared" ref="CP66" si="457">SUMPRODUCT(CP47:CP55,CP57:CP65)</f>
        <v>1.277308372797155</v>
      </c>
      <c r="CQ66" s="627">
        <f t="shared" ref="CQ66" si="458">SUMPRODUCT(CQ47:CQ55,CQ57:CQ65)</f>
        <v>1.2883234400612265</v>
      </c>
      <c r="CR66" s="627">
        <f t="shared" ref="CR66" si="459">SUMPRODUCT(CR47:CR55,CR57:CR65)</f>
        <v>1.2993230557882174</v>
      </c>
      <c r="CS66" s="627">
        <f t="shared" ref="CS66" si="460">SUMPRODUCT(CS47:CS55,CS57:CS65)</f>
        <v>1.3103068415662225</v>
      </c>
      <c r="CT66" s="627">
        <f t="shared" ref="CT66" si="461">SUMPRODUCT(CT47:CT55,CT57:CT65)</f>
        <v>1.3212744103124132</v>
      </c>
      <c r="CV66" s="627">
        <f>SUMPRODUCT(CV47:CV55,CV57:CV65)</f>
        <v>0.9826494956942956</v>
      </c>
      <c r="CW66" s="627">
        <f t="shared" ref="CW66:DZ66" si="462">SUMPRODUCT(CW47:CW55,CW57:CW65)</f>
        <v>0.98388331252028127</v>
      </c>
      <c r="CX66" s="627">
        <f t="shared" si="462"/>
        <v>0.98536205240706942</v>
      </c>
      <c r="CY66" s="627">
        <f t="shared" si="462"/>
        <v>0.98706493938495821</v>
      </c>
      <c r="CZ66" s="627">
        <f t="shared" si="462"/>
        <v>0.98896077636231738</v>
      </c>
      <c r="DA66" s="627">
        <f t="shared" si="462"/>
        <v>0.99099822057971221</v>
      </c>
      <c r="DB66" s="627">
        <f t="shared" si="462"/>
        <v>0.99308759599323304</v>
      </c>
      <c r="DC66" s="627">
        <f t="shared" si="462"/>
        <v>0.99506820368466431</v>
      </c>
      <c r="DD66" s="627">
        <f t="shared" si="462"/>
        <v>0.99665291163794545</v>
      </c>
      <c r="DE66" s="627">
        <f t="shared" si="462"/>
        <v>0.99734229789485285</v>
      </c>
      <c r="DF66" s="627">
        <f t="shared" si="462"/>
        <v>0.99631140450641809</v>
      </c>
      <c r="DG66" s="627">
        <f t="shared" si="462"/>
        <v>0.98926127766340888</v>
      </c>
      <c r="DH66" s="627">
        <f t="shared" si="462"/>
        <v>0.97731142704295015</v>
      </c>
      <c r="DI66" s="627">
        <f t="shared" si="462"/>
        <v>0.95849347009583952</v>
      </c>
      <c r="DJ66" s="627">
        <f t="shared" si="462"/>
        <v>0.93111823127795179</v>
      </c>
      <c r="DK66" s="627">
        <f t="shared" si="462"/>
        <v>0.89447193739511965</v>
      </c>
      <c r="DL66" s="627">
        <f t="shared" si="462"/>
        <v>0.84942082772421224</v>
      </c>
      <c r="DM66" s="627">
        <f t="shared" si="462"/>
        <v>0.79843176875125521</v>
      </c>
      <c r="DN66" s="627">
        <f t="shared" si="462"/>
        <v>0.74489182944452181</v>
      </c>
      <c r="DO66" s="627">
        <f t="shared" si="462"/>
        <v>0.69211230117143363</v>
      </c>
      <c r="DP66" s="627">
        <f t="shared" si="462"/>
        <v>0.64255427764849082</v>
      </c>
      <c r="DQ66" s="627">
        <f t="shared" si="462"/>
        <v>0.59420674885999369</v>
      </c>
      <c r="DR66" s="627">
        <f t="shared" si="462"/>
        <v>0.55095968347115576</v>
      </c>
      <c r="DS66" s="627">
        <f t="shared" si="462"/>
        <v>0.51242230110619791</v>
      </c>
      <c r="DT66" s="627">
        <f t="shared" si="462"/>
        <v>0.47790426264166058</v>
      </c>
      <c r="DU66" s="627">
        <f t="shared" si="462"/>
        <v>0.44660989804702345</v>
      </c>
      <c r="DV66" s="627">
        <f t="shared" si="462"/>
        <v>0.41778360147559018</v>
      </c>
      <c r="DW66" s="627">
        <f t="shared" si="462"/>
        <v>0.39076656071912452</v>
      </c>
      <c r="DX66" s="627">
        <f t="shared" si="462"/>
        <v>0.36501059858727891</v>
      </c>
      <c r="DY66" s="627">
        <f t="shared" si="462"/>
        <v>0.34010153714401098</v>
      </c>
      <c r="DZ66" s="627">
        <f t="shared" si="462"/>
        <v>0.3155541374907232</v>
      </c>
      <c r="EK66" s="627"/>
      <c r="EL66" s="627"/>
      <c r="EM66" s="627"/>
      <c r="EN66" s="627"/>
      <c r="EO66" s="627"/>
      <c r="EP66" s="627"/>
      <c r="EQ66" s="627"/>
      <c r="ER66" s="627"/>
      <c r="ES66" s="627"/>
      <c r="ET66" s="627"/>
      <c r="EU66" s="627"/>
      <c r="EV66" s="627"/>
      <c r="EW66" s="627"/>
      <c r="EX66" s="627"/>
      <c r="EY66" s="627"/>
      <c r="EZ66" s="627"/>
      <c r="FA66" s="627"/>
      <c r="FB66" s="627"/>
      <c r="FC66" s="627"/>
      <c r="FD66" s="627"/>
      <c r="FE66" s="627"/>
      <c r="FF66" s="627"/>
      <c r="FG66" s="627"/>
      <c r="FH66" s="627"/>
      <c r="FI66" s="627"/>
    </row>
    <row r="67" spans="1:165">
      <c r="A67" s="112"/>
      <c r="C67" s="5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row>
    <row r="68" spans="1:165" s="69" customFormat="1" ht="16" thickBot="1">
      <c r="A68" s="621" t="s">
        <v>6</v>
      </c>
      <c r="C68" s="70"/>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P68" s="71"/>
      <c r="BQ68" s="71"/>
      <c r="BR68" s="71"/>
      <c r="BS68" s="71"/>
      <c r="BT68" s="71"/>
      <c r="BU68" s="71"/>
      <c r="BV68" s="71"/>
      <c r="BW68" s="71"/>
      <c r="BX68" s="71"/>
      <c r="BY68" s="71"/>
      <c r="BZ68" s="71"/>
      <c r="CA68" s="71"/>
      <c r="CB68" s="71"/>
      <c r="CC68" s="71"/>
      <c r="CD68" s="71"/>
      <c r="CE68" s="71"/>
      <c r="CF68" s="71"/>
      <c r="CG68" s="71"/>
      <c r="CH68" s="71"/>
      <c r="CI68" s="71"/>
      <c r="CJ68" s="71"/>
      <c r="CK68" s="71"/>
      <c r="CL68" s="71"/>
      <c r="CM68" s="71"/>
      <c r="CN68" s="71"/>
      <c r="CO68" s="71"/>
      <c r="CP68" s="71"/>
      <c r="CQ68" s="71"/>
      <c r="CR68" s="71"/>
      <c r="CS68" s="71"/>
      <c r="CT68" s="71"/>
      <c r="CV68" s="71"/>
      <c r="CW68" s="71"/>
      <c r="CX68" s="71"/>
      <c r="CY68" s="71"/>
      <c r="CZ68" s="71"/>
      <c r="DA68" s="71"/>
      <c r="DB68" s="71"/>
      <c r="DC68" s="71"/>
      <c r="DD68" s="71"/>
      <c r="DE68" s="71"/>
      <c r="DF68" s="71"/>
      <c r="DG68" s="71"/>
      <c r="DH68" s="71"/>
      <c r="DI68" s="71"/>
      <c r="DJ68" s="71"/>
      <c r="DK68" s="71"/>
      <c r="DL68" s="71"/>
      <c r="DM68" s="71"/>
      <c r="DN68" s="71"/>
      <c r="DO68" s="71"/>
      <c r="DP68" s="71"/>
      <c r="DQ68" s="71"/>
      <c r="DR68" s="71"/>
      <c r="DS68" s="71"/>
      <c r="DT68" s="71"/>
      <c r="DU68" s="71"/>
      <c r="DV68" s="71"/>
      <c r="DW68" s="71"/>
      <c r="DX68" s="71"/>
      <c r="DY68" s="71"/>
      <c r="DZ68" s="71"/>
      <c r="EK68" s="622"/>
      <c r="EL68" s="622"/>
      <c r="EM68" s="622"/>
      <c r="EN68" s="622"/>
      <c r="EO68" s="622"/>
      <c r="EP68" s="622"/>
      <c r="EQ68" s="622"/>
      <c r="ER68" s="622"/>
      <c r="ES68" s="622"/>
      <c r="ET68" s="622"/>
      <c r="EU68" s="622"/>
      <c r="EV68" s="622"/>
      <c r="EW68" s="622"/>
      <c r="EX68" s="622"/>
      <c r="EY68" s="622"/>
      <c r="EZ68" s="622"/>
      <c r="FA68" s="622"/>
      <c r="FB68" s="622"/>
      <c r="FC68" s="622"/>
      <c r="FD68" s="622"/>
      <c r="FE68" s="622"/>
      <c r="FF68" s="622"/>
      <c r="FG68" s="622"/>
      <c r="FH68" s="622"/>
      <c r="FI68" s="622"/>
    </row>
    <row r="69" spans="1:165" s="624" customFormat="1" ht="16" thickBot="1">
      <c r="A69" s="623" t="s">
        <v>108</v>
      </c>
      <c r="C69" s="625"/>
      <c r="D69" s="628">
        <v>2020</v>
      </c>
      <c r="E69" s="628">
        <v>2021</v>
      </c>
      <c r="F69" s="628">
        <v>2022</v>
      </c>
      <c r="G69" s="628">
        <v>2023</v>
      </c>
      <c r="H69" s="628">
        <v>2024</v>
      </c>
      <c r="I69" s="628">
        <v>2025</v>
      </c>
      <c r="J69" s="628">
        <v>2026</v>
      </c>
      <c r="K69" s="628">
        <v>2027</v>
      </c>
      <c r="L69" s="628">
        <v>2028</v>
      </c>
      <c r="M69" s="628">
        <v>2029</v>
      </c>
      <c r="N69" s="628">
        <v>2030</v>
      </c>
      <c r="O69" s="628">
        <v>2031</v>
      </c>
      <c r="P69" s="628">
        <v>2032</v>
      </c>
      <c r="Q69" s="628">
        <v>2033</v>
      </c>
      <c r="R69" s="628">
        <v>2034</v>
      </c>
      <c r="S69" s="628">
        <v>2035</v>
      </c>
      <c r="T69" s="628">
        <v>2036</v>
      </c>
      <c r="U69" s="628">
        <v>2037</v>
      </c>
      <c r="V69" s="628">
        <v>2038</v>
      </c>
      <c r="W69" s="628">
        <v>2039</v>
      </c>
      <c r="X69" s="628">
        <v>2040</v>
      </c>
      <c r="Y69" s="628">
        <v>2041</v>
      </c>
      <c r="Z69" s="628">
        <v>2042</v>
      </c>
      <c r="AA69" s="628">
        <v>2043</v>
      </c>
      <c r="AB69" s="628">
        <v>2044</v>
      </c>
      <c r="AC69" s="628">
        <v>2045</v>
      </c>
      <c r="AD69" s="628">
        <v>2046</v>
      </c>
      <c r="AE69" s="628">
        <v>2047</v>
      </c>
      <c r="AF69" s="628">
        <v>2048</v>
      </c>
      <c r="AG69" s="628">
        <v>2049</v>
      </c>
      <c r="AH69" s="628">
        <v>2050</v>
      </c>
      <c r="AI69" s="626"/>
      <c r="AJ69" s="628">
        <v>2020</v>
      </c>
      <c r="AK69" s="628">
        <v>2021</v>
      </c>
      <c r="AL69" s="628">
        <v>2022</v>
      </c>
      <c r="AM69" s="628">
        <v>2023</v>
      </c>
      <c r="AN69" s="628">
        <v>2024</v>
      </c>
      <c r="AO69" s="628">
        <v>2025</v>
      </c>
      <c r="AP69" s="628">
        <v>2026</v>
      </c>
      <c r="AQ69" s="628">
        <v>2027</v>
      </c>
      <c r="AR69" s="628">
        <v>2028</v>
      </c>
      <c r="AS69" s="628">
        <v>2029</v>
      </c>
      <c r="AT69" s="628">
        <v>2030</v>
      </c>
      <c r="AU69" s="628">
        <v>2031</v>
      </c>
      <c r="AV69" s="628">
        <v>2032</v>
      </c>
      <c r="AW69" s="628">
        <v>2033</v>
      </c>
      <c r="AX69" s="628">
        <v>2034</v>
      </c>
      <c r="AY69" s="628">
        <v>2035</v>
      </c>
      <c r="AZ69" s="628">
        <v>2036</v>
      </c>
      <c r="BA69" s="628">
        <v>2037</v>
      </c>
      <c r="BB69" s="628">
        <v>2038</v>
      </c>
      <c r="BC69" s="628">
        <v>2039</v>
      </c>
      <c r="BD69" s="628">
        <v>2040</v>
      </c>
      <c r="BE69" s="628">
        <v>2041</v>
      </c>
      <c r="BF69" s="628">
        <v>2042</v>
      </c>
      <c r="BG69" s="628">
        <v>2043</v>
      </c>
      <c r="BH69" s="628">
        <v>2044</v>
      </c>
      <c r="BI69" s="628">
        <v>2045</v>
      </c>
      <c r="BJ69" s="628">
        <v>2046</v>
      </c>
      <c r="BK69" s="628">
        <v>2047</v>
      </c>
      <c r="BL69" s="628">
        <v>2048</v>
      </c>
      <c r="BM69" s="628">
        <v>2049</v>
      </c>
      <c r="BN69" s="628">
        <v>2050</v>
      </c>
      <c r="BP69" s="628">
        <v>2020</v>
      </c>
      <c r="BQ69" s="628">
        <v>2021</v>
      </c>
      <c r="BR69" s="628">
        <v>2022</v>
      </c>
      <c r="BS69" s="628">
        <v>2023</v>
      </c>
      <c r="BT69" s="628">
        <v>2024</v>
      </c>
      <c r="BU69" s="628">
        <v>2025</v>
      </c>
      <c r="BV69" s="628">
        <v>2026</v>
      </c>
      <c r="BW69" s="628">
        <v>2027</v>
      </c>
      <c r="BX69" s="628">
        <v>2028</v>
      </c>
      <c r="BY69" s="628">
        <v>2029</v>
      </c>
      <c r="BZ69" s="628">
        <v>2030</v>
      </c>
      <c r="CA69" s="628">
        <v>2031</v>
      </c>
      <c r="CB69" s="628">
        <v>2032</v>
      </c>
      <c r="CC69" s="628">
        <v>2033</v>
      </c>
      <c r="CD69" s="628">
        <v>2034</v>
      </c>
      <c r="CE69" s="628">
        <v>2035</v>
      </c>
      <c r="CF69" s="628">
        <v>2036</v>
      </c>
      <c r="CG69" s="628">
        <v>2037</v>
      </c>
      <c r="CH69" s="628">
        <v>2038</v>
      </c>
      <c r="CI69" s="628">
        <v>2039</v>
      </c>
      <c r="CJ69" s="628">
        <v>2040</v>
      </c>
      <c r="CK69" s="628">
        <v>2041</v>
      </c>
      <c r="CL69" s="628">
        <v>2042</v>
      </c>
      <c r="CM69" s="628">
        <v>2043</v>
      </c>
      <c r="CN69" s="628">
        <v>2044</v>
      </c>
      <c r="CO69" s="628">
        <v>2045</v>
      </c>
      <c r="CP69" s="628">
        <v>2046</v>
      </c>
      <c r="CQ69" s="628">
        <v>2047</v>
      </c>
      <c r="CR69" s="628">
        <v>2048</v>
      </c>
      <c r="CS69" s="628">
        <v>2049</v>
      </c>
      <c r="CT69" s="628">
        <v>2050</v>
      </c>
      <c r="CV69" s="628">
        <v>2020</v>
      </c>
      <c r="CW69" s="628">
        <v>2021</v>
      </c>
      <c r="CX69" s="628">
        <v>2022</v>
      </c>
      <c r="CY69" s="628">
        <v>2023</v>
      </c>
      <c r="CZ69" s="628">
        <v>2024</v>
      </c>
      <c r="DA69" s="628">
        <v>2025</v>
      </c>
      <c r="DB69" s="628">
        <v>2026</v>
      </c>
      <c r="DC69" s="628">
        <v>2027</v>
      </c>
      <c r="DD69" s="628">
        <v>2028</v>
      </c>
      <c r="DE69" s="628">
        <v>2029</v>
      </c>
      <c r="DF69" s="628">
        <v>2030</v>
      </c>
      <c r="DG69" s="628">
        <v>2031</v>
      </c>
      <c r="DH69" s="628">
        <v>2032</v>
      </c>
      <c r="DI69" s="628">
        <v>2033</v>
      </c>
      <c r="DJ69" s="628">
        <v>2034</v>
      </c>
      <c r="DK69" s="628">
        <v>2035</v>
      </c>
      <c r="DL69" s="628">
        <v>2036</v>
      </c>
      <c r="DM69" s="628">
        <v>2037</v>
      </c>
      <c r="DN69" s="628">
        <v>2038</v>
      </c>
      <c r="DO69" s="628">
        <v>2039</v>
      </c>
      <c r="DP69" s="628">
        <v>2040</v>
      </c>
      <c r="DQ69" s="628">
        <v>2041</v>
      </c>
      <c r="DR69" s="628">
        <v>2042</v>
      </c>
      <c r="DS69" s="628">
        <v>2043</v>
      </c>
      <c r="DT69" s="628">
        <v>2044</v>
      </c>
      <c r="DU69" s="628">
        <v>2045</v>
      </c>
      <c r="DV69" s="628">
        <v>2046</v>
      </c>
      <c r="DW69" s="628">
        <v>2047</v>
      </c>
      <c r="DX69" s="628">
        <v>2048</v>
      </c>
      <c r="DY69" s="628">
        <v>2049</v>
      </c>
      <c r="DZ69" s="628">
        <v>2050</v>
      </c>
      <c r="EK69" s="627"/>
      <c r="EL69" s="627"/>
      <c r="EM69" s="627"/>
      <c r="EN69" s="627"/>
      <c r="EO69" s="627"/>
      <c r="EP69" s="627"/>
      <c r="EQ69" s="627"/>
      <c r="ER69" s="627"/>
      <c r="ES69" s="627"/>
      <c r="ET69" s="627"/>
      <c r="EU69" s="627"/>
      <c r="EV69" s="627"/>
      <c r="EW69" s="627"/>
      <c r="EX69" s="627"/>
      <c r="EY69" s="627"/>
      <c r="EZ69" s="627"/>
      <c r="FA69" s="627"/>
      <c r="FB69" s="627"/>
      <c r="FC69" s="627"/>
      <c r="FD69" s="627"/>
      <c r="FE69" s="627"/>
      <c r="FF69" s="627"/>
      <c r="FG69" s="627"/>
      <c r="FH69" s="627"/>
      <c r="FI69" s="627"/>
    </row>
    <row r="70" spans="1:165">
      <c r="A70" s="606" t="s">
        <v>193</v>
      </c>
      <c r="C70" s="54" t="s">
        <v>458</v>
      </c>
      <c r="D70" s="43">
        <f>$B$186</f>
        <v>0.48</v>
      </c>
      <c r="E70" s="43">
        <f>D70-($D70-$AH70)/30</f>
        <v>0.46399999999999997</v>
      </c>
      <c r="F70" s="43">
        <f t="shared" ref="F70:AG70" si="463">E70-($D70-$AH70)/30</f>
        <v>0.44799999999999995</v>
      </c>
      <c r="G70" s="43">
        <f t="shared" si="463"/>
        <v>0.43199999999999994</v>
      </c>
      <c r="H70" s="43">
        <f t="shared" si="463"/>
        <v>0.41599999999999993</v>
      </c>
      <c r="I70" s="43">
        <f t="shared" si="463"/>
        <v>0.39999999999999991</v>
      </c>
      <c r="J70" s="43">
        <f t="shared" si="463"/>
        <v>0.3839999999999999</v>
      </c>
      <c r="K70" s="43">
        <f t="shared" si="463"/>
        <v>0.36799999999999988</v>
      </c>
      <c r="L70" s="43">
        <f t="shared" si="463"/>
        <v>0.35199999999999987</v>
      </c>
      <c r="M70" s="43">
        <f t="shared" si="463"/>
        <v>0.33599999999999985</v>
      </c>
      <c r="N70" s="43">
        <f t="shared" si="463"/>
        <v>0.31999999999999984</v>
      </c>
      <c r="O70" s="43">
        <f t="shared" si="463"/>
        <v>0.30399999999999983</v>
      </c>
      <c r="P70" s="43">
        <f t="shared" si="463"/>
        <v>0.28799999999999981</v>
      </c>
      <c r="Q70" s="43">
        <f t="shared" si="463"/>
        <v>0.2719999999999998</v>
      </c>
      <c r="R70" s="43">
        <f t="shared" si="463"/>
        <v>0.25599999999999978</v>
      </c>
      <c r="S70" s="43">
        <f t="shared" si="463"/>
        <v>0.23999999999999977</v>
      </c>
      <c r="T70" s="43">
        <f t="shared" si="463"/>
        <v>0.22399999999999975</v>
      </c>
      <c r="U70" s="43">
        <f t="shared" si="463"/>
        <v>0.20799999999999974</v>
      </c>
      <c r="V70" s="43">
        <f t="shared" si="463"/>
        <v>0.19199999999999973</v>
      </c>
      <c r="W70" s="43">
        <f t="shared" si="463"/>
        <v>0.17599999999999971</v>
      </c>
      <c r="X70" s="43">
        <f t="shared" si="463"/>
        <v>0.1599999999999997</v>
      </c>
      <c r="Y70" s="43">
        <f t="shared" si="463"/>
        <v>0.14399999999999968</v>
      </c>
      <c r="Z70" s="43">
        <f t="shared" si="463"/>
        <v>0.12799999999999967</v>
      </c>
      <c r="AA70" s="43">
        <f t="shared" si="463"/>
        <v>0.11199999999999967</v>
      </c>
      <c r="AB70" s="43">
        <f t="shared" si="463"/>
        <v>9.5999999999999669E-2</v>
      </c>
      <c r="AC70" s="43">
        <f t="shared" si="463"/>
        <v>7.9999999999999669E-2</v>
      </c>
      <c r="AD70" s="43">
        <f t="shared" si="463"/>
        <v>6.3999999999999668E-2</v>
      </c>
      <c r="AE70" s="43">
        <f t="shared" si="463"/>
        <v>4.7999999999999668E-2</v>
      </c>
      <c r="AF70" s="43">
        <f t="shared" si="463"/>
        <v>3.1999999999999668E-2</v>
      </c>
      <c r="AG70" s="43">
        <f t="shared" si="463"/>
        <v>1.5999999999999667E-2</v>
      </c>
      <c r="AH70" s="43">
        <f>$C$186</f>
        <v>0</v>
      </c>
      <c r="AI70" s="44"/>
      <c r="AJ70" s="43">
        <f>D70</f>
        <v>0.48</v>
      </c>
      <c r="AK70" s="43">
        <f t="shared" ref="AK70:AK78" si="464">E70</f>
        <v>0.46399999999999997</v>
      </c>
      <c r="AL70" s="43">
        <f t="shared" ref="AL70:AL78" si="465">F70</f>
        <v>0.44799999999999995</v>
      </c>
      <c r="AM70" s="43">
        <f t="shared" ref="AM70:AM78" si="466">G70</f>
        <v>0.43199999999999994</v>
      </c>
      <c r="AN70" s="43">
        <f t="shared" ref="AN70:AN78" si="467">H70</f>
        <v>0.41599999999999993</v>
      </c>
      <c r="AO70" s="43">
        <f t="shared" ref="AO70:AO78" si="468">I70</f>
        <v>0.39999999999999991</v>
      </c>
      <c r="AP70" s="43">
        <f t="shared" ref="AP70:AP78" si="469">J70</f>
        <v>0.3839999999999999</v>
      </c>
      <c r="AQ70" s="43">
        <f t="shared" ref="AQ70:AQ78" si="470">K70</f>
        <v>0.36799999999999988</v>
      </c>
      <c r="AR70" s="43">
        <f t="shared" ref="AR70:AR78" si="471">L70</f>
        <v>0.35199999999999987</v>
      </c>
      <c r="AS70" s="43">
        <f t="shared" ref="AS70:AS78" si="472">M70</f>
        <v>0.33599999999999985</v>
      </c>
      <c r="AT70" s="43">
        <f t="shared" ref="AT70:AT78" si="473">N70</f>
        <v>0.31999999999999984</v>
      </c>
      <c r="AU70" s="43">
        <f t="shared" ref="AU70:AU78" si="474">O70</f>
        <v>0.30399999999999983</v>
      </c>
      <c r="AV70" s="43">
        <f t="shared" ref="AV70:AV78" si="475">P70</f>
        <v>0.28799999999999981</v>
      </c>
      <c r="AW70" s="43">
        <f t="shared" ref="AW70:AW78" si="476">Q70</f>
        <v>0.2719999999999998</v>
      </c>
      <c r="AX70" s="43">
        <f t="shared" ref="AX70:AX78" si="477">R70</f>
        <v>0.25599999999999978</v>
      </c>
      <c r="AY70" s="43">
        <f t="shared" ref="AY70:AY78" si="478">S70</f>
        <v>0.23999999999999977</v>
      </c>
      <c r="AZ70" s="43">
        <f t="shared" ref="AZ70:AZ78" si="479">T70</f>
        <v>0.22399999999999975</v>
      </c>
      <c r="BA70" s="43">
        <f t="shared" ref="BA70:BA78" si="480">U70</f>
        <v>0.20799999999999974</v>
      </c>
      <c r="BB70" s="43">
        <f t="shared" ref="BB70:BB78" si="481">V70</f>
        <v>0.19199999999999973</v>
      </c>
      <c r="BC70" s="43">
        <f t="shared" ref="BC70:BC78" si="482">W70</f>
        <v>0.17599999999999971</v>
      </c>
      <c r="BD70" s="43">
        <f t="shared" ref="BD70:BD78" si="483">X70</f>
        <v>0.1599999999999997</v>
      </c>
      <c r="BE70" s="43">
        <f t="shared" ref="BE70:BE78" si="484">Y70</f>
        <v>0.14399999999999968</v>
      </c>
      <c r="BF70" s="43">
        <f t="shared" ref="BF70:BF78" si="485">Z70</f>
        <v>0.12799999999999967</v>
      </c>
      <c r="BG70" s="43">
        <f t="shared" ref="BG70:BG78" si="486">AA70</f>
        <v>0.11199999999999967</v>
      </c>
      <c r="BH70" s="43">
        <f t="shared" ref="BH70:BH78" si="487">AB70</f>
        <v>9.5999999999999669E-2</v>
      </c>
      <c r="BI70" s="43">
        <f t="shared" ref="BI70:BI78" si="488">AC70</f>
        <v>7.9999999999999669E-2</v>
      </c>
      <c r="BJ70" s="43">
        <f t="shared" ref="BJ70:BJ78" si="489">AD70</f>
        <v>6.3999999999999668E-2</v>
      </c>
      <c r="BK70" s="43">
        <f t="shared" ref="BK70:BK78" si="490">AE70</f>
        <v>4.7999999999999668E-2</v>
      </c>
      <c r="BL70" s="43">
        <f t="shared" ref="BL70:BL78" si="491">AF70</f>
        <v>3.1999999999999668E-2</v>
      </c>
      <c r="BM70" s="43">
        <f t="shared" ref="BM70:BM78" si="492">AG70</f>
        <v>1.5999999999999667E-2</v>
      </c>
      <c r="BN70" s="43">
        <f t="shared" ref="BN70:BN78" si="493">AH70</f>
        <v>0</v>
      </c>
      <c r="BP70" s="43">
        <f>D70</f>
        <v>0.48</v>
      </c>
      <c r="BQ70" s="43">
        <f>BP70-($BP70-$CT70)/30</f>
        <v>0.48</v>
      </c>
      <c r="BR70" s="43">
        <f t="shared" ref="BR70:CS70" si="494">BQ70-($BP70-$CT70)/30</f>
        <v>0.48</v>
      </c>
      <c r="BS70" s="43">
        <f t="shared" si="494"/>
        <v>0.48</v>
      </c>
      <c r="BT70" s="43">
        <f t="shared" si="494"/>
        <v>0.48</v>
      </c>
      <c r="BU70" s="43">
        <f t="shared" si="494"/>
        <v>0.48</v>
      </c>
      <c r="BV70" s="43">
        <f t="shared" si="494"/>
        <v>0.48</v>
      </c>
      <c r="BW70" s="43">
        <f t="shared" si="494"/>
        <v>0.48</v>
      </c>
      <c r="BX70" s="43">
        <f t="shared" si="494"/>
        <v>0.48</v>
      </c>
      <c r="BY70" s="43">
        <f t="shared" si="494"/>
        <v>0.48</v>
      </c>
      <c r="BZ70" s="43">
        <f t="shared" si="494"/>
        <v>0.48</v>
      </c>
      <c r="CA70" s="43">
        <f t="shared" si="494"/>
        <v>0.48</v>
      </c>
      <c r="CB70" s="43">
        <f t="shared" si="494"/>
        <v>0.48</v>
      </c>
      <c r="CC70" s="43">
        <f t="shared" si="494"/>
        <v>0.48</v>
      </c>
      <c r="CD70" s="43">
        <f t="shared" si="494"/>
        <v>0.48</v>
      </c>
      <c r="CE70" s="43">
        <f t="shared" si="494"/>
        <v>0.48</v>
      </c>
      <c r="CF70" s="43">
        <f t="shared" si="494"/>
        <v>0.48</v>
      </c>
      <c r="CG70" s="43">
        <f t="shared" si="494"/>
        <v>0.48</v>
      </c>
      <c r="CH70" s="43">
        <f t="shared" si="494"/>
        <v>0.48</v>
      </c>
      <c r="CI70" s="43">
        <f t="shared" si="494"/>
        <v>0.48</v>
      </c>
      <c r="CJ70" s="43">
        <f t="shared" si="494"/>
        <v>0.48</v>
      </c>
      <c r="CK70" s="43">
        <f t="shared" si="494"/>
        <v>0.48</v>
      </c>
      <c r="CL70" s="43">
        <f t="shared" si="494"/>
        <v>0.48</v>
      </c>
      <c r="CM70" s="43">
        <f t="shared" si="494"/>
        <v>0.48</v>
      </c>
      <c r="CN70" s="43">
        <f t="shared" si="494"/>
        <v>0.48</v>
      </c>
      <c r="CO70" s="43">
        <f t="shared" si="494"/>
        <v>0.48</v>
      </c>
      <c r="CP70" s="43">
        <f t="shared" si="494"/>
        <v>0.48</v>
      </c>
      <c r="CQ70" s="43">
        <f t="shared" si="494"/>
        <v>0.48</v>
      </c>
      <c r="CR70" s="43">
        <f t="shared" si="494"/>
        <v>0.48</v>
      </c>
      <c r="CS70" s="43">
        <f t="shared" si="494"/>
        <v>0.48</v>
      </c>
      <c r="CT70" s="43">
        <f>BP70</f>
        <v>0.48</v>
      </c>
      <c r="CV70" s="43">
        <f>AJ70</f>
        <v>0.48</v>
      </c>
      <c r="CW70" s="43">
        <f t="shared" ref="CW70:CW74" si="495">AK70</f>
        <v>0.46399999999999997</v>
      </c>
      <c r="CX70" s="43">
        <f t="shared" ref="CX70:CX74" si="496">AL70</f>
        <v>0.44799999999999995</v>
      </c>
      <c r="CY70" s="43">
        <f t="shared" ref="CY70:CY74" si="497">AM70</f>
        <v>0.43199999999999994</v>
      </c>
      <c r="CZ70" s="43">
        <f t="shared" ref="CZ70:CZ74" si="498">AN70</f>
        <v>0.41599999999999993</v>
      </c>
      <c r="DA70" s="43">
        <f t="shared" ref="DA70:DA74" si="499">AO70</f>
        <v>0.39999999999999991</v>
      </c>
      <c r="DB70" s="43">
        <f t="shared" ref="DB70:DB74" si="500">AP70</f>
        <v>0.3839999999999999</v>
      </c>
      <c r="DC70" s="43">
        <f t="shared" ref="DC70:DC74" si="501">AQ70</f>
        <v>0.36799999999999988</v>
      </c>
      <c r="DD70" s="43">
        <f t="shared" ref="DD70:DD74" si="502">AR70</f>
        <v>0.35199999999999987</v>
      </c>
      <c r="DE70" s="43">
        <f t="shared" ref="DE70:DE74" si="503">AS70</f>
        <v>0.33599999999999985</v>
      </c>
      <c r="DF70" s="43">
        <f t="shared" ref="DF70:DF74" si="504">AT70</f>
        <v>0.31999999999999984</v>
      </c>
      <c r="DG70" s="43">
        <f t="shared" ref="DG70:DG74" si="505">AU70</f>
        <v>0.30399999999999983</v>
      </c>
      <c r="DH70" s="43">
        <f t="shared" ref="DH70:DH74" si="506">AV70</f>
        <v>0.28799999999999981</v>
      </c>
      <c r="DI70" s="43">
        <f t="shared" ref="DI70:DI74" si="507">AW70</f>
        <v>0.2719999999999998</v>
      </c>
      <c r="DJ70" s="43">
        <f t="shared" ref="DJ70:DJ74" si="508">AX70</f>
        <v>0.25599999999999978</v>
      </c>
      <c r="DK70" s="43">
        <f t="shared" ref="DK70:DK74" si="509">AY70</f>
        <v>0.23999999999999977</v>
      </c>
      <c r="DL70" s="43">
        <f t="shared" ref="DL70:DL74" si="510">AZ70</f>
        <v>0.22399999999999975</v>
      </c>
      <c r="DM70" s="43">
        <f t="shared" ref="DM70:DM74" si="511">BA70</f>
        <v>0.20799999999999974</v>
      </c>
      <c r="DN70" s="43">
        <f t="shared" ref="DN70:DN74" si="512">BB70</f>
        <v>0.19199999999999973</v>
      </c>
      <c r="DO70" s="43">
        <f t="shared" ref="DO70:DO74" si="513">BC70</f>
        <v>0.17599999999999971</v>
      </c>
      <c r="DP70" s="43">
        <f t="shared" ref="DP70:DP74" si="514">BD70</f>
        <v>0.1599999999999997</v>
      </c>
      <c r="DQ70" s="43">
        <f t="shared" ref="DQ70:DQ74" si="515">BE70</f>
        <v>0.14399999999999968</v>
      </c>
      <c r="DR70" s="43">
        <f t="shared" ref="DR70:DR74" si="516">BF70</f>
        <v>0.12799999999999967</v>
      </c>
      <c r="DS70" s="43">
        <f t="shared" ref="DS70:DS74" si="517">BG70</f>
        <v>0.11199999999999967</v>
      </c>
      <c r="DT70" s="43">
        <f t="shared" ref="DT70:DT74" si="518">BH70</f>
        <v>9.5999999999999669E-2</v>
      </c>
      <c r="DU70" s="43">
        <f t="shared" ref="DU70:DU74" si="519">BI70</f>
        <v>7.9999999999999669E-2</v>
      </c>
      <c r="DV70" s="43">
        <f t="shared" ref="DV70:DV74" si="520">BJ70</f>
        <v>6.3999999999999668E-2</v>
      </c>
      <c r="DW70" s="43">
        <f t="shared" ref="DW70:DW74" si="521">BK70</f>
        <v>4.7999999999999668E-2</v>
      </c>
      <c r="DX70" s="43">
        <f t="shared" ref="DX70:DX74" si="522">BL70</f>
        <v>3.1999999999999668E-2</v>
      </c>
      <c r="DY70" s="43">
        <f t="shared" ref="DY70:DY74" si="523">BM70</f>
        <v>1.5999999999999667E-2</v>
      </c>
      <c r="DZ70" s="43">
        <f t="shared" ref="DZ70:DZ74" si="524">BN70</f>
        <v>0</v>
      </c>
    </row>
    <row r="71" spans="1:165">
      <c r="A71" s="606" t="s">
        <v>88</v>
      </c>
      <c r="C71" s="54" t="s">
        <v>458</v>
      </c>
      <c r="D71" s="43">
        <f>$B$187</f>
        <v>3</v>
      </c>
      <c r="E71" s="43">
        <f t="shared" ref="E71:AG71" si="525">D71-($D71-$AH71)/30</f>
        <v>2.9</v>
      </c>
      <c r="F71" s="43">
        <f t="shared" si="525"/>
        <v>2.8</v>
      </c>
      <c r="G71" s="43">
        <f t="shared" si="525"/>
        <v>2.6999999999999997</v>
      </c>
      <c r="H71" s="43">
        <f t="shared" si="525"/>
        <v>2.5999999999999996</v>
      </c>
      <c r="I71" s="43">
        <f t="shared" si="525"/>
        <v>2.4999999999999996</v>
      </c>
      <c r="J71" s="43">
        <f t="shared" si="525"/>
        <v>2.3999999999999995</v>
      </c>
      <c r="K71" s="43">
        <f t="shared" si="525"/>
        <v>2.2999999999999994</v>
      </c>
      <c r="L71" s="43">
        <f t="shared" si="525"/>
        <v>2.1999999999999993</v>
      </c>
      <c r="M71" s="43">
        <f t="shared" si="525"/>
        <v>2.0999999999999992</v>
      </c>
      <c r="N71" s="43">
        <f t="shared" si="525"/>
        <v>1.9999999999999991</v>
      </c>
      <c r="O71" s="43">
        <f t="shared" si="525"/>
        <v>1.899999999999999</v>
      </c>
      <c r="P71" s="43">
        <f t="shared" si="525"/>
        <v>1.7999999999999989</v>
      </c>
      <c r="Q71" s="43">
        <f t="shared" si="525"/>
        <v>1.6999999999999988</v>
      </c>
      <c r="R71" s="43">
        <f t="shared" si="525"/>
        <v>1.5999999999999988</v>
      </c>
      <c r="S71" s="43">
        <f t="shared" si="525"/>
        <v>1.4999999999999987</v>
      </c>
      <c r="T71" s="43">
        <f t="shared" si="525"/>
        <v>1.3999999999999986</v>
      </c>
      <c r="U71" s="43">
        <f t="shared" si="525"/>
        <v>1.2999999999999985</v>
      </c>
      <c r="V71" s="43">
        <f t="shared" si="525"/>
        <v>1.1999999999999984</v>
      </c>
      <c r="W71" s="43">
        <f t="shared" si="525"/>
        <v>1.0999999999999983</v>
      </c>
      <c r="X71" s="43">
        <f t="shared" si="525"/>
        <v>0.99999999999999833</v>
      </c>
      <c r="Y71" s="43">
        <f t="shared" si="525"/>
        <v>0.89999999999999836</v>
      </c>
      <c r="Z71" s="43">
        <f t="shared" si="525"/>
        <v>0.79999999999999838</v>
      </c>
      <c r="AA71" s="43">
        <f t="shared" si="525"/>
        <v>0.6999999999999984</v>
      </c>
      <c r="AB71" s="43">
        <f t="shared" si="525"/>
        <v>0.59999999999999842</v>
      </c>
      <c r="AC71" s="43">
        <f t="shared" si="525"/>
        <v>0.49999999999999845</v>
      </c>
      <c r="AD71" s="43">
        <f t="shared" si="525"/>
        <v>0.39999999999999847</v>
      </c>
      <c r="AE71" s="43">
        <f t="shared" si="525"/>
        <v>0.29999999999999849</v>
      </c>
      <c r="AF71" s="43">
        <f t="shared" si="525"/>
        <v>0.19999999999999848</v>
      </c>
      <c r="AG71" s="43">
        <f t="shared" si="525"/>
        <v>9.9999999999998479E-2</v>
      </c>
      <c r="AH71" s="43">
        <f>$C$187</f>
        <v>0</v>
      </c>
      <c r="AI71" s="44"/>
      <c r="AJ71" s="43">
        <f t="shared" ref="AJ71:AJ78" si="526">D71</f>
        <v>3</v>
      </c>
      <c r="AK71" s="43">
        <f t="shared" si="464"/>
        <v>2.9</v>
      </c>
      <c r="AL71" s="43">
        <f t="shared" si="465"/>
        <v>2.8</v>
      </c>
      <c r="AM71" s="43">
        <f t="shared" si="466"/>
        <v>2.6999999999999997</v>
      </c>
      <c r="AN71" s="43">
        <f t="shared" si="467"/>
        <v>2.5999999999999996</v>
      </c>
      <c r="AO71" s="43">
        <f t="shared" si="468"/>
        <v>2.4999999999999996</v>
      </c>
      <c r="AP71" s="43">
        <f t="shared" si="469"/>
        <v>2.3999999999999995</v>
      </c>
      <c r="AQ71" s="43">
        <f t="shared" si="470"/>
        <v>2.2999999999999994</v>
      </c>
      <c r="AR71" s="43">
        <f t="shared" si="471"/>
        <v>2.1999999999999993</v>
      </c>
      <c r="AS71" s="43">
        <f t="shared" si="472"/>
        <v>2.0999999999999992</v>
      </c>
      <c r="AT71" s="43">
        <f t="shared" si="473"/>
        <v>1.9999999999999991</v>
      </c>
      <c r="AU71" s="43">
        <f t="shared" si="474"/>
        <v>1.899999999999999</v>
      </c>
      <c r="AV71" s="43">
        <f t="shared" si="475"/>
        <v>1.7999999999999989</v>
      </c>
      <c r="AW71" s="43">
        <f t="shared" si="476"/>
        <v>1.6999999999999988</v>
      </c>
      <c r="AX71" s="43">
        <f t="shared" si="477"/>
        <v>1.5999999999999988</v>
      </c>
      <c r="AY71" s="43">
        <f t="shared" si="478"/>
        <v>1.4999999999999987</v>
      </c>
      <c r="AZ71" s="43">
        <f t="shared" si="479"/>
        <v>1.3999999999999986</v>
      </c>
      <c r="BA71" s="43">
        <f t="shared" si="480"/>
        <v>1.2999999999999985</v>
      </c>
      <c r="BB71" s="43">
        <f t="shared" si="481"/>
        <v>1.1999999999999984</v>
      </c>
      <c r="BC71" s="43">
        <f t="shared" si="482"/>
        <v>1.0999999999999983</v>
      </c>
      <c r="BD71" s="43">
        <f t="shared" si="483"/>
        <v>0.99999999999999833</v>
      </c>
      <c r="BE71" s="43">
        <f t="shared" si="484"/>
        <v>0.89999999999999836</v>
      </c>
      <c r="BF71" s="43">
        <f t="shared" si="485"/>
        <v>0.79999999999999838</v>
      </c>
      <c r="BG71" s="43">
        <f t="shared" si="486"/>
        <v>0.6999999999999984</v>
      </c>
      <c r="BH71" s="43">
        <f t="shared" si="487"/>
        <v>0.59999999999999842</v>
      </c>
      <c r="BI71" s="43">
        <f t="shared" si="488"/>
        <v>0.49999999999999845</v>
      </c>
      <c r="BJ71" s="43">
        <f t="shared" si="489"/>
        <v>0.39999999999999847</v>
      </c>
      <c r="BK71" s="43">
        <f t="shared" si="490"/>
        <v>0.29999999999999849</v>
      </c>
      <c r="BL71" s="43">
        <f t="shared" si="491"/>
        <v>0.19999999999999848</v>
      </c>
      <c r="BM71" s="43">
        <f t="shared" si="492"/>
        <v>9.9999999999998479E-2</v>
      </c>
      <c r="BN71" s="43">
        <f t="shared" si="493"/>
        <v>0</v>
      </c>
      <c r="BP71" s="43">
        <f t="shared" ref="BP71:BP78" si="527">D71</f>
        <v>3</v>
      </c>
      <c r="BQ71" s="43">
        <f t="shared" ref="BQ71:CS71" si="528">BP71-($BP71-$CT71)/30</f>
        <v>3</v>
      </c>
      <c r="BR71" s="43">
        <f t="shared" si="528"/>
        <v>3</v>
      </c>
      <c r="BS71" s="43">
        <f t="shared" si="528"/>
        <v>3</v>
      </c>
      <c r="BT71" s="43">
        <f t="shared" si="528"/>
        <v>3</v>
      </c>
      <c r="BU71" s="43">
        <f t="shared" si="528"/>
        <v>3</v>
      </c>
      <c r="BV71" s="43">
        <f t="shared" si="528"/>
        <v>3</v>
      </c>
      <c r="BW71" s="43">
        <f t="shared" si="528"/>
        <v>3</v>
      </c>
      <c r="BX71" s="43">
        <f t="shared" si="528"/>
        <v>3</v>
      </c>
      <c r="BY71" s="43">
        <f t="shared" si="528"/>
        <v>3</v>
      </c>
      <c r="BZ71" s="43">
        <f t="shared" si="528"/>
        <v>3</v>
      </c>
      <c r="CA71" s="43">
        <f t="shared" si="528"/>
        <v>3</v>
      </c>
      <c r="CB71" s="43">
        <f t="shared" si="528"/>
        <v>3</v>
      </c>
      <c r="CC71" s="43">
        <f t="shared" si="528"/>
        <v>3</v>
      </c>
      <c r="CD71" s="43">
        <f t="shared" si="528"/>
        <v>3</v>
      </c>
      <c r="CE71" s="43">
        <f t="shared" si="528"/>
        <v>3</v>
      </c>
      <c r="CF71" s="43">
        <f t="shared" si="528"/>
        <v>3</v>
      </c>
      <c r="CG71" s="43">
        <f t="shared" si="528"/>
        <v>3</v>
      </c>
      <c r="CH71" s="43">
        <f t="shared" si="528"/>
        <v>3</v>
      </c>
      <c r="CI71" s="43">
        <f t="shared" si="528"/>
        <v>3</v>
      </c>
      <c r="CJ71" s="43">
        <f t="shared" si="528"/>
        <v>3</v>
      </c>
      <c r="CK71" s="43">
        <f t="shared" si="528"/>
        <v>3</v>
      </c>
      <c r="CL71" s="43">
        <f t="shared" si="528"/>
        <v>3</v>
      </c>
      <c r="CM71" s="43">
        <f t="shared" si="528"/>
        <v>3</v>
      </c>
      <c r="CN71" s="43">
        <f t="shared" si="528"/>
        <v>3</v>
      </c>
      <c r="CO71" s="43">
        <f t="shared" si="528"/>
        <v>3</v>
      </c>
      <c r="CP71" s="43">
        <f t="shared" si="528"/>
        <v>3</v>
      </c>
      <c r="CQ71" s="43">
        <f t="shared" si="528"/>
        <v>3</v>
      </c>
      <c r="CR71" s="43">
        <f t="shared" si="528"/>
        <v>3</v>
      </c>
      <c r="CS71" s="43">
        <f t="shared" si="528"/>
        <v>3</v>
      </c>
      <c r="CT71" s="43">
        <f t="shared" ref="CT71:CT72" si="529">BP71</f>
        <v>3</v>
      </c>
      <c r="CV71" s="43">
        <f>AJ71</f>
        <v>3</v>
      </c>
      <c r="CW71" s="43">
        <f t="shared" si="495"/>
        <v>2.9</v>
      </c>
      <c r="CX71" s="43">
        <f t="shared" si="496"/>
        <v>2.8</v>
      </c>
      <c r="CY71" s="43">
        <f t="shared" si="497"/>
        <v>2.6999999999999997</v>
      </c>
      <c r="CZ71" s="43">
        <f t="shared" si="498"/>
        <v>2.5999999999999996</v>
      </c>
      <c r="DA71" s="43">
        <f t="shared" si="499"/>
        <v>2.4999999999999996</v>
      </c>
      <c r="DB71" s="43">
        <f t="shared" si="500"/>
        <v>2.3999999999999995</v>
      </c>
      <c r="DC71" s="43">
        <f t="shared" si="501"/>
        <v>2.2999999999999994</v>
      </c>
      <c r="DD71" s="43">
        <f t="shared" si="502"/>
        <v>2.1999999999999993</v>
      </c>
      <c r="DE71" s="43">
        <f t="shared" si="503"/>
        <v>2.0999999999999992</v>
      </c>
      <c r="DF71" s="43">
        <f t="shared" si="504"/>
        <v>1.9999999999999991</v>
      </c>
      <c r="DG71" s="43">
        <f t="shared" si="505"/>
        <v>1.899999999999999</v>
      </c>
      <c r="DH71" s="43">
        <f t="shared" si="506"/>
        <v>1.7999999999999989</v>
      </c>
      <c r="DI71" s="43">
        <f t="shared" si="507"/>
        <v>1.6999999999999988</v>
      </c>
      <c r="DJ71" s="43">
        <f t="shared" si="508"/>
        <v>1.5999999999999988</v>
      </c>
      <c r="DK71" s="43">
        <f t="shared" si="509"/>
        <v>1.4999999999999987</v>
      </c>
      <c r="DL71" s="43">
        <f t="shared" si="510"/>
        <v>1.3999999999999986</v>
      </c>
      <c r="DM71" s="43">
        <f t="shared" si="511"/>
        <v>1.2999999999999985</v>
      </c>
      <c r="DN71" s="43">
        <f t="shared" si="512"/>
        <v>1.1999999999999984</v>
      </c>
      <c r="DO71" s="43">
        <f t="shared" si="513"/>
        <v>1.0999999999999983</v>
      </c>
      <c r="DP71" s="43">
        <f t="shared" si="514"/>
        <v>0.99999999999999833</v>
      </c>
      <c r="DQ71" s="43">
        <f t="shared" si="515"/>
        <v>0.89999999999999836</v>
      </c>
      <c r="DR71" s="43">
        <f t="shared" si="516"/>
        <v>0.79999999999999838</v>
      </c>
      <c r="DS71" s="43">
        <f t="shared" si="517"/>
        <v>0.6999999999999984</v>
      </c>
      <c r="DT71" s="43">
        <f t="shared" si="518"/>
        <v>0.59999999999999842</v>
      </c>
      <c r="DU71" s="43">
        <f t="shared" si="519"/>
        <v>0.49999999999999845</v>
      </c>
      <c r="DV71" s="43">
        <f t="shared" si="520"/>
        <v>0.39999999999999847</v>
      </c>
      <c r="DW71" s="43">
        <f t="shared" si="521"/>
        <v>0.29999999999999849</v>
      </c>
      <c r="DX71" s="43">
        <f t="shared" si="522"/>
        <v>0.19999999999999848</v>
      </c>
      <c r="DY71" s="43">
        <f t="shared" si="523"/>
        <v>9.9999999999998479E-2</v>
      </c>
      <c r="DZ71" s="43">
        <f t="shared" si="524"/>
        <v>0</v>
      </c>
    </row>
    <row r="72" spans="1:165">
      <c r="A72" s="606" t="s">
        <v>459</v>
      </c>
      <c r="C72" s="54" t="s">
        <v>458</v>
      </c>
      <c r="D72" s="43">
        <f>$BP$188</f>
        <v>1.3812336962269454</v>
      </c>
      <c r="E72" s="43">
        <f t="shared" ref="E72:AG72" si="530">D72-($D72-$AH72)/30</f>
        <v>1.4035259063527139</v>
      </c>
      <c r="F72" s="43">
        <f t="shared" si="530"/>
        <v>1.4258181164784824</v>
      </c>
      <c r="G72" s="43">
        <f t="shared" si="530"/>
        <v>1.448110326604251</v>
      </c>
      <c r="H72" s="43">
        <f t="shared" si="530"/>
        <v>1.4704025367300195</v>
      </c>
      <c r="I72" s="43">
        <f t="shared" si="530"/>
        <v>1.4926947468557881</v>
      </c>
      <c r="J72" s="43">
        <f t="shared" si="530"/>
        <v>1.5149869569815566</v>
      </c>
      <c r="K72" s="43">
        <f t="shared" si="530"/>
        <v>1.5372791671073252</v>
      </c>
      <c r="L72" s="43">
        <f t="shared" si="530"/>
        <v>1.5595713772330937</v>
      </c>
      <c r="M72" s="43">
        <f t="shared" si="530"/>
        <v>1.5818635873588622</v>
      </c>
      <c r="N72" s="43">
        <f t="shared" si="530"/>
        <v>1.6041557974846308</v>
      </c>
      <c r="O72" s="43">
        <f t="shared" si="530"/>
        <v>1.6264480076103993</v>
      </c>
      <c r="P72" s="43">
        <f t="shared" si="530"/>
        <v>1.6487402177361679</v>
      </c>
      <c r="Q72" s="43">
        <f t="shared" si="530"/>
        <v>1.6710324278619364</v>
      </c>
      <c r="R72" s="43">
        <f t="shared" si="530"/>
        <v>1.6933246379877049</v>
      </c>
      <c r="S72" s="43">
        <f t="shared" si="530"/>
        <v>1.7156168481134735</v>
      </c>
      <c r="T72" s="43">
        <f t="shared" si="530"/>
        <v>1.737909058239242</v>
      </c>
      <c r="U72" s="43">
        <f t="shared" si="530"/>
        <v>1.7602012683650106</v>
      </c>
      <c r="V72" s="43">
        <f t="shared" si="530"/>
        <v>1.7824934784907791</v>
      </c>
      <c r="W72" s="43">
        <f t="shared" si="530"/>
        <v>1.8047856886165476</v>
      </c>
      <c r="X72" s="43">
        <f t="shared" si="530"/>
        <v>1.8270778987423162</v>
      </c>
      <c r="Y72" s="43">
        <f t="shared" si="530"/>
        <v>1.8493701088680847</v>
      </c>
      <c r="Z72" s="43">
        <f t="shared" si="530"/>
        <v>1.8716623189938533</v>
      </c>
      <c r="AA72" s="43">
        <f t="shared" si="530"/>
        <v>1.8939545291196218</v>
      </c>
      <c r="AB72" s="43">
        <f t="shared" si="530"/>
        <v>1.9162467392453904</v>
      </c>
      <c r="AC72" s="43">
        <f t="shared" si="530"/>
        <v>1.9385389493711589</v>
      </c>
      <c r="AD72" s="43">
        <f t="shared" si="530"/>
        <v>1.9608311594969274</v>
      </c>
      <c r="AE72" s="43">
        <f t="shared" si="530"/>
        <v>1.983123369622696</v>
      </c>
      <c r="AF72" s="43">
        <f t="shared" si="530"/>
        <v>2.0054155797484645</v>
      </c>
      <c r="AG72" s="43">
        <f t="shared" si="530"/>
        <v>2.0277077898742331</v>
      </c>
      <c r="AH72" s="43">
        <f>EB188</f>
        <v>2.0499999999999998</v>
      </c>
      <c r="AI72" s="44"/>
      <c r="AJ72" s="43">
        <f t="shared" si="526"/>
        <v>1.3812336962269454</v>
      </c>
      <c r="AK72" s="43">
        <f t="shared" si="464"/>
        <v>1.4035259063527139</v>
      </c>
      <c r="AL72" s="43">
        <f t="shared" si="465"/>
        <v>1.4258181164784824</v>
      </c>
      <c r="AM72" s="43">
        <f t="shared" si="466"/>
        <v>1.448110326604251</v>
      </c>
      <c r="AN72" s="43">
        <f t="shared" si="467"/>
        <v>1.4704025367300195</v>
      </c>
      <c r="AO72" s="43">
        <f t="shared" si="468"/>
        <v>1.4926947468557881</v>
      </c>
      <c r="AP72" s="43">
        <f t="shared" si="469"/>
        <v>1.5149869569815566</v>
      </c>
      <c r="AQ72" s="43">
        <f t="shared" si="470"/>
        <v>1.5372791671073252</v>
      </c>
      <c r="AR72" s="43">
        <f t="shared" si="471"/>
        <v>1.5595713772330937</v>
      </c>
      <c r="AS72" s="43">
        <f t="shared" si="472"/>
        <v>1.5818635873588622</v>
      </c>
      <c r="AT72" s="43">
        <f t="shared" si="473"/>
        <v>1.6041557974846308</v>
      </c>
      <c r="AU72" s="43">
        <f t="shared" si="474"/>
        <v>1.6264480076103993</v>
      </c>
      <c r="AV72" s="43">
        <f t="shared" si="475"/>
        <v>1.6487402177361679</v>
      </c>
      <c r="AW72" s="43">
        <f t="shared" si="476"/>
        <v>1.6710324278619364</v>
      </c>
      <c r="AX72" s="43">
        <f t="shared" si="477"/>
        <v>1.6933246379877049</v>
      </c>
      <c r="AY72" s="43">
        <f t="shared" si="478"/>
        <v>1.7156168481134735</v>
      </c>
      <c r="AZ72" s="43">
        <f t="shared" si="479"/>
        <v>1.737909058239242</v>
      </c>
      <c r="BA72" s="43">
        <f t="shared" si="480"/>
        <v>1.7602012683650106</v>
      </c>
      <c r="BB72" s="43">
        <f t="shared" si="481"/>
        <v>1.7824934784907791</v>
      </c>
      <c r="BC72" s="43">
        <f t="shared" si="482"/>
        <v>1.8047856886165476</v>
      </c>
      <c r="BD72" s="43">
        <f t="shared" si="483"/>
        <v>1.8270778987423162</v>
      </c>
      <c r="BE72" s="43">
        <f t="shared" si="484"/>
        <v>1.8493701088680847</v>
      </c>
      <c r="BF72" s="43">
        <f t="shared" si="485"/>
        <v>1.8716623189938533</v>
      </c>
      <c r="BG72" s="43">
        <f t="shared" si="486"/>
        <v>1.8939545291196218</v>
      </c>
      <c r="BH72" s="43">
        <f t="shared" si="487"/>
        <v>1.9162467392453904</v>
      </c>
      <c r="BI72" s="43">
        <f t="shared" si="488"/>
        <v>1.9385389493711589</v>
      </c>
      <c r="BJ72" s="43">
        <f t="shared" si="489"/>
        <v>1.9608311594969274</v>
      </c>
      <c r="BK72" s="43">
        <f t="shared" si="490"/>
        <v>1.983123369622696</v>
      </c>
      <c r="BL72" s="43">
        <f t="shared" si="491"/>
        <v>2.0054155797484645</v>
      </c>
      <c r="BM72" s="43">
        <f t="shared" si="492"/>
        <v>2.0277077898742331</v>
      </c>
      <c r="BN72" s="43">
        <f t="shared" si="493"/>
        <v>2.0499999999999998</v>
      </c>
      <c r="BP72" s="43">
        <f t="shared" si="527"/>
        <v>1.3812336962269454</v>
      </c>
      <c r="BQ72" s="43">
        <f t="shared" ref="BQ72:CS72" si="531">BP72-($BP72-$CT72)/30</f>
        <v>1.3812336962269454</v>
      </c>
      <c r="BR72" s="43">
        <f t="shared" si="531"/>
        <v>1.3812336962269454</v>
      </c>
      <c r="BS72" s="43">
        <f t="shared" si="531"/>
        <v>1.3812336962269454</v>
      </c>
      <c r="BT72" s="43">
        <f t="shared" si="531"/>
        <v>1.3812336962269454</v>
      </c>
      <c r="BU72" s="43">
        <f t="shared" si="531"/>
        <v>1.3812336962269454</v>
      </c>
      <c r="BV72" s="43">
        <f t="shared" si="531"/>
        <v>1.3812336962269454</v>
      </c>
      <c r="BW72" s="43">
        <f t="shared" si="531"/>
        <v>1.3812336962269454</v>
      </c>
      <c r="BX72" s="43">
        <f t="shared" si="531"/>
        <v>1.3812336962269454</v>
      </c>
      <c r="BY72" s="43">
        <f t="shared" si="531"/>
        <v>1.3812336962269454</v>
      </c>
      <c r="BZ72" s="43">
        <f t="shared" si="531"/>
        <v>1.3812336962269454</v>
      </c>
      <c r="CA72" s="43">
        <f t="shared" si="531"/>
        <v>1.3812336962269454</v>
      </c>
      <c r="CB72" s="43">
        <f t="shared" si="531"/>
        <v>1.3812336962269454</v>
      </c>
      <c r="CC72" s="43">
        <f t="shared" si="531"/>
        <v>1.3812336962269454</v>
      </c>
      <c r="CD72" s="43">
        <f t="shared" si="531"/>
        <v>1.3812336962269454</v>
      </c>
      <c r="CE72" s="43">
        <f t="shared" si="531"/>
        <v>1.3812336962269454</v>
      </c>
      <c r="CF72" s="43">
        <f t="shared" si="531"/>
        <v>1.3812336962269454</v>
      </c>
      <c r="CG72" s="43">
        <f t="shared" si="531"/>
        <v>1.3812336962269454</v>
      </c>
      <c r="CH72" s="43">
        <f t="shared" si="531"/>
        <v>1.3812336962269454</v>
      </c>
      <c r="CI72" s="43">
        <f t="shared" si="531"/>
        <v>1.3812336962269454</v>
      </c>
      <c r="CJ72" s="43">
        <f t="shared" si="531"/>
        <v>1.3812336962269454</v>
      </c>
      <c r="CK72" s="43">
        <f t="shared" si="531"/>
        <v>1.3812336962269454</v>
      </c>
      <c r="CL72" s="43">
        <f t="shared" si="531"/>
        <v>1.3812336962269454</v>
      </c>
      <c r="CM72" s="43">
        <f t="shared" si="531"/>
        <v>1.3812336962269454</v>
      </c>
      <c r="CN72" s="43">
        <f t="shared" si="531"/>
        <v>1.3812336962269454</v>
      </c>
      <c r="CO72" s="43">
        <f t="shared" si="531"/>
        <v>1.3812336962269454</v>
      </c>
      <c r="CP72" s="43">
        <f t="shared" si="531"/>
        <v>1.3812336962269454</v>
      </c>
      <c r="CQ72" s="43">
        <f t="shared" si="531"/>
        <v>1.3812336962269454</v>
      </c>
      <c r="CR72" s="43">
        <f t="shared" si="531"/>
        <v>1.3812336962269454</v>
      </c>
      <c r="CS72" s="43">
        <f t="shared" si="531"/>
        <v>1.3812336962269454</v>
      </c>
      <c r="CT72" s="43">
        <f t="shared" si="529"/>
        <v>1.3812336962269454</v>
      </c>
      <c r="CV72" s="43">
        <f>AJ72</f>
        <v>1.3812336962269454</v>
      </c>
      <c r="CW72" s="43">
        <f t="shared" si="495"/>
        <v>1.4035259063527139</v>
      </c>
      <c r="CX72" s="43">
        <f t="shared" si="496"/>
        <v>1.4258181164784824</v>
      </c>
      <c r="CY72" s="43">
        <f t="shared" si="497"/>
        <v>1.448110326604251</v>
      </c>
      <c r="CZ72" s="43">
        <f t="shared" si="498"/>
        <v>1.4704025367300195</v>
      </c>
      <c r="DA72" s="43">
        <f t="shared" si="499"/>
        <v>1.4926947468557881</v>
      </c>
      <c r="DB72" s="43">
        <f t="shared" si="500"/>
        <v>1.5149869569815566</v>
      </c>
      <c r="DC72" s="43">
        <f t="shared" si="501"/>
        <v>1.5372791671073252</v>
      </c>
      <c r="DD72" s="43">
        <f t="shared" si="502"/>
        <v>1.5595713772330937</v>
      </c>
      <c r="DE72" s="43">
        <f t="shared" si="503"/>
        <v>1.5818635873588622</v>
      </c>
      <c r="DF72" s="43">
        <f t="shared" si="504"/>
        <v>1.6041557974846308</v>
      </c>
      <c r="DG72" s="43">
        <f t="shared" si="505"/>
        <v>1.6264480076103993</v>
      </c>
      <c r="DH72" s="43">
        <f t="shared" si="506"/>
        <v>1.6487402177361679</v>
      </c>
      <c r="DI72" s="43">
        <f t="shared" si="507"/>
        <v>1.6710324278619364</v>
      </c>
      <c r="DJ72" s="43">
        <f t="shared" si="508"/>
        <v>1.6933246379877049</v>
      </c>
      <c r="DK72" s="43">
        <f t="shared" si="509"/>
        <v>1.7156168481134735</v>
      </c>
      <c r="DL72" s="43">
        <f t="shared" si="510"/>
        <v>1.737909058239242</v>
      </c>
      <c r="DM72" s="43">
        <f t="shared" si="511"/>
        <v>1.7602012683650106</v>
      </c>
      <c r="DN72" s="43">
        <f t="shared" si="512"/>
        <v>1.7824934784907791</v>
      </c>
      <c r="DO72" s="43">
        <f t="shared" si="513"/>
        <v>1.8047856886165476</v>
      </c>
      <c r="DP72" s="43">
        <f t="shared" si="514"/>
        <v>1.8270778987423162</v>
      </c>
      <c r="DQ72" s="43">
        <f t="shared" si="515"/>
        <v>1.8493701088680847</v>
      </c>
      <c r="DR72" s="43">
        <f t="shared" si="516"/>
        <v>1.8716623189938533</v>
      </c>
      <c r="DS72" s="43">
        <f t="shared" si="517"/>
        <v>1.8939545291196218</v>
      </c>
      <c r="DT72" s="43">
        <f t="shared" si="518"/>
        <v>1.9162467392453904</v>
      </c>
      <c r="DU72" s="43">
        <f t="shared" si="519"/>
        <v>1.9385389493711589</v>
      </c>
      <c r="DV72" s="43">
        <f t="shared" si="520"/>
        <v>1.9608311594969274</v>
      </c>
      <c r="DW72" s="43">
        <f t="shared" si="521"/>
        <v>1.983123369622696</v>
      </c>
      <c r="DX72" s="43">
        <f t="shared" si="522"/>
        <v>2.0054155797484645</v>
      </c>
      <c r="DY72" s="43">
        <f t="shared" si="523"/>
        <v>2.0277077898742331</v>
      </c>
      <c r="DZ72" s="43">
        <f t="shared" si="524"/>
        <v>2.0499999999999998</v>
      </c>
    </row>
    <row r="73" spans="1:165">
      <c r="A73" s="606" t="s">
        <v>460</v>
      </c>
      <c r="C73" s="54" t="s">
        <v>458</v>
      </c>
      <c r="D73" s="43">
        <f>$BZ$188</f>
        <v>6.9061684811347335E-2</v>
      </c>
      <c r="E73" s="43">
        <f t="shared" ref="E73:AG73" si="532">D73-($D73-$AH73)/30</f>
        <v>6.9061684811347335E-2</v>
      </c>
      <c r="F73" s="43">
        <f t="shared" si="532"/>
        <v>6.9061684811347335E-2</v>
      </c>
      <c r="G73" s="43">
        <f t="shared" si="532"/>
        <v>6.9061684811347335E-2</v>
      </c>
      <c r="H73" s="43">
        <f t="shared" si="532"/>
        <v>6.9061684811347335E-2</v>
      </c>
      <c r="I73" s="43">
        <f t="shared" si="532"/>
        <v>6.9061684811347335E-2</v>
      </c>
      <c r="J73" s="43">
        <f t="shared" si="532"/>
        <v>6.9061684811347335E-2</v>
      </c>
      <c r="K73" s="43">
        <f t="shared" si="532"/>
        <v>6.9061684811347335E-2</v>
      </c>
      <c r="L73" s="43">
        <f t="shared" si="532"/>
        <v>6.9061684811347335E-2</v>
      </c>
      <c r="M73" s="43">
        <f t="shared" si="532"/>
        <v>6.9061684811347335E-2</v>
      </c>
      <c r="N73" s="43">
        <f t="shared" si="532"/>
        <v>6.9061684811347335E-2</v>
      </c>
      <c r="O73" s="43">
        <f t="shared" si="532"/>
        <v>6.9061684811347335E-2</v>
      </c>
      <c r="P73" s="43">
        <f t="shared" si="532"/>
        <v>6.9061684811347335E-2</v>
      </c>
      <c r="Q73" s="43">
        <f t="shared" si="532"/>
        <v>6.9061684811347335E-2</v>
      </c>
      <c r="R73" s="43">
        <f t="shared" si="532"/>
        <v>6.9061684811347335E-2</v>
      </c>
      <c r="S73" s="43">
        <f t="shared" si="532"/>
        <v>6.9061684811347335E-2</v>
      </c>
      <c r="T73" s="43">
        <f t="shared" si="532"/>
        <v>6.9061684811347335E-2</v>
      </c>
      <c r="U73" s="43">
        <f t="shared" si="532"/>
        <v>6.9061684811347335E-2</v>
      </c>
      <c r="V73" s="43">
        <f t="shared" si="532"/>
        <v>6.9061684811347335E-2</v>
      </c>
      <c r="W73" s="43">
        <f t="shared" si="532"/>
        <v>6.9061684811347335E-2</v>
      </c>
      <c r="X73" s="43">
        <f t="shared" si="532"/>
        <v>6.9061684811347335E-2</v>
      </c>
      <c r="Y73" s="43">
        <f t="shared" si="532"/>
        <v>6.9061684811347335E-2</v>
      </c>
      <c r="Z73" s="43">
        <f t="shared" si="532"/>
        <v>6.9061684811347335E-2</v>
      </c>
      <c r="AA73" s="43">
        <f t="shared" si="532"/>
        <v>6.9061684811347335E-2</v>
      </c>
      <c r="AB73" s="43">
        <f t="shared" si="532"/>
        <v>6.9061684811347335E-2</v>
      </c>
      <c r="AC73" s="43">
        <f t="shared" si="532"/>
        <v>6.9061684811347335E-2</v>
      </c>
      <c r="AD73" s="43">
        <f t="shared" si="532"/>
        <v>6.9061684811347335E-2</v>
      </c>
      <c r="AE73" s="43">
        <f t="shared" si="532"/>
        <v>6.9061684811347335E-2</v>
      </c>
      <c r="AF73" s="43">
        <f t="shared" si="532"/>
        <v>6.9061684811347335E-2</v>
      </c>
      <c r="AG73" s="43">
        <f t="shared" si="532"/>
        <v>6.9061684811347335E-2</v>
      </c>
      <c r="AH73" s="43">
        <f>$BZ$188</f>
        <v>6.9061684811347335E-2</v>
      </c>
      <c r="AI73" s="44"/>
      <c r="AJ73" s="43">
        <f t="shared" si="526"/>
        <v>6.9061684811347335E-2</v>
      </c>
      <c r="AK73" s="43">
        <f t="shared" si="464"/>
        <v>6.9061684811347335E-2</v>
      </c>
      <c r="AL73" s="43">
        <f t="shared" si="465"/>
        <v>6.9061684811347335E-2</v>
      </c>
      <c r="AM73" s="43">
        <f t="shared" si="466"/>
        <v>6.9061684811347335E-2</v>
      </c>
      <c r="AN73" s="43">
        <f t="shared" si="467"/>
        <v>6.9061684811347335E-2</v>
      </c>
      <c r="AO73" s="43">
        <f t="shared" si="468"/>
        <v>6.9061684811347335E-2</v>
      </c>
      <c r="AP73" s="43">
        <f t="shared" si="469"/>
        <v>6.9061684811347335E-2</v>
      </c>
      <c r="AQ73" s="43">
        <f t="shared" si="470"/>
        <v>6.9061684811347335E-2</v>
      </c>
      <c r="AR73" s="43">
        <f t="shared" si="471"/>
        <v>6.9061684811347335E-2</v>
      </c>
      <c r="AS73" s="43">
        <f t="shared" si="472"/>
        <v>6.9061684811347335E-2</v>
      </c>
      <c r="AT73" s="43">
        <f t="shared" si="473"/>
        <v>6.9061684811347335E-2</v>
      </c>
      <c r="AU73" s="43">
        <f t="shared" si="474"/>
        <v>6.9061684811347335E-2</v>
      </c>
      <c r="AV73" s="43">
        <f t="shared" si="475"/>
        <v>6.9061684811347335E-2</v>
      </c>
      <c r="AW73" s="43">
        <f t="shared" si="476"/>
        <v>6.9061684811347335E-2</v>
      </c>
      <c r="AX73" s="43">
        <f t="shared" si="477"/>
        <v>6.9061684811347335E-2</v>
      </c>
      <c r="AY73" s="43">
        <f t="shared" si="478"/>
        <v>6.9061684811347335E-2</v>
      </c>
      <c r="AZ73" s="43">
        <f t="shared" si="479"/>
        <v>6.9061684811347335E-2</v>
      </c>
      <c r="BA73" s="43">
        <f t="shared" si="480"/>
        <v>6.9061684811347335E-2</v>
      </c>
      <c r="BB73" s="43">
        <f t="shared" si="481"/>
        <v>6.9061684811347335E-2</v>
      </c>
      <c r="BC73" s="43">
        <f t="shared" si="482"/>
        <v>6.9061684811347335E-2</v>
      </c>
      <c r="BD73" s="43">
        <f t="shared" si="483"/>
        <v>6.9061684811347335E-2</v>
      </c>
      <c r="BE73" s="43">
        <f t="shared" si="484"/>
        <v>6.9061684811347335E-2</v>
      </c>
      <c r="BF73" s="43">
        <f t="shared" si="485"/>
        <v>6.9061684811347335E-2</v>
      </c>
      <c r="BG73" s="43">
        <f t="shared" si="486"/>
        <v>6.9061684811347335E-2</v>
      </c>
      <c r="BH73" s="43">
        <f t="shared" si="487"/>
        <v>6.9061684811347335E-2</v>
      </c>
      <c r="BI73" s="43">
        <f t="shared" si="488"/>
        <v>6.9061684811347335E-2</v>
      </c>
      <c r="BJ73" s="43">
        <f t="shared" si="489"/>
        <v>6.9061684811347335E-2</v>
      </c>
      <c r="BK73" s="43">
        <f t="shared" si="490"/>
        <v>6.9061684811347335E-2</v>
      </c>
      <c r="BL73" s="43">
        <f t="shared" si="491"/>
        <v>6.9061684811347335E-2</v>
      </c>
      <c r="BM73" s="43">
        <f t="shared" si="492"/>
        <v>6.9061684811347335E-2</v>
      </c>
      <c r="BN73" s="43">
        <f t="shared" si="493"/>
        <v>6.9061684811347335E-2</v>
      </c>
      <c r="BP73" s="43">
        <f t="shared" si="527"/>
        <v>6.9061684811347335E-2</v>
      </c>
      <c r="BQ73" s="43">
        <f t="shared" ref="BQ73:CS73" si="533">BP73-($BP73-$CT73)/30</f>
        <v>6.9061684811347335E-2</v>
      </c>
      <c r="BR73" s="43">
        <f t="shared" si="533"/>
        <v>6.9061684811347335E-2</v>
      </c>
      <c r="BS73" s="43">
        <f t="shared" si="533"/>
        <v>6.9061684811347335E-2</v>
      </c>
      <c r="BT73" s="43">
        <f t="shared" si="533"/>
        <v>6.9061684811347335E-2</v>
      </c>
      <c r="BU73" s="43">
        <f t="shared" si="533"/>
        <v>6.9061684811347335E-2</v>
      </c>
      <c r="BV73" s="43">
        <f t="shared" si="533"/>
        <v>6.9061684811347335E-2</v>
      </c>
      <c r="BW73" s="43">
        <f t="shared" si="533"/>
        <v>6.9061684811347335E-2</v>
      </c>
      <c r="BX73" s="43">
        <f t="shared" si="533"/>
        <v>6.9061684811347335E-2</v>
      </c>
      <c r="BY73" s="43">
        <f t="shared" si="533"/>
        <v>6.9061684811347335E-2</v>
      </c>
      <c r="BZ73" s="43">
        <f t="shared" si="533"/>
        <v>6.9061684811347335E-2</v>
      </c>
      <c r="CA73" s="43">
        <f t="shared" si="533"/>
        <v>6.9061684811347335E-2</v>
      </c>
      <c r="CB73" s="43">
        <f t="shared" si="533"/>
        <v>6.9061684811347335E-2</v>
      </c>
      <c r="CC73" s="43">
        <f t="shared" si="533"/>
        <v>6.9061684811347335E-2</v>
      </c>
      <c r="CD73" s="43">
        <f t="shared" si="533"/>
        <v>6.9061684811347335E-2</v>
      </c>
      <c r="CE73" s="43">
        <f t="shared" si="533"/>
        <v>6.9061684811347335E-2</v>
      </c>
      <c r="CF73" s="43">
        <f t="shared" si="533"/>
        <v>6.9061684811347335E-2</v>
      </c>
      <c r="CG73" s="43">
        <f t="shared" si="533"/>
        <v>6.9061684811347335E-2</v>
      </c>
      <c r="CH73" s="43">
        <f t="shared" si="533"/>
        <v>6.9061684811347335E-2</v>
      </c>
      <c r="CI73" s="43">
        <f t="shared" si="533"/>
        <v>6.9061684811347335E-2</v>
      </c>
      <c r="CJ73" s="43">
        <f t="shared" si="533"/>
        <v>6.9061684811347335E-2</v>
      </c>
      <c r="CK73" s="43">
        <f t="shared" si="533"/>
        <v>6.9061684811347335E-2</v>
      </c>
      <c r="CL73" s="43">
        <f t="shared" si="533"/>
        <v>6.9061684811347335E-2</v>
      </c>
      <c r="CM73" s="43">
        <f t="shared" si="533"/>
        <v>6.9061684811347335E-2</v>
      </c>
      <c r="CN73" s="43">
        <f t="shared" si="533"/>
        <v>6.9061684811347335E-2</v>
      </c>
      <c r="CO73" s="43">
        <f t="shared" si="533"/>
        <v>6.9061684811347335E-2</v>
      </c>
      <c r="CP73" s="43">
        <f t="shared" si="533"/>
        <v>6.9061684811347335E-2</v>
      </c>
      <c r="CQ73" s="43">
        <f t="shared" si="533"/>
        <v>6.9061684811347335E-2</v>
      </c>
      <c r="CR73" s="43">
        <f t="shared" si="533"/>
        <v>6.9061684811347335E-2</v>
      </c>
      <c r="CS73" s="43">
        <f t="shared" si="533"/>
        <v>6.9061684811347335E-2</v>
      </c>
      <c r="CT73" s="43">
        <f>BN73</f>
        <v>6.9061684811347335E-2</v>
      </c>
      <c r="CV73" s="43">
        <f>AJ73</f>
        <v>6.9061684811347335E-2</v>
      </c>
      <c r="CW73" s="43">
        <f t="shared" si="495"/>
        <v>6.9061684811347335E-2</v>
      </c>
      <c r="CX73" s="43">
        <f t="shared" si="496"/>
        <v>6.9061684811347335E-2</v>
      </c>
      <c r="CY73" s="43">
        <f t="shared" si="497"/>
        <v>6.9061684811347335E-2</v>
      </c>
      <c r="CZ73" s="43">
        <f t="shared" si="498"/>
        <v>6.9061684811347335E-2</v>
      </c>
      <c r="DA73" s="43">
        <f t="shared" si="499"/>
        <v>6.9061684811347335E-2</v>
      </c>
      <c r="DB73" s="43">
        <f t="shared" si="500"/>
        <v>6.9061684811347335E-2</v>
      </c>
      <c r="DC73" s="43">
        <f t="shared" si="501"/>
        <v>6.9061684811347335E-2</v>
      </c>
      <c r="DD73" s="43">
        <f t="shared" si="502"/>
        <v>6.9061684811347335E-2</v>
      </c>
      <c r="DE73" s="43">
        <f t="shared" si="503"/>
        <v>6.9061684811347335E-2</v>
      </c>
      <c r="DF73" s="43">
        <f t="shared" si="504"/>
        <v>6.9061684811347335E-2</v>
      </c>
      <c r="DG73" s="43">
        <f t="shared" si="505"/>
        <v>6.9061684811347335E-2</v>
      </c>
      <c r="DH73" s="43">
        <f t="shared" si="506"/>
        <v>6.9061684811347335E-2</v>
      </c>
      <c r="DI73" s="43">
        <f t="shared" si="507"/>
        <v>6.9061684811347335E-2</v>
      </c>
      <c r="DJ73" s="43">
        <f t="shared" si="508"/>
        <v>6.9061684811347335E-2</v>
      </c>
      <c r="DK73" s="43">
        <f t="shared" si="509"/>
        <v>6.9061684811347335E-2</v>
      </c>
      <c r="DL73" s="43">
        <f t="shared" si="510"/>
        <v>6.9061684811347335E-2</v>
      </c>
      <c r="DM73" s="43">
        <f t="shared" si="511"/>
        <v>6.9061684811347335E-2</v>
      </c>
      <c r="DN73" s="43">
        <f t="shared" si="512"/>
        <v>6.9061684811347335E-2</v>
      </c>
      <c r="DO73" s="43">
        <f t="shared" si="513"/>
        <v>6.9061684811347335E-2</v>
      </c>
      <c r="DP73" s="43">
        <f t="shared" si="514"/>
        <v>6.9061684811347335E-2</v>
      </c>
      <c r="DQ73" s="43">
        <f t="shared" si="515"/>
        <v>6.9061684811347335E-2</v>
      </c>
      <c r="DR73" s="43">
        <f t="shared" si="516"/>
        <v>6.9061684811347335E-2</v>
      </c>
      <c r="DS73" s="43">
        <f t="shared" si="517"/>
        <v>6.9061684811347335E-2</v>
      </c>
      <c r="DT73" s="43">
        <f t="shared" si="518"/>
        <v>6.9061684811347335E-2</v>
      </c>
      <c r="DU73" s="43">
        <f t="shared" si="519"/>
        <v>6.9061684811347335E-2</v>
      </c>
      <c r="DV73" s="43">
        <f t="shared" si="520"/>
        <v>6.9061684811347335E-2</v>
      </c>
      <c r="DW73" s="43">
        <f t="shared" si="521"/>
        <v>6.9061684811347335E-2</v>
      </c>
      <c r="DX73" s="43">
        <f t="shared" si="522"/>
        <v>6.9061684811347335E-2</v>
      </c>
      <c r="DY73" s="43">
        <f t="shared" si="523"/>
        <v>6.9061684811347335E-2</v>
      </c>
      <c r="DZ73" s="43">
        <f t="shared" si="524"/>
        <v>6.9061684811347335E-2</v>
      </c>
    </row>
    <row r="74" spans="1:165">
      <c r="A74" s="606" t="s">
        <v>33</v>
      </c>
      <c r="C74" s="54" t="s">
        <v>458</v>
      </c>
      <c r="D74" s="43">
        <f>$B$190</f>
        <v>5.0000000000000001E-3</v>
      </c>
      <c r="E74" s="43">
        <f t="shared" ref="E74:AG74" si="534">D74-($D74-$AH74)/30</f>
        <v>4.8333333333333336E-3</v>
      </c>
      <c r="F74" s="43">
        <f t="shared" si="534"/>
        <v>4.6666666666666671E-3</v>
      </c>
      <c r="G74" s="43">
        <f t="shared" si="534"/>
        <v>4.5000000000000005E-3</v>
      </c>
      <c r="H74" s="43">
        <f t="shared" si="534"/>
        <v>4.333333333333334E-3</v>
      </c>
      <c r="I74" s="43">
        <f t="shared" si="534"/>
        <v>4.1666666666666675E-3</v>
      </c>
      <c r="J74" s="43">
        <f t="shared" si="534"/>
        <v>4.000000000000001E-3</v>
      </c>
      <c r="K74" s="43">
        <f t="shared" si="534"/>
        <v>3.8333333333333344E-3</v>
      </c>
      <c r="L74" s="43">
        <f t="shared" si="534"/>
        <v>3.6666666666666679E-3</v>
      </c>
      <c r="M74" s="43">
        <f t="shared" si="534"/>
        <v>3.5000000000000014E-3</v>
      </c>
      <c r="N74" s="43">
        <f t="shared" si="534"/>
        <v>3.3333333333333348E-3</v>
      </c>
      <c r="O74" s="43">
        <f t="shared" si="534"/>
        <v>3.1666666666666683E-3</v>
      </c>
      <c r="P74" s="43">
        <f t="shared" si="534"/>
        <v>3.0000000000000018E-3</v>
      </c>
      <c r="Q74" s="43">
        <f t="shared" si="534"/>
        <v>2.8333333333333353E-3</v>
      </c>
      <c r="R74" s="43">
        <f t="shared" si="534"/>
        <v>2.6666666666666687E-3</v>
      </c>
      <c r="S74" s="43">
        <f t="shared" si="534"/>
        <v>2.5000000000000022E-3</v>
      </c>
      <c r="T74" s="43">
        <f t="shared" si="534"/>
        <v>2.3333333333333357E-3</v>
      </c>
      <c r="U74" s="43">
        <f t="shared" si="534"/>
        <v>2.1666666666666692E-3</v>
      </c>
      <c r="V74" s="43">
        <f t="shared" si="534"/>
        <v>2.0000000000000026E-3</v>
      </c>
      <c r="W74" s="43">
        <f t="shared" si="534"/>
        <v>1.8333333333333359E-3</v>
      </c>
      <c r="X74" s="43">
        <f t="shared" si="534"/>
        <v>1.6666666666666692E-3</v>
      </c>
      <c r="Y74" s="43">
        <f t="shared" si="534"/>
        <v>1.5000000000000024E-3</v>
      </c>
      <c r="Z74" s="43">
        <f t="shared" si="534"/>
        <v>1.3333333333333357E-3</v>
      </c>
      <c r="AA74" s="43">
        <f t="shared" si="534"/>
        <v>1.1666666666666689E-3</v>
      </c>
      <c r="AB74" s="43">
        <f t="shared" si="534"/>
        <v>1.0000000000000022E-3</v>
      </c>
      <c r="AC74" s="43">
        <f t="shared" si="534"/>
        <v>8.3333333333333556E-4</v>
      </c>
      <c r="AD74" s="43">
        <f t="shared" si="534"/>
        <v>6.6666666666666892E-4</v>
      </c>
      <c r="AE74" s="43">
        <f t="shared" si="534"/>
        <v>5.0000000000000229E-4</v>
      </c>
      <c r="AF74" s="43">
        <f t="shared" si="534"/>
        <v>3.3333333333333565E-4</v>
      </c>
      <c r="AG74" s="43">
        <f t="shared" si="534"/>
        <v>1.6666666666666899E-4</v>
      </c>
      <c r="AH74" s="43">
        <f>$C$190</f>
        <v>0</v>
      </c>
      <c r="AI74" s="44"/>
      <c r="AJ74" s="43">
        <f t="shared" si="526"/>
        <v>5.0000000000000001E-3</v>
      </c>
      <c r="AK74" s="43">
        <f t="shared" si="464"/>
        <v>4.8333333333333336E-3</v>
      </c>
      <c r="AL74" s="43">
        <f t="shared" si="465"/>
        <v>4.6666666666666671E-3</v>
      </c>
      <c r="AM74" s="43">
        <f t="shared" si="466"/>
        <v>4.5000000000000005E-3</v>
      </c>
      <c r="AN74" s="43">
        <f t="shared" si="467"/>
        <v>4.333333333333334E-3</v>
      </c>
      <c r="AO74" s="43">
        <f t="shared" si="468"/>
        <v>4.1666666666666675E-3</v>
      </c>
      <c r="AP74" s="43">
        <f t="shared" si="469"/>
        <v>4.000000000000001E-3</v>
      </c>
      <c r="AQ74" s="43">
        <f t="shared" si="470"/>
        <v>3.8333333333333344E-3</v>
      </c>
      <c r="AR74" s="43">
        <f t="shared" si="471"/>
        <v>3.6666666666666679E-3</v>
      </c>
      <c r="AS74" s="43">
        <f t="shared" si="472"/>
        <v>3.5000000000000014E-3</v>
      </c>
      <c r="AT74" s="43">
        <f t="shared" si="473"/>
        <v>3.3333333333333348E-3</v>
      </c>
      <c r="AU74" s="43">
        <f t="shared" si="474"/>
        <v>3.1666666666666683E-3</v>
      </c>
      <c r="AV74" s="43">
        <f t="shared" si="475"/>
        <v>3.0000000000000018E-3</v>
      </c>
      <c r="AW74" s="43">
        <f t="shared" si="476"/>
        <v>2.8333333333333353E-3</v>
      </c>
      <c r="AX74" s="43">
        <f t="shared" si="477"/>
        <v>2.6666666666666687E-3</v>
      </c>
      <c r="AY74" s="43">
        <f t="shared" si="478"/>
        <v>2.5000000000000022E-3</v>
      </c>
      <c r="AZ74" s="43">
        <f t="shared" si="479"/>
        <v>2.3333333333333357E-3</v>
      </c>
      <c r="BA74" s="43">
        <f t="shared" si="480"/>
        <v>2.1666666666666692E-3</v>
      </c>
      <c r="BB74" s="43">
        <f t="shared" si="481"/>
        <v>2.0000000000000026E-3</v>
      </c>
      <c r="BC74" s="43">
        <f t="shared" si="482"/>
        <v>1.8333333333333359E-3</v>
      </c>
      <c r="BD74" s="43">
        <f t="shared" si="483"/>
        <v>1.6666666666666692E-3</v>
      </c>
      <c r="BE74" s="43">
        <f t="shared" si="484"/>
        <v>1.5000000000000024E-3</v>
      </c>
      <c r="BF74" s="43">
        <f t="shared" si="485"/>
        <v>1.3333333333333357E-3</v>
      </c>
      <c r="BG74" s="43">
        <f t="shared" si="486"/>
        <v>1.1666666666666689E-3</v>
      </c>
      <c r="BH74" s="43">
        <f t="shared" si="487"/>
        <v>1.0000000000000022E-3</v>
      </c>
      <c r="BI74" s="43">
        <f t="shared" si="488"/>
        <v>8.3333333333333556E-4</v>
      </c>
      <c r="BJ74" s="43">
        <f t="shared" si="489"/>
        <v>6.6666666666666892E-4</v>
      </c>
      <c r="BK74" s="43">
        <f t="shared" si="490"/>
        <v>5.0000000000000229E-4</v>
      </c>
      <c r="BL74" s="43">
        <f t="shared" si="491"/>
        <v>3.3333333333333565E-4</v>
      </c>
      <c r="BM74" s="43">
        <f t="shared" si="492"/>
        <v>1.6666666666666899E-4</v>
      </c>
      <c r="BN74" s="43">
        <f t="shared" si="493"/>
        <v>0</v>
      </c>
      <c r="BP74" s="43">
        <f t="shared" si="527"/>
        <v>5.0000000000000001E-3</v>
      </c>
      <c r="BQ74" s="43">
        <f t="shared" ref="BQ74:CS74" si="535">BP74-($BP74-$CT74)/30</f>
        <v>5.0000000000000001E-3</v>
      </c>
      <c r="BR74" s="43">
        <f t="shared" si="535"/>
        <v>5.0000000000000001E-3</v>
      </c>
      <c r="BS74" s="43">
        <f t="shared" si="535"/>
        <v>5.0000000000000001E-3</v>
      </c>
      <c r="BT74" s="43">
        <f t="shared" si="535"/>
        <v>5.0000000000000001E-3</v>
      </c>
      <c r="BU74" s="43">
        <f t="shared" si="535"/>
        <v>5.0000000000000001E-3</v>
      </c>
      <c r="BV74" s="43">
        <f t="shared" si="535"/>
        <v>5.0000000000000001E-3</v>
      </c>
      <c r="BW74" s="43">
        <f t="shared" si="535"/>
        <v>5.0000000000000001E-3</v>
      </c>
      <c r="BX74" s="43">
        <f t="shared" si="535"/>
        <v>5.0000000000000001E-3</v>
      </c>
      <c r="BY74" s="43">
        <f t="shared" si="535"/>
        <v>5.0000000000000001E-3</v>
      </c>
      <c r="BZ74" s="43">
        <f t="shared" si="535"/>
        <v>5.0000000000000001E-3</v>
      </c>
      <c r="CA74" s="43">
        <f t="shared" si="535"/>
        <v>5.0000000000000001E-3</v>
      </c>
      <c r="CB74" s="43">
        <f t="shared" si="535"/>
        <v>5.0000000000000001E-3</v>
      </c>
      <c r="CC74" s="43">
        <f t="shared" si="535"/>
        <v>5.0000000000000001E-3</v>
      </c>
      <c r="CD74" s="43">
        <f t="shared" si="535"/>
        <v>5.0000000000000001E-3</v>
      </c>
      <c r="CE74" s="43">
        <f t="shared" si="535"/>
        <v>5.0000000000000001E-3</v>
      </c>
      <c r="CF74" s="43">
        <f t="shared" si="535"/>
        <v>5.0000000000000001E-3</v>
      </c>
      <c r="CG74" s="43">
        <f t="shared" si="535"/>
        <v>5.0000000000000001E-3</v>
      </c>
      <c r="CH74" s="43">
        <f t="shared" si="535"/>
        <v>5.0000000000000001E-3</v>
      </c>
      <c r="CI74" s="43">
        <f t="shared" si="535"/>
        <v>5.0000000000000001E-3</v>
      </c>
      <c r="CJ74" s="43">
        <f t="shared" si="535"/>
        <v>5.0000000000000001E-3</v>
      </c>
      <c r="CK74" s="43">
        <f t="shared" si="535"/>
        <v>5.0000000000000001E-3</v>
      </c>
      <c r="CL74" s="43">
        <f t="shared" si="535"/>
        <v>5.0000000000000001E-3</v>
      </c>
      <c r="CM74" s="43">
        <f t="shared" si="535"/>
        <v>5.0000000000000001E-3</v>
      </c>
      <c r="CN74" s="43">
        <f t="shared" si="535"/>
        <v>5.0000000000000001E-3</v>
      </c>
      <c r="CO74" s="43">
        <f t="shared" si="535"/>
        <v>5.0000000000000001E-3</v>
      </c>
      <c r="CP74" s="43">
        <f t="shared" si="535"/>
        <v>5.0000000000000001E-3</v>
      </c>
      <c r="CQ74" s="43">
        <f t="shared" si="535"/>
        <v>5.0000000000000001E-3</v>
      </c>
      <c r="CR74" s="43">
        <f t="shared" si="535"/>
        <v>5.0000000000000001E-3</v>
      </c>
      <c r="CS74" s="43">
        <f t="shared" si="535"/>
        <v>5.0000000000000001E-3</v>
      </c>
      <c r="CT74" s="43">
        <f t="shared" ref="CT74:CT78" si="536">BP74</f>
        <v>5.0000000000000001E-3</v>
      </c>
      <c r="CV74" s="43">
        <f>AJ74</f>
        <v>5.0000000000000001E-3</v>
      </c>
      <c r="CW74" s="43">
        <f t="shared" si="495"/>
        <v>4.8333333333333336E-3</v>
      </c>
      <c r="CX74" s="43">
        <f t="shared" si="496"/>
        <v>4.6666666666666671E-3</v>
      </c>
      <c r="CY74" s="43">
        <f t="shared" si="497"/>
        <v>4.5000000000000005E-3</v>
      </c>
      <c r="CZ74" s="43">
        <f t="shared" si="498"/>
        <v>4.333333333333334E-3</v>
      </c>
      <c r="DA74" s="43">
        <f t="shared" si="499"/>
        <v>4.1666666666666675E-3</v>
      </c>
      <c r="DB74" s="43">
        <f t="shared" si="500"/>
        <v>4.000000000000001E-3</v>
      </c>
      <c r="DC74" s="43">
        <f t="shared" si="501"/>
        <v>3.8333333333333344E-3</v>
      </c>
      <c r="DD74" s="43">
        <f t="shared" si="502"/>
        <v>3.6666666666666679E-3</v>
      </c>
      <c r="DE74" s="43">
        <f t="shared" si="503"/>
        <v>3.5000000000000014E-3</v>
      </c>
      <c r="DF74" s="43">
        <f t="shared" si="504"/>
        <v>3.3333333333333348E-3</v>
      </c>
      <c r="DG74" s="43">
        <f t="shared" si="505"/>
        <v>3.1666666666666683E-3</v>
      </c>
      <c r="DH74" s="43">
        <f t="shared" si="506"/>
        <v>3.0000000000000018E-3</v>
      </c>
      <c r="DI74" s="43">
        <f t="shared" si="507"/>
        <v>2.8333333333333353E-3</v>
      </c>
      <c r="DJ74" s="43">
        <f t="shared" si="508"/>
        <v>2.6666666666666687E-3</v>
      </c>
      <c r="DK74" s="43">
        <f t="shared" si="509"/>
        <v>2.5000000000000022E-3</v>
      </c>
      <c r="DL74" s="43">
        <f t="shared" si="510"/>
        <v>2.3333333333333357E-3</v>
      </c>
      <c r="DM74" s="43">
        <f t="shared" si="511"/>
        <v>2.1666666666666692E-3</v>
      </c>
      <c r="DN74" s="43">
        <f t="shared" si="512"/>
        <v>2.0000000000000026E-3</v>
      </c>
      <c r="DO74" s="43">
        <f t="shared" si="513"/>
        <v>1.8333333333333359E-3</v>
      </c>
      <c r="DP74" s="43">
        <f t="shared" si="514"/>
        <v>1.6666666666666692E-3</v>
      </c>
      <c r="DQ74" s="43">
        <f t="shared" si="515"/>
        <v>1.5000000000000024E-3</v>
      </c>
      <c r="DR74" s="43">
        <f t="shared" si="516"/>
        <v>1.3333333333333357E-3</v>
      </c>
      <c r="DS74" s="43">
        <f t="shared" si="517"/>
        <v>1.1666666666666689E-3</v>
      </c>
      <c r="DT74" s="43">
        <f t="shared" si="518"/>
        <v>1.0000000000000022E-3</v>
      </c>
      <c r="DU74" s="43">
        <f t="shared" si="519"/>
        <v>8.3333333333333556E-4</v>
      </c>
      <c r="DV74" s="43">
        <f t="shared" si="520"/>
        <v>6.6666666666666892E-4</v>
      </c>
      <c r="DW74" s="43">
        <f t="shared" si="521"/>
        <v>5.0000000000000229E-4</v>
      </c>
      <c r="DX74" s="43">
        <f t="shared" si="522"/>
        <v>3.3333333333333565E-4</v>
      </c>
      <c r="DY74" s="43">
        <f t="shared" si="523"/>
        <v>1.6666666666666899E-4</v>
      </c>
      <c r="DZ74" s="43">
        <f t="shared" si="524"/>
        <v>0</v>
      </c>
    </row>
    <row r="75" spans="1:165">
      <c r="A75" s="606" t="s">
        <v>451</v>
      </c>
      <c r="C75" s="54" t="s">
        <v>458</v>
      </c>
      <c r="D75" s="43">
        <f>$B$191</f>
        <v>0</v>
      </c>
      <c r="E75" s="43">
        <f t="shared" ref="E75:AG75" si="537">D75-($D75-$AH75)/30</f>
        <v>0</v>
      </c>
      <c r="F75" s="43">
        <f t="shared" si="537"/>
        <v>0</v>
      </c>
      <c r="G75" s="43">
        <f t="shared" si="537"/>
        <v>0</v>
      </c>
      <c r="H75" s="43">
        <f t="shared" si="537"/>
        <v>0</v>
      </c>
      <c r="I75" s="43">
        <f t="shared" si="537"/>
        <v>0</v>
      </c>
      <c r="J75" s="43">
        <f t="shared" si="537"/>
        <v>0</v>
      </c>
      <c r="K75" s="43">
        <f t="shared" si="537"/>
        <v>0</v>
      </c>
      <c r="L75" s="43">
        <f t="shared" si="537"/>
        <v>0</v>
      </c>
      <c r="M75" s="43">
        <f t="shared" si="537"/>
        <v>0</v>
      </c>
      <c r="N75" s="43">
        <f t="shared" si="537"/>
        <v>0</v>
      </c>
      <c r="O75" s="43">
        <f t="shared" si="537"/>
        <v>0</v>
      </c>
      <c r="P75" s="43">
        <f t="shared" si="537"/>
        <v>0</v>
      </c>
      <c r="Q75" s="43">
        <f t="shared" si="537"/>
        <v>0</v>
      </c>
      <c r="R75" s="43">
        <f t="shared" si="537"/>
        <v>0</v>
      </c>
      <c r="S75" s="43">
        <f t="shared" si="537"/>
        <v>0</v>
      </c>
      <c r="T75" s="43">
        <f t="shared" si="537"/>
        <v>0</v>
      </c>
      <c r="U75" s="43">
        <f t="shared" si="537"/>
        <v>0</v>
      </c>
      <c r="V75" s="43">
        <f t="shared" si="537"/>
        <v>0</v>
      </c>
      <c r="W75" s="43">
        <f t="shared" si="537"/>
        <v>0</v>
      </c>
      <c r="X75" s="43">
        <f t="shared" si="537"/>
        <v>0</v>
      </c>
      <c r="Y75" s="43">
        <f t="shared" si="537"/>
        <v>0</v>
      </c>
      <c r="Z75" s="43">
        <f t="shared" si="537"/>
        <v>0</v>
      </c>
      <c r="AA75" s="43">
        <f t="shared" si="537"/>
        <v>0</v>
      </c>
      <c r="AB75" s="43">
        <f t="shared" si="537"/>
        <v>0</v>
      </c>
      <c r="AC75" s="43">
        <f t="shared" si="537"/>
        <v>0</v>
      </c>
      <c r="AD75" s="43">
        <f t="shared" si="537"/>
        <v>0</v>
      </c>
      <c r="AE75" s="43">
        <f t="shared" si="537"/>
        <v>0</v>
      </c>
      <c r="AF75" s="43">
        <f t="shared" si="537"/>
        <v>0</v>
      </c>
      <c r="AG75" s="43">
        <f t="shared" si="537"/>
        <v>0</v>
      </c>
      <c r="AH75" s="43">
        <f>$C$191</f>
        <v>0</v>
      </c>
      <c r="AI75" s="44"/>
      <c r="AJ75" s="43">
        <f t="shared" si="526"/>
        <v>0</v>
      </c>
      <c r="AK75" s="43">
        <f t="shared" si="464"/>
        <v>0</v>
      </c>
      <c r="AL75" s="43">
        <f t="shared" si="465"/>
        <v>0</v>
      </c>
      <c r="AM75" s="43">
        <f t="shared" si="466"/>
        <v>0</v>
      </c>
      <c r="AN75" s="43">
        <f t="shared" si="467"/>
        <v>0</v>
      </c>
      <c r="AO75" s="43">
        <f t="shared" si="468"/>
        <v>0</v>
      </c>
      <c r="AP75" s="43">
        <f t="shared" si="469"/>
        <v>0</v>
      </c>
      <c r="AQ75" s="43">
        <f t="shared" si="470"/>
        <v>0</v>
      </c>
      <c r="AR75" s="43">
        <f t="shared" si="471"/>
        <v>0</v>
      </c>
      <c r="AS75" s="43">
        <f t="shared" si="472"/>
        <v>0</v>
      </c>
      <c r="AT75" s="43">
        <f t="shared" si="473"/>
        <v>0</v>
      </c>
      <c r="AU75" s="43">
        <f t="shared" si="474"/>
        <v>0</v>
      </c>
      <c r="AV75" s="43">
        <f t="shared" si="475"/>
        <v>0</v>
      </c>
      <c r="AW75" s="43">
        <f t="shared" si="476"/>
        <v>0</v>
      </c>
      <c r="AX75" s="43">
        <f t="shared" si="477"/>
        <v>0</v>
      </c>
      <c r="AY75" s="43">
        <f t="shared" si="478"/>
        <v>0</v>
      </c>
      <c r="AZ75" s="43">
        <f t="shared" si="479"/>
        <v>0</v>
      </c>
      <c r="BA75" s="43">
        <f t="shared" si="480"/>
        <v>0</v>
      </c>
      <c r="BB75" s="43">
        <f t="shared" si="481"/>
        <v>0</v>
      </c>
      <c r="BC75" s="43">
        <f t="shared" si="482"/>
        <v>0</v>
      </c>
      <c r="BD75" s="43">
        <f t="shared" si="483"/>
        <v>0</v>
      </c>
      <c r="BE75" s="43">
        <f t="shared" si="484"/>
        <v>0</v>
      </c>
      <c r="BF75" s="43">
        <f t="shared" si="485"/>
        <v>0</v>
      </c>
      <c r="BG75" s="43">
        <f t="shared" si="486"/>
        <v>0</v>
      </c>
      <c r="BH75" s="43">
        <f t="shared" si="487"/>
        <v>0</v>
      </c>
      <c r="BI75" s="43">
        <f t="shared" si="488"/>
        <v>0</v>
      </c>
      <c r="BJ75" s="43">
        <f t="shared" si="489"/>
        <v>0</v>
      </c>
      <c r="BK75" s="43">
        <f t="shared" si="490"/>
        <v>0</v>
      </c>
      <c r="BL75" s="43">
        <f t="shared" si="491"/>
        <v>0</v>
      </c>
      <c r="BM75" s="43">
        <f t="shared" si="492"/>
        <v>0</v>
      </c>
      <c r="BN75" s="43">
        <f t="shared" si="493"/>
        <v>0</v>
      </c>
      <c r="BP75" s="43">
        <f t="shared" si="527"/>
        <v>0</v>
      </c>
      <c r="BQ75" s="43">
        <f t="shared" ref="BQ75:CS75" si="538">BP75-($BP75-$CT75)/30</f>
        <v>0</v>
      </c>
      <c r="BR75" s="43">
        <f t="shared" si="538"/>
        <v>0</v>
      </c>
      <c r="BS75" s="43">
        <f t="shared" si="538"/>
        <v>0</v>
      </c>
      <c r="BT75" s="43">
        <f t="shared" si="538"/>
        <v>0</v>
      </c>
      <c r="BU75" s="43">
        <f t="shared" si="538"/>
        <v>0</v>
      </c>
      <c r="BV75" s="43">
        <f t="shared" si="538"/>
        <v>0</v>
      </c>
      <c r="BW75" s="43">
        <f t="shared" si="538"/>
        <v>0</v>
      </c>
      <c r="BX75" s="43">
        <f t="shared" si="538"/>
        <v>0</v>
      </c>
      <c r="BY75" s="43">
        <f t="shared" si="538"/>
        <v>0</v>
      </c>
      <c r="BZ75" s="43">
        <f t="shared" si="538"/>
        <v>0</v>
      </c>
      <c r="CA75" s="43">
        <f t="shared" si="538"/>
        <v>0</v>
      </c>
      <c r="CB75" s="43">
        <f t="shared" si="538"/>
        <v>0</v>
      </c>
      <c r="CC75" s="43">
        <f t="shared" si="538"/>
        <v>0</v>
      </c>
      <c r="CD75" s="43">
        <f t="shared" si="538"/>
        <v>0</v>
      </c>
      <c r="CE75" s="43">
        <f t="shared" si="538"/>
        <v>0</v>
      </c>
      <c r="CF75" s="43">
        <f t="shared" si="538"/>
        <v>0</v>
      </c>
      <c r="CG75" s="43">
        <f t="shared" si="538"/>
        <v>0</v>
      </c>
      <c r="CH75" s="43">
        <f t="shared" si="538"/>
        <v>0</v>
      </c>
      <c r="CI75" s="43">
        <f t="shared" si="538"/>
        <v>0</v>
      </c>
      <c r="CJ75" s="43">
        <f t="shared" si="538"/>
        <v>0</v>
      </c>
      <c r="CK75" s="43">
        <f t="shared" si="538"/>
        <v>0</v>
      </c>
      <c r="CL75" s="43">
        <f t="shared" si="538"/>
        <v>0</v>
      </c>
      <c r="CM75" s="43">
        <f t="shared" si="538"/>
        <v>0</v>
      </c>
      <c r="CN75" s="43">
        <f t="shared" si="538"/>
        <v>0</v>
      </c>
      <c r="CO75" s="43">
        <f t="shared" si="538"/>
        <v>0</v>
      </c>
      <c r="CP75" s="43">
        <f t="shared" si="538"/>
        <v>0</v>
      </c>
      <c r="CQ75" s="43">
        <f t="shared" si="538"/>
        <v>0</v>
      </c>
      <c r="CR75" s="43">
        <f t="shared" si="538"/>
        <v>0</v>
      </c>
      <c r="CS75" s="43">
        <f t="shared" si="538"/>
        <v>0</v>
      </c>
      <c r="CT75" s="43">
        <f t="shared" si="536"/>
        <v>0</v>
      </c>
      <c r="CV75" s="43">
        <f t="shared" ref="CV75:CV78" si="539">AJ75</f>
        <v>0</v>
      </c>
      <c r="CW75" s="43">
        <f t="shared" ref="CW75:CW78" si="540">CV75-($BP75-$CT75)/30</f>
        <v>0</v>
      </c>
      <c r="CX75" s="43">
        <f t="shared" ref="CX75:CX78" si="541">CW75-($BP75-$CT75)/30</f>
        <v>0</v>
      </c>
      <c r="CY75" s="43">
        <f t="shared" ref="CY75:CY78" si="542">CX75-($BP75-$CT75)/30</f>
        <v>0</v>
      </c>
      <c r="CZ75" s="43">
        <f t="shared" ref="CZ75:CZ78" si="543">CY75-($BP75-$CT75)/30</f>
        <v>0</v>
      </c>
      <c r="DA75" s="43">
        <f t="shared" ref="DA75:DA78" si="544">CZ75-($BP75-$CT75)/30</f>
        <v>0</v>
      </c>
      <c r="DB75" s="43">
        <f t="shared" ref="DB75:DB78" si="545">DA75-($BP75-$CT75)/30</f>
        <v>0</v>
      </c>
      <c r="DC75" s="43">
        <f t="shared" ref="DC75:DC78" si="546">DB75-($BP75-$CT75)/30</f>
        <v>0</v>
      </c>
      <c r="DD75" s="43">
        <f t="shared" ref="DD75:DD78" si="547">DC75-($BP75-$CT75)/30</f>
        <v>0</v>
      </c>
      <c r="DE75" s="43">
        <f t="shared" ref="DE75:DE78" si="548">DD75-($BP75-$CT75)/30</f>
        <v>0</v>
      </c>
      <c r="DF75" s="43">
        <f t="shared" ref="DF75:DF78" si="549">DE75-($BP75-$CT75)/30</f>
        <v>0</v>
      </c>
      <c r="DG75" s="43">
        <f t="shared" ref="DG75:DG78" si="550">DF75-($BP75-$CT75)/30</f>
        <v>0</v>
      </c>
      <c r="DH75" s="43">
        <f t="shared" ref="DH75:DH78" si="551">DG75-($BP75-$CT75)/30</f>
        <v>0</v>
      </c>
      <c r="DI75" s="43">
        <f t="shared" ref="DI75:DI78" si="552">DH75-($BP75-$CT75)/30</f>
        <v>0</v>
      </c>
      <c r="DJ75" s="43">
        <f t="shared" ref="DJ75:DJ78" si="553">DI75-($BP75-$CT75)/30</f>
        <v>0</v>
      </c>
      <c r="DK75" s="43">
        <f t="shared" ref="DK75:DK78" si="554">DJ75-($BP75-$CT75)/30</f>
        <v>0</v>
      </c>
      <c r="DL75" s="43">
        <f t="shared" ref="DL75:DL78" si="555">DK75-($BP75-$CT75)/30</f>
        <v>0</v>
      </c>
      <c r="DM75" s="43">
        <f t="shared" ref="DM75:DM78" si="556">DL75-($BP75-$CT75)/30</f>
        <v>0</v>
      </c>
      <c r="DN75" s="43">
        <f t="shared" ref="DN75:DN78" si="557">DM75-($BP75-$CT75)/30</f>
        <v>0</v>
      </c>
      <c r="DO75" s="43">
        <f t="shared" ref="DO75:DO78" si="558">DN75-($BP75-$CT75)/30</f>
        <v>0</v>
      </c>
      <c r="DP75" s="43">
        <f t="shared" ref="DP75:DP78" si="559">DO75-($BP75-$CT75)/30</f>
        <v>0</v>
      </c>
      <c r="DQ75" s="43">
        <f t="shared" ref="DQ75:DQ78" si="560">DP75-($BP75-$CT75)/30</f>
        <v>0</v>
      </c>
      <c r="DR75" s="43">
        <f t="shared" ref="DR75:DR78" si="561">DQ75-($BP75-$CT75)/30</f>
        <v>0</v>
      </c>
      <c r="DS75" s="43">
        <f t="shared" ref="DS75:DS78" si="562">DR75-($BP75-$CT75)/30</f>
        <v>0</v>
      </c>
      <c r="DT75" s="43">
        <f t="shared" ref="DT75:DT78" si="563">DS75-($BP75-$CT75)/30</f>
        <v>0</v>
      </c>
      <c r="DU75" s="43">
        <f t="shared" ref="DU75:DU78" si="564">DT75-($BP75-$CT75)/30</f>
        <v>0</v>
      </c>
      <c r="DV75" s="43">
        <f t="shared" ref="DV75:DV78" si="565">DU75-($BP75-$CT75)/30</f>
        <v>0</v>
      </c>
      <c r="DW75" s="43">
        <f t="shared" ref="DW75:DW78" si="566">DV75-($BP75-$CT75)/30</f>
        <v>0</v>
      </c>
      <c r="DX75" s="43">
        <f t="shared" ref="DX75:DX78" si="567">DW75-($BP75-$CT75)/30</f>
        <v>0</v>
      </c>
      <c r="DY75" s="43">
        <f t="shared" ref="DY75:DY78" si="568">DX75-($BP75-$CT75)/30</f>
        <v>0</v>
      </c>
      <c r="DZ75" s="43">
        <v>0</v>
      </c>
    </row>
    <row r="76" spans="1:165">
      <c r="A76" s="606" t="s">
        <v>452</v>
      </c>
      <c r="C76" s="54" t="s">
        <v>458</v>
      </c>
      <c r="D76" s="43">
        <f>$B$192</f>
        <v>2.8940000000000001</v>
      </c>
      <c r="E76" s="43">
        <f t="shared" ref="E76:AG76" si="569">D76-($D76-$AH76)/30</f>
        <v>2.8940000000000001</v>
      </c>
      <c r="F76" s="43">
        <f t="shared" si="569"/>
        <v>2.8940000000000001</v>
      </c>
      <c r="G76" s="43">
        <f t="shared" si="569"/>
        <v>2.8940000000000001</v>
      </c>
      <c r="H76" s="43">
        <f t="shared" si="569"/>
        <v>2.8940000000000001</v>
      </c>
      <c r="I76" s="43">
        <f t="shared" si="569"/>
        <v>2.8940000000000001</v>
      </c>
      <c r="J76" s="43">
        <f t="shared" si="569"/>
        <v>2.8940000000000001</v>
      </c>
      <c r="K76" s="43">
        <f t="shared" si="569"/>
        <v>2.8940000000000001</v>
      </c>
      <c r="L76" s="43">
        <f t="shared" si="569"/>
        <v>2.8940000000000001</v>
      </c>
      <c r="M76" s="43">
        <f t="shared" si="569"/>
        <v>2.8940000000000001</v>
      </c>
      <c r="N76" s="43">
        <f t="shared" si="569"/>
        <v>2.8940000000000001</v>
      </c>
      <c r="O76" s="43">
        <f t="shared" si="569"/>
        <v>2.8940000000000001</v>
      </c>
      <c r="P76" s="43">
        <f t="shared" si="569"/>
        <v>2.8940000000000001</v>
      </c>
      <c r="Q76" s="43">
        <f t="shared" si="569"/>
        <v>2.8940000000000001</v>
      </c>
      <c r="R76" s="43">
        <f t="shared" si="569"/>
        <v>2.8940000000000001</v>
      </c>
      <c r="S76" s="43">
        <f t="shared" si="569"/>
        <v>2.8940000000000001</v>
      </c>
      <c r="T76" s="43">
        <f t="shared" si="569"/>
        <v>2.8940000000000001</v>
      </c>
      <c r="U76" s="43">
        <f t="shared" si="569"/>
        <v>2.8940000000000001</v>
      </c>
      <c r="V76" s="43">
        <f t="shared" si="569"/>
        <v>2.8940000000000001</v>
      </c>
      <c r="W76" s="43">
        <f t="shared" si="569"/>
        <v>2.8940000000000001</v>
      </c>
      <c r="X76" s="43">
        <f t="shared" si="569"/>
        <v>2.8940000000000001</v>
      </c>
      <c r="Y76" s="43">
        <f t="shared" si="569"/>
        <v>2.8940000000000001</v>
      </c>
      <c r="Z76" s="43">
        <f t="shared" si="569"/>
        <v>2.8940000000000001</v>
      </c>
      <c r="AA76" s="43">
        <f t="shared" si="569"/>
        <v>2.8940000000000001</v>
      </c>
      <c r="AB76" s="43">
        <f t="shared" si="569"/>
        <v>2.8940000000000001</v>
      </c>
      <c r="AC76" s="43">
        <f t="shared" si="569"/>
        <v>2.8940000000000001</v>
      </c>
      <c r="AD76" s="43">
        <f t="shared" si="569"/>
        <v>2.8940000000000001</v>
      </c>
      <c r="AE76" s="43">
        <f t="shared" si="569"/>
        <v>2.8940000000000001</v>
      </c>
      <c r="AF76" s="43">
        <f t="shared" si="569"/>
        <v>2.8940000000000001</v>
      </c>
      <c r="AG76" s="43">
        <f t="shared" si="569"/>
        <v>2.8940000000000001</v>
      </c>
      <c r="AH76" s="43">
        <f>$C$192</f>
        <v>2.8940000000000001</v>
      </c>
      <c r="AI76" s="44"/>
      <c r="AJ76" s="43">
        <f t="shared" si="526"/>
        <v>2.8940000000000001</v>
      </c>
      <c r="AK76" s="43">
        <f t="shared" si="464"/>
        <v>2.8940000000000001</v>
      </c>
      <c r="AL76" s="43">
        <f t="shared" si="465"/>
        <v>2.8940000000000001</v>
      </c>
      <c r="AM76" s="43">
        <f t="shared" si="466"/>
        <v>2.8940000000000001</v>
      </c>
      <c r="AN76" s="43">
        <f t="shared" si="467"/>
        <v>2.8940000000000001</v>
      </c>
      <c r="AO76" s="43">
        <f t="shared" si="468"/>
        <v>2.8940000000000001</v>
      </c>
      <c r="AP76" s="43">
        <f t="shared" si="469"/>
        <v>2.8940000000000001</v>
      </c>
      <c r="AQ76" s="43">
        <f t="shared" si="470"/>
        <v>2.8940000000000001</v>
      </c>
      <c r="AR76" s="43">
        <f t="shared" si="471"/>
        <v>2.8940000000000001</v>
      </c>
      <c r="AS76" s="43">
        <f t="shared" si="472"/>
        <v>2.8940000000000001</v>
      </c>
      <c r="AT76" s="43">
        <f t="shared" si="473"/>
        <v>2.8940000000000001</v>
      </c>
      <c r="AU76" s="43">
        <f t="shared" si="474"/>
        <v>2.8940000000000001</v>
      </c>
      <c r="AV76" s="43">
        <f t="shared" si="475"/>
        <v>2.8940000000000001</v>
      </c>
      <c r="AW76" s="43">
        <f t="shared" si="476"/>
        <v>2.8940000000000001</v>
      </c>
      <c r="AX76" s="43">
        <f t="shared" si="477"/>
        <v>2.8940000000000001</v>
      </c>
      <c r="AY76" s="43">
        <f t="shared" si="478"/>
        <v>2.8940000000000001</v>
      </c>
      <c r="AZ76" s="43">
        <f t="shared" si="479"/>
        <v>2.8940000000000001</v>
      </c>
      <c r="BA76" s="43">
        <f t="shared" si="480"/>
        <v>2.8940000000000001</v>
      </c>
      <c r="BB76" s="43">
        <f t="shared" si="481"/>
        <v>2.8940000000000001</v>
      </c>
      <c r="BC76" s="43">
        <f t="shared" si="482"/>
        <v>2.8940000000000001</v>
      </c>
      <c r="BD76" s="43">
        <f t="shared" si="483"/>
        <v>2.8940000000000001</v>
      </c>
      <c r="BE76" s="43">
        <f t="shared" si="484"/>
        <v>2.8940000000000001</v>
      </c>
      <c r="BF76" s="43">
        <f t="shared" si="485"/>
        <v>2.8940000000000001</v>
      </c>
      <c r="BG76" s="43">
        <f t="shared" si="486"/>
        <v>2.8940000000000001</v>
      </c>
      <c r="BH76" s="43">
        <f t="shared" si="487"/>
        <v>2.8940000000000001</v>
      </c>
      <c r="BI76" s="43">
        <f t="shared" si="488"/>
        <v>2.8940000000000001</v>
      </c>
      <c r="BJ76" s="43">
        <f t="shared" si="489"/>
        <v>2.8940000000000001</v>
      </c>
      <c r="BK76" s="43">
        <f t="shared" si="490"/>
        <v>2.8940000000000001</v>
      </c>
      <c r="BL76" s="43">
        <f t="shared" si="491"/>
        <v>2.8940000000000001</v>
      </c>
      <c r="BM76" s="43">
        <f t="shared" si="492"/>
        <v>2.8940000000000001</v>
      </c>
      <c r="BN76" s="43">
        <f t="shared" si="493"/>
        <v>2.8940000000000001</v>
      </c>
      <c r="BP76" s="43">
        <f t="shared" si="527"/>
        <v>2.8940000000000001</v>
      </c>
      <c r="BQ76" s="43">
        <f t="shared" ref="BQ76:CS76" si="570">BP76-($BP76-$CT76)/30</f>
        <v>2.8940000000000001</v>
      </c>
      <c r="BR76" s="43">
        <f t="shared" si="570"/>
        <v>2.8940000000000001</v>
      </c>
      <c r="BS76" s="43">
        <f t="shared" si="570"/>
        <v>2.8940000000000001</v>
      </c>
      <c r="BT76" s="43">
        <f t="shared" si="570"/>
        <v>2.8940000000000001</v>
      </c>
      <c r="BU76" s="43">
        <f t="shared" si="570"/>
        <v>2.8940000000000001</v>
      </c>
      <c r="BV76" s="43">
        <f t="shared" si="570"/>
        <v>2.8940000000000001</v>
      </c>
      <c r="BW76" s="43">
        <f t="shared" si="570"/>
        <v>2.8940000000000001</v>
      </c>
      <c r="BX76" s="43">
        <f t="shared" si="570"/>
        <v>2.8940000000000001</v>
      </c>
      <c r="BY76" s="43">
        <f t="shared" si="570"/>
        <v>2.8940000000000001</v>
      </c>
      <c r="BZ76" s="43">
        <f t="shared" si="570"/>
        <v>2.8940000000000001</v>
      </c>
      <c r="CA76" s="43">
        <f t="shared" si="570"/>
        <v>2.8940000000000001</v>
      </c>
      <c r="CB76" s="43">
        <f t="shared" si="570"/>
        <v>2.8940000000000001</v>
      </c>
      <c r="CC76" s="43">
        <f t="shared" si="570"/>
        <v>2.8940000000000001</v>
      </c>
      <c r="CD76" s="43">
        <f t="shared" si="570"/>
        <v>2.8940000000000001</v>
      </c>
      <c r="CE76" s="43">
        <f t="shared" si="570"/>
        <v>2.8940000000000001</v>
      </c>
      <c r="CF76" s="43">
        <f t="shared" si="570"/>
        <v>2.8940000000000001</v>
      </c>
      <c r="CG76" s="43">
        <f t="shared" si="570"/>
        <v>2.8940000000000001</v>
      </c>
      <c r="CH76" s="43">
        <f t="shared" si="570"/>
        <v>2.8940000000000001</v>
      </c>
      <c r="CI76" s="43">
        <f t="shared" si="570"/>
        <v>2.8940000000000001</v>
      </c>
      <c r="CJ76" s="43">
        <f t="shared" si="570"/>
        <v>2.8940000000000001</v>
      </c>
      <c r="CK76" s="43">
        <f t="shared" si="570"/>
        <v>2.8940000000000001</v>
      </c>
      <c r="CL76" s="43">
        <f t="shared" si="570"/>
        <v>2.8940000000000001</v>
      </c>
      <c r="CM76" s="43">
        <f t="shared" si="570"/>
        <v>2.8940000000000001</v>
      </c>
      <c r="CN76" s="43">
        <f t="shared" si="570"/>
        <v>2.8940000000000001</v>
      </c>
      <c r="CO76" s="43">
        <f t="shared" si="570"/>
        <v>2.8940000000000001</v>
      </c>
      <c r="CP76" s="43">
        <f t="shared" si="570"/>
        <v>2.8940000000000001</v>
      </c>
      <c r="CQ76" s="43">
        <f t="shared" si="570"/>
        <v>2.8940000000000001</v>
      </c>
      <c r="CR76" s="43">
        <f t="shared" si="570"/>
        <v>2.8940000000000001</v>
      </c>
      <c r="CS76" s="43">
        <f t="shared" si="570"/>
        <v>2.8940000000000001</v>
      </c>
      <c r="CT76" s="43">
        <f t="shared" si="536"/>
        <v>2.8940000000000001</v>
      </c>
      <c r="CV76" s="43">
        <f t="shared" si="539"/>
        <v>2.8940000000000001</v>
      </c>
      <c r="CW76" s="43">
        <f t="shared" si="540"/>
        <v>2.8940000000000001</v>
      </c>
      <c r="CX76" s="43">
        <f t="shared" si="541"/>
        <v>2.8940000000000001</v>
      </c>
      <c r="CY76" s="43">
        <f t="shared" si="542"/>
        <v>2.8940000000000001</v>
      </c>
      <c r="CZ76" s="43">
        <f t="shared" si="543"/>
        <v>2.8940000000000001</v>
      </c>
      <c r="DA76" s="43">
        <f t="shared" si="544"/>
        <v>2.8940000000000001</v>
      </c>
      <c r="DB76" s="43">
        <f t="shared" si="545"/>
        <v>2.8940000000000001</v>
      </c>
      <c r="DC76" s="43">
        <f t="shared" si="546"/>
        <v>2.8940000000000001</v>
      </c>
      <c r="DD76" s="43">
        <f t="shared" si="547"/>
        <v>2.8940000000000001</v>
      </c>
      <c r="DE76" s="43">
        <f t="shared" si="548"/>
        <v>2.8940000000000001</v>
      </c>
      <c r="DF76" s="43">
        <f t="shared" si="549"/>
        <v>2.8940000000000001</v>
      </c>
      <c r="DG76" s="43">
        <f t="shared" si="550"/>
        <v>2.8940000000000001</v>
      </c>
      <c r="DH76" s="43">
        <f t="shared" si="551"/>
        <v>2.8940000000000001</v>
      </c>
      <c r="DI76" s="43">
        <f t="shared" si="552"/>
        <v>2.8940000000000001</v>
      </c>
      <c r="DJ76" s="43">
        <f t="shared" si="553"/>
        <v>2.8940000000000001</v>
      </c>
      <c r="DK76" s="43">
        <f t="shared" si="554"/>
        <v>2.8940000000000001</v>
      </c>
      <c r="DL76" s="43">
        <f t="shared" si="555"/>
        <v>2.8940000000000001</v>
      </c>
      <c r="DM76" s="43">
        <f t="shared" si="556"/>
        <v>2.8940000000000001</v>
      </c>
      <c r="DN76" s="43">
        <f t="shared" si="557"/>
        <v>2.8940000000000001</v>
      </c>
      <c r="DO76" s="43">
        <f t="shared" si="558"/>
        <v>2.8940000000000001</v>
      </c>
      <c r="DP76" s="43">
        <f t="shared" si="559"/>
        <v>2.8940000000000001</v>
      </c>
      <c r="DQ76" s="43">
        <f t="shared" si="560"/>
        <v>2.8940000000000001</v>
      </c>
      <c r="DR76" s="43">
        <f t="shared" si="561"/>
        <v>2.8940000000000001</v>
      </c>
      <c r="DS76" s="43">
        <f t="shared" si="562"/>
        <v>2.8940000000000001</v>
      </c>
      <c r="DT76" s="43">
        <f t="shared" si="563"/>
        <v>2.8940000000000001</v>
      </c>
      <c r="DU76" s="43">
        <f t="shared" si="564"/>
        <v>2.8940000000000001</v>
      </c>
      <c r="DV76" s="43">
        <f t="shared" si="565"/>
        <v>2.8940000000000001</v>
      </c>
      <c r="DW76" s="43">
        <f t="shared" si="566"/>
        <v>2.8940000000000001</v>
      </c>
      <c r="DX76" s="43">
        <f t="shared" si="567"/>
        <v>2.8940000000000001</v>
      </c>
      <c r="DY76" s="43">
        <f t="shared" si="568"/>
        <v>2.8940000000000001</v>
      </c>
      <c r="DZ76" s="43">
        <f t="shared" ref="DZ76:DZ78" si="571">CV76</f>
        <v>2.8940000000000001</v>
      </c>
    </row>
    <row r="77" spans="1:165">
      <c r="A77" s="606" t="s">
        <v>453</v>
      </c>
      <c r="C77" s="54" t="s">
        <v>458</v>
      </c>
      <c r="D77" s="43">
        <f>$B$193</f>
        <v>0</v>
      </c>
      <c r="E77" s="43">
        <f t="shared" ref="E77:AG77" si="572">D77-($D77-$AH77)/30</f>
        <v>0</v>
      </c>
      <c r="F77" s="43">
        <f t="shared" si="572"/>
        <v>0</v>
      </c>
      <c r="G77" s="43">
        <f t="shared" si="572"/>
        <v>0</v>
      </c>
      <c r="H77" s="43">
        <f t="shared" si="572"/>
        <v>0</v>
      </c>
      <c r="I77" s="43">
        <f t="shared" si="572"/>
        <v>0</v>
      </c>
      <c r="J77" s="43">
        <f t="shared" si="572"/>
        <v>0</v>
      </c>
      <c r="K77" s="43">
        <f t="shared" si="572"/>
        <v>0</v>
      </c>
      <c r="L77" s="43">
        <f t="shared" si="572"/>
        <v>0</v>
      </c>
      <c r="M77" s="43">
        <f t="shared" si="572"/>
        <v>0</v>
      </c>
      <c r="N77" s="43">
        <f t="shared" si="572"/>
        <v>0</v>
      </c>
      <c r="O77" s="43">
        <f t="shared" si="572"/>
        <v>0</v>
      </c>
      <c r="P77" s="43">
        <f t="shared" si="572"/>
        <v>0</v>
      </c>
      <c r="Q77" s="43">
        <f t="shared" si="572"/>
        <v>0</v>
      </c>
      <c r="R77" s="43">
        <f t="shared" si="572"/>
        <v>0</v>
      </c>
      <c r="S77" s="43">
        <f t="shared" si="572"/>
        <v>0</v>
      </c>
      <c r="T77" s="43">
        <f t="shared" si="572"/>
        <v>0</v>
      </c>
      <c r="U77" s="43">
        <f t="shared" si="572"/>
        <v>0</v>
      </c>
      <c r="V77" s="43">
        <f t="shared" si="572"/>
        <v>0</v>
      </c>
      <c r="W77" s="43">
        <f t="shared" si="572"/>
        <v>0</v>
      </c>
      <c r="X77" s="43">
        <f t="shared" si="572"/>
        <v>0</v>
      </c>
      <c r="Y77" s="43">
        <f t="shared" si="572"/>
        <v>0</v>
      </c>
      <c r="Z77" s="43">
        <f t="shared" si="572"/>
        <v>0</v>
      </c>
      <c r="AA77" s="43">
        <f t="shared" si="572"/>
        <v>0</v>
      </c>
      <c r="AB77" s="43">
        <f t="shared" si="572"/>
        <v>0</v>
      </c>
      <c r="AC77" s="43">
        <f t="shared" si="572"/>
        <v>0</v>
      </c>
      <c r="AD77" s="43">
        <f t="shared" si="572"/>
        <v>0</v>
      </c>
      <c r="AE77" s="43">
        <f t="shared" si="572"/>
        <v>0</v>
      </c>
      <c r="AF77" s="43">
        <f t="shared" si="572"/>
        <v>0</v>
      </c>
      <c r="AG77" s="43">
        <f t="shared" si="572"/>
        <v>0</v>
      </c>
      <c r="AH77" s="43">
        <f>$C$193</f>
        <v>0</v>
      </c>
      <c r="AI77" s="44"/>
      <c r="AJ77" s="43">
        <f t="shared" si="526"/>
        <v>0</v>
      </c>
      <c r="AK77" s="43">
        <f t="shared" si="464"/>
        <v>0</v>
      </c>
      <c r="AL77" s="43">
        <f t="shared" si="465"/>
        <v>0</v>
      </c>
      <c r="AM77" s="43">
        <f t="shared" si="466"/>
        <v>0</v>
      </c>
      <c r="AN77" s="43">
        <f t="shared" si="467"/>
        <v>0</v>
      </c>
      <c r="AO77" s="43">
        <f t="shared" si="468"/>
        <v>0</v>
      </c>
      <c r="AP77" s="43">
        <f t="shared" si="469"/>
        <v>0</v>
      </c>
      <c r="AQ77" s="43">
        <f t="shared" si="470"/>
        <v>0</v>
      </c>
      <c r="AR77" s="43">
        <f t="shared" si="471"/>
        <v>0</v>
      </c>
      <c r="AS77" s="43">
        <f t="shared" si="472"/>
        <v>0</v>
      </c>
      <c r="AT77" s="43">
        <f t="shared" si="473"/>
        <v>0</v>
      </c>
      <c r="AU77" s="43">
        <f t="shared" si="474"/>
        <v>0</v>
      </c>
      <c r="AV77" s="43">
        <f t="shared" si="475"/>
        <v>0</v>
      </c>
      <c r="AW77" s="43">
        <f t="shared" si="476"/>
        <v>0</v>
      </c>
      <c r="AX77" s="43">
        <f t="shared" si="477"/>
        <v>0</v>
      </c>
      <c r="AY77" s="43">
        <f t="shared" si="478"/>
        <v>0</v>
      </c>
      <c r="AZ77" s="43">
        <f t="shared" si="479"/>
        <v>0</v>
      </c>
      <c r="BA77" s="43">
        <f t="shared" si="480"/>
        <v>0</v>
      </c>
      <c r="BB77" s="43">
        <f t="shared" si="481"/>
        <v>0</v>
      </c>
      <c r="BC77" s="43">
        <f t="shared" si="482"/>
        <v>0</v>
      </c>
      <c r="BD77" s="43">
        <f t="shared" si="483"/>
        <v>0</v>
      </c>
      <c r="BE77" s="43">
        <f t="shared" si="484"/>
        <v>0</v>
      </c>
      <c r="BF77" s="43">
        <f t="shared" si="485"/>
        <v>0</v>
      </c>
      <c r="BG77" s="43">
        <f t="shared" si="486"/>
        <v>0</v>
      </c>
      <c r="BH77" s="43">
        <f t="shared" si="487"/>
        <v>0</v>
      </c>
      <c r="BI77" s="43">
        <f t="shared" si="488"/>
        <v>0</v>
      </c>
      <c r="BJ77" s="43">
        <f t="shared" si="489"/>
        <v>0</v>
      </c>
      <c r="BK77" s="43">
        <f t="shared" si="490"/>
        <v>0</v>
      </c>
      <c r="BL77" s="43">
        <f t="shared" si="491"/>
        <v>0</v>
      </c>
      <c r="BM77" s="43">
        <f t="shared" si="492"/>
        <v>0</v>
      </c>
      <c r="BN77" s="43">
        <f t="shared" si="493"/>
        <v>0</v>
      </c>
      <c r="BP77" s="43">
        <f t="shared" si="527"/>
        <v>0</v>
      </c>
      <c r="BQ77" s="43">
        <f t="shared" ref="BQ77:CS77" si="573">BP77-($BP77-$CT77)/30</f>
        <v>0</v>
      </c>
      <c r="BR77" s="43">
        <f t="shared" si="573"/>
        <v>0</v>
      </c>
      <c r="BS77" s="43">
        <f t="shared" si="573"/>
        <v>0</v>
      </c>
      <c r="BT77" s="43">
        <f t="shared" si="573"/>
        <v>0</v>
      </c>
      <c r="BU77" s="43">
        <f t="shared" si="573"/>
        <v>0</v>
      </c>
      <c r="BV77" s="43">
        <f t="shared" si="573"/>
        <v>0</v>
      </c>
      <c r="BW77" s="43">
        <f t="shared" si="573"/>
        <v>0</v>
      </c>
      <c r="BX77" s="43">
        <f t="shared" si="573"/>
        <v>0</v>
      </c>
      <c r="BY77" s="43">
        <f t="shared" si="573"/>
        <v>0</v>
      </c>
      <c r="BZ77" s="43">
        <f t="shared" si="573"/>
        <v>0</v>
      </c>
      <c r="CA77" s="43">
        <f t="shared" si="573"/>
        <v>0</v>
      </c>
      <c r="CB77" s="43">
        <f t="shared" si="573"/>
        <v>0</v>
      </c>
      <c r="CC77" s="43">
        <f t="shared" si="573"/>
        <v>0</v>
      </c>
      <c r="CD77" s="43">
        <f t="shared" si="573"/>
        <v>0</v>
      </c>
      <c r="CE77" s="43">
        <f t="shared" si="573"/>
        <v>0</v>
      </c>
      <c r="CF77" s="43">
        <f t="shared" si="573"/>
        <v>0</v>
      </c>
      <c r="CG77" s="43">
        <f t="shared" si="573"/>
        <v>0</v>
      </c>
      <c r="CH77" s="43">
        <f t="shared" si="573"/>
        <v>0</v>
      </c>
      <c r="CI77" s="43">
        <f t="shared" si="573"/>
        <v>0</v>
      </c>
      <c r="CJ77" s="43">
        <f t="shared" si="573"/>
        <v>0</v>
      </c>
      <c r="CK77" s="43">
        <f t="shared" si="573"/>
        <v>0</v>
      </c>
      <c r="CL77" s="43">
        <f t="shared" si="573"/>
        <v>0</v>
      </c>
      <c r="CM77" s="43">
        <f t="shared" si="573"/>
        <v>0</v>
      </c>
      <c r="CN77" s="43">
        <f t="shared" si="573"/>
        <v>0</v>
      </c>
      <c r="CO77" s="43">
        <f t="shared" si="573"/>
        <v>0</v>
      </c>
      <c r="CP77" s="43">
        <f t="shared" si="573"/>
        <v>0</v>
      </c>
      <c r="CQ77" s="43">
        <f t="shared" si="573"/>
        <v>0</v>
      </c>
      <c r="CR77" s="43">
        <f t="shared" si="573"/>
        <v>0</v>
      </c>
      <c r="CS77" s="43">
        <f t="shared" si="573"/>
        <v>0</v>
      </c>
      <c r="CT77" s="43">
        <f t="shared" si="536"/>
        <v>0</v>
      </c>
      <c r="CV77" s="43">
        <f t="shared" si="539"/>
        <v>0</v>
      </c>
      <c r="CW77" s="43">
        <f t="shared" si="540"/>
        <v>0</v>
      </c>
      <c r="CX77" s="43">
        <f t="shared" si="541"/>
        <v>0</v>
      </c>
      <c r="CY77" s="43">
        <f t="shared" si="542"/>
        <v>0</v>
      </c>
      <c r="CZ77" s="43">
        <f t="shared" si="543"/>
        <v>0</v>
      </c>
      <c r="DA77" s="43">
        <f t="shared" si="544"/>
        <v>0</v>
      </c>
      <c r="DB77" s="43">
        <f t="shared" si="545"/>
        <v>0</v>
      </c>
      <c r="DC77" s="43">
        <f t="shared" si="546"/>
        <v>0</v>
      </c>
      <c r="DD77" s="43">
        <f t="shared" si="547"/>
        <v>0</v>
      </c>
      <c r="DE77" s="43">
        <f t="shared" si="548"/>
        <v>0</v>
      </c>
      <c r="DF77" s="43">
        <f t="shared" si="549"/>
        <v>0</v>
      </c>
      <c r="DG77" s="43">
        <f t="shared" si="550"/>
        <v>0</v>
      </c>
      <c r="DH77" s="43">
        <f t="shared" si="551"/>
        <v>0</v>
      </c>
      <c r="DI77" s="43">
        <f t="shared" si="552"/>
        <v>0</v>
      </c>
      <c r="DJ77" s="43">
        <f t="shared" si="553"/>
        <v>0</v>
      </c>
      <c r="DK77" s="43">
        <f t="shared" si="554"/>
        <v>0</v>
      </c>
      <c r="DL77" s="43">
        <f t="shared" si="555"/>
        <v>0</v>
      </c>
      <c r="DM77" s="43">
        <f t="shared" si="556"/>
        <v>0</v>
      </c>
      <c r="DN77" s="43">
        <f t="shared" si="557"/>
        <v>0</v>
      </c>
      <c r="DO77" s="43">
        <f t="shared" si="558"/>
        <v>0</v>
      </c>
      <c r="DP77" s="43">
        <f t="shared" si="559"/>
        <v>0</v>
      </c>
      <c r="DQ77" s="43">
        <f t="shared" si="560"/>
        <v>0</v>
      </c>
      <c r="DR77" s="43">
        <f t="shared" si="561"/>
        <v>0</v>
      </c>
      <c r="DS77" s="43">
        <f t="shared" si="562"/>
        <v>0</v>
      </c>
      <c r="DT77" s="43">
        <f t="shared" si="563"/>
        <v>0</v>
      </c>
      <c r="DU77" s="43">
        <f t="shared" si="564"/>
        <v>0</v>
      </c>
      <c r="DV77" s="43">
        <f t="shared" si="565"/>
        <v>0</v>
      </c>
      <c r="DW77" s="43">
        <f t="shared" si="566"/>
        <v>0</v>
      </c>
      <c r="DX77" s="43">
        <f t="shared" si="567"/>
        <v>0</v>
      </c>
      <c r="DY77" s="43">
        <f t="shared" si="568"/>
        <v>0</v>
      </c>
      <c r="DZ77" s="43">
        <f t="shared" si="571"/>
        <v>0</v>
      </c>
    </row>
    <row r="78" spans="1:165" ht="16" thickBot="1">
      <c r="A78" s="606" t="s">
        <v>454</v>
      </c>
      <c r="C78" s="54" t="s">
        <v>458</v>
      </c>
      <c r="D78" s="43">
        <f>$B$194</f>
        <v>0</v>
      </c>
      <c r="E78" s="43">
        <f t="shared" ref="E78:AG78" si="574">D78-($D78-$AH78)/30</f>
        <v>0</v>
      </c>
      <c r="F78" s="43">
        <f t="shared" si="574"/>
        <v>0</v>
      </c>
      <c r="G78" s="43">
        <f t="shared" si="574"/>
        <v>0</v>
      </c>
      <c r="H78" s="43">
        <f t="shared" si="574"/>
        <v>0</v>
      </c>
      <c r="I78" s="43">
        <f t="shared" si="574"/>
        <v>0</v>
      </c>
      <c r="J78" s="43">
        <f t="shared" si="574"/>
        <v>0</v>
      </c>
      <c r="K78" s="43">
        <f t="shared" si="574"/>
        <v>0</v>
      </c>
      <c r="L78" s="43">
        <f t="shared" si="574"/>
        <v>0</v>
      </c>
      <c r="M78" s="43">
        <f t="shared" si="574"/>
        <v>0</v>
      </c>
      <c r="N78" s="43">
        <f t="shared" si="574"/>
        <v>0</v>
      </c>
      <c r="O78" s="43">
        <f t="shared" si="574"/>
        <v>0</v>
      </c>
      <c r="P78" s="43">
        <f t="shared" si="574"/>
        <v>0</v>
      </c>
      <c r="Q78" s="43">
        <f t="shared" si="574"/>
        <v>0</v>
      </c>
      <c r="R78" s="43">
        <f t="shared" si="574"/>
        <v>0</v>
      </c>
      <c r="S78" s="43">
        <f t="shared" si="574"/>
        <v>0</v>
      </c>
      <c r="T78" s="43">
        <f t="shared" si="574"/>
        <v>0</v>
      </c>
      <c r="U78" s="43">
        <f t="shared" si="574"/>
        <v>0</v>
      </c>
      <c r="V78" s="43">
        <f t="shared" si="574"/>
        <v>0</v>
      </c>
      <c r="W78" s="43">
        <f t="shared" si="574"/>
        <v>0</v>
      </c>
      <c r="X78" s="43">
        <f t="shared" si="574"/>
        <v>0</v>
      </c>
      <c r="Y78" s="43">
        <f t="shared" si="574"/>
        <v>0</v>
      </c>
      <c r="Z78" s="43">
        <f t="shared" si="574"/>
        <v>0</v>
      </c>
      <c r="AA78" s="43">
        <f t="shared" si="574"/>
        <v>0</v>
      </c>
      <c r="AB78" s="43">
        <f t="shared" si="574"/>
        <v>0</v>
      </c>
      <c r="AC78" s="43">
        <f t="shared" si="574"/>
        <v>0</v>
      </c>
      <c r="AD78" s="43">
        <f t="shared" si="574"/>
        <v>0</v>
      </c>
      <c r="AE78" s="43">
        <f t="shared" si="574"/>
        <v>0</v>
      </c>
      <c r="AF78" s="43">
        <f t="shared" si="574"/>
        <v>0</v>
      </c>
      <c r="AG78" s="43">
        <f t="shared" si="574"/>
        <v>0</v>
      </c>
      <c r="AH78" s="43">
        <f>$C$194</f>
        <v>0</v>
      </c>
      <c r="AI78" s="44"/>
      <c r="AJ78" s="43">
        <f t="shared" si="526"/>
        <v>0</v>
      </c>
      <c r="AK78" s="43">
        <f t="shared" si="464"/>
        <v>0</v>
      </c>
      <c r="AL78" s="43">
        <f t="shared" si="465"/>
        <v>0</v>
      </c>
      <c r="AM78" s="43">
        <f t="shared" si="466"/>
        <v>0</v>
      </c>
      <c r="AN78" s="43">
        <f t="shared" si="467"/>
        <v>0</v>
      </c>
      <c r="AO78" s="43">
        <f t="shared" si="468"/>
        <v>0</v>
      </c>
      <c r="AP78" s="43">
        <f t="shared" si="469"/>
        <v>0</v>
      </c>
      <c r="AQ78" s="43">
        <f t="shared" si="470"/>
        <v>0</v>
      </c>
      <c r="AR78" s="43">
        <f t="shared" si="471"/>
        <v>0</v>
      </c>
      <c r="AS78" s="43">
        <f t="shared" si="472"/>
        <v>0</v>
      </c>
      <c r="AT78" s="43">
        <f t="shared" si="473"/>
        <v>0</v>
      </c>
      <c r="AU78" s="43">
        <f t="shared" si="474"/>
        <v>0</v>
      </c>
      <c r="AV78" s="43">
        <f t="shared" si="475"/>
        <v>0</v>
      </c>
      <c r="AW78" s="43">
        <f t="shared" si="476"/>
        <v>0</v>
      </c>
      <c r="AX78" s="43">
        <f t="shared" si="477"/>
        <v>0</v>
      </c>
      <c r="AY78" s="43">
        <f t="shared" si="478"/>
        <v>0</v>
      </c>
      <c r="AZ78" s="43">
        <f t="shared" si="479"/>
        <v>0</v>
      </c>
      <c r="BA78" s="43">
        <f t="shared" si="480"/>
        <v>0</v>
      </c>
      <c r="BB78" s="43">
        <f t="shared" si="481"/>
        <v>0</v>
      </c>
      <c r="BC78" s="43">
        <f t="shared" si="482"/>
        <v>0</v>
      </c>
      <c r="BD78" s="43">
        <f t="shared" si="483"/>
        <v>0</v>
      </c>
      <c r="BE78" s="43">
        <f t="shared" si="484"/>
        <v>0</v>
      </c>
      <c r="BF78" s="43">
        <f t="shared" si="485"/>
        <v>0</v>
      </c>
      <c r="BG78" s="43">
        <f t="shared" si="486"/>
        <v>0</v>
      </c>
      <c r="BH78" s="43">
        <f t="shared" si="487"/>
        <v>0</v>
      </c>
      <c r="BI78" s="43">
        <f t="shared" si="488"/>
        <v>0</v>
      </c>
      <c r="BJ78" s="43">
        <f t="shared" si="489"/>
        <v>0</v>
      </c>
      <c r="BK78" s="43">
        <f t="shared" si="490"/>
        <v>0</v>
      </c>
      <c r="BL78" s="43">
        <f t="shared" si="491"/>
        <v>0</v>
      </c>
      <c r="BM78" s="43">
        <f t="shared" si="492"/>
        <v>0</v>
      </c>
      <c r="BN78" s="43">
        <f t="shared" si="493"/>
        <v>0</v>
      </c>
      <c r="BP78" s="43">
        <f t="shared" si="527"/>
        <v>0</v>
      </c>
      <c r="BQ78" s="43">
        <f t="shared" ref="BQ78:CS78" si="575">BP78-($BP78-$CT78)/30</f>
        <v>0</v>
      </c>
      <c r="BR78" s="43">
        <f t="shared" si="575"/>
        <v>0</v>
      </c>
      <c r="BS78" s="43">
        <f t="shared" si="575"/>
        <v>0</v>
      </c>
      <c r="BT78" s="43">
        <f t="shared" si="575"/>
        <v>0</v>
      </c>
      <c r="BU78" s="43">
        <f t="shared" si="575"/>
        <v>0</v>
      </c>
      <c r="BV78" s="43">
        <f t="shared" si="575"/>
        <v>0</v>
      </c>
      <c r="BW78" s="43">
        <f t="shared" si="575"/>
        <v>0</v>
      </c>
      <c r="BX78" s="43">
        <f t="shared" si="575"/>
        <v>0</v>
      </c>
      <c r="BY78" s="43">
        <f t="shared" si="575"/>
        <v>0</v>
      </c>
      <c r="BZ78" s="43">
        <f t="shared" si="575"/>
        <v>0</v>
      </c>
      <c r="CA78" s="43">
        <f t="shared" si="575"/>
        <v>0</v>
      </c>
      <c r="CB78" s="43">
        <f t="shared" si="575"/>
        <v>0</v>
      </c>
      <c r="CC78" s="43">
        <f t="shared" si="575"/>
        <v>0</v>
      </c>
      <c r="CD78" s="43">
        <f t="shared" si="575"/>
        <v>0</v>
      </c>
      <c r="CE78" s="43">
        <f t="shared" si="575"/>
        <v>0</v>
      </c>
      <c r="CF78" s="43">
        <f t="shared" si="575"/>
        <v>0</v>
      </c>
      <c r="CG78" s="43">
        <f t="shared" si="575"/>
        <v>0</v>
      </c>
      <c r="CH78" s="43">
        <f t="shared" si="575"/>
        <v>0</v>
      </c>
      <c r="CI78" s="43">
        <f t="shared" si="575"/>
        <v>0</v>
      </c>
      <c r="CJ78" s="43">
        <f t="shared" si="575"/>
        <v>0</v>
      </c>
      <c r="CK78" s="43">
        <f t="shared" si="575"/>
        <v>0</v>
      </c>
      <c r="CL78" s="43">
        <f t="shared" si="575"/>
        <v>0</v>
      </c>
      <c r="CM78" s="43">
        <f t="shared" si="575"/>
        <v>0</v>
      </c>
      <c r="CN78" s="43">
        <f t="shared" si="575"/>
        <v>0</v>
      </c>
      <c r="CO78" s="43">
        <f t="shared" si="575"/>
        <v>0</v>
      </c>
      <c r="CP78" s="43">
        <f t="shared" si="575"/>
        <v>0</v>
      </c>
      <c r="CQ78" s="43">
        <f t="shared" si="575"/>
        <v>0</v>
      </c>
      <c r="CR78" s="43">
        <f t="shared" si="575"/>
        <v>0</v>
      </c>
      <c r="CS78" s="43">
        <f t="shared" si="575"/>
        <v>0</v>
      </c>
      <c r="CT78" s="43">
        <f t="shared" si="536"/>
        <v>0</v>
      </c>
      <c r="CV78" s="43">
        <f t="shared" si="539"/>
        <v>0</v>
      </c>
      <c r="CW78" s="43">
        <f t="shared" si="540"/>
        <v>0</v>
      </c>
      <c r="CX78" s="43">
        <f t="shared" si="541"/>
        <v>0</v>
      </c>
      <c r="CY78" s="43">
        <f t="shared" si="542"/>
        <v>0</v>
      </c>
      <c r="CZ78" s="43">
        <f t="shared" si="543"/>
        <v>0</v>
      </c>
      <c r="DA78" s="43">
        <f t="shared" si="544"/>
        <v>0</v>
      </c>
      <c r="DB78" s="43">
        <f t="shared" si="545"/>
        <v>0</v>
      </c>
      <c r="DC78" s="43">
        <f t="shared" si="546"/>
        <v>0</v>
      </c>
      <c r="DD78" s="43">
        <f t="shared" si="547"/>
        <v>0</v>
      </c>
      <c r="DE78" s="43">
        <f t="shared" si="548"/>
        <v>0</v>
      </c>
      <c r="DF78" s="43">
        <f t="shared" si="549"/>
        <v>0</v>
      </c>
      <c r="DG78" s="43">
        <f t="shared" si="550"/>
        <v>0</v>
      </c>
      <c r="DH78" s="43">
        <f t="shared" si="551"/>
        <v>0</v>
      </c>
      <c r="DI78" s="43">
        <f t="shared" si="552"/>
        <v>0</v>
      </c>
      <c r="DJ78" s="43">
        <f t="shared" si="553"/>
        <v>0</v>
      </c>
      <c r="DK78" s="43">
        <f t="shared" si="554"/>
        <v>0</v>
      </c>
      <c r="DL78" s="43">
        <f t="shared" si="555"/>
        <v>0</v>
      </c>
      <c r="DM78" s="43">
        <f t="shared" si="556"/>
        <v>0</v>
      </c>
      <c r="DN78" s="43">
        <f t="shared" si="557"/>
        <v>0</v>
      </c>
      <c r="DO78" s="43">
        <f t="shared" si="558"/>
        <v>0</v>
      </c>
      <c r="DP78" s="43">
        <f t="shared" si="559"/>
        <v>0</v>
      </c>
      <c r="DQ78" s="43">
        <f t="shared" si="560"/>
        <v>0</v>
      </c>
      <c r="DR78" s="43">
        <f t="shared" si="561"/>
        <v>0</v>
      </c>
      <c r="DS78" s="43">
        <f t="shared" si="562"/>
        <v>0</v>
      </c>
      <c r="DT78" s="43">
        <f t="shared" si="563"/>
        <v>0</v>
      </c>
      <c r="DU78" s="43">
        <f t="shared" si="564"/>
        <v>0</v>
      </c>
      <c r="DV78" s="43">
        <f t="shared" si="565"/>
        <v>0</v>
      </c>
      <c r="DW78" s="43">
        <f t="shared" si="566"/>
        <v>0</v>
      </c>
      <c r="DX78" s="43">
        <f t="shared" si="567"/>
        <v>0</v>
      </c>
      <c r="DY78" s="43">
        <f t="shared" si="568"/>
        <v>0</v>
      </c>
      <c r="DZ78" s="43">
        <f t="shared" si="571"/>
        <v>0</v>
      </c>
    </row>
    <row r="79" spans="1:165" s="624" customFormat="1" ht="16" thickBot="1">
      <c r="A79" s="623" t="s">
        <v>461</v>
      </c>
      <c r="C79" s="625"/>
      <c r="D79" s="626"/>
      <c r="E79" s="626"/>
      <c r="F79" s="626"/>
      <c r="G79" s="626"/>
      <c r="H79" s="626"/>
      <c r="I79" s="626"/>
      <c r="J79" s="626"/>
      <c r="K79" s="626"/>
      <c r="L79" s="626"/>
      <c r="M79" s="626"/>
      <c r="N79" s="626"/>
      <c r="O79" s="626"/>
      <c r="P79" s="626"/>
      <c r="Q79" s="626"/>
      <c r="R79" s="626"/>
      <c r="S79" s="626"/>
      <c r="T79" s="626"/>
      <c r="U79" s="626"/>
      <c r="V79" s="626"/>
      <c r="W79" s="626"/>
      <c r="X79" s="626"/>
      <c r="Y79" s="626"/>
      <c r="Z79" s="626"/>
      <c r="AA79" s="626"/>
      <c r="AB79" s="626"/>
      <c r="AC79" s="626"/>
      <c r="AD79" s="626"/>
      <c r="AE79" s="626"/>
      <c r="AF79" s="626"/>
      <c r="AG79" s="626"/>
      <c r="AH79" s="626"/>
      <c r="AI79" s="626"/>
      <c r="AJ79" s="626"/>
      <c r="AK79" s="626"/>
      <c r="AL79" s="626"/>
      <c r="AM79" s="626"/>
      <c r="AN79" s="626"/>
      <c r="AO79" s="626"/>
      <c r="AP79" s="626"/>
      <c r="AQ79" s="626"/>
      <c r="AR79" s="626"/>
      <c r="AS79" s="626"/>
      <c r="AT79" s="626"/>
      <c r="AU79" s="626"/>
      <c r="AV79" s="626"/>
      <c r="AW79" s="626"/>
      <c r="AX79" s="626"/>
      <c r="AY79" s="626"/>
      <c r="AZ79" s="626"/>
      <c r="BA79" s="626"/>
      <c r="BB79" s="626"/>
      <c r="BC79" s="626"/>
      <c r="BD79" s="626"/>
      <c r="BE79" s="626"/>
      <c r="BF79" s="626"/>
      <c r="BG79" s="626"/>
      <c r="BH79" s="626"/>
      <c r="BI79" s="626"/>
      <c r="BJ79" s="626"/>
      <c r="BK79" s="626"/>
      <c r="BL79" s="626"/>
      <c r="BM79" s="626"/>
      <c r="BN79" s="626"/>
      <c r="BP79" s="626"/>
      <c r="BQ79" s="626"/>
      <c r="BR79" s="626"/>
      <c r="BS79" s="626"/>
      <c r="BT79" s="626"/>
      <c r="BU79" s="626"/>
      <c r="BV79" s="626"/>
      <c r="BW79" s="626"/>
      <c r="BX79" s="626"/>
      <c r="BY79" s="626"/>
      <c r="BZ79" s="626"/>
      <c r="CA79" s="626"/>
      <c r="CB79" s="626"/>
      <c r="CC79" s="626"/>
      <c r="CD79" s="626"/>
      <c r="CE79" s="626"/>
      <c r="CF79" s="626"/>
      <c r="CG79" s="626"/>
      <c r="CH79" s="626"/>
      <c r="CI79" s="626"/>
      <c r="CJ79" s="626"/>
      <c r="CK79" s="626"/>
      <c r="CL79" s="626"/>
      <c r="CM79" s="626"/>
      <c r="CN79" s="626"/>
      <c r="CO79" s="626"/>
      <c r="CP79" s="626"/>
      <c r="CQ79" s="626"/>
      <c r="CR79" s="626"/>
      <c r="CS79" s="626"/>
      <c r="CT79" s="626"/>
      <c r="CV79" s="626"/>
      <c r="CW79" s="626"/>
      <c r="CX79" s="626"/>
      <c r="CY79" s="626"/>
      <c r="CZ79" s="626"/>
      <c r="DA79" s="626"/>
      <c r="DB79" s="626"/>
      <c r="DC79" s="626"/>
      <c r="DD79" s="626"/>
      <c r="DE79" s="626"/>
      <c r="DF79" s="626"/>
      <c r="DG79" s="626"/>
      <c r="DH79" s="626"/>
      <c r="DI79" s="626"/>
      <c r="DJ79" s="626"/>
      <c r="DK79" s="626"/>
      <c r="DL79" s="626"/>
      <c r="DM79" s="626"/>
      <c r="DN79" s="626"/>
      <c r="DO79" s="626"/>
      <c r="DP79" s="626"/>
      <c r="DQ79" s="626"/>
      <c r="DR79" s="626"/>
      <c r="DS79" s="626"/>
      <c r="DT79" s="626"/>
      <c r="DU79" s="626"/>
      <c r="DV79" s="626"/>
      <c r="DW79" s="626"/>
      <c r="DX79" s="626"/>
      <c r="DY79" s="626"/>
      <c r="DZ79" s="626"/>
      <c r="EK79" s="627"/>
      <c r="EL79" s="627"/>
      <c r="EM79" s="627"/>
      <c r="EN79" s="627"/>
      <c r="EO79" s="627"/>
      <c r="EP79" s="627"/>
      <c r="EQ79" s="627"/>
      <c r="ER79" s="627"/>
      <c r="ES79" s="627"/>
      <c r="ET79" s="627"/>
      <c r="EU79" s="627"/>
      <c r="EV79" s="627"/>
      <c r="EW79" s="627"/>
      <c r="EX79" s="627"/>
      <c r="EY79" s="627"/>
      <c r="EZ79" s="627"/>
      <c r="FA79" s="627"/>
      <c r="FB79" s="627"/>
      <c r="FC79" s="627"/>
      <c r="FD79" s="627"/>
      <c r="FE79" s="627"/>
      <c r="FF79" s="627"/>
      <c r="FG79" s="627"/>
      <c r="FH79" s="627"/>
      <c r="FI79" s="627"/>
    </row>
    <row r="80" spans="1:165">
      <c r="A80" s="606" t="s">
        <v>193</v>
      </c>
      <c r="C80" s="54" t="s">
        <v>462</v>
      </c>
      <c r="D80" s="168">
        <f>'Methanol Recycling HC'!C293/'Methanol Recycling HC'!C291</f>
        <v>9.388625214515435E-2</v>
      </c>
      <c r="E80" s="168">
        <f>'Methanol Recycling HC'!D293/'Methanol Recycling HC'!D291</f>
        <v>7.2324973022005259E-2</v>
      </c>
      <c r="F80" s="168">
        <f>'Methanol Recycling HC'!E293/'Methanol Recycling HC'!E291</f>
        <v>7.6702778853189713E-2</v>
      </c>
      <c r="G80" s="168">
        <f>'Methanol Recycling HC'!F293/'Methanol Recycling HC'!F291</f>
        <v>8.1141499021634117E-2</v>
      </c>
      <c r="H80" s="168">
        <f>'Methanol Recycling HC'!G293/'Methanol Recycling HC'!G291</f>
        <v>8.564194203941923E-2</v>
      </c>
      <c r="I80" s="168">
        <f>'Methanol Recycling HC'!H293/'Methanol Recycling HC'!H291</f>
        <v>9.0204916418625838E-2</v>
      </c>
      <c r="J80" s="168">
        <f>'Methanol Recycling HC'!I293/'Methanol Recycling HC'!I291</f>
        <v>9.4831230671334671E-2</v>
      </c>
      <c r="K80" s="168">
        <f>'Methanol Recycling HC'!J293/'Methanol Recycling HC'!J291</f>
        <v>9.9521693309626499E-2</v>
      </c>
      <c r="L80" s="168">
        <f>'Methanol Recycling HC'!K293/'Methanol Recycling HC'!K291</f>
        <v>0.10427711284558205</v>
      </c>
      <c r="M80" s="168">
        <f>'Methanol Recycling HC'!L293/'Methanol Recycling HC'!L291</f>
        <v>0.10909829779128216</v>
      </c>
      <c r="N80" s="168">
        <f>'Methanol Recycling HC'!M293/'Methanol Recycling HC'!M291</f>
        <v>0.11398605665880754</v>
      </c>
      <c r="O80" s="168">
        <f>'Methanol Recycling HC'!N293/'Methanol Recycling HC'!N291</f>
        <v>0.12222996363659819</v>
      </c>
      <c r="P80" s="168">
        <f>'Methanol Recycling HC'!O293/'Methanol Recycling HC'!O291</f>
        <v>0.1305541251356786</v>
      </c>
      <c r="Q80" s="168">
        <f>'Methanol Recycling HC'!P293/'Methanol Recycling HC'!P291</f>
        <v>0.13895578310364046</v>
      </c>
      <c r="R80" s="168">
        <f>'Methanol Recycling HC'!Q293/'Methanol Recycling HC'!Q291</f>
        <v>0.14744155959605304</v>
      </c>
      <c r="S80" s="168">
        <f>'Methanol Recycling HC'!R293/'Methanol Recycling HC'!R291</f>
        <v>0.15601321500727469</v>
      </c>
      <c r="T80" s="168">
        <f>'Methanol Recycling HC'!S293/'Methanol Recycling HC'!S291</f>
        <v>0.16467250908019265</v>
      </c>
      <c r="U80" s="168">
        <f>'Methanol Recycling HC'!T293/'Methanol Recycling HC'!T291</f>
        <v>0.17342120090652391</v>
      </c>
      <c r="V80" s="168">
        <f>'Methanol Recycling HC'!U293/'Methanol Recycling HC'!U291</f>
        <v>0.18226104892711664</v>
      </c>
      <c r="W80" s="168">
        <f>'Methanol Recycling HC'!V293/'Methanol Recycling HC'!V291</f>
        <v>0.19119381093225105</v>
      </c>
      <c r="X80" s="168">
        <f>'Methanol Recycling HC'!W293/'Methanol Recycling HC'!W291</f>
        <v>0.20022124406194053</v>
      </c>
      <c r="Y80" s="168">
        <f>'Methanol Recycling HC'!X293/'Methanol Recycling HC'!X291</f>
        <v>0.21365455745444106</v>
      </c>
      <c r="Z80" s="168">
        <f>'Methanol Recycling HC'!Y293/'Methanol Recycling HC'!Y291</f>
        <v>0.22720983147991702</v>
      </c>
      <c r="AA80" s="168">
        <f>'Methanol Recycling HC'!Z293/'Methanol Recycling HC'!Z291</f>
        <v>0.24088921714093797</v>
      </c>
      <c r="AB80" s="168">
        <f>'Methanol Recycling HC'!AA293/'Methanol Recycling HC'!AA291</f>
        <v>0.25469860113864418</v>
      </c>
      <c r="AC80" s="168">
        <f>'Methanol Recycling HC'!AB293/'Methanol Recycling HC'!AB291</f>
        <v>0.26864107473505922</v>
      </c>
      <c r="AD80" s="168">
        <f>'Methanol Recycling HC'!AC293/'Methanol Recycling HC'!AC291</f>
        <v>0.28271972633646558</v>
      </c>
      <c r="AE80" s="168">
        <f>'Methanol Recycling HC'!AD293/'Methanol Recycling HC'!AD291</f>
        <v>0.29693764149670215</v>
      </c>
      <c r="AF80" s="168">
        <f>'Methanol Recycling HC'!AE293/'Methanol Recycling HC'!AE291</f>
        <v>0.31129790292045584</v>
      </c>
      <c r="AG80" s="168">
        <f>'Methanol Recycling HC'!AF293/'Methanol Recycling HC'!AF291</f>
        <v>0.32580359046655016</v>
      </c>
      <c r="AH80" s="168">
        <f>'Methanol Recycling HC'!AG293/'Methanol Recycling HC'!AG291</f>
        <v>0.34045778115122799</v>
      </c>
      <c r="AI80" s="44"/>
      <c r="AJ80" s="168">
        <f>'Methanol Recycling LC'!C293/'Methanol Recycling LC'!C291</f>
        <v>9.388625214515435E-2</v>
      </c>
      <c r="AK80" s="168">
        <f>'Methanol Recycling LC'!D293/'Methanol Recycling LC'!D291</f>
        <v>9.8014148774966905E-2</v>
      </c>
      <c r="AL80" s="168">
        <f>'Methanol Recycling LC'!E293/'Methanol Recycling LC'!E291</f>
        <v>0.10213104741011053</v>
      </c>
      <c r="AM80" s="168">
        <f>'Methanol Recycling LC'!F293/'Methanol Recycling LC'!F291</f>
        <v>0.10623694805058528</v>
      </c>
      <c r="AN80" s="168">
        <f>'Methanol Recycling LC'!G293/'Methanol Recycling LC'!G291</f>
        <v>0.11033185069639113</v>
      </c>
      <c r="AO80" s="168">
        <f>'Methanol Recycling LC'!H293/'Methanol Recycling LC'!H291</f>
        <v>0.11441575534752811</v>
      </c>
      <c r="AP80" s="168">
        <f>'Methanol Recycling LC'!I293/'Methanol Recycling LC'!I291</f>
        <v>0.11848866200399619</v>
      </c>
      <c r="AQ80" s="168">
        <f>'Methanol Recycling LC'!J293/'Methanol Recycling LC'!J291</f>
        <v>0.12255057066579539</v>
      </c>
      <c r="AR80" s="168">
        <f>'Methanol Recycling LC'!K293/'Methanol Recycling LC'!K291</f>
        <v>0.12660148133292565</v>
      </c>
      <c r="AS80" s="168">
        <f>'Methanol Recycling LC'!L293/'Methanol Recycling LC'!L291</f>
        <v>0.13064139400538705</v>
      </c>
      <c r="AT80" s="168">
        <f>'Methanol Recycling LC'!M293/'Methanol Recycling LC'!M291</f>
        <v>0.13467030868317958</v>
      </c>
      <c r="AU80" s="168">
        <f>'Methanol Recycling LC'!N293/'Methanol Recycling LC'!N291</f>
        <v>0.14345287481170069</v>
      </c>
      <c r="AV80" s="168">
        <f>'Methanol Recycling LC'!O293/'Methanol Recycling LC'!O291</f>
        <v>0.15221226055145817</v>
      </c>
      <c r="AW80" s="168">
        <f>'Methanol Recycling LC'!P293/'Methanol Recycling LC'!P291</f>
        <v>0.16094196888835022</v>
      </c>
      <c r="AX80" s="168">
        <f>'Methanol Recycling LC'!Q293/'Methanol Recycling LC'!Q291</f>
        <v>0.16964891171144969</v>
      </c>
      <c r="AY80" s="168">
        <f>'Methanol Recycling LC'!R293/'Methanol Recycling LC'!R291</f>
        <v>0.17833317546222197</v>
      </c>
      <c r="AZ80" s="168">
        <f>'Methanol Recycling LC'!S293/'Methanol Recycling LC'!S291</f>
        <v>0.18699484655014317</v>
      </c>
      <c r="BA80" s="168">
        <f>'Methanol Recycling LC'!T293/'Methanol Recycling LC'!T291</f>
        <v>0.19563401135271463</v>
      </c>
      <c r="BB80" s="168">
        <f>'Methanol Recycling LC'!U293/'Methanol Recycling LC'!U291</f>
        <v>0.20425075621547753</v>
      </c>
      <c r="BC80" s="168">
        <f>'Methanol Recycling LC'!V293/'Methanol Recycling LC'!V291</f>
        <v>0.21284516745202819</v>
      </c>
      <c r="BD80" s="168">
        <f>'Methanol Recycling LC'!W293/'Methanol Recycling LC'!W291</f>
        <v>0.22141733134403246</v>
      </c>
      <c r="BE80" s="168">
        <f>'Methanol Recycling LC'!X293/'Methanol Recycling LC'!X291</f>
        <v>0.23599335318115783</v>
      </c>
      <c r="BF80" s="168">
        <f>'Methanol Recycling LC'!Y293/'Methanol Recycling LC'!Y291</f>
        <v>0.25053209070287974</v>
      </c>
      <c r="BG80" s="168">
        <f>'Methanol Recycling LC'!Z293/'Methanol Recycling LC'!Z291</f>
        <v>0.26502954277009766</v>
      </c>
      <c r="BH80" s="168">
        <f>'Methanol Recycling LC'!AA293/'Methanol Recycling LC'!AA291</f>
        <v>0.27949196037501189</v>
      </c>
      <c r="BI80" s="168">
        <f>'Methanol Recycling LC'!AB293/'Methanol Recycling LC'!AB291</f>
        <v>0.29391970249627825</v>
      </c>
      <c r="BJ80" s="168">
        <f>'Methanol Recycling LC'!AC293/'Methanol Recycling LC'!AC291</f>
        <v>0.30831312778092435</v>
      </c>
      <c r="BK80" s="168">
        <f>'Methanol Recycling LC'!AD293/'Methanol Recycling LC'!AD291</f>
        <v>0.32267259454473207</v>
      </c>
      <c r="BL80" s="168">
        <f>'Methanol Recycling LC'!AE293/'Methanol Recycling LC'!AE291</f>
        <v>0.3369984607726203</v>
      </c>
      <c r="BM80" s="168">
        <f>'Methanol Recycling LC'!AF293/'Methanol Recycling LC'!AF291</f>
        <v>0.35129108411902688</v>
      </c>
      <c r="BN80" s="168">
        <f>'Methanol Recycling LC'!AG293/'Methanol Recycling LC'!AG291</f>
        <v>0.36555082190828914</v>
      </c>
      <c r="BP80" s="168">
        <f>'Methanol Recycling HC'!C283/'Methanol Recycling HC'!C281</f>
        <v>9.388625214515435E-2</v>
      </c>
      <c r="BQ80" s="168">
        <f>'Methanol Recycling HC'!D283/'Methanol Recycling HC'!D281</f>
        <v>9.2358168253785233E-2</v>
      </c>
      <c r="BR80" s="168">
        <f>'Methanol Recycling HC'!E283/'Methanol Recycling HC'!E281</f>
        <v>9.109307897464014E-2</v>
      </c>
      <c r="BS80" s="168">
        <f>'Methanol Recycling HC'!F283/'Methanol Recycling HC'!F281</f>
        <v>9.008063999359614E-2</v>
      </c>
      <c r="BT80" s="168">
        <f>'Methanol Recycling HC'!G283/'Methanol Recycling HC'!G281</f>
        <v>8.9312612848762921E-2</v>
      </c>
      <c r="BU80" s="168">
        <f>'Methanol Recycling HC'!H283/'Methanol Recycling HC'!H281</f>
        <v>8.8782753127792741E-2</v>
      </c>
      <c r="BV80" s="168">
        <f>'Methanol Recycling HC'!I283/'Methanol Recycling HC'!I281</f>
        <v>8.8296230688993324E-2</v>
      </c>
      <c r="BW80" s="168">
        <f>'Methanol Recycling HC'!J283/'Methanol Recycling HC'!J281</f>
        <v>8.785241501866041E-2</v>
      </c>
      <c r="BX80" s="168">
        <f>'Methanol Recycling HC'!K283/'Methanol Recycling HC'!K281</f>
        <v>8.7450736434773871E-2</v>
      </c>
      <c r="BY80" s="168">
        <f>'Methanol Recycling HC'!L283/'Methanol Recycling HC'!L281</f>
        <v>8.709068488464633E-2</v>
      </c>
      <c r="BZ80" s="168">
        <f>'Methanol Recycling HC'!M283/'Methanol Recycling HC'!M281</f>
        <v>8.6771808881284648E-2</v>
      </c>
      <c r="CA80" s="168">
        <f>'Methanol Recycling HC'!N283/'Methanol Recycling HC'!N281</f>
        <v>8.6617646294007811E-2</v>
      </c>
      <c r="CB80" s="168">
        <f>'Methanol Recycling HC'!O283/'Methanol Recycling HC'!O281</f>
        <v>8.6627658587303646E-2</v>
      </c>
      <c r="CC80" s="168">
        <f>'Methanol Recycling HC'!P283/'Methanol Recycling HC'!P281</f>
        <v>8.6802241531868468E-2</v>
      </c>
      <c r="CD80" s="168">
        <f>'Methanol Recycling HC'!Q283/'Methanol Recycling HC'!Q281</f>
        <v>8.7142732188675728E-2</v>
      </c>
      <c r="CE80" s="168">
        <f>'Methanol Recycling HC'!R283/'Methanol Recycling HC'!R281</f>
        <v>8.7651424911610057E-2</v>
      </c>
      <c r="CF80" s="168">
        <f>'Methanol Recycling HC'!S283/'Methanol Recycling HC'!S281</f>
        <v>8.8172738462429512E-2</v>
      </c>
      <c r="CG80" s="168">
        <f>'Methanol Recycling HC'!T283/'Methanol Recycling HC'!T281</f>
        <v>8.8706869297600202E-2</v>
      </c>
      <c r="CH80" s="168">
        <f>'Methanol Recycling HC'!U283/'Methanol Recycling HC'!U281</f>
        <v>8.9254019399617746E-2</v>
      </c>
      <c r="CI80" s="168">
        <f>'Methanol Recycling HC'!V283/'Methanol Recycling HC'!V281</f>
        <v>8.9814396405270794E-2</v>
      </c>
      <c r="CJ80" s="168">
        <f>'Methanol Recycling HC'!W283/'Methanol Recycling HC'!W281</f>
        <v>9.0388213737953194E-2</v>
      </c>
      <c r="CK80" s="168">
        <f>'Methanol Recycling HC'!X283/'Methanol Recycling HC'!X281</f>
        <v>9.09746887114639E-2</v>
      </c>
      <c r="CL80" s="168">
        <f>'Methanol Recycling HC'!Y283/'Methanol Recycling HC'!Y281</f>
        <v>9.1574025371810017E-2</v>
      </c>
      <c r="CM80" s="168">
        <f>'Methanol Recycling HC'!Z283/'Methanol Recycling HC'!Z281</f>
        <v>9.2186433035435458E-2</v>
      </c>
      <c r="CN80" s="168">
        <f>'Methanol Recycling HC'!AA283/'Methanol Recycling HC'!AA281</f>
        <v>9.2812126411763368E-2</v>
      </c>
      <c r="CO80" s="168">
        <f>'Methanol Recycling HC'!AB283/'Methanol Recycling HC'!AB281</f>
        <v>9.3451325729356619E-2</v>
      </c>
      <c r="CP80" s="168">
        <f>'Methanol Recycling HC'!AC283/'Methanol Recycling HC'!AC281</f>
        <v>9.410336719026613E-2</v>
      </c>
      <c r="CQ80" s="168">
        <f>'Methanol Recycling HC'!AD283/'Methanol Recycling HC'!AD281</f>
        <v>9.476846238002995E-2</v>
      </c>
      <c r="CR80" s="168">
        <f>'Methanol Recycling HC'!AE283/'Methanol Recycling HC'!AE281</f>
        <v>9.5446827991926747E-2</v>
      </c>
      <c r="CS80" s="168">
        <f>'Methanol Recycling HC'!AF283/'Methanol Recycling HC'!AF281</f>
        <v>9.6138685944959432E-2</v>
      </c>
      <c r="CT80" s="168">
        <f>'Methanol Recycling HC'!AG283/'Methanol Recycling HC'!AG281</f>
        <v>9.6844263505137348E-2</v>
      </c>
      <c r="CV80" s="168">
        <f>'Methanol Recycling LC'!C293/'Methanol Recycling HC'!C281</f>
        <v>9.388625214515435E-2</v>
      </c>
      <c r="CW80" s="168">
        <f>'Methanol Recycling LC'!D293/'Methanol Recycling HC'!D281</f>
        <v>9.8014148774966905E-2</v>
      </c>
      <c r="CX80" s="168">
        <f>'Methanol Recycling LC'!E293/'Methanol Recycling HC'!E281</f>
        <v>0.10213104741011053</v>
      </c>
      <c r="CY80" s="168">
        <f>'Methanol Recycling LC'!F293/'Methanol Recycling HC'!F281</f>
        <v>0.10623694805058528</v>
      </c>
      <c r="CZ80" s="168">
        <f>'Methanol Recycling LC'!G293/'Methanol Recycling HC'!G281</f>
        <v>0.11033185069639113</v>
      </c>
      <c r="DA80" s="168">
        <f>'Methanol Recycling LC'!H293/'Methanol Recycling HC'!H281</f>
        <v>0.11441575534752811</v>
      </c>
      <c r="DB80" s="168">
        <f>'Methanol Recycling LC'!I293/'Methanol Recycling HC'!I281</f>
        <v>0.11848866200399619</v>
      </c>
      <c r="DC80" s="168">
        <f>'Methanol Recycling LC'!J293/'Methanol Recycling HC'!J281</f>
        <v>0.12255057066579539</v>
      </c>
      <c r="DD80" s="168">
        <f>'Methanol Recycling LC'!K293/'Methanol Recycling HC'!K281</f>
        <v>0.12660148133292565</v>
      </c>
      <c r="DE80" s="168">
        <f>'Methanol Recycling LC'!L293/'Methanol Recycling HC'!L281</f>
        <v>0.13064139400538705</v>
      </c>
      <c r="DF80" s="168">
        <f>'Methanol Recycling LC'!M293/'Methanol Recycling HC'!M281</f>
        <v>0.13467030868317958</v>
      </c>
      <c r="DG80" s="168">
        <f>'Methanol Recycling LC'!N293/'Methanol Recycling HC'!N281</f>
        <v>0.14345287481170069</v>
      </c>
      <c r="DH80" s="168">
        <f>'Methanol Recycling LC'!O293/'Methanol Recycling HC'!O281</f>
        <v>0.15221226055145817</v>
      </c>
      <c r="DI80" s="168">
        <f>'Methanol Recycling LC'!P293/'Methanol Recycling HC'!P281</f>
        <v>0.16095686440068022</v>
      </c>
      <c r="DJ80" s="168">
        <f>'Methanol Recycling LC'!Q293/'Methanol Recycling HC'!Q281</f>
        <v>0.16968031442726866</v>
      </c>
      <c r="DK80" s="168">
        <f>'Methanol Recycling LC'!R293/'Methanol Recycling HC'!R281</f>
        <v>0.17838269077570354</v>
      </c>
      <c r="DL80" s="168">
        <f>'Methanol Recycling LC'!S293/'Methanol Recycling HC'!S281</f>
        <v>0.18706407359046531</v>
      </c>
      <c r="DM80" s="168">
        <f>'Methanol Recycling LC'!T293/'Methanol Recycling HC'!T281</f>
        <v>0.19572454301603415</v>
      </c>
      <c r="DN80" s="168">
        <f>'Methanol Recycling LC'!U293/'Methanol Recycling HC'!U281</f>
        <v>0.20436417919689018</v>
      </c>
      <c r="DO80" s="168">
        <f>'Methanol Recycling LC'!V293/'Methanol Recycling HC'!V281</f>
        <v>0.21298306227751385</v>
      </c>
      <c r="DP80" s="168">
        <f>'Methanol Recycling LC'!W293/'Methanol Recycling HC'!W281</f>
        <v>0.22158127240238512</v>
      </c>
      <c r="DQ80" s="168">
        <f>'Methanol Recycling LC'!X293/'Methanol Recycling HC'!X281</f>
        <v>0.23618992824071217</v>
      </c>
      <c r="DR80" s="168">
        <f>'Methanol Recycling LC'!Y293/'Methanol Recycling HC'!Y281</f>
        <v>0.25076396333820949</v>
      </c>
      <c r="DS80" s="168">
        <f>'Methanol Recycling LC'!Z293/'Methanol Recycling HC'!Z281</f>
        <v>0.26533615567919611</v>
      </c>
      <c r="DT80" s="168">
        <f>'Methanol Recycling LC'!AA293/'Methanol Recycling HC'!AA281</f>
        <v>0.27987997376617363</v>
      </c>
      <c r="DU80" s="168">
        <f>'Methanol Recycling LC'!AB293/'Methanol Recycling HC'!AB281</f>
        <v>0.29439575284038155</v>
      </c>
      <c r="DV80" s="168">
        <f>'Methanol Recycling LC'!AC293/'Methanol Recycling HC'!AC281</f>
        <v>0.3088838281430597</v>
      </c>
      <c r="DW80" s="168">
        <f>'Methanol Recycling LC'!AD293/'Methanol Recycling HC'!AD281</f>
        <v>0.32334453491544757</v>
      </c>
      <c r="DX80" s="168">
        <f>'Methanol Recycling LC'!AE293/'Methanol Recycling HC'!AE281</f>
        <v>0.33777820839878464</v>
      </c>
      <c r="DY80" s="168">
        <f>'Methanol Recycling LC'!AF293/'Methanol Recycling HC'!AF281</f>
        <v>0.35218518383431091</v>
      </c>
      <c r="DZ80" s="168">
        <f>'Methanol Recycling LC'!AG293/'Methanol Recycling HC'!AG281</f>
        <v>0.36656579646326576</v>
      </c>
    </row>
    <row r="81" spans="1:165">
      <c r="A81" s="606" t="s">
        <v>88</v>
      </c>
      <c r="C81" s="54" t="s">
        <v>462</v>
      </c>
      <c r="D81" s="168">
        <f>('Methanol Recycling HC'!C336+'Methanol Recycling HC'!C338)/'Methanol Recycling HC'!C291</f>
        <v>3.2205372600408732E-7</v>
      </c>
      <c r="E81" s="168">
        <f>('Methanol Recycling HC'!D336+'Methanol Recycling HC'!D338)/'Methanol Recycling HC'!D291</f>
        <v>9.3597032168252934E-7</v>
      </c>
      <c r="F81" s="168">
        <f>('Methanol Recycling HC'!E336+'Methanol Recycling HC'!E338)/'Methanol Recycling HC'!E291</f>
        <v>1.957918184774312E-6</v>
      </c>
      <c r="G81" s="168">
        <f>('Methanol Recycling HC'!F336+'Methanol Recycling HC'!F338)/'Methanol Recycling HC'!F291</f>
        <v>4.0714662913572604E-6</v>
      </c>
      <c r="H81" s="168">
        <f>('Methanol Recycling HC'!G336+'Methanol Recycling HC'!G338)/'Methanol Recycling HC'!G291</f>
        <v>8.41059610207955E-6</v>
      </c>
      <c r="I81" s="168">
        <f>('Methanol Recycling HC'!H336+'Methanol Recycling HC'!H338)/'Methanol Recycling HC'!H291</f>
        <v>1.723993464672746E-5</v>
      </c>
      <c r="J81" s="168">
        <f>('Methanol Recycling HC'!I336+'Methanol Recycling HC'!I338)/'Methanol Recycling HC'!I291</f>
        <v>3.5006884957018944E-5</v>
      </c>
      <c r="K81" s="168">
        <f>('Methanol Recycling HC'!J336+'Methanol Recycling HC'!J338)/'Methanol Recycling HC'!J291</f>
        <v>7.0250830921591664E-5</v>
      </c>
      <c r="L81" s="168">
        <f>('Methanol Recycling HC'!K336+'Methanol Recycling HC'!K338)/'Methanol Recycling HC'!K291</f>
        <v>1.3887332739341256E-4</v>
      </c>
      <c r="M81" s="168">
        <f>('Methanol Recycling HC'!L336+'Methanol Recycling HC'!L338)/'Methanol Recycling HC'!L291</f>
        <v>2.69270317423922E-4</v>
      </c>
      <c r="N81" s="168">
        <f>('Methanol Recycling HC'!M336+'Methanol Recycling HC'!M338)/'Methanol Recycling HC'!M291</f>
        <v>5.1151901721600054E-4</v>
      </c>
      <c r="O81" s="168">
        <f>('Methanol Recycling HC'!N336+'Methanol Recycling HC'!N338)/'Methanol Recycling HC'!N291</f>
        <v>9.1280384604011135E-4</v>
      </c>
      <c r="P81" s="168">
        <f>('Methanol Recycling HC'!O336+'Methanol Recycling HC'!O338)/'Methanol Recycling HC'!O291</f>
        <v>1.5749802604928494E-3</v>
      </c>
      <c r="Q81" s="168">
        <f>('Methanol Recycling HC'!P336+'Methanol Recycling HC'!P338)/'Methanol Recycling HC'!P291</f>
        <v>2.5963928286974066E-3</v>
      </c>
      <c r="R81" s="168">
        <f>('Methanol Recycling HC'!Q336+'Methanol Recycling HC'!Q338)/'Methanol Recycling HC'!Q291</f>
        <v>4.0616295938474432E-3</v>
      </c>
      <c r="S81" s="168">
        <f>('Methanol Recycling HC'!R336+'Methanol Recycling HC'!R338)/'Methanol Recycling HC'!R291</f>
        <v>6.0029809091263556E-3</v>
      </c>
      <c r="T81" s="168">
        <f>('Methanol Recycling HC'!S336+'Methanol Recycling HC'!S338)/'Methanol Recycling HC'!S291</f>
        <v>8.3632798935195131E-3</v>
      </c>
      <c r="U81" s="168">
        <f>('Methanol Recycling HC'!T336+'Methanol Recycling HC'!T338)/'Methanol Recycling HC'!T291</f>
        <v>1.1005663544173315E-2</v>
      </c>
      <c r="V81" s="168">
        <f>('Methanol Recycling HC'!U336+'Methanol Recycling HC'!U338)/'Methanol Recycling HC'!U291</f>
        <v>1.3746238547780572E-2</v>
      </c>
      <c r="W81" s="168">
        <f>('Methanol Recycling HC'!V336+'Methanol Recycling HC'!V338)/'Methanol Recycling HC'!V291</f>
        <v>1.6409428163951974E-2</v>
      </c>
      <c r="X81" s="168">
        <f>('Methanol Recycling HC'!W336+'Methanol Recycling HC'!W338)/'Methanol Recycling HC'!W291</f>
        <v>1.8870229260300457E-2</v>
      </c>
      <c r="Y81" s="168">
        <f>('Methanol Recycling HC'!X336+'Methanol Recycling HC'!X338)/'Methanol Recycling HC'!X291</f>
        <v>2.0484010598283215E-2</v>
      </c>
      <c r="Z81" s="168">
        <f>('Methanol Recycling HC'!Y336+'Methanol Recycling HC'!Y338)/'Methanol Recycling HC'!Y291</f>
        <v>2.1734416257518981E-2</v>
      </c>
      <c r="AA81" s="168">
        <f>('Methanol Recycling HC'!Z336+'Methanol Recycling HC'!Z338)/'Methanol Recycling HC'!Z291</f>
        <v>2.2690701342778369E-2</v>
      </c>
      <c r="AB81" s="168">
        <f>('Methanol Recycling HC'!AA336+'Methanol Recycling HC'!AA338)/'Methanol Recycling HC'!AA291</f>
        <v>2.3450028608412728E-2</v>
      </c>
      <c r="AC81" s="168">
        <f>('Methanol Recycling HC'!AB336+'Methanol Recycling HC'!AB338)/'Methanol Recycling HC'!AB291</f>
        <v>2.4129338605477887E-2</v>
      </c>
      <c r="AD81" s="168">
        <f>('Methanol Recycling HC'!AC336+'Methanol Recycling HC'!AC338)/'Methanol Recycling HC'!AC291</f>
        <v>2.4857873870737311E-2</v>
      </c>
      <c r="AE81" s="168">
        <f>('Methanol Recycling HC'!AD336+'Methanol Recycling HC'!AD338)/'Methanol Recycling HC'!AD291</f>
        <v>2.5763602156493176E-2</v>
      </c>
      <c r="AF81" s="168">
        <f>('Methanol Recycling HC'!AE336+'Methanol Recycling HC'!AE338)/'Methanol Recycling HC'!AE291</f>
        <v>2.6945333501339482E-2</v>
      </c>
      <c r="AG81" s="168">
        <f>('Methanol Recycling HC'!AF336+'Methanol Recycling HC'!AF338)/'Methanol Recycling HC'!AF291</f>
        <v>2.8431592145175339E-2</v>
      </c>
      <c r="AH81" s="168">
        <f>('Methanol Recycling HC'!AG336+'Methanol Recycling HC'!AG338)/'Methanol Recycling HC'!AG291</f>
        <v>3.01439083767376E-2</v>
      </c>
      <c r="AI81" s="44"/>
      <c r="AJ81" s="168">
        <f>('Methanol Recycling LC'!C336+'Methanol Recycling LC'!C338)/'Methanol Recycling LC'!C291</f>
        <v>1.8453423751577913E-7</v>
      </c>
      <c r="AK81" s="168">
        <f>('Methanol Recycling LC'!D336+'Methanol Recycling LC'!D338)/'Methanol Recycling LC'!D291</f>
        <v>3.9683479528334927E-7</v>
      </c>
      <c r="AL81" s="168">
        <f>('Methanol Recycling LC'!E336+'Methanol Recycling LC'!E338)/'Methanol Recycling LC'!E291</f>
        <v>8.4715395856825161E-7</v>
      </c>
      <c r="AM81" s="168">
        <f>('Methanol Recycling LC'!F336+'Methanol Recycling LC'!F338)/'Methanol Recycling LC'!F291</f>
        <v>1.7951473679209556E-6</v>
      </c>
      <c r="AN81" s="168">
        <f>('Methanol Recycling LC'!G336+'Methanol Recycling LC'!G338)/'Methanol Recycling LC'!G291</f>
        <v>3.7741634908562619E-6</v>
      </c>
      <c r="AO81" s="168">
        <f>('Methanol Recycling LC'!H336+'Methanol Recycling LC'!H338)/'Methanol Recycling LC'!H291</f>
        <v>7.8653741887455881E-6</v>
      </c>
      <c r="AP81" s="168">
        <f>('Methanol Recycling LC'!I336+'Methanol Recycling LC'!I338)/'Methanol Recycling LC'!I291</f>
        <v>1.6223291920535264E-5</v>
      </c>
      <c r="AQ81" s="168">
        <f>('Methanol Recycling LC'!J336+'Methanol Recycling LC'!J338)/'Methanol Recycling LC'!J291</f>
        <v>3.3044983188853768E-5</v>
      </c>
      <c r="AR81" s="168">
        <f>('Methanol Recycling LC'!K336+'Methanol Recycling LC'!K338)/'Methanol Recycling LC'!K291</f>
        <v>6.626037855753427E-5</v>
      </c>
      <c r="AS81" s="168">
        <f>('Methanol Recycling LC'!L336+'Methanol Recycling LC'!L338)/'Methanol Recycling LC'!L291</f>
        <v>1.3024326387664023E-4</v>
      </c>
      <c r="AT81" s="168">
        <f>('Methanol Recycling LC'!M336+'Methanol Recycling LC'!M338)/'Methanol Recycling LC'!M291</f>
        <v>2.5069366776853217E-4</v>
      </c>
      <c r="AU81" s="168">
        <f>('Methanol Recycling LC'!N336+'Methanol Recycling LC'!N338)/'Methanol Recycling LC'!N291</f>
        <v>4.4615064800005707E-4</v>
      </c>
      <c r="AV81" s="168">
        <f>('Methanol Recycling LC'!O336+'Methanol Recycling LC'!O338)/'Methanol Recycling LC'!O291</f>
        <v>7.6833806328551011E-4</v>
      </c>
      <c r="AW81" s="168">
        <f>('Methanol Recycling LC'!P336+'Methanol Recycling LC'!P338)/'Methanol Recycling LC'!P291</f>
        <v>1.2652511344063593E-3</v>
      </c>
      <c r="AX81" s="168">
        <f>('Methanol Recycling LC'!Q336+'Methanol Recycling LC'!Q338)/'Methanol Recycling LC'!Q291</f>
        <v>1.978691658316498E-3</v>
      </c>
      <c r="AY81" s="168">
        <f>('Methanol Recycling LC'!R336+'Methanol Recycling LC'!R338)/'Methanol Recycling LC'!R291</f>
        <v>2.9258680023186044E-3</v>
      </c>
      <c r="AZ81" s="168">
        <f>('Methanol Recycling LC'!S336+'Methanol Recycling LC'!S338)/'Methanol Recycling LC'!S291</f>
        <v>4.0814004801277065E-3</v>
      </c>
      <c r="BA81" s="168">
        <f>('Methanol Recycling LC'!T336+'Methanol Recycling LC'!T338)/'Methanol Recycling LC'!T291</f>
        <v>5.381769927821304E-3</v>
      </c>
      <c r="BB81" s="168">
        <f>('Methanol Recycling LC'!U336+'Methanol Recycling LC'!U338)/'Methanol Recycling LC'!U291</f>
        <v>6.7405844134215027E-3</v>
      </c>
      <c r="BC81" s="168">
        <f>('Methanol Recycling LC'!V336+'Methanol Recycling LC'!V338)/'Methanol Recycling LC'!V291</f>
        <v>8.0749094744360962E-3</v>
      </c>
      <c r="BD81" s="168">
        <f>('Methanol Recycling LC'!W336+'Methanol Recycling LC'!W338)/'Methanol Recycling LC'!W291</f>
        <v>9.325569244872902E-3</v>
      </c>
      <c r="BE81" s="168">
        <f>('Methanol Recycling LC'!X336+'Methanol Recycling LC'!X338)/'Methanol Recycling LC'!X291</f>
        <v>9.9953237369345901E-3</v>
      </c>
      <c r="BF81" s="168">
        <f>('Methanol Recycling LC'!Y336+'Methanol Recycling LC'!Y338)/'Methanol Recycling LC'!Y291</f>
        <v>1.0475277422739871E-2</v>
      </c>
      <c r="BG81" s="168">
        <f>('Methanol Recycling LC'!Z336+'Methanol Recycling LC'!Z338)/'Methanol Recycling LC'!Z291</f>
        <v>1.0806510523354882E-2</v>
      </c>
      <c r="BH81" s="168">
        <f>('Methanol Recycling LC'!AA336+'Methanol Recycling LC'!AA338)/'Methanol Recycling LC'!AA291</f>
        <v>1.1040661971051906E-2</v>
      </c>
      <c r="BI81" s="168">
        <f>('Methanol Recycling LC'!AB336+'Methanol Recycling LC'!AB338)/'Methanol Recycling LC'!AB291</f>
        <v>1.1236481032022396E-2</v>
      </c>
      <c r="BJ81" s="168">
        <f>('Methanol Recycling LC'!AC336+'Methanol Recycling LC'!AC338)/'Methanol Recycling LC'!AC291</f>
        <v>1.1455910769068763E-2</v>
      </c>
      <c r="BK81" s="168">
        <f>('Methanol Recycling LC'!AD336+'Methanol Recycling LC'!AD338)/'Methanol Recycling LC'!AD291</f>
        <v>1.2285795812931372E-2</v>
      </c>
      <c r="BL81" s="168">
        <f>('Methanol Recycling LC'!AE336+'Methanol Recycling LC'!AE338)/'Methanol Recycling LC'!AE291</f>
        <v>1.355585734975615E-2</v>
      </c>
      <c r="BM81" s="168">
        <f>('Methanol Recycling LC'!AF336+'Methanol Recycling LC'!AF338)/'Methanol Recycling LC'!AF291</f>
        <v>1.5090809813924962E-2</v>
      </c>
      <c r="BN81" s="168">
        <f>('Methanol Recycling LC'!AG336+'Methanol Recycling LC'!AG338)/'Methanol Recycling LC'!AG291</f>
        <v>1.6888615059990082E-2</v>
      </c>
      <c r="BP81" s="168">
        <f>0</f>
        <v>0</v>
      </c>
      <c r="BQ81" s="168">
        <f>0</f>
        <v>0</v>
      </c>
      <c r="BR81" s="168">
        <f>0</f>
        <v>0</v>
      </c>
      <c r="BS81" s="168">
        <f>0</f>
        <v>0</v>
      </c>
      <c r="BT81" s="168">
        <f>0</f>
        <v>0</v>
      </c>
      <c r="BU81" s="168">
        <f>0</f>
        <v>0</v>
      </c>
      <c r="BV81" s="168">
        <f>0</f>
        <v>0</v>
      </c>
      <c r="BW81" s="168">
        <f>0</f>
        <v>0</v>
      </c>
      <c r="BX81" s="168">
        <f>0</f>
        <v>0</v>
      </c>
      <c r="BY81" s="168">
        <f>0</f>
        <v>0</v>
      </c>
      <c r="BZ81" s="168">
        <f>0</f>
        <v>0</v>
      </c>
      <c r="CA81" s="168">
        <f>0</f>
        <v>0</v>
      </c>
      <c r="CB81" s="168">
        <f>0</f>
        <v>0</v>
      </c>
      <c r="CC81" s="168">
        <f>0</f>
        <v>0</v>
      </c>
      <c r="CD81" s="168">
        <f>0</f>
        <v>0</v>
      </c>
      <c r="CE81" s="168">
        <f>0</f>
        <v>0</v>
      </c>
      <c r="CF81" s="168">
        <f>0</f>
        <v>0</v>
      </c>
      <c r="CG81" s="168">
        <f>0</f>
        <v>0</v>
      </c>
      <c r="CH81" s="168">
        <f>0</f>
        <v>0</v>
      </c>
      <c r="CI81" s="168">
        <f>0</f>
        <v>0</v>
      </c>
      <c r="CJ81" s="168">
        <f>0</f>
        <v>0</v>
      </c>
      <c r="CK81" s="168">
        <f>0</f>
        <v>0</v>
      </c>
      <c r="CL81" s="168">
        <f>0</f>
        <v>0</v>
      </c>
      <c r="CM81" s="168">
        <f>0</f>
        <v>0</v>
      </c>
      <c r="CN81" s="168">
        <f>0</f>
        <v>0</v>
      </c>
      <c r="CO81" s="168">
        <f>0</f>
        <v>0</v>
      </c>
      <c r="CP81" s="168">
        <f>0</f>
        <v>0</v>
      </c>
      <c r="CQ81" s="168">
        <f>0</f>
        <v>0</v>
      </c>
      <c r="CR81" s="168">
        <f>0</f>
        <v>0</v>
      </c>
      <c r="CS81" s="168">
        <f>0</f>
        <v>0</v>
      </c>
      <c r="CT81" s="168">
        <f>0</f>
        <v>0</v>
      </c>
      <c r="CV81" s="168">
        <f>('Methanol Recycling LC'!C336+'Methanol Recycling LC'!C338)/'Methanol Recycling HC'!C281</f>
        <v>1.8453423751577913E-7</v>
      </c>
      <c r="CW81" s="168">
        <f>('Methanol Recycling LC'!D336+'Methanol Recycling LC'!D338)/'Methanol Recycling HC'!D281</f>
        <v>3.9683479528334927E-7</v>
      </c>
      <c r="CX81" s="168">
        <f>('Methanol Recycling LC'!E336+'Methanol Recycling LC'!E338)/'Methanol Recycling HC'!E281</f>
        <v>8.4715395856825161E-7</v>
      </c>
      <c r="CY81" s="168">
        <f>('Methanol Recycling LC'!F336+'Methanol Recycling LC'!F338)/'Methanol Recycling HC'!F281</f>
        <v>1.7951473679209556E-6</v>
      </c>
      <c r="CZ81" s="168">
        <f>('Methanol Recycling LC'!G336+'Methanol Recycling LC'!G338)/'Methanol Recycling HC'!G281</f>
        <v>3.7741634908562619E-6</v>
      </c>
      <c r="DA81" s="168">
        <f>('Methanol Recycling LC'!H336+'Methanol Recycling LC'!H338)/'Methanol Recycling HC'!H281</f>
        <v>7.8653741887455881E-6</v>
      </c>
      <c r="DB81" s="168">
        <f>('Methanol Recycling LC'!I336+'Methanol Recycling LC'!I338)/'Methanol Recycling HC'!I281</f>
        <v>1.6223291920535264E-5</v>
      </c>
      <c r="DC81" s="168">
        <f>('Methanol Recycling LC'!J336+'Methanol Recycling LC'!J338)/'Methanol Recycling HC'!J281</f>
        <v>3.3044983188853768E-5</v>
      </c>
      <c r="DD81" s="168">
        <f>('Methanol Recycling LC'!K336+'Methanol Recycling LC'!K338)/'Methanol Recycling HC'!K281</f>
        <v>6.626037855753427E-5</v>
      </c>
      <c r="DE81" s="168">
        <f>('Methanol Recycling LC'!L336+'Methanol Recycling LC'!L338)/'Methanol Recycling HC'!L281</f>
        <v>1.3024326387664023E-4</v>
      </c>
      <c r="DF81" s="168">
        <f>('Methanol Recycling LC'!M336+'Methanol Recycling LC'!M338)/'Methanol Recycling HC'!M281</f>
        <v>2.5069366776853217E-4</v>
      </c>
      <c r="DG81" s="168">
        <f>('Methanol Recycling LC'!N336+'Methanol Recycling LC'!N338)/'Methanol Recycling HC'!N281</f>
        <v>4.4615064800005707E-4</v>
      </c>
      <c r="DH81" s="168">
        <f>('Methanol Recycling LC'!O336+'Methanol Recycling LC'!O338)/'Methanol Recycling HC'!O281</f>
        <v>7.6833806328551011E-4</v>
      </c>
      <c r="DI81" s="168">
        <f>('Methanol Recycling LC'!P336+'Methanol Recycling LC'!P338)/'Methanol Recycling HC'!P281</f>
        <v>1.2653682360176002E-3</v>
      </c>
      <c r="DJ81" s="168">
        <f>('Methanol Recycling LC'!Q336+'Methanol Recycling LC'!Q338)/'Methanol Recycling HC'!Q281</f>
        <v>1.9790579223332404E-3</v>
      </c>
      <c r="DK81" s="168">
        <f>('Methanol Recycling LC'!R336+'Methanol Recycling LC'!R338)/'Methanol Recycling HC'!R281</f>
        <v>2.9266803877368813E-3</v>
      </c>
      <c r="DL81" s="168">
        <f>('Methanol Recycling LC'!S336+'Methanol Recycling LC'!S338)/'Methanol Recycling HC'!S281</f>
        <v>4.082911448375341E-3</v>
      </c>
      <c r="DM81" s="168">
        <f>('Methanol Recycling LC'!T336+'Methanol Recycling LC'!T338)/'Methanol Recycling HC'!T281</f>
        <v>5.3842603975499548E-3</v>
      </c>
      <c r="DN81" s="168">
        <f>('Methanol Recycling LC'!U336+'Methanol Recycling LC'!U338)/'Methanol Recycling HC'!U281</f>
        <v>6.744327543654163E-3</v>
      </c>
      <c r="DO81" s="168">
        <f>('Methanol Recycling LC'!V336+'Methanol Recycling LC'!V338)/'Methanol Recycling HC'!V281</f>
        <v>8.080140921530336E-3</v>
      </c>
      <c r="DP81" s="168">
        <f>('Methanol Recycling LC'!W336+'Methanol Recycling LC'!W338)/'Methanol Recycling HC'!W281</f>
        <v>9.3324740507544704E-3</v>
      </c>
      <c r="DQ81" s="168">
        <f>('Methanol Recycling LC'!X336+'Methanol Recycling LC'!X338)/'Methanol Recycling HC'!X281</f>
        <v>1.0003649528031532E-2</v>
      </c>
      <c r="DR81" s="168">
        <f>('Methanol Recycling LC'!Y336+'Methanol Recycling LC'!Y338)/'Methanol Recycling HC'!Y281</f>
        <v>1.0484972508806515E-2</v>
      </c>
      <c r="DS81" s="168">
        <f>('Methanol Recycling LC'!Z336+'Methanol Recycling LC'!Z338)/'Methanol Recycling HC'!Z281</f>
        <v>1.0819012584801078E-2</v>
      </c>
      <c r="DT81" s="168">
        <f>('Methanol Recycling LC'!AA336+'Methanol Recycling LC'!AA338)/'Methanol Recycling HC'!AA281</f>
        <v>1.1055989512804128E-2</v>
      </c>
      <c r="DU81" s="168">
        <f>('Methanol Recycling LC'!AB336+'Methanol Recycling LC'!AB338)/'Methanol Recycling HC'!AB281</f>
        <v>1.1254680324605961E-2</v>
      </c>
      <c r="DV81" s="168">
        <f>('Methanol Recycling LC'!AC336+'Methanol Recycling LC'!AC338)/'Methanol Recycling HC'!AC281</f>
        <v>1.1477116134119399E-2</v>
      </c>
      <c r="DW81" s="168">
        <f>('Methanol Recycling LC'!AD336+'Methanol Recycling LC'!AD338)/'Methanol Recycling HC'!AD281</f>
        <v>1.2311380019128753E-2</v>
      </c>
      <c r="DX81" s="168">
        <f>('Methanol Recycling LC'!AE336+'Methanol Recycling LC'!AE338)/'Methanol Recycling HC'!AE281</f>
        <v>1.3587222916129543E-2</v>
      </c>
      <c r="DY81" s="168">
        <f>('Methanol Recycling LC'!AF336+'Methanol Recycling LC'!AF338)/'Methanol Recycling HC'!AF281</f>
        <v>1.5129218670192617E-2</v>
      </c>
      <c r="DZ81" s="168">
        <f>('Methanol Recycling LC'!AG336+'Methanol Recycling LC'!AG338)/'Methanol Recycling HC'!AG281</f>
        <v>1.6935507348359725E-2</v>
      </c>
    </row>
    <row r="82" spans="1:165">
      <c r="A82" s="606" t="s">
        <v>459</v>
      </c>
      <c r="C82" s="54" t="s">
        <v>462</v>
      </c>
      <c r="D82" s="168">
        <f>('Methanol Recycling HC'!C309-('Methanol Recycling HC'!C336+'Methanol Recycling HC'!C338)*'Methanol Recycling HC'!C275/SUM('Methanol Recycling HC'!C275:C276))/('Methanol Recycling HC'!C$291)*D$19/SUM(D$19:D$20)</f>
        <v>0.14497142059048934</v>
      </c>
      <c r="E82" s="168">
        <f>('Methanol Recycling HC'!D309-('Methanol Recycling HC'!D336+'Methanol Recycling HC'!D338)*'Methanol Recycling HC'!D275/SUM('Methanol Recycling HC'!D275:D276))/('Methanol Recycling HC'!D$291)*E$19/SUM(E$19:E$20)</f>
        <v>0.15336162791267774</v>
      </c>
      <c r="F82" s="168">
        <f>('Methanol Recycling HC'!E309-('Methanol Recycling HC'!E336+'Methanol Recycling HC'!E338)*'Methanol Recycling HC'!E275/SUM('Methanol Recycling HC'!E275:E276))/('Methanol Recycling HC'!E$291)*F$19/SUM(F$19:F$20)</f>
        <v>0.15754825923044913</v>
      </c>
      <c r="G82" s="168">
        <f>('Methanol Recycling HC'!F309-('Methanol Recycling HC'!F336+'Methanol Recycling HC'!F338)*'Methanol Recycling HC'!F275/SUM('Methanol Recycling HC'!F275:F276))/('Methanol Recycling HC'!F$291)*G$19/SUM(G$19:G$20)</f>
        <v>0.16166399273308982</v>
      </c>
      <c r="H82" s="168">
        <f>('Methanol Recycling HC'!G309-('Methanol Recycling HC'!G336+'Methanol Recycling HC'!G338)*'Methanol Recycling HC'!G275/SUM('Methanol Recycling HC'!G275:G276))/('Methanol Recycling HC'!G$291)*H$19/SUM(H$19:H$20)</f>
        <v>0.16569485110915988</v>
      </c>
      <c r="I82" s="168">
        <f>('Methanol Recycling HC'!H309-('Methanol Recycling HC'!H336+'Methanol Recycling HC'!H338)*'Methanol Recycling HC'!H275/SUM('Methanol Recycling HC'!H275:H276))/('Methanol Recycling HC'!H$291)*I$19/SUM(I$19:I$20)</f>
        <v>0.16961504269501546</v>
      </c>
      <c r="J82" s="168">
        <f>('Methanol Recycling HC'!I309-('Methanol Recycling HC'!I336+'Methanol Recycling HC'!I338)*'Methanol Recycling HC'!I275/SUM('Methanol Recycling HC'!I275:I276))/('Methanol Recycling HC'!I$291)*J$19/SUM(J$19:J$20)</f>
        <v>0.17337689085201513</v>
      </c>
      <c r="K82" s="168">
        <f>('Methanol Recycling HC'!J309-('Methanol Recycling HC'!J336+'Methanol Recycling HC'!J338)*'Methanol Recycling HC'!J275/SUM('Methanol Recycling HC'!J275:J276))/('Methanol Recycling HC'!J$291)*K$19/SUM(K$19:K$20)</f>
        <v>0.1768933786861592</v>
      </c>
      <c r="L82" s="168">
        <f>('Methanol Recycling HC'!K309-('Methanol Recycling HC'!K336+'Methanol Recycling HC'!K338)*'Methanol Recycling HC'!K275/SUM('Methanol Recycling HC'!K275:K276))/('Methanol Recycling HC'!K$291)*L$19/SUM(L$19:L$20)</f>
        <v>0.18000977413267316</v>
      </c>
      <c r="M82" s="168">
        <f>('Methanol Recycling HC'!L309-('Methanol Recycling HC'!L336+'Methanol Recycling HC'!L338)*'Methanol Recycling HC'!L275/SUM('Methanol Recycling HC'!L275:L276))/('Methanol Recycling HC'!L$291)*M$19/SUM(M$19:M$20)</f>
        <v>0.18246195241132257</v>
      </c>
      <c r="N82" s="168">
        <f>('Methanol Recycling HC'!M309-('Methanol Recycling HC'!M336+'Methanol Recycling HC'!M338)*'Methanol Recycling HC'!M275/SUM('Methanol Recycling HC'!M275:M276))/('Methanol Recycling HC'!M$291)*N$19/SUM(N$19:N$20)</f>
        <v>0.18382439028506514</v>
      </c>
      <c r="O82" s="168">
        <f>('Methanol Recycling HC'!N309-('Methanol Recycling HC'!N336+'Methanol Recycling HC'!N338)*'Methanol Recycling HC'!N275/SUM('Methanol Recycling HC'!N275:N276))/('Methanol Recycling HC'!N$291)*O$19/SUM(O$19:O$20)</f>
        <v>0.18279331994233416</v>
      </c>
      <c r="P82" s="168">
        <f>('Methanol Recycling HC'!O309-('Methanol Recycling HC'!O336+'Methanol Recycling HC'!O338)*'Methanol Recycling HC'!O275/SUM('Methanol Recycling HC'!O275:O276))/('Methanol Recycling HC'!O$291)*P$19/SUM(P$19:P$20)</f>
        <v>0.17924668392839554</v>
      </c>
      <c r="Q82" s="168">
        <f>('Methanol Recycling HC'!P309-('Methanol Recycling HC'!P336+'Methanol Recycling HC'!P338)*'Methanol Recycling HC'!P275/SUM('Methanol Recycling HC'!P275:P276))/('Methanol Recycling HC'!P$291)*Q$19/SUM(Q$19:Q$20)</f>
        <v>0.17234856384333369</v>
      </c>
      <c r="R82" s="168">
        <f>('Methanol Recycling HC'!Q309-('Methanol Recycling HC'!Q336+'Methanol Recycling HC'!Q338)*'Methanol Recycling HC'!Q275/SUM('Methanol Recycling HC'!Q275:Q276))/('Methanol Recycling HC'!Q$291)*R$19/SUM(R$19:R$20)</f>
        <v>0.16148661128141903</v>
      </c>
      <c r="S82" s="168">
        <f>('Methanol Recycling HC'!R309-('Methanol Recycling HC'!R336+'Methanol Recycling HC'!R338)*'Methanol Recycling HC'!R275/SUM('Methanol Recycling HC'!R275:R276))/('Methanol Recycling HC'!R$291)*S$19/SUM(S$19:S$20)</f>
        <v>0.1466221483640868</v>
      </c>
      <c r="T82" s="168">
        <f>('Methanol Recycling HC'!S309-('Methanol Recycling HC'!S336+'Methanol Recycling HC'!S338)*'Methanol Recycling HC'!S275/SUM('Methanol Recycling HC'!S275:S276))/('Methanol Recycling HC'!S$291)*T$19/SUM(T$19:T$20)</f>
        <v>0.12851233438254633</v>
      </c>
      <c r="U82" s="168">
        <f>('Methanol Recycling HC'!T309-('Methanol Recycling HC'!T336+'Methanol Recycling HC'!T338)*'Methanol Recycling HC'!T275/SUM('Methanol Recycling HC'!T275:T276))/('Methanol Recycling HC'!T$291)*U$19/SUM(U$19:U$20)</f>
        <v>0.10860722974241993</v>
      </c>
      <c r="V82" s="168">
        <f>('Methanol Recycling HC'!U309-('Methanol Recycling HC'!U336+'Methanol Recycling HC'!U338)*'Methanol Recycling HC'!U275/SUM('Methanol Recycling HC'!U275:U276))/('Methanol Recycling HC'!U$291)*V$19/SUM(V$19:V$20)</f>
        <v>8.8635540907058899E-2</v>
      </c>
      <c r="W82" s="168">
        <f>('Methanol Recycling HC'!V309-('Methanol Recycling HC'!V336+'Methanol Recycling HC'!V338)*'Methanol Recycling HC'!V275/SUM('Methanol Recycling HC'!V275:V276))/('Methanol Recycling HC'!V$291)*W$19/SUM(W$19:W$20)</f>
        <v>7.0108503994991619E-2</v>
      </c>
      <c r="X82" s="168">
        <f>('Methanol Recycling HC'!W309-('Methanol Recycling HC'!W336+'Methanol Recycling HC'!W338)*'Methanol Recycling HC'!W275/SUM('Methanol Recycling HC'!W275:W276))/('Methanol Recycling HC'!W$291)*X$19/SUM(X$19:X$20)</f>
        <v>5.4003389547085529E-2</v>
      </c>
      <c r="Y82" s="168">
        <f>('Methanol Recycling HC'!X309-('Methanol Recycling HC'!X336+'Methanol Recycling HC'!X338)*'Methanol Recycling HC'!X275/SUM('Methanol Recycling HC'!X275:X276))/('Methanol Recycling HC'!X$291)*Y$19/SUM(Y$19:Y$20)</f>
        <v>4.0528530334036292E-2</v>
      </c>
      <c r="Z82" s="168">
        <f>('Methanol Recycling HC'!Y309-('Methanol Recycling HC'!Y336+'Methanol Recycling HC'!Y338)*'Methanol Recycling HC'!Y275/SUM('Methanol Recycling HC'!Y275:Y276))/('Methanol Recycling HC'!Y$291)*Z$19/SUM(Z$19:Z$20)</f>
        <v>2.9906187149535864E-2</v>
      </c>
      <c r="AA82" s="168">
        <f>('Methanol Recycling HC'!Z309-('Methanol Recycling HC'!Z336+'Methanol Recycling HC'!Z338)*'Methanol Recycling HC'!Z275/SUM('Methanol Recycling HC'!Z275:Z276))/('Methanol Recycling HC'!Z$291)*AA$19/SUM(AA$19:AA$20)</f>
        <v>2.1781798165129807E-2</v>
      </c>
      <c r="AB82" s="168">
        <f>('Methanol Recycling HC'!AA309-('Methanol Recycling HC'!AA336+'Methanol Recycling HC'!AA338)*'Methanol Recycling HC'!AA275/SUM('Methanol Recycling HC'!AA275:AA276))/('Methanol Recycling HC'!AA$291)*AB$19/SUM(AB$19:AB$20)</f>
        <v>1.5706481206138163E-2</v>
      </c>
      <c r="AC82" s="168">
        <f>('Methanol Recycling HC'!AB309-('Methanol Recycling HC'!AB336+'Methanol Recycling HC'!AB338)*'Methanol Recycling HC'!AB275/SUM('Methanol Recycling HC'!AB275:AB276))/('Methanol Recycling HC'!AB$291)*AC$19/SUM(AC$19:AC$20)</f>
        <v>1.1238467088235187E-2</v>
      </c>
      <c r="AD82" s="168">
        <f>('Methanol Recycling HC'!AC309-('Methanol Recycling HC'!AC336+'Methanol Recycling HC'!AC338)*'Methanol Recycling HC'!AC275/SUM('Methanol Recycling HC'!AC275:AC276))/('Methanol Recycling HC'!AC$291)*AD$19/SUM(AD$19:AD$20)</f>
        <v>7.9925627857153347E-3</v>
      </c>
      <c r="AE82" s="168">
        <f>('Methanol Recycling HC'!AD309-('Methanol Recycling HC'!AD336+'Methanol Recycling HC'!AD338)*'Methanol Recycling HC'!AD275/SUM('Methanol Recycling HC'!AD275:AD276))/('Methanol Recycling HC'!AD$291)*AE$19/SUM(AE$19:AE$20)</f>
        <v>5.6559198712623753E-3</v>
      </c>
      <c r="AF82" s="168">
        <f>('Methanol Recycling HC'!AE309-('Methanol Recycling HC'!AE336+'Methanol Recycling HC'!AE338)*'Methanol Recycling HC'!AE275/SUM('Methanol Recycling HC'!AE275:AE276))/('Methanol Recycling HC'!AE$291)*AF$19/SUM(AF$19:AF$20)</f>
        <v>3.9856460469235916E-3</v>
      </c>
      <c r="AG82" s="168">
        <f>('Methanol Recycling HC'!AF309-('Methanol Recycling HC'!AF336+'Methanol Recycling HC'!AF338)*'Methanol Recycling HC'!AF275/SUM('Methanol Recycling HC'!AF275:AF276))/('Methanol Recycling HC'!AF$291)*AG$19/SUM(AG$19:AG$20)</f>
        <v>2.7986269198174048E-3</v>
      </c>
      <c r="AH82" s="168">
        <f>('Methanol Recycling HC'!AG309-('Methanol Recycling HC'!AG336+'Methanol Recycling HC'!AG338)*'Methanol Recycling HC'!AG275/SUM('Methanol Recycling HC'!AG275:AG276))/('Methanol Recycling HC'!AG$291)*AH$19/SUM(AH$19:AH$20)</f>
        <v>1.9593785190269455E-3</v>
      </c>
      <c r="AI82" s="44"/>
      <c r="AJ82" s="168">
        <f>('Methanol Recycling LC'!C309-('Methanol Recycling LC'!C336+'Methanol Recycling LC'!C338)*'Methanol Recycling LC'!C275/SUM('Methanol Recycling LC'!C275:C276))/('Methanol Recycling LC'!C$291)*AJ$19/SUM(AJ$19:AJ$20)</f>
        <v>0.14497146210389325</v>
      </c>
      <c r="AK82" s="168">
        <f>('Methanol Recycling LC'!D309-('Methanol Recycling LC'!D336+'Methanol Recycling LC'!D338)*'Methanol Recycling LC'!D275/SUM('Methanol Recycling LC'!D275:D276))/('Methanol Recycling LC'!D$291)*AK$19/SUM(AK$19:AK$20)</f>
        <v>0.14911489589012775</v>
      </c>
      <c r="AL82" s="168">
        <f>('Methanol Recycling LC'!E309-('Methanol Recycling LC'!E336+'Methanol Recycling LC'!E338)*'Methanol Recycling LC'!E275/SUM('Methanol Recycling LC'!E275:E276))/('Methanol Recycling LC'!E$291)*AL$19/SUM(AL$19:AL$20)</f>
        <v>0.15320959852543384</v>
      </c>
      <c r="AM82" s="168">
        <f>('Methanol Recycling LC'!F309-('Methanol Recycling LC'!F336+'Methanol Recycling LC'!F338)*'Methanol Recycling LC'!F275/SUM('Methanol Recycling LC'!F275:F276))/('Methanol Recycling LC'!F$291)*AM$19/SUM(AM$19:AM$20)</f>
        <v>0.1572493900154468</v>
      </c>
      <c r="AN82" s="168">
        <f>('Methanol Recycling LC'!G309-('Methanol Recycling LC'!G336+'Methanol Recycling LC'!G338)*'Methanol Recycling LC'!G275/SUM('Methanol Recycling LC'!G275:G276))/('Methanol Recycling LC'!G$291)*AN$19/SUM(AN$19:AN$20)</f>
        <v>0.1612221159941003</v>
      </c>
      <c r="AO82" s="168">
        <f>('Methanol Recycling LC'!H309-('Methanol Recycling LC'!H336+'Methanol Recycling LC'!H338)*'Methanol Recycling LC'!H275/SUM('Methanol Recycling LC'!H275:H276))/('Methanol Recycling LC'!H$291)*AO$19/SUM(AO$19:AO$20)</f>
        <v>0.16510430625277411</v>
      </c>
      <c r="AP82" s="168">
        <f>('Methanol Recycling LC'!I309-('Methanol Recycling LC'!I336+'Methanol Recycling LC'!I338)*'Methanol Recycling LC'!I275/SUM('Methanol Recycling LC'!I275:I276))/('Methanol Recycling LC'!I$291)*AP$19/SUM(AP$19:AP$20)</f>
        <v>0.16885150778773972</v>
      </c>
      <c r="AQ82" s="168">
        <f>('Methanol Recycling LC'!J309-('Methanol Recycling LC'!J336+'Methanol Recycling LC'!J338)*'Methanol Recycling LC'!J275/SUM('Methanol Recycling LC'!J275:J276))/('Methanol Recycling LC'!J$291)*AQ$19/SUM(AQ$19:AQ$20)</f>
        <v>0.17238151386257797</v>
      </c>
      <c r="AR82" s="168">
        <f>('Methanol Recycling LC'!K309-('Methanol Recycling LC'!K336+'Methanol Recycling LC'!K338)*'Methanol Recycling LC'!K275/SUM('Methanol Recycling LC'!K275:K276))/('Methanol Recycling LC'!K$291)*AR$19/SUM(AR$19:AR$20)</f>
        <v>0.17554705842665841</v>
      </c>
      <c r="AS82" s="168">
        <f>('Methanol Recycling LC'!L309-('Methanol Recycling LC'!L336+'Methanol Recycling LC'!L338)*'Methanol Recycling LC'!L275/SUM('Methanol Recycling LC'!L275:L276))/('Methanol Recycling LC'!L$291)*AS$19/SUM(AS$19:AS$20)</f>
        <v>0.17809558918712728</v>
      </c>
      <c r="AT82" s="168">
        <f>('Methanol Recycling LC'!M309-('Methanol Recycling LC'!M336+'Methanol Recycling LC'!M338)*'Methanol Recycling LC'!M275/SUM('Methanol Recycling LC'!M275:M276))/('Methanol Recycling LC'!M$291)*AT$19/SUM(AT$19:AT$20)</f>
        <v>0.17961910086946226</v>
      </c>
      <c r="AU82" s="168">
        <f>('Methanol Recycling LC'!N309-('Methanol Recycling LC'!N336+'Methanol Recycling LC'!N338)*'Methanol Recycling LC'!N275/SUM('Methanol Recycling LC'!N275:N276))/('Methanol Recycling LC'!N$291)*AU$19/SUM(AU$19:AU$20)</f>
        <v>0.17852649184393621</v>
      </c>
      <c r="AV82" s="168">
        <f>('Methanol Recycling LC'!O309-('Methanol Recycling LC'!O336+'Methanol Recycling LC'!O338)*'Methanol Recycling LC'!O275/SUM('Methanol Recycling LC'!O275:O276))/('Methanol Recycling LC'!O$291)*AV$19/SUM(AV$19:AV$20)</f>
        <v>0.1750400342054152</v>
      </c>
      <c r="AW82" s="168">
        <f>('Methanol Recycling LC'!P309-('Methanol Recycling LC'!P336+'Methanol Recycling LC'!P338)*'Methanol Recycling LC'!P275/SUM('Methanol Recycling LC'!P275:P276))/('Methanol Recycling LC'!P$291)*AW$19/SUM(AW$19:AW$20)</f>
        <v>0.16835743614294327</v>
      </c>
      <c r="AX82" s="168">
        <f>('Methanol Recycling LC'!Q309-('Methanol Recycling LC'!Q336+'Methanol Recycling LC'!Q338)*'Methanol Recycling LC'!Q275/SUM('Methanol Recycling LC'!Q275:Q276))/('Methanol Recycling LC'!Q$291)*AX$19/SUM(AX$19:AX$20)</f>
        <v>0.15788111861726353</v>
      </c>
      <c r="AY82" s="168">
        <f>('Methanol Recycling LC'!R309-('Methanol Recycling LC'!R336+'Methanol Recycling LC'!R338)*'Methanol Recycling LC'!R275/SUM('Methanol Recycling LC'!R275:R276))/('Methanol Recycling LC'!R$291)*AY$19/SUM(AY$19:AY$20)</f>
        <v>0.14355205861694226</v>
      </c>
      <c r="AZ82" s="168">
        <f>('Methanol Recycling LC'!S309-('Methanol Recycling LC'!S336+'Methanol Recycling LC'!S338)*'Methanol Recycling LC'!S275/SUM('Methanol Recycling LC'!S275:S276))/('Methanol Recycling LC'!S$291)*AZ$19/SUM(AZ$19:AZ$20)</f>
        <v>0.12606606272666088</v>
      </c>
      <c r="BA82" s="168">
        <f>('Methanol Recycling LC'!T309-('Methanol Recycling LC'!T336+'Methanol Recycling LC'!T338)*'Methanol Recycling LC'!T275/SUM('Methanol Recycling LC'!T275:T276))/('Methanol Recycling LC'!T$291)*BA$19/SUM(BA$19:BA$20)</f>
        <v>0.10678991193384185</v>
      </c>
      <c r="BB82" s="168">
        <f>('Methanol Recycling LC'!U309-('Methanol Recycling LC'!U336+'Methanol Recycling LC'!U338)*'Methanol Recycling LC'!U275/SUM('Methanol Recycling LC'!U275:U276))/('Methanol Recycling LC'!U$291)*BB$19/SUM(BB$19:BB$20)</f>
        <v>8.7377359063084331E-2</v>
      </c>
      <c r="BC82" s="168">
        <f>('Methanol Recycling LC'!V309-('Methanol Recycling LC'!V336+'Methanol Recycling LC'!V338)*'Methanol Recycling LC'!V275/SUM('Methanol Recycling LC'!V275:V276))/('Methanol Recycling LC'!V$291)*BC$19/SUM(BC$19:BC$20)</f>
        <v>6.9296551763203873E-2</v>
      </c>
      <c r="BD82" s="168">
        <f>('Methanol Recycling LC'!W309-('Methanol Recycling LC'!W336+'Methanol Recycling LC'!W338)*'Methanol Recycling LC'!W275/SUM('Methanol Recycling LC'!W275:W276))/('Methanol Recycling LC'!W$291)*BD$19/SUM(BD$19:BD$20)</f>
        <v>5.3516953256627919E-2</v>
      </c>
      <c r="BE82" s="168">
        <f>('Methanol Recycling LC'!X309-('Methanol Recycling LC'!X336+'Methanol Recycling LC'!X338)*'Methanol Recycling LC'!X275/SUM('Methanol Recycling LC'!X275:X276))/('Methanol Recycling LC'!X$291)*BE$19/SUM(BE$19:BE$20)</f>
        <v>4.016156997044968E-2</v>
      </c>
      <c r="BF82" s="168">
        <f>('Methanol Recycling LC'!Y309-('Methanol Recycling LC'!Y336+'Methanol Recycling LC'!Y338)*'Methanol Recycling LC'!Y275/SUM('Methanol Recycling LC'!Y275:Y276))/('Methanol Recycling LC'!Y$291)*BF$19/SUM(BF$19:BF$20)</f>
        <v>2.9629266601826795E-2</v>
      </c>
      <c r="BG82" s="168">
        <f>('Methanol Recycling LC'!Z309-('Methanol Recycling LC'!Z336+'Methanol Recycling LC'!Z338)*'Methanol Recycling LC'!Z275/SUM('Methanol Recycling LC'!Z275:Z276))/('Methanol Recycling LC'!Z$291)*BG$19/SUM(BG$19:BG$20)</f>
        <v>2.1573605761812421E-2</v>
      </c>
      <c r="BH82" s="168">
        <f>('Methanol Recycling LC'!AA309-('Methanol Recycling LC'!AA336+'Methanol Recycling LC'!AA338)*'Methanol Recycling LC'!AA275/SUM('Methanol Recycling LC'!AA275:AA276))/('Methanol Recycling LC'!AA$291)*BH$19/SUM(BH$19:BH$20)</f>
        <v>1.555167086927395E-2</v>
      </c>
      <c r="BI82" s="168">
        <f>('Methanol Recycling LC'!AB309-('Methanol Recycling LC'!AB336+'Methanol Recycling LC'!AB338)*'Methanol Recycling LC'!AB275/SUM('Methanol Recycling LC'!AB275:AB276))/('Methanol Recycling LC'!AB$291)*BI$19/SUM(BI$19:BI$20)</f>
        <v>1.1125767132994985E-2</v>
      </c>
      <c r="BJ82" s="168">
        <f>('Methanol Recycling LC'!AC309-('Methanol Recycling LC'!AC336+'Methanol Recycling LC'!AC338)*'Methanol Recycling LC'!AC275/SUM('Methanol Recycling LC'!AC275:AC276))/('Methanol Recycling LC'!AC$291)*BJ$19/SUM(BJ$19:BJ$20)</f>
        <v>7.9132609416456764E-3</v>
      </c>
      <c r="BK82" s="168">
        <f>('Methanol Recycling LC'!AD309-('Methanol Recycling LC'!AD336+'Methanol Recycling LC'!AD338)*'Methanol Recycling LC'!AD275/SUM('Methanol Recycling LC'!AD275:AD276))/('Methanol Recycling LC'!AD$291)*BK$19/SUM(BK$19:BK$20)</f>
        <v>5.5966697849971813E-3</v>
      </c>
      <c r="BL82" s="168">
        <f>('Methanol Recycling LC'!AE309-('Methanol Recycling LC'!AE336+'Methanol Recycling LC'!AE338)*'Methanol Recycling LC'!AE275/SUM('Methanol Recycling LC'!AE275:AE276))/('Methanol Recycling LC'!AE$291)*BL$19/SUM(BL$19:BL$20)</f>
        <v>3.9412516351049519E-3</v>
      </c>
      <c r="BM82" s="168">
        <f>('Methanol Recycling LC'!AF309-('Methanol Recycling LC'!AF336+'Methanol Recycling LC'!AF338)*'Methanol Recycling LC'!AF275/SUM('Methanol Recycling LC'!AF275:AF276))/('Methanol Recycling LC'!AF$291)*BM$19/SUM(BM$19:BM$20)</f>
        <v>2.7665305878522722E-3</v>
      </c>
      <c r="BN82" s="168">
        <f>('Methanol Recycling LC'!AG309-('Methanol Recycling LC'!AG336+'Methanol Recycling LC'!AG338)*'Methanol Recycling LC'!AG275/SUM('Methanol Recycling LC'!AG275:AG276))/('Methanol Recycling LC'!AG$291)*BN$19/SUM(BN$19:BN$20)</f>
        <v>1.9366423865954864E-3</v>
      </c>
      <c r="BP82" s="168">
        <f>('Methanol Recycling HC'!C285)/('Methanol Recycling HC'!C$281)*BP$19/SUM(BP$19:BP$20)</f>
        <v>0.1449781996567753</v>
      </c>
      <c r="BQ82" s="168">
        <f>('Methanol Recycling HC'!D285)/('Methanol Recycling HC'!D$281)*BQ$19/SUM(BQ$19:BQ$20)</f>
        <v>0.14709848619833654</v>
      </c>
      <c r="BR82" s="168">
        <f>('Methanol Recycling HC'!E285)/('Methanol Recycling HC'!E$281)*BR$19/SUM(BR$19:BR$20)</f>
        <v>0.14918192263762906</v>
      </c>
      <c r="BS82" s="168">
        <f>('Methanol Recycling HC'!F285)/('Methanol Recycling HC'!F$281)*BS$19/SUM(BS$19:BS$20)</f>
        <v>0.15122859763306432</v>
      </c>
      <c r="BT82" s="168">
        <f>('Methanol Recycling HC'!G285)/('Methanol Recycling HC'!G$281)*BT$19/SUM(BT$19:BT$20)</f>
        <v>0.15323833101131482</v>
      </c>
      <c r="BU82" s="168">
        <f>('Methanol Recycling HC'!H285)/('Methanol Recycling HC'!H$281)*BU$19/SUM(BU$19:BU$20)</f>
        <v>0.15521067105056596</v>
      </c>
      <c r="BV82" s="168">
        <f>('Methanol Recycling HC'!I285)/('Methanol Recycling HC'!I$281)*BV$19/SUM(BV$19:BV$20)</f>
        <v>0.15717772982921752</v>
      </c>
      <c r="BW82" s="168">
        <f>('Methanol Recycling HC'!J285)/('Methanol Recycling HC'!J$281)*BW$19/SUM(BW$19:BW$20)</f>
        <v>0.15913934865974436</v>
      </c>
      <c r="BX82" s="168">
        <f>('Methanol Recycling HC'!K285)/('Methanol Recycling HC'!K$281)*BX$19/SUM(BX$19:BX$20)</f>
        <v>0.16109536332804789</v>
      </c>
      <c r="BY82" s="168">
        <f>('Methanol Recycling HC'!L285)/('Methanol Recycling HC'!L$281)*BY$19/SUM(BY$19:BY$20)</f>
        <v>0.16304560367960214</v>
      </c>
      <c r="BZ82" s="168">
        <f>('Methanol Recycling HC'!M285)/('Methanol Recycling HC'!M$281)*BZ$19/SUM(BZ$19:BZ$20)</f>
        <v>0.16498989319544785</v>
      </c>
      <c r="CA82" s="168">
        <f>('Methanol Recycling HC'!N285)/('Methanol Recycling HC'!N$281)*CA$19/SUM(CA$19:CA$20)</f>
        <v>0.16690540210054158</v>
      </c>
      <c r="CB82" s="168">
        <f>('Methanol Recycling HC'!O285)/('Methanol Recycling HC'!O$281)*CB$19/SUM(CB$19:CB$20)</f>
        <v>0.16879120869306621</v>
      </c>
      <c r="CC82" s="168">
        <f>('Methanol Recycling HC'!P285)/('Methanol Recycling HC'!P$281)*CC$19/SUM(CC$19:CC$20)</f>
        <v>0.17064622113241146</v>
      </c>
      <c r="CD82" s="168">
        <f>('Methanol Recycling HC'!Q285)/('Methanol Recycling HC'!Q$281)*CD$19/SUM(CD$19:CD$20)</f>
        <v>0.17246916646515278</v>
      </c>
      <c r="CE82" s="168">
        <f>('Methanol Recycling HC'!R285)/('Methanol Recycling HC'!R$281)*CE$19/SUM(CE$19:CE$20)</f>
        <v>0.17425857784188242</v>
      </c>
      <c r="CF82" s="168">
        <f>('Methanol Recycling HC'!S285)/('Methanol Recycling HC'!S$281)*CF$19/SUM(CF$19:CF$20)</f>
        <v>0.17604344996085355</v>
      </c>
      <c r="CG82" s="168">
        <f>('Methanol Recycling HC'!T285)/('Methanol Recycling HC'!T$281)*CG$19/SUM(CG$19:CG$20)</f>
        <v>0.17782366623772822</v>
      </c>
      <c r="CH82" s="168">
        <f>('Methanol Recycling HC'!U285)/('Methanol Recycling HC'!U$281)*CH$19/SUM(CH$19:CH$20)</f>
        <v>0.1795991073743953</v>
      </c>
      <c r="CI82" s="168">
        <f>('Methanol Recycling HC'!V285)/('Methanol Recycling HC'!V$281)*CI$19/SUM(CI$19:CI$20)</f>
        <v>0.18136965127630963</v>
      </c>
      <c r="CJ82" s="168">
        <f>('Methanol Recycling HC'!W285)/('Methanol Recycling HC'!W$281)*CJ$19/SUM(CJ$19:CJ$20)</f>
        <v>0.18313517296742532</v>
      </c>
      <c r="CK82" s="168">
        <f>('Methanol Recycling HC'!X285)/('Methanol Recycling HC'!X$281)*CK$19/SUM(CK$19:CK$20)</f>
        <v>0.18489574831608813</v>
      </c>
      <c r="CL82" s="168">
        <f>('Methanol Recycling HC'!Y285)/('Methanol Recycling HC'!Y$281)*CL$19/SUM(CL$19:CL$20)</f>
        <v>0.18665125692027201</v>
      </c>
      <c r="CM82" s="168">
        <f>('Methanol Recycling HC'!Z285)/('Methanol Recycling HC'!Z$281)*CM$19/SUM(CM$19:CM$20)</f>
        <v>0.18840157559737916</v>
      </c>
      <c r="CN82" s="168">
        <f>('Methanol Recycling HC'!AA285)/('Methanol Recycling HC'!AA$281)*CN$19/SUM(CN$19:CN$20)</f>
        <v>0.19014657830409429</v>
      </c>
      <c r="CO82" s="168">
        <f>('Methanol Recycling HC'!AB285)/('Methanol Recycling HC'!AB$281)*CO$19/SUM(CO$19:CO$20)</f>
        <v>0.19188613605395272</v>
      </c>
      <c r="CP82" s="168">
        <f>('Methanol Recycling HC'!AC285)/('Methanol Recycling HC'!AC$281)*CP$19/SUM(CP$19:CP$20)</f>
        <v>0.19362030698586696</v>
      </c>
      <c r="CQ82" s="168">
        <f>('Methanol Recycling HC'!AD285)/('Methanol Recycling HC'!AD$281)*CQ$19/SUM(CQ$19:CQ$20)</f>
        <v>0.19534896581838943</v>
      </c>
      <c r="CR82" s="168">
        <f>('Methanol Recycling HC'!AE285)/('Methanol Recycling HC'!AE$281)*CR$19/SUM(CR$19:CR$20)</f>
        <v>0.19707198440815873</v>
      </c>
      <c r="CS82" s="168">
        <f>('Methanol Recycling HC'!AF285)/('Methanol Recycling HC'!AF$281)*CS$19/SUM(CS$19:CS$20)</f>
        <v>0.19878923167117177</v>
      </c>
      <c r="CT82" s="168">
        <f>('Methanol Recycling HC'!AG285)/('Methanol Recycling HC'!AG$281)*CT$19/SUM(CT$19:CT$20)</f>
        <v>0.20050057350185951</v>
      </c>
      <c r="CV82" s="168">
        <f>AJ82*(1-SUM(CV$34:CV$35))/(1-SUM(AJ$34:AJ$35))</f>
        <v>0.14497146210389325</v>
      </c>
      <c r="CW82" s="168">
        <f t="shared" ref="CW82:CW88" si="576">AK82*(1-SUM(CW$34:CW$35))/(1-SUM(AK$34:AK$35))</f>
        <v>0.14911489589012775</v>
      </c>
      <c r="CX82" s="168">
        <f t="shared" ref="CX82:CX88" si="577">AL82*(1-SUM(CX$34:CX$35))/(1-SUM(AL$34:AL$35))</f>
        <v>0.15320959852543384</v>
      </c>
      <c r="CY82" s="168">
        <f t="shared" ref="CY82:CY88" si="578">AM82*(1-SUM(CY$34:CY$35))/(1-SUM(AM$34:AM$35))</f>
        <v>0.1572493900154468</v>
      </c>
      <c r="CZ82" s="168">
        <f t="shared" ref="CZ82:CZ88" si="579">AN82*(1-SUM(CZ$34:CZ$35))/(1-SUM(AN$34:AN$35))</f>
        <v>0.16122211599410027</v>
      </c>
      <c r="DA82" s="168">
        <f t="shared" ref="DA82:DA88" si="580">AO82*(1-SUM(DA$34:DA$35))/(1-SUM(AO$34:AO$35))</f>
        <v>0.16510430625277409</v>
      </c>
      <c r="DB82" s="168">
        <f t="shared" ref="DB82:DB88" si="581">AP82*(1-SUM(DB$34:DB$35))/(1-SUM(AP$34:AP$35))</f>
        <v>0.16885150778773972</v>
      </c>
      <c r="DC82" s="168">
        <f t="shared" ref="DC82:DC88" si="582">AQ82*(1-SUM(DC$34:DC$35))/(1-SUM(AQ$34:AQ$35))</f>
        <v>0.17238151386257797</v>
      </c>
      <c r="DD82" s="168">
        <f t="shared" ref="DD82:DD88" si="583">AR82*(1-SUM(DD$34:DD$35))/(1-SUM(AR$34:AR$35))</f>
        <v>0.17554705842665841</v>
      </c>
      <c r="DE82" s="168">
        <f t="shared" ref="DE82:DE88" si="584">AS82*(1-SUM(DE$34:DE$35))/(1-SUM(AS$34:AS$35))</f>
        <v>0.17809558918712728</v>
      </c>
      <c r="DF82" s="168">
        <f t="shared" ref="DF82:DF88" si="585">AT82*(1-SUM(DF$34:DF$35))/(1-SUM(AT$34:AT$35))</f>
        <v>0.17961910086946228</v>
      </c>
      <c r="DG82" s="168">
        <f t="shared" ref="DG82:DG88" si="586">AU82*(1-SUM(DG$34:DG$35))/(1-SUM(AU$34:AU$35))</f>
        <v>0.17852649184393621</v>
      </c>
      <c r="DH82" s="168">
        <f t="shared" ref="DH82:DH88" si="587">AV82*(1-SUM(DH$34:DH$35))/(1-SUM(AV$34:AV$35))</f>
        <v>0.1750400342054152</v>
      </c>
      <c r="DI82" s="168">
        <f t="shared" ref="DI82:DI88" si="588">AW82*(1-SUM(DI$34:DI$35))/(1-SUM(AW$34:AW$35))</f>
        <v>0.16835671769575886</v>
      </c>
      <c r="DJ82" s="168">
        <f t="shared" ref="DJ82:DJ88" si="589">AX82*(1-SUM(DJ$34:DJ$35))/(1-SUM(AX$34:AX$35))</f>
        <v>0.15787967083164647</v>
      </c>
      <c r="DK82" s="168">
        <f t="shared" ref="DK82:DK88" si="590">AY82*(1-SUM(DK$34:DK$35))/(1-SUM(AY$34:AY$35))</f>
        <v>0.14354994039332811</v>
      </c>
      <c r="DL82" s="168">
        <f t="shared" ref="DL82:DL88" si="591">AZ82*(1-SUM(DL$34:DL$35))/(1-SUM(AZ$34:AZ$35))</f>
        <v>0.12606340595909016</v>
      </c>
      <c r="DM82" s="168">
        <f t="shared" ref="DM82:DM88" si="592">BA82*(1-SUM(DM$34:DM$35))/(1-SUM(BA$34:BA$35))</f>
        <v>0.10678690380225078</v>
      </c>
      <c r="DN82" s="168">
        <f t="shared" ref="DN82:DN88" si="593">BB82*(1-SUM(DN$34:DN$35))/(1-SUM(BB$34:BB$35))</f>
        <v>8.7374206830490547E-2</v>
      </c>
      <c r="DO82" s="168">
        <f t="shared" ref="DO82:DO88" si="594">BC82*(1-SUM(DO$34:DO$35))/(1-SUM(BC$34:BC$35))</f>
        <v>6.9293445441672402E-2</v>
      </c>
      <c r="DP82" s="168">
        <f t="shared" ref="DP82:DP88" si="595">BD82*(1-SUM(DP$34:DP$35))/(1-SUM(BD$34:BD$35))</f>
        <v>5.3514039504016585E-2</v>
      </c>
      <c r="DQ82" s="168">
        <f t="shared" ref="DQ82:DQ88" si="596">BE82*(1-SUM(DQ$34:DQ$35))/(1-SUM(BE$34:BE$35))</f>
        <v>4.0158857849860161E-2</v>
      </c>
      <c r="DR82" s="168">
        <f t="shared" ref="DR82:DR88" si="597">BF82*(1-SUM(DR$34:DR$35))/(1-SUM(BF$34:BF$35))</f>
        <v>2.9626824985209119E-2</v>
      </c>
      <c r="DS82" s="168">
        <f t="shared" ref="DS82:DS88" si="598">BG82*(1-SUM(DS$34:DS$35))/(1-SUM(BG$34:BG$35))</f>
        <v>2.1570881198670011E-2</v>
      </c>
      <c r="DT82" s="168">
        <f t="shared" ref="DT82:DT88" si="599">BH82*(1-SUM(DT$34:DT$35))/(1-SUM(BH$34:BH$35))</f>
        <v>1.554891373985764E-2</v>
      </c>
      <c r="DU82" s="168">
        <f t="shared" ref="DU82:DU88" si="600">BI82*(1-SUM(DU$34:DU$35))/(1-SUM(BI$34:BI$35))</f>
        <v>1.1123140008953114E-2</v>
      </c>
      <c r="DV82" s="168">
        <f t="shared" ref="DV82:DV88" si="601">BJ82*(1-SUM(DV$34:DV$35))/(1-SUM(BJ$34:BJ$35))</f>
        <v>7.9108574867019638E-3</v>
      </c>
      <c r="DW82" s="168">
        <f t="shared" ref="DW82:DW88" si="602">BK82*(1-SUM(DW$34:DW$35))/(1-SUM(BK$34:BK$35))</f>
        <v>5.5945362187665507E-3</v>
      </c>
      <c r="DX82" s="168">
        <f t="shared" ref="DX82:DX88" si="603">BL82*(1-SUM(DX$34:DX$35))/(1-SUM(BL$34:BL$35))</f>
        <v>3.9393990326187529E-3</v>
      </c>
      <c r="DY82" s="168">
        <f t="shared" ref="DY82:DY88" si="604">BM82*(1-SUM(DY$34:DY$35))/(1-SUM(BM$34:BM$35))</f>
        <v>2.7649482287577043E-3</v>
      </c>
      <c r="DZ82" s="168">
        <f t="shared" ref="DZ82:DZ88" si="605">BN82*(1-SUM(DZ$34:DZ$35))/(1-SUM(BN$34:BN$35))</f>
        <v>1.935308180094067E-3</v>
      </c>
    </row>
    <row r="83" spans="1:165">
      <c r="A83" s="606" t="s">
        <v>460</v>
      </c>
      <c r="C83" s="54" t="s">
        <v>462</v>
      </c>
      <c r="D83" s="168">
        <f>('Methanol Recycling HC'!C309-('Methanol Recycling HC'!C336+'Methanol Recycling HC'!C338)*'Methanol Recycling HC'!C275/SUM('Methanol Recycling HC'!C275:C276))/('Methanol Recycling HC'!C$291)*D$20/SUM(D$19:D$20)</f>
        <v>6.6818425196253152E-6</v>
      </c>
      <c r="E83" s="168">
        <f>('Methanol Recycling HC'!D309-('Methanol Recycling HC'!D336+'Methanol Recycling HC'!D338)*'Methanol Recycling HC'!D275/SUM('Methanol Recycling HC'!D275:D276))/('Methanol Recycling HC'!D$291)*E$20/SUM(E$19:E$20)</f>
        <v>1.3688378050587521E-5</v>
      </c>
      <c r="F83" s="168">
        <f>('Methanol Recycling HC'!E309-('Methanol Recycling HC'!E336+'Methanol Recycling HC'!E338)*'Methanol Recycling HC'!E275/SUM('Methanol Recycling HC'!E275:E276))/('Methanol Recycling HC'!E$291)*F$20/SUM(F$19:F$20)</f>
        <v>2.7185596430882474E-5</v>
      </c>
      <c r="G83" s="168">
        <f>('Methanol Recycling HC'!F309-('Methanol Recycling HC'!F336+'Methanol Recycling HC'!F338)*'Methanol Recycling HC'!F275/SUM('Methanol Recycling HC'!F275:F276))/('Methanol Recycling HC'!F$291)*G$20/SUM(G$19:G$20)</f>
        <v>5.3802934443278524E-5</v>
      </c>
      <c r="H83" s="168">
        <f>('Methanol Recycling HC'!G309-('Methanol Recycling HC'!G336+'Methanol Recycling HC'!G338)*'Methanol Recycling HC'!G275/SUM('Methanol Recycling HC'!G275:G276))/('Methanol Recycling HC'!G$291)*H$20/SUM(H$19:H$20)</f>
        <v>1.0601020850476582E-4</v>
      </c>
      <c r="I83" s="168">
        <f>('Methanol Recycling HC'!H309-('Methanol Recycling HC'!H336+'Methanol Recycling HC'!H338)*'Methanol Recycling HC'!H275/SUM('Methanol Recycling HC'!H275:H276))/('Methanol Recycling HC'!H$291)*I$20/SUM(I$19:I$20)</f>
        <v>2.0767711722324909E-4</v>
      </c>
      <c r="J83" s="168">
        <f>('Methanol Recycling HC'!I309-('Methanol Recycling HC'!I336+'Methanol Recycling HC'!I338)*'Methanol Recycling HC'!I275/SUM('Methanol Recycling HC'!I275:I276))/('Methanol Recycling HC'!I$291)*J$20/SUM(J$19:J$20)</f>
        <v>4.0376229630581945E-4</v>
      </c>
      <c r="K83" s="168">
        <f>('Methanol Recycling HC'!J309-('Methanol Recycling HC'!J336+'Methanol Recycling HC'!J338)*'Methanol Recycling HC'!J275/SUM('Methanol Recycling HC'!J275:J276))/('Methanol Recycling HC'!J$291)*K$20/SUM(K$19:K$20)</f>
        <v>7.7706445473906872E-4</v>
      </c>
      <c r="L83" s="168">
        <f>('Methanol Recycling HC'!K309-('Methanol Recycling HC'!K336+'Methanol Recycling HC'!K338)*'Methanol Recycling HC'!K275/SUM('Methanol Recycling HC'!K275:K276))/('Methanol Recycling HC'!K$291)*L$20/SUM(L$19:L$20)</f>
        <v>1.4753686633552929E-3</v>
      </c>
      <c r="M83" s="168">
        <f>('Methanol Recycling HC'!L309-('Methanol Recycling HC'!L336+'Methanol Recycling HC'!L338)*'Methanol Recycling HC'!L275/SUM('Methanol Recycling HC'!L275:L276))/('Methanol Recycling HC'!L$291)*M$20/SUM(M$19:M$20)</f>
        <v>2.751152700326504E-3</v>
      </c>
      <c r="N83" s="168">
        <f>('Methanol Recycling HC'!M309-('Methanol Recycling HC'!M336+'Methanol Recycling HC'!M338)*'Methanol Recycling HC'!M275/SUM('Methanol Recycling HC'!M275:M276))/('Methanol Recycling HC'!M$291)*N$20/SUM(N$19:N$20)</f>
        <v>5.0100441993790818E-3</v>
      </c>
      <c r="O83" s="168">
        <f>('Methanol Recycling HC'!N309-('Methanol Recycling HC'!N336+'Methanol Recycling HC'!N338)*'Methanol Recycling HC'!N275/SUM('Methanol Recycling HC'!N275:N276))/('Methanol Recycling HC'!N$291)*O$20/SUM(O$19:O$20)</f>
        <v>8.8168980678873469E-3</v>
      </c>
      <c r="P83" s="168">
        <f>('Methanol Recycling HC'!O309-('Methanol Recycling HC'!O336+'Methanol Recycling HC'!O338)*'Methanol Recycling HC'!O275/SUM('Methanol Recycling HC'!O275:O276))/('Methanol Recycling HC'!O$291)*P$20/SUM(P$19:P$20)</f>
        <v>1.4934606408719889E-2</v>
      </c>
      <c r="Q83" s="168">
        <f>('Methanol Recycling HC'!P309-('Methanol Recycling HC'!P336+'Methanol Recycling HC'!P338)*'Methanol Recycling HC'!P275/SUM('Methanol Recycling HC'!P275:P276))/('Methanol Recycling HC'!P$291)*Q$20/SUM(Q$19:Q$20)</f>
        <v>2.4158736915867562E-2</v>
      </c>
      <c r="R83" s="168">
        <f>('Methanol Recycling HC'!Q309-('Methanol Recycling HC'!Q336+'Methanol Recycling HC'!Q338)*'Methanol Recycling HC'!Q275/SUM('Methanol Recycling HC'!Q275:Q276))/('Methanol Recycling HC'!Q$291)*R$20/SUM(R$19:R$20)</f>
        <v>3.7062714604887324E-2</v>
      </c>
      <c r="S83" s="168">
        <f>('Methanol Recycling HC'!R309-('Methanol Recycling HC'!R336+'Methanol Recycling HC'!R338)*'Methanol Recycling HC'!R275/SUM('Methanol Recycling HC'!R275:R276))/('Methanol Recycling HC'!R$291)*S$20/SUM(S$19:S$20)</f>
        <v>5.3665836855914743E-2</v>
      </c>
      <c r="T83" s="168">
        <f>('Methanol Recycling HC'!S309-('Methanol Recycling HC'!S336+'Methanol Recycling HC'!S338)*'Methanol Recycling HC'!S275/SUM('Methanol Recycling HC'!S275:S276))/('Methanol Recycling HC'!S$291)*T$20/SUM(T$19:T$20)</f>
        <v>7.3225406732650739E-2</v>
      </c>
      <c r="U83" s="168">
        <f>('Methanol Recycling HC'!T309-('Methanol Recycling HC'!T336+'Methanol Recycling HC'!T338)*'Methanol Recycling HC'!T275/SUM('Methanol Recycling HC'!T275:T276))/('Methanol Recycling HC'!T$291)*U$20/SUM(U$19:U$20)</f>
        <v>9.4337747532749233E-2</v>
      </c>
      <c r="V83" s="168">
        <f>('Methanol Recycling HC'!U309-('Methanol Recycling HC'!U336+'Methanol Recycling HC'!U338)*'Methanol Recycling HC'!U275/SUM('Methanol Recycling HC'!U275:U276))/('Methanol Recycling HC'!U$291)*V$20/SUM(V$19:V$20)</f>
        <v>0.11534124479285553</v>
      </c>
      <c r="W83" s="168">
        <f>('Methanol Recycling HC'!V309-('Methanol Recycling HC'!V336+'Methanol Recycling HC'!V338)*'Methanol Recycling HC'!V275/SUM('Methanol Recycling HC'!V275:V276))/('Methanol Recycling HC'!V$291)*W$20/SUM(W$19:W$20)</f>
        <v>0.13479144318819838</v>
      </c>
      <c r="X83" s="168">
        <f>('Methanol Recycling HC'!W309-('Methanol Recycling HC'!W336+'Methanol Recycling HC'!W338)*'Methanol Recycling HC'!W275/SUM('Methanol Recycling HC'!W275:W276))/('Methanol Recycling HC'!W$291)*X$20/SUM(X$19:X$20)</f>
        <v>0.15176040636065552</v>
      </c>
      <c r="Y83" s="168">
        <f>('Methanol Recycling HC'!X309-('Methanol Recycling HC'!X336+'Methanol Recycling HC'!X338)*'Methanol Recycling HC'!X275/SUM('Methanol Recycling HC'!X275:X276))/('Methanol Recycling HC'!X$291)*Y$20/SUM(Y$19:Y$20)</f>
        <v>0.16512751736075892</v>
      </c>
      <c r="Z83" s="168">
        <f>('Methanol Recycling HC'!Y309-('Methanol Recycling HC'!Y336+'Methanol Recycling HC'!Y338)*'Methanol Recycling HC'!Y275/SUM('Methanol Recycling HC'!Y275:Y276))/('Methanol Recycling HC'!Y$291)*Z$20/SUM(Z$19:Z$20)</f>
        <v>0.17560189135753101</v>
      </c>
      <c r="AA83" s="168">
        <f>('Methanol Recycling HC'!Z309-('Methanol Recycling HC'!Z336+'Methanol Recycling HC'!Z338)*'Methanol Recycling HC'!Z275/SUM('Methanol Recycling HC'!Z275:Z276))/('Methanol Recycling HC'!Z$291)*AA$20/SUM(AA$19:AA$20)</f>
        <v>0.18351145435377172</v>
      </c>
      <c r="AB83" s="168">
        <f>('Methanol Recycling HC'!AA309-('Methanol Recycling HC'!AA336+'Methanol Recycling HC'!AA338)*'Methanol Recycling HC'!AA275/SUM('Methanol Recycling HC'!AA275:AA276))/('Methanol Recycling HC'!AA$291)*AB$20/SUM(AB$19:AB$20)</f>
        <v>0.18926466516274776</v>
      </c>
      <c r="AC83" s="168">
        <f>('Methanol Recycling HC'!AB309-('Methanol Recycling HC'!AB336+'Methanol Recycling HC'!AB338)*'Methanol Recycling HC'!AB275/SUM('Methanol Recycling HC'!AB275:AB276))/('Methanol Recycling HC'!AB$291)*AC$20/SUM(AC$19:AC$20)</f>
        <v>0.19325385407561771</v>
      </c>
      <c r="AD83" s="168">
        <f>('Methanol Recycling HC'!AC309-('Methanol Recycling HC'!AC336+'Methanol Recycling HC'!AC338)*'Methanol Recycling HC'!AC275/SUM('Methanol Recycling HC'!AC275:AC276))/('Methanol Recycling HC'!AC$291)*AD$20/SUM(AD$19:AD$20)</f>
        <v>0.19580787268058558</v>
      </c>
      <c r="AE83" s="168">
        <f>('Methanol Recycling HC'!AD309-('Methanol Recycling HC'!AD336+'Methanol Recycling HC'!AD338)*'Methanol Recycling HC'!AD275/SUM('Methanol Recycling HC'!AD275:AD276))/('Methanol Recycling HC'!AD$291)*AE$20/SUM(AE$19:AE$20)</f>
        <v>0.19718194246064716</v>
      </c>
      <c r="AF83" s="168">
        <f>('Methanol Recycling HC'!AE309-('Methanol Recycling HC'!AE336+'Methanol Recycling HC'!AE338)*'Methanol Recycling HC'!AE275/SUM('Methanol Recycling HC'!AE275:AE276))/('Methanol Recycling HC'!AE$291)*AF$20/SUM(AF$19:AF$20)</f>
        <v>0.19757202933047049</v>
      </c>
      <c r="AG83" s="168">
        <f>('Methanol Recycling HC'!AF309-('Methanol Recycling HC'!AF336+'Methanol Recycling HC'!AF338)*'Methanol Recycling HC'!AF275/SUM('Methanol Recycling HC'!AF275:AF276))/('Methanol Recycling HC'!AF$291)*AG$20/SUM(AG$19:AG$20)</f>
        <v>0.19714322436915227</v>
      </c>
      <c r="AH83" s="168">
        <f>('Methanol Recycling HC'!AG309-('Methanol Recycling HC'!AG336+'Methanol Recycling HC'!AG338)*'Methanol Recycling HC'!AG275/SUM('Methanol Recycling HC'!AG275:AG276))/('Methanol Recycling HC'!AG$291)*AH$20/SUM(AH$19:AH$20)</f>
        <v>0.19605892789020707</v>
      </c>
      <c r="AI83" s="44"/>
      <c r="AJ83" s="168">
        <f>('Methanol Recycling LC'!C309-('Methanol Recycling LC'!C336+'Methanol Recycling LC'!C338)*'Methanol Recycling LC'!C275/SUM('Methanol Recycling LC'!C275:C276))/('Methanol Recycling LC'!C$291)*AJ$20/SUM(AJ$19:AJ$20)</f>
        <v>6.6818444330095281E-6</v>
      </c>
      <c r="AK83" s="168">
        <f>('Methanol Recycling LC'!D309-('Methanol Recycling LC'!D336+'Methanol Recycling LC'!D338)*'Methanol Recycling LC'!D275/SUM('Methanol Recycling LC'!D275:D276))/('Methanol Recycling LC'!D$291)*AK$20/SUM(AK$19:AK$20)</f>
        <v>1.3309333603841696E-5</v>
      </c>
      <c r="AL83" s="168">
        <f>('Methanol Recycling LC'!E309-('Methanol Recycling LC'!E336+'Methanol Recycling LC'!E338)*'Methanol Recycling LC'!E275/SUM('Methanol Recycling LC'!E275:E276))/('Methanol Recycling LC'!E$291)*AL$20/SUM(AL$19:AL$20)</f>
        <v>2.6436942783084642E-5</v>
      </c>
      <c r="AM83" s="168">
        <f>('Methanol Recycling LC'!F309-('Methanol Recycling LC'!F336+'Methanol Recycling LC'!F338)*'Methanol Recycling LC'!F275/SUM('Methanol Recycling LC'!F275:F276))/('Methanol Recycling LC'!F$291)*AM$20/SUM(AM$19:AM$20)</f>
        <v>5.2333723046263164E-5</v>
      </c>
      <c r="AN83" s="168">
        <f>('Methanol Recycling LC'!G309-('Methanol Recycling LC'!G336+'Methanol Recycling LC'!G338)*'Methanol Recycling LC'!G275/SUM('Methanol Recycling LC'!G275:G276))/('Methanol Recycling LC'!G$291)*AN$20/SUM(AN$19:AN$20)</f>
        <v>1.0314858921508929E-4</v>
      </c>
      <c r="AO83" s="168">
        <f>('Methanol Recycling LC'!H309-('Methanol Recycling LC'!H336+'Methanol Recycling LC'!H338)*'Methanol Recycling LC'!H275/SUM('Methanol Recycling LC'!H275:H276))/('Methanol Recycling LC'!H$291)*AO$20/SUM(AO$19:AO$20)</f>
        <v>2.0215415931813596E-4</v>
      </c>
      <c r="AP83" s="168">
        <f>('Methanol Recycling LC'!I309-('Methanol Recycling LC'!I336+'Methanol Recycling LC'!I338)*'Methanol Recycling LC'!I275/SUM('Methanol Recycling LC'!I275:I276))/('Methanol Recycling LC'!I$291)*AP$20/SUM(AP$19:AP$20)</f>
        <v>3.9322352698820096E-4</v>
      </c>
      <c r="AQ83" s="168">
        <f>('Methanol Recycling LC'!J309-('Methanol Recycling LC'!J336+'Methanol Recycling LC'!J338)*'Methanol Recycling LC'!J275/SUM('Methanol Recycling LC'!J275:J276))/('Methanol Recycling LC'!J$291)*AQ$20/SUM(AQ$19:AQ$20)</f>
        <v>7.5724455076621932E-4</v>
      </c>
      <c r="AR83" s="168">
        <f>('Methanol Recycling LC'!K309-('Methanol Recycling LC'!K336+'Methanol Recycling LC'!K338)*'Methanol Recycling LC'!K275/SUM('Methanol Recycling LC'!K275:K276))/('Methanol Recycling LC'!K$291)*AR$20/SUM(AR$19:AR$20)</f>
        <v>1.4387920333481642E-3</v>
      </c>
      <c r="AS83" s="168">
        <f>('Methanol Recycling LC'!L309-('Methanol Recycling LC'!L336+'Methanol Recycling LC'!L338)*'Methanol Recycling LC'!L275/SUM('Methanol Recycling LC'!L275:L276))/('Methanol Recycling LC'!L$291)*AS$20/SUM(AS$19:AS$20)</f>
        <v>2.6853168818662728E-3</v>
      </c>
      <c r="AT83" s="168">
        <f>('Methanol Recycling LC'!M309-('Methanol Recycling LC'!M336+'Methanol Recycling LC'!M338)*'Methanol Recycling LC'!M275/SUM('Methanol Recycling LC'!M275:M276))/('Methanol Recycling LC'!M$291)*AT$20/SUM(AT$19:AT$20)</f>
        <v>4.8954310851417413E-3</v>
      </c>
      <c r="AU83" s="168">
        <f>('Methanol Recycling LC'!N309-('Methanol Recycling LC'!N336+'Methanol Recycling LC'!N338)*'Methanol Recycling LC'!N275/SUM('Methanol Recycling LC'!N275:N276))/('Methanol Recycling LC'!N$291)*AU$20/SUM(AU$19:AU$20)</f>
        <v>8.6110908292604642E-3</v>
      </c>
      <c r="AV83" s="168">
        <f>('Methanol Recycling LC'!O309-('Methanol Recycling LC'!O336+'Methanol Recycling LC'!O338)*'Methanol Recycling LC'!O275/SUM('Methanol Recycling LC'!O275:O276))/('Methanol Recycling LC'!O$291)*AV$20/SUM(AV$19:AV$20)</f>
        <v>1.4584113688100531E-2</v>
      </c>
      <c r="AW83" s="168">
        <f>('Methanol Recycling LC'!P309-('Methanol Recycling LC'!P336+'Methanol Recycling LC'!P338)*'Methanol Recycling LC'!P275/SUM('Methanol Recycling LC'!P275:P276))/('Methanol Recycling LC'!P$291)*AW$20/SUM(AW$19:AW$20)</f>
        <v>2.3599285755026955E-2</v>
      </c>
      <c r="AX83" s="168">
        <f>('Methanol Recycling LC'!Q309-('Methanol Recycling LC'!Q336+'Methanol Recycling LC'!Q338)*'Methanol Recycling LC'!Q275/SUM('Methanol Recycling LC'!Q275:Q276))/('Methanol Recycling LC'!Q$291)*AX$20/SUM(AX$19:AX$20)</f>
        <v>3.6235219714993709E-2</v>
      </c>
      <c r="AY83" s="168">
        <f>('Methanol Recycling LC'!R309-('Methanol Recycling LC'!R336+'Methanol Recycling LC'!R338)*'Methanol Recycling LC'!R275/SUM('Methanol Recycling LC'!R275:R276))/('Methanol Recycling LC'!R$291)*AY$20/SUM(AY$19:AY$20)</f>
        <v>5.2542139397232353E-2</v>
      </c>
      <c r="AZ83" s="168">
        <f>('Methanol Recycling LC'!S309-('Methanol Recycling LC'!S336+'Methanol Recycling LC'!S338)*'Methanol Recycling LC'!S275/SUM('Methanol Recycling LC'!S275:S276))/('Methanol Recycling LC'!S$291)*AZ$20/SUM(AZ$19:AZ$20)</f>
        <v>7.1831538682230398E-2</v>
      </c>
      <c r="BA83" s="168">
        <f>('Methanol Recycling LC'!T309-('Methanol Recycling LC'!T336+'Methanol Recycling LC'!T338)*'Methanol Recycling LC'!T275/SUM('Methanol Recycling LC'!T275:T276))/('Methanol Recycling LC'!T$291)*BA$20/SUM(BA$19:BA$20)</f>
        <v>9.2759200054657695E-2</v>
      </c>
      <c r="BB83" s="168">
        <f>('Methanol Recycling LC'!U309-('Methanol Recycling LC'!U336+'Methanol Recycling LC'!U338)*'Methanol Recycling LC'!U275/SUM('Methanol Recycling LC'!U275:U276))/('Methanol Recycling LC'!U$291)*BB$20/SUM(BB$19:BB$20)</f>
        <v>0.11370397537954009</v>
      </c>
      <c r="BC83" s="168">
        <f>('Methanol Recycling LC'!V309-('Methanol Recycling LC'!V336+'Methanol Recycling LC'!V338)*'Methanol Recycling LC'!V275/SUM('Methanol Recycling LC'!V275:V276))/('Methanol Recycling LC'!V$291)*BC$20/SUM(BC$19:BC$20)</f>
        <v>0.13323037417536698</v>
      </c>
      <c r="BD83" s="168">
        <f>('Methanol Recycling LC'!W309-('Methanol Recycling LC'!W336+'Methanol Recycling LC'!W338)*'Methanol Recycling LC'!W275/SUM('Methanol Recycling LC'!W275:W276))/('Methanol Recycling LC'!W$291)*BD$20/SUM(BD$19:BD$20)</f>
        <v>0.15039342236710357</v>
      </c>
      <c r="BE83" s="168">
        <f>('Methanol Recycling LC'!X309-('Methanol Recycling LC'!X336+'Methanol Recycling LC'!X338)*'Methanol Recycling LC'!X275/SUM('Methanol Recycling LC'!X275:X276))/('Methanol Recycling LC'!X$291)*BE$20/SUM(BE$19:BE$20)</f>
        <v>0.16363239149980538</v>
      </c>
      <c r="BF83" s="168">
        <f>('Methanol Recycling LC'!Y309-('Methanol Recycling LC'!Y336+'Methanol Recycling LC'!Y338)*'Methanol Recycling LC'!Y275/SUM('Methanol Recycling LC'!Y275:Y276))/('Methanol Recycling LC'!Y$291)*BF$20/SUM(BF$19:BF$20)</f>
        <v>0.17397588093733504</v>
      </c>
      <c r="BG83" s="168">
        <f>('Methanol Recycling LC'!Z309-('Methanol Recycling LC'!Z336+'Methanol Recycling LC'!Z338)*'Methanol Recycling LC'!Z275/SUM('Methanol Recycling LC'!Z275:Z276))/('Methanol Recycling LC'!Z$291)*BG$20/SUM(BG$19:BG$20)</f>
        <v>0.18175743522144208</v>
      </c>
      <c r="BH83" s="168">
        <f>('Methanol Recycling LC'!AA309-('Methanol Recycling LC'!AA336+'Methanol Recycling LC'!AA338)*'Methanol Recycling LC'!AA275/SUM('Methanol Recycling LC'!AA275:AA276))/('Methanol Recycling LC'!AA$291)*BH$20/SUM(BH$19:BH$20)</f>
        <v>0.18739918516211673</v>
      </c>
      <c r="BI83" s="168">
        <f>('Methanol Recycling LC'!AB309-('Methanol Recycling LC'!AB336+'Methanol Recycling LC'!AB338)*'Methanol Recycling LC'!AB275/SUM('Methanol Recycling LC'!AB275:AB276))/('Methanol Recycling LC'!AB$291)*BI$20/SUM(BI$19:BI$20)</f>
        <v>0.19131589398432389</v>
      </c>
      <c r="BJ83" s="168">
        <f>('Methanol Recycling LC'!AC309-('Methanol Recycling LC'!AC336+'Methanol Recycling LC'!AC338)*'Methanol Recycling LC'!AC275/SUM('Methanol Recycling LC'!AC275:AC276))/('Methanol Recycling LC'!AC$291)*BJ$20/SUM(BJ$19:BJ$20)</f>
        <v>0.19386507588270746</v>
      </c>
      <c r="BK83" s="168">
        <f>('Methanol Recycling LC'!AD309-('Methanol Recycling LC'!AD336+'Methanol Recycling LC'!AD338)*'Methanol Recycling LC'!AD275/SUM('Methanol Recycling LC'!AD275:AD276))/('Methanol Recycling LC'!AD$291)*BK$20/SUM(BK$19:BK$20)</f>
        <v>0.19511631080980057</v>
      </c>
      <c r="BL83" s="168">
        <f>('Methanol Recycling LC'!AE309-('Methanol Recycling LC'!AE336+'Methanol Recycling LC'!AE338)*'Methanol Recycling LC'!AE275/SUM('Methanol Recycling LC'!AE275:AE276))/('Methanol Recycling LC'!AE$291)*BL$20/SUM(BL$19:BL$20)</f>
        <v>0.19537135874139211</v>
      </c>
      <c r="BM83" s="168">
        <f>('Methanol Recycling LC'!AF309-('Methanol Recycling LC'!AF336+'Methanol Recycling LC'!AF338)*'Methanol Recycling LC'!AF275/SUM('Methanol Recycling LC'!AF275:AF276))/('Methanol Recycling LC'!AF$291)*BM$20/SUM(BM$19:BM$20)</f>
        <v>0.19488226763739835</v>
      </c>
      <c r="BN83" s="168">
        <f>('Methanol Recycling LC'!AG309-('Methanol Recycling LC'!AG336+'Methanol Recycling LC'!AG338)*'Methanol Recycling LC'!AG275/SUM('Methanol Recycling LC'!AG275:AG276))/('Methanol Recycling LC'!AG$291)*BN$20/SUM(BN$19:BN$20)</f>
        <v>0.19378390971194551</v>
      </c>
      <c r="BP83" s="168">
        <f>('Methanol Recycling HC'!C285)/('Methanol Recycling HC'!C$281)*BP$20/SUM(BP$19:BP$20)</f>
        <v>0</v>
      </c>
      <c r="BQ83" s="168">
        <f>('Methanol Recycling HC'!D285)/('Methanol Recycling HC'!D$281)*BQ$20/SUM(BQ$19:BQ$20)</f>
        <v>0</v>
      </c>
      <c r="BR83" s="168">
        <f>('Methanol Recycling HC'!E285)/('Methanol Recycling HC'!E$281)*BR$20/SUM(BR$19:BR$20)</f>
        <v>0</v>
      </c>
      <c r="BS83" s="168">
        <f>('Methanol Recycling HC'!F285)/('Methanol Recycling HC'!F$281)*BS$20/SUM(BS$19:BS$20)</f>
        <v>0</v>
      </c>
      <c r="BT83" s="168">
        <f>('Methanol Recycling HC'!G285)/('Methanol Recycling HC'!G$281)*BT$20/SUM(BT$19:BT$20)</f>
        <v>0</v>
      </c>
      <c r="BU83" s="168">
        <f>('Methanol Recycling HC'!H285)/('Methanol Recycling HC'!H$281)*BU$20/SUM(BU$19:BU$20)</f>
        <v>0</v>
      </c>
      <c r="BV83" s="168">
        <f>('Methanol Recycling HC'!I285)/('Methanol Recycling HC'!I$281)*BV$20/SUM(BV$19:BV$20)</f>
        <v>0</v>
      </c>
      <c r="BW83" s="168">
        <f>('Methanol Recycling HC'!J285)/('Methanol Recycling HC'!J$281)*BW$20/SUM(BW$19:BW$20)</f>
        <v>0</v>
      </c>
      <c r="BX83" s="168">
        <f>('Methanol Recycling HC'!K285)/('Methanol Recycling HC'!K$281)*BX$20/SUM(BX$19:BX$20)</f>
        <v>0</v>
      </c>
      <c r="BY83" s="168">
        <f>('Methanol Recycling HC'!L285)/('Methanol Recycling HC'!L$281)*BY$20/SUM(BY$19:BY$20)</f>
        <v>0</v>
      </c>
      <c r="BZ83" s="168">
        <f>('Methanol Recycling HC'!M285)/('Methanol Recycling HC'!M$281)*BZ$20/SUM(BZ$19:BZ$20)</f>
        <v>0</v>
      </c>
      <c r="CA83" s="168">
        <f>('Methanol Recycling HC'!N285)/('Methanol Recycling HC'!N$281)*CA$20/SUM(CA$19:CA$20)</f>
        <v>0</v>
      </c>
      <c r="CB83" s="168">
        <f>('Methanol Recycling HC'!O285)/('Methanol Recycling HC'!O$281)*CB$20/SUM(CB$19:CB$20)</f>
        <v>0</v>
      </c>
      <c r="CC83" s="168">
        <f>('Methanol Recycling HC'!P285)/('Methanol Recycling HC'!P$281)*CC$20/SUM(CC$19:CC$20)</f>
        <v>0</v>
      </c>
      <c r="CD83" s="168">
        <f>('Methanol Recycling HC'!Q285)/('Methanol Recycling HC'!Q$281)*CD$20/SUM(CD$19:CD$20)</f>
        <v>0</v>
      </c>
      <c r="CE83" s="168">
        <f>('Methanol Recycling HC'!R285)/('Methanol Recycling HC'!R$281)*CE$20/SUM(CE$19:CE$20)</f>
        <v>0</v>
      </c>
      <c r="CF83" s="168">
        <f>('Methanol Recycling HC'!S285)/('Methanol Recycling HC'!S$281)*CF$20/SUM(CF$19:CF$20)</f>
        <v>0</v>
      </c>
      <c r="CG83" s="168">
        <f>('Methanol Recycling HC'!T285)/('Methanol Recycling HC'!T$281)*CG$20/SUM(CG$19:CG$20)</f>
        <v>0</v>
      </c>
      <c r="CH83" s="168">
        <f>('Methanol Recycling HC'!U285)/('Methanol Recycling HC'!U$281)*CH$20/SUM(CH$19:CH$20)</f>
        <v>0</v>
      </c>
      <c r="CI83" s="168">
        <f>('Methanol Recycling HC'!V285)/('Methanol Recycling HC'!V$281)*CI$20/SUM(CI$19:CI$20)</f>
        <v>0</v>
      </c>
      <c r="CJ83" s="168">
        <f>('Methanol Recycling HC'!W285)/('Methanol Recycling HC'!W$281)*CJ$20/SUM(CJ$19:CJ$20)</f>
        <v>0</v>
      </c>
      <c r="CK83" s="168">
        <f>('Methanol Recycling HC'!X285)/('Methanol Recycling HC'!X$281)*CK$20/SUM(CK$19:CK$20)</f>
        <v>0</v>
      </c>
      <c r="CL83" s="168">
        <f>('Methanol Recycling HC'!Y285)/('Methanol Recycling HC'!Y$281)*CL$20/SUM(CL$19:CL$20)</f>
        <v>0</v>
      </c>
      <c r="CM83" s="168">
        <f>('Methanol Recycling HC'!Z285)/('Methanol Recycling HC'!Z$281)*CM$20/SUM(CM$19:CM$20)</f>
        <v>0</v>
      </c>
      <c r="CN83" s="168">
        <f>('Methanol Recycling HC'!AA285)/('Methanol Recycling HC'!AA$281)*CN$20/SUM(CN$19:CN$20)</f>
        <v>0</v>
      </c>
      <c r="CO83" s="168">
        <f>('Methanol Recycling HC'!AB285)/('Methanol Recycling HC'!AB$281)*CO$20/SUM(CO$19:CO$20)</f>
        <v>0</v>
      </c>
      <c r="CP83" s="168">
        <f>('Methanol Recycling HC'!AC285)/('Methanol Recycling HC'!AC$281)*CP$20/SUM(CP$19:CP$20)</f>
        <v>0</v>
      </c>
      <c r="CQ83" s="168">
        <f>('Methanol Recycling HC'!AD285)/('Methanol Recycling HC'!AD$281)*CQ$20/SUM(CQ$19:CQ$20)</f>
        <v>0</v>
      </c>
      <c r="CR83" s="168">
        <f>('Methanol Recycling HC'!AE285)/('Methanol Recycling HC'!AE$281)*CR$20/SUM(CR$19:CR$20)</f>
        <v>0</v>
      </c>
      <c r="CS83" s="168">
        <f>('Methanol Recycling HC'!AF285)/('Methanol Recycling HC'!AF$281)*CS$20/SUM(CS$19:CS$20)</f>
        <v>0</v>
      </c>
      <c r="CT83" s="168">
        <f>('Methanol Recycling HC'!AG285)/('Methanol Recycling HC'!AG$281)*CT$20/SUM(CT$19:CT$20)</f>
        <v>0</v>
      </c>
      <c r="CV83" s="168">
        <f t="shared" ref="CV83:CV88" si="606">AJ83*(1-SUM(CV$34:CV$35))/(1-SUM(AJ$34:AJ$35))</f>
        <v>6.6818444330095281E-6</v>
      </c>
      <c r="CW83" s="168">
        <f t="shared" si="576"/>
        <v>1.3309333603841696E-5</v>
      </c>
      <c r="CX83" s="168">
        <f t="shared" si="577"/>
        <v>2.6436942783084642E-5</v>
      </c>
      <c r="CY83" s="168">
        <f t="shared" si="578"/>
        <v>5.2333723046263164E-5</v>
      </c>
      <c r="CZ83" s="168">
        <f t="shared" si="579"/>
        <v>1.031485892150893E-4</v>
      </c>
      <c r="DA83" s="168">
        <f t="shared" si="580"/>
        <v>2.0215415931813596E-4</v>
      </c>
      <c r="DB83" s="168">
        <f t="shared" si="581"/>
        <v>3.9322352698820091E-4</v>
      </c>
      <c r="DC83" s="168">
        <f t="shared" si="582"/>
        <v>7.5724455076621932E-4</v>
      </c>
      <c r="DD83" s="168">
        <f t="shared" si="583"/>
        <v>1.4387920333481642E-3</v>
      </c>
      <c r="DE83" s="168">
        <f t="shared" si="584"/>
        <v>2.6853168818662728E-3</v>
      </c>
      <c r="DF83" s="168">
        <f t="shared" si="585"/>
        <v>4.8954310851417413E-3</v>
      </c>
      <c r="DG83" s="168">
        <f t="shared" si="586"/>
        <v>8.6110908292604642E-3</v>
      </c>
      <c r="DH83" s="168">
        <f t="shared" si="587"/>
        <v>1.4584113688100531E-2</v>
      </c>
      <c r="DI83" s="168">
        <f t="shared" si="588"/>
        <v>2.359918504762256E-2</v>
      </c>
      <c r="DJ83" s="168">
        <f t="shared" si="589"/>
        <v>3.6234887434412007E-2</v>
      </c>
      <c r="DK83" s="168">
        <f t="shared" si="590"/>
        <v>5.2541364096609831E-2</v>
      </c>
      <c r="DL83" s="168">
        <f t="shared" si="591"/>
        <v>7.1830024875116902E-2</v>
      </c>
      <c r="DM83" s="168">
        <f t="shared" si="592"/>
        <v>9.2756587149796232E-2</v>
      </c>
      <c r="DN83" s="168">
        <f t="shared" si="593"/>
        <v>0.11369987338583054</v>
      </c>
      <c r="DO83" s="168">
        <f t="shared" si="594"/>
        <v>0.1332244019246645</v>
      </c>
      <c r="DP83" s="168">
        <f t="shared" si="595"/>
        <v>0.15038523413514185</v>
      </c>
      <c r="DQ83" s="168">
        <f t="shared" si="596"/>
        <v>0.16362134136460332</v>
      </c>
      <c r="DR83" s="168">
        <f t="shared" si="597"/>
        <v>0.17396154435561401</v>
      </c>
      <c r="DS83" s="168">
        <f t="shared" si="598"/>
        <v>0.18173448080138219</v>
      </c>
      <c r="DT83" s="168">
        <f t="shared" si="599"/>
        <v>0.18736596147764281</v>
      </c>
      <c r="DU83" s="168">
        <f t="shared" si="600"/>
        <v>0.1912707186199045</v>
      </c>
      <c r="DV83" s="168">
        <f t="shared" si="601"/>
        <v>0.19380619421831149</v>
      </c>
      <c r="DW83" s="168">
        <f t="shared" si="602"/>
        <v>0.19504192843817933</v>
      </c>
      <c r="DX83" s="168">
        <f t="shared" si="603"/>
        <v>0.1952795235838212</v>
      </c>
      <c r="DY83" s="168">
        <f t="shared" si="604"/>
        <v>0.19477080177111802</v>
      </c>
      <c r="DZ83" s="168">
        <f t="shared" si="605"/>
        <v>0.19365040661710584</v>
      </c>
    </row>
    <row r="84" spans="1:165">
      <c r="A84" s="606" t="s">
        <v>33</v>
      </c>
      <c r="C84" s="54" t="s">
        <v>462</v>
      </c>
      <c r="D84" s="168">
        <f>('Methanol Recycling HC'!C310-('Methanol Recycling HC'!C336+'Methanol Recycling HC'!C338)*'Methanol Recycling HC'!C276/SUM('Methanol Recycling HC'!C275:C276))/('Methanol Recycling HC'!C$291)</f>
        <v>0.33526186187633322</v>
      </c>
      <c r="E84" s="168">
        <f>('Methanol Recycling HC'!D310-('Methanol Recycling HC'!D336+'Methanol Recycling HC'!D338)*'Methanol Recycling HC'!D276/SUM('Methanol Recycling HC'!D275:D276))/('Methanol Recycling HC'!D$291)</f>
        <v>0.34478523722613313</v>
      </c>
      <c r="F84" s="168">
        <f>('Methanol Recycling HC'!E310-('Methanol Recycling HC'!E336+'Methanol Recycling HC'!E338)*'Methanol Recycling HC'!E276/SUM('Methanol Recycling HC'!E275:E276))/('Methanol Recycling HC'!E$291)</f>
        <v>0.3446962855588</v>
      </c>
      <c r="G84" s="168">
        <f>('Methanol Recycling HC'!F310-('Methanol Recycling HC'!F336+'Methanol Recycling HC'!F338)*'Methanol Recycling HC'!F276/SUM('Methanol Recycling HC'!F275:F276))/('Methanol Recycling HC'!F$291)</f>
        <v>0.34456916690525513</v>
      </c>
      <c r="H84" s="168">
        <f>('Methanol Recycling HC'!G310-('Methanol Recycling HC'!G336+'Methanol Recycling HC'!G338)*'Methanol Recycling HC'!G276/SUM('Methanol Recycling HC'!G275:G276))/('Methanol Recycling HC'!G$291)</f>
        <v>0.34440252442823727</v>
      </c>
      <c r="I84" s="168">
        <f>('Methanol Recycling HC'!H310-('Methanol Recycling HC'!H336+'Methanol Recycling HC'!H338)*'Methanol Recycling HC'!H276/SUM('Methanol Recycling HC'!H275:H276))/('Methanol Recycling HC'!H$291)</f>
        <v>0.34419426247659091</v>
      </c>
      <c r="J84" s="168">
        <f>('Methanol Recycling HC'!I310-('Methanol Recycling HC'!I336+'Methanol Recycling HC'!I338)*'Methanol Recycling HC'!I276/SUM('Methanol Recycling HC'!I275:I276))/('Methanol Recycling HC'!I$291)</f>
        <v>0.3439408760227185</v>
      </c>
      <c r="K84" s="168">
        <f>('Methanol Recycling HC'!J310-('Methanol Recycling HC'!J336+'Methanol Recycling HC'!J338)*'Methanol Recycling HC'!J276/SUM('Methanol Recycling HC'!J275:J276))/('Methanol Recycling HC'!J$291)</f>
        <v>0.34363624560190625</v>
      </c>
      <c r="L84" s="168">
        <f>('Methanol Recycling HC'!K310-('Methanol Recycling HC'!K336+'Methanol Recycling HC'!K338)*'Methanol Recycling HC'!K276/SUM('Methanol Recycling HC'!K275:K276))/('Methanol Recycling HC'!K$291)</f>
        <v>0.3432695957490669</v>
      </c>
      <c r="M84" s="168">
        <f>('Methanol Recycling HC'!L310-('Methanol Recycling HC'!L336+'Methanol Recycling HC'!L338)*'Methanol Recycling HC'!L276/SUM('Methanol Recycling HC'!L275:L276))/('Methanol Recycling HC'!L$291)</f>
        <v>0.3428223339806965</v>
      </c>
      <c r="N84" s="168">
        <f>('Methanol Recycling HC'!M310-('Methanol Recycling HC'!M336+'Methanol Recycling HC'!M338)*'Methanol Recycling HC'!M276/SUM('Methanol Recycling HC'!M275:M276))/('Methanol Recycling HC'!M$291)</f>
        <v>0.34226241250305506</v>
      </c>
      <c r="O84" s="168">
        <f>('Methanol Recycling HC'!N310-('Methanol Recycling HC'!N336+'Methanol Recycling HC'!N338)*'Methanol Recycling HC'!N276/SUM('Methanol Recycling HC'!N275:N276))/('Methanol Recycling HC'!N$291)</f>
        <v>0.34028339021632314</v>
      </c>
      <c r="P84" s="168">
        <f>('Methanol Recycling HC'!O310-('Methanol Recycling HC'!O336+'Methanol Recycling HC'!O338)*'Methanol Recycling HC'!O276/SUM('Methanol Recycling HC'!O275:O276))/('Methanol Recycling HC'!O$291)</f>
        <v>0.33808349656908487</v>
      </c>
      <c r="Q84" s="168">
        <f>('Methanol Recycling HC'!P310-('Methanol Recycling HC'!P336+'Methanol Recycling HC'!P338)*'Methanol Recycling HC'!P276/SUM('Methanol Recycling HC'!P275:P276))/('Methanol Recycling HC'!P$291)</f>
        <v>0.33560476510474041</v>
      </c>
      <c r="R84" s="168">
        <f>('Methanol Recycling HC'!Q310-('Methanol Recycling HC'!Q336+'Methanol Recycling HC'!Q338)*'Methanol Recycling HC'!Q276/SUM('Methanol Recycling HC'!Q275:Q276))/('Methanol Recycling HC'!Q$291)</f>
        <v>0.33279574509352466</v>
      </c>
      <c r="S84" s="168">
        <f>('Methanol Recycling HC'!R310-('Methanol Recycling HC'!R336+'Methanol Recycling HC'!R338)*'Methanol Recycling HC'!R276/SUM('Methanol Recycling HC'!R275:R276))/('Methanol Recycling HC'!R$291)</f>
        <v>0.32964064234125234</v>
      </c>
      <c r="T84" s="168">
        <f>('Methanol Recycling HC'!S310-('Methanol Recycling HC'!S336+'Methanol Recycling HC'!S338)*'Methanol Recycling HC'!S276/SUM('Methanol Recycling HC'!S275:S276))/('Methanol Recycling HC'!S$291)</f>
        <v>0.32617922816179951</v>
      </c>
      <c r="U84" s="168">
        <f>('Methanol Recycling HC'!T310-('Methanol Recycling HC'!T336+'Methanol Recycling HC'!T338)*'Methanol Recycling HC'!T276/SUM('Methanol Recycling HC'!T275:T276))/('Methanol Recycling HC'!T$291)</f>
        <v>0.32249899979232322</v>
      </c>
      <c r="V84" s="168">
        <f>('Methanol Recycling HC'!U310-('Methanol Recycling HC'!U336+'Methanol Recycling HC'!U338)*'Methanol Recycling HC'!U276/SUM('Methanol Recycling HC'!U275:U276))/('Methanol Recycling HC'!U$291)</f>
        <v>0.31871372765611616</v>
      </c>
      <c r="W84" s="168">
        <f>('Methanol Recycling HC'!V310-('Methanol Recycling HC'!V336+'Methanol Recycling HC'!V338)*'Methanol Recycling HC'!V276/SUM('Methanol Recycling HC'!V275:V276))/('Methanol Recycling HC'!V$291)</f>
        <v>0.31492912800477524</v>
      </c>
      <c r="X84" s="168">
        <f>('Methanol Recycling HC'!W310-('Methanol Recycling HC'!W336+'Methanol Recycling HC'!W338)*'Methanol Recycling HC'!W276/SUM('Methanol Recycling HC'!W275:W276))/('Methanol Recycling HC'!W$291)</f>
        <v>0.31121774131045804</v>
      </c>
      <c r="Y84" s="168">
        <f>('Methanol Recycling HC'!X310-('Methanol Recycling HC'!X336+'Methanol Recycling HC'!X338)*'Methanol Recycling HC'!X276/SUM('Methanol Recycling HC'!X275:X276))/('Methanol Recycling HC'!X$291)</f>
        <v>0.30621580631026468</v>
      </c>
      <c r="Z84" s="168">
        <f>('Methanol Recycling HC'!Y310-('Methanol Recycling HC'!Y336+'Methanol Recycling HC'!Y338)*'Methanol Recycling HC'!Y276/SUM('Methanol Recycling HC'!Y275:Y276))/('Methanol Recycling HC'!Y$291)</f>
        <v>0.30134598050315065</v>
      </c>
      <c r="AA84" s="168">
        <f>('Methanol Recycling HC'!Z310-('Methanol Recycling HC'!Z336+'Methanol Recycling HC'!Z338)*'Methanol Recycling HC'!Z276/SUM('Methanol Recycling HC'!Z275:Z276))/('Methanol Recycling HC'!Z$291)</f>
        <v>0.29656159709393176</v>
      </c>
      <c r="AB84" s="168">
        <f>('Methanol Recycling HC'!AA310-('Methanol Recycling HC'!AA336+'Methanol Recycling HC'!AA338)*'Methanol Recycling HC'!AA276/SUM('Methanol Recycling HC'!AA275:AA276))/('Methanol Recycling HC'!AA$291)</f>
        <v>0.29179920142792748</v>
      </c>
      <c r="AC84" s="168">
        <f>('Methanol Recycling HC'!AB310-('Methanol Recycling HC'!AB336+'Methanol Recycling HC'!AB338)*'Methanol Recycling HC'!AB276/SUM('Methanol Recycling HC'!AB275:AB276))/('Methanol Recycling HC'!AB$291)</f>
        <v>0.28698638254245223</v>
      </c>
      <c r="AD84" s="168">
        <f>('Methanol Recycling HC'!AC310-('Methanol Recycling HC'!AC336+'Methanol Recycling HC'!AC338)*'Methanol Recycling HC'!AC276/SUM('Methanol Recycling HC'!AC275:AC276))/('Methanol Recycling HC'!AC$291)</f>
        <v>0.28204524551139809</v>
      </c>
      <c r="AE84" s="168">
        <f>('Methanol Recycling HC'!AD310-('Methanol Recycling HC'!AD336+'Methanol Recycling HC'!AD338)*'Methanol Recycling HC'!AD276/SUM('Methanol Recycling HC'!AD275:AD276))/('Methanol Recycling HC'!AD$291)</f>
        <v>0.27690037127546818</v>
      </c>
      <c r="AF84" s="168">
        <f>('Methanol Recycling HC'!AE310-('Methanol Recycling HC'!AE336+'Methanol Recycling HC'!AE338)*'Methanol Recycling HC'!AE276/SUM('Methanol Recycling HC'!AE275:AE276))/('Methanol Recycling HC'!AE$291)</f>
        <v>0.27149471360101529</v>
      </c>
      <c r="AG84" s="168">
        <f>('Methanol Recycling HC'!AF310-('Methanol Recycling HC'!AF336+'Methanol Recycling HC'!AF338)*'Methanol Recycling HC'!AF276/SUM('Methanol Recycling HC'!AF275:AF276))/('Methanol Recycling HC'!AF$291)</f>
        <v>0.26581252475387346</v>
      </c>
      <c r="AH84" s="168">
        <f>('Methanol Recycling HC'!AG310-('Methanol Recycling HC'!AG336+'Methanol Recycling HC'!AG338)*'Methanol Recycling HC'!AG276/SUM('Methanol Recycling HC'!AG275:AG276))/('Methanol Recycling HC'!AG$291)</f>
        <v>0.2598990271621196</v>
      </c>
      <c r="AI84" s="44"/>
      <c r="AJ84" s="168">
        <f>('Methanol Recycling LC'!C310-('Methanol Recycling LC'!C336+'Methanol Recycling LC'!C338)*'Methanol Recycling LC'!C276/SUM('Methanol Recycling LC'!C275:C276))/('Methanol Recycling LC'!C$291)</f>
        <v>0.33526195788050445</v>
      </c>
      <c r="AK84" s="168">
        <f>('Methanol Recycling LC'!D310-('Methanol Recycling LC'!D336+'Methanol Recycling LC'!D338)*'Methanol Recycling LC'!D276/SUM('Methanol Recycling LC'!D275:D276))/('Methanol Recycling LC'!D$291)</f>
        <v>0.33523780004931591</v>
      </c>
      <c r="AL84" s="168">
        <f>('Methanol Recycling LC'!E310-('Methanol Recycling LC'!E336+'Methanol Recycling LC'!E338)*'Methanol Recycling LC'!E276/SUM('Methanol Recycling LC'!E275:E276))/('Methanol Recycling LC'!E$291)</f>
        <v>0.3352038275867244</v>
      </c>
      <c r="AM84" s="168">
        <f>('Methanol Recycling LC'!F310-('Methanol Recycling LC'!F336+'Methanol Recycling LC'!F338)*'Methanol Recycling LC'!F276/SUM('Methanol Recycling LC'!F275:F276))/('Methanol Recycling LC'!F$291)</f>
        <v>0.33515992273826645</v>
      </c>
      <c r="AN84" s="168">
        <f>('Methanol Recycling LC'!G310-('Methanol Recycling LC'!G336+'Methanol Recycling LC'!G338)*'Methanol Recycling LC'!G276/SUM('Methanol Recycling LC'!G275:G276))/('Methanol Recycling LC'!G$291)</f>
        <v>0.33510578856460743</v>
      </c>
      <c r="AO84" s="168">
        <f>('Methanol Recycling LC'!H310-('Methanol Recycling LC'!H336+'Methanol Recycling LC'!H338)*'Methanol Recycling LC'!H276/SUM('Methanol Recycling LC'!H275:H276))/('Methanol Recycling LC'!H$291)</f>
        <v>0.33504077244236558</v>
      </c>
      <c r="AP84" s="168">
        <f>('Methanol Recycling LC'!I310-('Methanol Recycling LC'!I336+'Methanol Recycling LC'!I338)*'Methanol Recycling LC'!I276/SUM('Methanol Recycling LC'!I275:I276))/('Methanol Recycling LC'!I$291)</f>
        <v>0.33496353072706564</v>
      </c>
      <c r="AQ84" s="168">
        <f>('Methanol Recycling LC'!J310-('Methanol Recycling LC'!J336+'Methanol Recycling LC'!J338)*'Methanol Recycling LC'!J276/SUM('Methanol Recycling LC'!J275:J276))/('Methanol Recycling LC'!J$291)</f>
        <v>0.33487141618797139</v>
      </c>
      <c r="AR84" s="168">
        <f>('Methanol Recycling LC'!K310-('Methanol Recycling LC'!K336+'Methanol Recycling LC'!K338)*'Methanol Recycling LC'!K276/SUM('Methanol Recycling LC'!K275:K276))/('Methanol Recycling LC'!K$291)</f>
        <v>0.33475942110034129</v>
      </c>
      <c r="AS84" s="168">
        <f>('Methanol Recycling LC'!L310-('Methanol Recycling LC'!L336+'Methanol Recycling LC'!L338)*'Methanol Recycling LC'!L276/SUM('Methanol Recycling LC'!L275:L276))/('Methanol Recycling LC'!L$291)</f>
        <v>0.33461850402193516</v>
      </c>
      <c r="AT84" s="168">
        <f>('Methanol Recycling LC'!M310-('Methanol Recycling LC'!M336+'Methanol Recycling LC'!M338)*'Methanol Recycling LC'!M276/SUM('Methanol Recycling LC'!M275:M276))/('Methanol Recycling LC'!M$291)</f>
        <v>0.33443258916771962</v>
      </c>
      <c r="AU84" s="168">
        <f>('Methanol Recycling LC'!N310-('Methanol Recycling LC'!N336+'Methanol Recycling LC'!N338)*'Methanol Recycling LC'!N276/SUM('Methanol Recycling LC'!N275:N276))/('Methanol Recycling LC'!N$291)</f>
        <v>0.33234037166810076</v>
      </c>
      <c r="AV84" s="168">
        <f>('Methanol Recycling LC'!O310-('Methanol Recycling LC'!O336+'Methanol Recycling LC'!O338)*'Methanol Recycling LC'!O276/SUM('Methanol Recycling LC'!O275:O276))/('Methanol Recycling LC'!O$291)</f>
        <v>0.3301491860646032</v>
      </c>
      <c r="AW84" s="168">
        <f>('Methanol Recycling LC'!P310-('Methanol Recycling LC'!P336+'Methanol Recycling LC'!P338)*'Methanol Recycling LC'!P276/SUM('Methanol Recycling LC'!P275:P276))/('Methanol Recycling LC'!P$291)</f>
        <v>0.32783306428795772</v>
      </c>
      <c r="AX84" s="168">
        <f>('Methanol Recycling LC'!Q310-('Methanol Recycling LC'!Q336+'Methanol Recycling LC'!Q338)*'Methanol Recycling LC'!Q276/SUM('Methanol Recycling LC'!Q275:Q276))/('Methanol Recycling LC'!Q$291)</f>
        <v>0.32536545345463563</v>
      </c>
      <c r="AY84" s="168">
        <f>('Methanol Recycling LC'!R310-('Methanol Recycling LC'!R336+'Methanol Recycling LC'!R338)*'Methanol Recycling LC'!R276/SUM('Methanol Recycling LC'!R275:R276))/('Methanol Recycling LC'!R$291)</f>
        <v>0.32273836756499558</v>
      </c>
      <c r="AZ84" s="168">
        <f>('Methanol Recycling LC'!S310-('Methanol Recycling LC'!S336+'Methanol Recycling LC'!S338)*'Methanol Recycling LC'!S276/SUM('Methanol Recycling LC'!S275:S276))/('Methanol Recycling LC'!S$291)</f>
        <v>0.31997030662578879</v>
      </c>
      <c r="BA84" s="168">
        <f>('Methanol Recycling LC'!T310-('Methanol Recycling LC'!T336+'Methanol Recycling LC'!T338)*'Methanol Recycling LC'!T276/SUM('Methanol Recycling LC'!T275:T276))/('Methanol Recycling LC'!T$291)</f>
        <v>0.3171026447157671</v>
      </c>
      <c r="BB84" s="168">
        <f>('Methanol Recycling LC'!U310-('Methanol Recycling LC'!U336+'Methanol Recycling LC'!U338)*'Methanol Recycling LC'!U276/SUM('Methanol Recycling LC'!U275:U276))/('Methanol Recycling LC'!U$291)</f>
        <v>0.31418958506660055</v>
      </c>
      <c r="BC84" s="168">
        <f>('Methanol Recycling LC'!V310-('Methanol Recycling LC'!V336+'Methanol Recycling LC'!V338)*'Methanol Recycling LC'!V276/SUM('Methanol Recycling LC'!V275:V276))/('Methanol Recycling LC'!V$291)</f>
        <v>0.31128181856629811</v>
      </c>
      <c r="BD84" s="168">
        <f>('Methanol Recycling LC'!W310-('Methanol Recycling LC'!W336+'Methanol Recycling LC'!W338)*'Methanol Recycling LC'!W276/SUM('Methanol Recycling LC'!W275:W276))/('Methanol Recycling LC'!W$291)</f>
        <v>0.30841444313089361</v>
      </c>
      <c r="BE84" s="168">
        <f>('Methanol Recycling LC'!X310-('Methanol Recycling LC'!X336+'Methanol Recycling LC'!X338)*'Methanol Recycling LC'!X276/SUM('Methanol Recycling LC'!X275:X276))/('Methanol Recycling LC'!X$291)</f>
        <v>0.30344321468916624</v>
      </c>
      <c r="BF84" s="168">
        <f>('Methanol Recycling LC'!Y310-('Methanol Recycling LC'!Y336+'Methanol Recycling LC'!Y338)*'Methanol Recycling LC'!Y276/SUM('Methanol Recycling LC'!Y275:Y276))/('Methanol Recycling LC'!Y$291)</f>
        <v>0.29855562499732835</v>
      </c>
      <c r="BG84" s="168">
        <f>('Methanol Recycling LC'!Z310-('Methanol Recycling LC'!Z336+'Methanol Recycling LC'!Z338)*'Methanol Recycling LC'!Z276/SUM('Methanol Recycling LC'!Z275:Z276))/('Methanol Recycling LC'!Z$291)</f>
        <v>0.29372703443925291</v>
      </c>
      <c r="BH84" s="168">
        <f>('Methanol Recycling LC'!AA310-('Methanol Recycling LC'!AA336+'Methanol Recycling LC'!AA338)*'Methanol Recycling LC'!AA276/SUM('Methanol Recycling LC'!AA275:AA276))/('Methanol Recycling LC'!AA$291)</f>
        <v>0.28892309365579888</v>
      </c>
      <c r="BI84" s="168">
        <f>('Methanol Recycling LC'!AB310-('Methanol Recycling LC'!AB336+'Methanol Recycling LC'!AB338)*'Methanol Recycling LC'!AB276/SUM('Methanol Recycling LC'!AB275:AB276))/('Methanol Recycling LC'!AB$291)</f>
        <v>0.28410846759078234</v>
      </c>
      <c r="BJ84" s="168">
        <f>('Methanol Recycling LC'!AC310-('Methanol Recycling LC'!AC336+'Methanol Recycling LC'!AC338)*'Methanol Recycling LC'!AC276/SUM('Methanol Recycling LC'!AC275:AC276))/('Methanol Recycling LC'!AC$291)</f>
        <v>0.27924680542655972</v>
      </c>
      <c r="BK84" s="168">
        <f>('Methanol Recycling LC'!AD310-('Methanol Recycling LC'!AD336+'Methanol Recycling LC'!AD338)*'Methanol Recycling LC'!AD276/SUM('Methanol Recycling LC'!AD275:AD276))/('Methanol Recycling LC'!AD$291)</f>
        <v>0.27399962811460832</v>
      </c>
      <c r="BL84" s="168">
        <f>('Methanol Recycling LC'!AE310-('Methanol Recycling LC'!AE336+'Methanol Recycling LC'!AE338)*'Methanol Recycling LC'!AE276/SUM('Methanol Recycling LC'!AE275:AE276))/('Methanol Recycling LC'!AE$291)</f>
        <v>0.26847064975282425</v>
      </c>
      <c r="BM84" s="168">
        <f>('Methanol Recycling LC'!AF310-('Methanol Recycling LC'!AF336+'Methanol Recycling LC'!AF338)*'Methanol Recycling LC'!AF276/SUM('Methanol Recycling LC'!AF275:AF276))/('Methanol Recycling LC'!AF$291)</f>
        <v>0.2627640273015775</v>
      </c>
      <c r="BN84" s="168">
        <f>('Methanol Recycling LC'!AG310-('Methanol Recycling LC'!AG336+'Methanol Recycling LC'!AG338)*'Methanol Recycling LC'!AG276/SUM('Methanol Recycling LC'!AG275:AG276))/('Methanol Recycling LC'!AG$291)</f>
        <v>0.25688322462933505</v>
      </c>
      <c r="BP84" s="168">
        <f>('Methanol Recycling HC'!C286)/('Methanol Recycling HC'!C$281)</f>
        <v>0.33526208670629287</v>
      </c>
      <c r="BQ84" s="168">
        <f>('Methanol Recycling HC'!D286)/('Methanol Recycling HC'!D$281)</f>
        <v>0.32920169237435215</v>
      </c>
      <c r="BR84" s="168">
        <f>('Methanol Recycling HC'!E286)/('Methanol Recycling HC'!E$281)</f>
        <v>0.32302551973241289</v>
      </c>
      <c r="BS84" s="168">
        <f>('Methanol Recycling HC'!F286)/('Methanol Recycling HC'!F$281)</f>
        <v>0.31674292921822922</v>
      </c>
      <c r="BT84" s="168">
        <f>('Methanol Recycling HC'!G286)/('Methanol Recycling HC'!G$281)</f>
        <v>0.31036226154114166</v>
      </c>
      <c r="BU84" s="168">
        <f>('Methanol Recycling HC'!H286)/('Methanol Recycling HC'!H$281)</f>
        <v>0.30389095183188125</v>
      </c>
      <c r="BV84" s="168">
        <f>('Methanol Recycling HC'!I286)/('Methanol Recycling HC'!I$281)</f>
        <v>0.29739776954925057</v>
      </c>
      <c r="BW84" s="168">
        <f>('Methanol Recycling HC'!J286)/('Methanol Recycling HC'!J$281)</f>
        <v>0.29088386485054935</v>
      </c>
      <c r="BX84" s="168">
        <f>('Methanol Recycling HC'!K286)/('Methanol Recycling HC'!K$281)</f>
        <v>0.2843503505269247</v>
      </c>
      <c r="BY84" s="168">
        <f>('Methanol Recycling HC'!L286)/('Methanol Recycling HC'!L$281)</f>
        <v>0.27779830458960231</v>
      </c>
      <c r="BZ84" s="168">
        <f>('Methanol Recycling HC'!M286)/('Methanol Recycling HC'!M$281)</f>
        <v>0.27122877276225871</v>
      </c>
      <c r="CA84" s="168">
        <f>('Methanol Recycling HC'!N286)/('Methanol Recycling HC'!N$281)</f>
        <v>0.26460686786862619</v>
      </c>
      <c r="CB84" s="168">
        <f>('Methanol Recycling HC'!O286)/('Methanol Recycling HC'!O$281)</f>
        <v>0.25793634921494568</v>
      </c>
      <c r="CC84" s="168">
        <f>('Methanol Recycling HC'!P286)/('Methanol Recycling HC'!P$281)</f>
        <v>0.2512207033545833</v>
      </c>
      <c r="CD84" s="168">
        <f>('Methanol Recycling HC'!Q286)/('Methanol Recycling HC'!Q$281)</f>
        <v>0.24446317631987294</v>
      </c>
      <c r="CE84" s="168">
        <f>('Methanol Recycling HC'!R286)/('Methanol Recycling HC'!R$281)</f>
        <v>0.23766680381052596</v>
      </c>
      <c r="CF84" s="168">
        <f>('Methanol Recycling HC'!S286)/('Methanol Recycling HC'!S$281)</f>
        <v>0.23087466262131323</v>
      </c>
      <c r="CG84" s="168">
        <f>('Methanol Recycling HC'!T286)/('Methanol Recycling HC'!T$281)</f>
        <v>0.22408698083972053</v>
      </c>
      <c r="CH84" s="168">
        <f>('Methanol Recycling HC'!U286)/('Methanol Recycling HC'!U$281)</f>
        <v>0.21730399097125161</v>
      </c>
      <c r="CI84" s="168">
        <f>('Methanol Recycling HC'!V286)/('Methanol Recycling HC'!V$281)</f>
        <v>0.21052593011146126</v>
      </c>
      <c r="CJ84" s="168">
        <f>('Methanol Recycling HC'!W286)/('Methanol Recycling HC'!W$281)</f>
        <v>0.20375304012269885</v>
      </c>
      <c r="CK84" s="168">
        <f>('Methanol Recycling HC'!X286)/('Methanol Recycling HC'!X$281)</f>
        <v>0.19698578495622618</v>
      </c>
      <c r="CL84" s="168">
        <f>('Methanol Recycling HC'!Y286)/('Methanol Recycling HC'!Y$281)</f>
        <v>0.19022439908714336</v>
      </c>
      <c r="CM84" s="168">
        <f>('Methanol Recycling HC'!Z286)/('Methanol Recycling HC'!Z$281)</f>
        <v>0.18346912188353887</v>
      </c>
      <c r="CN84" s="168">
        <f>('Methanol Recycling HC'!AA286)/('Methanol Recycling HC'!AA$281)</f>
        <v>0.17672019777498887</v>
      </c>
      <c r="CO84" s="168">
        <f>('Methanol Recycling HC'!AB286)/('Methanol Recycling HC'!AB$281)</f>
        <v>0.16997787642574599</v>
      </c>
      <c r="CP84" s="168">
        <f>('Methanol Recycling HC'!AC286)/('Methanol Recycling HC'!AC$281)</f>
        <v>0.16324257323231442</v>
      </c>
      <c r="CQ84" s="168">
        <f>('Methanol Recycling HC'!AD286)/('Methanol Recycling HC'!AD$281)</f>
        <v>0.15651453285449321</v>
      </c>
      <c r="CR84" s="168">
        <f>('Methanol Recycling HC'!AE286)/('Methanol Recycling HC'!AE$281)</f>
        <v>0.14979400528453729</v>
      </c>
      <c r="CS84" s="168">
        <f>('Methanol Recycling HC'!AF286)/('Methanol Recycling HC'!AF$281)</f>
        <v>0.14308124601491332</v>
      </c>
      <c r="CT84" s="168">
        <f>('Methanol Recycling HC'!AG286)/('Methanol Recycling HC'!AG$281)</f>
        <v>0.13637651621072425</v>
      </c>
      <c r="CV84" s="168">
        <f t="shared" si="606"/>
        <v>0.33526195788050445</v>
      </c>
      <c r="CW84" s="168">
        <f t="shared" si="576"/>
        <v>0.33523780004931591</v>
      </c>
      <c r="CX84" s="168">
        <f t="shared" si="577"/>
        <v>0.3352038275867244</v>
      </c>
      <c r="CY84" s="168">
        <f t="shared" si="578"/>
        <v>0.33515992273826645</v>
      </c>
      <c r="CZ84" s="168">
        <f t="shared" si="579"/>
        <v>0.33510578856460743</v>
      </c>
      <c r="DA84" s="168">
        <f t="shared" si="580"/>
        <v>0.33504077244236558</v>
      </c>
      <c r="DB84" s="168">
        <f t="shared" si="581"/>
        <v>0.33496353072706564</v>
      </c>
      <c r="DC84" s="168">
        <f t="shared" si="582"/>
        <v>0.33487141618797139</v>
      </c>
      <c r="DD84" s="168">
        <f t="shared" si="583"/>
        <v>0.33475942110034129</v>
      </c>
      <c r="DE84" s="168">
        <f t="shared" si="584"/>
        <v>0.33461850402193516</v>
      </c>
      <c r="DF84" s="168">
        <f t="shared" si="585"/>
        <v>0.33443258916771956</v>
      </c>
      <c r="DG84" s="168">
        <f t="shared" si="586"/>
        <v>0.33234037166810076</v>
      </c>
      <c r="DH84" s="168">
        <f t="shared" si="587"/>
        <v>0.3301491860646032</v>
      </c>
      <c r="DI84" s="168">
        <f t="shared" si="588"/>
        <v>0.3278316652957457</v>
      </c>
      <c r="DJ84" s="168">
        <f t="shared" si="589"/>
        <v>0.32536246982095024</v>
      </c>
      <c r="DK84" s="168">
        <f t="shared" si="590"/>
        <v>0.32273360530635603</v>
      </c>
      <c r="DL84" s="168">
        <f t="shared" si="591"/>
        <v>0.3199635634411771</v>
      </c>
      <c r="DM84" s="168">
        <f t="shared" si="592"/>
        <v>0.3170937123506597</v>
      </c>
      <c r="DN84" s="168">
        <f t="shared" si="593"/>
        <v>0.31417825033800162</v>
      </c>
      <c r="DO84" s="168">
        <f t="shared" si="594"/>
        <v>0.31126786489341302</v>
      </c>
      <c r="DP84" s="168">
        <f t="shared" si="595"/>
        <v>0.30839765137922687</v>
      </c>
      <c r="DQ84" s="168">
        <f t="shared" si="596"/>
        <v>0.30342272309506479</v>
      </c>
      <c r="DR84" s="168">
        <f t="shared" si="597"/>
        <v>0.29853102235072587</v>
      </c>
      <c r="DS84" s="168">
        <f t="shared" si="598"/>
        <v>0.29368993920998071</v>
      </c>
      <c r="DT84" s="168">
        <f t="shared" si="599"/>
        <v>0.2888718709693579</v>
      </c>
      <c r="DU84" s="168">
        <f t="shared" si="600"/>
        <v>0.28404138114390776</v>
      </c>
      <c r="DV84" s="168">
        <f t="shared" si="601"/>
        <v>0.27916199119890217</v>
      </c>
      <c r="DW84" s="168">
        <f t="shared" si="602"/>
        <v>0.27389517379155398</v>
      </c>
      <c r="DX84" s="168">
        <f t="shared" si="603"/>
        <v>0.26834445395533352</v>
      </c>
      <c r="DY84" s="168">
        <f t="shared" si="604"/>
        <v>0.26261373543415639</v>
      </c>
      <c r="DZ84" s="168">
        <f t="shared" si="605"/>
        <v>0.25670625067132491</v>
      </c>
    </row>
    <row r="85" spans="1:165">
      <c r="A85" s="606" t="s">
        <v>451</v>
      </c>
      <c r="C85" s="54" t="s">
        <v>462</v>
      </c>
      <c r="D85" s="168">
        <f>'Methanol Recycling HC'!C311/('Methanol Recycling HC'!C$291)</f>
        <v>7.2489099828387651E-2</v>
      </c>
      <c r="E85" s="168">
        <f>'Methanol Recycling HC'!D311/('Methanol Recycling HC'!D$291)</f>
        <v>7.2049427095290913E-2</v>
      </c>
      <c r="F85" s="168">
        <f>'Methanol Recycling HC'!E311/('Methanol Recycling HC'!E$291)</f>
        <v>6.9555057326393027E-2</v>
      </c>
      <c r="G85" s="168">
        <f>'Methanol Recycling HC'!F311/('Methanol Recycling HC'!F$291)</f>
        <v>6.7076670571420693E-2</v>
      </c>
      <c r="H85" s="168">
        <f>'Methanol Recycling HC'!G311/('Methanol Recycling HC'!G$291)</f>
        <v>6.4614636095881015E-2</v>
      </c>
      <c r="I85" s="168">
        <f>'Methanol Recycling HC'!H311/('Methanol Recycling HC'!H$291)</f>
        <v>6.2169330711393876E-2</v>
      </c>
      <c r="J85" s="168">
        <f>'Methanol Recycling HC'!I311/('Methanol Recycling HC'!I$291)</f>
        <v>5.9741138775691871E-2</v>
      </c>
      <c r="K85" s="168">
        <f>'Methanol Recycling HC'!J311/('Methanol Recycling HC'!J$291)</f>
        <v>5.733045219262041E-2</v>
      </c>
      <c r="L85" s="168">
        <f>'Methanol Recycling HC'!K311/('Methanol Recycling HC'!K$291)</f>
        <v>5.4937670412137589E-2</v>
      </c>
      <c r="M85" s="168">
        <f>'Methanol Recycling HC'!L311/('Methanol Recycling HC'!L$291)</f>
        <v>5.2563200430314309E-2</v>
      </c>
      <c r="N85" s="168">
        <f>'Methanol Recycling HC'!M311/('Methanol Recycling HC'!M$291)</f>
        <v>5.0207456789334207E-2</v>
      </c>
      <c r="O85" s="168">
        <f>'Methanol Recycling HC'!N311/('Methanol Recycling HC'!N$291)</f>
        <v>4.7692171975744796E-2</v>
      </c>
      <c r="P85" s="168">
        <f>'Methanol Recycling HC'!O311/('Methanol Recycling HC'!O$291)</f>
        <v>4.5211185492944672E-2</v>
      </c>
      <c r="Q85" s="168">
        <f>'Methanol Recycling HC'!P311/('Methanol Recycling HC'!P$291)</f>
        <v>4.2765196105852485E-2</v>
      </c>
      <c r="R85" s="168">
        <f>'Methanol Recycling HC'!Q311/('Methanol Recycling HC'!Q$291)</f>
        <v>4.0354432845786783E-2</v>
      </c>
      <c r="S85" s="168">
        <f>'Methanol Recycling HC'!R311/('Methanol Recycling HC'!R$291)</f>
        <v>3.7979405324672602E-2</v>
      </c>
      <c r="T85" s="168">
        <f>'Methanol Recycling HC'!S311/('Methanol Recycling HC'!S$291)</f>
        <v>3.5640639612578413E-2</v>
      </c>
      <c r="U85" s="168">
        <f>'Methanol Recycling HC'!T311/('Methanol Recycling HC'!T$291)</f>
        <v>3.3338678230103502E-2</v>
      </c>
      <c r="V85" s="168">
        <f>'Methanol Recycling HC'!U311/('Methanol Recycling HC'!U$291)</f>
        <v>3.1074080140769532E-2</v>
      </c>
      <c r="W85" s="168">
        <f>'Methanol Recycling HC'!V311/('Methanol Recycling HC'!V$291)</f>
        <v>2.8847420743416344E-2</v>
      </c>
      <c r="X85" s="168">
        <f>'Methanol Recycling HC'!W311/('Methanol Recycling HC'!W$291)</f>
        <v>2.6659291864601951E-2</v>
      </c>
      <c r="Y85" s="168">
        <f>'Methanol Recycling HC'!X311/('Methanol Recycling HC'!X$291)</f>
        <v>2.4376708718912295E-2</v>
      </c>
      <c r="Z85" s="168">
        <f>'Methanol Recycling HC'!Y311/('Methanol Recycling HC'!Y$291)</f>
        <v>2.2153318164242347E-2</v>
      </c>
      <c r="AA85" s="168">
        <f>'Methanol Recycling HC'!Z311/('Methanol Recycling HC'!Z$291)</f>
        <v>1.9989917281955271E-2</v>
      </c>
      <c r="AB85" s="168">
        <f>'Methanol Recycling HC'!AA311/('Methanol Recycling HC'!AA$291)</f>
        <v>1.7887233572672512E-2</v>
      </c>
      <c r="AC85" s="168">
        <f>'Methanol Recycling HC'!AB311/('Methanol Recycling HC'!AB$291)</f>
        <v>1.5846110047407019E-2</v>
      </c>
      <c r="AD85" s="168">
        <f>'Methanol Recycling HC'!AC311/('Methanol Recycling HC'!AC$291)</f>
        <v>1.3867418624161635E-2</v>
      </c>
      <c r="AE85" s="168">
        <f>'Methanol Recycling HC'!AD311/('Methanol Recycling HC'!AD$291)</f>
        <v>1.1952060094556034E-2</v>
      </c>
      <c r="AF85" s="168">
        <f>'Methanol Recycling HC'!AE311/('Methanol Recycling HC'!AE$291)</f>
        <v>1.0100964090499953E-2</v>
      </c>
      <c r="AG85" s="168">
        <f>'Methanol Recycling HC'!AF311/('Methanol Recycling HC'!AF$291)</f>
        <v>8.3150890509125219E-3</v>
      </c>
      <c r="AH85" s="168">
        <f>'Methanol Recycling HC'!AG311/('Methanol Recycling HC'!AG$291)</f>
        <v>6.5954221884877194E-3</v>
      </c>
      <c r="AI85" s="44"/>
      <c r="AJ85" s="168">
        <f>'Methanol Recycling LC'!C311/('Methanol Recycling LC'!C$291)</f>
        <v>7.2489099828387651E-2</v>
      </c>
      <c r="AK85" s="168">
        <f>'Methanol Recycling LC'!D311/('Methanol Recycling LC'!D$291)</f>
        <v>7.0054234445144234E-2</v>
      </c>
      <c r="AL85" s="168">
        <f>'Methanol Recycling LC'!E311/('Methanol Recycling LC'!E$291)</f>
        <v>6.7639461095105005E-2</v>
      </c>
      <c r="AM85" s="168">
        <f>'Methanol Recycling LC'!F311/('Methanol Recycling LC'!F$291)</f>
        <v>6.5244702792307249E-2</v>
      </c>
      <c r="AN85" s="168">
        <f>'Methanol Recycling LC'!G311/('Methanol Recycling LC'!G$291)</f>
        <v>6.2869882550788334E-2</v>
      </c>
      <c r="AO85" s="168">
        <f>'Methanol Recycling LC'!H311/('Methanol Recycling LC'!H$291)</f>
        <v>6.0514923384585556E-2</v>
      </c>
      <c r="AP85" s="168">
        <f>'Methanol Recycling LC'!I311/('Methanol Recycling LC'!I$291)</f>
        <v>5.8179748307736215E-2</v>
      </c>
      <c r="AQ85" s="168">
        <f>'Methanol Recycling LC'!J311/('Methanol Recycling LC'!J$291)</f>
        <v>5.5864280334277656E-2</v>
      </c>
      <c r="AR85" s="168">
        <f>'Methanol Recycling LC'!K311/('Methanol Recycling LC'!K$291)</f>
        <v>5.3568442478247186E-2</v>
      </c>
      <c r="AS85" s="168">
        <f>'Methanol Recycling LC'!L311/('Methanol Recycling LC'!L$291)</f>
        <v>5.1292157753682129E-2</v>
      </c>
      <c r="AT85" s="168">
        <f>'Methanol Recycling LC'!M311/('Methanol Recycling LC'!M$291)</f>
        <v>4.903534917461979E-2</v>
      </c>
      <c r="AU85" s="168">
        <f>'Methanol Recycling LC'!N311/('Methanol Recycling LC'!N$291)</f>
        <v>4.6539060468564229E-2</v>
      </c>
      <c r="AV85" s="168">
        <f>'Methanol Recycling LC'!O311/('Methanol Recycling LC'!O$291)</f>
        <v>4.4084962451324136E-2</v>
      </c>
      <c r="AW85" s="168">
        <f>'Methanol Recycling LC'!P311/('Methanol Recycling LC'!P$291)</f>
        <v>4.1673215545211903E-2</v>
      </c>
      <c r="AX85" s="168">
        <f>'Methanol Recycling LC'!Q311/('Methanol Recycling LC'!Q$291)</f>
        <v>3.930328484565801E-2</v>
      </c>
      <c r="AY85" s="168">
        <f>'Methanol Recycling LC'!R311/('Methanol Recycling LC'!R$291)</f>
        <v>3.6975007104199979E-2</v>
      </c>
      <c r="AZ85" s="168">
        <f>'Methanol Recycling LC'!S311/('Methanol Recycling LC'!S$291)</f>
        <v>3.4688219880527192E-2</v>
      </c>
      <c r="BA85" s="168">
        <f>'Methanol Recycling LC'!T311/('Methanol Recycling LC'!T$291)</f>
        <v>3.2442761542107144E-2</v>
      </c>
      <c r="BB85" s="168">
        <f>'Methanol Recycling LC'!U311/('Methanol Recycling LC'!U$291)</f>
        <v>3.0238471263811822E-2</v>
      </c>
      <c r="BC85" s="168">
        <f>'Methanol Recycling LC'!V311/('Methanol Recycling LC'!V$291)</f>
        <v>2.8075189027544297E-2</v>
      </c>
      <c r="BD85" s="168">
        <f>'Methanol Recycling LC'!W311/('Methanol Recycling LC'!W$291)</f>
        <v>2.5952755621865557E-2</v>
      </c>
      <c r="BE85" s="168">
        <f>'Methanol Recycling LC'!X311/('Methanol Recycling LC'!X$291)</f>
        <v>2.3684206051384073E-2</v>
      </c>
      <c r="BF85" s="168">
        <f>'Methanol Recycling LC'!Y311/('Methanol Recycling LC'!Y$291)</f>
        <v>2.1484746733184085E-2</v>
      </c>
      <c r="BG85" s="168">
        <f>'Methanol Recycling LC'!Z311/('Methanol Recycling LC'!Z$291)</f>
        <v>1.9354222040387399E-2</v>
      </c>
      <c r="BH85" s="168">
        <f>'Methanol Recycling LC'!AA311/('Methanol Recycling LC'!AA$291)</f>
        <v>1.7292192950999687E-2</v>
      </c>
      <c r="BI85" s="168">
        <f>'Methanol Recycling LC'!AB311/('Methanol Recycling LC'!AB$291)</f>
        <v>1.5298406445913942E-2</v>
      </c>
      <c r="BJ85" s="168">
        <f>'Methanol Recycling LC'!AC311/('Methanol Recycling LC'!AC$291)</f>
        <v>1.3372612862902101E-2</v>
      </c>
      <c r="BK85" s="168">
        <f>'Methanol Recycling LC'!AD311/('Methanol Recycling LC'!AD$291)</f>
        <v>1.1514565892739529E-2</v>
      </c>
      <c r="BL85" s="168">
        <f>'Methanol Recycling LC'!AE311/('Methanol Recycling LC'!AE$291)</f>
        <v>9.7240225753348758E-3</v>
      </c>
      <c r="BM85" s="168">
        <f>'Methanol Recycling LC'!AF311/('Methanol Recycling LC'!AF$291)</f>
        <v>8.0007432958653091E-3</v>
      </c>
      <c r="BN85" s="168">
        <f>'Methanol Recycling LC'!AG311/('Methanol Recycling LC'!AG$291)</f>
        <v>6.3444917809171095E-3</v>
      </c>
      <c r="BP85" s="168">
        <f>'Methanol Recycling HC'!C287/('Methanol Recycling HC'!C$281)</f>
        <v>7.2489099828387651E-2</v>
      </c>
      <c r="BQ85" s="168">
        <f>'Methanol Recycling HC'!D287/('Methanol Recycling HC'!D$281)</f>
        <v>7.2702110722871818E-2</v>
      </c>
      <c r="BR85" s="168">
        <f>'Methanol Recycling HC'!E287/('Methanol Recycling HC'!E$281)</f>
        <v>7.289433506623387E-2</v>
      </c>
      <c r="BS85" s="168">
        <f>'Methanol Recycling HC'!F287/('Methanol Recycling HC'!F$281)</f>
        <v>7.3066524608514247E-2</v>
      </c>
      <c r="BT85" s="168">
        <f>'Methanol Recycling HC'!G287/('Methanol Recycling HC'!G$281)</f>
        <v>7.3219265926959459E-2</v>
      </c>
      <c r="BU85" s="168">
        <f>'Methanol Recycling HC'!H287/('Methanol Recycling HC'!H$281)</f>
        <v>7.3352988373212691E-2</v>
      </c>
      <c r="BV85" s="168">
        <f>'Methanol Recycling HC'!I287/('Methanol Recycling HC'!I$281)</f>
        <v>7.348332380646716E-2</v>
      </c>
      <c r="BW85" s="168">
        <f>'Methanol Recycling HC'!J287/('Methanol Recycling HC'!J$281)</f>
        <v>7.3610310107994126E-2</v>
      </c>
      <c r="BX85" s="168">
        <f>'Methanol Recycling HC'!K287/('Methanol Recycling HC'!K$281)</f>
        <v>7.37339804960703E-2</v>
      </c>
      <c r="BY85" s="168">
        <f>'Methanol Recycling HC'!L287/('Methanol Recycling HC'!L$281)</f>
        <v>7.3854363592832137E-2</v>
      </c>
      <c r="BZ85" s="168">
        <f>'Methanol Recycling HC'!M287/('Methanol Recycling HC'!M$281)</f>
        <v>7.3971483480615968E-2</v>
      </c>
      <c r="CA85" s="168">
        <f>'Methanol Recycling HC'!N287/('Methanol Recycling HC'!N$281)</f>
        <v>7.4075308885555996E-2</v>
      </c>
      <c r="CB85" s="168">
        <f>'Methanol Recycling HC'!O287/('Methanol Recycling HC'!O$281)</f>
        <v>7.4165834122710966E-2</v>
      </c>
      <c r="CC85" s="168">
        <f>'Methanol Recycling HC'!P287/('Methanol Recycling HC'!P$281)</f>
        <v>7.4242977763459131E-2</v>
      </c>
      <c r="CD85" s="168">
        <f>'Methanol Recycling HC'!Q287/('Methanol Recycling HC'!Q$281)</f>
        <v>7.4306581599841826E-2</v>
      </c>
      <c r="CE85" s="168">
        <f>'Methanol Recycling HC'!R287/('Methanol Recycling HC'!R$281)</f>
        <v>7.4356408869703836E-2</v>
      </c>
      <c r="CF85" s="168">
        <f>'Methanol Recycling HC'!S287/('Methanol Recycling HC'!S$281)</f>
        <v>7.4405104541465802E-2</v>
      </c>
      <c r="CG85" s="168">
        <f>'Methanol Recycling HC'!T287/('Methanol Recycling HC'!T$281)</f>
        <v>7.4452648778386116E-2</v>
      </c>
      <c r="CH85" s="168">
        <f>'Methanol Recycling HC'!U287/('Methanol Recycling HC'!U$281)</f>
        <v>7.4499021213111319E-2</v>
      </c>
      <c r="CI85" s="168">
        <f>'Methanol Recycling HC'!V287/('Methanol Recycling HC'!V$281)</f>
        <v>7.4544200934408375E-2</v>
      </c>
      <c r="CJ85" s="168">
        <f>'Methanol Recycling HC'!W287/('Methanol Recycling HC'!W$281)</f>
        <v>7.4588166473487885E-2</v>
      </c>
      <c r="CK85" s="168">
        <f>'Methanol Recycling HC'!X287/('Methanol Recycling HC'!X$281)</f>
        <v>7.4630978056788866E-2</v>
      </c>
      <c r="CL85" s="168">
        <f>'Methanol Recycling HC'!Y287/('Methanol Recycling HC'!Y$281)</f>
        <v>7.4672615114437291E-2</v>
      </c>
      <c r="CM85" s="168">
        <f>'Methanol Recycling HC'!Z287/('Methanol Recycling HC'!Z$281)</f>
        <v>7.4713056561183711E-2</v>
      </c>
      <c r="CN85" s="168">
        <f>'Methanol Recycling HC'!AA287/('Methanol Recycling HC'!AA$281)</f>
        <v>7.4752280783670758E-2</v>
      </c>
      <c r="CO85" s="168">
        <f>'Methanol Recycling HC'!AB287/('Methanol Recycling HC'!AB$281)</f>
        <v>7.4790265627328142E-2</v>
      </c>
      <c r="CP85" s="168">
        <f>'Methanol Recycling HC'!AC287/('Methanol Recycling HC'!AC$281)</f>
        <v>7.4827061870084088E-2</v>
      </c>
      <c r="CQ85" s="168">
        <f>'Methanol Recycling HC'!AD287/('Methanol Recycling HC'!AD$281)</f>
        <v>7.4862648161171608E-2</v>
      </c>
      <c r="CR85" s="168">
        <f>'Methanol Recycling HC'!AE287/('Methanol Recycling HC'!AE$281)</f>
        <v>7.4897002642268534E-2</v>
      </c>
      <c r="CS85" s="168">
        <f>'Methanol Recycling HC'!AF287/('Methanol Recycling HC'!AF$281)</f>
        <v>7.4930102935162946E-2</v>
      </c>
      <c r="CT85" s="168">
        <f>'Methanol Recycling HC'!AG287/('Methanol Recycling HC'!AG$281)</f>
        <v>7.4961926129073597E-2</v>
      </c>
      <c r="CV85" s="168">
        <f t="shared" si="606"/>
        <v>7.2489099828387651E-2</v>
      </c>
      <c r="CW85" s="168">
        <f t="shared" si="576"/>
        <v>7.0054234445144234E-2</v>
      </c>
      <c r="CX85" s="168">
        <f t="shared" si="577"/>
        <v>6.7639461095105005E-2</v>
      </c>
      <c r="CY85" s="168">
        <f t="shared" si="578"/>
        <v>6.5244702792307249E-2</v>
      </c>
      <c r="CZ85" s="168">
        <f t="shared" si="579"/>
        <v>6.2869882550788334E-2</v>
      </c>
      <c r="DA85" s="168">
        <f t="shared" si="580"/>
        <v>6.0514923384585556E-2</v>
      </c>
      <c r="DB85" s="168">
        <f t="shared" si="581"/>
        <v>5.8179748307736215E-2</v>
      </c>
      <c r="DC85" s="168">
        <f t="shared" si="582"/>
        <v>5.5864280334277663E-2</v>
      </c>
      <c r="DD85" s="168">
        <f t="shared" si="583"/>
        <v>5.3568442478247186E-2</v>
      </c>
      <c r="DE85" s="168">
        <f t="shared" si="584"/>
        <v>5.1292157753682129E-2</v>
      </c>
      <c r="DF85" s="168">
        <f t="shared" si="585"/>
        <v>4.903534917461979E-2</v>
      </c>
      <c r="DG85" s="168">
        <f t="shared" si="586"/>
        <v>4.6539060468564229E-2</v>
      </c>
      <c r="DH85" s="168">
        <f t="shared" si="587"/>
        <v>4.4084962451324136E-2</v>
      </c>
      <c r="DI85" s="168">
        <f t="shared" si="588"/>
        <v>4.1673037709263221E-2</v>
      </c>
      <c r="DJ85" s="168">
        <f t="shared" si="589"/>
        <v>3.9302924430612812E-2</v>
      </c>
      <c r="DK85" s="168">
        <f t="shared" si="590"/>
        <v>3.6974461508867268E-2</v>
      </c>
      <c r="DL85" s="168">
        <f t="shared" si="591"/>
        <v>3.4687488846847934E-2</v>
      </c>
      <c r="DM85" s="168">
        <f t="shared" si="592"/>
        <v>3.2441847672115783E-2</v>
      </c>
      <c r="DN85" s="168">
        <f t="shared" si="593"/>
        <v>3.0237380378304111E-2</v>
      </c>
      <c r="DO85" s="168">
        <f t="shared" si="594"/>
        <v>2.8073930515223593E-2</v>
      </c>
      <c r="DP85" s="168">
        <f t="shared" si="595"/>
        <v>2.5951342613372681E-2</v>
      </c>
      <c r="DQ85" s="168">
        <f t="shared" si="596"/>
        <v>2.3682606651188171E-2</v>
      </c>
      <c r="DR85" s="168">
        <f t="shared" si="597"/>
        <v>2.1482976270372593E-2</v>
      </c>
      <c r="DS85" s="168">
        <f t="shared" si="598"/>
        <v>1.9351777766555594E-2</v>
      </c>
      <c r="DT85" s="168">
        <f t="shared" si="599"/>
        <v>1.7289127247368322E-2</v>
      </c>
      <c r="DU85" s="168">
        <f t="shared" si="600"/>
        <v>1.5294794037807971E-2</v>
      </c>
      <c r="DV85" s="168">
        <f t="shared" si="601"/>
        <v>1.3368551266458775E-2</v>
      </c>
      <c r="DW85" s="168">
        <f t="shared" si="602"/>
        <v>1.151017630216283E-2</v>
      </c>
      <c r="DX85" s="168">
        <f t="shared" si="603"/>
        <v>9.7194517561975079E-3</v>
      </c>
      <c r="DY85" s="168">
        <f t="shared" si="604"/>
        <v>7.9961671494915426E-3</v>
      </c>
      <c r="DZ85" s="168">
        <f t="shared" si="605"/>
        <v>6.340120885061017E-3</v>
      </c>
    </row>
    <row r="86" spans="1:165">
      <c r="A86" s="606" t="s">
        <v>452</v>
      </c>
      <c r="C86" s="54" t="s">
        <v>462</v>
      </c>
      <c r="D86" s="168">
        <f>'Methanol Recycling HC'!C312/('Methanol Recycling HC'!C$291)</f>
        <v>0.24465071192080831</v>
      </c>
      <c r="E86" s="168">
        <f>'Methanol Recycling HC'!D312/('Methanol Recycling HC'!D$291)</f>
        <v>0.24707078218513931</v>
      </c>
      <c r="F86" s="168">
        <f>'Methanol Recycling HC'!E312/('Methanol Recycling HC'!E$291)</f>
        <v>0.24251940342122885</v>
      </c>
      <c r="G86" s="168">
        <f>'Methanol Recycling HC'!F312/('Methanol Recycling HC'!F$291)</f>
        <v>0.23798435175339683</v>
      </c>
      <c r="H86" s="168">
        <f>'Methanol Recycling HC'!G312/('Methanol Recycling HC'!G$291)</f>
        <v>0.23346609079926836</v>
      </c>
      <c r="I86" s="168">
        <f>'Methanol Recycling HC'!H312/('Methanol Recycling HC'!H$291)</f>
        <v>0.22896509603464593</v>
      </c>
      <c r="J86" s="168">
        <f>'Methanol Recycling HC'!I312/('Methanol Recycling HC'!I$291)</f>
        <v>0.22448185479350907</v>
      </c>
      <c r="K86" s="168">
        <f>'Methanol Recycling HC'!J312/('Methanol Recycling HC'!J$291)</f>
        <v>0.22001686626801464</v>
      </c>
      <c r="L86" s="168">
        <f>'Methanol Recycling HC'!K312/('Methanol Recycling HC'!K$291)</f>
        <v>0.21557064150849664</v>
      </c>
      <c r="M86" s="168">
        <f>'Methanol Recycling HC'!L312/('Methanol Recycling HC'!L$291)</f>
        <v>0.21114370342346614</v>
      </c>
      <c r="N86" s="168">
        <f>'Methanol Recycling HC'!M312/('Methanol Recycling HC'!M$291)</f>
        <v>0.2067365867796116</v>
      </c>
      <c r="O86" s="168">
        <f>'Methanol Recycling HC'!N312/('Methanol Recycling HC'!N$291)</f>
        <v>0.2015945183514613</v>
      </c>
      <c r="P86" s="168">
        <f>'Methanol Recycling HC'!O312/('Methanol Recycling HC'!O$291)</f>
        <v>0.19649476771933663</v>
      </c>
      <c r="Q86" s="168">
        <f>'Methanol Recycling HC'!P312/('Methanol Recycling HC'!P$291)</f>
        <v>0.19143883088995728</v>
      </c>
      <c r="R86" s="168">
        <f>'Methanol Recycling HC'!Q312/('Methanol Recycling HC'!Q$291)</f>
        <v>0.18642611230166306</v>
      </c>
      <c r="S86" s="168">
        <f>'Methanol Recycling HC'!R312/('Methanol Recycling HC'!R$291)</f>
        <v>0.18145715877343593</v>
      </c>
      <c r="T86" s="168">
        <f>'Methanol Recycling HC'!S312/('Methanol Recycling HC'!S$291)</f>
        <v>0.17653254308105257</v>
      </c>
      <c r="U86" s="168">
        <f>'Methanol Recycling HC'!T312/('Methanol Recycling HC'!T$291)</f>
        <v>0.17165286394507848</v>
      </c>
      <c r="V86" s="168">
        <f>'Methanol Recycling HC'!U312/('Methanol Recycling HC'!U$291)</f>
        <v>0.16681874601886815</v>
      </c>
      <c r="W86" s="168">
        <f>'Methanol Recycling HC'!V312/('Methanol Recycling HC'!V$291)</f>
        <v>0.1620308398765723</v>
      </c>
      <c r="X86" s="168">
        <f>'Methanol Recycling HC'!W312/('Methanol Recycling HC'!W$291)</f>
        <v>0.15728982200115163</v>
      </c>
      <c r="Y86" s="168">
        <f>'Methanol Recycling HC'!X312/('Methanol Recycling HC'!X$291)</f>
        <v>0.15176467041129277</v>
      </c>
      <c r="Z86" s="168">
        <f>'Methanol Recycling HC'!Y312/('Methanol Recycling HC'!Y$291)</f>
        <v>0.14631493857313563</v>
      </c>
      <c r="AA86" s="168">
        <f>'Methanol Recycling HC'!Z312/('Methanol Recycling HC'!Z$291)</f>
        <v>0.14094156868416574</v>
      </c>
      <c r="AB86" s="168">
        <f>'Methanol Recycling HC'!AA312/('Methanol Recycling HC'!AA$291)</f>
        <v>0.13564485459276665</v>
      </c>
      <c r="AC86" s="168">
        <f>'Methanol Recycling HC'!AB312/('Methanol Recycling HC'!AB$291)</f>
        <v>0.13042567500558097</v>
      </c>
      <c r="AD86" s="168">
        <f>'Methanol Recycling HC'!AC312/('Methanol Recycling HC'!AC$291)</f>
        <v>0.1252849544665639</v>
      </c>
      <c r="AE86" s="168">
        <f>'Methanol Recycling HC'!AD312/('Methanol Recycling HC'!AD$291)</f>
        <v>0.12022366330406381</v>
      </c>
      <c r="AF86" s="168">
        <f>'Methanol Recycling HC'!AE312/('Methanol Recycling HC'!AE$291)</f>
        <v>0.11524281757797693</v>
      </c>
      <c r="AG86" s="168">
        <f>'Methanol Recycling HC'!AF312/('Methanol Recycling HC'!AF$291)</f>
        <v>0.11034347902697447</v>
      </c>
      <c r="AH86" s="168">
        <f>'Methanol Recycling HC'!AG312/('Methanol Recycling HC'!AG$291)</f>
        <v>0.10552675501580351</v>
      </c>
      <c r="AI86" s="44"/>
      <c r="AJ86" s="168">
        <f>'Methanol Recycling LC'!C312/('Methanol Recycling LC'!C$291)</f>
        <v>0.24465071192080831</v>
      </c>
      <c r="AK86" s="168">
        <f>'Methanol Recycling LC'!D312/('Methanol Recycling LC'!D$291)</f>
        <v>0.24022889837626718</v>
      </c>
      <c r="AL86" s="168">
        <f>'Methanol Recycling LC'!E312/('Methanol Recycling LC'!E$291)</f>
        <v>0.23584024488027772</v>
      </c>
      <c r="AM86" s="168">
        <f>'Methanol Recycling LC'!F312/('Methanol Recycling LC'!F$291)</f>
        <v>0.23148463045489845</v>
      </c>
      <c r="AN86" s="168">
        <f>'Methanol Recycling LC'!G312/('Methanol Recycling LC'!G$291)</f>
        <v>0.22716193412218821</v>
      </c>
      <c r="AO86" s="168">
        <f>'Methanol Recycling LC'!H312/('Methanol Recycling LC'!H$291)</f>
        <v>0.22287203490420551</v>
      </c>
      <c r="AP86" s="168">
        <f>'Methanol Recycling LC'!I312/('Methanol Recycling LC'!I$291)</f>
        <v>0.21861481182300901</v>
      </c>
      <c r="AQ86" s="168">
        <f>'Methanol Recycling LC'!J312/('Methanol Recycling LC'!J$291)</f>
        <v>0.21439014390065739</v>
      </c>
      <c r="AR86" s="168">
        <f>'Methanol Recycling LC'!K312/('Methanol Recycling LC'!K$291)</f>
        <v>0.21019791015920927</v>
      </c>
      <c r="AS86" s="168">
        <f>'Methanol Recycling LC'!L312/('Methanol Recycling LC'!L$291)</f>
        <v>0.20603798962072331</v>
      </c>
      <c r="AT86" s="168">
        <f>'Methanol Recycling LC'!M312/('Methanol Recycling LC'!M$291)</f>
        <v>0.20191026130725814</v>
      </c>
      <c r="AU86" s="168">
        <f>'Methanol Recycling LC'!N312/('Methanol Recycling LC'!N$291)</f>
        <v>0.19672032308491275</v>
      </c>
      <c r="AV86" s="168">
        <f>'Methanol Recycling LC'!O312/('Methanol Recycling LC'!O$291)</f>
        <v>0.19160002911537044</v>
      </c>
      <c r="AW86" s="168">
        <f>'Methanol Recycling LC'!P312/('Methanol Recycling LC'!P$291)</f>
        <v>0.18655056891715682</v>
      </c>
      <c r="AX86" s="168">
        <f>'Methanol Recycling LC'!Q312/('Methanol Recycling LC'!Q$291)</f>
        <v>0.18157010463909631</v>
      </c>
      <c r="AY86" s="168">
        <f>'Methanol Recycling LC'!R312/('Methanol Recycling LC'!R$291)</f>
        <v>0.17665836727562226</v>
      </c>
      <c r="AZ86" s="168">
        <f>'Methanol Recycling LC'!S312/('Methanol Recycling LC'!S$291)</f>
        <v>0.17181508909573637</v>
      </c>
      <c r="BA86" s="168">
        <f>'Methanol Recycling LC'!T312/('Methanol Recycling LC'!T$291)</f>
        <v>0.16704000364241955</v>
      </c>
      <c r="BB86" s="168">
        <f>'Methanol Recycling LC'!U312/('Methanol Recycling LC'!U$291)</f>
        <v>0.16233284573204254</v>
      </c>
      <c r="BC86" s="168">
        <f>'Methanol Recycling LC'!V312/('Methanol Recycling LC'!V$291)</f>
        <v>0.15769335145377697</v>
      </c>
      <c r="BD86" s="168">
        <f>'Methanol Recycling LC'!W312/('Methanol Recycling LC'!W$291)</f>
        <v>0.15312125816900687</v>
      </c>
      <c r="BE86" s="168">
        <f>'Methanol Recycling LC'!X312/('Methanol Recycling LC'!X$291)</f>
        <v>0.14745328283603645</v>
      </c>
      <c r="BF86" s="168">
        <f>'Methanol Recycling LC'!Y312/('Methanol Recycling LC'!Y$291)</f>
        <v>0.141899257493588</v>
      </c>
      <c r="BG86" s="168">
        <f>'Methanol Recycling LC'!Z312/('Methanol Recycling LC'!Z$291)</f>
        <v>0.13645951489235178</v>
      </c>
      <c r="BH86" s="168">
        <f>'Methanol Recycling LC'!AA312/('Methanol Recycling LC'!AA$291)</f>
        <v>0.13113246321174774</v>
      </c>
      <c r="BI86" s="168">
        <f>'Methanol Recycling LC'!AB312/('Methanol Recycling LC'!AB$291)</f>
        <v>0.12591765305483027</v>
      </c>
      <c r="BJ86" s="168">
        <f>'Methanol Recycling LC'!AC312/('Methanol Recycling LC'!AC$291)</f>
        <v>0.12081464034759842</v>
      </c>
      <c r="BK86" s="168">
        <f>'Methanol Recycling LC'!AD312/('Methanol Recycling LC'!AD$291)</f>
        <v>0.11582298633285069</v>
      </c>
      <c r="BL86" s="168">
        <f>'Methanol Recycling LC'!AE312/('Methanol Recycling LC'!AE$291)</f>
        <v>0.11094225756404807</v>
      </c>
      <c r="BM86" s="168">
        <f>'Methanol Recycling LC'!AF312/('Methanol Recycling LC'!AF$291)</f>
        <v>0.10617202589918578</v>
      </c>
      <c r="BN86" s="168">
        <f>'Methanol Recycling LC'!AG312/('Methanol Recycling LC'!AG$291)</f>
        <v>0.10151186849467375</v>
      </c>
      <c r="BP86" s="168">
        <f>'Methanol Recycling HC'!C288/('Methanol Recycling HC'!C$281)</f>
        <v>0.24465071192080831</v>
      </c>
      <c r="BQ86" s="168">
        <f>'Methanol Recycling HC'!D288/('Methanol Recycling HC'!D$281)</f>
        <v>0.24790723897761616</v>
      </c>
      <c r="BR86" s="168">
        <f>'Methanol Recycling HC'!E288/('Methanol Recycling HC'!E$281)</f>
        <v>0.25110068538193941</v>
      </c>
      <c r="BS86" s="168">
        <f>'Methanol Recycling HC'!F288/('Methanol Recycling HC'!F$281)</f>
        <v>0.25423146918578921</v>
      </c>
      <c r="BT86" s="168">
        <f>'Methanol Recycling HC'!G288/('Methanol Recycling HC'!G$281)</f>
        <v>0.2572995431164628</v>
      </c>
      <c r="BU86" s="168">
        <f>'Methanol Recycling HC'!H288/('Methanol Recycling HC'!H$281)</f>
        <v>0.26030439352316048</v>
      </c>
      <c r="BV86" s="168">
        <f>'Methanol Recycling HC'!I288/('Methanol Recycling HC'!I$281)</f>
        <v>0.26330004857701866</v>
      </c>
      <c r="BW86" s="168">
        <f>'Methanol Recycling HC'!J288/('Methanol Recycling HC'!J$281)</f>
        <v>0.26628628497555235</v>
      </c>
      <c r="BX86" s="168">
        <f>'Methanol Recycling HC'!K288/('Methanol Recycling HC'!K$281)</f>
        <v>0.26926286936931265</v>
      </c>
      <c r="BY86" s="168">
        <f>'Methanol Recycling HC'!L288/('Methanol Recycling HC'!L$281)</f>
        <v>0.27222955776739838</v>
      </c>
      <c r="BZ86" s="168">
        <f>'Methanol Recycling HC'!M288/('Methanol Recycling HC'!M$281)</f>
        <v>0.27518609492377277</v>
      </c>
      <c r="CA86" s="168">
        <f>'Methanol Recycling HC'!N288/('Methanol Recycling HC'!N$281)</f>
        <v>0.27809448062501763</v>
      </c>
      <c r="CB86" s="168">
        <f>'Methanol Recycling HC'!O288/('Methanol Recycling HC'!O$281)</f>
        <v>0.28095333221854524</v>
      </c>
      <c r="CC86" s="168">
        <f>'Methanol Recycling HC'!P288/('Methanol Recycling HC'!P$281)</f>
        <v>0.28376098348133061</v>
      </c>
      <c r="CD86" s="168">
        <f>'Methanol Recycling HC'!Q288/('Methanol Recycling HC'!Q$281)</f>
        <v>0.28651546779038078</v>
      </c>
      <c r="CE86" s="168">
        <f>'Methanol Recycling HC'!R288/('Methanol Recycling HC'!R$281)</f>
        <v>0.28921449830301948</v>
      </c>
      <c r="CF86" s="168">
        <f>'Methanol Recycling HC'!S288/('Methanol Recycling HC'!S$281)</f>
        <v>0.29190630066022744</v>
      </c>
      <c r="CG86" s="168">
        <f>'Methanol Recycling HC'!T288/('Methanol Recycling HC'!T$281)</f>
        <v>0.29459069271839561</v>
      </c>
      <c r="CH86" s="168">
        <f>'Methanol Recycling HC'!U288/('Methanol Recycling HC'!U$281)</f>
        <v>0.2972674880679646</v>
      </c>
      <c r="CI86" s="168">
        <f>'Methanol Recycling HC'!V288/('Methanol Recycling HC'!V$281)</f>
        <v>0.29993649590458293</v>
      </c>
      <c r="CJ86" s="168">
        <f>'Methanol Recycling HC'!W288/('Methanol Recycling HC'!W$281)</f>
        <v>0.30259752089650738</v>
      </c>
      <c r="CK86" s="168">
        <f>'Methanol Recycling HC'!X288/('Methanol Recycling HC'!X$281)</f>
        <v>0.30525069953069023</v>
      </c>
      <c r="CL86" s="168">
        <f>'Methanol Recycling HC'!Y288/('Methanol Recycling HC'!Y$281)</f>
        <v>0.30789584366731432</v>
      </c>
      <c r="CM86" s="168">
        <f>'Methanol Recycling HC'!Z288/('Methanol Recycling HC'!Z$281)</f>
        <v>0.31053276080634512</v>
      </c>
      <c r="CN86" s="168">
        <f>'Methanol Recycling HC'!AA288/('Methanol Recycling HC'!AA$281)</f>
        <v>0.31316125396265904</v>
      </c>
      <c r="CO86" s="168">
        <f>'Methanol Recycling HC'!AB288/('Methanol Recycling HC'!AB$281)</f>
        <v>0.31578112153760718</v>
      </c>
      <c r="CP86" s="168">
        <f>'Methanol Recycling HC'!AC288/('Methanol Recycling HC'!AC$281)</f>
        <v>0.3183924698781942</v>
      </c>
      <c r="CQ86" s="168">
        <f>'Methanol Recycling HC'!AD288/('Methanol Recycling HC'!AD$281)</f>
        <v>0.32099510324004116</v>
      </c>
      <c r="CR86" s="168">
        <f>'Methanol Recycling HC'!AE288/('Methanol Recycling HC'!AE$281)</f>
        <v>0.32358882139968781</v>
      </c>
      <c r="CS86" s="168">
        <f>'Methanol Recycling HC'!AF288/('Methanol Recycling HC'!AF$281)</f>
        <v>0.32617341953199536</v>
      </c>
      <c r="CT86" s="168">
        <f>'Methanol Recycling HC'!AG288/('Methanol Recycling HC'!AG$281)</f>
        <v>0.32874868808412999</v>
      </c>
      <c r="CV86" s="168">
        <f t="shared" si="606"/>
        <v>0.24465071192080831</v>
      </c>
      <c r="CW86" s="168">
        <f t="shared" si="576"/>
        <v>0.24022889837626721</v>
      </c>
      <c r="CX86" s="168">
        <f t="shared" si="577"/>
        <v>0.23584024488027772</v>
      </c>
      <c r="CY86" s="168">
        <f t="shared" si="578"/>
        <v>0.23148463045489845</v>
      </c>
      <c r="CZ86" s="168">
        <f t="shared" si="579"/>
        <v>0.22716193412218824</v>
      </c>
      <c r="DA86" s="168">
        <f t="shared" si="580"/>
        <v>0.22287203490420551</v>
      </c>
      <c r="DB86" s="168">
        <f t="shared" si="581"/>
        <v>0.21861481182300901</v>
      </c>
      <c r="DC86" s="168">
        <f t="shared" si="582"/>
        <v>0.21439014390065739</v>
      </c>
      <c r="DD86" s="168">
        <f t="shared" si="583"/>
        <v>0.21019791015920927</v>
      </c>
      <c r="DE86" s="168">
        <f t="shared" si="584"/>
        <v>0.20603798962072331</v>
      </c>
      <c r="DF86" s="168">
        <f t="shared" si="585"/>
        <v>0.20191026130725814</v>
      </c>
      <c r="DG86" s="168">
        <f t="shared" si="586"/>
        <v>0.19672032308491275</v>
      </c>
      <c r="DH86" s="168">
        <f t="shared" si="587"/>
        <v>0.19160002911537044</v>
      </c>
      <c r="DI86" s="168">
        <f t="shared" si="588"/>
        <v>0.18654977283274227</v>
      </c>
      <c r="DJ86" s="168">
        <f t="shared" si="589"/>
        <v>0.18156843962311287</v>
      </c>
      <c r="DK86" s="168">
        <f t="shared" si="590"/>
        <v>0.17665576054236598</v>
      </c>
      <c r="DL86" s="168">
        <f t="shared" si="591"/>
        <v>0.17181146819454379</v>
      </c>
      <c r="DM86" s="168">
        <f t="shared" si="592"/>
        <v>0.16703529834486075</v>
      </c>
      <c r="DN86" s="168">
        <f t="shared" si="593"/>
        <v>0.16232698939931695</v>
      </c>
      <c r="DO86" s="168">
        <f t="shared" si="594"/>
        <v>0.15768628261354573</v>
      </c>
      <c r="DP86" s="168">
        <f t="shared" si="595"/>
        <v>0.1531129214188989</v>
      </c>
      <c r="DQ86" s="168">
        <f t="shared" si="596"/>
        <v>0.14744332527997808</v>
      </c>
      <c r="DR86" s="168">
        <f t="shared" si="597"/>
        <v>0.14188756420432139</v>
      </c>
      <c r="DS86" s="168">
        <f t="shared" si="598"/>
        <v>0.13644228121482879</v>
      </c>
      <c r="DT86" s="168">
        <f t="shared" si="599"/>
        <v>0.13110921495920988</v>
      </c>
      <c r="DU86" s="168">
        <f t="shared" si="600"/>
        <v>0.12588792015734265</v>
      </c>
      <c r="DV86" s="168">
        <f t="shared" si="601"/>
        <v>0.12077794592455872</v>
      </c>
      <c r="DW86" s="168">
        <f t="shared" si="602"/>
        <v>0.1157788322158733</v>
      </c>
      <c r="DX86" s="168">
        <f t="shared" si="603"/>
        <v>0.11089010867298082</v>
      </c>
      <c r="DY86" s="168">
        <f t="shared" si="604"/>
        <v>0.10611129920000958</v>
      </c>
      <c r="DZ86" s="168">
        <f t="shared" si="605"/>
        <v>0.10144193416097627</v>
      </c>
    </row>
    <row r="87" spans="1:165">
      <c r="A87" s="606" t="s">
        <v>453</v>
      </c>
      <c r="C87" s="54" t="s">
        <v>462</v>
      </c>
      <c r="D87" s="168">
        <f>'Methanol Recycling HC'!C313/('Methanol Recycling HC'!C$291)</f>
        <v>6.342796234983919E-2</v>
      </c>
      <c r="E87" s="168">
        <f>'Methanol Recycling HC'!D313/('Methanol Recycling HC'!D$291)</f>
        <v>6.4628026879466977E-2</v>
      </c>
      <c r="F87" s="168">
        <f>'Methanol Recycling HC'!E313/('Methanol Recycling HC'!E$291)</f>
        <v>6.4015273999512179E-2</v>
      </c>
      <c r="G87" s="168">
        <f>'Methanol Recycling HC'!F313/('Methanol Recycling HC'!F$291)</f>
        <v>6.3401236567507235E-2</v>
      </c>
      <c r="H87" s="168">
        <f>'Methanol Recycling HC'!G313/('Methanol Recycling HC'!G$291)</f>
        <v>6.2785919979959873E-2</v>
      </c>
      <c r="I87" s="168">
        <f>'Methanol Recycling HC'!H313/('Methanol Recycling HC'!H$291)</f>
        <v>6.216933071139389E-2</v>
      </c>
      <c r="J87" s="168">
        <f>'Methanol Recycling HC'!I313/('Methanol Recycling HC'!I$291)</f>
        <v>6.1551476314349214E-2</v>
      </c>
      <c r="K87" s="168">
        <f>'Methanol Recycling HC'!J313/('Methanol Recycling HC'!J$291)</f>
        <v>6.0932365419381913E-2</v>
      </c>
      <c r="L87" s="168">
        <f>'Methanol Recycling HC'!K313/('Methanol Recycling HC'!K$291)</f>
        <v>6.0312007735064108E-2</v>
      </c>
      <c r="M87" s="168">
        <f>'Methanol Recycling HC'!L313/('Methanol Recycling HC'!L$291)</f>
        <v>5.9690414047984058E-2</v>
      </c>
      <c r="N87" s="168">
        <f>'Methanol Recycling HC'!M313/('Methanol Recycling HC'!M$291)</f>
        <v>5.9067596222746127E-2</v>
      </c>
      <c r="O87" s="168">
        <f>'Methanol Recycling HC'!N313/('Methanol Recycling HC'!N$291)</f>
        <v>5.8225412412105618E-2</v>
      </c>
      <c r="P87" s="168">
        <f>'Methanol Recycling HC'!O313/('Methanol Recycling HC'!O$291)</f>
        <v>5.738342774104517E-2</v>
      </c>
      <c r="Q87" s="168">
        <f>'Methanol Recycling HC'!P313/('Methanol Recycling HC'!P$291)</f>
        <v>5.6541903576194229E-2</v>
      </c>
      <c r="R87" s="168">
        <f>'Methanol Recycling HC'!Q313/('Methanol Recycling HC'!Q$291)</f>
        <v>5.5700484773057814E-2</v>
      </c>
      <c r="S87" s="168">
        <f>'Methanol Recycling HC'!R313/('Methanol Recycling HC'!R$291)</f>
        <v>5.4859141024527082E-2</v>
      </c>
      <c r="T87" s="168">
        <f>'Methanol Recycling HC'!S313/('Methanol Recycling HC'!S$291)</f>
        <v>5.4017844412814146E-2</v>
      </c>
      <c r="U87" s="168">
        <f>'Methanol Recycling HC'!T313/('Methanol Recycling HC'!T$291)</f>
        <v>5.3176569408346905E-2</v>
      </c>
      <c r="V87" s="168">
        <f>'Methanol Recycling HC'!U313/('Methanol Recycling HC'!U$291)</f>
        <v>5.2335292868664465E-2</v>
      </c>
      <c r="W87" s="168">
        <f>'Methanol Recycling HC'!V313/('Methanol Recycling HC'!V$291)</f>
        <v>5.1493994037313279E-2</v>
      </c>
      <c r="X87" s="168">
        <f>'Methanol Recycling HC'!W313/('Methanol Recycling HC'!W$291)</f>
        <v>5.0652654542743696E-2</v>
      </c>
      <c r="Y87" s="168">
        <f>'Methanol Recycling HC'!X313/('Methanol Recycling HC'!X$291)</f>
        <v>4.9539762880370139E-2</v>
      </c>
      <c r="Z87" s="168">
        <f>'Methanol Recycling HC'!Y313/('Methanol Recycling HC'!Y$291)</f>
        <v>4.8428183893925121E-2</v>
      </c>
      <c r="AA87" s="168">
        <f>'Methanol Recycling HC'!Z313/('Methanol Recycling HC'!Z$291)</f>
        <v>4.731790546488146E-2</v>
      </c>
      <c r="AB87" s="168">
        <f>'Methanol Recycling HC'!AA313/('Methanol Recycling HC'!AA$291)</f>
        <v>4.6208686729403994E-2</v>
      </c>
      <c r="AC87" s="168">
        <f>'Methanol Recycling HC'!AB313/('Methanol Recycling HC'!AB$291)</f>
        <v>4.5100467058004613E-2</v>
      </c>
      <c r="AD87" s="168">
        <f>'Methanol Recycling HC'!AC313/('Methanol Recycling HC'!AC$291)</f>
        <v>4.3993190118030039E-2</v>
      </c>
      <c r="AE87" s="168">
        <f>'Methanol Recycling HC'!AD313/('Methanol Recycling HC'!AD$291)</f>
        <v>4.2886803868701105E-2</v>
      </c>
      <c r="AF87" s="168">
        <f>'Methanol Recycling HC'!AE313/('Methanol Recycling HC'!AE$291)</f>
        <v>4.1781260556158953E-2</v>
      </c>
      <c r="AG87" s="168">
        <f>'Methanol Recycling HC'!AF313/('Methanol Recycling HC'!AF$291)</f>
        <v>4.067651670851808E-2</v>
      </c>
      <c r="AH87" s="168">
        <f>'Methanol Recycling HC'!AG313/('Methanol Recycling HC'!AG$291)</f>
        <v>3.9572533130926318E-2</v>
      </c>
      <c r="AI87" s="44"/>
      <c r="AJ87" s="168">
        <f>'Methanol Recycling LC'!C313/('Methanol Recycling LC'!C$291)</f>
        <v>6.342796234983919E-2</v>
      </c>
      <c r="AK87" s="168">
        <f>'Methanol Recycling LC'!D313/('Methanol Recycling LC'!D$291)</f>
        <v>6.2838347635343975E-2</v>
      </c>
      <c r="AL87" s="168">
        <f>'Methanol Recycling LC'!E313/('Methanol Recycling LC'!E$291)</f>
        <v>6.2252247379565674E-2</v>
      </c>
      <c r="AM87" s="168">
        <f>'Methanol Recycling LC'!F313/('Methanol Recycling LC'!F$291)</f>
        <v>6.1669650584509607E-2</v>
      </c>
      <c r="AN87" s="168">
        <f>'Methanol Recycling LC'!G313/('Methanol Recycling LC'!G$291)</f>
        <v>6.1090546252181126E-2</v>
      </c>
      <c r="AO87" s="168">
        <f>'Methanol Recycling LC'!H313/('Methanol Recycling LC'!H$291)</f>
        <v>6.0514923384585563E-2</v>
      </c>
      <c r="AP87" s="168">
        <f>'Methanol Recycling LC'!I313/('Methanol Recycling LC'!I$291)</f>
        <v>5.9942770983728244E-2</v>
      </c>
      <c r="AQ87" s="168">
        <f>'Methanol Recycling LC'!J313/('Methanol Recycling LC'!J$291)</f>
        <v>5.9374078051614487E-2</v>
      </c>
      <c r="AR87" s="168">
        <f>'Methanol Recycling LC'!K313/('Methanol Recycling LC'!K$291)</f>
        <v>5.8808833590249639E-2</v>
      </c>
      <c r="AS87" s="168">
        <f>'Methanol Recycling LC'!L313/('Methanol Recycling LC'!L$291)</f>
        <v>5.8247026601639031E-2</v>
      </c>
      <c r="AT87" s="168">
        <f>'Methanol Recycling LC'!M313/('Methanol Recycling LC'!M$291)</f>
        <v>5.7688646087787995E-2</v>
      </c>
      <c r="AU87" s="168">
        <f>'Methanol Recycling LC'!N313/('Methanol Recycling LC'!N$291)</f>
        <v>5.6817625970823814E-2</v>
      </c>
      <c r="AV87" s="168">
        <f>'Methanol Recycling LC'!O313/('Methanol Recycling LC'!O$291)</f>
        <v>5.5953990803603713E-2</v>
      </c>
      <c r="AW87" s="168">
        <f>'Methanol Recycling LC'!P313/('Methanol Recycling LC'!P$291)</f>
        <v>5.5098144042998294E-2</v>
      </c>
      <c r="AX87" s="168">
        <f>'Methanol Recycling LC'!Q313/('Methanol Recycling LC'!Q$291)</f>
        <v>5.4249604434851904E-2</v>
      </c>
      <c r="AY87" s="168">
        <f>'Methanol Recycling LC'!R313/('Methanol Recycling LC'!R$291)</f>
        <v>5.3408343594955519E-2</v>
      </c>
      <c r="AZ87" s="168">
        <f>'Methanol Recycling LC'!S313/('Methanol Recycling LC'!S$291)</f>
        <v>5.2574333256424022E-2</v>
      </c>
      <c r="BA87" s="168">
        <f>'Methanol Recycling LC'!T313/('Methanol Recycling LC'!T$291)</f>
        <v>5.1747545269641967E-2</v>
      </c>
      <c r="BB87" s="168">
        <f>'Methanol Recycling LC'!U313/('Methanol Recycling LC'!U$291)</f>
        <v>5.0927951602209379E-2</v>
      </c>
      <c r="BC87" s="168">
        <f>'Methanol Recycling LC'!V313/('Methanol Recycling LC'!V$291)</f>
        <v>5.0115524338887475E-2</v>
      </c>
      <c r="BD87" s="168">
        <f>'Methanol Recycling LC'!W313/('Methanol Recycling LC'!W$291)</f>
        <v>4.9310235681544544E-2</v>
      </c>
      <c r="BE87" s="168">
        <f>'Methanol Recycling LC'!X313/('Methanol Recycling LC'!X$291)</f>
        <v>4.8132418749586986E-2</v>
      </c>
      <c r="BF87" s="168">
        <f>'Methanol Recycling LC'!Y313/('Methanol Recycling LC'!Y$291)</f>
        <v>4.6966655649286128E-2</v>
      </c>
      <c r="BG87" s="168">
        <f>'Methanol Recycling LC'!Z313/('Methanol Recycling LC'!Z$291)</f>
        <v>4.5813158500663836E-2</v>
      </c>
      <c r="BH87" s="168">
        <f>'Methanol Recycling LC'!AA313/('Methanol Recycling LC'!AA$291)</f>
        <v>4.4671498456749191E-2</v>
      </c>
      <c r="BI87" s="168">
        <f>'Methanol Recycling LC'!AB313/('Methanol Recycling LC'!AB$291)</f>
        <v>4.3541618346062773E-2</v>
      </c>
      <c r="BJ87" s="168">
        <f>'Methanol Recycling LC'!AC313/('Methanol Recycling LC'!AC$291)</f>
        <v>4.2423461496103237E-2</v>
      </c>
      <c r="BK87" s="168">
        <f>'Methanol Recycling LC'!AD313/('Methanol Recycling LC'!AD$291)</f>
        <v>4.1316971732771282E-2</v>
      </c>
      <c r="BL87" s="168">
        <f>'Methanol Recycling LC'!AE313/('Methanol Recycling LC'!AE$291)</f>
        <v>4.0222093379794314E-2</v>
      </c>
      <c r="BM87" s="168">
        <f>'Methanol Recycling LC'!AF313/('Methanol Recycling LC'!AF$291)</f>
        <v>3.9138771258151989E-2</v>
      </c>
      <c r="BN87" s="168">
        <f>'Methanol Recycling LC'!AG313/('Methanol Recycling LC'!AG$291)</f>
        <v>3.806695068550265E-2</v>
      </c>
      <c r="BP87" s="168">
        <f>'Methanol Recycling HC'!C289/('Methanol Recycling HC'!C$281)</f>
        <v>6.342796234983919E-2</v>
      </c>
      <c r="BQ87" s="168">
        <f>'Methanol Recycling HC'!D289/('Methanol Recycling HC'!D$281)</f>
        <v>6.4684607875780245E-2</v>
      </c>
      <c r="BR87" s="168">
        <f>'Methanol Recycling HC'!E289/('Methanol Recycling HC'!E$281)</f>
        <v>6.5926048671706108E-2</v>
      </c>
      <c r="BS87" s="168">
        <f>'Methanol Recycling HC'!F289/('Methanol Recycling HC'!F$281)</f>
        <v>6.7152048768472611E-2</v>
      </c>
      <c r="BT87" s="168">
        <f>'Methanol Recycling HC'!G289/('Methanol Recycling HC'!G$281)</f>
        <v>6.8362266528819535E-2</v>
      </c>
      <c r="BU87" s="168">
        <f>'Methanol Recycling HC'!H289/('Methanol Recycling HC'!H$281)</f>
        <v>6.9556249844578491E-2</v>
      </c>
      <c r="BV87" s="168">
        <f>'Methanol Recycling HC'!I289/('Methanol Recycling HC'!I$281)</f>
        <v>7.0748212498534122E-2</v>
      </c>
      <c r="BW87" s="168">
        <f>'Methanol Recycling HC'!J289/('Methanol Recycling HC'!J$281)</f>
        <v>7.1938039535528311E-2</v>
      </c>
      <c r="BX87" s="168">
        <f>'Methanol Recycling HC'!K289/('Methanol Recycling HC'!K$281)</f>
        <v>7.3125614320360119E-2</v>
      </c>
      <c r="BY87" s="168">
        <f>'Methanol Recycling HC'!L289/('Methanol Recycling HC'!L$281)</f>
        <v>7.4310818250389793E-2</v>
      </c>
      <c r="BZ87" s="168">
        <f>'Methanol Recycling HC'!M289/('Methanol Recycling HC'!M$281)</f>
        <v>7.5493530465813807E-2</v>
      </c>
      <c r="CA87" s="168">
        <f>'Methanol Recycling HC'!N289/('Methanol Recycling HC'!N$281)</f>
        <v>7.6663225554389619E-2</v>
      </c>
      <c r="CB87" s="168">
        <f>'Methanol Recycling HC'!O289/('Methanol Recycling HC'!O$281)</f>
        <v>7.7819323488361722E-2</v>
      </c>
      <c r="CC87" s="168">
        <f>'Methanol Recycling HC'!P289/('Methanol Recycling HC'!P$281)</f>
        <v>7.8961166182211107E-2</v>
      </c>
      <c r="CD87" s="168">
        <f>'Methanol Recycling HC'!Q289/('Methanol Recycling HC'!Q$281)</f>
        <v>8.0088010962646838E-2</v>
      </c>
      <c r="CE87" s="168">
        <f>'Methanol Recycling HC'!R289/('Methanol Recycling HC'!R$281)</f>
        <v>8.1199023182866703E-2</v>
      </c>
      <c r="CF87" s="168">
        <f>'Methanol Recycling HC'!S289/('Methanol Recycling HC'!S$281)</f>
        <v>8.2307607474791378E-2</v>
      </c>
      <c r="CG87" s="168">
        <f>'Methanol Recycling HC'!T289/('Methanol Recycling HC'!T$281)</f>
        <v>8.3413697896959668E-2</v>
      </c>
      <c r="CH87" s="168">
        <f>'Methanol Recycling HC'!U289/('Methanol Recycling HC'!U$281)</f>
        <v>8.4517226999715464E-2</v>
      </c>
      <c r="CI87" s="168">
        <f>'Methanol Recycling HC'!V289/('Methanol Recycling HC'!V$281)</f>
        <v>8.5618125778144191E-2</v>
      </c>
      <c r="CJ87" s="168">
        <f>'Methanol Recycling HC'!W289/('Methanol Recycling HC'!W$281)</f>
        <v>8.671632362364845E-2</v>
      </c>
      <c r="CK87" s="168">
        <f>'Methanol Recycling HC'!X289/('Methanol Recycling HC'!X$281)</f>
        <v>8.7811845070472586E-2</v>
      </c>
      <c r="CL87" s="168">
        <f>'Methanol Recycling HC'!Y289/('Methanol Recycling HC'!Y$281)</f>
        <v>8.8904622050278867E-2</v>
      </c>
      <c r="CM87" s="168">
        <f>'Methanol Recycling HC'!Z289/('Methanol Recycling HC'!Z$281)</f>
        <v>8.9994584938420497E-2</v>
      </c>
      <c r="CN87" s="168">
        <f>'Methanol Recycling HC'!AA289/('Methanol Recycling HC'!AA$281)</f>
        <v>9.1081662508258943E-2</v>
      </c>
      <c r="CO87" s="168">
        <f>'Methanol Recycling HC'!AB289/('Methanol Recycling HC'!AB$281)</f>
        <v>9.2165781884182063E-2</v>
      </c>
      <c r="CP87" s="168">
        <f>'Methanol Recycling HC'!AC289/('Methanol Recycling HC'!AC$281)</f>
        <v>9.3246960070548598E-2</v>
      </c>
      <c r="CQ87" s="168">
        <f>'Methanol Recycling HC'!AD289/('Methanol Recycling HC'!AD$281)</f>
        <v>9.4325126220000874E-2</v>
      </c>
      <c r="CR87" s="168">
        <f>'Methanol Recycling HC'!AE289/('Methanol Recycling HC'!AE$281)</f>
        <v>9.5400207874451443E-2</v>
      </c>
      <c r="CS87" s="168">
        <f>'Methanol Recycling HC'!AF289/('Methanol Recycling HC'!AF$281)</f>
        <v>9.6472130920141327E-2</v>
      </c>
      <c r="CT87" s="168">
        <f>'Methanol Recycling HC'!AG289/('Methanol Recycling HC'!AG$281)</f>
        <v>9.7540819541445167E-2</v>
      </c>
      <c r="CV87" s="168">
        <f t="shared" si="606"/>
        <v>6.342796234983919E-2</v>
      </c>
      <c r="CW87" s="168">
        <f t="shared" si="576"/>
        <v>6.2838347635343975E-2</v>
      </c>
      <c r="CX87" s="168">
        <f t="shared" si="577"/>
        <v>6.2252247379565674E-2</v>
      </c>
      <c r="CY87" s="168">
        <f t="shared" si="578"/>
        <v>6.1669650584509607E-2</v>
      </c>
      <c r="CZ87" s="168">
        <f t="shared" si="579"/>
        <v>6.1090546252181126E-2</v>
      </c>
      <c r="DA87" s="168">
        <f t="shared" si="580"/>
        <v>6.0514923384585563E-2</v>
      </c>
      <c r="DB87" s="168">
        <f t="shared" si="581"/>
        <v>5.9942770983728244E-2</v>
      </c>
      <c r="DC87" s="168">
        <f t="shared" si="582"/>
        <v>5.9374078051614487E-2</v>
      </c>
      <c r="DD87" s="168">
        <f t="shared" si="583"/>
        <v>5.8808833590249639E-2</v>
      </c>
      <c r="DE87" s="168">
        <f t="shared" si="584"/>
        <v>5.8247026601639031E-2</v>
      </c>
      <c r="DF87" s="168">
        <f t="shared" si="585"/>
        <v>5.7688646087787995E-2</v>
      </c>
      <c r="DG87" s="168">
        <f t="shared" si="586"/>
        <v>5.6817625970823814E-2</v>
      </c>
      <c r="DH87" s="168">
        <f t="shared" si="587"/>
        <v>5.5953990803603713E-2</v>
      </c>
      <c r="DI87" s="168">
        <f t="shared" si="588"/>
        <v>5.5097908917616484E-2</v>
      </c>
      <c r="DJ87" s="168">
        <f t="shared" si="589"/>
        <v>5.4249106960564168E-2</v>
      </c>
      <c r="DK87" s="168">
        <f t="shared" si="590"/>
        <v>5.340755551280827E-2</v>
      </c>
      <c r="DL87" s="168">
        <f t="shared" si="591"/>
        <v>5.2573225283503902E-2</v>
      </c>
      <c r="DM87" s="168">
        <f t="shared" si="592"/>
        <v>5.1746087609242528E-2</v>
      </c>
      <c r="DN87" s="168">
        <f t="shared" si="593"/>
        <v>5.0926114321354285E-2</v>
      </c>
      <c r="DO87" s="168">
        <f t="shared" si="594"/>
        <v>5.0113277835586036E-2</v>
      </c>
      <c r="DP87" s="168">
        <f t="shared" si="595"/>
        <v>4.9307550965408078E-2</v>
      </c>
      <c r="DQ87" s="168">
        <f t="shared" si="596"/>
        <v>4.8129168355640475E-2</v>
      </c>
      <c r="DR87" s="168">
        <f t="shared" si="597"/>
        <v>4.6962785335233098E-2</v>
      </c>
      <c r="DS87" s="168">
        <f t="shared" si="598"/>
        <v>4.5807372687922732E-2</v>
      </c>
      <c r="DT87" s="168">
        <f t="shared" si="599"/>
        <v>4.4663578722368168E-2</v>
      </c>
      <c r="DU87" s="168">
        <f t="shared" si="600"/>
        <v>4.3531336876838085E-2</v>
      </c>
      <c r="DV87" s="168">
        <f t="shared" si="601"/>
        <v>4.2410576431524412E-2</v>
      </c>
      <c r="DW87" s="168">
        <f t="shared" si="602"/>
        <v>4.130122084893724E-2</v>
      </c>
      <c r="DX87" s="168">
        <f t="shared" si="603"/>
        <v>4.0203186809726107E-2</v>
      </c>
      <c r="DY87" s="168">
        <f t="shared" si="604"/>
        <v>3.9116385244810051E-2</v>
      </c>
      <c r="DZ87" s="168">
        <f t="shared" si="605"/>
        <v>3.8040725310366098E-2</v>
      </c>
    </row>
    <row r="88" spans="1:165" ht="16" thickBot="1">
      <c r="A88" s="606" t="s">
        <v>454</v>
      </c>
      <c r="C88" s="54" t="s">
        <v>462</v>
      </c>
      <c r="D88" s="168">
        <f>'Methanol Recycling HC'!C314/('Methanol Recycling HC'!C$291)</f>
        <v>4.530568739274228E-2</v>
      </c>
      <c r="E88" s="168">
        <f>'Methanol Recycling HC'!D314/('Methanol Recycling HC'!D$291)</f>
        <v>4.5765301330914408E-2</v>
      </c>
      <c r="F88" s="168">
        <f>'Methanol Recycling HC'!E314/('Methanol Recycling HC'!E$291)</f>
        <v>4.4933798095811432E-2</v>
      </c>
      <c r="G88" s="168">
        <f>'Methanol Recycling HC'!F314/('Methanol Recycling HC'!F$291)</f>
        <v>4.4105208046961553E-2</v>
      </c>
      <c r="H88" s="168">
        <f>'Methanol Recycling HC'!G314/('Methanol Recycling HC'!G$291)</f>
        <v>4.3279614743467483E-2</v>
      </c>
      <c r="I88" s="168">
        <f>'Methanol Recycling HC'!H314/('Methanol Recycling HC'!H$291)</f>
        <v>4.2457103900464123E-2</v>
      </c>
      <c r="J88" s="168">
        <f>'Methanol Recycling HC'!I314/('Methanol Recycling HC'!I$291)</f>
        <v>4.1637763389118593E-2</v>
      </c>
      <c r="K88" s="168">
        <f>'Methanol Recycling HC'!J314/('Methanol Recycling HC'!J$291)</f>
        <v>4.0821683236630248E-2</v>
      </c>
      <c r="L88" s="168">
        <f>'Methanol Recycling HC'!K314/('Methanol Recycling HC'!K$291)</f>
        <v>4.0008955626230649E-2</v>
      </c>
      <c r="M88" s="168">
        <f>'Methanol Recycling HC'!L314/('Methanol Recycling HC'!L$291)</f>
        <v>3.9199674897183567E-2</v>
      </c>
      <c r="N88" s="168">
        <f>'Methanol Recycling HC'!M314/('Methanol Recycling HC'!M$291)</f>
        <v>3.8393937544784984E-2</v>
      </c>
      <c r="O88" s="168">
        <f>'Methanol Recycling HC'!N314/('Methanol Recycling HC'!N$291)</f>
        <v>3.7451521551505121E-2</v>
      </c>
      <c r="P88" s="168">
        <f>'Methanol Recycling HC'!O314/('Methanol Recycling HC'!O$291)</f>
        <v>3.6516726744301474E-2</v>
      </c>
      <c r="Q88" s="168">
        <f>'Methanol Recycling HC'!P314/('Methanol Recycling HC'!P$291)</f>
        <v>3.558982763171617E-2</v>
      </c>
      <c r="R88" s="168">
        <f>'Methanol Recycling HC'!Q314/('Methanol Recycling HC'!Q$291)</f>
        <v>3.4670709909760476E-2</v>
      </c>
      <c r="S88" s="168">
        <f>'Methanol Recycling HC'!R314/('Methanol Recycling HC'!R$291)</f>
        <v>3.3759471399708973E-2</v>
      </c>
      <c r="T88" s="168">
        <f>'Methanol Recycling HC'!S314/('Methanol Recycling HC'!S$291)</f>
        <v>3.2856214642845716E-2</v>
      </c>
      <c r="U88" s="168">
        <f>'Methanol Recycling HC'!T314/('Methanol Recycling HC'!T$291)</f>
        <v>3.1961046898281033E-2</v>
      </c>
      <c r="V88" s="168">
        <f>'Methanol Recycling HC'!U314/('Methanol Recycling HC'!U$291)</f>
        <v>3.1074080140769525E-2</v>
      </c>
      <c r="W88" s="168">
        <f>'Methanol Recycling HC'!V314/('Methanol Recycling HC'!V$291)</f>
        <v>3.0195431058529249E-2</v>
      </c>
      <c r="X88" s="168">
        <f>'Methanol Recycling HC'!W314/('Methanol Recycling HC'!W$291)</f>
        <v>2.9325221051062139E-2</v>
      </c>
      <c r="Y88" s="168">
        <f>'Methanol Recycling HC'!X314/('Methanol Recycling HC'!X$291)</f>
        <v>2.8308435931640074E-2</v>
      </c>
      <c r="Z88" s="168">
        <f>'Methanol Recycling HC'!Y314/('Methanol Recycling HC'!Y$291)</f>
        <v>2.7305252621042886E-2</v>
      </c>
      <c r="AA88" s="168">
        <f>'Methanol Recycling HC'!Z314/('Methanol Recycling HC'!Z$291)</f>
        <v>2.6315840472447439E-2</v>
      </c>
      <c r="AB88" s="168">
        <f>'Methanol Recycling HC'!AA314/('Methanol Recycling HC'!AA$291)</f>
        <v>2.5340247561286049E-2</v>
      </c>
      <c r="AC88" s="168">
        <f>'Methanol Recycling HC'!AB314/('Methanol Recycling HC'!AB$291)</f>
        <v>2.4378630842164642E-2</v>
      </c>
      <c r="AD88" s="168">
        <f>'Methanol Recycling HC'!AC314/('Methanol Recycling HC'!AC$291)</f>
        <v>2.3431155606342072E-2</v>
      </c>
      <c r="AE88" s="168">
        <f>'Methanol Recycling HC'!AD314/('Methanol Recycling HC'!AD$291)</f>
        <v>2.2497995472105476E-2</v>
      </c>
      <c r="AF88" s="168">
        <f>'Methanol Recycling HC'!AE314/('Methanol Recycling HC'!AE$291)</f>
        <v>2.1579332375158994E-2</v>
      </c>
      <c r="AG88" s="168">
        <f>'Methanol Recycling HC'!AF314/('Methanol Recycling HC'!AF$291)</f>
        <v>2.0675356559025741E-2</v>
      </c>
      <c r="AH88" s="168">
        <f>'Methanol Recycling HC'!AG314/('Methanol Recycling HC'!AG$291)</f>
        <v>1.9786266565463159E-2</v>
      </c>
      <c r="AI88" s="44"/>
      <c r="AJ88" s="168">
        <f>'Methanol Recycling LC'!C314/('Methanol Recycling LC'!C$291)</f>
        <v>4.530568739274228E-2</v>
      </c>
      <c r="AK88" s="168">
        <f>'Methanol Recycling LC'!D314/('Methanol Recycling LC'!D$291)</f>
        <v>4.4497968660434969E-2</v>
      </c>
      <c r="AL88" s="168">
        <f>'Methanol Recycling LC'!E314/('Methanol Recycling LC'!E$291)</f>
        <v>4.3696289026041286E-2</v>
      </c>
      <c r="AM88" s="168">
        <f>'Methanol Recycling LC'!F314/('Methanol Recycling LC'!F$291)</f>
        <v>4.2900626493571896E-2</v>
      </c>
      <c r="AN88" s="168">
        <f>'Methanol Recycling LC'!G314/('Methanol Recycling LC'!G$291)</f>
        <v>4.2110959067037476E-2</v>
      </c>
      <c r="AO88" s="168">
        <f>'Methanol Recycling LC'!H314/('Methanol Recycling LC'!H$291)</f>
        <v>4.1327264750448678E-2</v>
      </c>
      <c r="AP88" s="168">
        <f>'Methanol Recycling LC'!I314/('Methanol Recycling LC'!I$291)</f>
        <v>4.0549521547816159E-2</v>
      </c>
      <c r="AQ88" s="168">
        <f>'Methanol Recycling LC'!J314/('Methanol Recycling LC'!J$291)</f>
        <v>3.977770746315059E-2</v>
      </c>
      <c r="AR88" s="168">
        <f>'Methanol Recycling LC'!K314/('Methanol Recycling LC'!K$291)</f>
        <v>3.9011800500462636E-2</v>
      </c>
      <c r="AS88" s="168">
        <f>'Methanol Recycling LC'!L314/('Methanol Recycling LC'!L$291)</f>
        <v>3.8251778663762948E-2</v>
      </c>
      <c r="AT88" s="168">
        <f>'Methanol Recycling LC'!M314/('Methanol Recycling LC'!M$291)</f>
        <v>3.7497619957062203E-2</v>
      </c>
      <c r="AU88" s="168">
        <f>'Methanol Recycling LC'!N314/('Methanol Recycling LC'!N$291)</f>
        <v>3.6546010674700743E-2</v>
      </c>
      <c r="AV88" s="168">
        <f>'Methanol Recycling LC'!O314/('Methanol Recycling LC'!O$291)</f>
        <v>3.5607085056838725E-2</v>
      </c>
      <c r="AW88" s="168">
        <f>'Methanol Recycling LC'!P314/('Methanol Recycling LC'!P$291)</f>
        <v>3.4681065285948165E-2</v>
      </c>
      <c r="AX88" s="168">
        <f>'Methanol Recycling LC'!Q314/('Methanol Recycling LC'!Q$291)</f>
        <v>3.3767610923734349E-2</v>
      </c>
      <c r="AY88" s="168">
        <f>'Methanol Recycling LC'!R314/('Methanol Recycling LC'!R$291)</f>
        <v>3.2866672981511087E-2</v>
      </c>
      <c r="AZ88" s="168">
        <f>'Methanol Recycling LC'!S314/('Methanol Recycling LC'!S$291)</f>
        <v>3.1978202702361E-2</v>
      </c>
      <c r="BA88" s="168">
        <f>'Methanol Recycling LC'!T314/('Methanol Recycling LC'!T$291)</f>
        <v>3.1102151561028329E-2</v>
      </c>
      <c r="BB88" s="168">
        <f>'Methanol Recycling LC'!U314/('Methanol Recycling LC'!U$291)</f>
        <v>3.0238471263811816E-2</v>
      </c>
      <c r="BC88" s="168">
        <f>'Methanol Recycling LC'!V314/('Methanol Recycling LC'!V$291)</f>
        <v>2.9387113748457573E-2</v>
      </c>
      <c r="BD88" s="168">
        <f>'Methanol Recycling LC'!W314/('Methanol Recycling LC'!W$291)</f>
        <v>2.8548031184052101E-2</v>
      </c>
      <c r="BE88" s="168">
        <f>'Methanol Recycling LC'!X314/('Methanol Recycling LC'!X$291)</f>
        <v>2.7504239285478273E-2</v>
      </c>
      <c r="BF88" s="168">
        <f>'Methanol Recycling LC'!Y314/('Methanol Recycling LC'!Y$291)</f>
        <v>2.6481199461831539E-2</v>
      </c>
      <c r="BG88" s="168">
        <f>'Methanol Recycling LC'!Z314/('Methanol Recycling LC'!Z$291)</f>
        <v>2.5478975850636569E-2</v>
      </c>
      <c r="BH88" s="168">
        <f>'Methanol Recycling LC'!AA314/('Methanol Recycling LC'!AA$291)</f>
        <v>2.4497273347249545E-2</v>
      </c>
      <c r="BI88" s="168">
        <f>'Methanol Recycling LC'!AB314/('Methanol Recycling LC'!AB$291)</f>
        <v>2.3536009916790675E-2</v>
      </c>
      <c r="BJ88" s="168">
        <f>'Methanol Recycling LC'!AC314/('Methanol Recycling LC'!AC$291)</f>
        <v>2.2595104492489755E-2</v>
      </c>
      <c r="BK88" s="168">
        <f>'Methanol Recycling LC'!AD314/('Methanol Recycling LC'!AD$291)</f>
        <v>2.1674476974568525E-2</v>
      </c>
      <c r="BL88" s="168">
        <f>'Methanol Recycling LC'!AE314/('Methanol Recycling LC'!AE$291)</f>
        <v>2.0774048229124511E-2</v>
      </c>
      <c r="BM88" s="168">
        <f>'Methanol Recycling LC'!AF314/('Methanol Recycling LC'!AF$291)</f>
        <v>1.989374008701646E-2</v>
      </c>
      <c r="BN88" s="168">
        <f>'Methanol Recycling LC'!AG314/('Methanol Recycling LC'!AG$291)</f>
        <v>1.9033475342751325E-2</v>
      </c>
      <c r="BP88" s="168">
        <f>'Methanol Recycling HC'!C290/('Methanol Recycling HC'!C$281)</f>
        <v>4.530568739274228E-2</v>
      </c>
      <c r="BQ88" s="168">
        <f>'Methanol Recycling HC'!D290/('Methanol Recycling HC'!D$281)</f>
        <v>4.6047695597257972E-2</v>
      </c>
      <c r="BR88" s="168">
        <f>'Methanol Recycling HC'!E290/('Methanol Recycling HC'!E$281)</f>
        <v>4.6778409535438527E-2</v>
      </c>
      <c r="BS88" s="168">
        <f>'Methanol Recycling HC'!F290/('Methanol Recycling HC'!F$281)</f>
        <v>4.7497790592334291E-2</v>
      </c>
      <c r="BT88" s="168">
        <f>'Methanol Recycling HC'!G290/('Methanol Recycling HC'!G$281)</f>
        <v>4.8205719026538828E-2</v>
      </c>
      <c r="BU88" s="168">
        <f>'Methanol Recycling HC'!H290/('Methanol Recycling HC'!H$281)</f>
        <v>4.8901992248808465E-2</v>
      </c>
      <c r="BV88" s="168">
        <f>'Methanol Recycling HC'!I290/('Methanol Recycling HC'!I$281)</f>
        <v>4.9596685050518785E-2</v>
      </c>
      <c r="BW88" s="168">
        <f>'Methanol Recycling HC'!J290/('Methanol Recycling HC'!J$281)</f>
        <v>5.0289736851971203E-2</v>
      </c>
      <c r="BX88" s="168">
        <f>'Methanol Recycling HC'!K290/('Methanol Recycling HC'!K$281)</f>
        <v>5.0981085524510653E-2</v>
      </c>
      <c r="BY88" s="168">
        <f>'Methanol Recycling HC'!L290/('Methanol Recycling HC'!L$281)</f>
        <v>5.1670667235529044E-2</v>
      </c>
      <c r="BZ88" s="168">
        <f>'Methanol Recycling HC'!M290/('Methanol Recycling HC'!M$281)</f>
        <v>5.235841629080637E-2</v>
      </c>
      <c r="CA88" s="168">
        <f>'Methanol Recycling HC'!N290/('Methanol Recycling HC'!N$281)</f>
        <v>5.3037068671861309E-2</v>
      </c>
      <c r="CB88" s="168">
        <f>'Methanol Recycling HC'!O290/('Methanol Recycling HC'!O$281)</f>
        <v>5.3706293675066567E-2</v>
      </c>
      <c r="CC88" s="168">
        <f>'Methanol Recycling HC'!P290/('Methanol Recycling HC'!P$281)</f>
        <v>5.4365706554136126E-2</v>
      </c>
      <c r="CD88" s="168">
        <f>'Methanol Recycling HC'!Q290/('Methanol Recycling HC'!Q$281)</f>
        <v>5.5014864673429177E-2</v>
      </c>
      <c r="CE88" s="168">
        <f>'Methanol Recycling HC'!R290/('Methanol Recycling HC'!R$281)</f>
        <v>5.5653263080391827E-2</v>
      </c>
      <c r="CF88" s="168">
        <f>'Methanol Recycling HC'!S290/('Methanol Recycling HC'!S$281)</f>
        <v>5.6290136278919399E-2</v>
      </c>
      <c r="CG88" s="168">
        <f>'Methanol Recycling HC'!T290/('Methanol Recycling HC'!T$281)</f>
        <v>5.6925444231209953E-2</v>
      </c>
      <c r="CH88" s="168">
        <f>'Methanol Recycling HC'!U290/('Methanol Recycling HC'!U$281)</f>
        <v>5.7559145973944202E-2</v>
      </c>
      <c r="CI88" s="168">
        <f>'Methanol Recycling HC'!V290/('Methanol Recycling HC'!V$281)</f>
        <v>5.8191199589823071E-2</v>
      </c>
      <c r="CJ88" s="168">
        <f>'Methanol Recycling HC'!W290/('Methanol Recycling HC'!W$281)</f>
        <v>5.8821562178279073E-2</v>
      </c>
      <c r="CK88" s="168">
        <f>'Methanol Recycling HC'!X290/('Methanol Recycling HC'!X$281)</f>
        <v>5.9450255358270317E-2</v>
      </c>
      <c r="CL88" s="168">
        <f>'Methanol Recycling HC'!Y290/('Methanol Recycling HC'!Y$281)</f>
        <v>6.0077237788744346E-2</v>
      </c>
      <c r="CM88" s="168">
        <f>'Methanol Recycling HC'!Z290/('Methanol Recycling HC'!Z$281)</f>
        <v>6.0702467177697263E-2</v>
      </c>
      <c r="CN88" s="168">
        <f>'Methanol Recycling HC'!AA290/('Methanol Recycling HC'!AA$281)</f>
        <v>6.1325900254564851E-2</v>
      </c>
      <c r="CO88" s="168">
        <f>'Methanol Recycling HC'!AB290/('Methanol Recycling HC'!AB$281)</f>
        <v>6.1947492741827349E-2</v>
      </c>
      <c r="CP88" s="168">
        <f>'Methanol Recycling HC'!AC290/('Methanol Recycling HC'!AC$281)</f>
        <v>6.2567260772725675E-2</v>
      </c>
      <c r="CQ88" s="168">
        <f>'Methanol Recycling HC'!AD290/('Methanol Recycling HC'!AD$281)</f>
        <v>6.3185161325873984E-2</v>
      </c>
      <c r="CR88" s="168">
        <f>'Methanol Recycling HC'!AE290/('Methanol Recycling HC'!AE$281)</f>
        <v>6.3801150398969497E-2</v>
      </c>
      <c r="CS88" s="168">
        <f>'Methanol Recycling HC'!AF290/('Methanol Recycling HC'!AF$281)</f>
        <v>6.4415182981655952E-2</v>
      </c>
      <c r="CT88" s="168">
        <f>'Methanol Recycling HC'!AG290/('Methanol Recycling HC'!AG$281)</f>
        <v>6.5027213027630107E-2</v>
      </c>
      <c r="CV88" s="168">
        <f t="shared" si="606"/>
        <v>4.530568739274228E-2</v>
      </c>
      <c r="CW88" s="168">
        <f t="shared" si="576"/>
        <v>4.4497968660434976E-2</v>
      </c>
      <c r="CX88" s="168">
        <f t="shared" si="577"/>
        <v>4.369628902604128E-2</v>
      </c>
      <c r="CY88" s="168">
        <f t="shared" si="578"/>
        <v>4.2900626493571896E-2</v>
      </c>
      <c r="CZ88" s="168">
        <f t="shared" si="579"/>
        <v>4.2110959067037476E-2</v>
      </c>
      <c r="DA88" s="168">
        <f t="shared" si="580"/>
        <v>4.1327264750448678E-2</v>
      </c>
      <c r="DB88" s="168">
        <f t="shared" si="581"/>
        <v>4.0549521547816159E-2</v>
      </c>
      <c r="DC88" s="168">
        <f t="shared" si="582"/>
        <v>3.977770746315059E-2</v>
      </c>
      <c r="DD88" s="168">
        <f t="shared" si="583"/>
        <v>3.9011800500462636E-2</v>
      </c>
      <c r="DE88" s="168">
        <f t="shared" si="584"/>
        <v>3.8251778663762954E-2</v>
      </c>
      <c r="DF88" s="168">
        <f t="shared" si="585"/>
        <v>3.7497619957062203E-2</v>
      </c>
      <c r="DG88" s="168">
        <f t="shared" si="586"/>
        <v>3.6546010674700743E-2</v>
      </c>
      <c r="DH88" s="168">
        <f t="shared" si="587"/>
        <v>3.5607085056838725E-2</v>
      </c>
      <c r="DI88" s="168">
        <f t="shared" si="588"/>
        <v>3.4680917288245905E-2</v>
      </c>
      <c r="DJ88" s="168">
        <f t="shared" si="589"/>
        <v>3.3767301271371571E-2</v>
      </c>
      <c r="DK88" s="168">
        <f t="shared" si="590"/>
        <v>3.2866188007882012E-2</v>
      </c>
      <c r="DL88" s="168">
        <f t="shared" si="591"/>
        <v>3.1977528780687936E-2</v>
      </c>
      <c r="DM88" s="168">
        <f t="shared" si="592"/>
        <v>3.1101275454259756E-2</v>
      </c>
      <c r="DN88" s="168">
        <f t="shared" si="593"/>
        <v>3.0237380378304105E-2</v>
      </c>
      <c r="DO88" s="168">
        <f t="shared" si="594"/>
        <v>2.9385796427149922E-2</v>
      </c>
      <c r="DP88" s="168">
        <f t="shared" si="595"/>
        <v>2.8546476874709938E-2</v>
      </c>
      <c r="DQ88" s="168">
        <f t="shared" si="596"/>
        <v>2.7502381917508839E-2</v>
      </c>
      <c r="DR88" s="168">
        <f t="shared" si="597"/>
        <v>2.6479017263482486E-2</v>
      </c>
      <c r="DS88" s="168">
        <f t="shared" si="598"/>
        <v>2.547575807242761E-2</v>
      </c>
      <c r="DT88" s="168">
        <f t="shared" si="599"/>
        <v>2.4492930267105115E-2</v>
      </c>
      <c r="DU88" s="168">
        <f t="shared" si="600"/>
        <v>2.353045236585841E-2</v>
      </c>
      <c r="DV88" s="168">
        <f t="shared" si="601"/>
        <v>2.2588241795051034E-2</v>
      </c>
      <c r="DW88" s="168">
        <f t="shared" si="602"/>
        <v>2.1666214215835911E-2</v>
      </c>
      <c r="DX88" s="168">
        <f t="shared" si="603"/>
        <v>2.076428329733104E-2</v>
      </c>
      <c r="DY88" s="168">
        <f t="shared" si="604"/>
        <v>1.9882361560897906E-2</v>
      </c>
      <c r="DZ88" s="168">
        <f t="shared" si="605"/>
        <v>1.9020362655183049E-2</v>
      </c>
    </row>
    <row r="89" spans="1:165" s="624" customFormat="1" ht="16" thickBot="1">
      <c r="A89" s="623" t="s">
        <v>463</v>
      </c>
      <c r="C89" s="625" t="s">
        <v>413</v>
      </c>
      <c r="D89" s="627">
        <f>SUMPRODUCT(D70:D78,D80:D88)</f>
        <v>0.9550017093678278</v>
      </c>
      <c r="E89" s="627">
        <f t="shared" ref="E89" si="607">SUMPRODUCT(E70:E78,E80:E88)</f>
        <v>0.96549877057818201</v>
      </c>
      <c r="F89" s="627">
        <f t="shared" ref="F89" si="608">SUMPRODUCT(F70:F78,F80:F88)</f>
        <v>0.96246510297763854</v>
      </c>
      <c r="G89" s="627">
        <f t="shared" ref="G89" si="609">SUMPRODUCT(G70:G78,G80:G88)</f>
        <v>0.95945240879989913</v>
      </c>
      <c r="H89" s="627">
        <f t="shared" ref="H89" si="610">SUMPRODUCT(H70:H78,H80:H88)</f>
        <v>0.95643764378815355</v>
      </c>
      <c r="I89" s="627">
        <f t="shared" ref="I89" si="611">SUMPRODUCT(I70:I78,I80:I88)</f>
        <v>0.95338202283883366</v>
      </c>
      <c r="J89" s="627">
        <f t="shared" ref="J89" si="612">SUMPRODUCT(J70:J78,J80:J88)</f>
        <v>0.95021707316545956</v>
      </c>
      <c r="K89" s="627">
        <f t="shared" ref="K89" si="613">SUMPRODUCT(K70:K78,K80:K88)</f>
        <v>0.94681981453741471</v>
      </c>
      <c r="L89" s="627">
        <f t="shared" ref="L89" si="614">SUMPRODUCT(L70:L78,L80:L88)</f>
        <v>0.94297113955703338</v>
      </c>
      <c r="M89" s="627">
        <f t="shared" ref="M89" si="615">SUMPRODUCT(M70:M78,M80:M88)</f>
        <v>0.93829216943943905</v>
      </c>
      <c r="N89" s="627">
        <f t="shared" ref="N89" si="616">SUMPRODUCT(N70:N78,N80:N88)</f>
        <v>0.93216409650204302</v>
      </c>
      <c r="O89" s="627">
        <f t="shared" ref="O89" si="617">SUMPRODUCT(O70:O78,O80:O88)</f>
        <v>0.92129707729122734</v>
      </c>
      <c r="P89" s="627">
        <f t="shared" ref="P89" si="618">SUMPRODUCT(P70:P78,P80:P88)</f>
        <v>0.90666728654659945</v>
      </c>
      <c r="Q89" s="627">
        <f t="shared" ref="Q89" si="619">SUMPRODUCT(Q70:Q78,Q80:Q88)</f>
        <v>0.8868531797282766</v>
      </c>
      <c r="R89" s="627">
        <f t="shared" ref="R89" si="620">SUMPRODUCT(R70:R78,R80:R88)</f>
        <v>0.86065714203027355</v>
      </c>
      <c r="S89" s="627">
        <f t="shared" ref="S89" si="621">SUMPRODUCT(S70:S78,S80:S88)</f>
        <v>0.82766244321171323</v>
      </c>
      <c r="T89" s="627">
        <f t="shared" ref="T89" si="622">SUMPRODUCT(T70:T78,T80:T88)</f>
        <v>0.78864131840601814</v>
      </c>
      <c r="U89" s="627">
        <f t="shared" ref="U89" si="623">SUMPRODUCT(U70:U78,U80:U88)</f>
        <v>0.74552681581805957</v>
      </c>
      <c r="V89" s="627">
        <f t="shared" ref="V89" si="624">SUMPRODUCT(V70:V78,V80:V88)</f>
        <v>0.70085842040822743</v>
      </c>
      <c r="W89" s="627">
        <f t="shared" ref="W89" si="625">SUMPRODUCT(W70:W78,W80:W88)</f>
        <v>0.65703485120043914</v>
      </c>
      <c r="X89" s="627">
        <f t="shared" ref="X89" si="626">SUMPRODUCT(X70:X78,X80:X88)</f>
        <v>0.61577029826663443</v>
      </c>
      <c r="Y89" s="627">
        <f t="shared" ref="Y89" si="627">SUMPRODUCT(Y70:Y78,Y80:Y88)</f>
        <v>0.57522438280541022</v>
      </c>
      <c r="Z89" s="627">
        <f t="shared" ref="Z89" si="628">SUMPRODUCT(Z70:Z78,Z80:Z88)</f>
        <v>0.53840926437254466</v>
      </c>
      <c r="AA89" s="627">
        <f t="shared" ref="AA89" si="629">SUMPRODUCT(AA70:AA78,AA80:AA88)</f>
        <v>0.50502131706871756</v>
      </c>
      <c r="AB89" s="627">
        <f t="shared" ref="AB89" si="630">SUMPRODUCT(AB70:AB78,AB80:AB88)</f>
        <v>0.4745375213149281</v>
      </c>
      <c r="AC89" s="627">
        <f t="shared" ref="AC89" si="631">SUMPRODUCT(AC70:AC78,AC80:AC88)</f>
        <v>0.4463796570069985</v>
      </c>
      <c r="AD89" s="627">
        <f t="shared" ref="AD89" si="632">SUMPRODUCT(AD70:AD78,AD80:AD88)</f>
        <v>0.41999478816485203</v>
      </c>
      <c r="AE89" s="627">
        <f t="shared" ref="AE89" si="633">SUMPRODUCT(AE70:AE78,AE80:AE88)</f>
        <v>0.39488192326050819</v>
      </c>
      <c r="AF89" s="627">
        <f t="shared" ref="AF89" si="634">SUMPRODUCT(AF70:AF78,AF80:AF88)</f>
        <v>0.37059134579727726</v>
      </c>
      <c r="AG89" s="627">
        <f t="shared" ref="AG89" si="635">SUMPRODUCT(AG70:AG78,AG80:AG88)</f>
        <v>0.3467241878838459</v>
      </c>
      <c r="AH89" s="627">
        <f t="shared" ref="AH89" si="636">SUMPRODUCT(AH70:AH78,AH80:AH88)</f>
        <v>0.32295131486214479</v>
      </c>
      <c r="AI89" s="626"/>
      <c r="AJ89" s="627">
        <f>SUMPRODUCT(AJ70:AJ78,AJ80:AJ88)</f>
        <v>0.95500135462922764</v>
      </c>
      <c r="AK89" s="627">
        <f t="shared" ref="AK89" si="637">SUMPRODUCT(AK70:AK78,AK80:AK88)</f>
        <v>0.95161000235686444</v>
      </c>
      <c r="AL89" s="627">
        <f t="shared" ref="AL89" si="638">SUMPRODUCT(AL70:AL78,AL80:AL88)</f>
        <v>0.94829388145884363</v>
      </c>
      <c r="AM89" s="627">
        <f t="shared" ref="AM89" si="639">SUMPRODUCT(AM70:AM78,AM80:AM88)</f>
        <v>0.94504202843321838</v>
      </c>
      <c r="AN89" s="627">
        <f t="shared" ref="AN89" si="640">SUMPRODUCT(AN70:AN78,AN80:AN88)</f>
        <v>0.94183515709823129</v>
      </c>
      <c r="AO89" s="627">
        <f t="shared" ref="AO89" si="641">SUMPRODUCT(AO70:AO78,AO80:AO88)</f>
        <v>0.93863792953938319</v>
      </c>
      <c r="AP89" s="627">
        <f t="shared" ref="AP89" si="642">SUMPRODUCT(AP70:AP78,AP80:AP88)</f>
        <v>0.9353846902932168</v>
      </c>
      <c r="AQ89" s="627">
        <f t="shared" ref="AQ89" si="643">SUMPRODUCT(AQ70:AQ78,AQ80:AQ88)</f>
        <v>0.93195417031675731</v>
      </c>
      <c r="AR89" s="627">
        <f t="shared" ref="AR89" si="644">SUMPRODUCT(AR70:AR78,AR80:AR88)</f>
        <v>0.92812723055506741</v>
      </c>
      <c r="AS89" s="627">
        <f t="shared" ref="AS89" si="645">SUMPRODUCT(AS70:AS78,AS80:AS88)</f>
        <v>0.92352250607885433</v>
      </c>
      <c r="AT89" s="627">
        <f t="shared" ref="AT89" si="646">SUMPRODUCT(AT70:AT78,AT80:AT88)</f>
        <v>0.91751406635192767</v>
      </c>
      <c r="AU89" s="627">
        <f t="shared" ref="AU89" si="647">SUMPRODUCT(AU70:AU78,AU80:AU88)</f>
        <v>0.90577713976462015</v>
      </c>
      <c r="AV89" s="627">
        <f t="shared" ref="AV89" si="648">SUMPRODUCT(AV70:AV78,AV80:AV88)</f>
        <v>0.89030381894197275</v>
      </c>
      <c r="AW89" s="627">
        <f t="shared" ref="AW89" si="649">SUMPRODUCT(AW70:AW78,AW80:AW88)</f>
        <v>0.86969389096232974</v>
      </c>
      <c r="AX89" s="627">
        <f t="shared" ref="AX89" si="650">SUMPRODUCT(AX70:AX78,AX80:AX88)</f>
        <v>0.84277400543689307</v>
      </c>
      <c r="AY89" s="627">
        <f t="shared" ref="AY89" si="651">SUMPRODUCT(AY70:AY78,AY80:AY88)</f>
        <v>0.80915390394393905</v>
      </c>
      <c r="AZ89" s="627">
        <f t="shared" ref="AZ89" si="652">SUMPRODUCT(AZ70:AZ78,AZ80:AZ88)</f>
        <v>0.76963243095780542</v>
      </c>
      <c r="BA89" s="627">
        <f t="shared" ref="BA89" si="653">SUMPRODUCT(BA70:BA78,BA80:BA88)</f>
        <v>0.72616684661097564</v>
      </c>
      <c r="BB89" s="627">
        <f t="shared" ref="BB89" si="654">SUMPRODUCT(BB70:BB78,BB80:BB88)</f>
        <v>0.68132664201529569</v>
      </c>
      <c r="BC89" s="627">
        <f t="shared" ref="BC89" si="655">SUMPRODUCT(BC70:BC78,BC80:BC88)</f>
        <v>0.63754493133600854</v>
      </c>
      <c r="BD89" s="627">
        <f t="shared" ref="BD89" si="656">SUMPRODUCT(BD70:BD78,BD80:BD88)</f>
        <v>0.59656535310933601</v>
      </c>
      <c r="BE89" s="627">
        <f t="shared" ref="BE89" si="657">SUMPRODUCT(BE70:BE78,BE80:BE88)</f>
        <v>0.55573813524610127</v>
      </c>
      <c r="BF89" s="627">
        <f t="shared" ref="BF89" si="658">SUMPRODUCT(BF70:BF78,BF80:BF88)</f>
        <v>0.51897390419340028</v>
      </c>
      <c r="BG89" s="627">
        <f t="shared" ref="BG89" si="659">SUMPRODUCT(BG70:BG78,BG80:BG88)</f>
        <v>0.48591628684065236</v>
      </c>
      <c r="BH89" s="627">
        <f t="shared" ref="BH89" si="660">SUMPRODUCT(BH70:BH78,BH80:BH88)</f>
        <v>0.45598483905971909</v>
      </c>
      <c r="BI89" s="627">
        <f t="shared" ref="BI89" si="661">SUMPRODUCT(BI70:BI78,BI80:BI88)</f>
        <v>0.4285545926114086</v>
      </c>
      <c r="BJ89" s="627">
        <f t="shared" ref="BJ89" si="662">SUMPRODUCT(BJ70:BJ78,BJ80:BJ88)</f>
        <v>0.40304335558265575</v>
      </c>
      <c r="BK89" s="627">
        <f t="shared" ref="BK89" si="663">SUMPRODUCT(BK70:BK78,BK80:BK88)</f>
        <v>0.37907669334474214</v>
      </c>
      <c r="BL89" s="627">
        <f t="shared" ref="BL89" si="664">SUMPRODUCT(BL70:BL78,BL80:BL88)</f>
        <v>0.35604802845292566</v>
      </c>
      <c r="BM89" s="627">
        <f t="shared" ref="BM89" si="665">SUMPRODUCT(BM70:BM78,BM80:BM88)</f>
        <v>0.33350398865089875</v>
      </c>
      <c r="BN89" s="627">
        <f t="shared" ref="BN89" si="666">SUMPRODUCT(BN70:BN78,BN80:BN88)</f>
        <v>0.31112850761014355</v>
      </c>
      <c r="BP89" s="627">
        <f>SUMPRODUCT(BP70:BP78,BP80:BP88)</f>
        <v>0.95500964634628061</v>
      </c>
      <c r="BQ89" s="627">
        <f t="shared" ref="BQ89" si="667">SUMPRODUCT(BQ70:BQ78,BQ80:BQ88)</f>
        <v>0.96659886462602651</v>
      </c>
      <c r="BR89" s="627">
        <f t="shared" ref="BR89" si="668">SUMPRODUCT(BR70:BR78,BR80:BR88)</f>
        <v>0.97808028741683661</v>
      </c>
      <c r="BS89" s="627">
        <f t="shared" ref="BS89" si="669">SUMPRODUCT(BS70:BS78,BS80:BS88)</f>
        <v>0.9894503285506262</v>
      </c>
      <c r="BT89" s="627">
        <f t="shared" ref="BT89" si="670">SUMPRODUCT(BT70:BT78,BT80:BT88)</f>
        <v>1.0007046896005618</v>
      </c>
      <c r="BU89" s="627">
        <f t="shared" ref="BU89" si="671">SUMPRODUCT(BU70:BU78,BU80:BU88)</f>
        <v>1.0118382999855642</v>
      </c>
      <c r="BV89" s="627">
        <f t="shared" ref="BV89" si="672">SUMPRODUCT(BV70:BV78,BV80:BV88)</f>
        <v>1.0229586968969255</v>
      </c>
      <c r="BW89" s="627">
        <f t="shared" ref="BW89" si="673">SUMPRODUCT(BW70:BW78,BW80:BW88)</f>
        <v>1.0340647180169054</v>
      </c>
      <c r="BX89" s="627">
        <f t="shared" ref="BX89" si="674">SUMPRODUCT(BX70:BX78,BX80:BX88)</f>
        <v>1.0451551933307393</v>
      </c>
      <c r="BY89" s="627">
        <f t="shared" ref="BY89" si="675">SUMPRODUCT(BY70:BY78,BY80:BY88)</f>
        <v>1.0562289422703597</v>
      </c>
      <c r="BZ89" s="627">
        <f t="shared" ref="BZ89" si="676">SUMPRODUCT(BZ70:BZ78,BZ80:BZ88)</f>
        <v>1.0672847708546638</v>
      </c>
      <c r="CA89" s="627">
        <f t="shared" ref="CA89" si="677">SUMPRODUCT(CA70:CA78,CA80:CA88)</f>
        <v>1.0782402969528435</v>
      </c>
      <c r="CB89" s="627">
        <f t="shared" ref="CB89" si="678">SUMPRODUCT(CB70:CB78,CB80:CB88)</f>
        <v>1.089090006382188</v>
      </c>
      <c r="CC89" s="627">
        <f t="shared" ref="CC89" si="679">SUMPRODUCT(CC70:CC78,CC80:CC88)</f>
        <v>1.0998277764089219</v>
      </c>
      <c r="CD89" s="627">
        <f t="shared" ref="CD89" si="680">SUMPRODUCT(CD70:CD78,CD80:CD88)</f>
        <v>1.110446815399369</v>
      </c>
      <c r="CE89" s="627">
        <f t="shared" ref="CE89" si="681">SUMPRODUCT(CE70:CE78,CE80:CE88)</f>
        <v>1.120939595637358</v>
      </c>
      <c r="CF89" s="627">
        <f t="shared" ref="CF89" si="682">SUMPRODUCT(CF70:CF78,CF80:CF88)</f>
        <v>1.131411266971744</v>
      </c>
      <c r="CG89" s="627">
        <f t="shared" ref="CG89" si="683">SUMPRODUCT(CG70:CG78,CG80:CG88)</f>
        <v>1.1418612366882477</v>
      </c>
      <c r="CH89" s="627">
        <f t="shared" ref="CH89" si="684">SUMPRODUCT(CH70:CH78,CH80:CH88)</f>
        <v>1.1522888986531585</v>
      </c>
      <c r="CI89" s="627">
        <f t="shared" ref="CI89" si="685">SUMPRODUCT(CI70:CI78,CI80:CI88)</f>
        <v>1.1626936328887196</v>
      </c>
      <c r="CJ89" s="627">
        <f t="shared" ref="CJ89" si="686">SUMPRODUCT(CJ70:CJ78,CJ80:CJ88)</f>
        <v>1.1730748051362814</v>
      </c>
      <c r="CK89" s="627">
        <f t="shared" ref="CK89" si="687">SUMPRODUCT(CK70:CK78,CK80:CK88)</f>
        <v>1.1834325418113787</v>
      </c>
      <c r="CL89" s="627">
        <f t="shared" ref="CL89" si="688">SUMPRODUCT(CL70:CL78,CL80:CL88)</f>
        <v>1.1937662312485047</v>
      </c>
      <c r="CM89" s="627">
        <f t="shared" ref="CM89" si="689">SUMPRODUCT(CM70:CM78,CM80:CM88)</f>
        <v>1.2040752478773378</v>
      </c>
      <c r="CN89" s="627">
        <f t="shared" ref="CN89" si="690">SUMPRODUCT(CN70:CN78,CN80:CN88)</f>
        <v>1.214358951810327</v>
      </c>
      <c r="CO89" s="627">
        <f t="shared" ref="CO89" si="691">SUMPRODUCT(CO70:CO78,CO80:CO88)</f>
        <v>1.2246166884185627</v>
      </c>
      <c r="CP89" s="627">
        <f t="shared" ref="CP89" si="692">SUMPRODUCT(CP70:CP78,CP80:CP88)</f>
        <v>1.2348485292276683</v>
      </c>
      <c r="CQ89" s="627">
        <f t="shared" ref="CQ89" si="693">SUMPRODUCT(CQ70:CQ78,CQ80:CQ88)</f>
        <v>1.2450538374948112</v>
      </c>
      <c r="CR89" s="627">
        <f t="shared" ref="CR89" si="694">SUMPRODUCT(CR70:CR78,CR80:CR88)</f>
        <v>1.2552319620401042</v>
      </c>
      <c r="CS89" s="627">
        <f t="shared" ref="CS89" si="695">SUMPRODUCT(CS70:CS78,CS80:CS88)</f>
        <v>1.2653822368405367</v>
      </c>
      <c r="CT89" s="627">
        <f t="shared" ref="CT89" si="696">SUMPRODUCT(CT70:CT78,CT80:CT88)</f>
        <v>1.2755039806125876</v>
      </c>
      <c r="CV89" s="627">
        <f>SUMPRODUCT(CV70:CV78,CV80:CV88)</f>
        <v>0.95500135462922764</v>
      </c>
      <c r="CW89" s="627">
        <f t="shared" ref="CW89:DZ89" si="697">SUMPRODUCT(CW70:CW78,CW80:CW88)</f>
        <v>0.95161000235686455</v>
      </c>
      <c r="CX89" s="627">
        <f t="shared" si="697"/>
        <v>0.94829388145884363</v>
      </c>
      <c r="CY89" s="627">
        <f t="shared" si="697"/>
        <v>0.94504202843321838</v>
      </c>
      <c r="CZ89" s="627">
        <f t="shared" si="697"/>
        <v>0.94183515709823129</v>
      </c>
      <c r="DA89" s="627">
        <f t="shared" si="697"/>
        <v>0.93863792953938308</v>
      </c>
      <c r="DB89" s="627">
        <f t="shared" si="697"/>
        <v>0.9353846902932168</v>
      </c>
      <c r="DC89" s="627">
        <f t="shared" si="697"/>
        <v>0.93195417031675731</v>
      </c>
      <c r="DD89" s="627">
        <f t="shared" si="697"/>
        <v>0.92812723055506741</v>
      </c>
      <c r="DE89" s="627">
        <f t="shared" si="697"/>
        <v>0.92352250607885433</v>
      </c>
      <c r="DF89" s="627">
        <f t="shared" si="697"/>
        <v>0.91751406635192767</v>
      </c>
      <c r="DG89" s="627">
        <f t="shared" si="697"/>
        <v>0.90577713976462015</v>
      </c>
      <c r="DH89" s="627">
        <f t="shared" si="697"/>
        <v>0.89030381894197275</v>
      </c>
      <c r="DI89" s="627">
        <f t="shared" si="697"/>
        <v>0.86969462627874972</v>
      </c>
      <c r="DJ89" s="627">
        <f t="shared" si="697"/>
        <v>0.84277532952304424</v>
      </c>
      <c r="DK89" s="627">
        <f t="shared" si="697"/>
        <v>0.80915576280192414</v>
      </c>
      <c r="DL89" s="627">
        <f t="shared" si="697"/>
        <v>0.76963483678173905</v>
      </c>
      <c r="DM89" s="627">
        <f t="shared" si="697"/>
        <v>0.72616980295434641</v>
      </c>
      <c r="DN89" s="627">
        <f t="shared" si="697"/>
        <v>0.68133003796300329</v>
      </c>
      <c r="DO89" s="627">
        <f t="shared" si="697"/>
        <v>0.63754845391339499</v>
      </c>
      <c r="DP89" s="627">
        <f t="shared" si="697"/>
        <v>0.59656844479739524</v>
      </c>
      <c r="DQ89" s="627">
        <f t="shared" si="697"/>
        <v>0.55573930850633591</v>
      </c>
      <c r="DR89" s="627">
        <f t="shared" si="697"/>
        <v>0.51897190678660055</v>
      </c>
      <c r="DS89" s="627">
        <f t="shared" si="697"/>
        <v>0.48590271591933809</v>
      </c>
      <c r="DT89" s="627">
        <f t="shared" si="697"/>
        <v>0.45595637538091188</v>
      </c>
      <c r="DU89" s="627">
        <f t="shared" si="697"/>
        <v>0.4285074607054683</v>
      </c>
      <c r="DV89" s="627">
        <f t="shared" si="697"/>
        <v>0.40297333311246553</v>
      </c>
      <c r="DW89" s="627">
        <f t="shared" si="697"/>
        <v>0.37897941940574453</v>
      </c>
      <c r="DX89" s="627">
        <f t="shared" si="697"/>
        <v>0.35591823500562747</v>
      </c>
      <c r="DY89" s="627">
        <f t="shared" si="697"/>
        <v>0.33333546043352291</v>
      </c>
      <c r="DZ89" s="627">
        <f t="shared" si="697"/>
        <v>0.310914162576438</v>
      </c>
      <c r="EK89" s="627"/>
      <c r="EL89" s="627"/>
      <c r="EM89" s="627"/>
      <c r="EN89" s="627"/>
      <c r="EO89" s="627"/>
      <c r="EP89" s="627"/>
      <c r="EQ89" s="627"/>
      <c r="ER89" s="627"/>
      <c r="ES89" s="627"/>
      <c r="ET89" s="627"/>
      <c r="EU89" s="627"/>
      <c r="EV89" s="627"/>
      <c r="EW89" s="627"/>
      <c r="EX89" s="627"/>
      <c r="EY89" s="627"/>
      <c r="EZ89" s="627"/>
      <c r="FA89" s="627"/>
      <c r="FB89" s="627"/>
      <c r="FC89" s="627"/>
      <c r="FD89" s="627"/>
      <c r="FE89" s="627"/>
      <c r="FF89" s="627"/>
      <c r="FG89" s="627"/>
      <c r="FH89" s="627"/>
      <c r="FI89" s="627"/>
    </row>
    <row r="90" spans="1:165">
      <c r="A90" s="112"/>
      <c r="C90" s="5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row>
    <row r="91" spans="1:165" s="69" customFormat="1" ht="16" thickBot="1">
      <c r="A91" s="621" t="s">
        <v>7</v>
      </c>
      <c r="C91" s="70"/>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P91" s="71"/>
      <c r="BQ91" s="71"/>
      <c r="BR91" s="71"/>
      <c r="BS91" s="71"/>
      <c r="BT91" s="71"/>
      <c r="BU91" s="71"/>
      <c r="BV91" s="71"/>
      <c r="BW91" s="71"/>
      <c r="BX91" s="71"/>
      <c r="BY91" s="71"/>
      <c r="BZ91" s="71"/>
      <c r="CA91" s="71"/>
      <c r="CB91" s="71"/>
      <c r="CC91" s="71"/>
      <c r="CD91" s="71"/>
      <c r="CE91" s="71"/>
      <c r="CF91" s="71"/>
      <c r="CG91" s="71"/>
      <c r="CH91" s="71"/>
      <c r="CI91" s="71"/>
      <c r="CJ91" s="71"/>
      <c r="CK91" s="71"/>
      <c r="CL91" s="71"/>
      <c r="CM91" s="71"/>
      <c r="CN91" s="71"/>
      <c r="CO91" s="71"/>
      <c r="CP91" s="71"/>
      <c r="CQ91" s="71"/>
      <c r="CR91" s="71"/>
      <c r="CS91" s="71"/>
      <c r="CT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1"/>
      <c r="DV91" s="71"/>
      <c r="DW91" s="71"/>
      <c r="DX91" s="71"/>
      <c r="DY91" s="71"/>
      <c r="DZ91" s="71"/>
      <c r="EK91" s="622"/>
      <c r="EL91" s="622"/>
      <c r="EM91" s="622"/>
      <c r="EN91" s="622"/>
      <c r="EO91" s="622"/>
      <c r="EP91" s="622"/>
      <c r="EQ91" s="622"/>
      <c r="ER91" s="622"/>
      <c r="ES91" s="622"/>
      <c r="ET91" s="622"/>
      <c r="EU91" s="622"/>
      <c r="EV91" s="622"/>
      <c r="EW91" s="622"/>
      <c r="EX91" s="622"/>
      <c r="EY91" s="622"/>
      <c r="EZ91" s="622"/>
      <c r="FA91" s="622"/>
      <c r="FB91" s="622"/>
      <c r="FC91" s="622"/>
      <c r="FD91" s="622"/>
      <c r="FE91" s="622"/>
      <c r="FF91" s="622"/>
      <c r="FG91" s="622"/>
      <c r="FH91" s="622"/>
      <c r="FI91" s="622"/>
    </row>
    <row r="92" spans="1:165" s="624" customFormat="1" ht="16" thickBot="1">
      <c r="A92" s="623" t="s">
        <v>108</v>
      </c>
      <c r="C92" s="625"/>
      <c r="D92" s="628">
        <v>2020</v>
      </c>
      <c r="E92" s="628">
        <v>2021</v>
      </c>
      <c r="F92" s="628">
        <v>2022</v>
      </c>
      <c r="G92" s="628">
        <v>2023</v>
      </c>
      <c r="H92" s="628">
        <v>2024</v>
      </c>
      <c r="I92" s="628">
        <v>2025</v>
      </c>
      <c r="J92" s="628">
        <v>2026</v>
      </c>
      <c r="K92" s="628">
        <v>2027</v>
      </c>
      <c r="L92" s="628">
        <v>2028</v>
      </c>
      <c r="M92" s="628">
        <v>2029</v>
      </c>
      <c r="N92" s="628">
        <v>2030</v>
      </c>
      <c r="O92" s="628">
        <v>2031</v>
      </c>
      <c r="P92" s="628">
        <v>2032</v>
      </c>
      <c r="Q92" s="628">
        <v>2033</v>
      </c>
      <c r="R92" s="628">
        <v>2034</v>
      </c>
      <c r="S92" s="628">
        <v>2035</v>
      </c>
      <c r="T92" s="628">
        <v>2036</v>
      </c>
      <c r="U92" s="628">
        <v>2037</v>
      </c>
      <c r="V92" s="628">
        <v>2038</v>
      </c>
      <c r="W92" s="628">
        <v>2039</v>
      </c>
      <c r="X92" s="628">
        <v>2040</v>
      </c>
      <c r="Y92" s="628">
        <v>2041</v>
      </c>
      <c r="Z92" s="628">
        <v>2042</v>
      </c>
      <c r="AA92" s="628">
        <v>2043</v>
      </c>
      <c r="AB92" s="628">
        <v>2044</v>
      </c>
      <c r="AC92" s="628">
        <v>2045</v>
      </c>
      <c r="AD92" s="628">
        <v>2046</v>
      </c>
      <c r="AE92" s="628">
        <v>2047</v>
      </c>
      <c r="AF92" s="628">
        <v>2048</v>
      </c>
      <c r="AG92" s="628">
        <v>2049</v>
      </c>
      <c r="AH92" s="628">
        <v>2050</v>
      </c>
      <c r="AI92" s="626"/>
      <c r="AJ92" s="628">
        <v>2020</v>
      </c>
      <c r="AK92" s="628">
        <v>2021</v>
      </c>
      <c r="AL92" s="628">
        <v>2022</v>
      </c>
      <c r="AM92" s="628">
        <v>2023</v>
      </c>
      <c r="AN92" s="628">
        <v>2024</v>
      </c>
      <c r="AO92" s="628">
        <v>2025</v>
      </c>
      <c r="AP92" s="628">
        <v>2026</v>
      </c>
      <c r="AQ92" s="628">
        <v>2027</v>
      </c>
      <c r="AR92" s="628">
        <v>2028</v>
      </c>
      <c r="AS92" s="628">
        <v>2029</v>
      </c>
      <c r="AT92" s="628">
        <v>2030</v>
      </c>
      <c r="AU92" s="628">
        <v>2031</v>
      </c>
      <c r="AV92" s="628">
        <v>2032</v>
      </c>
      <c r="AW92" s="628">
        <v>2033</v>
      </c>
      <c r="AX92" s="628">
        <v>2034</v>
      </c>
      <c r="AY92" s="628">
        <v>2035</v>
      </c>
      <c r="AZ92" s="628">
        <v>2036</v>
      </c>
      <c r="BA92" s="628">
        <v>2037</v>
      </c>
      <c r="BB92" s="628">
        <v>2038</v>
      </c>
      <c r="BC92" s="628">
        <v>2039</v>
      </c>
      <c r="BD92" s="628">
        <v>2040</v>
      </c>
      <c r="BE92" s="628">
        <v>2041</v>
      </c>
      <c r="BF92" s="628">
        <v>2042</v>
      </c>
      <c r="BG92" s="628">
        <v>2043</v>
      </c>
      <c r="BH92" s="628">
        <v>2044</v>
      </c>
      <c r="BI92" s="628">
        <v>2045</v>
      </c>
      <c r="BJ92" s="628">
        <v>2046</v>
      </c>
      <c r="BK92" s="628">
        <v>2047</v>
      </c>
      <c r="BL92" s="628">
        <v>2048</v>
      </c>
      <c r="BM92" s="628">
        <v>2049</v>
      </c>
      <c r="BN92" s="628">
        <v>2050</v>
      </c>
      <c r="BP92" s="628">
        <v>2020</v>
      </c>
      <c r="BQ92" s="628">
        <v>2021</v>
      </c>
      <c r="BR92" s="628">
        <v>2022</v>
      </c>
      <c r="BS92" s="628">
        <v>2023</v>
      </c>
      <c r="BT92" s="628">
        <v>2024</v>
      </c>
      <c r="BU92" s="628">
        <v>2025</v>
      </c>
      <c r="BV92" s="628">
        <v>2026</v>
      </c>
      <c r="BW92" s="628">
        <v>2027</v>
      </c>
      <c r="BX92" s="628">
        <v>2028</v>
      </c>
      <c r="BY92" s="628">
        <v>2029</v>
      </c>
      <c r="BZ92" s="628">
        <v>2030</v>
      </c>
      <c r="CA92" s="628">
        <v>2031</v>
      </c>
      <c r="CB92" s="628">
        <v>2032</v>
      </c>
      <c r="CC92" s="628">
        <v>2033</v>
      </c>
      <c r="CD92" s="628">
        <v>2034</v>
      </c>
      <c r="CE92" s="628">
        <v>2035</v>
      </c>
      <c r="CF92" s="628">
        <v>2036</v>
      </c>
      <c r="CG92" s="628">
        <v>2037</v>
      </c>
      <c r="CH92" s="628">
        <v>2038</v>
      </c>
      <c r="CI92" s="628">
        <v>2039</v>
      </c>
      <c r="CJ92" s="628">
        <v>2040</v>
      </c>
      <c r="CK92" s="628">
        <v>2041</v>
      </c>
      <c r="CL92" s="628">
        <v>2042</v>
      </c>
      <c r="CM92" s="628">
        <v>2043</v>
      </c>
      <c r="CN92" s="628">
        <v>2044</v>
      </c>
      <c r="CO92" s="628">
        <v>2045</v>
      </c>
      <c r="CP92" s="628">
        <v>2046</v>
      </c>
      <c r="CQ92" s="628">
        <v>2047</v>
      </c>
      <c r="CR92" s="628">
        <v>2048</v>
      </c>
      <c r="CS92" s="628">
        <v>2049</v>
      </c>
      <c r="CT92" s="628">
        <v>2050</v>
      </c>
      <c r="CV92" s="628">
        <v>2020</v>
      </c>
      <c r="CW92" s="628">
        <v>2021</v>
      </c>
      <c r="CX92" s="628">
        <v>2022</v>
      </c>
      <c r="CY92" s="628">
        <v>2023</v>
      </c>
      <c r="CZ92" s="628">
        <v>2024</v>
      </c>
      <c r="DA92" s="628">
        <v>2025</v>
      </c>
      <c r="DB92" s="628">
        <v>2026</v>
      </c>
      <c r="DC92" s="628">
        <v>2027</v>
      </c>
      <c r="DD92" s="628">
        <v>2028</v>
      </c>
      <c r="DE92" s="628">
        <v>2029</v>
      </c>
      <c r="DF92" s="628">
        <v>2030</v>
      </c>
      <c r="DG92" s="628">
        <v>2031</v>
      </c>
      <c r="DH92" s="628">
        <v>2032</v>
      </c>
      <c r="DI92" s="628">
        <v>2033</v>
      </c>
      <c r="DJ92" s="628">
        <v>2034</v>
      </c>
      <c r="DK92" s="628">
        <v>2035</v>
      </c>
      <c r="DL92" s="628">
        <v>2036</v>
      </c>
      <c r="DM92" s="628">
        <v>2037</v>
      </c>
      <c r="DN92" s="628">
        <v>2038</v>
      </c>
      <c r="DO92" s="628">
        <v>2039</v>
      </c>
      <c r="DP92" s="628">
        <v>2040</v>
      </c>
      <c r="DQ92" s="628">
        <v>2041</v>
      </c>
      <c r="DR92" s="628">
        <v>2042</v>
      </c>
      <c r="DS92" s="628">
        <v>2043</v>
      </c>
      <c r="DT92" s="628">
        <v>2044</v>
      </c>
      <c r="DU92" s="628">
        <v>2045</v>
      </c>
      <c r="DV92" s="628">
        <v>2046</v>
      </c>
      <c r="DW92" s="628">
        <v>2047</v>
      </c>
      <c r="DX92" s="628">
        <v>2048</v>
      </c>
      <c r="DY92" s="628">
        <v>2049</v>
      </c>
      <c r="DZ92" s="628">
        <v>2050</v>
      </c>
      <c r="EK92" s="627"/>
      <c r="EL92" s="627"/>
      <c r="EM92" s="627"/>
      <c r="EN92" s="627"/>
      <c r="EO92" s="627"/>
      <c r="EP92" s="627"/>
      <c r="EQ92" s="627"/>
      <c r="ER92" s="627"/>
      <c r="ES92" s="627"/>
      <c r="ET92" s="627"/>
      <c r="EU92" s="627"/>
      <c r="EV92" s="627"/>
      <c r="EW92" s="627"/>
      <c r="EX92" s="627"/>
      <c r="EY92" s="627"/>
      <c r="EZ92" s="627"/>
      <c r="FA92" s="627"/>
      <c r="FB92" s="627"/>
      <c r="FC92" s="627"/>
      <c r="FD92" s="627"/>
      <c r="FE92" s="627"/>
      <c r="FF92" s="627"/>
      <c r="FG92" s="627"/>
      <c r="FH92" s="627"/>
      <c r="FI92" s="627"/>
    </row>
    <row r="93" spans="1:165">
      <c r="A93" s="606" t="s">
        <v>193</v>
      </c>
      <c r="C93" s="54" t="s">
        <v>458</v>
      </c>
      <c r="D93" s="43">
        <f>$B$186</f>
        <v>0.48</v>
      </c>
      <c r="E93" s="43">
        <f>D93-($D93-$AH93)/30</f>
        <v>0.46399999999999997</v>
      </c>
      <c r="F93" s="43">
        <f t="shared" ref="F93:AG93" si="698">E93-($D93-$AH93)/30</f>
        <v>0.44799999999999995</v>
      </c>
      <c r="G93" s="43">
        <f t="shared" si="698"/>
        <v>0.43199999999999994</v>
      </c>
      <c r="H93" s="43">
        <f t="shared" si="698"/>
        <v>0.41599999999999993</v>
      </c>
      <c r="I93" s="43">
        <f t="shared" si="698"/>
        <v>0.39999999999999991</v>
      </c>
      <c r="J93" s="43">
        <f t="shared" si="698"/>
        <v>0.3839999999999999</v>
      </c>
      <c r="K93" s="43">
        <f t="shared" si="698"/>
        <v>0.36799999999999988</v>
      </c>
      <c r="L93" s="43">
        <f t="shared" si="698"/>
        <v>0.35199999999999987</v>
      </c>
      <c r="M93" s="43">
        <f t="shared" si="698"/>
        <v>0.33599999999999985</v>
      </c>
      <c r="N93" s="43">
        <f t="shared" si="698"/>
        <v>0.31999999999999984</v>
      </c>
      <c r="O93" s="43">
        <f t="shared" si="698"/>
        <v>0.30399999999999983</v>
      </c>
      <c r="P93" s="43">
        <f t="shared" si="698"/>
        <v>0.28799999999999981</v>
      </c>
      <c r="Q93" s="43">
        <f t="shared" si="698"/>
        <v>0.2719999999999998</v>
      </c>
      <c r="R93" s="43">
        <f t="shared" si="698"/>
        <v>0.25599999999999978</v>
      </c>
      <c r="S93" s="43">
        <f t="shared" si="698"/>
        <v>0.23999999999999977</v>
      </c>
      <c r="T93" s="43">
        <f t="shared" si="698"/>
        <v>0.22399999999999975</v>
      </c>
      <c r="U93" s="43">
        <f t="shared" si="698"/>
        <v>0.20799999999999974</v>
      </c>
      <c r="V93" s="43">
        <f t="shared" si="698"/>
        <v>0.19199999999999973</v>
      </c>
      <c r="W93" s="43">
        <f t="shared" si="698"/>
        <v>0.17599999999999971</v>
      </c>
      <c r="X93" s="43">
        <f t="shared" si="698"/>
        <v>0.1599999999999997</v>
      </c>
      <c r="Y93" s="43">
        <f t="shared" si="698"/>
        <v>0.14399999999999968</v>
      </c>
      <c r="Z93" s="43">
        <f t="shared" si="698"/>
        <v>0.12799999999999967</v>
      </c>
      <c r="AA93" s="43">
        <f t="shared" si="698"/>
        <v>0.11199999999999967</v>
      </c>
      <c r="AB93" s="43">
        <f t="shared" si="698"/>
        <v>9.5999999999999669E-2</v>
      </c>
      <c r="AC93" s="43">
        <f t="shared" si="698"/>
        <v>7.9999999999999669E-2</v>
      </c>
      <c r="AD93" s="43">
        <f t="shared" si="698"/>
        <v>6.3999999999999668E-2</v>
      </c>
      <c r="AE93" s="43">
        <f t="shared" si="698"/>
        <v>4.7999999999999668E-2</v>
      </c>
      <c r="AF93" s="43">
        <f t="shared" si="698"/>
        <v>3.1999999999999668E-2</v>
      </c>
      <c r="AG93" s="43">
        <f t="shared" si="698"/>
        <v>1.5999999999999667E-2</v>
      </c>
      <c r="AH93" s="43">
        <f>$C$186</f>
        <v>0</v>
      </c>
      <c r="AI93" s="44"/>
      <c r="AJ93" s="43">
        <f>D93</f>
        <v>0.48</v>
      </c>
      <c r="AK93" s="43">
        <f t="shared" ref="AK93:AK101" si="699">E93</f>
        <v>0.46399999999999997</v>
      </c>
      <c r="AL93" s="43">
        <f t="shared" ref="AL93:AL101" si="700">F93</f>
        <v>0.44799999999999995</v>
      </c>
      <c r="AM93" s="43">
        <f t="shared" ref="AM93:AM101" si="701">G93</f>
        <v>0.43199999999999994</v>
      </c>
      <c r="AN93" s="43">
        <f t="shared" ref="AN93:AN101" si="702">H93</f>
        <v>0.41599999999999993</v>
      </c>
      <c r="AO93" s="43">
        <f t="shared" ref="AO93:AO101" si="703">I93</f>
        <v>0.39999999999999991</v>
      </c>
      <c r="AP93" s="43">
        <f t="shared" ref="AP93:AP101" si="704">J93</f>
        <v>0.3839999999999999</v>
      </c>
      <c r="AQ93" s="43">
        <f t="shared" ref="AQ93:AQ101" si="705">K93</f>
        <v>0.36799999999999988</v>
      </c>
      <c r="AR93" s="43">
        <f t="shared" ref="AR93:AR101" si="706">L93</f>
        <v>0.35199999999999987</v>
      </c>
      <c r="AS93" s="43">
        <f t="shared" ref="AS93:AS101" si="707">M93</f>
        <v>0.33599999999999985</v>
      </c>
      <c r="AT93" s="43">
        <f t="shared" ref="AT93:AT101" si="708">N93</f>
        <v>0.31999999999999984</v>
      </c>
      <c r="AU93" s="43">
        <f t="shared" ref="AU93:AU101" si="709">O93</f>
        <v>0.30399999999999983</v>
      </c>
      <c r="AV93" s="43">
        <f t="shared" ref="AV93:AV101" si="710">P93</f>
        <v>0.28799999999999981</v>
      </c>
      <c r="AW93" s="43">
        <f t="shared" ref="AW93:AW101" si="711">Q93</f>
        <v>0.2719999999999998</v>
      </c>
      <c r="AX93" s="43">
        <f t="shared" ref="AX93:AX101" si="712">R93</f>
        <v>0.25599999999999978</v>
      </c>
      <c r="AY93" s="43">
        <f t="shared" ref="AY93:AY101" si="713">S93</f>
        <v>0.23999999999999977</v>
      </c>
      <c r="AZ93" s="43">
        <f t="shared" ref="AZ93:AZ101" si="714">T93</f>
        <v>0.22399999999999975</v>
      </c>
      <c r="BA93" s="43">
        <f t="shared" ref="BA93:BA101" si="715">U93</f>
        <v>0.20799999999999974</v>
      </c>
      <c r="BB93" s="43">
        <f t="shared" ref="BB93:BB101" si="716">V93</f>
        <v>0.19199999999999973</v>
      </c>
      <c r="BC93" s="43">
        <f t="shared" ref="BC93:BC101" si="717">W93</f>
        <v>0.17599999999999971</v>
      </c>
      <c r="BD93" s="43">
        <f t="shared" ref="BD93:BD101" si="718">X93</f>
        <v>0.1599999999999997</v>
      </c>
      <c r="BE93" s="43">
        <f t="shared" ref="BE93:BE101" si="719">Y93</f>
        <v>0.14399999999999968</v>
      </c>
      <c r="BF93" s="43">
        <f t="shared" ref="BF93:BF101" si="720">Z93</f>
        <v>0.12799999999999967</v>
      </c>
      <c r="BG93" s="43">
        <f t="shared" ref="BG93:BG101" si="721">AA93</f>
        <v>0.11199999999999967</v>
      </c>
      <c r="BH93" s="43">
        <f t="shared" ref="BH93:BH101" si="722">AB93</f>
        <v>9.5999999999999669E-2</v>
      </c>
      <c r="BI93" s="43">
        <f t="shared" ref="BI93:BI101" si="723">AC93</f>
        <v>7.9999999999999669E-2</v>
      </c>
      <c r="BJ93" s="43">
        <f t="shared" ref="BJ93:BJ101" si="724">AD93</f>
        <v>6.3999999999999668E-2</v>
      </c>
      <c r="BK93" s="43">
        <f t="shared" ref="BK93:BK101" si="725">AE93</f>
        <v>4.7999999999999668E-2</v>
      </c>
      <c r="BL93" s="43">
        <f t="shared" ref="BL93:BL101" si="726">AF93</f>
        <v>3.1999999999999668E-2</v>
      </c>
      <c r="BM93" s="43">
        <f t="shared" ref="BM93:BM101" si="727">AG93</f>
        <v>1.5999999999999667E-2</v>
      </c>
      <c r="BN93" s="43">
        <f t="shared" ref="BN93:BN101" si="728">AH93</f>
        <v>0</v>
      </c>
      <c r="BP93" s="43">
        <f>D93</f>
        <v>0.48</v>
      </c>
      <c r="BQ93" s="43">
        <f>BP93-($BP93-$CT93)/30</f>
        <v>0.48</v>
      </c>
      <c r="BR93" s="43">
        <f t="shared" ref="BR93:CS93" si="729">BQ93-($BP93-$CT93)/30</f>
        <v>0.48</v>
      </c>
      <c r="BS93" s="43">
        <f t="shared" si="729"/>
        <v>0.48</v>
      </c>
      <c r="BT93" s="43">
        <f t="shared" si="729"/>
        <v>0.48</v>
      </c>
      <c r="BU93" s="43">
        <f t="shared" si="729"/>
        <v>0.48</v>
      </c>
      <c r="BV93" s="43">
        <f t="shared" si="729"/>
        <v>0.48</v>
      </c>
      <c r="BW93" s="43">
        <f t="shared" si="729"/>
        <v>0.48</v>
      </c>
      <c r="BX93" s="43">
        <f t="shared" si="729"/>
        <v>0.48</v>
      </c>
      <c r="BY93" s="43">
        <f t="shared" si="729"/>
        <v>0.48</v>
      </c>
      <c r="BZ93" s="43">
        <f t="shared" si="729"/>
        <v>0.48</v>
      </c>
      <c r="CA93" s="43">
        <f t="shared" si="729"/>
        <v>0.48</v>
      </c>
      <c r="CB93" s="43">
        <f t="shared" si="729"/>
        <v>0.48</v>
      </c>
      <c r="CC93" s="43">
        <f t="shared" si="729"/>
        <v>0.48</v>
      </c>
      <c r="CD93" s="43">
        <f t="shared" si="729"/>
        <v>0.48</v>
      </c>
      <c r="CE93" s="43">
        <f t="shared" si="729"/>
        <v>0.48</v>
      </c>
      <c r="CF93" s="43">
        <f t="shared" si="729"/>
        <v>0.48</v>
      </c>
      <c r="CG93" s="43">
        <f t="shared" si="729"/>
        <v>0.48</v>
      </c>
      <c r="CH93" s="43">
        <f t="shared" si="729"/>
        <v>0.48</v>
      </c>
      <c r="CI93" s="43">
        <f t="shared" si="729"/>
        <v>0.48</v>
      </c>
      <c r="CJ93" s="43">
        <f t="shared" si="729"/>
        <v>0.48</v>
      </c>
      <c r="CK93" s="43">
        <f t="shared" si="729"/>
        <v>0.48</v>
      </c>
      <c r="CL93" s="43">
        <f t="shared" si="729"/>
        <v>0.48</v>
      </c>
      <c r="CM93" s="43">
        <f t="shared" si="729"/>
        <v>0.48</v>
      </c>
      <c r="CN93" s="43">
        <f t="shared" si="729"/>
        <v>0.48</v>
      </c>
      <c r="CO93" s="43">
        <f t="shared" si="729"/>
        <v>0.48</v>
      </c>
      <c r="CP93" s="43">
        <f t="shared" si="729"/>
        <v>0.48</v>
      </c>
      <c r="CQ93" s="43">
        <f t="shared" si="729"/>
        <v>0.48</v>
      </c>
      <c r="CR93" s="43">
        <f t="shared" si="729"/>
        <v>0.48</v>
      </c>
      <c r="CS93" s="43">
        <f t="shared" si="729"/>
        <v>0.48</v>
      </c>
      <c r="CT93" s="43">
        <f>BP93</f>
        <v>0.48</v>
      </c>
      <c r="CV93" s="43">
        <f>AJ93</f>
        <v>0.48</v>
      </c>
      <c r="CW93" s="43">
        <f t="shared" ref="CW93:CW97" si="730">AK93</f>
        <v>0.46399999999999997</v>
      </c>
      <c r="CX93" s="43">
        <f t="shared" ref="CX93:CX97" si="731">AL93</f>
        <v>0.44799999999999995</v>
      </c>
      <c r="CY93" s="43">
        <f t="shared" ref="CY93:CY97" si="732">AM93</f>
        <v>0.43199999999999994</v>
      </c>
      <c r="CZ93" s="43">
        <f t="shared" ref="CZ93:CZ97" si="733">AN93</f>
        <v>0.41599999999999993</v>
      </c>
      <c r="DA93" s="43">
        <f t="shared" ref="DA93:DA97" si="734">AO93</f>
        <v>0.39999999999999991</v>
      </c>
      <c r="DB93" s="43">
        <f t="shared" ref="DB93:DB97" si="735">AP93</f>
        <v>0.3839999999999999</v>
      </c>
      <c r="DC93" s="43">
        <f t="shared" ref="DC93:DC97" si="736">AQ93</f>
        <v>0.36799999999999988</v>
      </c>
      <c r="DD93" s="43">
        <f t="shared" ref="DD93:DD97" si="737">AR93</f>
        <v>0.35199999999999987</v>
      </c>
      <c r="DE93" s="43">
        <f t="shared" ref="DE93:DE97" si="738">AS93</f>
        <v>0.33599999999999985</v>
      </c>
      <c r="DF93" s="43">
        <f t="shared" ref="DF93:DF97" si="739">AT93</f>
        <v>0.31999999999999984</v>
      </c>
      <c r="DG93" s="43">
        <f t="shared" ref="DG93:DG97" si="740">AU93</f>
        <v>0.30399999999999983</v>
      </c>
      <c r="DH93" s="43">
        <f t="shared" ref="DH93:DH97" si="741">AV93</f>
        <v>0.28799999999999981</v>
      </c>
      <c r="DI93" s="43">
        <f t="shared" ref="DI93:DI97" si="742">AW93</f>
        <v>0.2719999999999998</v>
      </c>
      <c r="DJ93" s="43">
        <f t="shared" ref="DJ93:DJ97" si="743">AX93</f>
        <v>0.25599999999999978</v>
      </c>
      <c r="DK93" s="43">
        <f t="shared" ref="DK93:DK97" si="744">AY93</f>
        <v>0.23999999999999977</v>
      </c>
      <c r="DL93" s="43">
        <f t="shared" ref="DL93:DL97" si="745">AZ93</f>
        <v>0.22399999999999975</v>
      </c>
      <c r="DM93" s="43">
        <f t="shared" ref="DM93:DM97" si="746">BA93</f>
        <v>0.20799999999999974</v>
      </c>
      <c r="DN93" s="43">
        <f t="shared" ref="DN93:DN97" si="747">BB93</f>
        <v>0.19199999999999973</v>
      </c>
      <c r="DO93" s="43">
        <f t="shared" ref="DO93:DO97" si="748">BC93</f>
        <v>0.17599999999999971</v>
      </c>
      <c r="DP93" s="43">
        <f t="shared" ref="DP93:DP97" si="749">BD93</f>
        <v>0.1599999999999997</v>
      </c>
      <c r="DQ93" s="43">
        <f t="shared" ref="DQ93:DQ97" si="750">BE93</f>
        <v>0.14399999999999968</v>
      </c>
      <c r="DR93" s="43">
        <f t="shared" ref="DR93:DR97" si="751">BF93</f>
        <v>0.12799999999999967</v>
      </c>
      <c r="DS93" s="43">
        <f t="shared" ref="DS93:DS97" si="752">BG93</f>
        <v>0.11199999999999967</v>
      </c>
      <c r="DT93" s="43">
        <f t="shared" ref="DT93:DT97" si="753">BH93</f>
        <v>9.5999999999999669E-2</v>
      </c>
      <c r="DU93" s="43">
        <f t="shared" ref="DU93:DU97" si="754">BI93</f>
        <v>7.9999999999999669E-2</v>
      </c>
      <c r="DV93" s="43">
        <f t="shared" ref="DV93:DV97" si="755">BJ93</f>
        <v>6.3999999999999668E-2</v>
      </c>
      <c r="DW93" s="43">
        <f t="shared" ref="DW93:DW97" si="756">BK93</f>
        <v>4.7999999999999668E-2</v>
      </c>
      <c r="DX93" s="43">
        <f t="shared" ref="DX93:DX97" si="757">BL93</f>
        <v>3.1999999999999668E-2</v>
      </c>
      <c r="DY93" s="43">
        <f t="shared" ref="DY93:DY97" si="758">BM93</f>
        <v>1.5999999999999667E-2</v>
      </c>
      <c r="DZ93" s="43">
        <f t="shared" ref="DZ93:DZ97" si="759">BN93</f>
        <v>0</v>
      </c>
    </row>
    <row r="94" spans="1:165">
      <c r="A94" s="606" t="s">
        <v>88</v>
      </c>
      <c r="C94" s="54" t="s">
        <v>458</v>
      </c>
      <c r="D94" s="43">
        <f>$B$187</f>
        <v>3</v>
      </c>
      <c r="E94" s="43">
        <f t="shared" ref="E94:AG94" si="760">D94-($D94-$AH94)/30</f>
        <v>2.9</v>
      </c>
      <c r="F94" s="43">
        <f t="shared" si="760"/>
        <v>2.8</v>
      </c>
      <c r="G94" s="43">
        <f t="shared" si="760"/>
        <v>2.6999999999999997</v>
      </c>
      <c r="H94" s="43">
        <f t="shared" si="760"/>
        <v>2.5999999999999996</v>
      </c>
      <c r="I94" s="43">
        <f t="shared" si="760"/>
        <v>2.4999999999999996</v>
      </c>
      <c r="J94" s="43">
        <f t="shared" si="760"/>
        <v>2.3999999999999995</v>
      </c>
      <c r="K94" s="43">
        <f t="shared" si="760"/>
        <v>2.2999999999999994</v>
      </c>
      <c r="L94" s="43">
        <f t="shared" si="760"/>
        <v>2.1999999999999993</v>
      </c>
      <c r="M94" s="43">
        <f t="shared" si="760"/>
        <v>2.0999999999999992</v>
      </c>
      <c r="N94" s="43">
        <f t="shared" si="760"/>
        <v>1.9999999999999991</v>
      </c>
      <c r="O94" s="43">
        <f t="shared" si="760"/>
        <v>1.899999999999999</v>
      </c>
      <c r="P94" s="43">
        <f t="shared" si="760"/>
        <v>1.7999999999999989</v>
      </c>
      <c r="Q94" s="43">
        <f t="shared" si="760"/>
        <v>1.6999999999999988</v>
      </c>
      <c r="R94" s="43">
        <f t="shared" si="760"/>
        <v>1.5999999999999988</v>
      </c>
      <c r="S94" s="43">
        <f t="shared" si="760"/>
        <v>1.4999999999999987</v>
      </c>
      <c r="T94" s="43">
        <f t="shared" si="760"/>
        <v>1.3999999999999986</v>
      </c>
      <c r="U94" s="43">
        <f t="shared" si="760"/>
        <v>1.2999999999999985</v>
      </c>
      <c r="V94" s="43">
        <f t="shared" si="760"/>
        <v>1.1999999999999984</v>
      </c>
      <c r="W94" s="43">
        <f t="shared" si="760"/>
        <v>1.0999999999999983</v>
      </c>
      <c r="X94" s="43">
        <f t="shared" si="760"/>
        <v>0.99999999999999833</v>
      </c>
      <c r="Y94" s="43">
        <f t="shared" si="760"/>
        <v>0.89999999999999836</v>
      </c>
      <c r="Z94" s="43">
        <f t="shared" si="760"/>
        <v>0.79999999999999838</v>
      </c>
      <c r="AA94" s="43">
        <f t="shared" si="760"/>
        <v>0.6999999999999984</v>
      </c>
      <c r="AB94" s="43">
        <f t="shared" si="760"/>
        <v>0.59999999999999842</v>
      </c>
      <c r="AC94" s="43">
        <f t="shared" si="760"/>
        <v>0.49999999999999845</v>
      </c>
      <c r="AD94" s="43">
        <f t="shared" si="760"/>
        <v>0.39999999999999847</v>
      </c>
      <c r="AE94" s="43">
        <f t="shared" si="760"/>
        <v>0.29999999999999849</v>
      </c>
      <c r="AF94" s="43">
        <f t="shared" si="760"/>
        <v>0.19999999999999848</v>
      </c>
      <c r="AG94" s="43">
        <f t="shared" si="760"/>
        <v>9.9999999999998479E-2</v>
      </c>
      <c r="AH94" s="43">
        <f>$C$187</f>
        <v>0</v>
      </c>
      <c r="AI94" s="44"/>
      <c r="AJ94" s="43">
        <f t="shared" ref="AJ94:AJ101" si="761">D94</f>
        <v>3</v>
      </c>
      <c r="AK94" s="43">
        <f t="shared" si="699"/>
        <v>2.9</v>
      </c>
      <c r="AL94" s="43">
        <f t="shared" si="700"/>
        <v>2.8</v>
      </c>
      <c r="AM94" s="43">
        <f t="shared" si="701"/>
        <v>2.6999999999999997</v>
      </c>
      <c r="AN94" s="43">
        <f t="shared" si="702"/>
        <v>2.5999999999999996</v>
      </c>
      <c r="AO94" s="43">
        <f t="shared" si="703"/>
        <v>2.4999999999999996</v>
      </c>
      <c r="AP94" s="43">
        <f t="shared" si="704"/>
        <v>2.3999999999999995</v>
      </c>
      <c r="AQ94" s="43">
        <f t="shared" si="705"/>
        <v>2.2999999999999994</v>
      </c>
      <c r="AR94" s="43">
        <f t="shared" si="706"/>
        <v>2.1999999999999993</v>
      </c>
      <c r="AS94" s="43">
        <f t="shared" si="707"/>
        <v>2.0999999999999992</v>
      </c>
      <c r="AT94" s="43">
        <f t="shared" si="708"/>
        <v>1.9999999999999991</v>
      </c>
      <c r="AU94" s="43">
        <f t="shared" si="709"/>
        <v>1.899999999999999</v>
      </c>
      <c r="AV94" s="43">
        <f t="shared" si="710"/>
        <v>1.7999999999999989</v>
      </c>
      <c r="AW94" s="43">
        <f t="shared" si="711"/>
        <v>1.6999999999999988</v>
      </c>
      <c r="AX94" s="43">
        <f t="shared" si="712"/>
        <v>1.5999999999999988</v>
      </c>
      <c r="AY94" s="43">
        <f t="shared" si="713"/>
        <v>1.4999999999999987</v>
      </c>
      <c r="AZ94" s="43">
        <f t="shared" si="714"/>
        <v>1.3999999999999986</v>
      </c>
      <c r="BA94" s="43">
        <f t="shared" si="715"/>
        <v>1.2999999999999985</v>
      </c>
      <c r="BB94" s="43">
        <f t="shared" si="716"/>
        <v>1.1999999999999984</v>
      </c>
      <c r="BC94" s="43">
        <f t="shared" si="717"/>
        <v>1.0999999999999983</v>
      </c>
      <c r="BD94" s="43">
        <f t="shared" si="718"/>
        <v>0.99999999999999833</v>
      </c>
      <c r="BE94" s="43">
        <f t="shared" si="719"/>
        <v>0.89999999999999836</v>
      </c>
      <c r="BF94" s="43">
        <f t="shared" si="720"/>
        <v>0.79999999999999838</v>
      </c>
      <c r="BG94" s="43">
        <f t="shared" si="721"/>
        <v>0.6999999999999984</v>
      </c>
      <c r="BH94" s="43">
        <f t="shared" si="722"/>
        <v>0.59999999999999842</v>
      </c>
      <c r="BI94" s="43">
        <f t="shared" si="723"/>
        <v>0.49999999999999845</v>
      </c>
      <c r="BJ94" s="43">
        <f t="shared" si="724"/>
        <v>0.39999999999999847</v>
      </c>
      <c r="BK94" s="43">
        <f t="shared" si="725"/>
        <v>0.29999999999999849</v>
      </c>
      <c r="BL94" s="43">
        <f t="shared" si="726"/>
        <v>0.19999999999999848</v>
      </c>
      <c r="BM94" s="43">
        <f t="shared" si="727"/>
        <v>9.9999999999998479E-2</v>
      </c>
      <c r="BN94" s="43">
        <f t="shared" si="728"/>
        <v>0</v>
      </c>
      <c r="BP94" s="43">
        <f t="shared" ref="BP94:BP101" si="762">D94</f>
        <v>3</v>
      </c>
      <c r="BQ94" s="43">
        <f t="shared" ref="BQ94:CS94" si="763">BP94-($BP94-$CT94)/30</f>
        <v>3</v>
      </c>
      <c r="BR94" s="43">
        <f t="shared" si="763"/>
        <v>3</v>
      </c>
      <c r="BS94" s="43">
        <f t="shared" si="763"/>
        <v>3</v>
      </c>
      <c r="BT94" s="43">
        <f t="shared" si="763"/>
        <v>3</v>
      </c>
      <c r="BU94" s="43">
        <f t="shared" si="763"/>
        <v>3</v>
      </c>
      <c r="BV94" s="43">
        <f t="shared" si="763"/>
        <v>3</v>
      </c>
      <c r="BW94" s="43">
        <f t="shared" si="763"/>
        <v>3</v>
      </c>
      <c r="BX94" s="43">
        <f t="shared" si="763"/>
        <v>3</v>
      </c>
      <c r="BY94" s="43">
        <f t="shared" si="763"/>
        <v>3</v>
      </c>
      <c r="BZ94" s="43">
        <f t="shared" si="763"/>
        <v>3</v>
      </c>
      <c r="CA94" s="43">
        <f t="shared" si="763"/>
        <v>3</v>
      </c>
      <c r="CB94" s="43">
        <f t="shared" si="763"/>
        <v>3</v>
      </c>
      <c r="CC94" s="43">
        <f t="shared" si="763"/>
        <v>3</v>
      </c>
      <c r="CD94" s="43">
        <f t="shared" si="763"/>
        <v>3</v>
      </c>
      <c r="CE94" s="43">
        <f t="shared" si="763"/>
        <v>3</v>
      </c>
      <c r="CF94" s="43">
        <f t="shared" si="763"/>
        <v>3</v>
      </c>
      <c r="CG94" s="43">
        <f t="shared" si="763"/>
        <v>3</v>
      </c>
      <c r="CH94" s="43">
        <f t="shared" si="763"/>
        <v>3</v>
      </c>
      <c r="CI94" s="43">
        <f t="shared" si="763"/>
        <v>3</v>
      </c>
      <c r="CJ94" s="43">
        <f t="shared" si="763"/>
        <v>3</v>
      </c>
      <c r="CK94" s="43">
        <f t="shared" si="763"/>
        <v>3</v>
      </c>
      <c r="CL94" s="43">
        <f t="shared" si="763"/>
        <v>3</v>
      </c>
      <c r="CM94" s="43">
        <f t="shared" si="763"/>
        <v>3</v>
      </c>
      <c r="CN94" s="43">
        <f t="shared" si="763"/>
        <v>3</v>
      </c>
      <c r="CO94" s="43">
        <f t="shared" si="763"/>
        <v>3</v>
      </c>
      <c r="CP94" s="43">
        <f t="shared" si="763"/>
        <v>3</v>
      </c>
      <c r="CQ94" s="43">
        <f t="shared" si="763"/>
        <v>3</v>
      </c>
      <c r="CR94" s="43">
        <f t="shared" si="763"/>
        <v>3</v>
      </c>
      <c r="CS94" s="43">
        <f t="shared" si="763"/>
        <v>3</v>
      </c>
      <c r="CT94" s="43">
        <f t="shared" ref="CT94:CT95" si="764">BP94</f>
        <v>3</v>
      </c>
      <c r="CV94" s="43">
        <f>AJ94</f>
        <v>3</v>
      </c>
      <c r="CW94" s="43">
        <f t="shared" si="730"/>
        <v>2.9</v>
      </c>
      <c r="CX94" s="43">
        <f t="shared" si="731"/>
        <v>2.8</v>
      </c>
      <c r="CY94" s="43">
        <f t="shared" si="732"/>
        <v>2.6999999999999997</v>
      </c>
      <c r="CZ94" s="43">
        <f t="shared" si="733"/>
        <v>2.5999999999999996</v>
      </c>
      <c r="DA94" s="43">
        <f t="shared" si="734"/>
        <v>2.4999999999999996</v>
      </c>
      <c r="DB94" s="43">
        <f t="shared" si="735"/>
        <v>2.3999999999999995</v>
      </c>
      <c r="DC94" s="43">
        <f t="shared" si="736"/>
        <v>2.2999999999999994</v>
      </c>
      <c r="DD94" s="43">
        <f t="shared" si="737"/>
        <v>2.1999999999999993</v>
      </c>
      <c r="DE94" s="43">
        <f t="shared" si="738"/>
        <v>2.0999999999999992</v>
      </c>
      <c r="DF94" s="43">
        <f t="shared" si="739"/>
        <v>1.9999999999999991</v>
      </c>
      <c r="DG94" s="43">
        <f t="shared" si="740"/>
        <v>1.899999999999999</v>
      </c>
      <c r="DH94" s="43">
        <f t="shared" si="741"/>
        <v>1.7999999999999989</v>
      </c>
      <c r="DI94" s="43">
        <f t="shared" si="742"/>
        <v>1.6999999999999988</v>
      </c>
      <c r="DJ94" s="43">
        <f t="shared" si="743"/>
        <v>1.5999999999999988</v>
      </c>
      <c r="DK94" s="43">
        <f t="shared" si="744"/>
        <v>1.4999999999999987</v>
      </c>
      <c r="DL94" s="43">
        <f t="shared" si="745"/>
        <v>1.3999999999999986</v>
      </c>
      <c r="DM94" s="43">
        <f t="shared" si="746"/>
        <v>1.2999999999999985</v>
      </c>
      <c r="DN94" s="43">
        <f t="shared" si="747"/>
        <v>1.1999999999999984</v>
      </c>
      <c r="DO94" s="43">
        <f t="shared" si="748"/>
        <v>1.0999999999999983</v>
      </c>
      <c r="DP94" s="43">
        <f t="shared" si="749"/>
        <v>0.99999999999999833</v>
      </c>
      <c r="DQ94" s="43">
        <f t="shared" si="750"/>
        <v>0.89999999999999836</v>
      </c>
      <c r="DR94" s="43">
        <f t="shared" si="751"/>
        <v>0.79999999999999838</v>
      </c>
      <c r="DS94" s="43">
        <f t="shared" si="752"/>
        <v>0.6999999999999984</v>
      </c>
      <c r="DT94" s="43">
        <f t="shared" si="753"/>
        <v>0.59999999999999842</v>
      </c>
      <c r="DU94" s="43">
        <f t="shared" si="754"/>
        <v>0.49999999999999845</v>
      </c>
      <c r="DV94" s="43">
        <f t="shared" si="755"/>
        <v>0.39999999999999847</v>
      </c>
      <c r="DW94" s="43">
        <f t="shared" si="756"/>
        <v>0.29999999999999849</v>
      </c>
      <c r="DX94" s="43">
        <f t="shared" si="757"/>
        <v>0.19999999999999848</v>
      </c>
      <c r="DY94" s="43">
        <f t="shared" si="758"/>
        <v>9.9999999999998479E-2</v>
      </c>
      <c r="DZ94" s="43">
        <f t="shared" si="759"/>
        <v>0</v>
      </c>
    </row>
    <row r="95" spans="1:165">
      <c r="A95" s="606" t="s">
        <v>459</v>
      </c>
      <c r="C95" s="54" t="s">
        <v>458</v>
      </c>
      <c r="D95" s="43">
        <f>$BP$189</f>
        <v>1.8298179999999999</v>
      </c>
      <c r="E95" s="43">
        <f t="shared" ref="E95:AG95" si="765">D95-($D95-$AH95)/30</f>
        <v>1.8533240666666666</v>
      </c>
      <c r="F95" s="43">
        <f t="shared" si="765"/>
        <v>1.8768301333333333</v>
      </c>
      <c r="G95" s="43">
        <f t="shared" si="765"/>
        <v>1.9003361999999999</v>
      </c>
      <c r="H95" s="43">
        <f t="shared" si="765"/>
        <v>1.9238422666666666</v>
      </c>
      <c r="I95" s="43">
        <f t="shared" si="765"/>
        <v>1.9473483333333332</v>
      </c>
      <c r="J95" s="43">
        <f t="shared" si="765"/>
        <v>1.9708543999999999</v>
      </c>
      <c r="K95" s="43">
        <f t="shared" si="765"/>
        <v>1.9943604666666666</v>
      </c>
      <c r="L95" s="43">
        <f t="shared" si="765"/>
        <v>2.0178665333333332</v>
      </c>
      <c r="M95" s="43">
        <f t="shared" si="765"/>
        <v>2.0413725999999999</v>
      </c>
      <c r="N95" s="43">
        <f t="shared" si="765"/>
        <v>2.0648786666666665</v>
      </c>
      <c r="O95" s="43">
        <f t="shared" si="765"/>
        <v>2.0883847333333332</v>
      </c>
      <c r="P95" s="43">
        <f t="shared" si="765"/>
        <v>2.1118907999999998</v>
      </c>
      <c r="Q95" s="43">
        <f t="shared" si="765"/>
        <v>2.1353968666666665</v>
      </c>
      <c r="R95" s="43">
        <f t="shared" si="765"/>
        <v>2.1589029333333332</v>
      </c>
      <c r="S95" s="43">
        <f t="shared" si="765"/>
        <v>2.1824089999999998</v>
      </c>
      <c r="T95" s="43">
        <f t="shared" si="765"/>
        <v>2.2059150666666665</v>
      </c>
      <c r="U95" s="43">
        <f t="shared" si="765"/>
        <v>2.2294211333333331</v>
      </c>
      <c r="V95" s="43">
        <f t="shared" si="765"/>
        <v>2.2529271999999998</v>
      </c>
      <c r="W95" s="43">
        <f t="shared" si="765"/>
        <v>2.2764332666666665</v>
      </c>
      <c r="X95" s="43">
        <f t="shared" si="765"/>
        <v>2.2999393333333331</v>
      </c>
      <c r="Y95" s="43">
        <f t="shared" si="765"/>
        <v>2.3234453999999998</v>
      </c>
      <c r="Z95" s="43">
        <f t="shared" si="765"/>
        <v>2.3469514666666664</v>
      </c>
      <c r="AA95" s="43">
        <f t="shared" si="765"/>
        <v>2.3704575333333331</v>
      </c>
      <c r="AB95" s="43">
        <f t="shared" si="765"/>
        <v>2.3939635999999997</v>
      </c>
      <c r="AC95" s="43">
        <f t="shared" si="765"/>
        <v>2.4174696666666664</v>
      </c>
      <c r="AD95" s="43">
        <f t="shared" si="765"/>
        <v>2.4409757333333331</v>
      </c>
      <c r="AE95" s="43">
        <f t="shared" si="765"/>
        <v>2.4644817999999997</v>
      </c>
      <c r="AF95" s="43">
        <f t="shared" si="765"/>
        <v>2.4879878666666664</v>
      </c>
      <c r="AG95" s="43">
        <f t="shared" si="765"/>
        <v>2.511493933333333</v>
      </c>
      <c r="AH95" s="43">
        <f>EB189</f>
        <v>2.5350000000000001</v>
      </c>
      <c r="AI95" s="44"/>
      <c r="AJ95" s="43">
        <f t="shared" si="761"/>
        <v>1.8298179999999999</v>
      </c>
      <c r="AK95" s="43">
        <f t="shared" si="699"/>
        <v>1.8533240666666666</v>
      </c>
      <c r="AL95" s="43">
        <f t="shared" si="700"/>
        <v>1.8768301333333333</v>
      </c>
      <c r="AM95" s="43">
        <f t="shared" si="701"/>
        <v>1.9003361999999999</v>
      </c>
      <c r="AN95" s="43">
        <f t="shared" si="702"/>
        <v>1.9238422666666666</v>
      </c>
      <c r="AO95" s="43">
        <f t="shared" si="703"/>
        <v>1.9473483333333332</v>
      </c>
      <c r="AP95" s="43">
        <f t="shared" si="704"/>
        <v>1.9708543999999999</v>
      </c>
      <c r="AQ95" s="43">
        <f t="shared" si="705"/>
        <v>1.9943604666666666</v>
      </c>
      <c r="AR95" s="43">
        <f t="shared" si="706"/>
        <v>2.0178665333333332</v>
      </c>
      <c r="AS95" s="43">
        <f t="shared" si="707"/>
        <v>2.0413725999999999</v>
      </c>
      <c r="AT95" s="43">
        <f t="shared" si="708"/>
        <v>2.0648786666666665</v>
      </c>
      <c r="AU95" s="43">
        <f t="shared" si="709"/>
        <v>2.0883847333333332</v>
      </c>
      <c r="AV95" s="43">
        <f t="shared" si="710"/>
        <v>2.1118907999999998</v>
      </c>
      <c r="AW95" s="43">
        <f t="shared" si="711"/>
        <v>2.1353968666666665</v>
      </c>
      <c r="AX95" s="43">
        <f t="shared" si="712"/>
        <v>2.1589029333333332</v>
      </c>
      <c r="AY95" s="43">
        <f t="shared" si="713"/>
        <v>2.1824089999999998</v>
      </c>
      <c r="AZ95" s="43">
        <f t="shared" si="714"/>
        <v>2.2059150666666665</v>
      </c>
      <c r="BA95" s="43">
        <f t="shared" si="715"/>
        <v>2.2294211333333331</v>
      </c>
      <c r="BB95" s="43">
        <f t="shared" si="716"/>
        <v>2.2529271999999998</v>
      </c>
      <c r="BC95" s="43">
        <f t="shared" si="717"/>
        <v>2.2764332666666665</v>
      </c>
      <c r="BD95" s="43">
        <f t="shared" si="718"/>
        <v>2.2999393333333331</v>
      </c>
      <c r="BE95" s="43">
        <f t="shared" si="719"/>
        <v>2.3234453999999998</v>
      </c>
      <c r="BF95" s="43">
        <f t="shared" si="720"/>
        <v>2.3469514666666664</v>
      </c>
      <c r="BG95" s="43">
        <f t="shared" si="721"/>
        <v>2.3704575333333331</v>
      </c>
      <c r="BH95" s="43">
        <f t="shared" si="722"/>
        <v>2.3939635999999997</v>
      </c>
      <c r="BI95" s="43">
        <f t="shared" si="723"/>
        <v>2.4174696666666664</v>
      </c>
      <c r="BJ95" s="43">
        <f t="shared" si="724"/>
        <v>2.4409757333333331</v>
      </c>
      <c r="BK95" s="43">
        <f t="shared" si="725"/>
        <v>2.4644817999999997</v>
      </c>
      <c r="BL95" s="43">
        <f t="shared" si="726"/>
        <v>2.4879878666666664</v>
      </c>
      <c r="BM95" s="43">
        <f t="shared" si="727"/>
        <v>2.511493933333333</v>
      </c>
      <c r="BN95" s="43">
        <f t="shared" si="728"/>
        <v>2.5350000000000001</v>
      </c>
      <c r="BP95" s="43">
        <f t="shared" si="762"/>
        <v>1.8298179999999999</v>
      </c>
      <c r="BQ95" s="43">
        <f t="shared" ref="BQ95:CS95" si="766">BP95-($BP95-$CT95)/30</f>
        <v>1.8298179999999999</v>
      </c>
      <c r="BR95" s="43">
        <f t="shared" si="766"/>
        <v>1.8298179999999999</v>
      </c>
      <c r="BS95" s="43">
        <f t="shared" si="766"/>
        <v>1.8298179999999999</v>
      </c>
      <c r="BT95" s="43">
        <f t="shared" si="766"/>
        <v>1.8298179999999999</v>
      </c>
      <c r="BU95" s="43">
        <f t="shared" si="766"/>
        <v>1.8298179999999999</v>
      </c>
      <c r="BV95" s="43">
        <f t="shared" si="766"/>
        <v>1.8298179999999999</v>
      </c>
      <c r="BW95" s="43">
        <f t="shared" si="766"/>
        <v>1.8298179999999999</v>
      </c>
      <c r="BX95" s="43">
        <f t="shared" si="766"/>
        <v>1.8298179999999999</v>
      </c>
      <c r="BY95" s="43">
        <f t="shared" si="766"/>
        <v>1.8298179999999999</v>
      </c>
      <c r="BZ95" s="43">
        <f t="shared" si="766"/>
        <v>1.8298179999999999</v>
      </c>
      <c r="CA95" s="43">
        <f t="shared" si="766"/>
        <v>1.8298179999999999</v>
      </c>
      <c r="CB95" s="43">
        <f t="shared" si="766"/>
        <v>1.8298179999999999</v>
      </c>
      <c r="CC95" s="43">
        <f t="shared" si="766"/>
        <v>1.8298179999999999</v>
      </c>
      <c r="CD95" s="43">
        <f t="shared" si="766"/>
        <v>1.8298179999999999</v>
      </c>
      <c r="CE95" s="43">
        <f t="shared" si="766"/>
        <v>1.8298179999999999</v>
      </c>
      <c r="CF95" s="43">
        <f t="shared" si="766"/>
        <v>1.8298179999999999</v>
      </c>
      <c r="CG95" s="43">
        <f t="shared" si="766"/>
        <v>1.8298179999999999</v>
      </c>
      <c r="CH95" s="43">
        <f t="shared" si="766"/>
        <v>1.8298179999999999</v>
      </c>
      <c r="CI95" s="43">
        <f t="shared" si="766"/>
        <v>1.8298179999999999</v>
      </c>
      <c r="CJ95" s="43">
        <f t="shared" si="766"/>
        <v>1.8298179999999999</v>
      </c>
      <c r="CK95" s="43">
        <f t="shared" si="766"/>
        <v>1.8298179999999999</v>
      </c>
      <c r="CL95" s="43">
        <f t="shared" si="766"/>
        <v>1.8298179999999999</v>
      </c>
      <c r="CM95" s="43">
        <f t="shared" si="766"/>
        <v>1.8298179999999999</v>
      </c>
      <c r="CN95" s="43">
        <f t="shared" si="766"/>
        <v>1.8298179999999999</v>
      </c>
      <c r="CO95" s="43">
        <f t="shared" si="766"/>
        <v>1.8298179999999999</v>
      </c>
      <c r="CP95" s="43">
        <f t="shared" si="766"/>
        <v>1.8298179999999999</v>
      </c>
      <c r="CQ95" s="43">
        <f t="shared" si="766"/>
        <v>1.8298179999999999</v>
      </c>
      <c r="CR95" s="43">
        <f t="shared" si="766"/>
        <v>1.8298179999999999</v>
      </c>
      <c r="CS95" s="43">
        <f t="shared" si="766"/>
        <v>1.8298179999999999</v>
      </c>
      <c r="CT95" s="43">
        <f t="shared" si="764"/>
        <v>1.8298179999999999</v>
      </c>
      <c r="CV95" s="43">
        <f>AJ95</f>
        <v>1.8298179999999999</v>
      </c>
      <c r="CW95" s="43">
        <f t="shared" si="730"/>
        <v>1.8533240666666666</v>
      </c>
      <c r="CX95" s="43">
        <f t="shared" si="731"/>
        <v>1.8768301333333333</v>
      </c>
      <c r="CY95" s="43">
        <f t="shared" si="732"/>
        <v>1.9003361999999999</v>
      </c>
      <c r="CZ95" s="43">
        <f t="shared" si="733"/>
        <v>1.9238422666666666</v>
      </c>
      <c r="DA95" s="43">
        <f t="shared" si="734"/>
        <v>1.9473483333333332</v>
      </c>
      <c r="DB95" s="43">
        <f t="shared" si="735"/>
        <v>1.9708543999999999</v>
      </c>
      <c r="DC95" s="43">
        <f t="shared" si="736"/>
        <v>1.9943604666666666</v>
      </c>
      <c r="DD95" s="43">
        <f t="shared" si="737"/>
        <v>2.0178665333333332</v>
      </c>
      <c r="DE95" s="43">
        <f t="shared" si="738"/>
        <v>2.0413725999999999</v>
      </c>
      <c r="DF95" s="43">
        <f t="shared" si="739"/>
        <v>2.0648786666666665</v>
      </c>
      <c r="DG95" s="43">
        <f t="shared" si="740"/>
        <v>2.0883847333333332</v>
      </c>
      <c r="DH95" s="43">
        <f t="shared" si="741"/>
        <v>2.1118907999999998</v>
      </c>
      <c r="DI95" s="43">
        <f t="shared" si="742"/>
        <v>2.1353968666666665</v>
      </c>
      <c r="DJ95" s="43">
        <f t="shared" si="743"/>
        <v>2.1589029333333332</v>
      </c>
      <c r="DK95" s="43">
        <f t="shared" si="744"/>
        <v>2.1824089999999998</v>
      </c>
      <c r="DL95" s="43">
        <f t="shared" si="745"/>
        <v>2.2059150666666665</v>
      </c>
      <c r="DM95" s="43">
        <f t="shared" si="746"/>
        <v>2.2294211333333331</v>
      </c>
      <c r="DN95" s="43">
        <f t="shared" si="747"/>
        <v>2.2529271999999998</v>
      </c>
      <c r="DO95" s="43">
        <f t="shared" si="748"/>
        <v>2.2764332666666665</v>
      </c>
      <c r="DP95" s="43">
        <f t="shared" si="749"/>
        <v>2.2999393333333331</v>
      </c>
      <c r="DQ95" s="43">
        <f t="shared" si="750"/>
        <v>2.3234453999999998</v>
      </c>
      <c r="DR95" s="43">
        <f t="shared" si="751"/>
        <v>2.3469514666666664</v>
      </c>
      <c r="DS95" s="43">
        <f t="shared" si="752"/>
        <v>2.3704575333333331</v>
      </c>
      <c r="DT95" s="43">
        <f t="shared" si="753"/>
        <v>2.3939635999999997</v>
      </c>
      <c r="DU95" s="43">
        <f t="shared" si="754"/>
        <v>2.4174696666666664</v>
      </c>
      <c r="DV95" s="43">
        <f t="shared" si="755"/>
        <v>2.4409757333333331</v>
      </c>
      <c r="DW95" s="43">
        <f t="shared" si="756"/>
        <v>2.4644817999999997</v>
      </c>
      <c r="DX95" s="43">
        <f t="shared" si="757"/>
        <v>2.4879878666666664</v>
      </c>
      <c r="DY95" s="43">
        <f t="shared" si="758"/>
        <v>2.511493933333333</v>
      </c>
      <c r="DZ95" s="43">
        <f t="shared" si="759"/>
        <v>2.5350000000000001</v>
      </c>
    </row>
    <row r="96" spans="1:165">
      <c r="A96" s="606" t="s">
        <v>460</v>
      </c>
      <c r="C96" s="54" t="s">
        <v>458</v>
      </c>
      <c r="D96" s="43">
        <f>$BP$189</f>
        <v>1.8298179999999999</v>
      </c>
      <c r="E96" s="43">
        <f t="shared" ref="E96:AG96" si="767">D96-($D96-$AH96)/30</f>
        <v>1.7718737633333332</v>
      </c>
      <c r="F96" s="43">
        <f t="shared" si="767"/>
        <v>1.7139295266666665</v>
      </c>
      <c r="G96" s="43">
        <f t="shared" si="767"/>
        <v>1.6559852899999998</v>
      </c>
      <c r="H96" s="43">
        <f t="shared" si="767"/>
        <v>1.5980410533333331</v>
      </c>
      <c r="I96" s="43">
        <f t="shared" si="767"/>
        <v>1.5400968166666664</v>
      </c>
      <c r="J96" s="43">
        <f t="shared" si="767"/>
        <v>1.4821525799999997</v>
      </c>
      <c r="K96" s="43">
        <f t="shared" si="767"/>
        <v>1.424208343333333</v>
      </c>
      <c r="L96" s="43">
        <f t="shared" si="767"/>
        <v>1.3662641066666663</v>
      </c>
      <c r="M96" s="43">
        <f t="shared" si="767"/>
        <v>1.3083198699999996</v>
      </c>
      <c r="N96" s="43">
        <f t="shared" si="767"/>
        <v>1.2503756333333329</v>
      </c>
      <c r="O96" s="43">
        <f t="shared" si="767"/>
        <v>1.1924313966666662</v>
      </c>
      <c r="P96" s="43">
        <f t="shared" si="767"/>
        <v>1.1344871599999995</v>
      </c>
      <c r="Q96" s="43">
        <f t="shared" si="767"/>
        <v>1.0765429233333328</v>
      </c>
      <c r="R96" s="43">
        <f t="shared" si="767"/>
        <v>1.0185986866666661</v>
      </c>
      <c r="S96" s="43">
        <f t="shared" si="767"/>
        <v>0.96065444999999938</v>
      </c>
      <c r="T96" s="43">
        <f t="shared" si="767"/>
        <v>0.90271021333333268</v>
      </c>
      <c r="U96" s="43">
        <f t="shared" si="767"/>
        <v>0.84476597666666597</v>
      </c>
      <c r="V96" s="43">
        <f t="shared" si="767"/>
        <v>0.78682173999999927</v>
      </c>
      <c r="W96" s="43">
        <f t="shared" si="767"/>
        <v>0.72887750333333257</v>
      </c>
      <c r="X96" s="43">
        <f t="shared" si="767"/>
        <v>0.67093326666666586</v>
      </c>
      <c r="Y96" s="43">
        <f t="shared" si="767"/>
        <v>0.61298902999999916</v>
      </c>
      <c r="Z96" s="43">
        <f t="shared" si="767"/>
        <v>0.55504479333333245</v>
      </c>
      <c r="AA96" s="43">
        <f t="shared" si="767"/>
        <v>0.4971005566666658</v>
      </c>
      <c r="AB96" s="43">
        <f t="shared" si="767"/>
        <v>0.43915631999999916</v>
      </c>
      <c r="AC96" s="43">
        <f t="shared" si="767"/>
        <v>0.38121208333333251</v>
      </c>
      <c r="AD96" s="43">
        <f t="shared" si="767"/>
        <v>0.32326784666666586</v>
      </c>
      <c r="AE96" s="43">
        <f t="shared" si="767"/>
        <v>0.26532360999999921</v>
      </c>
      <c r="AF96" s="43">
        <f t="shared" si="767"/>
        <v>0.20737937333333256</v>
      </c>
      <c r="AG96" s="43">
        <f t="shared" si="767"/>
        <v>0.14943513666666591</v>
      </c>
      <c r="AH96" s="43">
        <f>$BZ$189</f>
        <v>9.1490900000000083E-2</v>
      </c>
      <c r="AI96" s="44"/>
      <c r="AJ96" s="43">
        <f t="shared" si="761"/>
        <v>1.8298179999999999</v>
      </c>
      <c r="AK96" s="43">
        <f t="shared" si="699"/>
        <v>1.7718737633333332</v>
      </c>
      <c r="AL96" s="43">
        <f t="shared" si="700"/>
        <v>1.7139295266666665</v>
      </c>
      <c r="AM96" s="43">
        <f t="shared" si="701"/>
        <v>1.6559852899999998</v>
      </c>
      <c r="AN96" s="43">
        <f t="shared" si="702"/>
        <v>1.5980410533333331</v>
      </c>
      <c r="AO96" s="43">
        <f t="shared" si="703"/>
        <v>1.5400968166666664</v>
      </c>
      <c r="AP96" s="43">
        <f t="shared" si="704"/>
        <v>1.4821525799999997</v>
      </c>
      <c r="AQ96" s="43">
        <f t="shared" si="705"/>
        <v>1.424208343333333</v>
      </c>
      <c r="AR96" s="43">
        <f t="shared" si="706"/>
        <v>1.3662641066666663</v>
      </c>
      <c r="AS96" s="43">
        <f t="shared" si="707"/>
        <v>1.3083198699999996</v>
      </c>
      <c r="AT96" s="43">
        <f t="shared" si="708"/>
        <v>1.2503756333333329</v>
      </c>
      <c r="AU96" s="43">
        <f t="shared" si="709"/>
        <v>1.1924313966666662</v>
      </c>
      <c r="AV96" s="43">
        <f t="shared" si="710"/>
        <v>1.1344871599999995</v>
      </c>
      <c r="AW96" s="43">
        <f t="shared" si="711"/>
        <v>1.0765429233333328</v>
      </c>
      <c r="AX96" s="43">
        <f t="shared" si="712"/>
        <v>1.0185986866666661</v>
      </c>
      <c r="AY96" s="43">
        <f t="shared" si="713"/>
        <v>0.96065444999999938</v>
      </c>
      <c r="AZ96" s="43">
        <f t="shared" si="714"/>
        <v>0.90271021333333268</v>
      </c>
      <c r="BA96" s="43">
        <f t="shared" si="715"/>
        <v>0.84476597666666597</v>
      </c>
      <c r="BB96" s="43">
        <f t="shared" si="716"/>
        <v>0.78682173999999927</v>
      </c>
      <c r="BC96" s="43">
        <f t="shared" si="717"/>
        <v>0.72887750333333257</v>
      </c>
      <c r="BD96" s="43">
        <f t="shared" si="718"/>
        <v>0.67093326666666586</v>
      </c>
      <c r="BE96" s="43">
        <f t="shared" si="719"/>
        <v>0.61298902999999916</v>
      </c>
      <c r="BF96" s="43">
        <f t="shared" si="720"/>
        <v>0.55504479333333245</v>
      </c>
      <c r="BG96" s="43">
        <f t="shared" si="721"/>
        <v>0.4971005566666658</v>
      </c>
      <c r="BH96" s="43">
        <f t="shared" si="722"/>
        <v>0.43915631999999916</v>
      </c>
      <c r="BI96" s="43">
        <f t="shared" si="723"/>
        <v>0.38121208333333251</v>
      </c>
      <c r="BJ96" s="43">
        <f t="shared" si="724"/>
        <v>0.32326784666666586</v>
      </c>
      <c r="BK96" s="43">
        <f t="shared" si="725"/>
        <v>0.26532360999999921</v>
      </c>
      <c r="BL96" s="43">
        <f t="shared" si="726"/>
        <v>0.20737937333333256</v>
      </c>
      <c r="BM96" s="43">
        <f t="shared" si="727"/>
        <v>0.14943513666666591</v>
      </c>
      <c r="BN96" s="43">
        <f t="shared" si="728"/>
        <v>9.1490900000000083E-2</v>
      </c>
      <c r="BP96" s="43">
        <f t="shared" si="762"/>
        <v>1.8298179999999999</v>
      </c>
      <c r="BQ96" s="43">
        <f t="shared" ref="BQ96:CS96" si="768">BP96-($BP96-$CT96)/30</f>
        <v>1.7718737633333332</v>
      </c>
      <c r="BR96" s="43">
        <f t="shared" si="768"/>
        <v>1.7139295266666665</v>
      </c>
      <c r="BS96" s="43">
        <f t="shared" si="768"/>
        <v>1.6559852899999998</v>
      </c>
      <c r="BT96" s="43">
        <f t="shared" si="768"/>
        <v>1.5980410533333331</v>
      </c>
      <c r="BU96" s="43">
        <f t="shared" si="768"/>
        <v>1.5400968166666664</v>
      </c>
      <c r="BV96" s="43">
        <f t="shared" si="768"/>
        <v>1.4821525799999997</v>
      </c>
      <c r="BW96" s="43">
        <f t="shared" si="768"/>
        <v>1.424208343333333</v>
      </c>
      <c r="BX96" s="43">
        <f t="shared" si="768"/>
        <v>1.3662641066666663</v>
      </c>
      <c r="BY96" s="43">
        <f t="shared" si="768"/>
        <v>1.3083198699999996</v>
      </c>
      <c r="BZ96" s="43">
        <f t="shared" si="768"/>
        <v>1.2503756333333329</v>
      </c>
      <c r="CA96" s="43">
        <f t="shared" si="768"/>
        <v>1.1924313966666662</v>
      </c>
      <c r="CB96" s="43">
        <f t="shared" si="768"/>
        <v>1.1344871599999995</v>
      </c>
      <c r="CC96" s="43">
        <f t="shared" si="768"/>
        <v>1.0765429233333328</v>
      </c>
      <c r="CD96" s="43">
        <f t="shared" si="768"/>
        <v>1.0185986866666661</v>
      </c>
      <c r="CE96" s="43">
        <f t="shared" si="768"/>
        <v>0.96065444999999938</v>
      </c>
      <c r="CF96" s="43">
        <f t="shared" si="768"/>
        <v>0.90271021333333268</v>
      </c>
      <c r="CG96" s="43">
        <f t="shared" si="768"/>
        <v>0.84476597666666597</v>
      </c>
      <c r="CH96" s="43">
        <f t="shared" si="768"/>
        <v>0.78682173999999927</v>
      </c>
      <c r="CI96" s="43">
        <f t="shared" si="768"/>
        <v>0.72887750333333257</v>
      </c>
      <c r="CJ96" s="43">
        <f t="shared" si="768"/>
        <v>0.67093326666666586</v>
      </c>
      <c r="CK96" s="43">
        <f t="shared" si="768"/>
        <v>0.61298902999999916</v>
      </c>
      <c r="CL96" s="43">
        <f t="shared" si="768"/>
        <v>0.55504479333333245</v>
      </c>
      <c r="CM96" s="43">
        <f t="shared" si="768"/>
        <v>0.4971005566666658</v>
      </c>
      <c r="CN96" s="43">
        <f t="shared" si="768"/>
        <v>0.43915631999999916</v>
      </c>
      <c r="CO96" s="43">
        <f t="shared" si="768"/>
        <v>0.38121208333333251</v>
      </c>
      <c r="CP96" s="43">
        <f t="shared" si="768"/>
        <v>0.32326784666666586</v>
      </c>
      <c r="CQ96" s="43">
        <f t="shared" si="768"/>
        <v>0.26532360999999921</v>
      </c>
      <c r="CR96" s="43">
        <f t="shared" si="768"/>
        <v>0.20737937333333256</v>
      </c>
      <c r="CS96" s="43">
        <f t="shared" si="768"/>
        <v>0.14943513666666591</v>
      </c>
      <c r="CT96" s="43">
        <f>BN96</f>
        <v>9.1490900000000083E-2</v>
      </c>
      <c r="CV96" s="43">
        <f>AJ96</f>
        <v>1.8298179999999999</v>
      </c>
      <c r="CW96" s="43">
        <f t="shared" si="730"/>
        <v>1.7718737633333332</v>
      </c>
      <c r="CX96" s="43">
        <f t="shared" si="731"/>
        <v>1.7139295266666665</v>
      </c>
      <c r="CY96" s="43">
        <f t="shared" si="732"/>
        <v>1.6559852899999998</v>
      </c>
      <c r="CZ96" s="43">
        <f t="shared" si="733"/>
        <v>1.5980410533333331</v>
      </c>
      <c r="DA96" s="43">
        <f t="shared" si="734"/>
        <v>1.5400968166666664</v>
      </c>
      <c r="DB96" s="43">
        <f t="shared" si="735"/>
        <v>1.4821525799999997</v>
      </c>
      <c r="DC96" s="43">
        <f t="shared" si="736"/>
        <v>1.424208343333333</v>
      </c>
      <c r="DD96" s="43">
        <f t="shared" si="737"/>
        <v>1.3662641066666663</v>
      </c>
      <c r="DE96" s="43">
        <f t="shared" si="738"/>
        <v>1.3083198699999996</v>
      </c>
      <c r="DF96" s="43">
        <f t="shared" si="739"/>
        <v>1.2503756333333329</v>
      </c>
      <c r="DG96" s="43">
        <f t="shared" si="740"/>
        <v>1.1924313966666662</v>
      </c>
      <c r="DH96" s="43">
        <f t="shared" si="741"/>
        <v>1.1344871599999995</v>
      </c>
      <c r="DI96" s="43">
        <f t="shared" si="742"/>
        <v>1.0765429233333328</v>
      </c>
      <c r="DJ96" s="43">
        <f t="shared" si="743"/>
        <v>1.0185986866666661</v>
      </c>
      <c r="DK96" s="43">
        <f t="shared" si="744"/>
        <v>0.96065444999999938</v>
      </c>
      <c r="DL96" s="43">
        <f t="shared" si="745"/>
        <v>0.90271021333333268</v>
      </c>
      <c r="DM96" s="43">
        <f t="shared" si="746"/>
        <v>0.84476597666666597</v>
      </c>
      <c r="DN96" s="43">
        <f t="shared" si="747"/>
        <v>0.78682173999999927</v>
      </c>
      <c r="DO96" s="43">
        <f t="shared" si="748"/>
        <v>0.72887750333333257</v>
      </c>
      <c r="DP96" s="43">
        <f t="shared" si="749"/>
        <v>0.67093326666666586</v>
      </c>
      <c r="DQ96" s="43">
        <f t="shared" si="750"/>
        <v>0.61298902999999916</v>
      </c>
      <c r="DR96" s="43">
        <f t="shared" si="751"/>
        <v>0.55504479333333245</v>
      </c>
      <c r="DS96" s="43">
        <f t="shared" si="752"/>
        <v>0.4971005566666658</v>
      </c>
      <c r="DT96" s="43">
        <f t="shared" si="753"/>
        <v>0.43915631999999916</v>
      </c>
      <c r="DU96" s="43">
        <f t="shared" si="754"/>
        <v>0.38121208333333251</v>
      </c>
      <c r="DV96" s="43">
        <f t="shared" si="755"/>
        <v>0.32326784666666586</v>
      </c>
      <c r="DW96" s="43">
        <f t="shared" si="756"/>
        <v>0.26532360999999921</v>
      </c>
      <c r="DX96" s="43">
        <f t="shared" si="757"/>
        <v>0.20737937333333256</v>
      </c>
      <c r="DY96" s="43">
        <f t="shared" si="758"/>
        <v>0.14943513666666591</v>
      </c>
      <c r="DZ96" s="43">
        <f t="shared" si="759"/>
        <v>9.1490900000000083E-2</v>
      </c>
    </row>
    <row r="97" spans="1:165">
      <c r="A97" s="606" t="s">
        <v>33</v>
      </c>
      <c r="C97" s="54" t="s">
        <v>458</v>
      </c>
      <c r="D97" s="43">
        <f>$B$190</f>
        <v>5.0000000000000001E-3</v>
      </c>
      <c r="E97" s="43">
        <f t="shared" ref="E97:AG97" si="769">D97-($D97-$AH97)/30</f>
        <v>4.8333333333333336E-3</v>
      </c>
      <c r="F97" s="43">
        <f t="shared" si="769"/>
        <v>4.6666666666666671E-3</v>
      </c>
      <c r="G97" s="43">
        <f t="shared" si="769"/>
        <v>4.5000000000000005E-3</v>
      </c>
      <c r="H97" s="43">
        <f t="shared" si="769"/>
        <v>4.333333333333334E-3</v>
      </c>
      <c r="I97" s="43">
        <f t="shared" si="769"/>
        <v>4.1666666666666675E-3</v>
      </c>
      <c r="J97" s="43">
        <f t="shared" si="769"/>
        <v>4.000000000000001E-3</v>
      </c>
      <c r="K97" s="43">
        <f t="shared" si="769"/>
        <v>3.8333333333333344E-3</v>
      </c>
      <c r="L97" s="43">
        <f t="shared" si="769"/>
        <v>3.6666666666666679E-3</v>
      </c>
      <c r="M97" s="43">
        <f t="shared" si="769"/>
        <v>3.5000000000000014E-3</v>
      </c>
      <c r="N97" s="43">
        <f t="shared" si="769"/>
        <v>3.3333333333333348E-3</v>
      </c>
      <c r="O97" s="43">
        <f t="shared" si="769"/>
        <v>3.1666666666666683E-3</v>
      </c>
      <c r="P97" s="43">
        <f t="shared" si="769"/>
        <v>3.0000000000000018E-3</v>
      </c>
      <c r="Q97" s="43">
        <f t="shared" si="769"/>
        <v>2.8333333333333353E-3</v>
      </c>
      <c r="R97" s="43">
        <f t="shared" si="769"/>
        <v>2.6666666666666687E-3</v>
      </c>
      <c r="S97" s="43">
        <f t="shared" si="769"/>
        <v>2.5000000000000022E-3</v>
      </c>
      <c r="T97" s="43">
        <f t="shared" si="769"/>
        <v>2.3333333333333357E-3</v>
      </c>
      <c r="U97" s="43">
        <f t="shared" si="769"/>
        <v>2.1666666666666692E-3</v>
      </c>
      <c r="V97" s="43">
        <f t="shared" si="769"/>
        <v>2.0000000000000026E-3</v>
      </c>
      <c r="W97" s="43">
        <f t="shared" si="769"/>
        <v>1.8333333333333359E-3</v>
      </c>
      <c r="X97" s="43">
        <f t="shared" si="769"/>
        <v>1.6666666666666692E-3</v>
      </c>
      <c r="Y97" s="43">
        <f t="shared" si="769"/>
        <v>1.5000000000000024E-3</v>
      </c>
      <c r="Z97" s="43">
        <f t="shared" si="769"/>
        <v>1.3333333333333357E-3</v>
      </c>
      <c r="AA97" s="43">
        <f t="shared" si="769"/>
        <v>1.1666666666666689E-3</v>
      </c>
      <c r="AB97" s="43">
        <f t="shared" si="769"/>
        <v>1.0000000000000022E-3</v>
      </c>
      <c r="AC97" s="43">
        <f t="shared" si="769"/>
        <v>8.3333333333333556E-4</v>
      </c>
      <c r="AD97" s="43">
        <f t="shared" si="769"/>
        <v>6.6666666666666892E-4</v>
      </c>
      <c r="AE97" s="43">
        <f t="shared" si="769"/>
        <v>5.0000000000000229E-4</v>
      </c>
      <c r="AF97" s="43">
        <f t="shared" si="769"/>
        <v>3.3333333333333565E-4</v>
      </c>
      <c r="AG97" s="43">
        <f t="shared" si="769"/>
        <v>1.6666666666666899E-4</v>
      </c>
      <c r="AH97" s="43">
        <f>$C$190</f>
        <v>0</v>
      </c>
      <c r="AI97" s="44"/>
      <c r="AJ97" s="43">
        <f t="shared" si="761"/>
        <v>5.0000000000000001E-3</v>
      </c>
      <c r="AK97" s="43">
        <f t="shared" si="699"/>
        <v>4.8333333333333336E-3</v>
      </c>
      <c r="AL97" s="43">
        <f t="shared" si="700"/>
        <v>4.6666666666666671E-3</v>
      </c>
      <c r="AM97" s="43">
        <f t="shared" si="701"/>
        <v>4.5000000000000005E-3</v>
      </c>
      <c r="AN97" s="43">
        <f t="shared" si="702"/>
        <v>4.333333333333334E-3</v>
      </c>
      <c r="AO97" s="43">
        <f t="shared" si="703"/>
        <v>4.1666666666666675E-3</v>
      </c>
      <c r="AP97" s="43">
        <f t="shared" si="704"/>
        <v>4.000000000000001E-3</v>
      </c>
      <c r="AQ97" s="43">
        <f t="shared" si="705"/>
        <v>3.8333333333333344E-3</v>
      </c>
      <c r="AR97" s="43">
        <f t="shared" si="706"/>
        <v>3.6666666666666679E-3</v>
      </c>
      <c r="AS97" s="43">
        <f t="shared" si="707"/>
        <v>3.5000000000000014E-3</v>
      </c>
      <c r="AT97" s="43">
        <f t="shared" si="708"/>
        <v>3.3333333333333348E-3</v>
      </c>
      <c r="AU97" s="43">
        <f t="shared" si="709"/>
        <v>3.1666666666666683E-3</v>
      </c>
      <c r="AV97" s="43">
        <f t="shared" si="710"/>
        <v>3.0000000000000018E-3</v>
      </c>
      <c r="AW97" s="43">
        <f t="shared" si="711"/>
        <v>2.8333333333333353E-3</v>
      </c>
      <c r="AX97" s="43">
        <f t="shared" si="712"/>
        <v>2.6666666666666687E-3</v>
      </c>
      <c r="AY97" s="43">
        <f t="shared" si="713"/>
        <v>2.5000000000000022E-3</v>
      </c>
      <c r="AZ97" s="43">
        <f t="shared" si="714"/>
        <v>2.3333333333333357E-3</v>
      </c>
      <c r="BA97" s="43">
        <f t="shared" si="715"/>
        <v>2.1666666666666692E-3</v>
      </c>
      <c r="BB97" s="43">
        <f t="shared" si="716"/>
        <v>2.0000000000000026E-3</v>
      </c>
      <c r="BC97" s="43">
        <f t="shared" si="717"/>
        <v>1.8333333333333359E-3</v>
      </c>
      <c r="BD97" s="43">
        <f t="shared" si="718"/>
        <v>1.6666666666666692E-3</v>
      </c>
      <c r="BE97" s="43">
        <f t="shared" si="719"/>
        <v>1.5000000000000024E-3</v>
      </c>
      <c r="BF97" s="43">
        <f t="shared" si="720"/>
        <v>1.3333333333333357E-3</v>
      </c>
      <c r="BG97" s="43">
        <f t="shared" si="721"/>
        <v>1.1666666666666689E-3</v>
      </c>
      <c r="BH97" s="43">
        <f t="shared" si="722"/>
        <v>1.0000000000000022E-3</v>
      </c>
      <c r="BI97" s="43">
        <f t="shared" si="723"/>
        <v>8.3333333333333556E-4</v>
      </c>
      <c r="BJ97" s="43">
        <f t="shared" si="724"/>
        <v>6.6666666666666892E-4</v>
      </c>
      <c r="BK97" s="43">
        <f t="shared" si="725"/>
        <v>5.0000000000000229E-4</v>
      </c>
      <c r="BL97" s="43">
        <f t="shared" si="726"/>
        <v>3.3333333333333565E-4</v>
      </c>
      <c r="BM97" s="43">
        <f t="shared" si="727"/>
        <v>1.6666666666666899E-4</v>
      </c>
      <c r="BN97" s="43">
        <f t="shared" si="728"/>
        <v>0</v>
      </c>
      <c r="BP97" s="43">
        <f t="shared" si="762"/>
        <v>5.0000000000000001E-3</v>
      </c>
      <c r="BQ97" s="43">
        <f t="shared" ref="BQ97:CS97" si="770">BP97-($BP97-$CT97)/30</f>
        <v>5.0000000000000001E-3</v>
      </c>
      <c r="BR97" s="43">
        <f t="shared" si="770"/>
        <v>5.0000000000000001E-3</v>
      </c>
      <c r="BS97" s="43">
        <f t="shared" si="770"/>
        <v>5.0000000000000001E-3</v>
      </c>
      <c r="BT97" s="43">
        <f t="shared" si="770"/>
        <v>5.0000000000000001E-3</v>
      </c>
      <c r="BU97" s="43">
        <f t="shared" si="770"/>
        <v>5.0000000000000001E-3</v>
      </c>
      <c r="BV97" s="43">
        <f t="shared" si="770"/>
        <v>5.0000000000000001E-3</v>
      </c>
      <c r="BW97" s="43">
        <f t="shared" si="770"/>
        <v>5.0000000000000001E-3</v>
      </c>
      <c r="BX97" s="43">
        <f t="shared" si="770"/>
        <v>5.0000000000000001E-3</v>
      </c>
      <c r="BY97" s="43">
        <f t="shared" si="770"/>
        <v>5.0000000000000001E-3</v>
      </c>
      <c r="BZ97" s="43">
        <f t="shared" si="770"/>
        <v>5.0000000000000001E-3</v>
      </c>
      <c r="CA97" s="43">
        <f t="shared" si="770"/>
        <v>5.0000000000000001E-3</v>
      </c>
      <c r="CB97" s="43">
        <f t="shared" si="770"/>
        <v>5.0000000000000001E-3</v>
      </c>
      <c r="CC97" s="43">
        <f t="shared" si="770"/>
        <v>5.0000000000000001E-3</v>
      </c>
      <c r="CD97" s="43">
        <f t="shared" si="770"/>
        <v>5.0000000000000001E-3</v>
      </c>
      <c r="CE97" s="43">
        <f t="shared" si="770"/>
        <v>5.0000000000000001E-3</v>
      </c>
      <c r="CF97" s="43">
        <f t="shared" si="770"/>
        <v>5.0000000000000001E-3</v>
      </c>
      <c r="CG97" s="43">
        <f t="shared" si="770"/>
        <v>5.0000000000000001E-3</v>
      </c>
      <c r="CH97" s="43">
        <f t="shared" si="770"/>
        <v>5.0000000000000001E-3</v>
      </c>
      <c r="CI97" s="43">
        <f t="shared" si="770"/>
        <v>5.0000000000000001E-3</v>
      </c>
      <c r="CJ97" s="43">
        <f t="shared" si="770"/>
        <v>5.0000000000000001E-3</v>
      </c>
      <c r="CK97" s="43">
        <f t="shared" si="770"/>
        <v>5.0000000000000001E-3</v>
      </c>
      <c r="CL97" s="43">
        <f t="shared" si="770"/>
        <v>5.0000000000000001E-3</v>
      </c>
      <c r="CM97" s="43">
        <f t="shared" si="770"/>
        <v>5.0000000000000001E-3</v>
      </c>
      <c r="CN97" s="43">
        <f t="shared" si="770"/>
        <v>5.0000000000000001E-3</v>
      </c>
      <c r="CO97" s="43">
        <f t="shared" si="770"/>
        <v>5.0000000000000001E-3</v>
      </c>
      <c r="CP97" s="43">
        <f t="shared" si="770"/>
        <v>5.0000000000000001E-3</v>
      </c>
      <c r="CQ97" s="43">
        <f t="shared" si="770"/>
        <v>5.0000000000000001E-3</v>
      </c>
      <c r="CR97" s="43">
        <f t="shared" si="770"/>
        <v>5.0000000000000001E-3</v>
      </c>
      <c r="CS97" s="43">
        <f t="shared" si="770"/>
        <v>5.0000000000000001E-3</v>
      </c>
      <c r="CT97" s="43">
        <f t="shared" ref="CT97:CT101" si="771">BP97</f>
        <v>5.0000000000000001E-3</v>
      </c>
      <c r="CV97" s="43">
        <f>AJ97</f>
        <v>5.0000000000000001E-3</v>
      </c>
      <c r="CW97" s="43">
        <f t="shared" si="730"/>
        <v>4.8333333333333336E-3</v>
      </c>
      <c r="CX97" s="43">
        <f t="shared" si="731"/>
        <v>4.6666666666666671E-3</v>
      </c>
      <c r="CY97" s="43">
        <f t="shared" si="732"/>
        <v>4.5000000000000005E-3</v>
      </c>
      <c r="CZ97" s="43">
        <f t="shared" si="733"/>
        <v>4.333333333333334E-3</v>
      </c>
      <c r="DA97" s="43">
        <f t="shared" si="734"/>
        <v>4.1666666666666675E-3</v>
      </c>
      <c r="DB97" s="43">
        <f t="shared" si="735"/>
        <v>4.000000000000001E-3</v>
      </c>
      <c r="DC97" s="43">
        <f t="shared" si="736"/>
        <v>3.8333333333333344E-3</v>
      </c>
      <c r="DD97" s="43">
        <f t="shared" si="737"/>
        <v>3.6666666666666679E-3</v>
      </c>
      <c r="DE97" s="43">
        <f t="shared" si="738"/>
        <v>3.5000000000000014E-3</v>
      </c>
      <c r="DF97" s="43">
        <f t="shared" si="739"/>
        <v>3.3333333333333348E-3</v>
      </c>
      <c r="DG97" s="43">
        <f t="shared" si="740"/>
        <v>3.1666666666666683E-3</v>
      </c>
      <c r="DH97" s="43">
        <f t="shared" si="741"/>
        <v>3.0000000000000018E-3</v>
      </c>
      <c r="DI97" s="43">
        <f t="shared" si="742"/>
        <v>2.8333333333333353E-3</v>
      </c>
      <c r="DJ97" s="43">
        <f t="shared" si="743"/>
        <v>2.6666666666666687E-3</v>
      </c>
      <c r="DK97" s="43">
        <f t="shared" si="744"/>
        <v>2.5000000000000022E-3</v>
      </c>
      <c r="DL97" s="43">
        <f t="shared" si="745"/>
        <v>2.3333333333333357E-3</v>
      </c>
      <c r="DM97" s="43">
        <f t="shared" si="746"/>
        <v>2.1666666666666692E-3</v>
      </c>
      <c r="DN97" s="43">
        <f t="shared" si="747"/>
        <v>2.0000000000000026E-3</v>
      </c>
      <c r="DO97" s="43">
        <f t="shared" si="748"/>
        <v>1.8333333333333359E-3</v>
      </c>
      <c r="DP97" s="43">
        <f t="shared" si="749"/>
        <v>1.6666666666666692E-3</v>
      </c>
      <c r="DQ97" s="43">
        <f t="shared" si="750"/>
        <v>1.5000000000000024E-3</v>
      </c>
      <c r="DR97" s="43">
        <f t="shared" si="751"/>
        <v>1.3333333333333357E-3</v>
      </c>
      <c r="DS97" s="43">
        <f t="shared" si="752"/>
        <v>1.1666666666666689E-3</v>
      </c>
      <c r="DT97" s="43">
        <f t="shared" si="753"/>
        <v>1.0000000000000022E-3</v>
      </c>
      <c r="DU97" s="43">
        <f t="shared" si="754"/>
        <v>8.3333333333333556E-4</v>
      </c>
      <c r="DV97" s="43">
        <f t="shared" si="755"/>
        <v>6.6666666666666892E-4</v>
      </c>
      <c r="DW97" s="43">
        <f t="shared" si="756"/>
        <v>5.0000000000000229E-4</v>
      </c>
      <c r="DX97" s="43">
        <f t="shared" si="757"/>
        <v>3.3333333333333565E-4</v>
      </c>
      <c r="DY97" s="43">
        <f t="shared" si="758"/>
        <v>1.6666666666666899E-4</v>
      </c>
      <c r="DZ97" s="43">
        <f t="shared" si="759"/>
        <v>0</v>
      </c>
    </row>
    <row r="98" spans="1:165">
      <c r="A98" s="606" t="s">
        <v>451</v>
      </c>
      <c r="C98" s="54" t="s">
        <v>458</v>
      </c>
      <c r="D98" s="43">
        <f>$B$191</f>
        <v>0</v>
      </c>
      <c r="E98" s="43">
        <f t="shared" ref="E98:AG98" si="772">D98-($D98-$AH98)/30</f>
        <v>0</v>
      </c>
      <c r="F98" s="43">
        <f t="shared" si="772"/>
        <v>0</v>
      </c>
      <c r="G98" s="43">
        <f t="shared" si="772"/>
        <v>0</v>
      </c>
      <c r="H98" s="43">
        <f t="shared" si="772"/>
        <v>0</v>
      </c>
      <c r="I98" s="43">
        <f t="shared" si="772"/>
        <v>0</v>
      </c>
      <c r="J98" s="43">
        <f t="shared" si="772"/>
        <v>0</v>
      </c>
      <c r="K98" s="43">
        <f t="shared" si="772"/>
        <v>0</v>
      </c>
      <c r="L98" s="43">
        <f t="shared" si="772"/>
        <v>0</v>
      </c>
      <c r="M98" s="43">
        <f t="shared" si="772"/>
        <v>0</v>
      </c>
      <c r="N98" s="43">
        <f t="shared" si="772"/>
        <v>0</v>
      </c>
      <c r="O98" s="43">
        <f t="shared" si="772"/>
        <v>0</v>
      </c>
      <c r="P98" s="43">
        <f t="shared" si="772"/>
        <v>0</v>
      </c>
      <c r="Q98" s="43">
        <f t="shared" si="772"/>
        <v>0</v>
      </c>
      <c r="R98" s="43">
        <f t="shared" si="772"/>
        <v>0</v>
      </c>
      <c r="S98" s="43">
        <f t="shared" si="772"/>
        <v>0</v>
      </c>
      <c r="T98" s="43">
        <f t="shared" si="772"/>
        <v>0</v>
      </c>
      <c r="U98" s="43">
        <f t="shared" si="772"/>
        <v>0</v>
      </c>
      <c r="V98" s="43">
        <f t="shared" si="772"/>
        <v>0</v>
      </c>
      <c r="W98" s="43">
        <f t="shared" si="772"/>
        <v>0</v>
      </c>
      <c r="X98" s="43">
        <f t="shared" si="772"/>
        <v>0</v>
      </c>
      <c r="Y98" s="43">
        <f t="shared" si="772"/>
        <v>0</v>
      </c>
      <c r="Z98" s="43">
        <f t="shared" si="772"/>
        <v>0</v>
      </c>
      <c r="AA98" s="43">
        <f t="shared" si="772"/>
        <v>0</v>
      </c>
      <c r="AB98" s="43">
        <f t="shared" si="772"/>
        <v>0</v>
      </c>
      <c r="AC98" s="43">
        <f t="shared" si="772"/>
        <v>0</v>
      </c>
      <c r="AD98" s="43">
        <f t="shared" si="772"/>
        <v>0</v>
      </c>
      <c r="AE98" s="43">
        <f t="shared" si="772"/>
        <v>0</v>
      </c>
      <c r="AF98" s="43">
        <f t="shared" si="772"/>
        <v>0</v>
      </c>
      <c r="AG98" s="43">
        <f t="shared" si="772"/>
        <v>0</v>
      </c>
      <c r="AH98" s="43">
        <f>$C$191</f>
        <v>0</v>
      </c>
      <c r="AI98" s="44"/>
      <c r="AJ98" s="43">
        <f t="shared" si="761"/>
        <v>0</v>
      </c>
      <c r="AK98" s="43">
        <f t="shared" si="699"/>
        <v>0</v>
      </c>
      <c r="AL98" s="43">
        <f t="shared" si="700"/>
        <v>0</v>
      </c>
      <c r="AM98" s="43">
        <f t="shared" si="701"/>
        <v>0</v>
      </c>
      <c r="AN98" s="43">
        <f t="shared" si="702"/>
        <v>0</v>
      </c>
      <c r="AO98" s="43">
        <f t="shared" si="703"/>
        <v>0</v>
      </c>
      <c r="AP98" s="43">
        <f t="shared" si="704"/>
        <v>0</v>
      </c>
      <c r="AQ98" s="43">
        <f t="shared" si="705"/>
        <v>0</v>
      </c>
      <c r="AR98" s="43">
        <f t="shared" si="706"/>
        <v>0</v>
      </c>
      <c r="AS98" s="43">
        <f t="shared" si="707"/>
        <v>0</v>
      </c>
      <c r="AT98" s="43">
        <f t="shared" si="708"/>
        <v>0</v>
      </c>
      <c r="AU98" s="43">
        <f t="shared" si="709"/>
        <v>0</v>
      </c>
      <c r="AV98" s="43">
        <f t="shared" si="710"/>
        <v>0</v>
      </c>
      <c r="AW98" s="43">
        <f t="shared" si="711"/>
        <v>0</v>
      </c>
      <c r="AX98" s="43">
        <f t="shared" si="712"/>
        <v>0</v>
      </c>
      <c r="AY98" s="43">
        <f t="shared" si="713"/>
        <v>0</v>
      </c>
      <c r="AZ98" s="43">
        <f t="shared" si="714"/>
        <v>0</v>
      </c>
      <c r="BA98" s="43">
        <f t="shared" si="715"/>
        <v>0</v>
      </c>
      <c r="BB98" s="43">
        <f t="shared" si="716"/>
        <v>0</v>
      </c>
      <c r="BC98" s="43">
        <f t="shared" si="717"/>
        <v>0</v>
      </c>
      <c r="BD98" s="43">
        <f t="shared" si="718"/>
        <v>0</v>
      </c>
      <c r="BE98" s="43">
        <f t="shared" si="719"/>
        <v>0</v>
      </c>
      <c r="BF98" s="43">
        <f t="shared" si="720"/>
        <v>0</v>
      </c>
      <c r="BG98" s="43">
        <f t="shared" si="721"/>
        <v>0</v>
      </c>
      <c r="BH98" s="43">
        <f t="shared" si="722"/>
        <v>0</v>
      </c>
      <c r="BI98" s="43">
        <f t="shared" si="723"/>
        <v>0</v>
      </c>
      <c r="BJ98" s="43">
        <f t="shared" si="724"/>
        <v>0</v>
      </c>
      <c r="BK98" s="43">
        <f t="shared" si="725"/>
        <v>0</v>
      </c>
      <c r="BL98" s="43">
        <f t="shared" si="726"/>
        <v>0</v>
      </c>
      <c r="BM98" s="43">
        <f t="shared" si="727"/>
        <v>0</v>
      </c>
      <c r="BN98" s="43">
        <f t="shared" si="728"/>
        <v>0</v>
      </c>
      <c r="BP98" s="43">
        <f t="shared" si="762"/>
        <v>0</v>
      </c>
      <c r="BQ98" s="43">
        <f t="shared" ref="BQ98:CS98" si="773">BP98-($BP98-$CT98)/30</f>
        <v>0</v>
      </c>
      <c r="BR98" s="43">
        <f t="shared" si="773"/>
        <v>0</v>
      </c>
      <c r="BS98" s="43">
        <f t="shared" si="773"/>
        <v>0</v>
      </c>
      <c r="BT98" s="43">
        <f t="shared" si="773"/>
        <v>0</v>
      </c>
      <c r="BU98" s="43">
        <f t="shared" si="773"/>
        <v>0</v>
      </c>
      <c r="BV98" s="43">
        <f t="shared" si="773"/>
        <v>0</v>
      </c>
      <c r="BW98" s="43">
        <f t="shared" si="773"/>
        <v>0</v>
      </c>
      <c r="BX98" s="43">
        <f t="shared" si="773"/>
        <v>0</v>
      </c>
      <c r="BY98" s="43">
        <f t="shared" si="773"/>
        <v>0</v>
      </c>
      <c r="BZ98" s="43">
        <f t="shared" si="773"/>
        <v>0</v>
      </c>
      <c r="CA98" s="43">
        <f t="shared" si="773"/>
        <v>0</v>
      </c>
      <c r="CB98" s="43">
        <f t="shared" si="773"/>
        <v>0</v>
      </c>
      <c r="CC98" s="43">
        <f t="shared" si="773"/>
        <v>0</v>
      </c>
      <c r="CD98" s="43">
        <f t="shared" si="773"/>
        <v>0</v>
      </c>
      <c r="CE98" s="43">
        <f t="shared" si="773"/>
        <v>0</v>
      </c>
      <c r="CF98" s="43">
        <f t="shared" si="773"/>
        <v>0</v>
      </c>
      <c r="CG98" s="43">
        <f t="shared" si="773"/>
        <v>0</v>
      </c>
      <c r="CH98" s="43">
        <f t="shared" si="773"/>
        <v>0</v>
      </c>
      <c r="CI98" s="43">
        <f t="shared" si="773"/>
        <v>0</v>
      </c>
      <c r="CJ98" s="43">
        <f t="shared" si="773"/>
        <v>0</v>
      </c>
      <c r="CK98" s="43">
        <f t="shared" si="773"/>
        <v>0</v>
      </c>
      <c r="CL98" s="43">
        <f t="shared" si="773"/>
        <v>0</v>
      </c>
      <c r="CM98" s="43">
        <f t="shared" si="773"/>
        <v>0</v>
      </c>
      <c r="CN98" s="43">
        <f t="shared" si="773"/>
        <v>0</v>
      </c>
      <c r="CO98" s="43">
        <f t="shared" si="773"/>
        <v>0</v>
      </c>
      <c r="CP98" s="43">
        <f t="shared" si="773"/>
        <v>0</v>
      </c>
      <c r="CQ98" s="43">
        <f t="shared" si="773"/>
        <v>0</v>
      </c>
      <c r="CR98" s="43">
        <f t="shared" si="773"/>
        <v>0</v>
      </c>
      <c r="CS98" s="43">
        <f t="shared" si="773"/>
        <v>0</v>
      </c>
      <c r="CT98" s="43">
        <f t="shared" si="771"/>
        <v>0</v>
      </c>
      <c r="CV98" s="43">
        <f t="shared" ref="CV98:CV101" si="774">AJ98</f>
        <v>0</v>
      </c>
      <c r="CW98" s="43">
        <f t="shared" ref="CW98:CW101" si="775">CV98-($BP98-$CT98)/30</f>
        <v>0</v>
      </c>
      <c r="CX98" s="43">
        <f t="shared" ref="CX98:CX101" si="776">CW98-($BP98-$CT98)/30</f>
        <v>0</v>
      </c>
      <c r="CY98" s="43">
        <f t="shared" ref="CY98:CY101" si="777">CX98-($BP98-$CT98)/30</f>
        <v>0</v>
      </c>
      <c r="CZ98" s="43">
        <f t="shared" ref="CZ98:CZ101" si="778">CY98-($BP98-$CT98)/30</f>
        <v>0</v>
      </c>
      <c r="DA98" s="43">
        <f t="shared" ref="DA98:DA101" si="779">CZ98-($BP98-$CT98)/30</f>
        <v>0</v>
      </c>
      <c r="DB98" s="43">
        <f t="shared" ref="DB98:DB101" si="780">DA98-($BP98-$CT98)/30</f>
        <v>0</v>
      </c>
      <c r="DC98" s="43">
        <f t="shared" ref="DC98:DC101" si="781">DB98-($BP98-$CT98)/30</f>
        <v>0</v>
      </c>
      <c r="DD98" s="43">
        <f t="shared" ref="DD98:DD101" si="782">DC98-($BP98-$CT98)/30</f>
        <v>0</v>
      </c>
      <c r="DE98" s="43">
        <f t="shared" ref="DE98:DE101" si="783">DD98-($BP98-$CT98)/30</f>
        <v>0</v>
      </c>
      <c r="DF98" s="43">
        <f t="shared" ref="DF98:DF101" si="784">DE98-($BP98-$CT98)/30</f>
        <v>0</v>
      </c>
      <c r="DG98" s="43">
        <f t="shared" ref="DG98:DG101" si="785">DF98-($BP98-$CT98)/30</f>
        <v>0</v>
      </c>
      <c r="DH98" s="43">
        <f t="shared" ref="DH98:DH101" si="786">DG98-($BP98-$CT98)/30</f>
        <v>0</v>
      </c>
      <c r="DI98" s="43">
        <f t="shared" ref="DI98:DI101" si="787">DH98-($BP98-$CT98)/30</f>
        <v>0</v>
      </c>
      <c r="DJ98" s="43">
        <f t="shared" ref="DJ98:DJ101" si="788">DI98-($BP98-$CT98)/30</f>
        <v>0</v>
      </c>
      <c r="DK98" s="43">
        <f t="shared" ref="DK98:DK101" si="789">DJ98-($BP98-$CT98)/30</f>
        <v>0</v>
      </c>
      <c r="DL98" s="43">
        <f t="shared" ref="DL98:DL101" si="790">DK98-($BP98-$CT98)/30</f>
        <v>0</v>
      </c>
      <c r="DM98" s="43">
        <f t="shared" ref="DM98:DM101" si="791">DL98-($BP98-$CT98)/30</f>
        <v>0</v>
      </c>
      <c r="DN98" s="43">
        <f t="shared" ref="DN98:DN101" si="792">DM98-($BP98-$CT98)/30</f>
        <v>0</v>
      </c>
      <c r="DO98" s="43">
        <f t="shared" ref="DO98:DO101" si="793">DN98-($BP98-$CT98)/30</f>
        <v>0</v>
      </c>
      <c r="DP98" s="43">
        <f t="shared" ref="DP98:DP101" si="794">DO98-($BP98-$CT98)/30</f>
        <v>0</v>
      </c>
      <c r="DQ98" s="43">
        <f t="shared" ref="DQ98:DQ101" si="795">DP98-($BP98-$CT98)/30</f>
        <v>0</v>
      </c>
      <c r="DR98" s="43">
        <f t="shared" ref="DR98:DR101" si="796">DQ98-($BP98-$CT98)/30</f>
        <v>0</v>
      </c>
      <c r="DS98" s="43">
        <f t="shared" ref="DS98:DS101" si="797">DR98-($BP98-$CT98)/30</f>
        <v>0</v>
      </c>
      <c r="DT98" s="43">
        <f t="shared" ref="DT98:DT101" si="798">DS98-($BP98-$CT98)/30</f>
        <v>0</v>
      </c>
      <c r="DU98" s="43">
        <f t="shared" ref="DU98:DU101" si="799">DT98-($BP98-$CT98)/30</f>
        <v>0</v>
      </c>
      <c r="DV98" s="43">
        <f t="shared" ref="DV98:DV101" si="800">DU98-($BP98-$CT98)/30</f>
        <v>0</v>
      </c>
      <c r="DW98" s="43">
        <f t="shared" ref="DW98:DW101" si="801">DV98-($BP98-$CT98)/30</f>
        <v>0</v>
      </c>
      <c r="DX98" s="43">
        <f t="shared" ref="DX98:DX101" si="802">DW98-($BP98-$CT98)/30</f>
        <v>0</v>
      </c>
      <c r="DY98" s="43">
        <f t="shared" ref="DY98:DY101" si="803">DX98-($BP98-$CT98)/30</f>
        <v>0</v>
      </c>
      <c r="DZ98" s="43">
        <v>0</v>
      </c>
    </row>
    <row r="99" spans="1:165">
      <c r="A99" s="606" t="s">
        <v>452</v>
      </c>
      <c r="C99" s="54" t="s">
        <v>458</v>
      </c>
      <c r="D99" s="43">
        <f>$B$192</f>
        <v>2.8940000000000001</v>
      </c>
      <c r="E99" s="43">
        <f t="shared" ref="E99:AG99" si="804">D99-($D99-$AH99)/30</f>
        <v>2.8940000000000001</v>
      </c>
      <c r="F99" s="43">
        <f t="shared" si="804"/>
        <v>2.8940000000000001</v>
      </c>
      <c r="G99" s="43">
        <f t="shared" si="804"/>
        <v>2.8940000000000001</v>
      </c>
      <c r="H99" s="43">
        <f t="shared" si="804"/>
        <v>2.8940000000000001</v>
      </c>
      <c r="I99" s="43">
        <f t="shared" si="804"/>
        <v>2.8940000000000001</v>
      </c>
      <c r="J99" s="43">
        <f t="shared" si="804"/>
        <v>2.8940000000000001</v>
      </c>
      <c r="K99" s="43">
        <f t="shared" si="804"/>
        <v>2.8940000000000001</v>
      </c>
      <c r="L99" s="43">
        <f t="shared" si="804"/>
        <v>2.8940000000000001</v>
      </c>
      <c r="M99" s="43">
        <f t="shared" si="804"/>
        <v>2.8940000000000001</v>
      </c>
      <c r="N99" s="43">
        <f t="shared" si="804"/>
        <v>2.8940000000000001</v>
      </c>
      <c r="O99" s="43">
        <f t="shared" si="804"/>
        <v>2.8940000000000001</v>
      </c>
      <c r="P99" s="43">
        <f t="shared" si="804"/>
        <v>2.8940000000000001</v>
      </c>
      <c r="Q99" s="43">
        <f t="shared" si="804"/>
        <v>2.8940000000000001</v>
      </c>
      <c r="R99" s="43">
        <f t="shared" si="804"/>
        <v>2.8940000000000001</v>
      </c>
      <c r="S99" s="43">
        <f t="shared" si="804"/>
        <v>2.8940000000000001</v>
      </c>
      <c r="T99" s="43">
        <f t="shared" si="804"/>
        <v>2.8940000000000001</v>
      </c>
      <c r="U99" s="43">
        <f t="shared" si="804"/>
        <v>2.8940000000000001</v>
      </c>
      <c r="V99" s="43">
        <f t="shared" si="804"/>
        <v>2.8940000000000001</v>
      </c>
      <c r="W99" s="43">
        <f t="shared" si="804"/>
        <v>2.8940000000000001</v>
      </c>
      <c r="X99" s="43">
        <f t="shared" si="804"/>
        <v>2.8940000000000001</v>
      </c>
      <c r="Y99" s="43">
        <f t="shared" si="804"/>
        <v>2.8940000000000001</v>
      </c>
      <c r="Z99" s="43">
        <f t="shared" si="804"/>
        <v>2.8940000000000001</v>
      </c>
      <c r="AA99" s="43">
        <f t="shared" si="804"/>
        <v>2.8940000000000001</v>
      </c>
      <c r="AB99" s="43">
        <f t="shared" si="804"/>
        <v>2.8940000000000001</v>
      </c>
      <c r="AC99" s="43">
        <f t="shared" si="804"/>
        <v>2.8940000000000001</v>
      </c>
      <c r="AD99" s="43">
        <f t="shared" si="804"/>
        <v>2.8940000000000001</v>
      </c>
      <c r="AE99" s="43">
        <f t="shared" si="804"/>
        <v>2.8940000000000001</v>
      </c>
      <c r="AF99" s="43">
        <f t="shared" si="804"/>
        <v>2.8940000000000001</v>
      </c>
      <c r="AG99" s="43">
        <f t="shared" si="804"/>
        <v>2.8940000000000001</v>
      </c>
      <c r="AH99" s="43">
        <f>$C$192</f>
        <v>2.8940000000000001</v>
      </c>
      <c r="AI99" s="44"/>
      <c r="AJ99" s="43">
        <f t="shared" si="761"/>
        <v>2.8940000000000001</v>
      </c>
      <c r="AK99" s="43">
        <f t="shared" si="699"/>
        <v>2.8940000000000001</v>
      </c>
      <c r="AL99" s="43">
        <f t="shared" si="700"/>
        <v>2.8940000000000001</v>
      </c>
      <c r="AM99" s="43">
        <f t="shared" si="701"/>
        <v>2.8940000000000001</v>
      </c>
      <c r="AN99" s="43">
        <f t="shared" si="702"/>
        <v>2.8940000000000001</v>
      </c>
      <c r="AO99" s="43">
        <f t="shared" si="703"/>
        <v>2.8940000000000001</v>
      </c>
      <c r="AP99" s="43">
        <f t="shared" si="704"/>
        <v>2.8940000000000001</v>
      </c>
      <c r="AQ99" s="43">
        <f t="shared" si="705"/>
        <v>2.8940000000000001</v>
      </c>
      <c r="AR99" s="43">
        <f t="shared" si="706"/>
        <v>2.8940000000000001</v>
      </c>
      <c r="AS99" s="43">
        <f t="shared" si="707"/>
        <v>2.8940000000000001</v>
      </c>
      <c r="AT99" s="43">
        <f t="shared" si="708"/>
        <v>2.8940000000000001</v>
      </c>
      <c r="AU99" s="43">
        <f t="shared" si="709"/>
        <v>2.8940000000000001</v>
      </c>
      <c r="AV99" s="43">
        <f t="shared" si="710"/>
        <v>2.8940000000000001</v>
      </c>
      <c r="AW99" s="43">
        <f t="shared" si="711"/>
        <v>2.8940000000000001</v>
      </c>
      <c r="AX99" s="43">
        <f t="shared" si="712"/>
        <v>2.8940000000000001</v>
      </c>
      <c r="AY99" s="43">
        <f t="shared" si="713"/>
        <v>2.8940000000000001</v>
      </c>
      <c r="AZ99" s="43">
        <f t="shared" si="714"/>
        <v>2.8940000000000001</v>
      </c>
      <c r="BA99" s="43">
        <f t="shared" si="715"/>
        <v>2.8940000000000001</v>
      </c>
      <c r="BB99" s="43">
        <f t="shared" si="716"/>
        <v>2.8940000000000001</v>
      </c>
      <c r="BC99" s="43">
        <f t="shared" si="717"/>
        <v>2.8940000000000001</v>
      </c>
      <c r="BD99" s="43">
        <f t="shared" si="718"/>
        <v>2.8940000000000001</v>
      </c>
      <c r="BE99" s="43">
        <f t="shared" si="719"/>
        <v>2.8940000000000001</v>
      </c>
      <c r="BF99" s="43">
        <f t="shared" si="720"/>
        <v>2.8940000000000001</v>
      </c>
      <c r="BG99" s="43">
        <f t="shared" si="721"/>
        <v>2.8940000000000001</v>
      </c>
      <c r="BH99" s="43">
        <f t="shared" si="722"/>
        <v>2.8940000000000001</v>
      </c>
      <c r="BI99" s="43">
        <f t="shared" si="723"/>
        <v>2.8940000000000001</v>
      </c>
      <c r="BJ99" s="43">
        <f t="shared" si="724"/>
        <v>2.8940000000000001</v>
      </c>
      <c r="BK99" s="43">
        <f t="shared" si="725"/>
        <v>2.8940000000000001</v>
      </c>
      <c r="BL99" s="43">
        <f t="shared" si="726"/>
        <v>2.8940000000000001</v>
      </c>
      <c r="BM99" s="43">
        <f t="shared" si="727"/>
        <v>2.8940000000000001</v>
      </c>
      <c r="BN99" s="43">
        <f t="shared" si="728"/>
        <v>2.8940000000000001</v>
      </c>
      <c r="BP99" s="43">
        <f t="shared" si="762"/>
        <v>2.8940000000000001</v>
      </c>
      <c r="BQ99" s="43">
        <f t="shared" ref="BQ99:CS99" si="805">BP99-($BP99-$CT99)/30</f>
        <v>2.8940000000000001</v>
      </c>
      <c r="BR99" s="43">
        <f t="shared" si="805"/>
        <v>2.8940000000000001</v>
      </c>
      <c r="BS99" s="43">
        <f t="shared" si="805"/>
        <v>2.8940000000000001</v>
      </c>
      <c r="BT99" s="43">
        <f t="shared" si="805"/>
        <v>2.8940000000000001</v>
      </c>
      <c r="BU99" s="43">
        <f t="shared" si="805"/>
        <v>2.8940000000000001</v>
      </c>
      <c r="BV99" s="43">
        <f t="shared" si="805"/>
        <v>2.8940000000000001</v>
      </c>
      <c r="BW99" s="43">
        <f t="shared" si="805"/>
        <v>2.8940000000000001</v>
      </c>
      <c r="BX99" s="43">
        <f t="shared" si="805"/>
        <v>2.8940000000000001</v>
      </c>
      <c r="BY99" s="43">
        <f t="shared" si="805"/>
        <v>2.8940000000000001</v>
      </c>
      <c r="BZ99" s="43">
        <f t="shared" si="805"/>
        <v>2.8940000000000001</v>
      </c>
      <c r="CA99" s="43">
        <f t="shared" si="805"/>
        <v>2.8940000000000001</v>
      </c>
      <c r="CB99" s="43">
        <f t="shared" si="805"/>
        <v>2.8940000000000001</v>
      </c>
      <c r="CC99" s="43">
        <f t="shared" si="805"/>
        <v>2.8940000000000001</v>
      </c>
      <c r="CD99" s="43">
        <f t="shared" si="805"/>
        <v>2.8940000000000001</v>
      </c>
      <c r="CE99" s="43">
        <f t="shared" si="805"/>
        <v>2.8940000000000001</v>
      </c>
      <c r="CF99" s="43">
        <f t="shared" si="805"/>
        <v>2.8940000000000001</v>
      </c>
      <c r="CG99" s="43">
        <f t="shared" si="805"/>
        <v>2.8940000000000001</v>
      </c>
      <c r="CH99" s="43">
        <f t="shared" si="805"/>
        <v>2.8940000000000001</v>
      </c>
      <c r="CI99" s="43">
        <f t="shared" si="805"/>
        <v>2.8940000000000001</v>
      </c>
      <c r="CJ99" s="43">
        <f t="shared" si="805"/>
        <v>2.8940000000000001</v>
      </c>
      <c r="CK99" s="43">
        <f t="shared" si="805"/>
        <v>2.8940000000000001</v>
      </c>
      <c r="CL99" s="43">
        <f t="shared" si="805"/>
        <v>2.8940000000000001</v>
      </c>
      <c r="CM99" s="43">
        <f t="shared" si="805"/>
        <v>2.8940000000000001</v>
      </c>
      <c r="CN99" s="43">
        <f t="shared" si="805"/>
        <v>2.8940000000000001</v>
      </c>
      <c r="CO99" s="43">
        <f t="shared" si="805"/>
        <v>2.8940000000000001</v>
      </c>
      <c r="CP99" s="43">
        <f t="shared" si="805"/>
        <v>2.8940000000000001</v>
      </c>
      <c r="CQ99" s="43">
        <f t="shared" si="805"/>
        <v>2.8940000000000001</v>
      </c>
      <c r="CR99" s="43">
        <f t="shared" si="805"/>
        <v>2.8940000000000001</v>
      </c>
      <c r="CS99" s="43">
        <f t="shared" si="805"/>
        <v>2.8940000000000001</v>
      </c>
      <c r="CT99" s="43">
        <f t="shared" si="771"/>
        <v>2.8940000000000001</v>
      </c>
      <c r="CV99" s="43">
        <f t="shared" si="774"/>
        <v>2.8940000000000001</v>
      </c>
      <c r="CW99" s="43">
        <f t="shared" si="775"/>
        <v>2.8940000000000001</v>
      </c>
      <c r="CX99" s="43">
        <f t="shared" si="776"/>
        <v>2.8940000000000001</v>
      </c>
      <c r="CY99" s="43">
        <f t="shared" si="777"/>
        <v>2.8940000000000001</v>
      </c>
      <c r="CZ99" s="43">
        <f t="shared" si="778"/>
        <v>2.8940000000000001</v>
      </c>
      <c r="DA99" s="43">
        <f t="shared" si="779"/>
        <v>2.8940000000000001</v>
      </c>
      <c r="DB99" s="43">
        <f t="shared" si="780"/>
        <v>2.8940000000000001</v>
      </c>
      <c r="DC99" s="43">
        <f t="shared" si="781"/>
        <v>2.8940000000000001</v>
      </c>
      <c r="DD99" s="43">
        <f t="shared" si="782"/>
        <v>2.8940000000000001</v>
      </c>
      <c r="DE99" s="43">
        <f t="shared" si="783"/>
        <v>2.8940000000000001</v>
      </c>
      <c r="DF99" s="43">
        <f t="shared" si="784"/>
        <v>2.8940000000000001</v>
      </c>
      <c r="DG99" s="43">
        <f t="shared" si="785"/>
        <v>2.8940000000000001</v>
      </c>
      <c r="DH99" s="43">
        <f t="shared" si="786"/>
        <v>2.8940000000000001</v>
      </c>
      <c r="DI99" s="43">
        <f t="shared" si="787"/>
        <v>2.8940000000000001</v>
      </c>
      <c r="DJ99" s="43">
        <f t="shared" si="788"/>
        <v>2.8940000000000001</v>
      </c>
      <c r="DK99" s="43">
        <f t="shared" si="789"/>
        <v>2.8940000000000001</v>
      </c>
      <c r="DL99" s="43">
        <f t="shared" si="790"/>
        <v>2.8940000000000001</v>
      </c>
      <c r="DM99" s="43">
        <f t="shared" si="791"/>
        <v>2.8940000000000001</v>
      </c>
      <c r="DN99" s="43">
        <f t="shared" si="792"/>
        <v>2.8940000000000001</v>
      </c>
      <c r="DO99" s="43">
        <f t="shared" si="793"/>
        <v>2.8940000000000001</v>
      </c>
      <c r="DP99" s="43">
        <f t="shared" si="794"/>
        <v>2.8940000000000001</v>
      </c>
      <c r="DQ99" s="43">
        <f t="shared" si="795"/>
        <v>2.8940000000000001</v>
      </c>
      <c r="DR99" s="43">
        <f t="shared" si="796"/>
        <v>2.8940000000000001</v>
      </c>
      <c r="DS99" s="43">
        <f t="shared" si="797"/>
        <v>2.8940000000000001</v>
      </c>
      <c r="DT99" s="43">
        <f t="shared" si="798"/>
        <v>2.8940000000000001</v>
      </c>
      <c r="DU99" s="43">
        <f t="shared" si="799"/>
        <v>2.8940000000000001</v>
      </c>
      <c r="DV99" s="43">
        <f t="shared" si="800"/>
        <v>2.8940000000000001</v>
      </c>
      <c r="DW99" s="43">
        <f t="shared" si="801"/>
        <v>2.8940000000000001</v>
      </c>
      <c r="DX99" s="43">
        <f t="shared" si="802"/>
        <v>2.8940000000000001</v>
      </c>
      <c r="DY99" s="43">
        <f t="shared" si="803"/>
        <v>2.8940000000000001</v>
      </c>
      <c r="DZ99" s="43">
        <f t="shared" ref="DZ99:DZ101" si="806">CV99</f>
        <v>2.8940000000000001</v>
      </c>
    </row>
    <row r="100" spans="1:165">
      <c r="A100" s="606" t="s">
        <v>453</v>
      </c>
      <c r="C100" s="54" t="s">
        <v>458</v>
      </c>
      <c r="D100" s="43">
        <f>$B$193</f>
        <v>0</v>
      </c>
      <c r="E100" s="43">
        <f t="shared" ref="E100:AG100" si="807">D100-($D100-$AH100)/30</f>
        <v>0</v>
      </c>
      <c r="F100" s="43">
        <f t="shared" si="807"/>
        <v>0</v>
      </c>
      <c r="G100" s="43">
        <f t="shared" si="807"/>
        <v>0</v>
      </c>
      <c r="H100" s="43">
        <f t="shared" si="807"/>
        <v>0</v>
      </c>
      <c r="I100" s="43">
        <f t="shared" si="807"/>
        <v>0</v>
      </c>
      <c r="J100" s="43">
        <f t="shared" si="807"/>
        <v>0</v>
      </c>
      <c r="K100" s="43">
        <f t="shared" si="807"/>
        <v>0</v>
      </c>
      <c r="L100" s="43">
        <f t="shared" si="807"/>
        <v>0</v>
      </c>
      <c r="M100" s="43">
        <f t="shared" si="807"/>
        <v>0</v>
      </c>
      <c r="N100" s="43">
        <f t="shared" si="807"/>
        <v>0</v>
      </c>
      <c r="O100" s="43">
        <f t="shared" si="807"/>
        <v>0</v>
      </c>
      <c r="P100" s="43">
        <f t="shared" si="807"/>
        <v>0</v>
      </c>
      <c r="Q100" s="43">
        <f t="shared" si="807"/>
        <v>0</v>
      </c>
      <c r="R100" s="43">
        <f t="shared" si="807"/>
        <v>0</v>
      </c>
      <c r="S100" s="43">
        <f t="shared" si="807"/>
        <v>0</v>
      </c>
      <c r="T100" s="43">
        <f t="shared" si="807"/>
        <v>0</v>
      </c>
      <c r="U100" s="43">
        <f t="shared" si="807"/>
        <v>0</v>
      </c>
      <c r="V100" s="43">
        <f t="shared" si="807"/>
        <v>0</v>
      </c>
      <c r="W100" s="43">
        <f t="shared" si="807"/>
        <v>0</v>
      </c>
      <c r="X100" s="43">
        <f t="shared" si="807"/>
        <v>0</v>
      </c>
      <c r="Y100" s="43">
        <f t="shared" si="807"/>
        <v>0</v>
      </c>
      <c r="Z100" s="43">
        <f t="shared" si="807"/>
        <v>0</v>
      </c>
      <c r="AA100" s="43">
        <f t="shared" si="807"/>
        <v>0</v>
      </c>
      <c r="AB100" s="43">
        <f t="shared" si="807"/>
        <v>0</v>
      </c>
      <c r="AC100" s="43">
        <f t="shared" si="807"/>
        <v>0</v>
      </c>
      <c r="AD100" s="43">
        <f t="shared" si="807"/>
        <v>0</v>
      </c>
      <c r="AE100" s="43">
        <f t="shared" si="807"/>
        <v>0</v>
      </c>
      <c r="AF100" s="43">
        <f t="shared" si="807"/>
        <v>0</v>
      </c>
      <c r="AG100" s="43">
        <f t="shared" si="807"/>
        <v>0</v>
      </c>
      <c r="AH100" s="43">
        <f>$C$193</f>
        <v>0</v>
      </c>
      <c r="AI100" s="44"/>
      <c r="AJ100" s="43">
        <f t="shared" si="761"/>
        <v>0</v>
      </c>
      <c r="AK100" s="43">
        <f t="shared" si="699"/>
        <v>0</v>
      </c>
      <c r="AL100" s="43">
        <f t="shared" si="700"/>
        <v>0</v>
      </c>
      <c r="AM100" s="43">
        <f t="shared" si="701"/>
        <v>0</v>
      </c>
      <c r="AN100" s="43">
        <f t="shared" si="702"/>
        <v>0</v>
      </c>
      <c r="AO100" s="43">
        <f t="shared" si="703"/>
        <v>0</v>
      </c>
      <c r="AP100" s="43">
        <f t="shared" si="704"/>
        <v>0</v>
      </c>
      <c r="AQ100" s="43">
        <f t="shared" si="705"/>
        <v>0</v>
      </c>
      <c r="AR100" s="43">
        <f t="shared" si="706"/>
        <v>0</v>
      </c>
      <c r="AS100" s="43">
        <f t="shared" si="707"/>
        <v>0</v>
      </c>
      <c r="AT100" s="43">
        <f t="shared" si="708"/>
        <v>0</v>
      </c>
      <c r="AU100" s="43">
        <f t="shared" si="709"/>
        <v>0</v>
      </c>
      <c r="AV100" s="43">
        <f t="shared" si="710"/>
        <v>0</v>
      </c>
      <c r="AW100" s="43">
        <f t="shared" si="711"/>
        <v>0</v>
      </c>
      <c r="AX100" s="43">
        <f t="shared" si="712"/>
        <v>0</v>
      </c>
      <c r="AY100" s="43">
        <f t="shared" si="713"/>
        <v>0</v>
      </c>
      <c r="AZ100" s="43">
        <f t="shared" si="714"/>
        <v>0</v>
      </c>
      <c r="BA100" s="43">
        <f t="shared" si="715"/>
        <v>0</v>
      </c>
      <c r="BB100" s="43">
        <f t="shared" si="716"/>
        <v>0</v>
      </c>
      <c r="BC100" s="43">
        <f t="shared" si="717"/>
        <v>0</v>
      </c>
      <c r="BD100" s="43">
        <f t="shared" si="718"/>
        <v>0</v>
      </c>
      <c r="BE100" s="43">
        <f t="shared" si="719"/>
        <v>0</v>
      </c>
      <c r="BF100" s="43">
        <f t="shared" si="720"/>
        <v>0</v>
      </c>
      <c r="BG100" s="43">
        <f t="shared" si="721"/>
        <v>0</v>
      </c>
      <c r="BH100" s="43">
        <f t="shared" si="722"/>
        <v>0</v>
      </c>
      <c r="BI100" s="43">
        <f t="shared" si="723"/>
        <v>0</v>
      </c>
      <c r="BJ100" s="43">
        <f t="shared" si="724"/>
        <v>0</v>
      </c>
      <c r="BK100" s="43">
        <f t="shared" si="725"/>
        <v>0</v>
      </c>
      <c r="BL100" s="43">
        <f t="shared" si="726"/>
        <v>0</v>
      </c>
      <c r="BM100" s="43">
        <f t="shared" si="727"/>
        <v>0</v>
      </c>
      <c r="BN100" s="43">
        <f t="shared" si="728"/>
        <v>0</v>
      </c>
      <c r="BP100" s="43">
        <f t="shared" si="762"/>
        <v>0</v>
      </c>
      <c r="BQ100" s="43">
        <f t="shared" ref="BQ100:CS100" si="808">BP100-($BP100-$CT100)/30</f>
        <v>0</v>
      </c>
      <c r="BR100" s="43">
        <f t="shared" si="808"/>
        <v>0</v>
      </c>
      <c r="BS100" s="43">
        <f t="shared" si="808"/>
        <v>0</v>
      </c>
      <c r="BT100" s="43">
        <f t="shared" si="808"/>
        <v>0</v>
      </c>
      <c r="BU100" s="43">
        <f t="shared" si="808"/>
        <v>0</v>
      </c>
      <c r="BV100" s="43">
        <f t="shared" si="808"/>
        <v>0</v>
      </c>
      <c r="BW100" s="43">
        <f t="shared" si="808"/>
        <v>0</v>
      </c>
      <c r="BX100" s="43">
        <f t="shared" si="808"/>
        <v>0</v>
      </c>
      <c r="BY100" s="43">
        <f t="shared" si="808"/>
        <v>0</v>
      </c>
      <c r="BZ100" s="43">
        <f t="shared" si="808"/>
        <v>0</v>
      </c>
      <c r="CA100" s="43">
        <f t="shared" si="808"/>
        <v>0</v>
      </c>
      <c r="CB100" s="43">
        <f t="shared" si="808"/>
        <v>0</v>
      </c>
      <c r="CC100" s="43">
        <f t="shared" si="808"/>
        <v>0</v>
      </c>
      <c r="CD100" s="43">
        <f t="shared" si="808"/>
        <v>0</v>
      </c>
      <c r="CE100" s="43">
        <f t="shared" si="808"/>
        <v>0</v>
      </c>
      <c r="CF100" s="43">
        <f t="shared" si="808"/>
        <v>0</v>
      </c>
      <c r="CG100" s="43">
        <f t="shared" si="808"/>
        <v>0</v>
      </c>
      <c r="CH100" s="43">
        <f t="shared" si="808"/>
        <v>0</v>
      </c>
      <c r="CI100" s="43">
        <f t="shared" si="808"/>
        <v>0</v>
      </c>
      <c r="CJ100" s="43">
        <f t="shared" si="808"/>
        <v>0</v>
      </c>
      <c r="CK100" s="43">
        <f t="shared" si="808"/>
        <v>0</v>
      </c>
      <c r="CL100" s="43">
        <f t="shared" si="808"/>
        <v>0</v>
      </c>
      <c r="CM100" s="43">
        <f t="shared" si="808"/>
        <v>0</v>
      </c>
      <c r="CN100" s="43">
        <f t="shared" si="808"/>
        <v>0</v>
      </c>
      <c r="CO100" s="43">
        <f t="shared" si="808"/>
        <v>0</v>
      </c>
      <c r="CP100" s="43">
        <f t="shared" si="808"/>
        <v>0</v>
      </c>
      <c r="CQ100" s="43">
        <f t="shared" si="808"/>
        <v>0</v>
      </c>
      <c r="CR100" s="43">
        <f t="shared" si="808"/>
        <v>0</v>
      </c>
      <c r="CS100" s="43">
        <f t="shared" si="808"/>
        <v>0</v>
      </c>
      <c r="CT100" s="43">
        <f t="shared" si="771"/>
        <v>0</v>
      </c>
      <c r="CV100" s="43">
        <f t="shared" si="774"/>
        <v>0</v>
      </c>
      <c r="CW100" s="43">
        <f t="shared" si="775"/>
        <v>0</v>
      </c>
      <c r="CX100" s="43">
        <f t="shared" si="776"/>
        <v>0</v>
      </c>
      <c r="CY100" s="43">
        <f t="shared" si="777"/>
        <v>0</v>
      </c>
      <c r="CZ100" s="43">
        <f t="shared" si="778"/>
        <v>0</v>
      </c>
      <c r="DA100" s="43">
        <f t="shared" si="779"/>
        <v>0</v>
      </c>
      <c r="DB100" s="43">
        <f t="shared" si="780"/>
        <v>0</v>
      </c>
      <c r="DC100" s="43">
        <f t="shared" si="781"/>
        <v>0</v>
      </c>
      <c r="DD100" s="43">
        <f t="shared" si="782"/>
        <v>0</v>
      </c>
      <c r="DE100" s="43">
        <f t="shared" si="783"/>
        <v>0</v>
      </c>
      <c r="DF100" s="43">
        <f t="shared" si="784"/>
        <v>0</v>
      </c>
      <c r="DG100" s="43">
        <f t="shared" si="785"/>
        <v>0</v>
      </c>
      <c r="DH100" s="43">
        <f t="shared" si="786"/>
        <v>0</v>
      </c>
      <c r="DI100" s="43">
        <f t="shared" si="787"/>
        <v>0</v>
      </c>
      <c r="DJ100" s="43">
        <f t="shared" si="788"/>
        <v>0</v>
      </c>
      <c r="DK100" s="43">
        <f t="shared" si="789"/>
        <v>0</v>
      </c>
      <c r="DL100" s="43">
        <f t="shared" si="790"/>
        <v>0</v>
      </c>
      <c r="DM100" s="43">
        <f t="shared" si="791"/>
        <v>0</v>
      </c>
      <c r="DN100" s="43">
        <f t="shared" si="792"/>
        <v>0</v>
      </c>
      <c r="DO100" s="43">
        <f t="shared" si="793"/>
        <v>0</v>
      </c>
      <c r="DP100" s="43">
        <f t="shared" si="794"/>
        <v>0</v>
      </c>
      <c r="DQ100" s="43">
        <f t="shared" si="795"/>
        <v>0</v>
      </c>
      <c r="DR100" s="43">
        <f t="shared" si="796"/>
        <v>0</v>
      </c>
      <c r="DS100" s="43">
        <f t="shared" si="797"/>
        <v>0</v>
      </c>
      <c r="DT100" s="43">
        <f t="shared" si="798"/>
        <v>0</v>
      </c>
      <c r="DU100" s="43">
        <f t="shared" si="799"/>
        <v>0</v>
      </c>
      <c r="DV100" s="43">
        <f t="shared" si="800"/>
        <v>0</v>
      </c>
      <c r="DW100" s="43">
        <f t="shared" si="801"/>
        <v>0</v>
      </c>
      <c r="DX100" s="43">
        <f t="shared" si="802"/>
        <v>0</v>
      </c>
      <c r="DY100" s="43">
        <f t="shared" si="803"/>
        <v>0</v>
      </c>
      <c r="DZ100" s="43">
        <f t="shared" si="806"/>
        <v>0</v>
      </c>
    </row>
    <row r="101" spans="1:165" ht="16" thickBot="1">
      <c r="A101" s="606" t="s">
        <v>454</v>
      </c>
      <c r="C101" s="54" t="s">
        <v>458</v>
      </c>
      <c r="D101" s="43">
        <f>$B$194</f>
        <v>0</v>
      </c>
      <c r="E101" s="43">
        <f t="shared" ref="E101:AG101" si="809">D101-($D101-$AH101)/30</f>
        <v>0</v>
      </c>
      <c r="F101" s="43">
        <f t="shared" si="809"/>
        <v>0</v>
      </c>
      <c r="G101" s="43">
        <f t="shared" si="809"/>
        <v>0</v>
      </c>
      <c r="H101" s="43">
        <f t="shared" si="809"/>
        <v>0</v>
      </c>
      <c r="I101" s="43">
        <f t="shared" si="809"/>
        <v>0</v>
      </c>
      <c r="J101" s="43">
        <f t="shared" si="809"/>
        <v>0</v>
      </c>
      <c r="K101" s="43">
        <f t="shared" si="809"/>
        <v>0</v>
      </c>
      <c r="L101" s="43">
        <f t="shared" si="809"/>
        <v>0</v>
      </c>
      <c r="M101" s="43">
        <f t="shared" si="809"/>
        <v>0</v>
      </c>
      <c r="N101" s="43">
        <f t="shared" si="809"/>
        <v>0</v>
      </c>
      <c r="O101" s="43">
        <f t="shared" si="809"/>
        <v>0</v>
      </c>
      <c r="P101" s="43">
        <f t="shared" si="809"/>
        <v>0</v>
      </c>
      <c r="Q101" s="43">
        <f t="shared" si="809"/>
        <v>0</v>
      </c>
      <c r="R101" s="43">
        <f t="shared" si="809"/>
        <v>0</v>
      </c>
      <c r="S101" s="43">
        <f t="shared" si="809"/>
        <v>0</v>
      </c>
      <c r="T101" s="43">
        <f t="shared" si="809"/>
        <v>0</v>
      </c>
      <c r="U101" s="43">
        <f t="shared" si="809"/>
        <v>0</v>
      </c>
      <c r="V101" s="43">
        <f t="shared" si="809"/>
        <v>0</v>
      </c>
      <c r="W101" s="43">
        <f t="shared" si="809"/>
        <v>0</v>
      </c>
      <c r="X101" s="43">
        <f t="shared" si="809"/>
        <v>0</v>
      </c>
      <c r="Y101" s="43">
        <f t="shared" si="809"/>
        <v>0</v>
      </c>
      <c r="Z101" s="43">
        <f t="shared" si="809"/>
        <v>0</v>
      </c>
      <c r="AA101" s="43">
        <f t="shared" si="809"/>
        <v>0</v>
      </c>
      <c r="AB101" s="43">
        <f t="shared" si="809"/>
        <v>0</v>
      </c>
      <c r="AC101" s="43">
        <f t="shared" si="809"/>
        <v>0</v>
      </c>
      <c r="AD101" s="43">
        <f t="shared" si="809"/>
        <v>0</v>
      </c>
      <c r="AE101" s="43">
        <f t="shared" si="809"/>
        <v>0</v>
      </c>
      <c r="AF101" s="43">
        <f t="shared" si="809"/>
        <v>0</v>
      </c>
      <c r="AG101" s="43">
        <f t="shared" si="809"/>
        <v>0</v>
      </c>
      <c r="AH101" s="43">
        <f>$C$194</f>
        <v>0</v>
      </c>
      <c r="AI101" s="44"/>
      <c r="AJ101" s="43">
        <f t="shared" si="761"/>
        <v>0</v>
      </c>
      <c r="AK101" s="43">
        <f t="shared" si="699"/>
        <v>0</v>
      </c>
      <c r="AL101" s="43">
        <f t="shared" si="700"/>
        <v>0</v>
      </c>
      <c r="AM101" s="43">
        <f t="shared" si="701"/>
        <v>0</v>
      </c>
      <c r="AN101" s="43">
        <f t="shared" si="702"/>
        <v>0</v>
      </c>
      <c r="AO101" s="43">
        <f t="shared" si="703"/>
        <v>0</v>
      </c>
      <c r="AP101" s="43">
        <f t="shared" si="704"/>
        <v>0</v>
      </c>
      <c r="AQ101" s="43">
        <f t="shared" si="705"/>
        <v>0</v>
      </c>
      <c r="AR101" s="43">
        <f t="shared" si="706"/>
        <v>0</v>
      </c>
      <c r="AS101" s="43">
        <f t="shared" si="707"/>
        <v>0</v>
      </c>
      <c r="AT101" s="43">
        <f t="shared" si="708"/>
        <v>0</v>
      </c>
      <c r="AU101" s="43">
        <f t="shared" si="709"/>
        <v>0</v>
      </c>
      <c r="AV101" s="43">
        <f t="shared" si="710"/>
        <v>0</v>
      </c>
      <c r="AW101" s="43">
        <f t="shared" si="711"/>
        <v>0</v>
      </c>
      <c r="AX101" s="43">
        <f t="shared" si="712"/>
        <v>0</v>
      </c>
      <c r="AY101" s="43">
        <f t="shared" si="713"/>
        <v>0</v>
      </c>
      <c r="AZ101" s="43">
        <f t="shared" si="714"/>
        <v>0</v>
      </c>
      <c r="BA101" s="43">
        <f t="shared" si="715"/>
        <v>0</v>
      </c>
      <c r="BB101" s="43">
        <f t="shared" si="716"/>
        <v>0</v>
      </c>
      <c r="BC101" s="43">
        <f t="shared" si="717"/>
        <v>0</v>
      </c>
      <c r="BD101" s="43">
        <f t="shared" si="718"/>
        <v>0</v>
      </c>
      <c r="BE101" s="43">
        <f t="shared" si="719"/>
        <v>0</v>
      </c>
      <c r="BF101" s="43">
        <f t="shared" si="720"/>
        <v>0</v>
      </c>
      <c r="BG101" s="43">
        <f t="shared" si="721"/>
        <v>0</v>
      </c>
      <c r="BH101" s="43">
        <f t="shared" si="722"/>
        <v>0</v>
      </c>
      <c r="BI101" s="43">
        <f t="shared" si="723"/>
        <v>0</v>
      </c>
      <c r="BJ101" s="43">
        <f t="shared" si="724"/>
        <v>0</v>
      </c>
      <c r="BK101" s="43">
        <f t="shared" si="725"/>
        <v>0</v>
      </c>
      <c r="BL101" s="43">
        <f t="shared" si="726"/>
        <v>0</v>
      </c>
      <c r="BM101" s="43">
        <f t="shared" si="727"/>
        <v>0</v>
      </c>
      <c r="BN101" s="43">
        <f t="shared" si="728"/>
        <v>0</v>
      </c>
      <c r="BP101" s="43">
        <f t="shared" si="762"/>
        <v>0</v>
      </c>
      <c r="BQ101" s="43">
        <f t="shared" ref="BQ101:CS101" si="810">BP101-($BP101-$CT101)/30</f>
        <v>0</v>
      </c>
      <c r="BR101" s="43">
        <f t="shared" si="810"/>
        <v>0</v>
      </c>
      <c r="BS101" s="43">
        <f t="shared" si="810"/>
        <v>0</v>
      </c>
      <c r="BT101" s="43">
        <f t="shared" si="810"/>
        <v>0</v>
      </c>
      <c r="BU101" s="43">
        <f t="shared" si="810"/>
        <v>0</v>
      </c>
      <c r="BV101" s="43">
        <f t="shared" si="810"/>
        <v>0</v>
      </c>
      <c r="BW101" s="43">
        <f t="shared" si="810"/>
        <v>0</v>
      </c>
      <c r="BX101" s="43">
        <f t="shared" si="810"/>
        <v>0</v>
      </c>
      <c r="BY101" s="43">
        <f t="shared" si="810"/>
        <v>0</v>
      </c>
      <c r="BZ101" s="43">
        <f t="shared" si="810"/>
        <v>0</v>
      </c>
      <c r="CA101" s="43">
        <f t="shared" si="810"/>
        <v>0</v>
      </c>
      <c r="CB101" s="43">
        <f t="shared" si="810"/>
        <v>0</v>
      </c>
      <c r="CC101" s="43">
        <f t="shared" si="810"/>
        <v>0</v>
      </c>
      <c r="CD101" s="43">
        <f t="shared" si="810"/>
        <v>0</v>
      </c>
      <c r="CE101" s="43">
        <f t="shared" si="810"/>
        <v>0</v>
      </c>
      <c r="CF101" s="43">
        <f t="shared" si="810"/>
        <v>0</v>
      </c>
      <c r="CG101" s="43">
        <f t="shared" si="810"/>
        <v>0</v>
      </c>
      <c r="CH101" s="43">
        <f t="shared" si="810"/>
        <v>0</v>
      </c>
      <c r="CI101" s="43">
        <f t="shared" si="810"/>
        <v>0</v>
      </c>
      <c r="CJ101" s="43">
        <f t="shared" si="810"/>
        <v>0</v>
      </c>
      <c r="CK101" s="43">
        <f t="shared" si="810"/>
        <v>0</v>
      </c>
      <c r="CL101" s="43">
        <f t="shared" si="810"/>
        <v>0</v>
      </c>
      <c r="CM101" s="43">
        <f t="shared" si="810"/>
        <v>0</v>
      </c>
      <c r="CN101" s="43">
        <f t="shared" si="810"/>
        <v>0</v>
      </c>
      <c r="CO101" s="43">
        <f t="shared" si="810"/>
        <v>0</v>
      </c>
      <c r="CP101" s="43">
        <f t="shared" si="810"/>
        <v>0</v>
      </c>
      <c r="CQ101" s="43">
        <f t="shared" si="810"/>
        <v>0</v>
      </c>
      <c r="CR101" s="43">
        <f t="shared" si="810"/>
        <v>0</v>
      </c>
      <c r="CS101" s="43">
        <f t="shared" si="810"/>
        <v>0</v>
      </c>
      <c r="CT101" s="43">
        <f t="shared" si="771"/>
        <v>0</v>
      </c>
      <c r="CV101" s="43">
        <f t="shared" si="774"/>
        <v>0</v>
      </c>
      <c r="CW101" s="43">
        <f t="shared" si="775"/>
        <v>0</v>
      </c>
      <c r="CX101" s="43">
        <f t="shared" si="776"/>
        <v>0</v>
      </c>
      <c r="CY101" s="43">
        <f t="shared" si="777"/>
        <v>0</v>
      </c>
      <c r="CZ101" s="43">
        <f t="shared" si="778"/>
        <v>0</v>
      </c>
      <c r="DA101" s="43">
        <f t="shared" si="779"/>
        <v>0</v>
      </c>
      <c r="DB101" s="43">
        <f t="shared" si="780"/>
        <v>0</v>
      </c>
      <c r="DC101" s="43">
        <f t="shared" si="781"/>
        <v>0</v>
      </c>
      <c r="DD101" s="43">
        <f t="shared" si="782"/>
        <v>0</v>
      </c>
      <c r="DE101" s="43">
        <f t="shared" si="783"/>
        <v>0</v>
      </c>
      <c r="DF101" s="43">
        <f t="shared" si="784"/>
        <v>0</v>
      </c>
      <c r="DG101" s="43">
        <f t="shared" si="785"/>
        <v>0</v>
      </c>
      <c r="DH101" s="43">
        <f t="shared" si="786"/>
        <v>0</v>
      </c>
      <c r="DI101" s="43">
        <f t="shared" si="787"/>
        <v>0</v>
      </c>
      <c r="DJ101" s="43">
        <f t="shared" si="788"/>
        <v>0</v>
      </c>
      <c r="DK101" s="43">
        <f t="shared" si="789"/>
        <v>0</v>
      </c>
      <c r="DL101" s="43">
        <f t="shared" si="790"/>
        <v>0</v>
      </c>
      <c r="DM101" s="43">
        <f t="shared" si="791"/>
        <v>0</v>
      </c>
      <c r="DN101" s="43">
        <f t="shared" si="792"/>
        <v>0</v>
      </c>
      <c r="DO101" s="43">
        <f t="shared" si="793"/>
        <v>0</v>
      </c>
      <c r="DP101" s="43">
        <f t="shared" si="794"/>
        <v>0</v>
      </c>
      <c r="DQ101" s="43">
        <f t="shared" si="795"/>
        <v>0</v>
      </c>
      <c r="DR101" s="43">
        <f t="shared" si="796"/>
        <v>0</v>
      </c>
      <c r="DS101" s="43">
        <f t="shared" si="797"/>
        <v>0</v>
      </c>
      <c r="DT101" s="43">
        <f t="shared" si="798"/>
        <v>0</v>
      </c>
      <c r="DU101" s="43">
        <f t="shared" si="799"/>
        <v>0</v>
      </c>
      <c r="DV101" s="43">
        <f t="shared" si="800"/>
        <v>0</v>
      </c>
      <c r="DW101" s="43">
        <f t="shared" si="801"/>
        <v>0</v>
      </c>
      <c r="DX101" s="43">
        <f t="shared" si="802"/>
        <v>0</v>
      </c>
      <c r="DY101" s="43">
        <f t="shared" si="803"/>
        <v>0</v>
      </c>
      <c r="DZ101" s="43">
        <f t="shared" si="806"/>
        <v>0</v>
      </c>
    </row>
    <row r="102" spans="1:165" s="624" customFormat="1" ht="16" thickBot="1">
      <c r="A102" s="623" t="s">
        <v>461</v>
      </c>
      <c r="C102" s="625"/>
      <c r="D102" s="626"/>
      <c r="E102" s="626"/>
      <c r="F102" s="626"/>
      <c r="G102" s="626"/>
      <c r="H102" s="626"/>
      <c r="I102" s="626"/>
      <c r="J102" s="626"/>
      <c r="K102" s="626"/>
      <c r="L102" s="626"/>
      <c r="M102" s="626"/>
      <c r="N102" s="626"/>
      <c r="O102" s="626"/>
      <c r="P102" s="626"/>
      <c r="Q102" s="626"/>
      <c r="R102" s="626"/>
      <c r="S102" s="626"/>
      <c r="T102" s="626"/>
      <c r="U102" s="626"/>
      <c r="V102" s="626"/>
      <c r="W102" s="626"/>
      <c r="X102" s="626"/>
      <c r="Y102" s="626"/>
      <c r="Z102" s="626"/>
      <c r="AA102" s="626"/>
      <c r="AB102" s="626"/>
      <c r="AC102" s="626"/>
      <c r="AD102" s="626"/>
      <c r="AE102" s="626"/>
      <c r="AF102" s="626"/>
      <c r="AG102" s="626"/>
      <c r="AH102" s="626"/>
      <c r="AI102" s="626"/>
      <c r="AJ102" s="626"/>
      <c r="AK102" s="626"/>
      <c r="AL102" s="626"/>
      <c r="AM102" s="626"/>
      <c r="AN102" s="626"/>
      <c r="AO102" s="626"/>
      <c r="AP102" s="626"/>
      <c r="AQ102" s="626"/>
      <c r="AR102" s="626"/>
      <c r="AS102" s="626"/>
      <c r="AT102" s="626"/>
      <c r="AU102" s="626"/>
      <c r="AV102" s="626"/>
      <c r="AW102" s="626"/>
      <c r="AX102" s="626"/>
      <c r="AY102" s="626"/>
      <c r="AZ102" s="626"/>
      <c r="BA102" s="626"/>
      <c r="BB102" s="626"/>
      <c r="BC102" s="626"/>
      <c r="BD102" s="626"/>
      <c r="BE102" s="626"/>
      <c r="BF102" s="626"/>
      <c r="BG102" s="626"/>
      <c r="BH102" s="626"/>
      <c r="BI102" s="626"/>
      <c r="BJ102" s="626"/>
      <c r="BK102" s="626"/>
      <c r="BL102" s="626"/>
      <c r="BM102" s="626"/>
      <c r="BN102" s="626"/>
      <c r="BP102" s="626"/>
      <c r="BQ102" s="626"/>
      <c r="BR102" s="626"/>
      <c r="BS102" s="626"/>
      <c r="BT102" s="626"/>
      <c r="BU102" s="626"/>
      <c r="BV102" s="626"/>
      <c r="BW102" s="626"/>
      <c r="BX102" s="626"/>
      <c r="BY102" s="626"/>
      <c r="BZ102" s="626"/>
      <c r="CA102" s="626"/>
      <c r="CB102" s="626"/>
      <c r="CC102" s="626"/>
      <c r="CD102" s="626"/>
      <c r="CE102" s="626"/>
      <c r="CF102" s="626"/>
      <c r="CG102" s="626"/>
      <c r="CH102" s="626"/>
      <c r="CI102" s="626"/>
      <c r="CJ102" s="626"/>
      <c r="CK102" s="626"/>
      <c r="CL102" s="626"/>
      <c r="CM102" s="626"/>
      <c r="CN102" s="626"/>
      <c r="CO102" s="626"/>
      <c r="CP102" s="626"/>
      <c r="CQ102" s="626"/>
      <c r="CR102" s="626"/>
      <c r="CS102" s="626"/>
      <c r="CT102" s="626"/>
      <c r="CV102" s="626"/>
      <c r="CW102" s="626"/>
      <c r="CX102" s="626"/>
      <c r="CY102" s="626"/>
      <c r="CZ102" s="626"/>
      <c r="DA102" s="626"/>
      <c r="DB102" s="626"/>
      <c r="DC102" s="626"/>
      <c r="DD102" s="626"/>
      <c r="DE102" s="626"/>
      <c r="DF102" s="626"/>
      <c r="DG102" s="626"/>
      <c r="DH102" s="626"/>
      <c r="DI102" s="626"/>
      <c r="DJ102" s="626"/>
      <c r="DK102" s="626"/>
      <c r="DL102" s="626"/>
      <c r="DM102" s="626"/>
      <c r="DN102" s="626"/>
      <c r="DO102" s="626"/>
      <c r="DP102" s="626"/>
      <c r="DQ102" s="626"/>
      <c r="DR102" s="626"/>
      <c r="DS102" s="626"/>
      <c r="DT102" s="626"/>
      <c r="DU102" s="626"/>
      <c r="DV102" s="626"/>
      <c r="DW102" s="626"/>
      <c r="DX102" s="626"/>
      <c r="DY102" s="626"/>
      <c r="DZ102" s="626"/>
      <c r="EK102" s="627"/>
      <c r="EL102" s="627"/>
      <c r="EM102" s="627"/>
      <c r="EN102" s="627"/>
      <c r="EO102" s="627"/>
      <c r="EP102" s="627"/>
      <c r="EQ102" s="627"/>
      <c r="ER102" s="627"/>
      <c r="ES102" s="627"/>
      <c r="ET102" s="627"/>
      <c r="EU102" s="627"/>
      <c r="EV102" s="627"/>
      <c r="EW102" s="627"/>
      <c r="EX102" s="627"/>
      <c r="EY102" s="627"/>
      <c r="EZ102" s="627"/>
      <c r="FA102" s="627"/>
      <c r="FB102" s="627"/>
      <c r="FC102" s="627"/>
      <c r="FD102" s="627"/>
      <c r="FE102" s="627"/>
      <c r="FF102" s="627"/>
      <c r="FG102" s="627"/>
      <c r="FH102" s="627"/>
      <c r="FI102" s="627"/>
    </row>
    <row r="103" spans="1:165">
      <c r="A103" s="606" t="s">
        <v>193</v>
      </c>
      <c r="C103" s="54" t="s">
        <v>462</v>
      </c>
      <c r="D103" s="168">
        <f>'BTX Recycling HC'!C321/'BTX Recycling HC'!C319</f>
        <v>8.6865876044151913E-2</v>
      </c>
      <c r="E103" s="168">
        <f>'BTX Recycling HC'!D321/'BTX Recycling HC'!D319</f>
        <v>9.0130883839262724E-2</v>
      </c>
      <c r="F103" s="168">
        <f>'BTX Recycling HC'!E321/'BTX Recycling HC'!E319</f>
        <v>9.48234733849697E-2</v>
      </c>
      <c r="G103" s="168">
        <f>'BTX Recycling HC'!F321/'BTX Recycling HC'!F319</f>
        <v>9.9582118822250182E-2</v>
      </c>
      <c r="H103" s="168">
        <f>'BTX Recycling HC'!G321/'BTX Recycling HC'!G319</f>
        <v>0.1044087732775793</v>
      </c>
      <c r="I103" s="168">
        <f>'BTX Recycling HC'!H321/'BTX Recycling HC'!H319</f>
        <v>0.10930539006961844</v>
      </c>
      <c r="J103" s="168">
        <f>'BTX Recycling HC'!I321/'BTX Recycling HC'!I319</f>
        <v>0.11427389797122893</v>
      </c>
      <c r="K103" s="168">
        <f>'BTX Recycling HC'!J321/'BTX Recycling HC'!J319</f>
        <v>0.11931624667191243</v>
      </c>
      <c r="L103" s="168">
        <f>'BTX Recycling HC'!K321/'BTX Recycling HC'!K319</f>
        <v>0.12443438592394573</v>
      </c>
      <c r="M103" s="168">
        <f>'BTX Recycling HC'!L321/'BTX Recycling HC'!L319</f>
        <v>0.12963026553733101</v>
      </c>
      <c r="N103" s="168">
        <f>'BTX Recycling HC'!M321/'BTX Recycling HC'!M319</f>
        <v>0.13490583537523701</v>
      </c>
      <c r="O103" s="168">
        <f>'BTX Recycling HC'!N321/'BTX Recycling HC'!N319</f>
        <v>0.14512594530845943</v>
      </c>
      <c r="P103" s="168">
        <f>'BTX Recycling HC'!O321/'BTX Recycling HC'!O319</f>
        <v>0.15549848220229626</v>
      </c>
      <c r="Q103" s="168">
        <f>'BTX Recycling HC'!P321/'BTX Recycling HC'!P319</f>
        <v>0.16602311692057206</v>
      </c>
      <c r="R103" s="168">
        <f>'BTX Recycling HC'!Q321/'BTX Recycling HC'!Q319</f>
        <v>0.17670865834261243</v>
      </c>
      <c r="S103" s="168">
        <f>'BTX Recycling HC'!R321/'BTX Recycling HC'!R319</f>
        <v>0.18755924349257388</v>
      </c>
      <c r="T103" s="168">
        <f>'BTX Recycling HC'!S321/'BTX Recycling HC'!S319</f>
        <v>0.19857896398132407</v>
      </c>
      <c r="U103" s="168">
        <f>'BTX Recycling HC'!T321/'BTX Recycling HC'!T319</f>
        <v>0.20977194465358742</v>
      </c>
      <c r="V103" s="168">
        <f>'BTX Recycling HC'!U321/'BTX Recycling HC'!U319</f>
        <v>0.22114230926237624</v>
      </c>
      <c r="W103" s="168">
        <f>'BTX Recycling HC'!V321/'BTX Recycling HC'!V319</f>
        <v>0.23269418046437418</v>
      </c>
      <c r="X103" s="168">
        <f>'BTX Recycling HC'!W321/'BTX Recycling HC'!W319</f>
        <v>0.24443167981552569</v>
      </c>
      <c r="Y103" s="168">
        <f>'BTX Recycling HC'!X321/'BTX Recycling HC'!X319</f>
        <v>0.26312496344261738</v>
      </c>
      <c r="Z103" s="168">
        <f>'BTX Recycling HC'!Y321/'BTX Recycling HC'!Y319</f>
        <v>0.2821187990215579</v>
      </c>
      <c r="AA103" s="168">
        <f>'BTX Recycling HC'!Z321/'BTX Recycling HC'!Z319</f>
        <v>0.30141615699989777</v>
      </c>
      <c r="AB103" s="168">
        <f>'BTX Recycling HC'!AA321/'BTX Recycling HC'!AA319</f>
        <v>0.32102872388263259</v>
      </c>
      <c r="AC103" s="168">
        <f>'BTX Recycling HC'!AB321/'BTX Recycling HC'!AB319</f>
        <v>0.34096342325472789</v>
      </c>
      <c r="AD103" s="168">
        <f>'BTX Recycling HC'!AC321/'BTX Recycling HC'!AC319</f>
        <v>0.36122717329636383</v>
      </c>
      <c r="AE103" s="168">
        <f>'BTX Recycling HC'!AD321/'BTX Recycling HC'!AD319</f>
        <v>0.38182688780893975</v>
      </c>
      <c r="AF103" s="168">
        <f>'BTX Recycling HC'!AE321/'BTX Recycling HC'!AE319</f>
        <v>0.40276947576014943</v>
      </c>
      <c r="AG103" s="168">
        <f>'BTX Recycling HC'!AF321/'BTX Recycling HC'!AF319</f>
        <v>0.42406184127856061</v>
      </c>
      <c r="AH103" s="168">
        <f>'BTX Recycling HC'!AG321/'BTX Recycling HC'!AG319</f>
        <v>0.44571088364856437</v>
      </c>
      <c r="AI103" s="44"/>
      <c r="AJ103" s="168">
        <f>'BTX Recycling LC'!C321/'BTX Recycling LC'!C319</f>
        <v>8.6865876044151913E-2</v>
      </c>
      <c r="AK103" s="168">
        <f>'BTX Recycling LC'!D321/'BTX Recycling LC'!D319</f>
        <v>9.0130883839262724E-2</v>
      </c>
      <c r="AL103" s="168">
        <f>'BTX Recycling LC'!E321/'BTX Recycling LC'!E319</f>
        <v>9.48234733849697E-2</v>
      </c>
      <c r="AM103" s="168">
        <f>'BTX Recycling LC'!F321/'BTX Recycling LC'!F319</f>
        <v>9.9582118822250182E-2</v>
      </c>
      <c r="AN103" s="168">
        <f>'BTX Recycling LC'!G321/'BTX Recycling LC'!G319</f>
        <v>0.1044087732775793</v>
      </c>
      <c r="AO103" s="168">
        <f>'BTX Recycling LC'!H321/'BTX Recycling LC'!H319</f>
        <v>0.10930539006961844</v>
      </c>
      <c r="AP103" s="168">
        <f>'BTX Recycling LC'!I321/'BTX Recycling LC'!I319</f>
        <v>0.11427389797122893</v>
      </c>
      <c r="AQ103" s="168">
        <f>'BTX Recycling LC'!J321/'BTX Recycling LC'!J319</f>
        <v>0.11931624667191243</v>
      </c>
      <c r="AR103" s="168">
        <f>'BTX Recycling LC'!K321/'BTX Recycling LC'!K319</f>
        <v>0.12443438592394573</v>
      </c>
      <c r="AS103" s="168">
        <f>'BTX Recycling LC'!L321/'BTX Recycling LC'!L319</f>
        <v>0.12963026553733101</v>
      </c>
      <c r="AT103" s="168">
        <f>'BTX Recycling LC'!M321/'BTX Recycling LC'!M319</f>
        <v>0.13490583537523701</v>
      </c>
      <c r="AU103" s="168">
        <f>'BTX Recycling LC'!N321/'BTX Recycling LC'!N319</f>
        <v>0.14512594530845943</v>
      </c>
      <c r="AV103" s="168">
        <f>'BTX Recycling LC'!O321/'BTX Recycling LC'!O319</f>
        <v>0.15549848220229626</v>
      </c>
      <c r="AW103" s="168">
        <f>'BTX Recycling LC'!P321/'BTX Recycling LC'!P319</f>
        <v>0.16602311692057206</v>
      </c>
      <c r="AX103" s="168">
        <f>'BTX Recycling LC'!Q321/'BTX Recycling LC'!Q319</f>
        <v>0.17670865834261243</v>
      </c>
      <c r="AY103" s="168">
        <f>'BTX Recycling LC'!R321/'BTX Recycling LC'!R319</f>
        <v>0.18755924349257388</v>
      </c>
      <c r="AZ103" s="168">
        <f>'BTX Recycling LC'!S321/'BTX Recycling LC'!S319</f>
        <v>0.19857896398132407</v>
      </c>
      <c r="BA103" s="168">
        <f>'BTX Recycling LC'!T321/'BTX Recycling LC'!T319</f>
        <v>0.20977194465358742</v>
      </c>
      <c r="BB103" s="168">
        <f>'BTX Recycling LC'!U321/'BTX Recycling LC'!U319</f>
        <v>0.22114230926237624</v>
      </c>
      <c r="BC103" s="168">
        <f>'BTX Recycling LC'!V321/'BTX Recycling LC'!V319</f>
        <v>0.23269418046437418</v>
      </c>
      <c r="BD103" s="168">
        <f>'BTX Recycling LC'!W321/'BTX Recycling LC'!W319</f>
        <v>0.24443167981552569</v>
      </c>
      <c r="BE103" s="168">
        <f>'BTX Recycling LC'!X321/'BTX Recycling LC'!X319</f>
        <v>0.26312496344261738</v>
      </c>
      <c r="BF103" s="168">
        <f>'BTX Recycling LC'!Y321/'BTX Recycling LC'!Y319</f>
        <v>0.2821187990215579</v>
      </c>
      <c r="BG103" s="168">
        <f>'BTX Recycling LC'!Z321/'BTX Recycling LC'!Z319</f>
        <v>0.30141615699989777</v>
      </c>
      <c r="BH103" s="168">
        <f>'BTX Recycling LC'!AA321/'BTX Recycling LC'!AA319</f>
        <v>0.32102872388263259</v>
      </c>
      <c r="BI103" s="168">
        <f>'BTX Recycling LC'!AB321/'BTX Recycling LC'!AB319</f>
        <v>0.34096342325472789</v>
      </c>
      <c r="BJ103" s="168">
        <f>'BTX Recycling LC'!AC321/'BTX Recycling LC'!AC319</f>
        <v>0.36122717329636383</v>
      </c>
      <c r="BK103" s="168">
        <f>'BTX Recycling LC'!AD321/'BTX Recycling LC'!AD319</f>
        <v>0.38182688780893975</v>
      </c>
      <c r="BL103" s="168">
        <f>'BTX Recycling LC'!AE321/'BTX Recycling LC'!AE319</f>
        <v>0.40276947576014943</v>
      </c>
      <c r="BM103" s="168">
        <f>'BTX Recycling LC'!AF321/'BTX Recycling LC'!AF319</f>
        <v>0.42406184127856061</v>
      </c>
      <c r="BN103" s="168">
        <f>'BTX Recycling LC'!AG321/'BTX Recycling LC'!AG319</f>
        <v>0.44571088364856437</v>
      </c>
      <c r="BP103" s="168">
        <f>'BTX Recycling HC'!C311/'BTX Recycling HC'!C309</f>
        <v>8.6865876044151913E-2</v>
      </c>
      <c r="BQ103" s="168">
        <f>'BTX Recycling HC'!D311/'BTX Recycling HC'!D309</f>
        <v>8.5452055140027294E-2</v>
      </c>
      <c r="BR103" s="168">
        <f>'BTX Recycling HC'!E311/'BTX Recycling HC'!E309</f>
        <v>8.4281563337488388E-2</v>
      </c>
      <c r="BS103" s="168">
        <f>'BTX Recycling HC'!F311/'BTX Recycling HC'!F309</f>
        <v>8.3344829821982158E-2</v>
      </c>
      <c r="BT103" s="168">
        <f>'BTX Recycling HC'!G311/'BTX Recycling HC'!G309</f>
        <v>8.263423216537874E-2</v>
      </c>
      <c r="BU103" s="168">
        <f>'BTX Recycling HC'!H311/'BTX Recycling HC'!H309</f>
        <v>8.2143992883365158E-2</v>
      </c>
      <c r="BV103" s="168">
        <f>'BTX Recycling HC'!I311/'BTX Recycling HC'!I309</f>
        <v>8.1693850323663122E-2</v>
      </c>
      <c r="BW103" s="168">
        <f>'BTX Recycling HC'!J311/'BTX Recycling HC'!J309</f>
        <v>8.1283221119442847E-2</v>
      </c>
      <c r="BX103" s="168">
        <f>'BTX Recycling HC'!K311/'BTX Recycling HC'!K309</f>
        <v>8.0911578186848909E-2</v>
      </c>
      <c r="BY103" s="168">
        <f>'BTX Recycling HC'!L311/'BTX Recycling HC'!L309</f>
        <v>8.0578449612555322E-2</v>
      </c>
      <c r="BZ103" s="168">
        <f>'BTX Recycling HC'!M311/'BTX Recycling HC'!M309</f>
        <v>8.0283417669660781E-2</v>
      </c>
      <c r="CA103" s="168">
        <f>'BTX Recycling HC'!N311/'BTX Recycling HC'!N309</f>
        <v>8.0140782641730052E-2</v>
      </c>
      <c r="CB103" s="168">
        <f>'BTX Recycling HC'!O311/'BTX Recycling HC'!O309</f>
        <v>8.0150046262425126E-2</v>
      </c>
      <c r="CC103" s="168">
        <f>'BTX Recycling HC'!P311/'BTX Recycling HC'!P309</f>
        <v>8.0311574708555281E-2</v>
      </c>
      <c r="CD103" s="168">
        <f>'BTX Recycling HC'!Q311/'BTX Recycling HC'!Q309</f>
        <v>8.0626605061909704E-2</v>
      </c>
      <c r="CE103" s="168">
        <f>'BTX Recycling HC'!R311/'BTX Recycling HC'!R309</f>
        <v>8.1097260115289158E-2</v>
      </c>
      <c r="CF103" s="168">
        <f>'BTX Recycling HC'!S311/'BTX Recycling HC'!S309</f>
        <v>8.1579592269901191E-2</v>
      </c>
      <c r="CG103" s="168">
        <f>'BTX Recycling HC'!T311/'BTX Recycling HC'!T309</f>
        <v>8.2073783292113497E-2</v>
      </c>
      <c r="CH103" s="168">
        <f>'BTX Recycling HC'!U311/'BTX Recycling HC'!U309</f>
        <v>8.2580020061112619E-2</v>
      </c>
      <c r="CI103" s="168">
        <f>'BTX Recycling HC'!V311/'BTX Recycling HC'!V309</f>
        <v>8.3098494687576463E-2</v>
      </c>
      <c r="CJ103" s="168">
        <f>'BTX Recycling HC'!W311/'BTX Recycling HC'!W309</f>
        <v>8.3629404636092836E-2</v>
      </c>
      <c r="CK103" s="168">
        <f>'BTX Recycling HC'!X311/'BTX Recycling HC'!X309</f>
        <v>8.4172025746084664E-2</v>
      </c>
      <c r="CL103" s="168">
        <f>'BTX Recycling HC'!Y311/'BTX Recycling HC'!Y309</f>
        <v>8.4726546805950292E-2</v>
      </c>
      <c r="CM103" s="168">
        <f>'BTX Recycling HC'!Z311/'BTX Recycling HC'!Z309</f>
        <v>8.5293161480426052E-2</v>
      </c>
      <c r="CN103" s="168">
        <f>'BTX Recycling HC'!AA311/'BTX Recycling HC'!AA309</f>
        <v>8.5872068423965733E-2</v>
      </c>
      <c r="CO103" s="168">
        <f>'BTX Recycling HC'!AB311/'BTX Recycling HC'!AB309</f>
        <v>8.6463471397467295E-2</v>
      </c>
      <c r="CP103" s="168">
        <f>'BTX Recycling HC'!AC311/'BTX Recycling HC'!AC309</f>
        <v>8.7066756238696683E-2</v>
      </c>
      <c r="CQ103" s="168">
        <f>'BTX Recycling HC'!AD311/'BTX Recycling HC'!AD309</f>
        <v>8.7682118711812154E-2</v>
      </c>
      <c r="CR103" s="168">
        <f>'BTX Recycling HC'!AE311/'BTX Recycling HC'!AE309</f>
        <v>8.8309759306779548E-2</v>
      </c>
      <c r="CS103" s="168">
        <f>'BTX Recycling HC'!AF311/'BTX Recycling HC'!AF309</f>
        <v>8.8949883348533626E-2</v>
      </c>
      <c r="CT103" s="168">
        <f>'BTX Recycling HC'!AG311/'BTX Recycling HC'!AG309</f>
        <v>8.9602701109191413E-2</v>
      </c>
      <c r="CV103" s="168">
        <f>'BTX Recycling LC'!C321/'BTX Recycling HC'!C309</f>
        <v>8.6865876044151913E-2</v>
      </c>
      <c r="CW103" s="168">
        <f>'BTX Recycling LC'!D321/'BTX Recycling HC'!D309</f>
        <v>9.0130883839262724E-2</v>
      </c>
      <c r="CX103" s="168">
        <f>'BTX Recycling LC'!E321/'BTX Recycling HC'!E309</f>
        <v>9.48234733849697E-2</v>
      </c>
      <c r="CY103" s="168">
        <f>'BTX Recycling LC'!F321/'BTX Recycling HC'!F309</f>
        <v>9.9582118822250182E-2</v>
      </c>
      <c r="CZ103" s="168">
        <f>'BTX Recycling LC'!G321/'BTX Recycling HC'!G309</f>
        <v>0.1044087732775793</v>
      </c>
      <c r="DA103" s="168">
        <f>'BTX Recycling LC'!H321/'BTX Recycling HC'!H309</f>
        <v>0.10930539006961844</v>
      </c>
      <c r="DB103" s="168">
        <f>'BTX Recycling LC'!I321/'BTX Recycling HC'!I309</f>
        <v>0.11427389797122893</v>
      </c>
      <c r="DC103" s="168">
        <f>'BTX Recycling LC'!J321/'BTX Recycling HC'!J309</f>
        <v>0.11931624667191243</v>
      </c>
      <c r="DD103" s="168">
        <f>'BTX Recycling LC'!K321/'BTX Recycling HC'!K309</f>
        <v>0.12443438592394573</v>
      </c>
      <c r="DE103" s="168">
        <f>'BTX Recycling LC'!L321/'BTX Recycling HC'!L309</f>
        <v>0.12963026553733101</v>
      </c>
      <c r="DF103" s="168">
        <f>'BTX Recycling LC'!M321/'BTX Recycling HC'!M309</f>
        <v>0.13490583537523701</v>
      </c>
      <c r="DG103" s="168">
        <f>'BTX Recycling LC'!N321/'BTX Recycling HC'!N309</f>
        <v>0.14512594530845943</v>
      </c>
      <c r="DH103" s="168">
        <f>'BTX Recycling LC'!O321/'BTX Recycling HC'!O309</f>
        <v>0.15549848220229626</v>
      </c>
      <c r="DI103" s="168">
        <f>'BTX Recycling LC'!P321/'BTX Recycling HC'!P309</f>
        <v>0.16603542459717477</v>
      </c>
      <c r="DJ103" s="168">
        <f>'BTX Recycling LC'!Q321/'BTX Recycling HC'!Q309</f>
        <v>0.17673485798348318</v>
      </c>
      <c r="DK103" s="168">
        <f>'BTX Recycling LC'!R321/'BTX Recycling HC'!R309</f>
        <v>0.18760095609059463</v>
      </c>
      <c r="DL103" s="168">
        <f>'BTX Recycling LC'!S321/'BTX Recycling HC'!S309</f>
        <v>0.19863784844787583</v>
      </c>
      <c r="DM103" s="168">
        <f>'BTX Recycling LC'!T321/'BTX Recycling HC'!T309</f>
        <v>0.20984969904415077</v>
      </c>
      <c r="DN103" s="168">
        <f>'BTX Recycling LC'!U321/'BTX Recycling HC'!U309</f>
        <v>0.22124067199918282</v>
      </c>
      <c r="DO103" s="168">
        <f>'BTX Recycling LC'!V321/'BTX Recycling HC'!V309</f>
        <v>0.23281493155865102</v>
      </c>
      <c r="DP103" s="168">
        <f>'BTX Recycling LC'!W321/'BTX Recycling HC'!W309</f>
        <v>0.24457664208933078</v>
      </c>
      <c r="DQ103" s="168">
        <f>'BTX Recycling LC'!X321/'BTX Recycling HC'!X309</f>
        <v>0.26330051798674331</v>
      </c>
      <c r="DR103" s="168">
        <f>'BTX Recycling LC'!Y321/'BTX Recycling HC'!Y309</f>
        <v>0.2823279401945647</v>
      </c>
      <c r="DS103" s="168">
        <f>'BTX Recycling LC'!Z321/'BTX Recycling HC'!Z309</f>
        <v>0.30169546543687886</v>
      </c>
      <c r="DT103" s="168">
        <f>'BTX Recycling LC'!AA321/'BTX Recycling HC'!AA309</f>
        <v>0.32138570287932411</v>
      </c>
      <c r="DU103" s="168">
        <f>'BTX Recycling LC'!AB321/'BTX Recycling HC'!AB309</f>
        <v>0.34140576034266262</v>
      </c>
      <c r="DV103" s="168">
        <f>'BTX Recycling LC'!AC321/'BTX Recycling HC'!AC309</f>
        <v>0.36176274536747099</v>
      </c>
      <c r="DW103" s="168">
        <f>'BTX Recycling LC'!AD321/'BTX Recycling HC'!AD309</f>
        <v>0.38246376623684814</v>
      </c>
      <c r="DX103" s="168">
        <f>'BTX Recycling LC'!AE321/'BTX Recycling HC'!AE309</f>
        <v>0.40351593151658915</v>
      </c>
      <c r="DY103" s="168">
        <f>'BTX Recycling LC'!AF321/'BTX Recycling HC'!AF309</f>
        <v>0.42492635004527524</v>
      </c>
      <c r="DZ103" s="168">
        <f>'BTX Recycling LC'!AG321/'BTX Recycling HC'!AG309</f>
        <v>0.44670213092472727</v>
      </c>
    </row>
    <row r="104" spans="1:165">
      <c r="A104" s="606" t="s">
        <v>88</v>
      </c>
      <c r="C104" s="54" t="s">
        <v>462</v>
      </c>
      <c r="D104" s="168">
        <f>('BTX Recycling HC'!C364+'BTX Recycling HC'!C366)/'BTX Recycling HC'!C319</f>
        <v>3.5539413783499495E-7</v>
      </c>
      <c r="E104" s="168">
        <f>('BTX Recycling HC'!D364+'BTX Recycling HC'!D366)/'BTX Recycling HC'!D319</f>
        <v>7.6725969169163813E-7</v>
      </c>
      <c r="F104" s="168">
        <f>('BTX Recycling HC'!E364+'BTX Recycling HC'!E366)/'BTX Recycling HC'!E319</f>
        <v>1.616256700042547E-6</v>
      </c>
      <c r="G104" s="168">
        <f>('BTX Recycling HC'!F364+'BTX Recycling HC'!F366)/'BTX Recycling HC'!F319</f>
        <v>3.3818159093948088E-6</v>
      </c>
      <c r="H104" s="168">
        <f>('BTX Recycling HC'!G364+'BTX Recycling HC'!G366)/'BTX Recycling HC'!G319</f>
        <v>7.0242987444958678E-6</v>
      </c>
      <c r="I104" s="168">
        <f>('BTX Recycling HC'!H364+'BTX Recycling HC'!H366)/'BTX Recycling HC'!H319</f>
        <v>1.4468380264220304E-5</v>
      </c>
      <c r="J104" s="168">
        <f>('BTX Recycling HC'!I364+'BTX Recycling HC'!I366)/'BTX Recycling HC'!I319</f>
        <v>2.9505809468502362E-5</v>
      </c>
      <c r="K104" s="168">
        <f>('BTX Recycling HC'!J364+'BTX Recycling HC'!J366)/'BTX Recycling HC'!J319</f>
        <v>5.9437727107127383E-5</v>
      </c>
      <c r="L104" s="168">
        <f>('BTX Recycling HC'!K364+'BTX Recycling HC'!K366)/'BTX Recycling HC'!K319</f>
        <v>1.1789465843447686E-4</v>
      </c>
      <c r="M104" s="168">
        <f>('BTX Recycling HC'!L364+'BTX Recycling HC'!L366)/'BTX Recycling HC'!L319</f>
        <v>2.2927347900248172E-4</v>
      </c>
      <c r="N104" s="168">
        <f>('BTX Recycling HC'!M364+'BTX Recycling HC'!M366)/'BTX Recycling HC'!M319</f>
        <v>4.3667415808060038E-4</v>
      </c>
      <c r="O104" s="168">
        <f>('BTX Recycling HC'!N364+'BTX Recycling HC'!N366)/'BTX Recycling HC'!N319</f>
        <v>7.6805606439828904E-4</v>
      </c>
      <c r="P104" s="168">
        <f>('BTX Recycling HC'!O364+'BTX Recycling HC'!O366)/'BTX Recycling HC'!O319</f>
        <v>1.3054087179937594E-3</v>
      </c>
      <c r="Q104" s="168">
        <f>('BTX Recycling HC'!P364+'BTX Recycling HC'!P366)/'BTX Recycling HC'!P319</f>
        <v>2.1184217032227475E-3</v>
      </c>
      <c r="R104" s="168">
        <f>('BTX Recycling HC'!Q364+'BTX Recycling HC'!Q366)/'BTX Recycling HC'!Q319</f>
        <v>3.2598607871745251E-3</v>
      </c>
      <c r="S104" s="168">
        <f>('BTX Recycling HC'!R364+'BTX Recycling HC'!R366)/'BTX Recycling HC'!R319</f>
        <v>4.735648716335695E-3</v>
      </c>
      <c r="T104" s="168">
        <f>('BTX Recycling HC'!S364+'BTX Recycling HC'!S366)/'BTX Recycling HC'!S319</f>
        <v>6.4793012740701501E-3</v>
      </c>
      <c r="U104" s="168">
        <f>('BTX Recycling HC'!T364+'BTX Recycling HC'!T366)/'BTX Recycling HC'!T319</f>
        <v>8.365592769573894E-3</v>
      </c>
      <c r="V104" s="168">
        <f>('BTX Recycling HC'!U364+'BTX Recycling HC'!U366)/'BTX Recycling HC'!U319</f>
        <v>1.0241037381654982E-2</v>
      </c>
      <c r="W104" s="168">
        <f>('BTX Recycling HC'!V364+'BTX Recycling HC'!V366)/'BTX Recycling HC'!V319</f>
        <v>1.1968503699710583E-2</v>
      </c>
      <c r="X104" s="168">
        <f>('BTX Recycling HC'!W364+'BTX Recycling HC'!W366)/'BTX Recycling HC'!W319</f>
        <v>1.3457592201323169E-2</v>
      </c>
      <c r="Y104" s="168">
        <f>('BTX Recycling HC'!X364+'BTX Recycling HC'!X366)/'BTX Recycling HC'!X319</f>
        <v>1.3751943768271964E-2</v>
      </c>
      <c r="Z104" s="168">
        <f>('BTX Recycling HC'!Y364+'BTX Recycling HC'!Y366)/'BTX Recycling HC'!Y319</f>
        <v>1.5506686124319914E-2</v>
      </c>
      <c r="AA104" s="168">
        <f>('BTX Recycling HC'!Z364+'BTX Recycling HC'!Z366)/'BTX Recycling HC'!Z319</f>
        <v>1.7356755975007701E-2</v>
      </c>
      <c r="AB104" s="168">
        <f>('BTX Recycling HC'!AA364+'BTX Recycling HC'!AA366)/'BTX Recycling HC'!AA319</f>
        <v>1.9185351714971273E-2</v>
      </c>
      <c r="AC104" s="168">
        <f>('BTX Recycling HC'!AB364+'BTX Recycling HC'!AB366)/'BTX Recycling HC'!AB319</f>
        <v>2.1074708049366654E-2</v>
      </c>
      <c r="AD104" s="168">
        <f>('BTX Recycling HC'!AC364+'BTX Recycling HC'!AC366)/'BTX Recycling HC'!AC319</f>
        <v>2.314523903723411E-2</v>
      </c>
      <c r="AE104" s="168">
        <f>('BTX Recycling HC'!AD364+'BTX Recycling HC'!AD366)/'BTX Recycling HC'!AD319</f>
        <v>2.5548901606666948E-2</v>
      </c>
      <c r="AF104" s="168">
        <f>('BTX Recycling HC'!AE364+'BTX Recycling HC'!AE366)/'BTX Recycling HC'!AE319</f>
        <v>2.8444030180707749E-2</v>
      </c>
      <c r="AG104" s="168">
        <f>('BTX Recycling HC'!AF364+'BTX Recycling HC'!AF366)/'BTX Recycling HC'!AF319</f>
        <v>3.1945569506932774E-2</v>
      </c>
      <c r="AH104" s="168">
        <f>('BTX Recycling HC'!AG364+'BTX Recycling HC'!AG366)/'BTX Recycling HC'!AG319</f>
        <v>3.6062917249460653E-2</v>
      </c>
      <c r="AI104" s="44"/>
      <c r="AJ104" s="168">
        <f>('BTX Recycling LC'!C364+'BTX Recycling LC'!C366)/'BTX Recycling LC'!C319</f>
        <v>2.0363802976813303E-7</v>
      </c>
      <c r="AK104" s="168">
        <f>('BTX Recycling LC'!D364+'BTX Recycling LC'!D366)/'BTX Recycling LC'!D319</f>
        <v>4.3963373422082776E-7</v>
      </c>
      <c r="AL104" s="168">
        <f>('BTX Recycling LC'!E364+'BTX Recycling LC'!E366)/'BTX Recycling LC'!E319</f>
        <v>9.2610230433519487E-7</v>
      </c>
      <c r="AM104" s="168">
        <f>('BTX Recycling LC'!F364+'BTX Recycling LC'!F366)/'BTX Recycling LC'!F319</f>
        <v>1.937753765503654E-6</v>
      </c>
      <c r="AN104" s="168">
        <f>('BTX Recycling LC'!G364+'BTX Recycling LC'!G366)/'BTX Recycling LC'!G319</f>
        <v>4.0248676175295633E-6</v>
      </c>
      <c r="AO104" s="168">
        <f>('BTX Recycling LC'!H364+'BTX Recycling LC'!H366)/'BTX Recycling LC'!H319</f>
        <v>8.2902674447317392E-6</v>
      </c>
      <c r="AP104" s="168">
        <f>('BTX Recycling LC'!I364+'BTX Recycling LC'!I366)/'BTX Recycling LC'!I319</f>
        <v>1.6906595430871797E-5</v>
      </c>
      <c r="AQ104" s="168">
        <f>('BTX Recycling LC'!J364+'BTX Recycling LC'!J366)/'BTX Recycling LC'!J319</f>
        <v>3.4057347472655862E-5</v>
      </c>
      <c r="AR104" s="168">
        <f>('BTX Recycling LC'!K364+'BTX Recycling LC'!K366)/'BTX Recycling LC'!K319</f>
        <v>6.7552706721714183E-5</v>
      </c>
      <c r="AS104" s="168">
        <f>('BTX Recycling LC'!L364+'BTX Recycling LC'!L366)/'BTX Recycling LC'!L319</f>
        <v>1.313718898870184E-4</v>
      </c>
      <c r="AT104" s="168">
        <f>('BTX Recycling LC'!M364+'BTX Recycling LC'!M366)/'BTX Recycling LC'!M319</f>
        <v>2.5021083843391307E-4</v>
      </c>
      <c r="AU104" s="168">
        <f>('BTX Recycling LC'!N364+'BTX Recycling LC'!N366)/'BTX Recycling LC'!N319</f>
        <v>4.400900494823327E-4</v>
      </c>
      <c r="AV104" s="168">
        <f>('BTX Recycling LC'!O364+'BTX Recycling LC'!O366)/'BTX Recycling LC'!O319</f>
        <v>7.4798886946699015E-4</v>
      </c>
      <c r="AW104" s="168">
        <f>('BTX Recycling LC'!P364+'BTX Recycling LC'!P366)/'BTX Recycling LC'!P319</f>
        <v>1.2138388789705431E-3</v>
      </c>
      <c r="AX104" s="168">
        <f>('BTX Recycling LC'!Q364+'BTX Recycling LC'!Q366)/'BTX Recycling LC'!Q319</f>
        <v>1.8678744451514403E-3</v>
      </c>
      <c r="AY104" s="168">
        <f>('BTX Recycling LC'!R364+'BTX Recycling LC'!R366)/'BTX Recycling LC'!R319</f>
        <v>2.7134892548968514E-3</v>
      </c>
      <c r="AZ104" s="168">
        <f>('BTX Recycling LC'!S364+'BTX Recycling LC'!S366)/'BTX Recycling LC'!S319</f>
        <v>3.7125883779726143E-3</v>
      </c>
      <c r="BA104" s="168">
        <f>('BTX Recycling LC'!T364+'BTX Recycling LC'!T366)/'BTX Recycling LC'!T319</f>
        <v>4.7934184840986473E-3</v>
      </c>
      <c r="BB104" s="168">
        <f>('BTX Recycling LC'!U364+'BTX Recycling LC'!U366)/'BTX Recycling LC'!U319</f>
        <v>5.8680334118236801E-3</v>
      </c>
      <c r="BC104" s="168">
        <f>('BTX Recycling LC'!V364+'BTX Recycling LC'!V366)/'BTX Recycling LC'!V319</f>
        <v>6.8578579475986057E-3</v>
      </c>
      <c r="BD104" s="168">
        <f>('BTX Recycling LC'!W364+'BTX Recycling LC'!W366)/'BTX Recycling LC'!W319</f>
        <v>7.7110938801495154E-3</v>
      </c>
      <c r="BE104" s="168">
        <f>('BTX Recycling LC'!X364+'BTX Recycling LC'!X366)/'BTX Recycling LC'!X319</f>
        <v>7.8797549996540966E-3</v>
      </c>
      <c r="BF104" s="168">
        <f>('BTX Recycling LC'!Y364+'BTX Recycling LC'!Y366)/'BTX Recycling LC'!Y319</f>
        <v>8.8852084894418242E-3</v>
      </c>
      <c r="BG104" s="168">
        <f>('BTX Recycling LC'!Z364+'BTX Recycling LC'!Z366)/'BTX Recycling LC'!Z319</f>
        <v>9.9452838796059775E-3</v>
      </c>
      <c r="BH104" s="168">
        <f>('BTX Recycling LC'!AA364+'BTX Recycling LC'!AA366)/'BTX Recycling LC'!AA319</f>
        <v>1.0993054774188009E-2</v>
      </c>
      <c r="BI104" s="168">
        <f>('BTX Recycling LC'!AB364+'BTX Recycling LC'!AB366)/'BTX Recycling LC'!AB319</f>
        <v>1.2075641008755699E-2</v>
      </c>
      <c r="BJ104" s="168">
        <f>('BTX Recycling LC'!AC364+'BTX Recycling LC'!AC366)/'BTX Recycling LC'!AC319</f>
        <v>1.3262038886649103E-2</v>
      </c>
      <c r="BK104" s="168">
        <f>('BTX Recycling LC'!AD364+'BTX Recycling LC'!AD366)/'BTX Recycling LC'!AD319</f>
        <v>1.4639318525667714E-2</v>
      </c>
      <c r="BL104" s="168">
        <f>('BTX Recycling LC'!AE364+'BTX Recycling LC'!AE366)/'BTX Recycling LC'!AE319</f>
        <v>1.6298204297770173E-2</v>
      </c>
      <c r="BM104" s="168">
        <f>('BTX Recycling LC'!AF364+'BTX Recycling LC'!AF366)/'BTX Recycling LC'!AF319</f>
        <v>1.8304558634090598E-2</v>
      </c>
      <c r="BN104" s="168">
        <f>('BTX Recycling LC'!AG364+'BTX Recycling LC'!AG366)/'BTX Recycling LC'!AG319</f>
        <v>2.0663766321832283E-2</v>
      </c>
      <c r="BP104" s="168">
        <f>0</f>
        <v>0</v>
      </c>
      <c r="BQ104" s="168">
        <f>0</f>
        <v>0</v>
      </c>
      <c r="BR104" s="168">
        <f>0</f>
        <v>0</v>
      </c>
      <c r="BS104" s="168">
        <f>0</f>
        <v>0</v>
      </c>
      <c r="BT104" s="168">
        <f>0</f>
        <v>0</v>
      </c>
      <c r="BU104" s="168">
        <f>0</f>
        <v>0</v>
      </c>
      <c r="BV104" s="168">
        <f>0</f>
        <v>0</v>
      </c>
      <c r="BW104" s="168">
        <f>0</f>
        <v>0</v>
      </c>
      <c r="BX104" s="168">
        <f>0</f>
        <v>0</v>
      </c>
      <c r="BY104" s="168">
        <f>0</f>
        <v>0</v>
      </c>
      <c r="BZ104" s="168">
        <f>0</f>
        <v>0</v>
      </c>
      <c r="CA104" s="168">
        <f>0</f>
        <v>0</v>
      </c>
      <c r="CB104" s="168">
        <f>0</f>
        <v>0</v>
      </c>
      <c r="CC104" s="168">
        <f>0</f>
        <v>0</v>
      </c>
      <c r="CD104" s="168">
        <f>0</f>
        <v>0</v>
      </c>
      <c r="CE104" s="168">
        <f>0</f>
        <v>0</v>
      </c>
      <c r="CF104" s="168">
        <f>0</f>
        <v>0</v>
      </c>
      <c r="CG104" s="168">
        <f>0</f>
        <v>0</v>
      </c>
      <c r="CH104" s="168">
        <f>0</f>
        <v>0</v>
      </c>
      <c r="CI104" s="168">
        <f>0</f>
        <v>0</v>
      </c>
      <c r="CJ104" s="168">
        <f>0</f>
        <v>0</v>
      </c>
      <c r="CK104" s="168">
        <f>0</f>
        <v>0</v>
      </c>
      <c r="CL104" s="168">
        <f>0</f>
        <v>0</v>
      </c>
      <c r="CM104" s="168">
        <f>0</f>
        <v>0</v>
      </c>
      <c r="CN104" s="168">
        <f>0</f>
        <v>0</v>
      </c>
      <c r="CO104" s="168">
        <f>0</f>
        <v>0</v>
      </c>
      <c r="CP104" s="168">
        <f>0</f>
        <v>0</v>
      </c>
      <c r="CQ104" s="168">
        <f>0</f>
        <v>0</v>
      </c>
      <c r="CR104" s="168">
        <f>0</f>
        <v>0</v>
      </c>
      <c r="CS104" s="168">
        <f>0</f>
        <v>0</v>
      </c>
      <c r="CT104" s="168">
        <f>0</f>
        <v>0</v>
      </c>
      <c r="CV104" s="168">
        <f>('BTX Recycling LC'!C364+'BTX Recycling LC'!C366)/'BTX Recycling HC'!C309</f>
        <v>2.0363802976813303E-7</v>
      </c>
      <c r="CW104" s="168">
        <f>('BTX Recycling LC'!D364+'BTX Recycling LC'!D366)/'BTX Recycling HC'!D309</f>
        <v>4.3963373422082776E-7</v>
      </c>
      <c r="CX104" s="168">
        <f>('BTX Recycling LC'!E364+'BTX Recycling LC'!E366)/'BTX Recycling HC'!E309</f>
        <v>9.2610230433519487E-7</v>
      </c>
      <c r="CY104" s="168">
        <f>('BTX Recycling LC'!F364+'BTX Recycling LC'!F366)/'BTX Recycling HC'!F309</f>
        <v>1.937753765503654E-6</v>
      </c>
      <c r="CZ104" s="168">
        <f>('BTX Recycling LC'!G364+'BTX Recycling LC'!G366)/'BTX Recycling HC'!G309</f>
        <v>4.0248676175295633E-6</v>
      </c>
      <c r="DA104" s="168">
        <f>('BTX Recycling LC'!H364+'BTX Recycling LC'!H366)/'BTX Recycling HC'!H309</f>
        <v>8.2902674447317392E-6</v>
      </c>
      <c r="DB104" s="168">
        <f>('BTX Recycling LC'!I364+'BTX Recycling LC'!I366)/'BTX Recycling HC'!I309</f>
        <v>1.6906595430871797E-5</v>
      </c>
      <c r="DC104" s="168">
        <f>('BTX Recycling LC'!J364+'BTX Recycling LC'!J366)/'BTX Recycling HC'!J309</f>
        <v>3.4057347472655862E-5</v>
      </c>
      <c r="DD104" s="168">
        <f>('BTX Recycling LC'!K364+'BTX Recycling LC'!K366)/'BTX Recycling HC'!K309</f>
        <v>6.7552706721714183E-5</v>
      </c>
      <c r="DE104" s="168">
        <f>('BTX Recycling LC'!L364+'BTX Recycling LC'!L366)/'BTX Recycling HC'!L309</f>
        <v>1.313718898870184E-4</v>
      </c>
      <c r="DF104" s="168">
        <f>('BTX Recycling LC'!M364+'BTX Recycling LC'!M366)/'BTX Recycling HC'!M309</f>
        <v>2.5021083843391307E-4</v>
      </c>
      <c r="DG104" s="168">
        <f>('BTX Recycling LC'!N364+'BTX Recycling LC'!N366)/'BTX Recycling HC'!N309</f>
        <v>4.400900494823327E-4</v>
      </c>
      <c r="DH104" s="168">
        <f>('BTX Recycling LC'!O364+'BTX Recycling LC'!O366)/'BTX Recycling HC'!O309</f>
        <v>7.4798886946699015E-4</v>
      </c>
      <c r="DI104" s="168">
        <f>('BTX Recycling LC'!P364+'BTX Recycling LC'!P366)/'BTX Recycling HC'!P309</f>
        <v>1.2139288636464562E-3</v>
      </c>
      <c r="DJ104" s="168">
        <f>('BTX Recycling LC'!Q364+'BTX Recycling LC'!Q366)/'BTX Recycling HC'!Q309</f>
        <v>1.8681513848334773E-3</v>
      </c>
      <c r="DK104" s="168">
        <f>('BTX Recycling LC'!R364+'BTX Recycling LC'!R366)/'BTX Recycling HC'!R309</f>
        <v>2.7140927265488775E-3</v>
      </c>
      <c r="DL104" s="168">
        <f>('BTX Recycling LC'!S364+'BTX Recycling LC'!S366)/'BTX Recycling HC'!S309</f>
        <v>3.7136892689319597E-3</v>
      </c>
      <c r="DM104" s="168">
        <f>('BTX Recycling LC'!T364+'BTX Recycling LC'!T366)/'BTX Recycling HC'!T309</f>
        <v>4.7951952199417631E-3</v>
      </c>
      <c r="DN104" s="168">
        <f>('BTX Recycling LC'!U364+'BTX Recycling LC'!U366)/'BTX Recycling HC'!U309</f>
        <v>5.8706434769350765E-3</v>
      </c>
      <c r="DO104" s="168">
        <f>('BTX Recycling LC'!V364+'BTX Recycling LC'!V366)/'BTX Recycling HC'!V309</f>
        <v>6.8614166693935167E-3</v>
      </c>
      <c r="DP104" s="168">
        <f>('BTX Recycling LC'!W364+'BTX Recycling LC'!W366)/'BTX Recycling HC'!W309</f>
        <v>7.7156670095541594E-3</v>
      </c>
      <c r="DQ104" s="168">
        <f>('BTX Recycling LC'!X364+'BTX Recycling LC'!X366)/'BTX Recycling HC'!X309</f>
        <v>7.8850122993746902E-3</v>
      </c>
      <c r="DR104" s="168">
        <f>('BTX Recycling LC'!Y364+'BTX Recycling LC'!Y366)/'BTX Recycling HC'!Y309</f>
        <v>8.8917952994393736E-3</v>
      </c>
      <c r="DS104" s="168">
        <f>('BTX Recycling LC'!Z364+'BTX Recycling LC'!Z366)/'BTX Recycling HC'!Z309</f>
        <v>9.9544997150256657E-3</v>
      </c>
      <c r="DT104" s="168">
        <f>('BTX Recycling LC'!AA364+'BTX Recycling LC'!AA366)/'BTX Recycling HC'!AA309</f>
        <v>1.1005278881789357E-2</v>
      </c>
      <c r="DU104" s="168">
        <f>('BTX Recycling LC'!AB364+'BTX Recycling LC'!AB366)/'BTX Recycling HC'!AB309</f>
        <v>1.2091306923380117E-2</v>
      </c>
      <c r="DV104" s="168">
        <f>('BTX Recycling LC'!AC364+'BTX Recycling LC'!AC366)/'BTX Recycling HC'!AC309</f>
        <v>1.3281701797301175E-2</v>
      </c>
      <c r="DW104" s="168">
        <f>('BTX Recycling LC'!AD364+'BTX Recycling LC'!AD366)/'BTX Recycling HC'!AD309</f>
        <v>1.4663736570771291E-2</v>
      </c>
      <c r="DX104" s="168">
        <f>('BTX Recycling LC'!AE364+'BTX Recycling LC'!AE366)/'BTX Recycling HC'!AE309</f>
        <v>1.6328409884712285E-2</v>
      </c>
      <c r="DY104" s="168">
        <f>('BTX Recycling LC'!AF364+'BTX Recycling LC'!AF366)/'BTX Recycling HC'!AF309</f>
        <v>1.8341875010782972E-2</v>
      </c>
      <c r="DZ104" s="168">
        <f>('BTX Recycling LC'!AG364+'BTX Recycling LC'!AG366)/'BTX Recycling HC'!AG309</f>
        <v>2.0709721901633501E-2</v>
      </c>
    </row>
    <row r="105" spans="1:165">
      <c r="A105" s="606" t="s">
        <v>459</v>
      </c>
      <c r="C105" s="54" t="s">
        <v>462</v>
      </c>
      <c r="D105" s="168">
        <f>('BTX Recycling HC'!C337-('BTX Recycling HC'!C364+'BTX Recycling HC'!C366)*'BTX Recycling HC'!C303/SUM('BTX Recycling HC'!C303:C304))/('BTX Recycling HC'!C$319)*D$19/SUM(D$19:D$20)</f>
        <v>0.14609461893255787</v>
      </c>
      <c r="E105" s="168">
        <f>('BTX Recycling HC'!D337-('BTX Recycling HC'!D364+'BTX Recycling HC'!D366)*'BTX Recycling HC'!D303/SUM('BTX Recycling HC'!D303:D304))/('BTX Recycling HC'!D$319)*E$19/SUM(E$19:E$20)</f>
        <v>0.15041803199971332</v>
      </c>
      <c r="F105" s="168">
        <f>('BTX Recycling HC'!E337-('BTX Recycling HC'!E364+'BTX Recycling HC'!E366)*'BTX Recycling HC'!E303/SUM('BTX Recycling HC'!E303:E304))/('BTX Recycling HC'!E$319)*F$19/SUM(F$19:F$20)</f>
        <v>0.15445630141490793</v>
      </c>
      <c r="G105" s="168">
        <f>('BTX Recycling HC'!F337-('BTX Recycling HC'!F364+'BTX Recycling HC'!F366)*'BTX Recycling HC'!F303/SUM('BTX Recycling HC'!F303:F304))/('BTX Recycling HC'!F$319)*G$19/SUM(G$19:G$20)</f>
        <v>0.15841974364510897</v>
      </c>
      <c r="H105" s="168">
        <f>('BTX Recycling HC'!G337-('BTX Recycling HC'!G364+'BTX Recycling HC'!G366)*'BTX Recycling HC'!G303/SUM('BTX Recycling HC'!G303:G304))/('BTX Recycling HC'!G$319)*H$19/SUM(H$19:H$20)</f>
        <v>0.16229442511457259</v>
      </c>
      <c r="I105" s="168">
        <f>('BTX Recycling HC'!H337-('BTX Recycling HC'!H364+'BTX Recycling HC'!H366)*'BTX Recycling HC'!H303/SUM('BTX Recycling HC'!H303:H304))/('BTX Recycling HC'!H$319)*I$19/SUM(I$19:I$20)</f>
        <v>0.16605489567625722</v>
      </c>
      <c r="J105" s="168">
        <f>('BTX Recycling HC'!I337-('BTX Recycling HC'!I364+'BTX Recycling HC'!I366)*'BTX Recycling HC'!I303/SUM('BTX Recycling HC'!I303:I304))/('BTX Recycling HC'!I$319)*J$19/SUM(J$19:J$20)</f>
        <v>0.16965441419600355</v>
      </c>
      <c r="K105" s="168">
        <f>('BTX Recycling HC'!J337-('BTX Recycling HC'!J364+'BTX Recycling HC'!J366)*'BTX Recycling HC'!J303/SUM('BTX Recycling HC'!J303:J304))/('BTX Recycling HC'!J$319)*K$19/SUM(K$19:K$20)</f>
        <v>0.17300800660543803</v>
      </c>
      <c r="L105" s="168">
        <f>('BTX Recycling HC'!K337-('BTX Recycling HC'!K364+'BTX Recycling HC'!K366)*'BTX Recycling HC'!K303/SUM('BTX Recycling HC'!K303:K304))/('BTX Recycling HC'!K$319)*L$19/SUM(L$19:L$20)</f>
        <v>0.17596497358762525</v>
      </c>
      <c r="M105" s="168">
        <f>('BTX Recycling HC'!L337-('BTX Recycling HC'!L364+'BTX Recycling HC'!L366)*'BTX Recycling HC'!L303/SUM('BTX Recycling HC'!L303:L304))/('BTX Recycling HC'!L$319)*M$19/SUM(M$19:M$20)</f>
        <v>0.17826856013598746</v>
      </c>
      <c r="N105" s="168">
        <f>('BTX Recycling HC'!M337-('BTX Recycling HC'!M364+'BTX Recycling HC'!M366)*'BTX Recycling HC'!M303/SUM('BTX Recycling HC'!M303:M304))/('BTX Recycling HC'!M$319)*N$19/SUM(N$19:N$20)</f>
        <v>0.17950581629450044</v>
      </c>
      <c r="O105" s="168">
        <f>('BTX Recycling HC'!N337-('BTX Recycling HC'!N364+'BTX Recycling HC'!N366)*'BTX Recycling HC'!N303/SUM('BTX Recycling HC'!N303:N304))/('BTX Recycling HC'!N$319)*O$19/SUM(O$19:O$20)</f>
        <v>0.17806685366606778</v>
      </c>
      <c r="P105" s="168">
        <f>('BTX Recycling HC'!O337-('BTX Recycling HC'!O364+'BTX Recycling HC'!O366)*'BTX Recycling HC'!O303/SUM('BTX Recycling HC'!O303:O304))/('BTX Recycling HC'!O$319)*P$19/SUM(P$19:P$20)</f>
        <v>0.17417967040535381</v>
      </c>
      <c r="Q105" s="168">
        <f>('BTX Recycling HC'!P337-('BTX Recycling HC'!P364+'BTX Recycling HC'!P366)*'BTX Recycling HC'!P303/SUM('BTX Recycling HC'!P303:P304))/('BTX Recycling HC'!P$319)*Q$19/SUM(Q$19:Q$20)</f>
        <v>0.16705908151790555</v>
      </c>
      <c r="R105" s="168">
        <f>('BTX Recycling HC'!Q337-('BTX Recycling HC'!Q364+'BTX Recycling HC'!Q366)*'BTX Recycling HC'!Q303/SUM('BTX Recycling HC'!Q303:Q304))/('BTX Recycling HC'!Q$319)*R$19/SUM(R$19:R$20)</f>
        <v>0.15614430769125229</v>
      </c>
      <c r="S105" s="168">
        <f>('BTX Recycling HC'!R337-('BTX Recycling HC'!R364+'BTX Recycling HC'!R366)*'BTX Recycling HC'!R303/SUM('BTX Recycling HC'!R303:R304))/('BTX Recycling HC'!R$319)*S$19/SUM(S$19:S$20)</f>
        <v>0.14143036234641973</v>
      </c>
      <c r="T105" s="168">
        <f>('BTX Recycling HC'!S337-('BTX Recycling HC'!S364+'BTX Recycling HC'!S366)*'BTX Recycling HC'!S303/SUM('BTX Recycling HC'!S303:S304))/('BTX Recycling HC'!S$319)*T$19/SUM(T$19:T$20)</f>
        <v>0.1236719239344504</v>
      </c>
      <c r="U105" s="168">
        <f>('BTX Recycling HC'!T337-('BTX Recycling HC'!T364+'BTX Recycling HC'!T366)*'BTX Recycling HC'!T303/SUM('BTX Recycling HC'!T303:T304))/('BTX Recycling HC'!T$319)*U$19/SUM(U$19:U$20)</f>
        <v>0.10427662324977674</v>
      </c>
      <c r="V105" s="168">
        <f>('BTX Recycling HC'!U337-('BTX Recycling HC'!U364+'BTX Recycling HC'!U366)*'BTX Recycling HC'!U303/SUM('BTX Recycling HC'!U303:U304))/('BTX Recycling HC'!U$319)*V$19/SUM(V$19:V$20)</f>
        <v>8.4904724831970826E-2</v>
      </c>
      <c r="W105" s="168">
        <f>('BTX Recycling HC'!V337-('BTX Recycling HC'!V364+'BTX Recycling HC'!V366)*'BTX Recycling HC'!V303/SUM('BTX Recycling HC'!V303:V304))/('BTX Recycling HC'!V$319)*W$19/SUM(W$19:W$20)</f>
        <v>6.6996575254545873E-2</v>
      </c>
      <c r="X105" s="168">
        <f>('BTX Recycling HC'!W337-('BTX Recycling HC'!W364+'BTX Recycling HC'!W366)*'BTX Recycling HC'!W303/SUM('BTX Recycling HC'!W303:W304))/('BTX Recycling HC'!W$319)*X$19/SUM(X$19:X$20)</f>
        <v>5.1474608293555109E-2</v>
      </c>
      <c r="Y105" s="168">
        <f>('BTX Recycling HC'!X337-('BTX Recycling HC'!X364+'BTX Recycling HC'!X366)*'BTX Recycling HC'!X303/SUM('BTX Recycling HC'!X303:X304))/('BTX Recycling HC'!X$319)*Y$19/SUM(Y$19:Y$20)</f>
        <v>3.8409798729534227E-2</v>
      </c>
      <c r="Z105" s="168">
        <f>('BTX Recycling HC'!Y337-('BTX Recycling HC'!Y364+'BTX Recycling HC'!Y366)*'BTX Recycling HC'!Y303/SUM('BTX Recycling HC'!Y303:Y304))/('BTX Recycling HC'!Y$319)*Z$19/SUM(Z$19:Z$20)</f>
        <v>2.8057605814625963E-2</v>
      </c>
      <c r="AA105" s="168">
        <f>('BTX Recycling HC'!Z337-('BTX Recycling HC'!Z364+'BTX Recycling HC'!Z366)*'BTX Recycling HC'!Z303/SUM('BTX Recycling HC'!Z303:Z304))/('BTX Recycling HC'!Z$319)*AA$19/SUM(AA$19:AA$20)</f>
        <v>2.0198030427918352E-2</v>
      </c>
      <c r="AB105" s="168">
        <f>('BTX Recycling HC'!AA337-('BTX Recycling HC'!AA364+'BTX Recycling HC'!AA366)*'BTX Recycling HC'!AA303/SUM('BTX Recycling HC'!AA303:AA304))/('BTX Recycling HC'!AA$319)*AB$19/SUM(AB$19:AB$20)</f>
        <v>1.4377492291655115E-2</v>
      </c>
      <c r="AC105" s="168">
        <f>('BTX Recycling HC'!AB337-('BTX Recycling HC'!AB364+'BTX Recycling HC'!AB366)*'BTX Recycling HC'!AB303/SUM('BTX Recycling HC'!AB303:AB304))/('BTX Recycling HC'!AB$319)*AC$19/SUM(AC$19:AC$20)</f>
        <v>1.0142408955621239E-2</v>
      </c>
      <c r="AD105" s="168">
        <f>('BTX Recycling HC'!AC337-('BTX Recycling HC'!AC364+'BTX Recycling HC'!AC366)*'BTX Recycling HC'!AC303/SUM('BTX Recycling HC'!AC303:AC304))/('BTX Recycling HC'!AC$319)*AD$19/SUM(AD$19:AD$20)</f>
        <v>7.1011802476187939E-3</v>
      </c>
      <c r="AE105" s="168">
        <f>('BTX Recycling HC'!AD337-('BTX Recycling HC'!AD364+'BTX Recycling HC'!AD366)*'BTX Recycling HC'!AD303/SUM('BTX Recycling HC'!AD303:AD304))/('BTX Recycling HC'!AD$319)*AE$19/SUM(AE$19:AE$20)</f>
        <v>4.9388687836613198E-3</v>
      </c>
      <c r="AF105" s="168">
        <f>('BTX Recycling HC'!AE337-('BTX Recycling HC'!AE364+'BTX Recycling HC'!AE366)*'BTX Recycling HC'!AE303/SUM('BTX Recycling HC'!AE303:AE304))/('BTX Recycling HC'!AE$319)*AF$19/SUM(AF$19:AF$20)</f>
        <v>3.413503286802884E-3</v>
      </c>
      <c r="AG105" s="168">
        <f>('BTX Recycling HC'!AF337-('BTX Recycling HC'!AF364+'BTX Recycling HC'!AF366)*'BTX Recycling HC'!AF303/SUM('BTX Recycling HC'!AF303:AF304))/('BTX Recycling HC'!AF$319)*AG$19/SUM(AG$19:AG$20)</f>
        <v>2.3447382121256689E-3</v>
      </c>
      <c r="AH105" s="168">
        <f>('BTX Recycling HC'!AG337-('BTX Recycling HC'!AG364+'BTX Recycling HC'!AG366)*'BTX Recycling HC'!AG303/SUM('BTX Recycling HC'!AG303:AG304))/('BTX Recycling HC'!AG$319)*AH$19/SUM(AH$19:AH$20)</f>
        <v>1.6007804464268384E-3</v>
      </c>
      <c r="AI105" s="44"/>
      <c r="AJ105" s="168">
        <f>('BTX Recycling LC'!C337-('BTX Recycling LC'!C364+'BTX Recycling LC'!C366)*'BTX Recycling LC'!C303/SUM('BTX Recycling LC'!C303:C304))/('BTX Recycling LC'!C$319)*AJ$19/SUM(AJ$19:AJ$20)</f>
        <v>0.14609466474361113</v>
      </c>
      <c r="AK105" s="168">
        <f>('BTX Recycling LC'!D337-('BTX Recycling LC'!D364+'BTX Recycling LC'!D366)*'BTX Recycling LC'!D303/SUM('BTX Recycling LC'!D303:D304))/('BTX Recycling LC'!D$319)*AK$19/SUM(AK$19:AK$20)</f>
        <v>0.15041813286127256</v>
      </c>
      <c r="AL105" s="168">
        <f>('BTX Recycling LC'!E337-('BTX Recycling LC'!E364+'BTX Recycling LC'!E366)*'BTX Recycling LC'!E303/SUM('BTX Recycling LC'!E303:E304))/('BTX Recycling LC'!E$319)*AL$19/SUM(AL$19:AL$20)</f>
        <v>0.15445651789657924</v>
      </c>
      <c r="AM105" s="168">
        <f>('BTX Recycling LC'!F337-('BTX Recycling LC'!F364+'BTX Recycling LC'!F366)*'BTX Recycling LC'!F303/SUM('BTX Recycling LC'!F303:F304))/('BTX Recycling LC'!F$319)*AM$19/SUM(AM$19:AM$20)</f>
        <v>0.15842020475287827</v>
      </c>
      <c r="AN105" s="168">
        <f>('BTX Recycling LC'!G337-('BTX Recycling LC'!G364+'BTX Recycling LC'!G366)*'BTX Recycling LC'!G303/SUM('BTX Recycling LC'!G303:G304))/('BTX Recycling LC'!G$319)*AN$19/SUM(AN$19:AN$20)</f>
        <v>0.16229539921687744</v>
      </c>
      <c r="AO105" s="168">
        <f>('BTX Recycling LC'!H337-('BTX Recycling LC'!H364+'BTX Recycling LC'!H366)*'BTX Recycling LC'!H303/SUM('BTX Recycling LC'!H303:H304))/('BTX Recycling LC'!H$319)*AO$19/SUM(AO$19:AO$20)</f>
        <v>0.16605693432654653</v>
      </c>
      <c r="AP105" s="168">
        <f>('BTX Recycling LC'!I337-('BTX Recycling LC'!I364+'BTX Recycling LC'!I366)*'BTX Recycling LC'!I303/SUM('BTX Recycling LC'!I303:I304))/('BTX Recycling LC'!I$319)*AP$19/SUM(AP$19:AP$20)</f>
        <v>0.16965863347689866</v>
      </c>
      <c r="AQ105" s="168">
        <f>('BTX Recycling LC'!J337-('BTX Recycling LC'!J364+'BTX Recycling LC'!J366)*'BTX Recycling LC'!J303/SUM('BTX Recycling LC'!J303:J304))/('BTX Recycling LC'!J$319)*AQ$19/SUM(AQ$19:AQ$20)</f>
        <v>0.17301661885078773</v>
      </c>
      <c r="AR105" s="168">
        <f>('BTX Recycling LC'!K337-('BTX Recycling LC'!K364+'BTX Recycling LC'!K366)*'BTX Recycling LC'!K303/SUM('BTX Recycling LC'!K303:K304))/('BTX Recycling LC'!K$319)*AR$19/SUM(AR$19:AR$20)</f>
        <v>0.17598224269010601</v>
      </c>
      <c r="AS105" s="168">
        <f>('BTX Recycling LC'!L337-('BTX Recycling LC'!L364+'BTX Recycling LC'!L366)*'BTX Recycling LC'!L303/SUM('BTX Recycling LC'!L303:L304))/('BTX Recycling LC'!L$319)*AS$19/SUM(AS$19:AS$20)</f>
        <v>0.17830238990151392</v>
      </c>
      <c r="AT105" s="168">
        <f>('BTX Recycling LC'!M337-('BTX Recycling LC'!M364+'BTX Recycling LC'!M366)*'BTX Recycling LC'!M303/SUM('BTX Recycling LC'!M303:M304))/('BTX Recycling LC'!M$319)*AT$19/SUM(AT$19:AT$20)</f>
        <v>0.17957035538231275</v>
      </c>
      <c r="AU105" s="168">
        <f>('BTX Recycling LC'!N337-('BTX Recycling LC'!N364+'BTX Recycling LC'!N366)*'BTX Recycling LC'!N303/SUM('BTX Recycling LC'!N303:N304))/('BTX Recycling LC'!N$319)*AU$19/SUM(AU$19:AU$20)</f>
        <v>0.17817956417013764</v>
      </c>
      <c r="AV105" s="168">
        <f>('BTX Recycling LC'!O337-('BTX Recycling LC'!O364+'BTX Recycling LC'!O366)*'BTX Recycling LC'!O303/SUM('BTX Recycling LC'!O303:O304))/('BTX Recycling LC'!O$319)*AV$19/SUM(AV$19:AV$20)</f>
        <v>0.1743673883642762</v>
      </c>
      <c r="AW105" s="168">
        <f>('BTX Recycling LC'!P337-('BTX Recycling LC'!P364+'BTX Recycling LC'!P366)*'BTX Recycling LC'!P303/SUM('BTX Recycling LC'!P303:P304))/('BTX Recycling LC'!P$319)*AW$19/SUM(AW$19:AW$20)</f>
        <v>0.16735207158642446</v>
      </c>
      <c r="AX105" s="168">
        <f>('BTX Recycling LC'!Q337-('BTX Recycling LC'!Q364+'BTX Recycling LC'!Q366)*'BTX Recycling LC'!Q303/SUM('BTX Recycling LC'!Q303:Q304))/('BTX Recycling LC'!Q$319)*AX$19/SUM(AX$19:AX$20)</f>
        <v>0.15656736074961378</v>
      </c>
      <c r="AY105" s="168">
        <f>('BTX Recycling LC'!R337-('BTX Recycling LC'!R364+'BTX Recycling LC'!R366)*'BTX Recycling LC'!R303/SUM('BTX Recycling LC'!R303:R304))/('BTX Recycling LC'!R$319)*AY$19/SUM(AY$19:AY$20)</f>
        <v>0.14198985913362935</v>
      </c>
      <c r="AZ105" s="168">
        <f>('BTX Recycling LC'!S337-('BTX Recycling LC'!S364+'BTX Recycling LC'!S366)*'BTX Recycling LC'!S303/SUM('BTX Recycling LC'!S303:S304))/('BTX Recycling LC'!S$319)*AZ$19/SUM(AZ$19:AZ$20)</f>
        <v>0.12434543275029836</v>
      </c>
      <c r="BA105" s="168">
        <f>('BTX Recycling LC'!T337-('BTX Recycling LC'!T364+'BTX Recycling LC'!T366)*'BTX Recycling LC'!T303/SUM('BTX Recycling LC'!T303:T304))/('BTX Recycling LC'!T$319)*BA$19/SUM(BA$19:BA$20)</f>
        <v>0.10501497780370618</v>
      </c>
      <c r="BB105" s="168">
        <f>('BTX Recycling LC'!U337-('BTX Recycling LC'!U364+'BTX Recycling LC'!U366)*'BTX Recycling LC'!U303/SUM('BTX Recycling LC'!U303:U304))/('BTX Recycling LC'!U$319)*BB$19/SUM(BB$19:BB$20)</f>
        <v>8.5646279465832503E-2</v>
      </c>
      <c r="BC105" s="168">
        <f>('BTX Recycling LC'!V337-('BTX Recycling LC'!V364+'BTX Recycling LC'!V366)*'BTX Recycling LC'!V303/SUM('BTX Recycling LC'!V303:V304))/('BTX Recycling LC'!V$319)*BC$19/SUM(BC$19:BC$20)</f>
        <v>6.7685839755573185E-2</v>
      </c>
      <c r="BD105" s="168">
        <f>('BTX Recycling LC'!W337-('BTX Recycling LC'!W364+'BTX Recycling LC'!W366)*'BTX Recycling LC'!W303/SUM('BTX Recycling LC'!W303:W304))/('BTX Recycling LC'!W$319)*BD$19/SUM(BD$19:BD$20)</f>
        <v>5.2074881930095136E-2</v>
      </c>
      <c r="BE105" s="168">
        <f>('BTX Recycling LC'!X337-('BTX Recycling LC'!X364+'BTX Recycling LC'!X366)*'BTX Recycling LC'!X303/SUM('BTX Recycling LC'!X303:X304))/('BTX Recycling LC'!X$319)*BE$19/SUM(BE$19:BE$20)</f>
        <v>3.8874741622514163E-2</v>
      </c>
      <c r="BF105" s="168">
        <f>('BTX Recycling LC'!Y337-('BTX Recycling LC'!Y364+'BTX Recycling LC'!Y366)*'BTX Recycling LC'!Y303/SUM('BTX Recycling LC'!Y303:Y304))/('BTX Recycling LC'!Y$319)*BF$19/SUM(BF$19:BF$20)</f>
        <v>2.8448296479591396E-2</v>
      </c>
      <c r="BG105" s="168">
        <f>('BTX Recycling LC'!Z337-('BTX Recycling LC'!Z364+'BTX Recycling LC'!Z366)*'BTX Recycling LC'!Z303/SUM('BTX Recycling LC'!Z303:Z304))/('BTX Recycling LC'!Z$319)*BG$19/SUM(BG$19:BG$20)</f>
        <v>2.0519707481379282E-2</v>
      </c>
      <c r="BH105" s="168">
        <f>('BTX Recycling LC'!AA337-('BTX Recycling LC'!AA364+'BTX Recycling LC'!AA366)*'BTX Recycling LC'!AA303/SUM('BTX Recycling LC'!AA303:AA304))/('BTX Recycling LC'!AA$319)*BH$19/SUM(BH$19:BH$20)</f>
        <v>1.4636509679681952E-2</v>
      </c>
      <c r="BI105" s="168">
        <f>('BTX Recycling LC'!AB337-('BTX Recycling LC'!AB364+'BTX Recycling LC'!AB366)*'BTX Recycling LC'!AB303/SUM('BTX Recycling LC'!AB303:AB304))/('BTX Recycling LC'!AB$319)*BI$19/SUM(BI$19:BI$20)</f>
        <v>1.0348187391183251E-2</v>
      </c>
      <c r="BJ105" s="168">
        <f>('BTX Recycling LC'!AC337-('BTX Recycling LC'!AC364+'BTX Recycling LC'!AC366)*'BTX Recycling LC'!AC303/SUM('BTX Recycling LC'!AC303:AC304))/('BTX Recycling LC'!AC$319)*BJ$19/SUM(BJ$19:BJ$20)</f>
        <v>7.2637670541298265E-3</v>
      </c>
      <c r="BK105" s="168">
        <f>('BTX Recycling LC'!AD337-('BTX Recycling LC'!AD364+'BTX Recycling LC'!AD366)*'BTX Recycling LC'!AD303/SUM('BTX Recycling LC'!AD303:AD304))/('BTX Recycling LC'!AD$319)*BK$19/SUM(BK$19:BK$20)</f>
        <v>5.0674883586971295E-3</v>
      </c>
      <c r="BL105" s="168">
        <f>('BTX Recycling LC'!AE337-('BTX Recycling LC'!AE364+'BTX Recycling LC'!AE366)*'BTX Recycling LC'!AE303/SUM('BTX Recycling LC'!AE303:AE304))/('BTX Recycling LC'!AE$319)*BL$19/SUM(BL$19:BL$20)</f>
        <v>3.51583648296641E-3</v>
      </c>
      <c r="BM105" s="168">
        <f>('BTX Recycling LC'!AF337-('BTX Recycling LC'!AF364+'BTX Recycling LC'!AF366)*'BTX Recycling LC'!AF303/SUM('BTX Recycling LC'!AF303:AF304))/('BTX Recycling LC'!AF$319)*BM$19/SUM(BM$19:BM$20)</f>
        <v>2.4267043775680871E-3</v>
      </c>
      <c r="BN105" s="168">
        <f>('BTX Recycling LC'!AG337-('BTX Recycling LC'!AG364+'BTX Recycling LC'!AG366)*'BTX Recycling LC'!AG303/SUM('BTX Recycling LC'!AG303:AG304))/('BTX Recycling LC'!AG$319)*BN$19/SUM(BN$19:BN$20)</f>
        <v>1.66667174017527E-3</v>
      </c>
      <c r="BP105" s="168">
        <f>('BTX Recycling HC'!C313)/('BTX Recycling HC'!C$309)*BP$19/SUM(BP$19:BP$20)</f>
        <v>0.14610145983293571</v>
      </c>
      <c r="BQ105" s="168">
        <f>('BTX Recycling HC'!D313)/('BTX Recycling HC'!D$309)*BQ$19/SUM(BQ$19:BQ$20)</f>
        <v>0.14821773693030627</v>
      </c>
      <c r="BR105" s="168">
        <f>('BTX Recycling HC'!E313)/('BTX Recycling HC'!E$309)*BR$19/SUM(BR$19:BR$20)</f>
        <v>0.15029991940420692</v>
      </c>
      <c r="BS105" s="168">
        <f>('BTX Recycling HC'!F313)/('BTX Recycling HC'!F$309)*BS$19/SUM(BS$19:BS$20)</f>
        <v>0.15234808928358654</v>
      </c>
      <c r="BT105" s="168">
        <f>('BTX Recycling HC'!G313)/('BTX Recycling HC'!G$309)*BT$19/SUM(BT$19:BT$20)</f>
        <v>0.15436207986763892</v>
      </c>
      <c r="BU105" s="168">
        <f>('BTX Recycling HC'!H313)/('BTX Recycling HC'!H$309)*BU$19/SUM(BU$19:BU$20)</f>
        <v>0.1563414732122001</v>
      </c>
      <c r="BV105" s="168">
        <f>('BTX Recycling HC'!I313)/('BTX Recycling HC'!I$309)*BV$19/SUM(BV$19:BV$20)</f>
        <v>0.15831598020420046</v>
      </c>
      <c r="BW105" s="168">
        <f>('BTX Recycling HC'!J313)/('BTX Recycling HC'!J$309)*BW$19/SUM(BW$19:BW$20)</f>
        <v>0.16028545402202785</v>
      </c>
      <c r="BX105" s="168">
        <f>('BTX Recycling HC'!K313)/('BTX Recycling HC'!K$309)*BX$19/SUM(BX$19:BX$20)</f>
        <v>0.16224974273074824</v>
      </c>
      <c r="BY105" s="168">
        <f>('BTX Recycling HC'!L313)/('BTX Recycling HC'!L$309)*BY$19/SUM(BY$19:BY$20)</f>
        <v>0.16420868889919757</v>
      </c>
      <c r="BZ105" s="168">
        <f>('BTX Recycling HC'!M313)/('BTX Recycling HC'!M$309)*BZ$19/SUM(BZ$19:BZ$20)</f>
        <v>0.16616212920768123</v>
      </c>
      <c r="CA105" s="168">
        <f>('BTX Recycling HC'!N313)/('BTX Recycling HC'!N$309)*CA$19/SUM(CA$19:CA$20)</f>
        <v>0.1680889409852678</v>
      </c>
      <c r="CB105" s="168">
        <f>('BTX Recycling HC'!O313)/('BTX Recycling HC'!O$309)*CB$19/SUM(CB$19:CB$20)</f>
        <v>0.16998827145070378</v>
      </c>
      <c r="CC105" s="168">
        <f>('BTX Recycling HC'!P313)/('BTX Recycling HC'!P$309)*CC$19/SUM(CC$19:CC$20)</f>
        <v>0.17185911040612792</v>
      </c>
      <c r="CD105" s="168">
        <f>('BTX Recycling HC'!Q313)/('BTX Recycling HC'!Q$309)*CD$19/SUM(CD$19:CD$20)</f>
        <v>0.17370028008363644</v>
      </c>
      <c r="CE105" s="168">
        <f>('BTX Recycling HC'!R313)/('BTX Recycling HC'!R$309)*CE$19/SUM(CE$19:CE$20)</f>
        <v>0.1755104233179797</v>
      </c>
      <c r="CF105" s="168">
        <f>('BTX Recycling HC'!S313)/('BTX Recycling HC'!S$309)*CF$19/SUM(CF$19:CF$20)</f>
        <v>0.17731636671909101</v>
      </c>
      <c r="CG105" s="168">
        <f>('BTX Recycling HC'!T313)/('BTX Recycling HC'!T$309)*CG$19/SUM(CG$19:CG$20)</f>
        <v>0.17911800242026549</v>
      </c>
      <c r="CH105" s="168">
        <f>('BTX Recycling HC'!U313)/('BTX Recycling HC'!U$309)*CH$19/SUM(CH$19:CH$20)</f>
        <v>0.18091522004394853</v>
      </c>
      <c r="CI105" s="168">
        <f>('BTX Recycling HC'!V313)/('BTX Recycling HC'!V$309)*CI$19/SUM(CI$19:CI$20)</f>
        <v>0.18270790662525552</v>
      </c>
      <c r="CJ105" s="168">
        <f>('BTX Recycling HC'!W313)/('BTX Recycling HC'!W$309)*CJ$19/SUM(CJ$19:CJ$20)</f>
        <v>0.18449594653326651</v>
      </c>
      <c r="CK105" s="168">
        <f>('BTX Recycling HC'!X313)/('BTX Recycling HC'!X$309)*CK$19/SUM(CK$19:CK$20)</f>
        <v>0.18627940996324627</v>
      </c>
      <c r="CL105" s="168">
        <f>('BTX Recycling HC'!Y313)/('BTX Recycling HC'!Y$309)*CL$19/SUM(CL$19:CL$20)</f>
        <v>0.18805818551627063</v>
      </c>
      <c r="CM105" s="168">
        <f>('BTX Recycling HC'!Z313)/('BTX Recycling HC'!Z$309)*CM$19/SUM(CM$19:CM$20)</f>
        <v>0.18983215922076213</v>
      </c>
      <c r="CN105" s="168">
        <f>('BTX Recycling HC'!AA313)/('BTX Recycling HC'!AA$309)*CN$19/SUM(CN$19:CN$20)</f>
        <v>0.19160121445833664</v>
      </c>
      <c r="CO105" s="168">
        <f>('BTX Recycling HC'!AB313)/('BTX Recycling HC'!AB$309)*CO$19/SUM(CO$19:CO$20)</f>
        <v>0.19336523188753596</v>
      </c>
      <c r="CP105" s="168">
        <f>('BTX Recycling HC'!AC313)/('BTX Recycling HC'!AC$309)*CP$19/SUM(CP$19:CP$20)</f>
        <v>0.19512426529991575</v>
      </c>
      <c r="CQ105" s="168">
        <f>('BTX Recycling HC'!AD313)/('BTX Recycling HC'!AD$309)*CQ$19/SUM(CQ$19:CQ$20)</f>
        <v>0.19687819878199081</v>
      </c>
      <c r="CR105" s="168">
        <f>('BTX Recycling HC'!AE313)/('BTX Recycling HC'!AE$309)*CR$19/SUM(CR$19:CR$20)</f>
        <v>0.19862691377236283</v>
      </c>
      <c r="CS105" s="168">
        <f>('BTX Recycling HC'!AF313)/('BTX Recycling HC'!AF$309)*CS$19/SUM(CS$19:CS$20)</f>
        <v>0.20037028898887899</v>
      </c>
      <c r="CT105" s="168">
        <f>('BTX Recycling HC'!AG313)/('BTX Recycling HC'!AG$309)*CT$19/SUM(CT$19:CT$20)</f>
        <v>0.20210820035375948</v>
      </c>
      <c r="CV105" s="168">
        <f>AJ105*(1-SUM(CV$34:CV$35))/(1-SUM(AJ$34:AJ$35))</f>
        <v>0.14609466474361113</v>
      </c>
      <c r="CW105" s="168">
        <f t="shared" ref="CW105:CW111" si="811">AK105*(1-SUM(CW$34:CW$35))/(1-SUM(AK$34:AK$35))</f>
        <v>0.15041813286127256</v>
      </c>
      <c r="CX105" s="168">
        <f t="shared" ref="CX105:CX111" si="812">AL105*(1-SUM(CX$34:CX$35))/(1-SUM(AL$34:AL$35))</f>
        <v>0.15445651789657924</v>
      </c>
      <c r="CY105" s="168">
        <f t="shared" ref="CY105:CY111" si="813">AM105*(1-SUM(CY$34:CY$35))/(1-SUM(AM$34:AM$35))</f>
        <v>0.15842020475287827</v>
      </c>
      <c r="CZ105" s="168">
        <f t="shared" ref="CZ105:CZ111" si="814">AN105*(1-SUM(CZ$34:CZ$35))/(1-SUM(AN$34:AN$35))</f>
        <v>0.16229539921687744</v>
      </c>
      <c r="DA105" s="168">
        <f t="shared" ref="DA105:DA111" si="815">AO105*(1-SUM(DA$34:DA$35))/(1-SUM(AO$34:AO$35))</f>
        <v>0.16605693432654653</v>
      </c>
      <c r="DB105" s="168">
        <f t="shared" ref="DB105:DB111" si="816">AP105*(1-SUM(DB$34:DB$35))/(1-SUM(AP$34:AP$35))</f>
        <v>0.16965863347689866</v>
      </c>
      <c r="DC105" s="168">
        <f t="shared" ref="DC105:DC111" si="817">AQ105*(1-SUM(DC$34:DC$35))/(1-SUM(AQ$34:AQ$35))</f>
        <v>0.17301661885078773</v>
      </c>
      <c r="DD105" s="168">
        <f t="shared" ref="DD105:DD111" si="818">AR105*(1-SUM(DD$34:DD$35))/(1-SUM(AR$34:AR$35))</f>
        <v>0.17598224269010601</v>
      </c>
      <c r="DE105" s="168">
        <f t="shared" ref="DE105:DE111" si="819">AS105*(1-SUM(DE$34:DE$35))/(1-SUM(AS$34:AS$35))</f>
        <v>0.17830238990151392</v>
      </c>
      <c r="DF105" s="168">
        <f t="shared" ref="DF105:DF111" si="820">AT105*(1-SUM(DF$34:DF$35))/(1-SUM(AT$34:AT$35))</f>
        <v>0.17957035538231278</v>
      </c>
      <c r="DG105" s="168">
        <f t="shared" ref="DG105:DG111" si="821">AU105*(1-SUM(DG$34:DG$35))/(1-SUM(AU$34:AU$35))</f>
        <v>0.17817956417013764</v>
      </c>
      <c r="DH105" s="168">
        <f t="shared" ref="DH105:DH111" si="822">AV105*(1-SUM(DH$34:DH$35))/(1-SUM(AV$34:AV$35))</f>
        <v>0.1743673883642762</v>
      </c>
      <c r="DI105" s="168">
        <f t="shared" ref="DI105:DI111" si="823">AW105*(1-SUM(DI$34:DI$35))/(1-SUM(AW$34:AW$35))</f>
        <v>0.16735135742952478</v>
      </c>
      <c r="DJ105" s="168">
        <f t="shared" ref="DJ105:DJ111" si="824">AX105*(1-SUM(DJ$34:DJ$35))/(1-SUM(AX$34:AX$35))</f>
        <v>0.15656592501128752</v>
      </c>
      <c r="DK105" s="168">
        <f t="shared" ref="DK105:DK111" si="825">AY105*(1-SUM(DK$34:DK$35))/(1-SUM(AY$34:AY$35))</f>
        <v>0.14198776396149818</v>
      </c>
      <c r="DL105" s="168">
        <f t="shared" ref="DL105:DL111" si="826">AZ105*(1-SUM(DL$34:DL$35))/(1-SUM(AZ$34:AZ$35))</f>
        <v>0.12434281224398483</v>
      </c>
      <c r="DM105" s="168">
        <f t="shared" ref="DM105:DM111" si="827">BA105*(1-SUM(DM$34:DM$35))/(1-SUM(BA$34:BA$35))</f>
        <v>0.10501201966967887</v>
      </c>
      <c r="DN105" s="168">
        <f t="shared" ref="DN105:DN111" si="828">BB105*(1-SUM(DN$34:DN$35))/(1-SUM(BB$34:BB$35))</f>
        <v>8.5643189683804716E-2</v>
      </c>
      <c r="DO105" s="168">
        <f t="shared" ref="DO105:DO111" si="829">BC105*(1-SUM(DO$34:DO$35))/(1-SUM(BC$34:BC$35))</f>
        <v>6.7682805636615481E-2</v>
      </c>
      <c r="DP105" s="168">
        <f t="shared" ref="DP105:DP111" si="830">BD105*(1-SUM(DP$34:DP$35))/(1-SUM(BD$34:BD$35))</f>
        <v>5.2072046691652447E-2</v>
      </c>
      <c r="DQ105" s="168">
        <f t="shared" ref="DQ105:DQ111" si="831">BE105*(1-SUM(DQ$34:DQ$35))/(1-SUM(BE$34:BE$35))</f>
        <v>3.8872116401755995E-2</v>
      </c>
      <c r="DR105" s="168">
        <f t="shared" ref="DR105:DR111" si="832">BF105*(1-SUM(DR$34:DR$35))/(1-SUM(BF$34:BF$35))</f>
        <v>2.8445952181490378E-2</v>
      </c>
      <c r="DS105" s="168">
        <f t="shared" ref="DS105:DS111" si="833">BG105*(1-SUM(DS$34:DS$35))/(1-SUM(BG$34:BG$35))</f>
        <v>2.0517116016636947E-2</v>
      </c>
      <c r="DT105" s="168">
        <f t="shared" ref="DT105:DT111" si="834">BH105*(1-SUM(DT$34:DT$35))/(1-SUM(BH$34:BH$35))</f>
        <v>1.463391479764457E-2</v>
      </c>
      <c r="DU105" s="168">
        <f t="shared" ref="DU105:DU111" si="835">BI105*(1-SUM(DU$34:DU$35))/(1-SUM(BI$34:BI$35))</f>
        <v>1.0345743876811595E-2</v>
      </c>
      <c r="DV105" s="168">
        <f t="shared" ref="DV105:DV111" si="836">BJ105*(1-SUM(DV$34:DV$35))/(1-SUM(BJ$34:BJ$35))</f>
        <v>7.2615608666977459E-3</v>
      </c>
      <c r="DW105" s="168">
        <f t="shared" ref="DW105:DW111" si="837">BK105*(1-SUM(DW$34:DW$35))/(1-SUM(BK$34:BK$35))</f>
        <v>5.065556527366788E-3</v>
      </c>
      <c r="DX105" s="168">
        <f t="shared" ref="DX105:DX111" si="838">BL105*(1-SUM(DX$34:DX$35))/(1-SUM(BL$34:BL$35))</f>
        <v>3.5141838487241814E-3</v>
      </c>
      <c r="DY105" s="168">
        <f t="shared" ref="DY105:DY111" si="839">BM105*(1-SUM(DY$34:DY$35))/(1-SUM(BM$34:BM$35))</f>
        <v>2.4253163872243215E-3</v>
      </c>
      <c r="DZ105" s="168">
        <f t="shared" ref="DZ105:DZ111" si="840">BN105*(1-SUM(DZ$34:DZ$35))/(1-SUM(BN$34:BN$35))</f>
        <v>1.6655235239186883E-3</v>
      </c>
    </row>
    <row r="106" spans="1:165">
      <c r="A106" s="606" t="s">
        <v>460</v>
      </c>
      <c r="C106" s="54" t="s">
        <v>462</v>
      </c>
      <c r="D106" s="168">
        <f>('BTX Recycling HC'!C337-('BTX Recycling HC'!C364+'BTX Recycling HC'!C366)*'BTX Recycling HC'!C303/SUM('BTX Recycling HC'!C303:C304))/('BTX Recycling HC'!C$319)*D$20/SUM(D$19:D$20)</f>
        <v>6.7336115814820403E-6</v>
      </c>
      <c r="E106" s="168">
        <f>('BTX Recycling HC'!D337-('BTX Recycling HC'!D364+'BTX Recycling HC'!D366)*'BTX Recycling HC'!D303/SUM('BTX Recycling HC'!D303:D304))/('BTX Recycling HC'!D$319)*E$20/SUM(E$19:E$20)</f>
        <v>1.3425645747642983E-5</v>
      </c>
      <c r="F106" s="168">
        <f>('BTX Recycling HC'!E337-('BTX Recycling HC'!E364+'BTX Recycling HC'!E366)*'BTX Recycling HC'!E303/SUM('BTX Recycling HC'!E303:E304))/('BTX Recycling HC'!E$319)*F$20/SUM(F$19:F$20)</f>
        <v>2.665206646511075E-5</v>
      </c>
      <c r="G106" s="168">
        <f>('BTX Recycling HC'!F337-('BTX Recycling HC'!F364+'BTX Recycling HC'!F366)*'BTX Recycling HC'!F303/SUM('BTX Recycling HC'!F303:F304))/('BTX Recycling HC'!F$319)*G$20/SUM(G$19:G$20)</f>
        <v>5.2723225115014659E-5</v>
      </c>
      <c r="H106" s="168">
        <f>('BTX Recycling HC'!G337-('BTX Recycling HC'!G364+'BTX Recycling HC'!G366)*'BTX Recycling HC'!G303/SUM('BTX Recycling HC'!G303:G304))/('BTX Recycling HC'!G$319)*H$20/SUM(H$19:H$20)</f>
        <v>1.0383464380689999E-4</v>
      </c>
      <c r="I106" s="168">
        <f>('BTX Recycling HC'!H337-('BTX Recycling HC'!H364+'BTX Recycling HC'!H366)*'BTX Recycling HC'!H303/SUM('BTX Recycling HC'!H303:H304))/('BTX Recycling HC'!H$319)*I$20/SUM(I$19:I$20)</f>
        <v>2.0331806358037083E-4</v>
      </c>
      <c r="J106" s="168">
        <f>('BTX Recycling HC'!I337-('BTX Recycling HC'!I364+'BTX Recycling HC'!I366)*'BTX Recycling HC'!I303/SUM('BTX Recycling HC'!I303:I304))/('BTX Recycling HC'!I$319)*J$20/SUM(J$19:J$20)</f>
        <v>3.9509334558701274E-4</v>
      </c>
      <c r="K106" s="168">
        <f>('BTX Recycling HC'!J337-('BTX Recycling HC'!J364+'BTX Recycling HC'!J366)*'BTX Recycling HC'!J303/SUM('BTX Recycling HC'!J303:J304))/('BTX Recycling HC'!J$319)*K$20/SUM(K$19:K$20)</f>
        <v>7.5999663366069703E-4</v>
      </c>
      <c r="L106" s="168">
        <f>('BTX Recycling HC'!K337-('BTX Recycling HC'!K364+'BTX Recycling HC'!K366)*'BTX Recycling HC'!K303/SUM('BTX Recycling HC'!K303:K304))/('BTX Recycling HC'!K$319)*L$20/SUM(L$19:L$20)</f>
        <v>1.4422172858679361E-3</v>
      </c>
      <c r="M106" s="168">
        <f>('BTX Recycling HC'!L337-('BTX Recycling HC'!L364+'BTX Recycling HC'!L366)*'BTX Recycling HC'!L303/SUM('BTX Recycling HC'!L303:L304))/('BTX Recycling HC'!L$319)*M$20/SUM(M$19:M$20)</f>
        <v>2.6879249296633389E-3</v>
      </c>
      <c r="N106" s="168">
        <f>('BTX Recycling HC'!M337-('BTX Recycling HC'!M364+'BTX Recycling HC'!M366)*'BTX Recycling HC'!M303/SUM('BTX Recycling HC'!M303:M304))/('BTX Recycling HC'!M$319)*N$20/SUM(N$19:N$20)</f>
        <v>4.892343569242538E-3</v>
      </c>
      <c r="O106" s="168">
        <f>('BTX Recycling HC'!N337-('BTX Recycling HC'!N364+'BTX Recycling HC'!N366)*'BTX Recycling HC'!N303/SUM('BTX Recycling HC'!N303:N304))/('BTX Recycling HC'!N$319)*O$20/SUM(O$19:O$20)</f>
        <v>8.5889205280500376E-3</v>
      </c>
      <c r="P106" s="168">
        <f>('BTX Recycling HC'!O337-('BTX Recycling HC'!O364+'BTX Recycling HC'!O366)*'BTX Recycling HC'!O303/SUM('BTX Recycling HC'!O303:O304))/('BTX Recycling HC'!O$319)*P$20/SUM(P$19:P$20)</f>
        <v>1.451242926727543E-2</v>
      </c>
      <c r="Q106" s="168">
        <f>('BTX Recycling HC'!P337-('BTX Recycling HC'!P364+'BTX Recycling HC'!P366)*'BTX Recycling HC'!P303/SUM('BTX Recycling HC'!P303:P304))/('BTX Recycling HC'!P$319)*Q$20/SUM(Q$19:Q$20)</f>
        <v>2.3417290575546972E-2</v>
      </c>
      <c r="R106" s="168">
        <f>('BTX Recycling HC'!Q337-('BTX Recycling HC'!Q364+'BTX Recycling HC'!Q366)*'BTX Recycling HC'!Q303/SUM('BTX Recycling HC'!Q303:Q304))/('BTX Recycling HC'!Q$319)*R$20/SUM(R$19:R$20)</f>
        <v>3.5836605073429242E-2</v>
      </c>
      <c r="S106" s="168">
        <f>('BTX Recycling HC'!R337-('BTX Recycling HC'!R364+'BTX Recycling HC'!R366)*'BTX Recycling HC'!R303/SUM('BTX Recycling HC'!R303:R304))/('BTX Recycling HC'!R$319)*S$20/SUM(S$19:S$20)</f>
        <v>5.1765567732023045E-2</v>
      </c>
      <c r="T106" s="168">
        <f>('BTX Recycling HC'!S337-('BTX Recycling HC'!S364+'BTX Recycling HC'!S366)*'BTX Recycling HC'!S303/SUM('BTX Recycling HC'!S303:S304))/('BTX Recycling HC'!S$319)*T$20/SUM(T$19:T$20)</f>
        <v>7.0467375563753584E-2</v>
      </c>
      <c r="U106" s="168">
        <f>('BTX Recycling HC'!T337-('BTX Recycling HC'!T364+'BTX Recycling HC'!T366)*'BTX Recycling HC'!T303/SUM('BTX Recycling HC'!T303:T304))/('BTX Recycling HC'!T$319)*U$20/SUM(U$19:U$20)</f>
        <v>9.0576122612054943E-2</v>
      </c>
      <c r="V106" s="168">
        <f>('BTX Recycling HC'!U337-('BTX Recycling HC'!U364+'BTX Recycling HC'!U366)*'BTX Recycling HC'!U303/SUM('BTX Recycling HC'!U303:U304))/('BTX Recycling HC'!U$319)*V$20/SUM(V$19:V$20)</f>
        <v>0.11048634160401984</v>
      </c>
      <c r="W106" s="168">
        <f>('BTX Recycling HC'!V337-('BTX Recycling HC'!V364+'BTX Recycling HC'!V366)*'BTX Recycling HC'!V303/SUM('BTX Recycling HC'!V303:V304))/('BTX Recycling HC'!V$319)*W$20/SUM(W$19:W$20)</f>
        <v>0.12880841199909357</v>
      </c>
      <c r="X106" s="168">
        <f>('BTX Recycling HC'!W337-('BTX Recycling HC'!W364+'BTX Recycling HC'!W366)*'BTX Recycling HC'!W303/SUM('BTX Recycling HC'!W303:W304))/('BTX Recycling HC'!W$319)*X$20/SUM(X$19:X$20)</f>
        <v>0.14465402148645468</v>
      </c>
      <c r="Y106" s="168">
        <f>('BTX Recycling HC'!X337-('BTX Recycling HC'!X364+'BTX Recycling HC'!X366)*'BTX Recycling HC'!X303/SUM('BTX Recycling HC'!X303:X304))/('BTX Recycling HC'!X$319)*Y$20/SUM(Y$19:Y$20)</f>
        <v>0.15649505803095723</v>
      </c>
      <c r="Z106" s="168">
        <f>('BTX Recycling HC'!Y337-('BTX Recycling HC'!Y364+'BTX Recycling HC'!Y366)*'BTX Recycling HC'!Y303/SUM('BTX Recycling HC'!Y303:Y304))/('BTX Recycling HC'!Y$319)*Z$20/SUM(Z$19:Z$20)</f>
        <v>0.16474746925700437</v>
      </c>
      <c r="AA106" s="168">
        <f>('BTX Recycling HC'!Z337-('BTX Recycling HC'!Z364+'BTX Recycling HC'!Z366)*'BTX Recycling HC'!Z303/SUM('BTX Recycling HC'!Z303:Z304))/('BTX Recycling HC'!Z$319)*AA$20/SUM(AA$19:AA$20)</f>
        <v>0.1701682253599627</v>
      </c>
      <c r="AB106" s="168">
        <f>('BTX Recycling HC'!AA337-('BTX Recycling HC'!AA364+'BTX Recycling HC'!AA366)*'BTX Recycling HC'!AA303/SUM('BTX Recycling HC'!AA303:AA304))/('BTX Recycling HC'!AA$319)*AB$20/SUM(AB$19:AB$20)</f>
        <v>0.17325021618442799</v>
      </c>
      <c r="AC106" s="168">
        <f>('BTX Recycling HC'!AB337-('BTX Recycling HC'!AB364+'BTX Recycling HC'!AB366)*'BTX Recycling HC'!AB303/SUM('BTX Recycling HC'!AB303:AB304))/('BTX Recycling HC'!AB$319)*AC$20/SUM(AC$19:AC$20)</f>
        <v>0.17440631403696708</v>
      </c>
      <c r="AD106" s="168">
        <f>('BTX Recycling HC'!AC337-('BTX Recycling HC'!AC364+'BTX Recycling HC'!AC366)*'BTX Recycling HC'!AC303/SUM('BTX Recycling HC'!AC303:AC304))/('BTX Recycling HC'!AC$319)*AD$20/SUM(AD$19:AD$20)</f>
        <v>0.17397010634595633</v>
      </c>
      <c r="AE106" s="168">
        <f>('BTX Recycling HC'!AD337-('BTX Recycling HC'!AD364+'BTX Recycling HC'!AD366)*'BTX Recycling HC'!AD303/SUM('BTX Recycling HC'!AD303:AD304))/('BTX Recycling HC'!AD$319)*AE$20/SUM(AE$19:AE$20)</f>
        <v>0.17218344009234215</v>
      </c>
      <c r="AF106" s="168">
        <f>('BTX Recycling HC'!AE337-('BTX Recycling HC'!AE364+'BTX Recycling HC'!AE366)*'BTX Recycling HC'!AE303/SUM('BTX Recycling HC'!AE303:AE304))/('BTX Recycling HC'!AE$319)*AF$20/SUM(AF$19:AF$20)</f>
        <v>0.16921040241906005</v>
      </c>
      <c r="AG106" s="168">
        <f>('BTX Recycling HC'!AF337-('BTX Recycling HC'!AF364+'BTX Recycling HC'!AF366)*'BTX Recycling HC'!AF303/SUM('BTX Recycling HC'!AF303:AF304))/('BTX Recycling HC'!AF$319)*AG$20/SUM(AG$19:AG$20)</f>
        <v>0.16517001539818499</v>
      </c>
      <c r="AH106" s="168">
        <f>('BTX Recycling HC'!AG337-('BTX Recycling HC'!AG364+'BTX Recycling HC'!AG366)*'BTX Recycling HC'!AG303/SUM('BTX Recycling HC'!AG303:AG304))/('BTX Recycling HC'!AG$319)*AH$20/SUM(AH$19:AH$20)</f>
        <v>0.16017696175923879</v>
      </c>
      <c r="AI106" s="44"/>
      <c r="AJ106" s="168">
        <f>('BTX Recycling LC'!C337-('BTX Recycling LC'!C364+'BTX Recycling LC'!C366)*'BTX Recycling LC'!C303/SUM('BTX Recycling LC'!C303:C304))/('BTX Recycling LC'!C$319)*AJ$20/SUM(AJ$19:AJ$20)</f>
        <v>6.7336136929481631E-6</v>
      </c>
      <c r="AK106" s="168">
        <f>('BTX Recycling LC'!D337-('BTX Recycling LC'!D364+'BTX Recycling LC'!D366)*'BTX Recycling LC'!D303/SUM('BTX Recycling LC'!D303:D304))/('BTX Recycling LC'!D$319)*AK$20/SUM(AK$19:AK$20)</f>
        <v>1.3425654750097982E-5</v>
      </c>
      <c r="AL106" s="168">
        <f>('BTX Recycling LC'!E337-('BTX Recycling LC'!E364+'BTX Recycling LC'!E366)*'BTX Recycling LC'!E303/SUM('BTX Recycling LC'!E303:E304))/('BTX Recycling LC'!E$319)*AL$20/SUM(AL$19:AL$20)</f>
        <v>2.6652103819908445E-5</v>
      </c>
      <c r="AM106" s="168">
        <f>('BTX Recycling LC'!F337-('BTX Recycling LC'!F364+'BTX Recycling LC'!F366)*'BTX Recycling LC'!F303/SUM('BTX Recycling LC'!F303:F304))/('BTX Recycling LC'!F$319)*AM$20/SUM(AM$19:AM$20)</f>
        <v>5.2723378574982232E-5</v>
      </c>
      <c r="AN106" s="168">
        <f>('BTX Recycling LC'!G337-('BTX Recycling LC'!G364+'BTX Recycling LC'!G366)*'BTX Recycling LC'!G303/SUM('BTX Recycling LC'!G303:G304))/('BTX Recycling LC'!G$319)*AN$20/SUM(AN$19:AN$20)</f>
        <v>1.0383526702957559E-4</v>
      </c>
      <c r="AO106" s="168">
        <f>('BTX Recycling LC'!H337-('BTX Recycling LC'!H364+'BTX Recycling LC'!H366)*'BTX Recycling LC'!H303/SUM('BTX Recycling LC'!H303:H304))/('BTX Recycling LC'!H$319)*AO$20/SUM(AO$19:AO$20)</f>
        <v>2.0332055970930128E-4</v>
      </c>
      <c r="AP106" s="168">
        <f>('BTX Recycling LC'!I337-('BTX Recycling LC'!I364+'BTX Recycling LC'!I366)*'BTX Recycling LC'!I303/SUM('BTX Recycling LC'!I303:I304))/('BTX Recycling LC'!I$319)*AP$20/SUM(AP$19:AP$20)</f>
        <v>3.9510317150172726E-4</v>
      </c>
      <c r="AQ106" s="168">
        <f>('BTX Recycling LC'!J337-('BTX Recycling LC'!J364+'BTX Recycling LC'!J366)*'BTX Recycling LC'!J303/SUM('BTX Recycling LC'!J303:J304))/('BTX Recycling LC'!J$319)*AQ$20/SUM(AQ$19:AQ$20)</f>
        <v>7.6003446588362381E-4</v>
      </c>
      <c r="AR106" s="168">
        <f>('BTX Recycling LC'!K337-('BTX Recycling LC'!K364+'BTX Recycling LC'!K366)*'BTX Recycling LC'!K303/SUM('BTX Recycling LC'!K303:K304))/('BTX Recycling LC'!K$319)*AR$20/SUM(AR$19:AR$20)</f>
        <v>1.4423588242525444E-3</v>
      </c>
      <c r="AS106" s="168">
        <f>('BTX Recycling LC'!L337-('BTX Recycling LC'!L364+'BTX Recycling LC'!L366)*'BTX Recycling LC'!L303/SUM('BTX Recycling LC'!L303:L304))/('BTX Recycling LC'!L$319)*AS$20/SUM(AS$19:AS$20)</f>
        <v>2.6884350132700833E-3</v>
      </c>
      <c r="AT106" s="168">
        <f>('BTX Recycling LC'!M337-('BTX Recycling LC'!M364+'BTX Recycling LC'!M366)*'BTX Recycling LC'!M303/SUM('BTX Recycling LC'!M303:M304))/('BTX Recycling LC'!M$319)*AT$20/SUM(AT$19:AT$20)</f>
        <v>4.894102550637912E-3</v>
      </c>
      <c r="AU106" s="168">
        <f>('BTX Recycling LC'!N337-('BTX Recycling LC'!N364+'BTX Recycling LC'!N366)*'BTX Recycling LC'!N303/SUM('BTX Recycling LC'!N303:N304))/('BTX Recycling LC'!N$319)*AU$20/SUM(AU$19:AU$20)</f>
        <v>8.5943570342958756E-3</v>
      </c>
      <c r="AV106" s="168">
        <f>('BTX Recycling LC'!O337-('BTX Recycling LC'!O364+'BTX Recycling LC'!O366)*'BTX Recycling LC'!O303/SUM('BTX Recycling LC'!O303:O304))/('BTX Recycling LC'!O$319)*AV$20/SUM(AV$19:AV$20)</f>
        <v>1.4528069689574532E-2</v>
      </c>
      <c r="AW106" s="168">
        <f>('BTX Recycling LC'!P337-('BTX Recycling LC'!P364+'BTX Recycling LC'!P366)*'BTX Recycling LC'!P303/SUM('BTX Recycling LC'!P303:P304))/('BTX Recycling LC'!P$319)*AW$20/SUM(AW$19:AW$20)</f>
        <v>2.3458360079269349E-2</v>
      </c>
      <c r="AX106" s="168">
        <f>('BTX Recycling LC'!Q337-('BTX Recycling LC'!Q364+'BTX Recycling LC'!Q366)*'BTX Recycling LC'!Q303/SUM('BTX Recycling LC'!Q303:Q304))/('BTX Recycling LC'!Q$319)*AX$20/SUM(AX$19:AX$20)</f>
        <v>3.5933699777692077E-2</v>
      </c>
      <c r="AY106" s="168">
        <f>('BTX Recycling LC'!R337-('BTX Recycling LC'!R364+'BTX Recycling LC'!R366)*'BTX Recycling LC'!R303/SUM('BTX Recycling LC'!R303:R304))/('BTX Recycling LC'!R$319)*AY$20/SUM(AY$19:AY$20)</f>
        <v>5.1970351686144639E-2</v>
      </c>
      <c r="AZ106" s="168">
        <f>('BTX Recycling LC'!S337-('BTX Recycling LC'!S364+'BTX Recycling LC'!S366)*'BTX Recycling LC'!S303/SUM('BTX Recycling LC'!S303:S304))/('BTX Recycling LC'!S$319)*AZ$20/SUM(AZ$19:AZ$20)</f>
        <v>7.0851136058148523E-2</v>
      </c>
      <c r="BA106" s="168">
        <f>('BTX Recycling LC'!T337-('BTX Recycling LC'!T364+'BTX Recycling LC'!T366)*'BTX Recycling LC'!T303/SUM('BTX Recycling LC'!T303:T304))/('BTX Recycling LC'!T$319)*BA$20/SUM(BA$19:BA$20)</f>
        <v>9.1217467628067692E-2</v>
      </c>
      <c r="BB106" s="168">
        <f>('BTX Recycling LC'!U337-('BTX Recycling LC'!U364+'BTX Recycling LC'!U366)*'BTX Recycling LC'!U303/SUM('BTX Recycling LC'!U303:U304))/('BTX Recycling LC'!U$319)*BB$20/SUM(BB$19:BB$20)</f>
        <v>0.11145132510472647</v>
      </c>
      <c r="BC106" s="168">
        <f>('BTX Recycling LC'!V337-('BTX Recycling LC'!V364+'BTX Recycling LC'!V366)*'BTX Recycling LC'!V303/SUM('BTX Recycling LC'!V303:V304))/('BTX Recycling LC'!V$319)*BC$20/SUM(BC$19:BC$20)</f>
        <v>0.13013360012232755</v>
      </c>
      <c r="BD106" s="168">
        <f>('BTX Recycling LC'!W337-('BTX Recycling LC'!W364+'BTX Recycling LC'!W366)*'BTX Recycling LC'!W303/SUM('BTX Recycling LC'!W303:W304))/('BTX Recycling LC'!W$319)*BD$20/SUM(BD$19:BD$20)</f>
        <v>0.14634091136082958</v>
      </c>
      <c r="BE106" s="168">
        <f>('BTX Recycling LC'!X337-('BTX Recycling LC'!X364+'BTX Recycling LC'!X366)*'BTX Recycling LC'!X303/SUM('BTX Recycling LC'!X303:X304))/('BTX Recycling LC'!X$319)*BE$20/SUM(BE$19:BE$20)</f>
        <v>0.15838939925180898</v>
      </c>
      <c r="BF106" s="168">
        <f>('BTX Recycling LC'!Y337-('BTX Recycling LC'!Y364+'BTX Recycling LC'!Y366)*'BTX Recycling LC'!Y303/SUM('BTX Recycling LC'!Y303:Y304))/('BTX Recycling LC'!Y$319)*BF$20/SUM(BF$19:BF$20)</f>
        <v>0.16704151026466008</v>
      </c>
      <c r="BG106" s="168">
        <f>('BTX Recycling LC'!Z337-('BTX Recycling LC'!Z364+'BTX Recycling LC'!Z366)*'BTX Recycling LC'!Z303/SUM('BTX Recycling LC'!Z303:Z304))/('BTX Recycling LC'!Z$319)*BG$20/SUM(BG$19:BG$20)</f>
        <v>0.17287835165281185</v>
      </c>
      <c r="BH106" s="168">
        <f>('BTX Recycling LC'!AA337-('BTX Recycling LC'!AA364+'BTX Recycling LC'!AA366)*'BTX Recycling LC'!AA303/SUM('BTX Recycling LC'!AA303:AA304))/('BTX Recycling LC'!AA$319)*BH$20/SUM(BH$19:BH$20)</f>
        <v>0.17637140154560682</v>
      </c>
      <c r="BI106" s="168">
        <f>('BTX Recycling LC'!AB337-('BTX Recycling LC'!AB364+'BTX Recycling LC'!AB366)*'BTX Recycling LC'!AB303/SUM('BTX Recycling LC'!AB303:AB304))/('BTX Recycling LC'!AB$319)*BI$20/SUM(BI$19:BI$20)</f>
        <v>0.17794482827078456</v>
      </c>
      <c r="BJ106" s="168">
        <f>('BTX Recycling LC'!AC337-('BTX Recycling LC'!AC364+'BTX Recycling LC'!AC366)*'BTX Recycling LC'!AC303/SUM('BTX Recycling LC'!AC303:AC304))/('BTX Recycling LC'!AC$319)*BJ$20/SUM(BJ$19:BJ$20)</f>
        <v>0.17795328140036484</v>
      </c>
      <c r="BK106" s="168">
        <f>('BTX Recycling LC'!AD337-('BTX Recycling LC'!AD364+'BTX Recycling LC'!AD366)*'BTX Recycling LC'!AD303/SUM('BTX Recycling LC'!AD303:AD304))/('BTX Recycling LC'!AD$319)*BK$20/SUM(BK$19:BK$20)</f>
        <v>0.17666749542220725</v>
      </c>
      <c r="BL106" s="168">
        <f>('BTX Recycling LC'!AE337-('BTX Recycling LC'!AE364+'BTX Recycling LC'!AE366)*'BTX Recycling LC'!AE303/SUM('BTX Recycling LC'!AE303:AE304))/('BTX Recycling LC'!AE$319)*BL$20/SUM(BL$19:BL$20)</f>
        <v>0.1742831502235237</v>
      </c>
      <c r="BM106" s="168">
        <f>('BTX Recycling LC'!AF337-('BTX Recycling LC'!AF364+'BTX Recycling LC'!AF366)*'BTX Recycling LC'!AF303/SUM('BTX Recycling LC'!AF303:AF304))/('BTX Recycling LC'!AF$319)*BM$20/SUM(BM$19:BM$20)</f>
        <v>0.1709439447597835</v>
      </c>
      <c r="BN106" s="168">
        <f>('BTX Recycling LC'!AG337-('BTX Recycling LC'!AG364+'BTX Recycling LC'!AG366)*'BTX Recycling LC'!AG303/SUM('BTX Recycling LC'!AG303:AG304))/('BTX Recycling LC'!AG$319)*BN$20/SUM(BN$19:BN$20)</f>
        <v>0.16677016275851883</v>
      </c>
      <c r="BP106" s="168">
        <f>('BTX Recycling HC'!C313)/('BTX Recycling HC'!C$309)*BP$20/SUM(BP$19:BP$20)</f>
        <v>0</v>
      </c>
      <c r="BQ106" s="168">
        <f>('BTX Recycling HC'!D313)/('BTX Recycling HC'!D$309)*BQ$20/SUM(BQ$19:BQ$20)</f>
        <v>0</v>
      </c>
      <c r="BR106" s="168">
        <f>('BTX Recycling HC'!E313)/('BTX Recycling HC'!E$309)*BR$20/SUM(BR$19:BR$20)</f>
        <v>0</v>
      </c>
      <c r="BS106" s="168">
        <f>('BTX Recycling HC'!F313)/('BTX Recycling HC'!F$309)*BS$20/SUM(BS$19:BS$20)</f>
        <v>0</v>
      </c>
      <c r="BT106" s="168">
        <f>('BTX Recycling HC'!G313)/('BTX Recycling HC'!G$309)*BT$20/SUM(BT$19:BT$20)</f>
        <v>0</v>
      </c>
      <c r="BU106" s="168">
        <f>('BTX Recycling HC'!H313)/('BTX Recycling HC'!H$309)*BU$20/SUM(BU$19:BU$20)</f>
        <v>0</v>
      </c>
      <c r="BV106" s="168">
        <f>('BTX Recycling HC'!I313)/('BTX Recycling HC'!I$309)*BV$20/SUM(BV$19:BV$20)</f>
        <v>0</v>
      </c>
      <c r="BW106" s="168">
        <f>('BTX Recycling HC'!J313)/('BTX Recycling HC'!J$309)*BW$20/SUM(BW$19:BW$20)</f>
        <v>0</v>
      </c>
      <c r="BX106" s="168">
        <f>('BTX Recycling HC'!K313)/('BTX Recycling HC'!K$309)*BX$20/SUM(BX$19:BX$20)</f>
        <v>0</v>
      </c>
      <c r="BY106" s="168">
        <f>('BTX Recycling HC'!L313)/('BTX Recycling HC'!L$309)*BY$20/SUM(BY$19:BY$20)</f>
        <v>0</v>
      </c>
      <c r="BZ106" s="168">
        <f>('BTX Recycling HC'!M313)/('BTX Recycling HC'!M$309)*BZ$20/SUM(BZ$19:BZ$20)</f>
        <v>0</v>
      </c>
      <c r="CA106" s="168">
        <f>('BTX Recycling HC'!N313)/('BTX Recycling HC'!N$309)*CA$20/SUM(CA$19:CA$20)</f>
        <v>0</v>
      </c>
      <c r="CB106" s="168">
        <f>('BTX Recycling HC'!O313)/('BTX Recycling HC'!O$309)*CB$20/SUM(CB$19:CB$20)</f>
        <v>0</v>
      </c>
      <c r="CC106" s="168">
        <f>('BTX Recycling HC'!P313)/('BTX Recycling HC'!P$309)*CC$20/SUM(CC$19:CC$20)</f>
        <v>0</v>
      </c>
      <c r="CD106" s="168">
        <f>('BTX Recycling HC'!Q313)/('BTX Recycling HC'!Q$309)*CD$20/SUM(CD$19:CD$20)</f>
        <v>0</v>
      </c>
      <c r="CE106" s="168">
        <f>('BTX Recycling HC'!R313)/('BTX Recycling HC'!R$309)*CE$20/SUM(CE$19:CE$20)</f>
        <v>0</v>
      </c>
      <c r="CF106" s="168">
        <f>('BTX Recycling HC'!S313)/('BTX Recycling HC'!S$309)*CF$20/SUM(CF$19:CF$20)</f>
        <v>0</v>
      </c>
      <c r="CG106" s="168">
        <f>('BTX Recycling HC'!T313)/('BTX Recycling HC'!T$309)*CG$20/SUM(CG$19:CG$20)</f>
        <v>0</v>
      </c>
      <c r="CH106" s="168">
        <f>('BTX Recycling HC'!U313)/('BTX Recycling HC'!U$309)*CH$20/SUM(CH$19:CH$20)</f>
        <v>0</v>
      </c>
      <c r="CI106" s="168">
        <f>('BTX Recycling HC'!V313)/('BTX Recycling HC'!V$309)*CI$20/SUM(CI$19:CI$20)</f>
        <v>0</v>
      </c>
      <c r="CJ106" s="168">
        <f>('BTX Recycling HC'!W313)/('BTX Recycling HC'!W$309)*CJ$20/SUM(CJ$19:CJ$20)</f>
        <v>0</v>
      </c>
      <c r="CK106" s="168">
        <f>('BTX Recycling HC'!X313)/('BTX Recycling HC'!X$309)*CK$20/SUM(CK$19:CK$20)</f>
        <v>0</v>
      </c>
      <c r="CL106" s="168">
        <f>('BTX Recycling HC'!Y313)/('BTX Recycling HC'!Y$309)*CL$20/SUM(CL$19:CL$20)</f>
        <v>0</v>
      </c>
      <c r="CM106" s="168">
        <f>('BTX Recycling HC'!Z313)/('BTX Recycling HC'!Z$309)*CM$20/SUM(CM$19:CM$20)</f>
        <v>0</v>
      </c>
      <c r="CN106" s="168">
        <f>('BTX Recycling HC'!AA313)/('BTX Recycling HC'!AA$309)*CN$20/SUM(CN$19:CN$20)</f>
        <v>0</v>
      </c>
      <c r="CO106" s="168">
        <f>('BTX Recycling HC'!AB313)/('BTX Recycling HC'!AB$309)*CO$20/SUM(CO$19:CO$20)</f>
        <v>0</v>
      </c>
      <c r="CP106" s="168">
        <f>('BTX Recycling HC'!AC313)/('BTX Recycling HC'!AC$309)*CP$20/SUM(CP$19:CP$20)</f>
        <v>0</v>
      </c>
      <c r="CQ106" s="168">
        <f>('BTX Recycling HC'!AD313)/('BTX Recycling HC'!AD$309)*CQ$20/SUM(CQ$19:CQ$20)</f>
        <v>0</v>
      </c>
      <c r="CR106" s="168">
        <f>('BTX Recycling HC'!AE313)/('BTX Recycling HC'!AE$309)*CR$20/SUM(CR$19:CR$20)</f>
        <v>0</v>
      </c>
      <c r="CS106" s="168">
        <f>('BTX Recycling HC'!AF313)/('BTX Recycling HC'!AF$309)*CS$20/SUM(CS$19:CS$20)</f>
        <v>0</v>
      </c>
      <c r="CT106" s="168">
        <f>('BTX Recycling HC'!AG313)/('BTX Recycling HC'!AG$309)*CT$20/SUM(CT$19:CT$20)</f>
        <v>0</v>
      </c>
      <c r="CV106" s="168">
        <f t="shared" ref="CV106:CV111" si="841">AJ106*(1-SUM(CV$34:CV$35))/(1-SUM(AJ$34:AJ$35))</f>
        <v>6.7336136929481631E-6</v>
      </c>
      <c r="CW106" s="168">
        <f t="shared" si="811"/>
        <v>1.3425654750097984E-5</v>
      </c>
      <c r="CX106" s="168">
        <f t="shared" si="812"/>
        <v>2.6652103819908445E-5</v>
      </c>
      <c r="CY106" s="168">
        <f t="shared" si="813"/>
        <v>5.2723378574982232E-5</v>
      </c>
      <c r="CZ106" s="168">
        <f t="shared" si="814"/>
        <v>1.0383526702957559E-4</v>
      </c>
      <c r="DA106" s="168">
        <f t="shared" si="815"/>
        <v>2.0332055970930128E-4</v>
      </c>
      <c r="DB106" s="168">
        <f t="shared" si="816"/>
        <v>3.9510317150172726E-4</v>
      </c>
      <c r="DC106" s="168">
        <f t="shared" si="817"/>
        <v>7.6003446588362381E-4</v>
      </c>
      <c r="DD106" s="168">
        <f t="shared" si="818"/>
        <v>1.4423588242525444E-3</v>
      </c>
      <c r="DE106" s="168">
        <f t="shared" si="819"/>
        <v>2.6884350132700833E-3</v>
      </c>
      <c r="DF106" s="168">
        <f t="shared" si="820"/>
        <v>4.8941025506379111E-3</v>
      </c>
      <c r="DG106" s="168">
        <f t="shared" si="821"/>
        <v>8.5943570342958756E-3</v>
      </c>
      <c r="DH106" s="168">
        <f t="shared" si="822"/>
        <v>1.4528069689574532E-2</v>
      </c>
      <c r="DI106" s="168">
        <f t="shared" si="823"/>
        <v>2.3458259973250063E-2</v>
      </c>
      <c r="DJ106" s="168">
        <f t="shared" si="824"/>
        <v>3.5933370262078296E-2</v>
      </c>
      <c r="DK106" s="168">
        <f t="shared" si="825"/>
        <v>5.1969584822699845E-2</v>
      </c>
      <c r="DL106" s="168">
        <f t="shared" si="826"/>
        <v>7.0849642912439392E-2</v>
      </c>
      <c r="DM106" s="168">
        <f t="shared" si="827"/>
        <v>9.1214898151784199E-2</v>
      </c>
      <c r="DN106" s="168">
        <f t="shared" si="828"/>
        <v>0.11144730437780839</v>
      </c>
      <c r="DO106" s="168">
        <f t="shared" si="829"/>
        <v>0.13012776668915169</v>
      </c>
      <c r="DP106" s="168">
        <f t="shared" si="830"/>
        <v>0.14633294376950245</v>
      </c>
      <c r="DQ106" s="168">
        <f t="shared" si="831"/>
        <v>0.15837870317714881</v>
      </c>
      <c r="DR106" s="168">
        <f t="shared" si="832"/>
        <v>0.16702774511371032</v>
      </c>
      <c r="DS106" s="168">
        <f t="shared" si="833"/>
        <v>0.17285651858557988</v>
      </c>
      <c r="DT106" s="168">
        <f t="shared" si="834"/>
        <v>0.1763401329582322</v>
      </c>
      <c r="DU106" s="168">
        <f t="shared" si="835"/>
        <v>0.17790281021208457</v>
      </c>
      <c r="DV106" s="168">
        <f t="shared" si="836"/>
        <v>0.17789923254527393</v>
      </c>
      <c r="DW106" s="168">
        <f t="shared" si="837"/>
        <v>0.17660014612043257</v>
      </c>
      <c r="DX106" s="168">
        <f t="shared" si="838"/>
        <v>0.17420122767015744</v>
      </c>
      <c r="DY106" s="168">
        <f t="shared" si="839"/>
        <v>0.17084617078004163</v>
      </c>
      <c r="DZ106" s="168">
        <f t="shared" si="840"/>
        <v>0.16665527018106865</v>
      </c>
    </row>
    <row r="107" spans="1:165">
      <c r="A107" s="606" t="s">
        <v>33</v>
      </c>
      <c r="C107" s="54" t="s">
        <v>462</v>
      </c>
      <c r="D107" s="168">
        <f>('BTX Recycling HC'!C338-('BTX Recycling HC'!C364+'BTX Recycling HC'!C366)*'BTX Recycling HC'!C304/SUM('BTX Recycling HC'!C303:C304))/('BTX Recycling HC'!C$319)</f>
        <v>0.33785937775832225</v>
      </c>
      <c r="E107" s="168">
        <f>('BTX Recycling HC'!D338-('BTX Recycling HC'!D364+'BTX Recycling HC'!D366)*'BTX Recycling HC'!D304/SUM('BTX Recycling HC'!D303:D304))/('BTX Recycling HC'!D$319)</f>
        <v>0.33816749047316325</v>
      </c>
      <c r="F107" s="168">
        <f>('BTX Recycling HC'!E338-('BTX Recycling HC'!E364+'BTX Recycling HC'!E366)*'BTX Recycling HC'!E304/SUM('BTX Recycling HC'!E303:E304))/('BTX Recycling HC'!E$319)</f>
        <v>0.33793146074050345</v>
      </c>
      <c r="G107" s="168">
        <f>('BTX Recycling HC'!F338-('BTX Recycling HC'!F364+'BTX Recycling HC'!F366)*'BTX Recycling HC'!F304/SUM('BTX Recycling HC'!F303:F304))/('BTX Recycling HC'!F$319)</f>
        <v>0.33765440384280671</v>
      </c>
      <c r="H107" s="168">
        <f>('BTX Recycling HC'!G338-('BTX Recycling HC'!G364+'BTX Recycling HC'!G366)*'BTX Recycling HC'!G304/SUM('BTX Recycling HC'!G303:G304))/('BTX Recycling HC'!G$319)</f>
        <v>0.33733462045398677</v>
      </c>
      <c r="I107" s="168">
        <f>('BTX Recycling HC'!H338-('BTX Recycling HC'!H364+'BTX Recycling HC'!H366)*'BTX Recycling HC'!H304/SUM('BTX Recycling HC'!H303:H304))/('BTX Recycling HC'!H$319)</f>
        <v>0.33696977249056365</v>
      </c>
      <c r="J107" s="168">
        <f>('BTX Recycling HC'!I338-('BTX Recycling HC'!I364+'BTX Recycling HC'!I366)*'BTX Recycling HC'!I304/SUM('BTX Recycling HC'!I303:I304))/('BTX Recycling HC'!I$319)</f>
        <v>0.33655631700939792</v>
      </c>
      <c r="K107" s="168">
        <f>('BTX Recycling HC'!J338-('BTX Recycling HC'!J364+'BTX Recycling HC'!J366)*'BTX Recycling HC'!J304/SUM('BTX Recycling HC'!J303:J304))/('BTX Recycling HC'!J$319)</f>
        <v>0.33608845221075673</v>
      </c>
      <c r="L107" s="168">
        <f>('BTX Recycling HC'!K338-('BTX Recycling HC'!K364+'BTX Recycling HC'!K366)*'BTX Recycling HC'!K304/SUM('BTX Recycling HC'!K303:K304))/('BTX Recycling HC'!K$319)</f>
        <v>0.33555636431663999</v>
      </c>
      <c r="M107" s="168">
        <f>('BTX Recycling HC'!L338-('BTX Recycling HC'!L364+'BTX Recycling HC'!L366)*'BTX Recycling HC'!L304/SUM('BTX Recycling HC'!L303:L304))/('BTX Recycling HC'!L$319)</f>
        <v>0.33494349399170931</v>
      </c>
      <c r="N107" s="168">
        <f>('BTX Recycling HC'!M338-('BTX Recycling HC'!M364+'BTX Recycling HC'!M366)*'BTX Recycling HC'!M304/SUM('BTX Recycling HC'!M303:M304))/('BTX Recycling HC'!M$319)</f>
        <v>0.33422166475303405</v>
      </c>
      <c r="O107" s="168">
        <f>('BTX Recycling HC'!N338-('BTX Recycling HC'!N364+'BTX Recycling HC'!N366)*'BTX Recycling HC'!N304/SUM('BTX Recycling HC'!N303:N304))/('BTX Recycling HC'!N$319)</f>
        <v>0.3314847209392488</v>
      </c>
      <c r="P107" s="168">
        <f>('BTX Recycling HC'!O338-('BTX Recycling HC'!O364+'BTX Recycling HC'!O366)*'BTX Recycling HC'!O304/SUM('BTX Recycling HC'!O303:O304))/('BTX Recycling HC'!O$319)</f>
        <v>0.32852642353716688</v>
      </c>
      <c r="Q107" s="168">
        <f>('BTX Recycling HC'!P338-('BTX Recycling HC'!P364+'BTX Recycling HC'!P366)*'BTX Recycling HC'!P304/SUM('BTX Recycling HC'!P303:P304))/('BTX Recycling HC'!P$319)</f>
        <v>0.32530485059564918</v>
      </c>
      <c r="R107" s="168">
        <f>('BTX Recycling HC'!Q338-('BTX Recycling HC'!Q364+'BTX Recycling HC'!Q366)*'BTX Recycling HC'!Q304/SUM('BTX Recycling HC'!Q303:Q304))/('BTX Recycling HC'!Q$319)</f>
        <v>0.32178618900898315</v>
      </c>
      <c r="S107" s="168">
        <f>('BTX Recycling HC'!R338-('BTX Recycling HC'!R364+'BTX Recycling HC'!R366)*'BTX Recycling HC'!R304/SUM('BTX Recycling HC'!R303:R304))/('BTX Recycling HC'!R$319)</f>
        <v>0.31796830158743694</v>
      </c>
      <c r="T107" s="168">
        <f>('BTX Recycling HC'!S338-('BTX Recycling HC'!S364+'BTX Recycling HC'!S366)*'BTX Recycling HC'!S304/SUM('BTX Recycling HC'!S303:S304))/('BTX Recycling HC'!S$319)</f>
        <v>0.31389370435171554</v>
      </c>
      <c r="U107" s="168">
        <f>('BTX Recycling HC'!T338-('BTX Recycling HC'!T364+'BTX Recycling HC'!T366)*'BTX Recycling HC'!T304/SUM('BTX Recycling HC'!T303:T304))/('BTX Recycling HC'!T$319)</f>
        <v>0.30963966928841591</v>
      </c>
      <c r="V107" s="168">
        <f>('BTX Recycling HC'!U338-('BTX Recycling HC'!U364+'BTX Recycling HC'!U366)*'BTX Recycling HC'!U304/SUM('BTX Recycling HC'!U303:U304))/('BTX Recycling HC'!U$319)</f>
        <v>0.30529854130623529</v>
      </c>
      <c r="W107" s="168">
        <f>('BTX Recycling HC'!V338-('BTX Recycling HC'!V364+'BTX Recycling HC'!V366)*'BTX Recycling HC'!V304/SUM('BTX Recycling HC'!V303:V304))/('BTX Recycling HC'!V$319)</f>
        <v>0.30095026739876962</v>
      </c>
      <c r="X107" s="168">
        <f>('BTX Recycling HC'!W338-('BTX Recycling HC'!W364+'BTX Recycling HC'!W366)*'BTX Recycling HC'!W304/SUM('BTX Recycling HC'!W303:W304))/('BTX Recycling HC'!W$319)</f>
        <v>0.29664455254226457</v>
      </c>
      <c r="Y107" s="168">
        <f>('BTX Recycling HC'!X338-('BTX Recycling HC'!X364+'BTX Recycling HC'!X366)*'BTX Recycling HC'!X304/SUM('BTX Recycling HC'!X303:X304))/('BTX Recycling HC'!X$319)</f>
        <v>0.29020759922058437</v>
      </c>
      <c r="Z107" s="168">
        <f>('BTX Recycling HC'!Y338-('BTX Recycling HC'!Y364+'BTX Recycling HC'!Y366)*'BTX Recycling HC'!Y304/SUM('BTX Recycling HC'!Y303:Y304))/('BTX Recycling HC'!Y$319)</f>
        <v>0.28271898027330383</v>
      </c>
      <c r="AA107" s="168">
        <f>('BTX Recycling HC'!Z338-('BTX Recycling HC'!Z364+'BTX Recycling HC'!Z366)*'BTX Recycling HC'!Z304/SUM('BTX Recycling HC'!Z303:Z304))/('BTX Recycling HC'!Z$319)</f>
        <v>0.27499842375018163</v>
      </c>
      <c r="AB107" s="168">
        <f>('BTX Recycling HC'!AA338-('BTX Recycling HC'!AA364+'BTX Recycling HC'!AA366)*'BTX Recycling HC'!AA304/SUM('BTX Recycling HC'!AA303:AA304))/('BTX Recycling HC'!AA$319)</f>
        <v>0.26710889053886794</v>
      </c>
      <c r="AC107" s="168">
        <f>('BTX Recycling HC'!AB338-('BTX Recycling HC'!AB364+'BTX Recycling HC'!AB366)*'BTX Recycling HC'!AB304/SUM('BTX Recycling HC'!AB303:AB304))/('BTX Recycling HC'!AB$319)</f>
        <v>0.25899735556346165</v>
      </c>
      <c r="AD107" s="168">
        <f>('BTX Recycling HC'!AC338-('BTX Recycling HC'!AC364+'BTX Recycling HC'!AC366)*'BTX Recycling HC'!AC304/SUM('BTX Recycling HC'!AC303:AC304))/('BTX Recycling HC'!AC$319)</f>
        <v>0.25058972698217952</v>
      </c>
      <c r="AE107" s="168">
        <f>('BTX Recycling HC'!AD338-('BTX Recycling HC'!AD364+'BTX Recycling HC'!AD366)*'BTX Recycling HC'!AD304/SUM('BTX Recycling HC'!AD303:AD304))/('BTX Recycling HC'!AD$319)</f>
        <v>0.24179525718270167</v>
      </c>
      <c r="AF107" s="168">
        <f>('BTX Recycling HC'!AE338-('BTX Recycling HC'!AE364+'BTX Recycling HC'!AE366)*'BTX Recycling HC'!AE304/SUM('BTX Recycling HC'!AE303:AE304))/('BTX Recycling HC'!AE$319)</f>
        <v>0.23252142471156065</v>
      </c>
      <c r="AG107" s="168">
        <f>('BTX Recycling HC'!AF338-('BTX Recycling HC'!AF364+'BTX Recycling HC'!AF366)*'BTX Recycling HC'!AF304/SUM('BTX Recycling HC'!AF303:AF304))/('BTX Recycling HC'!AF$319)</f>
        <v>0.2227023472255715</v>
      </c>
      <c r="AH107" s="168">
        <f>('BTX Recycling HC'!AG338-('BTX Recycling HC'!AG364+'BTX Recycling HC'!AG366)*'BTX Recycling HC'!AG304/SUM('BTX Recycling HC'!AG303:AG304))/('BTX Recycling HC'!AG$319)</f>
        <v>0.21233328664493609</v>
      </c>
      <c r="AI107" s="44"/>
      <c r="AJ107" s="168">
        <f>('BTX Recycling LC'!C338-('BTX Recycling LC'!C364+'BTX Recycling LC'!C366)*'BTX Recycling LC'!C304/SUM('BTX Recycling LC'!C303:C304))/('BTX Recycling LC'!C$319)</f>
        <v>0.33785948370126562</v>
      </c>
      <c r="AK107" s="168">
        <f>('BTX Recycling LC'!D338-('BTX Recycling LC'!D364+'BTX Recycling LC'!D366)*'BTX Recycling LC'!D304/SUM('BTX Recycling LC'!D303:D304))/('BTX Recycling LC'!D$319)</f>
        <v>0.33816771722855898</v>
      </c>
      <c r="AL107" s="168">
        <f>('BTX Recycling LC'!E338-('BTX Recycling LC'!E364+'BTX Recycling LC'!E366)*'BTX Recycling LC'!E304/SUM('BTX Recycling LC'!E303:E304))/('BTX Recycling LC'!E$319)</f>
        <v>0.33793193437587304</v>
      </c>
      <c r="AM107" s="168">
        <f>('BTX Recycling LC'!F338-('BTX Recycling LC'!F364+'BTX Recycling LC'!F366)*'BTX Recycling LC'!F304/SUM('BTX Recycling LC'!F303:F304))/('BTX Recycling LC'!F$319)</f>
        <v>0.33765538664372136</v>
      </c>
      <c r="AN107" s="168">
        <f>('BTX Recycling LC'!G338-('BTX Recycling LC'!G364+'BTX Recycling LC'!G366)*'BTX Recycling LC'!G304/SUM('BTX Recycling LC'!G303:G304))/('BTX Recycling LC'!G$319)</f>
        <v>0.33733664515958622</v>
      </c>
      <c r="AO107" s="168">
        <f>('BTX Recycling LC'!H338-('BTX Recycling LC'!H364+'BTX Recycling LC'!H366)*'BTX Recycling LC'!H304/SUM('BTX Recycling LC'!H303:H304))/('BTX Recycling LC'!H$319)</f>
        <v>0.33697390945696487</v>
      </c>
      <c r="AP107" s="168">
        <f>('BTX Recycling LC'!I338-('BTX Recycling LC'!I364+'BTX Recycling LC'!I366)*'BTX Recycling LC'!I304/SUM('BTX Recycling LC'!I303:I304))/('BTX Recycling LC'!I$319)</f>
        <v>0.33656468711662568</v>
      </c>
      <c r="AQ107" s="168">
        <f>('BTX Recycling LC'!J338-('BTX Recycling LC'!J364+'BTX Recycling LC'!J366)*'BTX Recycling LC'!J304/SUM('BTX Recycling LC'!J303:J304))/('BTX Recycling LC'!J$319)</f>
        <v>0.33610518251281862</v>
      </c>
      <c r="AR107" s="168">
        <f>('BTX Recycling LC'!K338-('BTX Recycling LC'!K364+'BTX Recycling LC'!K366)*'BTX Recycling LC'!K304/SUM('BTX Recycling LC'!K303:K304))/('BTX Recycling LC'!K$319)</f>
        <v>0.33558929562748735</v>
      </c>
      <c r="AS107" s="168">
        <f>('BTX Recycling LC'!L338-('BTX Recycling LC'!L364+'BTX Recycling LC'!L366)*'BTX Recycling LC'!L304/SUM('BTX Recycling LC'!L303:L304))/('BTX Recycling LC'!L$319)</f>
        <v>0.33500705573169148</v>
      </c>
      <c r="AT107" s="168">
        <f>('BTX Recycling LC'!M338-('BTX Recycling LC'!M364+'BTX Recycling LC'!M366)*'BTX Recycling LC'!M304/SUM('BTX Recycling LC'!M303:M304))/('BTX Recycling LC'!M$319)</f>
        <v>0.33434183000347306</v>
      </c>
      <c r="AU107" s="168">
        <f>('BTX Recycling LC'!N338-('BTX Recycling LC'!N364+'BTX Recycling LC'!N366)*'BTX Recycling LC'!N304/SUM('BTX Recycling LC'!N303:N304))/('BTX Recycling LC'!N$319)</f>
        <v>0.33169453994384906</v>
      </c>
      <c r="AV107" s="168">
        <f>('BTX Recycling LC'!O338-('BTX Recycling LC'!O364+'BTX Recycling LC'!O366)*'BTX Recycling LC'!O304/SUM('BTX Recycling LC'!O303:O304))/('BTX Recycling LC'!O$319)</f>
        <v>0.3288804850044722</v>
      </c>
      <c r="AW107" s="168">
        <f>('BTX Recycling LC'!P338-('BTX Recycling LC'!P364+'BTX Recycling LC'!P366)*'BTX Recycling LC'!P304/SUM('BTX Recycling LC'!P303:P304))/('BTX Recycling LC'!P$319)</f>
        <v>0.32587537384766013</v>
      </c>
      <c r="AX107" s="168">
        <f>('BTX Recycling LC'!Q338-('BTX Recycling LC'!Q364+'BTX Recycling LC'!Q366)*'BTX Recycling LC'!Q304/SUM('BTX Recycling LC'!Q303:Q304))/('BTX Recycling LC'!Q$319)</f>
        <v>0.32265802758838186</v>
      </c>
      <c r="AY107" s="168">
        <f>('BTX Recycling LC'!R338-('BTX Recycling LC'!R364+'BTX Recycling LC'!R366)*'BTX Recycling LC'!R304/SUM('BTX Recycling LC'!R303:R304))/('BTX Recycling LC'!R$319)</f>
        <v>0.31922618030754452</v>
      </c>
      <c r="AZ107" s="168">
        <f>('BTX Recycling LC'!S338-('BTX Recycling LC'!S364+'BTX Recycling LC'!S366)*'BTX Recycling LC'!S304/SUM('BTX Recycling LC'!S303:S304))/('BTX Recycling LC'!S$319)</f>
        <v>0.31560314793757016</v>
      </c>
      <c r="BA107" s="168">
        <f>('BTX Recycling LC'!T338-('BTX Recycling LC'!T364+'BTX Recycling LC'!T366)*'BTX Recycling LC'!T304/SUM('BTX Recycling LC'!T303:T304))/('BTX Recycling LC'!T$319)</f>
        <v>0.31183214400394899</v>
      </c>
      <c r="BB107" s="168">
        <f>('BTX Recycling LC'!U338-('BTX Recycling LC'!U364+'BTX Recycling LC'!U366)*'BTX Recycling LC'!U304/SUM('BTX Recycling LC'!U303:U304))/('BTX Recycling LC'!U$319)</f>
        <v>0.30796500714149827</v>
      </c>
      <c r="BC107" s="168">
        <f>('BTX Recycling LC'!V338-('BTX Recycling LC'!V364+'BTX Recycling LC'!V366)*'BTX Recycling LC'!V304/SUM('BTX Recycling LC'!V303:V304))/('BTX Recycling LC'!V$319)</f>
        <v>0.30404646052662027</v>
      </c>
      <c r="BD107" s="168">
        <f>('BTX Recycling LC'!W338-('BTX Recycling LC'!W364+'BTX Recycling LC'!W366)*'BTX Recycling LC'!W304/SUM('BTX Recycling LC'!W303:W304))/('BTX Recycling LC'!W$319)</f>
        <v>0.3001038873525233</v>
      </c>
      <c r="BE107" s="168">
        <f>('BTX Recycling LC'!X338-('BTX Recycling LC'!X364+'BTX Recycling LC'!X366)*'BTX Recycling LC'!X304/SUM('BTX Recycling LC'!X303:X304))/('BTX Recycling LC'!X$319)</f>
        <v>0.29372050387537052</v>
      </c>
      <c r="BF107" s="168">
        <f>('BTX Recycling LC'!Y338-('BTX Recycling LC'!Y364+'BTX Recycling LC'!Y366)*'BTX Recycling LC'!Y304/SUM('BTX Recycling LC'!Y303:Y304))/('BTX Recycling LC'!Y$319)</f>
        <v>0.28665572623556079</v>
      </c>
      <c r="BG107" s="168">
        <f>('BTX Recycling LC'!Z338-('BTX Recycling LC'!Z364+'BTX Recycling LC'!Z366)*'BTX Recycling LC'!Z304/SUM('BTX Recycling LC'!Z303:Z304))/('BTX Recycling LC'!Z$319)</f>
        <v>0.27937809249927331</v>
      </c>
      <c r="BH107" s="168">
        <f>('BTX Recycling LC'!AA338-('BTX Recycling LC'!AA364+'BTX Recycling LC'!AA366)*'BTX Recycling LC'!AA304/SUM('BTX Recycling LC'!AA303:AA304))/('BTX Recycling LC'!AA$319)</f>
        <v>0.27192098473044546</v>
      </c>
      <c r="BI107" s="168">
        <f>('BTX Recycling LC'!AB338-('BTX Recycling LC'!AB364+'BTX Recycling LC'!AB366)*'BTX Recycling LC'!AB304/SUM('BTX Recycling LC'!AB303:AB304))/('BTX Recycling LC'!AB$319)</f>
        <v>0.2642521299346931</v>
      </c>
      <c r="BJ107" s="168">
        <f>('BTX Recycling LC'!AC338-('BTX Recycling LC'!AC364+'BTX Recycling LC'!AC366)*'BTX Recycling LC'!AC304/SUM('BTX Recycling LC'!AC303:AC304))/('BTX Recycling LC'!AC$319)</f>
        <v>0.25632716527184496</v>
      </c>
      <c r="BK107" s="168">
        <f>('BTX Recycling LC'!AD338-('BTX Recycling LC'!AD364+'BTX Recycling LC'!AD366)*'BTX Recycling LC'!AD304/SUM('BTX Recycling LC'!AD303:AD304))/('BTX Recycling LC'!AD$319)</f>
        <v>0.24809216535879999</v>
      </c>
      <c r="BL107" s="168">
        <f>('BTX Recycling LC'!AE338-('BTX Recycling LC'!AE364+'BTX Recycling LC'!AE366)*'BTX Recycling LC'!AE304/SUM('BTX Recycling LC'!AE303:AE304))/('BTX Recycling LC'!AE$319)</f>
        <v>0.23949216959387101</v>
      </c>
      <c r="BM107" s="168">
        <f>('BTX Recycling LC'!AF338-('BTX Recycling LC'!AF364+'BTX Recycling LC'!AF366)*'BTX Recycling LC'!AF304/SUM('BTX Recycling LC'!AF303:AF304))/('BTX Recycling LC'!AF$319)</f>
        <v>0.23048746257137273</v>
      </c>
      <c r="BN107" s="168">
        <f>('BTX Recycling LC'!AG338-('BTX Recycling LC'!AG364+'BTX Recycling LC'!AG366)*'BTX Recycling LC'!AG304/SUM('BTX Recycling LC'!AG303:AG304))/('BTX Recycling LC'!AG$319)</f>
        <v>0.22107334527953598</v>
      </c>
      <c r="BP107" s="168">
        <f>('BTX Recycling HC'!C314)/('BTX Recycling HC'!C$309)</f>
        <v>0.3378596258636638</v>
      </c>
      <c r="BQ107" s="168">
        <f>('BTX Recycling HC'!D314)/('BTX Recycling HC'!D$309)</f>
        <v>0.33170653960071217</v>
      </c>
      <c r="BR107" s="168">
        <f>('BTX Recycling HC'!E314)/('BTX Recycling HC'!E$309)</f>
        <v>0.32544633238985671</v>
      </c>
      <c r="BS107" s="168">
        <f>('BTX Recycling HC'!F314)/('BTX Recycling HC'!F$309)</f>
        <v>0.31908766473896805</v>
      </c>
      <c r="BT107" s="168">
        <f>('BTX Recycling HC'!G314)/('BTX Recycling HC'!G$309)</f>
        <v>0.31263825367803899</v>
      </c>
      <c r="BU107" s="168">
        <f>('BTX Recycling HC'!H314)/('BTX Recycling HC'!H$309)</f>
        <v>0.30610497837339778</v>
      </c>
      <c r="BV107" s="168">
        <f>('BTX Recycling HC'!I314)/('BTX Recycling HC'!I$309)</f>
        <v>0.29955146602442123</v>
      </c>
      <c r="BW107" s="168">
        <f>('BTX Recycling HC'!J314)/('BTX Recycling HC'!J$309)</f>
        <v>0.29297878078500988</v>
      </c>
      <c r="BX107" s="168">
        <f>('BTX Recycling HC'!K314)/('BTX Recycling HC'!K$309)</f>
        <v>0.28638795223697805</v>
      </c>
      <c r="BY107" s="168">
        <f>('BTX Recycling HC'!L314)/('BTX Recycling HC'!L$309)</f>
        <v>0.27977997778289965</v>
      </c>
      <c r="BZ107" s="168">
        <f>('BTX Recycling HC'!M314)/('BTX Recycling HC'!M$309)</f>
        <v>0.27315582495211099</v>
      </c>
      <c r="CA107" s="168">
        <f>('BTX Recycling HC'!N314)/('BTX Recycling HC'!N$309)</f>
        <v>0.26648321526869106</v>
      </c>
      <c r="CB107" s="168">
        <f>('BTX Recycling HC'!O314)/('BTX Recycling HC'!O$309)</f>
        <v>0.25976562693549143</v>
      </c>
      <c r="CC107" s="168">
        <f>('BTX Recycling HC'!P314)/('BTX Recycling HC'!P$309)</f>
        <v>0.25300628579767676</v>
      </c>
      <c r="CD107" s="168">
        <f>('BTX Recycling HC'!Q314)/('BTX Recycling HC'!Q$309)</f>
        <v>0.24620819516442094</v>
      </c>
      <c r="CE107" s="168">
        <f>('BTX Recycling HC'!R314)/('BTX Recycling HC'!R$309)</f>
        <v>0.23937416373996753</v>
      </c>
      <c r="CF107" s="168">
        <f>('BTX Recycling HC'!S314)/('BTX Recycling HC'!S$309)</f>
        <v>0.23254404723726144</v>
      </c>
      <c r="CG107" s="168">
        <f>('BTX Recycling HC'!T314)/('BTX Recycling HC'!T$309)</f>
        <v>0.22571805668846967</v>
      </c>
      <c r="CH107" s="168">
        <f>('BTX Recycling HC'!U314)/('BTX Recycling HC'!U$309)</f>
        <v>0.21889640721341891</v>
      </c>
      <c r="CI107" s="168">
        <f>('BTX Recycling HC'!V314)/('BTX Recycling HC'!V$309)</f>
        <v>0.21207931817876394</v>
      </c>
      <c r="CJ107" s="168">
        <f>('BTX Recycling HC'!W314)/('BTX Recycling HC'!W$309)</f>
        <v>0.20526701336151557</v>
      </c>
      <c r="CK107" s="168">
        <f>('BTX Recycling HC'!X314)/('BTX Recycling HC'!X$309)</f>
        <v>0.19845992202082383</v>
      </c>
      <c r="CL107" s="168">
        <f>('BTX Recycling HC'!Y314)/('BTX Recycling HC'!Y$309)</f>
        <v>0.19165826109883438</v>
      </c>
      <c r="CM107" s="168">
        <f>('BTX Recycling HC'!Z314)/('BTX Recycling HC'!Z$309)</f>
        <v>0.18486225206480628</v>
      </c>
      <c r="CN107" s="168">
        <f>('BTX Recycling HC'!AA314)/('BTX Recycling HC'!AA$309)</f>
        <v>0.17807212107101184</v>
      </c>
      <c r="CO107" s="168">
        <f>('BTX Recycling HC'!AB314)/('BTX Recycling HC'!AB$309)</f>
        <v>0.17128809911297527</v>
      </c>
      <c r="CP107" s="168">
        <f>('BTX Recycling HC'!AC314)/('BTX Recycling HC'!AC$309)</f>
        <v>0.16451057052578724</v>
      </c>
      <c r="CQ107" s="168">
        <f>('BTX Recycling HC'!AD314)/('BTX Recycling HC'!AD$309)</f>
        <v>0.15773976167472809</v>
      </c>
      <c r="CR107" s="168">
        <f>('BTX Recycling HC'!AE314)/('BTX Recycling HC'!AE$309)</f>
        <v>0.15097590385879769</v>
      </c>
      <c r="CS107" s="168">
        <f>('BTX Recycling HC'!AF314)/('BTX Recycling HC'!AF$309)</f>
        <v>0.14421923346592749</v>
      </c>
      <c r="CT107" s="168">
        <f>('BTX Recycling HC'!AG314)/('BTX Recycling HC'!AG$309)</f>
        <v>0.1374699921325121</v>
      </c>
      <c r="CV107" s="168">
        <f t="shared" si="841"/>
        <v>0.33785948370126556</v>
      </c>
      <c r="CW107" s="168">
        <f t="shared" si="811"/>
        <v>0.33816771722855898</v>
      </c>
      <c r="CX107" s="168">
        <f t="shared" si="812"/>
        <v>0.33793193437587304</v>
      </c>
      <c r="CY107" s="168">
        <f t="shared" si="813"/>
        <v>0.33765538664372136</v>
      </c>
      <c r="CZ107" s="168">
        <f t="shared" si="814"/>
        <v>0.33733664515958622</v>
      </c>
      <c r="DA107" s="168">
        <f t="shared" si="815"/>
        <v>0.33697390945696487</v>
      </c>
      <c r="DB107" s="168">
        <f t="shared" si="816"/>
        <v>0.33656468711662568</v>
      </c>
      <c r="DC107" s="168">
        <f t="shared" si="817"/>
        <v>0.33610518251281862</v>
      </c>
      <c r="DD107" s="168">
        <f t="shared" si="818"/>
        <v>0.33558929562748735</v>
      </c>
      <c r="DE107" s="168">
        <f t="shared" si="819"/>
        <v>0.33500705573169148</v>
      </c>
      <c r="DF107" s="168">
        <f t="shared" si="820"/>
        <v>0.33434183000347306</v>
      </c>
      <c r="DG107" s="168">
        <f t="shared" si="821"/>
        <v>0.33169453994384906</v>
      </c>
      <c r="DH107" s="168">
        <f t="shared" si="822"/>
        <v>0.32888048500447226</v>
      </c>
      <c r="DI107" s="168">
        <f t="shared" si="823"/>
        <v>0.32587398320968075</v>
      </c>
      <c r="DJ107" s="168">
        <f t="shared" si="824"/>
        <v>0.3226550687820619</v>
      </c>
      <c r="DK107" s="168">
        <f t="shared" si="825"/>
        <v>0.31922146987399236</v>
      </c>
      <c r="DL107" s="168">
        <f t="shared" si="826"/>
        <v>0.31559649678824003</v>
      </c>
      <c r="DM107" s="168">
        <f t="shared" si="827"/>
        <v>0.3118233601019258</v>
      </c>
      <c r="DN107" s="168">
        <f t="shared" si="828"/>
        <v>0.30795389697127035</v>
      </c>
      <c r="DO107" s="168">
        <f t="shared" si="829"/>
        <v>0.30403283118947622</v>
      </c>
      <c r="DP107" s="168">
        <f t="shared" si="830"/>
        <v>0.30008754807249644</v>
      </c>
      <c r="DQ107" s="168">
        <f t="shared" si="831"/>
        <v>0.29370066885829543</v>
      </c>
      <c r="DR107" s="168">
        <f t="shared" si="832"/>
        <v>0.2866321042069046</v>
      </c>
      <c r="DS107" s="168">
        <f t="shared" si="833"/>
        <v>0.27934280941947554</v>
      </c>
      <c r="DT107" s="168">
        <f t="shared" si="834"/>
        <v>0.27187277631912982</v>
      </c>
      <c r="DU107" s="168">
        <f t="shared" si="835"/>
        <v>0.26418973215884822</v>
      </c>
      <c r="DV107" s="168">
        <f t="shared" si="836"/>
        <v>0.25624931231121045</v>
      </c>
      <c r="DW107" s="168">
        <f t="shared" si="837"/>
        <v>0.24799758749617309</v>
      </c>
      <c r="DX107" s="168">
        <f t="shared" si="838"/>
        <v>0.23937959525711389</v>
      </c>
      <c r="DY107" s="168">
        <f t="shared" si="839"/>
        <v>0.23035563177427795</v>
      </c>
      <c r="DZ107" s="168">
        <f t="shared" si="840"/>
        <v>0.22092104173779586</v>
      </c>
    </row>
    <row r="108" spans="1:165">
      <c r="A108" s="606" t="s">
        <v>451</v>
      </c>
      <c r="C108" s="54" t="s">
        <v>462</v>
      </c>
      <c r="D108" s="168">
        <f>'BTX Recycling HC'!C339/('BTX Recycling HC'!C$319)</f>
        <v>7.3050729916467855E-2</v>
      </c>
      <c r="E108" s="168">
        <f>'BTX Recycling HC'!D339/('BTX Recycling HC'!D$319)</f>
        <v>7.0666501355150582E-2</v>
      </c>
      <c r="F108" s="168">
        <f>'BTX Recycling HC'!E339/('BTX Recycling HC'!E$319)</f>
        <v>6.8189965004998937E-2</v>
      </c>
      <c r="G108" s="168">
        <f>'BTX Recycling HC'!F339/('BTX Recycling HC'!F$319)</f>
        <v>6.5730505325975727E-2</v>
      </c>
      <c r="H108" s="168">
        <f>'BTX Recycling HC'!G339/('BTX Recycling HC'!G$319)</f>
        <v>6.3288446688384375E-2</v>
      </c>
      <c r="I108" s="168">
        <f>'BTX Recycling HC'!H339/('BTX Recycling HC'!H$319)</f>
        <v>6.0864131678576038E-2</v>
      </c>
      <c r="J108" s="168">
        <f>'BTX Recycling HC'!I339/('BTX Recycling HC'!I$319)</f>
        <v>5.8457922733898861E-2</v>
      </c>
      <c r="K108" s="168">
        <f>'BTX Recycling HC'!J339/('BTX Recycling HC'!J$319)</f>
        <v>5.607019896188821E-2</v>
      </c>
      <c r="L108" s="168">
        <f>'BTX Recycling HC'!K339/('BTX Recycling HC'!K$319)</f>
        <v>5.3701357663331291E-2</v>
      </c>
      <c r="M108" s="168">
        <f>'BTX Recycling HC'!L339/('BTX Recycling HC'!L$319)</f>
        <v>5.1351814333297427E-2</v>
      </c>
      <c r="N108" s="168">
        <f>'BTX Recycling HC'!M339/('BTX Recycling HC'!M$319)</f>
        <v>4.9022002662069866E-2</v>
      </c>
      <c r="O108" s="168">
        <f>'BTX Recycling HC'!N339/('BTX Recycling HC'!N$319)</f>
        <v>4.6448156971573666E-2</v>
      </c>
      <c r="P108" s="168">
        <f>'BTX Recycling HC'!O339/('BTX Recycling HC'!O$319)</f>
        <v>4.3914078925480562E-2</v>
      </c>
      <c r="Q108" s="168">
        <f>'BTX Recycling HC'!P339/('BTX Recycling HC'!P$319)</f>
        <v>4.142085185961155E-2</v>
      </c>
      <c r="R108" s="168">
        <f>'BTX Recycling HC'!Q339/('BTX Recycling HC'!Q$319)</f>
        <v>3.8969123505116311E-2</v>
      </c>
      <c r="S108" s="168">
        <f>'BTX Recycling HC'!R339/('BTX Recycling HC'!R$319)</f>
        <v>3.6559834042834145E-2</v>
      </c>
      <c r="T108" s="168">
        <f>'BTX Recycling HC'!S339/('BTX Recycling HC'!S$319)</f>
        <v>3.4193964203463469E-2</v>
      </c>
      <c r="U108" s="168">
        <f>'BTX Recycling HC'!T339/('BTX Recycling HC'!T$319)</f>
        <v>3.1872531565638608E-2</v>
      </c>
      <c r="V108" s="168">
        <f>'BTX Recycling HC'!U339/('BTX Recycling HC'!U$319)</f>
        <v>2.9596592248029668E-2</v>
      </c>
      <c r="W108" s="168">
        <f>'BTX Recycling HC'!V339/('BTX Recycling HC'!V$319)</f>
        <v>2.7367240896770621E-2</v>
      </c>
      <c r="X108" s="168">
        <f>'BTX Recycling HC'!W339/('BTX Recycling HC'!W$319)</f>
        <v>2.5185610672815776E-2</v>
      </c>
      <c r="Y108" s="168">
        <f>'BTX Recycling HC'!X339/('BTX Recycling HC'!X$319)</f>
        <v>2.2843126133278827E-2</v>
      </c>
      <c r="Z108" s="168">
        <f>'BTX Recycling HC'!Y339/('BTX Recycling HC'!Y$319)</f>
        <v>2.057926109471531E-2</v>
      </c>
      <c r="AA108" s="168">
        <f>'BTX Recycling HC'!Z339/('BTX Recycling HC'!Z$319)</f>
        <v>1.839604119900266E-2</v>
      </c>
      <c r="AB108" s="168">
        <f>'BTX Recycling HC'!AA339/('BTX Recycling HC'!AA$319)</f>
        <v>1.629531062681679E-2</v>
      </c>
      <c r="AC108" s="168">
        <f>'BTX Recycling HC'!AB339/('BTX Recycling HC'!AB$319)</f>
        <v>1.427912582948087E-2</v>
      </c>
      <c r="AD108" s="168">
        <f>'BTX Recycling HC'!AC339/('BTX Recycling HC'!AC$319)</f>
        <v>1.234960798293694E-2</v>
      </c>
      <c r="AE108" s="168">
        <f>'BTX Recycling HC'!AD339/('BTX Recycling HC'!AD$319)</f>
        <v>1.0508942907247997E-2</v>
      </c>
      <c r="AF108" s="168">
        <f>'BTX Recycling HC'!AE339/('BTX Recycling HC'!AE$319)</f>
        <v>8.7593810221844506E-3</v>
      </c>
      <c r="AG108" s="168">
        <f>'BTX Recycling HC'!AF339/('BTX Recycling HC'!AF$319)</f>
        <v>7.1032372908977296E-3</v>
      </c>
      <c r="AH108" s="168">
        <f>'BTX Recycling HC'!AG339/('BTX Recycling HC'!AG$319)</f>
        <v>5.5428911635143569E-3</v>
      </c>
      <c r="AI108" s="44"/>
      <c r="AJ108" s="168">
        <f>'BTX Recycling LC'!C339/('BTX Recycling LC'!C$319)</f>
        <v>7.3050729916467855E-2</v>
      </c>
      <c r="AK108" s="168">
        <f>'BTX Recycling LC'!D339/('BTX Recycling LC'!D$319)</f>
        <v>7.0666501355150582E-2</v>
      </c>
      <c r="AL108" s="168">
        <f>'BTX Recycling LC'!E339/('BTX Recycling LC'!E$319)</f>
        <v>6.8189965004998937E-2</v>
      </c>
      <c r="AM108" s="168">
        <f>'BTX Recycling LC'!F339/('BTX Recycling LC'!F$319)</f>
        <v>6.5730505325975727E-2</v>
      </c>
      <c r="AN108" s="168">
        <f>'BTX Recycling LC'!G339/('BTX Recycling LC'!G$319)</f>
        <v>6.3288446688384375E-2</v>
      </c>
      <c r="AO108" s="168">
        <f>'BTX Recycling LC'!H339/('BTX Recycling LC'!H$319)</f>
        <v>6.0864131678576038E-2</v>
      </c>
      <c r="AP108" s="168">
        <f>'BTX Recycling LC'!I339/('BTX Recycling LC'!I$319)</f>
        <v>5.8457922733898861E-2</v>
      </c>
      <c r="AQ108" s="168">
        <f>'BTX Recycling LC'!J339/('BTX Recycling LC'!J$319)</f>
        <v>5.607019896188821E-2</v>
      </c>
      <c r="AR108" s="168">
        <f>'BTX Recycling LC'!K339/('BTX Recycling LC'!K$319)</f>
        <v>5.3701357663331291E-2</v>
      </c>
      <c r="AS108" s="168">
        <f>'BTX Recycling LC'!L339/('BTX Recycling LC'!L$319)</f>
        <v>5.1351814333297427E-2</v>
      </c>
      <c r="AT108" s="168">
        <f>'BTX Recycling LC'!M339/('BTX Recycling LC'!M$319)</f>
        <v>4.9022002662069866E-2</v>
      </c>
      <c r="AU108" s="168">
        <f>'BTX Recycling LC'!N339/('BTX Recycling LC'!N$319)</f>
        <v>4.6448156971573666E-2</v>
      </c>
      <c r="AV108" s="168">
        <f>'BTX Recycling LC'!O339/('BTX Recycling LC'!O$319)</f>
        <v>4.3914078925480562E-2</v>
      </c>
      <c r="AW108" s="168">
        <f>'BTX Recycling LC'!P339/('BTX Recycling LC'!P$319)</f>
        <v>4.142085185961155E-2</v>
      </c>
      <c r="AX108" s="168">
        <f>'BTX Recycling LC'!Q339/('BTX Recycling LC'!Q$319)</f>
        <v>3.8969123505116311E-2</v>
      </c>
      <c r="AY108" s="168">
        <f>'BTX Recycling LC'!R339/('BTX Recycling LC'!R$319)</f>
        <v>3.6559834042834145E-2</v>
      </c>
      <c r="AZ108" s="168">
        <f>'BTX Recycling LC'!S339/('BTX Recycling LC'!S$319)</f>
        <v>3.4193964203463469E-2</v>
      </c>
      <c r="BA108" s="168">
        <f>'BTX Recycling LC'!T339/('BTX Recycling LC'!T$319)</f>
        <v>3.1872531565638608E-2</v>
      </c>
      <c r="BB108" s="168">
        <f>'BTX Recycling LC'!U339/('BTX Recycling LC'!U$319)</f>
        <v>2.9596592248029668E-2</v>
      </c>
      <c r="BC108" s="168">
        <f>'BTX Recycling LC'!V339/('BTX Recycling LC'!V$319)</f>
        <v>2.7367240896770621E-2</v>
      </c>
      <c r="BD108" s="168">
        <f>'BTX Recycling LC'!W339/('BTX Recycling LC'!W$319)</f>
        <v>2.5185610672815776E-2</v>
      </c>
      <c r="BE108" s="168">
        <f>'BTX Recycling LC'!X339/('BTX Recycling LC'!X$319)</f>
        <v>2.2843126133278827E-2</v>
      </c>
      <c r="BF108" s="168">
        <f>'BTX Recycling LC'!Y339/('BTX Recycling LC'!Y$319)</f>
        <v>2.057926109471531E-2</v>
      </c>
      <c r="BG108" s="168">
        <f>'BTX Recycling LC'!Z339/('BTX Recycling LC'!Z$319)</f>
        <v>1.839604119900266E-2</v>
      </c>
      <c r="BH108" s="168">
        <f>'BTX Recycling LC'!AA339/('BTX Recycling LC'!AA$319)</f>
        <v>1.629531062681679E-2</v>
      </c>
      <c r="BI108" s="168">
        <f>'BTX Recycling LC'!AB339/('BTX Recycling LC'!AB$319)</f>
        <v>1.427912582948087E-2</v>
      </c>
      <c r="BJ108" s="168">
        <f>'BTX Recycling LC'!AC339/('BTX Recycling LC'!AC$319)</f>
        <v>1.234960798293694E-2</v>
      </c>
      <c r="BK108" s="168">
        <f>'BTX Recycling LC'!AD339/('BTX Recycling LC'!AD$319)</f>
        <v>1.0508942907247997E-2</v>
      </c>
      <c r="BL108" s="168">
        <f>'BTX Recycling LC'!AE339/('BTX Recycling LC'!AE$319)</f>
        <v>8.7593810221844506E-3</v>
      </c>
      <c r="BM108" s="168">
        <f>'BTX Recycling LC'!AF339/('BTX Recycling LC'!AF$319)</f>
        <v>7.1032372908977296E-3</v>
      </c>
      <c r="BN108" s="168">
        <f>'BTX Recycling LC'!AG339/('BTX Recycling LC'!AG$319)</f>
        <v>5.5428911635143569E-3</v>
      </c>
      <c r="BP108" s="168">
        <f>'BTX Recycling HC'!C315/('BTX Recycling HC'!C$309)</f>
        <v>7.3050729916467855E-2</v>
      </c>
      <c r="BQ108" s="168">
        <f>'BTX Recycling HC'!D315/('BTX Recycling HC'!D$309)</f>
        <v>7.3255290383283822E-2</v>
      </c>
      <c r="BR108" s="168">
        <f>'BTX Recycling HC'!E315/('BTX Recycling HC'!E$309)</f>
        <v>7.3440618620333437E-2</v>
      </c>
      <c r="BS108" s="168">
        <f>'BTX Recycling HC'!F315/('BTX Recycling HC'!F$309)</f>
        <v>7.3607410165294831E-2</v>
      </c>
      <c r="BT108" s="168">
        <f>'BTX Recycling HC'!G315/('BTX Recycling HC'!G$309)</f>
        <v>7.3756207733903553E-2</v>
      </c>
      <c r="BU108" s="168">
        <f>'BTX Recycling HC'!H315/('BTX Recycling HC'!H$309)</f>
        <v>7.3887408572889113E-2</v>
      </c>
      <c r="BV108" s="168">
        <f>'BTX Recycling HC'!I315/('BTX Recycling HC'!I$309)</f>
        <v>7.4015475663912769E-2</v>
      </c>
      <c r="BW108" s="168">
        <f>'BTX Recycling HC'!J315/('BTX Recycling HC'!J$309)</f>
        <v>7.4140444055660989E-2</v>
      </c>
      <c r="BX108" s="168">
        <f>'BTX Recycling HC'!K315/('BTX Recycling HC'!K$309)</f>
        <v>7.4262344482502629E-2</v>
      </c>
      <c r="BY108" s="168">
        <f>'BTX Recycling HC'!L315/('BTX Recycling HC'!L$309)</f>
        <v>7.43812034263443E-2</v>
      </c>
      <c r="BZ108" s="168">
        <f>'BTX Recycling HC'!M315/('BTX Recycling HC'!M$309)</f>
        <v>7.4497043168757507E-2</v>
      </c>
      <c r="CA108" s="168">
        <f>'BTX Recycling HC'!N315/('BTX Recycling HC'!N$309)</f>
        <v>7.4600582527755727E-2</v>
      </c>
      <c r="CB108" s="168">
        <f>'BTX Recycling HC'!O315/('BTX Recycling HC'!O$309)</f>
        <v>7.469181624349111E-2</v>
      </c>
      <c r="CC108" s="168">
        <f>'BTX Recycling HC'!P315/('BTX Recycling HC'!P$309)</f>
        <v>7.4770668976194499E-2</v>
      </c>
      <c r="CD108" s="168">
        <f>'BTX Recycling HC'!Q315/('BTX Recycling HC'!Q$309)</f>
        <v>7.4836994347960581E-2</v>
      </c>
      <c r="CE108" s="168">
        <f>'BTX Recycling HC'!R315/('BTX Recycling HC'!R$309)</f>
        <v>7.4890573300603974E-2</v>
      </c>
      <c r="CF108" s="168">
        <f>'BTX Recycling HC'!S315/('BTX Recycling HC'!S$309)</f>
        <v>7.4943105270776106E-2</v>
      </c>
      <c r="CG108" s="168">
        <f>'BTX Recycling HC'!T315/('BTX Recycling HC'!T$309)</f>
        <v>7.4994571905034377E-2</v>
      </c>
      <c r="CH108" s="168">
        <f>'BTX Recycling HC'!U315/('BTX Recycling HC'!U$309)</f>
        <v>7.5044954359001034E-2</v>
      </c>
      <c r="CI108" s="168">
        <f>'BTX Recycling HC'!V315/('BTX Recycling HC'!V$309)</f>
        <v>7.5094233285087533E-2</v>
      </c>
      <c r="CJ108" s="168">
        <f>'BTX Recycling HC'!W315/('BTX Recycling HC'!W$309)</f>
        <v>7.5142388819840436E-2</v>
      </c>
      <c r="CK108" s="168">
        <f>'BTX Recycling HC'!X315/('BTX Recycling HC'!X$309)</f>
        <v>7.5189476686246495E-2</v>
      </c>
      <c r="CL108" s="168">
        <f>'BTX Recycling HC'!Y315/('BTX Recycling HC'!Y$309)</f>
        <v>7.5235477852550942E-2</v>
      </c>
      <c r="CM108" s="168">
        <f>'BTX Recycling HC'!Z315/('BTX Recycling HC'!Z$309)</f>
        <v>7.5280372810160992E-2</v>
      </c>
      <c r="CN108" s="168">
        <f>'BTX Recycling HC'!AA315/('BTX Recycling HC'!AA$309)</f>
        <v>7.5324141561865288E-2</v>
      </c>
      <c r="CO108" s="168">
        <f>'BTX Recycling HC'!AB315/('BTX Recycling HC'!AB$309)</f>
        <v>7.5366763609709009E-2</v>
      </c>
      <c r="CP108" s="168">
        <f>'BTX Recycling HC'!AC315/('BTX Recycling HC'!AC$309)</f>
        <v>7.5408285934683725E-2</v>
      </c>
      <c r="CQ108" s="168">
        <f>'BTX Recycling HC'!AD315/('BTX Recycling HC'!AD$309)</f>
        <v>7.5448688782533205E-2</v>
      </c>
      <c r="CR108" s="168">
        <f>'BTX Recycling HC'!AE315/('BTX Recycling HC'!AE$309)</f>
        <v>7.5487951929398736E-2</v>
      </c>
      <c r="CS108" s="168">
        <f>'BTX Recycling HC'!AF315/('BTX Recycling HC'!AF$309)</f>
        <v>7.5526054670406628E-2</v>
      </c>
      <c r="CT108" s="168">
        <f>'BTX Recycling HC'!AG315/('BTX Recycling HC'!AG$309)</f>
        <v>7.5562975807937111E-2</v>
      </c>
      <c r="CV108" s="168">
        <f t="shared" si="841"/>
        <v>7.3050729916467841E-2</v>
      </c>
      <c r="CW108" s="168">
        <f t="shared" si="811"/>
        <v>7.0666501355150582E-2</v>
      </c>
      <c r="CX108" s="168">
        <f t="shared" si="812"/>
        <v>6.8189965004998937E-2</v>
      </c>
      <c r="CY108" s="168">
        <f t="shared" si="813"/>
        <v>6.5730505325975727E-2</v>
      </c>
      <c r="CZ108" s="168">
        <f t="shared" si="814"/>
        <v>6.3288446688384375E-2</v>
      </c>
      <c r="DA108" s="168">
        <f t="shared" si="815"/>
        <v>6.0864131678576038E-2</v>
      </c>
      <c r="DB108" s="168">
        <f t="shared" si="816"/>
        <v>5.8457922733898861E-2</v>
      </c>
      <c r="DC108" s="168">
        <f t="shared" si="817"/>
        <v>5.607019896188821E-2</v>
      </c>
      <c r="DD108" s="168">
        <f t="shared" si="818"/>
        <v>5.3701357663331298E-2</v>
      </c>
      <c r="DE108" s="168">
        <f t="shared" si="819"/>
        <v>5.1351814333297427E-2</v>
      </c>
      <c r="DF108" s="168">
        <f t="shared" si="820"/>
        <v>4.9022002662069866E-2</v>
      </c>
      <c r="DG108" s="168">
        <f t="shared" si="821"/>
        <v>4.6448156971573666E-2</v>
      </c>
      <c r="DH108" s="168">
        <f t="shared" si="822"/>
        <v>4.3914078925480569E-2</v>
      </c>
      <c r="DI108" s="168">
        <f t="shared" si="823"/>
        <v>4.1420675100597659E-2</v>
      </c>
      <c r="DJ108" s="168">
        <f t="shared" si="824"/>
        <v>3.8968766154363961E-2</v>
      </c>
      <c r="DK108" s="168">
        <f t="shared" si="825"/>
        <v>3.6559294573706741E-2</v>
      </c>
      <c r="DL108" s="168">
        <f t="shared" si="826"/>
        <v>3.4193243585929727E-2</v>
      </c>
      <c r="DM108" s="168">
        <f t="shared" si="827"/>
        <v>3.1871633758276903E-2</v>
      </c>
      <c r="DN108" s="168">
        <f t="shared" si="828"/>
        <v>2.9595524519000667E-2</v>
      </c>
      <c r="DO108" s="168">
        <f t="shared" si="829"/>
        <v>2.7366014119283261E-2</v>
      </c>
      <c r="DP108" s="168">
        <f t="shared" si="830"/>
        <v>2.518423943184632E-2</v>
      </c>
      <c r="DQ108" s="168">
        <f t="shared" si="831"/>
        <v>2.284158353141439E-2</v>
      </c>
      <c r="DR108" s="168">
        <f t="shared" si="832"/>
        <v>2.0577565248964431E-2</v>
      </c>
      <c r="DS108" s="168">
        <f t="shared" si="833"/>
        <v>1.8393717935271486E-2</v>
      </c>
      <c r="DT108" s="168">
        <f t="shared" si="834"/>
        <v>1.6292421658766043E-2</v>
      </c>
      <c r="DU108" s="168">
        <f t="shared" si="835"/>
        <v>1.4275754103799835E-2</v>
      </c>
      <c r="DV108" s="168">
        <f t="shared" si="836"/>
        <v>1.2345857098620299E-2</v>
      </c>
      <c r="DW108" s="168">
        <f t="shared" si="837"/>
        <v>1.0504936680944163E-2</v>
      </c>
      <c r="DX108" s="168">
        <f t="shared" si="838"/>
        <v>8.7552636370079439E-3</v>
      </c>
      <c r="DY108" s="168">
        <f t="shared" si="839"/>
        <v>7.099174486684583E-3</v>
      </c>
      <c r="DZ108" s="168">
        <f t="shared" si="840"/>
        <v>5.5390725124932864E-3</v>
      </c>
    </row>
    <row r="109" spans="1:165">
      <c r="A109" s="606" t="s">
        <v>452</v>
      </c>
      <c r="C109" s="54" t="s">
        <v>462</v>
      </c>
      <c r="D109" s="168">
        <f>'BTX Recycling HC'!C340/('BTX Recycling HC'!C$319)</f>
        <v>0.24654621346807901</v>
      </c>
      <c r="E109" s="168">
        <f>'BTX Recycling HC'!D340/('BTX Recycling HC'!D$319)</f>
        <v>0.24232847460414303</v>
      </c>
      <c r="F109" s="168">
        <f>'BTX Recycling HC'!E340/('BTX Recycling HC'!E$319)</f>
        <v>0.23775970099088134</v>
      </c>
      <c r="G109" s="168">
        <f>'BTX Recycling HC'!F340/('BTX Recycling HC'!F$319)</f>
        <v>0.23320823122503723</v>
      </c>
      <c r="H109" s="168">
        <f>'BTX Recycling HC'!G340/('BTX Recycling HC'!G$319)</f>
        <v>0.22867429322312485</v>
      </c>
      <c r="I109" s="168">
        <f>'BTX Recycling HC'!H340/('BTX Recycling HC'!H$319)</f>
        <v>0.22415814349914612</v>
      </c>
      <c r="J109" s="168">
        <f>'BTX Recycling HC'!I340/('BTX Recycling HC'!I$319)</f>
        <v>0.21966007330313531</v>
      </c>
      <c r="K109" s="168">
        <f>'BTX Recycling HC'!J340/('BTX Recycling HC'!J$319)</f>
        <v>0.2151803970631628</v>
      </c>
      <c r="L109" s="168">
        <f>'BTX Recycling HC'!K340/('BTX Recycling HC'!K$319)</f>
        <v>0.21071945778763715</v>
      </c>
      <c r="M109" s="168">
        <f>'BTX Recycling HC'!L340/('BTX Recycling HC'!L$319)</f>
        <v>0.2062776270676526</v>
      </c>
      <c r="N109" s="168">
        <f>'BTX Recycling HC'!M340/('BTX Recycling HC'!M$319)</f>
        <v>0.2018553050791114</v>
      </c>
      <c r="O109" s="168">
        <f>'BTX Recycling HC'!N340/('BTX Recycling HC'!N$319)</f>
        <v>0.19633607456082383</v>
      </c>
      <c r="P109" s="168">
        <f>'BTX Recycling HC'!O340/('BTX Recycling HC'!O$319)</f>
        <v>0.19085734302228108</v>
      </c>
      <c r="Q109" s="168">
        <f>'BTX Recycling HC'!P340/('BTX Recycling HC'!P$319)</f>
        <v>0.18542086033799279</v>
      </c>
      <c r="R109" s="168">
        <f>'BTX Recycling HC'!Q340/('BTX Recycling HC'!Q$319)</f>
        <v>0.18002637337574873</v>
      </c>
      <c r="S109" s="168">
        <f>'BTX Recycling HC'!R340/('BTX Recycling HC'!R$319)</f>
        <v>0.17467476264909662</v>
      </c>
      <c r="T109" s="168">
        <f>'BTX Recycling HC'!S340/('BTX Recycling HC'!S$319)</f>
        <v>0.16936697894528016</v>
      </c>
      <c r="U109" s="168">
        <f>'BTX Recycling HC'!T340/('BTX Recycling HC'!T$319)</f>
        <v>0.16410402616027164</v>
      </c>
      <c r="V109" s="168">
        <f>'BTX Recycling HC'!U340/('BTX Recycling HC'!U$319)</f>
        <v>0.15888696891047518</v>
      </c>
      <c r="W109" s="168">
        <f>'BTX Recycling HC'!V340/('BTX Recycling HC'!V$319)</f>
        <v>0.15371693251363697</v>
      </c>
      <c r="X109" s="168">
        <f>'BTX Recycling HC'!W340/('BTX Recycling HC'!W$319)</f>
        <v>0.1485951029696132</v>
      </c>
      <c r="Y109" s="168">
        <f>'BTX Recycling HC'!X340/('BTX Recycling HC'!X$319)</f>
        <v>0.14221688205557476</v>
      </c>
      <c r="Z109" s="168">
        <f>'BTX Recycling HC'!Y340/('BTX Recycling HC'!Y$319)</f>
        <v>0.13591884071858493</v>
      </c>
      <c r="AA109" s="168">
        <f>'BTX Recycling HC'!Z340/('BTX Recycling HC'!Z$319)</f>
        <v>0.12970373351701889</v>
      </c>
      <c r="AB109" s="168">
        <f>'BTX Recycling HC'!AA340/('BTX Recycling HC'!AA$319)</f>
        <v>0.12357277225336077</v>
      </c>
      <c r="AC109" s="168">
        <f>'BTX Recycling HC'!AB340/('BTX Recycling HC'!AB$319)</f>
        <v>0.11752818951957342</v>
      </c>
      <c r="AD109" s="168">
        <f>'BTX Recycling HC'!AC340/('BTX Recycling HC'!AC$319)</f>
        <v>0.11157232039756834</v>
      </c>
      <c r="AE109" s="168">
        <f>'BTX Recycling HC'!AD340/('BTX Recycling HC'!AD$319)</f>
        <v>0.10570760218467118</v>
      </c>
      <c r="AF109" s="168">
        <f>'BTX Recycling HC'!AE340/('BTX Recycling HC'!AE$319)</f>
        <v>9.9936574389468208E-2</v>
      </c>
      <c r="AG109" s="168">
        <f>'BTX Recycling HC'!AF340/('BTX Recycling HC'!AF$319)</f>
        <v>9.4261878644075467E-2</v>
      </c>
      <c r="AH109" s="168">
        <f>'BTX Recycling HC'!AG340/('BTX Recycling HC'!AG$319)</f>
        <v>8.868625861622971E-2</v>
      </c>
      <c r="AI109" s="44"/>
      <c r="AJ109" s="168">
        <f>'BTX Recycling LC'!C340/('BTX Recycling LC'!C$319)</f>
        <v>0.24654621346807901</v>
      </c>
      <c r="AK109" s="168">
        <f>'BTX Recycling LC'!D340/('BTX Recycling LC'!D$319)</f>
        <v>0.24232847460414303</v>
      </c>
      <c r="AL109" s="168">
        <f>'BTX Recycling LC'!E340/('BTX Recycling LC'!E$319)</f>
        <v>0.23775970099088134</v>
      </c>
      <c r="AM109" s="168">
        <f>'BTX Recycling LC'!F340/('BTX Recycling LC'!F$319)</f>
        <v>0.23320823122503723</v>
      </c>
      <c r="AN109" s="168">
        <f>'BTX Recycling LC'!G340/('BTX Recycling LC'!G$319)</f>
        <v>0.22867429322312485</v>
      </c>
      <c r="AO109" s="168">
        <f>'BTX Recycling LC'!H340/('BTX Recycling LC'!H$319)</f>
        <v>0.22415814349914612</v>
      </c>
      <c r="AP109" s="168">
        <f>'BTX Recycling LC'!I340/('BTX Recycling LC'!I$319)</f>
        <v>0.21966007330313531</v>
      </c>
      <c r="AQ109" s="168">
        <f>'BTX Recycling LC'!J340/('BTX Recycling LC'!J$319)</f>
        <v>0.2151803970631628</v>
      </c>
      <c r="AR109" s="168">
        <f>'BTX Recycling LC'!K340/('BTX Recycling LC'!K$319)</f>
        <v>0.21071945778763715</v>
      </c>
      <c r="AS109" s="168">
        <f>'BTX Recycling LC'!L340/('BTX Recycling LC'!L$319)</f>
        <v>0.2062776270676526</v>
      </c>
      <c r="AT109" s="168">
        <f>'BTX Recycling LC'!M340/('BTX Recycling LC'!M$319)</f>
        <v>0.2018553050791114</v>
      </c>
      <c r="AU109" s="168">
        <f>'BTX Recycling LC'!N340/('BTX Recycling LC'!N$319)</f>
        <v>0.19633607456082383</v>
      </c>
      <c r="AV109" s="168">
        <f>'BTX Recycling LC'!O340/('BTX Recycling LC'!O$319)</f>
        <v>0.19085734302228108</v>
      </c>
      <c r="AW109" s="168">
        <f>'BTX Recycling LC'!P340/('BTX Recycling LC'!P$319)</f>
        <v>0.18542086033799279</v>
      </c>
      <c r="AX109" s="168">
        <f>'BTX Recycling LC'!Q340/('BTX Recycling LC'!Q$319)</f>
        <v>0.18002637337574873</v>
      </c>
      <c r="AY109" s="168">
        <f>'BTX Recycling LC'!R340/('BTX Recycling LC'!R$319)</f>
        <v>0.17467476264909662</v>
      </c>
      <c r="AZ109" s="168">
        <f>'BTX Recycling LC'!S340/('BTX Recycling LC'!S$319)</f>
        <v>0.16936697894528016</v>
      </c>
      <c r="BA109" s="168">
        <f>'BTX Recycling LC'!T340/('BTX Recycling LC'!T$319)</f>
        <v>0.16410402616027164</v>
      </c>
      <c r="BB109" s="168">
        <f>'BTX Recycling LC'!U340/('BTX Recycling LC'!U$319)</f>
        <v>0.15888696891047518</v>
      </c>
      <c r="BC109" s="168">
        <f>'BTX Recycling LC'!V340/('BTX Recycling LC'!V$319)</f>
        <v>0.15371693251363697</v>
      </c>
      <c r="BD109" s="168">
        <f>'BTX Recycling LC'!W340/('BTX Recycling LC'!W$319)</f>
        <v>0.1485951029696132</v>
      </c>
      <c r="BE109" s="168">
        <f>'BTX Recycling LC'!X340/('BTX Recycling LC'!X$319)</f>
        <v>0.14221688205557476</v>
      </c>
      <c r="BF109" s="168">
        <f>'BTX Recycling LC'!Y340/('BTX Recycling LC'!Y$319)</f>
        <v>0.13591884071858493</v>
      </c>
      <c r="BG109" s="168">
        <f>'BTX Recycling LC'!Z340/('BTX Recycling LC'!Z$319)</f>
        <v>0.12970373351701889</v>
      </c>
      <c r="BH109" s="168">
        <f>'BTX Recycling LC'!AA340/('BTX Recycling LC'!AA$319)</f>
        <v>0.12357277225336077</v>
      </c>
      <c r="BI109" s="168">
        <f>'BTX Recycling LC'!AB340/('BTX Recycling LC'!AB$319)</f>
        <v>0.11752818951957342</v>
      </c>
      <c r="BJ109" s="168">
        <f>'BTX Recycling LC'!AC340/('BTX Recycling LC'!AC$319)</f>
        <v>0.11157232039756834</v>
      </c>
      <c r="BK109" s="168">
        <f>'BTX Recycling LC'!AD340/('BTX Recycling LC'!AD$319)</f>
        <v>0.10570760218467118</v>
      </c>
      <c r="BL109" s="168">
        <f>'BTX Recycling LC'!AE340/('BTX Recycling LC'!AE$319)</f>
        <v>9.9936574389468208E-2</v>
      </c>
      <c r="BM109" s="168">
        <f>'BTX Recycling LC'!AF340/('BTX Recycling LC'!AF$319)</f>
        <v>9.4261878644075467E-2</v>
      </c>
      <c r="BN109" s="168">
        <f>'BTX Recycling LC'!AG340/('BTX Recycling LC'!AG$319)</f>
        <v>8.868625861622971E-2</v>
      </c>
      <c r="BP109" s="168">
        <f>'BTX Recycling HC'!C316/('BTX Recycling HC'!C$309)</f>
        <v>0.24654621346807901</v>
      </c>
      <c r="BQ109" s="168">
        <f>'BTX Recycling HC'!D316/('BTX Recycling HC'!D$309)</f>
        <v>0.2497935286727539</v>
      </c>
      <c r="BR109" s="168">
        <f>'BTX Recycling HC'!E316/('BTX Recycling HC'!E$309)</f>
        <v>0.25298248010196323</v>
      </c>
      <c r="BS109" s="168">
        <f>'BTX Recycling HC'!F316/('BTX Recycling HC'!F$309)</f>
        <v>0.25611345454773815</v>
      </c>
      <c r="BT109" s="168">
        <f>'BTX Recycling HC'!G316/('BTX Recycling HC'!G$309)</f>
        <v>0.25918640827220829</v>
      </c>
      <c r="BU109" s="168">
        <f>'BTX Recycling HC'!H316/('BTX Recycling HC'!H$309)</f>
        <v>0.26220086603298531</v>
      </c>
      <c r="BV109" s="168">
        <f>'BTX Recycling HC'!I316/('BTX Recycling HC'!I$309)</f>
        <v>0.26520681602652607</v>
      </c>
      <c r="BW109" s="168">
        <f>'BTX Recycling HC'!J316/('BTX Recycling HC'!J$309)</f>
        <v>0.26820405164786393</v>
      </c>
      <c r="BX109" s="168">
        <f>'BTX Recycling HC'!K316/('BTX Recycling HC'!K$309)</f>
        <v>0.27119235699633371</v>
      </c>
      <c r="BY109" s="168">
        <f>'BTX Recycling HC'!L316/('BTX Recycling HC'!L$309)</f>
        <v>0.27417150632553594</v>
      </c>
      <c r="BZ109" s="168">
        <f>'BTX Recycling HC'!M316/('BTX Recycling HC'!M$309)</f>
        <v>0.27714126347554213</v>
      </c>
      <c r="CA109" s="168">
        <f>'BTX Recycling HC'!N316/('BTX Recycling HC'!N$309)</f>
        <v>0.28006646971168114</v>
      </c>
      <c r="CB109" s="168">
        <f>'BTX Recycling HC'!O316/('BTX Recycling HC'!O$309)</f>
        <v>0.28294584576967791</v>
      </c>
      <c r="CC109" s="168">
        <f>'BTX Recycling HC'!P316/('BTX Recycling HC'!P$309)</f>
        <v>0.28577785001889483</v>
      </c>
      <c r="CD109" s="168">
        <f>'BTX Recycling HC'!Q316/('BTX Recycling HC'!Q$309)</f>
        <v>0.28856066289123516</v>
      </c>
      <c r="CE109" s="168">
        <f>'BTX Recycling HC'!R316/('BTX Recycling HC'!R$309)</f>
        <v>0.29129216854345319</v>
      </c>
      <c r="CF109" s="168">
        <f>'BTX Recycling HC'!S316/('BTX Recycling HC'!S$309)</f>
        <v>0.29401698652799552</v>
      </c>
      <c r="CG109" s="168">
        <f>'BTX Recycling HC'!T316/('BTX Recycling HC'!T$309)</f>
        <v>0.29673494832110259</v>
      </c>
      <c r="CH109" s="168">
        <f>'BTX Recycling HC'!U316/('BTX Recycling HC'!U$309)</f>
        <v>0.29944588145205264</v>
      </c>
      <c r="CI109" s="168">
        <f>'BTX Recycling HC'!V316/('BTX Recycling HC'!V$309)</f>
        <v>0.30214960938395374</v>
      </c>
      <c r="CJ109" s="168">
        <f>'BTX Recycling HC'!W316/('BTX Recycling HC'!W$309)</f>
        <v>0.30484595139105958</v>
      </c>
      <c r="CK109" s="168">
        <f>'BTX Recycling HC'!X316/('BTX Recycling HC'!X$309)</f>
        <v>0.30753503375446456</v>
      </c>
      <c r="CL109" s="168">
        <f>'BTX Recycling HC'!Y316/('BTX Recycling HC'!Y$309)</f>
        <v>0.31021668240256972</v>
      </c>
      <c r="CM109" s="168">
        <f>'BTX Recycling HC'!Z316/('BTX Recycling HC'!Z$309)</f>
        <v>0.31289071922959533</v>
      </c>
      <c r="CN109" s="168">
        <f>'BTX Recycling HC'!AA316/('BTX Recycling HC'!AA$309)</f>
        <v>0.31555696198004674</v>
      </c>
      <c r="CO109" s="168">
        <f>'BTX Recycling HC'!AB316/('BTX Recycling HC'!AB$309)</f>
        <v>0.31821522412988196</v>
      </c>
      <c r="CP109" s="168">
        <f>'BTX Recycling HC'!AC316/('BTX Recycling HC'!AC$309)</f>
        <v>0.32086560407397247</v>
      </c>
      <c r="CQ109" s="168">
        <f>'BTX Recycling HC'!AD316/('BTX Recycling HC'!AD$309)</f>
        <v>0.32350792070479112</v>
      </c>
      <c r="CR109" s="168">
        <f>'BTX Recycling HC'!AE316/('BTX Recycling HC'!AE$309)</f>
        <v>0.32614198877065448</v>
      </c>
      <c r="CS109" s="168">
        <f>'BTX Recycling HC'!AF316/('BTX Recycling HC'!AF$309)</f>
        <v>0.32876761876229216</v>
      </c>
      <c r="CT109" s="168">
        <f>'BTX Recycling HC'!AG316/('BTX Recycling HC'!AG$309)</f>
        <v>0.33138461679625425</v>
      </c>
      <c r="CV109" s="168">
        <f t="shared" si="841"/>
        <v>0.24654621346807901</v>
      </c>
      <c r="CW109" s="168">
        <f t="shared" si="811"/>
        <v>0.24232847460414303</v>
      </c>
      <c r="CX109" s="168">
        <f t="shared" si="812"/>
        <v>0.23775970099088134</v>
      </c>
      <c r="CY109" s="168">
        <f t="shared" si="813"/>
        <v>0.23320823122503723</v>
      </c>
      <c r="CZ109" s="168">
        <f t="shared" si="814"/>
        <v>0.22867429322312485</v>
      </c>
      <c r="DA109" s="168">
        <f t="shared" si="815"/>
        <v>0.22415814349914615</v>
      </c>
      <c r="DB109" s="168">
        <f t="shared" si="816"/>
        <v>0.21966007330313533</v>
      </c>
      <c r="DC109" s="168">
        <f t="shared" si="817"/>
        <v>0.2151803970631628</v>
      </c>
      <c r="DD109" s="168">
        <f t="shared" si="818"/>
        <v>0.21071945778763715</v>
      </c>
      <c r="DE109" s="168">
        <f t="shared" si="819"/>
        <v>0.2062776270676526</v>
      </c>
      <c r="DF109" s="168">
        <f t="shared" si="820"/>
        <v>0.2018553050791114</v>
      </c>
      <c r="DG109" s="168">
        <f t="shared" si="821"/>
        <v>0.19633607456082383</v>
      </c>
      <c r="DH109" s="168">
        <f t="shared" si="822"/>
        <v>0.19085734302228108</v>
      </c>
      <c r="DI109" s="168">
        <f t="shared" si="823"/>
        <v>0.18542006907448763</v>
      </c>
      <c r="DJ109" s="168">
        <f t="shared" si="824"/>
        <v>0.18002472251593504</v>
      </c>
      <c r="DK109" s="168">
        <f t="shared" si="825"/>
        <v>0.17467218518548788</v>
      </c>
      <c r="DL109" s="168">
        <f t="shared" si="826"/>
        <v>0.16936340963655835</v>
      </c>
      <c r="DM109" s="168">
        <f t="shared" si="827"/>
        <v>0.16409940356534319</v>
      </c>
      <c r="DN109" s="168">
        <f t="shared" si="828"/>
        <v>0.15888123689147737</v>
      </c>
      <c r="DO109" s="168">
        <f t="shared" si="829"/>
        <v>0.15371004192232948</v>
      </c>
      <c r="DP109" s="168">
        <f t="shared" si="830"/>
        <v>0.14858701264789342</v>
      </c>
      <c r="DQ109" s="168">
        <f t="shared" si="831"/>
        <v>0.14220727811493486</v>
      </c>
      <c r="DR109" s="168">
        <f t="shared" si="832"/>
        <v>0.13590764024897445</v>
      </c>
      <c r="DS109" s="168">
        <f t="shared" si="833"/>
        <v>0.12968735303729403</v>
      </c>
      <c r="DT109" s="168">
        <f t="shared" si="834"/>
        <v>0.12355086424564259</v>
      </c>
      <c r="DU109" s="168">
        <f t="shared" si="835"/>
        <v>0.11750043762358335</v>
      </c>
      <c r="DV109" s="168">
        <f t="shared" si="836"/>
        <v>0.11153843309788007</v>
      </c>
      <c r="DW109" s="168">
        <f t="shared" si="837"/>
        <v>0.10566730426126202</v>
      </c>
      <c r="DX109" s="168">
        <f t="shared" si="838"/>
        <v>9.9889598767681692E-2</v>
      </c>
      <c r="DY109" s="168">
        <f t="shared" si="839"/>
        <v>9.4207964134111824E-2</v>
      </c>
      <c r="DZ109" s="168">
        <f t="shared" si="840"/>
        <v>8.8625160199892583E-2</v>
      </c>
    </row>
    <row r="110" spans="1:165">
      <c r="A110" s="606" t="s">
        <v>453</v>
      </c>
      <c r="C110" s="54" t="s">
        <v>462</v>
      </c>
      <c r="D110" s="168">
        <f>'BTX Recycling HC'!C341/('BTX Recycling HC'!C$319)</f>
        <v>6.3919388676909383E-2</v>
      </c>
      <c r="E110" s="168">
        <f>'BTX Recycling HC'!D341/('BTX Recycling HC'!D$319)</f>
        <v>6.3387548425864693E-2</v>
      </c>
      <c r="F110" s="168">
        <f>'BTX Recycling HC'!E341/('BTX Recycling HC'!E$319)</f>
        <v>6.2758905845308771E-2</v>
      </c>
      <c r="G110" s="168">
        <f>'BTX Recycling HC'!F341/('BTX Recycling HC'!F$319)</f>
        <v>6.212883380126473E-2</v>
      </c>
      <c r="H110" s="168">
        <f>'BTX Recycling HC'!G341/('BTX Recycling HC'!G$319)</f>
        <v>6.1497264234939543E-2</v>
      </c>
      <c r="I110" s="168">
        <f>'BTX Recycling HC'!H341/('BTX Recycling HC'!H$319)</f>
        <v>6.0864131678576051E-2</v>
      </c>
      <c r="J110" s="168">
        <f>'BTX Recycling HC'!I341/('BTX Recycling HC'!I$319)</f>
        <v>6.0229374937956416E-2</v>
      </c>
      <c r="K110" s="168">
        <f>'BTX Recycling HC'!J341/('BTX Recycling HC'!J$319)</f>
        <v>5.9592933975200567E-2</v>
      </c>
      <c r="L110" s="168">
        <f>'BTX Recycling HC'!K341/('BTX Recycling HC'!K$319)</f>
        <v>5.8954751347787632E-2</v>
      </c>
      <c r="M110" s="168">
        <f>'BTX Recycling HC'!L341/('BTX Recycling HC'!L$319)</f>
        <v>5.8314772208998784E-2</v>
      </c>
      <c r="N110" s="168">
        <f>'BTX Recycling HC'!M341/('BTX Recycling HC'!M$319)</f>
        <v>5.76729443083175E-2</v>
      </c>
      <c r="O110" s="168">
        <f>'BTX Recycling HC'!N341/('BTX Recycling HC'!N$319)</f>
        <v>5.670664562787215E-2</v>
      </c>
      <c r="P110" s="168">
        <f>'BTX Recycling HC'!O341/('BTX Recycling HC'!O$319)</f>
        <v>5.5737100174648405E-2</v>
      </c>
      <c r="Q110" s="168">
        <f>'BTX Recycling HC'!P341/('BTX Recycling HC'!P$319)</f>
        <v>5.4764481988882389E-2</v>
      </c>
      <c r="R110" s="168">
        <f>'BTX Recycling HC'!Q341/('BTX Recycling HC'!Q$319)</f>
        <v>5.3788367654949279E-2</v>
      </c>
      <c r="S110" s="168">
        <f>'BTX Recycling HC'!R341/('BTX Recycling HC'!R$319)</f>
        <v>5.2808649172982641E-2</v>
      </c>
      <c r="T110" s="168">
        <f>'BTX Recycling HC'!S341/('BTX Recycling HC'!S$319)</f>
        <v>5.1825226995874323E-2</v>
      </c>
      <c r="U110" s="168">
        <f>'BTX Recycling HC'!T341/('BTX Recycling HC'!T$319)</f>
        <v>5.0838004893952481E-2</v>
      </c>
      <c r="V110" s="168">
        <f>'BTX Recycling HC'!U341/('BTX Recycling HC'!U$319)</f>
        <v>4.9846892207207859E-2</v>
      </c>
      <c r="W110" s="168">
        <f>'BTX Recycling HC'!V341/('BTX Recycling HC'!V$319)</f>
        <v>4.8851803843768103E-2</v>
      </c>
      <c r="X110" s="168">
        <f>'BTX Recycling HC'!W341/('BTX Recycling HC'!W$319)</f>
        <v>4.7852660278349966E-2</v>
      </c>
      <c r="Y110" s="168">
        <f>'BTX Recycling HC'!X341/('BTX Recycling HC'!X$319)</f>
        <v>4.6423127303115035E-2</v>
      </c>
      <c r="Z110" s="168">
        <f>'BTX Recycling HC'!Y341/('BTX Recycling HC'!Y$319)</f>
        <v>4.4987221927982296E-2</v>
      </c>
      <c r="AA110" s="168">
        <f>'BTX Recycling HC'!Z341/('BTX Recycling HC'!Z$319)</f>
        <v>4.3545059547006298E-2</v>
      </c>
      <c r="AB110" s="168">
        <f>'BTX Recycling HC'!AA341/('BTX Recycling HC'!AA$319)</f>
        <v>4.2096219119276718E-2</v>
      </c>
      <c r="AC110" s="168">
        <f>'BTX Recycling HC'!AB341/('BTX Recycling HC'!AB$319)</f>
        <v>4.0640588899291723E-2</v>
      </c>
      <c r="AD110" s="168">
        <f>'BTX Recycling HC'!AC341/('BTX Recycling HC'!AC$319)</f>
        <v>3.9178066704489624E-2</v>
      </c>
      <c r="AE110" s="168">
        <f>'BTX Recycling HC'!AD341/('BTX Recycling HC'!AD$319)</f>
        <v>3.7708559843654621E-2</v>
      </c>
      <c r="AF110" s="168">
        <f>'BTX Recycling HC'!AE341/('BTX Recycling HC'!AE$319)</f>
        <v>3.6231985137217551E-2</v>
      </c>
      <c r="AG110" s="168">
        <f>'BTX Recycling HC'!AF341/('BTX Recycling HC'!AF$319)</f>
        <v>3.4748268909526793E-2</v>
      </c>
      <c r="AH110" s="168">
        <f>'BTX Recycling HC'!AG341/('BTX Recycling HC'!AG$319)</f>
        <v>3.3257346981086136E-2</v>
      </c>
      <c r="AI110" s="44"/>
      <c r="AJ110" s="168">
        <f>'BTX Recycling LC'!C341/('BTX Recycling LC'!C$319)</f>
        <v>6.3919388676909383E-2</v>
      </c>
      <c r="AK110" s="168">
        <f>'BTX Recycling LC'!D341/('BTX Recycling LC'!D$319)</f>
        <v>6.3387548425864693E-2</v>
      </c>
      <c r="AL110" s="168">
        <f>'BTX Recycling LC'!E341/('BTX Recycling LC'!E$319)</f>
        <v>6.2758905845308771E-2</v>
      </c>
      <c r="AM110" s="168">
        <f>'BTX Recycling LC'!F341/('BTX Recycling LC'!F$319)</f>
        <v>6.212883380126473E-2</v>
      </c>
      <c r="AN110" s="168">
        <f>'BTX Recycling LC'!G341/('BTX Recycling LC'!G$319)</f>
        <v>6.1497264234939543E-2</v>
      </c>
      <c r="AO110" s="168">
        <f>'BTX Recycling LC'!H341/('BTX Recycling LC'!H$319)</f>
        <v>6.0864131678576051E-2</v>
      </c>
      <c r="AP110" s="168">
        <f>'BTX Recycling LC'!I341/('BTX Recycling LC'!I$319)</f>
        <v>6.0229374937956416E-2</v>
      </c>
      <c r="AQ110" s="168">
        <f>'BTX Recycling LC'!J341/('BTX Recycling LC'!J$319)</f>
        <v>5.9592933975200567E-2</v>
      </c>
      <c r="AR110" s="168">
        <f>'BTX Recycling LC'!K341/('BTX Recycling LC'!K$319)</f>
        <v>5.8954751347787632E-2</v>
      </c>
      <c r="AS110" s="168">
        <f>'BTX Recycling LC'!L341/('BTX Recycling LC'!L$319)</f>
        <v>5.8314772208998784E-2</v>
      </c>
      <c r="AT110" s="168">
        <f>'BTX Recycling LC'!M341/('BTX Recycling LC'!M$319)</f>
        <v>5.76729443083175E-2</v>
      </c>
      <c r="AU110" s="168">
        <f>'BTX Recycling LC'!N341/('BTX Recycling LC'!N$319)</f>
        <v>5.670664562787215E-2</v>
      </c>
      <c r="AV110" s="168">
        <f>'BTX Recycling LC'!O341/('BTX Recycling LC'!O$319)</f>
        <v>5.5737100174648405E-2</v>
      </c>
      <c r="AW110" s="168">
        <f>'BTX Recycling LC'!P341/('BTX Recycling LC'!P$319)</f>
        <v>5.4764481988882389E-2</v>
      </c>
      <c r="AX110" s="168">
        <f>'BTX Recycling LC'!Q341/('BTX Recycling LC'!Q$319)</f>
        <v>5.3788367654949279E-2</v>
      </c>
      <c r="AY110" s="168">
        <f>'BTX Recycling LC'!R341/('BTX Recycling LC'!R$319)</f>
        <v>5.2808649172982641E-2</v>
      </c>
      <c r="AZ110" s="168">
        <f>'BTX Recycling LC'!S341/('BTX Recycling LC'!S$319)</f>
        <v>5.1825226995874323E-2</v>
      </c>
      <c r="BA110" s="168">
        <f>'BTX Recycling LC'!T341/('BTX Recycling LC'!T$319)</f>
        <v>5.0838004893952481E-2</v>
      </c>
      <c r="BB110" s="168">
        <f>'BTX Recycling LC'!U341/('BTX Recycling LC'!U$319)</f>
        <v>4.9846892207207859E-2</v>
      </c>
      <c r="BC110" s="168">
        <f>'BTX Recycling LC'!V341/('BTX Recycling LC'!V$319)</f>
        <v>4.8851803843768103E-2</v>
      </c>
      <c r="BD110" s="168">
        <f>'BTX Recycling LC'!W341/('BTX Recycling LC'!W$319)</f>
        <v>4.7852660278349966E-2</v>
      </c>
      <c r="BE110" s="168">
        <f>'BTX Recycling LC'!X341/('BTX Recycling LC'!X$319)</f>
        <v>4.6423127303115035E-2</v>
      </c>
      <c r="BF110" s="168">
        <f>'BTX Recycling LC'!Y341/('BTX Recycling LC'!Y$319)</f>
        <v>4.4987221927982296E-2</v>
      </c>
      <c r="BG110" s="168">
        <f>'BTX Recycling LC'!Z341/('BTX Recycling LC'!Z$319)</f>
        <v>4.3545059547006298E-2</v>
      </c>
      <c r="BH110" s="168">
        <f>'BTX Recycling LC'!AA341/('BTX Recycling LC'!AA$319)</f>
        <v>4.2096219119276718E-2</v>
      </c>
      <c r="BI110" s="168">
        <f>'BTX Recycling LC'!AB341/('BTX Recycling LC'!AB$319)</f>
        <v>4.0640588899291723E-2</v>
      </c>
      <c r="BJ110" s="168">
        <f>'BTX Recycling LC'!AC341/('BTX Recycling LC'!AC$319)</f>
        <v>3.9178066704489624E-2</v>
      </c>
      <c r="BK110" s="168">
        <f>'BTX Recycling LC'!AD341/('BTX Recycling LC'!AD$319)</f>
        <v>3.7708559843654621E-2</v>
      </c>
      <c r="BL110" s="168">
        <f>'BTX Recycling LC'!AE341/('BTX Recycling LC'!AE$319)</f>
        <v>3.6231985137217551E-2</v>
      </c>
      <c r="BM110" s="168">
        <f>'BTX Recycling LC'!AF341/('BTX Recycling LC'!AF$319)</f>
        <v>3.4748268909526793E-2</v>
      </c>
      <c r="BN110" s="168">
        <f>'BTX Recycling LC'!AG341/('BTX Recycling LC'!AG$319)</f>
        <v>3.3257346981086136E-2</v>
      </c>
      <c r="BP110" s="168">
        <f>'BTX Recycling HC'!C317/('BTX Recycling HC'!C$309)</f>
        <v>6.3919388676909383E-2</v>
      </c>
      <c r="BQ110" s="168">
        <f>'BTX Recycling HC'!D317/('BTX Recycling HC'!D$309)</f>
        <v>6.5176783537020735E-2</v>
      </c>
      <c r="BR110" s="168">
        <f>'BTX Recycling HC'!E317/('BTX Recycling HC'!E$309)</f>
        <v>6.642011060592086E-2</v>
      </c>
      <c r="BS110" s="168">
        <f>'BTX Recycling HC'!F317/('BTX Recycling HC'!F$309)</f>
        <v>6.7649151559137713E-2</v>
      </c>
      <c r="BT110" s="168">
        <f>'BTX Recycling HC'!G317/('BTX Recycling HC'!G$309)</f>
        <v>6.8863590305452235E-2</v>
      </c>
      <c r="BU110" s="168">
        <f>'BTX Recycling HC'!H317/('BTX Recycling HC'!H$309)</f>
        <v>7.0063008543236452E-2</v>
      </c>
      <c r="BV110" s="168">
        <f>'BTX Recycling HC'!I317/('BTX Recycling HC'!I$309)</f>
        <v>7.1260557214883738E-2</v>
      </c>
      <c r="BW110" s="168">
        <f>'BTX Recycling HC'!J317/('BTX Recycling HC'!J$309)</f>
        <v>7.2456129961046625E-2</v>
      </c>
      <c r="BX110" s="168">
        <f>'BTX Recycling HC'!K317/('BTX Recycling HC'!K$309)</f>
        <v>7.3649618867960509E-2</v>
      </c>
      <c r="BY110" s="168">
        <f>'BTX Recycling HC'!L317/('BTX Recycling HC'!L$309)</f>
        <v>7.4840914201538003E-2</v>
      </c>
      <c r="BZ110" s="168">
        <f>'BTX Recycling HC'!M317/('BTX Recycling HC'!M$309)</f>
        <v>7.6029904139308047E-2</v>
      </c>
      <c r="CA110" s="168">
        <f>'BTX Recycling HC'!N317/('BTX Recycling HC'!N$309)</f>
        <v>7.7206850310270789E-2</v>
      </c>
      <c r="CB110" s="168">
        <f>'BTX Recycling HC'!O317/('BTX Recycling HC'!O$309)</f>
        <v>7.8371216058441384E-2</v>
      </c>
      <c r="CC110" s="168">
        <f>'BTX Recycling HC'!P317/('BTX Recycling HC'!P$309)</f>
        <v>7.9522392506866921E-2</v>
      </c>
      <c r="CD110" s="168">
        <f>'BTX Recycling HC'!Q317/('BTX Recycling HC'!Q$309)</f>
        <v>8.0659692515901785E-2</v>
      </c>
      <c r="CE110" s="168">
        <f>'BTX Recycling HC'!R317/('BTX Recycling HC'!R$309)</f>
        <v>8.1782343849739259E-2</v>
      </c>
      <c r="CF110" s="168">
        <f>'BTX Recycling HC'!S317/('BTX Recycling HC'!S$309)</f>
        <v>8.2902748804436918E-2</v>
      </c>
      <c r="CG110" s="168">
        <f>'BTX Recycling HC'!T317/('BTX Recycling HC'!T$309)</f>
        <v>8.4020846369328536E-2</v>
      </c>
      <c r="CH110" s="168">
        <f>'BTX Recycling HC'!U317/('BTX Recycling HC'!U$309)</f>
        <v>8.5136574138328744E-2</v>
      </c>
      <c r="CI110" s="168">
        <f>'BTX Recycling HC'!V317/('BTX Recycling HC'!V$309)</f>
        <v>8.6249868266388641E-2</v>
      </c>
      <c r="CJ110" s="168">
        <f>'BTX Recycling HC'!W317/('BTX Recycling HC'!W$309)</f>
        <v>8.7360663424692467E-2</v>
      </c>
      <c r="CK110" s="168">
        <f>'BTX Recycling HC'!X317/('BTX Recycling HC'!X$309)</f>
        <v>8.8468982312928213E-2</v>
      </c>
      <c r="CL110" s="168">
        <f>'BTX Recycling HC'!Y317/('BTX Recycling HC'!Y$309)</f>
        <v>8.9574761952590981E-2</v>
      </c>
      <c r="CM110" s="168">
        <f>'BTX Recycling HC'!Z317/('BTX Recycling HC'!Z$309)</f>
        <v>9.0677937925240412E-2</v>
      </c>
      <c r="CN110" s="168">
        <f>'BTX Recycling HC'!AA317/('BTX Recycling HC'!AA$309)</f>
        <v>9.1778444330233841E-2</v>
      </c>
      <c r="CO110" s="168">
        <f>'BTX Recycling HC'!AB317/('BTX Recycling HC'!AB$309)</f>
        <v>9.2876213741257471E-2</v>
      </c>
      <c r="CP110" s="168">
        <f>'BTX Recycling HC'!AC317/('BTX Recycling HC'!AC$309)</f>
        <v>9.3971261891163477E-2</v>
      </c>
      <c r="CQ110" s="168">
        <f>'BTX Recycling HC'!AD317/('BTX Recycling HC'!AD$309)</f>
        <v>9.5063523230229166E-2</v>
      </c>
      <c r="CR110" s="168">
        <f>'BTX Recycling HC'!AE317/('BTX Recycling HC'!AE$309)</f>
        <v>9.6152930718444982E-2</v>
      </c>
      <c r="CS110" s="168">
        <f>'BTX Recycling HC'!AF317/('BTX Recycling HC'!AF$309)</f>
        <v>9.7239415783933164E-2</v>
      </c>
      <c r="CT110" s="168">
        <f>'BTX Recycling HC'!AG317/('BTX Recycling HC'!AG$309)</f>
        <v>9.832290828020733E-2</v>
      </c>
      <c r="CV110" s="168">
        <f t="shared" si="841"/>
        <v>6.3919388676909383E-2</v>
      </c>
      <c r="CW110" s="168">
        <f t="shared" si="811"/>
        <v>6.3387548425864693E-2</v>
      </c>
      <c r="CX110" s="168">
        <f t="shared" si="812"/>
        <v>6.2758905845308771E-2</v>
      </c>
      <c r="CY110" s="168">
        <f t="shared" si="813"/>
        <v>6.212883380126473E-2</v>
      </c>
      <c r="CZ110" s="168">
        <f t="shared" si="814"/>
        <v>6.1497264234939543E-2</v>
      </c>
      <c r="DA110" s="168">
        <f t="shared" si="815"/>
        <v>6.0864131678576044E-2</v>
      </c>
      <c r="DB110" s="168">
        <f t="shared" si="816"/>
        <v>6.0229374937956409E-2</v>
      </c>
      <c r="DC110" s="168">
        <f t="shared" si="817"/>
        <v>5.9592933975200567E-2</v>
      </c>
      <c r="DD110" s="168">
        <f t="shared" si="818"/>
        <v>5.8954751347787632E-2</v>
      </c>
      <c r="DE110" s="168">
        <f t="shared" si="819"/>
        <v>5.8314772208998791E-2</v>
      </c>
      <c r="DF110" s="168">
        <f t="shared" si="820"/>
        <v>5.76729443083175E-2</v>
      </c>
      <c r="DG110" s="168">
        <f t="shared" si="821"/>
        <v>5.670664562787215E-2</v>
      </c>
      <c r="DH110" s="168">
        <f t="shared" si="822"/>
        <v>5.5737100174648405E-2</v>
      </c>
      <c r="DI110" s="168">
        <f t="shared" si="823"/>
        <v>5.4764248287367374E-2</v>
      </c>
      <c r="DJ110" s="168">
        <f t="shared" si="824"/>
        <v>5.3787874410248848E-2</v>
      </c>
      <c r="DK110" s="168">
        <f t="shared" si="825"/>
        <v>5.2807869939798607E-2</v>
      </c>
      <c r="DL110" s="168">
        <f t="shared" si="826"/>
        <v>5.1824134809924753E-2</v>
      </c>
      <c r="DM110" s="168">
        <f t="shared" si="827"/>
        <v>5.0836572854111084E-2</v>
      </c>
      <c r="DN110" s="168">
        <f t="shared" si="828"/>
        <v>4.9845093926737964E-2</v>
      </c>
      <c r="DO110" s="168">
        <f t="shared" si="829"/>
        <v>4.8849613988627125E-2</v>
      </c>
      <c r="DP110" s="168">
        <f t="shared" si="830"/>
        <v>4.7850054920507999E-2</v>
      </c>
      <c r="DQ110" s="168">
        <f t="shared" si="831"/>
        <v>4.641999233803569E-2</v>
      </c>
      <c r="DR110" s="168">
        <f t="shared" si="832"/>
        <v>4.4983514730294327E-2</v>
      </c>
      <c r="DS110" s="168">
        <f t="shared" si="833"/>
        <v>4.3539560175895803E-2</v>
      </c>
      <c r="DT110" s="168">
        <f t="shared" si="834"/>
        <v>4.208875595181228E-2</v>
      </c>
      <c r="DU110" s="168">
        <f t="shared" si="835"/>
        <v>4.0630992449276475E-2</v>
      </c>
      <c r="DV110" s="168">
        <f t="shared" si="836"/>
        <v>3.9166167347347181E-2</v>
      </c>
      <c r="DW110" s="168">
        <f t="shared" si="837"/>
        <v>3.7694184561034981E-2</v>
      </c>
      <c r="DX110" s="168">
        <f t="shared" si="838"/>
        <v>3.6214954134896546E-2</v>
      </c>
      <c r="DY110" s="168">
        <f t="shared" si="839"/>
        <v>3.4728394110538158E-2</v>
      </c>
      <c r="DZ110" s="168">
        <f t="shared" si="840"/>
        <v>3.3234435074959712E-2</v>
      </c>
    </row>
    <row r="111" spans="1:165" ht="16" thickBot="1">
      <c r="A111" s="606" t="s">
        <v>454</v>
      </c>
      <c r="C111" s="54" t="s">
        <v>462</v>
      </c>
      <c r="D111" s="168">
        <f>'BTX Recycling HC'!C342/('BTX Recycling HC'!C$319)</f>
        <v>4.5656706197792413E-2</v>
      </c>
      <c r="E111" s="168">
        <f>'BTX Recycling HC'!D342/('BTX Recycling HC'!D$319)</f>
        <v>4.4886876397263034E-2</v>
      </c>
      <c r="F111" s="168">
        <f>'BTX Recycling HC'!E342/('BTX Recycling HC'!E$319)</f>
        <v>4.4051924295264805E-2</v>
      </c>
      <c r="G111" s="168">
        <f>'BTX Recycling HC'!F342/('BTX Recycling HC'!F$319)</f>
        <v>4.3220058296531985E-2</v>
      </c>
      <c r="H111" s="168">
        <f>'BTX Recycling HC'!G342/('BTX Recycling HC'!G$319)</f>
        <v>4.2391318064861239E-2</v>
      </c>
      <c r="I111" s="168">
        <f>'BTX Recycling HC'!H342/('BTX Recycling HC'!H$319)</f>
        <v>4.1565748463417797E-2</v>
      </c>
      <c r="J111" s="168">
        <f>'BTX Recycling HC'!I342/('BTX Recycling HC'!I$319)</f>
        <v>4.0743400693323453E-2</v>
      </c>
      <c r="K111" s="168">
        <f>'BTX Recycling HC'!J342/('BTX Recycling HC'!J$319)</f>
        <v>3.9924330150873294E-2</v>
      </c>
      <c r="L111" s="168">
        <f>'BTX Recycling HC'!K342/('BTX Recycling HC'!K$319)</f>
        <v>3.9108597428730407E-2</v>
      </c>
      <c r="M111" s="168">
        <f>'BTX Recycling HC'!L342/('BTX Recycling HC'!L$319)</f>
        <v>3.8296268316357414E-2</v>
      </c>
      <c r="N111" s="168">
        <f>'BTX Recycling HC'!M342/('BTX Recycling HC'!M$319)</f>
        <v>3.7487413800406377E-2</v>
      </c>
      <c r="O111" s="168">
        <f>'BTX Recycling HC'!N342/('BTX Recycling HC'!N$319)</f>
        <v>3.6474626333505705E-2</v>
      </c>
      <c r="P111" s="168">
        <f>'BTX Recycling HC'!O342/('BTX Recycling HC'!O$319)</f>
        <v>3.5469063747503533E-2</v>
      </c>
      <c r="Q111" s="168">
        <f>'BTX Recycling HC'!P342/('BTX Recycling HC'!P$319)</f>
        <v>3.4471044500616325E-2</v>
      </c>
      <c r="R111" s="168">
        <f>'BTX Recycling HC'!Q342/('BTX Recycling HC'!Q$319)</f>
        <v>3.3480514560733733E-2</v>
      </c>
      <c r="S111" s="168">
        <f>'BTX Recycling HC'!R342/('BTX Recycling HC'!R$319)</f>
        <v>3.249763026029702E-2</v>
      </c>
      <c r="T111" s="168">
        <f>'BTX Recycling HC'!S342/('BTX Recycling HC'!S$319)</f>
        <v>3.1522560750067888E-2</v>
      </c>
      <c r="U111" s="168">
        <f>'BTX Recycling HC'!T342/('BTX Recycling HC'!T$319)</f>
        <v>3.0555484806727914E-2</v>
      </c>
      <c r="V111" s="168">
        <f>'BTX Recycling HC'!U342/('BTX Recycling HC'!U$319)</f>
        <v>2.9596592248029664E-2</v>
      </c>
      <c r="W111" s="168">
        <f>'BTX Recycling HC'!V342/('BTX Recycling HC'!V$319)</f>
        <v>2.8646083929329987E-2</v>
      </c>
      <c r="X111" s="168">
        <f>'BTX Recycling HC'!W342/('BTX Recycling HC'!W$319)</f>
        <v>2.7704171740097351E-2</v>
      </c>
      <c r="Y111" s="168">
        <f>'BTX Recycling HC'!X342/('BTX Recycling HC'!X$319)</f>
        <v>2.6527501316065731E-2</v>
      </c>
      <c r="Z111" s="168">
        <f>'BTX Recycling HC'!Y342/('BTX Recycling HC'!Y$319)</f>
        <v>2.5365135767904907E-2</v>
      </c>
      <c r="AA111" s="168">
        <f>'BTX Recycling HC'!Z342/('BTX Recycling HC'!Z$319)</f>
        <v>2.4217573224003495E-2</v>
      </c>
      <c r="AB111" s="168">
        <f>'BTX Recycling HC'!AA342/('BTX Recycling HC'!AA$319)</f>
        <v>2.3085023387990448E-2</v>
      </c>
      <c r="AC111" s="168">
        <f>'BTX Recycling HC'!AB342/('BTX Recycling HC'!AB$319)</f>
        <v>2.1967885891509026E-2</v>
      </c>
      <c r="AD111" s="168">
        <f>'BTX Recycling HC'!AC342/('BTX Recycling HC'!AC$319)</f>
        <v>2.0866579005652069E-2</v>
      </c>
      <c r="AE111" s="168">
        <f>'BTX Recycling HC'!AD342/('BTX Recycling HC'!AD$319)</f>
        <v>1.9781539590113882E-2</v>
      </c>
      <c r="AF111" s="168">
        <f>'BTX Recycling HC'!AE342/('BTX Recycling HC'!AE$319)</f>
        <v>1.8713223092848605E-2</v>
      </c>
      <c r="AG111" s="168">
        <f>'BTX Recycling HC'!AF342/('BTX Recycling HC'!AF$319)</f>
        <v>1.7662103534124098E-2</v>
      </c>
      <c r="AH111" s="168">
        <f>'BTX Recycling HC'!AG342/('BTX Recycling HC'!AG$319)</f>
        <v>1.6628673490543068E-2</v>
      </c>
      <c r="AI111" s="44"/>
      <c r="AJ111" s="168">
        <f>'BTX Recycling LC'!C342/('BTX Recycling LC'!C$319)</f>
        <v>4.5656706197792413E-2</v>
      </c>
      <c r="AK111" s="168">
        <f>'BTX Recycling LC'!D342/('BTX Recycling LC'!D$319)</f>
        <v>4.4886876397263034E-2</v>
      </c>
      <c r="AL111" s="168">
        <f>'BTX Recycling LC'!E342/('BTX Recycling LC'!E$319)</f>
        <v>4.4051924295264805E-2</v>
      </c>
      <c r="AM111" s="168">
        <f>'BTX Recycling LC'!F342/('BTX Recycling LC'!F$319)</f>
        <v>4.3220058296531985E-2</v>
      </c>
      <c r="AN111" s="168">
        <f>'BTX Recycling LC'!G342/('BTX Recycling LC'!G$319)</f>
        <v>4.2391318064861239E-2</v>
      </c>
      <c r="AO111" s="168">
        <f>'BTX Recycling LC'!H342/('BTX Recycling LC'!H$319)</f>
        <v>4.1565748463417797E-2</v>
      </c>
      <c r="AP111" s="168">
        <f>'BTX Recycling LC'!I342/('BTX Recycling LC'!I$319)</f>
        <v>4.0743400693323453E-2</v>
      </c>
      <c r="AQ111" s="168">
        <f>'BTX Recycling LC'!J342/('BTX Recycling LC'!J$319)</f>
        <v>3.9924330150873294E-2</v>
      </c>
      <c r="AR111" s="168">
        <f>'BTX Recycling LC'!K342/('BTX Recycling LC'!K$319)</f>
        <v>3.9108597428730407E-2</v>
      </c>
      <c r="AS111" s="168">
        <f>'BTX Recycling LC'!L342/('BTX Recycling LC'!L$319)</f>
        <v>3.8296268316357414E-2</v>
      </c>
      <c r="AT111" s="168">
        <f>'BTX Recycling LC'!M342/('BTX Recycling LC'!M$319)</f>
        <v>3.7487413800406377E-2</v>
      </c>
      <c r="AU111" s="168">
        <f>'BTX Recycling LC'!N342/('BTX Recycling LC'!N$319)</f>
        <v>3.6474626333505705E-2</v>
      </c>
      <c r="AV111" s="168">
        <f>'BTX Recycling LC'!O342/('BTX Recycling LC'!O$319)</f>
        <v>3.5469063747503533E-2</v>
      </c>
      <c r="AW111" s="168">
        <f>'BTX Recycling LC'!P342/('BTX Recycling LC'!P$319)</f>
        <v>3.4471044500616325E-2</v>
      </c>
      <c r="AX111" s="168">
        <f>'BTX Recycling LC'!Q342/('BTX Recycling LC'!Q$319)</f>
        <v>3.3480514560733733E-2</v>
      </c>
      <c r="AY111" s="168">
        <f>'BTX Recycling LC'!R342/('BTX Recycling LC'!R$319)</f>
        <v>3.249763026029702E-2</v>
      </c>
      <c r="AZ111" s="168">
        <f>'BTX Recycling LC'!S342/('BTX Recycling LC'!S$319)</f>
        <v>3.1522560750067888E-2</v>
      </c>
      <c r="BA111" s="168">
        <f>'BTX Recycling LC'!T342/('BTX Recycling LC'!T$319)</f>
        <v>3.0555484806727914E-2</v>
      </c>
      <c r="BB111" s="168">
        <f>'BTX Recycling LC'!U342/('BTX Recycling LC'!U$319)</f>
        <v>2.9596592248029664E-2</v>
      </c>
      <c r="BC111" s="168">
        <f>'BTX Recycling LC'!V342/('BTX Recycling LC'!V$319)</f>
        <v>2.8646083929329987E-2</v>
      </c>
      <c r="BD111" s="168">
        <f>'BTX Recycling LC'!W342/('BTX Recycling LC'!W$319)</f>
        <v>2.7704171740097351E-2</v>
      </c>
      <c r="BE111" s="168">
        <f>'BTX Recycling LC'!X342/('BTX Recycling LC'!X$319)</f>
        <v>2.6527501316065731E-2</v>
      </c>
      <c r="BF111" s="168">
        <f>'BTX Recycling LC'!Y342/('BTX Recycling LC'!Y$319)</f>
        <v>2.5365135767904907E-2</v>
      </c>
      <c r="BG111" s="168">
        <f>'BTX Recycling LC'!Z342/('BTX Recycling LC'!Z$319)</f>
        <v>2.4217573224003495E-2</v>
      </c>
      <c r="BH111" s="168">
        <f>'BTX Recycling LC'!AA342/('BTX Recycling LC'!AA$319)</f>
        <v>2.3085023387990448E-2</v>
      </c>
      <c r="BI111" s="168">
        <f>'BTX Recycling LC'!AB342/('BTX Recycling LC'!AB$319)</f>
        <v>2.1967885891509026E-2</v>
      </c>
      <c r="BJ111" s="168">
        <f>'BTX Recycling LC'!AC342/('BTX Recycling LC'!AC$319)</f>
        <v>2.0866579005652069E-2</v>
      </c>
      <c r="BK111" s="168">
        <f>'BTX Recycling LC'!AD342/('BTX Recycling LC'!AD$319)</f>
        <v>1.9781539590113882E-2</v>
      </c>
      <c r="BL111" s="168">
        <f>'BTX Recycling LC'!AE342/('BTX Recycling LC'!AE$319)</f>
        <v>1.8713223092848605E-2</v>
      </c>
      <c r="BM111" s="168">
        <f>'BTX Recycling LC'!AF342/('BTX Recycling LC'!AF$319)</f>
        <v>1.7662103534124098E-2</v>
      </c>
      <c r="BN111" s="168">
        <f>'BTX Recycling LC'!AG342/('BTX Recycling LC'!AG$319)</f>
        <v>1.6628673490543068E-2</v>
      </c>
      <c r="BP111" s="168">
        <f>'BTX Recycling HC'!C318/('BTX Recycling HC'!C$309)</f>
        <v>4.5656706197792413E-2</v>
      </c>
      <c r="BQ111" s="168">
        <f>'BTX Recycling HC'!D318/('BTX Recycling HC'!D$309)</f>
        <v>4.6398065735895958E-2</v>
      </c>
      <c r="BR111" s="168">
        <f>'BTX Recycling HC'!E318/('BTX Recycling HC'!E$309)</f>
        <v>4.7128975540230607E-2</v>
      </c>
      <c r="BS111" s="168">
        <f>'BTX Recycling HC'!F318/('BTX Recycling HC'!F$309)</f>
        <v>4.7849399883292537E-2</v>
      </c>
      <c r="BT111" s="168">
        <f>'BTX Recycling HC'!G318/('BTX Recycling HC'!G$309)</f>
        <v>4.8559227977379292E-2</v>
      </c>
      <c r="BU111" s="168">
        <f>'BTX Recycling HC'!H318/('BTX Recycling HC'!H$309)</f>
        <v>4.9258272381926087E-2</v>
      </c>
      <c r="BV111" s="168">
        <f>'BTX Recycling HC'!I318/('BTX Recycling HC'!I$309)</f>
        <v>4.995585454239275E-2</v>
      </c>
      <c r="BW111" s="168">
        <f>'BTX Recycling HC'!J318/('BTX Recycling HC'!J$309)</f>
        <v>5.0651918408948081E-2</v>
      </c>
      <c r="BX111" s="168">
        <f>'BTX Recycling HC'!K318/('BTX Recycling HC'!K$309)</f>
        <v>5.134640649862806E-2</v>
      </c>
      <c r="BY111" s="168">
        <f>'BTX Recycling HC'!L318/('BTX Recycling HC'!L$309)</f>
        <v>5.2039259751929391E-2</v>
      </c>
      <c r="BZ111" s="168">
        <f>'BTX Recycling HC'!M318/('BTX Recycling HC'!M$309)</f>
        <v>5.2730417386939475E-2</v>
      </c>
      <c r="CA111" s="168">
        <f>'BTX Recycling HC'!N318/('BTX Recycling HC'!N$309)</f>
        <v>5.3413158554603567E-2</v>
      </c>
      <c r="CB111" s="168">
        <f>'BTX Recycling HC'!O318/('BTX Recycling HC'!O$309)</f>
        <v>5.4087177279769437E-2</v>
      </c>
      <c r="CC111" s="168">
        <f>'BTX Recycling HC'!P318/('BTX Recycling HC'!P$309)</f>
        <v>5.4752117585684046E-2</v>
      </c>
      <c r="CD111" s="168">
        <f>'BTX Recycling HC'!Q318/('BTX Recycling HC'!Q$309)</f>
        <v>5.5407569934935605E-2</v>
      </c>
      <c r="CE111" s="168">
        <f>'BTX Recycling HC'!R318/('BTX Recycling HC'!R$309)</f>
        <v>5.6053067132967399E-2</v>
      </c>
      <c r="CF111" s="168">
        <f>'BTX Recycling HC'!S318/('BTX Recycling HC'!S$309)</f>
        <v>5.6697153170538139E-2</v>
      </c>
      <c r="CG111" s="168">
        <f>'BTX Recycling HC'!T318/('BTX Recycling HC'!T$309)</f>
        <v>5.7339791003686018E-2</v>
      </c>
      <c r="CH111" s="168">
        <f>'BTX Recycling HC'!U318/('BTX Recycling HC'!U$309)</f>
        <v>5.7980942732137726E-2</v>
      </c>
      <c r="CI111" s="168">
        <f>'BTX Recycling HC'!V318/('BTX Recycling HC'!V$309)</f>
        <v>5.8620569572974325E-2</v>
      </c>
      <c r="CJ111" s="168">
        <f>'BTX Recycling HC'!W318/('BTX Recycling HC'!W$309)</f>
        <v>5.9258631833532707E-2</v>
      </c>
      <c r="CK111" s="168">
        <f>'BTX Recycling HC'!X318/('BTX Recycling HC'!X$309)</f>
        <v>5.9895149516206114E-2</v>
      </c>
      <c r="CL111" s="168">
        <f>'BTX Recycling HC'!Y318/('BTX Recycling HC'!Y$309)</f>
        <v>6.0530084371233202E-2</v>
      </c>
      <c r="CM111" s="168">
        <f>'BTX Recycling HC'!Z318/('BTX Recycling HC'!Z$309)</f>
        <v>6.11633972690089E-2</v>
      </c>
      <c r="CN111" s="168">
        <f>'BTX Recycling HC'!AA318/('BTX Recycling HC'!AA$309)</f>
        <v>6.1795048174539971E-2</v>
      </c>
      <c r="CO111" s="168">
        <f>'BTX Recycling HC'!AB318/('BTX Recycling HC'!AB$309)</f>
        <v>6.2424996121173131E-2</v>
      </c>
      <c r="CP111" s="168">
        <f>'BTX Recycling HC'!AC318/('BTX Recycling HC'!AC$309)</f>
        <v>6.3053256035780741E-2</v>
      </c>
      <c r="CQ111" s="168">
        <f>'BTX Recycling HC'!AD318/('BTX Recycling HC'!AD$309)</f>
        <v>6.3679788113915572E-2</v>
      </c>
      <c r="CR111" s="168">
        <f>'BTX Recycling HC'!AE318/('BTX Recycling HC'!AE$309)</f>
        <v>6.4304551643561886E-2</v>
      </c>
      <c r="CS111" s="168">
        <f>'BTX Recycling HC'!AF318/('BTX Recycling HC'!AF$309)</f>
        <v>6.4927504980027903E-2</v>
      </c>
      <c r="CT111" s="168">
        <f>'BTX Recycling HC'!AG318/('BTX Recycling HC'!AG$309)</f>
        <v>6.5548605520138206E-2</v>
      </c>
      <c r="CV111" s="168">
        <f t="shared" si="841"/>
        <v>4.5656706197792413E-2</v>
      </c>
      <c r="CW111" s="168">
        <f t="shared" si="811"/>
        <v>4.4886876397263041E-2</v>
      </c>
      <c r="CX111" s="168">
        <f t="shared" si="812"/>
        <v>4.4051924295264805E-2</v>
      </c>
      <c r="CY111" s="168">
        <f t="shared" si="813"/>
        <v>4.3220058296531985E-2</v>
      </c>
      <c r="CZ111" s="168">
        <f t="shared" si="814"/>
        <v>4.2391318064861239E-2</v>
      </c>
      <c r="DA111" s="168">
        <f t="shared" si="815"/>
        <v>4.1565748463417804E-2</v>
      </c>
      <c r="DB111" s="168">
        <f t="shared" si="816"/>
        <v>4.0743400693323453E-2</v>
      </c>
      <c r="DC111" s="168">
        <f t="shared" si="817"/>
        <v>3.9924330150873294E-2</v>
      </c>
      <c r="DD111" s="168">
        <f t="shared" si="818"/>
        <v>3.9108597428730407E-2</v>
      </c>
      <c r="DE111" s="168">
        <f t="shared" si="819"/>
        <v>3.8296268316357414E-2</v>
      </c>
      <c r="DF111" s="168">
        <f t="shared" si="820"/>
        <v>3.7487413800406377E-2</v>
      </c>
      <c r="DG111" s="168">
        <f t="shared" si="821"/>
        <v>3.6474626333505705E-2</v>
      </c>
      <c r="DH111" s="168">
        <f t="shared" si="822"/>
        <v>3.5469063747503533E-2</v>
      </c>
      <c r="DI111" s="168">
        <f t="shared" si="823"/>
        <v>3.4470897399155098E-2</v>
      </c>
      <c r="DJ111" s="168">
        <f t="shared" si="824"/>
        <v>3.3480207541073267E-2</v>
      </c>
      <c r="DK111" s="168">
        <f t="shared" si="825"/>
        <v>3.2497150732183767E-2</v>
      </c>
      <c r="DL111" s="168">
        <f t="shared" si="826"/>
        <v>3.1521896430778976E-2</v>
      </c>
      <c r="DM111" s="168">
        <f t="shared" si="827"/>
        <v>3.0554624098843967E-2</v>
      </c>
      <c r="DN111" s="168">
        <f t="shared" si="828"/>
        <v>2.959552451900066E-2</v>
      </c>
      <c r="DO111" s="168">
        <f t="shared" si="829"/>
        <v>2.8644799825791822E-2</v>
      </c>
      <c r="DP111" s="168">
        <f t="shared" si="830"/>
        <v>2.7702663375030946E-2</v>
      </c>
      <c r="DQ111" s="168">
        <f t="shared" si="831"/>
        <v>2.6525709907448965E-2</v>
      </c>
      <c r="DR111" s="168">
        <f t="shared" si="832"/>
        <v>2.5363045539421262E-2</v>
      </c>
      <c r="DS111" s="168">
        <f t="shared" si="833"/>
        <v>2.4214514750230814E-2</v>
      </c>
      <c r="DT111" s="168">
        <f t="shared" si="834"/>
        <v>2.3080930683251885E-2</v>
      </c>
      <c r="DU111" s="168">
        <f t="shared" si="835"/>
        <v>2.1962698621230511E-2</v>
      </c>
      <c r="DV111" s="168">
        <f t="shared" si="836"/>
        <v>2.0860241304565333E-2</v>
      </c>
      <c r="DW111" s="168">
        <f t="shared" si="837"/>
        <v>1.977399845824784E-2</v>
      </c>
      <c r="DX111" s="168">
        <f t="shared" si="838"/>
        <v>1.8704426860880613E-2</v>
      </c>
      <c r="DY111" s="168">
        <f t="shared" si="839"/>
        <v>1.7652001426350868E-2</v>
      </c>
      <c r="DZ111" s="168">
        <f t="shared" si="840"/>
        <v>1.6617217537479856E-2</v>
      </c>
    </row>
    <row r="112" spans="1:165" s="624" customFormat="1" ht="16" thickBot="1">
      <c r="A112" s="623" t="s">
        <v>463</v>
      </c>
      <c r="C112" s="625" t="s">
        <v>413</v>
      </c>
      <c r="D112" s="627">
        <f>SUMPRODUCT(D93:D101,D103:D111)</f>
        <v>1.0242296100586308</v>
      </c>
      <c r="E112" s="627">
        <f t="shared" ref="E112" si="842">SUMPRODUCT(E93:E101,E103:E111)</f>
        <v>1.023553184178029</v>
      </c>
      <c r="F112" s="627">
        <f t="shared" ref="F112" si="843">SUMPRODUCT(F93:F101,F103:F111)</f>
        <v>1.0220729502886692</v>
      </c>
      <c r="G112" s="627">
        <f t="shared" ref="G112" si="844">SUMPRODUCT(G93:G101,G103:G111)</f>
        <v>1.02059075474547</v>
      </c>
      <c r="H112" s="627">
        <f t="shared" ref="H112" si="845">SUMPRODUCT(H93:H101,H103:H111)</f>
        <v>1.0190923075065772</v>
      </c>
      <c r="I112" s="627">
        <f t="shared" ref="I112" si="846">SUMPRODUCT(I93:I101,I103:I111)</f>
        <v>1.0175558888232386</v>
      </c>
      <c r="J112" s="627">
        <f t="shared" ref="J112" si="847">SUMPRODUCT(J93:J101,J103:J111)</f>
        <v>1.015944205490106</v>
      </c>
      <c r="K112" s="627">
        <f t="shared" ref="K112" si="848">SUMPRODUCT(K93:K101,K103:K111)</f>
        <v>1.0141882160524671</v>
      </c>
      <c r="L112" s="627">
        <f t="shared" ref="L112" si="849">SUMPRODUCT(L93:L101,L103:L111)</f>
        <v>1.0121570372200828</v>
      </c>
      <c r="M112" s="627">
        <f t="shared" ref="M112" si="850">SUMPRODUCT(M93:M101,M103:M111)</f>
        <v>1.00960621818681</v>
      </c>
      <c r="N112" s="627">
        <f t="shared" ref="N112" si="851">SUMPRODUCT(N93:N101,N103:N111)</f>
        <v>1.0061015385490044</v>
      </c>
      <c r="O112" s="627">
        <f t="shared" ref="O112" si="852">SUMPRODUCT(O93:O101,O103:O111)</f>
        <v>0.99693769250149855</v>
      </c>
      <c r="P112" s="627">
        <f t="shared" ref="P112" si="853">SUMPRODUCT(P93:P101,P103:P111)</f>
        <v>0.98477263668397419</v>
      </c>
      <c r="Q112" s="627">
        <f t="shared" ref="Q112" si="854">SUMPRODUCT(Q93:Q101,Q103:Q111)</f>
        <v>0.96823642926700515</v>
      </c>
      <c r="R112" s="627">
        <f t="shared" ref="R112" si="855">SUMPRODUCT(R93:R101,R103:R111)</f>
        <v>0.94591113760896284</v>
      </c>
      <c r="S112" s="627">
        <f t="shared" ref="S112" si="856">SUMPRODUCT(S93:S101,S103:S111)</f>
        <v>0.91680909402980726</v>
      </c>
      <c r="T112" s="627">
        <f t="shared" ref="T112" si="857">SUMPRODUCT(T93:T101,T103:T111)</f>
        <v>0.88085454538549701</v>
      </c>
      <c r="U112" s="627">
        <f t="shared" ref="U112" si="858">SUMPRODUCT(U93:U101,U103:U111)</f>
        <v>0.83908790701308567</v>
      </c>
      <c r="V112" s="627">
        <f t="shared" ref="V112" si="859">SUMPRODUCT(V93:V101,V103:V111)</f>
        <v>0.79339527287546141</v>
      </c>
      <c r="W112" s="627">
        <f t="shared" ref="W112" si="860">SUMPRODUCT(W93:W101,W103:W111)</f>
        <v>0.74592686109119022</v>
      </c>
      <c r="X112" s="627">
        <f t="shared" ref="X112" si="861">SUMPRODUCT(X93:X101,X103:X111)</f>
        <v>0.69853696800808895</v>
      </c>
      <c r="Y112" s="627">
        <f t="shared" ref="Y112" si="862">SUMPRODUCT(Y93:Y101,Y103:Y111)</f>
        <v>0.64745053619009796</v>
      </c>
      <c r="Z112" s="627">
        <f t="shared" ref="Z112" si="863">SUMPRODUCT(Z93:Z101,Z103:Z111)</f>
        <v>0.59953470299789957</v>
      </c>
      <c r="AA112" s="627">
        <f t="shared" ref="AA112" si="864">SUMPRODUCT(AA93:AA101,AA103:AA111)</f>
        <v>0.55406106799889276</v>
      </c>
      <c r="AB112" s="627">
        <f t="shared" ref="AB112" si="865">SUMPRODUCT(AB93:AB101,AB103:AB111)</f>
        <v>0.51071980089774094</v>
      </c>
      <c r="AC112" s="627">
        <f t="shared" ref="AC112" si="866">SUMPRODUCT(AC93:AC101,AC103:AC111)</f>
        <v>0.46916159980200545</v>
      </c>
      <c r="AD112" s="627">
        <f t="shared" ref="AD112" si="867">SUMPRODUCT(AD93:AD101,AD103:AD111)</f>
        <v>0.4290067400797033</v>
      </c>
      <c r="AE112" s="627">
        <f t="shared" ref="AE112" si="868">SUMPRODUCT(AE93:AE101,AE103:AE111)</f>
        <v>0.38988714358529908</v>
      </c>
      <c r="AF112" s="627">
        <f t="shared" ref="AF112" si="869">SUMPRODUCT(AF93:AF101,AF103:AF111)</f>
        <v>0.35145488466069574</v>
      </c>
      <c r="AG112" s="627">
        <f t="shared" ref="AG112" si="870">SUMPRODUCT(AG93:AG101,AG103:AG111)</f>
        <v>0.31338153988424694</v>
      </c>
      <c r="AH112" s="627">
        <f t="shared" ref="AH112" si="871">SUMPRODUCT(AH93:AH101,AH103:AH111)</f>
        <v>0.27537074525767918</v>
      </c>
      <c r="AI112" s="626"/>
      <c r="AJ112" s="627">
        <f>SUMPRODUCT(AJ93:AJ101,AJ103:AJ111)</f>
        <v>1.0242292391497747</v>
      </c>
      <c r="AK112" s="627">
        <f t="shared" ref="AK112" si="872">SUMPRODUCT(AK93:AK101,AK103:AK111)</f>
        <v>1.023552422103843</v>
      </c>
      <c r="AL112" s="627">
        <f t="shared" ref="AL112" si="873">SUMPRODUCT(AL93:AL101,AL103:AL111)</f>
        <v>1.0220714264300073</v>
      </c>
      <c r="AM112" s="627">
        <f t="shared" ref="AM112" si="874">SUMPRODUCT(AM93:AM101,AM103:AM111)</f>
        <v>1.0205877367141993</v>
      </c>
      <c r="AN112" s="627">
        <f t="shared" ref="AN112" si="875">SUMPRODUCT(AN93:AN101,AN103:AN111)</f>
        <v>1.0190863927744929</v>
      </c>
      <c r="AO112" s="627">
        <f t="shared" ref="AO112" si="876">SUMPRODUCT(AO93:AO101,AO103:AO111)</f>
        <v>1.017544434585073</v>
      </c>
      <c r="AP112" s="627">
        <f t="shared" ref="AP112" si="877">SUMPRODUCT(AP93:AP101,AP103:AP111)</f>
        <v>1.0159223310086665</v>
      </c>
      <c r="AQ112" s="627">
        <f t="shared" ref="AQ112" si="878">SUMPRODUCT(AQ93:AQ101,AQ103:AQ111)</f>
        <v>1.0141471351147546</v>
      </c>
      <c r="AR112" s="627">
        <f t="shared" ref="AR112" si="879">SUMPRODUCT(AR93:AR101,AR103:AR111)</f>
        <v>1.0120814457972258</v>
      </c>
      <c r="AS112" s="627">
        <f t="shared" ref="AS112" si="880">SUMPRODUCT(AS93:AS101,AS103:AS111)</f>
        <v>1.0094705738246856</v>
      </c>
      <c r="AT112" s="627">
        <f t="shared" ref="AT112" si="881">SUMPRODUCT(AT93:AT101,AT103:AT111)</f>
        <v>1.0058644772336118</v>
      </c>
      <c r="AU112" s="627">
        <f t="shared" ref="AU112" si="882">SUMPRODUCT(AU93:AU101,AU103:AU111)</f>
        <v>0.99655708705672752</v>
      </c>
      <c r="AV112" s="627">
        <f t="shared" ref="AV112" si="883">SUMPRODUCT(AV93:AV101,AV103:AV111)</f>
        <v>0.98418452682974622</v>
      </c>
      <c r="AW112" s="627">
        <f t="shared" ref="AW112" si="884">SUMPRODUCT(AW93:AW101,AW103:AW111)</f>
        <v>0.96737011810620066</v>
      </c>
      <c r="AX112" s="627">
        <f t="shared" ref="AX112" si="885">SUMPRODUCT(AX93:AX101,AX103:AX111)</f>
        <v>0.94469851539150096</v>
      </c>
      <c r="AY112" s="627">
        <f t="shared" ref="AY112" si="886">SUMPRODUCT(AY93:AY101,AY103:AY111)</f>
        <v>0.91519677697514212</v>
      </c>
      <c r="AZ112" s="627">
        <f t="shared" ref="AZ112" si="887">SUMPRODUCT(AZ93:AZ101,AZ103:AZ111)</f>
        <v>0.87881726379483682</v>
      </c>
      <c r="BA112" s="627">
        <f t="shared" ref="BA112" si="888">SUMPRODUCT(BA93:BA101,BA103:BA111)</f>
        <v>0.8366367204991072</v>
      </c>
      <c r="BB112" s="627">
        <f t="shared" ref="BB112" si="889">SUMPRODUCT(BB93:BB101,BB103:BB111)</f>
        <v>0.79058293964534476</v>
      </c>
      <c r="BC112" s="627">
        <f t="shared" ref="BC112" si="890">SUMPRODUCT(BC93:BC101,BC103:BC111)</f>
        <v>0.74284579156831554</v>
      </c>
      <c r="BD112" s="627">
        <f t="shared" ref="BD112" si="891">SUMPRODUCT(BD93:BD101,BD103:BD111)</f>
        <v>0.69530861872629512</v>
      </c>
      <c r="BE112" s="627">
        <f t="shared" ref="BE112" si="892">SUMPRODUCT(BE93:BE101,BE103:BE111)</f>
        <v>0.64441231546874</v>
      </c>
      <c r="BF112" s="627">
        <f t="shared" ref="BF112" si="893">SUMPRODUCT(BF93:BF101,BF103:BF111)</f>
        <v>0.5964329974307595</v>
      </c>
      <c r="BG112" s="627">
        <f t="shared" ref="BG112" si="894">SUMPRODUCT(BG93:BG101,BG103:BG111)</f>
        <v>0.55098787422914131</v>
      </c>
      <c r="BH112" s="627">
        <f t="shared" ref="BH112" si="895">SUMPRODUCT(BH93:BH101,BH103:BH111)</f>
        <v>0.50780000130341907</v>
      </c>
      <c r="BI112" s="627">
        <f t="shared" ref="BI112" si="896">SUMPRODUCT(BI93:BI101,BI103:BI111)</f>
        <v>0.46651283276934619</v>
      </c>
      <c r="BJ112" s="627">
        <f t="shared" ref="BJ112" si="897">SUMPRODUCT(BJ93:BJ101,BJ103:BJ111)</f>
        <v>0.42674178785031769</v>
      </c>
      <c r="BK112" s="627">
        <f t="shared" ref="BK112" si="898">SUMPRODUCT(BK93:BK101,BK103:BK111)</f>
        <v>0.38812412346444636</v>
      </c>
      <c r="BL112" s="627">
        <f t="shared" ref="BL112" si="899">SUMPRODUCT(BL93:BL101,BL103:BL111)</f>
        <v>0.35033463007691545</v>
      </c>
      <c r="BM112" s="627">
        <f t="shared" ref="BM112" si="900">SUMPRODUCT(BM93:BM101,BM103:BM111)</f>
        <v>0.31308742176668841</v>
      </c>
      <c r="BN112" s="627">
        <f t="shared" ref="BN112" si="901">SUMPRODUCT(BN93:BN101,BN103:BN111)</f>
        <v>0.27614099758063648</v>
      </c>
      <c r="BP112" s="627">
        <f>SUMPRODUCT(BP93:BP101,BP103:BP111)</f>
        <v>1.0242287414357147</v>
      </c>
      <c r="BQ112" s="627">
        <f t="shared" ref="BQ112" si="902">SUMPRODUCT(BQ93:BQ101,BQ103:BQ111)</f>
        <v>1.0367894740985055</v>
      </c>
      <c r="BR112" s="627">
        <f t="shared" ref="BR112" si="903">SUMPRODUCT(BR93:BR101,BR103:BR111)</f>
        <v>1.0492351774033923</v>
      </c>
      <c r="BS112" s="627">
        <f t="shared" ref="BS112" si="904">SUMPRODUCT(BS93:BS101,BS103:BS111)</f>
        <v>1.0615625701361142</v>
      </c>
      <c r="BT112" s="627">
        <f t="shared" ref="BT112" si="905">SUMPRODUCT(BT93:BT101,BT103:BT111)</f>
        <v>1.0737676005067862</v>
      </c>
      <c r="BU112" s="627">
        <f t="shared" ref="BU112" si="906">SUMPRODUCT(BU93:BU101,BU103:BU111)</f>
        <v>1.0858453896055433</v>
      </c>
      <c r="BV112" s="627">
        <f t="shared" ref="BV112" si="907">SUMPRODUCT(BV93:BV101,BV103:BV111)</f>
        <v>1.0979087613315364</v>
      </c>
      <c r="BW112" s="627">
        <f t="shared" ref="BW112" si="908">SUMPRODUCT(BW93:BW101,BW103:BW111)</f>
        <v>1.1099565744178548</v>
      </c>
      <c r="BX112" s="627">
        <f t="shared" ref="BX112" si="909">SUMPRODUCT(BX93:BX101,BX103:BX111)</f>
        <v>1.1219876781823543</v>
      </c>
      <c r="BY112" s="627">
        <f t="shared" ref="BY112" si="910">SUMPRODUCT(BY93:BY101,BY103:BY111)</f>
        <v>1.134000909713194</v>
      </c>
      <c r="BZ112" s="627">
        <f t="shared" ref="BZ112" si="911">SUMPRODUCT(BZ93:BZ101,BZ103:BZ111)</f>
        <v>1.1459950910469576</v>
      </c>
      <c r="CA112" s="627">
        <f t="shared" ref="CA112" si="912">SUMPRODUCT(CA93:CA101,CA103:CA111)</f>
        <v>1.1578845249057599</v>
      </c>
      <c r="CB112" s="627">
        <f t="shared" ref="CB112" si="913">SUMPRODUCT(CB93:CB101,CB103:CB111)</f>
        <v>1.1696637268874732</v>
      </c>
      <c r="CC112" s="627">
        <f t="shared" ref="CC112" si="914">SUMPRODUCT(CC93:CC101,CC103:CC111)</f>
        <v>1.1813265789288967</v>
      </c>
      <c r="CD112" s="627">
        <f t="shared" ref="CD112" si="915">SUMPRODUCT(CD93:CD101,CD103:CD111)</f>
        <v>1.1928662689148528</v>
      </c>
      <c r="CE112" s="627">
        <f t="shared" ref="CE112" si="916">SUMPRODUCT(CE93:CE101,CE103:CE111)</f>
        <v>1.2042752232136511</v>
      </c>
      <c r="CF112" s="627">
        <f t="shared" ref="CF112" si="917">SUMPRODUCT(CF93:CF101,CF103:CF111)</f>
        <v>1.2156627630549517</v>
      </c>
      <c r="CG112" s="627">
        <f t="shared" ref="CG112" si="918">SUMPRODUCT(CG93:CG101,CG103:CG111)</f>
        <v>1.227028291657573</v>
      </c>
      <c r="CH112" s="627">
        <f t="shared" ref="CH112" si="919">SUMPRODUCT(CH93:CH101,CH103:CH111)</f>
        <v>1.2383711986980193</v>
      </c>
      <c r="CI112" s="627">
        <f t="shared" ref="CI112" si="920">SUMPRODUCT(CI93:CI101,CI103:CI111)</f>
        <v>1.2496908598833045</v>
      </c>
      <c r="CJ112" s="627">
        <f t="shared" ref="CJ112" si="921">SUMPRODUCT(CJ93:CJ101,CJ103:CJ111)</f>
        <v>1.2609866365114673</v>
      </c>
      <c r="CK112" s="627">
        <f t="shared" ref="CK112" si="922">SUMPRODUCT(CK93:CK101,CK103:CK111)</f>
        <v>1.2722586770337725</v>
      </c>
      <c r="CL112" s="627">
        <f t="shared" ref="CL112" si="923">SUMPRODUCT(CL93:CL101,CL103:CL111)</f>
        <v>1.2835063655503984</v>
      </c>
      <c r="CM112" s="627">
        <f t="shared" ref="CM112" si="924">SUMPRODUCT(CM93:CM101,CM103:CM111)</f>
        <v>1.2947290721423941</v>
      </c>
      <c r="CN112" s="627">
        <f t="shared" ref="CN112" si="925">SUMPRODUCT(CN93:CN101,CN103:CN111)</f>
        <v>1.3059261524568386</v>
      </c>
      <c r="CO112" s="627">
        <f t="shared" ref="CO112" si="926">SUMPRODUCT(CO93:CO101,CO103:CO111)</f>
        <v>1.3170969472802148</v>
      </c>
      <c r="CP112" s="627">
        <f t="shared" ref="CP112" si="927">SUMPRODUCT(CP93:CP101,CP103:CP111)</f>
        <v>1.3282415469198408</v>
      </c>
      <c r="CQ112" s="627">
        <f t="shared" ref="CQ112" si="928">SUMPRODUCT(CQ93:CQ101,CQ103:CQ111)</f>
        <v>1.3393593102485739</v>
      </c>
      <c r="CR112" s="627">
        <f t="shared" ref="CR112" si="929">SUMPRODUCT(CR93:CR101,CR103:CR111)</f>
        <v>1.3504495815939397</v>
      </c>
      <c r="CS112" s="627">
        <f t="shared" ref="CS112" si="930">SUMPRODUCT(CS93:CS101,CS103:CS111)</f>
        <v>1.3615116903297519</v>
      </c>
      <c r="CT112" s="627">
        <f t="shared" ref="CT112" si="931">SUMPRODUCT(CT93:CT101,CT103:CT111)</f>
        <v>1.3725449504563496</v>
      </c>
      <c r="CV112" s="627">
        <f>SUMPRODUCT(CV93:CV101,CV103:CV111)</f>
        <v>1.0242292391497747</v>
      </c>
      <c r="CW112" s="627">
        <f t="shared" ref="CW112:DZ112" si="932">SUMPRODUCT(CW93:CW101,CW103:CW111)</f>
        <v>1.023552422103843</v>
      </c>
      <c r="CX112" s="627">
        <f t="shared" si="932"/>
        <v>1.0220714264300073</v>
      </c>
      <c r="CY112" s="627">
        <f t="shared" si="932"/>
        <v>1.0205877367141993</v>
      </c>
      <c r="CZ112" s="627">
        <f t="shared" si="932"/>
        <v>1.0190863927744929</v>
      </c>
      <c r="DA112" s="627">
        <f t="shared" si="932"/>
        <v>1.0175444345850733</v>
      </c>
      <c r="DB112" s="627">
        <f t="shared" si="932"/>
        <v>1.0159223310086667</v>
      </c>
      <c r="DC112" s="627">
        <f t="shared" si="932"/>
        <v>1.0141471351147546</v>
      </c>
      <c r="DD112" s="627">
        <f t="shared" si="932"/>
        <v>1.0120814457972258</v>
      </c>
      <c r="DE112" s="627">
        <f t="shared" si="932"/>
        <v>1.0094705738246856</v>
      </c>
      <c r="DF112" s="627">
        <f t="shared" si="932"/>
        <v>1.0058644772336118</v>
      </c>
      <c r="DG112" s="627">
        <f t="shared" si="932"/>
        <v>0.99655708705672752</v>
      </c>
      <c r="DH112" s="627">
        <f t="shared" si="932"/>
        <v>0.98418452682974622</v>
      </c>
      <c r="DI112" s="627">
        <f t="shared" si="932"/>
        <v>0.96736969213462842</v>
      </c>
      <c r="DJ112" s="627">
        <f t="shared" si="932"/>
        <v>0.94469744486074869</v>
      </c>
      <c r="DK112" s="627">
        <f t="shared" si="932"/>
        <v>0.91519491303708123</v>
      </c>
      <c r="DL112" s="627">
        <f t="shared" si="932"/>
        <v>0.87881452157165718</v>
      </c>
      <c r="DM112" s="627">
        <f t="shared" si="932"/>
        <v>0.83663304081477186</v>
      </c>
      <c r="DN112" s="627">
        <f t="shared" si="932"/>
        <v>0.79057822203630301</v>
      </c>
      <c r="DO112" s="627">
        <f t="shared" si="932"/>
        <v>0.74283983316898117</v>
      </c>
      <c r="DP112" s="627">
        <f t="shared" si="932"/>
        <v>0.69530107859782797</v>
      </c>
      <c r="DQ112" s="627">
        <f t="shared" si="932"/>
        <v>0.64440184720257987</v>
      </c>
      <c r="DR112" s="627">
        <f t="shared" si="932"/>
        <v>0.59641944906458089</v>
      </c>
      <c r="DS112" s="627">
        <f t="shared" si="932"/>
        <v>0.55096116539996465</v>
      </c>
      <c r="DT112" s="627">
        <f t="shared" si="932"/>
        <v>0.50775821191800774</v>
      </c>
      <c r="DU112" s="627">
        <f t="shared" si="932"/>
        <v>0.46645376179498321</v>
      </c>
      <c r="DV112" s="627">
        <f t="shared" si="932"/>
        <v>0.42666295037287283</v>
      </c>
      <c r="DW112" s="627">
        <f t="shared" si="932"/>
        <v>0.38802271924020748</v>
      </c>
      <c r="DX112" s="627">
        <f t="shared" si="932"/>
        <v>0.3502074720225592</v>
      </c>
      <c r="DY112" s="627">
        <f t="shared" si="932"/>
        <v>0.31293083818363776</v>
      </c>
      <c r="DZ112" s="627">
        <f t="shared" si="932"/>
        <v>0.27595075641023215</v>
      </c>
      <c r="EK112" s="627"/>
      <c r="EL112" s="627"/>
      <c r="EM112" s="627"/>
      <c r="EN112" s="627"/>
      <c r="EO112" s="627"/>
      <c r="EP112" s="627"/>
      <c r="EQ112" s="627"/>
      <c r="ER112" s="627"/>
      <c r="ES112" s="627"/>
      <c r="ET112" s="627"/>
      <c r="EU112" s="627"/>
      <c r="EV112" s="627"/>
      <c r="EW112" s="627"/>
      <c r="EX112" s="627"/>
      <c r="EY112" s="627"/>
      <c r="EZ112" s="627"/>
      <c r="FA112" s="627"/>
      <c r="FB112" s="627"/>
      <c r="FC112" s="627"/>
      <c r="FD112" s="627"/>
      <c r="FE112" s="627"/>
      <c r="FF112" s="627"/>
      <c r="FG112" s="627"/>
      <c r="FH112" s="627"/>
      <c r="FI112" s="627"/>
    </row>
    <row r="113" spans="1:165">
      <c r="A113" s="112"/>
      <c r="C113" s="5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row>
    <row r="114" spans="1:165" s="69" customFormat="1" ht="16" thickBot="1">
      <c r="A114" s="621" t="s">
        <v>8</v>
      </c>
      <c r="C114" s="70"/>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c r="BK114" s="71"/>
      <c r="BL114" s="71"/>
      <c r="BM114" s="71"/>
      <c r="BN114" s="71"/>
      <c r="BP114" s="71"/>
      <c r="BQ114" s="71"/>
      <c r="BR114" s="71"/>
      <c r="BS114" s="71"/>
      <c r="BT114" s="71"/>
      <c r="BU114" s="71"/>
      <c r="BV114" s="71"/>
      <c r="BW114" s="71"/>
      <c r="BX114" s="71"/>
      <c r="BY114" s="71"/>
      <c r="BZ114" s="71"/>
      <c r="CA114" s="71"/>
      <c r="CB114" s="71"/>
      <c r="CC114" s="71"/>
      <c r="CD114" s="71"/>
      <c r="CE114" s="71"/>
      <c r="CF114" s="71"/>
      <c r="CG114" s="71"/>
      <c r="CH114" s="71"/>
      <c r="CI114" s="71"/>
      <c r="CJ114" s="71"/>
      <c r="CK114" s="71"/>
      <c r="CL114" s="71"/>
      <c r="CM114" s="71"/>
      <c r="CN114" s="71"/>
      <c r="CO114" s="71"/>
      <c r="CP114" s="71"/>
      <c r="CQ114" s="71"/>
      <c r="CR114" s="71"/>
      <c r="CS114" s="71"/>
      <c r="CT114" s="71"/>
      <c r="CV114" s="71"/>
      <c r="CW114" s="71"/>
      <c r="CX114" s="71"/>
      <c r="CY114" s="71"/>
      <c r="CZ114" s="71"/>
      <c r="DA114" s="71"/>
      <c r="DB114" s="71"/>
      <c r="DC114" s="71"/>
      <c r="DD114" s="71"/>
      <c r="DE114" s="71"/>
      <c r="DF114" s="71"/>
      <c r="DG114" s="71"/>
      <c r="DH114" s="71"/>
      <c r="DI114" s="71"/>
      <c r="DJ114" s="71"/>
      <c r="DK114" s="71"/>
      <c r="DL114" s="71"/>
      <c r="DM114" s="71"/>
      <c r="DN114" s="71"/>
      <c r="DO114" s="71"/>
      <c r="DP114" s="71"/>
      <c r="DQ114" s="71"/>
      <c r="DR114" s="71"/>
      <c r="DS114" s="71"/>
      <c r="DT114" s="71"/>
      <c r="DU114" s="71"/>
      <c r="DV114" s="71"/>
      <c r="DW114" s="71"/>
      <c r="DX114" s="71"/>
      <c r="DY114" s="71"/>
      <c r="DZ114" s="71"/>
      <c r="EK114" s="622"/>
      <c r="EL114" s="622"/>
      <c r="EM114" s="622"/>
      <c r="EN114" s="622"/>
      <c r="EO114" s="622"/>
      <c r="EP114" s="622"/>
      <c r="EQ114" s="622"/>
      <c r="ER114" s="622"/>
      <c r="ES114" s="622"/>
      <c r="ET114" s="622"/>
      <c r="EU114" s="622"/>
      <c r="EV114" s="622"/>
      <c r="EW114" s="622"/>
      <c r="EX114" s="622"/>
      <c r="EY114" s="622"/>
      <c r="EZ114" s="622"/>
      <c r="FA114" s="622"/>
      <c r="FB114" s="622"/>
      <c r="FC114" s="622"/>
      <c r="FD114" s="622"/>
      <c r="FE114" s="622"/>
      <c r="FF114" s="622"/>
      <c r="FG114" s="622"/>
      <c r="FH114" s="622"/>
      <c r="FI114" s="622"/>
    </row>
    <row r="115" spans="1:165" s="624" customFormat="1" ht="16" thickBot="1">
      <c r="A115" s="623" t="s">
        <v>108</v>
      </c>
      <c r="C115" s="625"/>
      <c r="D115" s="628">
        <v>2020</v>
      </c>
      <c r="E115" s="628">
        <v>2021</v>
      </c>
      <c r="F115" s="628">
        <v>2022</v>
      </c>
      <c r="G115" s="628">
        <v>2023</v>
      </c>
      <c r="H115" s="628">
        <v>2024</v>
      </c>
      <c r="I115" s="628">
        <v>2025</v>
      </c>
      <c r="J115" s="628">
        <v>2026</v>
      </c>
      <c r="K115" s="628">
        <v>2027</v>
      </c>
      <c r="L115" s="628">
        <v>2028</v>
      </c>
      <c r="M115" s="628">
        <v>2029</v>
      </c>
      <c r="N115" s="628">
        <v>2030</v>
      </c>
      <c r="O115" s="628">
        <v>2031</v>
      </c>
      <c r="P115" s="628">
        <v>2032</v>
      </c>
      <c r="Q115" s="628">
        <v>2033</v>
      </c>
      <c r="R115" s="628">
        <v>2034</v>
      </c>
      <c r="S115" s="628">
        <v>2035</v>
      </c>
      <c r="T115" s="628">
        <v>2036</v>
      </c>
      <c r="U115" s="628">
        <v>2037</v>
      </c>
      <c r="V115" s="628">
        <v>2038</v>
      </c>
      <c r="W115" s="628">
        <v>2039</v>
      </c>
      <c r="X115" s="628">
        <v>2040</v>
      </c>
      <c r="Y115" s="628">
        <v>2041</v>
      </c>
      <c r="Z115" s="628">
        <v>2042</v>
      </c>
      <c r="AA115" s="628">
        <v>2043</v>
      </c>
      <c r="AB115" s="628">
        <v>2044</v>
      </c>
      <c r="AC115" s="628">
        <v>2045</v>
      </c>
      <c r="AD115" s="628">
        <v>2046</v>
      </c>
      <c r="AE115" s="628">
        <v>2047</v>
      </c>
      <c r="AF115" s="628">
        <v>2048</v>
      </c>
      <c r="AG115" s="628">
        <v>2049</v>
      </c>
      <c r="AH115" s="628">
        <v>2050</v>
      </c>
      <c r="AI115" s="626"/>
      <c r="AJ115" s="628">
        <v>2020</v>
      </c>
      <c r="AK115" s="628">
        <v>2021</v>
      </c>
      <c r="AL115" s="628">
        <v>2022</v>
      </c>
      <c r="AM115" s="628">
        <v>2023</v>
      </c>
      <c r="AN115" s="628">
        <v>2024</v>
      </c>
      <c r="AO115" s="628">
        <v>2025</v>
      </c>
      <c r="AP115" s="628">
        <v>2026</v>
      </c>
      <c r="AQ115" s="628">
        <v>2027</v>
      </c>
      <c r="AR115" s="628">
        <v>2028</v>
      </c>
      <c r="AS115" s="628">
        <v>2029</v>
      </c>
      <c r="AT115" s="628">
        <v>2030</v>
      </c>
      <c r="AU115" s="628">
        <v>2031</v>
      </c>
      <c r="AV115" s="628">
        <v>2032</v>
      </c>
      <c r="AW115" s="628">
        <v>2033</v>
      </c>
      <c r="AX115" s="628">
        <v>2034</v>
      </c>
      <c r="AY115" s="628">
        <v>2035</v>
      </c>
      <c r="AZ115" s="628">
        <v>2036</v>
      </c>
      <c r="BA115" s="628">
        <v>2037</v>
      </c>
      <c r="BB115" s="628">
        <v>2038</v>
      </c>
      <c r="BC115" s="628">
        <v>2039</v>
      </c>
      <c r="BD115" s="628">
        <v>2040</v>
      </c>
      <c r="BE115" s="628">
        <v>2041</v>
      </c>
      <c r="BF115" s="628">
        <v>2042</v>
      </c>
      <c r="BG115" s="628">
        <v>2043</v>
      </c>
      <c r="BH115" s="628">
        <v>2044</v>
      </c>
      <c r="BI115" s="628">
        <v>2045</v>
      </c>
      <c r="BJ115" s="628">
        <v>2046</v>
      </c>
      <c r="BK115" s="628">
        <v>2047</v>
      </c>
      <c r="BL115" s="628">
        <v>2048</v>
      </c>
      <c r="BM115" s="628">
        <v>2049</v>
      </c>
      <c r="BN115" s="628">
        <v>2050</v>
      </c>
      <c r="BP115" s="628">
        <v>2020</v>
      </c>
      <c r="BQ115" s="628">
        <v>2021</v>
      </c>
      <c r="BR115" s="628">
        <v>2022</v>
      </c>
      <c r="BS115" s="628">
        <v>2023</v>
      </c>
      <c r="BT115" s="628">
        <v>2024</v>
      </c>
      <c r="BU115" s="628">
        <v>2025</v>
      </c>
      <c r="BV115" s="628">
        <v>2026</v>
      </c>
      <c r="BW115" s="628">
        <v>2027</v>
      </c>
      <c r="BX115" s="628">
        <v>2028</v>
      </c>
      <c r="BY115" s="628">
        <v>2029</v>
      </c>
      <c r="BZ115" s="628">
        <v>2030</v>
      </c>
      <c r="CA115" s="628">
        <v>2031</v>
      </c>
      <c r="CB115" s="628">
        <v>2032</v>
      </c>
      <c r="CC115" s="628">
        <v>2033</v>
      </c>
      <c r="CD115" s="628">
        <v>2034</v>
      </c>
      <c r="CE115" s="628">
        <v>2035</v>
      </c>
      <c r="CF115" s="628">
        <v>2036</v>
      </c>
      <c r="CG115" s="628">
        <v>2037</v>
      </c>
      <c r="CH115" s="628">
        <v>2038</v>
      </c>
      <c r="CI115" s="628">
        <v>2039</v>
      </c>
      <c r="CJ115" s="628">
        <v>2040</v>
      </c>
      <c r="CK115" s="628">
        <v>2041</v>
      </c>
      <c r="CL115" s="628">
        <v>2042</v>
      </c>
      <c r="CM115" s="628">
        <v>2043</v>
      </c>
      <c r="CN115" s="628">
        <v>2044</v>
      </c>
      <c r="CO115" s="628">
        <v>2045</v>
      </c>
      <c r="CP115" s="628">
        <v>2046</v>
      </c>
      <c r="CQ115" s="628">
        <v>2047</v>
      </c>
      <c r="CR115" s="628">
        <v>2048</v>
      </c>
      <c r="CS115" s="628">
        <v>2049</v>
      </c>
      <c r="CT115" s="628">
        <v>2050</v>
      </c>
      <c r="CV115" s="628">
        <v>2020</v>
      </c>
      <c r="CW115" s="628">
        <v>2021</v>
      </c>
      <c r="CX115" s="628">
        <v>2022</v>
      </c>
      <c r="CY115" s="628">
        <v>2023</v>
      </c>
      <c r="CZ115" s="628">
        <v>2024</v>
      </c>
      <c r="DA115" s="628">
        <v>2025</v>
      </c>
      <c r="DB115" s="628">
        <v>2026</v>
      </c>
      <c r="DC115" s="628">
        <v>2027</v>
      </c>
      <c r="DD115" s="628">
        <v>2028</v>
      </c>
      <c r="DE115" s="628">
        <v>2029</v>
      </c>
      <c r="DF115" s="628">
        <v>2030</v>
      </c>
      <c r="DG115" s="628">
        <v>2031</v>
      </c>
      <c r="DH115" s="628">
        <v>2032</v>
      </c>
      <c r="DI115" s="628">
        <v>2033</v>
      </c>
      <c r="DJ115" s="628">
        <v>2034</v>
      </c>
      <c r="DK115" s="628">
        <v>2035</v>
      </c>
      <c r="DL115" s="628">
        <v>2036</v>
      </c>
      <c r="DM115" s="628">
        <v>2037</v>
      </c>
      <c r="DN115" s="628">
        <v>2038</v>
      </c>
      <c r="DO115" s="628">
        <v>2039</v>
      </c>
      <c r="DP115" s="628">
        <v>2040</v>
      </c>
      <c r="DQ115" s="628">
        <v>2041</v>
      </c>
      <c r="DR115" s="628">
        <v>2042</v>
      </c>
      <c r="DS115" s="628">
        <v>2043</v>
      </c>
      <c r="DT115" s="628">
        <v>2044</v>
      </c>
      <c r="DU115" s="628">
        <v>2045</v>
      </c>
      <c r="DV115" s="628">
        <v>2046</v>
      </c>
      <c r="DW115" s="628">
        <v>2047</v>
      </c>
      <c r="DX115" s="628">
        <v>2048</v>
      </c>
      <c r="DY115" s="628">
        <v>2049</v>
      </c>
      <c r="DZ115" s="628">
        <v>2050</v>
      </c>
      <c r="EK115" s="627"/>
      <c r="EL115" s="627"/>
      <c r="EM115" s="627"/>
      <c r="EN115" s="627"/>
      <c r="EO115" s="627"/>
      <c r="EP115" s="627"/>
      <c r="EQ115" s="627"/>
      <c r="ER115" s="627"/>
      <c r="ES115" s="627"/>
      <c r="ET115" s="627"/>
      <c r="EU115" s="627"/>
      <c r="EV115" s="627"/>
      <c r="EW115" s="627"/>
      <c r="EX115" s="627"/>
      <c r="EY115" s="627"/>
      <c r="EZ115" s="627"/>
      <c r="FA115" s="627"/>
      <c r="FB115" s="627"/>
      <c r="FC115" s="627"/>
      <c r="FD115" s="627"/>
      <c r="FE115" s="627"/>
      <c r="FF115" s="627"/>
      <c r="FG115" s="627"/>
      <c r="FH115" s="627"/>
      <c r="FI115" s="627"/>
    </row>
    <row r="116" spans="1:165">
      <c r="A116" s="606" t="s">
        <v>193</v>
      </c>
      <c r="C116" s="54" t="s">
        <v>458</v>
      </c>
      <c r="D116" s="43">
        <f>$B$186</f>
        <v>0.48</v>
      </c>
      <c r="E116" s="43">
        <f>D116-($D116-$AH116)/30</f>
        <v>0.46399999999999997</v>
      </c>
      <c r="F116" s="43">
        <f t="shared" ref="F116:AG116" si="933">E116-($D116-$AH116)/30</f>
        <v>0.44799999999999995</v>
      </c>
      <c r="G116" s="43">
        <f t="shared" si="933"/>
        <v>0.43199999999999994</v>
      </c>
      <c r="H116" s="43">
        <f t="shared" si="933"/>
        <v>0.41599999999999993</v>
      </c>
      <c r="I116" s="43">
        <f t="shared" si="933"/>
        <v>0.39999999999999991</v>
      </c>
      <c r="J116" s="43">
        <f t="shared" si="933"/>
        <v>0.3839999999999999</v>
      </c>
      <c r="K116" s="43">
        <f t="shared" si="933"/>
        <v>0.36799999999999988</v>
      </c>
      <c r="L116" s="43">
        <f t="shared" si="933"/>
        <v>0.35199999999999987</v>
      </c>
      <c r="M116" s="43">
        <f t="shared" si="933"/>
        <v>0.33599999999999985</v>
      </c>
      <c r="N116" s="43">
        <f t="shared" si="933"/>
        <v>0.31999999999999984</v>
      </c>
      <c r="O116" s="43">
        <f t="shared" si="933"/>
        <v>0.30399999999999983</v>
      </c>
      <c r="P116" s="43">
        <f t="shared" si="933"/>
        <v>0.28799999999999981</v>
      </c>
      <c r="Q116" s="43">
        <f t="shared" si="933"/>
        <v>0.2719999999999998</v>
      </c>
      <c r="R116" s="43">
        <f t="shared" si="933"/>
        <v>0.25599999999999978</v>
      </c>
      <c r="S116" s="43">
        <f t="shared" si="933"/>
        <v>0.23999999999999977</v>
      </c>
      <c r="T116" s="43">
        <f t="shared" si="933"/>
        <v>0.22399999999999975</v>
      </c>
      <c r="U116" s="43">
        <f t="shared" si="933"/>
        <v>0.20799999999999974</v>
      </c>
      <c r="V116" s="43">
        <f t="shared" si="933"/>
        <v>0.19199999999999973</v>
      </c>
      <c r="W116" s="43">
        <f t="shared" si="933"/>
        <v>0.17599999999999971</v>
      </c>
      <c r="X116" s="43">
        <f t="shared" si="933"/>
        <v>0.1599999999999997</v>
      </c>
      <c r="Y116" s="43">
        <f t="shared" si="933"/>
        <v>0.14399999999999968</v>
      </c>
      <c r="Z116" s="43">
        <f t="shared" si="933"/>
        <v>0.12799999999999967</v>
      </c>
      <c r="AA116" s="43">
        <f t="shared" si="933"/>
        <v>0.11199999999999967</v>
      </c>
      <c r="AB116" s="43">
        <f t="shared" si="933"/>
        <v>9.5999999999999669E-2</v>
      </c>
      <c r="AC116" s="43">
        <f t="shared" si="933"/>
        <v>7.9999999999999669E-2</v>
      </c>
      <c r="AD116" s="43">
        <f t="shared" si="933"/>
        <v>6.3999999999999668E-2</v>
      </c>
      <c r="AE116" s="43">
        <f t="shared" si="933"/>
        <v>4.7999999999999668E-2</v>
      </c>
      <c r="AF116" s="43">
        <f t="shared" si="933"/>
        <v>3.1999999999999668E-2</v>
      </c>
      <c r="AG116" s="43">
        <f t="shared" si="933"/>
        <v>1.5999999999999667E-2</v>
      </c>
      <c r="AH116" s="43">
        <f>$C$186</f>
        <v>0</v>
      </c>
      <c r="AI116" s="44"/>
      <c r="AJ116" s="43">
        <f>D116</f>
        <v>0.48</v>
      </c>
      <c r="AK116" s="43">
        <f t="shared" ref="AK116:AK124" si="934">E116</f>
        <v>0.46399999999999997</v>
      </c>
      <c r="AL116" s="43">
        <f t="shared" ref="AL116:AL124" si="935">F116</f>
        <v>0.44799999999999995</v>
      </c>
      <c r="AM116" s="43">
        <f t="shared" ref="AM116:AM124" si="936">G116</f>
        <v>0.43199999999999994</v>
      </c>
      <c r="AN116" s="43">
        <f t="shared" ref="AN116:AN124" si="937">H116</f>
        <v>0.41599999999999993</v>
      </c>
      <c r="AO116" s="43">
        <f t="shared" ref="AO116:AO124" si="938">I116</f>
        <v>0.39999999999999991</v>
      </c>
      <c r="AP116" s="43">
        <f t="shared" ref="AP116:AP124" si="939">J116</f>
        <v>0.3839999999999999</v>
      </c>
      <c r="AQ116" s="43">
        <f t="shared" ref="AQ116:AQ124" si="940">K116</f>
        <v>0.36799999999999988</v>
      </c>
      <c r="AR116" s="43">
        <f t="shared" ref="AR116:AR124" si="941">L116</f>
        <v>0.35199999999999987</v>
      </c>
      <c r="AS116" s="43">
        <f t="shared" ref="AS116:AS124" si="942">M116</f>
        <v>0.33599999999999985</v>
      </c>
      <c r="AT116" s="43">
        <f t="shared" ref="AT116:AT124" si="943">N116</f>
        <v>0.31999999999999984</v>
      </c>
      <c r="AU116" s="43">
        <f t="shared" ref="AU116:AU124" si="944">O116</f>
        <v>0.30399999999999983</v>
      </c>
      <c r="AV116" s="43">
        <f t="shared" ref="AV116:AV124" si="945">P116</f>
        <v>0.28799999999999981</v>
      </c>
      <c r="AW116" s="43">
        <f t="shared" ref="AW116:AW124" si="946">Q116</f>
        <v>0.2719999999999998</v>
      </c>
      <c r="AX116" s="43">
        <f t="shared" ref="AX116:AX124" si="947">R116</f>
        <v>0.25599999999999978</v>
      </c>
      <c r="AY116" s="43">
        <f t="shared" ref="AY116:AY124" si="948">S116</f>
        <v>0.23999999999999977</v>
      </c>
      <c r="AZ116" s="43">
        <f t="shared" ref="AZ116:AZ124" si="949">T116</f>
        <v>0.22399999999999975</v>
      </c>
      <c r="BA116" s="43">
        <f t="shared" ref="BA116:BA124" si="950">U116</f>
        <v>0.20799999999999974</v>
      </c>
      <c r="BB116" s="43">
        <f t="shared" ref="BB116:BB124" si="951">V116</f>
        <v>0.19199999999999973</v>
      </c>
      <c r="BC116" s="43">
        <f t="shared" ref="BC116:BC124" si="952">W116</f>
        <v>0.17599999999999971</v>
      </c>
      <c r="BD116" s="43">
        <f t="shared" ref="BD116:BD124" si="953">X116</f>
        <v>0.1599999999999997</v>
      </c>
      <c r="BE116" s="43">
        <f t="shared" ref="BE116:BE124" si="954">Y116</f>
        <v>0.14399999999999968</v>
      </c>
      <c r="BF116" s="43">
        <f t="shared" ref="BF116:BF124" si="955">Z116</f>
        <v>0.12799999999999967</v>
      </c>
      <c r="BG116" s="43">
        <f t="shared" ref="BG116:BG124" si="956">AA116</f>
        <v>0.11199999999999967</v>
      </c>
      <c r="BH116" s="43">
        <f t="shared" ref="BH116:BH124" si="957">AB116</f>
        <v>9.5999999999999669E-2</v>
      </c>
      <c r="BI116" s="43">
        <f t="shared" ref="BI116:BI124" si="958">AC116</f>
        <v>7.9999999999999669E-2</v>
      </c>
      <c r="BJ116" s="43">
        <f t="shared" ref="BJ116:BJ124" si="959">AD116</f>
        <v>6.3999999999999668E-2</v>
      </c>
      <c r="BK116" s="43">
        <f t="shared" ref="BK116:BK124" si="960">AE116</f>
        <v>4.7999999999999668E-2</v>
      </c>
      <c r="BL116" s="43">
        <f t="shared" ref="BL116:BL124" si="961">AF116</f>
        <v>3.1999999999999668E-2</v>
      </c>
      <c r="BM116" s="43">
        <f t="shared" ref="BM116:BM124" si="962">AG116</f>
        <v>1.5999999999999667E-2</v>
      </c>
      <c r="BN116" s="43">
        <f t="shared" ref="BN116:BN124" si="963">AH116</f>
        <v>0</v>
      </c>
      <c r="BP116" s="43">
        <f>D116</f>
        <v>0.48</v>
      </c>
      <c r="BQ116" s="43">
        <f>BP116-($BP116-$CT116)/30</f>
        <v>0.48</v>
      </c>
      <c r="BR116" s="43">
        <f t="shared" ref="BR116:CS116" si="964">BQ116-($BP116-$CT116)/30</f>
        <v>0.48</v>
      </c>
      <c r="BS116" s="43">
        <f t="shared" si="964"/>
        <v>0.48</v>
      </c>
      <c r="BT116" s="43">
        <f t="shared" si="964"/>
        <v>0.48</v>
      </c>
      <c r="BU116" s="43">
        <f t="shared" si="964"/>
        <v>0.48</v>
      </c>
      <c r="BV116" s="43">
        <f t="shared" si="964"/>
        <v>0.48</v>
      </c>
      <c r="BW116" s="43">
        <f t="shared" si="964"/>
        <v>0.48</v>
      </c>
      <c r="BX116" s="43">
        <f t="shared" si="964"/>
        <v>0.48</v>
      </c>
      <c r="BY116" s="43">
        <f t="shared" si="964"/>
        <v>0.48</v>
      </c>
      <c r="BZ116" s="43">
        <f t="shared" si="964"/>
        <v>0.48</v>
      </c>
      <c r="CA116" s="43">
        <f t="shared" si="964"/>
        <v>0.48</v>
      </c>
      <c r="CB116" s="43">
        <f t="shared" si="964"/>
        <v>0.48</v>
      </c>
      <c r="CC116" s="43">
        <f t="shared" si="964"/>
        <v>0.48</v>
      </c>
      <c r="CD116" s="43">
        <f t="shared" si="964"/>
        <v>0.48</v>
      </c>
      <c r="CE116" s="43">
        <f t="shared" si="964"/>
        <v>0.48</v>
      </c>
      <c r="CF116" s="43">
        <f t="shared" si="964"/>
        <v>0.48</v>
      </c>
      <c r="CG116" s="43">
        <f t="shared" si="964"/>
        <v>0.48</v>
      </c>
      <c r="CH116" s="43">
        <f t="shared" si="964"/>
        <v>0.48</v>
      </c>
      <c r="CI116" s="43">
        <f t="shared" si="964"/>
        <v>0.48</v>
      </c>
      <c r="CJ116" s="43">
        <f t="shared" si="964"/>
        <v>0.48</v>
      </c>
      <c r="CK116" s="43">
        <f t="shared" si="964"/>
        <v>0.48</v>
      </c>
      <c r="CL116" s="43">
        <f t="shared" si="964"/>
        <v>0.48</v>
      </c>
      <c r="CM116" s="43">
        <f t="shared" si="964"/>
        <v>0.48</v>
      </c>
      <c r="CN116" s="43">
        <f t="shared" si="964"/>
        <v>0.48</v>
      </c>
      <c r="CO116" s="43">
        <f t="shared" si="964"/>
        <v>0.48</v>
      </c>
      <c r="CP116" s="43">
        <f t="shared" si="964"/>
        <v>0.48</v>
      </c>
      <c r="CQ116" s="43">
        <f t="shared" si="964"/>
        <v>0.48</v>
      </c>
      <c r="CR116" s="43">
        <f t="shared" si="964"/>
        <v>0.48</v>
      </c>
      <c r="CS116" s="43">
        <f t="shared" si="964"/>
        <v>0.48</v>
      </c>
      <c r="CT116" s="43">
        <f>BP116</f>
        <v>0.48</v>
      </c>
      <c r="CV116" s="43">
        <f>AJ116</f>
        <v>0.48</v>
      </c>
      <c r="CW116" s="43">
        <f t="shared" ref="CW116:CW120" si="965">AK116</f>
        <v>0.46399999999999997</v>
      </c>
      <c r="CX116" s="43">
        <f t="shared" ref="CX116:CX120" si="966">AL116</f>
        <v>0.44799999999999995</v>
      </c>
      <c r="CY116" s="43">
        <f t="shared" ref="CY116:CY120" si="967">AM116</f>
        <v>0.43199999999999994</v>
      </c>
      <c r="CZ116" s="43">
        <f t="shared" ref="CZ116:CZ120" si="968">AN116</f>
        <v>0.41599999999999993</v>
      </c>
      <c r="DA116" s="43">
        <f t="shared" ref="DA116:DA120" si="969">AO116</f>
        <v>0.39999999999999991</v>
      </c>
      <c r="DB116" s="43">
        <f t="shared" ref="DB116:DB120" si="970">AP116</f>
        <v>0.3839999999999999</v>
      </c>
      <c r="DC116" s="43">
        <f t="shared" ref="DC116:DC120" si="971">AQ116</f>
        <v>0.36799999999999988</v>
      </c>
      <c r="DD116" s="43">
        <f t="shared" ref="DD116:DD120" si="972">AR116</f>
        <v>0.35199999999999987</v>
      </c>
      <c r="DE116" s="43">
        <f t="shared" ref="DE116:DE120" si="973">AS116</f>
        <v>0.33599999999999985</v>
      </c>
      <c r="DF116" s="43">
        <f t="shared" ref="DF116:DF120" si="974">AT116</f>
        <v>0.31999999999999984</v>
      </c>
      <c r="DG116" s="43">
        <f t="shared" ref="DG116:DG120" si="975">AU116</f>
        <v>0.30399999999999983</v>
      </c>
      <c r="DH116" s="43">
        <f t="shared" ref="DH116:DH120" si="976">AV116</f>
        <v>0.28799999999999981</v>
      </c>
      <c r="DI116" s="43">
        <f t="shared" ref="DI116:DI120" si="977">AW116</f>
        <v>0.2719999999999998</v>
      </c>
      <c r="DJ116" s="43">
        <f t="shared" ref="DJ116:DJ120" si="978">AX116</f>
        <v>0.25599999999999978</v>
      </c>
      <c r="DK116" s="43">
        <f t="shared" ref="DK116:DK120" si="979">AY116</f>
        <v>0.23999999999999977</v>
      </c>
      <c r="DL116" s="43">
        <f t="shared" ref="DL116:DL120" si="980">AZ116</f>
        <v>0.22399999999999975</v>
      </c>
      <c r="DM116" s="43">
        <f t="shared" ref="DM116:DM120" si="981">BA116</f>
        <v>0.20799999999999974</v>
      </c>
      <c r="DN116" s="43">
        <f t="shared" ref="DN116:DN120" si="982">BB116</f>
        <v>0.19199999999999973</v>
      </c>
      <c r="DO116" s="43">
        <f t="shared" ref="DO116:DO120" si="983">BC116</f>
        <v>0.17599999999999971</v>
      </c>
      <c r="DP116" s="43">
        <f t="shared" ref="DP116:DP120" si="984">BD116</f>
        <v>0.1599999999999997</v>
      </c>
      <c r="DQ116" s="43">
        <f t="shared" ref="DQ116:DQ120" si="985">BE116</f>
        <v>0.14399999999999968</v>
      </c>
      <c r="DR116" s="43">
        <f t="shared" ref="DR116:DR120" si="986">BF116</f>
        <v>0.12799999999999967</v>
      </c>
      <c r="DS116" s="43">
        <f t="shared" ref="DS116:DS120" si="987">BG116</f>
        <v>0.11199999999999967</v>
      </c>
      <c r="DT116" s="43">
        <f t="shared" ref="DT116:DT120" si="988">BH116</f>
        <v>9.5999999999999669E-2</v>
      </c>
      <c r="DU116" s="43">
        <f t="shared" ref="DU116:DU120" si="989">BI116</f>
        <v>7.9999999999999669E-2</v>
      </c>
      <c r="DV116" s="43">
        <f t="shared" ref="DV116:DV120" si="990">BJ116</f>
        <v>6.3999999999999668E-2</v>
      </c>
      <c r="DW116" s="43">
        <f t="shared" ref="DW116:DW120" si="991">BK116</f>
        <v>4.7999999999999668E-2</v>
      </c>
      <c r="DX116" s="43">
        <f t="shared" ref="DX116:DX120" si="992">BL116</f>
        <v>3.1999999999999668E-2</v>
      </c>
      <c r="DY116" s="43">
        <f t="shared" ref="DY116:DY120" si="993">BM116</f>
        <v>1.5999999999999667E-2</v>
      </c>
      <c r="DZ116" s="43">
        <f t="shared" ref="DZ116:DZ120" si="994">BN116</f>
        <v>0</v>
      </c>
    </row>
    <row r="117" spans="1:165">
      <c r="A117" s="606" t="s">
        <v>88</v>
      </c>
      <c r="C117" s="54" t="s">
        <v>458</v>
      </c>
      <c r="D117" s="43">
        <f>$B$187</f>
        <v>3</v>
      </c>
      <c r="E117" s="43">
        <f t="shared" ref="E117:AG117" si="995">D117-($D117-$AH117)/30</f>
        <v>2.9</v>
      </c>
      <c r="F117" s="43">
        <f t="shared" si="995"/>
        <v>2.8</v>
      </c>
      <c r="G117" s="43">
        <f t="shared" si="995"/>
        <v>2.6999999999999997</v>
      </c>
      <c r="H117" s="43">
        <f t="shared" si="995"/>
        <v>2.5999999999999996</v>
      </c>
      <c r="I117" s="43">
        <f t="shared" si="995"/>
        <v>2.4999999999999996</v>
      </c>
      <c r="J117" s="43">
        <f t="shared" si="995"/>
        <v>2.3999999999999995</v>
      </c>
      <c r="K117" s="43">
        <f t="shared" si="995"/>
        <v>2.2999999999999994</v>
      </c>
      <c r="L117" s="43">
        <f t="shared" si="995"/>
        <v>2.1999999999999993</v>
      </c>
      <c r="M117" s="43">
        <f t="shared" si="995"/>
        <v>2.0999999999999992</v>
      </c>
      <c r="N117" s="43">
        <f t="shared" si="995"/>
        <v>1.9999999999999991</v>
      </c>
      <c r="O117" s="43">
        <f t="shared" si="995"/>
        <v>1.899999999999999</v>
      </c>
      <c r="P117" s="43">
        <f t="shared" si="995"/>
        <v>1.7999999999999989</v>
      </c>
      <c r="Q117" s="43">
        <f t="shared" si="995"/>
        <v>1.6999999999999988</v>
      </c>
      <c r="R117" s="43">
        <f t="shared" si="995"/>
        <v>1.5999999999999988</v>
      </c>
      <c r="S117" s="43">
        <f t="shared" si="995"/>
        <v>1.4999999999999987</v>
      </c>
      <c r="T117" s="43">
        <f t="shared" si="995"/>
        <v>1.3999999999999986</v>
      </c>
      <c r="U117" s="43">
        <f t="shared" si="995"/>
        <v>1.2999999999999985</v>
      </c>
      <c r="V117" s="43">
        <f t="shared" si="995"/>
        <v>1.1999999999999984</v>
      </c>
      <c r="W117" s="43">
        <f t="shared" si="995"/>
        <v>1.0999999999999983</v>
      </c>
      <c r="X117" s="43">
        <f t="shared" si="995"/>
        <v>0.99999999999999833</v>
      </c>
      <c r="Y117" s="43">
        <f t="shared" si="995"/>
        <v>0.89999999999999836</v>
      </c>
      <c r="Z117" s="43">
        <f t="shared" si="995"/>
        <v>0.79999999999999838</v>
      </c>
      <c r="AA117" s="43">
        <f t="shared" si="995"/>
        <v>0.6999999999999984</v>
      </c>
      <c r="AB117" s="43">
        <f t="shared" si="995"/>
        <v>0.59999999999999842</v>
      </c>
      <c r="AC117" s="43">
        <f t="shared" si="995"/>
        <v>0.49999999999999845</v>
      </c>
      <c r="AD117" s="43">
        <f t="shared" si="995"/>
        <v>0.39999999999999847</v>
      </c>
      <c r="AE117" s="43">
        <f t="shared" si="995"/>
        <v>0.29999999999999849</v>
      </c>
      <c r="AF117" s="43">
        <f t="shared" si="995"/>
        <v>0.19999999999999848</v>
      </c>
      <c r="AG117" s="43">
        <f t="shared" si="995"/>
        <v>9.9999999999998479E-2</v>
      </c>
      <c r="AH117" s="43">
        <f>$C$187</f>
        <v>0</v>
      </c>
      <c r="AI117" s="44"/>
      <c r="AJ117" s="43">
        <f t="shared" ref="AJ117:AJ124" si="996">D117</f>
        <v>3</v>
      </c>
      <c r="AK117" s="43">
        <f t="shared" si="934"/>
        <v>2.9</v>
      </c>
      <c r="AL117" s="43">
        <f t="shared" si="935"/>
        <v>2.8</v>
      </c>
      <c r="AM117" s="43">
        <f t="shared" si="936"/>
        <v>2.6999999999999997</v>
      </c>
      <c r="AN117" s="43">
        <f t="shared" si="937"/>
        <v>2.5999999999999996</v>
      </c>
      <c r="AO117" s="43">
        <f t="shared" si="938"/>
        <v>2.4999999999999996</v>
      </c>
      <c r="AP117" s="43">
        <f t="shared" si="939"/>
        <v>2.3999999999999995</v>
      </c>
      <c r="AQ117" s="43">
        <f t="shared" si="940"/>
        <v>2.2999999999999994</v>
      </c>
      <c r="AR117" s="43">
        <f t="shared" si="941"/>
        <v>2.1999999999999993</v>
      </c>
      <c r="AS117" s="43">
        <f t="shared" si="942"/>
        <v>2.0999999999999992</v>
      </c>
      <c r="AT117" s="43">
        <f t="shared" si="943"/>
        <v>1.9999999999999991</v>
      </c>
      <c r="AU117" s="43">
        <f t="shared" si="944"/>
        <v>1.899999999999999</v>
      </c>
      <c r="AV117" s="43">
        <f t="shared" si="945"/>
        <v>1.7999999999999989</v>
      </c>
      <c r="AW117" s="43">
        <f t="shared" si="946"/>
        <v>1.6999999999999988</v>
      </c>
      <c r="AX117" s="43">
        <f t="shared" si="947"/>
        <v>1.5999999999999988</v>
      </c>
      <c r="AY117" s="43">
        <f t="shared" si="948"/>
        <v>1.4999999999999987</v>
      </c>
      <c r="AZ117" s="43">
        <f t="shared" si="949"/>
        <v>1.3999999999999986</v>
      </c>
      <c r="BA117" s="43">
        <f t="shared" si="950"/>
        <v>1.2999999999999985</v>
      </c>
      <c r="BB117" s="43">
        <f t="shared" si="951"/>
        <v>1.1999999999999984</v>
      </c>
      <c r="BC117" s="43">
        <f t="shared" si="952"/>
        <v>1.0999999999999983</v>
      </c>
      <c r="BD117" s="43">
        <f t="shared" si="953"/>
        <v>0.99999999999999833</v>
      </c>
      <c r="BE117" s="43">
        <f t="shared" si="954"/>
        <v>0.89999999999999836</v>
      </c>
      <c r="BF117" s="43">
        <f t="shared" si="955"/>
        <v>0.79999999999999838</v>
      </c>
      <c r="BG117" s="43">
        <f t="shared" si="956"/>
        <v>0.6999999999999984</v>
      </c>
      <c r="BH117" s="43">
        <f t="shared" si="957"/>
        <v>0.59999999999999842</v>
      </c>
      <c r="BI117" s="43">
        <f t="shared" si="958"/>
        <v>0.49999999999999845</v>
      </c>
      <c r="BJ117" s="43">
        <f t="shared" si="959"/>
        <v>0.39999999999999847</v>
      </c>
      <c r="BK117" s="43">
        <f t="shared" si="960"/>
        <v>0.29999999999999849</v>
      </c>
      <c r="BL117" s="43">
        <f t="shared" si="961"/>
        <v>0.19999999999999848</v>
      </c>
      <c r="BM117" s="43">
        <f t="shared" si="962"/>
        <v>9.9999999999998479E-2</v>
      </c>
      <c r="BN117" s="43">
        <f t="shared" si="963"/>
        <v>0</v>
      </c>
      <c r="BP117" s="43">
        <f t="shared" ref="BP117:BP124" si="997">D117</f>
        <v>3</v>
      </c>
      <c r="BQ117" s="43">
        <f t="shared" ref="BQ117:CS117" si="998">BP117-($BP117-$CT117)/30</f>
        <v>3</v>
      </c>
      <c r="BR117" s="43">
        <f t="shared" si="998"/>
        <v>3</v>
      </c>
      <c r="BS117" s="43">
        <f t="shared" si="998"/>
        <v>3</v>
      </c>
      <c r="BT117" s="43">
        <f t="shared" si="998"/>
        <v>3</v>
      </c>
      <c r="BU117" s="43">
        <f t="shared" si="998"/>
        <v>3</v>
      </c>
      <c r="BV117" s="43">
        <f t="shared" si="998"/>
        <v>3</v>
      </c>
      <c r="BW117" s="43">
        <f t="shared" si="998"/>
        <v>3</v>
      </c>
      <c r="BX117" s="43">
        <f t="shared" si="998"/>
        <v>3</v>
      </c>
      <c r="BY117" s="43">
        <f t="shared" si="998"/>
        <v>3</v>
      </c>
      <c r="BZ117" s="43">
        <f t="shared" si="998"/>
        <v>3</v>
      </c>
      <c r="CA117" s="43">
        <f t="shared" si="998"/>
        <v>3</v>
      </c>
      <c r="CB117" s="43">
        <f t="shared" si="998"/>
        <v>3</v>
      </c>
      <c r="CC117" s="43">
        <f t="shared" si="998"/>
        <v>3</v>
      </c>
      <c r="CD117" s="43">
        <f t="shared" si="998"/>
        <v>3</v>
      </c>
      <c r="CE117" s="43">
        <f t="shared" si="998"/>
        <v>3</v>
      </c>
      <c r="CF117" s="43">
        <f t="shared" si="998"/>
        <v>3</v>
      </c>
      <c r="CG117" s="43">
        <f t="shared" si="998"/>
        <v>3</v>
      </c>
      <c r="CH117" s="43">
        <f t="shared" si="998"/>
        <v>3</v>
      </c>
      <c r="CI117" s="43">
        <f t="shared" si="998"/>
        <v>3</v>
      </c>
      <c r="CJ117" s="43">
        <f t="shared" si="998"/>
        <v>3</v>
      </c>
      <c r="CK117" s="43">
        <f t="shared" si="998"/>
        <v>3</v>
      </c>
      <c r="CL117" s="43">
        <f t="shared" si="998"/>
        <v>3</v>
      </c>
      <c r="CM117" s="43">
        <f t="shared" si="998"/>
        <v>3</v>
      </c>
      <c r="CN117" s="43">
        <f t="shared" si="998"/>
        <v>3</v>
      </c>
      <c r="CO117" s="43">
        <f t="shared" si="998"/>
        <v>3</v>
      </c>
      <c r="CP117" s="43">
        <f t="shared" si="998"/>
        <v>3</v>
      </c>
      <c r="CQ117" s="43">
        <f t="shared" si="998"/>
        <v>3</v>
      </c>
      <c r="CR117" s="43">
        <f t="shared" si="998"/>
        <v>3</v>
      </c>
      <c r="CS117" s="43">
        <f t="shared" si="998"/>
        <v>3</v>
      </c>
      <c r="CT117" s="43">
        <f t="shared" ref="CT117:CT118" si="999">BP117</f>
        <v>3</v>
      </c>
      <c r="CV117" s="43">
        <f>AJ117</f>
        <v>3</v>
      </c>
      <c r="CW117" s="43">
        <f t="shared" si="965"/>
        <v>2.9</v>
      </c>
      <c r="CX117" s="43">
        <f t="shared" si="966"/>
        <v>2.8</v>
      </c>
      <c r="CY117" s="43">
        <f t="shared" si="967"/>
        <v>2.6999999999999997</v>
      </c>
      <c r="CZ117" s="43">
        <f t="shared" si="968"/>
        <v>2.5999999999999996</v>
      </c>
      <c r="DA117" s="43">
        <f t="shared" si="969"/>
        <v>2.4999999999999996</v>
      </c>
      <c r="DB117" s="43">
        <f t="shared" si="970"/>
        <v>2.3999999999999995</v>
      </c>
      <c r="DC117" s="43">
        <f t="shared" si="971"/>
        <v>2.2999999999999994</v>
      </c>
      <c r="DD117" s="43">
        <f t="shared" si="972"/>
        <v>2.1999999999999993</v>
      </c>
      <c r="DE117" s="43">
        <f t="shared" si="973"/>
        <v>2.0999999999999992</v>
      </c>
      <c r="DF117" s="43">
        <f t="shared" si="974"/>
        <v>1.9999999999999991</v>
      </c>
      <c r="DG117" s="43">
        <f t="shared" si="975"/>
        <v>1.899999999999999</v>
      </c>
      <c r="DH117" s="43">
        <f t="shared" si="976"/>
        <v>1.7999999999999989</v>
      </c>
      <c r="DI117" s="43">
        <f t="shared" si="977"/>
        <v>1.6999999999999988</v>
      </c>
      <c r="DJ117" s="43">
        <f t="shared" si="978"/>
        <v>1.5999999999999988</v>
      </c>
      <c r="DK117" s="43">
        <f t="shared" si="979"/>
        <v>1.4999999999999987</v>
      </c>
      <c r="DL117" s="43">
        <f t="shared" si="980"/>
        <v>1.3999999999999986</v>
      </c>
      <c r="DM117" s="43">
        <f t="shared" si="981"/>
        <v>1.2999999999999985</v>
      </c>
      <c r="DN117" s="43">
        <f t="shared" si="982"/>
        <v>1.1999999999999984</v>
      </c>
      <c r="DO117" s="43">
        <f t="shared" si="983"/>
        <v>1.0999999999999983</v>
      </c>
      <c r="DP117" s="43">
        <f t="shared" si="984"/>
        <v>0.99999999999999833</v>
      </c>
      <c r="DQ117" s="43">
        <f t="shared" si="985"/>
        <v>0.89999999999999836</v>
      </c>
      <c r="DR117" s="43">
        <f t="shared" si="986"/>
        <v>0.79999999999999838</v>
      </c>
      <c r="DS117" s="43">
        <f t="shared" si="987"/>
        <v>0.6999999999999984</v>
      </c>
      <c r="DT117" s="43">
        <f t="shared" si="988"/>
        <v>0.59999999999999842</v>
      </c>
      <c r="DU117" s="43">
        <f t="shared" si="989"/>
        <v>0.49999999999999845</v>
      </c>
      <c r="DV117" s="43">
        <f t="shared" si="990"/>
        <v>0.39999999999999847</v>
      </c>
      <c r="DW117" s="43">
        <f t="shared" si="991"/>
        <v>0.29999999999999849</v>
      </c>
      <c r="DX117" s="43">
        <f t="shared" si="992"/>
        <v>0.19999999999999848</v>
      </c>
      <c r="DY117" s="43">
        <f t="shared" si="993"/>
        <v>9.9999999999998479E-2</v>
      </c>
      <c r="DZ117" s="43">
        <f t="shared" si="994"/>
        <v>0</v>
      </c>
    </row>
    <row r="118" spans="1:165">
      <c r="A118" s="606" t="s">
        <v>459</v>
      </c>
      <c r="C118" s="54" t="s">
        <v>458</v>
      </c>
      <c r="D118" s="43">
        <f>$BP$190</f>
        <v>1.3888980000000002</v>
      </c>
      <c r="E118" s="43">
        <f t="shared" ref="E118:AG118" si="1000">D118-($D118-$AH118)/30</f>
        <v>1.4271014000000002</v>
      </c>
      <c r="F118" s="43">
        <f t="shared" si="1000"/>
        <v>1.4653048000000002</v>
      </c>
      <c r="G118" s="43">
        <f t="shared" si="1000"/>
        <v>1.5035082000000002</v>
      </c>
      <c r="H118" s="43">
        <f t="shared" si="1000"/>
        <v>1.5417116000000002</v>
      </c>
      <c r="I118" s="43">
        <f t="shared" si="1000"/>
        <v>1.5799150000000002</v>
      </c>
      <c r="J118" s="43">
        <f t="shared" si="1000"/>
        <v>1.6181184000000002</v>
      </c>
      <c r="K118" s="43">
        <f t="shared" si="1000"/>
        <v>1.6563218000000002</v>
      </c>
      <c r="L118" s="43">
        <f t="shared" si="1000"/>
        <v>1.6945252000000002</v>
      </c>
      <c r="M118" s="43">
        <f t="shared" si="1000"/>
        <v>1.7327286000000002</v>
      </c>
      <c r="N118" s="43">
        <f t="shared" si="1000"/>
        <v>1.7709320000000002</v>
      </c>
      <c r="O118" s="43">
        <f t="shared" si="1000"/>
        <v>1.8091354000000002</v>
      </c>
      <c r="P118" s="43">
        <f t="shared" si="1000"/>
        <v>1.8473388000000002</v>
      </c>
      <c r="Q118" s="43">
        <f t="shared" si="1000"/>
        <v>1.8855422000000002</v>
      </c>
      <c r="R118" s="43">
        <f t="shared" si="1000"/>
        <v>1.9237456000000002</v>
      </c>
      <c r="S118" s="43">
        <f t="shared" si="1000"/>
        <v>1.9619490000000002</v>
      </c>
      <c r="T118" s="43">
        <f t="shared" si="1000"/>
        <v>2.0001524000000002</v>
      </c>
      <c r="U118" s="43">
        <f t="shared" si="1000"/>
        <v>2.0383558000000002</v>
      </c>
      <c r="V118" s="43">
        <f t="shared" si="1000"/>
        <v>2.0765592000000002</v>
      </c>
      <c r="W118" s="43">
        <f t="shared" si="1000"/>
        <v>2.1147626000000002</v>
      </c>
      <c r="X118" s="43">
        <f t="shared" si="1000"/>
        <v>2.1529660000000002</v>
      </c>
      <c r="Y118" s="43">
        <f t="shared" si="1000"/>
        <v>2.1911694000000002</v>
      </c>
      <c r="Z118" s="43">
        <f t="shared" si="1000"/>
        <v>2.2293728000000002</v>
      </c>
      <c r="AA118" s="43">
        <f t="shared" si="1000"/>
        <v>2.2675762000000002</v>
      </c>
      <c r="AB118" s="43">
        <f t="shared" si="1000"/>
        <v>2.3057796000000002</v>
      </c>
      <c r="AC118" s="43">
        <f t="shared" si="1000"/>
        <v>2.3439830000000001</v>
      </c>
      <c r="AD118" s="43">
        <f t="shared" si="1000"/>
        <v>2.3821864000000001</v>
      </c>
      <c r="AE118" s="43">
        <f t="shared" si="1000"/>
        <v>2.4203898000000001</v>
      </c>
      <c r="AF118" s="43">
        <f t="shared" si="1000"/>
        <v>2.4585932000000001</v>
      </c>
      <c r="AG118" s="43">
        <f t="shared" si="1000"/>
        <v>2.4967966000000001</v>
      </c>
      <c r="AH118" s="43">
        <f>EB190</f>
        <v>2.5350000000000001</v>
      </c>
      <c r="AI118" s="44"/>
      <c r="AJ118" s="43">
        <f t="shared" si="996"/>
        <v>1.3888980000000002</v>
      </c>
      <c r="AK118" s="43">
        <f t="shared" si="934"/>
        <v>1.4271014000000002</v>
      </c>
      <c r="AL118" s="43">
        <f t="shared" si="935"/>
        <v>1.4653048000000002</v>
      </c>
      <c r="AM118" s="43">
        <f t="shared" si="936"/>
        <v>1.5035082000000002</v>
      </c>
      <c r="AN118" s="43">
        <f t="shared" si="937"/>
        <v>1.5417116000000002</v>
      </c>
      <c r="AO118" s="43">
        <f t="shared" si="938"/>
        <v>1.5799150000000002</v>
      </c>
      <c r="AP118" s="43">
        <f t="shared" si="939"/>
        <v>1.6181184000000002</v>
      </c>
      <c r="AQ118" s="43">
        <f t="shared" si="940"/>
        <v>1.6563218000000002</v>
      </c>
      <c r="AR118" s="43">
        <f t="shared" si="941"/>
        <v>1.6945252000000002</v>
      </c>
      <c r="AS118" s="43">
        <f t="shared" si="942"/>
        <v>1.7327286000000002</v>
      </c>
      <c r="AT118" s="43">
        <f t="shared" si="943"/>
        <v>1.7709320000000002</v>
      </c>
      <c r="AU118" s="43">
        <f t="shared" si="944"/>
        <v>1.8091354000000002</v>
      </c>
      <c r="AV118" s="43">
        <f t="shared" si="945"/>
        <v>1.8473388000000002</v>
      </c>
      <c r="AW118" s="43">
        <f t="shared" si="946"/>
        <v>1.8855422000000002</v>
      </c>
      <c r="AX118" s="43">
        <f t="shared" si="947"/>
        <v>1.9237456000000002</v>
      </c>
      <c r="AY118" s="43">
        <f t="shared" si="948"/>
        <v>1.9619490000000002</v>
      </c>
      <c r="AZ118" s="43">
        <f t="shared" si="949"/>
        <v>2.0001524000000002</v>
      </c>
      <c r="BA118" s="43">
        <f t="shared" si="950"/>
        <v>2.0383558000000002</v>
      </c>
      <c r="BB118" s="43">
        <f t="shared" si="951"/>
        <v>2.0765592000000002</v>
      </c>
      <c r="BC118" s="43">
        <f t="shared" si="952"/>
        <v>2.1147626000000002</v>
      </c>
      <c r="BD118" s="43">
        <f t="shared" si="953"/>
        <v>2.1529660000000002</v>
      </c>
      <c r="BE118" s="43">
        <f t="shared" si="954"/>
        <v>2.1911694000000002</v>
      </c>
      <c r="BF118" s="43">
        <f t="shared" si="955"/>
        <v>2.2293728000000002</v>
      </c>
      <c r="BG118" s="43">
        <f t="shared" si="956"/>
        <v>2.2675762000000002</v>
      </c>
      <c r="BH118" s="43">
        <f t="shared" si="957"/>
        <v>2.3057796000000002</v>
      </c>
      <c r="BI118" s="43">
        <f t="shared" si="958"/>
        <v>2.3439830000000001</v>
      </c>
      <c r="BJ118" s="43">
        <f t="shared" si="959"/>
        <v>2.3821864000000001</v>
      </c>
      <c r="BK118" s="43">
        <f t="shared" si="960"/>
        <v>2.4203898000000001</v>
      </c>
      <c r="BL118" s="43">
        <f t="shared" si="961"/>
        <v>2.4585932000000001</v>
      </c>
      <c r="BM118" s="43">
        <f t="shared" si="962"/>
        <v>2.4967966000000001</v>
      </c>
      <c r="BN118" s="43">
        <f t="shared" si="963"/>
        <v>2.5350000000000001</v>
      </c>
      <c r="BP118" s="43">
        <f t="shared" si="997"/>
        <v>1.3888980000000002</v>
      </c>
      <c r="BQ118" s="43">
        <f t="shared" ref="BQ118:CS118" si="1001">BP118-($BP118-$CT118)/30</f>
        <v>1.3888980000000002</v>
      </c>
      <c r="BR118" s="43">
        <f t="shared" si="1001"/>
        <v>1.3888980000000002</v>
      </c>
      <c r="BS118" s="43">
        <f t="shared" si="1001"/>
        <v>1.3888980000000002</v>
      </c>
      <c r="BT118" s="43">
        <f t="shared" si="1001"/>
        <v>1.3888980000000002</v>
      </c>
      <c r="BU118" s="43">
        <f t="shared" si="1001"/>
        <v>1.3888980000000002</v>
      </c>
      <c r="BV118" s="43">
        <f t="shared" si="1001"/>
        <v>1.3888980000000002</v>
      </c>
      <c r="BW118" s="43">
        <f t="shared" si="1001"/>
        <v>1.3888980000000002</v>
      </c>
      <c r="BX118" s="43">
        <f t="shared" si="1001"/>
        <v>1.3888980000000002</v>
      </c>
      <c r="BY118" s="43">
        <f t="shared" si="1001"/>
        <v>1.3888980000000002</v>
      </c>
      <c r="BZ118" s="43">
        <f t="shared" si="1001"/>
        <v>1.3888980000000002</v>
      </c>
      <c r="CA118" s="43">
        <f t="shared" si="1001"/>
        <v>1.3888980000000002</v>
      </c>
      <c r="CB118" s="43">
        <f t="shared" si="1001"/>
        <v>1.3888980000000002</v>
      </c>
      <c r="CC118" s="43">
        <f t="shared" si="1001"/>
        <v>1.3888980000000002</v>
      </c>
      <c r="CD118" s="43">
        <f t="shared" si="1001"/>
        <v>1.3888980000000002</v>
      </c>
      <c r="CE118" s="43">
        <f t="shared" si="1001"/>
        <v>1.3888980000000002</v>
      </c>
      <c r="CF118" s="43">
        <f t="shared" si="1001"/>
        <v>1.3888980000000002</v>
      </c>
      <c r="CG118" s="43">
        <f t="shared" si="1001"/>
        <v>1.3888980000000002</v>
      </c>
      <c r="CH118" s="43">
        <f t="shared" si="1001"/>
        <v>1.3888980000000002</v>
      </c>
      <c r="CI118" s="43">
        <f t="shared" si="1001"/>
        <v>1.3888980000000002</v>
      </c>
      <c r="CJ118" s="43">
        <f t="shared" si="1001"/>
        <v>1.3888980000000002</v>
      </c>
      <c r="CK118" s="43">
        <f t="shared" si="1001"/>
        <v>1.3888980000000002</v>
      </c>
      <c r="CL118" s="43">
        <f t="shared" si="1001"/>
        <v>1.3888980000000002</v>
      </c>
      <c r="CM118" s="43">
        <f t="shared" si="1001"/>
        <v>1.3888980000000002</v>
      </c>
      <c r="CN118" s="43">
        <f t="shared" si="1001"/>
        <v>1.3888980000000002</v>
      </c>
      <c r="CO118" s="43">
        <f t="shared" si="1001"/>
        <v>1.3888980000000002</v>
      </c>
      <c r="CP118" s="43">
        <f t="shared" si="1001"/>
        <v>1.3888980000000002</v>
      </c>
      <c r="CQ118" s="43">
        <f t="shared" si="1001"/>
        <v>1.3888980000000002</v>
      </c>
      <c r="CR118" s="43">
        <f t="shared" si="1001"/>
        <v>1.3888980000000002</v>
      </c>
      <c r="CS118" s="43">
        <f t="shared" si="1001"/>
        <v>1.3888980000000002</v>
      </c>
      <c r="CT118" s="43">
        <f t="shared" si="999"/>
        <v>1.3888980000000002</v>
      </c>
      <c r="CV118" s="43">
        <f>AJ118</f>
        <v>1.3888980000000002</v>
      </c>
      <c r="CW118" s="43">
        <f t="shared" si="965"/>
        <v>1.4271014000000002</v>
      </c>
      <c r="CX118" s="43">
        <f t="shared" si="966"/>
        <v>1.4653048000000002</v>
      </c>
      <c r="CY118" s="43">
        <f t="shared" si="967"/>
        <v>1.5035082000000002</v>
      </c>
      <c r="CZ118" s="43">
        <f t="shared" si="968"/>
        <v>1.5417116000000002</v>
      </c>
      <c r="DA118" s="43">
        <f t="shared" si="969"/>
        <v>1.5799150000000002</v>
      </c>
      <c r="DB118" s="43">
        <f t="shared" si="970"/>
        <v>1.6181184000000002</v>
      </c>
      <c r="DC118" s="43">
        <f t="shared" si="971"/>
        <v>1.6563218000000002</v>
      </c>
      <c r="DD118" s="43">
        <f t="shared" si="972"/>
        <v>1.6945252000000002</v>
      </c>
      <c r="DE118" s="43">
        <f t="shared" si="973"/>
        <v>1.7327286000000002</v>
      </c>
      <c r="DF118" s="43">
        <f t="shared" si="974"/>
        <v>1.7709320000000002</v>
      </c>
      <c r="DG118" s="43">
        <f t="shared" si="975"/>
        <v>1.8091354000000002</v>
      </c>
      <c r="DH118" s="43">
        <f t="shared" si="976"/>
        <v>1.8473388000000002</v>
      </c>
      <c r="DI118" s="43">
        <f t="shared" si="977"/>
        <v>1.8855422000000002</v>
      </c>
      <c r="DJ118" s="43">
        <f t="shared" si="978"/>
        <v>1.9237456000000002</v>
      </c>
      <c r="DK118" s="43">
        <f t="shared" si="979"/>
        <v>1.9619490000000002</v>
      </c>
      <c r="DL118" s="43">
        <f t="shared" si="980"/>
        <v>2.0001524000000002</v>
      </c>
      <c r="DM118" s="43">
        <f t="shared" si="981"/>
        <v>2.0383558000000002</v>
      </c>
      <c r="DN118" s="43">
        <f t="shared" si="982"/>
        <v>2.0765592000000002</v>
      </c>
      <c r="DO118" s="43">
        <f t="shared" si="983"/>
        <v>2.1147626000000002</v>
      </c>
      <c r="DP118" s="43">
        <f t="shared" si="984"/>
        <v>2.1529660000000002</v>
      </c>
      <c r="DQ118" s="43">
        <f t="shared" si="985"/>
        <v>2.1911694000000002</v>
      </c>
      <c r="DR118" s="43">
        <f t="shared" si="986"/>
        <v>2.2293728000000002</v>
      </c>
      <c r="DS118" s="43">
        <f t="shared" si="987"/>
        <v>2.2675762000000002</v>
      </c>
      <c r="DT118" s="43">
        <f t="shared" si="988"/>
        <v>2.3057796000000002</v>
      </c>
      <c r="DU118" s="43">
        <f t="shared" si="989"/>
        <v>2.3439830000000001</v>
      </c>
      <c r="DV118" s="43">
        <f t="shared" si="990"/>
        <v>2.3821864000000001</v>
      </c>
      <c r="DW118" s="43">
        <f t="shared" si="991"/>
        <v>2.4203898000000001</v>
      </c>
      <c r="DX118" s="43">
        <f t="shared" si="992"/>
        <v>2.4585932000000001</v>
      </c>
      <c r="DY118" s="43">
        <f t="shared" si="993"/>
        <v>2.4967966000000001</v>
      </c>
      <c r="DZ118" s="43">
        <f t="shared" si="994"/>
        <v>2.5350000000000001</v>
      </c>
    </row>
    <row r="119" spans="1:165">
      <c r="A119" s="606" t="s">
        <v>460</v>
      </c>
      <c r="C119" s="54" t="s">
        <v>458</v>
      </c>
      <c r="D119" s="43">
        <f>$BP$190</f>
        <v>1.3888980000000002</v>
      </c>
      <c r="E119" s="43">
        <f t="shared" ref="E119:AG119" si="1002">D119-($D119-$AH119)/30</f>
        <v>1.3449162300000002</v>
      </c>
      <c r="F119" s="43">
        <f t="shared" si="1002"/>
        <v>1.3009344600000001</v>
      </c>
      <c r="G119" s="43">
        <f t="shared" si="1002"/>
        <v>1.2569526900000001</v>
      </c>
      <c r="H119" s="43">
        <f t="shared" si="1002"/>
        <v>1.2129709200000001</v>
      </c>
      <c r="I119" s="43">
        <f t="shared" si="1002"/>
        <v>1.16898915</v>
      </c>
      <c r="J119" s="43">
        <f t="shared" si="1002"/>
        <v>1.12500738</v>
      </c>
      <c r="K119" s="43">
        <f t="shared" si="1002"/>
        <v>1.08102561</v>
      </c>
      <c r="L119" s="43">
        <f t="shared" si="1002"/>
        <v>1.0370438399999999</v>
      </c>
      <c r="M119" s="43">
        <f t="shared" si="1002"/>
        <v>0.99306206999999991</v>
      </c>
      <c r="N119" s="43">
        <f t="shared" si="1002"/>
        <v>0.94908029999999988</v>
      </c>
      <c r="O119" s="43">
        <f t="shared" si="1002"/>
        <v>0.90509852999999985</v>
      </c>
      <c r="P119" s="43">
        <f t="shared" si="1002"/>
        <v>0.86111675999999981</v>
      </c>
      <c r="Q119" s="43">
        <f t="shared" si="1002"/>
        <v>0.81713498999999978</v>
      </c>
      <c r="R119" s="43">
        <f t="shared" si="1002"/>
        <v>0.77315321999999975</v>
      </c>
      <c r="S119" s="43">
        <f t="shared" si="1002"/>
        <v>0.72917144999999972</v>
      </c>
      <c r="T119" s="43">
        <f t="shared" si="1002"/>
        <v>0.68518967999999969</v>
      </c>
      <c r="U119" s="43">
        <f t="shared" si="1002"/>
        <v>0.64120790999999966</v>
      </c>
      <c r="V119" s="43">
        <f t="shared" si="1002"/>
        <v>0.59722613999999963</v>
      </c>
      <c r="W119" s="43">
        <f t="shared" si="1002"/>
        <v>0.5532443699999996</v>
      </c>
      <c r="X119" s="43">
        <f t="shared" si="1002"/>
        <v>0.50926259999999957</v>
      </c>
      <c r="Y119" s="43">
        <f t="shared" si="1002"/>
        <v>0.46528082999999953</v>
      </c>
      <c r="Z119" s="43">
        <f t="shared" si="1002"/>
        <v>0.4212990599999995</v>
      </c>
      <c r="AA119" s="43">
        <f t="shared" si="1002"/>
        <v>0.37731728999999947</v>
      </c>
      <c r="AB119" s="43">
        <f t="shared" si="1002"/>
        <v>0.33333551999999944</v>
      </c>
      <c r="AC119" s="43">
        <f t="shared" si="1002"/>
        <v>0.28935374999999941</v>
      </c>
      <c r="AD119" s="43">
        <f t="shared" si="1002"/>
        <v>0.24537197999999941</v>
      </c>
      <c r="AE119" s="43">
        <f t="shared" si="1002"/>
        <v>0.2013902099999994</v>
      </c>
      <c r="AF119" s="43">
        <f t="shared" si="1002"/>
        <v>0.1574084399999994</v>
      </c>
      <c r="AG119" s="43">
        <f t="shared" si="1002"/>
        <v>0.1134266699999994</v>
      </c>
      <c r="AH119" s="43">
        <f>$BZ$190</f>
        <v>6.9444900000000073E-2</v>
      </c>
      <c r="AI119" s="44"/>
      <c r="AJ119" s="43">
        <f t="shared" si="996"/>
        <v>1.3888980000000002</v>
      </c>
      <c r="AK119" s="43">
        <f t="shared" si="934"/>
        <v>1.3449162300000002</v>
      </c>
      <c r="AL119" s="43">
        <f t="shared" si="935"/>
        <v>1.3009344600000001</v>
      </c>
      <c r="AM119" s="43">
        <f t="shared" si="936"/>
        <v>1.2569526900000001</v>
      </c>
      <c r="AN119" s="43">
        <f t="shared" si="937"/>
        <v>1.2129709200000001</v>
      </c>
      <c r="AO119" s="43">
        <f t="shared" si="938"/>
        <v>1.16898915</v>
      </c>
      <c r="AP119" s="43">
        <f t="shared" si="939"/>
        <v>1.12500738</v>
      </c>
      <c r="AQ119" s="43">
        <f t="shared" si="940"/>
        <v>1.08102561</v>
      </c>
      <c r="AR119" s="43">
        <f t="shared" si="941"/>
        <v>1.0370438399999999</v>
      </c>
      <c r="AS119" s="43">
        <f t="shared" si="942"/>
        <v>0.99306206999999991</v>
      </c>
      <c r="AT119" s="43">
        <f t="shared" si="943"/>
        <v>0.94908029999999988</v>
      </c>
      <c r="AU119" s="43">
        <f t="shared" si="944"/>
        <v>0.90509852999999985</v>
      </c>
      <c r="AV119" s="43">
        <f t="shared" si="945"/>
        <v>0.86111675999999981</v>
      </c>
      <c r="AW119" s="43">
        <f t="shared" si="946"/>
        <v>0.81713498999999978</v>
      </c>
      <c r="AX119" s="43">
        <f t="shared" si="947"/>
        <v>0.77315321999999975</v>
      </c>
      <c r="AY119" s="43">
        <f t="shared" si="948"/>
        <v>0.72917144999999972</v>
      </c>
      <c r="AZ119" s="43">
        <f t="shared" si="949"/>
        <v>0.68518967999999969</v>
      </c>
      <c r="BA119" s="43">
        <f t="shared" si="950"/>
        <v>0.64120790999999966</v>
      </c>
      <c r="BB119" s="43">
        <f t="shared" si="951"/>
        <v>0.59722613999999963</v>
      </c>
      <c r="BC119" s="43">
        <f t="shared" si="952"/>
        <v>0.5532443699999996</v>
      </c>
      <c r="BD119" s="43">
        <f t="shared" si="953"/>
        <v>0.50926259999999957</v>
      </c>
      <c r="BE119" s="43">
        <f t="shared" si="954"/>
        <v>0.46528082999999953</v>
      </c>
      <c r="BF119" s="43">
        <f t="shared" si="955"/>
        <v>0.4212990599999995</v>
      </c>
      <c r="BG119" s="43">
        <f t="shared" si="956"/>
        <v>0.37731728999999947</v>
      </c>
      <c r="BH119" s="43">
        <f t="shared" si="957"/>
        <v>0.33333551999999944</v>
      </c>
      <c r="BI119" s="43">
        <f t="shared" si="958"/>
        <v>0.28935374999999941</v>
      </c>
      <c r="BJ119" s="43">
        <f t="shared" si="959"/>
        <v>0.24537197999999941</v>
      </c>
      <c r="BK119" s="43">
        <f t="shared" si="960"/>
        <v>0.2013902099999994</v>
      </c>
      <c r="BL119" s="43">
        <f t="shared" si="961"/>
        <v>0.1574084399999994</v>
      </c>
      <c r="BM119" s="43">
        <f t="shared" si="962"/>
        <v>0.1134266699999994</v>
      </c>
      <c r="BN119" s="43">
        <f t="shared" si="963"/>
        <v>6.9444900000000073E-2</v>
      </c>
      <c r="BP119" s="43">
        <f t="shared" si="997"/>
        <v>1.3888980000000002</v>
      </c>
      <c r="BQ119" s="43">
        <f t="shared" ref="BQ119:CS119" si="1003">BP119-($BP119-$CT119)/30</f>
        <v>1.3449162300000002</v>
      </c>
      <c r="BR119" s="43">
        <f t="shared" si="1003"/>
        <v>1.3009344600000001</v>
      </c>
      <c r="BS119" s="43">
        <f t="shared" si="1003"/>
        <v>1.2569526900000001</v>
      </c>
      <c r="BT119" s="43">
        <f t="shared" si="1003"/>
        <v>1.2129709200000001</v>
      </c>
      <c r="BU119" s="43">
        <f t="shared" si="1003"/>
        <v>1.16898915</v>
      </c>
      <c r="BV119" s="43">
        <f t="shared" si="1003"/>
        <v>1.12500738</v>
      </c>
      <c r="BW119" s="43">
        <f t="shared" si="1003"/>
        <v>1.08102561</v>
      </c>
      <c r="BX119" s="43">
        <f t="shared" si="1003"/>
        <v>1.0370438399999999</v>
      </c>
      <c r="BY119" s="43">
        <f t="shared" si="1003"/>
        <v>0.99306206999999991</v>
      </c>
      <c r="BZ119" s="43">
        <f t="shared" si="1003"/>
        <v>0.94908029999999988</v>
      </c>
      <c r="CA119" s="43">
        <f t="shared" si="1003"/>
        <v>0.90509852999999985</v>
      </c>
      <c r="CB119" s="43">
        <f t="shared" si="1003"/>
        <v>0.86111675999999981</v>
      </c>
      <c r="CC119" s="43">
        <f t="shared" si="1003"/>
        <v>0.81713498999999978</v>
      </c>
      <c r="CD119" s="43">
        <f t="shared" si="1003"/>
        <v>0.77315321999999975</v>
      </c>
      <c r="CE119" s="43">
        <f t="shared" si="1003"/>
        <v>0.72917144999999972</v>
      </c>
      <c r="CF119" s="43">
        <f t="shared" si="1003"/>
        <v>0.68518967999999969</v>
      </c>
      <c r="CG119" s="43">
        <f t="shared" si="1003"/>
        <v>0.64120790999999966</v>
      </c>
      <c r="CH119" s="43">
        <f t="shared" si="1003"/>
        <v>0.59722613999999963</v>
      </c>
      <c r="CI119" s="43">
        <f t="shared" si="1003"/>
        <v>0.5532443699999996</v>
      </c>
      <c r="CJ119" s="43">
        <f t="shared" si="1003"/>
        <v>0.50926259999999957</v>
      </c>
      <c r="CK119" s="43">
        <f t="shared" si="1003"/>
        <v>0.46528082999999953</v>
      </c>
      <c r="CL119" s="43">
        <f t="shared" si="1003"/>
        <v>0.4212990599999995</v>
      </c>
      <c r="CM119" s="43">
        <f t="shared" si="1003"/>
        <v>0.37731728999999947</v>
      </c>
      <c r="CN119" s="43">
        <f t="shared" si="1003"/>
        <v>0.33333551999999944</v>
      </c>
      <c r="CO119" s="43">
        <f t="shared" si="1003"/>
        <v>0.28935374999999941</v>
      </c>
      <c r="CP119" s="43">
        <f t="shared" si="1003"/>
        <v>0.24537197999999941</v>
      </c>
      <c r="CQ119" s="43">
        <f t="shared" si="1003"/>
        <v>0.2013902099999994</v>
      </c>
      <c r="CR119" s="43">
        <f t="shared" si="1003"/>
        <v>0.1574084399999994</v>
      </c>
      <c r="CS119" s="43">
        <f t="shared" si="1003"/>
        <v>0.1134266699999994</v>
      </c>
      <c r="CT119" s="43">
        <f>BN119</f>
        <v>6.9444900000000073E-2</v>
      </c>
      <c r="CV119" s="43">
        <f>AJ119</f>
        <v>1.3888980000000002</v>
      </c>
      <c r="CW119" s="43">
        <f t="shared" si="965"/>
        <v>1.3449162300000002</v>
      </c>
      <c r="CX119" s="43">
        <f t="shared" si="966"/>
        <v>1.3009344600000001</v>
      </c>
      <c r="CY119" s="43">
        <f t="shared" si="967"/>
        <v>1.2569526900000001</v>
      </c>
      <c r="CZ119" s="43">
        <f t="shared" si="968"/>
        <v>1.2129709200000001</v>
      </c>
      <c r="DA119" s="43">
        <f t="shared" si="969"/>
        <v>1.16898915</v>
      </c>
      <c r="DB119" s="43">
        <f t="shared" si="970"/>
        <v>1.12500738</v>
      </c>
      <c r="DC119" s="43">
        <f t="shared" si="971"/>
        <v>1.08102561</v>
      </c>
      <c r="DD119" s="43">
        <f t="shared" si="972"/>
        <v>1.0370438399999999</v>
      </c>
      <c r="DE119" s="43">
        <f t="shared" si="973"/>
        <v>0.99306206999999991</v>
      </c>
      <c r="DF119" s="43">
        <f t="shared" si="974"/>
        <v>0.94908029999999988</v>
      </c>
      <c r="DG119" s="43">
        <f t="shared" si="975"/>
        <v>0.90509852999999985</v>
      </c>
      <c r="DH119" s="43">
        <f t="shared" si="976"/>
        <v>0.86111675999999981</v>
      </c>
      <c r="DI119" s="43">
        <f t="shared" si="977"/>
        <v>0.81713498999999978</v>
      </c>
      <c r="DJ119" s="43">
        <f t="shared" si="978"/>
        <v>0.77315321999999975</v>
      </c>
      <c r="DK119" s="43">
        <f t="shared" si="979"/>
        <v>0.72917144999999972</v>
      </c>
      <c r="DL119" s="43">
        <f t="shared" si="980"/>
        <v>0.68518967999999969</v>
      </c>
      <c r="DM119" s="43">
        <f t="shared" si="981"/>
        <v>0.64120790999999966</v>
      </c>
      <c r="DN119" s="43">
        <f t="shared" si="982"/>
        <v>0.59722613999999963</v>
      </c>
      <c r="DO119" s="43">
        <f t="shared" si="983"/>
        <v>0.5532443699999996</v>
      </c>
      <c r="DP119" s="43">
        <f t="shared" si="984"/>
        <v>0.50926259999999957</v>
      </c>
      <c r="DQ119" s="43">
        <f t="shared" si="985"/>
        <v>0.46528082999999953</v>
      </c>
      <c r="DR119" s="43">
        <f t="shared" si="986"/>
        <v>0.4212990599999995</v>
      </c>
      <c r="DS119" s="43">
        <f t="shared" si="987"/>
        <v>0.37731728999999947</v>
      </c>
      <c r="DT119" s="43">
        <f t="shared" si="988"/>
        <v>0.33333551999999944</v>
      </c>
      <c r="DU119" s="43">
        <f t="shared" si="989"/>
        <v>0.28935374999999941</v>
      </c>
      <c r="DV119" s="43">
        <f t="shared" si="990"/>
        <v>0.24537197999999941</v>
      </c>
      <c r="DW119" s="43">
        <f t="shared" si="991"/>
        <v>0.2013902099999994</v>
      </c>
      <c r="DX119" s="43">
        <f t="shared" si="992"/>
        <v>0.1574084399999994</v>
      </c>
      <c r="DY119" s="43">
        <f t="shared" si="993"/>
        <v>0.1134266699999994</v>
      </c>
      <c r="DZ119" s="43">
        <f t="shared" si="994"/>
        <v>6.9444900000000073E-2</v>
      </c>
    </row>
    <row r="120" spans="1:165">
      <c r="A120" s="606" t="s">
        <v>33</v>
      </c>
      <c r="C120" s="54" t="s">
        <v>458</v>
      </c>
      <c r="D120" s="43">
        <f>$B$190</f>
        <v>5.0000000000000001E-3</v>
      </c>
      <c r="E120" s="43">
        <f t="shared" ref="E120:AG120" si="1004">D120-($D120-$AH120)/30</f>
        <v>4.8333333333333336E-3</v>
      </c>
      <c r="F120" s="43">
        <f t="shared" si="1004"/>
        <v>4.6666666666666671E-3</v>
      </c>
      <c r="G120" s="43">
        <f t="shared" si="1004"/>
        <v>4.5000000000000005E-3</v>
      </c>
      <c r="H120" s="43">
        <f t="shared" si="1004"/>
        <v>4.333333333333334E-3</v>
      </c>
      <c r="I120" s="43">
        <f t="shared" si="1004"/>
        <v>4.1666666666666675E-3</v>
      </c>
      <c r="J120" s="43">
        <f t="shared" si="1004"/>
        <v>4.000000000000001E-3</v>
      </c>
      <c r="K120" s="43">
        <f t="shared" si="1004"/>
        <v>3.8333333333333344E-3</v>
      </c>
      <c r="L120" s="43">
        <f t="shared" si="1004"/>
        <v>3.6666666666666679E-3</v>
      </c>
      <c r="M120" s="43">
        <f t="shared" si="1004"/>
        <v>3.5000000000000014E-3</v>
      </c>
      <c r="N120" s="43">
        <f t="shared" si="1004"/>
        <v>3.3333333333333348E-3</v>
      </c>
      <c r="O120" s="43">
        <f t="shared" si="1004"/>
        <v>3.1666666666666683E-3</v>
      </c>
      <c r="P120" s="43">
        <f t="shared" si="1004"/>
        <v>3.0000000000000018E-3</v>
      </c>
      <c r="Q120" s="43">
        <f t="shared" si="1004"/>
        <v>2.8333333333333353E-3</v>
      </c>
      <c r="R120" s="43">
        <f t="shared" si="1004"/>
        <v>2.6666666666666687E-3</v>
      </c>
      <c r="S120" s="43">
        <f t="shared" si="1004"/>
        <v>2.5000000000000022E-3</v>
      </c>
      <c r="T120" s="43">
        <f t="shared" si="1004"/>
        <v>2.3333333333333357E-3</v>
      </c>
      <c r="U120" s="43">
        <f t="shared" si="1004"/>
        <v>2.1666666666666692E-3</v>
      </c>
      <c r="V120" s="43">
        <f t="shared" si="1004"/>
        <v>2.0000000000000026E-3</v>
      </c>
      <c r="W120" s="43">
        <f t="shared" si="1004"/>
        <v>1.8333333333333359E-3</v>
      </c>
      <c r="X120" s="43">
        <f t="shared" si="1004"/>
        <v>1.6666666666666692E-3</v>
      </c>
      <c r="Y120" s="43">
        <f t="shared" si="1004"/>
        <v>1.5000000000000024E-3</v>
      </c>
      <c r="Z120" s="43">
        <f t="shared" si="1004"/>
        <v>1.3333333333333357E-3</v>
      </c>
      <c r="AA120" s="43">
        <f t="shared" si="1004"/>
        <v>1.1666666666666689E-3</v>
      </c>
      <c r="AB120" s="43">
        <f t="shared" si="1004"/>
        <v>1.0000000000000022E-3</v>
      </c>
      <c r="AC120" s="43">
        <f t="shared" si="1004"/>
        <v>8.3333333333333556E-4</v>
      </c>
      <c r="AD120" s="43">
        <f t="shared" si="1004"/>
        <v>6.6666666666666892E-4</v>
      </c>
      <c r="AE120" s="43">
        <f t="shared" si="1004"/>
        <v>5.0000000000000229E-4</v>
      </c>
      <c r="AF120" s="43">
        <f t="shared" si="1004"/>
        <v>3.3333333333333565E-4</v>
      </c>
      <c r="AG120" s="43">
        <f t="shared" si="1004"/>
        <v>1.6666666666666899E-4</v>
      </c>
      <c r="AH120" s="43">
        <f>$C$190</f>
        <v>0</v>
      </c>
      <c r="AI120" s="44"/>
      <c r="AJ120" s="43">
        <f t="shared" si="996"/>
        <v>5.0000000000000001E-3</v>
      </c>
      <c r="AK120" s="43">
        <f t="shared" si="934"/>
        <v>4.8333333333333336E-3</v>
      </c>
      <c r="AL120" s="43">
        <f t="shared" si="935"/>
        <v>4.6666666666666671E-3</v>
      </c>
      <c r="AM120" s="43">
        <f t="shared" si="936"/>
        <v>4.5000000000000005E-3</v>
      </c>
      <c r="AN120" s="43">
        <f t="shared" si="937"/>
        <v>4.333333333333334E-3</v>
      </c>
      <c r="AO120" s="43">
        <f t="shared" si="938"/>
        <v>4.1666666666666675E-3</v>
      </c>
      <c r="AP120" s="43">
        <f t="shared" si="939"/>
        <v>4.000000000000001E-3</v>
      </c>
      <c r="AQ120" s="43">
        <f t="shared" si="940"/>
        <v>3.8333333333333344E-3</v>
      </c>
      <c r="AR120" s="43">
        <f t="shared" si="941"/>
        <v>3.6666666666666679E-3</v>
      </c>
      <c r="AS120" s="43">
        <f t="shared" si="942"/>
        <v>3.5000000000000014E-3</v>
      </c>
      <c r="AT120" s="43">
        <f t="shared" si="943"/>
        <v>3.3333333333333348E-3</v>
      </c>
      <c r="AU120" s="43">
        <f t="shared" si="944"/>
        <v>3.1666666666666683E-3</v>
      </c>
      <c r="AV120" s="43">
        <f t="shared" si="945"/>
        <v>3.0000000000000018E-3</v>
      </c>
      <c r="AW120" s="43">
        <f t="shared" si="946"/>
        <v>2.8333333333333353E-3</v>
      </c>
      <c r="AX120" s="43">
        <f t="shared" si="947"/>
        <v>2.6666666666666687E-3</v>
      </c>
      <c r="AY120" s="43">
        <f t="shared" si="948"/>
        <v>2.5000000000000022E-3</v>
      </c>
      <c r="AZ120" s="43">
        <f t="shared" si="949"/>
        <v>2.3333333333333357E-3</v>
      </c>
      <c r="BA120" s="43">
        <f t="shared" si="950"/>
        <v>2.1666666666666692E-3</v>
      </c>
      <c r="BB120" s="43">
        <f t="shared" si="951"/>
        <v>2.0000000000000026E-3</v>
      </c>
      <c r="BC120" s="43">
        <f t="shared" si="952"/>
        <v>1.8333333333333359E-3</v>
      </c>
      <c r="BD120" s="43">
        <f t="shared" si="953"/>
        <v>1.6666666666666692E-3</v>
      </c>
      <c r="BE120" s="43">
        <f t="shared" si="954"/>
        <v>1.5000000000000024E-3</v>
      </c>
      <c r="BF120" s="43">
        <f t="shared" si="955"/>
        <v>1.3333333333333357E-3</v>
      </c>
      <c r="BG120" s="43">
        <f t="shared" si="956"/>
        <v>1.1666666666666689E-3</v>
      </c>
      <c r="BH120" s="43">
        <f t="shared" si="957"/>
        <v>1.0000000000000022E-3</v>
      </c>
      <c r="BI120" s="43">
        <f t="shared" si="958"/>
        <v>8.3333333333333556E-4</v>
      </c>
      <c r="BJ120" s="43">
        <f t="shared" si="959"/>
        <v>6.6666666666666892E-4</v>
      </c>
      <c r="BK120" s="43">
        <f t="shared" si="960"/>
        <v>5.0000000000000229E-4</v>
      </c>
      <c r="BL120" s="43">
        <f t="shared" si="961"/>
        <v>3.3333333333333565E-4</v>
      </c>
      <c r="BM120" s="43">
        <f t="shared" si="962"/>
        <v>1.6666666666666899E-4</v>
      </c>
      <c r="BN120" s="43">
        <f t="shared" si="963"/>
        <v>0</v>
      </c>
      <c r="BP120" s="43">
        <f t="shared" si="997"/>
        <v>5.0000000000000001E-3</v>
      </c>
      <c r="BQ120" s="43">
        <f t="shared" ref="BQ120:CS120" si="1005">BP120-($BP120-$CT120)/30</f>
        <v>5.0000000000000001E-3</v>
      </c>
      <c r="BR120" s="43">
        <f t="shared" si="1005"/>
        <v>5.0000000000000001E-3</v>
      </c>
      <c r="BS120" s="43">
        <f t="shared" si="1005"/>
        <v>5.0000000000000001E-3</v>
      </c>
      <c r="BT120" s="43">
        <f t="shared" si="1005"/>
        <v>5.0000000000000001E-3</v>
      </c>
      <c r="BU120" s="43">
        <f t="shared" si="1005"/>
        <v>5.0000000000000001E-3</v>
      </c>
      <c r="BV120" s="43">
        <f t="shared" si="1005"/>
        <v>5.0000000000000001E-3</v>
      </c>
      <c r="BW120" s="43">
        <f t="shared" si="1005"/>
        <v>5.0000000000000001E-3</v>
      </c>
      <c r="BX120" s="43">
        <f t="shared" si="1005"/>
        <v>5.0000000000000001E-3</v>
      </c>
      <c r="BY120" s="43">
        <f t="shared" si="1005"/>
        <v>5.0000000000000001E-3</v>
      </c>
      <c r="BZ120" s="43">
        <f t="shared" si="1005"/>
        <v>5.0000000000000001E-3</v>
      </c>
      <c r="CA120" s="43">
        <f t="shared" si="1005"/>
        <v>5.0000000000000001E-3</v>
      </c>
      <c r="CB120" s="43">
        <f t="shared" si="1005"/>
        <v>5.0000000000000001E-3</v>
      </c>
      <c r="CC120" s="43">
        <f t="shared" si="1005"/>
        <v>5.0000000000000001E-3</v>
      </c>
      <c r="CD120" s="43">
        <f t="shared" si="1005"/>
        <v>5.0000000000000001E-3</v>
      </c>
      <c r="CE120" s="43">
        <f t="shared" si="1005"/>
        <v>5.0000000000000001E-3</v>
      </c>
      <c r="CF120" s="43">
        <f t="shared" si="1005"/>
        <v>5.0000000000000001E-3</v>
      </c>
      <c r="CG120" s="43">
        <f t="shared" si="1005"/>
        <v>5.0000000000000001E-3</v>
      </c>
      <c r="CH120" s="43">
        <f t="shared" si="1005"/>
        <v>5.0000000000000001E-3</v>
      </c>
      <c r="CI120" s="43">
        <f t="shared" si="1005"/>
        <v>5.0000000000000001E-3</v>
      </c>
      <c r="CJ120" s="43">
        <f t="shared" si="1005"/>
        <v>5.0000000000000001E-3</v>
      </c>
      <c r="CK120" s="43">
        <f t="shared" si="1005"/>
        <v>5.0000000000000001E-3</v>
      </c>
      <c r="CL120" s="43">
        <f t="shared" si="1005"/>
        <v>5.0000000000000001E-3</v>
      </c>
      <c r="CM120" s="43">
        <f t="shared" si="1005"/>
        <v>5.0000000000000001E-3</v>
      </c>
      <c r="CN120" s="43">
        <f t="shared" si="1005"/>
        <v>5.0000000000000001E-3</v>
      </c>
      <c r="CO120" s="43">
        <f t="shared" si="1005"/>
        <v>5.0000000000000001E-3</v>
      </c>
      <c r="CP120" s="43">
        <f t="shared" si="1005"/>
        <v>5.0000000000000001E-3</v>
      </c>
      <c r="CQ120" s="43">
        <f t="shared" si="1005"/>
        <v>5.0000000000000001E-3</v>
      </c>
      <c r="CR120" s="43">
        <f t="shared" si="1005"/>
        <v>5.0000000000000001E-3</v>
      </c>
      <c r="CS120" s="43">
        <f t="shared" si="1005"/>
        <v>5.0000000000000001E-3</v>
      </c>
      <c r="CT120" s="43">
        <f t="shared" ref="CT120:CT124" si="1006">BP120</f>
        <v>5.0000000000000001E-3</v>
      </c>
      <c r="CV120" s="43">
        <f>AJ120</f>
        <v>5.0000000000000001E-3</v>
      </c>
      <c r="CW120" s="43">
        <f t="shared" si="965"/>
        <v>4.8333333333333336E-3</v>
      </c>
      <c r="CX120" s="43">
        <f t="shared" si="966"/>
        <v>4.6666666666666671E-3</v>
      </c>
      <c r="CY120" s="43">
        <f t="shared" si="967"/>
        <v>4.5000000000000005E-3</v>
      </c>
      <c r="CZ120" s="43">
        <f t="shared" si="968"/>
        <v>4.333333333333334E-3</v>
      </c>
      <c r="DA120" s="43">
        <f t="shared" si="969"/>
        <v>4.1666666666666675E-3</v>
      </c>
      <c r="DB120" s="43">
        <f t="shared" si="970"/>
        <v>4.000000000000001E-3</v>
      </c>
      <c r="DC120" s="43">
        <f t="shared" si="971"/>
        <v>3.8333333333333344E-3</v>
      </c>
      <c r="DD120" s="43">
        <f t="shared" si="972"/>
        <v>3.6666666666666679E-3</v>
      </c>
      <c r="DE120" s="43">
        <f t="shared" si="973"/>
        <v>3.5000000000000014E-3</v>
      </c>
      <c r="DF120" s="43">
        <f t="shared" si="974"/>
        <v>3.3333333333333348E-3</v>
      </c>
      <c r="DG120" s="43">
        <f t="shared" si="975"/>
        <v>3.1666666666666683E-3</v>
      </c>
      <c r="DH120" s="43">
        <f t="shared" si="976"/>
        <v>3.0000000000000018E-3</v>
      </c>
      <c r="DI120" s="43">
        <f t="shared" si="977"/>
        <v>2.8333333333333353E-3</v>
      </c>
      <c r="DJ120" s="43">
        <f t="shared" si="978"/>
        <v>2.6666666666666687E-3</v>
      </c>
      <c r="DK120" s="43">
        <f t="shared" si="979"/>
        <v>2.5000000000000022E-3</v>
      </c>
      <c r="DL120" s="43">
        <f t="shared" si="980"/>
        <v>2.3333333333333357E-3</v>
      </c>
      <c r="DM120" s="43">
        <f t="shared" si="981"/>
        <v>2.1666666666666692E-3</v>
      </c>
      <c r="DN120" s="43">
        <f t="shared" si="982"/>
        <v>2.0000000000000026E-3</v>
      </c>
      <c r="DO120" s="43">
        <f t="shared" si="983"/>
        <v>1.8333333333333359E-3</v>
      </c>
      <c r="DP120" s="43">
        <f t="shared" si="984"/>
        <v>1.6666666666666692E-3</v>
      </c>
      <c r="DQ120" s="43">
        <f t="shared" si="985"/>
        <v>1.5000000000000024E-3</v>
      </c>
      <c r="DR120" s="43">
        <f t="shared" si="986"/>
        <v>1.3333333333333357E-3</v>
      </c>
      <c r="DS120" s="43">
        <f t="shared" si="987"/>
        <v>1.1666666666666689E-3</v>
      </c>
      <c r="DT120" s="43">
        <f t="shared" si="988"/>
        <v>1.0000000000000022E-3</v>
      </c>
      <c r="DU120" s="43">
        <f t="shared" si="989"/>
        <v>8.3333333333333556E-4</v>
      </c>
      <c r="DV120" s="43">
        <f t="shared" si="990"/>
        <v>6.6666666666666892E-4</v>
      </c>
      <c r="DW120" s="43">
        <f t="shared" si="991"/>
        <v>5.0000000000000229E-4</v>
      </c>
      <c r="DX120" s="43">
        <f t="shared" si="992"/>
        <v>3.3333333333333565E-4</v>
      </c>
      <c r="DY120" s="43">
        <f t="shared" si="993"/>
        <v>1.6666666666666899E-4</v>
      </c>
      <c r="DZ120" s="43">
        <f t="shared" si="994"/>
        <v>0</v>
      </c>
    </row>
    <row r="121" spans="1:165">
      <c r="A121" s="606" t="s">
        <v>451</v>
      </c>
      <c r="C121" s="54" t="s">
        <v>458</v>
      </c>
      <c r="D121" s="43">
        <f>$B$191</f>
        <v>0</v>
      </c>
      <c r="E121" s="43">
        <f t="shared" ref="E121:AG121" si="1007">D121-($D121-$AH121)/30</f>
        <v>0</v>
      </c>
      <c r="F121" s="43">
        <f t="shared" si="1007"/>
        <v>0</v>
      </c>
      <c r="G121" s="43">
        <f t="shared" si="1007"/>
        <v>0</v>
      </c>
      <c r="H121" s="43">
        <f t="shared" si="1007"/>
        <v>0</v>
      </c>
      <c r="I121" s="43">
        <f t="shared" si="1007"/>
        <v>0</v>
      </c>
      <c r="J121" s="43">
        <f t="shared" si="1007"/>
        <v>0</v>
      </c>
      <c r="K121" s="43">
        <f t="shared" si="1007"/>
        <v>0</v>
      </c>
      <c r="L121" s="43">
        <f t="shared" si="1007"/>
        <v>0</v>
      </c>
      <c r="M121" s="43">
        <f t="shared" si="1007"/>
        <v>0</v>
      </c>
      <c r="N121" s="43">
        <f t="shared" si="1007"/>
        <v>0</v>
      </c>
      <c r="O121" s="43">
        <f t="shared" si="1007"/>
        <v>0</v>
      </c>
      <c r="P121" s="43">
        <f t="shared" si="1007"/>
        <v>0</v>
      </c>
      <c r="Q121" s="43">
        <f t="shared" si="1007"/>
        <v>0</v>
      </c>
      <c r="R121" s="43">
        <f t="shared" si="1007"/>
        <v>0</v>
      </c>
      <c r="S121" s="43">
        <f t="shared" si="1007"/>
        <v>0</v>
      </c>
      <c r="T121" s="43">
        <f t="shared" si="1007"/>
        <v>0</v>
      </c>
      <c r="U121" s="43">
        <f t="shared" si="1007"/>
        <v>0</v>
      </c>
      <c r="V121" s="43">
        <f t="shared" si="1007"/>
        <v>0</v>
      </c>
      <c r="W121" s="43">
        <f t="shared" si="1007"/>
        <v>0</v>
      </c>
      <c r="X121" s="43">
        <f t="shared" si="1007"/>
        <v>0</v>
      </c>
      <c r="Y121" s="43">
        <f t="shared" si="1007"/>
        <v>0</v>
      </c>
      <c r="Z121" s="43">
        <f t="shared" si="1007"/>
        <v>0</v>
      </c>
      <c r="AA121" s="43">
        <f t="shared" si="1007"/>
        <v>0</v>
      </c>
      <c r="AB121" s="43">
        <f t="shared" si="1007"/>
        <v>0</v>
      </c>
      <c r="AC121" s="43">
        <f t="shared" si="1007"/>
        <v>0</v>
      </c>
      <c r="AD121" s="43">
        <f t="shared" si="1007"/>
        <v>0</v>
      </c>
      <c r="AE121" s="43">
        <f t="shared" si="1007"/>
        <v>0</v>
      </c>
      <c r="AF121" s="43">
        <f t="shared" si="1007"/>
        <v>0</v>
      </c>
      <c r="AG121" s="43">
        <f t="shared" si="1007"/>
        <v>0</v>
      </c>
      <c r="AH121" s="43">
        <f>$C$191</f>
        <v>0</v>
      </c>
      <c r="AI121" s="44"/>
      <c r="AJ121" s="43">
        <f t="shared" si="996"/>
        <v>0</v>
      </c>
      <c r="AK121" s="43">
        <f t="shared" si="934"/>
        <v>0</v>
      </c>
      <c r="AL121" s="43">
        <f t="shared" si="935"/>
        <v>0</v>
      </c>
      <c r="AM121" s="43">
        <f t="shared" si="936"/>
        <v>0</v>
      </c>
      <c r="AN121" s="43">
        <f t="shared" si="937"/>
        <v>0</v>
      </c>
      <c r="AO121" s="43">
        <f t="shared" si="938"/>
        <v>0</v>
      </c>
      <c r="AP121" s="43">
        <f t="shared" si="939"/>
        <v>0</v>
      </c>
      <c r="AQ121" s="43">
        <f t="shared" si="940"/>
        <v>0</v>
      </c>
      <c r="AR121" s="43">
        <f t="shared" si="941"/>
        <v>0</v>
      </c>
      <c r="AS121" s="43">
        <f t="shared" si="942"/>
        <v>0</v>
      </c>
      <c r="AT121" s="43">
        <f t="shared" si="943"/>
        <v>0</v>
      </c>
      <c r="AU121" s="43">
        <f t="shared" si="944"/>
        <v>0</v>
      </c>
      <c r="AV121" s="43">
        <f t="shared" si="945"/>
        <v>0</v>
      </c>
      <c r="AW121" s="43">
        <f t="shared" si="946"/>
        <v>0</v>
      </c>
      <c r="AX121" s="43">
        <f t="shared" si="947"/>
        <v>0</v>
      </c>
      <c r="AY121" s="43">
        <f t="shared" si="948"/>
        <v>0</v>
      </c>
      <c r="AZ121" s="43">
        <f t="shared" si="949"/>
        <v>0</v>
      </c>
      <c r="BA121" s="43">
        <f t="shared" si="950"/>
        <v>0</v>
      </c>
      <c r="BB121" s="43">
        <f t="shared" si="951"/>
        <v>0</v>
      </c>
      <c r="BC121" s="43">
        <f t="shared" si="952"/>
        <v>0</v>
      </c>
      <c r="BD121" s="43">
        <f t="shared" si="953"/>
        <v>0</v>
      </c>
      <c r="BE121" s="43">
        <f t="shared" si="954"/>
        <v>0</v>
      </c>
      <c r="BF121" s="43">
        <f t="shared" si="955"/>
        <v>0</v>
      </c>
      <c r="BG121" s="43">
        <f t="shared" si="956"/>
        <v>0</v>
      </c>
      <c r="BH121" s="43">
        <f t="shared" si="957"/>
        <v>0</v>
      </c>
      <c r="BI121" s="43">
        <f t="shared" si="958"/>
        <v>0</v>
      </c>
      <c r="BJ121" s="43">
        <f t="shared" si="959"/>
        <v>0</v>
      </c>
      <c r="BK121" s="43">
        <f t="shared" si="960"/>
        <v>0</v>
      </c>
      <c r="BL121" s="43">
        <f t="shared" si="961"/>
        <v>0</v>
      </c>
      <c r="BM121" s="43">
        <f t="shared" si="962"/>
        <v>0</v>
      </c>
      <c r="BN121" s="43">
        <f t="shared" si="963"/>
        <v>0</v>
      </c>
      <c r="BP121" s="43">
        <f t="shared" si="997"/>
        <v>0</v>
      </c>
      <c r="BQ121" s="43">
        <f t="shared" ref="BQ121:CS121" si="1008">BP121-($BP121-$CT121)/30</f>
        <v>0</v>
      </c>
      <c r="BR121" s="43">
        <f t="shared" si="1008"/>
        <v>0</v>
      </c>
      <c r="BS121" s="43">
        <f t="shared" si="1008"/>
        <v>0</v>
      </c>
      <c r="BT121" s="43">
        <f t="shared" si="1008"/>
        <v>0</v>
      </c>
      <c r="BU121" s="43">
        <f t="shared" si="1008"/>
        <v>0</v>
      </c>
      <c r="BV121" s="43">
        <f t="shared" si="1008"/>
        <v>0</v>
      </c>
      <c r="BW121" s="43">
        <f t="shared" si="1008"/>
        <v>0</v>
      </c>
      <c r="BX121" s="43">
        <f t="shared" si="1008"/>
        <v>0</v>
      </c>
      <c r="BY121" s="43">
        <f t="shared" si="1008"/>
        <v>0</v>
      </c>
      <c r="BZ121" s="43">
        <f t="shared" si="1008"/>
        <v>0</v>
      </c>
      <c r="CA121" s="43">
        <f t="shared" si="1008"/>
        <v>0</v>
      </c>
      <c r="CB121" s="43">
        <f t="shared" si="1008"/>
        <v>0</v>
      </c>
      <c r="CC121" s="43">
        <f t="shared" si="1008"/>
        <v>0</v>
      </c>
      <c r="CD121" s="43">
        <f t="shared" si="1008"/>
        <v>0</v>
      </c>
      <c r="CE121" s="43">
        <f t="shared" si="1008"/>
        <v>0</v>
      </c>
      <c r="CF121" s="43">
        <f t="shared" si="1008"/>
        <v>0</v>
      </c>
      <c r="CG121" s="43">
        <f t="shared" si="1008"/>
        <v>0</v>
      </c>
      <c r="CH121" s="43">
        <f t="shared" si="1008"/>
        <v>0</v>
      </c>
      <c r="CI121" s="43">
        <f t="shared" si="1008"/>
        <v>0</v>
      </c>
      <c r="CJ121" s="43">
        <f t="shared" si="1008"/>
        <v>0</v>
      </c>
      <c r="CK121" s="43">
        <f t="shared" si="1008"/>
        <v>0</v>
      </c>
      <c r="CL121" s="43">
        <f t="shared" si="1008"/>
        <v>0</v>
      </c>
      <c r="CM121" s="43">
        <f t="shared" si="1008"/>
        <v>0</v>
      </c>
      <c r="CN121" s="43">
        <f t="shared" si="1008"/>
        <v>0</v>
      </c>
      <c r="CO121" s="43">
        <f t="shared" si="1008"/>
        <v>0</v>
      </c>
      <c r="CP121" s="43">
        <f t="shared" si="1008"/>
        <v>0</v>
      </c>
      <c r="CQ121" s="43">
        <f t="shared" si="1008"/>
        <v>0</v>
      </c>
      <c r="CR121" s="43">
        <f t="shared" si="1008"/>
        <v>0</v>
      </c>
      <c r="CS121" s="43">
        <f t="shared" si="1008"/>
        <v>0</v>
      </c>
      <c r="CT121" s="43">
        <f t="shared" si="1006"/>
        <v>0</v>
      </c>
      <c r="CV121" s="43">
        <f t="shared" ref="CV121:CV124" si="1009">AJ121</f>
        <v>0</v>
      </c>
      <c r="CW121" s="43">
        <f t="shared" ref="CW121:CW124" si="1010">CV121-($BP121-$CT121)/30</f>
        <v>0</v>
      </c>
      <c r="CX121" s="43">
        <f t="shared" ref="CX121:CX124" si="1011">CW121-($BP121-$CT121)/30</f>
        <v>0</v>
      </c>
      <c r="CY121" s="43">
        <f t="shared" ref="CY121:CY124" si="1012">CX121-($BP121-$CT121)/30</f>
        <v>0</v>
      </c>
      <c r="CZ121" s="43">
        <f t="shared" ref="CZ121:CZ124" si="1013">CY121-($BP121-$CT121)/30</f>
        <v>0</v>
      </c>
      <c r="DA121" s="43">
        <f t="shared" ref="DA121:DA124" si="1014">CZ121-($BP121-$CT121)/30</f>
        <v>0</v>
      </c>
      <c r="DB121" s="43">
        <f t="shared" ref="DB121:DB124" si="1015">DA121-($BP121-$CT121)/30</f>
        <v>0</v>
      </c>
      <c r="DC121" s="43">
        <f t="shared" ref="DC121:DC124" si="1016">DB121-($BP121-$CT121)/30</f>
        <v>0</v>
      </c>
      <c r="DD121" s="43">
        <f t="shared" ref="DD121:DD124" si="1017">DC121-($BP121-$CT121)/30</f>
        <v>0</v>
      </c>
      <c r="DE121" s="43">
        <f t="shared" ref="DE121:DE124" si="1018">DD121-($BP121-$CT121)/30</f>
        <v>0</v>
      </c>
      <c r="DF121" s="43">
        <f t="shared" ref="DF121:DF124" si="1019">DE121-($BP121-$CT121)/30</f>
        <v>0</v>
      </c>
      <c r="DG121" s="43">
        <f t="shared" ref="DG121:DG124" si="1020">DF121-($BP121-$CT121)/30</f>
        <v>0</v>
      </c>
      <c r="DH121" s="43">
        <f t="shared" ref="DH121:DH124" si="1021">DG121-($BP121-$CT121)/30</f>
        <v>0</v>
      </c>
      <c r="DI121" s="43">
        <f t="shared" ref="DI121:DI124" si="1022">DH121-($BP121-$CT121)/30</f>
        <v>0</v>
      </c>
      <c r="DJ121" s="43">
        <f t="shared" ref="DJ121:DJ124" si="1023">DI121-($BP121-$CT121)/30</f>
        <v>0</v>
      </c>
      <c r="DK121" s="43">
        <f t="shared" ref="DK121:DK124" si="1024">DJ121-($BP121-$CT121)/30</f>
        <v>0</v>
      </c>
      <c r="DL121" s="43">
        <f t="shared" ref="DL121:DL124" si="1025">DK121-($BP121-$CT121)/30</f>
        <v>0</v>
      </c>
      <c r="DM121" s="43">
        <f t="shared" ref="DM121:DM124" si="1026">DL121-($BP121-$CT121)/30</f>
        <v>0</v>
      </c>
      <c r="DN121" s="43">
        <f t="shared" ref="DN121:DN124" si="1027">DM121-($BP121-$CT121)/30</f>
        <v>0</v>
      </c>
      <c r="DO121" s="43">
        <f t="shared" ref="DO121:DO124" si="1028">DN121-($BP121-$CT121)/30</f>
        <v>0</v>
      </c>
      <c r="DP121" s="43">
        <f t="shared" ref="DP121:DP124" si="1029">DO121-($BP121-$CT121)/30</f>
        <v>0</v>
      </c>
      <c r="DQ121" s="43">
        <f t="shared" ref="DQ121:DQ124" si="1030">DP121-($BP121-$CT121)/30</f>
        <v>0</v>
      </c>
      <c r="DR121" s="43">
        <f t="shared" ref="DR121:DR124" si="1031">DQ121-($BP121-$CT121)/30</f>
        <v>0</v>
      </c>
      <c r="DS121" s="43">
        <f t="shared" ref="DS121:DS124" si="1032">DR121-($BP121-$CT121)/30</f>
        <v>0</v>
      </c>
      <c r="DT121" s="43">
        <f t="shared" ref="DT121:DT124" si="1033">DS121-($BP121-$CT121)/30</f>
        <v>0</v>
      </c>
      <c r="DU121" s="43">
        <f t="shared" ref="DU121:DU124" si="1034">DT121-($BP121-$CT121)/30</f>
        <v>0</v>
      </c>
      <c r="DV121" s="43">
        <f t="shared" ref="DV121:DV124" si="1035">DU121-($BP121-$CT121)/30</f>
        <v>0</v>
      </c>
      <c r="DW121" s="43">
        <f t="shared" ref="DW121:DW124" si="1036">DV121-($BP121-$CT121)/30</f>
        <v>0</v>
      </c>
      <c r="DX121" s="43">
        <f t="shared" ref="DX121:DX124" si="1037">DW121-($BP121-$CT121)/30</f>
        <v>0</v>
      </c>
      <c r="DY121" s="43">
        <f t="shared" ref="DY121:DY124" si="1038">DX121-($BP121-$CT121)/30</f>
        <v>0</v>
      </c>
      <c r="DZ121" s="43">
        <v>0</v>
      </c>
    </row>
    <row r="122" spans="1:165">
      <c r="A122" s="606" t="s">
        <v>452</v>
      </c>
      <c r="C122" s="54" t="s">
        <v>458</v>
      </c>
      <c r="D122" s="43">
        <f>$B$192</f>
        <v>2.8940000000000001</v>
      </c>
      <c r="E122" s="43">
        <f t="shared" ref="E122:AG122" si="1039">D122-($D122-$AH122)/30</f>
        <v>2.8940000000000001</v>
      </c>
      <c r="F122" s="43">
        <f t="shared" si="1039"/>
        <v>2.8940000000000001</v>
      </c>
      <c r="G122" s="43">
        <f t="shared" si="1039"/>
        <v>2.8940000000000001</v>
      </c>
      <c r="H122" s="43">
        <f t="shared" si="1039"/>
        <v>2.8940000000000001</v>
      </c>
      <c r="I122" s="43">
        <f t="shared" si="1039"/>
        <v>2.8940000000000001</v>
      </c>
      <c r="J122" s="43">
        <f t="shared" si="1039"/>
        <v>2.8940000000000001</v>
      </c>
      <c r="K122" s="43">
        <f t="shared" si="1039"/>
        <v>2.8940000000000001</v>
      </c>
      <c r="L122" s="43">
        <f t="shared" si="1039"/>
        <v>2.8940000000000001</v>
      </c>
      <c r="M122" s="43">
        <f t="shared" si="1039"/>
        <v>2.8940000000000001</v>
      </c>
      <c r="N122" s="43">
        <f t="shared" si="1039"/>
        <v>2.8940000000000001</v>
      </c>
      <c r="O122" s="43">
        <f t="shared" si="1039"/>
        <v>2.8940000000000001</v>
      </c>
      <c r="P122" s="43">
        <f t="shared" si="1039"/>
        <v>2.8940000000000001</v>
      </c>
      <c r="Q122" s="43">
        <f t="shared" si="1039"/>
        <v>2.8940000000000001</v>
      </c>
      <c r="R122" s="43">
        <f t="shared" si="1039"/>
        <v>2.8940000000000001</v>
      </c>
      <c r="S122" s="43">
        <f t="shared" si="1039"/>
        <v>2.8940000000000001</v>
      </c>
      <c r="T122" s="43">
        <f t="shared" si="1039"/>
        <v>2.8940000000000001</v>
      </c>
      <c r="U122" s="43">
        <f t="shared" si="1039"/>
        <v>2.8940000000000001</v>
      </c>
      <c r="V122" s="43">
        <f t="shared" si="1039"/>
        <v>2.8940000000000001</v>
      </c>
      <c r="W122" s="43">
        <f t="shared" si="1039"/>
        <v>2.8940000000000001</v>
      </c>
      <c r="X122" s="43">
        <f t="shared" si="1039"/>
        <v>2.8940000000000001</v>
      </c>
      <c r="Y122" s="43">
        <f t="shared" si="1039"/>
        <v>2.8940000000000001</v>
      </c>
      <c r="Z122" s="43">
        <f t="shared" si="1039"/>
        <v>2.8940000000000001</v>
      </c>
      <c r="AA122" s="43">
        <f t="shared" si="1039"/>
        <v>2.8940000000000001</v>
      </c>
      <c r="AB122" s="43">
        <f t="shared" si="1039"/>
        <v>2.8940000000000001</v>
      </c>
      <c r="AC122" s="43">
        <f t="shared" si="1039"/>
        <v>2.8940000000000001</v>
      </c>
      <c r="AD122" s="43">
        <f t="shared" si="1039"/>
        <v>2.8940000000000001</v>
      </c>
      <c r="AE122" s="43">
        <f t="shared" si="1039"/>
        <v>2.8940000000000001</v>
      </c>
      <c r="AF122" s="43">
        <f t="shared" si="1039"/>
        <v>2.8940000000000001</v>
      </c>
      <c r="AG122" s="43">
        <f t="shared" si="1039"/>
        <v>2.8940000000000001</v>
      </c>
      <c r="AH122" s="43">
        <f>$C$192</f>
        <v>2.8940000000000001</v>
      </c>
      <c r="AI122" s="44"/>
      <c r="AJ122" s="43">
        <f t="shared" si="996"/>
        <v>2.8940000000000001</v>
      </c>
      <c r="AK122" s="43">
        <f t="shared" si="934"/>
        <v>2.8940000000000001</v>
      </c>
      <c r="AL122" s="43">
        <f t="shared" si="935"/>
        <v>2.8940000000000001</v>
      </c>
      <c r="AM122" s="43">
        <f t="shared" si="936"/>
        <v>2.8940000000000001</v>
      </c>
      <c r="AN122" s="43">
        <f t="shared" si="937"/>
        <v>2.8940000000000001</v>
      </c>
      <c r="AO122" s="43">
        <f t="shared" si="938"/>
        <v>2.8940000000000001</v>
      </c>
      <c r="AP122" s="43">
        <f t="shared" si="939"/>
        <v>2.8940000000000001</v>
      </c>
      <c r="AQ122" s="43">
        <f t="shared" si="940"/>
        <v>2.8940000000000001</v>
      </c>
      <c r="AR122" s="43">
        <f t="shared" si="941"/>
        <v>2.8940000000000001</v>
      </c>
      <c r="AS122" s="43">
        <f t="shared" si="942"/>
        <v>2.8940000000000001</v>
      </c>
      <c r="AT122" s="43">
        <f t="shared" si="943"/>
        <v>2.8940000000000001</v>
      </c>
      <c r="AU122" s="43">
        <f t="shared" si="944"/>
        <v>2.8940000000000001</v>
      </c>
      <c r="AV122" s="43">
        <f t="shared" si="945"/>
        <v>2.8940000000000001</v>
      </c>
      <c r="AW122" s="43">
        <f t="shared" si="946"/>
        <v>2.8940000000000001</v>
      </c>
      <c r="AX122" s="43">
        <f t="shared" si="947"/>
        <v>2.8940000000000001</v>
      </c>
      <c r="AY122" s="43">
        <f t="shared" si="948"/>
        <v>2.8940000000000001</v>
      </c>
      <c r="AZ122" s="43">
        <f t="shared" si="949"/>
        <v>2.8940000000000001</v>
      </c>
      <c r="BA122" s="43">
        <f t="shared" si="950"/>
        <v>2.8940000000000001</v>
      </c>
      <c r="BB122" s="43">
        <f t="shared" si="951"/>
        <v>2.8940000000000001</v>
      </c>
      <c r="BC122" s="43">
        <f t="shared" si="952"/>
        <v>2.8940000000000001</v>
      </c>
      <c r="BD122" s="43">
        <f t="shared" si="953"/>
        <v>2.8940000000000001</v>
      </c>
      <c r="BE122" s="43">
        <f t="shared" si="954"/>
        <v>2.8940000000000001</v>
      </c>
      <c r="BF122" s="43">
        <f t="shared" si="955"/>
        <v>2.8940000000000001</v>
      </c>
      <c r="BG122" s="43">
        <f t="shared" si="956"/>
        <v>2.8940000000000001</v>
      </c>
      <c r="BH122" s="43">
        <f t="shared" si="957"/>
        <v>2.8940000000000001</v>
      </c>
      <c r="BI122" s="43">
        <f t="shared" si="958"/>
        <v>2.8940000000000001</v>
      </c>
      <c r="BJ122" s="43">
        <f t="shared" si="959"/>
        <v>2.8940000000000001</v>
      </c>
      <c r="BK122" s="43">
        <f t="shared" si="960"/>
        <v>2.8940000000000001</v>
      </c>
      <c r="BL122" s="43">
        <f t="shared" si="961"/>
        <v>2.8940000000000001</v>
      </c>
      <c r="BM122" s="43">
        <f t="shared" si="962"/>
        <v>2.8940000000000001</v>
      </c>
      <c r="BN122" s="43">
        <f t="shared" si="963"/>
        <v>2.8940000000000001</v>
      </c>
      <c r="BP122" s="43">
        <f t="shared" si="997"/>
        <v>2.8940000000000001</v>
      </c>
      <c r="BQ122" s="43">
        <f t="shared" ref="BQ122:CS122" si="1040">BP122-($BP122-$CT122)/30</f>
        <v>2.8940000000000001</v>
      </c>
      <c r="BR122" s="43">
        <f t="shared" si="1040"/>
        <v>2.8940000000000001</v>
      </c>
      <c r="BS122" s="43">
        <f t="shared" si="1040"/>
        <v>2.8940000000000001</v>
      </c>
      <c r="BT122" s="43">
        <f t="shared" si="1040"/>
        <v>2.8940000000000001</v>
      </c>
      <c r="BU122" s="43">
        <f t="shared" si="1040"/>
        <v>2.8940000000000001</v>
      </c>
      <c r="BV122" s="43">
        <f t="shared" si="1040"/>
        <v>2.8940000000000001</v>
      </c>
      <c r="BW122" s="43">
        <f t="shared" si="1040"/>
        <v>2.8940000000000001</v>
      </c>
      <c r="BX122" s="43">
        <f t="shared" si="1040"/>
        <v>2.8940000000000001</v>
      </c>
      <c r="BY122" s="43">
        <f t="shared" si="1040"/>
        <v>2.8940000000000001</v>
      </c>
      <c r="BZ122" s="43">
        <f t="shared" si="1040"/>
        <v>2.8940000000000001</v>
      </c>
      <c r="CA122" s="43">
        <f t="shared" si="1040"/>
        <v>2.8940000000000001</v>
      </c>
      <c r="CB122" s="43">
        <f t="shared" si="1040"/>
        <v>2.8940000000000001</v>
      </c>
      <c r="CC122" s="43">
        <f t="shared" si="1040"/>
        <v>2.8940000000000001</v>
      </c>
      <c r="CD122" s="43">
        <f t="shared" si="1040"/>
        <v>2.8940000000000001</v>
      </c>
      <c r="CE122" s="43">
        <f t="shared" si="1040"/>
        <v>2.8940000000000001</v>
      </c>
      <c r="CF122" s="43">
        <f t="shared" si="1040"/>
        <v>2.8940000000000001</v>
      </c>
      <c r="CG122" s="43">
        <f t="shared" si="1040"/>
        <v>2.8940000000000001</v>
      </c>
      <c r="CH122" s="43">
        <f t="shared" si="1040"/>
        <v>2.8940000000000001</v>
      </c>
      <c r="CI122" s="43">
        <f t="shared" si="1040"/>
        <v>2.8940000000000001</v>
      </c>
      <c r="CJ122" s="43">
        <f t="shared" si="1040"/>
        <v>2.8940000000000001</v>
      </c>
      <c r="CK122" s="43">
        <f t="shared" si="1040"/>
        <v>2.8940000000000001</v>
      </c>
      <c r="CL122" s="43">
        <f t="shared" si="1040"/>
        <v>2.8940000000000001</v>
      </c>
      <c r="CM122" s="43">
        <f t="shared" si="1040"/>
        <v>2.8940000000000001</v>
      </c>
      <c r="CN122" s="43">
        <f t="shared" si="1040"/>
        <v>2.8940000000000001</v>
      </c>
      <c r="CO122" s="43">
        <f t="shared" si="1040"/>
        <v>2.8940000000000001</v>
      </c>
      <c r="CP122" s="43">
        <f t="shared" si="1040"/>
        <v>2.8940000000000001</v>
      </c>
      <c r="CQ122" s="43">
        <f t="shared" si="1040"/>
        <v>2.8940000000000001</v>
      </c>
      <c r="CR122" s="43">
        <f t="shared" si="1040"/>
        <v>2.8940000000000001</v>
      </c>
      <c r="CS122" s="43">
        <f t="shared" si="1040"/>
        <v>2.8940000000000001</v>
      </c>
      <c r="CT122" s="43">
        <f t="shared" si="1006"/>
        <v>2.8940000000000001</v>
      </c>
      <c r="CV122" s="43">
        <f t="shared" si="1009"/>
        <v>2.8940000000000001</v>
      </c>
      <c r="CW122" s="43">
        <f t="shared" si="1010"/>
        <v>2.8940000000000001</v>
      </c>
      <c r="CX122" s="43">
        <f t="shared" si="1011"/>
        <v>2.8940000000000001</v>
      </c>
      <c r="CY122" s="43">
        <f t="shared" si="1012"/>
        <v>2.8940000000000001</v>
      </c>
      <c r="CZ122" s="43">
        <f t="shared" si="1013"/>
        <v>2.8940000000000001</v>
      </c>
      <c r="DA122" s="43">
        <f t="shared" si="1014"/>
        <v>2.8940000000000001</v>
      </c>
      <c r="DB122" s="43">
        <f t="shared" si="1015"/>
        <v>2.8940000000000001</v>
      </c>
      <c r="DC122" s="43">
        <f t="shared" si="1016"/>
        <v>2.8940000000000001</v>
      </c>
      <c r="DD122" s="43">
        <f t="shared" si="1017"/>
        <v>2.8940000000000001</v>
      </c>
      <c r="DE122" s="43">
        <f t="shared" si="1018"/>
        <v>2.8940000000000001</v>
      </c>
      <c r="DF122" s="43">
        <f t="shared" si="1019"/>
        <v>2.8940000000000001</v>
      </c>
      <c r="DG122" s="43">
        <f t="shared" si="1020"/>
        <v>2.8940000000000001</v>
      </c>
      <c r="DH122" s="43">
        <f t="shared" si="1021"/>
        <v>2.8940000000000001</v>
      </c>
      <c r="DI122" s="43">
        <f t="shared" si="1022"/>
        <v>2.8940000000000001</v>
      </c>
      <c r="DJ122" s="43">
        <f t="shared" si="1023"/>
        <v>2.8940000000000001</v>
      </c>
      <c r="DK122" s="43">
        <f t="shared" si="1024"/>
        <v>2.8940000000000001</v>
      </c>
      <c r="DL122" s="43">
        <f t="shared" si="1025"/>
        <v>2.8940000000000001</v>
      </c>
      <c r="DM122" s="43">
        <f t="shared" si="1026"/>
        <v>2.8940000000000001</v>
      </c>
      <c r="DN122" s="43">
        <f t="shared" si="1027"/>
        <v>2.8940000000000001</v>
      </c>
      <c r="DO122" s="43">
        <f t="shared" si="1028"/>
        <v>2.8940000000000001</v>
      </c>
      <c r="DP122" s="43">
        <f t="shared" si="1029"/>
        <v>2.8940000000000001</v>
      </c>
      <c r="DQ122" s="43">
        <f t="shared" si="1030"/>
        <v>2.8940000000000001</v>
      </c>
      <c r="DR122" s="43">
        <f t="shared" si="1031"/>
        <v>2.8940000000000001</v>
      </c>
      <c r="DS122" s="43">
        <f t="shared" si="1032"/>
        <v>2.8940000000000001</v>
      </c>
      <c r="DT122" s="43">
        <f t="shared" si="1033"/>
        <v>2.8940000000000001</v>
      </c>
      <c r="DU122" s="43">
        <f t="shared" si="1034"/>
        <v>2.8940000000000001</v>
      </c>
      <c r="DV122" s="43">
        <f t="shared" si="1035"/>
        <v>2.8940000000000001</v>
      </c>
      <c r="DW122" s="43">
        <f t="shared" si="1036"/>
        <v>2.8940000000000001</v>
      </c>
      <c r="DX122" s="43">
        <f t="shared" si="1037"/>
        <v>2.8940000000000001</v>
      </c>
      <c r="DY122" s="43">
        <f t="shared" si="1038"/>
        <v>2.8940000000000001</v>
      </c>
      <c r="DZ122" s="43">
        <f t="shared" ref="DZ122:DZ124" si="1041">CV122</f>
        <v>2.8940000000000001</v>
      </c>
    </row>
    <row r="123" spans="1:165">
      <c r="A123" s="606" t="s">
        <v>453</v>
      </c>
      <c r="C123" s="54" t="s">
        <v>458</v>
      </c>
      <c r="D123" s="43">
        <f>$B$193</f>
        <v>0</v>
      </c>
      <c r="E123" s="43">
        <f t="shared" ref="E123:AG123" si="1042">D123-($D123-$AH123)/30</f>
        <v>0</v>
      </c>
      <c r="F123" s="43">
        <f t="shared" si="1042"/>
        <v>0</v>
      </c>
      <c r="G123" s="43">
        <f t="shared" si="1042"/>
        <v>0</v>
      </c>
      <c r="H123" s="43">
        <f t="shared" si="1042"/>
        <v>0</v>
      </c>
      <c r="I123" s="43">
        <f t="shared" si="1042"/>
        <v>0</v>
      </c>
      <c r="J123" s="43">
        <f t="shared" si="1042"/>
        <v>0</v>
      </c>
      <c r="K123" s="43">
        <f t="shared" si="1042"/>
        <v>0</v>
      </c>
      <c r="L123" s="43">
        <f t="shared" si="1042"/>
        <v>0</v>
      </c>
      <c r="M123" s="43">
        <f t="shared" si="1042"/>
        <v>0</v>
      </c>
      <c r="N123" s="43">
        <f t="shared" si="1042"/>
        <v>0</v>
      </c>
      <c r="O123" s="43">
        <f t="shared" si="1042"/>
        <v>0</v>
      </c>
      <c r="P123" s="43">
        <f t="shared" si="1042"/>
        <v>0</v>
      </c>
      <c r="Q123" s="43">
        <f t="shared" si="1042"/>
        <v>0</v>
      </c>
      <c r="R123" s="43">
        <f t="shared" si="1042"/>
        <v>0</v>
      </c>
      <c r="S123" s="43">
        <f t="shared" si="1042"/>
        <v>0</v>
      </c>
      <c r="T123" s="43">
        <f t="shared" si="1042"/>
        <v>0</v>
      </c>
      <c r="U123" s="43">
        <f t="shared" si="1042"/>
        <v>0</v>
      </c>
      <c r="V123" s="43">
        <f t="shared" si="1042"/>
        <v>0</v>
      </c>
      <c r="W123" s="43">
        <f t="shared" si="1042"/>
        <v>0</v>
      </c>
      <c r="X123" s="43">
        <f t="shared" si="1042"/>
        <v>0</v>
      </c>
      <c r="Y123" s="43">
        <f t="shared" si="1042"/>
        <v>0</v>
      </c>
      <c r="Z123" s="43">
        <f t="shared" si="1042"/>
        <v>0</v>
      </c>
      <c r="AA123" s="43">
        <f t="shared" si="1042"/>
        <v>0</v>
      </c>
      <c r="AB123" s="43">
        <f t="shared" si="1042"/>
        <v>0</v>
      </c>
      <c r="AC123" s="43">
        <f t="shared" si="1042"/>
        <v>0</v>
      </c>
      <c r="AD123" s="43">
        <f t="shared" si="1042"/>
        <v>0</v>
      </c>
      <c r="AE123" s="43">
        <f t="shared" si="1042"/>
        <v>0</v>
      </c>
      <c r="AF123" s="43">
        <f t="shared" si="1042"/>
        <v>0</v>
      </c>
      <c r="AG123" s="43">
        <f t="shared" si="1042"/>
        <v>0</v>
      </c>
      <c r="AH123" s="43">
        <f>$C$193</f>
        <v>0</v>
      </c>
      <c r="AI123" s="44"/>
      <c r="AJ123" s="43">
        <f t="shared" si="996"/>
        <v>0</v>
      </c>
      <c r="AK123" s="43">
        <f t="shared" si="934"/>
        <v>0</v>
      </c>
      <c r="AL123" s="43">
        <f t="shared" si="935"/>
        <v>0</v>
      </c>
      <c r="AM123" s="43">
        <f t="shared" si="936"/>
        <v>0</v>
      </c>
      <c r="AN123" s="43">
        <f t="shared" si="937"/>
        <v>0</v>
      </c>
      <c r="AO123" s="43">
        <f t="shared" si="938"/>
        <v>0</v>
      </c>
      <c r="AP123" s="43">
        <f t="shared" si="939"/>
        <v>0</v>
      </c>
      <c r="AQ123" s="43">
        <f t="shared" si="940"/>
        <v>0</v>
      </c>
      <c r="AR123" s="43">
        <f t="shared" si="941"/>
        <v>0</v>
      </c>
      <c r="AS123" s="43">
        <f t="shared" si="942"/>
        <v>0</v>
      </c>
      <c r="AT123" s="43">
        <f t="shared" si="943"/>
        <v>0</v>
      </c>
      <c r="AU123" s="43">
        <f t="shared" si="944"/>
        <v>0</v>
      </c>
      <c r="AV123" s="43">
        <f t="shared" si="945"/>
        <v>0</v>
      </c>
      <c r="AW123" s="43">
        <f t="shared" si="946"/>
        <v>0</v>
      </c>
      <c r="AX123" s="43">
        <f t="shared" si="947"/>
        <v>0</v>
      </c>
      <c r="AY123" s="43">
        <f t="shared" si="948"/>
        <v>0</v>
      </c>
      <c r="AZ123" s="43">
        <f t="shared" si="949"/>
        <v>0</v>
      </c>
      <c r="BA123" s="43">
        <f t="shared" si="950"/>
        <v>0</v>
      </c>
      <c r="BB123" s="43">
        <f t="shared" si="951"/>
        <v>0</v>
      </c>
      <c r="BC123" s="43">
        <f t="shared" si="952"/>
        <v>0</v>
      </c>
      <c r="BD123" s="43">
        <f t="shared" si="953"/>
        <v>0</v>
      </c>
      <c r="BE123" s="43">
        <f t="shared" si="954"/>
        <v>0</v>
      </c>
      <c r="BF123" s="43">
        <f t="shared" si="955"/>
        <v>0</v>
      </c>
      <c r="BG123" s="43">
        <f t="shared" si="956"/>
        <v>0</v>
      </c>
      <c r="BH123" s="43">
        <f t="shared" si="957"/>
        <v>0</v>
      </c>
      <c r="BI123" s="43">
        <f t="shared" si="958"/>
        <v>0</v>
      </c>
      <c r="BJ123" s="43">
        <f t="shared" si="959"/>
        <v>0</v>
      </c>
      <c r="BK123" s="43">
        <f t="shared" si="960"/>
        <v>0</v>
      </c>
      <c r="BL123" s="43">
        <f t="shared" si="961"/>
        <v>0</v>
      </c>
      <c r="BM123" s="43">
        <f t="shared" si="962"/>
        <v>0</v>
      </c>
      <c r="BN123" s="43">
        <f t="shared" si="963"/>
        <v>0</v>
      </c>
      <c r="BP123" s="43">
        <f t="shared" si="997"/>
        <v>0</v>
      </c>
      <c r="BQ123" s="43">
        <f t="shared" ref="BQ123:CS123" si="1043">BP123-($BP123-$CT123)/30</f>
        <v>0</v>
      </c>
      <c r="BR123" s="43">
        <f t="shared" si="1043"/>
        <v>0</v>
      </c>
      <c r="BS123" s="43">
        <f t="shared" si="1043"/>
        <v>0</v>
      </c>
      <c r="BT123" s="43">
        <f t="shared" si="1043"/>
        <v>0</v>
      </c>
      <c r="BU123" s="43">
        <f t="shared" si="1043"/>
        <v>0</v>
      </c>
      <c r="BV123" s="43">
        <f t="shared" si="1043"/>
        <v>0</v>
      </c>
      <c r="BW123" s="43">
        <f t="shared" si="1043"/>
        <v>0</v>
      </c>
      <c r="BX123" s="43">
        <f t="shared" si="1043"/>
        <v>0</v>
      </c>
      <c r="BY123" s="43">
        <f t="shared" si="1043"/>
        <v>0</v>
      </c>
      <c r="BZ123" s="43">
        <f t="shared" si="1043"/>
        <v>0</v>
      </c>
      <c r="CA123" s="43">
        <f t="shared" si="1043"/>
        <v>0</v>
      </c>
      <c r="CB123" s="43">
        <f t="shared" si="1043"/>
        <v>0</v>
      </c>
      <c r="CC123" s="43">
        <f t="shared" si="1043"/>
        <v>0</v>
      </c>
      <c r="CD123" s="43">
        <f t="shared" si="1043"/>
        <v>0</v>
      </c>
      <c r="CE123" s="43">
        <f t="shared" si="1043"/>
        <v>0</v>
      </c>
      <c r="CF123" s="43">
        <f t="shared" si="1043"/>
        <v>0</v>
      </c>
      <c r="CG123" s="43">
        <f t="shared" si="1043"/>
        <v>0</v>
      </c>
      <c r="CH123" s="43">
        <f t="shared" si="1043"/>
        <v>0</v>
      </c>
      <c r="CI123" s="43">
        <f t="shared" si="1043"/>
        <v>0</v>
      </c>
      <c r="CJ123" s="43">
        <f t="shared" si="1043"/>
        <v>0</v>
      </c>
      <c r="CK123" s="43">
        <f t="shared" si="1043"/>
        <v>0</v>
      </c>
      <c r="CL123" s="43">
        <f t="shared" si="1043"/>
        <v>0</v>
      </c>
      <c r="CM123" s="43">
        <f t="shared" si="1043"/>
        <v>0</v>
      </c>
      <c r="CN123" s="43">
        <f t="shared" si="1043"/>
        <v>0</v>
      </c>
      <c r="CO123" s="43">
        <f t="shared" si="1043"/>
        <v>0</v>
      </c>
      <c r="CP123" s="43">
        <f t="shared" si="1043"/>
        <v>0</v>
      </c>
      <c r="CQ123" s="43">
        <f t="shared" si="1043"/>
        <v>0</v>
      </c>
      <c r="CR123" s="43">
        <f t="shared" si="1043"/>
        <v>0</v>
      </c>
      <c r="CS123" s="43">
        <f t="shared" si="1043"/>
        <v>0</v>
      </c>
      <c r="CT123" s="43">
        <f t="shared" si="1006"/>
        <v>0</v>
      </c>
      <c r="CV123" s="43">
        <f t="shared" si="1009"/>
        <v>0</v>
      </c>
      <c r="CW123" s="43">
        <f t="shared" si="1010"/>
        <v>0</v>
      </c>
      <c r="CX123" s="43">
        <f t="shared" si="1011"/>
        <v>0</v>
      </c>
      <c r="CY123" s="43">
        <f t="shared" si="1012"/>
        <v>0</v>
      </c>
      <c r="CZ123" s="43">
        <f t="shared" si="1013"/>
        <v>0</v>
      </c>
      <c r="DA123" s="43">
        <f t="shared" si="1014"/>
        <v>0</v>
      </c>
      <c r="DB123" s="43">
        <f t="shared" si="1015"/>
        <v>0</v>
      </c>
      <c r="DC123" s="43">
        <f t="shared" si="1016"/>
        <v>0</v>
      </c>
      <c r="DD123" s="43">
        <f t="shared" si="1017"/>
        <v>0</v>
      </c>
      <c r="DE123" s="43">
        <f t="shared" si="1018"/>
        <v>0</v>
      </c>
      <c r="DF123" s="43">
        <f t="shared" si="1019"/>
        <v>0</v>
      </c>
      <c r="DG123" s="43">
        <f t="shared" si="1020"/>
        <v>0</v>
      </c>
      <c r="DH123" s="43">
        <f t="shared" si="1021"/>
        <v>0</v>
      </c>
      <c r="DI123" s="43">
        <f t="shared" si="1022"/>
        <v>0</v>
      </c>
      <c r="DJ123" s="43">
        <f t="shared" si="1023"/>
        <v>0</v>
      </c>
      <c r="DK123" s="43">
        <f t="shared" si="1024"/>
        <v>0</v>
      </c>
      <c r="DL123" s="43">
        <f t="shared" si="1025"/>
        <v>0</v>
      </c>
      <c r="DM123" s="43">
        <f t="shared" si="1026"/>
        <v>0</v>
      </c>
      <c r="DN123" s="43">
        <f t="shared" si="1027"/>
        <v>0</v>
      </c>
      <c r="DO123" s="43">
        <f t="shared" si="1028"/>
        <v>0</v>
      </c>
      <c r="DP123" s="43">
        <f t="shared" si="1029"/>
        <v>0</v>
      </c>
      <c r="DQ123" s="43">
        <f t="shared" si="1030"/>
        <v>0</v>
      </c>
      <c r="DR123" s="43">
        <f t="shared" si="1031"/>
        <v>0</v>
      </c>
      <c r="DS123" s="43">
        <f t="shared" si="1032"/>
        <v>0</v>
      </c>
      <c r="DT123" s="43">
        <f t="shared" si="1033"/>
        <v>0</v>
      </c>
      <c r="DU123" s="43">
        <f t="shared" si="1034"/>
        <v>0</v>
      </c>
      <c r="DV123" s="43">
        <f t="shared" si="1035"/>
        <v>0</v>
      </c>
      <c r="DW123" s="43">
        <f t="shared" si="1036"/>
        <v>0</v>
      </c>
      <c r="DX123" s="43">
        <f t="shared" si="1037"/>
        <v>0</v>
      </c>
      <c r="DY123" s="43">
        <f t="shared" si="1038"/>
        <v>0</v>
      </c>
      <c r="DZ123" s="43">
        <f t="shared" si="1041"/>
        <v>0</v>
      </c>
    </row>
    <row r="124" spans="1:165" ht="16" thickBot="1">
      <c r="A124" s="606" t="s">
        <v>454</v>
      </c>
      <c r="C124" s="54" t="s">
        <v>458</v>
      </c>
      <c r="D124" s="43">
        <f>$B$194</f>
        <v>0</v>
      </c>
      <c r="E124" s="43">
        <f t="shared" ref="E124:AG124" si="1044">D124-($D124-$AH124)/30</f>
        <v>0</v>
      </c>
      <c r="F124" s="43">
        <f t="shared" si="1044"/>
        <v>0</v>
      </c>
      <c r="G124" s="43">
        <f t="shared" si="1044"/>
        <v>0</v>
      </c>
      <c r="H124" s="43">
        <f t="shared" si="1044"/>
        <v>0</v>
      </c>
      <c r="I124" s="43">
        <f t="shared" si="1044"/>
        <v>0</v>
      </c>
      <c r="J124" s="43">
        <f t="shared" si="1044"/>
        <v>0</v>
      </c>
      <c r="K124" s="43">
        <f t="shared" si="1044"/>
        <v>0</v>
      </c>
      <c r="L124" s="43">
        <f t="shared" si="1044"/>
        <v>0</v>
      </c>
      <c r="M124" s="43">
        <f t="shared" si="1044"/>
        <v>0</v>
      </c>
      <c r="N124" s="43">
        <f t="shared" si="1044"/>
        <v>0</v>
      </c>
      <c r="O124" s="43">
        <f t="shared" si="1044"/>
        <v>0</v>
      </c>
      <c r="P124" s="43">
        <f t="shared" si="1044"/>
        <v>0</v>
      </c>
      <c r="Q124" s="43">
        <f t="shared" si="1044"/>
        <v>0</v>
      </c>
      <c r="R124" s="43">
        <f t="shared" si="1044"/>
        <v>0</v>
      </c>
      <c r="S124" s="43">
        <f t="shared" si="1044"/>
        <v>0</v>
      </c>
      <c r="T124" s="43">
        <f t="shared" si="1044"/>
        <v>0</v>
      </c>
      <c r="U124" s="43">
        <f t="shared" si="1044"/>
        <v>0</v>
      </c>
      <c r="V124" s="43">
        <f t="shared" si="1044"/>
        <v>0</v>
      </c>
      <c r="W124" s="43">
        <f t="shared" si="1044"/>
        <v>0</v>
      </c>
      <c r="X124" s="43">
        <f t="shared" si="1044"/>
        <v>0</v>
      </c>
      <c r="Y124" s="43">
        <f t="shared" si="1044"/>
        <v>0</v>
      </c>
      <c r="Z124" s="43">
        <f t="shared" si="1044"/>
        <v>0</v>
      </c>
      <c r="AA124" s="43">
        <f t="shared" si="1044"/>
        <v>0</v>
      </c>
      <c r="AB124" s="43">
        <f t="shared" si="1044"/>
        <v>0</v>
      </c>
      <c r="AC124" s="43">
        <f t="shared" si="1044"/>
        <v>0</v>
      </c>
      <c r="AD124" s="43">
        <f t="shared" si="1044"/>
        <v>0</v>
      </c>
      <c r="AE124" s="43">
        <f t="shared" si="1044"/>
        <v>0</v>
      </c>
      <c r="AF124" s="43">
        <f t="shared" si="1044"/>
        <v>0</v>
      </c>
      <c r="AG124" s="43">
        <f t="shared" si="1044"/>
        <v>0</v>
      </c>
      <c r="AH124" s="43">
        <f>$C$194</f>
        <v>0</v>
      </c>
      <c r="AI124" s="44"/>
      <c r="AJ124" s="43">
        <f t="shared" si="996"/>
        <v>0</v>
      </c>
      <c r="AK124" s="43">
        <f t="shared" si="934"/>
        <v>0</v>
      </c>
      <c r="AL124" s="43">
        <f t="shared" si="935"/>
        <v>0</v>
      </c>
      <c r="AM124" s="43">
        <f t="shared" si="936"/>
        <v>0</v>
      </c>
      <c r="AN124" s="43">
        <f t="shared" si="937"/>
        <v>0</v>
      </c>
      <c r="AO124" s="43">
        <f t="shared" si="938"/>
        <v>0</v>
      </c>
      <c r="AP124" s="43">
        <f t="shared" si="939"/>
        <v>0</v>
      </c>
      <c r="AQ124" s="43">
        <f t="shared" si="940"/>
        <v>0</v>
      </c>
      <c r="AR124" s="43">
        <f t="shared" si="941"/>
        <v>0</v>
      </c>
      <c r="AS124" s="43">
        <f t="shared" si="942"/>
        <v>0</v>
      </c>
      <c r="AT124" s="43">
        <f t="shared" si="943"/>
        <v>0</v>
      </c>
      <c r="AU124" s="43">
        <f t="shared" si="944"/>
        <v>0</v>
      </c>
      <c r="AV124" s="43">
        <f t="shared" si="945"/>
        <v>0</v>
      </c>
      <c r="AW124" s="43">
        <f t="shared" si="946"/>
        <v>0</v>
      </c>
      <c r="AX124" s="43">
        <f t="shared" si="947"/>
        <v>0</v>
      </c>
      <c r="AY124" s="43">
        <f t="shared" si="948"/>
        <v>0</v>
      </c>
      <c r="AZ124" s="43">
        <f t="shared" si="949"/>
        <v>0</v>
      </c>
      <c r="BA124" s="43">
        <f t="shared" si="950"/>
        <v>0</v>
      </c>
      <c r="BB124" s="43">
        <f t="shared" si="951"/>
        <v>0</v>
      </c>
      <c r="BC124" s="43">
        <f t="shared" si="952"/>
        <v>0</v>
      </c>
      <c r="BD124" s="43">
        <f t="shared" si="953"/>
        <v>0</v>
      </c>
      <c r="BE124" s="43">
        <f t="shared" si="954"/>
        <v>0</v>
      </c>
      <c r="BF124" s="43">
        <f t="shared" si="955"/>
        <v>0</v>
      </c>
      <c r="BG124" s="43">
        <f t="shared" si="956"/>
        <v>0</v>
      </c>
      <c r="BH124" s="43">
        <f t="shared" si="957"/>
        <v>0</v>
      </c>
      <c r="BI124" s="43">
        <f t="shared" si="958"/>
        <v>0</v>
      </c>
      <c r="BJ124" s="43">
        <f t="shared" si="959"/>
        <v>0</v>
      </c>
      <c r="BK124" s="43">
        <f t="shared" si="960"/>
        <v>0</v>
      </c>
      <c r="BL124" s="43">
        <f t="shared" si="961"/>
        <v>0</v>
      </c>
      <c r="BM124" s="43">
        <f t="shared" si="962"/>
        <v>0</v>
      </c>
      <c r="BN124" s="43">
        <f t="shared" si="963"/>
        <v>0</v>
      </c>
      <c r="BP124" s="43">
        <f t="shared" si="997"/>
        <v>0</v>
      </c>
      <c r="BQ124" s="43">
        <f t="shared" ref="BQ124:CS124" si="1045">BP124-($BP124-$CT124)/30</f>
        <v>0</v>
      </c>
      <c r="BR124" s="43">
        <f t="shared" si="1045"/>
        <v>0</v>
      </c>
      <c r="BS124" s="43">
        <f t="shared" si="1045"/>
        <v>0</v>
      </c>
      <c r="BT124" s="43">
        <f t="shared" si="1045"/>
        <v>0</v>
      </c>
      <c r="BU124" s="43">
        <f t="shared" si="1045"/>
        <v>0</v>
      </c>
      <c r="BV124" s="43">
        <f t="shared" si="1045"/>
        <v>0</v>
      </c>
      <c r="BW124" s="43">
        <f t="shared" si="1045"/>
        <v>0</v>
      </c>
      <c r="BX124" s="43">
        <f t="shared" si="1045"/>
        <v>0</v>
      </c>
      <c r="BY124" s="43">
        <f t="shared" si="1045"/>
        <v>0</v>
      </c>
      <c r="BZ124" s="43">
        <f t="shared" si="1045"/>
        <v>0</v>
      </c>
      <c r="CA124" s="43">
        <f t="shared" si="1045"/>
        <v>0</v>
      </c>
      <c r="CB124" s="43">
        <f t="shared" si="1045"/>
        <v>0</v>
      </c>
      <c r="CC124" s="43">
        <f t="shared" si="1045"/>
        <v>0</v>
      </c>
      <c r="CD124" s="43">
        <f t="shared" si="1045"/>
        <v>0</v>
      </c>
      <c r="CE124" s="43">
        <f t="shared" si="1045"/>
        <v>0</v>
      </c>
      <c r="CF124" s="43">
        <f t="shared" si="1045"/>
        <v>0</v>
      </c>
      <c r="CG124" s="43">
        <f t="shared" si="1045"/>
        <v>0</v>
      </c>
      <c r="CH124" s="43">
        <f t="shared" si="1045"/>
        <v>0</v>
      </c>
      <c r="CI124" s="43">
        <f t="shared" si="1045"/>
        <v>0</v>
      </c>
      <c r="CJ124" s="43">
        <f t="shared" si="1045"/>
        <v>0</v>
      </c>
      <c r="CK124" s="43">
        <f t="shared" si="1045"/>
        <v>0</v>
      </c>
      <c r="CL124" s="43">
        <f t="shared" si="1045"/>
        <v>0</v>
      </c>
      <c r="CM124" s="43">
        <f t="shared" si="1045"/>
        <v>0</v>
      </c>
      <c r="CN124" s="43">
        <f t="shared" si="1045"/>
        <v>0</v>
      </c>
      <c r="CO124" s="43">
        <f t="shared" si="1045"/>
        <v>0</v>
      </c>
      <c r="CP124" s="43">
        <f t="shared" si="1045"/>
        <v>0</v>
      </c>
      <c r="CQ124" s="43">
        <f t="shared" si="1045"/>
        <v>0</v>
      </c>
      <c r="CR124" s="43">
        <f t="shared" si="1045"/>
        <v>0</v>
      </c>
      <c r="CS124" s="43">
        <f t="shared" si="1045"/>
        <v>0</v>
      </c>
      <c r="CT124" s="43">
        <f t="shared" si="1006"/>
        <v>0</v>
      </c>
      <c r="CV124" s="43">
        <f t="shared" si="1009"/>
        <v>0</v>
      </c>
      <c r="CW124" s="43">
        <f t="shared" si="1010"/>
        <v>0</v>
      </c>
      <c r="CX124" s="43">
        <f t="shared" si="1011"/>
        <v>0</v>
      </c>
      <c r="CY124" s="43">
        <f t="shared" si="1012"/>
        <v>0</v>
      </c>
      <c r="CZ124" s="43">
        <f t="shared" si="1013"/>
        <v>0</v>
      </c>
      <c r="DA124" s="43">
        <f t="shared" si="1014"/>
        <v>0</v>
      </c>
      <c r="DB124" s="43">
        <f t="shared" si="1015"/>
        <v>0</v>
      </c>
      <c r="DC124" s="43">
        <f t="shared" si="1016"/>
        <v>0</v>
      </c>
      <c r="DD124" s="43">
        <f t="shared" si="1017"/>
        <v>0</v>
      </c>
      <c r="DE124" s="43">
        <f t="shared" si="1018"/>
        <v>0</v>
      </c>
      <c r="DF124" s="43">
        <f t="shared" si="1019"/>
        <v>0</v>
      </c>
      <c r="DG124" s="43">
        <f t="shared" si="1020"/>
        <v>0</v>
      </c>
      <c r="DH124" s="43">
        <f t="shared" si="1021"/>
        <v>0</v>
      </c>
      <c r="DI124" s="43">
        <f t="shared" si="1022"/>
        <v>0</v>
      </c>
      <c r="DJ124" s="43">
        <f t="shared" si="1023"/>
        <v>0</v>
      </c>
      <c r="DK124" s="43">
        <f t="shared" si="1024"/>
        <v>0</v>
      </c>
      <c r="DL124" s="43">
        <f t="shared" si="1025"/>
        <v>0</v>
      </c>
      <c r="DM124" s="43">
        <f t="shared" si="1026"/>
        <v>0</v>
      </c>
      <c r="DN124" s="43">
        <f t="shared" si="1027"/>
        <v>0</v>
      </c>
      <c r="DO124" s="43">
        <f t="shared" si="1028"/>
        <v>0</v>
      </c>
      <c r="DP124" s="43">
        <f t="shared" si="1029"/>
        <v>0</v>
      </c>
      <c r="DQ124" s="43">
        <f t="shared" si="1030"/>
        <v>0</v>
      </c>
      <c r="DR124" s="43">
        <f t="shared" si="1031"/>
        <v>0</v>
      </c>
      <c r="DS124" s="43">
        <f t="shared" si="1032"/>
        <v>0</v>
      </c>
      <c r="DT124" s="43">
        <f t="shared" si="1033"/>
        <v>0</v>
      </c>
      <c r="DU124" s="43">
        <f t="shared" si="1034"/>
        <v>0</v>
      </c>
      <c r="DV124" s="43">
        <f t="shared" si="1035"/>
        <v>0</v>
      </c>
      <c r="DW124" s="43">
        <f t="shared" si="1036"/>
        <v>0</v>
      </c>
      <c r="DX124" s="43">
        <f t="shared" si="1037"/>
        <v>0</v>
      </c>
      <c r="DY124" s="43">
        <f t="shared" si="1038"/>
        <v>0</v>
      </c>
      <c r="DZ124" s="43">
        <f t="shared" si="1041"/>
        <v>0</v>
      </c>
    </row>
    <row r="125" spans="1:165" s="624" customFormat="1" ht="16" thickBot="1">
      <c r="A125" s="623" t="s">
        <v>461</v>
      </c>
      <c r="C125" s="625"/>
      <c r="D125" s="626"/>
      <c r="E125" s="626"/>
      <c r="F125" s="626"/>
      <c r="G125" s="626"/>
      <c r="H125" s="626"/>
      <c r="I125" s="626"/>
      <c r="J125" s="626"/>
      <c r="K125" s="626"/>
      <c r="L125" s="626"/>
      <c r="M125" s="626"/>
      <c r="N125" s="626"/>
      <c r="O125" s="626"/>
      <c r="P125" s="626"/>
      <c r="Q125" s="626"/>
      <c r="R125" s="626"/>
      <c r="S125" s="626"/>
      <c r="T125" s="626"/>
      <c r="U125" s="626"/>
      <c r="V125" s="626"/>
      <c r="W125" s="626"/>
      <c r="X125" s="626"/>
      <c r="Y125" s="626"/>
      <c r="Z125" s="626"/>
      <c r="AA125" s="626"/>
      <c r="AB125" s="626"/>
      <c r="AC125" s="626"/>
      <c r="AD125" s="626"/>
      <c r="AE125" s="626"/>
      <c r="AF125" s="626"/>
      <c r="AG125" s="626"/>
      <c r="AH125" s="626"/>
      <c r="AI125" s="626"/>
      <c r="AJ125" s="626"/>
      <c r="AK125" s="626"/>
      <c r="AL125" s="626"/>
      <c r="AM125" s="626"/>
      <c r="AN125" s="626"/>
      <c r="AO125" s="626"/>
      <c r="AP125" s="626"/>
      <c r="AQ125" s="626"/>
      <c r="AR125" s="626"/>
      <c r="AS125" s="626"/>
      <c r="AT125" s="626"/>
      <c r="AU125" s="626"/>
      <c r="AV125" s="626"/>
      <c r="AW125" s="626"/>
      <c r="AX125" s="626"/>
      <c r="AY125" s="626"/>
      <c r="AZ125" s="626"/>
      <c r="BA125" s="626"/>
      <c r="BB125" s="626"/>
      <c r="BC125" s="626"/>
      <c r="BD125" s="626"/>
      <c r="BE125" s="626"/>
      <c r="BF125" s="626"/>
      <c r="BG125" s="626"/>
      <c r="BH125" s="626"/>
      <c r="BI125" s="626"/>
      <c r="BJ125" s="626"/>
      <c r="BK125" s="626"/>
      <c r="BL125" s="626"/>
      <c r="BM125" s="626"/>
      <c r="BN125" s="626"/>
      <c r="BP125" s="626"/>
      <c r="BQ125" s="626"/>
      <c r="BR125" s="626"/>
      <c r="BS125" s="626"/>
      <c r="BT125" s="626"/>
      <c r="BU125" s="626"/>
      <c r="BV125" s="626"/>
      <c r="BW125" s="626"/>
      <c r="BX125" s="626"/>
      <c r="BY125" s="626"/>
      <c r="BZ125" s="626"/>
      <c r="CA125" s="626"/>
      <c r="CB125" s="626"/>
      <c r="CC125" s="626"/>
      <c r="CD125" s="626"/>
      <c r="CE125" s="626"/>
      <c r="CF125" s="626"/>
      <c r="CG125" s="626"/>
      <c r="CH125" s="626"/>
      <c r="CI125" s="626"/>
      <c r="CJ125" s="626"/>
      <c r="CK125" s="626"/>
      <c r="CL125" s="626"/>
      <c r="CM125" s="626"/>
      <c r="CN125" s="626"/>
      <c r="CO125" s="626"/>
      <c r="CP125" s="626"/>
      <c r="CQ125" s="626"/>
      <c r="CR125" s="626"/>
      <c r="CS125" s="626"/>
      <c r="CT125" s="626"/>
      <c r="CV125" s="626"/>
      <c r="CW125" s="626"/>
      <c r="CX125" s="626"/>
      <c r="CY125" s="626"/>
      <c r="CZ125" s="626"/>
      <c r="DA125" s="626"/>
      <c r="DB125" s="626"/>
      <c r="DC125" s="626"/>
      <c r="DD125" s="626"/>
      <c r="DE125" s="626"/>
      <c r="DF125" s="626"/>
      <c r="DG125" s="626"/>
      <c r="DH125" s="626"/>
      <c r="DI125" s="626"/>
      <c r="DJ125" s="626"/>
      <c r="DK125" s="626"/>
      <c r="DL125" s="626"/>
      <c r="DM125" s="626"/>
      <c r="DN125" s="626"/>
      <c r="DO125" s="626"/>
      <c r="DP125" s="626"/>
      <c r="DQ125" s="626"/>
      <c r="DR125" s="626"/>
      <c r="DS125" s="626"/>
      <c r="DT125" s="626"/>
      <c r="DU125" s="626"/>
      <c r="DV125" s="626"/>
      <c r="DW125" s="626"/>
      <c r="DX125" s="626"/>
      <c r="DY125" s="626"/>
      <c r="DZ125" s="626"/>
      <c r="EK125" s="627"/>
      <c r="EL125" s="627"/>
      <c r="EM125" s="627"/>
      <c r="EN125" s="627"/>
      <c r="EO125" s="627"/>
      <c r="EP125" s="627"/>
      <c r="EQ125" s="627"/>
      <c r="ER125" s="627"/>
      <c r="ES125" s="627"/>
      <c r="ET125" s="627"/>
      <c r="EU125" s="627"/>
      <c r="EV125" s="627"/>
      <c r="EW125" s="627"/>
      <c r="EX125" s="627"/>
      <c r="EY125" s="627"/>
      <c r="EZ125" s="627"/>
      <c r="FA125" s="627"/>
      <c r="FB125" s="627"/>
      <c r="FC125" s="627"/>
      <c r="FD125" s="627"/>
      <c r="FE125" s="627"/>
      <c r="FF125" s="627"/>
      <c r="FG125" s="627"/>
      <c r="FH125" s="627"/>
      <c r="FI125" s="627"/>
    </row>
    <row r="126" spans="1:165">
      <c r="A126" s="606" t="s">
        <v>193</v>
      </c>
      <c r="C126" s="54" t="s">
        <v>462</v>
      </c>
      <c r="D126" s="168">
        <f>D103</f>
        <v>8.6865876044151913E-2</v>
      </c>
      <c r="E126" s="168">
        <f t="shared" ref="E126:AH126" si="1046">E103</f>
        <v>9.0130883839262724E-2</v>
      </c>
      <c r="F126" s="168">
        <f t="shared" si="1046"/>
        <v>9.48234733849697E-2</v>
      </c>
      <c r="G126" s="168">
        <f t="shared" si="1046"/>
        <v>9.9582118822250182E-2</v>
      </c>
      <c r="H126" s="168">
        <f t="shared" si="1046"/>
        <v>0.1044087732775793</v>
      </c>
      <c r="I126" s="168">
        <f t="shared" si="1046"/>
        <v>0.10930539006961844</v>
      </c>
      <c r="J126" s="168">
        <f t="shared" si="1046"/>
        <v>0.11427389797122893</v>
      </c>
      <c r="K126" s="168">
        <f t="shared" si="1046"/>
        <v>0.11931624667191243</v>
      </c>
      <c r="L126" s="168">
        <f t="shared" si="1046"/>
        <v>0.12443438592394573</v>
      </c>
      <c r="M126" s="168">
        <f t="shared" si="1046"/>
        <v>0.12963026553733101</v>
      </c>
      <c r="N126" s="168">
        <f t="shared" si="1046"/>
        <v>0.13490583537523701</v>
      </c>
      <c r="O126" s="168">
        <f t="shared" si="1046"/>
        <v>0.14512594530845943</v>
      </c>
      <c r="P126" s="168">
        <f t="shared" si="1046"/>
        <v>0.15549848220229626</v>
      </c>
      <c r="Q126" s="168">
        <f t="shared" si="1046"/>
        <v>0.16602311692057206</v>
      </c>
      <c r="R126" s="168">
        <f t="shared" si="1046"/>
        <v>0.17670865834261243</v>
      </c>
      <c r="S126" s="168">
        <f t="shared" si="1046"/>
        <v>0.18755924349257388</v>
      </c>
      <c r="T126" s="168">
        <f t="shared" si="1046"/>
        <v>0.19857896398132407</v>
      </c>
      <c r="U126" s="168">
        <f t="shared" si="1046"/>
        <v>0.20977194465358742</v>
      </c>
      <c r="V126" s="168">
        <f t="shared" si="1046"/>
        <v>0.22114230926237624</v>
      </c>
      <c r="W126" s="168">
        <f t="shared" si="1046"/>
        <v>0.23269418046437418</v>
      </c>
      <c r="X126" s="168">
        <f t="shared" si="1046"/>
        <v>0.24443167981552569</v>
      </c>
      <c r="Y126" s="168">
        <f t="shared" si="1046"/>
        <v>0.26312496344261738</v>
      </c>
      <c r="Z126" s="168">
        <f t="shared" si="1046"/>
        <v>0.2821187990215579</v>
      </c>
      <c r="AA126" s="168">
        <f t="shared" si="1046"/>
        <v>0.30141615699989777</v>
      </c>
      <c r="AB126" s="168">
        <f t="shared" si="1046"/>
        <v>0.32102872388263259</v>
      </c>
      <c r="AC126" s="168">
        <f t="shared" si="1046"/>
        <v>0.34096342325472789</v>
      </c>
      <c r="AD126" s="168">
        <f t="shared" si="1046"/>
        <v>0.36122717329636383</v>
      </c>
      <c r="AE126" s="168">
        <f t="shared" si="1046"/>
        <v>0.38182688780893975</v>
      </c>
      <c r="AF126" s="168">
        <f t="shared" si="1046"/>
        <v>0.40276947576014943</v>
      </c>
      <c r="AG126" s="168">
        <f t="shared" si="1046"/>
        <v>0.42406184127856061</v>
      </c>
      <c r="AH126" s="168">
        <f t="shared" si="1046"/>
        <v>0.44571088364856437</v>
      </c>
      <c r="AI126" s="44"/>
      <c r="AJ126" s="168">
        <f>AJ103</f>
        <v>8.6865876044151913E-2</v>
      </c>
      <c r="AK126" s="168">
        <f t="shared" ref="AK126:BN126" si="1047">AK103</f>
        <v>9.0130883839262724E-2</v>
      </c>
      <c r="AL126" s="168">
        <f t="shared" si="1047"/>
        <v>9.48234733849697E-2</v>
      </c>
      <c r="AM126" s="168">
        <f t="shared" si="1047"/>
        <v>9.9582118822250182E-2</v>
      </c>
      <c r="AN126" s="168">
        <f t="shared" si="1047"/>
        <v>0.1044087732775793</v>
      </c>
      <c r="AO126" s="168">
        <f t="shared" si="1047"/>
        <v>0.10930539006961844</v>
      </c>
      <c r="AP126" s="168">
        <f t="shared" si="1047"/>
        <v>0.11427389797122893</v>
      </c>
      <c r="AQ126" s="168">
        <f t="shared" si="1047"/>
        <v>0.11931624667191243</v>
      </c>
      <c r="AR126" s="168">
        <f t="shared" si="1047"/>
        <v>0.12443438592394573</v>
      </c>
      <c r="AS126" s="168">
        <f t="shared" si="1047"/>
        <v>0.12963026553733101</v>
      </c>
      <c r="AT126" s="168">
        <f t="shared" si="1047"/>
        <v>0.13490583537523701</v>
      </c>
      <c r="AU126" s="168">
        <f t="shared" si="1047"/>
        <v>0.14512594530845943</v>
      </c>
      <c r="AV126" s="168">
        <f t="shared" si="1047"/>
        <v>0.15549848220229626</v>
      </c>
      <c r="AW126" s="168">
        <f t="shared" si="1047"/>
        <v>0.16602311692057206</v>
      </c>
      <c r="AX126" s="168">
        <f t="shared" si="1047"/>
        <v>0.17670865834261243</v>
      </c>
      <c r="AY126" s="168">
        <f t="shared" si="1047"/>
        <v>0.18755924349257388</v>
      </c>
      <c r="AZ126" s="168">
        <f t="shared" si="1047"/>
        <v>0.19857896398132407</v>
      </c>
      <c r="BA126" s="168">
        <f t="shared" si="1047"/>
        <v>0.20977194465358742</v>
      </c>
      <c r="BB126" s="168">
        <f t="shared" si="1047"/>
        <v>0.22114230926237624</v>
      </c>
      <c r="BC126" s="168">
        <f t="shared" si="1047"/>
        <v>0.23269418046437418</v>
      </c>
      <c r="BD126" s="168">
        <f t="shared" si="1047"/>
        <v>0.24443167981552569</v>
      </c>
      <c r="BE126" s="168">
        <f t="shared" si="1047"/>
        <v>0.26312496344261738</v>
      </c>
      <c r="BF126" s="168">
        <f t="shared" si="1047"/>
        <v>0.2821187990215579</v>
      </c>
      <c r="BG126" s="168">
        <f t="shared" si="1047"/>
        <v>0.30141615699989777</v>
      </c>
      <c r="BH126" s="168">
        <f t="shared" si="1047"/>
        <v>0.32102872388263259</v>
      </c>
      <c r="BI126" s="168">
        <f t="shared" si="1047"/>
        <v>0.34096342325472789</v>
      </c>
      <c r="BJ126" s="168">
        <f t="shared" si="1047"/>
        <v>0.36122717329636383</v>
      </c>
      <c r="BK126" s="168">
        <f t="shared" si="1047"/>
        <v>0.38182688780893975</v>
      </c>
      <c r="BL126" s="168">
        <f t="shared" si="1047"/>
        <v>0.40276947576014943</v>
      </c>
      <c r="BM126" s="168">
        <f t="shared" si="1047"/>
        <v>0.42406184127856061</v>
      </c>
      <c r="BN126" s="168">
        <f t="shared" si="1047"/>
        <v>0.44571088364856437</v>
      </c>
      <c r="BP126" s="168">
        <f>BP103</f>
        <v>8.6865876044151913E-2</v>
      </c>
      <c r="BQ126" s="168">
        <f t="shared" ref="BQ126:CT126" si="1048">BQ103</f>
        <v>8.5452055140027294E-2</v>
      </c>
      <c r="BR126" s="168">
        <f t="shared" si="1048"/>
        <v>8.4281563337488388E-2</v>
      </c>
      <c r="BS126" s="168">
        <f t="shared" si="1048"/>
        <v>8.3344829821982158E-2</v>
      </c>
      <c r="BT126" s="168">
        <f t="shared" si="1048"/>
        <v>8.263423216537874E-2</v>
      </c>
      <c r="BU126" s="168">
        <f t="shared" si="1048"/>
        <v>8.2143992883365158E-2</v>
      </c>
      <c r="BV126" s="168">
        <f t="shared" si="1048"/>
        <v>8.1693850323663122E-2</v>
      </c>
      <c r="BW126" s="168">
        <f t="shared" si="1048"/>
        <v>8.1283221119442847E-2</v>
      </c>
      <c r="BX126" s="168">
        <f t="shared" si="1048"/>
        <v>8.0911578186848909E-2</v>
      </c>
      <c r="BY126" s="168">
        <f t="shared" si="1048"/>
        <v>8.0578449612555322E-2</v>
      </c>
      <c r="BZ126" s="168">
        <f t="shared" si="1048"/>
        <v>8.0283417669660781E-2</v>
      </c>
      <c r="CA126" s="168">
        <f t="shared" si="1048"/>
        <v>8.0140782641730052E-2</v>
      </c>
      <c r="CB126" s="168">
        <f t="shared" si="1048"/>
        <v>8.0150046262425126E-2</v>
      </c>
      <c r="CC126" s="168">
        <f t="shared" si="1048"/>
        <v>8.0311574708555281E-2</v>
      </c>
      <c r="CD126" s="168">
        <f t="shared" si="1048"/>
        <v>8.0626605061909704E-2</v>
      </c>
      <c r="CE126" s="168">
        <f t="shared" si="1048"/>
        <v>8.1097260115289158E-2</v>
      </c>
      <c r="CF126" s="168">
        <f t="shared" si="1048"/>
        <v>8.1579592269901191E-2</v>
      </c>
      <c r="CG126" s="168">
        <f t="shared" si="1048"/>
        <v>8.2073783292113497E-2</v>
      </c>
      <c r="CH126" s="168">
        <f t="shared" si="1048"/>
        <v>8.2580020061112619E-2</v>
      </c>
      <c r="CI126" s="168">
        <f t="shared" si="1048"/>
        <v>8.3098494687576463E-2</v>
      </c>
      <c r="CJ126" s="168">
        <f t="shared" si="1048"/>
        <v>8.3629404636092836E-2</v>
      </c>
      <c r="CK126" s="168">
        <f t="shared" si="1048"/>
        <v>8.4172025746084664E-2</v>
      </c>
      <c r="CL126" s="168">
        <f t="shared" si="1048"/>
        <v>8.4726546805950292E-2</v>
      </c>
      <c r="CM126" s="168">
        <f t="shared" si="1048"/>
        <v>8.5293161480426052E-2</v>
      </c>
      <c r="CN126" s="168">
        <f t="shared" si="1048"/>
        <v>8.5872068423965733E-2</v>
      </c>
      <c r="CO126" s="168">
        <f t="shared" si="1048"/>
        <v>8.6463471397467295E-2</v>
      </c>
      <c r="CP126" s="168">
        <f t="shared" si="1048"/>
        <v>8.7066756238696683E-2</v>
      </c>
      <c r="CQ126" s="168">
        <f t="shared" si="1048"/>
        <v>8.7682118711812154E-2</v>
      </c>
      <c r="CR126" s="168">
        <f t="shared" si="1048"/>
        <v>8.8309759306779548E-2</v>
      </c>
      <c r="CS126" s="168">
        <f t="shared" si="1048"/>
        <v>8.8949883348533626E-2</v>
      </c>
      <c r="CT126" s="168">
        <f t="shared" si="1048"/>
        <v>8.9602701109191413E-2</v>
      </c>
      <c r="CV126" s="168">
        <f>CV103</f>
        <v>8.6865876044151913E-2</v>
      </c>
      <c r="CW126" s="168">
        <f t="shared" ref="CW126:DZ126" si="1049">CW103</f>
        <v>9.0130883839262724E-2</v>
      </c>
      <c r="CX126" s="168">
        <f t="shared" si="1049"/>
        <v>9.48234733849697E-2</v>
      </c>
      <c r="CY126" s="168">
        <f t="shared" si="1049"/>
        <v>9.9582118822250182E-2</v>
      </c>
      <c r="CZ126" s="168">
        <f t="shared" si="1049"/>
        <v>0.1044087732775793</v>
      </c>
      <c r="DA126" s="168">
        <f t="shared" si="1049"/>
        <v>0.10930539006961844</v>
      </c>
      <c r="DB126" s="168">
        <f t="shared" si="1049"/>
        <v>0.11427389797122893</v>
      </c>
      <c r="DC126" s="168">
        <f t="shared" si="1049"/>
        <v>0.11931624667191243</v>
      </c>
      <c r="DD126" s="168">
        <f t="shared" si="1049"/>
        <v>0.12443438592394573</v>
      </c>
      <c r="DE126" s="168">
        <f t="shared" si="1049"/>
        <v>0.12963026553733101</v>
      </c>
      <c r="DF126" s="168">
        <f t="shared" si="1049"/>
        <v>0.13490583537523701</v>
      </c>
      <c r="DG126" s="168">
        <f t="shared" si="1049"/>
        <v>0.14512594530845943</v>
      </c>
      <c r="DH126" s="168">
        <f t="shared" si="1049"/>
        <v>0.15549848220229626</v>
      </c>
      <c r="DI126" s="168">
        <f t="shared" si="1049"/>
        <v>0.16603542459717477</v>
      </c>
      <c r="DJ126" s="168">
        <f t="shared" si="1049"/>
        <v>0.17673485798348318</v>
      </c>
      <c r="DK126" s="168">
        <f t="shared" si="1049"/>
        <v>0.18760095609059463</v>
      </c>
      <c r="DL126" s="168">
        <f t="shared" si="1049"/>
        <v>0.19863784844787583</v>
      </c>
      <c r="DM126" s="168">
        <f t="shared" si="1049"/>
        <v>0.20984969904415077</v>
      </c>
      <c r="DN126" s="168">
        <f t="shared" si="1049"/>
        <v>0.22124067199918282</v>
      </c>
      <c r="DO126" s="168">
        <f t="shared" si="1049"/>
        <v>0.23281493155865102</v>
      </c>
      <c r="DP126" s="168">
        <f t="shared" si="1049"/>
        <v>0.24457664208933078</v>
      </c>
      <c r="DQ126" s="168">
        <f t="shared" si="1049"/>
        <v>0.26330051798674331</v>
      </c>
      <c r="DR126" s="168">
        <f t="shared" si="1049"/>
        <v>0.2823279401945647</v>
      </c>
      <c r="DS126" s="168">
        <f t="shared" si="1049"/>
        <v>0.30169546543687886</v>
      </c>
      <c r="DT126" s="168">
        <f t="shared" si="1049"/>
        <v>0.32138570287932411</v>
      </c>
      <c r="DU126" s="168">
        <f t="shared" si="1049"/>
        <v>0.34140576034266262</v>
      </c>
      <c r="DV126" s="168">
        <f t="shared" si="1049"/>
        <v>0.36176274536747099</v>
      </c>
      <c r="DW126" s="168">
        <f t="shared" si="1049"/>
        <v>0.38246376623684814</v>
      </c>
      <c r="DX126" s="168">
        <f t="shared" si="1049"/>
        <v>0.40351593151658915</v>
      </c>
      <c r="DY126" s="168">
        <f t="shared" si="1049"/>
        <v>0.42492635004527524</v>
      </c>
      <c r="DZ126" s="168">
        <f t="shared" si="1049"/>
        <v>0.44670213092472727</v>
      </c>
    </row>
    <row r="127" spans="1:165">
      <c r="A127" s="606" t="s">
        <v>88</v>
      </c>
      <c r="C127" s="54" t="s">
        <v>462</v>
      </c>
      <c r="D127" s="168">
        <f t="shared" ref="D127:AH127" si="1050">D104</f>
        <v>3.5539413783499495E-7</v>
      </c>
      <c r="E127" s="168">
        <f t="shared" si="1050"/>
        <v>7.6725969169163813E-7</v>
      </c>
      <c r="F127" s="168">
        <f t="shared" si="1050"/>
        <v>1.616256700042547E-6</v>
      </c>
      <c r="G127" s="168">
        <f t="shared" si="1050"/>
        <v>3.3818159093948088E-6</v>
      </c>
      <c r="H127" s="168">
        <f t="shared" si="1050"/>
        <v>7.0242987444958678E-6</v>
      </c>
      <c r="I127" s="168">
        <f t="shared" si="1050"/>
        <v>1.4468380264220304E-5</v>
      </c>
      <c r="J127" s="168">
        <f t="shared" si="1050"/>
        <v>2.9505809468502362E-5</v>
      </c>
      <c r="K127" s="168">
        <f t="shared" si="1050"/>
        <v>5.9437727107127383E-5</v>
      </c>
      <c r="L127" s="168">
        <f t="shared" si="1050"/>
        <v>1.1789465843447686E-4</v>
      </c>
      <c r="M127" s="168">
        <f t="shared" si="1050"/>
        <v>2.2927347900248172E-4</v>
      </c>
      <c r="N127" s="168">
        <f t="shared" si="1050"/>
        <v>4.3667415808060038E-4</v>
      </c>
      <c r="O127" s="168">
        <f t="shared" si="1050"/>
        <v>7.6805606439828904E-4</v>
      </c>
      <c r="P127" s="168">
        <f t="shared" si="1050"/>
        <v>1.3054087179937594E-3</v>
      </c>
      <c r="Q127" s="168">
        <f t="shared" si="1050"/>
        <v>2.1184217032227475E-3</v>
      </c>
      <c r="R127" s="168">
        <f t="shared" si="1050"/>
        <v>3.2598607871745251E-3</v>
      </c>
      <c r="S127" s="168">
        <f t="shared" si="1050"/>
        <v>4.735648716335695E-3</v>
      </c>
      <c r="T127" s="168">
        <f t="shared" si="1050"/>
        <v>6.4793012740701501E-3</v>
      </c>
      <c r="U127" s="168">
        <f t="shared" si="1050"/>
        <v>8.365592769573894E-3</v>
      </c>
      <c r="V127" s="168">
        <f t="shared" si="1050"/>
        <v>1.0241037381654982E-2</v>
      </c>
      <c r="W127" s="168">
        <f t="shared" si="1050"/>
        <v>1.1968503699710583E-2</v>
      </c>
      <c r="X127" s="168">
        <f t="shared" si="1050"/>
        <v>1.3457592201323169E-2</v>
      </c>
      <c r="Y127" s="168">
        <f t="shared" si="1050"/>
        <v>1.3751943768271964E-2</v>
      </c>
      <c r="Z127" s="168">
        <f t="shared" si="1050"/>
        <v>1.5506686124319914E-2</v>
      </c>
      <c r="AA127" s="168">
        <f t="shared" si="1050"/>
        <v>1.7356755975007701E-2</v>
      </c>
      <c r="AB127" s="168">
        <f t="shared" si="1050"/>
        <v>1.9185351714971273E-2</v>
      </c>
      <c r="AC127" s="168">
        <f t="shared" si="1050"/>
        <v>2.1074708049366654E-2</v>
      </c>
      <c r="AD127" s="168">
        <f t="shared" si="1050"/>
        <v>2.314523903723411E-2</v>
      </c>
      <c r="AE127" s="168">
        <f t="shared" si="1050"/>
        <v>2.5548901606666948E-2</v>
      </c>
      <c r="AF127" s="168">
        <f t="shared" si="1050"/>
        <v>2.8444030180707749E-2</v>
      </c>
      <c r="AG127" s="168">
        <f t="shared" si="1050"/>
        <v>3.1945569506932774E-2</v>
      </c>
      <c r="AH127" s="168">
        <f t="shared" si="1050"/>
        <v>3.6062917249460653E-2</v>
      </c>
      <c r="AI127" s="44"/>
      <c r="AJ127" s="168">
        <f t="shared" ref="AJ127:BN127" si="1051">AJ104</f>
        <v>2.0363802976813303E-7</v>
      </c>
      <c r="AK127" s="168">
        <f t="shared" si="1051"/>
        <v>4.3963373422082776E-7</v>
      </c>
      <c r="AL127" s="168">
        <f t="shared" si="1051"/>
        <v>9.2610230433519487E-7</v>
      </c>
      <c r="AM127" s="168">
        <f t="shared" si="1051"/>
        <v>1.937753765503654E-6</v>
      </c>
      <c r="AN127" s="168">
        <f t="shared" si="1051"/>
        <v>4.0248676175295633E-6</v>
      </c>
      <c r="AO127" s="168">
        <f t="shared" si="1051"/>
        <v>8.2902674447317392E-6</v>
      </c>
      <c r="AP127" s="168">
        <f t="shared" si="1051"/>
        <v>1.6906595430871797E-5</v>
      </c>
      <c r="AQ127" s="168">
        <f t="shared" si="1051"/>
        <v>3.4057347472655862E-5</v>
      </c>
      <c r="AR127" s="168">
        <f t="shared" si="1051"/>
        <v>6.7552706721714183E-5</v>
      </c>
      <c r="AS127" s="168">
        <f t="shared" si="1051"/>
        <v>1.313718898870184E-4</v>
      </c>
      <c r="AT127" s="168">
        <f t="shared" si="1051"/>
        <v>2.5021083843391307E-4</v>
      </c>
      <c r="AU127" s="168">
        <f t="shared" si="1051"/>
        <v>4.400900494823327E-4</v>
      </c>
      <c r="AV127" s="168">
        <f t="shared" si="1051"/>
        <v>7.4798886946699015E-4</v>
      </c>
      <c r="AW127" s="168">
        <f t="shared" si="1051"/>
        <v>1.2138388789705431E-3</v>
      </c>
      <c r="AX127" s="168">
        <f t="shared" si="1051"/>
        <v>1.8678744451514403E-3</v>
      </c>
      <c r="AY127" s="168">
        <f t="shared" si="1051"/>
        <v>2.7134892548968514E-3</v>
      </c>
      <c r="AZ127" s="168">
        <f t="shared" si="1051"/>
        <v>3.7125883779726143E-3</v>
      </c>
      <c r="BA127" s="168">
        <f t="shared" si="1051"/>
        <v>4.7934184840986473E-3</v>
      </c>
      <c r="BB127" s="168">
        <f t="shared" si="1051"/>
        <v>5.8680334118236801E-3</v>
      </c>
      <c r="BC127" s="168">
        <f t="shared" si="1051"/>
        <v>6.8578579475986057E-3</v>
      </c>
      <c r="BD127" s="168">
        <f t="shared" si="1051"/>
        <v>7.7110938801495154E-3</v>
      </c>
      <c r="BE127" s="168">
        <f t="shared" si="1051"/>
        <v>7.8797549996540966E-3</v>
      </c>
      <c r="BF127" s="168">
        <f t="shared" si="1051"/>
        <v>8.8852084894418242E-3</v>
      </c>
      <c r="BG127" s="168">
        <f t="shared" si="1051"/>
        <v>9.9452838796059775E-3</v>
      </c>
      <c r="BH127" s="168">
        <f t="shared" si="1051"/>
        <v>1.0993054774188009E-2</v>
      </c>
      <c r="BI127" s="168">
        <f t="shared" si="1051"/>
        <v>1.2075641008755699E-2</v>
      </c>
      <c r="BJ127" s="168">
        <f t="shared" si="1051"/>
        <v>1.3262038886649103E-2</v>
      </c>
      <c r="BK127" s="168">
        <f t="shared" si="1051"/>
        <v>1.4639318525667714E-2</v>
      </c>
      <c r="BL127" s="168">
        <f t="shared" si="1051"/>
        <v>1.6298204297770173E-2</v>
      </c>
      <c r="BM127" s="168">
        <f t="shared" si="1051"/>
        <v>1.8304558634090598E-2</v>
      </c>
      <c r="BN127" s="168">
        <f t="shared" si="1051"/>
        <v>2.0663766321832283E-2</v>
      </c>
      <c r="BP127" s="168">
        <f t="shared" ref="BP127:CT127" si="1052">BP104</f>
        <v>0</v>
      </c>
      <c r="BQ127" s="168">
        <f t="shared" si="1052"/>
        <v>0</v>
      </c>
      <c r="BR127" s="168">
        <f t="shared" si="1052"/>
        <v>0</v>
      </c>
      <c r="BS127" s="168">
        <f t="shared" si="1052"/>
        <v>0</v>
      </c>
      <c r="BT127" s="168">
        <f t="shared" si="1052"/>
        <v>0</v>
      </c>
      <c r="BU127" s="168">
        <f t="shared" si="1052"/>
        <v>0</v>
      </c>
      <c r="BV127" s="168">
        <f t="shared" si="1052"/>
        <v>0</v>
      </c>
      <c r="BW127" s="168">
        <f t="shared" si="1052"/>
        <v>0</v>
      </c>
      <c r="BX127" s="168">
        <f t="shared" si="1052"/>
        <v>0</v>
      </c>
      <c r="BY127" s="168">
        <f t="shared" si="1052"/>
        <v>0</v>
      </c>
      <c r="BZ127" s="168">
        <f t="shared" si="1052"/>
        <v>0</v>
      </c>
      <c r="CA127" s="168">
        <f t="shared" si="1052"/>
        <v>0</v>
      </c>
      <c r="CB127" s="168">
        <f t="shared" si="1052"/>
        <v>0</v>
      </c>
      <c r="CC127" s="168">
        <f t="shared" si="1052"/>
        <v>0</v>
      </c>
      <c r="CD127" s="168">
        <f t="shared" si="1052"/>
        <v>0</v>
      </c>
      <c r="CE127" s="168">
        <f t="shared" si="1052"/>
        <v>0</v>
      </c>
      <c r="CF127" s="168">
        <f t="shared" si="1052"/>
        <v>0</v>
      </c>
      <c r="CG127" s="168">
        <f t="shared" si="1052"/>
        <v>0</v>
      </c>
      <c r="CH127" s="168">
        <f t="shared" si="1052"/>
        <v>0</v>
      </c>
      <c r="CI127" s="168">
        <f t="shared" si="1052"/>
        <v>0</v>
      </c>
      <c r="CJ127" s="168">
        <f t="shared" si="1052"/>
        <v>0</v>
      </c>
      <c r="CK127" s="168">
        <f t="shared" si="1052"/>
        <v>0</v>
      </c>
      <c r="CL127" s="168">
        <f t="shared" si="1052"/>
        <v>0</v>
      </c>
      <c r="CM127" s="168">
        <f t="shared" si="1052"/>
        <v>0</v>
      </c>
      <c r="CN127" s="168">
        <f t="shared" si="1052"/>
        <v>0</v>
      </c>
      <c r="CO127" s="168">
        <f t="shared" si="1052"/>
        <v>0</v>
      </c>
      <c r="CP127" s="168">
        <f t="shared" si="1052"/>
        <v>0</v>
      </c>
      <c r="CQ127" s="168">
        <f t="shared" si="1052"/>
        <v>0</v>
      </c>
      <c r="CR127" s="168">
        <f t="shared" si="1052"/>
        <v>0</v>
      </c>
      <c r="CS127" s="168">
        <f t="shared" si="1052"/>
        <v>0</v>
      </c>
      <c r="CT127" s="168">
        <f t="shared" si="1052"/>
        <v>0</v>
      </c>
      <c r="CV127" s="168">
        <f>CV104</f>
        <v>2.0363802976813303E-7</v>
      </c>
      <c r="CW127" s="168">
        <f t="shared" ref="CW127:DZ127" si="1053">CW104</f>
        <v>4.3963373422082776E-7</v>
      </c>
      <c r="CX127" s="168">
        <f t="shared" si="1053"/>
        <v>9.2610230433519487E-7</v>
      </c>
      <c r="CY127" s="168">
        <f t="shared" si="1053"/>
        <v>1.937753765503654E-6</v>
      </c>
      <c r="CZ127" s="168">
        <f t="shared" si="1053"/>
        <v>4.0248676175295633E-6</v>
      </c>
      <c r="DA127" s="168">
        <f t="shared" si="1053"/>
        <v>8.2902674447317392E-6</v>
      </c>
      <c r="DB127" s="168">
        <f t="shared" si="1053"/>
        <v>1.6906595430871797E-5</v>
      </c>
      <c r="DC127" s="168">
        <f t="shared" si="1053"/>
        <v>3.4057347472655862E-5</v>
      </c>
      <c r="DD127" s="168">
        <f t="shared" si="1053"/>
        <v>6.7552706721714183E-5</v>
      </c>
      <c r="DE127" s="168">
        <f t="shared" si="1053"/>
        <v>1.313718898870184E-4</v>
      </c>
      <c r="DF127" s="168">
        <f t="shared" si="1053"/>
        <v>2.5021083843391307E-4</v>
      </c>
      <c r="DG127" s="168">
        <f t="shared" si="1053"/>
        <v>4.400900494823327E-4</v>
      </c>
      <c r="DH127" s="168">
        <f t="shared" si="1053"/>
        <v>7.4798886946699015E-4</v>
      </c>
      <c r="DI127" s="168">
        <f t="shared" si="1053"/>
        <v>1.2139288636464562E-3</v>
      </c>
      <c r="DJ127" s="168">
        <f t="shared" si="1053"/>
        <v>1.8681513848334773E-3</v>
      </c>
      <c r="DK127" s="168">
        <f t="shared" si="1053"/>
        <v>2.7140927265488775E-3</v>
      </c>
      <c r="DL127" s="168">
        <f t="shared" si="1053"/>
        <v>3.7136892689319597E-3</v>
      </c>
      <c r="DM127" s="168">
        <f t="shared" si="1053"/>
        <v>4.7951952199417631E-3</v>
      </c>
      <c r="DN127" s="168">
        <f t="shared" si="1053"/>
        <v>5.8706434769350765E-3</v>
      </c>
      <c r="DO127" s="168">
        <f t="shared" si="1053"/>
        <v>6.8614166693935167E-3</v>
      </c>
      <c r="DP127" s="168">
        <f t="shared" si="1053"/>
        <v>7.7156670095541594E-3</v>
      </c>
      <c r="DQ127" s="168">
        <f t="shared" si="1053"/>
        <v>7.8850122993746902E-3</v>
      </c>
      <c r="DR127" s="168">
        <f t="shared" si="1053"/>
        <v>8.8917952994393736E-3</v>
      </c>
      <c r="DS127" s="168">
        <f t="shared" si="1053"/>
        <v>9.9544997150256657E-3</v>
      </c>
      <c r="DT127" s="168">
        <f t="shared" si="1053"/>
        <v>1.1005278881789357E-2</v>
      </c>
      <c r="DU127" s="168">
        <f t="shared" si="1053"/>
        <v>1.2091306923380117E-2</v>
      </c>
      <c r="DV127" s="168">
        <f t="shared" si="1053"/>
        <v>1.3281701797301175E-2</v>
      </c>
      <c r="DW127" s="168">
        <f t="shared" si="1053"/>
        <v>1.4663736570771291E-2</v>
      </c>
      <c r="DX127" s="168">
        <f t="shared" si="1053"/>
        <v>1.6328409884712285E-2</v>
      </c>
      <c r="DY127" s="168">
        <f t="shared" si="1053"/>
        <v>1.8341875010782972E-2</v>
      </c>
      <c r="DZ127" s="168">
        <f t="shared" si="1053"/>
        <v>2.0709721901633501E-2</v>
      </c>
    </row>
    <row r="128" spans="1:165">
      <c r="A128" s="606" t="s">
        <v>459</v>
      </c>
      <c r="C128" s="54" t="s">
        <v>462</v>
      </c>
      <c r="D128" s="168">
        <f t="shared" ref="D128:AH128" si="1054">D105</f>
        <v>0.14609461893255787</v>
      </c>
      <c r="E128" s="168">
        <f t="shared" si="1054"/>
        <v>0.15041803199971332</v>
      </c>
      <c r="F128" s="168">
        <f t="shared" si="1054"/>
        <v>0.15445630141490793</v>
      </c>
      <c r="G128" s="168">
        <f t="shared" si="1054"/>
        <v>0.15841974364510897</v>
      </c>
      <c r="H128" s="168">
        <f t="shared" si="1054"/>
        <v>0.16229442511457259</v>
      </c>
      <c r="I128" s="168">
        <f t="shared" si="1054"/>
        <v>0.16605489567625722</v>
      </c>
      <c r="J128" s="168">
        <f t="shared" si="1054"/>
        <v>0.16965441419600355</v>
      </c>
      <c r="K128" s="168">
        <f t="shared" si="1054"/>
        <v>0.17300800660543803</v>
      </c>
      <c r="L128" s="168">
        <f t="shared" si="1054"/>
        <v>0.17596497358762525</v>
      </c>
      <c r="M128" s="168">
        <f t="shared" si="1054"/>
        <v>0.17826856013598746</v>
      </c>
      <c r="N128" s="168">
        <f t="shared" si="1054"/>
        <v>0.17950581629450044</v>
      </c>
      <c r="O128" s="168">
        <f t="shared" si="1054"/>
        <v>0.17806685366606778</v>
      </c>
      <c r="P128" s="168">
        <f t="shared" si="1054"/>
        <v>0.17417967040535381</v>
      </c>
      <c r="Q128" s="168">
        <f t="shared" si="1054"/>
        <v>0.16705908151790555</v>
      </c>
      <c r="R128" s="168">
        <f t="shared" si="1054"/>
        <v>0.15614430769125229</v>
      </c>
      <c r="S128" s="168">
        <f t="shared" si="1054"/>
        <v>0.14143036234641973</v>
      </c>
      <c r="T128" s="168">
        <f t="shared" si="1054"/>
        <v>0.1236719239344504</v>
      </c>
      <c r="U128" s="168">
        <f t="shared" si="1054"/>
        <v>0.10427662324977674</v>
      </c>
      <c r="V128" s="168">
        <f t="shared" si="1054"/>
        <v>8.4904724831970826E-2</v>
      </c>
      <c r="W128" s="168">
        <f t="shared" si="1054"/>
        <v>6.6996575254545873E-2</v>
      </c>
      <c r="X128" s="168">
        <f t="shared" si="1054"/>
        <v>5.1474608293555109E-2</v>
      </c>
      <c r="Y128" s="168">
        <f t="shared" si="1054"/>
        <v>3.8409798729534227E-2</v>
      </c>
      <c r="Z128" s="168">
        <f t="shared" si="1054"/>
        <v>2.8057605814625963E-2</v>
      </c>
      <c r="AA128" s="168">
        <f t="shared" si="1054"/>
        <v>2.0198030427918352E-2</v>
      </c>
      <c r="AB128" s="168">
        <f t="shared" si="1054"/>
        <v>1.4377492291655115E-2</v>
      </c>
      <c r="AC128" s="168">
        <f t="shared" si="1054"/>
        <v>1.0142408955621239E-2</v>
      </c>
      <c r="AD128" s="168">
        <f t="shared" si="1054"/>
        <v>7.1011802476187939E-3</v>
      </c>
      <c r="AE128" s="168">
        <f t="shared" si="1054"/>
        <v>4.9388687836613198E-3</v>
      </c>
      <c r="AF128" s="168">
        <f t="shared" si="1054"/>
        <v>3.413503286802884E-3</v>
      </c>
      <c r="AG128" s="168">
        <f t="shared" si="1054"/>
        <v>2.3447382121256689E-3</v>
      </c>
      <c r="AH128" s="168">
        <f t="shared" si="1054"/>
        <v>1.6007804464268384E-3</v>
      </c>
      <c r="AI128" s="44"/>
      <c r="AJ128" s="168">
        <f t="shared" ref="AJ128:BN128" si="1055">AJ105</f>
        <v>0.14609466474361113</v>
      </c>
      <c r="AK128" s="168">
        <f t="shared" si="1055"/>
        <v>0.15041813286127256</v>
      </c>
      <c r="AL128" s="168">
        <f t="shared" si="1055"/>
        <v>0.15445651789657924</v>
      </c>
      <c r="AM128" s="168">
        <f t="shared" si="1055"/>
        <v>0.15842020475287827</v>
      </c>
      <c r="AN128" s="168">
        <f t="shared" si="1055"/>
        <v>0.16229539921687744</v>
      </c>
      <c r="AO128" s="168">
        <f t="shared" si="1055"/>
        <v>0.16605693432654653</v>
      </c>
      <c r="AP128" s="168">
        <f t="shared" si="1055"/>
        <v>0.16965863347689866</v>
      </c>
      <c r="AQ128" s="168">
        <f t="shared" si="1055"/>
        <v>0.17301661885078773</v>
      </c>
      <c r="AR128" s="168">
        <f t="shared" si="1055"/>
        <v>0.17598224269010601</v>
      </c>
      <c r="AS128" s="168">
        <f t="shared" si="1055"/>
        <v>0.17830238990151392</v>
      </c>
      <c r="AT128" s="168">
        <f t="shared" si="1055"/>
        <v>0.17957035538231275</v>
      </c>
      <c r="AU128" s="168">
        <f t="shared" si="1055"/>
        <v>0.17817956417013764</v>
      </c>
      <c r="AV128" s="168">
        <f t="shared" si="1055"/>
        <v>0.1743673883642762</v>
      </c>
      <c r="AW128" s="168">
        <f t="shared" si="1055"/>
        <v>0.16735207158642446</v>
      </c>
      <c r="AX128" s="168">
        <f t="shared" si="1055"/>
        <v>0.15656736074961378</v>
      </c>
      <c r="AY128" s="168">
        <f t="shared" si="1055"/>
        <v>0.14198985913362935</v>
      </c>
      <c r="AZ128" s="168">
        <f t="shared" si="1055"/>
        <v>0.12434543275029836</v>
      </c>
      <c r="BA128" s="168">
        <f t="shared" si="1055"/>
        <v>0.10501497780370618</v>
      </c>
      <c r="BB128" s="168">
        <f t="shared" si="1055"/>
        <v>8.5646279465832503E-2</v>
      </c>
      <c r="BC128" s="168">
        <f t="shared" si="1055"/>
        <v>6.7685839755573185E-2</v>
      </c>
      <c r="BD128" s="168">
        <f t="shared" si="1055"/>
        <v>5.2074881930095136E-2</v>
      </c>
      <c r="BE128" s="168">
        <f t="shared" si="1055"/>
        <v>3.8874741622514163E-2</v>
      </c>
      <c r="BF128" s="168">
        <f t="shared" si="1055"/>
        <v>2.8448296479591396E-2</v>
      </c>
      <c r="BG128" s="168">
        <f t="shared" si="1055"/>
        <v>2.0519707481379282E-2</v>
      </c>
      <c r="BH128" s="168">
        <f t="shared" si="1055"/>
        <v>1.4636509679681952E-2</v>
      </c>
      <c r="BI128" s="168">
        <f t="shared" si="1055"/>
        <v>1.0348187391183251E-2</v>
      </c>
      <c r="BJ128" s="168">
        <f t="shared" si="1055"/>
        <v>7.2637670541298265E-3</v>
      </c>
      <c r="BK128" s="168">
        <f t="shared" si="1055"/>
        <v>5.0674883586971295E-3</v>
      </c>
      <c r="BL128" s="168">
        <f t="shared" si="1055"/>
        <v>3.51583648296641E-3</v>
      </c>
      <c r="BM128" s="168">
        <f t="shared" si="1055"/>
        <v>2.4267043775680871E-3</v>
      </c>
      <c r="BN128" s="168">
        <f t="shared" si="1055"/>
        <v>1.66667174017527E-3</v>
      </c>
      <c r="BP128" s="168">
        <f t="shared" ref="BP128:CT128" si="1056">BP105</f>
        <v>0.14610145983293571</v>
      </c>
      <c r="BQ128" s="168">
        <f t="shared" si="1056"/>
        <v>0.14821773693030627</v>
      </c>
      <c r="BR128" s="168">
        <f t="shared" si="1056"/>
        <v>0.15029991940420692</v>
      </c>
      <c r="BS128" s="168">
        <f t="shared" si="1056"/>
        <v>0.15234808928358654</v>
      </c>
      <c r="BT128" s="168">
        <f t="shared" si="1056"/>
        <v>0.15436207986763892</v>
      </c>
      <c r="BU128" s="168">
        <f t="shared" si="1056"/>
        <v>0.1563414732122001</v>
      </c>
      <c r="BV128" s="168">
        <f t="shared" si="1056"/>
        <v>0.15831598020420046</v>
      </c>
      <c r="BW128" s="168">
        <f t="shared" si="1056"/>
        <v>0.16028545402202785</v>
      </c>
      <c r="BX128" s="168">
        <f t="shared" si="1056"/>
        <v>0.16224974273074824</v>
      </c>
      <c r="BY128" s="168">
        <f t="shared" si="1056"/>
        <v>0.16420868889919757</v>
      </c>
      <c r="BZ128" s="168">
        <f t="shared" si="1056"/>
        <v>0.16616212920768123</v>
      </c>
      <c r="CA128" s="168">
        <f t="shared" si="1056"/>
        <v>0.1680889409852678</v>
      </c>
      <c r="CB128" s="168">
        <f t="shared" si="1056"/>
        <v>0.16998827145070378</v>
      </c>
      <c r="CC128" s="168">
        <f t="shared" si="1056"/>
        <v>0.17185911040612792</v>
      </c>
      <c r="CD128" s="168">
        <f t="shared" si="1056"/>
        <v>0.17370028008363644</v>
      </c>
      <c r="CE128" s="168">
        <f t="shared" si="1056"/>
        <v>0.1755104233179797</v>
      </c>
      <c r="CF128" s="168">
        <f t="shared" si="1056"/>
        <v>0.17731636671909101</v>
      </c>
      <c r="CG128" s="168">
        <f t="shared" si="1056"/>
        <v>0.17911800242026549</v>
      </c>
      <c r="CH128" s="168">
        <f t="shared" si="1056"/>
        <v>0.18091522004394853</v>
      </c>
      <c r="CI128" s="168">
        <f t="shared" si="1056"/>
        <v>0.18270790662525552</v>
      </c>
      <c r="CJ128" s="168">
        <f t="shared" si="1056"/>
        <v>0.18449594653326651</v>
      </c>
      <c r="CK128" s="168">
        <f t="shared" si="1056"/>
        <v>0.18627940996324627</v>
      </c>
      <c r="CL128" s="168">
        <f t="shared" si="1056"/>
        <v>0.18805818551627063</v>
      </c>
      <c r="CM128" s="168">
        <f t="shared" si="1056"/>
        <v>0.18983215922076213</v>
      </c>
      <c r="CN128" s="168">
        <f t="shared" si="1056"/>
        <v>0.19160121445833664</v>
      </c>
      <c r="CO128" s="168">
        <f t="shared" si="1056"/>
        <v>0.19336523188753596</v>
      </c>
      <c r="CP128" s="168">
        <f t="shared" si="1056"/>
        <v>0.19512426529991575</v>
      </c>
      <c r="CQ128" s="168">
        <f t="shared" si="1056"/>
        <v>0.19687819878199081</v>
      </c>
      <c r="CR128" s="168">
        <f t="shared" si="1056"/>
        <v>0.19862691377236283</v>
      </c>
      <c r="CS128" s="168">
        <f t="shared" si="1056"/>
        <v>0.20037028898887899</v>
      </c>
      <c r="CT128" s="168">
        <f t="shared" si="1056"/>
        <v>0.20210820035375948</v>
      </c>
      <c r="CV128" s="168">
        <f>AJ128*(1-SUM(CV$34:CV$35))/(1-SUM(AJ$34:AJ$35))</f>
        <v>0.14609466474361113</v>
      </c>
      <c r="CW128" s="168">
        <f t="shared" ref="CW128:CW134" si="1057">AK128*(1-SUM(CW$34:CW$35))/(1-SUM(AK$34:AK$35))</f>
        <v>0.15041813286127256</v>
      </c>
      <c r="CX128" s="168">
        <f t="shared" ref="CX128:CX134" si="1058">AL128*(1-SUM(CX$34:CX$35))/(1-SUM(AL$34:AL$35))</f>
        <v>0.15445651789657924</v>
      </c>
      <c r="CY128" s="168">
        <f t="shared" ref="CY128:CY134" si="1059">AM128*(1-SUM(CY$34:CY$35))/(1-SUM(AM$34:AM$35))</f>
        <v>0.15842020475287827</v>
      </c>
      <c r="CZ128" s="168">
        <f t="shared" ref="CZ128:CZ134" si="1060">AN128*(1-SUM(CZ$34:CZ$35))/(1-SUM(AN$34:AN$35))</f>
        <v>0.16229539921687744</v>
      </c>
      <c r="DA128" s="168">
        <f t="shared" ref="DA128:DA134" si="1061">AO128*(1-SUM(DA$34:DA$35))/(1-SUM(AO$34:AO$35))</f>
        <v>0.16605693432654653</v>
      </c>
      <c r="DB128" s="168">
        <f t="shared" ref="DB128:DB134" si="1062">AP128*(1-SUM(DB$34:DB$35))/(1-SUM(AP$34:AP$35))</f>
        <v>0.16965863347689866</v>
      </c>
      <c r="DC128" s="168">
        <f t="shared" ref="DC128:DC134" si="1063">AQ128*(1-SUM(DC$34:DC$35))/(1-SUM(AQ$34:AQ$35))</f>
        <v>0.17301661885078773</v>
      </c>
      <c r="DD128" s="168">
        <f t="shared" ref="DD128:DD134" si="1064">AR128*(1-SUM(DD$34:DD$35))/(1-SUM(AR$34:AR$35))</f>
        <v>0.17598224269010601</v>
      </c>
      <c r="DE128" s="168">
        <f t="shared" ref="DE128:DE134" si="1065">AS128*(1-SUM(DE$34:DE$35))/(1-SUM(AS$34:AS$35))</f>
        <v>0.17830238990151392</v>
      </c>
      <c r="DF128" s="168">
        <f t="shared" ref="DF128:DF134" si="1066">AT128*(1-SUM(DF$34:DF$35))/(1-SUM(AT$34:AT$35))</f>
        <v>0.17957035538231278</v>
      </c>
      <c r="DG128" s="168">
        <f t="shared" ref="DG128:DG134" si="1067">AU128*(1-SUM(DG$34:DG$35))/(1-SUM(AU$34:AU$35))</f>
        <v>0.17817956417013764</v>
      </c>
      <c r="DH128" s="168">
        <f t="shared" ref="DH128:DH134" si="1068">AV128*(1-SUM(DH$34:DH$35))/(1-SUM(AV$34:AV$35))</f>
        <v>0.1743673883642762</v>
      </c>
      <c r="DI128" s="168">
        <f t="shared" ref="DI128:DI134" si="1069">AW128*(1-SUM(DI$34:DI$35))/(1-SUM(AW$34:AW$35))</f>
        <v>0.16735135742952478</v>
      </c>
      <c r="DJ128" s="168">
        <f t="shared" ref="DJ128:DJ134" si="1070">AX128*(1-SUM(DJ$34:DJ$35))/(1-SUM(AX$34:AX$35))</f>
        <v>0.15656592501128752</v>
      </c>
      <c r="DK128" s="168">
        <f t="shared" ref="DK128:DK134" si="1071">AY128*(1-SUM(DK$34:DK$35))/(1-SUM(AY$34:AY$35))</f>
        <v>0.14198776396149818</v>
      </c>
      <c r="DL128" s="168">
        <f t="shared" ref="DL128:DL134" si="1072">AZ128*(1-SUM(DL$34:DL$35))/(1-SUM(AZ$34:AZ$35))</f>
        <v>0.12434281224398483</v>
      </c>
      <c r="DM128" s="168">
        <f t="shared" ref="DM128:DM134" si="1073">BA128*(1-SUM(DM$34:DM$35))/(1-SUM(BA$34:BA$35))</f>
        <v>0.10501201966967887</v>
      </c>
      <c r="DN128" s="168">
        <f t="shared" ref="DN128:DN134" si="1074">BB128*(1-SUM(DN$34:DN$35))/(1-SUM(BB$34:BB$35))</f>
        <v>8.5643189683804716E-2</v>
      </c>
      <c r="DO128" s="168">
        <f t="shared" ref="DO128:DO134" si="1075">BC128*(1-SUM(DO$34:DO$35))/(1-SUM(BC$34:BC$35))</f>
        <v>6.7682805636615481E-2</v>
      </c>
      <c r="DP128" s="168">
        <f t="shared" ref="DP128:DP134" si="1076">BD128*(1-SUM(DP$34:DP$35))/(1-SUM(BD$34:BD$35))</f>
        <v>5.2072046691652447E-2</v>
      </c>
      <c r="DQ128" s="168">
        <f t="shared" ref="DQ128:DQ134" si="1077">BE128*(1-SUM(DQ$34:DQ$35))/(1-SUM(BE$34:BE$35))</f>
        <v>3.8872116401755995E-2</v>
      </c>
      <c r="DR128" s="168">
        <f t="shared" ref="DR128:DR134" si="1078">BF128*(1-SUM(DR$34:DR$35))/(1-SUM(BF$34:BF$35))</f>
        <v>2.8445952181490378E-2</v>
      </c>
      <c r="DS128" s="168">
        <f t="shared" ref="DS128:DS134" si="1079">BG128*(1-SUM(DS$34:DS$35))/(1-SUM(BG$34:BG$35))</f>
        <v>2.0517116016636947E-2</v>
      </c>
      <c r="DT128" s="168">
        <f t="shared" ref="DT128:DT134" si="1080">BH128*(1-SUM(DT$34:DT$35))/(1-SUM(BH$34:BH$35))</f>
        <v>1.463391479764457E-2</v>
      </c>
      <c r="DU128" s="168">
        <f t="shared" ref="DU128:DU134" si="1081">BI128*(1-SUM(DU$34:DU$35))/(1-SUM(BI$34:BI$35))</f>
        <v>1.0345743876811595E-2</v>
      </c>
      <c r="DV128" s="168">
        <f t="shared" ref="DV128:DV134" si="1082">BJ128*(1-SUM(DV$34:DV$35))/(1-SUM(BJ$34:BJ$35))</f>
        <v>7.2615608666977459E-3</v>
      </c>
      <c r="DW128" s="168">
        <f t="shared" ref="DW128:DW134" si="1083">BK128*(1-SUM(DW$34:DW$35))/(1-SUM(BK$34:BK$35))</f>
        <v>5.065556527366788E-3</v>
      </c>
      <c r="DX128" s="168">
        <f t="shared" ref="DX128:DX134" si="1084">BL128*(1-SUM(DX$34:DX$35))/(1-SUM(BL$34:BL$35))</f>
        <v>3.5141838487241814E-3</v>
      </c>
      <c r="DY128" s="168">
        <f t="shared" ref="DY128:DY134" si="1085">BM128*(1-SUM(DY$34:DY$35))/(1-SUM(BM$34:BM$35))</f>
        <v>2.4253163872243215E-3</v>
      </c>
      <c r="DZ128" s="168">
        <f t="shared" ref="DZ128:DZ134" si="1086">BN128*(1-SUM(DZ$34:DZ$35))/(1-SUM(BN$34:BN$35))</f>
        <v>1.6655235239186883E-3</v>
      </c>
    </row>
    <row r="129" spans="1:165">
      <c r="A129" s="606" t="s">
        <v>460</v>
      </c>
      <c r="C129" s="54" t="s">
        <v>462</v>
      </c>
      <c r="D129" s="168">
        <f t="shared" ref="D129:AH129" si="1087">D106</f>
        <v>6.7336115814820403E-6</v>
      </c>
      <c r="E129" s="168">
        <f t="shared" si="1087"/>
        <v>1.3425645747642983E-5</v>
      </c>
      <c r="F129" s="168">
        <f t="shared" si="1087"/>
        <v>2.665206646511075E-5</v>
      </c>
      <c r="G129" s="168">
        <f t="shared" si="1087"/>
        <v>5.2723225115014659E-5</v>
      </c>
      <c r="H129" s="168">
        <f t="shared" si="1087"/>
        <v>1.0383464380689999E-4</v>
      </c>
      <c r="I129" s="168">
        <f t="shared" si="1087"/>
        <v>2.0331806358037083E-4</v>
      </c>
      <c r="J129" s="168">
        <f t="shared" si="1087"/>
        <v>3.9509334558701274E-4</v>
      </c>
      <c r="K129" s="168">
        <f t="shared" si="1087"/>
        <v>7.5999663366069703E-4</v>
      </c>
      <c r="L129" s="168">
        <f t="shared" si="1087"/>
        <v>1.4422172858679361E-3</v>
      </c>
      <c r="M129" s="168">
        <f t="shared" si="1087"/>
        <v>2.6879249296633389E-3</v>
      </c>
      <c r="N129" s="168">
        <f t="shared" si="1087"/>
        <v>4.892343569242538E-3</v>
      </c>
      <c r="O129" s="168">
        <f t="shared" si="1087"/>
        <v>8.5889205280500376E-3</v>
      </c>
      <c r="P129" s="168">
        <f t="shared" si="1087"/>
        <v>1.451242926727543E-2</v>
      </c>
      <c r="Q129" s="168">
        <f t="shared" si="1087"/>
        <v>2.3417290575546972E-2</v>
      </c>
      <c r="R129" s="168">
        <f t="shared" si="1087"/>
        <v>3.5836605073429242E-2</v>
      </c>
      <c r="S129" s="168">
        <f t="shared" si="1087"/>
        <v>5.1765567732023045E-2</v>
      </c>
      <c r="T129" s="168">
        <f t="shared" si="1087"/>
        <v>7.0467375563753584E-2</v>
      </c>
      <c r="U129" s="168">
        <f t="shared" si="1087"/>
        <v>9.0576122612054943E-2</v>
      </c>
      <c r="V129" s="168">
        <f t="shared" si="1087"/>
        <v>0.11048634160401984</v>
      </c>
      <c r="W129" s="168">
        <f t="shared" si="1087"/>
        <v>0.12880841199909357</v>
      </c>
      <c r="X129" s="168">
        <f t="shared" si="1087"/>
        <v>0.14465402148645468</v>
      </c>
      <c r="Y129" s="168">
        <f t="shared" si="1087"/>
        <v>0.15649505803095723</v>
      </c>
      <c r="Z129" s="168">
        <f t="shared" si="1087"/>
        <v>0.16474746925700437</v>
      </c>
      <c r="AA129" s="168">
        <f t="shared" si="1087"/>
        <v>0.1701682253599627</v>
      </c>
      <c r="AB129" s="168">
        <f t="shared" si="1087"/>
        <v>0.17325021618442799</v>
      </c>
      <c r="AC129" s="168">
        <f t="shared" si="1087"/>
        <v>0.17440631403696708</v>
      </c>
      <c r="AD129" s="168">
        <f t="shared" si="1087"/>
        <v>0.17397010634595633</v>
      </c>
      <c r="AE129" s="168">
        <f t="shared" si="1087"/>
        <v>0.17218344009234215</v>
      </c>
      <c r="AF129" s="168">
        <f t="shared" si="1087"/>
        <v>0.16921040241906005</v>
      </c>
      <c r="AG129" s="168">
        <f t="shared" si="1087"/>
        <v>0.16517001539818499</v>
      </c>
      <c r="AH129" s="168">
        <f t="shared" si="1087"/>
        <v>0.16017696175923879</v>
      </c>
      <c r="AI129" s="44"/>
      <c r="AJ129" s="168">
        <f t="shared" ref="AJ129:BN129" si="1088">AJ106</f>
        <v>6.7336136929481631E-6</v>
      </c>
      <c r="AK129" s="168">
        <f t="shared" si="1088"/>
        <v>1.3425654750097982E-5</v>
      </c>
      <c r="AL129" s="168">
        <f t="shared" si="1088"/>
        <v>2.6652103819908445E-5</v>
      </c>
      <c r="AM129" s="168">
        <f t="shared" si="1088"/>
        <v>5.2723378574982232E-5</v>
      </c>
      <c r="AN129" s="168">
        <f t="shared" si="1088"/>
        <v>1.0383526702957559E-4</v>
      </c>
      <c r="AO129" s="168">
        <f t="shared" si="1088"/>
        <v>2.0332055970930128E-4</v>
      </c>
      <c r="AP129" s="168">
        <f t="shared" si="1088"/>
        <v>3.9510317150172726E-4</v>
      </c>
      <c r="AQ129" s="168">
        <f t="shared" si="1088"/>
        <v>7.6003446588362381E-4</v>
      </c>
      <c r="AR129" s="168">
        <f t="shared" si="1088"/>
        <v>1.4423588242525444E-3</v>
      </c>
      <c r="AS129" s="168">
        <f t="shared" si="1088"/>
        <v>2.6884350132700833E-3</v>
      </c>
      <c r="AT129" s="168">
        <f t="shared" si="1088"/>
        <v>4.894102550637912E-3</v>
      </c>
      <c r="AU129" s="168">
        <f t="shared" si="1088"/>
        <v>8.5943570342958756E-3</v>
      </c>
      <c r="AV129" s="168">
        <f t="shared" si="1088"/>
        <v>1.4528069689574532E-2</v>
      </c>
      <c r="AW129" s="168">
        <f t="shared" si="1088"/>
        <v>2.3458360079269349E-2</v>
      </c>
      <c r="AX129" s="168">
        <f t="shared" si="1088"/>
        <v>3.5933699777692077E-2</v>
      </c>
      <c r="AY129" s="168">
        <f t="shared" si="1088"/>
        <v>5.1970351686144639E-2</v>
      </c>
      <c r="AZ129" s="168">
        <f t="shared" si="1088"/>
        <v>7.0851136058148523E-2</v>
      </c>
      <c r="BA129" s="168">
        <f t="shared" si="1088"/>
        <v>9.1217467628067692E-2</v>
      </c>
      <c r="BB129" s="168">
        <f t="shared" si="1088"/>
        <v>0.11145132510472647</v>
      </c>
      <c r="BC129" s="168">
        <f t="shared" si="1088"/>
        <v>0.13013360012232755</v>
      </c>
      <c r="BD129" s="168">
        <f t="shared" si="1088"/>
        <v>0.14634091136082958</v>
      </c>
      <c r="BE129" s="168">
        <f t="shared" si="1088"/>
        <v>0.15838939925180898</v>
      </c>
      <c r="BF129" s="168">
        <f t="shared" si="1088"/>
        <v>0.16704151026466008</v>
      </c>
      <c r="BG129" s="168">
        <f t="shared" si="1088"/>
        <v>0.17287835165281185</v>
      </c>
      <c r="BH129" s="168">
        <f t="shared" si="1088"/>
        <v>0.17637140154560682</v>
      </c>
      <c r="BI129" s="168">
        <f t="shared" si="1088"/>
        <v>0.17794482827078456</v>
      </c>
      <c r="BJ129" s="168">
        <f t="shared" si="1088"/>
        <v>0.17795328140036484</v>
      </c>
      <c r="BK129" s="168">
        <f t="shared" si="1088"/>
        <v>0.17666749542220725</v>
      </c>
      <c r="BL129" s="168">
        <f t="shared" si="1088"/>
        <v>0.1742831502235237</v>
      </c>
      <c r="BM129" s="168">
        <f t="shared" si="1088"/>
        <v>0.1709439447597835</v>
      </c>
      <c r="BN129" s="168">
        <f t="shared" si="1088"/>
        <v>0.16677016275851883</v>
      </c>
      <c r="BP129" s="168">
        <f t="shared" ref="BP129:CT129" si="1089">BP106</f>
        <v>0</v>
      </c>
      <c r="BQ129" s="168">
        <f t="shared" si="1089"/>
        <v>0</v>
      </c>
      <c r="BR129" s="168">
        <f t="shared" si="1089"/>
        <v>0</v>
      </c>
      <c r="BS129" s="168">
        <f t="shared" si="1089"/>
        <v>0</v>
      </c>
      <c r="BT129" s="168">
        <f t="shared" si="1089"/>
        <v>0</v>
      </c>
      <c r="BU129" s="168">
        <f t="shared" si="1089"/>
        <v>0</v>
      </c>
      <c r="BV129" s="168">
        <f t="shared" si="1089"/>
        <v>0</v>
      </c>
      <c r="BW129" s="168">
        <f t="shared" si="1089"/>
        <v>0</v>
      </c>
      <c r="BX129" s="168">
        <f t="shared" si="1089"/>
        <v>0</v>
      </c>
      <c r="BY129" s="168">
        <f t="shared" si="1089"/>
        <v>0</v>
      </c>
      <c r="BZ129" s="168">
        <f t="shared" si="1089"/>
        <v>0</v>
      </c>
      <c r="CA129" s="168">
        <f t="shared" si="1089"/>
        <v>0</v>
      </c>
      <c r="CB129" s="168">
        <f t="shared" si="1089"/>
        <v>0</v>
      </c>
      <c r="CC129" s="168">
        <f t="shared" si="1089"/>
        <v>0</v>
      </c>
      <c r="CD129" s="168">
        <f t="shared" si="1089"/>
        <v>0</v>
      </c>
      <c r="CE129" s="168">
        <f t="shared" si="1089"/>
        <v>0</v>
      </c>
      <c r="CF129" s="168">
        <f t="shared" si="1089"/>
        <v>0</v>
      </c>
      <c r="CG129" s="168">
        <f t="shared" si="1089"/>
        <v>0</v>
      </c>
      <c r="CH129" s="168">
        <f t="shared" si="1089"/>
        <v>0</v>
      </c>
      <c r="CI129" s="168">
        <f t="shared" si="1089"/>
        <v>0</v>
      </c>
      <c r="CJ129" s="168">
        <f t="shared" si="1089"/>
        <v>0</v>
      </c>
      <c r="CK129" s="168">
        <f t="shared" si="1089"/>
        <v>0</v>
      </c>
      <c r="CL129" s="168">
        <f t="shared" si="1089"/>
        <v>0</v>
      </c>
      <c r="CM129" s="168">
        <f t="shared" si="1089"/>
        <v>0</v>
      </c>
      <c r="CN129" s="168">
        <f t="shared" si="1089"/>
        <v>0</v>
      </c>
      <c r="CO129" s="168">
        <f t="shared" si="1089"/>
        <v>0</v>
      </c>
      <c r="CP129" s="168">
        <f t="shared" si="1089"/>
        <v>0</v>
      </c>
      <c r="CQ129" s="168">
        <f t="shared" si="1089"/>
        <v>0</v>
      </c>
      <c r="CR129" s="168">
        <f t="shared" si="1089"/>
        <v>0</v>
      </c>
      <c r="CS129" s="168">
        <f t="shared" si="1089"/>
        <v>0</v>
      </c>
      <c r="CT129" s="168">
        <f t="shared" si="1089"/>
        <v>0</v>
      </c>
      <c r="CV129" s="168">
        <f t="shared" ref="CV129:CV134" si="1090">AJ129*(1-SUM(CV$34:CV$35))/(1-SUM(AJ$34:AJ$35))</f>
        <v>6.7336136929481631E-6</v>
      </c>
      <c r="CW129" s="168">
        <f t="shared" si="1057"/>
        <v>1.3425654750097984E-5</v>
      </c>
      <c r="CX129" s="168">
        <f t="shared" si="1058"/>
        <v>2.6652103819908445E-5</v>
      </c>
      <c r="CY129" s="168">
        <f t="shared" si="1059"/>
        <v>5.2723378574982232E-5</v>
      </c>
      <c r="CZ129" s="168">
        <f t="shared" si="1060"/>
        <v>1.0383526702957559E-4</v>
      </c>
      <c r="DA129" s="168">
        <f t="shared" si="1061"/>
        <v>2.0332055970930128E-4</v>
      </c>
      <c r="DB129" s="168">
        <f t="shared" si="1062"/>
        <v>3.9510317150172726E-4</v>
      </c>
      <c r="DC129" s="168">
        <f t="shared" si="1063"/>
        <v>7.6003446588362381E-4</v>
      </c>
      <c r="DD129" s="168">
        <f t="shared" si="1064"/>
        <v>1.4423588242525444E-3</v>
      </c>
      <c r="DE129" s="168">
        <f t="shared" si="1065"/>
        <v>2.6884350132700833E-3</v>
      </c>
      <c r="DF129" s="168">
        <f t="shared" si="1066"/>
        <v>4.8941025506379111E-3</v>
      </c>
      <c r="DG129" s="168">
        <f t="shared" si="1067"/>
        <v>8.5943570342958756E-3</v>
      </c>
      <c r="DH129" s="168">
        <f t="shared" si="1068"/>
        <v>1.4528069689574532E-2</v>
      </c>
      <c r="DI129" s="168">
        <f t="shared" si="1069"/>
        <v>2.3458259973250063E-2</v>
      </c>
      <c r="DJ129" s="168">
        <f t="shared" si="1070"/>
        <v>3.5933370262078296E-2</v>
      </c>
      <c r="DK129" s="168">
        <f t="shared" si="1071"/>
        <v>5.1969584822699845E-2</v>
      </c>
      <c r="DL129" s="168">
        <f t="shared" si="1072"/>
        <v>7.0849642912439392E-2</v>
      </c>
      <c r="DM129" s="168">
        <f t="shared" si="1073"/>
        <v>9.1214898151784199E-2</v>
      </c>
      <c r="DN129" s="168">
        <f t="shared" si="1074"/>
        <v>0.11144730437780839</v>
      </c>
      <c r="DO129" s="168">
        <f t="shared" si="1075"/>
        <v>0.13012776668915169</v>
      </c>
      <c r="DP129" s="168">
        <f t="shared" si="1076"/>
        <v>0.14633294376950245</v>
      </c>
      <c r="DQ129" s="168">
        <f t="shared" si="1077"/>
        <v>0.15837870317714881</v>
      </c>
      <c r="DR129" s="168">
        <f t="shared" si="1078"/>
        <v>0.16702774511371032</v>
      </c>
      <c r="DS129" s="168">
        <f t="shared" si="1079"/>
        <v>0.17285651858557988</v>
      </c>
      <c r="DT129" s="168">
        <f t="shared" si="1080"/>
        <v>0.1763401329582322</v>
      </c>
      <c r="DU129" s="168">
        <f t="shared" si="1081"/>
        <v>0.17790281021208457</v>
      </c>
      <c r="DV129" s="168">
        <f t="shared" si="1082"/>
        <v>0.17789923254527393</v>
      </c>
      <c r="DW129" s="168">
        <f t="shared" si="1083"/>
        <v>0.17660014612043257</v>
      </c>
      <c r="DX129" s="168">
        <f t="shared" si="1084"/>
        <v>0.17420122767015744</v>
      </c>
      <c r="DY129" s="168">
        <f t="shared" si="1085"/>
        <v>0.17084617078004163</v>
      </c>
      <c r="DZ129" s="168">
        <f t="shared" si="1086"/>
        <v>0.16665527018106865</v>
      </c>
    </row>
    <row r="130" spans="1:165">
      <c r="A130" s="606" t="s">
        <v>33</v>
      </c>
      <c r="C130" s="54" t="s">
        <v>462</v>
      </c>
      <c r="D130" s="168">
        <f t="shared" ref="D130:AH130" si="1091">D107</f>
        <v>0.33785937775832225</v>
      </c>
      <c r="E130" s="168">
        <f t="shared" si="1091"/>
        <v>0.33816749047316325</v>
      </c>
      <c r="F130" s="168">
        <f t="shared" si="1091"/>
        <v>0.33793146074050345</v>
      </c>
      <c r="G130" s="168">
        <f t="shared" si="1091"/>
        <v>0.33765440384280671</v>
      </c>
      <c r="H130" s="168">
        <f t="shared" si="1091"/>
        <v>0.33733462045398677</v>
      </c>
      <c r="I130" s="168">
        <f t="shared" si="1091"/>
        <v>0.33696977249056365</v>
      </c>
      <c r="J130" s="168">
        <f t="shared" si="1091"/>
        <v>0.33655631700939792</v>
      </c>
      <c r="K130" s="168">
        <f t="shared" si="1091"/>
        <v>0.33608845221075673</v>
      </c>
      <c r="L130" s="168">
        <f t="shared" si="1091"/>
        <v>0.33555636431663999</v>
      </c>
      <c r="M130" s="168">
        <f t="shared" si="1091"/>
        <v>0.33494349399170931</v>
      </c>
      <c r="N130" s="168">
        <f t="shared" si="1091"/>
        <v>0.33422166475303405</v>
      </c>
      <c r="O130" s="168">
        <f t="shared" si="1091"/>
        <v>0.3314847209392488</v>
      </c>
      <c r="P130" s="168">
        <f t="shared" si="1091"/>
        <v>0.32852642353716688</v>
      </c>
      <c r="Q130" s="168">
        <f t="shared" si="1091"/>
        <v>0.32530485059564918</v>
      </c>
      <c r="R130" s="168">
        <f t="shared" si="1091"/>
        <v>0.32178618900898315</v>
      </c>
      <c r="S130" s="168">
        <f t="shared" si="1091"/>
        <v>0.31796830158743694</v>
      </c>
      <c r="T130" s="168">
        <f t="shared" si="1091"/>
        <v>0.31389370435171554</v>
      </c>
      <c r="U130" s="168">
        <f t="shared" si="1091"/>
        <v>0.30963966928841591</v>
      </c>
      <c r="V130" s="168">
        <f t="shared" si="1091"/>
        <v>0.30529854130623529</v>
      </c>
      <c r="W130" s="168">
        <f t="shared" si="1091"/>
        <v>0.30095026739876962</v>
      </c>
      <c r="X130" s="168">
        <f t="shared" si="1091"/>
        <v>0.29664455254226457</v>
      </c>
      <c r="Y130" s="168">
        <f t="shared" si="1091"/>
        <v>0.29020759922058437</v>
      </c>
      <c r="Z130" s="168">
        <f t="shared" si="1091"/>
        <v>0.28271898027330383</v>
      </c>
      <c r="AA130" s="168">
        <f t="shared" si="1091"/>
        <v>0.27499842375018163</v>
      </c>
      <c r="AB130" s="168">
        <f t="shared" si="1091"/>
        <v>0.26710889053886794</v>
      </c>
      <c r="AC130" s="168">
        <f t="shared" si="1091"/>
        <v>0.25899735556346165</v>
      </c>
      <c r="AD130" s="168">
        <f t="shared" si="1091"/>
        <v>0.25058972698217952</v>
      </c>
      <c r="AE130" s="168">
        <f t="shared" si="1091"/>
        <v>0.24179525718270167</v>
      </c>
      <c r="AF130" s="168">
        <f t="shared" si="1091"/>
        <v>0.23252142471156065</v>
      </c>
      <c r="AG130" s="168">
        <f t="shared" si="1091"/>
        <v>0.2227023472255715</v>
      </c>
      <c r="AH130" s="168">
        <f t="shared" si="1091"/>
        <v>0.21233328664493609</v>
      </c>
      <c r="AI130" s="44"/>
      <c r="AJ130" s="168">
        <f t="shared" ref="AJ130:BN130" si="1092">AJ107</f>
        <v>0.33785948370126562</v>
      </c>
      <c r="AK130" s="168">
        <f t="shared" si="1092"/>
        <v>0.33816771722855898</v>
      </c>
      <c r="AL130" s="168">
        <f t="shared" si="1092"/>
        <v>0.33793193437587304</v>
      </c>
      <c r="AM130" s="168">
        <f t="shared" si="1092"/>
        <v>0.33765538664372136</v>
      </c>
      <c r="AN130" s="168">
        <f t="shared" si="1092"/>
        <v>0.33733664515958622</v>
      </c>
      <c r="AO130" s="168">
        <f t="shared" si="1092"/>
        <v>0.33697390945696487</v>
      </c>
      <c r="AP130" s="168">
        <f t="shared" si="1092"/>
        <v>0.33656468711662568</v>
      </c>
      <c r="AQ130" s="168">
        <f t="shared" si="1092"/>
        <v>0.33610518251281862</v>
      </c>
      <c r="AR130" s="168">
        <f t="shared" si="1092"/>
        <v>0.33558929562748735</v>
      </c>
      <c r="AS130" s="168">
        <f t="shared" si="1092"/>
        <v>0.33500705573169148</v>
      </c>
      <c r="AT130" s="168">
        <f t="shared" si="1092"/>
        <v>0.33434183000347306</v>
      </c>
      <c r="AU130" s="168">
        <f t="shared" si="1092"/>
        <v>0.33169453994384906</v>
      </c>
      <c r="AV130" s="168">
        <f t="shared" si="1092"/>
        <v>0.3288804850044722</v>
      </c>
      <c r="AW130" s="168">
        <f t="shared" si="1092"/>
        <v>0.32587537384766013</v>
      </c>
      <c r="AX130" s="168">
        <f t="shared" si="1092"/>
        <v>0.32265802758838186</v>
      </c>
      <c r="AY130" s="168">
        <f t="shared" si="1092"/>
        <v>0.31922618030754452</v>
      </c>
      <c r="AZ130" s="168">
        <f t="shared" si="1092"/>
        <v>0.31560314793757016</v>
      </c>
      <c r="BA130" s="168">
        <f t="shared" si="1092"/>
        <v>0.31183214400394899</v>
      </c>
      <c r="BB130" s="168">
        <f t="shared" si="1092"/>
        <v>0.30796500714149827</v>
      </c>
      <c r="BC130" s="168">
        <f t="shared" si="1092"/>
        <v>0.30404646052662027</v>
      </c>
      <c r="BD130" s="168">
        <f t="shared" si="1092"/>
        <v>0.3001038873525233</v>
      </c>
      <c r="BE130" s="168">
        <f t="shared" si="1092"/>
        <v>0.29372050387537052</v>
      </c>
      <c r="BF130" s="168">
        <f t="shared" si="1092"/>
        <v>0.28665572623556079</v>
      </c>
      <c r="BG130" s="168">
        <f t="shared" si="1092"/>
        <v>0.27937809249927331</v>
      </c>
      <c r="BH130" s="168">
        <f t="shared" si="1092"/>
        <v>0.27192098473044546</v>
      </c>
      <c r="BI130" s="168">
        <f t="shared" si="1092"/>
        <v>0.2642521299346931</v>
      </c>
      <c r="BJ130" s="168">
        <f t="shared" si="1092"/>
        <v>0.25632716527184496</v>
      </c>
      <c r="BK130" s="168">
        <f t="shared" si="1092"/>
        <v>0.24809216535879999</v>
      </c>
      <c r="BL130" s="168">
        <f t="shared" si="1092"/>
        <v>0.23949216959387101</v>
      </c>
      <c r="BM130" s="168">
        <f t="shared" si="1092"/>
        <v>0.23048746257137273</v>
      </c>
      <c r="BN130" s="168">
        <f t="shared" si="1092"/>
        <v>0.22107334527953598</v>
      </c>
      <c r="BP130" s="168">
        <f t="shared" ref="BP130:CT130" si="1093">BP107</f>
        <v>0.3378596258636638</v>
      </c>
      <c r="BQ130" s="168">
        <f t="shared" si="1093"/>
        <v>0.33170653960071217</v>
      </c>
      <c r="BR130" s="168">
        <f t="shared" si="1093"/>
        <v>0.32544633238985671</v>
      </c>
      <c r="BS130" s="168">
        <f t="shared" si="1093"/>
        <v>0.31908766473896805</v>
      </c>
      <c r="BT130" s="168">
        <f t="shared" si="1093"/>
        <v>0.31263825367803899</v>
      </c>
      <c r="BU130" s="168">
        <f t="shared" si="1093"/>
        <v>0.30610497837339778</v>
      </c>
      <c r="BV130" s="168">
        <f t="shared" si="1093"/>
        <v>0.29955146602442123</v>
      </c>
      <c r="BW130" s="168">
        <f t="shared" si="1093"/>
        <v>0.29297878078500988</v>
      </c>
      <c r="BX130" s="168">
        <f t="shared" si="1093"/>
        <v>0.28638795223697805</v>
      </c>
      <c r="BY130" s="168">
        <f t="shared" si="1093"/>
        <v>0.27977997778289965</v>
      </c>
      <c r="BZ130" s="168">
        <f t="shared" si="1093"/>
        <v>0.27315582495211099</v>
      </c>
      <c r="CA130" s="168">
        <f t="shared" si="1093"/>
        <v>0.26648321526869106</v>
      </c>
      <c r="CB130" s="168">
        <f t="shared" si="1093"/>
        <v>0.25976562693549143</v>
      </c>
      <c r="CC130" s="168">
        <f t="shared" si="1093"/>
        <v>0.25300628579767676</v>
      </c>
      <c r="CD130" s="168">
        <f t="shared" si="1093"/>
        <v>0.24620819516442094</v>
      </c>
      <c r="CE130" s="168">
        <f t="shared" si="1093"/>
        <v>0.23937416373996753</v>
      </c>
      <c r="CF130" s="168">
        <f t="shared" si="1093"/>
        <v>0.23254404723726144</v>
      </c>
      <c r="CG130" s="168">
        <f t="shared" si="1093"/>
        <v>0.22571805668846967</v>
      </c>
      <c r="CH130" s="168">
        <f t="shared" si="1093"/>
        <v>0.21889640721341891</v>
      </c>
      <c r="CI130" s="168">
        <f t="shared" si="1093"/>
        <v>0.21207931817876394</v>
      </c>
      <c r="CJ130" s="168">
        <f t="shared" si="1093"/>
        <v>0.20526701336151557</v>
      </c>
      <c r="CK130" s="168">
        <f t="shared" si="1093"/>
        <v>0.19845992202082383</v>
      </c>
      <c r="CL130" s="168">
        <f t="shared" si="1093"/>
        <v>0.19165826109883438</v>
      </c>
      <c r="CM130" s="168">
        <f t="shared" si="1093"/>
        <v>0.18486225206480628</v>
      </c>
      <c r="CN130" s="168">
        <f t="shared" si="1093"/>
        <v>0.17807212107101184</v>
      </c>
      <c r="CO130" s="168">
        <f t="shared" si="1093"/>
        <v>0.17128809911297527</v>
      </c>
      <c r="CP130" s="168">
        <f t="shared" si="1093"/>
        <v>0.16451057052578724</v>
      </c>
      <c r="CQ130" s="168">
        <f t="shared" si="1093"/>
        <v>0.15773976167472809</v>
      </c>
      <c r="CR130" s="168">
        <f t="shared" si="1093"/>
        <v>0.15097590385879769</v>
      </c>
      <c r="CS130" s="168">
        <f t="shared" si="1093"/>
        <v>0.14421923346592749</v>
      </c>
      <c r="CT130" s="168">
        <f t="shared" si="1093"/>
        <v>0.1374699921325121</v>
      </c>
      <c r="CV130" s="168">
        <f t="shared" si="1090"/>
        <v>0.33785948370126556</v>
      </c>
      <c r="CW130" s="168">
        <f t="shared" si="1057"/>
        <v>0.33816771722855898</v>
      </c>
      <c r="CX130" s="168">
        <f t="shared" si="1058"/>
        <v>0.33793193437587304</v>
      </c>
      <c r="CY130" s="168">
        <f t="shared" si="1059"/>
        <v>0.33765538664372136</v>
      </c>
      <c r="CZ130" s="168">
        <f t="shared" si="1060"/>
        <v>0.33733664515958622</v>
      </c>
      <c r="DA130" s="168">
        <f t="shared" si="1061"/>
        <v>0.33697390945696487</v>
      </c>
      <c r="DB130" s="168">
        <f t="shared" si="1062"/>
        <v>0.33656468711662568</v>
      </c>
      <c r="DC130" s="168">
        <f t="shared" si="1063"/>
        <v>0.33610518251281862</v>
      </c>
      <c r="DD130" s="168">
        <f t="shared" si="1064"/>
        <v>0.33558929562748735</v>
      </c>
      <c r="DE130" s="168">
        <f t="shared" si="1065"/>
        <v>0.33500705573169148</v>
      </c>
      <c r="DF130" s="168">
        <f t="shared" si="1066"/>
        <v>0.33434183000347306</v>
      </c>
      <c r="DG130" s="168">
        <f t="shared" si="1067"/>
        <v>0.33169453994384906</v>
      </c>
      <c r="DH130" s="168">
        <f t="shared" si="1068"/>
        <v>0.32888048500447226</v>
      </c>
      <c r="DI130" s="168">
        <f t="shared" si="1069"/>
        <v>0.32587398320968075</v>
      </c>
      <c r="DJ130" s="168">
        <f t="shared" si="1070"/>
        <v>0.3226550687820619</v>
      </c>
      <c r="DK130" s="168">
        <f t="shared" si="1071"/>
        <v>0.31922146987399236</v>
      </c>
      <c r="DL130" s="168">
        <f t="shared" si="1072"/>
        <v>0.31559649678824003</v>
      </c>
      <c r="DM130" s="168">
        <f t="shared" si="1073"/>
        <v>0.3118233601019258</v>
      </c>
      <c r="DN130" s="168">
        <f t="shared" si="1074"/>
        <v>0.30795389697127035</v>
      </c>
      <c r="DO130" s="168">
        <f t="shared" si="1075"/>
        <v>0.30403283118947622</v>
      </c>
      <c r="DP130" s="168">
        <f t="shared" si="1076"/>
        <v>0.30008754807249644</v>
      </c>
      <c r="DQ130" s="168">
        <f t="shared" si="1077"/>
        <v>0.29370066885829543</v>
      </c>
      <c r="DR130" s="168">
        <f t="shared" si="1078"/>
        <v>0.2866321042069046</v>
      </c>
      <c r="DS130" s="168">
        <f t="shared" si="1079"/>
        <v>0.27934280941947554</v>
      </c>
      <c r="DT130" s="168">
        <f t="shared" si="1080"/>
        <v>0.27187277631912982</v>
      </c>
      <c r="DU130" s="168">
        <f t="shared" si="1081"/>
        <v>0.26418973215884822</v>
      </c>
      <c r="DV130" s="168">
        <f t="shared" si="1082"/>
        <v>0.25624931231121045</v>
      </c>
      <c r="DW130" s="168">
        <f t="shared" si="1083"/>
        <v>0.24799758749617309</v>
      </c>
      <c r="DX130" s="168">
        <f t="shared" si="1084"/>
        <v>0.23937959525711389</v>
      </c>
      <c r="DY130" s="168">
        <f t="shared" si="1085"/>
        <v>0.23035563177427795</v>
      </c>
      <c r="DZ130" s="168">
        <f t="shared" si="1086"/>
        <v>0.22092104173779586</v>
      </c>
    </row>
    <row r="131" spans="1:165">
      <c r="A131" s="606" t="s">
        <v>451</v>
      </c>
      <c r="C131" s="54" t="s">
        <v>462</v>
      </c>
      <c r="D131" s="168">
        <f t="shared" ref="D131:AH131" si="1094">D108</f>
        <v>7.3050729916467855E-2</v>
      </c>
      <c r="E131" s="168">
        <f t="shared" si="1094"/>
        <v>7.0666501355150582E-2</v>
      </c>
      <c r="F131" s="168">
        <f t="shared" si="1094"/>
        <v>6.8189965004998937E-2</v>
      </c>
      <c r="G131" s="168">
        <f t="shared" si="1094"/>
        <v>6.5730505325975727E-2</v>
      </c>
      <c r="H131" s="168">
        <f t="shared" si="1094"/>
        <v>6.3288446688384375E-2</v>
      </c>
      <c r="I131" s="168">
        <f t="shared" si="1094"/>
        <v>6.0864131678576038E-2</v>
      </c>
      <c r="J131" s="168">
        <f t="shared" si="1094"/>
        <v>5.8457922733898861E-2</v>
      </c>
      <c r="K131" s="168">
        <f t="shared" si="1094"/>
        <v>5.607019896188821E-2</v>
      </c>
      <c r="L131" s="168">
        <f t="shared" si="1094"/>
        <v>5.3701357663331291E-2</v>
      </c>
      <c r="M131" s="168">
        <f t="shared" si="1094"/>
        <v>5.1351814333297427E-2</v>
      </c>
      <c r="N131" s="168">
        <f t="shared" si="1094"/>
        <v>4.9022002662069866E-2</v>
      </c>
      <c r="O131" s="168">
        <f t="shared" si="1094"/>
        <v>4.6448156971573666E-2</v>
      </c>
      <c r="P131" s="168">
        <f t="shared" si="1094"/>
        <v>4.3914078925480562E-2</v>
      </c>
      <c r="Q131" s="168">
        <f t="shared" si="1094"/>
        <v>4.142085185961155E-2</v>
      </c>
      <c r="R131" s="168">
        <f t="shared" si="1094"/>
        <v>3.8969123505116311E-2</v>
      </c>
      <c r="S131" s="168">
        <f t="shared" si="1094"/>
        <v>3.6559834042834145E-2</v>
      </c>
      <c r="T131" s="168">
        <f t="shared" si="1094"/>
        <v>3.4193964203463469E-2</v>
      </c>
      <c r="U131" s="168">
        <f t="shared" si="1094"/>
        <v>3.1872531565638608E-2</v>
      </c>
      <c r="V131" s="168">
        <f t="shared" si="1094"/>
        <v>2.9596592248029668E-2</v>
      </c>
      <c r="W131" s="168">
        <f t="shared" si="1094"/>
        <v>2.7367240896770621E-2</v>
      </c>
      <c r="X131" s="168">
        <f t="shared" si="1094"/>
        <v>2.5185610672815776E-2</v>
      </c>
      <c r="Y131" s="168">
        <f t="shared" si="1094"/>
        <v>2.2843126133278827E-2</v>
      </c>
      <c r="Z131" s="168">
        <f t="shared" si="1094"/>
        <v>2.057926109471531E-2</v>
      </c>
      <c r="AA131" s="168">
        <f t="shared" si="1094"/>
        <v>1.839604119900266E-2</v>
      </c>
      <c r="AB131" s="168">
        <f t="shared" si="1094"/>
        <v>1.629531062681679E-2</v>
      </c>
      <c r="AC131" s="168">
        <f t="shared" si="1094"/>
        <v>1.427912582948087E-2</v>
      </c>
      <c r="AD131" s="168">
        <f t="shared" si="1094"/>
        <v>1.234960798293694E-2</v>
      </c>
      <c r="AE131" s="168">
        <f t="shared" si="1094"/>
        <v>1.0508942907247997E-2</v>
      </c>
      <c r="AF131" s="168">
        <f t="shared" si="1094"/>
        <v>8.7593810221844506E-3</v>
      </c>
      <c r="AG131" s="168">
        <f t="shared" si="1094"/>
        <v>7.1032372908977296E-3</v>
      </c>
      <c r="AH131" s="168">
        <f t="shared" si="1094"/>
        <v>5.5428911635143569E-3</v>
      </c>
      <c r="AI131" s="44"/>
      <c r="AJ131" s="168">
        <f t="shared" ref="AJ131:BN131" si="1095">AJ108</f>
        <v>7.3050729916467855E-2</v>
      </c>
      <c r="AK131" s="168">
        <f t="shared" si="1095"/>
        <v>7.0666501355150582E-2</v>
      </c>
      <c r="AL131" s="168">
        <f t="shared" si="1095"/>
        <v>6.8189965004998937E-2</v>
      </c>
      <c r="AM131" s="168">
        <f t="shared" si="1095"/>
        <v>6.5730505325975727E-2</v>
      </c>
      <c r="AN131" s="168">
        <f t="shared" si="1095"/>
        <v>6.3288446688384375E-2</v>
      </c>
      <c r="AO131" s="168">
        <f t="shared" si="1095"/>
        <v>6.0864131678576038E-2</v>
      </c>
      <c r="AP131" s="168">
        <f t="shared" si="1095"/>
        <v>5.8457922733898861E-2</v>
      </c>
      <c r="AQ131" s="168">
        <f t="shared" si="1095"/>
        <v>5.607019896188821E-2</v>
      </c>
      <c r="AR131" s="168">
        <f t="shared" si="1095"/>
        <v>5.3701357663331291E-2</v>
      </c>
      <c r="AS131" s="168">
        <f t="shared" si="1095"/>
        <v>5.1351814333297427E-2</v>
      </c>
      <c r="AT131" s="168">
        <f t="shared" si="1095"/>
        <v>4.9022002662069866E-2</v>
      </c>
      <c r="AU131" s="168">
        <f t="shared" si="1095"/>
        <v>4.6448156971573666E-2</v>
      </c>
      <c r="AV131" s="168">
        <f t="shared" si="1095"/>
        <v>4.3914078925480562E-2</v>
      </c>
      <c r="AW131" s="168">
        <f t="shared" si="1095"/>
        <v>4.142085185961155E-2</v>
      </c>
      <c r="AX131" s="168">
        <f t="shared" si="1095"/>
        <v>3.8969123505116311E-2</v>
      </c>
      <c r="AY131" s="168">
        <f t="shared" si="1095"/>
        <v>3.6559834042834145E-2</v>
      </c>
      <c r="AZ131" s="168">
        <f t="shared" si="1095"/>
        <v>3.4193964203463469E-2</v>
      </c>
      <c r="BA131" s="168">
        <f t="shared" si="1095"/>
        <v>3.1872531565638608E-2</v>
      </c>
      <c r="BB131" s="168">
        <f t="shared" si="1095"/>
        <v>2.9596592248029668E-2</v>
      </c>
      <c r="BC131" s="168">
        <f t="shared" si="1095"/>
        <v>2.7367240896770621E-2</v>
      </c>
      <c r="BD131" s="168">
        <f t="shared" si="1095"/>
        <v>2.5185610672815776E-2</v>
      </c>
      <c r="BE131" s="168">
        <f t="shared" si="1095"/>
        <v>2.2843126133278827E-2</v>
      </c>
      <c r="BF131" s="168">
        <f t="shared" si="1095"/>
        <v>2.057926109471531E-2</v>
      </c>
      <c r="BG131" s="168">
        <f t="shared" si="1095"/>
        <v>1.839604119900266E-2</v>
      </c>
      <c r="BH131" s="168">
        <f t="shared" si="1095"/>
        <v>1.629531062681679E-2</v>
      </c>
      <c r="BI131" s="168">
        <f t="shared" si="1095"/>
        <v>1.427912582948087E-2</v>
      </c>
      <c r="BJ131" s="168">
        <f t="shared" si="1095"/>
        <v>1.234960798293694E-2</v>
      </c>
      <c r="BK131" s="168">
        <f t="shared" si="1095"/>
        <v>1.0508942907247997E-2</v>
      </c>
      <c r="BL131" s="168">
        <f t="shared" si="1095"/>
        <v>8.7593810221844506E-3</v>
      </c>
      <c r="BM131" s="168">
        <f t="shared" si="1095"/>
        <v>7.1032372908977296E-3</v>
      </c>
      <c r="BN131" s="168">
        <f t="shared" si="1095"/>
        <v>5.5428911635143569E-3</v>
      </c>
      <c r="BP131" s="168">
        <f t="shared" ref="BP131:CT131" si="1096">BP108</f>
        <v>7.3050729916467855E-2</v>
      </c>
      <c r="BQ131" s="168">
        <f t="shared" si="1096"/>
        <v>7.3255290383283822E-2</v>
      </c>
      <c r="BR131" s="168">
        <f t="shared" si="1096"/>
        <v>7.3440618620333437E-2</v>
      </c>
      <c r="BS131" s="168">
        <f t="shared" si="1096"/>
        <v>7.3607410165294831E-2</v>
      </c>
      <c r="BT131" s="168">
        <f t="shared" si="1096"/>
        <v>7.3756207733903553E-2</v>
      </c>
      <c r="BU131" s="168">
        <f t="shared" si="1096"/>
        <v>7.3887408572889113E-2</v>
      </c>
      <c r="BV131" s="168">
        <f t="shared" si="1096"/>
        <v>7.4015475663912769E-2</v>
      </c>
      <c r="BW131" s="168">
        <f t="shared" si="1096"/>
        <v>7.4140444055660989E-2</v>
      </c>
      <c r="BX131" s="168">
        <f t="shared" si="1096"/>
        <v>7.4262344482502629E-2</v>
      </c>
      <c r="BY131" s="168">
        <f t="shared" si="1096"/>
        <v>7.43812034263443E-2</v>
      </c>
      <c r="BZ131" s="168">
        <f t="shared" si="1096"/>
        <v>7.4497043168757507E-2</v>
      </c>
      <c r="CA131" s="168">
        <f t="shared" si="1096"/>
        <v>7.4600582527755727E-2</v>
      </c>
      <c r="CB131" s="168">
        <f t="shared" si="1096"/>
        <v>7.469181624349111E-2</v>
      </c>
      <c r="CC131" s="168">
        <f t="shared" si="1096"/>
        <v>7.4770668976194499E-2</v>
      </c>
      <c r="CD131" s="168">
        <f t="shared" si="1096"/>
        <v>7.4836994347960581E-2</v>
      </c>
      <c r="CE131" s="168">
        <f t="shared" si="1096"/>
        <v>7.4890573300603974E-2</v>
      </c>
      <c r="CF131" s="168">
        <f t="shared" si="1096"/>
        <v>7.4943105270776106E-2</v>
      </c>
      <c r="CG131" s="168">
        <f t="shared" si="1096"/>
        <v>7.4994571905034377E-2</v>
      </c>
      <c r="CH131" s="168">
        <f t="shared" si="1096"/>
        <v>7.5044954359001034E-2</v>
      </c>
      <c r="CI131" s="168">
        <f t="shared" si="1096"/>
        <v>7.5094233285087533E-2</v>
      </c>
      <c r="CJ131" s="168">
        <f t="shared" si="1096"/>
        <v>7.5142388819840436E-2</v>
      </c>
      <c r="CK131" s="168">
        <f t="shared" si="1096"/>
        <v>7.5189476686246495E-2</v>
      </c>
      <c r="CL131" s="168">
        <f t="shared" si="1096"/>
        <v>7.5235477852550942E-2</v>
      </c>
      <c r="CM131" s="168">
        <f t="shared" si="1096"/>
        <v>7.5280372810160992E-2</v>
      </c>
      <c r="CN131" s="168">
        <f t="shared" si="1096"/>
        <v>7.5324141561865288E-2</v>
      </c>
      <c r="CO131" s="168">
        <f t="shared" si="1096"/>
        <v>7.5366763609709009E-2</v>
      </c>
      <c r="CP131" s="168">
        <f t="shared" si="1096"/>
        <v>7.5408285934683725E-2</v>
      </c>
      <c r="CQ131" s="168">
        <f t="shared" si="1096"/>
        <v>7.5448688782533205E-2</v>
      </c>
      <c r="CR131" s="168">
        <f t="shared" si="1096"/>
        <v>7.5487951929398736E-2</v>
      </c>
      <c r="CS131" s="168">
        <f t="shared" si="1096"/>
        <v>7.5526054670406628E-2</v>
      </c>
      <c r="CT131" s="168">
        <f t="shared" si="1096"/>
        <v>7.5562975807937111E-2</v>
      </c>
      <c r="CV131" s="168">
        <f t="shared" si="1090"/>
        <v>7.3050729916467841E-2</v>
      </c>
      <c r="CW131" s="168">
        <f t="shared" si="1057"/>
        <v>7.0666501355150582E-2</v>
      </c>
      <c r="CX131" s="168">
        <f t="shared" si="1058"/>
        <v>6.8189965004998937E-2</v>
      </c>
      <c r="CY131" s="168">
        <f t="shared" si="1059"/>
        <v>6.5730505325975727E-2</v>
      </c>
      <c r="CZ131" s="168">
        <f t="shared" si="1060"/>
        <v>6.3288446688384375E-2</v>
      </c>
      <c r="DA131" s="168">
        <f t="shared" si="1061"/>
        <v>6.0864131678576038E-2</v>
      </c>
      <c r="DB131" s="168">
        <f t="shared" si="1062"/>
        <v>5.8457922733898861E-2</v>
      </c>
      <c r="DC131" s="168">
        <f t="shared" si="1063"/>
        <v>5.607019896188821E-2</v>
      </c>
      <c r="DD131" s="168">
        <f t="shared" si="1064"/>
        <v>5.3701357663331298E-2</v>
      </c>
      <c r="DE131" s="168">
        <f t="shared" si="1065"/>
        <v>5.1351814333297427E-2</v>
      </c>
      <c r="DF131" s="168">
        <f t="shared" si="1066"/>
        <v>4.9022002662069866E-2</v>
      </c>
      <c r="DG131" s="168">
        <f t="shared" si="1067"/>
        <v>4.6448156971573666E-2</v>
      </c>
      <c r="DH131" s="168">
        <f t="shared" si="1068"/>
        <v>4.3914078925480569E-2</v>
      </c>
      <c r="DI131" s="168">
        <f t="shared" si="1069"/>
        <v>4.1420675100597659E-2</v>
      </c>
      <c r="DJ131" s="168">
        <f t="shared" si="1070"/>
        <v>3.8968766154363961E-2</v>
      </c>
      <c r="DK131" s="168">
        <f t="shared" si="1071"/>
        <v>3.6559294573706741E-2</v>
      </c>
      <c r="DL131" s="168">
        <f t="shared" si="1072"/>
        <v>3.4193243585929727E-2</v>
      </c>
      <c r="DM131" s="168">
        <f t="shared" si="1073"/>
        <v>3.1871633758276903E-2</v>
      </c>
      <c r="DN131" s="168">
        <f t="shared" si="1074"/>
        <v>2.9595524519000667E-2</v>
      </c>
      <c r="DO131" s="168">
        <f t="shared" si="1075"/>
        <v>2.7366014119283261E-2</v>
      </c>
      <c r="DP131" s="168">
        <f t="shared" si="1076"/>
        <v>2.518423943184632E-2</v>
      </c>
      <c r="DQ131" s="168">
        <f t="shared" si="1077"/>
        <v>2.284158353141439E-2</v>
      </c>
      <c r="DR131" s="168">
        <f t="shared" si="1078"/>
        <v>2.0577565248964431E-2</v>
      </c>
      <c r="DS131" s="168">
        <f t="shared" si="1079"/>
        <v>1.8393717935271486E-2</v>
      </c>
      <c r="DT131" s="168">
        <f t="shared" si="1080"/>
        <v>1.6292421658766043E-2</v>
      </c>
      <c r="DU131" s="168">
        <f t="shared" si="1081"/>
        <v>1.4275754103799835E-2</v>
      </c>
      <c r="DV131" s="168">
        <f t="shared" si="1082"/>
        <v>1.2345857098620299E-2</v>
      </c>
      <c r="DW131" s="168">
        <f t="shared" si="1083"/>
        <v>1.0504936680944163E-2</v>
      </c>
      <c r="DX131" s="168">
        <f t="shared" si="1084"/>
        <v>8.7552636370079439E-3</v>
      </c>
      <c r="DY131" s="168">
        <f t="shared" si="1085"/>
        <v>7.099174486684583E-3</v>
      </c>
      <c r="DZ131" s="168">
        <f t="shared" si="1086"/>
        <v>5.5390725124932864E-3</v>
      </c>
    </row>
    <row r="132" spans="1:165">
      <c r="A132" s="606" t="s">
        <v>452</v>
      </c>
      <c r="C132" s="54" t="s">
        <v>462</v>
      </c>
      <c r="D132" s="168">
        <f t="shared" ref="D132:AH132" si="1097">D109</f>
        <v>0.24654621346807901</v>
      </c>
      <c r="E132" s="168">
        <f t="shared" si="1097"/>
        <v>0.24232847460414303</v>
      </c>
      <c r="F132" s="168">
        <f t="shared" si="1097"/>
        <v>0.23775970099088134</v>
      </c>
      <c r="G132" s="168">
        <f t="shared" si="1097"/>
        <v>0.23320823122503723</v>
      </c>
      <c r="H132" s="168">
        <f t="shared" si="1097"/>
        <v>0.22867429322312485</v>
      </c>
      <c r="I132" s="168">
        <f t="shared" si="1097"/>
        <v>0.22415814349914612</v>
      </c>
      <c r="J132" s="168">
        <f t="shared" si="1097"/>
        <v>0.21966007330313531</v>
      </c>
      <c r="K132" s="168">
        <f t="shared" si="1097"/>
        <v>0.2151803970631628</v>
      </c>
      <c r="L132" s="168">
        <f t="shared" si="1097"/>
        <v>0.21071945778763715</v>
      </c>
      <c r="M132" s="168">
        <f t="shared" si="1097"/>
        <v>0.2062776270676526</v>
      </c>
      <c r="N132" s="168">
        <f t="shared" si="1097"/>
        <v>0.2018553050791114</v>
      </c>
      <c r="O132" s="168">
        <f t="shared" si="1097"/>
        <v>0.19633607456082383</v>
      </c>
      <c r="P132" s="168">
        <f t="shared" si="1097"/>
        <v>0.19085734302228108</v>
      </c>
      <c r="Q132" s="168">
        <f t="shared" si="1097"/>
        <v>0.18542086033799279</v>
      </c>
      <c r="R132" s="168">
        <f t="shared" si="1097"/>
        <v>0.18002637337574873</v>
      </c>
      <c r="S132" s="168">
        <f t="shared" si="1097"/>
        <v>0.17467476264909662</v>
      </c>
      <c r="T132" s="168">
        <f t="shared" si="1097"/>
        <v>0.16936697894528016</v>
      </c>
      <c r="U132" s="168">
        <f t="shared" si="1097"/>
        <v>0.16410402616027164</v>
      </c>
      <c r="V132" s="168">
        <f t="shared" si="1097"/>
        <v>0.15888696891047518</v>
      </c>
      <c r="W132" s="168">
        <f t="shared" si="1097"/>
        <v>0.15371693251363697</v>
      </c>
      <c r="X132" s="168">
        <f t="shared" si="1097"/>
        <v>0.1485951029696132</v>
      </c>
      <c r="Y132" s="168">
        <f t="shared" si="1097"/>
        <v>0.14221688205557476</v>
      </c>
      <c r="Z132" s="168">
        <f t="shared" si="1097"/>
        <v>0.13591884071858493</v>
      </c>
      <c r="AA132" s="168">
        <f t="shared" si="1097"/>
        <v>0.12970373351701889</v>
      </c>
      <c r="AB132" s="168">
        <f t="shared" si="1097"/>
        <v>0.12357277225336077</v>
      </c>
      <c r="AC132" s="168">
        <f t="shared" si="1097"/>
        <v>0.11752818951957342</v>
      </c>
      <c r="AD132" s="168">
        <f t="shared" si="1097"/>
        <v>0.11157232039756834</v>
      </c>
      <c r="AE132" s="168">
        <f t="shared" si="1097"/>
        <v>0.10570760218467118</v>
      </c>
      <c r="AF132" s="168">
        <f t="shared" si="1097"/>
        <v>9.9936574389468208E-2</v>
      </c>
      <c r="AG132" s="168">
        <f t="shared" si="1097"/>
        <v>9.4261878644075467E-2</v>
      </c>
      <c r="AH132" s="168">
        <f t="shared" si="1097"/>
        <v>8.868625861622971E-2</v>
      </c>
      <c r="AI132" s="44"/>
      <c r="AJ132" s="168">
        <f t="shared" ref="AJ132:BN132" si="1098">AJ109</f>
        <v>0.24654621346807901</v>
      </c>
      <c r="AK132" s="168">
        <f t="shared" si="1098"/>
        <v>0.24232847460414303</v>
      </c>
      <c r="AL132" s="168">
        <f t="shared" si="1098"/>
        <v>0.23775970099088134</v>
      </c>
      <c r="AM132" s="168">
        <f t="shared" si="1098"/>
        <v>0.23320823122503723</v>
      </c>
      <c r="AN132" s="168">
        <f t="shared" si="1098"/>
        <v>0.22867429322312485</v>
      </c>
      <c r="AO132" s="168">
        <f t="shared" si="1098"/>
        <v>0.22415814349914612</v>
      </c>
      <c r="AP132" s="168">
        <f t="shared" si="1098"/>
        <v>0.21966007330313531</v>
      </c>
      <c r="AQ132" s="168">
        <f t="shared" si="1098"/>
        <v>0.2151803970631628</v>
      </c>
      <c r="AR132" s="168">
        <f t="shared" si="1098"/>
        <v>0.21071945778763715</v>
      </c>
      <c r="AS132" s="168">
        <f t="shared" si="1098"/>
        <v>0.2062776270676526</v>
      </c>
      <c r="AT132" s="168">
        <f t="shared" si="1098"/>
        <v>0.2018553050791114</v>
      </c>
      <c r="AU132" s="168">
        <f t="shared" si="1098"/>
        <v>0.19633607456082383</v>
      </c>
      <c r="AV132" s="168">
        <f t="shared" si="1098"/>
        <v>0.19085734302228108</v>
      </c>
      <c r="AW132" s="168">
        <f t="shared" si="1098"/>
        <v>0.18542086033799279</v>
      </c>
      <c r="AX132" s="168">
        <f t="shared" si="1098"/>
        <v>0.18002637337574873</v>
      </c>
      <c r="AY132" s="168">
        <f t="shared" si="1098"/>
        <v>0.17467476264909662</v>
      </c>
      <c r="AZ132" s="168">
        <f t="shared" si="1098"/>
        <v>0.16936697894528016</v>
      </c>
      <c r="BA132" s="168">
        <f t="shared" si="1098"/>
        <v>0.16410402616027164</v>
      </c>
      <c r="BB132" s="168">
        <f t="shared" si="1098"/>
        <v>0.15888696891047518</v>
      </c>
      <c r="BC132" s="168">
        <f t="shared" si="1098"/>
        <v>0.15371693251363697</v>
      </c>
      <c r="BD132" s="168">
        <f t="shared" si="1098"/>
        <v>0.1485951029696132</v>
      </c>
      <c r="BE132" s="168">
        <f t="shared" si="1098"/>
        <v>0.14221688205557476</v>
      </c>
      <c r="BF132" s="168">
        <f t="shared" si="1098"/>
        <v>0.13591884071858493</v>
      </c>
      <c r="BG132" s="168">
        <f t="shared" si="1098"/>
        <v>0.12970373351701889</v>
      </c>
      <c r="BH132" s="168">
        <f t="shared" si="1098"/>
        <v>0.12357277225336077</v>
      </c>
      <c r="BI132" s="168">
        <f t="shared" si="1098"/>
        <v>0.11752818951957342</v>
      </c>
      <c r="BJ132" s="168">
        <f t="shared" si="1098"/>
        <v>0.11157232039756834</v>
      </c>
      <c r="BK132" s="168">
        <f t="shared" si="1098"/>
        <v>0.10570760218467118</v>
      </c>
      <c r="BL132" s="168">
        <f t="shared" si="1098"/>
        <v>9.9936574389468208E-2</v>
      </c>
      <c r="BM132" s="168">
        <f t="shared" si="1098"/>
        <v>9.4261878644075467E-2</v>
      </c>
      <c r="BN132" s="168">
        <f t="shared" si="1098"/>
        <v>8.868625861622971E-2</v>
      </c>
      <c r="BP132" s="168">
        <f t="shared" ref="BP132:CT132" si="1099">BP109</f>
        <v>0.24654621346807901</v>
      </c>
      <c r="BQ132" s="168">
        <f t="shared" si="1099"/>
        <v>0.2497935286727539</v>
      </c>
      <c r="BR132" s="168">
        <f t="shared" si="1099"/>
        <v>0.25298248010196323</v>
      </c>
      <c r="BS132" s="168">
        <f t="shared" si="1099"/>
        <v>0.25611345454773815</v>
      </c>
      <c r="BT132" s="168">
        <f t="shared" si="1099"/>
        <v>0.25918640827220829</v>
      </c>
      <c r="BU132" s="168">
        <f t="shared" si="1099"/>
        <v>0.26220086603298531</v>
      </c>
      <c r="BV132" s="168">
        <f t="shared" si="1099"/>
        <v>0.26520681602652607</v>
      </c>
      <c r="BW132" s="168">
        <f t="shared" si="1099"/>
        <v>0.26820405164786393</v>
      </c>
      <c r="BX132" s="168">
        <f t="shared" si="1099"/>
        <v>0.27119235699633371</v>
      </c>
      <c r="BY132" s="168">
        <f t="shared" si="1099"/>
        <v>0.27417150632553594</v>
      </c>
      <c r="BZ132" s="168">
        <f t="shared" si="1099"/>
        <v>0.27714126347554213</v>
      </c>
      <c r="CA132" s="168">
        <f t="shared" si="1099"/>
        <v>0.28006646971168114</v>
      </c>
      <c r="CB132" s="168">
        <f t="shared" si="1099"/>
        <v>0.28294584576967791</v>
      </c>
      <c r="CC132" s="168">
        <f t="shared" si="1099"/>
        <v>0.28577785001889483</v>
      </c>
      <c r="CD132" s="168">
        <f t="shared" si="1099"/>
        <v>0.28856066289123516</v>
      </c>
      <c r="CE132" s="168">
        <f t="shared" si="1099"/>
        <v>0.29129216854345319</v>
      </c>
      <c r="CF132" s="168">
        <f t="shared" si="1099"/>
        <v>0.29401698652799552</v>
      </c>
      <c r="CG132" s="168">
        <f t="shared" si="1099"/>
        <v>0.29673494832110259</v>
      </c>
      <c r="CH132" s="168">
        <f t="shared" si="1099"/>
        <v>0.29944588145205264</v>
      </c>
      <c r="CI132" s="168">
        <f t="shared" si="1099"/>
        <v>0.30214960938395374</v>
      </c>
      <c r="CJ132" s="168">
        <f t="shared" si="1099"/>
        <v>0.30484595139105958</v>
      </c>
      <c r="CK132" s="168">
        <f t="shared" si="1099"/>
        <v>0.30753503375446456</v>
      </c>
      <c r="CL132" s="168">
        <f t="shared" si="1099"/>
        <v>0.31021668240256972</v>
      </c>
      <c r="CM132" s="168">
        <f t="shared" si="1099"/>
        <v>0.31289071922959533</v>
      </c>
      <c r="CN132" s="168">
        <f t="shared" si="1099"/>
        <v>0.31555696198004674</v>
      </c>
      <c r="CO132" s="168">
        <f t="shared" si="1099"/>
        <v>0.31821522412988196</v>
      </c>
      <c r="CP132" s="168">
        <f t="shared" si="1099"/>
        <v>0.32086560407397247</v>
      </c>
      <c r="CQ132" s="168">
        <f t="shared" si="1099"/>
        <v>0.32350792070479112</v>
      </c>
      <c r="CR132" s="168">
        <f t="shared" si="1099"/>
        <v>0.32614198877065448</v>
      </c>
      <c r="CS132" s="168">
        <f t="shared" si="1099"/>
        <v>0.32876761876229216</v>
      </c>
      <c r="CT132" s="168">
        <f t="shared" si="1099"/>
        <v>0.33138461679625425</v>
      </c>
      <c r="CV132" s="168">
        <f t="shared" si="1090"/>
        <v>0.24654621346807901</v>
      </c>
      <c r="CW132" s="168">
        <f t="shared" si="1057"/>
        <v>0.24232847460414303</v>
      </c>
      <c r="CX132" s="168">
        <f t="shared" si="1058"/>
        <v>0.23775970099088134</v>
      </c>
      <c r="CY132" s="168">
        <f t="shared" si="1059"/>
        <v>0.23320823122503723</v>
      </c>
      <c r="CZ132" s="168">
        <f t="shared" si="1060"/>
        <v>0.22867429322312485</v>
      </c>
      <c r="DA132" s="168">
        <f t="shared" si="1061"/>
        <v>0.22415814349914615</v>
      </c>
      <c r="DB132" s="168">
        <f t="shared" si="1062"/>
        <v>0.21966007330313533</v>
      </c>
      <c r="DC132" s="168">
        <f t="shared" si="1063"/>
        <v>0.2151803970631628</v>
      </c>
      <c r="DD132" s="168">
        <f t="shared" si="1064"/>
        <v>0.21071945778763715</v>
      </c>
      <c r="DE132" s="168">
        <f t="shared" si="1065"/>
        <v>0.2062776270676526</v>
      </c>
      <c r="DF132" s="168">
        <f t="shared" si="1066"/>
        <v>0.2018553050791114</v>
      </c>
      <c r="DG132" s="168">
        <f t="shared" si="1067"/>
        <v>0.19633607456082383</v>
      </c>
      <c r="DH132" s="168">
        <f t="shared" si="1068"/>
        <v>0.19085734302228108</v>
      </c>
      <c r="DI132" s="168">
        <f t="shared" si="1069"/>
        <v>0.18542006907448763</v>
      </c>
      <c r="DJ132" s="168">
        <f t="shared" si="1070"/>
        <v>0.18002472251593504</v>
      </c>
      <c r="DK132" s="168">
        <f t="shared" si="1071"/>
        <v>0.17467218518548788</v>
      </c>
      <c r="DL132" s="168">
        <f t="shared" si="1072"/>
        <v>0.16936340963655835</v>
      </c>
      <c r="DM132" s="168">
        <f t="shared" si="1073"/>
        <v>0.16409940356534319</v>
      </c>
      <c r="DN132" s="168">
        <f t="shared" si="1074"/>
        <v>0.15888123689147737</v>
      </c>
      <c r="DO132" s="168">
        <f t="shared" si="1075"/>
        <v>0.15371004192232948</v>
      </c>
      <c r="DP132" s="168">
        <f t="shared" si="1076"/>
        <v>0.14858701264789342</v>
      </c>
      <c r="DQ132" s="168">
        <f t="shared" si="1077"/>
        <v>0.14220727811493486</v>
      </c>
      <c r="DR132" s="168">
        <f t="shared" si="1078"/>
        <v>0.13590764024897445</v>
      </c>
      <c r="DS132" s="168">
        <f t="shared" si="1079"/>
        <v>0.12968735303729403</v>
      </c>
      <c r="DT132" s="168">
        <f t="shared" si="1080"/>
        <v>0.12355086424564259</v>
      </c>
      <c r="DU132" s="168">
        <f t="shared" si="1081"/>
        <v>0.11750043762358335</v>
      </c>
      <c r="DV132" s="168">
        <f t="shared" si="1082"/>
        <v>0.11153843309788007</v>
      </c>
      <c r="DW132" s="168">
        <f t="shared" si="1083"/>
        <v>0.10566730426126202</v>
      </c>
      <c r="DX132" s="168">
        <f t="shared" si="1084"/>
        <v>9.9889598767681692E-2</v>
      </c>
      <c r="DY132" s="168">
        <f t="shared" si="1085"/>
        <v>9.4207964134111824E-2</v>
      </c>
      <c r="DZ132" s="168">
        <f t="shared" si="1086"/>
        <v>8.8625160199892583E-2</v>
      </c>
    </row>
    <row r="133" spans="1:165">
      <c r="A133" s="606" t="s">
        <v>453</v>
      </c>
      <c r="C133" s="54" t="s">
        <v>462</v>
      </c>
      <c r="D133" s="168">
        <f t="shared" ref="D133:AH133" si="1100">D110</f>
        <v>6.3919388676909383E-2</v>
      </c>
      <c r="E133" s="168">
        <f t="shared" si="1100"/>
        <v>6.3387548425864693E-2</v>
      </c>
      <c r="F133" s="168">
        <f t="shared" si="1100"/>
        <v>6.2758905845308771E-2</v>
      </c>
      <c r="G133" s="168">
        <f t="shared" si="1100"/>
        <v>6.212883380126473E-2</v>
      </c>
      <c r="H133" s="168">
        <f t="shared" si="1100"/>
        <v>6.1497264234939543E-2</v>
      </c>
      <c r="I133" s="168">
        <f t="shared" si="1100"/>
        <v>6.0864131678576051E-2</v>
      </c>
      <c r="J133" s="168">
        <f t="shared" si="1100"/>
        <v>6.0229374937956416E-2</v>
      </c>
      <c r="K133" s="168">
        <f t="shared" si="1100"/>
        <v>5.9592933975200567E-2</v>
      </c>
      <c r="L133" s="168">
        <f t="shared" si="1100"/>
        <v>5.8954751347787632E-2</v>
      </c>
      <c r="M133" s="168">
        <f t="shared" si="1100"/>
        <v>5.8314772208998784E-2</v>
      </c>
      <c r="N133" s="168">
        <f t="shared" si="1100"/>
        <v>5.76729443083175E-2</v>
      </c>
      <c r="O133" s="168">
        <f t="shared" si="1100"/>
        <v>5.670664562787215E-2</v>
      </c>
      <c r="P133" s="168">
        <f t="shared" si="1100"/>
        <v>5.5737100174648405E-2</v>
      </c>
      <c r="Q133" s="168">
        <f t="shared" si="1100"/>
        <v>5.4764481988882389E-2</v>
      </c>
      <c r="R133" s="168">
        <f t="shared" si="1100"/>
        <v>5.3788367654949279E-2</v>
      </c>
      <c r="S133" s="168">
        <f t="shared" si="1100"/>
        <v>5.2808649172982641E-2</v>
      </c>
      <c r="T133" s="168">
        <f t="shared" si="1100"/>
        <v>5.1825226995874323E-2</v>
      </c>
      <c r="U133" s="168">
        <f t="shared" si="1100"/>
        <v>5.0838004893952481E-2</v>
      </c>
      <c r="V133" s="168">
        <f t="shared" si="1100"/>
        <v>4.9846892207207859E-2</v>
      </c>
      <c r="W133" s="168">
        <f t="shared" si="1100"/>
        <v>4.8851803843768103E-2</v>
      </c>
      <c r="X133" s="168">
        <f t="shared" si="1100"/>
        <v>4.7852660278349966E-2</v>
      </c>
      <c r="Y133" s="168">
        <f t="shared" si="1100"/>
        <v>4.6423127303115035E-2</v>
      </c>
      <c r="Z133" s="168">
        <f t="shared" si="1100"/>
        <v>4.4987221927982296E-2</v>
      </c>
      <c r="AA133" s="168">
        <f t="shared" si="1100"/>
        <v>4.3545059547006298E-2</v>
      </c>
      <c r="AB133" s="168">
        <f t="shared" si="1100"/>
        <v>4.2096219119276718E-2</v>
      </c>
      <c r="AC133" s="168">
        <f t="shared" si="1100"/>
        <v>4.0640588899291723E-2</v>
      </c>
      <c r="AD133" s="168">
        <f t="shared" si="1100"/>
        <v>3.9178066704489624E-2</v>
      </c>
      <c r="AE133" s="168">
        <f t="shared" si="1100"/>
        <v>3.7708559843654621E-2</v>
      </c>
      <c r="AF133" s="168">
        <f t="shared" si="1100"/>
        <v>3.6231985137217551E-2</v>
      </c>
      <c r="AG133" s="168">
        <f t="shared" si="1100"/>
        <v>3.4748268909526793E-2</v>
      </c>
      <c r="AH133" s="168">
        <f t="shared" si="1100"/>
        <v>3.3257346981086136E-2</v>
      </c>
      <c r="AI133" s="44"/>
      <c r="AJ133" s="168">
        <f t="shared" ref="AJ133:BN133" si="1101">AJ110</f>
        <v>6.3919388676909383E-2</v>
      </c>
      <c r="AK133" s="168">
        <f t="shared" si="1101"/>
        <v>6.3387548425864693E-2</v>
      </c>
      <c r="AL133" s="168">
        <f t="shared" si="1101"/>
        <v>6.2758905845308771E-2</v>
      </c>
      <c r="AM133" s="168">
        <f t="shared" si="1101"/>
        <v>6.212883380126473E-2</v>
      </c>
      <c r="AN133" s="168">
        <f t="shared" si="1101"/>
        <v>6.1497264234939543E-2</v>
      </c>
      <c r="AO133" s="168">
        <f t="shared" si="1101"/>
        <v>6.0864131678576051E-2</v>
      </c>
      <c r="AP133" s="168">
        <f t="shared" si="1101"/>
        <v>6.0229374937956416E-2</v>
      </c>
      <c r="AQ133" s="168">
        <f t="shared" si="1101"/>
        <v>5.9592933975200567E-2</v>
      </c>
      <c r="AR133" s="168">
        <f t="shared" si="1101"/>
        <v>5.8954751347787632E-2</v>
      </c>
      <c r="AS133" s="168">
        <f t="shared" si="1101"/>
        <v>5.8314772208998784E-2</v>
      </c>
      <c r="AT133" s="168">
        <f t="shared" si="1101"/>
        <v>5.76729443083175E-2</v>
      </c>
      <c r="AU133" s="168">
        <f t="shared" si="1101"/>
        <v>5.670664562787215E-2</v>
      </c>
      <c r="AV133" s="168">
        <f t="shared" si="1101"/>
        <v>5.5737100174648405E-2</v>
      </c>
      <c r="AW133" s="168">
        <f t="shared" si="1101"/>
        <v>5.4764481988882389E-2</v>
      </c>
      <c r="AX133" s="168">
        <f t="shared" si="1101"/>
        <v>5.3788367654949279E-2</v>
      </c>
      <c r="AY133" s="168">
        <f t="shared" si="1101"/>
        <v>5.2808649172982641E-2</v>
      </c>
      <c r="AZ133" s="168">
        <f t="shared" si="1101"/>
        <v>5.1825226995874323E-2</v>
      </c>
      <c r="BA133" s="168">
        <f t="shared" si="1101"/>
        <v>5.0838004893952481E-2</v>
      </c>
      <c r="BB133" s="168">
        <f t="shared" si="1101"/>
        <v>4.9846892207207859E-2</v>
      </c>
      <c r="BC133" s="168">
        <f t="shared" si="1101"/>
        <v>4.8851803843768103E-2</v>
      </c>
      <c r="BD133" s="168">
        <f t="shared" si="1101"/>
        <v>4.7852660278349966E-2</v>
      </c>
      <c r="BE133" s="168">
        <f t="shared" si="1101"/>
        <v>4.6423127303115035E-2</v>
      </c>
      <c r="BF133" s="168">
        <f t="shared" si="1101"/>
        <v>4.4987221927982296E-2</v>
      </c>
      <c r="BG133" s="168">
        <f t="shared" si="1101"/>
        <v>4.3545059547006298E-2</v>
      </c>
      <c r="BH133" s="168">
        <f t="shared" si="1101"/>
        <v>4.2096219119276718E-2</v>
      </c>
      <c r="BI133" s="168">
        <f t="shared" si="1101"/>
        <v>4.0640588899291723E-2</v>
      </c>
      <c r="BJ133" s="168">
        <f t="shared" si="1101"/>
        <v>3.9178066704489624E-2</v>
      </c>
      <c r="BK133" s="168">
        <f t="shared" si="1101"/>
        <v>3.7708559843654621E-2</v>
      </c>
      <c r="BL133" s="168">
        <f t="shared" si="1101"/>
        <v>3.6231985137217551E-2</v>
      </c>
      <c r="BM133" s="168">
        <f t="shared" si="1101"/>
        <v>3.4748268909526793E-2</v>
      </c>
      <c r="BN133" s="168">
        <f t="shared" si="1101"/>
        <v>3.3257346981086136E-2</v>
      </c>
      <c r="BP133" s="168">
        <f t="shared" ref="BP133:CT133" si="1102">BP110</f>
        <v>6.3919388676909383E-2</v>
      </c>
      <c r="BQ133" s="168">
        <f t="shared" si="1102"/>
        <v>6.5176783537020735E-2</v>
      </c>
      <c r="BR133" s="168">
        <f t="shared" si="1102"/>
        <v>6.642011060592086E-2</v>
      </c>
      <c r="BS133" s="168">
        <f t="shared" si="1102"/>
        <v>6.7649151559137713E-2</v>
      </c>
      <c r="BT133" s="168">
        <f t="shared" si="1102"/>
        <v>6.8863590305452235E-2</v>
      </c>
      <c r="BU133" s="168">
        <f t="shared" si="1102"/>
        <v>7.0063008543236452E-2</v>
      </c>
      <c r="BV133" s="168">
        <f t="shared" si="1102"/>
        <v>7.1260557214883738E-2</v>
      </c>
      <c r="BW133" s="168">
        <f t="shared" si="1102"/>
        <v>7.2456129961046625E-2</v>
      </c>
      <c r="BX133" s="168">
        <f t="shared" si="1102"/>
        <v>7.3649618867960509E-2</v>
      </c>
      <c r="BY133" s="168">
        <f t="shared" si="1102"/>
        <v>7.4840914201538003E-2</v>
      </c>
      <c r="BZ133" s="168">
        <f t="shared" si="1102"/>
        <v>7.6029904139308047E-2</v>
      </c>
      <c r="CA133" s="168">
        <f t="shared" si="1102"/>
        <v>7.7206850310270789E-2</v>
      </c>
      <c r="CB133" s="168">
        <f t="shared" si="1102"/>
        <v>7.8371216058441384E-2</v>
      </c>
      <c r="CC133" s="168">
        <f t="shared" si="1102"/>
        <v>7.9522392506866921E-2</v>
      </c>
      <c r="CD133" s="168">
        <f t="shared" si="1102"/>
        <v>8.0659692515901785E-2</v>
      </c>
      <c r="CE133" s="168">
        <f t="shared" si="1102"/>
        <v>8.1782343849739259E-2</v>
      </c>
      <c r="CF133" s="168">
        <f t="shared" si="1102"/>
        <v>8.2902748804436918E-2</v>
      </c>
      <c r="CG133" s="168">
        <f t="shared" si="1102"/>
        <v>8.4020846369328536E-2</v>
      </c>
      <c r="CH133" s="168">
        <f t="shared" si="1102"/>
        <v>8.5136574138328744E-2</v>
      </c>
      <c r="CI133" s="168">
        <f t="shared" si="1102"/>
        <v>8.6249868266388641E-2</v>
      </c>
      <c r="CJ133" s="168">
        <f t="shared" si="1102"/>
        <v>8.7360663424692467E-2</v>
      </c>
      <c r="CK133" s="168">
        <f t="shared" si="1102"/>
        <v>8.8468982312928213E-2</v>
      </c>
      <c r="CL133" s="168">
        <f t="shared" si="1102"/>
        <v>8.9574761952590981E-2</v>
      </c>
      <c r="CM133" s="168">
        <f t="shared" si="1102"/>
        <v>9.0677937925240412E-2</v>
      </c>
      <c r="CN133" s="168">
        <f t="shared" si="1102"/>
        <v>9.1778444330233841E-2</v>
      </c>
      <c r="CO133" s="168">
        <f t="shared" si="1102"/>
        <v>9.2876213741257471E-2</v>
      </c>
      <c r="CP133" s="168">
        <f t="shared" si="1102"/>
        <v>9.3971261891163477E-2</v>
      </c>
      <c r="CQ133" s="168">
        <f t="shared" si="1102"/>
        <v>9.5063523230229166E-2</v>
      </c>
      <c r="CR133" s="168">
        <f t="shared" si="1102"/>
        <v>9.6152930718444982E-2</v>
      </c>
      <c r="CS133" s="168">
        <f t="shared" si="1102"/>
        <v>9.7239415783933164E-2</v>
      </c>
      <c r="CT133" s="168">
        <f t="shared" si="1102"/>
        <v>9.832290828020733E-2</v>
      </c>
      <c r="CV133" s="168">
        <f t="shared" si="1090"/>
        <v>6.3919388676909383E-2</v>
      </c>
      <c r="CW133" s="168">
        <f t="shared" si="1057"/>
        <v>6.3387548425864693E-2</v>
      </c>
      <c r="CX133" s="168">
        <f t="shared" si="1058"/>
        <v>6.2758905845308771E-2</v>
      </c>
      <c r="CY133" s="168">
        <f t="shared" si="1059"/>
        <v>6.212883380126473E-2</v>
      </c>
      <c r="CZ133" s="168">
        <f t="shared" si="1060"/>
        <v>6.1497264234939543E-2</v>
      </c>
      <c r="DA133" s="168">
        <f t="shared" si="1061"/>
        <v>6.0864131678576044E-2</v>
      </c>
      <c r="DB133" s="168">
        <f t="shared" si="1062"/>
        <v>6.0229374937956409E-2</v>
      </c>
      <c r="DC133" s="168">
        <f t="shared" si="1063"/>
        <v>5.9592933975200567E-2</v>
      </c>
      <c r="DD133" s="168">
        <f t="shared" si="1064"/>
        <v>5.8954751347787632E-2</v>
      </c>
      <c r="DE133" s="168">
        <f t="shared" si="1065"/>
        <v>5.8314772208998791E-2</v>
      </c>
      <c r="DF133" s="168">
        <f t="shared" si="1066"/>
        <v>5.76729443083175E-2</v>
      </c>
      <c r="DG133" s="168">
        <f t="shared" si="1067"/>
        <v>5.670664562787215E-2</v>
      </c>
      <c r="DH133" s="168">
        <f t="shared" si="1068"/>
        <v>5.5737100174648405E-2</v>
      </c>
      <c r="DI133" s="168">
        <f t="shared" si="1069"/>
        <v>5.4764248287367374E-2</v>
      </c>
      <c r="DJ133" s="168">
        <f t="shared" si="1070"/>
        <v>5.3787874410248848E-2</v>
      </c>
      <c r="DK133" s="168">
        <f t="shared" si="1071"/>
        <v>5.2807869939798607E-2</v>
      </c>
      <c r="DL133" s="168">
        <f t="shared" si="1072"/>
        <v>5.1824134809924753E-2</v>
      </c>
      <c r="DM133" s="168">
        <f t="shared" si="1073"/>
        <v>5.0836572854111084E-2</v>
      </c>
      <c r="DN133" s="168">
        <f t="shared" si="1074"/>
        <v>4.9845093926737964E-2</v>
      </c>
      <c r="DO133" s="168">
        <f t="shared" si="1075"/>
        <v>4.8849613988627125E-2</v>
      </c>
      <c r="DP133" s="168">
        <f t="shared" si="1076"/>
        <v>4.7850054920507999E-2</v>
      </c>
      <c r="DQ133" s="168">
        <f t="shared" si="1077"/>
        <v>4.641999233803569E-2</v>
      </c>
      <c r="DR133" s="168">
        <f t="shared" si="1078"/>
        <v>4.4983514730294327E-2</v>
      </c>
      <c r="DS133" s="168">
        <f t="shared" si="1079"/>
        <v>4.3539560175895803E-2</v>
      </c>
      <c r="DT133" s="168">
        <f t="shared" si="1080"/>
        <v>4.208875595181228E-2</v>
      </c>
      <c r="DU133" s="168">
        <f t="shared" si="1081"/>
        <v>4.0630992449276475E-2</v>
      </c>
      <c r="DV133" s="168">
        <f t="shared" si="1082"/>
        <v>3.9166167347347181E-2</v>
      </c>
      <c r="DW133" s="168">
        <f t="shared" si="1083"/>
        <v>3.7694184561034981E-2</v>
      </c>
      <c r="DX133" s="168">
        <f t="shared" si="1084"/>
        <v>3.6214954134896546E-2</v>
      </c>
      <c r="DY133" s="168">
        <f t="shared" si="1085"/>
        <v>3.4728394110538158E-2</v>
      </c>
      <c r="DZ133" s="168">
        <f t="shared" si="1086"/>
        <v>3.3234435074959712E-2</v>
      </c>
    </row>
    <row r="134" spans="1:165" ht="16" thickBot="1">
      <c r="A134" s="606" t="s">
        <v>454</v>
      </c>
      <c r="C134" s="54" t="s">
        <v>462</v>
      </c>
      <c r="D134" s="168">
        <f t="shared" ref="D134:AH134" si="1103">D111</f>
        <v>4.5656706197792413E-2</v>
      </c>
      <c r="E134" s="168">
        <f t="shared" si="1103"/>
        <v>4.4886876397263034E-2</v>
      </c>
      <c r="F134" s="168">
        <f t="shared" si="1103"/>
        <v>4.4051924295264805E-2</v>
      </c>
      <c r="G134" s="168">
        <f t="shared" si="1103"/>
        <v>4.3220058296531985E-2</v>
      </c>
      <c r="H134" s="168">
        <f t="shared" si="1103"/>
        <v>4.2391318064861239E-2</v>
      </c>
      <c r="I134" s="168">
        <f t="shared" si="1103"/>
        <v>4.1565748463417797E-2</v>
      </c>
      <c r="J134" s="168">
        <f t="shared" si="1103"/>
        <v>4.0743400693323453E-2</v>
      </c>
      <c r="K134" s="168">
        <f t="shared" si="1103"/>
        <v>3.9924330150873294E-2</v>
      </c>
      <c r="L134" s="168">
        <f t="shared" si="1103"/>
        <v>3.9108597428730407E-2</v>
      </c>
      <c r="M134" s="168">
        <f t="shared" si="1103"/>
        <v>3.8296268316357414E-2</v>
      </c>
      <c r="N134" s="168">
        <f t="shared" si="1103"/>
        <v>3.7487413800406377E-2</v>
      </c>
      <c r="O134" s="168">
        <f t="shared" si="1103"/>
        <v>3.6474626333505705E-2</v>
      </c>
      <c r="P134" s="168">
        <f t="shared" si="1103"/>
        <v>3.5469063747503533E-2</v>
      </c>
      <c r="Q134" s="168">
        <f t="shared" si="1103"/>
        <v>3.4471044500616325E-2</v>
      </c>
      <c r="R134" s="168">
        <f t="shared" si="1103"/>
        <v>3.3480514560733733E-2</v>
      </c>
      <c r="S134" s="168">
        <f t="shared" si="1103"/>
        <v>3.249763026029702E-2</v>
      </c>
      <c r="T134" s="168">
        <f t="shared" si="1103"/>
        <v>3.1522560750067888E-2</v>
      </c>
      <c r="U134" s="168">
        <f t="shared" si="1103"/>
        <v>3.0555484806727914E-2</v>
      </c>
      <c r="V134" s="168">
        <f t="shared" si="1103"/>
        <v>2.9596592248029664E-2</v>
      </c>
      <c r="W134" s="168">
        <f t="shared" si="1103"/>
        <v>2.8646083929329987E-2</v>
      </c>
      <c r="X134" s="168">
        <f t="shared" si="1103"/>
        <v>2.7704171740097351E-2</v>
      </c>
      <c r="Y134" s="168">
        <f t="shared" si="1103"/>
        <v>2.6527501316065731E-2</v>
      </c>
      <c r="Z134" s="168">
        <f t="shared" si="1103"/>
        <v>2.5365135767904907E-2</v>
      </c>
      <c r="AA134" s="168">
        <f t="shared" si="1103"/>
        <v>2.4217573224003495E-2</v>
      </c>
      <c r="AB134" s="168">
        <f t="shared" si="1103"/>
        <v>2.3085023387990448E-2</v>
      </c>
      <c r="AC134" s="168">
        <f t="shared" si="1103"/>
        <v>2.1967885891509026E-2</v>
      </c>
      <c r="AD134" s="168">
        <f t="shared" si="1103"/>
        <v>2.0866579005652069E-2</v>
      </c>
      <c r="AE134" s="168">
        <f t="shared" si="1103"/>
        <v>1.9781539590113882E-2</v>
      </c>
      <c r="AF134" s="168">
        <f t="shared" si="1103"/>
        <v>1.8713223092848605E-2</v>
      </c>
      <c r="AG134" s="168">
        <f t="shared" si="1103"/>
        <v>1.7662103534124098E-2</v>
      </c>
      <c r="AH134" s="168">
        <f t="shared" si="1103"/>
        <v>1.6628673490543068E-2</v>
      </c>
      <c r="AI134" s="44"/>
      <c r="AJ134" s="168">
        <f t="shared" ref="AJ134:BN134" si="1104">AJ111</f>
        <v>4.5656706197792413E-2</v>
      </c>
      <c r="AK134" s="168">
        <f t="shared" si="1104"/>
        <v>4.4886876397263034E-2</v>
      </c>
      <c r="AL134" s="168">
        <f t="shared" si="1104"/>
        <v>4.4051924295264805E-2</v>
      </c>
      <c r="AM134" s="168">
        <f t="shared" si="1104"/>
        <v>4.3220058296531985E-2</v>
      </c>
      <c r="AN134" s="168">
        <f t="shared" si="1104"/>
        <v>4.2391318064861239E-2</v>
      </c>
      <c r="AO134" s="168">
        <f t="shared" si="1104"/>
        <v>4.1565748463417797E-2</v>
      </c>
      <c r="AP134" s="168">
        <f t="shared" si="1104"/>
        <v>4.0743400693323453E-2</v>
      </c>
      <c r="AQ134" s="168">
        <f t="shared" si="1104"/>
        <v>3.9924330150873294E-2</v>
      </c>
      <c r="AR134" s="168">
        <f t="shared" si="1104"/>
        <v>3.9108597428730407E-2</v>
      </c>
      <c r="AS134" s="168">
        <f t="shared" si="1104"/>
        <v>3.8296268316357414E-2</v>
      </c>
      <c r="AT134" s="168">
        <f t="shared" si="1104"/>
        <v>3.7487413800406377E-2</v>
      </c>
      <c r="AU134" s="168">
        <f t="shared" si="1104"/>
        <v>3.6474626333505705E-2</v>
      </c>
      <c r="AV134" s="168">
        <f t="shared" si="1104"/>
        <v>3.5469063747503533E-2</v>
      </c>
      <c r="AW134" s="168">
        <f t="shared" si="1104"/>
        <v>3.4471044500616325E-2</v>
      </c>
      <c r="AX134" s="168">
        <f t="shared" si="1104"/>
        <v>3.3480514560733733E-2</v>
      </c>
      <c r="AY134" s="168">
        <f t="shared" si="1104"/>
        <v>3.249763026029702E-2</v>
      </c>
      <c r="AZ134" s="168">
        <f t="shared" si="1104"/>
        <v>3.1522560750067888E-2</v>
      </c>
      <c r="BA134" s="168">
        <f t="shared" si="1104"/>
        <v>3.0555484806727914E-2</v>
      </c>
      <c r="BB134" s="168">
        <f t="shared" si="1104"/>
        <v>2.9596592248029664E-2</v>
      </c>
      <c r="BC134" s="168">
        <f t="shared" si="1104"/>
        <v>2.8646083929329987E-2</v>
      </c>
      <c r="BD134" s="168">
        <f t="shared" si="1104"/>
        <v>2.7704171740097351E-2</v>
      </c>
      <c r="BE134" s="168">
        <f t="shared" si="1104"/>
        <v>2.6527501316065731E-2</v>
      </c>
      <c r="BF134" s="168">
        <f t="shared" si="1104"/>
        <v>2.5365135767904907E-2</v>
      </c>
      <c r="BG134" s="168">
        <f t="shared" si="1104"/>
        <v>2.4217573224003495E-2</v>
      </c>
      <c r="BH134" s="168">
        <f t="shared" si="1104"/>
        <v>2.3085023387990448E-2</v>
      </c>
      <c r="BI134" s="168">
        <f t="shared" si="1104"/>
        <v>2.1967885891509026E-2</v>
      </c>
      <c r="BJ134" s="168">
        <f t="shared" si="1104"/>
        <v>2.0866579005652069E-2</v>
      </c>
      <c r="BK134" s="168">
        <f t="shared" si="1104"/>
        <v>1.9781539590113882E-2</v>
      </c>
      <c r="BL134" s="168">
        <f t="shared" si="1104"/>
        <v>1.8713223092848605E-2</v>
      </c>
      <c r="BM134" s="168">
        <f t="shared" si="1104"/>
        <v>1.7662103534124098E-2</v>
      </c>
      <c r="BN134" s="168">
        <f t="shared" si="1104"/>
        <v>1.6628673490543068E-2</v>
      </c>
      <c r="BP134" s="168">
        <f t="shared" ref="BP134:CT134" si="1105">BP111</f>
        <v>4.5656706197792413E-2</v>
      </c>
      <c r="BQ134" s="168">
        <f t="shared" si="1105"/>
        <v>4.6398065735895958E-2</v>
      </c>
      <c r="BR134" s="168">
        <f t="shared" si="1105"/>
        <v>4.7128975540230607E-2</v>
      </c>
      <c r="BS134" s="168">
        <f t="shared" si="1105"/>
        <v>4.7849399883292537E-2</v>
      </c>
      <c r="BT134" s="168">
        <f t="shared" si="1105"/>
        <v>4.8559227977379292E-2</v>
      </c>
      <c r="BU134" s="168">
        <f t="shared" si="1105"/>
        <v>4.9258272381926087E-2</v>
      </c>
      <c r="BV134" s="168">
        <f t="shared" si="1105"/>
        <v>4.995585454239275E-2</v>
      </c>
      <c r="BW134" s="168">
        <f t="shared" si="1105"/>
        <v>5.0651918408948081E-2</v>
      </c>
      <c r="BX134" s="168">
        <f t="shared" si="1105"/>
        <v>5.134640649862806E-2</v>
      </c>
      <c r="BY134" s="168">
        <f t="shared" si="1105"/>
        <v>5.2039259751929391E-2</v>
      </c>
      <c r="BZ134" s="168">
        <f t="shared" si="1105"/>
        <v>5.2730417386939475E-2</v>
      </c>
      <c r="CA134" s="168">
        <f t="shared" si="1105"/>
        <v>5.3413158554603567E-2</v>
      </c>
      <c r="CB134" s="168">
        <f t="shared" si="1105"/>
        <v>5.4087177279769437E-2</v>
      </c>
      <c r="CC134" s="168">
        <f t="shared" si="1105"/>
        <v>5.4752117585684046E-2</v>
      </c>
      <c r="CD134" s="168">
        <f t="shared" si="1105"/>
        <v>5.5407569934935605E-2</v>
      </c>
      <c r="CE134" s="168">
        <f t="shared" si="1105"/>
        <v>5.6053067132967399E-2</v>
      </c>
      <c r="CF134" s="168">
        <f t="shared" si="1105"/>
        <v>5.6697153170538139E-2</v>
      </c>
      <c r="CG134" s="168">
        <f t="shared" si="1105"/>
        <v>5.7339791003686018E-2</v>
      </c>
      <c r="CH134" s="168">
        <f t="shared" si="1105"/>
        <v>5.7980942732137726E-2</v>
      </c>
      <c r="CI134" s="168">
        <f t="shared" si="1105"/>
        <v>5.8620569572974325E-2</v>
      </c>
      <c r="CJ134" s="168">
        <f t="shared" si="1105"/>
        <v>5.9258631833532707E-2</v>
      </c>
      <c r="CK134" s="168">
        <f t="shared" si="1105"/>
        <v>5.9895149516206114E-2</v>
      </c>
      <c r="CL134" s="168">
        <f t="shared" si="1105"/>
        <v>6.0530084371233202E-2</v>
      </c>
      <c r="CM134" s="168">
        <f t="shared" si="1105"/>
        <v>6.11633972690089E-2</v>
      </c>
      <c r="CN134" s="168">
        <f t="shared" si="1105"/>
        <v>6.1795048174539971E-2</v>
      </c>
      <c r="CO134" s="168">
        <f t="shared" si="1105"/>
        <v>6.2424996121173131E-2</v>
      </c>
      <c r="CP134" s="168">
        <f t="shared" si="1105"/>
        <v>6.3053256035780741E-2</v>
      </c>
      <c r="CQ134" s="168">
        <f t="shared" si="1105"/>
        <v>6.3679788113915572E-2</v>
      </c>
      <c r="CR134" s="168">
        <f t="shared" si="1105"/>
        <v>6.4304551643561886E-2</v>
      </c>
      <c r="CS134" s="168">
        <f t="shared" si="1105"/>
        <v>6.4927504980027903E-2</v>
      </c>
      <c r="CT134" s="168">
        <f t="shared" si="1105"/>
        <v>6.5548605520138206E-2</v>
      </c>
      <c r="CV134" s="168">
        <f t="shared" si="1090"/>
        <v>4.5656706197792413E-2</v>
      </c>
      <c r="CW134" s="168">
        <f t="shared" si="1057"/>
        <v>4.4886876397263041E-2</v>
      </c>
      <c r="CX134" s="168">
        <f t="shared" si="1058"/>
        <v>4.4051924295264805E-2</v>
      </c>
      <c r="CY134" s="168">
        <f t="shared" si="1059"/>
        <v>4.3220058296531985E-2</v>
      </c>
      <c r="CZ134" s="168">
        <f t="shared" si="1060"/>
        <v>4.2391318064861239E-2</v>
      </c>
      <c r="DA134" s="168">
        <f t="shared" si="1061"/>
        <v>4.1565748463417804E-2</v>
      </c>
      <c r="DB134" s="168">
        <f t="shared" si="1062"/>
        <v>4.0743400693323453E-2</v>
      </c>
      <c r="DC134" s="168">
        <f t="shared" si="1063"/>
        <v>3.9924330150873294E-2</v>
      </c>
      <c r="DD134" s="168">
        <f t="shared" si="1064"/>
        <v>3.9108597428730407E-2</v>
      </c>
      <c r="DE134" s="168">
        <f t="shared" si="1065"/>
        <v>3.8296268316357414E-2</v>
      </c>
      <c r="DF134" s="168">
        <f t="shared" si="1066"/>
        <v>3.7487413800406377E-2</v>
      </c>
      <c r="DG134" s="168">
        <f t="shared" si="1067"/>
        <v>3.6474626333505705E-2</v>
      </c>
      <c r="DH134" s="168">
        <f t="shared" si="1068"/>
        <v>3.5469063747503533E-2</v>
      </c>
      <c r="DI134" s="168">
        <f t="shared" si="1069"/>
        <v>3.4470897399155098E-2</v>
      </c>
      <c r="DJ134" s="168">
        <f t="shared" si="1070"/>
        <v>3.3480207541073267E-2</v>
      </c>
      <c r="DK134" s="168">
        <f t="shared" si="1071"/>
        <v>3.2497150732183767E-2</v>
      </c>
      <c r="DL134" s="168">
        <f t="shared" si="1072"/>
        <v>3.1521896430778976E-2</v>
      </c>
      <c r="DM134" s="168">
        <f t="shared" si="1073"/>
        <v>3.0554624098843967E-2</v>
      </c>
      <c r="DN134" s="168">
        <f t="shared" si="1074"/>
        <v>2.959552451900066E-2</v>
      </c>
      <c r="DO134" s="168">
        <f t="shared" si="1075"/>
        <v>2.8644799825791822E-2</v>
      </c>
      <c r="DP134" s="168">
        <f t="shared" si="1076"/>
        <v>2.7702663375030946E-2</v>
      </c>
      <c r="DQ134" s="168">
        <f t="shared" si="1077"/>
        <v>2.6525709907448965E-2</v>
      </c>
      <c r="DR134" s="168">
        <f t="shared" si="1078"/>
        <v>2.5363045539421262E-2</v>
      </c>
      <c r="DS134" s="168">
        <f t="shared" si="1079"/>
        <v>2.4214514750230814E-2</v>
      </c>
      <c r="DT134" s="168">
        <f t="shared" si="1080"/>
        <v>2.3080930683251885E-2</v>
      </c>
      <c r="DU134" s="168">
        <f t="shared" si="1081"/>
        <v>2.1962698621230511E-2</v>
      </c>
      <c r="DV134" s="168">
        <f t="shared" si="1082"/>
        <v>2.0860241304565333E-2</v>
      </c>
      <c r="DW134" s="168">
        <f t="shared" si="1083"/>
        <v>1.977399845824784E-2</v>
      </c>
      <c r="DX134" s="168">
        <f t="shared" si="1084"/>
        <v>1.8704426860880613E-2</v>
      </c>
      <c r="DY134" s="168">
        <f t="shared" si="1085"/>
        <v>1.7652001426350868E-2</v>
      </c>
      <c r="DZ134" s="168">
        <f t="shared" si="1086"/>
        <v>1.6617217537479856E-2</v>
      </c>
    </row>
    <row r="135" spans="1:165" s="624" customFormat="1" ht="16" thickBot="1">
      <c r="A135" s="623" t="s">
        <v>463</v>
      </c>
      <c r="C135" s="625" t="s">
        <v>413</v>
      </c>
      <c r="D135" s="627">
        <f>SUMPRODUCT(D116:D124,D126:D134)</f>
        <v>0.95981060169486876</v>
      </c>
      <c r="E135" s="627">
        <f t="shared" ref="E135" si="1106">SUMPRODUCT(E116:E124,E126:E134)</f>
        <v>0.95943587728376734</v>
      </c>
      <c r="F135" s="627">
        <f t="shared" ref="F135" si="1107">SUMPRODUCT(F116:F124,F126:F134)</f>
        <v>0.95849926219149895</v>
      </c>
      <c r="G135" s="627">
        <f t="shared" ref="G135" si="1108">SUMPRODUCT(G116:G124,G126:G134)</f>
        <v>0.95770432642867087</v>
      </c>
      <c r="H135" s="627">
        <f t="shared" ref="H135" si="1109">SUMPRODUCT(H116:H124,H126:H134)</f>
        <v>0.95703464702112684</v>
      </c>
      <c r="I135" s="627">
        <f t="shared" ref="I135" si="1110">SUMPRODUCT(I116:I124,I126:I134)</f>
        <v>0.95646633209642595</v>
      </c>
      <c r="J135" s="627">
        <f t="shared" ref="J135" si="1111">SUMPRODUCT(J116:J124,J126:J134)</f>
        <v>0.95595988035233637</v>
      </c>
      <c r="K135" s="627">
        <f t="shared" ref="K135" si="1112">SUMPRODUCT(K116:K124,K126:K134)</f>
        <v>0.95544400245484318</v>
      </c>
      <c r="L135" s="627">
        <f t="shared" ref="L135" si="1113">SUMPRODUCT(L116:L124,L126:L134)</f>
        <v>0.95478548088085058</v>
      </c>
      <c r="M135" s="627">
        <f t="shared" ref="M135" si="1114">SUMPRODUCT(M116:M124,M126:M134)</f>
        <v>0.95373730741230744</v>
      </c>
      <c r="N135" s="627">
        <f t="shared" ref="N135" si="1115">SUMPRODUCT(N116:N124,N126:N134)</f>
        <v>0.9518623619154809</v>
      </c>
      <c r="O135" s="627">
        <f t="shared" ref="O135" si="1116">SUMPRODUCT(O116:O124,O126:O134)</f>
        <v>0.94474476316958811</v>
      </c>
      <c r="P135" s="627">
        <f t="shared" ref="P135" si="1117">SUMPRODUCT(P116:P124,P126:P134)</f>
        <v>0.93472578792513028</v>
      </c>
      <c r="Q135" s="627">
        <f t="shared" ref="Q135" si="1118">SUMPRODUCT(Q116:Q124,Q126:Q134)</f>
        <v>0.92042130718824067</v>
      </c>
      <c r="R135" s="627">
        <f t="shared" ref="R135" si="1119">SUMPRODUCT(R116:R124,R126:R134)</f>
        <v>0.90039672634111168</v>
      </c>
      <c r="S135" s="627">
        <f t="shared" ref="S135" si="1120">SUMPRODUCT(S116:S124,S126:S134)</f>
        <v>0.87364650743160377</v>
      </c>
      <c r="T135" s="627">
        <f t="shared" ref="T135" si="1121">SUMPRODUCT(T116:T124,T126:T134)</f>
        <v>0.84007937940971944</v>
      </c>
      <c r="U135" s="627">
        <f t="shared" ref="U135" si="1122">SUMPRODUCT(U116:U124,U126:U134)</f>
        <v>0.80072675882791999</v>
      </c>
      <c r="V135" s="627">
        <f t="shared" ref="V135" si="1123">SUMPRODUCT(V116:V124,V126:V134)</f>
        <v>0.75747307213807735</v>
      </c>
      <c r="W135" s="627">
        <f t="shared" ref="W135" si="1124">SUMPRODUCT(W116:W124,W126:W134)</f>
        <v>0.71247245510631263</v>
      </c>
      <c r="X135" s="627">
        <f t="shared" ref="X135" si="1125">SUMPRODUCT(X116:X124,X126:X134)</f>
        <v>0.66758526115542804</v>
      </c>
      <c r="Y135" s="627">
        <f t="shared" ref="Y135" si="1126">SUMPRODUCT(Y116:Y124,Y126:Y134)</f>
        <v>0.61925423832270199</v>
      </c>
      <c r="Z135" s="627">
        <f t="shared" ref="Z135" si="1127">SUMPRODUCT(Z116:Z124,Z126:Z134)</f>
        <v>0.57420145602576822</v>
      </c>
      <c r="AA135" s="627">
        <f t="shared" ref="AA135" si="1128">SUMPRODUCT(AA116:AA124,AA126:AA134)</f>
        <v>0.53159976178127544</v>
      </c>
      <c r="AB135" s="627">
        <f t="shared" ref="AB135" si="1129">SUMPRODUCT(AB116:AB124,AB126:AB134)</f>
        <v>0.49111845964068457</v>
      </c>
      <c r="AC135" s="627">
        <f t="shared" ref="AC135" si="1130">SUMPRODUCT(AC116:AC124,AC126:AC134)</f>
        <v>0.45239559464564105</v>
      </c>
      <c r="AD135" s="627">
        <f t="shared" ref="AD135" si="1131">SUMPRODUCT(AD116:AD124,AD126:AD134)</f>
        <v>0.41503771421915558</v>
      </c>
      <c r="AE135" s="627">
        <f t="shared" ref="AE135" si="1132">SUMPRODUCT(AE116:AE124,AE126:AE134)</f>
        <v>0.37866110623409016</v>
      </c>
      <c r="AF135" s="627">
        <f t="shared" ref="AF135" si="1133">SUMPRODUCT(AF116:AF124,AF126:AF134)</f>
        <v>0.34289894413082522</v>
      </c>
      <c r="AG135" s="627">
        <f t="shared" ref="AG135" si="1134">SUMPRODUCT(AG116:AG124,AG126:AG134)</f>
        <v>0.3073995594913656</v>
      </c>
      <c r="AH135" s="627">
        <f t="shared" ref="AH135" si="1135">SUMPRODUCT(AH116:AH124,AH126:AH134)</f>
        <v>0.27183948395873497</v>
      </c>
      <c r="AI135" s="626"/>
      <c r="AJ135" s="627">
        <f>SUMPRODUCT(AJ116:AJ124,AJ126:AJ134)</f>
        <v>0.95981021058607219</v>
      </c>
      <c r="AK135" s="627">
        <f t="shared" ref="AK135" si="1136">SUMPRODUCT(AK116:AK124,AK126:AK134)</f>
        <v>0.95943507221625501</v>
      </c>
      <c r="AL135" s="627">
        <f t="shared" ref="AL135" si="1137">SUMPRODUCT(AL116:AL124,AL126:AL134)</f>
        <v>0.95849764922971759</v>
      </c>
      <c r="AM135" s="627">
        <f t="shared" ref="AM135" si="1138">SUMPRODUCT(AM116:AM124,AM126:AM134)</f>
        <v>0.95770112535569063</v>
      </c>
      <c r="AN135" s="627">
        <f t="shared" ref="AN135" si="1139">SUMPRODUCT(AN116:AN124,AN126:AN134)</f>
        <v>0.95702835981469492</v>
      </c>
      <c r="AO135" s="627">
        <f t="shared" ref="AO135" si="1140">SUMPRODUCT(AO116:AO124,AO126:AO134)</f>
        <v>0.95645412786385664</v>
      </c>
      <c r="AP135" s="627">
        <f t="shared" ref="AP135" si="1141">SUMPRODUCT(AP116:AP124,AP126:AP134)</f>
        <v>0.95593651406935276</v>
      </c>
      <c r="AQ135" s="627">
        <f t="shared" ref="AQ135" si="1142">SUMPRODUCT(AQ116:AQ124,AQ126:AQ134)</f>
        <v>0.95539999726183</v>
      </c>
      <c r="AR135" s="627">
        <f t="shared" ref="AR135" si="1143">SUMPRODUCT(AR116:AR124,AR126:AR134)</f>
        <v>0.95470425904606726</v>
      </c>
      <c r="AS135" s="627">
        <f t="shared" ref="AS135" si="1144">SUMPRODUCT(AS116:AS124,AS126:AS134)</f>
        <v>0.95359106088819634</v>
      </c>
      <c r="AT135" s="627">
        <f t="shared" ref="AT135" si="1145">SUMPRODUCT(AT116:AT124,AT126:AT134)</f>
        <v>0.95160579957747049</v>
      </c>
      <c r="AU135" s="627">
        <f t="shared" ref="AU135" si="1146">SUMPRODUCT(AU116:AU124,AU126:AU134)</f>
        <v>0.9443311213047717</v>
      </c>
      <c r="AV135" s="627">
        <f t="shared" ref="AV135" si="1147">SUMPRODUCT(AV116:AV124,AV126:AV134)</f>
        <v>0.93408374128093341</v>
      </c>
      <c r="AW135" s="627">
        <f t="shared" ref="AW135" si="1148">SUMPRODUCT(AW116:AW124,AW126:AW134)</f>
        <v>0.91947113733644614</v>
      </c>
      <c r="AX135" s="627">
        <f t="shared" ref="AX135" si="1149">SUMPRODUCT(AX116:AX124,AX126:AX134)</f>
        <v>0.89906078863958827</v>
      </c>
      <c r="AY135" s="627">
        <f t="shared" ref="AY135" si="1150">SUMPRODUCT(AY116:AY124,AY126:AY134)</f>
        <v>0.87186343971117841</v>
      </c>
      <c r="AZ135" s="627">
        <f t="shared" ref="AZ135" si="1151">SUMPRODUCT(AZ116:AZ124,AZ126:AZ134)</f>
        <v>0.83782003906167379</v>
      </c>
      <c r="BA135" s="627">
        <f t="shared" ref="BA135" si="1152">SUMPRODUCT(BA116:BA124,BA126:BA134)</f>
        <v>0.79800394740345082</v>
      </c>
      <c r="BB135" s="627">
        <f t="shared" ref="BB135" si="1153">SUMPRODUCT(BB116:BB124,BB126:BB134)</f>
        <v>0.75434699577448927</v>
      </c>
      <c r="BC135" s="627">
        <f t="shared" ref="BC135" si="1154">SUMPRODUCT(BC116:BC124,BC126:BC134)</f>
        <v>0.7090472047897074</v>
      </c>
      <c r="BD135" s="627">
        <f t="shared" ref="BD135" si="1155">SUMPRODUCT(BD116:BD124,BD126:BD134)</f>
        <v>0.66399596704577646</v>
      </c>
      <c r="BE135" s="627">
        <f t="shared" ref="BE135" si="1156">SUMPRODUCT(BE116:BE124,BE126:BE134)</f>
        <v>0.61587470708331427</v>
      </c>
      <c r="BF135" s="627">
        <f t="shared" ref="BF135" si="1157">SUMPRODUCT(BF116:BF124,BF126:BF134)</f>
        <v>0.57074699537429674</v>
      </c>
      <c r="BG135" s="627">
        <f t="shared" ref="BG135" si="1158">SUMPRODUCT(BG116:BG124,BG126:BG134)</f>
        <v>0.52816884566692457</v>
      </c>
      <c r="BH135" s="627">
        <f t="shared" ref="BH135" si="1159">SUMPRODUCT(BH116:BH124,BH126:BH134)</f>
        <v>0.48784553252514867</v>
      </c>
      <c r="BI135" s="627">
        <f t="shared" ref="BI135" si="1160">SUMPRODUCT(BI116:BI124,BI126:BI134)</f>
        <v>0.44940666362168569</v>
      </c>
      <c r="BJ135" s="627">
        <f t="shared" ref="BJ135" si="1161">SUMPRODUCT(BJ116:BJ124,BJ126:BJ134)</f>
        <v>0.41245293074685818</v>
      </c>
      <c r="BK135" s="627">
        <f t="shared" ref="BK135" si="1162">SUMPRODUCT(BK116:BK124,BK126:BK134)</f>
        <v>0.37660573411590859</v>
      </c>
      <c r="BL135" s="627">
        <f t="shared" ref="BL135" si="1163">SUMPRODUCT(BL116:BL124,BL126:BL134)</f>
        <v>0.34152219155450114</v>
      </c>
      <c r="BM135" s="627">
        <f t="shared" ref="BM135" si="1164">SUMPRODUCT(BM116:BM124,BM126:BM134)</f>
        <v>0.3068963263467987</v>
      </c>
      <c r="BN135" s="627">
        <f t="shared" ref="BN135" si="1165">SUMPRODUCT(BN116:BN124,BN126:BN134)</f>
        <v>0.27246438257246214</v>
      </c>
      <c r="BP135" s="627">
        <f>SUMPRODUCT(BP116:BP124,BP126:BP134)</f>
        <v>0.95980968576617665</v>
      </c>
      <c r="BQ135" s="627">
        <f t="shared" ref="BQ135" si="1166">SUMPRODUCT(BQ116:BQ124,BQ126:BQ134)</f>
        <v>0.971437309531195</v>
      </c>
      <c r="BR135" s="627">
        <f t="shared" ref="BR135" si="1167">SUMPRODUCT(BR116:BR124,BR126:BR134)</f>
        <v>0.98296493693968956</v>
      </c>
      <c r="BS135" s="627">
        <f t="shared" ref="BS135" si="1168">SUMPRODUCT(BS116:BS124,BS126:BS134)</f>
        <v>0.99438925060919536</v>
      </c>
      <c r="BT135" s="627">
        <f t="shared" ref="BT135" si="1169">SUMPRODUCT(BT116:BT124,BT126:BT134)</f>
        <v>1.0057062722515469</v>
      </c>
      <c r="BU135" s="627">
        <f t="shared" ref="BU135" si="1170">SUMPRODUCT(BU116:BU124,BU126:BU134)</f>
        <v>1.0169113072368201</v>
      </c>
      <c r="BV135" s="627">
        <f t="shared" ref="BV135" si="1171">SUMPRODUCT(BV116:BV124,BV126:BV134)</f>
        <v>1.0281040793399003</v>
      </c>
      <c r="BW135" s="627">
        <f t="shared" ref="BW135" si="1172">SUMPRODUCT(BW116:BW124,BW126:BW134)</f>
        <v>1.0392835120304622</v>
      </c>
      <c r="BX135" s="627">
        <f t="shared" ref="BX135" si="1173">SUMPRODUCT(BX116:BX124,BX126:BX134)</f>
        <v>1.050448521617513</v>
      </c>
      <c r="BY135" s="627">
        <f t="shared" ref="BY135" si="1174">SUMPRODUCT(BY116:BY124,BY126:BY134)</f>
        <v>1.0615980146037598</v>
      </c>
      <c r="BZ135" s="627">
        <f t="shared" ref="BZ135" si="1175">SUMPRODUCT(BZ116:BZ124,BZ126:BZ134)</f>
        <v>1.0727308850367068</v>
      </c>
      <c r="CA135" s="627">
        <f t="shared" ref="CA135" si="1176">SUMPRODUCT(CA116:CA124,CA126:CA134)</f>
        <v>1.0837707490465356</v>
      </c>
      <c r="CB135" s="627">
        <f t="shared" ref="CB135" si="1177">SUMPRODUCT(CB116:CB124,CB126:CB134)</f>
        <v>1.094712498239429</v>
      </c>
      <c r="CC135" s="627">
        <f t="shared" ref="CC135" si="1178">SUMPRODUCT(CC116:CC124,CC126:CC134)</f>
        <v>1.105550459968627</v>
      </c>
      <c r="CD135" s="627">
        <f t="shared" ref="CD135" si="1179">SUMPRODUCT(CD116:CD124,CD126:CD134)</f>
        <v>1.1162783414203759</v>
      </c>
      <c r="CE135" s="627">
        <f t="shared" ref="CE135" si="1180">SUMPRODUCT(CE116:CE124,CE126:CE134)</f>
        <v>1.1268891673642876</v>
      </c>
      <c r="CF135" s="627">
        <f t="shared" ref="CF135" si="1181">SUMPRODUCT(CF116:CF124,CF126:CF134)</f>
        <v>1.1374804306411701</v>
      </c>
      <c r="CG135" s="627">
        <f t="shared" ref="CG135" si="1182">SUMPRODUCT(CG116:CG124,CG126:CG134)</f>
        <v>1.1480515820304296</v>
      </c>
      <c r="CH135" s="627">
        <f t="shared" ref="CH135" si="1183">SUMPRODUCT(CH116:CH124,CH126:CH134)</f>
        <v>1.1586020598762414</v>
      </c>
      <c r="CI135" s="627">
        <f t="shared" ref="CI135" si="1184">SUMPRODUCT(CI116:CI124,CI126:CI134)</f>
        <v>1.1691312896940969</v>
      </c>
      <c r="CJ135" s="627">
        <f t="shared" ref="CJ135" si="1185">SUMPRODUCT(CJ116:CJ124,CJ126:CJ134)</f>
        <v>1.1796386837660195</v>
      </c>
      <c r="CK135" s="627">
        <f t="shared" ref="CK135" si="1186">SUMPRODUCT(CK116:CK124,CK126:CK134)</f>
        <v>1.1901243595927782</v>
      </c>
      <c r="CL135" s="627">
        <f t="shared" ref="CL135" si="1187">SUMPRODUCT(CL116:CL124,CL126:CL134)</f>
        <v>1.2005877503925646</v>
      </c>
      <c r="CM135" s="627">
        <f t="shared" ref="CM135" si="1188">SUMPRODUCT(CM116:CM124,CM126:CM134)</f>
        <v>1.2110282764987756</v>
      </c>
      <c r="CN135" s="627">
        <f t="shared" ref="CN135" si="1189">SUMPRODUCT(CN116:CN124,CN126:CN134)</f>
        <v>1.2214453449778688</v>
      </c>
      <c r="CO135" s="627">
        <f t="shared" ref="CO135" si="1190">SUMPRODUCT(CO116:CO124,CO126:CO134)</f>
        <v>1.2318383492363625</v>
      </c>
      <c r="CP135" s="627">
        <f t="shared" ref="CP135" si="1191">SUMPRODUCT(CP116:CP124,CP126:CP134)</f>
        <v>1.242207355863802</v>
      </c>
      <c r="CQ135" s="627">
        <f t="shared" ref="CQ135" si="1192">SUMPRODUCT(CQ116:CQ124,CQ126:CQ134)</f>
        <v>1.2525517748416186</v>
      </c>
      <c r="CR135" s="627">
        <f t="shared" ref="CR135" si="1193">SUMPRODUCT(CR116:CR124,CR126:CR134)</f>
        <v>1.2628710027734296</v>
      </c>
      <c r="CS135" s="627">
        <f t="shared" ref="CS135" si="1194">SUMPRODUCT(CS116:CS124,CS126:CS134)</f>
        <v>1.2731644225087755</v>
      </c>
      <c r="CT135" s="627">
        <f t="shared" ref="CT135" si="1195">SUMPRODUCT(CT116:CT124,CT126:CT134)</f>
        <v>1.2834314027563702</v>
      </c>
      <c r="CV135" s="627">
        <f>SUMPRODUCT(CV116:CV124,CV126:CV134)</f>
        <v>0.95981021058607219</v>
      </c>
      <c r="CW135" s="627">
        <f t="shared" ref="CW135:DZ135" si="1196">SUMPRODUCT(CW116:CW124,CW126:CW134)</f>
        <v>0.95943507221625501</v>
      </c>
      <c r="CX135" s="627">
        <f t="shared" si="1196"/>
        <v>0.95849764922971759</v>
      </c>
      <c r="CY135" s="627">
        <f t="shared" si="1196"/>
        <v>0.95770112535569063</v>
      </c>
      <c r="CZ135" s="627">
        <f t="shared" si="1196"/>
        <v>0.95702835981469492</v>
      </c>
      <c r="DA135" s="627">
        <f t="shared" si="1196"/>
        <v>0.95645412786385675</v>
      </c>
      <c r="DB135" s="627">
        <f t="shared" si="1196"/>
        <v>0.95593651406935276</v>
      </c>
      <c r="DC135" s="627">
        <f t="shared" si="1196"/>
        <v>0.95539999726183</v>
      </c>
      <c r="DD135" s="627">
        <f t="shared" si="1196"/>
        <v>0.95470425904606726</v>
      </c>
      <c r="DE135" s="627">
        <f t="shared" si="1196"/>
        <v>0.95359106088819634</v>
      </c>
      <c r="DF135" s="627">
        <f t="shared" si="1196"/>
        <v>0.95160579957747049</v>
      </c>
      <c r="DG135" s="627">
        <f t="shared" si="1196"/>
        <v>0.9443311213047717</v>
      </c>
      <c r="DH135" s="627">
        <f t="shared" si="1196"/>
        <v>0.93408374128093341</v>
      </c>
      <c r="DI135" s="627">
        <f t="shared" si="1196"/>
        <v>0.91947091576860351</v>
      </c>
      <c r="DJ135" s="627">
        <f t="shared" si="1196"/>
        <v>0.89906013661134576</v>
      </c>
      <c r="DK135" s="627">
        <f t="shared" si="1196"/>
        <v>0.87186221519061635</v>
      </c>
      <c r="DL135" s="627">
        <f t="shared" si="1196"/>
        <v>0.83781816083071226</v>
      </c>
      <c r="DM135" s="627">
        <f t="shared" si="1196"/>
        <v>0.79800135595360411</v>
      </c>
      <c r="DN135" s="627">
        <f t="shared" si="1196"/>
        <v>0.75434358541625657</v>
      </c>
      <c r="DO135" s="627">
        <f t="shared" si="1196"/>
        <v>0.70904276146255452</v>
      </c>
      <c r="DP135" s="627">
        <f t="shared" si="1196"/>
        <v>0.6639901317475555</v>
      </c>
      <c r="DQ135" s="627">
        <f t="shared" si="1196"/>
        <v>0.61586616596879029</v>
      </c>
      <c r="DR135" s="627">
        <f t="shared" si="1196"/>
        <v>0.57073556367777123</v>
      </c>
      <c r="DS135" s="627">
        <f t="shared" si="1196"/>
        <v>0.5281450186872102</v>
      </c>
      <c r="DT135" s="627">
        <f t="shared" si="1196"/>
        <v>0.48780728083374575</v>
      </c>
      <c r="DU135" s="627">
        <f t="shared" si="1196"/>
        <v>0.44935163192189087</v>
      </c>
      <c r="DV135" s="627">
        <f t="shared" si="1196"/>
        <v>0.41237843315211131</v>
      </c>
      <c r="DW135" s="627">
        <f t="shared" si="1196"/>
        <v>0.37650872093982679</v>
      </c>
      <c r="DX135" s="627">
        <f t="shared" si="1196"/>
        <v>0.34139917582523033</v>
      </c>
      <c r="DY135" s="627">
        <f t="shared" si="1196"/>
        <v>0.30674328385459515</v>
      </c>
      <c r="DZ135" s="627">
        <f t="shared" si="1196"/>
        <v>0.2722766743238203</v>
      </c>
      <c r="EK135" s="627"/>
      <c r="EL135" s="627"/>
      <c r="EM135" s="627"/>
      <c r="EN135" s="627"/>
      <c r="EO135" s="627"/>
      <c r="EP135" s="627"/>
      <c r="EQ135" s="627"/>
      <c r="ER135" s="627"/>
      <c r="ES135" s="627"/>
      <c r="ET135" s="627"/>
      <c r="EU135" s="627"/>
      <c r="EV135" s="627"/>
      <c r="EW135" s="627"/>
      <c r="EX135" s="627"/>
      <c r="EY135" s="627"/>
      <c r="EZ135" s="627"/>
      <c r="FA135" s="627"/>
      <c r="FB135" s="627"/>
      <c r="FC135" s="627"/>
      <c r="FD135" s="627"/>
      <c r="FE135" s="627"/>
      <c r="FF135" s="627"/>
      <c r="FG135" s="627"/>
      <c r="FH135" s="627"/>
      <c r="FI135" s="627"/>
    </row>
    <row r="136" spans="1:165" s="1" customFormat="1">
      <c r="A136" s="162"/>
      <c r="C136" s="65"/>
      <c r="D136" s="443"/>
      <c r="E136" s="443"/>
      <c r="F136" s="443"/>
      <c r="G136" s="443"/>
      <c r="H136" s="443"/>
      <c r="I136" s="443"/>
      <c r="J136" s="443"/>
      <c r="K136" s="443"/>
      <c r="L136" s="443"/>
      <c r="M136" s="443"/>
      <c r="N136" s="443"/>
      <c r="O136" s="443"/>
      <c r="P136" s="443"/>
      <c r="Q136" s="443"/>
      <c r="R136" s="443"/>
      <c r="S136" s="443"/>
      <c r="T136" s="443"/>
      <c r="U136" s="443"/>
      <c r="V136" s="443"/>
      <c r="W136" s="443"/>
      <c r="X136" s="443"/>
      <c r="Y136" s="443"/>
      <c r="Z136" s="443"/>
      <c r="AA136" s="443"/>
      <c r="AB136" s="443"/>
      <c r="AC136" s="443"/>
      <c r="AD136" s="443"/>
      <c r="AE136" s="443"/>
      <c r="AF136" s="443"/>
      <c r="AG136" s="443"/>
      <c r="AH136" s="443"/>
      <c r="AI136" s="66"/>
      <c r="AJ136" s="443"/>
      <c r="AK136" s="443"/>
      <c r="AL136" s="443"/>
      <c r="AM136" s="443"/>
      <c r="AN136" s="443"/>
      <c r="AO136" s="443"/>
      <c r="AP136" s="443"/>
      <c r="AQ136" s="443"/>
      <c r="AR136" s="443"/>
      <c r="AS136" s="443"/>
      <c r="AT136" s="443"/>
      <c r="AU136" s="443"/>
      <c r="AV136" s="443"/>
      <c r="AW136" s="443"/>
      <c r="AX136" s="443"/>
      <c r="AY136" s="443"/>
      <c r="AZ136" s="443"/>
      <c r="BA136" s="443"/>
      <c r="BB136" s="443"/>
      <c r="BC136" s="443"/>
      <c r="BD136" s="443"/>
      <c r="BE136" s="443"/>
      <c r="BF136" s="443"/>
      <c r="BG136" s="443"/>
      <c r="BH136" s="443"/>
      <c r="BI136" s="443"/>
      <c r="BJ136" s="443"/>
      <c r="BK136" s="443"/>
      <c r="BL136" s="443"/>
      <c r="BM136" s="443"/>
      <c r="BN136" s="443"/>
      <c r="BP136" s="443"/>
      <c r="BQ136" s="443"/>
      <c r="BR136" s="443"/>
      <c r="BS136" s="443"/>
      <c r="BT136" s="443"/>
      <c r="BU136" s="443"/>
      <c r="BV136" s="443"/>
      <c r="BW136" s="443"/>
      <c r="BX136" s="443"/>
      <c r="BY136" s="443"/>
      <c r="BZ136" s="443"/>
      <c r="CA136" s="443"/>
      <c r="CB136" s="443"/>
      <c r="CC136" s="443"/>
      <c r="CD136" s="443"/>
      <c r="CE136" s="443"/>
      <c r="CF136" s="443"/>
      <c r="CG136" s="443"/>
      <c r="CH136" s="443"/>
      <c r="CI136" s="443"/>
      <c r="CJ136" s="443"/>
      <c r="CK136" s="443"/>
      <c r="CL136" s="443"/>
      <c r="CM136" s="443"/>
      <c r="CN136" s="443"/>
      <c r="CO136" s="443"/>
      <c r="CP136" s="443"/>
      <c r="CQ136" s="443"/>
      <c r="CR136" s="443"/>
      <c r="CS136" s="443"/>
      <c r="CT136" s="443"/>
      <c r="CV136" s="443"/>
      <c r="CW136" s="443"/>
      <c r="CX136" s="443"/>
      <c r="CY136" s="443"/>
      <c r="CZ136" s="443"/>
      <c r="DA136" s="443"/>
      <c r="DB136" s="443"/>
      <c r="DC136" s="443"/>
      <c r="DD136" s="443"/>
      <c r="DE136" s="443"/>
      <c r="DF136" s="443"/>
      <c r="DG136" s="443"/>
      <c r="DH136" s="443"/>
      <c r="DI136" s="443"/>
      <c r="DJ136" s="443"/>
      <c r="DK136" s="443"/>
      <c r="DL136" s="443"/>
      <c r="DM136" s="443"/>
      <c r="DN136" s="443"/>
      <c r="DO136" s="443"/>
      <c r="DP136" s="443"/>
      <c r="DQ136" s="443"/>
      <c r="DR136" s="443"/>
      <c r="DS136" s="443"/>
      <c r="DT136" s="443"/>
      <c r="DU136" s="443"/>
      <c r="DV136" s="443"/>
      <c r="DW136" s="443"/>
      <c r="DX136" s="443"/>
      <c r="DY136" s="443"/>
      <c r="DZ136" s="443"/>
      <c r="EK136" s="443"/>
      <c r="EL136" s="443"/>
      <c r="EM136" s="443"/>
      <c r="EN136" s="443"/>
      <c r="EO136" s="443"/>
      <c r="EP136" s="443"/>
      <c r="EQ136" s="443"/>
      <c r="ER136" s="443"/>
      <c r="ES136" s="443"/>
      <c r="ET136" s="443"/>
      <c r="EU136" s="443"/>
      <c r="EV136" s="443"/>
      <c r="EW136" s="443"/>
      <c r="EX136" s="443"/>
      <c r="EY136" s="443"/>
      <c r="EZ136" s="443"/>
      <c r="FA136" s="443"/>
      <c r="FB136" s="443"/>
      <c r="FC136" s="443"/>
      <c r="FD136" s="443"/>
      <c r="FE136" s="443"/>
      <c r="FF136" s="443"/>
      <c r="FG136" s="443"/>
      <c r="FH136" s="443"/>
      <c r="FI136" s="443"/>
    </row>
    <row r="137" spans="1:165" s="69" customFormat="1" ht="16" thickBot="1">
      <c r="A137" s="621" t="s">
        <v>9</v>
      </c>
      <c r="C137" s="70"/>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c r="BI137" s="71"/>
      <c r="BJ137" s="71"/>
      <c r="BK137" s="71"/>
      <c r="BL137" s="71"/>
      <c r="BM137" s="71"/>
      <c r="BN137" s="71"/>
      <c r="BP137" s="71"/>
      <c r="BQ137" s="71"/>
      <c r="BR137" s="71"/>
      <c r="BS137" s="71"/>
      <c r="BT137" s="71"/>
      <c r="BU137" s="71"/>
      <c r="BV137" s="71"/>
      <c r="BW137" s="71"/>
      <c r="BX137" s="71"/>
      <c r="BY137" s="71"/>
      <c r="BZ137" s="71"/>
      <c r="CA137" s="71"/>
      <c r="CB137" s="71"/>
      <c r="CC137" s="71"/>
      <c r="CD137" s="71"/>
      <c r="CE137" s="71"/>
      <c r="CF137" s="71"/>
      <c r="CG137" s="71"/>
      <c r="CH137" s="71"/>
      <c r="CI137" s="71"/>
      <c r="CJ137" s="71"/>
      <c r="CK137" s="71"/>
      <c r="CL137" s="71"/>
      <c r="CM137" s="71"/>
      <c r="CN137" s="71"/>
      <c r="CO137" s="71"/>
      <c r="CP137" s="71"/>
      <c r="CQ137" s="71"/>
      <c r="CR137" s="71"/>
      <c r="CS137" s="71"/>
      <c r="CT137" s="71"/>
      <c r="CV137" s="71"/>
      <c r="CW137" s="71"/>
      <c r="CX137" s="71"/>
      <c r="CY137" s="71"/>
      <c r="CZ137" s="71"/>
      <c r="DA137" s="71"/>
      <c r="DB137" s="71"/>
      <c r="DC137" s="71"/>
      <c r="DD137" s="71"/>
      <c r="DE137" s="71"/>
      <c r="DF137" s="71"/>
      <c r="DG137" s="71"/>
      <c r="DH137" s="71"/>
      <c r="DI137" s="71"/>
      <c r="DJ137" s="71"/>
      <c r="DK137" s="71"/>
      <c r="DL137" s="71"/>
      <c r="DM137" s="71"/>
      <c r="DN137" s="71"/>
      <c r="DO137" s="71"/>
      <c r="DP137" s="71"/>
      <c r="DQ137" s="71"/>
      <c r="DR137" s="71"/>
      <c r="DS137" s="71"/>
      <c r="DT137" s="71"/>
      <c r="DU137" s="71"/>
      <c r="DV137" s="71"/>
      <c r="DW137" s="71"/>
      <c r="DX137" s="71"/>
      <c r="DY137" s="71"/>
      <c r="DZ137" s="71"/>
      <c r="EK137" s="622"/>
      <c r="EL137" s="622"/>
      <c r="EM137" s="622"/>
      <c r="EN137" s="622"/>
      <c r="EO137" s="622"/>
      <c r="EP137" s="622"/>
      <c r="EQ137" s="622"/>
      <c r="ER137" s="622"/>
      <c r="ES137" s="622"/>
      <c r="ET137" s="622"/>
      <c r="EU137" s="622"/>
      <c r="EV137" s="622"/>
      <c r="EW137" s="622"/>
      <c r="EX137" s="622"/>
      <c r="EY137" s="622"/>
      <c r="EZ137" s="622"/>
      <c r="FA137" s="622"/>
      <c r="FB137" s="622"/>
      <c r="FC137" s="622"/>
      <c r="FD137" s="622"/>
      <c r="FE137" s="622"/>
      <c r="FF137" s="622"/>
      <c r="FG137" s="622"/>
      <c r="FH137" s="622"/>
      <c r="FI137" s="622"/>
    </row>
    <row r="138" spans="1:165" s="624" customFormat="1" ht="16" thickBot="1">
      <c r="A138" s="623" t="s">
        <v>108</v>
      </c>
      <c r="C138" s="625"/>
      <c r="D138" s="628">
        <v>2020</v>
      </c>
      <c r="E138" s="628">
        <v>2021</v>
      </c>
      <c r="F138" s="628">
        <v>2022</v>
      </c>
      <c r="G138" s="628">
        <v>2023</v>
      </c>
      <c r="H138" s="628">
        <v>2024</v>
      </c>
      <c r="I138" s="628">
        <v>2025</v>
      </c>
      <c r="J138" s="628">
        <v>2026</v>
      </c>
      <c r="K138" s="628">
        <v>2027</v>
      </c>
      <c r="L138" s="628">
        <v>2028</v>
      </c>
      <c r="M138" s="628">
        <v>2029</v>
      </c>
      <c r="N138" s="628">
        <v>2030</v>
      </c>
      <c r="O138" s="628">
        <v>2031</v>
      </c>
      <c r="P138" s="628">
        <v>2032</v>
      </c>
      <c r="Q138" s="628">
        <v>2033</v>
      </c>
      <c r="R138" s="628">
        <v>2034</v>
      </c>
      <c r="S138" s="628">
        <v>2035</v>
      </c>
      <c r="T138" s="628">
        <v>2036</v>
      </c>
      <c r="U138" s="628">
        <v>2037</v>
      </c>
      <c r="V138" s="628">
        <v>2038</v>
      </c>
      <c r="W138" s="628">
        <v>2039</v>
      </c>
      <c r="X138" s="628">
        <v>2040</v>
      </c>
      <c r="Y138" s="628">
        <v>2041</v>
      </c>
      <c r="Z138" s="628">
        <v>2042</v>
      </c>
      <c r="AA138" s="628">
        <v>2043</v>
      </c>
      <c r="AB138" s="628">
        <v>2044</v>
      </c>
      <c r="AC138" s="628">
        <v>2045</v>
      </c>
      <c r="AD138" s="628">
        <v>2046</v>
      </c>
      <c r="AE138" s="628">
        <v>2047</v>
      </c>
      <c r="AF138" s="628">
        <v>2048</v>
      </c>
      <c r="AG138" s="628">
        <v>2049</v>
      </c>
      <c r="AH138" s="628">
        <v>2050</v>
      </c>
      <c r="AI138" s="626"/>
      <c r="AJ138" s="628">
        <v>2020</v>
      </c>
      <c r="AK138" s="628">
        <v>2021</v>
      </c>
      <c r="AL138" s="628">
        <v>2022</v>
      </c>
      <c r="AM138" s="628">
        <v>2023</v>
      </c>
      <c r="AN138" s="628">
        <v>2024</v>
      </c>
      <c r="AO138" s="628">
        <v>2025</v>
      </c>
      <c r="AP138" s="628">
        <v>2026</v>
      </c>
      <c r="AQ138" s="628">
        <v>2027</v>
      </c>
      <c r="AR138" s="628">
        <v>2028</v>
      </c>
      <c r="AS138" s="628">
        <v>2029</v>
      </c>
      <c r="AT138" s="628">
        <v>2030</v>
      </c>
      <c r="AU138" s="628">
        <v>2031</v>
      </c>
      <c r="AV138" s="628">
        <v>2032</v>
      </c>
      <c r="AW138" s="628">
        <v>2033</v>
      </c>
      <c r="AX138" s="628">
        <v>2034</v>
      </c>
      <c r="AY138" s="628">
        <v>2035</v>
      </c>
      <c r="AZ138" s="628">
        <v>2036</v>
      </c>
      <c r="BA138" s="628">
        <v>2037</v>
      </c>
      <c r="BB138" s="628">
        <v>2038</v>
      </c>
      <c r="BC138" s="628">
        <v>2039</v>
      </c>
      <c r="BD138" s="628">
        <v>2040</v>
      </c>
      <c r="BE138" s="628">
        <v>2041</v>
      </c>
      <c r="BF138" s="628">
        <v>2042</v>
      </c>
      <c r="BG138" s="628">
        <v>2043</v>
      </c>
      <c r="BH138" s="628">
        <v>2044</v>
      </c>
      <c r="BI138" s="628">
        <v>2045</v>
      </c>
      <c r="BJ138" s="628">
        <v>2046</v>
      </c>
      <c r="BK138" s="628">
        <v>2047</v>
      </c>
      <c r="BL138" s="628">
        <v>2048</v>
      </c>
      <c r="BM138" s="628">
        <v>2049</v>
      </c>
      <c r="BN138" s="628">
        <v>2050</v>
      </c>
      <c r="BP138" s="628">
        <v>2020</v>
      </c>
      <c r="BQ138" s="628">
        <v>2021</v>
      </c>
      <c r="BR138" s="628">
        <v>2022</v>
      </c>
      <c r="BS138" s="628">
        <v>2023</v>
      </c>
      <c r="BT138" s="628">
        <v>2024</v>
      </c>
      <c r="BU138" s="628">
        <v>2025</v>
      </c>
      <c r="BV138" s="628">
        <v>2026</v>
      </c>
      <c r="BW138" s="628">
        <v>2027</v>
      </c>
      <c r="BX138" s="628">
        <v>2028</v>
      </c>
      <c r="BY138" s="628">
        <v>2029</v>
      </c>
      <c r="BZ138" s="628">
        <v>2030</v>
      </c>
      <c r="CA138" s="628">
        <v>2031</v>
      </c>
      <c r="CB138" s="628">
        <v>2032</v>
      </c>
      <c r="CC138" s="628">
        <v>2033</v>
      </c>
      <c r="CD138" s="628">
        <v>2034</v>
      </c>
      <c r="CE138" s="628">
        <v>2035</v>
      </c>
      <c r="CF138" s="628">
        <v>2036</v>
      </c>
      <c r="CG138" s="628">
        <v>2037</v>
      </c>
      <c r="CH138" s="628">
        <v>2038</v>
      </c>
      <c r="CI138" s="628">
        <v>2039</v>
      </c>
      <c r="CJ138" s="628">
        <v>2040</v>
      </c>
      <c r="CK138" s="628">
        <v>2041</v>
      </c>
      <c r="CL138" s="628">
        <v>2042</v>
      </c>
      <c r="CM138" s="628">
        <v>2043</v>
      </c>
      <c r="CN138" s="628">
        <v>2044</v>
      </c>
      <c r="CO138" s="628">
        <v>2045</v>
      </c>
      <c r="CP138" s="628">
        <v>2046</v>
      </c>
      <c r="CQ138" s="628">
        <v>2047</v>
      </c>
      <c r="CR138" s="628">
        <v>2048</v>
      </c>
      <c r="CS138" s="628">
        <v>2049</v>
      </c>
      <c r="CT138" s="628">
        <v>2050</v>
      </c>
      <c r="CV138" s="628">
        <v>2020</v>
      </c>
      <c r="CW138" s="628">
        <v>2021</v>
      </c>
      <c r="CX138" s="628">
        <v>2022</v>
      </c>
      <c r="CY138" s="628">
        <v>2023</v>
      </c>
      <c r="CZ138" s="628">
        <v>2024</v>
      </c>
      <c r="DA138" s="628">
        <v>2025</v>
      </c>
      <c r="DB138" s="628">
        <v>2026</v>
      </c>
      <c r="DC138" s="628">
        <v>2027</v>
      </c>
      <c r="DD138" s="628">
        <v>2028</v>
      </c>
      <c r="DE138" s="628">
        <v>2029</v>
      </c>
      <c r="DF138" s="628">
        <v>2030</v>
      </c>
      <c r="DG138" s="628">
        <v>2031</v>
      </c>
      <c r="DH138" s="628">
        <v>2032</v>
      </c>
      <c r="DI138" s="628">
        <v>2033</v>
      </c>
      <c r="DJ138" s="628">
        <v>2034</v>
      </c>
      <c r="DK138" s="628">
        <v>2035</v>
      </c>
      <c r="DL138" s="628">
        <v>2036</v>
      </c>
      <c r="DM138" s="628">
        <v>2037</v>
      </c>
      <c r="DN138" s="628">
        <v>2038</v>
      </c>
      <c r="DO138" s="628">
        <v>2039</v>
      </c>
      <c r="DP138" s="628">
        <v>2040</v>
      </c>
      <c r="DQ138" s="628">
        <v>2041</v>
      </c>
      <c r="DR138" s="628">
        <v>2042</v>
      </c>
      <c r="DS138" s="628">
        <v>2043</v>
      </c>
      <c r="DT138" s="628">
        <v>2044</v>
      </c>
      <c r="DU138" s="628">
        <v>2045</v>
      </c>
      <c r="DV138" s="628">
        <v>2046</v>
      </c>
      <c r="DW138" s="628">
        <v>2047</v>
      </c>
      <c r="DX138" s="628">
        <v>2048</v>
      </c>
      <c r="DY138" s="628">
        <v>2049</v>
      </c>
      <c r="DZ138" s="628">
        <v>2050</v>
      </c>
      <c r="EK138" s="627"/>
      <c r="EL138" s="627"/>
      <c r="EM138" s="627"/>
      <c r="EN138" s="627"/>
      <c r="EO138" s="627"/>
      <c r="EP138" s="627"/>
      <c r="EQ138" s="627"/>
      <c r="ER138" s="627"/>
      <c r="ES138" s="627"/>
      <c r="ET138" s="627"/>
      <c r="EU138" s="627"/>
      <c r="EV138" s="627"/>
      <c r="EW138" s="627"/>
      <c r="EX138" s="627"/>
      <c r="EY138" s="627"/>
      <c r="EZ138" s="627"/>
      <c r="FA138" s="627"/>
      <c r="FB138" s="627"/>
      <c r="FC138" s="627"/>
      <c r="FD138" s="627"/>
      <c r="FE138" s="627"/>
      <c r="FF138" s="627"/>
      <c r="FG138" s="627"/>
      <c r="FH138" s="627"/>
      <c r="FI138" s="627"/>
    </row>
    <row r="139" spans="1:165">
      <c r="A139" s="606" t="s">
        <v>193</v>
      </c>
      <c r="C139" s="54" t="s">
        <v>458</v>
      </c>
      <c r="D139" s="43">
        <f>$B$186</f>
        <v>0.48</v>
      </c>
      <c r="E139" s="43">
        <f>D139-($D139-$AH139)/30</f>
        <v>0.46399999999999997</v>
      </c>
      <c r="F139" s="43">
        <f t="shared" ref="F139:AG139" si="1197">E139-($D139-$AH139)/30</f>
        <v>0.44799999999999995</v>
      </c>
      <c r="G139" s="43">
        <f t="shared" si="1197"/>
        <v>0.43199999999999994</v>
      </c>
      <c r="H139" s="43">
        <f t="shared" si="1197"/>
        <v>0.41599999999999993</v>
      </c>
      <c r="I139" s="43">
        <f t="shared" si="1197"/>
        <v>0.39999999999999991</v>
      </c>
      <c r="J139" s="43">
        <f t="shared" si="1197"/>
        <v>0.3839999999999999</v>
      </c>
      <c r="K139" s="43">
        <f t="shared" si="1197"/>
        <v>0.36799999999999988</v>
      </c>
      <c r="L139" s="43">
        <f t="shared" si="1197"/>
        <v>0.35199999999999987</v>
      </c>
      <c r="M139" s="43">
        <f t="shared" si="1197"/>
        <v>0.33599999999999985</v>
      </c>
      <c r="N139" s="43">
        <f t="shared" si="1197"/>
        <v>0.31999999999999984</v>
      </c>
      <c r="O139" s="43">
        <f t="shared" si="1197"/>
        <v>0.30399999999999983</v>
      </c>
      <c r="P139" s="43">
        <f t="shared" si="1197"/>
        <v>0.28799999999999981</v>
      </c>
      <c r="Q139" s="43">
        <f t="shared" si="1197"/>
        <v>0.2719999999999998</v>
      </c>
      <c r="R139" s="43">
        <f t="shared" si="1197"/>
        <v>0.25599999999999978</v>
      </c>
      <c r="S139" s="43">
        <f t="shared" si="1197"/>
        <v>0.23999999999999977</v>
      </c>
      <c r="T139" s="43">
        <f t="shared" si="1197"/>
        <v>0.22399999999999975</v>
      </c>
      <c r="U139" s="43">
        <f t="shared" si="1197"/>
        <v>0.20799999999999974</v>
      </c>
      <c r="V139" s="43">
        <f t="shared" si="1197"/>
        <v>0.19199999999999973</v>
      </c>
      <c r="W139" s="43">
        <f t="shared" si="1197"/>
        <v>0.17599999999999971</v>
      </c>
      <c r="X139" s="43">
        <f t="shared" si="1197"/>
        <v>0.1599999999999997</v>
      </c>
      <c r="Y139" s="43">
        <f t="shared" si="1197"/>
        <v>0.14399999999999968</v>
      </c>
      <c r="Z139" s="43">
        <f t="shared" si="1197"/>
        <v>0.12799999999999967</v>
      </c>
      <c r="AA139" s="43">
        <f t="shared" si="1197"/>
        <v>0.11199999999999967</v>
      </c>
      <c r="AB139" s="43">
        <f t="shared" si="1197"/>
        <v>9.5999999999999669E-2</v>
      </c>
      <c r="AC139" s="43">
        <f t="shared" si="1197"/>
        <v>7.9999999999999669E-2</v>
      </c>
      <c r="AD139" s="43">
        <f t="shared" si="1197"/>
        <v>6.3999999999999668E-2</v>
      </c>
      <c r="AE139" s="43">
        <f t="shared" si="1197"/>
        <v>4.7999999999999668E-2</v>
      </c>
      <c r="AF139" s="43">
        <f t="shared" si="1197"/>
        <v>3.1999999999999668E-2</v>
      </c>
      <c r="AG139" s="43">
        <f t="shared" si="1197"/>
        <v>1.5999999999999667E-2</v>
      </c>
      <c r="AH139" s="43">
        <f>$C$186</f>
        <v>0</v>
      </c>
      <c r="AI139" s="44"/>
      <c r="AJ139" s="43">
        <f>D139</f>
        <v>0.48</v>
      </c>
      <c r="AK139" s="43">
        <f t="shared" ref="AK139:AK147" si="1198">E139</f>
        <v>0.46399999999999997</v>
      </c>
      <c r="AL139" s="43">
        <f t="shared" ref="AL139:AL147" si="1199">F139</f>
        <v>0.44799999999999995</v>
      </c>
      <c r="AM139" s="43">
        <f t="shared" ref="AM139:AM147" si="1200">G139</f>
        <v>0.43199999999999994</v>
      </c>
      <c r="AN139" s="43">
        <f t="shared" ref="AN139:AN147" si="1201">H139</f>
        <v>0.41599999999999993</v>
      </c>
      <c r="AO139" s="43">
        <f t="shared" ref="AO139:AO147" si="1202">I139</f>
        <v>0.39999999999999991</v>
      </c>
      <c r="AP139" s="43">
        <f t="shared" ref="AP139:AP147" si="1203">J139</f>
        <v>0.3839999999999999</v>
      </c>
      <c r="AQ139" s="43">
        <f t="shared" ref="AQ139:AQ147" si="1204">K139</f>
        <v>0.36799999999999988</v>
      </c>
      <c r="AR139" s="43">
        <f t="shared" ref="AR139:AR147" si="1205">L139</f>
        <v>0.35199999999999987</v>
      </c>
      <c r="AS139" s="43">
        <f t="shared" ref="AS139:AS147" si="1206">M139</f>
        <v>0.33599999999999985</v>
      </c>
      <c r="AT139" s="43">
        <f t="shared" ref="AT139:AT147" si="1207">N139</f>
        <v>0.31999999999999984</v>
      </c>
      <c r="AU139" s="43">
        <f t="shared" ref="AU139:AU147" si="1208">O139</f>
        <v>0.30399999999999983</v>
      </c>
      <c r="AV139" s="43">
        <f t="shared" ref="AV139:AV147" si="1209">P139</f>
        <v>0.28799999999999981</v>
      </c>
      <c r="AW139" s="43">
        <f t="shared" ref="AW139:AW147" si="1210">Q139</f>
        <v>0.2719999999999998</v>
      </c>
      <c r="AX139" s="43">
        <f t="shared" ref="AX139:AX147" si="1211">R139</f>
        <v>0.25599999999999978</v>
      </c>
      <c r="AY139" s="43">
        <f t="shared" ref="AY139:AY147" si="1212">S139</f>
        <v>0.23999999999999977</v>
      </c>
      <c r="AZ139" s="43">
        <f t="shared" ref="AZ139:AZ147" si="1213">T139</f>
        <v>0.22399999999999975</v>
      </c>
      <c r="BA139" s="43">
        <f t="shared" ref="BA139:BA147" si="1214">U139</f>
        <v>0.20799999999999974</v>
      </c>
      <c r="BB139" s="43">
        <f t="shared" ref="BB139:BB147" si="1215">V139</f>
        <v>0.19199999999999973</v>
      </c>
      <c r="BC139" s="43">
        <f t="shared" ref="BC139:BC147" si="1216">W139</f>
        <v>0.17599999999999971</v>
      </c>
      <c r="BD139" s="43">
        <f t="shared" ref="BD139:BD147" si="1217">X139</f>
        <v>0.1599999999999997</v>
      </c>
      <c r="BE139" s="43">
        <f t="shared" ref="BE139:BE147" si="1218">Y139</f>
        <v>0.14399999999999968</v>
      </c>
      <c r="BF139" s="43">
        <f t="shared" ref="BF139:BF147" si="1219">Z139</f>
        <v>0.12799999999999967</v>
      </c>
      <c r="BG139" s="43">
        <f t="shared" ref="BG139:BG147" si="1220">AA139</f>
        <v>0.11199999999999967</v>
      </c>
      <c r="BH139" s="43">
        <f t="shared" ref="BH139:BH147" si="1221">AB139</f>
        <v>9.5999999999999669E-2</v>
      </c>
      <c r="BI139" s="43">
        <f t="shared" ref="BI139:BI147" si="1222">AC139</f>
        <v>7.9999999999999669E-2</v>
      </c>
      <c r="BJ139" s="43">
        <f t="shared" ref="BJ139:BJ147" si="1223">AD139</f>
        <v>6.3999999999999668E-2</v>
      </c>
      <c r="BK139" s="43">
        <f t="shared" ref="BK139:BK147" si="1224">AE139</f>
        <v>4.7999999999999668E-2</v>
      </c>
      <c r="BL139" s="43">
        <f t="shared" ref="BL139:BL147" si="1225">AF139</f>
        <v>3.1999999999999668E-2</v>
      </c>
      <c r="BM139" s="43">
        <f t="shared" ref="BM139:BM147" si="1226">AG139</f>
        <v>1.5999999999999667E-2</v>
      </c>
      <c r="BN139" s="43">
        <f t="shared" ref="BN139:BN147" si="1227">AH139</f>
        <v>0</v>
      </c>
      <c r="BP139" s="43">
        <f>D139</f>
        <v>0.48</v>
      </c>
      <c r="BQ139" s="43">
        <f>BP139-($BP139-$CT139)/30</f>
        <v>0.48</v>
      </c>
      <c r="BR139" s="43">
        <f t="shared" ref="BR139:CS139" si="1228">BQ139-($BP139-$CT139)/30</f>
        <v>0.48</v>
      </c>
      <c r="BS139" s="43">
        <f t="shared" si="1228"/>
        <v>0.48</v>
      </c>
      <c r="BT139" s="43">
        <f t="shared" si="1228"/>
        <v>0.48</v>
      </c>
      <c r="BU139" s="43">
        <f t="shared" si="1228"/>
        <v>0.48</v>
      </c>
      <c r="BV139" s="43">
        <f t="shared" si="1228"/>
        <v>0.48</v>
      </c>
      <c r="BW139" s="43">
        <f t="shared" si="1228"/>
        <v>0.48</v>
      </c>
      <c r="BX139" s="43">
        <f t="shared" si="1228"/>
        <v>0.48</v>
      </c>
      <c r="BY139" s="43">
        <f t="shared" si="1228"/>
        <v>0.48</v>
      </c>
      <c r="BZ139" s="43">
        <f t="shared" si="1228"/>
        <v>0.48</v>
      </c>
      <c r="CA139" s="43">
        <f t="shared" si="1228"/>
        <v>0.48</v>
      </c>
      <c r="CB139" s="43">
        <f t="shared" si="1228"/>
        <v>0.48</v>
      </c>
      <c r="CC139" s="43">
        <f t="shared" si="1228"/>
        <v>0.48</v>
      </c>
      <c r="CD139" s="43">
        <f t="shared" si="1228"/>
        <v>0.48</v>
      </c>
      <c r="CE139" s="43">
        <f t="shared" si="1228"/>
        <v>0.48</v>
      </c>
      <c r="CF139" s="43">
        <f t="shared" si="1228"/>
        <v>0.48</v>
      </c>
      <c r="CG139" s="43">
        <f t="shared" si="1228"/>
        <v>0.48</v>
      </c>
      <c r="CH139" s="43">
        <f t="shared" si="1228"/>
        <v>0.48</v>
      </c>
      <c r="CI139" s="43">
        <f t="shared" si="1228"/>
        <v>0.48</v>
      </c>
      <c r="CJ139" s="43">
        <f t="shared" si="1228"/>
        <v>0.48</v>
      </c>
      <c r="CK139" s="43">
        <f t="shared" si="1228"/>
        <v>0.48</v>
      </c>
      <c r="CL139" s="43">
        <f t="shared" si="1228"/>
        <v>0.48</v>
      </c>
      <c r="CM139" s="43">
        <f t="shared" si="1228"/>
        <v>0.48</v>
      </c>
      <c r="CN139" s="43">
        <f t="shared" si="1228"/>
        <v>0.48</v>
      </c>
      <c r="CO139" s="43">
        <f t="shared" si="1228"/>
        <v>0.48</v>
      </c>
      <c r="CP139" s="43">
        <f t="shared" si="1228"/>
        <v>0.48</v>
      </c>
      <c r="CQ139" s="43">
        <f t="shared" si="1228"/>
        <v>0.48</v>
      </c>
      <c r="CR139" s="43">
        <f t="shared" si="1228"/>
        <v>0.48</v>
      </c>
      <c r="CS139" s="43">
        <f t="shared" si="1228"/>
        <v>0.48</v>
      </c>
      <c r="CT139" s="43">
        <f>BP139</f>
        <v>0.48</v>
      </c>
      <c r="CV139" s="43">
        <f>AJ139</f>
        <v>0.48</v>
      </c>
      <c r="CW139" s="43">
        <f t="shared" ref="CW139:CW143" si="1229">AK139</f>
        <v>0.46399999999999997</v>
      </c>
      <c r="CX139" s="43">
        <f t="shared" ref="CX139:CX143" si="1230">AL139</f>
        <v>0.44799999999999995</v>
      </c>
      <c r="CY139" s="43">
        <f t="shared" ref="CY139:CY143" si="1231">AM139</f>
        <v>0.43199999999999994</v>
      </c>
      <c r="CZ139" s="43">
        <f t="shared" ref="CZ139:CZ143" si="1232">AN139</f>
        <v>0.41599999999999993</v>
      </c>
      <c r="DA139" s="43">
        <f t="shared" ref="DA139:DA143" si="1233">AO139</f>
        <v>0.39999999999999991</v>
      </c>
      <c r="DB139" s="43">
        <f t="shared" ref="DB139:DB143" si="1234">AP139</f>
        <v>0.3839999999999999</v>
      </c>
      <c r="DC139" s="43">
        <f t="shared" ref="DC139:DC143" si="1235">AQ139</f>
        <v>0.36799999999999988</v>
      </c>
      <c r="DD139" s="43">
        <f t="shared" ref="DD139:DD143" si="1236">AR139</f>
        <v>0.35199999999999987</v>
      </c>
      <c r="DE139" s="43">
        <f t="shared" ref="DE139:DE143" si="1237">AS139</f>
        <v>0.33599999999999985</v>
      </c>
      <c r="DF139" s="43">
        <f t="shared" ref="DF139:DF143" si="1238">AT139</f>
        <v>0.31999999999999984</v>
      </c>
      <c r="DG139" s="43">
        <f t="shared" ref="DG139:DG143" si="1239">AU139</f>
        <v>0.30399999999999983</v>
      </c>
      <c r="DH139" s="43">
        <f t="shared" ref="DH139:DH143" si="1240">AV139</f>
        <v>0.28799999999999981</v>
      </c>
      <c r="DI139" s="43">
        <f t="shared" ref="DI139:DI143" si="1241">AW139</f>
        <v>0.2719999999999998</v>
      </c>
      <c r="DJ139" s="43">
        <f t="shared" ref="DJ139:DJ143" si="1242">AX139</f>
        <v>0.25599999999999978</v>
      </c>
      <c r="DK139" s="43">
        <f t="shared" ref="DK139:DK143" si="1243">AY139</f>
        <v>0.23999999999999977</v>
      </c>
      <c r="DL139" s="43">
        <f t="shared" ref="DL139:DL143" si="1244">AZ139</f>
        <v>0.22399999999999975</v>
      </c>
      <c r="DM139" s="43">
        <f t="shared" ref="DM139:DM143" si="1245">BA139</f>
        <v>0.20799999999999974</v>
      </c>
      <c r="DN139" s="43">
        <f t="shared" ref="DN139:DN143" si="1246">BB139</f>
        <v>0.19199999999999973</v>
      </c>
      <c r="DO139" s="43">
        <f t="shared" ref="DO139:DO143" si="1247">BC139</f>
        <v>0.17599999999999971</v>
      </c>
      <c r="DP139" s="43">
        <f t="shared" ref="DP139:DP143" si="1248">BD139</f>
        <v>0.1599999999999997</v>
      </c>
      <c r="DQ139" s="43">
        <f t="shared" ref="DQ139:DQ143" si="1249">BE139</f>
        <v>0.14399999999999968</v>
      </c>
      <c r="DR139" s="43">
        <f t="shared" ref="DR139:DR143" si="1250">BF139</f>
        <v>0.12799999999999967</v>
      </c>
      <c r="DS139" s="43">
        <f t="shared" ref="DS139:DS143" si="1251">BG139</f>
        <v>0.11199999999999967</v>
      </c>
      <c r="DT139" s="43">
        <f t="shared" ref="DT139:DT143" si="1252">BH139</f>
        <v>9.5999999999999669E-2</v>
      </c>
      <c r="DU139" s="43">
        <f t="shared" ref="DU139:DU143" si="1253">BI139</f>
        <v>7.9999999999999669E-2</v>
      </c>
      <c r="DV139" s="43">
        <f t="shared" ref="DV139:DV143" si="1254">BJ139</f>
        <v>6.3999999999999668E-2</v>
      </c>
      <c r="DW139" s="43">
        <f t="shared" ref="DW139:DW143" si="1255">BK139</f>
        <v>4.7999999999999668E-2</v>
      </c>
      <c r="DX139" s="43">
        <f t="shared" ref="DX139:DX143" si="1256">BL139</f>
        <v>3.1999999999999668E-2</v>
      </c>
      <c r="DY139" s="43">
        <f t="shared" ref="DY139:DY143" si="1257">BM139</f>
        <v>1.5999999999999667E-2</v>
      </c>
      <c r="DZ139" s="43">
        <f t="shared" ref="DZ139:DZ143" si="1258">BN139</f>
        <v>0</v>
      </c>
    </row>
    <row r="140" spans="1:165">
      <c r="A140" s="606" t="s">
        <v>88</v>
      </c>
      <c r="C140" s="54" t="s">
        <v>458</v>
      </c>
      <c r="D140" s="43">
        <f>$B$187</f>
        <v>3</v>
      </c>
      <c r="E140" s="43">
        <f t="shared" ref="E140:AG140" si="1259">D140-($D140-$AH140)/30</f>
        <v>2.9</v>
      </c>
      <c r="F140" s="43">
        <f t="shared" si="1259"/>
        <v>2.8</v>
      </c>
      <c r="G140" s="43">
        <f t="shared" si="1259"/>
        <v>2.6999999999999997</v>
      </c>
      <c r="H140" s="43">
        <f t="shared" si="1259"/>
        <v>2.5999999999999996</v>
      </c>
      <c r="I140" s="43">
        <f t="shared" si="1259"/>
        <v>2.4999999999999996</v>
      </c>
      <c r="J140" s="43">
        <f t="shared" si="1259"/>
        <v>2.3999999999999995</v>
      </c>
      <c r="K140" s="43">
        <f t="shared" si="1259"/>
        <v>2.2999999999999994</v>
      </c>
      <c r="L140" s="43">
        <f t="shared" si="1259"/>
        <v>2.1999999999999993</v>
      </c>
      <c r="M140" s="43">
        <f t="shared" si="1259"/>
        <v>2.0999999999999992</v>
      </c>
      <c r="N140" s="43">
        <f t="shared" si="1259"/>
        <v>1.9999999999999991</v>
      </c>
      <c r="O140" s="43">
        <f t="shared" si="1259"/>
        <v>1.899999999999999</v>
      </c>
      <c r="P140" s="43">
        <f t="shared" si="1259"/>
        <v>1.7999999999999989</v>
      </c>
      <c r="Q140" s="43">
        <f t="shared" si="1259"/>
        <v>1.6999999999999988</v>
      </c>
      <c r="R140" s="43">
        <f t="shared" si="1259"/>
        <v>1.5999999999999988</v>
      </c>
      <c r="S140" s="43">
        <f t="shared" si="1259"/>
        <v>1.4999999999999987</v>
      </c>
      <c r="T140" s="43">
        <f t="shared" si="1259"/>
        <v>1.3999999999999986</v>
      </c>
      <c r="U140" s="43">
        <f t="shared" si="1259"/>
        <v>1.2999999999999985</v>
      </c>
      <c r="V140" s="43">
        <f t="shared" si="1259"/>
        <v>1.1999999999999984</v>
      </c>
      <c r="W140" s="43">
        <f t="shared" si="1259"/>
        <v>1.0999999999999983</v>
      </c>
      <c r="X140" s="43">
        <f t="shared" si="1259"/>
        <v>0.99999999999999833</v>
      </c>
      <c r="Y140" s="43">
        <f t="shared" si="1259"/>
        <v>0.89999999999999836</v>
      </c>
      <c r="Z140" s="43">
        <f t="shared" si="1259"/>
        <v>0.79999999999999838</v>
      </c>
      <c r="AA140" s="43">
        <f t="shared" si="1259"/>
        <v>0.6999999999999984</v>
      </c>
      <c r="AB140" s="43">
        <f t="shared" si="1259"/>
        <v>0.59999999999999842</v>
      </c>
      <c r="AC140" s="43">
        <f t="shared" si="1259"/>
        <v>0.49999999999999845</v>
      </c>
      <c r="AD140" s="43">
        <f t="shared" si="1259"/>
        <v>0.39999999999999847</v>
      </c>
      <c r="AE140" s="43">
        <f t="shared" si="1259"/>
        <v>0.29999999999999849</v>
      </c>
      <c r="AF140" s="43">
        <f t="shared" si="1259"/>
        <v>0.19999999999999848</v>
      </c>
      <c r="AG140" s="43">
        <f t="shared" si="1259"/>
        <v>9.9999999999998479E-2</v>
      </c>
      <c r="AH140" s="43">
        <f>$C$187</f>
        <v>0</v>
      </c>
      <c r="AI140" s="44"/>
      <c r="AJ140" s="43">
        <f t="shared" ref="AJ140:AJ147" si="1260">D140</f>
        <v>3</v>
      </c>
      <c r="AK140" s="43">
        <f t="shared" si="1198"/>
        <v>2.9</v>
      </c>
      <c r="AL140" s="43">
        <f t="shared" si="1199"/>
        <v>2.8</v>
      </c>
      <c r="AM140" s="43">
        <f t="shared" si="1200"/>
        <v>2.6999999999999997</v>
      </c>
      <c r="AN140" s="43">
        <f t="shared" si="1201"/>
        <v>2.5999999999999996</v>
      </c>
      <c r="AO140" s="43">
        <f t="shared" si="1202"/>
        <v>2.4999999999999996</v>
      </c>
      <c r="AP140" s="43">
        <f t="shared" si="1203"/>
        <v>2.3999999999999995</v>
      </c>
      <c r="AQ140" s="43">
        <f t="shared" si="1204"/>
        <v>2.2999999999999994</v>
      </c>
      <c r="AR140" s="43">
        <f t="shared" si="1205"/>
        <v>2.1999999999999993</v>
      </c>
      <c r="AS140" s="43">
        <f t="shared" si="1206"/>
        <v>2.0999999999999992</v>
      </c>
      <c r="AT140" s="43">
        <f t="shared" si="1207"/>
        <v>1.9999999999999991</v>
      </c>
      <c r="AU140" s="43">
        <f t="shared" si="1208"/>
        <v>1.899999999999999</v>
      </c>
      <c r="AV140" s="43">
        <f t="shared" si="1209"/>
        <v>1.7999999999999989</v>
      </c>
      <c r="AW140" s="43">
        <f t="shared" si="1210"/>
        <v>1.6999999999999988</v>
      </c>
      <c r="AX140" s="43">
        <f t="shared" si="1211"/>
        <v>1.5999999999999988</v>
      </c>
      <c r="AY140" s="43">
        <f t="shared" si="1212"/>
        <v>1.4999999999999987</v>
      </c>
      <c r="AZ140" s="43">
        <f t="shared" si="1213"/>
        <v>1.3999999999999986</v>
      </c>
      <c r="BA140" s="43">
        <f t="shared" si="1214"/>
        <v>1.2999999999999985</v>
      </c>
      <c r="BB140" s="43">
        <f t="shared" si="1215"/>
        <v>1.1999999999999984</v>
      </c>
      <c r="BC140" s="43">
        <f t="shared" si="1216"/>
        <v>1.0999999999999983</v>
      </c>
      <c r="BD140" s="43">
        <f t="shared" si="1217"/>
        <v>0.99999999999999833</v>
      </c>
      <c r="BE140" s="43">
        <f t="shared" si="1218"/>
        <v>0.89999999999999836</v>
      </c>
      <c r="BF140" s="43">
        <f t="shared" si="1219"/>
        <v>0.79999999999999838</v>
      </c>
      <c r="BG140" s="43">
        <f t="shared" si="1220"/>
        <v>0.6999999999999984</v>
      </c>
      <c r="BH140" s="43">
        <f t="shared" si="1221"/>
        <v>0.59999999999999842</v>
      </c>
      <c r="BI140" s="43">
        <f t="shared" si="1222"/>
        <v>0.49999999999999845</v>
      </c>
      <c r="BJ140" s="43">
        <f t="shared" si="1223"/>
        <v>0.39999999999999847</v>
      </c>
      <c r="BK140" s="43">
        <f t="shared" si="1224"/>
        <v>0.29999999999999849</v>
      </c>
      <c r="BL140" s="43">
        <f t="shared" si="1225"/>
        <v>0.19999999999999848</v>
      </c>
      <c r="BM140" s="43">
        <f t="shared" si="1226"/>
        <v>9.9999999999998479E-2</v>
      </c>
      <c r="BN140" s="43">
        <f t="shared" si="1227"/>
        <v>0</v>
      </c>
      <c r="BP140" s="43">
        <f t="shared" ref="BP140:BP147" si="1261">D140</f>
        <v>3</v>
      </c>
      <c r="BQ140" s="43">
        <f t="shared" ref="BQ140:CS140" si="1262">BP140-($BP140-$CT140)/30</f>
        <v>3</v>
      </c>
      <c r="BR140" s="43">
        <f t="shared" si="1262"/>
        <v>3</v>
      </c>
      <c r="BS140" s="43">
        <f t="shared" si="1262"/>
        <v>3</v>
      </c>
      <c r="BT140" s="43">
        <f t="shared" si="1262"/>
        <v>3</v>
      </c>
      <c r="BU140" s="43">
        <f t="shared" si="1262"/>
        <v>3</v>
      </c>
      <c r="BV140" s="43">
        <f t="shared" si="1262"/>
        <v>3</v>
      </c>
      <c r="BW140" s="43">
        <f t="shared" si="1262"/>
        <v>3</v>
      </c>
      <c r="BX140" s="43">
        <f t="shared" si="1262"/>
        <v>3</v>
      </c>
      <c r="BY140" s="43">
        <f t="shared" si="1262"/>
        <v>3</v>
      </c>
      <c r="BZ140" s="43">
        <f t="shared" si="1262"/>
        <v>3</v>
      </c>
      <c r="CA140" s="43">
        <f t="shared" si="1262"/>
        <v>3</v>
      </c>
      <c r="CB140" s="43">
        <f t="shared" si="1262"/>
        <v>3</v>
      </c>
      <c r="CC140" s="43">
        <f t="shared" si="1262"/>
        <v>3</v>
      </c>
      <c r="CD140" s="43">
        <f t="shared" si="1262"/>
        <v>3</v>
      </c>
      <c r="CE140" s="43">
        <f t="shared" si="1262"/>
        <v>3</v>
      </c>
      <c r="CF140" s="43">
        <f t="shared" si="1262"/>
        <v>3</v>
      </c>
      <c r="CG140" s="43">
        <f t="shared" si="1262"/>
        <v>3</v>
      </c>
      <c r="CH140" s="43">
        <f t="shared" si="1262"/>
        <v>3</v>
      </c>
      <c r="CI140" s="43">
        <f t="shared" si="1262"/>
        <v>3</v>
      </c>
      <c r="CJ140" s="43">
        <f t="shared" si="1262"/>
        <v>3</v>
      </c>
      <c r="CK140" s="43">
        <f t="shared" si="1262"/>
        <v>3</v>
      </c>
      <c r="CL140" s="43">
        <f t="shared" si="1262"/>
        <v>3</v>
      </c>
      <c r="CM140" s="43">
        <f t="shared" si="1262"/>
        <v>3</v>
      </c>
      <c r="CN140" s="43">
        <f t="shared" si="1262"/>
        <v>3</v>
      </c>
      <c r="CO140" s="43">
        <f t="shared" si="1262"/>
        <v>3</v>
      </c>
      <c r="CP140" s="43">
        <f t="shared" si="1262"/>
        <v>3</v>
      </c>
      <c r="CQ140" s="43">
        <f t="shared" si="1262"/>
        <v>3</v>
      </c>
      <c r="CR140" s="43">
        <f t="shared" si="1262"/>
        <v>3</v>
      </c>
      <c r="CS140" s="43">
        <f t="shared" si="1262"/>
        <v>3</v>
      </c>
      <c r="CT140" s="43">
        <f t="shared" ref="CT140:CT141" si="1263">BP140</f>
        <v>3</v>
      </c>
      <c r="CV140" s="43">
        <f>AJ140</f>
        <v>3</v>
      </c>
      <c r="CW140" s="43">
        <f t="shared" si="1229"/>
        <v>2.9</v>
      </c>
      <c r="CX140" s="43">
        <f t="shared" si="1230"/>
        <v>2.8</v>
      </c>
      <c r="CY140" s="43">
        <f t="shared" si="1231"/>
        <v>2.6999999999999997</v>
      </c>
      <c r="CZ140" s="43">
        <f t="shared" si="1232"/>
        <v>2.5999999999999996</v>
      </c>
      <c r="DA140" s="43">
        <f t="shared" si="1233"/>
        <v>2.4999999999999996</v>
      </c>
      <c r="DB140" s="43">
        <f t="shared" si="1234"/>
        <v>2.3999999999999995</v>
      </c>
      <c r="DC140" s="43">
        <f t="shared" si="1235"/>
        <v>2.2999999999999994</v>
      </c>
      <c r="DD140" s="43">
        <f t="shared" si="1236"/>
        <v>2.1999999999999993</v>
      </c>
      <c r="DE140" s="43">
        <f t="shared" si="1237"/>
        <v>2.0999999999999992</v>
      </c>
      <c r="DF140" s="43">
        <f t="shared" si="1238"/>
        <v>1.9999999999999991</v>
      </c>
      <c r="DG140" s="43">
        <f t="shared" si="1239"/>
        <v>1.899999999999999</v>
      </c>
      <c r="DH140" s="43">
        <f t="shared" si="1240"/>
        <v>1.7999999999999989</v>
      </c>
      <c r="DI140" s="43">
        <f t="shared" si="1241"/>
        <v>1.6999999999999988</v>
      </c>
      <c r="DJ140" s="43">
        <f t="shared" si="1242"/>
        <v>1.5999999999999988</v>
      </c>
      <c r="DK140" s="43">
        <f t="shared" si="1243"/>
        <v>1.4999999999999987</v>
      </c>
      <c r="DL140" s="43">
        <f t="shared" si="1244"/>
        <v>1.3999999999999986</v>
      </c>
      <c r="DM140" s="43">
        <f t="shared" si="1245"/>
        <v>1.2999999999999985</v>
      </c>
      <c r="DN140" s="43">
        <f t="shared" si="1246"/>
        <v>1.1999999999999984</v>
      </c>
      <c r="DO140" s="43">
        <f t="shared" si="1247"/>
        <v>1.0999999999999983</v>
      </c>
      <c r="DP140" s="43">
        <f t="shared" si="1248"/>
        <v>0.99999999999999833</v>
      </c>
      <c r="DQ140" s="43">
        <f t="shared" si="1249"/>
        <v>0.89999999999999836</v>
      </c>
      <c r="DR140" s="43">
        <f t="shared" si="1250"/>
        <v>0.79999999999999838</v>
      </c>
      <c r="DS140" s="43">
        <f t="shared" si="1251"/>
        <v>0.6999999999999984</v>
      </c>
      <c r="DT140" s="43">
        <f t="shared" si="1252"/>
        <v>0.59999999999999842</v>
      </c>
      <c r="DU140" s="43">
        <f t="shared" si="1253"/>
        <v>0.49999999999999845</v>
      </c>
      <c r="DV140" s="43">
        <f t="shared" si="1254"/>
        <v>0.39999999999999847</v>
      </c>
      <c r="DW140" s="43">
        <f t="shared" si="1255"/>
        <v>0.29999999999999849</v>
      </c>
      <c r="DX140" s="43">
        <f t="shared" si="1256"/>
        <v>0.19999999999999848</v>
      </c>
      <c r="DY140" s="43">
        <f t="shared" si="1257"/>
        <v>9.9999999999998479E-2</v>
      </c>
      <c r="DZ140" s="43">
        <f t="shared" si="1258"/>
        <v>0</v>
      </c>
    </row>
    <row r="141" spans="1:165">
      <c r="A141" s="606" t="s">
        <v>459</v>
      </c>
      <c r="C141" s="54" t="s">
        <v>458</v>
      </c>
      <c r="D141" s="43">
        <f>$BP$191</f>
        <v>1.366852</v>
      </c>
      <c r="E141" s="43">
        <f t="shared" ref="E141:AG141" si="1264">D141-($D141-$AH141)/30</f>
        <v>1.4057902666666666</v>
      </c>
      <c r="F141" s="43">
        <f t="shared" si="1264"/>
        <v>1.4447285333333333</v>
      </c>
      <c r="G141" s="43">
        <f t="shared" si="1264"/>
        <v>1.4836668</v>
      </c>
      <c r="H141" s="43">
        <f t="shared" si="1264"/>
        <v>1.5226050666666666</v>
      </c>
      <c r="I141" s="43">
        <f t="shared" si="1264"/>
        <v>1.5615433333333333</v>
      </c>
      <c r="J141" s="43">
        <f t="shared" si="1264"/>
        <v>1.6004815999999999</v>
      </c>
      <c r="K141" s="43">
        <f t="shared" si="1264"/>
        <v>1.6394198666666666</v>
      </c>
      <c r="L141" s="43">
        <f t="shared" si="1264"/>
        <v>1.6783581333333333</v>
      </c>
      <c r="M141" s="43">
        <f t="shared" si="1264"/>
        <v>1.7172963999999999</v>
      </c>
      <c r="N141" s="43">
        <f t="shared" si="1264"/>
        <v>1.7562346666666666</v>
      </c>
      <c r="O141" s="43">
        <f t="shared" si="1264"/>
        <v>1.7951729333333333</v>
      </c>
      <c r="P141" s="43">
        <f t="shared" si="1264"/>
        <v>1.8341111999999999</v>
      </c>
      <c r="Q141" s="43">
        <f t="shared" si="1264"/>
        <v>1.8730494666666666</v>
      </c>
      <c r="R141" s="43">
        <f t="shared" si="1264"/>
        <v>1.9119877333333333</v>
      </c>
      <c r="S141" s="43">
        <f t="shared" si="1264"/>
        <v>1.9509259999999999</v>
      </c>
      <c r="T141" s="43">
        <f t="shared" si="1264"/>
        <v>1.9898642666666666</v>
      </c>
      <c r="U141" s="43">
        <f t="shared" si="1264"/>
        <v>2.0288025333333333</v>
      </c>
      <c r="V141" s="43">
        <f t="shared" si="1264"/>
        <v>2.0677408000000002</v>
      </c>
      <c r="W141" s="43">
        <f t="shared" si="1264"/>
        <v>2.106679066666667</v>
      </c>
      <c r="X141" s="43">
        <f t="shared" si="1264"/>
        <v>2.1456173333333339</v>
      </c>
      <c r="Y141" s="43">
        <f t="shared" si="1264"/>
        <v>2.1845556000000008</v>
      </c>
      <c r="Z141" s="43">
        <f t="shared" si="1264"/>
        <v>2.2234938666666677</v>
      </c>
      <c r="AA141" s="43">
        <f t="shared" si="1264"/>
        <v>2.2624321333333346</v>
      </c>
      <c r="AB141" s="43">
        <f t="shared" si="1264"/>
        <v>2.3013704000000015</v>
      </c>
      <c r="AC141" s="43">
        <f t="shared" si="1264"/>
        <v>2.3403086666666684</v>
      </c>
      <c r="AD141" s="43">
        <f t="shared" si="1264"/>
        <v>2.3792469333333353</v>
      </c>
      <c r="AE141" s="43">
        <f t="shared" si="1264"/>
        <v>2.4181852000000021</v>
      </c>
      <c r="AF141" s="43">
        <f t="shared" si="1264"/>
        <v>2.457123466666669</v>
      </c>
      <c r="AG141" s="43">
        <f t="shared" si="1264"/>
        <v>2.4960617333333359</v>
      </c>
      <c r="AH141" s="43">
        <f>EB191</f>
        <v>2.5350000000000001</v>
      </c>
      <c r="AI141" s="44"/>
      <c r="AJ141" s="43">
        <f t="shared" si="1260"/>
        <v>1.366852</v>
      </c>
      <c r="AK141" s="43">
        <f t="shared" si="1198"/>
        <v>1.4057902666666666</v>
      </c>
      <c r="AL141" s="43">
        <f t="shared" si="1199"/>
        <v>1.4447285333333333</v>
      </c>
      <c r="AM141" s="43">
        <f t="shared" si="1200"/>
        <v>1.4836668</v>
      </c>
      <c r="AN141" s="43">
        <f t="shared" si="1201"/>
        <v>1.5226050666666666</v>
      </c>
      <c r="AO141" s="43">
        <f t="shared" si="1202"/>
        <v>1.5615433333333333</v>
      </c>
      <c r="AP141" s="43">
        <f t="shared" si="1203"/>
        <v>1.6004815999999999</v>
      </c>
      <c r="AQ141" s="43">
        <f t="shared" si="1204"/>
        <v>1.6394198666666666</v>
      </c>
      <c r="AR141" s="43">
        <f t="shared" si="1205"/>
        <v>1.6783581333333333</v>
      </c>
      <c r="AS141" s="43">
        <f t="shared" si="1206"/>
        <v>1.7172963999999999</v>
      </c>
      <c r="AT141" s="43">
        <f t="shared" si="1207"/>
        <v>1.7562346666666666</v>
      </c>
      <c r="AU141" s="43">
        <f t="shared" si="1208"/>
        <v>1.7951729333333333</v>
      </c>
      <c r="AV141" s="43">
        <f t="shared" si="1209"/>
        <v>1.8341111999999999</v>
      </c>
      <c r="AW141" s="43">
        <f t="shared" si="1210"/>
        <v>1.8730494666666666</v>
      </c>
      <c r="AX141" s="43">
        <f t="shared" si="1211"/>
        <v>1.9119877333333333</v>
      </c>
      <c r="AY141" s="43">
        <f t="shared" si="1212"/>
        <v>1.9509259999999999</v>
      </c>
      <c r="AZ141" s="43">
        <f t="shared" si="1213"/>
        <v>1.9898642666666666</v>
      </c>
      <c r="BA141" s="43">
        <f t="shared" si="1214"/>
        <v>2.0288025333333333</v>
      </c>
      <c r="BB141" s="43">
        <f t="shared" si="1215"/>
        <v>2.0677408000000002</v>
      </c>
      <c r="BC141" s="43">
        <f t="shared" si="1216"/>
        <v>2.106679066666667</v>
      </c>
      <c r="BD141" s="43">
        <f t="shared" si="1217"/>
        <v>2.1456173333333339</v>
      </c>
      <c r="BE141" s="43">
        <f t="shared" si="1218"/>
        <v>2.1845556000000008</v>
      </c>
      <c r="BF141" s="43">
        <f t="shared" si="1219"/>
        <v>2.2234938666666677</v>
      </c>
      <c r="BG141" s="43">
        <f t="shared" si="1220"/>
        <v>2.2624321333333346</v>
      </c>
      <c r="BH141" s="43">
        <f t="shared" si="1221"/>
        <v>2.3013704000000015</v>
      </c>
      <c r="BI141" s="43">
        <f t="shared" si="1222"/>
        <v>2.3403086666666684</v>
      </c>
      <c r="BJ141" s="43">
        <f t="shared" si="1223"/>
        <v>2.3792469333333353</v>
      </c>
      <c r="BK141" s="43">
        <f t="shared" si="1224"/>
        <v>2.4181852000000021</v>
      </c>
      <c r="BL141" s="43">
        <f t="shared" si="1225"/>
        <v>2.457123466666669</v>
      </c>
      <c r="BM141" s="43">
        <f t="shared" si="1226"/>
        <v>2.4960617333333359</v>
      </c>
      <c r="BN141" s="43">
        <f t="shared" si="1227"/>
        <v>2.5350000000000001</v>
      </c>
      <c r="BP141" s="43">
        <f t="shared" si="1261"/>
        <v>1.366852</v>
      </c>
      <c r="BQ141" s="43">
        <f t="shared" ref="BQ141:CS141" si="1265">BP141-($BP141-$CT141)/30</f>
        <v>1.366852</v>
      </c>
      <c r="BR141" s="43">
        <f t="shared" si="1265"/>
        <v>1.366852</v>
      </c>
      <c r="BS141" s="43">
        <f t="shared" si="1265"/>
        <v>1.366852</v>
      </c>
      <c r="BT141" s="43">
        <f t="shared" si="1265"/>
        <v>1.366852</v>
      </c>
      <c r="BU141" s="43">
        <f t="shared" si="1265"/>
        <v>1.366852</v>
      </c>
      <c r="BV141" s="43">
        <f t="shared" si="1265"/>
        <v>1.366852</v>
      </c>
      <c r="BW141" s="43">
        <f t="shared" si="1265"/>
        <v>1.366852</v>
      </c>
      <c r="BX141" s="43">
        <f t="shared" si="1265"/>
        <v>1.366852</v>
      </c>
      <c r="BY141" s="43">
        <f t="shared" si="1265"/>
        <v>1.366852</v>
      </c>
      <c r="BZ141" s="43">
        <f t="shared" si="1265"/>
        <v>1.366852</v>
      </c>
      <c r="CA141" s="43">
        <f t="shared" si="1265"/>
        <v>1.366852</v>
      </c>
      <c r="CB141" s="43">
        <f t="shared" si="1265"/>
        <v>1.366852</v>
      </c>
      <c r="CC141" s="43">
        <f t="shared" si="1265"/>
        <v>1.366852</v>
      </c>
      <c r="CD141" s="43">
        <f t="shared" si="1265"/>
        <v>1.366852</v>
      </c>
      <c r="CE141" s="43">
        <f t="shared" si="1265"/>
        <v>1.366852</v>
      </c>
      <c r="CF141" s="43">
        <f t="shared" si="1265"/>
        <v>1.366852</v>
      </c>
      <c r="CG141" s="43">
        <f t="shared" si="1265"/>
        <v>1.366852</v>
      </c>
      <c r="CH141" s="43">
        <f t="shared" si="1265"/>
        <v>1.366852</v>
      </c>
      <c r="CI141" s="43">
        <f t="shared" si="1265"/>
        <v>1.366852</v>
      </c>
      <c r="CJ141" s="43">
        <f t="shared" si="1265"/>
        <v>1.366852</v>
      </c>
      <c r="CK141" s="43">
        <f t="shared" si="1265"/>
        <v>1.366852</v>
      </c>
      <c r="CL141" s="43">
        <f t="shared" si="1265"/>
        <v>1.366852</v>
      </c>
      <c r="CM141" s="43">
        <f t="shared" si="1265"/>
        <v>1.366852</v>
      </c>
      <c r="CN141" s="43">
        <f t="shared" si="1265"/>
        <v>1.366852</v>
      </c>
      <c r="CO141" s="43">
        <f t="shared" si="1265"/>
        <v>1.366852</v>
      </c>
      <c r="CP141" s="43">
        <f t="shared" si="1265"/>
        <v>1.366852</v>
      </c>
      <c r="CQ141" s="43">
        <f t="shared" si="1265"/>
        <v>1.366852</v>
      </c>
      <c r="CR141" s="43">
        <f t="shared" si="1265"/>
        <v>1.366852</v>
      </c>
      <c r="CS141" s="43">
        <f t="shared" si="1265"/>
        <v>1.366852</v>
      </c>
      <c r="CT141" s="43">
        <f t="shared" si="1263"/>
        <v>1.366852</v>
      </c>
      <c r="CV141" s="43">
        <f>AJ141</f>
        <v>1.366852</v>
      </c>
      <c r="CW141" s="43">
        <f t="shared" si="1229"/>
        <v>1.4057902666666666</v>
      </c>
      <c r="CX141" s="43">
        <f t="shared" si="1230"/>
        <v>1.4447285333333333</v>
      </c>
      <c r="CY141" s="43">
        <f t="shared" si="1231"/>
        <v>1.4836668</v>
      </c>
      <c r="CZ141" s="43">
        <f t="shared" si="1232"/>
        <v>1.5226050666666666</v>
      </c>
      <c r="DA141" s="43">
        <f t="shared" si="1233"/>
        <v>1.5615433333333333</v>
      </c>
      <c r="DB141" s="43">
        <f t="shared" si="1234"/>
        <v>1.6004815999999999</v>
      </c>
      <c r="DC141" s="43">
        <f t="shared" si="1235"/>
        <v>1.6394198666666666</v>
      </c>
      <c r="DD141" s="43">
        <f t="shared" si="1236"/>
        <v>1.6783581333333333</v>
      </c>
      <c r="DE141" s="43">
        <f t="shared" si="1237"/>
        <v>1.7172963999999999</v>
      </c>
      <c r="DF141" s="43">
        <f t="shared" si="1238"/>
        <v>1.7562346666666666</v>
      </c>
      <c r="DG141" s="43">
        <f t="shared" si="1239"/>
        <v>1.7951729333333333</v>
      </c>
      <c r="DH141" s="43">
        <f t="shared" si="1240"/>
        <v>1.8341111999999999</v>
      </c>
      <c r="DI141" s="43">
        <f t="shared" si="1241"/>
        <v>1.8730494666666666</v>
      </c>
      <c r="DJ141" s="43">
        <f t="shared" si="1242"/>
        <v>1.9119877333333333</v>
      </c>
      <c r="DK141" s="43">
        <f t="shared" si="1243"/>
        <v>1.9509259999999999</v>
      </c>
      <c r="DL141" s="43">
        <f t="shared" si="1244"/>
        <v>1.9898642666666666</v>
      </c>
      <c r="DM141" s="43">
        <f t="shared" si="1245"/>
        <v>2.0288025333333333</v>
      </c>
      <c r="DN141" s="43">
        <f t="shared" si="1246"/>
        <v>2.0677408000000002</v>
      </c>
      <c r="DO141" s="43">
        <f t="shared" si="1247"/>
        <v>2.106679066666667</v>
      </c>
      <c r="DP141" s="43">
        <f t="shared" si="1248"/>
        <v>2.1456173333333339</v>
      </c>
      <c r="DQ141" s="43">
        <f t="shared" si="1249"/>
        <v>2.1845556000000008</v>
      </c>
      <c r="DR141" s="43">
        <f t="shared" si="1250"/>
        <v>2.2234938666666677</v>
      </c>
      <c r="DS141" s="43">
        <f t="shared" si="1251"/>
        <v>2.2624321333333346</v>
      </c>
      <c r="DT141" s="43">
        <f t="shared" si="1252"/>
        <v>2.3013704000000015</v>
      </c>
      <c r="DU141" s="43">
        <f t="shared" si="1253"/>
        <v>2.3403086666666684</v>
      </c>
      <c r="DV141" s="43">
        <f t="shared" si="1254"/>
        <v>2.3792469333333353</v>
      </c>
      <c r="DW141" s="43">
        <f t="shared" si="1255"/>
        <v>2.4181852000000021</v>
      </c>
      <c r="DX141" s="43">
        <f t="shared" si="1256"/>
        <v>2.457123466666669</v>
      </c>
      <c r="DY141" s="43">
        <f t="shared" si="1257"/>
        <v>2.4960617333333359</v>
      </c>
      <c r="DZ141" s="43">
        <f t="shared" si="1258"/>
        <v>2.5350000000000001</v>
      </c>
    </row>
    <row r="142" spans="1:165">
      <c r="A142" s="606" t="s">
        <v>460</v>
      </c>
      <c r="C142" s="54" t="s">
        <v>458</v>
      </c>
      <c r="D142" s="43">
        <f>$BP$191</f>
        <v>1.366852</v>
      </c>
      <c r="E142" s="43">
        <f t="shared" ref="E142:AG142" si="1266">D142-($D142-$AH142)/30</f>
        <v>1.3235683533333333</v>
      </c>
      <c r="F142" s="43">
        <f t="shared" si="1266"/>
        <v>1.2802847066666667</v>
      </c>
      <c r="G142" s="43">
        <f t="shared" si="1266"/>
        <v>1.2370010600000001</v>
      </c>
      <c r="H142" s="43">
        <f t="shared" si="1266"/>
        <v>1.1937174133333335</v>
      </c>
      <c r="I142" s="43">
        <f t="shared" si="1266"/>
        <v>1.1504337666666669</v>
      </c>
      <c r="J142" s="43">
        <f t="shared" si="1266"/>
        <v>1.1071501200000002</v>
      </c>
      <c r="K142" s="43">
        <f t="shared" si="1266"/>
        <v>1.0638664733333336</v>
      </c>
      <c r="L142" s="43">
        <f t="shared" si="1266"/>
        <v>1.020582826666667</v>
      </c>
      <c r="M142" s="43">
        <f t="shared" si="1266"/>
        <v>0.97729918000000038</v>
      </c>
      <c r="N142" s="43">
        <f t="shared" si="1266"/>
        <v>0.93401553333333376</v>
      </c>
      <c r="O142" s="43">
        <f t="shared" si="1266"/>
        <v>0.89073188666666714</v>
      </c>
      <c r="P142" s="43">
        <f t="shared" si="1266"/>
        <v>0.84744824000000052</v>
      </c>
      <c r="Q142" s="43">
        <f t="shared" si="1266"/>
        <v>0.8041645933333339</v>
      </c>
      <c r="R142" s="43">
        <f t="shared" si="1266"/>
        <v>0.76088094666666728</v>
      </c>
      <c r="S142" s="43">
        <f t="shared" si="1266"/>
        <v>0.71759730000000066</v>
      </c>
      <c r="T142" s="43">
        <f t="shared" si="1266"/>
        <v>0.67431365333333404</v>
      </c>
      <c r="U142" s="43">
        <f t="shared" si="1266"/>
        <v>0.63103000666666742</v>
      </c>
      <c r="V142" s="43">
        <f t="shared" si="1266"/>
        <v>0.5877463600000008</v>
      </c>
      <c r="W142" s="43">
        <f t="shared" si="1266"/>
        <v>0.54446271333333418</v>
      </c>
      <c r="X142" s="43">
        <f t="shared" si="1266"/>
        <v>0.50117906666666756</v>
      </c>
      <c r="Y142" s="43">
        <f t="shared" si="1266"/>
        <v>0.45789542000000089</v>
      </c>
      <c r="Z142" s="43">
        <f t="shared" si="1266"/>
        <v>0.41461177333333421</v>
      </c>
      <c r="AA142" s="43">
        <f t="shared" si="1266"/>
        <v>0.37132812666666754</v>
      </c>
      <c r="AB142" s="43">
        <f t="shared" si="1266"/>
        <v>0.32804448000000086</v>
      </c>
      <c r="AC142" s="43">
        <f t="shared" si="1266"/>
        <v>0.28476083333333418</v>
      </c>
      <c r="AD142" s="43">
        <f t="shared" si="1266"/>
        <v>0.24147718666666751</v>
      </c>
      <c r="AE142" s="43">
        <f t="shared" si="1266"/>
        <v>0.19819354000000083</v>
      </c>
      <c r="AF142" s="43">
        <f t="shared" si="1266"/>
        <v>0.15490989333333416</v>
      </c>
      <c r="AG142" s="43">
        <f t="shared" si="1266"/>
        <v>0.1116262466666675</v>
      </c>
      <c r="AH142" s="43">
        <f>$BZ$191</f>
        <v>6.8342600000000059E-2</v>
      </c>
      <c r="AI142" s="44"/>
      <c r="AJ142" s="43">
        <f t="shared" si="1260"/>
        <v>1.366852</v>
      </c>
      <c r="AK142" s="43">
        <f t="shared" si="1198"/>
        <v>1.3235683533333333</v>
      </c>
      <c r="AL142" s="43">
        <f t="shared" si="1199"/>
        <v>1.2802847066666667</v>
      </c>
      <c r="AM142" s="43">
        <f t="shared" si="1200"/>
        <v>1.2370010600000001</v>
      </c>
      <c r="AN142" s="43">
        <f t="shared" si="1201"/>
        <v>1.1937174133333335</v>
      </c>
      <c r="AO142" s="43">
        <f t="shared" si="1202"/>
        <v>1.1504337666666669</v>
      </c>
      <c r="AP142" s="43">
        <f t="shared" si="1203"/>
        <v>1.1071501200000002</v>
      </c>
      <c r="AQ142" s="43">
        <f t="shared" si="1204"/>
        <v>1.0638664733333336</v>
      </c>
      <c r="AR142" s="43">
        <f t="shared" si="1205"/>
        <v>1.020582826666667</v>
      </c>
      <c r="AS142" s="43">
        <f t="shared" si="1206"/>
        <v>0.97729918000000038</v>
      </c>
      <c r="AT142" s="43">
        <f t="shared" si="1207"/>
        <v>0.93401553333333376</v>
      </c>
      <c r="AU142" s="43">
        <f t="shared" si="1208"/>
        <v>0.89073188666666714</v>
      </c>
      <c r="AV142" s="43">
        <f t="shared" si="1209"/>
        <v>0.84744824000000052</v>
      </c>
      <c r="AW142" s="43">
        <f t="shared" si="1210"/>
        <v>0.8041645933333339</v>
      </c>
      <c r="AX142" s="43">
        <f t="shared" si="1211"/>
        <v>0.76088094666666728</v>
      </c>
      <c r="AY142" s="43">
        <f t="shared" si="1212"/>
        <v>0.71759730000000066</v>
      </c>
      <c r="AZ142" s="43">
        <f t="shared" si="1213"/>
        <v>0.67431365333333404</v>
      </c>
      <c r="BA142" s="43">
        <f t="shared" si="1214"/>
        <v>0.63103000666666742</v>
      </c>
      <c r="BB142" s="43">
        <f t="shared" si="1215"/>
        <v>0.5877463600000008</v>
      </c>
      <c r="BC142" s="43">
        <f t="shared" si="1216"/>
        <v>0.54446271333333418</v>
      </c>
      <c r="BD142" s="43">
        <f t="shared" si="1217"/>
        <v>0.50117906666666756</v>
      </c>
      <c r="BE142" s="43">
        <f t="shared" si="1218"/>
        <v>0.45789542000000089</v>
      </c>
      <c r="BF142" s="43">
        <f t="shared" si="1219"/>
        <v>0.41461177333333421</v>
      </c>
      <c r="BG142" s="43">
        <f t="shared" si="1220"/>
        <v>0.37132812666666754</v>
      </c>
      <c r="BH142" s="43">
        <f t="shared" si="1221"/>
        <v>0.32804448000000086</v>
      </c>
      <c r="BI142" s="43">
        <f t="shared" si="1222"/>
        <v>0.28476083333333418</v>
      </c>
      <c r="BJ142" s="43">
        <f t="shared" si="1223"/>
        <v>0.24147718666666751</v>
      </c>
      <c r="BK142" s="43">
        <f t="shared" si="1224"/>
        <v>0.19819354000000083</v>
      </c>
      <c r="BL142" s="43">
        <f t="shared" si="1225"/>
        <v>0.15490989333333416</v>
      </c>
      <c r="BM142" s="43">
        <f t="shared" si="1226"/>
        <v>0.1116262466666675</v>
      </c>
      <c r="BN142" s="43">
        <f t="shared" si="1227"/>
        <v>6.8342600000000059E-2</v>
      </c>
      <c r="BP142" s="43">
        <f t="shared" si="1261"/>
        <v>1.366852</v>
      </c>
      <c r="BQ142" s="43">
        <f t="shared" ref="BQ142:CS142" si="1267">BP142-($BP142-$CT142)/30</f>
        <v>1.3235683533333333</v>
      </c>
      <c r="BR142" s="43">
        <f t="shared" si="1267"/>
        <v>1.2802847066666667</v>
      </c>
      <c r="BS142" s="43">
        <f t="shared" si="1267"/>
        <v>1.2370010600000001</v>
      </c>
      <c r="BT142" s="43">
        <f t="shared" si="1267"/>
        <v>1.1937174133333335</v>
      </c>
      <c r="BU142" s="43">
        <f t="shared" si="1267"/>
        <v>1.1504337666666669</v>
      </c>
      <c r="BV142" s="43">
        <f t="shared" si="1267"/>
        <v>1.1071501200000002</v>
      </c>
      <c r="BW142" s="43">
        <f t="shared" si="1267"/>
        <v>1.0638664733333336</v>
      </c>
      <c r="BX142" s="43">
        <f t="shared" si="1267"/>
        <v>1.020582826666667</v>
      </c>
      <c r="BY142" s="43">
        <f t="shared" si="1267"/>
        <v>0.97729918000000038</v>
      </c>
      <c r="BZ142" s="43">
        <f t="shared" si="1267"/>
        <v>0.93401553333333376</v>
      </c>
      <c r="CA142" s="43">
        <f t="shared" si="1267"/>
        <v>0.89073188666666714</v>
      </c>
      <c r="CB142" s="43">
        <f t="shared" si="1267"/>
        <v>0.84744824000000052</v>
      </c>
      <c r="CC142" s="43">
        <f t="shared" si="1267"/>
        <v>0.8041645933333339</v>
      </c>
      <c r="CD142" s="43">
        <f t="shared" si="1267"/>
        <v>0.76088094666666728</v>
      </c>
      <c r="CE142" s="43">
        <f t="shared" si="1267"/>
        <v>0.71759730000000066</v>
      </c>
      <c r="CF142" s="43">
        <f t="shared" si="1267"/>
        <v>0.67431365333333404</v>
      </c>
      <c r="CG142" s="43">
        <f t="shared" si="1267"/>
        <v>0.63103000666666742</v>
      </c>
      <c r="CH142" s="43">
        <f t="shared" si="1267"/>
        <v>0.5877463600000008</v>
      </c>
      <c r="CI142" s="43">
        <f t="shared" si="1267"/>
        <v>0.54446271333333418</v>
      </c>
      <c r="CJ142" s="43">
        <f t="shared" si="1267"/>
        <v>0.50117906666666756</v>
      </c>
      <c r="CK142" s="43">
        <f t="shared" si="1267"/>
        <v>0.45789542000000089</v>
      </c>
      <c r="CL142" s="43">
        <f t="shared" si="1267"/>
        <v>0.41461177333333421</v>
      </c>
      <c r="CM142" s="43">
        <f t="shared" si="1267"/>
        <v>0.37132812666666754</v>
      </c>
      <c r="CN142" s="43">
        <f t="shared" si="1267"/>
        <v>0.32804448000000086</v>
      </c>
      <c r="CO142" s="43">
        <f t="shared" si="1267"/>
        <v>0.28476083333333418</v>
      </c>
      <c r="CP142" s="43">
        <f t="shared" si="1267"/>
        <v>0.24147718666666751</v>
      </c>
      <c r="CQ142" s="43">
        <f t="shared" si="1267"/>
        <v>0.19819354000000083</v>
      </c>
      <c r="CR142" s="43">
        <f t="shared" si="1267"/>
        <v>0.15490989333333416</v>
      </c>
      <c r="CS142" s="43">
        <f t="shared" si="1267"/>
        <v>0.1116262466666675</v>
      </c>
      <c r="CT142" s="43">
        <f>BN142</f>
        <v>6.8342600000000059E-2</v>
      </c>
      <c r="CV142" s="43">
        <f>AJ142</f>
        <v>1.366852</v>
      </c>
      <c r="CW142" s="43">
        <f t="shared" si="1229"/>
        <v>1.3235683533333333</v>
      </c>
      <c r="CX142" s="43">
        <f t="shared" si="1230"/>
        <v>1.2802847066666667</v>
      </c>
      <c r="CY142" s="43">
        <f t="shared" si="1231"/>
        <v>1.2370010600000001</v>
      </c>
      <c r="CZ142" s="43">
        <f t="shared" si="1232"/>
        <v>1.1937174133333335</v>
      </c>
      <c r="DA142" s="43">
        <f t="shared" si="1233"/>
        <v>1.1504337666666669</v>
      </c>
      <c r="DB142" s="43">
        <f t="shared" si="1234"/>
        <v>1.1071501200000002</v>
      </c>
      <c r="DC142" s="43">
        <f t="shared" si="1235"/>
        <v>1.0638664733333336</v>
      </c>
      <c r="DD142" s="43">
        <f t="shared" si="1236"/>
        <v>1.020582826666667</v>
      </c>
      <c r="DE142" s="43">
        <f t="shared" si="1237"/>
        <v>0.97729918000000038</v>
      </c>
      <c r="DF142" s="43">
        <f t="shared" si="1238"/>
        <v>0.93401553333333376</v>
      </c>
      <c r="DG142" s="43">
        <f t="shared" si="1239"/>
        <v>0.89073188666666714</v>
      </c>
      <c r="DH142" s="43">
        <f t="shared" si="1240"/>
        <v>0.84744824000000052</v>
      </c>
      <c r="DI142" s="43">
        <f t="shared" si="1241"/>
        <v>0.8041645933333339</v>
      </c>
      <c r="DJ142" s="43">
        <f t="shared" si="1242"/>
        <v>0.76088094666666728</v>
      </c>
      <c r="DK142" s="43">
        <f t="shared" si="1243"/>
        <v>0.71759730000000066</v>
      </c>
      <c r="DL142" s="43">
        <f t="shared" si="1244"/>
        <v>0.67431365333333404</v>
      </c>
      <c r="DM142" s="43">
        <f t="shared" si="1245"/>
        <v>0.63103000666666742</v>
      </c>
      <c r="DN142" s="43">
        <f t="shared" si="1246"/>
        <v>0.5877463600000008</v>
      </c>
      <c r="DO142" s="43">
        <f t="shared" si="1247"/>
        <v>0.54446271333333418</v>
      </c>
      <c r="DP142" s="43">
        <f t="shared" si="1248"/>
        <v>0.50117906666666756</v>
      </c>
      <c r="DQ142" s="43">
        <f t="shared" si="1249"/>
        <v>0.45789542000000089</v>
      </c>
      <c r="DR142" s="43">
        <f t="shared" si="1250"/>
        <v>0.41461177333333421</v>
      </c>
      <c r="DS142" s="43">
        <f t="shared" si="1251"/>
        <v>0.37132812666666754</v>
      </c>
      <c r="DT142" s="43">
        <f t="shared" si="1252"/>
        <v>0.32804448000000086</v>
      </c>
      <c r="DU142" s="43">
        <f t="shared" si="1253"/>
        <v>0.28476083333333418</v>
      </c>
      <c r="DV142" s="43">
        <f t="shared" si="1254"/>
        <v>0.24147718666666751</v>
      </c>
      <c r="DW142" s="43">
        <f t="shared" si="1255"/>
        <v>0.19819354000000083</v>
      </c>
      <c r="DX142" s="43">
        <f t="shared" si="1256"/>
        <v>0.15490989333333416</v>
      </c>
      <c r="DY142" s="43">
        <f t="shared" si="1257"/>
        <v>0.1116262466666675</v>
      </c>
      <c r="DZ142" s="43">
        <f t="shared" si="1258"/>
        <v>6.8342600000000059E-2</v>
      </c>
    </row>
    <row r="143" spans="1:165">
      <c r="A143" s="606" t="s">
        <v>33</v>
      </c>
      <c r="C143" s="54" t="s">
        <v>458</v>
      </c>
      <c r="D143" s="43">
        <f>$B$190</f>
        <v>5.0000000000000001E-3</v>
      </c>
      <c r="E143" s="43">
        <f t="shared" ref="E143:AG143" si="1268">D143-($D143-$AH143)/30</f>
        <v>4.8333333333333336E-3</v>
      </c>
      <c r="F143" s="43">
        <f t="shared" si="1268"/>
        <v>4.6666666666666671E-3</v>
      </c>
      <c r="G143" s="43">
        <f t="shared" si="1268"/>
        <v>4.5000000000000005E-3</v>
      </c>
      <c r="H143" s="43">
        <f t="shared" si="1268"/>
        <v>4.333333333333334E-3</v>
      </c>
      <c r="I143" s="43">
        <f t="shared" si="1268"/>
        <v>4.1666666666666675E-3</v>
      </c>
      <c r="J143" s="43">
        <f t="shared" si="1268"/>
        <v>4.000000000000001E-3</v>
      </c>
      <c r="K143" s="43">
        <f t="shared" si="1268"/>
        <v>3.8333333333333344E-3</v>
      </c>
      <c r="L143" s="43">
        <f t="shared" si="1268"/>
        <v>3.6666666666666679E-3</v>
      </c>
      <c r="M143" s="43">
        <f t="shared" si="1268"/>
        <v>3.5000000000000014E-3</v>
      </c>
      <c r="N143" s="43">
        <f t="shared" si="1268"/>
        <v>3.3333333333333348E-3</v>
      </c>
      <c r="O143" s="43">
        <f t="shared" si="1268"/>
        <v>3.1666666666666683E-3</v>
      </c>
      <c r="P143" s="43">
        <f t="shared" si="1268"/>
        <v>3.0000000000000018E-3</v>
      </c>
      <c r="Q143" s="43">
        <f t="shared" si="1268"/>
        <v>2.8333333333333353E-3</v>
      </c>
      <c r="R143" s="43">
        <f t="shared" si="1268"/>
        <v>2.6666666666666687E-3</v>
      </c>
      <c r="S143" s="43">
        <f t="shared" si="1268"/>
        <v>2.5000000000000022E-3</v>
      </c>
      <c r="T143" s="43">
        <f t="shared" si="1268"/>
        <v>2.3333333333333357E-3</v>
      </c>
      <c r="U143" s="43">
        <f t="shared" si="1268"/>
        <v>2.1666666666666692E-3</v>
      </c>
      <c r="V143" s="43">
        <f t="shared" si="1268"/>
        <v>2.0000000000000026E-3</v>
      </c>
      <c r="W143" s="43">
        <f t="shared" si="1268"/>
        <v>1.8333333333333359E-3</v>
      </c>
      <c r="X143" s="43">
        <f t="shared" si="1268"/>
        <v>1.6666666666666692E-3</v>
      </c>
      <c r="Y143" s="43">
        <f t="shared" si="1268"/>
        <v>1.5000000000000024E-3</v>
      </c>
      <c r="Z143" s="43">
        <f t="shared" si="1268"/>
        <v>1.3333333333333357E-3</v>
      </c>
      <c r="AA143" s="43">
        <f t="shared" si="1268"/>
        <v>1.1666666666666689E-3</v>
      </c>
      <c r="AB143" s="43">
        <f t="shared" si="1268"/>
        <v>1.0000000000000022E-3</v>
      </c>
      <c r="AC143" s="43">
        <f t="shared" si="1268"/>
        <v>8.3333333333333556E-4</v>
      </c>
      <c r="AD143" s="43">
        <f t="shared" si="1268"/>
        <v>6.6666666666666892E-4</v>
      </c>
      <c r="AE143" s="43">
        <f t="shared" si="1268"/>
        <v>5.0000000000000229E-4</v>
      </c>
      <c r="AF143" s="43">
        <f t="shared" si="1268"/>
        <v>3.3333333333333565E-4</v>
      </c>
      <c r="AG143" s="43">
        <f t="shared" si="1268"/>
        <v>1.6666666666666899E-4</v>
      </c>
      <c r="AH143" s="43">
        <f>$C$190</f>
        <v>0</v>
      </c>
      <c r="AI143" s="44"/>
      <c r="AJ143" s="43">
        <f t="shared" si="1260"/>
        <v>5.0000000000000001E-3</v>
      </c>
      <c r="AK143" s="43">
        <f t="shared" si="1198"/>
        <v>4.8333333333333336E-3</v>
      </c>
      <c r="AL143" s="43">
        <f t="shared" si="1199"/>
        <v>4.6666666666666671E-3</v>
      </c>
      <c r="AM143" s="43">
        <f t="shared" si="1200"/>
        <v>4.5000000000000005E-3</v>
      </c>
      <c r="AN143" s="43">
        <f t="shared" si="1201"/>
        <v>4.333333333333334E-3</v>
      </c>
      <c r="AO143" s="43">
        <f t="shared" si="1202"/>
        <v>4.1666666666666675E-3</v>
      </c>
      <c r="AP143" s="43">
        <f t="shared" si="1203"/>
        <v>4.000000000000001E-3</v>
      </c>
      <c r="AQ143" s="43">
        <f t="shared" si="1204"/>
        <v>3.8333333333333344E-3</v>
      </c>
      <c r="AR143" s="43">
        <f t="shared" si="1205"/>
        <v>3.6666666666666679E-3</v>
      </c>
      <c r="AS143" s="43">
        <f t="shared" si="1206"/>
        <v>3.5000000000000014E-3</v>
      </c>
      <c r="AT143" s="43">
        <f t="shared" si="1207"/>
        <v>3.3333333333333348E-3</v>
      </c>
      <c r="AU143" s="43">
        <f t="shared" si="1208"/>
        <v>3.1666666666666683E-3</v>
      </c>
      <c r="AV143" s="43">
        <f t="shared" si="1209"/>
        <v>3.0000000000000018E-3</v>
      </c>
      <c r="AW143" s="43">
        <f t="shared" si="1210"/>
        <v>2.8333333333333353E-3</v>
      </c>
      <c r="AX143" s="43">
        <f t="shared" si="1211"/>
        <v>2.6666666666666687E-3</v>
      </c>
      <c r="AY143" s="43">
        <f t="shared" si="1212"/>
        <v>2.5000000000000022E-3</v>
      </c>
      <c r="AZ143" s="43">
        <f t="shared" si="1213"/>
        <v>2.3333333333333357E-3</v>
      </c>
      <c r="BA143" s="43">
        <f t="shared" si="1214"/>
        <v>2.1666666666666692E-3</v>
      </c>
      <c r="BB143" s="43">
        <f t="shared" si="1215"/>
        <v>2.0000000000000026E-3</v>
      </c>
      <c r="BC143" s="43">
        <f t="shared" si="1216"/>
        <v>1.8333333333333359E-3</v>
      </c>
      <c r="BD143" s="43">
        <f t="shared" si="1217"/>
        <v>1.6666666666666692E-3</v>
      </c>
      <c r="BE143" s="43">
        <f t="shared" si="1218"/>
        <v>1.5000000000000024E-3</v>
      </c>
      <c r="BF143" s="43">
        <f t="shared" si="1219"/>
        <v>1.3333333333333357E-3</v>
      </c>
      <c r="BG143" s="43">
        <f t="shared" si="1220"/>
        <v>1.1666666666666689E-3</v>
      </c>
      <c r="BH143" s="43">
        <f t="shared" si="1221"/>
        <v>1.0000000000000022E-3</v>
      </c>
      <c r="BI143" s="43">
        <f t="shared" si="1222"/>
        <v>8.3333333333333556E-4</v>
      </c>
      <c r="BJ143" s="43">
        <f t="shared" si="1223"/>
        <v>6.6666666666666892E-4</v>
      </c>
      <c r="BK143" s="43">
        <f t="shared" si="1224"/>
        <v>5.0000000000000229E-4</v>
      </c>
      <c r="BL143" s="43">
        <f t="shared" si="1225"/>
        <v>3.3333333333333565E-4</v>
      </c>
      <c r="BM143" s="43">
        <f t="shared" si="1226"/>
        <v>1.6666666666666899E-4</v>
      </c>
      <c r="BN143" s="43">
        <f t="shared" si="1227"/>
        <v>0</v>
      </c>
      <c r="BP143" s="43">
        <f t="shared" si="1261"/>
        <v>5.0000000000000001E-3</v>
      </c>
      <c r="BQ143" s="43">
        <f t="shared" ref="BQ143:CS143" si="1269">BP143-($BP143-$CT143)/30</f>
        <v>5.0000000000000001E-3</v>
      </c>
      <c r="BR143" s="43">
        <f t="shared" si="1269"/>
        <v>5.0000000000000001E-3</v>
      </c>
      <c r="BS143" s="43">
        <f t="shared" si="1269"/>
        <v>5.0000000000000001E-3</v>
      </c>
      <c r="BT143" s="43">
        <f t="shared" si="1269"/>
        <v>5.0000000000000001E-3</v>
      </c>
      <c r="BU143" s="43">
        <f t="shared" si="1269"/>
        <v>5.0000000000000001E-3</v>
      </c>
      <c r="BV143" s="43">
        <f t="shared" si="1269"/>
        <v>5.0000000000000001E-3</v>
      </c>
      <c r="BW143" s="43">
        <f t="shared" si="1269"/>
        <v>5.0000000000000001E-3</v>
      </c>
      <c r="BX143" s="43">
        <f t="shared" si="1269"/>
        <v>5.0000000000000001E-3</v>
      </c>
      <c r="BY143" s="43">
        <f t="shared" si="1269"/>
        <v>5.0000000000000001E-3</v>
      </c>
      <c r="BZ143" s="43">
        <f t="shared" si="1269"/>
        <v>5.0000000000000001E-3</v>
      </c>
      <c r="CA143" s="43">
        <f t="shared" si="1269"/>
        <v>5.0000000000000001E-3</v>
      </c>
      <c r="CB143" s="43">
        <f t="shared" si="1269"/>
        <v>5.0000000000000001E-3</v>
      </c>
      <c r="CC143" s="43">
        <f t="shared" si="1269"/>
        <v>5.0000000000000001E-3</v>
      </c>
      <c r="CD143" s="43">
        <f t="shared" si="1269"/>
        <v>5.0000000000000001E-3</v>
      </c>
      <c r="CE143" s="43">
        <f t="shared" si="1269"/>
        <v>5.0000000000000001E-3</v>
      </c>
      <c r="CF143" s="43">
        <f t="shared" si="1269"/>
        <v>5.0000000000000001E-3</v>
      </c>
      <c r="CG143" s="43">
        <f t="shared" si="1269"/>
        <v>5.0000000000000001E-3</v>
      </c>
      <c r="CH143" s="43">
        <f t="shared" si="1269"/>
        <v>5.0000000000000001E-3</v>
      </c>
      <c r="CI143" s="43">
        <f t="shared" si="1269"/>
        <v>5.0000000000000001E-3</v>
      </c>
      <c r="CJ143" s="43">
        <f t="shared" si="1269"/>
        <v>5.0000000000000001E-3</v>
      </c>
      <c r="CK143" s="43">
        <f t="shared" si="1269"/>
        <v>5.0000000000000001E-3</v>
      </c>
      <c r="CL143" s="43">
        <f t="shared" si="1269"/>
        <v>5.0000000000000001E-3</v>
      </c>
      <c r="CM143" s="43">
        <f t="shared" si="1269"/>
        <v>5.0000000000000001E-3</v>
      </c>
      <c r="CN143" s="43">
        <f t="shared" si="1269"/>
        <v>5.0000000000000001E-3</v>
      </c>
      <c r="CO143" s="43">
        <f t="shared" si="1269"/>
        <v>5.0000000000000001E-3</v>
      </c>
      <c r="CP143" s="43">
        <f t="shared" si="1269"/>
        <v>5.0000000000000001E-3</v>
      </c>
      <c r="CQ143" s="43">
        <f t="shared" si="1269"/>
        <v>5.0000000000000001E-3</v>
      </c>
      <c r="CR143" s="43">
        <f t="shared" si="1269"/>
        <v>5.0000000000000001E-3</v>
      </c>
      <c r="CS143" s="43">
        <f t="shared" si="1269"/>
        <v>5.0000000000000001E-3</v>
      </c>
      <c r="CT143" s="43">
        <f t="shared" ref="CT143:CT147" si="1270">BP143</f>
        <v>5.0000000000000001E-3</v>
      </c>
      <c r="CV143" s="43">
        <f>AJ143</f>
        <v>5.0000000000000001E-3</v>
      </c>
      <c r="CW143" s="43">
        <f t="shared" si="1229"/>
        <v>4.8333333333333336E-3</v>
      </c>
      <c r="CX143" s="43">
        <f t="shared" si="1230"/>
        <v>4.6666666666666671E-3</v>
      </c>
      <c r="CY143" s="43">
        <f t="shared" si="1231"/>
        <v>4.5000000000000005E-3</v>
      </c>
      <c r="CZ143" s="43">
        <f t="shared" si="1232"/>
        <v>4.333333333333334E-3</v>
      </c>
      <c r="DA143" s="43">
        <f t="shared" si="1233"/>
        <v>4.1666666666666675E-3</v>
      </c>
      <c r="DB143" s="43">
        <f t="shared" si="1234"/>
        <v>4.000000000000001E-3</v>
      </c>
      <c r="DC143" s="43">
        <f t="shared" si="1235"/>
        <v>3.8333333333333344E-3</v>
      </c>
      <c r="DD143" s="43">
        <f t="shared" si="1236"/>
        <v>3.6666666666666679E-3</v>
      </c>
      <c r="DE143" s="43">
        <f t="shared" si="1237"/>
        <v>3.5000000000000014E-3</v>
      </c>
      <c r="DF143" s="43">
        <f t="shared" si="1238"/>
        <v>3.3333333333333348E-3</v>
      </c>
      <c r="DG143" s="43">
        <f t="shared" si="1239"/>
        <v>3.1666666666666683E-3</v>
      </c>
      <c r="DH143" s="43">
        <f t="shared" si="1240"/>
        <v>3.0000000000000018E-3</v>
      </c>
      <c r="DI143" s="43">
        <f t="shared" si="1241"/>
        <v>2.8333333333333353E-3</v>
      </c>
      <c r="DJ143" s="43">
        <f t="shared" si="1242"/>
        <v>2.6666666666666687E-3</v>
      </c>
      <c r="DK143" s="43">
        <f t="shared" si="1243"/>
        <v>2.5000000000000022E-3</v>
      </c>
      <c r="DL143" s="43">
        <f t="shared" si="1244"/>
        <v>2.3333333333333357E-3</v>
      </c>
      <c r="DM143" s="43">
        <f t="shared" si="1245"/>
        <v>2.1666666666666692E-3</v>
      </c>
      <c r="DN143" s="43">
        <f t="shared" si="1246"/>
        <v>2.0000000000000026E-3</v>
      </c>
      <c r="DO143" s="43">
        <f t="shared" si="1247"/>
        <v>1.8333333333333359E-3</v>
      </c>
      <c r="DP143" s="43">
        <f t="shared" si="1248"/>
        <v>1.6666666666666692E-3</v>
      </c>
      <c r="DQ143" s="43">
        <f t="shared" si="1249"/>
        <v>1.5000000000000024E-3</v>
      </c>
      <c r="DR143" s="43">
        <f t="shared" si="1250"/>
        <v>1.3333333333333357E-3</v>
      </c>
      <c r="DS143" s="43">
        <f t="shared" si="1251"/>
        <v>1.1666666666666689E-3</v>
      </c>
      <c r="DT143" s="43">
        <f t="shared" si="1252"/>
        <v>1.0000000000000022E-3</v>
      </c>
      <c r="DU143" s="43">
        <f t="shared" si="1253"/>
        <v>8.3333333333333556E-4</v>
      </c>
      <c r="DV143" s="43">
        <f t="shared" si="1254"/>
        <v>6.6666666666666892E-4</v>
      </c>
      <c r="DW143" s="43">
        <f t="shared" si="1255"/>
        <v>5.0000000000000229E-4</v>
      </c>
      <c r="DX143" s="43">
        <f t="shared" si="1256"/>
        <v>3.3333333333333565E-4</v>
      </c>
      <c r="DY143" s="43">
        <f t="shared" si="1257"/>
        <v>1.6666666666666899E-4</v>
      </c>
      <c r="DZ143" s="43">
        <f t="shared" si="1258"/>
        <v>0</v>
      </c>
    </row>
    <row r="144" spans="1:165">
      <c r="A144" s="606" t="s">
        <v>451</v>
      </c>
      <c r="C144" s="54" t="s">
        <v>458</v>
      </c>
      <c r="D144" s="43">
        <f>$B$191</f>
        <v>0</v>
      </c>
      <c r="E144" s="43">
        <f t="shared" ref="E144:AG144" si="1271">D144-($D144-$AH144)/30</f>
        <v>0</v>
      </c>
      <c r="F144" s="43">
        <f t="shared" si="1271"/>
        <v>0</v>
      </c>
      <c r="G144" s="43">
        <f t="shared" si="1271"/>
        <v>0</v>
      </c>
      <c r="H144" s="43">
        <f t="shared" si="1271"/>
        <v>0</v>
      </c>
      <c r="I144" s="43">
        <f t="shared" si="1271"/>
        <v>0</v>
      </c>
      <c r="J144" s="43">
        <f t="shared" si="1271"/>
        <v>0</v>
      </c>
      <c r="K144" s="43">
        <f t="shared" si="1271"/>
        <v>0</v>
      </c>
      <c r="L144" s="43">
        <f t="shared" si="1271"/>
        <v>0</v>
      </c>
      <c r="M144" s="43">
        <f t="shared" si="1271"/>
        <v>0</v>
      </c>
      <c r="N144" s="43">
        <f t="shared" si="1271"/>
        <v>0</v>
      </c>
      <c r="O144" s="43">
        <f t="shared" si="1271"/>
        <v>0</v>
      </c>
      <c r="P144" s="43">
        <f t="shared" si="1271"/>
        <v>0</v>
      </c>
      <c r="Q144" s="43">
        <f t="shared" si="1271"/>
        <v>0</v>
      </c>
      <c r="R144" s="43">
        <f t="shared" si="1271"/>
        <v>0</v>
      </c>
      <c r="S144" s="43">
        <f t="shared" si="1271"/>
        <v>0</v>
      </c>
      <c r="T144" s="43">
        <f t="shared" si="1271"/>
        <v>0</v>
      </c>
      <c r="U144" s="43">
        <f t="shared" si="1271"/>
        <v>0</v>
      </c>
      <c r="V144" s="43">
        <f t="shared" si="1271"/>
        <v>0</v>
      </c>
      <c r="W144" s="43">
        <f t="shared" si="1271"/>
        <v>0</v>
      </c>
      <c r="X144" s="43">
        <f t="shared" si="1271"/>
        <v>0</v>
      </c>
      <c r="Y144" s="43">
        <f t="shared" si="1271"/>
        <v>0</v>
      </c>
      <c r="Z144" s="43">
        <f t="shared" si="1271"/>
        <v>0</v>
      </c>
      <c r="AA144" s="43">
        <f t="shared" si="1271"/>
        <v>0</v>
      </c>
      <c r="AB144" s="43">
        <f t="shared" si="1271"/>
        <v>0</v>
      </c>
      <c r="AC144" s="43">
        <f t="shared" si="1271"/>
        <v>0</v>
      </c>
      <c r="AD144" s="43">
        <f t="shared" si="1271"/>
        <v>0</v>
      </c>
      <c r="AE144" s="43">
        <f t="shared" si="1271"/>
        <v>0</v>
      </c>
      <c r="AF144" s="43">
        <f t="shared" si="1271"/>
        <v>0</v>
      </c>
      <c r="AG144" s="43">
        <f t="shared" si="1271"/>
        <v>0</v>
      </c>
      <c r="AH144" s="43">
        <f>$C$191</f>
        <v>0</v>
      </c>
      <c r="AI144" s="44"/>
      <c r="AJ144" s="43">
        <f t="shared" si="1260"/>
        <v>0</v>
      </c>
      <c r="AK144" s="43">
        <f t="shared" si="1198"/>
        <v>0</v>
      </c>
      <c r="AL144" s="43">
        <f t="shared" si="1199"/>
        <v>0</v>
      </c>
      <c r="AM144" s="43">
        <f t="shared" si="1200"/>
        <v>0</v>
      </c>
      <c r="AN144" s="43">
        <f t="shared" si="1201"/>
        <v>0</v>
      </c>
      <c r="AO144" s="43">
        <f t="shared" si="1202"/>
        <v>0</v>
      </c>
      <c r="AP144" s="43">
        <f t="shared" si="1203"/>
        <v>0</v>
      </c>
      <c r="AQ144" s="43">
        <f t="shared" si="1204"/>
        <v>0</v>
      </c>
      <c r="AR144" s="43">
        <f t="shared" si="1205"/>
        <v>0</v>
      </c>
      <c r="AS144" s="43">
        <f t="shared" si="1206"/>
        <v>0</v>
      </c>
      <c r="AT144" s="43">
        <f t="shared" si="1207"/>
        <v>0</v>
      </c>
      <c r="AU144" s="43">
        <f t="shared" si="1208"/>
        <v>0</v>
      </c>
      <c r="AV144" s="43">
        <f t="shared" si="1209"/>
        <v>0</v>
      </c>
      <c r="AW144" s="43">
        <f t="shared" si="1210"/>
        <v>0</v>
      </c>
      <c r="AX144" s="43">
        <f t="shared" si="1211"/>
        <v>0</v>
      </c>
      <c r="AY144" s="43">
        <f t="shared" si="1212"/>
        <v>0</v>
      </c>
      <c r="AZ144" s="43">
        <f t="shared" si="1213"/>
        <v>0</v>
      </c>
      <c r="BA144" s="43">
        <f t="shared" si="1214"/>
        <v>0</v>
      </c>
      <c r="BB144" s="43">
        <f t="shared" si="1215"/>
        <v>0</v>
      </c>
      <c r="BC144" s="43">
        <f t="shared" si="1216"/>
        <v>0</v>
      </c>
      <c r="BD144" s="43">
        <f t="shared" si="1217"/>
        <v>0</v>
      </c>
      <c r="BE144" s="43">
        <f t="shared" si="1218"/>
        <v>0</v>
      </c>
      <c r="BF144" s="43">
        <f t="shared" si="1219"/>
        <v>0</v>
      </c>
      <c r="BG144" s="43">
        <f t="shared" si="1220"/>
        <v>0</v>
      </c>
      <c r="BH144" s="43">
        <f t="shared" si="1221"/>
        <v>0</v>
      </c>
      <c r="BI144" s="43">
        <f t="shared" si="1222"/>
        <v>0</v>
      </c>
      <c r="BJ144" s="43">
        <f t="shared" si="1223"/>
        <v>0</v>
      </c>
      <c r="BK144" s="43">
        <f t="shared" si="1224"/>
        <v>0</v>
      </c>
      <c r="BL144" s="43">
        <f t="shared" si="1225"/>
        <v>0</v>
      </c>
      <c r="BM144" s="43">
        <f t="shared" si="1226"/>
        <v>0</v>
      </c>
      <c r="BN144" s="43">
        <f t="shared" si="1227"/>
        <v>0</v>
      </c>
      <c r="BP144" s="43">
        <f t="shared" si="1261"/>
        <v>0</v>
      </c>
      <c r="BQ144" s="43">
        <f t="shared" ref="BQ144:CS144" si="1272">BP144-($BP144-$CT144)/30</f>
        <v>0</v>
      </c>
      <c r="BR144" s="43">
        <f t="shared" si="1272"/>
        <v>0</v>
      </c>
      <c r="BS144" s="43">
        <f t="shared" si="1272"/>
        <v>0</v>
      </c>
      <c r="BT144" s="43">
        <f t="shared" si="1272"/>
        <v>0</v>
      </c>
      <c r="BU144" s="43">
        <f t="shared" si="1272"/>
        <v>0</v>
      </c>
      <c r="BV144" s="43">
        <f t="shared" si="1272"/>
        <v>0</v>
      </c>
      <c r="BW144" s="43">
        <f t="shared" si="1272"/>
        <v>0</v>
      </c>
      <c r="BX144" s="43">
        <f t="shared" si="1272"/>
        <v>0</v>
      </c>
      <c r="BY144" s="43">
        <f t="shared" si="1272"/>
        <v>0</v>
      </c>
      <c r="BZ144" s="43">
        <f t="shared" si="1272"/>
        <v>0</v>
      </c>
      <c r="CA144" s="43">
        <f t="shared" si="1272"/>
        <v>0</v>
      </c>
      <c r="CB144" s="43">
        <f t="shared" si="1272"/>
        <v>0</v>
      </c>
      <c r="CC144" s="43">
        <f t="shared" si="1272"/>
        <v>0</v>
      </c>
      <c r="CD144" s="43">
        <f t="shared" si="1272"/>
        <v>0</v>
      </c>
      <c r="CE144" s="43">
        <f t="shared" si="1272"/>
        <v>0</v>
      </c>
      <c r="CF144" s="43">
        <f t="shared" si="1272"/>
        <v>0</v>
      </c>
      <c r="CG144" s="43">
        <f t="shared" si="1272"/>
        <v>0</v>
      </c>
      <c r="CH144" s="43">
        <f t="shared" si="1272"/>
        <v>0</v>
      </c>
      <c r="CI144" s="43">
        <f t="shared" si="1272"/>
        <v>0</v>
      </c>
      <c r="CJ144" s="43">
        <f t="shared" si="1272"/>
        <v>0</v>
      </c>
      <c r="CK144" s="43">
        <f t="shared" si="1272"/>
        <v>0</v>
      </c>
      <c r="CL144" s="43">
        <f t="shared" si="1272"/>
        <v>0</v>
      </c>
      <c r="CM144" s="43">
        <f t="shared" si="1272"/>
        <v>0</v>
      </c>
      <c r="CN144" s="43">
        <f t="shared" si="1272"/>
        <v>0</v>
      </c>
      <c r="CO144" s="43">
        <f t="shared" si="1272"/>
        <v>0</v>
      </c>
      <c r="CP144" s="43">
        <f t="shared" si="1272"/>
        <v>0</v>
      </c>
      <c r="CQ144" s="43">
        <f t="shared" si="1272"/>
        <v>0</v>
      </c>
      <c r="CR144" s="43">
        <f t="shared" si="1272"/>
        <v>0</v>
      </c>
      <c r="CS144" s="43">
        <f t="shared" si="1272"/>
        <v>0</v>
      </c>
      <c r="CT144" s="43">
        <f t="shared" si="1270"/>
        <v>0</v>
      </c>
      <c r="CV144" s="43">
        <f t="shared" ref="CV144:CV147" si="1273">AJ144</f>
        <v>0</v>
      </c>
      <c r="CW144" s="43">
        <f t="shared" ref="CW144:CW147" si="1274">CV144-($BP144-$CT144)/30</f>
        <v>0</v>
      </c>
      <c r="CX144" s="43">
        <f t="shared" ref="CX144:CX147" si="1275">CW144-($BP144-$CT144)/30</f>
        <v>0</v>
      </c>
      <c r="CY144" s="43">
        <f t="shared" ref="CY144:CY147" si="1276">CX144-($BP144-$CT144)/30</f>
        <v>0</v>
      </c>
      <c r="CZ144" s="43">
        <f t="shared" ref="CZ144:CZ147" si="1277">CY144-($BP144-$CT144)/30</f>
        <v>0</v>
      </c>
      <c r="DA144" s="43">
        <f t="shared" ref="DA144:DA147" si="1278">CZ144-($BP144-$CT144)/30</f>
        <v>0</v>
      </c>
      <c r="DB144" s="43">
        <f t="shared" ref="DB144:DB147" si="1279">DA144-($BP144-$CT144)/30</f>
        <v>0</v>
      </c>
      <c r="DC144" s="43">
        <f t="shared" ref="DC144:DC147" si="1280">DB144-($BP144-$CT144)/30</f>
        <v>0</v>
      </c>
      <c r="DD144" s="43">
        <f t="shared" ref="DD144:DD147" si="1281">DC144-($BP144-$CT144)/30</f>
        <v>0</v>
      </c>
      <c r="DE144" s="43">
        <f t="shared" ref="DE144:DE147" si="1282">DD144-($BP144-$CT144)/30</f>
        <v>0</v>
      </c>
      <c r="DF144" s="43">
        <f t="shared" ref="DF144:DF147" si="1283">DE144-($BP144-$CT144)/30</f>
        <v>0</v>
      </c>
      <c r="DG144" s="43">
        <f t="shared" ref="DG144:DG147" si="1284">DF144-($BP144-$CT144)/30</f>
        <v>0</v>
      </c>
      <c r="DH144" s="43">
        <f t="shared" ref="DH144:DH147" si="1285">DG144-($BP144-$CT144)/30</f>
        <v>0</v>
      </c>
      <c r="DI144" s="43">
        <f t="shared" ref="DI144:DI147" si="1286">DH144-($BP144-$CT144)/30</f>
        <v>0</v>
      </c>
      <c r="DJ144" s="43">
        <f t="shared" ref="DJ144:DJ147" si="1287">DI144-($BP144-$CT144)/30</f>
        <v>0</v>
      </c>
      <c r="DK144" s="43">
        <f t="shared" ref="DK144:DK147" si="1288">DJ144-($BP144-$CT144)/30</f>
        <v>0</v>
      </c>
      <c r="DL144" s="43">
        <f t="shared" ref="DL144:DL147" si="1289">DK144-($BP144-$CT144)/30</f>
        <v>0</v>
      </c>
      <c r="DM144" s="43">
        <f t="shared" ref="DM144:DM147" si="1290">DL144-($BP144-$CT144)/30</f>
        <v>0</v>
      </c>
      <c r="DN144" s="43">
        <f t="shared" ref="DN144:DN147" si="1291">DM144-($BP144-$CT144)/30</f>
        <v>0</v>
      </c>
      <c r="DO144" s="43">
        <f t="shared" ref="DO144:DO147" si="1292">DN144-($BP144-$CT144)/30</f>
        <v>0</v>
      </c>
      <c r="DP144" s="43">
        <f t="shared" ref="DP144:DP147" si="1293">DO144-($BP144-$CT144)/30</f>
        <v>0</v>
      </c>
      <c r="DQ144" s="43">
        <f t="shared" ref="DQ144:DQ147" si="1294">DP144-($BP144-$CT144)/30</f>
        <v>0</v>
      </c>
      <c r="DR144" s="43">
        <f t="shared" ref="DR144:DR147" si="1295">DQ144-($BP144-$CT144)/30</f>
        <v>0</v>
      </c>
      <c r="DS144" s="43">
        <f t="shared" ref="DS144:DS147" si="1296">DR144-($BP144-$CT144)/30</f>
        <v>0</v>
      </c>
      <c r="DT144" s="43">
        <f t="shared" ref="DT144:DT147" si="1297">DS144-($BP144-$CT144)/30</f>
        <v>0</v>
      </c>
      <c r="DU144" s="43">
        <f t="shared" ref="DU144:DU147" si="1298">DT144-($BP144-$CT144)/30</f>
        <v>0</v>
      </c>
      <c r="DV144" s="43">
        <f t="shared" ref="DV144:DV147" si="1299">DU144-($BP144-$CT144)/30</f>
        <v>0</v>
      </c>
      <c r="DW144" s="43">
        <f t="shared" ref="DW144:DW147" si="1300">DV144-($BP144-$CT144)/30</f>
        <v>0</v>
      </c>
      <c r="DX144" s="43">
        <f t="shared" ref="DX144:DX147" si="1301">DW144-($BP144-$CT144)/30</f>
        <v>0</v>
      </c>
      <c r="DY144" s="43">
        <f t="shared" ref="DY144:DY147" si="1302">DX144-($BP144-$CT144)/30</f>
        <v>0</v>
      </c>
      <c r="DZ144" s="43">
        <v>0</v>
      </c>
    </row>
    <row r="145" spans="1:165">
      <c r="A145" s="606" t="s">
        <v>452</v>
      </c>
      <c r="C145" s="54" t="s">
        <v>458</v>
      </c>
      <c r="D145" s="43">
        <f>$B$192</f>
        <v>2.8940000000000001</v>
      </c>
      <c r="E145" s="43">
        <f t="shared" ref="E145:AG145" si="1303">D145-($D145-$AH145)/30</f>
        <v>2.8940000000000001</v>
      </c>
      <c r="F145" s="43">
        <f t="shared" si="1303"/>
        <v>2.8940000000000001</v>
      </c>
      <c r="G145" s="43">
        <f t="shared" si="1303"/>
        <v>2.8940000000000001</v>
      </c>
      <c r="H145" s="43">
        <f t="shared" si="1303"/>
        <v>2.8940000000000001</v>
      </c>
      <c r="I145" s="43">
        <f t="shared" si="1303"/>
        <v>2.8940000000000001</v>
      </c>
      <c r="J145" s="43">
        <f t="shared" si="1303"/>
        <v>2.8940000000000001</v>
      </c>
      <c r="K145" s="43">
        <f t="shared" si="1303"/>
        <v>2.8940000000000001</v>
      </c>
      <c r="L145" s="43">
        <f t="shared" si="1303"/>
        <v>2.8940000000000001</v>
      </c>
      <c r="M145" s="43">
        <f t="shared" si="1303"/>
        <v>2.8940000000000001</v>
      </c>
      <c r="N145" s="43">
        <f t="shared" si="1303"/>
        <v>2.8940000000000001</v>
      </c>
      <c r="O145" s="43">
        <f t="shared" si="1303"/>
        <v>2.8940000000000001</v>
      </c>
      <c r="P145" s="43">
        <f t="shared" si="1303"/>
        <v>2.8940000000000001</v>
      </c>
      <c r="Q145" s="43">
        <f t="shared" si="1303"/>
        <v>2.8940000000000001</v>
      </c>
      <c r="R145" s="43">
        <f t="shared" si="1303"/>
        <v>2.8940000000000001</v>
      </c>
      <c r="S145" s="43">
        <f t="shared" si="1303"/>
        <v>2.8940000000000001</v>
      </c>
      <c r="T145" s="43">
        <f t="shared" si="1303"/>
        <v>2.8940000000000001</v>
      </c>
      <c r="U145" s="43">
        <f t="shared" si="1303"/>
        <v>2.8940000000000001</v>
      </c>
      <c r="V145" s="43">
        <f t="shared" si="1303"/>
        <v>2.8940000000000001</v>
      </c>
      <c r="W145" s="43">
        <f t="shared" si="1303"/>
        <v>2.8940000000000001</v>
      </c>
      <c r="X145" s="43">
        <f t="shared" si="1303"/>
        <v>2.8940000000000001</v>
      </c>
      <c r="Y145" s="43">
        <f t="shared" si="1303"/>
        <v>2.8940000000000001</v>
      </c>
      <c r="Z145" s="43">
        <f t="shared" si="1303"/>
        <v>2.8940000000000001</v>
      </c>
      <c r="AA145" s="43">
        <f t="shared" si="1303"/>
        <v>2.8940000000000001</v>
      </c>
      <c r="AB145" s="43">
        <f t="shared" si="1303"/>
        <v>2.8940000000000001</v>
      </c>
      <c r="AC145" s="43">
        <f t="shared" si="1303"/>
        <v>2.8940000000000001</v>
      </c>
      <c r="AD145" s="43">
        <f t="shared" si="1303"/>
        <v>2.8940000000000001</v>
      </c>
      <c r="AE145" s="43">
        <f t="shared" si="1303"/>
        <v>2.8940000000000001</v>
      </c>
      <c r="AF145" s="43">
        <f t="shared" si="1303"/>
        <v>2.8940000000000001</v>
      </c>
      <c r="AG145" s="43">
        <f t="shared" si="1303"/>
        <v>2.8940000000000001</v>
      </c>
      <c r="AH145" s="43">
        <f>$C$192</f>
        <v>2.8940000000000001</v>
      </c>
      <c r="AI145" s="44"/>
      <c r="AJ145" s="43">
        <f t="shared" si="1260"/>
        <v>2.8940000000000001</v>
      </c>
      <c r="AK145" s="43">
        <f t="shared" si="1198"/>
        <v>2.8940000000000001</v>
      </c>
      <c r="AL145" s="43">
        <f t="shared" si="1199"/>
        <v>2.8940000000000001</v>
      </c>
      <c r="AM145" s="43">
        <f t="shared" si="1200"/>
        <v>2.8940000000000001</v>
      </c>
      <c r="AN145" s="43">
        <f t="shared" si="1201"/>
        <v>2.8940000000000001</v>
      </c>
      <c r="AO145" s="43">
        <f t="shared" si="1202"/>
        <v>2.8940000000000001</v>
      </c>
      <c r="AP145" s="43">
        <f t="shared" si="1203"/>
        <v>2.8940000000000001</v>
      </c>
      <c r="AQ145" s="43">
        <f t="shared" si="1204"/>
        <v>2.8940000000000001</v>
      </c>
      <c r="AR145" s="43">
        <f t="shared" si="1205"/>
        <v>2.8940000000000001</v>
      </c>
      <c r="AS145" s="43">
        <f t="shared" si="1206"/>
        <v>2.8940000000000001</v>
      </c>
      <c r="AT145" s="43">
        <f t="shared" si="1207"/>
        <v>2.8940000000000001</v>
      </c>
      <c r="AU145" s="43">
        <f t="shared" si="1208"/>
        <v>2.8940000000000001</v>
      </c>
      <c r="AV145" s="43">
        <f t="shared" si="1209"/>
        <v>2.8940000000000001</v>
      </c>
      <c r="AW145" s="43">
        <f t="shared" si="1210"/>
        <v>2.8940000000000001</v>
      </c>
      <c r="AX145" s="43">
        <f t="shared" si="1211"/>
        <v>2.8940000000000001</v>
      </c>
      <c r="AY145" s="43">
        <f t="shared" si="1212"/>
        <v>2.8940000000000001</v>
      </c>
      <c r="AZ145" s="43">
        <f t="shared" si="1213"/>
        <v>2.8940000000000001</v>
      </c>
      <c r="BA145" s="43">
        <f t="shared" si="1214"/>
        <v>2.8940000000000001</v>
      </c>
      <c r="BB145" s="43">
        <f t="shared" si="1215"/>
        <v>2.8940000000000001</v>
      </c>
      <c r="BC145" s="43">
        <f t="shared" si="1216"/>
        <v>2.8940000000000001</v>
      </c>
      <c r="BD145" s="43">
        <f t="shared" si="1217"/>
        <v>2.8940000000000001</v>
      </c>
      <c r="BE145" s="43">
        <f t="shared" si="1218"/>
        <v>2.8940000000000001</v>
      </c>
      <c r="BF145" s="43">
        <f t="shared" si="1219"/>
        <v>2.8940000000000001</v>
      </c>
      <c r="BG145" s="43">
        <f t="shared" si="1220"/>
        <v>2.8940000000000001</v>
      </c>
      <c r="BH145" s="43">
        <f t="shared" si="1221"/>
        <v>2.8940000000000001</v>
      </c>
      <c r="BI145" s="43">
        <f t="shared" si="1222"/>
        <v>2.8940000000000001</v>
      </c>
      <c r="BJ145" s="43">
        <f t="shared" si="1223"/>
        <v>2.8940000000000001</v>
      </c>
      <c r="BK145" s="43">
        <f t="shared" si="1224"/>
        <v>2.8940000000000001</v>
      </c>
      <c r="BL145" s="43">
        <f t="shared" si="1225"/>
        <v>2.8940000000000001</v>
      </c>
      <c r="BM145" s="43">
        <f t="shared" si="1226"/>
        <v>2.8940000000000001</v>
      </c>
      <c r="BN145" s="43">
        <f t="shared" si="1227"/>
        <v>2.8940000000000001</v>
      </c>
      <c r="BP145" s="43">
        <f t="shared" si="1261"/>
        <v>2.8940000000000001</v>
      </c>
      <c r="BQ145" s="43">
        <f t="shared" ref="BQ145:CS145" si="1304">BP145-($BP145-$CT145)/30</f>
        <v>2.8940000000000001</v>
      </c>
      <c r="BR145" s="43">
        <f t="shared" si="1304"/>
        <v>2.8940000000000001</v>
      </c>
      <c r="BS145" s="43">
        <f t="shared" si="1304"/>
        <v>2.8940000000000001</v>
      </c>
      <c r="BT145" s="43">
        <f t="shared" si="1304"/>
        <v>2.8940000000000001</v>
      </c>
      <c r="BU145" s="43">
        <f t="shared" si="1304"/>
        <v>2.8940000000000001</v>
      </c>
      <c r="BV145" s="43">
        <f t="shared" si="1304"/>
        <v>2.8940000000000001</v>
      </c>
      <c r="BW145" s="43">
        <f t="shared" si="1304"/>
        <v>2.8940000000000001</v>
      </c>
      <c r="BX145" s="43">
        <f t="shared" si="1304"/>
        <v>2.8940000000000001</v>
      </c>
      <c r="BY145" s="43">
        <f t="shared" si="1304"/>
        <v>2.8940000000000001</v>
      </c>
      <c r="BZ145" s="43">
        <f t="shared" si="1304"/>
        <v>2.8940000000000001</v>
      </c>
      <c r="CA145" s="43">
        <f t="shared" si="1304"/>
        <v>2.8940000000000001</v>
      </c>
      <c r="CB145" s="43">
        <f t="shared" si="1304"/>
        <v>2.8940000000000001</v>
      </c>
      <c r="CC145" s="43">
        <f t="shared" si="1304"/>
        <v>2.8940000000000001</v>
      </c>
      <c r="CD145" s="43">
        <f t="shared" si="1304"/>
        <v>2.8940000000000001</v>
      </c>
      <c r="CE145" s="43">
        <f t="shared" si="1304"/>
        <v>2.8940000000000001</v>
      </c>
      <c r="CF145" s="43">
        <f t="shared" si="1304"/>
        <v>2.8940000000000001</v>
      </c>
      <c r="CG145" s="43">
        <f t="shared" si="1304"/>
        <v>2.8940000000000001</v>
      </c>
      <c r="CH145" s="43">
        <f t="shared" si="1304"/>
        <v>2.8940000000000001</v>
      </c>
      <c r="CI145" s="43">
        <f t="shared" si="1304"/>
        <v>2.8940000000000001</v>
      </c>
      <c r="CJ145" s="43">
        <f t="shared" si="1304"/>
        <v>2.8940000000000001</v>
      </c>
      <c r="CK145" s="43">
        <f t="shared" si="1304"/>
        <v>2.8940000000000001</v>
      </c>
      <c r="CL145" s="43">
        <f t="shared" si="1304"/>
        <v>2.8940000000000001</v>
      </c>
      <c r="CM145" s="43">
        <f t="shared" si="1304"/>
        <v>2.8940000000000001</v>
      </c>
      <c r="CN145" s="43">
        <f t="shared" si="1304"/>
        <v>2.8940000000000001</v>
      </c>
      <c r="CO145" s="43">
        <f t="shared" si="1304"/>
        <v>2.8940000000000001</v>
      </c>
      <c r="CP145" s="43">
        <f t="shared" si="1304"/>
        <v>2.8940000000000001</v>
      </c>
      <c r="CQ145" s="43">
        <f t="shared" si="1304"/>
        <v>2.8940000000000001</v>
      </c>
      <c r="CR145" s="43">
        <f t="shared" si="1304"/>
        <v>2.8940000000000001</v>
      </c>
      <c r="CS145" s="43">
        <f t="shared" si="1304"/>
        <v>2.8940000000000001</v>
      </c>
      <c r="CT145" s="43">
        <f t="shared" si="1270"/>
        <v>2.8940000000000001</v>
      </c>
      <c r="CV145" s="43">
        <f t="shared" si="1273"/>
        <v>2.8940000000000001</v>
      </c>
      <c r="CW145" s="43">
        <f t="shared" si="1274"/>
        <v>2.8940000000000001</v>
      </c>
      <c r="CX145" s="43">
        <f t="shared" si="1275"/>
        <v>2.8940000000000001</v>
      </c>
      <c r="CY145" s="43">
        <f t="shared" si="1276"/>
        <v>2.8940000000000001</v>
      </c>
      <c r="CZ145" s="43">
        <f t="shared" si="1277"/>
        <v>2.8940000000000001</v>
      </c>
      <c r="DA145" s="43">
        <f t="shared" si="1278"/>
        <v>2.8940000000000001</v>
      </c>
      <c r="DB145" s="43">
        <f t="shared" si="1279"/>
        <v>2.8940000000000001</v>
      </c>
      <c r="DC145" s="43">
        <f t="shared" si="1280"/>
        <v>2.8940000000000001</v>
      </c>
      <c r="DD145" s="43">
        <f t="shared" si="1281"/>
        <v>2.8940000000000001</v>
      </c>
      <c r="DE145" s="43">
        <f t="shared" si="1282"/>
        <v>2.8940000000000001</v>
      </c>
      <c r="DF145" s="43">
        <f t="shared" si="1283"/>
        <v>2.8940000000000001</v>
      </c>
      <c r="DG145" s="43">
        <f t="shared" si="1284"/>
        <v>2.8940000000000001</v>
      </c>
      <c r="DH145" s="43">
        <f t="shared" si="1285"/>
        <v>2.8940000000000001</v>
      </c>
      <c r="DI145" s="43">
        <f t="shared" si="1286"/>
        <v>2.8940000000000001</v>
      </c>
      <c r="DJ145" s="43">
        <f t="shared" si="1287"/>
        <v>2.8940000000000001</v>
      </c>
      <c r="DK145" s="43">
        <f t="shared" si="1288"/>
        <v>2.8940000000000001</v>
      </c>
      <c r="DL145" s="43">
        <f t="shared" si="1289"/>
        <v>2.8940000000000001</v>
      </c>
      <c r="DM145" s="43">
        <f t="shared" si="1290"/>
        <v>2.8940000000000001</v>
      </c>
      <c r="DN145" s="43">
        <f t="shared" si="1291"/>
        <v>2.8940000000000001</v>
      </c>
      <c r="DO145" s="43">
        <f t="shared" si="1292"/>
        <v>2.8940000000000001</v>
      </c>
      <c r="DP145" s="43">
        <f t="shared" si="1293"/>
        <v>2.8940000000000001</v>
      </c>
      <c r="DQ145" s="43">
        <f t="shared" si="1294"/>
        <v>2.8940000000000001</v>
      </c>
      <c r="DR145" s="43">
        <f t="shared" si="1295"/>
        <v>2.8940000000000001</v>
      </c>
      <c r="DS145" s="43">
        <f t="shared" si="1296"/>
        <v>2.8940000000000001</v>
      </c>
      <c r="DT145" s="43">
        <f t="shared" si="1297"/>
        <v>2.8940000000000001</v>
      </c>
      <c r="DU145" s="43">
        <f t="shared" si="1298"/>
        <v>2.8940000000000001</v>
      </c>
      <c r="DV145" s="43">
        <f t="shared" si="1299"/>
        <v>2.8940000000000001</v>
      </c>
      <c r="DW145" s="43">
        <f t="shared" si="1300"/>
        <v>2.8940000000000001</v>
      </c>
      <c r="DX145" s="43">
        <f t="shared" si="1301"/>
        <v>2.8940000000000001</v>
      </c>
      <c r="DY145" s="43">
        <f t="shared" si="1302"/>
        <v>2.8940000000000001</v>
      </c>
      <c r="DZ145" s="43">
        <f t="shared" ref="DZ145:DZ147" si="1305">CV145</f>
        <v>2.8940000000000001</v>
      </c>
    </row>
    <row r="146" spans="1:165">
      <c r="A146" s="606" t="s">
        <v>453</v>
      </c>
      <c r="C146" s="54" t="s">
        <v>458</v>
      </c>
      <c r="D146" s="43">
        <f>$B$193</f>
        <v>0</v>
      </c>
      <c r="E146" s="43">
        <f t="shared" ref="E146:AG146" si="1306">D146-($D146-$AH146)/30</f>
        <v>0</v>
      </c>
      <c r="F146" s="43">
        <f t="shared" si="1306"/>
        <v>0</v>
      </c>
      <c r="G146" s="43">
        <f t="shared" si="1306"/>
        <v>0</v>
      </c>
      <c r="H146" s="43">
        <f t="shared" si="1306"/>
        <v>0</v>
      </c>
      <c r="I146" s="43">
        <f t="shared" si="1306"/>
        <v>0</v>
      </c>
      <c r="J146" s="43">
        <f t="shared" si="1306"/>
        <v>0</v>
      </c>
      <c r="K146" s="43">
        <f t="shared" si="1306"/>
        <v>0</v>
      </c>
      <c r="L146" s="43">
        <f t="shared" si="1306"/>
        <v>0</v>
      </c>
      <c r="M146" s="43">
        <f t="shared" si="1306"/>
        <v>0</v>
      </c>
      <c r="N146" s="43">
        <f t="shared" si="1306"/>
        <v>0</v>
      </c>
      <c r="O146" s="43">
        <f t="shared" si="1306"/>
        <v>0</v>
      </c>
      <c r="P146" s="43">
        <f t="shared" si="1306"/>
        <v>0</v>
      </c>
      <c r="Q146" s="43">
        <f t="shared" si="1306"/>
        <v>0</v>
      </c>
      <c r="R146" s="43">
        <f t="shared" si="1306"/>
        <v>0</v>
      </c>
      <c r="S146" s="43">
        <f t="shared" si="1306"/>
        <v>0</v>
      </c>
      <c r="T146" s="43">
        <f t="shared" si="1306"/>
        <v>0</v>
      </c>
      <c r="U146" s="43">
        <f t="shared" si="1306"/>
        <v>0</v>
      </c>
      <c r="V146" s="43">
        <f t="shared" si="1306"/>
        <v>0</v>
      </c>
      <c r="W146" s="43">
        <f t="shared" si="1306"/>
        <v>0</v>
      </c>
      <c r="X146" s="43">
        <f t="shared" si="1306"/>
        <v>0</v>
      </c>
      <c r="Y146" s="43">
        <f t="shared" si="1306"/>
        <v>0</v>
      </c>
      <c r="Z146" s="43">
        <f t="shared" si="1306"/>
        <v>0</v>
      </c>
      <c r="AA146" s="43">
        <f t="shared" si="1306"/>
        <v>0</v>
      </c>
      <c r="AB146" s="43">
        <f t="shared" si="1306"/>
        <v>0</v>
      </c>
      <c r="AC146" s="43">
        <f t="shared" si="1306"/>
        <v>0</v>
      </c>
      <c r="AD146" s="43">
        <f t="shared" si="1306"/>
        <v>0</v>
      </c>
      <c r="AE146" s="43">
        <f t="shared" si="1306"/>
        <v>0</v>
      </c>
      <c r="AF146" s="43">
        <f t="shared" si="1306"/>
        <v>0</v>
      </c>
      <c r="AG146" s="43">
        <f t="shared" si="1306"/>
        <v>0</v>
      </c>
      <c r="AH146" s="43">
        <f>$C$193</f>
        <v>0</v>
      </c>
      <c r="AI146" s="44"/>
      <c r="AJ146" s="43">
        <f t="shared" si="1260"/>
        <v>0</v>
      </c>
      <c r="AK146" s="43">
        <f t="shared" si="1198"/>
        <v>0</v>
      </c>
      <c r="AL146" s="43">
        <f t="shared" si="1199"/>
        <v>0</v>
      </c>
      <c r="AM146" s="43">
        <f t="shared" si="1200"/>
        <v>0</v>
      </c>
      <c r="AN146" s="43">
        <f t="shared" si="1201"/>
        <v>0</v>
      </c>
      <c r="AO146" s="43">
        <f t="shared" si="1202"/>
        <v>0</v>
      </c>
      <c r="AP146" s="43">
        <f t="shared" si="1203"/>
        <v>0</v>
      </c>
      <c r="AQ146" s="43">
        <f t="shared" si="1204"/>
        <v>0</v>
      </c>
      <c r="AR146" s="43">
        <f t="shared" si="1205"/>
        <v>0</v>
      </c>
      <c r="AS146" s="43">
        <f t="shared" si="1206"/>
        <v>0</v>
      </c>
      <c r="AT146" s="43">
        <f t="shared" si="1207"/>
        <v>0</v>
      </c>
      <c r="AU146" s="43">
        <f t="shared" si="1208"/>
        <v>0</v>
      </c>
      <c r="AV146" s="43">
        <f t="shared" si="1209"/>
        <v>0</v>
      </c>
      <c r="AW146" s="43">
        <f t="shared" si="1210"/>
        <v>0</v>
      </c>
      <c r="AX146" s="43">
        <f t="shared" si="1211"/>
        <v>0</v>
      </c>
      <c r="AY146" s="43">
        <f t="shared" si="1212"/>
        <v>0</v>
      </c>
      <c r="AZ146" s="43">
        <f t="shared" si="1213"/>
        <v>0</v>
      </c>
      <c r="BA146" s="43">
        <f t="shared" si="1214"/>
        <v>0</v>
      </c>
      <c r="BB146" s="43">
        <f t="shared" si="1215"/>
        <v>0</v>
      </c>
      <c r="BC146" s="43">
        <f t="shared" si="1216"/>
        <v>0</v>
      </c>
      <c r="BD146" s="43">
        <f t="shared" si="1217"/>
        <v>0</v>
      </c>
      <c r="BE146" s="43">
        <f t="shared" si="1218"/>
        <v>0</v>
      </c>
      <c r="BF146" s="43">
        <f t="shared" si="1219"/>
        <v>0</v>
      </c>
      <c r="BG146" s="43">
        <f t="shared" si="1220"/>
        <v>0</v>
      </c>
      <c r="BH146" s="43">
        <f t="shared" si="1221"/>
        <v>0</v>
      </c>
      <c r="BI146" s="43">
        <f t="shared" si="1222"/>
        <v>0</v>
      </c>
      <c r="BJ146" s="43">
        <f t="shared" si="1223"/>
        <v>0</v>
      </c>
      <c r="BK146" s="43">
        <f t="shared" si="1224"/>
        <v>0</v>
      </c>
      <c r="BL146" s="43">
        <f t="shared" si="1225"/>
        <v>0</v>
      </c>
      <c r="BM146" s="43">
        <f t="shared" si="1226"/>
        <v>0</v>
      </c>
      <c r="BN146" s="43">
        <f t="shared" si="1227"/>
        <v>0</v>
      </c>
      <c r="BP146" s="43">
        <f t="shared" si="1261"/>
        <v>0</v>
      </c>
      <c r="BQ146" s="43">
        <f t="shared" ref="BQ146:CS146" si="1307">BP146-($BP146-$CT146)/30</f>
        <v>0</v>
      </c>
      <c r="BR146" s="43">
        <f t="shared" si="1307"/>
        <v>0</v>
      </c>
      <c r="BS146" s="43">
        <f t="shared" si="1307"/>
        <v>0</v>
      </c>
      <c r="BT146" s="43">
        <f t="shared" si="1307"/>
        <v>0</v>
      </c>
      <c r="BU146" s="43">
        <f t="shared" si="1307"/>
        <v>0</v>
      </c>
      <c r="BV146" s="43">
        <f t="shared" si="1307"/>
        <v>0</v>
      </c>
      <c r="BW146" s="43">
        <f t="shared" si="1307"/>
        <v>0</v>
      </c>
      <c r="BX146" s="43">
        <f t="shared" si="1307"/>
        <v>0</v>
      </c>
      <c r="BY146" s="43">
        <f t="shared" si="1307"/>
        <v>0</v>
      </c>
      <c r="BZ146" s="43">
        <f t="shared" si="1307"/>
        <v>0</v>
      </c>
      <c r="CA146" s="43">
        <f t="shared" si="1307"/>
        <v>0</v>
      </c>
      <c r="CB146" s="43">
        <f t="shared" si="1307"/>
        <v>0</v>
      </c>
      <c r="CC146" s="43">
        <f t="shared" si="1307"/>
        <v>0</v>
      </c>
      <c r="CD146" s="43">
        <f t="shared" si="1307"/>
        <v>0</v>
      </c>
      <c r="CE146" s="43">
        <f t="shared" si="1307"/>
        <v>0</v>
      </c>
      <c r="CF146" s="43">
        <f t="shared" si="1307"/>
        <v>0</v>
      </c>
      <c r="CG146" s="43">
        <f t="shared" si="1307"/>
        <v>0</v>
      </c>
      <c r="CH146" s="43">
        <f t="shared" si="1307"/>
        <v>0</v>
      </c>
      <c r="CI146" s="43">
        <f t="shared" si="1307"/>
        <v>0</v>
      </c>
      <c r="CJ146" s="43">
        <f t="shared" si="1307"/>
        <v>0</v>
      </c>
      <c r="CK146" s="43">
        <f t="shared" si="1307"/>
        <v>0</v>
      </c>
      <c r="CL146" s="43">
        <f t="shared" si="1307"/>
        <v>0</v>
      </c>
      <c r="CM146" s="43">
        <f t="shared" si="1307"/>
        <v>0</v>
      </c>
      <c r="CN146" s="43">
        <f t="shared" si="1307"/>
        <v>0</v>
      </c>
      <c r="CO146" s="43">
        <f t="shared" si="1307"/>
        <v>0</v>
      </c>
      <c r="CP146" s="43">
        <f t="shared" si="1307"/>
        <v>0</v>
      </c>
      <c r="CQ146" s="43">
        <f t="shared" si="1307"/>
        <v>0</v>
      </c>
      <c r="CR146" s="43">
        <f t="shared" si="1307"/>
        <v>0</v>
      </c>
      <c r="CS146" s="43">
        <f t="shared" si="1307"/>
        <v>0</v>
      </c>
      <c r="CT146" s="43">
        <f t="shared" si="1270"/>
        <v>0</v>
      </c>
      <c r="CV146" s="43">
        <f t="shared" si="1273"/>
        <v>0</v>
      </c>
      <c r="CW146" s="43">
        <f t="shared" si="1274"/>
        <v>0</v>
      </c>
      <c r="CX146" s="43">
        <f t="shared" si="1275"/>
        <v>0</v>
      </c>
      <c r="CY146" s="43">
        <f t="shared" si="1276"/>
        <v>0</v>
      </c>
      <c r="CZ146" s="43">
        <f t="shared" si="1277"/>
        <v>0</v>
      </c>
      <c r="DA146" s="43">
        <f t="shared" si="1278"/>
        <v>0</v>
      </c>
      <c r="DB146" s="43">
        <f t="shared" si="1279"/>
        <v>0</v>
      </c>
      <c r="DC146" s="43">
        <f t="shared" si="1280"/>
        <v>0</v>
      </c>
      <c r="DD146" s="43">
        <f t="shared" si="1281"/>
        <v>0</v>
      </c>
      <c r="DE146" s="43">
        <f t="shared" si="1282"/>
        <v>0</v>
      </c>
      <c r="DF146" s="43">
        <f t="shared" si="1283"/>
        <v>0</v>
      </c>
      <c r="DG146" s="43">
        <f t="shared" si="1284"/>
        <v>0</v>
      </c>
      <c r="DH146" s="43">
        <f t="shared" si="1285"/>
        <v>0</v>
      </c>
      <c r="DI146" s="43">
        <f t="shared" si="1286"/>
        <v>0</v>
      </c>
      <c r="DJ146" s="43">
        <f t="shared" si="1287"/>
        <v>0</v>
      </c>
      <c r="DK146" s="43">
        <f t="shared" si="1288"/>
        <v>0</v>
      </c>
      <c r="DL146" s="43">
        <f t="shared" si="1289"/>
        <v>0</v>
      </c>
      <c r="DM146" s="43">
        <f t="shared" si="1290"/>
        <v>0</v>
      </c>
      <c r="DN146" s="43">
        <f t="shared" si="1291"/>
        <v>0</v>
      </c>
      <c r="DO146" s="43">
        <f t="shared" si="1292"/>
        <v>0</v>
      </c>
      <c r="DP146" s="43">
        <f t="shared" si="1293"/>
        <v>0</v>
      </c>
      <c r="DQ146" s="43">
        <f t="shared" si="1294"/>
        <v>0</v>
      </c>
      <c r="DR146" s="43">
        <f t="shared" si="1295"/>
        <v>0</v>
      </c>
      <c r="DS146" s="43">
        <f t="shared" si="1296"/>
        <v>0</v>
      </c>
      <c r="DT146" s="43">
        <f t="shared" si="1297"/>
        <v>0</v>
      </c>
      <c r="DU146" s="43">
        <f t="shared" si="1298"/>
        <v>0</v>
      </c>
      <c r="DV146" s="43">
        <f t="shared" si="1299"/>
        <v>0</v>
      </c>
      <c r="DW146" s="43">
        <f t="shared" si="1300"/>
        <v>0</v>
      </c>
      <c r="DX146" s="43">
        <f t="shared" si="1301"/>
        <v>0</v>
      </c>
      <c r="DY146" s="43">
        <f t="shared" si="1302"/>
        <v>0</v>
      </c>
      <c r="DZ146" s="43">
        <f t="shared" si="1305"/>
        <v>0</v>
      </c>
    </row>
    <row r="147" spans="1:165" ht="16" thickBot="1">
      <c r="A147" s="606" t="s">
        <v>454</v>
      </c>
      <c r="C147" s="54" t="s">
        <v>458</v>
      </c>
      <c r="D147" s="43">
        <f>$B$194</f>
        <v>0</v>
      </c>
      <c r="E147" s="43">
        <f t="shared" ref="E147:AG147" si="1308">D147-($D147-$AH147)/30</f>
        <v>0</v>
      </c>
      <c r="F147" s="43">
        <f t="shared" si="1308"/>
        <v>0</v>
      </c>
      <c r="G147" s="43">
        <f t="shared" si="1308"/>
        <v>0</v>
      </c>
      <c r="H147" s="43">
        <f t="shared" si="1308"/>
        <v>0</v>
      </c>
      <c r="I147" s="43">
        <f t="shared" si="1308"/>
        <v>0</v>
      </c>
      <c r="J147" s="43">
        <f t="shared" si="1308"/>
        <v>0</v>
      </c>
      <c r="K147" s="43">
        <f t="shared" si="1308"/>
        <v>0</v>
      </c>
      <c r="L147" s="43">
        <f t="shared" si="1308"/>
        <v>0</v>
      </c>
      <c r="M147" s="43">
        <f t="shared" si="1308"/>
        <v>0</v>
      </c>
      <c r="N147" s="43">
        <f t="shared" si="1308"/>
        <v>0</v>
      </c>
      <c r="O147" s="43">
        <f t="shared" si="1308"/>
        <v>0</v>
      </c>
      <c r="P147" s="43">
        <f t="shared" si="1308"/>
        <v>0</v>
      </c>
      <c r="Q147" s="43">
        <f t="shared" si="1308"/>
        <v>0</v>
      </c>
      <c r="R147" s="43">
        <f t="shared" si="1308"/>
        <v>0</v>
      </c>
      <c r="S147" s="43">
        <f t="shared" si="1308"/>
        <v>0</v>
      </c>
      <c r="T147" s="43">
        <f t="shared" si="1308"/>
        <v>0</v>
      </c>
      <c r="U147" s="43">
        <f t="shared" si="1308"/>
        <v>0</v>
      </c>
      <c r="V147" s="43">
        <f t="shared" si="1308"/>
        <v>0</v>
      </c>
      <c r="W147" s="43">
        <f t="shared" si="1308"/>
        <v>0</v>
      </c>
      <c r="X147" s="43">
        <f t="shared" si="1308"/>
        <v>0</v>
      </c>
      <c r="Y147" s="43">
        <f t="shared" si="1308"/>
        <v>0</v>
      </c>
      <c r="Z147" s="43">
        <f t="shared" si="1308"/>
        <v>0</v>
      </c>
      <c r="AA147" s="43">
        <f t="shared" si="1308"/>
        <v>0</v>
      </c>
      <c r="AB147" s="43">
        <f t="shared" si="1308"/>
        <v>0</v>
      </c>
      <c r="AC147" s="43">
        <f t="shared" si="1308"/>
        <v>0</v>
      </c>
      <c r="AD147" s="43">
        <f t="shared" si="1308"/>
        <v>0</v>
      </c>
      <c r="AE147" s="43">
        <f t="shared" si="1308"/>
        <v>0</v>
      </c>
      <c r="AF147" s="43">
        <f t="shared" si="1308"/>
        <v>0</v>
      </c>
      <c r="AG147" s="43">
        <f t="shared" si="1308"/>
        <v>0</v>
      </c>
      <c r="AH147" s="43">
        <f>$C$194</f>
        <v>0</v>
      </c>
      <c r="AI147" s="44"/>
      <c r="AJ147" s="43">
        <f t="shared" si="1260"/>
        <v>0</v>
      </c>
      <c r="AK147" s="43">
        <f t="shared" si="1198"/>
        <v>0</v>
      </c>
      <c r="AL147" s="43">
        <f t="shared" si="1199"/>
        <v>0</v>
      </c>
      <c r="AM147" s="43">
        <f t="shared" si="1200"/>
        <v>0</v>
      </c>
      <c r="AN147" s="43">
        <f t="shared" si="1201"/>
        <v>0</v>
      </c>
      <c r="AO147" s="43">
        <f t="shared" si="1202"/>
        <v>0</v>
      </c>
      <c r="AP147" s="43">
        <f t="shared" si="1203"/>
        <v>0</v>
      </c>
      <c r="AQ147" s="43">
        <f t="shared" si="1204"/>
        <v>0</v>
      </c>
      <c r="AR147" s="43">
        <f t="shared" si="1205"/>
        <v>0</v>
      </c>
      <c r="AS147" s="43">
        <f t="shared" si="1206"/>
        <v>0</v>
      </c>
      <c r="AT147" s="43">
        <f t="shared" si="1207"/>
        <v>0</v>
      </c>
      <c r="AU147" s="43">
        <f t="shared" si="1208"/>
        <v>0</v>
      </c>
      <c r="AV147" s="43">
        <f t="shared" si="1209"/>
        <v>0</v>
      </c>
      <c r="AW147" s="43">
        <f t="shared" si="1210"/>
        <v>0</v>
      </c>
      <c r="AX147" s="43">
        <f t="shared" si="1211"/>
        <v>0</v>
      </c>
      <c r="AY147" s="43">
        <f t="shared" si="1212"/>
        <v>0</v>
      </c>
      <c r="AZ147" s="43">
        <f t="shared" si="1213"/>
        <v>0</v>
      </c>
      <c r="BA147" s="43">
        <f t="shared" si="1214"/>
        <v>0</v>
      </c>
      <c r="BB147" s="43">
        <f t="shared" si="1215"/>
        <v>0</v>
      </c>
      <c r="BC147" s="43">
        <f t="shared" si="1216"/>
        <v>0</v>
      </c>
      <c r="BD147" s="43">
        <f t="shared" si="1217"/>
        <v>0</v>
      </c>
      <c r="BE147" s="43">
        <f t="shared" si="1218"/>
        <v>0</v>
      </c>
      <c r="BF147" s="43">
        <f t="shared" si="1219"/>
        <v>0</v>
      </c>
      <c r="BG147" s="43">
        <f t="shared" si="1220"/>
        <v>0</v>
      </c>
      <c r="BH147" s="43">
        <f t="shared" si="1221"/>
        <v>0</v>
      </c>
      <c r="BI147" s="43">
        <f t="shared" si="1222"/>
        <v>0</v>
      </c>
      <c r="BJ147" s="43">
        <f t="shared" si="1223"/>
        <v>0</v>
      </c>
      <c r="BK147" s="43">
        <f t="shared" si="1224"/>
        <v>0</v>
      </c>
      <c r="BL147" s="43">
        <f t="shared" si="1225"/>
        <v>0</v>
      </c>
      <c r="BM147" s="43">
        <f t="shared" si="1226"/>
        <v>0</v>
      </c>
      <c r="BN147" s="43">
        <f t="shared" si="1227"/>
        <v>0</v>
      </c>
      <c r="BP147" s="43">
        <f t="shared" si="1261"/>
        <v>0</v>
      </c>
      <c r="BQ147" s="43">
        <f t="shared" ref="BQ147:CS147" si="1309">BP147-($BP147-$CT147)/30</f>
        <v>0</v>
      </c>
      <c r="BR147" s="43">
        <f t="shared" si="1309"/>
        <v>0</v>
      </c>
      <c r="BS147" s="43">
        <f t="shared" si="1309"/>
        <v>0</v>
      </c>
      <c r="BT147" s="43">
        <f t="shared" si="1309"/>
        <v>0</v>
      </c>
      <c r="BU147" s="43">
        <f t="shared" si="1309"/>
        <v>0</v>
      </c>
      <c r="BV147" s="43">
        <f t="shared" si="1309"/>
        <v>0</v>
      </c>
      <c r="BW147" s="43">
        <f t="shared" si="1309"/>
        <v>0</v>
      </c>
      <c r="BX147" s="43">
        <f t="shared" si="1309"/>
        <v>0</v>
      </c>
      <c r="BY147" s="43">
        <f t="shared" si="1309"/>
        <v>0</v>
      </c>
      <c r="BZ147" s="43">
        <f t="shared" si="1309"/>
        <v>0</v>
      </c>
      <c r="CA147" s="43">
        <f t="shared" si="1309"/>
        <v>0</v>
      </c>
      <c r="CB147" s="43">
        <f t="shared" si="1309"/>
        <v>0</v>
      </c>
      <c r="CC147" s="43">
        <f t="shared" si="1309"/>
        <v>0</v>
      </c>
      <c r="CD147" s="43">
        <f t="shared" si="1309"/>
        <v>0</v>
      </c>
      <c r="CE147" s="43">
        <f t="shared" si="1309"/>
        <v>0</v>
      </c>
      <c r="CF147" s="43">
        <f t="shared" si="1309"/>
        <v>0</v>
      </c>
      <c r="CG147" s="43">
        <f t="shared" si="1309"/>
        <v>0</v>
      </c>
      <c r="CH147" s="43">
        <f t="shared" si="1309"/>
        <v>0</v>
      </c>
      <c r="CI147" s="43">
        <f t="shared" si="1309"/>
        <v>0</v>
      </c>
      <c r="CJ147" s="43">
        <f t="shared" si="1309"/>
        <v>0</v>
      </c>
      <c r="CK147" s="43">
        <f t="shared" si="1309"/>
        <v>0</v>
      </c>
      <c r="CL147" s="43">
        <f t="shared" si="1309"/>
        <v>0</v>
      </c>
      <c r="CM147" s="43">
        <f t="shared" si="1309"/>
        <v>0</v>
      </c>
      <c r="CN147" s="43">
        <f t="shared" si="1309"/>
        <v>0</v>
      </c>
      <c r="CO147" s="43">
        <f t="shared" si="1309"/>
        <v>0</v>
      </c>
      <c r="CP147" s="43">
        <f t="shared" si="1309"/>
        <v>0</v>
      </c>
      <c r="CQ147" s="43">
        <f t="shared" si="1309"/>
        <v>0</v>
      </c>
      <c r="CR147" s="43">
        <f t="shared" si="1309"/>
        <v>0</v>
      </c>
      <c r="CS147" s="43">
        <f t="shared" si="1309"/>
        <v>0</v>
      </c>
      <c r="CT147" s="43">
        <f t="shared" si="1270"/>
        <v>0</v>
      </c>
      <c r="CV147" s="43">
        <f t="shared" si="1273"/>
        <v>0</v>
      </c>
      <c r="CW147" s="43">
        <f t="shared" si="1274"/>
        <v>0</v>
      </c>
      <c r="CX147" s="43">
        <f t="shared" si="1275"/>
        <v>0</v>
      </c>
      <c r="CY147" s="43">
        <f t="shared" si="1276"/>
        <v>0</v>
      </c>
      <c r="CZ147" s="43">
        <f t="shared" si="1277"/>
        <v>0</v>
      </c>
      <c r="DA147" s="43">
        <f t="shared" si="1278"/>
        <v>0</v>
      </c>
      <c r="DB147" s="43">
        <f t="shared" si="1279"/>
        <v>0</v>
      </c>
      <c r="DC147" s="43">
        <f t="shared" si="1280"/>
        <v>0</v>
      </c>
      <c r="DD147" s="43">
        <f t="shared" si="1281"/>
        <v>0</v>
      </c>
      <c r="DE147" s="43">
        <f t="shared" si="1282"/>
        <v>0</v>
      </c>
      <c r="DF147" s="43">
        <f t="shared" si="1283"/>
        <v>0</v>
      </c>
      <c r="DG147" s="43">
        <f t="shared" si="1284"/>
        <v>0</v>
      </c>
      <c r="DH147" s="43">
        <f t="shared" si="1285"/>
        <v>0</v>
      </c>
      <c r="DI147" s="43">
        <f t="shared" si="1286"/>
        <v>0</v>
      </c>
      <c r="DJ147" s="43">
        <f t="shared" si="1287"/>
        <v>0</v>
      </c>
      <c r="DK147" s="43">
        <f t="shared" si="1288"/>
        <v>0</v>
      </c>
      <c r="DL147" s="43">
        <f t="shared" si="1289"/>
        <v>0</v>
      </c>
      <c r="DM147" s="43">
        <f t="shared" si="1290"/>
        <v>0</v>
      </c>
      <c r="DN147" s="43">
        <f t="shared" si="1291"/>
        <v>0</v>
      </c>
      <c r="DO147" s="43">
        <f t="shared" si="1292"/>
        <v>0</v>
      </c>
      <c r="DP147" s="43">
        <f t="shared" si="1293"/>
        <v>0</v>
      </c>
      <c r="DQ147" s="43">
        <f t="shared" si="1294"/>
        <v>0</v>
      </c>
      <c r="DR147" s="43">
        <f t="shared" si="1295"/>
        <v>0</v>
      </c>
      <c r="DS147" s="43">
        <f t="shared" si="1296"/>
        <v>0</v>
      </c>
      <c r="DT147" s="43">
        <f t="shared" si="1297"/>
        <v>0</v>
      </c>
      <c r="DU147" s="43">
        <f t="shared" si="1298"/>
        <v>0</v>
      </c>
      <c r="DV147" s="43">
        <f t="shared" si="1299"/>
        <v>0</v>
      </c>
      <c r="DW147" s="43">
        <f t="shared" si="1300"/>
        <v>0</v>
      </c>
      <c r="DX147" s="43">
        <f t="shared" si="1301"/>
        <v>0</v>
      </c>
      <c r="DY147" s="43">
        <f t="shared" si="1302"/>
        <v>0</v>
      </c>
      <c r="DZ147" s="43">
        <f t="shared" si="1305"/>
        <v>0</v>
      </c>
    </row>
    <row r="148" spans="1:165" s="624" customFormat="1" ht="16" thickBot="1">
      <c r="A148" s="623" t="s">
        <v>461</v>
      </c>
      <c r="C148" s="625"/>
      <c r="D148" s="626"/>
      <c r="E148" s="626"/>
      <c r="F148" s="626"/>
      <c r="G148" s="626"/>
      <c r="H148" s="626"/>
      <c r="I148" s="626"/>
      <c r="J148" s="626"/>
      <c r="K148" s="626"/>
      <c r="L148" s="626"/>
      <c r="M148" s="626"/>
      <c r="N148" s="626"/>
      <c r="O148" s="626"/>
      <c r="P148" s="626"/>
      <c r="Q148" s="626"/>
      <c r="R148" s="626"/>
      <c r="S148" s="626"/>
      <c r="T148" s="626"/>
      <c r="U148" s="626"/>
      <c r="V148" s="626"/>
      <c r="W148" s="626"/>
      <c r="X148" s="626"/>
      <c r="Y148" s="626"/>
      <c r="Z148" s="626"/>
      <c r="AA148" s="626"/>
      <c r="AB148" s="626"/>
      <c r="AC148" s="626"/>
      <c r="AD148" s="626"/>
      <c r="AE148" s="626"/>
      <c r="AF148" s="626"/>
      <c r="AG148" s="626"/>
      <c r="AH148" s="626"/>
      <c r="AI148" s="626"/>
      <c r="AJ148" s="626"/>
      <c r="AK148" s="626"/>
      <c r="AL148" s="626"/>
      <c r="AM148" s="626"/>
      <c r="AN148" s="626"/>
      <c r="AO148" s="626"/>
      <c r="AP148" s="626"/>
      <c r="AQ148" s="626"/>
      <c r="AR148" s="626"/>
      <c r="AS148" s="626"/>
      <c r="AT148" s="626"/>
      <c r="AU148" s="626"/>
      <c r="AV148" s="626"/>
      <c r="AW148" s="626"/>
      <c r="AX148" s="626"/>
      <c r="AY148" s="626"/>
      <c r="AZ148" s="626"/>
      <c r="BA148" s="626"/>
      <c r="BB148" s="626"/>
      <c r="BC148" s="626"/>
      <c r="BD148" s="626"/>
      <c r="BE148" s="626"/>
      <c r="BF148" s="626"/>
      <c r="BG148" s="626"/>
      <c r="BH148" s="626"/>
      <c r="BI148" s="626"/>
      <c r="BJ148" s="626"/>
      <c r="BK148" s="626"/>
      <c r="BL148" s="626"/>
      <c r="BM148" s="626"/>
      <c r="BN148" s="626"/>
      <c r="BP148" s="626"/>
      <c r="BQ148" s="626"/>
      <c r="BR148" s="626"/>
      <c r="BS148" s="626"/>
      <c r="BT148" s="626"/>
      <c r="BU148" s="626"/>
      <c r="BV148" s="626"/>
      <c r="BW148" s="626"/>
      <c r="BX148" s="626"/>
      <c r="BY148" s="626"/>
      <c r="BZ148" s="626"/>
      <c r="CA148" s="626"/>
      <c r="CB148" s="626"/>
      <c r="CC148" s="626"/>
      <c r="CD148" s="626"/>
      <c r="CE148" s="626"/>
      <c r="CF148" s="626"/>
      <c r="CG148" s="626"/>
      <c r="CH148" s="626"/>
      <c r="CI148" s="626"/>
      <c r="CJ148" s="626"/>
      <c r="CK148" s="626"/>
      <c r="CL148" s="626"/>
      <c r="CM148" s="626"/>
      <c r="CN148" s="626"/>
      <c r="CO148" s="626"/>
      <c r="CP148" s="626"/>
      <c r="CQ148" s="626"/>
      <c r="CR148" s="626"/>
      <c r="CS148" s="626"/>
      <c r="CT148" s="626"/>
      <c r="CV148" s="626"/>
      <c r="CW148" s="626"/>
      <c r="CX148" s="626"/>
      <c r="CY148" s="626"/>
      <c r="CZ148" s="626"/>
      <c r="DA148" s="626"/>
      <c r="DB148" s="626"/>
      <c r="DC148" s="626"/>
      <c r="DD148" s="626"/>
      <c r="DE148" s="626"/>
      <c r="DF148" s="626"/>
      <c r="DG148" s="626"/>
      <c r="DH148" s="626"/>
      <c r="DI148" s="626"/>
      <c r="DJ148" s="626"/>
      <c r="DK148" s="626"/>
      <c r="DL148" s="626"/>
      <c r="DM148" s="626"/>
      <c r="DN148" s="626"/>
      <c r="DO148" s="626"/>
      <c r="DP148" s="626"/>
      <c r="DQ148" s="626"/>
      <c r="DR148" s="626"/>
      <c r="DS148" s="626"/>
      <c r="DT148" s="626"/>
      <c r="DU148" s="626"/>
      <c r="DV148" s="626"/>
      <c r="DW148" s="626"/>
      <c r="DX148" s="626"/>
      <c r="DY148" s="626"/>
      <c r="DZ148" s="626"/>
      <c r="EK148" s="627"/>
      <c r="EL148" s="627"/>
      <c r="EM148" s="627"/>
      <c r="EN148" s="627"/>
      <c r="EO148" s="627"/>
      <c r="EP148" s="627"/>
      <c r="EQ148" s="627"/>
      <c r="ER148" s="627"/>
      <c r="ES148" s="627"/>
      <c r="ET148" s="627"/>
      <c r="EU148" s="627"/>
      <c r="EV148" s="627"/>
      <c r="EW148" s="627"/>
      <c r="EX148" s="627"/>
      <c r="EY148" s="627"/>
      <c r="EZ148" s="627"/>
      <c r="FA148" s="627"/>
      <c r="FB148" s="627"/>
      <c r="FC148" s="627"/>
      <c r="FD148" s="627"/>
      <c r="FE148" s="627"/>
      <c r="FF148" s="627"/>
      <c r="FG148" s="627"/>
      <c r="FH148" s="627"/>
      <c r="FI148" s="627"/>
    </row>
    <row r="149" spans="1:165">
      <c r="A149" s="606" t="s">
        <v>193</v>
      </c>
      <c r="C149" s="54" t="s">
        <v>462</v>
      </c>
      <c r="D149" s="168">
        <f>D126</f>
        <v>8.6865876044151913E-2</v>
      </c>
      <c r="E149" s="168">
        <f t="shared" ref="E149:AH149" si="1310">E126</f>
        <v>9.0130883839262724E-2</v>
      </c>
      <c r="F149" s="168">
        <f t="shared" si="1310"/>
        <v>9.48234733849697E-2</v>
      </c>
      <c r="G149" s="168">
        <f t="shared" si="1310"/>
        <v>9.9582118822250182E-2</v>
      </c>
      <c r="H149" s="168">
        <f t="shared" si="1310"/>
        <v>0.1044087732775793</v>
      </c>
      <c r="I149" s="168">
        <f t="shared" si="1310"/>
        <v>0.10930539006961844</v>
      </c>
      <c r="J149" s="168">
        <f t="shared" si="1310"/>
        <v>0.11427389797122893</v>
      </c>
      <c r="K149" s="168">
        <f t="shared" si="1310"/>
        <v>0.11931624667191243</v>
      </c>
      <c r="L149" s="168">
        <f t="shared" si="1310"/>
        <v>0.12443438592394573</v>
      </c>
      <c r="M149" s="168">
        <f t="shared" si="1310"/>
        <v>0.12963026553733101</v>
      </c>
      <c r="N149" s="168">
        <f t="shared" si="1310"/>
        <v>0.13490583537523701</v>
      </c>
      <c r="O149" s="168">
        <f t="shared" si="1310"/>
        <v>0.14512594530845943</v>
      </c>
      <c r="P149" s="168">
        <f t="shared" si="1310"/>
        <v>0.15549848220229626</v>
      </c>
      <c r="Q149" s="168">
        <f t="shared" si="1310"/>
        <v>0.16602311692057206</v>
      </c>
      <c r="R149" s="168">
        <f t="shared" si="1310"/>
        <v>0.17670865834261243</v>
      </c>
      <c r="S149" s="168">
        <f t="shared" si="1310"/>
        <v>0.18755924349257388</v>
      </c>
      <c r="T149" s="168">
        <f t="shared" si="1310"/>
        <v>0.19857896398132407</v>
      </c>
      <c r="U149" s="168">
        <f t="shared" si="1310"/>
        <v>0.20977194465358742</v>
      </c>
      <c r="V149" s="168">
        <f t="shared" si="1310"/>
        <v>0.22114230926237624</v>
      </c>
      <c r="W149" s="168">
        <f t="shared" si="1310"/>
        <v>0.23269418046437418</v>
      </c>
      <c r="X149" s="168">
        <f t="shared" si="1310"/>
        <v>0.24443167981552569</v>
      </c>
      <c r="Y149" s="168">
        <f t="shared" si="1310"/>
        <v>0.26312496344261738</v>
      </c>
      <c r="Z149" s="168">
        <f t="shared" si="1310"/>
        <v>0.2821187990215579</v>
      </c>
      <c r="AA149" s="168">
        <f t="shared" si="1310"/>
        <v>0.30141615699989777</v>
      </c>
      <c r="AB149" s="168">
        <f t="shared" si="1310"/>
        <v>0.32102872388263259</v>
      </c>
      <c r="AC149" s="168">
        <f t="shared" si="1310"/>
        <v>0.34096342325472789</v>
      </c>
      <c r="AD149" s="168">
        <f t="shared" si="1310"/>
        <v>0.36122717329636383</v>
      </c>
      <c r="AE149" s="168">
        <f t="shared" si="1310"/>
        <v>0.38182688780893975</v>
      </c>
      <c r="AF149" s="168">
        <f t="shared" si="1310"/>
        <v>0.40276947576014943</v>
      </c>
      <c r="AG149" s="168">
        <f t="shared" si="1310"/>
        <v>0.42406184127856061</v>
      </c>
      <c r="AH149" s="168">
        <f t="shared" si="1310"/>
        <v>0.44571088364856437</v>
      </c>
      <c r="AI149" s="44"/>
      <c r="AJ149" s="168">
        <f>AJ126</f>
        <v>8.6865876044151913E-2</v>
      </c>
      <c r="AK149" s="168">
        <f t="shared" ref="AK149:BN149" si="1311">AK126</f>
        <v>9.0130883839262724E-2</v>
      </c>
      <c r="AL149" s="168">
        <f t="shared" si="1311"/>
        <v>9.48234733849697E-2</v>
      </c>
      <c r="AM149" s="168">
        <f t="shared" si="1311"/>
        <v>9.9582118822250182E-2</v>
      </c>
      <c r="AN149" s="168">
        <f t="shared" si="1311"/>
        <v>0.1044087732775793</v>
      </c>
      <c r="AO149" s="168">
        <f t="shared" si="1311"/>
        <v>0.10930539006961844</v>
      </c>
      <c r="AP149" s="168">
        <f t="shared" si="1311"/>
        <v>0.11427389797122893</v>
      </c>
      <c r="AQ149" s="168">
        <f t="shared" si="1311"/>
        <v>0.11931624667191243</v>
      </c>
      <c r="AR149" s="168">
        <f t="shared" si="1311"/>
        <v>0.12443438592394573</v>
      </c>
      <c r="AS149" s="168">
        <f t="shared" si="1311"/>
        <v>0.12963026553733101</v>
      </c>
      <c r="AT149" s="168">
        <f t="shared" si="1311"/>
        <v>0.13490583537523701</v>
      </c>
      <c r="AU149" s="168">
        <f t="shared" si="1311"/>
        <v>0.14512594530845943</v>
      </c>
      <c r="AV149" s="168">
        <f t="shared" si="1311"/>
        <v>0.15549848220229626</v>
      </c>
      <c r="AW149" s="168">
        <f t="shared" si="1311"/>
        <v>0.16602311692057206</v>
      </c>
      <c r="AX149" s="168">
        <f t="shared" si="1311"/>
        <v>0.17670865834261243</v>
      </c>
      <c r="AY149" s="168">
        <f t="shared" si="1311"/>
        <v>0.18755924349257388</v>
      </c>
      <c r="AZ149" s="168">
        <f t="shared" si="1311"/>
        <v>0.19857896398132407</v>
      </c>
      <c r="BA149" s="168">
        <f t="shared" si="1311"/>
        <v>0.20977194465358742</v>
      </c>
      <c r="BB149" s="168">
        <f t="shared" si="1311"/>
        <v>0.22114230926237624</v>
      </c>
      <c r="BC149" s="168">
        <f t="shared" si="1311"/>
        <v>0.23269418046437418</v>
      </c>
      <c r="BD149" s="168">
        <f t="shared" si="1311"/>
        <v>0.24443167981552569</v>
      </c>
      <c r="BE149" s="168">
        <f t="shared" si="1311"/>
        <v>0.26312496344261738</v>
      </c>
      <c r="BF149" s="168">
        <f t="shared" si="1311"/>
        <v>0.2821187990215579</v>
      </c>
      <c r="BG149" s="168">
        <f t="shared" si="1311"/>
        <v>0.30141615699989777</v>
      </c>
      <c r="BH149" s="168">
        <f t="shared" si="1311"/>
        <v>0.32102872388263259</v>
      </c>
      <c r="BI149" s="168">
        <f t="shared" si="1311"/>
        <v>0.34096342325472789</v>
      </c>
      <c r="BJ149" s="168">
        <f t="shared" si="1311"/>
        <v>0.36122717329636383</v>
      </c>
      <c r="BK149" s="168">
        <f t="shared" si="1311"/>
        <v>0.38182688780893975</v>
      </c>
      <c r="BL149" s="168">
        <f t="shared" si="1311"/>
        <v>0.40276947576014943</v>
      </c>
      <c r="BM149" s="168">
        <f t="shared" si="1311"/>
        <v>0.42406184127856061</v>
      </c>
      <c r="BN149" s="168">
        <f t="shared" si="1311"/>
        <v>0.44571088364856437</v>
      </c>
      <c r="BP149" s="168">
        <f>BP126</f>
        <v>8.6865876044151913E-2</v>
      </c>
      <c r="BQ149" s="168">
        <f t="shared" ref="BQ149:CT149" si="1312">BQ126</f>
        <v>8.5452055140027294E-2</v>
      </c>
      <c r="BR149" s="168">
        <f t="shared" si="1312"/>
        <v>8.4281563337488388E-2</v>
      </c>
      <c r="BS149" s="168">
        <f t="shared" si="1312"/>
        <v>8.3344829821982158E-2</v>
      </c>
      <c r="BT149" s="168">
        <f t="shared" si="1312"/>
        <v>8.263423216537874E-2</v>
      </c>
      <c r="BU149" s="168">
        <f t="shared" si="1312"/>
        <v>8.2143992883365158E-2</v>
      </c>
      <c r="BV149" s="168">
        <f t="shared" si="1312"/>
        <v>8.1693850323663122E-2</v>
      </c>
      <c r="BW149" s="168">
        <f t="shared" si="1312"/>
        <v>8.1283221119442847E-2</v>
      </c>
      <c r="BX149" s="168">
        <f t="shared" si="1312"/>
        <v>8.0911578186848909E-2</v>
      </c>
      <c r="BY149" s="168">
        <f t="shared" si="1312"/>
        <v>8.0578449612555322E-2</v>
      </c>
      <c r="BZ149" s="168">
        <f t="shared" si="1312"/>
        <v>8.0283417669660781E-2</v>
      </c>
      <c r="CA149" s="168">
        <f t="shared" si="1312"/>
        <v>8.0140782641730052E-2</v>
      </c>
      <c r="CB149" s="168">
        <f t="shared" si="1312"/>
        <v>8.0150046262425126E-2</v>
      </c>
      <c r="CC149" s="168">
        <f t="shared" si="1312"/>
        <v>8.0311574708555281E-2</v>
      </c>
      <c r="CD149" s="168">
        <f t="shared" si="1312"/>
        <v>8.0626605061909704E-2</v>
      </c>
      <c r="CE149" s="168">
        <f t="shared" si="1312"/>
        <v>8.1097260115289158E-2</v>
      </c>
      <c r="CF149" s="168">
        <f t="shared" si="1312"/>
        <v>8.1579592269901191E-2</v>
      </c>
      <c r="CG149" s="168">
        <f t="shared" si="1312"/>
        <v>8.2073783292113497E-2</v>
      </c>
      <c r="CH149" s="168">
        <f t="shared" si="1312"/>
        <v>8.2580020061112619E-2</v>
      </c>
      <c r="CI149" s="168">
        <f t="shared" si="1312"/>
        <v>8.3098494687576463E-2</v>
      </c>
      <c r="CJ149" s="168">
        <f t="shared" si="1312"/>
        <v>8.3629404636092836E-2</v>
      </c>
      <c r="CK149" s="168">
        <f t="shared" si="1312"/>
        <v>8.4172025746084664E-2</v>
      </c>
      <c r="CL149" s="168">
        <f t="shared" si="1312"/>
        <v>8.4726546805950292E-2</v>
      </c>
      <c r="CM149" s="168">
        <f t="shared" si="1312"/>
        <v>8.5293161480426052E-2</v>
      </c>
      <c r="CN149" s="168">
        <f t="shared" si="1312"/>
        <v>8.5872068423965733E-2</v>
      </c>
      <c r="CO149" s="168">
        <f t="shared" si="1312"/>
        <v>8.6463471397467295E-2</v>
      </c>
      <c r="CP149" s="168">
        <f t="shared" si="1312"/>
        <v>8.7066756238696683E-2</v>
      </c>
      <c r="CQ149" s="168">
        <f t="shared" si="1312"/>
        <v>8.7682118711812154E-2</v>
      </c>
      <c r="CR149" s="168">
        <f t="shared" si="1312"/>
        <v>8.8309759306779548E-2</v>
      </c>
      <c r="CS149" s="168">
        <f t="shared" si="1312"/>
        <v>8.8949883348533626E-2</v>
      </c>
      <c r="CT149" s="168">
        <f t="shared" si="1312"/>
        <v>8.9602701109191413E-2</v>
      </c>
      <c r="CV149" s="168">
        <f>CV126</f>
        <v>8.6865876044151913E-2</v>
      </c>
      <c r="CW149" s="168">
        <f t="shared" ref="CW149:DZ149" si="1313">CW126</f>
        <v>9.0130883839262724E-2</v>
      </c>
      <c r="CX149" s="168">
        <f t="shared" si="1313"/>
        <v>9.48234733849697E-2</v>
      </c>
      <c r="CY149" s="168">
        <f t="shared" si="1313"/>
        <v>9.9582118822250182E-2</v>
      </c>
      <c r="CZ149" s="168">
        <f t="shared" si="1313"/>
        <v>0.1044087732775793</v>
      </c>
      <c r="DA149" s="168">
        <f t="shared" si="1313"/>
        <v>0.10930539006961844</v>
      </c>
      <c r="DB149" s="168">
        <f t="shared" si="1313"/>
        <v>0.11427389797122893</v>
      </c>
      <c r="DC149" s="168">
        <f t="shared" si="1313"/>
        <v>0.11931624667191243</v>
      </c>
      <c r="DD149" s="168">
        <f t="shared" si="1313"/>
        <v>0.12443438592394573</v>
      </c>
      <c r="DE149" s="168">
        <f t="shared" si="1313"/>
        <v>0.12963026553733101</v>
      </c>
      <c r="DF149" s="168">
        <f t="shared" si="1313"/>
        <v>0.13490583537523701</v>
      </c>
      <c r="DG149" s="168">
        <f t="shared" si="1313"/>
        <v>0.14512594530845943</v>
      </c>
      <c r="DH149" s="168">
        <f t="shared" si="1313"/>
        <v>0.15549848220229626</v>
      </c>
      <c r="DI149" s="168">
        <f t="shared" si="1313"/>
        <v>0.16603542459717477</v>
      </c>
      <c r="DJ149" s="168">
        <f t="shared" si="1313"/>
        <v>0.17673485798348318</v>
      </c>
      <c r="DK149" s="168">
        <f t="shared" si="1313"/>
        <v>0.18760095609059463</v>
      </c>
      <c r="DL149" s="168">
        <f t="shared" si="1313"/>
        <v>0.19863784844787583</v>
      </c>
      <c r="DM149" s="168">
        <f t="shared" si="1313"/>
        <v>0.20984969904415077</v>
      </c>
      <c r="DN149" s="168">
        <f t="shared" si="1313"/>
        <v>0.22124067199918282</v>
      </c>
      <c r="DO149" s="168">
        <f t="shared" si="1313"/>
        <v>0.23281493155865102</v>
      </c>
      <c r="DP149" s="168">
        <f t="shared" si="1313"/>
        <v>0.24457664208933078</v>
      </c>
      <c r="DQ149" s="168">
        <f t="shared" si="1313"/>
        <v>0.26330051798674331</v>
      </c>
      <c r="DR149" s="168">
        <f t="shared" si="1313"/>
        <v>0.2823279401945647</v>
      </c>
      <c r="DS149" s="168">
        <f t="shared" si="1313"/>
        <v>0.30169546543687886</v>
      </c>
      <c r="DT149" s="168">
        <f t="shared" si="1313"/>
        <v>0.32138570287932411</v>
      </c>
      <c r="DU149" s="168">
        <f t="shared" si="1313"/>
        <v>0.34140576034266262</v>
      </c>
      <c r="DV149" s="168">
        <f t="shared" si="1313"/>
        <v>0.36176274536747099</v>
      </c>
      <c r="DW149" s="168">
        <f t="shared" si="1313"/>
        <v>0.38246376623684814</v>
      </c>
      <c r="DX149" s="168">
        <f t="shared" si="1313"/>
        <v>0.40351593151658915</v>
      </c>
      <c r="DY149" s="168">
        <f t="shared" si="1313"/>
        <v>0.42492635004527524</v>
      </c>
      <c r="DZ149" s="168">
        <f t="shared" si="1313"/>
        <v>0.44670213092472727</v>
      </c>
    </row>
    <row r="150" spans="1:165">
      <c r="A150" s="606" t="s">
        <v>88</v>
      </c>
      <c r="C150" s="54" t="s">
        <v>462</v>
      </c>
      <c r="D150" s="168">
        <f t="shared" ref="D150:AH150" si="1314">D127</f>
        <v>3.5539413783499495E-7</v>
      </c>
      <c r="E150" s="168">
        <f t="shared" si="1314"/>
        <v>7.6725969169163813E-7</v>
      </c>
      <c r="F150" s="168">
        <f t="shared" si="1314"/>
        <v>1.616256700042547E-6</v>
      </c>
      <c r="G150" s="168">
        <f t="shared" si="1314"/>
        <v>3.3818159093948088E-6</v>
      </c>
      <c r="H150" s="168">
        <f t="shared" si="1314"/>
        <v>7.0242987444958678E-6</v>
      </c>
      <c r="I150" s="168">
        <f t="shared" si="1314"/>
        <v>1.4468380264220304E-5</v>
      </c>
      <c r="J150" s="168">
        <f t="shared" si="1314"/>
        <v>2.9505809468502362E-5</v>
      </c>
      <c r="K150" s="168">
        <f t="shared" si="1314"/>
        <v>5.9437727107127383E-5</v>
      </c>
      <c r="L150" s="168">
        <f t="shared" si="1314"/>
        <v>1.1789465843447686E-4</v>
      </c>
      <c r="M150" s="168">
        <f t="shared" si="1314"/>
        <v>2.2927347900248172E-4</v>
      </c>
      <c r="N150" s="168">
        <f t="shared" si="1314"/>
        <v>4.3667415808060038E-4</v>
      </c>
      <c r="O150" s="168">
        <f t="shared" si="1314"/>
        <v>7.6805606439828904E-4</v>
      </c>
      <c r="P150" s="168">
        <f t="shared" si="1314"/>
        <v>1.3054087179937594E-3</v>
      </c>
      <c r="Q150" s="168">
        <f t="shared" si="1314"/>
        <v>2.1184217032227475E-3</v>
      </c>
      <c r="R150" s="168">
        <f t="shared" si="1314"/>
        <v>3.2598607871745251E-3</v>
      </c>
      <c r="S150" s="168">
        <f t="shared" si="1314"/>
        <v>4.735648716335695E-3</v>
      </c>
      <c r="T150" s="168">
        <f t="shared" si="1314"/>
        <v>6.4793012740701501E-3</v>
      </c>
      <c r="U150" s="168">
        <f t="shared" si="1314"/>
        <v>8.365592769573894E-3</v>
      </c>
      <c r="V150" s="168">
        <f t="shared" si="1314"/>
        <v>1.0241037381654982E-2</v>
      </c>
      <c r="W150" s="168">
        <f t="shared" si="1314"/>
        <v>1.1968503699710583E-2</v>
      </c>
      <c r="X150" s="168">
        <f t="shared" si="1314"/>
        <v>1.3457592201323169E-2</v>
      </c>
      <c r="Y150" s="168">
        <f t="shared" si="1314"/>
        <v>1.3751943768271964E-2</v>
      </c>
      <c r="Z150" s="168">
        <f t="shared" si="1314"/>
        <v>1.5506686124319914E-2</v>
      </c>
      <c r="AA150" s="168">
        <f t="shared" si="1314"/>
        <v>1.7356755975007701E-2</v>
      </c>
      <c r="AB150" s="168">
        <f t="shared" si="1314"/>
        <v>1.9185351714971273E-2</v>
      </c>
      <c r="AC150" s="168">
        <f t="shared" si="1314"/>
        <v>2.1074708049366654E-2</v>
      </c>
      <c r="AD150" s="168">
        <f t="shared" si="1314"/>
        <v>2.314523903723411E-2</v>
      </c>
      <c r="AE150" s="168">
        <f t="shared" si="1314"/>
        <v>2.5548901606666948E-2</v>
      </c>
      <c r="AF150" s="168">
        <f t="shared" si="1314"/>
        <v>2.8444030180707749E-2</v>
      </c>
      <c r="AG150" s="168">
        <f t="shared" si="1314"/>
        <v>3.1945569506932774E-2</v>
      </c>
      <c r="AH150" s="168">
        <f t="shared" si="1314"/>
        <v>3.6062917249460653E-2</v>
      </c>
      <c r="AI150" s="44"/>
      <c r="AJ150" s="168">
        <f t="shared" ref="AJ150:BN150" si="1315">AJ127</f>
        <v>2.0363802976813303E-7</v>
      </c>
      <c r="AK150" s="168">
        <f t="shared" si="1315"/>
        <v>4.3963373422082776E-7</v>
      </c>
      <c r="AL150" s="168">
        <f t="shared" si="1315"/>
        <v>9.2610230433519487E-7</v>
      </c>
      <c r="AM150" s="168">
        <f t="shared" si="1315"/>
        <v>1.937753765503654E-6</v>
      </c>
      <c r="AN150" s="168">
        <f t="shared" si="1315"/>
        <v>4.0248676175295633E-6</v>
      </c>
      <c r="AO150" s="168">
        <f t="shared" si="1315"/>
        <v>8.2902674447317392E-6</v>
      </c>
      <c r="AP150" s="168">
        <f t="shared" si="1315"/>
        <v>1.6906595430871797E-5</v>
      </c>
      <c r="AQ150" s="168">
        <f t="shared" si="1315"/>
        <v>3.4057347472655862E-5</v>
      </c>
      <c r="AR150" s="168">
        <f t="shared" si="1315"/>
        <v>6.7552706721714183E-5</v>
      </c>
      <c r="AS150" s="168">
        <f t="shared" si="1315"/>
        <v>1.313718898870184E-4</v>
      </c>
      <c r="AT150" s="168">
        <f t="shared" si="1315"/>
        <v>2.5021083843391307E-4</v>
      </c>
      <c r="AU150" s="168">
        <f t="shared" si="1315"/>
        <v>4.400900494823327E-4</v>
      </c>
      <c r="AV150" s="168">
        <f t="shared" si="1315"/>
        <v>7.4798886946699015E-4</v>
      </c>
      <c r="AW150" s="168">
        <f t="shared" si="1315"/>
        <v>1.2138388789705431E-3</v>
      </c>
      <c r="AX150" s="168">
        <f t="shared" si="1315"/>
        <v>1.8678744451514403E-3</v>
      </c>
      <c r="AY150" s="168">
        <f t="shared" si="1315"/>
        <v>2.7134892548968514E-3</v>
      </c>
      <c r="AZ150" s="168">
        <f t="shared" si="1315"/>
        <v>3.7125883779726143E-3</v>
      </c>
      <c r="BA150" s="168">
        <f t="shared" si="1315"/>
        <v>4.7934184840986473E-3</v>
      </c>
      <c r="BB150" s="168">
        <f t="shared" si="1315"/>
        <v>5.8680334118236801E-3</v>
      </c>
      <c r="BC150" s="168">
        <f t="shared" si="1315"/>
        <v>6.8578579475986057E-3</v>
      </c>
      <c r="BD150" s="168">
        <f t="shared" si="1315"/>
        <v>7.7110938801495154E-3</v>
      </c>
      <c r="BE150" s="168">
        <f t="shared" si="1315"/>
        <v>7.8797549996540966E-3</v>
      </c>
      <c r="BF150" s="168">
        <f t="shared" si="1315"/>
        <v>8.8852084894418242E-3</v>
      </c>
      <c r="BG150" s="168">
        <f t="shared" si="1315"/>
        <v>9.9452838796059775E-3</v>
      </c>
      <c r="BH150" s="168">
        <f t="shared" si="1315"/>
        <v>1.0993054774188009E-2</v>
      </c>
      <c r="BI150" s="168">
        <f t="shared" si="1315"/>
        <v>1.2075641008755699E-2</v>
      </c>
      <c r="BJ150" s="168">
        <f t="shared" si="1315"/>
        <v>1.3262038886649103E-2</v>
      </c>
      <c r="BK150" s="168">
        <f t="shared" si="1315"/>
        <v>1.4639318525667714E-2</v>
      </c>
      <c r="BL150" s="168">
        <f t="shared" si="1315"/>
        <v>1.6298204297770173E-2</v>
      </c>
      <c r="BM150" s="168">
        <f t="shared" si="1315"/>
        <v>1.8304558634090598E-2</v>
      </c>
      <c r="BN150" s="168">
        <f t="shared" si="1315"/>
        <v>2.0663766321832283E-2</v>
      </c>
      <c r="BP150" s="168">
        <f t="shared" ref="BP150:CT150" si="1316">BP127</f>
        <v>0</v>
      </c>
      <c r="BQ150" s="168">
        <f t="shared" si="1316"/>
        <v>0</v>
      </c>
      <c r="BR150" s="168">
        <f t="shared" si="1316"/>
        <v>0</v>
      </c>
      <c r="BS150" s="168">
        <f t="shared" si="1316"/>
        <v>0</v>
      </c>
      <c r="BT150" s="168">
        <f t="shared" si="1316"/>
        <v>0</v>
      </c>
      <c r="BU150" s="168">
        <f t="shared" si="1316"/>
        <v>0</v>
      </c>
      <c r="BV150" s="168">
        <f t="shared" si="1316"/>
        <v>0</v>
      </c>
      <c r="BW150" s="168">
        <f t="shared" si="1316"/>
        <v>0</v>
      </c>
      <c r="BX150" s="168">
        <f t="shared" si="1316"/>
        <v>0</v>
      </c>
      <c r="BY150" s="168">
        <f t="shared" si="1316"/>
        <v>0</v>
      </c>
      <c r="BZ150" s="168">
        <f t="shared" si="1316"/>
        <v>0</v>
      </c>
      <c r="CA150" s="168">
        <f t="shared" si="1316"/>
        <v>0</v>
      </c>
      <c r="CB150" s="168">
        <f t="shared" si="1316"/>
        <v>0</v>
      </c>
      <c r="CC150" s="168">
        <f t="shared" si="1316"/>
        <v>0</v>
      </c>
      <c r="CD150" s="168">
        <f t="shared" si="1316"/>
        <v>0</v>
      </c>
      <c r="CE150" s="168">
        <f t="shared" si="1316"/>
        <v>0</v>
      </c>
      <c r="CF150" s="168">
        <f t="shared" si="1316"/>
        <v>0</v>
      </c>
      <c r="CG150" s="168">
        <f t="shared" si="1316"/>
        <v>0</v>
      </c>
      <c r="CH150" s="168">
        <f t="shared" si="1316"/>
        <v>0</v>
      </c>
      <c r="CI150" s="168">
        <f t="shared" si="1316"/>
        <v>0</v>
      </c>
      <c r="CJ150" s="168">
        <f t="shared" si="1316"/>
        <v>0</v>
      </c>
      <c r="CK150" s="168">
        <f t="shared" si="1316"/>
        <v>0</v>
      </c>
      <c r="CL150" s="168">
        <f t="shared" si="1316"/>
        <v>0</v>
      </c>
      <c r="CM150" s="168">
        <f t="shared" si="1316"/>
        <v>0</v>
      </c>
      <c r="CN150" s="168">
        <f t="shared" si="1316"/>
        <v>0</v>
      </c>
      <c r="CO150" s="168">
        <f t="shared" si="1316"/>
        <v>0</v>
      </c>
      <c r="CP150" s="168">
        <f t="shared" si="1316"/>
        <v>0</v>
      </c>
      <c r="CQ150" s="168">
        <f t="shared" si="1316"/>
        <v>0</v>
      </c>
      <c r="CR150" s="168">
        <f t="shared" si="1316"/>
        <v>0</v>
      </c>
      <c r="CS150" s="168">
        <f t="shared" si="1316"/>
        <v>0</v>
      </c>
      <c r="CT150" s="168">
        <f t="shared" si="1316"/>
        <v>0</v>
      </c>
      <c r="CV150" s="168">
        <f>CV127</f>
        <v>2.0363802976813303E-7</v>
      </c>
      <c r="CW150" s="168">
        <f t="shared" ref="CW150:DZ150" si="1317">CW127</f>
        <v>4.3963373422082776E-7</v>
      </c>
      <c r="CX150" s="168">
        <f t="shared" si="1317"/>
        <v>9.2610230433519487E-7</v>
      </c>
      <c r="CY150" s="168">
        <f t="shared" si="1317"/>
        <v>1.937753765503654E-6</v>
      </c>
      <c r="CZ150" s="168">
        <f t="shared" si="1317"/>
        <v>4.0248676175295633E-6</v>
      </c>
      <c r="DA150" s="168">
        <f t="shared" si="1317"/>
        <v>8.2902674447317392E-6</v>
      </c>
      <c r="DB150" s="168">
        <f t="shared" si="1317"/>
        <v>1.6906595430871797E-5</v>
      </c>
      <c r="DC150" s="168">
        <f t="shared" si="1317"/>
        <v>3.4057347472655862E-5</v>
      </c>
      <c r="DD150" s="168">
        <f t="shared" si="1317"/>
        <v>6.7552706721714183E-5</v>
      </c>
      <c r="DE150" s="168">
        <f t="shared" si="1317"/>
        <v>1.313718898870184E-4</v>
      </c>
      <c r="DF150" s="168">
        <f t="shared" si="1317"/>
        <v>2.5021083843391307E-4</v>
      </c>
      <c r="DG150" s="168">
        <f t="shared" si="1317"/>
        <v>4.400900494823327E-4</v>
      </c>
      <c r="DH150" s="168">
        <f t="shared" si="1317"/>
        <v>7.4798886946699015E-4</v>
      </c>
      <c r="DI150" s="168">
        <f t="shared" si="1317"/>
        <v>1.2139288636464562E-3</v>
      </c>
      <c r="DJ150" s="168">
        <f t="shared" si="1317"/>
        <v>1.8681513848334773E-3</v>
      </c>
      <c r="DK150" s="168">
        <f t="shared" si="1317"/>
        <v>2.7140927265488775E-3</v>
      </c>
      <c r="DL150" s="168">
        <f t="shared" si="1317"/>
        <v>3.7136892689319597E-3</v>
      </c>
      <c r="DM150" s="168">
        <f t="shared" si="1317"/>
        <v>4.7951952199417631E-3</v>
      </c>
      <c r="DN150" s="168">
        <f t="shared" si="1317"/>
        <v>5.8706434769350765E-3</v>
      </c>
      <c r="DO150" s="168">
        <f t="shared" si="1317"/>
        <v>6.8614166693935167E-3</v>
      </c>
      <c r="DP150" s="168">
        <f t="shared" si="1317"/>
        <v>7.7156670095541594E-3</v>
      </c>
      <c r="DQ150" s="168">
        <f t="shared" si="1317"/>
        <v>7.8850122993746902E-3</v>
      </c>
      <c r="DR150" s="168">
        <f t="shared" si="1317"/>
        <v>8.8917952994393736E-3</v>
      </c>
      <c r="DS150" s="168">
        <f t="shared" si="1317"/>
        <v>9.9544997150256657E-3</v>
      </c>
      <c r="DT150" s="168">
        <f t="shared" si="1317"/>
        <v>1.1005278881789357E-2</v>
      </c>
      <c r="DU150" s="168">
        <f t="shared" si="1317"/>
        <v>1.2091306923380117E-2</v>
      </c>
      <c r="DV150" s="168">
        <f t="shared" si="1317"/>
        <v>1.3281701797301175E-2</v>
      </c>
      <c r="DW150" s="168">
        <f t="shared" si="1317"/>
        <v>1.4663736570771291E-2</v>
      </c>
      <c r="DX150" s="168">
        <f t="shared" si="1317"/>
        <v>1.6328409884712285E-2</v>
      </c>
      <c r="DY150" s="168">
        <f t="shared" si="1317"/>
        <v>1.8341875010782972E-2</v>
      </c>
      <c r="DZ150" s="168">
        <f t="shared" si="1317"/>
        <v>2.0709721901633501E-2</v>
      </c>
    </row>
    <row r="151" spans="1:165">
      <c r="A151" s="606" t="s">
        <v>459</v>
      </c>
      <c r="C151" s="54" t="s">
        <v>462</v>
      </c>
      <c r="D151" s="168">
        <f t="shared" ref="D151:AH151" si="1318">D128</f>
        <v>0.14609461893255787</v>
      </c>
      <c r="E151" s="168">
        <f t="shared" si="1318"/>
        <v>0.15041803199971332</v>
      </c>
      <c r="F151" s="168">
        <f t="shared" si="1318"/>
        <v>0.15445630141490793</v>
      </c>
      <c r="G151" s="168">
        <f t="shared" si="1318"/>
        <v>0.15841974364510897</v>
      </c>
      <c r="H151" s="168">
        <f t="shared" si="1318"/>
        <v>0.16229442511457259</v>
      </c>
      <c r="I151" s="168">
        <f t="shared" si="1318"/>
        <v>0.16605489567625722</v>
      </c>
      <c r="J151" s="168">
        <f t="shared" si="1318"/>
        <v>0.16965441419600355</v>
      </c>
      <c r="K151" s="168">
        <f t="shared" si="1318"/>
        <v>0.17300800660543803</v>
      </c>
      <c r="L151" s="168">
        <f t="shared" si="1318"/>
        <v>0.17596497358762525</v>
      </c>
      <c r="M151" s="168">
        <f t="shared" si="1318"/>
        <v>0.17826856013598746</v>
      </c>
      <c r="N151" s="168">
        <f t="shared" si="1318"/>
        <v>0.17950581629450044</v>
      </c>
      <c r="O151" s="168">
        <f t="shared" si="1318"/>
        <v>0.17806685366606778</v>
      </c>
      <c r="P151" s="168">
        <f t="shared" si="1318"/>
        <v>0.17417967040535381</v>
      </c>
      <c r="Q151" s="168">
        <f t="shared" si="1318"/>
        <v>0.16705908151790555</v>
      </c>
      <c r="R151" s="168">
        <f t="shared" si="1318"/>
        <v>0.15614430769125229</v>
      </c>
      <c r="S151" s="168">
        <f t="shared" si="1318"/>
        <v>0.14143036234641973</v>
      </c>
      <c r="T151" s="168">
        <f t="shared" si="1318"/>
        <v>0.1236719239344504</v>
      </c>
      <c r="U151" s="168">
        <f t="shared" si="1318"/>
        <v>0.10427662324977674</v>
      </c>
      <c r="V151" s="168">
        <f t="shared" si="1318"/>
        <v>8.4904724831970826E-2</v>
      </c>
      <c r="W151" s="168">
        <f t="shared" si="1318"/>
        <v>6.6996575254545873E-2</v>
      </c>
      <c r="X151" s="168">
        <f t="shared" si="1318"/>
        <v>5.1474608293555109E-2</v>
      </c>
      <c r="Y151" s="168">
        <f t="shared" si="1318"/>
        <v>3.8409798729534227E-2</v>
      </c>
      <c r="Z151" s="168">
        <f t="shared" si="1318"/>
        <v>2.8057605814625963E-2</v>
      </c>
      <c r="AA151" s="168">
        <f t="shared" si="1318"/>
        <v>2.0198030427918352E-2</v>
      </c>
      <c r="AB151" s="168">
        <f t="shared" si="1318"/>
        <v>1.4377492291655115E-2</v>
      </c>
      <c r="AC151" s="168">
        <f t="shared" si="1318"/>
        <v>1.0142408955621239E-2</v>
      </c>
      <c r="AD151" s="168">
        <f t="shared" si="1318"/>
        <v>7.1011802476187939E-3</v>
      </c>
      <c r="AE151" s="168">
        <f t="shared" si="1318"/>
        <v>4.9388687836613198E-3</v>
      </c>
      <c r="AF151" s="168">
        <f t="shared" si="1318"/>
        <v>3.413503286802884E-3</v>
      </c>
      <c r="AG151" s="168">
        <f t="shared" si="1318"/>
        <v>2.3447382121256689E-3</v>
      </c>
      <c r="AH151" s="168">
        <f t="shared" si="1318"/>
        <v>1.6007804464268384E-3</v>
      </c>
      <c r="AI151" s="44"/>
      <c r="AJ151" s="168">
        <f t="shared" ref="AJ151:BN151" si="1319">AJ128</f>
        <v>0.14609466474361113</v>
      </c>
      <c r="AK151" s="168">
        <f t="shared" si="1319"/>
        <v>0.15041813286127256</v>
      </c>
      <c r="AL151" s="168">
        <f t="shared" si="1319"/>
        <v>0.15445651789657924</v>
      </c>
      <c r="AM151" s="168">
        <f t="shared" si="1319"/>
        <v>0.15842020475287827</v>
      </c>
      <c r="AN151" s="168">
        <f t="shared" si="1319"/>
        <v>0.16229539921687744</v>
      </c>
      <c r="AO151" s="168">
        <f t="shared" si="1319"/>
        <v>0.16605693432654653</v>
      </c>
      <c r="AP151" s="168">
        <f t="shared" si="1319"/>
        <v>0.16965863347689866</v>
      </c>
      <c r="AQ151" s="168">
        <f t="shared" si="1319"/>
        <v>0.17301661885078773</v>
      </c>
      <c r="AR151" s="168">
        <f t="shared" si="1319"/>
        <v>0.17598224269010601</v>
      </c>
      <c r="AS151" s="168">
        <f t="shared" si="1319"/>
        <v>0.17830238990151392</v>
      </c>
      <c r="AT151" s="168">
        <f t="shared" si="1319"/>
        <v>0.17957035538231275</v>
      </c>
      <c r="AU151" s="168">
        <f t="shared" si="1319"/>
        <v>0.17817956417013764</v>
      </c>
      <c r="AV151" s="168">
        <f t="shared" si="1319"/>
        <v>0.1743673883642762</v>
      </c>
      <c r="AW151" s="168">
        <f t="shared" si="1319"/>
        <v>0.16735207158642446</v>
      </c>
      <c r="AX151" s="168">
        <f t="shared" si="1319"/>
        <v>0.15656736074961378</v>
      </c>
      <c r="AY151" s="168">
        <f t="shared" si="1319"/>
        <v>0.14198985913362935</v>
      </c>
      <c r="AZ151" s="168">
        <f t="shared" si="1319"/>
        <v>0.12434543275029836</v>
      </c>
      <c r="BA151" s="168">
        <f t="shared" si="1319"/>
        <v>0.10501497780370618</v>
      </c>
      <c r="BB151" s="168">
        <f t="shared" si="1319"/>
        <v>8.5646279465832503E-2</v>
      </c>
      <c r="BC151" s="168">
        <f t="shared" si="1319"/>
        <v>6.7685839755573185E-2</v>
      </c>
      <c r="BD151" s="168">
        <f t="shared" si="1319"/>
        <v>5.2074881930095136E-2</v>
      </c>
      <c r="BE151" s="168">
        <f t="shared" si="1319"/>
        <v>3.8874741622514163E-2</v>
      </c>
      <c r="BF151" s="168">
        <f t="shared" si="1319"/>
        <v>2.8448296479591396E-2</v>
      </c>
      <c r="BG151" s="168">
        <f t="shared" si="1319"/>
        <v>2.0519707481379282E-2</v>
      </c>
      <c r="BH151" s="168">
        <f t="shared" si="1319"/>
        <v>1.4636509679681952E-2</v>
      </c>
      <c r="BI151" s="168">
        <f t="shared" si="1319"/>
        <v>1.0348187391183251E-2</v>
      </c>
      <c r="BJ151" s="168">
        <f t="shared" si="1319"/>
        <v>7.2637670541298265E-3</v>
      </c>
      <c r="BK151" s="168">
        <f t="shared" si="1319"/>
        <v>5.0674883586971295E-3</v>
      </c>
      <c r="BL151" s="168">
        <f t="shared" si="1319"/>
        <v>3.51583648296641E-3</v>
      </c>
      <c r="BM151" s="168">
        <f t="shared" si="1319"/>
        <v>2.4267043775680871E-3</v>
      </c>
      <c r="BN151" s="168">
        <f t="shared" si="1319"/>
        <v>1.66667174017527E-3</v>
      </c>
      <c r="BP151" s="168">
        <f t="shared" ref="BP151:CT151" si="1320">BP128</f>
        <v>0.14610145983293571</v>
      </c>
      <c r="BQ151" s="168">
        <f t="shared" si="1320"/>
        <v>0.14821773693030627</v>
      </c>
      <c r="BR151" s="168">
        <f t="shared" si="1320"/>
        <v>0.15029991940420692</v>
      </c>
      <c r="BS151" s="168">
        <f t="shared" si="1320"/>
        <v>0.15234808928358654</v>
      </c>
      <c r="BT151" s="168">
        <f t="shared" si="1320"/>
        <v>0.15436207986763892</v>
      </c>
      <c r="BU151" s="168">
        <f t="shared" si="1320"/>
        <v>0.1563414732122001</v>
      </c>
      <c r="BV151" s="168">
        <f t="shared" si="1320"/>
        <v>0.15831598020420046</v>
      </c>
      <c r="BW151" s="168">
        <f t="shared" si="1320"/>
        <v>0.16028545402202785</v>
      </c>
      <c r="BX151" s="168">
        <f t="shared" si="1320"/>
        <v>0.16224974273074824</v>
      </c>
      <c r="BY151" s="168">
        <f t="shared" si="1320"/>
        <v>0.16420868889919757</v>
      </c>
      <c r="BZ151" s="168">
        <f t="shared" si="1320"/>
        <v>0.16616212920768123</v>
      </c>
      <c r="CA151" s="168">
        <f t="shared" si="1320"/>
        <v>0.1680889409852678</v>
      </c>
      <c r="CB151" s="168">
        <f t="shared" si="1320"/>
        <v>0.16998827145070378</v>
      </c>
      <c r="CC151" s="168">
        <f t="shared" si="1320"/>
        <v>0.17185911040612792</v>
      </c>
      <c r="CD151" s="168">
        <f t="shared" si="1320"/>
        <v>0.17370028008363644</v>
      </c>
      <c r="CE151" s="168">
        <f t="shared" si="1320"/>
        <v>0.1755104233179797</v>
      </c>
      <c r="CF151" s="168">
        <f t="shared" si="1320"/>
        <v>0.17731636671909101</v>
      </c>
      <c r="CG151" s="168">
        <f t="shared" si="1320"/>
        <v>0.17911800242026549</v>
      </c>
      <c r="CH151" s="168">
        <f t="shared" si="1320"/>
        <v>0.18091522004394853</v>
      </c>
      <c r="CI151" s="168">
        <f t="shared" si="1320"/>
        <v>0.18270790662525552</v>
      </c>
      <c r="CJ151" s="168">
        <f t="shared" si="1320"/>
        <v>0.18449594653326651</v>
      </c>
      <c r="CK151" s="168">
        <f t="shared" si="1320"/>
        <v>0.18627940996324627</v>
      </c>
      <c r="CL151" s="168">
        <f t="shared" si="1320"/>
        <v>0.18805818551627063</v>
      </c>
      <c r="CM151" s="168">
        <f t="shared" si="1320"/>
        <v>0.18983215922076213</v>
      </c>
      <c r="CN151" s="168">
        <f t="shared" si="1320"/>
        <v>0.19160121445833664</v>
      </c>
      <c r="CO151" s="168">
        <f t="shared" si="1320"/>
        <v>0.19336523188753596</v>
      </c>
      <c r="CP151" s="168">
        <f t="shared" si="1320"/>
        <v>0.19512426529991575</v>
      </c>
      <c r="CQ151" s="168">
        <f t="shared" si="1320"/>
        <v>0.19687819878199081</v>
      </c>
      <c r="CR151" s="168">
        <f t="shared" si="1320"/>
        <v>0.19862691377236283</v>
      </c>
      <c r="CS151" s="168">
        <f t="shared" si="1320"/>
        <v>0.20037028898887899</v>
      </c>
      <c r="CT151" s="168">
        <f t="shared" si="1320"/>
        <v>0.20210820035375948</v>
      </c>
      <c r="CV151" s="168">
        <f>AJ151*(1-SUM(CV$34:CV$35))/(1-SUM(AJ$34:AJ$35))</f>
        <v>0.14609466474361113</v>
      </c>
      <c r="CW151" s="168">
        <f t="shared" ref="CW151:CW157" si="1321">AK151*(1-SUM(CW$34:CW$35))/(1-SUM(AK$34:AK$35))</f>
        <v>0.15041813286127256</v>
      </c>
      <c r="CX151" s="168">
        <f t="shared" ref="CX151:CX157" si="1322">AL151*(1-SUM(CX$34:CX$35))/(1-SUM(AL$34:AL$35))</f>
        <v>0.15445651789657924</v>
      </c>
      <c r="CY151" s="168">
        <f t="shared" ref="CY151:CY157" si="1323">AM151*(1-SUM(CY$34:CY$35))/(1-SUM(AM$34:AM$35))</f>
        <v>0.15842020475287827</v>
      </c>
      <c r="CZ151" s="168">
        <f t="shared" ref="CZ151:CZ157" si="1324">AN151*(1-SUM(CZ$34:CZ$35))/(1-SUM(AN$34:AN$35))</f>
        <v>0.16229539921687744</v>
      </c>
      <c r="DA151" s="168">
        <f t="shared" ref="DA151:DA157" si="1325">AO151*(1-SUM(DA$34:DA$35))/(1-SUM(AO$34:AO$35))</f>
        <v>0.16605693432654653</v>
      </c>
      <c r="DB151" s="168">
        <f t="shared" ref="DB151:DB157" si="1326">AP151*(1-SUM(DB$34:DB$35))/(1-SUM(AP$34:AP$35))</f>
        <v>0.16965863347689866</v>
      </c>
      <c r="DC151" s="168">
        <f t="shared" ref="DC151:DC157" si="1327">AQ151*(1-SUM(DC$34:DC$35))/(1-SUM(AQ$34:AQ$35))</f>
        <v>0.17301661885078773</v>
      </c>
      <c r="DD151" s="168">
        <f t="shared" ref="DD151:DD157" si="1328">AR151*(1-SUM(DD$34:DD$35))/(1-SUM(AR$34:AR$35))</f>
        <v>0.17598224269010601</v>
      </c>
      <c r="DE151" s="168">
        <f t="shared" ref="DE151:DE157" si="1329">AS151*(1-SUM(DE$34:DE$35))/(1-SUM(AS$34:AS$35))</f>
        <v>0.17830238990151392</v>
      </c>
      <c r="DF151" s="168">
        <f t="shared" ref="DF151:DF157" si="1330">AT151*(1-SUM(DF$34:DF$35))/(1-SUM(AT$34:AT$35))</f>
        <v>0.17957035538231278</v>
      </c>
      <c r="DG151" s="168">
        <f t="shared" ref="DG151:DG157" si="1331">AU151*(1-SUM(DG$34:DG$35))/(1-SUM(AU$34:AU$35))</f>
        <v>0.17817956417013764</v>
      </c>
      <c r="DH151" s="168">
        <f t="shared" ref="DH151:DH157" si="1332">AV151*(1-SUM(DH$34:DH$35))/(1-SUM(AV$34:AV$35))</f>
        <v>0.1743673883642762</v>
      </c>
      <c r="DI151" s="168">
        <f t="shared" ref="DI151:DI157" si="1333">AW151*(1-SUM(DI$34:DI$35))/(1-SUM(AW$34:AW$35))</f>
        <v>0.16735135742952478</v>
      </c>
      <c r="DJ151" s="168">
        <f t="shared" ref="DJ151:DJ157" si="1334">AX151*(1-SUM(DJ$34:DJ$35))/(1-SUM(AX$34:AX$35))</f>
        <v>0.15656592501128752</v>
      </c>
      <c r="DK151" s="168">
        <f t="shared" ref="DK151:DK157" si="1335">AY151*(1-SUM(DK$34:DK$35))/(1-SUM(AY$34:AY$35))</f>
        <v>0.14198776396149818</v>
      </c>
      <c r="DL151" s="168">
        <f t="shared" ref="DL151:DL157" si="1336">AZ151*(1-SUM(DL$34:DL$35))/(1-SUM(AZ$34:AZ$35))</f>
        <v>0.12434281224398483</v>
      </c>
      <c r="DM151" s="168">
        <f t="shared" ref="DM151:DM157" si="1337">BA151*(1-SUM(DM$34:DM$35))/(1-SUM(BA$34:BA$35))</f>
        <v>0.10501201966967887</v>
      </c>
      <c r="DN151" s="168">
        <f t="shared" ref="DN151:DN157" si="1338">BB151*(1-SUM(DN$34:DN$35))/(1-SUM(BB$34:BB$35))</f>
        <v>8.5643189683804716E-2</v>
      </c>
      <c r="DO151" s="168">
        <f t="shared" ref="DO151:DO157" si="1339">BC151*(1-SUM(DO$34:DO$35))/(1-SUM(BC$34:BC$35))</f>
        <v>6.7682805636615481E-2</v>
      </c>
      <c r="DP151" s="168">
        <f t="shared" ref="DP151:DP157" si="1340">BD151*(1-SUM(DP$34:DP$35))/(1-SUM(BD$34:BD$35))</f>
        <v>5.2072046691652447E-2</v>
      </c>
      <c r="DQ151" s="168">
        <f t="shared" ref="DQ151:DQ157" si="1341">BE151*(1-SUM(DQ$34:DQ$35))/(1-SUM(BE$34:BE$35))</f>
        <v>3.8872116401755995E-2</v>
      </c>
      <c r="DR151" s="168">
        <f t="shared" ref="DR151:DR157" si="1342">BF151*(1-SUM(DR$34:DR$35))/(1-SUM(BF$34:BF$35))</f>
        <v>2.8445952181490378E-2</v>
      </c>
      <c r="DS151" s="168">
        <f t="shared" ref="DS151:DS157" si="1343">BG151*(1-SUM(DS$34:DS$35))/(1-SUM(BG$34:BG$35))</f>
        <v>2.0517116016636947E-2</v>
      </c>
      <c r="DT151" s="168">
        <f t="shared" ref="DT151:DT157" si="1344">BH151*(1-SUM(DT$34:DT$35))/(1-SUM(BH$34:BH$35))</f>
        <v>1.463391479764457E-2</v>
      </c>
      <c r="DU151" s="168">
        <f t="shared" ref="DU151:DU157" si="1345">BI151*(1-SUM(DU$34:DU$35))/(1-SUM(BI$34:BI$35))</f>
        <v>1.0345743876811595E-2</v>
      </c>
      <c r="DV151" s="168">
        <f t="shared" ref="DV151:DV157" si="1346">BJ151*(1-SUM(DV$34:DV$35))/(1-SUM(BJ$34:BJ$35))</f>
        <v>7.2615608666977459E-3</v>
      </c>
      <c r="DW151" s="168">
        <f t="shared" ref="DW151:DW157" si="1347">BK151*(1-SUM(DW$34:DW$35))/(1-SUM(BK$34:BK$35))</f>
        <v>5.065556527366788E-3</v>
      </c>
      <c r="DX151" s="168">
        <f t="shared" ref="DX151:DX157" si="1348">BL151*(1-SUM(DX$34:DX$35))/(1-SUM(BL$34:BL$35))</f>
        <v>3.5141838487241814E-3</v>
      </c>
      <c r="DY151" s="168">
        <f t="shared" ref="DY151:DY157" si="1349">BM151*(1-SUM(DY$34:DY$35))/(1-SUM(BM$34:BM$35))</f>
        <v>2.4253163872243215E-3</v>
      </c>
      <c r="DZ151" s="168">
        <f t="shared" ref="DZ151:DZ157" si="1350">BN151*(1-SUM(DZ$34:DZ$35))/(1-SUM(BN$34:BN$35))</f>
        <v>1.6655235239186883E-3</v>
      </c>
    </row>
    <row r="152" spans="1:165">
      <c r="A152" s="606" t="s">
        <v>460</v>
      </c>
      <c r="C152" s="54" t="s">
        <v>462</v>
      </c>
      <c r="D152" s="168">
        <f t="shared" ref="D152:AH152" si="1351">D129</f>
        <v>6.7336115814820403E-6</v>
      </c>
      <c r="E152" s="168">
        <f t="shared" si="1351"/>
        <v>1.3425645747642983E-5</v>
      </c>
      <c r="F152" s="168">
        <f t="shared" si="1351"/>
        <v>2.665206646511075E-5</v>
      </c>
      <c r="G152" s="168">
        <f t="shared" si="1351"/>
        <v>5.2723225115014659E-5</v>
      </c>
      <c r="H152" s="168">
        <f t="shared" si="1351"/>
        <v>1.0383464380689999E-4</v>
      </c>
      <c r="I152" s="168">
        <f t="shared" si="1351"/>
        <v>2.0331806358037083E-4</v>
      </c>
      <c r="J152" s="168">
        <f t="shared" si="1351"/>
        <v>3.9509334558701274E-4</v>
      </c>
      <c r="K152" s="168">
        <f t="shared" si="1351"/>
        <v>7.5999663366069703E-4</v>
      </c>
      <c r="L152" s="168">
        <f t="shared" si="1351"/>
        <v>1.4422172858679361E-3</v>
      </c>
      <c r="M152" s="168">
        <f t="shared" si="1351"/>
        <v>2.6879249296633389E-3</v>
      </c>
      <c r="N152" s="168">
        <f t="shared" si="1351"/>
        <v>4.892343569242538E-3</v>
      </c>
      <c r="O152" s="168">
        <f t="shared" si="1351"/>
        <v>8.5889205280500376E-3</v>
      </c>
      <c r="P152" s="168">
        <f t="shared" si="1351"/>
        <v>1.451242926727543E-2</v>
      </c>
      <c r="Q152" s="168">
        <f t="shared" si="1351"/>
        <v>2.3417290575546972E-2</v>
      </c>
      <c r="R152" s="168">
        <f t="shared" si="1351"/>
        <v>3.5836605073429242E-2</v>
      </c>
      <c r="S152" s="168">
        <f t="shared" si="1351"/>
        <v>5.1765567732023045E-2</v>
      </c>
      <c r="T152" s="168">
        <f t="shared" si="1351"/>
        <v>7.0467375563753584E-2</v>
      </c>
      <c r="U152" s="168">
        <f t="shared" si="1351"/>
        <v>9.0576122612054943E-2</v>
      </c>
      <c r="V152" s="168">
        <f t="shared" si="1351"/>
        <v>0.11048634160401984</v>
      </c>
      <c r="W152" s="168">
        <f t="shared" si="1351"/>
        <v>0.12880841199909357</v>
      </c>
      <c r="X152" s="168">
        <f t="shared" si="1351"/>
        <v>0.14465402148645468</v>
      </c>
      <c r="Y152" s="168">
        <f t="shared" si="1351"/>
        <v>0.15649505803095723</v>
      </c>
      <c r="Z152" s="168">
        <f t="shared" si="1351"/>
        <v>0.16474746925700437</v>
      </c>
      <c r="AA152" s="168">
        <f t="shared" si="1351"/>
        <v>0.1701682253599627</v>
      </c>
      <c r="AB152" s="168">
        <f t="shared" si="1351"/>
        <v>0.17325021618442799</v>
      </c>
      <c r="AC152" s="168">
        <f t="shared" si="1351"/>
        <v>0.17440631403696708</v>
      </c>
      <c r="AD152" s="168">
        <f t="shared" si="1351"/>
        <v>0.17397010634595633</v>
      </c>
      <c r="AE152" s="168">
        <f t="shared" si="1351"/>
        <v>0.17218344009234215</v>
      </c>
      <c r="AF152" s="168">
        <f t="shared" si="1351"/>
        <v>0.16921040241906005</v>
      </c>
      <c r="AG152" s="168">
        <f t="shared" si="1351"/>
        <v>0.16517001539818499</v>
      </c>
      <c r="AH152" s="168">
        <f t="shared" si="1351"/>
        <v>0.16017696175923879</v>
      </c>
      <c r="AI152" s="44"/>
      <c r="AJ152" s="168">
        <f t="shared" ref="AJ152:BN152" si="1352">AJ129</f>
        <v>6.7336136929481631E-6</v>
      </c>
      <c r="AK152" s="168">
        <f t="shared" si="1352"/>
        <v>1.3425654750097982E-5</v>
      </c>
      <c r="AL152" s="168">
        <f t="shared" si="1352"/>
        <v>2.6652103819908445E-5</v>
      </c>
      <c r="AM152" s="168">
        <f t="shared" si="1352"/>
        <v>5.2723378574982232E-5</v>
      </c>
      <c r="AN152" s="168">
        <f t="shared" si="1352"/>
        <v>1.0383526702957559E-4</v>
      </c>
      <c r="AO152" s="168">
        <f t="shared" si="1352"/>
        <v>2.0332055970930128E-4</v>
      </c>
      <c r="AP152" s="168">
        <f t="shared" si="1352"/>
        <v>3.9510317150172726E-4</v>
      </c>
      <c r="AQ152" s="168">
        <f t="shared" si="1352"/>
        <v>7.6003446588362381E-4</v>
      </c>
      <c r="AR152" s="168">
        <f t="shared" si="1352"/>
        <v>1.4423588242525444E-3</v>
      </c>
      <c r="AS152" s="168">
        <f t="shared" si="1352"/>
        <v>2.6884350132700833E-3</v>
      </c>
      <c r="AT152" s="168">
        <f t="shared" si="1352"/>
        <v>4.894102550637912E-3</v>
      </c>
      <c r="AU152" s="168">
        <f t="shared" si="1352"/>
        <v>8.5943570342958756E-3</v>
      </c>
      <c r="AV152" s="168">
        <f t="shared" si="1352"/>
        <v>1.4528069689574532E-2</v>
      </c>
      <c r="AW152" s="168">
        <f t="shared" si="1352"/>
        <v>2.3458360079269349E-2</v>
      </c>
      <c r="AX152" s="168">
        <f t="shared" si="1352"/>
        <v>3.5933699777692077E-2</v>
      </c>
      <c r="AY152" s="168">
        <f t="shared" si="1352"/>
        <v>5.1970351686144639E-2</v>
      </c>
      <c r="AZ152" s="168">
        <f t="shared" si="1352"/>
        <v>7.0851136058148523E-2</v>
      </c>
      <c r="BA152" s="168">
        <f t="shared" si="1352"/>
        <v>9.1217467628067692E-2</v>
      </c>
      <c r="BB152" s="168">
        <f t="shared" si="1352"/>
        <v>0.11145132510472647</v>
      </c>
      <c r="BC152" s="168">
        <f t="shared" si="1352"/>
        <v>0.13013360012232755</v>
      </c>
      <c r="BD152" s="168">
        <f t="shared" si="1352"/>
        <v>0.14634091136082958</v>
      </c>
      <c r="BE152" s="168">
        <f t="shared" si="1352"/>
        <v>0.15838939925180898</v>
      </c>
      <c r="BF152" s="168">
        <f t="shared" si="1352"/>
        <v>0.16704151026466008</v>
      </c>
      <c r="BG152" s="168">
        <f t="shared" si="1352"/>
        <v>0.17287835165281185</v>
      </c>
      <c r="BH152" s="168">
        <f t="shared" si="1352"/>
        <v>0.17637140154560682</v>
      </c>
      <c r="BI152" s="168">
        <f t="shared" si="1352"/>
        <v>0.17794482827078456</v>
      </c>
      <c r="BJ152" s="168">
        <f t="shared" si="1352"/>
        <v>0.17795328140036484</v>
      </c>
      <c r="BK152" s="168">
        <f t="shared" si="1352"/>
        <v>0.17666749542220725</v>
      </c>
      <c r="BL152" s="168">
        <f t="shared" si="1352"/>
        <v>0.1742831502235237</v>
      </c>
      <c r="BM152" s="168">
        <f t="shared" si="1352"/>
        <v>0.1709439447597835</v>
      </c>
      <c r="BN152" s="168">
        <f t="shared" si="1352"/>
        <v>0.16677016275851883</v>
      </c>
      <c r="BP152" s="168">
        <f t="shared" ref="BP152:CT152" si="1353">BP129</f>
        <v>0</v>
      </c>
      <c r="BQ152" s="168">
        <f t="shared" si="1353"/>
        <v>0</v>
      </c>
      <c r="BR152" s="168">
        <f t="shared" si="1353"/>
        <v>0</v>
      </c>
      <c r="BS152" s="168">
        <f t="shared" si="1353"/>
        <v>0</v>
      </c>
      <c r="BT152" s="168">
        <f t="shared" si="1353"/>
        <v>0</v>
      </c>
      <c r="BU152" s="168">
        <f t="shared" si="1353"/>
        <v>0</v>
      </c>
      <c r="BV152" s="168">
        <f t="shared" si="1353"/>
        <v>0</v>
      </c>
      <c r="BW152" s="168">
        <f t="shared" si="1353"/>
        <v>0</v>
      </c>
      <c r="BX152" s="168">
        <f t="shared" si="1353"/>
        <v>0</v>
      </c>
      <c r="BY152" s="168">
        <f t="shared" si="1353"/>
        <v>0</v>
      </c>
      <c r="BZ152" s="168">
        <f t="shared" si="1353"/>
        <v>0</v>
      </c>
      <c r="CA152" s="168">
        <f t="shared" si="1353"/>
        <v>0</v>
      </c>
      <c r="CB152" s="168">
        <f t="shared" si="1353"/>
        <v>0</v>
      </c>
      <c r="CC152" s="168">
        <f t="shared" si="1353"/>
        <v>0</v>
      </c>
      <c r="CD152" s="168">
        <f t="shared" si="1353"/>
        <v>0</v>
      </c>
      <c r="CE152" s="168">
        <f t="shared" si="1353"/>
        <v>0</v>
      </c>
      <c r="CF152" s="168">
        <f t="shared" si="1353"/>
        <v>0</v>
      </c>
      <c r="CG152" s="168">
        <f t="shared" si="1353"/>
        <v>0</v>
      </c>
      <c r="CH152" s="168">
        <f t="shared" si="1353"/>
        <v>0</v>
      </c>
      <c r="CI152" s="168">
        <f t="shared" si="1353"/>
        <v>0</v>
      </c>
      <c r="CJ152" s="168">
        <f t="shared" si="1353"/>
        <v>0</v>
      </c>
      <c r="CK152" s="168">
        <f t="shared" si="1353"/>
        <v>0</v>
      </c>
      <c r="CL152" s="168">
        <f t="shared" si="1353"/>
        <v>0</v>
      </c>
      <c r="CM152" s="168">
        <f t="shared" si="1353"/>
        <v>0</v>
      </c>
      <c r="CN152" s="168">
        <f t="shared" si="1353"/>
        <v>0</v>
      </c>
      <c r="CO152" s="168">
        <f t="shared" si="1353"/>
        <v>0</v>
      </c>
      <c r="CP152" s="168">
        <f t="shared" si="1353"/>
        <v>0</v>
      </c>
      <c r="CQ152" s="168">
        <f t="shared" si="1353"/>
        <v>0</v>
      </c>
      <c r="CR152" s="168">
        <f t="shared" si="1353"/>
        <v>0</v>
      </c>
      <c r="CS152" s="168">
        <f t="shared" si="1353"/>
        <v>0</v>
      </c>
      <c r="CT152" s="168">
        <f t="shared" si="1353"/>
        <v>0</v>
      </c>
      <c r="CV152" s="168">
        <f t="shared" ref="CV152:CV157" si="1354">AJ152*(1-SUM(CV$34:CV$35))/(1-SUM(AJ$34:AJ$35))</f>
        <v>6.7336136929481631E-6</v>
      </c>
      <c r="CW152" s="168">
        <f t="shared" si="1321"/>
        <v>1.3425654750097984E-5</v>
      </c>
      <c r="CX152" s="168">
        <f t="shared" si="1322"/>
        <v>2.6652103819908445E-5</v>
      </c>
      <c r="CY152" s="168">
        <f t="shared" si="1323"/>
        <v>5.2723378574982232E-5</v>
      </c>
      <c r="CZ152" s="168">
        <f t="shared" si="1324"/>
        <v>1.0383526702957559E-4</v>
      </c>
      <c r="DA152" s="168">
        <f t="shared" si="1325"/>
        <v>2.0332055970930128E-4</v>
      </c>
      <c r="DB152" s="168">
        <f t="shared" si="1326"/>
        <v>3.9510317150172726E-4</v>
      </c>
      <c r="DC152" s="168">
        <f t="shared" si="1327"/>
        <v>7.6003446588362381E-4</v>
      </c>
      <c r="DD152" s="168">
        <f t="shared" si="1328"/>
        <v>1.4423588242525444E-3</v>
      </c>
      <c r="DE152" s="168">
        <f t="shared" si="1329"/>
        <v>2.6884350132700833E-3</v>
      </c>
      <c r="DF152" s="168">
        <f t="shared" si="1330"/>
        <v>4.8941025506379111E-3</v>
      </c>
      <c r="DG152" s="168">
        <f t="shared" si="1331"/>
        <v>8.5943570342958756E-3</v>
      </c>
      <c r="DH152" s="168">
        <f t="shared" si="1332"/>
        <v>1.4528069689574532E-2</v>
      </c>
      <c r="DI152" s="168">
        <f t="shared" si="1333"/>
        <v>2.3458259973250063E-2</v>
      </c>
      <c r="DJ152" s="168">
        <f t="shared" si="1334"/>
        <v>3.5933370262078296E-2</v>
      </c>
      <c r="DK152" s="168">
        <f t="shared" si="1335"/>
        <v>5.1969584822699845E-2</v>
      </c>
      <c r="DL152" s="168">
        <f t="shared" si="1336"/>
        <v>7.0849642912439392E-2</v>
      </c>
      <c r="DM152" s="168">
        <f t="shared" si="1337"/>
        <v>9.1214898151784199E-2</v>
      </c>
      <c r="DN152" s="168">
        <f t="shared" si="1338"/>
        <v>0.11144730437780839</v>
      </c>
      <c r="DO152" s="168">
        <f t="shared" si="1339"/>
        <v>0.13012776668915169</v>
      </c>
      <c r="DP152" s="168">
        <f t="shared" si="1340"/>
        <v>0.14633294376950245</v>
      </c>
      <c r="DQ152" s="168">
        <f t="shared" si="1341"/>
        <v>0.15837870317714881</v>
      </c>
      <c r="DR152" s="168">
        <f t="shared" si="1342"/>
        <v>0.16702774511371032</v>
      </c>
      <c r="DS152" s="168">
        <f t="shared" si="1343"/>
        <v>0.17285651858557988</v>
      </c>
      <c r="DT152" s="168">
        <f t="shared" si="1344"/>
        <v>0.1763401329582322</v>
      </c>
      <c r="DU152" s="168">
        <f t="shared" si="1345"/>
        <v>0.17790281021208457</v>
      </c>
      <c r="DV152" s="168">
        <f t="shared" si="1346"/>
        <v>0.17789923254527393</v>
      </c>
      <c r="DW152" s="168">
        <f t="shared" si="1347"/>
        <v>0.17660014612043257</v>
      </c>
      <c r="DX152" s="168">
        <f t="shared" si="1348"/>
        <v>0.17420122767015744</v>
      </c>
      <c r="DY152" s="168">
        <f t="shared" si="1349"/>
        <v>0.17084617078004163</v>
      </c>
      <c r="DZ152" s="168">
        <f t="shared" si="1350"/>
        <v>0.16665527018106865</v>
      </c>
    </row>
    <row r="153" spans="1:165">
      <c r="A153" s="606" t="s">
        <v>33</v>
      </c>
      <c r="C153" s="54" t="s">
        <v>462</v>
      </c>
      <c r="D153" s="168">
        <f t="shared" ref="D153:AH153" si="1355">D130</f>
        <v>0.33785937775832225</v>
      </c>
      <c r="E153" s="168">
        <f t="shared" si="1355"/>
        <v>0.33816749047316325</v>
      </c>
      <c r="F153" s="168">
        <f t="shared" si="1355"/>
        <v>0.33793146074050345</v>
      </c>
      <c r="G153" s="168">
        <f t="shared" si="1355"/>
        <v>0.33765440384280671</v>
      </c>
      <c r="H153" s="168">
        <f t="shared" si="1355"/>
        <v>0.33733462045398677</v>
      </c>
      <c r="I153" s="168">
        <f t="shared" si="1355"/>
        <v>0.33696977249056365</v>
      </c>
      <c r="J153" s="168">
        <f t="shared" si="1355"/>
        <v>0.33655631700939792</v>
      </c>
      <c r="K153" s="168">
        <f t="shared" si="1355"/>
        <v>0.33608845221075673</v>
      </c>
      <c r="L153" s="168">
        <f t="shared" si="1355"/>
        <v>0.33555636431663999</v>
      </c>
      <c r="M153" s="168">
        <f t="shared" si="1355"/>
        <v>0.33494349399170931</v>
      </c>
      <c r="N153" s="168">
        <f t="shared" si="1355"/>
        <v>0.33422166475303405</v>
      </c>
      <c r="O153" s="168">
        <f t="shared" si="1355"/>
        <v>0.3314847209392488</v>
      </c>
      <c r="P153" s="168">
        <f t="shared" si="1355"/>
        <v>0.32852642353716688</v>
      </c>
      <c r="Q153" s="168">
        <f t="shared" si="1355"/>
        <v>0.32530485059564918</v>
      </c>
      <c r="R153" s="168">
        <f t="shared" si="1355"/>
        <v>0.32178618900898315</v>
      </c>
      <c r="S153" s="168">
        <f t="shared" si="1355"/>
        <v>0.31796830158743694</v>
      </c>
      <c r="T153" s="168">
        <f t="shared" si="1355"/>
        <v>0.31389370435171554</v>
      </c>
      <c r="U153" s="168">
        <f t="shared" si="1355"/>
        <v>0.30963966928841591</v>
      </c>
      <c r="V153" s="168">
        <f t="shared" si="1355"/>
        <v>0.30529854130623529</v>
      </c>
      <c r="W153" s="168">
        <f t="shared" si="1355"/>
        <v>0.30095026739876962</v>
      </c>
      <c r="X153" s="168">
        <f t="shared" si="1355"/>
        <v>0.29664455254226457</v>
      </c>
      <c r="Y153" s="168">
        <f t="shared" si="1355"/>
        <v>0.29020759922058437</v>
      </c>
      <c r="Z153" s="168">
        <f t="shared" si="1355"/>
        <v>0.28271898027330383</v>
      </c>
      <c r="AA153" s="168">
        <f t="shared" si="1355"/>
        <v>0.27499842375018163</v>
      </c>
      <c r="AB153" s="168">
        <f t="shared" si="1355"/>
        <v>0.26710889053886794</v>
      </c>
      <c r="AC153" s="168">
        <f t="shared" si="1355"/>
        <v>0.25899735556346165</v>
      </c>
      <c r="AD153" s="168">
        <f t="shared" si="1355"/>
        <v>0.25058972698217952</v>
      </c>
      <c r="AE153" s="168">
        <f t="shared" si="1355"/>
        <v>0.24179525718270167</v>
      </c>
      <c r="AF153" s="168">
        <f t="shared" si="1355"/>
        <v>0.23252142471156065</v>
      </c>
      <c r="AG153" s="168">
        <f t="shared" si="1355"/>
        <v>0.2227023472255715</v>
      </c>
      <c r="AH153" s="168">
        <f t="shared" si="1355"/>
        <v>0.21233328664493609</v>
      </c>
      <c r="AI153" s="44"/>
      <c r="AJ153" s="168">
        <f t="shared" ref="AJ153:BN153" si="1356">AJ130</f>
        <v>0.33785948370126562</v>
      </c>
      <c r="AK153" s="168">
        <f t="shared" si="1356"/>
        <v>0.33816771722855898</v>
      </c>
      <c r="AL153" s="168">
        <f t="shared" si="1356"/>
        <v>0.33793193437587304</v>
      </c>
      <c r="AM153" s="168">
        <f t="shared" si="1356"/>
        <v>0.33765538664372136</v>
      </c>
      <c r="AN153" s="168">
        <f t="shared" si="1356"/>
        <v>0.33733664515958622</v>
      </c>
      <c r="AO153" s="168">
        <f t="shared" si="1356"/>
        <v>0.33697390945696487</v>
      </c>
      <c r="AP153" s="168">
        <f t="shared" si="1356"/>
        <v>0.33656468711662568</v>
      </c>
      <c r="AQ153" s="168">
        <f t="shared" si="1356"/>
        <v>0.33610518251281862</v>
      </c>
      <c r="AR153" s="168">
        <f t="shared" si="1356"/>
        <v>0.33558929562748735</v>
      </c>
      <c r="AS153" s="168">
        <f t="shared" si="1356"/>
        <v>0.33500705573169148</v>
      </c>
      <c r="AT153" s="168">
        <f t="shared" si="1356"/>
        <v>0.33434183000347306</v>
      </c>
      <c r="AU153" s="168">
        <f t="shared" si="1356"/>
        <v>0.33169453994384906</v>
      </c>
      <c r="AV153" s="168">
        <f t="shared" si="1356"/>
        <v>0.3288804850044722</v>
      </c>
      <c r="AW153" s="168">
        <f t="shared" si="1356"/>
        <v>0.32587537384766013</v>
      </c>
      <c r="AX153" s="168">
        <f t="shared" si="1356"/>
        <v>0.32265802758838186</v>
      </c>
      <c r="AY153" s="168">
        <f t="shared" si="1356"/>
        <v>0.31922618030754452</v>
      </c>
      <c r="AZ153" s="168">
        <f t="shared" si="1356"/>
        <v>0.31560314793757016</v>
      </c>
      <c r="BA153" s="168">
        <f t="shared" si="1356"/>
        <v>0.31183214400394899</v>
      </c>
      <c r="BB153" s="168">
        <f t="shared" si="1356"/>
        <v>0.30796500714149827</v>
      </c>
      <c r="BC153" s="168">
        <f t="shared" si="1356"/>
        <v>0.30404646052662027</v>
      </c>
      <c r="BD153" s="168">
        <f t="shared" si="1356"/>
        <v>0.3001038873525233</v>
      </c>
      <c r="BE153" s="168">
        <f t="shared" si="1356"/>
        <v>0.29372050387537052</v>
      </c>
      <c r="BF153" s="168">
        <f t="shared" si="1356"/>
        <v>0.28665572623556079</v>
      </c>
      <c r="BG153" s="168">
        <f t="shared" si="1356"/>
        <v>0.27937809249927331</v>
      </c>
      <c r="BH153" s="168">
        <f t="shared" si="1356"/>
        <v>0.27192098473044546</v>
      </c>
      <c r="BI153" s="168">
        <f t="shared" si="1356"/>
        <v>0.2642521299346931</v>
      </c>
      <c r="BJ153" s="168">
        <f t="shared" si="1356"/>
        <v>0.25632716527184496</v>
      </c>
      <c r="BK153" s="168">
        <f t="shared" si="1356"/>
        <v>0.24809216535879999</v>
      </c>
      <c r="BL153" s="168">
        <f t="shared" si="1356"/>
        <v>0.23949216959387101</v>
      </c>
      <c r="BM153" s="168">
        <f t="shared" si="1356"/>
        <v>0.23048746257137273</v>
      </c>
      <c r="BN153" s="168">
        <f t="shared" si="1356"/>
        <v>0.22107334527953598</v>
      </c>
      <c r="BP153" s="168">
        <f t="shared" ref="BP153:CT153" si="1357">BP130</f>
        <v>0.3378596258636638</v>
      </c>
      <c r="BQ153" s="168">
        <f t="shared" si="1357"/>
        <v>0.33170653960071217</v>
      </c>
      <c r="BR153" s="168">
        <f t="shared" si="1357"/>
        <v>0.32544633238985671</v>
      </c>
      <c r="BS153" s="168">
        <f t="shared" si="1357"/>
        <v>0.31908766473896805</v>
      </c>
      <c r="BT153" s="168">
        <f t="shared" si="1357"/>
        <v>0.31263825367803899</v>
      </c>
      <c r="BU153" s="168">
        <f t="shared" si="1357"/>
        <v>0.30610497837339778</v>
      </c>
      <c r="BV153" s="168">
        <f t="shared" si="1357"/>
        <v>0.29955146602442123</v>
      </c>
      <c r="BW153" s="168">
        <f t="shared" si="1357"/>
        <v>0.29297878078500988</v>
      </c>
      <c r="BX153" s="168">
        <f t="shared" si="1357"/>
        <v>0.28638795223697805</v>
      </c>
      <c r="BY153" s="168">
        <f t="shared" si="1357"/>
        <v>0.27977997778289965</v>
      </c>
      <c r="BZ153" s="168">
        <f t="shared" si="1357"/>
        <v>0.27315582495211099</v>
      </c>
      <c r="CA153" s="168">
        <f t="shared" si="1357"/>
        <v>0.26648321526869106</v>
      </c>
      <c r="CB153" s="168">
        <f t="shared" si="1357"/>
        <v>0.25976562693549143</v>
      </c>
      <c r="CC153" s="168">
        <f t="shared" si="1357"/>
        <v>0.25300628579767676</v>
      </c>
      <c r="CD153" s="168">
        <f t="shared" si="1357"/>
        <v>0.24620819516442094</v>
      </c>
      <c r="CE153" s="168">
        <f t="shared" si="1357"/>
        <v>0.23937416373996753</v>
      </c>
      <c r="CF153" s="168">
        <f t="shared" si="1357"/>
        <v>0.23254404723726144</v>
      </c>
      <c r="CG153" s="168">
        <f t="shared" si="1357"/>
        <v>0.22571805668846967</v>
      </c>
      <c r="CH153" s="168">
        <f t="shared" si="1357"/>
        <v>0.21889640721341891</v>
      </c>
      <c r="CI153" s="168">
        <f t="shared" si="1357"/>
        <v>0.21207931817876394</v>
      </c>
      <c r="CJ153" s="168">
        <f t="shared" si="1357"/>
        <v>0.20526701336151557</v>
      </c>
      <c r="CK153" s="168">
        <f t="shared" si="1357"/>
        <v>0.19845992202082383</v>
      </c>
      <c r="CL153" s="168">
        <f t="shared" si="1357"/>
        <v>0.19165826109883438</v>
      </c>
      <c r="CM153" s="168">
        <f t="shared" si="1357"/>
        <v>0.18486225206480628</v>
      </c>
      <c r="CN153" s="168">
        <f t="shared" si="1357"/>
        <v>0.17807212107101184</v>
      </c>
      <c r="CO153" s="168">
        <f t="shared" si="1357"/>
        <v>0.17128809911297527</v>
      </c>
      <c r="CP153" s="168">
        <f t="shared" si="1357"/>
        <v>0.16451057052578724</v>
      </c>
      <c r="CQ153" s="168">
        <f t="shared" si="1357"/>
        <v>0.15773976167472809</v>
      </c>
      <c r="CR153" s="168">
        <f t="shared" si="1357"/>
        <v>0.15097590385879769</v>
      </c>
      <c r="CS153" s="168">
        <f t="shared" si="1357"/>
        <v>0.14421923346592749</v>
      </c>
      <c r="CT153" s="168">
        <f t="shared" si="1357"/>
        <v>0.1374699921325121</v>
      </c>
      <c r="CV153" s="168">
        <f t="shared" si="1354"/>
        <v>0.33785948370126556</v>
      </c>
      <c r="CW153" s="168">
        <f t="shared" si="1321"/>
        <v>0.33816771722855898</v>
      </c>
      <c r="CX153" s="168">
        <f t="shared" si="1322"/>
        <v>0.33793193437587304</v>
      </c>
      <c r="CY153" s="168">
        <f t="shared" si="1323"/>
        <v>0.33765538664372136</v>
      </c>
      <c r="CZ153" s="168">
        <f t="shared" si="1324"/>
        <v>0.33733664515958622</v>
      </c>
      <c r="DA153" s="168">
        <f t="shared" si="1325"/>
        <v>0.33697390945696487</v>
      </c>
      <c r="DB153" s="168">
        <f t="shared" si="1326"/>
        <v>0.33656468711662568</v>
      </c>
      <c r="DC153" s="168">
        <f t="shared" si="1327"/>
        <v>0.33610518251281862</v>
      </c>
      <c r="DD153" s="168">
        <f t="shared" si="1328"/>
        <v>0.33558929562748735</v>
      </c>
      <c r="DE153" s="168">
        <f t="shared" si="1329"/>
        <v>0.33500705573169148</v>
      </c>
      <c r="DF153" s="168">
        <f t="shared" si="1330"/>
        <v>0.33434183000347306</v>
      </c>
      <c r="DG153" s="168">
        <f t="shared" si="1331"/>
        <v>0.33169453994384906</v>
      </c>
      <c r="DH153" s="168">
        <f t="shared" si="1332"/>
        <v>0.32888048500447226</v>
      </c>
      <c r="DI153" s="168">
        <f t="shared" si="1333"/>
        <v>0.32587398320968075</v>
      </c>
      <c r="DJ153" s="168">
        <f t="shared" si="1334"/>
        <v>0.3226550687820619</v>
      </c>
      <c r="DK153" s="168">
        <f t="shared" si="1335"/>
        <v>0.31922146987399236</v>
      </c>
      <c r="DL153" s="168">
        <f t="shared" si="1336"/>
        <v>0.31559649678824003</v>
      </c>
      <c r="DM153" s="168">
        <f t="shared" si="1337"/>
        <v>0.3118233601019258</v>
      </c>
      <c r="DN153" s="168">
        <f t="shared" si="1338"/>
        <v>0.30795389697127035</v>
      </c>
      <c r="DO153" s="168">
        <f t="shared" si="1339"/>
        <v>0.30403283118947622</v>
      </c>
      <c r="DP153" s="168">
        <f t="shared" si="1340"/>
        <v>0.30008754807249644</v>
      </c>
      <c r="DQ153" s="168">
        <f t="shared" si="1341"/>
        <v>0.29370066885829543</v>
      </c>
      <c r="DR153" s="168">
        <f t="shared" si="1342"/>
        <v>0.2866321042069046</v>
      </c>
      <c r="DS153" s="168">
        <f t="shared" si="1343"/>
        <v>0.27934280941947554</v>
      </c>
      <c r="DT153" s="168">
        <f t="shared" si="1344"/>
        <v>0.27187277631912982</v>
      </c>
      <c r="DU153" s="168">
        <f t="shared" si="1345"/>
        <v>0.26418973215884822</v>
      </c>
      <c r="DV153" s="168">
        <f t="shared" si="1346"/>
        <v>0.25624931231121045</v>
      </c>
      <c r="DW153" s="168">
        <f t="shared" si="1347"/>
        <v>0.24799758749617309</v>
      </c>
      <c r="DX153" s="168">
        <f t="shared" si="1348"/>
        <v>0.23937959525711389</v>
      </c>
      <c r="DY153" s="168">
        <f t="shared" si="1349"/>
        <v>0.23035563177427795</v>
      </c>
      <c r="DZ153" s="168">
        <f t="shared" si="1350"/>
        <v>0.22092104173779586</v>
      </c>
    </row>
    <row r="154" spans="1:165">
      <c r="A154" s="606" t="s">
        <v>451</v>
      </c>
      <c r="C154" s="54" t="s">
        <v>462</v>
      </c>
      <c r="D154" s="168">
        <f t="shared" ref="D154:AH154" si="1358">D131</f>
        <v>7.3050729916467855E-2</v>
      </c>
      <c r="E154" s="168">
        <f t="shared" si="1358"/>
        <v>7.0666501355150582E-2</v>
      </c>
      <c r="F154" s="168">
        <f t="shared" si="1358"/>
        <v>6.8189965004998937E-2</v>
      </c>
      <c r="G154" s="168">
        <f t="shared" si="1358"/>
        <v>6.5730505325975727E-2</v>
      </c>
      <c r="H154" s="168">
        <f t="shared" si="1358"/>
        <v>6.3288446688384375E-2</v>
      </c>
      <c r="I154" s="168">
        <f t="shared" si="1358"/>
        <v>6.0864131678576038E-2</v>
      </c>
      <c r="J154" s="168">
        <f t="shared" si="1358"/>
        <v>5.8457922733898861E-2</v>
      </c>
      <c r="K154" s="168">
        <f t="shared" si="1358"/>
        <v>5.607019896188821E-2</v>
      </c>
      <c r="L154" s="168">
        <f t="shared" si="1358"/>
        <v>5.3701357663331291E-2</v>
      </c>
      <c r="M154" s="168">
        <f t="shared" si="1358"/>
        <v>5.1351814333297427E-2</v>
      </c>
      <c r="N154" s="168">
        <f t="shared" si="1358"/>
        <v>4.9022002662069866E-2</v>
      </c>
      <c r="O154" s="168">
        <f t="shared" si="1358"/>
        <v>4.6448156971573666E-2</v>
      </c>
      <c r="P154" s="168">
        <f t="shared" si="1358"/>
        <v>4.3914078925480562E-2</v>
      </c>
      <c r="Q154" s="168">
        <f t="shared" si="1358"/>
        <v>4.142085185961155E-2</v>
      </c>
      <c r="R154" s="168">
        <f t="shared" si="1358"/>
        <v>3.8969123505116311E-2</v>
      </c>
      <c r="S154" s="168">
        <f t="shared" si="1358"/>
        <v>3.6559834042834145E-2</v>
      </c>
      <c r="T154" s="168">
        <f t="shared" si="1358"/>
        <v>3.4193964203463469E-2</v>
      </c>
      <c r="U154" s="168">
        <f t="shared" si="1358"/>
        <v>3.1872531565638608E-2</v>
      </c>
      <c r="V154" s="168">
        <f t="shared" si="1358"/>
        <v>2.9596592248029668E-2</v>
      </c>
      <c r="W154" s="168">
        <f t="shared" si="1358"/>
        <v>2.7367240896770621E-2</v>
      </c>
      <c r="X154" s="168">
        <f t="shared" si="1358"/>
        <v>2.5185610672815776E-2</v>
      </c>
      <c r="Y154" s="168">
        <f t="shared" si="1358"/>
        <v>2.2843126133278827E-2</v>
      </c>
      <c r="Z154" s="168">
        <f t="shared" si="1358"/>
        <v>2.057926109471531E-2</v>
      </c>
      <c r="AA154" s="168">
        <f t="shared" si="1358"/>
        <v>1.839604119900266E-2</v>
      </c>
      <c r="AB154" s="168">
        <f t="shared" si="1358"/>
        <v>1.629531062681679E-2</v>
      </c>
      <c r="AC154" s="168">
        <f t="shared" si="1358"/>
        <v>1.427912582948087E-2</v>
      </c>
      <c r="AD154" s="168">
        <f t="shared" si="1358"/>
        <v>1.234960798293694E-2</v>
      </c>
      <c r="AE154" s="168">
        <f t="shared" si="1358"/>
        <v>1.0508942907247997E-2</v>
      </c>
      <c r="AF154" s="168">
        <f t="shared" si="1358"/>
        <v>8.7593810221844506E-3</v>
      </c>
      <c r="AG154" s="168">
        <f t="shared" si="1358"/>
        <v>7.1032372908977296E-3</v>
      </c>
      <c r="AH154" s="168">
        <f t="shared" si="1358"/>
        <v>5.5428911635143569E-3</v>
      </c>
      <c r="AI154" s="44"/>
      <c r="AJ154" s="168">
        <f t="shared" ref="AJ154:BN154" si="1359">AJ131</f>
        <v>7.3050729916467855E-2</v>
      </c>
      <c r="AK154" s="168">
        <f t="shared" si="1359"/>
        <v>7.0666501355150582E-2</v>
      </c>
      <c r="AL154" s="168">
        <f t="shared" si="1359"/>
        <v>6.8189965004998937E-2</v>
      </c>
      <c r="AM154" s="168">
        <f t="shared" si="1359"/>
        <v>6.5730505325975727E-2</v>
      </c>
      <c r="AN154" s="168">
        <f t="shared" si="1359"/>
        <v>6.3288446688384375E-2</v>
      </c>
      <c r="AO154" s="168">
        <f t="shared" si="1359"/>
        <v>6.0864131678576038E-2</v>
      </c>
      <c r="AP154" s="168">
        <f t="shared" si="1359"/>
        <v>5.8457922733898861E-2</v>
      </c>
      <c r="AQ154" s="168">
        <f t="shared" si="1359"/>
        <v>5.607019896188821E-2</v>
      </c>
      <c r="AR154" s="168">
        <f t="shared" si="1359"/>
        <v>5.3701357663331291E-2</v>
      </c>
      <c r="AS154" s="168">
        <f t="shared" si="1359"/>
        <v>5.1351814333297427E-2</v>
      </c>
      <c r="AT154" s="168">
        <f t="shared" si="1359"/>
        <v>4.9022002662069866E-2</v>
      </c>
      <c r="AU154" s="168">
        <f t="shared" si="1359"/>
        <v>4.6448156971573666E-2</v>
      </c>
      <c r="AV154" s="168">
        <f t="shared" si="1359"/>
        <v>4.3914078925480562E-2</v>
      </c>
      <c r="AW154" s="168">
        <f t="shared" si="1359"/>
        <v>4.142085185961155E-2</v>
      </c>
      <c r="AX154" s="168">
        <f t="shared" si="1359"/>
        <v>3.8969123505116311E-2</v>
      </c>
      <c r="AY154" s="168">
        <f t="shared" si="1359"/>
        <v>3.6559834042834145E-2</v>
      </c>
      <c r="AZ154" s="168">
        <f t="shared" si="1359"/>
        <v>3.4193964203463469E-2</v>
      </c>
      <c r="BA154" s="168">
        <f t="shared" si="1359"/>
        <v>3.1872531565638608E-2</v>
      </c>
      <c r="BB154" s="168">
        <f t="shared" si="1359"/>
        <v>2.9596592248029668E-2</v>
      </c>
      <c r="BC154" s="168">
        <f t="shared" si="1359"/>
        <v>2.7367240896770621E-2</v>
      </c>
      <c r="BD154" s="168">
        <f t="shared" si="1359"/>
        <v>2.5185610672815776E-2</v>
      </c>
      <c r="BE154" s="168">
        <f t="shared" si="1359"/>
        <v>2.2843126133278827E-2</v>
      </c>
      <c r="BF154" s="168">
        <f t="shared" si="1359"/>
        <v>2.057926109471531E-2</v>
      </c>
      <c r="BG154" s="168">
        <f t="shared" si="1359"/>
        <v>1.839604119900266E-2</v>
      </c>
      <c r="BH154" s="168">
        <f t="shared" si="1359"/>
        <v>1.629531062681679E-2</v>
      </c>
      <c r="BI154" s="168">
        <f t="shared" si="1359"/>
        <v>1.427912582948087E-2</v>
      </c>
      <c r="BJ154" s="168">
        <f t="shared" si="1359"/>
        <v>1.234960798293694E-2</v>
      </c>
      <c r="BK154" s="168">
        <f t="shared" si="1359"/>
        <v>1.0508942907247997E-2</v>
      </c>
      <c r="BL154" s="168">
        <f t="shared" si="1359"/>
        <v>8.7593810221844506E-3</v>
      </c>
      <c r="BM154" s="168">
        <f t="shared" si="1359"/>
        <v>7.1032372908977296E-3</v>
      </c>
      <c r="BN154" s="168">
        <f t="shared" si="1359"/>
        <v>5.5428911635143569E-3</v>
      </c>
      <c r="BP154" s="168">
        <f t="shared" ref="BP154:CT154" si="1360">BP131</f>
        <v>7.3050729916467855E-2</v>
      </c>
      <c r="BQ154" s="168">
        <f t="shared" si="1360"/>
        <v>7.3255290383283822E-2</v>
      </c>
      <c r="BR154" s="168">
        <f t="shared" si="1360"/>
        <v>7.3440618620333437E-2</v>
      </c>
      <c r="BS154" s="168">
        <f t="shared" si="1360"/>
        <v>7.3607410165294831E-2</v>
      </c>
      <c r="BT154" s="168">
        <f t="shared" si="1360"/>
        <v>7.3756207733903553E-2</v>
      </c>
      <c r="BU154" s="168">
        <f t="shared" si="1360"/>
        <v>7.3887408572889113E-2</v>
      </c>
      <c r="BV154" s="168">
        <f t="shared" si="1360"/>
        <v>7.4015475663912769E-2</v>
      </c>
      <c r="BW154" s="168">
        <f t="shared" si="1360"/>
        <v>7.4140444055660989E-2</v>
      </c>
      <c r="BX154" s="168">
        <f t="shared" si="1360"/>
        <v>7.4262344482502629E-2</v>
      </c>
      <c r="BY154" s="168">
        <f t="shared" si="1360"/>
        <v>7.43812034263443E-2</v>
      </c>
      <c r="BZ154" s="168">
        <f t="shared" si="1360"/>
        <v>7.4497043168757507E-2</v>
      </c>
      <c r="CA154" s="168">
        <f t="shared" si="1360"/>
        <v>7.4600582527755727E-2</v>
      </c>
      <c r="CB154" s="168">
        <f t="shared" si="1360"/>
        <v>7.469181624349111E-2</v>
      </c>
      <c r="CC154" s="168">
        <f t="shared" si="1360"/>
        <v>7.4770668976194499E-2</v>
      </c>
      <c r="CD154" s="168">
        <f t="shared" si="1360"/>
        <v>7.4836994347960581E-2</v>
      </c>
      <c r="CE154" s="168">
        <f t="shared" si="1360"/>
        <v>7.4890573300603974E-2</v>
      </c>
      <c r="CF154" s="168">
        <f t="shared" si="1360"/>
        <v>7.4943105270776106E-2</v>
      </c>
      <c r="CG154" s="168">
        <f t="shared" si="1360"/>
        <v>7.4994571905034377E-2</v>
      </c>
      <c r="CH154" s="168">
        <f t="shared" si="1360"/>
        <v>7.5044954359001034E-2</v>
      </c>
      <c r="CI154" s="168">
        <f t="shared" si="1360"/>
        <v>7.5094233285087533E-2</v>
      </c>
      <c r="CJ154" s="168">
        <f t="shared" si="1360"/>
        <v>7.5142388819840436E-2</v>
      </c>
      <c r="CK154" s="168">
        <f t="shared" si="1360"/>
        <v>7.5189476686246495E-2</v>
      </c>
      <c r="CL154" s="168">
        <f t="shared" si="1360"/>
        <v>7.5235477852550942E-2</v>
      </c>
      <c r="CM154" s="168">
        <f t="shared" si="1360"/>
        <v>7.5280372810160992E-2</v>
      </c>
      <c r="CN154" s="168">
        <f t="shared" si="1360"/>
        <v>7.5324141561865288E-2</v>
      </c>
      <c r="CO154" s="168">
        <f t="shared" si="1360"/>
        <v>7.5366763609709009E-2</v>
      </c>
      <c r="CP154" s="168">
        <f t="shared" si="1360"/>
        <v>7.5408285934683725E-2</v>
      </c>
      <c r="CQ154" s="168">
        <f t="shared" si="1360"/>
        <v>7.5448688782533205E-2</v>
      </c>
      <c r="CR154" s="168">
        <f t="shared" si="1360"/>
        <v>7.5487951929398736E-2</v>
      </c>
      <c r="CS154" s="168">
        <f t="shared" si="1360"/>
        <v>7.5526054670406628E-2</v>
      </c>
      <c r="CT154" s="168">
        <f t="shared" si="1360"/>
        <v>7.5562975807937111E-2</v>
      </c>
      <c r="CV154" s="168">
        <f t="shared" si="1354"/>
        <v>7.3050729916467841E-2</v>
      </c>
      <c r="CW154" s="168">
        <f t="shared" si="1321"/>
        <v>7.0666501355150582E-2</v>
      </c>
      <c r="CX154" s="168">
        <f t="shared" si="1322"/>
        <v>6.8189965004998937E-2</v>
      </c>
      <c r="CY154" s="168">
        <f t="shared" si="1323"/>
        <v>6.5730505325975727E-2</v>
      </c>
      <c r="CZ154" s="168">
        <f t="shared" si="1324"/>
        <v>6.3288446688384375E-2</v>
      </c>
      <c r="DA154" s="168">
        <f t="shared" si="1325"/>
        <v>6.0864131678576038E-2</v>
      </c>
      <c r="DB154" s="168">
        <f t="shared" si="1326"/>
        <v>5.8457922733898861E-2</v>
      </c>
      <c r="DC154" s="168">
        <f t="shared" si="1327"/>
        <v>5.607019896188821E-2</v>
      </c>
      <c r="DD154" s="168">
        <f t="shared" si="1328"/>
        <v>5.3701357663331298E-2</v>
      </c>
      <c r="DE154" s="168">
        <f t="shared" si="1329"/>
        <v>5.1351814333297427E-2</v>
      </c>
      <c r="DF154" s="168">
        <f t="shared" si="1330"/>
        <v>4.9022002662069866E-2</v>
      </c>
      <c r="DG154" s="168">
        <f t="shared" si="1331"/>
        <v>4.6448156971573666E-2</v>
      </c>
      <c r="DH154" s="168">
        <f t="shared" si="1332"/>
        <v>4.3914078925480569E-2</v>
      </c>
      <c r="DI154" s="168">
        <f t="shared" si="1333"/>
        <v>4.1420675100597659E-2</v>
      </c>
      <c r="DJ154" s="168">
        <f t="shared" si="1334"/>
        <v>3.8968766154363961E-2</v>
      </c>
      <c r="DK154" s="168">
        <f t="shared" si="1335"/>
        <v>3.6559294573706741E-2</v>
      </c>
      <c r="DL154" s="168">
        <f t="shared" si="1336"/>
        <v>3.4193243585929727E-2</v>
      </c>
      <c r="DM154" s="168">
        <f t="shared" si="1337"/>
        <v>3.1871633758276903E-2</v>
      </c>
      <c r="DN154" s="168">
        <f t="shared" si="1338"/>
        <v>2.9595524519000667E-2</v>
      </c>
      <c r="DO154" s="168">
        <f t="shared" si="1339"/>
        <v>2.7366014119283261E-2</v>
      </c>
      <c r="DP154" s="168">
        <f t="shared" si="1340"/>
        <v>2.518423943184632E-2</v>
      </c>
      <c r="DQ154" s="168">
        <f t="shared" si="1341"/>
        <v>2.284158353141439E-2</v>
      </c>
      <c r="DR154" s="168">
        <f t="shared" si="1342"/>
        <v>2.0577565248964431E-2</v>
      </c>
      <c r="DS154" s="168">
        <f t="shared" si="1343"/>
        <v>1.8393717935271486E-2</v>
      </c>
      <c r="DT154" s="168">
        <f t="shared" si="1344"/>
        <v>1.6292421658766043E-2</v>
      </c>
      <c r="DU154" s="168">
        <f t="shared" si="1345"/>
        <v>1.4275754103799835E-2</v>
      </c>
      <c r="DV154" s="168">
        <f t="shared" si="1346"/>
        <v>1.2345857098620299E-2</v>
      </c>
      <c r="DW154" s="168">
        <f t="shared" si="1347"/>
        <v>1.0504936680944163E-2</v>
      </c>
      <c r="DX154" s="168">
        <f t="shared" si="1348"/>
        <v>8.7552636370079439E-3</v>
      </c>
      <c r="DY154" s="168">
        <f t="shared" si="1349"/>
        <v>7.099174486684583E-3</v>
      </c>
      <c r="DZ154" s="168">
        <f t="shared" si="1350"/>
        <v>5.5390725124932864E-3</v>
      </c>
    </row>
    <row r="155" spans="1:165">
      <c r="A155" s="606" t="s">
        <v>452</v>
      </c>
      <c r="C155" s="54" t="s">
        <v>462</v>
      </c>
      <c r="D155" s="168">
        <f t="shared" ref="D155:AH155" si="1361">D132</f>
        <v>0.24654621346807901</v>
      </c>
      <c r="E155" s="168">
        <f t="shared" si="1361"/>
        <v>0.24232847460414303</v>
      </c>
      <c r="F155" s="168">
        <f t="shared" si="1361"/>
        <v>0.23775970099088134</v>
      </c>
      <c r="G155" s="168">
        <f t="shared" si="1361"/>
        <v>0.23320823122503723</v>
      </c>
      <c r="H155" s="168">
        <f t="shared" si="1361"/>
        <v>0.22867429322312485</v>
      </c>
      <c r="I155" s="168">
        <f t="shared" si="1361"/>
        <v>0.22415814349914612</v>
      </c>
      <c r="J155" s="168">
        <f t="shared" si="1361"/>
        <v>0.21966007330313531</v>
      </c>
      <c r="K155" s="168">
        <f t="shared" si="1361"/>
        <v>0.2151803970631628</v>
      </c>
      <c r="L155" s="168">
        <f t="shared" si="1361"/>
        <v>0.21071945778763715</v>
      </c>
      <c r="M155" s="168">
        <f t="shared" si="1361"/>
        <v>0.2062776270676526</v>
      </c>
      <c r="N155" s="168">
        <f t="shared" si="1361"/>
        <v>0.2018553050791114</v>
      </c>
      <c r="O155" s="168">
        <f t="shared" si="1361"/>
        <v>0.19633607456082383</v>
      </c>
      <c r="P155" s="168">
        <f t="shared" si="1361"/>
        <v>0.19085734302228108</v>
      </c>
      <c r="Q155" s="168">
        <f t="shared" si="1361"/>
        <v>0.18542086033799279</v>
      </c>
      <c r="R155" s="168">
        <f t="shared" si="1361"/>
        <v>0.18002637337574873</v>
      </c>
      <c r="S155" s="168">
        <f t="shared" si="1361"/>
        <v>0.17467476264909662</v>
      </c>
      <c r="T155" s="168">
        <f t="shared" si="1361"/>
        <v>0.16936697894528016</v>
      </c>
      <c r="U155" s="168">
        <f t="shared" si="1361"/>
        <v>0.16410402616027164</v>
      </c>
      <c r="V155" s="168">
        <f t="shared" si="1361"/>
        <v>0.15888696891047518</v>
      </c>
      <c r="W155" s="168">
        <f t="shared" si="1361"/>
        <v>0.15371693251363697</v>
      </c>
      <c r="X155" s="168">
        <f t="shared" si="1361"/>
        <v>0.1485951029696132</v>
      </c>
      <c r="Y155" s="168">
        <f t="shared" si="1361"/>
        <v>0.14221688205557476</v>
      </c>
      <c r="Z155" s="168">
        <f t="shared" si="1361"/>
        <v>0.13591884071858493</v>
      </c>
      <c r="AA155" s="168">
        <f t="shared" si="1361"/>
        <v>0.12970373351701889</v>
      </c>
      <c r="AB155" s="168">
        <f t="shared" si="1361"/>
        <v>0.12357277225336077</v>
      </c>
      <c r="AC155" s="168">
        <f t="shared" si="1361"/>
        <v>0.11752818951957342</v>
      </c>
      <c r="AD155" s="168">
        <f t="shared" si="1361"/>
        <v>0.11157232039756834</v>
      </c>
      <c r="AE155" s="168">
        <f t="shared" si="1361"/>
        <v>0.10570760218467118</v>
      </c>
      <c r="AF155" s="168">
        <f t="shared" si="1361"/>
        <v>9.9936574389468208E-2</v>
      </c>
      <c r="AG155" s="168">
        <f t="shared" si="1361"/>
        <v>9.4261878644075467E-2</v>
      </c>
      <c r="AH155" s="168">
        <f t="shared" si="1361"/>
        <v>8.868625861622971E-2</v>
      </c>
      <c r="AI155" s="44"/>
      <c r="AJ155" s="168">
        <f t="shared" ref="AJ155:BN155" si="1362">AJ132</f>
        <v>0.24654621346807901</v>
      </c>
      <c r="AK155" s="168">
        <f t="shared" si="1362"/>
        <v>0.24232847460414303</v>
      </c>
      <c r="AL155" s="168">
        <f t="shared" si="1362"/>
        <v>0.23775970099088134</v>
      </c>
      <c r="AM155" s="168">
        <f t="shared" si="1362"/>
        <v>0.23320823122503723</v>
      </c>
      <c r="AN155" s="168">
        <f t="shared" si="1362"/>
        <v>0.22867429322312485</v>
      </c>
      <c r="AO155" s="168">
        <f t="shared" si="1362"/>
        <v>0.22415814349914612</v>
      </c>
      <c r="AP155" s="168">
        <f t="shared" si="1362"/>
        <v>0.21966007330313531</v>
      </c>
      <c r="AQ155" s="168">
        <f t="shared" si="1362"/>
        <v>0.2151803970631628</v>
      </c>
      <c r="AR155" s="168">
        <f t="shared" si="1362"/>
        <v>0.21071945778763715</v>
      </c>
      <c r="AS155" s="168">
        <f t="shared" si="1362"/>
        <v>0.2062776270676526</v>
      </c>
      <c r="AT155" s="168">
        <f t="shared" si="1362"/>
        <v>0.2018553050791114</v>
      </c>
      <c r="AU155" s="168">
        <f t="shared" si="1362"/>
        <v>0.19633607456082383</v>
      </c>
      <c r="AV155" s="168">
        <f t="shared" si="1362"/>
        <v>0.19085734302228108</v>
      </c>
      <c r="AW155" s="168">
        <f t="shared" si="1362"/>
        <v>0.18542086033799279</v>
      </c>
      <c r="AX155" s="168">
        <f t="shared" si="1362"/>
        <v>0.18002637337574873</v>
      </c>
      <c r="AY155" s="168">
        <f t="shared" si="1362"/>
        <v>0.17467476264909662</v>
      </c>
      <c r="AZ155" s="168">
        <f t="shared" si="1362"/>
        <v>0.16936697894528016</v>
      </c>
      <c r="BA155" s="168">
        <f t="shared" si="1362"/>
        <v>0.16410402616027164</v>
      </c>
      <c r="BB155" s="168">
        <f t="shared" si="1362"/>
        <v>0.15888696891047518</v>
      </c>
      <c r="BC155" s="168">
        <f t="shared" si="1362"/>
        <v>0.15371693251363697</v>
      </c>
      <c r="BD155" s="168">
        <f t="shared" si="1362"/>
        <v>0.1485951029696132</v>
      </c>
      <c r="BE155" s="168">
        <f t="shared" si="1362"/>
        <v>0.14221688205557476</v>
      </c>
      <c r="BF155" s="168">
        <f t="shared" si="1362"/>
        <v>0.13591884071858493</v>
      </c>
      <c r="BG155" s="168">
        <f t="shared" si="1362"/>
        <v>0.12970373351701889</v>
      </c>
      <c r="BH155" s="168">
        <f t="shared" si="1362"/>
        <v>0.12357277225336077</v>
      </c>
      <c r="BI155" s="168">
        <f t="shared" si="1362"/>
        <v>0.11752818951957342</v>
      </c>
      <c r="BJ155" s="168">
        <f t="shared" si="1362"/>
        <v>0.11157232039756834</v>
      </c>
      <c r="BK155" s="168">
        <f t="shared" si="1362"/>
        <v>0.10570760218467118</v>
      </c>
      <c r="BL155" s="168">
        <f t="shared" si="1362"/>
        <v>9.9936574389468208E-2</v>
      </c>
      <c r="BM155" s="168">
        <f t="shared" si="1362"/>
        <v>9.4261878644075467E-2</v>
      </c>
      <c r="BN155" s="168">
        <f t="shared" si="1362"/>
        <v>8.868625861622971E-2</v>
      </c>
      <c r="BP155" s="168">
        <f t="shared" ref="BP155:CT155" si="1363">BP132</f>
        <v>0.24654621346807901</v>
      </c>
      <c r="BQ155" s="168">
        <f t="shared" si="1363"/>
        <v>0.2497935286727539</v>
      </c>
      <c r="BR155" s="168">
        <f t="shared" si="1363"/>
        <v>0.25298248010196323</v>
      </c>
      <c r="BS155" s="168">
        <f t="shared" si="1363"/>
        <v>0.25611345454773815</v>
      </c>
      <c r="BT155" s="168">
        <f t="shared" si="1363"/>
        <v>0.25918640827220829</v>
      </c>
      <c r="BU155" s="168">
        <f t="shared" si="1363"/>
        <v>0.26220086603298531</v>
      </c>
      <c r="BV155" s="168">
        <f t="shared" si="1363"/>
        <v>0.26520681602652607</v>
      </c>
      <c r="BW155" s="168">
        <f t="shared" si="1363"/>
        <v>0.26820405164786393</v>
      </c>
      <c r="BX155" s="168">
        <f t="shared" si="1363"/>
        <v>0.27119235699633371</v>
      </c>
      <c r="BY155" s="168">
        <f t="shared" si="1363"/>
        <v>0.27417150632553594</v>
      </c>
      <c r="BZ155" s="168">
        <f t="shared" si="1363"/>
        <v>0.27714126347554213</v>
      </c>
      <c r="CA155" s="168">
        <f t="shared" si="1363"/>
        <v>0.28006646971168114</v>
      </c>
      <c r="CB155" s="168">
        <f t="shared" si="1363"/>
        <v>0.28294584576967791</v>
      </c>
      <c r="CC155" s="168">
        <f t="shared" si="1363"/>
        <v>0.28577785001889483</v>
      </c>
      <c r="CD155" s="168">
        <f t="shared" si="1363"/>
        <v>0.28856066289123516</v>
      </c>
      <c r="CE155" s="168">
        <f t="shared" si="1363"/>
        <v>0.29129216854345319</v>
      </c>
      <c r="CF155" s="168">
        <f t="shared" si="1363"/>
        <v>0.29401698652799552</v>
      </c>
      <c r="CG155" s="168">
        <f t="shared" si="1363"/>
        <v>0.29673494832110259</v>
      </c>
      <c r="CH155" s="168">
        <f t="shared" si="1363"/>
        <v>0.29944588145205264</v>
      </c>
      <c r="CI155" s="168">
        <f t="shared" si="1363"/>
        <v>0.30214960938395374</v>
      </c>
      <c r="CJ155" s="168">
        <f t="shared" si="1363"/>
        <v>0.30484595139105958</v>
      </c>
      <c r="CK155" s="168">
        <f t="shared" si="1363"/>
        <v>0.30753503375446456</v>
      </c>
      <c r="CL155" s="168">
        <f t="shared" si="1363"/>
        <v>0.31021668240256972</v>
      </c>
      <c r="CM155" s="168">
        <f t="shared" si="1363"/>
        <v>0.31289071922959533</v>
      </c>
      <c r="CN155" s="168">
        <f t="shared" si="1363"/>
        <v>0.31555696198004674</v>
      </c>
      <c r="CO155" s="168">
        <f t="shared" si="1363"/>
        <v>0.31821522412988196</v>
      </c>
      <c r="CP155" s="168">
        <f t="shared" si="1363"/>
        <v>0.32086560407397247</v>
      </c>
      <c r="CQ155" s="168">
        <f t="shared" si="1363"/>
        <v>0.32350792070479112</v>
      </c>
      <c r="CR155" s="168">
        <f t="shared" si="1363"/>
        <v>0.32614198877065448</v>
      </c>
      <c r="CS155" s="168">
        <f t="shared" si="1363"/>
        <v>0.32876761876229216</v>
      </c>
      <c r="CT155" s="168">
        <f t="shared" si="1363"/>
        <v>0.33138461679625425</v>
      </c>
      <c r="CV155" s="168">
        <f t="shared" si="1354"/>
        <v>0.24654621346807901</v>
      </c>
      <c r="CW155" s="168">
        <f t="shared" si="1321"/>
        <v>0.24232847460414303</v>
      </c>
      <c r="CX155" s="168">
        <f t="shared" si="1322"/>
        <v>0.23775970099088134</v>
      </c>
      <c r="CY155" s="168">
        <f t="shared" si="1323"/>
        <v>0.23320823122503723</v>
      </c>
      <c r="CZ155" s="168">
        <f t="shared" si="1324"/>
        <v>0.22867429322312485</v>
      </c>
      <c r="DA155" s="168">
        <f t="shared" si="1325"/>
        <v>0.22415814349914615</v>
      </c>
      <c r="DB155" s="168">
        <f t="shared" si="1326"/>
        <v>0.21966007330313533</v>
      </c>
      <c r="DC155" s="168">
        <f t="shared" si="1327"/>
        <v>0.2151803970631628</v>
      </c>
      <c r="DD155" s="168">
        <f t="shared" si="1328"/>
        <v>0.21071945778763715</v>
      </c>
      <c r="DE155" s="168">
        <f t="shared" si="1329"/>
        <v>0.2062776270676526</v>
      </c>
      <c r="DF155" s="168">
        <f t="shared" si="1330"/>
        <v>0.2018553050791114</v>
      </c>
      <c r="DG155" s="168">
        <f t="shared" si="1331"/>
        <v>0.19633607456082383</v>
      </c>
      <c r="DH155" s="168">
        <f t="shared" si="1332"/>
        <v>0.19085734302228108</v>
      </c>
      <c r="DI155" s="168">
        <f t="shared" si="1333"/>
        <v>0.18542006907448763</v>
      </c>
      <c r="DJ155" s="168">
        <f t="shared" si="1334"/>
        <v>0.18002472251593504</v>
      </c>
      <c r="DK155" s="168">
        <f t="shared" si="1335"/>
        <v>0.17467218518548788</v>
      </c>
      <c r="DL155" s="168">
        <f t="shared" si="1336"/>
        <v>0.16936340963655835</v>
      </c>
      <c r="DM155" s="168">
        <f t="shared" si="1337"/>
        <v>0.16409940356534319</v>
      </c>
      <c r="DN155" s="168">
        <f t="shared" si="1338"/>
        <v>0.15888123689147737</v>
      </c>
      <c r="DO155" s="168">
        <f t="shared" si="1339"/>
        <v>0.15371004192232948</v>
      </c>
      <c r="DP155" s="168">
        <f t="shared" si="1340"/>
        <v>0.14858701264789342</v>
      </c>
      <c r="DQ155" s="168">
        <f t="shared" si="1341"/>
        <v>0.14220727811493486</v>
      </c>
      <c r="DR155" s="168">
        <f t="shared" si="1342"/>
        <v>0.13590764024897445</v>
      </c>
      <c r="DS155" s="168">
        <f t="shared" si="1343"/>
        <v>0.12968735303729403</v>
      </c>
      <c r="DT155" s="168">
        <f t="shared" si="1344"/>
        <v>0.12355086424564259</v>
      </c>
      <c r="DU155" s="168">
        <f t="shared" si="1345"/>
        <v>0.11750043762358335</v>
      </c>
      <c r="DV155" s="168">
        <f t="shared" si="1346"/>
        <v>0.11153843309788007</v>
      </c>
      <c r="DW155" s="168">
        <f t="shared" si="1347"/>
        <v>0.10566730426126202</v>
      </c>
      <c r="DX155" s="168">
        <f t="shared" si="1348"/>
        <v>9.9889598767681692E-2</v>
      </c>
      <c r="DY155" s="168">
        <f t="shared" si="1349"/>
        <v>9.4207964134111824E-2</v>
      </c>
      <c r="DZ155" s="168">
        <f t="shared" si="1350"/>
        <v>8.8625160199892583E-2</v>
      </c>
    </row>
    <row r="156" spans="1:165">
      <c r="A156" s="606" t="s">
        <v>453</v>
      </c>
      <c r="C156" s="54" t="s">
        <v>462</v>
      </c>
      <c r="D156" s="168">
        <f t="shared" ref="D156:AH156" si="1364">D133</f>
        <v>6.3919388676909383E-2</v>
      </c>
      <c r="E156" s="168">
        <f t="shared" si="1364"/>
        <v>6.3387548425864693E-2</v>
      </c>
      <c r="F156" s="168">
        <f t="shared" si="1364"/>
        <v>6.2758905845308771E-2</v>
      </c>
      <c r="G156" s="168">
        <f t="shared" si="1364"/>
        <v>6.212883380126473E-2</v>
      </c>
      <c r="H156" s="168">
        <f t="shared" si="1364"/>
        <v>6.1497264234939543E-2</v>
      </c>
      <c r="I156" s="168">
        <f t="shared" si="1364"/>
        <v>6.0864131678576051E-2</v>
      </c>
      <c r="J156" s="168">
        <f t="shared" si="1364"/>
        <v>6.0229374937956416E-2</v>
      </c>
      <c r="K156" s="168">
        <f t="shared" si="1364"/>
        <v>5.9592933975200567E-2</v>
      </c>
      <c r="L156" s="168">
        <f t="shared" si="1364"/>
        <v>5.8954751347787632E-2</v>
      </c>
      <c r="M156" s="168">
        <f t="shared" si="1364"/>
        <v>5.8314772208998784E-2</v>
      </c>
      <c r="N156" s="168">
        <f t="shared" si="1364"/>
        <v>5.76729443083175E-2</v>
      </c>
      <c r="O156" s="168">
        <f t="shared" si="1364"/>
        <v>5.670664562787215E-2</v>
      </c>
      <c r="P156" s="168">
        <f t="shared" si="1364"/>
        <v>5.5737100174648405E-2</v>
      </c>
      <c r="Q156" s="168">
        <f t="shared" si="1364"/>
        <v>5.4764481988882389E-2</v>
      </c>
      <c r="R156" s="168">
        <f t="shared" si="1364"/>
        <v>5.3788367654949279E-2</v>
      </c>
      <c r="S156" s="168">
        <f t="shared" si="1364"/>
        <v>5.2808649172982641E-2</v>
      </c>
      <c r="T156" s="168">
        <f t="shared" si="1364"/>
        <v>5.1825226995874323E-2</v>
      </c>
      <c r="U156" s="168">
        <f t="shared" si="1364"/>
        <v>5.0838004893952481E-2</v>
      </c>
      <c r="V156" s="168">
        <f t="shared" si="1364"/>
        <v>4.9846892207207859E-2</v>
      </c>
      <c r="W156" s="168">
        <f t="shared" si="1364"/>
        <v>4.8851803843768103E-2</v>
      </c>
      <c r="X156" s="168">
        <f t="shared" si="1364"/>
        <v>4.7852660278349966E-2</v>
      </c>
      <c r="Y156" s="168">
        <f t="shared" si="1364"/>
        <v>4.6423127303115035E-2</v>
      </c>
      <c r="Z156" s="168">
        <f t="shared" si="1364"/>
        <v>4.4987221927982296E-2</v>
      </c>
      <c r="AA156" s="168">
        <f t="shared" si="1364"/>
        <v>4.3545059547006298E-2</v>
      </c>
      <c r="AB156" s="168">
        <f t="shared" si="1364"/>
        <v>4.2096219119276718E-2</v>
      </c>
      <c r="AC156" s="168">
        <f t="shared" si="1364"/>
        <v>4.0640588899291723E-2</v>
      </c>
      <c r="AD156" s="168">
        <f t="shared" si="1364"/>
        <v>3.9178066704489624E-2</v>
      </c>
      <c r="AE156" s="168">
        <f t="shared" si="1364"/>
        <v>3.7708559843654621E-2</v>
      </c>
      <c r="AF156" s="168">
        <f t="shared" si="1364"/>
        <v>3.6231985137217551E-2</v>
      </c>
      <c r="AG156" s="168">
        <f t="shared" si="1364"/>
        <v>3.4748268909526793E-2</v>
      </c>
      <c r="AH156" s="168">
        <f t="shared" si="1364"/>
        <v>3.3257346981086136E-2</v>
      </c>
      <c r="AI156" s="44"/>
      <c r="AJ156" s="168">
        <f t="shared" ref="AJ156:BN156" si="1365">AJ133</f>
        <v>6.3919388676909383E-2</v>
      </c>
      <c r="AK156" s="168">
        <f t="shared" si="1365"/>
        <v>6.3387548425864693E-2</v>
      </c>
      <c r="AL156" s="168">
        <f t="shared" si="1365"/>
        <v>6.2758905845308771E-2</v>
      </c>
      <c r="AM156" s="168">
        <f t="shared" si="1365"/>
        <v>6.212883380126473E-2</v>
      </c>
      <c r="AN156" s="168">
        <f t="shared" si="1365"/>
        <v>6.1497264234939543E-2</v>
      </c>
      <c r="AO156" s="168">
        <f t="shared" si="1365"/>
        <v>6.0864131678576051E-2</v>
      </c>
      <c r="AP156" s="168">
        <f t="shared" si="1365"/>
        <v>6.0229374937956416E-2</v>
      </c>
      <c r="AQ156" s="168">
        <f t="shared" si="1365"/>
        <v>5.9592933975200567E-2</v>
      </c>
      <c r="AR156" s="168">
        <f t="shared" si="1365"/>
        <v>5.8954751347787632E-2</v>
      </c>
      <c r="AS156" s="168">
        <f t="shared" si="1365"/>
        <v>5.8314772208998784E-2</v>
      </c>
      <c r="AT156" s="168">
        <f t="shared" si="1365"/>
        <v>5.76729443083175E-2</v>
      </c>
      <c r="AU156" s="168">
        <f t="shared" si="1365"/>
        <v>5.670664562787215E-2</v>
      </c>
      <c r="AV156" s="168">
        <f t="shared" si="1365"/>
        <v>5.5737100174648405E-2</v>
      </c>
      <c r="AW156" s="168">
        <f t="shared" si="1365"/>
        <v>5.4764481988882389E-2</v>
      </c>
      <c r="AX156" s="168">
        <f t="shared" si="1365"/>
        <v>5.3788367654949279E-2</v>
      </c>
      <c r="AY156" s="168">
        <f t="shared" si="1365"/>
        <v>5.2808649172982641E-2</v>
      </c>
      <c r="AZ156" s="168">
        <f t="shared" si="1365"/>
        <v>5.1825226995874323E-2</v>
      </c>
      <c r="BA156" s="168">
        <f t="shared" si="1365"/>
        <v>5.0838004893952481E-2</v>
      </c>
      <c r="BB156" s="168">
        <f t="shared" si="1365"/>
        <v>4.9846892207207859E-2</v>
      </c>
      <c r="BC156" s="168">
        <f t="shared" si="1365"/>
        <v>4.8851803843768103E-2</v>
      </c>
      <c r="BD156" s="168">
        <f t="shared" si="1365"/>
        <v>4.7852660278349966E-2</v>
      </c>
      <c r="BE156" s="168">
        <f t="shared" si="1365"/>
        <v>4.6423127303115035E-2</v>
      </c>
      <c r="BF156" s="168">
        <f t="shared" si="1365"/>
        <v>4.4987221927982296E-2</v>
      </c>
      <c r="BG156" s="168">
        <f t="shared" si="1365"/>
        <v>4.3545059547006298E-2</v>
      </c>
      <c r="BH156" s="168">
        <f t="shared" si="1365"/>
        <v>4.2096219119276718E-2</v>
      </c>
      <c r="BI156" s="168">
        <f t="shared" si="1365"/>
        <v>4.0640588899291723E-2</v>
      </c>
      <c r="BJ156" s="168">
        <f t="shared" si="1365"/>
        <v>3.9178066704489624E-2</v>
      </c>
      <c r="BK156" s="168">
        <f t="shared" si="1365"/>
        <v>3.7708559843654621E-2</v>
      </c>
      <c r="BL156" s="168">
        <f t="shared" si="1365"/>
        <v>3.6231985137217551E-2</v>
      </c>
      <c r="BM156" s="168">
        <f t="shared" si="1365"/>
        <v>3.4748268909526793E-2</v>
      </c>
      <c r="BN156" s="168">
        <f t="shared" si="1365"/>
        <v>3.3257346981086136E-2</v>
      </c>
      <c r="BP156" s="168">
        <f t="shared" ref="BP156:CT156" si="1366">BP133</f>
        <v>6.3919388676909383E-2</v>
      </c>
      <c r="BQ156" s="168">
        <f t="shared" si="1366"/>
        <v>6.5176783537020735E-2</v>
      </c>
      <c r="BR156" s="168">
        <f t="shared" si="1366"/>
        <v>6.642011060592086E-2</v>
      </c>
      <c r="BS156" s="168">
        <f t="shared" si="1366"/>
        <v>6.7649151559137713E-2</v>
      </c>
      <c r="BT156" s="168">
        <f t="shared" si="1366"/>
        <v>6.8863590305452235E-2</v>
      </c>
      <c r="BU156" s="168">
        <f t="shared" si="1366"/>
        <v>7.0063008543236452E-2</v>
      </c>
      <c r="BV156" s="168">
        <f t="shared" si="1366"/>
        <v>7.1260557214883738E-2</v>
      </c>
      <c r="BW156" s="168">
        <f t="shared" si="1366"/>
        <v>7.2456129961046625E-2</v>
      </c>
      <c r="BX156" s="168">
        <f t="shared" si="1366"/>
        <v>7.3649618867960509E-2</v>
      </c>
      <c r="BY156" s="168">
        <f t="shared" si="1366"/>
        <v>7.4840914201538003E-2</v>
      </c>
      <c r="BZ156" s="168">
        <f t="shared" si="1366"/>
        <v>7.6029904139308047E-2</v>
      </c>
      <c r="CA156" s="168">
        <f t="shared" si="1366"/>
        <v>7.7206850310270789E-2</v>
      </c>
      <c r="CB156" s="168">
        <f t="shared" si="1366"/>
        <v>7.8371216058441384E-2</v>
      </c>
      <c r="CC156" s="168">
        <f t="shared" si="1366"/>
        <v>7.9522392506866921E-2</v>
      </c>
      <c r="CD156" s="168">
        <f t="shared" si="1366"/>
        <v>8.0659692515901785E-2</v>
      </c>
      <c r="CE156" s="168">
        <f t="shared" si="1366"/>
        <v>8.1782343849739259E-2</v>
      </c>
      <c r="CF156" s="168">
        <f t="shared" si="1366"/>
        <v>8.2902748804436918E-2</v>
      </c>
      <c r="CG156" s="168">
        <f t="shared" si="1366"/>
        <v>8.4020846369328536E-2</v>
      </c>
      <c r="CH156" s="168">
        <f t="shared" si="1366"/>
        <v>8.5136574138328744E-2</v>
      </c>
      <c r="CI156" s="168">
        <f t="shared" si="1366"/>
        <v>8.6249868266388641E-2</v>
      </c>
      <c r="CJ156" s="168">
        <f t="shared" si="1366"/>
        <v>8.7360663424692467E-2</v>
      </c>
      <c r="CK156" s="168">
        <f t="shared" si="1366"/>
        <v>8.8468982312928213E-2</v>
      </c>
      <c r="CL156" s="168">
        <f t="shared" si="1366"/>
        <v>8.9574761952590981E-2</v>
      </c>
      <c r="CM156" s="168">
        <f t="shared" si="1366"/>
        <v>9.0677937925240412E-2</v>
      </c>
      <c r="CN156" s="168">
        <f t="shared" si="1366"/>
        <v>9.1778444330233841E-2</v>
      </c>
      <c r="CO156" s="168">
        <f t="shared" si="1366"/>
        <v>9.2876213741257471E-2</v>
      </c>
      <c r="CP156" s="168">
        <f t="shared" si="1366"/>
        <v>9.3971261891163477E-2</v>
      </c>
      <c r="CQ156" s="168">
        <f t="shared" si="1366"/>
        <v>9.5063523230229166E-2</v>
      </c>
      <c r="CR156" s="168">
        <f t="shared" si="1366"/>
        <v>9.6152930718444982E-2</v>
      </c>
      <c r="CS156" s="168">
        <f t="shared" si="1366"/>
        <v>9.7239415783933164E-2</v>
      </c>
      <c r="CT156" s="168">
        <f t="shared" si="1366"/>
        <v>9.832290828020733E-2</v>
      </c>
      <c r="CV156" s="168">
        <f t="shared" si="1354"/>
        <v>6.3919388676909383E-2</v>
      </c>
      <c r="CW156" s="168">
        <f t="shared" si="1321"/>
        <v>6.3387548425864693E-2</v>
      </c>
      <c r="CX156" s="168">
        <f t="shared" si="1322"/>
        <v>6.2758905845308771E-2</v>
      </c>
      <c r="CY156" s="168">
        <f t="shared" si="1323"/>
        <v>6.212883380126473E-2</v>
      </c>
      <c r="CZ156" s="168">
        <f t="shared" si="1324"/>
        <v>6.1497264234939543E-2</v>
      </c>
      <c r="DA156" s="168">
        <f t="shared" si="1325"/>
        <v>6.0864131678576044E-2</v>
      </c>
      <c r="DB156" s="168">
        <f t="shared" si="1326"/>
        <v>6.0229374937956409E-2</v>
      </c>
      <c r="DC156" s="168">
        <f t="shared" si="1327"/>
        <v>5.9592933975200567E-2</v>
      </c>
      <c r="DD156" s="168">
        <f t="shared" si="1328"/>
        <v>5.8954751347787632E-2</v>
      </c>
      <c r="DE156" s="168">
        <f t="shared" si="1329"/>
        <v>5.8314772208998791E-2</v>
      </c>
      <c r="DF156" s="168">
        <f t="shared" si="1330"/>
        <v>5.76729443083175E-2</v>
      </c>
      <c r="DG156" s="168">
        <f t="shared" si="1331"/>
        <v>5.670664562787215E-2</v>
      </c>
      <c r="DH156" s="168">
        <f t="shared" si="1332"/>
        <v>5.5737100174648405E-2</v>
      </c>
      <c r="DI156" s="168">
        <f t="shared" si="1333"/>
        <v>5.4764248287367374E-2</v>
      </c>
      <c r="DJ156" s="168">
        <f t="shared" si="1334"/>
        <v>5.3787874410248848E-2</v>
      </c>
      <c r="DK156" s="168">
        <f t="shared" si="1335"/>
        <v>5.2807869939798607E-2</v>
      </c>
      <c r="DL156" s="168">
        <f t="shared" si="1336"/>
        <v>5.1824134809924753E-2</v>
      </c>
      <c r="DM156" s="168">
        <f t="shared" si="1337"/>
        <v>5.0836572854111084E-2</v>
      </c>
      <c r="DN156" s="168">
        <f t="shared" si="1338"/>
        <v>4.9845093926737964E-2</v>
      </c>
      <c r="DO156" s="168">
        <f t="shared" si="1339"/>
        <v>4.8849613988627125E-2</v>
      </c>
      <c r="DP156" s="168">
        <f t="shared" si="1340"/>
        <v>4.7850054920507999E-2</v>
      </c>
      <c r="DQ156" s="168">
        <f t="shared" si="1341"/>
        <v>4.641999233803569E-2</v>
      </c>
      <c r="DR156" s="168">
        <f t="shared" si="1342"/>
        <v>4.4983514730294327E-2</v>
      </c>
      <c r="DS156" s="168">
        <f t="shared" si="1343"/>
        <v>4.3539560175895803E-2</v>
      </c>
      <c r="DT156" s="168">
        <f t="shared" si="1344"/>
        <v>4.208875595181228E-2</v>
      </c>
      <c r="DU156" s="168">
        <f t="shared" si="1345"/>
        <v>4.0630992449276475E-2</v>
      </c>
      <c r="DV156" s="168">
        <f t="shared" si="1346"/>
        <v>3.9166167347347181E-2</v>
      </c>
      <c r="DW156" s="168">
        <f t="shared" si="1347"/>
        <v>3.7694184561034981E-2</v>
      </c>
      <c r="DX156" s="168">
        <f t="shared" si="1348"/>
        <v>3.6214954134896546E-2</v>
      </c>
      <c r="DY156" s="168">
        <f t="shared" si="1349"/>
        <v>3.4728394110538158E-2</v>
      </c>
      <c r="DZ156" s="168">
        <f t="shared" si="1350"/>
        <v>3.3234435074959712E-2</v>
      </c>
    </row>
    <row r="157" spans="1:165" ht="16" thickBot="1">
      <c r="A157" s="606" t="s">
        <v>454</v>
      </c>
      <c r="C157" s="54" t="s">
        <v>462</v>
      </c>
      <c r="D157" s="168">
        <f t="shared" ref="D157:AH157" si="1367">D134</f>
        <v>4.5656706197792413E-2</v>
      </c>
      <c r="E157" s="168">
        <f t="shared" si="1367"/>
        <v>4.4886876397263034E-2</v>
      </c>
      <c r="F157" s="168">
        <f t="shared" si="1367"/>
        <v>4.4051924295264805E-2</v>
      </c>
      <c r="G157" s="168">
        <f t="shared" si="1367"/>
        <v>4.3220058296531985E-2</v>
      </c>
      <c r="H157" s="168">
        <f t="shared" si="1367"/>
        <v>4.2391318064861239E-2</v>
      </c>
      <c r="I157" s="168">
        <f t="shared" si="1367"/>
        <v>4.1565748463417797E-2</v>
      </c>
      <c r="J157" s="168">
        <f t="shared" si="1367"/>
        <v>4.0743400693323453E-2</v>
      </c>
      <c r="K157" s="168">
        <f t="shared" si="1367"/>
        <v>3.9924330150873294E-2</v>
      </c>
      <c r="L157" s="168">
        <f t="shared" si="1367"/>
        <v>3.9108597428730407E-2</v>
      </c>
      <c r="M157" s="168">
        <f t="shared" si="1367"/>
        <v>3.8296268316357414E-2</v>
      </c>
      <c r="N157" s="168">
        <f t="shared" si="1367"/>
        <v>3.7487413800406377E-2</v>
      </c>
      <c r="O157" s="168">
        <f t="shared" si="1367"/>
        <v>3.6474626333505705E-2</v>
      </c>
      <c r="P157" s="168">
        <f t="shared" si="1367"/>
        <v>3.5469063747503533E-2</v>
      </c>
      <c r="Q157" s="168">
        <f t="shared" si="1367"/>
        <v>3.4471044500616325E-2</v>
      </c>
      <c r="R157" s="168">
        <f t="shared" si="1367"/>
        <v>3.3480514560733733E-2</v>
      </c>
      <c r="S157" s="168">
        <f t="shared" si="1367"/>
        <v>3.249763026029702E-2</v>
      </c>
      <c r="T157" s="168">
        <f t="shared" si="1367"/>
        <v>3.1522560750067888E-2</v>
      </c>
      <c r="U157" s="168">
        <f t="shared" si="1367"/>
        <v>3.0555484806727914E-2</v>
      </c>
      <c r="V157" s="168">
        <f t="shared" si="1367"/>
        <v>2.9596592248029664E-2</v>
      </c>
      <c r="W157" s="168">
        <f t="shared" si="1367"/>
        <v>2.8646083929329987E-2</v>
      </c>
      <c r="X157" s="168">
        <f t="shared" si="1367"/>
        <v>2.7704171740097351E-2</v>
      </c>
      <c r="Y157" s="168">
        <f t="shared" si="1367"/>
        <v>2.6527501316065731E-2</v>
      </c>
      <c r="Z157" s="168">
        <f t="shared" si="1367"/>
        <v>2.5365135767904907E-2</v>
      </c>
      <c r="AA157" s="168">
        <f t="shared" si="1367"/>
        <v>2.4217573224003495E-2</v>
      </c>
      <c r="AB157" s="168">
        <f t="shared" si="1367"/>
        <v>2.3085023387990448E-2</v>
      </c>
      <c r="AC157" s="168">
        <f t="shared" si="1367"/>
        <v>2.1967885891509026E-2</v>
      </c>
      <c r="AD157" s="168">
        <f t="shared" si="1367"/>
        <v>2.0866579005652069E-2</v>
      </c>
      <c r="AE157" s="168">
        <f t="shared" si="1367"/>
        <v>1.9781539590113882E-2</v>
      </c>
      <c r="AF157" s="168">
        <f t="shared" si="1367"/>
        <v>1.8713223092848605E-2</v>
      </c>
      <c r="AG157" s="168">
        <f t="shared" si="1367"/>
        <v>1.7662103534124098E-2</v>
      </c>
      <c r="AH157" s="168">
        <f t="shared" si="1367"/>
        <v>1.6628673490543068E-2</v>
      </c>
      <c r="AI157" s="44"/>
      <c r="AJ157" s="168">
        <f t="shared" ref="AJ157:BN157" si="1368">AJ134</f>
        <v>4.5656706197792413E-2</v>
      </c>
      <c r="AK157" s="168">
        <f t="shared" si="1368"/>
        <v>4.4886876397263034E-2</v>
      </c>
      <c r="AL157" s="168">
        <f t="shared" si="1368"/>
        <v>4.4051924295264805E-2</v>
      </c>
      <c r="AM157" s="168">
        <f t="shared" si="1368"/>
        <v>4.3220058296531985E-2</v>
      </c>
      <c r="AN157" s="168">
        <f t="shared" si="1368"/>
        <v>4.2391318064861239E-2</v>
      </c>
      <c r="AO157" s="168">
        <f t="shared" si="1368"/>
        <v>4.1565748463417797E-2</v>
      </c>
      <c r="AP157" s="168">
        <f t="shared" si="1368"/>
        <v>4.0743400693323453E-2</v>
      </c>
      <c r="AQ157" s="168">
        <f t="shared" si="1368"/>
        <v>3.9924330150873294E-2</v>
      </c>
      <c r="AR157" s="168">
        <f t="shared" si="1368"/>
        <v>3.9108597428730407E-2</v>
      </c>
      <c r="AS157" s="168">
        <f t="shared" si="1368"/>
        <v>3.8296268316357414E-2</v>
      </c>
      <c r="AT157" s="168">
        <f t="shared" si="1368"/>
        <v>3.7487413800406377E-2</v>
      </c>
      <c r="AU157" s="168">
        <f t="shared" si="1368"/>
        <v>3.6474626333505705E-2</v>
      </c>
      <c r="AV157" s="168">
        <f t="shared" si="1368"/>
        <v>3.5469063747503533E-2</v>
      </c>
      <c r="AW157" s="168">
        <f t="shared" si="1368"/>
        <v>3.4471044500616325E-2</v>
      </c>
      <c r="AX157" s="168">
        <f t="shared" si="1368"/>
        <v>3.3480514560733733E-2</v>
      </c>
      <c r="AY157" s="168">
        <f t="shared" si="1368"/>
        <v>3.249763026029702E-2</v>
      </c>
      <c r="AZ157" s="168">
        <f t="shared" si="1368"/>
        <v>3.1522560750067888E-2</v>
      </c>
      <c r="BA157" s="168">
        <f t="shared" si="1368"/>
        <v>3.0555484806727914E-2</v>
      </c>
      <c r="BB157" s="168">
        <f t="shared" si="1368"/>
        <v>2.9596592248029664E-2</v>
      </c>
      <c r="BC157" s="168">
        <f t="shared" si="1368"/>
        <v>2.8646083929329987E-2</v>
      </c>
      <c r="BD157" s="168">
        <f t="shared" si="1368"/>
        <v>2.7704171740097351E-2</v>
      </c>
      <c r="BE157" s="168">
        <f t="shared" si="1368"/>
        <v>2.6527501316065731E-2</v>
      </c>
      <c r="BF157" s="168">
        <f t="shared" si="1368"/>
        <v>2.5365135767904907E-2</v>
      </c>
      <c r="BG157" s="168">
        <f t="shared" si="1368"/>
        <v>2.4217573224003495E-2</v>
      </c>
      <c r="BH157" s="168">
        <f t="shared" si="1368"/>
        <v>2.3085023387990448E-2</v>
      </c>
      <c r="BI157" s="168">
        <f t="shared" si="1368"/>
        <v>2.1967885891509026E-2</v>
      </c>
      <c r="BJ157" s="168">
        <f t="shared" si="1368"/>
        <v>2.0866579005652069E-2</v>
      </c>
      <c r="BK157" s="168">
        <f t="shared" si="1368"/>
        <v>1.9781539590113882E-2</v>
      </c>
      <c r="BL157" s="168">
        <f t="shared" si="1368"/>
        <v>1.8713223092848605E-2</v>
      </c>
      <c r="BM157" s="168">
        <f t="shared" si="1368"/>
        <v>1.7662103534124098E-2</v>
      </c>
      <c r="BN157" s="168">
        <f t="shared" si="1368"/>
        <v>1.6628673490543068E-2</v>
      </c>
      <c r="BP157" s="168">
        <f t="shared" ref="BP157:CT157" si="1369">BP134</f>
        <v>4.5656706197792413E-2</v>
      </c>
      <c r="BQ157" s="168">
        <f t="shared" si="1369"/>
        <v>4.6398065735895958E-2</v>
      </c>
      <c r="BR157" s="168">
        <f t="shared" si="1369"/>
        <v>4.7128975540230607E-2</v>
      </c>
      <c r="BS157" s="168">
        <f t="shared" si="1369"/>
        <v>4.7849399883292537E-2</v>
      </c>
      <c r="BT157" s="168">
        <f t="shared" si="1369"/>
        <v>4.8559227977379292E-2</v>
      </c>
      <c r="BU157" s="168">
        <f t="shared" si="1369"/>
        <v>4.9258272381926087E-2</v>
      </c>
      <c r="BV157" s="168">
        <f t="shared" si="1369"/>
        <v>4.995585454239275E-2</v>
      </c>
      <c r="BW157" s="168">
        <f t="shared" si="1369"/>
        <v>5.0651918408948081E-2</v>
      </c>
      <c r="BX157" s="168">
        <f t="shared" si="1369"/>
        <v>5.134640649862806E-2</v>
      </c>
      <c r="BY157" s="168">
        <f t="shared" si="1369"/>
        <v>5.2039259751929391E-2</v>
      </c>
      <c r="BZ157" s="168">
        <f t="shared" si="1369"/>
        <v>5.2730417386939475E-2</v>
      </c>
      <c r="CA157" s="168">
        <f t="shared" si="1369"/>
        <v>5.3413158554603567E-2</v>
      </c>
      <c r="CB157" s="168">
        <f t="shared" si="1369"/>
        <v>5.4087177279769437E-2</v>
      </c>
      <c r="CC157" s="168">
        <f t="shared" si="1369"/>
        <v>5.4752117585684046E-2</v>
      </c>
      <c r="CD157" s="168">
        <f t="shared" si="1369"/>
        <v>5.5407569934935605E-2</v>
      </c>
      <c r="CE157" s="168">
        <f t="shared" si="1369"/>
        <v>5.6053067132967399E-2</v>
      </c>
      <c r="CF157" s="168">
        <f t="shared" si="1369"/>
        <v>5.6697153170538139E-2</v>
      </c>
      <c r="CG157" s="168">
        <f t="shared" si="1369"/>
        <v>5.7339791003686018E-2</v>
      </c>
      <c r="CH157" s="168">
        <f t="shared" si="1369"/>
        <v>5.7980942732137726E-2</v>
      </c>
      <c r="CI157" s="168">
        <f t="shared" si="1369"/>
        <v>5.8620569572974325E-2</v>
      </c>
      <c r="CJ157" s="168">
        <f t="shared" si="1369"/>
        <v>5.9258631833532707E-2</v>
      </c>
      <c r="CK157" s="168">
        <f t="shared" si="1369"/>
        <v>5.9895149516206114E-2</v>
      </c>
      <c r="CL157" s="168">
        <f t="shared" si="1369"/>
        <v>6.0530084371233202E-2</v>
      </c>
      <c r="CM157" s="168">
        <f t="shared" si="1369"/>
        <v>6.11633972690089E-2</v>
      </c>
      <c r="CN157" s="168">
        <f t="shared" si="1369"/>
        <v>6.1795048174539971E-2</v>
      </c>
      <c r="CO157" s="168">
        <f t="shared" si="1369"/>
        <v>6.2424996121173131E-2</v>
      </c>
      <c r="CP157" s="168">
        <f t="shared" si="1369"/>
        <v>6.3053256035780741E-2</v>
      </c>
      <c r="CQ157" s="168">
        <f t="shared" si="1369"/>
        <v>6.3679788113915572E-2</v>
      </c>
      <c r="CR157" s="168">
        <f t="shared" si="1369"/>
        <v>6.4304551643561886E-2</v>
      </c>
      <c r="CS157" s="168">
        <f t="shared" si="1369"/>
        <v>6.4927504980027903E-2</v>
      </c>
      <c r="CT157" s="168">
        <f t="shared" si="1369"/>
        <v>6.5548605520138206E-2</v>
      </c>
      <c r="CV157" s="168">
        <f t="shared" si="1354"/>
        <v>4.5656706197792413E-2</v>
      </c>
      <c r="CW157" s="168">
        <f t="shared" si="1321"/>
        <v>4.4886876397263041E-2</v>
      </c>
      <c r="CX157" s="168">
        <f t="shared" si="1322"/>
        <v>4.4051924295264805E-2</v>
      </c>
      <c r="CY157" s="168">
        <f t="shared" si="1323"/>
        <v>4.3220058296531985E-2</v>
      </c>
      <c r="CZ157" s="168">
        <f t="shared" si="1324"/>
        <v>4.2391318064861239E-2</v>
      </c>
      <c r="DA157" s="168">
        <f t="shared" si="1325"/>
        <v>4.1565748463417804E-2</v>
      </c>
      <c r="DB157" s="168">
        <f t="shared" si="1326"/>
        <v>4.0743400693323453E-2</v>
      </c>
      <c r="DC157" s="168">
        <f t="shared" si="1327"/>
        <v>3.9924330150873294E-2</v>
      </c>
      <c r="DD157" s="168">
        <f t="shared" si="1328"/>
        <v>3.9108597428730407E-2</v>
      </c>
      <c r="DE157" s="168">
        <f t="shared" si="1329"/>
        <v>3.8296268316357414E-2</v>
      </c>
      <c r="DF157" s="168">
        <f t="shared" si="1330"/>
        <v>3.7487413800406377E-2</v>
      </c>
      <c r="DG157" s="168">
        <f t="shared" si="1331"/>
        <v>3.6474626333505705E-2</v>
      </c>
      <c r="DH157" s="168">
        <f t="shared" si="1332"/>
        <v>3.5469063747503533E-2</v>
      </c>
      <c r="DI157" s="168">
        <f t="shared" si="1333"/>
        <v>3.4470897399155098E-2</v>
      </c>
      <c r="DJ157" s="168">
        <f t="shared" si="1334"/>
        <v>3.3480207541073267E-2</v>
      </c>
      <c r="DK157" s="168">
        <f t="shared" si="1335"/>
        <v>3.2497150732183767E-2</v>
      </c>
      <c r="DL157" s="168">
        <f t="shared" si="1336"/>
        <v>3.1521896430778976E-2</v>
      </c>
      <c r="DM157" s="168">
        <f t="shared" si="1337"/>
        <v>3.0554624098843967E-2</v>
      </c>
      <c r="DN157" s="168">
        <f t="shared" si="1338"/>
        <v>2.959552451900066E-2</v>
      </c>
      <c r="DO157" s="168">
        <f t="shared" si="1339"/>
        <v>2.8644799825791822E-2</v>
      </c>
      <c r="DP157" s="168">
        <f t="shared" si="1340"/>
        <v>2.7702663375030946E-2</v>
      </c>
      <c r="DQ157" s="168">
        <f t="shared" si="1341"/>
        <v>2.6525709907448965E-2</v>
      </c>
      <c r="DR157" s="168">
        <f t="shared" si="1342"/>
        <v>2.5363045539421262E-2</v>
      </c>
      <c r="DS157" s="168">
        <f t="shared" si="1343"/>
        <v>2.4214514750230814E-2</v>
      </c>
      <c r="DT157" s="168">
        <f t="shared" si="1344"/>
        <v>2.3080930683251885E-2</v>
      </c>
      <c r="DU157" s="168">
        <f t="shared" si="1345"/>
        <v>2.1962698621230511E-2</v>
      </c>
      <c r="DV157" s="168">
        <f t="shared" si="1346"/>
        <v>2.0860241304565333E-2</v>
      </c>
      <c r="DW157" s="168">
        <f t="shared" si="1347"/>
        <v>1.977399845824784E-2</v>
      </c>
      <c r="DX157" s="168">
        <f t="shared" si="1348"/>
        <v>1.8704426860880613E-2</v>
      </c>
      <c r="DY157" s="168">
        <f t="shared" si="1349"/>
        <v>1.7652001426350868E-2</v>
      </c>
      <c r="DZ157" s="168">
        <f t="shared" si="1350"/>
        <v>1.6617217537479856E-2</v>
      </c>
    </row>
    <row r="158" spans="1:165" s="624" customFormat="1" ht="16" thickBot="1">
      <c r="A158" s="623" t="s">
        <v>463</v>
      </c>
      <c r="C158" s="625" t="s">
        <v>413</v>
      </c>
      <c r="D158" s="627">
        <f>SUMPRODUCT(D139:D147,D149:D157)</f>
        <v>0.95658965127668072</v>
      </c>
      <c r="E158" s="627">
        <f t="shared" ref="E158" si="1370">SUMPRODUCT(E139:E147,E149:E157)</f>
        <v>0.9562300119390541</v>
      </c>
      <c r="F158" s="627">
        <f t="shared" ref="F158" si="1371">SUMPRODUCT(F139:F147,F149:F157)</f>
        <v>0.95532057778664037</v>
      </c>
      <c r="G158" s="627">
        <f t="shared" ref="G158" si="1372">SUMPRODUCT(G139:G147,G149:G157)</f>
        <v>0.95456000501283089</v>
      </c>
      <c r="H158" s="627">
        <f t="shared" ref="H158" si="1373">SUMPRODUCT(H139:H147,H149:H157)</f>
        <v>0.95393176399685431</v>
      </c>
      <c r="I158" s="627">
        <f t="shared" ref="I158" si="1374">SUMPRODUCT(I139:I147,I149:I157)</f>
        <v>0.95341185426008535</v>
      </c>
      <c r="J158" s="627">
        <f t="shared" ref="J158" si="1375">SUMPRODUCT(J139:J147,J149:J157)</f>
        <v>0.95296066409544777</v>
      </c>
      <c r="K158" s="627">
        <f t="shared" ref="K158" si="1376">SUMPRODUCT(K139:K147,K149:K157)</f>
        <v>0.95250679177496211</v>
      </c>
      <c r="L158" s="627">
        <f t="shared" ref="L158" si="1377">SUMPRODUCT(L139:L147,L149:L157)</f>
        <v>0.95191690306388899</v>
      </c>
      <c r="M158" s="627">
        <f t="shared" ref="M158" si="1378">SUMPRODUCT(M139:M147,M149:M157)</f>
        <v>0.95094386187358226</v>
      </c>
      <c r="N158" s="627">
        <f t="shared" ref="N158" si="1379">SUMPRODUCT(N139:N147,N149:N157)</f>
        <v>0.94915040308380472</v>
      </c>
      <c r="O158" s="627">
        <f t="shared" ref="O158" si="1380">SUMPRODUCT(O139:O147,O149:O157)</f>
        <v>0.94213511670299255</v>
      </c>
      <c r="P158" s="627">
        <f t="shared" ref="P158" si="1381">SUMPRODUCT(P139:P147,P149:P157)</f>
        <v>0.93222344548718805</v>
      </c>
      <c r="Q158" s="627">
        <f t="shared" ref="Q158" si="1382">SUMPRODUCT(Q139:Q147,Q149:Q157)</f>
        <v>0.91803055108430243</v>
      </c>
      <c r="R158" s="627">
        <f t="shared" ref="R158" si="1383">SUMPRODUCT(R139:R147,R149:R157)</f>
        <v>0.89812100577771914</v>
      </c>
      <c r="S158" s="627">
        <f t="shared" ref="S158" si="1384">SUMPRODUCT(S139:S147,S149:S157)</f>
        <v>0.87148837810169355</v>
      </c>
      <c r="T158" s="627">
        <f t="shared" ref="T158" si="1385">SUMPRODUCT(T139:T147,T149:T157)</f>
        <v>0.83804062111093058</v>
      </c>
      <c r="U158" s="627">
        <f t="shared" ref="U158" si="1386">SUMPRODUCT(U139:U147,U149:U157)</f>
        <v>0.79880870141866178</v>
      </c>
      <c r="V158" s="627">
        <f t="shared" ref="V158" si="1387">SUMPRODUCT(V139:V147,V149:V157)</f>
        <v>0.75567696210120838</v>
      </c>
      <c r="W158" s="627">
        <f t="shared" ref="W158" si="1388">SUMPRODUCT(W139:W147,W149:W157)</f>
        <v>0.71079973480706893</v>
      </c>
      <c r="X158" s="627">
        <f t="shared" ref="X158" si="1389">SUMPRODUCT(X139:X147,X149:X157)</f>
        <v>0.66603767581279527</v>
      </c>
      <c r="Y158" s="627">
        <f t="shared" ref="Y158" si="1390">SUMPRODUCT(Y139:Y147,Y149:Y157)</f>
        <v>0.61784442342933243</v>
      </c>
      <c r="Z158" s="627">
        <f t="shared" ref="Z158" si="1391">SUMPRODUCT(Z139:Z147,Z149:Z157)</f>
        <v>0.57293479367716182</v>
      </c>
      <c r="AA158" s="627">
        <f t="shared" ref="AA158" si="1392">SUMPRODUCT(AA139:AA147,AA149:AA157)</f>
        <v>0.53047669647039486</v>
      </c>
      <c r="AB158" s="627">
        <f t="shared" ref="AB158" si="1393">SUMPRODUCT(AB139:AB147,AB149:AB157)</f>
        <v>0.49013839257783198</v>
      </c>
      <c r="AC158" s="627">
        <f t="shared" ref="AC158" si="1394">SUMPRODUCT(AC139:AC147,AC149:AC157)</f>
        <v>0.4515572943878231</v>
      </c>
      <c r="AD158" s="627">
        <f t="shared" ref="AD158" si="1395">SUMPRODUCT(AD139:AD147,AD149:AD157)</f>
        <v>0.41433926292612844</v>
      </c>
      <c r="AE158" s="627">
        <f t="shared" ref="AE158" si="1396">SUMPRODUCT(AE139:AE147,AE149:AE157)</f>
        <v>0.37809980436652996</v>
      </c>
      <c r="AF158" s="627">
        <f t="shared" ref="AF158" si="1397">SUMPRODUCT(AF139:AF147,AF149:AF157)</f>
        <v>0.34247114710433196</v>
      </c>
      <c r="AG158" s="627">
        <f t="shared" ref="AG158" si="1398">SUMPRODUCT(AG139:AG147,AG149:AG157)</f>
        <v>0.30710046047172174</v>
      </c>
      <c r="AH158" s="627">
        <f t="shared" ref="AH158" si="1399">SUMPRODUCT(AH139:AH147,AH149:AH157)</f>
        <v>0.2716629208937878</v>
      </c>
      <c r="AI158" s="626"/>
      <c r="AJ158" s="627">
        <f>SUMPRODUCT(AJ139:AJ147,AJ149:AJ157)</f>
        <v>0.95658925915788706</v>
      </c>
      <c r="AK158" s="627">
        <f t="shared" ref="AK158" si="1400">SUMPRODUCT(AK139:AK147,AK149:AK157)</f>
        <v>0.95622920472187556</v>
      </c>
      <c r="AL158" s="627">
        <f t="shared" ref="AL158" si="1401">SUMPRODUCT(AL139:AL147,AL149:AL157)</f>
        <v>0.9553189603697031</v>
      </c>
      <c r="AM158" s="627">
        <f t="shared" ref="AM158" si="1402">SUMPRODUCT(AM139:AM147,AM149:AM157)</f>
        <v>0.95455679478776512</v>
      </c>
      <c r="AN158" s="627">
        <f t="shared" ref="AN158" si="1403">SUMPRODUCT(AN139:AN147,AN149:AN157)</f>
        <v>0.95392545816670504</v>
      </c>
      <c r="AO158" s="627">
        <f t="shared" ref="AO158" si="1404">SUMPRODUCT(AO139:AO147,AO149:AO157)</f>
        <v>0.95339961252779581</v>
      </c>
      <c r="AP158" s="627">
        <f t="shared" ref="AP158" si="1405">SUMPRODUCT(AP139:AP147,AP149:AP157)</f>
        <v>0.95293722322238694</v>
      </c>
      <c r="AQ158" s="627">
        <f t="shared" ref="AQ158" si="1406">SUMPRODUCT(AQ139:AQ147,AQ149:AQ157)</f>
        <v>0.95246264036918382</v>
      </c>
      <c r="AR158" s="627">
        <f t="shared" ref="AR158" si="1407">SUMPRODUCT(AR139:AR147,AR149:AR157)</f>
        <v>0.95183539970850917</v>
      </c>
      <c r="AS158" s="627">
        <f t="shared" ref="AS158" si="1408">SUMPRODUCT(AS139:AS147,AS149:AS157)</f>
        <v>0.95079708524137185</v>
      </c>
      <c r="AT158" s="627">
        <f t="shared" ref="AT158" si="1409">SUMPRODUCT(AT139:AT147,AT149:AT157)</f>
        <v>0.94889286569466336</v>
      </c>
      <c r="AU158" s="627">
        <f t="shared" ref="AU158" si="1410">SUMPRODUCT(AU139:AU147,AU149:AU157)</f>
        <v>0.94171982301717394</v>
      </c>
      <c r="AV158" s="627">
        <f t="shared" ref="AV158" si="1411">SUMPRODUCT(AV139:AV147,AV149:AV157)</f>
        <v>0.93157870200349269</v>
      </c>
      <c r="AW158" s="627">
        <f t="shared" ref="AW158" si="1412">SUMPRODUCT(AW139:AW147,AW149:AW157)</f>
        <v>0.91707618829795834</v>
      </c>
      <c r="AX158" s="627">
        <f t="shared" ref="AX158" si="1413">SUMPRODUCT(AX139:AX147,AX149:AX157)</f>
        <v>0.89677890230199275</v>
      </c>
      <c r="AY158" s="627">
        <f t="shared" ref="AY158" si="1414">SUMPRODUCT(AY139:AY147,AY149:AY157)</f>
        <v>0.8696967728479803</v>
      </c>
      <c r="AZ158" s="627">
        <f t="shared" ref="AZ158" si="1415">SUMPRODUCT(AZ139:AZ147,AZ149:AZ157)</f>
        <v>0.83577017782501573</v>
      </c>
      <c r="BA158" s="627">
        <f t="shared" ref="BA158" si="1416">SUMPRODUCT(BA139:BA147,BA149:BA157)</f>
        <v>0.79607230874866808</v>
      </c>
      <c r="BB158" s="627">
        <f t="shared" ref="BB158" si="1417">SUMPRODUCT(BB139:BB147,BB149:BB157)</f>
        <v>0.75253519858094653</v>
      </c>
      <c r="BC158" s="627">
        <f t="shared" ref="BC158" si="1418">SUMPRODUCT(BC139:BC147,BC149:BC157)</f>
        <v>0.7073572754507772</v>
      </c>
      <c r="BD158" s="627">
        <f t="shared" ref="BD158" si="1419">SUMPRODUCT(BD139:BD147,BD149:BD157)</f>
        <v>0.6624303344617507</v>
      </c>
      <c r="BE158" s="627">
        <f t="shared" ref="BE158" si="1420">SUMPRODUCT(BE139:BE147,BE149:BE157)</f>
        <v>0.61444782666404318</v>
      </c>
      <c r="BF158" s="627">
        <f t="shared" ref="BF158" si="1421">SUMPRODUCT(BF139:BF147,BF149:BF157)</f>
        <v>0.56946269527147386</v>
      </c>
      <c r="BG158" s="627">
        <f t="shared" ref="BG158" si="1422">SUMPRODUCT(BG139:BG147,BG149:BG157)</f>
        <v>0.52702789423881402</v>
      </c>
      <c r="BH158" s="627">
        <f t="shared" ref="BH158" si="1423">SUMPRODUCT(BH139:BH147,BH149:BH157)</f>
        <v>0.48684780908623537</v>
      </c>
      <c r="BI158" s="627">
        <f t="shared" ref="BI158" si="1424">SUMPRODUCT(BI139:BI147,BI149:BI157)</f>
        <v>0.44855135516430289</v>
      </c>
      <c r="BJ158" s="627">
        <f t="shared" ref="BJ158" si="1425">SUMPRODUCT(BJ139:BJ147,BJ149:BJ157)</f>
        <v>0.41173848789168549</v>
      </c>
      <c r="BK158" s="627">
        <f t="shared" ref="BK158" si="1426">SUMPRODUCT(BK139:BK147,BK149:BK157)</f>
        <v>0.37602981464848195</v>
      </c>
      <c r="BL158" s="627">
        <f t="shared" ref="BL158" si="1427">SUMPRODUCT(BL139:BL147,BL149:BL157)</f>
        <v>0.34108156962838065</v>
      </c>
      <c r="BM158" s="627">
        <f t="shared" ref="BM158" si="1428">SUMPRODUCT(BM139:BM147,BM149:BM157)</f>
        <v>0.30658677157580444</v>
      </c>
      <c r="BN158" s="627">
        <f t="shared" ref="BN158" si="1429">SUMPRODUCT(BN139:BN147,BN149:BN157)</f>
        <v>0.27228055182205346</v>
      </c>
      <c r="BP158" s="627">
        <f>SUMPRODUCT(BP139:BP147,BP149:BP157)</f>
        <v>0.95658873298269975</v>
      </c>
      <c r="BQ158" s="627">
        <f t="shared" ref="BQ158" si="1430">SUMPRODUCT(BQ139:BQ147,BQ149:BQ157)</f>
        <v>0.96816970130282953</v>
      </c>
      <c r="BR158" s="627">
        <f t="shared" ref="BR158" si="1431">SUMPRODUCT(BR139:BR147,BR149:BR157)</f>
        <v>0.97965142491650437</v>
      </c>
      <c r="BS158" s="627">
        <f t="shared" ref="BS158" si="1432">SUMPRODUCT(BS139:BS147,BS149:BS157)</f>
        <v>0.99103058463284932</v>
      </c>
      <c r="BT158" s="627">
        <f t="shared" ref="BT158" si="1433">SUMPRODUCT(BT139:BT147,BT149:BT157)</f>
        <v>1.0023032058387848</v>
      </c>
      <c r="BU158" s="627">
        <f t="shared" ref="BU158" si="1434">SUMPRODUCT(BU139:BU147,BU149:BU157)</f>
        <v>1.013464603118384</v>
      </c>
      <c r="BV158" s="627">
        <f t="shared" ref="BV158" si="1435">SUMPRODUCT(BV139:BV147,BV149:BV157)</f>
        <v>1.0246138452403186</v>
      </c>
      <c r="BW158" s="627">
        <f t="shared" ref="BW158" si="1436">SUMPRODUCT(BW139:BW147,BW149:BW157)</f>
        <v>1.0357498589110925</v>
      </c>
      <c r="BX158" s="627">
        <f t="shared" ref="BX158" si="1437">SUMPRODUCT(BX139:BX147,BX149:BX157)</f>
        <v>1.0468715637892707</v>
      </c>
      <c r="BY158" s="627">
        <f t="shared" ref="BY158" si="1438">SUMPRODUCT(BY139:BY147,BY149:BY157)</f>
        <v>1.0579778698482882</v>
      </c>
      <c r="BZ158" s="627">
        <f t="shared" ref="BZ158" si="1439">SUMPRODUCT(BZ139:BZ147,BZ149:BZ157)</f>
        <v>1.0690676747361942</v>
      </c>
      <c r="CA158" s="627">
        <f t="shared" ref="CA158" si="1440">SUMPRODUCT(CA139:CA147,CA149:CA157)</f>
        <v>1.0800650602535744</v>
      </c>
      <c r="CB158" s="627">
        <f t="shared" ref="CB158" si="1441">SUMPRODUCT(CB139:CB147,CB149:CB157)</f>
        <v>1.0909649368070267</v>
      </c>
      <c r="CC158" s="627">
        <f t="shared" ref="CC158" si="1442">SUMPRODUCT(CC139:CC147,CC149:CC157)</f>
        <v>1.1017616540206134</v>
      </c>
      <c r="CD158" s="627">
        <f t="shared" ref="CD158" si="1443">SUMPRODUCT(CD139:CD147,CD149:CD157)</f>
        <v>1.1124489450456521</v>
      </c>
      <c r="CE158" s="627">
        <f t="shared" ref="CE158" si="1444">SUMPRODUCT(CE139:CE147,CE149:CE157)</f>
        <v>1.1230198645718195</v>
      </c>
      <c r="CF158" s="627">
        <f t="shared" ref="CF158" si="1445">SUMPRODUCT(CF139:CF147,CF149:CF157)</f>
        <v>1.1335713140204811</v>
      </c>
      <c r="CG158" s="627">
        <f t="shared" ref="CG158" si="1446">SUMPRODUCT(CG139:CG147,CG149:CG157)</f>
        <v>1.1441027465490725</v>
      </c>
      <c r="CH158" s="627">
        <f t="shared" ref="CH158" si="1447">SUMPRODUCT(CH139:CH147,CH149:CH157)</f>
        <v>1.1546136029351526</v>
      </c>
      <c r="CI158" s="627">
        <f t="shared" ref="CI158" si="1448">SUMPRODUCT(CI139:CI147,CI149:CI157)</f>
        <v>1.1651033111846365</v>
      </c>
      <c r="CJ158" s="627">
        <f t="shared" ref="CJ158" si="1449">SUMPRODUCT(CJ139:CJ147,CJ149:CJ157)</f>
        <v>1.1755712861287471</v>
      </c>
      <c r="CK158" s="627">
        <f t="shared" ref="CK158" si="1450">SUMPRODUCT(CK139:CK147,CK149:CK157)</f>
        <v>1.1860176437207284</v>
      </c>
      <c r="CL158" s="627">
        <f t="shared" ref="CL158" si="1451">SUMPRODUCT(CL139:CL147,CL149:CL157)</f>
        <v>1.1964418196346727</v>
      </c>
      <c r="CM158" s="627">
        <f t="shared" ref="CM158" si="1452">SUMPRODUCT(CM139:CM147,CM149:CM157)</f>
        <v>1.2068432367165947</v>
      </c>
      <c r="CN158" s="627">
        <f t="shared" ref="CN158" si="1453">SUMPRODUCT(CN139:CN147,CN149:CN157)</f>
        <v>1.2172213046039202</v>
      </c>
      <c r="CO158" s="627">
        <f t="shared" ref="CO158" si="1454">SUMPRODUCT(CO139:CO147,CO149:CO157)</f>
        <v>1.2275754193341699</v>
      </c>
      <c r="CP158" s="627">
        <f t="shared" ref="CP158" si="1455">SUMPRODUCT(CP139:CP147,CP149:CP157)</f>
        <v>1.2379056463110001</v>
      </c>
      <c r="CQ158" s="627">
        <f t="shared" ref="CQ158" si="1456">SUMPRODUCT(CQ139:CQ147,CQ149:CQ157)</f>
        <v>1.2482113980712708</v>
      </c>
      <c r="CR158" s="627">
        <f t="shared" ref="CR158" si="1457">SUMPRODUCT(CR139:CR147,CR149:CR157)</f>
        <v>1.2584920738324039</v>
      </c>
      <c r="CS158" s="627">
        <f t="shared" ref="CS158" si="1458">SUMPRODUCT(CS139:CS147,CS149:CS157)</f>
        <v>1.2687470591177266</v>
      </c>
      <c r="CT158" s="627">
        <f t="shared" ref="CT158" si="1459">SUMPRODUCT(CT139:CT147,CT149:CT157)</f>
        <v>1.2789757253713712</v>
      </c>
      <c r="CV158" s="627">
        <f>SUMPRODUCT(CV139:CV147,CV149:CV157)</f>
        <v>0.95658925915788706</v>
      </c>
      <c r="CW158" s="627">
        <f t="shared" ref="CW158:DZ158" si="1460">SUMPRODUCT(CW139:CW147,CW149:CW157)</f>
        <v>0.95622920472187556</v>
      </c>
      <c r="CX158" s="627">
        <f t="shared" si="1460"/>
        <v>0.9553189603697031</v>
      </c>
      <c r="CY158" s="627">
        <f t="shared" si="1460"/>
        <v>0.95455679478776512</v>
      </c>
      <c r="CZ158" s="627">
        <f t="shared" si="1460"/>
        <v>0.95392545816670504</v>
      </c>
      <c r="DA158" s="627">
        <f t="shared" si="1460"/>
        <v>0.95339961252779593</v>
      </c>
      <c r="DB158" s="627">
        <f t="shared" si="1460"/>
        <v>0.95293722322238705</v>
      </c>
      <c r="DC158" s="627">
        <f t="shared" si="1460"/>
        <v>0.95246264036918382</v>
      </c>
      <c r="DD158" s="627">
        <f t="shared" si="1460"/>
        <v>0.95183539970850917</v>
      </c>
      <c r="DE158" s="627">
        <f t="shared" si="1460"/>
        <v>0.95079708524137185</v>
      </c>
      <c r="DF158" s="627">
        <f t="shared" si="1460"/>
        <v>0.94889286569466336</v>
      </c>
      <c r="DG158" s="627">
        <f t="shared" si="1460"/>
        <v>0.94171982301717394</v>
      </c>
      <c r="DH158" s="627">
        <f t="shared" si="1460"/>
        <v>0.93157870200349269</v>
      </c>
      <c r="DI158" s="627">
        <f t="shared" si="1460"/>
        <v>0.91707597695030219</v>
      </c>
      <c r="DJ158" s="627">
        <f t="shared" si="1460"/>
        <v>0.89677827119887565</v>
      </c>
      <c r="DK158" s="627">
        <f t="shared" si="1460"/>
        <v>0.86969558029829308</v>
      </c>
      <c r="DL158" s="627">
        <f t="shared" si="1460"/>
        <v>0.83576834279366508</v>
      </c>
      <c r="DM158" s="627">
        <f t="shared" si="1460"/>
        <v>0.79606977171054583</v>
      </c>
      <c r="DN158" s="627">
        <f t="shared" si="1460"/>
        <v>0.75253185358525432</v>
      </c>
      <c r="DO158" s="627">
        <f t="shared" si="1460"/>
        <v>0.70735290787723337</v>
      </c>
      <c r="DP158" s="627">
        <f t="shared" si="1460"/>
        <v>0.66242458440504215</v>
      </c>
      <c r="DQ158" s="627">
        <f t="shared" si="1460"/>
        <v>0.61443938190710101</v>
      </c>
      <c r="DR158" s="627">
        <f t="shared" si="1460"/>
        <v>0.569451369408431</v>
      </c>
      <c r="DS158" s="627">
        <f t="shared" si="1460"/>
        <v>0.52700421135157283</v>
      </c>
      <c r="DT158" s="627">
        <f t="shared" si="1460"/>
        <v>0.48680973427953295</v>
      </c>
      <c r="DU158" s="627">
        <f t="shared" si="1460"/>
        <v>0.44849652542823654</v>
      </c>
      <c r="DV158" s="627">
        <f t="shared" si="1460"/>
        <v>0.4116642072910735</v>
      </c>
      <c r="DW158" s="627">
        <f t="shared" si="1460"/>
        <v>0.37593302102480802</v>
      </c>
      <c r="DX158" s="627">
        <f t="shared" si="1460"/>
        <v>0.34095876101536415</v>
      </c>
      <c r="DY158" s="627">
        <f t="shared" si="1460"/>
        <v>0.30643390613814331</v>
      </c>
      <c r="DZ158" s="627">
        <f t="shared" si="1460"/>
        <v>0.27209297021949974</v>
      </c>
      <c r="EK158" s="627"/>
      <c r="EL158" s="627"/>
      <c r="EM158" s="627"/>
      <c r="EN158" s="627"/>
      <c r="EO158" s="627"/>
      <c r="EP158" s="627"/>
      <c r="EQ158" s="627"/>
      <c r="ER158" s="627"/>
      <c r="ES158" s="627"/>
      <c r="ET158" s="627"/>
      <c r="EU158" s="627"/>
      <c r="EV158" s="627"/>
      <c r="EW158" s="627"/>
      <c r="EX158" s="627"/>
      <c r="EY158" s="627"/>
      <c r="EZ158" s="627"/>
      <c r="FA158" s="627"/>
      <c r="FB158" s="627"/>
      <c r="FC158" s="627"/>
      <c r="FD158" s="627"/>
      <c r="FE158" s="627"/>
      <c r="FF158" s="627"/>
      <c r="FG158" s="627"/>
      <c r="FH158" s="627"/>
      <c r="FI158" s="627"/>
    </row>
    <row r="159" spans="1:165" s="1" customFormat="1">
      <c r="A159" s="162"/>
      <c r="C159" s="65"/>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3"/>
      <c r="AG159" s="443"/>
      <c r="AH159" s="443"/>
      <c r="AI159" s="66"/>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443"/>
      <c r="BE159" s="443"/>
      <c r="BF159" s="443"/>
      <c r="BG159" s="443"/>
      <c r="BH159" s="443"/>
      <c r="BI159" s="443"/>
      <c r="BJ159" s="443"/>
      <c r="BK159" s="443"/>
      <c r="BL159" s="443"/>
      <c r="BM159" s="443"/>
      <c r="BN159" s="443"/>
      <c r="BP159" s="443"/>
      <c r="BQ159" s="443"/>
      <c r="BR159" s="443"/>
      <c r="BS159" s="443"/>
      <c r="BT159" s="443"/>
      <c r="BU159" s="443"/>
      <c r="BV159" s="443"/>
      <c r="BW159" s="443"/>
      <c r="BX159" s="443"/>
      <c r="BY159" s="443"/>
      <c r="BZ159" s="443"/>
      <c r="CA159" s="443"/>
      <c r="CB159" s="443"/>
      <c r="CC159" s="443"/>
      <c r="CD159" s="443"/>
      <c r="CE159" s="443"/>
      <c r="CF159" s="443"/>
      <c r="CG159" s="443"/>
      <c r="CH159" s="443"/>
      <c r="CI159" s="443"/>
      <c r="CJ159" s="443"/>
      <c r="CK159" s="443"/>
      <c r="CL159" s="443"/>
      <c r="CM159" s="443"/>
      <c r="CN159" s="443"/>
      <c r="CO159" s="443"/>
      <c r="CP159" s="443"/>
      <c r="CQ159" s="443"/>
      <c r="CR159" s="443"/>
      <c r="CS159" s="443"/>
      <c r="CT159" s="443"/>
      <c r="CV159" s="443"/>
      <c r="CW159" s="443"/>
      <c r="CX159" s="443"/>
      <c r="CY159" s="443"/>
      <c r="CZ159" s="443"/>
      <c r="DA159" s="443"/>
      <c r="DB159" s="443"/>
      <c r="DC159" s="443"/>
      <c r="DD159" s="443"/>
      <c r="DE159" s="443"/>
      <c r="DF159" s="443"/>
      <c r="DG159" s="443"/>
      <c r="DH159" s="443"/>
      <c r="DI159" s="443"/>
      <c r="DJ159" s="443"/>
      <c r="DK159" s="443"/>
      <c r="DL159" s="443"/>
      <c r="DM159" s="443"/>
      <c r="DN159" s="443"/>
      <c r="DO159" s="443"/>
      <c r="DP159" s="443"/>
      <c r="DQ159" s="443"/>
      <c r="DR159" s="443"/>
      <c r="DS159" s="443"/>
      <c r="DT159" s="443"/>
      <c r="DU159" s="443"/>
      <c r="DV159" s="443"/>
      <c r="DW159" s="443"/>
      <c r="DX159" s="443"/>
      <c r="DY159" s="443"/>
      <c r="DZ159" s="443"/>
      <c r="EK159" s="443"/>
      <c r="EL159" s="443"/>
      <c r="EM159" s="443"/>
      <c r="EN159" s="443"/>
      <c r="EO159" s="443"/>
      <c r="EP159" s="443"/>
      <c r="EQ159" s="443"/>
      <c r="ER159" s="443"/>
      <c r="ES159" s="443"/>
      <c r="ET159" s="443"/>
      <c r="EU159" s="443"/>
      <c r="EV159" s="443"/>
      <c r="EW159" s="443"/>
      <c r="EX159" s="443"/>
      <c r="EY159" s="443"/>
      <c r="EZ159" s="443"/>
      <c r="FA159" s="443"/>
      <c r="FB159" s="443"/>
      <c r="FC159" s="443"/>
      <c r="FD159" s="443"/>
      <c r="FE159" s="443"/>
      <c r="FF159" s="443"/>
      <c r="FG159" s="443"/>
      <c r="FH159" s="443"/>
      <c r="FI159" s="443"/>
    </row>
    <row r="160" spans="1:165" s="69" customFormat="1" ht="16" thickBot="1">
      <c r="A160" s="621" t="s">
        <v>10</v>
      </c>
      <c r="C160" s="70"/>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c r="BI160" s="71"/>
      <c r="BJ160" s="71"/>
      <c r="BK160" s="71"/>
      <c r="BL160" s="71"/>
      <c r="BM160" s="71"/>
      <c r="BN160" s="71"/>
      <c r="BP160" s="71"/>
      <c r="BQ160" s="71"/>
      <c r="BR160" s="71"/>
      <c r="BS160" s="71"/>
      <c r="BT160" s="71"/>
      <c r="BU160" s="71"/>
      <c r="BV160" s="71"/>
      <c r="BW160" s="71"/>
      <c r="BX160" s="71"/>
      <c r="BY160" s="71"/>
      <c r="BZ160" s="71"/>
      <c r="CA160" s="71"/>
      <c r="CB160" s="71"/>
      <c r="CC160" s="71"/>
      <c r="CD160" s="71"/>
      <c r="CE160" s="71"/>
      <c r="CF160" s="71"/>
      <c r="CG160" s="71"/>
      <c r="CH160" s="71"/>
      <c r="CI160" s="71"/>
      <c r="CJ160" s="71"/>
      <c r="CK160" s="71"/>
      <c r="CL160" s="71"/>
      <c r="CM160" s="71"/>
      <c r="CN160" s="71"/>
      <c r="CO160" s="71"/>
      <c r="CP160" s="71"/>
      <c r="CQ160" s="71"/>
      <c r="CR160" s="71"/>
      <c r="CS160" s="71"/>
      <c r="CT160" s="71"/>
      <c r="CV160" s="71"/>
      <c r="CW160" s="71"/>
      <c r="CX160" s="71"/>
      <c r="CY160" s="71"/>
      <c r="CZ160" s="71"/>
      <c r="DA160" s="71"/>
      <c r="DB160" s="71"/>
      <c r="DC160" s="71"/>
      <c r="DD160" s="71"/>
      <c r="DE160" s="71"/>
      <c r="DF160" s="71"/>
      <c r="DG160" s="71"/>
      <c r="DH160" s="71"/>
      <c r="DI160" s="71"/>
      <c r="DJ160" s="71"/>
      <c r="DK160" s="71"/>
      <c r="DL160" s="71"/>
      <c r="DM160" s="71"/>
      <c r="DN160" s="71"/>
      <c r="DO160" s="71"/>
      <c r="DP160" s="71"/>
      <c r="DQ160" s="71"/>
      <c r="DR160" s="71"/>
      <c r="DS160" s="71"/>
      <c r="DT160" s="71"/>
      <c r="DU160" s="71"/>
      <c r="DV160" s="71"/>
      <c r="DW160" s="71"/>
      <c r="DX160" s="71"/>
      <c r="DY160" s="71"/>
      <c r="DZ160" s="71"/>
      <c r="EK160" s="622"/>
      <c r="EL160" s="622"/>
      <c r="EM160" s="622"/>
      <c r="EN160" s="622"/>
      <c r="EO160" s="622"/>
      <c r="EP160" s="622"/>
      <c r="EQ160" s="622"/>
      <c r="ER160" s="622"/>
      <c r="ES160" s="622"/>
      <c r="ET160" s="622"/>
      <c r="EU160" s="622"/>
      <c r="EV160" s="622"/>
      <c r="EW160" s="622"/>
      <c r="EX160" s="622"/>
      <c r="EY160" s="622"/>
      <c r="EZ160" s="622"/>
      <c r="FA160" s="622"/>
      <c r="FB160" s="622"/>
      <c r="FC160" s="622"/>
      <c r="FD160" s="622"/>
      <c r="FE160" s="622"/>
      <c r="FF160" s="622"/>
      <c r="FG160" s="622"/>
      <c r="FH160" s="622"/>
      <c r="FI160" s="622"/>
    </row>
    <row r="161" spans="1:165" s="624" customFormat="1" ht="16" thickBot="1">
      <c r="A161" s="623" t="s">
        <v>108</v>
      </c>
      <c r="C161" s="625"/>
      <c r="D161" s="628">
        <v>2020</v>
      </c>
      <c r="E161" s="628">
        <v>2021</v>
      </c>
      <c r="F161" s="628">
        <v>2022</v>
      </c>
      <c r="G161" s="628">
        <v>2023</v>
      </c>
      <c r="H161" s="628">
        <v>2024</v>
      </c>
      <c r="I161" s="628">
        <v>2025</v>
      </c>
      <c r="J161" s="628">
        <v>2026</v>
      </c>
      <c r="K161" s="628">
        <v>2027</v>
      </c>
      <c r="L161" s="628">
        <v>2028</v>
      </c>
      <c r="M161" s="628">
        <v>2029</v>
      </c>
      <c r="N161" s="628">
        <v>2030</v>
      </c>
      <c r="O161" s="628">
        <v>2031</v>
      </c>
      <c r="P161" s="628">
        <v>2032</v>
      </c>
      <c r="Q161" s="628">
        <v>2033</v>
      </c>
      <c r="R161" s="628">
        <v>2034</v>
      </c>
      <c r="S161" s="628">
        <v>2035</v>
      </c>
      <c r="T161" s="628">
        <v>2036</v>
      </c>
      <c r="U161" s="628">
        <v>2037</v>
      </c>
      <c r="V161" s="628">
        <v>2038</v>
      </c>
      <c r="W161" s="628">
        <v>2039</v>
      </c>
      <c r="X161" s="628">
        <v>2040</v>
      </c>
      <c r="Y161" s="628">
        <v>2041</v>
      </c>
      <c r="Z161" s="628">
        <v>2042</v>
      </c>
      <c r="AA161" s="628">
        <v>2043</v>
      </c>
      <c r="AB161" s="628">
        <v>2044</v>
      </c>
      <c r="AC161" s="628">
        <v>2045</v>
      </c>
      <c r="AD161" s="628">
        <v>2046</v>
      </c>
      <c r="AE161" s="628">
        <v>2047</v>
      </c>
      <c r="AF161" s="628">
        <v>2048</v>
      </c>
      <c r="AG161" s="628">
        <v>2049</v>
      </c>
      <c r="AH161" s="628">
        <v>2050</v>
      </c>
      <c r="AI161" s="626"/>
      <c r="AJ161" s="628">
        <v>2020</v>
      </c>
      <c r="AK161" s="628">
        <v>2021</v>
      </c>
      <c r="AL161" s="628">
        <v>2022</v>
      </c>
      <c r="AM161" s="628">
        <v>2023</v>
      </c>
      <c r="AN161" s="628">
        <v>2024</v>
      </c>
      <c r="AO161" s="628">
        <v>2025</v>
      </c>
      <c r="AP161" s="628">
        <v>2026</v>
      </c>
      <c r="AQ161" s="628">
        <v>2027</v>
      </c>
      <c r="AR161" s="628">
        <v>2028</v>
      </c>
      <c r="AS161" s="628">
        <v>2029</v>
      </c>
      <c r="AT161" s="628">
        <v>2030</v>
      </c>
      <c r="AU161" s="628">
        <v>2031</v>
      </c>
      <c r="AV161" s="628">
        <v>2032</v>
      </c>
      <c r="AW161" s="628">
        <v>2033</v>
      </c>
      <c r="AX161" s="628">
        <v>2034</v>
      </c>
      <c r="AY161" s="628">
        <v>2035</v>
      </c>
      <c r="AZ161" s="628">
        <v>2036</v>
      </c>
      <c r="BA161" s="628">
        <v>2037</v>
      </c>
      <c r="BB161" s="628">
        <v>2038</v>
      </c>
      <c r="BC161" s="628">
        <v>2039</v>
      </c>
      <c r="BD161" s="628">
        <v>2040</v>
      </c>
      <c r="BE161" s="628">
        <v>2041</v>
      </c>
      <c r="BF161" s="628">
        <v>2042</v>
      </c>
      <c r="BG161" s="628">
        <v>2043</v>
      </c>
      <c r="BH161" s="628">
        <v>2044</v>
      </c>
      <c r="BI161" s="628">
        <v>2045</v>
      </c>
      <c r="BJ161" s="628">
        <v>2046</v>
      </c>
      <c r="BK161" s="628">
        <v>2047</v>
      </c>
      <c r="BL161" s="628">
        <v>2048</v>
      </c>
      <c r="BM161" s="628">
        <v>2049</v>
      </c>
      <c r="BN161" s="628">
        <v>2050</v>
      </c>
      <c r="BP161" s="628">
        <v>2020</v>
      </c>
      <c r="BQ161" s="628">
        <v>2021</v>
      </c>
      <c r="BR161" s="628">
        <v>2022</v>
      </c>
      <c r="BS161" s="628">
        <v>2023</v>
      </c>
      <c r="BT161" s="628">
        <v>2024</v>
      </c>
      <c r="BU161" s="628">
        <v>2025</v>
      </c>
      <c r="BV161" s="628">
        <v>2026</v>
      </c>
      <c r="BW161" s="628">
        <v>2027</v>
      </c>
      <c r="BX161" s="628">
        <v>2028</v>
      </c>
      <c r="BY161" s="628">
        <v>2029</v>
      </c>
      <c r="BZ161" s="628">
        <v>2030</v>
      </c>
      <c r="CA161" s="628">
        <v>2031</v>
      </c>
      <c r="CB161" s="628">
        <v>2032</v>
      </c>
      <c r="CC161" s="628">
        <v>2033</v>
      </c>
      <c r="CD161" s="628">
        <v>2034</v>
      </c>
      <c r="CE161" s="628">
        <v>2035</v>
      </c>
      <c r="CF161" s="628">
        <v>2036</v>
      </c>
      <c r="CG161" s="628">
        <v>2037</v>
      </c>
      <c r="CH161" s="628">
        <v>2038</v>
      </c>
      <c r="CI161" s="628">
        <v>2039</v>
      </c>
      <c r="CJ161" s="628">
        <v>2040</v>
      </c>
      <c r="CK161" s="628">
        <v>2041</v>
      </c>
      <c r="CL161" s="628">
        <v>2042</v>
      </c>
      <c r="CM161" s="628">
        <v>2043</v>
      </c>
      <c r="CN161" s="628">
        <v>2044</v>
      </c>
      <c r="CO161" s="628">
        <v>2045</v>
      </c>
      <c r="CP161" s="628">
        <v>2046</v>
      </c>
      <c r="CQ161" s="628">
        <v>2047</v>
      </c>
      <c r="CR161" s="628">
        <v>2048</v>
      </c>
      <c r="CS161" s="628">
        <v>2049</v>
      </c>
      <c r="CT161" s="628">
        <v>2050</v>
      </c>
      <c r="CV161" s="628">
        <v>2020</v>
      </c>
      <c r="CW161" s="628">
        <v>2021</v>
      </c>
      <c r="CX161" s="628">
        <v>2022</v>
      </c>
      <c r="CY161" s="628">
        <v>2023</v>
      </c>
      <c r="CZ161" s="628">
        <v>2024</v>
      </c>
      <c r="DA161" s="628">
        <v>2025</v>
      </c>
      <c r="DB161" s="628">
        <v>2026</v>
      </c>
      <c r="DC161" s="628">
        <v>2027</v>
      </c>
      <c r="DD161" s="628">
        <v>2028</v>
      </c>
      <c r="DE161" s="628">
        <v>2029</v>
      </c>
      <c r="DF161" s="628">
        <v>2030</v>
      </c>
      <c r="DG161" s="628">
        <v>2031</v>
      </c>
      <c r="DH161" s="628">
        <v>2032</v>
      </c>
      <c r="DI161" s="628">
        <v>2033</v>
      </c>
      <c r="DJ161" s="628">
        <v>2034</v>
      </c>
      <c r="DK161" s="628">
        <v>2035</v>
      </c>
      <c r="DL161" s="628">
        <v>2036</v>
      </c>
      <c r="DM161" s="628">
        <v>2037</v>
      </c>
      <c r="DN161" s="628">
        <v>2038</v>
      </c>
      <c r="DO161" s="628">
        <v>2039</v>
      </c>
      <c r="DP161" s="628">
        <v>2040</v>
      </c>
      <c r="DQ161" s="628">
        <v>2041</v>
      </c>
      <c r="DR161" s="628">
        <v>2042</v>
      </c>
      <c r="DS161" s="628">
        <v>2043</v>
      </c>
      <c r="DT161" s="628">
        <v>2044</v>
      </c>
      <c r="DU161" s="628">
        <v>2045</v>
      </c>
      <c r="DV161" s="628">
        <v>2046</v>
      </c>
      <c r="DW161" s="628">
        <v>2047</v>
      </c>
      <c r="DX161" s="628">
        <v>2048</v>
      </c>
      <c r="DY161" s="628">
        <v>2049</v>
      </c>
      <c r="DZ161" s="628">
        <v>2050</v>
      </c>
      <c r="EK161" s="627"/>
      <c r="EL161" s="627"/>
      <c r="EM161" s="627"/>
      <c r="EN161" s="627"/>
      <c r="EO161" s="627"/>
      <c r="EP161" s="627"/>
      <c r="EQ161" s="627"/>
      <c r="ER161" s="627"/>
      <c r="ES161" s="627"/>
      <c r="ET161" s="627"/>
      <c r="EU161" s="627"/>
      <c r="EV161" s="627"/>
      <c r="EW161" s="627"/>
      <c r="EX161" s="627"/>
      <c r="EY161" s="627"/>
      <c r="EZ161" s="627"/>
      <c r="FA161" s="627"/>
      <c r="FB161" s="627"/>
      <c r="FC161" s="627"/>
      <c r="FD161" s="627"/>
      <c r="FE161" s="627"/>
      <c r="FF161" s="627"/>
      <c r="FG161" s="627"/>
      <c r="FH161" s="627"/>
      <c r="FI161" s="627"/>
    </row>
    <row r="162" spans="1:165">
      <c r="A162" s="606" t="s">
        <v>193</v>
      </c>
      <c r="C162" s="54" t="s">
        <v>458</v>
      </c>
      <c r="D162" s="43">
        <f>$B$186</f>
        <v>0.48</v>
      </c>
      <c r="E162" s="43">
        <f>D162-($D162-$AH162)/30</f>
        <v>0.46399999999999997</v>
      </c>
      <c r="F162" s="43">
        <f t="shared" ref="F162:AG162" si="1461">E162-($D162-$AH162)/30</f>
        <v>0.44799999999999995</v>
      </c>
      <c r="G162" s="43">
        <f t="shared" si="1461"/>
        <v>0.43199999999999994</v>
      </c>
      <c r="H162" s="43">
        <f t="shared" si="1461"/>
        <v>0.41599999999999993</v>
      </c>
      <c r="I162" s="43">
        <f t="shared" si="1461"/>
        <v>0.39999999999999991</v>
      </c>
      <c r="J162" s="43">
        <f t="shared" si="1461"/>
        <v>0.3839999999999999</v>
      </c>
      <c r="K162" s="43">
        <f t="shared" si="1461"/>
        <v>0.36799999999999988</v>
      </c>
      <c r="L162" s="43">
        <f t="shared" si="1461"/>
        <v>0.35199999999999987</v>
      </c>
      <c r="M162" s="43">
        <f t="shared" si="1461"/>
        <v>0.33599999999999985</v>
      </c>
      <c r="N162" s="43">
        <f t="shared" si="1461"/>
        <v>0.31999999999999984</v>
      </c>
      <c r="O162" s="43">
        <f t="shared" si="1461"/>
        <v>0.30399999999999983</v>
      </c>
      <c r="P162" s="43">
        <f t="shared" si="1461"/>
        <v>0.28799999999999981</v>
      </c>
      <c r="Q162" s="43">
        <f t="shared" si="1461"/>
        <v>0.2719999999999998</v>
      </c>
      <c r="R162" s="43">
        <f t="shared" si="1461"/>
        <v>0.25599999999999978</v>
      </c>
      <c r="S162" s="43">
        <f t="shared" si="1461"/>
        <v>0.23999999999999977</v>
      </c>
      <c r="T162" s="43">
        <f t="shared" si="1461"/>
        <v>0.22399999999999975</v>
      </c>
      <c r="U162" s="43">
        <f t="shared" si="1461"/>
        <v>0.20799999999999974</v>
      </c>
      <c r="V162" s="43">
        <f t="shared" si="1461"/>
        <v>0.19199999999999973</v>
      </c>
      <c r="W162" s="43">
        <f t="shared" si="1461"/>
        <v>0.17599999999999971</v>
      </c>
      <c r="X162" s="43">
        <f t="shared" si="1461"/>
        <v>0.1599999999999997</v>
      </c>
      <c r="Y162" s="43">
        <f t="shared" si="1461"/>
        <v>0.14399999999999968</v>
      </c>
      <c r="Z162" s="43">
        <f t="shared" si="1461"/>
        <v>0.12799999999999967</v>
      </c>
      <c r="AA162" s="43">
        <f t="shared" si="1461"/>
        <v>0.11199999999999967</v>
      </c>
      <c r="AB162" s="43">
        <f t="shared" si="1461"/>
        <v>9.5999999999999669E-2</v>
      </c>
      <c r="AC162" s="43">
        <f t="shared" si="1461"/>
        <v>7.9999999999999669E-2</v>
      </c>
      <c r="AD162" s="43">
        <f t="shared" si="1461"/>
        <v>6.3999999999999668E-2</v>
      </c>
      <c r="AE162" s="43">
        <f t="shared" si="1461"/>
        <v>4.7999999999999668E-2</v>
      </c>
      <c r="AF162" s="43">
        <f t="shared" si="1461"/>
        <v>3.1999999999999668E-2</v>
      </c>
      <c r="AG162" s="43">
        <f t="shared" si="1461"/>
        <v>1.5999999999999667E-2</v>
      </c>
      <c r="AH162" s="43">
        <f>$C$186</f>
        <v>0</v>
      </c>
      <c r="AI162" s="44"/>
      <c r="AJ162" s="43">
        <f>D162</f>
        <v>0.48</v>
      </c>
      <c r="AK162" s="43">
        <f t="shared" ref="AK162:AK170" si="1462">E162</f>
        <v>0.46399999999999997</v>
      </c>
      <c r="AL162" s="43">
        <f t="shared" ref="AL162:AL170" si="1463">F162</f>
        <v>0.44799999999999995</v>
      </c>
      <c r="AM162" s="43">
        <f t="shared" ref="AM162:AM170" si="1464">G162</f>
        <v>0.43199999999999994</v>
      </c>
      <c r="AN162" s="43">
        <f t="shared" ref="AN162:AN170" si="1465">H162</f>
        <v>0.41599999999999993</v>
      </c>
      <c r="AO162" s="43">
        <f t="shared" ref="AO162:AO170" si="1466">I162</f>
        <v>0.39999999999999991</v>
      </c>
      <c r="AP162" s="43">
        <f t="shared" ref="AP162:AP170" si="1467">J162</f>
        <v>0.3839999999999999</v>
      </c>
      <c r="AQ162" s="43">
        <f t="shared" ref="AQ162:AQ170" si="1468">K162</f>
        <v>0.36799999999999988</v>
      </c>
      <c r="AR162" s="43">
        <f t="shared" ref="AR162:AR170" si="1469">L162</f>
        <v>0.35199999999999987</v>
      </c>
      <c r="AS162" s="43">
        <f t="shared" ref="AS162:AS170" si="1470">M162</f>
        <v>0.33599999999999985</v>
      </c>
      <c r="AT162" s="43">
        <f t="shared" ref="AT162:AT170" si="1471">N162</f>
        <v>0.31999999999999984</v>
      </c>
      <c r="AU162" s="43">
        <f t="shared" ref="AU162:AU170" si="1472">O162</f>
        <v>0.30399999999999983</v>
      </c>
      <c r="AV162" s="43">
        <f t="shared" ref="AV162:AV170" si="1473">P162</f>
        <v>0.28799999999999981</v>
      </c>
      <c r="AW162" s="43">
        <f t="shared" ref="AW162:AW170" si="1474">Q162</f>
        <v>0.2719999999999998</v>
      </c>
      <c r="AX162" s="43">
        <f t="shared" ref="AX162:AX170" si="1475">R162</f>
        <v>0.25599999999999978</v>
      </c>
      <c r="AY162" s="43">
        <f t="shared" ref="AY162:AY170" si="1476">S162</f>
        <v>0.23999999999999977</v>
      </c>
      <c r="AZ162" s="43">
        <f t="shared" ref="AZ162:AZ170" si="1477">T162</f>
        <v>0.22399999999999975</v>
      </c>
      <c r="BA162" s="43">
        <f t="shared" ref="BA162:BA170" si="1478">U162</f>
        <v>0.20799999999999974</v>
      </c>
      <c r="BB162" s="43">
        <f t="shared" ref="BB162:BB170" si="1479">V162</f>
        <v>0.19199999999999973</v>
      </c>
      <c r="BC162" s="43">
        <f t="shared" ref="BC162:BC170" si="1480">W162</f>
        <v>0.17599999999999971</v>
      </c>
      <c r="BD162" s="43">
        <f t="shared" ref="BD162:BD170" si="1481">X162</f>
        <v>0.1599999999999997</v>
      </c>
      <c r="BE162" s="43">
        <f t="shared" ref="BE162:BE170" si="1482">Y162</f>
        <v>0.14399999999999968</v>
      </c>
      <c r="BF162" s="43">
        <f t="shared" ref="BF162:BF170" si="1483">Z162</f>
        <v>0.12799999999999967</v>
      </c>
      <c r="BG162" s="43">
        <f t="shared" ref="BG162:BG170" si="1484">AA162</f>
        <v>0.11199999999999967</v>
      </c>
      <c r="BH162" s="43">
        <f t="shared" ref="BH162:BH170" si="1485">AB162</f>
        <v>9.5999999999999669E-2</v>
      </c>
      <c r="BI162" s="43">
        <f t="shared" ref="BI162:BI170" si="1486">AC162</f>
        <v>7.9999999999999669E-2</v>
      </c>
      <c r="BJ162" s="43">
        <f t="shared" ref="BJ162:BJ170" si="1487">AD162</f>
        <v>6.3999999999999668E-2</v>
      </c>
      <c r="BK162" s="43">
        <f t="shared" ref="BK162:BK170" si="1488">AE162</f>
        <v>4.7999999999999668E-2</v>
      </c>
      <c r="BL162" s="43">
        <f t="shared" ref="BL162:BL170" si="1489">AF162</f>
        <v>3.1999999999999668E-2</v>
      </c>
      <c r="BM162" s="43">
        <f t="shared" ref="BM162:BM170" si="1490">AG162</f>
        <v>1.5999999999999667E-2</v>
      </c>
      <c r="BN162" s="43">
        <f t="shared" ref="BN162:BN170" si="1491">AH162</f>
        <v>0</v>
      </c>
      <c r="BP162" s="43">
        <f>D162</f>
        <v>0.48</v>
      </c>
      <c r="BQ162" s="43">
        <f>BP162-($BP162-$CT162)/30</f>
        <v>0.48</v>
      </c>
      <c r="BR162" s="43">
        <f t="shared" ref="BR162:CS162" si="1492">BQ162-($BP162-$CT162)/30</f>
        <v>0.48</v>
      </c>
      <c r="BS162" s="43">
        <f t="shared" si="1492"/>
        <v>0.48</v>
      </c>
      <c r="BT162" s="43">
        <f t="shared" si="1492"/>
        <v>0.48</v>
      </c>
      <c r="BU162" s="43">
        <f t="shared" si="1492"/>
        <v>0.48</v>
      </c>
      <c r="BV162" s="43">
        <f t="shared" si="1492"/>
        <v>0.48</v>
      </c>
      <c r="BW162" s="43">
        <f t="shared" si="1492"/>
        <v>0.48</v>
      </c>
      <c r="BX162" s="43">
        <f t="shared" si="1492"/>
        <v>0.48</v>
      </c>
      <c r="BY162" s="43">
        <f t="shared" si="1492"/>
        <v>0.48</v>
      </c>
      <c r="BZ162" s="43">
        <f t="shared" si="1492"/>
        <v>0.48</v>
      </c>
      <c r="CA162" s="43">
        <f t="shared" si="1492"/>
        <v>0.48</v>
      </c>
      <c r="CB162" s="43">
        <f t="shared" si="1492"/>
        <v>0.48</v>
      </c>
      <c r="CC162" s="43">
        <f t="shared" si="1492"/>
        <v>0.48</v>
      </c>
      <c r="CD162" s="43">
        <f t="shared" si="1492"/>
        <v>0.48</v>
      </c>
      <c r="CE162" s="43">
        <f t="shared" si="1492"/>
        <v>0.48</v>
      </c>
      <c r="CF162" s="43">
        <f t="shared" si="1492"/>
        <v>0.48</v>
      </c>
      <c r="CG162" s="43">
        <f t="shared" si="1492"/>
        <v>0.48</v>
      </c>
      <c r="CH162" s="43">
        <f t="shared" si="1492"/>
        <v>0.48</v>
      </c>
      <c r="CI162" s="43">
        <f t="shared" si="1492"/>
        <v>0.48</v>
      </c>
      <c r="CJ162" s="43">
        <f t="shared" si="1492"/>
        <v>0.48</v>
      </c>
      <c r="CK162" s="43">
        <f t="shared" si="1492"/>
        <v>0.48</v>
      </c>
      <c r="CL162" s="43">
        <f t="shared" si="1492"/>
        <v>0.48</v>
      </c>
      <c r="CM162" s="43">
        <f t="shared" si="1492"/>
        <v>0.48</v>
      </c>
      <c r="CN162" s="43">
        <f t="shared" si="1492"/>
        <v>0.48</v>
      </c>
      <c r="CO162" s="43">
        <f t="shared" si="1492"/>
        <v>0.48</v>
      </c>
      <c r="CP162" s="43">
        <f t="shared" si="1492"/>
        <v>0.48</v>
      </c>
      <c r="CQ162" s="43">
        <f t="shared" si="1492"/>
        <v>0.48</v>
      </c>
      <c r="CR162" s="43">
        <f t="shared" si="1492"/>
        <v>0.48</v>
      </c>
      <c r="CS162" s="43">
        <f t="shared" si="1492"/>
        <v>0.48</v>
      </c>
      <c r="CT162" s="43">
        <f>BP162</f>
        <v>0.48</v>
      </c>
      <c r="CV162" s="43">
        <f>AJ162</f>
        <v>0.48</v>
      </c>
      <c r="CW162" s="43">
        <f t="shared" ref="CW162:CW166" si="1493">AK162</f>
        <v>0.46399999999999997</v>
      </c>
      <c r="CX162" s="43">
        <f t="shared" ref="CX162:CX166" si="1494">AL162</f>
        <v>0.44799999999999995</v>
      </c>
      <c r="CY162" s="43">
        <f t="shared" ref="CY162:CY166" si="1495">AM162</f>
        <v>0.43199999999999994</v>
      </c>
      <c r="CZ162" s="43">
        <f t="shared" ref="CZ162:CZ166" si="1496">AN162</f>
        <v>0.41599999999999993</v>
      </c>
      <c r="DA162" s="43">
        <f t="shared" ref="DA162:DA166" si="1497">AO162</f>
        <v>0.39999999999999991</v>
      </c>
      <c r="DB162" s="43">
        <f t="shared" ref="DB162:DB166" si="1498">AP162</f>
        <v>0.3839999999999999</v>
      </c>
      <c r="DC162" s="43">
        <f t="shared" ref="DC162:DC166" si="1499">AQ162</f>
        <v>0.36799999999999988</v>
      </c>
      <c r="DD162" s="43">
        <f t="shared" ref="DD162:DD166" si="1500">AR162</f>
        <v>0.35199999999999987</v>
      </c>
      <c r="DE162" s="43">
        <f t="shared" ref="DE162:DE166" si="1501">AS162</f>
        <v>0.33599999999999985</v>
      </c>
      <c r="DF162" s="43">
        <f t="shared" ref="DF162:DF166" si="1502">AT162</f>
        <v>0.31999999999999984</v>
      </c>
      <c r="DG162" s="43">
        <f t="shared" ref="DG162:DG166" si="1503">AU162</f>
        <v>0.30399999999999983</v>
      </c>
      <c r="DH162" s="43">
        <f t="shared" ref="DH162:DH166" si="1504">AV162</f>
        <v>0.28799999999999981</v>
      </c>
      <c r="DI162" s="43">
        <f t="shared" ref="DI162:DI166" si="1505">AW162</f>
        <v>0.2719999999999998</v>
      </c>
      <c r="DJ162" s="43">
        <f t="shared" ref="DJ162:DJ166" si="1506">AX162</f>
        <v>0.25599999999999978</v>
      </c>
      <c r="DK162" s="43">
        <f t="shared" ref="DK162:DK166" si="1507">AY162</f>
        <v>0.23999999999999977</v>
      </c>
      <c r="DL162" s="43">
        <f t="shared" ref="DL162:DL166" si="1508">AZ162</f>
        <v>0.22399999999999975</v>
      </c>
      <c r="DM162" s="43">
        <f t="shared" ref="DM162:DM166" si="1509">BA162</f>
        <v>0.20799999999999974</v>
      </c>
      <c r="DN162" s="43">
        <f t="shared" ref="DN162:DN166" si="1510">BB162</f>
        <v>0.19199999999999973</v>
      </c>
      <c r="DO162" s="43">
        <f t="shared" ref="DO162:DO166" si="1511">BC162</f>
        <v>0.17599999999999971</v>
      </c>
      <c r="DP162" s="43">
        <f t="shared" ref="DP162:DP166" si="1512">BD162</f>
        <v>0.1599999999999997</v>
      </c>
      <c r="DQ162" s="43">
        <f t="shared" ref="DQ162:DQ166" si="1513">BE162</f>
        <v>0.14399999999999968</v>
      </c>
      <c r="DR162" s="43">
        <f t="shared" ref="DR162:DR166" si="1514">BF162</f>
        <v>0.12799999999999967</v>
      </c>
      <c r="DS162" s="43">
        <f t="shared" ref="DS162:DS166" si="1515">BG162</f>
        <v>0.11199999999999967</v>
      </c>
      <c r="DT162" s="43">
        <f t="shared" ref="DT162:DT166" si="1516">BH162</f>
        <v>9.5999999999999669E-2</v>
      </c>
      <c r="DU162" s="43">
        <f t="shared" ref="DU162:DU166" si="1517">BI162</f>
        <v>7.9999999999999669E-2</v>
      </c>
      <c r="DV162" s="43">
        <f t="shared" ref="DV162:DV166" si="1518">BJ162</f>
        <v>6.3999999999999668E-2</v>
      </c>
      <c r="DW162" s="43">
        <f t="shared" ref="DW162:DW166" si="1519">BK162</f>
        <v>4.7999999999999668E-2</v>
      </c>
      <c r="DX162" s="43">
        <f t="shared" ref="DX162:DX166" si="1520">BL162</f>
        <v>3.1999999999999668E-2</v>
      </c>
      <c r="DY162" s="43">
        <f t="shared" ref="DY162:DY166" si="1521">BM162</f>
        <v>1.5999999999999667E-2</v>
      </c>
      <c r="DZ162" s="43">
        <f t="shared" ref="DZ162:DZ166" si="1522">BN162</f>
        <v>0</v>
      </c>
    </row>
    <row r="163" spans="1:165">
      <c r="A163" s="606" t="s">
        <v>88</v>
      </c>
      <c r="C163" s="54" t="s">
        <v>458</v>
      </c>
      <c r="D163" s="43">
        <f>$B$187</f>
        <v>3</v>
      </c>
      <c r="E163" s="43">
        <f t="shared" ref="E163:AG163" si="1523">D163-($D163-$AH163)/30</f>
        <v>2.9</v>
      </c>
      <c r="F163" s="43">
        <f t="shared" si="1523"/>
        <v>2.8</v>
      </c>
      <c r="G163" s="43">
        <f t="shared" si="1523"/>
        <v>2.6999999999999997</v>
      </c>
      <c r="H163" s="43">
        <f t="shared" si="1523"/>
        <v>2.5999999999999996</v>
      </c>
      <c r="I163" s="43">
        <f t="shared" si="1523"/>
        <v>2.4999999999999996</v>
      </c>
      <c r="J163" s="43">
        <f t="shared" si="1523"/>
        <v>2.3999999999999995</v>
      </c>
      <c r="K163" s="43">
        <f t="shared" si="1523"/>
        <v>2.2999999999999994</v>
      </c>
      <c r="L163" s="43">
        <f t="shared" si="1523"/>
        <v>2.1999999999999993</v>
      </c>
      <c r="M163" s="43">
        <f t="shared" si="1523"/>
        <v>2.0999999999999992</v>
      </c>
      <c r="N163" s="43">
        <f t="shared" si="1523"/>
        <v>1.9999999999999991</v>
      </c>
      <c r="O163" s="43">
        <f t="shared" si="1523"/>
        <v>1.899999999999999</v>
      </c>
      <c r="P163" s="43">
        <f t="shared" si="1523"/>
        <v>1.7999999999999989</v>
      </c>
      <c r="Q163" s="43">
        <f t="shared" si="1523"/>
        <v>1.6999999999999988</v>
      </c>
      <c r="R163" s="43">
        <f t="shared" si="1523"/>
        <v>1.5999999999999988</v>
      </c>
      <c r="S163" s="43">
        <f t="shared" si="1523"/>
        <v>1.4999999999999987</v>
      </c>
      <c r="T163" s="43">
        <f t="shared" si="1523"/>
        <v>1.3999999999999986</v>
      </c>
      <c r="U163" s="43">
        <f t="shared" si="1523"/>
        <v>1.2999999999999985</v>
      </c>
      <c r="V163" s="43">
        <f t="shared" si="1523"/>
        <v>1.1999999999999984</v>
      </c>
      <c r="W163" s="43">
        <f t="shared" si="1523"/>
        <v>1.0999999999999983</v>
      </c>
      <c r="X163" s="43">
        <f t="shared" si="1523"/>
        <v>0.99999999999999833</v>
      </c>
      <c r="Y163" s="43">
        <f t="shared" si="1523"/>
        <v>0.89999999999999836</v>
      </c>
      <c r="Z163" s="43">
        <f t="shared" si="1523"/>
        <v>0.79999999999999838</v>
      </c>
      <c r="AA163" s="43">
        <f t="shared" si="1523"/>
        <v>0.6999999999999984</v>
      </c>
      <c r="AB163" s="43">
        <f t="shared" si="1523"/>
        <v>0.59999999999999842</v>
      </c>
      <c r="AC163" s="43">
        <f t="shared" si="1523"/>
        <v>0.49999999999999845</v>
      </c>
      <c r="AD163" s="43">
        <f t="shared" si="1523"/>
        <v>0.39999999999999847</v>
      </c>
      <c r="AE163" s="43">
        <f t="shared" si="1523"/>
        <v>0.29999999999999849</v>
      </c>
      <c r="AF163" s="43">
        <f t="shared" si="1523"/>
        <v>0.19999999999999848</v>
      </c>
      <c r="AG163" s="43">
        <f t="shared" si="1523"/>
        <v>9.9999999999998479E-2</v>
      </c>
      <c r="AH163" s="43">
        <f>$C$187</f>
        <v>0</v>
      </c>
      <c r="AI163" s="44"/>
      <c r="AJ163" s="43">
        <f t="shared" ref="AJ163:AJ170" si="1524">D163</f>
        <v>3</v>
      </c>
      <c r="AK163" s="43">
        <f t="shared" si="1462"/>
        <v>2.9</v>
      </c>
      <c r="AL163" s="43">
        <f t="shared" si="1463"/>
        <v>2.8</v>
      </c>
      <c r="AM163" s="43">
        <f t="shared" si="1464"/>
        <v>2.6999999999999997</v>
      </c>
      <c r="AN163" s="43">
        <f t="shared" si="1465"/>
        <v>2.5999999999999996</v>
      </c>
      <c r="AO163" s="43">
        <f t="shared" si="1466"/>
        <v>2.4999999999999996</v>
      </c>
      <c r="AP163" s="43">
        <f t="shared" si="1467"/>
        <v>2.3999999999999995</v>
      </c>
      <c r="AQ163" s="43">
        <f t="shared" si="1468"/>
        <v>2.2999999999999994</v>
      </c>
      <c r="AR163" s="43">
        <f t="shared" si="1469"/>
        <v>2.1999999999999993</v>
      </c>
      <c r="AS163" s="43">
        <f t="shared" si="1470"/>
        <v>2.0999999999999992</v>
      </c>
      <c r="AT163" s="43">
        <f t="shared" si="1471"/>
        <v>1.9999999999999991</v>
      </c>
      <c r="AU163" s="43">
        <f t="shared" si="1472"/>
        <v>1.899999999999999</v>
      </c>
      <c r="AV163" s="43">
        <f t="shared" si="1473"/>
        <v>1.7999999999999989</v>
      </c>
      <c r="AW163" s="43">
        <f t="shared" si="1474"/>
        <v>1.6999999999999988</v>
      </c>
      <c r="AX163" s="43">
        <f t="shared" si="1475"/>
        <v>1.5999999999999988</v>
      </c>
      <c r="AY163" s="43">
        <f t="shared" si="1476"/>
        <v>1.4999999999999987</v>
      </c>
      <c r="AZ163" s="43">
        <f t="shared" si="1477"/>
        <v>1.3999999999999986</v>
      </c>
      <c r="BA163" s="43">
        <f t="shared" si="1478"/>
        <v>1.2999999999999985</v>
      </c>
      <c r="BB163" s="43">
        <f t="shared" si="1479"/>
        <v>1.1999999999999984</v>
      </c>
      <c r="BC163" s="43">
        <f t="shared" si="1480"/>
        <v>1.0999999999999983</v>
      </c>
      <c r="BD163" s="43">
        <f t="shared" si="1481"/>
        <v>0.99999999999999833</v>
      </c>
      <c r="BE163" s="43">
        <f t="shared" si="1482"/>
        <v>0.89999999999999836</v>
      </c>
      <c r="BF163" s="43">
        <f t="shared" si="1483"/>
        <v>0.79999999999999838</v>
      </c>
      <c r="BG163" s="43">
        <f t="shared" si="1484"/>
        <v>0.6999999999999984</v>
      </c>
      <c r="BH163" s="43">
        <f t="shared" si="1485"/>
        <v>0.59999999999999842</v>
      </c>
      <c r="BI163" s="43">
        <f t="shared" si="1486"/>
        <v>0.49999999999999845</v>
      </c>
      <c r="BJ163" s="43">
        <f t="shared" si="1487"/>
        <v>0.39999999999999847</v>
      </c>
      <c r="BK163" s="43">
        <f t="shared" si="1488"/>
        <v>0.29999999999999849</v>
      </c>
      <c r="BL163" s="43">
        <f t="shared" si="1489"/>
        <v>0.19999999999999848</v>
      </c>
      <c r="BM163" s="43">
        <f t="shared" si="1490"/>
        <v>9.9999999999998479E-2</v>
      </c>
      <c r="BN163" s="43">
        <f t="shared" si="1491"/>
        <v>0</v>
      </c>
      <c r="BP163" s="43">
        <f t="shared" ref="BP163:BP170" si="1525">D163</f>
        <v>3</v>
      </c>
      <c r="BQ163" s="43">
        <f t="shared" ref="BQ163:CS163" si="1526">BP163-($BP163-$CT163)/30</f>
        <v>3</v>
      </c>
      <c r="BR163" s="43">
        <f t="shared" si="1526"/>
        <v>3</v>
      </c>
      <c r="BS163" s="43">
        <f t="shared" si="1526"/>
        <v>3</v>
      </c>
      <c r="BT163" s="43">
        <f t="shared" si="1526"/>
        <v>3</v>
      </c>
      <c r="BU163" s="43">
        <f t="shared" si="1526"/>
        <v>3</v>
      </c>
      <c r="BV163" s="43">
        <f t="shared" si="1526"/>
        <v>3</v>
      </c>
      <c r="BW163" s="43">
        <f t="shared" si="1526"/>
        <v>3</v>
      </c>
      <c r="BX163" s="43">
        <f t="shared" si="1526"/>
        <v>3</v>
      </c>
      <c r="BY163" s="43">
        <f t="shared" si="1526"/>
        <v>3</v>
      </c>
      <c r="BZ163" s="43">
        <f t="shared" si="1526"/>
        <v>3</v>
      </c>
      <c r="CA163" s="43">
        <f t="shared" si="1526"/>
        <v>3</v>
      </c>
      <c r="CB163" s="43">
        <f t="shared" si="1526"/>
        <v>3</v>
      </c>
      <c r="CC163" s="43">
        <f t="shared" si="1526"/>
        <v>3</v>
      </c>
      <c r="CD163" s="43">
        <f t="shared" si="1526"/>
        <v>3</v>
      </c>
      <c r="CE163" s="43">
        <f t="shared" si="1526"/>
        <v>3</v>
      </c>
      <c r="CF163" s="43">
        <f t="shared" si="1526"/>
        <v>3</v>
      </c>
      <c r="CG163" s="43">
        <f t="shared" si="1526"/>
        <v>3</v>
      </c>
      <c r="CH163" s="43">
        <f t="shared" si="1526"/>
        <v>3</v>
      </c>
      <c r="CI163" s="43">
        <f t="shared" si="1526"/>
        <v>3</v>
      </c>
      <c r="CJ163" s="43">
        <f t="shared" si="1526"/>
        <v>3</v>
      </c>
      <c r="CK163" s="43">
        <f t="shared" si="1526"/>
        <v>3</v>
      </c>
      <c r="CL163" s="43">
        <f t="shared" si="1526"/>
        <v>3</v>
      </c>
      <c r="CM163" s="43">
        <f t="shared" si="1526"/>
        <v>3</v>
      </c>
      <c r="CN163" s="43">
        <f t="shared" si="1526"/>
        <v>3</v>
      </c>
      <c r="CO163" s="43">
        <f t="shared" si="1526"/>
        <v>3</v>
      </c>
      <c r="CP163" s="43">
        <f t="shared" si="1526"/>
        <v>3</v>
      </c>
      <c r="CQ163" s="43">
        <f t="shared" si="1526"/>
        <v>3</v>
      </c>
      <c r="CR163" s="43">
        <f t="shared" si="1526"/>
        <v>3</v>
      </c>
      <c r="CS163" s="43">
        <f t="shared" si="1526"/>
        <v>3</v>
      </c>
      <c r="CT163" s="43">
        <f t="shared" ref="CT163:CT164" si="1527">BP163</f>
        <v>3</v>
      </c>
      <c r="CV163" s="43">
        <f>AJ163</f>
        <v>3</v>
      </c>
      <c r="CW163" s="43">
        <f t="shared" si="1493"/>
        <v>2.9</v>
      </c>
      <c r="CX163" s="43">
        <f t="shared" si="1494"/>
        <v>2.8</v>
      </c>
      <c r="CY163" s="43">
        <f t="shared" si="1495"/>
        <v>2.6999999999999997</v>
      </c>
      <c r="CZ163" s="43">
        <f t="shared" si="1496"/>
        <v>2.5999999999999996</v>
      </c>
      <c r="DA163" s="43">
        <f t="shared" si="1497"/>
        <v>2.4999999999999996</v>
      </c>
      <c r="DB163" s="43">
        <f t="shared" si="1498"/>
        <v>2.3999999999999995</v>
      </c>
      <c r="DC163" s="43">
        <f t="shared" si="1499"/>
        <v>2.2999999999999994</v>
      </c>
      <c r="DD163" s="43">
        <f t="shared" si="1500"/>
        <v>2.1999999999999993</v>
      </c>
      <c r="DE163" s="43">
        <f t="shared" si="1501"/>
        <v>2.0999999999999992</v>
      </c>
      <c r="DF163" s="43">
        <f t="shared" si="1502"/>
        <v>1.9999999999999991</v>
      </c>
      <c r="DG163" s="43">
        <f t="shared" si="1503"/>
        <v>1.899999999999999</v>
      </c>
      <c r="DH163" s="43">
        <f t="shared" si="1504"/>
        <v>1.7999999999999989</v>
      </c>
      <c r="DI163" s="43">
        <f t="shared" si="1505"/>
        <v>1.6999999999999988</v>
      </c>
      <c r="DJ163" s="43">
        <f t="shared" si="1506"/>
        <v>1.5999999999999988</v>
      </c>
      <c r="DK163" s="43">
        <f t="shared" si="1507"/>
        <v>1.4999999999999987</v>
      </c>
      <c r="DL163" s="43">
        <f t="shared" si="1508"/>
        <v>1.3999999999999986</v>
      </c>
      <c r="DM163" s="43">
        <f t="shared" si="1509"/>
        <v>1.2999999999999985</v>
      </c>
      <c r="DN163" s="43">
        <f t="shared" si="1510"/>
        <v>1.1999999999999984</v>
      </c>
      <c r="DO163" s="43">
        <f t="shared" si="1511"/>
        <v>1.0999999999999983</v>
      </c>
      <c r="DP163" s="43">
        <f t="shared" si="1512"/>
        <v>0.99999999999999833</v>
      </c>
      <c r="DQ163" s="43">
        <f t="shared" si="1513"/>
        <v>0.89999999999999836</v>
      </c>
      <c r="DR163" s="43">
        <f t="shared" si="1514"/>
        <v>0.79999999999999838</v>
      </c>
      <c r="DS163" s="43">
        <f t="shared" si="1515"/>
        <v>0.6999999999999984</v>
      </c>
      <c r="DT163" s="43">
        <f t="shared" si="1516"/>
        <v>0.59999999999999842</v>
      </c>
      <c r="DU163" s="43">
        <f t="shared" si="1517"/>
        <v>0.49999999999999845</v>
      </c>
      <c r="DV163" s="43">
        <f t="shared" si="1518"/>
        <v>0.39999999999999847</v>
      </c>
      <c r="DW163" s="43">
        <f t="shared" si="1519"/>
        <v>0.29999999999999849</v>
      </c>
      <c r="DX163" s="43">
        <f t="shared" si="1520"/>
        <v>0.19999999999999848</v>
      </c>
      <c r="DY163" s="43">
        <f t="shared" si="1521"/>
        <v>9.9999999999998479E-2</v>
      </c>
      <c r="DZ163" s="43">
        <f t="shared" si="1522"/>
        <v>0</v>
      </c>
    </row>
    <row r="164" spans="1:165">
      <c r="A164" s="606" t="s">
        <v>459</v>
      </c>
      <c r="C164" s="54" t="s">
        <v>458</v>
      </c>
      <c r="D164" s="43">
        <f>$BP$192</f>
        <v>1.4219670000000002</v>
      </c>
      <c r="E164" s="43">
        <f t="shared" ref="E164:AG164" si="1528">D164-($D164-$AH164)/30</f>
        <v>1.4679014333333336</v>
      </c>
      <c r="F164" s="43">
        <f t="shared" si="1528"/>
        <v>1.5138358666666669</v>
      </c>
      <c r="G164" s="43">
        <f t="shared" si="1528"/>
        <v>1.5597703000000003</v>
      </c>
      <c r="H164" s="43">
        <f t="shared" si="1528"/>
        <v>1.6057047333333336</v>
      </c>
      <c r="I164" s="43">
        <f t="shared" si="1528"/>
        <v>1.651639166666667</v>
      </c>
      <c r="J164" s="43">
        <f t="shared" si="1528"/>
        <v>1.6975736000000003</v>
      </c>
      <c r="K164" s="43">
        <f t="shared" si="1528"/>
        <v>1.7435080333333337</v>
      </c>
      <c r="L164" s="43">
        <f t="shared" si="1528"/>
        <v>1.7894424666666671</v>
      </c>
      <c r="M164" s="43">
        <f t="shared" si="1528"/>
        <v>1.8353769000000004</v>
      </c>
      <c r="N164" s="43">
        <f t="shared" si="1528"/>
        <v>1.8813113333333338</v>
      </c>
      <c r="O164" s="43">
        <f t="shared" si="1528"/>
        <v>1.9272457666666671</v>
      </c>
      <c r="P164" s="43">
        <f t="shared" si="1528"/>
        <v>1.9731802000000005</v>
      </c>
      <c r="Q164" s="43">
        <f t="shared" si="1528"/>
        <v>2.0191146333333339</v>
      </c>
      <c r="R164" s="43">
        <f t="shared" si="1528"/>
        <v>2.065049066666667</v>
      </c>
      <c r="S164" s="43">
        <f t="shared" si="1528"/>
        <v>2.1109835000000001</v>
      </c>
      <c r="T164" s="43">
        <f t="shared" si="1528"/>
        <v>2.1569179333333333</v>
      </c>
      <c r="U164" s="43">
        <f t="shared" si="1528"/>
        <v>2.2028523666666664</v>
      </c>
      <c r="V164" s="43">
        <f t="shared" si="1528"/>
        <v>2.2487867999999995</v>
      </c>
      <c r="W164" s="43">
        <f t="shared" si="1528"/>
        <v>2.2947212333333327</v>
      </c>
      <c r="X164" s="43">
        <f t="shared" si="1528"/>
        <v>2.3406556666666658</v>
      </c>
      <c r="Y164" s="43">
        <f t="shared" si="1528"/>
        <v>2.3865900999999989</v>
      </c>
      <c r="Z164" s="43">
        <f t="shared" si="1528"/>
        <v>2.4325245333333321</v>
      </c>
      <c r="AA164" s="43">
        <f t="shared" si="1528"/>
        <v>2.4784589666666652</v>
      </c>
      <c r="AB164" s="43">
        <f t="shared" si="1528"/>
        <v>2.5243933999999983</v>
      </c>
      <c r="AC164" s="43">
        <f t="shared" si="1528"/>
        <v>2.5703278333333315</v>
      </c>
      <c r="AD164" s="43">
        <f t="shared" si="1528"/>
        <v>2.6162622666666646</v>
      </c>
      <c r="AE164" s="43">
        <f t="shared" si="1528"/>
        <v>2.6621966999999978</v>
      </c>
      <c r="AF164" s="43">
        <f t="shared" si="1528"/>
        <v>2.7081311333333309</v>
      </c>
      <c r="AG164" s="43">
        <f t="shared" si="1528"/>
        <v>2.754065566666664</v>
      </c>
      <c r="AH164" s="43">
        <f>EB192</f>
        <v>2.8</v>
      </c>
      <c r="AI164" s="44"/>
      <c r="AJ164" s="43">
        <f t="shared" si="1524"/>
        <v>1.4219670000000002</v>
      </c>
      <c r="AK164" s="43">
        <f t="shared" si="1462"/>
        <v>1.4679014333333336</v>
      </c>
      <c r="AL164" s="43">
        <f t="shared" si="1463"/>
        <v>1.5138358666666669</v>
      </c>
      <c r="AM164" s="43">
        <f t="shared" si="1464"/>
        <v>1.5597703000000003</v>
      </c>
      <c r="AN164" s="43">
        <f t="shared" si="1465"/>
        <v>1.6057047333333336</v>
      </c>
      <c r="AO164" s="43">
        <f t="shared" si="1466"/>
        <v>1.651639166666667</v>
      </c>
      <c r="AP164" s="43">
        <f t="shared" si="1467"/>
        <v>1.6975736000000003</v>
      </c>
      <c r="AQ164" s="43">
        <f t="shared" si="1468"/>
        <v>1.7435080333333337</v>
      </c>
      <c r="AR164" s="43">
        <f t="shared" si="1469"/>
        <v>1.7894424666666671</v>
      </c>
      <c r="AS164" s="43">
        <f t="shared" si="1470"/>
        <v>1.8353769000000004</v>
      </c>
      <c r="AT164" s="43">
        <f t="shared" si="1471"/>
        <v>1.8813113333333338</v>
      </c>
      <c r="AU164" s="43">
        <f t="shared" si="1472"/>
        <v>1.9272457666666671</v>
      </c>
      <c r="AV164" s="43">
        <f t="shared" si="1473"/>
        <v>1.9731802000000005</v>
      </c>
      <c r="AW164" s="43">
        <f t="shared" si="1474"/>
        <v>2.0191146333333339</v>
      </c>
      <c r="AX164" s="43">
        <f t="shared" si="1475"/>
        <v>2.065049066666667</v>
      </c>
      <c r="AY164" s="43">
        <f t="shared" si="1476"/>
        <v>2.1109835000000001</v>
      </c>
      <c r="AZ164" s="43">
        <f t="shared" si="1477"/>
        <v>2.1569179333333333</v>
      </c>
      <c r="BA164" s="43">
        <f t="shared" si="1478"/>
        <v>2.2028523666666664</v>
      </c>
      <c r="BB164" s="43">
        <f t="shared" si="1479"/>
        <v>2.2487867999999995</v>
      </c>
      <c r="BC164" s="43">
        <f t="shared" si="1480"/>
        <v>2.2947212333333327</v>
      </c>
      <c r="BD164" s="43">
        <f t="shared" si="1481"/>
        <v>2.3406556666666658</v>
      </c>
      <c r="BE164" s="43">
        <f t="shared" si="1482"/>
        <v>2.3865900999999989</v>
      </c>
      <c r="BF164" s="43">
        <f t="shared" si="1483"/>
        <v>2.4325245333333321</v>
      </c>
      <c r="BG164" s="43">
        <f t="shared" si="1484"/>
        <v>2.4784589666666652</v>
      </c>
      <c r="BH164" s="43">
        <f t="shared" si="1485"/>
        <v>2.5243933999999983</v>
      </c>
      <c r="BI164" s="43">
        <f t="shared" si="1486"/>
        <v>2.5703278333333315</v>
      </c>
      <c r="BJ164" s="43">
        <f t="shared" si="1487"/>
        <v>2.6162622666666646</v>
      </c>
      <c r="BK164" s="43">
        <f t="shared" si="1488"/>
        <v>2.6621966999999978</v>
      </c>
      <c r="BL164" s="43">
        <f t="shared" si="1489"/>
        <v>2.7081311333333309</v>
      </c>
      <c r="BM164" s="43">
        <f t="shared" si="1490"/>
        <v>2.754065566666664</v>
      </c>
      <c r="BN164" s="43">
        <f t="shared" si="1491"/>
        <v>2.8</v>
      </c>
      <c r="BP164" s="43">
        <f t="shared" si="1525"/>
        <v>1.4219670000000002</v>
      </c>
      <c r="BQ164" s="43">
        <f t="shared" ref="BQ164:CS164" si="1529">BP164-($BP164-$CT164)/30</f>
        <v>1.4219670000000002</v>
      </c>
      <c r="BR164" s="43">
        <f t="shared" si="1529"/>
        <v>1.4219670000000002</v>
      </c>
      <c r="BS164" s="43">
        <f t="shared" si="1529"/>
        <v>1.4219670000000002</v>
      </c>
      <c r="BT164" s="43">
        <f t="shared" si="1529"/>
        <v>1.4219670000000002</v>
      </c>
      <c r="BU164" s="43">
        <f t="shared" si="1529"/>
        <v>1.4219670000000002</v>
      </c>
      <c r="BV164" s="43">
        <f t="shared" si="1529"/>
        <v>1.4219670000000002</v>
      </c>
      <c r="BW164" s="43">
        <f t="shared" si="1529"/>
        <v>1.4219670000000002</v>
      </c>
      <c r="BX164" s="43">
        <f t="shared" si="1529"/>
        <v>1.4219670000000002</v>
      </c>
      <c r="BY164" s="43">
        <f t="shared" si="1529"/>
        <v>1.4219670000000002</v>
      </c>
      <c r="BZ164" s="43">
        <f t="shared" si="1529"/>
        <v>1.4219670000000002</v>
      </c>
      <c r="CA164" s="43">
        <f t="shared" si="1529"/>
        <v>1.4219670000000002</v>
      </c>
      <c r="CB164" s="43">
        <f t="shared" si="1529"/>
        <v>1.4219670000000002</v>
      </c>
      <c r="CC164" s="43">
        <f t="shared" si="1529"/>
        <v>1.4219670000000002</v>
      </c>
      <c r="CD164" s="43">
        <f t="shared" si="1529"/>
        <v>1.4219670000000002</v>
      </c>
      <c r="CE164" s="43">
        <f t="shared" si="1529"/>
        <v>1.4219670000000002</v>
      </c>
      <c r="CF164" s="43">
        <f t="shared" si="1529"/>
        <v>1.4219670000000002</v>
      </c>
      <c r="CG164" s="43">
        <f t="shared" si="1529"/>
        <v>1.4219670000000002</v>
      </c>
      <c r="CH164" s="43">
        <f t="shared" si="1529"/>
        <v>1.4219670000000002</v>
      </c>
      <c r="CI164" s="43">
        <f t="shared" si="1529"/>
        <v>1.4219670000000002</v>
      </c>
      <c r="CJ164" s="43">
        <f t="shared" si="1529"/>
        <v>1.4219670000000002</v>
      </c>
      <c r="CK164" s="43">
        <f t="shared" si="1529"/>
        <v>1.4219670000000002</v>
      </c>
      <c r="CL164" s="43">
        <f t="shared" si="1529"/>
        <v>1.4219670000000002</v>
      </c>
      <c r="CM164" s="43">
        <f t="shared" si="1529"/>
        <v>1.4219670000000002</v>
      </c>
      <c r="CN164" s="43">
        <f t="shared" si="1529"/>
        <v>1.4219670000000002</v>
      </c>
      <c r="CO164" s="43">
        <f t="shared" si="1529"/>
        <v>1.4219670000000002</v>
      </c>
      <c r="CP164" s="43">
        <f t="shared" si="1529"/>
        <v>1.4219670000000002</v>
      </c>
      <c r="CQ164" s="43">
        <f t="shared" si="1529"/>
        <v>1.4219670000000002</v>
      </c>
      <c r="CR164" s="43">
        <f t="shared" si="1529"/>
        <v>1.4219670000000002</v>
      </c>
      <c r="CS164" s="43">
        <f t="shared" si="1529"/>
        <v>1.4219670000000002</v>
      </c>
      <c r="CT164" s="43">
        <f t="shared" si="1527"/>
        <v>1.4219670000000002</v>
      </c>
      <c r="CV164" s="43">
        <f>AJ164</f>
        <v>1.4219670000000002</v>
      </c>
      <c r="CW164" s="43">
        <f t="shared" si="1493"/>
        <v>1.4679014333333336</v>
      </c>
      <c r="CX164" s="43">
        <f t="shared" si="1494"/>
        <v>1.5138358666666669</v>
      </c>
      <c r="CY164" s="43">
        <f t="shared" si="1495"/>
        <v>1.5597703000000003</v>
      </c>
      <c r="CZ164" s="43">
        <f t="shared" si="1496"/>
        <v>1.6057047333333336</v>
      </c>
      <c r="DA164" s="43">
        <f t="shared" si="1497"/>
        <v>1.651639166666667</v>
      </c>
      <c r="DB164" s="43">
        <f t="shared" si="1498"/>
        <v>1.6975736000000003</v>
      </c>
      <c r="DC164" s="43">
        <f t="shared" si="1499"/>
        <v>1.7435080333333337</v>
      </c>
      <c r="DD164" s="43">
        <f t="shared" si="1500"/>
        <v>1.7894424666666671</v>
      </c>
      <c r="DE164" s="43">
        <f t="shared" si="1501"/>
        <v>1.8353769000000004</v>
      </c>
      <c r="DF164" s="43">
        <f t="shared" si="1502"/>
        <v>1.8813113333333338</v>
      </c>
      <c r="DG164" s="43">
        <f t="shared" si="1503"/>
        <v>1.9272457666666671</v>
      </c>
      <c r="DH164" s="43">
        <f t="shared" si="1504"/>
        <v>1.9731802000000005</v>
      </c>
      <c r="DI164" s="43">
        <f t="shared" si="1505"/>
        <v>2.0191146333333339</v>
      </c>
      <c r="DJ164" s="43">
        <f t="shared" si="1506"/>
        <v>2.065049066666667</v>
      </c>
      <c r="DK164" s="43">
        <f t="shared" si="1507"/>
        <v>2.1109835000000001</v>
      </c>
      <c r="DL164" s="43">
        <f t="shared" si="1508"/>
        <v>2.1569179333333333</v>
      </c>
      <c r="DM164" s="43">
        <f t="shared" si="1509"/>
        <v>2.2028523666666664</v>
      </c>
      <c r="DN164" s="43">
        <f t="shared" si="1510"/>
        <v>2.2487867999999995</v>
      </c>
      <c r="DO164" s="43">
        <f t="shared" si="1511"/>
        <v>2.2947212333333327</v>
      </c>
      <c r="DP164" s="43">
        <f t="shared" si="1512"/>
        <v>2.3406556666666658</v>
      </c>
      <c r="DQ164" s="43">
        <f t="shared" si="1513"/>
        <v>2.3865900999999989</v>
      </c>
      <c r="DR164" s="43">
        <f t="shared" si="1514"/>
        <v>2.4325245333333321</v>
      </c>
      <c r="DS164" s="43">
        <f t="shared" si="1515"/>
        <v>2.4784589666666652</v>
      </c>
      <c r="DT164" s="43">
        <f t="shared" si="1516"/>
        <v>2.5243933999999983</v>
      </c>
      <c r="DU164" s="43">
        <f t="shared" si="1517"/>
        <v>2.5703278333333315</v>
      </c>
      <c r="DV164" s="43">
        <f t="shared" si="1518"/>
        <v>2.6162622666666646</v>
      </c>
      <c r="DW164" s="43">
        <f t="shared" si="1519"/>
        <v>2.6621966999999978</v>
      </c>
      <c r="DX164" s="43">
        <f t="shared" si="1520"/>
        <v>2.7081311333333309</v>
      </c>
      <c r="DY164" s="43">
        <f t="shared" si="1521"/>
        <v>2.754065566666664</v>
      </c>
      <c r="DZ164" s="43">
        <f t="shared" si="1522"/>
        <v>2.8</v>
      </c>
    </row>
    <row r="165" spans="1:165">
      <c r="A165" s="606" t="s">
        <v>460</v>
      </c>
      <c r="C165" s="54" t="s">
        <v>458</v>
      </c>
      <c r="D165" s="43">
        <f>$BP$192</f>
        <v>1.4219670000000002</v>
      </c>
      <c r="E165" s="43">
        <f t="shared" ref="E165:AG165" si="1530">D165-($D165-$AH165)/30</f>
        <v>1.3769380450000002</v>
      </c>
      <c r="F165" s="43">
        <f t="shared" si="1530"/>
        <v>1.3319090900000001</v>
      </c>
      <c r="G165" s="43">
        <f t="shared" si="1530"/>
        <v>1.2868801350000001</v>
      </c>
      <c r="H165" s="43">
        <f t="shared" si="1530"/>
        <v>1.2418511800000001</v>
      </c>
      <c r="I165" s="43">
        <f t="shared" si="1530"/>
        <v>1.196822225</v>
      </c>
      <c r="J165" s="43">
        <f t="shared" si="1530"/>
        <v>1.15179327</v>
      </c>
      <c r="K165" s="43">
        <f t="shared" si="1530"/>
        <v>1.1067643149999999</v>
      </c>
      <c r="L165" s="43">
        <f t="shared" si="1530"/>
        <v>1.0617353599999999</v>
      </c>
      <c r="M165" s="43">
        <f t="shared" si="1530"/>
        <v>1.0167064049999999</v>
      </c>
      <c r="N165" s="43">
        <f t="shared" si="1530"/>
        <v>0.97167744999999983</v>
      </c>
      <c r="O165" s="43">
        <f t="shared" si="1530"/>
        <v>0.92664849499999979</v>
      </c>
      <c r="P165" s="43">
        <f t="shared" si="1530"/>
        <v>0.88161953999999976</v>
      </c>
      <c r="Q165" s="43">
        <f t="shared" si="1530"/>
        <v>0.83659058499999972</v>
      </c>
      <c r="R165" s="43">
        <f t="shared" si="1530"/>
        <v>0.79156162999999968</v>
      </c>
      <c r="S165" s="43">
        <f t="shared" si="1530"/>
        <v>0.74653267499999965</v>
      </c>
      <c r="T165" s="43">
        <f t="shared" si="1530"/>
        <v>0.70150371999999961</v>
      </c>
      <c r="U165" s="43">
        <f t="shared" si="1530"/>
        <v>0.65647476499999957</v>
      </c>
      <c r="V165" s="43">
        <f t="shared" si="1530"/>
        <v>0.61144580999999953</v>
      </c>
      <c r="W165" s="43">
        <f t="shared" si="1530"/>
        <v>0.5664168549999995</v>
      </c>
      <c r="X165" s="43">
        <f t="shared" si="1530"/>
        <v>0.52138789999999946</v>
      </c>
      <c r="Y165" s="43">
        <f t="shared" si="1530"/>
        <v>0.47635894499999942</v>
      </c>
      <c r="Z165" s="43">
        <f t="shared" si="1530"/>
        <v>0.43132998999999939</v>
      </c>
      <c r="AA165" s="43">
        <f t="shared" si="1530"/>
        <v>0.38630103499999935</v>
      </c>
      <c r="AB165" s="43">
        <f t="shared" si="1530"/>
        <v>0.34127207999999931</v>
      </c>
      <c r="AC165" s="43">
        <f t="shared" si="1530"/>
        <v>0.29624312499999927</v>
      </c>
      <c r="AD165" s="43">
        <f t="shared" si="1530"/>
        <v>0.25121416999999924</v>
      </c>
      <c r="AE165" s="43">
        <f t="shared" si="1530"/>
        <v>0.20618521499999923</v>
      </c>
      <c r="AF165" s="43">
        <f t="shared" si="1530"/>
        <v>0.16115625999999922</v>
      </c>
      <c r="AG165" s="43">
        <f t="shared" si="1530"/>
        <v>0.11612730499999921</v>
      </c>
      <c r="AH165" s="43">
        <f>$BZ$192</f>
        <v>7.1098350000000074E-2</v>
      </c>
      <c r="AI165" s="44"/>
      <c r="AJ165" s="43">
        <f t="shared" si="1524"/>
        <v>1.4219670000000002</v>
      </c>
      <c r="AK165" s="43">
        <f t="shared" si="1462"/>
        <v>1.3769380450000002</v>
      </c>
      <c r="AL165" s="43">
        <f t="shared" si="1463"/>
        <v>1.3319090900000001</v>
      </c>
      <c r="AM165" s="43">
        <f t="shared" si="1464"/>
        <v>1.2868801350000001</v>
      </c>
      <c r="AN165" s="43">
        <f t="shared" si="1465"/>
        <v>1.2418511800000001</v>
      </c>
      <c r="AO165" s="43">
        <f t="shared" si="1466"/>
        <v>1.196822225</v>
      </c>
      <c r="AP165" s="43">
        <f t="shared" si="1467"/>
        <v>1.15179327</v>
      </c>
      <c r="AQ165" s="43">
        <f t="shared" si="1468"/>
        <v>1.1067643149999999</v>
      </c>
      <c r="AR165" s="43">
        <f t="shared" si="1469"/>
        <v>1.0617353599999999</v>
      </c>
      <c r="AS165" s="43">
        <f t="shared" si="1470"/>
        <v>1.0167064049999999</v>
      </c>
      <c r="AT165" s="43">
        <f t="shared" si="1471"/>
        <v>0.97167744999999983</v>
      </c>
      <c r="AU165" s="43">
        <f t="shared" si="1472"/>
        <v>0.92664849499999979</v>
      </c>
      <c r="AV165" s="43">
        <f t="shared" si="1473"/>
        <v>0.88161953999999976</v>
      </c>
      <c r="AW165" s="43">
        <f t="shared" si="1474"/>
        <v>0.83659058499999972</v>
      </c>
      <c r="AX165" s="43">
        <f t="shared" si="1475"/>
        <v>0.79156162999999968</v>
      </c>
      <c r="AY165" s="43">
        <f t="shared" si="1476"/>
        <v>0.74653267499999965</v>
      </c>
      <c r="AZ165" s="43">
        <f t="shared" si="1477"/>
        <v>0.70150371999999961</v>
      </c>
      <c r="BA165" s="43">
        <f t="shared" si="1478"/>
        <v>0.65647476499999957</v>
      </c>
      <c r="BB165" s="43">
        <f t="shared" si="1479"/>
        <v>0.61144580999999953</v>
      </c>
      <c r="BC165" s="43">
        <f t="shared" si="1480"/>
        <v>0.5664168549999995</v>
      </c>
      <c r="BD165" s="43">
        <f t="shared" si="1481"/>
        <v>0.52138789999999946</v>
      </c>
      <c r="BE165" s="43">
        <f t="shared" si="1482"/>
        <v>0.47635894499999942</v>
      </c>
      <c r="BF165" s="43">
        <f t="shared" si="1483"/>
        <v>0.43132998999999939</v>
      </c>
      <c r="BG165" s="43">
        <f t="shared" si="1484"/>
        <v>0.38630103499999935</v>
      </c>
      <c r="BH165" s="43">
        <f t="shared" si="1485"/>
        <v>0.34127207999999931</v>
      </c>
      <c r="BI165" s="43">
        <f t="shared" si="1486"/>
        <v>0.29624312499999927</v>
      </c>
      <c r="BJ165" s="43">
        <f t="shared" si="1487"/>
        <v>0.25121416999999924</v>
      </c>
      <c r="BK165" s="43">
        <f t="shared" si="1488"/>
        <v>0.20618521499999923</v>
      </c>
      <c r="BL165" s="43">
        <f t="shared" si="1489"/>
        <v>0.16115625999999922</v>
      </c>
      <c r="BM165" s="43">
        <f t="shared" si="1490"/>
        <v>0.11612730499999921</v>
      </c>
      <c r="BN165" s="43">
        <f t="shared" si="1491"/>
        <v>7.1098350000000074E-2</v>
      </c>
      <c r="BP165" s="43">
        <f t="shared" si="1525"/>
        <v>1.4219670000000002</v>
      </c>
      <c r="BQ165" s="43">
        <f t="shared" ref="BQ165:CS165" si="1531">BP165-($BP165-$CT165)/30</f>
        <v>1.3769380450000002</v>
      </c>
      <c r="BR165" s="43">
        <f t="shared" si="1531"/>
        <v>1.3319090900000001</v>
      </c>
      <c r="BS165" s="43">
        <f t="shared" si="1531"/>
        <v>1.2868801350000001</v>
      </c>
      <c r="BT165" s="43">
        <f t="shared" si="1531"/>
        <v>1.2418511800000001</v>
      </c>
      <c r="BU165" s="43">
        <f t="shared" si="1531"/>
        <v>1.196822225</v>
      </c>
      <c r="BV165" s="43">
        <f t="shared" si="1531"/>
        <v>1.15179327</v>
      </c>
      <c r="BW165" s="43">
        <f t="shared" si="1531"/>
        <v>1.1067643149999999</v>
      </c>
      <c r="BX165" s="43">
        <f t="shared" si="1531"/>
        <v>1.0617353599999999</v>
      </c>
      <c r="BY165" s="43">
        <f t="shared" si="1531"/>
        <v>1.0167064049999999</v>
      </c>
      <c r="BZ165" s="43">
        <f t="shared" si="1531"/>
        <v>0.97167744999999983</v>
      </c>
      <c r="CA165" s="43">
        <f t="shared" si="1531"/>
        <v>0.92664849499999979</v>
      </c>
      <c r="CB165" s="43">
        <f t="shared" si="1531"/>
        <v>0.88161953999999976</v>
      </c>
      <c r="CC165" s="43">
        <f t="shared" si="1531"/>
        <v>0.83659058499999972</v>
      </c>
      <c r="CD165" s="43">
        <f t="shared" si="1531"/>
        <v>0.79156162999999968</v>
      </c>
      <c r="CE165" s="43">
        <f t="shared" si="1531"/>
        <v>0.74653267499999965</v>
      </c>
      <c r="CF165" s="43">
        <f t="shared" si="1531"/>
        <v>0.70150371999999961</v>
      </c>
      <c r="CG165" s="43">
        <f t="shared" si="1531"/>
        <v>0.65647476499999957</v>
      </c>
      <c r="CH165" s="43">
        <f t="shared" si="1531"/>
        <v>0.61144580999999953</v>
      </c>
      <c r="CI165" s="43">
        <f t="shared" si="1531"/>
        <v>0.5664168549999995</v>
      </c>
      <c r="CJ165" s="43">
        <f t="shared" si="1531"/>
        <v>0.52138789999999946</v>
      </c>
      <c r="CK165" s="43">
        <f t="shared" si="1531"/>
        <v>0.47635894499999942</v>
      </c>
      <c r="CL165" s="43">
        <f t="shared" si="1531"/>
        <v>0.43132998999999939</v>
      </c>
      <c r="CM165" s="43">
        <f t="shared" si="1531"/>
        <v>0.38630103499999935</v>
      </c>
      <c r="CN165" s="43">
        <f t="shared" si="1531"/>
        <v>0.34127207999999931</v>
      </c>
      <c r="CO165" s="43">
        <f t="shared" si="1531"/>
        <v>0.29624312499999927</v>
      </c>
      <c r="CP165" s="43">
        <f t="shared" si="1531"/>
        <v>0.25121416999999924</v>
      </c>
      <c r="CQ165" s="43">
        <f t="shared" si="1531"/>
        <v>0.20618521499999923</v>
      </c>
      <c r="CR165" s="43">
        <f t="shared" si="1531"/>
        <v>0.16115625999999922</v>
      </c>
      <c r="CS165" s="43">
        <f t="shared" si="1531"/>
        <v>0.11612730499999921</v>
      </c>
      <c r="CT165" s="43">
        <f>BN165</f>
        <v>7.1098350000000074E-2</v>
      </c>
      <c r="CV165" s="43">
        <f>AJ165</f>
        <v>1.4219670000000002</v>
      </c>
      <c r="CW165" s="43">
        <f t="shared" si="1493"/>
        <v>1.3769380450000002</v>
      </c>
      <c r="CX165" s="43">
        <f t="shared" si="1494"/>
        <v>1.3319090900000001</v>
      </c>
      <c r="CY165" s="43">
        <f t="shared" si="1495"/>
        <v>1.2868801350000001</v>
      </c>
      <c r="CZ165" s="43">
        <f t="shared" si="1496"/>
        <v>1.2418511800000001</v>
      </c>
      <c r="DA165" s="43">
        <f t="shared" si="1497"/>
        <v>1.196822225</v>
      </c>
      <c r="DB165" s="43">
        <f t="shared" si="1498"/>
        <v>1.15179327</v>
      </c>
      <c r="DC165" s="43">
        <f t="shared" si="1499"/>
        <v>1.1067643149999999</v>
      </c>
      <c r="DD165" s="43">
        <f t="shared" si="1500"/>
        <v>1.0617353599999999</v>
      </c>
      <c r="DE165" s="43">
        <f t="shared" si="1501"/>
        <v>1.0167064049999999</v>
      </c>
      <c r="DF165" s="43">
        <f t="shared" si="1502"/>
        <v>0.97167744999999983</v>
      </c>
      <c r="DG165" s="43">
        <f t="shared" si="1503"/>
        <v>0.92664849499999979</v>
      </c>
      <c r="DH165" s="43">
        <f t="shared" si="1504"/>
        <v>0.88161953999999976</v>
      </c>
      <c r="DI165" s="43">
        <f t="shared" si="1505"/>
        <v>0.83659058499999972</v>
      </c>
      <c r="DJ165" s="43">
        <f t="shared" si="1506"/>
        <v>0.79156162999999968</v>
      </c>
      <c r="DK165" s="43">
        <f t="shared" si="1507"/>
        <v>0.74653267499999965</v>
      </c>
      <c r="DL165" s="43">
        <f t="shared" si="1508"/>
        <v>0.70150371999999961</v>
      </c>
      <c r="DM165" s="43">
        <f t="shared" si="1509"/>
        <v>0.65647476499999957</v>
      </c>
      <c r="DN165" s="43">
        <f t="shared" si="1510"/>
        <v>0.61144580999999953</v>
      </c>
      <c r="DO165" s="43">
        <f t="shared" si="1511"/>
        <v>0.5664168549999995</v>
      </c>
      <c r="DP165" s="43">
        <f t="shared" si="1512"/>
        <v>0.52138789999999946</v>
      </c>
      <c r="DQ165" s="43">
        <f t="shared" si="1513"/>
        <v>0.47635894499999942</v>
      </c>
      <c r="DR165" s="43">
        <f t="shared" si="1514"/>
        <v>0.43132998999999939</v>
      </c>
      <c r="DS165" s="43">
        <f t="shared" si="1515"/>
        <v>0.38630103499999935</v>
      </c>
      <c r="DT165" s="43">
        <f t="shared" si="1516"/>
        <v>0.34127207999999931</v>
      </c>
      <c r="DU165" s="43">
        <f t="shared" si="1517"/>
        <v>0.29624312499999927</v>
      </c>
      <c r="DV165" s="43">
        <f t="shared" si="1518"/>
        <v>0.25121416999999924</v>
      </c>
      <c r="DW165" s="43">
        <f t="shared" si="1519"/>
        <v>0.20618521499999923</v>
      </c>
      <c r="DX165" s="43">
        <f t="shared" si="1520"/>
        <v>0.16115625999999922</v>
      </c>
      <c r="DY165" s="43">
        <f t="shared" si="1521"/>
        <v>0.11612730499999921</v>
      </c>
      <c r="DZ165" s="43">
        <f t="shared" si="1522"/>
        <v>7.1098350000000074E-2</v>
      </c>
    </row>
    <row r="166" spans="1:165">
      <c r="A166" s="606" t="s">
        <v>33</v>
      </c>
      <c r="C166" s="54" t="s">
        <v>458</v>
      </c>
      <c r="D166" s="43">
        <f>$B$190</f>
        <v>5.0000000000000001E-3</v>
      </c>
      <c r="E166" s="43">
        <f t="shared" ref="E166:AG166" si="1532">D166-($D166-$AH166)/30</f>
        <v>4.8333333333333336E-3</v>
      </c>
      <c r="F166" s="43">
        <f t="shared" si="1532"/>
        <v>4.6666666666666671E-3</v>
      </c>
      <c r="G166" s="43">
        <f t="shared" si="1532"/>
        <v>4.5000000000000005E-3</v>
      </c>
      <c r="H166" s="43">
        <f t="shared" si="1532"/>
        <v>4.333333333333334E-3</v>
      </c>
      <c r="I166" s="43">
        <f t="shared" si="1532"/>
        <v>4.1666666666666675E-3</v>
      </c>
      <c r="J166" s="43">
        <f t="shared" si="1532"/>
        <v>4.000000000000001E-3</v>
      </c>
      <c r="K166" s="43">
        <f t="shared" si="1532"/>
        <v>3.8333333333333344E-3</v>
      </c>
      <c r="L166" s="43">
        <f t="shared" si="1532"/>
        <v>3.6666666666666679E-3</v>
      </c>
      <c r="M166" s="43">
        <f t="shared" si="1532"/>
        <v>3.5000000000000014E-3</v>
      </c>
      <c r="N166" s="43">
        <f t="shared" si="1532"/>
        <v>3.3333333333333348E-3</v>
      </c>
      <c r="O166" s="43">
        <f t="shared" si="1532"/>
        <v>3.1666666666666683E-3</v>
      </c>
      <c r="P166" s="43">
        <f t="shared" si="1532"/>
        <v>3.0000000000000018E-3</v>
      </c>
      <c r="Q166" s="43">
        <f t="shared" si="1532"/>
        <v>2.8333333333333353E-3</v>
      </c>
      <c r="R166" s="43">
        <f t="shared" si="1532"/>
        <v>2.6666666666666687E-3</v>
      </c>
      <c r="S166" s="43">
        <f t="shared" si="1532"/>
        <v>2.5000000000000022E-3</v>
      </c>
      <c r="T166" s="43">
        <f t="shared" si="1532"/>
        <v>2.3333333333333357E-3</v>
      </c>
      <c r="U166" s="43">
        <f t="shared" si="1532"/>
        <v>2.1666666666666692E-3</v>
      </c>
      <c r="V166" s="43">
        <f t="shared" si="1532"/>
        <v>2.0000000000000026E-3</v>
      </c>
      <c r="W166" s="43">
        <f t="shared" si="1532"/>
        <v>1.8333333333333359E-3</v>
      </c>
      <c r="X166" s="43">
        <f t="shared" si="1532"/>
        <v>1.6666666666666692E-3</v>
      </c>
      <c r="Y166" s="43">
        <f t="shared" si="1532"/>
        <v>1.5000000000000024E-3</v>
      </c>
      <c r="Z166" s="43">
        <f t="shared" si="1532"/>
        <v>1.3333333333333357E-3</v>
      </c>
      <c r="AA166" s="43">
        <f t="shared" si="1532"/>
        <v>1.1666666666666689E-3</v>
      </c>
      <c r="AB166" s="43">
        <f t="shared" si="1532"/>
        <v>1.0000000000000022E-3</v>
      </c>
      <c r="AC166" s="43">
        <f t="shared" si="1532"/>
        <v>8.3333333333333556E-4</v>
      </c>
      <c r="AD166" s="43">
        <f t="shared" si="1532"/>
        <v>6.6666666666666892E-4</v>
      </c>
      <c r="AE166" s="43">
        <f t="shared" si="1532"/>
        <v>5.0000000000000229E-4</v>
      </c>
      <c r="AF166" s="43">
        <f t="shared" si="1532"/>
        <v>3.3333333333333565E-4</v>
      </c>
      <c r="AG166" s="43">
        <f t="shared" si="1532"/>
        <v>1.6666666666666899E-4</v>
      </c>
      <c r="AH166" s="43">
        <f>$C$190</f>
        <v>0</v>
      </c>
      <c r="AI166" s="44"/>
      <c r="AJ166" s="43">
        <f t="shared" si="1524"/>
        <v>5.0000000000000001E-3</v>
      </c>
      <c r="AK166" s="43">
        <f t="shared" si="1462"/>
        <v>4.8333333333333336E-3</v>
      </c>
      <c r="AL166" s="43">
        <f t="shared" si="1463"/>
        <v>4.6666666666666671E-3</v>
      </c>
      <c r="AM166" s="43">
        <f t="shared" si="1464"/>
        <v>4.5000000000000005E-3</v>
      </c>
      <c r="AN166" s="43">
        <f t="shared" si="1465"/>
        <v>4.333333333333334E-3</v>
      </c>
      <c r="AO166" s="43">
        <f t="shared" si="1466"/>
        <v>4.1666666666666675E-3</v>
      </c>
      <c r="AP166" s="43">
        <f t="shared" si="1467"/>
        <v>4.000000000000001E-3</v>
      </c>
      <c r="AQ166" s="43">
        <f t="shared" si="1468"/>
        <v>3.8333333333333344E-3</v>
      </c>
      <c r="AR166" s="43">
        <f t="shared" si="1469"/>
        <v>3.6666666666666679E-3</v>
      </c>
      <c r="AS166" s="43">
        <f t="shared" si="1470"/>
        <v>3.5000000000000014E-3</v>
      </c>
      <c r="AT166" s="43">
        <f t="shared" si="1471"/>
        <v>3.3333333333333348E-3</v>
      </c>
      <c r="AU166" s="43">
        <f t="shared" si="1472"/>
        <v>3.1666666666666683E-3</v>
      </c>
      <c r="AV166" s="43">
        <f t="shared" si="1473"/>
        <v>3.0000000000000018E-3</v>
      </c>
      <c r="AW166" s="43">
        <f t="shared" si="1474"/>
        <v>2.8333333333333353E-3</v>
      </c>
      <c r="AX166" s="43">
        <f t="shared" si="1475"/>
        <v>2.6666666666666687E-3</v>
      </c>
      <c r="AY166" s="43">
        <f t="shared" si="1476"/>
        <v>2.5000000000000022E-3</v>
      </c>
      <c r="AZ166" s="43">
        <f t="shared" si="1477"/>
        <v>2.3333333333333357E-3</v>
      </c>
      <c r="BA166" s="43">
        <f t="shared" si="1478"/>
        <v>2.1666666666666692E-3</v>
      </c>
      <c r="BB166" s="43">
        <f t="shared" si="1479"/>
        <v>2.0000000000000026E-3</v>
      </c>
      <c r="BC166" s="43">
        <f t="shared" si="1480"/>
        <v>1.8333333333333359E-3</v>
      </c>
      <c r="BD166" s="43">
        <f t="shared" si="1481"/>
        <v>1.6666666666666692E-3</v>
      </c>
      <c r="BE166" s="43">
        <f t="shared" si="1482"/>
        <v>1.5000000000000024E-3</v>
      </c>
      <c r="BF166" s="43">
        <f t="shared" si="1483"/>
        <v>1.3333333333333357E-3</v>
      </c>
      <c r="BG166" s="43">
        <f t="shared" si="1484"/>
        <v>1.1666666666666689E-3</v>
      </c>
      <c r="BH166" s="43">
        <f t="shared" si="1485"/>
        <v>1.0000000000000022E-3</v>
      </c>
      <c r="BI166" s="43">
        <f t="shared" si="1486"/>
        <v>8.3333333333333556E-4</v>
      </c>
      <c r="BJ166" s="43">
        <f t="shared" si="1487"/>
        <v>6.6666666666666892E-4</v>
      </c>
      <c r="BK166" s="43">
        <f t="shared" si="1488"/>
        <v>5.0000000000000229E-4</v>
      </c>
      <c r="BL166" s="43">
        <f t="shared" si="1489"/>
        <v>3.3333333333333565E-4</v>
      </c>
      <c r="BM166" s="43">
        <f t="shared" si="1490"/>
        <v>1.6666666666666899E-4</v>
      </c>
      <c r="BN166" s="43">
        <f t="shared" si="1491"/>
        <v>0</v>
      </c>
      <c r="BP166" s="43">
        <f t="shared" si="1525"/>
        <v>5.0000000000000001E-3</v>
      </c>
      <c r="BQ166" s="43">
        <f t="shared" ref="BQ166:CS166" si="1533">BP166-($BP166-$CT166)/30</f>
        <v>5.0000000000000001E-3</v>
      </c>
      <c r="BR166" s="43">
        <f t="shared" si="1533"/>
        <v>5.0000000000000001E-3</v>
      </c>
      <c r="BS166" s="43">
        <f t="shared" si="1533"/>
        <v>5.0000000000000001E-3</v>
      </c>
      <c r="BT166" s="43">
        <f t="shared" si="1533"/>
        <v>5.0000000000000001E-3</v>
      </c>
      <c r="BU166" s="43">
        <f t="shared" si="1533"/>
        <v>5.0000000000000001E-3</v>
      </c>
      <c r="BV166" s="43">
        <f t="shared" si="1533"/>
        <v>5.0000000000000001E-3</v>
      </c>
      <c r="BW166" s="43">
        <f t="shared" si="1533"/>
        <v>5.0000000000000001E-3</v>
      </c>
      <c r="BX166" s="43">
        <f t="shared" si="1533"/>
        <v>5.0000000000000001E-3</v>
      </c>
      <c r="BY166" s="43">
        <f t="shared" si="1533"/>
        <v>5.0000000000000001E-3</v>
      </c>
      <c r="BZ166" s="43">
        <f t="shared" si="1533"/>
        <v>5.0000000000000001E-3</v>
      </c>
      <c r="CA166" s="43">
        <f t="shared" si="1533"/>
        <v>5.0000000000000001E-3</v>
      </c>
      <c r="CB166" s="43">
        <f t="shared" si="1533"/>
        <v>5.0000000000000001E-3</v>
      </c>
      <c r="CC166" s="43">
        <f t="shared" si="1533"/>
        <v>5.0000000000000001E-3</v>
      </c>
      <c r="CD166" s="43">
        <f t="shared" si="1533"/>
        <v>5.0000000000000001E-3</v>
      </c>
      <c r="CE166" s="43">
        <f t="shared" si="1533"/>
        <v>5.0000000000000001E-3</v>
      </c>
      <c r="CF166" s="43">
        <f t="shared" si="1533"/>
        <v>5.0000000000000001E-3</v>
      </c>
      <c r="CG166" s="43">
        <f t="shared" si="1533"/>
        <v>5.0000000000000001E-3</v>
      </c>
      <c r="CH166" s="43">
        <f t="shared" si="1533"/>
        <v>5.0000000000000001E-3</v>
      </c>
      <c r="CI166" s="43">
        <f t="shared" si="1533"/>
        <v>5.0000000000000001E-3</v>
      </c>
      <c r="CJ166" s="43">
        <f t="shared" si="1533"/>
        <v>5.0000000000000001E-3</v>
      </c>
      <c r="CK166" s="43">
        <f t="shared" si="1533"/>
        <v>5.0000000000000001E-3</v>
      </c>
      <c r="CL166" s="43">
        <f t="shared" si="1533"/>
        <v>5.0000000000000001E-3</v>
      </c>
      <c r="CM166" s="43">
        <f t="shared" si="1533"/>
        <v>5.0000000000000001E-3</v>
      </c>
      <c r="CN166" s="43">
        <f t="shared" si="1533"/>
        <v>5.0000000000000001E-3</v>
      </c>
      <c r="CO166" s="43">
        <f t="shared" si="1533"/>
        <v>5.0000000000000001E-3</v>
      </c>
      <c r="CP166" s="43">
        <f t="shared" si="1533"/>
        <v>5.0000000000000001E-3</v>
      </c>
      <c r="CQ166" s="43">
        <f t="shared" si="1533"/>
        <v>5.0000000000000001E-3</v>
      </c>
      <c r="CR166" s="43">
        <f t="shared" si="1533"/>
        <v>5.0000000000000001E-3</v>
      </c>
      <c r="CS166" s="43">
        <f t="shared" si="1533"/>
        <v>5.0000000000000001E-3</v>
      </c>
      <c r="CT166" s="43">
        <f t="shared" ref="CT166:CT170" si="1534">BP166</f>
        <v>5.0000000000000001E-3</v>
      </c>
      <c r="CV166" s="43">
        <f>AJ166</f>
        <v>5.0000000000000001E-3</v>
      </c>
      <c r="CW166" s="43">
        <f t="shared" si="1493"/>
        <v>4.8333333333333336E-3</v>
      </c>
      <c r="CX166" s="43">
        <f t="shared" si="1494"/>
        <v>4.6666666666666671E-3</v>
      </c>
      <c r="CY166" s="43">
        <f t="shared" si="1495"/>
        <v>4.5000000000000005E-3</v>
      </c>
      <c r="CZ166" s="43">
        <f t="shared" si="1496"/>
        <v>4.333333333333334E-3</v>
      </c>
      <c r="DA166" s="43">
        <f t="shared" si="1497"/>
        <v>4.1666666666666675E-3</v>
      </c>
      <c r="DB166" s="43">
        <f t="shared" si="1498"/>
        <v>4.000000000000001E-3</v>
      </c>
      <c r="DC166" s="43">
        <f t="shared" si="1499"/>
        <v>3.8333333333333344E-3</v>
      </c>
      <c r="DD166" s="43">
        <f t="shared" si="1500"/>
        <v>3.6666666666666679E-3</v>
      </c>
      <c r="DE166" s="43">
        <f t="shared" si="1501"/>
        <v>3.5000000000000014E-3</v>
      </c>
      <c r="DF166" s="43">
        <f t="shared" si="1502"/>
        <v>3.3333333333333348E-3</v>
      </c>
      <c r="DG166" s="43">
        <f t="shared" si="1503"/>
        <v>3.1666666666666683E-3</v>
      </c>
      <c r="DH166" s="43">
        <f t="shared" si="1504"/>
        <v>3.0000000000000018E-3</v>
      </c>
      <c r="DI166" s="43">
        <f t="shared" si="1505"/>
        <v>2.8333333333333353E-3</v>
      </c>
      <c r="DJ166" s="43">
        <f t="shared" si="1506"/>
        <v>2.6666666666666687E-3</v>
      </c>
      <c r="DK166" s="43">
        <f t="shared" si="1507"/>
        <v>2.5000000000000022E-3</v>
      </c>
      <c r="DL166" s="43">
        <f t="shared" si="1508"/>
        <v>2.3333333333333357E-3</v>
      </c>
      <c r="DM166" s="43">
        <f t="shared" si="1509"/>
        <v>2.1666666666666692E-3</v>
      </c>
      <c r="DN166" s="43">
        <f t="shared" si="1510"/>
        <v>2.0000000000000026E-3</v>
      </c>
      <c r="DO166" s="43">
        <f t="shared" si="1511"/>
        <v>1.8333333333333359E-3</v>
      </c>
      <c r="DP166" s="43">
        <f t="shared" si="1512"/>
        <v>1.6666666666666692E-3</v>
      </c>
      <c r="DQ166" s="43">
        <f t="shared" si="1513"/>
        <v>1.5000000000000024E-3</v>
      </c>
      <c r="DR166" s="43">
        <f t="shared" si="1514"/>
        <v>1.3333333333333357E-3</v>
      </c>
      <c r="DS166" s="43">
        <f t="shared" si="1515"/>
        <v>1.1666666666666689E-3</v>
      </c>
      <c r="DT166" s="43">
        <f t="shared" si="1516"/>
        <v>1.0000000000000022E-3</v>
      </c>
      <c r="DU166" s="43">
        <f t="shared" si="1517"/>
        <v>8.3333333333333556E-4</v>
      </c>
      <c r="DV166" s="43">
        <f t="shared" si="1518"/>
        <v>6.6666666666666892E-4</v>
      </c>
      <c r="DW166" s="43">
        <f t="shared" si="1519"/>
        <v>5.0000000000000229E-4</v>
      </c>
      <c r="DX166" s="43">
        <f t="shared" si="1520"/>
        <v>3.3333333333333565E-4</v>
      </c>
      <c r="DY166" s="43">
        <f t="shared" si="1521"/>
        <v>1.6666666666666899E-4</v>
      </c>
      <c r="DZ166" s="43">
        <f t="shared" si="1522"/>
        <v>0</v>
      </c>
    </row>
    <row r="167" spans="1:165">
      <c r="A167" s="606" t="s">
        <v>451</v>
      </c>
      <c r="C167" s="54" t="s">
        <v>458</v>
      </c>
      <c r="D167" s="43">
        <f>$B$191</f>
        <v>0</v>
      </c>
      <c r="E167" s="43">
        <f t="shared" ref="E167:AG167" si="1535">D167-($D167-$AH167)/30</f>
        <v>0</v>
      </c>
      <c r="F167" s="43">
        <f t="shared" si="1535"/>
        <v>0</v>
      </c>
      <c r="G167" s="43">
        <f t="shared" si="1535"/>
        <v>0</v>
      </c>
      <c r="H167" s="43">
        <f t="shared" si="1535"/>
        <v>0</v>
      </c>
      <c r="I167" s="43">
        <f t="shared" si="1535"/>
        <v>0</v>
      </c>
      <c r="J167" s="43">
        <f t="shared" si="1535"/>
        <v>0</v>
      </c>
      <c r="K167" s="43">
        <f t="shared" si="1535"/>
        <v>0</v>
      </c>
      <c r="L167" s="43">
        <f t="shared" si="1535"/>
        <v>0</v>
      </c>
      <c r="M167" s="43">
        <f t="shared" si="1535"/>
        <v>0</v>
      </c>
      <c r="N167" s="43">
        <f t="shared" si="1535"/>
        <v>0</v>
      </c>
      <c r="O167" s="43">
        <f t="shared" si="1535"/>
        <v>0</v>
      </c>
      <c r="P167" s="43">
        <f t="shared" si="1535"/>
        <v>0</v>
      </c>
      <c r="Q167" s="43">
        <f t="shared" si="1535"/>
        <v>0</v>
      </c>
      <c r="R167" s="43">
        <f t="shared" si="1535"/>
        <v>0</v>
      </c>
      <c r="S167" s="43">
        <f t="shared" si="1535"/>
        <v>0</v>
      </c>
      <c r="T167" s="43">
        <f t="shared" si="1535"/>
        <v>0</v>
      </c>
      <c r="U167" s="43">
        <f t="shared" si="1535"/>
        <v>0</v>
      </c>
      <c r="V167" s="43">
        <f t="shared" si="1535"/>
        <v>0</v>
      </c>
      <c r="W167" s="43">
        <f t="shared" si="1535"/>
        <v>0</v>
      </c>
      <c r="X167" s="43">
        <f t="shared" si="1535"/>
        <v>0</v>
      </c>
      <c r="Y167" s="43">
        <f t="shared" si="1535"/>
        <v>0</v>
      </c>
      <c r="Z167" s="43">
        <f t="shared" si="1535"/>
        <v>0</v>
      </c>
      <c r="AA167" s="43">
        <f t="shared" si="1535"/>
        <v>0</v>
      </c>
      <c r="AB167" s="43">
        <f t="shared" si="1535"/>
        <v>0</v>
      </c>
      <c r="AC167" s="43">
        <f t="shared" si="1535"/>
        <v>0</v>
      </c>
      <c r="AD167" s="43">
        <f t="shared" si="1535"/>
        <v>0</v>
      </c>
      <c r="AE167" s="43">
        <f t="shared" si="1535"/>
        <v>0</v>
      </c>
      <c r="AF167" s="43">
        <f t="shared" si="1535"/>
        <v>0</v>
      </c>
      <c r="AG167" s="43">
        <f t="shared" si="1535"/>
        <v>0</v>
      </c>
      <c r="AH167" s="43">
        <f>$C$191</f>
        <v>0</v>
      </c>
      <c r="AI167" s="44"/>
      <c r="AJ167" s="43">
        <f t="shared" si="1524"/>
        <v>0</v>
      </c>
      <c r="AK167" s="43">
        <f t="shared" si="1462"/>
        <v>0</v>
      </c>
      <c r="AL167" s="43">
        <f t="shared" si="1463"/>
        <v>0</v>
      </c>
      <c r="AM167" s="43">
        <f t="shared" si="1464"/>
        <v>0</v>
      </c>
      <c r="AN167" s="43">
        <f t="shared" si="1465"/>
        <v>0</v>
      </c>
      <c r="AO167" s="43">
        <f t="shared" si="1466"/>
        <v>0</v>
      </c>
      <c r="AP167" s="43">
        <f t="shared" si="1467"/>
        <v>0</v>
      </c>
      <c r="AQ167" s="43">
        <f t="shared" si="1468"/>
        <v>0</v>
      </c>
      <c r="AR167" s="43">
        <f t="shared" si="1469"/>
        <v>0</v>
      </c>
      <c r="AS167" s="43">
        <f t="shared" si="1470"/>
        <v>0</v>
      </c>
      <c r="AT167" s="43">
        <f t="shared" si="1471"/>
        <v>0</v>
      </c>
      <c r="AU167" s="43">
        <f t="shared" si="1472"/>
        <v>0</v>
      </c>
      <c r="AV167" s="43">
        <f t="shared" si="1473"/>
        <v>0</v>
      </c>
      <c r="AW167" s="43">
        <f t="shared" si="1474"/>
        <v>0</v>
      </c>
      <c r="AX167" s="43">
        <f t="shared" si="1475"/>
        <v>0</v>
      </c>
      <c r="AY167" s="43">
        <f t="shared" si="1476"/>
        <v>0</v>
      </c>
      <c r="AZ167" s="43">
        <f t="shared" si="1477"/>
        <v>0</v>
      </c>
      <c r="BA167" s="43">
        <f t="shared" si="1478"/>
        <v>0</v>
      </c>
      <c r="BB167" s="43">
        <f t="shared" si="1479"/>
        <v>0</v>
      </c>
      <c r="BC167" s="43">
        <f t="shared" si="1480"/>
        <v>0</v>
      </c>
      <c r="BD167" s="43">
        <f t="shared" si="1481"/>
        <v>0</v>
      </c>
      <c r="BE167" s="43">
        <f t="shared" si="1482"/>
        <v>0</v>
      </c>
      <c r="BF167" s="43">
        <f t="shared" si="1483"/>
        <v>0</v>
      </c>
      <c r="BG167" s="43">
        <f t="shared" si="1484"/>
        <v>0</v>
      </c>
      <c r="BH167" s="43">
        <f t="shared" si="1485"/>
        <v>0</v>
      </c>
      <c r="BI167" s="43">
        <f t="shared" si="1486"/>
        <v>0</v>
      </c>
      <c r="BJ167" s="43">
        <f t="shared" si="1487"/>
        <v>0</v>
      </c>
      <c r="BK167" s="43">
        <f t="shared" si="1488"/>
        <v>0</v>
      </c>
      <c r="BL167" s="43">
        <f t="shared" si="1489"/>
        <v>0</v>
      </c>
      <c r="BM167" s="43">
        <f t="shared" si="1490"/>
        <v>0</v>
      </c>
      <c r="BN167" s="43">
        <f t="shared" si="1491"/>
        <v>0</v>
      </c>
      <c r="BP167" s="43">
        <f t="shared" si="1525"/>
        <v>0</v>
      </c>
      <c r="BQ167" s="43">
        <f t="shared" ref="BQ167:CS167" si="1536">BP167-($BP167-$CT167)/30</f>
        <v>0</v>
      </c>
      <c r="BR167" s="43">
        <f t="shared" si="1536"/>
        <v>0</v>
      </c>
      <c r="BS167" s="43">
        <f t="shared" si="1536"/>
        <v>0</v>
      </c>
      <c r="BT167" s="43">
        <f t="shared" si="1536"/>
        <v>0</v>
      </c>
      <c r="BU167" s="43">
        <f t="shared" si="1536"/>
        <v>0</v>
      </c>
      <c r="BV167" s="43">
        <f t="shared" si="1536"/>
        <v>0</v>
      </c>
      <c r="BW167" s="43">
        <f t="shared" si="1536"/>
        <v>0</v>
      </c>
      <c r="BX167" s="43">
        <f t="shared" si="1536"/>
        <v>0</v>
      </c>
      <c r="BY167" s="43">
        <f t="shared" si="1536"/>
        <v>0</v>
      </c>
      <c r="BZ167" s="43">
        <f t="shared" si="1536"/>
        <v>0</v>
      </c>
      <c r="CA167" s="43">
        <f t="shared" si="1536"/>
        <v>0</v>
      </c>
      <c r="CB167" s="43">
        <f t="shared" si="1536"/>
        <v>0</v>
      </c>
      <c r="CC167" s="43">
        <f t="shared" si="1536"/>
        <v>0</v>
      </c>
      <c r="CD167" s="43">
        <f t="shared" si="1536"/>
        <v>0</v>
      </c>
      <c r="CE167" s="43">
        <f t="shared" si="1536"/>
        <v>0</v>
      </c>
      <c r="CF167" s="43">
        <f t="shared" si="1536"/>
        <v>0</v>
      </c>
      <c r="CG167" s="43">
        <f t="shared" si="1536"/>
        <v>0</v>
      </c>
      <c r="CH167" s="43">
        <f t="shared" si="1536"/>
        <v>0</v>
      </c>
      <c r="CI167" s="43">
        <f t="shared" si="1536"/>
        <v>0</v>
      </c>
      <c r="CJ167" s="43">
        <f t="shared" si="1536"/>
        <v>0</v>
      </c>
      <c r="CK167" s="43">
        <f t="shared" si="1536"/>
        <v>0</v>
      </c>
      <c r="CL167" s="43">
        <f t="shared" si="1536"/>
        <v>0</v>
      </c>
      <c r="CM167" s="43">
        <f t="shared" si="1536"/>
        <v>0</v>
      </c>
      <c r="CN167" s="43">
        <f t="shared" si="1536"/>
        <v>0</v>
      </c>
      <c r="CO167" s="43">
        <f t="shared" si="1536"/>
        <v>0</v>
      </c>
      <c r="CP167" s="43">
        <f t="shared" si="1536"/>
        <v>0</v>
      </c>
      <c r="CQ167" s="43">
        <f t="shared" si="1536"/>
        <v>0</v>
      </c>
      <c r="CR167" s="43">
        <f t="shared" si="1536"/>
        <v>0</v>
      </c>
      <c r="CS167" s="43">
        <f t="shared" si="1536"/>
        <v>0</v>
      </c>
      <c r="CT167" s="43">
        <f t="shared" si="1534"/>
        <v>0</v>
      </c>
      <c r="CV167" s="43">
        <f t="shared" ref="CV167:CV170" si="1537">AJ167</f>
        <v>0</v>
      </c>
      <c r="CW167" s="43">
        <f t="shared" ref="CW167:CW170" si="1538">CV167-($BP167-$CT167)/30</f>
        <v>0</v>
      </c>
      <c r="CX167" s="43">
        <f t="shared" ref="CX167:CX170" si="1539">CW167-($BP167-$CT167)/30</f>
        <v>0</v>
      </c>
      <c r="CY167" s="43">
        <f t="shared" ref="CY167:CY170" si="1540">CX167-($BP167-$CT167)/30</f>
        <v>0</v>
      </c>
      <c r="CZ167" s="43">
        <f t="shared" ref="CZ167:CZ170" si="1541">CY167-($BP167-$CT167)/30</f>
        <v>0</v>
      </c>
      <c r="DA167" s="43">
        <f t="shared" ref="DA167:DA170" si="1542">CZ167-($BP167-$CT167)/30</f>
        <v>0</v>
      </c>
      <c r="DB167" s="43">
        <f t="shared" ref="DB167:DB170" si="1543">DA167-($BP167-$CT167)/30</f>
        <v>0</v>
      </c>
      <c r="DC167" s="43">
        <f t="shared" ref="DC167:DC170" si="1544">DB167-($BP167-$CT167)/30</f>
        <v>0</v>
      </c>
      <c r="DD167" s="43">
        <f t="shared" ref="DD167:DD170" si="1545">DC167-($BP167-$CT167)/30</f>
        <v>0</v>
      </c>
      <c r="DE167" s="43">
        <f t="shared" ref="DE167:DE170" si="1546">DD167-($BP167-$CT167)/30</f>
        <v>0</v>
      </c>
      <c r="DF167" s="43">
        <f t="shared" ref="DF167:DF170" si="1547">DE167-($BP167-$CT167)/30</f>
        <v>0</v>
      </c>
      <c r="DG167" s="43">
        <f t="shared" ref="DG167:DG170" si="1548">DF167-($BP167-$CT167)/30</f>
        <v>0</v>
      </c>
      <c r="DH167" s="43">
        <f t="shared" ref="DH167:DH170" si="1549">DG167-($BP167-$CT167)/30</f>
        <v>0</v>
      </c>
      <c r="DI167" s="43">
        <f t="shared" ref="DI167:DI170" si="1550">DH167-($BP167-$CT167)/30</f>
        <v>0</v>
      </c>
      <c r="DJ167" s="43">
        <f t="shared" ref="DJ167:DJ170" si="1551">DI167-($BP167-$CT167)/30</f>
        <v>0</v>
      </c>
      <c r="DK167" s="43">
        <f t="shared" ref="DK167:DK170" si="1552">DJ167-($BP167-$CT167)/30</f>
        <v>0</v>
      </c>
      <c r="DL167" s="43">
        <f t="shared" ref="DL167:DL170" si="1553">DK167-($BP167-$CT167)/30</f>
        <v>0</v>
      </c>
      <c r="DM167" s="43">
        <f t="shared" ref="DM167:DM170" si="1554">DL167-($BP167-$CT167)/30</f>
        <v>0</v>
      </c>
      <c r="DN167" s="43">
        <f t="shared" ref="DN167:DN170" si="1555">DM167-($BP167-$CT167)/30</f>
        <v>0</v>
      </c>
      <c r="DO167" s="43">
        <f t="shared" ref="DO167:DO170" si="1556">DN167-($BP167-$CT167)/30</f>
        <v>0</v>
      </c>
      <c r="DP167" s="43">
        <f t="shared" ref="DP167:DP170" si="1557">DO167-($BP167-$CT167)/30</f>
        <v>0</v>
      </c>
      <c r="DQ167" s="43">
        <f t="shared" ref="DQ167:DQ170" si="1558">DP167-($BP167-$CT167)/30</f>
        <v>0</v>
      </c>
      <c r="DR167" s="43">
        <f t="shared" ref="DR167:DR170" si="1559">DQ167-($BP167-$CT167)/30</f>
        <v>0</v>
      </c>
      <c r="DS167" s="43">
        <f t="shared" ref="DS167:DS170" si="1560">DR167-($BP167-$CT167)/30</f>
        <v>0</v>
      </c>
      <c r="DT167" s="43">
        <f t="shared" ref="DT167:DT170" si="1561">DS167-($BP167-$CT167)/30</f>
        <v>0</v>
      </c>
      <c r="DU167" s="43">
        <f t="shared" ref="DU167:DU170" si="1562">DT167-($BP167-$CT167)/30</f>
        <v>0</v>
      </c>
      <c r="DV167" s="43">
        <f t="shared" ref="DV167:DV170" si="1563">DU167-($BP167-$CT167)/30</f>
        <v>0</v>
      </c>
      <c r="DW167" s="43">
        <f t="shared" ref="DW167:DW170" si="1564">DV167-($BP167-$CT167)/30</f>
        <v>0</v>
      </c>
      <c r="DX167" s="43">
        <f t="shared" ref="DX167:DX170" si="1565">DW167-($BP167-$CT167)/30</f>
        <v>0</v>
      </c>
      <c r="DY167" s="43">
        <f t="shared" ref="DY167:DY170" si="1566">DX167-($BP167-$CT167)/30</f>
        <v>0</v>
      </c>
      <c r="DZ167" s="43">
        <v>0</v>
      </c>
    </row>
    <row r="168" spans="1:165">
      <c r="A168" s="606" t="s">
        <v>452</v>
      </c>
      <c r="C168" s="54" t="s">
        <v>458</v>
      </c>
      <c r="D168" s="43">
        <f>$B$192</f>
        <v>2.8940000000000001</v>
      </c>
      <c r="E168" s="43">
        <f t="shared" ref="E168:AG168" si="1567">D168-($D168-$AH168)/30</f>
        <v>2.8940000000000001</v>
      </c>
      <c r="F168" s="43">
        <f t="shared" si="1567"/>
        <v>2.8940000000000001</v>
      </c>
      <c r="G168" s="43">
        <f t="shared" si="1567"/>
        <v>2.8940000000000001</v>
      </c>
      <c r="H168" s="43">
        <f t="shared" si="1567"/>
        <v>2.8940000000000001</v>
      </c>
      <c r="I168" s="43">
        <f t="shared" si="1567"/>
        <v>2.8940000000000001</v>
      </c>
      <c r="J168" s="43">
        <f t="shared" si="1567"/>
        <v>2.8940000000000001</v>
      </c>
      <c r="K168" s="43">
        <f t="shared" si="1567"/>
        <v>2.8940000000000001</v>
      </c>
      <c r="L168" s="43">
        <f t="shared" si="1567"/>
        <v>2.8940000000000001</v>
      </c>
      <c r="M168" s="43">
        <f t="shared" si="1567"/>
        <v>2.8940000000000001</v>
      </c>
      <c r="N168" s="43">
        <f t="shared" si="1567"/>
        <v>2.8940000000000001</v>
      </c>
      <c r="O168" s="43">
        <f t="shared" si="1567"/>
        <v>2.8940000000000001</v>
      </c>
      <c r="P168" s="43">
        <f t="shared" si="1567"/>
        <v>2.8940000000000001</v>
      </c>
      <c r="Q168" s="43">
        <f t="shared" si="1567"/>
        <v>2.8940000000000001</v>
      </c>
      <c r="R168" s="43">
        <f t="shared" si="1567"/>
        <v>2.8940000000000001</v>
      </c>
      <c r="S168" s="43">
        <f t="shared" si="1567"/>
        <v>2.8940000000000001</v>
      </c>
      <c r="T168" s="43">
        <f t="shared" si="1567"/>
        <v>2.8940000000000001</v>
      </c>
      <c r="U168" s="43">
        <f t="shared" si="1567"/>
        <v>2.8940000000000001</v>
      </c>
      <c r="V168" s="43">
        <f t="shared" si="1567"/>
        <v>2.8940000000000001</v>
      </c>
      <c r="W168" s="43">
        <f t="shared" si="1567"/>
        <v>2.8940000000000001</v>
      </c>
      <c r="X168" s="43">
        <f t="shared" si="1567"/>
        <v>2.8940000000000001</v>
      </c>
      <c r="Y168" s="43">
        <f t="shared" si="1567"/>
        <v>2.8940000000000001</v>
      </c>
      <c r="Z168" s="43">
        <f t="shared" si="1567"/>
        <v>2.8940000000000001</v>
      </c>
      <c r="AA168" s="43">
        <f t="shared" si="1567"/>
        <v>2.8940000000000001</v>
      </c>
      <c r="AB168" s="43">
        <f t="shared" si="1567"/>
        <v>2.8940000000000001</v>
      </c>
      <c r="AC168" s="43">
        <f t="shared" si="1567"/>
        <v>2.8940000000000001</v>
      </c>
      <c r="AD168" s="43">
        <f t="shared" si="1567"/>
        <v>2.8940000000000001</v>
      </c>
      <c r="AE168" s="43">
        <f t="shared" si="1567"/>
        <v>2.8940000000000001</v>
      </c>
      <c r="AF168" s="43">
        <f t="shared" si="1567"/>
        <v>2.8940000000000001</v>
      </c>
      <c r="AG168" s="43">
        <f t="shared" si="1567"/>
        <v>2.8940000000000001</v>
      </c>
      <c r="AH168" s="43">
        <f>$C$192</f>
        <v>2.8940000000000001</v>
      </c>
      <c r="AI168" s="44"/>
      <c r="AJ168" s="43">
        <f t="shared" si="1524"/>
        <v>2.8940000000000001</v>
      </c>
      <c r="AK168" s="43">
        <f t="shared" si="1462"/>
        <v>2.8940000000000001</v>
      </c>
      <c r="AL168" s="43">
        <f t="shared" si="1463"/>
        <v>2.8940000000000001</v>
      </c>
      <c r="AM168" s="43">
        <f t="shared" si="1464"/>
        <v>2.8940000000000001</v>
      </c>
      <c r="AN168" s="43">
        <f t="shared" si="1465"/>
        <v>2.8940000000000001</v>
      </c>
      <c r="AO168" s="43">
        <f t="shared" si="1466"/>
        <v>2.8940000000000001</v>
      </c>
      <c r="AP168" s="43">
        <f t="shared" si="1467"/>
        <v>2.8940000000000001</v>
      </c>
      <c r="AQ168" s="43">
        <f t="shared" si="1468"/>
        <v>2.8940000000000001</v>
      </c>
      <c r="AR168" s="43">
        <f t="shared" si="1469"/>
        <v>2.8940000000000001</v>
      </c>
      <c r="AS168" s="43">
        <f t="shared" si="1470"/>
        <v>2.8940000000000001</v>
      </c>
      <c r="AT168" s="43">
        <f t="shared" si="1471"/>
        <v>2.8940000000000001</v>
      </c>
      <c r="AU168" s="43">
        <f t="shared" si="1472"/>
        <v>2.8940000000000001</v>
      </c>
      <c r="AV168" s="43">
        <f t="shared" si="1473"/>
        <v>2.8940000000000001</v>
      </c>
      <c r="AW168" s="43">
        <f t="shared" si="1474"/>
        <v>2.8940000000000001</v>
      </c>
      <c r="AX168" s="43">
        <f t="shared" si="1475"/>
        <v>2.8940000000000001</v>
      </c>
      <c r="AY168" s="43">
        <f t="shared" si="1476"/>
        <v>2.8940000000000001</v>
      </c>
      <c r="AZ168" s="43">
        <f t="shared" si="1477"/>
        <v>2.8940000000000001</v>
      </c>
      <c r="BA168" s="43">
        <f t="shared" si="1478"/>
        <v>2.8940000000000001</v>
      </c>
      <c r="BB168" s="43">
        <f t="shared" si="1479"/>
        <v>2.8940000000000001</v>
      </c>
      <c r="BC168" s="43">
        <f t="shared" si="1480"/>
        <v>2.8940000000000001</v>
      </c>
      <c r="BD168" s="43">
        <f t="shared" si="1481"/>
        <v>2.8940000000000001</v>
      </c>
      <c r="BE168" s="43">
        <f t="shared" si="1482"/>
        <v>2.8940000000000001</v>
      </c>
      <c r="BF168" s="43">
        <f t="shared" si="1483"/>
        <v>2.8940000000000001</v>
      </c>
      <c r="BG168" s="43">
        <f t="shared" si="1484"/>
        <v>2.8940000000000001</v>
      </c>
      <c r="BH168" s="43">
        <f t="shared" si="1485"/>
        <v>2.8940000000000001</v>
      </c>
      <c r="BI168" s="43">
        <f t="shared" si="1486"/>
        <v>2.8940000000000001</v>
      </c>
      <c r="BJ168" s="43">
        <f t="shared" si="1487"/>
        <v>2.8940000000000001</v>
      </c>
      <c r="BK168" s="43">
        <f t="shared" si="1488"/>
        <v>2.8940000000000001</v>
      </c>
      <c r="BL168" s="43">
        <f t="shared" si="1489"/>
        <v>2.8940000000000001</v>
      </c>
      <c r="BM168" s="43">
        <f t="shared" si="1490"/>
        <v>2.8940000000000001</v>
      </c>
      <c r="BN168" s="43">
        <f t="shared" si="1491"/>
        <v>2.8940000000000001</v>
      </c>
      <c r="BP168" s="43">
        <f t="shared" si="1525"/>
        <v>2.8940000000000001</v>
      </c>
      <c r="BQ168" s="43">
        <f t="shared" ref="BQ168:CS168" si="1568">BP168-($BP168-$CT168)/30</f>
        <v>2.8940000000000001</v>
      </c>
      <c r="BR168" s="43">
        <f t="shared" si="1568"/>
        <v>2.8940000000000001</v>
      </c>
      <c r="BS168" s="43">
        <f t="shared" si="1568"/>
        <v>2.8940000000000001</v>
      </c>
      <c r="BT168" s="43">
        <f t="shared" si="1568"/>
        <v>2.8940000000000001</v>
      </c>
      <c r="BU168" s="43">
        <f t="shared" si="1568"/>
        <v>2.8940000000000001</v>
      </c>
      <c r="BV168" s="43">
        <f t="shared" si="1568"/>
        <v>2.8940000000000001</v>
      </c>
      <c r="BW168" s="43">
        <f t="shared" si="1568"/>
        <v>2.8940000000000001</v>
      </c>
      <c r="BX168" s="43">
        <f t="shared" si="1568"/>
        <v>2.8940000000000001</v>
      </c>
      <c r="BY168" s="43">
        <f t="shared" si="1568"/>
        <v>2.8940000000000001</v>
      </c>
      <c r="BZ168" s="43">
        <f t="shared" si="1568"/>
        <v>2.8940000000000001</v>
      </c>
      <c r="CA168" s="43">
        <f t="shared" si="1568"/>
        <v>2.8940000000000001</v>
      </c>
      <c r="CB168" s="43">
        <f t="shared" si="1568"/>
        <v>2.8940000000000001</v>
      </c>
      <c r="CC168" s="43">
        <f t="shared" si="1568"/>
        <v>2.8940000000000001</v>
      </c>
      <c r="CD168" s="43">
        <f t="shared" si="1568"/>
        <v>2.8940000000000001</v>
      </c>
      <c r="CE168" s="43">
        <f t="shared" si="1568"/>
        <v>2.8940000000000001</v>
      </c>
      <c r="CF168" s="43">
        <f t="shared" si="1568"/>
        <v>2.8940000000000001</v>
      </c>
      <c r="CG168" s="43">
        <f t="shared" si="1568"/>
        <v>2.8940000000000001</v>
      </c>
      <c r="CH168" s="43">
        <f t="shared" si="1568"/>
        <v>2.8940000000000001</v>
      </c>
      <c r="CI168" s="43">
        <f t="shared" si="1568"/>
        <v>2.8940000000000001</v>
      </c>
      <c r="CJ168" s="43">
        <f t="shared" si="1568"/>
        <v>2.8940000000000001</v>
      </c>
      <c r="CK168" s="43">
        <f t="shared" si="1568"/>
        <v>2.8940000000000001</v>
      </c>
      <c r="CL168" s="43">
        <f t="shared" si="1568"/>
        <v>2.8940000000000001</v>
      </c>
      <c r="CM168" s="43">
        <f t="shared" si="1568"/>
        <v>2.8940000000000001</v>
      </c>
      <c r="CN168" s="43">
        <f t="shared" si="1568"/>
        <v>2.8940000000000001</v>
      </c>
      <c r="CO168" s="43">
        <f t="shared" si="1568"/>
        <v>2.8940000000000001</v>
      </c>
      <c r="CP168" s="43">
        <f t="shared" si="1568"/>
        <v>2.8940000000000001</v>
      </c>
      <c r="CQ168" s="43">
        <f t="shared" si="1568"/>
        <v>2.8940000000000001</v>
      </c>
      <c r="CR168" s="43">
        <f t="shared" si="1568"/>
        <v>2.8940000000000001</v>
      </c>
      <c r="CS168" s="43">
        <f t="shared" si="1568"/>
        <v>2.8940000000000001</v>
      </c>
      <c r="CT168" s="43">
        <f t="shared" si="1534"/>
        <v>2.8940000000000001</v>
      </c>
      <c r="CV168" s="43">
        <f t="shared" si="1537"/>
        <v>2.8940000000000001</v>
      </c>
      <c r="CW168" s="43">
        <f t="shared" si="1538"/>
        <v>2.8940000000000001</v>
      </c>
      <c r="CX168" s="43">
        <f t="shared" si="1539"/>
        <v>2.8940000000000001</v>
      </c>
      <c r="CY168" s="43">
        <f t="shared" si="1540"/>
        <v>2.8940000000000001</v>
      </c>
      <c r="CZ168" s="43">
        <f t="shared" si="1541"/>
        <v>2.8940000000000001</v>
      </c>
      <c r="DA168" s="43">
        <f t="shared" si="1542"/>
        <v>2.8940000000000001</v>
      </c>
      <c r="DB168" s="43">
        <f t="shared" si="1543"/>
        <v>2.8940000000000001</v>
      </c>
      <c r="DC168" s="43">
        <f t="shared" si="1544"/>
        <v>2.8940000000000001</v>
      </c>
      <c r="DD168" s="43">
        <f t="shared" si="1545"/>
        <v>2.8940000000000001</v>
      </c>
      <c r="DE168" s="43">
        <f t="shared" si="1546"/>
        <v>2.8940000000000001</v>
      </c>
      <c r="DF168" s="43">
        <f t="shared" si="1547"/>
        <v>2.8940000000000001</v>
      </c>
      <c r="DG168" s="43">
        <f t="shared" si="1548"/>
        <v>2.8940000000000001</v>
      </c>
      <c r="DH168" s="43">
        <f t="shared" si="1549"/>
        <v>2.8940000000000001</v>
      </c>
      <c r="DI168" s="43">
        <f t="shared" si="1550"/>
        <v>2.8940000000000001</v>
      </c>
      <c r="DJ168" s="43">
        <f t="shared" si="1551"/>
        <v>2.8940000000000001</v>
      </c>
      <c r="DK168" s="43">
        <f t="shared" si="1552"/>
        <v>2.8940000000000001</v>
      </c>
      <c r="DL168" s="43">
        <f t="shared" si="1553"/>
        <v>2.8940000000000001</v>
      </c>
      <c r="DM168" s="43">
        <f t="shared" si="1554"/>
        <v>2.8940000000000001</v>
      </c>
      <c r="DN168" s="43">
        <f t="shared" si="1555"/>
        <v>2.8940000000000001</v>
      </c>
      <c r="DO168" s="43">
        <f t="shared" si="1556"/>
        <v>2.8940000000000001</v>
      </c>
      <c r="DP168" s="43">
        <f t="shared" si="1557"/>
        <v>2.8940000000000001</v>
      </c>
      <c r="DQ168" s="43">
        <f t="shared" si="1558"/>
        <v>2.8940000000000001</v>
      </c>
      <c r="DR168" s="43">
        <f t="shared" si="1559"/>
        <v>2.8940000000000001</v>
      </c>
      <c r="DS168" s="43">
        <f t="shared" si="1560"/>
        <v>2.8940000000000001</v>
      </c>
      <c r="DT168" s="43">
        <f t="shared" si="1561"/>
        <v>2.8940000000000001</v>
      </c>
      <c r="DU168" s="43">
        <f t="shared" si="1562"/>
        <v>2.8940000000000001</v>
      </c>
      <c r="DV168" s="43">
        <f t="shared" si="1563"/>
        <v>2.8940000000000001</v>
      </c>
      <c r="DW168" s="43">
        <f t="shared" si="1564"/>
        <v>2.8940000000000001</v>
      </c>
      <c r="DX168" s="43">
        <f t="shared" si="1565"/>
        <v>2.8940000000000001</v>
      </c>
      <c r="DY168" s="43">
        <f t="shared" si="1566"/>
        <v>2.8940000000000001</v>
      </c>
      <c r="DZ168" s="43">
        <f t="shared" ref="DZ168:DZ170" si="1569">CV168</f>
        <v>2.8940000000000001</v>
      </c>
    </row>
    <row r="169" spans="1:165">
      <c r="A169" s="606" t="s">
        <v>453</v>
      </c>
      <c r="C169" s="54" t="s">
        <v>458</v>
      </c>
      <c r="D169" s="43">
        <f>$B$193</f>
        <v>0</v>
      </c>
      <c r="E169" s="43">
        <f t="shared" ref="E169:AG169" si="1570">D169-($D169-$AH169)/30</f>
        <v>0</v>
      </c>
      <c r="F169" s="43">
        <f t="shared" si="1570"/>
        <v>0</v>
      </c>
      <c r="G169" s="43">
        <f t="shared" si="1570"/>
        <v>0</v>
      </c>
      <c r="H169" s="43">
        <f t="shared" si="1570"/>
        <v>0</v>
      </c>
      <c r="I169" s="43">
        <f t="shared" si="1570"/>
        <v>0</v>
      </c>
      <c r="J169" s="43">
        <f t="shared" si="1570"/>
        <v>0</v>
      </c>
      <c r="K169" s="43">
        <f t="shared" si="1570"/>
        <v>0</v>
      </c>
      <c r="L169" s="43">
        <f t="shared" si="1570"/>
        <v>0</v>
      </c>
      <c r="M169" s="43">
        <f t="shared" si="1570"/>
        <v>0</v>
      </c>
      <c r="N169" s="43">
        <f t="shared" si="1570"/>
        <v>0</v>
      </c>
      <c r="O169" s="43">
        <f t="shared" si="1570"/>
        <v>0</v>
      </c>
      <c r="P169" s="43">
        <f t="shared" si="1570"/>
        <v>0</v>
      </c>
      <c r="Q169" s="43">
        <f t="shared" si="1570"/>
        <v>0</v>
      </c>
      <c r="R169" s="43">
        <f t="shared" si="1570"/>
        <v>0</v>
      </c>
      <c r="S169" s="43">
        <f t="shared" si="1570"/>
        <v>0</v>
      </c>
      <c r="T169" s="43">
        <f t="shared" si="1570"/>
        <v>0</v>
      </c>
      <c r="U169" s="43">
        <f t="shared" si="1570"/>
        <v>0</v>
      </c>
      <c r="V169" s="43">
        <f t="shared" si="1570"/>
        <v>0</v>
      </c>
      <c r="W169" s="43">
        <f t="shared" si="1570"/>
        <v>0</v>
      </c>
      <c r="X169" s="43">
        <f t="shared" si="1570"/>
        <v>0</v>
      </c>
      <c r="Y169" s="43">
        <f t="shared" si="1570"/>
        <v>0</v>
      </c>
      <c r="Z169" s="43">
        <f t="shared" si="1570"/>
        <v>0</v>
      </c>
      <c r="AA169" s="43">
        <f t="shared" si="1570"/>
        <v>0</v>
      </c>
      <c r="AB169" s="43">
        <f t="shared" si="1570"/>
        <v>0</v>
      </c>
      <c r="AC169" s="43">
        <f t="shared" si="1570"/>
        <v>0</v>
      </c>
      <c r="AD169" s="43">
        <f t="shared" si="1570"/>
        <v>0</v>
      </c>
      <c r="AE169" s="43">
        <f t="shared" si="1570"/>
        <v>0</v>
      </c>
      <c r="AF169" s="43">
        <f t="shared" si="1570"/>
        <v>0</v>
      </c>
      <c r="AG169" s="43">
        <f t="shared" si="1570"/>
        <v>0</v>
      </c>
      <c r="AH169" s="43">
        <f>$C$193</f>
        <v>0</v>
      </c>
      <c r="AI169" s="44"/>
      <c r="AJ169" s="43">
        <f t="shared" si="1524"/>
        <v>0</v>
      </c>
      <c r="AK169" s="43">
        <f t="shared" si="1462"/>
        <v>0</v>
      </c>
      <c r="AL169" s="43">
        <f t="shared" si="1463"/>
        <v>0</v>
      </c>
      <c r="AM169" s="43">
        <f t="shared" si="1464"/>
        <v>0</v>
      </c>
      <c r="AN169" s="43">
        <f t="shared" si="1465"/>
        <v>0</v>
      </c>
      <c r="AO169" s="43">
        <f t="shared" si="1466"/>
        <v>0</v>
      </c>
      <c r="AP169" s="43">
        <f t="shared" si="1467"/>
        <v>0</v>
      </c>
      <c r="AQ169" s="43">
        <f t="shared" si="1468"/>
        <v>0</v>
      </c>
      <c r="AR169" s="43">
        <f t="shared" si="1469"/>
        <v>0</v>
      </c>
      <c r="AS169" s="43">
        <f t="shared" si="1470"/>
        <v>0</v>
      </c>
      <c r="AT169" s="43">
        <f t="shared" si="1471"/>
        <v>0</v>
      </c>
      <c r="AU169" s="43">
        <f t="shared" si="1472"/>
        <v>0</v>
      </c>
      <c r="AV169" s="43">
        <f t="shared" si="1473"/>
        <v>0</v>
      </c>
      <c r="AW169" s="43">
        <f t="shared" si="1474"/>
        <v>0</v>
      </c>
      <c r="AX169" s="43">
        <f t="shared" si="1475"/>
        <v>0</v>
      </c>
      <c r="AY169" s="43">
        <f t="shared" si="1476"/>
        <v>0</v>
      </c>
      <c r="AZ169" s="43">
        <f t="shared" si="1477"/>
        <v>0</v>
      </c>
      <c r="BA169" s="43">
        <f t="shared" si="1478"/>
        <v>0</v>
      </c>
      <c r="BB169" s="43">
        <f t="shared" si="1479"/>
        <v>0</v>
      </c>
      <c r="BC169" s="43">
        <f t="shared" si="1480"/>
        <v>0</v>
      </c>
      <c r="BD169" s="43">
        <f t="shared" si="1481"/>
        <v>0</v>
      </c>
      <c r="BE169" s="43">
        <f t="shared" si="1482"/>
        <v>0</v>
      </c>
      <c r="BF169" s="43">
        <f t="shared" si="1483"/>
        <v>0</v>
      </c>
      <c r="BG169" s="43">
        <f t="shared" si="1484"/>
        <v>0</v>
      </c>
      <c r="BH169" s="43">
        <f t="shared" si="1485"/>
        <v>0</v>
      </c>
      <c r="BI169" s="43">
        <f t="shared" si="1486"/>
        <v>0</v>
      </c>
      <c r="BJ169" s="43">
        <f t="shared" si="1487"/>
        <v>0</v>
      </c>
      <c r="BK169" s="43">
        <f t="shared" si="1488"/>
        <v>0</v>
      </c>
      <c r="BL169" s="43">
        <f t="shared" si="1489"/>
        <v>0</v>
      </c>
      <c r="BM169" s="43">
        <f t="shared" si="1490"/>
        <v>0</v>
      </c>
      <c r="BN169" s="43">
        <f t="shared" si="1491"/>
        <v>0</v>
      </c>
      <c r="BP169" s="43">
        <f t="shared" si="1525"/>
        <v>0</v>
      </c>
      <c r="BQ169" s="43">
        <f t="shared" ref="BQ169:CS169" si="1571">BP169-($BP169-$CT169)/30</f>
        <v>0</v>
      </c>
      <c r="BR169" s="43">
        <f t="shared" si="1571"/>
        <v>0</v>
      </c>
      <c r="BS169" s="43">
        <f t="shared" si="1571"/>
        <v>0</v>
      </c>
      <c r="BT169" s="43">
        <f t="shared" si="1571"/>
        <v>0</v>
      </c>
      <c r="BU169" s="43">
        <f t="shared" si="1571"/>
        <v>0</v>
      </c>
      <c r="BV169" s="43">
        <f t="shared" si="1571"/>
        <v>0</v>
      </c>
      <c r="BW169" s="43">
        <f t="shared" si="1571"/>
        <v>0</v>
      </c>
      <c r="BX169" s="43">
        <f t="shared" si="1571"/>
        <v>0</v>
      </c>
      <c r="BY169" s="43">
        <f t="shared" si="1571"/>
        <v>0</v>
      </c>
      <c r="BZ169" s="43">
        <f t="shared" si="1571"/>
        <v>0</v>
      </c>
      <c r="CA169" s="43">
        <f t="shared" si="1571"/>
        <v>0</v>
      </c>
      <c r="CB169" s="43">
        <f t="shared" si="1571"/>
        <v>0</v>
      </c>
      <c r="CC169" s="43">
        <f t="shared" si="1571"/>
        <v>0</v>
      </c>
      <c r="CD169" s="43">
        <f t="shared" si="1571"/>
        <v>0</v>
      </c>
      <c r="CE169" s="43">
        <f t="shared" si="1571"/>
        <v>0</v>
      </c>
      <c r="CF169" s="43">
        <f t="shared" si="1571"/>
        <v>0</v>
      </c>
      <c r="CG169" s="43">
        <f t="shared" si="1571"/>
        <v>0</v>
      </c>
      <c r="CH169" s="43">
        <f t="shared" si="1571"/>
        <v>0</v>
      </c>
      <c r="CI169" s="43">
        <f t="shared" si="1571"/>
        <v>0</v>
      </c>
      <c r="CJ169" s="43">
        <f t="shared" si="1571"/>
        <v>0</v>
      </c>
      <c r="CK169" s="43">
        <f t="shared" si="1571"/>
        <v>0</v>
      </c>
      <c r="CL169" s="43">
        <f t="shared" si="1571"/>
        <v>0</v>
      </c>
      <c r="CM169" s="43">
        <f t="shared" si="1571"/>
        <v>0</v>
      </c>
      <c r="CN169" s="43">
        <f t="shared" si="1571"/>
        <v>0</v>
      </c>
      <c r="CO169" s="43">
        <f t="shared" si="1571"/>
        <v>0</v>
      </c>
      <c r="CP169" s="43">
        <f t="shared" si="1571"/>
        <v>0</v>
      </c>
      <c r="CQ169" s="43">
        <f t="shared" si="1571"/>
        <v>0</v>
      </c>
      <c r="CR169" s="43">
        <f t="shared" si="1571"/>
        <v>0</v>
      </c>
      <c r="CS169" s="43">
        <f t="shared" si="1571"/>
        <v>0</v>
      </c>
      <c r="CT169" s="43">
        <f t="shared" si="1534"/>
        <v>0</v>
      </c>
      <c r="CV169" s="43">
        <f t="shared" si="1537"/>
        <v>0</v>
      </c>
      <c r="CW169" s="43">
        <f t="shared" si="1538"/>
        <v>0</v>
      </c>
      <c r="CX169" s="43">
        <f t="shared" si="1539"/>
        <v>0</v>
      </c>
      <c r="CY169" s="43">
        <f t="shared" si="1540"/>
        <v>0</v>
      </c>
      <c r="CZ169" s="43">
        <f t="shared" si="1541"/>
        <v>0</v>
      </c>
      <c r="DA169" s="43">
        <f t="shared" si="1542"/>
        <v>0</v>
      </c>
      <c r="DB169" s="43">
        <f t="shared" si="1543"/>
        <v>0</v>
      </c>
      <c r="DC169" s="43">
        <f t="shared" si="1544"/>
        <v>0</v>
      </c>
      <c r="DD169" s="43">
        <f t="shared" si="1545"/>
        <v>0</v>
      </c>
      <c r="DE169" s="43">
        <f t="shared" si="1546"/>
        <v>0</v>
      </c>
      <c r="DF169" s="43">
        <f t="shared" si="1547"/>
        <v>0</v>
      </c>
      <c r="DG169" s="43">
        <f t="shared" si="1548"/>
        <v>0</v>
      </c>
      <c r="DH169" s="43">
        <f t="shared" si="1549"/>
        <v>0</v>
      </c>
      <c r="DI169" s="43">
        <f t="shared" si="1550"/>
        <v>0</v>
      </c>
      <c r="DJ169" s="43">
        <f t="shared" si="1551"/>
        <v>0</v>
      </c>
      <c r="DK169" s="43">
        <f t="shared" si="1552"/>
        <v>0</v>
      </c>
      <c r="DL169" s="43">
        <f t="shared" si="1553"/>
        <v>0</v>
      </c>
      <c r="DM169" s="43">
        <f t="shared" si="1554"/>
        <v>0</v>
      </c>
      <c r="DN169" s="43">
        <f t="shared" si="1555"/>
        <v>0</v>
      </c>
      <c r="DO169" s="43">
        <f t="shared" si="1556"/>
        <v>0</v>
      </c>
      <c r="DP169" s="43">
        <f t="shared" si="1557"/>
        <v>0</v>
      </c>
      <c r="DQ169" s="43">
        <f t="shared" si="1558"/>
        <v>0</v>
      </c>
      <c r="DR169" s="43">
        <f t="shared" si="1559"/>
        <v>0</v>
      </c>
      <c r="DS169" s="43">
        <f t="shared" si="1560"/>
        <v>0</v>
      </c>
      <c r="DT169" s="43">
        <f t="shared" si="1561"/>
        <v>0</v>
      </c>
      <c r="DU169" s="43">
        <f t="shared" si="1562"/>
        <v>0</v>
      </c>
      <c r="DV169" s="43">
        <f t="shared" si="1563"/>
        <v>0</v>
      </c>
      <c r="DW169" s="43">
        <f t="shared" si="1564"/>
        <v>0</v>
      </c>
      <c r="DX169" s="43">
        <f t="shared" si="1565"/>
        <v>0</v>
      </c>
      <c r="DY169" s="43">
        <f t="shared" si="1566"/>
        <v>0</v>
      </c>
      <c r="DZ169" s="43">
        <f t="shared" si="1569"/>
        <v>0</v>
      </c>
    </row>
    <row r="170" spans="1:165" ht="16" thickBot="1">
      <c r="A170" s="606" t="s">
        <v>454</v>
      </c>
      <c r="C170" s="54" t="s">
        <v>458</v>
      </c>
      <c r="D170" s="43">
        <f>$B$194</f>
        <v>0</v>
      </c>
      <c r="E170" s="43">
        <f t="shared" ref="E170:AG170" si="1572">D170-($D170-$AH170)/30</f>
        <v>0</v>
      </c>
      <c r="F170" s="43">
        <f t="shared" si="1572"/>
        <v>0</v>
      </c>
      <c r="G170" s="43">
        <f t="shared" si="1572"/>
        <v>0</v>
      </c>
      <c r="H170" s="43">
        <f t="shared" si="1572"/>
        <v>0</v>
      </c>
      <c r="I170" s="43">
        <f t="shared" si="1572"/>
        <v>0</v>
      </c>
      <c r="J170" s="43">
        <f t="shared" si="1572"/>
        <v>0</v>
      </c>
      <c r="K170" s="43">
        <f t="shared" si="1572"/>
        <v>0</v>
      </c>
      <c r="L170" s="43">
        <f t="shared" si="1572"/>
        <v>0</v>
      </c>
      <c r="M170" s="43">
        <f t="shared" si="1572"/>
        <v>0</v>
      </c>
      <c r="N170" s="43">
        <f t="shared" si="1572"/>
        <v>0</v>
      </c>
      <c r="O170" s="43">
        <f t="shared" si="1572"/>
        <v>0</v>
      </c>
      <c r="P170" s="43">
        <f t="shared" si="1572"/>
        <v>0</v>
      </c>
      <c r="Q170" s="43">
        <f t="shared" si="1572"/>
        <v>0</v>
      </c>
      <c r="R170" s="43">
        <f t="shared" si="1572"/>
        <v>0</v>
      </c>
      <c r="S170" s="43">
        <f t="shared" si="1572"/>
        <v>0</v>
      </c>
      <c r="T170" s="43">
        <f t="shared" si="1572"/>
        <v>0</v>
      </c>
      <c r="U170" s="43">
        <f t="shared" si="1572"/>
        <v>0</v>
      </c>
      <c r="V170" s="43">
        <f t="shared" si="1572"/>
        <v>0</v>
      </c>
      <c r="W170" s="43">
        <f t="shared" si="1572"/>
        <v>0</v>
      </c>
      <c r="X170" s="43">
        <f t="shared" si="1572"/>
        <v>0</v>
      </c>
      <c r="Y170" s="43">
        <f t="shared" si="1572"/>
        <v>0</v>
      </c>
      <c r="Z170" s="43">
        <f t="shared" si="1572"/>
        <v>0</v>
      </c>
      <c r="AA170" s="43">
        <f t="shared" si="1572"/>
        <v>0</v>
      </c>
      <c r="AB170" s="43">
        <f t="shared" si="1572"/>
        <v>0</v>
      </c>
      <c r="AC170" s="43">
        <f t="shared" si="1572"/>
        <v>0</v>
      </c>
      <c r="AD170" s="43">
        <f t="shared" si="1572"/>
        <v>0</v>
      </c>
      <c r="AE170" s="43">
        <f t="shared" si="1572"/>
        <v>0</v>
      </c>
      <c r="AF170" s="43">
        <f t="shared" si="1572"/>
        <v>0</v>
      </c>
      <c r="AG170" s="43">
        <f t="shared" si="1572"/>
        <v>0</v>
      </c>
      <c r="AH170" s="43">
        <f>$C$194</f>
        <v>0</v>
      </c>
      <c r="AI170" s="44"/>
      <c r="AJ170" s="43">
        <f t="shared" si="1524"/>
        <v>0</v>
      </c>
      <c r="AK170" s="43">
        <f t="shared" si="1462"/>
        <v>0</v>
      </c>
      <c r="AL170" s="43">
        <f t="shared" si="1463"/>
        <v>0</v>
      </c>
      <c r="AM170" s="43">
        <f t="shared" si="1464"/>
        <v>0</v>
      </c>
      <c r="AN170" s="43">
        <f t="shared" si="1465"/>
        <v>0</v>
      </c>
      <c r="AO170" s="43">
        <f t="shared" si="1466"/>
        <v>0</v>
      </c>
      <c r="AP170" s="43">
        <f t="shared" si="1467"/>
        <v>0</v>
      </c>
      <c r="AQ170" s="43">
        <f t="shared" si="1468"/>
        <v>0</v>
      </c>
      <c r="AR170" s="43">
        <f t="shared" si="1469"/>
        <v>0</v>
      </c>
      <c r="AS170" s="43">
        <f t="shared" si="1470"/>
        <v>0</v>
      </c>
      <c r="AT170" s="43">
        <f t="shared" si="1471"/>
        <v>0</v>
      </c>
      <c r="AU170" s="43">
        <f t="shared" si="1472"/>
        <v>0</v>
      </c>
      <c r="AV170" s="43">
        <f t="shared" si="1473"/>
        <v>0</v>
      </c>
      <c r="AW170" s="43">
        <f t="shared" si="1474"/>
        <v>0</v>
      </c>
      <c r="AX170" s="43">
        <f t="shared" si="1475"/>
        <v>0</v>
      </c>
      <c r="AY170" s="43">
        <f t="shared" si="1476"/>
        <v>0</v>
      </c>
      <c r="AZ170" s="43">
        <f t="shared" si="1477"/>
        <v>0</v>
      </c>
      <c r="BA170" s="43">
        <f t="shared" si="1478"/>
        <v>0</v>
      </c>
      <c r="BB170" s="43">
        <f t="shared" si="1479"/>
        <v>0</v>
      </c>
      <c r="BC170" s="43">
        <f t="shared" si="1480"/>
        <v>0</v>
      </c>
      <c r="BD170" s="43">
        <f t="shared" si="1481"/>
        <v>0</v>
      </c>
      <c r="BE170" s="43">
        <f t="shared" si="1482"/>
        <v>0</v>
      </c>
      <c r="BF170" s="43">
        <f t="shared" si="1483"/>
        <v>0</v>
      </c>
      <c r="BG170" s="43">
        <f t="shared" si="1484"/>
        <v>0</v>
      </c>
      <c r="BH170" s="43">
        <f t="shared" si="1485"/>
        <v>0</v>
      </c>
      <c r="BI170" s="43">
        <f t="shared" si="1486"/>
        <v>0</v>
      </c>
      <c r="BJ170" s="43">
        <f t="shared" si="1487"/>
        <v>0</v>
      </c>
      <c r="BK170" s="43">
        <f t="shared" si="1488"/>
        <v>0</v>
      </c>
      <c r="BL170" s="43">
        <f t="shared" si="1489"/>
        <v>0</v>
      </c>
      <c r="BM170" s="43">
        <f t="shared" si="1490"/>
        <v>0</v>
      </c>
      <c r="BN170" s="43">
        <f t="shared" si="1491"/>
        <v>0</v>
      </c>
      <c r="BP170" s="43">
        <f t="shared" si="1525"/>
        <v>0</v>
      </c>
      <c r="BQ170" s="43">
        <f t="shared" ref="BQ170:CS170" si="1573">BP170-($BP170-$CT170)/30</f>
        <v>0</v>
      </c>
      <c r="BR170" s="43">
        <f t="shared" si="1573"/>
        <v>0</v>
      </c>
      <c r="BS170" s="43">
        <f t="shared" si="1573"/>
        <v>0</v>
      </c>
      <c r="BT170" s="43">
        <f t="shared" si="1573"/>
        <v>0</v>
      </c>
      <c r="BU170" s="43">
        <f t="shared" si="1573"/>
        <v>0</v>
      </c>
      <c r="BV170" s="43">
        <f t="shared" si="1573"/>
        <v>0</v>
      </c>
      <c r="BW170" s="43">
        <f t="shared" si="1573"/>
        <v>0</v>
      </c>
      <c r="BX170" s="43">
        <f t="shared" si="1573"/>
        <v>0</v>
      </c>
      <c r="BY170" s="43">
        <f t="shared" si="1573"/>
        <v>0</v>
      </c>
      <c r="BZ170" s="43">
        <f t="shared" si="1573"/>
        <v>0</v>
      </c>
      <c r="CA170" s="43">
        <f t="shared" si="1573"/>
        <v>0</v>
      </c>
      <c r="CB170" s="43">
        <f t="shared" si="1573"/>
        <v>0</v>
      </c>
      <c r="CC170" s="43">
        <f t="shared" si="1573"/>
        <v>0</v>
      </c>
      <c r="CD170" s="43">
        <f t="shared" si="1573"/>
        <v>0</v>
      </c>
      <c r="CE170" s="43">
        <f t="shared" si="1573"/>
        <v>0</v>
      </c>
      <c r="CF170" s="43">
        <f t="shared" si="1573"/>
        <v>0</v>
      </c>
      <c r="CG170" s="43">
        <f t="shared" si="1573"/>
        <v>0</v>
      </c>
      <c r="CH170" s="43">
        <f t="shared" si="1573"/>
        <v>0</v>
      </c>
      <c r="CI170" s="43">
        <f t="shared" si="1573"/>
        <v>0</v>
      </c>
      <c r="CJ170" s="43">
        <f t="shared" si="1573"/>
        <v>0</v>
      </c>
      <c r="CK170" s="43">
        <f t="shared" si="1573"/>
        <v>0</v>
      </c>
      <c r="CL170" s="43">
        <f t="shared" si="1573"/>
        <v>0</v>
      </c>
      <c r="CM170" s="43">
        <f t="shared" si="1573"/>
        <v>0</v>
      </c>
      <c r="CN170" s="43">
        <f t="shared" si="1573"/>
        <v>0</v>
      </c>
      <c r="CO170" s="43">
        <f t="shared" si="1573"/>
        <v>0</v>
      </c>
      <c r="CP170" s="43">
        <f t="shared" si="1573"/>
        <v>0</v>
      </c>
      <c r="CQ170" s="43">
        <f t="shared" si="1573"/>
        <v>0</v>
      </c>
      <c r="CR170" s="43">
        <f t="shared" si="1573"/>
        <v>0</v>
      </c>
      <c r="CS170" s="43">
        <f t="shared" si="1573"/>
        <v>0</v>
      </c>
      <c r="CT170" s="43">
        <f t="shared" si="1534"/>
        <v>0</v>
      </c>
      <c r="CV170" s="43">
        <f t="shared" si="1537"/>
        <v>0</v>
      </c>
      <c r="CW170" s="43">
        <f t="shared" si="1538"/>
        <v>0</v>
      </c>
      <c r="CX170" s="43">
        <f t="shared" si="1539"/>
        <v>0</v>
      </c>
      <c r="CY170" s="43">
        <f t="shared" si="1540"/>
        <v>0</v>
      </c>
      <c r="CZ170" s="43">
        <f t="shared" si="1541"/>
        <v>0</v>
      </c>
      <c r="DA170" s="43">
        <f t="shared" si="1542"/>
        <v>0</v>
      </c>
      <c r="DB170" s="43">
        <f t="shared" si="1543"/>
        <v>0</v>
      </c>
      <c r="DC170" s="43">
        <f t="shared" si="1544"/>
        <v>0</v>
      </c>
      <c r="DD170" s="43">
        <f t="shared" si="1545"/>
        <v>0</v>
      </c>
      <c r="DE170" s="43">
        <f t="shared" si="1546"/>
        <v>0</v>
      </c>
      <c r="DF170" s="43">
        <f t="shared" si="1547"/>
        <v>0</v>
      </c>
      <c r="DG170" s="43">
        <f t="shared" si="1548"/>
        <v>0</v>
      </c>
      <c r="DH170" s="43">
        <f t="shared" si="1549"/>
        <v>0</v>
      </c>
      <c r="DI170" s="43">
        <f t="shared" si="1550"/>
        <v>0</v>
      </c>
      <c r="DJ170" s="43">
        <f t="shared" si="1551"/>
        <v>0</v>
      </c>
      <c r="DK170" s="43">
        <f t="shared" si="1552"/>
        <v>0</v>
      </c>
      <c r="DL170" s="43">
        <f t="shared" si="1553"/>
        <v>0</v>
      </c>
      <c r="DM170" s="43">
        <f t="shared" si="1554"/>
        <v>0</v>
      </c>
      <c r="DN170" s="43">
        <f t="shared" si="1555"/>
        <v>0</v>
      </c>
      <c r="DO170" s="43">
        <f t="shared" si="1556"/>
        <v>0</v>
      </c>
      <c r="DP170" s="43">
        <f t="shared" si="1557"/>
        <v>0</v>
      </c>
      <c r="DQ170" s="43">
        <f t="shared" si="1558"/>
        <v>0</v>
      </c>
      <c r="DR170" s="43">
        <f t="shared" si="1559"/>
        <v>0</v>
      </c>
      <c r="DS170" s="43">
        <f t="shared" si="1560"/>
        <v>0</v>
      </c>
      <c r="DT170" s="43">
        <f t="shared" si="1561"/>
        <v>0</v>
      </c>
      <c r="DU170" s="43">
        <f t="shared" si="1562"/>
        <v>0</v>
      </c>
      <c r="DV170" s="43">
        <f t="shared" si="1563"/>
        <v>0</v>
      </c>
      <c r="DW170" s="43">
        <f t="shared" si="1564"/>
        <v>0</v>
      </c>
      <c r="DX170" s="43">
        <f t="shared" si="1565"/>
        <v>0</v>
      </c>
      <c r="DY170" s="43">
        <f t="shared" si="1566"/>
        <v>0</v>
      </c>
      <c r="DZ170" s="43">
        <f t="shared" si="1569"/>
        <v>0</v>
      </c>
    </row>
    <row r="171" spans="1:165" s="624" customFormat="1" ht="16" thickBot="1">
      <c r="A171" s="623" t="s">
        <v>461</v>
      </c>
      <c r="C171" s="625"/>
      <c r="D171" s="626"/>
      <c r="E171" s="626"/>
      <c r="F171" s="626"/>
      <c r="G171" s="626"/>
      <c r="H171" s="626"/>
      <c r="I171" s="626"/>
      <c r="J171" s="626"/>
      <c r="K171" s="626"/>
      <c r="L171" s="626"/>
      <c r="M171" s="626"/>
      <c r="N171" s="626"/>
      <c r="O171" s="626"/>
      <c r="P171" s="626"/>
      <c r="Q171" s="626"/>
      <c r="R171" s="626"/>
      <c r="S171" s="626"/>
      <c r="T171" s="626"/>
      <c r="U171" s="626"/>
      <c r="V171" s="626"/>
      <c r="W171" s="626"/>
      <c r="X171" s="626"/>
      <c r="Y171" s="626"/>
      <c r="Z171" s="626"/>
      <c r="AA171" s="626"/>
      <c r="AB171" s="626"/>
      <c r="AC171" s="626"/>
      <c r="AD171" s="626"/>
      <c r="AE171" s="626"/>
      <c r="AF171" s="626"/>
      <c r="AG171" s="626"/>
      <c r="AH171" s="626"/>
      <c r="AI171" s="626"/>
      <c r="AJ171" s="626"/>
      <c r="AK171" s="626"/>
      <c r="AL171" s="626"/>
      <c r="AM171" s="626"/>
      <c r="AN171" s="626"/>
      <c r="AO171" s="626"/>
      <c r="AP171" s="626"/>
      <c r="AQ171" s="626"/>
      <c r="AR171" s="626"/>
      <c r="AS171" s="626"/>
      <c r="AT171" s="626"/>
      <c r="AU171" s="626"/>
      <c r="AV171" s="626"/>
      <c r="AW171" s="626"/>
      <c r="AX171" s="626"/>
      <c r="AY171" s="626"/>
      <c r="AZ171" s="626"/>
      <c r="BA171" s="626"/>
      <c r="BB171" s="626"/>
      <c r="BC171" s="626"/>
      <c r="BD171" s="626"/>
      <c r="BE171" s="626"/>
      <c r="BF171" s="626"/>
      <c r="BG171" s="626"/>
      <c r="BH171" s="626"/>
      <c r="BI171" s="626"/>
      <c r="BJ171" s="626"/>
      <c r="BK171" s="626"/>
      <c r="BL171" s="626"/>
      <c r="BM171" s="626"/>
      <c r="BN171" s="626"/>
      <c r="BP171" s="626"/>
      <c r="BQ171" s="626"/>
      <c r="BR171" s="626"/>
      <c r="BS171" s="626"/>
      <c r="BT171" s="626"/>
      <c r="BU171" s="626"/>
      <c r="BV171" s="626"/>
      <c r="BW171" s="626"/>
      <c r="BX171" s="626"/>
      <c r="BY171" s="626"/>
      <c r="BZ171" s="626"/>
      <c r="CA171" s="626"/>
      <c r="CB171" s="626"/>
      <c r="CC171" s="626"/>
      <c r="CD171" s="626"/>
      <c r="CE171" s="626"/>
      <c r="CF171" s="626"/>
      <c r="CG171" s="626"/>
      <c r="CH171" s="626"/>
      <c r="CI171" s="626"/>
      <c r="CJ171" s="626"/>
      <c r="CK171" s="626"/>
      <c r="CL171" s="626"/>
      <c r="CM171" s="626"/>
      <c r="CN171" s="626"/>
      <c r="CO171" s="626"/>
      <c r="CP171" s="626"/>
      <c r="CQ171" s="626"/>
      <c r="CR171" s="626"/>
      <c r="CS171" s="626"/>
      <c r="CT171" s="626"/>
      <c r="CV171" s="626"/>
      <c r="CW171" s="626"/>
      <c r="CX171" s="626"/>
      <c r="CY171" s="626"/>
      <c r="CZ171" s="626"/>
      <c r="DA171" s="626"/>
      <c r="DB171" s="626"/>
      <c r="DC171" s="626"/>
      <c r="DD171" s="626"/>
      <c r="DE171" s="626"/>
      <c r="DF171" s="626"/>
      <c r="DG171" s="626"/>
      <c r="DH171" s="626"/>
      <c r="DI171" s="626"/>
      <c r="DJ171" s="626"/>
      <c r="DK171" s="626"/>
      <c r="DL171" s="626"/>
      <c r="DM171" s="626"/>
      <c r="DN171" s="626"/>
      <c r="DO171" s="626"/>
      <c r="DP171" s="626"/>
      <c r="DQ171" s="626"/>
      <c r="DR171" s="626"/>
      <c r="DS171" s="626"/>
      <c r="DT171" s="626"/>
      <c r="DU171" s="626"/>
      <c r="DV171" s="626"/>
      <c r="DW171" s="626"/>
      <c r="DX171" s="626"/>
      <c r="DY171" s="626"/>
      <c r="DZ171" s="626"/>
      <c r="EK171" s="627"/>
      <c r="EL171" s="627"/>
      <c r="EM171" s="627"/>
      <c r="EN171" s="627"/>
      <c r="EO171" s="627"/>
      <c r="EP171" s="627"/>
      <c r="EQ171" s="627"/>
      <c r="ER171" s="627"/>
      <c r="ES171" s="627"/>
      <c r="ET171" s="627"/>
      <c r="EU171" s="627"/>
      <c r="EV171" s="627"/>
      <c r="EW171" s="627"/>
      <c r="EX171" s="627"/>
      <c r="EY171" s="627"/>
      <c r="EZ171" s="627"/>
      <c r="FA171" s="627"/>
      <c r="FB171" s="627"/>
      <c r="FC171" s="627"/>
      <c r="FD171" s="627"/>
      <c r="FE171" s="627"/>
      <c r="FF171" s="627"/>
      <c r="FG171" s="627"/>
      <c r="FH171" s="627"/>
      <c r="FI171" s="627"/>
    </row>
    <row r="172" spans="1:165">
      <c r="A172" s="606" t="s">
        <v>193</v>
      </c>
      <c r="C172" s="54" t="s">
        <v>462</v>
      </c>
      <c r="D172" s="168">
        <f>'Butadiene Recycling HC'!C209/'Butadiene Recycling HC'!C207</f>
        <v>4.6954450224515588E-2</v>
      </c>
      <c r="E172" s="168">
        <f>'Butadiene Recycling HC'!D209/'Butadiene Recycling HC'!D207</f>
        <v>5.3320969924936491E-2</v>
      </c>
      <c r="F172" s="168">
        <f>'Butadiene Recycling HC'!E209/'Butadiene Recycling HC'!E207</f>
        <v>5.9687489625357387E-2</v>
      </c>
      <c r="G172" s="168">
        <f>'Butadiene Recycling HC'!F209/'Butadiene Recycling HC'!F207</f>
        <v>6.6054009325778276E-2</v>
      </c>
      <c r="H172" s="168">
        <f>'Butadiene Recycling HC'!G209/'Butadiene Recycling HC'!G207</f>
        <v>7.2420529026199151E-2</v>
      </c>
      <c r="I172" s="168">
        <f>'Butadiene Recycling HC'!H209/'Butadiene Recycling HC'!H207</f>
        <v>7.8787048726620096E-2</v>
      </c>
      <c r="J172" s="168">
        <f>'Butadiene Recycling HC'!I209/'Butadiene Recycling HC'!I207</f>
        <v>8.5153568427040971E-2</v>
      </c>
      <c r="K172" s="168">
        <f>'Butadiene Recycling HC'!J209/'Butadiene Recycling HC'!J207</f>
        <v>9.1520088127461874E-2</v>
      </c>
      <c r="L172" s="168">
        <f>'Butadiene Recycling HC'!K209/'Butadiene Recycling HC'!K207</f>
        <v>9.7886607827882777E-2</v>
      </c>
      <c r="M172" s="168">
        <f>'Butadiene Recycling HC'!L209/'Butadiene Recycling HC'!L207</f>
        <v>0.10425312752830364</v>
      </c>
      <c r="N172" s="168">
        <f>'Butadiene Recycling HC'!M209/'Butadiene Recycling HC'!M207</f>
        <v>0.11061964722872458</v>
      </c>
      <c r="O172" s="168">
        <f>'Butadiene Recycling HC'!N209/'Butadiene Recycling HC'!N207</f>
        <v>0.11698616692914544</v>
      </c>
      <c r="P172" s="168">
        <f>'Butadiene Recycling HC'!O209/'Butadiene Recycling HC'!O207</f>
        <v>0.12335268662956633</v>
      </c>
      <c r="Q172" s="168">
        <f>'Butadiene Recycling HC'!P209/'Butadiene Recycling HC'!P207</f>
        <v>0.12971920632998724</v>
      </c>
      <c r="R172" s="168">
        <f>'Butadiene Recycling HC'!Q209/'Butadiene Recycling HC'!Q207</f>
        <v>0.13608572603040819</v>
      </c>
      <c r="S172" s="168">
        <f>'Butadiene Recycling HC'!R209/'Butadiene Recycling HC'!R207</f>
        <v>0.14245224573082907</v>
      </c>
      <c r="T172" s="168">
        <f>'Butadiene Recycling HC'!S209/'Butadiene Recycling HC'!S207</f>
        <v>0.14881876543124992</v>
      </c>
      <c r="U172" s="168">
        <f>'Butadiene Recycling HC'!T209/'Butadiene Recycling HC'!T207</f>
        <v>0.15518528513167085</v>
      </c>
      <c r="V172" s="168">
        <f>'Butadiene Recycling HC'!U209/'Butadiene Recycling HC'!U207</f>
        <v>0.16155180483209178</v>
      </c>
      <c r="W172" s="168">
        <f>'Butadiene Recycling HC'!V209/'Butadiene Recycling HC'!V207</f>
        <v>0.16791832453251265</v>
      </c>
      <c r="X172" s="168">
        <f>'Butadiene Recycling HC'!W209/'Butadiene Recycling HC'!W207</f>
        <v>0.17428484423293356</v>
      </c>
      <c r="Y172" s="168">
        <f>'Butadiene Recycling HC'!X209/'Butadiene Recycling HC'!X207</f>
        <v>0.18065136393335446</v>
      </c>
      <c r="Z172" s="168">
        <f>'Butadiene Recycling HC'!Y209/'Butadiene Recycling HC'!Y207</f>
        <v>0.18701788363377536</v>
      </c>
      <c r="AA172" s="168">
        <f>'Butadiene Recycling HC'!Z209/'Butadiene Recycling HC'!Z207</f>
        <v>0.19338440333419626</v>
      </c>
      <c r="AB172" s="168">
        <f>'Butadiene Recycling HC'!AA209/'Butadiene Recycling HC'!AA207</f>
        <v>0.19975092303461714</v>
      </c>
      <c r="AC172" s="168">
        <f>'Butadiene Recycling HC'!AB209/'Butadiene Recycling HC'!AB207</f>
        <v>0.20611744273503804</v>
      </c>
      <c r="AD172" s="168">
        <f>'Butadiene Recycling HC'!AC209/'Butadiene Recycling HC'!AC207</f>
        <v>0.21248396243545895</v>
      </c>
      <c r="AE172" s="168">
        <f>'Butadiene Recycling HC'!AD209/'Butadiene Recycling HC'!AD207</f>
        <v>0.21885048213587985</v>
      </c>
      <c r="AF172" s="168">
        <f>'Butadiene Recycling HC'!AE209/'Butadiene Recycling HC'!AE207</f>
        <v>0.22521700183630072</v>
      </c>
      <c r="AG172" s="168">
        <f>'Butadiene Recycling HC'!AF209/'Butadiene Recycling HC'!AF207</f>
        <v>0.23158352153672163</v>
      </c>
      <c r="AH172" s="168">
        <f>'Butadiene Recycling HC'!AG209/'Butadiene Recycling HC'!AG207</f>
        <v>0.23795004123714253</v>
      </c>
      <c r="AI172" s="44"/>
      <c r="AJ172" s="168">
        <f>'Butadiene Recycling LC'!C209/'Butadiene Recycling LC'!C207</f>
        <v>4.6954450224515588E-2</v>
      </c>
      <c r="AK172" s="168">
        <f>'Butadiene Recycling LC'!D209/'Butadiene Recycling LC'!D207</f>
        <v>5.3320969924936491E-2</v>
      </c>
      <c r="AL172" s="168">
        <f>'Butadiene Recycling LC'!E209/'Butadiene Recycling LC'!E207</f>
        <v>5.9687489625357387E-2</v>
      </c>
      <c r="AM172" s="168">
        <f>'Butadiene Recycling LC'!F209/'Butadiene Recycling LC'!F207</f>
        <v>6.6054009325778276E-2</v>
      </c>
      <c r="AN172" s="168">
        <f>'Butadiene Recycling LC'!G209/'Butadiene Recycling LC'!G207</f>
        <v>7.2420529026199151E-2</v>
      </c>
      <c r="AO172" s="168">
        <f>'Butadiene Recycling LC'!H209/'Butadiene Recycling LC'!H207</f>
        <v>7.8787048726620096E-2</v>
      </c>
      <c r="AP172" s="168">
        <f>'Butadiene Recycling LC'!I209/'Butadiene Recycling LC'!I207</f>
        <v>8.5153568427040971E-2</v>
      </c>
      <c r="AQ172" s="168">
        <f>'Butadiene Recycling LC'!J209/'Butadiene Recycling LC'!J207</f>
        <v>9.1520088127461874E-2</v>
      </c>
      <c r="AR172" s="168">
        <f>'Butadiene Recycling LC'!K209/'Butadiene Recycling LC'!K207</f>
        <v>9.7886607827882777E-2</v>
      </c>
      <c r="AS172" s="168">
        <f>'Butadiene Recycling LC'!L209/'Butadiene Recycling LC'!L207</f>
        <v>0.10425312752830364</v>
      </c>
      <c r="AT172" s="168">
        <f>'Butadiene Recycling LC'!M209/'Butadiene Recycling LC'!M207</f>
        <v>0.11061964722872458</v>
      </c>
      <c r="AU172" s="168">
        <f>'Butadiene Recycling LC'!N209/'Butadiene Recycling LC'!N207</f>
        <v>0.11698616692914544</v>
      </c>
      <c r="AV172" s="168">
        <f>'Butadiene Recycling LC'!O209/'Butadiene Recycling LC'!O207</f>
        <v>0.12335268662956633</v>
      </c>
      <c r="AW172" s="168">
        <f>'Butadiene Recycling LC'!P209/'Butadiene Recycling LC'!P207</f>
        <v>0.12971920632998724</v>
      </c>
      <c r="AX172" s="168">
        <f>'Butadiene Recycling LC'!Q209/'Butadiene Recycling LC'!Q207</f>
        <v>0.13608572603040819</v>
      </c>
      <c r="AY172" s="168">
        <f>'Butadiene Recycling LC'!R209/'Butadiene Recycling LC'!R207</f>
        <v>0.14245224573082907</v>
      </c>
      <c r="AZ172" s="168">
        <f>'Butadiene Recycling LC'!S209/'Butadiene Recycling LC'!S207</f>
        <v>0.14881876543124992</v>
      </c>
      <c r="BA172" s="168">
        <f>'Butadiene Recycling LC'!T209/'Butadiene Recycling LC'!T207</f>
        <v>0.15518528513167085</v>
      </c>
      <c r="BB172" s="168">
        <f>'Butadiene Recycling LC'!U209/'Butadiene Recycling LC'!U207</f>
        <v>0.16155180483209178</v>
      </c>
      <c r="BC172" s="168">
        <f>'Butadiene Recycling LC'!V209/'Butadiene Recycling LC'!V207</f>
        <v>0.16791832453251265</v>
      </c>
      <c r="BD172" s="168">
        <f>'Butadiene Recycling LC'!W209/'Butadiene Recycling LC'!W207</f>
        <v>0.17428484423293356</v>
      </c>
      <c r="BE172" s="168">
        <f>'Butadiene Recycling LC'!X209/'Butadiene Recycling LC'!X207</f>
        <v>0.18065136393335446</v>
      </c>
      <c r="BF172" s="168">
        <f>'Butadiene Recycling LC'!Y209/'Butadiene Recycling LC'!Y207</f>
        <v>0.18701788363377536</v>
      </c>
      <c r="BG172" s="168">
        <f>'Butadiene Recycling LC'!Z209/'Butadiene Recycling LC'!Z207</f>
        <v>0.19338440333419626</v>
      </c>
      <c r="BH172" s="168">
        <f>'Butadiene Recycling LC'!AA209/'Butadiene Recycling LC'!AA207</f>
        <v>0.19975092303461714</v>
      </c>
      <c r="BI172" s="168">
        <f>'Butadiene Recycling LC'!AB209/'Butadiene Recycling LC'!AB207</f>
        <v>0.20611744273503804</v>
      </c>
      <c r="BJ172" s="168">
        <f>'Butadiene Recycling LC'!AC209/'Butadiene Recycling LC'!AC207</f>
        <v>0.21248396243545895</v>
      </c>
      <c r="BK172" s="168">
        <f>'Butadiene Recycling LC'!AD209/'Butadiene Recycling LC'!AD207</f>
        <v>0.21885048213587985</v>
      </c>
      <c r="BL172" s="168">
        <f>'Butadiene Recycling LC'!AE209/'Butadiene Recycling LC'!AE207</f>
        <v>0.22521700183630072</v>
      </c>
      <c r="BM172" s="168">
        <f>'Butadiene Recycling LC'!AF209/'Butadiene Recycling LC'!AF207</f>
        <v>0.23158352153672163</v>
      </c>
      <c r="BN172" s="168">
        <f>'Butadiene Recycling LC'!AG209/'Butadiene Recycling LC'!AG207</f>
        <v>0.23795004123714253</v>
      </c>
      <c r="BP172" s="168">
        <f>'Butadiene Recycling HC'!C199/'Butadiene Recycling HC'!C197</f>
        <v>4.6954450224515588E-2</v>
      </c>
      <c r="BQ172" s="168">
        <f>'Butadiene Recycling HC'!D199/'Butadiene Recycling HC'!D197</f>
        <v>4.6190223967989281E-2</v>
      </c>
      <c r="BR172" s="168">
        <f>'Butadiene Recycling HC'!E199/'Butadiene Recycling HC'!E197</f>
        <v>4.5557526738842814E-2</v>
      </c>
      <c r="BS172" s="168">
        <f>'Butadiene Recycling HC'!F199/'Butadiene Recycling HC'!F197</f>
        <v>4.5051185132328447E-2</v>
      </c>
      <c r="BT172" s="168">
        <f>'Butadiene Recycling HC'!G199/'Butadiene Recycling HC'!G197</f>
        <v>4.4667078923813559E-2</v>
      </c>
      <c r="BU172" s="168">
        <f>'Butadiene Recycling HC'!H199/'Butadiene Recycling HC'!H197</f>
        <v>4.4402085153950381E-2</v>
      </c>
      <c r="BV172" s="168">
        <f>'Butadiene Recycling HC'!I199/'Butadiene Recycling HC'!I197</f>
        <v>4.4158765252327307E-2</v>
      </c>
      <c r="BW172" s="168">
        <f>'Butadiene Recycling HC'!J199/'Butadiene Recycling HC'!J197</f>
        <v>4.3936803886042416E-2</v>
      </c>
      <c r="BX172" s="168">
        <f>'Butadiene Recycling HC'!K199/'Butadiene Recycling HC'!K197</f>
        <v>4.3735916145373047E-2</v>
      </c>
      <c r="BY172" s="168">
        <f>'Butadiene Recycling HC'!L199/'Butadiene Recycling HC'!L197</f>
        <v>4.3555846942455193E-2</v>
      </c>
      <c r="BZ172" s="168">
        <f>'Butadiene Recycling HC'!M199/'Butadiene Recycling HC'!M197</f>
        <v>4.3396370479335859E-2</v>
      </c>
      <c r="CA172" s="168">
        <f>'Butadiene Recycling HC'!N199/'Butadiene Recycling HC'!N197</f>
        <v>4.3319270591275771E-2</v>
      </c>
      <c r="CB172" s="168">
        <f>'Butadiene Recycling HC'!O199/'Butadiene Recycling HC'!O197</f>
        <v>4.3324277945563025E-2</v>
      </c>
      <c r="CC172" s="168">
        <f>'Butadiene Recycling HC'!P199/'Butadiene Recycling HC'!P197</f>
        <v>4.3411590475281911E-2</v>
      </c>
      <c r="CD172" s="168">
        <f>'Butadiene Recycling HC'!Q199/'Butadiene Recycling HC'!Q197</f>
        <v>4.3581876872189639E-2</v>
      </c>
      <c r="CE172" s="168">
        <f>'Butadiene Recycling HC'!R199/'Butadiene Recycling HC'!R197</f>
        <v>4.3836284589963539E-2</v>
      </c>
      <c r="CF172" s="168">
        <f>'Butadiene Recycling HC'!S199/'Butadiene Recycling HC'!S197</f>
        <v>4.4097004243949439E-2</v>
      </c>
      <c r="CG172" s="168">
        <f>'Butadiene Recycling HC'!T199/'Butadiene Recycling HC'!T197</f>
        <v>4.4364134086076118E-2</v>
      </c>
      <c r="CH172" s="168">
        <f>'Butadiene Recycling HC'!U199/'Butadiene Recycling HC'!U197</f>
        <v>4.4637775131953647E-2</v>
      </c>
      <c r="CI172" s="168">
        <f>'Butadiene Recycling HC'!V199/'Butadiene Recycling HC'!V197</f>
        <v>4.4918031225020583E-2</v>
      </c>
      <c r="CJ172" s="168">
        <f>'Butadiene Recycling HC'!W199/'Butadiene Recycling HC'!W197</f>
        <v>4.520500910271609E-2</v>
      </c>
      <c r="CK172" s="168">
        <f>'Butadiene Recycling HC'!X199/'Butadiene Recycling HC'!X197</f>
        <v>4.5498317327535384E-2</v>
      </c>
      <c r="CL172" s="168">
        <f>'Butadiene Recycling HC'!Y199/'Butadiene Recycling HC'!Y197</f>
        <v>4.5798057947093192E-2</v>
      </c>
      <c r="CM172" s="168">
        <f>'Butadiene Recycling HC'!Z199/'Butadiene Recycling HC'!Z197</f>
        <v>4.6104335644858309E-2</v>
      </c>
      <c r="CN172" s="168">
        <f>'Butadiene Recycling HC'!AA199/'Butadiene Recycling HC'!AA197</f>
        <v>4.6417257801439599E-2</v>
      </c>
      <c r="CO172" s="168">
        <f>'Butadiene Recycling HC'!AB199/'Butadiene Recycling HC'!AB197</f>
        <v>4.6736934557681548E-2</v>
      </c>
      <c r="CP172" s="168">
        <f>'Butadiene Recycling HC'!AC199/'Butadiene Recycling HC'!AC197</f>
        <v>4.7063033934545175E-2</v>
      </c>
      <c r="CQ172" s="168">
        <f>'Butadiene Recycling HC'!AD199/'Butadiene Recycling HC'!AD197</f>
        <v>4.7395661750320041E-2</v>
      </c>
      <c r="CR172" s="168">
        <f>'Butadiene Recycling HC'!AE199/'Butadiene Recycling HC'!AE197</f>
        <v>4.773492637778206E-2</v>
      </c>
      <c r="CS172" s="168">
        <f>'Butadiene Recycling HC'!AF199/'Butadiene Recycling HC'!AF197</f>
        <v>4.8080938803199608E-2</v>
      </c>
      <c r="CT172" s="168">
        <f>'Butadiene Recycling HC'!AG199/'Butadiene Recycling HC'!AG197</f>
        <v>4.8433812686989208E-2</v>
      </c>
      <c r="CV172" s="168">
        <f>'Butadiene Recycling LC'!C209/'Butadiene Recycling HC'!C197</f>
        <v>4.6954450224515588E-2</v>
      </c>
      <c r="CW172" s="168">
        <f>'Butadiene Recycling LC'!D209/'Butadiene Recycling HC'!D197</f>
        <v>5.3320969924936491E-2</v>
      </c>
      <c r="CX172" s="168">
        <f>'Butadiene Recycling LC'!E209/'Butadiene Recycling HC'!E197</f>
        <v>5.9687489625357387E-2</v>
      </c>
      <c r="CY172" s="168">
        <f>'Butadiene Recycling LC'!F209/'Butadiene Recycling HC'!F197</f>
        <v>6.6054009325778276E-2</v>
      </c>
      <c r="CZ172" s="168">
        <f>'Butadiene Recycling LC'!G209/'Butadiene Recycling HC'!G197</f>
        <v>7.2420529026199151E-2</v>
      </c>
      <c r="DA172" s="168">
        <f>'Butadiene Recycling LC'!H209/'Butadiene Recycling HC'!H197</f>
        <v>7.8787048726620096E-2</v>
      </c>
      <c r="DB172" s="168">
        <f>'Butadiene Recycling LC'!I209/'Butadiene Recycling HC'!I197</f>
        <v>8.5153568427040971E-2</v>
      </c>
      <c r="DC172" s="168">
        <f>'Butadiene Recycling LC'!J209/'Butadiene Recycling HC'!J197</f>
        <v>9.1520088127461874E-2</v>
      </c>
      <c r="DD172" s="168">
        <f>'Butadiene Recycling LC'!K209/'Butadiene Recycling HC'!K197</f>
        <v>9.7886607827882777E-2</v>
      </c>
      <c r="DE172" s="168">
        <f>'Butadiene Recycling LC'!L209/'Butadiene Recycling HC'!L197</f>
        <v>0.10425312752830364</v>
      </c>
      <c r="DF172" s="168">
        <f>'Butadiene Recycling LC'!M209/'Butadiene Recycling HC'!M197</f>
        <v>0.11061964722872458</v>
      </c>
      <c r="DG172" s="168">
        <f>'Butadiene Recycling LC'!N209/'Butadiene Recycling HC'!N197</f>
        <v>0.11698616692914544</v>
      </c>
      <c r="DH172" s="168">
        <f>'Butadiene Recycling LC'!O209/'Butadiene Recycling HC'!O197</f>
        <v>0.12335268662956633</v>
      </c>
      <c r="DI172" s="168">
        <f>'Butadiene Recycling LC'!P209/'Butadiene Recycling HC'!P197</f>
        <v>0.12971920632998724</v>
      </c>
      <c r="DJ172" s="168">
        <f>'Butadiene Recycling LC'!Q209/'Butadiene Recycling HC'!Q197</f>
        <v>0.13608572603040819</v>
      </c>
      <c r="DK172" s="168">
        <f>'Butadiene Recycling LC'!R209/'Butadiene Recycling HC'!R197</f>
        <v>0.14245224573082907</v>
      </c>
      <c r="DL172" s="168">
        <f>'Butadiene Recycling LC'!S209/'Butadiene Recycling HC'!S197</f>
        <v>0.14881876543124992</v>
      </c>
      <c r="DM172" s="168">
        <f>'Butadiene Recycling LC'!T209/'Butadiene Recycling HC'!T197</f>
        <v>0.15518528513167085</v>
      </c>
      <c r="DN172" s="168">
        <f>'Butadiene Recycling LC'!U209/'Butadiene Recycling HC'!U197</f>
        <v>0.16155180483209178</v>
      </c>
      <c r="DO172" s="168">
        <f>'Butadiene Recycling LC'!V209/'Butadiene Recycling HC'!V197</f>
        <v>0.16791832453251265</v>
      </c>
      <c r="DP172" s="168">
        <f>'Butadiene Recycling LC'!W209/'Butadiene Recycling HC'!W197</f>
        <v>0.17428484423293356</v>
      </c>
      <c r="DQ172" s="168">
        <f>'Butadiene Recycling LC'!X209/'Butadiene Recycling HC'!X197</f>
        <v>0.18065136393335446</v>
      </c>
      <c r="DR172" s="168">
        <f>'Butadiene Recycling LC'!Y209/'Butadiene Recycling HC'!Y197</f>
        <v>0.18701788363377536</v>
      </c>
      <c r="DS172" s="168">
        <f>'Butadiene Recycling LC'!Z209/'Butadiene Recycling HC'!Z197</f>
        <v>0.19338440333419626</v>
      </c>
      <c r="DT172" s="168">
        <f>'Butadiene Recycling LC'!AA209/'Butadiene Recycling HC'!AA197</f>
        <v>0.19975092303461714</v>
      </c>
      <c r="DU172" s="168">
        <f>'Butadiene Recycling LC'!AB209/'Butadiene Recycling HC'!AB197</f>
        <v>0.20611744273503804</v>
      </c>
      <c r="DV172" s="168">
        <f>'Butadiene Recycling LC'!AC209/'Butadiene Recycling HC'!AC197</f>
        <v>0.21248396243545895</v>
      </c>
      <c r="DW172" s="168">
        <f>'Butadiene Recycling LC'!AD209/'Butadiene Recycling HC'!AD197</f>
        <v>0.21885048213587985</v>
      </c>
      <c r="DX172" s="168">
        <f>'Butadiene Recycling LC'!AE209/'Butadiene Recycling HC'!AE197</f>
        <v>0.22521700183630072</v>
      </c>
      <c r="DY172" s="168">
        <f>'Butadiene Recycling LC'!AF209/'Butadiene Recycling HC'!AF197</f>
        <v>0.23158352153672163</v>
      </c>
      <c r="DZ172" s="168">
        <f>'Butadiene Recycling LC'!AG209/'Butadiene Recycling HC'!AG197</f>
        <v>0.23795004123714253</v>
      </c>
    </row>
    <row r="173" spans="1:165">
      <c r="A173" s="606" t="s">
        <v>88</v>
      </c>
      <c r="C173" s="54" t="s">
        <v>462</v>
      </c>
      <c r="D173" s="168">
        <f>0</f>
        <v>0</v>
      </c>
      <c r="E173" s="168">
        <f>0</f>
        <v>0</v>
      </c>
      <c r="F173" s="168">
        <f>0</f>
        <v>0</v>
      </c>
      <c r="G173" s="168">
        <f>0</f>
        <v>0</v>
      </c>
      <c r="H173" s="168">
        <f>0</f>
        <v>0</v>
      </c>
      <c r="I173" s="168">
        <f>0</f>
        <v>0</v>
      </c>
      <c r="J173" s="168">
        <f>0</f>
        <v>0</v>
      </c>
      <c r="K173" s="168">
        <f>0</f>
        <v>0</v>
      </c>
      <c r="L173" s="168">
        <f>0</f>
        <v>0</v>
      </c>
      <c r="M173" s="168">
        <f>0</f>
        <v>0</v>
      </c>
      <c r="N173" s="168">
        <f>0</f>
        <v>0</v>
      </c>
      <c r="O173" s="168">
        <f>0</f>
        <v>0</v>
      </c>
      <c r="P173" s="168">
        <f>0</f>
        <v>0</v>
      </c>
      <c r="Q173" s="168">
        <f>0</f>
        <v>0</v>
      </c>
      <c r="R173" s="168">
        <f>0</f>
        <v>0</v>
      </c>
      <c r="S173" s="168">
        <f>0</f>
        <v>0</v>
      </c>
      <c r="T173" s="168">
        <f>0</f>
        <v>0</v>
      </c>
      <c r="U173" s="168">
        <f>0</f>
        <v>0</v>
      </c>
      <c r="V173" s="168">
        <f>0</f>
        <v>0</v>
      </c>
      <c r="W173" s="168">
        <f>0</f>
        <v>0</v>
      </c>
      <c r="X173" s="168">
        <f>0</f>
        <v>0</v>
      </c>
      <c r="Y173" s="168">
        <f>0</f>
        <v>0</v>
      </c>
      <c r="Z173" s="168">
        <f>0</f>
        <v>0</v>
      </c>
      <c r="AA173" s="168">
        <f>0</f>
        <v>0</v>
      </c>
      <c r="AB173" s="168">
        <f>0</f>
        <v>0</v>
      </c>
      <c r="AC173" s="168">
        <f>0</f>
        <v>0</v>
      </c>
      <c r="AD173" s="168">
        <f>0</f>
        <v>0</v>
      </c>
      <c r="AE173" s="168">
        <f>0</f>
        <v>0</v>
      </c>
      <c r="AF173" s="168">
        <f>0</f>
        <v>0</v>
      </c>
      <c r="AG173" s="168">
        <f>0</f>
        <v>0</v>
      </c>
      <c r="AH173" s="168">
        <f>0</f>
        <v>0</v>
      </c>
      <c r="AI173" s="44"/>
      <c r="AJ173" s="168">
        <v>0</v>
      </c>
      <c r="AK173" s="168">
        <v>0</v>
      </c>
      <c r="AL173" s="168">
        <v>0</v>
      </c>
      <c r="AM173" s="168">
        <v>0</v>
      </c>
      <c r="AN173" s="168">
        <v>0</v>
      </c>
      <c r="AO173" s="168">
        <v>0</v>
      </c>
      <c r="AP173" s="168">
        <v>0</v>
      </c>
      <c r="AQ173" s="168">
        <v>0</v>
      </c>
      <c r="AR173" s="168">
        <v>0</v>
      </c>
      <c r="AS173" s="168">
        <v>0</v>
      </c>
      <c r="AT173" s="168">
        <v>0</v>
      </c>
      <c r="AU173" s="168">
        <v>0</v>
      </c>
      <c r="AV173" s="168">
        <v>0</v>
      </c>
      <c r="AW173" s="168">
        <v>0</v>
      </c>
      <c r="AX173" s="168">
        <v>0</v>
      </c>
      <c r="AY173" s="168">
        <v>0</v>
      </c>
      <c r="AZ173" s="168">
        <v>0</v>
      </c>
      <c r="BA173" s="168">
        <v>0</v>
      </c>
      <c r="BB173" s="168">
        <v>0</v>
      </c>
      <c r="BC173" s="168">
        <v>0</v>
      </c>
      <c r="BD173" s="168">
        <v>0</v>
      </c>
      <c r="BE173" s="168">
        <v>0</v>
      </c>
      <c r="BF173" s="168">
        <v>0</v>
      </c>
      <c r="BG173" s="168">
        <v>0</v>
      </c>
      <c r="BH173" s="168">
        <v>0</v>
      </c>
      <c r="BI173" s="168">
        <v>0</v>
      </c>
      <c r="BJ173" s="168">
        <v>0</v>
      </c>
      <c r="BK173" s="168">
        <v>0</v>
      </c>
      <c r="BL173" s="168">
        <v>0</v>
      </c>
      <c r="BM173" s="168">
        <v>0</v>
      </c>
      <c r="BN173" s="168">
        <v>0</v>
      </c>
      <c r="BP173" s="168">
        <f>0</f>
        <v>0</v>
      </c>
      <c r="BQ173" s="168">
        <f>0</f>
        <v>0</v>
      </c>
      <c r="BR173" s="168">
        <f>0</f>
        <v>0</v>
      </c>
      <c r="BS173" s="168">
        <f>0</f>
        <v>0</v>
      </c>
      <c r="BT173" s="168">
        <f>0</f>
        <v>0</v>
      </c>
      <c r="BU173" s="168">
        <f>0</f>
        <v>0</v>
      </c>
      <c r="BV173" s="168">
        <f>0</f>
        <v>0</v>
      </c>
      <c r="BW173" s="168">
        <f>0</f>
        <v>0</v>
      </c>
      <c r="BX173" s="168">
        <f>0</f>
        <v>0</v>
      </c>
      <c r="BY173" s="168">
        <f>0</f>
        <v>0</v>
      </c>
      <c r="BZ173" s="168">
        <f>0</f>
        <v>0</v>
      </c>
      <c r="CA173" s="168">
        <f>0</f>
        <v>0</v>
      </c>
      <c r="CB173" s="168">
        <f>0</f>
        <v>0</v>
      </c>
      <c r="CC173" s="168">
        <f>0</f>
        <v>0</v>
      </c>
      <c r="CD173" s="168">
        <f>0</f>
        <v>0</v>
      </c>
      <c r="CE173" s="168">
        <f>0</f>
        <v>0</v>
      </c>
      <c r="CF173" s="168">
        <f>0</f>
        <v>0</v>
      </c>
      <c r="CG173" s="168">
        <f>0</f>
        <v>0</v>
      </c>
      <c r="CH173" s="168">
        <f>0</f>
        <v>0</v>
      </c>
      <c r="CI173" s="168">
        <f>0</f>
        <v>0</v>
      </c>
      <c r="CJ173" s="168">
        <f>0</f>
        <v>0</v>
      </c>
      <c r="CK173" s="168">
        <f>0</f>
        <v>0</v>
      </c>
      <c r="CL173" s="168">
        <f>0</f>
        <v>0</v>
      </c>
      <c r="CM173" s="168">
        <f>0</f>
        <v>0</v>
      </c>
      <c r="CN173" s="168">
        <f>0</f>
        <v>0</v>
      </c>
      <c r="CO173" s="168">
        <f>0</f>
        <v>0</v>
      </c>
      <c r="CP173" s="168">
        <f>0</f>
        <v>0</v>
      </c>
      <c r="CQ173" s="168">
        <f>0</f>
        <v>0</v>
      </c>
      <c r="CR173" s="168">
        <f>0</f>
        <v>0</v>
      </c>
      <c r="CS173" s="168">
        <f>0</f>
        <v>0</v>
      </c>
      <c r="CT173" s="168">
        <f>0</f>
        <v>0</v>
      </c>
      <c r="CV173" s="168">
        <f>BP173</f>
        <v>0</v>
      </c>
      <c r="CW173" s="168">
        <f t="shared" ref="CW173:DZ173" si="1574">BQ173</f>
        <v>0</v>
      </c>
      <c r="CX173" s="168">
        <f t="shared" si="1574"/>
        <v>0</v>
      </c>
      <c r="CY173" s="168">
        <f t="shared" si="1574"/>
        <v>0</v>
      </c>
      <c r="CZ173" s="168">
        <f t="shared" si="1574"/>
        <v>0</v>
      </c>
      <c r="DA173" s="168">
        <f t="shared" si="1574"/>
        <v>0</v>
      </c>
      <c r="DB173" s="168">
        <f t="shared" si="1574"/>
        <v>0</v>
      </c>
      <c r="DC173" s="168">
        <f t="shared" si="1574"/>
        <v>0</v>
      </c>
      <c r="DD173" s="168">
        <f t="shared" si="1574"/>
        <v>0</v>
      </c>
      <c r="DE173" s="168">
        <f t="shared" si="1574"/>
        <v>0</v>
      </c>
      <c r="DF173" s="168">
        <f t="shared" si="1574"/>
        <v>0</v>
      </c>
      <c r="DG173" s="168">
        <f t="shared" si="1574"/>
        <v>0</v>
      </c>
      <c r="DH173" s="168">
        <f t="shared" si="1574"/>
        <v>0</v>
      </c>
      <c r="DI173" s="168">
        <f t="shared" si="1574"/>
        <v>0</v>
      </c>
      <c r="DJ173" s="168">
        <f t="shared" si="1574"/>
        <v>0</v>
      </c>
      <c r="DK173" s="168">
        <f t="shared" si="1574"/>
        <v>0</v>
      </c>
      <c r="DL173" s="168">
        <f t="shared" si="1574"/>
        <v>0</v>
      </c>
      <c r="DM173" s="168">
        <f t="shared" si="1574"/>
        <v>0</v>
      </c>
      <c r="DN173" s="168">
        <f t="shared" si="1574"/>
        <v>0</v>
      </c>
      <c r="DO173" s="168">
        <f t="shared" si="1574"/>
        <v>0</v>
      </c>
      <c r="DP173" s="168">
        <f t="shared" si="1574"/>
        <v>0</v>
      </c>
      <c r="DQ173" s="168">
        <f t="shared" si="1574"/>
        <v>0</v>
      </c>
      <c r="DR173" s="168">
        <f t="shared" si="1574"/>
        <v>0</v>
      </c>
      <c r="DS173" s="168">
        <f t="shared" si="1574"/>
        <v>0</v>
      </c>
      <c r="DT173" s="168">
        <f t="shared" si="1574"/>
        <v>0</v>
      </c>
      <c r="DU173" s="168">
        <f t="shared" si="1574"/>
        <v>0</v>
      </c>
      <c r="DV173" s="168">
        <f t="shared" si="1574"/>
        <v>0</v>
      </c>
      <c r="DW173" s="168">
        <f t="shared" si="1574"/>
        <v>0</v>
      </c>
      <c r="DX173" s="168">
        <f t="shared" si="1574"/>
        <v>0</v>
      </c>
      <c r="DY173" s="168">
        <f t="shared" si="1574"/>
        <v>0</v>
      </c>
      <c r="DZ173" s="168">
        <f t="shared" si="1574"/>
        <v>0</v>
      </c>
    </row>
    <row r="174" spans="1:165">
      <c r="A174" s="606" t="s">
        <v>459</v>
      </c>
      <c r="C174" s="54" t="s">
        <v>462</v>
      </c>
      <c r="D174" s="168">
        <f>('Butadiene Recycling HC'!C225)/('Butadiene Recycling HC'!C$207)*D$19/SUM(D$19:D$20)</f>
        <v>0.15248026003346374</v>
      </c>
      <c r="E174" s="168">
        <f>('Butadiene Recycling HC'!D225)/('Butadiene Recycling HC'!D$207)*E$19/SUM(E$19:E$20)</f>
        <v>0.15650363081979615</v>
      </c>
      <c r="F174" s="168">
        <f>('Butadiene Recycling HC'!E225)/('Butadiene Recycling HC'!E$207)*F$19/SUM(F$19:F$20)</f>
        <v>0.16045231506746388</v>
      </c>
      <c r="G174" s="168">
        <f>('Butadiene Recycling HC'!F225)/('Butadiene Recycling HC'!F$207)*G$19/SUM(G$19:G$20)</f>
        <v>0.16431980755003062</v>
      </c>
      <c r="H174" s="168">
        <f>('Butadiene Recycling HC'!G225)/('Butadiene Recycling HC'!G$207)*H$19/SUM(H$19:H$20)</f>
        <v>0.16809353253801429</v>
      </c>
      <c r="I174" s="168">
        <f>('Butadiene Recycling HC'!H225)/('Butadiene Recycling HC'!H$207)*I$19/SUM(I$19:I$20)</f>
        <v>0.17174946040032724</v>
      </c>
      <c r="J174" s="168">
        <f>('Butadiene Recycling HC'!I225)/('Butadiene Recycling HC'!I$207)*J$19/SUM(J$19:J$20)</f>
        <v>0.17524240812548059</v>
      </c>
      <c r="K174" s="168">
        <f>('Butadiene Recycling HC'!J225)/('Butadiene Recycling HC'!J$207)*K$19/SUM(K$19:K$20)</f>
        <v>0.17848929421854531</v>
      </c>
      <c r="L174" s="168">
        <f>('Butadiene Recycling HC'!K225)/('Butadiene Recycling HC'!K$207)*L$19/SUM(L$19:L$20)</f>
        <v>0.18134202628160215</v>
      </c>
      <c r="M174" s="168">
        <f>('Butadiene Recycling HC'!L225)/('Butadiene Recycling HC'!L$207)*M$19/SUM(M$19:M$20)</f>
        <v>0.18354782405246953</v>
      </c>
      <c r="N174" s="168">
        <f>('Butadiene Recycling HC'!M225)/('Butadiene Recycling HC'!M$207)*N$19/SUM(N$19:N$20)</f>
        <v>0.18470055170582916</v>
      </c>
      <c r="O174" s="168">
        <f>('Butadiene Recycling HC'!N225)/('Butadiene Recycling HC'!N$207)*O$19/SUM(O$19:O$20)</f>
        <v>0.18420089987281998</v>
      </c>
      <c r="P174" s="168">
        <f>('Butadiene Recycling HC'!O225)/('Butadiene Recycling HC'!O$207)*P$19/SUM(P$19:P$20)</f>
        <v>0.18126613378499606</v>
      </c>
      <c r="Q174" s="168">
        <f>('Butadiene Recycling HC'!P225)/('Butadiene Recycling HC'!P$207)*Q$19/SUM(Q$19:Q$20)</f>
        <v>0.17504735839802088</v>
      </c>
      <c r="R174" s="168">
        <f>('Butadiene Recycling HC'!Q225)/('Butadiene Recycling HC'!Q$207)*R$19/SUM(R$19:R$20)</f>
        <v>0.16488842070593251</v>
      </c>
      <c r="S174" s="168">
        <f>('Butadiene Recycling HC'!R225)/('Butadiene Recycling HC'!R$207)*S$19/SUM(S$19:S$20)</f>
        <v>0.15066564547160349</v>
      </c>
      <c r="T174" s="168">
        <f>('Butadiene Recycling HC'!S225)/('Butadiene Recycling HC'!S$207)*T$19/SUM(T$19:T$20)</f>
        <v>0.13302591623596197</v>
      </c>
      <c r="U174" s="168">
        <f>('Butadiene Recycling HC'!T225)/('Butadiene Recycling HC'!T$207)*U$19/SUM(U$19:U$20)</f>
        <v>0.11332832880561639</v>
      </c>
      <c r="V174" s="168">
        <f>('Butadiene Recycling HC'!U225)/('Butadiene Recycling HC'!U$207)*V$19/SUM(V$19:V$20)</f>
        <v>9.3270296008636511E-2</v>
      </c>
      <c r="W174" s="168">
        <f>('Butadiene Recycling HC'!V225)/('Butadiene Recycling HC'!V$207)*W$19/SUM(W$19:W$20)</f>
        <v>7.4402858208237263E-2</v>
      </c>
      <c r="X174" s="168">
        <f>('Butadiene Recycling HC'!W225)/('Butadiene Recycling HC'!W$207)*X$19/SUM(X$19:X$20)</f>
        <v>5.7789780448794972E-2</v>
      </c>
      <c r="Y174" s="168">
        <f>('Butadiene Recycling HC'!X225)/('Butadiene Recycling HC'!X$207)*Y$19/SUM(Y$19:Y$20)</f>
        <v>4.3919461776638476E-2</v>
      </c>
      <c r="Z174" s="168">
        <f>('Butadiene Recycling HC'!Y225)/('Butadiene Recycling HC'!Y$207)*Z$19/SUM(Z$19:Z$20)</f>
        <v>3.2810678545668319E-2</v>
      </c>
      <c r="AA174" s="168">
        <f>('Butadiene Recycling HC'!Z225)/('Butadiene Recycling HC'!Z$207)*AA$19/SUM(AA$19:AA$20)</f>
        <v>2.419135902073977E-2</v>
      </c>
      <c r="AB174" s="168">
        <f>('Butadiene Recycling HC'!AA225)/('Butadiene Recycling HC'!AA$207)*AB$19/SUM(AB$19:AB$20)</f>
        <v>1.7660534301301628E-2</v>
      </c>
      <c r="AC174" s="168">
        <f>('Butadiene Recycling HC'!AB225)/('Butadiene Recycling HC'!AB$207)*AC$19/SUM(AC$19:AC$20)</f>
        <v>1.2798166353388665E-2</v>
      </c>
      <c r="AD174" s="168">
        <f>('Butadiene Recycling HC'!AC225)/('Butadiene Recycling HC'!AC$207)*AD$19/SUM(AD$19:AD$20)</f>
        <v>9.2241660149702132E-3</v>
      </c>
      <c r="AE174" s="168">
        <f>('Butadiene Recycling HC'!AD225)/('Butadiene Recycling HC'!AD$207)*AE$19/SUM(AE$19:AE$20)</f>
        <v>6.6215852653717204E-3</v>
      </c>
      <c r="AF174" s="168">
        <f>('Butadiene Recycling HC'!AE225)/('Butadiene Recycling HC'!AE$207)*AF$19/SUM(AF$19:AF$20)</f>
        <v>4.7392125873840065E-3</v>
      </c>
      <c r="AG174" s="168">
        <f>('Butadiene Recycling HC'!AF225)/('Butadiene Recycling HC'!AF$207)*AG$19/SUM(AG$19:AG$20)</f>
        <v>3.3844547148829548E-3</v>
      </c>
      <c r="AH174" s="168">
        <f>('Butadiene Recycling HC'!AG225)/('Butadiene Recycling HC'!AG$207)*AH$19/SUM(AH$19:AH$20)</f>
        <v>2.4129394445614695E-3</v>
      </c>
      <c r="AI174" s="44"/>
      <c r="AJ174" s="168">
        <f>('Butadiene Recycling LC'!C225)/('Butadiene Recycling LC'!C$207)*AJ$19/SUM(AJ$19:AJ$20)</f>
        <v>0.15248026003346374</v>
      </c>
      <c r="AK174" s="168">
        <f>('Butadiene Recycling LC'!D225)/('Butadiene Recycling LC'!D$207)*AK$19/SUM(AK$19:AK$20)</f>
        <v>0.15650363081979618</v>
      </c>
      <c r="AL174" s="168">
        <f>('Butadiene Recycling LC'!E225)/('Butadiene Recycling LC'!E$207)*AL$19/SUM(AL$19:AL$20)</f>
        <v>0.16045231506746388</v>
      </c>
      <c r="AM174" s="168">
        <f>('Butadiene Recycling LC'!F225)/('Butadiene Recycling LC'!F$207)*AM$19/SUM(AM$19:AM$20)</f>
        <v>0.16431980755003062</v>
      </c>
      <c r="AN174" s="168">
        <f>('Butadiene Recycling LC'!G225)/('Butadiene Recycling LC'!G$207)*AN$19/SUM(AN$19:AN$20)</f>
        <v>0.16809353253801429</v>
      </c>
      <c r="AO174" s="168">
        <f>('Butadiene Recycling LC'!H225)/('Butadiene Recycling LC'!H$207)*AO$19/SUM(AO$19:AO$20)</f>
        <v>0.17174946040032726</v>
      </c>
      <c r="AP174" s="168">
        <f>('Butadiene Recycling LC'!I225)/('Butadiene Recycling LC'!I$207)*AP$19/SUM(AP$19:AP$20)</f>
        <v>0.17524240812548059</v>
      </c>
      <c r="AQ174" s="168">
        <f>('Butadiene Recycling LC'!J225)/('Butadiene Recycling LC'!J$207)*AQ$19/SUM(AQ$19:AQ$20)</f>
        <v>0.17848929421854529</v>
      </c>
      <c r="AR174" s="168">
        <f>('Butadiene Recycling LC'!K225)/('Butadiene Recycling LC'!K$207)*AR$19/SUM(AR$19:AR$20)</f>
        <v>0.18134202628160215</v>
      </c>
      <c r="AS174" s="168">
        <f>('Butadiene Recycling LC'!L225)/('Butadiene Recycling LC'!L$207)*AS$19/SUM(AS$19:AS$20)</f>
        <v>0.18354782405246953</v>
      </c>
      <c r="AT174" s="168">
        <f>('Butadiene Recycling LC'!M225)/('Butadiene Recycling LC'!M$207)*AT$19/SUM(AT$19:AT$20)</f>
        <v>0.18470055170582922</v>
      </c>
      <c r="AU174" s="168">
        <f>('Butadiene Recycling LC'!N225)/('Butadiene Recycling LC'!N$207)*AU$19/SUM(AU$19:AU$20)</f>
        <v>0.18420089987281998</v>
      </c>
      <c r="AV174" s="168">
        <f>('Butadiene Recycling LC'!O225)/('Butadiene Recycling LC'!O$207)*AV$19/SUM(AV$19:AV$20)</f>
        <v>0.18126613378499606</v>
      </c>
      <c r="AW174" s="168">
        <f>('Butadiene Recycling LC'!P225)/('Butadiene Recycling LC'!P$207)*AW$19/SUM(AW$19:AW$20)</f>
        <v>0.17504735839802085</v>
      </c>
      <c r="AX174" s="168">
        <f>('Butadiene Recycling LC'!Q225)/('Butadiene Recycling LC'!Q$207)*AX$19/SUM(AX$19:AX$20)</f>
        <v>0.16488842070593251</v>
      </c>
      <c r="AY174" s="168">
        <f>('Butadiene Recycling LC'!R225)/('Butadiene Recycling LC'!R$207)*AY$19/SUM(AY$19:AY$20)</f>
        <v>0.15066564547160349</v>
      </c>
      <c r="AZ174" s="168">
        <f>('Butadiene Recycling LC'!S225)/('Butadiene Recycling LC'!S$207)*AZ$19/SUM(AZ$19:AZ$20)</f>
        <v>0.13302591623596197</v>
      </c>
      <c r="BA174" s="168">
        <f>('Butadiene Recycling LC'!T225)/('Butadiene Recycling LC'!T$207)*BA$19/SUM(BA$19:BA$20)</f>
        <v>0.11332832880561639</v>
      </c>
      <c r="BB174" s="168">
        <f>('Butadiene Recycling LC'!U225)/('Butadiene Recycling LC'!U$207)*BB$19/SUM(BB$19:BB$20)</f>
        <v>9.3270296008636511E-2</v>
      </c>
      <c r="BC174" s="168">
        <f>('Butadiene Recycling LC'!V225)/('Butadiene Recycling LC'!V$207)*BC$19/SUM(BC$19:BC$20)</f>
        <v>7.4402858208237263E-2</v>
      </c>
      <c r="BD174" s="168">
        <f>('Butadiene Recycling LC'!W225)/('Butadiene Recycling LC'!W$207)*BD$19/SUM(BD$19:BD$20)</f>
        <v>5.7789780448794972E-2</v>
      </c>
      <c r="BE174" s="168">
        <f>('Butadiene Recycling LC'!X225)/('Butadiene Recycling LC'!X$207)*BE$19/SUM(BE$19:BE$20)</f>
        <v>4.3919461776638469E-2</v>
      </c>
      <c r="BF174" s="168">
        <f>('Butadiene Recycling LC'!Y225)/('Butadiene Recycling LC'!Y$207)*BF$19/SUM(BF$19:BF$20)</f>
        <v>3.2810678545668319E-2</v>
      </c>
      <c r="BG174" s="168">
        <f>('Butadiene Recycling LC'!Z225)/('Butadiene Recycling LC'!Z$207)*BG$19/SUM(BG$19:BG$20)</f>
        <v>2.4191359020739774E-2</v>
      </c>
      <c r="BH174" s="168">
        <f>('Butadiene Recycling LC'!AA225)/('Butadiene Recycling LC'!AA$207)*BH$19/SUM(BH$19:BH$20)</f>
        <v>1.7660534301301632E-2</v>
      </c>
      <c r="BI174" s="168">
        <f>('Butadiene Recycling LC'!AB225)/('Butadiene Recycling LC'!AB$207)*BI$19/SUM(BI$19:BI$20)</f>
        <v>1.2798166353388667E-2</v>
      </c>
      <c r="BJ174" s="168">
        <f>('Butadiene Recycling LC'!AC225)/('Butadiene Recycling LC'!AC$207)*BJ$19/SUM(BJ$19:BJ$20)</f>
        <v>9.2241660149702132E-3</v>
      </c>
      <c r="BK174" s="168">
        <f>('Butadiene Recycling LC'!AD225)/('Butadiene Recycling LC'!AD$207)*BK$19/SUM(BK$19:BK$20)</f>
        <v>6.6215852653717204E-3</v>
      </c>
      <c r="BL174" s="168">
        <f>('Butadiene Recycling LC'!AE225)/('Butadiene Recycling LC'!AE$207)*BL$19/SUM(BL$19:BL$20)</f>
        <v>4.7392125873840056E-3</v>
      </c>
      <c r="BM174" s="168">
        <f>('Butadiene Recycling LC'!AF225)/('Butadiene Recycling LC'!AF$207)*BM$19/SUM(BM$19:BM$20)</f>
        <v>3.3844547148829548E-3</v>
      </c>
      <c r="BN174" s="168">
        <f>('Butadiene Recycling LC'!AG225)/('Butadiene Recycling LC'!AG$207)*BN$19/SUM(BN$19:BN$20)</f>
        <v>2.4129394445614695E-3</v>
      </c>
      <c r="BP174" s="168">
        <f>('Butadiene Recycling HC'!C201)/('Butadiene Recycling HC'!C$197)*BP$19/SUM(BP$19:BP$20)</f>
        <v>0.15248728796407754</v>
      </c>
      <c r="BQ174" s="168">
        <f>('Butadiene Recycling HC'!D201)/('Butadiene Recycling HC'!D$197)*BQ$19/SUM(BQ$19:BQ$20)</f>
        <v>0.15458077103558787</v>
      </c>
      <c r="BR174" s="168">
        <f>('Butadiene Recycling HC'!E201)/('Butadiene Recycling HC'!E$197)*BR$19/SUM(BR$19:BR$20)</f>
        <v>0.15665582461126459</v>
      </c>
      <c r="BS174" s="168">
        <f>('Butadiene Recycling HC'!F201)/('Butadiene Recycling HC'!F$197)*BS$19/SUM(BS$19:BS$20)</f>
        <v>0.15871249303100698</v>
      </c>
      <c r="BT174" s="168">
        <f>('Butadiene Recycling HC'!G201)/('Butadiene Recycling HC'!G$197)*BT$19/SUM(BT$19:BT$20)</f>
        <v>0.16075068618641961</v>
      </c>
      <c r="BU174" s="168">
        <f>('Butadiene Recycling HC'!H201)/('Butadiene Recycling HC'!H$197)*BU$19/SUM(BU$19:BU$20)</f>
        <v>0.1627701781621104</v>
      </c>
      <c r="BV174" s="168">
        <f>('Butadiene Recycling HC'!I201)/('Butadiene Recycling HC'!I$197)*BV$19/SUM(BV$19:BV$20)</f>
        <v>0.16478702887049876</v>
      </c>
      <c r="BW174" s="168">
        <f>('Butadiene Recycling HC'!J201)/('Butadiene Recycling HC'!J$197)*BW$19/SUM(BW$19:BW$20)</f>
        <v>0.16680115894868175</v>
      </c>
      <c r="BX174" s="168">
        <f>('Butadiene Recycling HC'!K201)/('Butadiene Recycling HC'!K$197)*BX$19/SUM(BX$19:BX$20)</f>
        <v>0.16881248626980344</v>
      </c>
      <c r="BY174" s="168">
        <f>('Butadiene Recycling HC'!L201)/('Butadiene Recycling HC'!L$197)*BY$19/SUM(BY$19:BY$20)</f>
        <v>0.17082092573607746</v>
      </c>
      <c r="BZ174" s="168">
        <f>('Butadiene Recycling HC'!M201)/('Butadiene Recycling HC'!M$197)*BZ$19/SUM(BZ$19:BZ$20)</f>
        <v>0.17282638906673328</v>
      </c>
      <c r="CA174" s="168">
        <f>('Butadiene Recycling HC'!N201)/('Butadiene Recycling HC'!N$197)*CA$19/SUM(CA$19:CA$20)</f>
        <v>0.17481745862062081</v>
      </c>
      <c r="CB174" s="168">
        <f>('Butadiene Recycling HC'!O201)/('Butadiene Recycling HC'!O$197)*CB$19/SUM(CB$19:CB$20)</f>
        <v>0.17679367343565988</v>
      </c>
      <c r="CC174" s="168">
        <f>('Butadiene Recycling HC'!P201)/('Butadiene Recycling HC'!P$197)*CC$19/SUM(CC$19:CC$20)</f>
        <v>0.17875448745985223</v>
      </c>
      <c r="CD174" s="168">
        <f>('Butadiene Recycling HC'!Q201)/('Butadiene Recycling HC'!Q$197)*CD$19/SUM(CD$19:CD$20)</f>
        <v>0.18069926406294756</v>
      </c>
      <c r="CE174" s="168">
        <f>('Butadiene Recycling HC'!R201)/('Butadiene Recycling HC'!R$197)*CE$19/SUM(CE$19:CE$20)</f>
        <v>0.18262726964331688</v>
      </c>
      <c r="CF174" s="168">
        <f>('Butadiene Recycling HC'!S201)/('Butadiene Recycling HC'!S$197)*CF$19/SUM(CF$19:CF$20)</f>
        <v>0.1845530050473014</v>
      </c>
      <c r="CG174" s="168">
        <f>('Butadiene Recycling HC'!T201)/('Butadiene Recycling HC'!T$197)*CG$19/SUM(CG$19:CG$20)</f>
        <v>0.18647641196867024</v>
      </c>
      <c r="CH174" s="168">
        <f>('Butadiene Recycling HC'!U201)/('Butadiene Recycling HC'!U$197)*CH$19/SUM(CH$19:CH$20)</f>
        <v>0.18839743074397866</v>
      </c>
      <c r="CI174" s="168">
        <f>('Butadiene Recycling HC'!V201)/('Butadiene Recycling HC'!V$197)*CI$19/SUM(CI$19:CI$20)</f>
        <v>0.1903160003112275</v>
      </c>
      <c r="CJ174" s="168">
        <f>('Butadiene Recycling HC'!W201)/('Butadiene Recycling HC'!W$197)*CJ$19/SUM(CJ$19:CJ$20)</f>
        <v>0.19223205816731972</v>
      </c>
      <c r="CK174" s="168">
        <f>('Butadiene Recycling HC'!X201)/('Butadiene Recycling HC'!X$197)*CK$19/SUM(CK$19:CK$20)</f>
        <v>0.19414564225557915</v>
      </c>
      <c r="CL174" s="168">
        <f>('Butadiene Recycling HC'!Y201)/('Butadiene Recycling HC'!Y$197)*CL$19/SUM(CL$19:CL$20)</f>
        <v>0.19605669236047046</v>
      </c>
      <c r="CM174" s="168">
        <f>('Butadiene Recycling HC'!Z201)/('Butadiene Recycling HC'!Z$197)*CM$19/SUM(CM$19:CM$20)</f>
        <v>0.19796514687583699</v>
      </c>
      <c r="CN174" s="168">
        <f>('Butadiene Recycling HC'!AA201)/('Butadiene Recycling HC'!AA$197)*CN$19/SUM(CN$19:CN$20)</f>
        <v>0.19987094276481812</v>
      </c>
      <c r="CO174" s="168">
        <f>('Butadiene Recycling HC'!AB201)/('Butadiene Recycling HC'!AB$197)*CO$19/SUM(CO$19:CO$20)</f>
        <v>0.20177401551862392</v>
      </c>
      <c r="CP174" s="168">
        <f>('Butadiene Recycling HC'!AC201)/('Butadiene Recycling HC'!AC$197)*CP$19/SUM(CP$19:CP$20)</f>
        <v>0.20367439421372305</v>
      </c>
      <c r="CQ174" s="168">
        <f>('Butadiene Recycling HC'!AD201)/('Butadiene Recycling HC'!AD$197)*CQ$19/SUM(CQ$19:CQ$20)</f>
        <v>0.20557201619428081</v>
      </c>
      <c r="CR174" s="168">
        <f>('Butadiene Recycling HC'!AE201)/('Butadiene Recycling HC'!AE$197)*CR$19/SUM(CR$19:CR$20)</f>
        <v>0.20746681737316039</v>
      </c>
      <c r="CS174" s="168">
        <f>('Butadiene Recycling HC'!AF201)/('Butadiene Recycling HC'!AF$197)*CS$19/SUM(CS$19:CS$20)</f>
        <v>0.20935873219254944</v>
      </c>
      <c r="CT174" s="168">
        <f>('Butadiene Recycling HC'!AG201)/('Butadiene Recycling HC'!AG$197)*CT$19/SUM(CT$19:CT$20)</f>
        <v>0.21124769358348838</v>
      </c>
      <c r="CV174" s="168">
        <f>AJ174*(1-SUM(CV$34:CV$35))/(1-SUM(AJ$34:AJ$35))</f>
        <v>0.15248026003346374</v>
      </c>
      <c r="CW174" s="168">
        <f t="shared" ref="CW174:CW180" si="1575">AK174*(1-SUM(CW$34:CW$35))/(1-SUM(AK$34:AK$35))</f>
        <v>0.15650363081979615</v>
      </c>
      <c r="CX174" s="168">
        <f t="shared" ref="CX174:CX180" si="1576">AL174*(1-SUM(CX$34:CX$35))/(1-SUM(AL$34:AL$35))</f>
        <v>0.16045231506746388</v>
      </c>
      <c r="CY174" s="168">
        <f t="shared" ref="CY174:CY180" si="1577">AM174*(1-SUM(CY$34:CY$35))/(1-SUM(AM$34:AM$35))</f>
        <v>0.16431980755003062</v>
      </c>
      <c r="CZ174" s="168">
        <f t="shared" ref="CZ174:CZ180" si="1578">AN174*(1-SUM(CZ$34:CZ$35))/(1-SUM(AN$34:AN$35))</f>
        <v>0.16809353253801429</v>
      </c>
      <c r="DA174" s="168">
        <f t="shared" ref="DA174:DA180" si="1579">AO174*(1-SUM(DA$34:DA$35))/(1-SUM(AO$34:AO$35))</f>
        <v>0.17174946040032726</v>
      </c>
      <c r="DB174" s="168">
        <f t="shared" ref="DB174:DB180" si="1580">AP174*(1-SUM(DB$34:DB$35))/(1-SUM(AP$34:AP$35))</f>
        <v>0.17524240812548059</v>
      </c>
      <c r="DC174" s="168">
        <f t="shared" ref="DC174:DC180" si="1581">AQ174*(1-SUM(DC$34:DC$35))/(1-SUM(AQ$34:AQ$35))</f>
        <v>0.17848929421854529</v>
      </c>
      <c r="DD174" s="168">
        <f t="shared" ref="DD174:DD180" si="1582">AR174*(1-SUM(DD$34:DD$35))/(1-SUM(AR$34:AR$35))</f>
        <v>0.18134202628160215</v>
      </c>
      <c r="DE174" s="168">
        <f t="shared" ref="DE174:DE180" si="1583">AS174*(1-SUM(DE$34:DE$35))/(1-SUM(AS$34:AS$35))</f>
        <v>0.18354782405246953</v>
      </c>
      <c r="DF174" s="168">
        <f t="shared" ref="DF174:DF180" si="1584">AT174*(1-SUM(DF$34:DF$35))/(1-SUM(AT$34:AT$35))</f>
        <v>0.18470055170582922</v>
      </c>
      <c r="DG174" s="168">
        <f t="shared" ref="DG174:DG180" si="1585">AU174*(1-SUM(DG$34:DG$35))/(1-SUM(AU$34:AU$35))</f>
        <v>0.18420089987281998</v>
      </c>
      <c r="DH174" s="168">
        <f t="shared" ref="DH174:DH180" si="1586">AV174*(1-SUM(DH$34:DH$35))/(1-SUM(AV$34:AV$35))</f>
        <v>0.18126613378499606</v>
      </c>
      <c r="DI174" s="168">
        <f t="shared" ref="DI174:DI180" si="1587">AW174*(1-SUM(DI$34:DI$35))/(1-SUM(AW$34:AW$35))</f>
        <v>0.17504661140231542</v>
      </c>
      <c r="DJ174" s="168">
        <f t="shared" ref="DJ174:DJ180" si="1588">AX174*(1-SUM(DJ$34:DJ$35))/(1-SUM(AX$34:AX$35))</f>
        <v>0.16488690866265587</v>
      </c>
      <c r="DK174" s="168">
        <f t="shared" ref="DK174:DK180" si="1589">AY174*(1-SUM(DK$34:DK$35))/(1-SUM(AY$34:AY$35))</f>
        <v>0.15066342228141621</v>
      </c>
      <c r="DL174" s="168">
        <f t="shared" ref="DL174:DL180" si="1590">AZ174*(1-SUM(DL$34:DL$35))/(1-SUM(AZ$34:AZ$35))</f>
        <v>0.13302311279360265</v>
      </c>
      <c r="DM174" s="168">
        <f t="shared" ref="DM174:DM180" si="1591">BA174*(1-SUM(DM$34:DM$35))/(1-SUM(BA$34:BA$35))</f>
        <v>0.11332513649540778</v>
      </c>
      <c r="DN174" s="168">
        <f t="shared" ref="DN174:DN180" si="1592">BB174*(1-SUM(DN$34:DN$35))/(1-SUM(BB$34:BB$35))</f>
        <v>9.326693118197818E-2</v>
      </c>
      <c r="DO174" s="168">
        <f t="shared" ref="DO174:DO180" si="1593">BC174*(1-SUM(DO$34:DO$35))/(1-SUM(BC$34:BC$35))</f>
        <v>7.4399522988885441E-2</v>
      </c>
      <c r="DP174" s="168">
        <f t="shared" ref="DP174:DP180" si="1594">BD174*(1-SUM(DP$34:DP$35))/(1-SUM(BD$34:BD$35))</f>
        <v>5.778663406034338E-2</v>
      </c>
      <c r="DQ174" s="168">
        <f t="shared" ref="DQ174:DQ180" si="1595">BE174*(1-SUM(DQ$34:DQ$35))/(1-SUM(BE$34:BE$35))</f>
        <v>4.3916495884701152E-2</v>
      </c>
      <c r="DR174" s="168">
        <f t="shared" ref="DR174:DR180" si="1596">BF174*(1-SUM(DR$34:DR$35))/(1-SUM(BF$34:BF$35))</f>
        <v>3.2807974762984429E-2</v>
      </c>
      <c r="DS174" s="168">
        <f t="shared" ref="DS174:DS180" si="1597">BG174*(1-SUM(DS$34:DS$35))/(1-SUM(BG$34:BG$35))</f>
        <v>2.4188303857598275E-2</v>
      </c>
      <c r="DT174" s="168">
        <f t="shared" ref="DT174:DT180" si="1598">BH174*(1-SUM(DT$34:DT$35))/(1-SUM(BH$34:BH$35))</f>
        <v>1.7657403295055475E-2</v>
      </c>
      <c r="DU174" s="168">
        <f t="shared" ref="DU174:DU180" si="1599">BI174*(1-SUM(DU$34:DU$35))/(1-SUM(BI$34:BI$35))</f>
        <v>1.2795144326222635E-2</v>
      </c>
      <c r="DV174" s="168">
        <f t="shared" ref="DV174:DV180" si="1600">BJ174*(1-SUM(DV$34:DV$35))/(1-SUM(BJ$34:BJ$35))</f>
        <v>9.2213644054221656E-3</v>
      </c>
      <c r="DW174" s="168">
        <f t="shared" ref="DW174:DW180" si="1601">BK174*(1-SUM(DW$34:DW$35))/(1-SUM(BK$34:BK$35))</f>
        <v>6.6190609801703116E-3</v>
      </c>
      <c r="DX174" s="168">
        <f t="shared" ref="DX174:DX180" si="1602">BL174*(1-SUM(DX$34:DX$35))/(1-SUM(BL$34:BL$35))</f>
        <v>4.7369848998788967E-3</v>
      </c>
      <c r="DY174" s="168">
        <f t="shared" ref="DY174:DY180" si="1603">BM174*(1-SUM(DY$34:DY$35))/(1-SUM(BM$34:BM$35))</f>
        <v>3.3825189247197215E-3</v>
      </c>
      <c r="DZ174" s="168">
        <f t="shared" ref="DZ174:DZ180" si="1604">BN174*(1-SUM(DZ$34:DZ$35))/(1-SUM(BN$34:BN$35))</f>
        <v>2.4112771038439741E-3</v>
      </c>
    </row>
    <row r="175" spans="1:165">
      <c r="A175" s="606" t="s">
        <v>460</v>
      </c>
      <c r="C175" s="54" t="s">
        <v>462</v>
      </c>
      <c r="D175" s="168">
        <f>('Butadiene Recycling HC'!C225)/('Butadiene Recycling HC'!C$207)*D$20/SUM(D$19:D$20)</f>
        <v>7.027930613807912E-6</v>
      </c>
      <c r="E175" s="168">
        <f>('Butadiene Recycling HC'!D225)/('Butadiene Recycling HC'!D$207)*E$20/SUM(E$19:E$20)</f>
        <v>1.3968819280992111E-5</v>
      </c>
      <c r="F175" s="168">
        <f>('Butadiene Recycling HC'!E225)/('Butadiene Recycling HC'!E$207)*F$20/SUM(F$19:F$20)</f>
        <v>2.7686703141825894E-5</v>
      </c>
      <c r="G175" s="168">
        <f>('Butadiene Recycling HC'!F225)/('Butadiene Recycling HC'!F$207)*G$20/SUM(G$19:G$20)</f>
        <v>5.4686808632413943E-5</v>
      </c>
      <c r="H175" s="168">
        <f>('Butadiene Recycling HC'!G225)/('Butadiene Recycling HC'!G$207)*H$20/SUM(H$19:H$20)</f>
        <v>1.0754486523493688E-4</v>
      </c>
      <c r="I175" s="168">
        <f>('Butadiene Recycling HC'!H225)/('Butadiene Recycling HC'!H$207)*I$20/SUM(I$19:I$20)</f>
        <v>2.1029050403697917E-4</v>
      </c>
      <c r="J175" s="168">
        <f>('Butadiene Recycling HC'!I225)/('Butadiene Recycling HC'!I$207)*J$20/SUM(J$19:J$20)</f>
        <v>4.0810673652752981E-4</v>
      </c>
      <c r="K175" s="168">
        <f>('Butadiene Recycling HC'!J225)/('Butadiene Recycling HC'!J$207)*K$20/SUM(K$19:K$20)</f>
        <v>7.8407505763553671E-4</v>
      </c>
      <c r="L175" s="168">
        <f>('Butadiene Recycling HC'!K225)/('Butadiene Recycling HC'!K$207)*L$20/SUM(L$19:L$20)</f>
        <v>1.4862878652802335E-3</v>
      </c>
      <c r="M175" s="168">
        <f>('Butadiene Recycling HC'!L225)/('Butadiene Recycling HC'!L$207)*M$20/SUM(M$19:M$20)</f>
        <v>2.7675254216433017E-3</v>
      </c>
      <c r="N175" s="168">
        <f>('Butadiene Recycling HC'!M225)/('Butadiene Recycling HC'!M$207)*N$20/SUM(N$19:N$20)</f>
        <v>5.0339235520428464E-3</v>
      </c>
      <c r="O175" s="168">
        <f>('Butadiene Recycling HC'!N225)/('Butadiene Recycling HC'!N$207)*O$20/SUM(O$19:O$20)</f>
        <v>8.8847916253401715E-3</v>
      </c>
      <c r="P175" s="168">
        <f>('Butadiene Recycling HC'!O225)/('Butadiene Recycling HC'!O$207)*P$20/SUM(P$19:P$20)</f>
        <v>1.5102864409981008E-2</v>
      </c>
      <c r="Q175" s="168">
        <f>('Butadiene Recycling HC'!P225)/('Butadiene Recycling HC'!P$207)*Q$20/SUM(Q$19:Q$20)</f>
        <v>2.4537036950302026E-2</v>
      </c>
      <c r="R175" s="168">
        <f>('Butadiene Recycling HC'!Q225)/('Butadiene Recycling HC'!Q$207)*R$20/SUM(R$19:R$20)</f>
        <v>3.7843462252264988E-2</v>
      </c>
      <c r="S175" s="168">
        <f>('Butadiene Recycling HC'!R225)/('Butadiene Recycling HC'!R$207)*S$20/SUM(S$19:S$20)</f>
        <v>5.5145815552997475E-2</v>
      </c>
      <c r="T175" s="168">
        <f>('Butadiene Recycling HC'!S225)/('Butadiene Recycling HC'!S$207)*T$20/SUM(T$19:T$20)</f>
        <v>7.5797213311571313E-2</v>
      </c>
      <c r="U175" s="168">
        <f>('Butadiene Recycling HC'!T225)/('Butadiene Recycling HC'!T$207)*U$20/SUM(U$19:U$20)</f>
        <v>9.8438559721378077E-2</v>
      </c>
      <c r="V175" s="168">
        <f>('Butadiene Recycling HC'!U225)/('Butadiene Recycling HC'!U$207)*V$20/SUM(V$19:V$20)</f>
        <v>0.12137244195434795</v>
      </c>
      <c r="W175" s="168">
        <f>('Butadiene Recycling HC'!V225)/('Butadiene Recycling HC'!V$207)*W$20/SUM(W$19:W$20)</f>
        <v>0.14304781964726607</v>
      </c>
      <c r="X175" s="168">
        <f>('Butadiene Recycling HC'!W225)/('Butadiene Recycling HC'!W$207)*X$20/SUM(X$19:X$20)</f>
        <v>0.16240092775575607</v>
      </c>
      <c r="Y175" s="168">
        <f>('Butadiene Recycling HC'!X225)/('Butadiene Recycling HC'!X$207)*Y$20/SUM(Y$19:Y$20)</f>
        <v>0.17894336723348911</v>
      </c>
      <c r="Z175" s="168">
        <f>('Butadiene Recycling HC'!Y225)/('Butadiene Recycling HC'!Y$207)*Z$20/SUM(Z$19:Z$20)</f>
        <v>0.1926563617265647</v>
      </c>
      <c r="AA175" s="168">
        <f>('Butadiene Recycling HC'!Z225)/('Butadiene Recycling HC'!Z$207)*AA$20/SUM(AA$19:AA$20)</f>
        <v>0.20381198297012748</v>
      </c>
      <c r="AB175" s="168">
        <f>('Butadiene Recycling HC'!AA225)/('Butadiene Recycling HC'!AA$207)*AB$20/SUM(AB$19:AB$20)</f>
        <v>0.21281119986472874</v>
      </c>
      <c r="AC175" s="168">
        <f>('Butadiene Recycling HC'!AB225)/('Butadiene Recycling HC'!AB$207)*AC$20/SUM(AC$19:AC$20)</f>
        <v>0.22007405044433362</v>
      </c>
      <c r="AD175" s="168">
        <f>('Butadiene Recycling HC'!AC225)/('Butadiene Recycling HC'!AC$207)*AD$20/SUM(AD$19:AD$20)</f>
        <v>0.22598062387097284</v>
      </c>
      <c r="AE175" s="168">
        <f>('Butadiene Recycling HC'!AD225)/('Butadiene Recycling HC'!AD$207)*AE$20/SUM(AE$19:AE$20)</f>
        <v>0.23084786816532094</v>
      </c>
      <c r="AF175" s="168">
        <f>('Butadiene Recycling HC'!AE225)/('Butadiene Recycling HC'!AE$207)*AF$20/SUM(AF$19:AF$20)</f>
        <v>0.23492699484458715</v>
      </c>
      <c r="AG175" s="168">
        <f>('Butadiene Recycling HC'!AF225)/('Butadiene Recycling HC'!AF$207)*AG$20/SUM(AG$19:AG$20)</f>
        <v>0.23841059717489543</v>
      </c>
      <c r="AH175" s="168">
        <f>('Butadiene Recycling HC'!AG225)/('Butadiene Recycling HC'!AG$207)*AH$20/SUM(AH$19:AH$20)</f>
        <v>0.24144304735955294</v>
      </c>
      <c r="AI175" s="44"/>
      <c r="AJ175" s="168">
        <f>('Butadiene Recycling LC'!C225)/('Butadiene Recycling LC'!C$207)*AJ$20/SUM(AJ$19:AJ$20)</f>
        <v>7.0279306138079111E-6</v>
      </c>
      <c r="AK175" s="168">
        <f>('Butadiene Recycling LC'!D225)/('Butadiene Recycling LC'!D$207)*AK$20/SUM(AK$19:AK$20)</f>
        <v>1.3968819280992112E-5</v>
      </c>
      <c r="AL175" s="168">
        <f>('Butadiene Recycling LC'!E225)/('Butadiene Recycling LC'!E$207)*AL$20/SUM(AL$19:AL$20)</f>
        <v>2.7686703141825894E-5</v>
      </c>
      <c r="AM175" s="168">
        <f>('Butadiene Recycling LC'!F225)/('Butadiene Recycling LC'!F$207)*AM$20/SUM(AM$19:AM$20)</f>
        <v>5.468680863241395E-5</v>
      </c>
      <c r="AN175" s="168">
        <f>('Butadiene Recycling LC'!G225)/('Butadiene Recycling LC'!G$207)*AN$20/SUM(AN$19:AN$20)</f>
        <v>1.0754486523493689E-4</v>
      </c>
      <c r="AO175" s="168">
        <f>('Butadiene Recycling LC'!H225)/('Butadiene Recycling LC'!H$207)*AO$20/SUM(AO$19:AO$20)</f>
        <v>2.1029050403697917E-4</v>
      </c>
      <c r="AP175" s="168">
        <f>('Butadiene Recycling LC'!I225)/('Butadiene Recycling LC'!I$207)*AP$20/SUM(AP$19:AP$20)</f>
        <v>4.0810673652752981E-4</v>
      </c>
      <c r="AQ175" s="168">
        <f>('Butadiene Recycling LC'!J225)/('Butadiene Recycling LC'!J$207)*AQ$20/SUM(AQ$19:AQ$20)</f>
        <v>7.8407505763553671E-4</v>
      </c>
      <c r="AR175" s="168">
        <f>('Butadiene Recycling LC'!K225)/('Butadiene Recycling LC'!K$207)*AR$20/SUM(AR$19:AR$20)</f>
        <v>1.4862878652802337E-3</v>
      </c>
      <c r="AS175" s="168">
        <f>('Butadiene Recycling LC'!L225)/('Butadiene Recycling LC'!L$207)*AS$20/SUM(AS$19:AS$20)</f>
        <v>2.7675254216433017E-3</v>
      </c>
      <c r="AT175" s="168">
        <f>('Butadiene Recycling LC'!M225)/('Butadiene Recycling LC'!M$207)*AT$20/SUM(AT$19:AT$20)</f>
        <v>5.0339235520428472E-3</v>
      </c>
      <c r="AU175" s="168">
        <f>('Butadiene Recycling LC'!N225)/('Butadiene Recycling LC'!N$207)*AU$20/SUM(AU$19:AU$20)</f>
        <v>8.8847916253401715E-3</v>
      </c>
      <c r="AV175" s="168">
        <f>('Butadiene Recycling LC'!O225)/('Butadiene Recycling LC'!O$207)*AV$20/SUM(AV$19:AV$20)</f>
        <v>1.5102864409981008E-2</v>
      </c>
      <c r="AW175" s="168">
        <f>('Butadiene Recycling LC'!P225)/('Butadiene Recycling LC'!P$207)*AW$20/SUM(AW$19:AW$20)</f>
        <v>2.4537036950302023E-2</v>
      </c>
      <c r="AX175" s="168">
        <f>('Butadiene Recycling LC'!Q225)/('Butadiene Recycling LC'!Q$207)*AX$20/SUM(AX$19:AX$20)</f>
        <v>3.7843462252264988E-2</v>
      </c>
      <c r="AY175" s="168">
        <f>('Butadiene Recycling LC'!R225)/('Butadiene Recycling LC'!R$207)*AY$20/SUM(AY$19:AY$20)</f>
        <v>5.5145815552997489E-2</v>
      </c>
      <c r="AZ175" s="168">
        <f>('Butadiene Recycling LC'!S225)/('Butadiene Recycling LC'!S$207)*AZ$20/SUM(AZ$19:AZ$20)</f>
        <v>7.5797213311571299E-2</v>
      </c>
      <c r="BA175" s="168">
        <f>('Butadiene Recycling LC'!T225)/('Butadiene Recycling LC'!T$207)*BA$20/SUM(BA$19:BA$20)</f>
        <v>9.8438559721378077E-2</v>
      </c>
      <c r="BB175" s="168">
        <f>('Butadiene Recycling LC'!U225)/('Butadiene Recycling LC'!U$207)*BB$20/SUM(BB$19:BB$20)</f>
        <v>0.12137244195434796</v>
      </c>
      <c r="BC175" s="168">
        <f>('Butadiene Recycling LC'!V225)/('Butadiene Recycling LC'!V$207)*BC$20/SUM(BC$19:BC$20)</f>
        <v>0.14304781964726607</v>
      </c>
      <c r="BD175" s="168">
        <f>('Butadiene Recycling LC'!W225)/('Butadiene Recycling LC'!W$207)*BD$20/SUM(BD$19:BD$20)</f>
        <v>0.1624009277557561</v>
      </c>
      <c r="BE175" s="168">
        <f>('Butadiene Recycling LC'!X225)/('Butadiene Recycling LC'!X$207)*BE$20/SUM(BE$19:BE$20)</f>
        <v>0.17894336723348908</v>
      </c>
      <c r="BF175" s="168">
        <f>('Butadiene Recycling LC'!Y225)/('Butadiene Recycling LC'!Y$207)*BF$20/SUM(BF$19:BF$20)</f>
        <v>0.19265636172656467</v>
      </c>
      <c r="BG175" s="168">
        <f>('Butadiene Recycling LC'!Z225)/('Butadiene Recycling LC'!Z$207)*BG$20/SUM(BG$19:BG$20)</f>
        <v>0.20381198297012748</v>
      </c>
      <c r="BH175" s="168">
        <f>('Butadiene Recycling LC'!AA225)/('Butadiene Recycling LC'!AA$207)*BH$20/SUM(BH$19:BH$20)</f>
        <v>0.21281119986472871</v>
      </c>
      <c r="BI175" s="168">
        <f>('Butadiene Recycling LC'!AB225)/('Butadiene Recycling LC'!AB$207)*BI$20/SUM(BI$19:BI$20)</f>
        <v>0.22007405044433362</v>
      </c>
      <c r="BJ175" s="168">
        <f>('Butadiene Recycling LC'!AC225)/('Butadiene Recycling LC'!AC$207)*BJ$20/SUM(BJ$19:BJ$20)</f>
        <v>0.22598062387097279</v>
      </c>
      <c r="BK175" s="168">
        <f>('Butadiene Recycling LC'!AD225)/('Butadiene Recycling LC'!AD$207)*BK$20/SUM(BK$19:BK$20)</f>
        <v>0.23084786816532091</v>
      </c>
      <c r="BL175" s="168">
        <f>('Butadiene Recycling LC'!AE225)/('Butadiene Recycling LC'!AE$207)*BL$20/SUM(BL$19:BL$20)</f>
        <v>0.23492699484458715</v>
      </c>
      <c r="BM175" s="168">
        <f>('Butadiene Recycling LC'!AF225)/('Butadiene Recycling LC'!AF$207)*BM$20/SUM(BM$19:BM$20)</f>
        <v>0.23841059717489543</v>
      </c>
      <c r="BN175" s="168">
        <f>('Butadiene Recycling LC'!AG225)/('Butadiene Recycling LC'!AG$207)*BN$20/SUM(BN$19:BN$20)</f>
        <v>0.24144304735955294</v>
      </c>
      <c r="BP175" s="168">
        <f>('Butadiene Recycling HC'!C201)/('Butadiene Recycling HC'!C$197)*BP$20/SUM(BP$19:BP$20)</f>
        <v>0</v>
      </c>
      <c r="BQ175" s="168">
        <f>('Butadiene Recycling HC'!D201)/('Butadiene Recycling HC'!D$197)*BQ$20/SUM(BQ$19:BQ$20)</f>
        <v>0</v>
      </c>
      <c r="BR175" s="168">
        <f>('Butadiene Recycling HC'!E201)/('Butadiene Recycling HC'!E$197)*BR$20/SUM(BR$19:BR$20)</f>
        <v>0</v>
      </c>
      <c r="BS175" s="168">
        <f>('Butadiene Recycling HC'!F201)/('Butadiene Recycling HC'!F$197)*BS$20/SUM(BS$19:BS$20)</f>
        <v>0</v>
      </c>
      <c r="BT175" s="168">
        <f>('Butadiene Recycling HC'!G201)/('Butadiene Recycling HC'!G$197)*BT$20/SUM(BT$19:BT$20)</f>
        <v>0</v>
      </c>
      <c r="BU175" s="168">
        <f>('Butadiene Recycling HC'!H201)/('Butadiene Recycling HC'!H$197)*BU$20/SUM(BU$19:BU$20)</f>
        <v>0</v>
      </c>
      <c r="BV175" s="168">
        <f>('Butadiene Recycling HC'!I201)/('Butadiene Recycling HC'!I$197)*BV$20/SUM(BV$19:BV$20)</f>
        <v>0</v>
      </c>
      <c r="BW175" s="168">
        <f>('Butadiene Recycling HC'!J201)/('Butadiene Recycling HC'!J$197)*BW$20/SUM(BW$19:BW$20)</f>
        <v>0</v>
      </c>
      <c r="BX175" s="168">
        <f>('Butadiene Recycling HC'!K201)/('Butadiene Recycling HC'!K$197)*BX$20/SUM(BX$19:BX$20)</f>
        <v>0</v>
      </c>
      <c r="BY175" s="168">
        <f>('Butadiene Recycling HC'!L201)/('Butadiene Recycling HC'!L$197)*BY$20/SUM(BY$19:BY$20)</f>
        <v>0</v>
      </c>
      <c r="BZ175" s="168">
        <f>('Butadiene Recycling HC'!M201)/('Butadiene Recycling HC'!M$197)*BZ$20/SUM(BZ$19:BZ$20)</f>
        <v>0</v>
      </c>
      <c r="CA175" s="168">
        <f>('Butadiene Recycling HC'!N201)/('Butadiene Recycling HC'!N$197)*CA$20/SUM(CA$19:CA$20)</f>
        <v>0</v>
      </c>
      <c r="CB175" s="168">
        <f>('Butadiene Recycling HC'!O201)/('Butadiene Recycling HC'!O$197)*CB$20/SUM(CB$19:CB$20)</f>
        <v>0</v>
      </c>
      <c r="CC175" s="168">
        <f>('Butadiene Recycling HC'!P201)/('Butadiene Recycling HC'!P$197)*CC$20/SUM(CC$19:CC$20)</f>
        <v>0</v>
      </c>
      <c r="CD175" s="168">
        <f>('Butadiene Recycling HC'!Q201)/('Butadiene Recycling HC'!Q$197)*CD$20/SUM(CD$19:CD$20)</f>
        <v>0</v>
      </c>
      <c r="CE175" s="168">
        <f>('Butadiene Recycling HC'!R201)/('Butadiene Recycling HC'!R$197)*CE$20/SUM(CE$19:CE$20)</f>
        <v>0</v>
      </c>
      <c r="CF175" s="168">
        <f>('Butadiene Recycling HC'!S201)/('Butadiene Recycling HC'!S$197)*CF$20/SUM(CF$19:CF$20)</f>
        <v>0</v>
      </c>
      <c r="CG175" s="168">
        <f>('Butadiene Recycling HC'!T201)/('Butadiene Recycling HC'!T$197)*CG$20/SUM(CG$19:CG$20)</f>
        <v>0</v>
      </c>
      <c r="CH175" s="168">
        <f>('Butadiene Recycling HC'!U201)/('Butadiene Recycling HC'!U$197)*CH$20/SUM(CH$19:CH$20)</f>
        <v>0</v>
      </c>
      <c r="CI175" s="168">
        <f>('Butadiene Recycling HC'!V201)/('Butadiene Recycling HC'!V$197)*CI$20/SUM(CI$19:CI$20)</f>
        <v>0</v>
      </c>
      <c r="CJ175" s="168">
        <f>('Butadiene Recycling HC'!W201)/('Butadiene Recycling HC'!W$197)*CJ$20/SUM(CJ$19:CJ$20)</f>
        <v>0</v>
      </c>
      <c r="CK175" s="168">
        <f>('Butadiene Recycling HC'!X201)/('Butadiene Recycling HC'!X$197)*CK$20/SUM(CK$19:CK$20)</f>
        <v>0</v>
      </c>
      <c r="CL175" s="168">
        <f>('Butadiene Recycling HC'!Y201)/('Butadiene Recycling HC'!Y$197)*CL$20/SUM(CL$19:CL$20)</f>
        <v>0</v>
      </c>
      <c r="CM175" s="168">
        <f>('Butadiene Recycling HC'!Z201)/('Butadiene Recycling HC'!Z$197)*CM$20/SUM(CM$19:CM$20)</f>
        <v>0</v>
      </c>
      <c r="CN175" s="168">
        <f>('Butadiene Recycling HC'!AA201)/('Butadiene Recycling HC'!AA$197)*CN$20/SUM(CN$19:CN$20)</f>
        <v>0</v>
      </c>
      <c r="CO175" s="168">
        <f>('Butadiene Recycling HC'!AB201)/('Butadiene Recycling HC'!AB$197)*CO$20/SUM(CO$19:CO$20)</f>
        <v>0</v>
      </c>
      <c r="CP175" s="168">
        <f>('Butadiene Recycling HC'!AC201)/('Butadiene Recycling HC'!AC$197)*CP$20/SUM(CP$19:CP$20)</f>
        <v>0</v>
      </c>
      <c r="CQ175" s="168">
        <f>('Butadiene Recycling HC'!AD201)/('Butadiene Recycling HC'!AD$197)*CQ$20/SUM(CQ$19:CQ$20)</f>
        <v>0</v>
      </c>
      <c r="CR175" s="168">
        <f>('Butadiene Recycling HC'!AE201)/('Butadiene Recycling HC'!AE$197)*CR$20/SUM(CR$19:CR$20)</f>
        <v>0</v>
      </c>
      <c r="CS175" s="168">
        <f>('Butadiene Recycling HC'!AF201)/('Butadiene Recycling HC'!AF$197)*CS$20/SUM(CS$19:CS$20)</f>
        <v>0</v>
      </c>
      <c r="CT175" s="168">
        <f>('Butadiene Recycling HC'!AG201)/('Butadiene Recycling HC'!AG$197)*CT$20/SUM(CT$19:CT$20)</f>
        <v>0</v>
      </c>
      <c r="CV175" s="168">
        <f t="shared" ref="CV175:CV180" si="1605">AJ175*(1-SUM(CV$34:CV$35))/(1-SUM(AJ$34:AJ$35))</f>
        <v>7.0279306138079111E-6</v>
      </c>
      <c r="CW175" s="168">
        <f t="shared" si="1575"/>
        <v>1.3968819280992114E-5</v>
      </c>
      <c r="CX175" s="168">
        <f t="shared" si="1576"/>
        <v>2.7686703141825894E-5</v>
      </c>
      <c r="CY175" s="168">
        <f t="shared" si="1577"/>
        <v>5.468680863241395E-5</v>
      </c>
      <c r="CZ175" s="168">
        <f t="shared" si="1578"/>
        <v>1.0754486523493689E-4</v>
      </c>
      <c r="DA175" s="168">
        <f t="shared" si="1579"/>
        <v>2.1029050403697917E-4</v>
      </c>
      <c r="DB175" s="168">
        <f t="shared" si="1580"/>
        <v>4.0810673652752981E-4</v>
      </c>
      <c r="DC175" s="168">
        <f t="shared" si="1581"/>
        <v>7.8407505763553671E-4</v>
      </c>
      <c r="DD175" s="168">
        <f t="shared" si="1582"/>
        <v>1.4862878652802337E-3</v>
      </c>
      <c r="DE175" s="168">
        <f t="shared" si="1583"/>
        <v>2.7675254216433017E-3</v>
      </c>
      <c r="DF175" s="168">
        <f t="shared" si="1584"/>
        <v>5.0339235520428472E-3</v>
      </c>
      <c r="DG175" s="168">
        <f t="shared" si="1585"/>
        <v>8.8847916253401715E-3</v>
      </c>
      <c r="DH175" s="168">
        <f t="shared" si="1586"/>
        <v>1.5102864409981008E-2</v>
      </c>
      <c r="DI175" s="168">
        <f t="shared" si="1587"/>
        <v>2.4536932241145632E-2</v>
      </c>
      <c r="DJ175" s="168">
        <f t="shared" si="1588"/>
        <v>3.7843115223938691E-2</v>
      </c>
      <c r="DK175" s="168">
        <f t="shared" si="1589"/>
        <v>5.5145001833083948E-2</v>
      </c>
      <c r="DL175" s="168">
        <f t="shared" si="1590"/>
        <v>7.5795615930214874E-2</v>
      </c>
      <c r="DM175" s="168">
        <f t="shared" si="1591"/>
        <v>9.8435786836412506E-2</v>
      </c>
      <c r="DN175" s="168">
        <f t="shared" si="1592"/>
        <v>0.12136806331242495</v>
      </c>
      <c r="DO175" s="168">
        <f t="shared" si="1593"/>
        <v>0.14304140731489318</v>
      </c>
      <c r="DP175" s="168">
        <f t="shared" si="1594"/>
        <v>0.16239208577020692</v>
      </c>
      <c r="DQ175" s="168">
        <f t="shared" si="1595"/>
        <v>0.17893128314437132</v>
      </c>
      <c r="DR175" s="168">
        <f t="shared" si="1596"/>
        <v>0.19264048576916706</v>
      </c>
      <c r="DS175" s="168">
        <f t="shared" si="1597"/>
        <v>0.20378624324803776</v>
      </c>
      <c r="DT175" s="168">
        <f t="shared" si="1598"/>
        <v>0.21277347092716314</v>
      </c>
      <c r="DU175" s="168">
        <f t="shared" si="1599"/>
        <v>0.22002208442509169</v>
      </c>
      <c r="DV175" s="168">
        <f t="shared" si="1600"/>
        <v>0.22591198791272102</v>
      </c>
      <c r="DW175" s="168">
        <f t="shared" si="1601"/>
        <v>0.23075986418530212</v>
      </c>
      <c r="DX175" s="168">
        <f t="shared" si="1602"/>
        <v>0.23481656638809179</v>
      </c>
      <c r="DY175" s="168">
        <f t="shared" si="1603"/>
        <v>0.23827423462089456</v>
      </c>
      <c r="DZ175" s="168">
        <f t="shared" si="1604"/>
        <v>0.24127671056668951</v>
      </c>
    </row>
    <row r="176" spans="1:165">
      <c r="A176" s="606" t="s">
        <v>33</v>
      </c>
      <c r="C176" s="54" t="s">
        <v>462</v>
      </c>
      <c r="D176" s="168">
        <f>('Butadiene Recycling HC'!C226)/('Butadiene Recycling HC'!C$207)</f>
        <v>0.35262685341692923</v>
      </c>
      <c r="E176" s="168">
        <f>('Butadiene Recycling HC'!D226)/('Butadiene Recycling HC'!D$207)</f>
        <v>0.35184903951123192</v>
      </c>
      <c r="F176" s="168">
        <f>('Butadiene Recycling HC'!E226)/('Butadiene Recycling HC'!E$207)</f>
        <v>0.3510500038731999</v>
      </c>
      <c r="G176" s="168">
        <f>('Butadiene Recycling HC'!F226)/('Butadiene Recycling HC'!F$207)</f>
        <v>0.35022974650283312</v>
      </c>
      <c r="H176" s="168">
        <f>('Butadiene Recycling HC'!G226)/('Butadiene Recycling HC'!G$207)</f>
        <v>0.34938826740013157</v>
      </c>
      <c r="I176" s="168">
        <f>('Butadiene Recycling HC'!H226)/('Butadiene Recycling HC'!H$207)</f>
        <v>0.34852556656509537</v>
      </c>
      <c r="J176" s="168">
        <f>('Butadiene Recycling HC'!I226)/('Butadiene Recycling HC'!I$207)</f>
        <v>0.34764164399772435</v>
      </c>
      <c r="K176" s="168">
        <f>('Butadiene Recycling HC'!J226)/('Butadiene Recycling HC'!J$207)</f>
        <v>0.34673649969801856</v>
      </c>
      <c r="L176" s="168">
        <f>('Butadiene Recycling HC'!K226)/('Butadiene Recycling HC'!K$207)</f>
        <v>0.34581013366597813</v>
      </c>
      <c r="M176" s="168">
        <f>('Butadiene Recycling HC'!L226)/('Butadiene Recycling HC'!L$207)</f>
        <v>0.34486254590160298</v>
      </c>
      <c r="N176" s="168">
        <f>('Butadiene Recycling HC'!M226)/('Butadiene Recycling HC'!M$207)</f>
        <v>0.34389373640489296</v>
      </c>
      <c r="O176" s="168">
        <f>('Butadiene Recycling HC'!N226)/('Butadiene Recycling HC'!N$207)</f>
        <v>0.34290370517584839</v>
      </c>
      <c r="P176" s="168">
        <f>('Butadiene Recycling HC'!O226)/('Butadiene Recycling HC'!O$207)</f>
        <v>0.3418924522144689</v>
      </c>
      <c r="Q176" s="168">
        <f>('Butadiene Recycling HC'!P226)/('Butadiene Recycling HC'!P$207)</f>
        <v>0.34085997752075481</v>
      </c>
      <c r="R176" s="168">
        <f>('Butadiene Recycling HC'!Q226)/('Butadiene Recycling HC'!Q$207)</f>
        <v>0.3398062810947059</v>
      </c>
      <c r="S176" s="168">
        <f>('Butadiene Recycling HC'!R226)/('Butadiene Recycling HC'!R$207)</f>
        <v>0.33873136293632228</v>
      </c>
      <c r="T176" s="168">
        <f>('Butadiene Recycling HC'!S226)/('Butadiene Recycling HC'!S$207)</f>
        <v>0.33763522304560395</v>
      </c>
      <c r="U176" s="168">
        <f>('Butadiene Recycling HC'!T226)/('Butadiene Recycling HC'!T$207)</f>
        <v>0.33651786142255086</v>
      </c>
      <c r="V176" s="168">
        <f>('Butadiene Recycling HC'!U226)/('Butadiene Recycling HC'!U$207)</f>
        <v>0.33537927806716306</v>
      </c>
      <c r="W176" s="168">
        <f>('Butadiene Recycling HC'!V226)/('Butadiene Recycling HC'!V$207)</f>
        <v>0.33421947297944049</v>
      </c>
      <c r="X176" s="168">
        <f>('Butadiene Recycling HC'!W226)/('Butadiene Recycling HC'!W$207)</f>
        <v>0.33303844615938322</v>
      </c>
      <c r="Y176" s="168">
        <f>('Butadiene Recycling HC'!X226)/('Butadiene Recycling HC'!X$207)</f>
        <v>0.33183619760699112</v>
      </c>
      <c r="Z176" s="168">
        <f>('Butadiene Recycling HC'!Y226)/('Butadiene Recycling HC'!Y$207)</f>
        <v>0.33061272732226438</v>
      </c>
      <c r="AA176" s="168">
        <f>('Butadiene Recycling HC'!Z226)/('Butadiene Recycling HC'!Z$207)</f>
        <v>0.32936803530520287</v>
      </c>
      <c r="AB176" s="168">
        <f>('Butadiene Recycling HC'!AA226)/('Butadiene Recycling HC'!AA$207)</f>
        <v>0.32810212155580665</v>
      </c>
      <c r="AC176" s="168">
        <f>('Butadiene Recycling HC'!AB226)/('Butadiene Recycling HC'!AB$207)</f>
        <v>0.32681498607407566</v>
      </c>
      <c r="AD176" s="168">
        <f>('Butadiene Recycling HC'!AC226)/('Butadiene Recycling HC'!AC$207)</f>
        <v>0.32550662886000992</v>
      </c>
      <c r="AE176" s="168">
        <f>('Butadiene Recycling HC'!AD226)/('Butadiene Recycling HC'!AD$207)</f>
        <v>0.32417704991360952</v>
      </c>
      <c r="AF176" s="168">
        <f>('Butadiene Recycling HC'!AE226)/('Butadiene Recycling HC'!AE$207)</f>
        <v>0.32282624923487435</v>
      </c>
      <c r="AG176" s="168">
        <f>('Butadiene Recycling HC'!AF226)/('Butadiene Recycling HC'!AF$207)</f>
        <v>0.32145422682380437</v>
      </c>
      <c r="AH176" s="168">
        <f>('Butadiene Recycling HC'!AG226)/('Butadiene Recycling HC'!AG$207)</f>
        <v>0.32006098268040006</v>
      </c>
      <c r="AI176" s="44"/>
      <c r="AJ176" s="168">
        <f>('Butadiene Recycling LC'!C226)/('Butadiene Recycling LC'!C$207)</f>
        <v>0.35262685341692923</v>
      </c>
      <c r="AK176" s="168">
        <f>('Butadiene Recycling LC'!D226)/('Butadiene Recycling LC'!D$207)</f>
        <v>0.35184903951123192</v>
      </c>
      <c r="AL176" s="168">
        <f>('Butadiene Recycling LC'!E226)/('Butadiene Recycling LC'!E$207)</f>
        <v>0.3510500038731999</v>
      </c>
      <c r="AM176" s="168">
        <f>('Butadiene Recycling LC'!F226)/('Butadiene Recycling LC'!F$207)</f>
        <v>0.35022974650283312</v>
      </c>
      <c r="AN176" s="168">
        <f>('Butadiene Recycling LC'!G226)/('Butadiene Recycling LC'!G$207)</f>
        <v>0.34938826740013157</v>
      </c>
      <c r="AO176" s="168">
        <f>('Butadiene Recycling LC'!H226)/('Butadiene Recycling LC'!H$207)</f>
        <v>0.34852556656509537</v>
      </c>
      <c r="AP176" s="168">
        <f>('Butadiene Recycling LC'!I226)/('Butadiene Recycling LC'!I$207)</f>
        <v>0.34764164399772435</v>
      </c>
      <c r="AQ176" s="168">
        <f>('Butadiene Recycling LC'!J226)/('Butadiene Recycling LC'!J$207)</f>
        <v>0.34673649969801856</v>
      </c>
      <c r="AR176" s="168">
        <f>('Butadiene Recycling LC'!K226)/('Butadiene Recycling LC'!K$207)</f>
        <v>0.34581013366597813</v>
      </c>
      <c r="AS176" s="168">
        <f>('Butadiene Recycling LC'!L226)/('Butadiene Recycling LC'!L$207)</f>
        <v>0.34486254590160298</v>
      </c>
      <c r="AT176" s="168">
        <f>('Butadiene Recycling LC'!M226)/('Butadiene Recycling LC'!M$207)</f>
        <v>0.34389373640489296</v>
      </c>
      <c r="AU176" s="168">
        <f>('Butadiene Recycling LC'!N226)/('Butadiene Recycling LC'!N$207)</f>
        <v>0.34290370517584839</v>
      </c>
      <c r="AV176" s="168">
        <f>('Butadiene Recycling LC'!O226)/('Butadiene Recycling LC'!O$207)</f>
        <v>0.3418924522144689</v>
      </c>
      <c r="AW176" s="168">
        <f>('Butadiene Recycling LC'!P226)/('Butadiene Recycling LC'!P$207)</f>
        <v>0.34085997752075481</v>
      </c>
      <c r="AX176" s="168">
        <f>('Butadiene Recycling LC'!Q226)/('Butadiene Recycling LC'!Q$207)</f>
        <v>0.3398062810947059</v>
      </c>
      <c r="AY176" s="168">
        <f>('Butadiene Recycling LC'!R226)/('Butadiene Recycling LC'!R$207)</f>
        <v>0.33873136293632228</v>
      </c>
      <c r="AZ176" s="168">
        <f>('Butadiene Recycling LC'!S226)/('Butadiene Recycling LC'!S$207)</f>
        <v>0.33763522304560395</v>
      </c>
      <c r="BA176" s="168">
        <f>('Butadiene Recycling LC'!T226)/('Butadiene Recycling LC'!T$207)</f>
        <v>0.33651786142255086</v>
      </c>
      <c r="BB176" s="168">
        <f>('Butadiene Recycling LC'!U226)/('Butadiene Recycling LC'!U$207)</f>
        <v>0.33537927806716306</v>
      </c>
      <c r="BC176" s="168">
        <f>('Butadiene Recycling LC'!V226)/('Butadiene Recycling LC'!V$207)</f>
        <v>0.33421947297944049</v>
      </c>
      <c r="BD176" s="168">
        <f>('Butadiene Recycling LC'!W226)/('Butadiene Recycling LC'!W$207)</f>
        <v>0.33303844615938322</v>
      </c>
      <c r="BE176" s="168">
        <f>('Butadiene Recycling LC'!X226)/('Butadiene Recycling LC'!X$207)</f>
        <v>0.33183619760699112</v>
      </c>
      <c r="BF176" s="168">
        <f>('Butadiene Recycling LC'!Y226)/('Butadiene Recycling LC'!Y$207)</f>
        <v>0.33061272732226438</v>
      </c>
      <c r="BG176" s="168">
        <f>('Butadiene Recycling LC'!Z226)/('Butadiene Recycling LC'!Z$207)</f>
        <v>0.32936803530520287</v>
      </c>
      <c r="BH176" s="168">
        <f>('Butadiene Recycling LC'!AA226)/('Butadiene Recycling LC'!AA$207)</f>
        <v>0.32810212155580665</v>
      </c>
      <c r="BI176" s="168">
        <f>('Butadiene Recycling LC'!AB226)/('Butadiene Recycling LC'!AB$207)</f>
        <v>0.32681498607407566</v>
      </c>
      <c r="BJ176" s="168">
        <f>('Butadiene Recycling LC'!AC226)/('Butadiene Recycling LC'!AC$207)</f>
        <v>0.32550662886000992</v>
      </c>
      <c r="BK176" s="168">
        <f>('Butadiene Recycling LC'!AD226)/('Butadiene Recycling LC'!AD$207)</f>
        <v>0.32417704991360952</v>
      </c>
      <c r="BL176" s="168">
        <f>('Butadiene Recycling LC'!AE226)/('Butadiene Recycling LC'!AE$207)</f>
        <v>0.32282624923487435</v>
      </c>
      <c r="BM176" s="168">
        <f>('Butadiene Recycling LC'!AF226)/('Butadiene Recycling LC'!AF$207)</f>
        <v>0.32145422682380437</v>
      </c>
      <c r="BN176" s="168">
        <f>('Butadiene Recycling LC'!AG226)/('Butadiene Recycling LC'!AG$207)</f>
        <v>0.32006098268040006</v>
      </c>
      <c r="BP176" s="168">
        <f>('Butadiene Recycling HC'!C202)/('Butadiene Recycling HC'!C$197)</f>
        <v>0.35262685341692923</v>
      </c>
      <c r="BQ176" s="168">
        <f>('Butadiene Recycling HC'!D202)/('Butadiene Recycling HC'!D$197)</f>
        <v>0.34594680576681036</v>
      </c>
      <c r="BR176" s="168">
        <f>('Butadiene Recycling HC'!E202)/('Butadiene Recycling HC'!E$197)</f>
        <v>0.33920885499701531</v>
      </c>
      <c r="BS176" s="168">
        <f>('Butadiene Recycling HC'!F202)/('Butadiene Recycling HC'!F$197)</f>
        <v>0.33241768245543651</v>
      </c>
      <c r="BT176" s="168">
        <f>('Butadiene Recycling HC'!G202)/('Butadiene Recycling HC'!G$197)</f>
        <v>0.3255774595027644</v>
      </c>
      <c r="BU176" s="168">
        <f>('Butadiene Recycling HC'!H202)/('Butadiene Recycling HC'!H$197)</f>
        <v>0.31869190460115765</v>
      </c>
      <c r="BV176" s="168">
        <f>('Butadiene Recycling HC'!I202)/('Butadiene Recycling HC'!I$197)</f>
        <v>0.31179541077469097</v>
      </c>
      <c r="BW176" s="168">
        <f>('Butadiene Recycling HC'!J202)/('Butadiene Recycling HC'!J$197)</f>
        <v>0.30488855324074121</v>
      </c>
      <c r="BX176" s="168">
        <f>('Butadiene Recycling HC'!K202)/('Butadiene Recycling HC'!K$197)</f>
        <v>0.29797188852910195</v>
      </c>
      <c r="BY176" s="168">
        <f>('Butadiene Recycling HC'!L202)/('Butadiene Recycling HC'!L$197)</f>
        <v>0.29104595577541109</v>
      </c>
      <c r="BZ176" s="168">
        <f>('Butadiene Recycling HC'!M202)/('Butadiene Recycling HC'!M$197)</f>
        <v>0.28411127796763752</v>
      </c>
      <c r="CA176" s="168">
        <f>('Butadiene Recycling HC'!N202)/('Butadiene Recycling HC'!N$197)</f>
        <v>0.27715040730970769</v>
      </c>
      <c r="CB176" s="168">
        <f>('Butadiene Recycling HC'!O202)/('Butadiene Recycling HC'!O$197)</f>
        <v>0.27016522390817332</v>
      </c>
      <c r="CC176" s="168">
        <f>('Butadiene Recycling HC'!P202)/('Butadiene Recycling HC'!P$197)</f>
        <v>0.26315747146025026</v>
      </c>
      <c r="CD176" s="168">
        <f>('Butadiene Recycling HC'!Q202)/('Butadiene Recycling HC'!Q$197)</f>
        <v>0.25612877337362799</v>
      </c>
      <c r="CE176" s="168">
        <f>('Butadiene Recycling HC'!R202)/('Butadiene Recycling HC'!R$197)</f>
        <v>0.24908064786431489</v>
      </c>
      <c r="CF176" s="168">
        <f>('Butadiene Recycling HC'!S202)/('Butadiene Recycling HC'!S$197)</f>
        <v>0.24203463852543242</v>
      </c>
      <c r="CG176" s="168">
        <f>('Butadiene Recycling HC'!T202)/('Butadiene Recycling HC'!T$197)</f>
        <v>0.23499085942823425</v>
      </c>
      <c r="CH176" s="168">
        <f>('Butadiene Recycling HC'!U202)/('Butadiene Recycling HC'!U$197)</f>
        <v>0.22794942685351627</v>
      </c>
      <c r="CI176" s="168">
        <f>('Butadiene Recycling HC'!V202)/('Butadiene Recycling HC'!V$197)</f>
        <v>0.22091045937765313</v>
      </c>
      <c r="CJ176" s="168">
        <f>('Butadiene Recycling HC'!W202)/('Butadiene Recycling HC'!W$197)</f>
        <v>0.213874077960992</v>
      </c>
      <c r="CK176" s="168">
        <f>('Butadiene Recycling HC'!X202)/('Butadiene Recycling HC'!X$197)</f>
        <v>0.20684051463512348</v>
      </c>
      <c r="CL176" s="168">
        <f>('Butadiene Recycling HC'!Y202)/('Butadiene Recycling HC'!Y$197)</f>
        <v>0.19980988666587909</v>
      </c>
      <c r="CM176" s="168">
        <f>('Butadiene Recycling HC'!Z202)/('Butadiene Recycling HC'!Z$197)</f>
        <v>0.19278231376617455</v>
      </c>
      <c r="CN176" s="168">
        <f>('Butadiene Recycling HC'!AA202)/('Butadiene Recycling HC'!AA$197)</f>
        <v>0.18575791818027995</v>
      </c>
      <c r="CO176" s="168">
        <f>('Butadiene Recycling HC'!AB202)/('Butadiene Recycling HC'!AB$197)</f>
        <v>0.17873682477043509</v>
      </c>
      <c r="CP176" s="168">
        <f>('Butadiene Recycling HC'!AC202)/('Butadiene Recycling HC'!AC$197)</f>
        <v>0.17171924128499536</v>
      </c>
      <c r="CQ176" s="168">
        <f>('Butadiene Recycling HC'!AD202)/('Butadiene Recycling HC'!AD$197)</f>
        <v>0.16470529008337007</v>
      </c>
      <c r="CR176" s="168">
        <f>('Butadiene Recycling HC'!AE202)/('Butadiene Recycling HC'!AE$197)</f>
        <v>0.15769509619183969</v>
      </c>
      <c r="CS176" s="168">
        <f>('Butadiene Recycling HC'!AF202)/('Butadiene Recycling HC'!AF$197)</f>
        <v>0.15068878738745389</v>
      </c>
      <c r="CT176" s="168">
        <f>('Butadiene Recycling HC'!AG202)/('Butadiene Recycling HC'!AG$197)</f>
        <v>0.14368649428426464</v>
      </c>
      <c r="CV176" s="168">
        <f t="shared" si="1605"/>
        <v>0.35262685341692923</v>
      </c>
      <c r="CW176" s="168">
        <f t="shared" si="1575"/>
        <v>0.35184903951123186</v>
      </c>
      <c r="CX176" s="168">
        <f t="shared" si="1576"/>
        <v>0.35105000387319985</v>
      </c>
      <c r="CY176" s="168">
        <f t="shared" si="1577"/>
        <v>0.35022974650283312</v>
      </c>
      <c r="CZ176" s="168">
        <f t="shared" si="1578"/>
        <v>0.34938826740013157</v>
      </c>
      <c r="DA176" s="168">
        <f t="shared" si="1579"/>
        <v>0.34852556656509537</v>
      </c>
      <c r="DB176" s="168">
        <f t="shared" si="1580"/>
        <v>0.34764164399772435</v>
      </c>
      <c r="DC176" s="168">
        <f t="shared" si="1581"/>
        <v>0.34673649969801856</v>
      </c>
      <c r="DD176" s="168">
        <f t="shared" si="1582"/>
        <v>0.34581013366597813</v>
      </c>
      <c r="DE176" s="168">
        <f t="shared" si="1583"/>
        <v>0.34486254590160292</v>
      </c>
      <c r="DF176" s="168">
        <f t="shared" si="1584"/>
        <v>0.34389373640489301</v>
      </c>
      <c r="DG176" s="168">
        <f t="shared" si="1585"/>
        <v>0.34290370517584834</v>
      </c>
      <c r="DH176" s="168">
        <f t="shared" si="1586"/>
        <v>0.3418924522144689</v>
      </c>
      <c r="DI176" s="168">
        <f t="shared" si="1587"/>
        <v>0.34085852293759689</v>
      </c>
      <c r="DJ176" s="168">
        <f t="shared" si="1588"/>
        <v>0.33980316503718955</v>
      </c>
      <c r="DK176" s="168">
        <f t="shared" si="1589"/>
        <v>0.33872636468844802</v>
      </c>
      <c r="DL176" s="168">
        <f t="shared" si="1590"/>
        <v>0.33762810758334616</v>
      </c>
      <c r="DM176" s="168">
        <f t="shared" si="1591"/>
        <v>0.33650838215628337</v>
      </c>
      <c r="DN176" s="168">
        <f t="shared" si="1592"/>
        <v>0.33536717889750473</v>
      </c>
      <c r="DO176" s="168">
        <f t="shared" si="1593"/>
        <v>0.33420449109190448</v>
      </c>
      <c r="DP176" s="168">
        <f t="shared" si="1594"/>
        <v>0.33302031374370705</v>
      </c>
      <c r="DQ176" s="168">
        <f t="shared" si="1595"/>
        <v>0.33181378862784655</v>
      </c>
      <c r="DR176" s="168">
        <f t="shared" si="1596"/>
        <v>0.33058548299185642</v>
      </c>
      <c r="DS176" s="168">
        <f t="shared" si="1597"/>
        <v>0.32932643892028751</v>
      </c>
      <c r="DT176" s="168">
        <f t="shared" si="1598"/>
        <v>0.32804395288579691</v>
      </c>
      <c r="DU176" s="168">
        <f t="shared" si="1599"/>
        <v>0.32673781534985541</v>
      </c>
      <c r="DV176" s="168">
        <f t="shared" si="1600"/>
        <v>0.32540776436885838</v>
      </c>
      <c r="DW176" s="168">
        <f t="shared" si="1601"/>
        <v>0.32405346691997006</v>
      </c>
      <c r="DX176" s="168">
        <f t="shared" si="1602"/>
        <v>0.32267450335125303</v>
      </c>
      <c r="DY176" s="168">
        <f t="shared" si="1603"/>
        <v>0.32127036620735738</v>
      </c>
      <c r="DZ176" s="168">
        <f t="shared" si="1604"/>
        <v>0.31984048381757513</v>
      </c>
    </row>
    <row r="177" spans="1:165">
      <c r="A177" s="606" t="s">
        <v>451</v>
      </c>
      <c r="C177" s="54" t="s">
        <v>462</v>
      </c>
      <c r="D177" s="168">
        <f>'Butadiene Recycling HC'!C227/('Butadiene Recycling HC'!C$207)</f>
        <v>7.624364398203877E-2</v>
      </c>
      <c r="E177" s="168">
        <f>'Butadiene Recycling HC'!D227/('Butadiene Recycling HC'!D$207)</f>
        <v>7.3525404669163255E-2</v>
      </c>
      <c r="F177" s="168">
        <f>'Butadiene Recycling HC'!E227/('Butadiene Recycling HC'!E$207)</f>
        <v>7.083687578155641E-2</v>
      </c>
      <c r="G177" s="168">
        <f>'Butadiene Recycling HC'!F227/('Butadiene Recycling HC'!F$207)</f>
        <v>6.8178057319218166E-2</v>
      </c>
      <c r="H177" s="168">
        <f>'Butadiene Recycling HC'!G227/('Butadiene Recycling HC'!G$207)</f>
        <v>6.5548949282148564E-2</v>
      </c>
      <c r="I177" s="168">
        <f>'Butadiene Recycling HC'!H227/('Butadiene Recycling HC'!H$207)</f>
        <v>6.2949551670347603E-2</v>
      </c>
      <c r="J177" s="168">
        <f>'Butadiene Recycling HC'!I227/('Butadiene Recycling HC'!I$207)</f>
        <v>6.0379864483815264E-2</v>
      </c>
      <c r="K177" s="168">
        <f>'Butadiene Recycling HC'!J227/('Butadiene Recycling HC'!J$207)</f>
        <v>5.7839887722551553E-2</v>
      </c>
      <c r="L177" s="168">
        <f>'Butadiene Recycling HC'!K227/('Butadiene Recycling HC'!K$207)</f>
        <v>5.5329621386556484E-2</v>
      </c>
      <c r="M177" s="168">
        <f>'Butadiene Recycling HC'!L227/('Butadiene Recycling HC'!L$207)</f>
        <v>5.2849065475830043E-2</v>
      </c>
      <c r="N177" s="168">
        <f>'Butadiene Recycling HC'!M227/('Butadiene Recycling HC'!M$207)</f>
        <v>5.039821999037223E-2</v>
      </c>
      <c r="O177" s="168">
        <f>'Butadiene Recycling HC'!N227/('Butadiene Recycling HC'!N$207)</f>
        <v>4.7977084930183059E-2</v>
      </c>
      <c r="P177" s="168">
        <f>'Butadiene Recycling HC'!O227/('Butadiene Recycling HC'!O$207)</f>
        <v>4.5585660295262509E-2</v>
      </c>
      <c r="Q177" s="168">
        <f>'Butadiene Recycling HC'!P227/('Butadiene Recycling HC'!P$207)</f>
        <v>4.3223946085610594E-2</v>
      </c>
      <c r="R177" s="168">
        <f>'Butadiene Recycling HC'!Q227/('Butadiene Recycling HC'!Q$207)</f>
        <v>4.0891942301227308E-2</v>
      </c>
      <c r="S177" s="168">
        <f>'Butadiene Recycling HC'!R227/('Butadiene Recycling HC'!R$207)</f>
        <v>3.8589648942112656E-2</v>
      </c>
      <c r="T177" s="168">
        <f>'Butadiene Recycling HC'!S227/('Butadiene Recycling HC'!S$207)</f>
        <v>3.6317066008266626E-2</v>
      </c>
      <c r="U177" s="168">
        <f>'Butadiene Recycling HC'!T227/('Butadiene Recycling HC'!T$207)</f>
        <v>3.4074193499689244E-2</v>
      </c>
      <c r="V177" s="168">
        <f>'Butadiene Recycling HC'!U227/('Butadiene Recycling HC'!U$207)</f>
        <v>3.1861031416380477E-2</v>
      </c>
      <c r="W177" s="168">
        <f>'Butadiene Recycling HC'!V227/('Butadiene Recycling HC'!V$207)</f>
        <v>2.9677579758340341E-2</v>
      </c>
      <c r="X177" s="168">
        <f>'Butadiene Recycling HC'!W227/('Butadiene Recycling HC'!W$207)</f>
        <v>2.7523838525568847E-2</v>
      </c>
      <c r="Y177" s="168">
        <f>'Butadiene Recycling HC'!X227/('Butadiene Recycling HC'!X$207)</f>
        <v>2.5399807718065975E-2</v>
      </c>
      <c r="Z177" s="168">
        <f>'Butadiene Recycling HC'!Y227/('Butadiene Recycling HC'!Y$207)</f>
        <v>2.3305487335831741E-2</v>
      </c>
      <c r="AA177" s="168">
        <f>'Butadiene Recycling HC'!Z227/('Butadiene Recycling HC'!Z$207)</f>
        <v>2.1240877378866131E-2</v>
      </c>
      <c r="AB177" s="168">
        <f>'Butadiene Recycling HC'!AA227/('Butadiene Recycling HC'!AA$207)</f>
        <v>1.9205977847169157E-2</v>
      </c>
      <c r="AC177" s="168">
        <f>'Butadiene Recycling HC'!AB227/('Butadiene Recycling HC'!AB$207)</f>
        <v>1.7200788740740811E-2</v>
      </c>
      <c r="AD177" s="168">
        <f>'Butadiene Recycling HC'!AC227/('Butadiene Recycling HC'!AC$207)</f>
        <v>1.5225310059581096E-2</v>
      </c>
      <c r="AE177" s="168">
        <f>'Butadiene Recycling HC'!AD227/('Butadiene Recycling HC'!AD$207)</f>
        <v>1.3279541803690009E-2</v>
      </c>
      <c r="AF177" s="168">
        <f>'Butadiene Recycling HC'!AE227/('Butadiene Recycling HC'!AE$207)</f>
        <v>1.1363483973067559E-2</v>
      </c>
      <c r="AG177" s="168">
        <f>'Butadiene Recycling HC'!AF227/('Butadiene Recycling HC'!AF$207)</f>
        <v>9.477136567713736E-3</v>
      </c>
      <c r="AH177" s="168">
        <f>'Butadiene Recycling HC'!AG227/('Butadiene Recycling HC'!AG$207)</f>
        <v>7.6204995876285745E-3</v>
      </c>
      <c r="AI177" s="44"/>
      <c r="AJ177" s="168">
        <f>'Butadiene Recycling LC'!C227/('Butadiene Recycling LC'!C$207)</f>
        <v>7.624364398203877E-2</v>
      </c>
      <c r="AK177" s="168">
        <f>'Butadiene Recycling LC'!D227/('Butadiene Recycling LC'!D$207)</f>
        <v>7.3525404669163255E-2</v>
      </c>
      <c r="AL177" s="168">
        <f>'Butadiene Recycling LC'!E227/('Butadiene Recycling LC'!E$207)</f>
        <v>7.083687578155641E-2</v>
      </c>
      <c r="AM177" s="168">
        <f>'Butadiene Recycling LC'!F227/('Butadiene Recycling LC'!F$207)</f>
        <v>6.8178057319218166E-2</v>
      </c>
      <c r="AN177" s="168">
        <f>'Butadiene Recycling LC'!G227/('Butadiene Recycling LC'!G$207)</f>
        <v>6.5548949282148564E-2</v>
      </c>
      <c r="AO177" s="168">
        <f>'Butadiene Recycling LC'!H227/('Butadiene Recycling LC'!H$207)</f>
        <v>6.2949551670347603E-2</v>
      </c>
      <c r="AP177" s="168">
        <f>'Butadiene Recycling LC'!I227/('Butadiene Recycling LC'!I$207)</f>
        <v>6.0379864483815264E-2</v>
      </c>
      <c r="AQ177" s="168">
        <f>'Butadiene Recycling LC'!J227/('Butadiene Recycling LC'!J$207)</f>
        <v>5.7839887722551553E-2</v>
      </c>
      <c r="AR177" s="168">
        <f>'Butadiene Recycling LC'!K227/('Butadiene Recycling LC'!K$207)</f>
        <v>5.5329621386556484E-2</v>
      </c>
      <c r="AS177" s="168">
        <f>'Butadiene Recycling LC'!L227/('Butadiene Recycling LC'!L$207)</f>
        <v>5.2849065475830043E-2</v>
      </c>
      <c r="AT177" s="168">
        <f>'Butadiene Recycling LC'!M227/('Butadiene Recycling LC'!M$207)</f>
        <v>5.039821999037223E-2</v>
      </c>
      <c r="AU177" s="168">
        <f>'Butadiene Recycling LC'!N227/('Butadiene Recycling LC'!N$207)</f>
        <v>4.7977084930183059E-2</v>
      </c>
      <c r="AV177" s="168">
        <f>'Butadiene Recycling LC'!O227/('Butadiene Recycling LC'!O$207)</f>
        <v>4.5585660295262509E-2</v>
      </c>
      <c r="AW177" s="168">
        <f>'Butadiene Recycling LC'!P227/('Butadiene Recycling LC'!P$207)</f>
        <v>4.3223946085610594E-2</v>
      </c>
      <c r="AX177" s="168">
        <f>'Butadiene Recycling LC'!Q227/('Butadiene Recycling LC'!Q$207)</f>
        <v>4.0891942301227308E-2</v>
      </c>
      <c r="AY177" s="168">
        <f>'Butadiene Recycling LC'!R227/('Butadiene Recycling LC'!R$207)</f>
        <v>3.8589648942112656E-2</v>
      </c>
      <c r="AZ177" s="168">
        <f>'Butadiene Recycling LC'!S227/('Butadiene Recycling LC'!S$207)</f>
        <v>3.6317066008266626E-2</v>
      </c>
      <c r="BA177" s="168">
        <f>'Butadiene Recycling LC'!T227/('Butadiene Recycling LC'!T$207)</f>
        <v>3.4074193499689244E-2</v>
      </c>
      <c r="BB177" s="168">
        <f>'Butadiene Recycling LC'!U227/('Butadiene Recycling LC'!U$207)</f>
        <v>3.1861031416380477E-2</v>
      </c>
      <c r="BC177" s="168">
        <f>'Butadiene Recycling LC'!V227/('Butadiene Recycling LC'!V$207)</f>
        <v>2.9677579758340341E-2</v>
      </c>
      <c r="BD177" s="168">
        <f>'Butadiene Recycling LC'!W227/('Butadiene Recycling LC'!W$207)</f>
        <v>2.7523838525568847E-2</v>
      </c>
      <c r="BE177" s="168">
        <f>'Butadiene Recycling LC'!X227/('Butadiene Recycling LC'!X$207)</f>
        <v>2.5399807718065975E-2</v>
      </c>
      <c r="BF177" s="168">
        <f>'Butadiene Recycling LC'!Y227/('Butadiene Recycling LC'!Y$207)</f>
        <v>2.3305487335831741E-2</v>
      </c>
      <c r="BG177" s="168">
        <f>'Butadiene Recycling LC'!Z227/('Butadiene Recycling LC'!Z$207)</f>
        <v>2.1240877378866131E-2</v>
      </c>
      <c r="BH177" s="168">
        <f>'Butadiene Recycling LC'!AA227/('Butadiene Recycling LC'!AA$207)</f>
        <v>1.9205977847169157E-2</v>
      </c>
      <c r="BI177" s="168">
        <f>'Butadiene Recycling LC'!AB227/('Butadiene Recycling LC'!AB$207)</f>
        <v>1.7200788740740811E-2</v>
      </c>
      <c r="BJ177" s="168">
        <f>'Butadiene Recycling LC'!AC227/('Butadiene Recycling LC'!AC$207)</f>
        <v>1.5225310059581096E-2</v>
      </c>
      <c r="BK177" s="168">
        <f>'Butadiene Recycling LC'!AD227/('Butadiene Recycling LC'!AD$207)</f>
        <v>1.3279541803690009E-2</v>
      </c>
      <c r="BL177" s="168">
        <f>'Butadiene Recycling LC'!AE227/('Butadiene Recycling LC'!AE$207)</f>
        <v>1.1363483973067559E-2</v>
      </c>
      <c r="BM177" s="168">
        <f>'Butadiene Recycling LC'!AF227/('Butadiene Recycling LC'!AF$207)</f>
        <v>9.477136567713736E-3</v>
      </c>
      <c r="BN177" s="168">
        <f>'Butadiene Recycling LC'!AG227/('Butadiene Recycling LC'!AG$207)</f>
        <v>7.6204995876285745E-3</v>
      </c>
      <c r="BP177" s="168">
        <f>'Butadiene Recycling HC'!C203/('Butadiene Recycling HC'!C$197)</f>
        <v>7.624364398203877E-2</v>
      </c>
      <c r="BQ177" s="168">
        <f>'Butadiene Recycling HC'!D203/('Butadiene Recycling HC'!D$197)</f>
        <v>7.6400163060164061E-2</v>
      </c>
      <c r="BR177" s="168">
        <f>'Butadiene Recycling HC'!E203/('Butadiene Recycling HC'!E$197)</f>
        <v>7.6546286355544807E-2</v>
      </c>
      <c r="BS177" s="168">
        <f>'Butadiene Recycling HC'!F203/('Butadiene Recycling HC'!F$197)</f>
        <v>7.6682389833874029E-2</v>
      </c>
      <c r="BT177" s="168">
        <f>'Butadiene Recycling HC'!G203/('Butadiene Recycling HC'!G$197)</f>
        <v>7.6808766854525409E-2</v>
      </c>
      <c r="BU177" s="168">
        <f>'Butadiene Recycling HC'!H203/('Butadiene Recycling HC'!H$197)</f>
        <v>7.6925632145107004E-2</v>
      </c>
      <c r="BV177" s="168">
        <f>'Butadiene Recycling HC'!I203/('Butadiene Recycling HC'!I$197)</f>
        <v>7.7040803520662435E-2</v>
      </c>
      <c r="BW177" s="168">
        <f>'Butadiene Recycling HC'!J203/('Butadiene Recycling HC'!J$197)</f>
        <v>7.71542999263964E-2</v>
      </c>
      <c r="BX177" s="168">
        <f>'Butadiene Recycling HC'!K203/('Butadiene Recycling HC'!K$197)</f>
        <v>7.7266137975453883E-2</v>
      </c>
      <c r="BY177" s="168">
        <f>'Butadiene Recycling HC'!L203/('Butadiene Recycling HC'!L$197)</f>
        <v>7.7376331982355412E-2</v>
      </c>
      <c r="BZ177" s="168">
        <f>'Butadiene Recycling HC'!M203/('Butadiene Recycling HC'!M$197)</f>
        <v>7.7484893991173823E-2</v>
      </c>
      <c r="CA177" s="168">
        <f>'Butadiene Recycling HC'!N203/('Butadiene Recycling HC'!N$197)</f>
        <v>7.7586807155047566E-2</v>
      </c>
      <c r="CB177" s="168">
        <f>'Butadiene Recycling HC'!O203/('Butadiene Recycling HC'!O$197)</f>
        <v>7.7682068630820306E-2</v>
      </c>
      <c r="CC177" s="168">
        <f>'Butadiene Recycling HC'!P203/('Butadiene Recycling HC'!P$197)</f>
        <v>7.7770637694359615E-2</v>
      </c>
      <c r="CD177" s="168">
        <f>'Butadiene Recycling HC'!Q203/('Butadiene Recycling HC'!Q$197)</f>
        <v>7.7852435222603808E-2</v>
      </c>
      <c r="CE177" s="168">
        <f>'Butadiene Recycling HC'!R203/('Butadiene Recycling HC'!R$197)</f>
        <v>7.792734280591801E-2</v>
      </c>
      <c r="CF177" s="168">
        <f>'Butadiene Recycling HC'!S203/('Butadiene Recycling HC'!S$197)</f>
        <v>7.8001684453693779E-2</v>
      </c>
      <c r="CG177" s="168">
        <f>'Butadiene Recycling HC'!T203/('Butadiene Recycling HC'!T$197)</f>
        <v>7.8075450245167627E-2</v>
      </c>
      <c r="CH177" s="168">
        <f>'Butadiene Recycling HC'!U203/('Butadiene Recycling HC'!U$197)</f>
        <v>7.8148629994206242E-2</v>
      </c>
      <c r="CI177" s="168">
        <f>'Butadiene Recycling HC'!V203/('Butadiene Recycling HC'!V$197)</f>
        <v>7.8221213242670867E-2</v>
      </c>
      <c r="CJ177" s="168">
        <f>'Butadiene Recycling HC'!W203/('Butadiene Recycling HC'!W$197)</f>
        <v>7.8293189253577339E-2</v>
      </c>
      <c r="CK177" s="168">
        <f>'Butadiene Recycling HC'!X203/('Butadiene Recycling HC'!X$197)</f>
        <v>7.8364588147409403E-2</v>
      </c>
      <c r="CL177" s="168">
        <f>'Butadiene Recycling HC'!Y203/('Butadiene Recycling HC'!Y$197)</f>
        <v>7.8435399636749004E-2</v>
      </c>
      <c r="CM177" s="168">
        <f>'Butadiene Recycling HC'!Z203/('Butadiene Recycling HC'!Z$197)</f>
        <v>7.8505613176428235E-2</v>
      </c>
      <c r="CN177" s="168">
        <f>'Butadiene Recycling HC'!AA203/('Butadiene Recycling HC'!AA$197)</f>
        <v>7.8575217957161436E-2</v>
      </c>
      <c r="CO177" s="168">
        <f>'Butadiene Recycling HC'!AB203/('Butadiene Recycling HC'!AB$197)</f>
        <v>7.8644202898991336E-2</v>
      </c>
      <c r="CP177" s="168">
        <f>'Butadiene Recycling HC'!AC203/('Butadiene Recycling HC'!AC$197)</f>
        <v>7.8712593397006633E-2</v>
      </c>
      <c r="CQ177" s="168">
        <f>'Butadiene Recycling HC'!AD203/('Butadiene Recycling HC'!AD$197)</f>
        <v>7.8780378773248616E-2</v>
      </c>
      <c r="CR177" s="168">
        <f>'Butadiene Recycling HC'!AE203/('Butadiene Recycling HC'!AE$197)</f>
        <v>7.884754809591972E-2</v>
      </c>
      <c r="CS177" s="168">
        <f>'Butadiene Recycling HC'!AF203/('Butadiene Recycling HC'!AF$197)</f>
        <v>7.8914090173214838E-2</v>
      </c>
      <c r="CT177" s="168">
        <f>'Butadiene Recycling HC'!AG203/('Butadiene Recycling HC'!AG$197)</f>
        <v>7.8979993546979904E-2</v>
      </c>
      <c r="CV177" s="168">
        <f t="shared" si="1605"/>
        <v>7.624364398203877E-2</v>
      </c>
      <c r="CW177" s="168">
        <f t="shared" si="1575"/>
        <v>7.3525404669163255E-2</v>
      </c>
      <c r="CX177" s="168">
        <f t="shared" si="1576"/>
        <v>7.083687578155641E-2</v>
      </c>
      <c r="CY177" s="168">
        <f t="shared" si="1577"/>
        <v>6.8178057319218166E-2</v>
      </c>
      <c r="CZ177" s="168">
        <f t="shared" si="1578"/>
        <v>6.5548949282148564E-2</v>
      </c>
      <c r="DA177" s="168">
        <f t="shared" si="1579"/>
        <v>6.2949551670347603E-2</v>
      </c>
      <c r="DB177" s="168">
        <f t="shared" si="1580"/>
        <v>6.0379864483815271E-2</v>
      </c>
      <c r="DC177" s="168">
        <f t="shared" si="1581"/>
        <v>5.7839887722551553E-2</v>
      </c>
      <c r="DD177" s="168">
        <f t="shared" si="1582"/>
        <v>5.5329621386556484E-2</v>
      </c>
      <c r="DE177" s="168">
        <f t="shared" si="1583"/>
        <v>5.2849065475830043E-2</v>
      </c>
      <c r="DF177" s="168">
        <f t="shared" si="1584"/>
        <v>5.039821999037223E-2</v>
      </c>
      <c r="DG177" s="168">
        <f t="shared" si="1585"/>
        <v>4.7977084930183059E-2</v>
      </c>
      <c r="DH177" s="168">
        <f t="shared" si="1586"/>
        <v>4.5585660295262509E-2</v>
      </c>
      <c r="DI177" s="168">
        <f t="shared" si="1587"/>
        <v>4.322376163208673E-2</v>
      </c>
      <c r="DJ177" s="168">
        <f t="shared" si="1588"/>
        <v>4.0891567318034665E-2</v>
      </c>
      <c r="DK177" s="168">
        <f t="shared" si="1589"/>
        <v>3.8589079521468748E-2</v>
      </c>
      <c r="DL177" s="168">
        <f t="shared" si="1590"/>
        <v>3.6316300647620411E-2</v>
      </c>
      <c r="DM177" s="168">
        <f t="shared" si="1591"/>
        <v>3.4073233674401911E-2</v>
      </c>
      <c r="DN177" s="168">
        <f t="shared" si="1592"/>
        <v>3.1859881995262934E-2</v>
      </c>
      <c r="DO177" s="168">
        <f t="shared" si="1593"/>
        <v>2.9676249416459549E-2</v>
      </c>
      <c r="DP177" s="168">
        <f t="shared" si="1594"/>
        <v>2.7522339978818748E-2</v>
      </c>
      <c r="DQ177" s="168">
        <f t="shared" si="1595"/>
        <v>2.5398092462872196E-2</v>
      </c>
      <c r="DR177" s="168">
        <f t="shared" si="1596"/>
        <v>2.3303566833852162E-2</v>
      </c>
      <c r="DS177" s="168">
        <f t="shared" si="1597"/>
        <v>2.1238194836491999E-2</v>
      </c>
      <c r="DT177" s="168">
        <f t="shared" si="1598"/>
        <v>1.9202572851851514E-2</v>
      </c>
      <c r="DU177" s="168">
        <f t="shared" si="1599"/>
        <v>1.7196727123676588E-2</v>
      </c>
      <c r="DV177" s="168">
        <f t="shared" si="1600"/>
        <v>1.5220685752736912E-2</v>
      </c>
      <c r="DW177" s="168">
        <f t="shared" si="1601"/>
        <v>1.3274479367805984E-2</v>
      </c>
      <c r="DX177" s="168">
        <f t="shared" si="1602"/>
        <v>1.135814251796409E-2</v>
      </c>
      <c r="DY177" s="168">
        <f t="shared" si="1603"/>
        <v>9.4717159758344223E-3</v>
      </c>
      <c r="DZ177" s="168">
        <f t="shared" si="1604"/>
        <v>7.6152496147041714E-3</v>
      </c>
    </row>
    <row r="178" spans="1:165">
      <c r="A178" s="606" t="s">
        <v>452</v>
      </c>
      <c r="C178" s="54" t="s">
        <v>462</v>
      </c>
      <c r="D178" s="168">
        <f>'Butadiene Recycling HC'!C228/('Butadiene Recycling HC'!C$207)</f>
        <v>0.25732229843938081</v>
      </c>
      <c r="E178" s="168">
        <f>'Butadiene Recycling HC'!D228/('Butadiene Recycling HC'!D$207)</f>
        <v>0.25213218167665863</v>
      </c>
      <c r="F178" s="168">
        <f>'Butadiene Recycling HC'!E228/('Butadiene Recycling HC'!E$207)</f>
        <v>0.24698875272507284</v>
      </c>
      <c r="G178" s="168">
        <f>'Butadiene Recycling HC'!F228/('Butadiene Recycling HC'!F$207)</f>
        <v>0.24189201158462351</v>
      </c>
      <c r="H178" s="168">
        <f>'Butadiene Recycling HC'!G228/('Butadiene Recycling HC'!G$207)</f>
        <v>0.23684195825531054</v>
      </c>
      <c r="I178" s="168">
        <f>'Butadiene Recycling HC'!H228/('Butadiene Recycling HC'!H$207)</f>
        <v>0.23183859273713406</v>
      </c>
      <c r="J178" s="168">
        <f>'Butadiene Recycling HC'!I228/('Butadiene Recycling HC'!I$207)</f>
        <v>0.22688191503009392</v>
      </c>
      <c r="K178" s="168">
        <f>'Butadiene Recycling HC'!J228/('Butadiene Recycling HC'!J$207)</f>
        <v>0.2219719251341902</v>
      </c>
      <c r="L178" s="168">
        <f>'Butadiene Recycling HC'!K228/('Butadiene Recycling HC'!K$207)</f>
        <v>0.21710862304942294</v>
      </c>
      <c r="M178" s="168">
        <f>'Butadiene Recycling HC'!L228/('Butadiene Recycling HC'!L$207)</f>
        <v>0.2122920087757921</v>
      </c>
      <c r="N178" s="168">
        <f>'Butadiene Recycling HC'!M228/('Butadiene Recycling HC'!M$207)</f>
        <v>0.20752208231329761</v>
      </c>
      <c r="O178" s="168">
        <f>'Butadiene Recycling HC'!N228/('Butadiene Recycling HC'!N$207)</f>
        <v>0.20279884366193962</v>
      </c>
      <c r="P178" s="168">
        <f>'Butadiene Recycling HC'!O228/('Butadiene Recycling HC'!O$207)</f>
        <v>0.198122292821718</v>
      </c>
      <c r="Q178" s="168">
        <f>'Butadiene Recycling HC'!P228/('Butadiene Recycling HC'!P$207)</f>
        <v>0.19349242979263284</v>
      </c>
      <c r="R178" s="168">
        <f>'Butadiene Recycling HC'!Q228/('Butadiene Recycling HC'!Q$207)</f>
        <v>0.18890925457468408</v>
      </c>
      <c r="S178" s="168">
        <f>'Butadiene Recycling HC'!R228/('Butadiene Recycling HC'!R$207)</f>
        <v>0.18437276716787171</v>
      </c>
      <c r="T178" s="168">
        <f>'Butadiene Recycling HC'!S228/('Butadiene Recycling HC'!S$207)</f>
        <v>0.1798829675721958</v>
      </c>
      <c r="U178" s="168">
        <f>'Butadiene Recycling HC'!T228/('Butadiene Recycling HC'!T$207)</f>
        <v>0.17543985578765631</v>
      </c>
      <c r="V178" s="168">
        <f>'Butadiene Recycling HC'!U228/('Butadiene Recycling HC'!U$207)</f>
        <v>0.17104343181425322</v>
      </c>
      <c r="W178" s="168">
        <f>'Butadiene Recycling HC'!V228/('Butadiene Recycling HC'!V$207)</f>
        <v>0.16669369565198655</v>
      </c>
      <c r="X178" s="168">
        <f>'Butadiene Recycling HC'!W228/('Butadiene Recycling HC'!W$207)</f>
        <v>0.16239064730085634</v>
      </c>
      <c r="Y178" s="168">
        <f>'Butadiene Recycling HC'!X228/('Butadiene Recycling HC'!X$207)</f>
        <v>0.1581342867608625</v>
      </c>
      <c r="Z178" s="168">
        <f>'Butadiene Recycling HC'!Y228/('Butadiene Recycling HC'!Y$207)</f>
        <v>0.15392461403200508</v>
      </c>
      <c r="AA178" s="168">
        <f>'Butadiene Recycling HC'!Z228/('Butadiene Recycling HC'!Z$207)</f>
        <v>0.14976162911428412</v>
      </c>
      <c r="AB178" s="168">
        <f>'Butadiene Recycling HC'!AA228/('Butadiene Recycling HC'!AA$207)</f>
        <v>0.14564533200769958</v>
      </c>
      <c r="AC178" s="168">
        <f>'Butadiene Recycling HC'!AB228/('Butadiene Recycling HC'!AB$207)</f>
        <v>0.14157572271225144</v>
      </c>
      <c r="AD178" s="168">
        <f>'Butadiene Recycling HC'!AC228/('Butadiene Recycling HC'!AC$207)</f>
        <v>0.1375528012279397</v>
      </c>
      <c r="AE178" s="168">
        <f>'Butadiene Recycling HC'!AD228/('Butadiene Recycling HC'!AD$207)</f>
        <v>0.13357656755476441</v>
      </c>
      <c r="AF178" s="168">
        <f>'Butadiene Recycling HC'!AE228/('Butadiene Recycling HC'!AE$207)</f>
        <v>0.12964702169272552</v>
      </c>
      <c r="AG178" s="168">
        <f>'Butadiene Recycling HC'!AF228/('Butadiene Recycling HC'!AF$207)</f>
        <v>0.12576416364182305</v>
      </c>
      <c r="AH178" s="168">
        <f>'Butadiene Recycling HC'!AG228/('Butadiene Recycling HC'!AG$207)</f>
        <v>0.12192799340205719</v>
      </c>
      <c r="AI178" s="44"/>
      <c r="AJ178" s="168">
        <f>'Butadiene Recycling LC'!C228/('Butadiene Recycling LC'!C$207)</f>
        <v>0.25732229843938081</v>
      </c>
      <c r="AK178" s="168">
        <f>'Butadiene Recycling LC'!D228/('Butadiene Recycling LC'!D$207)</f>
        <v>0.25213218167665863</v>
      </c>
      <c r="AL178" s="168">
        <f>'Butadiene Recycling LC'!E228/('Butadiene Recycling LC'!E$207)</f>
        <v>0.24698875272507284</v>
      </c>
      <c r="AM178" s="168">
        <f>'Butadiene Recycling LC'!F228/('Butadiene Recycling LC'!F$207)</f>
        <v>0.24189201158462351</v>
      </c>
      <c r="AN178" s="168">
        <f>'Butadiene Recycling LC'!G228/('Butadiene Recycling LC'!G$207)</f>
        <v>0.23684195825531054</v>
      </c>
      <c r="AO178" s="168">
        <f>'Butadiene Recycling LC'!H228/('Butadiene Recycling LC'!H$207)</f>
        <v>0.23183859273713406</v>
      </c>
      <c r="AP178" s="168">
        <f>'Butadiene Recycling LC'!I228/('Butadiene Recycling LC'!I$207)</f>
        <v>0.22688191503009392</v>
      </c>
      <c r="AQ178" s="168">
        <f>'Butadiene Recycling LC'!J228/('Butadiene Recycling LC'!J$207)</f>
        <v>0.2219719251341902</v>
      </c>
      <c r="AR178" s="168">
        <f>'Butadiene Recycling LC'!K228/('Butadiene Recycling LC'!K$207)</f>
        <v>0.21710862304942294</v>
      </c>
      <c r="AS178" s="168">
        <f>'Butadiene Recycling LC'!L228/('Butadiene Recycling LC'!L$207)</f>
        <v>0.2122920087757921</v>
      </c>
      <c r="AT178" s="168">
        <f>'Butadiene Recycling LC'!M228/('Butadiene Recycling LC'!M$207)</f>
        <v>0.20752208231329761</v>
      </c>
      <c r="AU178" s="168">
        <f>'Butadiene Recycling LC'!N228/('Butadiene Recycling LC'!N$207)</f>
        <v>0.20279884366193962</v>
      </c>
      <c r="AV178" s="168">
        <f>'Butadiene Recycling LC'!O228/('Butadiene Recycling LC'!O$207)</f>
        <v>0.198122292821718</v>
      </c>
      <c r="AW178" s="168">
        <f>'Butadiene Recycling LC'!P228/('Butadiene Recycling LC'!P$207)</f>
        <v>0.19349242979263284</v>
      </c>
      <c r="AX178" s="168">
        <f>'Butadiene Recycling LC'!Q228/('Butadiene Recycling LC'!Q$207)</f>
        <v>0.18890925457468408</v>
      </c>
      <c r="AY178" s="168">
        <f>'Butadiene Recycling LC'!R228/('Butadiene Recycling LC'!R$207)</f>
        <v>0.18437276716787171</v>
      </c>
      <c r="AZ178" s="168">
        <f>'Butadiene Recycling LC'!S228/('Butadiene Recycling LC'!S$207)</f>
        <v>0.1798829675721958</v>
      </c>
      <c r="BA178" s="168">
        <f>'Butadiene Recycling LC'!T228/('Butadiene Recycling LC'!T$207)</f>
        <v>0.17543985578765631</v>
      </c>
      <c r="BB178" s="168">
        <f>'Butadiene Recycling LC'!U228/('Butadiene Recycling LC'!U$207)</f>
        <v>0.17104343181425322</v>
      </c>
      <c r="BC178" s="168">
        <f>'Butadiene Recycling LC'!V228/('Butadiene Recycling LC'!V$207)</f>
        <v>0.16669369565198655</v>
      </c>
      <c r="BD178" s="168">
        <f>'Butadiene Recycling LC'!W228/('Butadiene Recycling LC'!W$207)</f>
        <v>0.16239064730085634</v>
      </c>
      <c r="BE178" s="168">
        <f>'Butadiene Recycling LC'!X228/('Butadiene Recycling LC'!X$207)</f>
        <v>0.1581342867608625</v>
      </c>
      <c r="BF178" s="168">
        <f>'Butadiene Recycling LC'!Y228/('Butadiene Recycling LC'!Y$207)</f>
        <v>0.15392461403200508</v>
      </c>
      <c r="BG178" s="168">
        <f>'Butadiene Recycling LC'!Z228/('Butadiene Recycling LC'!Z$207)</f>
        <v>0.14976162911428412</v>
      </c>
      <c r="BH178" s="168">
        <f>'Butadiene Recycling LC'!AA228/('Butadiene Recycling LC'!AA$207)</f>
        <v>0.14564533200769958</v>
      </c>
      <c r="BI178" s="168">
        <f>'Butadiene Recycling LC'!AB228/('Butadiene Recycling LC'!AB$207)</f>
        <v>0.14157572271225144</v>
      </c>
      <c r="BJ178" s="168">
        <f>'Butadiene Recycling LC'!AC228/('Butadiene Recycling LC'!AC$207)</f>
        <v>0.1375528012279397</v>
      </c>
      <c r="BK178" s="168">
        <f>'Butadiene Recycling LC'!AD228/('Butadiene Recycling LC'!AD$207)</f>
        <v>0.13357656755476441</v>
      </c>
      <c r="BL178" s="168">
        <f>'Butadiene Recycling LC'!AE228/('Butadiene Recycling LC'!AE$207)</f>
        <v>0.12964702169272552</v>
      </c>
      <c r="BM178" s="168">
        <f>'Butadiene Recycling LC'!AF228/('Butadiene Recycling LC'!AF$207)</f>
        <v>0.12576416364182305</v>
      </c>
      <c r="BN178" s="168">
        <f>'Butadiene Recycling LC'!AG228/('Butadiene Recycling LC'!AG$207)</f>
        <v>0.12192799340205719</v>
      </c>
      <c r="BP178" s="168">
        <f>'Butadiene Recycling HC'!C204/('Butadiene Recycling HC'!C$197)</f>
        <v>0.25732229843938081</v>
      </c>
      <c r="BQ178" s="168">
        <f>'Butadiene Recycling HC'!D204/('Butadiene Recycling HC'!D$197)</f>
        <v>0.26051724349354322</v>
      </c>
      <c r="BR178" s="168">
        <f>'Butadiene Recycling HC'!E204/('Butadiene Recycling HC'!E$197)</f>
        <v>0.26368064061294899</v>
      </c>
      <c r="BS178" s="168">
        <f>'Butadiene Recycling HC'!F204/('Butadiene Recycling HC'!F$197)</f>
        <v>0.26681269887402742</v>
      </c>
      <c r="BT178" s="168">
        <f>'Butadiene Recycling HC'!G204/('Butadiene Recycling HC'!G$197)</f>
        <v>0.26991339463472519</v>
      </c>
      <c r="BU178" s="168">
        <f>'Butadiene Recycling HC'!H204/('Butadiene Recycling HC'!H$197)</f>
        <v>0.27298247100768813</v>
      </c>
      <c r="BV178" s="168">
        <f>'Butadiene Recycling HC'!I204/('Butadiene Recycling HC'!I$197)</f>
        <v>0.27604694859512785</v>
      </c>
      <c r="BW178" s="168">
        <f>'Butadiene Recycling HC'!J204/('Butadiene Recycling HC'!J$197)</f>
        <v>0.27910671571886797</v>
      </c>
      <c r="BX178" s="168">
        <f>'Butadiene Recycling HC'!K204/('Butadiene Recycling HC'!K$197)</f>
        <v>0.28216165567603851</v>
      </c>
      <c r="BY178" s="168">
        <f>'Butadiene Recycling HC'!L204/('Butadiene Recycling HC'!L$197)</f>
        <v>0.28521164644175978</v>
      </c>
      <c r="BZ178" s="168">
        <f>'Butadiene Recycling HC'!M204/('Butadiene Recycling HC'!M$197)</f>
        <v>0.28825656036222669</v>
      </c>
      <c r="CA178" s="168">
        <f>'Butadiene Recycling HC'!N204/('Butadiene Recycling HC'!N$197)</f>
        <v>0.29127739274730946</v>
      </c>
      <c r="CB178" s="168">
        <f>'Butadiene Recycling HC'!O204/('Butadiene Recycling HC'!O$197)</f>
        <v>0.29427345210394468</v>
      </c>
      <c r="CC178" s="168">
        <f>'Butadiene Recycling HC'!P204/('Butadiene Recycling HC'!P$197)</f>
        <v>0.29724390511964727</v>
      </c>
      <c r="CD178" s="168">
        <f>'Butadiene Recycling HC'!Q204/('Butadiene Recycling HC'!Q$197)</f>
        <v>0.30018776824571525</v>
      </c>
      <c r="CE178" s="168">
        <f>'Butadiene Recycling HC'!R204/('Butadiene Recycling HC'!R$197)</f>
        <v>0.30310389778498142</v>
      </c>
      <c r="CF178" s="168">
        <f>'Butadiene Recycling HC'!S204/('Butadiene Recycling HC'!S$197)</f>
        <v>0.30601641237470351</v>
      </c>
      <c r="CG178" s="168">
        <f>'Butadiene Recycling HC'!T204/('Butadiene Recycling HC'!T$197)</f>
        <v>0.30892522092110758</v>
      </c>
      <c r="CH178" s="168">
        <f>'Butadiene Recycling HC'!U204/('Butadiene Recycling HC'!U$197)</f>
        <v>0.31183023019693012</v>
      </c>
      <c r="CI178" s="168">
        <f>'Butadiene Recycling HC'!V204/('Butadiene Recycling HC'!V$197)</f>
        <v>0.31473134477698134</v>
      </c>
      <c r="CJ178" s="168">
        <f>'Butadiene Recycling HC'!W204/('Butadiene Recycling HC'!W$197)</f>
        <v>0.31762846697182956</v>
      </c>
      <c r="CK178" s="168">
        <f>'Butadiene Recycling HC'!X204/('Butadiene Recycling HC'!X$197)</f>
        <v>0.32052166504141338</v>
      </c>
      <c r="CL178" s="168">
        <f>'Butadiene Recycling HC'!Y204/('Butadiene Recycling HC'!Y$197)</f>
        <v>0.32341084489313165</v>
      </c>
      <c r="CM178" s="168">
        <f>'Butadiene Recycling HC'!Z204/('Butadiene Recycling HC'!Z$197)</f>
        <v>0.32629591025374854</v>
      </c>
      <c r="CN178" s="168">
        <f>'Butadiene Recycling HC'!AA204/('Butadiene Recycling HC'!AA$197)</f>
        <v>0.32917676260694279</v>
      </c>
      <c r="CO178" s="168">
        <f>'Butadiene Recycling HC'!AB204/('Butadiene Recycling HC'!AB$197)</f>
        <v>0.33205330112907394</v>
      </c>
      <c r="CP178" s="168">
        <f>'Butadiene Recycling HC'!AC204/('Butadiene Recycling HC'!AC$197)</f>
        <v>0.33492557900647157</v>
      </c>
      <c r="CQ178" s="168">
        <f>'Butadiene Recycling HC'!AD204/('Butadiene Recycling HC'!AD$197)</f>
        <v>0.33779349834333622</v>
      </c>
      <c r="CR178" s="168">
        <f>'Butadiene Recycling HC'!AE204/('Butadiene Recycling HC'!AE$197)</f>
        <v>0.34065695900378778</v>
      </c>
      <c r="CS178" s="168">
        <f>'Butadiene Recycling HC'!AF204/('Butadiene Recycling HC'!AF$197)</f>
        <v>0.34351585855055172</v>
      </c>
      <c r="CT178" s="168">
        <f>'Butadiene Recycling HC'!AG204/('Butadiene Recycling HC'!AG$197)</f>
        <v>0.34637009218193587</v>
      </c>
      <c r="CV178" s="168">
        <f t="shared" si="1605"/>
        <v>0.25732229843938081</v>
      </c>
      <c r="CW178" s="168">
        <f t="shared" si="1575"/>
        <v>0.25213218167665863</v>
      </c>
      <c r="CX178" s="168">
        <f t="shared" si="1576"/>
        <v>0.24698875272507284</v>
      </c>
      <c r="CY178" s="168">
        <f t="shared" si="1577"/>
        <v>0.24189201158462353</v>
      </c>
      <c r="CZ178" s="168">
        <f t="shared" si="1578"/>
        <v>0.23684195825531054</v>
      </c>
      <c r="DA178" s="168">
        <f t="shared" si="1579"/>
        <v>0.23183859273713406</v>
      </c>
      <c r="DB178" s="168">
        <f t="shared" si="1580"/>
        <v>0.22688191503009392</v>
      </c>
      <c r="DC178" s="168">
        <f t="shared" si="1581"/>
        <v>0.2219719251341902</v>
      </c>
      <c r="DD178" s="168">
        <f t="shared" si="1582"/>
        <v>0.21710862304942294</v>
      </c>
      <c r="DE178" s="168">
        <f t="shared" si="1583"/>
        <v>0.21229200877579207</v>
      </c>
      <c r="DF178" s="168">
        <f t="shared" si="1584"/>
        <v>0.20752208231329761</v>
      </c>
      <c r="DG178" s="168">
        <f t="shared" si="1585"/>
        <v>0.20279884366193965</v>
      </c>
      <c r="DH178" s="168">
        <f t="shared" si="1586"/>
        <v>0.19812229282171798</v>
      </c>
      <c r="DI178" s="168">
        <f t="shared" si="1587"/>
        <v>0.19349160408457639</v>
      </c>
      <c r="DJ178" s="168">
        <f t="shared" si="1588"/>
        <v>0.18890752225796315</v>
      </c>
      <c r="DK178" s="168">
        <f t="shared" si="1589"/>
        <v>0.18437004660257306</v>
      </c>
      <c r="DL178" s="168">
        <f t="shared" si="1590"/>
        <v>0.17987917664524503</v>
      </c>
      <c r="DM178" s="168">
        <f t="shared" si="1591"/>
        <v>0.1754349138772926</v>
      </c>
      <c r="DN178" s="168">
        <f t="shared" si="1592"/>
        <v>0.17103726123772744</v>
      </c>
      <c r="DO178" s="168">
        <f t="shared" si="1593"/>
        <v>0.16668622335787106</v>
      </c>
      <c r="DP178" s="168">
        <f t="shared" si="1594"/>
        <v>0.16238180587503076</v>
      </c>
      <c r="DQ178" s="168">
        <f t="shared" si="1595"/>
        <v>0.15812360791401092</v>
      </c>
      <c r="DR178" s="168">
        <f t="shared" si="1596"/>
        <v>0.15391192978637253</v>
      </c>
      <c r="DS178" s="168">
        <f t="shared" si="1597"/>
        <v>0.14974271549273485</v>
      </c>
      <c r="DT178" s="168">
        <f t="shared" si="1598"/>
        <v>0.14561951079320745</v>
      </c>
      <c r="DU178" s="168">
        <f t="shared" si="1599"/>
        <v>0.14154229247949207</v>
      </c>
      <c r="DV178" s="168">
        <f t="shared" si="1600"/>
        <v>0.13751102300748536</v>
      </c>
      <c r="DW178" s="168">
        <f t="shared" si="1601"/>
        <v>0.13352564540557804</v>
      </c>
      <c r="DX178" s="168">
        <f t="shared" si="1602"/>
        <v>0.12958608054586321</v>
      </c>
      <c r="DY178" s="168">
        <f t="shared" si="1603"/>
        <v>0.12569223092255974</v>
      </c>
      <c r="DZ178" s="168">
        <f t="shared" si="1604"/>
        <v>0.12184399383526674</v>
      </c>
    </row>
    <row r="179" spans="1:165">
      <c r="A179" s="606" t="s">
        <v>453</v>
      </c>
      <c r="C179" s="54" t="s">
        <v>462</v>
      </c>
      <c r="D179" s="168">
        <f>'Butadiene Recycling HC'!C229/('Butadiene Recycling HC'!C$207)</f>
        <v>6.6713188484283911E-2</v>
      </c>
      <c r="E179" s="168">
        <f>'Butadiene Recycling HC'!D229/('Butadiene Recycling HC'!D$207)</f>
        <v>6.5951972428562752E-2</v>
      </c>
      <c r="F179" s="168">
        <f>'Butadiene Recycling HC'!E229/('Butadiene Recycling HC'!E$207)</f>
        <v>6.519500071930856E-2</v>
      </c>
      <c r="G179" s="168">
        <f>'Butadiene Recycling HC'!F229/('Butadiene Recycling HC'!F$207)</f>
        <v>6.4442273356521293E-2</v>
      </c>
      <c r="H179" s="168">
        <f>'Butadiene Recycling HC'!G229/('Butadiene Recycling HC'!G$207)</f>
        <v>6.3693790340200979E-2</v>
      </c>
      <c r="I179" s="168">
        <f>'Butadiene Recycling HC'!H229/('Butadiene Recycling HC'!H$207)</f>
        <v>6.2949551670347617E-2</v>
      </c>
      <c r="J179" s="168">
        <f>'Butadiene Recycling HC'!I229/('Butadiene Recycling HC'!I$207)</f>
        <v>6.2209557346961188E-2</v>
      </c>
      <c r="K179" s="168">
        <f>'Butadiene Recycling HC'!J229/('Butadiene Recycling HC'!J$207)</f>
        <v>6.1473807370041718E-2</v>
      </c>
      <c r="L179" s="168">
        <f>'Butadiene Recycling HC'!K229/('Butadiene Recycling HC'!K$207)</f>
        <v>6.0742301739589201E-2</v>
      </c>
      <c r="M179" s="168">
        <f>'Butadiene Recycling HC'!L229/('Butadiene Recycling HC'!L$207)</f>
        <v>6.0015040455603623E-2</v>
      </c>
      <c r="N179" s="168">
        <f>'Butadiene Recycling HC'!M229/('Butadiene Recycling HC'!M$207)</f>
        <v>5.9292023518084984E-2</v>
      </c>
      <c r="O179" s="168">
        <f>'Butadiene Recycling HC'!N229/('Butadiene Recycling HC'!N$207)</f>
        <v>5.8573250927033312E-2</v>
      </c>
      <c r="P179" s="168">
        <f>'Butadiene Recycling HC'!O229/('Butadiene Recycling HC'!O$207)</f>
        <v>5.7858722682448571E-2</v>
      </c>
      <c r="Q179" s="168">
        <f>'Butadiene Recycling HC'!P229/('Butadiene Recycling HC'!P$207)</f>
        <v>5.7148438784330791E-2</v>
      </c>
      <c r="R179" s="168">
        <f>'Butadiene Recycling HC'!Q229/('Butadiene Recycling HC'!Q$207)</f>
        <v>5.6442399232679942E-2</v>
      </c>
      <c r="S179" s="168">
        <f>'Butadiene Recycling HC'!R229/('Butadiene Recycling HC'!R$207)</f>
        <v>5.5740604027496053E-2</v>
      </c>
      <c r="T179" s="168">
        <f>'Butadiene Recycling HC'!S229/('Butadiene Recycling HC'!S$207)</f>
        <v>5.504305316877911E-2</v>
      </c>
      <c r="U179" s="168">
        <f>'Butadiene Recycling HC'!T229/('Butadiene Recycling HC'!T$207)</f>
        <v>5.4349746656529113E-2</v>
      </c>
      <c r="V179" s="168">
        <f>'Butadiene Recycling HC'!U229/('Butadiene Recycling HC'!U$207)</f>
        <v>5.3660684490746055E-2</v>
      </c>
      <c r="W179" s="168">
        <f>'Butadiene Recycling HC'!V229/('Butadiene Recycling HC'!V$207)</f>
        <v>5.2975866671429957E-2</v>
      </c>
      <c r="X179" s="168">
        <f>'Butadiene Recycling HC'!W229/('Butadiene Recycling HC'!W$207)</f>
        <v>5.2295293198580804E-2</v>
      </c>
      <c r="Y179" s="168">
        <f>'Butadiene Recycling HC'!X229/('Butadiene Recycling HC'!X$207)</f>
        <v>5.1618964072198584E-2</v>
      </c>
      <c r="Z179" s="168">
        <f>'Butadiene Recycling HC'!Y229/('Butadiene Recycling HC'!Y$207)</f>
        <v>5.094687929228333E-2</v>
      </c>
      <c r="AA179" s="168">
        <f>'Butadiene Recycling HC'!Z229/('Butadiene Recycling HC'!Z$207)</f>
        <v>5.0279038858835022E-2</v>
      </c>
      <c r="AB179" s="168">
        <f>'Butadiene Recycling HC'!AA229/('Butadiene Recycling HC'!AA$207)</f>
        <v>4.961544277185366E-2</v>
      </c>
      <c r="AC179" s="168">
        <f>'Butadiene Recycling HC'!AB229/('Butadiene Recycling HC'!AB$207)</f>
        <v>4.8956091031339244E-2</v>
      </c>
      <c r="AD179" s="168">
        <f>'Butadiene Recycling HC'!AC229/('Butadiene Recycling HC'!AC$207)</f>
        <v>4.8300983637291781E-2</v>
      </c>
      <c r="AE179" s="168">
        <f>'Butadiene Recycling HC'!AD229/('Butadiene Recycling HC'!AD$207)</f>
        <v>4.7650120589711263E-2</v>
      </c>
      <c r="AF179" s="168">
        <f>'Butadiene Recycling HC'!AE229/('Butadiene Recycling HC'!AE$207)</f>
        <v>4.7003501888597692E-2</v>
      </c>
      <c r="AG179" s="168">
        <f>'Butadiene Recycling HC'!AF229/('Butadiene Recycling HC'!AF$207)</f>
        <v>4.6361127533951059E-2</v>
      </c>
      <c r="AH179" s="168">
        <f>'Butadiene Recycling HC'!AG229/('Butadiene Recycling HC'!AG$207)</f>
        <v>4.5722997525771442E-2</v>
      </c>
      <c r="AI179" s="44"/>
      <c r="AJ179" s="168">
        <f>'Butadiene Recycling LC'!C229/('Butadiene Recycling LC'!C$207)</f>
        <v>6.6713188484283911E-2</v>
      </c>
      <c r="AK179" s="168">
        <f>'Butadiene Recycling LC'!D229/('Butadiene Recycling LC'!D$207)</f>
        <v>6.5951972428562752E-2</v>
      </c>
      <c r="AL179" s="168">
        <f>'Butadiene Recycling LC'!E229/('Butadiene Recycling LC'!E$207)</f>
        <v>6.519500071930856E-2</v>
      </c>
      <c r="AM179" s="168">
        <f>'Butadiene Recycling LC'!F229/('Butadiene Recycling LC'!F$207)</f>
        <v>6.4442273356521293E-2</v>
      </c>
      <c r="AN179" s="168">
        <f>'Butadiene Recycling LC'!G229/('Butadiene Recycling LC'!G$207)</f>
        <v>6.3693790340200979E-2</v>
      </c>
      <c r="AO179" s="168">
        <f>'Butadiene Recycling LC'!H229/('Butadiene Recycling LC'!H$207)</f>
        <v>6.2949551670347617E-2</v>
      </c>
      <c r="AP179" s="168">
        <f>'Butadiene Recycling LC'!I229/('Butadiene Recycling LC'!I$207)</f>
        <v>6.2209557346961188E-2</v>
      </c>
      <c r="AQ179" s="168">
        <f>'Butadiene Recycling LC'!J229/('Butadiene Recycling LC'!J$207)</f>
        <v>6.1473807370041718E-2</v>
      </c>
      <c r="AR179" s="168">
        <f>'Butadiene Recycling LC'!K229/('Butadiene Recycling LC'!K$207)</f>
        <v>6.0742301739589201E-2</v>
      </c>
      <c r="AS179" s="168">
        <f>'Butadiene Recycling LC'!L229/('Butadiene Recycling LC'!L$207)</f>
        <v>6.0015040455603623E-2</v>
      </c>
      <c r="AT179" s="168">
        <f>'Butadiene Recycling LC'!M229/('Butadiene Recycling LC'!M$207)</f>
        <v>5.9292023518084984E-2</v>
      </c>
      <c r="AU179" s="168">
        <f>'Butadiene Recycling LC'!N229/('Butadiene Recycling LC'!N$207)</f>
        <v>5.8573250927033312E-2</v>
      </c>
      <c r="AV179" s="168">
        <f>'Butadiene Recycling LC'!O229/('Butadiene Recycling LC'!O$207)</f>
        <v>5.7858722682448571E-2</v>
      </c>
      <c r="AW179" s="168">
        <f>'Butadiene Recycling LC'!P229/('Butadiene Recycling LC'!P$207)</f>
        <v>5.7148438784330791E-2</v>
      </c>
      <c r="AX179" s="168">
        <f>'Butadiene Recycling LC'!Q229/('Butadiene Recycling LC'!Q$207)</f>
        <v>5.6442399232679942E-2</v>
      </c>
      <c r="AY179" s="168">
        <f>'Butadiene Recycling LC'!R229/('Butadiene Recycling LC'!R$207)</f>
        <v>5.5740604027496053E-2</v>
      </c>
      <c r="AZ179" s="168">
        <f>'Butadiene Recycling LC'!S229/('Butadiene Recycling LC'!S$207)</f>
        <v>5.504305316877911E-2</v>
      </c>
      <c r="BA179" s="168">
        <f>'Butadiene Recycling LC'!T229/('Butadiene Recycling LC'!T$207)</f>
        <v>5.4349746656529113E-2</v>
      </c>
      <c r="BB179" s="168">
        <f>'Butadiene Recycling LC'!U229/('Butadiene Recycling LC'!U$207)</f>
        <v>5.3660684490746055E-2</v>
      </c>
      <c r="BC179" s="168">
        <f>'Butadiene Recycling LC'!V229/('Butadiene Recycling LC'!V$207)</f>
        <v>5.2975866671429957E-2</v>
      </c>
      <c r="BD179" s="168">
        <f>'Butadiene Recycling LC'!W229/('Butadiene Recycling LC'!W$207)</f>
        <v>5.2295293198580804E-2</v>
      </c>
      <c r="BE179" s="168">
        <f>'Butadiene Recycling LC'!X229/('Butadiene Recycling LC'!X$207)</f>
        <v>5.1618964072198584E-2</v>
      </c>
      <c r="BF179" s="168">
        <f>'Butadiene Recycling LC'!Y229/('Butadiene Recycling LC'!Y$207)</f>
        <v>5.094687929228333E-2</v>
      </c>
      <c r="BG179" s="168">
        <f>'Butadiene Recycling LC'!Z229/('Butadiene Recycling LC'!Z$207)</f>
        <v>5.0279038858835022E-2</v>
      </c>
      <c r="BH179" s="168">
        <f>'Butadiene Recycling LC'!AA229/('Butadiene Recycling LC'!AA$207)</f>
        <v>4.961544277185366E-2</v>
      </c>
      <c r="BI179" s="168">
        <f>'Butadiene Recycling LC'!AB229/('Butadiene Recycling LC'!AB$207)</f>
        <v>4.8956091031339244E-2</v>
      </c>
      <c r="BJ179" s="168">
        <f>'Butadiene Recycling LC'!AC229/('Butadiene Recycling LC'!AC$207)</f>
        <v>4.8300983637291781E-2</v>
      </c>
      <c r="BK179" s="168">
        <f>'Butadiene Recycling LC'!AD229/('Butadiene Recycling LC'!AD$207)</f>
        <v>4.7650120589711263E-2</v>
      </c>
      <c r="BL179" s="168">
        <f>'Butadiene Recycling LC'!AE229/('Butadiene Recycling LC'!AE$207)</f>
        <v>4.7003501888597692E-2</v>
      </c>
      <c r="BM179" s="168">
        <f>'Butadiene Recycling LC'!AF229/('Butadiene Recycling LC'!AF$207)</f>
        <v>4.6361127533951059E-2</v>
      </c>
      <c r="BN179" s="168">
        <f>'Butadiene Recycling LC'!AG229/('Butadiene Recycling LC'!AG$207)</f>
        <v>4.5722997525771442E-2</v>
      </c>
      <c r="BP179" s="168">
        <f>'Butadiene Recycling HC'!C205/('Butadiene Recycling HC'!C$197)</f>
        <v>6.6713188484283911E-2</v>
      </c>
      <c r="BQ179" s="168">
        <f>'Butadiene Recycling HC'!D205/('Butadiene Recycling HC'!D$197)</f>
        <v>6.7974843371881297E-2</v>
      </c>
      <c r="BR179" s="168">
        <f>'Butadiene Recycling HC'!E205/('Butadiene Recycling HC'!E$197)</f>
        <v>6.9228894060542612E-2</v>
      </c>
      <c r="BS179" s="168">
        <f>'Butadiene Recycling HC'!F205/('Butadiene Recycling HC'!F$197)</f>
        <v>7.0475222537234164E-2</v>
      </c>
      <c r="BT179" s="168">
        <f>'Butadiene Recycling HC'!G205/('Butadiene Recycling HC'!G$197)</f>
        <v>7.1713657942119063E-2</v>
      </c>
      <c r="BU179" s="168">
        <f>'Butadiene Recycling HC'!H205/('Butadiene Recycling HC'!H$197)</f>
        <v>7.2943974166581785E-2</v>
      </c>
      <c r="BV179" s="168">
        <f>'Butadiene Recycling HC'!I205/('Butadiene Recycling HC'!I$197)</f>
        <v>7.4173279816419413E-2</v>
      </c>
      <c r="BW179" s="168">
        <f>'Butadiene Recycling HC'!J205/('Butadiene Recycling HC'!J$197)</f>
        <v>7.5401517400187454E-2</v>
      </c>
      <c r="BX179" s="168">
        <f>'Butadiene Recycling HC'!K205/('Butadiene Recycling HC'!K$197)</f>
        <v>7.662862858621744E-2</v>
      </c>
      <c r="BY179" s="168">
        <f>'Butadiene Recycling HC'!L205/('Butadiene Recycling HC'!L$197)</f>
        <v>7.7854554058884154E-2</v>
      </c>
      <c r="BZ179" s="168">
        <f>'Butadiene Recycling HC'!M205/('Butadiene Recycling HC'!M$197)</f>
        <v>7.907923337370823E-2</v>
      </c>
      <c r="CA179" s="168">
        <f>'Butadiene Recycling HC'!N205/('Butadiene Recycling HC'!N$197)</f>
        <v>8.0297402555038921E-2</v>
      </c>
      <c r="CB179" s="168">
        <f>'Butadiene Recycling HC'!O205/('Butadiene Recycling HC'!O$197)</f>
        <v>8.1508771519038029E-2</v>
      </c>
      <c r="CC179" s="168">
        <f>'Butadiene Recycling HC'!P205/('Butadiene Recycling HC'!P$197)</f>
        <v>8.2713011143570617E-2</v>
      </c>
      <c r="CD179" s="168">
        <f>'Butadiene Recycling HC'!Q205/('Butadiene Recycling HC'!Q$197)</f>
        <v>8.3909750002413241E-2</v>
      </c>
      <c r="CE179" s="168">
        <f>'Butadiene Recycling HC'!R205/('Butadiene Recycling HC'!R$197)</f>
        <v>8.5098570671493248E-2</v>
      </c>
      <c r="CF179" s="168">
        <f>'Butadiene Recycling HC'!S205/('Butadiene Recycling HC'!S$197)</f>
        <v>8.6286177083579496E-2</v>
      </c>
      <c r="CG179" s="168">
        <f>'Butadiene Recycling HC'!T205/('Butadiene Recycling HC'!T$197)</f>
        <v>8.7472536259987813E-2</v>
      </c>
      <c r="CH179" s="168">
        <f>'Butadiene Recycling HC'!U205/('Butadiene Recycling HC'!U$197)</f>
        <v>8.8657614467754706E-2</v>
      </c>
      <c r="CI179" s="168">
        <f>'Butadiene Recycling HC'!V205/('Butadiene Recycling HC'!V$197)</f>
        <v>8.9841377196099734E-2</v>
      </c>
      <c r="CJ179" s="168">
        <f>'Butadiene Recycling HC'!W205/('Butadiene Recycling HC'!W$197)</f>
        <v>9.1023789132207725E-2</v>
      </c>
      <c r="CK179" s="168">
        <f>'Butadiene Recycling HC'!X205/('Butadiene Recycling HC'!X$197)</f>
        <v>9.2204862546160074E-2</v>
      </c>
      <c r="CL179" s="168">
        <f>'Butadiene Recycling HC'!Y205/('Butadiene Recycling HC'!Y$197)</f>
        <v>9.338456339557781E-2</v>
      </c>
      <c r="CM179" s="168">
        <f>'Butadiene Recycling HC'!Z205/('Butadiene Recycling HC'!Z$197)</f>
        <v>9.4562856859739711E-2</v>
      </c>
      <c r="CN179" s="168">
        <f>'Butadiene Recycling HC'!AA205/('Butadiene Recycling HC'!AA$197)</f>
        <v>9.5739707316735451E-2</v>
      </c>
      <c r="CO179" s="168">
        <f>'Butadiene Recycling HC'!AB205/('Butadiene Recycling HC'!AB$197)</f>
        <v>9.6915078319969025E-2</v>
      </c>
      <c r="CP179" s="168">
        <f>'Butadiene Recycling HC'!AC205/('Butadiene Recycling HC'!AC$197)</f>
        <v>9.8088978373670796E-2</v>
      </c>
      <c r="CQ179" s="168">
        <f>'Butadiene Recycling HC'!AD205/('Butadiene Recycling HC'!AD$197)</f>
        <v>9.926137204561665E-2</v>
      </c>
      <c r="CR179" s="168">
        <f>'Butadiene Recycling HC'!AE205/('Butadiene Recycling HC'!AE$197)</f>
        <v>0.10043222309802323</v>
      </c>
      <c r="CS179" s="168">
        <f>'Butadiene Recycling HC'!AF205/('Butadiene Recycling HC'!AF$197)</f>
        <v>0.10160149446507181</v>
      </c>
      <c r="CT179" s="168">
        <f>'Butadiene Recycling HC'!AG205/('Butadiene Recycling HC'!AG$197)</f>
        <v>0.10276914822980517</v>
      </c>
      <c r="CV179" s="168">
        <f t="shared" si="1605"/>
        <v>6.6713188484283911E-2</v>
      </c>
      <c r="CW179" s="168">
        <f t="shared" si="1575"/>
        <v>6.5951972428562752E-2</v>
      </c>
      <c r="CX179" s="168">
        <f t="shared" si="1576"/>
        <v>6.519500071930856E-2</v>
      </c>
      <c r="CY179" s="168">
        <f t="shared" si="1577"/>
        <v>6.4442273356521293E-2</v>
      </c>
      <c r="CZ179" s="168">
        <f t="shared" si="1578"/>
        <v>6.3693790340200979E-2</v>
      </c>
      <c r="DA179" s="168">
        <f t="shared" si="1579"/>
        <v>6.2949551670347617E-2</v>
      </c>
      <c r="DB179" s="168">
        <f t="shared" si="1580"/>
        <v>6.2209557346961188E-2</v>
      </c>
      <c r="DC179" s="168">
        <f t="shared" si="1581"/>
        <v>6.1473807370041718E-2</v>
      </c>
      <c r="DD179" s="168">
        <f t="shared" si="1582"/>
        <v>6.0742301739589201E-2</v>
      </c>
      <c r="DE179" s="168">
        <f t="shared" si="1583"/>
        <v>6.0015040455603623E-2</v>
      </c>
      <c r="DF179" s="168">
        <f t="shared" si="1584"/>
        <v>5.9292023518084984E-2</v>
      </c>
      <c r="DG179" s="168">
        <f t="shared" si="1585"/>
        <v>5.8573250927033318E-2</v>
      </c>
      <c r="DH179" s="168">
        <f t="shared" si="1586"/>
        <v>5.7858722682448571E-2</v>
      </c>
      <c r="DI179" s="168">
        <f t="shared" si="1587"/>
        <v>5.7148194909537507E-2</v>
      </c>
      <c r="DJ179" s="168">
        <f t="shared" si="1588"/>
        <v>5.6441881650245031E-2</v>
      </c>
      <c r="DK179" s="168">
        <f t="shared" si="1589"/>
        <v>5.5739781531010418E-2</v>
      </c>
      <c r="DL179" s="168">
        <f t="shared" si="1590"/>
        <v>5.5041893169049685E-2</v>
      </c>
      <c r="DM179" s="168">
        <f t="shared" si="1591"/>
        <v>5.4348215695533608E-2</v>
      </c>
      <c r="DN179" s="168">
        <f t="shared" si="1592"/>
        <v>5.3658748623600726E-2</v>
      </c>
      <c r="DO179" s="168">
        <f t="shared" si="1593"/>
        <v>5.2973491949007225E-2</v>
      </c>
      <c r="DP179" s="168">
        <f t="shared" si="1594"/>
        <v>5.2292445959755622E-2</v>
      </c>
      <c r="DQ179" s="168">
        <f t="shared" si="1595"/>
        <v>5.1615478230998324E-2</v>
      </c>
      <c r="DR179" s="168">
        <f t="shared" si="1596"/>
        <v>5.0942680985630304E-2</v>
      </c>
      <c r="DS179" s="168">
        <f t="shared" si="1597"/>
        <v>5.0272689043341819E-2</v>
      </c>
      <c r="DT179" s="168">
        <f t="shared" si="1598"/>
        <v>4.960664653394975E-2</v>
      </c>
      <c r="DU179" s="168">
        <f t="shared" si="1599"/>
        <v>4.8944531044310305E-2</v>
      </c>
      <c r="DV179" s="168">
        <f t="shared" si="1600"/>
        <v>4.8286313422475746E-2</v>
      </c>
      <c r="DW179" s="168">
        <f t="shared" si="1601"/>
        <v>4.7631955378598004E-2</v>
      </c>
      <c r="DX179" s="168">
        <f t="shared" si="1602"/>
        <v>4.6981407687942428E-2</v>
      </c>
      <c r="DY179" s="168">
        <f t="shared" si="1603"/>
        <v>4.6334610584487394E-2</v>
      </c>
      <c r="DZ179" s="168">
        <f t="shared" si="1604"/>
        <v>4.5691497688225023E-2</v>
      </c>
    </row>
    <row r="180" spans="1:165" ht="16" thickBot="1">
      <c r="A180" s="606" t="s">
        <v>454</v>
      </c>
      <c r="C180" s="54" t="s">
        <v>462</v>
      </c>
      <c r="D180" s="168">
        <f>'Butadiene Recycling HC'!C230/('Butadiene Recycling HC'!C$207)</f>
        <v>4.7652277488774229E-2</v>
      </c>
      <c r="E180" s="168">
        <f>'Butadiene Recycling HC'!D230/('Butadiene Recycling HC'!D$207)</f>
        <v>4.67028321503698E-2</v>
      </c>
      <c r="F180" s="168">
        <f>'Butadiene Recycling HC'!E230/('Butadiene Recycling HC'!E$207)</f>
        <v>4.5761875504899269E-2</v>
      </c>
      <c r="G180" s="168">
        <f>'Butadiene Recycling HC'!F230/('Butadiene Recycling HC'!F$207)</f>
        <v>4.4829407552362636E-2</v>
      </c>
      <c r="H180" s="168">
        <f>'Butadiene Recycling HC'!G230/('Butadiene Recycling HC'!G$207)</f>
        <v>4.3905428292759896E-2</v>
      </c>
      <c r="I180" s="168">
        <f>'Butadiene Recycling HC'!H230/('Butadiene Recycling HC'!H$207)</f>
        <v>4.2989937726091054E-2</v>
      </c>
      <c r="J180" s="168">
        <f>'Butadiene Recycling HC'!I230/('Butadiene Recycling HC'!I$207)</f>
        <v>4.2082935852356104E-2</v>
      </c>
      <c r="K180" s="168">
        <f>'Butadiene Recycling HC'!J230/('Butadiene Recycling HC'!J$207)</f>
        <v>4.1184422671555039E-2</v>
      </c>
      <c r="L180" s="168">
        <f>'Butadiene Recycling HC'!K230/('Butadiene Recycling HC'!K$207)</f>
        <v>4.0294398183687886E-2</v>
      </c>
      <c r="M180" s="168">
        <f>'Butadiene Recycling HC'!L230/('Butadiene Recycling HC'!L$207)</f>
        <v>3.9412862388754619E-2</v>
      </c>
      <c r="N180" s="168">
        <f>'Butadiene Recycling HC'!M230/('Butadiene Recycling HC'!M$207)</f>
        <v>3.8539815286755243E-2</v>
      </c>
      <c r="O180" s="168">
        <f>'Butadiene Recycling HC'!N230/('Butadiene Recycling HC'!N$207)</f>
        <v>3.7675256877689772E-2</v>
      </c>
      <c r="P180" s="168">
        <f>'Butadiene Recycling HC'!O230/('Butadiene Recycling HC'!O$207)</f>
        <v>3.681918716155818E-2</v>
      </c>
      <c r="Q180" s="168">
        <f>'Butadiene Recycling HC'!P230/('Butadiene Recycling HC'!P$207)</f>
        <v>3.59716061383605E-2</v>
      </c>
      <c r="R180" s="168">
        <f>'Butadiene Recycling HC'!Q230/('Butadiene Recycling HC'!Q$207)</f>
        <v>3.5132513808096705E-2</v>
      </c>
      <c r="S180" s="168">
        <f>'Butadiene Recycling HC'!R230/('Butadiene Recycling HC'!R$207)</f>
        <v>3.4301910170766801E-2</v>
      </c>
      <c r="T180" s="168">
        <f>'Butadiene Recycling HC'!S230/('Butadiene Recycling HC'!S$207)</f>
        <v>3.3479795226370797E-2</v>
      </c>
      <c r="U180" s="168">
        <f>'Butadiene Recycling HC'!T230/('Butadiene Recycling HC'!T$207)</f>
        <v>3.2666168974908691E-2</v>
      </c>
      <c r="V180" s="168">
        <f>'Butadiene Recycling HC'!U230/('Butadiene Recycling HC'!U$207)</f>
        <v>3.186103141638047E-2</v>
      </c>
      <c r="W180" s="168">
        <f>'Butadiene Recycling HC'!V230/('Butadiene Recycling HC'!V$207)</f>
        <v>3.1064382550786147E-2</v>
      </c>
      <c r="X180" s="168">
        <f>'Butadiene Recycling HC'!W230/('Butadiene Recycling HC'!W$207)</f>
        <v>3.0276222378125724E-2</v>
      </c>
      <c r="Y180" s="168">
        <f>'Butadiene Recycling HC'!X230/('Butadiene Recycling HC'!X$207)</f>
        <v>2.9496550898399192E-2</v>
      </c>
      <c r="Z180" s="168">
        <f>'Butadiene Recycling HC'!Y230/('Butadiene Recycling HC'!Y$207)</f>
        <v>2.8725368111606555E-2</v>
      </c>
      <c r="AA180" s="168">
        <f>'Butadiene Recycling HC'!Z230/('Butadiene Recycling HC'!Z$207)</f>
        <v>2.7962674017747813E-2</v>
      </c>
      <c r="AB180" s="168">
        <f>'Butadiene Recycling HC'!AA230/('Butadiene Recycling HC'!AA$207)</f>
        <v>2.7208468616822964E-2</v>
      </c>
      <c r="AC180" s="168">
        <f>'Butadiene Recycling HC'!AB230/('Butadiene Recycling HC'!AB$207)</f>
        <v>2.6462751908832009E-2</v>
      </c>
      <c r="AD180" s="168">
        <f>'Butadiene Recycling HC'!AC230/('Butadiene Recycling HC'!AC$207)</f>
        <v>2.572552389377495E-2</v>
      </c>
      <c r="AE180" s="168">
        <f>'Butadiene Recycling HC'!AD230/('Butadiene Recycling HC'!AD$207)</f>
        <v>2.4996784571651786E-2</v>
      </c>
      <c r="AF180" s="168">
        <f>'Butadiene Recycling HC'!AE230/('Butadiene Recycling HC'!AE$207)</f>
        <v>2.4276533942462521E-2</v>
      </c>
      <c r="AG180" s="168">
        <f>'Butadiene Recycling HC'!AF230/('Butadiene Recycling HC'!AF$207)</f>
        <v>2.356477200620714E-2</v>
      </c>
      <c r="AH180" s="168">
        <f>'Butadiene Recycling HC'!AG230/('Butadiene Recycling HC'!AG$207)</f>
        <v>2.2861498762885721E-2</v>
      </c>
      <c r="AI180" s="44"/>
      <c r="AJ180" s="168">
        <f>'Butadiene Recycling LC'!C230/('Butadiene Recycling LC'!C$207)</f>
        <v>4.7652277488774229E-2</v>
      </c>
      <c r="AK180" s="168">
        <f>'Butadiene Recycling LC'!D230/('Butadiene Recycling LC'!D$207)</f>
        <v>4.67028321503698E-2</v>
      </c>
      <c r="AL180" s="168">
        <f>'Butadiene Recycling LC'!E230/('Butadiene Recycling LC'!E$207)</f>
        <v>4.5761875504899269E-2</v>
      </c>
      <c r="AM180" s="168">
        <f>'Butadiene Recycling LC'!F230/('Butadiene Recycling LC'!F$207)</f>
        <v>4.4829407552362636E-2</v>
      </c>
      <c r="AN180" s="168">
        <f>'Butadiene Recycling LC'!G230/('Butadiene Recycling LC'!G$207)</f>
        <v>4.3905428292759896E-2</v>
      </c>
      <c r="AO180" s="168">
        <f>'Butadiene Recycling LC'!H230/('Butadiene Recycling LC'!H$207)</f>
        <v>4.2989937726091054E-2</v>
      </c>
      <c r="AP180" s="168">
        <f>'Butadiene Recycling LC'!I230/('Butadiene Recycling LC'!I$207)</f>
        <v>4.2082935852356104E-2</v>
      </c>
      <c r="AQ180" s="168">
        <f>'Butadiene Recycling LC'!J230/('Butadiene Recycling LC'!J$207)</f>
        <v>4.1184422671555039E-2</v>
      </c>
      <c r="AR180" s="168">
        <f>'Butadiene Recycling LC'!K230/('Butadiene Recycling LC'!K$207)</f>
        <v>4.0294398183687886E-2</v>
      </c>
      <c r="AS180" s="168">
        <f>'Butadiene Recycling LC'!L230/('Butadiene Recycling LC'!L$207)</f>
        <v>3.9412862388754619E-2</v>
      </c>
      <c r="AT180" s="168">
        <f>'Butadiene Recycling LC'!M230/('Butadiene Recycling LC'!M$207)</f>
        <v>3.8539815286755243E-2</v>
      </c>
      <c r="AU180" s="168">
        <f>'Butadiene Recycling LC'!N230/('Butadiene Recycling LC'!N$207)</f>
        <v>3.7675256877689772E-2</v>
      </c>
      <c r="AV180" s="168">
        <f>'Butadiene Recycling LC'!O230/('Butadiene Recycling LC'!O$207)</f>
        <v>3.681918716155818E-2</v>
      </c>
      <c r="AW180" s="168">
        <f>'Butadiene Recycling LC'!P230/('Butadiene Recycling LC'!P$207)</f>
        <v>3.59716061383605E-2</v>
      </c>
      <c r="AX180" s="168">
        <f>'Butadiene Recycling LC'!Q230/('Butadiene Recycling LC'!Q$207)</f>
        <v>3.5132513808096705E-2</v>
      </c>
      <c r="AY180" s="168">
        <f>'Butadiene Recycling LC'!R230/('Butadiene Recycling LC'!R$207)</f>
        <v>3.4301910170766801E-2</v>
      </c>
      <c r="AZ180" s="168">
        <f>'Butadiene Recycling LC'!S230/('Butadiene Recycling LC'!S$207)</f>
        <v>3.3479795226370797E-2</v>
      </c>
      <c r="BA180" s="168">
        <f>'Butadiene Recycling LC'!T230/('Butadiene Recycling LC'!T$207)</f>
        <v>3.2666168974908691E-2</v>
      </c>
      <c r="BB180" s="168">
        <f>'Butadiene Recycling LC'!U230/('Butadiene Recycling LC'!U$207)</f>
        <v>3.186103141638047E-2</v>
      </c>
      <c r="BC180" s="168">
        <f>'Butadiene Recycling LC'!V230/('Butadiene Recycling LC'!V$207)</f>
        <v>3.1064382550786147E-2</v>
      </c>
      <c r="BD180" s="168">
        <f>'Butadiene Recycling LC'!W230/('Butadiene Recycling LC'!W$207)</f>
        <v>3.0276222378125724E-2</v>
      </c>
      <c r="BE180" s="168">
        <f>'Butadiene Recycling LC'!X230/('Butadiene Recycling LC'!X$207)</f>
        <v>2.9496550898399192E-2</v>
      </c>
      <c r="BF180" s="168">
        <f>'Butadiene Recycling LC'!Y230/('Butadiene Recycling LC'!Y$207)</f>
        <v>2.8725368111606555E-2</v>
      </c>
      <c r="BG180" s="168">
        <f>'Butadiene Recycling LC'!Z230/('Butadiene Recycling LC'!Z$207)</f>
        <v>2.7962674017747813E-2</v>
      </c>
      <c r="BH180" s="168">
        <f>'Butadiene Recycling LC'!AA230/('Butadiene Recycling LC'!AA$207)</f>
        <v>2.7208468616822964E-2</v>
      </c>
      <c r="BI180" s="168">
        <f>'Butadiene Recycling LC'!AB230/('Butadiene Recycling LC'!AB$207)</f>
        <v>2.6462751908832009E-2</v>
      </c>
      <c r="BJ180" s="168">
        <f>'Butadiene Recycling LC'!AC230/('Butadiene Recycling LC'!AC$207)</f>
        <v>2.572552389377495E-2</v>
      </c>
      <c r="BK180" s="168">
        <f>'Butadiene Recycling LC'!AD230/('Butadiene Recycling LC'!AD$207)</f>
        <v>2.4996784571651786E-2</v>
      </c>
      <c r="BL180" s="168">
        <f>'Butadiene Recycling LC'!AE230/('Butadiene Recycling LC'!AE$207)</f>
        <v>2.4276533942462521E-2</v>
      </c>
      <c r="BM180" s="168">
        <f>'Butadiene Recycling LC'!AF230/('Butadiene Recycling LC'!AF$207)</f>
        <v>2.356477200620714E-2</v>
      </c>
      <c r="BN180" s="168">
        <f>'Butadiene Recycling LC'!AG230/('Butadiene Recycling LC'!AG$207)</f>
        <v>2.2861498762885721E-2</v>
      </c>
      <c r="BP180" s="168">
        <f>'Butadiene Recycling HC'!C206/('Butadiene Recycling HC'!C$197)</f>
        <v>4.7652277488774229E-2</v>
      </c>
      <c r="BQ180" s="168">
        <f>'Butadiene Recycling HC'!D206/('Butadiene Recycling HC'!D$197)</f>
        <v>4.8389949304024016E-2</v>
      </c>
      <c r="BR180" s="168">
        <f>'Butadiene Recycling HC'!E206/('Butadiene Recycling HC'!E$197)</f>
        <v>4.9121972623840895E-2</v>
      </c>
      <c r="BS180" s="168">
        <f>'Butadiene Recycling HC'!F206/('Butadiene Recycling HC'!F$197)</f>
        <v>4.9848328136092468E-2</v>
      </c>
      <c r="BT180" s="168">
        <f>'Butadiene Recycling HC'!G206/('Butadiene Recycling HC'!G$197)</f>
        <v>5.0568955955632822E-2</v>
      </c>
      <c r="BU180" s="168">
        <f>'Butadiene Recycling HC'!H206/('Butadiene Recycling HC'!H$197)</f>
        <v>5.1283754763404674E-2</v>
      </c>
      <c r="BV180" s="168">
        <f>'Butadiene Recycling HC'!I206/('Butadiene Recycling HC'!I$197)</f>
        <v>5.1997763170273409E-2</v>
      </c>
      <c r="BW180" s="168">
        <f>'Butadiene Recycling HC'!J206/('Butadiene Recycling HC'!J$197)</f>
        <v>5.2710950879082882E-2</v>
      </c>
      <c r="BX180" s="168">
        <f>'Butadiene Recycling HC'!K206/('Butadiene Recycling HC'!K$197)</f>
        <v>5.3423286818011846E-2</v>
      </c>
      <c r="BY180" s="168">
        <f>'Butadiene Recycling HC'!L206/('Butadiene Recycling HC'!L$197)</f>
        <v>5.4134739063057061E-2</v>
      </c>
      <c r="BZ180" s="168">
        <f>'Butadiene Recycling HC'!M206/('Butadiene Recycling HC'!M$197)</f>
        <v>5.484527475918477E-2</v>
      </c>
      <c r="CA180" s="168">
        <f>'Butadiene Recycling HC'!N206/('Butadiene Recycling HC'!N$197)</f>
        <v>5.5551261020999949E-2</v>
      </c>
      <c r="CB180" s="168">
        <f>'Butadiene Recycling HC'!O206/('Butadiene Recycling HC'!O$197)</f>
        <v>5.6252532456800924E-2</v>
      </c>
      <c r="CC180" s="168">
        <f>'Butadiene Recycling HC'!P206/('Butadiene Recycling HC'!P$197)</f>
        <v>5.6948896647038248E-2</v>
      </c>
      <c r="CD180" s="168">
        <f>'Butadiene Recycling HC'!Q206/('Butadiene Recycling HC'!Q$197)</f>
        <v>5.7640132220502745E-2</v>
      </c>
      <c r="CE180" s="168">
        <f>'Butadiene Recycling HC'!R206/('Butadiene Recycling HC'!R$197)</f>
        <v>5.8325986640012262E-2</v>
      </c>
      <c r="CF180" s="168">
        <f>'Butadiene Recycling HC'!S206/('Butadiene Recycling HC'!S$197)</f>
        <v>5.9011078271340237E-2</v>
      </c>
      <c r="CG180" s="168">
        <f>'Butadiene Recycling HC'!T206/('Butadiene Recycling HC'!T$197)</f>
        <v>5.9695387090756488E-2</v>
      </c>
      <c r="CH180" s="168">
        <f>'Butadiene Recycling HC'!U206/('Butadiene Recycling HC'!U$197)</f>
        <v>6.037889261166058E-2</v>
      </c>
      <c r="CI180" s="168">
        <f>'Butadiene Recycling HC'!V206/('Butadiene Recycling HC'!V$197)</f>
        <v>6.1061573870347066E-2</v>
      </c>
      <c r="CJ180" s="168">
        <f>'Butadiene Recycling HC'!W206/('Butadiene Recycling HC'!W$197)</f>
        <v>6.1743409411357739E-2</v>
      </c>
      <c r="CK180" s="168">
        <f>'Butadiene Recycling HC'!X206/('Butadiene Recycling HC'!X$197)</f>
        <v>6.242441004677924E-2</v>
      </c>
      <c r="CL180" s="168">
        <f>'Butadiene Recycling HC'!Y206/('Butadiene Recycling HC'!Y$197)</f>
        <v>6.3104555101098955E-2</v>
      </c>
      <c r="CM180" s="168">
        <f>'Butadiene Recycling HC'!Z206/('Butadiene Recycling HC'!Z$197)</f>
        <v>6.378382342321387E-2</v>
      </c>
      <c r="CN180" s="168">
        <f>'Butadiene Recycling HC'!AA206/('Butadiene Recycling HC'!AA$197)</f>
        <v>6.4462193372622739E-2</v>
      </c>
      <c r="CO180" s="168">
        <f>'Butadiene Recycling HC'!AB206/('Butadiene Recycling HC'!AB$197)</f>
        <v>6.5139642805225162E-2</v>
      </c>
      <c r="CP180" s="168">
        <f>'Butadiene Recycling HC'!AC206/('Butadiene Recycling HC'!AC$197)</f>
        <v>6.5816179789587467E-2</v>
      </c>
      <c r="CQ180" s="168">
        <f>'Butadiene Recycling HC'!AD206/('Butadiene Recycling HC'!AD$197)</f>
        <v>6.6491782809827732E-2</v>
      </c>
      <c r="CR180" s="168">
        <f>'Butadiene Recycling HC'!AE206/('Butadiene Recycling HC'!AE$197)</f>
        <v>6.7166429859487176E-2</v>
      </c>
      <c r="CS180" s="168">
        <f>'Butadiene Recycling HC'!AF206/('Butadiene Recycling HC'!AF$197)</f>
        <v>6.7840098427958712E-2</v>
      </c>
      <c r="CT180" s="168">
        <f>'Butadiene Recycling HC'!AG206/('Butadiene Recycling HC'!AG$197)</f>
        <v>6.8512765486536772E-2</v>
      </c>
      <c r="CV180" s="168">
        <f t="shared" si="1605"/>
        <v>4.7652277488774229E-2</v>
      </c>
      <c r="CW180" s="168">
        <f t="shared" si="1575"/>
        <v>4.67028321503698E-2</v>
      </c>
      <c r="CX180" s="168">
        <f t="shared" si="1576"/>
        <v>4.5761875504899262E-2</v>
      </c>
      <c r="CY180" s="168">
        <f t="shared" si="1577"/>
        <v>4.4829407552362636E-2</v>
      </c>
      <c r="CZ180" s="168">
        <f t="shared" si="1578"/>
        <v>4.3905428292759896E-2</v>
      </c>
      <c r="DA180" s="168">
        <f t="shared" si="1579"/>
        <v>4.2989937726091054E-2</v>
      </c>
      <c r="DB180" s="168">
        <f t="shared" si="1580"/>
        <v>4.2082935852356104E-2</v>
      </c>
      <c r="DC180" s="168">
        <f t="shared" si="1581"/>
        <v>4.1184422671555039E-2</v>
      </c>
      <c r="DD180" s="168">
        <f t="shared" si="1582"/>
        <v>4.0294398183687886E-2</v>
      </c>
      <c r="DE180" s="168">
        <f t="shared" si="1583"/>
        <v>3.9412862388754619E-2</v>
      </c>
      <c r="DF180" s="168">
        <f t="shared" si="1584"/>
        <v>3.8539815286755243E-2</v>
      </c>
      <c r="DG180" s="168">
        <f t="shared" si="1585"/>
        <v>3.7675256877689772E-2</v>
      </c>
      <c r="DH180" s="168">
        <f t="shared" si="1586"/>
        <v>3.681918716155818E-2</v>
      </c>
      <c r="DI180" s="168">
        <f t="shared" si="1587"/>
        <v>3.5971452633414468E-2</v>
      </c>
      <c r="DJ180" s="168">
        <f t="shared" si="1588"/>
        <v>3.5132191639438239E-2</v>
      </c>
      <c r="DK180" s="168">
        <f t="shared" si="1589"/>
        <v>3.4301404019083333E-2</v>
      </c>
      <c r="DL180" s="168">
        <f t="shared" si="1590"/>
        <v>3.347908965952507E-2</v>
      </c>
      <c r="DM180" s="168">
        <f t="shared" si="1591"/>
        <v>3.2665248811823311E-2</v>
      </c>
      <c r="DN180" s="168">
        <f t="shared" si="1592"/>
        <v>3.1859881995262927E-2</v>
      </c>
      <c r="DO180" s="168">
        <f t="shared" si="1593"/>
        <v>3.1062990043396903E-2</v>
      </c>
      <c r="DP180" s="168">
        <f t="shared" si="1594"/>
        <v>3.0274573976700615E-2</v>
      </c>
      <c r="DQ180" s="168">
        <f t="shared" si="1595"/>
        <v>2.9494558989141897E-2</v>
      </c>
      <c r="DR180" s="168">
        <f t="shared" si="1596"/>
        <v>2.8723000981259631E-2</v>
      </c>
      <c r="DS180" s="168">
        <f t="shared" si="1597"/>
        <v>2.795914256955908E-2</v>
      </c>
      <c r="DT180" s="168">
        <f t="shared" si="1598"/>
        <v>2.7203644873456299E-2</v>
      </c>
      <c r="DU180" s="168">
        <f t="shared" si="1599"/>
        <v>2.6456503267194745E-2</v>
      </c>
      <c r="DV180" s="168">
        <f t="shared" si="1600"/>
        <v>2.5717710409796847E-2</v>
      </c>
      <c r="DW180" s="168">
        <f t="shared" si="1601"/>
        <v>2.4987255280575976E-2</v>
      </c>
      <c r="DX180" s="168">
        <f t="shared" si="1602"/>
        <v>2.42651226520142E-2</v>
      </c>
      <c r="DY180" s="168">
        <f t="shared" si="1603"/>
        <v>2.3551293777750473E-2</v>
      </c>
      <c r="DZ180" s="168">
        <f t="shared" si="1604"/>
        <v>2.2845748844112512E-2</v>
      </c>
    </row>
    <row r="181" spans="1:165" s="624" customFormat="1" ht="16" thickBot="1">
      <c r="A181" s="623" t="s">
        <v>463</v>
      </c>
      <c r="C181" s="625" t="s">
        <v>413</v>
      </c>
      <c r="D181" s="627">
        <f>SUMPRODUCT(D162:D170,D172:D180)</f>
        <v>0.98582389346283572</v>
      </c>
      <c r="E181" s="627">
        <f t="shared" ref="E181" si="1606">SUMPRODUCT(E162:E170,E172:E180)</f>
        <v>0.98586320570935304</v>
      </c>
      <c r="F181" s="627">
        <f t="shared" ref="F181" si="1607">SUMPRODUCT(F162:F170,F172:F180)</f>
        <v>0.98609902470034327</v>
      </c>
      <c r="G181" s="627">
        <f t="shared" ref="G181" si="1608">SUMPRODUCT(G162:G170,G172:G180)</f>
        <v>0.98651837829982858</v>
      </c>
      <c r="H181" s="627">
        <f t="shared" ref="H181" si="1609">SUMPRODUCT(H162:H170,H172:H180)</f>
        <v>0.98710371864797342</v>
      </c>
      <c r="I181" s="627">
        <f t="shared" ref="I181" si="1610">SUMPRODUCT(I162:I170,I172:I180)</f>
        <v>0.98782771273258607</v>
      </c>
      <c r="J181" s="627">
        <f t="shared" ref="J181" si="1611">SUMPRODUCT(J162:J170,J172:J180)</f>
        <v>0.98864273917588208</v>
      </c>
      <c r="K181" s="627">
        <f t="shared" ref="K181" si="1612">SUMPRODUCT(K162:K170,K172:K180)</f>
        <v>0.98946060497953137</v>
      </c>
      <c r="L181" s="627">
        <f t="shared" ref="L181" si="1613">SUMPRODUCT(L162:L170,L172:L180)</f>
        <v>0.990115578751942</v>
      </c>
      <c r="M181" s="627">
        <f t="shared" ref="M181" si="1614">SUMPRODUCT(M162:M170,M172:M180)</f>
        <v>0.99030234029066011</v>
      </c>
      <c r="N181" s="627">
        <f t="shared" ref="N181" si="1615">SUMPRODUCT(N162:N170,N172:N180)</f>
        <v>0.9894840969801979</v>
      </c>
      <c r="O181" s="627">
        <f t="shared" ref="O181" si="1616">SUMPRODUCT(O162:O170,O172:O180)</f>
        <v>0.98678299332126329</v>
      </c>
      <c r="P181" s="627">
        <f t="shared" ref="P181" si="1617">SUMPRODUCT(P162:P170,P172:P180)</f>
        <v>0.98090289302092559</v>
      </c>
      <c r="Q181" s="627">
        <f t="shared" ref="Q181" si="1618">SUMPRODUCT(Q162:Q170,Q172:Q180)</f>
        <v>0.97018462284215312</v>
      </c>
      <c r="R181" s="627">
        <f t="shared" ref="R181" si="1619">SUMPRODUCT(R162:R170,R172:R180)</f>
        <v>0.95290559063401248</v>
      </c>
      <c r="S181" s="627">
        <f t="shared" ref="S181" si="1620">SUMPRODUCT(S162:S170,S172:S180)</f>
        <v>0.92783100037380106</v>
      </c>
      <c r="T181" s="627">
        <f t="shared" ref="T181" si="1621">SUMPRODUCT(T162:T170,T172:T180)</f>
        <v>0.89480253856211933</v>
      </c>
      <c r="U181" s="627">
        <f t="shared" ref="U181" si="1622">SUMPRODUCT(U162:U170,U172:U180)</f>
        <v>0.8549986116698074</v>
      </c>
      <c r="V181" s="627">
        <f t="shared" ref="V181" si="1623">SUMPRODUCT(V162:V170,V172:V180)</f>
        <v>0.81064607833311331</v>
      </c>
      <c r="W181" s="627">
        <f t="shared" ref="W181" si="1624">SUMPRODUCT(W162:W170,W172:W180)</f>
        <v>0.76433643070537649</v>
      </c>
      <c r="X181" s="627">
        <f t="shared" ref="X181" si="1625">SUMPRODUCT(X162:X170,X172:X180)</f>
        <v>0.71833902820639961</v>
      </c>
      <c r="Y181" s="627">
        <f t="shared" ref="Y181" si="1626">SUMPRODUCT(Y162:Y170,Y172:Y180)</f>
        <v>0.67421120289229564</v>
      </c>
      <c r="Z181" s="627">
        <f t="shared" ref="Z181" si="1627">SUMPRODUCT(Z162:Z170,Z172:Z180)</f>
        <v>0.63274818617811612</v>
      </c>
      <c r="AA181" s="627">
        <f t="shared" ref="AA181" si="1628">SUMPRODUCT(AA162:AA170,AA172:AA180)</f>
        <v>0.59414354118559176</v>
      </c>
      <c r="AB181" s="627">
        <f t="shared" ref="AB181" si="1629">SUMPRODUCT(AB162:AB170,AB172:AB180)</f>
        <v>0.55821043861897257</v>
      </c>
      <c r="AC181" s="627">
        <f t="shared" ref="AC181" si="1630">SUMPRODUCT(AC162:AC170,AC172:AC180)</f>
        <v>0.52457279039856897</v>
      </c>
      <c r="AD181" s="627">
        <f t="shared" ref="AD181" si="1631">SUMPRODUCT(AD162:AD170,AD172:AD180)</f>
        <v>0.49279615711703084</v>
      </c>
      <c r="AE181" s="627">
        <f t="shared" ref="AE181" si="1632">SUMPRODUCT(AE162:AE170,AE172:AE180)</f>
        <v>0.46246287794316654</v>
      </c>
      <c r="AF181" s="627">
        <f t="shared" ref="AF181" si="1633">SUMPRODUCT(AF162:AF170,AF172:AF180)</f>
        <v>0.43320739860482677</v>
      </c>
      <c r="AG181" s="627">
        <f t="shared" ref="AG181" si="1634">SUMPRODUCT(AG162:AG170,AG172:AG180)</f>
        <v>0.40472739195405683</v>
      </c>
      <c r="AH181" s="627">
        <f t="shared" ref="AH181" si="1635">SUMPRODUCT(AH162:AH170,AH172:AH180)</f>
        <v>0.3767820456365617</v>
      </c>
      <c r="AI181" s="626"/>
      <c r="AJ181" s="627">
        <f>SUMPRODUCT(AJ162:AJ170,AJ172:AJ180)</f>
        <v>0.98582389346283572</v>
      </c>
      <c r="AK181" s="627">
        <f t="shared" ref="AK181" si="1636">SUMPRODUCT(AK162:AK170,AK172:AK180)</f>
        <v>0.98586320570935304</v>
      </c>
      <c r="AL181" s="627">
        <f t="shared" ref="AL181" si="1637">SUMPRODUCT(AL162:AL170,AL172:AL180)</f>
        <v>0.98609902470034327</v>
      </c>
      <c r="AM181" s="627">
        <f t="shared" ref="AM181" si="1638">SUMPRODUCT(AM162:AM170,AM172:AM180)</f>
        <v>0.98651837829982858</v>
      </c>
      <c r="AN181" s="627">
        <f t="shared" ref="AN181" si="1639">SUMPRODUCT(AN162:AN170,AN172:AN180)</f>
        <v>0.98710371864797342</v>
      </c>
      <c r="AO181" s="627">
        <f t="shared" ref="AO181" si="1640">SUMPRODUCT(AO162:AO170,AO172:AO180)</f>
        <v>0.98782771273258607</v>
      </c>
      <c r="AP181" s="627">
        <f t="shared" ref="AP181" si="1641">SUMPRODUCT(AP162:AP170,AP172:AP180)</f>
        <v>0.98864273917588208</v>
      </c>
      <c r="AQ181" s="627">
        <f t="shared" ref="AQ181" si="1642">SUMPRODUCT(AQ162:AQ170,AQ172:AQ180)</f>
        <v>0.98946060497953137</v>
      </c>
      <c r="AR181" s="627">
        <f t="shared" ref="AR181" si="1643">SUMPRODUCT(AR162:AR170,AR172:AR180)</f>
        <v>0.990115578751942</v>
      </c>
      <c r="AS181" s="627">
        <f t="shared" ref="AS181" si="1644">SUMPRODUCT(AS162:AS170,AS172:AS180)</f>
        <v>0.99030234029066011</v>
      </c>
      <c r="AT181" s="627">
        <f t="shared" ref="AT181" si="1645">SUMPRODUCT(AT162:AT170,AT172:AT180)</f>
        <v>0.9894840969801979</v>
      </c>
      <c r="AU181" s="627">
        <f t="shared" ref="AU181" si="1646">SUMPRODUCT(AU162:AU170,AU172:AU180)</f>
        <v>0.98678299332126329</v>
      </c>
      <c r="AV181" s="627">
        <f t="shared" ref="AV181" si="1647">SUMPRODUCT(AV162:AV170,AV172:AV180)</f>
        <v>0.98090289302092559</v>
      </c>
      <c r="AW181" s="627">
        <f t="shared" ref="AW181" si="1648">SUMPRODUCT(AW162:AW170,AW172:AW180)</f>
        <v>0.97018462284215312</v>
      </c>
      <c r="AX181" s="627">
        <f t="shared" ref="AX181" si="1649">SUMPRODUCT(AX162:AX170,AX172:AX180)</f>
        <v>0.95290559063401248</v>
      </c>
      <c r="AY181" s="627">
        <f t="shared" ref="AY181" si="1650">SUMPRODUCT(AY162:AY170,AY172:AY180)</f>
        <v>0.92783100037380106</v>
      </c>
      <c r="AZ181" s="627">
        <f t="shared" ref="AZ181" si="1651">SUMPRODUCT(AZ162:AZ170,AZ172:AZ180)</f>
        <v>0.89480253856211933</v>
      </c>
      <c r="BA181" s="627">
        <f t="shared" ref="BA181" si="1652">SUMPRODUCT(BA162:BA170,BA172:BA180)</f>
        <v>0.8549986116698074</v>
      </c>
      <c r="BB181" s="627">
        <f t="shared" ref="BB181" si="1653">SUMPRODUCT(BB162:BB170,BB172:BB180)</f>
        <v>0.81064607833311342</v>
      </c>
      <c r="BC181" s="627">
        <f t="shared" ref="BC181" si="1654">SUMPRODUCT(BC162:BC170,BC172:BC180)</f>
        <v>0.76433643070537649</v>
      </c>
      <c r="BD181" s="627">
        <f t="shared" ref="BD181" si="1655">SUMPRODUCT(BD162:BD170,BD172:BD180)</f>
        <v>0.71833902820639961</v>
      </c>
      <c r="BE181" s="627">
        <f t="shared" ref="BE181" si="1656">SUMPRODUCT(BE162:BE170,BE172:BE180)</f>
        <v>0.67421120289229564</v>
      </c>
      <c r="BF181" s="627">
        <f t="shared" ref="BF181" si="1657">SUMPRODUCT(BF162:BF170,BF172:BF180)</f>
        <v>0.63274818617811612</v>
      </c>
      <c r="BG181" s="627">
        <f t="shared" ref="BG181" si="1658">SUMPRODUCT(BG162:BG170,BG172:BG180)</f>
        <v>0.59414354118559176</v>
      </c>
      <c r="BH181" s="627">
        <f t="shared" ref="BH181" si="1659">SUMPRODUCT(BH162:BH170,BH172:BH180)</f>
        <v>0.55821043861897257</v>
      </c>
      <c r="BI181" s="627">
        <f t="shared" ref="BI181" si="1660">SUMPRODUCT(BI162:BI170,BI172:BI180)</f>
        <v>0.52457279039856897</v>
      </c>
      <c r="BJ181" s="627">
        <f t="shared" ref="BJ181" si="1661">SUMPRODUCT(BJ162:BJ170,BJ172:BJ180)</f>
        <v>0.49279615711703084</v>
      </c>
      <c r="BK181" s="627">
        <f t="shared" ref="BK181" si="1662">SUMPRODUCT(BK162:BK170,BK172:BK180)</f>
        <v>0.46246287794316654</v>
      </c>
      <c r="BL181" s="627">
        <f t="shared" ref="BL181" si="1663">SUMPRODUCT(BL162:BL170,BL172:BL180)</f>
        <v>0.43320739860482677</v>
      </c>
      <c r="BM181" s="627">
        <f t="shared" ref="BM181" si="1664">SUMPRODUCT(BM162:BM170,BM172:BM180)</f>
        <v>0.40472739195405683</v>
      </c>
      <c r="BN181" s="627">
        <f t="shared" ref="BN181" si="1665">SUMPRODUCT(BN162:BN170,BN172:BN180)</f>
        <v>0.3767820456365617</v>
      </c>
      <c r="BP181" s="627">
        <f>SUMPRODUCT(BP162:BP170,BP172:BP180)</f>
        <v>0.98582389346283572</v>
      </c>
      <c r="BQ181" s="627">
        <f t="shared" ref="BQ181" si="1666">SUMPRODUCT(BQ162:BQ170,BQ172:BQ180)</f>
        <v>0.99764669945094486</v>
      </c>
      <c r="BR181" s="627">
        <f t="shared" ref="BR181" si="1667">SUMPRODUCT(BR162:BR170,BR172:BR180)</f>
        <v>1.0094148439985102</v>
      </c>
      <c r="BS181" s="627">
        <f t="shared" ref="BS181" si="1668">SUMPRODUCT(BS162:BS170,BS172:BS180)</f>
        <v>1.021126535395052</v>
      </c>
      <c r="BT181" s="627">
        <f t="shared" ref="BT181" si="1669">SUMPRODUCT(BT162:BT170,BT172:BT180)</f>
        <v>1.0327796202382835</v>
      </c>
      <c r="BU181" s="627">
        <f t="shared" ref="BU181" si="1670">SUMPRODUCT(BU162:BU170,BU172:BU180)</f>
        <v>1.0443715534237932</v>
      </c>
      <c r="BV181" s="627">
        <f t="shared" ref="BV181" si="1671">SUMPRODUCT(BV162:BV170,BV172:BV180)</f>
        <v>1.055956770691187</v>
      </c>
      <c r="BW181" s="627">
        <f t="shared" ref="BW181" si="1672">SUMPRODUCT(BW162:BW170,BW172:BW180)</f>
        <v>1.0675346875086882</v>
      </c>
      <c r="BX181" s="627">
        <f t="shared" ref="BX181" si="1673">SUMPRODUCT(BX162:BX170,BX172:BX180)</f>
        <v>1.0791047153824938</v>
      </c>
      <c r="BY181" s="627">
        <f t="shared" ref="BY181" si="1674">SUMPRODUCT(BY162:BY170,BY172:BY180)</f>
        <v>1.0906662604198614</v>
      </c>
      <c r="BZ181" s="627">
        <f t="shared" ref="BZ181" si="1675">SUMPRODUCT(BZ162:BZ170,BZ172:BZ180)</f>
        <v>1.102218721890259</v>
      </c>
      <c r="CA181" s="627">
        <f t="shared" ref="CA181" si="1676">SUMPRODUCT(CA162:CA170,CA172:CA180)</f>
        <v>1.1137204337134627</v>
      </c>
      <c r="CB181" s="627">
        <f t="shared" ref="CB181" si="1677">SUMPRODUCT(CB162:CB170,CB172:CB180)</f>
        <v>1.125168619356512</v>
      </c>
      <c r="CC181" s="627">
        <f t="shared" ref="CC181" si="1678">SUMPRODUCT(CC162:CC170,CC172:CC180)</f>
        <v>1.1365601944715196</v>
      </c>
      <c r="CD181" s="627">
        <f t="shared" ref="CD181" si="1679">SUMPRODUCT(CD162:CD170,CD172:CD180)</f>
        <v>1.1478917364904166</v>
      </c>
      <c r="CE181" s="627">
        <f t="shared" ref="CE181" si="1680">SUMPRODUCT(CE162:CE170,CE172:CE180)</f>
        <v>1.1591594507651388</v>
      </c>
      <c r="CF181" s="627">
        <f t="shared" ref="CF181" si="1681">SUMPRODUCT(CF162:CF170,CF172:CF180)</f>
        <v>1.1704165155702109</v>
      </c>
      <c r="CG181" s="627">
        <f t="shared" ref="CG181" si="1682">SUMPRODUCT(CG162:CG170,CG172:CG180)</f>
        <v>1.1816626321019972</v>
      </c>
      <c r="CH181" s="627">
        <f t="shared" ref="CH181" si="1683">SUMPRODUCT(CH162:CH170,CH172:CH180)</f>
        <v>1.1928974947902442</v>
      </c>
      <c r="CI181" s="627">
        <f t="shared" ref="CI181" si="1684">SUMPRODUCT(CI162:CI170,CI172:CI180)</f>
        <v>1.2041207910840375</v>
      </c>
      <c r="CJ181" s="627">
        <f t="shared" ref="CJ181" si="1685">SUMPRODUCT(CJ162:CJ170,CJ172:CJ180)</f>
        <v>1.2153322012315928</v>
      </c>
      <c r="CK181" s="627">
        <f t="shared" ref="CK181" si="1686">SUMPRODUCT(CK162:CK170,CK172:CK180)</f>
        <v>1.226531790001482</v>
      </c>
      <c r="CL181" s="627">
        <f t="shared" ref="CL181" si="1687">SUMPRODUCT(CL162:CL170,CL172:CL180)</f>
        <v>1.2377192490343982</v>
      </c>
      <c r="CM181" s="627">
        <f t="shared" ref="CM181" si="1688">SUMPRODUCT(CM162:CM170,CM172:CM180)</f>
        <v>1.2488942629603046</v>
      </c>
      <c r="CN181" s="627">
        <f t="shared" ref="CN181" si="1689">SUMPRODUCT(CN162:CN170,CN172:CN180)</f>
        <v>1.2600565091905449</v>
      </c>
      <c r="CO181" s="627">
        <f t="shared" ref="CO181" si="1690">SUMPRODUCT(CO162:CO170,CO172:CO180)</f>
        <v>1.2712056577040505</v>
      </c>
      <c r="CP181" s="627">
        <f t="shared" ref="CP181" si="1691">SUMPRODUCT(CP162:CP170,CP172:CP180)</f>
        <v>1.2823417454566406</v>
      </c>
      <c r="CQ181" s="627">
        <f t="shared" ref="CQ181" si="1692">SUMPRODUCT(CQ162:CQ170,CQ172:CQ180)</f>
        <v>1.2934644514479183</v>
      </c>
      <c r="CR181" s="627">
        <f t="shared" ref="CR181" si="1693">SUMPRODUCT(CR162:CR170,CR172:CR180)</f>
        <v>1.3045734473989172</v>
      </c>
      <c r="CS181" s="627">
        <f t="shared" ref="CS181" si="1694">SUMPRODUCT(CS162:CS170,CS172:CS180)</f>
        <v>1.3156683975474128</v>
      </c>
      <c r="CT181" s="627">
        <f t="shared" ref="CT181" si="1695">SUMPRODUCT(CT162:CT170,CT172:CT180)</f>
        <v>1.3267489584375309</v>
      </c>
      <c r="CV181" s="627">
        <f>SUMPRODUCT(CV162:CV170,CV172:CV180)</f>
        <v>0.98582389346283572</v>
      </c>
      <c r="CW181" s="627">
        <f t="shared" ref="CW181:DZ181" si="1696">SUMPRODUCT(CW162:CW170,CW172:CW180)</f>
        <v>0.98586320570935304</v>
      </c>
      <c r="CX181" s="627">
        <f t="shared" si="1696"/>
        <v>0.98609902470034327</v>
      </c>
      <c r="CY181" s="627">
        <f t="shared" si="1696"/>
        <v>0.98651837829982869</v>
      </c>
      <c r="CZ181" s="627">
        <f t="shared" si="1696"/>
        <v>0.98710371864797342</v>
      </c>
      <c r="DA181" s="627">
        <f t="shared" si="1696"/>
        <v>0.98782771273258607</v>
      </c>
      <c r="DB181" s="627">
        <f t="shared" si="1696"/>
        <v>0.98864273917588208</v>
      </c>
      <c r="DC181" s="627">
        <f t="shared" si="1696"/>
        <v>0.98946060497953137</v>
      </c>
      <c r="DD181" s="627">
        <f t="shared" si="1696"/>
        <v>0.990115578751942</v>
      </c>
      <c r="DE181" s="627">
        <f t="shared" si="1696"/>
        <v>0.99030234029066011</v>
      </c>
      <c r="DF181" s="627">
        <f t="shared" si="1696"/>
        <v>0.9894840969801979</v>
      </c>
      <c r="DG181" s="627">
        <f t="shared" si="1696"/>
        <v>0.98678299332126351</v>
      </c>
      <c r="DH181" s="627">
        <f t="shared" si="1696"/>
        <v>0.98090289302092559</v>
      </c>
      <c r="DI181" s="627">
        <f t="shared" si="1696"/>
        <v>0.97018063325306458</v>
      </c>
      <c r="DJ181" s="627">
        <f t="shared" si="1696"/>
        <v>0.95289717186207068</v>
      </c>
      <c r="DK181" s="627">
        <f t="shared" si="1696"/>
        <v>0.92781781397590057</v>
      </c>
      <c r="DL181" s="627">
        <f t="shared" si="1696"/>
        <v>0.89478438365271495</v>
      </c>
      <c r="DM181" s="627">
        <f t="shared" si="1696"/>
        <v>0.85497543672570031</v>
      </c>
      <c r="DN181" s="627">
        <f t="shared" si="1696"/>
        <v>0.81061795240627765</v>
      </c>
      <c r="DO181" s="627">
        <f t="shared" si="1696"/>
        <v>0.76430349296761202</v>
      </c>
      <c r="DP181" s="627">
        <f t="shared" si="1696"/>
        <v>0.71830143618313147</v>
      </c>
      <c r="DQ181" s="627">
        <f t="shared" si="1696"/>
        <v>0.67416742996375978</v>
      </c>
      <c r="DR181" s="627">
        <f t="shared" si="1696"/>
        <v>0.63269801685122473</v>
      </c>
      <c r="DS181" s="627">
        <f t="shared" si="1696"/>
        <v>0.59407124125794586</v>
      </c>
      <c r="DT181" s="627">
        <f t="shared" si="1696"/>
        <v>0.55811487413105998</v>
      </c>
      <c r="DU181" s="627">
        <f t="shared" si="1696"/>
        <v>0.52445281681955447</v>
      </c>
      <c r="DV181" s="627">
        <f t="shared" si="1696"/>
        <v>0.49265061296674434</v>
      </c>
      <c r="DW181" s="627">
        <f t="shared" si="1696"/>
        <v>0.46229058218865032</v>
      </c>
      <c r="DX181" s="627">
        <f t="shared" si="1696"/>
        <v>0.4330071552369118</v>
      </c>
      <c r="DY181" s="627">
        <f t="shared" si="1696"/>
        <v>0.40449802131214085</v>
      </c>
      <c r="DZ181" s="627">
        <f t="shared" si="1696"/>
        <v>0.37652247006474432</v>
      </c>
      <c r="EK181" s="627"/>
      <c r="EL181" s="627"/>
      <c r="EM181" s="627"/>
      <c r="EN181" s="627"/>
      <c r="EO181" s="627"/>
      <c r="EP181" s="627"/>
      <c r="EQ181" s="627"/>
      <c r="ER181" s="627"/>
      <c r="ES181" s="627"/>
      <c r="ET181" s="627"/>
      <c r="EU181" s="627"/>
      <c r="EV181" s="627"/>
      <c r="EW181" s="627"/>
      <c r="EX181" s="627"/>
      <c r="EY181" s="627"/>
      <c r="EZ181" s="627"/>
      <c r="FA181" s="627"/>
      <c r="FB181" s="627"/>
      <c r="FC181" s="627"/>
      <c r="FD181" s="627"/>
      <c r="FE181" s="627"/>
      <c r="FF181" s="627"/>
      <c r="FG181" s="627"/>
      <c r="FH181" s="627"/>
      <c r="FI181" s="627"/>
    </row>
    <row r="182" spans="1:165" s="1" customFormat="1">
      <c r="A182" s="162"/>
      <c r="C182" s="65"/>
      <c r="D182" s="443"/>
      <c r="E182" s="443"/>
      <c r="F182" s="443"/>
      <c r="G182" s="443"/>
      <c r="H182" s="443"/>
      <c r="I182" s="443"/>
      <c r="J182" s="443"/>
      <c r="K182" s="443"/>
      <c r="L182" s="443"/>
      <c r="M182" s="443"/>
      <c r="N182" s="443"/>
      <c r="O182" s="443"/>
      <c r="P182" s="443"/>
      <c r="Q182" s="443"/>
      <c r="R182" s="443"/>
      <c r="S182" s="443"/>
      <c r="T182" s="443"/>
      <c r="U182" s="443"/>
      <c r="V182" s="443"/>
      <c r="W182" s="443"/>
      <c r="X182" s="443"/>
      <c r="Y182" s="443"/>
      <c r="Z182" s="443"/>
      <c r="AA182" s="443"/>
      <c r="AB182" s="443"/>
      <c r="AC182" s="443"/>
      <c r="AD182" s="443"/>
      <c r="AE182" s="443"/>
      <c r="AF182" s="443"/>
      <c r="AG182" s="443"/>
      <c r="AH182" s="443"/>
      <c r="AI182" s="66"/>
      <c r="AJ182" s="443"/>
      <c r="AK182" s="443"/>
      <c r="AL182" s="443"/>
      <c r="AM182" s="443"/>
      <c r="AN182" s="443"/>
      <c r="AO182" s="443"/>
      <c r="AP182" s="443"/>
      <c r="AQ182" s="443"/>
      <c r="AR182" s="443"/>
      <c r="AS182" s="443"/>
      <c r="AT182" s="443"/>
      <c r="AU182" s="443"/>
      <c r="AV182" s="443"/>
      <c r="AW182" s="443"/>
      <c r="AX182" s="443"/>
      <c r="AY182" s="443"/>
      <c r="AZ182" s="443"/>
      <c r="BA182" s="443"/>
      <c r="BB182" s="443"/>
      <c r="BC182" s="443"/>
      <c r="BD182" s="443"/>
      <c r="BE182" s="443"/>
      <c r="BF182" s="443"/>
      <c r="BG182" s="443"/>
      <c r="BH182" s="443"/>
      <c r="BI182" s="443"/>
      <c r="BJ182" s="443"/>
      <c r="BK182" s="443"/>
      <c r="BL182" s="443"/>
      <c r="BM182" s="443"/>
      <c r="BN182" s="443"/>
      <c r="BP182" s="443"/>
      <c r="BQ182" s="443"/>
      <c r="BR182" s="443"/>
      <c r="BS182" s="443"/>
      <c r="BT182" s="443"/>
      <c r="BU182" s="443"/>
      <c r="BV182" s="443"/>
      <c r="BW182" s="443"/>
      <c r="BX182" s="443"/>
      <c r="BY182" s="443"/>
      <c r="BZ182" s="443"/>
      <c r="CA182" s="443"/>
      <c r="CB182" s="443"/>
      <c r="CC182" s="443"/>
      <c r="CD182" s="443"/>
      <c r="CE182" s="443"/>
      <c r="CF182" s="443"/>
      <c r="CG182" s="443"/>
      <c r="CH182" s="443"/>
      <c r="CI182" s="443"/>
      <c r="CJ182" s="443"/>
      <c r="CK182" s="443"/>
      <c r="CL182" s="443"/>
      <c r="CM182" s="443"/>
      <c r="CN182" s="443"/>
      <c r="CO182" s="443"/>
      <c r="CP182" s="443"/>
      <c r="CQ182" s="443"/>
      <c r="CR182" s="443"/>
      <c r="CS182" s="443"/>
      <c r="CT182" s="443"/>
      <c r="CV182" s="443"/>
      <c r="CW182" s="443"/>
      <c r="CX182" s="443"/>
      <c r="CY182" s="443"/>
      <c r="CZ182" s="443"/>
      <c r="DA182" s="443"/>
      <c r="DB182" s="443"/>
      <c r="DC182" s="443"/>
      <c r="DD182" s="443"/>
      <c r="DE182" s="443"/>
      <c r="DF182" s="443"/>
      <c r="DG182" s="443"/>
      <c r="DH182" s="443"/>
      <c r="DI182" s="443"/>
      <c r="DJ182" s="443"/>
      <c r="DK182" s="443"/>
      <c r="DL182" s="443"/>
      <c r="DM182" s="443"/>
      <c r="DN182" s="443"/>
      <c r="DO182" s="443"/>
      <c r="DP182" s="443"/>
      <c r="DQ182" s="443"/>
      <c r="DR182" s="443"/>
      <c r="DS182" s="443"/>
      <c r="DT182" s="443"/>
      <c r="DU182" s="443"/>
      <c r="DV182" s="443"/>
      <c r="DW182" s="443"/>
      <c r="DX182" s="443"/>
      <c r="DY182" s="443"/>
      <c r="DZ182" s="443"/>
      <c r="EK182" s="443"/>
      <c r="EL182" s="443"/>
      <c r="EM182" s="443"/>
      <c r="EN182" s="443"/>
      <c r="EO182" s="443"/>
      <c r="EP182" s="443"/>
      <c r="EQ182" s="443"/>
      <c r="ER182" s="443"/>
      <c r="ES182" s="443"/>
      <c r="ET182" s="443"/>
      <c r="EU182" s="443"/>
      <c r="EV182" s="443"/>
      <c r="EW182" s="443"/>
      <c r="EX182" s="443"/>
      <c r="EY182" s="443"/>
      <c r="EZ182" s="443"/>
      <c r="FA182" s="443"/>
      <c r="FB182" s="443"/>
      <c r="FC182" s="443"/>
      <c r="FD182" s="443"/>
      <c r="FE182" s="443"/>
      <c r="FF182" s="443"/>
      <c r="FG182" s="443"/>
      <c r="FH182" s="443"/>
      <c r="FI182" s="443"/>
    </row>
    <row r="183" spans="1:165" s="1" customFormat="1">
      <c r="A183" s="162"/>
      <c r="C183" s="65"/>
      <c r="D183" s="443"/>
      <c r="E183" s="443"/>
      <c r="F183" s="443"/>
      <c r="G183" s="443"/>
      <c r="H183" s="443"/>
      <c r="I183" s="443"/>
      <c r="J183" s="443"/>
      <c r="K183" s="443"/>
      <c r="L183" s="443"/>
      <c r="M183" s="443"/>
      <c r="N183" s="443"/>
      <c r="O183" s="443"/>
      <c r="P183" s="443"/>
      <c r="Q183" s="443"/>
      <c r="R183" s="443"/>
      <c r="S183" s="443"/>
      <c r="T183" s="443"/>
      <c r="U183" s="443"/>
      <c r="V183" s="443"/>
      <c r="W183" s="443"/>
      <c r="X183" s="443"/>
      <c r="Y183" s="443"/>
      <c r="Z183" s="443"/>
      <c r="AA183" s="443"/>
      <c r="AB183" s="443"/>
      <c r="AC183" s="443"/>
      <c r="AD183" s="443"/>
      <c r="AE183" s="443"/>
      <c r="AF183" s="443"/>
      <c r="AG183" s="443"/>
      <c r="AH183" s="443"/>
      <c r="AI183" s="66"/>
      <c r="AJ183" s="443"/>
      <c r="AK183" s="443"/>
      <c r="AL183" s="443"/>
      <c r="AM183" s="443"/>
      <c r="AN183" s="443"/>
      <c r="AO183" s="443"/>
      <c r="AP183" s="443"/>
      <c r="AQ183" s="443"/>
      <c r="AR183" s="443"/>
      <c r="AS183" s="443"/>
      <c r="AT183" s="443"/>
      <c r="AU183" s="443"/>
      <c r="AV183" s="443"/>
      <c r="AW183" s="443"/>
      <c r="AX183" s="443"/>
      <c r="AY183" s="443"/>
      <c r="AZ183" s="443"/>
      <c r="BA183" s="443"/>
      <c r="BB183" s="443"/>
      <c r="BC183" s="443"/>
      <c r="BD183" s="443"/>
      <c r="BE183" s="443"/>
      <c r="BF183" s="443"/>
      <c r="BG183" s="443"/>
      <c r="BH183" s="443"/>
      <c r="BI183" s="443"/>
      <c r="BJ183" s="443"/>
      <c r="BK183" s="443"/>
      <c r="BL183" s="443"/>
      <c r="BM183" s="443"/>
      <c r="BN183" s="443"/>
      <c r="BO183" s="748" t="s">
        <v>457</v>
      </c>
      <c r="BP183" s="748"/>
      <c r="BQ183" s="748"/>
      <c r="BR183" s="748"/>
      <c r="BS183" s="748"/>
      <c r="BT183" s="748"/>
      <c r="BU183" s="748"/>
      <c r="BV183" s="748"/>
      <c r="BW183" s="748"/>
      <c r="BX183" s="748"/>
      <c r="BY183" s="748"/>
      <c r="BZ183" s="748"/>
      <c r="CA183" s="443"/>
      <c r="CB183" s="443"/>
      <c r="CC183" s="443"/>
      <c r="CD183" s="443"/>
      <c r="CE183" s="443"/>
      <c r="CF183" s="443"/>
      <c r="CG183" s="443"/>
      <c r="CH183" s="443"/>
      <c r="CI183" s="443"/>
      <c r="CJ183" s="443"/>
      <c r="CK183" s="443"/>
      <c r="CL183" s="443"/>
      <c r="CM183" s="443"/>
      <c r="CN183" s="443"/>
      <c r="CO183" s="443"/>
      <c r="CP183" s="443"/>
      <c r="CQ183" s="443"/>
      <c r="CR183" s="443"/>
      <c r="CS183" s="443"/>
      <c r="CT183" s="443"/>
      <c r="CU183" s="748" t="s">
        <v>456</v>
      </c>
      <c r="CV183" s="748"/>
      <c r="CW183" s="748"/>
      <c r="CX183" s="748"/>
      <c r="CY183" s="748"/>
      <c r="CZ183" s="748"/>
      <c r="DA183" s="748"/>
      <c r="DB183" s="748"/>
      <c r="DC183" s="748"/>
      <c r="DD183" s="748"/>
      <c r="DE183" s="748"/>
      <c r="DF183" s="748"/>
      <c r="DG183" s="748"/>
      <c r="DH183" s="748"/>
      <c r="DI183" s="748"/>
      <c r="DJ183" s="748"/>
      <c r="DK183" s="748"/>
      <c r="DL183" s="748"/>
      <c r="DM183" s="748"/>
      <c r="DN183" s="748"/>
      <c r="DO183" s="748"/>
      <c r="DP183" s="748"/>
      <c r="DQ183" s="748"/>
      <c r="DR183" s="748"/>
      <c r="DS183" s="748"/>
      <c r="DT183" s="748"/>
      <c r="DU183" s="748"/>
      <c r="DV183" s="748"/>
      <c r="DW183" s="748"/>
      <c r="DX183" s="748"/>
      <c r="DY183" s="748"/>
      <c r="DZ183" s="748"/>
      <c r="EA183" s="748"/>
      <c r="EB183" s="748"/>
      <c r="ED183" s="748" t="s">
        <v>464</v>
      </c>
      <c r="EE183" s="748"/>
      <c r="EP183" s="443"/>
      <c r="EQ183" s="443"/>
      <c r="ER183" s="443"/>
      <c r="ES183" s="443"/>
      <c r="ET183" s="443"/>
      <c r="EU183" s="443"/>
      <c r="EV183" s="443"/>
      <c r="EW183" s="443"/>
      <c r="EX183" s="443"/>
      <c r="EY183" s="443"/>
      <c r="EZ183" s="443"/>
      <c r="FA183" s="443"/>
      <c r="FB183" s="443"/>
      <c r="FC183" s="443"/>
      <c r="FD183" s="443"/>
      <c r="FE183" s="443"/>
      <c r="FF183" s="443"/>
      <c r="FG183" s="443"/>
      <c r="FH183" s="443"/>
      <c r="FI183" s="443"/>
    </row>
    <row r="184" spans="1:165">
      <c r="A184" s="619" t="s">
        <v>465</v>
      </c>
      <c r="B184">
        <v>2020</v>
      </c>
      <c r="C184" s="26">
        <v>2050</v>
      </c>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BP184">
        <v>2020</v>
      </c>
      <c r="BZ184">
        <v>2050</v>
      </c>
      <c r="EA184">
        <v>2020</v>
      </c>
      <c r="EB184">
        <v>2050</v>
      </c>
      <c r="EE184">
        <v>2020</v>
      </c>
      <c r="EK184"/>
      <c r="EL184"/>
      <c r="EM184"/>
      <c r="EN184"/>
      <c r="EO184"/>
      <c r="EP184"/>
      <c r="EQ184"/>
      <c r="ER184"/>
      <c r="ES184"/>
      <c r="ET184"/>
      <c r="EU184"/>
    </row>
    <row r="185" spans="1:165" ht="16" thickBot="1">
      <c r="A185" s="619"/>
      <c r="B185" t="s">
        <v>466</v>
      </c>
      <c r="C185" t="s">
        <v>466</v>
      </c>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t="s">
        <v>467</v>
      </c>
      <c r="AJ185" s="44" t="s">
        <v>468</v>
      </c>
      <c r="AK185" s="44"/>
      <c r="AL185" s="44"/>
      <c r="AM185" s="44"/>
      <c r="AN185" s="44"/>
      <c r="AO185" s="44"/>
      <c r="AP185" s="44"/>
      <c r="AQ185" s="44"/>
      <c r="AR185" s="44"/>
      <c r="AS185" s="44"/>
      <c r="AT185" s="44" t="s">
        <v>469</v>
      </c>
      <c r="AU185" s="44"/>
      <c r="AV185" s="44"/>
      <c r="AW185" s="44"/>
      <c r="AX185" s="44"/>
      <c r="AY185" s="44"/>
      <c r="AZ185" s="44"/>
      <c r="BA185" s="44"/>
      <c r="BB185" s="44"/>
      <c r="BC185" s="44"/>
      <c r="BD185" s="44" t="s">
        <v>470</v>
      </c>
      <c r="BE185" s="44"/>
      <c r="BF185" s="44"/>
      <c r="BG185" s="44"/>
      <c r="BH185" s="44"/>
      <c r="BI185" s="44"/>
      <c r="BJ185" s="44"/>
      <c r="BK185" s="44"/>
      <c r="BL185" s="44"/>
      <c r="BM185" s="44"/>
      <c r="BN185" s="44"/>
      <c r="BP185" t="s">
        <v>471</v>
      </c>
      <c r="BQ185" t="s">
        <v>471</v>
      </c>
      <c r="BR185" t="s">
        <v>471</v>
      </c>
      <c r="BS185" t="s">
        <v>471</v>
      </c>
      <c r="BT185" t="s">
        <v>471</v>
      </c>
      <c r="BU185" t="s">
        <v>471</v>
      </c>
      <c r="BV185" t="s">
        <v>471</v>
      </c>
      <c r="BW185" t="s">
        <v>471</v>
      </c>
      <c r="BX185" t="s">
        <v>471</v>
      </c>
      <c r="BY185" t="s">
        <v>471</v>
      </c>
      <c r="BZ185" t="s">
        <v>471</v>
      </c>
      <c r="EA185" t="s">
        <v>471</v>
      </c>
      <c r="EB185" t="s">
        <v>471</v>
      </c>
      <c r="EC185" s="44"/>
      <c r="EE185" t="s">
        <v>471</v>
      </c>
      <c r="EK185"/>
      <c r="EL185"/>
      <c r="EM185"/>
      <c r="EN185"/>
      <c r="EO185"/>
      <c r="EP185"/>
      <c r="EQ185"/>
      <c r="ER185"/>
      <c r="ES185"/>
      <c r="ET185"/>
      <c r="EU185"/>
    </row>
    <row r="186" spans="1:165">
      <c r="A186" s="616" t="s">
        <v>193</v>
      </c>
      <c r="B186" s="613">
        <f>EK5</f>
        <v>0.48</v>
      </c>
      <c r="C186" s="629">
        <f>0</f>
        <v>0</v>
      </c>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t="s">
        <v>472</v>
      </c>
      <c r="AJ186" s="43">
        <v>1.29</v>
      </c>
      <c r="AK186" s="44"/>
      <c r="AL186" s="44"/>
      <c r="AM186" s="44"/>
      <c r="AN186" s="44"/>
      <c r="AO186" s="44"/>
      <c r="AP186" s="44"/>
      <c r="AQ186" s="44"/>
      <c r="AR186" s="44"/>
      <c r="AS186" s="44"/>
      <c r="AT186" s="43">
        <f>AJ186*1.1023</f>
        <v>1.4219670000000002</v>
      </c>
      <c r="AU186" s="44"/>
      <c r="AV186" s="44"/>
      <c r="AW186" s="44"/>
      <c r="AX186" s="44"/>
      <c r="AY186" s="44"/>
      <c r="AZ186" s="44"/>
      <c r="BA186" s="44"/>
      <c r="BB186" s="44"/>
      <c r="BC186" s="44"/>
      <c r="BD186" s="44">
        <v>3.2</v>
      </c>
      <c r="BE186" s="44"/>
      <c r="BF186" s="44"/>
      <c r="BG186" s="44"/>
      <c r="BH186" s="44"/>
      <c r="BI186" s="44"/>
      <c r="BJ186" s="44"/>
      <c r="BK186" s="44"/>
      <c r="BL186" s="44"/>
      <c r="BM186" s="44"/>
      <c r="BN186" s="44"/>
      <c r="BO186" s="44" t="s">
        <v>4</v>
      </c>
      <c r="BP186" s="43">
        <f>('Demand Breakdown - Ethylene'!C34*'Scope 3 Yearly'!AT186+'Demand Breakdown - Ethylene'!C35*'Scope 3 Yearly'!AT187+('Demand Breakdown - Ethylene'!C36+'Demand Breakdown - Ethylene'!C37)*'Scope 3 Yearly'!AT188+'Demand Breakdown - Ethylene'!C38*'Scope 3 Yearly'!AT192+'Demand Breakdown - Ethylene'!C39*'Scope 3 Yearly'!AT191)/SUM('Demand Breakdown - Ethylene'!C34+'Demand Breakdown - Ethylene'!C35+('Demand Breakdown - Ethylene'!C36+'Demand Breakdown - Ethylene'!C37)+'Demand Breakdown - Ethylene'!C38+'Demand Breakdown - Ethylene'!C39)</f>
        <v>1.3521142181450381</v>
      </c>
      <c r="BQ186" s="44"/>
      <c r="BR186" s="44"/>
      <c r="BS186" s="44"/>
      <c r="BT186" s="44"/>
      <c r="BU186" s="44"/>
      <c r="BV186" s="44"/>
      <c r="BW186" s="44"/>
      <c r="BX186" s="44"/>
      <c r="BY186" s="44"/>
      <c r="BZ186" s="43">
        <f>BP186*(1-$B$197)</f>
        <v>6.7605710907251967E-2</v>
      </c>
      <c r="CU186" s="44"/>
      <c r="CV186" s="43"/>
      <c r="CW186" s="44"/>
      <c r="CX186" s="44"/>
      <c r="CY186" s="44"/>
      <c r="CZ186" s="44"/>
      <c r="DA186" s="44"/>
      <c r="DB186" s="44"/>
      <c r="DC186" s="44"/>
      <c r="DD186" s="44"/>
      <c r="DE186" s="44"/>
      <c r="DF186" s="43"/>
      <c r="EA186" s="43">
        <f>BP186</f>
        <v>1.3521142181450381</v>
      </c>
      <c r="EB186" s="585">
        <v>2.8</v>
      </c>
      <c r="EC186" s="44"/>
      <c r="ED186" s="44" t="s">
        <v>4</v>
      </c>
      <c r="EE186" s="43">
        <f>('Demand Breakdown - Ethylene'!C34*'Scope 3 Yearly'!BD186+'Demand Breakdown - Ethylene'!C35*'Scope 3 Yearly'!BD187+('Demand Breakdown - Ethylene'!C36+'Demand Breakdown - Ethylene'!C37)*'Scope 3 Yearly'!BD188+'Demand Breakdown - Ethylene'!C38*'Scope 3 Yearly'!BD192+'Demand Breakdown - Ethylene'!C39*'Scope 3 Yearly'!BD191)/SUM('Demand Breakdown - Ethylene'!C34+'Demand Breakdown - Ethylene'!C35+('Demand Breakdown - Ethylene'!C36+'Demand Breakdown - Ethylene'!C37)+'Demand Breakdown - Ethylene'!C38+'Demand Breakdown - Ethylene'!C39)</f>
        <v>2.8215373757979978</v>
      </c>
      <c r="EF186" s="44"/>
      <c r="EG186" s="44"/>
      <c r="EH186" s="44"/>
      <c r="EI186" s="44"/>
      <c r="EJ186" s="44"/>
      <c r="EK186" s="44"/>
      <c r="EL186" s="44"/>
      <c r="EM186" s="44"/>
      <c r="EN186" s="44"/>
      <c r="EP186"/>
      <c r="EQ186"/>
      <c r="ER186"/>
      <c r="ES186"/>
      <c r="ET186"/>
      <c r="EU186"/>
    </row>
    <row r="187" spans="1:165">
      <c r="A187" s="617" t="s">
        <v>88</v>
      </c>
      <c r="B187" s="43">
        <f>AVERAGE(2.4,3.6)</f>
        <v>3</v>
      </c>
      <c r="C187" s="630">
        <f>0</f>
        <v>0</v>
      </c>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t="s">
        <v>473</v>
      </c>
      <c r="AJ187" s="43">
        <v>1.29</v>
      </c>
      <c r="AK187" s="44"/>
      <c r="AL187" s="44"/>
      <c r="AM187" s="44"/>
      <c r="AN187" s="44"/>
      <c r="AO187" s="44"/>
      <c r="AP187" s="44"/>
      <c r="AQ187" s="44"/>
      <c r="AR187" s="44"/>
      <c r="AS187" s="44"/>
      <c r="AT187" s="43">
        <f t="shared" ref="AT187:AT193" si="1697">AJ187*1.1023</f>
        <v>1.4219670000000002</v>
      </c>
      <c r="AU187" s="44"/>
      <c r="AV187" s="44"/>
      <c r="AW187" s="44"/>
      <c r="AX187" s="44"/>
      <c r="AY187" s="44"/>
      <c r="AZ187" s="44"/>
      <c r="BA187" s="44"/>
      <c r="BB187" s="44"/>
      <c r="BC187" s="44"/>
      <c r="BD187" s="44">
        <v>3</v>
      </c>
      <c r="BE187" s="44"/>
      <c r="BF187" s="44"/>
      <c r="BG187" s="44"/>
      <c r="BH187" s="44"/>
      <c r="BI187" s="44"/>
      <c r="BJ187" s="44"/>
      <c r="BK187" s="44"/>
      <c r="BL187" s="44"/>
      <c r="BM187" s="44"/>
      <c r="BN187" s="44"/>
      <c r="BO187" s="44" t="s">
        <v>5</v>
      </c>
      <c r="BP187" s="43">
        <f>AT190</f>
        <v>1.4219670000000002</v>
      </c>
      <c r="BQ187" s="44"/>
      <c r="BR187" s="44"/>
      <c r="BS187" s="44"/>
      <c r="BT187" s="44"/>
      <c r="BU187" s="44"/>
      <c r="BV187" s="44"/>
      <c r="BW187" s="44"/>
      <c r="BX187" s="44"/>
      <c r="BY187" s="44"/>
      <c r="BZ187" s="43">
        <f t="shared" ref="BZ187:BZ192" si="1698">BP187*(1-$B$197)</f>
        <v>7.1098350000000074E-2</v>
      </c>
      <c r="CU187" s="44"/>
      <c r="CV187" s="43"/>
      <c r="CW187" s="44"/>
      <c r="CX187" s="44"/>
      <c r="CY187" s="44"/>
      <c r="CZ187" s="44"/>
      <c r="DA187" s="44"/>
      <c r="DB187" s="44"/>
      <c r="DC187" s="44"/>
      <c r="DD187" s="44"/>
      <c r="DE187" s="44"/>
      <c r="DF187" s="43"/>
      <c r="EA187" s="43">
        <f t="shared" ref="EA187:EA192" si="1699">BP187</f>
        <v>1.4219670000000002</v>
      </c>
      <c r="EB187" s="585">
        <v>2.8</v>
      </c>
      <c r="EC187" s="44"/>
      <c r="ED187" s="44" t="s">
        <v>5</v>
      </c>
      <c r="EE187" s="43">
        <f>BD190</f>
        <v>3.2</v>
      </c>
      <c r="EF187" s="44"/>
      <c r="EG187" s="44"/>
      <c r="EH187" s="44"/>
      <c r="EI187" s="44"/>
      <c r="EJ187" s="44"/>
      <c r="EK187" s="44"/>
      <c r="EL187" s="44"/>
      <c r="EM187" s="44"/>
      <c r="EN187" s="44"/>
      <c r="EP187"/>
      <c r="EQ187"/>
      <c r="ER187"/>
      <c r="ES187"/>
      <c r="ET187"/>
      <c r="EU187"/>
    </row>
    <row r="188" spans="1:165">
      <c r="A188" s="617" t="s">
        <v>459</v>
      </c>
      <c r="B188" s="43">
        <f>EK9</f>
        <v>1.39</v>
      </c>
      <c r="C188" s="631">
        <v>2.9</v>
      </c>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t="s">
        <v>474</v>
      </c>
      <c r="AJ188" s="43">
        <v>1.24</v>
      </c>
      <c r="AK188" s="44"/>
      <c r="AL188" s="44"/>
      <c r="AM188" s="44"/>
      <c r="AN188" s="44"/>
      <c r="AO188" s="44"/>
      <c r="AP188" s="44"/>
      <c r="AQ188" s="44"/>
      <c r="AR188" s="44"/>
      <c r="AS188" s="44"/>
      <c r="AT188" s="43">
        <f t="shared" si="1697"/>
        <v>1.366852</v>
      </c>
      <c r="AU188" s="44"/>
      <c r="AV188" s="44"/>
      <c r="AW188" s="44"/>
      <c r="AX188" s="44"/>
      <c r="AY188" s="44"/>
      <c r="AZ188" s="44"/>
      <c r="BA188" s="44"/>
      <c r="BB188" s="44"/>
      <c r="BC188" s="44"/>
      <c r="BD188" s="44">
        <v>2.2999999999999998</v>
      </c>
      <c r="BE188" s="44"/>
      <c r="BF188" s="44"/>
      <c r="BG188" s="44"/>
      <c r="BH188" s="44"/>
      <c r="BI188" s="44"/>
      <c r="BJ188" s="44"/>
      <c r="BK188" s="44"/>
      <c r="BL188" s="44"/>
      <c r="BM188" s="44"/>
      <c r="BN188" s="44"/>
      <c r="BO188" s="44" t="s">
        <v>6</v>
      </c>
      <c r="BP188" s="43">
        <f>('Demand Breakdown - Methanol'!C3*'Scope 3 Yearly'!AT187+'Demand Breakdown - Methanol'!C4*'Scope 3 Yearly'!AT186+'Demand Breakdown - Methanol'!C5*'Scope 3 Yearly'!AT190+'Demand Breakdown - Methanol'!C6*'Scope 3 Yearly'!AT192+('Demand Breakdown - Methanol'!C7+'Demand Breakdown - Methanol'!C8)*'Scope 3 Yearly'!AT188+'Demand Breakdown - Methanol'!C9*'Scope 3 Yearly'!AT191)/SUM('Demand Breakdown - Methanol'!C3:C9)</f>
        <v>1.3812336962269454</v>
      </c>
      <c r="BQ188" s="44"/>
      <c r="BR188" s="44"/>
      <c r="BS188" s="44"/>
      <c r="BT188" s="44"/>
      <c r="BU188" s="44"/>
      <c r="BV188" s="44"/>
      <c r="BW188" s="44"/>
      <c r="BX188" s="44"/>
      <c r="BY188" s="44"/>
      <c r="BZ188" s="43">
        <f t="shared" si="1698"/>
        <v>6.9061684811347335E-2</v>
      </c>
      <c r="CU188" s="44"/>
      <c r="CV188" s="43"/>
      <c r="CW188" s="44"/>
      <c r="CX188" s="44"/>
      <c r="CY188" s="44"/>
      <c r="CZ188" s="44"/>
      <c r="DA188" s="44"/>
      <c r="DB188" s="44"/>
      <c r="DC188" s="44"/>
      <c r="DD188" s="44"/>
      <c r="DE188" s="44"/>
      <c r="DF188" s="43"/>
      <c r="EA188" s="43">
        <f t="shared" si="1699"/>
        <v>1.3812336962269454</v>
      </c>
      <c r="EB188" s="585">
        <v>2.0499999999999998</v>
      </c>
      <c r="EC188" s="44"/>
      <c r="ED188" s="44" t="s">
        <v>6</v>
      </c>
      <c r="EE188" s="43">
        <f>('Demand Breakdown - Methanol'!C3*'Scope 3 Yearly'!BD187+'Demand Breakdown - Methanol'!C4*'Scope 3 Yearly'!BD186+'Demand Breakdown - Methanol'!C5*'Scope 3 Yearly'!BD190+'Demand Breakdown - Methanol'!C6*'Scope 3 Yearly'!BD192+('Demand Breakdown - Methanol'!C7+'Demand Breakdown - Methanol'!C8)*'Scope 3 Yearly'!BD188+'Demand Breakdown - Methanol'!C9*'Scope 3 Yearly'!BD191)/SUM('Demand Breakdown - Methanol'!C3:C9)</f>
        <v>2.9677733260019514</v>
      </c>
      <c r="EF188" s="44"/>
      <c r="EG188" s="44"/>
      <c r="EH188" s="44"/>
      <c r="EI188" s="44"/>
      <c r="EJ188" s="44"/>
      <c r="EK188" s="44"/>
      <c r="EL188" s="44"/>
      <c r="EM188" s="44"/>
      <c r="EN188" s="44"/>
      <c r="EP188"/>
      <c r="EQ188"/>
      <c r="ER188"/>
      <c r="ES188"/>
      <c r="ET188"/>
      <c r="EU188"/>
    </row>
    <row r="189" spans="1:165">
      <c r="A189" s="617" t="s">
        <v>460</v>
      </c>
      <c r="B189" s="43">
        <f>B188</f>
        <v>1.39</v>
      </c>
      <c r="C189" s="630">
        <f>(1-B197)*B189</f>
        <v>6.9500000000000062E-2</v>
      </c>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t="s">
        <v>475</v>
      </c>
      <c r="AJ189" s="43">
        <v>1.29</v>
      </c>
      <c r="AK189" s="44"/>
      <c r="AL189" s="44"/>
      <c r="AM189" s="44"/>
      <c r="AN189" s="44"/>
      <c r="AO189" s="44"/>
      <c r="AP189" s="44"/>
      <c r="AQ189" s="44"/>
      <c r="AR189" s="44"/>
      <c r="AS189" s="44"/>
      <c r="AT189" s="43">
        <f t="shared" si="1697"/>
        <v>1.4219670000000002</v>
      </c>
      <c r="AU189" s="44"/>
      <c r="AV189" s="44"/>
      <c r="AW189" s="44"/>
      <c r="AX189" s="44"/>
      <c r="AY189" s="44"/>
      <c r="AZ189" s="44"/>
      <c r="BA189" s="44"/>
      <c r="BB189" s="44"/>
      <c r="BC189" s="44"/>
      <c r="BD189" s="44">
        <v>3.2</v>
      </c>
      <c r="BE189" s="44"/>
      <c r="BF189" s="44"/>
      <c r="BG189" s="44"/>
      <c r="BH189" s="44"/>
      <c r="BI189" s="44"/>
      <c r="BJ189" s="44"/>
      <c r="BK189" s="44"/>
      <c r="BL189" s="44"/>
      <c r="BM189" s="44"/>
      <c r="BN189" s="44"/>
      <c r="BO189" s="44" t="s">
        <v>7</v>
      </c>
      <c r="BP189" s="43">
        <f>('Demand Breakdown - BTX'!C56*'Scope 3 Yearly'!AT188+'Demand Breakdown - BTX'!C58*'Scope 3 Yearly'!AT191)/('Demand Breakdown - BTX'!C56+'Demand Breakdown - BTX'!C58)</f>
        <v>1.8298179999999999</v>
      </c>
      <c r="BQ189" s="44"/>
      <c r="BR189" s="44"/>
      <c r="BS189" s="44"/>
      <c r="BT189" s="44"/>
      <c r="BU189" s="44"/>
      <c r="BV189" s="44"/>
      <c r="BW189" s="44"/>
      <c r="BX189" s="44"/>
      <c r="BY189" s="44"/>
      <c r="BZ189" s="43">
        <f t="shared" si="1698"/>
        <v>9.1490900000000083E-2</v>
      </c>
      <c r="CU189" s="44"/>
      <c r="CV189" s="43"/>
      <c r="CW189" s="44"/>
      <c r="CX189" s="44"/>
      <c r="CY189" s="44"/>
      <c r="CZ189" s="44"/>
      <c r="DA189" s="44"/>
      <c r="DB189" s="44"/>
      <c r="DC189" s="44"/>
      <c r="DD189" s="44"/>
      <c r="DE189" s="44"/>
      <c r="DF189" s="43"/>
      <c r="EA189" s="43">
        <f t="shared" si="1699"/>
        <v>1.8298179999999999</v>
      </c>
      <c r="EB189" s="585">
        <f>AVERAGE(2.05,3.02)</f>
        <v>2.5350000000000001</v>
      </c>
      <c r="ED189" s="44" t="s">
        <v>7</v>
      </c>
      <c r="EE189" s="43">
        <f>('Demand Breakdown - BTX'!C56*'Scope 3 Yearly'!BD188+'Demand Breakdown - BTX'!C58*'Scope 3 Yearly'!BD191)/('Demand Breakdown - BTX'!C56+'Demand Breakdown - BTX'!C58)</f>
        <v>3.4000000000000004</v>
      </c>
      <c r="EF189" s="44"/>
      <c r="EG189" s="44"/>
      <c r="EH189" s="44"/>
      <c r="EI189" s="44"/>
      <c r="EJ189" s="44"/>
      <c r="EK189" s="44"/>
      <c r="EL189" s="44"/>
      <c r="EM189" s="44"/>
      <c r="EN189" s="44"/>
      <c r="EP189"/>
      <c r="EQ189"/>
      <c r="ER189"/>
      <c r="ES189"/>
      <c r="ET189"/>
      <c r="EU189" t="s">
        <v>476</v>
      </c>
    </row>
    <row r="190" spans="1:165">
      <c r="A190" s="617" t="s">
        <v>33</v>
      </c>
      <c r="B190" s="43">
        <f>EK10</f>
        <v>5.0000000000000001E-3</v>
      </c>
      <c r="C190" s="630">
        <v>0</v>
      </c>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t="s">
        <v>477</v>
      </c>
      <c r="AJ190" s="43">
        <v>1.29</v>
      </c>
      <c r="AK190" s="44"/>
      <c r="AL190" s="44"/>
      <c r="AM190" s="44"/>
      <c r="AN190" s="44"/>
      <c r="AO190" s="44"/>
      <c r="AP190" s="44"/>
      <c r="AQ190" s="44"/>
      <c r="AR190" s="44"/>
      <c r="AS190" s="44"/>
      <c r="AT190" s="43">
        <f t="shared" si="1697"/>
        <v>1.4219670000000002</v>
      </c>
      <c r="AU190" s="44"/>
      <c r="AV190" s="44"/>
      <c r="AW190" s="44"/>
      <c r="AX190" s="44"/>
      <c r="AY190" s="44"/>
      <c r="AZ190" s="44"/>
      <c r="BA190" s="44"/>
      <c r="BB190" s="44"/>
      <c r="BC190" s="44"/>
      <c r="BD190" s="44">
        <v>3.2</v>
      </c>
      <c r="BE190" s="44"/>
      <c r="BF190" s="44"/>
      <c r="BG190" s="44"/>
      <c r="BH190" s="44"/>
      <c r="BI190" s="44"/>
      <c r="BJ190" s="44"/>
      <c r="BK190" s="44"/>
      <c r="BL190" s="44"/>
      <c r="BM190" s="44"/>
      <c r="BN190" s="44"/>
      <c r="BO190" s="44" t="s">
        <v>8</v>
      </c>
      <c r="BP190" s="43">
        <f>AT193</f>
        <v>1.3888980000000002</v>
      </c>
      <c r="BZ190" s="43">
        <f t="shared" si="1698"/>
        <v>6.9444900000000073E-2</v>
      </c>
      <c r="CJ190" t="s">
        <v>476</v>
      </c>
      <c r="CU190" s="44"/>
      <c r="CV190" s="43"/>
      <c r="DF190" s="43"/>
      <c r="EA190" s="43">
        <f t="shared" si="1699"/>
        <v>1.3888980000000002</v>
      </c>
      <c r="EB190" s="585">
        <f>EB189</f>
        <v>2.5350000000000001</v>
      </c>
      <c r="EC190" s="44"/>
      <c r="ED190" s="44" t="s">
        <v>8</v>
      </c>
      <c r="EE190" s="43">
        <f>BD193</f>
        <v>2.8</v>
      </c>
      <c r="EK190"/>
      <c r="EL190"/>
      <c r="EM190"/>
      <c r="EN190"/>
      <c r="EP190"/>
      <c r="EQ190"/>
      <c r="ER190"/>
      <c r="ES190"/>
      <c r="ET190"/>
      <c r="EU190" s="44"/>
    </row>
    <row r="191" spans="1:165">
      <c r="A191" s="617" t="s">
        <v>451</v>
      </c>
      <c r="B191" s="43">
        <f>0</f>
        <v>0</v>
      </c>
      <c r="C191" s="630">
        <v>0</v>
      </c>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t="s">
        <v>478</v>
      </c>
      <c r="AJ191" s="43">
        <v>1.66</v>
      </c>
      <c r="AK191" s="44"/>
      <c r="AL191" s="44"/>
      <c r="AM191" s="44"/>
      <c r="AN191" s="44"/>
      <c r="AO191" s="44"/>
      <c r="AP191" s="44"/>
      <c r="AQ191" s="44"/>
      <c r="AR191" s="44"/>
      <c r="AS191" s="44"/>
      <c r="AT191" s="43">
        <f t="shared" si="1697"/>
        <v>1.8298179999999999</v>
      </c>
      <c r="AU191" s="44"/>
      <c r="AV191" s="44"/>
      <c r="AW191" s="44"/>
      <c r="AX191" s="44"/>
      <c r="AY191" s="44"/>
      <c r="AZ191" s="44"/>
      <c r="BA191" s="44"/>
      <c r="BB191" s="44"/>
      <c r="BC191" s="44"/>
      <c r="BD191" s="44">
        <v>3.4</v>
      </c>
      <c r="BE191" s="44"/>
      <c r="BF191" s="44"/>
      <c r="BG191" s="44"/>
      <c r="BH191" s="44"/>
      <c r="BI191" s="44"/>
      <c r="BJ191" s="44"/>
      <c r="BK191" s="44"/>
      <c r="BL191" s="44"/>
      <c r="BM191" s="44"/>
      <c r="BN191" s="44"/>
      <c r="BO191" s="44" t="s">
        <v>9</v>
      </c>
      <c r="BP191" s="43">
        <f>('Demand Breakdown - BTX'!H56*'Scope 3 Yearly'!AT188+'Demand Breakdown - BTX'!H58*'Scope 3 Yearly'!AT191)/('Demand Breakdown - BTX'!H56+'Demand Breakdown - BTX'!H58)</f>
        <v>1.366852</v>
      </c>
      <c r="BQ191" s="44"/>
      <c r="BR191" s="44"/>
      <c r="BS191" s="44"/>
      <c r="BT191" s="44"/>
      <c r="BU191" s="44"/>
      <c r="BV191" s="44"/>
      <c r="BW191" s="44"/>
      <c r="BX191" s="44"/>
      <c r="BY191" s="44"/>
      <c r="BZ191" s="43">
        <f t="shared" si="1698"/>
        <v>6.8342600000000059E-2</v>
      </c>
      <c r="CJ191" s="44"/>
      <c r="CU191" s="44"/>
      <c r="CV191" s="43"/>
      <c r="CW191" s="44"/>
      <c r="CX191" s="44"/>
      <c r="CY191" s="44"/>
      <c r="CZ191" s="44"/>
      <c r="DA191" s="44"/>
      <c r="DB191" s="44"/>
      <c r="DC191" s="44"/>
      <c r="DD191" s="44"/>
      <c r="DE191" s="44"/>
      <c r="DF191" s="43"/>
      <c r="DP191" s="44"/>
      <c r="EA191" s="43">
        <f t="shared" si="1699"/>
        <v>1.366852</v>
      </c>
      <c r="EB191" s="585">
        <f>EB190</f>
        <v>2.5350000000000001</v>
      </c>
      <c r="EC191" s="44"/>
      <c r="ED191" s="44" t="s">
        <v>9</v>
      </c>
      <c r="EE191" s="43">
        <f>('Demand Breakdown - BTX'!H56*'Scope 3 Yearly'!BD188+'Demand Breakdown - BTX'!H58*'Scope 3 Yearly'!BD191)/('Demand Breakdown - BTX'!H56+'Demand Breakdown - BTX'!H58)</f>
        <v>2.2999999999999998</v>
      </c>
      <c r="EF191" s="44"/>
      <c r="EG191" s="44"/>
      <c r="EH191" s="44"/>
      <c r="EI191" s="44"/>
      <c r="EJ191" s="44"/>
      <c r="EK191" s="44"/>
      <c r="EL191" s="44"/>
      <c r="EM191" s="44"/>
      <c r="EN191" s="44"/>
      <c r="EP191"/>
      <c r="EQ191"/>
      <c r="ER191"/>
      <c r="ES191"/>
      <c r="ET191"/>
      <c r="EU191" t="s">
        <v>479</v>
      </c>
    </row>
    <row r="192" spans="1:165">
      <c r="A192" s="617" t="s">
        <v>452</v>
      </c>
      <c r="B192" s="43">
        <f>EK11</f>
        <v>2.8940000000000001</v>
      </c>
      <c r="C192" s="631">
        <f>B192</f>
        <v>2.8940000000000001</v>
      </c>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t="s">
        <v>480</v>
      </c>
      <c r="AJ192" s="43">
        <v>0.66</v>
      </c>
      <c r="AK192" s="44"/>
      <c r="AL192" s="44"/>
      <c r="AM192" s="44"/>
      <c r="AN192" s="44"/>
      <c r="AO192" s="44"/>
      <c r="AP192" s="44"/>
      <c r="AQ192" s="44"/>
      <c r="AR192" s="44"/>
      <c r="AS192" s="44"/>
      <c r="AT192" s="43">
        <f t="shared" si="1697"/>
        <v>0.72751800000000011</v>
      </c>
      <c r="AU192" s="44"/>
      <c r="AV192" s="44"/>
      <c r="AW192" s="44"/>
      <c r="AX192" s="44"/>
      <c r="AY192" s="44"/>
      <c r="AZ192" s="44"/>
      <c r="BA192" s="44"/>
      <c r="BB192" s="44"/>
      <c r="BC192" s="44"/>
      <c r="BD192" s="44">
        <v>1.4</v>
      </c>
      <c r="BE192" s="44"/>
      <c r="BF192" s="44"/>
      <c r="BG192" s="44"/>
      <c r="BH192" s="44"/>
      <c r="BI192" s="44"/>
      <c r="BJ192" s="44"/>
      <c r="BK192" s="44"/>
      <c r="BL192" s="44"/>
      <c r="BM192" s="44"/>
      <c r="BN192" s="44"/>
      <c r="BO192" s="44" t="s">
        <v>10</v>
      </c>
      <c r="BP192" s="43">
        <f>AT186</f>
        <v>1.4219670000000002</v>
      </c>
      <c r="BQ192" s="44"/>
      <c r="BR192" s="44"/>
      <c r="BS192" s="44"/>
      <c r="BT192" s="44"/>
      <c r="BU192" s="44"/>
      <c r="BV192" s="44"/>
      <c r="BW192" s="44"/>
      <c r="BX192" s="44"/>
      <c r="BY192" s="44"/>
      <c r="BZ192" s="43">
        <f t="shared" si="1698"/>
        <v>7.1098350000000074E-2</v>
      </c>
      <c r="CJ192" t="s">
        <v>479</v>
      </c>
      <c r="CU192" s="44"/>
      <c r="CV192" s="43"/>
      <c r="CW192" s="44"/>
      <c r="CX192" s="44"/>
      <c r="CY192" s="44"/>
      <c r="CZ192" s="44"/>
      <c r="DA192" s="44"/>
      <c r="DB192" s="44"/>
      <c r="DC192" s="44"/>
      <c r="DD192" s="44"/>
      <c r="DE192" s="44"/>
      <c r="DF192" s="43"/>
      <c r="EA192" s="43">
        <f t="shared" si="1699"/>
        <v>1.4219670000000002</v>
      </c>
      <c r="EB192" s="585">
        <v>2.8</v>
      </c>
      <c r="ED192" s="44" t="s">
        <v>10</v>
      </c>
      <c r="EE192" s="43">
        <f>BD186</f>
        <v>3.2</v>
      </c>
      <c r="EF192" s="44"/>
      <c r="EG192" s="44"/>
      <c r="EH192" s="44"/>
      <c r="EI192" s="44"/>
      <c r="EJ192" s="44"/>
      <c r="EK192" s="44"/>
      <c r="EL192" s="44"/>
      <c r="EM192" s="44"/>
      <c r="EN192" s="44"/>
    </row>
    <row r="193" spans="1:135">
      <c r="A193" s="617" t="s">
        <v>453</v>
      </c>
      <c r="B193">
        <v>0</v>
      </c>
      <c r="C193" s="630">
        <v>0</v>
      </c>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t="s">
        <v>481</v>
      </c>
      <c r="AJ193" s="43">
        <v>1.26</v>
      </c>
      <c r="AK193" s="44"/>
      <c r="AL193" s="44"/>
      <c r="AM193" s="44"/>
      <c r="AN193" s="44"/>
      <c r="AO193" s="44"/>
      <c r="AP193" s="44"/>
      <c r="AQ193" s="44"/>
      <c r="AR193" s="44"/>
      <c r="AS193" s="44"/>
      <c r="AT193" s="43">
        <f t="shared" si="1697"/>
        <v>1.3888980000000002</v>
      </c>
      <c r="AU193" s="44"/>
      <c r="AV193" s="44"/>
      <c r="AW193" s="44"/>
      <c r="AX193" s="44"/>
      <c r="AY193" s="44"/>
      <c r="AZ193" s="44"/>
      <c r="BA193" s="44"/>
      <c r="BB193" s="44"/>
      <c r="BC193" s="44"/>
      <c r="BD193" s="44">
        <v>2.8</v>
      </c>
      <c r="BE193" s="44"/>
      <c r="BF193" s="44"/>
      <c r="BG193" s="44"/>
      <c r="BH193" s="44"/>
      <c r="BI193" s="44"/>
      <c r="BJ193" s="44"/>
      <c r="BK193" s="44"/>
      <c r="BL193" s="44"/>
      <c r="BM193" s="44"/>
      <c r="BN193" s="44"/>
      <c r="EB193" t="s">
        <v>482</v>
      </c>
      <c r="EE193" t="s">
        <v>483</v>
      </c>
    </row>
    <row r="194" spans="1:135" ht="16" thickBot="1">
      <c r="A194" s="618" t="s">
        <v>454</v>
      </c>
      <c r="B194" s="82">
        <v>0</v>
      </c>
      <c r="C194" s="632">
        <v>0</v>
      </c>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t="s">
        <v>96</v>
      </c>
      <c r="AJ194" s="620" t="s">
        <v>484</v>
      </c>
      <c r="AK194" s="44"/>
      <c r="AL194" s="44"/>
      <c r="AM194" s="44"/>
      <c r="AN194" s="44"/>
      <c r="AO194" s="44"/>
      <c r="AP194" s="44"/>
      <c r="AQ194" s="44"/>
      <c r="AR194" s="44"/>
      <c r="AS194" s="44"/>
      <c r="AT194" s="44"/>
      <c r="AU194" s="44"/>
      <c r="AV194" s="44"/>
      <c r="AW194" s="44"/>
      <c r="AX194" s="44"/>
      <c r="AY194" s="44"/>
      <c r="AZ194" s="44"/>
      <c r="BA194" s="44"/>
      <c r="BB194" s="44"/>
      <c r="BC194" s="44"/>
      <c r="BD194" s="44" t="s">
        <v>485</v>
      </c>
      <c r="BE194" s="44"/>
      <c r="BF194" s="44"/>
      <c r="BG194" s="44"/>
      <c r="BH194" s="44"/>
      <c r="BI194" s="44"/>
      <c r="BJ194" s="44"/>
      <c r="BK194" s="44"/>
      <c r="BL194" s="44"/>
      <c r="BM194" s="44"/>
      <c r="BN194" s="44"/>
    </row>
    <row r="195" spans="1:135">
      <c r="A195" s="112"/>
      <c r="B195" s="54" t="s">
        <v>486</v>
      </c>
      <c r="C195" s="5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J195" t="s">
        <v>487</v>
      </c>
      <c r="AU195" s="44"/>
      <c r="AV195" s="44"/>
      <c r="AW195" s="44"/>
      <c r="AX195" s="44"/>
      <c r="AY195" s="44"/>
      <c r="AZ195" s="44"/>
      <c r="BA195" s="44"/>
      <c r="BB195" s="44"/>
      <c r="BC195" s="44"/>
      <c r="BD195" s="44" t="s">
        <v>488</v>
      </c>
      <c r="BE195" s="44"/>
      <c r="BF195" s="44"/>
      <c r="BG195" s="44"/>
      <c r="BH195" s="44"/>
      <c r="BI195" s="44"/>
      <c r="BJ195" s="44"/>
      <c r="BK195" s="44"/>
      <c r="BL195" s="44"/>
      <c r="BM195" s="44"/>
      <c r="BN195" s="44"/>
    </row>
    <row r="196" spans="1:135">
      <c r="A196" s="112"/>
      <c r="C196" s="5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U196" s="44"/>
      <c r="AV196" s="44"/>
      <c r="AW196" s="44"/>
      <c r="AX196" s="44"/>
      <c r="AY196" s="44"/>
      <c r="AZ196" s="44"/>
      <c r="BA196" s="44"/>
      <c r="BB196" s="44"/>
      <c r="BC196" s="44"/>
      <c r="BD196" s="44"/>
      <c r="BE196" s="44"/>
      <c r="BF196" s="44"/>
      <c r="BG196" s="44"/>
      <c r="BH196" s="44"/>
      <c r="BI196" s="44"/>
      <c r="BJ196" s="44"/>
      <c r="BK196" s="44"/>
      <c r="BL196" s="44"/>
      <c r="BM196" s="44"/>
      <c r="BN196" s="44"/>
    </row>
    <row r="197" spans="1:135">
      <c r="A197" s="112" t="s">
        <v>489</v>
      </c>
      <c r="B197" s="55">
        <v>0.95</v>
      </c>
      <c r="C197" s="54" t="s">
        <v>490</v>
      </c>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U197" s="44"/>
      <c r="AV197" s="44"/>
      <c r="AW197" s="44"/>
      <c r="AX197" s="44"/>
      <c r="AY197" s="44"/>
      <c r="AZ197" s="44"/>
      <c r="BA197" s="44"/>
      <c r="BB197" s="44"/>
      <c r="BC197" s="44"/>
      <c r="BD197" s="44"/>
      <c r="BE197" s="44"/>
      <c r="BF197" s="44"/>
      <c r="BG197" s="44"/>
      <c r="BH197" s="44"/>
      <c r="BI197" s="44"/>
      <c r="BJ197" s="44"/>
      <c r="BK197" s="44"/>
      <c r="BL197" s="44"/>
      <c r="BM197" s="44"/>
      <c r="BN197" s="44"/>
    </row>
    <row r="198" spans="1:135">
      <c r="A198" s="112"/>
      <c r="C198" s="5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U198" s="44"/>
      <c r="AV198" s="44"/>
      <c r="AW198" s="44"/>
      <c r="AX198" s="44"/>
      <c r="AY198" s="44"/>
      <c r="AZ198" s="44"/>
      <c r="BA198" s="44"/>
      <c r="BB198" s="44"/>
      <c r="BC198" s="44"/>
      <c r="BD198" s="44"/>
      <c r="BE198" s="44"/>
      <c r="BF198" s="44"/>
      <c r="BG198" s="44"/>
      <c r="BH198" s="44"/>
      <c r="BI198" s="44"/>
      <c r="BJ198" s="44"/>
      <c r="BK198" s="44"/>
      <c r="BL198" s="44"/>
      <c r="BM198" s="44"/>
      <c r="BN198" s="44"/>
    </row>
    <row r="199" spans="1:135">
      <c r="A199" s="112"/>
      <c r="C199" s="5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U199" s="44"/>
      <c r="AV199" s="44"/>
      <c r="AW199" s="44"/>
      <c r="AX199" s="44"/>
      <c r="AY199" s="44"/>
      <c r="AZ199" s="44"/>
      <c r="BA199" s="44"/>
      <c r="BB199" s="44"/>
      <c r="BC199" s="44"/>
      <c r="BD199" s="44"/>
      <c r="BE199" s="44"/>
      <c r="BF199" s="44"/>
      <c r="BG199" s="44"/>
      <c r="BH199" s="44"/>
      <c r="BI199" s="44"/>
      <c r="BJ199" s="44"/>
      <c r="BK199" s="44"/>
      <c r="BL199" s="44"/>
      <c r="BM199" s="44"/>
      <c r="BN199" s="44"/>
    </row>
    <row r="200" spans="1:135">
      <c r="A200" s="112"/>
      <c r="C200" s="5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U200" s="44"/>
      <c r="AV200" s="44"/>
      <c r="AW200" s="44"/>
      <c r="AX200" s="44"/>
      <c r="AY200" s="44"/>
      <c r="AZ200" s="44"/>
      <c r="BA200" s="44"/>
      <c r="BB200" s="44"/>
      <c r="BC200" s="44"/>
      <c r="BD200" s="44"/>
      <c r="BE200" s="44"/>
      <c r="BF200" s="44"/>
      <c r="BG200" s="44"/>
      <c r="BH200" s="44"/>
      <c r="BI200" s="44"/>
      <c r="BJ200" s="44"/>
      <c r="BK200" s="44"/>
      <c r="BL200" s="44"/>
      <c r="BM200" s="44"/>
      <c r="BN200" s="44"/>
    </row>
    <row r="201" spans="1:135">
      <c r="A201" s="605"/>
      <c r="C201" s="54"/>
    </row>
    <row r="202" spans="1:135">
      <c r="A202" s="605"/>
      <c r="C202" s="54"/>
    </row>
    <row r="203" spans="1:135">
      <c r="B203" s="181" t="s">
        <v>491</v>
      </c>
    </row>
    <row r="204" spans="1:135">
      <c r="A204" s="181"/>
      <c r="B204" s="210" t="s">
        <v>492</v>
      </c>
      <c r="D204" s="331">
        <v>0</v>
      </c>
      <c r="E204" s="331">
        <f t="shared" ref="E204:Y204" si="1700">D204+1</f>
        <v>1</v>
      </c>
      <c r="F204" s="331">
        <f t="shared" si="1700"/>
        <v>2</v>
      </c>
      <c r="G204" s="331">
        <f t="shared" si="1700"/>
        <v>3</v>
      </c>
      <c r="H204" s="331">
        <f t="shared" si="1700"/>
        <v>4</v>
      </c>
      <c r="I204" s="331">
        <f t="shared" si="1700"/>
        <v>5</v>
      </c>
      <c r="J204" s="331">
        <f t="shared" si="1700"/>
        <v>6</v>
      </c>
      <c r="K204" s="331">
        <f t="shared" si="1700"/>
        <v>7</v>
      </c>
      <c r="L204" s="331">
        <f t="shared" si="1700"/>
        <v>8</v>
      </c>
      <c r="M204" s="331">
        <f t="shared" si="1700"/>
        <v>9</v>
      </c>
      <c r="N204" s="331">
        <f t="shared" si="1700"/>
        <v>10</v>
      </c>
      <c r="O204" s="331">
        <f t="shared" si="1700"/>
        <v>11</v>
      </c>
      <c r="P204" s="331">
        <f t="shared" si="1700"/>
        <v>12</v>
      </c>
      <c r="Q204" s="331">
        <f t="shared" si="1700"/>
        <v>13</v>
      </c>
      <c r="R204" s="331">
        <f t="shared" si="1700"/>
        <v>14</v>
      </c>
      <c r="S204" s="331">
        <f t="shared" si="1700"/>
        <v>15</v>
      </c>
      <c r="T204" s="331">
        <f t="shared" si="1700"/>
        <v>16</v>
      </c>
      <c r="U204" s="331">
        <f t="shared" si="1700"/>
        <v>17</v>
      </c>
      <c r="V204" s="331">
        <f t="shared" si="1700"/>
        <v>18</v>
      </c>
      <c r="W204" s="331">
        <f t="shared" si="1700"/>
        <v>19</v>
      </c>
      <c r="X204" s="331">
        <f t="shared" si="1700"/>
        <v>20</v>
      </c>
      <c r="Y204" s="331">
        <f t="shared" si="1700"/>
        <v>21</v>
      </c>
      <c r="Z204" s="331">
        <f t="shared" ref="Z204:AH204" si="1701">Y204+1</f>
        <v>22</v>
      </c>
      <c r="AA204" s="331">
        <f t="shared" si="1701"/>
        <v>23</v>
      </c>
      <c r="AB204" s="331">
        <f t="shared" si="1701"/>
        <v>24</v>
      </c>
      <c r="AC204" s="331">
        <f t="shared" si="1701"/>
        <v>25</v>
      </c>
      <c r="AD204" s="331">
        <f t="shared" si="1701"/>
        <v>26</v>
      </c>
      <c r="AE204" s="331">
        <f t="shared" si="1701"/>
        <v>27</v>
      </c>
      <c r="AF204" s="331">
        <f t="shared" si="1701"/>
        <v>28</v>
      </c>
      <c r="AG204" s="331">
        <f t="shared" si="1701"/>
        <v>29</v>
      </c>
      <c r="AH204" s="331">
        <f t="shared" si="1701"/>
        <v>30</v>
      </c>
    </row>
    <row r="205" spans="1:135">
      <c r="B205" s="176"/>
      <c r="D205" s="333">
        <f>$D$210/((1+EXP(-$D$209*(D204-$D$211)))^$D$208)</f>
        <v>4.6088632748610021E-5</v>
      </c>
      <c r="E205" s="333">
        <f t="shared" ref="E205:AH205" si="1702">$D$210/((1+EXP(-$D$209*(E204-$D$211)))^$D$208)</f>
        <v>8.924759460408035E-5</v>
      </c>
      <c r="F205" s="333">
        <f t="shared" si="1702"/>
        <v>1.7252431976790472E-4</v>
      </c>
      <c r="G205" s="333">
        <f t="shared" si="1702"/>
        <v>3.3269643715580369E-4</v>
      </c>
      <c r="H205" s="333">
        <f t="shared" si="1702"/>
        <v>6.393827369910735E-4</v>
      </c>
      <c r="I205" s="333">
        <f t="shared" si="1702"/>
        <v>1.2229053771654547E-3</v>
      </c>
      <c r="J205" s="333">
        <f t="shared" si="1702"/>
        <v>2.3234018804222717E-3</v>
      </c>
      <c r="K205" s="333">
        <f t="shared" si="1702"/>
        <v>4.3736281679830789E-3</v>
      </c>
      <c r="L205" s="333">
        <f t="shared" si="1702"/>
        <v>8.1294184230466908E-3</v>
      </c>
      <c r="M205" s="333">
        <f t="shared" si="1702"/>
        <v>1.4853985082038716E-2</v>
      </c>
      <c r="N205" s="333">
        <f t="shared" si="1702"/>
        <v>2.6531412096832362E-2</v>
      </c>
      <c r="O205" s="333">
        <f t="shared" si="1702"/>
        <v>4.6014759335105015E-2</v>
      </c>
      <c r="P205" s="333">
        <f t="shared" si="1702"/>
        <v>7.6910635328419796E-2</v>
      </c>
      <c r="Q205" s="333">
        <f t="shared" si="1702"/>
        <v>0.12294065829885638</v>
      </c>
      <c r="R205" s="333">
        <f t="shared" si="1702"/>
        <v>0.18666754187878853</v>
      </c>
      <c r="S205" s="333">
        <f t="shared" si="1702"/>
        <v>0.26794336563407328</v>
      </c>
      <c r="T205" s="333">
        <f t="shared" si="1702"/>
        <v>0.36297326582455031</v>
      </c>
      <c r="U205" s="333">
        <f t="shared" si="1702"/>
        <v>0.46484396312424381</v>
      </c>
      <c r="V205" s="333">
        <f t="shared" si="1702"/>
        <v>0.56546260593861253</v>
      </c>
      <c r="W205" s="333">
        <f t="shared" si="1702"/>
        <v>0.6578403022607352</v>
      </c>
      <c r="X205" s="333">
        <f t="shared" si="1702"/>
        <v>0.73754668886795227</v>
      </c>
      <c r="Y205" s="333">
        <f t="shared" si="1702"/>
        <v>0.80293052021410605</v>
      </c>
      <c r="Z205" s="333">
        <f t="shared" si="1702"/>
        <v>0.85447682949112158</v>
      </c>
      <c r="AA205" s="333">
        <f t="shared" si="1702"/>
        <v>0.89389910336617451</v>
      </c>
      <c r="AB205" s="333">
        <f t="shared" si="1702"/>
        <v>0.92337223319290385</v>
      </c>
      <c r="AC205" s="333">
        <f t="shared" si="1702"/>
        <v>0.94504210708611314</v>
      </c>
      <c r="AD205" s="333">
        <f t="shared" si="1702"/>
        <v>0.96078240575184182</v>
      </c>
      <c r="AE205" s="333">
        <f t="shared" si="1702"/>
        <v>0.97211605463477313</v>
      </c>
      <c r="AF205" s="333">
        <f t="shared" si="1702"/>
        <v>0.98022577885232642</v>
      </c>
      <c r="AG205" s="333">
        <f t="shared" si="1702"/>
        <v>0.98600279580400285</v>
      </c>
      <c r="AH205" s="333">
        <f t="shared" si="1702"/>
        <v>0.9901050637460882</v>
      </c>
    </row>
    <row r="206" spans="1:135">
      <c r="A206" s="181"/>
      <c r="B206" s="176"/>
      <c r="D206" s="329"/>
      <c r="E206" s="329"/>
      <c r="F206" s="329"/>
      <c r="G206" s="329"/>
      <c r="H206" s="329"/>
      <c r="I206" s="329"/>
      <c r="J206" s="329"/>
      <c r="K206" s="329"/>
      <c r="L206" s="329"/>
      <c r="M206" s="329"/>
      <c r="N206" s="329"/>
      <c r="O206" s="329"/>
      <c r="P206" s="329"/>
      <c r="Q206" s="329"/>
      <c r="R206" s="329"/>
      <c r="S206" s="329"/>
      <c r="T206" s="329"/>
      <c r="U206" s="329"/>
      <c r="V206" s="329"/>
      <c r="W206" s="329"/>
      <c r="X206" s="329"/>
      <c r="Y206" s="329"/>
      <c r="Z206" s="329"/>
      <c r="AA206" s="329"/>
      <c r="AB206" s="329"/>
      <c r="AC206" s="329"/>
      <c r="AD206" s="329"/>
      <c r="AE206" s="329"/>
      <c r="AF206" s="329"/>
      <c r="AG206" s="329"/>
      <c r="AH206" s="329"/>
    </row>
    <row r="207" spans="1:135">
      <c r="A207" s="181"/>
      <c r="B207" s="176"/>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7"/>
      <c r="Y207" s="327"/>
      <c r="Z207" s="327"/>
      <c r="AA207" s="327"/>
      <c r="AB207" s="327"/>
      <c r="AC207" s="327"/>
      <c r="AD207" s="327"/>
      <c r="AE207" s="327"/>
      <c r="AF207" s="327"/>
      <c r="AG207" s="327"/>
      <c r="AH207" s="181"/>
    </row>
    <row r="208" spans="1:135">
      <c r="B208" s="181"/>
      <c r="C208" s="323" t="s">
        <v>493</v>
      </c>
      <c r="D208" s="51">
        <v>1.9</v>
      </c>
    </row>
    <row r="209" spans="2:4">
      <c r="B209" s="176" t="s">
        <v>494</v>
      </c>
      <c r="C209" s="323" t="s">
        <v>495</v>
      </c>
      <c r="D209" s="51">
        <v>0.35</v>
      </c>
    </row>
    <row r="210" spans="2:4">
      <c r="B210" s="176" t="s">
        <v>496</v>
      </c>
      <c r="C210" s="323" t="s">
        <v>497</v>
      </c>
      <c r="D210" s="51">
        <v>1</v>
      </c>
    </row>
    <row r="211" spans="2:4">
      <c r="B211" s="181"/>
      <c r="C211" s="323" t="s">
        <v>498</v>
      </c>
      <c r="D211" s="51">
        <v>15</v>
      </c>
    </row>
  </sheetData>
  <mergeCells count="7">
    <mergeCell ref="ED183:EE183"/>
    <mergeCell ref="D1:AH1"/>
    <mergeCell ref="AJ1:BN1"/>
    <mergeCell ref="BP1:CT1"/>
    <mergeCell ref="BO183:BZ183"/>
    <mergeCell ref="CU183:EB183"/>
    <mergeCell ref="CV1:DZ1"/>
  </mergeCells>
  <hyperlinks>
    <hyperlink ref="AJ194" r:id="rId1" xr:uid="{33938FCC-802A-4F7F-898A-BBFFDB479B2A}"/>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6893-A0B3-4DE2-8604-69F12272A8FF}">
  <sheetPr>
    <tabColor rgb="FF7030A0"/>
  </sheetPr>
  <dimension ref="B1:AJ36"/>
  <sheetViews>
    <sheetView zoomScale="60" zoomScaleNormal="60" workbookViewId="0">
      <selection activeCell="AG38" sqref="AG38"/>
    </sheetView>
  </sheetViews>
  <sheetFormatPr baseColWidth="10" defaultColWidth="8.83203125" defaultRowHeight="15" outlineLevelCol="1"/>
  <cols>
    <col min="2" max="2" width="24.1640625" customWidth="1"/>
    <col min="3" max="3" width="15.33203125" customWidth="1"/>
    <col min="4" max="12" width="0" hidden="1" customWidth="1" outlineLevel="1"/>
    <col min="13" max="13" width="8.6640625" collapsed="1"/>
    <col min="14" max="22" width="0" hidden="1" customWidth="1" outlineLevel="1"/>
    <col min="23" max="23" width="14.5" customWidth="1" collapsed="1"/>
    <col min="24" max="32" width="0" hidden="1" customWidth="1" outlineLevel="1"/>
    <col min="33" max="33" width="8.6640625" collapsed="1"/>
  </cols>
  <sheetData>
    <row r="1" spans="2:35">
      <c r="C1">
        <f>'Yearly HC Ethylene'!D3</f>
        <v>2020</v>
      </c>
      <c r="D1">
        <f>'Yearly HC Ethylene'!E3</f>
        <v>2021</v>
      </c>
      <c r="E1">
        <f>'Yearly HC Ethylene'!F3</f>
        <v>2022</v>
      </c>
      <c r="F1">
        <f>'Yearly HC Ethylene'!G3</f>
        <v>2023</v>
      </c>
      <c r="G1">
        <f>'Yearly HC Ethylene'!H3</f>
        <v>2024</v>
      </c>
      <c r="H1">
        <f>'Yearly HC Ethylene'!I3</f>
        <v>2025</v>
      </c>
      <c r="I1">
        <f>'Yearly HC Ethylene'!J3</f>
        <v>2026</v>
      </c>
      <c r="J1">
        <f>'Yearly HC Ethylene'!K3</f>
        <v>2027</v>
      </c>
      <c r="K1">
        <f>'Yearly HC Ethylene'!L3</f>
        <v>2028</v>
      </c>
      <c r="L1">
        <f>'Yearly HC Ethylene'!M3</f>
        <v>2029</v>
      </c>
      <c r="M1">
        <f>'Yearly HC Ethylene'!N3</f>
        <v>2030</v>
      </c>
      <c r="N1">
        <f>'Yearly HC Ethylene'!O3</f>
        <v>2031</v>
      </c>
      <c r="O1">
        <f>'Yearly HC Ethylene'!P3</f>
        <v>2032</v>
      </c>
      <c r="P1">
        <f>'Yearly HC Ethylene'!Q3</f>
        <v>2033</v>
      </c>
      <c r="Q1">
        <f>'Yearly HC Ethylene'!R3</f>
        <v>2034</v>
      </c>
      <c r="R1">
        <f>'Yearly HC Ethylene'!S3</f>
        <v>2035</v>
      </c>
      <c r="S1">
        <f>'Yearly HC Ethylene'!T3</f>
        <v>2036</v>
      </c>
      <c r="T1">
        <f>'Yearly HC Ethylene'!U3</f>
        <v>2037</v>
      </c>
      <c r="U1">
        <f>'Yearly HC Ethylene'!V3</f>
        <v>2038</v>
      </c>
      <c r="V1">
        <f>'Yearly HC Ethylene'!W3</f>
        <v>2039</v>
      </c>
      <c r="W1">
        <f>'Yearly HC Ethylene'!X3</f>
        <v>2040</v>
      </c>
      <c r="X1">
        <f>'Yearly HC Ethylene'!Y3</f>
        <v>2041</v>
      </c>
      <c r="Y1">
        <f>'Yearly HC Ethylene'!Z3</f>
        <v>2042</v>
      </c>
      <c r="Z1">
        <f>'Yearly HC Ethylene'!AA3</f>
        <v>2043</v>
      </c>
      <c r="AA1">
        <f>'Yearly HC Ethylene'!AB3</f>
        <v>2044</v>
      </c>
      <c r="AB1">
        <f>'Yearly HC Ethylene'!AC3</f>
        <v>2045</v>
      </c>
      <c r="AC1">
        <f>'Yearly HC Ethylene'!AD3</f>
        <v>2046</v>
      </c>
      <c r="AD1">
        <f>'Yearly HC Ethylene'!AE3</f>
        <v>2047</v>
      </c>
      <c r="AE1">
        <f>'Yearly HC Ethylene'!AF3</f>
        <v>2048</v>
      </c>
      <c r="AF1">
        <f>'Yearly HC Ethylene'!AG3</f>
        <v>2049</v>
      </c>
      <c r="AG1">
        <f>'Yearly HC Ethylene'!AH3</f>
        <v>2050</v>
      </c>
    </row>
    <row r="2" spans="2:35">
      <c r="B2" t="s">
        <v>499</v>
      </c>
    </row>
    <row r="3" spans="2:35">
      <c r="B3" t="s">
        <v>500</v>
      </c>
      <c r="C3" s="26">
        <f>'Yearly HC Ethylene'!D4</f>
        <v>162.69230769230768</v>
      </c>
      <c r="D3" s="26">
        <f>'Yearly HC Ethylene'!E4</f>
        <v>166.71878063819926</v>
      </c>
      <c r="E3" s="26">
        <f>'Yearly HC Ethylene'!F4</f>
        <v>170.84490478834238</v>
      </c>
      <c r="F3" s="26">
        <f>'Yearly HC Ethylene'!G4</f>
        <v>175.07314641101752</v>
      </c>
      <c r="G3" s="26">
        <f>'Yearly HC Ethylene'!H4</f>
        <v>179.40603281219435</v>
      </c>
      <c r="H3" s="26">
        <f>'Yearly HC Ethylene'!I4</f>
        <v>183.84615384615384</v>
      </c>
      <c r="I3" s="26">
        <f>'Yearly HC Ethylene'!J4</f>
        <v>187.89464856761026</v>
      </c>
      <c r="J3" s="26">
        <f>'Yearly HC Ethylene'!K4</f>
        <v>192.03229560020711</v>
      </c>
      <c r="K3" s="26">
        <f>'Yearly HC Ethylene'!L4</f>
        <v>196.26105817599196</v>
      </c>
      <c r="L3" s="26">
        <f>'Yearly HC Ethylene'!M4</f>
        <v>200.58294275954361</v>
      </c>
      <c r="M3" s="26">
        <f>'Yearly HC Ethylene'!N4</f>
        <v>205</v>
      </c>
      <c r="N3" s="26">
        <f>'Yearly HC Ethylene'!O4</f>
        <v>207.44116419514421</v>
      </c>
      <c r="O3" s="26">
        <f>'Yearly HC Ethylene'!P4</f>
        <v>209.91139806164284</v>
      </c>
      <c r="P3" s="26">
        <f>'Yearly HC Ethylene'!Q4</f>
        <v>212.41104776457331</v>
      </c>
      <c r="Q3" s="26">
        <f>'Yearly HC Ethylene'!R4</f>
        <v>214.94046359118767</v>
      </c>
      <c r="R3" s="26">
        <f>'Yearly HC Ethylene'!S4</f>
        <v>217.5</v>
      </c>
      <c r="S3" s="26">
        <f>'Yearly HC Ethylene'!T4</f>
        <v>219.94443410654205</v>
      </c>
      <c r="T3" s="26">
        <f>'Yearly HC Ethylene'!U4</f>
        <v>222.41634066412422</v>
      </c>
      <c r="U3" s="26">
        <f>'Yearly HC Ethylene'!V4</f>
        <v>224.91602842951116</v>
      </c>
      <c r="V3" s="26">
        <f>'Yearly HC Ethylene'!W4</f>
        <v>227.4438096295161</v>
      </c>
      <c r="W3" s="26">
        <f>'Yearly HC Ethylene'!X4</f>
        <v>230</v>
      </c>
      <c r="X3" s="26">
        <f>'Yearly HC Ethylene'!Y4</f>
        <v>232.44735963345383</v>
      </c>
      <c r="Y3" s="26">
        <f>'Yearly HC Ethylene'!Z4</f>
        <v>234.92076087201835</v>
      </c>
      <c r="Z3" s="26">
        <f>'Yearly HC Ethylene'!AA4</f>
        <v>237.42048081644634</v>
      </c>
      <c r="AA3" s="26">
        <f>'Yearly HC Ethylene'!AB4</f>
        <v>239.9467995160349</v>
      </c>
      <c r="AB3" s="26">
        <f>'Yearly HC Ethylene'!AC4</f>
        <v>242.5</v>
      </c>
      <c r="AC3" s="26">
        <f>'Yearly HC Ethylene'!AD4</f>
        <v>244.9499924675749</v>
      </c>
      <c r="AD3" s="26">
        <f>'Yearly HC Ethylene'!AE4</f>
        <v>247.42473736026807</v>
      </c>
      <c r="AE3" s="26">
        <f>'Yearly HC Ethylene'!AF4</f>
        <v>249.9244847533582</v>
      </c>
      <c r="AF3" s="26">
        <f>'Yearly HC Ethylene'!AG4</f>
        <v>252.44948724865003</v>
      </c>
      <c r="AG3" s="26">
        <f>'Yearly HC Ethylene'!AH4</f>
        <v>255</v>
      </c>
    </row>
    <row r="4" spans="2:35">
      <c r="B4" t="s">
        <v>5</v>
      </c>
      <c r="C4" s="26">
        <f>'Yearly HC Propylene'!D4</f>
        <v>111.92307692307692</v>
      </c>
      <c r="D4" s="26">
        <f>'Yearly HC Propylene'!E4</f>
        <v>114.14109897114302</v>
      </c>
      <c r="E4" s="26">
        <f>'Yearly HC Propylene'!F4</f>
        <v>116.40307640304019</v>
      </c>
      <c r="F4" s="26">
        <f>'Yearly HC Propylene'!G4</f>
        <v>118.70988029927432</v>
      </c>
      <c r="G4" s="26">
        <f>'Yearly HC Propylene'!H4</f>
        <v>121.06239900288395</v>
      </c>
      <c r="H4" s="26">
        <f>'Yearly HC Propylene'!I4</f>
        <v>123.46153846153845</v>
      </c>
      <c r="I4" s="26">
        <f>'Yearly HC Propylene'!J4</f>
        <v>125.68750385067274</v>
      </c>
      <c r="J4" s="26">
        <f>'Yearly HC Propylene'!K4</f>
        <v>127.95360256371801</v>
      </c>
      <c r="K4" s="26">
        <f>'Yearly HC Propylene'!L4</f>
        <v>130.26055818950272</v>
      </c>
      <c r="L4" s="26">
        <f>'Yearly HC Propylene'!M4</f>
        <v>132.60910736289145</v>
      </c>
      <c r="M4" s="26">
        <f>'Yearly HC Propylene'!N4</f>
        <v>135</v>
      </c>
      <c r="N4" s="26">
        <f>'Yearly HC Propylene'!O4</f>
        <v>136.22747472491002</v>
      </c>
      <c r="O4" s="26">
        <f>'Yearly HC Propylene'!P4</f>
        <v>137.46611014760001</v>
      </c>
      <c r="P4" s="26">
        <f>'Yearly HC Propylene'!Q4</f>
        <v>138.71600774565835</v>
      </c>
      <c r="Q4" s="26">
        <f>'Yearly HC Propylene'!R4</f>
        <v>139.97726991934886</v>
      </c>
      <c r="R4" s="26">
        <f>'Yearly HC Propylene'!S4</f>
        <v>141.25</v>
      </c>
      <c r="S4" s="26">
        <f>'Yearly HC Propylene'!T4</f>
        <v>142.47844586453499</v>
      </c>
      <c r="T4" s="26">
        <f>'Yearly HC Propylene'!U4</f>
        <v>143.71757547591665</v>
      </c>
      <c r="U4" s="26">
        <f>'Yearly HC Propylene'!V4</f>
        <v>144.96748175028398</v>
      </c>
      <c r="V4" s="26">
        <f>'Yearly HC Propylene'!W4</f>
        <v>146.22825841186406</v>
      </c>
      <c r="W4" s="26">
        <f>'Yearly HC Propylene'!X4</f>
        <v>147.5</v>
      </c>
      <c r="X4" s="26">
        <f>'Yearly HC Propylene'!Y4</f>
        <v>148.72933671873375</v>
      </c>
      <c r="Y4" s="26">
        <f>'Yearly HC Propylene'!Z4</f>
        <v>149.96891932742022</v>
      </c>
      <c r="Z4" s="26">
        <f>'Yearly HC Propylene'!AA4</f>
        <v>151.21883322028813</v>
      </c>
      <c r="AA4" s="26">
        <f>'Yearly HC Propylene'!AB4</f>
        <v>152.47916450328322</v>
      </c>
      <c r="AB4" s="26">
        <f>'Yearly HC Propylene'!AC4</f>
        <v>153.75</v>
      </c>
      <c r="AC4" s="26">
        <f>'Yearly HC Propylene'!AD4</f>
        <v>154.98015684917894</v>
      </c>
      <c r="AD4" s="26">
        <f>'Yearly HC Propylene'!AE4</f>
        <v>156.22015620810475</v>
      </c>
      <c r="AE4" s="26">
        <f>'Yearly HC Propylene'!AF4</f>
        <v>157.4700768268963</v>
      </c>
      <c r="AF4" s="26">
        <f>'Yearly HC Propylene'!AG4</f>
        <v>158.72999808575381</v>
      </c>
      <c r="AG4" s="26">
        <f>'Yearly HC Propylene'!AH4</f>
        <v>160</v>
      </c>
    </row>
    <row r="5" spans="2:35">
      <c r="B5" t="s">
        <v>151</v>
      </c>
      <c r="C5" s="26">
        <f>'Yearly BTX'!D4</f>
        <v>116.10918671199683</v>
      </c>
      <c r="D5" s="26">
        <f>'Yearly BTX'!E4</f>
        <v>118.94536560959409</v>
      </c>
      <c r="E5" s="26">
        <f>'Yearly BTX'!F4</f>
        <v>121.85082335554922</v>
      </c>
      <c r="F5" s="26">
        <f>'Yearly BTX'!G4</f>
        <v>124.82725221223463</v>
      </c>
      <c r="G5" s="26">
        <f>'Yearly BTX'!H4</f>
        <v>127.87638577862117</v>
      </c>
      <c r="H5" s="26">
        <f>'Yearly BTX'!I4</f>
        <v>131</v>
      </c>
      <c r="I5" s="26">
        <f>'Yearly BTX'!J4</f>
        <v>133.12962399313108</v>
      </c>
      <c r="J5" s="26">
        <f>'Yearly BTX'!K4</f>
        <v>135.29386858436993</v>
      </c>
      <c r="K5" s="26">
        <f>'Yearly BTX'!L4</f>
        <v>137.49329658941417</v>
      </c>
      <c r="L5" s="26">
        <f>'Yearly BTX'!M4</f>
        <v>139.72847997347145</v>
      </c>
      <c r="M5" s="26">
        <f>'Yearly BTX'!N4</f>
        <v>142</v>
      </c>
      <c r="N5" s="26">
        <f>'Yearly BTX'!O4</f>
        <v>143.37318371127816</v>
      </c>
      <c r="O5" s="26">
        <f>'Yearly BTX'!P4</f>
        <v>144.75964653174591</v>
      </c>
      <c r="P5" s="26">
        <f>'Yearly BTX'!Q4</f>
        <v>146.15951687447676</v>
      </c>
      <c r="Q5" s="26">
        <f>'Yearly BTX'!R4</f>
        <v>147.57292439433817</v>
      </c>
      <c r="R5" s="26">
        <f>'Yearly BTX'!S4</f>
        <v>149</v>
      </c>
      <c r="S5" s="26">
        <f>'Yearly BTX'!T4</f>
        <v>150.37440931484167</v>
      </c>
      <c r="T5" s="26">
        <f>'Yearly BTX'!U4</f>
        <v>151.76149648850699</v>
      </c>
      <c r="U5" s="26">
        <f>'Yearly BTX'!V4</f>
        <v>153.1613784644004</v>
      </c>
      <c r="V5" s="26">
        <f>'Yearly BTX'!W4</f>
        <v>154.5741732646384</v>
      </c>
      <c r="W5" s="26">
        <f>'Yearly BTX'!X4</f>
        <v>156</v>
      </c>
      <c r="X5" s="26">
        <f>'Yearly BTX'!Y4</f>
        <v>156.5954371632547</v>
      </c>
      <c r="Y5" s="26">
        <f>'Yearly BTX'!Z4</f>
        <v>157.19314705353111</v>
      </c>
      <c r="Z5" s="26">
        <f>'Yearly BTX'!AA4</f>
        <v>157.79313834561211</v>
      </c>
      <c r="AA5" s="26">
        <f>'Yearly BTX'!AB4</f>
        <v>158.3954197473914</v>
      </c>
      <c r="AB5" s="26">
        <f>'Yearly BTX'!AC4</f>
        <v>159</v>
      </c>
      <c r="AC5" s="26">
        <f>'Yearly BTX'!AD4</f>
        <v>159.39800247817999</v>
      </c>
      <c r="AD5" s="26">
        <f>'Yearly BTX'!AE4</f>
        <v>159.79700122033884</v>
      </c>
      <c r="AE5" s="26">
        <f>'Yearly BTX'!AF4</f>
        <v>160.19699872028491</v>
      </c>
      <c r="AF5" s="26">
        <f>'Yearly BTX'!AG4</f>
        <v>160.597997478069</v>
      </c>
      <c r="AG5" s="26">
        <f>'Yearly BTX'!AH4</f>
        <v>161</v>
      </c>
    </row>
    <row r="6" spans="2:35">
      <c r="B6" t="s">
        <v>10</v>
      </c>
      <c r="C6" s="26">
        <f>'Yearly Demand - C4'!O3</f>
        <v>63.671456045561811</v>
      </c>
      <c r="D6" s="26">
        <f>'Yearly Demand - C4'!P3</f>
        <v>65.267852425999862</v>
      </c>
      <c r="E6" s="26">
        <f>'Yearly Demand - C4'!Q3</f>
        <v>66.904274299205852</v>
      </c>
      <c r="F6" s="26">
        <f>'Yearly Demand - C4'!R3</f>
        <v>68.581725200448929</v>
      </c>
      <c r="G6" s="26">
        <f>'Yearly Demand - C4'!S3</f>
        <v>70.301233826038541</v>
      </c>
      <c r="H6" s="26">
        <f>'Yearly Demand - C4'!T3</f>
        <v>72.063854664172169</v>
      </c>
      <c r="I6" s="26">
        <f>'Yearly Demand - C4'!U3</f>
        <v>73.534362798700201</v>
      </c>
      <c r="J6" s="26">
        <f>'Yearly Demand - C4'!V3</f>
        <v>75.034877573641651</v>
      </c>
      <c r="K6" s="26">
        <f>'Yearly Demand - C4'!W3</f>
        <v>76.566011293306701</v>
      </c>
      <c r="L6" s="26">
        <f>'Yearly Demand - C4'!X3</f>
        <v>78.128388756458833</v>
      </c>
      <c r="M6" s="26">
        <f>'Yearly Demand - C4'!Y3</f>
        <v>79.722647511272015</v>
      </c>
      <c r="N6" s="26">
        <f>'Yearly Demand - C4'!Z3</f>
        <v>80.979714921489062</v>
      </c>
      <c r="O6" s="26">
        <f>'Yearly Demand - C4'!AA3</f>
        <v>82.25660378173518</v>
      </c>
      <c r="P6" s="26">
        <f>'Yearly Demand - C4'!AB3</f>
        <v>83.553626636809526</v>
      </c>
      <c r="Q6" s="26">
        <f>'Yearly Demand - C4'!AC3</f>
        <v>84.871100959720422</v>
      </c>
      <c r="R6" s="26">
        <f>'Yearly Demand - C4'!AD3</f>
        <v>86.209349229393368</v>
      </c>
      <c r="S6" s="26">
        <f>'Yearly Demand - C4'!AE3</f>
        <v>87.118801609768127</v>
      </c>
      <c r="T6" s="26">
        <f>'Yearly Demand - C4'!AF3</f>
        <v>88.037848119312898</v>
      </c>
      <c r="U6" s="26">
        <f>'Yearly Demand - C4'!AG3</f>
        <v>88.966589969829982</v>
      </c>
      <c r="V6" s="26">
        <f>'Yearly Demand - C4'!AH3</f>
        <v>89.90512944084017</v>
      </c>
      <c r="W6" s="26">
        <f>'Yearly Demand - C4'!AI3</f>
        <v>90.85356989084643</v>
      </c>
      <c r="X6" s="26">
        <f>'Yearly Demand - C4'!AJ3</f>
        <v>91.535574254248786</v>
      </c>
      <c r="Y6" s="26">
        <f>'Yearly Demand - C4'!AK3</f>
        <v>92.222698173792509</v>
      </c>
      <c r="Z6" s="26">
        <f>'Yearly Demand - C4'!AL3</f>
        <v>92.914980080104272</v>
      </c>
      <c r="AA6" s="26">
        <f>'Yearly Demand - C4'!AM3</f>
        <v>93.612458692295363</v>
      </c>
      <c r="AB6" s="26">
        <f>'Yearly Demand - C4'!AN3</f>
        <v>94.31517302012719</v>
      </c>
      <c r="AC6" s="26">
        <f>'Yearly Demand - C4'!AO3</f>
        <v>94.935340978609858</v>
      </c>
      <c r="AD6" s="26">
        <f>'Yearly Demand - C4'!AP3</f>
        <v>95.55958684189207</v>
      </c>
      <c r="AE6" s="26">
        <f>'Yearly Demand - C4'!AQ3</f>
        <v>96.187937424173626</v>
      </c>
      <c r="AF6" s="26">
        <f>'Yearly Demand - C4'!AR3</f>
        <v>96.820419715970701</v>
      </c>
      <c r="AG6" s="26">
        <f>'Yearly Demand - C4'!AS3</f>
        <v>97.457060885275183</v>
      </c>
    </row>
    <row r="7" spans="2:35">
      <c r="B7" t="s">
        <v>6</v>
      </c>
      <c r="C7" s="26">
        <f>'Yearly Methanol'!D4</f>
        <v>102.16223893794903</v>
      </c>
      <c r="D7" s="26">
        <f>'Yearly Methanol'!E4</f>
        <v>106.84601504415413</v>
      </c>
      <c r="E7" s="26">
        <f>'Yearly Methanol'!F4</f>
        <v>111.52979115035922</v>
      </c>
      <c r="F7" s="26">
        <f>'Yearly Methanol'!G4</f>
        <v>116.21356725656432</v>
      </c>
      <c r="G7" s="26">
        <f>'Yearly Methanol'!H4</f>
        <v>120.89734336276942</v>
      </c>
      <c r="H7" s="26">
        <f>'Yearly Methanol'!I4</f>
        <v>125.58111946897452</v>
      </c>
      <c r="I7" s="26">
        <f>'Yearly Methanol'!J4</f>
        <v>130.26489557517959</v>
      </c>
      <c r="J7" s="26">
        <f>'Yearly Methanol'!K4</f>
        <v>134.94867168138472</v>
      </c>
      <c r="K7" s="26">
        <f>'Yearly Methanol'!L4</f>
        <v>139.6324477875898</v>
      </c>
      <c r="L7" s="26">
        <f>'Yearly Methanol'!M4</f>
        <v>144.3162238937949</v>
      </c>
      <c r="M7" s="26">
        <f>'Yearly Methanol'!N4</f>
        <v>149</v>
      </c>
      <c r="N7" s="26">
        <f>'Yearly Methanol'!O4</f>
        <v>151</v>
      </c>
      <c r="O7" s="26">
        <f>'Yearly Methanol'!P4</f>
        <v>153</v>
      </c>
      <c r="P7" s="26">
        <f>'Yearly Methanol'!Q4</f>
        <v>155</v>
      </c>
      <c r="Q7" s="26">
        <f>'Yearly Methanol'!R4</f>
        <v>157</v>
      </c>
      <c r="R7" s="26">
        <f>'Yearly Methanol'!S4</f>
        <v>159</v>
      </c>
      <c r="S7" s="26">
        <f>'Yearly Methanol'!T4</f>
        <v>160.80000000000001</v>
      </c>
      <c r="T7" s="26">
        <f>'Yearly Methanol'!U4</f>
        <v>162.6</v>
      </c>
      <c r="U7" s="26">
        <f>'Yearly Methanol'!V4</f>
        <v>164.4</v>
      </c>
      <c r="V7" s="26">
        <f>'Yearly Methanol'!W4</f>
        <v>166.2</v>
      </c>
      <c r="W7" s="26">
        <f>'Yearly Methanol'!X4</f>
        <v>168</v>
      </c>
      <c r="X7" s="26">
        <f>'Yearly Methanol'!Y4</f>
        <v>169.4</v>
      </c>
      <c r="Y7" s="26">
        <f>'Yearly Methanol'!Z4</f>
        <v>170.8</v>
      </c>
      <c r="Z7" s="26">
        <f>'Yearly Methanol'!AA4</f>
        <v>172.2</v>
      </c>
      <c r="AA7" s="26">
        <f>'Yearly Methanol'!AB4</f>
        <v>173.6</v>
      </c>
      <c r="AB7" s="26">
        <f>'Yearly Methanol'!AC4</f>
        <v>175</v>
      </c>
      <c r="AC7" s="26">
        <f>'Yearly Methanol'!AD4</f>
        <v>176.4</v>
      </c>
      <c r="AD7" s="26">
        <f>'Yearly Methanol'!AE4</f>
        <v>177.8</v>
      </c>
      <c r="AE7" s="26">
        <f>'Yearly Methanol'!AF4</f>
        <v>179.2</v>
      </c>
      <c r="AF7" s="26">
        <f>'Yearly Methanol'!AG4</f>
        <v>180.6</v>
      </c>
      <c r="AG7" s="26">
        <f>'Yearly Methanol'!AH4</f>
        <v>182</v>
      </c>
    </row>
    <row r="8" spans="2:35">
      <c r="B8" t="s">
        <v>67</v>
      </c>
      <c r="C8" s="26">
        <f>SUM(C3:C7)</f>
        <v>556.55826631089224</v>
      </c>
      <c r="D8" s="26">
        <f t="shared" ref="D8:AF8" si="0">SUM(D3:D7)</f>
        <v>571.91911268909041</v>
      </c>
      <c r="E8" s="26">
        <f t="shared" si="0"/>
        <v>587.53286999649686</v>
      </c>
      <c r="F8" s="26">
        <f t="shared" si="0"/>
        <v>603.40557137953965</v>
      </c>
      <c r="G8" s="26">
        <f t="shared" si="0"/>
        <v>619.54339478250745</v>
      </c>
      <c r="H8" s="26">
        <f t="shared" si="0"/>
        <v>635.95266644083893</v>
      </c>
      <c r="I8" s="26">
        <f t="shared" si="0"/>
        <v>650.51103478529387</v>
      </c>
      <c r="J8" s="26">
        <f t="shared" si="0"/>
        <v>665.26331600332151</v>
      </c>
      <c r="K8" s="26">
        <f t="shared" si="0"/>
        <v>680.21337203580538</v>
      </c>
      <c r="L8" s="26">
        <f t="shared" si="0"/>
        <v>695.36514274616025</v>
      </c>
      <c r="M8" s="26">
        <f t="shared" si="0"/>
        <v>710.72264751127204</v>
      </c>
      <c r="N8" s="26">
        <f t="shared" si="0"/>
        <v>719.02153755282143</v>
      </c>
      <c r="O8" s="26">
        <f t="shared" si="0"/>
        <v>727.39375852272394</v>
      </c>
      <c r="P8" s="26">
        <f t="shared" si="0"/>
        <v>735.84019902151795</v>
      </c>
      <c r="Q8" s="26">
        <f t="shared" si="0"/>
        <v>744.36175886459523</v>
      </c>
      <c r="R8" s="26">
        <f t="shared" si="0"/>
        <v>752.95934922939341</v>
      </c>
      <c r="S8" s="26">
        <f t="shared" si="0"/>
        <v>760.71609089568665</v>
      </c>
      <c r="T8" s="26">
        <f t="shared" si="0"/>
        <v>768.53326074786082</v>
      </c>
      <c r="U8" s="26">
        <f t="shared" si="0"/>
        <v>776.41147861402555</v>
      </c>
      <c r="V8" s="26">
        <f t="shared" si="0"/>
        <v>784.35137074685872</v>
      </c>
      <c r="W8" s="26">
        <f t="shared" si="0"/>
        <v>792.35356989084642</v>
      </c>
      <c r="X8" s="26">
        <f t="shared" si="0"/>
        <v>798.70770776969107</v>
      </c>
      <c r="Y8" s="26">
        <f t="shared" si="0"/>
        <v>805.10552542676214</v>
      </c>
      <c r="Z8" s="26">
        <f t="shared" si="0"/>
        <v>811.54743246245084</v>
      </c>
      <c r="AA8" s="26">
        <f t="shared" si="0"/>
        <v>818.03384245900497</v>
      </c>
      <c r="AB8" s="26">
        <f t="shared" si="0"/>
        <v>824.56517302012719</v>
      </c>
      <c r="AC8" s="26">
        <f t="shared" si="0"/>
        <v>830.66349277354357</v>
      </c>
      <c r="AD8" s="26">
        <f t="shared" si="0"/>
        <v>836.8014816306038</v>
      </c>
      <c r="AE8" s="26">
        <f t="shared" si="0"/>
        <v>842.97949772471293</v>
      </c>
      <c r="AF8" s="26">
        <f t="shared" si="0"/>
        <v>849.19790252844359</v>
      </c>
      <c r="AG8" s="26">
        <f>SUM(AG3:AG7)</f>
        <v>855.45706088527515</v>
      </c>
      <c r="AI8" s="23">
        <f>(AG8/C8)^(1/30)-1</f>
        <v>1.4431950471977428E-2</v>
      </c>
    </row>
    <row r="10" spans="2:35">
      <c r="B10" t="s">
        <v>501</v>
      </c>
    </row>
    <row r="11" spans="2:35">
      <c r="B11" t="s">
        <v>500</v>
      </c>
      <c r="C11" s="6">
        <f>SUM('Demand Breakdown - Ethylene'!$C$34:$C$40)</f>
        <v>0.88161400000000001</v>
      </c>
      <c r="D11" s="6">
        <f>SUM('Demand Breakdown - Ethylene'!$C$34:$C$40)</f>
        <v>0.88161400000000001</v>
      </c>
      <c r="E11" s="6">
        <f>SUM('Demand Breakdown - Ethylene'!$C$34:$C$40)</f>
        <v>0.88161400000000001</v>
      </c>
      <c r="F11" s="6">
        <f>SUM('Demand Breakdown - Ethylene'!$C$34:$C$40)</f>
        <v>0.88161400000000001</v>
      </c>
      <c r="G11" s="6">
        <f>SUM('Demand Breakdown - Ethylene'!$C$34:$C$40)</f>
        <v>0.88161400000000001</v>
      </c>
      <c r="H11" s="6">
        <f>SUM('Demand Breakdown - Ethylene'!$C$34:$C$40)</f>
        <v>0.88161400000000001</v>
      </c>
      <c r="I11" s="6">
        <f>SUM('Demand Breakdown - Ethylene'!$C$34:$C$40)</f>
        <v>0.88161400000000001</v>
      </c>
      <c r="J11" s="6">
        <f>SUM('Demand Breakdown - Ethylene'!$C$34:$C$40)</f>
        <v>0.88161400000000001</v>
      </c>
      <c r="K11" s="6">
        <f>SUM('Demand Breakdown - Ethylene'!$C$34:$C$40)</f>
        <v>0.88161400000000001</v>
      </c>
      <c r="L11" s="6">
        <f>SUM('Demand Breakdown - Ethylene'!$C$34:$C$40)</f>
        <v>0.88161400000000001</v>
      </c>
      <c r="M11" s="6">
        <f>SUM('Demand Breakdown - Ethylene'!$C$34:$C$40)</f>
        <v>0.88161400000000001</v>
      </c>
      <c r="N11" s="6">
        <f>SUM('Demand Breakdown - Ethylene'!$C$34:$C$40)</f>
        <v>0.88161400000000001</v>
      </c>
      <c r="O11" s="6">
        <f>SUM('Demand Breakdown - Ethylene'!$C$34:$C$40)</f>
        <v>0.88161400000000001</v>
      </c>
      <c r="P11" s="6">
        <f>SUM('Demand Breakdown - Ethylene'!$C$34:$C$40)</f>
        <v>0.88161400000000001</v>
      </c>
      <c r="Q11" s="6">
        <f>SUM('Demand Breakdown - Ethylene'!$C$34:$C$40)</f>
        <v>0.88161400000000001</v>
      </c>
      <c r="R11" s="6">
        <f>SUM('Demand Breakdown - Ethylene'!$C$34:$C$40)</f>
        <v>0.88161400000000001</v>
      </c>
      <c r="S11" s="6">
        <f>SUM('Demand Breakdown - Ethylene'!$C$34:$C$40)</f>
        <v>0.88161400000000001</v>
      </c>
      <c r="T11" s="6">
        <f>SUM('Demand Breakdown - Ethylene'!$C$34:$C$40)</f>
        <v>0.88161400000000001</v>
      </c>
      <c r="U11" s="6">
        <f>SUM('Demand Breakdown - Ethylene'!$C$34:$C$40)</f>
        <v>0.88161400000000001</v>
      </c>
      <c r="V11" s="6">
        <f>SUM('Demand Breakdown - Ethylene'!$C$34:$C$40)</f>
        <v>0.88161400000000001</v>
      </c>
      <c r="W11" s="6">
        <f>SUM('Demand Breakdown - Ethylene'!$C$34:$C$40)</f>
        <v>0.88161400000000001</v>
      </c>
      <c r="X11" s="6">
        <f>SUM('Demand Breakdown - Ethylene'!$C$34:$C$40)</f>
        <v>0.88161400000000001</v>
      </c>
      <c r="Y11" s="6">
        <f>SUM('Demand Breakdown - Ethylene'!$C$34:$C$40)</f>
        <v>0.88161400000000001</v>
      </c>
      <c r="Z11" s="6">
        <f>SUM('Demand Breakdown - Ethylene'!$C$34:$C$40)</f>
        <v>0.88161400000000001</v>
      </c>
      <c r="AA11" s="6">
        <f>SUM('Demand Breakdown - Ethylene'!$C$34:$C$40)</f>
        <v>0.88161400000000001</v>
      </c>
      <c r="AB11" s="6">
        <f>SUM('Demand Breakdown - Ethylene'!$C$34:$C$40)</f>
        <v>0.88161400000000001</v>
      </c>
      <c r="AC11" s="6">
        <f>SUM('Demand Breakdown - Ethylene'!$C$34:$C$40)</f>
        <v>0.88161400000000001</v>
      </c>
      <c r="AD11" s="6">
        <f>SUM('Demand Breakdown - Ethylene'!$C$34:$C$40)</f>
        <v>0.88161400000000001</v>
      </c>
      <c r="AE11" s="6">
        <f>SUM('Demand Breakdown - Ethylene'!$C$34:$C$40)</f>
        <v>0.88161400000000001</v>
      </c>
      <c r="AF11" s="6">
        <f>SUM('Demand Breakdown - Ethylene'!$C$34:$C$40)</f>
        <v>0.88161400000000001</v>
      </c>
      <c r="AG11" s="6">
        <f>SUM('Demand Breakdown - Ethylene'!$C$34:$C$40)</f>
        <v>0.88161400000000001</v>
      </c>
    </row>
    <row r="12" spans="2:35">
      <c r="B12" t="s">
        <v>5</v>
      </c>
      <c r="C12" s="6">
        <f>SUM('Demand Breakdown - Propylene'!$C$25:$C$27)</f>
        <v>0.77200000000000013</v>
      </c>
      <c r="D12" s="6">
        <f>SUM('Demand Breakdown - Propylene'!$C$25:$C$27)</f>
        <v>0.77200000000000013</v>
      </c>
      <c r="E12" s="6">
        <f>SUM('Demand Breakdown - Propylene'!$C$25:$C$27)</f>
        <v>0.77200000000000013</v>
      </c>
      <c r="F12" s="6">
        <f>SUM('Demand Breakdown - Propylene'!$C$25:$C$27)</f>
        <v>0.77200000000000013</v>
      </c>
      <c r="G12" s="6">
        <f>SUM('Demand Breakdown - Propylene'!$C$25:$C$27)</f>
        <v>0.77200000000000013</v>
      </c>
      <c r="H12" s="6">
        <f>SUM('Demand Breakdown - Propylene'!$C$25:$C$27)</f>
        <v>0.77200000000000013</v>
      </c>
      <c r="I12" s="6">
        <f>SUM('Demand Breakdown - Propylene'!$C$25:$C$27)</f>
        <v>0.77200000000000013</v>
      </c>
      <c r="J12" s="6">
        <f>SUM('Demand Breakdown - Propylene'!$C$25:$C$27)</f>
        <v>0.77200000000000013</v>
      </c>
      <c r="K12" s="6">
        <f>SUM('Demand Breakdown - Propylene'!$C$25:$C$27)</f>
        <v>0.77200000000000013</v>
      </c>
      <c r="L12" s="6">
        <f>SUM('Demand Breakdown - Propylene'!$C$25:$C$27)</f>
        <v>0.77200000000000013</v>
      </c>
      <c r="M12" s="6">
        <f>SUM('Demand Breakdown - Propylene'!$C$25:$C$27)</f>
        <v>0.77200000000000013</v>
      </c>
      <c r="N12" s="6">
        <f>SUM('Demand Breakdown - Propylene'!$C$25:$C$27)</f>
        <v>0.77200000000000013</v>
      </c>
      <c r="O12" s="6">
        <f>SUM('Demand Breakdown - Propylene'!$C$25:$C$27)</f>
        <v>0.77200000000000013</v>
      </c>
      <c r="P12" s="6">
        <f>SUM('Demand Breakdown - Propylene'!$C$25:$C$27)</f>
        <v>0.77200000000000013</v>
      </c>
      <c r="Q12" s="6">
        <f>SUM('Demand Breakdown - Propylene'!$C$25:$C$27)</f>
        <v>0.77200000000000013</v>
      </c>
      <c r="R12" s="6">
        <f>SUM('Demand Breakdown - Propylene'!$C$25:$C$27)</f>
        <v>0.77200000000000013</v>
      </c>
      <c r="S12" s="6">
        <f>SUM('Demand Breakdown - Propylene'!$C$25:$C$27)</f>
        <v>0.77200000000000013</v>
      </c>
      <c r="T12" s="6">
        <f>SUM('Demand Breakdown - Propylene'!$C$25:$C$27)</f>
        <v>0.77200000000000013</v>
      </c>
      <c r="U12" s="6">
        <f>SUM('Demand Breakdown - Propylene'!$C$25:$C$27)</f>
        <v>0.77200000000000013</v>
      </c>
      <c r="V12" s="6">
        <f>SUM('Demand Breakdown - Propylene'!$C$25:$C$27)</f>
        <v>0.77200000000000013</v>
      </c>
      <c r="W12" s="6">
        <f>SUM('Demand Breakdown - Propylene'!$C$25:$C$27)</f>
        <v>0.77200000000000013</v>
      </c>
      <c r="X12" s="6">
        <f>SUM('Demand Breakdown - Propylene'!$C$25:$C$27)</f>
        <v>0.77200000000000013</v>
      </c>
      <c r="Y12" s="6">
        <f>SUM('Demand Breakdown - Propylene'!$C$25:$C$27)</f>
        <v>0.77200000000000013</v>
      </c>
      <c r="Z12" s="6">
        <f>SUM('Demand Breakdown - Propylene'!$C$25:$C$27)</f>
        <v>0.77200000000000013</v>
      </c>
      <c r="AA12" s="6">
        <f>SUM('Demand Breakdown - Propylene'!$C$25:$C$27)</f>
        <v>0.77200000000000013</v>
      </c>
      <c r="AB12" s="6">
        <f>SUM('Demand Breakdown - Propylene'!$C$25:$C$27)</f>
        <v>0.77200000000000013</v>
      </c>
      <c r="AC12" s="6">
        <f>SUM('Demand Breakdown - Propylene'!$C$25:$C$27)</f>
        <v>0.77200000000000013</v>
      </c>
      <c r="AD12" s="6">
        <f>SUM('Demand Breakdown - Propylene'!$C$25:$C$27)</f>
        <v>0.77200000000000013</v>
      </c>
      <c r="AE12" s="6">
        <f>SUM('Demand Breakdown - Propylene'!$C$25:$C$27)</f>
        <v>0.77200000000000013</v>
      </c>
      <c r="AF12" s="6">
        <f>SUM('Demand Breakdown - Propylene'!$C$25:$C$27)</f>
        <v>0.77200000000000013</v>
      </c>
      <c r="AG12" s="6">
        <f>SUM('Demand Breakdown - Propylene'!$C$25:$C$27)</f>
        <v>0.77200000000000013</v>
      </c>
    </row>
    <row r="13" spans="2:35">
      <c r="B13" t="s">
        <v>151</v>
      </c>
      <c r="C13" s="6">
        <f>SUM('Demand Breakdown - BTX'!$C$56:$C$59)</f>
        <v>0.62562881057678366</v>
      </c>
      <c r="D13" s="6">
        <f>SUM('Demand Breakdown - BTX'!$C$56:$C$59)</f>
        <v>0.62562881057678366</v>
      </c>
      <c r="E13" s="6">
        <f>SUM('Demand Breakdown - BTX'!$C$56:$C$59)</f>
        <v>0.62562881057678366</v>
      </c>
      <c r="F13" s="6">
        <f>SUM('Demand Breakdown - BTX'!$C$56:$C$59)</f>
        <v>0.62562881057678366</v>
      </c>
      <c r="G13" s="6">
        <f>SUM('Demand Breakdown - BTX'!$C$56:$C$59)</f>
        <v>0.62562881057678366</v>
      </c>
      <c r="H13" s="6">
        <f>SUM('Demand Breakdown - BTX'!$C$56:$C$59)</f>
        <v>0.62562881057678366</v>
      </c>
      <c r="I13" s="6">
        <f>SUM('Demand Breakdown - BTX'!$C$56:$C$59)</f>
        <v>0.62562881057678366</v>
      </c>
      <c r="J13" s="6">
        <f>SUM('Demand Breakdown - BTX'!$C$56:$C$59)</f>
        <v>0.62562881057678366</v>
      </c>
      <c r="K13" s="6">
        <f>SUM('Demand Breakdown - BTX'!$C$56:$C$59)</f>
        <v>0.62562881057678366</v>
      </c>
      <c r="L13" s="6">
        <f>SUM('Demand Breakdown - BTX'!$C$56:$C$59)</f>
        <v>0.62562881057678366</v>
      </c>
      <c r="M13" s="6">
        <f>SUM('Demand Breakdown - BTX'!$C$56:$C$59)</f>
        <v>0.62562881057678366</v>
      </c>
      <c r="N13" s="6">
        <f>SUM('Demand Breakdown - BTX'!$C$56:$C$59)</f>
        <v>0.62562881057678366</v>
      </c>
      <c r="O13" s="6">
        <f>SUM('Demand Breakdown - BTX'!$C$56:$C$59)</f>
        <v>0.62562881057678366</v>
      </c>
      <c r="P13" s="6">
        <f>SUM('Demand Breakdown - BTX'!$C$56:$C$59)</f>
        <v>0.62562881057678366</v>
      </c>
      <c r="Q13" s="6">
        <f>SUM('Demand Breakdown - BTX'!$C$56:$C$59)</f>
        <v>0.62562881057678366</v>
      </c>
      <c r="R13" s="6">
        <f>SUM('Demand Breakdown - BTX'!$C$56:$C$59)</f>
        <v>0.62562881057678366</v>
      </c>
      <c r="S13" s="6">
        <f>SUM('Demand Breakdown - BTX'!$C$56:$C$59)</f>
        <v>0.62562881057678366</v>
      </c>
      <c r="T13" s="6">
        <f>SUM('Demand Breakdown - BTX'!$C$56:$C$59)</f>
        <v>0.62562881057678366</v>
      </c>
      <c r="U13" s="6">
        <f>SUM('Demand Breakdown - BTX'!$C$56:$C$59)</f>
        <v>0.62562881057678366</v>
      </c>
      <c r="V13" s="6">
        <f>SUM('Demand Breakdown - BTX'!$C$56:$C$59)</f>
        <v>0.62562881057678366</v>
      </c>
      <c r="W13" s="6">
        <f>SUM('Demand Breakdown - BTX'!$C$56:$C$59)</f>
        <v>0.62562881057678366</v>
      </c>
      <c r="X13" s="6">
        <f>SUM('Demand Breakdown - BTX'!$C$56:$C$59)</f>
        <v>0.62562881057678366</v>
      </c>
      <c r="Y13" s="6">
        <f>SUM('Demand Breakdown - BTX'!$C$56:$C$59)</f>
        <v>0.62562881057678366</v>
      </c>
      <c r="Z13" s="6">
        <f>SUM('Demand Breakdown - BTX'!$C$56:$C$59)</f>
        <v>0.62562881057678366</v>
      </c>
      <c r="AA13" s="6">
        <f>SUM('Demand Breakdown - BTX'!$C$56:$C$59)</f>
        <v>0.62562881057678366</v>
      </c>
      <c r="AB13" s="6">
        <f>SUM('Demand Breakdown - BTX'!$C$56:$C$59)</f>
        <v>0.62562881057678366</v>
      </c>
      <c r="AC13" s="6">
        <f>SUM('Demand Breakdown - BTX'!$C$56:$C$59)</f>
        <v>0.62562881057678366</v>
      </c>
      <c r="AD13" s="6">
        <f>SUM('Demand Breakdown - BTX'!$C$56:$C$59)</f>
        <v>0.62562881057678366</v>
      </c>
      <c r="AE13" s="6">
        <f>SUM('Demand Breakdown - BTX'!$C$56:$C$59)</f>
        <v>0.62562881057678366</v>
      </c>
      <c r="AF13" s="6">
        <f>SUM('Demand Breakdown - BTX'!$C$56:$C$59)</f>
        <v>0.62562881057678366</v>
      </c>
      <c r="AG13" s="6">
        <f>SUM('Demand Breakdown - BTX'!$C$56:$C$59)</f>
        <v>0.62562881057678366</v>
      </c>
    </row>
    <row r="14" spans="2:35">
      <c r="B14" t="s">
        <v>10</v>
      </c>
      <c r="C14" s="6">
        <f>SUM('Demand Breakdown - C4'!$D$18:$D$20)</f>
        <v>0.34639120819421498</v>
      </c>
      <c r="D14" s="6">
        <f>SUM('Demand Breakdown - C4'!$D$18:$D$20)</f>
        <v>0.34639120819421498</v>
      </c>
      <c r="E14" s="6">
        <f>SUM('Demand Breakdown - C4'!$D$18:$D$20)</f>
        <v>0.34639120819421498</v>
      </c>
      <c r="F14" s="6">
        <f>SUM('Demand Breakdown - C4'!$D$18:$D$20)</f>
        <v>0.34639120819421498</v>
      </c>
      <c r="G14" s="6">
        <f>SUM('Demand Breakdown - C4'!$D$18:$D$20)</f>
        <v>0.34639120819421498</v>
      </c>
      <c r="H14" s="6">
        <f>SUM('Demand Breakdown - C4'!$D$18:$D$20)</f>
        <v>0.34639120819421498</v>
      </c>
      <c r="I14" s="6">
        <f>SUM('Demand Breakdown - C4'!$D$18:$D$20)</f>
        <v>0.34639120819421498</v>
      </c>
      <c r="J14" s="6">
        <f>SUM('Demand Breakdown - C4'!$D$18:$D$20)</f>
        <v>0.34639120819421498</v>
      </c>
      <c r="K14" s="6">
        <f>SUM('Demand Breakdown - C4'!$D$18:$D$20)</f>
        <v>0.34639120819421498</v>
      </c>
      <c r="L14" s="6">
        <f>SUM('Demand Breakdown - C4'!$D$18:$D$20)</f>
        <v>0.34639120819421498</v>
      </c>
      <c r="M14" s="6">
        <f>SUM('Demand Breakdown - C4'!$D$18:$D$20)</f>
        <v>0.34639120819421498</v>
      </c>
      <c r="N14" s="6">
        <f>SUM('Demand Breakdown - C4'!$D$18:$D$20)</f>
        <v>0.34639120819421498</v>
      </c>
      <c r="O14" s="6">
        <f>SUM('Demand Breakdown - C4'!$D$18:$D$20)</f>
        <v>0.34639120819421498</v>
      </c>
      <c r="P14" s="6">
        <f>SUM('Demand Breakdown - C4'!$D$18:$D$20)</f>
        <v>0.34639120819421498</v>
      </c>
      <c r="Q14" s="6">
        <f>SUM('Demand Breakdown - C4'!$D$18:$D$20)</f>
        <v>0.34639120819421498</v>
      </c>
      <c r="R14" s="6">
        <f>SUM('Demand Breakdown - C4'!$D$18:$D$20)</f>
        <v>0.34639120819421498</v>
      </c>
      <c r="S14" s="6">
        <f>SUM('Demand Breakdown - C4'!$D$18:$D$20)</f>
        <v>0.34639120819421498</v>
      </c>
      <c r="T14" s="6">
        <f>SUM('Demand Breakdown - C4'!$D$18:$D$20)</f>
        <v>0.34639120819421498</v>
      </c>
      <c r="U14" s="6">
        <f>SUM('Demand Breakdown - C4'!$D$18:$D$20)</f>
        <v>0.34639120819421498</v>
      </c>
      <c r="V14" s="6">
        <f>SUM('Demand Breakdown - C4'!$D$18:$D$20)</f>
        <v>0.34639120819421498</v>
      </c>
      <c r="W14" s="6">
        <f>SUM('Demand Breakdown - C4'!$D$18:$D$20)</f>
        <v>0.34639120819421498</v>
      </c>
      <c r="X14" s="6">
        <f>SUM('Demand Breakdown - C4'!$D$18:$D$20)</f>
        <v>0.34639120819421498</v>
      </c>
      <c r="Y14" s="6">
        <f>SUM('Demand Breakdown - C4'!$D$18:$D$20)</f>
        <v>0.34639120819421498</v>
      </c>
      <c r="Z14" s="6">
        <f>SUM('Demand Breakdown - C4'!$D$18:$D$20)</f>
        <v>0.34639120819421498</v>
      </c>
      <c r="AA14" s="6">
        <f>SUM('Demand Breakdown - C4'!$D$18:$D$20)</f>
        <v>0.34639120819421498</v>
      </c>
      <c r="AB14" s="6">
        <f>SUM('Demand Breakdown - C4'!$D$18:$D$20)</f>
        <v>0.34639120819421498</v>
      </c>
      <c r="AC14" s="6">
        <f>SUM('Demand Breakdown - C4'!$D$18:$D$20)</f>
        <v>0.34639120819421498</v>
      </c>
      <c r="AD14" s="6">
        <f>SUM('Demand Breakdown - C4'!$D$18:$D$20)</f>
        <v>0.34639120819421498</v>
      </c>
      <c r="AE14" s="6">
        <f>SUM('Demand Breakdown - C4'!$D$18:$D$20)</f>
        <v>0.34639120819421498</v>
      </c>
      <c r="AF14" s="6">
        <f>SUM('Demand Breakdown - C4'!$D$18:$D$20)</f>
        <v>0.34639120819421498</v>
      </c>
      <c r="AG14" s="6">
        <f>SUM('Demand Breakdown - C4'!$D$18:$D$20)</f>
        <v>0.34639120819421498</v>
      </c>
    </row>
    <row r="15" spans="2:35">
      <c r="B15" t="s">
        <v>6</v>
      </c>
      <c r="C15" s="2">
        <f>SUM('Demand - Industry shares'!$T$86:$T$87,'Demand - Industry shares'!$T$89)/'Demand - Industry shares'!$T$91</f>
        <v>0.55496485314908894</v>
      </c>
      <c r="D15" s="2">
        <f>SUM('Demand - Industry shares'!$T$86:$T$87,'Demand - Industry shares'!$T$89)/'Demand - Industry shares'!$T$91</f>
        <v>0.55496485314908894</v>
      </c>
      <c r="E15" s="2">
        <f>SUM('Demand - Industry shares'!$T$86:$T$87,'Demand - Industry shares'!$T$89)/'Demand - Industry shares'!$T$91</f>
        <v>0.55496485314908894</v>
      </c>
      <c r="F15" s="2">
        <f>SUM('Demand - Industry shares'!$T$86:$T$87,'Demand - Industry shares'!$T$89)/'Demand - Industry shares'!$T$91</f>
        <v>0.55496485314908894</v>
      </c>
      <c r="G15" s="2">
        <f>SUM('Demand - Industry shares'!$T$86:$T$87,'Demand - Industry shares'!$T$89)/'Demand - Industry shares'!$T$91</f>
        <v>0.55496485314908894</v>
      </c>
      <c r="H15" s="2">
        <f>SUM('Demand - Industry shares'!$T$86:$T$87,'Demand - Industry shares'!$T$89)/'Demand - Industry shares'!$T$91</f>
        <v>0.55496485314908894</v>
      </c>
      <c r="I15" s="2">
        <f>SUM('Demand - Industry shares'!$T$86:$T$87,'Demand - Industry shares'!$T$89)/'Demand - Industry shares'!$T$91</f>
        <v>0.55496485314908894</v>
      </c>
      <c r="J15" s="2">
        <f>SUM('Demand - Industry shares'!$T$86:$T$87,'Demand - Industry shares'!$T$89)/'Demand - Industry shares'!$T$91</f>
        <v>0.55496485314908894</v>
      </c>
      <c r="K15" s="2">
        <f>SUM('Demand - Industry shares'!$T$86:$T$87,'Demand - Industry shares'!$T$89)/'Demand - Industry shares'!$T$91</f>
        <v>0.55496485314908894</v>
      </c>
      <c r="L15" s="2">
        <f>SUM('Demand - Industry shares'!$T$86:$T$87,'Demand - Industry shares'!$T$89)/'Demand - Industry shares'!$T$91</f>
        <v>0.55496485314908894</v>
      </c>
      <c r="M15" s="2">
        <f>SUM('Demand - Industry shares'!$T$86:$T$87,'Demand - Industry shares'!$T$89)/'Demand - Industry shares'!$T$91</f>
        <v>0.55496485314908894</v>
      </c>
      <c r="N15" s="2">
        <f>SUM('Demand - Industry shares'!$T$86:$T$87,'Demand - Industry shares'!$T$89)/'Demand - Industry shares'!$T$91</f>
        <v>0.55496485314908894</v>
      </c>
      <c r="O15" s="2">
        <f>SUM('Demand - Industry shares'!$T$86:$T$87,'Demand - Industry shares'!$T$89)/'Demand - Industry shares'!$T$91</f>
        <v>0.55496485314908894</v>
      </c>
      <c r="P15" s="2">
        <f>SUM('Demand - Industry shares'!$T$86:$T$87,'Demand - Industry shares'!$T$89)/'Demand - Industry shares'!$T$91</f>
        <v>0.55496485314908894</v>
      </c>
      <c r="Q15" s="2">
        <f>SUM('Demand - Industry shares'!$T$86:$T$87,'Demand - Industry shares'!$T$89)/'Demand - Industry shares'!$T$91</f>
        <v>0.55496485314908894</v>
      </c>
      <c r="R15" s="2">
        <f>SUM('Demand - Industry shares'!$T$86:$T$87,'Demand - Industry shares'!$T$89)/'Demand - Industry shares'!$T$91</f>
        <v>0.55496485314908894</v>
      </c>
      <c r="S15" s="2">
        <f>SUM('Demand - Industry shares'!$T$86:$T$87,'Demand - Industry shares'!$T$89)/'Demand - Industry shares'!$T$91</f>
        <v>0.55496485314908894</v>
      </c>
      <c r="T15" s="2">
        <f>SUM('Demand - Industry shares'!$T$86:$T$87,'Demand - Industry shares'!$T$89)/'Demand - Industry shares'!$T$91</f>
        <v>0.55496485314908894</v>
      </c>
      <c r="U15" s="2">
        <f>SUM('Demand - Industry shares'!$T$86:$T$87,'Demand - Industry shares'!$T$89)/'Demand - Industry shares'!$T$91</f>
        <v>0.55496485314908894</v>
      </c>
      <c r="V15" s="2">
        <f>SUM('Demand - Industry shares'!$T$86:$T$87,'Demand - Industry shares'!$T$89)/'Demand - Industry shares'!$T$91</f>
        <v>0.55496485314908894</v>
      </c>
      <c r="W15" s="2">
        <f>SUM('Demand - Industry shares'!$T$86:$T$87,'Demand - Industry shares'!$T$89)/'Demand - Industry shares'!$T$91</f>
        <v>0.55496485314908894</v>
      </c>
      <c r="X15" s="2">
        <f>SUM('Demand - Industry shares'!$T$86:$T$87,'Demand - Industry shares'!$T$89)/'Demand - Industry shares'!$T$91</f>
        <v>0.55496485314908894</v>
      </c>
      <c r="Y15" s="2">
        <f>SUM('Demand - Industry shares'!$T$86:$T$87,'Demand - Industry shares'!$T$89)/'Demand - Industry shares'!$T$91</f>
        <v>0.55496485314908894</v>
      </c>
      <c r="Z15" s="2">
        <f>SUM('Demand - Industry shares'!$T$86:$T$87,'Demand - Industry shares'!$T$89)/'Demand - Industry shares'!$T$91</f>
        <v>0.55496485314908894</v>
      </c>
      <c r="AA15" s="2">
        <f>SUM('Demand - Industry shares'!$T$86:$T$87,'Demand - Industry shares'!$T$89)/'Demand - Industry shares'!$T$91</f>
        <v>0.55496485314908894</v>
      </c>
      <c r="AB15" s="2">
        <f>SUM('Demand - Industry shares'!$T$86:$T$87,'Demand - Industry shares'!$T$89)/'Demand - Industry shares'!$T$91</f>
        <v>0.55496485314908894</v>
      </c>
      <c r="AC15" s="2">
        <f>SUM('Demand - Industry shares'!$T$86:$T$87,'Demand - Industry shares'!$T$89)/'Demand - Industry shares'!$T$91</f>
        <v>0.55496485314908894</v>
      </c>
      <c r="AD15" s="2">
        <f>SUM('Demand - Industry shares'!$T$86:$T$87,'Demand - Industry shares'!$T$89)/'Demand - Industry shares'!$T$91</f>
        <v>0.55496485314908894</v>
      </c>
      <c r="AE15" s="2">
        <f>SUM('Demand - Industry shares'!$T$86:$T$87,'Demand - Industry shares'!$T$89)/'Demand - Industry shares'!$T$91</f>
        <v>0.55496485314908894</v>
      </c>
      <c r="AF15" s="2">
        <f>SUM('Demand - Industry shares'!$T$86:$T$87,'Demand - Industry shares'!$T$89)/'Demand - Industry shares'!$T$91</f>
        <v>0.55496485314908894</v>
      </c>
      <c r="AG15" s="2">
        <f>SUM('Demand - Industry shares'!$T$86:$T$87,'Demand - Industry shares'!$T$89)/'Demand - Industry shares'!$T$91</f>
        <v>0.55496485314908894</v>
      </c>
    </row>
    <row r="17" spans="2:36">
      <c r="B17" t="s">
        <v>502</v>
      </c>
      <c r="C17" s="117">
        <f>SUMPRODUCT(C3:C7,C11:C15)</f>
        <v>381.22936843481386</v>
      </c>
      <c r="D17" s="117">
        <f t="shared" ref="D17:AG17" si="1">SUMPRODUCT(D3:D7,D11:D15)</f>
        <v>391.41818039586707</v>
      </c>
      <c r="E17" s="117">
        <f t="shared" si="1"/>
        <v>401.78598713231747</v>
      </c>
      <c r="F17" s="117">
        <f t="shared" si="1"/>
        <v>412.33704175884918</v>
      </c>
      <c r="G17" s="117">
        <f t="shared" si="1"/>
        <v>423.07569910543288</v>
      </c>
      <c r="H17" s="117">
        <f t="shared" si="1"/>
        <v>434.00641816344199</v>
      </c>
      <c r="I17" s="117">
        <f t="shared" si="1"/>
        <v>443.73512940335604</v>
      </c>
      <c r="J17" s="117">
        <f t="shared" si="1"/>
        <v>453.60547517500538</v>
      </c>
      <c r="K17" s="117">
        <f t="shared" si="1"/>
        <v>463.62030911236923</v>
      </c>
      <c r="L17" s="117">
        <f t="shared" si="1"/>
        <v>473.78254308753742</v>
      </c>
      <c r="M17" s="117">
        <f t="shared" si="1"/>
        <v>484.09514841298864</v>
      </c>
      <c r="N17" s="117">
        <f t="shared" si="1"/>
        <v>489.59939352865217</v>
      </c>
      <c r="O17" s="117">
        <f t="shared" si="1"/>
        <v>495.15305670155499</v>
      </c>
      <c r="P17" s="117">
        <f t="shared" si="1"/>
        <v>500.75671005806259</v>
      </c>
      <c r="Q17" s="117">
        <f t="shared" si="1"/>
        <v>506.4109325550038</v>
      </c>
      <c r="R17" s="117">
        <f t="shared" si="1"/>
        <v>512.11631006385255</v>
      </c>
      <c r="S17" s="117">
        <f t="shared" si="1"/>
        <v>517.39355071107002</v>
      </c>
      <c r="T17" s="117">
        <f t="shared" si="1"/>
        <v>522.71451426403576</v>
      </c>
      <c r="U17" s="117">
        <f t="shared" si="1"/>
        <v>528.07965288033665</v>
      </c>
      <c r="V17" s="117">
        <f t="shared" si="1"/>
        <v>533.48942344536908</v>
      </c>
      <c r="W17" s="117">
        <f t="shared" si="1"/>
        <v>538.94428762227301</v>
      </c>
      <c r="X17" s="117">
        <f t="shared" si="1"/>
        <v>543.43667583908484</v>
      </c>
      <c r="Y17" s="117">
        <f t="shared" si="1"/>
        <v>547.96312777932894</v>
      </c>
      <c r="Z17" s="117">
        <f t="shared" si="1"/>
        <v>552.52397240247797</v>
      </c>
      <c r="AA17" s="117">
        <f t="shared" si="1"/>
        <v>557.11954193757219</v>
      </c>
      <c r="AB17" s="117">
        <f t="shared" si="1"/>
        <v>561.7501719162874</v>
      </c>
      <c r="AC17" s="117">
        <f t="shared" si="1"/>
        <v>566.10057400302344</v>
      </c>
      <c r="AD17" s="117">
        <f t="shared" si="1"/>
        <v>570.48243243362072</v>
      </c>
      <c r="AE17" s="117">
        <f t="shared" si="1"/>
        <v>574.89603932143928</v>
      </c>
      <c r="AF17" s="117">
        <f t="shared" si="1"/>
        <v>579.34168955866244</v>
      </c>
      <c r="AG17" s="117">
        <f t="shared" si="1"/>
        <v>583.81968084310392</v>
      </c>
    </row>
    <row r="18" spans="2:36">
      <c r="B18" t="s">
        <v>503</v>
      </c>
      <c r="C18" s="117">
        <f>'Ethylene Recycling LC'!C183+'Propylene Recycling LC'!C104+'Methanol Recycling LC'!C250+'BTX Recycling HC'!C278</f>
        <v>30.021381969043006</v>
      </c>
      <c r="D18" s="117">
        <f>'Ethylene Recycling LC'!D183+'Propylene Recycling LC'!D104+'Methanol Recycling LC'!D250+'BTX Recycling HC'!D278</f>
        <v>30.522739047926017</v>
      </c>
      <c r="E18" s="117">
        <f>'Ethylene Recycling LC'!E183+'Propylene Recycling LC'!E104+'Methanol Recycling LC'!E250+'BTX Recycling HC'!E278</f>
        <v>31.032468790026378</v>
      </c>
      <c r="F18" s="117">
        <f>'Ethylene Recycling LC'!F183+'Propylene Recycling LC'!F104+'Methanol Recycling LC'!F250+'BTX Recycling HC'!F278</f>
        <v>31.550711018819818</v>
      </c>
      <c r="G18" s="117">
        <f>'Ethylene Recycling LC'!G183+'Propylene Recycling LC'!G104+'Methanol Recycling LC'!G250+'BTX Recycling HC'!G278</f>
        <v>32.077607892834109</v>
      </c>
      <c r="H18" s="117">
        <f>'Ethylene Recycling LC'!H183+'Propylene Recycling LC'!H104+'Methanol Recycling LC'!H250+'BTX Recycling HC'!H278</f>
        <v>32.613303944644429</v>
      </c>
      <c r="I18" s="117">
        <f>'Ethylene Recycling LC'!I183+'Propylene Recycling LC'!I104+'Methanol Recycling LC'!I250+'BTX Recycling HC'!I278</f>
        <v>33.157946120519995</v>
      </c>
      <c r="J18" s="117">
        <f>'Ethylene Recycling LC'!J183+'Propylene Recycling LC'!J104+'Methanol Recycling LC'!J250+'BTX Recycling HC'!J278</f>
        <v>33.711683820732674</v>
      </c>
      <c r="K18" s="117">
        <f>'Ethylene Recycling LC'!K183+'Propylene Recycling LC'!K104+'Methanol Recycling LC'!K250+'BTX Recycling HC'!K278</f>
        <v>34.274668940538909</v>
      </c>
      <c r="L18" s="117">
        <f>'Ethylene Recycling LC'!L183+'Propylene Recycling LC'!L104+'Methanol Recycling LC'!L250+'BTX Recycling HC'!L278</f>
        <v>34.847055911845899</v>
      </c>
      <c r="M18" s="117">
        <f>'Ethylene Recycling LC'!M183+'Propylene Recycling LC'!M104+'Methanol Recycling LC'!M250+'BTX Recycling HC'!M278</f>
        <v>35.429001745573728</v>
      </c>
      <c r="N18" s="117">
        <f>'Ethylene Recycling LC'!N183+'Propylene Recycling LC'!N104+'Methanol Recycling LC'!N250+'BTX Recycling HC'!N278</f>
        <v>36.020666074724815</v>
      </c>
      <c r="O18" s="117">
        <f>'Ethylene Recycling LC'!O183+'Propylene Recycling LC'!O104+'Methanol Recycling LC'!O250+'BTX Recycling HC'!O278</f>
        <v>36.622211198172714</v>
      </c>
      <c r="P18" s="117">
        <f>'Ethylene Recycling LC'!P183+'Propylene Recycling LC'!P104+'Methanol Recycling LC'!P250+'BTX Recycling HC'!P278</f>
        <v>37.233802125182194</v>
      </c>
      <c r="Q18" s="117">
        <f>'Ethylene Recycling LC'!Q183+'Propylene Recycling LC'!Q104+'Methanol Recycling LC'!Q250+'BTX Recycling HC'!Q278</f>
        <v>37.855606620672738</v>
      </c>
      <c r="R18" s="117">
        <f>'Ethylene Recycling LC'!R183+'Propylene Recycling LC'!R104+'Methanol Recycling LC'!R250+'BTX Recycling HC'!R278</f>
        <v>38.487795251237969</v>
      </c>
      <c r="S18" s="117">
        <f>'Ethylene Recycling LC'!S183+'Propylene Recycling LC'!S104+'Methanol Recycling LC'!S250+'BTX Recycling HC'!S278</f>
        <v>39.130541431933644</v>
      </c>
      <c r="T18" s="117">
        <f>'Ethylene Recycling LC'!T183+'Propylene Recycling LC'!T104+'Methanol Recycling LC'!T250+'BTX Recycling HC'!T278</f>
        <v>39.784021473846927</v>
      </c>
      <c r="U18" s="117">
        <f>'Ethylene Recycling LC'!U183+'Propylene Recycling LC'!U104+'Methanol Recycling LC'!U250+'BTX Recycling HC'!U278</f>
        <v>40.448414632460164</v>
      </c>
      <c r="V18" s="117">
        <f>'Ethylene Recycling LC'!V183+'Propylene Recycling LC'!V104+'Methanol Recycling LC'!V250+'BTX Recycling HC'!V278</f>
        <v>41.123903156822252</v>
      </c>
      <c r="W18" s="117">
        <f>'Ethylene Recycling LC'!W183+'Propylene Recycling LC'!W104+'Methanol Recycling LC'!W250+'BTX Recycling HC'!W278</f>
        <v>41.810672339541178</v>
      </c>
      <c r="X18" s="117">
        <f>'Ethylene Recycling LC'!X183+'Propylene Recycling LC'!X104+'Methanol Recycling LC'!X250+'BTX Recycling HC'!X278</f>
        <v>42.508910567611515</v>
      </c>
      <c r="Y18" s="117">
        <f>'Ethylene Recycling LC'!Y183+'Propylene Recycling LC'!Y104+'Methanol Recycling LC'!Y250+'BTX Recycling HC'!Y278</f>
        <v>43.218809374090618</v>
      </c>
      <c r="Z18" s="117">
        <f>'Ethylene Recycling LC'!Z183+'Propylene Recycling LC'!Z104+'Methanol Recycling LC'!Z250+'BTX Recycling HC'!Z278</f>
        <v>43.940563490637928</v>
      </c>
      <c r="AA18" s="117">
        <f>'Ethylene Recycling LC'!AA183+'Propylene Recycling LC'!AA104+'Methanol Recycling LC'!AA250+'BTX Recycling HC'!AA278</f>
        <v>44.674370900931578</v>
      </c>
      <c r="AB18" s="117">
        <f>'Ethylene Recycling LC'!AB183+'Propylene Recycling LC'!AB104+'Methanol Recycling LC'!AB250+'BTX Recycling HC'!AB278</f>
        <v>45.420432894977132</v>
      </c>
      <c r="AC18" s="117">
        <f>'Ethylene Recycling LC'!AC183+'Propylene Recycling LC'!AC104+'Methanol Recycling LC'!AC250+'BTX Recycling HC'!AC278</f>
        <v>46.178954124323255</v>
      </c>
      <c r="AD18" s="117">
        <f>'Ethylene Recycling LC'!AD183+'Propylene Recycling LC'!AD104+'Methanol Recycling LC'!AD250+'BTX Recycling HC'!AD278</f>
        <v>46.950142658199447</v>
      </c>
      <c r="AE18" s="117">
        <f>'Ethylene Recycling LC'!AE183+'Propylene Recycling LC'!AE104+'Methanol Recycling LC'!AE250+'BTX Recycling HC'!AE278</f>
        <v>47.734210040591371</v>
      </c>
      <c r="AF18" s="117">
        <f>'Ethylene Recycling LC'!AF183+'Propylene Recycling LC'!AF104+'Methanol Recycling LC'!AF250+'BTX Recycling HC'!AF278</f>
        <v>48.531371348269246</v>
      </c>
      <c r="AG18" s="117">
        <f>'Ethylene Recycling LC'!AG183+'Propylene Recycling LC'!AG104+'Methanol Recycling LC'!AG250+'BTX Recycling HC'!AG278</f>
        <v>49.341845249785344</v>
      </c>
    </row>
    <row r="19" spans="2:36">
      <c r="B19" t="s">
        <v>504</v>
      </c>
      <c r="C19" s="50">
        <v>7794799</v>
      </c>
      <c r="D19" s="50">
        <v>7874966</v>
      </c>
      <c r="E19" s="50">
        <v>7953953</v>
      </c>
      <c r="F19" s="50">
        <v>8031800</v>
      </c>
      <c r="G19" s="50">
        <v>8108605</v>
      </c>
      <c r="H19" s="50">
        <v>8184437</v>
      </c>
      <c r="I19" s="50">
        <v>8259277</v>
      </c>
      <c r="J19" s="50">
        <v>8333078</v>
      </c>
      <c r="K19" s="50">
        <v>8405863</v>
      </c>
      <c r="L19" s="50">
        <v>8477661</v>
      </c>
      <c r="M19" s="50">
        <v>8548487</v>
      </c>
      <c r="N19" s="50">
        <v>8618349</v>
      </c>
      <c r="O19" s="50">
        <v>8687228</v>
      </c>
      <c r="P19" s="50">
        <v>8755084</v>
      </c>
      <c r="Q19" s="50">
        <v>8821863</v>
      </c>
      <c r="R19" s="50">
        <v>8887524</v>
      </c>
      <c r="S19" s="50">
        <v>8952049</v>
      </c>
      <c r="T19" s="50">
        <v>9015438</v>
      </c>
      <c r="U19" s="50">
        <v>9077694</v>
      </c>
      <c r="V19" s="50">
        <v>9138829</v>
      </c>
      <c r="W19" s="50">
        <v>9198847</v>
      </c>
      <c r="X19" s="50">
        <v>9257745</v>
      </c>
      <c r="Y19" s="50">
        <v>9315508</v>
      </c>
      <c r="Z19" s="50">
        <v>9372118</v>
      </c>
      <c r="AA19" s="50">
        <v>9427555</v>
      </c>
      <c r="AB19" s="50">
        <v>9481803</v>
      </c>
      <c r="AC19" s="50">
        <v>9534855</v>
      </c>
      <c r="AD19" s="50">
        <v>9586708</v>
      </c>
      <c r="AE19" s="50">
        <v>9637357</v>
      </c>
      <c r="AF19" s="50">
        <v>9686800</v>
      </c>
      <c r="AG19" s="50">
        <v>9735034</v>
      </c>
    </row>
    <row r="20" spans="2:36">
      <c r="B20" t="s">
        <v>505</v>
      </c>
      <c r="C20" s="591">
        <f>(C17+C18)*1000000000/(C19*1000)</f>
        <v>52.759635034060125</v>
      </c>
      <c r="D20" s="591">
        <f t="shared" ref="D20:AG20" si="2">(D17+D18)*1000000000/(D19*1000)</f>
        <v>53.580030624105945</v>
      </c>
      <c r="E20" s="591">
        <f t="shared" si="2"/>
        <v>54.415515897861589</v>
      </c>
      <c r="F20" s="591">
        <f t="shared" si="2"/>
        <v>55.266285611901317</v>
      </c>
      <c r="G20" s="591">
        <f t="shared" si="2"/>
        <v>56.132134565472981</v>
      </c>
      <c r="H20" s="591">
        <f t="shared" si="2"/>
        <v>57.013050758175112</v>
      </c>
      <c r="I20" s="591">
        <f t="shared" si="2"/>
        <v>57.74029319078123</v>
      </c>
      <c r="J20" s="591">
        <f t="shared" si="2"/>
        <v>58.479850902120205</v>
      </c>
      <c r="K20" s="591">
        <f t="shared" si="2"/>
        <v>59.231869238519373</v>
      </c>
      <c r="L20" s="591">
        <f t="shared" si="2"/>
        <v>59.996454092630429</v>
      </c>
      <c r="M20" s="591">
        <f t="shared" si="2"/>
        <v>60.773812975157171</v>
      </c>
      <c r="N20" s="591">
        <f t="shared" si="2"/>
        <v>60.988486263828136</v>
      </c>
      <c r="O20" s="591">
        <f t="shared" si="2"/>
        <v>61.213458182486718</v>
      </c>
      <c r="P20" s="591">
        <f t="shared" si="2"/>
        <v>61.448926381887929</v>
      </c>
      <c r="Q20" s="591">
        <f t="shared" si="2"/>
        <v>61.695192860700345</v>
      </c>
      <c r="R20" s="591">
        <f t="shared" si="2"/>
        <v>61.952474650430247</v>
      </c>
      <c r="S20" s="591">
        <f t="shared" si="2"/>
        <v>62.167230333860289</v>
      </c>
      <c r="T20" s="591">
        <f t="shared" si="2"/>
        <v>62.392812832597009</v>
      </c>
      <c r="U20" s="591">
        <f t="shared" si="2"/>
        <v>62.629128885903938</v>
      </c>
      <c r="V20" s="591">
        <f t="shared" si="2"/>
        <v>62.876034402459155</v>
      </c>
      <c r="W20" s="591">
        <f t="shared" si="2"/>
        <v>63.133451394703513</v>
      </c>
      <c r="X20" s="591">
        <f t="shared" si="2"/>
        <v>63.292474183151128</v>
      </c>
      <c r="Y20" s="591">
        <f t="shared" si="2"/>
        <v>63.462125431422479</v>
      </c>
      <c r="Z20" s="591">
        <f t="shared" si="2"/>
        <v>63.64244836579266</v>
      </c>
      <c r="AA20" s="591">
        <f t="shared" si="2"/>
        <v>63.833508564893421</v>
      </c>
      <c r="AB20" s="591">
        <f t="shared" si="2"/>
        <v>64.035353277352897</v>
      </c>
      <c r="AC20" s="591">
        <f t="shared" si="2"/>
        <v>64.214875645969101</v>
      </c>
      <c r="AD20" s="591">
        <f t="shared" si="2"/>
        <v>64.405067421665507</v>
      </c>
      <c r="AE20" s="591">
        <f t="shared" si="2"/>
        <v>64.605913152540751</v>
      </c>
      <c r="AF20" s="591">
        <f t="shared" si="2"/>
        <v>64.817386640266307</v>
      </c>
      <c r="AG20" s="591">
        <f t="shared" si="2"/>
        <v>65.039477632321493</v>
      </c>
      <c r="AI20" s="23">
        <f>(AG20/C20)^(1/30)-1</f>
        <v>6.99931561887146E-3</v>
      </c>
    </row>
    <row r="21" spans="2:36">
      <c r="B21" t="s">
        <v>506</v>
      </c>
      <c r="C21" s="634">
        <f>C20*$AI$21</f>
        <v>42.207708027248103</v>
      </c>
      <c r="D21" s="634">
        <f t="shared" ref="D21:AG21" si="3">D20*$AI$21</f>
        <v>42.86402449928476</v>
      </c>
      <c r="E21" s="634">
        <f t="shared" si="3"/>
        <v>43.532412718289272</v>
      </c>
      <c r="F21" s="634">
        <f t="shared" si="3"/>
        <v>44.213028489521058</v>
      </c>
      <c r="G21" s="634">
        <f t="shared" si="3"/>
        <v>44.905707652378389</v>
      </c>
      <c r="H21" s="634">
        <f t="shared" si="3"/>
        <v>45.610440606540095</v>
      </c>
      <c r="I21" s="634">
        <f t="shared" si="3"/>
        <v>46.192234552624988</v>
      </c>
      <c r="J21" s="634">
        <f t="shared" si="3"/>
        <v>46.783880721696164</v>
      </c>
      <c r="K21" s="634">
        <f t="shared" si="3"/>
        <v>47.3854953908155</v>
      </c>
      <c r="L21" s="634">
        <f t="shared" si="3"/>
        <v>47.997163274104345</v>
      </c>
      <c r="M21" s="634">
        <f t="shared" si="3"/>
        <v>48.619050380125742</v>
      </c>
      <c r="N21" s="634">
        <f t="shared" si="3"/>
        <v>48.790789011062515</v>
      </c>
      <c r="O21" s="634">
        <f t="shared" si="3"/>
        <v>48.970766545989378</v>
      </c>
      <c r="P21" s="634">
        <f t="shared" si="3"/>
        <v>49.159141105510344</v>
      </c>
      <c r="Q21" s="634">
        <f t="shared" si="3"/>
        <v>49.356154288560276</v>
      </c>
      <c r="R21" s="634">
        <f t="shared" si="3"/>
        <v>49.561979720344198</v>
      </c>
      <c r="S21" s="634">
        <f t="shared" si="3"/>
        <v>49.733784267088232</v>
      </c>
      <c r="T21" s="634">
        <f t="shared" si="3"/>
        <v>49.914250266077609</v>
      </c>
      <c r="U21" s="634">
        <f t="shared" si="3"/>
        <v>50.103303108723154</v>
      </c>
      <c r="V21" s="634">
        <f t="shared" si="3"/>
        <v>50.300827521967328</v>
      </c>
      <c r="W21" s="634">
        <f t="shared" si="3"/>
        <v>50.506761115762814</v>
      </c>
      <c r="X21" s="634">
        <f t="shared" si="3"/>
        <v>50.633979346520903</v>
      </c>
      <c r="Y21" s="634">
        <f t="shared" si="3"/>
        <v>50.769700345137984</v>
      </c>
      <c r="Z21" s="634">
        <f t="shared" si="3"/>
        <v>50.913958692634132</v>
      </c>
      <c r="AA21" s="634">
        <f t="shared" si="3"/>
        <v>51.066806851914741</v>
      </c>
      <c r="AB21" s="634">
        <f t="shared" si="3"/>
        <v>51.228282621882322</v>
      </c>
      <c r="AC21" s="634">
        <f t="shared" si="3"/>
        <v>51.371900516775284</v>
      </c>
      <c r="AD21" s="634">
        <f t="shared" si="3"/>
        <v>51.524053937332411</v>
      </c>
      <c r="AE21" s="634">
        <f t="shared" si="3"/>
        <v>51.684730522032602</v>
      </c>
      <c r="AF21" s="634">
        <f t="shared" si="3"/>
        <v>51.853909312213048</v>
      </c>
      <c r="AG21" s="634">
        <f t="shared" si="3"/>
        <v>52.031582105857197</v>
      </c>
      <c r="AI21" s="55">
        <v>0.8</v>
      </c>
      <c r="AJ21" t="s">
        <v>507</v>
      </c>
    </row>
    <row r="22" spans="2:36">
      <c r="C22" s="634"/>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row>
    <row r="23" spans="2:36">
      <c r="B23" s="50"/>
      <c r="C23" s="50" t="s">
        <v>504</v>
      </c>
      <c r="W23" t="s">
        <v>508</v>
      </c>
      <c r="AG23" t="s">
        <v>509</v>
      </c>
    </row>
    <row r="24" spans="2:36">
      <c r="B24" s="50" t="s">
        <v>510</v>
      </c>
      <c r="C24" s="592">
        <v>1527293744</v>
      </c>
      <c r="M24" s="2">
        <f>5%+4%</f>
        <v>0.09</v>
      </c>
      <c r="W24" s="245">
        <f>$C$17*M24</f>
        <v>34.310643159133249</v>
      </c>
      <c r="AG24" s="245">
        <f>W24*1000000000/C24</f>
        <v>22.464992928782173</v>
      </c>
    </row>
    <row r="25" spans="2:36">
      <c r="B25" s="50" t="s">
        <v>511</v>
      </c>
      <c r="C25" s="592">
        <f>2328193462+C29</f>
        <v>4142648480</v>
      </c>
      <c r="M25" s="2">
        <v>0.38</v>
      </c>
      <c r="W25" s="245">
        <f>$C$17*M25</f>
        <v>144.86716000522927</v>
      </c>
      <c r="AG25" s="245">
        <f t="shared" ref="AG25:AG28" si="4">W25*1000000000/C25</f>
        <v>34.969696488761528</v>
      </c>
    </row>
    <row r="26" spans="2:36">
      <c r="B26" s="50" t="s">
        <v>512</v>
      </c>
      <c r="C26" s="592">
        <v>918082509</v>
      </c>
      <c r="M26" s="2">
        <v>0.24</v>
      </c>
      <c r="W26" s="245">
        <f>$C$17*M26</f>
        <v>91.495048424355318</v>
      </c>
      <c r="AG26" s="245">
        <f t="shared" si="4"/>
        <v>99.658851494746557</v>
      </c>
    </row>
    <row r="27" spans="2:36">
      <c r="B27" s="50" t="s">
        <v>513</v>
      </c>
      <c r="C27" s="592">
        <v>640483586</v>
      </c>
      <c r="M27" s="2">
        <v>0.08</v>
      </c>
      <c r="W27" s="245">
        <f>$C$17*M27</f>
        <v>30.498349474785108</v>
      </c>
      <c r="AG27" s="245">
        <f t="shared" si="4"/>
        <v>47.617690978243282</v>
      </c>
    </row>
    <row r="28" spans="2:36">
      <c r="B28" s="50" t="s">
        <v>514</v>
      </c>
      <c r="C28" s="592">
        <v>363967296</v>
      </c>
      <c r="M28" s="2">
        <f>21%</f>
        <v>0.21</v>
      </c>
      <c r="W28" s="245">
        <f>$C$17*M28</f>
        <v>80.058167371310915</v>
      </c>
      <c r="AG28" s="245">
        <f t="shared" si="4"/>
        <v>219.9597827913388</v>
      </c>
    </row>
    <row r="29" spans="2:36">
      <c r="B29" s="50" t="s">
        <v>515</v>
      </c>
      <c r="C29" s="592">
        <v>1814455018</v>
      </c>
      <c r="M29" s="2"/>
    </row>
    <row r="30" spans="2:36">
      <c r="B30" s="50" t="s">
        <v>67</v>
      </c>
      <c r="C30" s="592">
        <v>7592475615</v>
      </c>
      <c r="M30" s="2">
        <f>SUM(M24:M29)</f>
        <v>0.99999999999999989</v>
      </c>
    </row>
    <row r="32" spans="2:36">
      <c r="C32" t="s">
        <v>516</v>
      </c>
      <c r="D32" s="44" t="e">
        <f>(D26*#REF!+D28*#REF!)/(#REF!+#REF!)</f>
        <v>#REF!</v>
      </c>
      <c r="M32" s="44">
        <f>(AG26*C26+AG28*C28)/(C26+C28)</f>
        <v>133.81166248503601</v>
      </c>
    </row>
    <row r="34" spans="3:35">
      <c r="C34">
        <v>2020</v>
      </c>
      <c r="M34">
        <v>2030</v>
      </c>
      <c r="W34">
        <v>2040</v>
      </c>
      <c r="AG34">
        <v>2050</v>
      </c>
    </row>
    <row r="35" spans="3:35">
      <c r="C35" s="360">
        <f>C20</f>
        <v>52.759635034060125</v>
      </c>
      <c r="M35" s="609">
        <f>(AG35-C35)/3+C35</f>
        <v>79.776977517718748</v>
      </c>
      <c r="N35" s="609">
        <f t="shared" ref="N35:V35" si="5">(AH35-D35)/3+D35</f>
        <v>0</v>
      </c>
      <c r="O35" s="609">
        <f t="shared" si="5"/>
        <v>1.0503040545763195E-2</v>
      </c>
      <c r="P35" s="609">
        <f t="shared" si="5"/>
        <v>0</v>
      </c>
      <c r="Q35" s="609">
        <f t="shared" si="5"/>
        <v>0</v>
      </c>
      <c r="R35" s="609">
        <f t="shared" si="5"/>
        <v>0</v>
      </c>
      <c r="S35" s="609">
        <f t="shared" si="5"/>
        <v>0</v>
      </c>
      <c r="T35" s="609">
        <f t="shared" si="5"/>
        <v>0</v>
      </c>
      <c r="U35" s="609">
        <f t="shared" si="5"/>
        <v>0</v>
      </c>
      <c r="V35" s="609">
        <f t="shared" si="5"/>
        <v>0</v>
      </c>
      <c r="W35" s="609">
        <f>(AG35-C35)/3+M35</f>
        <v>106.79432000137737</v>
      </c>
      <c r="AG35" s="44">
        <f>M32</f>
        <v>133.81166248503601</v>
      </c>
      <c r="AI35" s="23">
        <f>(AG35/C35)^(1/30)-1</f>
        <v>3.1509121637289583E-2</v>
      </c>
    </row>
    <row r="36" spans="3:35">
      <c r="C36" s="44">
        <f>C35*C8/C20</f>
        <v>556.55826631089224</v>
      </c>
      <c r="D36" s="44">
        <f t="shared" ref="D36:AF36" si="6">D35*D8/D20</f>
        <v>0</v>
      </c>
      <c r="E36" s="44">
        <f t="shared" si="6"/>
        <v>0</v>
      </c>
      <c r="F36" s="44">
        <f t="shared" si="6"/>
        <v>0</v>
      </c>
      <c r="G36" s="44">
        <f t="shared" si="6"/>
        <v>0</v>
      </c>
      <c r="H36" s="44">
        <f t="shared" si="6"/>
        <v>0</v>
      </c>
      <c r="I36" s="44">
        <f t="shared" si="6"/>
        <v>0</v>
      </c>
      <c r="J36" s="44">
        <f t="shared" si="6"/>
        <v>0</v>
      </c>
      <c r="K36" s="44">
        <f t="shared" si="6"/>
        <v>0</v>
      </c>
      <c r="L36" s="44">
        <f t="shared" si="6"/>
        <v>0</v>
      </c>
      <c r="M36" s="44">
        <f t="shared" si="6"/>
        <v>932.95618451680116</v>
      </c>
      <c r="N36" s="44">
        <f t="shared" si="6"/>
        <v>0</v>
      </c>
      <c r="O36" s="44">
        <f t="shared" si="6"/>
        <v>0.12480664163301636</v>
      </c>
      <c r="P36" s="44">
        <f t="shared" si="6"/>
        <v>0</v>
      </c>
      <c r="Q36" s="44">
        <f t="shared" si="6"/>
        <v>0</v>
      </c>
      <c r="R36" s="44">
        <f t="shared" si="6"/>
        <v>0</v>
      </c>
      <c r="S36" s="44">
        <f t="shared" si="6"/>
        <v>0</v>
      </c>
      <c r="T36" s="44">
        <f t="shared" si="6"/>
        <v>0</v>
      </c>
      <c r="U36" s="44">
        <f t="shared" si="6"/>
        <v>0</v>
      </c>
      <c r="V36" s="44">
        <f t="shared" si="6"/>
        <v>0</v>
      </c>
      <c r="W36" s="44">
        <f t="shared" si="6"/>
        <v>1340.3173567706415</v>
      </c>
      <c r="X36" s="44">
        <f t="shared" si="6"/>
        <v>0</v>
      </c>
      <c r="Y36" s="44">
        <f t="shared" si="6"/>
        <v>0</v>
      </c>
      <c r="Z36" s="44">
        <f t="shared" si="6"/>
        <v>0</v>
      </c>
      <c r="AA36" s="44">
        <f t="shared" si="6"/>
        <v>0</v>
      </c>
      <c r="AB36" s="44">
        <f t="shared" si="6"/>
        <v>0</v>
      </c>
      <c r="AC36" s="44">
        <f t="shared" si="6"/>
        <v>0</v>
      </c>
      <c r="AD36" s="44">
        <f t="shared" si="6"/>
        <v>0</v>
      </c>
      <c r="AE36" s="44">
        <f t="shared" si="6"/>
        <v>0</v>
      </c>
      <c r="AF36" s="44">
        <f t="shared" si="6"/>
        <v>0</v>
      </c>
      <c r="AG36" s="44">
        <f>AG35*AG8/AG20</f>
        <v>1760.0100072872538</v>
      </c>
      <c r="AI36" s="23">
        <f>(AG36/C36)^(1/30)-1</f>
        <v>3.9122662709128564E-2</v>
      </c>
    </row>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AR59"/>
  <sheetViews>
    <sheetView topLeftCell="K1" workbookViewId="0">
      <selection activeCell="N3" sqref="N3"/>
    </sheetView>
  </sheetViews>
  <sheetFormatPr baseColWidth="10" defaultColWidth="8.83203125" defaultRowHeight="15" outlineLevelCol="1"/>
  <cols>
    <col min="1" max="1" width="19.1640625" bestFit="1" customWidth="1"/>
    <col min="12" max="12" width="28.5" bestFit="1" customWidth="1"/>
    <col min="13" max="13" width="17.5" customWidth="1"/>
    <col min="14" max="14" width="9.5" bestFit="1" customWidth="1"/>
    <col min="15" max="23" width="8.83203125" customWidth="1" outlineLevel="1"/>
    <col min="24" max="24" width="9.5" bestFit="1" customWidth="1"/>
    <col min="25" max="33" width="8.83203125" hidden="1" customWidth="1" outlineLevel="1"/>
    <col min="34" max="34" width="9.5" bestFit="1" customWidth="1" collapsed="1"/>
    <col min="35" max="43" width="8.83203125" hidden="1" customWidth="1" outlineLevel="1"/>
    <col min="44" max="44" width="9.5" bestFit="1" customWidth="1" collapsed="1"/>
  </cols>
  <sheetData>
    <row r="1" spans="1:44" s="68" customFormat="1">
      <c r="A1" s="62" t="s">
        <v>517</v>
      </c>
      <c r="M1" s="62" t="s">
        <v>518</v>
      </c>
    </row>
    <row r="2" spans="1:44">
      <c r="B2" s="1">
        <v>2015</v>
      </c>
      <c r="C2" s="1">
        <v>2017</v>
      </c>
      <c r="D2" s="1">
        <v>2020</v>
      </c>
      <c r="E2" s="1">
        <v>2025</v>
      </c>
      <c r="F2" s="1">
        <v>2030</v>
      </c>
      <c r="G2" s="1">
        <v>2035</v>
      </c>
      <c r="H2" s="1">
        <v>2040</v>
      </c>
      <c r="I2" s="1">
        <v>2045</v>
      </c>
      <c r="J2" s="1">
        <v>2050</v>
      </c>
      <c r="N2">
        <v>2020</v>
      </c>
      <c r="O2">
        <f>N2+1</f>
        <v>2021</v>
      </c>
      <c r="P2">
        <f t="shared" ref="P2:AR2" si="0">O2+1</f>
        <v>2022</v>
      </c>
      <c r="Q2">
        <f t="shared" si="0"/>
        <v>2023</v>
      </c>
      <c r="R2">
        <f t="shared" si="0"/>
        <v>2024</v>
      </c>
      <c r="S2">
        <f t="shared" si="0"/>
        <v>2025</v>
      </c>
      <c r="T2">
        <f t="shared" si="0"/>
        <v>2026</v>
      </c>
      <c r="U2">
        <f t="shared" si="0"/>
        <v>2027</v>
      </c>
      <c r="V2">
        <f t="shared" si="0"/>
        <v>2028</v>
      </c>
      <c r="W2">
        <f t="shared" si="0"/>
        <v>2029</v>
      </c>
      <c r="X2">
        <f t="shared" si="0"/>
        <v>2030</v>
      </c>
      <c r="Y2">
        <f t="shared" si="0"/>
        <v>2031</v>
      </c>
      <c r="Z2">
        <f t="shared" si="0"/>
        <v>2032</v>
      </c>
      <c r="AA2">
        <f t="shared" si="0"/>
        <v>2033</v>
      </c>
      <c r="AB2">
        <f>AA2+1</f>
        <v>2034</v>
      </c>
      <c r="AC2">
        <f t="shared" si="0"/>
        <v>2035</v>
      </c>
      <c r="AD2">
        <f t="shared" si="0"/>
        <v>2036</v>
      </c>
      <c r="AE2">
        <f t="shared" si="0"/>
        <v>2037</v>
      </c>
      <c r="AF2">
        <f t="shared" si="0"/>
        <v>2038</v>
      </c>
      <c r="AG2">
        <f t="shared" si="0"/>
        <v>2039</v>
      </c>
      <c r="AH2">
        <f t="shared" si="0"/>
        <v>2040</v>
      </c>
      <c r="AI2">
        <f t="shared" si="0"/>
        <v>2041</v>
      </c>
      <c r="AJ2">
        <f t="shared" si="0"/>
        <v>2042</v>
      </c>
      <c r="AK2">
        <f t="shared" si="0"/>
        <v>2043</v>
      </c>
      <c r="AL2">
        <f t="shared" si="0"/>
        <v>2044</v>
      </c>
      <c r="AM2">
        <f>AL2+1</f>
        <v>2045</v>
      </c>
      <c r="AN2">
        <f t="shared" si="0"/>
        <v>2046</v>
      </c>
      <c r="AO2">
        <f t="shared" si="0"/>
        <v>2047</v>
      </c>
      <c r="AP2">
        <f t="shared" si="0"/>
        <v>2048</v>
      </c>
      <c r="AQ2">
        <f>AP2+1</f>
        <v>2049</v>
      </c>
      <c r="AR2">
        <f t="shared" si="0"/>
        <v>2050</v>
      </c>
    </row>
    <row r="3" spans="1:44">
      <c r="A3" s="1" t="s">
        <v>519</v>
      </c>
      <c r="B3" s="157">
        <v>140</v>
      </c>
      <c r="C3" s="157">
        <v>150</v>
      </c>
      <c r="D3" s="157">
        <f>(F3-C3)/($F$2-$C$2)*($D$2-$C$2)+C3</f>
        <v>162.69230769230768</v>
      </c>
      <c r="E3" s="157">
        <f>(F3-C3)/($F$2-$C$2)*($E$2-$C$2)+C3</f>
        <v>183.84615384615384</v>
      </c>
      <c r="F3" s="157">
        <v>205</v>
      </c>
      <c r="G3" s="157">
        <f>(J3-F3)/($J$2-$F$2)*($G$2-$F$2)+F3</f>
        <v>217.5</v>
      </c>
      <c r="H3" s="157">
        <f>(J3-F3)/($J$2-$F$2)*($H$2-$F$2)+F3</f>
        <v>230</v>
      </c>
      <c r="I3" s="157">
        <f>(J3-F3)/($J$2-$F$2)*($I$2-$F$2)+F3</f>
        <v>242.5</v>
      </c>
      <c r="J3" s="157">
        <v>255</v>
      </c>
      <c r="L3" t="s">
        <v>520</v>
      </c>
      <c r="M3" s="52" t="s">
        <v>519</v>
      </c>
      <c r="N3" s="98">
        <f>D3</f>
        <v>162.69230769230768</v>
      </c>
      <c r="O3" s="98">
        <f>N3*($S3/$N3)^(1/5)</f>
        <v>166.71878063819926</v>
      </c>
      <c r="P3" s="98">
        <f t="shared" ref="P3:R3" si="1">O3*($S3/$N3)^(1/5)</f>
        <v>170.84490478834238</v>
      </c>
      <c r="Q3" s="98">
        <f t="shared" si="1"/>
        <v>175.07314641101752</v>
      </c>
      <c r="R3" s="98">
        <f t="shared" si="1"/>
        <v>179.40603281219435</v>
      </c>
      <c r="S3" s="98">
        <f>E3</f>
        <v>183.84615384615384</v>
      </c>
      <c r="T3" s="98">
        <f>S3*($X3/$S3)^(1/5)</f>
        <v>187.89464856761026</v>
      </c>
      <c r="U3" s="98">
        <f t="shared" ref="U3:V3" si="2">T3*($X3/$S3)^(1/5)</f>
        <v>192.03229560020711</v>
      </c>
      <c r="V3" s="98">
        <f t="shared" si="2"/>
        <v>196.26105817599196</v>
      </c>
      <c r="W3" s="98">
        <f>V3*($X3/$S3)^(1/5)</f>
        <v>200.58294275954361</v>
      </c>
      <c r="X3" s="98">
        <f>F3</f>
        <v>205</v>
      </c>
      <c r="Y3" s="98">
        <f>X3*($AC3/$X3)^(1/5)</f>
        <v>207.44116419514421</v>
      </c>
      <c r="Z3" s="98">
        <f t="shared" ref="Z3:AB3" si="3">Y3*($AC3/$X3)^(1/5)</f>
        <v>209.91139806164284</v>
      </c>
      <c r="AA3" s="98">
        <f t="shared" si="3"/>
        <v>212.41104776457331</v>
      </c>
      <c r="AB3" s="98">
        <f t="shared" si="3"/>
        <v>214.94046359118767</v>
      </c>
      <c r="AC3" s="98">
        <f>G3</f>
        <v>217.5</v>
      </c>
      <c r="AD3" s="98">
        <f>AC3*($AH3/$AC3)^(1/5)</f>
        <v>219.94443410654205</v>
      </c>
      <c r="AE3" s="98">
        <f t="shared" ref="AE3:AG3" si="4">AD3*($AH3/$AC3)^(1/5)</f>
        <v>222.41634066412422</v>
      </c>
      <c r="AF3" s="98">
        <f t="shared" si="4"/>
        <v>224.91602842951116</v>
      </c>
      <c r="AG3" s="98">
        <f t="shared" si="4"/>
        <v>227.4438096295161</v>
      </c>
      <c r="AH3" s="98">
        <f>H3</f>
        <v>230</v>
      </c>
      <c r="AI3" s="98">
        <f>AH3*($AM3/$AH3)^(1/5)</f>
        <v>232.44735963345383</v>
      </c>
      <c r="AJ3" s="98">
        <f t="shared" ref="AJ3:AL3" si="5">AI3*($AM3/$AH3)^(1/5)</f>
        <v>234.92076087201835</v>
      </c>
      <c r="AK3" s="98">
        <f t="shared" si="5"/>
        <v>237.42048081644634</v>
      </c>
      <c r="AL3" s="98">
        <f t="shared" si="5"/>
        <v>239.9467995160349</v>
      </c>
      <c r="AM3" s="98">
        <f>I3</f>
        <v>242.5</v>
      </c>
      <c r="AN3" s="98">
        <f>AM3*($AR3/$AM3)^(1/5)</f>
        <v>244.9499924675749</v>
      </c>
      <c r="AO3" s="98">
        <f t="shared" ref="AO3:AQ3" si="6">AN3*($AR3/$AM3)^(1/5)</f>
        <v>247.42473736026807</v>
      </c>
      <c r="AP3" s="98">
        <f t="shared" si="6"/>
        <v>249.9244847533582</v>
      </c>
      <c r="AQ3" s="98">
        <f t="shared" si="6"/>
        <v>252.44948724865003</v>
      </c>
      <c r="AR3" s="98">
        <f>J3</f>
        <v>255</v>
      </c>
    </row>
    <row r="4" spans="1:44">
      <c r="A4" s="1" t="s">
        <v>521</v>
      </c>
      <c r="B4" s="157">
        <v>140</v>
      </c>
      <c r="C4" s="157">
        <v>150</v>
      </c>
      <c r="D4" s="157">
        <f t="shared" ref="D4:D6" si="7">(F4-C4)/($F$2-$C$2)*($D$2-$C$2)+C4</f>
        <v>161.53846153846155</v>
      </c>
      <c r="E4" s="157">
        <f t="shared" ref="E4:E6" si="8">(F4-C4)/($F$2-$C$2)*($E$2-$C$2)+C4</f>
        <v>180.76923076923077</v>
      </c>
      <c r="F4" s="157">
        <v>200</v>
      </c>
      <c r="G4" s="157">
        <f t="shared" ref="G4:G6" si="9">(J4-F4)/($J$2-$F$2)*($G$2-$F$2)+F4</f>
        <v>206.25</v>
      </c>
      <c r="H4" s="157">
        <f t="shared" ref="H4:H6" si="10">(J4-F4)/($J$2-$F$2)*($H$2-$F$2)+F4</f>
        <v>212.5</v>
      </c>
      <c r="I4" s="157">
        <f t="shared" ref="I4:I6" si="11">(J4-F4)/($J$2-$F$2)*($I$2-$F$2)+F4</f>
        <v>218.75</v>
      </c>
      <c r="J4" s="157">
        <v>225</v>
      </c>
      <c r="M4" s="1" t="s">
        <v>521</v>
      </c>
      <c r="N4" s="44">
        <f t="shared" ref="N4:N6" si="12">D4</f>
        <v>161.53846153846155</v>
      </c>
      <c r="O4" s="44">
        <f t="shared" ref="O4:R4" si="13">N4*($S4/$N4)^(1/5)</f>
        <v>165.2135472608046</v>
      </c>
      <c r="P4" s="44">
        <f t="shared" si="13"/>
        <v>168.97224313355974</v>
      </c>
      <c r="Q4" s="44">
        <f t="shared" si="13"/>
        <v>172.81645133201761</v>
      </c>
      <c r="R4" s="44">
        <f t="shared" si="13"/>
        <v>176.74811730696607</v>
      </c>
      <c r="S4" s="44">
        <f t="shared" ref="S4:S6" si="14">E4</f>
        <v>180.76923076923077</v>
      </c>
      <c r="T4" s="44">
        <f t="shared" ref="T4:W4" si="15">S4*($X4/$S4)^(1/5)</f>
        <v>184.46144529465394</v>
      </c>
      <c r="U4" s="44">
        <f t="shared" si="15"/>
        <v>188.22907336276762</v>
      </c>
      <c r="V4" s="44">
        <f t="shared" si="15"/>
        <v>192.07365529642735</v>
      </c>
      <c r="W4" s="44">
        <f t="shared" si="15"/>
        <v>195.9967628796085</v>
      </c>
      <c r="X4" s="44">
        <f t="shared" ref="X4:X6" si="16">F4</f>
        <v>200</v>
      </c>
      <c r="Y4" s="44">
        <f t="shared" ref="Y4:AB4" si="17">X4*($AC4/$X4)^(1/5)</f>
        <v>201.23466170855582</v>
      </c>
      <c r="Z4" s="44">
        <f t="shared" si="17"/>
        <v>202.47694536478451</v>
      </c>
      <c r="AA4" s="44">
        <f t="shared" si="17"/>
        <v>203.72689802132075</v>
      </c>
      <c r="AB4" s="44">
        <f t="shared" si="17"/>
        <v>204.98456702126964</v>
      </c>
      <c r="AC4" s="44">
        <f t="shared" ref="AC4:AC6" si="18">G4</f>
        <v>206.25</v>
      </c>
      <c r="AD4" s="44">
        <f t="shared" ref="AD4:AG4" si="19">AC4*($AH4/$AC4)^(1/5)</f>
        <v>207.48511825477888</v>
      </c>
      <c r="AE4" s="44">
        <f t="shared" si="19"/>
        <v>208.72763295611918</v>
      </c>
      <c r="AF4" s="44">
        <f t="shared" si="19"/>
        <v>209.97758839728712</v>
      </c>
      <c r="AG4" s="44">
        <f t="shared" si="19"/>
        <v>211.23502913679712</v>
      </c>
      <c r="AH4" s="44">
        <f t="shared" ref="AH4:AH6" si="20">H4</f>
        <v>212.5</v>
      </c>
      <c r="AI4" s="44">
        <f t="shared" ref="AI4:AL4" si="21">AH4*($AM4/$AH4)^(1/5)</f>
        <v>213.73554840693805</v>
      </c>
      <c r="AJ4" s="44">
        <f t="shared" si="21"/>
        <v>214.97828071912735</v>
      </c>
      <c r="AK4" s="44">
        <f t="shared" si="21"/>
        <v>216.22823870627465</v>
      </c>
      <c r="AL4" s="44">
        <f t="shared" si="21"/>
        <v>217.48546438095022</v>
      </c>
      <c r="AM4" s="44">
        <f t="shared" ref="AM4:AM6" si="22">I4</f>
        <v>218.75</v>
      </c>
      <c r="AN4" s="44">
        <f t="shared" ref="AN4:AQ4" si="23">AM4*($AR4/$AM4)^(1/5)</f>
        <v>219.98595438969514</v>
      </c>
      <c r="AO4" s="44">
        <f t="shared" si="23"/>
        <v>221.22889201712016</v>
      </c>
      <c r="AP4" s="44">
        <f t="shared" si="23"/>
        <v>222.47885233810737</v>
      </c>
      <c r="AQ4" s="44">
        <f t="shared" si="23"/>
        <v>223.73587503141763</v>
      </c>
      <c r="AR4" s="44">
        <f t="shared" ref="AR4:AR6" si="24">J4</f>
        <v>225</v>
      </c>
    </row>
    <row r="5" spans="1:44">
      <c r="A5" s="1" t="s">
        <v>522</v>
      </c>
      <c r="B5" s="157">
        <v>90</v>
      </c>
      <c r="C5" s="157">
        <v>105</v>
      </c>
      <c r="D5" s="157">
        <f t="shared" si="7"/>
        <v>111.92307692307692</v>
      </c>
      <c r="E5" s="157">
        <f t="shared" si="8"/>
        <v>123.46153846153845</v>
      </c>
      <c r="F5" s="157">
        <v>135</v>
      </c>
      <c r="G5" s="157">
        <f t="shared" si="9"/>
        <v>141.25</v>
      </c>
      <c r="H5" s="157">
        <f t="shared" si="10"/>
        <v>147.5</v>
      </c>
      <c r="I5" s="157">
        <f t="shared" si="11"/>
        <v>153.75</v>
      </c>
      <c r="J5" s="157">
        <v>160</v>
      </c>
      <c r="L5" t="s">
        <v>520</v>
      </c>
      <c r="M5" s="52" t="s">
        <v>522</v>
      </c>
      <c r="N5" s="98">
        <f t="shared" si="12"/>
        <v>111.92307692307692</v>
      </c>
      <c r="O5" s="98">
        <f t="shared" ref="O5:R5" si="25">N5*($S5/$N5)^(1/5)</f>
        <v>114.14109897114302</v>
      </c>
      <c r="P5" s="98">
        <f t="shared" si="25"/>
        <v>116.40307640304019</v>
      </c>
      <c r="Q5" s="98">
        <f t="shared" si="25"/>
        <v>118.70988029927432</v>
      </c>
      <c r="R5" s="98">
        <f t="shared" si="25"/>
        <v>121.06239900288395</v>
      </c>
      <c r="S5" s="98">
        <f t="shared" si="14"/>
        <v>123.46153846153845</v>
      </c>
      <c r="T5" s="98">
        <f t="shared" ref="T5:W5" si="26">S5*($X5/$S5)^(1/5)</f>
        <v>125.68750385067274</v>
      </c>
      <c r="U5" s="98">
        <f t="shared" si="26"/>
        <v>127.95360256371801</v>
      </c>
      <c r="V5" s="98">
        <f t="shared" si="26"/>
        <v>130.26055818950272</v>
      </c>
      <c r="W5" s="98">
        <f t="shared" si="26"/>
        <v>132.60910736289145</v>
      </c>
      <c r="X5" s="98">
        <f t="shared" si="16"/>
        <v>135</v>
      </c>
      <c r="Y5" s="98">
        <f t="shared" ref="Y5:AB5" si="27">X5*($AC5/$X5)^(1/5)</f>
        <v>136.22747472491002</v>
      </c>
      <c r="Z5" s="98">
        <f t="shared" si="27"/>
        <v>137.46611014760001</v>
      </c>
      <c r="AA5" s="98">
        <f t="shared" si="27"/>
        <v>138.71600774565835</v>
      </c>
      <c r="AB5" s="98">
        <f t="shared" si="27"/>
        <v>139.97726991934886</v>
      </c>
      <c r="AC5" s="98">
        <f t="shared" si="18"/>
        <v>141.25</v>
      </c>
      <c r="AD5" s="98">
        <f t="shared" ref="AD5:AG5" si="28">AC5*($AH5/$AC5)^(1/5)</f>
        <v>142.47844586453499</v>
      </c>
      <c r="AE5" s="98">
        <f t="shared" si="28"/>
        <v>143.71757547591665</v>
      </c>
      <c r="AF5" s="98">
        <f t="shared" si="28"/>
        <v>144.96748175028398</v>
      </c>
      <c r="AG5" s="98">
        <f t="shared" si="28"/>
        <v>146.22825841186406</v>
      </c>
      <c r="AH5" s="98">
        <f t="shared" si="20"/>
        <v>147.5</v>
      </c>
      <c r="AI5" s="98">
        <f t="shared" ref="AI5:AL5" si="29">AH5*($AM5/$AH5)^(1/5)</f>
        <v>148.72933671873375</v>
      </c>
      <c r="AJ5" s="98">
        <f t="shared" si="29"/>
        <v>149.96891932742022</v>
      </c>
      <c r="AK5" s="98">
        <f t="shared" si="29"/>
        <v>151.21883322028813</v>
      </c>
      <c r="AL5" s="98">
        <f t="shared" si="29"/>
        <v>152.47916450328322</v>
      </c>
      <c r="AM5" s="98">
        <f t="shared" si="22"/>
        <v>153.75</v>
      </c>
      <c r="AN5" s="98">
        <f t="shared" ref="AN5:AQ5" si="30">AM5*($AR5/$AM5)^(1/5)</f>
        <v>154.98015684917894</v>
      </c>
      <c r="AO5" s="98">
        <f t="shared" si="30"/>
        <v>156.22015620810475</v>
      </c>
      <c r="AP5" s="98">
        <f t="shared" si="30"/>
        <v>157.4700768268963</v>
      </c>
      <c r="AQ5" s="98">
        <f t="shared" si="30"/>
        <v>158.72999808575381</v>
      </c>
      <c r="AR5" s="98">
        <f t="shared" si="24"/>
        <v>160</v>
      </c>
    </row>
    <row r="6" spans="1:44">
      <c r="A6" s="1" t="s">
        <v>523</v>
      </c>
      <c r="B6" s="157">
        <v>90</v>
      </c>
      <c r="C6" s="157">
        <v>105</v>
      </c>
      <c r="D6" s="157">
        <f t="shared" si="7"/>
        <v>110.76923076923077</v>
      </c>
      <c r="E6" s="157">
        <f t="shared" si="8"/>
        <v>120.38461538461539</v>
      </c>
      <c r="F6" s="157">
        <v>130</v>
      </c>
      <c r="G6" s="157">
        <f t="shared" si="9"/>
        <v>135</v>
      </c>
      <c r="H6" s="157">
        <f t="shared" si="10"/>
        <v>140</v>
      </c>
      <c r="I6" s="157">
        <f t="shared" si="11"/>
        <v>145</v>
      </c>
      <c r="J6" s="157">
        <v>150</v>
      </c>
      <c r="M6" s="1" t="s">
        <v>523</v>
      </c>
      <c r="N6" s="44">
        <f t="shared" si="12"/>
        <v>110.76923076923077</v>
      </c>
      <c r="O6" s="44">
        <f t="shared" ref="O6:R6" si="31">N6*($S6/$N6)^(1/5)</f>
        <v>112.62881368907094</v>
      </c>
      <c r="P6" s="44">
        <f t="shared" si="31"/>
        <v>114.51961510353949</v>
      </c>
      <c r="Q6" s="44">
        <f t="shared" si="31"/>
        <v>116.44215910564488</v>
      </c>
      <c r="R6" s="44">
        <f t="shared" si="31"/>
        <v>118.39697858681723</v>
      </c>
      <c r="S6" s="44">
        <f t="shared" si="14"/>
        <v>120.38461538461539</v>
      </c>
      <c r="T6" s="44">
        <f t="shared" ref="T6:W6" si="32">S6*($X6/$S6)^(1/5)</f>
        <v>122.24904133714509</v>
      </c>
      <c r="U6" s="44">
        <f t="shared" si="32"/>
        <v>124.14234210994448</v>
      </c>
      <c r="V6" s="44">
        <f t="shared" si="32"/>
        <v>126.06496489441018</v>
      </c>
      <c r="W6" s="44">
        <f t="shared" si="32"/>
        <v>128.01736380770123</v>
      </c>
      <c r="X6" s="44">
        <f t="shared" si="16"/>
        <v>130</v>
      </c>
      <c r="Y6" s="44">
        <f t="shared" ref="Y6:AB6" si="33">X6*($AC6/$X6)^(1/5)</f>
        <v>130.98496112678265</v>
      </c>
      <c r="Z6" s="44">
        <f t="shared" si="33"/>
        <v>131.97738493372893</v>
      </c>
      <c r="AA6" s="44">
        <f t="shared" si="33"/>
        <v>132.97732796276088</v>
      </c>
      <c r="AB6" s="44">
        <f t="shared" si="33"/>
        <v>133.98484718419738</v>
      </c>
      <c r="AC6" s="44">
        <f t="shared" si="18"/>
        <v>135</v>
      </c>
      <c r="AD6" s="44">
        <f t="shared" ref="AD6:AG6" si="34">AC6*($AH6/$AC6)^(1/5)</f>
        <v>135.98550610135356</v>
      </c>
      <c r="AE6" s="44">
        <f t="shared" si="34"/>
        <v>136.97820644178717</v>
      </c>
      <c r="AF6" s="44">
        <f t="shared" si="34"/>
        <v>137.97815353957125</v>
      </c>
      <c r="AG6" s="44">
        <f t="shared" si="34"/>
        <v>138.98540029636197</v>
      </c>
      <c r="AH6" s="44">
        <f t="shared" si="20"/>
        <v>140</v>
      </c>
      <c r="AI6" s="44">
        <f t="shared" ref="AI6:AL6" si="35">AH6*($AM6/$AH6)^(1/5)</f>
        <v>140.98601295706342</v>
      </c>
      <c r="AJ6" s="44">
        <f t="shared" si="35"/>
        <v>141.9789703537804</v>
      </c>
      <c r="AK6" s="44">
        <f t="shared" si="35"/>
        <v>142.97892109949007</v>
      </c>
      <c r="AL6" s="44">
        <f t="shared" si="35"/>
        <v>143.98591444799754</v>
      </c>
      <c r="AM6" s="44">
        <f t="shared" si="22"/>
        <v>145</v>
      </c>
      <c r="AN6" s="44">
        <f t="shared" ref="AN6:AQ6" si="36">AM6*($AR6/$AM6)^(1/5)</f>
        <v>145.98648555843513</v>
      </c>
      <c r="AO6" s="44">
        <f t="shared" si="36"/>
        <v>146.97968252209097</v>
      </c>
      <c r="AP6" s="44">
        <f t="shared" si="36"/>
        <v>147.97963655099733</v>
      </c>
      <c r="AQ6" s="44">
        <f t="shared" si="36"/>
        <v>148.98639361582519</v>
      </c>
      <c r="AR6" s="44">
        <f t="shared" si="24"/>
        <v>150</v>
      </c>
    </row>
    <row r="7" spans="1:44">
      <c r="A7" s="158" t="s">
        <v>524</v>
      </c>
    </row>
    <row r="11" spans="1:44">
      <c r="K11" s="2"/>
    </row>
    <row r="14" spans="1:44">
      <c r="L14" s="30"/>
    </row>
    <row r="15" spans="1:44">
      <c r="L15" s="30"/>
    </row>
    <row r="40" spans="1:9">
      <c r="D40" s="26"/>
      <c r="E40" s="26"/>
      <c r="F40" s="26"/>
      <c r="G40" s="26"/>
      <c r="H40" s="26"/>
      <c r="I40" s="26"/>
    </row>
    <row r="41" spans="1:9">
      <c r="D41" s="26"/>
      <c r="E41" s="26"/>
      <c r="F41" s="26"/>
      <c r="G41" s="26"/>
      <c r="H41" s="26"/>
      <c r="I41" s="26"/>
    </row>
    <row r="42" spans="1:9">
      <c r="D42" s="26"/>
      <c r="E42" s="26"/>
      <c r="F42" s="26"/>
      <c r="G42" s="26"/>
      <c r="H42" s="26"/>
      <c r="I42" s="26"/>
    </row>
    <row r="43" spans="1:9">
      <c r="I43" s="26"/>
    </row>
    <row r="46" spans="1:9">
      <c r="A46" s="1"/>
    </row>
    <row r="47" spans="1:9">
      <c r="D47" s="6"/>
      <c r="E47" s="6"/>
      <c r="F47" s="6"/>
      <c r="G47" s="6"/>
      <c r="H47" s="6"/>
      <c r="I47" s="6"/>
    </row>
    <row r="48" spans="1:9">
      <c r="D48" s="6"/>
      <c r="E48" s="6"/>
      <c r="F48" s="6"/>
      <c r="G48" s="6"/>
      <c r="H48" s="6"/>
      <c r="I48" s="6"/>
    </row>
    <row r="49" spans="2:9">
      <c r="D49" s="6"/>
      <c r="E49" s="6"/>
      <c r="F49" s="6"/>
      <c r="G49" s="6"/>
      <c r="H49" s="6"/>
      <c r="I49" s="6"/>
    </row>
    <row r="59" spans="2:9">
      <c r="B59" s="5"/>
    </row>
  </sheetData>
  <hyperlinks>
    <hyperlink ref="A7" r:id="rId1" xr:uid="{6E9806D2-9340-4001-BC62-3F5ACCFE57BD}"/>
  </hyperlinks>
  <pageMargins left="0.7" right="0.7" top="0.75" bottom="0.75" header="0.3" footer="0.3"/>
  <pageSetup paperSize="9" orientation="portrait"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84EF-2F60-4F94-B5D4-569AAF4CF4F0}">
  <sheetPr>
    <tabColor theme="7"/>
  </sheetPr>
  <dimension ref="A1:Y43"/>
  <sheetViews>
    <sheetView zoomScale="85" zoomScaleNormal="85" workbookViewId="0">
      <selection activeCell="A7" sqref="A7"/>
    </sheetView>
  </sheetViews>
  <sheetFormatPr baseColWidth="10" defaultColWidth="8.83203125" defaultRowHeight="15"/>
  <cols>
    <col min="1" max="1" width="71.6640625" bestFit="1" customWidth="1"/>
    <col min="3" max="8" width="9.5" bestFit="1" customWidth="1"/>
    <col min="22" max="22" width="51" customWidth="1"/>
  </cols>
  <sheetData>
    <row r="1" spans="1:25">
      <c r="A1" s="1" t="s">
        <v>525</v>
      </c>
      <c r="B1" s="1">
        <v>2015</v>
      </c>
      <c r="C1" s="54">
        <v>2016</v>
      </c>
      <c r="D1" s="54">
        <v>2017</v>
      </c>
      <c r="E1" s="54">
        <v>2018</v>
      </c>
      <c r="F1" s="54">
        <v>2019</v>
      </c>
      <c r="G1" s="54">
        <v>2020</v>
      </c>
      <c r="H1" s="54">
        <v>2021</v>
      </c>
      <c r="I1" s="1">
        <v>2025</v>
      </c>
      <c r="J1" s="1">
        <v>2030</v>
      </c>
      <c r="K1" s="1">
        <v>2035</v>
      </c>
      <c r="L1" s="1">
        <v>2040</v>
      </c>
      <c r="M1" s="1">
        <v>2045</v>
      </c>
      <c r="N1" s="1">
        <v>2050</v>
      </c>
      <c r="O1" t="s">
        <v>46</v>
      </c>
      <c r="P1" t="s">
        <v>526</v>
      </c>
      <c r="W1" t="s">
        <v>527</v>
      </c>
      <c r="X1" t="s">
        <v>528</v>
      </c>
      <c r="Y1" t="s">
        <v>529</v>
      </c>
    </row>
    <row r="2" spans="1:25">
      <c r="A2" t="s">
        <v>530</v>
      </c>
      <c r="B2" s="99">
        <f>ROUND(Y2,0)</f>
        <v>83</v>
      </c>
      <c r="D2">
        <f>ROUND(Y3,0)</f>
        <v>97</v>
      </c>
      <c r="I2" s="99">
        <f>ROUND(Y6,0)</f>
        <v>139</v>
      </c>
      <c r="J2" s="99">
        <f>ROUND(Y10,0)</f>
        <v>149</v>
      </c>
      <c r="K2" s="99">
        <f>ROUND(Y14,0)</f>
        <v>159</v>
      </c>
      <c r="L2" s="99">
        <f>ROUND(Y18,0)</f>
        <v>168</v>
      </c>
      <c r="M2" s="99">
        <f>ROUND(Y22,0)</f>
        <v>175</v>
      </c>
      <c r="N2" s="99">
        <f>ROUND(Y26,0)</f>
        <v>182</v>
      </c>
      <c r="P2" t="s">
        <v>531</v>
      </c>
      <c r="W2" t="s">
        <v>532</v>
      </c>
      <c r="X2" s="26">
        <v>2014.73076923076</v>
      </c>
      <c r="Y2">
        <v>83</v>
      </c>
    </row>
    <row r="3" spans="1:25">
      <c r="A3" t="s">
        <v>533</v>
      </c>
      <c r="B3" s="99">
        <f>B2</f>
        <v>83</v>
      </c>
      <c r="C3" s="99">
        <f>AVERAGE(B2,D2)</f>
        <v>90</v>
      </c>
      <c r="D3" s="99">
        <f t="shared" ref="D3:N3" si="0">D2</f>
        <v>97</v>
      </c>
      <c r="E3" s="99">
        <f>$D$3+($I$3-$D$3)/($I$1-$D$1)*(E1-$D$1)</f>
        <v>102.25</v>
      </c>
      <c r="F3" s="99">
        <f t="shared" ref="F3:G3" si="1">$D$3+($I$3-$D$3)/($I$1-$D$1)*(F1-$D$1)</f>
        <v>107.5</v>
      </c>
      <c r="G3" s="480">
        <f t="shared" si="1"/>
        <v>112.75</v>
      </c>
      <c r="H3" s="99">
        <f>$D$3+($I$3-$D$3)/($I$1-$D$1)*(H1-$D$1)</f>
        <v>118</v>
      </c>
      <c r="I3" s="99">
        <f t="shared" si="0"/>
        <v>139</v>
      </c>
      <c r="J3" s="99">
        <f t="shared" si="0"/>
        <v>149</v>
      </c>
      <c r="K3" s="99">
        <f t="shared" si="0"/>
        <v>159</v>
      </c>
      <c r="L3" s="99">
        <f t="shared" si="0"/>
        <v>168</v>
      </c>
      <c r="M3" s="99">
        <f t="shared" si="0"/>
        <v>175</v>
      </c>
      <c r="N3" s="99">
        <f t="shared" si="0"/>
        <v>182</v>
      </c>
      <c r="W3" t="s">
        <v>532</v>
      </c>
      <c r="X3" s="26">
        <v>2017</v>
      </c>
      <c r="Y3">
        <v>97</v>
      </c>
    </row>
    <row r="4" spans="1:25">
      <c r="A4" t="s">
        <v>534</v>
      </c>
      <c r="B4" s="99">
        <f t="shared" ref="B4:N4" si="2">B3-B26</f>
        <v>73.857142857142861</v>
      </c>
      <c r="C4" s="99">
        <f t="shared" si="2"/>
        <v>77.5</v>
      </c>
      <c r="D4" s="99">
        <f t="shared" si="2"/>
        <v>81</v>
      </c>
      <c r="E4" s="99">
        <f t="shared" si="2"/>
        <v>85.019230769230774</v>
      </c>
      <c r="F4" s="99">
        <f t="shared" si="2"/>
        <v>89.038461538461547</v>
      </c>
      <c r="G4" s="480">
        <f t="shared" si="2"/>
        <v>93.057692307692307</v>
      </c>
      <c r="H4" s="99">
        <f t="shared" si="2"/>
        <v>97.07692307692308</v>
      </c>
      <c r="I4" s="99">
        <f t="shared" si="2"/>
        <v>113.15384615384616</v>
      </c>
      <c r="J4" s="99">
        <f t="shared" si="2"/>
        <v>117</v>
      </c>
      <c r="K4" s="99">
        <f t="shared" si="2"/>
        <v>125.28571428571428</v>
      </c>
      <c r="L4" s="99">
        <f t="shared" si="2"/>
        <v>132.57142857142856</v>
      </c>
      <c r="M4" s="99">
        <f t="shared" si="2"/>
        <v>137.85714285714286</v>
      </c>
      <c r="N4" s="99">
        <f t="shared" si="2"/>
        <v>143.14285714285714</v>
      </c>
      <c r="W4" t="s">
        <v>535</v>
      </c>
      <c r="X4" s="26">
        <v>2024.8717948717899</v>
      </c>
      <c r="Y4">
        <v>133.02420929324401</v>
      </c>
    </row>
    <row r="5" spans="1:25">
      <c r="A5" t="s">
        <v>536</v>
      </c>
      <c r="B5" s="99"/>
      <c r="C5" s="481">
        <f>C10</f>
        <v>85.349372504330432</v>
      </c>
      <c r="D5" s="481">
        <f t="shared" ref="D5:H5" si="3">D10</f>
        <v>89.170166986911156</v>
      </c>
      <c r="E5" s="481">
        <f t="shared" si="3"/>
        <v>91.694884520601377</v>
      </c>
      <c r="F5" s="481">
        <f t="shared" si="3"/>
        <v>98.300010854092974</v>
      </c>
      <c r="G5" s="482">
        <f t="shared" si="3"/>
        <v>102.16223893794903</v>
      </c>
      <c r="H5" s="481">
        <f t="shared" si="3"/>
        <v>110.2134580727167</v>
      </c>
      <c r="I5" s="99"/>
      <c r="J5" s="99"/>
      <c r="K5" s="99"/>
      <c r="L5" s="99"/>
      <c r="M5" s="99"/>
      <c r="N5" s="99"/>
      <c r="P5" t="s">
        <v>537</v>
      </c>
      <c r="W5" t="s">
        <v>538</v>
      </c>
      <c r="X5" s="26">
        <v>2024.8717948717899</v>
      </c>
      <c r="Y5">
        <v>139.369386958219</v>
      </c>
    </row>
    <row r="6" spans="1:25">
      <c r="A6" t="s">
        <v>539</v>
      </c>
      <c r="B6" s="99"/>
      <c r="C6" s="481">
        <f t="shared" ref="C6:H6" si="4">C5-C20</f>
        <v>65.806977994972783</v>
      </c>
      <c r="D6" s="481">
        <f t="shared" si="4"/>
        <v>68.474672477550314</v>
      </c>
      <c r="E6" s="481">
        <f t="shared" si="4"/>
        <v>70.826490011303733</v>
      </c>
      <c r="F6" s="481">
        <f t="shared" si="4"/>
        <v>73.728578844735338</v>
      </c>
      <c r="G6" s="482">
        <f t="shared" si="4"/>
        <v>70.960266702016895</v>
      </c>
      <c r="H6" s="481">
        <f t="shared" si="4"/>
        <v>75.147463563359068</v>
      </c>
      <c r="I6" s="99"/>
      <c r="J6" s="99"/>
      <c r="K6" s="99"/>
      <c r="L6" s="99"/>
      <c r="M6" s="99"/>
      <c r="N6" s="99"/>
      <c r="W6" t="s">
        <v>540</v>
      </c>
      <c r="X6" s="26">
        <v>2024.8717948717899</v>
      </c>
      <c r="Y6">
        <v>138.743455497382</v>
      </c>
    </row>
    <row r="7" spans="1:25">
      <c r="A7" s="1" t="s">
        <v>541</v>
      </c>
      <c r="B7" s="99"/>
      <c r="C7" s="481">
        <f t="shared" ref="C7:F7" si="5">C5</f>
        <v>85.349372504330432</v>
      </c>
      <c r="D7" s="481">
        <f t="shared" si="5"/>
        <v>89.170166986911156</v>
      </c>
      <c r="E7" s="481">
        <f t="shared" si="5"/>
        <v>91.694884520601377</v>
      </c>
      <c r="F7" s="481">
        <f t="shared" si="5"/>
        <v>98.300010854092974</v>
      </c>
      <c r="G7" s="481">
        <f>G5</f>
        <v>102.16223893794903</v>
      </c>
      <c r="H7" s="483">
        <f>$G$7+($J$7-$G$7)/($J$1-$G$1)*(H1-$G$1)</f>
        <v>106.84601504415413</v>
      </c>
      <c r="I7" s="483">
        <f>$G$7+($J$7-$G$7)/($J$1-$G$1)*(I1-$G$1)</f>
        <v>125.58111946897452</v>
      </c>
      <c r="J7" s="99">
        <f>J3</f>
        <v>149</v>
      </c>
      <c r="K7" s="99">
        <f t="shared" ref="K7:N7" si="6">K3</f>
        <v>159</v>
      </c>
      <c r="L7" s="99">
        <f t="shared" si="6"/>
        <v>168</v>
      </c>
      <c r="M7" s="99">
        <f t="shared" si="6"/>
        <v>175</v>
      </c>
      <c r="N7" s="99">
        <f t="shared" si="6"/>
        <v>182</v>
      </c>
      <c r="P7" t="s">
        <v>542</v>
      </c>
      <c r="W7" t="s">
        <v>543</v>
      </c>
      <c r="X7" s="26">
        <v>2024.8717948717899</v>
      </c>
      <c r="Y7">
        <v>145.08004685669599</v>
      </c>
    </row>
    <row r="8" spans="1:25">
      <c r="A8" s="1" t="s">
        <v>544</v>
      </c>
      <c r="B8" s="99"/>
      <c r="C8" s="481">
        <f>C20</f>
        <v>19.542394509357642</v>
      </c>
      <c r="D8" s="481">
        <f t="shared" ref="D8:F8" si="7">D20</f>
        <v>20.695494509360842</v>
      </c>
      <c r="E8" s="481">
        <f t="shared" si="7"/>
        <v>20.868394509297641</v>
      </c>
      <c r="F8" s="481">
        <f t="shared" si="7"/>
        <v>24.57143200935764</v>
      </c>
      <c r="G8" s="481">
        <f>G20</f>
        <v>31.201972235932139</v>
      </c>
      <c r="H8" s="483">
        <f>$G$8+($N$8-$G$8)/($N$1-$G$1)*(H1-$G$1)</f>
        <v>31.457144589972497</v>
      </c>
      <c r="I8" s="483">
        <f>$G$8+($N$8-$G$8)/($N$1-$G$1)*(I1-$G$1)</f>
        <v>32.477834006133925</v>
      </c>
      <c r="J8" s="483">
        <f t="shared" ref="J8:M8" si="8">$H$8+($N$8-$H$8)/($N$1-$H$1)*(J1-$H$1)</f>
        <v>33.753695776335711</v>
      </c>
      <c r="K8" s="483">
        <f t="shared" si="8"/>
        <v>35.029557546537497</v>
      </c>
      <c r="L8" s="483">
        <f>$H$8+($N$8-$H$8)/($N$1-$H$1)*(L1-$H$1)</f>
        <v>36.305419316739282</v>
      </c>
      <c r="M8" s="483">
        <f t="shared" si="8"/>
        <v>37.581281086941068</v>
      </c>
      <c r="N8" s="99">
        <f>N26</f>
        <v>38.857142857142854</v>
      </c>
      <c r="P8" t="s">
        <v>545</v>
      </c>
      <c r="W8" t="s">
        <v>535</v>
      </c>
      <c r="X8" s="26">
        <v>2029.9871794871699</v>
      </c>
      <c r="Y8">
        <v>141.814720812182</v>
      </c>
    </row>
    <row r="9" spans="1:25" ht="16" thickBot="1">
      <c r="A9" s="1" t="s">
        <v>546</v>
      </c>
      <c r="B9" s="99"/>
      <c r="C9" s="481">
        <f>C7-C8</f>
        <v>65.806977994972783</v>
      </c>
      <c r="D9" s="481">
        <f t="shared" ref="D9:N9" si="9">D7-D8</f>
        <v>68.474672477550314</v>
      </c>
      <c r="E9" s="481">
        <f t="shared" si="9"/>
        <v>70.826490011303733</v>
      </c>
      <c r="F9" s="481">
        <f t="shared" si="9"/>
        <v>73.728578844735338</v>
      </c>
      <c r="G9" s="481">
        <f t="shared" si="9"/>
        <v>70.960266702016895</v>
      </c>
      <c r="H9" s="481">
        <f t="shared" si="9"/>
        <v>75.388870454181628</v>
      </c>
      <c r="I9" s="481">
        <f t="shared" si="9"/>
        <v>93.103285462840603</v>
      </c>
      <c r="J9" s="481">
        <f t="shared" si="9"/>
        <v>115.24630422366428</v>
      </c>
      <c r="K9" s="481">
        <f t="shared" si="9"/>
        <v>123.97044245346251</v>
      </c>
      <c r="L9" s="481">
        <f t="shared" si="9"/>
        <v>131.69458068326071</v>
      </c>
      <c r="M9" s="481">
        <f t="shared" si="9"/>
        <v>137.41871891305894</v>
      </c>
      <c r="N9" s="481">
        <f t="shared" si="9"/>
        <v>143.14285714285714</v>
      </c>
      <c r="W9" t="s">
        <v>538</v>
      </c>
      <c r="X9" s="26">
        <v>2029.8974358974299</v>
      </c>
      <c r="Y9">
        <v>156.41025641025601</v>
      </c>
    </row>
    <row r="10" spans="1:25" s="488" customFormat="1" ht="16" thickBot="1">
      <c r="A10" s="185" t="s">
        <v>547</v>
      </c>
      <c r="B10" s="484">
        <f>ROUND(Y2,0)</f>
        <v>83</v>
      </c>
      <c r="C10" s="485">
        <v>85.349372504330432</v>
      </c>
      <c r="D10" s="485">
        <v>89.170166986911156</v>
      </c>
      <c r="E10" s="485">
        <v>91.694884520601377</v>
      </c>
      <c r="F10" s="485">
        <v>98.300010854092974</v>
      </c>
      <c r="G10" s="486">
        <v>102.16223893794903</v>
      </c>
      <c r="H10" s="485">
        <v>110.2134580727167</v>
      </c>
      <c r="I10" s="484">
        <f>ROUND(Y6,0)</f>
        <v>139</v>
      </c>
      <c r="J10" s="484">
        <f>ROUND(Y10,0)</f>
        <v>149</v>
      </c>
      <c r="K10" s="484">
        <f>ROUND(Y14,0)</f>
        <v>159</v>
      </c>
      <c r="L10" s="484">
        <f>ROUND(Y18,0)</f>
        <v>168</v>
      </c>
      <c r="M10" s="484">
        <f>ROUND(Y22,0)</f>
        <v>175</v>
      </c>
      <c r="N10" s="484">
        <f>ROUND(Y26,0)</f>
        <v>182</v>
      </c>
      <c r="O10" s="487">
        <f>(N10/F10)^(1/30)-1</f>
        <v>2.0744998778869261E-2</v>
      </c>
      <c r="P10" s="488" t="s">
        <v>548</v>
      </c>
      <c r="R10" s="489" t="s">
        <v>524</v>
      </c>
      <c r="W10" s="488" t="s">
        <v>540</v>
      </c>
      <c r="X10" s="490">
        <v>2029.8974358974299</v>
      </c>
      <c r="Y10" s="488">
        <v>149</v>
      </c>
    </row>
    <row r="11" spans="1:25">
      <c r="A11" t="s">
        <v>46</v>
      </c>
      <c r="C11" s="121">
        <f>(C10/B10)^(1/1)-1</f>
        <v>2.8305692823258122E-2</v>
      </c>
      <c r="D11" s="121">
        <f t="shared" ref="D11:H11" si="10">(D10/C10)^(1/1)-1</f>
        <v>4.4766521070636722E-2</v>
      </c>
      <c r="E11" s="121">
        <f t="shared" si="10"/>
        <v>2.831347769104009E-2</v>
      </c>
      <c r="F11" s="121">
        <f t="shared" si="10"/>
        <v>7.2033749407335756E-2</v>
      </c>
      <c r="G11" s="121">
        <f t="shared" si="10"/>
        <v>3.9290210146454285E-2</v>
      </c>
      <c r="H11" s="121">
        <f t="shared" si="10"/>
        <v>7.8808170400981536E-2</v>
      </c>
      <c r="I11" s="121">
        <f>(I10/H10)^(1/4)-1</f>
        <v>5.9729545643170345E-2</v>
      </c>
      <c r="J11" s="121">
        <f>(J10/I10)^(1/5)-1</f>
        <v>1.3991451401512478E-2</v>
      </c>
      <c r="K11" s="121">
        <f>(K10/J10)^(1/5)-1</f>
        <v>1.307633646634998E-2</v>
      </c>
      <c r="L11" s="121">
        <f>(L10/K10)^(1/5)-1</f>
        <v>1.1072810189348026E-2</v>
      </c>
      <c r="M11" s="121">
        <f>(M10/L10)^(1/5)-1</f>
        <v>8.197818497166498E-3</v>
      </c>
      <c r="N11" s="121">
        <f>(N10/M10)^(1/5)-1</f>
        <v>7.8749885178921453E-3</v>
      </c>
      <c r="W11" t="s">
        <v>543</v>
      </c>
      <c r="X11" s="26">
        <v>2029.8974358974299</v>
      </c>
      <c r="Y11">
        <v>164.65898737472301</v>
      </c>
    </row>
    <row r="12" spans="1:25">
      <c r="C12" s="54"/>
      <c r="W12" t="s">
        <v>535</v>
      </c>
      <c r="X12" s="26">
        <v>2034.9230769230701</v>
      </c>
      <c r="Y12">
        <v>149.33945073538899</v>
      </c>
    </row>
    <row r="13" spans="1:25">
      <c r="A13" t="s">
        <v>549</v>
      </c>
      <c r="C13" s="491">
        <f t="shared" ref="C13:H13" si="11">C4-C6</f>
        <v>11.693022005027217</v>
      </c>
      <c r="D13" s="491">
        <f t="shared" si="11"/>
        <v>12.525327522449686</v>
      </c>
      <c r="E13" s="491">
        <f t="shared" si="11"/>
        <v>14.192740757927041</v>
      </c>
      <c r="F13" s="491">
        <f t="shared" si="11"/>
        <v>15.309882693726209</v>
      </c>
      <c r="G13" s="491">
        <f t="shared" si="11"/>
        <v>22.097425605675411</v>
      </c>
      <c r="H13" s="491">
        <f t="shared" si="11"/>
        <v>21.929459513564012</v>
      </c>
      <c r="W13" t="s">
        <v>538</v>
      </c>
      <c r="X13" s="26">
        <v>2034.8333333333301</v>
      </c>
      <c r="Y13">
        <v>172.81823506442799</v>
      </c>
    </row>
    <row r="14" spans="1:25">
      <c r="A14" t="s">
        <v>550</v>
      </c>
      <c r="C14" s="491">
        <f t="shared" ref="C14:H14" si="12">C3-C5</f>
        <v>4.6506274956695677</v>
      </c>
      <c r="D14" s="491">
        <f t="shared" si="12"/>
        <v>7.8298330130888445</v>
      </c>
      <c r="E14" s="491">
        <f t="shared" si="12"/>
        <v>10.555115479398623</v>
      </c>
      <c r="F14" s="491">
        <f t="shared" si="12"/>
        <v>9.1999891459070255</v>
      </c>
      <c r="G14" s="491">
        <f t="shared" si="12"/>
        <v>10.587761062050973</v>
      </c>
      <c r="H14" s="491">
        <f t="shared" si="12"/>
        <v>7.7865419272832952</v>
      </c>
      <c r="W14" t="s">
        <v>540</v>
      </c>
      <c r="X14" s="26">
        <v>2034.8333333333301</v>
      </c>
      <c r="Y14">
        <v>159.03141361256499</v>
      </c>
    </row>
    <row r="15" spans="1:25">
      <c r="W15" t="s">
        <v>543</v>
      </c>
      <c r="X15" s="26">
        <v>2034.8333333333301</v>
      </c>
      <c r="Y15">
        <v>183.60503709488401</v>
      </c>
    </row>
    <row r="16" spans="1:25">
      <c r="W16" t="s">
        <v>535</v>
      </c>
      <c r="X16" s="26">
        <v>2039.9487179487101</v>
      </c>
      <c r="Y16">
        <v>155.59351815696999</v>
      </c>
    </row>
    <row r="17" spans="1:25">
      <c r="A17" s="492" t="s">
        <v>551</v>
      </c>
      <c r="W17" t="s">
        <v>538</v>
      </c>
      <c r="X17" s="26">
        <v>2039.9487179487101</v>
      </c>
      <c r="Y17">
        <v>186.05037094884801</v>
      </c>
    </row>
    <row r="18" spans="1:25">
      <c r="A18" t="s">
        <v>528</v>
      </c>
      <c r="B18">
        <v>2015</v>
      </c>
      <c r="D18" t="s">
        <v>552</v>
      </c>
      <c r="J18">
        <v>2030</v>
      </c>
      <c r="N18">
        <v>2050</v>
      </c>
      <c r="P18" t="s">
        <v>553</v>
      </c>
      <c r="W18" t="s">
        <v>540</v>
      </c>
      <c r="X18" s="26">
        <v>2039.9487179487101</v>
      </c>
      <c r="Y18">
        <v>168.193717277486</v>
      </c>
    </row>
    <row r="19" spans="1:25">
      <c r="A19" t="s">
        <v>554</v>
      </c>
      <c r="B19">
        <v>4</v>
      </c>
      <c r="D19">
        <v>7</v>
      </c>
      <c r="J19">
        <v>14</v>
      </c>
      <c r="N19">
        <v>17</v>
      </c>
      <c r="W19" t="s">
        <v>543</v>
      </c>
      <c r="X19" s="26">
        <v>2039.9487179487101</v>
      </c>
      <c r="Y19">
        <v>199.37524404529401</v>
      </c>
    </row>
    <row r="20" spans="1:25">
      <c r="A20" t="s">
        <v>555</v>
      </c>
      <c r="C20" s="26">
        <v>19.542394509357642</v>
      </c>
      <c r="D20" s="26">
        <v>20.695494509360842</v>
      </c>
      <c r="E20" s="26">
        <v>20.868394509297641</v>
      </c>
      <c r="F20" s="26">
        <v>24.57143200935764</v>
      </c>
      <c r="G20" s="493">
        <v>31.201972235932139</v>
      </c>
      <c r="H20" s="493">
        <v>35.065994509357637</v>
      </c>
      <c r="W20" t="s">
        <v>535</v>
      </c>
      <c r="X20" s="26">
        <v>2044.97435897435</v>
      </c>
      <c r="Y20">
        <v>160.578550045555</v>
      </c>
    </row>
    <row r="21" spans="1:25">
      <c r="W21" t="s">
        <v>538</v>
      </c>
      <c r="X21" s="26">
        <v>2044.88461538461</v>
      </c>
      <c r="Y21">
        <v>197.38220747104</v>
      </c>
    </row>
    <row r="22" spans="1:25">
      <c r="A22" t="s">
        <v>556</v>
      </c>
      <c r="B22" s="43">
        <f>32/28*2</f>
        <v>2.2857142857142856</v>
      </c>
      <c r="C22" t="s">
        <v>557</v>
      </c>
      <c r="W22" t="s">
        <v>540</v>
      </c>
      <c r="X22" s="26">
        <v>2044.88461538461</v>
      </c>
      <c r="Y22">
        <v>174.73821989528699</v>
      </c>
    </row>
    <row r="23" spans="1:25">
      <c r="D23" s="494" t="s">
        <v>558</v>
      </c>
      <c r="W23" t="s">
        <v>543</v>
      </c>
      <c r="X23" s="26">
        <v>2044.79487179487</v>
      </c>
      <c r="Y23">
        <v>213.881296368606</v>
      </c>
    </row>
    <row r="24" spans="1:25">
      <c r="W24" t="s">
        <v>535</v>
      </c>
      <c r="X24" s="26">
        <v>2050</v>
      </c>
      <c r="Y24">
        <v>164.929064167642</v>
      </c>
    </row>
    <row r="25" spans="1:25">
      <c r="A25" t="s">
        <v>559</v>
      </c>
      <c r="B25" s="26">
        <f>B19*$B$22</f>
        <v>9.1428571428571423</v>
      </c>
      <c r="D25">
        <f>D19*$B$22</f>
        <v>16</v>
      </c>
      <c r="J25">
        <f>J19*$B$22</f>
        <v>32</v>
      </c>
      <c r="N25" s="44">
        <f>N19*$B$22</f>
        <v>38.857142857142854</v>
      </c>
      <c r="W25" t="s">
        <v>538</v>
      </c>
      <c r="X25" s="26">
        <v>2049.91025641025</v>
      </c>
      <c r="Y25">
        <v>207.44338149160399</v>
      </c>
    </row>
    <row r="26" spans="1:25">
      <c r="A26" t="s">
        <v>560</v>
      </c>
      <c r="B26" s="44">
        <v>9.1428571428571423</v>
      </c>
      <c r="C26" s="44">
        <v>12.5</v>
      </c>
      <c r="D26" s="44">
        <v>16</v>
      </c>
      <c r="E26" s="44">
        <f>$D$26+($J$26-$D$26)/($J$1-$D$1)*(E1-$D$1)</f>
        <v>17.23076923076923</v>
      </c>
      <c r="F26" s="44">
        <f>$D$26+($J$26-$D$26)/($J$1-$D$1)*(F1-$D$1)</f>
        <v>18.46153846153846</v>
      </c>
      <c r="G26" s="495">
        <f>$D$26+($J$26-$D$26)/($J$1-$D$1)*(G1-$D$1)</f>
        <v>19.692307692307693</v>
      </c>
      <c r="H26" s="495">
        <f>$D$26+($J$26-$D$26)/($J$1-$D$1)*(H1-$D$1)</f>
        <v>20.923076923076923</v>
      </c>
      <c r="I26" s="44">
        <f>$D$26+($J$26-$D$26)/($J$1-$D$1)*(I1-$D$1)</f>
        <v>25.846153846153847</v>
      </c>
      <c r="J26" s="44">
        <v>32</v>
      </c>
      <c r="K26" s="44">
        <f>$J$26+($N$26-$J$26)/($N$1-$J$1)*(K1-$J$1)</f>
        <v>33.714285714285715</v>
      </c>
      <c r="L26" s="44">
        <f>$J$26+($N$26-$J$26)/($N$1-$J$1)*(L1-$J$1)</f>
        <v>35.428571428571431</v>
      </c>
      <c r="M26" s="44">
        <f>$J$26+($N$26-$J$26)/($N$1-$J$1)*(M1-$J$1)</f>
        <v>37.142857142857139</v>
      </c>
      <c r="N26" s="44">
        <v>38.857142857142854</v>
      </c>
      <c r="W26" t="s">
        <v>540</v>
      </c>
      <c r="X26" s="26">
        <v>2049.91025641025</v>
      </c>
      <c r="Y26">
        <v>182</v>
      </c>
    </row>
    <row r="27" spans="1:25">
      <c r="W27" t="s">
        <v>543</v>
      </c>
      <c r="X27" s="26">
        <v>2049.91025641025</v>
      </c>
      <c r="Y27">
        <v>227.11343225302599</v>
      </c>
    </row>
    <row r="29" spans="1:25">
      <c r="A29" t="s">
        <v>561</v>
      </c>
      <c r="C29">
        <v>28.15392954245571</v>
      </c>
      <c r="D29">
        <v>28.809391392212255</v>
      </c>
      <c r="E29">
        <v>29.10675657666393</v>
      </c>
      <c r="F29">
        <v>30.933930623907173</v>
      </c>
      <c r="G29">
        <v>29.547626031397471</v>
      </c>
      <c r="H29">
        <v>31.231182733455956</v>
      </c>
      <c r="I29" s="496"/>
      <c r="J29" s="496"/>
      <c r="K29" s="496"/>
      <c r="L29" s="496"/>
      <c r="M29" s="496"/>
      <c r="N29" s="496"/>
    </row>
    <row r="30" spans="1:25">
      <c r="B30" s="496"/>
      <c r="C30" s="496"/>
      <c r="D30" s="23"/>
      <c r="E30" s="23"/>
      <c r="F30" s="23"/>
      <c r="G30" s="23"/>
      <c r="H30" s="23"/>
      <c r="I30" s="23"/>
      <c r="J30" s="23"/>
      <c r="K30" s="23"/>
      <c r="L30" s="23"/>
      <c r="M30" s="23"/>
      <c r="N30" s="23"/>
    </row>
    <row r="31" spans="1:25">
      <c r="A31" s="497"/>
      <c r="B31" s="497"/>
      <c r="C31" s="497"/>
      <c r="D31" s="497"/>
      <c r="E31" s="497"/>
      <c r="F31" s="497"/>
    </row>
    <row r="33" spans="2:14" ht="13.5" customHeight="1">
      <c r="C33" s="44"/>
      <c r="D33" s="44"/>
      <c r="E33" s="44"/>
      <c r="F33" s="44"/>
      <c r="G33" s="44"/>
      <c r="H33" s="44"/>
    </row>
    <row r="34" spans="2:14">
      <c r="D34" s="2"/>
      <c r="E34" s="2"/>
      <c r="F34" s="2"/>
      <c r="G34" s="2"/>
      <c r="H34" s="2"/>
    </row>
    <row r="35" spans="2:14">
      <c r="B35" s="23"/>
    </row>
    <row r="39" spans="2:14">
      <c r="B39" s="374"/>
    </row>
    <row r="43" spans="2:14">
      <c r="C43" s="44"/>
      <c r="D43" s="44"/>
      <c r="E43" s="44"/>
      <c r="F43" s="44"/>
      <c r="G43" s="26"/>
      <c r="H43" s="26"/>
      <c r="I43" s="26"/>
      <c r="J43" s="26"/>
      <c r="K43" s="26"/>
      <c r="L43" s="26"/>
      <c r="M43" s="26"/>
      <c r="N43" s="26"/>
    </row>
  </sheetData>
  <conditionalFormatting sqref="C22 D23">
    <cfRule type="containsBlanks" dxfId="0" priority="1">
      <formula>LEN(TRIM(C22))=0</formula>
    </cfRule>
  </conditionalFormatting>
  <hyperlinks>
    <hyperlink ref="R10" r:id="rId1" xr:uid="{BE754843-1989-4B13-8C05-1C415DBC5FCB}"/>
    <hyperlink ref="D23" r:id="rId2" xr:uid="{67559CAC-ABE7-4938-8F86-3AAE85828358}"/>
  </hyperlinks>
  <pageMargins left="0.7" right="0.7" top="0.75" bottom="0.75" header="0.3" footer="0.3"/>
  <pageSetup paperSize="9" orientation="portrait" r:id="rId3"/>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3:W63"/>
  <sheetViews>
    <sheetView topLeftCell="A22" workbookViewId="0">
      <selection activeCell="B51" sqref="B51"/>
    </sheetView>
  </sheetViews>
  <sheetFormatPr baseColWidth="10" defaultColWidth="8.83203125" defaultRowHeight="15"/>
  <cols>
    <col min="1" max="1" width="23.5" bestFit="1" customWidth="1"/>
    <col min="2" max="2" width="25.83203125" bestFit="1" customWidth="1"/>
    <col min="3" max="3" width="44.1640625" bestFit="1" customWidth="1"/>
    <col min="4" max="4" width="24.1640625" customWidth="1"/>
    <col min="5" max="5" width="13.83203125" bestFit="1" customWidth="1"/>
    <col min="9" max="9" width="11.5" customWidth="1"/>
    <col min="10" max="10" width="20.83203125" customWidth="1"/>
    <col min="14" max="14" width="23.5" bestFit="1" customWidth="1"/>
    <col min="15" max="21" width="24.5" customWidth="1"/>
    <col min="22" max="22" width="22" customWidth="1"/>
    <col min="23" max="23" width="10.1640625" bestFit="1" customWidth="1"/>
  </cols>
  <sheetData>
    <row r="3" spans="1:23">
      <c r="B3" s="1" t="s">
        <v>562</v>
      </c>
      <c r="C3" t="s">
        <v>563</v>
      </c>
      <c r="D3" s="1" t="s">
        <v>564</v>
      </c>
      <c r="O3" s="10" t="s">
        <v>4</v>
      </c>
      <c r="P3" s="10" t="s">
        <v>4</v>
      </c>
      <c r="Q3" s="9" t="s">
        <v>5</v>
      </c>
      <c r="R3" s="10" t="s">
        <v>4</v>
      </c>
      <c r="S3" s="10" t="s">
        <v>4</v>
      </c>
      <c r="T3" s="10" t="s">
        <v>4</v>
      </c>
      <c r="U3" s="10" t="s">
        <v>4</v>
      </c>
      <c r="V3" s="9" t="s">
        <v>5</v>
      </c>
      <c r="W3" s="9" t="s">
        <v>5</v>
      </c>
    </row>
    <row r="4" spans="1:23">
      <c r="A4" t="s">
        <v>265</v>
      </c>
      <c r="B4" s="2">
        <v>0.67</v>
      </c>
      <c r="D4" t="s">
        <v>565</v>
      </c>
      <c r="O4" t="s">
        <v>566</v>
      </c>
      <c r="P4" t="s">
        <v>472</v>
      </c>
      <c r="Q4" t="s">
        <v>265</v>
      </c>
      <c r="R4" t="s">
        <v>567</v>
      </c>
      <c r="S4" t="s">
        <v>568</v>
      </c>
      <c r="T4" t="s">
        <v>569</v>
      </c>
      <c r="U4" t="s">
        <v>570</v>
      </c>
      <c r="V4" t="s">
        <v>571</v>
      </c>
      <c r="W4" t="s">
        <v>572</v>
      </c>
    </row>
    <row r="5" spans="1:23">
      <c r="A5" t="s">
        <v>573</v>
      </c>
      <c r="B5" s="2">
        <v>0.05</v>
      </c>
      <c r="D5" t="s">
        <v>574</v>
      </c>
      <c r="N5" t="s">
        <v>309</v>
      </c>
      <c r="O5">
        <v>8</v>
      </c>
      <c r="P5">
        <v>6</v>
      </c>
      <c r="Q5">
        <v>7</v>
      </c>
      <c r="R5">
        <v>3.5</v>
      </c>
      <c r="S5">
        <v>2</v>
      </c>
      <c r="T5">
        <v>3</v>
      </c>
      <c r="U5">
        <v>6.5</v>
      </c>
      <c r="V5">
        <v>0.1</v>
      </c>
      <c r="W5" s="2">
        <f>V5/SUM($V$5:$V$11)</f>
        <v>2.9411764705882353E-2</v>
      </c>
    </row>
    <row r="6" spans="1:23">
      <c r="A6" t="s">
        <v>575</v>
      </c>
      <c r="B6" s="2">
        <v>0.06</v>
      </c>
      <c r="N6" t="s">
        <v>310</v>
      </c>
      <c r="O6">
        <v>1.5</v>
      </c>
      <c r="P6">
        <v>3.5</v>
      </c>
      <c r="Q6">
        <v>2.5</v>
      </c>
      <c r="R6">
        <v>1</v>
      </c>
      <c r="S6">
        <v>3.5</v>
      </c>
      <c r="T6">
        <v>6.5</v>
      </c>
      <c r="U6">
        <v>0</v>
      </c>
      <c r="V6">
        <v>0.1</v>
      </c>
      <c r="W6" s="2">
        <f t="shared" ref="W6:W11" si="0">V6/SUM($V$5:$V$11)</f>
        <v>2.9411764705882353E-2</v>
      </c>
    </row>
    <row r="7" spans="1:23">
      <c r="A7" t="s">
        <v>576</v>
      </c>
      <c r="B7" s="2">
        <v>0.04</v>
      </c>
      <c r="C7" t="s">
        <v>577</v>
      </c>
      <c r="N7" t="s">
        <v>370</v>
      </c>
      <c r="O7">
        <v>0.75</v>
      </c>
      <c r="P7">
        <v>1</v>
      </c>
      <c r="Q7">
        <v>3.5</v>
      </c>
      <c r="R7">
        <v>0.5</v>
      </c>
      <c r="S7">
        <v>0</v>
      </c>
      <c r="T7">
        <v>0.75</v>
      </c>
      <c r="U7">
        <v>0</v>
      </c>
      <c r="V7">
        <v>1</v>
      </c>
      <c r="W7" s="2">
        <f t="shared" si="0"/>
        <v>0.29411764705882348</v>
      </c>
    </row>
    <row r="8" spans="1:23">
      <c r="A8" t="s">
        <v>578</v>
      </c>
      <c r="B8" s="2">
        <v>7.0000000000000007E-2</v>
      </c>
      <c r="C8" t="s">
        <v>579</v>
      </c>
      <c r="D8" s="3" t="s">
        <v>580</v>
      </c>
      <c r="E8" t="s">
        <v>581</v>
      </c>
      <c r="N8" t="s">
        <v>582</v>
      </c>
      <c r="O8">
        <v>1</v>
      </c>
      <c r="P8">
        <v>0.5</v>
      </c>
      <c r="Q8">
        <v>1.5</v>
      </c>
      <c r="R8">
        <v>0.5</v>
      </c>
      <c r="S8">
        <v>0</v>
      </c>
      <c r="T8">
        <v>0.25</v>
      </c>
      <c r="U8">
        <v>0</v>
      </c>
      <c r="V8">
        <v>1</v>
      </c>
      <c r="W8" s="2">
        <f t="shared" si="0"/>
        <v>0.29411764705882348</v>
      </c>
    </row>
    <row r="9" spans="1:23">
      <c r="A9" t="s">
        <v>583</v>
      </c>
      <c r="B9" s="2">
        <v>0.03</v>
      </c>
      <c r="C9" t="s">
        <v>584</v>
      </c>
      <c r="N9" t="s">
        <v>585</v>
      </c>
      <c r="O9">
        <v>1.5</v>
      </c>
      <c r="P9">
        <v>0</v>
      </c>
      <c r="Q9">
        <v>1.75</v>
      </c>
      <c r="R9">
        <v>0</v>
      </c>
      <c r="S9">
        <v>0</v>
      </c>
      <c r="T9">
        <v>0.5</v>
      </c>
      <c r="U9">
        <v>0</v>
      </c>
      <c r="V9">
        <v>0</v>
      </c>
      <c r="W9" s="2">
        <f t="shared" si="0"/>
        <v>0</v>
      </c>
    </row>
    <row r="10" spans="1:23">
      <c r="A10" t="s">
        <v>192</v>
      </c>
      <c r="B10" s="2">
        <v>0.08</v>
      </c>
      <c r="N10" t="s">
        <v>313</v>
      </c>
      <c r="O10">
        <v>0.25</v>
      </c>
      <c r="P10">
        <v>1</v>
      </c>
      <c r="Q10">
        <v>2</v>
      </c>
      <c r="R10">
        <v>1</v>
      </c>
      <c r="S10">
        <v>0</v>
      </c>
      <c r="T10">
        <v>1</v>
      </c>
      <c r="U10">
        <v>0</v>
      </c>
      <c r="V10">
        <v>0.2</v>
      </c>
      <c r="W10" s="2">
        <f t="shared" si="0"/>
        <v>5.8823529411764705E-2</v>
      </c>
    </row>
    <row r="11" spans="1:23">
      <c r="N11" t="s">
        <v>248</v>
      </c>
      <c r="O11">
        <v>3.5</v>
      </c>
      <c r="P11">
        <v>2</v>
      </c>
      <c r="Q11">
        <v>3.5</v>
      </c>
      <c r="R11">
        <v>1.5</v>
      </c>
      <c r="S11">
        <v>0</v>
      </c>
      <c r="T11">
        <v>1.5</v>
      </c>
      <c r="U11">
        <v>0</v>
      </c>
      <c r="V11">
        <v>1</v>
      </c>
      <c r="W11" s="2">
        <f t="shared" si="0"/>
        <v>0.29411764705882348</v>
      </c>
    </row>
    <row r="13" spans="1:23">
      <c r="N13" s="1" t="s">
        <v>586</v>
      </c>
      <c r="O13" t="s">
        <v>265</v>
      </c>
      <c r="P13" t="s">
        <v>573</v>
      </c>
      <c r="Q13" t="s">
        <v>575</v>
      </c>
      <c r="R13" t="s">
        <v>7</v>
      </c>
      <c r="S13" t="s">
        <v>578</v>
      </c>
      <c r="T13" t="s">
        <v>583</v>
      </c>
      <c r="U13" t="s">
        <v>192</v>
      </c>
    </row>
    <row r="14" spans="1:23">
      <c r="N14" s="4" t="s">
        <v>309</v>
      </c>
      <c r="O14" s="2">
        <f>Q5/SUM($Q$5:$Q$11)</f>
        <v>0.32183908045977011</v>
      </c>
      <c r="P14" s="6">
        <v>0</v>
      </c>
      <c r="Q14" s="2">
        <f>$B$35*W5</f>
        <v>1.0294117647058823E-2</v>
      </c>
      <c r="R14" s="2">
        <v>0.5</v>
      </c>
      <c r="S14" s="2">
        <v>0</v>
      </c>
      <c r="T14" s="2">
        <v>0</v>
      </c>
      <c r="U14" s="2">
        <v>0</v>
      </c>
    </row>
    <row r="15" spans="1:23">
      <c r="N15" s="4" t="s">
        <v>310</v>
      </c>
      <c r="O15" s="2">
        <f t="shared" ref="O15:O19" si="1">Q6/SUM($Q$5:$Q$11)</f>
        <v>0.11494252873563218</v>
      </c>
      <c r="P15" s="6">
        <v>0</v>
      </c>
      <c r="Q15" s="2">
        <f t="shared" ref="Q15:Q19" si="2">$B$35*W6</f>
        <v>1.0294117647058823E-2</v>
      </c>
      <c r="R15" s="2">
        <v>0</v>
      </c>
      <c r="S15" s="2">
        <v>0</v>
      </c>
      <c r="T15" s="2">
        <v>0</v>
      </c>
      <c r="U15" s="2">
        <v>0</v>
      </c>
    </row>
    <row r="16" spans="1:23">
      <c r="B16" s="1" t="s">
        <v>587</v>
      </c>
      <c r="N16" s="4" t="s">
        <v>370</v>
      </c>
      <c r="O16" s="2">
        <f t="shared" si="1"/>
        <v>0.16091954022988506</v>
      </c>
      <c r="P16" s="6">
        <v>0</v>
      </c>
      <c r="Q16" s="2">
        <f t="shared" si="2"/>
        <v>0.10294117647058822</v>
      </c>
      <c r="R16" s="2">
        <v>0</v>
      </c>
      <c r="S16" s="2">
        <v>0</v>
      </c>
      <c r="T16" s="2">
        <v>0</v>
      </c>
      <c r="U16" s="2">
        <v>0</v>
      </c>
    </row>
    <row r="17" spans="1:22">
      <c r="A17" t="str">
        <f>N5</f>
        <v>Packaging</v>
      </c>
      <c r="B17" s="2">
        <f>Q5/SUM($Q$5:$Q$11)</f>
        <v>0.32183908045977011</v>
      </c>
      <c r="D17" t="s">
        <v>588</v>
      </c>
      <c r="N17" s="4" t="s">
        <v>582</v>
      </c>
      <c r="O17" s="2">
        <f t="shared" si="1"/>
        <v>6.8965517241379309E-2</v>
      </c>
      <c r="P17" s="6">
        <v>0</v>
      </c>
      <c r="Q17" s="2">
        <f t="shared" si="2"/>
        <v>0.10294117647058822</v>
      </c>
      <c r="R17" s="2">
        <v>0</v>
      </c>
      <c r="S17" s="2">
        <v>0</v>
      </c>
      <c r="T17" s="2">
        <v>0</v>
      </c>
      <c r="U17" s="2">
        <v>0</v>
      </c>
    </row>
    <row r="18" spans="1:22">
      <c r="A18" t="str">
        <f t="shared" ref="A18:A23" si="3">N6</f>
        <v>Building &amp; Construction</v>
      </c>
      <c r="B18" s="2">
        <f t="shared" ref="B18:B23" si="4">Q6/SUM($Q$5:$Q$11)</f>
        <v>0.11494252873563218</v>
      </c>
      <c r="N18" s="4" t="s">
        <v>585</v>
      </c>
      <c r="O18" s="2">
        <f>Q9/SUM($Q$5:$Q$11)</f>
        <v>8.0459770114942528E-2</v>
      </c>
      <c r="P18" s="6">
        <v>1</v>
      </c>
      <c r="Q18" s="2">
        <f t="shared" si="2"/>
        <v>0</v>
      </c>
      <c r="R18" s="2">
        <v>0</v>
      </c>
      <c r="S18" s="2">
        <v>0</v>
      </c>
      <c r="T18" s="2">
        <v>0</v>
      </c>
      <c r="U18" s="2">
        <v>0</v>
      </c>
    </row>
    <row r="19" spans="1:22">
      <c r="A19" t="str">
        <f t="shared" si="3"/>
        <v>Automotive</v>
      </c>
      <c r="B19" s="2">
        <f t="shared" si="4"/>
        <v>0.16091954022988506</v>
      </c>
      <c r="N19" s="4" t="s">
        <v>313</v>
      </c>
      <c r="O19" s="2">
        <f t="shared" si="1"/>
        <v>9.1954022988505746E-2</v>
      </c>
      <c r="P19" s="6">
        <v>0</v>
      </c>
      <c r="Q19" s="2">
        <f t="shared" si="2"/>
        <v>2.0588235294117647E-2</v>
      </c>
      <c r="R19" s="2">
        <v>0</v>
      </c>
      <c r="S19" s="2">
        <v>1</v>
      </c>
      <c r="T19" s="2">
        <v>1</v>
      </c>
      <c r="U19" s="2">
        <v>0</v>
      </c>
    </row>
    <row r="20" spans="1:22">
      <c r="A20" t="str">
        <f t="shared" si="3"/>
        <v>Electricl &amp; Electronics</v>
      </c>
      <c r="B20" s="2">
        <f t="shared" si="4"/>
        <v>6.8965517241379309E-2</v>
      </c>
      <c r="N20" s="4" t="s">
        <v>329</v>
      </c>
      <c r="O20" s="6">
        <v>0</v>
      </c>
      <c r="P20" s="6">
        <v>0</v>
      </c>
      <c r="Q20" s="6">
        <f>B34</f>
        <v>0.3</v>
      </c>
      <c r="R20" s="2">
        <v>0</v>
      </c>
      <c r="S20" s="2">
        <v>0</v>
      </c>
      <c r="T20" s="2">
        <v>0</v>
      </c>
      <c r="U20" s="2">
        <v>0</v>
      </c>
    </row>
    <row r="21" spans="1:22">
      <c r="A21" t="str">
        <f t="shared" si="3"/>
        <v>Agriculture</v>
      </c>
      <c r="B21" s="2">
        <f t="shared" si="4"/>
        <v>8.0459770114942528E-2</v>
      </c>
      <c r="N21" s="4" t="s">
        <v>248</v>
      </c>
      <c r="O21" s="2">
        <f>Q11/SUM($Q$5:$Q$11)</f>
        <v>0.16091954022988506</v>
      </c>
      <c r="P21" s="6">
        <v>0</v>
      </c>
      <c r="Q21" s="2">
        <f>($B$35*W11)+B36+B37</f>
        <v>0.45294117647058824</v>
      </c>
      <c r="R21" s="2">
        <v>0.5</v>
      </c>
      <c r="S21" s="2">
        <v>0</v>
      </c>
      <c r="T21" s="2">
        <v>0</v>
      </c>
      <c r="U21" s="2">
        <v>1</v>
      </c>
    </row>
    <row r="22" spans="1:22">
      <c r="A22" t="str">
        <f t="shared" si="3"/>
        <v>Household, leisure &amp; sports</v>
      </c>
      <c r="B22" s="2">
        <f t="shared" si="4"/>
        <v>9.1954022988505746E-2</v>
      </c>
    </row>
    <row r="23" spans="1:22">
      <c r="A23" t="str">
        <f t="shared" si="3"/>
        <v>Others</v>
      </c>
      <c r="B23" s="2">
        <f t="shared" si="4"/>
        <v>0.16091954022988506</v>
      </c>
    </row>
    <row r="24" spans="1:22">
      <c r="B24" s="2"/>
      <c r="N24" s="4" t="s">
        <v>392</v>
      </c>
      <c r="O24" t="str">
        <f>O13</f>
        <v>Polypropylene</v>
      </c>
      <c r="P24" t="str">
        <f t="shared" ref="P24:U24" si="5">P13</f>
        <v>Propenic Acid</v>
      </c>
      <c r="Q24" t="str">
        <f t="shared" si="5"/>
        <v>Propenonitrile</v>
      </c>
      <c r="R24" t="str">
        <f t="shared" si="5"/>
        <v>Benzene</v>
      </c>
      <c r="S24" t="str">
        <f t="shared" si="5"/>
        <v>Epoxypropane</v>
      </c>
      <c r="T24" t="str">
        <f t="shared" si="5"/>
        <v>Butanol</v>
      </c>
      <c r="U24" t="str">
        <f t="shared" si="5"/>
        <v>Other</v>
      </c>
      <c r="V24" s="1" t="s">
        <v>364</v>
      </c>
    </row>
    <row r="25" spans="1:22">
      <c r="N25" t="str">
        <f>N14</f>
        <v>Packaging</v>
      </c>
      <c r="O25" s="2">
        <f>O14*$B$4</f>
        <v>0.21563218390804598</v>
      </c>
      <c r="P25" s="6">
        <f>P14*$B$5</f>
        <v>0</v>
      </c>
      <c r="Q25" s="6">
        <f>Q14*$B$6</f>
        <v>6.1764705882352941E-4</v>
      </c>
      <c r="R25" s="6">
        <f>$B$7*R14</f>
        <v>0.02</v>
      </c>
      <c r="S25" s="6">
        <f>S14*$B$8</f>
        <v>0</v>
      </c>
      <c r="T25" s="6">
        <f>T14*$B$9</f>
        <v>0</v>
      </c>
      <c r="U25" s="6">
        <f>U14*$B$10</f>
        <v>0</v>
      </c>
      <c r="V25" s="6">
        <f>SUM(O25:U25)</f>
        <v>0.2362498309668695</v>
      </c>
    </row>
    <row r="26" spans="1:22">
      <c r="B26" s="1" t="s">
        <v>589</v>
      </c>
      <c r="N26" t="str">
        <f t="shared" ref="N26:N31" si="6">N15</f>
        <v>Building &amp; Construction</v>
      </c>
      <c r="O26" s="2">
        <f t="shared" ref="O26:O32" si="7">O15*$B$4</f>
        <v>7.7011494252873569E-2</v>
      </c>
      <c r="P26" s="6">
        <f t="shared" ref="P26:P32" si="8">P15*$B$5</f>
        <v>0</v>
      </c>
      <c r="Q26" s="6">
        <f t="shared" ref="Q26:Q32" si="9">Q15*$B$6</f>
        <v>6.1764705882352941E-4</v>
      </c>
      <c r="R26" s="6">
        <f t="shared" ref="R26:R32" si="10">$B$7*R15</f>
        <v>0</v>
      </c>
      <c r="S26" s="6">
        <f t="shared" ref="S26:S32" si="11">S15*$B$8</f>
        <v>0</v>
      </c>
      <c r="T26" s="6">
        <f t="shared" ref="T26:T32" si="12">T15*$B$9</f>
        <v>0</v>
      </c>
      <c r="U26" s="6">
        <f t="shared" ref="U26:U32" si="13">U15*$B$10</f>
        <v>0</v>
      </c>
      <c r="V26" s="6">
        <f t="shared" ref="V26:V32" si="14">SUM(O26:U26)</f>
        <v>7.7629141311697097E-2</v>
      </c>
    </row>
    <row r="27" spans="1:22">
      <c r="A27" t="s">
        <v>590</v>
      </c>
      <c r="B27" s="6">
        <v>0.5</v>
      </c>
      <c r="D27" t="s">
        <v>591</v>
      </c>
      <c r="N27" t="str">
        <f t="shared" si="6"/>
        <v>Automotive</v>
      </c>
      <c r="O27" s="2">
        <f t="shared" si="7"/>
        <v>0.10781609195402299</v>
      </c>
      <c r="P27" s="6">
        <f t="shared" si="8"/>
        <v>0</v>
      </c>
      <c r="Q27" s="6">
        <f t="shared" si="9"/>
        <v>6.1764705882352928E-3</v>
      </c>
      <c r="R27" s="6">
        <f t="shared" si="10"/>
        <v>0</v>
      </c>
      <c r="S27" s="6">
        <f t="shared" si="11"/>
        <v>0</v>
      </c>
      <c r="T27" s="6">
        <f t="shared" si="12"/>
        <v>0</v>
      </c>
      <c r="U27" s="6">
        <f t="shared" si="13"/>
        <v>0</v>
      </c>
      <c r="V27" s="6">
        <f t="shared" si="14"/>
        <v>0.11399256254225829</v>
      </c>
    </row>
    <row r="28" spans="1:22">
      <c r="A28" t="s">
        <v>592</v>
      </c>
      <c r="B28" s="6">
        <v>0.35</v>
      </c>
      <c r="N28" t="str">
        <f t="shared" si="6"/>
        <v>Electricl &amp; Electronics</v>
      </c>
      <c r="O28" s="2">
        <f t="shared" si="7"/>
        <v>4.6206896551724143E-2</v>
      </c>
      <c r="P28" s="6">
        <f t="shared" si="8"/>
        <v>0</v>
      </c>
      <c r="Q28" s="6">
        <f t="shared" si="9"/>
        <v>6.1764705882352928E-3</v>
      </c>
      <c r="R28" s="6">
        <f t="shared" si="10"/>
        <v>0</v>
      </c>
      <c r="S28" s="6">
        <f t="shared" si="11"/>
        <v>0</v>
      </c>
      <c r="T28" s="6">
        <f t="shared" si="12"/>
        <v>0</v>
      </c>
      <c r="U28" s="6">
        <f t="shared" si="13"/>
        <v>0</v>
      </c>
      <c r="V28" s="6">
        <f t="shared" si="14"/>
        <v>5.2383367139959433E-2</v>
      </c>
    </row>
    <row r="29" spans="1:22">
      <c r="A29" t="s">
        <v>593</v>
      </c>
      <c r="B29" s="6">
        <v>0.1</v>
      </c>
      <c r="N29" t="str">
        <f t="shared" si="6"/>
        <v>Agriculture</v>
      </c>
      <c r="O29" s="2">
        <f t="shared" si="7"/>
        <v>5.3908045977011494E-2</v>
      </c>
      <c r="P29" s="6">
        <f t="shared" si="8"/>
        <v>0.05</v>
      </c>
      <c r="Q29" s="6">
        <f t="shared" si="9"/>
        <v>0</v>
      </c>
      <c r="R29" s="6">
        <f t="shared" si="10"/>
        <v>0</v>
      </c>
      <c r="S29" s="6">
        <f t="shared" si="11"/>
        <v>0</v>
      </c>
      <c r="T29" s="6">
        <f t="shared" si="12"/>
        <v>0</v>
      </c>
      <c r="U29" s="6">
        <f t="shared" si="13"/>
        <v>0</v>
      </c>
      <c r="V29" s="6">
        <f t="shared" si="14"/>
        <v>0.1039080459770115</v>
      </c>
    </row>
    <row r="30" spans="1:22">
      <c r="A30" t="s">
        <v>192</v>
      </c>
      <c r="B30" s="6">
        <v>0.05</v>
      </c>
      <c r="N30" t="str">
        <f t="shared" si="6"/>
        <v>Household, leisure &amp; sports</v>
      </c>
      <c r="O30" s="2">
        <f t="shared" si="7"/>
        <v>6.1609195402298852E-2</v>
      </c>
      <c r="P30" s="6">
        <f t="shared" si="8"/>
        <v>0</v>
      </c>
      <c r="Q30" s="6">
        <f t="shared" si="9"/>
        <v>1.2352941176470588E-3</v>
      </c>
      <c r="R30" s="6">
        <f t="shared" si="10"/>
        <v>0</v>
      </c>
      <c r="S30" s="6">
        <f t="shared" si="11"/>
        <v>7.0000000000000007E-2</v>
      </c>
      <c r="T30" s="6">
        <f t="shared" si="12"/>
        <v>0.03</v>
      </c>
      <c r="U30" s="6">
        <f t="shared" si="13"/>
        <v>0</v>
      </c>
      <c r="V30" s="6">
        <f t="shared" si="14"/>
        <v>0.16284448951994593</v>
      </c>
    </row>
    <row r="31" spans="1:22">
      <c r="N31" t="str">
        <f t="shared" si="6"/>
        <v>Textiles</v>
      </c>
      <c r="O31" s="2">
        <f t="shared" si="7"/>
        <v>0</v>
      </c>
      <c r="P31" s="6">
        <f t="shared" si="8"/>
        <v>0</v>
      </c>
      <c r="Q31" s="6">
        <f t="shared" si="9"/>
        <v>1.7999999999999999E-2</v>
      </c>
      <c r="R31" s="6">
        <f t="shared" si="10"/>
        <v>0</v>
      </c>
      <c r="S31" s="6">
        <f t="shared" si="11"/>
        <v>0</v>
      </c>
      <c r="T31" s="6">
        <f t="shared" si="12"/>
        <v>0</v>
      </c>
      <c r="U31" s="6">
        <f t="shared" si="13"/>
        <v>0</v>
      </c>
      <c r="V31" s="6">
        <f t="shared" si="14"/>
        <v>1.7999999999999999E-2</v>
      </c>
    </row>
    <row r="32" spans="1:22">
      <c r="N32" t="str">
        <f>N21</f>
        <v>Others</v>
      </c>
      <c r="O32" s="2">
        <f t="shared" si="7"/>
        <v>0.10781609195402299</v>
      </c>
      <c r="P32" s="6">
        <f t="shared" si="8"/>
        <v>0</v>
      </c>
      <c r="Q32" s="6">
        <f t="shared" si="9"/>
        <v>2.7176470588235292E-2</v>
      </c>
      <c r="R32" s="6">
        <f t="shared" si="10"/>
        <v>0.02</v>
      </c>
      <c r="S32" s="6">
        <f t="shared" si="11"/>
        <v>0</v>
      </c>
      <c r="T32" s="6">
        <f t="shared" si="12"/>
        <v>0</v>
      </c>
      <c r="U32" s="6">
        <f t="shared" si="13"/>
        <v>0.08</v>
      </c>
      <c r="V32" s="6">
        <f t="shared" si="14"/>
        <v>0.23499256254225825</v>
      </c>
    </row>
    <row r="33" spans="1:12">
      <c r="B33" s="1" t="s">
        <v>594</v>
      </c>
      <c r="C33" t="s">
        <v>563</v>
      </c>
      <c r="D33" t="s">
        <v>595</v>
      </c>
    </row>
    <row r="34" spans="1:12">
      <c r="A34" t="s">
        <v>596</v>
      </c>
      <c r="B34" s="6">
        <v>0.3</v>
      </c>
      <c r="C34" t="s">
        <v>597</v>
      </c>
    </row>
    <row r="35" spans="1:12">
      <c r="A35" t="s">
        <v>598</v>
      </c>
      <c r="B35" s="6">
        <v>0.35</v>
      </c>
      <c r="C35" t="s">
        <v>599</v>
      </c>
    </row>
    <row r="36" spans="1:12">
      <c r="A36" t="s">
        <v>600</v>
      </c>
      <c r="B36" s="6">
        <v>0.15</v>
      </c>
      <c r="C36" t="s">
        <v>601</v>
      </c>
    </row>
    <row r="37" spans="1:12">
      <c r="A37" t="s">
        <v>192</v>
      </c>
      <c r="B37" s="6">
        <v>0.2</v>
      </c>
    </row>
    <row r="41" spans="1:12">
      <c r="L41" s="4"/>
    </row>
    <row r="43" spans="1:12">
      <c r="A43" s="11"/>
      <c r="B43" s="12" t="s">
        <v>602</v>
      </c>
      <c r="C43" s="37" t="s">
        <v>603</v>
      </c>
      <c r="D43" s="37" t="s">
        <v>46</v>
      </c>
      <c r="E43" s="37" t="s">
        <v>604</v>
      </c>
      <c r="H43" s="37" t="s">
        <v>603</v>
      </c>
      <c r="I43" s="37" t="s">
        <v>46</v>
      </c>
      <c r="J43" s="37" t="s">
        <v>604</v>
      </c>
    </row>
    <row r="44" spans="1:12">
      <c r="A44" s="15" t="str">
        <f>N25</f>
        <v>Packaging</v>
      </c>
      <c r="B44" s="14">
        <f>V25</f>
        <v>0.2362498309668695</v>
      </c>
      <c r="C44" s="38">
        <f>B44*$C$52</f>
        <v>26.441808004368855</v>
      </c>
      <c r="D44" s="40">
        <f>'Demand Breakdown - Ethylene'!L63</f>
        <v>1.4E-2</v>
      </c>
      <c r="E44" s="38">
        <f>C44*(1+D44)^30</f>
        <v>40.126362975944488</v>
      </c>
      <c r="F44" s="2">
        <f>E44/$E$52</f>
        <v>0.25078976859965307</v>
      </c>
      <c r="H44" s="38">
        <f>C44</f>
        <v>26.441808004368855</v>
      </c>
      <c r="I44" s="40">
        <v>2.6700000000000002E-2</v>
      </c>
      <c r="J44" s="38">
        <f>H44*(1+I44)^30</f>
        <v>58.290530539188026</v>
      </c>
    </row>
    <row r="45" spans="1:12">
      <c r="A45" s="15" t="str">
        <f t="shared" ref="A45:A51" si="15">N26</f>
        <v>Building &amp; Construction</v>
      </c>
      <c r="B45" s="14">
        <f t="shared" ref="B45:B51" si="16">V26</f>
        <v>7.7629141311697097E-2</v>
      </c>
      <c r="C45" s="38">
        <f t="shared" ref="C45:C51" si="17">B45*$C$52</f>
        <v>8.6884923545014825</v>
      </c>
      <c r="D45" s="40">
        <f>'Demand Breakdown - Ethylene'!L64</f>
        <v>1.7000000000000001E-2</v>
      </c>
      <c r="E45" s="38">
        <f t="shared" ref="E45:E46" si="18">C45*(1+D45)^30</f>
        <v>14.406981913997184</v>
      </c>
      <c r="F45" s="2">
        <f t="shared" ref="F45:F51" si="19">E45/$E$52</f>
        <v>9.0043636962482396E-2</v>
      </c>
      <c r="H45" s="38">
        <f t="shared" ref="H45:H51" si="20">C45</f>
        <v>8.6884923545014825</v>
      </c>
      <c r="I45" s="40">
        <f>D45</f>
        <v>1.7000000000000001E-2</v>
      </c>
      <c r="J45" s="38">
        <f t="shared" ref="J45:J51" si="21">H45*(1+I45)^30</f>
        <v>14.406981913997184</v>
      </c>
    </row>
    <row r="46" spans="1:12">
      <c r="A46" s="15" t="str">
        <f t="shared" si="15"/>
        <v>Automotive</v>
      </c>
      <c r="B46" s="14">
        <f>V27</f>
        <v>0.11399256254225829</v>
      </c>
      <c r="C46" s="38">
        <f t="shared" si="17"/>
        <v>12.758398346075831</v>
      </c>
      <c r="D46" s="40">
        <f>'Demand Breakdown - Ethylene'!L65</f>
        <v>1.7000000000000001E-2</v>
      </c>
      <c r="E46" s="38">
        <f t="shared" si="18"/>
        <v>21.155570693257808</v>
      </c>
      <c r="F46" s="2">
        <f t="shared" si="19"/>
        <v>0.13222231683286129</v>
      </c>
      <c r="H46" s="38">
        <f t="shared" si="20"/>
        <v>12.758398346075831</v>
      </c>
      <c r="I46" s="40">
        <v>3.5000000000000003E-2</v>
      </c>
      <c r="J46" s="38">
        <f t="shared" si="21"/>
        <v>35.810192159854054</v>
      </c>
    </row>
    <row r="47" spans="1:12">
      <c r="A47" s="15" t="str">
        <f t="shared" si="15"/>
        <v>Electricl &amp; Electronics</v>
      </c>
      <c r="B47" s="14">
        <f t="shared" si="16"/>
        <v>5.2383367139959433E-2</v>
      </c>
      <c r="C47" s="38">
        <f t="shared" si="17"/>
        <v>5.8629076298954592</v>
      </c>
      <c r="D47" s="40">
        <f>(E47/C47)^(1/30)-1</f>
        <v>7.1074306653624575E-3</v>
      </c>
      <c r="E47" s="38">
        <f>($E$52-$E$44-$E$45-$E$46-$E$49)*(C47/SUM($C$47:$C$48,$C$50:$C$51))</f>
        <v>7.2508189480331273</v>
      </c>
      <c r="F47" s="2">
        <f t="shared" si="19"/>
        <v>4.5317618425207047E-2</v>
      </c>
      <c r="H47" s="38">
        <f t="shared" si="20"/>
        <v>5.8629076298954592</v>
      </c>
      <c r="I47" s="40">
        <f>$D$52</f>
        <v>1.1983297655736136E-2</v>
      </c>
      <c r="J47" s="38">
        <f t="shared" si="21"/>
        <v>8.381338742393476</v>
      </c>
    </row>
    <row r="48" spans="1:12">
      <c r="A48" s="15" t="str">
        <f t="shared" si="15"/>
        <v>Agriculture</v>
      </c>
      <c r="B48" s="14">
        <f t="shared" si="16"/>
        <v>0.1039080459770115</v>
      </c>
      <c r="C48" s="38">
        <f t="shared" si="17"/>
        <v>11.629708222811672</v>
      </c>
      <c r="D48" s="40">
        <f>(E48/C48)^(1/30)-1</f>
        <v>7.1074306653624575E-3</v>
      </c>
      <c r="E48" s="38">
        <f>($E$52-$E$44-$E$45-$E$46-$E$49)*(C48/SUM($C$47:$C$48,$C$50:$C$51))</f>
        <v>14.382779682913599</v>
      </c>
      <c r="F48" s="2">
        <f t="shared" si="19"/>
        <v>8.9892373018209987E-2</v>
      </c>
      <c r="H48" s="38">
        <f t="shared" si="20"/>
        <v>11.629708222811672</v>
      </c>
      <c r="I48" s="40">
        <f t="shared" ref="I48:I51" si="22">$D$52</f>
        <v>1.1983297655736136E-2</v>
      </c>
      <c r="J48" s="38">
        <f t="shared" si="21"/>
        <v>16.625287356321778</v>
      </c>
    </row>
    <row r="49" spans="1:16">
      <c r="A49" s="15" t="str">
        <f t="shared" si="15"/>
        <v>Household, leisure &amp; sports</v>
      </c>
      <c r="B49" s="14">
        <f t="shared" si="16"/>
        <v>0.16284448951994593</v>
      </c>
      <c r="C49" s="38">
        <f t="shared" si="17"/>
        <v>18.226056327040101</v>
      </c>
      <c r="D49" s="40">
        <f>D44</f>
        <v>1.4E-2</v>
      </c>
      <c r="E49" s="38">
        <f t="shared" ref="E49" si="23">C49*(1+D49)^30</f>
        <v>27.658674160177853</v>
      </c>
      <c r="F49" s="2">
        <f t="shared" si="19"/>
        <v>0.17286671350111157</v>
      </c>
      <c r="H49" s="38">
        <f t="shared" si="20"/>
        <v>18.226056327040101</v>
      </c>
      <c r="I49" s="40">
        <f t="shared" si="22"/>
        <v>1.1983297655736136E-2</v>
      </c>
      <c r="J49" s="38">
        <f t="shared" si="21"/>
        <v>26.055118323191248</v>
      </c>
    </row>
    <row r="50" spans="1:16">
      <c r="A50" s="15" t="str">
        <f t="shared" si="15"/>
        <v>Textiles</v>
      </c>
      <c r="B50" s="14">
        <f>V31</f>
        <v>1.7999999999999999E-2</v>
      </c>
      <c r="C50" s="38">
        <f t="shared" si="17"/>
        <v>2.0146153846153845</v>
      </c>
      <c r="D50" s="40">
        <f t="shared" ref="D50:D51" si="24">(E50/C50)^(1/30)-1</f>
        <v>7.1074306653624575E-3</v>
      </c>
      <c r="E50" s="38">
        <f>($E$52-$E$44-$E$45-$E$46-$E$49)*(C50/SUM($C$47:$C$48,$C$50:$C$51))</f>
        <v>2.4915301972834838</v>
      </c>
      <c r="F50" s="2">
        <f t="shared" si="19"/>
        <v>1.5572063733021774E-2</v>
      </c>
      <c r="H50" s="38">
        <f t="shared" si="20"/>
        <v>2.0146153846153845</v>
      </c>
      <c r="I50" s="40">
        <f t="shared" si="22"/>
        <v>1.1983297655736136E-2</v>
      </c>
      <c r="J50" s="38">
        <f t="shared" si="21"/>
        <v>2.8799999999999888</v>
      </c>
    </row>
    <row r="51" spans="1:16">
      <c r="A51" s="18" t="str">
        <f t="shared" si="15"/>
        <v>Others</v>
      </c>
      <c r="B51" s="17">
        <f t="shared" si="16"/>
        <v>0.23499256254225825</v>
      </c>
      <c r="C51" s="38">
        <f t="shared" si="17"/>
        <v>26.301090653768135</v>
      </c>
      <c r="D51" s="40">
        <f t="shared" si="24"/>
        <v>7.1074306653624575E-3</v>
      </c>
      <c r="E51" s="38">
        <f>($E$52-$E$44-$E$45-$E$46-$E$49)*(C51/SUM($C$47:$C$48,$C$50:$C$51))</f>
        <v>32.527281428392456</v>
      </c>
      <c r="F51" s="2">
        <f t="shared" si="19"/>
        <v>0.20329550892745285</v>
      </c>
      <c r="H51" s="38">
        <f t="shared" si="20"/>
        <v>26.301090653768135</v>
      </c>
      <c r="I51" s="40">
        <f t="shared" si="22"/>
        <v>1.1983297655736136E-2</v>
      </c>
      <c r="J51" s="38">
        <f t="shared" si="21"/>
        <v>37.598810006761177</v>
      </c>
    </row>
    <row r="52" spans="1:16">
      <c r="C52" s="39">
        <f>'Yearly Demand - Eth&amp;Prop'!D5</f>
        <v>111.92307692307692</v>
      </c>
      <c r="D52" s="42">
        <f>(E52/C52)^(1/30)-1</f>
        <v>1.1983297655736136E-2</v>
      </c>
      <c r="E52" s="39">
        <f>'Yearly Demand - Eth&amp;Prop'!J5</f>
        <v>160</v>
      </c>
      <c r="H52" s="39">
        <f>SUM(H44:H51)</f>
        <v>111.92307692307691</v>
      </c>
      <c r="I52" s="42">
        <f>(J52/H52)^(1/30)-1</f>
        <v>1.954681242088574E-2</v>
      </c>
      <c r="J52" s="39">
        <f>SUM(J44:J51)</f>
        <v>200.04825904170693</v>
      </c>
    </row>
    <row r="54" spans="1:16" s="19" customFormat="1" ht="33.5" customHeight="1">
      <c r="A54" s="19" t="s">
        <v>605</v>
      </c>
    </row>
    <row r="57" spans="1:16">
      <c r="B57" s="1" t="s">
        <v>606</v>
      </c>
      <c r="C57" s="1" t="s">
        <v>607</v>
      </c>
      <c r="D57" s="1" t="s">
        <v>608</v>
      </c>
      <c r="E57" s="1" t="s">
        <v>96</v>
      </c>
      <c r="F57" s="1" t="s">
        <v>609</v>
      </c>
      <c r="G57" s="1"/>
      <c r="H57" s="1"/>
    </row>
    <row r="58" spans="1:16">
      <c r="A58" t="s">
        <v>610</v>
      </c>
      <c r="B58" s="6">
        <f>D58*C58</f>
        <v>-7.0874949290060843E-2</v>
      </c>
      <c r="C58" s="6">
        <f>B44</f>
        <v>0.2362498309668695</v>
      </c>
      <c r="D58" s="6">
        <v>-0.3</v>
      </c>
      <c r="E58" t="s">
        <v>99</v>
      </c>
    </row>
    <row r="59" spans="1:16">
      <c r="A59" t="s">
        <v>611</v>
      </c>
      <c r="B59" s="6">
        <f t="shared" ref="B59:B63" si="25">D59*C59</f>
        <v>-4.0162471264367818E-2</v>
      </c>
      <c r="C59" s="6">
        <f>B44</f>
        <v>0.2362498309668695</v>
      </c>
      <c r="D59" s="6">
        <v>-0.17</v>
      </c>
      <c r="E59" t="s">
        <v>99</v>
      </c>
    </row>
    <row r="60" spans="1:16">
      <c r="A60" t="s">
        <v>612</v>
      </c>
      <c r="B60" s="6">
        <f t="shared" si="25"/>
        <v>0</v>
      </c>
      <c r="C60" s="6">
        <f>B46</f>
        <v>0.11399256254225829</v>
      </c>
      <c r="D60" s="6">
        <v>0</v>
      </c>
      <c r="E60" t="s">
        <v>613</v>
      </c>
      <c r="F60" t="s">
        <v>614</v>
      </c>
      <c r="P60" s="1" t="s">
        <v>615</v>
      </c>
    </row>
    <row r="61" spans="1:16">
      <c r="A61" t="s">
        <v>616</v>
      </c>
      <c r="B61" s="6">
        <f t="shared" si="25"/>
        <v>-6.1456859805391423E-2</v>
      </c>
      <c r="C61" s="6">
        <f>B46</f>
        <v>0.11399256254225829</v>
      </c>
      <c r="D61" s="6">
        <f>-P63</f>
        <v>-0.53913043478260869</v>
      </c>
      <c r="E61" t="s">
        <v>617</v>
      </c>
      <c r="O61" t="s">
        <v>618</v>
      </c>
      <c r="P61" s="20">
        <v>0.33333333333333326</v>
      </c>
    </row>
    <row r="62" spans="1:16">
      <c r="A62" t="s">
        <v>329</v>
      </c>
      <c r="B62" s="6">
        <f t="shared" si="25"/>
        <v>-1.6199999999999999E-2</v>
      </c>
      <c r="C62" s="6">
        <f>B50</f>
        <v>1.7999999999999999E-2</v>
      </c>
      <c r="D62" s="6">
        <v>-0.9</v>
      </c>
      <c r="E62" t="s">
        <v>619</v>
      </c>
      <c r="F62" t="s">
        <v>620</v>
      </c>
      <c r="O62" t="s">
        <v>621</v>
      </c>
      <c r="P62" s="21">
        <f>P63-P61</f>
        <v>0.20579710144927543</v>
      </c>
    </row>
    <row r="63" spans="1:16">
      <c r="A63" t="s">
        <v>622</v>
      </c>
      <c r="B63" s="6" t="e">
        <f t="shared" si="25"/>
        <v>#VALUE!</v>
      </c>
      <c r="C63" s="6">
        <f>B45</f>
        <v>7.7629141311697097E-2</v>
      </c>
      <c r="D63" t="s">
        <v>623</v>
      </c>
      <c r="O63" t="s">
        <v>624</v>
      </c>
      <c r="P63" s="20">
        <v>0.53913043478260869</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6"/>
  <sheetViews>
    <sheetView workbookViewId="0">
      <selection activeCell="E8" sqref="E8"/>
    </sheetView>
  </sheetViews>
  <sheetFormatPr baseColWidth="10" defaultColWidth="8.83203125" defaultRowHeight="15"/>
  <cols>
    <col min="1" max="1" width="23.5" bestFit="1" customWidth="1"/>
    <col min="2" max="2" width="24.1640625" bestFit="1" customWidth="1"/>
    <col min="3" max="3" width="29.83203125" customWidth="1"/>
    <col min="4" max="4" width="20.1640625" bestFit="1" customWidth="1"/>
    <col min="5" max="5" width="41.1640625" bestFit="1" customWidth="1"/>
    <col min="14" max="14" width="26.5" bestFit="1" customWidth="1"/>
    <col min="15" max="20" width="18" customWidth="1"/>
    <col min="21" max="21" width="23.83203125" bestFit="1" customWidth="1"/>
    <col min="22" max="22" width="20.83203125" customWidth="1"/>
  </cols>
  <sheetData>
    <row r="1" spans="1:22">
      <c r="O1" s="10" t="s">
        <v>4</v>
      </c>
      <c r="P1" s="10" t="s">
        <v>4</v>
      </c>
      <c r="Q1" s="9" t="s">
        <v>5</v>
      </c>
      <c r="R1" s="10" t="s">
        <v>4</v>
      </c>
      <c r="S1" s="10" t="s">
        <v>4</v>
      </c>
      <c r="T1" s="10" t="s">
        <v>4</v>
      </c>
      <c r="U1" s="10" t="s">
        <v>4</v>
      </c>
      <c r="V1" s="9" t="s">
        <v>5</v>
      </c>
    </row>
    <row r="2" spans="1:22">
      <c r="B2" s="1" t="s">
        <v>625</v>
      </c>
      <c r="E2" s="1" t="s">
        <v>564</v>
      </c>
      <c r="N2" s="1" t="s">
        <v>626</v>
      </c>
      <c r="O2" t="s">
        <v>566</v>
      </c>
      <c r="P2" t="s">
        <v>472</v>
      </c>
      <c r="Q2" t="s">
        <v>265</v>
      </c>
      <c r="R2" t="s">
        <v>567</v>
      </c>
      <c r="S2" t="s">
        <v>568</v>
      </c>
      <c r="T2" t="s">
        <v>569</v>
      </c>
      <c r="U2" t="s">
        <v>570</v>
      </c>
      <c r="V2" t="s">
        <v>571</v>
      </c>
    </row>
    <row r="3" spans="1:22">
      <c r="A3" t="s">
        <v>261</v>
      </c>
      <c r="B3" s="2">
        <v>0.6</v>
      </c>
      <c r="N3" t="s">
        <v>309</v>
      </c>
      <c r="O3">
        <v>8</v>
      </c>
      <c r="P3">
        <v>6</v>
      </c>
      <c r="Q3">
        <v>7</v>
      </c>
      <c r="R3">
        <v>3.5</v>
      </c>
      <c r="S3">
        <v>2</v>
      </c>
      <c r="T3">
        <v>3</v>
      </c>
      <c r="U3">
        <v>6.5</v>
      </c>
      <c r="V3">
        <v>0.1</v>
      </c>
    </row>
    <row r="4" spans="1:22">
      <c r="A4" t="s">
        <v>260</v>
      </c>
      <c r="B4" s="2">
        <v>0.17499999999999999</v>
      </c>
      <c r="N4" t="s">
        <v>310</v>
      </c>
      <c r="O4">
        <v>1.5</v>
      </c>
      <c r="P4">
        <v>3.5</v>
      </c>
      <c r="Q4">
        <v>2.5</v>
      </c>
      <c r="R4">
        <v>1</v>
      </c>
      <c r="S4">
        <v>3.5</v>
      </c>
      <c r="T4">
        <v>6.5</v>
      </c>
      <c r="U4">
        <v>0</v>
      </c>
      <c r="V4">
        <v>0.1</v>
      </c>
    </row>
    <row r="5" spans="1:22">
      <c r="A5" t="s">
        <v>627</v>
      </c>
      <c r="B5" s="2">
        <v>0.125</v>
      </c>
      <c r="N5" t="s">
        <v>370</v>
      </c>
      <c r="O5">
        <v>0.75</v>
      </c>
      <c r="P5">
        <v>1</v>
      </c>
      <c r="Q5">
        <v>3.5</v>
      </c>
      <c r="R5">
        <v>0.5</v>
      </c>
      <c r="S5">
        <v>0</v>
      </c>
      <c r="T5">
        <v>0.75</v>
      </c>
      <c r="U5">
        <v>0</v>
      </c>
      <c r="V5">
        <v>1</v>
      </c>
    </row>
    <row r="6" spans="1:22">
      <c r="A6" t="s">
        <v>628</v>
      </c>
      <c r="B6" s="2">
        <v>7.0000000000000007E-2</v>
      </c>
      <c r="N6" t="s">
        <v>312</v>
      </c>
      <c r="O6">
        <v>1</v>
      </c>
      <c r="P6">
        <v>0.5</v>
      </c>
      <c r="Q6">
        <v>1.5</v>
      </c>
      <c r="R6">
        <v>0.5</v>
      </c>
      <c r="S6">
        <v>0</v>
      </c>
      <c r="T6">
        <v>0.25</v>
      </c>
      <c r="U6">
        <v>0</v>
      </c>
      <c r="V6">
        <v>1</v>
      </c>
    </row>
    <row r="7" spans="1:22">
      <c r="A7" t="s">
        <v>192</v>
      </c>
      <c r="B7" s="2">
        <v>0.03</v>
      </c>
      <c r="N7" t="s">
        <v>585</v>
      </c>
      <c r="O7">
        <v>1.5</v>
      </c>
      <c r="P7">
        <v>0</v>
      </c>
      <c r="Q7">
        <v>1.75</v>
      </c>
      <c r="R7">
        <v>0</v>
      </c>
      <c r="S7">
        <v>0</v>
      </c>
      <c r="T7">
        <v>0.5</v>
      </c>
      <c r="U7">
        <v>0</v>
      </c>
      <c r="V7">
        <v>0</v>
      </c>
    </row>
    <row r="8" spans="1:22">
      <c r="A8" s="3"/>
      <c r="B8" s="2"/>
      <c r="E8" t="s">
        <v>629</v>
      </c>
      <c r="N8" t="s">
        <v>313</v>
      </c>
      <c r="O8">
        <v>0.25</v>
      </c>
      <c r="P8">
        <v>1</v>
      </c>
      <c r="Q8">
        <v>2</v>
      </c>
      <c r="R8">
        <v>1</v>
      </c>
      <c r="S8">
        <v>0</v>
      </c>
      <c r="T8">
        <v>1</v>
      </c>
      <c r="U8">
        <v>0</v>
      </c>
      <c r="V8">
        <v>0.2</v>
      </c>
    </row>
    <row r="9" spans="1:22">
      <c r="B9" s="2"/>
      <c r="N9" t="s">
        <v>248</v>
      </c>
      <c r="O9">
        <v>3.5</v>
      </c>
      <c r="P9">
        <v>2</v>
      </c>
      <c r="Q9">
        <v>3.5</v>
      </c>
      <c r="R9">
        <v>1.5</v>
      </c>
      <c r="S9">
        <v>0</v>
      </c>
      <c r="T9">
        <v>1.5</v>
      </c>
      <c r="U9">
        <v>0</v>
      </c>
      <c r="V9">
        <v>1</v>
      </c>
    </row>
    <row r="10" spans="1:22">
      <c r="A10" s="1" t="s">
        <v>630</v>
      </c>
    </row>
    <row r="11" spans="1:22">
      <c r="B11" t="s">
        <v>473</v>
      </c>
      <c r="C11" t="s">
        <v>475</v>
      </c>
      <c r="D11" t="s">
        <v>472</v>
      </c>
    </row>
    <row r="12" spans="1:22">
      <c r="A12" t="s">
        <v>631</v>
      </c>
      <c r="B12">
        <v>18.7</v>
      </c>
      <c r="C12">
        <v>24.1</v>
      </c>
      <c r="D12">
        <v>37.5</v>
      </c>
      <c r="E12" t="s">
        <v>632</v>
      </c>
      <c r="N12" s="1" t="s">
        <v>633</v>
      </c>
      <c r="O12" t="s">
        <v>566</v>
      </c>
      <c r="P12" t="s">
        <v>472</v>
      </c>
      <c r="Q12" t="s">
        <v>634</v>
      </c>
      <c r="R12" t="s">
        <v>480</v>
      </c>
      <c r="S12" t="s">
        <v>474</v>
      </c>
    </row>
    <row r="13" spans="1:22">
      <c r="A13" t="s">
        <v>635</v>
      </c>
      <c r="B13">
        <v>3.2</v>
      </c>
      <c r="C13">
        <v>6.3</v>
      </c>
      <c r="D13">
        <v>7.9</v>
      </c>
      <c r="E13" t="s">
        <v>636</v>
      </c>
      <c r="N13" t="s">
        <v>309</v>
      </c>
      <c r="O13">
        <f>O3</f>
        <v>8</v>
      </c>
      <c r="P13">
        <f>P3</f>
        <v>6</v>
      </c>
      <c r="Q13">
        <f>SUM(R3:S3)</f>
        <v>5.5</v>
      </c>
      <c r="R13">
        <f>T3</f>
        <v>3</v>
      </c>
      <c r="S13">
        <f>U3</f>
        <v>6.5</v>
      </c>
    </row>
    <row r="14" spans="1:22">
      <c r="A14" t="s">
        <v>637</v>
      </c>
      <c r="B14">
        <v>8.27</v>
      </c>
      <c r="D14">
        <v>5.8</v>
      </c>
      <c r="E14" t="s">
        <v>638</v>
      </c>
      <c r="N14" t="s">
        <v>310</v>
      </c>
      <c r="O14">
        <f t="shared" ref="O14:P14" si="0">O4</f>
        <v>1.5</v>
      </c>
      <c r="P14">
        <f t="shared" si="0"/>
        <v>3.5</v>
      </c>
      <c r="Q14">
        <f t="shared" ref="Q14:Q19" si="1">SUM(R4:S4)</f>
        <v>4.5</v>
      </c>
      <c r="R14">
        <f t="shared" ref="R14:S14" si="2">T4</f>
        <v>6.5</v>
      </c>
      <c r="S14">
        <f t="shared" si="2"/>
        <v>0</v>
      </c>
    </row>
    <row r="15" spans="1:22">
      <c r="N15" t="s">
        <v>370</v>
      </c>
      <c r="O15">
        <f t="shared" ref="O15:P15" si="3">O5</f>
        <v>0.75</v>
      </c>
      <c r="P15">
        <f t="shared" si="3"/>
        <v>1</v>
      </c>
      <c r="Q15">
        <f t="shared" si="1"/>
        <v>0.5</v>
      </c>
      <c r="R15">
        <f t="shared" ref="R15:S15" si="4">T5</f>
        <v>0.75</v>
      </c>
      <c r="S15">
        <f t="shared" si="4"/>
        <v>0</v>
      </c>
    </row>
    <row r="16" spans="1:22">
      <c r="B16" s="1" t="s">
        <v>633</v>
      </c>
      <c r="C16" s="1" t="s">
        <v>639</v>
      </c>
      <c r="N16" t="s">
        <v>582</v>
      </c>
      <c r="O16">
        <f t="shared" ref="O16:P16" si="5">O6</f>
        <v>1</v>
      </c>
      <c r="P16">
        <f t="shared" si="5"/>
        <v>0.5</v>
      </c>
      <c r="Q16">
        <f t="shared" si="1"/>
        <v>0.5</v>
      </c>
      <c r="R16">
        <f t="shared" ref="R16:S16" si="6">T6</f>
        <v>0.25</v>
      </c>
      <c r="S16">
        <f t="shared" si="6"/>
        <v>0</v>
      </c>
    </row>
    <row r="17" spans="1:21">
      <c r="A17" t="s">
        <v>640</v>
      </c>
      <c r="B17">
        <f>SUM(B12:C12)</f>
        <v>42.8</v>
      </c>
      <c r="C17" s="2">
        <f>B17/SUM(B17:B18)</f>
        <v>0.53300124533001247</v>
      </c>
      <c r="N17" t="s">
        <v>585</v>
      </c>
      <c r="O17">
        <f t="shared" ref="O17:P17" si="7">O7</f>
        <v>1.5</v>
      </c>
      <c r="P17">
        <f t="shared" si="7"/>
        <v>0</v>
      </c>
      <c r="Q17">
        <f t="shared" si="1"/>
        <v>0</v>
      </c>
      <c r="R17">
        <f t="shared" ref="R17:S17" si="8">T7</f>
        <v>0.5</v>
      </c>
      <c r="S17">
        <f t="shared" si="8"/>
        <v>0</v>
      </c>
    </row>
    <row r="18" spans="1:21">
      <c r="A18" t="s">
        <v>472</v>
      </c>
      <c r="B18">
        <f>D12</f>
        <v>37.5</v>
      </c>
      <c r="C18" s="2">
        <f>1-C17</f>
        <v>0.46699875466998753</v>
      </c>
      <c r="N18" t="s">
        <v>313</v>
      </c>
      <c r="O18">
        <f t="shared" ref="O18:P18" si="9">O8</f>
        <v>0.25</v>
      </c>
      <c r="P18">
        <f t="shared" si="9"/>
        <v>1</v>
      </c>
      <c r="Q18">
        <f t="shared" si="1"/>
        <v>1</v>
      </c>
      <c r="R18">
        <f t="shared" ref="R18:S18" si="10">T8</f>
        <v>1</v>
      </c>
      <c r="S18">
        <f t="shared" si="10"/>
        <v>0</v>
      </c>
    </row>
    <row r="19" spans="1:21">
      <c r="N19" t="s">
        <v>248</v>
      </c>
      <c r="O19">
        <f t="shared" ref="O19:P19" si="11">O9</f>
        <v>3.5</v>
      </c>
      <c r="P19">
        <f t="shared" si="11"/>
        <v>2</v>
      </c>
      <c r="Q19">
        <f t="shared" si="1"/>
        <v>1.5</v>
      </c>
      <c r="R19">
        <f t="shared" ref="R19:S19" si="12">T9</f>
        <v>1.5</v>
      </c>
      <c r="S19">
        <f t="shared" si="12"/>
        <v>0</v>
      </c>
    </row>
    <row r="20" spans="1:21">
      <c r="N20" t="s">
        <v>364</v>
      </c>
      <c r="O20" s="1">
        <f>SUM(O13:O19)</f>
        <v>16.5</v>
      </c>
      <c r="P20" s="1">
        <f t="shared" ref="P20:S20" si="13">SUM(P13:P19)</f>
        <v>14</v>
      </c>
      <c r="Q20" s="1">
        <f t="shared" si="13"/>
        <v>13.5</v>
      </c>
      <c r="R20" s="1">
        <f t="shared" si="13"/>
        <v>13.5</v>
      </c>
      <c r="S20" s="1">
        <f t="shared" si="13"/>
        <v>6.5</v>
      </c>
    </row>
    <row r="22" spans="1:21">
      <c r="B22" s="1" t="s">
        <v>641</v>
      </c>
    </row>
    <row r="23" spans="1:21">
      <c r="A23" t="s">
        <v>642</v>
      </c>
      <c r="B23" s="2">
        <v>0.86</v>
      </c>
      <c r="C23" t="s">
        <v>643</v>
      </c>
      <c r="E23" t="s">
        <v>644</v>
      </c>
      <c r="N23" s="1" t="s">
        <v>586</v>
      </c>
      <c r="O23" t="s">
        <v>566</v>
      </c>
      <c r="P23" t="s">
        <v>472</v>
      </c>
      <c r="Q23" t="s">
        <v>634</v>
      </c>
      <c r="R23" t="s">
        <v>480</v>
      </c>
      <c r="S23" t="s">
        <v>642</v>
      </c>
      <c r="T23" t="s">
        <v>474</v>
      </c>
      <c r="U23" t="s">
        <v>192</v>
      </c>
    </row>
    <row r="24" spans="1:21">
      <c r="A24" t="s">
        <v>645</v>
      </c>
      <c r="B24" s="2">
        <v>0.08</v>
      </c>
      <c r="N24" t="s">
        <v>309</v>
      </c>
      <c r="O24" s="2">
        <f>O13/O$20</f>
        <v>0.48484848484848486</v>
      </c>
      <c r="P24" s="2">
        <f t="shared" ref="P24:R24" si="14">P13/P$20</f>
        <v>0.42857142857142855</v>
      </c>
      <c r="Q24" s="2">
        <f>Q13/Q$20</f>
        <v>0.40740740740740738</v>
      </c>
      <c r="R24" s="2">
        <f t="shared" si="14"/>
        <v>0.22222222222222221</v>
      </c>
      <c r="S24" s="6">
        <v>0</v>
      </c>
      <c r="T24" s="2">
        <f t="shared" ref="T24:T29" si="15">S13/S$20</f>
        <v>1</v>
      </c>
      <c r="U24" s="2">
        <v>0</v>
      </c>
    </row>
    <row r="25" spans="1:21">
      <c r="A25" t="s">
        <v>248</v>
      </c>
      <c r="B25" s="2">
        <v>0.06</v>
      </c>
      <c r="E25" t="s">
        <v>646</v>
      </c>
      <c r="N25" t="s">
        <v>310</v>
      </c>
      <c r="O25" s="2">
        <f t="shared" ref="O25:R29" si="16">O14/O$20</f>
        <v>9.0909090909090912E-2</v>
      </c>
      <c r="P25" s="2">
        <f t="shared" si="16"/>
        <v>0.25</v>
      </c>
      <c r="Q25" s="2">
        <f t="shared" si="16"/>
        <v>0.33333333333333331</v>
      </c>
      <c r="R25" s="2">
        <f t="shared" si="16"/>
        <v>0.48148148148148145</v>
      </c>
      <c r="S25" s="6">
        <v>0</v>
      </c>
      <c r="T25" s="2">
        <f t="shared" si="15"/>
        <v>0</v>
      </c>
      <c r="U25" s="2">
        <v>0</v>
      </c>
    </row>
    <row r="26" spans="1:21">
      <c r="A26" s="4"/>
      <c r="N26" t="s">
        <v>370</v>
      </c>
      <c r="O26" s="2">
        <f t="shared" si="16"/>
        <v>4.5454545454545456E-2</v>
      </c>
      <c r="P26" s="2">
        <f t="shared" si="16"/>
        <v>7.1428571428571425E-2</v>
      </c>
      <c r="Q26" s="2">
        <f t="shared" si="16"/>
        <v>3.7037037037037035E-2</v>
      </c>
      <c r="R26" s="2">
        <f t="shared" si="16"/>
        <v>5.5555555555555552E-2</v>
      </c>
      <c r="S26" s="6">
        <v>0</v>
      </c>
      <c r="T26" s="2">
        <f t="shared" si="15"/>
        <v>0</v>
      </c>
      <c r="U26" s="2">
        <v>0</v>
      </c>
    </row>
    <row r="27" spans="1:21">
      <c r="B27" s="1" t="s">
        <v>647</v>
      </c>
      <c r="N27" t="s">
        <v>312</v>
      </c>
      <c r="O27" s="2">
        <f t="shared" si="16"/>
        <v>6.0606060606060608E-2</v>
      </c>
      <c r="P27" s="2">
        <f t="shared" si="16"/>
        <v>3.5714285714285712E-2</v>
      </c>
      <c r="Q27" s="2">
        <f t="shared" si="16"/>
        <v>3.7037037037037035E-2</v>
      </c>
      <c r="R27" s="2">
        <f t="shared" si="16"/>
        <v>1.8518518518518517E-2</v>
      </c>
      <c r="S27" s="6">
        <v>0</v>
      </c>
      <c r="T27" s="2">
        <f t="shared" si="15"/>
        <v>0</v>
      </c>
      <c r="U27" s="2">
        <v>0</v>
      </c>
    </row>
    <row r="28" spans="1:21">
      <c r="A28" t="s">
        <v>480</v>
      </c>
      <c r="B28" s="2">
        <v>0.96</v>
      </c>
      <c r="N28" t="s">
        <v>585</v>
      </c>
      <c r="O28" s="2">
        <f t="shared" si="16"/>
        <v>9.0909090909090912E-2</v>
      </c>
      <c r="P28" s="2">
        <f t="shared" si="16"/>
        <v>0</v>
      </c>
      <c r="Q28" s="2">
        <f t="shared" si="16"/>
        <v>0</v>
      </c>
      <c r="R28" s="2">
        <f t="shared" si="16"/>
        <v>3.7037037037037035E-2</v>
      </c>
      <c r="S28" s="6">
        <v>0</v>
      </c>
      <c r="T28" s="2">
        <f t="shared" si="15"/>
        <v>0</v>
      </c>
      <c r="U28" s="2">
        <v>0</v>
      </c>
    </row>
    <row r="29" spans="1:21">
      <c r="A29" t="s">
        <v>248</v>
      </c>
      <c r="B29" s="2">
        <v>0.04</v>
      </c>
      <c r="E29" s="5" t="s">
        <v>648</v>
      </c>
      <c r="N29" t="s">
        <v>313</v>
      </c>
      <c r="O29" s="2">
        <f t="shared" si="16"/>
        <v>1.5151515151515152E-2</v>
      </c>
      <c r="P29" s="2">
        <f t="shared" si="16"/>
        <v>7.1428571428571425E-2</v>
      </c>
      <c r="Q29" s="2">
        <f t="shared" si="16"/>
        <v>7.407407407407407E-2</v>
      </c>
      <c r="R29" s="2">
        <f t="shared" si="16"/>
        <v>7.407407407407407E-2</v>
      </c>
      <c r="S29" s="6">
        <v>0</v>
      </c>
      <c r="T29" s="2">
        <f t="shared" si="15"/>
        <v>0</v>
      </c>
      <c r="U29" s="2">
        <v>0</v>
      </c>
    </row>
    <row r="30" spans="1:21">
      <c r="N30" t="s">
        <v>329</v>
      </c>
      <c r="O30" s="2">
        <v>0</v>
      </c>
      <c r="P30" s="2">
        <v>0</v>
      </c>
      <c r="Q30" s="2">
        <v>0</v>
      </c>
      <c r="R30" s="2">
        <v>0</v>
      </c>
      <c r="S30" s="6">
        <v>1</v>
      </c>
      <c r="T30" s="6">
        <v>0</v>
      </c>
      <c r="U30" s="2">
        <v>0</v>
      </c>
    </row>
    <row r="31" spans="1:21">
      <c r="N31" t="s">
        <v>248</v>
      </c>
      <c r="O31" s="2">
        <f>O19/O$20</f>
        <v>0.21212121212121213</v>
      </c>
      <c r="P31" s="2">
        <f>P19/P$20</f>
        <v>0.14285714285714285</v>
      </c>
      <c r="Q31" s="2">
        <f>Q19/Q$20</f>
        <v>0.1111111111111111</v>
      </c>
      <c r="R31" s="2">
        <f>R19/R$20</f>
        <v>0.1111111111111111</v>
      </c>
      <c r="S31" s="6">
        <v>0</v>
      </c>
      <c r="T31" s="2">
        <f>S19/S$20</f>
        <v>0</v>
      </c>
      <c r="U31" s="6">
        <v>1</v>
      </c>
    </row>
    <row r="33" spans="1:22">
      <c r="N33" s="1" t="s">
        <v>281</v>
      </c>
      <c r="O33" t="s">
        <v>566</v>
      </c>
      <c r="P33" t="s">
        <v>472</v>
      </c>
      <c r="Q33" t="s">
        <v>634</v>
      </c>
      <c r="R33" t="s">
        <v>480</v>
      </c>
      <c r="S33" t="s">
        <v>642</v>
      </c>
      <c r="T33" t="s">
        <v>474</v>
      </c>
      <c r="U33" t="s">
        <v>192</v>
      </c>
      <c r="V33" s="1" t="s">
        <v>364</v>
      </c>
    </row>
    <row r="34" spans="1:22">
      <c r="B34" s="1" t="s">
        <v>649</v>
      </c>
      <c r="N34" t="s">
        <v>309</v>
      </c>
      <c r="O34" s="2">
        <f>O24*$B$35</f>
        <v>0.15505490773236727</v>
      </c>
      <c r="P34" s="2">
        <f>$B$36*P24</f>
        <v>0.12008539405799677</v>
      </c>
      <c r="Q34" s="2">
        <f>$B$37*Q24</f>
        <v>2.8518518518518519E-2</v>
      </c>
      <c r="R34" s="2">
        <f>$B$38*R24</f>
        <v>2.6666666666666665E-2</v>
      </c>
      <c r="S34" s="6">
        <f>S24*$B$39</f>
        <v>0</v>
      </c>
      <c r="T34" s="2">
        <f>$B$40*T24</f>
        <v>5.117E-2</v>
      </c>
      <c r="U34" s="6">
        <v>0</v>
      </c>
      <c r="V34" s="8">
        <f>SUM(O34:U34)</f>
        <v>0.38149548697554919</v>
      </c>
    </row>
    <row r="35" spans="1:22">
      <c r="A35" t="s">
        <v>566</v>
      </c>
      <c r="B35" s="2">
        <f>C17*$B$3</f>
        <v>0.3198007471980075</v>
      </c>
      <c r="N35" t="s">
        <v>310</v>
      </c>
      <c r="O35" s="2">
        <f t="shared" ref="O35:O41" si="17">O25*$B$35</f>
        <v>2.9072795199818865E-2</v>
      </c>
      <c r="P35" s="2">
        <f t="shared" ref="P35:P41" si="18">$B$36*P25</f>
        <v>7.0049813200498121E-2</v>
      </c>
      <c r="Q35" s="2">
        <f t="shared" ref="Q35:Q41" si="19">$B$37*Q25</f>
        <v>2.3333333333333334E-2</v>
      </c>
      <c r="R35" s="2">
        <f t="shared" ref="R35:R41" si="20">$B$38*R25</f>
        <v>5.7777777777777775E-2</v>
      </c>
      <c r="S35" s="6">
        <f t="shared" ref="S35:S41" si="21">S25*$B$39</f>
        <v>0</v>
      </c>
      <c r="T35" s="2">
        <f t="shared" ref="T35:T41" si="22">$B$40*T25</f>
        <v>0</v>
      </c>
      <c r="U35" s="6">
        <v>0</v>
      </c>
      <c r="V35" s="8">
        <f t="shared" ref="V35:V41" si="23">SUM(O35:U35)</f>
        <v>0.18023371951142808</v>
      </c>
    </row>
    <row r="36" spans="1:22">
      <c r="A36" t="s">
        <v>472</v>
      </c>
      <c r="B36" s="2">
        <f>C18*$B$3</f>
        <v>0.28019925280199248</v>
      </c>
      <c r="N36" t="s">
        <v>370</v>
      </c>
      <c r="O36" s="2">
        <f t="shared" si="17"/>
        <v>1.4536397599909432E-2</v>
      </c>
      <c r="P36" s="2">
        <f t="shared" si="18"/>
        <v>2.0014232342999462E-2</v>
      </c>
      <c r="Q36" s="2">
        <f t="shared" si="19"/>
        <v>2.5925925925925925E-3</v>
      </c>
      <c r="R36" s="2">
        <f t="shared" si="20"/>
        <v>6.6666666666666662E-3</v>
      </c>
      <c r="S36" s="6">
        <f t="shared" si="21"/>
        <v>0</v>
      </c>
      <c r="T36" s="2">
        <f t="shared" si="22"/>
        <v>0</v>
      </c>
      <c r="U36" s="6">
        <v>0</v>
      </c>
      <c r="V36" s="8">
        <f t="shared" si="23"/>
        <v>4.3809889202168155E-2</v>
      </c>
    </row>
    <row r="37" spans="1:22">
      <c r="A37" t="s">
        <v>634</v>
      </c>
      <c r="B37" s="6">
        <f>B6</f>
        <v>7.0000000000000007E-2</v>
      </c>
      <c r="N37" t="s">
        <v>312</v>
      </c>
      <c r="O37" s="2">
        <f t="shared" si="17"/>
        <v>1.9381863466545909E-2</v>
      </c>
      <c r="P37" s="2">
        <f t="shared" si="18"/>
        <v>1.0007116171499731E-2</v>
      </c>
      <c r="Q37" s="2">
        <f t="shared" si="19"/>
        <v>2.5925925925925925E-3</v>
      </c>
      <c r="R37" s="2">
        <f t="shared" si="20"/>
        <v>2.2222222222222222E-3</v>
      </c>
      <c r="S37" s="6">
        <f t="shared" si="21"/>
        <v>0</v>
      </c>
      <c r="T37" s="2">
        <f t="shared" si="22"/>
        <v>0</v>
      </c>
      <c r="U37" s="6">
        <v>0</v>
      </c>
      <c r="V37" s="8">
        <f t="shared" si="23"/>
        <v>3.4203794452860453E-2</v>
      </c>
    </row>
    <row r="38" spans="1:22">
      <c r="A38" t="s">
        <v>569</v>
      </c>
      <c r="B38" s="6">
        <f>B28*B5</f>
        <v>0.12</v>
      </c>
      <c r="N38" t="s">
        <v>585</v>
      </c>
      <c r="O38" s="2">
        <f t="shared" si="17"/>
        <v>2.9072795199818865E-2</v>
      </c>
      <c r="P38" s="2">
        <f t="shared" si="18"/>
        <v>0</v>
      </c>
      <c r="Q38" s="2">
        <f t="shared" si="19"/>
        <v>0</v>
      </c>
      <c r="R38" s="2">
        <f t="shared" si="20"/>
        <v>4.4444444444444444E-3</v>
      </c>
      <c r="S38" s="6">
        <f t="shared" si="21"/>
        <v>0</v>
      </c>
      <c r="T38" s="2">
        <f t="shared" si="22"/>
        <v>0</v>
      </c>
      <c r="U38" s="6">
        <v>0</v>
      </c>
      <c r="V38" s="8">
        <f t="shared" si="23"/>
        <v>3.3517239644263307E-2</v>
      </c>
    </row>
    <row r="39" spans="1:22">
      <c r="A39" t="s">
        <v>642</v>
      </c>
      <c r="B39" s="6">
        <f>($B$23*$B$4)*0.66</f>
        <v>9.9330000000000002E-2</v>
      </c>
      <c r="N39" t="s">
        <v>313</v>
      </c>
      <c r="O39" s="2">
        <f t="shared" si="17"/>
        <v>4.8454658666364772E-3</v>
      </c>
      <c r="P39" s="2">
        <f t="shared" si="18"/>
        <v>2.0014232342999462E-2</v>
      </c>
      <c r="Q39" s="2">
        <f t="shared" si="19"/>
        <v>5.185185185185185E-3</v>
      </c>
      <c r="R39" s="2">
        <f t="shared" si="20"/>
        <v>8.8888888888888889E-3</v>
      </c>
      <c r="S39" s="6">
        <f t="shared" si="21"/>
        <v>0</v>
      </c>
      <c r="T39" s="2">
        <f t="shared" si="22"/>
        <v>0</v>
      </c>
      <c r="U39" s="6">
        <v>0</v>
      </c>
      <c r="V39" s="8">
        <f t="shared" si="23"/>
        <v>3.8933772283710012E-2</v>
      </c>
    </row>
    <row r="40" spans="1:22">
      <c r="A40" t="s">
        <v>474</v>
      </c>
      <c r="B40" s="6">
        <f>($B$23*$B$4)*0.34</f>
        <v>5.117E-2</v>
      </c>
      <c r="N40" t="s">
        <v>329</v>
      </c>
      <c r="O40" s="2">
        <f t="shared" si="17"/>
        <v>0</v>
      </c>
      <c r="P40" s="2">
        <f t="shared" si="18"/>
        <v>0</v>
      </c>
      <c r="Q40" s="2">
        <f t="shared" si="19"/>
        <v>0</v>
      </c>
      <c r="R40" s="2">
        <f t="shared" si="20"/>
        <v>0</v>
      </c>
      <c r="S40" s="6">
        <f t="shared" si="21"/>
        <v>9.9330000000000002E-2</v>
      </c>
      <c r="T40" s="2">
        <f t="shared" si="22"/>
        <v>0</v>
      </c>
      <c r="U40" s="6">
        <v>0</v>
      </c>
      <c r="V40" s="8">
        <f t="shared" si="23"/>
        <v>9.9330000000000002E-2</v>
      </c>
    </row>
    <row r="41" spans="1:22">
      <c r="A41" t="s">
        <v>192</v>
      </c>
      <c r="B41" s="6">
        <v>0.06</v>
      </c>
      <c r="N41" t="s">
        <v>248</v>
      </c>
      <c r="O41" s="2">
        <f t="shared" si="17"/>
        <v>6.7836522132910679E-2</v>
      </c>
      <c r="P41" s="2">
        <f t="shared" si="18"/>
        <v>4.0028464685998924E-2</v>
      </c>
      <c r="Q41" s="2">
        <f t="shared" si="19"/>
        <v>7.7777777777777784E-3</v>
      </c>
      <c r="R41" s="2">
        <f t="shared" si="20"/>
        <v>1.3333333333333332E-2</v>
      </c>
      <c r="S41" s="6">
        <f t="shared" si="21"/>
        <v>0</v>
      </c>
      <c r="T41" s="2">
        <f t="shared" si="22"/>
        <v>0</v>
      </c>
      <c r="U41" s="6">
        <v>0.06</v>
      </c>
      <c r="V41" s="8">
        <f t="shared" si="23"/>
        <v>0.18897609793002071</v>
      </c>
    </row>
    <row r="42" spans="1:22">
      <c r="O42" s="6"/>
      <c r="P42" s="6"/>
      <c r="Q42" s="6"/>
      <c r="R42" s="6"/>
      <c r="S42" s="6"/>
      <c r="T42" s="6"/>
      <c r="U42" s="6"/>
      <c r="V42" s="6">
        <f>SUM(V34:V41)</f>
        <v>1.0004999999999999</v>
      </c>
    </row>
    <row r="43" spans="1:22" ht="16" thickBot="1"/>
    <row r="44" spans="1:22">
      <c r="A44" s="11"/>
      <c r="B44" s="12" t="s">
        <v>650</v>
      </c>
    </row>
    <row r="45" spans="1:22">
      <c r="A45" s="13" t="str">
        <f>N34</f>
        <v>Packaging</v>
      </c>
      <c r="B45" s="14">
        <f>V34</f>
        <v>0.38149548697554919</v>
      </c>
    </row>
    <row r="46" spans="1:22">
      <c r="A46" s="13" t="str">
        <f t="shared" ref="A46:A51" si="24">N35</f>
        <v>Building &amp; Construction</v>
      </c>
      <c r="B46" s="14">
        <f t="shared" ref="B46:B51" si="25">V35</f>
        <v>0.18023371951142808</v>
      </c>
    </row>
    <row r="47" spans="1:22">
      <c r="A47" s="13" t="str">
        <f t="shared" si="24"/>
        <v>Automotive</v>
      </c>
      <c r="B47" s="14">
        <f t="shared" si="25"/>
        <v>4.3809889202168155E-2</v>
      </c>
    </row>
    <row r="48" spans="1:22">
      <c r="A48" s="13" t="str">
        <f t="shared" si="24"/>
        <v>Electrical &amp; Electronics</v>
      </c>
      <c r="B48" s="14">
        <f t="shared" si="25"/>
        <v>3.4203794452860453E-2</v>
      </c>
    </row>
    <row r="49" spans="1:6">
      <c r="A49" s="13" t="str">
        <f t="shared" si="24"/>
        <v>Agriculture</v>
      </c>
      <c r="B49" s="14">
        <f t="shared" si="25"/>
        <v>3.3517239644263307E-2</v>
      </c>
    </row>
    <row r="50" spans="1:6">
      <c r="A50" s="13" t="str">
        <f t="shared" si="24"/>
        <v>Household, leisure &amp; sports</v>
      </c>
      <c r="B50" s="14">
        <f t="shared" si="25"/>
        <v>3.8933772283710012E-2</v>
      </c>
    </row>
    <row r="51" spans="1:6">
      <c r="A51" s="13" t="str">
        <f t="shared" si="24"/>
        <v>Textiles</v>
      </c>
      <c r="B51" s="14">
        <f t="shared" si="25"/>
        <v>9.9330000000000002E-2</v>
      </c>
    </row>
    <row r="52" spans="1:6">
      <c r="A52" s="15" t="s">
        <v>585</v>
      </c>
      <c r="B52" s="14">
        <v>0</v>
      </c>
    </row>
    <row r="53" spans="1:6" ht="16" thickBot="1">
      <c r="A53" s="16" t="str">
        <f>N41</f>
        <v>Others</v>
      </c>
      <c r="B53" s="17">
        <f>V41</f>
        <v>0.18897609793002071</v>
      </c>
    </row>
    <row r="54" spans="1:6">
      <c r="B54" s="6"/>
    </row>
    <row r="56" spans="1:6" s="19" customFormat="1" ht="33.5" customHeight="1">
      <c r="A56" s="19" t="s">
        <v>605</v>
      </c>
    </row>
    <row r="62" spans="1:6">
      <c r="C62" s="1" t="s">
        <v>607</v>
      </c>
      <c r="D62" s="1" t="s">
        <v>608</v>
      </c>
      <c r="E62" s="1" t="s">
        <v>96</v>
      </c>
      <c r="F62" s="1" t="s">
        <v>609</v>
      </c>
    </row>
    <row r="63" spans="1:6">
      <c r="A63" t="s">
        <v>610</v>
      </c>
      <c r="C63" s="6">
        <f>B45</f>
        <v>0.38149548697554919</v>
      </c>
      <c r="D63" s="6">
        <v>-0.3</v>
      </c>
      <c r="E63" t="s">
        <v>99</v>
      </c>
    </row>
    <row r="64" spans="1:6">
      <c r="A64" t="s">
        <v>611</v>
      </c>
      <c r="C64" s="6">
        <f>B45</f>
        <v>0.38149548697554919</v>
      </c>
      <c r="D64" s="6">
        <v>-0.17</v>
      </c>
      <c r="E64" t="s">
        <v>99</v>
      </c>
    </row>
    <row r="65" spans="1:6">
      <c r="A65" t="str">
        <f>A46</f>
        <v>Building &amp; Construction</v>
      </c>
      <c r="C65" s="6">
        <f>B46</f>
        <v>0.18023371951142808</v>
      </c>
      <c r="D65" t="s">
        <v>623</v>
      </c>
      <c r="E65" t="s">
        <v>623</v>
      </c>
    </row>
    <row r="66" spans="1:6">
      <c r="A66" t="s">
        <v>329</v>
      </c>
      <c r="C66" s="6">
        <f>B51</f>
        <v>9.9330000000000002E-2</v>
      </c>
      <c r="D66" s="6">
        <v>-0.9</v>
      </c>
      <c r="E66" t="s">
        <v>619</v>
      </c>
      <c r="F66" t="s">
        <v>620</v>
      </c>
    </row>
  </sheetData>
  <hyperlinks>
    <hyperlink ref="E29" r:id="rId1" xr:uid="{00000000-0004-0000-0100-000000000000}"/>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67D9-A440-424C-963C-DD26768A7BCB}">
  <sheetPr>
    <tabColor theme="7"/>
  </sheetPr>
  <dimension ref="A1:AT28"/>
  <sheetViews>
    <sheetView zoomScale="90" zoomScaleNormal="90" workbookViewId="0">
      <selection activeCell="C18" sqref="C18"/>
    </sheetView>
  </sheetViews>
  <sheetFormatPr baseColWidth="10" defaultColWidth="8.83203125" defaultRowHeight="15"/>
  <cols>
    <col min="1" max="1" width="15.5" customWidth="1"/>
    <col min="12" max="12" width="12.1640625" customWidth="1"/>
  </cols>
  <sheetData>
    <row r="1" spans="1:46" s="68" customFormat="1">
      <c r="A1" s="62" t="s">
        <v>517</v>
      </c>
      <c r="M1" s="62" t="s">
        <v>518</v>
      </c>
    </row>
    <row r="2" spans="1:46">
      <c r="B2" s="1">
        <v>2015</v>
      </c>
      <c r="C2" s="1">
        <v>2017</v>
      </c>
      <c r="D2" s="1">
        <v>2020</v>
      </c>
      <c r="E2" s="1">
        <v>2025</v>
      </c>
      <c r="F2" s="1">
        <v>2030</v>
      </c>
      <c r="G2" s="1">
        <v>2035</v>
      </c>
      <c r="H2" s="1">
        <v>2040</v>
      </c>
      <c r="I2" s="1">
        <v>2045</v>
      </c>
      <c r="J2" s="1">
        <v>2050</v>
      </c>
      <c r="N2">
        <v>2020</v>
      </c>
      <c r="O2">
        <f>N2+1</f>
        <v>2021</v>
      </c>
      <c r="P2">
        <f t="shared" ref="P2:AR2" si="0">O2+1</f>
        <v>2022</v>
      </c>
      <c r="Q2">
        <f t="shared" si="0"/>
        <v>2023</v>
      </c>
      <c r="R2">
        <f t="shared" si="0"/>
        <v>2024</v>
      </c>
      <c r="S2">
        <f t="shared" si="0"/>
        <v>2025</v>
      </c>
      <c r="T2">
        <f t="shared" si="0"/>
        <v>2026</v>
      </c>
      <c r="U2">
        <f t="shared" si="0"/>
        <v>2027</v>
      </c>
      <c r="V2">
        <f t="shared" si="0"/>
        <v>2028</v>
      </c>
      <c r="W2">
        <f t="shared" si="0"/>
        <v>2029</v>
      </c>
      <c r="X2">
        <f t="shared" si="0"/>
        <v>2030</v>
      </c>
      <c r="Y2">
        <f t="shared" si="0"/>
        <v>2031</v>
      </c>
      <c r="Z2">
        <f t="shared" si="0"/>
        <v>2032</v>
      </c>
      <c r="AA2">
        <f t="shared" si="0"/>
        <v>2033</v>
      </c>
      <c r="AB2">
        <f>AA2+1</f>
        <v>2034</v>
      </c>
      <c r="AC2">
        <f t="shared" si="0"/>
        <v>2035</v>
      </c>
      <c r="AD2">
        <f t="shared" si="0"/>
        <v>2036</v>
      </c>
      <c r="AE2">
        <f t="shared" si="0"/>
        <v>2037</v>
      </c>
      <c r="AF2">
        <f t="shared" si="0"/>
        <v>2038</v>
      </c>
      <c r="AG2">
        <f t="shared" si="0"/>
        <v>2039</v>
      </c>
      <c r="AH2">
        <f t="shared" si="0"/>
        <v>2040</v>
      </c>
      <c r="AI2">
        <f t="shared" si="0"/>
        <v>2041</v>
      </c>
      <c r="AJ2">
        <f t="shared" si="0"/>
        <v>2042</v>
      </c>
      <c r="AK2">
        <f t="shared" si="0"/>
        <v>2043</v>
      </c>
      <c r="AL2">
        <f t="shared" si="0"/>
        <v>2044</v>
      </c>
      <c r="AM2">
        <f>AL2+1</f>
        <v>2045</v>
      </c>
      <c r="AN2">
        <f t="shared" si="0"/>
        <v>2046</v>
      </c>
      <c r="AO2">
        <f t="shared" si="0"/>
        <v>2047</v>
      </c>
      <c r="AP2">
        <f t="shared" si="0"/>
        <v>2048</v>
      </c>
      <c r="AQ2">
        <f>AP2+1</f>
        <v>2049</v>
      </c>
      <c r="AR2">
        <f t="shared" si="0"/>
        <v>2050</v>
      </c>
      <c r="AT2" t="s">
        <v>46</v>
      </c>
    </row>
    <row r="3" spans="1:46">
      <c r="A3" s="1" t="s">
        <v>821</v>
      </c>
      <c r="B3" s="51">
        <v>101</v>
      </c>
      <c r="C3" s="51">
        <v>108</v>
      </c>
      <c r="D3" s="51"/>
      <c r="E3" s="51">
        <v>131</v>
      </c>
      <c r="F3" s="51">
        <v>142</v>
      </c>
      <c r="G3" s="51">
        <v>149</v>
      </c>
      <c r="H3" s="51">
        <v>156</v>
      </c>
      <c r="I3" s="51">
        <v>159</v>
      </c>
      <c r="J3" s="51">
        <v>161</v>
      </c>
      <c r="L3" t="s">
        <v>520</v>
      </c>
      <c r="M3" s="52" t="s">
        <v>821</v>
      </c>
      <c r="N3" s="98">
        <f>C3*($E3/$C3)^(1/8)*($E3/$C3)^(1/8)*($E3/$C3)^(1/8)</f>
        <v>116.10918671199683</v>
      </c>
      <c r="O3" s="98">
        <f>N3*($E3/$C3)^(1/8)</f>
        <v>118.94536560959409</v>
      </c>
      <c r="P3" s="98">
        <f>O3*($E3/$C3)^(1/8)</f>
        <v>121.85082335554922</v>
      </c>
      <c r="Q3" s="98">
        <f t="shared" ref="Q3:R3" si="1">P3*($E3/$C3)^(1/8)</f>
        <v>124.82725221223463</v>
      </c>
      <c r="R3" s="98">
        <f t="shared" si="1"/>
        <v>127.87638577862117</v>
      </c>
      <c r="S3" s="98">
        <f>E3</f>
        <v>131</v>
      </c>
      <c r="T3" s="98">
        <f>S3*($X3/$S3)^(1/5)</f>
        <v>133.12962399313108</v>
      </c>
      <c r="U3" s="98">
        <f t="shared" ref="U3:V3" si="2">T3*($X3/$S3)^(1/5)</f>
        <v>135.29386858436993</v>
      </c>
      <c r="V3" s="98">
        <f t="shared" si="2"/>
        <v>137.49329658941417</v>
      </c>
      <c r="W3" s="98">
        <f>V3*($X3/$S3)^(1/5)</f>
        <v>139.72847997347145</v>
      </c>
      <c r="X3" s="98">
        <f>F3</f>
        <v>142</v>
      </c>
      <c r="Y3" s="98">
        <f>X3*($AC3/$X3)^(1/5)</f>
        <v>143.37318371127816</v>
      </c>
      <c r="Z3" s="98">
        <f t="shared" ref="Z3:AB3" si="3">Y3*($AC3/$X3)^(1/5)</f>
        <v>144.75964653174591</v>
      </c>
      <c r="AA3" s="98">
        <f t="shared" si="3"/>
        <v>146.15951687447676</v>
      </c>
      <c r="AB3" s="98">
        <f t="shared" si="3"/>
        <v>147.57292439433817</v>
      </c>
      <c r="AC3" s="98">
        <f>G3</f>
        <v>149</v>
      </c>
      <c r="AD3" s="98">
        <f>AC3*($AH3/$AC3)^(1/5)</f>
        <v>150.37440931484167</v>
      </c>
      <c r="AE3" s="98">
        <f t="shared" ref="AE3:AG3" si="4">AD3*($AH3/$AC3)^(1/5)</f>
        <v>151.76149648850699</v>
      </c>
      <c r="AF3" s="98">
        <f t="shared" si="4"/>
        <v>153.1613784644004</v>
      </c>
      <c r="AG3" s="98">
        <f t="shared" si="4"/>
        <v>154.5741732646384</v>
      </c>
      <c r="AH3" s="98">
        <f>H3</f>
        <v>156</v>
      </c>
      <c r="AI3" s="98">
        <f>AH3*($AM3/$AH3)^(1/5)</f>
        <v>156.5954371632547</v>
      </c>
      <c r="AJ3" s="98">
        <f t="shared" ref="AJ3:AL3" si="5">AI3*($AM3/$AH3)^(1/5)</f>
        <v>157.19314705353111</v>
      </c>
      <c r="AK3" s="98">
        <f t="shared" si="5"/>
        <v>157.79313834561211</v>
      </c>
      <c r="AL3" s="98">
        <f t="shared" si="5"/>
        <v>158.3954197473914</v>
      </c>
      <c r="AM3" s="98">
        <f>I3</f>
        <v>159</v>
      </c>
      <c r="AN3" s="98">
        <f>AM3*($AR3/$AM3)^(1/5)</f>
        <v>159.39800247817999</v>
      </c>
      <c r="AO3" s="98">
        <f t="shared" ref="AO3:AQ3" si="6">AN3*($AR3/$AM3)^(1/5)</f>
        <v>159.79700122033884</v>
      </c>
      <c r="AP3" s="98">
        <f t="shared" si="6"/>
        <v>160.19699872028491</v>
      </c>
      <c r="AQ3" s="98">
        <f t="shared" si="6"/>
        <v>160.597997478069</v>
      </c>
      <c r="AR3" s="98">
        <f>J3</f>
        <v>161</v>
      </c>
      <c r="AT3" s="23">
        <f>(AR3/N3)^(1/30)-1</f>
        <v>1.0955353563799175E-2</v>
      </c>
    </row>
    <row r="4" spans="1:46">
      <c r="A4" s="1"/>
      <c r="B4" s="51"/>
      <c r="C4" s="51"/>
      <c r="D4" s="110">
        <f>(C3/B3)^(1/2)-1</f>
        <v>3.4072981318566953E-2</v>
      </c>
      <c r="E4" s="110">
        <f>(E3/C3)^(1/8)-1</f>
        <v>2.4426825972283073E-2</v>
      </c>
      <c r="F4" s="110">
        <f>(F3/E3)^(1/5)-1</f>
        <v>1.6256671703290593E-2</v>
      </c>
      <c r="G4" s="110">
        <f>(G3/F3)^(1/5)-1</f>
        <v>9.6703078259026132E-3</v>
      </c>
      <c r="H4" s="110">
        <f>(H3/G3)^(1/5)-1</f>
        <v>9.2242235895414471E-3</v>
      </c>
      <c r="I4" s="110">
        <f>(I3/H3)^(1/5)-1</f>
        <v>3.8169048926584015E-3</v>
      </c>
      <c r="J4" s="110">
        <f>(J3/I3)^(1/5)-1</f>
        <v>2.5031602401257569E-3</v>
      </c>
      <c r="M4" s="52"/>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T4" s="23"/>
    </row>
    <row r="5" spans="1:46">
      <c r="A5" s="158" t="s">
        <v>524</v>
      </c>
    </row>
    <row r="6" spans="1:46">
      <c r="B6" s="1">
        <v>2015</v>
      </c>
      <c r="C6" s="1">
        <v>2017</v>
      </c>
      <c r="D6" s="1">
        <v>2020</v>
      </c>
      <c r="E6" s="1">
        <v>2025</v>
      </c>
      <c r="F6" s="1">
        <v>2030</v>
      </c>
      <c r="G6" s="1">
        <v>2035</v>
      </c>
      <c r="H6" s="1">
        <v>2040</v>
      </c>
      <c r="I6" s="1">
        <v>2045</v>
      </c>
      <c r="J6" s="1">
        <v>2050</v>
      </c>
      <c r="M6" s="1" t="s">
        <v>822</v>
      </c>
    </row>
    <row r="7" spans="1:46">
      <c r="A7" s="1" t="s">
        <v>7</v>
      </c>
      <c r="B7" s="43">
        <f>B$3*$C16</f>
        <v>45.087408949011447</v>
      </c>
      <c r="C7" s="43">
        <f>C$3*$C16</f>
        <v>48.212278876170657</v>
      </c>
      <c r="E7" s="43">
        <f t="shared" ref="E7:J8" si="7">E$3*$C16</f>
        <v>58.479708636836634</v>
      </c>
      <c r="F7" s="43">
        <f t="shared" si="7"/>
        <v>63.390218522372535</v>
      </c>
      <c r="G7" s="43">
        <f t="shared" si="7"/>
        <v>66.515088449531746</v>
      </c>
      <c r="H7" s="43">
        <f t="shared" si="7"/>
        <v>69.639958376690956</v>
      </c>
      <c r="I7" s="43">
        <f t="shared" si="7"/>
        <v>70.979188345473474</v>
      </c>
      <c r="J7" s="43">
        <f t="shared" si="7"/>
        <v>71.87200832466182</v>
      </c>
      <c r="M7" s="1" t="s">
        <v>7</v>
      </c>
      <c r="N7" s="43">
        <f>N$3*$C16</f>
        <v>51.832300831890365</v>
      </c>
      <c r="O7" s="43">
        <f t="shared" ref="O7:AR7" si="8">O$3*$C16</f>
        <v>53.098399424053973</v>
      </c>
      <c r="P7" s="43">
        <f t="shared" si="8"/>
        <v>54.395424786192116</v>
      </c>
      <c r="Q7" s="43">
        <f t="shared" si="8"/>
        <v>55.724132361132838</v>
      </c>
      <c r="R7" s="43">
        <f t="shared" si="8"/>
        <v>57.085296044774701</v>
      </c>
      <c r="S7" s="43">
        <f t="shared" si="8"/>
        <v>58.479708636836634</v>
      </c>
      <c r="T7" s="43">
        <f t="shared" si="8"/>
        <v>59.430394061449775</v>
      </c>
      <c r="U7" s="43">
        <f t="shared" si="8"/>
        <v>60.396534466903958</v>
      </c>
      <c r="V7" s="43">
        <f t="shared" si="8"/>
        <v>61.378381099748893</v>
      </c>
      <c r="W7" s="43">
        <f t="shared" si="8"/>
        <v>62.37618929096697</v>
      </c>
      <c r="X7" s="43">
        <f t="shared" si="8"/>
        <v>63.390218522372535</v>
      </c>
      <c r="Y7" s="43">
        <f t="shared" si="8"/>
        <v>64.003221448635102</v>
      </c>
      <c r="Z7" s="43">
        <f t="shared" si="8"/>
        <v>64.622152301892825</v>
      </c>
      <c r="AA7" s="43">
        <f t="shared" si="8"/>
        <v>65.247068407024486</v>
      </c>
      <c r="AB7" s="43">
        <f t="shared" si="8"/>
        <v>65.87802764325815</v>
      </c>
      <c r="AC7" s="43">
        <f t="shared" si="8"/>
        <v>66.515088449531746</v>
      </c>
      <c r="AD7" s="43">
        <f t="shared" si="8"/>
        <v>67.128638497468344</v>
      </c>
      <c r="AE7" s="43">
        <f t="shared" si="8"/>
        <v>67.747848068230496</v>
      </c>
      <c r="AF7" s="43">
        <f t="shared" si="8"/>
        <v>68.372769366522135</v>
      </c>
      <c r="AG7" s="43">
        <f t="shared" si="8"/>
        <v>69.003455078595096</v>
      </c>
      <c r="AH7" s="43">
        <f t="shared" si="8"/>
        <v>69.639958376690956</v>
      </c>
      <c r="AI7" s="43">
        <f t="shared" si="8"/>
        <v>69.905767474543467</v>
      </c>
      <c r="AJ7" s="43">
        <f t="shared" si="8"/>
        <v>70.172591140442094</v>
      </c>
      <c r="AK7" s="43">
        <f t="shared" si="8"/>
        <v>70.440433246896561</v>
      </c>
      <c r="AL7" s="43">
        <f t="shared" si="8"/>
        <v>70.709297681197626</v>
      </c>
      <c r="AM7" s="43">
        <f t="shared" si="8"/>
        <v>70.979188345473474</v>
      </c>
      <c r="AN7" s="43">
        <f t="shared" si="8"/>
        <v>71.156860627616254</v>
      </c>
      <c r="AO7" s="43">
        <f t="shared" si="8"/>
        <v>71.334977651951476</v>
      </c>
      <c r="AP7" s="43">
        <f t="shared" si="8"/>
        <v>71.513540531740091</v>
      </c>
      <c r="AQ7" s="43">
        <f t="shared" si="8"/>
        <v>71.692550383029769</v>
      </c>
      <c r="AR7" s="43">
        <f t="shared" si="8"/>
        <v>71.87200832466182</v>
      </c>
    </row>
    <row r="8" spans="1:46">
      <c r="A8" s="1" t="s">
        <v>8</v>
      </c>
      <c r="B8" s="43">
        <f>B$3*$C17</f>
        <v>12.191467221644121</v>
      </c>
      <c r="C8" s="43">
        <f>C$3*$C17</f>
        <v>13.036420395421437</v>
      </c>
      <c r="E8" s="43">
        <f t="shared" si="7"/>
        <v>15.812695109261186</v>
      </c>
      <c r="F8" s="43">
        <f t="shared" si="7"/>
        <v>17.140478668054111</v>
      </c>
      <c r="G8" s="43">
        <f t="shared" si="7"/>
        <v>17.985431841831428</v>
      </c>
      <c r="H8" s="43">
        <f t="shared" si="7"/>
        <v>18.830385015608741</v>
      </c>
      <c r="I8" s="43">
        <f t="shared" si="7"/>
        <v>19.192507804370447</v>
      </c>
      <c r="J8" s="43">
        <f t="shared" si="7"/>
        <v>19.433922996878252</v>
      </c>
      <c r="M8" s="1" t="s">
        <v>8</v>
      </c>
      <c r="N8" s="43">
        <f t="shared" ref="N8:AR8" si="9">N$3*$C17</f>
        <v>14.015260831000658</v>
      </c>
      <c r="O8" s="43">
        <f t="shared" si="9"/>
        <v>14.357609168275665</v>
      </c>
      <c r="P8" s="43">
        <f t="shared" si="9"/>
        <v>14.70831998880719</v>
      </c>
      <c r="Q8" s="43">
        <f t="shared" si="9"/>
        <v>15.067597561518436</v>
      </c>
      <c r="R8" s="43">
        <f t="shared" si="9"/>
        <v>15.435651144974043</v>
      </c>
      <c r="S8" s="43">
        <f t="shared" si="9"/>
        <v>15.812695109261186</v>
      </c>
      <c r="T8" s="43">
        <f t="shared" si="9"/>
        <v>16.069756902396676</v>
      </c>
      <c r="U8" s="43">
        <f t="shared" si="9"/>
        <v>16.330997664710626</v>
      </c>
      <c r="V8" s="43">
        <f t="shared" si="9"/>
        <v>16.596485332333032</v>
      </c>
      <c r="W8" s="43">
        <f t="shared" si="9"/>
        <v>16.866288945809249</v>
      </c>
      <c r="X8" s="43">
        <f t="shared" si="9"/>
        <v>17.140478668054111</v>
      </c>
      <c r="Y8" s="43">
        <f t="shared" si="9"/>
        <v>17.306232373057512</v>
      </c>
      <c r="Z8" s="43">
        <f t="shared" si="9"/>
        <v>17.47358896741158</v>
      </c>
      <c r="AA8" s="43">
        <f t="shared" si="9"/>
        <v>17.642563951549747</v>
      </c>
      <c r="AB8" s="43">
        <f t="shared" si="9"/>
        <v>17.813172975799407</v>
      </c>
      <c r="AC8" s="43">
        <f t="shared" si="9"/>
        <v>17.985431841831428</v>
      </c>
      <c r="AD8" s="43">
        <f t="shared" si="9"/>
        <v>18.151333486494938</v>
      </c>
      <c r="AE8" s="43">
        <f t="shared" si="9"/>
        <v>18.318765445022699</v>
      </c>
      <c r="AF8" s="43">
        <f t="shared" si="9"/>
        <v>18.487741833371953</v>
      </c>
      <c r="AG8" s="43">
        <f t="shared" si="9"/>
        <v>18.658276897708696</v>
      </c>
      <c r="AH8" s="43">
        <f t="shared" si="9"/>
        <v>18.830385015608741</v>
      </c>
      <c r="AI8" s="43">
        <f t="shared" si="9"/>
        <v>18.902258804305458</v>
      </c>
      <c r="AJ8" s="43">
        <f t="shared" si="9"/>
        <v>18.974406928417906</v>
      </c>
      <c r="AK8" s="43">
        <f t="shared" si="9"/>
        <v>19.046830435058279</v>
      </c>
      <c r="AL8" s="43">
        <f t="shared" si="9"/>
        <v>19.119530375335486</v>
      </c>
      <c r="AM8" s="43">
        <f t="shared" si="9"/>
        <v>19.192507804370447</v>
      </c>
      <c r="AN8" s="43">
        <f t="shared" si="9"/>
        <v>19.240549726814653</v>
      </c>
      <c r="AO8" s="43">
        <f t="shared" si="9"/>
        <v>19.288711905888977</v>
      </c>
      <c r="AP8" s="43">
        <f t="shared" si="9"/>
        <v>19.336994642615036</v>
      </c>
      <c r="AQ8" s="43">
        <f t="shared" si="9"/>
        <v>19.385398238767955</v>
      </c>
      <c r="AR8" s="43">
        <f t="shared" si="9"/>
        <v>19.433922996878252</v>
      </c>
    </row>
    <row r="9" spans="1:46">
      <c r="A9" s="1" t="s">
        <v>9</v>
      </c>
      <c r="B9" s="43">
        <f>SUM(B10:B12)</f>
        <v>43.721123829344435</v>
      </c>
      <c r="C9" s="43">
        <f t="shared" ref="C9:J9" si="10">SUM(C10:C12)</f>
        <v>46.751300728407905</v>
      </c>
      <c r="D9" s="43">
        <f t="shared" si="10"/>
        <v>0</v>
      </c>
      <c r="E9" s="43">
        <f t="shared" si="10"/>
        <v>56.707596253902189</v>
      </c>
      <c r="F9" s="43">
        <f t="shared" si="10"/>
        <v>61.469302809573364</v>
      </c>
      <c r="G9" s="43">
        <f t="shared" si="10"/>
        <v>64.499479708636841</v>
      </c>
      <c r="H9" s="43">
        <f t="shared" si="10"/>
        <v>67.529656607700318</v>
      </c>
      <c r="I9" s="43">
        <f t="shared" si="10"/>
        <v>68.82830385015609</v>
      </c>
      <c r="J9" s="43">
        <f t="shared" si="10"/>
        <v>69.694068678459942</v>
      </c>
      <c r="M9" s="1" t="s">
        <v>9</v>
      </c>
      <c r="N9" s="43">
        <f>SUM(N10:N12)</f>
        <v>50.26162504910581</v>
      </c>
      <c r="O9" s="43">
        <f t="shared" ref="O9:AR9" si="11">SUM(O10:O12)</f>
        <v>51.48935701726446</v>
      </c>
      <c r="P9" s="43">
        <f t="shared" si="11"/>
        <v>52.747078580549932</v>
      </c>
      <c r="Q9" s="43">
        <f t="shared" si="11"/>
        <v>54.035522289583362</v>
      </c>
      <c r="R9" s="43">
        <f t="shared" si="11"/>
        <v>55.355438588872431</v>
      </c>
      <c r="S9" s="43">
        <f t="shared" si="11"/>
        <v>56.707596253902189</v>
      </c>
      <c r="T9" s="43">
        <f t="shared" si="11"/>
        <v>57.62947302928464</v>
      </c>
      <c r="U9" s="43">
        <f t="shared" si="11"/>
        <v>58.566336452755358</v>
      </c>
      <c r="V9" s="43">
        <f t="shared" si="11"/>
        <v>59.518430157332254</v>
      </c>
      <c r="W9" s="43">
        <f t="shared" si="11"/>
        <v>60.486001736695236</v>
      </c>
      <c r="X9" s="43">
        <f t="shared" si="11"/>
        <v>61.469302809573364</v>
      </c>
      <c r="Y9" s="43">
        <f t="shared" si="11"/>
        <v>62.063729889585559</v>
      </c>
      <c r="Z9" s="43">
        <f t="shared" si="11"/>
        <v>62.663905262441524</v>
      </c>
      <c r="AA9" s="43">
        <f t="shared" si="11"/>
        <v>63.269884515902532</v>
      </c>
      <c r="AB9" s="43">
        <f t="shared" si="11"/>
        <v>63.881723775280626</v>
      </c>
      <c r="AC9" s="43">
        <f t="shared" si="11"/>
        <v>64.499479708636841</v>
      </c>
      <c r="AD9" s="43">
        <f t="shared" si="11"/>
        <v>65.094437330878407</v>
      </c>
      <c r="AE9" s="43">
        <f t="shared" si="11"/>
        <v>65.694882975253819</v>
      </c>
      <c r="AF9" s="43">
        <f t="shared" si="11"/>
        <v>66.300867264506323</v>
      </c>
      <c r="AG9" s="43">
        <f t="shared" si="11"/>
        <v>66.912441288334634</v>
      </c>
      <c r="AH9" s="43">
        <f t="shared" si="11"/>
        <v>67.529656607700318</v>
      </c>
      <c r="AI9" s="43">
        <f t="shared" si="11"/>
        <v>67.787410884405801</v>
      </c>
      <c r="AJ9" s="43">
        <f t="shared" si="11"/>
        <v>68.04614898467112</v>
      </c>
      <c r="AK9" s="43">
        <f t="shared" si="11"/>
        <v>68.305874663657264</v>
      </c>
      <c r="AL9" s="43">
        <f t="shared" si="11"/>
        <v>68.566591690858303</v>
      </c>
      <c r="AM9" s="43">
        <f t="shared" si="11"/>
        <v>68.82830385015609</v>
      </c>
      <c r="AN9" s="43">
        <f t="shared" si="11"/>
        <v>69.000592123749101</v>
      </c>
      <c r="AO9" s="43">
        <f t="shared" si="11"/>
        <v>69.173311662498406</v>
      </c>
      <c r="AP9" s="43">
        <f t="shared" si="11"/>
        <v>69.346463545929794</v>
      </c>
      <c r="AQ9" s="43">
        <f t="shared" si="11"/>
        <v>69.520048856271288</v>
      </c>
      <c r="AR9" s="43">
        <f t="shared" si="11"/>
        <v>69.694068678459942</v>
      </c>
    </row>
    <row r="10" spans="1:46">
      <c r="A10" s="1" t="s">
        <v>823</v>
      </c>
      <c r="B10" s="43">
        <f t="shared" ref="B10:C12" si="12">B$3*$C18</f>
        <v>39.306971904266391</v>
      </c>
      <c r="C10" s="43">
        <f t="shared" si="12"/>
        <v>42.031217481789803</v>
      </c>
      <c r="E10" s="43">
        <f t="shared" ref="E10:J12" si="13">E$3*$C18</f>
        <v>50.982310093652451</v>
      </c>
      <c r="F10" s="43">
        <f t="shared" si="13"/>
        <v>55.263267429760667</v>
      </c>
      <c r="G10" s="43">
        <f t="shared" si="13"/>
        <v>57.987513007284086</v>
      </c>
      <c r="H10" s="43">
        <f t="shared" si="13"/>
        <v>60.711758584807498</v>
      </c>
      <c r="I10" s="43">
        <f t="shared" si="13"/>
        <v>61.879292403746099</v>
      </c>
      <c r="J10" s="43">
        <f t="shared" si="13"/>
        <v>62.657648283038505</v>
      </c>
      <c r="M10" s="1" t="s">
        <v>823</v>
      </c>
      <c r="N10" s="43">
        <f t="shared" ref="N10:AR10" si="14">N$3*$C18</f>
        <v>45.18713405857109</v>
      </c>
      <c r="O10" s="43">
        <f t="shared" si="14"/>
        <v>46.290912318406029</v>
      </c>
      <c r="P10" s="43">
        <f t="shared" si="14"/>
        <v>47.421652377705946</v>
      </c>
      <c r="Q10" s="43">
        <f t="shared" si="14"/>
        <v>48.580012827654272</v>
      </c>
      <c r="R10" s="43">
        <f t="shared" si="14"/>
        <v>49.766668346726661</v>
      </c>
      <c r="S10" s="43">
        <f t="shared" si="14"/>
        <v>50.982310093652451</v>
      </c>
      <c r="T10" s="43">
        <f t="shared" si="14"/>
        <v>51.811112771520321</v>
      </c>
      <c r="U10" s="43">
        <f t="shared" si="14"/>
        <v>52.653389022429096</v>
      </c>
      <c r="V10" s="43">
        <f t="shared" si="14"/>
        <v>53.509357881832365</v>
      </c>
      <c r="W10" s="43">
        <f t="shared" si="14"/>
        <v>54.379241945971202</v>
      </c>
      <c r="X10" s="43">
        <f t="shared" si="14"/>
        <v>55.263267429760667</v>
      </c>
      <c r="Y10" s="43">
        <f t="shared" si="14"/>
        <v>55.797680237271628</v>
      </c>
      <c r="Z10" s="43">
        <f t="shared" si="14"/>
        <v>56.337260981137334</v>
      </c>
      <c r="AA10" s="43">
        <f t="shared" si="14"/>
        <v>56.882059636893146</v>
      </c>
      <c r="AB10" s="43">
        <f t="shared" si="14"/>
        <v>57.432126663353259</v>
      </c>
      <c r="AC10" s="43">
        <f t="shared" si="14"/>
        <v>57.987513007284086</v>
      </c>
      <c r="AD10" s="43">
        <f t="shared" si="14"/>
        <v>58.522402792664714</v>
      </c>
      <c r="AE10" s="43">
        <f t="shared" si="14"/>
        <v>59.062226521021458</v>
      </c>
      <c r="AF10" s="43">
        <f t="shared" si="14"/>
        <v>59.607029704147507</v>
      </c>
      <c r="AG10" s="43">
        <f t="shared" si="14"/>
        <v>60.156858273646996</v>
      </c>
      <c r="AH10" s="43">
        <f t="shared" si="14"/>
        <v>60.711758584807498</v>
      </c>
      <c r="AI10" s="43">
        <f t="shared" si="14"/>
        <v>60.943489593191742</v>
      </c>
      <c r="AJ10" s="43">
        <f t="shared" si="14"/>
        <v>61.176105096795666</v>
      </c>
      <c r="AK10" s="43">
        <f t="shared" si="14"/>
        <v>61.409608471653414</v>
      </c>
      <c r="AL10" s="43">
        <f t="shared" si="14"/>
        <v>61.644003106685105</v>
      </c>
      <c r="AM10" s="43">
        <f t="shared" si="14"/>
        <v>61.879292403746099</v>
      </c>
      <c r="AN10" s="43">
        <f t="shared" si="14"/>
        <v>62.034186188178275</v>
      </c>
      <c r="AO10" s="43">
        <f t="shared" si="14"/>
        <v>62.189467696573082</v>
      </c>
      <c r="AP10" s="43">
        <f t="shared" si="14"/>
        <v>62.345137899465726</v>
      </c>
      <c r="AQ10" s="43">
        <f t="shared" si="14"/>
        <v>62.501197769820827</v>
      </c>
      <c r="AR10" s="43">
        <f t="shared" si="14"/>
        <v>62.657648283038505</v>
      </c>
    </row>
    <row r="11" spans="1:46">
      <c r="A11" s="1" t="s">
        <v>824</v>
      </c>
      <c r="B11" s="43">
        <f t="shared" si="12"/>
        <v>3.7835587929240382</v>
      </c>
      <c r="C11" s="43">
        <f t="shared" si="12"/>
        <v>4.0457856399583774</v>
      </c>
      <c r="E11" s="43">
        <f t="shared" si="13"/>
        <v>4.9073881373569206</v>
      </c>
      <c r="F11" s="43">
        <f t="shared" si="13"/>
        <v>5.3194588969823107</v>
      </c>
      <c r="G11" s="43">
        <f t="shared" si="13"/>
        <v>5.5816857440166503</v>
      </c>
      <c r="H11" s="43">
        <f t="shared" si="13"/>
        <v>5.843912591050989</v>
      </c>
      <c r="I11" s="43">
        <f t="shared" si="13"/>
        <v>5.9562955254942773</v>
      </c>
      <c r="J11" s="43">
        <f t="shared" si="13"/>
        <v>6.0312174817898034</v>
      </c>
      <c r="M11" s="1" t="s">
        <v>824</v>
      </c>
      <c r="N11" s="43">
        <f t="shared" ref="N11:AR11" si="15">N$3*$C19</f>
        <v>4.3495637061726189</v>
      </c>
      <c r="O11" s="43">
        <f t="shared" si="15"/>
        <v>4.4558097418786557</v>
      </c>
      <c r="P11" s="43">
        <f t="shared" si="15"/>
        <v>4.5646510310091291</v>
      </c>
      <c r="Q11" s="43">
        <f t="shared" si="15"/>
        <v>4.676150967367791</v>
      </c>
      <c r="R11" s="43">
        <f t="shared" si="15"/>
        <v>4.790374493267807</v>
      </c>
      <c r="S11" s="43">
        <f t="shared" si="15"/>
        <v>4.9073881373569206</v>
      </c>
      <c r="T11" s="43">
        <f t="shared" si="15"/>
        <v>4.9871659352265549</v>
      </c>
      <c r="U11" s="43">
        <f t="shared" si="15"/>
        <v>5.0682406545653675</v>
      </c>
      <c r="V11" s="43">
        <f t="shared" si="15"/>
        <v>5.150633378999907</v>
      </c>
      <c r="W11" s="43">
        <f t="shared" si="15"/>
        <v>5.2343655349063196</v>
      </c>
      <c r="X11" s="43">
        <f t="shared" si="15"/>
        <v>5.3194588969823107</v>
      </c>
      <c r="Y11" s="43">
        <f t="shared" si="15"/>
        <v>5.3708997019833653</v>
      </c>
      <c r="Z11" s="43">
        <f t="shared" si="15"/>
        <v>5.4228379554035939</v>
      </c>
      <c r="AA11" s="43">
        <f t="shared" si="15"/>
        <v>5.475278467722335</v>
      </c>
      <c r="AB11" s="43">
        <f t="shared" si="15"/>
        <v>5.5282260959377467</v>
      </c>
      <c r="AC11" s="43">
        <f t="shared" si="15"/>
        <v>5.5816857440166503</v>
      </c>
      <c r="AD11" s="43">
        <f t="shared" si="15"/>
        <v>5.6331724613260157</v>
      </c>
      <c r="AE11" s="43">
        <f t="shared" si="15"/>
        <v>5.6851341036277345</v>
      </c>
      <c r="AF11" s="43">
        <f t="shared" si="15"/>
        <v>5.7375750517361244</v>
      </c>
      <c r="AG11" s="43">
        <f t="shared" si="15"/>
        <v>5.7904997268751126</v>
      </c>
      <c r="AH11" s="43">
        <f t="shared" si="15"/>
        <v>5.843912591050989</v>
      </c>
      <c r="AI11" s="43">
        <f t="shared" si="15"/>
        <v>5.8662182496120394</v>
      </c>
      <c r="AJ11" s="43">
        <f t="shared" si="15"/>
        <v>5.8886090467503855</v>
      </c>
      <c r="AK11" s="43">
        <f t="shared" si="15"/>
        <v>5.9110853074318799</v>
      </c>
      <c r="AL11" s="43">
        <f t="shared" si="15"/>
        <v>5.9336473578627382</v>
      </c>
      <c r="AM11" s="43">
        <f t="shared" si="15"/>
        <v>5.9562955254942773</v>
      </c>
      <c r="AN11" s="43">
        <f t="shared" si="15"/>
        <v>5.9712050876321339</v>
      </c>
      <c r="AO11" s="43">
        <f t="shared" si="15"/>
        <v>5.9861519707931317</v>
      </c>
      <c r="AP11" s="43">
        <f t="shared" si="15"/>
        <v>6.0011362683977705</v>
      </c>
      <c r="AQ11" s="43">
        <f t="shared" si="15"/>
        <v>6.0161580741004004</v>
      </c>
      <c r="AR11" s="43">
        <f t="shared" si="15"/>
        <v>6.0312174817898034</v>
      </c>
    </row>
    <row r="12" spans="1:46">
      <c r="A12" s="1" t="s">
        <v>825</v>
      </c>
      <c r="B12" s="43">
        <f t="shared" si="12"/>
        <v>0.63059313215400625</v>
      </c>
      <c r="C12" s="43">
        <f t="shared" si="12"/>
        <v>0.67429760665972938</v>
      </c>
      <c r="E12" s="43">
        <f t="shared" si="13"/>
        <v>0.81789802289281999</v>
      </c>
      <c r="F12" s="43">
        <f t="shared" si="13"/>
        <v>0.88657648283038493</v>
      </c>
      <c r="G12" s="43">
        <f t="shared" si="13"/>
        <v>0.93028095733610816</v>
      </c>
      <c r="H12" s="43">
        <f t="shared" si="13"/>
        <v>0.97398543184183139</v>
      </c>
      <c r="I12" s="43">
        <f t="shared" si="13"/>
        <v>0.9927159209157127</v>
      </c>
      <c r="J12" s="43">
        <f t="shared" si="13"/>
        <v>1.0052029136316336</v>
      </c>
      <c r="M12" s="1" t="s">
        <v>825</v>
      </c>
      <c r="N12" s="43">
        <f t="shared" ref="N12:AR12" si="16">N$3*$C20</f>
        <v>0.72492728436210296</v>
      </c>
      <c r="O12" s="43">
        <f t="shared" si="16"/>
        <v>0.74263495697977577</v>
      </c>
      <c r="P12" s="43">
        <f t="shared" si="16"/>
        <v>0.76077517183485466</v>
      </c>
      <c r="Q12" s="43">
        <f t="shared" si="16"/>
        <v>0.77935849456129835</v>
      </c>
      <c r="R12" s="43">
        <f t="shared" si="16"/>
        <v>0.79839574887796771</v>
      </c>
      <c r="S12" s="43">
        <f t="shared" si="16"/>
        <v>0.81789802289281999</v>
      </c>
      <c r="T12" s="43">
        <f t="shared" si="16"/>
        <v>0.83119432253775904</v>
      </c>
      <c r="U12" s="43">
        <f t="shared" si="16"/>
        <v>0.84470677576089448</v>
      </c>
      <c r="V12" s="43">
        <f t="shared" si="16"/>
        <v>0.85843889649998439</v>
      </c>
      <c r="W12" s="43">
        <f t="shared" si="16"/>
        <v>0.87239425581771979</v>
      </c>
      <c r="X12" s="43">
        <f t="shared" si="16"/>
        <v>0.88657648283038493</v>
      </c>
      <c r="Y12" s="43">
        <f t="shared" si="16"/>
        <v>0.89514995033056077</v>
      </c>
      <c r="Z12" s="43">
        <f t="shared" si="16"/>
        <v>0.90380632590059884</v>
      </c>
      <c r="AA12" s="43">
        <f t="shared" si="16"/>
        <v>0.91254641128705571</v>
      </c>
      <c r="AB12" s="43">
        <f t="shared" si="16"/>
        <v>0.92137101598962434</v>
      </c>
      <c r="AC12" s="43">
        <f t="shared" si="16"/>
        <v>0.93028095733610816</v>
      </c>
      <c r="AD12" s="43">
        <f t="shared" si="16"/>
        <v>0.93886207688766909</v>
      </c>
      <c r="AE12" s="43">
        <f t="shared" si="16"/>
        <v>0.9475223506046222</v>
      </c>
      <c r="AF12" s="43">
        <f t="shared" si="16"/>
        <v>0.95626250862268714</v>
      </c>
      <c r="AG12" s="43">
        <f t="shared" si="16"/>
        <v>0.96508328781251862</v>
      </c>
      <c r="AH12" s="43">
        <f t="shared" si="16"/>
        <v>0.97398543184183139</v>
      </c>
      <c r="AI12" s="43">
        <f t="shared" si="16"/>
        <v>0.97770304160200638</v>
      </c>
      <c r="AJ12" s="43">
        <f t="shared" si="16"/>
        <v>0.98143484112506407</v>
      </c>
      <c r="AK12" s="43">
        <f t="shared" si="16"/>
        <v>0.98518088457197983</v>
      </c>
      <c r="AL12" s="43">
        <f t="shared" si="16"/>
        <v>0.98894122631045611</v>
      </c>
      <c r="AM12" s="43">
        <f t="shared" si="16"/>
        <v>0.9927159209157127</v>
      </c>
      <c r="AN12" s="43">
        <f t="shared" si="16"/>
        <v>0.99520084793868879</v>
      </c>
      <c r="AO12" s="43">
        <f t="shared" si="16"/>
        <v>0.99769199513218831</v>
      </c>
      <c r="AP12" s="43">
        <f t="shared" si="16"/>
        <v>1.0001893780662949</v>
      </c>
      <c r="AQ12" s="43">
        <f t="shared" si="16"/>
        <v>1.0026930123500666</v>
      </c>
      <c r="AR12" s="43">
        <f t="shared" si="16"/>
        <v>1.0052029136316336</v>
      </c>
    </row>
    <row r="13" spans="1:46">
      <c r="M13" s="1" t="s">
        <v>67</v>
      </c>
      <c r="N13" s="44">
        <f>SUM(N7:N9)</f>
        <v>116.10918671199684</v>
      </c>
      <c r="O13" s="44">
        <f t="shared" ref="O13:P13" si="17">SUM(O7:O9)</f>
        <v>118.94536560959409</v>
      </c>
      <c r="P13" s="44">
        <f t="shared" si="17"/>
        <v>121.85082335554924</v>
      </c>
      <c r="Q13" s="44">
        <f t="shared" ref="Q13:AR13" si="18">SUM(Q7:Q9)</f>
        <v>124.82725221223464</v>
      </c>
      <c r="R13" s="44">
        <f t="shared" si="18"/>
        <v>127.87638577862117</v>
      </c>
      <c r="S13" s="44">
        <f t="shared" si="18"/>
        <v>131</v>
      </c>
      <c r="T13" s="44">
        <f t="shared" si="18"/>
        <v>133.12962399313108</v>
      </c>
      <c r="U13" s="44">
        <f t="shared" si="18"/>
        <v>135.29386858436993</v>
      </c>
      <c r="V13" s="44">
        <f t="shared" si="18"/>
        <v>137.49329658941417</v>
      </c>
      <c r="W13" s="44">
        <f t="shared" si="18"/>
        <v>139.72847997347145</v>
      </c>
      <c r="X13" s="44">
        <f t="shared" si="18"/>
        <v>142</v>
      </c>
      <c r="Y13" s="44">
        <f t="shared" si="18"/>
        <v>143.37318371127816</v>
      </c>
      <c r="Z13" s="44">
        <f t="shared" si="18"/>
        <v>144.75964653174591</v>
      </c>
      <c r="AA13" s="44">
        <f t="shared" si="18"/>
        <v>146.15951687447676</v>
      </c>
      <c r="AB13" s="44">
        <f t="shared" si="18"/>
        <v>147.57292439433817</v>
      </c>
      <c r="AC13" s="44">
        <f t="shared" si="18"/>
        <v>149</v>
      </c>
      <c r="AD13" s="44">
        <f t="shared" si="18"/>
        <v>150.37440931484167</v>
      </c>
      <c r="AE13" s="44">
        <f t="shared" si="18"/>
        <v>151.76149648850702</v>
      </c>
      <c r="AF13" s="44">
        <f t="shared" si="18"/>
        <v>153.1613784644004</v>
      </c>
      <c r="AG13" s="44">
        <f t="shared" si="18"/>
        <v>154.57417326463843</v>
      </c>
      <c r="AH13" s="44">
        <f t="shared" si="18"/>
        <v>156</v>
      </c>
      <c r="AI13" s="44">
        <f t="shared" si="18"/>
        <v>156.59543716325473</v>
      </c>
      <c r="AJ13" s="44">
        <f t="shared" si="18"/>
        <v>157.19314705353111</v>
      </c>
      <c r="AK13" s="44">
        <f t="shared" si="18"/>
        <v>157.79313834561211</v>
      </c>
      <c r="AL13" s="44">
        <f t="shared" si="18"/>
        <v>158.39541974739143</v>
      </c>
      <c r="AM13" s="44">
        <f t="shared" si="18"/>
        <v>159</v>
      </c>
      <c r="AN13" s="44">
        <f t="shared" si="18"/>
        <v>159.39800247817999</v>
      </c>
      <c r="AO13" s="44">
        <f t="shared" si="18"/>
        <v>159.79700122033887</v>
      </c>
      <c r="AP13" s="44">
        <f t="shared" si="18"/>
        <v>160.19699872028491</v>
      </c>
      <c r="AQ13" s="44">
        <f t="shared" si="18"/>
        <v>160.59799747806903</v>
      </c>
      <c r="AR13" s="44">
        <f t="shared" si="18"/>
        <v>161</v>
      </c>
    </row>
    <row r="14" spans="1:46">
      <c r="A14" t="s">
        <v>775</v>
      </c>
    </row>
    <row r="15" spans="1:46">
      <c r="A15" s="1" t="s">
        <v>822</v>
      </c>
      <c r="E15" s="1" t="s">
        <v>826</v>
      </c>
      <c r="M15" s="1" t="s">
        <v>826</v>
      </c>
    </row>
    <row r="16" spans="1:46">
      <c r="A16" t="s">
        <v>7</v>
      </c>
      <c r="B16" s="51">
        <v>42.9</v>
      </c>
      <c r="C16" s="2">
        <f>B16/$B$21</f>
        <v>0.44640998959417277</v>
      </c>
      <c r="E16" t="s">
        <v>7</v>
      </c>
      <c r="F16" s="51">
        <f>B16-7.1</f>
        <v>35.799999999999997</v>
      </c>
      <c r="G16" s="2">
        <f>F16/$F$21</f>
        <v>0.36125126135216951</v>
      </c>
      <c r="M16" s="1" t="s">
        <v>7</v>
      </c>
      <c r="N16" s="43">
        <f>N$3*$G16</f>
        <v>41.944590154283411</v>
      </c>
      <c r="O16" s="43">
        <f t="shared" ref="O16:AR17" si="19">O$3*$G16</f>
        <v>42.969163358460833</v>
      </c>
      <c r="P16" s="43">
        <f t="shared" si="19"/>
        <v>44.018763633992556</v>
      </c>
      <c r="Q16" s="43">
        <f t="shared" si="19"/>
        <v>45.094002312795148</v>
      </c>
      <c r="R16" s="43">
        <f t="shared" si="19"/>
        <v>46.195505659683526</v>
      </c>
      <c r="S16" s="43">
        <f t="shared" si="19"/>
        <v>47.323915237134209</v>
      </c>
      <c r="T16" s="43">
        <f t="shared" si="19"/>
        <v>48.093244590858653</v>
      </c>
      <c r="U16" s="43">
        <f t="shared" si="19"/>
        <v>48.875080679318295</v>
      </c>
      <c r="V16" s="43">
        <f t="shared" si="19"/>
        <v>49.669626820393816</v>
      </c>
      <c r="W16" s="43">
        <f t="shared" si="19"/>
        <v>50.477089637237917</v>
      </c>
      <c r="X16" s="43">
        <f t="shared" si="19"/>
        <v>51.297679112008069</v>
      </c>
      <c r="Y16" s="43">
        <f t="shared" si="19"/>
        <v>51.793743459775555</v>
      </c>
      <c r="Z16" s="43">
        <f t="shared" si="19"/>
        <v>52.294604902487421</v>
      </c>
      <c r="AA16" s="43">
        <f t="shared" si="19"/>
        <v>52.800309829528437</v>
      </c>
      <c r="AB16" s="43">
        <f t="shared" si="19"/>
        <v>53.31090507888301</v>
      </c>
      <c r="AC16" s="43">
        <f t="shared" si="19"/>
        <v>53.826437941473259</v>
      </c>
      <c r="AD16" s="43">
        <f t="shared" si="19"/>
        <v>54.322945040073982</v>
      </c>
      <c r="AE16" s="43">
        <f t="shared" si="19"/>
        <v>54.824032031165991</v>
      </c>
      <c r="AF16" s="43">
        <f t="shared" si="19"/>
        <v>55.329741160701658</v>
      </c>
      <c r="AG16" s="43">
        <f t="shared" si="19"/>
        <v>55.84011506431942</v>
      </c>
      <c r="AH16" s="43">
        <f t="shared" si="19"/>
        <v>56.355196770938441</v>
      </c>
      <c r="AI16" s="43">
        <f t="shared" si="19"/>
        <v>56.570299197220159</v>
      </c>
      <c r="AJ16" s="43">
        <f t="shared" si="19"/>
        <v>56.786222649005182</v>
      </c>
      <c r="AK16" s="43">
        <f t="shared" si="19"/>
        <v>57.002970260069759</v>
      </c>
      <c r="AL16" s="43">
        <f t="shared" si="19"/>
        <v>57.220545176151482</v>
      </c>
      <c r="AM16" s="43">
        <f t="shared" si="19"/>
        <v>57.438950554994953</v>
      </c>
      <c r="AN16" s="43">
        <f t="shared" si="19"/>
        <v>57.582729452258761</v>
      </c>
      <c r="AO16" s="43">
        <f t="shared" si="19"/>
        <v>57.726868251141575</v>
      </c>
      <c r="AP16" s="43">
        <f t="shared" si="19"/>
        <v>57.87136785253481</v>
      </c>
      <c r="AQ16" s="43">
        <f t="shared" si="19"/>
        <v>58.016229159584967</v>
      </c>
      <c r="AR16" s="43">
        <f t="shared" si="19"/>
        <v>58.161453077699292</v>
      </c>
    </row>
    <row r="17" spans="1:44">
      <c r="A17" t="s">
        <v>8</v>
      </c>
      <c r="B17" s="51">
        <v>11.6</v>
      </c>
      <c r="C17" s="2">
        <f>B17/$B$21</f>
        <v>0.12070759625390219</v>
      </c>
      <c r="E17" t="s">
        <v>8</v>
      </c>
      <c r="F17" s="51">
        <f>B17+11.6</f>
        <v>23.2</v>
      </c>
      <c r="G17" s="2">
        <f t="shared" ref="G17:G20" si="20">F17/$F$21</f>
        <v>0.23410696266397579</v>
      </c>
      <c r="M17" s="1" t="s">
        <v>8</v>
      </c>
      <c r="N17" s="43">
        <f>N$3*$G17</f>
        <v>27.181969038530035</v>
      </c>
      <c r="O17" s="43">
        <f t="shared" si="19"/>
        <v>27.845938265818194</v>
      </c>
      <c r="P17" s="43">
        <f t="shared" si="19"/>
        <v>28.526126153872273</v>
      </c>
      <c r="Q17" s="43">
        <f t="shared" si="19"/>
        <v>29.222928873096301</v>
      </c>
      <c r="R17" s="43">
        <f t="shared" si="19"/>
        <v>29.936752271079833</v>
      </c>
      <c r="S17" s="43">
        <f t="shared" si="19"/>
        <v>30.668012108980829</v>
      </c>
      <c r="T17" s="43">
        <f t="shared" si="19"/>
        <v>31.166571913629074</v>
      </c>
      <c r="U17" s="43">
        <f t="shared" si="19"/>
        <v>31.673236641345937</v>
      </c>
      <c r="V17" s="43">
        <f t="shared" si="19"/>
        <v>32.18813805120493</v>
      </c>
      <c r="W17" s="43">
        <f t="shared" si="19"/>
        <v>32.711410044243571</v>
      </c>
      <c r="X17" s="43">
        <f t="shared" si="19"/>
        <v>33.243188698284563</v>
      </c>
      <c r="Y17" s="43">
        <f t="shared" si="19"/>
        <v>33.564660566111542</v>
      </c>
      <c r="Z17" s="43">
        <f t="shared" si="19"/>
        <v>33.889241165857776</v>
      </c>
      <c r="AA17" s="43">
        <f t="shared" si="19"/>
        <v>34.216960559917872</v>
      </c>
      <c r="AB17" s="43">
        <f t="shared" si="19"/>
        <v>34.547849101399052</v>
      </c>
      <c r="AC17" s="43">
        <f t="shared" si="19"/>
        <v>34.88193743693239</v>
      </c>
      <c r="AD17" s="43">
        <f t="shared" si="19"/>
        <v>35.20369622708705</v>
      </c>
      <c r="AE17" s="43">
        <f t="shared" si="19"/>
        <v>35.528422992263998</v>
      </c>
      <c r="AF17" s="43">
        <f t="shared" si="19"/>
        <v>35.856145109728452</v>
      </c>
      <c r="AG17" s="43">
        <f t="shared" si="19"/>
        <v>36.186890209279625</v>
      </c>
      <c r="AH17" s="43">
        <f t="shared" si="19"/>
        <v>36.520686175580224</v>
      </c>
      <c r="AI17" s="43">
        <f t="shared" si="19"/>
        <v>36.660082161327033</v>
      </c>
      <c r="AJ17" s="43">
        <f t="shared" si="19"/>
        <v>36.800010208293862</v>
      </c>
      <c r="AK17" s="43">
        <f t="shared" si="19"/>
        <v>36.940472347307782</v>
      </c>
      <c r="AL17" s="43">
        <f t="shared" si="19"/>
        <v>37.081470616947335</v>
      </c>
      <c r="AM17" s="43">
        <f t="shared" si="19"/>
        <v>37.223007063572155</v>
      </c>
      <c r="AN17" s="43">
        <f t="shared" si="19"/>
        <v>37.316182214871603</v>
      </c>
      <c r="AO17" s="43">
        <f t="shared" si="19"/>
        <v>37.409590598505162</v>
      </c>
      <c r="AP17" s="43">
        <f t="shared" si="19"/>
        <v>37.503232798290718</v>
      </c>
      <c r="AQ17" s="43">
        <f t="shared" si="19"/>
        <v>37.59710939950758</v>
      </c>
      <c r="AR17" s="43">
        <f t="shared" si="19"/>
        <v>37.691220988900099</v>
      </c>
    </row>
    <row r="18" spans="1:44">
      <c r="A18" t="s">
        <v>823</v>
      </c>
      <c r="B18" s="51">
        <v>37.4</v>
      </c>
      <c r="C18" s="2">
        <f>B18/$B$21</f>
        <v>0.3891779396462019</v>
      </c>
      <c r="E18" t="s">
        <v>823</v>
      </c>
      <c r="F18" s="51">
        <f>B18-0.9</f>
        <v>36.5</v>
      </c>
      <c r="G18" s="2">
        <f t="shared" si="20"/>
        <v>0.36831483350151362</v>
      </c>
      <c r="M18" s="1" t="s">
        <v>9</v>
      </c>
      <c r="N18" s="43">
        <f>SUM(N19:N21)</f>
        <v>46.982627519183382</v>
      </c>
      <c r="O18" s="43">
        <f t="shared" ref="O18:AR18" si="21">SUM(O19:O21)</f>
        <v>48.130263985315068</v>
      </c>
      <c r="P18" s="43">
        <f t="shared" si="21"/>
        <v>49.305933567684399</v>
      </c>
      <c r="Q18" s="43">
        <f t="shared" si="21"/>
        <v>50.510321026343171</v>
      </c>
      <c r="R18" s="43">
        <f t="shared" si="21"/>
        <v>51.744127847857811</v>
      </c>
      <c r="S18" s="43">
        <f t="shared" si="21"/>
        <v>53.008072653884966</v>
      </c>
      <c r="T18" s="43">
        <f t="shared" si="21"/>
        <v>53.869807488643346</v>
      </c>
      <c r="U18" s="43">
        <f t="shared" si="21"/>
        <v>54.745551263705693</v>
      </c>
      <c r="V18" s="43">
        <f t="shared" si="21"/>
        <v>55.635531717815418</v>
      </c>
      <c r="W18" s="43">
        <f t="shared" si="21"/>
        <v>56.539980291989956</v>
      </c>
      <c r="X18" s="43">
        <f t="shared" si="21"/>
        <v>57.459132189707368</v>
      </c>
      <c r="Y18" s="43">
        <f t="shared" si="21"/>
        <v>58.014779685391062</v>
      </c>
      <c r="Z18" s="43">
        <f t="shared" si="21"/>
        <v>58.575800463400718</v>
      </c>
      <c r="AA18" s="43">
        <f t="shared" si="21"/>
        <v>59.142246485030462</v>
      </c>
      <c r="AB18" s="43">
        <f t="shared" si="21"/>
        <v>59.714170214056111</v>
      </c>
      <c r="AC18" s="43">
        <f t="shared" si="21"/>
        <v>60.291624621594352</v>
      </c>
      <c r="AD18" s="43">
        <f t="shared" si="21"/>
        <v>60.847768047680631</v>
      </c>
      <c r="AE18" s="43">
        <f t="shared" si="21"/>
        <v>61.409041465076996</v>
      </c>
      <c r="AF18" s="43">
        <f t="shared" si="21"/>
        <v>61.97549219397029</v>
      </c>
      <c r="AG18" s="43">
        <f t="shared" si="21"/>
        <v>62.547167991039352</v>
      </c>
      <c r="AH18" s="43">
        <f t="shared" si="21"/>
        <v>63.124117053481328</v>
      </c>
      <c r="AI18" s="43">
        <f t="shared" si="21"/>
        <v>63.365055804707509</v>
      </c>
      <c r="AJ18" s="43">
        <f t="shared" si="21"/>
        <v>63.606914196232061</v>
      </c>
      <c r="AK18" s="43">
        <f t="shared" si="21"/>
        <v>63.849695738234566</v>
      </c>
      <c r="AL18" s="43">
        <f t="shared" si="21"/>
        <v>64.093403954292583</v>
      </c>
      <c r="AM18" s="43">
        <f t="shared" si="21"/>
        <v>64.338042381432885</v>
      </c>
      <c r="AN18" s="43">
        <f t="shared" si="21"/>
        <v>64.499090811049626</v>
      </c>
      <c r="AO18" s="43">
        <f t="shared" si="21"/>
        <v>64.660542370692099</v>
      </c>
      <c r="AP18" s="43">
        <f t="shared" si="21"/>
        <v>64.822398069459382</v>
      </c>
      <c r="AQ18" s="43">
        <f t="shared" si="21"/>
        <v>64.98465891897645</v>
      </c>
      <c r="AR18" s="43">
        <f t="shared" si="21"/>
        <v>65.147325933400609</v>
      </c>
    </row>
    <row r="19" spans="1:44">
      <c r="A19" t="s">
        <v>824</v>
      </c>
      <c r="B19" s="51">
        <v>3.6</v>
      </c>
      <c r="C19" s="2">
        <f>B19/$B$21</f>
        <v>3.7460978147762752E-2</v>
      </c>
      <c r="E19" t="s">
        <v>824</v>
      </c>
      <c r="F19" s="51">
        <f>B19-0.8</f>
        <v>2.8</v>
      </c>
      <c r="G19" s="2">
        <f t="shared" si="20"/>
        <v>2.8254288597376387E-2</v>
      </c>
      <c r="M19" s="1" t="s">
        <v>823</v>
      </c>
      <c r="N19" s="43">
        <f>N$3*$G18</f>
        <v>42.764735771825272</v>
      </c>
      <c r="O19" s="43">
        <f t="shared" ref="O19:AR21" si="22">O$3*$G18</f>
        <v>43.809342530274314</v>
      </c>
      <c r="P19" s="43">
        <f t="shared" si="22"/>
        <v>44.879465716221461</v>
      </c>
      <c r="Q19" s="43">
        <f t="shared" si="22"/>
        <v>45.975728615000641</v>
      </c>
      <c r="R19" s="43">
        <f t="shared" si="22"/>
        <v>47.098769736828181</v>
      </c>
      <c r="S19" s="43">
        <f t="shared" si="22"/>
        <v>48.249243188698287</v>
      </c>
      <c r="T19" s="43">
        <f t="shared" si="22"/>
        <v>49.033615295149183</v>
      </c>
      <c r="U19" s="43">
        <f t="shared" si="22"/>
        <v>49.830738681427874</v>
      </c>
      <c r="V19" s="43">
        <f t="shared" si="22"/>
        <v>50.640820640904309</v>
      </c>
      <c r="W19" s="43">
        <f t="shared" si="22"/>
        <v>51.464071836848717</v>
      </c>
      <c r="X19" s="43">
        <f t="shared" si="22"/>
        <v>52.300706357214935</v>
      </c>
      <c r="Y19" s="43">
        <f t="shared" si="22"/>
        <v>52.806470287201343</v>
      </c>
      <c r="Z19" s="43">
        <f t="shared" si="22"/>
        <v>53.31712511007796</v>
      </c>
      <c r="AA19" s="43">
        <f t="shared" si="22"/>
        <v>53.832718122284582</v>
      </c>
      <c r="AB19" s="43">
        <f t="shared" si="22"/>
        <v>54.353297077632121</v>
      </c>
      <c r="AC19" s="43">
        <f t="shared" si="22"/>
        <v>54.878910191725531</v>
      </c>
      <c r="AD19" s="43">
        <f t="shared" si="22"/>
        <v>55.385125529684366</v>
      </c>
      <c r="AE19" s="43">
        <f t="shared" si="22"/>
        <v>55.896010311104995</v>
      </c>
      <c r="AF19" s="43">
        <f t="shared" si="22"/>
        <v>56.411607607977949</v>
      </c>
      <c r="AG19" s="43">
        <f t="shared" si="22"/>
        <v>56.931960889599409</v>
      </c>
      <c r="AH19" s="43">
        <f t="shared" si="22"/>
        <v>57.457114026236127</v>
      </c>
      <c r="AI19" s="43">
        <f t="shared" si="22"/>
        <v>57.676422365880896</v>
      </c>
      <c r="AJ19" s="43">
        <f t="shared" si="22"/>
        <v>57.896567784600258</v>
      </c>
      <c r="AK19" s="43">
        <f t="shared" si="22"/>
        <v>58.117553477445426</v>
      </c>
      <c r="AL19" s="43">
        <f t="shared" si="22"/>
        <v>58.339382651662824</v>
      </c>
      <c r="AM19" s="43">
        <f t="shared" si="22"/>
        <v>58.562058526740664</v>
      </c>
      <c r="AN19" s="43">
        <f t="shared" si="22"/>
        <v>58.708648743224721</v>
      </c>
      <c r="AO19" s="43">
        <f t="shared" si="22"/>
        <v>58.855605898510269</v>
      </c>
      <c r="AP19" s="43">
        <f t="shared" si="22"/>
        <v>59.002930911103924</v>
      </c>
      <c r="AQ19" s="43">
        <f t="shared" si="22"/>
        <v>59.150624701811488</v>
      </c>
      <c r="AR19" s="43">
        <f t="shared" si="22"/>
        <v>59.298688193743693</v>
      </c>
    </row>
    <row r="20" spans="1:44">
      <c r="A20" t="s">
        <v>825</v>
      </c>
      <c r="B20" s="51">
        <v>0.6</v>
      </c>
      <c r="C20" s="23">
        <f>B20/$B$21</f>
        <v>6.2434963579604576E-3</v>
      </c>
      <c r="E20" t="s">
        <v>825</v>
      </c>
      <c r="F20" s="51">
        <v>0.8</v>
      </c>
      <c r="G20" s="2">
        <f t="shared" si="20"/>
        <v>8.0726538849646822E-3</v>
      </c>
      <c r="M20" s="1" t="s">
        <v>824</v>
      </c>
      <c r="N20" s="43">
        <f>N$3*$G19</f>
        <v>3.2805824701674178</v>
      </c>
      <c r="O20" s="43">
        <f t="shared" si="22"/>
        <v>3.3607166872539196</v>
      </c>
      <c r="P20" s="43">
        <f t="shared" si="22"/>
        <v>3.4428083289156186</v>
      </c>
      <c r="Q20" s="43">
        <f t="shared" si="22"/>
        <v>3.526905208821967</v>
      </c>
      <c r="R20" s="43">
        <f t="shared" si="22"/>
        <v>3.6130563085786003</v>
      </c>
      <c r="S20" s="43">
        <f t="shared" si="22"/>
        <v>3.7013118062563066</v>
      </c>
      <c r="T20" s="43">
        <f t="shared" si="22"/>
        <v>3.7614828171621291</v>
      </c>
      <c r="U20" s="43">
        <f t="shared" si="22"/>
        <v>3.8226320084383025</v>
      </c>
      <c r="V20" s="43">
        <f t="shared" si="22"/>
        <v>3.8847752820419745</v>
      </c>
      <c r="W20" s="43">
        <f t="shared" si="22"/>
        <v>3.9479287984431894</v>
      </c>
      <c r="X20" s="43">
        <f t="shared" si="22"/>
        <v>4.0121089808274473</v>
      </c>
      <c r="Y20" s="43">
        <f t="shared" si="22"/>
        <v>4.0509073097031161</v>
      </c>
      <c r="Z20" s="43">
        <f t="shared" si="22"/>
        <v>4.0900808303621448</v>
      </c>
      <c r="AA20" s="43">
        <f t="shared" si="22"/>
        <v>4.1296331710245706</v>
      </c>
      <c r="AB20" s="43">
        <f t="shared" si="22"/>
        <v>4.169567994996437</v>
      </c>
      <c r="AC20" s="43">
        <f t="shared" si="22"/>
        <v>4.2098890010090813</v>
      </c>
      <c r="AD20" s="43">
        <f t="shared" si="22"/>
        <v>4.248721958441541</v>
      </c>
      <c r="AE20" s="43">
        <f t="shared" si="22"/>
        <v>4.2879131197559994</v>
      </c>
      <c r="AF20" s="43">
        <f t="shared" si="22"/>
        <v>4.3274657891051573</v>
      </c>
      <c r="AG20" s="43">
        <f t="shared" si="22"/>
        <v>4.367383301119955</v>
      </c>
      <c r="AH20" s="43">
        <f t="shared" si="22"/>
        <v>4.4076690211907161</v>
      </c>
      <c r="AI20" s="43">
        <f t="shared" si="22"/>
        <v>4.4244926746429174</v>
      </c>
      <c r="AJ20" s="43">
        <f t="shared" si="22"/>
        <v>4.4413805423802932</v>
      </c>
      <c r="AK20" s="43">
        <f t="shared" si="22"/>
        <v>4.4583328695026632</v>
      </c>
      <c r="AL20" s="43">
        <f t="shared" si="22"/>
        <v>4.4753499020453678</v>
      </c>
      <c r="AM20" s="43">
        <f t="shared" si="22"/>
        <v>4.4924318869828452</v>
      </c>
      <c r="AN20" s="43">
        <f t="shared" si="22"/>
        <v>4.5036771638638138</v>
      </c>
      <c r="AO20" s="43">
        <f t="shared" si="22"/>
        <v>4.5149505894747604</v>
      </c>
      <c r="AP20" s="43">
        <f t="shared" si="22"/>
        <v>4.5262522342764653</v>
      </c>
      <c r="AQ20" s="43">
        <f t="shared" si="22"/>
        <v>4.5375821689060869</v>
      </c>
      <c r="AR20" s="43">
        <f t="shared" si="22"/>
        <v>4.5489404641775986</v>
      </c>
    </row>
    <row r="21" spans="1:44">
      <c r="B21">
        <f>SUM(B16:B20)</f>
        <v>96.1</v>
      </c>
      <c r="C21" s="6">
        <f>SUM(C16:C20)</f>
        <v>1</v>
      </c>
      <c r="F21">
        <f>SUM(F16:F20)</f>
        <v>99.1</v>
      </c>
      <c r="G21" s="6">
        <f>SUM(G16:G20)</f>
        <v>1</v>
      </c>
      <c r="M21" s="1" t="s">
        <v>825</v>
      </c>
      <c r="N21" s="43">
        <f>N$3*$G20</f>
        <v>0.93730927719069079</v>
      </c>
      <c r="O21" s="43">
        <f t="shared" si="22"/>
        <v>0.96020476778683428</v>
      </c>
      <c r="P21" s="43">
        <f t="shared" si="22"/>
        <v>0.9836595225473197</v>
      </c>
      <c r="Q21" s="43">
        <f t="shared" si="22"/>
        <v>1.0076872025205621</v>
      </c>
      <c r="R21" s="43">
        <f t="shared" si="22"/>
        <v>1.0323018024510286</v>
      </c>
      <c r="S21" s="43">
        <f t="shared" si="22"/>
        <v>1.0575176589303734</v>
      </c>
      <c r="T21" s="43">
        <f t="shared" si="22"/>
        <v>1.074709376332037</v>
      </c>
      <c r="U21" s="43">
        <f t="shared" si="22"/>
        <v>1.0921805738395152</v>
      </c>
      <c r="V21" s="43">
        <f t="shared" si="22"/>
        <v>1.1099357948691355</v>
      </c>
      <c r="W21" s="43">
        <f t="shared" si="22"/>
        <v>1.127979656698054</v>
      </c>
      <c r="X21" s="43">
        <f t="shared" si="22"/>
        <v>1.1463168516649849</v>
      </c>
      <c r="Y21" s="43">
        <f t="shared" si="22"/>
        <v>1.1574020884866048</v>
      </c>
      <c r="Z21" s="43">
        <f t="shared" si="22"/>
        <v>1.1685945229606129</v>
      </c>
      <c r="AA21" s="43">
        <f t="shared" si="22"/>
        <v>1.1798951917213059</v>
      </c>
      <c r="AB21" s="43">
        <f t="shared" si="22"/>
        <v>1.1913051414275533</v>
      </c>
      <c r="AC21" s="43">
        <f t="shared" si="22"/>
        <v>1.2028254288597378</v>
      </c>
      <c r="AD21" s="43">
        <f t="shared" si="22"/>
        <v>1.213920559554726</v>
      </c>
      <c r="AE21" s="43">
        <f t="shared" si="22"/>
        <v>1.225118034216</v>
      </c>
      <c r="AF21" s="43">
        <f t="shared" si="22"/>
        <v>1.2364187968871878</v>
      </c>
      <c r="AG21" s="43">
        <f t="shared" si="22"/>
        <v>1.2478238003199871</v>
      </c>
      <c r="AH21" s="43">
        <f t="shared" si="22"/>
        <v>1.2593340060544904</v>
      </c>
      <c r="AI21" s="43">
        <f t="shared" si="22"/>
        <v>1.2641407641836908</v>
      </c>
      <c r="AJ21" s="43">
        <f t="shared" si="22"/>
        <v>1.2689658692515124</v>
      </c>
      <c r="AK21" s="43">
        <f t="shared" si="22"/>
        <v>1.2738093912864752</v>
      </c>
      <c r="AL21" s="43">
        <f t="shared" si="22"/>
        <v>1.2786714005843907</v>
      </c>
      <c r="AM21" s="43">
        <f t="shared" si="22"/>
        <v>1.2835519677093845</v>
      </c>
      <c r="AN21" s="43">
        <f t="shared" si="22"/>
        <v>1.2867649039610898</v>
      </c>
      <c r="AO21" s="43">
        <f t="shared" si="22"/>
        <v>1.2899858827070745</v>
      </c>
      <c r="AP21" s="43">
        <f t="shared" si="22"/>
        <v>1.2932149240789903</v>
      </c>
      <c r="AQ21" s="43">
        <f t="shared" si="22"/>
        <v>1.2964520482588819</v>
      </c>
      <c r="AR21" s="43">
        <f t="shared" si="22"/>
        <v>1.2996972754793139</v>
      </c>
    </row>
    <row r="22" spans="1:44">
      <c r="A22" t="s">
        <v>827</v>
      </c>
      <c r="B22" t="s">
        <v>828</v>
      </c>
      <c r="M22" s="1" t="s">
        <v>67</v>
      </c>
      <c r="N22" s="44">
        <f>SUM(N16:N18)</f>
        <v>116.10918671199683</v>
      </c>
      <c r="O22" s="44">
        <f t="shared" ref="O22:AR22" si="23">SUM(O16:O18)</f>
        <v>118.94536560959409</v>
      </c>
      <c r="P22" s="44">
        <f t="shared" si="23"/>
        <v>121.85082335554924</v>
      </c>
      <c r="Q22" s="44">
        <f t="shared" si="23"/>
        <v>124.82725221223461</v>
      </c>
      <c r="R22" s="44">
        <f t="shared" si="23"/>
        <v>127.87638577862117</v>
      </c>
      <c r="S22" s="44">
        <f t="shared" si="23"/>
        <v>131</v>
      </c>
      <c r="T22" s="44">
        <f t="shared" si="23"/>
        <v>133.12962399313108</v>
      </c>
      <c r="U22" s="44">
        <f t="shared" si="23"/>
        <v>135.29386858436993</v>
      </c>
      <c r="V22" s="44">
        <f t="shared" si="23"/>
        <v>137.49329658941417</v>
      </c>
      <c r="W22" s="44">
        <f t="shared" si="23"/>
        <v>139.72847997347145</v>
      </c>
      <c r="X22" s="44">
        <f t="shared" si="23"/>
        <v>142</v>
      </c>
      <c r="Y22" s="44">
        <f t="shared" si="23"/>
        <v>143.37318371127816</v>
      </c>
      <c r="Z22" s="44">
        <f t="shared" si="23"/>
        <v>144.75964653174591</v>
      </c>
      <c r="AA22" s="44">
        <f t="shared" si="23"/>
        <v>146.15951687447676</v>
      </c>
      <c r="AB22" s="44">
        <f t="shared" si="23"/>
        <v>147.57292439433817</v>
      </c>
      <c r="AC22" s="44">
        <f t="shared" si="23"/>
        <v>149</v>
      </c>
      <c r="AD22" s="44">
        <f t="shared" si="23"/>
        <v>150.37440931484167</v>
      </c>
      <c r="AE22" s="44">
        <f t="shared" si="23"/>
        <v>151.76149648850699</v>
      </c>
      <c r="AF22" s="44">
        <f t="shared" si="23"/>
        <v>153.1613784644004</v>
      </c>
      <c r="AG22" s="44">
        <f t="shared" si="23"/>
        <v>154.5741732646384</v>
      </c>
      <c r="AH22" s="44">
        <f t="shared" si="23"/>
        <v>156</v>
      </c>
      <c r="AI22" s="44">
        <f t="shared" si="23"/>
        <v>156.5954371632547</v>
      </c>
      <c r="AJ22" s="44">
        <f t="shared" si="23"/>
        <v>157.19314705353111</v>
      </c>
      <c r="AK22" s="44">
        <f t="shared" si="23"/>
        <v>157.79313834561211</v>
      </c>
      <c r="AL22" s="44">
        <f t="shared" si="23"/>
        <v>158.3954197473914</v>
      </c>
      <c r="AM22" s="44">
        <f t="shared" si="23"/>
        <v>159</v>
      </c>
      <c r="AN22" s="44">
        <f t="shared" si="23"/>
        <v>159.39800247817999</v>
      </c>
      <c r="AO22" s="44">
        <f t="shared" si="23"/>
        <v>159.79700122033884</v>
      </c>
      <c r="AP22" s="44">
        <f t="shared" si="23"/>
        <v>160.19699872028491</v>
      </c>
      <c r="AQ22" s="44">
        <f t="shared" si="23"/>
        <v>160.59799747806898</v>
      </c>
      <c r="AR22" s="44">
        <f t="shared" si="23"/>
        <v>161</v>
      </c>
    </row>
    <row r="23" spans="1:44">
      <c r="B23" s="51" t="s">
        <v>829</v>
      </c>
    </row>
    <row r="24" spans="1:44">
      <c r="B24" s="51"/>
      <c r="N24" s="2"/>
      <c r="O24" s="2"/>
      <c r="P24" s="2"/>
      <c r="Q24" s="2"/>
      <c r="R24" s="2"/>
      <c r="S24" s="2"/>
      <c r="T24" s="2"/>
      <c r="U24" s="2"/>
      <c r="V24" s="2"/>
      <c r="W24" s="2"/>
      <c r="X24" s="2"/>
      <c r="Y24" s="2"/>
      <c r="Z24" s="2"/>
      <c r="AA24" s="2"/>
      <c r="AB24" s="2"/>
      <c r="AC24" s="2"/>
    </row>
    <row r="25" spans="1:44">
      <c r="A25" t="s">
        <v>830</v>
      </c>
      <c r="B25" s="51"/>
      <c r="N25" s="2"/>
      <c r="O25" s="2"/>
      <c r="P25" s="2"/>
      <c r="Q25" s="2"/>
      <c r="R25" s="2"/>
      <c r="S25" s="2"/>
      <c r="T25" s="2"/>
      <c r="U25" s="2"/>
      <c r="V25" s="2"/>
      <c r="W25" s="2"/>
      <c r="X25" s="2"/>
      <c r="Y25" s="2"/>
      <c r="Z25" s="2"/>
      <c r="AA25" s="2"/>
      <c r="AB25" s="2"/>
      <c r="AC25" s="2"/>
    </row>
    <row r="26" spans="1:44">
      <c r="A26" t="s">
        <v>8</v>
      </c>
      <c r="B26" s="51">
        <f>F17-B17</f>
        <v>11.6</v>
      </c>
      <c r="C26" t="s">
        <v>831</v>
      </c>
      <c r="D26" t="s">
        <v>832</v>
      </c>
      <c r="F26" s="2">
        <f>B26/F17</f>
        <v>0.5</v>
      </c>
      <c r="G26" t="s">
        <v>833</v>
      </c>
      <c r="N26" s="2"/>
      <c r="O26" s="2"/>
      <c r="P26" s="2"/>
      <c r="Q26" s="2"/>
      <c r="R26" s="2"/>
      <c r="S26" s="2"/>
      <c r="T26" s="2"/>
      <c r="U26" s="2"/>
      <c r="V26" s="2"/>
      <c r="W26" s="2"/>
      <c r="X26" s="2"/>
      <c r="Y26" s="2"/>
      <c r="Z26" s="2"/>
      <c r="AA26" s="2"/>
      <c r="AB26" s="2"/>
      <c r="AC26" s="2"/>
    </row>
    <row r="27" spans="1:44">
      <c r="A27" t="s">
        <v>7</v>
      </c>
      <c r="B27" s="51">
        <f>B16-F16</f>
        <v>7.1000000000000014</v>
      </c>
      <c r="C27" t="s">
        <v>831</v>
      </c>
      <c r="D27" t="s">
        <v>834</v>
      </c>
      <c r="F27" s="2">
        <f>B27/B26</f>
        <v>0.61206896551724155</v>
      </c>
      <c r="G27" t="s">
        <v>835</v>
      </c>
    </row>
    <row r="28" spans="1:44">
      <c r="A28" t="s">
        <v>9</v>
      </c>
      <c r="B28">
        <f>-SUM(F18:F20)+SUM(B18:B20)</f>
        <v>1.5000000000000071</v>
      </c>
      <c r="C28" t="s">
        <v>831</v>
      </c>
      <c r="F28" s="2">
        <f>B28/B26</f>
        <v>0.12931034482758683</v>
      </c>
      <c r="G28" t="s">
        <v>836</v>
      </c>
    </row>
  </sheetData>
  <hyperlinks>
    <hyperlink ref="A5" r:id="rId1" xr:uid="{52BF912B-1713-4527-B667-7E6AA3434639}"/>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80DA-3A0D-498F-8FDD-E2257FC1F5C2}">
  <sheetPr>
    <tabColor theme="7"/>
  </sheetPr>
  <dimension ref="A1:AU22"/>
  <sheetViews>
    <sheetView workbookViewId="0">
      <selection activeCell="C5" sqref="C5"/>
    </sheetView>
  </sheetViews>
  <sheetFormatPr baseColWidth="10" defaultColWidth="8.83203125" defaultRowHeight="15"/>
  <cols>
    <col min="1" max="1" width="15" customWidth="1"/>
    <col min="3" max="3" width="18.6640625" customWidth="1"/>
    <col min="4" max="4" width="10.5" bestFit="1" customWidth="1"/>
    <col min="5" max="5" width="17.1640625" customWidth="1"/>
    <col min="6" max="6" width="15.83203125" customWidth="1"/>
    <col min="7" max="7" width="17.1640625" customWidth="1"/>
    <col min="8" max="8" width="17.5" customWidth="1"/>
    <col min="9" max="9" width="10.5" bestFit="1" customWidth="1"/>
    <col min="14" max="14" width="12" customWidth="1"/>
    <col min="19" max="19" width="15.5" customWidth="1"/>
  </cols>
  <sheetData>
    <row r="1" spans="1:47" s="81" customFormat="1" ht="16" thickBot="1">
      <c r="B1" s="81">
        <v>2017</v>
      </c>
      <c r="C1" s="81">
        <v>2020</v>
      </c>
      <c r="D1" s="81">
        <v>2025</v>
      </c>
      <c r="E1" s="81">
        <v>2030</v>
      </c>
      <c r="F1" s="81">
        <v>2035</v>
      </c>
      <c r="G1" s="81">
        <v>2040</v>
      </c>
      <c r="H1" s="81">
        <v>2045</v>
      </c>
      <c r="I1" s="81">
        <v>2050</v>
      </c>
      <c r="M1" s="68"/>
      <c r="N1" s="62" t="s">
        <v>518</v>
      </c>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row>
    <row r="2" spans="1:47">
      <c r="A2" t="s">
        <v>764</v>
      </c>
      <c r="C2" s="23">
        <f>'Demand Breakdown - Ethylene'!D3</f>
        <v>3.0499526932111998E-2</v>
      </c>
      <c r="D2" s="23">
        <f>'Demand Breakdown - Ethylene'!E3</f>
        <v>2.5759177252759002E-2</v>
      </c>
      <c r="E2" s="23">
        <f>'Demand Breakdown - Ethylene'!F3</f>
        <v>2.4749006286804098E-2</v>
      </c>
      <c r="F2" s="23">
        <f>'Demand Breakdown - Ethylene'!G3</f>
        <v>2.2021100995369691E-2</v>
      </c>
      <c r="G2" s="23">
        <f>'Demand Breakdown - Ethylene'!H3</f>
        <v>1.1908118025093728E-2</v>
      </c>
      <c r="H2" s="23">
        <f>'Demand Breakdown - Ethylene'!I3</f>
        <v>1.1238777501342723E-2</v>
      </c>
      <c r="I2" s="23">
        <f>'Demand Breakdown - Ethylene'!J3</f>
        <v>1.0640694058494882E-2</v>
      </c>
      <c r="O2">
        <v>2020</v>
      </c>
      <c r="P2">
        <f t="shared" ref="P2:AS2" si="0">O2+1</f>
        <v>2021</v>
      </c>
      <c r="Q2">
        <f t="shared" si="0"/>
        <v>2022</v>
      </c>
      <c r="R2">
        <f t="shared" si="0"/>
        <v>2023</v>
      </c>
      <c r="S2">
        <f t="shared" si="0"/>
        <v>2024</v>
      </c>
      <c r="T2">
        <f t="shared" si="0"/>
        <v>2025</v>
      </c>
      <c r="U2">
        <f t="shared" si="0"/>
        <v>2026</v>
      </c>
      <c r="V2">
        <f t="shared" si="0"/>
        <v>2027</v>
      </c>
      <c r="W2">
        <f t="shared" si="0"/>
        <v>2028</v>
      </c>
      <c r="X2">
        <f t="shared" si="0"/>
        <v>2029</v>
      </c>
      <c r="Y2">
        <f t="shared" si="0"/>
        <v>2030</v>
      </c>
      <c r="Z2">
        <f t="shared" si="0"/>
        <v>2031</v>
      </c>
      <c r="AA2">
        <f t="shared" si="0"/>
        <v>2032</v>
      </c>
      <c r="AB2">
        <f t="shared" si="0"/>
        <v>2033</v>
      </c>
      <c r="AC2">
        <f t="shared" si="0"/>
        <v>2034</v>
      </c>
      <c r="AD2">
        <f t="shared" si="0"/>
        <v>2035</v>
      </c>
      <c r="AE2">
        <f t="shared" si="0"/>
        <v>2036</v>
      </c>
      <c r="AF2">
        <f t="shared" si="0"/>
        <v>2037</v>
      </c>
      <c r="AG2">
        <f t="shared" si="0"/>
        <v>2038</v>
      </c>
      <c r="AH2">
        <f t="shared" si="0"/>
        <v>2039</v>
      </c>
      <c r="AI2">
        <f t="shared" si="0"/>
        <v>2040</v>
      </c>
      <c r="AJ2">
        <f t="shared" si="0"/>
        <v>2041</v>
      </c>
      <c r="AK2">
        <f t="shared" si="0"/>
        <v>2042</v>
      </c>
      <c r="AL2">
        <f t="shared" si="0"/>
        <v>2043</v>
      </c>
      <c r="AM2">
        <f t="shared" si="0"/>
        <v>2044</v>
      </c>
      <c r="AN2">
        <f t="shared" si="0"/>
        <v>2045</v>
      </c>
      <c r="AO2">
        <f t="shared" si="0"/>
        <v>2046</v>
      </c>
      <c r="AP2">
        <f t="shared" si="0"/>
        <v>2047</v>
      </c>
      <c r="AQ2">
        <f t="shared" si="0"/>
        <v>2048</v>
      </c>
      <c r="AR2">
        <f t="shared" si="0"/>
        <v>2049</v>
      </c>
      <c r="AS2">
        <f t="shared" si="0"/>
        <v>2050</v>
      </c>
      <c r="AU2" t="s">
        <v>46</v>
      </c>
    </row>
    <row r="3" spans="1:47">
      <c r="A3" t="s">
        <v>765</v>
      </c>
      <c r="C3" s="23">
        <f>'Yearly Demand - BTX'!D4</f>
        <v>3.4072981318566953E-2</v>
      </c>
      <c r="D3" s="23">
        <f>'Yearly Demand - BTX'!E4</f>
        <v>2.4426825972283073E-2</v>
      </c>
      <c r="E3" s="23">
        <f>'Yearly Demand - BTX'!F4</f>
        <v>1.6256671703290593E-2</v>
      </c>
      <c r="F3" s="23">
        <f>'Yearly Demand - BTX'!G4</f>
        <v>9.6703078259026132E-3</v>
      </c>
      <c r="G3" s="23">
        <f>'Yearly Demand - BTX'!H4</f>
        <v>9.2242235895414471E-3</v>
      </c>
      <c r="H3" s="23">
        <f>'Yearly Demand - BTX'!I4</f>
        <v>3.8169048926584015E-3</v>
      </c>
      <c r="I3" s="23">
        <f>'Yearly Demand - BTX'!J4</f>
        <v>2.5031602401257569E-3</v>
      </c>
      <c r="N3" s="52" t="s">
        <v>766</v>
      </c>
      <c r="O3" s="98">
        <f>C4</f>
        <v>63.671456045561811</v>
      </c>
      <c r="P3" s="98">
        <f>O3*($D$4/$C$4)^(1/5)</f>
        <v>65.267852425999862</v>
      </c>
      <c r="Q3" s="98">
        <f>P3*($D$4/$C$4)^(1/5)</f>
        <v>66.904274299205852</v>
      </c>
      <c r="R3" s="98">
        <f>Q3*($D$4/$C$4)^(1/5)</f>
        <v>68.581725200448929</v>
      </c>
      <c r="S3" s="98">
        <f>R3*($D$4/$C$4)^(1/5)</f>
        <v>70.301233826038541</v>
      </c>
      <c r="T3" s="98">
        <f>S3*($D$4/$C$4)^(1/5)</f>
        <v>72.063854664172169</v>
      </c>
      <c r="U3" s="98">
        <f>T3*($E$4/$D$4)^(1/5)</f>
        <v>73.534362798700201</v>
      </c>
      <c r="V3" s="98">
        <f>U3*($E$4/$D$4)^(1/5)</f>
        <v>75.034877573641651</v>
      </c>
      <c r="W3" s="98">
        <f>V3*($E$4/$D$4)^(1/5)</f>
        <v>76.566011293306701</v>
      </c>
      <c r="X3" s="98">
        <f>W3*($E$4/$D$4)^(1/5)</f>
        <v>78.128388756458833</v>
      </c>
      <c r="Y3" s="98">
        <f>X3*($E$4/$D$4)^(1/5)</f>
        <v>79.722647511272015</v>
      </c>
      <c r="Z3" s="98">
        <f>Y3*($F$4/$E$4)^(1/5)</f>
        <v>80.979714921489062</v>
      </c>
      <c r="AA3" s="98">
        <f>Z3*($F$4/$E$4)^(1/5)</f>
        <v>82.25660378173518</v>
      </c>
      <c r="AB3" s="98">
        <f>AA3*($F$4/$E$4)^(1/5)</f>
        <v>83.553626636809526</v>
      </c>
      <c r="AC3" s="98">
        <f>AB3*($F$4/$E$4)^(1/5)</f>
        <v>84.871100959720422</v>
      </c>
      <c r="AD3" s="98">
        <f>AC3*($F$4/$E$4)^(1/5)</f>
        <v>86.209349229393368</v>
      </c>
      <c r="AE3" s="98">
        <f>AD3*($G$4/$F$4)^(1/5)</f>
        <v>87.118801609768127</v>
      </c>
      <c r="AF3" s="98">
        <f>AE3*($G$4/$F$4)^(1/5)</f>
        <v>88.037848119312898</v>
      </c>
      <c r="AG3" s="98">
        <f>AF3*($G$4/$F$4)^(1/5)</f>
        <v>88.966589969829982</v>
      </c>
      <c r="AH3" s="98">
        <f>AG3*($G$4/$F$4)^(1/5)</f>
        <v>89.90512944084017</v>
      </c>
      <c r="AI3" s="98">
        <f>AH3*($G$4/$F$4)^(1/5)</f>
        <v>90.85356989084643</v>
      </c>
      <c r="AJ3" s="98">
        <f>AI3*($H$4/$G$4)^(1/5)</f>
        <v>91.535574254248786</v>
      </c>
      <c r="AK3" s="98">
        <f>AJ3*($H$4/$G$4)^(1/5)</f>
        <v>92.222698173792509</v>
      </c>
      <c r="AL3" s="98">
        <f>AK3*($H$4/$G$4)^(1/5)</f>
        <v>92.914980080104272</v>
      </c>
      <c r="AM3" s="98">
        <f>AL3*($H$4/$G$4)^(1/5)</f>
        <v>93.612458692295363</v>
      </c>
      <c r="AN3" s="98">
        <f>AM3*($H$4/$G$4)^(1/5)</f>
        <v>94.31517302012719</v>
      </c>
      <c r="AO3" s="98">
        <f>AN3*($I$4/$H$4)^(1/5)</f>
        <v>94.935340978609858</v>
      </c>
      <c r="AP3" s="98">
        <f>AO3*($I$4/$H$4)^(1/5)</f>
        <v>95.55958684189207</v>
      </c>
      <c r="AQ3" s="98">
        <f>AP3*($I$4/$H$4)^(1/5)</f>
        <v>96.187937424173626</v>
      </c>
      <c r="AR3" s="98">
        <f>AQ3*($I$4/$H$4)^(1/5)</f>
        <v>96.820419715970701</v>
      </c>
      <c r="AS3" s="98">
        <f>AR3*($I$4/$H$4)^(1/5)</f>
        <v>97.457060885275183</v>
      </c>
      <c r="AU3" s="23">
        <f>(AS3/O3)^(1/30)-1</f>
        <v>1.429032820306686E-2</v>
      </c>
    </row>
    <row r="4" spans="1:47" s="58" customFormat="1">
      <c r="A4" s="58" t="s">
        <v>766</v>
      </c>
      <c r="B4" s="101">
        <f t="shared" ref="B4:I4" si="1">SUM(B5:B8)</f>
        <v>56.040403896234558</v>
      </c>
      <c r="C4" s="101">
        <f t="shared" si="1"/>
        <v>63.671456045561811</v>
      </c>
      <c r="D4" s="101">
        <f t="shared" si="1"/>
        <v>72.06385466417214</v>
      </c>
      <c r="E4" s="101">
        <f t="shared" si="1"/>
        <v>79.722647511272001</v>
      </c>
      <c r="F4" s="101">
        <f t="shared" si="1"/>
        <v>86.209349229393382</v>
      </c>
      <c r="G4" s="101">
        <f t="shared" si="1"/>
        <v>90.853569890846416</v>
      </c>
      <c r="H4" s="101">
        <f t="shared" si="1"/>
        <v>94.315173020127162</v>
      </c>
      <c r="I4" s="101">
        <f t="shared" si="1"/>
        <v>97.457060885275126</v>
      </c>
      <c r="K4" s="58" t="s">
        <v>96</v>
      </c>
      <c r="M4"/>
      <c r="N4" s="1"/>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c r="AU4" s="205"/>
    </row>
    <row r="5" spans="1:47">
      <c r="A5" t="s">
        <v>10</v>
      </c>
      <c r="B5" s="238">
        <f>C5/(1+C3)^3</f>
        <v>13.517960296234563</v>
      </c>
      <c r="C5" s="585">
        <f>14.2/0.95</f>
        <v>14.947368421052632</v>
      </c>
      <c r="D5" s="44">
        <f>C5*($B11*(1+D$2)^5+$C11*(1+D$3)^5)</f>
        <v>16.968799285871452</v>
      </c>
      <c r="E5" s="44">
        <f t="shared" ref="D5:I8" si="2">D5*($B11*(1+E$2)^5+$C11*(1+E$3)^5)</f>
        <v>19.136070144078506</v>
      </c>
      <c r="F5" s="44">
        <f t="shared" si="2"/>
        <v>21.274993135549639</v>
      </c>
      <c r="G5" s="44">
        <f t="shared" si="2"/>
        <v>22.55736084668693</v>
      </c>
      <c r="H5" s="44">
        <f t="shared" si="2"/>
        <v>23.810630662958978</v>
      </c>
      <c r="I5" s="44">
        <f t="shared" si="2"/>
        <v>25.054959115946332</v>
      </c>
      <c r="J5" s="1"/>
      <c r="K5" s="494" t="s">
        <v>767</v>
      </c>
      <c r="M5" s="1" t="s">
        <v>581</v>
      </c>
      <c r="N5" s="492" t="s">
        <v>10</v>
      </c>
      <c r="O5" s="596">
        <f>$C5/$C$4*O$3</f>
        <v>14.947368421052632</v>
      </c>
      <c r="P5" s="596">
        <f>O5*($D5/$C5)^(1/5)</f>
        <v>15.331407031113367</v>
      </c>
      <c r="Q5" s="596">
        <f t="shared" ref="Q5:T5" si="3">P5*($D5/$C5)^(1/5)</f>
        <v>15.725312639154138</v>
      </c>
      <c r="R5" s="596">
        <f t="shared" si="3"/>
        <v>16.129338755229892</v>
      </c>
      <c r="S5" s="596">
        <f t="shared" si="3"/>
        <v>16.543745402759424</v>
      </c>
      <c r="T5" s="596">
        <f t="shared" si="3"/>
        <v>16.968799285871444</v>
      </c>
      <c r="U5" s="596">
        <f>T5*($E5/$D5)^(1/5)</f>
        <v>17.381667623855559</v>
      </c>
      <c r="V5" s="596">
        <f t="shared" ref="V5:Y5" si="4">U5*($E5/$D5)^(1/5)</f>
        <v>17.804581473112339</v>
      </c>
      <c r="W5" s="596">
        <f t="shared" si="4"/>
        <v>18.237785251262231</v>
      </c>
      <c r="X5" s="596">
        <f t="shared" si="4"/>
        <v>18.681529322857759</v>
      </c>
      <c r="Y5" s="596">
        <f t="shared" si="4"/>
        <v>19.136070144078495</v>
      </c>
      <c r="Z5" s="596">
        <f>Y5*($F5/$E5)^(1/5)</f>
        <v>19.545918749372461</v>
      </c>
      <c r="AA5" s="596">
        <f t="shared" ref="AA5:AD5" si="5">Z5*($F5/$E5)^(1/5)</f>
        <v>19.964545326214225</v>
      </c>
      <c r="AB5" s="596">
        <f t="shared" si="5"/>
        <v>20.392137877645641</v>
      </c>
      <c r="AC5" s="596">
        <f t="shared" si="5"/>
        <v>20.82888843328162</v>
      </c>
      <c r="AD5" s="596">
        <f t="shared" si="5"/>
        <v>21.274993135549639</v>
      </c>
      <c r="AE5" s="596">
        <f>AD5*($G5/$F5)^(1/5)</f>
        <v>21.525497628002075</v>
      </c>
      <c r="AF5" s="596">
        <f t="shared" ref="AF5:AI5" si="6">AE5*($G5/$F5)^(1/5)</f>
        <v>21.778951710160086</v>
      </c>
      <c r="AG5" s="596">
        <f t="shared" si="6"/>
        <v>22.035390112256838</v>
      </c>
      <c r="AH5" s="596">
        <f t="shared" si="6"/>
        <v>22.29484797346003</v>
      </c>
      <c r="AI5" s="596">
        <f t="shared" si="6"/>
        <v>22.557360846686933</v>
      </c>
      <c r="AJ5" s="596">
        <f>AI5*($H5/$G5)^(1/5)</f>
        <v>22.802623116794138</v>
      </c>
      <c r="AK5" s="596">
        <f t="shared" ref="AK5:AN5" si="7">AJ5*($H5/$G5)^(1/5)</f>
        <v>23.050552081003854</v>
      </c>
      <c r="AL5" s="596">
        <f t="shared" si="7"/>
        <v>23.301176733818313</v>
      </c>
      <c r="AM5" s="596">
        <f t="shared" si="7"/>
        <v>23.554526384991924</v>
      </c>
      <c r="AN5" s="596">
        <f t="shared" si="7"/>
        <v>23.810630662958982</v>
      </c>
      <c r="AO5" s="596">
        <f>AN5*($I5/$H5)^(1/5)</f>
        <v>24.054451507660676</v>
      </c>
      <c r="AP5" s="596">
        <f t="shared" ref="AP5:AS5" si="8">AO5*($I5/$H5)^(1/5)</f>
        <v>24.300769077676058</v>
      </c>
      <c r="AQ5" s="596">
        <f t="shared" si="8"/>
        <v>24.549608939470946</v>
      </c>
      <c r="AR5" s="596">
        <f t="shared" si="8"/>
        <v>24.800996921311754</v>
      </c>
      <c r="AS5" s="596">
        <f t="shared" si="8"/>
        <v>25.054959115946328</v>
      </c>
    </row>
    <row r="6" spans="1:47">
      <c r="A6" t="s">
        <v>768</v>
      </c>
      <c r="B6" s="585">
        <f>30*B17</f>
        <v>13.09226932668329</v>
      </c>
      <c r="C6" s="44">
        <f>B6*($B12*(1+C$2)^3+$C12*(1+C$3)^3)</f>
        <v>14.426809843791874</v>
      </c>
      <c r="D6" s="44">
        <f t="shared" si="2"/>
        <v>16.312399185713684</v>
      </c>
      <c r="E6" s="44">
        <f t="shared" si="2"/>
        <v>17.932560657782929</v>
      </c>
      <c r="F6" s="44">
        <f t="shared" si="2"/>
        <v>19.209683620534459</v>
      </c>
      <c r="G6" s="44">
        <f t="shared" si="2"/>
        <v>20.201769916536847</v>
      </c>
      <c r="H6" s="44">
        <f t="shared" si="2"/>
        <v>20.847774053272545</v>
      </c>
      <c r="I6" s="44">
        <f t="shared" si="2"/>
        <v>21.400275220530673</v>
      </c>
      <c r="J6" s="44"/>
      <c r="K6" s="587" t="s">
        <v>769</v>
      </c>
      <c r="M6" t="s">
        <v>581</v>
      </c>
      <c r="N6" t="s">
        <v>768</v>
      </c>
      <c r="O6" s="44">
        <f t="shared" ref="O6:O8" si="9">$C6/$C$4*O$3</f>
        <v>14.426809843791874</v>
      </c>
      <c r="P6" s="44">
        <f t="shared" ref="P6:T6" si="10">O6*($D6/$C6)^(1/5)</f>
        <v>14.785629320796449</v>
      </c>
      <c r="Q6" s="44">
        <f t="shared" si="10"/>
        <v>15.153373252928104</v>
      </c>
      <c r="R6" s="44">
        <f t="shared" si="10"/>
        <v>15.530263606675335</v>
      </c>
      <c r="S6" s="44">
        <f t="shared" si="10"/>
        <v>15.916527869213487</v>
      </c>
      <c r="T6" s="44">
        <f t="shared" si="10"/>
        <v>16.312399185713687</v>
      </c>
      <c r="U6" s="44">
        <f t="shared" ref="U6:Y6" si="11">T6*($E6/$D6)^(1/5)</f>
        <v>16.624275758873527</v>
      </c>
      <c r="V6" s="44">
        <f t="shared" si="11"/>
        <v>16.942115096662807</v>
      </c>
      <c r="W6" s="44">
        <f t="shared" si="11"/>
        <v>17.266031201110174</v>
      </c>
      <c r="X6" s="44">
        <f t="shared" si="11"/>
        <v>17.596140253847746</v>
      </c>
      <c r="Y6" s="44">
        <f t="shared" si="11"/>
        <v>17.93256065778294</v>
      </c>
      <c r="Z6" s="44">
        <f t="shared" ref="Z6:AD6" si="12">Y6*($F6/$E6)^(1/5)</f>
        <v>18.181005126084735</v>
      </c>
      <c r="AA6" s="44">
        <f t="shared" si="12"/>
        <v>18.432891637885373</v>
      </c>
      <c r="AB6" s="44">
        <f t="shared" si="12"/>
        <v>18.688267880555514</v>
      </c>
      <c r="AC6" s="44">
        <f t="shared" si="12"/>
        <v>18.947182202144663</v>
      </c>
      <c r="AD6" s="44">
        <f t="shared" si="12"/>
        <v>19.209683620534459</v>
      </c>
      <c r="AE6" s="44">
        <f t="shared" ref="AE6:AI6" si="13">AD6*($G6/$F6)^(1/5)</f>
        <v>19.404124561609546</v>
      </c>
      <c r="AF6" s="44">
        <f t="shared" si="13"/>
        <v>19.600533639188754</v>
      </c>
      <c r="AG6" s="44">
        <f t="shared" si="13"/>
        <v>19.798930774803406</v>
      </c>
      <c r="AH6" s="44">
        <f t="shared" si="13"/>
        <v>19.999336091631115</v>
      </c>
      <c r="AI6" s="44">
        <f t="shared" si="13"/>
        <v>20.201769916536843</v>
      </c>
      <c r="AJ6" s="44">
        <f t="shared" ref="AJ6:AN6" si="14">AI6*($H6/$G6)^(1/5)</f>
        <v>20.329349145902306</v>
      </c>
      <c r="AK6" s="44">
        <f t="shared" si="14"/>
        <v>20.457734070008016</v>
      </c>
      <c r="AL6" s="44">
        <f t="shared" si="14"/>
        <v>20.586929777017762</v>
      </c>
      <c r="AM6" s="44">
        <f t="shared" si="14"/>
        <v>20.716941387228353</v>
      </c>
      <c r="AN6" s="44">
        <f t="shared" si="14"/>
        <v>20.847774053272552</v>
      </c>
      <c r="AO6" s="44">
        <f t="shared" ref="AO6:AS6" si="15">AN6*($I6/$H6)^(1/5)</f>
        <v>20.957121197075534</v>
      </c>
      <c r="AP6" s="44">
        <f t="shared" si="15"/>
        <v>21.067041869631627</v>
      </c>
      <c r="AQ6" s="44">
        <f t="shared" si="15"/>
        <v>21.177539079114787</v>
      </c>
      <c r="AR6" s="44">
        <f t="shared" si="15"/>
        <v>21.288615849476933</v>
      </c>
      <c r="AS6" s="44">
        <f t="shared" si="15"/>
        <v>21.400275220530688</v>
      </c>
    </row>
    <row r="7" spans="1:47">
      <c r="A7" t="s">
        <v>770</v>
      </c>
      <c r="B7" s="585">
        <f>30*B18</f>
        <v>16.907730673316706</v>
      </c>
      <c r="C7" s="44">
        <f>B7*($B13*(1+C$2)^3+$C13*(1+C$3)^3)</f>
        <v>18.654372471069241</v>
      </c>
      <c r="D7" s="44">
        <f>C7*($B13*(1+D$2)^5+$C13*(1+D$3)^5)</f>
        <v>21.076039194664702</v>
      </c>
      <c r="E7" s="44">
        <f t="shared" si="2"/>
        <v>23.052852724667808</v>
      </c>
      <c r="F7" s="44">
        <f t="shared" si="2"/>
        <v>24.512699178841515</v>
      </c>
      <c r="G7" s="44">
        <f t="shared" si="2"/>
        <v>25.73749150121008</v>
      </c>
      <c r="H7" s="44">
        <f t="shared" si="2"/>
        <v>26.442409003481639</v>
      </c>
      <c r="I7" s="44">
        <f t="shared" si="2"/>
        <v>27.01064000764358</v>
      </c>
      <c r="J7" s="44"/>
      <c r="K7" s="5" t="s">
        <v>769</v>
      </c>
      <c r="M7" t="s">
        <v>581</v>
      </c>
      <c r="N7" t="s">
        <v>770</v>
      </c>
      <c r="O7" s="44">
        <f t="shared" si="9"/>
        <v>18.654372471069241</v>
      </c>
      <c r="P7" s="44">
        <f t="shared" ref="P7:T7" si="16">O7*($D7/$C7)^(1/5)</f>
        <v>19.115352660220736</v>
      </c>
      <c r="Q7" s="44">
        <f t="shared" si="16"/>
        <v>19.587724427144131</v>
      </c>
      <c r="R7" s="44">
        <f t="shared" si="16"/>
        <v>20.071769276440243</v>
      </c>
      <c r="S7" s="44">
        <f t="shared" si="16"/>
        <v>20.567775669151036</v>
      </c>
      <c r="T7" s="44">
        <f t="shared" si="16"/>
        <v>21.076039194664705</v>
      </c>
      <c r="U7" s="44">
        <f t="shared" ref="U7:Y7" si="17">T7*($E7/$D7)^(1/5)</f>
        <v>21.45735236991473</v>
      </c>
      <c r="V7" s="44">
        <f t="shared" si="17"/>
        <v>21.845564362170943</v>
      </c>
      <c r="W7" s="44">
        <f t="shared" si="17"/>
        <v>22.24079998662247</v>
      </c>
      <c r="X7" s="44">
        <f t="shared" si="17"/>
        <v>22.643186316647256</v>
      </c>
      <c r="Y7" s="44">
        <f t="shared" si="17"/>
        <v>23.052852724667808</v>
      </c>
      <c r="Z7" s="44">
        <f t="shared" ref="Z7:AD7" si="18">Y7*($F7/$E7)^(1/5)</f>
        <v>23.337695427763993</v>
      </c>
      <c r="AA7" s="44">
        <f t="shared" si="18"/>
        <v>23.626057667746835</v>
      </c>
      <c r="AB7" s="44">
        <f t="shared" si="18"/>
        <v>23.917982932266753</v>
      </c>
      <c r="AC7" s="44">
        <f t="shared" si="18"/>
        <v>24.213515246310696</v>
      </c>
      <c r="AD7" s="44">
        <f t="shared" si="18"/>
        <v>24.512699178841512</v>
      </c>
      <c r="AE7" s="44">
        <f t="shared" ref="AE7:AI7" si="19">AD7*($G7/$F7)^(1/5)</f>
        <v>24.752903669241125</v>
      </c>
      <c r="AF7" s="44">
        <f t="shared" si="19"/>
        <v>24.995461968039688</v>
      </c>
      <c r="AG7" s="44">
        <f t="shared" si="19"/>
        <v>25.240397140642724</v>
      </c>
      <c r="AH7" s="44">
        <f t="shared" si="19"/>
        <v>25.487732478477945</v>
      </c>
      <c r="AI7" s="44">
        <f t="shared" si="19"/>
        <v>25.737491501210087</v>
      </c>
      <c r="AJ7" s="44">
        <f t="shared" ref="AJ7:AN7" si="20">AI7*($H7/$G7)^(1/5)</f>
        <v>25.876955362565109</v>
      </c>
      <c r="AK7" s="44">
        <f t="shared" si="20"/>
        <v>26.017174937375078</v>
      </c>
      <c r="AL7" s="44">
        <f t="shared" si="20"/>
        <v>26.158154320627904</v>
      </c>
      <c r="AM7" s="44">
        <f t="shared" si="20"/>
        <v>26.299897629501025</v>
      </c>
      <c r="AN7" s="44">
        <f t="shared" si="20"/>
        <v>26.442409003481647</v>
      </c>
      <c r="AO7" s="44">
        <f t="shared" ref="AO7:AS7" si="21">AN7*($I7/$H7)^(1/5)</f>
        <v>26.555090738738656</v>
      </c>
      <c r="AP7" s="44">
        <f t="shared" si="21"/>
        <v>26.668252656170402</v>
      </c>
      <c r="AQ7" s="44">
        <f t="shared" si="21"/>
        <v>26.781896802026175</v>
      </c>
      <c r="AR7" s="44">
        <f t="shared" si="21"/>
        <v>26.896025231275157</v>
      </c>
      <c r="AS7" s="44">
        <f t="shared" si="21"/>
        <v>27.01064000764358</v>
      </c>
    </row>
    <row r="8" spans="1:47" s="68" customFormat="1">
      <c r="A8" s="68" t="s">
        <v>771</v>
      </c>
      <c r="B8" s="586">
        <f>11.6*(1+3.9%)^2</f>
        <v>12.522443599999997</v>
      </c>
      <c r="C8" s="44">
        <f>B8*($B14*(1+C$2)^7+$C14*(1+C$3)^7)</f>
        <v>15.642905309648061</v>
      </c>
      <c r="D8" s="44">
        <f t="shared" si="2"/>
        <v>17.706616997922307</v>
      </c>
      <c r="E8" s="44">
        <f t="shared" si="2"/>
        <v>19.601163984742758</v>
      </c>
      <c r="F8" s="44">
        <f t="shared" si="2"/>
        <v>21.211973294467775</v>
      </c>
      <c r="G8" s="44">
        <f t="shared" si="2"/>
        <v>22.356947626412563</v>
      </c>
      <c r="H8" s="44">
        <f t="shared" si="2"/>
        <v>23.214359300414007</v>
      </c>
      <c r="I8" s="44">
        <f t="shared" si="2"/>
        <v>23.991186541154544</v>
      </c>
      <c r="J8" s="284"/>
      <c r="K8" s="588" t="s">
        <v>772</v>
      </c>
      <c r="M8" s="68" t="s">
        <v>581</v>
      </c>
      <c r="N8" s="68" t="s">
        <v>771</v>
      </c>
      <c r="O8" s="44">
        <f t="shared" si="9"/>
        <v>15.642905309648061</v>
      </c>
      <c r="P8" s="44">
        <f t="shared" ref="P8:T8" si="22">O8*($D8/$C8)^(1/5)</f>
        <v>16.035446302245823</v>
      </c>
      <c r="Q8" s="44">
        <f t="shared" si="22"/>
        <v>16.437837666486157</v>
      </c>
      <c r="R8" s="44">
        <f t="shared" si="22"/>
        <v>16.85032658628954</v>
      </c>
      <c r="S8" s="44">
        <f t="shared" si="22"/>
        <v>17.273166448376983</v>
      </c>
      <c r="T8" s="44">
        <f t="shared" si="22"/>
        <v>17.706616997922296</v>
      </c>
      <c r="U8" s="44">
        <f t="shared" ref="U8:Y8" si="23">T8*($E8/$D8)^(1/5)</f>
        <v>18.070278547816987</v>
      </c>
      <c r="V8" s="44">
        <f t="shared" si="23"/>
        <v>18.441409041264663</v>
      </c>
      <c r="W8" s="44">
        <f t="shared" si="23"/>
        <v>18.820161876714554</v>
      </c>
      <c r="X8" s="44">
        <f t="shared" si="23"/>
        <v>19.206693603139659</v>
      </c>
      <c r="Y8" s="44">
        <f t="shared" si="23"/>
        <v>19.601163984742751</v>
      </c>
      <c r="Z8" s="44">
        <f t="shared" ref="Z8:AD8" si="24">Y8*($F8/$E8)^(1/5)</f>
        <v>19.913229726488041</v>
      </c>
      <c r="AA8" s="44">
        <f t="shared" si="24"/>
        <v>20.230263797014562</v>
      </c>
      <c r="AB8" s="44">
        <f t="shared" si="24"/>
        <v>20.552345295972088</v>
      </c>
      <c r="AC8" s="44">
        <f t="shared" si="24"/>
        <v>20.879554582338205</v>
      </c>
      <c r="AD8" s="44">
        <f t="shared" si="24"/>
        <v>21.211973294467775</v>
      </c>
      <c r="AE8" s="44">
        <f t="shared" ref="AE8:AI8" si="25">AD8*($G8/$F8)^(1/5)</f>
        <v>21.436178226187351</v>
      </c>
      <c r="AF8" s="44">
        <f t="shared" si="25"/>
        <v>21.662752944569846</v>
      </c>
      <c r="AG8" s="44">
        <f t="shared" si="25"/>
        <v>21.891722497631751</v>
      </c>
      <c r="AH8" s="44">
        <f t="shared" si="25"/>
        <v>22.123112198140451</v>
      </c>
      <c r="AI8" s="44">
        <f t="shared" si="25"/>
        <v>22.35694762641257</v>
      </c>
      <c r="AJ8" s="44">
        <f t="shared" ref="AJ8:AN8" si="26">AI8*($H8/$G8)^(1/5)</f>
        <v>22.525858305297678</v>
      </c>
      <c r="AK8" s="44">
        <f t="shared" si="26"/>
        <v>22.696045134125889</v>
      </c>
      <c r="AL8" s="44">
        <f t="shared" si="26"/>
        <v>22.867517754434896</v>
      </c>
      <c r="AM8" s="44">
        <f t="shared" si="26"/>
        <v>23.040285880605911</v>
      </c>
      <c r="AN8" s="44">
        <f t="shared" si="26"/>
        <v>23.214359300414007</v>
      </c>
      <c r="AO8" s="44">
        <f t="shared" ref="AO8:AS8" si="27">AN8*($I8/$H8)^(1/5)</f>
        <v>23.367685937677216</v>
      </c>
      <c r="AP8" s="44">
        <f t="shared" si="27"/>
        <v>23.522025269600238</v>
      </c>
      <c r="AQ8" s="44">
        <f t="shared" si="27"/>
        <v>23.677383984847822</v>
      </c>
      <c r="AR8" s="44">
        <f t="shared" si="27"/>
        <v>23.833768816262133</v>
      </c>
      <c r="AS8" s="44">
        <f t="shared" si="27"/>
        <v>23.991186541154548</v>
      </c>
    </row>
    <row r="9" spans="1:47">
      <c r="D9" s="76"/>
      <c r="E9" s="44"/>
      <c r="I9" s="76"/>
      <c r="J9" s="44"/>
      <c r="M9" s="54"/>
      <c r="T9" s="214"/>
    </row>
    <row r="10" spans="1:47">
      <c r="B10" t="s">
        <v>773</v>
      </c>
      <c r="C10" t="s">
        <v>774</v>
      </c>
      <c r="D10" s="76"/>
      <c r="E10" s="44"/>
      <c r="I10" s="76"/>
      <c r="J10" s="44"/>
      <c r="T10" s="168"/>
    </row>
    <row r="11" spans="1:47">
      <c r="A11" t="s">
        <v>10</v>
      </c>
      <c r="B11" s="55">
        <v>0.95</v>
      </c>
      <c r="C11" s="6">
        <f>1-B11</f>
        <v>5.0000000000000044E-2</v>
      </c>
      <c r="D11" s="76"/>
      <c r="E11" t="s">
        <v>775</v>
      </c>
      <c r="G11" t="s">
        <v>581</v>
      </c>
      <c r="I11" s="583"/>
      <c r="J11" s="44"/>
      <c r="T11" s="384"/>
    </row>
    <row r="12" spans="1:47">
      <c r="A12" t="s">
        <v>768</v>
      </c>
      <c r="B12" s="55">
        <f>4/12</f>
        <v>0.33333333333333331</v>
      </c>
      <c r="C12" s="6">
        <f>1-B12</f>
        <v>0.66666666666666674</v>
      </c>
      <c r="D12" s="76"/>
      <c r="E12" t="s">
        <v>775</v>
      </c>
      <c r="G12" t="s">
        <v>581</v>
      </c>
      <c r="I12" s="384"/>
      <c r="J12" s="44"/>
    </row>
    <row r="13" spans="1:47">
      <c r="A13" t="s">
        <v>770</v>
      </c>
      <c r="B13" s="55">
        <f>3.2/15</f>
        <v>0.21333333333333335</v>
      </c>
      <c r="C13" s="6">
        <f>1-B13</f>
        <v>0.78666666666666663</v>
      </c>
      <c r="D13" s="76"/>
      <c r="E13" t="s">
        <v>775</v>
      </c>
      <c r="G13" t="s">
        <v>581</v>
      </c>
      <c r="I13" s="76"/>
      <c r="J13" s="44"/>
    </row>
    <row r="14" spans="1:47">
      <c r="A14" t="s">
        <v>771</v>
      </c>
      <c r="B14" s="55">
        <f>6/12</f>
        <v>0.5</v>
      </c>
      <c r="C14" s="6">
        <f>1-B14</f>
        <v>0.5</v>
      </c>
      <c r="D14" s="76"/>
      <c r="E14" t="s">
        <v>775</v>
      </c>
      <c r="G14" t="s">
        <v>581</v>
      </c>
      <c r="I14" s="76"/>
      <c r="J14" s="44"/>
    </row>
    <row r="15" spans="1:47">
      <c r="C15" t="s">
        <v>581</v>
      </c>
      <c r="D15" s="583"/>
      <c r="E15" s="44"/>
      <c r="G15" t="s">
        <v>581</v>
      </c>
      <c r="I15" s="76"/>
      <c r="J15" s="44"/>
      <c r="M15" s="6"/>
      <c r="N15" s="168"/>
    </row>
    <row r="16" spans="1:47">
      <c r="D16" s="384"/>
      <c r="E16" s="43"/>
      <c r="I16" s="384"/>
      <c r="J16" s="43"/>
      <c r="M16" s="384"/>
      <c r="N16" s="23"/>
    </row>
    <row r="17" spans="1:14">
      <c r="A17" t="s">
        <v>776</v>
      </c>
      <c r="B17" s="2">
        <f>17.5/(17.5+22.6)</f>
        <v>0.43640897755610969</v>
      </c>
      <c r="M17" s="584"/>
      <c r="N17" s="23"/>
    </row>
    <row r="18" spans="1:14">
      <c r="B18" s="2">
        <f>1-B17</f>
        <v>0.56359102244389025</v>
      </c>
      <c r="M18" s="6"/>
    </row>
    <row r="19" spans="1:14">
      <c r="A19" t="s">
        <v>775</v>
      </c>
      <c r="B19" s="1"/>
      <c r="C19" t="s">
        <v>581</v>
      </c>
      <c r="D19" s="1"/>
      <c r="E19" s="1"/>
      <c r="G19" s="1"/>
      <c r="I19" s="1"/>
      <c r="J19" s="1"/>
    </row>
    <row r="20" spans="1:14">
      <c r="C20" s="6" t="s">
        <v>581</v>
      </c>
      <c r="D20" s="44"/>
      <c r="E20" s="2"/>
      <c r="H20" s="6"/>
      <c r="I20" s="44"/>
      <c r="J20" s="2"/>
    </row>
    <row r="21" spans="1:14">
      <c r="C21" s="6"/>
      <c r="D21" s="44"/>
      <c r="E21" s="2"/>
      <c r="H21" s="6"/>
      <c r="I21" s="44"/>
      <c r="J21" s="2"/>
    </row>
    <row r="22" spans="1:14">
      <c r="C22" s="6"/>
      <c r="D22" s="44"/>
      <c r="H22" s="6"/>
      <c r="I22" s="44"/>
    </row>
  </sheetData>
  <hyperlinks>
    <hyperlink ref="K5" r:id="rId1" display="https://www.mdpi.com/1996-1073/14/13/3772/pdf" xr:uid="{D129D44A-C14C-46A5-90FA-655520409920}"/>
    <hyperlink ref="K6" r:id="rId2" xr:uid="{B44A5414-87B9-472D-8F0F-8A61F014B2F7}"/>
    <hyperlink ref="K7" r:id="rId3" tooltip="https://www.mdpi.com/1996-1073/14/13/3772/pdf" xr:uid="{ECE3F101-8A22-4B8E-ABED-7A2FF962B2B0}"/>
    <hyperlink ref="K8" r:id="rId4" xr:uid="{23F60C48-EBF8-42D0-BC51-FE4CACD8B1CE}"/>
  </hyperlinks>
  <pageMargins left="0.7" right="0.7" top="0.75" bottom="0.75" header="0.3" footer="0.3"/>
  <pageSetup orientation="portrait"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B7477-C9C1-45A5-AAEF-E4D962423FDD}">
  <sheetPr>
    <tabColor theme="7"/>
  </sheetPr>
  <dimension ref="A1:Y94"/>
  <sheetViews>
    <sheetView topLeftCell="A28" zoomScaleNormal="100" workbookViewId="0">
      <selection activeCell="C34" sqref="C34:C40"/>
    </sheetView>
  </sheetViews>
  <sheetFormatPr baseColWidth="10" defaultColWidth="8.83203125" defaultRowHeight="15"/>
  <cols>
    <col min="2" max="2" width="30.1640625" customWidth="1"/>
    <col min="3" max="3" width="10.33203125" customWidth="1"/>
    <col min="5" max="5" width="7.5" customWidth="1"/>
    <col min="7" max="7" width="14.5" customWidth="1"/>
    <col min="10" max="10" width="21.1640625" customWidth="1"/>
    <col min="11" max="11" width="17.5" bestFit="1" customWidth="1"/>
    <col min="12" max="12" width="15.1640625" customWidth="1"/>
    <col min="13" max="13" width="16.83203125" customWidth="1"/>
  </cols>
  <sheetData>
    <row r="1" spans="2:25">
      <c r="C1" s="1">
        <v>2015</v>
      </c>
      <c r="D1" s="1">
        <v>2017</v>
      </c>
      <c r="E1" s="1">
        <v>2020</v>
      </c>
      <c r="F1" s="1">
        <v>2025</v>
      </c>
      <c r="G1" s="1">
        <v>2030</v>
      </c>
      <c r="H1" s="1">
        <v>2035</v>
      </c>
      <c r="I1" s="1">
        <v>2040</v>
      </c>
      <c r="J1" s="1">
        <v>2045</v>
      </c>
      <c r="K1" s="1">
        <v>2050</v>
      </c>
      <c r="L1" t="s">
        <v>46</v>
      </c>
      <c r="M1" t="s">
        <v>96</v>
      </c>
    </row>
    <row r="2" spans="2:25">
      <c r="B2" t="s">
        <v>4</v>
      </c>
      <c r="C2" s="99">
        <f>'Yearly Demand - Eth&amp;Prop'!B3</f>
        <v>140</v>
      </c>
      <c r="D2" s="99">
        <f>'Yearly Demand - Eth&amp;Prop'!C3</f>
        <v>150</v>
      </c>
      <c r="E2" s="99">
        <f>'Yearly Demand - Eth&amp;Prop'!D3</f>
        <v>162.69230769230768</v>
      </c>
      <c r="F2" s="99">
        <f>'Yearly Demand - Eth&amp;Prop'!E3</f>
        <v>183.84615384615384</v>
      </c>
      <c r="G2" s="99">
        <f>'Yearly Demand - Eth&amp;Prop'!F3</f>
        <v>205</v>
      </c>
      <c r="H2" s="99">
        <f>'Yearly Demand - Eth&amp;Prop'!G3</f>
        <v>217.5</v>
      </c>
      <c r="I2" s="99">
        <f>'Yearly Demand - Eth&amp;Prop'!H3</f>
        <v>230</v>
      </c>
      <c r="J2" s="99">
        <f>'Yearly Demand - Eth&amp;Prop'!I3</f>
        <v>242.5</v>
      </c>
      <c r="K2" s="99">
        <f>'Yearly Demand - Eth&amp;Prop'!J3</f>
        <v>255</v>
      </c>
      <c r="L2" s="384">
        <f>(K2/E2)^(1/30)-1</f>
        <v>1.5092857676367366E-2</v>
      </c>
      <c r="M2" t="s">
        <v>651</v>
      </c>
      <c r="S2" s="5" t="s">
        <v>524</v>
      </c>
    </row>
    <row r="3" spans="2:25">
      <c r="B3" t="s">
        <v>46</v>
      </c>
      <c r="D3" s="23">
        <f>(E2/C2)^(1/5)-1</f>
        <v>3.0499526932111998E-2</v>
      </c>
      <c r="E3" s="23">
        <f>(F2/D2)^(1/8)-1</f>
        <v>2.5759177252759002E-2</v>
      </c>
      <c r="F3" s="23">
        <f>(F2/E2)^(1/5)-1</f>
        <v>2.4749006286804098E-2</v>
      </c>
      <c r="G3" s="23">
        <f t="shared" ref="G3:K3" si="0">(G2/F2)^(1/5)-1</f>
        <v>2.2021100995369691E-2</v>
      </c>
      <c r="H3" s="23">
        <f t="shared" si="0"/>
        <v>1.1908118025093728E-2</v>
      </c>
      <c r="I3" s="23">
        <f t="shared" si="0"/>
        <v>1.1238777501342723E-2</v>
      </c>
      <c r="J3" s="23">
        <f t="shared" si="0"/>
        <v>1.0640694058494882E-2</v>
      </c>
      <c r="K3" s="23">
        <f t="shared" si="0"/>
        <v>1.0103061721958406E-2</v>
      </c>
    </row>
    <row r="5" spans="2:25">
      <c r="B5" s="1" t="s">
        <v>652</v>
      </c>
      <c r="C5" s="1"/>
      <c r="D5" s="1" t="s">
        <v>653</v>
      </c>
      <c r="E5" s="1"/>
      <c r="G5" s="1"/>
      <c r="H5" s="1"/>
      <c r="I5" s="1"/>
      <c r="J5" s="1"/>
      <c r="K5" s="1"/>
    </row>
    <row r="6" spans="2:25">
      <c r="B6" t="s">
        <v>261</v>
      </c>
      <c r="C6" s="56">
        <v>0.61</v>
      </c>
      <c r="D6" s="44">
        <f>C6*$E$2</f>
        <v>99.242307692307676</v>
      </c>
      <c r="F6" t="s">
        <v>654</v>
      </c>
      <c r="I6" t="s">
        <v>655</v>
      </c>
    </row>
    <row r="7" spans="2:25">
      <c r="B7" t="s">
        <v>260</v>
      </c>
      <c r="C7" s="56">
        <v>0.14000000000000001</v>
      </c>
      <c r="D7" s="44">
        <f t="shared" ref="D7:D11" si="1">C7*$E$2</f>
        <v>22.776923076923076</v>
      </c>
      <c r="F7" t="s">
        <v>656</v>
      </c>
    </row>
    <row r="8" spans="2:25">
      <c r="B8" t="s">
        <v>627</v>
      </c>
      <c r="C8" s="56">
        <v>0.12</v>
      </c>
      <c r="D8" s="44">
        <f t="shared" si="1"/>
        <v>19.523076923076921</v>
      </c>
      <c r="F8" t="s">
        <v>657</v>
      </c>
    </row>
    <row r="9" spans="2:25">
      <c r="B9" t="s">
        <v>658</v>
      </c>
      <c r="C9" s="56">
        <v>0.06</v>
      </c>
      <c r="D9" s="44">
        <f t="shared" si="1"/>
        <v>9.7615384615384606</v>
      </c>
      <c r="F9" s="5" t="s">
        <v>659</v>
      </c>
    </row>
    <row r="10" spans="2:25">
      <c r="B10" t="s">
        <v>192</v>
      </c>
      <c r="C10" s="56">
        <f>1-C8-C7-C6-C9</f>
        <v>7.0000000000000007E-2</v>
      </c>
      <c r="D10" s="44">
        <f t="shared" si="1"/>
        <v>11.388461538461538</v>
      </c>
      <c r="F10" t="s">
        <v>660</v>
      </c>
    </row>
    <row r="11" spans="2:25">
      <c r="C11" s="6">
        <f>SUM(C6:C10)</f>
        <v>1</v>
      </c>
      <c r="D11" s="44">
        <f t="shared" si="1"/>
        <v>162.69230769230768</v>
      </c>
      <c r="F11" t="s">
        <v>661</v>
      </c>
    </row>
    <row r="13" spans="2:25">
      <c r="B13" s="1" t="s">
        <v>662</v>
      </c>
      <c r="D13" s="1" t="s">
        <v>653</v>
      </c>
      <c r="E13" s="1" t="s">
        <v>663</v>
      </c>
      <c r="G13" s="1" t="s">
        <v>664</v>
      </c>
      <c r="I13" s="1" t="s">
        <v>653</v>
      </c>
      <c r="J13" s="1" t="s">
        <v>663</v>
      </c>
      <c r="L13" s="1" t="s">
        <v>665</v>
      </c>
      <c r="N13" s="1" t="s">
        <v>653</v>
      </c>
      <c r="O13" s="1" t="s">
        <v>663</v>
      </c>
      <c r="Q13" s="1" t="s">
        <v>666</v>
      </c>
      <c r="S13" s="1" t="s">
        <v>653</v>
      </c>
      <c r="T13" s="1" t="s">
        <v>663</v>
      </c>
      <c r="V13" s="1" t="s">
        <v>192</v>
      </c>
      <c r="X13" s="1" t="s">
        <v>653</v>
      </c>
      <c r="Y13" s="1" t="s">
        <v>663</v>
      </c>
    </row>
    <row r="14" spans="2:25">
      <c r="B14" t="s">
        <v>472</v>
      </c>
      <c r="C14" s="258">
        <f>'Demand - Industry shares'!C13/SUM('Demand - Industry shares'!B13:C13)</f>
        <v>0.44903581267217635</v>
      </c>
      <c r="D14" s="44">
        <f>C14*$D$6</f>
        <v>44.563350286077558</v>
      </c>
      <c r="E14" s="2">
        <f>D14/$D$11</f>
        <v>0.27391184573002758</v>
      </c>
      <c r="G14" t="s">
        <v>667</v>
      </c>
      <c r="H14" s="55">
        <v>0.67</v>
      </c>
      <c r="I14" s="44">
        <f>H14*$D$7</f>
        <v>15.260538461538461</v>
      </c>
      <c r="J14" s="2">
        <f>I14/$D$11</f>
        <v>9.3800000000000008E-2</v>
      </c>
      <c r="K14" s="2">
        <f>(I14-K69)/(I21-K69)</f>
        <v>0.61142184280247269</v>
      </c>
      <c r="L14" t="s">
        <v>480</v>
      </c>
      <c r="M14" s="55">
        <f>Ethylene!B28</f>
        <v>0.96</v>
      </c>
      <c r="N14" s="44">
        <f>M14*$D$8</f>
        <v>18.742153846153844</v>
      </c>
      <c r="O14" s="2">
        <f>N14/$D$11</f>
        <v>0.1152</v>
      </c>
      <c r="Q14" t="s">
        <v>668</v>
      </c>
      <c r="R14" s="55">
        <v>0.99</v>
      </c>
      <c r="S14" s="44">
        <f>R14*$D$9</f>
        <v>9.6639230769230764</v>
      </c>
      <c r="T14" s="2">
        <f>S14/$D$11</f>
        <v>5.9400000000000001E-2</v>
      </c>
      <c r="V14" t="s">
        <v>192</v>
      </c>
      <c r="W14" s="55">
        <v>1</v>
      </c>
      <c r="X14" s="44">
        <f>W14*$D$10</f>
        <v>11.388461538461538</v>
      </c>
      <c r="Y14" s="2">
        <f>X14/$D$11</f>
        <v>7.0000000000000007E-2</v>
      </c>
    </row>
    <row r="15" spans="2:25">
      <c r="B15" t="s">
        <v>473</v>
      </c>
      <c r="C15" s="258">
        <f>1-C14</f>
        <v>0.55096418732782371</v>
      </c>
      <c r="D15" s="44">
        <f t="shared" ref="D15:D16" si="2">C15*$D$6</f>
        <v>54.678957406230126</v>
      </c>
      <c r="E15" s="2">
        <f>D15/$D$11</f>
        <v>0.33608815426997241</v>
      </c>
      <c r="G15" t="s">
        <v>669</v>
      </c>
      <c r="H15" s="55">
        <v>0.13</v>
      </c>
      <c r="I15" s="44">
        <f t="shared" ref="I15:I21" si="3">H15*$D$7</f>
        <v>2.9609999999999999</v>
      </c>
      <c r="J15" s="2">
        <f>I15/$D$11</f>
        <v>1.8200000000000001E-2</v>
      </c>
      <c r="L15" t="s">
        <v>248</v>
      </c>
      <c r="M15" s="55">
        <f>Ethylene!B29</f>
        <v>0.04</v>
      </c>
      <c r="N15" s="44">
        <f t="shared" ref="N15:N16" si="4">M15*$D$8</f>
        <v>0.78092307692307683</v>
      </c>
      <c r="O15" s="2">
        <f>N15/$D$11</f>
        <v>4.7999999999999996E-3</v>
      </c>
      <c r="Q15" t="s">
        <v>192</v>
      </c>
      <c r="R15" s="55">
        <v>0.01</v>
      </c>
      <c r="S15" s="44">
        <f t="shared" ref="S15:S16" si="5">R15*$D$9</f>
        <v>9.7615384615384604E-2</v>
      </c>
      <c r="T15" s="2">
        <f>S15/$D$11</f>
        <v>5.9999999999999995E-4</v>
      </c>
      <c r="W15" s="6">
        <f>SUM(W14)</f>
        <v>1</v>
      </c>
      <c r="X15" s="44">
        <f>W15*$D$10</f>
        <v>11.388461538461538</v>
      </c>
      <c r="Y15" s="2"/>
    </row>
    <row r="16" spans="2:25">
      <c r="C16" s="6">
        <f>SUM(C14:C15)</f>
        <v>1</v>
      </c>
      <c r="D16" s="44">
        <f t="shared" si="2"/>
        <v>99.242307692307676</v>
      </c>
      <c r="G16" t="s">
        <v>670</v>
      </c>
      <c r="H16" s="55">
        <v>0.06</v>
      </c>
      <c r="I16" s="44">
        <f t="shared" si="3"/>
        <v>1.3666153846153846</v>
      </c>
      <c r="J16" s="2">
        <f t="shared" ref="J16:J20" si="6">I16/$D$11</f>
        <v>8.4000000000000012E-3</v>
      </c>
      <c r="M16" s="6">
        <f>SUM(M14:M15)</f>
        <v>1</v>
      </c>
      <c r="N16" s="44">
        <f t="shared" si="4"/>
        <v>19.523076923076921</v>
      </c>
      <c r="O16" s="2"/>
      <c r="R16" s="6">
        <f>SUM(R14:R15)</f>
        <v>1</v>
      </c>
      <c r="S16" s="44">
        <f t="shared" si="5"/>
        <v>9.7615384615384606</v>
      </c>
      <c r="X16" s="44"/>
    </row>
    <row r="17" spans="1:21">
      <c r="C17" s="6"/>
      <c r="D17" s="44"/>
      <c r="G17" t="s">
        <v>671</v>
      </c>
      <c r="H17" s="55">
        <v>0.03</v>
      </c>
      <c r="I17" s="44">
        <f t="shared" si="3"/>
        <v>0.68330769230769228</v>
      </c>
      <c r="J17" s="2">
        <f t="shared" si="6"/>
        <v>4.2000000000000006E-3</v>
      </c>
      <c r="N17" s="44"/>
      <c r="O17" s="2"/>
    </row>
    <row r="18" spans="1:21">
      <c r="C18" s="6"/>
      <c r="D18" s="44"/>
      <c r="G18" t="s">
        <v>672</v>
      </c>
      <c r="H18" s="55">
        <v>0.02</v>
      </c>
      <c r="I18" s="44">
        <f t="shared" si="3"/>
        <v>0.4555384615384615</v>
      </c>
      <c r="J18" s="2">
        <f t="shared" si="6"/>
        <v>2.8E-3</v>
      </c>
      <c r="N18" s="44"/>
      <c r="O18" s="2"/>
      <c r="Q18" s="1" t="s">
        <v>673</v>
      </c>
      <c r="S18" s="1" t="s">
        <v>653</v>
      </c>
      <c r="T18" s="1" t="s">
        <v>663</v>
      </c>
    </row>
    <row r="19" spans="1:21">
      <c r="C19" s="6"/>
      <c r="D19" s="44"/>
      <c r="G19" t="s">
        <v>674</v>
      </c>
      <c r="H19" s="55">
        <v>0.03</v>
      </c>
      <c r="I19" s="44">
        <f t="shared" si="3"/>
        <v>0.68330769230769228</v>
      </c>
      <c r="J19" s="2">
        <f t="shared" si="6"/>
        <v>4.2000000000000006E-3</v>
      </c>
      <c r="N19" s="44"/>
      <c r="O19" s="2"/>
      <c r="Q19" t="s">
        <v>634</v>
      </c>
      <c r="R19" s="55">
        <v>0.59</v>
      </c>
      <c r="S19" s="44">
        <f>R19*$S$14</f>
        <v>5.7017146153846152</v>
      </c>
      <c r="T19" s="2">
        <f>S19/$D$11</f>
        <v>3.5046000000000001E-2</v>
      </c>
      <c r="U19" s="2">
        <f>S19/S16</f>
        <v>0.58410000000000006</v>
      </c>
    </row>
    <row r="20" spans="1:21">
      <c r="C20" s="6"/>
      <c r="D20" s="44"/>
      <c r="G20" t="s">
        <v>248</v>
      </c>
      <c r="H20" s="55">
        <v>0.06</v>
      </c>
      <c r="I20" s="44">
        <f t="shared" si="3"/>
        <v>1.3666153846153846</v>
      </c>
      <c r="J20" s="2">
        <f t="shared" si="6"/>
        <v>8.4000000000000012E-3</v>
      </c>
      <c r="N20" s="44"/>
      <c r="O20" s="2"/>
      <c r="Q20" t="s">
        <v>192</v>
      </c>
      <c r="R20" s="55">
        <f>1-R19</f>
        <v>0.41000000000000003</v>
      </c>
      <c r="S20" s="44">
        <f t="shared" ref="S20:S21" si="7">R20*$S$14</f>
        <v>3.9622084615384616</v>
      </c>
      <c r="T20" s="2">
        <f>S20/$D$11</f>
        <v>2.4354000000000004E-2</v>
      </c>
    </row>
    <row r="21" spans="1:21">
      <c r="C21" s="6"/>
      <c r="D21" s="44"/>
      <c r="H21" s="6">
        <f>SUM(H14:H20)</f>
        <v>1.0000000000000002</v>
      </c>
      <c r="I21" s="44">
        <f t="shared" si="3"/>
        <v>22.776923076923079</v>
      </c>
      <c r="M21" s="44"/>
      <c r="R21" s="6">
        <f>SUM(R19:R20)</f>
        <v>1</v>
      </c>
      <c r="S21" s="44">
        <f t="shared" si="7"/>
        <v>9.6639230769230764</v>
      </c>
    </row>
    <row r="22" spans="1:21">
      <c r="C22" s="6"/>
      <c r="D22" s="44"/>
      <c r="H22" s="6"/>
      <c r="I22" s="44"/>
      <c r="M22" s="44"/>
      <c r="N22" s="2">
        <f>R14*R19</f>
        <v>0.58409999999999995</v>
      </c>
    </row>
    <row r="23" spans="1:21">
      <c r="C23" s="6"/>
      <c r="D23" s="44"/>
      <c r="G23" s="1" t="s">
        <v>675</v>
      </c>
      <c r="I23" s="1" t="s">
        <v>653</v>
      </c>
      <c r="J23" s="1" t="s">
        <v>663</v>
      </c>
      <c r="M23" s="44"/>
    </row>
    <row r="24" spans="1:21">
      <c r="C24" s="6"/>
      <c r="D24" s="44"/>
      <c r="G24" t="s">
        <v>676</v>
      </c>
      <c r="H24" s="55">
        <v>0.45</v>
      </c>
      <c r="I24" s="44">
        <f>H24*$I$14</f>
        <v>6.8672423076923073</v>
      </c>
      <c r="J24" s="2">
        <f>I24/E2</f>
        <v>4.2209999999999998E-2</v>
      </c>
      <c r="K24" s="41">
        <f>H24*H14</f>
        <v>0.30150000000000005</v>
      </c>
      <c r="L24" s="2">
        <f>(I24+I25-K69)/(I27-K69)</f>
        <v>0.61290322580645162</v>
      </c>
      <c r="M24" s="44"/>
    </row>
    <row r="25" spans="1:21">
      <c r="C25" s="6"/>
      <c r="D25" s="44"/>
      <c r="G25" t="s">
        <v>474</v>
      </c>
      <c r="H25" s="55">
        <v>0.25</v>
      </c>
      <c r="I25" s="44">
        <f t="shared" ref="I25:I27" si="8">H25*$I$14</f>
        <v>3.8151346153846153</v>
      </c>
      <c r="J25" s="2">
        <f>I25/E2</f>
        <v>2.3450000000000002E-2</v>
      </c>
      <c r="K25" s="41">
        <f>H25*H14</f>
        <v>0.16750000000000001</v>
      </c>
      <c r="M25" s="44"/>
    </row>
    <row r="26" spans="1:21">
      <c r="C26" s="6"/>
      <c r="D26" s="44"/>
      <c r="G26" t="s">
        <v>192</v>
      </c>
      <c r="H26" s="55">
        <v>0.3</v>
      </c>
      <c r="I26" s="44">
        <f t="shared" si="8"/>
        <v>4.5781615384615382</v>
      </c>
      <c r="J26" s="2">
        <f>I26/E2</f>
        <v>2.8140000000000002E-2</v>
      </c>
      <c r="K26" s="41">
        <f>H26*H14</f>
        <v>0.20100000000000001</v>
      </c>
      <c r="M26" s="44"/>
    </row>
    <row r="27" spans="1:21">
      <c r="C27" s="6"/>
      <c r="D27" s="44"/>
      <c r="H27" s="6">
        <f>SUM(H24:H26)</f>
        <v>1</v>
      </c>
      <c r="I27" s="44">
        <f t="shared" si="8"/>
        <v>15.260538461538461</v>
      </c>
      <c r="M27" s="44"/>
    </row>
    <row r="28" spans="1:21">
      <c r="D28" s="44"/>
      <c r="G28" s="280" t="s">
        <v>677</v>
      </c>
      <c r="H28" s="280"/>
      <c r="I28" s="280"/>
      <c r="J28" s="280"/>
      <c r="K28" s="280"/>
      <c r="L28" s="280"/>
      <c r="M28" s="280"/>
    </row>
    <row r="29" spans="1:21">
      <c r="A29" s="1" t="s">
        <v>96</v>
      </c>
      <c r="B29" t="s">
        <v>678</v>
      </c>
      <c r="G29" t="s">
        <v>679</v>
      </c>
      <c r="L29" s="5" t="s">
        <v>648</v>
      </c>
      <c r="Q29" t="s">
        <v>680</v>
      </c>
    </row>
    <row r="30" spans="1:21">
      <c r="G30" t="s">
        <v>681</v>
      </c>
      <c r="Q30" t="s">
        <v>682</v>
      </c>
    </row>
    <row r="31" spans="1:21">
      <c r="G31" t="s">
        <v>683</v>
      </c>
    </row>
    <row r="33" spans="2:11">
      <c r="B33" s="1" t="s">
        <v>684</v>
      </c>
      <c r="C33" s="1"/>
      <c r="E33" s="1" t="s">
        <v>685</v>
      </c>
      <c r="H33" s="1"/>
    </row>
    <row r="34" spans="2:11">
      <c r="B34" t="s">
        <v>472</v>
      </c>
      <c r="C34" s="2">
        <f>C6*C14</f>
        <v>0.27391184573002758</v>
      </c>
      <c r="E34" s="160">
        <v>1</v>
      </c>
      <c r="F34" s="54" t="s">
        <v>686</v>
      </c>
    </row>
    <row r="35" spans="2:11">
      <c r="B35" t="s">
        <v>473</v>
      </c>
      <c r="C35" s="2">
        <f>C15*C6</f>
        <v>0.33608815426997246</v>
      </c>
      <c r="E35" s="160">
        <v>1</v>
      </c>
      <c r="F35" s="54" t="s">
        <v>686</v>
      </c>
    </row>
    <row r="36" spans="2:11">
      <c r="B36" t="s">
        <v>474</v>
      </c>
      <c r="C36" s="2">
        <f>H25*C7*H14</f>
        <v>2.3450000000000002E-2</v>
      </c>
      <c r="E36" s="160">
        <f>28/192.2</f>
        <v>0.14568158168574402</v>
      </c>
      <c r="F36" s="54" t="s">
        <v>687</v>
      </c>
    </row>
    <row r="37" spans="2:11">
      <c r="B37" t="s">
        <v>676</v>
      </c>
      <c r="C37" s="2">
        <f>H14*C7*H24</f>
        <v>4.2210000000000004E-2</v>
      </c>
      <c r="E37" s="257">
        <f>E36</f>
        <v>0.14568158168574402</v>
      </c>
      <c r="F37" s="54"/>
      <c r="K37" s="54"/>
    </row>
    <row r="38" spans="2:11">
      <c r="B38" t="s">
        <v>480</v>
      </c>
      <c r="C38" s="2">
        <f>M14*C8</f>
        <v>0.1152</v>
      </c>
      <c r="E38" s="160">
        <f>28/62.5</f>
        <v>0.44800000000000001</v>
      </c>
      <c r="F38" s="54" t="s">
        <v>688</v>
      </c>
    </row>
    <row r="39" spans="2:11">
      <c r="B39" t="s">
        <v>478</v>
      </c>
      <c r="C39" s="2">
        <f>R14*C9</f>
        <v>5.9399999999999994E-2</v>
      </c>
      <c r="E39" s="160">
        <f>28/104.2</f>
        <v>0.2687140115163148</v>
      </c>
      <c r="F39" s="54" t="s">
        <v>689</v>
      </c>
    </row>
    <row r="40" spans="2:11">
      <c r="B40" t="s">
        <v>690</v>
      </c>
      <c r="C40" s="2">
        <f>J18+J19+T20</f>
        <v>3.1354000000000007E-2</v>
      </c>
      <c r="E40" s="160"/>
      <c r="F40" s="54"/>
    </row>
    <row r="41" spans="2:11">
      <c r="B41" t="s">
        <v>192</v>
      </c>
      <c r="C41" s="6">
        <f>1-SUM(C34:C40)</f>
        <v>0.11838599999999999</v>
      </c>
      <c r="E41" s="55">
        <v>0.1</v>
      </c>
      <c r="F41" s="54" t="s">
        <v>691</v>
      </c>
    </row>
    <row r="42" spans="2:11">
      <c r="C42" s="6">
        <f>SUM(C34:C41)</f>
        <v>1</v>
      </c>
    </row>
    <row r="43" spans="2:11">
      <c r="B43" s="1"/>
    </row>
    <row r="44" spans="2:11">
      <c r="B44" s="62" t="s">
        <v>692</v>
      </c>
      <c r="C44" s="62" t="s">
        <v>566</v>
      </c>
      <c r="D44" s="62" t="s">
        <v>472</v>
      </c>
      <c r="E44" s="62" t="s">
        <v>634</v>
      </c>
      <c r="F44" s="62" t="s">
        <v>480</v>
      </c>
      <c r="G44" s="62" t="s">
        <v>474</v>
      </c>
      <c r="H44" s="62" t="s">
        <v>248</v>
      </c>
    </row>
    <row r="45" spans="2:11">
      <c r="B45" t="s">
        <v>309</v>
      </c>
      <c r="C45" s="159">
        <f>'Demand - Industry shares'!B18</f>
        <v>0.13500000000000001</v>
      </c>
      <c r="D45" s="159">
        <f>'Demand - Industry shares'!C18</f>
        <v>9.2999999999999999E-2</v>
      </c>
      <c r="E45" s="159">
        <f>'Demand - Industry shares'!E18</f>
        <v>2.3E-2</v>
      </c>
      <c r="F45" s="159">
        <f>'Demand - Industry shares'!F18</f>
        <v>8.9999999999999993E-3</v>
      </c>
      <c r="G45" s="159">
        <f>'Demand - Industry shares'!G18</f>
        <v>0.10100000000000001</v>
      </c>
      <c r="H45" s="23">
        <f>SUM('Demand - Industry shares'!H18:I18)</f>
        <v>3.0000000000000001E-3</v>
      </c>
    </row>
    <row r="46" spans="2:11">
      <c r="B46" t="s">
        <v>310</v>
      </c>
      <c r="C46" s="159">
        <f>'Demand - Industry shares'!B19</f>
        <v>1.0999999999999999E-2</v>
      </c>
      <c r="D46" s="159">
        <f>'Demand - Industry shares'!C19</f>
        <v>3.3000000000000002E-2</v>
      </c>
      <c r="E46" s="159">
        <f>'Demand - Industry shares'!E19</f>
        <v>2.1999999999999999E-2</v>
      </c>
      <c r="F46" s="159">
        <f>'Demand - Industry shares'!F19</f>
        <v>8.1000000000000003E-2</v>
      </c>
      <c r="G46" s="159">
        <f>'Demand - Industry shares'!G19</f>
        <v>0</v>
      </c>
      <c r="H46" s="23">
        <f>SUM('Demand - Industry shares'!H19:I19)</f>
        <v>2.9000000000000001E-2</v>
      </c>
    </row>
    <row r="47" spans="2:11">
      <c r="B47" t="s">
        <v>370</v>
      </c>
      <c r="C47" s="159">
        <f>'Demand - Industry shares'!B20</f>
        <v>1E-3</v>
      </c>
      <c r="D47" s="159">
        <f>'Demand - Industry shares'!C20</f>
        <v>8.0000000000000002E-3</v>
      </c>
      <c r="E47" s="159">
        <f>'Demand - Industry shares'!E20</f>
        <v>0</v>
      </c>
      <c r="F47" s="159">
        <f>'Demand - Industry shares'!F20</f>
        <v>3.0000000000000001E-3</v>
      </c>
      <c r="G47" s="159">
        <f>'Demand - Industry shares'!G20</f>
        <v>0</v>
      </c>
      <c r="H47" s="23">
        <f>SUM('Demand - Industry shares'!H20:I20)</f>
        <v>0.03</v>
      </c>
    </row>
    <row r="48" spans="2:11">
      <c r="B48" t="s">
        <v>582</v>
      </c>
      <c r="C48" s="159">
        <f>'Demand - Industry shares'!B21</f>
        <v>5.0000000000000001E-3</v>
      </c>
      <c r="D48" s="159">
        <f>'Demand - Industry shares'!C21</f>
        <v>2E-3</v>
      </c>
      <c r="E48" s="159">
        <f>'Demand - Industry shares'!E21</f>
        <v>6.0000000000000001E-3</v>
      </c>
      <c r="F48" s="159">
        <f>'Demand - Industry shares'!F21</f>
        <v>4.0000000000000001E-3</v>
      </c>
      <c r="G48" s="159">
        <f>'Demand - Industry shares'!G21</f>
        <v>0</v>
      </c>
      <c r="H48" s="23">
        <f>SUM('Demand - Industry shares'!H21:I21)</f>
        <v>1.4E-2</v>
      </c>
    </row>
    <row r="49" spans="2:21">
      <c r="B49" t="s">
        <v>313</v>
      </c>
      <c r="C49" s="159">
        <f>'Demand - Industry shares'!B22</f>
        <v>2.9000000000000001E-2</v>
      </c>
      <c r="D49" s="159">
        <f>'Demand - Industry shares'!C22</f>
        <v>1.7000000000000001E-2</v>
      </c>
      <c r="E49" s="159">
        <f>'Demand - Industry shares'!E22</f>
        <v>1.7999999999999999E-2</v>
      </c>
      <c r="F49" s="159">
        <f>'Demand - Industry shares'!F22</f>
        <v>6.0000000000000001E-3</v>
      </c>
      <c r="G49" s="159">
        <f>'Demand - Industry shares'!G22</f>
        <v>0</v>
      </c>
      <c r="H49" s="23">
        <f>SUM('Demand - Industry shares'!H22:I22)</f>
        <v>1.2E-2</v>
      </c>
    </row>
    <row r="50" spans="2:21">
      <c r="B50" t="s">
        <v>248</v>
      </c>
      <c r="C50" s="159">
        <f>'Demand - Industry shares'!B23</f>
        <v>1.9000000000000003E-2</v>
      </c>
      <c r="D50" s="159">
        <f>'Demand - Industry shares'!C23</f>
        <v>9.9999999999999985E-3</v>
      </c>
      <c r="E50" s="159">
        <f>'Demand - Industry shares'!E23</f>
        <v>7.0000000000000001E-3</v>
      </c>
      <c r="F50" s="159">
        <f>'Demand - Industry shares'!F23</f>
        <v>1.4E-2</v>
      </c>
      <c r="G50" s="159">
        <f>'Demand - Industry shares'!G23</f>
        <v>0</v>
      </c>
      <c r="H50" s="23">
        <f>SUM('Demand - Industry shares'!H23:I23)</f>
        <v>4.3999999999999997E-2</v>
      </c>
    </row>
    <row r="51" spans="2:21">
      <c r="B51" t="s">
        <v>364</v>
      </c>
      <c r="C51" s="159">
        <f>'Demand - Industry shares'!B24</f>
        <v>0.2</v>
      </c>
      <c r="D51" s="159">
        <f>'Demand - Industry shares'!C24</f>
        <v>0.16300000000000003</v>
      </c>
      <c r="E51" s="159">
        <f>'Demand - Industry shares'!E24</f>
        <v>7.5999999999999998E-2</v>
      </c>
      <c r="F51" s="159">
        <f>'Demand - Industry shares'!F24</f>
        <v>0.11700000000000001</v>
      </c>
      <c r="G51" s="159">
        <f>'Demand - Industry shares'!G24</f>
        <v>0.10100000000000001</v>
      </c>
      <c r="H51" s="23">
        <f>SUM('Demand - Industry shares'!H24:I24)</f>
        <v>0.13200000000000001</v>
      </c>
      <c r="I51" s="41"/>
    </row>
    <row r="53" spans="2:21">
      <c r="B53" s="31" t="s">
        <v>586</v>
      </c>
      <c r="C53" s="31" t="s">
        <v>566</v>
      </c>
      <c r="D53" s="31" t="s">
        <v>472</v>
      </c>
      <c r="E53" s="31" t="s">
        <v>634</v>
      </c>
      <c r="F53" s="31" t="s">
        <v>480</v>
      </c>
      <c r="G53" s="31" t="s">
        <v>474</v>
      </c>
      <c r="H53" s="62" t="s">
        <v>248</v>
      </c>
    </row>
    <row r="54" spans="2:21">
      <c r="B54" t="s">
        <v>309</v>
      </c>
      <c r="C54" s="2">
        <f>C45/C$51</f>
        <v>0.67500000000000004</v>
      </c>
      <c r="D54" s="2">
        <f t="shared" ref="C54:H59" si="9">D45/D$51</f>
        <v>0.57055214723926373</v>
      </c>
      <c r="E54" s="2">
        <f t="shared" si="9"/>
        <v>0.30263157894736842</v>
      </c>
      <c r="F54" s="2">
        <f>F45/F$51</f>
        <v>7.6923076923076913E-2</v>
      </c>
      <c r="G54" s="2">
        <f t="shared" si="9"/>
        <v>1</v>
      </c>
      <c r="H54" s="2">
        <f>H45/H$51</f>
        <v>2.2727272727272728E-2</v>
      </c>
    </row>
    <row r="55" spans="2:21">
      <c r="B55" t="s">
        <v>310</v>
      </c>
      <c r="C55" s="2">
        <f t="shared" si="9"/>
        <v>5.4999999999999993E-2</v>
      </c>
      <c r="D55" s="2">
        <f t="shared" si="9"/>
        <v>0.20245398773006132</v>
      </c>
      <c r="E55" s="2">
        <f t="shared" si="9"/>
        <v>0.28947368421052633</v>
      </c>
      <c r="F55" s="2">
        <f t="shared" si="9"/>
        <v>0.69230769230769229</v>
      </c>
      <c r="G55" s="2">
        <f t="shared" si="9"/>
        <v>0</v>
      </c>
      <c r="H55" s="2">
        <f t="shared" si="9"/>
        <v>0.2196969696969697</v>
      </c>
    </row>
    <row r="56" spans="2:21">
      <c r="B56" t="s">
        <v>370</v>
      </c>
      <c r="C56" s="2">
        <f t="shared" si="9"/>
        <v>5.0000000000000001E-3</v>
      </c>
      <c r="D56" s="2">
        <f t="shared" si="9"/>
        <v>4.9079754601226988E-2</v>
      </c>
      <c r="E56" s="2">
        <f t="shared" si="9"/>
        <v>0</v>
      </c>
      <c r="F56" s="2">
        <f t="shared" si="9"/>
        <v>2.564102564102564E-2</v>
      </c>
      <c r="G56" s="2">
        <f t="shared" si="9"/>
        <v>0</v>
      </c>
      <c r="H56" s="2">
        <f t="shared" si="9"/>
        <v>0.22727272727272727</v>
      </c>
    </row>
    <row r="57" spans="2:21">
      <c r="B57" t="s">
        <v>312</v>
      </c>
      <c r="C57" s="2">
        <f t="shared" si="9"/>
        <v>2.4999999999999998E-2</v>
      </c>
      <c r="D57" s="2">
        <f t="shared" si="9"/>
        <v>1.2269938650306747E-2</v>
      </c>
      <c r="E57" s="2">
        <f t="shared" si="9"/>
        <v>7.8947368421052641E-2</v>
      </c>
      <c r="F57" s="2">
        <f t="shared" si="9"/>
        <v>3.4188034188034185E-2</v>
      </c>
      <c r="G57" s="2">
        <f t="shared" si="9"/>
        <v>0</v>
      </c>
      <c r="H57" s="2">
        <f t="shared" si="9"/>
        <v>0.10606060606060606</v>
      </c>
    </row>
    <row r="58" spans="2:21">
      <c r="B58" t="s">
        <v>313</v>
      </c>
      <c r="C58" s="2">
        <f t="shared" si="9"/>
        <v>0.14499999999999999</v>
      </c>
      <c r="D58" s="2">
        <f t="shared" si="9"/>
        <v>0.10429447852760734</v>
      </c>
      <c r="E58" s="2">
        <f t="shared" si="9"/>
        <v>0.23684210526315788</v>
      </c>
      <c r="F58" s="2">
        <f t="shared" si="9"/>
        <v>5.128205128205128E-2</v>
      </c>
      <c r="G58" s="2">
        <f t="shared" si="9"/>
        <v>0</v>
      </c>
      <c r="H58" s="2">
        <f t="shared" si="9"/>
        <v>9.0909090909090912E-2</v>
      </c>
    </row>
    <row r="59" spans="2:21">
      <c r="B59" t="s">
        <v>248</v>
      </c>
      <c r="C59" s="2">
        <f t="shared" si="9"/>
        <v>9.5000000000000015E-2</v>
      </c>
      <c r="D59" s="2">
        <f t="shared" si="9"/>
        <v>6.1349693251533721E-2</v>
      </c>
      <c r="E59" s="2">
        <f t="shared" si="9"/>
        <v>9.2105263157894746E-2</v>
      </c>
      <c r="F59" s="2">
        <f t="shared" si="9"/>
        <v>0.11965811965811965</v>
      </c>
      <c r="G59" s="2">
        <f t="shared" si="9"/>
        <v>0</v>
      </c>
      <c r="H59" s="2">
        <f t="shared" si="9"/>
        <v>0.33333333333333331</v>
      </c>
    </row>
    <row r="60" spans="2:21">
      <c r="B60" t="s">
        <v>67</v>
      </c>
      <c r="C60" s="2">
        <f t="shared" ref="C60:H60" si="10">SUM(C54:C59)</f>
        <v>1</v>
      </c>
      <c r="D60" s="2">
        <f t="shared" si="10"/>
        <v>0.99999999999999989</v>
      </c>
      <c r="E60" s="2">
        <f t="shared" si="10"/>
        <v>1</v>
      </c>
      <c r="F60" s="2">
        <f t="shared" si="10"/>
        <v>1</v>
      </c>
      <c r="G60" s="2">
        <f t="shared" si="10"/>
        <v>1</v>
      </c>
      <c r="H60" s="2">
        <f t="shared" si="10"/>
        <v>1</v>
      </c>
      <c r="K60" s="6"/>
    </row>
    <row r="61" spans="2:21" ht="16" thickBot="1"/>
    <row r="62" spans="2:21">
      <c r="B62" s="31" t="s">
        <v>281</v>
      </c>
      <c r="C62" s="31" t="s">
        <v>566</v>
      </c>
      <c r="D62" s="31" t="s">
        <v>472</v>
      </c>
      <c r="E62" s="31" t="s">
        <v>634</v>
      </c>
      <c r="F62" s="31" t="s">
        <v>480</v>
      </c>
      <c r="G62" s="31" t="s">
        <v>474</v>
      </c>
      <c r="H62" s="31" t="s">
        <v>676</v>
      </c>
      <c r="I62" s="31" t="s">
        <v>248</v>
      </c>
      <c r="J62" s="34" t="s">
        <v>67</v>
      </c>
      <c r="K62" s="37" t="s">
        <v>603</v>
      </c>
      <c r="L62" s="37" t="s">
        <v>46</v>
      </c>
      <c r="M62" s="92" t="s">
        <v>604</v>
      </c>
      <c r="N62" s="95" t="s">
        <v>67</v>
      </c>
      <c r="P62" s="162" t="s">
        <v>693</v>
      </c>
      <c r="U62" s="1" t="s">
        <v>694</v>
      </c>
    </row>
    <row r="63" spans="2:21">
      <c r="B63" t="s">
        <v>309</v>
      </c>
      <c r="C63" s="2">
        <f>C54*$C$35</f>
        <v>0.22685950413223144</v>
      </c>
      <c r="D63" s="2">
        <f t="shared" ref="D63:D68" si="11">D54*$C$34</f>
        <v>0.15628099173553719</v>
      </c>
      <c r="E63" s="2">
        <f t="shared" ref="E63:E68" si="12">E54*$C$39</f>
        <v>1.7976315789473684E-2</v>
      </c>
      <c r="F63" s="2">
        <f t="shared" ref="F63:F68" si="13">F54*$C$38</f>
        <v>8.8615384615384606E-3</v>
      </c>
      <c r="G63" s="2">
        <f>G54*$C$36</f>
        <v>2.3450000000000002E-2</v>
      </c>
      <c r="H63" s="214">
        <v>0</v>
      </c>
      <c r="I63" s="2">
        <f>H54*SUM($C$40:$C$41)</f>
        <v>3.4031818181818178E-3</v>
      </c>
      <c r="J63" s="35">
        <f>SUM(C63:I63)</f>
        <v>0.43683153193696267</v>
      </c>
      <c r="K63" s="38">
        <f>J63*$E$2</f>
        <v>71.069130003590459</v>
      </c>
      <c r="L63" s="161">
        <v>1.4E-2</v>
      </c>
      <c r="M63" s="93">
        <f>K63*(1+L63)^30</f>
        <v>107.8498757133959</v>
      </c>
      <c r="N63" s="96">
        <f>M63/M$70</f>
        <v>0.42294068907213955</v>
      </c>
      <c r="P63" s="54" t="s">
        <v>695</v>
      </c>
    </row>
    <row r="64" spans="2:21">
      <c r="B64" t="s">
        <v>310</v>
      </c>
      <c r="C64" s="2">
        <f t="shared" ref="C64:C68" si="14">C55*$C$35</f>
        <v>1.8484848484848482E-2</v>
      </c>
      <c r="D64" s="2">
        <f t="shared" si="11"/>
        <v>5.5454545454545451E-2</v>
      </c>
      <c r="E64" s="2">
        <f t="shared" si="12"/>
        <v>1.7194736842105263E-2</v>
      </c>
      <c r="F64" s="2">
        <f t="shared" si="13"/>
        <v>7.9753846153846147E-2</v>
      </c>
      <c r="G64" s="2">
        <f t="shared" ref="G64:G68" si="15">G55*$C$36</f>
        <v>0</v>
      </c>
      <c r="H64" s="286">
        <f>$C$37*0.25</f>
        <v>1.0552500000000001E-2</v>
      </c>
      <c r="I64" s="2">
        <f>H55*SUM($C$40:$C$41)</f>
        <v>3.2897424242424242E-2</v>
      </c>
      <c r="J64" s="35">
        <f>SUM(C64:I64)</f>
        <v>0.21433790117776957</v>
      </c>
      <c r="K64" s="38">
        <f t="shared" ref="K64:K68" si="16">J64*$E$2</f>
        <v>34.871127768537121</v>
      </c>
      <c r="L64" s="161">
        <v>1.7000000000000001E-2</v>
      </c>
      <c r="M64" s="93">
        <f>K64*(1+L64)^30</f>
        <v>57.822195909709663</v>
      </c>
      <c r="N64" s="96">
        <f t="shared" ref="N64:N69" si="17">M64/M$70</f>
        <v>0.22675370944984116</v>
      </c>
      <c r="P64" s="54" t="s">
        <v>696</v>
      </c>
      <c r="U64" s="176" t="s">
        <v>697</v>
      </c>
    </row>
    <row r="65" spans="2:21">
      <c r="B65" t="s">
        <v>370</v>
      </c>
      <c r="C65" s="2">
        <f t="shared" si="14"/>
        <v>1.6804407713498623E-3</v>
      </c>
      <c r="D65" s="2">
        <f t="shared" si="11"/>
        <v>1.3443526170798898E-2</v>
      </c>
      <c r="E65" s="2">
        <f t="shared" si="12"/>
        <v>0</v>
      </c>
      <c r="F65" s="2">
        <f t="shared" si="13"/>
        <v>2.9538461538461537E-3</v>
      </c>
      <c r="G65" s="2">
        <f t="shared" si="15"/>
        <v>0</v>
      </c>
      <c r="H65" s="286">
        <f>0</f>
        <v>0</v>
      </c>
      <c r="I65" s="2">
        <f t="shared" ref="I65:I68" si="18">H56*SUM($C$40:$C$41)</f>
        <v>3.4031818181818177E-2</v>
      </c>
      <c r="J65" s="35">
        <f t="shared" ref="J65:J68" si="19">SUM(C65:I65)</f>
        <v>5.2109631277813095E-2</v>
      </c>
      <c r="K65" s="38">
        <f>J65*$E$2</f>
        <v>8.4778361655826675</v>
      </c>
      <c r="L65" s="161">
        <v>1.7000000000000001E-2</v>
      </c>
      <c r="M65" s="93">
        <f>K65*(1+L65)^30</f>
        <v>14.057678515893535</v>
      </c>
      <c r="N65" s="96">
        <f t="shared" si="17"/>
        <v>5.5128151042719585E-2</v>
      </c>
      <c r="P65" s="54" t="s">
        <v>696</v>
      </c>
    </row>
    <row r="66" spans="2:21">
      <c r="B66" t="s">
        <v>312</v>
      </c>
      <c r="C66" s="2">
        <f t="shared" si="14"/>
        <v>8.4022038567493108E-3</v>
      </c>
      <c r="D66" s="2">
        <f t="shared" si="11"/>
        <v>3.3608815426997246E-3</v>
      </c>
      <c r="E66" s="2">
        <f t="shared" si="12"/>
        <v>4.6894736842105263E-3</v>
      </c>
      <c r="F66" s="2">
        <f t="shared" si="13"/>
        <v>3.9384615384615382E-3</v>
      </c>
      <c r="G66" s="2">
        <f t="shared" si="15"/>
        <v>0</v>
      </c>
      <c r="H66" s="286">
        <v>0</v>
      </c>
      <c r="I66" s="2">
        <f t="shared" si="18"/>
        <v>1.588151515151515E-2</v>
      </c>
      <c r="J66" s="35">
        <f t="shared" si="19"/>
        <v>3.6272535773636247E-2</v>
      </c>
      <c r="K66" s="38">
        <f t="shared" si="16"/>
        <v>5.9012625508646659</v>
      </c>
      <c r="L66" s="40">
        <f>(M66/K66)^(1/30)-1</f>
        <v>1.4673314942567961E-2</v>
      </c>
      <c r="M66" s="93">
        <f>($M$70-$M$63-$M$64-$M$65-$M$69-$M$67)*(J66/SUM($J$66:$J$66,J68))</f>
        <v>9.1354954453703705</v>
      </c>
      <c r="N66" s="96">
        <f t="shared" si="17"/>
        <v>3.5825472334785662E-2</v>
      </c>
      <c r="P66" s="54" t="s">
        <v>698</v>
      </c>
    </row>
    <row r="67" spans="2:21">
      <c r="B67" t="s">
        <v>313</v>
      </c>
      <c r="C67" s="2">
        <f t="shared" si="14"/>
        <v>4.8732782369146001E-2</v>
      </c>
      <c r="D67" s="2">
        <f t="shared" si="11"/>
        <v>2.8567493112947658E-2</v>
      </c>
      <c r="E67" s="2">
        <f t="shared" si="12"/>
        <v>1.4068421052631577E-2</v>
      </c>
      <c r="F67" s="2">
        <f t="shared" si="13"/>
        <v>5.9076923076923074E-3</v>
      </c>
      <c r="G67" s="2">
        <f>G58*$C$36</f>
        <v>0</v>
      </c>
      <c r="H67" s="286">
        <v>0</v>
      </c>
      <c r="I67" s="2">
        <f t="shared" si="18"/>
        <v>1.3612727272727271E-2</v>
      </c>
      <c r="J67" s="35">
        <f>SUM(C67:I67)</f>
        <v>0.11088911611514482</v>
      </c>
      <c r="K67" s="38">
        <f t="shared" si="16"/>
        <v>18.040806198733176</v>
      </c>
      <c r="L67" s="40">
        <f>L63</f>
        <v>1.4E-2</v>
      </c>
      <c r="M67" s="93">
        <f>K67*(1+L67)^30</f>
        <v>27.377550649691887</v>
      </c>
      <c r="N67" s="96">
        <f t="shared" si="17"/>
        <v>0.1073629437242816</v>
      </c>
      <c r="P67" s="54" t="s">
        <v>695</v>
      </c>
      <c r="U67" s="176"/>
    </row>
    <row r="68" spans="2:21">
      <c r="B68" t="s">
        <v>248</v>
      </c>
      <c r="C68" s="2">
        <f t="shared" si="14"/>
        <v>3.1928374655647386E-2</v>
      </c>
      <c r="D68" s="2">
        <f t="shared" si="11"/>
        <v>1.6804407713498618E-2</v>
      </c>
      <c r="E68" s="2">
        <f t="shared" si="12"/>
        <v>5.4710526315789477E-3</v>
      </c>
      <c r="F68" s="2">
        <f t="shared" si="13"/>
        <v>1.3784615384615383E-2</v>
      </c>
      <c r="G68" s="2">
        <f t="shared" si="15"/>
        <v>0</v>
      </c>
      <c r="H68" s="286">
        <f>$C$37*0.25</f>
        <v>1.0552500000000001E-2</v>
      </c>
      <c r="I68" s="2">
        <f t="shared" si="18"/>
        <v>4.9913333333333323E-2</v>
      </c>
      <c r="J68" s="35">
        <f t="shared" si="19"/>
        <v>0.12845428371867368</v>
      </c>
      <c r="K68" s="38">
        <f t="shared" si="16"/>
        <v>20.898523851153445</v>
      </c>
      <c r="L68" s="40">
        <f t="shared" ref="L68" si="20">(M68/K68)^(1/30)-1</f>
        <v>1.4673314942567961E-2</v>
      </c>
      <c r="M68" s="93">
        <f>($M$70-$M$63-$M$64-$M$65-$M$69-$M$67)*(J68/SUM($J$66:$J$66,J68))</f>
        <v>32.352122585903693</v>
      </c>
      <c r="N68" s="96">
        <f t="shared" si="17"/>
        <v>0.12687106896432784</v>
      </c>
      <c r="P68" s="54" t="s">
        <v>698</v>
      </c>
      <c r="U68" s="176" t="s">
        <v>699</v>
      </c>
    </row>
    <row r="69" spans="2:21">
      <c r="B69" t="s">
        <v>320</v>
      </c>
      <c r="C69" s="6">
        <v>0</v>
      </c>
      <c r="D69" s="6">
        <v>0</v>
      </c>
      <c r="E69" s="6">
        <v>0</v>
      </c>
      <c r="F69" s="6">
        <v>0</v>
      </c>
      <c r="G69" s="6">
        <v>0</v>
      </c>
      <c r="H69" s="286">
        <f>$C$37*0.5</f>
        <v>2.1105000000000002E-2</v>
      </c>
      <c r="I69" s="23">
        <v>0</v>
      </c>
      <c r="J69" s="35">
        <f>SUM(C69:I69)</f>
        <v>2.1105000000000002E-2</v>
      </c>
      <c r="K69" s="38">
        <f>J69*$E$2</f>
        <v>3.4336211538461541</v>
      </c>
      <c r="L69" s="161">
        <v>2.1000000000000001E-2</v>
      </c>
      <c r="M69" s="93">
        <f>K69*(1+L69)^30</f>
        <v>6.4050811800356975</v>
      </c>
      <c r="N69" s="96">
        <f t="shared" si="17"/>
        <v>2.5117965411904624E-2</v>
      </c>
      <c r="P69" s="54" t="s">
        <v>700</v>
      </c>
      <c r="U69" s="176" t="s">
        <v>701</v>
      </c>
    </row>
    <row r="70" spans="2:21" ht="16" thickBot="1">
      <c r="B70" s="32" t="s">
        <v>67</v>
      </c>
      <c r="C70" s="33">
        <f t="shared" ref="C70:I70" si="21">SUM(C63:C69)</f>
        <v>0.33608815426997252</v>
      </c>
      <c r="D70" s="33">
        <f t="shared" si="21"/>
        <v>0.27391184573002753</v>
      </c>
      <c r="E70" s="33">
        <f t="shared" si="21"/>
        <v>5.9400000000000001E-2</v>
      </c>
      <c r="F70" s="33">
        <f t="shared" si="21"/>
        <v>0.1152</v>
      </c>
      <c r="G70" s="287">
        <f t="shared" si="21"/>
        <v>2.3450000000000002E-2</v>
      </c>
      <c r="H70" s="287">
        <f t="shared" si="21"/>
        <v>4.2210000000000004E-2</v>
      </c>
      <c r="I70" s="33">
        <f t="shared" si="21"/>
        <v>0.14973999999999998</v>
      </c>
      <c r="J70" s="590">
        <f>SUM(C70:I70)</f>
        <v>1</v>
      </c>
      <c r="K70" s="39">
        <f>SUM(K63:K69)</f>
        <v>162.69230769230771</v>
      </c>
      <c r="L70" s="42">
        <f>L2</f>
        <v>1.5092857676367366E-2</v>
      </c>
      <c r="M70" s="94">
        <f>K70*(1+L70)^30</f>
        <v>255.00000000000074</v>
      </c>
      <c r="N70" s="97">
        <f>SUM(N63:N69)</f>
        <v>1</v>
      </c>
    </row>
    <row r="71" spans="2:21" ht="16" thickTop="1"/>
    <row r="72" spans="2:21">
      <c r="B72" s="31" t="s">
        <v>281</v>
      </c>
      <c r="C72" s="31" t="s">
        <v>258</v>
      </c>
      <c r="D72" s="31" t="s">
        <v>474</v>
      </c>
      <c r="E72" s="31" t="s">
        <v>480</v>
      </c>
      <c r="F72" s="31" t="s">
        <v>248</v>
      </c>
      <c r="G72" s="1" t="s">
        <v>67</v>
      </c>
      <c r="H72" s="1"/>
      <c r="I72" s="1"/>
      <c r="J72" s="1"/>
      <c r="K72" s="162"/>
      <c r="L72" s="162"/>
      <c r="M72" s="162"/>
      <c r="N72" s="1"/>
      <c r="P72" s="162"/>
      <c r="U72" s="1"/>
    </row>
    <row r="73" spans="2:21">
      <c r="B73" t="s">
        <v>702</v>
      </c>
      <c r="C73" s="2">
        <f>(C63+D63+C67+D67)/(SUM($C$63:$I$63,C67:I67))</f>
        <v>0.84064892018834059</v>
      </c>
      <c r="D73" s="2">
        <f>(G63+H63+G67+H67)/(SUM($C$63:$I$63,C67:I67))</f>
        <v>4.2813795834421568E-2</v>
      </c>
      <c r="E73" s="2">
        <f>(F63+F67)/(SUM($C63:$I63,C67:I67))</f>
        <v>2.6964896835194159E-2</v>
      </c>
      <c r="F73" s="2">
        <f>1-C73-D73-E73</f>
        <v>8.9572387142043686E-2</v>
      </c>
      <c r="G73" s="169">
        <f>SUM(C73:F73)</f>
        <v>1</v>
      </c>
      <c r="H73" s="296"/>
      <c r="I73" s="299">
        <f>D73*(K63+K67)</f>
        <v>3.8151346153846153</v>
      </c>
      <c r="J73" s="8"/>
      <c r="K73" s="163"/>
      <c r="L73" s="294"/>
      <c r="M73" s="163"/>
      <c r="N73" s="8"/>
      <c r="P73" s="54"/>
    </row>
    <row r="74" spans="2:21">
      <c r="B74" t="s">
        <v>310</v>
      </c>
      <c r="C74" s="2">
        <f>(C64+D64)/(SUM($C$64:$I$64))</f>
        <v>0.34496649231471843</v>
      </c>
      <c r="D74" s="2">
        <f>(G64+H64)/(SUM($C$64:$I$64))</f>
        <v>4.9233009850403776E-2</v>
      </c>
      <c r="E74" s="2">
        <f t="shared" ref="E74:E75" si="22">(F64)/(SUM($C64:$I64))</f>
        <v>0.37209399604831978</v>
      </c>
      <c r="F74" s="2">
        <f t="shared" ref="F74:F77" si="23">1-C74-D74-E74</f>
        <v>0.233706501786558</v>
      </c>
      <c r="G74" s="169">
        <f t="shared" ref="G74:G77" si="24">SUM(C74:F74)</f>
        <v>1</v>
      </c>
      <c r="H74" s="286"/>
      <c r="I74" s="299">
        <f>D74*(K64)</f>
        <v>1.7168105769230768</v>
      </c>
      <c r="J74" s="8"/>
      <c r="K74" s="163"/>
      <c r="L74" s="294"/>
      <c r="M74" s="163"/>
      <c r="N74" s="8"/>
      <c r="P74" s="54"/>
      <c r="U74" s="176"/>
    </row>
    <row r="75" spans="2:21">
      <c r="B75" t="s">
        <v>370</v>
      </c>
      <c r="C75" s="2">
        <f>(C65+D65)/(SUM($C$65:$I$65))</f>
        <v>0.29023362037466854</v>
      </c>
      <c r="D75" s="2">
        <f>(G65+H65)/(SUM($C$65:$I$65))</f>
        <v>0</v>
      </c>
      <c r="E75" s="2">
        <f t="shared" si="22"/>
        <v>5.6685224619960485E-2</v>
      </c>
      <c r="F75" s="2">
        <f t="shared" si="23"/>
        <v>0.65308115500537101</v>
      </c>
      <c r="G75" s="169">
        <f t="shared" si="24"/>
        <v>1</v>
      </c>
      <c r="H75" s="286"/>
      <c r="I75" s="299">
        <f>D75*K65</f>
        <v>0</v>
      </c>
      <c r="J75" s="8"/>
      <c r="K75" s="163"/>
      <c r="L75" s="294"/>
      <c r="M75" s="163"/>
      <c r="N75" s="8"/>
      <c r="P75" s="54"/>
    </row>
    <row r="76" spans="2:21">
      <c r="B76" t="s">
        <v>248</v>
      </c>
      <c r="C76" s="2">
        <f>(C68+D68+C66+D66)/(SUM($C$68:$I$68,C66:I66))</f>
        <v>0.36724965585472996</v>
      </c>
      <c r="D76" s="2">
        <f>(G68+H68+G66+H66)/(SUM($C$68:$I$68,C66:I66))</f>
        <v>6.4060606721619076E-2</v>
      </c>
      <c r="E76" s="2">
        <f>(F68+F66)/(SUM($C68:$I68,C66:I66))</f>
        <v>0.10759071885015241</v>
      </c>
      <c r="F76" s="2">
        <f t="shared" si="23"/>
        <v>0.4610990185734985</v>
      </c>
      <c r="G76" s="169">
        <f t="shared" si="24"/>
        <v>1</v>
      </c>
      <c r="H76" s="286"/>
      <c r="I76" s="299">
        <f>D76*(K66+K68)</f>
        <v>1.7168105769230768</v>
      </c>
      <c r="J76" s="8"/>
      <c r="K76" s="163"/>
      <c r="L76" s="164"/>
      <c r="M76" s="163"/>
      <c r="N76" s="8"/>
      <c r="P76" s="54"/>
      <c r="U76" s="176"/>
    </row>
    <row r="77" spans="2:21">
      <c r="B77" t="s">
        <v>320</v>
      </c>
      <c r="C77" s="2">
        <f>(C69+D69)/(SUM($C$69:$I$69))</f>
        <v>0</v>
      </c>
      <c r="D77" s="2">
        <f>(G69+H69)/(SUM($C$69:$I$69))</f>
        <v>1</v>
      </c>
      <c r="E77" s="2">
        <f>(F69)/(SUM($C69:$I69))</f>
        <v>0</v>
      </c>
      <c r="F77" s="2">
        <f t="shared" si="23"/>
        <v>0</v>
      </c>
      <c r="G77" s="169">
        <f t="shared" si="24"/>
        <v>1</v>
      </c>
      <c r="H77" s="286"/>
      <c r="I77" s="299">
        <f>K69</f>
        <v>3.4336211538461541</v>
      </c>
      <c r="J77" s="8"/>
      <c r="K77" s="163"/>
      <c r="L77" s="294"/>
      <c r="M77" s="163"/>
      <c r="N77" s="8"/>
      <c r="P77" s="54"/>
      <c r="U77" s="176"/>
    </row>
    <row r="78" spans="2:21" ht="16" thickBot="1">
      <c r="B78" s="32"/>
      <c r="C78" s="33"/>
      <c r="D78" s="33"/>
      <c r="E78" s="33"/>
      <c r="F78" s="33"/>
      <c r="G78" s="275"/>
      <c r="H78" s="297"/>
      <c r="I78" s="275"/>
      <c r="J78" s="295"/>
      <c r="K78" s="165"/>
      <c r="L78" s="166"/>
      <c r="M78" s="165"/>
      <c r="N78" s="8"/>
    </row>
    <row r="79" spans="2:21" ht="16" thickTop="1"/>
    <row r="80" spans="2:21">
      <c r="C80" s="2"/>
      <c r="D80" s="2"/>
      <c r="E80" s="2"/>
      <c r="F80" s="2"/>
      <c r="G80" s="2"/>
      <c r="H80" s="2"/>
      <c r="I80" s="2"/>
      <c r="J80" s="54" t="s">
        <v>53</v>
      </c>
      <c r="K80" s="182">
        <f>'R&amp;S - Buildings'!J4+'R&amp;S - Transportation'!D4+'R&amp;S - Packaging and hh goods'!J4+'R&amp;S - Apparel'!E4+'R&amp;S - Others'!F4</f>
        <v>162.69230769230768</v>
      </c>
      <c r="L80" s="182"/>
      <c r="M80" s="182">
        <f>'R&amp;S - Buildings'!J6+'R&amp;S - Transportation'!D7+'R&amp;S - Packaging and hh goods'!J6+'R&amp;S - Apparel'!E6+'R&amp;S - Others'!F6</f>
        <v>255.00000000000077</v>
      </c>
    </row>
    <row r="81" spans="2:13">
      <c r="K81" s="162"/>
      <c r="L81" s="162"/>
      <c r="M81" s="162"/>
    </row>
    <row r="82" spans="2:13">
      <c r="B82" t="s">
        <v>703</v>
      </c>
      <c r="C82" t="s">
        <v>704</v>
      </c>
      <c r="D82" t="s">
        <v>705</v>
      </c>
      <c r="E82" t="s">
        <v>706</v>
      </c>
      <c r="F82" t="s">
        <v>707</v>
      </c>
      <c r="K82" s="163"/>
      <c r="L82" s="164"/>
      <c r="M82" s="163"/>
    </row>
    <row r="83" spans="2:13">
      <c r="B83" t="s">
        <v>258</v>
      </c>
      <c r="C83" s="256">
        <f>(C34+C35)*E2</f>
        <v>99.242307692307705</v>
      </c>
      <c r="D83">
        <f>'Demand - Industry shares'!L17*('Demand - Industry shares'!B13+'Demand - Industry shares'!C13)</f>
        <v>163.83420772442309</v>
      </c>
      <c r="E83">
        <v>104</v>
      </c>
      <c r="F83" s="2"/>
      <c r="G83" s="2">
        <f>(E83-C83)/C83</f>
        <v>4.7940161996666925E-2</v>
      </c>
      <c r="H83" t="s">
        <v>708</v>
      </c>
      <c r="I83" t="s">
        <v>709</v>
      </c>
      <c r="K83" s="163"/>
      <c r="L83" s="164"/>
      <c r="M83" s="163"/>
    </row>
    <row r="84" spans="2:13">
      <c r="B84" t="s">
        <v>480</v>
      </c>
      <c r="C84" s="256">
        <f>C38/E38*E2</f>
        <v>41.835164835164825</v>
      </c>
      <c r="D84">
        <f>'Demand - Industry shares'!L17*'Demand - Industry shares'!F13</f>
        <v>52.806066952500004</v>
      </c>
      <c r="E84">
        <v>46</v>
      </c>
      <c r="F84" s="2">
        <f>(D84-C84)/C84</f>
        <v>0.26224115909574508</v>
      </c>
      <c r="G84" s="2">
        <f t="shared" ref="G84:G87" si="25">(E84-C84)/C84</f>
        <v>9.9553454163383501E-2</v>
      </c>
      <c r="I84" s="5" t="s">
        <v>710</v>
      </c>
      <c r="K84" s="163"/>
      <c r="L84" s="164"/>
      <c r="M84" s="163"/>
    </row>
    <row r="85" spans="2:13">
      <c r="B85" t="s">
        <v>474</v>
      </c>
      <c r="C85" s="281">
        <f>(C36+C37)/E36*E2</f>
        <v>73.326887307692303</v>
      </c>
      <c r="D85">
        <f>'Demand - Industry shares'!L17*'Demand - Industry shares'!G13</f>
        <v>45.584724463269232</v>
      </c>
      <c r="E85">
        <v>75</v>
      </c>
      <c r="F85" s="2"/>
      <c r="G85" s="2">
        <f t="shared" si="25"/>
        <v>2.2817178714910218E-2</v>
      </c>
      <c r="H85" t="s">
        <v>708</v>
      </c>
      <c r="I85" t="s">
        <v>711</v>
      </c>
      <c r="K85" s="163"/>
      <c r="L85" s="164"/>
      <c r="M85" s="163"/>
    </row>
    <row r="86" spans="2:13">
      <c r="B86" t="s">
        <v>478</v>
      </c>
      <c r="C86" s="256">
        <f>C39/E39*E2</f>
        <v>35.963599450549445</v>
      </c>
      <c r="D86">
        <f>'Demand - Industry shares'!L17*'Demand - Industry shares'!E13</f>
        <v>34.301376823846155</v>
      </c>
      <c r="F86" s="2">
        <f>(D86-C86)/C86</f>
        <v>-4.6219584582707696E-2</v>
      </c>
      <c r="G86" s="2"/>
      <c r="H86" t="s">
        <v>708</v>
      </c>
      <c r="K86" s="163"/>
      <c r="L86" s="164"/>
      <c r="M86" s="163"/>
    </row>
    <row r="87" spans="2:13">
      <c r="B87" t="s">
        <v>477</v>
      </c>
      <c r="C87" s="256">
        <f>('Demand Breakdown - Propylene'!C25+'Demand Breakdown - Propylene'!C26)*'Demand Breakdown - Propylene'!E2</f>
        <v>74.98846153846155</v>
      </c>
      <c r="D87">
        <f>'Demand - Industry shares'!D13*'Demand - Industry shares'!L17</f>
        <v>95.231454076730785</v>
      </c>
      <c r="E87">
        <v>75</v>
      </c>
      <c r="F87" s="2"/>
      <c r="G87" s="2">
        <f t="shared" si="25"/>
        <v>1.5386982612694192E-4</v>
      </c>
      <c r="H87" t="s">
        <v>708</v>
      </c>
      <c r="I87" t="s">
        <v>709</v>
      </c>
      <c r="K87" s="163"/>
      <c r="L87" s="164"/>
      <c r="M87" s="163"/>
    </row>
    <row r="88" spans="2:13">
      <c r="B88" t="s">
        <v>712</v>
      </c>
      <c r="C88">
        <f>'Demand - Industry shares'!L17*0.11</f>
        <v>49.646729613461538</v>
      </c>
      <c r="K88" s="163"/>
      <c r="L88" s="164"/>
      <c r="M88" s="163"/>
    </row>
    <row r="89" spans="2:13">
      <c r="B89" t="s">
        <v>713</v>
      </c>
      <c r="C89">
        <v>1.5</v>
      </c>
      <c r="K89" s="165"/>
      <c r="L89" s="166"/>
      <c r="M89" s="165"/>
    </row>
    <row r="90" spans="2:13">
      <c r="B90" t="s">
        <v>714</v>
      </c>
      <c r="C90" s="245">
        <f>'Demand - Industry shares'!L17-'Demand Breakdown - Ethylene'!C87-'Demand Breakdown - Ethylene'!C86-'Demand Breakdown - Ethylene'!C85-'Demand Breakdown - Ethylene'!C84-'Demand Breakdown - Ethylene'!C83-C88-C89</f>
        <v>74.830755139285742</v>
      </c>
    </row>
    <row r="91" spans="2:13">
      <c r="C91">
        <f>('Demand - Industry shares'!H13+'Demand - Industry shares'!I13)*'Demand - Industry shares'!L17</f>
        <v>59.576075536153851</v>
      </c>
    </row>
    <row r="94" spans="2:13">
      <c r="C94" s="245"/>
      <c r="L94" s="41"/>
    </row>
  </sheetData>
  <phoneticPr fontId="21" type="noConversion"/>
  <hyperlinks>
    <hyperlink ref="S2" r:id="rId1" xr:uid="{F1383701-141F-4E98-BDA6-E9552C42BF66}"/>
    <hyperlink ref="L29" r:id="rId2" xr:uid="{BF601BF2-FE0B-42FA-A783-E750E252EDE0}"/>
    <hyperlink ref="F9" r:id="rId3" display="http://atozplastics.com/upload/literature/16_art_ethylene_scenario.asp" xr:uid="{63C3F61B-139E-41D0-9BC0-308A9B3782D5}"/>
    <hyperlink ref="I84" r:id="rId4" display="https://www.statista.com/statistics/720296/global-polyvinyl-chloride-market-size-in-tons/" xr:uid="{9B94BA9D-17A3-420C-975A-8B05231D9867}"/>
  </hyperlinks>
  <pageMargins left="0.7" right="0.7" top="0.75" bottom="0.75" header="0.3" footer="0.3"/>
  <pageSetup paperSize="9" orientation="portrait"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0A7B-1512-43DA-907B-B420A4FC34E8}">
  <sheetPr>
    <tabColor theme="7"/>
  </sheetPr>
  <dimension ref="A1:AI73"/>
  <sheetViews>
    <sheetView zoomScale="90" zoomScaleNormal="90" workbookViewId="0">
      <selection activeCell="G36" sqref="G36"/>
    </sheetView>
  </sheetViews>
  <sheetFormatPr baseColWidth="10" defaultColWidth="8.83203125" defaultRowHeight="15"/>
  <cols>
    <col min="2" max="2" width="18" customWidth="1"/>
    <col min="3" max="3" width="10.33203125" customWidth="1"/>
    <col min="5" max="5" width="8.83203125" customWidth="1"/>
    <col min="10" max="10" width="21.1640625" customWidth="1"/>
    <col min="11" max="11" width="17.5" bestFit="1" customWidth="1"/>
    <col min="12" max="12" width="15.1640625" customWidth="1"/>
    <col min="13" max="13" width="16.83203125" customWidth="1"/>
    <col min="22" max="22" width="17.1640625" customWidth="1"/>
  </cols>
  <sheetData>
    <row r="1" spans="2:35">
      <c r="C1" s="1">
        <v>2015</v>
      </c>
      <c r="D1" s="1">
        <v>2017</v>
      </c>
      <c r="E1" s="1">
        <v>2020</v>
      </c>
      <c r="F1" s="1">
        <v>2025</v>
      </c>
      <c r="G1" s="1">
        <v>2030</v>
      </c>
      <c r="H1" s="1">
        <v>2035</v>
      </c>
      <c r="I1" s="1">
        <v>2040</v>
      </c>
      <c r="J1" s="1">
        <v>2045</v>
      </c>
      <c r="K1" s="1">
        <v>2050</v>
      </c>
      <c r="L1" s="1" t="s">
        <v>46</v>
      </c>
      <c r="M1" s="1" t="s">
        <v>96</v>
      </c>
    </row>
    <row r="2" spans="2:35">
      <c r="B2" t="s">
        <v>715</v>
      </c>
      <c r="C2" s="99">
        <f>'Yearly Demand - Eth&amp;Prop'!B5</f>
        <v>90</v>
      </c>
      <c r="D2" s="99">
        <f>'Yearly Demand - Eth&amp;Prop'!C5</f>
        <v>105</v>
      </c>
      <c r="E2" s="99">
        <f>'Yearly Demand - Eth&amp;Prop'!D5</f>
        <v>111.92307692307692</v>
      </c>
      <c r="F2" s="99">
        <f>'Yearly Demand - Eth&amp;Prop'!E5</f>
        <v>123.46153846153845</v>
      </c>
      <c r="G2" s="99">
        <f>'Yearly Demand - Eth&amp;Prop'!F5</f>
        <v>135</v>
      </c>
      <c r="H2" s="99">
        <f>'Yearly Demand - Eth&amp;Prop'!G5</f>
        <v>141.25</v>
      </c>
      <c r="I2" s="99">
        <f>'Yearly Demand - Eth&amp;Prop'!H5</f>
        <v>147.5</v>
      </c>
      <c r="J2" s="99">
        <f>'Yearly Demand - Eth&amp;Prop'!I5</f>
        <v>153.75</v>
      </c>
      <c r="K2" s="99">
        <f>'Yearly Demand - Eth&amp;Prop'!J5</f>
        <v>160</v>
      </c>
      <c r="L2" s="41">
        <f>(K2/E2)^(1/30)-1</f>
        <v>1.1983297655736136E-2</v>
      </c>
      <c r="M2" s="54" t="s">
        <v>651</v>
      </c>
      <c r="S2" s="5" t="s">
        <v>524</v>
      </c>
    </row>
    <row r="3" spans="2:35">
      <c r="B3" t="s">
        <v>46</v>
      </c>
      <c r="D3" s="23">
        <f>(E2/C2)^(1/5)-1</f>
        <v>4.4564895075664079E-2</v>
      </c>
      <c r="E3" s="23">
        <f>(F2/D2)^(1/8)-1</f>
        <v>2.0452509816279996E-2</v>
      </c>
      <c r="F3" s="23">
        <f t="shared" ref="F3:K3" si="0">(F2/E2)^(1/5)-1</f>
        <v>1.9817379123614698E-2</v>
      </c>
      <c r="G3" s="23">
        <f t="shared" si="0"/>
        <v>1.8029626204826066E-2</v>
      </c>
      <c r="H3" s="23">
        <f t="shared" si="0"/>
        <v>9.0924053697039042E-3</v>
      </c>
      <c r="I3" s="23">
        <f t="shared" si="0"/>
        <v>8.6969618728141018E-3</v>
      </c>
      <c r="J3" s="23">
        <f t="shared" si="0"/>
        <v>8.3344862287033639E-3</v>
      </c>
      <c r="K3" s="23">
        <f t="shared" si="0"/>
        <v>8.0010201572613404E-3</v>
      </c>
    </row>
    <row r="5" spans="2:35">
      <c r="B5" s="1" t="s">
        <v>716</v>
      </c>
      <c r="C5" s="1"/>
      <c r="D5" s="1" t="s">
        <v>653</v>
      </c>
      <c r="E5" s="1"/>
      <c r="F5" s="54" t="s">
        <v>565</v>
      </c>
      <c r="G5" s="1"/>
      <c r="H5" s="1"/>
      <c r="I5" s="1"/>
      <c r="J5" s="1"/>
      <c r="K5" s="1"/>
    </row>
    <row r="6" spans="2:35">
      <c r="B6" t="s">
        <v>265</v>
      </c>
      <c r="C6" s="56">
        <v>0.67</v>
      </c>
      <c r="D6" s="44">
        <f>$E$2*C6</f>
        <v>74.988461538461536</v>
      </c>
    </row>
    <row r="7" spans="2:35">
      <c r="B7" t="s">
        <v>573</v>
      </c>
      <c r="C7" s="56">
        <v>0.05</v>
      </c>
      <c r="D7" s="44">
        <f t="shared" ref="D7:D12" si="1">$E$2*C7</f>
        <v>5.5961538461538467</v>
      </c>
    </row>
    <row r="8" spans="2:35">
      <c r="B8" t="s">
        <v>575</v>
      </c>
      <c r="C8" s="56">
        <v>0.06</v>
      </c>
      <c r="D8" s="44">
        <f t="shared" si="1"/>
        <v>6.7153846153846146</v>
      </c>
    </row>
    <row r="9" spans="2:35">
      <c r="B9" t="s">
        <v>576</v>
      </c>
      <c r="C9" s="56">
        <v>0.04</v>
      </c>
      <c r="D9" s="44">
        <f t="shared" si="1"/>
        <v>4.476923076923077</v>
      </c>
    </row>
    <row r="10" spans="2:35">
      <c r="B10" t="s">
        <v>717</v>
      </c>
      <c r="C10" s="56">
        <v>7.0000000000000007E-2</v>
      </c>
      <c r="D10" s="44">
        <f t="shared" si="1"/>
        <v>7.8346153846153852</v>
      </c>
    </row>
    <row r="11" spans="2:35">
      <c r="B11" t="s">
        <v>583</v>
      </c>
      <c r="C11" s="56">
        <v>0.03</v>
      </c>
      <c r="D11" s="44">
        <f t="shared" si="1"/>
        <v>3.3576923076923073</v>
      </c>
    </row>
    <row r="12" spans="2:35">
      <c r="B12" t="s">
        <v>192</v>
      </c>
      <c r="C12" s="56">
        <v>0.08</v>
      </c>
      <c r="D12" s="44">
        <f t="shared" si="1"/>
        <v>8.953846153846154</v>
      </c>
      <c r="E12" t="s">
        <v>718</v>
      </c>
    </row>
    <row r="13" spans="2:35">
      <c r="C13" s="6">
        <f>SUM(C6:C12)</f>
        <v>1.0000000000000002</v>
      </c>
      <c r="D13" s="262">
        <f>SUM(D6:D12)</f>
        <v>111.92307692307691</v>
      </c>
      <c r="E13" t="s">
        <v>719</v>
      </c>
    </row>
    <row r="15" spans="2:35">
      <c r="B15" s="1" t="s">
        <v>720</v>
      </c>
      <c r="D15" s="1" t="s">
        <v>653</v>
      </c>
      <c r="E15" s="1" t="s">
        <v>663</v>
      </c>
      <c r="G15" s="1" t="s">
        <v>721</v>
      </c>
      <c r="I15" s="1" t="s">
        <v>653</v>
      </c>
      <c r="J15" s="1" t="s">
        <v>663</v>
      </c>
      <c r="L15" s="1" t="s">
        <v>575</v>
      </c>
      <c r="N15" s="1" t="s">
        <v>653</v>
      </c>
      <c r="O15" s="1" t="s">
        <v>663</v>
      </c>
      <c r="Q15" s="1" t="s">
        <v>722</v>
      </c>
      <c r="S15" s="1" t="s">
        <v>653</v>
      </c>
      <c r="T15" s="1" t="s">
        <v>663</v>
      </c>
      <c r="V15" s="1" t="s">
        <v>717</v>
      </c>
      <c r="X15" s="1" t="s">
        <v>653</v>
      </c>
      <c r="Y15" s="1" t="s">
        <v>663</v>
      </c>
      <c r="AA15" s="1" t="s">
        <v>583</v>
      </c>
      <c r="AC15" s="1" t="s">
        <v>653</v>
      </c>
      <c r="AD15" s="1" t="s">
        <v>663</v>
      </c>
      <c r="AF15" s="1" t="s">
        <v>192</v>
      </c>
      <c r="AH15" s="1" t="s">
        <v>653</v>
      </c>
      <c r="AI15" s="1" t="s">
        <v>663</v>
      </c>
    </row>
    <row r="16" spans="2:35">
      <c r="B16" t="s">
        <v>723</v>
      </c>
      <c r="C16" s="55">
        <v>0.67</v>
      </c>
      <c r="D16" s="262">
        <f>C16*D6</f>
        <v>50.242269230769232</v>
      </c>
      <c r="E16" s="2">
        <f>D16/$E$2</f>
        <v>0.44890000000000002</v>
      </c>
      <c r="G16" t="s">
        <v>590</v>
      </c>
      <c r="H16" s="55">
        <v>0.5</v>
      </c>
      <c r="I16" s="262">
        <f>H16*$D$7</f>
        <v>2.7980769230769234</v>
      </c>
      <c r="J16" s="2">
        <f>I16/$E$2</f>
        <v>2.5000000000000005E-2</v>
      </c>
      <c r="L16" t="s">
        <v>596</v>
      </c>
      <c r="M16" s="55">
        <v>0.3</v>
      </c>
      <c r="N16" s="262">
        <f>M16*$D$8</f>
        <v>2.0146153846153845</v>
      </c>
      <c r="O16" s="2">
        <f>N16/$E$2</f>
        <v>1.7999999999999999E-2</v>
      </c>
      <c r="Q16" t="s">
        <v>724</v>
      </c>
      <c r="R16" s="55">
        <v>0.98</v>
      </c>
      <c r="S16" s="262">
        <f>R16*$D$9</f>
        <v>4.3873846153846152</v>
      </c>
      <c r="T16" s="2">
        <f>S16/$E$2</f>
        <v>3.9199999999999999E-2</v>
      </c>
      <c r="V16" t="s">
        <v>725</v>
      </c>
      <c r="W16" s="55">
        <v>0.68</v>
      </c>
      <c r="X16" s="262">
        <f>W16*$D$10</f>
        <v>5.3275384615384622</v>
      </c>
      <c r="Y16" s="2">
        <f>X16/$E$2</f>
        <v>4.760000000000001E-2</v>
      </c>
      <c r="AA16" t="s">
        <v>192</v>
      </c>
      <c r="AB16" s="55">
        <v>1</v>
      </c>
      <c r="AC16" s="262">
        <f>D11*AB16</f>
        <v>3.3576923076923073</v>
      </c>
      <c r="AD16" s="2">
        <f>AC16/$E$2</f>
        <v>0.03</v>
      </c>
      <c r="AF16" t="s">
        <v>192</v>
      </c>
      <c r="AG16" s="55">
        <v>1</v>
      </c>
      <c r="AH16" s="262">
        <f>AG16*D12</f>
        <v>8.953846153846154</v>
      </c>
      <c r="AI16" s="2">
        <f>AH16/$E$2</f>
        <v>0.08</v>
      </c>
    </row>
    <row r="17" spans="1:35">
      <c r="B17" t="s">
        <v>726</v>
      </c>
      <c r="C17" s="55">
        <v>0.33</v>
      </c>
      <c r="D17" s="262">
        <f>C17*D6</f>
        <v>24.746192307692308</v>
      </c>
      <c r="E17" s="2">
        <f>D17/$E$2</f>
        <v>0.22110000000000002</v>
      </c>
      <c r="G17" t="s">
        <v>592</v>
      </c>
      <c r="H17" s="55">
        <v>0.35</v>
      </c>
      <c r="I17" s="262">
        <f t="shared" ref="I17:I19" si="2">H17*$D$7</f>
        <v>1.9586538461538463</v>
      </c>
      <c r="J17" s="2">
        <f>I17/$E$2</f>
        <v>1.7500000000000002E-2</v>
      </c>
      <c r="L17" t="s">
        <v>598</v>
      </c>
      <c r="M17" s="55">
        <v>0.35</v>
      </c>
      <c r="N17" s="262">
        <f t="shared" ref="N17:N19" si="3">M17*$D$8</f>
        <v>2.3503846153846149</v>
      </c>
      <c r="O17" s="2">
        <f>N17/$E$2</f>
        <v>2.0999999999999994E-2</v>
      </c>
      <c r="Q17" t="s">
        <v>248</v>
      </c>
      <c r="R17" s="55">
        <v>0.02</v>
      </c>
      <c r="S17" s="262">
        <f>R17*$D$9</f>
        <v>8.9538461538461539E-2</v>
      </c>
      <c r="T17" s="2">
        <f>S17/$E$2</f>
        <v>8.0000000000000004E-4</v>
      </c>
      <c r="V17" t="s">
        <v>727</v>
      </c>
      <c r="W17" s="55">
        <v>0.22</v>
      </c>
      <c r="X17" s="262">
        <f t="shared" ref="X17:X19" si="4">W17*$D$10</f>
        <v>1.7236153846153848</v>
      </c>
      <c r="Y17" s="2">
        <f>X17/$E$2</f>
        <v>1.5400000000000002E-2</v>
      </c>
      <c r="AB17" s="6">
        <f>SUM(AB16)</f>
        <v>1</v>
      </c>
      <c r="AC17" s="262"/>
      <c r="AD17" s="2"/>
      <c r="AG17" s="6">
        <f>SUM(AG16)</f>
        <v>1</v>
      </c>
      <c r="AH17" s="262"/>
      <c r="AI17" s="2"/>
    </row>
    <row r="18" spans="1:35">
      <c r="C18" s="6">
        <f>SUM(C16:C17)</f>
        <v>1</v>
      </c>
      <c r="D18" s="262">
        <f>SUM(D16:D17)</f>
        <v>74.988461538461536</v>
      </c>
      <c r="G18" t="s">
        <v>593</v>
      </c>
      <c r="H18" s="55">
        <v>0.1</v>
      </c>
      <c r="I18" s="262">
        <f t="shared" si="2"/>
        <v>0.55961538461538474</v>
      </c>
      <c r="J18" s="2">
        <f t="shared" ref="J18:J19" si="5">I18/$E$2</f>
        <v>5.000000000000001E-3</v>
      </c>
      <c r="L18" t="s">
        <v>600</v>
      </c>
      <c r="M18" s="55">
        <v>0.15</v>
      </c>
      <c r="N18" s="262">
        <f t="shared" si="3"/>
        <v>1.0073076923076922</v>
      </c>
      <c r="O18" s="2">
        <f t="shared" ref="O18:O19" si="6">N18/$E$2</f>
        <v>8.9999999999999993E-3</v>
      </c>
      <c r="R18" s="6">
        <f>SUM(R16:R17)</f>
        <v>1</v>
      </c>
      <c r="S18" s="262">
        <f>SUM(S16:S17)</f>
        <v>4.476923076923077</v>
      </c>
      <c r="T18" s="2"/>
      <c r="V18" t="s">
        <v>728</v>
      </c>
      <c r="W18" s="55">
        <v>0.04</v>
      </c>
      <c r="X18" s="262">
        <f t="shared" si="4"/>
        <v>0.31338461538461543</v>
      </c>
      <c r="Y18" s="2">
        <f t="shared" ref="Y18:Y19" si="7">X18/$E$2</f>
        <v>2.8000000000000004E-3</v>
      </c>
      <c r="AC18" s="262"/>
      <c r="AD18" s="2"/>
      <c r="AH18" s="262"/>
      <c r="AI18" s="2"/>
    </row>
    <row r="19" spans="1:35">
      <c r="C19" s="6"/>
      <c r="G19" t="s">
        <v>192</v>
      </c>
      <c r="H19" s="55">
        <v>0.05</v>
      </c>
      <c r="I19" s="262">
        <f t="shared" si="2"/>
        <v>0.27980769230769237</v>
      </c>
      <c r="J19" s="2">
        <f t="shared" si="5"/>
        <v>2.5000000000000005E-3</v>
      </c>
      <c r="L19" t="s">
        <v>192</v>
      </c>
      <c r="M19" s="55">
        <v>0.2</v>
      </c>
      <c r="N19" s="262">
        <f t="shared" si="3"/>
        <v>1.3430769230769231</v>
      </c>
      <c r="O19" s="2">
        <f t="shared" si="6"/>
        <v>1.2E-2</v>
      </c>
      <c r="S19" s="262"/>
      <c r="T19" s="2"/>
      <c r="V19" t="s">
        <v>192</v>
      </c>
      <c r="W19" s="55">
        <v>0.06</v>
      </c>
      <c r="X19" s="262">
        <f t="shared" si="4"/>
        <v>0.47007692307692311</v>
      </c>
      <c r="Y19" s="2">
        <f t="shared" si="7"/>
        <v>4.2000000000000006E-3</v>
      </c>
      <c r="AC19" s="262"/>
      <c r="AD19" s="2"/>
      <c r="AH19" s="262"/>
      <c r="AI19" s="2"/>
    </row>
    <row r="20" spans="1:35">
      <c r="C20" s="6"/>
      <c r="H20" s="6">
        <f>SUM(H16:H19)</f>
        <v>1</v>
      </c>
      <c r="I20" s="262">
        <f>SUM(I16:I19)</f>
        <v>5.5961538461538467</v>
      </c>
      <c r="M20" s="6">
        <f>SUM(M16:M19)</f>
        <v>1</v>
      </c>
      <c r="N20" s="262">
        <f>SUM(N16:N19)</f>
        <v>6.7153846153846146</v>
      </c>
      <c r="W20" s="6">
        <f>SUM(W16:W19)</f>
        <v>1</v>
      </c>
      <c r="X20" s="262">
        <f>SUM(X16:X19)</f>
        <v>7.8346153846153852</v>
      </c>
      <c r="AC20" s="262"/>
      <c r="AH20" s="262"/>
    </row>
    <row r="22" spans="1:35" s="54" customFormat="1">
      <c r="A22" s="1" t="s">
        <v>96</v>
      </c>
      <c r="B22" s="158" t="s">
        <v>729</v>
      </c>
      <c r="G22" s="158" t="s">
        <v>591</v>
      </c>
      <c r="L22" s="158" t="s">
        <v>595</v>
      </c>
      <c r="Q22" s="158" t="s">
        <v>730</v>
      </c>
      <c r="R22" s="158"/>
      <c r="V22" s="5" t="s">
        <v>731</v>
      </c>
    </row>
    <row r="24" spans="1:35">
      <c r="B24" s="1" t="s">
        <v>732</v>
      </c>
      <c r="C24" s="1"/>
      <c r="E24" s="1" t="s">
        <v>733</v>
      </c>
      <c r="H24" s="1"/>
    </row>
    <row r="25" spans="1:35">
      <c r="B25" t="s">
        <v>723</v>
      </c>
      <c r="C25" s="2">
        <f>C16*C6</f>
        <v>0.44890000000000008</v>
      </c>
      <c r="E25" s="160">
        <v>1</v>
      </c>
      <c r="F25" s="54" t="s">
        <v>734</v>
      </c>
    </row>
    <row r="26" spans="1:35">
      <c r="B26" t="s">
        <v>726</v>
      </c>
      <c r="C26" s="2">
        <f>C17*C6</f>
        <v>0.22110000000000002</v>
      </c>
      <c r="E26" s="160">
        <v>1</v>
      </c>
      <c r="F26" s="54" t="s">
        <v>734</v>
      </c>
      <c r="K26" s="54" t="s">
        <v>735</v>
      </c>
    </row>
    <row r="27" spans="1:35">
      <c r="B27" t="s">
        <v>690</v>
      </c>
      <c r="C27" s="2">
        <f>O16+O17+Y16+Y17</f>
        <v>0.10200000000000001</v>
      </c>
      <c r="E27" s="160"/>
      <c r="F27" s="54"/>
      <c r="K27" s="54"/>
    </row>
    <row r="28" spans="1:35">
      <c r="B28" t="s">
        <v>192</v>
      </c>
      <c r="C28" s="2">
        <f>1-SUM(C25:C27)</f>
        <v>0.22799999999999987</v>
      </c>
      <c r="E28" s="160">
        <v>0.1</v>
      </c>
      <c r="F28" s="54" t="s">
        <v>691</v>
      </c>
    </row>
    <row r="29" spans="1:35">
      <c r="C29" s="6">
        <f>SUM(C25:C28)</f>
        <v>1</v>
      </c>
      <c r="E29" s="160"/>
      <c r="F29" s="54"/>
    </row>
    <row r="30" spans="1:35">
      <c r="B30" s="1"/>
    </row>
    <row r="31" spans="1:35">
      <c r="B31" s="62" t="s">
        <v>692</v>
      </c>
      <c r="C31" s="62" t="s">
        <v>477</v>
      </c>
      <c r="D31" s="62" t="s">
        <v>248</v>
      </c>
      <c r="E31" s="1"/>
      <c r="F31" s="1"/>
      <c r="G31" s="1"/>
      <c r="H31" s="1"/>
    </row>
    <row r="32" spans="1:35">
      <c r="B32" t="s">
        <v>309</v>
      </c>
      <c r="C32" s="159">
        <f>'Demand - Industry shares'!D18</f>
        <v>8.2000000000000003E-2</v>
      </c>
      <c r="D32" s="159">
        <f>SUM('Demand - Industry shares'!H18:I18)</f>
        <v>3.0000000000000001E-3</v>
      </c>
      <c r="E32" s="167"/>
      <c r="F32" s="167"/>
      <c r="G32" s="167"/>
      <c r="H32" s="168"/>
    </row>
    <row r="33" spans="2:11">
      <c r="B33" t="s">
        <v>310</v>
      </c>
      <c r="C33" s="159">
        <f>'Demand - Industry shares'!D19</f>
        <v>1.2E-2</v>
      </c>
      <c r="D33" s="159">
        <f>SUM('Demand - Industry shares'!H19:I19)</f>
        <v>2.9000000000000001E-2</v>
      </c>
      <c r="E33" s="167"/>
      <c r="F33" s="167"/>
      <c r="G33" s="167"/>
      <c r="H33" s="168"/>
    </row>
    <row r="34" spans="2:11">
      <c r="B34" t="s">
        <v>370</v>
      </c>
      <c r="C34" s="159">
        <f>'Demand - Industry shares'!D20</f>
        <v>2.5999999999999999E-2</v>
      </c>
      <c r="D34" s="159">
        <f>SUM('Demand - Industry shares'!H20:I20)</f>
        <v>0.03</v>
      </c>
      <c r="E34" s="167"/>
      <c r="F34" s="167"/>
      <c r="G34" s="167"/>
      <c r="H34" s="168"/>
    </row>
    <row r="35" spans="2:11">
      <c r="B35" t="s">
        <v>582</v>
      </c>
      <c r="C35" s="159">
        <f>'Demand - Industry shares'!D21</f>
        <v>8.9999999999999993E-3</v>
      </c>
      <c r="D35" s="159">
        <f>SUM('Demand - Industry shares'!H21:I21)</f>
        <v>1.4E-2</v>
      </c>
      <c r="E35" s="167"/>
      <c r="F35" s="167"/>
      <c r="G35" s="167"/>
      <c r="H35" s="168"/>
    </row>
    <row r="36" spans="2:11">
      <c r="B36" t="s">
        <v>313</v>
      </c>
      <c r="C36" s="159">
        <f>'Demand - Industry shares'!D22</f>
        <v>3.7999999999999999E-2</v>
      </c>
      <c r="D36" s="159">
        <f>SUM('Demand - Industry shares'!H22:I22)</f>
        <v>1.2E-2</v>
      </c>
      <c r="E36" s="167"/>
      <c r="F36" s="167"/>
      <c r="G36" s="167"/>
      <c r="H36" s="168"/>
    </row>
    <row r="37" spans="2:11">
      <c r="B37" t="s">
        <v>248</v>
      </c>
      <c r="C37" s="159">
        <f>'Demand - Industry shares'!D23</f>
        <v>4.4000000000000004E-2</v>
      </c>
      <c r="D37" s="159">
        <f>SUM('Demand - Industry shares'!H23:I23)</f>
        <v>4.3999999999999997E-2</v>
      </c>
      <c r="E37" s="167"/>
      <c r="F37" s="167"/>
      <c r="G37" s="167"/>
      <c r="H37" s="168"/>
    </row>
    <row r="38" spans="2:11">
      <c r="B38" t="s">
        <v>364</v>
      </c>
      <c r="C38" s="159">
        <f>'Demand - Industry shares'!D24</f>
        <v>0.21100000000000002</v>
      </c>
      <c r="D38" s="159">
        <f>SUM('Demand - Industry shares'!H24:I24)</f>
        <v>0.13200000000000001</v>
      </c>
      <c r="E38" s="167"/>
      <c r="F38" s="259">
        <f>SUM(C38:D38)</f>
        <v>0.34300000000000003</v>
      </c>
      <c r="G38" t="s">
        <v>736</v>
      </c>
      <c r="H38" s="168"/>
    </row>
    <row r="40" spans="2:11">
      <c r="B40" s="31" t="s">
        <v>586</v>
      </c>
      <c r="C40" s="62" t="s">
        <v>477</v>
      </c>
      <c r="D40" s="62" t="s">
        <v>248</v>
      </c>
      <c r="E40" s="1"/>
      <c r="F40" s="1"/>
      <c r="G40" s="1"/>
      <c r="H40" s="1"/>
    </row>
    <row r="41" spans="2:11">
      <c r="B41" t="s">
        <v>309</v>
      </c>
      <c r="C41" s="2">
        <f>C32/C$38</f>
        <v>0.38862559241706157</v>
      </c>
      <c r="D41" s="2">
        <f t="shared" ref="C41:D46" si="8">D32/D$38</f>
        <v>2.2727272727272728E-2</v>
      </c>
      <c r="E41" s="169"/>
      <c r="F41" s="169"/>
      <c r="G41" s="169"/>
      <c r="H41" s="169"/>
    </row>
    <row r="42" spans="2:11">
      <c r="B42" t="s">
        <v>310</v>
      </c>
      <c r="C42" s="2">
        <f t="shared" si="8"/>
        <v>5.6872037914691941E-2</v>
      </c>
      <c r="D42" s="2">
        <f t="shared" si="8"/>
        <v>0.2196969696969697</v>
      </c>
      <c r="E42" s="169"/>
      <c r="F42" s="169"/>
      <c r="G42" s="169"/>
      <c r="H42" s="169"/>
    </row>
    <row r="43" spans="2:11">
      <c r="B43" t="s">
        <v>370</v>
      </c>
      <c r="C43" s="2">
        <f t="shared" si="8"/>
        <v>0.12322274881516586</v>
      </c>
      <c r="D43" s="2">
        <f t="shared" si="8"/>
        <v>0.22727272727272727</v>
      </c>
      <c r="E43" s="169"/>
      <c r="F43" s="169"/>
      <c r="G43" s="169"/>
      <c r="H43" s="169"/>
    </row>
    <row r="44" spans="2:11">
      <c r="B44" t="s">
        <v>312</v>
      </c>
      <c r="C44" s="2">
        <f t="shared" si="8"/>
        <v>4.2654028436018947E-2</v>
      </c>
      <c r="D44" s="2">
        <f t="shared" si="8"/>
        <v>0.10606060606060606</v>
      </c>
      <c r="E44" s="169"/>
      <c r="F44" s="169"/>
      <c r="G44" s="169"/>
      <c r="H44" s="169"/>
    </row>
    <row r="45" spans="2:11">
      <c r="B45" t="s">
        <v>313</v>
      </c>
      <c r="C45" s="2">
        <f t="shared" si="8"/>
        <v>0.18009478672985779</v>
      </c>
      <c r="D45" s="2">
        <f t="shared" si="8"/>
        <v>9.0909090909090912E-2</v>
      </c>
      <c r="E45" s="169"/>
      <c r="F45" s="169"/>
      <c r="G45" s="169"/>
      <c r="H45" s="169"/>
    </row>
    <row r="46" spans="2:11">
      <c r="B46" t="s">
        <v>248</v>
      </c>
      <c r="C46" s="2">
        <f t="shared" si="8"/>
        <v>0.20853080568720378</v>
      </c>
      <c r="D46" s="2">
        <f t="shared" si="8"/>
        <v>0.33333333333333331</v>
      </c>
      <c r="E46" s="169"/>
      <c r="F46" s="169"/>
      <c r="G46" s="169"/>
      <c r="H46" s="169"/>
    </row>
    <row r="47" spans="2:11">
      <c r="B47" t="s">
        <v>67</v>
      </c>
      <c r="C47" s="2">
        <f>SUM(C41:C46)</f>
        <v>0.99999999999999978</v>
      </c>
      <c r="D47" s="2">
        <f>SUM(D41:D46)</f>
        <v>1</v>
      </c>
      <c r="E47" s="169"/>
      <c r="F47" s="169"/>
      <c r="G47" s="169"/>
      <c r="H47" s="169"/>
      <c r="K47" s="6"/>
    </row>
    <row r="48" spans="2:11" ht="16" thickBot="1"/>
    <row r="49" spans="2:16">
      <c r="B49" s="31" t="s">
        <v>737</v>
      </c>
      <c r="C49" s="62" t="s">
        <v>477</v>
      </c>
      <c r="D49" s="62" t="s">
        <v>248</v>
      </c>
      <c r="E49" s="31"/>
      <c r="F49" s="31"/>
      <c r="G49" s="31"/>
      <c r="H49" s="31"/>
      <c r="I49" s="31"/>
      <c r="J49" s="34" t="s">
        <v>67</v>
      </c>
      <c r="K49" s="37" t="s">
        <v>603</v>
      </c>
      <c r="L49" s="37" t="s">
        <v>46</v>
      </c>
      <c r="M49" s="92" t="s">
        <v>604</v>
      </c>
      <c r="N49" s="95" t="s">
        <v>67</v>
      </c>
      <c r="P49" s="162" t="s">
        <v>693</v>
      </c>
    </row>
    <row r="50" spans="2:16">
      <c r="B50" t="s">
        <v>309</v>
      </c>
      <c r="C50" s="2">
        <f>C41*($C$25+$C$26)</f>
        <v>0.26037914691943131</v>
      </c>
      <c r="D50" s="2">
        <f>D41*SUM($C$27:$C$28)</f>
        <v>7.4999999999999971E-3</v>
      </c>
      <c r="E50" s="2"/>
      <c r="F50" s="2"/>
      <c r="G50" s="2"/>
      <c r="H50" s="2"/>
      <c r="I50" s="2"/>
      <c r="J50" s="35">
        <f>SUM(C50:D50)</f>
        <v>0.26787914691943132</v>
      </c>
      <c r="K50" s="38">
        <f>J50*$E$2</f>
        <v>29.981858366751734</v>
      </c>
      <c r="L50" s="161">
        <v>1.4E-2</v>
      </c>
      <c r="M50" s="93">
        <f>K50*(1+L50)^30</f>
        <v>45.498512481403004</v>
      </c>
      <c r="N50" s="96">
        <f t="shared" ref="N50:N56" si="9">M50/M$57</f>
        <v>0.28436570300876995</v>
      </c>
      <c r="P50" s="54" t="s">
        <v>695</v>
      </c>
    </row>
    <row r="51" spans="2:16">
      <c r="B51" t="s">
        <v>310</v>
      </c>
      <c r="C51" s="2">
        <f t="shared" ref="C51:C54" si="10">C42*($C$25+$C$26)</f>
        <v>3.8104265402843611E-2</v>
      </c>
      <c r="D51" s="2">
        <f t="shared" ref="D51:D55" si="11">D42*SUM($C$27:$C$28)</f>
        <v>7.2499999999999967E-2</v>
      </c>
      <c r="E51" s="2"/>
      <c r="F51" s="2"/>
      <c r="G51" s="2"/>
      <c r="H51" s="2"/>
      <c r="I51" s="2"/>
      <c r="J51" s="35">
        <f t="shared" ref="J51:J56" si="12">SUM(C51:D51)</f>
        <v>0.11060426540284357</v>
      </c>
      <c r="K51" s="38">
        <f t="shared" ref="K51:K56" si="13">J51*$E$2</f>
        <v>12.379169704702877</v>
      </c>
      <c r="L51" s="161">
        <v>1.7000000000000001E-2</v>
      </c>
      <c r="M51" s="93">
        <f>K51*(1+L51)^30</f>
        <v>20.526745811493456</v>
      </c>
      <c r="N51" s="96">
        <f t="shared" si="9"/>
        <v>0.12829216132183463</v>
      </c>
      <c r="P51" s="54" t="s">
        <v>696</v>
      </c>
    </row>
    <row r="52" spans="2:16">
      <c r="B52" t="s">
        <v>370</v>
      </c>
      <c r="C52" s="2">
        <f t="shared" si="10"/>
        <v>8.2559241706161149E-2</v>
      </c>
      <c r="D52" s="2">
        <f t="shared" si="11"/>
        <v>7.4999999999999969E-2</v>
      </c>
      <c r="E52" s="2"/>
      <c r="F52" s="2"/>
      <c r="G52" s="2"/>
      <c r="H52" s="2"/>
      <c r="I52" s="2"/>
      <c r="J52" s="35">
        <f t="shared" si="12"/>
        <v>0.15755924170616112</v>
      </c>
      <c r="K52" s="38">
        <f t="shared" si="13"/>
        <v>17.63451512942034</v>
      </c>
      <c r="L52" s="161">
        <v>1.7000000000000001E-2</v>
      </c>
      <c r="M52" s="93">
        <f>K52*(1+L52)^30</f>
        <v>29.240992587170862</v>
      </c>
      <c r="N52" s="96">
        <f t="shared" si="9"/>
        <v>0.18275620366981862</v>
      </c>
      <c r="P52" s="54" t="s">
        <v>696</v>
      </c>
    </row>
    <row r="53" spans="2:16">
      <c r="B53" t="s">
        <v>312</v>
      </c>
      <c r="C53" s="2">
        <f t="shared" si="10"/>
        <v>2.85781990521327E-2</v>
      </c>
      <c r="D53" s="2">
        <f t="shared" si="11"/>
        <v>3.4999999999999983E-2</v>
      </c>
      <c r="E53" s="2"/>
      <c r="F53" s="2"/>
      <c r="G53" s="2"/>
      <c r="H53" s="2"/>
      <c r="I53" s="2"/>
      <c r="J53" s="35">
        <f t="shared" si="12"/>
        <v>6.3578199052132689E-2</v>
      </c>
      <c r="K53" s="38">
        <f t="shared" si="13"/>
        <v>7.1158676631425433</v>
      </c>
      <c r="L53" s="40">
        <f>(M53/K53)^(1/30)-1</f>
        <v>3.6750221758679036E-3</v>
      </c>
      <c r="M53" s="93">
        <f>($M$57-$M$50-$M$51-$M$52-$M$56-$M$54)*(J53/SUM($J$53:$J$53,J55))</f>
        <v>7.9436728667427623</v>
      </c>
      <c r="N53" s="96">
        <f t="shared" si="9"/>
        <v>4.9647955417142467E-2</v>
      </c>
      <c r="P53" s="54" t="s">
        <v>698</v>
      </c>
    </row>
    <row r="54" spans="2:16">
      <c r="B54" t="s">
        <v>313</v>
      </c>
      <c r="C54" s="2">
        <f t="shared" si="10"/>
        <v>0.12066350710900475</v>
      </c>
      <c r="D54" s="2">
        <f t="shared" si="11"/>
        <v>2.9999999999999988E-2</v>
      </c>
      <c r="E54" s="2"/>
      <c r="F54" s="2"/>
      <c r="G54" s="2"/>
      <c r="H54" s="2"/>
      <c r="I54" s="2"/>
      <c r="J54" s="35">
        <f t="shared" si="12"/>
        <v>0.15066350710900475</v>
      </c>
      <c r="K54" s="38">
        <f t="shared" si="13"/>
        <v>16.862723295661684</v>
      </c>
      <c r="L54" s="40">
        <f>L50</f>
        <v>1.4E-2</v>
      </c>
      <c r="M54" s="93">
        <f>K54*(1+L54)^30</f>
        <v>25.589768884670733</v>
      </c>
      <c r="N54" s="96">
        <f t="shared" si="9"/>
        <v>0.15993605552919274</v>
      </c>
      <c r="P54" s="54" t="s">
        <v>695</v>
      </c>
    </row>
    <row r="55" spans="2:16">
      <c r="B55" t="s">
        <v>248</v>
      </c>
      <c r="C55" s="2">
        <f>C46*($C$25+$C$26)</f>
        <v>0.13971563981042656</v>
      </c>
      <c r="D55" s="2">
        <f t="shared" si="11"/>
        <v>0.10999999999999995</v>
      </c>
      <c r="E55" s="2"/>
      <c r="F55" s="2"/>
      <c r="G55" s="2"/>
      <c r="H55" s="2"/>
      <c r="I55" s="2"/>
      <c r="J55" s="35">
        <f t="shared" si="12"/>
        <v>0.24971563981042649</v>
      </c>
      <c r="K55" s="38">
        <f t="shared" si="13"/>
        <v>27.948942763397735</v>
      </c>
      <c r="L55" s="40">
        <f t="shared" ref="L55" si="14">(M55/K55)^(1/30)-1</f>
        <v>3.6750221758679036E-3</v>
      </c>
      <c r="M55" s="93">
        <f>($M$57-$M$50-$M$51-$M$52-$M$56-$M$54)*(J55/SUM($J$53:$J$53,J55))</f>
        <v>31.200307368518533</v>
      </c>
      <c r="N55" s="96">
        <f t="shared" si="9"/>
        <v>0.19500192105324163</v>
      </c>
      <c r="P55" s="54" t="s">
        <v>698</v>
      </c>
    </row>
    <row r="56" spans="2:16">
      <c r="B56" t="s">
        <v>320</v>
      </c>
      <c r="C56" s="2">
        <v>0</v>
      </c>
      <c r="D56" s="2">
        <v>0</v>
      </c>
      <c r="E56" s="6"/>
      <c r="F56" s="6"/>
      <c r="G56" s="6"/>
      <c r="H56" s="6"/>
      <c r="I56" s="2"/>
      <c r="J56" s="35">
        <f t="shared" si="12"/>
        <v>0</v>
      </c>
      <c r="K56" s="38">
        <f t="shared" si="13"/>
        <v>0</v>
      </c>
      <c r="L56" s="161">
        <v>2.1000000000000001E-2</v>
      </c>
      <c r="M56" s="93">
        <f>K56*(1+L56)^30</f>
        <v>0</v>
      </c>
      <c r="N56" s="96">
        <f t="shared" si="9"/>
        <v>0</v>
      </c>
      <c r="P56" s="54" t="s">
        <v>700</v>
      </c>
    </row>
    <row r="57" spans="2:16" ht="16" thickBot="1">
      <c r="B57" s="32" t="s">
        <v>67</v>
      </c>
      <c r="C57" s="33">
        <f>SUM(C50:C56)</f>
        <v>0.67</v>
      </c>
      <c r="D57" s="33">
        <f>SUM(D50:D56)</f>
        <v>0.32999999999999985</v>
      </c>
      <c r="E57" s="33"/>
      <c r="F57" s="33"/>
      <c r="G57" s="33"/>
      <c r="H57" s="33"/>
      <c r="I57" s="33"/>
      <c r="J57" s="36">
        <f>SUM(C57:I57)</f>
        <v>0.99999999999999989</v>
      </c>
      <c r="K57" s="39">
        <f>SUM(K50:K56)</f>
        <v>111.92307692307691</v>
      </c>
      <c r="L57" s="42">
        <f>L2</f>
        <v>1.1983297655736136E-2</v>
      </c>
      <c r="M57" s="94">
        <f>K57*(1+L57)^30</f>
        <v>159.99999999999935</v>
      </c>
      <c r="N57" s="97">
        <f>SUM(N50:N56)</f>
        <v>1</v>
      </c>
    </row>
    <row r="58" spans="2:16" ht="16" thickTop="1"/>
    <row r="59" spans="2:16">
      <c r="J59" s="54" t="s">
        <v>53</v>
      </c>
      <c r="K59" s="182">
        <f>'R&amp;S - Buildings'!I4+'R&amp;S - Transportation'!C4+'R&amp;S - Packaging and hh goods'!I4+'R&amp;S - Apparel'!D4+'R&amp;S - Others'!E4</f>
        <v>111.92307692307691</v>
      </c>
      <c r="L59" s="182"/>
      <c r="M59" s="182">
        <f>'R&amp;S - Buildings'!I6+'R&amp;S - Transportation'!C7+'R&amp;S - Packaging and hh goods'!I6+'R&amp;S - Apparel'!D6+'R&amp;S - Others'!E6</f>
        <v>159.99999999999929</v>
      </c>
    </row>
    <row r="60" spans="2:16">
      <c r="K60" s="162"/>
      <c r="L60" s="162"/>
      <c r="M60" s="162"/>
    </row>
    <row r="61" spans="2:16">
      <c r="K61" s="163"/>
      <c r="L61" s="164"/>
      <c r="M61" s="163"/>
    </row>
    <row r="62" spans="2:16">
      <c r="K62" s="163"/>
      <c r="L62" s="164"/>
      <c r="M62" s="163"/>
    </row>
    <row r="63" spans="2:16">
      <c r="K63" s="163"/>
      <c r="L63" s="164"/>
      <c r="M63" s="163"/>
    </row>
    <row r="64" spans="2:16">
      <c r="K64" s="163"/>
      <c r="L64" s="164"/>
      <c r="M64" s="163"/>
    </row>
    <row r="65" spans="11:13">
      <c r="K65" s="163"/>
      <c r="L65" s="164"/>
      <c r="M65" s="163"/>
    </row>
    <row r="66" spans="11:13">
      <c r="K66" s="163"/>
      <c r="L66" s="164"/>
      <c r="M66" s="163"/>
    </row>
    <row r="67" spans="11:13">
      <c r="K67" s="163"/>
      <c r="L67" s="164"/>
      <c r="M67" s="163"/>
    </row>
    <row r="68" spans="11:13">
      <c r="K68" s="165"/>
      <c r="L68" s="166"/>
      <c r="M68" s="165"/>
    </row>
    <row r="73" spans="11:13">
      <c r="L73" s="41"/>
    </row>
  </sheetData>
  <hyperlinks>
    <hyperlink ref="S2" r:id="rId1" xr:uid="{FF551743-85CC-4F72-BEDF-61627CE59973}"/>
    <hyperlink ref="G22" r:id="rId2" xr:uid="{8A0E6C9C-BD8B-4E1D-9382-6242FDAAC5C9}"/>
    <hyperlink ref="L22" r:id="rId3" xr:uid="{AFF80CA9-A23A-43E4-8470-AEE9C0296772}"/>
    <hyperlink ref="Q22" r:id="rId4" xr:uid="{882EA3C3-5C7F-4F3E-B9A4-E920EBFF7A20}"/>
    <hyperlink ref="V22" r:id="rId5" xr:uid="{DBC48CA8-D7CA-4C16-8BC5-864DB31995A2}"/>
    <hyperlink ref="B22" r:id="rId6" xr:uid="{FC9DD835-350F-43C7-9C49-B15D9BC7125A}"/>
  </hyperlinks>
  <pageMargins left="0.7" right="0.7" top="0.75" bottom="0.75" header="0.3" footer="0.3"/>
  <pageSetup paperSize="9" orientation="portrait" r:id="rId7"/>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90FA-51AE-48D3-A3D7-51AC38CDE649}">
  <sheetPr>
    <tabColor theme="7"/>
  </sheetPr>
  <dimension ref="A1:Y79"/>
  <sheetViews>
    <sheetView zoomScale="70" zoomScaleNormal="70" workbookViewId="0">
      <selection activeCell="G34" sqref="G34"/>
    </sheetView>
  </sheetViews>
  <sheetFormatPr baseColWidth="10" defaultColWidth="8.83203125" defaultRowHeight="15"/>
  <cols>
    <col min="1" max="1" width="31.5" customWidth="1"/>
    <col min="2" max="2" width="24.83203125" customWidth="1"/>
    <col min="3" max="3" width="23.5" bestFit="1" customWidth="1"/>
    <col min="4" max="5" width="21.1640625" bestFit="1" customWidth="1"/>
    <col min="6" max="7" width="14.5" customWidth="1"/>
    <col min="11" max="11" width="31.5" customWidth="1"/>
    <col min="12" max="12" width="20.1640625" customWidth="1"/>
    <col min="13" max="13" width="15.1640625" customWidth="1"/>
    <col min="15" max="15" width="13.1640625" customWidth="1"/>
    <col min="16" max="18" width="22.5" customWidth="1"/>
  </cols>
  <sheetData>
    <row r="1" spans="1:14">
      <c r="B1" t="s">
        <v>738</v>
      </c>
      <c r="C1" t="s">
        <v>639</v>
      </c>
    </row>
    <row r="2" spans="1:14">
      <c r="B2" s="44"/>
      <c r="C2" s="2"/>
      <c r="K2" t="str" cm="1">
        <f t="array" ref="K2:N6">'Sankey Methanol_detailed'!P21:S25</f>
        <v>Corrected</v>
      </c>
      <c r="L2" t="str">
        <v>Fuel</v>
      </c>
      <c r="M2">
        <v>28.587862624213781</v>
      </c>
      <c r="N2" s="6">
        <v>0.27471012342412782</v>
      </c>
    </row>
    <row r="3" spans="1:14">
      <c r="A3" t="s">
        <v>473</v>
      </c>
      <c r="B3" s="44">
        <f>'Sankey Methanol_detailed'!H33</f>
        <v>4.1946453033429387</v>
      </c>
      <c r="C3" s="2">
        <f>B3/$B$13</f>
        <v>4.1058666557715798E-2</v>
      </c>
      <c r="K3">
        <v>0</v>
      </c>
      <c r="L3" t="str">
        <v>Major Polymers</v>
      </c>
      <c r="M3" s="44">
        <v>28.851572700948026</v>
      </c>
      <c r="N3" s="6">
        <v>0.27724419981452192</v>
      </c>
    </row>
    <row r="4" spans="1:14">
      <c r="A4" t="s">
        <v>472</v>
      </c>
      <c r="B4" s="44">
        <f>'Sankey Methanol_detailed'!H32</f>
        <v>3.4186359222244951</v>
      </c>
      <c r="C4" s="2">
        <f t="shared" ref="C4:C8" si="0">B4/$B$13</f>
        <v>3.3462813244538377E-2</v>
      </c>
      <c r="K4">
        <v>0</v>
      </c>
      <c r="L4" t="str">
        <v>Minor Polymers</v>
      </c>
      <c r="M4">
        <v>22.580763290736638</v>
      </c>
      <c r="N4" s="6">
        <v>0.21698594092708512</v>
      </c>
    </row>
    <row r="5" spans="1:14">
      <c r="A5" t="s">
        <v>477</v>
      </c>
      <c r="B5" s="44">
        <f>'Sankey Methanol_detailed'!H45</f>
        <v>12.543192838844705</v>
      </c>
      <c r="C5" s="2">
        <f t="shared" si="0"/>
        <v>0.12277719213322204</v>
      </c>
      <c r="K5">
        <v>0</v>
      </c>
      <c r="L5" t="str">
        <v>Other</v>
      </c>
      <c r="M5" s="44">
        <v>24.045360628442481</v>
      </c>
      <c r="N5" s="6">
        <v>0.23105973583426512</v>
      </c>
    </row>
    <row r="6" spans="1:14">
      <c r="A6" t="s">
        <v>480</v>
      </c>
      <c r="B6" s="44">
        <f>'Sankey Methanol_detailed'!H41</f>
        <v>1.4377868806317511</v>
      </c>
      <c r="C6" s="2">
        <f t="shared" si="0"/>
        <v>1.4073564710196195E-2</v>
      </c>
      <c r="K6">
        <v>0</v>
      </c>
      <c r="L6" t="str">
        <v>Total</v>
      </c>
      <c r="M6">
        <v>104.06555924434093</v>
      </c>
      <c r="N6" s="6">
        <v>0</v>
      </c>
    </row>
    <row r="7" spans="1:14">
      <c r="A7" t="s">
        <v>474</v>
      </c>
      <c r="B7" s="44">
        <f>'Sankey Methanol_detailed'!H96</f>
        <v>0.92975435151539232</v>
      </c>
      <c r="C7" s="2">
        <f t="shared" si="0"/>
        <v>9.1007632681200691E-3</v>
      </c>
    </row>
    <row r="8" spans="1:14">
      <c r="A8" t="s">
        <v>676</v>
      </c>
      <c r="B8" s="43">
        <f>'Sankey Methanol_detailed'!H95</f>
        <v>1.6735578327277063</v>
      </c>
      <c r="C8" s="23">
        <f t="shared" si="0"/>
        <v>1.6381373882616124E-2</v>
      </c>
      <c r="L8" t="s">
        <v>187</v>
      </c>
      <c r="M8" s="44">
        <f>SUMIF('Sankey Methanol_detailed'!D:D,'Demand Breakdown - Methanol'!L8,'Sankey Methanol_detailed'!H:H)</f>
        <v>28.587862624213781</v>
      </c>
    </row>
    <row r="9" spans="1:14">
      <c r="A9" t="s">
        <v>478</v>
      </c>
      <c r="B9" s="44">
        <f>'Sankey Methanol_detailed'!H43</f>
        <v>0.34843866435310095</v>
      </c>
      <c r="C9" s="2">
        <f>B9/$B$13</f>
        <v>3.4106404477366094E-3</v>
      </c>
      <c r="L9" t="s">
        <v>179</v>
      </c>
      <c r="M9" s="44">
        <f>SUMIF('Sankey Methanol_detailed'!D:D,'Demand Breakdown - Methanol'!L9,'Sankey Methanol_detailed'!H:H)</f>
        <v>31.201972235932104</v>
      </c>
    </row>
    <row r="10" spans="1:14">
      <c r="A10" t="s">
        <v>739</v>
      </c>
      <c r="B10" s="44">
        <f>SUM('Sankey Methanol_detailed'!H39,'Sankey Methanol_detailed'!H62,'Sankey Methanol_detailed'!H83)</f>
        <v>2.0734404578882701</v>
      </c>
      <c r="C10" s="2">
        <f>B10/$B$13</f>
        <v>2.0295565949250874E-2</v>
      </c>
      <c r="L10" t="s">
        <v>740</v>
      </c>
      <c r="M10" s="44">
        <f>SUMIF('Sankey Methanol_detailed'!D:D,'Demand Breakdown - Methanol'!L10,'Sankey Methanol_detailed'!H:H)</f>
        <v>22.580763290736638</v>
      </c>
    </row>
    <row r="11" spans="1:14">
      <c r="A11" t="s">
        <v>690</v>
      </c>
      <c r="B11" s="44">
        <f>M4</f>
        <v>22.580763290736638</v>
      </c>
      <c r="C11" s="2">
        <f>B11/$B$13</f>
        <v>0.22102846928062794</v>
      </c>
      <c r="L11" t="s">
        <v>192</v>
      </c>
      <c r="M11" s="44">
        <f>M6-SUM(M8:M10)</f>
        <v>21.694961093458403</v>
      </c>
    </row>
    <row r="12" spans="1:14">
      <c r="A12" t="s">
        <v>741</v>
      </c>
      <c r="B12" s="44">
        <f>SUM(B3:B11)</f>
        <v>49.200215542264999</v>
      </c>
      <c r="L12" t="s">
        <v>67</v>
      </c>
      <c r="M12" s="44">
        <f>SUM(M8:M11)</f>
        <v>104.06555924434093</v>
      </c>
    </row>
    <row r="13" spans="1:14">
      <c r="A13" t="s">
        <v>742</v>
      </c>
      <c r="B13" s="511">
        <f>'Yearly Demand - Methanol'!G10</f>
        <v>102.16223893794903</v>
      </c>
    </row>
    <row r="14" spans="1:14">
      <c r="A14" t="s">
        <v>366</v>
      </c>
      <c r="B14" s="511">
        <f>B12+M5+M2</f>
        <v>101.83343879492126</v>
      </c>
    </row>
    <row r="16" spans="1:14">
      <c r="A16" s="1" t="s">
        <v>743</v>
      </c>
      <c r="B16" t="s">
        <v>744</v>
      </c>
      <c r="C16" t="s">
        <v>472</v>
      </c>
      <c r="D16" t="s">
        <v>477</v>
      </c>
      <c r="E16" t="s">
        <v>478</v>
      </c>
      <c r="F16" t="s">
        <v>480</v>
      </c>
      <c r="G16" t="s">
        <v>474</v>
      </c>
      <c r="H16" t="s">
        <v>745</v>
      </c>
      <c r="I16" t="s">
        <v>192</v>
      </c>
      <c r="J16" t="s">
        <v>67</v>
      </c>
    </row>
    <row r="17" spans="1:15">
      <c r="A17" t="s">
        <v>309</v>
      </c>
      <c r="B17" s="41">
        <v>0.13500000000000001</v>
      </c>
      <c r="C17" s="41">
        <v>9.2999999999999999E-2</v>
      </c>
      <c r="D17" s="41">
        <v>8.2000000000000003E-2</v>
      </c>
      <c r="E17" s="41">
        <v>2.3E-2</v>
      </c>
      <c r="F17" s="41">
        <v>8.9999999999999993E-3</v>
      </c>
      <c r="G17" s="41">
        <v>0.10100000000000001</v>
      </c>
      <c r="H17" s="41">
        <v>2E-3</v>
      </c>
      <c r="I17" s="41">
        <v>1E-3</v>
      </c>
      <c r="J17" s="41">
        <f>SUM(B17:I17)</f>
        <v>0.44600000000000006</v>
      </c>
    </row>
    <row r="18" spans="1:15">
      <c r="A18" t="s">
        <v>310</v>
      </c>
      <c r="B18" s="41">
        <v>1.0999999999999999E-2</v>
      </c>
      <c r="C18" s="41">
        <v>3.3000000000000002E-2</v>
      </c>
      <c r="D18" s="41">
        <v>1.2E-2</v>
      </c>
      <c r="E18" s="41">
        <v>2.1999999999999999E-2</v>
      </c>
      <c r="F18" s="41">
        <v>8.1000000000000003E-2</v>
      </c>
      <c r="G18" s="41">
        <v>0</v>
      </c>
      <c r="H18" s="41">
        <v>2.4E-2</v>
      </c>
      <c r="I18" s="41">
        <v>5.0000000000000001E-3</v>
      </c>
      <c r="J18" s="41">
        <f t="shared" ref="J18:J22" si="1">SUM(B18:I18)</f>
        <v>0.18799999999999997</v>
      </c>
    </row>
    <row r="19" spans="1:15">
      <c r="A19" t="s">
        <v>311</v>
      </c>
      <c r="B19" s="41">
        <v>1E-3</v>
      </c>
      <c r="C19" s="41">
        <v>8.0000000000000002E-3</v>
      </c>
      <c r="D19" s="41">
        <v>2.5999999999999999E-2</v>
      </c>
      <c r="E19" s="41">
        <v>0</v>
      </c>
      <c r="F19" s="41">
        <v>3.0000000000000001E-3</v>
      </c>
      <c r="G19" s="41">
        <v>0</v>
      </c>
      <c r="H19" s="41">
        <v>1.6E-2</v>
      </c>
      <c r="I19" s="41">
        <v>1.4E-2</v>
      </c>
      <c r="J19" s="41">
        <f t="shared" si="1"/>
        <v>6.8000000000000005E-2</v>
      </c>
    </row>
    <row r="20" spans="1:15">
      <c r="A20" t="s">
        <v>312</v>
      </c>
      <c r="B20" s="41">
        <v>5.0000000000000001E-3</v>
      </c>
      <c r="C20" s="41">
        <v>2E-3</v>
      </c>
      <c r="D20" s="41">
        <v>8.9999999999999993E-3</v>
      </c>
      <c r="E20" s="41">
        <v>6.0000000000000001E-3</v>
      </c>
      <c r="F20" s="41">
        <v>4.0000000000000001E-3</v>
      </c>
      <c r="G20" s="41">
        <v>0</v>
      </c>
      <c r="H20" s="41">
        <v>4.0000000000000001E-3</v>
      </c>
      <c r="I20" s="41">
        <v>0.01</v>
      </c>
      <c r="J20" s="41">
        <f t="shared" si="1"/>
        <v>0.04</v>
      </c>
    </row>
    <row r="21" spans="1:15">
      <c r="A21" t="s">
        <v>746</v>
      </c>
      <c r="B21" s="41">
        <v>2.9000000000000001E-2</v>
      </c>
      <c r="C21" s="41">
        <v>1.7000000000000001E-2</v>
      </c>
      <c r="D21" s="41">
        <v>3.7999999999999999E-2</v>
      </c>
      <c r="E21" s="41">
        <v>1.7999999999999999E-2</v>
      </c>
      <c r="F21" s="41">
        <v>6.0000000000000001E-3</v>
      </c>
      <c r="G21" s="41">
        <v>0</v>
      </c>
      <c r="H21" s="41">
        <v>0.01</v>
      </c>
      <c r="I21" s="41">
        <v>2E-3</v>
      </c>
      <c r="J21" s="41">
        <f t="shared" si="1"/>
        <v>0.12</v>
      </c>
    </row>
    <row r="22" spans="1:15">
      <c r="A22" t="s">
        <v>248</v>
      </c>
      <c r="B22" s="41">
        <v>1.9000000000000003E-2</v>
      </c>
      <c r="C22" s="41">
        <v>9.9999999999999985E-3</v>
      </c>
      <c r="D22" s="41">
        <v>4.4000000000000004E-2</v>
      </c>
      <c r="E22" s="41">
        <v>7.0000000000000001E-3</v>
      </c>
      <c r="F22" s="41">
        <v>1.4E-2</v>
      </c>
      <c r="G22" s="41">
        <v>0</v>
      </c>
      <c r="H22" s="41">
        <v>2.8000000000000001E-2</v>
      </c>
      <c r="I22" s="41">
        <v>1.6E-2</v>
      </c>
      <c r="J22" s="41">
        <f t="shared" si="1"/>
        <v>0.13800000000000001</v>
      </c>
    </row>
    <row r="23" spans="1:15">
      <c r="A23" t="s">
        <v>364</v>
      </c>
      <c r="B23" s="41">
        <f>SUM(B17:B22)</f>
        <v>0.2</v>
      </c>
      <c r="C23" s="41">
        <f t="shared" ref="C23:I23" si="2">SUM(C17:C22)</f>
        <v>0.16300000000000003</v>
      </c>
      <c r="D23" s="41">
        <f t="shared" si="2"/>
        <v>0.21100000000000002</v>
      </c>
      <c r="E23" s="41">
        <f t="shared" si="2"/>
        <v>7.5999999999999998E-2</v>
      </c>
      <c r="F23" s="41">
        <f t="shared" si="2"/>
        <v>0.11700000000000001</v>
      </c>
      <c r="G23" s="41">
        <f t="shared" si="2"/>
        <v>0.10100000000000001</v>
      </c>
      <c r="H23" s="41">
        <f t="shared" si="2"/>
        <v>8.4000000000000005E-2</v>
      </c>
      <c r="I23" s="41">
        <f t="shared" si="2"/>
        <v>4.8000000000000001E-2</v>
      </c>
      <c r="J23" s="41">
        <f>SUM(B23:I23)</f>
        <v>1</v>
      </c>
    </row>
    <row r="25" spans="1:15">
      <c r="O25" s="6"/>
    </row>
    <row r="26" spans="1:15">
      <c r="A26" s="1" t="s">
        <v>586</v>
      </c>
      <c r="B26" t="s">
        <v>744</v>
      </c>
      <c r="C26" t="s">
        <v>472</v>
      </c>
      <c r="D26" t="s">
        <v>477</v>
      </c>
      <c r="E26" t="s">
        <v>478</v>
      </c>
      <c r="F26" t="s">
        <v>480</v>
      </c>
      <c r="G26" t="s">
        <v>474</v>
      </c>
      <c r="H26" t="s">
        <v>745</v>
      </c>
      <c r="I26" t="s">
        <v>192</v>
      </c>
      <c r="O26" s="6"/>
    </row>
    <row r="27" spans="1:15">
      <c r="A27" t="s">
        <v>309</v>
      </c>
      <c r="B27" s="6">
        <f>B17/B$23</f>
        <v>0.67500000000000004</v>
      </c>
      <c r="C27" s="6">
        <f t="shared" ref="B27:I33" si="3">C17/C$23</f>
        <v>0.57055214723926373</v>
      </c>
      <c r="D27" s="6">
        <f t="shared" si="3"/>
        <v>0.38862559241706157</v>
      </c>
      <c r="E27" s="6">
        <f t="shared" si="3"/>
        <v>0.30263157894736842</v>
      </c>
      <c r="F27" s="6">
        <f t="shared" si="3"/>
        <v>7.6923076923076913E-2</v>
      </c>
      <c r="G27" s="6">
        <f t="shared" si="3"/>
        <v>1</v>
      </c>
      <c r="H27" s="6">
        <f t="shared" si="3"/>
        <v>2.3809523809523808E-2</v>
      </c>
      <c r="I27" s="6">
        <f t="shared" si="3"/>
        <v>2.0833333333333332E-2</v>
      </c>
      <c r="O27" s="6"/>
    </row>
    <row r="28" spans="1:15">
      <c r="A28" t="s">
        <v>310</v>
      </c>
      <c r="B28" s="6">
        <f t="shared" si="3"/>
        <v>5.4999999999999993E-2</v>
      </c>
      <c r="C28" s="6">
        <f>C18/C$23</f>
        <v>0.20245398773006132</v>
      </c>
      <c r="D28" s="6">
        <f t="shared" si="3"/>
        <v>5.6872037914691941E-2</v>
      </c>
      <c r="E28" s="6">
        <f t="shared" si="3"/>
        <v>0.28947368421052633</v>
      </c>
      <c r="F28" s="6">
        <f t="shared" si="3"/>
        <v>0.69230769230769229</v>
      </c>
      <c r="G28" s="6">
        <f t="shared" si="3"/>
        <v>0</v>
      </c>
      <c r="H28" s="6">
        <f t="shared" si="3"/>
        <v>0.2857142857142857</v>
      </c>
      <c r="I28" s="6">
        <f t="shared" si="3"/>
        <v>0.10416666666666667</v>
      </c>
      <c r="O28" s="6"/>
    </row>
    <row r="29" spans="1:15">
      <c r="A29" t="s">
        <v>370</v>
      </c>
      <c r="B29" s="6">
        <f>B19/B$23</f>
        <v>5.0000000000000001E-3</v>
      </c>
      <c r="C29" s="6">
        <f t="shared" si="3"/>
        <v>4.9079754601226988E-2</v>
      </c>
      <c r="D29" s="6">
        <f t="shared" si="3"/>
        <v>0.12322274881516586</v>
      </c>
      <c r="E29" s="6">
        <f t="shared" si="3"/>
        <v>0</v>
      </c>
      <c r="F29" s="6">
        <f t="shared" si="3"/>
        <v>2.564102564102564E-2</v>
      </c>
      <c r="G29" s="6">
        <f t="shared" si="3"/>
        <v>0</v>
      </c>
      <c r="H29" s="6">
        <f t="shared" si="3"/>
        <v>0.19047619047619047</v>
      </c>
      <c r="I29" s="6">
        <f t="shared" si="3"/>
        <v>0.29166666666666669</v>
      </c>
      <c r="O29" s="6"/>
    </row>
    <row r="30" spans="1:15">
      <c r="A30" t="s">
        <v>312</v>
      </c>
      <c r="B30" s="6">
        <f t="shared" si="3"/>
        <v>2.4999999999999998E-2</v>
      </c>
      <c r="C30" s="6">
        <f t="shared" si="3"/>
        <v>1.2269938650306747E-2</v>
      </c>
      <c r="D30" s="6">
        <f t="shared" si="3"/>
        <v>4.2654028436018947E-2</v>
      </c>
      <c r="E30" s="6">
        <f t="shared" si="3"/>
        <v>7.8947368421052641E-2</v>
      </c>
      <c r="F30" s="6">
        <f t="shared" si="3"/>
        <v>3.4188034188034185E-2</v>
      </c>
      <c r="G30" s="6">
        <f t="shared" si="3"/>
        <v>0</v>
      </c>
      <c r="H30" s="6">
        <f t="shared" si="3"/>
        <v>4.7619047619047616E-2</v>
      </c>
      <c r="I30" s="6">
        <f t="shared" si="3"/>
        <v>0.20833333333333334</v>
      </c>
      <c r="O30" s="6"/>
    </row>
    <row r="31" spans="1:15">
      <c r="A31" t="s">
        <v>313</v>
      </c>
      <c r="B31" s="6">
        <f t="shared" si="3"/>
        <v>0.14499999999999999</v>
      </c>
      <c r="C31" s="6">
        <f t="shared" si="3"/>
        <v>0.10429447852760734</v>
      </c>
      <c r="D31" s="6">
        <f t="shared" si="3"/>
        <v>0.18009478672985779</v>
      </c>
      <c r="E31" s="6">
        <f t="shared" si="3"/>
        <v>0.23684210526315788</v>
      </c>
      <c r="F31" s="6">
        <f t="shared" si="3"/>
        <v>5.128205128205128E-2</v>
      </c>
      <c r="G31" s="6">
        <f t="shared" si="3"/>
        <v>0</v>
      </c>
      <c r="H31" s="6">
        <f t="shared" si="3"/>
        <v>0.11904761904761904</v>
      </c>
      <c r="I31" s="6">
        <f t="shared" si="3"/>
        <v>4.1666666666666664E-2</v>
      </c>
      <c r="O31" s="6"/>
    </row>
    <row r="32" spans="1:15">
      <c r="A32" t="s">
        <v>248</v>
      </c>
      <c r="B32" s="6">
        <f t="shared" si="3"/>
        <v>9.5000000000000015E-2</v>
      </c>
      <c r="C32" s="6">
        <f t="shared" si="3"/>
        <v>6.1349693251533721E-2</v>
      </c>
      <c r="D32" s="6">
        <f t="shared" si="3"/>
        <v>0.20853080568720378</v>
      </c>
      <c r="E32" s="6">
        <f t="shared" si="3"/>
        <v>9.2105263157894746E-2</v>
      </c>
      <c r="F32" s="6">
        <f t="shared" si="3"/>
        <v>0.11965811965811965</v>
      </c>
      <c r="G32" s="6">
        <f t="shared" si="3"/>
        <v>0</v>
      </c>
      <c r="H32" s="6">
        <f t="shared" si="3"/>
        <v>0.33333333333333331</v>
      </c>
      <c r="I32" s="6">
        <f t="shared" si="3"/>
        <v>0.33333333333333331</v>
      </c>
    </row>
    <row r="33" spans="1:25">
      <c r="A33" t="s">
        <v>67</v>
      </c>
      <c r="B33" s="6">
        <f t="shared" si="3"/>
        <v>1</v>
      </c>
      <c r="C33" s="6">
        <f t="shared" si="3"/>
        <v>1</v>
      </c>
      <c r="D33" s="6">
        <f t="shared" si="3"/>
        <v>1</v>
      </c>
      <c r="E33" s="6">
        <f t="shared" si="3"/>
        <v>1</v>
      </c>
      <c r="F33" s="6">
        <f t="shared" si="3"/>
        <v>1</v>
      </c>
      <c r="G33" s="6">
        <f t="shared" si="3"/>
        <v>1</v>
      </c>
      <c r="H33" s="6">
        <f t="shared" si="3"/>
        <v>1</v>
      </c>
      <c r="I33" s="6">
        <f t="shared" si="3"/>
        <v>1</v>
      </c>
    </row>
    <row r="35" spans="1:25" ht="16" thickBot="1"/>
    <row r="36" spans="1:25">
      <c r="A36" s="1" t="s">
        <v>747</v>
      </c>
      <c r="B36" t="s">
        <v>744</v>
      </c>
      <c r="C36" t="s">
        <v>472</v>
      </c>
      <c r="D36" t="s">
        <v>477</v>
      </c>
      <c r="E36" t="s">
        <v>478</v>
      </c>
      <c r="F36" t="s">
        <v>480</v>
      </c>
      <c r="G36" t="s">
        <v>474</v>
      </c>
      <c r="H36" t="s">
        <v>676</v>
      </c>
      <c r="I36" t="s">
        <v>745</v>
      </c>
      <c r="J36" t="s">
        <v>248</v>
      </c>
      <c r="K36" s="1" t="s">
        <v>67</v>
      </c>
      <c r="L36" s="34" t="s">
        <v>748</v>
      </c>
      <c r="M36" s="37" t="s">
        <v>603</v>
      </c>
      <c r="N36" s="37" t="s">
        <v>46</v>
      </c>
      <c r="O36" s="92" t="s">
        <v>604</v>
      </c>
      <c r="P36" s="95" t="s">
        <v>67</v>
      </c>
      <c r="Q36" s="92"/>
      <c r="R36" s="95"/>
      <c r="T36" s="162" t="s">
        <v>693</v>
      </c>
      <c r="Y36" s="1" t="s">
        <v>694</v>
      </c>
    </row>
    <row r="37" spans="1:25">
      <c r="A37" t="s">
        <v>309</v>
      </c>
      <c r="B37" s="2">
        <f>C$3*B27</f>
        <v>2.7714599926458167E-2</v>
      </c>
      <c r="C37" s="2">
        <f>C$4*C27</f>
        <v>1.9092279949337845E-2</v>
      </c>
      <c r="D37" s="2">
        <f>C$5*D27</f>
        <v>4.7714359028076803E-2</v>
      </c>
      <c r="E37" s="2">
        <f>C$9*E27</f>
        <v>1.0321675039202897E-3</v>
      </c>
      <c r="F37" s="2">
        <f>C$6*F27</f>
        <v>1.0825819007843226E-3</v>
      </c>
      <c r="G37" s="2">
        <f>C$7*G27</f>
        <v>9.1007632681200691E-3</v>
      </c>
      <c r="H37" s="214">
        <v>0</v>
      </c>
      <c r="I37" s="23">
        <f>C$10*H27</f>
        <v>4.8322776069644933E-4</v>
      </c>
      <c r="J37" s="169">
        <f>C$11*I27</f>
        <v>4.6047597766797482E-3</v>
      </c>
      <c r="K37" s="118">
        <f t="shared" ref="K37:K43" si="4">SUM(B37:J37)</f>
        <v>0.1108247391140737</v>
      </c>
      <c r="L37" s="510">
        <f>SUM(B37:J37)</f>
        <v>0.1108247391140737</v>
      </c>
      <c r="M37" s="505">
        <f t="shared" ref="M37:M44" si="5">L37*$B$13</f>
        <v>11.322103477607863</v>
      </c>
      <c r="N37" s="161">
        <v>1.4E-2</v>
      </c>
      <c r="O37" s="513">
        <f>M37*(1+N37)^30</f>
        <v>17.18168567439232</v>
      </c>
      <c r="P37" s="96">
        <f>O37/$O$46</f>
        <v>9.4404866342814947E-2</v>
      </c>
      <c r="Q37" s="513"/>
      <c r="R37" s="96"/>
      <c r="T37" s="54" t="s">
        <v>695</v>
      </c>
    </row>
    <row r="38" spans="1:25">
      <c r="A38" t="s">
        <v>310</v>
      </c>
      <c r="B38" s="2">
        <f t="shared" ref="B38:B41" si="6">C$3*B28</f>
        <v>2.2582266606743684E-3</v>
      </c>
      <c r="C38" s="2">
        <f t="shared" ref="C38:C41" si="7">C$4*C28</f>
        <v>6.7746799820231057E-3</v>
      </c>
      <c r="D38" s="2">
        <f t="shared" ref="D38:D41" si="8">C$5*D28</f>
        <v>6.9825891260600209E-3</v>
      </c>
      <c r="E38" s="2">
        <f t="shared" ref="E38:E41" si="9">C$9*E28</f>
        <v>9.8729065592375546E-4</v>
      </c>
      <c r="F38" s="2">
        <f t="shared" ref="F38:F41" si="10">C$6*F28</f>
        <v>9.7432371070589035E-3</v>
      </c>
      <c r="G38" s="2">
        <f t="shared" ref="G38:G41" si="11">C$7*G28</f>
        <v>0</v>
      </c>
      <c r="H38" s="286">
        <f>$C$8*0.25</f>
        <v>4.0953434706540309E-3</v>
      </c>
      <c r="I38" s="23">
        <f t="shared" ref="I38:I41" si="12">C$10*H28</f>
        <v>5.7987331283573919E-3</v>
      </c>
      <c r="J38" s="169">
        <f t="shared" ref="J38:J41" si="13">C$11*I28</f>
        <v>2.3023798883398745E-2</v>
      </c>
      <c r="K38" s="118">
        <f t="shared" si="4"/>
        <v>5.9663899014150326E-2</v>
      </c>
      <c r="L38" s="510">
        <f t="shared" ref="L38:L43" si="14">SUM(B38:J38)</f>
        <v>5.9663899014150326E-2</v>
      </c>
      <c r="M38" s="505">
        <f t="shared" si="5"/>
        <v>6.0953975070532866</v>
      </c>
      <c r="N38" s="161">
        <v>1.7000000000000001E-2</v>
      </c>
      <c r="O38" s="93">
        <f>M38*(1+N38)^30</f>
        <v>10.107194442916541</v>
      </c>
      <c r="P38" s="96">
        <f t="shared" ref="P38:P45" si="15">O38/$O$46</f>
        <v>5.5534035400640336E-2</v>
      </c>
      <c r="Q38" s="93"/>
      <c r="R38" s="96"/>
      <c r="T38" s="54" t="s">
        <v>696</v>
      </c>
      <c r="Y38" s="176" t="s">
        <v>697</v>
      </c>
    </row>
    <row r="39" spans="1:25">
      <c r="A39" t="s">
        <v>749</v>
      </c>
      <c r="B39" s="2">
        <f t="shared" si="6"/>
        <v>2.05293332788579E-4</v>
      </c>
      <c r="C39" s="2">
        <f t="shared" si="7"/>
        <v>1.6423466623086318E-3</v>
      </c>
      <c r="D39" s="2">
        <f t="shared" si="8"/>
        <v>1.5128943106463377E-2</v>
      </c>
      <c r="E39" s="2">
        <f t="shared" si="9"/>
        <v>0</v>
      </c>
      <c r="F39" s="2">
        <f t="shared" si="10"/>
        <v>3.6086063359477421E-4</v>
      </c>
      <c r="G39" s="2">
        <f t="shared" si="11"/>
        <v>0</v>
      </c>
      <c r="H39" s="286">
        <f>0</f>
        <v>0</v>
      </c>
      <c r="I39" s="23">
        <f t="shared" si="12"/>
        <v>3.8658220855715946E-3</v>
      </c>
      <c r="J39" s="169">
        <f t="shared" si="13"/>
        <v>6.4466636873516489E-2</v>
      </c>
      <c r="K39" s="118">
        <f t="shared" si="4"/>
        <v>8.5669902694243447E-2</v>
      </c>
      <c r="L39" s="510">
        <f t="shared" si="14"/>
        <v>8.5669902694243447E-2</v>
      </c>
      <c r="M39" s="505">
        <f t="shared" si="5"/>
        <v>8.7522290688401423</v>
      </c>
      <c r="N39" s="161">
        <v>1.7000000000000001E-2</v>
      </c>
      <c r="O39" s="93">
        <f>M39*(1+N39)^30</f>
        <v>14.512668108249164</v>
      </c>
      <c r="P39" s="96">
        <f t="shared" si="15"/>
        <v>7.9739934660709694E-2</v>
      </c>
      <c r="Q39" s="93"/>
      <c r="R39" s="96"/>
      <c r="T39" s="54" t="s">
        <v>696</v>
      </c>
    </row>
    <row r="40" spans="1:25">
      <c r="A40" t="s">
        <v>312</v>
      </c>
      <c r="B40" s="2">
        <f t="shared" si="6"/>
        <v>1.0264666639428948E-3</v>
      </c>
      <c r="C40" s="2">
        <f t="shared" si="7"/>
        <v>4.1058666557715795E-4</v>
      </c>
      <c r="D40" s="2">
        <f t="shared" si="8"/>
        <v>5.2369418445450148E-3</v>
      </c>
      <c r="E40" s="2">
        <f t="shared" si="9"/>
        <v>2.6926108797920603E-4</v>
      </c>
      <c r="F40" s="2">
        <f t="shared" si="10"/>
        <v>4.8114751145969894E-4</v>
      </c>
      <c r="G40" s="2">
        <f t="shared" si="11"/>
        <v>0</v>
      </c>
      <c r="H40" s="286">
        <v>0</v>
      </c>
      <c r="I40" s="23">
        <f t="shared" si="12"/>
        <v>9.6645552139289865E-4</v>
      </c>
      <c r="J40" s="169">
        <f t="shared" si="13"/>
        <v>4.6047597766797489E-2</v>
      </c>
      <c r="K40" s="118">
        <f t="shared" si="4"/>
        <v>5.4438457061694361E-2</v>
      </c>
      <c r="L40" s="510">
        <f t="shared" si="14"/>
        <v>5.4438457061694361E-2</v>
      </c>
      <c r="M40" s="505">
        <f t="shared" si="5"/>
        <v>5.5615546577500981</v>
      </c>
      <c r="N40" s="40">
        <f>(O40/M40)^(1/30)-1</f>
        <v>1.7305491798247807E-2</v>
      </c>
      <c r="O40" s="93">
        <f>($O$46-$O$37-$O$38-$O$39-$O$41-$O$42-$O$44-$O$45)*(L40/SUM(L40,L43))</f>
        <v>9.3054607024316347</v>
      </c>
      <c r="P40" s="96">
        <f t="shared" si="15"/>
        <v>5.1128904958415572E-2</v>
      </c>
      <c r="Q40" s="93"/>
      <c r="R40" s="96"/>
      <c r="T40" s="54" t="s">
        <v>698</v>
      </c>
    </row>
    <row r="41" spans="1:25">
      <c r="A41" t="s">
        <v>313</v>
      </c>
      <c r="B41" s="2">
        <f t="shared" si="6"/>
        <v>5.9535066508687902E-3</v>
      </c>
      <c r="C41" s="2">
        <f t="shared" si="7"/>
        <v>3.4899866574058425E-3</v>
      </c>
      <c r="D41" s="2">
        <f t="shared" si="8"/>
        <v>2.2111532232523396E-2</v>
      </c>
      <c r="E41" s="2">
        <f t="shared" si="9"/>
        <v>8.0778326393761803E-4</v>
      </c>
      <c r="F41" s="2">
        <f t="shared" si="10"/>
        <v>7.2172126718954841E-4</v>
      </c>
      <c r="G41" s="2">
        <f t="shared" si="11"/>
        <v>0</v>
      </c>
      <c r="H41" s="286">
        <v>0</v>
      </c>
      <c r="I41" s="23">
        <f t="shared" si="12"/>
        <v>2.4161388034822468E-3</v>
      </c>
      <c r="J41" s="169">
        <f t="shared" si="13"/>
        <v>9.2095195533594965E-3</v>
      </c>
      <c r="K41" s="118">
        <f t="shared" si="4"/>
        <v>4.4710188428766943E-2</v>
      </c>
      <c r="L41" s="510">
        <f t="shared" si="14"/>
        <v>4.4710188428766943E-2</v>
      </c>
      <c r="M41" s="505">
        <f t="shared" si="5"/>
        <v>4.567692953220412</v>
      </c>
      <c r="N41" s="40">
        <v>1.4E-2</v>
      </c>
      <c r="O41" s="513">
        <f>M41*(1+N41)^30</f>
        <v>6.9316328661528281</v>
      </c>
      <c r="P41" s="96">
        <f t="shared" si="15"/>
        <v>3.8085894868971584E-2</v>
      </c>
      <c r="Q41" s="513"/>
      <c r="R41" s="96"/>
      <c r="T41" s="54" t="s">
        <v>695</v>
      </c>
      <c r="Y41" s="176"/>
    </row>
    <row r="42" spans="1:25">
      <c r="A42" t="s">
        <v>320</v>
      </c>
      <c r="B42" s="56">
        <v>0</v>
      </c>
      <c r="C42" s="56">
        <v>0</v>
      </c>
      <c r="D42" s="56">
        <v>0</v>
      </c>
      <c r="E42" s="56">
        <v>0</v>
      </c>
      <c r="F42" s="56">
        <v>0</v>
      </c>
      <c r="G42" s="56">
        <v>0</v>
      </c>
      <c r="H42" s="286">
        <f>$C$8*0.5</f>
        <v>8.1906869413080619E-3</v>
      </c>
      <c r="I42" s="56">
        <v>0</v>
      </c>
      <c r="J42" s="56">
        <v>0</v>
      </c>
      <c r="K42" s="118">
        <f t="shared" si="4"/>
        <v>8.1906869413080619E-3</v>
      </c>
      <c r="L42" s="510">
        <f t="shared" si="14"/>
        <v>8.1906869413080619E-3</v>
      </c>
      <c r="M42" s="505">
        <f t="shared" si="5"/>
        <v>0.83677891636385304</v>
      </c>
      <c r="N42" s="161">
        <v>2.1000000000000001E-2</v>
      </c>
      <c r="O42" s="93">
        <f>M42*(1+N42)^30</f>
        <v>1.5609284335428819</v>
      </c>
      <c r="P42" s="96">
        <f t="shared" si="15"/>
        <v>8.5765298546312194E-3</v>
      </c>
      <c r="Q42" s="93"/>
      <c r="R42" s="96"/>
      <c r="T42" s="54" t="s">
        <v>698</v>
      </c>
      <c r="Y42" s="176" t="s">
        <v>699</v>
      </c>
    </row>
    <row r="43" spans="1:25">
      <c r="A43" t="s">
        <v>750</v>
      </c>
      <c r="B43" s="2">
        <f>C$3*B32</f>
        <v>3.9005733229830015E-3</v>
      </c>
      <c r="C43" s="2">
        <f>C$4*C32</f>
        <v>2.0529333278857891E-3</v>
      </c>
      <c r="D43" s="2">
        <f>C$5*D32</f>
        <v>2.560282679555341E-2</v>
      </c>
      <c r="E43" s="2">
        <f>C$9*E32</f>
        <v>3.1413793597574036E-4</v>
      </c>
      <c r="F43" s="2">
        <f>C$6*F32</f>
        <v>1.6840162901089464E-3</v>
      </c>
      <c r="G43" s="2">
        <f>C$7*G32</f>
        <v>0</v>
      </c>
      <c r="H43" s="286">
        <f>$C$8*0.25</f>
        <v>4.0953434706540309E-3</v>
      </c>
      <c r="I43" s="23">
        <f>C$10*H32</f>
        <v>6.765188649750291E-3</v>
      </c>
      <c r="J43" s="169">
        <f>C$11*I32</f>
        <v>7.3676156426875972E-2</v>
      </c>
      <c r="K43" s="118">
        <f t="shared" si="4"/>
        <v>0.11809117621978718</v>
      </c>
      <c r="L43" s="510">
        <f t="shared" si="14"/>
        <v>0.11809117621978718</v>
      </c>
      <c r="M43" s="505">
        <f t="shared" si="5"/>
        <v>12.064458961429342</v>
      </c>
      <c r="N43" s="40">
        <f>(O43/M43)^(1/30)-1</f>
        <v>1.7305491798247807E-2</v>
      </c>
      <c r="O43" s="93">
        <f>($O$46-$O$37-$O$38-$O$39-$O$41-$O$42-$O$44-$O$45)*(L43/SUM(L40,L43))</f>
        <v>20.185965196842343</v>
      </c>
      <c r="P43" s="96">
        <f t="shared" si="15"/>
        <v>0.11091189668594693</v>
      </c>
      <c r="Q43" s="93"/>
      <c r="R43" s="96"/>
      <c r="T43" s="54" t="s">
        <v>700</v>
      </c>
      <c r="Y43" s="176" t="s">
        <v>701</v>
      </c>
    </row>
    <row r="44" spans="1:25">
      <c r="A44" t="s">
        <v>751</v>
      </c>
      <c r="B44" s="2"/>
      <c r="C44" s="2"/>
      <c r="D44" s="2"/>
      <c r="E44" s="2"/>
      <c r="F44" s="2"/>
      <c r="G44" s="2"/>
      <c r="I44" s="2"/>
      <c r="J44" s="169"/>
      <c r="K44" s="118"/>
      <c r="L44" s="510">
        <f>N2</f>
        <v>0.27471012342412782</v>
      </c>
      <c r="M44" s="505">
        <f t="shared" si="5"/>
        <v>28.065001267929215</v>
      </c>
      <c r="N44" s="498">
        <v>2.3E-2</v>
      </c>
      <c r="O44" s="513">
        <f t="shared" ref="O44:O45" si="16">M44*(1+N44)^30</f>
        <v>55.518033874995439</v>
      </c>
      <c r="P44" s="96">
        <f t="shared" si="15"/>
        <v>0.30504414217030462</v>
      </c>
      <c r="Q44" s="513"/>
      <c r="R44" s="96"/>
    </row>
    <row r="45" spans="1:25">
      <c r="A45" t="s">
        <v>752</v>
      </c>
      <c r="B45" s="2"/>
      <c r="C45" s="2"/>
      <c r="D45" s="2"/>
      <c r="E45" s="2"/>
      <c r="F45" s="2"/>
      <c r="G45" s="2"/>
      <c r="I45" s="2"/>
      <c r="J45" s="169"/>
      <c r="K45" s="118"/>
      <c r="L45" s="510">
        <f>N5</f>
        <v>0.23105973583426512</v>
      </c>
      <c r="M45" s="505">
        <f>L45*$B$13</f>
        <v>23.605579941239576</v>
      </c>
      <c r="N45" s="498">
        <v>2.3E-2</v>
      </c>
      <c r="O45" s="93">
        <f t="shared" si="16"/>
        <v>46.696430700476853</v>
      </c>
      <c r="P45" s="96">
        <f t="shared" si="15"/>
        <v>0.25657379505756511</v>
      </c>
      <c r="Q45" s="93"/>
      <c r="R45" s="96"/>
    </row>
    <row r="46" spans="1:25" ht="16" thickBot="1">
      <c r="A46" s="32" t="s">
        <v>67</v>
      </c>
      <c r="B46" s="287">
        <f t="shared" ref="B46:G46" si="17">SUM(B37:B43)</f>
        <v>4.1058666557715798E-2</v>
      </c>
      <c r="C46" s="287">
        <f t="shared" si="17"/>
        <v>3.346281324453837E-2</v>
      </c>
      <c r="D46" s="287">
        <f t="shared" si="17"/>
        <v>0.12277719213322201</v>
      </c>
      <c r="E46" s="287">
        <f t="shared" si="17"/>
        <v>3.4106404477366099E-3</v>
      </c>
      <c r="F46" s="287">
        <f t="shared" si="17"/>
        <v>1.4073564710196194E-2</v>
      </c>
      <c r="G46" s="287">
        <f t="shared" si="17"/>
        <v>9.1007632681200691E-3</v>
      </c>
      <c r="H46" s="287">
        <f>SUM(H37:H43)</f>
        <v>1.6381373882616124E-2</v>
      </c>
      <c r="I46" s="287">
        <f>SUM(I37:I43)</f>
        <v>2.0295565949250874E-2</v>
      </c>
      <c r="J46" s="287">
        <f>SUM(J37:J43)</f>
        <v>0.22102846928062794</v>
      </c>
      <c r="L46" s="506">
        <f>SUM(L37:L45)</f>
        <v>0.98735890873241694</v>
      </c>
      <c r="M46" s="507">
        <f>SUM(M37:M45)</f>
        <v>100.8707967514338</v>
      </c>
      <c r="N46" s="42">
        <f>(O46/M46)^(1/30)-1</f>
        <v>1.9866980626634057E-2</v>
      </c>
      <c r="O46" s="508">
        <f>'Yearly Demand - Methanol'!N2</f>
        <v>182</v>
      </c>
      <c r="P46" s="509">
        <f>SUM(P37:P45)</f>
        <v>1</v>
      </c>
      <c r="Q46" s="508"/>
      <c r="R46" s="509"/>
    </row>
    <row r="47" spans="1:25" ht="16" thickTop="1">
      <c r="N47" s="280" t="s">
        <v>753</v>
      </c>
    </row>
    <row r="48" spans="1:25">
      <c r="O48" s="44">
        <f>SUM(O37:O45)</f>
        <v>182</v>
      </c>
    </row>
    <row r="49" spans="1:15">
      <c r="B49" s="499"/>
      <c r="C49" s="499"/>
      <c r="D49" s="499"/>
      <c r="E49" s="499"/>
      <c r="F49" s="499"/>
      <c r="G49" s="499"/>
      <c r="H49" s="499"/>
      <c r="I49" s="499"/>
      <c r="J49" s="8"/>
      <c r="K49" s="8"/>
      <c r="L49" s="163"/>
      <c r="M49" s="294"/>
      <c r="N49" s="163"/>
      <c r="O49" s="8"/>
    </row>
    <row r="50" spans="1:15">
      <c r="B50" s="499"/>
      <c r="C50" s="499"/>
      <c r="D50" s="499"/>
      <c r="E50" s="499"/>
      <c r="F50" s="499"/>
      <c r="G50" s="499"/>
      <c r="H50" s="499"/>
      <c r="I50" s="499"/>
      <c r="J50" s="8"/>
      <c r="K50" s="8"/>
      <c r="L50" s="163"/>
      <c r="M50" s="294"/>
      <c r="N50" s="163"/>
      <c r="O50" s="8"/>
    </row>
    <row r="51" spans="1:15">
      <c r="B51" s="499"/>
      <c r="C51" s="499"/>
      <c r="D51" s="499"/>
      <c r="E51" s="499"/>
      <c r="F51" s="499"/>
      <c r="G51" s="499"/>
      <c r="H51" s="499"/>
      <c r="I51" s="499"/>
      <c r="J51" s="8"/>
      <c r="K51" s="8"/>
      <c r="L51" s="163"/>
      <c r="M51" s="294"/>
      <c r="N51" s="163"/>
      <c r="O51" s="8"/>
    </row>
    <row r="52" spans="1:15">
      <c r="B52" s="499"/>
      <c r="C52" s="499"/>
      <c r="D52" s="499"/>
      <c r="E52" s="499"/>
      <c r="F52" s="499"/>
      <c r="G52" s="499"/>
      <c r="H52" s="499"/>
      <c r="I52" s="499"/>
      <c r="J52" s="8"/>
      <c r="K52" s="8"/>
      <c r="L52" s="163"/>
      <c r="M52" s="164"/>
      <c r="N52" s="163"/>
      <c r="O52" s="8"/>
    </row>
    <row r="53" spans="1:15">
      <c r="B53" s="499"/>
      <c r="C53" s="499"/>
      <c r="D53" s="499"/>
      <c r="E53" s="499"/>
      <c r="F53" s="499"/>
      <c r="G53" s="499"/>
      <c r="H53" s="499"/>
      <c r="I53" s="499"/>
      <c r="J53" s="8"/>
      <c r="K53" s="8"/>
      <c r="L53" s="163"/>
      <c r="M53" s="164"/>
      <c r="N53" s="163"/>
      <c r="O53" s="8"/>
    </row>
    <row r="54" spans="1:15">
      <c r="B54" s="499"/>
      <c r="C54" s="499"/>
      <c r="D54" s="499"/>
      <c r="E54" s="499"/>
      <c r="F54" s="499"/>
      <c r="G54" s="499"/>
      <c r="H54" s="499"/>
      <c r="I54" s="499"/>
      <c r="J54" s="8"/>
      <c r="K54" s="8"/>
      <c r="L54" s="163"/>
      <c r="M54" s="164"/>
      <c r="N54" s="163"/>
      <c r="O54" s="8"/>
    </row>
    <row r="55" spans="1:15">
      <c r="B55" s="499"/>
      <c r="C55" s="499"/>
      <c r="D55" s="499"/>
      <c r="E55" s="499"/>
      <c r="F55" s="499"/>
      <c r="G55" s="499"/>
      <c r="H55" s="499"/>
      <c r="I55" s="499"/>
      <c r="J55" s="8"/>
      <c r="K55" s="8"/>
      <c r="L55" s="163"/>
      <c r="M55" s="164"/>
      <c r="N55" s="163"/>
      <c r="O55" s="8"/>
    </row>
    <row r="56" spans="1:15">
      <c r="B56" s="499"/>
      <c r="C56" s="499"/>
      <c r="D56" s="499"/>
      <c r="E56" s="499"/>
      <c r="F56" s="499"/>
      <c r="G56" s="499"/>
      <c r="H56" s="499"/>
      <c r="I56" s="499"/>
      <c r="J56" s="8"/>
      <c r="K56" s="8"/>
      <c r="L56" s="163"/>
      <c r="M56" s="164"/>
      <c r="N56" s="163"/>
      <c r="O56" s="8"/>
    </row>
    <row r="57" spans="1:15">
      <c r="A57" s="1"/>
      <c r="B57" s="500"/>
      <c r="C57" s="500"/>
      <c r="D57" s="500"/>
      <c r="E57" s="500"/>
      <c r="F57" s="500"/>
      <c r="G57" s="500"/>
      <c r="H57" s="500"/>
      <c r="I57" s="500"/>
      <c r="K57" s="8"/>
      <c r="L57" s="165"/>
      <c r="M57" s="166"/>
      <c r="N57" s="165"/>
      <c r="O57" s="8"/>
    </row>
    <row r="62" spans="1:15">
      <c r="A62" s="30"/>
      <c r="B62" s="501" t="s">
        <v>187</v>
      </c>
      <c r="C62" s="501" t="s">
        <v>754</v>
      </c>
      <c r="D62" s="501" t="s">
        <v>755</v>
      </c>
      <c r="E62" s="501" t="s">
        <v>756</v>
      </c>
      <c r="F62" s="501" t="s">
        <v>757</v>
      </c>
    </row>
    <row r="63" spans="1:15">
      <c r="A63" s="501" t="s">
        <v>758</v>
      </c>
      <c r="B63" s="137"/>
      <c r="C63" s="502">
        <v>0.53</v>
      </c>
      <c r="D63" s="502">
        <v>0.2</v>
      </c>
      <c r="E63" s="502">
        <v>0.14000000000000001</v>
      </c>
      <c r="F63" s="502">
        <v>0.13</v>
      </c>
    </row>
    <row r="64" spans="1:15">
      <c r="B64" s="384">
        <f>($K$39-$J$39)/$K$39</f>
        <v>0.24749959033339375</v>
      </c>
      <c r="C64" s="6">
        <f>C63*$J$39/$K$39</f>
        <v>0.39882521712330132</v>
      </c>
      <c r="D64" s="6">
        <f t="shared" ref="D64:F64" si="18">D63*$J$39/$K$39</f>
        <v>0.15050008193332126</v>
      </c>
      <c r="E64" s="6">
        <f t="shared" si="18"/>
        <v>0.10535005735332489</v>
      </c>
      <c r="F64" s="6">
        <f t="shared" si="18"/>
        <v>9.7825053256658814E-2</v>
      </c>
      <c r="G64" s="384">
        <f>SUM(B64:F64)</f>
        <v>1</v>
      </c>
    </row>
    <row r="67" spans="1:3">
      <c r="A67" t="s">
        <v>759</v>
      </c>
    </row>
    <row r="70" spans="1:3">
      <c r="A70" t="s">
        <v>760</v>
      </c>
    </row>
    <row r="71" spans="1:3">
      <c r="A71" s="751">
        <v>2016</v>
      </c>
      <c r="B71" t="s">
        <v>761</v>
      </c>
      <c r="C71" s="44">
        <v>3.9640449438202201</v>
      </c>
    </row>
    <row r="72" spans="1:3">
      <c r="A72" s="751"/>
      <c r="B72" t="s">
        <v>762</v>
      </c>
      <c r="C72" s="44">
        <v>7.8337078651685301</v>
      </c>
    </row>
    <row r="73" spans="1:3">
      <c r="A73" s="751"/>
      <c r="B73" t="s">
        <v>763</v>
      </c>
      <c r="C73" s="44">
        <v>3.5393258426966199</v>
      </c>
    </row>
    <row r="74" spans="1:3">
      <c r="C74" s="44">
        <f>SUM(C71:C73)</f>
        <v>15.337078651685371</v>
      </c>
    </row>
    <row r="75" spans="1:3">
      <c r="A75" s="751">
        <v>2040</v>
      </c>
      <c r="B75" t="s">
        <v>761</v>
      </c>
      <c r="C75" s="44">
        <v>4.4988764044943803</v>
      </c>
    </row>
    <row r="76" spans="1:3">
      <c r="A76" s="751"/>
      <c r="B76" t="s">
        <v>762</v>
      </c>
      <c r="C76" s="44">
        <v>5.3011235955056097</v>
      </c>
    </row>
    <row r="77" spans="1:3">
      <c r="A77" s="751"/>
      <c r="B77" t="s">
        <v>763</v>
      </c>
      <c r="C77" s="44">
        <v>12.835955056179699</v>
      </c>
    </row>
    <row r="78" spans="1:3">
      <c r="C78" s="44">
        <f>SUM(C75:C77)</f>
        <v>22.635955056179689</v>
      </c>
    </row>
    <row r="79" spans="1:3">
      <c r="A79" t="s">
        <v>46</v>
      </c>
      <c r="B79" s="24">
        <f>(C78/C74)^(1/(A75-A71))-1</f>
        <v>1.6351675426470091E-2</v>
      </c>
    </row>
  </sheetData>
  <mergeCells count="2">
    <mergeCell ref="A71:A73"/>
    <mergeCell ref="A75:A7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E8DEC-4FD9-4EA9-9B2B-C2565C9D4613}">
  <sheetPr>
    <tabColor theme="7"/>
  </sheetPr>
  <dimension ref="B2:AA33"/>
  <sheetViews>
    <sheetView topLeftCell="A4" zoomScale="80" zoomScaleNormal="80" workbookViewId="0">
      <selection activeCell="G18" sqref="G18:G19"/>
    </sheetView>
  </sheetViews>
  <sheetFormatPr baseColWidth="10" defaultColWidth="8.83203125" defaultRowHeight="15"/>
  <cols>
    <col min="2" max="2" width="26.5" customWidth="1"/>
    <col min="3" max="3" width="22.5" customWidth="1"/>
    <col min="5" max="5" width="17.1640625" customWidth="1"/>
    <col min="6" max="6" width="15.83203125" customWidth="1"/>
    <col min="7" max="7" width="8.6640625" customWidth="1"/>
    <col min="8" max="8" width="17.5" customWidth="1"/>
    <col min="14" max="14" width="12" customWidth="1"/>
    <col min="19" max="19" width="15.5" customWidth="1"/>
  </cols>
  <sheetData>
    <row r="2" spans="2:27">
      <c r="B2" s="1" t="s">
        <v>777</v>
      </c>
      <c r="C2" s="1"/>
      <c r="D2" s="1"/>
      <c r="E2" s="1" t="s">
        <v>778</v>
      </c>
      <c r="G2" s="1" t="s">
        <v>779</v>
      </c>
      <c r="H2" s="1"/>
      <c r="I2" s="1"/>
      <c r="J2" s="1" t="s">
        <v>778</v>
      </c>
      <c r="M2" s="1" t="s">
        <v>780</v>
      </c>
      <c r="N2" s="1"/>
      <c r="O2" s="1"/>
      <c r="P2" s="1" t="s">
        <v>778</v>
      </c>
      <c r="S2" s="1" t="s">
        <v>781</v>
      </c>
      <c r="T2" s="1"/>
      <c r="U2" s="1"/>
      <c r="V2" s="1" t="s">
        <v>778</v>
      </c>
      <c r="X2" s="1" t="s">
        <v>782</v>
      </c>
      <c r="Y2" s="1"/>
      <c r="Z2" s="1"/>
      <c r="AA2" s="1" t="s">
        <v>778</v>
      </c>
    </row>
    <row r="3" spans="2:27">
      <c r="C3" t="s">
        <v>783</v>
      </c>
      <c r="D3" s="76">
        <v>0.28599999999999998</v>
      </c>
      <c r="E3" s="44">
        <f t="shared" ref="E3:E12" si="0">D3*$E$13</f>
        <v>4.2749473684210519</v>
      </c>
      <c r="H3" t="s">
        <v>784</v>
      </c>
      <c r="I3" s="55">
        <v>0.73</v>
      </c>
      <c r="J3" s="44">
        <f t="shared" ref="J3:J8" si="1">I3*$J$9</f>
        <v>10.531571185968067</v>
      </c>
      <c r="N3" t="s">
        <v>785</v>
      </c>
      <c r="O3" s="55">
        <v>0.7</v>
      </c>
      <c r="P3">
        <f>O3*$P$5</f>
        <v>13.058060729748467</v>
      </c>
      <c r="S3" t="s">
        <v>786</v>
      </c>
      <c r="T3" s="76">
        <v>0.33800000000000002</v>
      </c>
      <c r="U3">
        <f>T3*$U$8</f>
        <v>5.2873019946610453</v>
      </c>
      <c r="X3" t="s">
        <v>787</v>
      </c>
    </row>
    <row r="4" spans="2:27">
      <c r="C4" t="s">
        <v>788</v>
      </c>
      <c r="D4" s="76">
        <v>0.26500000000000001</v>
      </c>
      <c r="E4" s="44">
        <f t="shared" si="0"/>
        <v>3.9610526315789478</v>
      </c>
      <c r="H4" t="s">
        <v>789</v>
      </c>
      <c r="I4" s="76">
        <f>70.9%*0.27</f>
        <v>0.19143000000000004</v>
      </c>
      <c r="J4" s="44">
        <f t="shared" si="1"/>
        <v>2.7617242083970792</v>
      </c>
      <c r="N4" t="s">
        <v>248</v>
      </c>
      <c r="O4" s="6">
        <f>1-O3</f>
        <v>0.30000000000000004</v>
      </c>
      <c r="P4">
        <f>O4*$P$5</f>
        <v>5.5963117413207728</v>
      </c>
      <c r="S4" t="s">
        <v>790</v>
      </c>
      <c r="T4" s="214">
        <f>66.7%-33.8%</f>
        <v>0.32900000000000007</v>
      </c>
      <c r="U4">
        <f>T4*$U$8</f>
        <v>5.1465158468742134</v>
      </c>
    </row>
    <row r="5" spans="2:27">
      <c r="C5" t="s">
        <v>791</v>
      </c>
      <c r="D5" s="76">
        <v>0.14899999999999999</v>
      </c>
      <c r="E5" s="44">
        <f t="shared" si="0"/>
        <v>2.227157894736842</v>
      </c>
      <c r="H5" t="s">
        <v>792</v>
      </c>
      <c r="I5" s="76">
        <f>(78.3%-70.9%)*0.27</f>
        <v>1.997999999999996E-2</v>
      </c>
      <c r="J5" s="44">
        <f t="shared" si="1"/>
        <v>0.28824766067896107</v>
      </c>
      <c r="N5" t="s">
        <v>67</v>
      </c>
      <c r="O5" s="6">
        <f>SUM(O3:O4)</f>
        <v>1</v>
      </c>
      <c r="P5" s="43">
        <f>'Yearly Demand - C4'!C7</f>
        <v>18.654372471069241</v>
      </c>
      <c r="S5" t="s">
        <v>793</v>
      </c>
      <c r="T5" s="214">
        <f>79.9%-66.7%</f>
        <v>0.13200000000000001</v>
      </c>
      <c r="U5">
        <f>T5*$U$8</f>
        <v>2.0648635008735443</v>
      </c>
    </row>
    <row r="6" spans="2:27">
      <c r="C6" t="s">
        <v>794</v>
      </c>
      <c r="D6" s="76">
        <v>0.107</v>
      </c>
      <c r="E6" s="44">
        <f t="shared" si="0"/>
        <v>1.5993684210526316</v>
      </c>
      <c r="H6" t="s">
        <v>795</v>
      </c>
      <c r="I6" s="76">
        <f>(87.3%-78.3%)*0.27</f>
        <v>2.4300000000000023E-2</v>
      </c>
      <c r="J6" s="44">
        <f t="shared" si="1"/>
        <v>0.35057147920414289</v>
      </c>
      <c r="M6" t="s">
        <v>796</v>
      </c>
      <c r="S6" t="s">
        <v>797</v>
      </c>
      <c r="T6" s="214">
        <f>95.3%-79.9%</f>
        <v>0.15399999999999991</v>
      </c>
      <c r="U6">
        <f>T6*$U$8</f>
        <v>2.4090074176858001</v>
      </c>
    </row>
    <row r="7" spans="2:27">
      <c r="C7" t="s">
        <v>798</v>
      </c>
      <c r="D7" s="76">
        <v>6.2E-2</v>
      </c>
      <c r="E7" s="44">
        <f t="shared" si="0"/>
        <v>0.92673684210526319</v>
      </c>
      <c r="H7" t="s">
        <v>799</v>
      </c>
      <c r="I7" s="76">
        <f>(94.2%-87.3%)*0.27</f>
        <v>1.8630000000000018E-2</v>
      </c>
      <c r="J7" s="44">
        <f t="shared" si="1"/>
        <v>0.26877146738984287</v>
      </c>
      <c r="M7" s="54" t="s">
        <v>800</v>
      </c>
      <c r="S7" t="s">
        <v>248</v>
      </c>
      <c r="T7" s="23">
        <f>1-SUM(T3:T6)</f>
        <v>4.7000000000000042E-2</v>
      </c>
      <c r="U7">
        <f>T7*$U$8</f>
        <v>0.7352165495534595</v>
      </c>
    </row>
    <row r="8" spans="2:27">
      <c r="C8" t="s">
        <v>801</v>
      </c>
      <c r="D8" s="76">
        <v>5.3999999999999999E-2</v>
      </c>
      <c r="E8" s="44">
        <f t="shared" si="0"/>
        <v>0.80715789473684207</v>
      </c>
      <c r="H8" t="s">
        <v>248</v>
      </c>
      <c r="I8" s="583">
        <f>1-SUM(I3:I7)</f>
        <v>1.5660000000000007E-2</v>
      </c>
      <c r="J8" s="44">
        <f t="shared" si="1"/>
        <v>0.22592384215378086</v>
      </c>
      <c r="M8" t="s">
        <v>775</v>
      </c>
      <c r="N8" t="s">
        <v>581</v>
      </c>
      <c r="S8" t="s">
        <v>67</v>
      </c>
      <c r="T8" s="384">
        <f>+SUM(T3:T7)</f>
        <v>1</v>
      </c>
      <c r="U8" s="589">
        <f>'Yearly Demand - C4'!C8</f>
        <v>15.642905309648061</v>
      </c>
    </row>
    <row r="9" spans="2:27">
      <c r="C9" t="s">
        <v>802</v>
      </c>
      <c r="D9" s="76">
        <v>2.1999999999999999E-2</v>
      </c>
      <c r="E9" s="44">
        <f t="shared" si="0"/>
        <v>0.32884210526315788</v>
      </c>
      <c r="H9" t="s">
        <v>67</v>
      </c>
      <c r="I9" s="384">
        <f>+SUM(I3:I8)</f>
        <v>1</v>
      </c>
      <c r="J9" s="44">
        <f>'Yearly Demand - C4'!C6</f>
        <v>14.426809843791874</v>
      </c>
      <c r="S9" t="s">
        <v>803</v>
      </c>
      <c r="U9" t="s">
        <v>581</v>
      </c>
    </row>
    <row r="10" spans="2:27">
      <c r="C10" t="s">
        <v>804</v>
      </c>
      <c r="D10" s="76">
        <v>0.02</v>
      </c>
      <c r="E10" s="44">
        <f t="shared" si="0"/>
        <v>0.29894736842105263</v>
      </c>
      <c r="G10" t="s">
        <v>805</v>
      </c>
      <c r="I10" s="76"/>
      <c r="J10" s="44" t="s">
        <v>581</v>
      </c>
    </row>
    <row r="11" spans="2:27">
      <c r="C11" t="s">
        <v>806</v>
      </c>
      <c r="D11" s="76">
        <v>2.1000000000000001E-2</v>
      </c>
      <c r="E11" s="44">
        <f t="shared" si="0"/>
        <v>0.31389473684210528</v>
      </c>
      <c r="G11" t="s">
        <v>775</v>
      </c>
      <c r="H11" t="s">
        <v>581</v>
      </c>
      <c r="I11" s="76"/>
      <c r="J11" s="44"/>
    </row>
    <row r="12" spans="2:27">
      <c r="C12" t="s">
        <v>248</v>
      </c>
      <c r="D12" s="583">
        <f>1-SUM(D3:D11)</f>
        <v>1.3999999999999901E-2</v>
      </c>
      <c r="E12" s="44">
        <f t="shared" si="0"/>
        <v>0.20926315789473537</v>
      </c>
      <c r="I12" s="76"/>
      <c r="J12" s="44"/>
    </row>
    <row r="13" spans="2:27">
      <c r="C13" t="s">
        <v>67</v>
      </c>
      <c r="D13" s="384">
        <f>SUM(D3:D12)</f>
        <v>1</v>
      </c>
      <c r="E13" s="43">
        <f>'Yearly Demand - C4'!C5</f>
        <v>14.947368421052632</v>
      </c>
      <c r="I13" s="384"/>
      <c r="J13" s="43"/>
    </row>
    <row r="14" spans="2:27">
      <c r="B14" t="s">
        <v>807</v>
      </c>
    </row>
    <row r="15" spans="2:27">
      <c r="E15" t="s">
        <v>808</v>
      </c>
    </row>
    <row r="16" spans="2:27">
      <c r="B16" s="1"/>
      <c r="D16" s="1"/>
      <c r="E16" s="1"/>
      <c r="J16" s="1"/>
    </row>
    <row r="17" spans="2:19">
      <c r="C17" s="8" t="s">
        <v>809</v>
      </c>
      <c r="D17" s="44"/>
      <c r="F17" t="s">
        <v>810</v>
      </c>
      <c r="I17" t="s">
        <v>311</v>
      </c>
      <c r="J17" t="s">
        <v>811</v>
      </c>
      <c r="K17" s="6"/>
    </row>
    <row r="18" spans="2:19">
      <c r="B18" t="s">
        <v>812</v>
      </c>
      <c r="C18" s="262">
        <f>E3+E6+E8+J6+U4+E4</f>
        <v>16.139613641867829</v>
      </c>
      <c r="D18" s="2">
        <f>C18/$C$23</f>
        <v>0.2534827164988766</v>
      </c>
      <c r="F18" s="44">
        <f>E3+E4+E6+E8</f>
        <v>10.642526315789475</v>
      </c>
      <c r="G18" s="2">
        <f>F18/$F$23</f>
        <v>0.71200000000000019</v>
      </c>
      <c r="I18" s="44" t="s">
        <v>813</v>
      </c>
      <c r="K18" s="6"/>
    </row>
    <row r="19" spans="2:19">
      <c r="B19" t="s">
        <v>258</v>
      </c>
      <c r="C19" s="262">
        <f>J4</f>
        <v>2.7617242083970792</v>
      </c>
      <c r="D19" s="2">
        <f t="shared" ref="D19:D22" si="2">C19/$C$23</f>
        <v>4.3374604256275422E-2</v>
      </c>
      <c r="F19">
        <f>0</f>
        <v>0</v>
      </c>
      <c r="G19" s="2">
        <f t="shared" ref="G19:G22" si="3">F19/$F$23</f>
        <v>0</v>
      </c>
      <c r="H19" s="6"/>
      <c r="I19" s="44"/>
    </row>
    <row r="20" spans="2:19">
      <c r="B20" t="s">
        <v>814</v>
      </c>
      <c r="C20" s="262">
        <f>E5+E7</f>
        <v>3.1538947368421053</v>
      </c>
      <c r="D20" s="2">
        <f t="shared" si="2"/>
        <v>4.9533887439062979E-2</v>
      </c>
      <c r="F20" s="44">
        <f>E5+E7</f>
        <v>3.1538947368421053</v>
      </c>
      <c r="G20" s="2">
        <f t="shared" si="3"/>
        <v>0.21100000000000002</v>
      </c>
      <c r="H20" s="6"/>
      <c r="I20" s="44"/>
    </row>
    <row r="21" spans="2:19">
      <c r="B21" t="s">
        <v>784</v>
      </c>
      <c r="C21" s="360">
        <f>J3+P3+U3</f>
        <v>28.876933910377581</v>
      </c>
      <c r="D21" s="2">
        <f t="shared" si="2"/>
        <v>0.4535302897693107</v>
      </c>
      <c r="F21">
        <f>0</f>
        <v>0</v>
      </c>
      <c r="G21" s="2">
        <f t="shared" si="3"/>
        <v>0</v>
      </c>
    </row>
    <row r="22" spans="2:19">
      <c r="B22" t="s">
        <v>248</v>
      </c>
      <c r="C22" s="360">
        <f>'Yearly Demand - C4'!C4-'Demand Breakdown - C4'!C18-'Demand Breakdown - C4'!C19-'Demand Breakdown - C4'!C21-C20</f>
        <v>12.739289548077224</v>
      </c>
      <c r="D22" s="2">
        <f t="shared" si="2"/>
        <v>0.20007850203647429</v>
      </c>
      <c r="F22" s="44">
        <f>SUM(E9:E12)</f>
        <v>1.1509473684210509</v>
      </c>
      <c r="G22" s="2">
        <f t="shared" si="3"/>
        <v>7.6999999999999888E-2</v>
      </c>
    </row>
    <row r="23" spans="2:19">
      <c r="B23" t="s">
        <v>67</v>
      </c>
      <c r="C23" s="360">
        <f>SUM(C18:C22)</f>
        <v>63.671456045561818</v>
      </c>
      <c r="F23" s="44">
        <f>SUM(F18:F22)</f>
        <v>14.94736842105263</v>
      </c>
    </row>
    <row r="24" spans="2:19">
      <c r="I24" s="760" t="s">
        <v>815</v>
      </c>
      <c r="J24" s="760"/>
      <c r="K24" s="760"/>
      <c r="L24" s="760"/>
      <c r="M24" s="760"/>
      <c r="O24" s="760" t="s">
        <v>816</v>
      </c>
      <c r="P24" s="760"/>
      <c r="Q24" s="760"/>
      <c r="R24" s="760"/>
      <c r="S24" s="760"/>
    </row>
    <row r="25" spans="2:19">
      <c r="C25" t="s">
        <v>817</v>
      </c>
      <c r="D25" t="s">
        <v>258</v>
      </c>
      <c r="E25" t="s">
        <v>818</v>
      </c>
      <c r="F25" t="s">
        <v>784</v>
      </c>
      <c r="G25" t="s">
        <v>248</v>
      </c>
      <c r="I25" s="760">
        <v>2020</v>
      </c>
      <c r="J25" s="760"/>
      <c r="K25" t="s">
        <v>46</v>
      </c>
      <c r="L25">
        <v>2050</v>
      </c>
      <c r="O25" s="760">
        <v>2020</v>
      </c>
      <c r="P25" s="760"/>
      <c r="Q25" t="s">
        <v>46</v>
      </c>
      <c r="R25">
        <v>2050</v>
      </c>
    </row>
    <row r="26" spans="2:19">
      <c r="B26" s="2" t="str">
        <f>'Demand - Industry shares'!A46</f>
        <v>Packaging &amp; consumer goods</v>
      </c>
      <c r="C26" s="55">
        <v>0</v>
      </c>
      <c r="D26" s="6">
        <f>'Demand Breakdown - Ethylene'!J63+'Demand Breakdown - Ethylene'!J67</f>
        <v>0.54772064805210752</v>
      </c>
      <c r="E26" s="23">
        <f>'Demand - Industry shares'!I7/'Demand - Industry shares'!I13</f>
        <v>1.7857142857142856E-2</v>
      </c>
      <c r="F26" s="2">
        <v>0</v>
      </c>
      <c r="G26" s="2">
        <v>0</v>
      </c>
      <c r="I26" s="245">
        <f>C26*$C$18+D26*$C$19+E26*$C$20+F26*$C$21+G26*$C$22</f>
        <v>1.5689729220366222</v>
      </c>
      <c r="J26" s="2">
        <f>I26/$I$31</f>
        <v>2.4641700056519857E-2</v>
      </c>
      <c r="K26" s="23">
        <f>'Yearly Demand - C4'!$AU$3</f>
        <v>1.429032820306686E-2</v>
      </c>
      <c r="L26" s="245">
        <f>I26*(1+K26)^30</f>
        <v>2.4015076627249416</v>
      </c>
      <c r="M26" s="2">
        <f>L26/$L$31</f>
        <v>2.4641700056519861E-2</v>
      </c>
      <c r="O26" s="245">
        <f>C26*$F$18+D26*$F$19+E26*$F$20+F26*$F$21+G26*$F$22</f>
        <v>5.631954887218045E-2</v>
      </c>
      <c r="P26" s="2">
        <f>O26/$O$31</f>
        <v>3.7678571428571427E-3</v>
      </c>
      <c r="Q26" s="23">
        <f>'Yearly Demand - C4'!$AU$3</f>
        <v>1.429032820306686E-2</v>
      </c>
      <c r="R26" s="245">
        <f>O26*(1+Q26)^30</f>
        <v>8.6204055072020044E-2</v>
      </c>
      <c r="S26" s="2">
        <f>R26/$R$31</f>
        <v>3.7678571428571431E-3</v>
      </c>
    </row>
    <row r="27" spans="2:19">
      <c r="B27" s="2" t="str">
        <f>'Demand - Industry shares'!A47</f>
        <v>Building &amp; Construction</v>
      </c>
      <c r="C27" s="55">
        <v>0.15</v>
      </c>
      <c r="D27" s="23">
        <f>'Demand Breakdown - Ethylene'!J64</f>
        <v>0.21433790117776957</v>
      </c>
      <c r="E27" s="23">
        <f>'Demand - Industry shares'!I8/'Demand - Industry shares'!I13</f>
        <v>8.9285714285714288E-2</v>
      </c>
      <c r="F27" s="2">
        <v>0</v>
      </c>
      <c r="G27" s="2">
        <v>0</v>
      </c>
      <c r="I27" s="245">
        <f>C27*$C$18+D27*$C$19+E27*$C$20+F27*$C$21+G27*$C$22</f>
        <v>3.2944819611007432</v>
      </c>
      <c r="J27" s="2">
        <f t="shared" ref="J27:J31" si="4">I27/$I$31</f>
        <v>5.1741897636882826E-2</v>
      </c>
      <c r="K27" s="23">
        <f>'Yearly Demand - C4'!$AU$3</f>
        <v>1.429032820306686E-2</v>
      </c>
      <c r="L27" s="245">
        <f t="shared" ref="L27:L30" si="5">I27*(1+K27)^30</f>
        <v>5.0426132683173588</v>
      </c>
      <c r="M27" s="2">
        <f t="shared" ref="M27:M31" si="6">L27/$L$31</f>
        <v>5.1741897636882833E-2</v>
      </c>
      <c r="O27" s="245">
        <f t="shared" ref="O27:O30" si="7">C27*$F$18+D27*$F$19+E27*$F$20+F27*$F$21+G27*$F$22</f>
        <v>1.8779766917293235</v>
      </c>
      <c r="P27" s="2">
        <f t="shared" ref="P27:P30" si="8">O27/$O$31</f>
        <v>0.12563928571428573</v>
      </c>
      <c r="Q27" s="23">
        <f>'Yearly Demand - C4'!$AU$3</f>
        <v>1.429032820306686E-2</v>
      </c>
      <c r="R27" s="245">
        <f t="shared" ref="R27:R30" si="9">O27*(1+Q27)^30</f>
        <v>2.8744762591266291</v>
      </c>
      <c r="S27" s="2">
        <f t="shared" ref="S27:S30" si="10">R27/$R$31</f>
        <v>0.12563928571428576</v>
      </c>
    </row>
    <row r="28" spans="2:19">
      <c r="B28" s="2" t="str">
        <f>'Demand - Industry shares'!A48</f>
        <v>Transportation</v>
      </c>
      <c r="C28" s="55">
        <v>0.65</v>
      </c>
      <c r="D28" s="23">
        <f>'Demand Breakdown - Ethylene'!J65</f>
        <v>5.2109631277813095E-2</v>
      </c>
      <c r="E28" s="23">
        <f>'Demand - Industry shares'!I6/'Demand - Industry shares'!I13</f>
        <v>0.39285714285714285</v>
      </c>
      <c r="F28" s="2">
        <v>1</v>
      </c>
      <c r="G28" s="2">
        <v>0</v>
      </c>
      <c r="I28" s="245">
        <f t="shared" ref="I28:I30" si="11">C28*$C$18+D28*$C$19+E28*$C$20+F28*$C$21+G28*$C$22</f>
        <v>40.750625282970219</v>
      </c>
      <c r="J28" s="2">
        <f t="shared" si="4"/>
        <v>0.64001403162211368</v>
      </c>
      <c r="K28" s="23">
        <f>'Yearly Demand - C4'!$AU$3</f>
        <v>1.429032820306686E-2</v>
      </c>
      <c r="L28" s="245">
        <f t="shared" si="5"/>
        <v>62.373886447226688</v>
      </c>
      <c r="M28" s="2">
        <f t="shared" si="6"/>
        <v>0.64001403162211379</v>
      </c>
      <c r="O28" s="245">
        <f t="shared" si="7"/>
        <v>8.1566721804511282</v>
      </c>
      <c r="P28" s="2">
        <f t="shared" si="8"/>
        <v>0.5456928571428572</v>
      </c>
      <c r="Q28" s="23">
        <f>'Yearly Demand - C4'!$AU$3</f>
        <v>1.429032820306686E-2</v>
      </c>
      <c r="R28" s="245">
        <f t="shared" si="9"/>
        <v>12.484798474572731</v>
      </c>
      <c r="S28" s="2">
        <f t="shared" si="10"/>
        <v>0.5456928571428572</v>
      </c>
    </row>
    <row r="29" spans="2:19">
      <c r="B29" s="2" t="str">
        <f>'Demand - Industry shares'!A49</f>
        <v>Apparel</v>
      </c>
      <c r="C29" s="286">
        <v>1.4999999999999999E-2</v>
      </c>
      <c r="D29" s="23">
        <f>'Demand Breakdown - Ethylene'!J69</f>
        <v>2.1105000000000002E-2</v>
      </c>
      <c r="E29" s="23">
        <v>0</v>
      </c>
      <c r="F29" s="2">
        <v>0</v>
      </c>
      <c r="G29" s="2">
        <v>0</v>
      </c>
      <c r="I29" s="245">
        <f t="shared" si="11"/>
        <v>0.30038039404623779</v>
      </c>
      <c r="J29" s="2">
        <f t="shared" si="4"/>
        <v>4.7176617703118427E-3</v>
      </c>
      <c r="K29" s="23">
        <f>'Yearly Demand - C4'!$AU$3</f>
        <v>1.429032820306686E-2</v>
      </c>
      <c r="L29" s="245">
        <f t="shared" si="5"/>
        <v>0.45976945038541572</v>
      </c>
      <c r="M29" s="2">
        <f t="shared" si="6"/>
        <v>4.7176617703118427E-3</v>
      </c>
      <c r="O29" s="245">
        <f t="shared" si="7"/>
        <v>0.15963789473684212</v>
      </c>
      <c r="P29" s="2">
        <f t="shared" si="8"/>
        <v>1.068E-2</v>
      </c>
      <c r="Q29" s="23">
        <f>'Yearly Demand - C4'!$AU$3</f>
        <v>1.429032820306686E-2</v>
      </c>
      <c r="R29" s="245">
        <f t="shared" si="9"/>
        <v>0.24434559837665287</v>
      </c>
      <c r="S29" s="2">
        <f t="shared" si="10"/>
        <v>1.0680000000000002E-2</v>
      </c>
    </row>
    <row r="30" spans="2:19">
      <c r="B30" s="2" t="str">
        <f>'Demand - Industry shares'!A50</f>
        <v>Others</v>
      </c>
      <c r="C30" s="6">
        <f>1-SUM(C26:C29)</f>
        <v>0.18499999999999994</v>
      </c>
      <c r="D30" s="6">
        <f>1-SUM(D26:D29)</f>
        <v>0.16472681949230983</v>
      </c>
      <c r="E30" s="23">
        <f t="shared" ref="E30:G30" si="12">1-SUM(E26:E29)</f>
        <v>0.5</v>
      </c>
      <c r="F30" s="6">
        <f t="shared" si="12"/>
        <v>0</v>
      </c>
      <c r="G30" s="6">
        <f t="shared" si="12"/>
        <v>1</v>
      </c>
      <c r="I30" s="245">
        <f t="shared" si="11"/>
        <v>17.756995485407991</v>
      </c>
      <c r="J30" s="2">
        <f t="shared" si="4"/>
        <v>0.27888470891417183</v>
      </c>
      <c r="K30" s="23">
        <f>'Yearly Demand - C4'!$AU$3</f>
        <v>1.429032820306686E-2</v>
      </c>
      <c r="L30" s="245">
        <f t="shared" si="5"/>
        <v>27.179284056620652</v>
      </c>
      <c r="M30" s="2">
        <f t="shared" si="6"/>
        <v>0.27888470891417183</v>
      </c>
      <c r="O30" s="245">
        <f t="shared" si="7"/>
        <v>4.6967621052631561</v>
      </c>
      <c r="P30" s="2">
        <f t="shared" si="8"/>
        <v>0.31421999999999989</v>
      </c>
      <c r="Q30" s="23">
        <f>'Yearly Demand - C4'!$AU$3</f>
        <v>1.429032820306686E-2</v>
      </c>
      <c r="R30" s="245">
        <f t="shared" si="9"/>
        <v>7.1889769589805077</v>
      </c>
      <c r="S30" s="2">
        <f t="shared" si="10"/>
        <v>0.31421999999999989</v>
      </c>
    </row>
    <row r="31" spans="2:19">
      <c r="B31" s="2" t="str">
        <f>'Demand - Industry shares'!A51</f>
        <v>Total</v>
      </c>
      <c r="C31" s="6">
        <f>SUM(C26:C30)</f>
        <v>1</v>
      </c>
      <c r="I31" s="245">
        <f>SUM(I26:I30)</f>
        <v>63.671456045561811</v>
      </c>
      <c r="J31" s="2">
        <f t="shared" si="4"/>
        <v>1</v>
      </c>
      <c r="L31" s="245">
        <f>SUM(L26:L30)</f>
        <v>97.457060885275041</v>
      </c>
      <c r="M31" s="2">
        <f t="shared" si="6"/>
        <v>1</v>
      </c>
      <c r="O31" s="245">
        <f>SUM(O26:O30)</f>
        <v>14.947368421052632</v>
      </c>
      <c r="P31" s="2">
        <f>SUM(P26:P30)</f>
        <v>1</v>
      </c>
      <c r="R31" s="245">
        <f>SUM(R26:R30)</f>
        <v>22.87880134612854</v>
      </c>
      <c r="S31" s="2">
        <f t="shared" ref="S31" si="13">R31/$L$31</f>
        <v>0.23475776037470608</v>
      </c>
    </row>
    <row r="32" spans="2:19">
      <c r="C32" t="s">
        <v>819</v>
      </c>
      <c r="D32" t="s">
        <v>581</v>
      </c>
    </row>
    <row r="33" spans="3:3">
      <c r="C33" t="s">
        <v>820</v>
      </c>
    </row>
  </sheetData>
  <mergeCells count="4">
    <mergeCell ref="I25:J25"/>
    <mergeCell ref="O25:P25"/>
    <mergeCell ref="I24:M24"/>
    <mergeCell ref="O24:S2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7327-8DBE-430C-B99C-2058948C8F0D}">
  <sheetPr>
    <tabColor theme="7"/>
  </sheetPr>
  <dimension ref="A2:AI98"/>
  <sheetViews>
    <sheetView topLeftCell="A4" workbookViewId="0">
      <selection activeCell="E17" sqref="E17"/>
    </sheetView>
  </sheetViews>
  <sheetFormatPr baseColWidth="10" defaultColWidth="8.83203125" defaultRowHeight="15"/>
  <cols>
    <col min="2" max="2" width="26.83203125" customWidth="1"/>
    <col min="3" max="3" width="16.1640625" customWidth="1"/>
    <col min="4" max="4" width="20.33203125" customWidth="1"/>
    <col min="5" max="5" width="11.6640625" customWidth="1"/>
    <col min="6" max="6" width="11.5" customWidth="1"/>
    <col min="7" max="7" width="11.1640625" customWidth="1"/>
    <col min="10" max="10" width="23.5" customWidth="1"/>
    <col min="11" max="11" width="13.1640625" customWidth="1"/>
    <col min="12" max="12" width="7.33203125" customWidth="1"/>
    <col min="17" max="17" width="18.83203125" customWidth="1"/>
    <col min="18" max="18" width="23.5" customWidth="1"/>
    <col min="20" max="20" width="7.33203125" customWidth="1"/>
    <col min="24" max="24" width="18.83203125" customWidth="1"/>
    <col min="25" max="25" width="23.5" customWidth="1"/>
    <col min="27" max="27" width="7.33203125" customWidth="1"/>
    <col min="30" max="30" width="18.83203125" customWidth="1"/>
    <col min="31" max="31" width="23.5" customWidth="1"/>
    <col min="33" max="33" width="7.33203125" customWidth="1"/>
  </cols>
  <sheetData>
    <row r="2" spans="2:34">
      <c r="B2" s="1" t="s">
        <v>837</v>
      </c>
      <c r="C2" s="1"/>
      <c r="D2" s="1"/>
      <c r="E2" s="1" t="s">
        <v>778</v>
      </c>
      <c r="I2" s="1" t="s">
        <v>838</v>
      </c>
      <c r="M2" s="1" t="s">
        <v>778</v>
      </c>
      <c r="Q2" s="1" t="s">
        <v>839</v>
      </c>
      <c r="T2" s="1" t="s">
        <v>778</v>
      </c>
      <c r="X2" s="1" t="s">
        <v>840</v>
      </c>
      <c r="AA2" s="1" t="s">
        <v>778</v>
      </c>
      <c r="AD2" s="1" t="s">
        <v>841</v>
      </c>
      <c r="AG2" s="1" t="s">
        <v>778</v>
      </c>
    </row>
    <row r="3" spans="2:34">
      <c r="C3" t="s">
        <v>842</v>
      </c>
      <c r="D3" s="384">
        <f>E3/E8</f>
        <v>0.52463148859728892</v>
      </c>
      <c r="E3" s="44">
        <f>'Demand Breakdown - Ethylene'!D9*'Demand Breakdown - BTX'!E33/'Demand Breakdown - BTX'!C33</f>
        <v>27.19285714285714</v>
      </c>
      <c r="G3" t="s">
        <v>843</v>
      </c>
      <c r="H3" t="s">
        <v>581</v>
      </c>
      <c r="J3" t="s">
        <v>844</v>
      </c>
      <c r="K3" s="55">
        <v>0.28000000000000003</v>
      </c>
      <c r="L3" s="6"/>
      <c r="M3" s="44">
        <f>K3*$M$8</f>
        <v>7.61095133078841</v>
      </c>
      <c r="P3" t="s">
        <v>581</v>
      </c>
      <c r="R3" t="s">
        <v>845</v>
      </c>
      <c r="S3" s="55">
        <v>0.98</v>
      </c>
      <c r="T3" s="44">
        <f>S3*$T$5</f>
        <v>44.283391377399667</v>
      </c>
      <c r="Y3" t="s">
        <v>846</v>
      </c>
      <c r="Z3" s="286">
        <v>0.437</v>
      </c>
      <c r="AA3" s="44">
        <f>Z3*$AA$7</f>
        <v>1.9007593395974345</v>
      </c>
      <c r="AE3" t="s">
        <v>847</v>
      </c>
      <c r="AF3" s="384">
        <v>0.245</v>
      </c>
      <c r="AG3" s="44">
        <f>AF3*$AG$7</f>
        <v>0.17760718466871522</v>
      </c>
    </row>
    <row r="4" spans="2:34">
      <c r="C4" t="s">
        <v>576</v>
      </c>
      <c r="D4" s="384">
        <f>E4/E8</f>
        <v>0.15667701611196183</v>
      </c>
      <c r="E4" s="44">
        <f>'Demand Breakdown - Propylene'!D9*'Demand Breakdown - BTX'!E34/'Demand Breakdown - BTX'!C34</f>
        <v>8.1209302325581394</v>
      </c>
      <c r="G4" t="s">
        <v>848</v>
      </c>
      <c r="H4" t="s">
        <v>581</v>
      </c>
      <c r="J4" t="s">
        <v>849</v>
      </c>
      <c r="K4" s="76">
        <v>0.22</v>
      </c>
      <c r="L4" s="6"/>
      <c r="M4" s="44">
        <f t="shared" ref="M4:M7" si="0">K4*$M$8</f>
        <v>5.9800331884766074</v>
      </c>
      <c r="P4" t="s">
        <v>581</v>
      </c>
      <c r="R4" t="s">
        <v>248</v>
      </c>
      <c r="S4" s="76">
        <v>0.02</v>
      </c>
      <c r="T4" s="44">
        <f>S4*$T$5</f>
        <v>0.90374268117142176</v>
      </c>
      <c r="Y4" t="s">
        <v>850</v>
      </c>
      <c r="Z4" s="286">
        <v>0.25</v>
      </c>
      <c r="AA4" s="44">
        <f t="shared" ref="AA4:AA6" si="1">Z4*$AA$7</f>
        <v>1.0873909265431547</v>
      </c>
      <c r="AE4" t="s">
        <v>851</v>
      </c>
      <c r="AF4" s="384">
        <v>0.23300000000000001</v>
      </c>
      <c r="AG4" s="44">
        <f t="shared" ref="AG4:AG6" si="2">AF4*$AG$7</f>
        <v>0.16890805725637001</v>
      </c>
    </row>
    <row r="5" spans="2:34">
      <c r="C5" t="s">
        <v>852</v>
      </c>
      <c r="D5" s="76">
        <v>0.1</v>
      </c>
      <c r="E5" s="44">
        <f t="shared" ref="E5:E7" si="3">D5*E$8</f>
        <v>5.183230083189037</v>
      </c>
      <c r="J5" t="s">
        <v>853</v>
      </c>
      <c r="K5" s="55">
        <f>18%+17.9%</f>
        <v>0.35899999999999999</v>
      </c>
      <c r="L5" s="6"/>
      <c r="M5" s="44">
        <f t="shared" si="0"/>
        <v>9.7583268848322824</v>
      </c>
      <c r="R5" t="s">
        <v>67</v>
      </c>
      <c r="S5" s="55">
        <f>SUM(S3:S4)</f>
        <v>1</v>
      </c>
      <c r="T5" s="230">
        <f>'Yearly Demand - BTX'!N10</f>
        <v>45.18713405857109</v>
      </c>
      <c r="Y5" t="s">
        <v>854</v>
      </c>
      <c r="Z5" s="286">
        <v>0.187</v>
      </c>
      <c r="AA5" s="44">
        <f t="shared" si="1"/>
        <v>0.81336841305427976</v>
      </c>
      <c r="AE5" t="s">
        <v>593</v>
      </c>
      <c r="AF5" s="384">
        <v>0.216</v>
      </c>
      <c r="AG5" s="44">
        <f t="shared" si="2"/>
        <v>0.15658429342221425</v>
      </c>
    </row>
    <row r="6" spans="2:34">
      <c r="C6" t="s">
        <v>855</v>
      </c>
      <c r="D6" s="384">
        <f>E6/E8</f>
        <v>0.13638464295952196</v>
      </c>
      <c r="E6" s="44">
        <f>D24</f>
        <v>7.069129842727901</v>
      </c>
      <c r="G6" t="s">
        <v>856</v>
      </c>
      <c r="H6" t="s">
        <v>857</v>
      </c>
      <c r="J6" t="s">
        <v>858</v>
      </c>
      <c r="K6" s="55">
        <v>0.1</v>
      </c>
      <c r="L6" s="6"/>
      <c r="M6" s="44">
        <f t="shared" si="0"/>
        <v>2.7181969038530038</v>
      </c>
      <c r="O6" s="384">
        <f>(K3+K6)/SUM(K3,K4,K6,K7)</f>
        <v>0.59282371294851799</v>
      </c>
      <c r="Q6" t="s">
        <v>96</v>
      </c>
      <c r="R6" t="s">
        <v>859</v>
      </c>
      <c r="S6" s="55"/>
      <c r="T6" s="6" t="s">
        <v>581</v>
      </c>
      <c r="U6" s="44"/>
      <c r="Y6" t="s">
        <v>248</v>
      </c>
      <c r="Z6" s="286">
        <v>0.126</v>
      </c>
      <c r="AA6" s="44">
        <f t="shared" si="1"/>
        <v>0.54804502697775004</v>
      </c>
      <c r="AB6" s="44"/>
      <c r="AE6" t="s">
        <v>860</v>
      </c>
      <c r="AF6" s="384">
        <v>0.183</v>
      </c>
      <c r="AG6" s="44">
        <f t="shared" si="2"/>
        <v>0.13266169303826483</v>
      </c>
      <c r="AH6" s="44"/>
    </row>
    <row r="7" spans="2:34">
      <c r="C7" t="s">
        <v>248</v>
      </c>
      <c r="D7" s="76">
        <f>1-D3-D4-D5-D6</f>
        <v>8.2306852331227282E-2</v>
      </c>
      <c r="E7" s="44">
        <f t="shared" si="3"/>
        <v>4.2661535305581495</v>
      </c>
      <c r="J7" t="s">
        <v>248</v>
      </c>
      <c r="K7" s="55">
        <f>1-K3-K4-K5-K6</f>
        <v>4.1000000000000009E-2</v>
      </c>
      <c r="L7" s="6"/>
      <c r="M7" s="44">
        <f t="shared" si="0"/>
        <v>1.1144607305797316</v>
      </c>
      <c r="S7" s="55"/>
      <c r="T7" s="6"/>
      <c r="U7" s="44"/>
      <c r="Y7" t="s">
        <v>67</v>
      </c>
      <c r="Z7" s="41">
        <f>SUM(Z3:Z6)</f>
        <v>1</v>
      </c>
      <c r="AA7" s="262">
        <f>'Yearly Demand - BTX'!N11</f>
        <v>4.3495637061726189</v>
      </c>
      <c r="AB7" s="44"/>
      <c r="AE7" t="s">
        <v>248</v>
      </c>
      <c r="AF7" s="384">
        <f>1-AF3-AF4-AF5-AF6</f>
        <v>0.12300000000000005</v>
      </c>
      <c r="AG7" s="262">
        <f>'Yearly Demand - BTX'!N12</f>
        <v>0.72492728436210296</v>
      </c>
      <c r="AH7" s="44"/>
    </row>
    <row r="8" spans="2:34">
      <c r="C8" t="s">
        <v>67</v>
      </c>
      <c r="D8" s="384">
        <f>SUM(D3:D7)</f>
        <v>0.99999999999999989</v>
      </c>
      <c r="E8" s="43">
        <f>'Yearly Demand - BTX'!N7</f>
        <v>51.832300831890365</v>
      </c>
      <c r="J8" t="s">
        <v>67</v>
      </c>
      <c r="K8" s="6">
        <f>SUM(K3:K7)</f>
        <v>1</v>
      </c>
      <c r="L8" s="6">
        <f>SUM(L3:L7)</f>
        <v>0</v>
      </c>
      <c r="M8" s="43">
        <f>'Yearly Demand - BTX'!N17</f>
        <v>27.181969038530035</v>
      </c>
      <c r="Q8" s="1" t="s">
        <v>845</v>
      </c>
      <c r="T8" s="1" t="s">
        <v>653</v>
      </c>
      <c r="U8" s="1" t="s">
        <v>663</v>
      </c>
      <c r="X8" t="s">
        <v>96</v>
      </c>
      <c r="Y8" s="5" t="s">
        <v>861</v>
      </c>
      <c r="AA8" t="s">
        <v>581</v>
      </c>
      <c r="AE8" t="s">
        <v>67</v>
      </c>
      <c r="AF8" s="384">
        <f>SUM(AF3:AF7)</f>
        <v>1</v>
      </c>
      <c r="AG8" s="262">
        <f>SUM(AG3:AG7)</f>
        <v>1.3606885127476671</v>
      </c>
    </row>
    <row r="9" spans="2:34">
      <c r="B9" t="s">
        <v>862</v>
      </c>
      <c r="I9" t="s">
        <v>96</v>
      </c>
      <c r="J9" s="5" t="s">
        <v>863</v>
      </c>
      <c r="N9" t="s">
        <v>581</v>
      </c>
      <c r="Q9" s="134"/>
      <c r="R9" t="s">
        <v>474</v>
      </c>
      <c r="S9" s="23">
        <v>0.8</v>
      </c>
      <c r="T9" s="44">
        <f>S9*T3</f>
        <v>35.426713101919738</v>
      </c>
      <c r="U9" s="2">
        <f t="shared" ref="U9:U12" si="4">T9/$T$5</f>
        <v>0.78400000000000003</v>
      </c>
      <c r="V9" s="208" t="s">
        <v>864</v>
      </c>
      <c r="W9" t="s">
        <v>581</v>
      </c>
      <c r="AD9" t="s">
        <v>96</v>
      </c>
      <c r="AE9" s="5" t="s">
        <v>865</v>
      </c>
    </row>
    <row r="10" spans="2:34">
      <c r="R10" t="s">
        <v>866</v>
      </c>
      <c r="S10" s="2">
        <f>T10/T13</f>
        <v>0.14831085600793664</v>
      </c>
      <c r="T10" s="44">
        <f>('Demand - Industry shares'!Z132/'Demand - Industry shares'!Z145)*R18</f>
        <v>6.5677076821166249</v>
      </c>
      <c r="U10" s="2">
        <f t="shared" si="4"/>
        <v>0.1453446388877779</v>
      </c>
      <c r="X10" s="1" t="s">
        <v>867</v>
      </c>
      <c r="AA10" s="1" t="s">
        <v>653</v>
      </c>
      <c r="AB10" s="1" t="s">
        <v>663</v>
      </c>
    </row>
    <row r="11" spans="2:34">
      <c r="B11" s="1" t="s">
        <v>666</v>
      </c>
      <c r="D11" s="1" t="s">
        <v>653</v>
      </c>
      <c r="E11" s="1" t="s">
        <v>663</v>
      </c>
      <c r="I11" s="1" t="s">
        <v>858</v>
      </c>
      <c r="L11" s="1" t="s">
        <v>653</v>
      </c>
      <c r="M11" s="1" t="s">
        <v>663</v>
      </c>
      <c r="R11" t="s">
        <v>868</v>
      </c>
      <c r="S11" s="6">
        <f>T11/T13</f>
        <v>2.5844571996031612E-2</v>
      </c>
      <c r="T11" s="44">
        <f>(T13-T10-T9)/2</f>
        <v>1.1444852966816512</v>
      </c>
      <c r="U11" s="2">
        <f t="shared" si="4"/>
        <v>2.5327680556110978E-2</v>
      </c>
      <c r="V11" t="s">
        <v>869</v>
      </c>
      <c r="X11" s="134"/>
      <c r="Y11" t="s">
        <v>870</v>
      </c>
      <c r="Z11" s="286">
        <v>0.14599999999999999</v>
      </c>
      <c r="AA11" s="262">
        <f>Z11*$AA$3</f>
        <v>0.2775108635812254</v>
      </c>
      <c r="AB11" s="2">
        <f>AA11/$AA$7</f>
        <v>6.3801999999999998E-2</v>
      </c>
      <c r="AD11" s="1" t="s">
        <v>867</v>
      </c>
      <c r="AG11" s="1" t="s">
        <v>653</v>
      </c>
      <c r="AH11" s="1" t="s">
        <v>663</v>
      </c>
    </row>
    <row r="12" spans="2:34">
      <c r="B12" t="s">
        <v>668</v>
      </c>
      <c r="C12" s="6">
        <f>'Demand Breakdown - Ethylene'!R14</f>
        <v>0.99</v>
      </c>
      <c r="D12" s="44">
        <f>C12*$E$3</f>
        <v>26.920928571428568</v>
      </c>
      <c r="E12" s="2">
        <f>D12/$E$8</f>
        <v>0.51938517371131609</v>
      </c>
      <c r="I12" s="134"/>
      <c r="J12" t="s">
        <v>745</v>
      </c>
      <c r="K12" s="214">
        <v>0.92</v>
      </c>
      <c r="L12" s="44">
        <f>K12*$M$6</f>
        <v>2.5007411515447635</v>
      </c>
      <c r="M12" s="2">
        <f>L12/$M$8</f>
        <v>9.2000000000000012E-2</v>
      </c>
      <c r="R12" t="s">
        <v>871</v>
      </c>
      <c r="S12" s="41">
        <f>1-S10-S9-S11</f>
        <v>2.5844571996031646E-2</v>
      </c>
      <c r="T12" s="262">
        <f>(T13-T10-T9)/2</f>
        <v>1.1444852966816512</v>
      </c>
      <c r="U12" s="2">
        <f t="shared" si="4"/>
        <v>2.5327680556110978E-2</v>
      </c>
      <c r="Y12" t="s">
        <v>872</v>
      </c>
      <c r="Z12" s="286">
        <f>18%+17.9%</f>
        <v>0.35899999999999999</v>
      </c>
      <c r="AA12" s="262">
        <f t="shared" ref="AA12:AA15" si="5">Z12*$AA$3</f>
        <v>0.68237260291547897</v>
      </c>
      <c r="AB12" s="2">
        <f t="shared" ref="AB12:AB15" si="6">AA12/$AA$7</f>
        <v>0.15688299999999999</v>
      </c>
      <c r="AD12" s="134"/>
      <c r="AE12" t="s">
        <v>873</v>
      </c>
      <c r="AF12" s="286">
        <v>0.35199999999999998</v>
      </c>
      <c r="AG12" s="262">
        <f>AF12*$AA$3</f>
        <v>0.66906728753829692</v>
      </c>
      <c r="AH12" s="2">
        <f>AG12/$AA$7</f>
        <v>0.15382399999999999</v>
      </c>
    </row>
    <row r="13" spans="2:34" ht="16">
      <c r="B13" t="s">
        <v>192</v>
      </c>
      <c r="C13" s="6">
        <f>'Demand Breakdown - Ethylene'!R15</f>
        <v>0.01</v>
      </c>
      <c r="D13" s="44">
        <f>C13*$E$3</f>
        <v>0.27192857142857141</v>
      </c>
      <c r="E13" s="2">
        <f>D13/$E$8</f>
        <v>5.2463148859728899E-3</v>
      </c>
      <c r="J13" s="134" t="s">
        <v>248</v>
      </c>
      <c r="K13" s="214">
        <v>0.08</v>
      </c>
      <c r="L13" s="44">
        <f>K13*$M$6</f>
        <v>0.21745575230824032</v>
      </c>
      <c r="M13" s="2">
        <f>L13/$M$8</f>
        <v>8.0000000000000019E-3</v>
      </c>
      <c r="R13" t="s">
        <v>67</v>
      </c>
      <c r="S13" s="110">
        <f>SUM(S9:S12)</f>
        <v>1</v>
      </c>
      <c r="T13" s="44">
        <f>T3</f>
        <v>44.283391377399667</v>
      </c>
      <c r="Y13" t="s">
        <v>874</v>
      </c>
      <c r="Z13" s="286">
        <f>14%</f>
        <v>0.14000000000000001</v>
      </c>
      <c r="AA13" s="262">
        <f t="shared" si="5"/>
        <v>0.26610630754364084</v>
      </c>
      <c r="AB13" s="2">
        <f t="shared" si="6"/>
        <v>6.1180000000000005E-2</v>
      </c>
      <c r="AE13" t="s">
        <v>872</v>
      </c>
      <c r="AF13" s="286">
        <v>0.221</v>
      </c>
      <c r="AG13" s="262">
        <f t="shared" ref="AG13:AG18" si="7">AF13*$AA$3</f>
        <v>0.42006781405103305</v>
      </c>
      <c r="AH13" s="2">
        <f t="shared" ref="AH13:AH17" si="8">AG13/$AA$7</f>
        <v>9.657700000000001E-2</v>
      </c>
    </row>
    <row r="14" spans="2:34">
      <c r="C14" s="6">
        <f>SUM(C12:C13)</f>
        <v>1</v>
      </c>
      <c r="D14" s="44">
        <f>C14*$E$3</f>
        <v>27.19285714285714</v>
      </c>
      <c r="J14" t="s">
        <v>67</v>
      </c>
      <c r="K14" s="110">
        <f>SUM(K12:K13)</f>
        <v>1</v>
      </c>
      <c r="L14" s="44">
        <f>K14*$E$3</f>
        <v>27.19285714285714</v>
      </c>
      <c r="Q14" t="s">
        <v>875</v>
      </c>
      <c r="S14" t="s">
        <v>581</v>
      </c>
      <c r="Y14" t="s">
        <v>876</v>
      </c>
      <c r="Z14" s="286">
        <v>0.106</v>
      </c>
      <c r="AA14" s="262">
        <f t="shared" si="5"/>
        <v>0.20148048999732804</v>
      </c>
      <c r="AB14" s="2">
        <f t="shared" si="6"/>
        <v>4.6321999999999995E-2</v>
      </c>
      <c r="AE14" t="s">
        <v>877</v>
      </c>
      <c r="AF14" s="286">
        <v>0.18</v>
      </c>
      <c r="AG14" s="262">
        <f t="shared" si="7"/>
        <v>0.3421366811275382</v>
      </c>
      <c r="AH14" s="2">
        <f t="shared" si="8"/>
        <v>7.8659999999999994E-2</v>
      </c>
    </row>
    <row r="15" spans="2:34">
      <c r="I15" t="s">
        <v>96</v>
      </c>
      <c r="J15" t="s">
        <v>878</v>
      </c>
      <c r="K15" s="214"/>
      <c r="L15" s="44"/>
      <c r="Q15" t="s">
        <v>879</v>
      </c>
      <c r="T15" s="56"/>
      <c r="Y15" t="s">
        <v>248</v>
      </c>
      <c r="Z15" s="286">
        <f>1-Z11-Z12-Z13-Z14</f>
        <v>0.249</v>
      </c>
      <c r="AA15" s="262">
        <f t="shared" si="5"/>
        <v>0.47328907555976119</v>
      </c>
      <c r="AB15" s="2">
        <f t="shared" si="6"/>
        <v>0.10881300000000001</v>
      </c>
      <c r="AE15" t="s">
        <v>880</v>
      </c>
      <c r="AF15" s="286">
        <v>0.11899999999999999</v>
      </c>
      <c r="AG15" s="262">
        <f t="shared" si="7"/>
        <v>0.2261903614120947</v>
      </c>
      <c r="AH15" s="2">
        <f t="shared" si="8"/>
        <v>5.2003000000000001E-2</v>
      </c>
    </row>
    <row r="16" spans="2:34">
      <c r="B16" s="1" t="s">
        <v>673</v>
      </c>
      <c r="D16" s="1" t="s">
        <v>653</v>
      </c>
      <c r="E16" s="1" t="s">
        <v>663</v>
      </c>
      <c r="K16" s="214"/>
      <c r="L16" s="44"/>
      <c r="Q16" t="s">
        <v>881</v>
      </c>
      <c r="R16" s="56">
        <f>(12*2+4)/R20-R17</f>
        <v>0.10453827988287212</v>
      </c>
      <c r="T16" s="56"/>
      <c r="Y16" s="127" t="s">
        <v>67</v>
      </c>
      <c r="Z16" s="41">
        <f>SUM(Z11:Z15)</f>
        <v>1</v>
      </c>
      <c r="AA16" s="230">
        <f>Z16*$AA$3</f>
        <v>1.9007593395974345</v>
      </c>
      <c r="AB16" s="2"/>
      <c r="AE16" t="s">
        <v>882</v>
      </c>
      <c r="AF16" s="286">
        <v>7.9000000000000001E-2</v>
      </c>
      <c r="AG16" s="262">
        <f t="shared" si="7"/>
        <v>0.15015998782819734</v>
      </c>
      <c r="AH16" s="2">
        <f t="shared" si="8"/>
        <v>3.4523000000000005E-2</v>
      </c>
    </row>
    <row r="17" spans="2:35">
      <c r="B17" t="s">
        <v>478</v>
      </c>
      <c r="C17" s="6">
        <f>'Demand Breakdown - Ethylene'!R19</f>
        <v>0.59</v>
      </c>
      <c r="D17" s="44">
        <f>C17*$D$12</f>
        <v>15.883347857142855</v>
      </c>
      <c r="E17" s="2">
        <f>D17/$E$8</f>
        <v>0.30643725248967646</v>
      </c>
      <c r="K17" s="41"/>
      <c r="L17" s="44"/>
      <c r="M17" s="522"/>
      <c r="N17" s="134"/>
      <c r="O17" s="134"/>
      <c r="Q17" t="s">
        <v>883</v>
      </c>
      <c r="R17" s="56">
        <f>'Demand - Industry shares'!Z147</f>
        <v>4.1295053450461215E-2</v>
      </c>
      <c r="T17" s="44"/>
      <c r="U17" s="522"/>
      <c r="V17" s="134"/>
      <c r="W17" s="134"/>
      <c r="X17" t="s">
        <v>96</v>
      </c>
      <c r="Y17" t="s">
        <v>884</v>
      </c>
      <c r="AC17" t="s">
        <v>581</v>
      </c>
      <c r="AE17" t="s">
        <v>248</v>
      </c>
      <c r="AF17" s="286">
        <f>1-AF12-AF13-AF14-AF15-AF16</f>
        <v>4.9000000000000057E-2</v>
      </c>
      <c r="AG17" s="262">
        <f t="shared" si="7"/>
        <v>9.3137207640274403E-2</v>
      </c>
      <c r="AH17" s="2">
        <f t="shared" si="8"/>
        <v>2.1413000000000026E-2</v>
      </c>
    </row>
    <row r="18" spans="2:35">
      <c r="B18" t="s">
        <v>192</v>
      </c>
      <c r="C18" s="6">
        <f>'Demand Breakdown - Ethylene'!R20</f>
        <v>0.41000000000000003</v>
      </c>
      <c r="D18" s="44">
        <f>C18*$D$12</f>
        <v>11.037580714285713</v>
      </c>
      <c r="E18" s="2">
        <f>D18/$E$8</f>
        <v>0.21294792122163958</v>
      </c>
      <c r="L18" s="6"/>
      <c r="M18" s="208"/>
      <c r="Q18" t="s">
        <v>885</v>
      </c>
      <c r="R18" s="56">
        <f>(12*8+4+6)/192</f>
        <v>0.55208333333333337</v>
      </c>
      <c r="S18" s="41"/>
      <c r="T18" s="6"/>
      <c r="U18" s="208"/>
      <c r="Y18" s="56"/>
      <c r="AA18" s="56"/>
      <c r="AE18" s="127" t="s">
        <v>67</v>
      </c>
      <c r="AF18" s="41">
        <f>SUM(AF12:AF17)</f>
        <v>0.99999999999999989</v>
      </c>
      <c r="AG18" s="230">
        <f t="shared" si="7"/>
        <v>1.9007593395974343</v>
      </c>
    </row>
    <row r="19" spans="2:35">
      <c r="C19" s="6">
        <f>SUM(C17:C18)</f>
        <v>1</v>
      </c>
      <c r="D19" s="44">
        <f>D12</f>
        <v>26.920928571428568</v>
      </c>
      <c r="L19" s="6"/>
      <c r="Q19" t="s">
        <v>886</v>
      </c>
      <c r="R19" s="55">
        <f>64/R20</f>
        <v>0.33333333333333331</v>
      </c>
      <c r="S19" s="208" t="s">
        <v>887</v>
      </c>
      <c r="T19" s="6"/>
      <c r="Y19" s="56"/>
      <c r="Z19" s="41"/>
      <c r="AA19" s="44"/>
      <c r="AB19" s="522"/>
      <c r="AC19" s="134"/>
      <c r="AD19" t="s">
        <v>96</v>
      </c>
      <c r="AE19" s="5" t="s">
        <v>888</v>
      </c>
      <c r="AF19" s="41"/>
      <c r="AG19" s="44"/>
      <c r="AH19" s="522"/>
      <c r="AI19" t="s">
        <v>857</v>
      </c>
    </row>
    <row r="20" spans="2:35">
      <c r="G20" t="s">
        <v>478</v>
      </c>
      <c r="H20" s="44">
        <f>D17+9*0.14</f>
        <v>17.143347857142857</v>
      </c>
      <c r="I20" s="2">
        <f>H20/$H$25</f>
        <v>0.14778748152709359</v>
      </c>
      <c r="L20" s="5"/>
      <c r="Q20" t="s">
        <v>889</v>
      </c>
      <c r="R20">
        <f>12*10+8+16*4</f>
        <v>192</v>
      </c>
      <c r="T20" s="5"/>
      <c r="Y20" s="55"/>
      <c r="Z20" s="208"/>
      <c r="AA20" s="6"/>
      <c r="AB20" s="208"/>
      <c r="AE20" s="55"/>
      <c r="AF20" s="208"/>
      <c r="AG20" s="6"/>
      <c r="AH20" s="208"/>
    </row>
    <row r="21" spans="2:35">
      <c r="B21" s="178" t="s">
        <v>855</v>
      </c>
      <c r="G21" t="s">
        <v>474</v>
      </c>
      <c r="H21" s="245">
        <f>AA11+T9+T10+9*0.36</f>
        <v>45.511931647617594</v>
      </c>
      <c r="I21" s="2">
        <f t="shared" ref="I21:I24" si="9">H21/$H$25</f>
        <v>0.39234423834153098</v>
      </c>
      <c r="R21" s="6">
        <f>SUM(R16:R19)</f>
        <v>1.03125</v>
      </c>
      <c r="AA21" s="6"/>
      <c r="AG21" s="6"/>
    </row>
    <row r="22" spans="2:35">
      <c r="B22" t="s">
        <v>890</v>
      </c>
      <c r="C22" s="55">
        <v>0.82</v>
      </c>
      <c r="D22">
        <f>'Sankey Methanol_detailed'!H24/('Demand - Industry shares'!Z92*'Demand - Industry shares'!Z93)*K35</f>
        <v>5.7966864710368791</v>
      </c>
      <c r="E22" s="2">
        <f>D22/$E$8</f>
        <v>0.11183540722680801</v>
      </c>
      <c r="G22" t="s">
        <v>745</v>
      </c>
      <c r="H22" s="44">
        <f>D28+L12+9*0.07</f>
        <v>8.637593299029799</v>
      </c>
      <c r="I22" s="2">
        <f t="shared" si="9"/>
        <v>7.4462011198532754E-2</v>
      </c>
      <c r="AA22" s="5"/>
      <c r="AG22" s="5"/>
    </row>
    <row r="23" spans="2:35">
      <c r="B23" t="s">
        <v>248</v>
      </c>
      <c r="C23" s="55">
        <v>0.18</v>
      </c>
      <c r="D23">
        <f>D22*C23/C22</f>
        <v>1.2724433716910222</v>
      </c>
      <c r="E23" s="2">
        <f>D23/$E$8</f>
        <v>2.4549235732713955E-2</v>
      </c>
      <c r="F23" s="2"/>
      <c r="G23" t="s">
        <v>187</v>
      </c>
      <c r="H23" s="44">
        <f>M3+9*0.07</f>
        <v>8.2409513307884108</v>
      </c>
      <c r="I23" s="2">
        <f t="shared" si="9"/>
        <v>7.1042683886106989E-2</v>
      </c>
    </row>
    <row r="24" spans="2:35">
      <c r="B24" t="s">
        <v>67</v>
      </c>
      <c r="C24" s="6">
        <f>SUM(C22:C23)</f>
        <v>1</v>
      </c>
      <c r="D24">
        <f>SUM(D22:D23)</f>
        <v>7.069129842727901</v>
      </c>
      <c r="G24" t="s">
        <v>248</v>
      </c>
      <c r="H24" s="245">
        <f>116-H20-H21-H22-H23</f>
        <v>36.466175865421341</v>
      </c>
      <c r="I24" s="2">
        <f t="shared" si="9"/>
        <v>0.31436358504673573</v>
      </c>
      <c r="Q24" t="s">
        <v>1908</v>
      </c>
      <c r="R24" s="609">
        <f>(U9+U10)*T13/(T5+AA7+AG8)</f>
        <v>0.80857850232194783</v>
      </c>
    </row>
    <row r="25" spans="2:35">
      <c r="B25" t="s">
        <v>96</v>
      </c>
      <c r="C25" t="s">
        <v>891</v>
      </c>
      <c r="E25" t="s">
        <v>581</v>
      </c>
      <c r="G25" t="s">
        <v>67</v>
      </c>
      <c r="H25">
        <v>116</v>
      </c>
    </row>
    <row r="27" spans="2:35" s="1" customFormat="1">
      <c r="B27" s="1" t="s">
        <v>890</v>
      </c>
    </row>
    <row r="28" spans="2:35">
      <c r="B28" t="s">
        <v>745</v>
      </c>
      <c r="C28" s="6">
        <f>'Sankey Methanol_detailed'!G83</f>
        <v>0.95</v>
      </c>
      <c r="D28">
        <f>$D$22*C28</f>
        <v>5.5068521474850352</v>
      </c>
      <c r="E28" s="2">
        <f>D28/$E$8</f>
        <v>0.10624363686546762</v>
      </c>
    </row>
    <row r="29" spans="2:35">
      <c r="B29" t="s">
        <v>248</v>
      </c>
      <c r="C29" s="6">
        <f>1-C28</f>
        <v>5.0000000000000044E-2</v>
      </c>
      <c r="D29">
        <f>$D$22*C29</f>
        <v>0.28983432355184419</v>
      </c>
      <c r="E29" s="2">
        <f>D29/$E$8</f>
        <v>5.5917703613404058E-3</v>
      </c>
    </row>
    <row r="30" spans="2:35">
      <c r="B30" t="s">
        <v>67</v>
      </c>
      <c r="C30" s="6">
        <f>SUM(C28:C29)</f>
        <v>1</v>
      </c>
      <c r="D30">
        <f>SUM(D28:D29)</f>
        <v>5.7966864710368791</v>
      </c>
    </row>
    <row r="32" spans="2:35">
      <c r="B32" t="s">
        <v>879</v>
      </c>
      <c r="J32" t="s">
        <v>892</v>
      </c>
      <c r="K32" s="2">
        <f>(6*12+6)/(6*12+5+14+16*2)</f>
        <v>0.63414634146341464</v>
      </c>
    </row>
    <row r="33" spans="1:11">
      <c r="B33" t="s">
        <v>893</v>
      </c>
      <c r="C33" s="56">
        <f>(12*2+4)/(12*8+10)</f>
        <v>0.26415094339622641</v>
      </c>
      <c r="D33" t="s">
        <v>894</v>
      </c>
      <c r="E33" s="56">
        <f>(12*6+6)/(12*8+10)</f>
        <v>0.73584905660377353</v>
      </c>
      <c r="F33" s="6"/>
      <c r="J33" t="s">
        <v>895</v>
      </c>
      <c r="K33" s="2">
        <f>(6*12+5+14+16*2)/(12*6+5+14+2)</f>
        <v>1.3225806451612903</v>
      </c>
    </row>
    <row r="34" spans="1:11">
      <c r="B34" t="s">
        <v>896</v>
      </c>
      <c r="C34" s="56">
        <f>(12*3+7)/(12*9+13)</f>
        <v>0.35537190082644626</v>
      </c>
      <c r="D34" t="s">
        <v>897</v>
      </c>
      <c r="E34" s="56">
        <f>(12*6+6)/(12*9+13)</f>
        <v>0.64462809917355368</v>
      </c>
      <c r="J34" t="s">
        <v>898</v>
      </c>
      <c r="K34" s="2">
        <f>(12*6+5+14+2)*2/(C40)</f>
        <v>0.74399999999999999</v>
      </c>
    </row>
    <row r="35" spans="1:11">
      <c r="K35" s="2">
        <f>K32*K34*K33</f>
        <v>0.62399999999999989</v>
      </c>
    </row>
    <row r="36" spans="1:11">
      <c r="B36" t="s">
        <v>899</v>
      </c>
      <c r="F36" t="s">
        <v>900</v>
      </c>
    </row>
    <row r="37" spans="1:11">
      <c r="B37" t="s">
        <v>901</v>
      </c>
      <c r="C37" s="51">
        <f>(6*12+4)*2</f>
        <v>152</v>
      </c>
      <c r="D37" s="23">
        <f>C37/$C$40</f>
        <v>0.60799999999999998</v>
      </c>
      <c r="F37" t="s">
        <v>902</v>
      </c>
      <c r="G37">
        <f>12*6+12+3+3</f>
        <v>90</v>
      </c>
      <c r="H37" s="2">
        <f>G37/$G$39</f>
        <v>0.51724137931034486</v>
      </c>
    </row>
    <row r="38" spans="1:11">
      <c r="B38" t="s">
        <v>903</v>
      </c>
      <c r="C38" s="51">
        <f>12+2</f>
        <v>14</v>
      </c>
      <c r="D38" s="2">
        <f t="shared" ref="D38:D39" si="10">C38/$C$40</f>
        <v>5.6000000000000001E-2</v>
      </c>
      <c r="F38" t="s">
        <v>904</v>
      </c>
      <c r="G38">
        <f>(14+12+16)*2</f>
        <v>84</v>
      </c>
      <c r="H38" s="2">
        <f>G38/$G$39</f>
        <v>0.48275862068965519</v>
      </c>
    </row>
    <row r="39" spans="1:11">
      <c r="B39" t="s">
        <v>905</v>
      </c>
      <c r="C39" s="51">
        <f>(14+12+16)*2</f>
        <v>84</v>
      </c>
      <c r="D39" s="2">
        <f t="shared" si="10"/>
        <v>0.33600000000000002</v>
      </c>
      <c r="G39">
        <f>SUM(G37:G38)</f>
        <v>174</v>
      </c>
    </row>
    <row r="40" spans="1:11">
      <c r="C40">
        <f>SUM(C37:C39)</f>
        <v>250</v>
      </c>
    </row>
    <row r="43" spans="1:11" s="193" customFormat="1">
      <c r="A43" s="344"/>
      <c r="B43" s="190" t="s">
        <v>906</v>
      </c>
    </row>
    <row r="45" spans="1:11">
      <c r="B45" t="s">
        <v>907</v>
      </c>
    </row>
    <row r="46" spans="1:11">
      <c r="B46" t="s">
        <v>908</v>
      </c>
      <c r="C46">
        <f>'Demand Breakdown - Propylene'!X16</f>
        <v>5.3275384615384622</v>
      </c>
      <c r="F46" t="s">
        <v>909</v>
      </c>
      <c r="G46">
        <f>D22/K35</f>
        <v>9.2895616523026927</v>
      </c>
    </row>
    <row r="47" spans="1:11">
      <c r="B47" t="s">
        <v>910</v>
      </c>
      <c r="C47">
        <f>'Demand Breakdown - Ethylene'!I19</f>
        <v>0.68330769230769228</v>
      </c>
      <c r="F47" t="s">
        <v>911</v>
      </c>
      <c r="G47">
        <f>M6/H37</f>
        <v>5.2551806807824741</v>
      </c>
    </row>
    <row r="48" spans="1:11">
      <c r="C48">
        <f>SUM(C46:C47)/0.9</f>
        <v>6.6787179487179493</v>
      </c>
      <c r="D48" t="s">
        <v>912</v>
      </c>
      <c r="E48" t="s">
        <v>581</v>
      </c>
      <c r="G48">
        <f>SUM(G46:G47)/0.9</f>
        <v>16.160824814539076</v>
      </c>
      <c r="H48" t="s">
        <v>913</v>
      </c>
      <c r="I48" t="s">
        <v>581</v>
      </c>
    </row>
    <row r="50" spans="1:8">
      <c r="B50" t="s">
        <v>914</v>
      </c>
      <c r="D50">
        <v>22.5</v>
      </c>
      <c r="E50" t="s">
        <v>704</v>
      </c>
      <c r="F50" s="524" t="s">
        <v>915</v>
      </c>
      <c r="G50" s="525">
        <f>D28/D51</f>
        <v>0.24111043747969202</v>
      </c>
    </row>
    <row r="51" spans="1:8">
      <c r="B51" t="s">
        <v>916</v>
      </c>
      <c r="D51" s="44">
        <f>C48+G48</f>
        <v>22.839542763257025</v>
      </c>
      <c r="E51" t="s">
        <v>704</v>
      </c>
      <c r="F51" s="524" t="s">
        <v>917</v>
      </c>
      <c r="G51" s="525">
        <f>L12/D51</f>
        <v>0.10949173446535959</v>
      </c>
    </row>
    <row r="53" spans="1:8" s="190" customFormat="1">
      <c r="A53" s="189"/>
      <c r="B53" s="190" t="s">
        <v>918</v>
      </c>
    </row>
    <row r="55" spans="1:8">
      <c r="C55" s="1" t="s">
        <v>7</v>
      </c>
      <c r="D55" s="1" t="s">
        <v>919</v>
      </c>
      <c r="E55" s="1" t="s">
        <v>823</v>
      </c>
      <c r="F55" s="1" t="s">
        <v>824</v>
      </c>
      <c r="G55" s="1" t="s">
        <v>825</v>
      </c>
      <c r="H55" s="1" t="s">
        <v>9</v>
      </c>
    </row>
    <row r="56" spans="1:8">
      <c r="B56" t="s">
        <v>474</v>
      </c>
      <c r="C56" s="2">
        <f>0%</f>
        <v>0</v>
      </c>
      <c r="D56" s="2">
        <f>0</f>
        <v>0</v>
      </c>
      <c r="E56" s="2">
        <f>U9+U10</f>
        <v>0.92934463888777796</v>
      </c>
      <c r="F56" s="2">
        <v>0</v>
      </c>
      <c r="G56" s="2">
        <v>0</v>
      </c>
      <c r="H56" s="2">
        <f>(E56*$T$5+$AA$7*F56+$AG$8*G56)/($T$5+$AA$7+$AG$8)</f>
        <v>0.82508010441015089</v>
      </c>
    </row>
    <row r="57" spans="1:8">
      <c r="B57" t="s">
        <v>745</v>
      </c>
      <c r="C57" s="2">
        <f>E28</f>
        <v>0.10624363686546762</v>
      </c>
      <c r="D57" s="2">
        <f>M12</f>
        <v>9.2000000000000012E-2</v>
      </c>
      <c r="E57" s="2">
        <f>0</f>
        <v>0</v>
      </c>
      <c r="F57" s="2">
        <v>0</v>
      </c>
      <c r="G57" s="2">
        <v>0</v>
      </c>
      <c r="H57" s="2">
        <f t="shared" ref="H57:H62" si="11">(E57*$T$5+$AA$7*F57+$AG$8*G57)/($T$5+$AA$7+$AG$8)</f>
        <v>0</v>
      </c>
    </row>
    <row r="58" spans="1:8">
      <c r="B58" t="s">
        <v>478</v>
      </c>
      <c r="C58" s="2">
        <f>E17</f>
        <v>0.30643725248967646</v>
      </c>
      <c r="D58" s="2">
        <f>0</f>
        <v>0</v>
      </c>
      <c r="E58" s="2">
        <f>0</f>
        <v>0</v>
      </c>
      <c r="F58" s="2">
        <v>0</v>
      </c>
      <c r="G58" s="2">
        <v>0</v>
      </c>
      <c r="H58" s="2">
        <f t="shared" si="11"/>
        <v>0</v>
      </c>
    </row>
    <row r="59" spans="1:8">
      <c r="B59" t="s">
        <v>740</v>
      </c>
      <c r="C59" s="2">
        <f>E18</f>
        <v>0.21294792122163958</v>
      </c>
      <c r="D59" s="2">
        <f>0</f>
        <v>0</v>
      </c>
      <c r="E59" s="2">
        <f>U11</f>
        <v>2.5327680556110978E-2</v>
      </c>
      <c r="F59" s="2">
        <f>AB11+AB12+AB13+AB14</f>
        <v>0.32818699999999995</v>
      </c>
      <c r="G59" s="2">
        <f>AH12+AH13+AH14+AH15</f>
        <v>0.38106400000000001</v>
      </c>
      <c r="H59" s="2">
        <f t="shared" si="11"/>
        <v>6.0719522045628395E-2</v>
      </c>
    </row>
    <row r="60" spans="1:8">
      <c r="B60" t="s">
        <v>187</v>
      </c>
      <c r="C60" s="2">
        <v>0</v>
      </c>
      <c r="D60" s="2">
        <f>L3</f>
        <v>0</v>
      </c>
      <c r="E60" s="2">
        <v>0</v>
      </c>
      <c r="F60" s="2">
        <v>0</v>
      </c>
      <c r="G60" s="2">
        <v>0</v>
      </c>
      <c r="H60" s="2">
        <f t="shared" si="11"/>
        <v>0</v>
      </c>
    </row>
    <row r="61" spans="1:8">
      <c r="B61" t="s">
        <v>920</v>
      </c>
      <c r="C61" s="2">
        <f>0</f>
        <v>0</v>
      </c>
      <c r="D61" s="2">
        <f>K4</f>
        <v>0.22</v>
      </c>
      <c r="E61" s="2">
        <f>0</f>
        <v>0</v>
      </c>
      <c r="F61" s="2">
        <f>Z5</f>
        <v>0.187</v>
      </c>
      <c r="G61" s="2">
        <f>0</f>
        <v>0</v>
      </c>
      <c r="H61" s="2">
        <f t="shared" si="11"/>
        <v>1.5980553669687751E-2</v>
      </c>
    </row>
    <row r="62" spans="1:8">
      <c r="B62" t="s">
        <v>248</v>
      </c>
      <c r="C62" s="2">
        <f>1-C56-C57-C58-C59-C60-C61</f>
        <v>0.3743711894232164</v>
      </c>
      <c r="D62" s="2">
        <f t="shared" ref="D62:G62" si="12">1-D56-D57-D58-D59-D60-D61</f>
        <v>0.68800000000000006</v>
      </c>
      <c r="E62" s="2">
        <f t="shared" si="12"/>
        <v>4.5327680556111055E-2</v>
      </c>
      <c r="F62" s="2">
        <f t="shared" si="12"/>
        <v>0.48481299999999999</v>
      </c>
      <c r="G62" s="2">
        <f t="shared" si="12"/>
        <v>0.61893599999999993</v>
      </c>
      <c r="H62" s="2">
        <f t="shared" si="11"/>
        <v>9.8219819874533043E-2</v>
      </c>
    </row>
    <row r="63" spans="1:8">
      <c r="B63" s="1" t="s">
        <v>67</v>
      </c>
      <c r="C63" s="124">
        <f>SUM(C56:C62)</f>
        <v>1</v>
      </c>
      <c r="D63" s="124">
        <f t="shared" ref="D63:H63" si="13">SUM(D56:D62)</f>
        <v>1</v>
      </c>
      <c r="E63" s="124">
        <f t="shared" si="13"/>
        <v>1</v>
      </c>
      <c r="F63" s="124">
        <f t="shared" si="13"/>
        <v>1</v>
      </c>
      <c r="G63" s="124">
        <f t="shared" si="13"/>
        <v>1</v>
      </c>
      <c r="H63" s="124">
        <f t="shared" si="13"/>
        <v>1</v>
      </c>
    </row>
    <row r="65" spans="2:21">
      <c r="B65" t="s">
        <v>921</v>
      </c>
      <c r="C65" s="2">
        <f>C59*E8/('Demand - Industry shares'!$I$13*'Demand - Industry shares'!$L$14)</f>
        <v>0.46084339778979583</v>
      </c>
      <c r="D65" s="2">
        <f>D59*M8/('Demand - Industry shares'!$I$13*'Demand - Industry shares'!$L$14)</f>
        <v>0</v>
      </c>
      <c r="E65" s="2">
        <f>E59*T5/('Demand - Industry shares'!$I$13*'Demand - Industry shares'!$L$14)</f>
        <v>4.7784791477048484E-2</v>
      </c>
      <c r="F65" s="2">
        <f>F59*AA7/('Demand - Industry shares'!$I$13*'Demand - Industry shares'!$L$14)</f>
        <v>5.9600039515143859E-2</v>
      </c>
      <c r="G65" s="2">
        <f>G59*AG7/('Demand - Industry shares'!$I$13*'Demand - Industry shares'!$L$14)</f>
        <v>1.1533784832935073E-2</v>
      </c>
    </row>
    <row r="66" spans="2:21">
      <c r="E66" s="761">
        <f>(E65*T5+F65*AA7+G65*AG7)/SUM(AG7,AA7,T5)</f>
        <v>4.8284413807593567E-2</v>
      </c>
      <c r="F66" s="761"/>
      <c r="G66" s="761"/>
    </row>
    <row r="68" spans="2:21" ht="16" thickBot="1"/>
    <row r="69" spans="2:21">
      <c r="B69" s="31" t="s">
        <v>922</v>
      </c>
      <c r="C69" s="31" t="s">
        <v>478</v>
      </c>
      <c r="D69" s="31" t="s">
        <v>474</v>
      </c>
      <c r="E69" s="31" t="s">
        <v>676</v>
      </c>
      <c r="F69" s="31" t="s">
        <v>745</v>
      </c>
      <c r="G69" s="31" t="s">
        <v>248</v>
      </c>
      <c r="H69" s="31"/>
      <c r="I69" s="31"/>
      <c r="J69" s="34" t="s">
        <v>67</v>
      </c>
      <c r="K69" s="37" t="s">
        <v>603</v>
      </c>
      <c r="L69" s="37" t="s">
        <v>46</v>
      </c>
      <c r="M69" s="92" t="s">
        <v>604</v>
      </c>
      <c r="N69" s="95" t="s">
        <v>67</v>
      </c>
      <c r="P69" s="162" t="s">
        <v>693</v>
      </c>
      <c r="U69" s="1" t="s">
        <v>694</v>
      </c>
    </row>
    <row r="70" spans="2:21">
      <c r="B70" t="s">
        <v>309</v>
      </c>
      <c r="C70" s="2">
        <f>'Demand - Industry shares'!E97/'Demand - Industry shares'!E$104*('Demand - Industry shares'!$E$104/'Demand - Industry shares'!$K$104)</f>
        <v>0.17654689009954674</v>
      </c>
      <c r="D70" s="2">
        <v>0</v>
      </c>
      <c r="E70" s="2">
        <v>0</v>
      </c>
      <c r="F70" s="2">
        <f>'Demand - Industry shares'!I97/'Demand - Industry shares'!I$104*('Demand - Industry shares'!$I$104/'Demand - Industry shares'!$K$104)</f>
        <v>9.3049569217995929E-3</v>
      </c>
      <c r="G70" s="2">
        <f>'Demand - Industry shares'!J97/'Demand - Industry shares'!J$104*('Demand - Industry shares'!$J$104/'Demand - Industry shares'!$K$104)</f>
        <v>1.1257018655136664E-3</v>
      </c>
      <c r="H70" s="214"/>
      <c r="I70" s="2"/>
      <c r="J70" s="35">
        <f>SUM(C70:I70)</f>
        <v>0.18697754888686</v>
      </c>
      <c r="K70" s="505">
        <f>'Yearly Demand - BTX'!$N$16*'Demand Breakdown - BTX'!J70</f>
        <v>7.8426966561118325</v>
      </c>
      <c r="L70" s="571">
        <f>$L$77</f>
        <v>1.0955353563799175E-2</v>
      </c>
      <c r="M70" s="93">
        <f>K70*(1+L70)^30</f>
        <v>10.874885936166345</v>
      </c>
      <c r="N70" s="96">
        <f>M70/M$77</f>
        <v>0.18697754888686</v>
      </c>
      <c r="P70" s="54" t="s">
        <v>923</v>
      </c>
    </row>
    <row r="71" spans="2:21">
      <c r="B71" t="s">
        <v>310</v>
      </c>
      <c r="C71" s="2">
        <f>'Demand - Industry shares'!E98/'Demand - Industry shares'!E$104*('Demand - Industry shares'!$E$104/'Demand - Industry shares'!$K$104)</f>
        <v>0.16887093835608824</v>
      </c>
      <c r="D71" s="2">
        <v>0</v>
      </c>
      <c r="E71" s="2">
        <v>0</v>
      </c>
      <c r="F71" s="2">
        <f>'Demand - Industry shares'!I98/'Demand - Industry shares'!I$104*('Demand - Industry shares'!$I$104/'Demand - Industry shares'!$K$104)</f>
        <v>0.11165948306159511</v>
      </c>
      <c r="G71" s="2">
        <f>'Demand - Industry shares'!J98/'Demand - Industry shares'!J$104*('Demand - Industry shares'!$J$104/'Demand - Industry shares'!$K$104)</f>
        <v>5.6285093275683313E-3</v>
      </c>
      <c r="H71" s="286"/>
      <c r="I71" s="2"/>
      <c r="J71" s="35">
        <f>SUM(C71:I71)</f>
        <v>0.28615893074525167</v>
      </c>
      <c r="K71" s="505">
        <f>'Yearly Demand - BTX'!$N$16*'Demand Breakdown - BTX'!J71</f>
        <v>12.002819069097551</v>
      </c>
      <c r="L71" s="571">
        <f t="shared" ref="L71:L76" si="14">$L$77</f>
        <v>1.0955353563799175E-2</v>
      </c>
      <c r="M71" s="93">
        <f t="shared" ref="M71:M76" si="15">K71*(1+L71)^30</f>
        <v>16.643419223304573</v>
      </c>
      <c r="N71" s="96">
        <f t="shared" ref="N71:N76" si="16">M71/M$77</f>
        <v>0.28615893074525162</v>
      </c>
      <c r="P71" s="54" t="s">
        <v>924</v>
      </c>
      <c r="U71" s="176" t="s">
        <v>697</v>
      </c>
    </row>
    <row r="72" spans="2:21">
      <c r="B72" t="s">
        <v>370</v>
      </c>
      <c r="C72" s="2">
        <f>'Demand - Industry shares'!E99/'Demand - Industry shares'!E$104*('Demand - Industry shares'!$E$104/'Demand - Industry shares'!$K$104)</f>
        <v>0</v>
      </c>
      <c r="D72" s="2">
        <v>0</v>
      </c>
      <c r="E72" s="2">
        <v>0</v>
      </c>
      <c r="F72" s="2">
        <f>'Demand - Industry shares'!I99/'Demand - Industry shares'!I$104*('Demand - Industry shares'!$I$104/'Demand - Industry shares'!$K$104)</f>
        <v>3.7219827687198372E-2</v>
      </c>
      <c r="G72" s="2">
        <f>'Demand - Industry shares'!J99/'Demand - Industry shares'!J$104*('Demand - Industry shares'!$J$104/'Demand - Industry shares'!$K$104)</f>
        <v>2.476544104130066E-2</v>
      </c>
      <c r="H72" s="286"/>
      <c r="I72" s="2"/>
      <c r="J72" s="35">
        <f t="shared" ref="J72:J76" si="17">SUM(C72:I72)</f>
        <v>6.1985268728499035E-2</v>
      </c>
      <c r="K72" s="505">
        <f>'Yearly Demand - BTX'!$N$16*'Demand Breakdown - BTX'!J72</f>
        <v>2.5999466924200121</v>
      </c>
      <c r="L72" s="571">
        <f t="shared" si="14"/>
        <v>1.0955353563799175E-2</v>
      </c>
      <c r="M72" s="93">
        <f t="shared" si="15"/>
        <v>3.6051532986611821</v>
      </c>
      <c r="N72" s="96">
        <f t="shared" si="16"/>
        <v>6.1985268728499042E-2</v>
      </c>
      <c r="P72" s="54" t="s">
        <v>924</v>
      </c>
    </row>
    <row r="73" spans="2:21">
      <c r="B73" t="s">
        <v>312</v>
      </c>
      <c r="C73" s="2">
        <f>'Demand - Industry shares'!E100/'Demand - Industry shares'!E$104*('Demand - Industry shares'!$E$104/'Demand - Industry shares'!$K$104)</f>
        <v>4.605571046075134E-2</v>
      </c>
      <c r="D73" s="2">
        <v>0</v>
      </c>
      <c r="E73" s="2">
        <v>0</v>
      </c>
      <c r="F73" s="2">
        <f>'Demand - Industry shares'!I100/'Demand - Industry shares'!I$104*('Demand - Industry shares'!$I$104/'Demand - Industry shares'!$K$104)</f>
        <v>1.8609913843599186E-2</v>
      </c>
      <c r="G73" s="2">
        <f>'Demand - Industry shares'!J100/'Demand - Industry shares'!J$104*('Demand - Industry shares'!$J$104/'Demand - Industry shares'!$K$104)</f>
        <v>1.1257018655136663E-2</v>
      </c>
      <c r="H73" s="286"/>
      <c r="I73" s="2"/>
      <c r="J73" s="35">
        <f t="shared" si="17"/>
        <v>7.5922642959487183E-2</v>
      </c>
      <c r="K73" s="505">
        <f>'Yearly Demand - BTX'!$N$16*'Demand Breakdown - BTX'!J73</f>
        <v>3.1845441423656808</v>
      </c>
      <c r="L73" s="571">
        <f t="shared" si="14"/>
        <v>1.0955353563799175E-2</v>
      </c>
      <c r="M73" s="93">
        <f t="shared" si="15"/>
        <v>4.4157712360231356</v>
      </c>
      <c r="N73" s="96">
        <f t="shared" si="16"/>
        <v>7.5922642959487197E-2</v>
      </c>
      <c r="P73" s="54" t="s">
        <v>698</v>
      </c>
    </row>
    <row r="74" spans="2:21">
      <c r="B74" t="s">
        <v>313</v>
      </c>
      <c r="C74" s="2">
        <f>'Demand - Industry shares'!E101/'Demand - Industry shares'!E$104*('Demand - Industry shares'!$E$104/'Demand - Industry shares'!$K$104)</f>
        <v>0.13816713138225398</v>
      </c>
      <c r="D74" s="2">
        <v>0</v>
      </c>
      <c r="E74" s="2">
        <v>0</v>
      </c>
      <c r="F74" s="2">
        <f>'Demand - Industry shares'!I101/'Demand - Industry shares'!I$104*('Demand - Industry shares'!$I$104/'Demand - Industry shares'!$K$104)</f>
        <v>4.6524784608997963E-2</v>
      </c>
      <c r="G74" s="2">
        <f>'Demand - Industry shares'!J101/'Demand - Industry shares'!J$104*('Demand - Industry shares'!$J$104/'Demand - Industry shares'!$K$104)</f>
        <v>2.2514037310273328E-3</v>
      </c>
      <c r="H74" s="286"/>
      <c r="I74" s="2"/>
      <c r="J74" s="35">
        <f>SUM(C74:I74)</f>
        <v>0.18694331972227929</v>
      </c>
      <c r="K74" s="505">
        <f>'Yearly Demand - BTX'!$N$16*'Demand Breakdown - BTX'!J74</f>
        <v>7.8412609278321712</v>
      </c>
      <c r="L74" s="571">
        <f t="shared" si="14"/>
        <v>1.0955353563799175E-2</v>
      </c>
      <c r="M74" s="93">
        <f t="shared" si="15"/>
        <v>10.872895118216695</v>
      </c>
      <c r="N74" s="96">
        <f t="shared" si="16"/>
        <v>0.18694331972227929</v>
      </c>
      <c r="P74" s="54" t="s">
        <v>923</v>
      </c>
      <c r="U74" s="176"/>
    </row>
    <row r="75" spans="2:21">
      <c r="B75" t="s">
        <v>320</v>
      </c>
      <c r="C75" s="2">
        <f>'Demand - Industry shares'!E102/'Demand - Industry shares'!E$104*('Demand - Industry shares'!$E$104/'Demand - Industry shares'!$K$104)</f>
        <v>0</v>
      </c>
      <c r="D75" s="2">
        <v>0</v>
      </c>
      <c r="E75" s="6">
        <f>'Demand - Industry shares'!L102/'Demand - Industry shares'!L104</f>
        <v>0</v>
      </c>
      <c r="F75" s="2">
        <f>'Demand - Industry shares'!I102/'Demand - Industry shares'!I$104*('Demand - Industry shares'!$I$104/'Demand - Industry shares'!$K$104)</f>
        <v>0</v>
      </c>
      <c r="G75" s="2">
        <f>'Demand - Industry shares'!J102/'Demand - Industry shares'!J$104*('Demand - Industry shares'!$J$104/'Demand - Industry shares'!$K$104)</f>
        <v>0</v>
      </c>
      <c r="H75" s="286"/>
      <c r="I75" s="23"/>
      <c r="J75" s="35">
        <f>SUM(C75:I75)</f>
        <v>0</v>
      </c>
      <c r="K75" s="505">
        <f>'Yearly Demand - BTX'!$N$16*'Demand Breakdown - BTX'!J75</f>
        <v>0</v>
      </c>
      <c r="L75" s="571">
        <f t="shared" si="14"/>
        <v>1.0955353563799175E-2</v>
      </c>
      <c r="M75" s="93">
        <f t="shared" si="15"/>
        <v>0</v>
      </c>
      <c r="N75" s="96">
        <f t="shared" si="16"/>
        <v>0</v>
      </c>
      <c r="P75" s="54" t="s">
        <v>925</v>
      </c>
      <c r="U75" s="176" t="s">
        <v>701</v>
      </c>
    </row>
    <row r="76" spans="2:21">
      <c r="B76" t="s">
        <v>248</v>
      </c>
      <c r="C76" s="2">
        <f>'Demand - Industry shares'!E103/'Demand - Industry shares'!E$104*('Demand - Industry shares'!$E$104/'Demand - Industry shares'!$K$104)</f>
        <v>5.3731662204209898E-2</v>
      </c>
      <c r="D76" s="2">
        <v>0</v>
      </c>
      <c r="E76" s="2">
        <v>0</v>
      </c>
      <c r="F76" s="2">
        <f>'Demand - Industry shares'!I103/'Demand - Industry shares'!I$104*('Demand - Industry shares'!$I$104/'Demand - Industry shares'!$K$104)</f>
        <v>0.13026939690519429</v>
      </c>
      <c r="G76" s="2">
        <f>'Demand - Industry shares'!J103/'Demand - Industry shares'!J$104*('Demand - Industry shares'!$J$104/'Demand - Industry shares'!$K$104)</f>
        <v>1.8011229848218662E-2</v>
      </c>
      <c r="H76" s="286"/>
      <c r="I76" s="2"/>
      <c r="J76" s="35">
        <f t="shared" si="17"/>
        <v>0.20201228895762283</v>
      </c>
      <c r="K76" s="505">
        <f>'Yearly Demand - BTX'!$N$16*'Demand Breakdown - BTX'!J76</f>
        <v>8.4733226664561609</v>
      </c>
      <c r="L76" s="571">
        <f t="shared" si="14"/>
        <v>1.0955353563799175E-2</v>
      </c>
      <c r="M76" s="93">
        <f t="shared" si="15"/>
        <v>11.749328265327422</v>
      </c>
      <c r="N76" s="96">
        <f t="shared" si="16"/>
        <v>0.2020122889576228</v>
      </c>
      <c r="P76" s="54" t="s">
        <v>698</v>
      </c>
      <c r="U76" s="176" t="s">
        <v>699</v>
      </c>
    </row>
    <row r="77" spans="2:21" ht="16" thickBot="1">
      <c r="B77" s="32" t="s">
        <v>67</v>
      </c>
      <c r="C77" s="33">
        <f>SUM(C70:C76)</f>
        <v>0.58337233250285014</v>
      </c>
      <c r="D77" s="33">
        <f>SUM(D70:D76)</f>
        <v>0</v>
      </c>
      <c r="E77" s="33">
        <f t="shared" ref="E77:G77" si="18">SUM(E70:E76)</f>
        <v>0</v>
      </c>
      <c r="F77" s="33">
        <f t="shared" si="18"/>
        <v>0.35358836302838453</v>
      </c>
      <c r="G77" s="33">
        <f t="shared" si="18"/>
        <v>6.3039304468765323E-2</v>
      </c>
      <c r="H77" s="287"/>
      <c r="I77" s="33"/>
      <c r="J77" s="285">
        <f>SUM(C77:I77)</f>
        <v>1</v>
      </c>
      <c r="K77" s="39">
        <f>SUM(K70:K76)</f>
        <v>41.944590154283411</v>
      </c>
      <c r="L77" s="42">
        <f>'Yearly Demand - BTX'!AT3</f>
        <v>1.0955353563799175E-2</v>
      </c>
      <c r="M77" s="94">
        <f>K77*(1+L77)^30</f>
        <v>58.161453077699356</v>
      </c>
      <c r="N77" s="97">
        <f>SUM(N70:N76)</f>
        <v>0.99999999999999989</v>
      </c>
    </row>
    <row r="78" spans="2:21" ht="17" thickTop="1" thickBot="1">
      <c r="M78" s="491">
        <f>SUM(M70:M76)</f>
        <v>58.161453077699356</v>
      </c>
    </row>
    <row r="79" spans="2:21">
      <c r="B79" s="31" t="s">
        <v>926</v>
      </c>
      <c r="C79" s="31" t="s">
        <v>478</v>
      </c>
      <c r="D79" s="31" t="s">
        <v>474</v>
      </c>
      <c r="E79" s="31" t="s">
        <v>676</v>
      </c>
      <c r="F79" s="31" t="s">
        <v>745</v>
      </c>
      <c r="G79" s="31" t="s">
        <v>248</v>
      </c>
      <c r="H79" s="31"/>
      <c r="I79" s="31"/>
      <c r="J79" s="34" t="s">
        <v>67</v>
      </c>
      <c r="K79" s="37" t="s">
        <v>603</v>
      </c>
      <c r="L79" s="37" t="s">
        <v>46</v>
      </c>
      <c r="M79" s="92" t="s">
        <v>604</v>
      </c>
      <c r="N79" s="95" t="s">
        <v>67</v>
      </c>
      <c r="P79" s="162" t="s">
        <v>693</v>
      </c>
      <c r="U79" s="1" t="s">
        <v>694</v>
      </c>
    </row>
    <row r="80" spans="2:21">
      <c r="B80" t="s">
        <v>309</v>
      </c>
      <c r="C80" s="2">
        <f>'Demand - Industry shares'!E111/'Demand - Industry shares'!E$118*('Demand - Industry shares'!$E$118/('Demand - Industry shares'!$K$118))</f>
        <v>4.8211315000705787E-2</v>
      </c>
      <c r="D80" s="2">
        <f>'Demand - Industry shares'!G111/'Demand - Industry shares'!G$118*('Demand - Industry shares'!$G$118/('Demand - Industry shares'!$K$118))</f>
        <v>0.24085943138941798</v>
      </c>
      <c r="E80" s="2">
        <v>0</v>
      </c>
      <c r="F80" s="2">
        <f>'Demand - Industry shares'!I111/'Demand - Industry shares'!I$118*('Demand - Industry shares'!I$118/('Demand - Industry shares'!$K$118))</f>
        <v>1.2923144812460485E-2</v>
      </c>
      <c r="G80" s="2">
        <f>'Demand - Industry shares'!J111/'Demand - Industry shares'!J$118*('Demand - Industry shares'!J$118/('Demand - Industry shares'!$K$118))</f>
        <v>1.9420377111019308E-3</v>
      </c>
      <c r="H80" s="214"/>
      <c r="I80" s="2"/>
      <c r="J80" s="35">
        <f>K80/$K$87</f>
        <v>0.18859310311684635</v>
      </c>
      <c r="K80" s="505">
        <f>'Demand - Industry shares'!L111</f>
        <v>3.690958960657742</v>
      </c>
      <c r="L80" s="571">
        <f>$L$77</f>
        <v>1.0955353563799175E-2</v>
      </c>
      <c r="M80" s="575">
        <f>K80*(1+L80)^30</f>
        <v>5.1179791151228313</v>
      </c>
      <c r="N80" s="96">
        <f>M80/M$87</f>
        <v>0.18859310311684632</v>
      </c>
      <c r="P80" s="54" t="s">
        <v>695</v>
      </c>
    </row>
    <row r="81" spans="2:21">
      <c r="B81" t="s">
        <v>310</v>
      </c>
      <c r="C81" s="2">
        <f>'Demand - Industry shares'!E112/'Demand - Industry shares'!E$118*('Demand - Industry shares'!$E$118/('Demand - Industry shares'!$K$118))</f>
        <v>4.6115170870240321E-2</v>
      </c>
      <c r="D81" s="2">
        <f>'Demand - Industry shares'!G112/'Demand - Industry shares'!G$118*('Demand - Industry shares'!$G$118/('Demand - Industry shares'!$K$118))</f>
        <v>0</v>
      </c>
      <c r="E81" s="2">
        <v>0</v>
      </c>
      <c r="F81" s="2">
        <f>'Demand - Industry shares'!I112/'Demand - Industry shares'!I$118*('Demand - Industry shares'!I$118/('Demand - Industry shares'!$K$118))</f>
        <v>0.15507773774952582</v>
      </c>
      <c r="G81" s="2">
        <f>'Demand - Industry shares'!J112/'Demand - Industry shares'!J$118*('Demand - Industry shares'!J$118/('Demand - Industry shares'!$K$118))</f>
        <v>9.710188555509652E-3</v>
      </c>
      <c r="H81" s="286"/>
      <c r="I81" s="2"/>
      <c r="J81" s="35">
        <f t="shared" ref="J81:J86" si="19">K81/$K$87</f>
        <v>0.13086596801964334</v>
      </c>
      <c r="K81" s="505">
        <f>'Demand - Industry shares'!L112</f>
        <v>2.5611801774531888</v>
      </c>
      <c r="L81" s="571">
        <f t="shared" ref="L81:L86" si="20">$L$77</f>
        <v>1.0955353563799175E-2</v>
      </c>
      <c r="M81" s="575">
        <f t="shared" ref="M81:M86" si="21">K81*(1+L81)^30</f>
        <v>3.5513986467993957</v>
      </c>
      <c r="N81" s="96">
        <f t="shared" ref="N81:N86" si="22">M81/M$87</f>
        <v>0.13086596801964334</v>
      </c>
      <c r="P81" s="54" t="s">
        <v>696</v>
      </c>
      <c r="U81" s="176" t="s">
        <v>697</v>
      </c>
    </row>
    <row r="82" spans="2:21">
      <c r="B82" t="s">
        <v>370</v>
      </c>
      <c r="C82" s="2">
        <f>'Demand - Industry shares'!E113/'Demand - Industry shares'!E$118*('Demand - Industry shares'!$E$118/('Demand - Industry shares'!$K$118))</f>
        <v>0</v>
      </c>
      <c r="D82" s="2">
        <f>'Demand - Industry shares'!G113/'Demand - Industry shares'!G$118*('Demand - Industry shares'!$G$118/('Demand - Industry shares'!$K$118))</f>
        <v>0</v>
      </c>
      <c r="E82" s="2">
        <v>0</v>
      </c>
      <c r="F82" s="2">
        <f>'Demand - Industry shares'!I113/'Demand - Industry shares'!I$118*('Demand - Industry shares'!I$118/('Demand - Industry shares'!$K$118))</f>
        <v>5.1692579249841941E-2</v>
      </c>
      <c r="G82" s="2">
        <f>'Demand - Industry shares'!J113/'Demand - Industry shares'!J$118*('Demand - Industry shares'!J$118/('Demand - Industry shares'!$K$118))</f>
        <v>4.2724829644242478E-2</v>
      </c>
      <c r="H82" s="286"/>
      <c r="I82" s="2"/>
      <c r="J82" s="35">
        <f t="shared" si="19"/>
        <v>5.8586269136493924E-2</v>
      </c>
      <c r="K82" s="505">
        <f>'Demand - Industry shares'!L113</f>
        <v>1.1465929107008392</v>
      </c>
      <c r="L82" s="571">
        <f t="shared" si="20"/>
        <v>1.0955353563799175E-2</v>
      </c>
      <c r="M82" s="575">
        <f t="shared" si="21"/>
        <v>1.5898953721959164</v>
      </c>
      <c r="N82" s="96">
        <f t="shared" si="22"/>
        <v>5.8586269136493931E-2</v>
      </c>
      <c r="P82" s="54" t="s">
        <v>696</v>
      </c>
    </row>
    <row r="83" spans="2:21">
      <c r="B83" t="s">
        <v>312</v>
      </c>
      <c r="C83" s="2">
        <f>'Demand - Industry shares'!E114/'Demand - Industry shares'!E$118*('Demand - Industry shares'!$E$118/('Demand - Industry shares'!$K$118))</f>
        <v>1.2576864782792815E-2</v>
      </c>
      <c r="D83" s="2">
        <f>'Demand - Industry shares'!G114/'Demand - Industry shares'!G$118*('Demand - Industry shares'!$G$118/('Demand - Industry shares'!$K$118))</f>
        <v>0</v>
      </c>
      <c r="E83" s="2">
        <v>0</v>
      </c>
      <c r="F83" s="2">
        <f>'Demand - Industry shares'!I114/'Demand - Industry shares'!I$118*('Demand - Industry shares'!I$118/('Demand - Industry shares'!$K$118))</f>
        <v>2.5846289624920971E-2</v>
      </c>
      <c r="G83" s="2">
        <f>'Demand - Industry shares'!J114/'Demand - Industry shares'!J$118*('Demand - Industry shares'!J$118/('Demand - Industry shares'!$K$118))</f>
        <v>1.9420377111019304E-2</v>
      </c>
      <c r="H83" s="286"/>
      <c r="I83" s="2"/>
      <c r="J83" s="35">
        <f t="shared" si="19"/>
        <v>3.5892074830853452E-2</v>
      </c>
      <c r="K83" s="505">
        <f>'Demand - Industry shares'!L114</f>
        <v>0.7024444320822204</v>
      </c>
      <c r="L83" s="571">
        <f t="shared" si="20"/>
        <v>1.0955353563799175E-2</v>
      </c>
      <c r="M83" s="575">
        <f t="shared" si="21"/>
        <v>0.97402760942388356</v>
      </c>
      <c r="N83" s="96">
        <f t="shared" si="22"/>
        <v>3.5892074830853452E-2</v>
      </c>
      <c r="P83" s="54" t="s">
        <v>698</v>
      </c>
    </row>
    <row r="84" spans="2:21">
      <c r="B84" t="s">
        <v>313</v>
      </c>
      <c r="C84" s="2">
        <f>'Demand - Industry shares'!E115/'Demand - Industry shares'!E$118*('Demand - Industry shares'!$E$118/('Demand - Industry shares'!$K$118))</f>
        <v>3.7730594348378436E-2</v>
      </c>
      <c r="D84" s="2">
        <f>'Demand - Industry shares'!G115/'Demand - Industry shares'!G$118*('Demand - Industry shares'!$G$118/('Demand - Industry shares'!$K$118))</f>
        <v>0</v>
      </c>
      <c r="E84" s="2">
        <v>0</v>
      </c>
      <c r="F84" s="2">
        <f>'Demand - Industry shares'!I115/'Demand - Industry shares'!I$118*('Demand - Industry shares'!I$118/('Demand - Industry shares'!$K$118))</f>
        <v>6.4615724062302426E-2</v>
      </c>
      <c r="G84" s="2">
        <f>'Demand - Industry shares'!J115/'Demand - Industry shares'!J$118*('Demand - Industry shares'!J$118/('Demand - Industry shares'!$K$118))</f>
        <v>3.8840754222038616E-3</v>
      </c>
      <c r="H84" s="286"/>
      <c r="I84" s="2"/>
      <c r="J84" s="35">
        <f t="shared" si="19"/>
        <v>6.5916259686290349E-2</v>
      </c>
      <c r="K84" s="505">
        <f>'Demand - Industry shares'!L115</f>
        <v>1.2900482855484838</v>
      </c>
      <c r="L84" s="571">
        <f t="shared" si="20"/>
        <v>1.0955353563799175E-2</v>
      </c>
      <c r="M84" s="575">
        <f t="shared" si="21"/>
        <v>1.7888143036303434</v>
      </c>
      <c r="N84" s="96">
        <f t="shared" si="22"/>
        <v>6.5916259686290349E-2</v>
      </c>
      <c r="P84" s="54" t="s">
        <v>695</v>
      </c>
      <c r="U84" s="176"/>
    </row>
    <row r="85" spans="2:21">
      <c r="B85" t="s">
        <v>320</v>
      </c>
      <c r="C85" s="2">
        <f>'Demand - Industry shares'!E116/'Demand - Industry shares'!E$118*('Demand - Industry shares'!$E$118/('Demand - Industry shares'!$K$118))</f>
        <v>0</v>
      </c>
      <c r="D85" s="2">
        <f>'Demand - Industry shares'!G116/'Demand - Industry shares'!G$118*('Demand - Industry shares'!$G$118/('Demand - Industry shares'!$K$118))</f>
        <v>0</v>
      </c>
      <c r="E85" s="41">
        <f>'Demand - Industry shares'!L116/'Demand - Industry shares'!L118</f>
        <v>0.10647592912458143</v>
      </c>
      <c r="F85" s="2">
        <f>'Demand - Industry shares'!I116/'Demand - Industry shares'!I$118*('Demand - Industry shares'!I$118/('Demand - Industry shares'!$K$118))</f>
        <v>0</v>
      </c>
      <c r="G85" s="2">
        <f>'Demand - Industry shares'!J116/'Demand - Industry shares'!J$118*('Demand - Industry shares'!J$118/('Demand - Industry shares'!$K$118))</f>
        <v>0</v>
      </c>
      <c r="H85" s="286"/>
      <c r="I85" s="23"/>
      <c r="J85" s="35">
        <f t="shared" si="19"/>
        <v>7.3941617447625993E-2</v>
      </c>
      <c r="K85" s="505">
        <f>'Demand - Industry shares'!L116</f>
        <v>1.4471127044065453</v>
      </c>
      <c r="L85" s="571">
        <f t="shared" si="20"/>
        <v>1.0955353563799175E-2</v>
      </c>
      <c r="M85" s="575">
        <f t="shared" si="21"/>
        <v>2.0066038873165337</v>
      </c>
      <c r="N85" s="96">
        <f t="shared" si="22"/>
        <v>7.3941617447625979E-2</v>
      </c>
      <c r="P85" s="54" t="s">
        <v>700</v>
      </c>
      <c r="U85" s="176" t="s">
        <v>701</v>
      </c>
    </row>
    <row r="86" spans="2:21">
      <c r="B86" t="s">
        <v>248</v>
      </c>
      <c r="C86" s="2">
        <f>'Demand - Industry shares'!E117/'Demand - Industry shares'!E$118*('Demand - Industry shares'!$E$118/('Demand - Industry shares'!$K$118))</f>
        <v>1.4673008913258285E-2</v>
      </c>
      <c r="D86" s="2">
        <f>'Demand - Industry shares'!G117/'Demand - Industry shares'!G$118*('Demand - Industry shares'!$G$118/('Demand - Industry shares'!$K$118))</f>
        <v>0</v>
      </c>
      <c r="E86" s="2">
        <v>0</v>
      </c>
      <c r="F86" s="2">
        <f>'Demand - Industry shares'!I117/'Demand - Industry shares'!I$118*('Demand - Industry shares'!I$118/('Demand - Industry shares'!$K$118))</f>
        <v>0.18092402737444679</v>
      </c>
      <c r="G86" s="2">
        <f>'Demand - Industry shares'!J117/'Demand - Industry shares'!J$118*('Demand - Industry shares'!J$118/('Demand - Industry shares'!$K$118))</f>
        <v>3.1072603377630893E-2</v>
      </c>
      <c r="H86" s="286"/>
      <c r="I86" s="2"/>
      <c r="J86" s="35">
        <f t="shared" si="19"/>
        <v>0.44620470776224669</v>
      </c>
      <c r="K86" s="505">
        <f>'Demand - Industry shares'!L117+'Demand Breakdown - BTX'!M4</f>
        <v>8.7326802368926071</v>
      </c>
      <c r="L86" s="571">
        <f t="shared" si="20"/>
        <v>1.0955353563799175E-2</v>
      </c>
      <c r="M86" s="575">
        <f t="shared" si="21"/>
        <v>12.108960177519203</v>
      </c>
      <c r="N86" s="96">
        <f t="shared" si="22"/>
        <v>0.44620470776224669</v>
      </c>
      <c r="P86" s="54" t="s">
        <v>698</v>
      </c>
      <c r="U86" s="176" t="s">
        <v>699</v>
      </c>
    </row>
    <row r="87" spans="2:21" ht="16" thickBot="1">
      <c r="B87" s="32" t="s">
        <v>67</v>
      </c>
      <c r="C87" s="33">
        <f>SUM(C80:C86)</f>
        <v>0.15930695391537564</v>
      </c>
      <c r="D87" s="33">
        <f>SUM(D80:D86)</f>
        <v>0.24085943138941798</v>
      </c>
      <c r="E87" s="287">
        <f t="shared" ref="E87" si="23">SUM(E80:E86)</f>
        <v>0.10647592912458143</v>
      </c>
      <c r="F87" s="33">
        <f t="shared" ref="F87" si="24">SUM(F80:F86)</f>
        <v>0.49107950287349844</v>
      </c>
      <c r="G87" s="33">
        <f t="shared" ref="G87" si="25">SUM(G80:G86)</f>
        <v>0.1087541118217081</v>
      </c>
      <c r="H87" s="287"/>
      <c r="I87" s="33"/>
      <c r="J87" s="285">
        <f>SUM(J80:J86)</f>
        <v>1</v>
      </c>
      <c r="K87" s="570">
        <f>SUM(K80:K86)</f>
        <v>19.571017707741625</v>
      </c>
      <c r="L87" s="42">
        <f>L77</f>
        <v>1.0955353563799175E-2</v>
      </c>
      <c r="M87" s="576">
        <f>K87*(1+L87)^30</f>
        <v>27.137679112008104</v>
      </c>
      <c r="N87" s="97">
        <f>SUM(N80:N86)</f>
        <v>1</v>
      </c>
    </row>
    <row r="88" spans="2:21" ht="17" thickTop="1" thickBot="1">
      <c r="M88" s="491">
        <f>SUM(M80:M86)</f>
        <v>27.137679112008108</v>
      </c>
    </row>
    <row r="89" spans="2:21">
      <c r="B89" s="31" t="s">
        <v>927</v>
      </c>
      <c r="C89" s="31" t="s">
        <v>478</v>
      </c>
      <c r="D89" s="31" t="s">
        <v>474</v>
      </c>
      <c r="E89" s="31" t="s">
        <v>676</v>
      </c>
      <c r="F89" s="31" t="s">
        <v>745</v>
      </c>
      <c r="G89" s="31" t="s">
        <v>248</v>
      </c>
      <c r="H89" s="31"/>
      <c r="I89" s="31"/>
      <c r="J89" s="34" t="s">
        <v>67</v>
      </c>
      <c r="K89" s="37" t="s">
        <v>603</v>
      </c>
      <c r="L89" s="37" t="s">
        <v>46</v>
      </c>
      <c r="M89" s="92" t="s">
        <v>604</v>
      </c>
      <c r="N89" s="95" t="s">
        <v>67</v>
      </c>
      <c r="P89" s="162" t="s">
        <v>693</v>
      </c>
      <c r="U89" s="1" t="s">
        <v>694</v>
      </c>
    </row>
    <row r="90" spans="2:21">
      <c r="B90" t="s">
        <v>309</v>
      </c>
      <c r="C90" s="23">
        <v>0</v>
      </c>
      <c r="D90" s="23">
        <f>'Demand - Industry shares'!G125/'Demand - Industry shares'!G$132*('Demand - Industry shares'!G$132/'Demand - Industry shares'!$K$132)</f>
        <v>0.94652326028357114</v>
      </c>
      <c r="E90" s="23">
        <v>0</v>
      </c>
      <c r="F90" s="23">
        <v>0</v>
      </c>
      <c r="G90" s="23">
        <f>'Demand - Industry shares'!J125/'Demand - Industry shares'!J$132*('Demand - Industry shares'!J$132/'Demand - Industry shares'!$K$132)</f>
        <v>9.5494178065051315E-4</v>
      </c>
      <c r="H90" s="214"/>
      <c r="I90" s="2"/>
      <c r="J90" s="35">
        <f>K90/$K$97</f>
        <v>0.71424913210305108</v>
      </c>
      <c r="K90" s="505">
        <f>'Demand - Industry shares'!L125</f>
        <v>33.557300929497657</v>
      </c>
      <c r="L90" s="571">
        <f>$L$77</f>
        <v>1.0955353563799175E-2</v>
      </c>
      <c r="M90" s="93">
        <f>K90*(1+L90)^30</f>
        <v>46.531421006766038</v>
      </c>
      <c r="N90" s="96">
        <f>M90/M$97</f>
        <v>0.71424913210305108</v>
      </c>
      <c r="P90" s="54" t="s">
        <v>695</v>
      </c>
    </row>
    <row r="91" spans="2:21">
      <c r="B91" t="s">
        <v>310</v>
      </c>
      <c r="C91" s="23">
        <v>0</v>
      </c>
      <c r="D91" s="23">
        <f>'Demand - Industry shares'!G126/'Demand - Industry shares'!G$132*('Demand - Industry shares'!G$132/'Demand - Industry shares'!$K$132)</f>
        <v>0</v>
      </c>
      <c r="E91" s="23">
        <v>0</v>
      </c>
      <c r="F91" s="23">
        <v>0</v>
      </c>
      <c r="G91" s="23">
        <f>'Demand - Industry shares'!J126/'Demand - Industry shares'!J$132*('Demand - Industry shares'!J$132/'Demand - Industry shares'!$K$132)</f>
        <v>4.7747089032525655E-3</v>
      </c>
      <c r="H91" s="286"/>
      <c r="I91" s="2"/>
      <c r="J91" s="35">
        <f t="shared" ref="J91:J96" si="26">K91/$K$97</f>
        <v>3.5993774661653875E-3</v>
      </c>
      <c r="K91" s="505">
        <f>'Demand - Industry shares'!L126</f>
        <v>0.16910821079379051</v>
      </c>
      <c r="L91" s="571">
        <f t="shared" ref="L91:L96" si="27">$L$77</f>
        <v>1.0955353563799175E-2</v>
      </c>
      <c r="M91" s="93">
        <f t="shared" ref="M91:M96" si="28">K91*(1+L91)^30</f>
        <v>0.23448981694561444</v>
      </c>
      <c r="N91" s="96">
        <f t="shared" ref="N91:N96" si="29">M91/M$97</f>
        <v>3.5993774661653875E-3</v>
      </c>
      <c r="P91" s="54" t="s">
        <v>696</v>
      </c>
      <c r="U91" s="176" t="s">
        <v>697</v>
      </c>
    </row>
    <row r="92" spans="2:21">
      <c r="B92" t="s">
        <v>370</v>
      </c>
      <c r="C92" s="23">
        <v>0</v>
      </c>
      <c r="D92" s="23">
        <f>'Demand - Industry shares'!G127/'Demand - Industry shares'!G$132*('Demand - Industry shares'!G$132/'Demand - Industry shares'!$K$132)</f>
        <v>0</v>
      </c>
      <c r="E92" s="23">
        <v>0</v>
      </c>
      <c r="F92" s="23">
        <v>0</v>
      </c>
      <c r="G92" s="23">
        <f>'Demand - Industry shares'!J127/'Demand - Industry shares'!J$132*('Demand - Industry shares'!J$132/'Demand - Industry shares'!$K$132)</f>
        <v>2.100871917431129E-2</v>
      </c>
      <c r="H92" s="286"/>
      <c r="I92" s="2"/>
      <c r="J92" s="35">
        <f t="shared" si="26"/>
        <v>1.5837260851127705E-2</v>
      </c>
      <c r="K92" s="505">
        <f>'Demand - Industry shares'!L127</f>
        <v>0.74407612749267826</v>
      </c>
      <c r="L92" s="571">
        <f t="shared" si="27"/>
        <v>1.0955353563799175E-2</v>
      </c>
      <c r="M92" s="93">
        <f t="shared" si="28"/>
        <v>1.0317551945607035</v>
      </c>
      <c r="N92" s="96">
        <f t="shared" si="29"/>
        <v>1.5837260851127705E-2</v>
      </c>
      <c r="P92" s="54" t="s">
        <v>696</v>
      </c>
    </row>
    <row r="93" spans="2:21">
      <c r="B93" t="s">
        <v>312</v>
      </c>
      <c r="C93" s="23">
        <v>0</v>
      </c>
      <c r="D93" s="23">
        <f>'Demand - Industry shares'!G128/'Demand - Industry shares'!G$132*('Demand - Industry shares'!G$132/'Demand - Industry shares'!$K$132)</f>
        <v>0</v>
      </c>
      <c r="E93" s="23">
        <v>0</v>
      </c>
      <c r="F93" s="23">
        <v>0</v>
      </c>
      <c r="G93" s="23">
        <f>'Demand - Industry shares'!J128/'Demand - Industry shares'!J$132*('Demand - Industry shares'!J$132/'Demand - Industry shares'!$K$132)</f>
        <v>9.5494178065051311E-3</v>
      </c>
      <c r="H93" s="286"/>
      <c r="I93" s="2"/>
      <c r="J93" s="35">
        <f t="shared" si="26"/>
        <v>7.198754932330775E-3</v>
      </c>
      <c r="K93" s="505">
        <f>'Demand - Industry shares'!L128</f>
        <v>0.33821642158758103</v>
      </c>
      <c r="L93" s="571">
        <f t="shared" si="27"/>
        <v>1.0955353563799175E-2</v>
      </c>
      <c r="M93" s="93">
        <f t="shared" si="28"/>
        <v>0.46897963389122888</v>
      </c>
      <c r="N93" s="96">
        <f t="shared" si="29"/>
        <v>7.198754932330775E-3</v>
      </c>
      <c r="P93" s="54" t="s">
        <v>698</v>
      </c>
    </row>
    <row r="94" spans="2:21">
      <c r="B94" t="s">
        <v>313</v>
      </c>
      <c r="C94" s="23">
        <v>0</v>
      </c>
      <c r="D94" s="23">
        <f>'Demand - Industry shares'!G129/'Demand - Industry shares'!G$132*('Demand - Industry shares'!G$132/'Demand - Industry shares'!$K$132)</f>
        <v>0</v>
      </c>
      <c r="E94" s="23">
        <v>0</v>
      </c>
      <c r="F94" s="23">
        <v>0</v>
      </c>
      <c r="G94" s="23">
        <f>'Demand - Industry shares'!J129/'Demand - Industry shares'!J$132*('Demand - Industry shares'!J$132/'Demand - Industry shares'!$K$132)</f>
        <v>1.9098835613010263E-3</v>
      </c>
      <c r="H94" s="286"/>
      <c r="I94" s="2"/>
      <c r="J94" s="35">
        <f t="shared" si="26"/>
        <v>1.4397509864661551E-3</v>
      </c>
      <c r="K94" s="505">
        <f>'Demand - Industry shares'!L129</f>
        <v>6.7643284317516206E-2</v>
      </c>
      <c r="L94" s="571">
        <f t="shared" si="27"/>
        <v>1.0955353563799175E-2</v>
      </c>
      <c r="M94" s="93">
        <f t="shared" si="28"/>
        <v>9.3795926778245775E-2</v>
      </c>
      <c r="N94" s="96">
        <f t="shared" si="29"/>
        <v>1.4397509864661551E-3</v>
      </c>
      <c r="P94" s="54" t="s">
        <v>695</v>
      </c>
      <c r="U94" s="176"/>
    </row>
    <row r="95" spans="2:21">
      <c r="B95" t="s">
        <v>320</v>
      </c>
      <c r="C95" s="23">
        <v>0</v>
      </c>
      <c r="D95" s="23">
        <f>'Demand - Industry shares'!G130/'Demand - Industry shares'!G$132*('Demand - Industry shares'!G$132/'Demand - Industry shares'!$K$132)</f>
        <v>0</v>
      </c>
      <c r="E95" s="41">
        <f>'Demand - Industry shares'!L130/'Demand - Industry shares'!L132</f>
        <v>0.24615771576912965</v>
      </c>
      <c r="F95" s="23">
        <v>0</v>
      </c>
      <c r="G95" s="23">
        <f>'Demand - Industry shares'!J130/'Demand - Industry shares'!J$132*('Demand - Industry shares'!J$132/'Demand - Industry shares'!$K$132)</f>
        <v>0</v>
      </c>
      <c r="H95" s="286"/>
      <c r="I95" s="23"/>
      <c r="J95" s="35">
        <f t="shared" si="26"/>
        <v>0.24615771576912962</v>
      </c>
      <c r="K95" s="505">
        <f>'Demand - Industry shares'!L130</f>
        <v>11.565136270954032</v>
      </c>
      <c r="L95" s="571">
        <f t="shared" si="27"/>
        <v>1.0955353563799175E-2</v>
      </c>
      <c r="M95" s="93">
        <f t="shared" si="28"/>
        <v>16.036516940232897</v>
      </c>
      <c r="N95" s="96">
        <f t="shared" si="29"/>
        <v>0.24615771576912965</v>
      </c>
      <c r="P95" s="54" t="s">
        <v>700</v>
      </c>
      <c r="U95" s="176" t="s">
        <v>701</v>
      </c>
    </row>
    <row r="96" spans="2:21">
      <c r="B96" t="s">
        <v>248</v>
      </c>
      <c r="C96" s="23">
        <v>0</v>
      </c>
      <c r="D96" s="23">
        <f>'Demand - Industry shares'!G131/'Demand - Industry shares'!G$132*('Demand - Industry shares'!G$132/'Demand - Industry shares'!$K$132)</f>
        <v>0</v>
      </c>
      <c r="E96" s="23">
        <v>0</v>
      </c>
      <c r="F96" s="23">
        <v>0</v>
      </c>
      <c r="G96" s="23">
        <f>'Demand - Industry shares'!J131/'Demand - Industry shares'!J$132*('Demand - Industry shares'!J$132/'Demand - Industry shares'!$K$132)</f>
        <v>1.527906849040821E-2</v>
      </c>
      <c r="H96" s="286"/>
      <c r="I96" s="2"/>
      <c r="J96" s="35">
        <f t="shared" si="26"/>
        <v>1.1518007891729241E-2</v>
      </c>
      <c r="K96" s="505">
        <f>'Demand - Industry shares'!L131</f>
        <v>0.54114627454012965</v>
      </c>
      <c r="L96" s="571">
        <f t="shared" si="27"/>
        <v>1.0955353563799175E-2</v>
      </c>
      <c r="M96" s="93">
        <f t="shared" si="28"/>
        <v>0.7503674142259662</v>
      </c>
      <c r="N96" s="96">
        <f t="shared" si="29"/>
        <v>1.1518007891729241E-2</v>
      </c>
      <c r="P96" s="54" t="s">
        <v>698</v>
      </c>
      <c r="U96" s="176" t="s">
        <v>699</v>
      </c>
    </row>
    <row r="97" spans="2:14" ht="16" thickBot="1">
      <c r="B97" s="32" t="s">
        <v>67</v>
      </c>
      <c r="C97" s="33">
        <f>SUM(C90:C96)</f>
        <v>0</v>
      </c>
      <c r="D97" s="33">
        <f>SUM(D90:D96)</f>
        <v>0.94652326028357114</v>
      </c>
      <c r="E97" s="33">
        <f t="shared" ref="E97" si="30">SUM(E90:E96)</f>
        <v>0.24615771576912965</v>
      </c>
      <c r="F97" s="33">
        <f t="shared" ref="F97" si="31">SUM(F90:F96)</f>
        <v>0</v>
      </c>
      <c r="G97" s="33">
        <f t="shared" ref="G97" si="32">SUM(G90:G96)</f>
        <v>5.3476739716428745E-2</v>
      </c>
      <c r="H97" s="287"/>
      <c r="I97" s="33"/>
      <c r="J97" s="285">
        <f>SUM(J90:J96)</f>
        <v>0.99999999999999989</v>
      </c>
      <c r="K97" s="39">
        <f>SUM(K90:K96)</f>
        <v>46.982627519183389</v>
      </c>
      <c r="L97" s="42">
        <f>L87</f>
        <v>1.0955353563799175E-2</v>
      </c>
      <c r="M97" s="94">
        <f>K97*(1+L97)^30</f>
        <v>65.147325933400694</v>
      </c>
      <c r="N97" s="97">
        <f>SUM(N90:N96)</f>
        <v>1</v>
      </c>
    </row>
    <row r="98" spans="2:14" ht="16" thickTop="1">
      <c r="M98" s="491">
        <f>SUM(M90:M96)</f>
        <v>65.147325933400694</v>
      </c>
    </row>
  </sheetData>
  <mergeCells count="1">
    <mergeCell ref="E66:G66"/>
  </mergeCells>
  <hyperlinks>
    <hyperlink ref="J9" r:id="rId1" xr:uid="{CBCDCC69-452C-40CE-BD9B-0DA6301E2176}"/>
    <hyperlink ref="Y8" r:id="rId2" xr:uid="{00EF798B-B99A-4200-8179-98A19038ADD6}"/>
    <hyperlink ref="AE19" r:id="rId3" xr:uid="{1A68FD0F-27DE-481A-82FF-DAF52A5C74FE}"/>
    <hyperlink ref="AE9" r:id="rId4" xr:uid="{5D481BE0-9919-4789-BF7A-F94B4E049D4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0FCB3-34B6-424D-89E5-5906F124870A}">
  <sheetPr>
    <tabColor theme="7"/>
  </sheetPr>
  <dimension ref="A1:AI48"/>
  <sheetViews>
    <sheetView topLeftCell="A17" zoomScale="70" zoomScaleNormal="70" workbookViewId="0">
      <selection activeCell="AH32" sqref="AH32"/>
    </sheetView>
  </sheetViews>
  <sheetFormatPr baseColWidth="10" defaultColWidth="8.83203125" defaultRowHeight="15"/>
  <cols>
    <col min="2" max="2" width="34.83203125" customWidth="1"/>
    <col min="4" max="4" width="20" bestFit="1" customWidth="1"/>
    <col min="5" max="5" width="14" customWidth="1"/>
    <col min="6" max="6" width="13.5" bestFit="1" customWidth="1"/>
    <col min="7" max="7" width="20" bestFit="1" customWidth="1"/>
    <col min="8" max="22" width="11.5" customWidth="1"/>
    <col min="23" max="25" width="11.1640625" bestFit="1" customWidth="1"/>
    <col min="26" max="30" width="12" bestFit="1" customWidth="1"/>
    <col min="31" max="34" width="12.1640625" bestFit="1" customWidth="1"/>
  </cols>
  <sheetData>
    <row r="1" spans="1:11">
      <c r="A1" s="1" t="s">
        <v>928</v>
      </c>
    </row>
    <row r="3" spans="1:11">
      <c r="A3" t="s">
        <v>929</v>
      </c>
      <c r="B3" s="5" t="s">
        <v>930</v>
      </c>
    </row>
    <row r="4" spans="1:11" ht="16" thickBot="1"/>
    <row r="5" spans="1:11" ht="16" thickBot="1">
      <c r="F5" s="73" t="s">
        <v>931</v>
      </c>
    </row>
    <row r="6" spans="1:11" ht="16" thickBot="1">
      <c r="B6" s="1" t="s">
        <v>932</v>
      </c>
      <c r="C6" s="54" t="s">
        <v>933</v>
      </c>
      <c r="D6" s="51">
        <v>2.1499999999999999E-4</v>
      </c>
      <c r="E6" s="51">
        <v>2.2000000000000001E-4</v>
      </c>
      <c r="F6" s="73">
        <f>AVERAGE(D6:E6)</f>
        <v>2.175E-4</v>
      </c>
    </row>
    <row r="7" spans="1:11">
      <c r="B7" t="s">
        <v>934</v>
      </c>
      <c r="C7" s="54" t="s">
        <v>935</v>
      </c>
      <c r="D7" s="51">
        <f>18/1000</f>
        <v>1.7999999999999999E-2</v>
      </c>
      <c r="E7" s="51">
        <f>22/1000</f>
        <v>2.1999999999999999E-2</v>
      </c>
      <c r="F7" s="74">
        <f>AVERAGE(D7/D6,E7/E6)</f>
        <v>91.860465116279059</v>
      </c>
      <c r="G7" s="75">
        <f>F7</f>
        <v>91.860465116279059</v>
      </c>
      <c r="K7" s="54" t="s">
        <v>96</v>
      </c>
    </row>
    <row r="8" spans="1:11">
      <c r="B8" t="s">
        <v>936</v>
      </c>
      <c r="C8" s="54" t="s">
        <v>462</v>
      </c>
      <c r="D8" s="76">
        <v>5.0999999999999997E-2</v>
      </c>
      <c r="E8" s="56">
        <v>6.5500000000000003E-2</v>
      </c>
      <c r="F8" s="77">
        <f>AVERAGE(D8,E8)</f>
        <v>5.8249999999999996E-2</v>
      </c>
      <c r="G8" s="78">
        <f>F8*$G$7</f>
        <v>5.3508720930232547</v>
      </c>
      <c r="J8" s="6">
        <f>F8/(F9+F8)</f>
        <v>0.66762177650429799</v>
      </c>
      <c r="K8" s="54" t="s">
        <v>937</v>
      </c>
    </row>
    <row r="9" spans="1:11">
      <c r="B9" t="s">
        <v>938</v>
      </c>
      <c r="C9" s="54" t="s">
        <v>462</v>
      </c>
      <c r="D9" s="55">
        <v>1.4999999999999999E-2</v>
      </c>
      <c r="E9" s="55">
        <v>4.2999999999999997E-2</v>
      </c>
      <c r="F9" s="77">
        <f>AVERAGE(D9,E9)</f>
        <v>2.8999999999999998E-2</v>
      </c>
      <c r="G9" s="78">
        <f t="shared" ref="G9:G11" si="0">F9*$G$7</f>
        <v>2.6639534883720923</v>
      </c>
      <c r="J9" s="6">
        <f>F9/(F8+F9)</f>
        <v>0.33237822349570201</v>
      </c>
      <c r="K9" s="158" t="s">
        <v>939</v>
      </c>
    </row>
    <row r="10" spans="1:11">
      <c r="B10" t="s">
        <v>940</v>
      </c>
      <c r="C10" s="54" t="s">
        <v>462</v>
      </c>
      <c r="D10" s="55">
        <v>0.1</v>
      </c>
      <c r="E10" s="55">
        <v>0.2</v>
      </c>
      <c r="F10" s="77">
        <f t="shared" ref="F10:F11" si="1">AVERAGE(D10,E10)</f>
        <v>0.15000000000000002</v>
      </c>
      <c r="G10" s="78">
        <f t="shared" si="0"/>
        <v>13.779069767441861</v>
      </c>
    </row>
    <row r="11" spans="1:11" ht="16" thickBot="1">
      <c r="B11" t="s">
        <v>941</v>
      </c>
      <c r="C11" s="54" t="s">
        <v>462</v>
      </c>
      <c r="D11" s="55">
        <f>1-SUM(D8:D10)</f>
        <v>0.83399999999999996</v>
      </c>
      <c r="E11" s="55">
        <f>1-SUM(E8:E10)</f>
        <v>0.6915</v>
      </c>
      <c r="F11" s="79">
        <f t="shared" si="1"/>
        <v>0.76275000000000004</v>
      </c>
      <c r="G11" s="80">
        <f t="shared" si="0"/>
        <v>70.066569767441862</v>
      </c>
      <c r="J11" t="s">
        <v>53</v>
      </c>
    </row>
    <row r="13" spans="1:11">
      <c r="A13" t="s">
        <v>942</v>
      </c>
    </row>
    <row r="14" spans="1:11">
      <c r="D14" s="1"/>
      <c r="E14" s="1"/>
      <c r="F14" s="1"/>
    </row>
    <row r="15" spans="1:11" ht="16" thickBot="1">
      <c r="B15" s="81"/>
      <c r="C15" s="82"/>
      <c r="D15" s="81">
        <v>2020</v>
      </c>
      <c r="E15" s="81">
        <v>2050</v>
      </c>
      <c r="F15" s="83" t="s">
        <v>943</v>
      </c>
      <c r="G15" s="81" t="s">
        <v>46</v>
      </c>
      <c r="I15" s="54" t="s">
        <v>96</v>
      </c>
    </row>
    <row r="16" spans="1:11">
      <c r="B16" t="s">
        <v>944</v>
      </c>
      <c r="C16" s="54" t="s">
        <v>933</v>
      </c>
      <c r="D16" s="84">
        <v>700000</v>
      </c>
      <c r="E16" s="84">
        <f>AVERAGE(27000000,35000000)</f>
        <v>31000000</v>
      </c>
      <c r="F16" s="85">
        <f>6000000/5</f>
        <v>1200000</v>
      </c>
      <c r="G16" s="23">
        <f>(E16/D16)^(1/30)-1</f>
        <v>0.13468536942304721</v>
      </c>
      <c r="I16" s="54" t="s">
        <v>945</v>
      </c>
    </row>
    <row r="17" spans="2:35">
      <c r="B17" t="s">
        <v>946</v>
      </c>
      <c r="C17" s="54" t="s">
        <v>935</v>
      </c>
      <c r="D17" s="85">
        <f>D16*F7</f>
        <v>64302325.581395343</v>
      </c>
      <c r="E17" s="85">
        <f>E16*F7</f>
        <v>2847674418.604651</v>
      </c>
      <c r="F17" s="85">
        <f>F16*F7</f>
        <v>110232558.13953488</v>
      </c>
    </row>
    <row r="18" spans="2:35">
      <c r="B18" t="s">
        <v>947</v>
      </c>
      <c r="C18" s="54" t="s">
        <v>935</v>
      </c>
      <c r="D18" s="85">
        <f>(D17+F9)*$F$8</f>
        <v>3745610.4668055284</v>
      </c>
      <c r="E18" s="85">
        <f>(E17+F9)*$F$8</f>
        <v>165877034.88541016</v>
      </c>
      <c r="F18" s="85">
        <f>(F17+F9)*$F$8</f>
        <v>6421046.5133171557</v>
      </c>
    </row>
    <row r="19" spans="2:35" ht="16" thickBot="1">
      <c r="B19" s="86" t="s">
        <v>948</v>
      </c>
      <c r="C19" s="87" t="s">
        <v>935</v>
      </c>
      <c r="D19" s="88">
        <f>D17*$F$8*$D$22+D17*$F$9*$D$23</f>
        <v>4091106.8604651159</v>
      </c>
      <c r="E19" s="88">
        <f>E17*$F$8*$D$22+E17*$F$9*$D$23</f>
        <v>181177589.53488371</v>
      </c>
      <c r="F19" s="88">
        <f>F17*$F$8*$D$22+F17*$F$9*$D$23</f>
        <v>7013326.0465116268</v>
      </c>
      <c r="G19" s="85">
        <f>E19-D19</f>
        <v>177086482.6744186</v>
      </c>
    </row>
    <row r="21" spans="2:35" ht="16" thickBot="1">
      <c r="B21" s="81" t="s">
        <v>949</v>
      </c>
      <c r="C21" s="81"/>
      <c r="D21" s="81"/>
      <c r="E21" t="s">
        <v>96</v>
      </c>
      <c r="J21" s="68" t="s">
        <v>258</v>
      </c>
      <c r="K21" s="68" t="s">
        <v>950</v>
      </c>
      <c r="L21" s="68" t="s">
        <v>951</v>
      </c>
      <c r="M21" s="68" t="s">
        <v>248</v>
      </c>
    </row>
    <row r="22" spans="2:35">
      <c r="B22" t="s">
        <v>952</v>
      </c>
      <c r="C22" t="s">
        <v>462</v>
      </c>
      <c r="D22" s="56">
        <v>0.8</v>
      </c>
      <c r="E22" s="158" t="s">
        <v>953</v>
      </c>
      <c r="J22" s="55">
        <v>0.7</v>
      </c>
      <c r="K22" s="55">
        <v>0.3</v>
      </c>
      <c r="L22" s="55">
        <v>0</v>
      </c>
      <c r="M22" s="55">
        <v>0</v>
      </c>
    </row>
    <row r="23" spans="2:35">
      <c r="B23" t="s">
        <v>954</v>
      </c>
      <c r="C23" s="54" t="s">
        <v>462</v>
      </c>
      <c r="D23" s="56">
        <v>0.58699999999999997</v>
      </c>
      <c r="E23" s="54" t="s">
        <v>955</v>
      </c>
      <c r="J23" s="55">
        <v>0</v>
      </c>
      <c r="K23" s="55">
        <v>0</v>
      </c>
      <c r="L23" s="55">
        <v>0</v>
      </c>
      <c r="M23" s="55">
        <v>1</v>
      </c>
    </row>
    <row r="24" spans="2:35">
      <c r="B24" t="s">
        <v>956</v>
      </c>
      <c r="C24" s="54" t="s">
        <v>462</v>
      </c>
      <c r="D24" s="56">
        <f>G42*(1-D22)</f>
        <v>5.6139613120269126E-2</v>
      </c>
      <c r="E24" s="54"/>
      <c r="J24" s="55"/>
      <c r="K24" s="55"/>
      <c r="L24" s="55"/>
      <c r="M24" s="55"/>
    </row>
    <row r="25" spans="2:35">
      <c r="D25" s="2">
        <f>(F8*D22+F9*D23)/(F8+F9)</f>
        <v>0.72920343839541546</v>
      </c>
      <c r="J25" s="2">
        <f>($F$8*J22+$F$9*J23)/($F$8+$F$9)</f>
        <v>0.46733524355300854</v>
      </c>
      <c r="K25" s="2">
        <f>($F$8*K22+$F$9*K23)/($F$8+$F$9)</f>
        <v>0.20028653295128937</v>
      </c>
      <c r="L25" s="2">
        <f>($F$8*L22+$F$9*L23)/($F$8+$F$9)</f>
        <v>0</v>
      </c>
      <c r="M25" s="2">
        <f>($F$8*M22+$F$9*M23)/($F$8+$F$9)</f>
        <v>0.33237822349570201</v>
      </c>
      <c r="N25" s="6">
        <f>SUM(J25:M25)</f>
        <v>0.99999999999999989</v>
      </c>
    </row>
    <row r="26" spans="2:35">
      <c r="D26" s="2"/>
    </row>
    <row r="27" spans="2:35" ht="16" thickBot="1">
      <c r="B27" s="81"/>
      <c r="C27" s="82"/>
      <c r="D27" s="81">
        <v>2020</v>
      </c>
      <c r="E27" s="81">
        <f>D27+1</f>
        <v>2021</v>
      </c>
      <c r="F27" s="81">
        <f t="shared" ref="F27:AH27" si="2">E27+1</f>
        <v>2022</v>
      </c>
      <c r="G27" s="81">
        <f t="shared" si="2"/>
        <v>2023</v>
      </c>
      <c r="H27" s="81">
        <f t="shared" si="2"/>
        <v>2024</v>
      </c>
      <c r="I27" s="81">
        <f t="shared" si="2"/>
        <v>2025</v>
      </c>
      <c r="J27" s="81">
        <f t="shared" si="2"/>
        <v>2026</v>
      </c>
      <c r="K27" s="81">
        <f t="shared" si="2"/>
        <v>2027</v>
      </c>
      <c r="L27" s="81">
        <f t="shared" si="2"/>
        <v>2028</v>
      </c>
      <c r="M27" s="81">
        <f t="shared" si="2"/>
        <v>2029</v>
      </c>
      <c r="N27" s="81">
        <f t="shared" si="2"/>
        <v>2030</v>
      </c>
      <c r="O27" s="81">
        <f t="shared" si="2"/>
        <v>2031</v>
      </c>
      <c r="P27" s="81">
        <f t="shared" si="2"/>
        <v>2032</v>
      </c>
      <c r="Q27" s="81">
        <f t="shared" si="2"/>
        <v>2033</v>
      </c>
      <c r="R27" s="81">
        <f t="shared" si="2"/>
        <v>2034</v>
      </c>
      <c r="S27" s="81">
        <f t="shared" si="2"/>
        <v>2035</v>
      </c>
      <c r="T27" s="81">
        <f t="shared" si="2"/>
        <v>2036</v>
      </c>
      <c r="U27" s="81">
        <f t="shared" si="2"/>
        <v>2037</v>
      </c>
      <c r="V27" s="81">
        <f t="shared" si="2"/>
        <v>2038</v>
      </c>
      <c r="W27" s="81">
        <f t="shared" si="2"/>
        <v>2039</v>
      </c>
      <c r="X27" s="81">
        <f t="shared" si="2"/>
        <v>2040</v>
      </c>
      <c r="Y27" s="81">
        <f t="shared" si="2"/>
        <v>2041</v>
      </c>
      <c r="Z27" s="81">
        <f t="shared" si="2"/>
        <v>2042</v>
      </c>
      <c r="AA27" s="81">
        <f t="shared" si="2"/>
        <v>2043</v>
      </c>
      <c r="AB27" s="81">
        <f t="shared" si="2"/>
        <v>2044</v>
      </c>
      <c r="AC27" s="81">
        <f t="shared" si="2"/>
        <v>2045</v>
      </c>
      <c r="AD27" s="81">
        <f t="shared" si="2"/>
        <v>2046</v>
      </c>
      <c r="AE27" s="81">
        <f t="shared" si="2"/>
        <v>2047</v>
      </c>
      <c r="AF27" s="81">
        <f t="shared" si="2"/>
        <v>2048</v>
      </c>
      <c r="AG27" s="81">
        <f t="shared" si="2"/>
        <v>2049</v>
      </c>
      <c r="AH27" s="81">
        <f t="shared" si="2"/>
        <v>2050</v>
      </c>
    </row>
    <row r="28" spans="2:35">
      <c r="B28" t="s">
        <v>957</v>
      </c>
      <c r="C28" s="54" t="s">
        <v>933</v>
      </c>
      <c r="D28" s="85">
        <f>D16</f>
        <v>700000</v>
      </c>
      <c r="E28" s="85">
        <f t="shared" ref="E28:AH28" si="3">D28*(1+$G$16)</f>
        <v>794279.75859613309</v>
      </c>
      <c r="F28" s="85">
        <f t="shared" si="3"/>
        <v>901257.62130790204</v>
      </c>
      <c r="G28" s="85">
        <f t="shared" si="3"/>
        <v>1022643.8369790936</v>
      </c>
      <c r="H28" s="85">
        <f t="shared" si="3"/>
        <v>1160378.9999508252</v>
      </c>
      <c r="I28" s="85">
        <f t="shared" si="3"/>
        <v>1316665.0742299482</v>
      </c>
      <c r="J28" s="85">
        <f t="shared" si="3"/>
        <v>1494000.5961590328</v>
      </c>
      <c r="K28" s="85">
        <f t="shared" si="3"/>
        <v>1695220.6183709649</v>
      </c>
      <c r="L28" s="85">
        <f t="shared" si="3"/>
        <v>1923542.0336098247</v>
      </c>
      <c r="M28" s="85">
        <f t="shared" si="3"/>
        <v>2182615.0030073235</v>
      </c>
      <c r="N28" s="85">
        <f t="shared" si="3"/>
        <v>2476581.31099565</v>
      </c>
      <c r="O28" s="85">
        <f t="shared" si="3"/>
        <v>2810140.5797733138</v>
      </c>
      <c r="P28" s="85">
        <f t="shared" si="3"/>
        <v>3188625.4018907784</v>
      </c>
      <c r="Q28" s="85">
        <f t="shared" si="3"/>
        <v>3618086.5920961504</v>
      </c>
      <c r="R28" s="85">
        <f t="shared" si="3"/>
        <v>4105389.9213571944</v>
      </c>
      <c r="S28" s="85">
        <f t="shared" si="3"/>
        <v>4658325.879540843</v>
      </c>
      <c r="T28" s="85">
        <f t="shared" si="3"/>
        <v>5285734.2215197431</v>
      </c>
      <c r="U28" s="85">
        <f t="shared" si="3"/>
        <v>5997645.2878171727</v>
      </c>
      <c r="V28" s="85">
        <f t="shared" si="3"/>
        <v>6805440.3590752268</v>
      </c>
      <c r="W28" s="85">
        <f t="shared" si="3"/>
        <v>7722033.6079237889</v>
      </c>
      <c r="X28" s="85">
        <f t="shared" si="3"/>
        <v>8762078.5571041908</v>
      </c>
      <c r="Y28" s="85">
        <f t="shared" si="3"/>
        <v>9942202.3444815297</v>
      </c>
      <c r="Z28" s="85">
        <f t="shared" si="3"/>
        <v>11281271.540126711</v>
      </c>
      <c r="AA28" s="85">
        <f t="shared" si="3"/>
        <v>12800693.765070386</v>
      </c>
      <c r="AB28" s="85">
        <f t="shared" si="3"/>
        <v>14524759.933690188</v>
      </c>
      <c r="AC28" s="85">
        <f t="shared" si="3"/>
        <v>16481032.591140326</v>
      </c>
      <c r="AD28" s="85">
        <f t="shared" si="3"/>
        <v>18700786.554151341</v>
      </c>
      <c r="AE28" s="85">
        <f t="shared" si="3"/>
        <v>21219508.899698768</v>
      </c>
      <c r="AF28" s="85">
        <f t="shared" si="3"/>
        <v>24077466.294830333</v>
      </c>
      <c r="AG28" s="85">
        <f t="shared" si="3"/>
        <v>27320348.737520523</v>
      </c>
      <c r="AH28" s="85">
        <f t="shared" si="3"/>
        <v>30999999.999999955</v>
      </c>
    </row>
    <row r="29" spans="2:35">
      <c r="B29" t="s">
        <v>958</v>
      </c>
      <c r="C29" s="54" t="s">
        <v>933</v>
      </c>
      <c r="D29">
        <f>0</f>
        <v>0</v>
      </c>
      <c r="E29" s="85">
        <f>E28-D28</f>
        <v>94279.758596133091</v>
      </c>
      <c r="F29" s="85">
        <f t="shared" ref="F29:AH29" si="4">F28-E28</f>
        <v>106977.86271176895</v>
      </c>
      <c r="G29" s="85">
        <f t="shared" si="4"/>
        <v>121386.21567119157</v>
      </c>
      <c r="H29" s="85">
        <f t="shared" si="4"/>
        <v>137735.16297173162</v>
      </c>
      <c r="I29" s="85">
        <f t="shared" si="4"/>
        <v>156286.07427912299</v>
      </c>
      <c r="J29" s="85">
        <f t="shared" si="4"/>
        <v>177335.52192908456</v>
      </c>
      <c r="K29" s="85">
        <f t="shared" si="4"/>
        <v>201220.02221193211</v>
      </c>
      <c r="L29" s="85">
        <f t="shared" si="4"/>
        <v>228321.41523885983</v>
      </c>
      <c r="M29" s="85">
        <f t="shared" si="4"/>
        <v>259072.96939749876</v>
      </c>
      <c r="N29" s="85">
        <f t="shared" si="4"/>
        <v>293966.30798832653</v>
      </c>
      <c r="O29" s="85">
        <f t="shared" si="4"/>
        <v>333559.26877766382</v>
      </c>
      <c r="P29" s="85">
        <f t="shared" si="4"/>
        <v>378484.82211746462</v>
      </c>
      <c r="Q29" s="85">
        <f t="shared" si="4"/>
        <v>429461.19020537194</v>
      </c>
      <c r="R29" s="85">
        <f t="shared" si="4"/>
        <v>487303.32926104404</v>
      </c>
      <c r="S29" s="85">
        <f t="shared" si="4"/>
        <v>552935.95818364853</v>
      </c>
      <c r="T29" s="85">
        <f t="shared" si="4"/>
        <v>627408.34197890013</v>
      </c>
      <c r="U29" s="85">
        <f t="shared" si="4"/>
        <v>711911.06629742961</v>
      </c>
      <c r="V29" s="85">
        <f t="shared" si="4"/>
        <v>807795.07125805411</v>
      </c>
      <c r="W29" s="85">
        <f t="shared" si="4"/>
        <v>916593.24884856213</v>
      </c>
      <c r="X29" s="85">
        <f t="shared" si="4"/>
        <v>1040044.9491804019</v>
      </c>
      <c r="Y29" s="85">
        <f t="shared" si="4"/>
        <v>1180123.7873773389</v>
      </c>
      <c r="Z29" s="85">
        <f t="shared" si="4"/>
        <v>1339069.1956451815</v>
      </c>
      <c r="AA29" s="85">
        <f t="shared" si="4"/>
        <v>1519422.2249436751</v>
      </c>
      <c r="AB29" s="85">
        <f t="shared" si="4"/>
        <v>1724066.1686198022</v>
      </c>
      <c r="AC29" s="85">
        <f t="shared" si="4"/>
        <v>1956272.6574501377</v>
      </c>
      <c r="AD29" s="85">
        <f t="shared" si="4"/>
        <v>2219753.9630110152</v>
      </c>
      <c r="AE29" s="85">
        <f t="shared" si="4"/>
        <v>2518722.3455474265</v>
      </c>
      <c r="AF29" s="85">
        <f t="shared" si="4"/>
        <v>2857957.3951315656</v>
      </c>
      <c r="AG29" s="85">
        <f t="shared" si="4"/>
        <v>3242882.4426901899</v>
      </c>
      <c r="AH29" s="85">
        <f t="shared" si="4"/>
        <v>3679651.2624794319</v>
      </c>
    </row>
    <row r="30" spans="2:35">
      <c r="B30" t="s">
        <v>959</v>
      </c>
      <c r="C30" s="54" t="s">
        <v>935</v>
      </c>
      <c r="D30">
        <v>0</v>
      </c>
      <c r="E30" s="85">
        <f>E29*$F$7</f>
        <v>8660582.4756912943</v>
      </c>
      <c r="F30" s="85">
        <f t="shared" ref="F30:AH30" si="5">F29*$F$7</f>
        <v>9827036.2258485425</v>
      </c>
      <c r="G30" s="85">
        <f t="shared" si="5"/>
        <v>11150594.23026062</v>
      </c>
      <c r="H30" s="85">
        <f t="shared" si="5"/>
        <v>12652416.133449765</v>
      </c>
      <c r="I30" s="85">
        <f t="shared" si="5"/>
        <v>14356511.474477574</v>
      </c>
      <c r="J30" s="85">
        <f t="shared" si="5"/>
        <v>16290123.526043812</v>
      </c>
      <c r="K30" s="85">
        <f t="shared" si="5"/>
        <v>18484164.831096087</v>
      </c>
      <c r="L30" s="85">
        <f t="shared" si="5"/>
        <v>20973711.399848748</v>
      </c>
      <c r="M30" s="85">
        <f t="shared" si="5"/>
        <v>23798563.467909768</v>
      </c>
      <c r="N30" s="85">
        <f t="shared" si="5"/>
        <v>27003881.780323014</v>
      </c>
      <c r="O30" s="85">
        <f t="shared" si="5"/>
        <v>30640909.573762137</v>
      </c>
      <c r="P30" s="85">
        <f t="shared" si="5"/>
        <v>34767791.79916244</v>
      </c>
      <c r="Q30" s="85">
        <f t="shared" si="5"/>
        <v>39450504.681656256</v>
      </c>
      <c r="R30" s="85">
        <f t="shared" si="5"/>
        <v>44763910.478630781</v>
      </c>
      <c r="S30" s="85">
        <f t="shared" si="5"/>
        <v>50792954.298265383</v>
      </c>
      <c r="T30" s="85">
        <f t="shared" si="5"/>
        <v>57634022.11201524</v>
      </c>
      <c r="U30" s="85">
        <f t="shared" si="5"/>
        <v>65396481.671508059</v>
      </c>
      <c r="V30" s="85">
        <f t="shared" si="5"/>
        <v>74204430.964402631</v>
      </c>
      <c r="W30" s="85">
        <f t="shared" si="5"/>
        <v>84198682.161670238</v>
      </c>
      <c r="X30" s="85">
        <f t="shared" si="5"/>
        <v>95539012.773548529</v>
      </c>
      <c r="Y30" s="85">
        <f t="shared" si="5"/>
        <v>108406720.00326715</v>
      </c>
      <c r="Z30" s="85">
        <f t="shared" si="5"/>
        <v>123007519.13484804</v>
      </c>
      <c r="AA30" s="85">
        <f t="shared" si="5"/>
        <v>139574832.29133758</v>
      </c>
      <c r="AB30" s="85">
        <f t="shared" si="5"/>
        <v>158373520.14065623</v>
      </c>
      <c r="AC30" s="85">
        <f t="shared" si="5"/>
        <v>179704116.20762891</v>
      </c>
      <c r="AD30" s="85">
        <f t="shared" si="5"/>
        <v>203907631.48589554</v>
      </c>
      <c r="AE30" s="85">
        <f t="shared" si="5"/>
        <v>231371006.16075194</v>
      </c>
      <c r="AF30" s="85">
        <f t="shared" si="5"/>
        <v>262533295.59929496</v>
      </c>
      <c r="AG30" s="85">
        <f t="shared" si="5"/>
        <v>297892689.50293601</v>
      </c>
      <c r="AH30" s="85">
        <f t="shared" si="5"/>
        <v>338014476.43706405</v>
      </c>
    </row>
    <row r="31" spans="2:35">
      <c r="B31" t="s">
        <v>960</v>
      </c>
      <c r="C31" s="54" t="s">
        <v>935</v>
      </c>
      <c r="D31">
        <v>0</v>
      </c>
      <c r="E31" s="85">
        <f>E30*($F$8+$F$9)</f>
        <v>755635.82100406534</v>
      </c>
      <c r="F31" s="85">
        <f t="shared" ref="F31:AH31" si="6">F30*($F$8+$F$9)</f>
        <v>857408.91070528526</v>
      </c>
      <c r="G31" s="85">
        <f t="shared" si="6"/>
        <v>972889.34659023897</v>
      </c>
      <c r="H31" s="85">
        <f t="shared" si="6"/>
        <v>1103923.307643492</v>
      </c>
      <c r="I31" s="85">
        <f t="shared" si="6"/>
        <v>1252605.6261481682</v>
      </c>
      <c r="J31" s="85">
        <f t="shared" si="6"/>
        <v>1421313.2776473225</v>
      </c>
      <c r="K31" s="85">
        <f t="shared" si="6"/>
        <v>1612743.3815131334</v>
      </c>
      <c r="L31" s="85">
        <f t="shared" si="6"/>
        <v>1829956.3196368031</v>
      </c>
      <c r="M31" s="85">
        <f t="shared" si="6"/>
        <v>2076424.6625751271</v>
      </c>
      <c r="N31" s="85">
        <f t="shared" si="6"/>
        <v>2356088.6853331826</v>
      </c>
      <c r="O31" s="85">
        <f t="shared" si="6"/>
        <v>2673419.3603107464</v>
      </c>
      <c r="P31" s="85">
        <f t="shared" si="6"/>
        <v>3033489.8344769226</v>
      </c>
      <c r="Q31" s="85">
        <f t="shared" si="6"/>
        <v>3442056.5334745082</v>
      </c>
      <c r="R31" s="85">
        <f t="shared" si="6"/>
        <v>3905651.1892605354</v>
      </c>
      <c r="S31" s="85">
        <f t="shared" si="6"/>
        <v>4431685.2625236539</v>
      </c>
      <c r="T31" s="85">
        <f t="shared" si="6"/>
        <v>5028568.4292733297</v>
      </c>
      <c r="U31" s="85">
        <f t="shared" si="6"/>
        <v>5705843.0258390773</v>
      </c>
      <c r="V31" s="85">
        <f t="shared" si="6"/>
        <v>6474336.6016441295</v>
      </c>
      <c r="W31" s="85">
        <f t="shared" si="6"/>
        <v>7346335.0186057277</v>
      </c>
      <c r="X31" s="85">
        <f t="shared" si="6"/>
        <v>8335778.8644921081</v>
      </c>
      <c r="Y31" s="85">
        <f t="shared" si="6"/>
        <v>9458486.3202850576</v>
      </c>
      <c r="Z31" s="85">
        <f t="shared" si="6"/>
        <v>10732406.044515491</v>
      </c>
      <c r="AA31" s="85">
        <f t="shared" si="6"/>
        <v>12177904.117419204</v>
      </c>
      <c r="AB31" s="85">
        <f t="shared" si="6"/>
        <v>13818089.632272255</v>
      </c>
      <c r="AC31" s="85">
        <f t="shared" si="6"/>
        <v>15679184.13911562</v>
      </c>
      <c r="AD31" s="85">
        <f t="shared" si="6"/>
        <v>17790940.847144384</v>
      </c>
      <c r="AE31" s="85">
        <f t="shared" si="6"/>
        <v>20187120.287525605</v>
      </c>
      <c r="AF31" s="85">
        <f t="shared" si="6"/>
        <v>22906030.041038483</v>
      </c>
      <c r="AG31" s="85">
        <f t="shared" si="6"/>
        <v>25991137.159131166</v>
      </c>
      <c r="AH31" s="85">
        <f t="shared" si="6"/>
        <v>29491763.069133837</v>
      </c>
    </row>
    <row r="32" spans="2:35" ht="16" thickBot="1">
      <c r="B32" s="89" t="s">
        <v>961</v>
      </c>
      <c r="C32" s="90" t="s">
        <v>935</v>
      </c>
      <c r="D32" s="91">
        <v>0</v>
      </c>
      <c r="E32" s="91">
        <f>E30*$F$8*$D$22+E30*$F$9*$D$23</f>
        <v>551012.23885090719</v>
      </c>
      <c r="F32" s="91">
        <f t="shared" ref="F32:AH32" si="7">F30*$F$8*$D$22+F30*$F$9*$D$23</f>
        <v>625225.52579716174</v>
      </c>
      <c r="G32" s="91">
        <f t="shared" si="7"/>
        <v>709434.25671187148</v>
      </c>
      <c r="H32" s="91">
        <f t="shared" si="7"/>
        <v>804984.67165847449</v>
      </c>
      <c r="I32" s="91">
        <f t="shared" si="7"/>
        <v>913404.32954068657</v>
      </c>
      <c r="J32" s="91">
        <f t="shared" si="7"/>
        <v>1036426.5290974854</v>
      </c>
      <c r="K32" s="91">
        <f t="shared" si="7"/>
        <v>1176018.0190488263</v>
      </c>
      <c r="L32" s="91">
        <f t="shared" si="7"/>
        <v>1334410.4403925769</v>
      </c>
      <c r="M32" s="91">
        <f t="shared" si="7"/>
        <v>1514136.0035188231</v>
      </c>
      <c r="N32" s="91">
        <f t="shared" si="7"/>
        <v>1718067.9705094909</v>
      </c>
      <c r="O32" s="91">
        <f t="shared" si="7"/>
        <v>1949466.5898114683</v>
      </c>
      <c r="P32" s="91">
        <f t="shared" si="7"/>
        <v>2212031.2176381117</v>
      </c>
      <c r="Q32" s="91">
        <f t="shared" si="7"/>
        <v>2509959.4593610158</v>
      </c>
      <c r="R32" s="91">
        <f t="shared" si="7"/>
        <v>2848014.2763819257</v>
      </c>
      <c r="S32" s="91">
        <f t="shared" si="7"/>
        <v>3231600.1313185384</v>
      </c>
      <c r="T32" s="91">
        <f t="shared" si="7"/>
        <v>3666849.3888327456</v>
      </c>
      <c r="U32" s="91">
        <f t="shared" si="7"/>
        <v>4160720.3533863574</v>
      </c>
      <c r="V32" s="91">
        <f t="shared" si="7"/>
        <v>4721108.5112481881</v>
      </c>
      <c r="W32" s="91">
        <f t="shared" si="7"/>
        <v>5356972.7551719453</v>
      </c>
      <c r="X32" s="91">
        <f t="shared" si="7"/>
        <v>6078478.6096914774</v>
      </c>
      <c r="Y32" s="91">
        <f t="shared" si="7"/>
        <v>6897160.7467678655</v>
      </c>
      <c r="Z32" s="91">
        <f t="shared" si="7"/>
        <v>7826107.3899164367</v>
      </c>
      <c r="AA32" s="91">
        <f t="shared" si="7"/>
        <v>8880169.5548717715</v>
      </c>
      <c r="AB32" s="91">
        <f t="shared" si="7"/>
        <v>10076198.471908972</v>
      </c>
      <c r="AC32" s="91">
        <f t="shared" si="7"/>
        <v>11433314.985477973</v>
      </c>
      <c r="AD32" s="91">
        <f t="shared" si="7"/>
        <v>12973215.238027133</v>
      </c>
      <c r="AE32" s="91">
        <f t="shared" si="7"/>
        <v>14720517.524965521</v>
      </c>
      <c r="AF32" s="91">
        <f t="shared" si="7"/>
        <v>16703155.865913942</v>
      </c>
      <c r="AG32" s="91">
        <f t="shared" si="7"/>
        <v>18952826.584245294</v>
      </c>
      <c r="AH32" s="91">
        <f t="shared" si="7"/>
        <v>21505495.034355324</v>
      </c>
      <c r="AI32" s="85"/>
    </row>
    <row r="33" spans="2:35" ht="16" thickBot="1">
      <c r="B33" s="89" t="s">
        <v>962</v>
      </c>
      <c r="C33" s="90" t="s">
        <v>935</v>
      </c>
      <c r="D33" s="91">
        <v>0</v>
      </c>
      <c r="E33" s="91">
        <f>E31*$F$8*$D$24</f>
        <v>2471.0292294198853</v>
      </c>
      <c r="F33" s="91">
        <f t="shared" ref="F33:AH33" si="8">F31*$F$8*$D$24</f>
        <v>2803.8407140394493</v>
      </c>
      <c r="G33" s="91">
        <f t="shared" si="8"/>
        <v>3181.4770364132328</v>
      </c>
      <c r="H33" s="91">
        <f t="shared" si="8"/>
        <v>3609.9754463734898</v>
      </c>
      <c r="I33" s="91">
        <f t="shared" si="8"/>
        <v>4096.186322976434</v>
      </c>
      <c r="J33" s="91">
        <f t="shared" si="8"/>
        <v>4647.8826911121514</v>
      </c>
      <c r="K33" s="91">
        <f t="shared" si="8"/>
        <v>5273.8844883995753</v>
      </c>
      <c r="L33" s="91">
        <f t="shared" si="8"/>
        <v>5984.1995690141466</v>
      </c>
      <c r="M33" s="91">
        <f t="shared" si="8"/>
        <v>6790.1836986680619</v>
      </c>
      <c r="N33" s="91">
        <f t="shared" si="8"/>
        <v>7704.7220985735166</v>
      </c>
      <c r="O33" s="91">
        <f t="shared" si="8"/>
        <v>8742.4354407218143</v>
      </c>
      <c r="P33" s="91">
        <f t="shared" si="8"/>
        <v>9919.9135877125627</v>
      </c>
      <c r="Q33" s="91">
        <f t="shared" si="8"/>
        <v>11255.980813918344</v>
      </c>
      <c r="R33" s="91">
        <f t="shared" si="8"/>
        <v>12771.996748059668</v>
      </c>
      <c r="S33" s="91">
        <f t="shared" si="8"/>
        <v>14492.197848342041</v>
      </c>
      <c r="T33" s="91">
        <f t="shared" si="8"/>
        <v>16444.084869297891</v>
      </c>
      <c r="U33" s="91">
        <f t="shared" si="8"/>
        <v>18658.862514743207</v>
      </c>
      <c r="V33" s="91">
        <f t="shared" si="8"/>
        <v>21171.938305555239</v>
      </c>
      <c r="W33" s="91">
        <f t="shared" si="8"/>
        <v>24023.488637640919</v>
      </c>
      <c r="X33" s="91">
        <f t="shared" si="8"/>
        <v>27259.101079631961</v>
      </c>
      <c r="Y33" s="91">
        <f t="shared" si="8"/>
        <v>30930.503178682378</v>
      </c>
      <c r="Z33" s="91">
        <f t="shared" si="8"/>
        <v>35096.389425743953</v>
      </c>
      <c r="AA33" s="91">
        <f t="shared" si="8"/>
        <v>39823.359600965407</v>
      </c>
      <c r="AB33" s="91">
        <f t="shared" si="8"/>
        <v>45186.983500488284</v>
      </c>
      <c r="AC33" s="91">
        <f t="shared" si="8"/>
        <v>51273.009066364684</v>
      </c>
      <c r="AD33" s="91">
        <f t="shared" si="8"/>
        <v>58178.733233899235</v>
      </c>
      <c r="AE33" s="91">
        <f t="shared" si="8"/>
        <v>66014.557412071867</v>
      </c>
      <c r="AF33" s="91">
        <f t="shared" si="8"/>
        <v>74905.752464415724</v>
      </c>
      <c r="AG33" s="91">
        <f t="shared" si="8"/>
        <v>84994.461406996881</v>
      </c>
      <c r="AH33" s="91">
        <f t="shared" si="8"/>
        <v>96441.971840511178</v>
      </c>
      <c r="AI33" s="85"/>
    </row>
    <row r="38" spans="2:35">
      <c r="B38" t="s">
        <v>4</v>
      </c>
      <c r="C38">
        <v>28.053999999999998</v>
      </c>
      <c r="F38" t="s">
        <v>963</v>
      </c>
      <c r="G38" s="43">
        <f>(1/C41)*C40</f>
        <v>0.53353760074602008</v>
      </c>
    </row>
    <row r="39" spans="2:35">
      <c r="B39" t="s">
        <v>964</v>
      </c>
      <c r="C39">
        <v>86.09</v>
      </c>
      <c r="F39" t="s">
        <v>965</v>
      </c>
      <c r="G39" s="43">
        <f>(1/(2*C39))*2*C41</f>
        <v>0.69754907654779874</v>
      </c>
    </row>
    <row r="40" spans="2:35">
      <c r="B40" t="s">
        <v>6</v>
      </c>
      <c r="C40">
        <v>32.04</v>
      </c>
      <c r="F40" t="s">
        <v>966</v>
      </c>
      <c r="G40" s="43">
        <f>(1/SUM(C38+C39))*C39</f>
        <v>0.75422273619287927</v>
      </c>
      <c r="I40" s="43"/>
    </row>
    <row r="41" spans="2:35">
      <c r="B41" t="s">
        <v>246</v>
      </c>
      <c r="C41">
        <v>60.052</v>
      </c>
      <c r="F41" t="s">
        <v>967</v>
      </c>
      <c r="G41" s="43">
        <f>(1/SUM(C39+C38))*C38</f>
        <v>0.24577726380712084</v>
      </c>
    </row>
    <row r="42" spans="2:35">
      <c r="B42" t="s">
        <v>968</v>
      </c>
      <c r="C42" s="43">
        <v>32</v>
      </c>
      <c r="F42" t="s">
        <v>969</v>
      </c>
      <c r="G42" s="441">
        <f>G38*G39*G40</f>
        <v>0.28069806560134569</v>
      </c>
    </row>
    <row r="43" spans="2:35">
      <c r="F43" t="s">
        <v>970</v>
      </c>
      <c r="G43" s="43">
        <f>(1/(2*C39))*2*C38</f>
        <v>0.32586827738413282</v>
      </c>
    </row>
    <row r="44" spans="2:35">
      <c r="F44" t="s">
        <v>967</v>
      </c>
      <c r="G44" s="441">
        <f>G43*G40+G41</f>
        <v>0.49155452761424168</v>
      </c>
    </row>
    <row r="45" spans="2:35">
      <c r="F45" t="s">
        <v>971</v>
      </c>
      <c r="G45" s="43">
        <f>(1/(2*C39))*2*C42</f>
        <v>0.3717040306655825</v>
      </c>
    </row>
    <row r="46" spans="2:35">
      <c r="F46" t="s">
        <v>972</v>
      </c>
      <c r="G46" s="441">
        <f>G45*G40</f>
        <v>0.28034763106251753</v>
      </c>
    </row>
    <row r="48" spans="2:35">
      <c r="F48" t="s">
        <v>973</v>
      </c>
      <c r="G48" s="43">
        <f>G42+G44+G46</f>
        <v>1.052600224278105</v>
      </c>
    </row>
  </sheetData>
  <hyperlinks>
    <hyperlink ref="B3" r:id="rId1" display="https://eitrawmaterials.eu/wp-content/uploads/2020/04/rms_for_wind_and_solar_published_v2.pdf" xr:uid="{0AB76E17-5D60-4C47-B7AA-50194FFB45D8}"/>
    <hyperlink ref="E22" r:id="rId2" xr:uid="{209C01D1-C69A-4298-8BA8-BB6120DEF96D}"/>
    <hyperlink ref="K9" r:id="rId3" xr:uid="{1C461105-1563-4C6E-A52B-F15D7A1D4237}"/>
  </hyperlinks>
  <pageMargins left="0.7" right="0.7" top="0.75" bottom="0.75" header="0.3" footer="0.3"/>
  <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1F3F-FDAB-4303-8BE3-3F5AFFA86721}">
  <sheetPr>
    <tabColor theme="7"/>
  </sheetPr>
  <dimension ref="A1:AI40"/>
  <sheetViews>
    <sheetView topLeftCell="Q22" zoomScale="70" zoomScaleNormal="70" workbookViewId="0">
      <selection activeCell="AH37" sqref="AH37"/>
    </sheetView>
  </sheetViews>
  <sheetFormatPr baseColWidth="10" defaultColWidth="8.83203125" defaultRowHeight="15"/>
  <cols>
    <col min="2" max="2" width="34.5" customWidth="1"/>
    <col min="3" max="3" width="11.5" customWidth="1"/>
    <col min="4" max="4" width="14.83203125" customWidth="1"/>
    <col min="5" max="5" width="15.1640625" customWidth="1"/>
    <col min="6" max="6" width="13.5" customWidth="1"/>
    <col min="7" max="26" width="11.5" customWidth="1"/>
    <col min="27" max="34" width="12.5" customWidth="1"/>
  </cols>
  <sheetData>
    <row r="1" spans="1:11">
      <c r="A1" s="1" t="s">
        <v>974</v>
      </c>
    </row>
    <row r="3" spans="1:11">
      <c r="A3" t="s">
        <v>929</v>
      </c>
      <c r="B3" s="5" t="s">
        <v>975</v>
      </c>
    </row>
    <row r="4" spans="1:11" ht="16" thickBot="1"/>
    <row r="5" spans="1:11" ht="16" thickBot="1">
      <c r="F5" s="73" t="s">
        <v>931</v>
      </c>
    </row>
    <row r="6" spans="1:11" ht="16" thickBot="1">
      <c r="B6" s="1" t="s">
        <v>976</v>
      </c>
      <c r="C6" s="54" t="s">
        <v>933</v>
      </c>
      <c r="D6" s="51">
        <v>2</v>
      </c>
      <c r="E6" s="51">
        <v>3.45</v>
      </c>
      <c r="F6" s="73">
        <v>1</v>
      </c>
    </row>
    <row r="7" spans="1:11">
      <c r="B7" t="s">
        <v>934</v>
      </c>
      <c r="C7" s="54" t="s">
        <v>935</v>
      </c>
      <c r="D7" s="51">
        <v>236</v>
      </c>
      <c r="E7" s="51">
        <v>601</v>
      </c>
      <c r="F7" s="74">
        <f>AVERAGE(D7/D6,E7/E6)</f>
        <v>146.10144927536231</v>
      </c>
      <c r="G7" s="75">
        <f>F7</f>
        <v>146.10144927536231</v>
      </c>
      <c r="K7" s="54" t="s">
        <v>96</v>
      </c>
    </row>
    <row r="8" spans="1:11">
      <c r="B8" t="s">
        <v>977</v>
      </c>
      <c r="C8" s="54" t="s">
        <v>462</v>
      </c>
      <c r="D8" s="76">
        <v>0.03</v>
      </c>
      <c r="E8" s="56">
        <v>0.04</v>
      </c>
      <c r="F8" s="77">
        <f>AVERAGE(D8,E8)</f>
        <v>3.5000000000000003E-2</v>
      </c>
      <c r="G8" s="78">
        <f>F8*$G$7</f>
        <v>5.1135507246376815</v>
      </c>
      <c r="J8" s="6">
        <f>F8/(F9+F8)</f>
        <v>0.35000000000000003</v>
      </c>
      <c r="K8" s="54" t="s">
        <v>937</v>
      </c>
    </row>
    <row r="9" spans="1:11">
      <c r="B9" t="s">
        <v>978</v>
      </c>
      <c r="C9" s="54" t="s">
        <v>462</v>
      </c>
      <c r="D9" s="55">
        <v>0.09</v>
      </c>
      <c r="E9" s="55">
        <v>0.04</v>
      </c>
      <c r="F9" s="77">
        <f>AVERAGE(D9,E9)</f>
        <v>6.5000000000000002E-2</v>
      </c>
      <c r="G9" s="78">
        <f t="shared" ref="G9:G11" si="0">F9*$G$7</f>
        <v>9.4965942028985513</v>
      </c>
      <c r="J9" s="6">
        <f>F9/(F8+F9)</f>
        <v>0.65</v>
      </c>
      <c r="K9" s="54" t="s">
        <v>939</v>
      </c>
    </row>
    <row r="10" spans="1:11">
      <c r="B10" t="s">
        <v>979</v>
      </c>
      <c r="C10" s="54" t="s">
        <v>462</v>
      </c>
      <c r="D10" s="55">
        <f>0.84+0.01</f>
        <v>0.85</v>
      </c>
      <c r="E10" s="55">
        <f>0.89+0.01</f>
        <v>0.9</v>
      </c>
      <c r="F10" s="77">
        <f t="shared" ref="F10:F11" si="1">AVERAGE(D10,E10)</f>
        <v>0.875</v>
      </c>
      <c r="G10" s="78">
        <f t="shared" si="0"/>
        <v>127.83876811594203</v>
      </c>
    </row>
    <row r="11" spans="1:11" ht="16" thickBot="1">
      <c r="B11" t="s">
        <v>980</v>
      </c>
      <c r="C11" s="54" t="s">
        <v>462</v>
      </c>
      <c r="D11" s="55">
        <f>1-D10-D9-D8</f>
        <v>3.0000000000000027E-2</v>
      </c>
      <c r="E11" s="55">
        <f>1-E10-E9-E8</f>
        <v>1.9999999999999976E-2</v>
      </c>
      <c r="F11" s="79">
        <f t="shared" si="1"/>
        <v>2.5000000000000001E-2</v>
      </c>
      <c r="G11" s="80">
        <f t="shared" si="0"/>
        <v>3.6525362318840582</v>
      </c>
    </row>
    <row r="13" spans="1:11">
      <c r="A13" t="s">
        <v>942</v>
      </c>
    </row>
    <row r="14" spans="1:11">
      <c r="D14" s="1"/>
      <c r="E14" s="1"/>
      <c r="F14" s="1"/>
    </row>
    <row r="15" spans="1:11" ht="16" thickBot="1">
      <c r="B15" s="81"/>
      <c r="C15" s="82"/>
      <c r="D15" s="81">
        <v>2020</v>
      </c>
      <c r="E15" s="81">
        <v>2050</v>
      </c>
      <c r="F15" s="83" t="s">
        <v>981</v>
      </c>
      <c r="G15" s="81" t="s">
        <v>46</v>
      </c>
      <c r="I15" s="170" t="s">
        <v>96</v>
      </c>
    </row>
    <row r="16" spans="1:11">
      <c r="B16" t="s">
        <v>982</v>
      </c>
      <c r="C16" s="54" t="s">
        <v>933</v>
      </c>
      <c r="D16" s="84">
        <v>743000</v>
      </c>
      <c r="E16" s="84">
        <v>15000000</v>
      </c>
      <c r="F16" s="85">
        <f>E16-D16</f>
        <v>14257000</v>
      </c>
      <c r="G16" s="23">
        <f>(E16/D16)^(1/30)-1</f>
        <v>0.10535916075125362</v>
      </c>
      <c r="I16" s="54" t="s">
        <v>983</v>
      </c>
    </row>
    <row r="17" spans="2:34">
      <c r="B17" t="s">
        <v>984</v>
      </c>
      <c r="C17" s="54" t="s">
        <v>935</v>
      </c>
      <c r="D17" s="85">
        <f>D16*F7</f>
        <v>108553376.8115942</v>
      </c>
      <c r="E17" s="85">
        <f>E16*F7</f>
        <v>2191521739.1304345</v>
      </c>
      <c r="F17" s="85">
        <f>F16*F7</f>
        <v>2082968362.3188405</v>
      </c>
    </row>
    <row r="18" spans="2:34">
      <c r="B18" t="s">
        <v>985</v>
      </c>
      <c r="C18" s="54" t="s">
        <v>935</v>
      </c>
      <c r="D18" s="85">
        <f>D17*$F$8</f>
        <v>3799368.1884057974</v>
      </c>
      <c r="E18" s="85">
        <f t="shared" ref="E18:F18" si="2">E17*$F$8</f>
        <v>76703260.869565219</v>
      </c>
      <c r="F18" s="85">
        <f t="shared" si="2"/>
        <v>72903892.681159422</v>
      </c>
    </row>
    <row r="19" spans="2:34" ht="16" thickBot="1">
      <c r="B19" s="86" t="s">
        <v>948</v>
      </c>
      <c r="C19" s="87" t="s">
        <v>935</v>
      </c>
      <c r="D19" s="88">
        <f>D18*$D$22</f>
        <v>1139810.4565217393</v>
      </c>
      <c r="E19" s="88">
        <f>E18*$D$22</f>
        <v>23010978.260869566</v>
      </c>
      <c r="F19" s="88">
        <f>F18*$D$22</f>
        <v>21871167.804347824</v>
      </c>
      <c r="G19" s="85">
        <f>E19-D19</f>
        <v>21871167.804347828</v>
      </c>
    </row>
    <row r="21" spans="2:34" ht="16" thickBot="1">
      <c r="B21" s="81" t="s">
        <v>949</v>
      </c>
      <c r="C21" s="81"/>
      <c r="D21" s="81"/>
      <c r="I21" s="68" t="s">
        <v>258</v>
      </c>
      <c r="J21" s="68" t="s">
        <v>950</v>
      </c>
      <c r="K21" s="68" t="s">
        <v>951</v>
      </c>
      <c r="L21" s="68" t="s">
        <v>248</v>
      </c>
    </row>
    <row r="22" spans="2:34">
      <c r="B22" t="s">
        <v>986</v>
      </c>
      <c r="C22" t="s">
        <v>462</v>
      </c>
      <c r="D22" s="56">
        <v>0.3</v>
      </c>
      <c r="I22" s="55">
        <v>0</v>
      </c>
      <c r="J22" s="55">
        <v>0.5</v>
      </c>
      <c r="K22" s="55">
        <v>0.3</v>
      </c>
      <c r="L22" s="55">
        <v>0.2</v>
      </c>
    </row>
    <row r="23" spans="2:34">
      <c r="B23" t="s">
        <v>987</v>
      </c>
      <c r="C23" t="s">
        <v>462</v>
      </c>
      <c r="D23" s="56">
        <f>0.35*AVERAGE('Demand - Industry shares'!Z114,'Demand - Industry shares'!Z119,'Demand - Industry shares'!Z122)</f>
        <v>0.15312844828414252</v>
      </c>
      <c r="E23" t="s">
        <v>988</v>
      </c>
      <c r="I23" s="55"/>
      <c r="J23" s="55"/>
      <c r="K23" s="55"/>
      <c r="L23" s="55"/>
    </row>
    <row r="24" spans="2:34">
      <c r="B24" t="s">
        <v>989</v>
      </c>
      <c r="C24" t="s">
        <v>462</v>
      </c>
      <c r="D24" s="56">
        <f>0.5*0.25</f>
        <v>0.125</v>
      </c>
      <c r="E24" t="s">
        <v>990</v>
      </c>
      <c r="I24" s="55"/>
      <c r="J24" s="55"/>
      <c r="K24" s="55"/>
      <c r="L24" s="55"/>
    </row>
    <row r="25" spans="2:34">
      <c r="B25" t="s">
        <v>991</v>
      </c>
      <c r="C25" t="s">
        <v>462</v>
      </c>
      <c r="D25" s="56">
        <v>0</v>
      </c>
      <c r="E25" t="s">
        <v>98</v>
      </c>
      <c r="I25" s="55"/>
      <c r="J25" s="55"/>
      <c r="K25" s="55"/>
      <c r="L25" s="55"/>
    </row>
    <row r="26" spans="2:34">
      <c r="B26" t="s">
        <v>992</v>
      </c>
      <c r="C26" t="s">
        <v>462</v>
      </c>
      <c r="D26" s="56">
        <f>0.52*0.25</f>
        <v>0.13</v>
      </c>
      <c r="E26" t="s">
        <v>993</v>
      </c>
      <c r="I26" s="55"/>
      <c r="J26" s="55"/>
      <c r="K26" s="55"/>
      <c r="L26" s="55"/>
    </row>
    <row r="27" spans="2:34">
      <c r="B27" t="s">
        <v>994</v>
      </c>
      <c r="C27" t="s">
        <v>462</v>
      </c>
      <c r="D27" s="56">
        <v>0</v>
      </c>
      <c r="E27" t="s">
        <v>98</v>
      </c>
      <c r="I27" s="55"/>
      <c r="J27" s="55"/>
      <c r="K27" s="55"/>
      <c r="L27" s="55"/>
    </row>
    <row r="28" spans="2:34">
      <c r="B28" t="s">
        <v>995</v>
      </c>
      <c r="C28" s="54"/>
      <c r="D28" s="85"/>
    </row>
    <row r="29" spans="2:34">
      <c r="B29" t="s">
        <v>996</v>
      </c>
    </row>
    <row r="30" spans="2:34">
      <c r="B30" t="s">
        <v>997</v>
      </c>
    </row>
    <row r="32" spans="2:34" ht="16" thickBot="1">
      <c r="B32" s="81"/>
      <c r="C32" s="82"/>
      <c r="D32" s="81">
        <v>2020</v>
      </c>
      <c r="E32" s="81">
        <f>D32+1</f>
        <v>2021</v>
      </c>
      <c r="F32" s="81">
        <f t="shared" ref="F32:AH32" si="3">E32+1</f>
        <v>2022</v>
      </c>
      <c r="G32" s="81">
        <f t="shared" si="3"/>
        <v>2023</v>
      </c>
      <c r="H32" s="81">
        <f t="shared" si="3"/>
        <v>2024</v>
      </c>
      <c r="I32" s="81">
        <f t="shared" si="3"/>
        <v>2025</v>
      </c>
      <c r="J32" s="81">
        <f t="shared" si="3"/>
        <v>2026</v>
      </c>
      <c r="K32" s="81">
        <f t="shared" si="3"/>
        <v>2027</v>
      </c>
      <c r="L32" s="81">
        <f t="shared" si="3"/>
        <v>2028</v>
      </c>
      <c r="M32" s="81">
        <f t="shared" si="3"/>
        <v>2029</v>
      </c>
      <c r="N32" s="81">
        <f t="shared" si="3"/>
        <v>2030</v>
      </c>
      <c r="O32" s="81">
        <f t="shared" si="3"/>
        <v>2031</v>
      </c>
      <c r="P32" s="81">
        <f t="shared" si="3"/>
        <v>2032</v>
      </c>
      <c r="Q32" s="81">
        <f t="shared" si="3"/>
        <v>2033</v>
      </c>
      <c r="R32" s="81">
        <f t="shared" si="3"/>
        <v>2034</v>
      </c>
      <c r="S32" s="81">
        <f t="shared" si="3"/>
        <v>2035</v>
      </c>
      <c r="T32" s="81">
        <f t="shared" si="3"/>
        <v>2036</v>
      </c>
      <c r="U32" s="81">
        <f t="shared" si="3"/>
        <v>2037</v>
      </c>
      <c r="V32" s="81">
        <f t="shared" si="3"/>
        <v>2038</v>
      </c>
      <c r="W32" s="81">
        <f t="shared" si="3"/>
        <v>2039</v>
      </c>
      <c r="X32" s="81">
        <f t="shared" si="3"/>
        <v>2040</v>
      </c>
      <c r="Y32" s="81">
        <f t="shared" si="3"/>
        <v>2041</v>
      </c>
      <c r="Z32" s="81">
        <f t="shared" si="3"/>
        <v>2042</v>
      </c>
      <c r="AA32" s="81">
        <f t="shared" si="3"/>
        <v>2043</v>
      </c>
      <c r="AB32" s="81">
        <f t="shared" si="3"/>
        <v>2044</v>
      </c>
      <c r="AC32" s="81">
        <f t="shared" si="3"/>
        <v>2045</v>
      </c>
      <c r="AD32" s="81">
        <f t="shared" si="3"/>
        <v>2046</v>
      </c>
      <c r="AE32" s="81">
        <f t="shared" si="3"/>
        <v>2047</v>
      </c>
      <c r="AF32" s="81">
        <f t="shared" si="3"/>
        <v>2048</v>
      </c>
      <c r="AG32" s="81">
        <f t="shared" si="3"/>
        <v>2049</v>
      </c>
      <c r="AH32" s="81">
        <f t="shared" si="3"/>
        <v>2050</v>
      </c>
    </row>
    <row r="33" spans="2:35">
      <c r="B33" t="s">
        <v>982</v>
      </c>
      <c r="C33" s="54" t="s">
        <v>933</v>
      </c>
      <c r="D33" s="85">
        <f>D16</f>
        <v>743000</v>
      </c>
      <c r="E33" s="85">
        <f t="shared" ref="E33:AH33" si="4">D33*(1+$G$16)</f>
        <v>821281.85643818148</v>
      </c>
      <c r="F33" s="85">
        <f t="shared" si="4"/>
        <v>907811.42357273982</v>
      </c>
      <c r="G33" s="85">
        <f t="shared" si="4"/>
        <v>1003457.6732807645</v>
      </c>
      <c r="H33" s="85">
        <f t="shared" si="4"/>
        <v>1109181.1315870315</v>
      </c>
      <c r="I33" s="85">
        <f t="shared" si="4"/>
        <v>1226043.5247321669</v>
      </c>
      <c r="J33" s="85">
        <f t="shared" si="4"/>
        <v>1355218.4415424569</v>
      </c>
      <c r="K33" s="85">
        <f t="shared" si="4"/>
        <v>1498003.119177992</v>
      </c>
      <c r="L33" s="85">
        <f t="shared" si="4"/>
        <v>1655831.4706173453</v>
      </c>
      <c r="M33" s="85">
        <f t="shared" si="4"/>
        <v>1830288.4847071029</v>
      </c>
      <c r="N33" s="85">
        <f t="shared" si="4"/>
        <v>2023126.143388527</v>
      </c>
      <c r="O33" s="85">
        <f t="shared" si="4"/>
        <v>2236281.0159498625</v>
      </c>
      <c r="P33" s="85">
        <f t="shared" si="4"/>
        <v>2471893.7069943007</v>
      </c>
      <c r="Q33" s="85">
        <f t="shared" si="4"/>
        <v>2732330.3534295256</v>
      </c>
      <c r="R33" s="85">
        <f t="shared" si="4"/>
        <v>3020206.3863620367</v>
      </c>
      <c r="S33" s="85">
        <f t="shared" si="4"/>
        <v>3338412.7965247175</v>
      </c>
      <c r="T33" s="85">
        <f t="shared" si="4"/>
        <v>3690145.1670078072</v>
      </c>
      <c r="U33" s="85">
        <f t="shared" si="4"/>
        <v>4078935.7648540442</v>
      </c>
      <c r="V33" s="85">
        <f t="shared" si="4"/>
        <v>4508689.0137973391</v>
      </c>
      <c r="W33" s="85">
        <f t="shared" si="4"/>
        <v>4983720.7043794245</v>
      </c>
      <c r="X33" s="85">
        <f t="shared" si="4"/>
        <v>5508801.3352114875</v>
      </c>
      <c r="Y33" s="85">
        <f t="shared" si="4"/>
        <v>6089204.0206347555</v>
      </c>
      <c r="Z33" s="85">
        <f t="shared" si="4"/>
        <v>6730757.4458919922</v>
      </c>
      <c r="AA33" s="85">
        <f t="shared" si="4"/>
        <v>7439904.4016114241</v>
      </c>
      <c r="AB33" s="85">
        <f t="shared" si="4"/>
        <v>8223766.4854347613</v>
      </c>
      <c r="AC33" s="85">
        <f t="shared" si="4"/>
        <v>9090215.6205544546</v>
      </c>
      <c r="AD33" s="85">
        <f t="shared" si="4"/>
        <v>10047953.109384008</v>
      </c>
      <c r="AE33" s="85">
        <f t="shared" si="4"/>
        <v>11106597.016256656</v>
      </c>
      <c r="AF33" s="85">
        <f t="shared" si="4"/>
        <v>12276778.756691836</v>
      </c>
      <c r="AG33" s="85">
        <f t="shared" si="4"/>
        <v>13570249.863225706</v>
      </c>
      <c r="AH33" s="85">
        <f t="shared" si="4"/>
        <v>14999999.999999981</v>
      </c>
    </row>
    <row r="34" spans="2:35">
      <c r="B34" t="s">
        <v>998</v>
      </c>
      <c r="C34" s="54" t="s">
        <v>933</v>
      </c>
      <c r="D34">
        <f>0</f>
        <v>0</v>
      </c>
      <c r="E34" s="85">
        <f>E33-D33</f>
        <v>78281.856438181479</v>
      </c>
      <c r="F34" s="85">
        <f t="shared" ref="F34:AH34" si="5">F33-E33</f>
        <v>86529.56713455834</v>
      </c>
      <c r="G34" s="85">
        <f t="shared" si="5"/>
        <v>95646.249708024669</v>
      </c>
      <c r="H34" s="85">
        <f t="shared" si="5"/>
        <v>105723.45830626704</v>
      </c>
      <c r="I34" s="85">
        <f t="shared" si="5"/>
        <v>116862.39314513537</v>
      </c>
      <c r="J34" s="85">
        <f t="shared" si="5"/>
        <v>129174.91681028996</v>
      </c>
      <c r="K34" s="85">
        <f t="shared" si="5"/>
        <v>142784.67763553513</v>
      </c>
      <c r="L34" s="85">
        <f t="shared" si="5"/>
        <v>157828.35143935331</v>
      </c>
      <c r="M34" s="85">
        <f t="shared" si="5"/>
        <v>174457.01408975758</v>
      </c>
      <c r="N34" s="85">
        <f t="shared" si="5"/>
        <v>192837.6586814241</v>
      </c>
      <c r="O34" s="85">
        <f t="shared" si="5"/>
        <v>213154.87256133556</v>
      </c>
      <c r="P34" s="85">
        <f t="shared" si="5"/>
        <v>235612.69104443816</v>
      </c>
      <c r="Q34" s="85">
        <f t="shared" si="5"/>
        <v>260436.64643522492</v>
      </c>
      <c r="R34" s="85">
        <f t="shared" si="5"/>
        <v>287876.03293251107</v>
      </c>
      <c r="S34" s="85">
        <f t="shared" si="5"/>
        <v>318206.41016268078</v>
      </c>
      <c r="T34" s="85">
        <f t="shared" si="5"/>
        <v>351732.3704830897</v>
      </c>
      <c r="U34" s="85">
        <f t="shared" si="5"/>
        <v>388790.59784623701</v>
      </c>
      <c r="V34" s="85">
        <f t="shared" si="5"/>
        <v>429753.24894329486</v>
      </c>
      <c r="W34" s="85">
        <f t="shared" si="5"/>
        <v>475031.6905820854</v>
      </c>
      <c r="X34" s="85">
        <f t="shared" si="5"/>
        <v>525080.63083206303</v>
      </c>
      <c r="Y34" s="85">
        <f t="shared" si="5"/>
        <v>580402.68542326801</v>
      </c>
      <c r="Z34" s="85">
        <f t="shared" si="5"/>
        <v>641553.4252572367</v>
      </c>
      <c r="AA34" s="85">
        <f t="shared" si="5"/>
        <v>709146.95571943186</v>
      </c>
      <c r="AB34" s="85">
        <f t="shared" si="5"/>
        <v>783862.08382333722</v>
      </c>
      <c r="AC34" s="85">
        <f t="shared" si="5"/>
        <v>866449.13511969335</v>
      </c>
      <c r="AD34" s="85">
        <f t="shared" si="5"/>
        <v>957737.48882955313</v>
      </c>
      <c r="AE34" s="85">
        <f t="shared" si="5"/>
        <v>1058643.9068726487</v>
      </c>
      <c r="AF34" s="85">
        <f t="shared" si="5"/>
        <v>1170181.7404351793</v>
      </c>
      <c r="AG34" s="85">
        <f t="shared" si="5"/>
        <v>1293471.1065338701</v>
      </c>
      <c r="AH34" s="85">
        <f t="shared" si="5"/>
        <v>1429750.1367742755</v>
      </c>
    </row>
    <row r="35" spans="2:35">
      <c r="B35" t="s">
        <v>959</v>
      </c>
      <c r="C35" s="54" t="s">
        <v>935</v>
      </c>
      <c r="D35">
        <v>0</v>
      </c>
      <c r="E35" s="85">
        <f>E34*$F$7</f>
        <v>11437092.677584166</v>
      </c>
      <c r="F35" s="85">
        <f t="shared" ref="F35:AH35" si="6">F34*$F$7</f>
        <v>12642095.163528733</v>
      </c>
      <c r="G35" s="85">
        <f t="shared" si="6"/>
        <v>13974055.700095603</v>
      </c>
      <c r="H35" s="85">
        <f t="shared" si="6"/>
        <v>15446350.480948957</v>
      </c>
      <c r="I35" s="85">
        <f t="shared" si="6"/>
        <v>17073765.004291445</v>
      </c>
      <c r="J35" s="85">
        <f t="shared" si="6"/>
        <v>18872642.556007724</v>
      </c>
      <c r="K35" s="85">
        <f t="shared" si="6"/>
        <v>20861048.336867094</v>
      </c>
      <c r="L35" s="85">
        <f t="shared" si="6"/>
        <v>23058950.882030733</v>
      </c>
      <c r="M35" s="85">
        <f t="shared" si="6"/>
        <v>25488422.594765887</v>
      </c>
      <c r="N35" s="85">
        <f t="shared" si="6"/>
        <v>28173861.408223715</v>
      </c>
      <c r="O35" s="85">
        <f t="shared" si="6"/>
        <v>31142235.801316287</v>
      </c>
      <c r="P35" s="85">
        <f t="shared" si="6"/>
        <v>34423355.629260592</v>
      </c>
      <c r="Q35" s="85">
        <f t="shared" si="6"/>
        <v>38050171.488601483</v>
      </c>
      <c r="R35" s="85">
        <f t="shared" si="6"/>
        <v>42059105.623081796</v>
      </c>
      <c r="S35" s="85">
        <f t="shared" si="6"/>
        <v>46490417.69347804</v>
      </c>
      <c r="T35" s="85">
        <f t="shared" si="6"/>
        <v>51388609.084638074</v>
      </c>
      <c r="U35" s="85">
        <f t="shared" si="6"/>
        <v>56802869.809969783</v>
      </c>
      <c r="V35" s="85">
        <f t="shared" si="6"/>
        <v>62787572.501410946</v>
      </c>
      <c r="W35" s="85">
        <f t="shared" si="6"/>
        <v>69402818.445768163</v>
      </c>
      <c r="X35" s="85">
        <f t="shared" si="6"/>
        <v>76715041.150985897</v>
      </c>
      <c r="Y35" s="85">
        <f t="shared" si="6"/>
        <v>84797673.503651664</v>
      </c>
      <c r="Z35" s="85">
        <f t="shared" si="6"/>
        <v>93731885.217655107</v>
      </c>
      <c r="AA35" s="85">
        <f t="shared" si="6"/>
        <v>103607397.97982018</v>
      </c>
      <c r="AB35" s="85">
        <f t="shared" si="6"/>
        <v>114523386.47859511</v>
      </c>
      <c r="AC35" s="85">
        <f t="shared" si="6"/>
        <v>126589474.36437142</v>
      </c>
      <c r="AD35" s="85">
        <f t="shared" si="6"/>
        <v>139926835.14334384</v>
      </c>
      <c r="AE35" s="85">
        <f t="shared" si="6"/>
        <v>154669409.06062567</v>
      </c>
      <c r="AF35" s="85">
        <f t="shared" si="6"/>
        <v>170965248.19314554</v>
      </c>
      <c r="AG35" s="85">
        <f t="shared" si="6"/>
        <v>188978003.26040497</v>
      </c>
      <c r="AH35" s="85">
        <f t="shared" si="6"/>
        <v>208888567.08436912</v>
      </c>
    </row>
    <row r="36" spans="2:35">
      <c r="B36" t="s">
        <v>960</v>
      </c>
      <c r="C36" s="54" t="s">
        <v>935</v>
      </c>
      <c r="D36">
        <v>0</v>
      </c>
      <c r="E36" s="85">
        <f>E35*$F$8</f>
        <v>400298.24371544586</v>
      </c>
      <c r="F36" s="85">
        <f t="shared" ref="F36:AH36" si="7">F35*$F$8</f>
        <v>442473.3307235057</v>
      </c>
      <c r="G36" s="85">
        <f t="shared" si="7"/>
        <v>489091.94950334617</v>
      </c>
      <c r="H36" s="85">
        <f t="shared" si="7"/>
        <v>540622.26683321351</v>
      </c>
      <c r="I36" s="85">
        <f t="shared" si="7"/>
        <v>597581.77515020058</v>
      </c>
      <c r="J36" s="85">
        <f t="shared" si="7"/>
        <v>660542.48946027039</v>
      </c>
      <c r="K36" s="85">
        <f t="shared" si="7"/>
        <v>730136.69179034838</v>
      </c>
      <c r="L36" s="85">
        <f t="shared" si="7"/>
        <v>807063.28087107569</v>
      </c>
      <c r="M36" s="85">
        <f t="shared" si="7"/>
        <v>892094.79081680614</v>
      </c>
      <c r="N36" s="85">
        <f t="shared" si="7"/>
        <v>986085.14928783011</v>
      </c>
      <c r="O36" s="85">
        <f t="shared" si="7"/>
        <v>1089978.2530460702</v>
      </c>
      <c r="P36" s="85">
        <f t="shared" si="7"/>
        <v>1204817.4470241209</v>
      </c>
      <c r="Q36" s="85">
        <f t="shared" si="7"/>
        <v>1331756.0021010521</v>
      </c>
      <c r="R36" s="85">
        <f t="shared" si="7"/>
        <v>1472068.696807863</v>
      </c>
      <c r="S36" s="85">
        <f t="shared" si="7"/>
        <v>1627164.6192717315</v>
      </c>
      <c r="T36" s="85">
        <f t="shared" si="7"/>
        <v>1798601.3179623329</v>
      </c>
      <c r="U36" s="85">
        <f t="shared" si="7"/>
        <v>1988100.4433489426</v>
      </c>
      <c r="V36" s="85">
        <f t="shared" si="7"/>
        <v>2197565.0375493835</v>
      </c>
      <c r="W36" s="85">
        <f t="shared" si="7"/>
        <v>2429098.6456018859</v>
      </c>
      <c r="X36" s="85">
        <f t="shared" si="7"/>
        <v>2685026.4402845064</v>
      </c>
      <c r="Y36" s="85">
        <f t="shared" si="7"/>
        <v>2967918.5726278084</v>
      </c>
      <c r="Z36" s="85">
        <f t="shared" si="7"/>
        <v>3280615.9826179291</v>
      </c>
      <c r="AA36" s="85">
        <f t="shared" si="7"/>
        <v>3626258.9292937065</v>
      </c>
      <c r="AB36" s="85">
        <f t="shared" si="7"/>
        <v>4008318.5267508291</v>
      </c>
      <c r="AC36" s="85">
        <f t="shared" si="7"/>
        <v>4430631.6027530003</v>
      </c>
      <c r="AD36" s="85">
        <f t="shared" si="7"/>
        <v>4897439.2300170343</v>
      </c>
      <c r="AE36" s="85">
        <f t="shared" si="7"/>
        <v>5413429.3171218988</v>
      </c>
      <c r="AF36" s="85">
        <f t="shared" si="7"/>
        <v>5983783.6867600949</v>
      </c>
      <c r="AG36" s="85">
        <f t="shared" si="7"/>
        <v>6614230.1141141746</v>
      </c>
      <c r="AH36" s="85">
        <f t="shared" si="7"/>
        <v>7311099.84795292</v>
      </c>
    </row>
    <row r="37" spans="2:35" ht="16" thickBot="1">
      <c r="B37" s="89" t="s">
        <v>961</v>
      </c>
      <c r="C37" s="90" t="s">
        <v>935</v>
      </c>
      <c r="D37" s="91">
        <v>0</v>
      </c>
      <c r="E37" s="91">
        <f>E36*$D$22</f>
        <v>120089.47311463376</v>
      </c>
      <c r="F37" s="91">
        <f t="shared" ref="F37:AH37" si="8">F36*$D$22</f>
        <v>132741.99921705169</v>
      </c>
      <c r="G37" s="91">
        <f t="shared" si="8"/>
        <v>146727.58485100383</v>
      </c>
      <c r="H37" s="91">
        <f t="shared" si="8"/>
        <v>162186.68004996405</v>
      </c>
      <c r="I37" s="91">
        <f t="shared" si="8"/>
        <v>179274.53254506018</v>
      </c>
      <c r="J37" s="91">
        <f t="shared" si="8"/>
        <v>198162.7468380811</v>
      </c>
      <c r="K37" s="91">
        <f t="shared" si="8"/>
        <v>219041.00753710451</v>
      </c>
      <c r="L37" s="91">
        <f t="shared" si="8"/>
        <v>242118.98426132271</v>
      </c>
      <c r="M37" s="91">
        <f t="shared" si="8"/>
        <v>267628.43724504183</v>
      </c>
      <c r="N37" s="91">
        <f t="shared" si="8"/>
        <v>295825.544786349</v>
      </c>
      <c r="O37" s="91">
        <f t="shared" si="8"/>
        <v>326993.47591382108</v>
      </c>
      <c r="P37" s="91">
        <f t="shared" si="8"/>
        <v>361445.23410723626</v>
      </c>
      <c r="Q37" s="91">
        <f t="shared" si="8"/>
        <v>399526.80063031561</v>
      </c>
      <c r="R37" s="91">
        <f t="shared" si="8"/>
        <v>441620.60904235888</v>
      </c>
      <c r="S37" s="91">
        <f t="shared" si="8"/>
        <v>488149.38578151941</v>
      </c>
      <c r="T37" s="91">
        <f t="shared" si="8"/>
        <v>539580.39538869984</v>
      </c>
      <c r="U37" s="91">
        <f t="shared" si="8"/>
        <v>596430.13300468272</v>
      </c>
      <c r="V37" s="91">
        <f t="shared" si="8"/>
        <v>659269.511264815</v>
      </c>
      <c r="W37" s="91">
        <f t="shared" si="8"/>
        <v>728729.59368056571</v>
      </c>
      <c r="X37" s="91">
        <f t="shared" si="8"/>
        <v>805507.9320853519</v>
      </c>
      <c r="Y37" s="91">
        <f t="shared" si="8"/>
        <v>890375.57178834255</v>
      </c>
      <c r="Z37" s="91">
        <f t="shared" si="8"/>
        <v>984184.79478537873</v>
      </c>
      <c r="AA37" s="91">
        <f t="shared" si="8"/>
        <v>1087877.678788112</v>
      </c>
      <c r="AB37" s="91">
        <f t="shared" si="8"/>
        <v>1202495.5580252486</v>
      </c>
      <c r="AC37" s="91">
        <f t="shared" si="8"/>
        <v>1329189.4808259001</v>
      </c>
      <c r="AD37" s="91">
        <f t="shared" si="8"/>
        <v>1469231.7690051103</v>
      </c>
      <c r="AE37" s="91">
        <f t="shared" si="8"/>
        <v>1624028.7951365695</v>
      </c>
      <c r="AF37" s="91">
        <f t="shared" si="8"/>
        <v>1795135.1060280285</v>
      </c>
      <c r="AG37" s="91">
        <f t="shared" si="8"/>
        <v>1984269.0342342523</v>
      </c>
      <c r="AH37" s="91">
        <f t="shared" si="8"/>
        <v>2193329.9543858757</v>
      </c>
      <c r="AI37" s="85"/>
    </row>
    <row r="38" spans="2:35" ht="16" thickBot="1">
      <c r="B38" s="89" t="s">
        <v>962</v>
      </c>
      <c r="C38" s="90" t="s">
        <v>935</v>
      </c>
      <c r="D38" s="91">
        <v>0</v>
      </c>
      <c r="E38" s="91">
        <f>E36*$D$23</f>
        <v>61297.048911013728</v>
      </c>
      <c r="F38" s="91">
        <f t="shared" ref="F38:AH38" si="9">F36*$D$23</f>
        <v>67755.254540806636</v>
      </c>
      <c r="G38" s="91">
        <f t="shared" si="9"/>
        <v>74893.891295713591</v>
      </c>
      <c r="H38" s="91">
        <f t="shared" si="9"/>
        <v>82784.648828025631</v>
      </c>
      <c r="I38" s="91">
        <f t="shared" si="9"/>
        <v>91506.769951633571</v>
      </c>
      <c r="J38" s="91">
        <f t="shared" si="9"/>
        <v>101147.84643679576</v>
      </c>
      <c r="K38" s="91">
        <f t="shared" si="9"/>
        <v>111804.69864917327</v>
      </c>
      <c r="L38" s="91">
        <f t="shared" si="9"/>
        <v>123584.3478668969</v>
      </c>
      <c r="M38" s="91">
        <f t="shared" si="9"/>
        <v>136605.09104014424</v>
      </c>
      <c r="N38" s="91">
        <f t="shared" si="9"/>
        <v>150997.68878648244</v>
      </c>
      <c r="O38" s="91">
        <f t="shared" si="9"/>
        <v>166906.67855240518</v>
      </c>
      <c r="P38" s="91">
        <f t="shared" si="9"/>
        <v>184491.82612846571</v>
      </c>
      <c r="Q38" s="91">
        <f t="shared" si="9"/>
        <v>203929.73009482733</v>
      </c>
      <c r="R38" s="91">
        <f t="shared" si="9"/>
        <v>225415.59530984791</v>
      </c>
      <c r="S38" s="91">
        <f t="shared" si="9"/>
        <v>249165.19325193777</v>
      </c>
      <c r="T38" s="91">
        <f t="shared" si="9"/>
        <v>275417.02890138567</v>
      </c>
      <c r="U38" s="91">
        <f t="shared" si="9"/>
        <v>304434.73592303938</v>
      </c>
      <c r="V38" s="91">
        <f t="shared" si="9"/>
        <v>336509.72420342045</v>
      </c>
      <c r="W38" s="91">
        <f t="shared" si="9"/>
        <v>371964.10633012903</v>
      </c>
      <c r="X38" s="91">
        <f t="shared" si="9"/>
        <v>411153.9324026613</v>
      </c>
      <c r="Y38" s="91">
        <f t="shared" si="9"/>
        <v>454472.76566018345</v>
      </c>
      <c r="Z38" s="91">
        <f t="shared" si="9"/>
        <v>502355.63483444095</v>
      </c>
      <c r="AA38" s="91">
        <f t="shared" si="9"/>
        <v>555283.40291926137</v>
      </c>
      <c r="AB38" s="91">
        <f t="shared" si="9"/>
        <v>613787.5962299346</v>
      </c>
      <c r="AC38" s="91">
        <f t="shared" si="9"/>
        <v>678455.74224825029</v>
      </c>
      <c r="AD38" s="91">
        <f t="shared" si="9"/>
        <v>749937.26985839417</v>
      </c>
      <c r="AE38" s="91">
        <f t="shared" si="9"/>
        <v>828950.03122676164</v>
      </c>
      <c r="AF38" s="91">
        <f t="shared" si="9"/>
        <v>916287.51082153886</v>
      </c>
      <c r="AG38" s="91">
        <f t="shared" si="9"/>
        <v>1012826.7939685504</v>
      </c>
      <c r="AH38" s="91">
        <f t="shared" si="9"/>
        <v>1119537.374967461</v>
      </c>
      <c r="AI38" s="85"/>
    </row>
    <row r="39" spans="2:35" ht="16" thickBot="1">
      <c r="B39" s="89" t="s">
        <v>999</v>
      </c>
      <c r="C39" s="90" t="s">
        <v>935</v>
      </c>
      <c r="D39" s="91">
        <v>0</v>
      </c>
      <c r="E39" s="91">
        <f>E36*$D$24</f>
        <v>50037.280464430733</v>
      </c>
      <c r="F39" s="91">
        <f t="shared" ref="F39:AH39" si="10">F36*$D$24</f>
        <v>55309.166340438213</v>
      </c>
      <c r="G39" s="91">
        <f t="shared" si="10"/>
        <v>61136.493687918271</v>
      </c>
      <c r="H39" s="91">
        <f t="shared" si="10"/>
        <v>67577.783354151688</v>
      </c>
      <c r="I39" s="91">
        <f t="shared" si="10"/>
        <v>74697.721893775073</v>
      </c>
      <c r="J39" s="91">
        <f t="shared" si="10"/>
        <v>82567.811182533798</v>
      </c>
      <c r="K39" s="91">
        <f t="shared" si="10"/>
        <v>91267.086473793548</v>
      </c>
      <c r="L39" s="91">
        <f t="shared" si="10"/>
        <v>100882.91010888446</v>
      </c>
      <c r="M39" s="91">
        <f t="shared" si="10"/>
        <v>111511.84885210077</v>
      </c>
      <c r="N39" s="91">
        <f t="shared" si="10"/>
        <v>123260.64366097876</v>
      </c>
      <c r="O39" s="91">
        <f t="shared" si="10"/>
        <v>136247.28163075878</v>
      </c>
      <c r="P39" s="91">
        <f t="shared" si="10"/>
        <v>150602.18087801512</v>
      </c>
      <c r="Q39" s="91">
        <f t="shared" si="10"/>
        <v>166469.50026263151</v>
      </c>
      <c r="R39" s="91">
        <f t="shared" si="10"/>
        <v>184008.58710098287</v>
      </c>
      <c r="S39" s="91">
        <f t="shared" si="10"/>
        <v>203395.57740896643</v>
      </c>
      <c r="T39" s="91">
        <f t="shared" si="10"/>
        <v>224825.16474529161</v>
      </c>
      <c r="U39" s="91">
        <f t="shared" si="10"/>
        <v>248512.55541861782</v>
      </c>
      <c r="V39" s="91">
        <f t="shared" si="10"/>
        <v>274695.62969367293</v>
      </c>
      <c r="W39" s="91">
        <f t="shared" si="10"/>
        <v>303637.33070023573</v>
      </c>
      <c r="X39" s="91">
        <f t="shared" si="10"/>
        <v>335628.3050355633</v>
      </c>
      <c r="Y39" s="91">
        <f t="shared" si="10"/>
        <v>370989.82157847605</v>
      </c>
      <c r="Z39" s="91">
        <f t="shared" si="10"/>
        <v>410076.99782724114</v>
      </c>
      <c r="AA39" s="91">
        <f t="shared" si="10"/>
        <v>453282.36616171332</v>
      </c>
      <c r="AB39" s="91">
        <f t="shared" si="10"/>
        <v>501039.81584385363</v>
      </c>
      <c r="AC39" s="91">
        <f t="shared" si="10"/>
        <v>553828.95034412504</v>
      </c>
      <c r="AD39" s="91">
        <f t="shared" si="10"/>
        <v>612179.90375212929</v>
      </c>
      <c r="AE39" s="91">
        <f t="shared" si="10"/>
        <v>676678.66464023734</v>
      </c>
      <c r="AF39" s="91">
        <f t="shared" si="10"/>
        <v>747972.96084501187</v>
      </c>
      <c r="AG39" s="91">
        <f t="shared" si="10"/>
        <v>826778.76426427183</v>
      </c>
      <c r="AH39" s="91">
        <f t="shared" si="10"/>
        <v>913887.480994115</v>
      </c>
      <c r="AI39" s="85"/>
    </row>
    <row r="40" spans="2:35" ht="16" thickBot="1">
      <c r="B40" s="89" t="s">
        <v>1000</v>
      </c>
      <c r="C40" s="90" t="s">
        <v>935</v>
      </c>
      <c r="D40" s="91">
        <v>0</v>
      </c>
      <c r="E40" s="91">
        <f>E36*$D$26</f>
        <v>52038.771683007966</v>
      </c>
      <c r="F40" s="91">
        <f t="shared" ref="F40:AH40" si="11">F36*$D$26</f>
        <v>57521.532994055742</v>
      </c>
      <c r="G40" s="91">
        <f t="shared" si="11"/>
        <v>63581.953435435003</v>
      </c>
      <c r="H40" s="91">
        <f t="shared" si="11"/>
        <v>70280.894688317756</v>
      </c>
      <c r="I40" s="91">
        <f t="shared" si="11"/>
        <v>77685.630769526077</v>
      </c>
      <c r="J40" s="91">
        <f t="shared" si="11"/>
        <v>85870.523629835152</v>
      </c>
      <c r="K40" s="91">
        <f t="shared" si="11"/>
        <v>94917.769932745286</v>
      </c>
      <c r="L40" s="91">
        <f t="shared" si="11"/>
        <v>104918.22651323985</v>
      </c>
      <c r="M40" s="91">
        <f t="shared" si="11"/>
        <v>115972.32280618481</v>
      </c>
      <c r="N40" s="91">
        <f t="shared" si="11"/>
        <v>128191.06940741792</v>
      </c>
      <c r="O40" s="91">
        <f t="shared" si="11"/>
        <v>141697.17289598915</v>
      </c>
      <c r="P40" s="91">
        <f t="shared" si="11"/>
        <v>156626.26811313574</v>
      </c>
      <c r="Q40" s="91">
        <f t="shared" si="11"/>
        <v>173128.28027313677</v>
      </c>
      <c r="R40" s="91">
        <f t="shared" si="11"/>
        <v>191368.9305850222</v>
      </c>
      <c r="S40" s="91">
        <f t="shared" si="11"/>
        <v>211531.40050532509</v>
      </c>
      <c r="T40" s="91">
        <f t="shared" si="11"/>
        <v>233818.17133510328</v>
      </c>
      <c r="U40" s="91">
        <f t="shared" si="11"/>
        <v>258453.05763536255</v>
      </c>
      <c r="V40" s="91">
        <f t="shared" si="11"/>
        <v>285683.45488141984</v>
      </c>
      <c r="W40" s="91">
        <f t="shared" si="11"/>
        <v>315782.82392824517</v>
      </c>
      <c r="X40" s="91">
        <f t="shared" si="11"/>
        <v>349053.43723698583</v>
      </c>
      <c r="Y40" s="91">
        <f t="shared" si="11"/>
        <v>385829.41444161511</v>
      </c>
      <c r="Z40" s="91">
        <f t="shared" si="11"/>
        <v>426480.07774033077</v>
      </c>
      <c r="AA40" s="91">
        <f t="shared" si="11"/>
        <v>471413.66080818186</v>
      </c>
      <c r="AB40" s="91">
        <f t="shared" si="11"/>
        <v>521081.40847760782</v>
      </c>
      <c r="AC40" s="91">
        <f t="shared" si="11"/>
        <v>575982.10835789004</v>
      </c>
      <c r="AD40" s="91">
        <f t="shared" si="11"/>
        <v>636667.09990221448</v>
      </c>
      <c r="AE40" s="91">
        <f t="shared" si="11"/>
        <v>703745.81122584688</v>
      </c>
      <c r="AF40" s="91">
        <f t="shared" si="11"/>
        <v>777891.87927881232</v>
      </c>
      <c r="AG40" s="91">
        <f t="shared" si="11"/>
        <v>859849.91483484278</v>
      </c>
      <c r="AH40" s="91">
        <f t="shared" si="11"/>
        <v>950442.98023387964</v>
      </c>
      <c r="AI40" s="85"/>
    </row>
  </sheetData>
  <hyperlinks>
    <hyperlink ref="B3" r:id="rId1" xr:uid="{AC02FA5A-22FD-465A-A96E-71D33097C00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A3592-90DB-4242-91D5-B47527EABA93}">
  <sheetPr>
    <tabColor rgb="FFFFC000"/>
  </sheetPr>
  <dimension ref="A1:AH148"/>
  <sheetViews>
    <sheetView zoomScale="80" zoomScaleNormal="80" workbookViewId="0">
      <selection activeCell="B14" sqref="B14"/>
    </sheetView>
  </sheetViews>
  <sheetFormatPr baseColWidth="10" defaultColWidth="8.83203125" defaultRowHeight="15"/>
  <cols>
    <col min="1" max="1" width="44.1640625" customWidth="1"/>
    <col min="2" max="2" width="10.1640625" customWidth="1"/>
    <col min="5" max="5" width="20" bestFit="1" customWidth="1"/>
    <col min="7" max="7" width="18.5" customWidth="1"/>
    <col min="8" max="8" width="11.5" customWidth="1"/>
    <col min="11" max="11" width="20.5" customWidth="1"/>
    <col min="12" max="12" width="17.1640625" customWidth="1"/>
    <col min="13" max="13" width="20" bestFit="1" customWidth="1"/>
    <col min="25" max="25" width="30.5" customWidth="1"/>
    <col min="26" max="26" width="10.5" customWidth="1"/>
    <col min="29" max="29" width="26" customWidth="1"/>
  </cols>
  <sheetData>
    <row r="1" spans="1:15" s="81" customFormat="1" ht="16" thickBot="1">
      <c r="A1" s="81" t="s">
        <v>1001</v>
      </c>
    </row>
    <row r="2" spans="1:15">
      <c r="A2" s="54" t="s">
        <v>1002</v>
      </c>
    </row>
    <row r="3" spans="1:15">
      <c r="A3" s="158" t="s">
        <v>1003</v>
      </c>
    </row>
    <row r="5" spans="1:15" ht="32">
      <c r="A5" s="145" t="s">
        <v>743</v>
      </c>
      <c r="B5" s="146" t="s">
        <v>744</v>
      </c>
      <c r="C5" s="147" t="s">
        <v>472</v>
      </c>
      <c r="D5" s="612" t="s">
        <v>477</v>
      </c>
      <c r="E5" s="147" t="s">
        <v>478</v>
      </c>
      <c r="F5" s="147" t="s">
        <v>480</v>
      </c>
      <c r="G5" s="147" t="s">
        <v>474</v>
      </c>
      <c r="H5" s="149" t="s">
        <v>745</v>
      </c>
      <c r="I5" s="147" t="s">
        <v>192</v>
      </c>
      <c r="J5" s="147" t="s">
        <v>67</v>
      </c>
    </row>
    <row r="6" spans="1:15" ht="16">
      <c r="A6" s="150" t="s">
        <v>311</v>
      </c>
      <c r="B6" s="611">
        <v>1E-3</v>
      </c>
      <c r="C6" s="154">
        <v>8.0000000000000002E-3</v>
      </c>
      <c r="D6" s="155">
        <v>2.5999999999999999E-2</v>
      </c>
      <c r="E6" s="154">
        <v>0</v>
      </c>
      <c r="F6" s="154">
        <v>3.0000000000000001E-3</v>
      </c>
      <c r="G6" s="154">
        <v>0</v>
      </c>
      <c r="H6" s="593">
        <f>1.6%-0.8%</f>
        <v>8.0000000000000002E-3</v>
      </c>
      <c r="I6" s="594">
        <f>1.4%+0.8%</f>
        <v>2.1999999999999999E-2</v>
      </c>
      <c r="J6" s="151">
        <f>SUM(B6:I6)</f>
        <v>6.8000000000000005E-2</v>
      </c>
      <c r="M6" s="270" t="s">
        <v>1004</v>
      </c>
    </row>
    <row r="7" spans="1:15" ht="16">
      <c r="A7" s="150" t="s">
        <v>309</v>
      </c>
      <c r="B7" s="155">
        <v>0.13500000000000001</v>
      </c>
      <c r="C7" s="154">
        <v>9.2999999999999999E-2</v>
      </c>
      <c r="D7" s="155">
        <v>8.2000000000000003E-2</v>
      </c>
      <c r="E7" s="154">
        <v>2.3E-2</v>
      </c>
      <c r="F7" s="154">
        <v>8.9999999999999993E-3</v>
      </c>
      <c r="G7" s="154">
        <v>0.10100000000000001</v>
      </c>
      <c r="H7" s="155">
        <v>2E-3</v>
      </c>
      <c r="I7" s="154">
        <v>1E-3</v>
      </c>
      <c r="J7" s="151">
        <f t="shared" ref="J7:J12" si="0">SUM(B7:I7)</f>
        <v>0.44600000000000006</v>
      </c>
      <c r="M7" s="271"/>
    </row>
    <row r="8" spans="1:15" ht="32">
      <c r="A8" s="153" t="s">
        <v>1005</v>
      </c>
      <c r="B8" s="611">
        <v>1.0999999999999999E-2</v>
      </c>
      <c r="C8" s="154">
        <v>3.3000000000000002E-2</v>
      </c>
      <c r="D8" s="155">
        <v>1.2E-2</v>
      </c>
      <c r="E8" s="154">
        <v>2.1999999999999999E-2</v>
      </c>
      <c r="F8" s="154">
        <v>8.1000000000000003E-2</v>
      </c>
      <c r="G8" s="154">
        <v>0</v>
      </c>
      <c r="H8" s="155">
        <v>2.4E-2</v>
      </c>
      <c r="I8" s="154">
        <v>5.0000000000000001E-3</v>
      </c>
      <c r="J8" s="151">
        <f t="shared" si="0"/>
        <v>0.18799999999999997</v>
      </c>
    </row>
    <row r="9" spans="1:15" ht="32">
      <c r="A9" s="153" t="s">
        <v>1006</v>
      </c>
      <c r="B9" s="611">
        <v>5.0000000000000001E-3</v>
      </c>
      <c r="C9" s="154">
        <v>2E-3</v>
      </c>
      <c r="D9" s="155">
        <v>8.9999999999999993E-3</v>
      </c>
      <c r="E9" s="154">
        <v>6.0000000000000001E-3</v>
      </c>
      <c r="F9" s="154">
        <v>4.0000000000000001E-3</v>
      </c>
      <c r="G9" s="154">
        <v>0</v>
      </c>
      <c r="H9" s="155">
        <v>4.0000000000000001E-3</v>
      </c>
      <c r="I9" s="154">
        <v>0.01</v>
      </c>
      <c r="J9" s="151">
        <f t="shared" si="0"/>
        <v>0.04</v>
      </c>
    </row>
    <row r="10" spans="1:15" ht="32">
      <c r="A10" s="153" t="s">
        <v>1007</v>
      </c>
      <c r="B10" s="611">
        <v>2.9000000000000001E-2</v>
      </c>
      <c r="C10" s="154">
        <v>1.7000000000000001E-2</v>
      </c>
      <c r="D10" s="155">
        <v>3.7999999999999999E-2</v>
      </c>
      <c r="E10" s="154">
        <v>1.7999999999999999E-2</v>
      </c>
      <c r="F10" s="154">
        <v>6.0000000000000001E-3</v>
      </c>
      <c r="G10" s="154">
        <v>0</v>
      </c>
      <c r="H10" s="155">
        <v>0.01</v>
      </c>
      <c r="I10" s="154">
        <v>2E-3</v>
      </c>
      <c r="J10" s="151">
        <f t="shared" si="0"/>
        <v>0.12</v>
      </c>
      <c r="L10" s="1" t="s">
        <v>1008</v>
      </c>
      <c r="O10">
        <f>'Demand Breakdown - C4'!C18/(I13*L14)</f>
        <v>0.67386455259224298</v>
      </c>
    </row>
    <row r="11" spans="1:15" ht="32">
      <c r="A11" s="153" t="s">
        <v>1009</v>
      </c>
      <c r="B11" s="611">
        <v>2E-3</v>
      </c>
      <c r="C11" s="154">
        <v>1E-3</v>
      </c>
      <c r="D11" s="155">
        <v>2E-3</v>
      </c>
      <c r="E11" s="154">
        <v>0</v>
      </c>
      <c r="F11" s="154">
        <v>0</v>
      </c>
      <c r="G11" s="154">
        <v>0</v>
      </c>
      <c r="H11" s="155">
        <v>3.0000000000000001E-3</v>
      </c>
      <c r="I11" s="154">
        <v>0</v>
      </c>
      <c r="J11" s="151">
        <f t="shared" si="0"/>
        <v>8.0000000000000002E-3</v>
      </c>
    </row>
    <row r="12" spans="1:15" ht="16">
      <c r="A12" s="150" t="s">
        <v>192</v>
      </c>
      <c r="B12" s="611">
        <v>1.7000000000000001E-2</v>
      </c>
      <c r="C12" s="154">
        <v>8.9999999999999993E-3</v>
      </c>
      <c r="D12" s="155">
        <v>4.2000000000000003E-2</v>
      </c>
      <c r="E12" s="154">
        <v>7.0000000000000001E-3</v>
      </c>
      <c r="F12" s="154">
        <v>1.4E-2</v>
      </c>
      <c r="G12" s="154">
        <v>0</v>
      </c>
      <c r="H12" s="155">
        <v>2.5000000000000001E-2</v>
      </c>
      <c r="I12" s="154">
        <v>1.6E-2</v>
      </c>
      <c r="J12" s="151">
        <f t="shared" si="0"/>
        <v>0.13</v>
      </c>
    </row>
    <row r="13" spans="1:15" ht="16">
      <c r="A13" s="150" t="s">
        <v>67</v>
      </c>
      <c r="B13" s="152">
        <f>SUM(B6:B12)</f>
        <v>0.2</v>
      </c>
      <c r="C13" s="152">
        <f t="shared" ref="C13:I13" si="1">SUM(C6:C12)</f>
        <v>0.16300000000000003</v>
      </c>
      <c r="D13" s="152">
        <f t="shared" si="1"/>
        <v>0.21100000000000002</v>
      </c>
      <c r="E13" s="152">
        <f t="shared" si="1"/>
        <v>7.5999999999999998E-2</v>
      </c>
      <c r="F13" s="152">
        <f t="shared" si="1"/>
        <v>0.11700000000000001</v>
      </c>
      <c r="G13" s="152">
        <f t="shared" si="1"/>
        <v>0.10100000000000001</v>
      </c>
      <c r="H13" s="152">
        <f t="shared" si="1"/>
        <v>7.6000000000000012E-2</v>
      </c>
      <c r="I13" s="152">
        <f t="shared" si="1"/>
        <v>5.6000000000000001E-2</v>
      </c>
      <c r="J13" s="151">
        <f>SUM(J6:J12)</f>
        <v>1</v>
      </c>
      <c r="K13" s="41">
        <f>SUM(B13:I13)</f>
        <v>1</v>
      </c>
      <c r="L13" s="51">
        <v>380</v>
      </c>
      <c r="M13" t="s">
        <v>1010</v>
      </c>
      <c r="N13" t="s">
        <v>1011</v>
      </c>
    </row>
    <row r="14" spans="1:15">
      <c r="A14" s="144" t="s">
        <v>1012</v>
      </c>
      <c r="B14" s="43"/>
      <c r="C14" s="41"/>
      <c r="D14" s="41"/>
      <c r="E14" s="41"/>
      <c r="F14" s="41"/>
      <c r="G14" s="41"/>
      <c r="H14" s="41"/>
      <c r="I14" s="41"/>
      <c r="L14" s="27">
        <f>L13*1.03^4</f>
        <v>427.69334779999997</v>
      </c>
      <c r="M14" s="1" t="s">
        <v>1013</v>
      </c>
      <c r="N14" s="1" t="s">
        <v>1014</v>
      </c>
    </row>
    <row r="15" spans="1:15">
      <c r="A15" s="156"/>
      <c r="L15">
        <v>368</v>
      </c>
      <c r="N15" t="s">
        <v>1015</v>
      </c>
    </row>
    <row r="16" spans="1:15">
      <c r="A16" s="54" t="s">
        <v>1016</v>
      </c>
      <c r="L16" s="360">
        <f>P22</f>
        <v>83.333905576923073</v>
      </c>
      <c r="M16" s="54"/>
      <c r="N16" t="s">
        <v>1017</v>
      </c>
    </row>
    <row r="17" spans="1:34" ht="32">
      <c r="A17" s="145" t="s">
        <v>743</v>
      </c>
      <c r="B17" s="146" t="s">
        <v>744</v>
      </c>
      <c r="C17" s="147" t="s">
        <v>472</v>
      </c>
      <c r="D17" s="148" t="s">
        <v>477</v>
      </c>
      <c r="E17" s="147" t="s">
        <v>478</v>
      </c>
      <c r="F17" s="147" t="s">
        <v>480</v>
      </c>
      <c r="G17" s="147" t="s">
        <v>474</v>
      </c>
      <c r="H17" s="149" t="s">
        <v>745</v>
      </c>
      <c r="I17" s="147" t="s">
        <v>192</v>
      </c>
      <c r="J17" s="147" t="s">
        <v>67</v>
      </c>
      <c r="L17" s="157">
        <f>L15+L16</f>
        <v>451.33390557692309</v>
      </c>
      <c r="M17" t="s">
        <v>1013</v>
      </c>
      <c r="O17" s="290"/>
      <c r="P17" s="291"/>
      <c r="Q17" s="290"/>
      <c r="R17" s="290"/>
      <c r="S17" s="290"/>
      <c r="T17" s="292"/>
      <c r="U17" s="290"/>
      <c r="V17" s="290"/>
      <c r="X17" s="290"/>
      <c r="Y17" s="290"/>
      <c r="Z17" s="290"/>
      <c r="AA17" s="290"/>
      <c r="AB17" s="290"/>
      <c r="AD17" s="290"/>
      <c r="AE17" s="290"/>
      <c r="AF17" s="290"/>
      <c r="AG17" s="290"/>
      <c r="AH17" s="290"/>
    </row>
    <row r="18" spans="1:34">
      <c r="A18" t="s">
        <v>309</v>
      </c>
      <c r="B18" s="41">
        <f>B7</f>
        <v>0.13500000000000001</v>
      </c>
      <c r="C18" s="41">
        <f t="shared" ref="C18:J18" si="2">C7</f>
        <v>9.2999999999999999E-2</v>
      </c>
      <c r="D18" s="41">
        <f t="shared" si="2"/>
        <v>8.2000000000000003E-2</v>
      </c>
      <c r="E18" s="41">
        <f t="shared" si="2"/>
        <v>2.3E-2</v>
      </c>
      <c r="F18" s="41">
        <f t="shared" si="2"/>
        <v>8.9999999999999993E-3</v>
      </c>
      <c r="G18" s="41">
        <f t="shared" si="2"/>
        <v>0.10100000000000001</v>
      </c>
      <c r="H18" s="41">
        <f t="shared" si="2"/>
        <v>2E-3</v>
      </c>
      <c r="I18" s="41">
        <f t="shared" si="2"/>
        <v>1E-3</v>
      </c>
      <c r="J18" s="41">
        <f t="shared" si="2"/>
        <v>0.44600000000000006</v>
      </c>
      <c r="N18" s="41"/>
      <c r="O18" s="41"/>
      <c r="P18" s="41"/>
      <c r="Q18" s="41"/>
      <c r="R18" s="41"/>
      <c r="S18" s="41"/>
      <c r="T18" s="41"/>
      <c r="U18" s="41"/>
      <c r="V18" s="41"/>
      <c r="X18" s="293"/>
      <c r="Y18" s="293"/>
      <c r="Z18" s="293"/>
      <c r="AA18" s="293"/>
      <c r="AB18" s="293"/>
      <c r="AD18" s="293"/>
      <c r="AE18" s="293"/>
      <c r="AF18" s="293"/>
      <c r="AG18" s="293"/>
      <c r="AH18" s="293"/>
    </row>
    <row r="19" spans="1:34">
      <c r="A19" t="s">
        <v>310</v>
      </c>
      <c r="B19" s="41">
        <f>B8</f>
        <v>1.0999999999999999E-2</v>
      </c>
      <c r="C19" s="41">
        <f t="shared" ref="C19:J19" si="3">C8</f>
        <v>3.3000000000000002E-2</v>
      </c>
      <c r="D19" s="41">
        <f t="shared" si="3"/>
        <v>1.2E-2</v>
      </c>
      <c r="E19" s="41">
        <f t="shared" si="3"/>
        <v>2.1999999999999999E-2</v>
      </c>
      <c r="F19" s="41">
        <f t="shared" si="3"/>
        <v>8.1000000000000003E-2</v>
      </c>
      <c r="G19" s="41">
        <f t="shared" si="3"/>
        <v>0</v>
      </c>
      <c r="H19" s="41">
        <f t="shared" si="3"/>
        <v>2.4E-2</v>
      </c>
      <c r="I19" s="41">
        <f t="shared" si="3"/>
        <v>5.0000000000000001E-3</v>
      </c>
      <c r="J19" s="41">
        <f t="shared" si="3"/>
        <v>0.18799999999999997</v>
      </c>
      <c r="N19" s="41"/>
      <c r="O19" s="41"/>
      <c r="P19" s="41"/>
      <c r="Q19" s="41"/>
      <c r="R19" s="41"/>
      <c r="S19" s="41"/>
      <c r="T19" s="41"/>
      <c r="U19" s="41"/>
      <c r="V19" s="41"/>
      <c r="X19" s="293"/>
      <c r="Y19" s="293"/>
      <c r="Z19" s="293"/>
      <c r="AA19" s="293"/>
      <c r="AB19" s="293"/>
      <c r="AD19" s="293"/>
      <c r="AE19" s="293"/>
      <c r="AF19" s="293"/>
      <c r="AG19" s="293"/>
      <c r="AH19" s="293"/>
    </row>
    <row r="20" spans="1:34">
      <c r="A20" t="s">
        <v>311</v>
      </c>
      <c r="B20" s="41">
        <f>B6</f>
        <v>1E-3</v>
      </c>
      <c r="C20" s="41">
        <f t="shared" ref="C20:J20" si="4">C6</f>
        <v>8.0000000000000002E-3</v>
      </c>
      <c r="D20" s="41">
        <f t="shared" si="4"/>
        <v>2.5999999999999999E-2</v>
      </c>
      <c r="E20" s="41">
        <f t="shared" si="4"/>
        <v>0</v>
      </c>
      <c r="F20" s="41">
        <f t="shared" si="4"/>
        <v>3.0000000000000001E-3</v>
      </c>
      <c r="G20" s="41">
        <f t="shared" si="4"/>
        <v>0</v>
      </c>
      <c r="H20" s="41">
        <f t="shared" si="4"/>
        <v>8.0000000000000002E-3</v>
      </c>
      <c r="I20" s="41">
        <f t="shared" si="4"/>
        <v>2.1999999999999999E-2</v>
      </c>
      <c r="J20" s="41">
        <f t="shared" si="4"/>
        <v>6.8000000000000005E-2</v>
      </c>
      <c r="M20" t="s">
        <v>1018</v>
      </c>
      <c r="N20" s="41"/>
      <c r="O20" s="41"/>
      <c r="P20" s="41"/>
      <c r="Q20" s="41"/>
      <c r="R20" s="41"/>
      <c r="S20" s="41"/>
      <c r="T20" s="41"/>
      <c r="U20" s="41"/>
      <c r="V20" s="41"/>
      <c r="X20" s="293"/>
      <c r="Y20" s="293"/>
      <c r="Z20" s="293"/>
      <c r="AA20" s="293"/>
      <c r="AB20" s="293"/>
      <c r="AD20" s="293"/>
      <c r="AE20" s="293"/>
      <c r="AF20" s="293"/>
      <c r="AG20" s="293"/>
      <c r="AH20" s="293"/>
    </row>
    <row r="21" spans="1:34">
      <c r="A21" t="s">
        <v>312</v>
      </c>
      <c r="B21" s="41">
        <f>B9</f>
        <v>5.0000000000000001E-3</v>
      </c>
      <c r="C21" s="41">
        <f t="shared" ref="C21:J21" si="5">C9</f>
        <v>2E-3</v>
      </c>
      <c r="D21" s="41">
        <f t="shared" si="5"/>
        <v>8.9999999999999993E-3</v>
      </c>
      <c r="E21" s="41">
        <f t="shared" si="5"/>
        <v>6.0000000000000001E-3</v>
      </c>
      <c r="F21" s="41">
        <f t="shared" si="5"/>
        <v>4.0000000000000001E-3</v>
      </c>
      <c r="G21" s="41">
        <f t="shared" si="5"/>
        <v>0</v>
      </c>
      <c r="H21" s="41">
        <f t="shared" si="5"/>
        <v>4.0000000000000001E-3</v>
      </c>
      <c r="I21" s="41">
        <f t="shared" si="5"/>
        <v>0.01</v>
      </c>
      <c r="J21" s="41">
        <f t="shared" si="5"/>
        <v>0.04</v>
      </c>
      <c r="M21" t="s">
        <v>474</v>
      </c>
      <c r="N21" s="41" t="s">
        <v>248</v>
      </c>
      <c r="O21" s="41" t="s">
        <v>477</v>
      </c>
      <c r="P21" s="41"/>
      <c r="Q21" s="41"/>
      <c r="R21" s="41"/>
      <c r="S21" s="41"/>
      <c r="T21" s="41"/>
      <c r="U21" s="41"/>
      <c r="V21" s="41"/>
      <c r="X21" s="293"/>
      <c r="Y21" s="293"/>
      <c r="Z21" s="293"/>
      <c r="AA21" s="293"/>
      <c r="AB21" s="293"/>
      <c r="AD21" s="293"/>
      <c r="AE21" s="293"/>
      <c r="AF21" s="293"/>
      <c r="AG21" s="293"/>
      <c r="AH21" s="293"/>
    </row>
    <row r="22" spans="1:34">
      <c r="A22" t="s">
        <v>746</v>
      </c>
      <c r="B22" s="41">
        <f>B10</f>
        <v>2.9000000000000001E-2</v>
      </c>
      <c r="C22" s="41">
        <f t="shared" ref="C22:J22" si="6">C10</f>
        <v>1.7000000000000001E-2</v>
      </c>
      <c r="D22" s="41">
        <f t="shared" si="6"/>
        <v>3.7999999999999999E-2</v>
      </c>
      <c r="E22" s="41">
        <f t="shared" si="6"/>
        <v>1.7999999999999999E-2</v>
      </c>
      <c r="F22" s="41">
        <f t="shared" si="6"/>
        <v>6.0000000000000001E-3</v>
      </c>
      <c r="G22" s="41">
        <f t="shared" si="6"/>
        <v>0</v>
      </c>
      <c r="H22" s="41">
        <f t="shared" si="6"/>
        <v>0.01</v>
      </c>
      <c r="I22" s="41">
        <f t="shared" si="6"/>
        <v>2E-3</v>
      </c>
      <c r="J22" s="41">
        <f t="shared" si="6"/>
        <v>0.12</v>
      </c>
      <c r="M22" s="43">
        <f>'Demand Breakdown - Ethylene'!I24/'Demand Breakdown - Ethylene'!E36</f>
        <v>47.138713269230763</v>
      </c>
      <c r="N22" s="359">
        <f>10.7%*107</f>
        <v>11.449</v>
      </c>
      <c r="O22" s="43">
        <f>'Demand Breakdown - Propylene'!D17</f>
        <v>24.746192307692308</v>
      </c>
      <c r="P22" s="299">
        <f>SUM(M22:O22)</f>
        <v>83.333905576923073</v>
      </c>
      <c r="Q22" s="41"/>
      <c r="R22" s="41"/>
      <c r="S22" s="41"/>
      <c r="T22" s="41"/>
      <c r="U22" s="41"/>
      <c r="V22" s="41"/>
      <c r="X22" s="293"/>
      <c r="Y22" s="293"/>
      <c r="Z22" s="293"/>
      <c r="AA22" s="293"/>
      <c r="AB22" s="293"/>
      <c r="AD22" s="293"/>
      <c r="AE22" s="293"/>
      <c r="AF22" s="293"/>
      <c r="AG22" s="293"/>
      <c r="AH22" s="293"/>
    </row>
    <row r="23" spans="1:34">
      <c r="A23" t="s">
        <v>248</v>
      </c>
      <c r="B23" s="41">
        <f>B12+B11</f>
        <v>1.9000000000000003E-2</v>
      </c>
      <c r="C23" s="41">
        <f t="shared" ref="C23:J23" si="7">C12+C11</f>
        <v>9.9999999999999985E-3</v>
      </c>
      <c r="D23" s="41">
        <f t="shared" si="7"/>
        <v>4.4000000000000004E-2</v>
      </c>
      <c r="E23" s="41">
        <f t="shared" si="7"/>
        <v>7.0000000000000001E-3</v>
      </c>
      <c r="F23" s="41">
        <f t="shared" si="7"/>
        <v>1.4E-2</v>
      </c>
      <c r="G23" s="41">
        <f t="shared" si="7"/>
        <v>0</v>
      </c>
      <c r="H23" s="41">
        <f t="shared" si="7"/>
        <v>2.8000000000000001E-2</v>
      </c>
      <c r="I23" s="41">
        <f t="shared" si="7"/>
        <v>1.6E-2</v>
      </c>
      <c r="J23" s="41">
        <f t="shared" si="7"/>
        <v>0.13800000000000001</v>
      </c>
      <c r="M23" t="s">
        <v>1019</v>
      </c>
      <c r="N23" s="41" t="s">
        <v>1020</v>
      </c>
      <c r="O23" s="41" t="s">
        <v>1021</v>
      </c>
      <c r="P23" s="41"/>
      <c r="Q23" s="41"/>
      <c r="R23" s="41"/>
      <c r="S23" s="41"/>
      <c r="T23" s="41"/>
      <c r="U23" s="41"/>
      <c r="V23" s="41"/>
      <c r="X23" s="293"/>
      <c r="Y23" s="293"/>
      <c r="Z23" s="293"/>
      <c r="AA23" s="293"/>
      <c r="AB23" s="293"/>
      <c r="AD23" s="293"/>
      <c r="AE23" s="293"/>
      <c r="AF23" s="293"/>
      <c r="AG23" s="293"/>
      <c r="AH23" s="293"/>
    </row>
    <row r="24" spans="1:34">
      <c r="A24" t="s">
        <v>364</v>
      </c>
      <c r="B24" s="41">
        <f t="shared" ref="B24:J24" si="8">SUM(B18:B23)</f>
        <v>0.2</v>
      </c>
      <c r="C24" s="41">
        <f t="shared" si="8"/>
        <v>0.16300000000000003</v>
      </c>
      <c r="D24" s="41">
        <f t="shared" si="8"/>
        <v>0.21100000000000002</v>
      </c>
      <c r="E24" s="41">
        <f t="shared" si="8"/>
        <v>7.5999999999999998E-2</v>
      </c>
      <c r="F24" s="41">
        <f t="shared" si="8"/>
        <v>0.11700000000000001</v>
      </c>
      <c r="G24" s="41">
        <f t="shared" si="8"/>
        <v>0.10100000000000001</v>
      </c>
      <c r="H24" s="41">
        <f t="shared" si="8"/>
        <v>7.6000000000000012E-2</v>
      </c>
      <c r="I24" s="41">
        <f t="shared" si="8"/>
        <v>5.6000000000000001E-2</v>
      </c>
      <c r="J24" s="41">
        <f t="shared" si="8"/>
        <v>1</v>
      </c>
      <c r="M24" s="245">
        <f>M22/$P$22</f>
        <v>0.56566067488242711</v>
      </c>
      <c r="N24" s="245">
        <f t="shared" ref="N24:O24" si="9">N22/$P$22</f>
        <v>0.13738705657365075</v>
      </c>
      <c r="O24" s="245">
        <f t="shared" si="9"/>
        <v>0.29695226854392209</v>
      </c>
      <c r="P24" s="41"/>
      <c r="Q24" s="41"/>
      <c r="R24" s="41"/>
      <c r="S24" s="41"/>
      <c r="T24" s="41"/>
      <c r="U24" s="41"/>
      <c r="V24" s="41"/>
      <c r="X24" s="293"/>
      <c r="Y24" s="293"/>
      <c r="Z24" s="293"/>
      <c r="AA24" s="293"/>
      <c r="AB24" s="293"/>
      <c r="AD24" s="293"/>
      <c r="AE24" s="293"/>
      <c r="AF24" s="293"/>
      <c r="AG24" s="293"/>
      <c r="AH24" s="293"/>
    </row>
    <row r="25" spans="1:34">
      <c r="M25" s="43">
        <f>N22/(M22+N22)</f>
        <v>0.19541639980703623</v>
      </c>
    </row>
    <row r="26" spans="1:34">
      <c r="A26" s="54" t="s">
        <v>1016</v>
      </c>
      <c r="M26" s="54"/>
    </row>
    <row r="27" spans="1:34" ht="16">
      <c r="A27" s="145" t="s">
        <v>743</v>
      </c>
      <c r="B27" s="146" t="s">
        <v>258</v>
      </c>
      <c r="C27" s="147" t="s">
        <v>477</v>
      </c>
      <c r="D27" s="148" t="s">
        <v>478</v>
      </c>
      <c r="E27" s="147" t="s">
        <v>480</v>
      </c>
      <c r="F27" s="147" t="s">
        <v>474</v>
      </c>
      <c r="G27" s="147" t="s">
        <v>745</v>
      </c>
      <c r="H27" s="149" t="s">
        <v>248</v>
      </c>
      <c r="I27" s="147" t="s">
        <v>67</v>
      </c>
      <c r="J27" s="147"/>
      <c r="M27" s="288"/>
      <c r="N27" s="289"/>
      <c r="O27" s="290"/>
      <c r="P27" s="291"/>
      <c r="Q27" s="290"/>
      <c r="R27" s="290"/>
      <c r="S27" s="290"/>
      <c r="T27" s="292"/>
      <c r="U27" s="290"/>
      <c r="V27" s="290"/>
      <c r="X27" s="290"/>
      <c r="Y27" s="290"/>
      <c r="Z27" s="290"/>
      <c r="AA27" s="290"/>
      <c r="AB27" s="290"/>
      <c r="AD27" s="290"/>
      <c r="AE27" s="290"/>
      <c r="AF27" s="290"/>
      <c r="AG27" s="290"/>
      <c r="AH27" s="290"/>
    </row>
    <row r="28" spans="1:34">
      <c r="A28" t="s">
        <v>1022</v>
      </c>
      <c r="B28" s="41">
        <f>B18+C18+B22+C22</f>
        <v>0.27400000000000002</v>
      </c>
      <c r="C28" s="41">
        <f>D18+D22</f>
        <v>0.12</v>
      </c>
      <c r="D28" s="41">
        <f t="shared" ref="D28:H28" si="10">E18+E22</f>
        <v>4.0999999999999995E-2</v>
      </c>
      <c r="E28" s="41">
        <f t="shared" si="10"/>
        <v>1.4999999999999999E-2</v>
      </c>
      <c r="F28" s="41">
        <f t="shared" si="10"/>
        <v>0.10100000000000001</v>
      </c>
      <c r="G28" s="41">
        <f t="shared" si="10"/>
        <v>1.2E-2</v>
      </c>
      <c r="H28" s="41">
        <f t="shared" si="10"/>
        <v>3.0000000000000001E-3</v>
      </c>
      <c r="I28" s="41">
        <f>SUM(B28:H28)</f>
        <v>0.56600000000000006</v>
      </c>
      <c r="J28" s="41"/>
      <c r="M28" s="245">
        <f>M22/$P$22</f>
        <v>0.56566067488242711</v>
      </c>
      <c r="N28" s="245">
        <f t="shared" ref="N28:O28" si="11">N22/$P$22</f>
        <v>0.13738705657365075</v>
      </c>
      <c r="O28" s="245">
        <f t="shared" si="11"/>
        <v>0.29695226854392209</v>
      </c>
      <c r="P28" s="41"/>
      <c r="Q28" s="41"/>
      <c r="R28" s="41"/>
      <c r="S28" s="41"/>
      <c r="T28" s="41"/>
      <c r="U28" s="41"/>
      <c r="V28" s="41"/>
      <c r="X28" s="293"/>
      <c r="Y28" s="293"/>
      <c r="Z28" s="293"/>
      <c r="AA28" s="293"/>
      <c r="AB28" s="293"/>
      <c r="AD28" s="293"/>
      <c r="AE28" s="293"/>
      <c r="AF28" s="293"/>
      <c r="AG28" s="293"/>
      <c r="AH28" s="293"/>
    </row>
    <row r="29" spans="1:34">
      <c r="A29" t="s">
        <v>310</v>
      </c>
      <c r="B29" s="41">
        <f>B19+C19</f>
        <v>4.3999999999999997E-2</v>
      </c>
      <c r="C29" s="41">
        <f>D19</f>
        <v>1.2E-2</v>
      </c>
      <c r="D29" s="41">
        <f t="shared" ref="D29:H29" si="12">E19</f>
        <v>2.1999999999999999E-2</v>
      </c>
      <c r="E29" s="41">
        <f t="shared" si="12"/>
        <v>8.1000000000000003E-2</v>
      </c>
      <c r="F29" s="41">
        <f t="shared" si="12"/>
        <v>0</v>
      </c>
      <c r="G29" s="41">
        <f t="shared" si="12"/>
        <v>2.4E-2</v>
      </c>
      <c r="H29" s="41">
        <f t="shared" si="12"/>
        <v>5.0000000000000001E-3</v>
      </c>
      <c r="I29" s="41">
        <f t="shared" ref="I29:I30" si="13">SUM(B29:H29)</f>
        <v>0.18799999999999997</v>
      </c>
      <c r="J29" s="41"/>
      <c r="N29" s="41"/>
      <c r="O29" s="41"/>
      <c r="P29" s="41"/>
      <c r="Q29" s="41"/>
      <c r="R29" s="41"/>
      <c r="S29" s="41"/>
      <c r="T29" s="41"/>
      <c r="U29" s="41"/>
      <c r="V29" s="41"/>
      <c r="X29" s="293"/>
      <c r="Y29" s="293"/>
      <c r="Z29" s="293"/>
      <c r="AA29" s="293"/>
      <c r="AB29" s="293"/>
      <c r="AD29" s="293"/>
      <c r="AE29" s="293"/>
      <c r="AF29" s="293"/>
      <c r="AG29" s="293"/>
      <c r="AH29" s="293"/>
    </row>
    <row r="30" spans="1:34">
      <c r="A30" t="s">
        <v>311</v>
      </c>
      <c r="B30" s="41">
        <f>B20+C20</f>
        <v>9.0000000000000011E-3</v>
      </c>
      <c r="C30" s="41">
        <f>D20</f>
        <v>2.5999999999999999E-2</v>
      </c>
      <c r="D30" s="41">
        <f t="shared" ref="D30:G30" si="14">E20</f>
        <v>0</v>
      </c>
      <c r="E30" s="41">
        <f t="shared" si="14"/>
        <v>3.0000000000000001E-3</v>
      </c>
      <c r="F30" s="41">
        <f t="shared" si="14"/>
        <v>0</v>
      </c>
      <c r="G30" s="41">
        <f t="shared" si="14"/>
        <v>8.0000000000000002E-3</v>
      </c>
      <c r="H30" s="41">
        <f>I20</f>
        <v>2.1999999999999999E-2</v>
      </c>
      <c r="I30" s="41">
        <f t="shared" si="13"/>
        <v>6.8000000000000005E-2</v>
      </c>
      <c r="J30" s="41"/>
      <c r="N30" s="41"/>
      <c r="O30" s="41"/>
      <c r="P30" s="41"/>
      <c r="Q30" s="41"/>
      <c r="R30" s="41"/>
      <c r="S30" s="41"/>
      <c r="T30" s="41"/>
      <c r="U30" s="41"/>
      <c r="V30" s="41"/>
      <c r="X30" s="293"/>
      <c r="Y30" s="293"/>
      <c r="Z30" s="293"/>
      <c r="AA30" s="293"/>
      <c r="AB30" s="293"/>
      <c r="AD30" s="293"/>
      <c r="AE30" s="293"/>
      <c r="AF30" s="293"/>
      <c r="AG30" s="293"/>
      <c r="AH30" s="293"/>
    </row>
    <row r="31" spans="1:34">
      <c r="A31" t="s">
        <v>248</v>
      </c>
      <c r="B31" s="41">
        <f>B23+B21+C21+C23</f>
        <v>3.6000000000000004E-2</v>
      </c>
      <c r="C31" s="41">
        <f t="shared" ref="C31:H31" si="15">D21+D23</f>
        <v>5.3000000000000005E-2</v>
      </c>
      <c r="D31" s="41">
        <f t="shared" si="15"/>
        <v>1.3000000000000001E-2</v>
      </c>
      <c r="E31" s="41">
        <f t="shared" si="15"/>
        <v>1.8000000000000002E-2</v>
      </c>
      <c r="F31" s="41">
        <f t="shared" si="15"/>
        <v>0</v>
      </c>
      <c r="G31" s="41">
        <f t="shared" si="15"/>
        <v>3.2000000000000001E-2</v>
      </c>
      <c r="H31" s="41">
        <f t="shared" si="15"/>
        <v>2.6000000000000002E-2</v>
      </c>
      <c r="I31" s="41">
        <f>SUM(B31:H31)</f>
        <v>0.17800000000000002</v>
      </c>
      <c r="J31" s="41"/>
      <c r="N31" s="41"/>
      <c r="O31" s="41"/>
      <c r="P31" s="41"/>
      <c r="Q31" s="41"/>
      <c r="R31" s="41"/>
      <c r="S31" s="41"/>
      <c r="T31" s="41"/>
      <c r="U31" s="41"/>
      <c r="V31" s="41"/>
      <c r="X31" s="293"/>
      <c r="Y31" s="293"/>
      <c r="Z31" s="293"/>
      <c r="AA31" s="293"/>
      <c r="AB31" s="293"/>
      <c r="AD31" s="293"/>
      <c r="AE31" s="293"/>
      <c r="AF31" s="293"/>
      <c r="AG31" s="293"/>
      <c r="AH31" s="293"/>
    </row>
    <row r="32" spans="1:34">
      <c r="A32" t="s">
        <v>67</v>
      </c>
      <c r="B32" s="41">
        <f t="shared" ref="B32:H32" si="16">SUM(B28:B31)</f>
        <v>0.36299999999999999</v>
      </c>
      <c r="C32" s="41">
        <f t="shared" si="16"/>
        <v>0.21100000000000002</v>
      </c>
      <c r="D32" s="41">
        <f t="shared" si="16"/>
        <v>7.5999999999999998E-2</v>
      </c>
      <c r="E32" s="41">
        <f t="shared" si="16"/>
        <v>0.11700000000000001</v>
      </c>
      <c r="F32" s="41">
        <f t="shared" si="16"/>
        <v>0.10100000000000001</v>
      </c>
      <c r="G32" s="41">
        <f t="shared" si="16"/>
        <v>7.6000000000000012E-2</v>
      </c>
      <c r="H32" s="41">
        <f t="shared" si="16"/>
        <v>5.6000000000000001E-2</v>
      </c>
      <c r="I32" s="41">
        <f>SUM(B32:H32)</f>
        <v>1</v>
      </c>
      <c r="J32" s="41"/>
      <c r="N32" s="41"/>
      <c r="O32" s="41"/>
      <c r="P32" s="41"/>
      <c r="Q32" s="41"/>
      <c r="R32" s="41"/>
      <c r="S32" s="41"/>
      <c r="T32" s="41"/>
      <c r="U32" s="41"/>
      <c r="V32" s="41"/>
      <c r="X32" s="293"/>
      <c r="Y32" s="293"/>
      <c r="Z32" s="293"/>
      <c r="AA32" s="293"/>
      <c r="AB32" s="293"/>
      <c r="AD32" s="293"/>
      <c r="AE32" s="293"/>
      <c r="AF32" s="293"/>
      <c r="AG32" s="293"/>
      <c r="AH32" s="293"/>
    </row>
    <row r="33" spans="1:34">
      <c r="J33" s="41"/>
      <c r="N33" s="41"/>
      <c r="O33" s="41"/>
      <c r="P33" s="41"/>
      <c r="Q33" s="41"/>
      <c r="R33" s="41"/>
      <c r="S33" s="41"/>
      <c r="T33" s="41"/>
      <c r="U33" s="41"/>
      <c r="V33" s="41"/>
      <c r="X33" s="293"/>
      <c r="Y33" s="293"/>
      <c r="Z33" s="293"/>
      <c r="AA33" s="293"/>
      <c r="AB33" s="293"/>
      <c r="AD33" s="293"/>
      <c r="AE33" s="293"/>
      <c r="AF33" s="293"/>
      <c r="AG33" s="293"/>
      <c r="AH33" s="293"/>
    </row>
    <row r="34" spans="1:34">
      <c r="A34" s="54" t="s">
        <v>1023</v>
      </c>
      <c r="M34" s="54"/>
    </row>
    <row r="35" spans="1:34" ht="16">
      <c r="A35" s="145" t="s">
        <v>743</v>
      </c>
      <c r="B35" s="146" t="s">
        <v>258</v>
      </c>
      <c r="C35" s="147" t="s">
        <v>477</v>
      </c>
      <c r="D35" s="148" t="s">
        <v>478</v>
      </c>
      <c r="E35" s="147" t="s">
        <v>480</v>
      </c>
      <c r="F35" s="147" t="s">
        <v>474</v>
      </c>
      <c r="G35" s="147" t="s">
        <v>745</v>
      </c>
      <c r="H35" s="149" t="s">
        <v>248</v>
      </c>
      <c r="I35" s="147" t="s">
        <v>67</v>
      </c>
      <c r="J35" s="147"/>
      <c r="M35" s="288"/>
      <c r="N35" s="289"/>
      <c r="O35" s="290"/>
      <c r="P35" s="291"/>
      <c r="Q35" s="290"/>
      <c r="R35" s="290"/>
      <c r="S35" s="290"/>
      <c r="T35" s="292"/>
      <c r="U35" s="290"/>
      <c r="V35" s="290"/>
      <c r="X35" s="290"/>
      <c r="Y35" s="290"/>
      <c r="Z35" s="290"/>
      <c r="AA35" s="290"/>
      <c r="AB35" s="290"/>
      <c r="AD35" s="290"/>
      <c r="AE35" s="290"/>
      <c r="AF35" s="290"/>
      <c r="AG35" s="290"/>
      <c r="AH35" s="290"/>
    </row>
    <row r="36" spans="1:34">
      <c r="A36" t="s">
        <v>1022</v>
      </c>
      <c r="B36" s="41">
        <f>B28*$L$15/$L$17</f>
        <v>0.2234088747910713</v>
      </c>
      <c r="C36" s="41">
        <f t="shared" ref="C36:H36" si="17">C28*$L$15/$L$17</f>
        <v>9.7843302828206399E-2</v>
      </c>
      <c r="D36" s="41">
        <f t="shared" si="17"/>
        <v>3.3429795132970515E-2</v>
      </c>
      <c r="E36" s="41">
        <f t="shared" si="17"/>
        <v>1.22304128535258E-2</v>
      </c>
      <c r="F36" s="41">
        <f t="shared" si="17"/>
        <v>8.2351446547073714E-2</v>
      </c>
      <c r="G36" s="41">
        <f t="shared" si="17"/>
        <v>9.784330282820641E-3</v>
      </c>
      <c r="H36" s="41">
        <f t="shared" si="17"/>
        <v>2.4460825707051602E-3</v>
      </c>
      <c r="I36" s="41">
        <f>SUM(B36:H36)</f>
        <v>0.46149424500637354</v>
      </c>
      <c r="J36" s="41"/>
      <c r="N36" s="41"/>
      <c r="O36" s="41"/>
      <c r="P36" s="41"/>
      <c r="Q36" s="41"/>
      <c r="R36" s="41"/>
      <c r="S36" s="41"/>
      <c r="T36" s="41"/>
      <c r="U36" s="41"/>
      <c r="V36" s="41"/>
      <c r="X36" s="293"/>
      <c r="Y36" s="293"/>
      <c r="Z36" s="293"/>
      <c r="AA36" s="293"/>
      <c r="AB36" s="293"/>
      <c r="AD36" s="293"/>
      <c r="AE36" s="293"/>
      <c r="AF36" s="293"/>
      <c r="AG36" s="293"/>
      <c r="AH36" s="293"/>
    </row>
    <row r="37" spans="1:34">
      <c r="A37" t="s">
        <v>310</v>
      </c>
      <c r="B37" s="41">
        <f t="shared" ref="B37:H37" si="18">B29*$L$15/$L$17</f>
        <v>3.5875877703675681E-2</v>
      </c>
      <c r="C37" s="41">
        <f t="shared" si="18"/>
        <v>9.784330282820641E-3</v>
      </c>
      <c r="D37" s="41">
        <f t="shared" si="18"/>
        <v>1.793793885183784E-2</v>
      </c>
      <c r="E37" s="41">
        <f t="shared" si="18"/>
        <v>6.6044229409039326E-2</v>
      </c>
      <c r="F37" s="41">
        <f t="shared" si="18"/>
        <v>0</v>
      </c>
      <c r="G37" s="41">
        <f t="shared" si="18"/>
        <v>1.9568660565641282E-2</v>
      </c>
      <c r="H37" s="41">
        <f t="shared" si="18"/>
        <v>4.0768042845086006E-3</v>
      </c>
      <c r="I37" s="41">
        <f t="shared" ref="I37:I39" si="19">SUM(B37:H37)</f>
        <v>0.15328784109752336</v>
      </c>
      <c r="J37" s="41"/>
      <c r="N37" s="41"/>
      <c r="O37" s="41"/>
      <c r="P37" s="41"/>
      <c r="Q37" s="41"/>
      <c r="R37" s="41"/>
      <c r="S37" s="41"/>
      <c r="T37" s="41"/>
      <c r="U37" s="41"/>
      <c r="V37" s="41"/>
      <c r="X37" s="293"/>
      <c r="Y37" s="293"/>
      <c r="Z37" s="293"/>
      <c r="AA37" s="293"/>
      <c r="AB37" s="293"/>
      <c r="AD37" s="293"/>
      <c r="AE37" s="293"/>
      <c r="AF37" s="293"/>
      <c r="AG37" s="293"/>
      <c r="AH37" s="293"/>
    </row>
    <row r="38" spans="1:34">
      <c r="A38" t="s">
        <v>311</v>
      </c>
      <c r="B38" s="41">
        <f t="shared" ref="B38:G38" si="20">B30*$L$15/$L$17</f>
        <v>7.3382477121154812E-3</v>
      </c>
      <c r="C38" s="41">
        <f t="shared" si="20"/>
        <v>2.119938227944472E-2</v>
      </c>
      <c r="D38" s="41">
        <f t="shared" si="20"/>
        <v>0</v>
      </c>
      <c r="E38" s="41">
        <f t="shared" si="20"/>
        <v>2.4460825707051602E-3</v>
      </c>
      <c r="F38" s="41">
        <f t="shared" si="20"/>
        <v>0</v>
      </c>
      <c r="G38" s="41">
        <f t="shared" si="20"/>
        <v>6.5228868552137604E-3</v>
      </c>
      <c r="H38" s="41">
        <f>H30*$L$15/$L$17</f>
        <v>1.793793885183784E-2</v>
      </c>
      <c r="I38" s="41">
        <f t="shared" si="19"/>
        <v>5.5444538269316959E-2</v>
      </c>
      <c r="J38" s="41"/>
      <c r="N38" s="41"/>
      <c r="O38" s="41"/>
      <c r="P38" s="41"/>
      <c r="Q38" s="41"/>
      <c r="R38" s="41"/>
      <c r="S38" s="41"/>
      <c r="T38" s="41"/>
      <c r="U38" s="41"/>
      <c r="V38" s="41"/>
      <c r="X38" s="293"/>
      <c r="Y38" s="293"/>
      <c r="Z38" s="293"/>
      <c r="AA38" s="293"/>
      <c r="AB38" s="293"/>
      <c r="AD38" s="293"/>
      <c r="AE38" s="293"/>
      <c r="AF38" s="293"/>
      <c r="AG38" s="293"/>
      <c r="AH38" s="293"/>
    </row>
    <row r="39" spans="1:34">
      <c r="A39" t="s">
        <v>1024</v>
      </c>
      <c r="B39" s="41">
        <v>0</v>
      </c>
      <c r="C39" s="41">
        <f>O22/L17</f>
        <v>5.4829012405040088E-2</v>
      </c>
      <c r="D39" s="41">
        <v>0</v>
      </c>
      <c r="E39" s="41">
        <v>0</v>
      </c>
      <c r="F39" s="41">
        <f>M22/L17</f>
        <v>0.10444310229468608</v>
      </c>
      <c r="G39" s="41">
        <v>0</v>
      </c>
      <c r="H39" s="41">
        <f>N22/L17</f>
        <v>2.5367028398553784E-2</v>
      </c>
      <c r="I39" s="41">
        <f t="shared" si="19"/>
        <v>0.18463914309827995</v>
      </c>
      <c r="J39" s="41"/>
      <c r="N39" s="41"/>
      <c r="O39" s="41"/>
      <c r="P39" s="41"/>
      <c r="Q39" s="41"/>
      <c r="R39" s="41"/>
      <c r="S39" s="41"/>
      <c r="T39" s="41"/>
      <c r="U39" s="41"/>
      <c r="V39" s="41"/>
      <c r="X39" s="293"/>
      <c r="Y39" s="293"/>
      <c r="Z39" s="293"/>
      <c r="AA39" s="293"/>
      <c r="AB39" s="293"/>
      <c r="AD39" s="293"/>
      <c r="AE39" s="293"/>
      <c r="AF39" s="293"/>
      <c r="AG39" s="293"/>
      <c r="AH39" s="293"/>
    </row>
    <row r="40" spans="1:34">
      <c r="A40" t="s">
        <v>248</v>
      </c>
      <c r="B40" s="41">
        <f>B31*$L$15/$L$17</f>
        <v>2.9352990848461925E-2</v>
      </c>
      <c r="C40" s="41">
        <f t="shared" ref="C40:H40" si="21">C31*$L$15/$L$17</f>
        <v>4.3214125415791164E-2</v>
      </c>
      <c r="D40" s="41">
        <f t="shared" si="21"/>
        <v>1.0599691139722362E-2</v>
      </c>
      <c r="E40" s="41">
        <f t="shared" si="21"/>
        <v>1.4676495424230962E-2</v>
      </c>
      <c r="F40" s="41">
        <f t="shared" si="21"/>
        <v>0</v>
      </c>
      <c r="G40" s="41">
        <f t="shared" si="21"/>
        <v>2.6091547420855041E-2</v>
      </c>
      <c r="H40" s="41">
        <f t="shared" si="21"/>
        <v>2.1199382279444724E-2</v>
      </c>
      <c r="I40" s="41">
        <f>SUM(B40:H40)</f>
        <v>0.14513423252850619</v>
      </c>
      <c r="J40" s="41"/>
      <c r="N40" s="41"/>
      <c r="O40" s="41"/>
      <c r="P40" s="41"/>
      <c r="Q40" s="41"/>
      <c r="R40" s="41"/>
      <c r="S40" s="41"/>
      <c r="T40" s="41"/>
      <c r="U40" s="41"/>
      <c r="V40" s="41"/>
      <c r="X40" s="293"/>
      <c r="Y40" s="293"/>
      <c r="Z40" s="293"/>
      <c r="AA40" s="293"/>
      <c r="AB40" s="293"/>
      <c r="AD40" s="293"/>
      <c r="AE40" s="293"/>
      <c r="AF40" s="293"/>
      <c r="AG40" s="293"/>
      <c r="AH40" s="293"/>
    </row>
    <row r="41" spans="1:34">
      <c r="A41" t="s">
        <v>67</v>
      </c>
      <c r="B41" s="41">
        <f t="shared" ref="B41:H41" si="22">SUM(B36:B40)</f>
        <v>0.29597599105532441</v>
      </c>
      <c r="C41" s="41">
        <f t="shared" si="22"/>
        <v>0.22687015321130302</v>
      </c>
      <c r="D41" s="41">
        <f t="shared" si="22"/>
        <v>6.1967425124530719E-2</v>
      </c>
      <c r="E41" s="41">
        <f t="shared" si="22"/>
        <v>9.5397220257501261E-2</v>
      </c>
      <c r="F41" s="41">
        <f t="shared" si="22"/>
        <v>0.18679454884175978</v>
      </c>
      <c r="G41" s="41">
        <f t="shared" si="22"/>
        <v>6.1967425124530726E-2</v>
      </c>
      <c r="H41" s="41">
        <f t="shared" si="22"/>
        <v>7.102723638505011E-2</v>
      </c>
      <c r="I41" s="41">
        <f>SUM(B41:H41)</f>
        <v>1</v>
      </c>
      <c r="J41" s="41"/>
      <c r="N41" s="41"/>
      <c r="O41" s="41"/>
      <c r="P41" s="41"/>
      <c r="Q41" s="41"/>
      <c r="R41" s="41"/>
      <c r="S41" s="41"/>
      <c r="T41" s="41"/>
      <c r="U41" s="41"/>
      <c r="V41" s="41"/>
      <c r="X41" s="293"/>
      <c r="Y41" s="293"/>
      <c r="Z41" s="293"/>
      <c r="AA41" s="293"/>
      <c r="AB41" s="293"/>
      <c r="AD41" s="293"/>
      <c r="AE41" s="293"/>
      <c r="AF41" s="293"/>
      <c r="AG41" s="293"/>
      <c r="AH41" s="293"/>
    </row>
    <row r="42" spans="1:34">
      <c r="J42" s="41"/>
      <c r="N42" s="41"/>
      <c r="O42" s="41"/>
      <c r="P42" s="41"/>
      <c r="Q42" s="41"/>
      <c r="R42" s="41"/>
      <c r="S42" s="41"/>
      <c r="T42" s="41"/>
      <c r="U42" s="41"/>
      <c r="V42" s="41"/>
      <c r="X42" s="293"/>
      <c r="Y42" s="293"/>
      <c r="Z42" s="293"/>
      <c r="AA42" s="293"/>
      <c r="AB42" s="293"/>
      <c r="AD42" s="293"/>
      <c r="AE42" s="293"/>
      <c r="AF42" s="293"/>
      <c r="AG42" s="293"/>
      <c r="AH42" s="293"/>
    </row>
    <row r="43" spans="1:34">
      <c r="J43" s="41"/>
      <c r="N43" s="41"/>
      <c r="O43" s="41"/>
      <c r="P43" s="41"/>
      <c r="Q43" s="41"/>
      <c r="R43" s="41"/>
      <c r="S43" s="41"/>
      <c r="T43" s="41"/>
      <c r="U43" s="41"/>
      <c r="V43" s="41"/>
      <c r="X43" s="293"/>
      <c r="Y43" s="293"/>
      <c r="Z43" s="293"/>
      <c r="AA43" s="293"/>
      <c r="AB43" s="293"/>
      <c r="AD43" s="293"/>
      <c r="AE43" s="293"/>
      <c r="AF43" s="293"/>
      <c r="AG43" s="293"/>
      <c r="AH43" s="293"/>
    </row>
    <row r="44" spans="1:34">
      <c r="A44" s="54" t="s">
        <v>1025</v>
      </c>
      <c r="M44" s="54"/>
    </row>
    <row r="45" spans="1:34" ht="16">
      <c r="A45" s="145" t="s">
        <v>743</v>
      </c>
      <c r="B45" s="146" t="s">
        <v>258</v>
      </c>
      <c r="C45" s="147" t="s">
        <v>477</v>
      </c>
      <c r="D45" s="148" t="s">
        <v>478</v>
      </c>
      <c r="E45" s="147" t="s">
        <v>480</v>
      </c>
      <c r="F45" s="147" t="s">
        <v>474</v>
      </c>
      <c r="G45" s="147" t="s">
        <v>745</v>
      </c>
      <c r="H45" s="149" t="s">
        <v>248</v>
      </c>
      <c r="I45" s="147" t="s">
        <v>67</v>
      </c>
      <c r="J45" s="147"/>
      <c r="M45" s="288"/>
      <c r="N45" s="289"/>
      <c r="O45" s="290"/>
      <c r="P45" s="291"/>
      <c r="Q45" s="290"/>
      <c r="R45" s="290"/>
      <c r="S45" s="290"/>
      <c r="T45" s="292"/>
      <c r="U45" s="290"/>
      <c r="V45" s="290"/>
      <c r="X45" s="290"/>
      <c r="Y45" s="290"/>
      <c r="Z45" s="290"/>
      <c r="AA45" s="290"/>
      <c r="AB45" s="290"/>
      <c r="AD45" s="290"/>
      <c r="AE45" s="290"/>
      <c r="AF45" s="290"/>
      <c r="AG45" s="290"/>
      <c r="AH45" s="290"/>
    </row>
    <row r="46" spans="1:34">
      <c r="A46" t="s">
        <v>1022</v>
      </c>
      <c r="B46" s="41">
        <f>B36</f>
        <v>0.2234088747910713</v>
      </c>
      <c r="C46" s="41">
        <f>C36+0.1*C39</f>
        <v>0.1033262040687104</v>
      </c>
      <c r="D46" s="41">
        <f t="shared" ref="D46:H46" si="23">D36</f>
        <v>3.3429795132970515E-2</v>
      </c>
      <c r="E46" s="41">
        <f t="shared" si="23"/>
        <v>1.22304128535258E-2</v>
      </c>
      <c r="F46" s="41">
        <f t="shared" si="23"/>
        <v>8.2351446547073714E-2</v>
      </c>
      <c r="G46" s="41">
        <f t="shared" si="23"/>
        <v>9.784330282820641E-3</v>
      </c>
      <c r="H46" s="41">
        <f t="shared" si="23"/>
        <v>2.4460825707051602E-3</v>
      </c>
      <c r="I46" s="41">
        <f>SUM(B46:H46)</f>
        <v>0.46697714624687753</v>
      </c>
      <c r="J46" s="41"/>
      <c r="N46" s="41"/>
      <c r="O46" s="41"/>
      <c r="P46" s="41"/>
      <c r="Q46" s="41"/>
      <c r="R46" s="41"/>
      <c r="S46" s="41"/>
      <c r="T46" s="41"/>
      <c r="U46" s="41"/>
      <c r="V46" s="41"/>
      <c r="X46" s="293"/>
      <c r="Y46" s="293"/>
      <c r="Z46" s="293"/>
      <c r="AA46" s="293"/>
      <c r="AB46" s="293"/>
      <c r="AD46" s="293"/>
      <c r="AE46" s="293"/>
      <c r="AF46" s="293"/>
      <c r="AG46" s="293"/>
      <c r="AH46" s="293"/>
    </row>
    <row r="47" spans="1:34">
      <c r="A47" t="s">
        <v>310</v>
      </c>
      <c r="B47" s="41">
        <f t="shared" ref="B47:H50" si="24">B37</f>
        <v>3.5875877703675681E-2</v>
      </c>
      <c r="C47" s="41">
        <f>C37+0.4*C39</f>
        <v>3.1715935244836679E-2</v>
      </c>
      <c r="D47" s="41">
        <f t="shared" si="24"/>
        <v>1.793793885183784E-2</v>
      </c>
      <c r="E47" s="41">
        <f t="shared" si="24"/>
        <v>6.6044229409039326E-2</v>
      </c>
      <c r="F47" s="41">
        <f t="shared" si="24"/>
        <v>0</v>
      </c>
      <c r="G47" s="41">
        <f t="shared" si="24"/>
        <v>1.9568660565641282E-2</v>
      </c>
      <c r="H47" s="41">
        <f t="shared" si="24"/>
        <v>4.0768042845086006E-3</v>
      </c>
      <c r="I47" s="41">
        <f t="shared" ref="I47:I49" si="25">SUM(B47:H47)</f>
        <v>0.1752194460595394</v>
      </c>
      <c r="J47" s="41"/>
      <c r="N47" s="41"/>
      <c r="O47" s="41"/>
      <c r="P47" s="41"/>
      <c r="Q47" s="41"/>
      <c r="R47" s="41"/>
      <c r="S47" s="41"/>
      <c r="T47" s="41"/>
      <c r="U47" s="41"/>
      <c r="V47" s="41"/>
      <c r="X47" s="293"/>
      <c r="Y47" s="293"/>
      <c r="Z47" s="293"/>
      <c r="AA47" s="293"/>
      <c r="AB47" s="293"/>
      <c r="AD47" s="293"/>
      <c r="AE47" s="293"/>
      <c r="AF47" s="293"/>
      <c r="AG47" s="293"/>
      <c r="AH47" s="293"/>
    </row>
    <row r="48" spans="1:34">
      <c r="A48" t="s">
        <v>311</v>
      </c>
      <c r="B48" s="41">
        <f t="shared" si="24"/>
        <v>7.3382477121154812E-3</v>
      </c>
      <c r="C48" s="41">
        <f>C38+0.4*C39</f>
        <v>4.3130987241460757E-2</v>
      </c>
      <c r="D48" s="41">
        <f t="shared" si="24"/>
        <v>0</v>
      </c>
      <c r="E48" s="41">
        <f t="shared" si="24"/>
        <v>2.4460825707051602E-3</v>
      </c>
      <c r="F48" s="41">
        <f t="shared" si="24"/>
        <v>0</v>
      </c>
      <c r="G48" s="41">
        <f t="shared" si="24"/>
        <v>6.5228868552137604E-3</v>
      </c>
      <c r="H48" s="41">
        <f>H38</f>
        <v>1.793793885183784E-2</v>
      </c>
      <c r="I48" s="41">
        <f t="shared" si="25"/>
        <v>7.7376143231333003E-2</v>
      </c>
      <c r="J48" s="41"/>
      <c r="N48" s="41"/>
      <c r="O48" s="41"/>
      <c r="P48" s="41"/>
      <c r="Q48" s="41"/>
      <c r="R48" s="41"/>
      <c r="S48" s="41"/>
      <c r="T48" s="41"/>
      <c r="U48" s="41"/>
      <c r="V48" s="41"/>
      <c r="X48" s="293"/>
      <c r="Y48" s="293"/>
      <c r="Z48" s="293"/>
      <c r="AA48" s="293"/>
      <c r="AB48" s="293"/>
      <c r="AD48" s="293"/>
      <c r="AE48" s="293"/>
      <c r="AF48" s="293"/>
      <c r="AG48" s="293"/>
      <c r="AH48" s="293"/>
    </row>
    <row r="49" spans="1:34">
      <c r="A49" t="s">
        <v>320</v>
      </c>
      <c r="B49" s="41">
        <f t="shared" si="24"/>
        <v>0</v>
      </c>
      <c r="C49" s="41">
        <v>0</v>
      </c>
      <c r="D49" s="41">
        <f t="shared" si="24"/>
        <v>0</v>
      </c>
      <c r="E49" s="41">
        <f t="shared" si="24"/>
        <v>0</v>
      </c>
      <c r="F49" s="41">
        <f t="shared" si="24"/>
        <v>0.10444310229468608</v>
      </c>
      <c r="G49" s="41">
        <f t="shared" si="24"/>
        <v>0</v>
      </c>
      <c r="H49" s="41">
        <f t="shared" si="24"/>
        <v>2.5367028398553784E-2</v>
      </c>
      <c r="I49" s="41">
        <f t="shared" si="25"/>
        <v>0.12981013069323985</v>
      </c>
      <c r="J49" s="41"/>
      <c r="N49" s="41"/>
      <c r="O49" s="41"/>
      <c r="P49" s="41"/>
      <c r="Q49" s="41"/>
      <c r="R49" s="41"/>
      <c r="S49" s="41"/>
      <c r="T49" s="41"/>
      <c r="U49" s="41"/>
      <c r="V49" s="41"/>
      <c r="X49" s="293"/>
      <c r="Y49" s="293"/>
      <c r="Z49" s="293"/>
      <c r="AA49" s="293"/>
      <c r="AB49" s="293"/>
      <c r="AD49" s="293"/>
      <c r="AE49" s="293"/>
      <c r="AF49" s="293"/>
      <c r="AG49" s="293"/>
      <c r="AH49" s="293"/>
    </row>
    <row r="50" spans="1:34">
      <c r="A50" t="s">
        <v>248</v>
      </c>
      <c r="B50" s="41">
        <f t="shared" si="24"/>
        <v>2.9352990848461925E-2</v>
      </c>
      <c r="C50" s="41">
        <f>C40+0.1*C39</f>
        <v>4.8697026656295175E-2</v>
      </c>
      <c r="D50" s="41">
        <f t="shared" si="24"/>
        <v>1.0599691139722362E-2</v>
      </c>
      <c r="E50" s="41">
        <f t="shared" si="24"/>
        <v>1.4676495424230962E-2</v>
      </c>
      <c r="F50" s="41">
        <f t="shared" si="24"/>
        <v>0</v>
      </c>
      <c r="G50" s="41">
        <f t="shared" si="24"/>
        <v>2.6091547420855041E-2</v>
      </c>
      <c r="H50" s="41">
        <f t="shared" si="24"/>
        <v>2.1199382279444724E-2</v>
      </c>
      <c r="I50" s="41">
        <f>SUM(B50:H50)</f>
        <v>0.1506171337690102</v>
      </c>
      <c r="J50" s="41"/>
      <c r="M50" t="s">
        <v>1026</v>
      </c>
      <c r="N50" s="41"/>
      <c r="O50" s="41"/>
      <c r="P50" s="41"/>
      <c r="Q50" s="41"/>
      <c r="R50" s="41"/>
      <c r="S50" s="41"/>
      <c r="T50" s="41"/>
      <c r="U50" s="41"/>
      <c r="V50" s="41"/>
      <c r="X50" s="293"/>
      <c r="Y50" s="293"/>
      <c r="Z50" s="293"/>
      <c r="AA50" s="293"/>
      <c r="AB50" s="293"/>
      <c r="AD50" s="293"/>
      <c r="AE50" s="293"/>
      <c r="AF50" s="293"/>
      <c r="AG50" s="293"/>
      <c r="AH50" s="293"/>
    </row>
    <row r="51" spans="1:34">
      <c r="A51" t="s">
        <v>67</v>
      </c>
      <c r="B51" s="41">
        <f t="shared" ref="B51:H51" si="26">SUM(B46:B50)</f>
        <v>0.29597599105532441</v>
      </c>
      <c r="C51" s="41">
        <f t="shared" si="26"/>
        <v>0.22687015321130299</v>
      </c>
      <c r="D51" s="41">
        <f t="shared" si="26"/>
        <v>6.1967425124530719E-2</v>
      </c>
      <c r="E51" s="41">
        <f t="shared" si="26"/>
        <v>9.5397220257501261E-2</v>
      </c>
      <c r="F51" s="41">
        <f t="shared" si="26"/>
        <v>0.18679454884175978</v>
      </c>
      <c r="G51" s="41">
        <f t="shared" si="26"/>
        <v>6.1967425124530726E-2</v>
      </c>
      <c r="H51" s="41">
        <f t="shared" si="26"/>
        <v>7.102723638505011E-2</v>
      </c>
      <c r="I51" s="41">
        <f>SUM(B51:H51)</f>
        <v>1</v>
      </c>
      <c r="J51" s="41"/>
      <c r="N51" s="41"/>
      <c r="O51" s="41"/>
      <c r="P51" s="41"/>
      <c r="Q51" s="41"/>
      <c r="R51" s="41"/>
      <c r="S51" s="41"/>
      <c r="T51" s="41"/>
      <c r="U51" s="41"/>
      <c r="V51" s="41"/>
      <c r="X51" s="293"/>
      <c r="Y51" s="293"/>
      <c r="Z51" s="293"/>
      <c r="AA51" s="293"/>
      <c r="AB51" s="293"/>
      <c r="AD51" s="293"/>
      <c r="AE51" s="293"/>
      <c r="AF51" s="293"/>
      <c r="AG51" s="293"/>
      <c r="AH51" s="293"/>
    </row>
    <row r="52" spans="1:34">
      <c r="B52" s="41"/>
      <c r="C52" s="41"/>
      <c r="D52" s="41"/>
      <c r="E52" s="41"/>
      <c r="F52" s="41"/>
      <c r="G52" s="41"/>
      <c r="H52" s="41"/>
      <c r="I52" s="41"/>
      <c r="J52" s="41"/>
      <c r="N52" s="41"/>
      <c r="O52" s="41"/>
      <c r="P52" s="41"/>
      <c r="Q52" s="41"/>
      <c r="R52" s="41"/>
      <c r="S52" s="41"/>
      <c r="T52" s="41"/>
      <c r="U52" s="41"/>
      <c r="V52" s="41"/>
      <c r="X52" s="293"/>
      <c r="Y52" s="293"/>
      <c r="Z52" s="293"/>
      <c r="AA52" s="293"/>
      <c r="AB52" s="293"/>
      <c r="AD52" s="293"/>
      <c r="AE52" s="293"/>
      <c r="AF52" s="293"/>
      <c r="AG52" s="293"/>
      <c r="AH52" s="293"/>
    </row>
    <row r="53" spans="1:34">
      <c r="B53" s="41"/>
      <c r="C53" s="41"/>
      <c r="D53" s="41"/>
      <c r="E53" s="41"/>
      <c r="F53" s="41"/>
      <c r="G53" s="41"/>
      <c r="H53" s="41"/>
      <c r="I53" s="41"/>
      <c r="J53" s="41"/>
      <c r="N53" s="41"/>
      <c r="O53" s="41"/>
      <c r="P53" s="41"/>
      <c r="Q53" s="41"/>
      <c r="R53" s="41"/>
      <c r="S53" s="41"/>
      <c r="T53" s="41"/>
      <c r="U53" s="41"/>
      <c r="V53" s="41"/>
      <c r="X53" s="293"/>
      <c r="Y53" s="293"/>
      <c r="Z53" s="293"/>
      <c r="AA53" s="293"/>
      <c r="AB53" s="293"/>
      <c r="AD53" s="293"/>
      <c r="AE53" s="293"/>
      <c r="AF53" s="293"/>
      <c r="AG53" s="293"/>
      <c r="AH53" s="293"/>
    </row>
    <row r="54" spans="1:34" ht="16" thickBot="1">
      <c r="A54" s="280"/>
      <c r="B54" s="526" t="s">
        <v>744</v>
      </c>
      <c r="C54" s="526" t="s">
        <v>472</v>
      </c>
      <c r="D54" s="526" t="s">
        <v>477</v>
      </c>
      <c r="E54" s="526" t="s">
        <v>478</v>
      </c>
      <c r="F54" s="526" t="s">
        <v>480</v>
      </c>
      <c r="G54" s="526" t="s">
        <v>474</v>
      </c>
      <c r="H54" s="526" t="s">
        <v>192</v>
      </c>
      <c r="I54" s="526" t="s">
        <v>67</v>
      </c>
      <c r="K54" s="1" t="s">
        <v>1027</v>
      </c>
      <c r="L54" s="1" t="s">
        <v>1027</v>
      </c>
    </row>
    <row r="55" spans="1:34" ht="16" thickTop="1">
      <c r="A55" s="527" t="s">
        <v>1028</v>
      </c>
      <c r="B55" s="445">
        <f>'Demand Breakdown - Ethylene'!E34</f>
        <v>1</v>
      </c>
      <c r="C55" s="445">
        <f>'Demand Breakdown - Ethylene'!E35</f>
        <v>1</v>
      </c>
      <c r="D55" s="528">
        <v>0</v>
      </c>
      <c r="E55" s="445">
        <f>'Demand Breakdown - Ethylene'!E39</f>
        <v>0.2687140115163148</v>
      </c>
      <c r="F55" s="445">
        <f>'Demand Breakdown - Ethylene'!E38</f>
        <v>0.44800000000000001</v>
      </c>
      <c r="G55" s="445">
        <f>'Demand Breakdown - Ethylene'!E36</f>
        <v>0.14568158168574402</v>
      </c>
      <c r="H55" s="445">
        <f>'Demand Breakdown - Ethylene'!E41</f>
        <v>0.1</v>
      </c>
      <c r="I55" s="280"/>
      <c r="K55" t="s">
        <v>1029</v>
      </c>
      <c r="L55" t="s">
        <v>1029</v>
      </c>
    </row>
    <row r="56" spans="1:34">
      <c r="A56" s="280" t="s">
        <v>309</v>
      </c>
      <c r="B56" s="529">
        <f t="shared" ref="B56:G61" si="27">B18*B$55</f>
        <v>0.13500000000000001</v>
      </c>
      <c r="C56" s="529">
        <f t="shared" si="27"/>
        <v>9.2999999999999999E-2</v>
      </c>
      <c r="D56" s="529">
        <f t="shared" si="27"/>
        <v>0</v>
      </c>
      <c r="E56" s="529">
        <f t="shared" si="27"/>
        <v>6.1804222648752403E-3</v>
      </c>
      <c r="F56" s="529">
        <f t="shared" si="27"/>
        <v>4.032E-3</v>
      </c>
      <c r="G56" s="529">
        <f t="shared" si="27"/>
        <v>1.4713839750260147E-2</v>
      </c>
      <c r="H56" s="529">
        <f t="shared" ref="H56:H61" si="28">(H18+I18)*H$55</f>
        <v>3.0000000000000003E-4</v>
      </c>
      <c r="I56" s="529">
        <f>SUM(B56:H56)</f>
        <v>0.25322626201513543</v>
      </c>
      <c r="K56" s="41">
        <f>I56/J18</f>
        <v>0.5677718879263125</v>
      </c>
      <c r="L56" s="23">
        <f t="shared" ref="L56:L61" si="29">I56/$I$62</f>
        <v>0.54603797910443241</v>
      </c>
    </row>
    <row r="57" spans="1:34">
      <c r="A57" s="280" t="s">
        <v>310</v>
      </c>
      <c r="B57" s="530">
        <f t="shared" si="27"/>
        <v>1.0999999999999999E-2</v>
      </c>
      <c r="C57" s="530">
        <f t="shared" si="27"/>
        <v>3.3000000000000002E-2</v>
      </c>
      <c r="D57" s="530">
        <f t="shared" si="27"/>
        <v>0</v>
      </c>
      <c r="E57" s="530">
        <f t="shared" si="27"/>
        <v>5.9117082533589249E-3</v>
      </c>
      <c r="F57" s="530">
        <f t="shared" si="27"/>
        <v>3.6288000000000001E-2</v>
      </c>
      <c r="G57" s="530">
        <f t="shared" si="27"/>
        <v>0</v>
      </c>
      <c r="H57" s="530">
        <f t="shared" si="28"/>
        <v>2.9000000000000002E-3</v>
      </c>
      <c r="I57" s="530">
        <f t="shared" ref="I57:I61" si="30">SUM(B57:H57)</f>
        <v>8.9099708253358931E-2</v>
      </c>
      <c r="K57" s="41">
        <f t="shared" ref="K57:K61" si="31">I57/J19</f>
        <v>0.47393461836893053</v>
      </c>
      <c r="L57" s="23">
        <f t="shared" si="29"/>
        <v>0.19212787902129477</v>
      </c>
    </row>
    <row r="58" spans="1:34">
      <c r="A58" s="280" t="s">
        <v>311</v>
      </c>
      <c r="B58" s="530">
        <f t="shared" si="27"/>
        <v>1E-3</v>
      </c>
      <c r="C58" s="530">
        <f t="shared" si="27"/>
        <v>8.0000000000000002E-3</v>
      </c>
      <c r="D58" s="530">
        <f t="shared" si="27"/>
        <v>0</v>
      </c>
      <c r="E58" s="530">
        <f t="shared" si="27"/>
        <v>0</v>
      </c>
      <c r="F58" s="530">
        <f t="shared" si="27"/>
        <v>1.3440000000000001E-3</v>
      </c>
      <c r="G58" s="530">
        <f t="shared" si="27"/>
        <v>0</v>
      </c>
      <c r="H58" s="530">
        <f t="shared" si="28"/>
        <v>3.0000000000000001E-3</v>
      </c>
      <c r="I58" s="530">
        <f t="shared" si="30"/>
        <v>1.3344000000000002E-2</v>
      </c>
      <c r="K58" s="41">
        <f t="shared" si="31"/>
        <v>0.19623529411764706</v>
      </c>
      <c r="L58" s="23">
        <f t="shared" si="29"/>
        <v>2.8773993404894321E-2</v>
      </c>
    </row>
    <row r="59" spans="1:34">
      <c r="A59" s="280" t="s">
        <v>312</v>
      </c>
      <c r="B59" s="530">
        <f t="shared" si="27"/>
        <v>5.0000000000000001E-3</v>
      </c>
      <c r="C59" s="530">
        <f t="shared" si="27"/>
        <v>2E-3</v>
      </c>
      <c r="D59" s="530">
        <f t="shared" si="27"/>
        <v>0</v>
      </c>
      <c r="E59" s="530">
        <f t="shared" si="27"/>
        <v>1.6122840690978887E-3</v>
      </c>
      <c r="F59" s="530">
        <f t="shared" si="27"/>
        <v>1.792E-3</v>
      </c>
      <c r="G59" s="530">
        <f t="shared" si="27"/>
        <v>0</v>
      </c>
      <c r="H59" s="530">
        <f t="shared" si="28"/>
        <v>1.4000000000000002E-3</v>
      </c>
      <c r="I59" s="530">
        <f t="shared" si="30"/>
        <v>1.1804284069097889E-2</v>
      </c>
      <c r="K59" s="41">
        <f t="shared" si="31"/>
        <v>0.2951071017274472</v>
      </c>
      <c r="L59" s="23">
        <f t="shared" si="29"/>
        <v>2.5453866303486339E-2</v>
      </c>
    </row>
    <row r="60" spans="1:34">
      <c r="A60" s="280" t="s">
        <v>746</v>
      </c>
      <c r="B60" s="530">
        <f>B22*B$55</f>
        <v>2.9000000000000001E-2</v>
      </c>
      <c r="C60" s="530">
        <f t="shared" si="27"/>
        <v>1.7000000000000001E-2</v>
      </c>
      <c r="D60" s="530">
        <f t="shared" si="27"/>
        <v>0</v>
      </c>
      <c r="E60" s="530">
        <f t="shared" si="27"/>
        <v>4.8368522072936657E-3</v>
      </c>
      <c r="F60" s="530">
        <f t="shared" si="27"/>
        <v>2.6880000000000003E-3</v>
      </c>
      <c r="G60" s="530">
        <f t="shared" si="27"/>
        <v>0</v>
      </c>
      <c r="H60" s="530">
        <f t="shared" si="28"/>
        <v>1.2000000000000001E-3</v>
      </c>
      <c r="I60" s="530">
        <f t="shared" si="30"/>
        <v>5.4724852207293666E-2</v>
      </c>
      <c r="K60" s="41">
        <f t="shared" si="31"/>
        <v>0.45604043506078057</v>
      </c>
      <c r="L60" s="23">
        <f t="shared" si="29"/>
        <v>0.11800453660794995</v>
      </c>
    </row>
    <row r="61" spans="1:34">
      <c r="A61" s="280" t="s">
        <v>248</v>
      </c>
      <c r="B61" s="530">
        <f>B23*B$55</f>
        <v>1.9000000000000003E-2</v>
      </c>
      <c r="C61" s="530">
        <f t="shared" si="27"/>
        <v>9.9999999999999985E-3</v>
      </c>
      <c r="D61" s="530">
        <f t="shared" si="27"/>
        <v>0</v>
      </c>
      <c r="E61" s="530">
        <f t="shared" si="27"/>
        <v>1.8809980806142037E-3</v>
      </c>
      <c r="F61" s="530">
        <f t="shared" si="27"/>
        <v>6.2720000000000007E-3</v>
      </c>
      <c r="G61" s="530">
        <f t="shared" si="27"/>
        <v>0</v>
      </c>
      <c r="H61" s="530">
        <f t="shared" si="28"/>
        <v>4.4000000000000003E-3</v>
      </c>
      <c r="I61" s="530">
        <f t="shared" si="30"/>
        <v>4.155299808061421E-2</v>
      </c>
      <c r="K61" s="41">
        <f t="shared" si="31"/>
        <v>0.30110868174358119</v>
      </c>
      <c r="L61" s="23">
        <f t="shared" si="29"/>
        <v>8.9601745557942106E-2</v>
      </c>
    </row>
    <row r="62" spans="1:34" ht="16" thickBot="1">
      <c r="A62" s="526" t="s">
        <v>67</v>
      </c>
      <c r="B62" s="531">
        <f>SUM(B56:B61)</f>
        <v>0.2</v>
      </c>
      <c r="C62" s="531">
        <f t="shared" ref="C62:I62" si="32">SUM(C56:C61)</f>
        <v>0.16300000000000003</v>
      </c>
      <c r="D62" s="531">
        <f t="shared" si="32"/>
        <v>0</v>
      </c>
      <c r="E62" s="531">
        <f t="shared" si="32"/>
        <v>2.0422264875239925E-2</v>
      </c>
      <c r="F62" s="531">
        <f t="shared" si="32"/>
        <v>5.2416000000000004E-2</v>
      </c>
      <c r="G62" s="531">
        <f t="shared" si="32"/>
        <v>1.4713839750260147E-2</v>
      </c>
      <c r="H62" s="531">
        <f t="shared" si="32"/>
        <v>1.32E-2</v>
      </c>
      <c r="I62" s="531">
        <f t="shared" si="32"/>
        <v>0.46375210462550015</v>
      </c>
    </row>
    <row r="63" spans="1:34" ht="16" thickTop="1"/>
    <row r="64" spans="1:34">
      <c r="J64" t="s">
        <v>1030</v>
      </c>
      <c r="K64" s="23">
        <f>(I56+I60)/(J18+J22)</f>
        <v>0.54408324067566971</v>
      </c>
    </row>
    <row r="65" spans="1:31">
      <c r="J65" t="s">
        <v>248</v>
      </c>
      <c r="K65" s="23">
        <f>(I59+I61)/(J23+J21)</f>
        <v>0.29976001207703423</v>
      </c>
    </row>
    <row r="67" spans="1:31" ht="16" thickBot="1">
      <c r="A67" s="280"/>
      <c r="B67" s="526" t="s">
        <v>744</v>
      </c>
      <c r="C67" s="526" t="s">
        <v>472</v>
      </c>
      <c r="D67" s="526" t="s">
        <v>477</v>
      </c>
      <c r="E67" s="526" t="s">
        <v>478</v>
      </c>
      <c r="F67" s="526" t="s">
        <v>480</v>
      </c>
      <c r="G67" s="526" t="s">
        <v>474</v>
      </c>
      <c r="H67" s="526" t="s">
        <v>192</v>
      </c>
      <c r="I67" s="526" t="s">
        <v>67</v>
      </c>
      <c r="K67" s="1" t="s">
        <v>1027</v>
      </c>
    </row>
    <row r="68" spans="1:31" ht="16" thickTop="1">
      <c r="A68" s="527" t="s">
        <v>1031</v>
      </c>
      <c r="B68" s="528">
        <v>0</v>
      </c>
      <c r="C68" s="528">
        <v>0</v>
      </c>
      <c r="D68" s="528">
        <v>1</v>
      </c>
      <c r="E68" s="528">
        <v>0</v>
      </c>
      <c r="F68" s="528">
        <v>0</v>
      </c>
      <c r="G68" s="528">
        <v>0</v>
      </c>
      <c r="H68" s="445">
        <f>'Demand Breakdown - Propylene'!E28</f>
        <v>0.1</v>
      </c>
      <c r="I68" s="280"/>
      <c r="K68" t="s">
        <v>1029</v>
      </c>
    </row>
    <row r="69" spans="1:31">
      <c r="A69" s="280" t="s">
        <v>309</v>
      </c>
      <c r="B69" s="529">
        <f t="shared" ref="B69:B74" si="33">B18*B$68</f>
        <v>0</v>
      </c>
      <c r="C69" s="529">
        <f t="shared" ref="C69:H69" si="34">C18*C$68</f>
        <v>0</v>
      </c>
      <c r="D69" s="529">
        <f t="shared" si="34"/>
        <v>8.2000000000000003E-2</v>
      </c>
      <c r="E69" s="529">
        <f t="shared" si="34"/>
        <v>0</v>
      </c>
      <c r="F69" s="529">
        <f t="shared" si="34"/>
        <v>0</v>
      </c>
      <c r="G69" s="529">
        <f t="shared" si="34"/>
        <v>0</v>
      </c>
      <c r="H69" s="529">
        <f t="shared" si="34"/>
        <v>2.0000000000000001E-4</v>
      </c>
      <c r="I69" s="529">
        <f>SUM(B69:H69)</f>
        <v>8.2200000000000009E-2</v>
      </c>
      <c r="K69" s="41">
        <f t="shared" ref="K69:K74" si="35">I69/J18</f>
        <v>0.184304932735426</v>
      </c>
    </row>
    <row r="70" spans="1:31">
      <c r="A70" s="280" t="s">
        <v>310</v>
      </c>
      <c r="B70" s="530">
        <f t="shared" si="33"/>
        <v>0</v>
      </c>
      <c r="C70" s="530">
        <f t="shared" ref="C70:H74" si="36">C19*C$68</f>
        <v>0</v>
      </c>
      <c r="D70" s="530">
        <f t="shared" si="36"/>
        <v>1.2E-2</v>
      </c>
      <c r="E70" s="530">
        <f t="shared" si="36"/>
        <v>0</v>
      </c>
      <c r="F70" s="530">
        <f t="shared" si="36"/>
        <v>0</v>
      </c>
      <c r="G70" s="530">
        <f t="shared" si="36"/>
        <v>0</v>
      </c>
      <c r="H70" s="530">
        <f t="shared" si="36"/>
        <v>2.4000000000000002E-3</v>
      </c>
      <c r="I70" s="530">
        <f t="shared" ref="I70:I74" si="37">SUM(B70:H70)</f>
        <v>1.44E-2</v>
      </c>
      <c r="K70" s="41">
        <f t="shared" si="35"/>
        <v>7.6595744680851077E-2</v>
      </c>
    </row>
    <row r="71" spans="1:31">
      <c r="A71" s="280" t="s">
        <v>311</v>
      </c>
      <c r="B71" s="530">
        <f>B20*B$68</f>
        <v>0</v>
      </c>
      <c r="C71" s="530">
        <f t="shared" si="36"/>
        <v>0</v>
      </c>
      <c r="D71" s="530">
        <f t="shared" si="36"/>
        <v>2.5999999999999999E-2</v>
      </c>
      <c r="E71" s="530">
        <f t="shared" si="36"/>
        <v>0</v>
      </c>
      <c r="F71" s="530">
        <f t="shared" si="36"/>
        <v>0</v>
      </c>
      <c r="G71" s="530">
        <f t="shared" si="36"/>
        <v>0</v>
      </c>
      <c r="H71" s="530">
        <f t="shared" si="36"/>
        <v>8.0000000000000004E-4</v>
      </c>
      <c r="I71" s="530">
        <f t="shared" si="37"/>
        <v>2.6799999999999997E-2</v>
      </c>
      <c r="K71" s="41">
        <f t="shared" si="35"/>
        <v>0.39411764705882346</v>
      </c>
    </row>
    <row r="72" spans="1:31">
      <c r="A72" s="280" t="s">
        <v>312</v>
      </c>
      <c r="B72" s="530">
        <f t="shared" si="33"/>
        <v>0</v>
      </c>
      <c r="C72" s="530">
        <f t="shared" si="36"/>
        <v>0</v>
      </c>
      <c r="D72" s="530">
        <f t="shared" si="36"/>
        <v>8.9999999999999993E-3</v>
      </c>
      <c r="E72" s="530">
        <f t="shared" si="36"/>
        <v>0</v>
      </c>
      <c r="F72" s="530">
        <f t="shared" si="36"/>
        <v>0</v>
      </c>
      <c r="G72" s="530">
        <f t="shared" si="36"/>
        <v>0</v>
      </c>
      <c r="H72" s="530">
        <f t="shared" si="36"/>
        <v>4.0000000000000002E-4</v>
      </c>
      <c r="I72" s="530">
        <f t="shared" si="37"/>
        <v>9.3999999999999986E-3</v>
      </c>
      <c r="K72" s="41">
        <f t="shared" si="35"/>
        <v>0.23499999999999996</v>
      </c>
      <c r="Y72" s="1" t="s">
        <v>1032</v>
      </c>
      <c r="AC72" s="1" t="s">
        <v>1033</v>
      </c>
    </row>
    <row r="73" spans="1:31">
      <c r="A73" s="280" t="s">
        <v>746</v>
      </c>
      <c r="B73" s="530">
        <f t="shared" si="33"/>
        <v>0</v>
      </c>
      <c r="C73" s="530">
        <f t="shared" si="36"/>
        <v>0</v>
      </c>
      <c r="D73" s="530">
        <f t="shared" si="36"/>
        <v>3.7999999999999999E-2</v>
      </c>
      <c r="E73" s="530">
        <f t="shared" si="36"/>
        <v>0</v>
      </c>
      <c r="F73" s="530">
        <f t="shared" si="36"/>
        <v>0</v>
      </c>
      <c r="G73" s="530">
        <f t="shared" si="36"/>
        <v>0</v>
      </c>
      <c r="H73" s="530">
        <f t="shared" si="36"/>
        <v>1E-3</v>
      </c>
      <c r="I73" s="530">
        <f t="shared" si="37"/>
        <v>3.9E-2</v>
      </c>
      <c r="K73" s="41">
        <f t="shared" si="35"/>
        <v>0.32500000000000001</v>
      </c>
      <c r="Y73" t="s">
        <v>1034</v>
      </c>
      <c r="Z73">
        <v>30.026</v>
      </c>
      <c r="AC73" t="s">
        <v>1035</v>
      </c>
      <c r="AD73">
        <v>25</v>
      </c>
      <c r="AE73" t="s">
        <v>1036</v>
      </c>
    </row>
    <row r="74" spans="1:31">
      <c r="A74" s="280" t="s">
        <v>248</v>
      </c>
      <c r="B74" s="530">
        <f t="shared" si="33"/>
        <v>0</v>
      </c>
      <c r="C74" s="530">
        <f t="shared" si="36"/>
        <v>0</v>
      </c>
      <c r="D74" s="530">
        <f t="shared" si="36"/>
        <v>4.4000000000000004E-2</v>
      </c>
      <c r="E74" s="530">
        <f t="shared" si="36"/>
        <v>0</v>
      </c>
      <c r="F74" s="530">
        <f t="shared" si="36"/>
        <v>0</v>
      </c>
      <c r="G74" s="530">
        <f t="shared" si="36"/>
        <v>0</v>
      </c>
      <c r="H74" s="530">
        <f t="shared" si="36"/>
        <v>2.8000000000000004E-3</v>
      </c>
      <c r="I74" s="530">
        <f t="shared" si="37"/>
        <v>4.6800000000000008E-2</v>
      </c>
      <c r="K74" s="41">
        <f t="shared" si="35"/>
        <v>0.33913043478260874</v>
      </c>
      <c r="Y74" t="s">
        <v>6</v>
      </c>
      <c r="Z74">
        <f>32.04</f>
        <v>32.04</v>
      </c>
      <c r="AC74" t="s">
        <v>1037</v>
      </c>
      <c r="AD74" s="450">
        <f>(1/(Z76+Z77-Z78))*(Z77)*AD73</f>
        <v>5.2723226420222886</v>
      </c>
    </row>
    <row r="75" spans="1:31" ht="16" thickBot="1">
      <c r="A75" s="526" t="s">
        <v>67</v>
      </c>
      <c r="B75" s="531">
        <f>SUM(B69:B74)</f>
        <v>0</v>
      </c>
      <c r="C75" s="531">
        <f t="shared" ref="C75:I75" si="38">SUM(C69:C74)</f>
        <v>0</v>
      </c>
      <c r="D75" s="531">
        <f t="shared" si="38"/>
        <v>0.21100000000000002</v>
      </c>
      <c r="E75" s="531">
        <f t="shared" si="38"/>
        <v>0</v>
      </c>
      <c r="F75" s="531">
        <f t="shared" si="38"/>
        <v>0</v>
      </c>
      <c r="G75" s="531">
        <f t="shared" si="38"/>
        <v>0</v>
      </c>
      <c r="H75" s="531">
        <f t="shared" si="38"/>
        <v>7.6000000000000009E-3</v>
      </c>
      <c r="I75" s="531">
        <f t="shared" si="38"/>
        <v>0.21860000000000002</v>
      </c>
      <c r="Y75" t="s">
        <v>855</v>
      </c>
      <c r="Z75">
        <v>93.129000000000005</v>
      </c>
      <c r="AC75" t="s">
        <v>1038</v>
      </c>
      <c r="AD75" s="450">
        <v>4.5781615384615382</v>
      </c>
      <c r="AE75" t="s">
        <v>1039</v>
      </c>
    </row>
    <row r="76" spans="1:31" ht="16" thickTop="1">
      <c r="Y76" t="s">
        <v>1040</v>
      </c>
      <c r="Z76">
        <v>250.25</v>
      </c>
      <c r="AC76" t="s">
        <v>674</v>
      </c>
      <c r="AD76" s="450">
        <v>0.68330769230769228</v>
      </c>
    </row>
    <row r="77" spans="1:31">
      <c r="J77" t="s">
        <v>1030</v>
      </c>
      <c r="K77" s="23">
        <f>(I69+I73)/(J18+J22)</f>
        <v>0.21413427561837453</v>
      </c>
      <c r="Y77" t="s">
        <v>1041</v>
      </c>
      <c r="Z77">
        <v>62.07</v>
      </c>
    </row>
    <row r="78" spans="1:31">
      <c r="J78" t="s">
        <v>248</v>
      </c>
      <c r="K78" s="23">
        <f>(I72+I74)/(J23+J21)</f>
        <v>0.31573033707865167</v>
      </c>
      <c r="Y78" t="s">
        <v>1042</v>
      </c>
      <c r="Z78">
        <v>18</v>
      </c>
      <c r="AC78" s="280" t="s">
        <v>1043</v>
      </c>
    </row>
    <row r="79" spans="1:31" ht="16" thickBot="1">
      <c r="T79" t="s">
        <v>1044</v>
      </c>
      <c r="Y79" t="s">
        <v>246</v>
      </c>
      <c r="Z79">
        <v>60.052</v>
      </c>
    </row>
    <row r="80" spans="1:31" ht="17" thickBot="1">
      <c r="B80" s="200" t="s">
        <v>744</v>
      </c>
      <c r="C80" s="200" t="s">
        <v>472</v>
      </c>
      <c r="D80" s="200" t="s">
        <v>477</v>
      </c>
      <c r="E80" s="200" t="s">
        <v>478</v>
      </c>
      <c r="F80" s="200" t="s">
        <v>480</v>
      </c>
      <c r="G80" s="200" t="s">
        <v>474</v>
      </c>
      <c r="H80" t="s">
        <v>676</v>
      </c>
      <c r="I80" s="149" t="s">
        <v>745</v>
      </c>
      <c r="J80" s="147" t="s">
        <v>192</v>
      </c>
      <c r="K80" s="147" t="s">
        <v>67</v>
      </c>
      <c r="L80" s="444" t="s">
        <v>1045</v>
      </c>
      <c r="S80" t="s">
        <v>1046</v>
      </c>
      <c r="T80" s="476">
        <f>SUM(Z124,Z121,Z132,Z116,Z90,Z100,Z106,Z111)</f>
        <v>25.494479693648902</v>
      </c>
      <c r="Y80" t="s">
        <v>1047</v>
      </c>
      <c r="Z80" s="4">
        <v>166.13200000000001</v>
      </c>
    </row>
    <row r="81" spans="1:29" ht="16" thickTop="1">
      <c r="A81" s="58" t="s">
        <v>1048</v>
      </c>
      <c r="B81" s="55">
        <v>0</v>
      </c>
      <c r="C81" s="55">
        <v>0</v>
      </c>
      <c r="D81" s="55">
        <v>0</v>
      </c>
      <c r="E81" s="55">
        <v>0</v>
      </c>
      <c r="F81" s="55">
        <v>0</v>
      </c>
      <c r="G81" s="445">
        <f>Z147</f>
        <v>4.1295053450461215E-2</v>
      </c>
      <c r="H81" s="445">
        <f>G81</f>
        <v>4.1295053450461215E-2</v>
      </c>
      <c r="I81" s="445">
        <f>Z96</f>
        <v>0.10886110356075018</v>
      </c>
      <c r="J81" s="446">
        <f>Z129</f>
        <v>0.5009063728840607</v>
      </c>
      <c r="N81" s="1" t="s">
        <v>1049</v>
      </c>
      <c r="S81" t="s">
        <v>1050</v>
      </c>
      <c r="T81">
        <f>'Demand Breakdown - Methanol'!M45</f>
        <v>23.605579941239576</v>
      </c>
      <c r="Y81" t="s">
        <v>1051</v>
      </c>
      <c r="Z81" s="43">
        <v>194.19</v>
      </c>
    </row>
    <row r="82" spans="1:29">
      <c r="A82" t="s">
        <v>309</v>
      </c>
      <c r="B82" s="449">
        <f>B18*B$81</f>
        <v>0</v>
      </c>
      <c r="C82" s="449">
        <f t="shared" ref="C82:G82" si="39">C18*C$81</f>
        <v>0</v>
      </c>
      <c r="D82" s="449">
        <f t="shared" si="39"/>
        <v>0</v>
      </c>
      <c r="E82" s="449">
        <f t="shared" si="39"/>
        <v>0</v>
      </c>
      <c r="F82" s="449">
        <f t="shared" si="39"/>
        <v>0</v>
      </c>
      <c r="G82" s="201">
        <f t="shared" si="39"/>
        <v>4.1708003984965826E-3</v>
      </c>
      <c r="H82" s="445"/>
      <c r="I82" s="201">
        <f>H18*I$81</f>
        <v>2.1772220712150037E-4</v>
      </c>
      <c r="J82" s="201">
        <f>I18*J$81</f>
        <v>5.0090637288406072E-4</v>
      </c>
      <c r="K82" s="41">
        <f>SUM(B82:J82)</f>
        <v>4.8894289785021442E-3</v>
      </c>
      <c r="L82" s="43">
        <f>K82/$K$89*($L$89-$L$87)</f>
        <v>3.076496436796182</v>
      </c>
      <c r="N82" s="41">
        <f>K82/J18</f>
        <v>1.0962845243278349E-2</v>
      </c>
      <c r="S82" t="s">
        <v>187</v>
      </c>
      <c r="T82">
        <f>'Demand Breakdown - Methanol'!M44</f>
        <v>28.065001267929215</v>
      </c>
      <c r="Y82" t="s">
        <v>964</v>
      </c>
      <c r="Z82" s="43">
        <v>86.09</v>
      </c>
    </row>
    <row r="83" spans="1:29">
      <c r="A83" t="s">
        <v>310</v>
      </c>
      <c r="B83" s="169">
        <f t="shared" ref="B83:G83" si="40">B19*B$81</f>
        <v>0</v>
      </c>
      <c r="C83" s="169">
        <f t="shared" si="40"/>
        <v>0</v>
      </c>
      <c r="D83" s="169">
        <f t="shared" si="40"/>
        <v>0</v>
      </c>
      <c r="E83" s="169">
        <f t="shared" si="40"/>
        <v>0</v>
      </c>
      <c r="F83" s="169">
        <f t="shared" si="40"/>
        <v>0</v>
      </c>
      <c r="G83" s="168">
        <f t="shared" si="40"/>
        <v>0</v>
      </c>
      <c r="H83" s="214"/>
      <c r="I83" s="168">
        <f t="shared" ref="I83:J86" si="41">H19*I$81</f>
        <v>2.6126664854580046E-3</v>
      </c>
      <c r="J83" s="168">
        <f t="shared" si="41"/>
        <v>2.5045318644203035E-3</v>
      </c>
      <c r="K83" s="41">
        <f>SUM(B83:J83)</f>
        <v>5.1171983498783085E-3</v>
      </c>
      <c r="L83" s="43">
        <f t="shared" ref="L83:L86" si="42">K83/$K$89*($L$89-$L$87)</f>
        <v>3.219812080101577</v>
      </c>
      <c r="N83" s="41">
        <f t="shared" ref="N83:N86" si="43">K83/J19</f>
        <v>2.7219140158927176E-2</v>
      </c>
      <c r="S83" t="s">
        <v>179</v>
      </c>
      <c r="T83">
        <f>'Demand Breakdown - Methanol'!M9</f>
        <v>31.201972235932104</v>
      </c>
      <c r="Y83" t="s">
        <v>1052</v>
      </c>
      <c r="Z83" s="43">
        <v>100.117</v>
      </c>
    </row>
    <row r="84" spans="1:29">
      <c r="A84" t="s">
        <v>311</v>
      </c>
      <c r="B84" s="169">
        <f t="shared" ref="B84:G84" si="44">B20*B$81</f>
        <v>0</v>
      </c>
      <c r="C84" s="169">
        <f t="shared" si="44"/>
        <v>0</v>
      </c>
      <c r="D84" s="169">
        <f t="shared" si="44"/>
        <v>0</v>
      </c>
      <c r="E84" s="169">
        <f t="shared" si="44"/>
        <v>0</v>
      </c>
      <c r="F84" s="169">
        <f t="shared" si="44"/>
        <v>0</v>
      </c>
      <c r="G84" s="168">
        <f t="shared" si="44"/>
        <v>0</v>
      </c>
      <c r="H84" s="286"/>
      <c r="I84" s="168">
        <f t="shared" si="41"/>
        <v>8.7088882848600148E-4</v>
      </c>
      <c r="J84" s="168">
        <f t="shared" si="41"/>
        <v>1.1019940203449334E-2</v>
      </c>
      <c r="K84" s="41">
        <f>SUM(B84:J84)</f>
        <v>1.1890829031935337E-2</v>
      </c>
      <c r="L84" s="43">
        <f t="shared" si="42"/>
        <v>7.4818743268684171</v>
      </c>
      <c r="N84" s="41">
        <f t="shared" si="43"/>
        <v>0.17486513282257846</v>
      </c>
      <c r="T84" s="43">
        <f>SUM(T80:T83)</f>
        <v>108.3670331387498</v>
      </c>
      <c r="Y84" t="s">
        <v>1053</v>
      </c>
      <c r="Z84" s="43">
        <v>94.11</v>
      </c>
    </row>
    <row r="85" spans="1:29">
      <c r="A85" t="s">
        <v>312</v>
      </c>
      <c r="B85" s="169">
        <f t="shared" ref="B85:G85" si="45">B21*B$81</f>
        <v>0</v>
      </c>
      <c r="C85" s="169">
        <f t="shared" si="45"/>
        <v>0</v>
      </c>
      <c r="D85" s="169">
        <f t="shared" si="45"/>
        <v>0</v>
      </c>
      <c r="E85" s="169">
        <f t="shared" si="45"/>
        <v>0</v>
      </c>
      <c r="F85" s="169">
        <f t="shared" si="45"/>
        <v>0</v>
      </c>
      <c r="G85" s="168">
        <f t="shared" si="45"/>
        <v>0</v>
      </c>
      <c r="H85" s="286"/>
      <c r="I85" s="168">
        <f t="shared" si="41"/>
        <v>4.3544441424300074E-4</v>
      </c>
      <c r="J85" s="168">
        <f t="shared" si="41"/>
        <v>5.009063728840607E-3</v>
      </c>
      <c r="K85" s="41">
        <f>SUM(B85:J85)</f>
        <v>5.4445081430836081E-3</v>
      </c>
      <c r="L85" s="43">
        <f t="shared" si="42"/>
        <v>3.4257599355570991</v>
      </c>
      <c r="N85" s="41">
        <f t="shared" si="43"/>
        <v>0.13611270357709021</v>
      </c>
      <c r="Y85" t="s">
        <v>1054</v>
      </c>
      <c r="Z85" s="43">
        <v>60.055999999999997</v>
      </c>
    </row>
    <row r="86" spans="1:29">
      <c r="A86" t="s">
        <v>746</v>
      </c>
      <c r="B86" s="6">
        <f t="shared" ref="B86:G86" si="46">B22*B$81</f>
        <v>0</v>
      </c>
      <c r="C86" s="6">
        <f t="shared" si="46"/>
        <v>0</v>
      </c>
      <c r="D86" s="6">
        <f t="shared" si="46"/>
        <v>0</v>
      </c>
      <c r="E86" s="6">
        <f t="shared" si="46"/>
        <v>0</v>
      </c>
      <c r="F86" s="6">
        <f t="shared" si="46"/>
        <v>0</v>
      </c>
      <c r="G86" s="41">
        <f t="shared" si="46"/>
        <v>0</v>
      </c>
      <c r="H86" s="286"/>
      <c r="I86" s="168">
        <f t="shared" si="41"/>
        <v>1.0886110356075019E-3</v>
      </c>
      <c r="J86" s="168">
        <f t="shared" si="41"/>
        <v>1.0018127457681214E-3</v>
      </c>
      <c r="K86" s="41">
        <f>SUM(B86:J86)</f>
        <v>2.0904237813756232E-3</v>
      </c>
      <c r="L86" s="43">
        <f t="shared" si="42"/>
        <v>1.3153235977192312</v>
      </c>
      <c r="N86" s="41">
        <f t="shared" si="43"/>
        <v>1.7420198178130192E-2</v>
      </c>
      <c r="S86" t="s">
        <v>1055</v>
      </c>
      <c r="T86">
        <f>SUMIF('Sankey Methanol_detailed'!E:E,S86,'Sankey Methanol_detailed'!H:H)</f>
        <v>2.9137164029122613</v>
      </c>
      <c r="Z86" s="43"/>
    </row>
    <row r="87" spans="1:29">
      <c r="A87" t="s">
        <v>320</v>
      </c>
      <c r="B87" s="6">
        <v>0</v>
      </c>
      <c r="C87" s="6">
        <v>0</v>
      </c>
      <c r="D87" s="6">
        <v>0</v>
      </c>
      <c r="E87" s="6">
        <v>0</v>
      </c>
      <c r="F87" s="6">
        <v>0</v>
      </c>
      <c r="G87" s="41">
        <v>0</v>
      </c>
      <c r="H87" s="286"/>
      <c r="I87" s="41">
        <v>0</v>
      </c>
      <c r="J87" s="41">
        <v>0</v>
      </c>
      <c r="K87" s="41"/>
      <c r="L87" s="43">
        <f>(('Sankey Methanol_detailed'!H79+'Sankey Methanol_detailed'!H81)/SUM('Demand Breakdown - Methanol'!B6:B7))*'Demand Breakdown - Methanol'!B7*0.5*H81</f>
        <v>1.4464073070604898E-2</v>
      </c>
      <c r="M87" t="s">
        <v>1056</v>
      </c>
      <c r="S87" t="s">
        <v>740</v>
      </c>
      <c r="T87">
        <f>SUMIF('Sankey Methanol_detailed'!E:E,S87,'Sankey Methanol_detailed'!H:H)</f>
        <v>22.580763290736638</v>
      </c>
      <c r="Z87" s="43"/>
    </row>
    <row r="88" spans="1:29">
      <c r="A88" t="s">
        <v>248</v>
      </c>
      <c r="B88" s="169">
        <f>B23*B$81</f>
        <v>0</v>
      </c>
      <c r="C88" s="169">
        <f t="shared" ref="C88:G88" si="47">C23*C$81</f>
        <v>0</v>
      </c>
      <c r="D88" s="169">
        <f t="shared" si="47"/>
        <v>0</v>
      </c>
      <c r="E88" s="169">
        <f t="shared" si="47"/>
        <v>0</v>
      </c>
      <c r="F88" s="169">
        <f t="shared" si="47"/>
        <v>0</v>
      </c>
      <c r="G88" s="168">
        <f t="shared" si="47"/>
        <v>0</v>
      </c>
      <c r="H88" s="286"/>
      <c r="I88" s="168">
        <f>H23*I$81</f>
        <v>3.0481108997010052E-3</v>
      </c>
      <c r="J88" s="168">
        <f>I23*J$81</f>
        <v>8.0145019661449716E-3</v>
      </c>
      <c r="K88" s="41">
        <f>SUM(B88:J88)</f>
        <v>1.1062612865845978E-2</v>
      </c>
      <c r="L88" s="43">
        <f>K88/$K$89*($L$89-$L$87)</f>
        <v>6.9607492435357861</v>
      </c>
      <c r="N88" s="41">
        <f>K88/J23</f>
        <v>8.0163861346709983E-2</v>
      </c>
      <c r="S88" t="s">
        <v>187</v>
      </c>
      <c r="T88">
        <f>SUMIF('Sankey Methanol_detailed'!E:E,S88,'Sankey Methanol_detailed'!H:H)</f>
        <v>28.587862624213781</v>
      </c>
      <c r="Z88" s="43"/>
    </row>
    <row r="89" spans="1:29" ht="16" thickBot="1">
      <c r="A89" s="200" t="s">
        <v>67</v>
      </c>
      <c r="B89" s="202">
        <f t="shared" ref="B89:G89" si="48">SUM(B82:B88)</f>
        <v>0</v>
      </c>
      <c r="C89" s="202">
        <f t="shared" si="48"/>
        <v>0</v>
      </c>
      <c r="D89" s="202">
        <f t="shared" si="48"/>
        <v>0</v>
      </c>
      <c r="E89" s="202">
        <f t="shared" si="48"/>
        <v>0</v>
      </c>
      <c r="F89" s="202">
        <f t="shared" si="48"/>
        <v>0</v>
      </c>
      <c r="G89" s="202">
        <f t="shared" si="48"/>
        <v>4.1708003984965826E-3</v>
      </c>
      <c r="I89" s="202">
        <f>SUM(I82:I88)</f>
        <v>8.2734438706170144E-3</v>
      </c>
      <c r="J89" s="202">
        <f>SUM(J82:J88)</f>
        <v>2.8050756881507398E-2</v>
      </c>
      <c r="K89" s="202">
        <f>SUM(K82:K88)</f>
        <v>4.0495001150620998E-2</v>
      </c>
      <c r="L89" s="447">
        <f>T86+T87</f>
        <v>25.494479693648898</v>
      </c>
      <c r="S89" t="s">
        <v>179</v>
      </c>
      <c r="T89">
        <f>SUMIF('Sankey Methanol_detailed'!E:E,S89,'Sankey Methanol_detailed'!H:H)</f>
        <v>31.201972235932111</v>
      </c>
      <c r="Y89" s="280" t="s">
        <v>1057</v>
      </c>
    </row>
    <row r="90" spans="1:29" ht="16" thickTop="1">
      <c r="L90" s="43">
        <f>SUM(L82:L88)</f>
        <v>25.494479693648898</v>
      </c>
      <c r="M90" t="s">
        <v>1030</v>
      </c>
      <c r="N90" s="23">
        <f>(K82+K86)/(J18+J22)</f>
        <v>1.2331895335473086E-2</v>
      </c>
      <c r="S90" t="s">
        <v>248</v>
      </c>
      <c r="T90">
        <f>SUMIF('Sankey Methanol_detailed'!E:E,S90,'Sankey Methanol_detailed'!H:H)</f>
        <v>16.87792438415423</v>
      </c>
      <c r="Y90" t="s">
        <v>1058</v>
      </c>
      <c r="Z90" s="451">
        <v>1.1298928174736835</v>
      </c>
    </row>
    <row r="91" spans="1:29" ht="16" thickBot="1">
      <c r="M91" t="s">
        <v>248</v>
      </c>
      <c r="N91" s="23">
        <f>(K85+K88)/(J23+J21)</f>
        <v>9.2736634881626881E-2</v>
      </c>
      <c r="S91" s="273" t="s">
        <v>67</v>
      </c>
      <c r="T91" s="273">
        <f>SUM(T86:T90)</f>
        <v>102.16223893794901</v>
      </c>
    </row>
    <row r="92" spans="1:29" ht="21" customHeight="1">
      <c r="B92" s="8"/>
      <c r="C92" s="163"/>
      <c r="D92" s="294"/>
      <c r="E92" s="163"/>
      <c r="M92" s="3" t="s">
        <v>1059</v>
      </c>
      <c r="N92" s="448">
        <f>L87/L89</f>
        <v>5.6734137132471627E-4</v>
      </c>
      <c r="S92" t="s">
        <v>1060</v>
      </c>
      <c r="T92">
        <f>SUMIF('Sankey Methanol_detailed'!F:F,S92,'Sankey Methanol_detailed'!H:H)</f>
        <v>102.16223893794904</v>
      </c>
      <c r="Y92" t="s">
        <v>1061</v>
      </c>
      <c r="Z92" s="43">
        <f>(1/(Z73))*(Z74)</f>
        <v>1.0670752014920402</v>
      </c>
      <c r="AC92" s="523" t="s">
        <v>1062</v>
      </c>
    </row>
    <row r="93" spans="1:29">
      <c r="Y93" t="s">
        <v>1063</v>
      </c>
      <c r="Z93" s="43">
        <f>(1/(Z76))*(Z73)</f>
        <v>0.11998401598401598</v>
      </c>
    </row>
    <row r="94" spans="1:29" ht="16" thickBot="1">
      <c r="Y94" t="s">
        <v>1064</v>
      </c>
      <c r="Z94">
        <v>1</v>
      </c>
    </row>
    <row r="95" spans="1:29" ht="17" thickBot="1">
      <c r="B95" s="200" t="s">
        <v>744</v>
      </c>
      <c r="C95" s="200" t="s">
        <v>472</v>
      </c>
      <c r="D95" s="200" t="s">
        <v>477</v>
      </c>
      <c r="E95" s="200" t="s">
        <v>478</v>
      </c>
      <c r="F95" s="200" t="s">
        <v>480</v>
      </c>
      <c r="G95" s="200" t="s">
        <v>474</v>
      </c>
      <c r="H95" s="1" t="s">
        <v>676</v>
      </c>
      <c r="I95" s="149" t="s">
        <v>745</v>
      </c>
      <c r="J95" s="147" t="s">
        <v>192</v>
      </c>
      <c r="K95" s="147" t="s">
        <v>67</v>
      </c>
      <c r="L95" s="444" t="s">
        <v>1065</v>
      </c>
      <c r="Y95" t="s">
        <v>1066</v>
      </c>
      <c r="Z95" s="43">
        <f>(1/(Z76+Z77-Z78))*(Z76*Z94)</f>
        <v>0.85026501766784457</v>
      </c>
    </row>
    <row r="96" spans="1:29" ht="16" thickTop="1">
      <c r="A96" s="58" t="s">
        <v>1067</v>
      </c>
      <c r="B96" s="55">
        <v>0</v>
      </c>
      <c r="C96" s="55">
        <v>0</v>
      </c>
      <c r="D96" s="55">
        <v>0</v>
      </c>
      <c r="E96" s="258">
        <f>'Demand Breakdown - BTX'!E33-E110</f>
        <v>0.6818814091558747</v>
      </c>
      <c r="F96" s="55">
        <v>0</v>
      </c>
      <c r="G96" s="528">
        <v>0</v>
      </c>
      <c r="H96" s="528">
        <v>0</v>
      </c>
      <c r="I96" s="568">
        <f>'Demand Breakdown - BTX'!D37*'Demand Breakdown - BTX'!D28/('Demand Breakdown - BTX'!D28+'Demand Breakdown - BTX'!L12)-'Demand Breakdown - BTX'!K5*2/3*'Demand Breakdown - BTX'!E28*'Demand Breakdown - BTX'!D37*'Demand Breakdown - BTX'!L12/('Demand Breakdown - BTX'!D28+'Demand Breakdown - BTX'!L12)</f>
        <v>0.41329579380032699</v>
      </c>
      <c r="J96" s="567">
        <v>0.1</v>
      </c>
      <c r="N96" s="1"/>
      <c r="Y96" s="452" t="s">
        <v>1068</v>
      </c>
      <c r="Z96" s="453">
        <f>Z92*Z93*Z95</f>
        <v>0.10886110356075018</v>
      </c>
    </row>
    <row r="97" spans="1:29">
      <c r="A97" t="s">
        <v>309</v>
      </c>
      <c r="B97" s="449">
        <f>B46*B$96</f>
        <v>0</v>
      </c>
      <c r="C97" s="449">
        <f t="shared" ref="C97:G97" si="49">C18*C$96</f>
        <v>0</v>
      </c>
      <c r="D97" s="449">
        <f t="shared" si="49"/>
        <v>0</v>
      </c>
      <c r="E97" s="449">
        <f t="shared" si="49"/>
        <v>1.5683272410585116E-2</v>
      </c>
      <c r="F97" s="449">
        <f t="shared" si="49"/>
        <v>0</v>
      </c>
      <c r="G97" s="449">
        <f t="shared" si="49"/>
        <v>0</v>
      </c>
      <c r="H97" s="445"/>
      <c r="I97" s="449">
        <f>H18*I$96</f>
        <v>8.2659158760065401E-4</v>
      </c>
      <c r="J97" s="201">
        <f>I18*J$96</f>
        <v>1E-4</v>
      </c>
      <c r="K97" s="41">
        <f>SUM(B97:J97)</f>
        <v>1.6609863998185769E-2</v>
      </c>
      <c r="L97" s="43">
        <f>K97/$K$104*($L$104-$L$102)</f>
        <v>7.8426966561118343</v>
      </c>
      <c r="N97" s="41"/>
    </row>
    <row r="98" spans="1:29">
      <c r="A98" t="s">
        <v>310</v>
      </c>
      <c r="B98" s="169">
        <f t="shared" ref="B98:G101" si="50">B19*B$96</f>
        <v>0</v>
      </c>
      <c r="C98" s="169">
        <f t="shared" si="50"/>
        <v>0</v>
      </c>
      <c r="D98" s="169">
        <f t="shared" si="50"/>
        <v>0</v>
      </c>
      <c r="E98" s="169">
        <f t="shared" si="50"/>
        <v>1.5001391001429243E-2</v>
      </c>
      <c r="F98" s="169">
        <f t="shared" si="50"/>
        <v>0</v>
      </c>
      <c r="G98" s="169">
        <f t="shared" si="50"/>
        <v>0</v>
      </c>
      <c r="H98" s="214"/>
      <c r="I98" s="169">
        <f t="shared" ref="I98:J101" si="51">H19*I$96</f>
        <v>9.9190990512078477E-3</v>
      </c>
      <c r="J98" s="168">
        <f t="shared" si="51"/>
        <v>5.0000000000000001E-4</v>
      </c>
      <c r="K98" s="41">
        <f>SUM(B98:J98)</f>
        <v>2.5420490052637093E-2</v>
      </c>
      <c r="L98" s="43">
        <f>K98/$K$104*($L$104-$L$102)</f>
        <v>12.002819069097551</v>
      </c>
      <c r="N98" s="41"/>
      <c r="Y98" s="280" t="s">
        <v>818</v>
      </c>
      <c r="Z98" s="43"/>
    </row>
    <row r="99" spans="1:29">
      <c r="A99" t="s">
        <v>311</v>
      </c>
      <c r="B99" s="169">
        <f t="shared" si="50"/>
        <v>0</v>
      </c>
      <c r="C99" s="169">
        <f t="shared" si="50"/>
        <v>0</v>
      </c>
      <c r="D99" s="169">
        <f t="shared" si="50"/>
        <v>0</v>
      </c>
      <c r="E99" s="169">
        <f t="shared" si="50"/>
        <v>0</v>
      </c>
      <c r="F99" s="169">
        <f t="shared" si="50"/>
        <v>0</v>
      </c>
      <c r="G99" s="169">
        <f t="shared" si="50"/>
        <v>0</v>
      </c>
      <c r="H99" s="286"/>
      <c r="I99" s="169">
        <f t="shared" si="51"/>
        <v>3.306366350402616E-3</v>
      </c>
      <c r="J99" s="168">
        <f t="shared" si="51"/>
        <v>2.2000000000000001E-3</v>
      </c>
      <c r="K99" s="41">
        <f>SUM(B99:J99)</f>
        <v>5.5063663504026162E-3</v>
      </c>
      <c r="L99" s="43">
        <f>K99/$K$104*($L$104-$L$102)</f>
        <v>2.5999466924200116</v>
      </c>
      <c r="N99" s="41"/>
      <c r="Z99" s="43"/>
    </row>
    <row r="100" spans="1:29">
      <c r="A100" t="s">
        <v>312</v>
      </c>
      <c r="B100" s="169">
        <f t="shared" si="50"/>
        <v>0</v>
      </c>
      <c r="C100" s="169">
        <f t="shared" si="50"/>
        <v>0</v>
      </c>
      <c r="D100" s="169">
        <f t="shared" si="50"/>
        <v>0</v>
      </c>
      <c r="E100" s="169">
        <f t="shared" si="50"/>
        <v>4.0912884549352485E-3</v>
      </c>
      <c r="F100" s="169">
        <f t="shared" si="50"/>
        <v>0</v>
      </c>
      <c r="G100" s="169">
        <f t="shared" si="50"/>
        <v>0</v>
      </c>
      <c r="H100" s="286"/>
      <c r="I100" s="169">
        <f t="shared" si="51"/>
        <v>1.653183175201308E-3</v>
      </c>
      <c r="J100" s="168">
        <f t="shared" si="51"/>
        <v>1E-3</v>
      </c>
      <c r="K100" s="41">
        <f>SUM(B100:J100)</f>
        <v>6.7444716301365568E-3</v>
      </c>
      <c r="L100" s="43">
        <f t="shared" ref="L100:L101" si="52">K100/$K$104*($L$104-$L$102)</f>
        <v>3.1845441423656808</v>
      </c>
      <c r="N100" s="41"/>
      <c r="Y100" t="s">
        <v>1069</v>
      </c>
      <c r="Z100" s="451">
        <v>1.0645306645833978</v>
      </c>
    </row>
    <row r="101" spans="1:29">
      <c r="A101" t="s">
        <v>746</v>
      </c>
      <c r="B101" s="6">
        <f t="shared" si="50"/>
        <v>0</v>
      </c>
      <c r="C101" s="6">
        <f t="shared" si="50"/>
        <v>0</v>
      </c>
      <c r="D101" s="6">
        <f t="shared" si="50"/>
        <v>0</v>
      </c>
      <c r="E101" s="6">
        <f t="shared" si="50"/>
        <v>1.2273865364805743E-2</v>
      </c>
      <c r="F101" s="6">
        <f t="shared" si="50"/>
        <v>0</v>
      </c>
      <c r="G101" s="6">
        <f t="shared" si="50"/>
        <v>0</v>
      </c>
      <c r="H101" s="286"/>
      <c r="I101" s="6">
        <f t="shared" si="51"/>
        <v>4.1329579380032701E-3</v>
      </c>
      <c r="J101" s="41">
        <f t="shared" si="51"/>
        <v>2.0000000000000001E-4</v>
      </c>
      <c r="K101" s="41">
        <f>SUM(B101:J101)</f>
        <v>1.6606823302809014E-2</v>
      </c>
      <c r="L101" s="43">
        <f t="shared" si="52"/>
        <v>7.8412609278321712</v>
      </c>
      <c r="N101" s="41"/>
      <c r="Y101" t="s">
        <v>963</v>
      </c>
      <c r="Z101" s="43">
        <f>(1/Z79)*Z74</f>
        <v>0.53353760074602008</v>
      </c>
    </row>
    <row r="102" spans="1:29">
      <c r="A102" t="s">
        <v>320</v>
      </c>
      <c r="B102" s="6">
        <v>0</v>
      </c>
      <c r="C102" s="6">
        <v>0</v>
      </c>
      <c r="D102" s="6">
        <v>0</v>
      </c>
      <c r="E102" s="6">
        <v>0</v>
      </c>
      <c r="F102" s="6">
        <v>0</v>
      </c>
      <c r="G102" s="6">
        <v>0</v>
      </c>
      <c r="H102" s="286"/>
      <c r="I102" s="6">
        <v>0</v>
      </c>
      <c r="J102" s="41">
        <v>0</v>
      </c>
      <c r="K102" s="41">
        <f>0</f>
        <v>0</v>
      </c>
      <c r="L102" s="43">
        <v>0</v>
      </c>
      <c r="M102" t="s">
        <v>1070</v>
      </c>
      <c r="Y102" t="s">
        <v>965</v>
      </c>
      <c r="Z102" s="43">
        <f>(1/(2*Z82))*2*Z79</f>
        <v>0.69754907654779874</v>
      </c>
      <c r="AC102" t="s">
        <v>1071</v>
      </c>
    </row>
    <row r="103" spans="1:29">
      <c r="A103" t="s">
        <v>248</v>
      </c>
      <c r="B103" s="6">
        <f t="shared" ref="B103:G103" si="53">B23*B$96</f>
        <v>0</v>
      </c>
      <c r="C103" s="6">
        <f t="shared" si="53"/>
        <v>0</v>
      </c>
      <c r="D103" s="6">
        <f t="shared" si="53"/>
        <v>0</v>
      </c>
      <c r="E103" s="6">
        <f t="shared" si="53"/>
        <v>4.7731698640911232E-3</v>
      </c>
      <c r="F103" s="6">
        <f t="shared" si="53"/>
        <v>0</v>
      </c>
      <c r="G103" s="6">
        <f t="shared" si="53"/>
        <v>0</v>
      </c>
      <c r="H103" s="286"/>
      <c r="I103" s="6">
        <f>H23*I$96</f>
        <v>1.1572282226409157E-2</v>
      </c>
      <c r="J103" s="41">
        <f>I23*J$96</f>
        <v>1.6000000000000001E-3</v>
      </c>
      <c r="K103" s="41">
        <f>SUM(B103:J103)</f>
        <v>1.7945452090500282E-2</v>
      </c>
      <c r="L103" s="43">
        <f>K103/$K$104*($L$104-$L$102)</f>
        <v>8.4733226664561627</v>
      </c>
      <c r="N103" s="41"/>
      <c r="Y103" t="s">
        <v>966</v>
      </c>
      <c r="Z103">
        <v>1</v>
      </c>
      <c r="AC103" t="s">
        <v>1072</v>
      </c>
    </row>
    <row r="104" spans="1:29" ht="16" thickBot="1">
      <c r="A104" s="200" t="s">
        <v>67</v>
      </c>
      <c r="B104" s="202">
        <f t="shared" ref="B104:G104" si="54">SUM(B97:B103)</f>
        <v>0</v>
      </c>
      <c r="C104" s="202">
        <f t="shared" si="54"/>
        <v>0</v>
      </c>
      <c r="D104" s="202">
        <f t="shared" si="54"/>
        <v>0</v>
      </c>
      <c r="E104" s="202">
        <f t="shared" si="54"/>
        <v>5.1822987095846478E-2</v>
      </c>
      <c r="F104" s="202">
        <f t="shared" si="54"/>
        <v>0</v>
      </c>
      <c r="G104" s="202">
        <f t="shared" si="54"/>
        <v>0</v>
      </c>
      <c r="I104" s="202">
        <f>SUM(I97:I103)</f>
        <v>3.1410480328824854E-2</v>
      </c>
      <c r="J104" s="202">
        <f>SUM(J97:J103)</f>
        <v>5.5999999999999999E-3</v>
      </c>
      <c r="K104" s="202">
        <f>SUM(K97:K103)</f>
        <v>8.8833467424671325E-2</v>
      </c>
      <c r="L104" s="447">
        <f>'Yearly Demand - BTX'!N16</f>
        <v>41.944590154283411</v>
      </c>
      <c r="Y104" t="s">
        <v>969</v>
      </c>
      <c r="Z104" s="441">
        <f>Z101*Z102*Z103</f>
        <v>0.37216866070391447</v>
      </c>
    </row>
    <row r="105" spans="1:29" ht="16" thickTop="1">
      <c r="E105" s="271"/>
      <c r="L105" s="43">
        <f>SUM(L97:L103)</f>
        <v>41.944590154283411</v>
      </c>
      <c r="N105" s="23"/>
    </row>
    <row r="106" spans="1:29">
      <c r="N106" s="23"/>
      <c r="Y106" t="s">
        <v>1073</v>
      </c>
      <c r="Z106" s="451">
        <v>1.772842341876246</v>
      </c>
    </row>
    <row r="107" spans="1:29">
      <c r="B107" s="8"/>
      <c r="C107" s="163"/>
      <c r="D107" s="294"/>
      <c r="E107" s="163"/>
      <c r="M107" s="3"/>
      <c r="N107" s="448"/>
      <c r="Y107" t="s">
        <v>1074</v>
      </c>
      <c r="Z107" s="43">
        <f>(1/Z83)*Z74</f>
        <v>0.32002557008300286</v>
      </c>
      <c r="AC107" t="s">
        <v>1075</v>
      </c>
    </row>
    <row r="108" spans="1:29" ht="16" thickBot="1">
      <c r="Y108" t="s">
        <v>1076</v>
      </c>
      <c r="Z108" s="43">
        <v>1</v>
      </c>
      <c r="AC108" t="s">
        <v>1077</v>
      </c>
    </row>
    <row r="109" spans="1:29" ht="17" thickBot="1">
      <c r="B109" s="200" t="s">
        <v>744</v>
      </c>
      <c r="C109" s="200" t="s">
        <v>472</v>
      </c>
      <c r="D109" s="200" t="s">
        <v>477</v>
      </c>
      <c r="E109" s="200" t="s">
        <v>478</v>
      </c>
      <c r="F109" s="200" t="s">
        <v>480</v>
      </c>
      <c r="G109" s="200" t="s">
        <v>474</v>
      </c>
      <c r="H109" s="1" t="s">
        <v>676</v>
      </c>
      <c r="I109" s="149" t="s">
        <v>745</v>
      </c>
      <c r="J109" s="147" t="s">
        <v>192</v>
      </c>
      <c r="K109" s="147" t="s">
        <v>67</v>
      </c>
      <c r="L109" s="444" t="s">
        <v>1078</v>
      </c>
      <c r="Y109" t="s">
        <v>1079</v>
      </c>
      <c r="Z109" s="441">
        <f>Z107*Z108</f>
        <v>0.32002557008300286</v>
      </c>
    </row>
    <row r="110" spans="1:29" ht="16" thickTop="1">
      <c r="A110" s="58" t="s">
        <v>1080</v>
      </c>
      <c r="B110" s="55">
        <v>0</v>
      </c>
      <c r="C110" s="55">
        <v>0</v>
      </c>
      <c r="D110" s="55">
        <v>0</v>
      </c>
      <c r="E110" s="55">
        <f>'Demand Breakdown - BTX'!K5*2/3*'Demand Breakdown - BTX'!E17*'Demand Breakdown - BTX'!E33</f>
        <v>5.3967647447898864E-2</v>
      </c>
      <c r="F110" s="55">
        <v>0</v>
      </c>
      <c r="G110" s="528">
        <f>'Demand Breakdown - BTX'!K5*1/3*SUM('Demand Breakdown - BTX'!U9:U10)*'Demand Breakdown - BTX'!R18</f>
        <v>6.1398057097631083E-2</v>
      </c>
      <c r="H110" s="528">
        <f>'Demand Breakdown - BTX'!K5*1/3*SUM('Demand Breakdown - BTX'!U9:U10)*'Demand Breakdown - BTX'!R18</f>
        <v>6.1398057097631083E-2</v>
      </c>
      <c r="I110" s="568">
        <f>'Demand Breakdown - BTX'!H37*'Demand Breakdown - BTX'!L12/('Demand Breakdown - BTX'!D28+'Demand Breakdown - BTX'!L12)+'Demand Breakdown - BTX'!K5*2/3*'Demand Breakdown - BTX'!E28*'Demand Breakdown - BTX'!D37*'Demand Breakdown - BTX'!L12/('Demand Breakdown - BTX'!D28+'Demand Breakdown - BTX'!L12)</f>
        <v>0.16636063165230416</v>
      </c>
      <c r="J110" s="567">
        <v>0.05</v>
      </c>
      <c r="N110" s="1"/>
      <c r="Z110" s="43"/>
    </row>
    <row r="111" spans="1:29">
      <c r="A111" t="s">
        <v>309</v>
      </c>
      <c r="B111" s="201">
        <f t="shared" ref="B111:G115" si="55">B18*B$110</f>
        <v>0</v>
      </c>
      <c r="C111" s="201">
        <f t="shared" si="55"/>
        <v>0</v>
      </c>
      <c r="D111" s="201">
        <f t="shared" si="55"/>
        <v>0</v>
      </c>
      <c r="E111" s="201">
        <f t="shared" si="55"/>
        <v>1.2412558913016739E-3</v>
      </c>
      <c r="F111" s="201">
        <f t="shared" si="55"/>
        <v>0</v>
      </c>
      <c r="G111" s="201">
        <f t="shared" si="55"/>
        <v>6.2012037668607396E-3</v>
      </c>
      <c r="H111" s="572"/>
      <c r="I111" s="201">
        <f t="shared" ref="I111:J115" si="56">H18*I$110</f>
        <v>3.3272126330460833E-4</v>
      </c>
      <c r="J111" s="201">
        <f t="shared" si="56"/>
        <v>5.0000000000000002E-5</v>
      </c>
      <c r="K111" s="41">
        <f>SUM(B111:J111)</f>
        <v>7.8251809214670218E-3</v>
      </c>
      <c r="L111" s="43">
        <f>K111/$K$118*($L$118-$L$116)</f>
        <v>3.690958960657742</v>
      </c>
      <c r="M111" s="2">
        <f>L111/$L$118</f>
        <v>0.27157406848825871</v>
      </c>
      <c r="N111" s="41"/>
      <c r="Y111" t="s">
        <v>1081</v>
      </c>
      <c r="Z111" s="451">
        <v>3.8059547535955658</v>
      </c>
    </row>
    <row r="112" spans="1:29">
      <c r="A112" t="s">
        <v>310</v>
      </c>
      <c r="B112" s="168">
        <f t="shared" si="55"/>
        <v>0</v>
      </c>
      <c r="C112" s="168">
        <f t="shared" si="55"/>
        <v>0</v>
      </c>
      <c r="D112" s="168">
        <f t="shared" si="55"/>
        <v>0</v>
      </c>
      <c r="E112" s="168">
        <f t="shared" si="55"/>
        <v>1.1872882438537749E-3</v>
      </c>
      <c r="F112" s="168">
        <f t="shared" si="55"/>
        <v>0</v>
      </c>
      <c r="G112" s="168">
        <f t="shared" si="55"/>
        <v>0</v>
      </c>
      <c r="H112" s="214"/>
      <c r="I112" s="168">
        <f t="shared" si="56"/>
        <v>3.9926551596552997E-3</v>
      </c>
      <c r="J112" s="168">
        <f t="shared" si="56"/>
        <v>2.5000000000000001E-4</v>
      </c>
      <c r="K112" s="41">
        <f>SUM(B112:J112)</f>
        <v>5.4299434035090747E-3</v>
      </c>
      <c r="L112" s="43">
        <f>K112/$K$118*($L$118-$L$116)</f>
        <v>2.5611801774531888</v>
      </c>
      <c r="M112" s="2">
        <f t="shared" ref="M112:M117" si="57">L112/$L$118</f>
        <v>0.1884469939482864</v>
      </c>
      <c r="N112" s="41"/>
      <c r="Y112" t="s">
        <v>1061</v>
      </c>
      <c r="Z112" s="43">
        <f>(1/(Z73))*(Z74)</f>
        <v>1.0670752014920402</v>
      </c>
    </row>
    <row r="113" spans="1:29">
      <c r="A113" t="s">
        <v>311</v>
      </c>
      <c r="B113" s="168">
        <f t="shared" si="55"/>
        <v>0</v>
      </c>
      <c r="C113" s="168">
        <f t="shared" si="55"/>
        <v>0</v>
      </c>
      <c r="D113" s="168">
        <f t="shared" si="55"/>
        <v>0</v>
      </c>
      <c r="E113" s="168">
        <f t="shared" si="55"/>
        <v>0</v>
      </c>
      <c r="F113" s="168">
        <f t="shared" si="55"/>
        <v>0</v>
      </c>
      <c r="G113" s="168">
        <f t="shared" si="55"/>
        <v>0</v>
      </c>
      <c r="H113" s="286"/>
      <c r="I113" s="168">
        <f t="shared" si="56"/>
        <v>1.3308850532184333E-3</v>
      </c>
      <c r="J113" s="168">
        <f t="shared" si="56"/>
        <v>1.1000000000000001E-3</v>
      </c>
      <c r="K113" s="41">
        <f>SUM(B113:J113)</f>
        <v>2.4308850532184334E-3</v>
      </c>
      <c r="L113" s="43">
        <f>K113/$K$118*($L$118-$L$116)</f>
        <v>1.1465929107008392</v>
      </c>
      <c r="M113" s="2">
        <f t="shared" si="57"/>
        <v>8.4364227556551249E-2</v>
      </c>
      <c r="N113" s="41"/>
      <c r="Y113" t="s">
        <v>1082</v>
      </c>
      <c r="Z113" s="43">
        <f>(1/(2*Z84+2*Z73-Z78))*2*Z73</f>
        <v>0.26078724291272931</v>
      </c>
    </row>
    <row r="114" spans="1:29">
      <c r="A114" t="s">
        <v>312</v>
      </c>
      <c r="B114" s="168">
        <f t="shared" si="55"/>
        <v>0</v>
      </c>
      <c r="C114" s="168">
        <f t="shared" si="55"/>
        <v>0</v>
      </c>
      <c r="D114" s="168">
        <f t="shared" si="55"/>
        <v>0</v>
      </c>
      <c r="E114" s="168">
        <f t="shared" si="55"/>
        <v>3.238058846873932E-4</v>
      </c>
      <c r="F114" s="168">
        <f t="shared" si="55"/>
        <v>0</v>
      </c>
      <c r="G114" s="168">
        <f t="shared" si="55"/>
        <v>0</v>
      </c>
      <c r="H114" s="286"/>
      <c r="I114" s="168">
        <f t="shared" si="56"/>
        <v>6.6544252660921666E-4</v>
      </c>
      <c r="J114" s="168">
        <f t="shared" si="56"/>
        <v>5.0000000000000001E-4</v>
      </c>
      <c r="K114" s="41">
        <f>SUM(B114:J114)</f>
        <v>1.4892484112966099E-3</v>
      </c>
      <c r="L114" s="43">
        <f>K114/$K$118*($L$118-$L$116)</f>
        <v>0.7024444320822204</v>
      </c>
      <c r="M114" s="2">
        <f t="shared" si="57"/>
        <v>5.1684587756428972E-2</v>
      </c>
      <c r="N114" s="41"/>
      <c r="Y114" t="s">
        <v>1083</v>
      </c>
      <c r="Z114" s="441">
        <f>Z112*Z113</f>
        <v>0.27827959977765426</v>
      </c>
    </row>
    <row r="115" spans="1:29">
      <c r="A115" t="s">
        <v>746</v>
      </c>
      <c r="B115" s="41">
        <f t="shared" si="55"/>
        <v>0</v>
      </c>
      <c r="C115" s="41">
        <f t="shared" si="55"/>
        <v>0</v>
      </c>
      <c r="D115" s="41">
        <f t="shared" si="55"/>
        <v>0</v>
      </c>
      <c r="E115" s="41">
        <f t="shared" si="55"/>
        <v>9.7141765406217944E-4</v>
      </c>
      <c r="F115" s="41">
        <f t="shared" si="55"/>
        <v>0</v>
      </c>
      <c r="G115" s="41">
        <f t="shared" si="55"/>
        <v>0</v>
      </c>
      <c r="H115" s="286"/>
      <c r="I115" s="41">
        <f t="shared" si="56"/>
        <v>1.6636063165230417E-3</v>
      </c>
      <c r="J115" s="41">
        <f t="shared" si="56"/>
        <v>1E-4</v>
      </c>
      <c r="K115" s="41">
        <f>SUM(B115:J115)</f>
        <v>2.7350239705852208E-3</v>
      </c>
      <c r="L115" s="43">
        <f>K115/$K$118*($L$118-$L$116)</f>
        <v>1.2900482855484838</v>
      </c>
      <c r="M115" s="2">
        <f t="shared" si="57"/>
        <v>9.4919413948258105E-2</v>
      </c>
      <c r="N115" s="41"/>
      <c r="Z115" s="43"/>
    </row>
    <row r="116" spans="1:29">
      <c r="A116" t="s">
        <v>320</v>
      </c>
      <c r="B116" s="41">
        <v>0</v>
      </c>
      <c r="C116" s="41">
        <v>0</v>
      </c>
      <c r="D116" s="41">
        <v>0</v>
      </c>
      <c r="E116" s="41">
        <v>0</v>
      </c>
      <c r="F116" s="41">
        <v>0</v>
      </c>
      <c r="G116" s="41">
        <v>0</v>
      </c>
      <c r="H116" s="286"/>
      <c r="I116" s="41">
        <v>0</v>
      </c>
      <c r="J116" s="41">
        <v>0</v>
      </c>
      <c r="K116" s="41"/>
      <c r="L116" s="569">
        <f>M22*H110*0.5</f>
        <v>1.4471127044065453</v>
      </c>
      <c r="M116" s="2">
        <f t="shared" si="57"/>
        <v>0.10647592912458143</v>
      </c>
      <c r="N116" t="s">
        <v>1084</v>
      </c>
      <c r="Y116" t="s">
        <v>1085</v>
      </c>
      <c r="Z116" s="454">
        <v>9.0391425397894682</v>
      </c>
      <c r="AC116" t="s">
        <v>1071</v>
      </c>
    </row>
    <row r="117" spans="1:29">
      <c r="A117" t="s">
        <v>248</v>
      </c>
      <c r="B117" s="168">
        <f t="shared" ref="B117:G117" si="58">B23*B$110</f>
        <v>0</v>
      </c>
      <c r="C117" s="168">
        <f t="shared" si="58"/>
        <v>0</v>
      </c>
      <c r="D117" s="168">
        <f t="shared" si="58"/>
        <v>0</v>
      </c>
      <c r="E117" s="168">
        <f t="shared" si="58"/>
        <v>3.7777353213529208E-4</v>
      </c>
      <c r="F117" s="168">
        <f t="shared" si="58"/>
        <v>0</v>
      </c>
      <c r="G117" s="168">
        <f t="shared" si="58"/>
        <v>0</v>
      </c>
      <c r="H117" s="286"/>
      <c r="I117" s="168">
        <f>H23*I$110</f>
        <v>4.6580976862645165E-3</v>
      </c>
      <c r="J117" s="168">
        <f>I23*J$110</f>
        <v>8.0000000000000004E-4</v>
      </c>
      <c r="K117" s="41">
        <f>SUM(B117:J117)</f>
        <v>5.8358712183998089E-3</v>
      </c>
      <c r="L117" s="43">
        <f>K117/$K$118*($L$118-$L$116)</f>
        <v>2.7526470484159993</v>
      </c>
      <c r="M117" s="2">
        <f t="shared" si="57"/>
        <v>0.20253477917763524</v>
      </c>
      <c r="N117" s="41"/>
      <c r="Y117" t="s">
        <v>1086</v>
      </c>
      <c r="Z117" s="43">
        <f>1/(((Z85+Z73)+(Z85+2*Z73))/2)*1.5*Z73</f>
        <v>0.42855511679908653</v>
      </c>
      <c r="AC117" t="s">
        <v>1072</v>
      </c>
    </row>
    <row r="118" spans="1:29" ht="16" thickBot="1">
      <c r="A118" s="200" t="s">
        <v>67</v>
      </c>
      <c r="B118" s="202">
        <f t="shared" ref="B118:G118" si="59">SUM(B111:B117)</f>
        <v>0</v>
      </c>
      <c r="C118" s="202">
        <f t="shared" si="59"/>
        <v>0</v>
      </c>
      <c r="D118" s="202">
        <f t="shared" si="59"/>
        <v>0</v>
      </c>
      <c r="E118" s="202">
        <f t="shared" si="59"/>
        <v>4.1015412060403135E-3</v>
      </c>
      <c r="F118" s="202">
        <f t="shared" si="59"/>
        <v>0</v>
      </c>
      <c r="G118" s="202">
        <f t="shared" si="59"/>
        <v>6.2012037668607396E-3</v>
      </c>
      <c r="H118" s="41">
        <f>K116</f>
        <v>0</v>
      </c>
      <c r="I118" s="202">
        <f>SUM(I111:I117)</f>
        <v>1.2643408005575115E-2</v>
      </c>
      <c r="J118" s="202">
        <f>SUM(J111:J117)</f>
        <v>2.8E-3</v>
      </c>
      <c r="K118" s="202">
        <f>SUM(K111:K117)</f>
        <v>2.5746152978476166E-2</v>
      </c>
      <c r="L118" s="447">
        <f>'Demand Breakdown - BTX'!M5+'Demand Breakdown - BTX'!M6+'Demand Breakdown - BTX'!M7</f>
        <v>13.590984519265017</v>
      </c>
      <c r="Y118" t="s">
        <v>1087</v>
      </c>
      <c r="Z118" s="43">
        <f>(1/((((Z85+Z73)+(Z85+2*Z73))/2)-Z78))*(((Z85+Z73)+(Z85+2*Z73))/2)</f>
        <v>1.2066708766289684</v>
      </c>
    </row>
    <row r="119" spans="1:29" ht="16" thickTop="1">
      <c r="L119" s="43">
        <f>SUM(L111:L117)</f>
        <v>13.590984519265019</v>
      </c>
      <c r="M119" s="24"/>
      <c r="N119" s="23"/>
      <c r="Y119" t="s">
        <v>1088</v>
      </c>
      <c r="Z119" s="441">
        <f>Z117*Z118</f>
        <v>0.51712497847178374</v>
      </c>
    </row>
    <row r="120" spans="1:29">
      <c r="N120" s="23"/>
    </row>
    <row r="121" spans="1:29">
      <c r="B121" s="8"/>
      <c r="C121" s="163"/>
      <c r="D121" s="294"/>
      <c r="E121" s="163"/>
      <c r="M121" s="3"/>
      <c r="N121" s="448"/>
      <c r="Y121" t="s">
        <v>1089</v>
      </c>
      <c r="Z121" s="454">
        <v>4.9953156140941797</v>
      </c>
      <c r="AC121" t="s">
        <v>1075</v>
      </c>
    </row>
    <row r="122" spans="1:29" ht="16" thickBot="1">
      <c r="Y122" t="s">
        <v>1090</v>
      </c>
      <c r="Z122" s="441">
        <f>Z119</f>
        <v>0.51712497847178374</v>
      </c>
      <c r="AA122" t="s">
        <v>1091</v>
      </c>
    </row>
    <row r="123" spans="1:29" ht="17" thickBot="1">
      <c r="B123" s="200" t="s">
        <v>744</v>
      </c>
      <c r="C123" s="200" t="s">
        <v>472</v>
      </c>
      <c r="D123" s="200" t="s">
        <v>477</v>
      </c>
      <c r="E123" s="200" t="s">
        <v>478</v>
      </c>
      <c r="F123" s="200" t="s">
        <v>480</v>
      </c>
      <c r="G123" s="200" t="s">
        <v>474</v>
      </c>
      <c r="H123" s="1" t="s">
        <v>676</v>
      </c>
      <c r="I123" s="149" t="s">
        <v>745</v>
      </c>
      <c r="J123" s="147" t="s">
        <v>192</v>
      </c>
      <c r="K123" s="147" t="s">
        <v>67</v>
      </c>
      <c r="L123" s="444" t="s">
        <v>1092</v>
      </c>
      <c r="Z123" s="43"/>
    </row>
    <row r="124" spans="1:29" ht="16" thickTop="1">
      <c r="A124" s="58" t="s">
        <v>1093</v>
      </c>
      <c r="B124" s="55">
        <v>0</v>
      </c>
      <c r="C124" s="55">
        <v>0</v>
      </c>
      <c r="D124" s="55">
        <v>0</v>
      </c>
      <c r="E124" s="55">
        <v>0</v>
      </c>
      <c r="F124" s="55">
        <v>0</v>
      </c>
      <c r="G124" s="445">
        <f>'Demand Breakdown - BTX'!R18-G110</f>
        <v>0.49068527623570229</v>
      </c>
      <c r="H124" s="445">
        <f>'Demand Breakdown - BTX'!R18-H110</f>
        <v>0.49068527623570229</v>
      </c>
      <c r="I124" s="528">
        <v>0</v>
      </c>
      <c r="J124" s="567">
        <v>0.05</v>
      </c>
      <c r="N124" s="1"/>
      <c r="Y124" t="s">
        <v>1094</v>
      </c>
      <c r="Z124" s="454">
        <v>1.9029773767977829</v>
      </c>
    </row>
    <row r="125" spans="1:29">
      <c r="A125" t="s">
        <v>309</v>
      </c>
      <c r="B125" s="449">
        <f t="shared" ref="B125:G129" si="60">B18*B$124</f>
        <v>0</v>
      </c>
      <c r="C125" s="449">
        <f t="shared" si="60"/>
        <v>0</v>
      </c>
      <c r="D125" s="449">
        <f t="shared" si="60"/>
        <v>0</v>
      </c>
      <c r="E125" s="449">
        <f t="shared" si="60"/>
        <v>0</v>
      </c>
      <c r="F125" s="449">
        <f t="shared" si="60"/>
        <v>0</v>
      </c>
      <c r="G125" s="573">
        <f t="shared" si="60"/>
        <v>4.9559212899805936E-2</v>
      </c>
      <c r="H125" s="574"/>
      <c r="I125" s="573">
        <f t="shared" ref="I125:J129" si="61">H18*I$124</f>
        <v>0</v>
      </c>
      <c r="J125" s="573">
        <f t="shared" si="61"/>
        <v>5.0000000000000002E-5</v>
      </c>
      <c r="K125" s="41">
        <f>SUM(B125:J125)</f>
        <v>4.9609212899805938E-2</v>
      </c>
      <c r="L125" s="43">
        <f>K125/$K$132*($L$132-$L$130)</f>
        <v>33.557300929497657</v>
      </c>
      <c r="N125" s="41"/>
      <c r="Y125" t="s">
        <v>1061</v>
      </c>
      <c r="Z125" s="43">
        <f>(1/(Z73))*(Z74)</f>
        <v>1.0670752014920402</v>
      </c>
    </row>
    <row r="126" spans="1:29">
      <c r="A126" t="s">
        <v>310</v>
      </c>
      <c r="B126" s="169">
        <f t="shared" si="60"/>
        <v>0</v>
      </c>
      <c r="C126" s="169">
        <f t="shared" si="60"/>
        <v>0</v>
      </c>
      <c r="D126" s="169">
        <f t="shared" si="60"/>
        <v>0</v>
      </c>
      <c r="E126" s="169">
        <f t="shared" si="60"/>
        <v>0</v>
      </c>
      <c r="F126" s="169">
        <f t="shared" si="60"/>
        <v>0</v>
      </c>
      <c r="G126" s="293">
        <f t="shared" si="60"/>
        <v>0</v>
      </c>
      <c r="H126" s="420"/>
      <c r="I126" s="293">
        <f t="shared" si="61"/>
        <v>0</v>
      </c>
      <c r="J126" s="293">
        <f t="shared" si="61"/>
        <v>2.5000000000000001E-4</v>
      </c>
      <c r="K126" s="41">
        <f>SUM(B126:J126)</f>
        <v>2.5000000000000001E-4</v>
      </c>
      <c r="L126" s="43">
        <f t="shared" ref="L126:L129" si="62">K126/$K$132*($L$132-$L$130)</f>
        <v>0.16910821079379051</v>
      </c>
      <c r="N126" s="41"/>
      <c r="Y126" t="s">
        <v>1095</v>
      </c>
      <c r="Z126">
        <v>1</v>
      </c>
    </row>
    <row r="127" spans="1:29">
      <c r="A127" t="s">
        <v>311</v>
      </c>
      <c r="B127" s="169">
        <f t="shared" si="60"/>
        <v>0</v>
      </c>
      <c r="C127" s="169">
        <f t="shared" si="60"/>
        <v>0</v>
      </c>
      <c r="D127" s="169">
        <f t="shared" si="60"/>
        <v>0</v>
      </c>
      <c r="E127" s="169">
        <f t="shared" si="60"/>
        <v>0</v>
      </c>
      <c r="F127" s="169">
        <f t="shared" si="60"/>
        <v>0</v>
      </c>
      <c r="G127" s="293">
        <f t="shared" si="60"/>
        <v>0</v>
      </c>
      <c r="H127" s="76"/>
      <c r="I127" s="293">
        <f t="shared" si="61"/>
        <v>0</v>
      </c>
      <c r="J127" s="293">
        <f t="shared" si="61"/>
        <v>1.1000000000000001E-3</v>
      </c>
      <c r="K127" s="41">
        <f>SUM(B127:J127)</f>
        <v>1.1000000000000001E-3</v>
      </c>
      <c r="L127" s="43">
        <f t="shared" si="62"/>
        <v>0.74407612749267826</v>
      </c>
      <c r="N127" s="41"/>
      <c r="Y127" t="s">
        <v>1088</v>
      </c>
      <c r="Z127" s="441">
        <f>Z125*Z126</f>
        <v>1.0670752014920402</v>
      </c>
    </row>
    <row r="128" spans="1:29">
      <c r="A128" t="s">
        <v>312</v>
      </c>
      <c r="B128" s="169">
        <f t="shared" si="60"/>
        <v>0</v>
      </c>
      <c r="C128" s="169">
        <f t="shared" si="60"/>
        <v>0</v>
      </c>
      <c r="D128" s="169">
        <f t="shared" si="60"/>
        <v>0</v>
      </c>
      <c r="E128" s="169">
        <f t="shared" si="60"/>
        <v>0</v>
      </c>
      <c r="F128" s="169">
        <f t="shared" si="60"/>
        <v>0</v>
      </c>
      <c r="G128" s="293">
        <f t="shared" si="60"/>
        <v>0</v>
      </c>
      <c r="H128" s="76"/>
      <c r="I128" s="293">
        <f t="shared" si="61"/>
        <v>0</v>
      </c>
      <c r="J128" s="293">
        <f t="shared" si="61"/>
        <v>5.0000000000000001E-4</v>
      </c>
      <c r="K128" s="41">
        <f>SUM(B128:J128)</f>
        <v>5.0000000000000001E-4</v>
      </c>
      <c r="L128" s="43">
        <f t="shared" si="62"/>
        <v>0.33821642158758103</v>
      </c>
      <c r="N128" s="41"/>
      <c r="Z128" s="43"/>
    </row>
    <row r="129" spans="1:29">
      <c r="A129" t="s">
        <v>746</v>
      </c>
      <c r="B129" s="6">
        <f t="shared" si="60"/>
        <v>0</v>
      </c>
      <c r="C129" s="6">
        <f t="shared" si="60"/>
        <v>0</v>
      </c>
      <c r="D129" s="6">
        <f t="shared" si="60"/>
        <v>0</v>
      </c>
      <c r="E129" s="6">
        <f t="shared" si="60"/>
        <v>0</v>
      </c>
      <c r="F129" s="6">
        <f t="shared" si="60"/>
        <v>0</v>
      </c>
      <c r="G129" s="384">
        <f t="shared" si="60"/>
        <v>0</v>
      </c>
      <c r="H129" s="76"/>
      <c r="I129" s="384">
        <f t="shared" si="61"/>
        <v>0</v>
      </c>
      <c r="J129" s="384">
        <f t="shared" si="61"/>
        <v>1E-4</v>
      </c>
      <c r="K129" s="41">
        <f>SUM(B129:J129)</f>
        <v>1E-4</v>
      </c>
      <c r="L129" s="43">
        <f t="shared" si="62"/>
        <v>6.7643284317516206E-2</v>
      </c>
      <c r="N129" s="41"/>
      <c r="Y129" s="452" t="s">
        <v>1096</v>
      </c>
      <c r="Z129" s="455">
        <f>(Z100*Z104+Z106*Z109+Z111*Z114+Z116*Z119+Z121*Z122+Z124*Z127)/SUM(Z100,Z106,Z111,Z116,Z121,Z124)</f>
        <v>0.5009063728840607</v>
      </c>
    </row>
    <row r="130" spans="1:29">
      <c r="A130" t="s">
        <v>320</v>
      </c>
      <c r="B130" s="6">
        <v>0</v>
      </c>
      <c r="C130" s="6">
        <v>0</v>
      </c>
      <c r="D130" s="6">
        <v>0</v>
      </c>
      <c r="E130" s="6">
        <v>0</v>
      </c>
      <c r="F130" s="6">
        <v>0</v>
      </c>
      <c r="G130" s="384">
        <v>0</v>
      </c>
      <c r="H130" s="384"/>
      <c r="I130" s="384">
        <v>0</v>
      </c>
      <c r="J130" s="384">
        <v>0</v>
      </c>
      <c r="K130" s="41"/>
      <c r="L130" s="569">
        <f>M22*H124*0.5</f>
        <v>11.565136270954032</v>
      </c>
      <c r="M130" t="s">
        <v>1056</v>
      </c>
      <c r="AC130" t="s">
        <v>1071</v>
      </c>
    </row>
    <row r="131" spans="1:29">
      <c r="A131" t="s">
        <v>248</v>
      </c>
      <c r="B131" s="169">
        <f t="shared" ref="B131:G131" si="63">B23*B$124</f>
        <v>0</v>
      </c>
      <c r="C131" s="169">
        <f t="shared" si="63"/>
        <v>0</v>
      </c>
      <c r="D131" s="169">
        <f t="shared" si="63"/>
        <v>0</v>
      </c>
      <c r="E131" s="169">
        <f t="shared" si="63"/>
        <v>0</v>
      </c>
      <c r="F131" s="169">
        <f t="shared" si="63"/>
        <v>0</v>
      </c>
      <c r="G131" s="293">
        <f t="shared" si="63"/>
        <v>0</v>
      </c>
      <c r="H131" s="76"/>
      <c r="I131" s="293">
        <f>H23*I$124</f>
        <v>0</v>
      </c>
      <c r="J131" s="293">
        <f>I23*J$124</f>
        <v>8.0000000000000004E-4</v>
      </c>
      <c r="K131" s="41">
        <f>SUM(B131:J131)</f>
        <v>8.0000000000000004E-4</v>
      </c>
      <c r="L131" s="43">
        <f>K131/$K$132*($L$132-$L$130)</f>
        <v>0.54114627454012965</v>
      </c>
      <c r="N131" s="41"/>
      <c r="Y131" s="280" t="s">
        <v>474</v>
      </c>
      <c r="AC131" t="s">
        <v>1072</v>
      </c>
    </row>
    <row r="132" spans="1:29" ht="16" thickBot="1">
      <c r="A132" s="200" t="s">
        <v>67</v>
      </c>
      <c r="B132" s="202">
        <f t="shared" ref="B132:G132" si="64">SUM(B125:B131)</f>
        <v>0</v>
      </c>
      <c r="C132" s="202">
        <f t="shared" si="64"/>
        <v>0</v>
      </c>
      <c r="D132" s="202">
        <f t="shared" si="64"/>
        <v>0</v>
      </c>
      <c r="E132" s="202">
        <f t="shared" si="64"/>
        <v>0</v>
      </c>
      <c r="F132" s="202">
        <f t="shared" si="64"/>
        <v>0</v>
      </c>
      <c r="G132" s="202">
        <f t="shared" si="64"/>
        <v>4.9559212899805936E-2</v>
      </c>
      <c r="I132" s="202">
        <f>SUM(I125:I131)</f>
        <v>0</v>
      </c>
      <c r="J132" s="202">
        <f>SUM(J125:J131)</f>
        <v>2.8E-3</v>
      </c>
      <c r="K132" s="202">
        <f>SUM(K125:K131)</f>
        <v>5.235921289980594E-2</v>
      </c>
      <c r="L132" s="447">
        <f>'Yearly Demand - BTX'!N18</f>
        <v>46.982627519183382</v>
      </c>
      <c r="Y132" t="s">
        <v>1097</v>
      </c>
      <c r="Z132" s="451">
        <v>1.7838235854385778</v>
      </c>
    </row>
    <row r="133" spans="1:29" ht="16" thickTop="1">
      <c r="L133" s="43">
        <f>SUM(L125:L131)</f>
        <v>46.982627519183389</v>
      </c>
      <c r="N133" s="23"/>
    </row>
    <row r="134" spans="1:29">
      <c r="N134" s="23"/>
      <c r="Y134" t="s">
        <v>1098</v>
      </c>
    </row>
    <row r="135" spans="1:29">
      <c r="B135" s="8"/>
      <c r="C135" s="163"/>
      <c r="D135" s="294"/>
      <c r="E135" s="163"/>
      <c r="M135" s="3"/>
      <c r="N135" s="448"/>
      <c r="Y135" t="s">
        <v>1099</v>
      </c>
      <c r="Z135" s="440">
        <f>(1/Z79)*Z74</f>
        <v>0.53353760074602008</v>
      </c>
      <c r="AC135" t="s">
        <v>1075</v>
      </c>
    </row>
    <row r="136" spans="1:29">
      <c r="Y136" t="s">
        <v>1100</v>
      </c>
      <c r="Z136">
        <v>0.05</v>
      </c>
      <c r="AB136" t="s">
        <v>1101</v>
      </c>
      <c r="AC136" t="s">
        <v>1102</v>
      </c>
    </row>
    <row r="137" spans="1:29">
      <c r="Y137" t="s">
        <v>1103</v>
      </c>
      <c r="Z137" s="43">
        <f>1/(Z80+Z77-Z78)*Z80</f>
        <v>0.7903445257419055</v>
      </c>
    </row>
    <row r="138" spans="1:29">
      <c r="Y138" s="452" t="s">
        <v>1104</v>
      </c>
      <c r="Z138" s="453">
        <f>Z135*Z136*Z137</f>
        <v>2.1083926101354369E-2</v>
      </c>
    </row>
    <row r="140" spans="1:29">
      <c r="Y140" t="s">
        <v>1105</v>
      </c>
    </row>
    <row r="141" spans="1:29">
      <c r="Y141" t="s">
        <v>1106</v>
      </c>
      <c r="Z141" s="43">
        <f>(1/Z81)*2*Z74</f>
        <v>0.32998609609145679</v>
      </c>
      <c r="AB141" t="s">
        <v>1107</v>
      </c>
    </row>
    <row r="142" spans="1:29">
      <c r="Y142" t="s">
        <v>866</v>
      </c>
      <c r="Z142" s="43">
        <f>1/(Z81+Z77-Z74)*Z81</f>
        <v>0.86606903933636603</v>
      </c>
    </row>
    <row r="143" spans="1:29">
      <c r="Y143" s="452" t="s">
        <v>1104</v>
      </c>
      <c r="Z143" s="43">
        <f>Z141*Z142</f>
        <v>0.28579074123628573</v>
      </c>
    </row>
    <row r="145" spans="25:26">
      <c r="Y145" s="452" t="s">
        <v>1108</v>
      </c>
      <c r="Z145" s="455">
        <v>0.14994870642753136</v>
      </c>
    </row>
    <row r="147" spans="25:26">
      <c r="Y147" s="69" t="s">
        <v>1109</v>
      </c>
      <c r="Z147" s="516">
        <f>Z132/(G13*L14)</f>
        <v>4.1295053450461215E-2</v>
      </c>
    </row>
    <row r="148" spans="25:26">
      <c r="Z148" s="2">
        <f>Z132/Z145/(G13*L14)</f>
        <v>0.27539452946477189</v>
      </c>
    </row>
  </sheetData>
  <hyperlinks>
    <hyperlink ref="A3" r:id="rId1" xr:uid="{2BE56415-4B42-4F40-B9F6-22F9089C1142}"/>
  </hyperlinks>
  <pageMargins left="0.7" right="0.7" top="0.75" bottom="0.75" header="0.3" footer="0.3"/>
  <pageSetup paperSize="9" orientation="portrait"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DCB81-6641-4927-B20B-B69DEB37C8E8}">
  <sheetPr>
    <tabColor rgb="FFFF0000"/>
  </sheetPr>
  <dimension ref="A1:AM32"/>
  <sheetViews>
    <sheetView workbookViewId="0">
      <selection activeCell="B7" sqref="B7:H10"/>
    </sheetView>
  </sheetViews>
  <sheetFormatPr baseColWidth="10" defaultColWidth="8.83203125" defaultRowHeight="15"/>
  <cols>
    <col min="1" max="1" width="25.1640625" customWidth="1"/>
    <col min="2" max="2" width="12.83203125" bestFit="1" customWidth="1"/>
    <col min="3" max="3" width="14.1640625" bestFit="1" customWidth="1"/>
    <col min="4" max="8" width="14.1640625" customWidth="1"/>
    <col min="9" max="9" width="11.5" customWidth="1"/>
    <col min="10" max="13" width="14.1640625" customWidth="1"/>
    <col min="14" max="15" width="11.5" customWidth="1"/>
    <col min="19" max="19" width="17.5" customWidth="1"/>
    <col min="20" max="20" width="15.6640625" customWidth="1"/>
    <col min="21" max="21" width="17.83203125" customWidth="1"/>
    <col min="22" max="22" width="19.5" customWidth="1"/>
    <col min="25" max="25" width="13.5" customWidth="1"/>
    <col min="26" max="26" width="17.83203125" customWidth="1"/>
  </cols>
  <sheetData>
    <row r="1" spans="1:27">
      <c r="A1" s="46" t="s">
        <v>1110</v>
      </c>
      <c r="B1" s="46"/>
      <c r="C1" s="46"/>
      <c r="D1" s="46"/>
      <c r="E1" s="46"/>
      <c r="F1" s="46"/>
      <c r="G1" s="46"/>
      <c r="H1" s="46"/>
      <c r="I1" s="46"/>
      <c r="J1" s="46"/>
      <c r="K1" s="46"/>
      <c r="L1" s="46"/>
      <c r="M1" s="46"/>
      <c r="N1" s="46"/>
      <c r="O1" s="1"/>
    </row>
    <row r="2" spans="1:27" ht="16" thickBot="1">
      <c r="A2" s="45"/>
      <c r="B2" s="45" t="s">
        <v>1111</v>
      </c>
      <c r="C2" s="45" t="s">
        <v>1112</v>
      </c>
      <c r="D2" s="45" t="s">
        <v>1113</v>
      </c>
      <c r="E2" s="45" t="s">
        <v>1114</v>
      </c>
      <c r="F2" s="45" t="s">
        <v>1115</v>
      </c>
      <c r="G2" s="45" t="s">
        <v>1116</v>
      </c>
      <c r="H2" s="45" t="s">
        <v>1117</v>
      </c>
      <c r="I2" s="45" t="s">
        <v>5</v>
      </c>
      <c r="J2" s="45" t="s">
        <v>4</v>
      </c>
      <c r="K2" s="45" t="s">
        <v>6</v>
      </c>
      <c r="L2" s="45" t="s">
        <v>7</v>
      </c>
      <c r="M2" s="45" t="s">
        <v>8</v>
      </c>
      <c r="N2" s="45" t="s">
        <v>9</v>
      </c>
      <c r="O2" s="45" t="s">
        <v>766</v>
      </c>
      <c r="P2" t="s">
        <v>96</v>
      </c>
      <c r="S2" s="45" t="s">
        <v>1118</v>
      </c>
      <c r="T2" s="45" t="s">
        <v>1119</v>
      </c>
      <c r="U2" s="45" t="s">
        <v>1120</v>
      </c>
      <c r="V2" s="45" t="s">
        <v>1121</v>
      </c>
      <c r="Y2" s="45" t="s">
        <v>1119</v>
      </c>
      <c r="Z2" s="45" t="s">
        <v>1122</v>
      </c>
    </row>
    <row r="3" spans="1:27">
      <c r="B3" t="s">
        <v>462</v>
      </c>
      <c r="C3" t="s">
        <v>462</v>
      </c>
      <c r="I3" t="s">
        <v>704</v>
      </c>
      <c r="J3" t="s">
        <v>704</v>
      </c>
      <c r="K3" t="s">
        <v>704</v>
      </c>
      <c r="L3" t="s">
        <v>704</v>
      </c>
      <c r="M3" t="s">
        <v>704</v>
      </c>
      <c r="N3" t="s">
        <v>704</v>
      </c>
      <c r="O3" t="s">
        <v>704</v>
      </c>
      <c r="S3" t="s">
        <v>462</v>
      </c>
      <c r="T3" t="s">
        <v>462</v>
      </c>
      <c r="U3" t="s">
        <v>462</v>
      </c>
      <c r="V3" t="s">
        <v>462</v>
      </c>
      <c r="Y3" t="s">
        <v>462</v>
      </c>
      <c r="Z3" t="s">
        <v>462</v>
      </c>
    </row>
    <row r="4" spans="1:27">
      <c r="A4" t="s">
        <v>1</v>
      </c>
      <c r="I4" s="44">
        <f>'Demand Breakdown - Propylene'!K50+'Demand Breakdown - Propylene'!K54</f>
        <v>46.844581662413418</v>
      </c>
      <c r="J4" s="44">
        <f>'Demand Breakdown - Ethylene'!K63+'Demand Breakdown - Ethylene'!K67</f>
        <v>89.109936202323638</v>
      </c>
      <c r="K4" s="44">
        <f>'Demand - Industry shares'!L82+'Demand - Industry shares'!L86</f>
        <v>4.3918200345154137</v>
      </c>
      <c r="L4" s="44">
        <f>'Demand Breakdown - BTX'!K70</f>
        <v>7.8426966561118325</v>
      </c>
      <c r="M4" s="44">
        <f>'Demand Breakdown - BTX'!K80</f>
        <v>3.690958960657742</v>
      </c>
      <c r="N4" s="44">
        <f>'Demand Breakdown - BTX'!K90</f>
        <v>33.557300929497657</v>
      </c>
      <c r="O4" s="44">
        <f>'Demand Breakdown - C4'!I26</f>
        <v>1.5689729220366222</v>
      </c>
      <c r="P4" s="7"/>
    </row>
    <row r="5" spans="1:27">
      <c r="A5" t="s">
        <v>1123</v>
      </c>
      <c r="B5" s="47">
        <f>C5</f>
        <v>1.4E-2</v>
      </c>
      <c r="C5" s="47">
        <f>'Demand Breakdown - Ethylene'!L63</f>
        <v>1.4E-2</v>
      </c>
      <c r="D5" s="47">
        <f>'Demand Breakdown - Methanol'!N37</f>
        <v>1.4E-2</v>
      </c>
      <c r="E5" s="47">
        <v>1.0999999999999999E-2</v>
      </c>
      <c r="F5" s="47">
        <v>1.0999999999999999E-2</v>
      </c>
      <c r="G5" s="47">
        <v>1.0999999999999999E-2</v>
      </c>
      <c r="H5" s="47">
        <f>'Demand Breakdown - C4'!K26</f>
        <v>1.429032820306686E-2</v>
      </c>
      <c r="I5" s="44">
        <f>I4*(1+C5)^30-I4</f>
        <v>24.243699703660326</v>
      </c>
      <c r="J5" s="44">
        <f>J4*(1+C5)^30-J4</f>
        <v>46.117490160764163</v>
      </c>
      <c r="K5" s="44">
        <f>K4*(1+D5)^30-K4</f>
        <v>2.2729195627493901</v>
      </c>
      <c r="L5" s="44">
        <f>L4*(1+E5)^30-L4</f>
        <v>3.0466064134331559</v>
      </c>
      <c r="M5" s="44">
        <f>M4*(1+E5)^30-M4</f>
        <v>1.4338051991970486</v>
      </c>
      <c r="N5" s="44">
        <f>N4*(1+E5)^30-N4</f>
        <v>13.03580805329775</v>
      </c>
      <c r="O5" s="44">
        <f>'Demand Breakdown - C4'!L26-'Demand Breakdown - C4'!I26</f>
        <v>0.83253474068831945</v>
      </c>
      <c r="P5" s="7" t="s">
        <v>1124</v>
      </c>
      <c r="S5" s="47"/>
      <c r="T5" s="47"/>
      <c r="U5" s="47"/>
      <c r="V5" s="47"/>
      <c r="Y5" s="47"/>
      <c r="Z5" s="47"/>
    </row>
    <row r="6" spans="1:27">
      <c r="A6" t="s">
        <v>1125</v>
      </c>
      <c r="I6" s="44">
        <f>SUM(I4:I5)</f>
        <v>71.088281366073744</v>
      </c>
      <c r="J6" s="44">
        <f>SUM(J4:J5)</f>
        <v>135.2274263630878</v>
      </c>
      <c r="K6" s="44">
        <f>SUM(K4:K5)</f>
        <v>6.6647395972648038</v>
      </c>
      <c r="L6" s="44">
        <f t="shared" ref="L6:O6" si="0">SUM(L4:L5)</f>
        <v>10.889303069544988</v>
      </c>
      <c r="M6" s="44">
        <f t="shared" si="0"/>
        <v>5.1247641598547906</v>
      </c>
      <c r="N6" s="44">
        <f t="shared" si="0"/>
        <v>46.593108982795407</v>
      </c>
      <c r="O6" s="44">
        <f t="shared" si="0"/>
        <v>2.4015076627249416</v>
      </c>
    </row>
    <row r="7" spans="1:27" ht="16">
      <c r="A7" t="s">
        <v>25</v>
      </c>
      <c r="B7" s="680">
        <v>0</v>
      </c>
      <c r="C7" s="680">
        <v>0</v>
      </c>
      <c r="D7" s="680">
        <v>0</v>
      </c>
      <c r="E7" s="680">
        <v>0</v>
      </c>
      <c r="F7" s="680">
        <v>0</v>
      </c>
      <c r="G7" s="680">
        <v>0</v>
      </c>
      <c r="H7" s="680">
        <v>0</v>
      </c>
      <c r="I7" s="49">
        <f>$I$6*B7</f>
        <v>0</v>
      </c>
      <c r="J7" s="49">
        <f>$J$6*C7</f>
        <v>0</v>
      </c>
      <c r="K7" s="440">
        <f>$K$6*D7</f>
        <v>0</v>
      </c>
      <c r="L7" s="440">
        <f>$L$6*E7</f>
        <v>0</v>
      </c>
      <c r="M7" s="440">
        <f>$M$6*F7</f>
        <v>0</v>
      </c>
      <c r="N7" s="440">
        <f>$N$6*G7</f>
        <v>0</v>
      </c>
      <c r="O7" s="440">
        <f>$O$6*H7</f>
        <v>0</v>
      </c>
      <c r="P7" s="7" t="s">
        <v>1124</v>
      </c>
      <c r="S7" s="57">
        <v>0.107</v>
      </c>
      <c r="T7" s="57">
        <v>4.0000000000000001E-3</v>
      </c>
      <c r="U7" s="57">
        <v>4.0000000000000001E-3</v>
      </c>
      <c r="V7" s="57">
        <v>1.0999999999999999E-2</v>
      </c>
      <c r="W7" s="41">
        <f>SUM(S7:V7)</f>
        <v>0.126</v>
      </c>
      <c r="Y7" s="57">
        <v>0.10199999999999999</v>
      </c>
      <c r="Z7" s="57">
        <v>3.5999999999999997E-2</v>
      </c>
      <c r="AA7" s="41">
        <f>SUM(Y7:Z7)</f>
        <v>0.13799999999999998</v>
      </c>
    </row>
    <row r="8" spans="1:27" ht="16">
      <c r="A8" t="s">
        <v>1126</v>
      </c>
      <c r="B8" s="680">
        <v>0</v>
      </c>
      <c r="C8" s="680">
        <v>0</v>
      </c>
      <c r="D8" s="680">
        <v>0</v>
      </c>
      <c r="E8" s="680">
        <v>0</v>
      </c>
      <c r="F8" s="680">
        <v>0</v>
      </c>
      <c r="G8" s="680">
        <v>0</v>
      </c>
      <c r="H8" s="680">
        <v>0</v>
      </c>
      <c r="I8" s="49">
        <f>$I$6*B8</f>
        <v>0</v>
      </c>
      <c r="J8" s="49">
        <f>$J$6*C8</f>
        <v>0</v>
      </c>
      <c r="K8" s="440">
        <f>$K$6*D8</f>
        <v>0</v>
      </c>
      <c r="L8" s="440">
        <f t="shared" ref="L8:L10" si="1">$L$6*E8</f>
        <v>0</v>
      </c>
      <c r="M8" s="440">
        <f t="shared" ref="M8:M10" si="2">$M$6*F8</f>
        <v>0</v>
      </c>
      <c r="N8" s="440">
        <f t="shared" ref="N8:N10" si="3">$N$6*G8</f>
        <v>0</v>
      </c>
      <c r="O8" s="440">
        <f>$O$6*H8</f>
        <v>0</v>
      </c>
      <c r="P8" s="7" t="s">
        <v>1124</v>
      </c>
      <c r="S8" s="57">
        <v>0.25600000000000001</v>
      </c>
      <c r="T8" s="57">
        <v>1.4E-2</v>
      </c>
      <c r="U8" s="57">
        <v>7.0000000000000001E-3</v>
      </c>
      <c r="V8" s="57">
        <v>1.6E-2</v>
      </c>
      <c r="W8" s="41">
        <f t="shared" ref="W8:W10" si="4">SUM(S8:V8)</f>
        <v>0.29300000000000004</v>
      </c>
      <c r="Y8" s="57">
        <v>0.20799999999999999</v>
      </c>
      <c r="Z8" s="57">
        <v>2.5000000000000001E-2</v>
      </c>
      <c r="AA8" s="41">
        <f>SUM(Y8:Z8)</f>
        <v>0.23299999999999998</v>
      </c>
    </row>
    <row r="9" spans="1:27" ht="16">
      <c r="A9" t="s">
        <v>1127</v>
      </c>
      <c r="B9" s="680">
        <v>0</v>
      </c>
      <c r="C9" s="680">
        <v>0</v>
      </c>
      <c r="D9" s="680">
        <v>0</v>
      </c>
      <c r="E9" s="680">
        <v>0</v>
      </c>
      <c r="F9" s="680">
        <v>0</v>
      </c>
      <c r="G9" s="680">
        <v>0</v>
      </c>
      <c r="H9" s="680">
        <v>0</v>
      </c>
      <c r="I9" s="49">
        <f>$I$6*B9</f>
        <v>0</v>
      </c>
      <c r="J9" s="49">
        <f>$J$6*C9</f>
        <v>0</v>
      </c>
      <c r="K9" s="440">
        <f>$K$6*D9</f>
        <v>0</v>
      </c>
      <c r="L9" s="440">
        <f t="shared" si="1"/>
        <v>0</v>
      </c>
      <c r="M9" s="440">
        <f t="shared" si="2"/>
        <v>0</v>
      </c>
      <c r="N9" s="440">
        <f t="shared" si="3"/>
        <v>0</v>
      </c>
      <c r="O9" s="440">
        <f t="shared" ref="O9:O10" si="5">$O$6*H9</f>
        <v>0</v>
      </c>
      <c r="P9" s="7" t="s">
        <v>1124</v>
      </c>
      <c r="S9" s="57">
        <v>6.9000000000000006E-2</v>
      </c>
      <c r="T9" s="57">
        <v>4.0000000000000001E-3</v>
      </c>
      <c r="U9" s="57">
        <v>4.0000000000000001E-3</v>
      </c>
      <c r="V9" s="57">
        <v>0.01</v>
      </c>
      <c r="W9" s="41">
        <f t="shared" si="4"/>
        <v>8.7000000000000008E-2</v>
      </c>
      <c r="Y9" s="57">
        <v>8.6999999999999994E-2</v>
      </c>
      <c r="Z9" s="57">
        <v>2.4E-2</v>
      </c>
      <c r="AA9" s="41">
        <f>SUM(Y9:Z9)</f>
        <v>0.11099999999999999</v>
      </c>
    </row>
    <row r="10" spans="1:27" ht="16">
      <c r="A10" t="s">
        <v>1128</v>
      </c>
      <c r="B10" s="680">
        <v>0</v>
      </c>
      <c r="C10" s="680">
        <v>0</v>
      </c>
      <c r="D10" s="680">
        <v>0</v>
      </c>
      <c r="E10" s="680">
        <v>0</v>
      </c>
      <c r="F10" s="680">
        <v>0</v>
      </c>
      <c r="G10" s="680">
        <v>0</v>
      </c>
      <c r="H10" s="680">
        <v>0</v>
      </c>
      <c r="I10" s="49">
        <f>$I$6*B10</f>
        <v>0</v>
      </c>
      <c r="J10" s="49">
        <f>$J$6*C10</f>
        <v>0</v>
      </c>
      <c r="K10" s="440">
        <f>$K$6*D10</f>
        <v>0</v>
      </c>
      <c r="L10" s="440">
        <f t="shared" si="1"/>
        <v>0</v>
      </c>
      <c r="M10" s="440">
        <f t="shared" si="2"/>
        <v>0</v>
      </c>
      <c r="N10" s="440">
        <f t="shared" si="3"/>
        <v>0</v>
      </c>
      <c r="O10" s="440">
        <f t="shared" si="5"/>
        <v>0</v>
      </c>
      <c r="P10" s="7" t="s">
        <v>1124</v>
      </c>
      <c r="S10" s="57">
        <v>0.10199999999999999</v>
      </c>
      <c r="T10" s="57">
        <v>6.0000000000000001E-3</v>
      </c>
      <c r="U10" s="57">
        <v>5.0000000000000001E-3</v>
      </c>
      <c r="V10" s="57">
        <v>8.0000000000000002E-3</v>
      </c>
      <c r="W10" s="41">
        <f t="shared" si="4"/>
        <v>0.121</v>
      </c>
      <c r="Y10" s="57">
        <v>0.129</v>
      </c>
      <c r="Z10" s="57">
        <v>2.5999999999999999E-2</v>
      </c>
      <c r="AA10" s="41">
        <f>SUM(Y10:Z10)</f>
        <v>0.155</v>
      </c>
    </row>
    <row r="11" spans="1:27">
      <c r="A11" t="s">
        <v>1129</v>
      </c>
      <c r="B11" s="48"/>
      <c r="I11" s="44">
        <f>I6-I7-I8-I9-I10</f>
        <v>71.088281366073744</v>
      </c>
      <c r="J11" s="44">
        <f>J6-J7-J8-J9-J10</f>
        <v>135.2274263630878</v>
      </c>
      <c r="K11" s="44">
        <f>K6-K7-K8-K9-K10</f>
        <v>6.6647395972648038</v>
      </c>
      <c r="L11" s="44">
        <f>L6-L7-L8-L9-L10</f>
        <v>10.889303069544988</v>
      </c>
      <c r="M11" s="44">
        <f>M6-M7-M8-M9-M10</f>
        <v>5.1247641598547906</v>
      </c>
      <c r="N11" s="44">
        <f t="shared" ref="N11:O11" si="6">N6-N7-N8-N9-N10</f>
        <v>46.593108982795407</v>
      </c>
      <c r="O11" s="44">
        <f t="shared" si="6"/>
        <v>2.4015076627249416</v>
      </c>
    </row>
    <row r="13" spans="1:27">
      <c r="B13" t="s">
        <v>1130</v>
      </c>
      <c r="C13" t="s">
        <v>1131</v>
      </c>
      <c r="D13" t="s">
        <v>1132</v>
      </c>
      <c r="E13" t="s">
        <v>1133</v>
      </c>
      <c r="F13" t="s">
        <v>1134</v>
      </c>
      <c r="G13" t="s">
        <v>1135</v>
      </c>
      <c r="H13" t="s">
        <v>1136</v>
      </c>
      <c r="I13" t="s">
        <v>1137</v>
      </c>
      <c r="J13" t="s">
        <v>1138</v>
      </c>
      <c r="K13" t="s">
        <v>1139</v>
      </c>
      <c r="L13" t="s">
        <v>1140</v>
      </c>
      <c r="M13" t="s">
        <v>1141</v>
      </c>
      <c r="Q13" t="s">
        <v>1142</v>
      </c>
    </row>
    <row r="14" spans="1:27">
      <c r="A14" t="s">
        <v>1143</v>
      </c>
      <c r="B14" s="56">
        <f>100%</f>
        <v>1</v>
      </c>
      <c r="C14" s="55">
        <v>1</v>
      </c>
      <c r="D14" s="56">
        <f>100%</f>
        <v>1</v>
      </c>
      <c r="E14" s="55">
        <v>1</v>
      </c>
      <c r="F14" s="56">
        <f>100%</f>
        <v>1</v>
      </c>
      <c r="G14" s="55">
        <v>1</v>
      </c>
      <c r="H14" s="56">
        <f>100%</f>
        <v>1</v>
      </c>
      <c r="I14" s="55">
        <v>1</v>
      </c>
      <c r="J14" s="56">
        <f>100%</f>
        <v>1</v>
      </c>
      <c r="K14" s="55">
        <v>1</v>
      </c>
      <c r="L14" s="56">
        <f>100%</f>
        <v>1</v>
      </c>
      <c r="M14" s="55">
        <v>1</v>
      </c>
      <c r="O14" s="55"/>
      <c r="Q14" t="s">
        <v>1144</v>
      </c>
      <c r="W14" t="s">
        <v>1145</v>
      </c>
    </row>
    <row r="15" spans="1:27">
      <c r="A15" t="s">
        <v>1146</v>
      </c>
      <c r="B15" s="56">
        <v>0.74</v>
      </c>
      <c r="C15" s="55">
        <v>0.87</v>
      </c>
      <c r="D15" s="56">
        <v>0.77</v>
      </c>
      <c r="E15" s="55">
        <v>0.86</v>
      </c>
      <c r="F15" s="56">
        <v>0.72</v>
      </c>
      <c r="G15" s="55">
        <v>0.82</v>
      </c>
      <c r="H15" s="56">
        <v>0.73</v>
      </c>
      <c r="I15" s="55">
        <v>0.8</v>
      </c>
      <c r="J15" s="56">
        <v>0.73</v>
      </c>
      <c r="K15" s="55">
        <v>0.82</v>
      </c>
      <c r="L15" s="56">
        <v>0.73</v>
      </c>
      <c r="M15" s="55">
        <v>0.82</v>
      </c>
      <c r="O15" s="55"/>
      <c r="Q15" t="s">
        <v>1147</v>
      </c>
      <c r="W15" t="s">
        <v>1145</v>
      </c>
    </row>
    <row r="16" spans="1:27">
      <c r="B16" s="56"/>
    </row>
    <row r="17" spans="1:39">
      <c r="B17" s="760" t="s">
        <v>500</v>
      </c>
      <c r="C17" s="760"/>
      <c r="D17" s="760"/>
      <c r="E17" s="760"/>
      <c r="F17" s="760"/>
      <c r="G17" s="760"/>
      <c r="H17" s="760"/>
      <c r="I17" s="760"/>
      <c r="J17" s="760"/>
      <c r="K17" s="203"/>
      <c r="L17" s="203"/>
      <c r="M17" s="203"/>
      <c r="P17" s="760" t="s">
        <v>5</v>
      </c>
      <c r="Q17" s="760"/>
      <c r="R17" s="760"/>
      <c r="S17" s="760"/>
      <c r="U17" s="760" t="s">
        <v>6</v>
      </c>
      <c r="V17" s="760"/>
      <c r="W17" s="760"/>
      <c r="X17" s="760"/>
      <c r="Z17" s="760" t="s">
        <v>7</v>
      </c>
      <c r="AA17" s="760"/>
      <c r="AB17" s="760"/>
      <c r="AC17" s="760"/>
      <c r="AE17" s="760" t="s">
        <v>8</v>
      </c>
      <c r="AF17" s="760"/>
      <c r="AG17" s="760"/>
      <c r="AH17" s="760"/>
      <c r="AJ17" s="760" t="s">
        <v>166</v>
      </c>
      <c r="AK17" s="760"/>
      <c r="AL17" s="760"/>
      <c r="AM17" s="760"/>
    </row>
    <row r="18" spans="1:39">
      <c r="B18" t="s">
        <v>1148</v>
      </c>
      <c r="C18" t="s">
        <v>1126</v>
      </c>
      <c r="D18" t="s">
        <v>1149</v>
      </c>
      <c r="E18" t="s">
        <v>203</v>
      </c>
      <c r="P18" t="s">
        <v>1148</v>
      </c>
      <c r="Q18" t="s">
        <v>1126</v>
      </c>
      <c r="R18" t="s">
        <v>1149</v>
      </c>
      <c r="S18" t="s">
        <v>203</v>
      </c>
      <c r="U18" t="s">
        <v>1148</v>
      </c>
      <c r="V18" t="s">
        <v>1126</v>
      </c>
      <c r="W18" t="s">
        <v>1149</v>
      </c>
      <c r="X18" t="s">
        <v>203</v>
      </c>
      <c r="Z18" t="s">
        <v>1148</v>
      </c>
      <c r="AA18" t="s">
        <v>1126</v>
      </c>
      <c r="AB18" t="s">
        <v>1149</v>
      </c>
      <c r="AC18" t="s">
        <v>203</v>
      </c>
      <c r="AE18" t="s">
        <v>1148</v>
      </c>
      <c r="AF18" t="s">
        <v>1126</v>
      </c>
      <c r="AG18" t="s">
        <v>1149</v>
      </c>
      <c r="AH18" t="s">
        <v>203</v>
      </c>
      <c r="AJ18" t="s">
        <v>1148</v>
      </c>
      <c r="AK18" t="s">
        <v>1126</v>
      </c>
      <c r="AL18" t="s">
        <v>1149</v>
      </c>
      <c r="AM18" t="s">
        <v>203</v>
      </c>
    </row>
    <row r="19" spans="1:39">
      <c r="A19" t="s">
        <v>1150</v>
      </c>
      <c r="B19" s="55">
        <v>0.08</v>
      </c>
      <c r="C19" s="55">
        <v>0.2</v>
      </c>
      <c r="D19" s="55">
        <v>0.3</v>
      </c>
      <c r="E19" s="55">
        <v>0.32</v>
      </c>
      <c r="F19" s="55"/>
      <c r="G19" s="55"/>
      <c r="H19" s="55"/>
      <c r="K19" s="55"/>
      <c r="L19" s="55"/>
      <c r="M19" s="55"/>
      <c r="P19" s="55">
        <v>0.09</v>
      </c>
      <c r="Q19" s="55">
        <v>0.24</v>
      </c>
      <c r="R19" s="55">
        <v>0.28999999999999998</v>
      </c>
      <c r="S19" s="55">
        <v>0.28999999999999998</v>
      </c>
      <c r="U19" s="55">
        <v>0.06</v>
      </c>
      <c r="V19" s="55">
        <v>0.17</v>
      </c>
      <c r="W19" s="55">
        <v>0.25</v>
      </c>
      <c r="X19" s="55">
        <v>0.24</v>
      </c>
      <c r="Z19" s="55">
        <v>0.06</v>
      </c>
      <c r="AA19" s="55">
        <v>0.22</v>
      </c>
      <c r="AB19" s="55">
        <v>0.26</v>
      </c>
      <c r="AC19" s="55">
        <v>0.22</v>
      </c>
      <c r="AE19" s="55">
        <v>0.06</v>
      </c>
      <c r="AF19" s="55">
        <v>0.19</v>
      </c>
      <c r="AG19" s="55">
        <v>0.25</v>
      </c>
      <c r="AH19" s="55">
        <v>0.23</v>
      </c>
      <c r="AJ19" s="55">
        <v>0.06</v>
      </c>
      <c r="AK19" s="55">
        <v>0.19</v>
      </c>
      <c r="AL19" s="55">
        <v>0.23</v>
      </c>
      <c r="AM19" s="55">
        <v>0.22</v>
      </c>
    </row>
    <row r="20" spans="1:39">
      <c r="A20" t="s">
        <v>1151</v>
      </c>
      <c r="B20" s="55">
        <v>0.54</v>
      </c>
      <c r="C20" s="55">
        <v>0.59</v>
      </c>
      <c r="D20" s="55">
        <v>0.68</v>
      </c>
      <c r="E20" s="55">
        <v>0.67</v>
      </c>
      <c r="F20" s="55"/>
      <c r="G20" s="55"/>
      <c r="H20" s="55"/>
      <c r="K20" s="55"/>
      <c r="L20" s="55"/>
      <c r="M20" s="55"/>
      <c r="P20" s="55">
        <v>0.55000000000000004</v>
      </c>
      <c r="Q20" s="55">
        <v>0.62</v>
      </c>
      <c r="R20" s="55">
        <v>0.7</v>
      </c>
      <c r="S20" s="55">
        <v>0.67</v>
      </c>
      <c r="U20" s="55">
        <v>0.53</v>
      </c>
      <c r="V20" s="55">
        <v>0.56999999999999995</v>
      </c>
      <c r="W20" s="55">
        <v>0.64</v>
      </c>
      <c r="X20" s="55">
        <v>0.63</v>
      </c>
      <c r="Z20" s="55">
        <v>0.55000000000000004</v>
      </c>
      <c r="AA20" s="55">
        <v>0.61</v>
      </c>
      <c r="AB20" s="55">
        <v>0.68</v>
      </c>
      <c r="AC20" s="55">
        <v>0.64</v>
      </c>
      <c r="AE20" s="55">
        <v>0.53</v>
      </c>
      <c r="AF20" s="55">
        <v>0.57999999999999996</v>
      </c>
      <c r="AG20" s="55">
        <v>0.66</v>
      </c>
      <c r="AH20" s="55">
        <v>0.62</v>
      </c>
      <c r="AJ20" s="55">
        <v>0.52</v>
      </c>
      <c r="AK20" s="55">
        <v>0.57999999999999996</v>
      </c>
      <c r="AL20" s="55">
        <v>0.64</v>
      </c>
      <c r="AM20" s="55">
        <v>0.62</v>
      </c>
    </row>
    <row r="21" spans="1:39">
      <c r="A21" t="s">
        <v>1152</v>
      </c>
      <c r="B21" s="55">
        <v>1</v>
      </c>
      <c r="C21" s="55">
        <v>1</v>
      </c>
      <c r="D21" s="55">
        <v>1</v>
      </c>
      <c r="E21" s="55">
        <v>1</v>
      </c>
      <c r="F21" s="55"/>
      <c r="G21" s="55"/>
      <c r="H21" s="55"/>
      <c r="K21" s="55"/>
      <c r="L21" s="55"/>
      <c r="M21" s="55"/>
      <c r="P21" s="55">
        <v>1</v>
      </c>
      <c r="Q21" s="55">
        <v>1</v>
      </c>
      <c r="R21" s="55">
        <v>1</v>
      </c>
      <c r="S21" s="55">
        <v>1</v>
      </c>
      <c r="U21" s="55">
        <v>1</v>
      </c>
      <c r="V21" s="55">
        <v>1</v>
      </c>
      <c r="W21" s="55">
        <v>1</v>
      </c>
      <c r="X21" s="55">
        <v>1</v>
      </c>
      <c r="Z21" s="55">
        <v>1</v>
      </c>
      <c r="AA21" s="55">
        <v>1</v>
      </c>
      <c r="AB21" s="55">
        <v>1</v>
      </c>
      <c r="AC21" s="55">
        <v>1</v>
      </c>
      <c r="AE21" s="55">
        <v>1</v>
      </c>
      <c r="AF21" s="55">
        <v>1</v>
      </c>
      <c r="AG21" s="55">
        <v>1</v>
      </c>
      <c r="AH21" s="55">
        <v>1</v>
      </c>
      <c r="AJ21" s="55">
        <v>1</v>
      </c>
      <c r="AK21" s="55">
        <v>1</v>
      </c>
      <c r="AL21" s="55">
        <v>1</v>
      </c>
      <c r="AM21" s="55">
        <v>1</v>
      </c>
    </row>
    <row r="22" spans="1:39">
      <c r="A22" s="54" t="s">
        <v>1153</v>
      </c>
    </row>
    <row r="24" spans="1:39">
      <c r="A24" t="s">
        <v>1154</v>
      </c>
    </row>
    <row r="25" spans="1:39">
      <c r="A25" t="s">
        <v>1155</v>
      </c>
      <c r="B25" t="s">
        <v>1156</v>
      </c>
      <c r="C25" t="s">
        <v>1157</v>
      </c>
      <c r="J25" t="s">
        <v>1149</v>
      </c>
      <c r="K25" t="s">
        <v>1158</v>
      </c>
    </row>
    <row r="26" spans="1:39">
      <c r="A26">
        <v>2030</v>
      </c>
      <c r="B26" s="41">
        <f>$C$7*$B$14*B19</f>
        <v>0</v>
      </c>
      <c r="C26" s="41">
        <f>$C$8*$B$14*C19</f>
        <v>0</v>
      </c>
      <c r="D26" s="41"/>
      <c r="E26" s="41"/>
      <c r="F26" s="41"/>
      <c r="G26" s="41"/>
      <c r="H26" s="41"/>
      <c r="I26" s="41"/>
      <c r="J26" s="41">
        <f>$C$9*$C$14*D19</f>
        <v>0</v>
      </c>
      <c r="K26" s="41">
        <f>$C$10*$C$14*E19</f>
        <v>0</v>
      </c>
      <c r="L26" s="41"/>
      <c r="M26" s="41"/>
    </row>
    <row r="27" spans="1:39">
      <c r="A27">
        <v>2040</v>
      </c>
      <c r="B27" s="41">
        <f t="shared" ref="B27:B28" si="7">$C$7*$B$14*B20</f>
        <v>0</v>
      </c>
      <c r="C27" s="41">
        <f t="shared" ref="C27:C28" si="8">$C$8*$B$14*C20</f>
        <v>0</v>
      </c>
      <c r="D27" s="41"/>
      <c r="E27" s="41"/>
      <c r="F27" s="41"/>
      <c r="G27" s="41"/>
      <c r="H27" s="41"/>
      <c r="I27" s="41"/>
      <c r="J27" s="41">
        <f>$C$9*$C$14*D20</f>
        <v>0</v>
      </c>
      <c r="K27" s="41">
        <f>$C$10*$C$14*E20</f>
        <v>0</v>
      </c>
      <c r="L27" s="41"/>
      <c r="M27" s="41"/>
    </row>
    <row r="28" spans="1:39">
      <c r="A28">
        <v>2050</v>
      </c>
      <c r="B28" s="41">
        <f t="shared" si="7"/>
        <v>0</v>
      </c>
      <c r="C28" s="41">
        <f t="shared" si="8"/>
        <v>0</v>
      </c>
      <c r="D28" s="41"/>
      <c r="E28" s="41"/>
      <c r="F28" s="41"/>
      <c r="G28" s="41"/>
      <c r="H28" s="41"/>
      <c r="I28" s="41"/>
      <c r="J28" s="41">
        <f>$C$9*$C$14*D21</f>
        <v>0</v>
      </c>
      <c r="K28" s="41">
        <f>$C$10*$C$14*E21</f>
        <v>0</v>
      </c>
      <c r="L28" s="41"/>
      <c r="M28" s="41"/>
    </row>
    <row r="29" spans="1:39">
      <c r="A29" t="s">
        <v>1159</v>
      </c>
      <c r="B29" t="s">
        <v>1156</v>
      </c>
      <c r="C29" t="s">
        <v>1157</v>
      </c>
      <c r="J29" t="s">
        <v>1149</v>
      </c>
      <c r="K29" t="s">
        <v>1158</v>
      </c>
    </row>
    <row r="30" spans="1:39">
      <c r="A30">
        <v>2030</v>
      </c>
      <c r="B30" s="41">
        <f>$C$7*$B$15*B19</f>
        <v>0</v>
      </c>
      <c r="C30" s="41">
        <f>$C$8*$B$15*C19</f>
        <v>0</v>
      </c>
      <c r="D30" s="41"/>
      <c r="E30" s="41"/>
      <c r="F30" s="41"/>
      <c r="G30" s="41"/>
      <c r="H30" s="41"/>
      <c r="I30" s="41"/>
      <c r="J30" s="41">
        <f>$C$9*$C$15*D19</f>
        <v>0</v>
      </c>
      <c r="K30" s="41">
        <f>$C$10*$C$15*E19</f>
        <v>0</v>
      </c>
      <c r="L30" s="41"/>
      <c r="M30" s="41"/>
    </row>
    <row r="31" spans="1:39">
      <c r="A31">
        <v>2040</v>
      </c>
      <c r="B31" s="41">
        <f t="shared" ref="B31:B32" si="9">$C$7*$B$15*B20</f>
        <v>0</v>
      </c>
      <c r="C31" s="41">
        <f t="shared" ref="C31:C32" si="10">$C$8*$B$15*C20</f>
        <v>0</v>
      </c>
      <c r="D31" s="41"/>
      <c r="E31" s="41"/>
      <c r="F31" s="41"/>
      <c r="G31" s="41"/>
      <c r="H31" s="41"/>
      <c r="I31" s="41"/>
      <c r="J31" s="41">
        <f>$C$9*$C$15*D20</f>
        <v>0</v>
      </c>
      <c r="K31" s="41">
        <f>$C$10*$C$15*E20</f>
        <v>0</v>
      </c>
      <c r="L31" s="41"/>
      <c r="M31" s="41"/>
    </row>
    <row r="32" spans="1:39">
      <c r="A32">
        <v>2050</v>
      </c>
      <c r="B32" s="41">
        <f t="shared" si="9"/>
        <v>0</v>
      </c>
      <c r="C32" s="41">
        <f t="shared" si="10"/>
        <v>0</v>
      </c>
      <c r="D32" s="41"/>
      <c r="E32" s="41"/>
      <c r="F32" s="41"/>
      <c r="G32" s="41"/>
      <c r="H32" s="41"/>
      <c r="I32" s="41"/>
      <c r="J32" s="41">
        <f>$C$9*$C$15*D21</f>
        <v>0</v>
      </c>
      <c r="K32" s="41">
        <f>$C$10*$C$15*E21</f>
        <v>0</v>
      </c>
      <c r="L32" s="41"/>
      <c r="M32" s="41"/>
    </row>
  </sheetData>
  <mergeCells count="6">
    <mergeCell ref="AJ17:AM17"/>
    <mergeCell ref="B17:J17"/>
    <mergeCell ref="P17:S17"/>
    <mergeCell ref="U17:X17"/>
    <mergeCell ref="Z17:AC17"/>
    <mergeCell ref="AE17:AH17"/>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E47"/>
  <sheetViews>
    <sheetView workbookViewId="0">
      <selection activeCell="C13" sqref="C13"/>
    </sheetView>
  </sheetViews>
  <sheetFormatPr baseColWidth="10" defaultColWidth="8.83203125" defaultRowHeight="15"/>
  <cols>
    <col min="1" max="1" width="30.1640625" customWidth="1"/>
    <col min="2" max="2" width="15.1640625" customWidth="1"/>
    <col min="3" max="3" width="11.83203125" customWidth="1"/>
    <col min="4" max="11" width="16.83203125" customWidth="1"/>
    <col min="12" max="12" width="11.83203125" customWidth="1"/>
    <col min="20" max="20" width="27" bestFit="1" customWidth="1"/>
  </cols>
  <sheetData>
    <row r="1" spans="1:31">
      <c r="A1" s="46" t="s">
        <v>1110</v>
      </c>
      <c r="B1" s="46"/>
      <c r="C1" s="46"/>
      <c r="D1" s="46"/>
      <c r="E1" s="46"/>
      <c r="W1" s="46"/>
      <c r="X1" s="46"/>
      <c r="Y1" s="46"/>
      <c r="Z1" s="46"/>
      <c r="AA1" s="46"/>
    </row>
    <row r="2" spans="1:31" ht="16" thickBot="1">
      <c r="A2" s="45"/>
      <c r="B2" s="45" t="s">
        <v>1204</v>
      </c>
      <c r="C2" s="45" t="s">
        <v>5</v>
      </c>
      <c r="D2" s="45" t="s">
        <v>4</v>
      </c>
      <c r="E2" s="45" t="s">
        <v>1205</v>
      </c>
      <c r="F2" s="45" t="s">
        <v>1206</v>
      </c>
      <c r="G2" s="45" t="s">
        <v>7</v>
      </c>
      <c r="H2" s="45" t="s">
        <v>8</v>
      </c>
      <c r="I2" s="45" t="s">
        <v>166</v>
      </c>
      <c r="J2" s="45" t="s">
        <v>766</v>
      </c>
      <c r="K2" s="45" t="s">
        <v>1207</v>
      </c>
      <c r="L2" s="174" t="s">
        <v>96</v>
      </c>
      <c r="W2" s="45"/>
      <c r="X2" s="45" t="s">
        <v>1204</v>
      </c>
      <c r="Y2" s="45" t="s">
        <v>6</v>
      </c>
      <c r="Z2" s="45"/>
      <c r="AA2" s="45"/>
      <c r="AB2" s="174" t="s">
        <v>96</v>
      </c>
      <c r="AD2" t="s">
        <v>1208</v>
      </c>
      <c r="AE2" s="23">
        <f>(97/66)^(1/35)-1</f>
        <v>1.1062346974396675E-2</v>
      </c>
    </row>
    <row r="3" spans="1:31">
      <c r="B3" t="s">
        <v>462</v>
      </c>
      <c r="C3" t="s">
        <v>704</v>
      </c>
      <c r="D3" t="s">
        <v>704</v>
      </c>
      <c r="E3" t="s">
        <v>704</v>
      </c>
      <c r="X3" t="s">
        <v>462</v>
      </c>
      <c r="Y3" t="s">
        <v>704</v>
      </c>
    </row>
    <row r="4" spans="1:31">
      <c r="A4" t="s">
        <v>1</v>
      </c>
      <c r="C4" s="44">
        <f>'Demand Breakdown - Propylene'!K52</f>
        <v>17.63451512942034</v>
      </c>
      <c r="D4" s="44">
        <f>'Demand Breakdown - Ethylene'!K65</f>
        <v>8.4778361655826675</v>
      </c>
      <c r="E4" s="44">
        <f>'Demand - Industry shares'!L84</f>
        <v>7.4818743268684171</v>
      </c>
      <c r="F4" s="49">
        <f>'Demand Breakdown - Methanol'!M44</f>
        <v>28.065001267929215</v>
      </c>
      <c r="G4" s="49">
        <f>'Demand - Industry shares'!L99</f>
        <v>2.5999466924200116</v>
      </c>
      <c r="H4" s="49">
        <f>'Demand - Industry shares'!L113</f>
        <v>1.1465929107008392</v>
      </c>
      <c r="I4" s="49">
        <f>'Demand - Industry shares'!L127</f>
        <v>0.74407612749267826</v>
      </c>
      <c r="J4" s="49">
        <f>'Demand Breakdown - C4'!I28-'Demand Breakdown - C4'!C21</f>
        <v>11.873691372592639</v>
      </c>
      <c r="K4" s="49">
        <f>'Demand Breakdown - C4'!C21</f>
        <v>28.876933910377581</v>
      </c>
      <c r="L4" s="7"/>
      <c r="M4" s="7"/>
      <c r="W4" t="s">
        <v>1</v>
      </c>
      <c r="Y4" s="44">
        <v>0</v>
      </c>
      <c r="Z4" s="44"/>
      <c r="AB4" s="7"/>
      <c r="AC4" s="7"/>
    </row>
    <row r="5" spans="1:31">
      <c r="A5" t="s">
        <v>1123</v>
      </c>
      <c r="B5" s="47">
        <v>1.7000000000000001E-2</v>
      </c>
      <c r="C5" s="44">
        <f>C4*(1+B5)^30-C4</f>
        <v>11.606477457750522</v>
      </c>
      <c r="D5" s="44">
        <f>D4*(1+B5)^30-D4</f>
        <v>5.5798423503108676</v>
      </c>
      <c r="E5" s="44">
        <f>E4*(1+B5)^30-E4</f>
        <v>4.9243319183551089</v>
      </c>
      <c r="G5" s="44">
        <f>G4*(1+'Demand Breakdown - BTX'!L72)^30-G4</f>
        <v>1.0052066062411695</v>
      </c>
      <c r="H5" s="44">
        <f>H4*(1+'Demand Breakdown - BTX'!L72)^30-H4</f>
        <v>0.44330246149507713</v>
      </c>
      <c r="I5" s="44">
        <f>I4*(1+'Demand Breakdown - BTX'!L72)^30-I4</f>
        <v>0.28767906706802526</v>
      </c>
      <c r="J5" s="44">
        <f>J4*(1+'Demand Breakdown - C4'!K28)^30-J4</f>
        <v>6.3004660112698936</v>
      </c>
      <c r="K5" s="44"/>
      <c r="L5" s="5" t="s">
        <v>1209</v>
      </c>
      <c r="W5" t="s">
        <v>1123</v>
      </c>
      <c r="X5" s="439">
        <v>0</v>
      </c>
      <c r="Y5" s="44">
        <f>Y4*(1+X5)^30-Y4</f>
        <v>0</v>
      </c>
      <c r="Z5" s="44"/>
      <c r="AB5" s="5" t="s">
        <v>1209</v>
      </c>
    </row>
    <row r="6" spans="1:31">
      <c r="A6" t="s">
        <v>1210</v>
      </c>
      <c r="B6" s="47">
        <f>'Demand Breakdown - Methanol'!N44</f>
        <v>2.3E-2</v>
      </c>
      <c r="C6" s="44"/>
      <c r="D6" s="44"/>
      <c r="F6" s="44">
        <f>F4*(1+B6)^30-F4</f>
        <v>27.453032607066223</v>
      </c>
      <c r="G6" s="44"/>
      <c r="H6" s="44"/>
      <c r="I6" s="44"/>
      <c r="J6" s="44"/>
      <c r="K6" s="44">
        <f>K4*(1+'Demand Breakdown - C4'!K28)^30</f>
        <v>44.199729063364153</v>
      </c>
      <c r="L6" s="5"/>
      <c r="X6" s="439"/>
      <c r="Y6" s="44"/>
      <c r="Z6" s="44"/>
      <c r="AB6" s="5"/>
    </row>
    <row r="7" spans="1:31">
      <c r="A7" t="s">
        <v>1125</v>
      </c>
      <c r="C7" s="44">
        <f>SUM(C4:C5)</f>
        <v>29.240992587170862</v>
      </c>
      <c r="D7" s="44">
        <f>SUM(D4:D5)</f>
        <v>14.057678515893535</v>
      </c>
      <c r="E7" s="44">
        <f>SUM(E4:E5)</f>
        <v>12.406206245223526</v>
      </c>
      <c r="F7" s="44">
        <f>SUM(F4:F6)</f>
        <v>55.518033874995439</v>
      </c>
      <c r="G7" s="44">
        <f t="shared" ref="G7:I7" si="0">SUM(G4:G6)</f>
        <v>3.6051532986611812</v>
      </c>
      <c r="H7" s="44">
        <f t="shared" si="0"/>
        <v>1.5898953721959164</v>
      </c>
      <c r="I7" s="44">
        <f t="shared" si="0"/>
        <v>1.0317551945607035</v>
      </c>
      <c r="J7" s="44">
        <f>SUM(J4:J5)</f>
        <v>18.174157383862532</v>
      </c>
      <c r="K7" s="44">
        <f>SUM(K4:K6)</f>
        <v>73.076662973741733</v>
      </c>
      <c r="W7" t="s">
        <v>1125</v>
      </c>
      <c r="Y7" s="44">
        <f>SUM(Y4:Y5)</f>
        <v>0</v>
      </c>
      <c r="Z7" s="44"/>
    </row>
    <row r="8" spans="1:31">
      <c r="A8" t="s">
        <v>1211</v>
      </c>
      <c r="B8" s="48">
        <v>0.1</v>
      </c>
      <c r="C8" s="49">
        <f>C7*B8</f>
        <v>2.9240992587170864</v>
      </c>
      <c r="D8" s="49">
        <f>D7*B8</f>
        <v>1.4057678515893537</v>
      </c>
      <c r="E8" s="49">
        <f>E7*B8</f>
        <v>1.2406206245223528</v>
      </c>
      <c r="G8" s="49">
        <f>G$7*$B8</f>
        <v>0.36051532986611812</v>
      </c>
      <c r="H8" s="49">
        <f t="shared" ref="H8:I8" si="1">H$7*$B8</f>
        <v>0.15898953721959164</v>
      </c>
      <c r="I8" s="49">
        <f t="shared" si="1"/>
        <v>0.10317551945607036</v>
      </c>
      <c r="J8" s="49">
        <v>0</v>
      </c>
      <c r="K8" s="49">
        <v>0</v>
      </c>
      <c r="L8" s="7" t="s">
        <v>1212</v>
      </c>
      <c r="W8" t="s">
        <v>1129</v>
      </c>
      <c r="X8" s="48"/>
      <c r="Y8" s="44">
        <f>Y7-Y24*Y7</f>
        <v>0</v>
      </c>
      <c r="Z8" s="44"/>
      <c r="AB8" s="7"/>
    </row>
    <row r="9" spans="1:31">
      <c r="A9" t="s">
        <v>1213</v>
      </c>
      <c r="B9" s="48">
        <v>1</v>
      </c>
      <c r="C9" s="49"/>
      <c r="D9" s="49"/>
      <c r="F9" s="44">
        <f>F7*B9</f>
        <v>55.518033874995439</v>
      </c>
      <c r="G9" s="49"/>
      <c r="H9" s="49"/>
      <c r="I9" s="49"/>
      <c r="J9" s="49"/>
      <c r="K9" s="49">
        <f>B9*K7</f>
        <v>73.076662973741733</v>
      </c>
      <c r="L9" s="7" t="s">
        <v>1214</v>
      </c>
      <c r="X9" s="48"/>
      <c r="Y9" s="44"/>
      <c r="Z9" s="44"/>
      <c r="AB9" s="7"/>
    </row>
    <row r="10" spans="1:31" ht="16">
      <c r="A10" t="s">
        <v>77</v>
      </c>
      <c r="B10" s="679">
        <v>0</v>
      </c>
      <c r="C10" s="44">
        <f>(C7+C8)*B10</f>
        <v>0</v>
      </c>
      <c r="D10" s="44">
        <f>(D7+D8)*B10</f>
        <v>0</v>
      </c>
      <c r="E10" s="44">
        <f>(E7+E8)*B10</f>
        <v>0</v>
      </c>
      <c r="G10" s="49">
        <f>(G$7+G$8)*$B10</f>
        <v>0</v>
      </c>
      <c r="H10" s="49">
        <f t="shared" ref="H10:I12" si="2">(H$7+H$8)*$B10</f>
        <v>0</v>
      </c>
      <c r="I10" s="49">
        <f t="shared" si="2"/>
        <v>0</v>
      </c>
      <c r="J10" s="49">
        <f>B10*$J$7</f>
        <v>0</v>
      </c>
      <c r="K10" s="49"/>
      <c r="L10" s="7" t="s">
        <v>1215</v>
      </c>
      <c r="W10" t="s">
        <v>1216</v>
      </c>
      <c r="Y10" s="6">
        <v>0.9</v>
      </c>
      <c r="Z10" s="280" t="s">
        <v>1217</v>
      </c>
    </row>
    <row r="11" spans="1:31" ht="16">
      <c r="A11" t="s">
        <v>1218</v>
      </c>
      <c r="B11" s="679">
        <v>0</v>
      </c>
      <c r="C11" s="44">
        <f>(C7+C8-C10)*B11</f>
        <v>0</v>
      </c>
      <c r="D11" s="44">
        <f>(D7+D8-D10)*B11</f>
        <v>0</v>
      </c>
      <c r="E11" s="44">
        <f>(E7+E8-E10)*B11</f>
        <v>0</v>
      </c>
      <c r="G11" s="49">
        <f t="shared" ref="G11:G12" si="3">(G$7+G$8)*$B11</f>
        <v>0</v>
      </c>
      <c r="H11" s="49">
        <f t="shared" si="2"/>
        <v>0</v>
      </c>
      <c r="I11" s="49">
        <f t="shared" si="2"/>
        <v>0</v>
      </c>
      <c r="J11" s="49">
        <f t="shared" ref="J11:J12" si="4">B11*$J$7</f>
        <v>0</v>
      </c>
      <c r="K11" s="49"/>
      <c r="L11" s="7" t="s">
        <v>1215</v>
      </c>
      <c r="W11" t="s">
        <v>1219</v>
      </c>
      <c r="Y11" s="6">
        <v>0.1</v>
      </c>
      <c r="Z11" s="280" t="s">
        <v>1217</v>
      </c>
    </row>
    <row r="12" spans="1:31" ht="16">
      <c r="A12" t="s">
        <v>1220</v>
      </c>
      <c r="B12" s="679">
        <v>0</v>
      </c>
      <c r="C12" s="50">
        <v>0</v>
      </c>
      <c r="D12" s="50">
        <v>0</v>
      </c>
      <c r="E12" s="50">
        <v>1</v>
      </c>
      <c r="F12" s="7"/>
      <c r="G12" s="49">
        <f t="shared" si="3"/>
        <v>0</v>
      </c>
      <c r="H12" s="49">
        <f t="shared" si="2"/>
        <v>0</v>
      </c>
      <c r="I12" s="49">
        <f t="shared" si="2"/>
        <v>0</v>
      </c>
      <c r="J12" s="49">
        <f t="shared" si="4"/>
        <v>0</v>
      </c>
      <c r="K12" s="49"/>
      <c r="L12" s="5" t="s">
        <v>1209</v>
      </c>
      <c r="W12" t="s">
        <v>1221</v>
      </c>
      <c r="X12" s="55"/>
      <c r="Y12" s="50">
        <f>Y10*Y24*Y7</f>
        <v>0</v>
      </c>
      <c r="Z12" s="44"/>
      <c r="AB12" s="7"/>
    </row>
    <row r="13" spans="1:31">
      <c r="A13" t="s">
        <v>1129</v>
      </c>
      <c r="C13" s="44">
        <f>C7+C8-C10-C11-C12</f>
        <v>32.16509184588795</v>
      </c>
      <c r="D13" s="44">
        <f>D7+D8-D10-D11-D12</f>
        <v>15.463446367482888</v>
      </c>
      <c r="E13" s="44">
        <f>E7+E8-E10-E11-E12</f>
        <v>12.64682686974588</v>
      </c>
      <c r="F13" s="44">
        <f>F7-F9</f>
        <v>0</v>
      </c>
      <c r="G13" s="44">
        <f>G7+G8-G10-G11-G12</f>
        <v>3.9656686285272995</v>
      </c>
      <c r="H13" s="44">
        <f t="shared" ref="H13:I13" si="5">H7+H8-H10-H11-H12</f>
        <v>1.7488849094155081</v>
      </c>
      <c r="I13" s="44">
        <f t="shared" si="5"/>
        <v>1.1349307140167739</v>
      </c>
      <c r="J13" s="44">
        <f>J7-SUM(J10:J12)</f>
        <v>18.174157383862532</v>
      </c>
      <c r="K13" s="44">
        <f>K7-SUM(K9:K12)</f>
        <v>0</v>
      </c>
      <c r="W13" t="s">
        <v>1222</v>
      </c>
      <c r="X13" s="55"/>
      <c r="Y13" s="50">
        <f>Y11*Y18*Y7</f>
        <v>0</v>
      </c>
      <c r="Z13" s="44"/>
      <c r="AB13" s="7"/>
    </row>
    <row r="14" spans="1:31">
      <c r="N14" t="s">
        <v>1154</v>
      </c>
      <c r="W14" t="s">
        <v>1223</v>
      </c>
      <c r="Y14" s="44">
        <f>Y7-Y12-Y13</f>
        <v>0</v>
      </c>
      <c r="Z14" s="50"/>
      <c r="AA14" s="7"/>
      <c r="AB14" s="5" t="s">
        <v>1209</v>
      </c>
    </row>
    <row r="15" spans="1:31">
      <c r="A15" t="s">
        <v>1143</v>
      </c>
      <c r="B15" s="56">
        <f>100%</f>
        <v>1</v>
      </c>
      <c r="C15" s="56">
        <f>100%</f>
        <v>1</v>
      </c>
      <c r="G15" s="56"/>
      <c r="H15" s="56"/>
      <c r="I15" s="56"/>
      <c r="J15" s="56"/>
      <c r="K15" s="56"/>
      <c r="L15" s="54" t="s">
        <v>1224</v>
      </c>
      <c r="N15" t="s">
        <v>1155</v>
      </c>
      <c r="O15" t="s">
        <v>77</v>
      </c>
      <c r="P15" t="s">
        <v>1225</v>
      </c>
      <c r="W15" t="s">
        <v>1226</v>
      </c>
      <c r="Y15" s="44">
        <f>-(Y7-Y14)</f>
        <v>0</v>
      </c>
      <c r="Z15" s="50"/>
      <c r="AA15" s="7"/>
      <c r="AB15" s="5"/>
    </row>
    <row r="16" spans="1:31">
      <c r="A16" t="s">
        <v>1146</v>
      </c>
      <c r="B16" s="56">
        <v>0.5</v>
      </c>
      <c r="C16" s="56">
        <v>1</v>
      </c>
      <c r="G16" s="56"/>
      <c r="H16" s="56"/>
      <c r="I16" s="56"/>
      <c r="J16" s="56"/>
      <c r="K16" s="56"/>
      <c r="L16" s="54" t="s">
        <v>1224</v>
      </c>
      <c r="N16">
        <v>2030</v>
      </c>
      <c r="O16" s="41">
        <f>$B$10*$B$15*B19</f>
        <v>0</v>
      </c>
      <c r="P16" s="41">
        <f>$B$11*$B$15*B19</f>
        <v>0</v>
      </c>
      <c r="Z16" s="44"/>
      <c r="AA16" s="7"/>
    </row>
    <row r="17" spans="1:31">
      <c r="B17" s="56"/>
      <c r="N17">
        <v>2040</v>
      </c>
      <c r="O17" s="41">
        <f>$B$10*$B$15*B20</f>
        <v>0</v>
      </c>
      <c r="P17" s="41">
        <f>$B$11*$B$15*B20</f>
        <v>0</v>
      </c>
    </row>
    <row r="18" spans="1:31">
      <c r="B18" t="s">
        <v>3</v>
      </c>
      <c r="C18" t="s">
        <v>1227</v>
      </c>
      <c r="D18" t="s">
        <v>1228</v>
      </c>
      <c r="N18">
        <v>2050</v>
      </c>
      <c r="O18" s="41">
        <f>$B$10*$B$15*B21</f>
        <v>0</v>
      </c>
      <c r="P18" s="41">
        <f>$B$11*$B$15*B21</f>
        <v>0</v>
      </c>
      <c r="W18" t="s">
        <v>1229</v>
      </c>
      <c r="X18" s="56"/>
      <c r="Y18" s="55">
        <v>1</v>
      </c>
      <c r="Z18" s="280" t="s">
        <v>1217</v>
      </c>
    </row>
    <row r="19" spans="1:31">
      <c r="A19" t="s">
        <v>1150</v>
      </c>
      <c r="B19" s="55">
        <v>0.1</v>
      </c>
      <c r="C19" s="55">
        <v>0.1</v>
      </c>
      <c r="D19" s="55">
        <v>0.2</v>
      </c>
      <c r="N19" t="s">
        <v>1159</v>
      </c>
      <c r="O19" t="s">
        <v>1164</v>
      </c>
      <c r="P19" t="s">
        <v>1165</v>
      </c>
      <c r="X19" s="56"/>
      <c r="Z19" s="54"/>
      <c r="AE19" s="41"/>
    </row>
    <row r="20" spans="1:31">
      <c r="A20" t="s">
        <v>1151</v>
      </c>
      <c r="B20" s="55">
        <v>0.4</v>
      </c>
      <c r="C20" s="55">
        <v>0.5</v>
      </c>
      <c r="D20" s="55">
        <v>0.7</v>
      </c>
      <c r="N20">
        <v>2030</v>
      </c>
      <c r="O20" s="41">
        <f>$B$10*$B$16*B19</f>
        <v>0</v>
      </c>
      <c r="P20" s="41">
        <f>$B$11*$B$16*B19</f>
        <v>0</v>
      </c>
      <c r="X20" s="56"/>
      <c r="AE20" s="41"/>
    </row>
    <row r="21" spans="1:31">
      <c r="A21" t="s">
        <v>1152</v>
      </c>
      <c r="B21" s="55">
        <v>1</v>
      </c>
      <c r="C21" s="55">
        <v>1</v>
      </c>
      <c r="D21" s="55">
        <v>1</v>
      </c>
      <c r="N21">
        <v>2040</v>
      </c>
      <c r="O21" s="41">
        <f>$B$10*$B$16*B20</f>
        <v>0</v>
      </c>
      <c r="P21" s="41">
        <f>$B$11*$B$16*B20</f>
        <v>0</v>
      </c>
      <c r="AE21" s="41"/>
    </row>
    <row r="22" spans="1:31">
      <c r="A22" s="54" t="s">
        <v>929</v>
      </c>
      <c r="B22" s="175" t="s">
        <v>1230</v>
      </c>
      <c r="C22" s="54" t="s">
        <v>1231</v>
      </c>
      <c r="D22" s="54" t="s">
        <v>1231</v>
      </c>
      <c r="N22">
        <v>2050</v>
      </c>
      <c r="O22" s="41">
        <f>$B$10*$B$16*B21</f>
        <v>0</v>
      </c>
      <c r="P22" s="41">
        <f>$B$11*$B$16*B21</f>
        <v>0</v>
      </c>
      <c r="X22" s="55"/>
      <c r="Y22" s="55"/>
      <c r="Z22" s="55"/>
    </row>
    <row r="23" spans="1:31" ht="16" thickBot="1"/>
    <row r="24" spans="1:31" s="173" customFormat="1" ht="16" thickBot="1">
      <c r="A24" s="171" t="s">
        <v>1183</v>
      </c>
      <c r="B24" s="172"/>
      <c r="C24" s="172"/>
    </row>
    <row r="25" spans="1:31">
      <c r="C25" t="s">
        <v>1232</v>
      </c>
      <c r="D25" t="s">
        <v>1233</v>
      </c>
      <c r="E25" t="s">
        <v>715</v>
      </c>
    </row>
    <row r="26" spans="1:31">
      <c r="C26" s="44">
        <f>27*(1+3.3%)^5</f>
        <v>31.758894145990595</v>
      </c>
      <c r="D26" s="43">
        <f>SUM(D27:D31)</f>
        <v>6.6153776506098412</v>
      </c>
      <c r="E26" s="43">
        <f>SUM(E27:E31)</f>
        <v>13.656324482775956</v>
      </c>
      <c r="L26" t="s">
        <v>1234</v>
      </c>
    </row>
    <row r="27" spans="1:31">
      <c r="A27" t="s">
        <v>477</v>
      </c>
      <c r="B27" s="6">
        <v>0.25</v>
      </c>
      <c r="C27" s="44">
        <f>B27*$C$26</f>
        <v>7.9397235364976488</v>
      </c>
      <c r="D27" s="43">
        <f>0</f>
        <v>0</v>
      </c>
      <c r="E27" s="43">
        <f>C27*1</f>
        <v>7.9397235364976488</v>
      </c>
    </row>
    <row r="28" spans="1:31">
      <c r="A28" t="s">
        <v>258</v>
      </c>
      <c r="B28" s="6">
        <v>0.1</v>
      </c>
      <c r="C28" s="44">
        <f t="shared" ref="C28:C31" si="6">B28*$C$26</f>
        <v>3.1758894145990597</v>
      </c>
      <c r="D28" s="43">
        <f>C28*1</f>
        <v>3.1758894145990597</v>
      </c>
      <c r="E28" s="43">
        <f>0</f>
        <v>0</v>
      </c>
      <c r="V28" t="s">
        <v>1235</v>
      </c>
      <c r="W28" t="s">
        <v>1236</v>
      </c>
    </row>
    <row r="29" spans="1:31">
      <c r="A29" t="s">
        <v>478</v>
      </c>
      <c r="B29" s="6">
        <v>0.02</v>
      </c>
      <c r="C29" s="44">
        <f t="shared" si="6"/>
        <v>0.63517788291981192</v>
      </c>
      <c r="D29" s="43">
        <f>C29*0.27</f>
        <v>0.17149802838834924</v>
      </c>
      <c r="E29" s="43">
        <f>0</f>
        <v>0</v>
      </c>
      <c r="W29">
        <v>100</v>
      </c>
    </row>
    <row r="30" spans="1:31">
      <c r="A30" t="s">
        <v>480</v>
      </c>
      <c r="B30" s="6">
        <v>0.03</v>
      </c>
      <c r="C30" s="44">
        <f t="shared" si="6"/>
        <v>0.95276682437971782</v>
      </c>
      <c r="D30" s="43">
        <f>C30*0.43</f>
        <v>0.40968973448327867</v>
      </c>
      <c r="E30" s="43">
        <f>0</f>
        <v>0</v>
      </c>
      <c r="V30">
        <f>W29</f>
        <v>100</v>
      </c>
      <c r="W30">
        <v>100</v>
      </c>
    </row>
    <row r="31" spans="1:31">
      <c r="A31" t="s">
        <v>248</v>
      </c>
      <c r="B31" s="6">
        <v>0.6</v>
      </c>
      <c r="C31" s="44">
        <f t="shared" si="6"/>
        <v>19.055336487594356</v>
      </c>
      <c r="D31" s="43">
        <f>C31*0.15</f>
        <v>2.8583004731391535</v>
      </c>
      <c r="E31" s="43">
        <f>C31*0.3</f>
        <v>5.7166009462783069</v>
      </c>
      <c r="W31">
        <v>200</v>
      </c>
    </row>
    <row r="32" spans="1:31">
      <c r="V32">
        <f>W31</f>
        <v>200</v>
      </c>
      <c r="W32">
        <f>W31*0.1</f>
        <v>20</v>
      </c>
    </row>
    <row r="33" spans="1:23">
      <c r="A33" t="s">
        <v>1237</v>
      </c>
      <c r="V33">
        <f>SUM(V32:W32)-W33</f>
        <v>147.39999999999998</v>
      </c>
      <c r="W33">
        <f>(0.33*SUM(V32:W32))</f>
        <v>72.600000000000009</v>
      </c>
    </row>
    <row r="34" spans="1:23">
      <c r="A34" s="5" t="s">
        <v>1209</v>
      </c>
      <c r="V34">
        <f>V33-W34</f>
        <v>101.19999999999999</v>
      </c>
      <c r="W34">
        <f>(0.21*SUM(V32:W32))</f>
        <v>46.199999999999996</v>
      </c>
    </row>
    <row r="35" spans="1:23">
      <c r="V35">
        <v>0</v>
      </c>
      <c r="W35">
        <v>0</v>
      </c>
    </row>
    <row r="36" spans="1:23">
      <c r="C36" t="s">
        <v>1238</v>
      </c>
      <c r="F36" t="s">
        <v>265</v>
      </c>
      <c r="L36" t="s">
        <v>1057</v>
      </c>
      <c r="M36" t="s">
        <v>480</v>
      </c>
      <c r="N36" t="s">
        <v>192</v>
      </c>
      <c r="W36">
        <f>V34</f>
        <v>101.19999999999999</v>
      </c>
    </row>
    <row r="37" spans="1:23">
      <c r="A37" t="s">
        <v>5</v>
      </c>
      <c r="B37" t="s">
        <v>265</v>
      </c>
      <c r="C37" s="6">
        <v>0.32</v>
      </c>
      <c r="F37" s="6">
        <v>0.32</v>
      </c>
      <c r="G37" s="6"/>
      <c r="H37" s="6"/>
      <c r="I37" s="6"/>
      <c r="J37" s="6"/>
      <c r="K37" s="6"/>
      <c r="L37" s="6">
        <v>0.17</v>
      </c>
      <c r="M37" s="6">
        <v>0.16</v>
      </c>
      <c r="N37" s="6">
        <v>0.35</v>
      </c>
    </row>
    <row r="38" spans="1:23">
      <c r="A38" t="s">
        <v>5</v>
      </c>
      <c r="B38" t="s">
        <v>1057</v>
      </c>
      <c r="C38" s="6">
        <v>0.17</v>
      </c>
    </row>
    <row r="39" spans="1:23">
      <c r="A39" t="s">
        <v>4</v>
      </c>
      <c r="B39" t="s">
        <v>480</v>
      </c>
      <c r="C39" s="6">
        <v>0.16</v>
      </c>
    </row>
    <row r="40" spans="1:23">
      <c r="B40" t="s">
        <v>192</v>
      </c>
      <c r="C40" s="6">
        <v>0.35</v>
      </c>
    </row>
    <row r="41" spans="1:23">
      <c r="C41" s="6">
        <f>SUM(C2:C11)</f>
        <v>61.406084433058808</v>
      </c>
    </row>
    <row r="42" spans="1:23">
      <c r="B42" s="22" t="s">
        <v>1239</v>
      </c>
    </row>
    <row r="45" spans="1:23">
      <c r="C45" t="s">
        <v>1240</v>
      </c>
    </row>
    <row r="46" spans="1:23">
      <c r="A46" t="s">
        <v>1241</v>
      </c>
      <c r="B46" s="6">
        <f>Propylene!B46</f>
        <v>0.11399256254225829</v>
      </c>
      <c r="C46" s="24">
        <f>(($W$36-$W$29)/$W$29)*B46</f>
        <v>1.3679107505070863E-3</v>
      </c>
    </row>
    <row r="47" spans="1:23">
      <c r="A47" t="s">
        <v>1242</v>
      </c>
      <c r="B47" s="6">
        <f>Ethylene!B47</f>
        <v>4.3809889202168155E-2</v>
      </c>
      <c r="C47" s="24">
        <f>(($W$36-$W$29)/$W$29)*B47</f>
        <v>5.2571867042601288E-4</v>
      </c>
    </row>
  </sheetData>
  <phoneticPr fontId="21" type="noConversion"/>
  <hyperlinks>
    <hyperlink ref="A34" r:id="rId1" xr:uid="{1218B9AA-0E85-44B6-BE73-B45DDCF9EA8D}"/>
    <hyperlink ref="L5" r:id="rId2" xr:uid="{1DAB214B-1E6F-4E68-9A32-7D44F207471D}"/>
    <hyperlink ref="L12" r:id="rId3" xr:uid="{A8F2143D-1F21-4463-8865-588736ADDA79}"/>
    <hyperlink ref="AB5" r:id="rId4" xr:uid="{235B00F2-9E61-4A6E-9D54-D409E42F4CE3}"/>
    <hyperlink ref="AB14" r:id="rId5" xr:uid="{D7A93D59-9E2E-4006-B1B2-5470A8697C00}"/>
  </hyperlinks>
  <pageMargins left="0.7" right="0.7" top="0.75" bottom="0.75" header="0.3" footer="0.3"/>
  <drawing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C110"/>
  <sheetViews>
    <sheetView topLeftCell="A2" workbookViewId="0">
      <selection activeCell="M23" sqref="M23"/>
    </sheetView>
  </sheetViews>
  <sheetFormatPr baseColWidth="10" defaultColWidth="8.83203125" defaultRowHeight="15"/>
  <cols>
    <col min="1" max="1" width="29.83203125" customWidth="1"/>
    <col min="2" max="2" width="16.1640625" customWidth="1"/>
    <col min="3" max="8" width="14.83203125" customWidth="1"/>
    <col min="9" max="18" width="22.83203125" customWidth="1"/>
  </cols>
  <sheetData>
    <row r="1" spans="1:18">
      <c r="A1" s="46" t="s">
        <v>1110</v>
      </c>
      <c r="B1" s="46"/>
      <c r="C1" s="46"/>
      <c r="D1" s="46"/>
      <c r="E1" s="46"/>
      <c r="F1" s="46"/>
      <c r="G1" s="46"/>
      <c r="H1" s="46"/>
      <c r="I1" s="46"/>
      <c r="J1" s="46"/>
      <c r="K1" s="46"/>
      <c r="L1" s="1"/>
      <c r="M1" s="1"/>
      <c r="N1" s="1"/>
      <c r="O1" s="1"/>
    </row>
    <row r="2" spans="1:18" ht="16" thickBot="1">
      <c r="A2" s="45"/>
      <c r="B2" s="45" t="s">
        <v>1111</v>
      </c>
      <c r="C2" s="45" t="s">
        <v>1112</v>
      </c>
      <c r="D2" s="45" t="s">
        <v>6</v>
      </c>
      <c r="E2" s="45" t="s">
        <v>7</v>
      </c>
      <c r="F2" s="45" t="s">
        <v>8</v>
      </c>
      <c r="G2" s="45" t="s">
        <v>166</v>
      </c>
      <c r="H2" s="45" t="s">
        <v>766</v>
      </c>
      <c r="I2" s="45" t="s">
        <v>5</v>
      </c>
      <c r="J2" s="45" t="s">
        <v>4</v>
      </c>
      <c r="K2" s="45" t="s">
        <v>6</v>
      </c>
      <c r="L2" s="45" t="s">
        <v>7</v>
      </c>
      <c r="M2" s="45" t="s">
        <v>8</v>
      </c>
      <c r="N2" s="45" t="s">
        <v>166</v>
      </c>
      <c r="O2" s="45" t="s">
        <v>766</v>
      </c>
      <c r="P2" t="s">
        <v>96</v>
      </c>
    </row>
    <row r="3" spans="1:18">
      <c r="B3" t="s">
        <v>462</v>
      </c>
      <c r="C3" t="s">
        <v>462</v>
      </c>
      <c r="D3" t="s">
        <v>462</v>
      </c>
      <c r="I3" t="s">
        <v>704</v>
      </c>
      <c r="J3" t="s">
        <v>704</v>
      </c>
      <c r="K3" t="s">
        <v>704</v>
      </c>
      <c r="L3" t="s">
        <v>704</v>
      </c>
      <c r="M3" t="s">
        <v>704</v>
      </c>
      <c r="N3" t="s">
        <v>704</v>
      </c>
      <c r="O3" t="s">
        <v>704</v>
      </c>
    </row>
    <row r="4" spans="1:18">
      <c r="A4" t="s">
        <v>1</v>
      </c>
      <c r="I4" s="44">
        <f>'Demand Breakdown - Propylene'!K51</f>
        <v>12.379169704702877</v>
      </c>
      <c r="J4" s="44">
        <f>'Demand Breakdown - Ethylene'!K64</f>
        <v>34.871127768537121</v>
      </c>
      <c r="K4" s="43">
        <f>'Demand - Industry shares'!L83</f>
        <v>3.219812080101577</v>
      </c>
      <c r="L4" s="43">
        <f>'Demand - Industry shares'!L98</f>
        <v>12.002819069097551</v>
      </c>
      <c r="M4" s="43">
        <f>'Demand - Industry shares'!L112</f>
        <v>2.5611801774531888</v>
      </c>
      <c r="N4" s="43">
        <f>'Demand - Industry shares'!L126</f>
        <v>0.16910821079379051</v>
      </c>
      <c r="O4" s="43">
        <f>'Demand Breakdown - C4'!I27</f>
        <v>3.2944819611007432</v>
      </c>
      <c r="P4" s="7"/>
    </row>
    <row r="5" spans="1:18">
      <c r="A5" t="s">
        <v>1123</v>
      </c>
      <c r="B5" s="514">
        <f>'Demand Breakdown - Propylene'!L51</f>
        <v>1.7000000000000001E-2</v>
      </c>
      <c r="C5" s="514">
        <f>'Demand Breakdown - Ethylene'!L64</f>
        <v>1.7000000000000001E-2</v>
      </c>
      <c r="D5" s="514">
        <f>'Demand Breakdown - Methanol'!N38</f>
        <v>1.7000000000000001E-2</v>
      </c>
      <c r="E5" s="514">
        <f>'Demand Breakdown - BTX'!L71</f>
        <v>1.0955353563799175E-2</v>
      </c>
      <c r="F5" s="514">
        <f>'Demand Breakdown - BTX'!L81</f>
        <v>1.0955353563799175E-2</v>
      </c>
      <c r="G5" s="514">
        <f>'Demand Breakdown - BTX'!L91</f>
        <v>1.0955353563799175E-2</v>
      </c>
      <c r="H5" s="514">
        <f>'Demand Breakdown - C4'!K27</f>
        <v>1.429032820306686E-2</v>
      </c>
      <c r="I5" s="44">
        <f>I4*(1+C5)^30-I4</f>
        <v>8.147576106790579</v>
      </c>
      <c r="J5" s="44">
        <f>J4*(1+C5)^30-J4</f>
        <v>22.951068141172541</v>
      </c>
      <c r="K5" s="44">
        <f>K4*(1+D5)^30-K4</f>
        <v>2.1191779899604288</v>
      </c>
      <c r="L5" s="43">
        <f>L4*(1+E5)^30-L4</f>
        <v>4.6406001542070214</v>
      </c>
      <c r="M5" s="43">
        <f>M4*(1+F5)^30-M4</f>
        <v>0.99021846934620683</v>
      </c>
      <c r="N5" s="43">
        <f>N4*(1+G5)^30-N4</f>
        <v>6.5381606151823923E-2</v>
      </c>
      <c r="O5" s="43">
        <f>'Demand Breakdown - C4'!L27-'Demand Breakdown - C4'!I27</f>
        <v>1.7481313072166156</v>
      </c>
      <c r="P5" s="5" t="s">
        <v>1160</v>
      </c>
    </row>
    <row r="6" spans="1:18">
      <c r="A6" t="s">
        <v>1125</v>
      </c>
      <c r="I6" s="44">
        <f>SUM(I4:I5)</f>
        <v>20.526745811493456</v>
      </c>
      <c r="J6" s="44">
        <f>SUM(J4:J5)</f>
        <v>57.822195909709663</v>
      </c>
      <c r="K6" s="44">
        <f>SUM(K4:K5)</f>
        <v>5.3389900700620059</v>
      </c>
      <c r="L6" s="43">
        <f t="shared" ref="L6:N6" si="0">SUM(L4:L5)</f>
        <v>16.643419223304573</v>
      </c>
      <c r="M6" s="43">
        <f t="shared" si="0"/>
        <v>3.5513986467993957</v>
      </c>
      <c r="N6" s="43">
        <f t="shared" si="0"/>
        <v>0.23448981694561444</v>
      </c>
      <c r="O6" s="43">
        <f>'Demand Breakdown - C4'!L27</f>
        <v>5.0426132683173588</v>
      </c>
    </row>
    <row r="7" spans="1:18" ht="16">
      <c r="A7" t="s">
        <v>183</v>
      </c>
      <c r="B7" s="679">
        <v>0</v>
      </c>
      <c r="C7" s="679">
        <v>0</v>
      </c>
      <c r="D7" s="679">
        <v>0</v>
      </c>
      <c r="E7" s="679">
        <v>0</v>
      </c>
      <c r="F7" s="679">
        <v>0</v>
      </c>
      <c r="G7" s="679">
        <v>0</v>
      </c>
      <c r="H7" s="679">
        <v>0</v>
      </c>
      <c r="I7" s="49">
        <f>$I$6*B7</f>
        <v>0</v>
      </c>
      <c r="J7" s="49">
        <f>$J$6*C7</f>
        <v>0</v>
      </c>
      <c r="K7" s="440">
        <f>$K$6*D7</f>
        <v>0</v>
      </c>
      <c r="L7" s="49">
        <f>$L$6*E7</f>
        <v>0</v>
      </c>
      <c r="M7" s="49">
        <f>$M$6*F7</f>
        <v>0</v>
      </c>
      <c r="N7" s="49">
        <f>$N$6*G7</f>
        <v>0</v>
      </c>
      <c r="O7" s="49">
        <f>O6*H7</f>
        <v>0</v>
      </c>
      <c r="P7" s="5" t="s">
        <v>1160</v>
      </c>
    </row>
    <row r="8" spans="1:18">
      <c r="A8" t="s">
        <v>28</v>
      </c>
      <c r="B8" s="2">
        <f>Q36</f>
        <v>0</v>
      </c>
      <c r="C8" s="2">
        <f>Q27</f>
        <v>0</v>
      </c>
      <c r="D8" s="2">
        <f>$Q$46</f>
        <v>0</v>
      </c>
      <c r="E8" s="2">
        <f>$Q$46</f>
        <v>0</v>
      </c>
      <c r="F8" s="2">
        <f>$Q$46</f>
        <v>0</v>
      </c>
      <c r="G8" s="2">
        <f>$Q$46</f>
        <v>0</v>
      </c>
      <c r="H8" s="2">
        <v>0</v>
      </c>
      <c r="I8" s="49">
        <f>$I$6*B8</f>
        <v>0</v>
      </c>
      <c r="J8" s="49">
        <f>$J$6*C8</f>
        <v>0</v>
      </c>
      <c r="K8" s="440">
        <f>$K$6*D8</f>
        <v>0</v>
      </c>
      <c r="L8" s="49">
        <f>$L$6*E8</f>
        <v>0</v>
      </c>
      <c r="M8" s="49">
        <f>$M$6*F8</f>
        <v>0</v>
      </c>
      <c r="N8" s="49">
        <f>$N$6*G8</f>
        <v>0</v>
      </c>
      <c r="O8" s="49">
        <f>O6*H8</f>
        <v>0</v>
      </c>
      <c r="P8" s="5" t="s">
        <v>1161</v>
      </c>
    </row>
    <row r="9" spans="1:18">
      <c r="A9" t="s">
        <v>1129</v>
      </c>
      <c r="B9" s="48"/>
      <c r="I9" s="44">
        <f>I6-I7-I8</f>
        <v>20.526745811493456</v>
      </c>
      <c r="J9" s="44">
        <f>J6-J7-J8</f>
        <v>57.822195909709663</v>
      </c>
      <c r="K9" s="44">
        <f>K6-K7-K8</f>
        <v>5.3389900700620059</v>
      </c>
      <c r="L9" s="44">
        <f>L6-L7-L8</f>
        <v>16.643419223304573</v>
      </c>
      <c r="M9" s="44">
        <f t="shared" ref="M9:N9" si="1">M6-M7-M8</f>
        <v>3.5513986467993957</v>
      </c>
      <c r="N9" s="44">
        <f t="shared" si="1"/>
        <v>0.23448981694561444</v>
      </c>
      <c r="O9" s="44">
        <f>O6-O7-O8</f>
        <v>5.0426132683173588</v>
      </c>
    </row>
    <row r="10" spans="1:18">
      <c r="B10" t="s">
        <v>1162</v>
      </c>
      <c r="C10" t="s">
        <v>1163</v>
      </c>
      <c r="P10" t="s">
        <v>1154</v>
      </c>
    </row>
    <row r="11" spans="1:18">
      <c r="A11" t="s">
        <v>1143</v>
      </c>
      <c r="B11" s="56">
        <f>100%</f>
        <v>1</v>
      </c>
      <c r="C11" s="55">
        <v>1</v>
      </c>
      <c r="D11" s="55"/>
      <c r="E11" s="55"/>
      <c r="F11" s="55"/>
      <c r="G11" s="55"/>
      <c r="H11" s="55"/>
      <c r="I11" s="44"/>
      <c r="J11" s="44"/>
      <c r="P11" t="s">
        <v>1155</v>
      </c>
      <c r="Q11" t="s">
        <v>1164</v>
      </c>
      <c r="R11" t="s">
        <v>1165</v>
      </c>
    </row>
    <row r="12" spans="1:18">
      <c r="A12" t="s">
        <v>1146</v>
      </c>
      <c r="B12" s="56">
        <v>0.4</v>
      </c>
      <c r="C12" s="55">
        <v>0.5</v>
      </c>
      <c r="D12" s="55"/>
      <c r="E12" s="55"/>
      <c r="F12" s="55"/>
      <c r="G12" s="55"/>
      <c r="H12" s="55"/>
      <c r="I12" s="44"/>
      <c r="J12" s="272" t="s">
        <v>1166</v>
      </c>
      <c r="P12">
        <v>2030</v>
      </c>
      <c r="Q12" s="41">
        <f>$C$7*$B$11*B15</f>
        <v>0</v>
      </c>
      <c r="R12" s="41">
        <f>$C$8*$C$11*B15</f>
        <v>0</v>
      </c>
    </row>
    <row r="13" spans="1:18">
      <c r="B13" s="56"/>
      <c r="I13" s="44"/>
      <c r="J13" s="44"/>
      <c r="P13">
        <v>2040</v>
      </c>
      <c r="Q13" s="41">
        <f t="shared" ref="Q13:Q14" si="2">$C$7*$B$11*B16</f>
        <v>0</v>
      </c>
      <c r="R13" s="41">
        <f t="shared" ref="R13:R14" si="3">$C$8*$C$11*B16</f>
        <v>0</v>
      </c>
    </row>
    <row r="14" spans="1:18">
      <c r="B14" t="s">
        <v>3</v>
      </c>
      <c r="P14">
        <v>2050</v>
      </c>
      <c r="Q14" s="41">
        <f t="shared" si="2"/>
        <v>0</v>
      </c>
      <c r="R14" s="41">
        <f t="shared" si="3"/>
        <v>0</v>
      </c>
    </row>
    <row r="15" spans="1:18">
      <c r="A15" t="s">
        <v>1150</v>
      </c>
      <c r="B15" s="55">
        <v>0.33</v>
      </c>
      <c r="C15" s="55"/>
      <c r="D15" s="55"/>
      <c r="E15" s="55"/>
      <c r="F15" s="55"/>
      <c r="G15" s="55"/>
      <c r="H15" s="55"/>
      <c r="P15" t="s">
        <v>1159</v>
      </c>
      <c r="Q15" t="s">
        <v>1164</v>
      </c>
      <c r="R15" t="s">
        <v>1165</v>
      </c>
    </row>
    <row r="16" spans="1:18">
      <c r="A16" t="s">
        <v>1151</v>
      </c>
      <c r="B16" s="55">
        <v>0.66</v>
      </c>
      <c r="C16" s="55"/>
      <c r="D16" s="55"/>
      <c r="E16" s="55"/>
      <c r="F16" s="55"/>
      <c r="G16" s="55"/>
      <c r="H16" s="55"/>
      <c r="P16">
        <v>2030</v>
      </c>
      <c r="Q16" s="41">
        <f>$C$7*$B$12*B15</f>
        <v>0</v>
      </c>
      <c r="R16" s="41">
        <f>$C$8*$C$12*B15</f>
        <v>0</v>
      </c>
    </row>
    <row r="17" spans="1:19">
      <c r="A17" t="s">
        <v>1152</v>
      </c>
      <c r="B17" s="55">
        <v>1</v>
      </c>
      <c r="C17" s="55"/>
      <c r="D17" s="55"/>
      <c r="E17" s="55"/>
      <c r="F17" s="55"/>
      <c r="G17" s="55"/>
      <c r="H17" s="55"/>
      <c r="P17">
        <v>2040</v>
      </c>
      <c r="Q17" s="41">
        <f t="shared" ref="Q17:Q18" si="4">$C$7*$B$12*B16</f>
        <v>0</v>
      </c>
      <c r="R17" s="41">
        <f t="shared" ref="R17:R18" si="5">$C$8*$C$12*B16</f>
        <v>0</v>
      </c>
    </row>
    <row r="18" spans="1:19" ht="16" thickBot="1">
      <c r="B18" s="55"/>
      <c r="C18" s="55"/>
      <c r="D18" s="55"/>
      <c r="E18" s="55"/>
      <c r="F18" s="55"/>
      <c r="G18" s="55"/>
      <c r="H18" s="55"/>
      <c r="P18">
        <v>2050</v>
      </c>
      <c r="Q18" s="41">
        <f t="shared" si="4"/>
        <v>0</v>
      </c>
      <c r="R18" s="41">
        <f t="shared" si="5"/>
        <v>0</v>
      </c>
    </row>
    <row r="19" spans="1:19" s="173" customFormat="1" ht="16" thickBot="1">
      <c r="A19" s="171" t="s">
        <v>1167</v>
      </c>
      <c r="B19" s="172"/>
      <c r="C19" s="172"/>
      <c r="D19" s="172"/>
      <c r="E19" s="172"/>
      <c r="F19" s="172"/>
      <c r="G19" s="172"/>
      <c r="H19" s="172"/>
    </row>
    <row r="20" spans="1:19">
      <c r="A20" t="s">
        <v>1168</v>
      </c>
      <c r="J20" s="681" t="s">
        <v>4</v>
      </c>
      <c r="K20" s="276"/>
      <c r="L20" s="276"/>
      <c r="M20" s="276"/>
      <c r="N20" s="276"/>
      <c r="O20" s="276"/>
      <c r="P20" s="276"/>
      <c r="Q20" s="276"/>
    </row>
    <row r="21" spans="1:19">
      <c r="C21" t="s">
        <v>4</v>
      </c>
      <c r="J21" t="s">
        <v>1169</v>
      </c>
      <c r="K21" t="s">
        <v>1170</v>
      </c>
      <c r="P21" t="s">
        <v>1171</v>
      </c>
      <c r="Q21" t="s">
        <v>1172</v>
      </c>
    </row>
    <row r="22" spans="1:19" ht="16">
      <c r="A22" t="s">
        <v>831</v>
      </c>
      <c r="B22" t="s">
        <v>1173</v>
      </c>
      <c r="C22" s="51">
        <v>31.6</v>
      </c>
      <c r="D22" s="51"/>
      <c r="E22" s="51"/>
      <c r="F22" s="51"/>
      <c r="G22" s="51"/>
      <c r="H22" s="51"/>
      <c r="J22" s="679">
        <v>0</v>
      </c>
      <c r="K22">
        <f>C22*(1-J22)</f>
        <v>31.6</v>
      </c>
      <c r="P22" s="679">
        <v>0</v>
      </c>
      <c r="Q22">
        <f>P22*K22</f>
        <v>0</v>
      </c>
      <c r="S22" t="s">
        <v>1174</v>
      </c>
    </row>
    <row r="23" spans="1:19" ht="16">
      <c r="A23" t="s">
        <v>831</v>
      </c>
      <c r="B23" t="s">
        <v>1175</v>
      </c>
      <c r="C23" s="51">
        <f>25.7+30</f>
        <v>55.7</v>
      </c>
      <c r="D23" s="51"/>
      <c r="E23" s="51"/>
      <c r="F23" s="51"/>
      <c r="G23" s="51"/>
      <c r="H23" s="51"/>
      <c r="J23" s="679">
        <v>0</v>
      </c>
      <c r="K23">
        <f>C23*(1-J23)</f>
        <v>55.7</v>
      </c>
      <c r="P23" s="679">
        <v>0</v>
      </c>
      <c r="Q23">
        <f t="shared" ref="Q23:Q26" si="6">P23*K23</f>
        <v>0</v>
      </c>
      <c r="S23" t="s">
        <v>1176</v>
      </c>
    </row>
    <row r="24" spans="1:19" ht="16">
      <c r="A24" t="s">
        <v>831</v>
      </c>
      <c r="B24" t="s">
        <v>1177</v>
      </c>
      <c r="C24" s="51">
        <f>8.2+20</f>
        <v>28.2</v>
      </c>
      <c r="D24" s="51"/>
      <c r="E24" s="51"/>
      <c r="F24" s="51"/>
      <c r="G24" s="51"/>
      <c r="H24" s="51"/>
      <c r="J24" s="679">
        <v>0</v>
      </c>
      <c r="K24">
        <f>C24*(1-J24)</f>
        <v>28.2</v>
      </c>
      <c r="P24" s="679">
        <v>0</v>
      </c>
      <c r="Q24">
        <f t="shared" si="6"/>
        <v>0</v>
      </c>
      <c r="S24" t="s">
        <v>1178</v>
      </c>
    </row>
    <row r="25" spans="1:19" ht="16">
      <c r="A25" t="s">
        <v>831</v>
      </c>
      <c r="B25" t="s">
        <v>1179</v>
      </c>
      <c r="C25" s="51">
        <v>8.1999999999999993</v>
      </c>
      <c r="D25" s="51"/>
      <c r="E25" s="51"/>
      <c r="F25" s="51"/>
      <c r="G25" s="51"/>
      <c r="H25" s="51"/>
      <c r="J25" s="679">
        <v>0</v>
      </c>
      <c r="K25">
        <f>C25*(1-J25)</f>
        <v>8.1999999999999993</v>
      </c>
      <c r="P25" s="679">
        <v>0</v>
      </c>
      <c r="Q25">
        <f t="shared" si="6"/>
        <v>0</v>
      </c>
      <c r="S25" t="s">
        <v>1178</v>
      </c>
    </row>
    <row r="26" spans="1:19" ht="16">
      <c r="A26" t="s">
        <v>831</v>
      </c>
      <c r="B26" t="s">
        <v>1180</v>
      </c>
      <c r="C26" s="51">
        <v>10</v>
      </c>
      <c r="D26" s="51"/>
      <c r="E26" s="51"/>
      <c r="F26" s="51"/>
      <c r="G26" s="51"/>
      <c r="H26" s="51"/>
      <c r="J26" s="679">
        <v>0</v>
      </c>
      <c r="K26">
        <f>C26*(1-J26)</f>
        <v>10</v>
      </c>
      <c r="P26" s="679">
        <v>0</v>
      </c>
      <c r="Q26">
        <f t="shared" si="6"/>
        <v>0</v>
      </c>
      <c r="S26" t="s">
        <v>1178</v>
      </c>
    </row>
    <row r="27" spans="1:19" ht="16" thickBot="1">
      <c r="C27">
        <f>SUM(C22:C26)</f>
        <v>133.70000000000002</v>
      </c>
      <c r="P27" s="273" t="s">
        <v>67</v>
      </c>
      <c r="Q27" s="274">
        <f>SUM(Q22:Q26)/C27</f>
        <v>0</v>
      </c>
    </row>
    <row r="28" spans="1:19" ht="16" thickBot="1">
      <c r="C28" s="2"/>
      <c r="D28" s="2"/>
      <c r="E28" s="2"/>
      <c r="F28" s="2"/>
      <c r="G28" s="2"/>
      <c r="H28" s="2"/>
      <c r="Q28" s="1"/>
      <c r="R28" s="275"/>
    </row>
    <row r="29" spans="1:19">
      <c r="J29" s="1" t="s">
        <v>5</v>
      </c>
      <c r="P29" s="276"/>
      <c r="Q29" s="276"/>
    </row>
    <row r="30" spans="1:19">
      <c r="C30" t="s">
        <v>5</v>
      </c>
      <c r="J30" t="s">
        <v>1169</v>
      </c>
      <c r="K30" t="s">
        <v>1170</v>
      </c>
      <c r="P30" t="s">
        <v>1171</v>
      </c>
      <c r="Q30" t="s">
        <v>1172</v>
      </c>
    </row>
    <row r="31" spans="1:19" ht="16">
      <c r="B31" t="s">
        <v>1173</v>
      </c>
      <c r="C31" s="51">
        <v>0</v>
      </c>
      <c r="D31" s="51"/>
      <c r="E31" s="51"/>
      <c r="F31" s="51"/>
      <c r="G31" s="51"/>
      <c r="H31" s="51"/>
      <c r="J31" s="679">
        <v>0</v>
      </c>
      <c r="K31">
        <f>C31*(1-J31)</f>
        <v>0</v>
      </c>
      <c r="P31" s="679">
        <v>0</v>
      </c>
      <c r="Q31">
        <f>P31*K31</f>
        <v>0</v>
      </c>
      <c r="S31" t="s">
        <v>1174</v>
      </c>
    </row>
    <row r="32" spans="1:19" ht="16">
      <c r="B32" t="s">
        <v>1175</v>
      </c>
      <c r="C32" s="51">
        <v>10.9</v>
      </c>
      <c r="D32" s="51"/>
      <c r="E32" s="51"/>
      <c r="F32" s="51"/>
      <c r="G32" s="51"/>
      <c r="H32" s="51"/>
      <c r="J32" s="679">
        <v>0</v>
      </c>
      <c r="K32">
        <f t="shared" ref="K32:K35" si="7">C32*(1-J32)</f>
        <v>10.9</v>
      </c>
      <c r="P32" s="679">
        <v>0</v>
      </c>
      <c r="Q32">
        <f t="shared" ref="Q32:Q35" si="8">P32*K32</f>
        <v>0</v>
      </c>
      <c r="S32" t="s">
        <v>1176</v>
      </c>
    </row>
    <row r="33" spans="2:19" ht="16">
      <c r="B33" t="s">
        <v>1177</v>
      </c>
      <c r="C33" s="282">
        <v>0</v>
      </c>
      <c r="D33" s="282"/>
      <c r="E33" s="282"/>
      <c r="F33" s="282"/>
      <c r="G33" s="282"/>
      <c r="H33" s="282"/>
      <c r="J33" s="679">
        <v>0</v>
      </c>
      <c r="K33">
        <f t="shared" si="7"/>
        <v>0</v>
      </c>
      <c r="P33" s="679">
        <v>0</v>
      </c>
      <c r="Q33">
        <f t="shared" si="8"/>
        <v>0</v>
      </c>
      <c r="S33" t="s">
        <v>1178</v>
      </c>
    </row>
    <row r="34" spans="2:19" ht="16">
      <c r="B34" t="s">
        <v>1179</v>
      </c>
      <c r="C34" s="51">
        <v>0</v>
      </c>
      <c r="D34" s="51"/>
      <c r="E34" s="51"/>
      <c r="F34" s="51"/>
      <c r="G34" s="51"/>
      <c r="H34" s="51"/>
      <c r="J34" s="679">
        <v>0</v>
      </c>
      <c r="K34">
        <f t="shared" si="7"/>
        <v>0</v>
      </c>
      <c r="P34" s="679">
        <v>0</v>
      </c>
      <c r="Q34">
        <f t="shared" si="8"/>
        <v>0</v>
      </c>
      <c r="S34" t="s">
        <v>1178</v>
      </c>
    </row>
    <row r="35" spans="2:19" ht="16">
      <c r="B35" t="s">
        <v>1180</v>
      </c>
      <c r="C35" s="51">
        <v>0</v>
      </c>
      <c r="D35" s="51"/>
      <c r="E35" s="51"/>
      <c r="F35" s="51"/>
      <c r="G35" s="51"/>
      <c r="H35" s="51"/>
      <c r="J35" s="679">
        <v>0</v>
      </c>
      <c r="K35">
        <f t="shared" si="7"/>
        <v>0</v>
      </c>
      <c r="P35" s="679">
        <v>0</v>
      </c>
      <c r="Q35">
        <f t="shared" si="8"/>
        <v>0</v>
      </c>
      <c r="S35" t="s">
        <v>1178</v>
      </c>
    </row>
    <row r="36" spans="2:19" ht="16" thickBot="1">
      <c r="C36">
        <f>SUM(C31:C35)</f>
        <v>10.9</v>
      </c>
      <c r="P36" s="273" t="s">
        <v>67</v>
      </c>
      <c r="Q36" s="274">
        <f>SUM(Q31:Q35)/C36</f>
        <v>0</v>
      </c>
    </row>
    <row r="37" spans="2:19">
      <c r="C37" s="2"/>
      <c r="J37" s="1" t="s">
        <v>1181</v>
      </c>
      <c r="K37" s="1"/>
      <c r="L37" s="1"/>
      <c r="M37" s="1"/>
      <c r="N37" s="1"/>
      <c r="O37" s="1"/>
      <c r="P37" s="275"/>
    </row>
    <row r="38" spans="2:19">
      <c r="C38" s="2" t="s">
        <v>1181</v>
      </c>
      <c r="J38" t="s">
        <v>1169</v>
      </c>
      <c r="K38" t="s">
        <v>1170</v>
      </c>
      <c r="P38" t="s">
        <v>1171</v>
      </c>
      <c r="Q38" t="s">
        <v>1172</v>
      </c>
    </row>
    <row r="39" spans="2:19" ht="16">
      <c r="B39" t="s">
        <v>1173</v>
      </c>
      <c r="C39" s="51">
        <v>0</v>
      </c>
      <c r="J39" s="679">
        <f>$B$7</f>
        <v>0</v>
      </c>
      <c r="K39">
        <f t="shared" ref="K39:K45" si="9">C39*(1-J39)</f>
        <v>0</v>
      </c>
      <c r="L39" s="275"/>
      <c r="M39" s="275"/>
      <c r="N39" s="275"/>
      <c r="P39" s="679">
        <f>SUM($Q$22:$Q$26,$Q$31:$Q$35)/SUM($K$22:$K$26,$K$31:$K$35)</f>
        <v>0</v>
      </c>
      <c r="Q39">
        <f t="shared" ref="Q39:Q45" si="10">P39*K39</f>
        <v>0</v>
      </c>
    </row>
    <row r="40" spans="2:19" ht="16">
      <c r="B40" t="s">
        <v>1175</v>
      </c>
      <c r="C40" s="51">
        <v>0</v>
      </c>
      <c r="J40" s="679">
        <f t="shared" ref="J40:J45" si="11">$B$7</f>
        <v>0</v>
      </c>
      <c r="K40">
        <f t="shared" si="9"/>
        <v>0</v>
      </c>
      <c r="L40" s="275"/>
      <c r="M40" s="275"/>
      <c r="N40" s="275"/>
      <c r="P40" s="679">
        <f t="shared" ref="P40:P45" si="12">SUM($Q$22:$Q$26,$Q$31:$Q$35)/SUM($K$22:$K$26,$K$31:$K$35)</f>
        <v>0</v>
      </c>
      <c r="Q40">
        <f t="shared" si="10"/>
        <v>0</v>
      </c>
    </row>
    <row r="41" spans="2:19" ht="16">
      <c r="B41" t="s">
        <v>1177</v>
      </c>
      <c r="C41" s="51">
        <v>21.8</v>
      </c>
      <c r="J41" s="679">
        <f t="shared" si="11"/>
        <v>0</v>
      </c>
      <c r="K41">
        <f t="shared" si="9"/>
        <v>21.8</v>
      </c>
      <c r="L41" s="275"/>
      <c r="M41" s="275"/>
      <c r="N41" s="275"/>
      <c r="P41" s="679">
        <f t="shared" si="12"/>
        <v>0</v>
      </c>
      <c r="Q41">
        <f t="shared" si="10"/>
        <v>0</v>
      </c>
    </row>
    <row r="42" spans="2:19" ht="16">
      <c r="B42" t="s">
        <v>1179</v>
      </c>
      <c r="C42" s="51">
        <v>0</v>
      </c>
      <c r="J42" s="679">
        <f t="shared" si="11"/>
        <v>0</v>
      </c>
      <c r="K42">
        <f t="shared" si="9"/>
        <v>0</v>
      </c>
      <c r="P42" s="679">
        <f t="shared" si="12"/>
        <v>0</v>
      </c>
      <c r="Q42">
        <f t="shared" si="10"/>
        <v>0</v>
      </c>
    </row>
    <row r="43" spans="2:19" ht="16">
      <c r="B43" t="s">
        <v>1180</v>
      </c>
      <c r="C43" s="51">
        <v>0</v>
      </c>
      <c r="J43" s="679">
        <f t="shared" si="11"/>
        <v>0</v>
      </c>
      <c r="K43">
        <f t="shared" si="9"/>
        <v>0</v>
      </c>
      <c r="P43" s="679">
        <f t="shared" si="12"/>
        <v>0</v>
      </c>
      <c r="Q43">
        <f t="shared" si="10"/>
        <v>0</v>
      </c>
    </row>
    <row r="44" spans="2:19" ht="16">
      <c r="B44" t="s">
        <v>1182</v>
      </c>
      <c r="C44" s="51">
        <v>12</v>
      </c>
      <c r="J44" s="679">
        <f t="shared" si="11"/>
        <v>0</v>
      </c>
      <c r="K44">
        <f t="shared" si="9"/>
        <v>12</v>
      </c>
      <c r="P44" s="679">
        <f t="shared" si="12"/>
        <v>0</v>
      </c>
      <c r="Q44">
        <f t="shared" si="10"/>
        <v>0</v>
      </c>
    </row>
    <row r="45" spans="2:19" ht="16">
      <c r="B45" t="s">
        <v>192</v>
      </c>
      <c r="C45" s="51">
        <v>4.5</v>
      </c>
      <c r="J45" s="679">
        <f t="shared" si="11"/>
        <v>0</v>
      </c>
      <c r="K45">
        <f t="shared" si="9"/>
        <v>4.5</v>
      </c>
      <c r="P45" s="679">
        <f t="shared" si="12"/>
        <v>0</v>
      </c>
      <c r="Q45">
        <f t="shared" si="10"/>
        <v>0</v>
      </c>
    </row>
    <row r="46" spans="2:19" ht="16" thickBot="1">
      <c r="C46">
        <f>SUM(C39:C45)</f>
        <v>38.299999999999997</v>
      </c>
      <c r="P46" s="273" t="s">
        <v>67</v>
      </c>
      <c r="Q46" s="274">
        <f>SUM(Q39:Q45)/C46</f>
        <v>0</v>
      </c>
    </row>
    <row r="47" spans="2:19">
      <c r="C47" s="169"/>
      <c r="K47" s="1"/>
      <c r="O47" s="1"/>
      <c r="P47" s="275"/>
    </row>
    <row r="48" spans="2:19" ht="16" thickBot="1">
      <c r="C48" s="2"/>
      <c r="D48" s="2"/>
      <c r="E48" s="2"/>
      <c r="F48" s="2"/>
      <c r="G48" s="2"/>
      <c r="H48" s="2"/>
      <c r="P48" s="81"/>
      <c r="Q48" s="277"/>
    </row>
    <row r="49" spans="1:18" s="173" customFormat="1" ht="16" thickBot="1">
      <c r="A49" s="171" t="s">
        <v>1183</v>
      </c>
      <c r="B49" s="172"/>
      <c r="C49" s="172"/>
      <c r="D49" s="172"/>
      <c r="E49" s="172"/>
      <c r="F49" s="172"/>
      <c r="G49" s="172"/>
      <c r="H49" s="172"/>
    </row>
    <row r="53" spans="1:18">
      <c r="I53">
        <v>2020</v>
      </c>
      <c r="J53" t="s">
        <v>40</v>
      </c>
      <c r="K53" t="s">
        <v>1184</v>
      </c>
      <c r="P53" t="s">
        <v>1185</v>
      </c>
      <c r="Q53" t="s">
        <v>28</v>
      </c>
      <c r="R53" t="s">
        <v>1129</v>
      </c>
    </row>
    <row r="54" spans="1:18">
      <c r="B54" t="s">
        <v>1173</v>
      </c>
      <c r="C54" s="25" t="s">
        <v>480</v>
      </c>
      <c r="D54" s="25"/>
      <c r="E54" s="25"/>
      <c r="F54" s="25"/>
      <c r="G54" s="25"/>
      <c r="H54" s="25"/>
      <c r="J54" s="26">
        <v>31.6</v>
      </c>
      <c r="K54">
        <v>-17.399999999999999</v>
      </c>
      <c r="P54" s="26">
        <f>K54+J54</f>
        <v>14.200000000000003</v>
      </c>
      <c r="Q54" s="6">
        <v>-1</v>
      </c>
      <c r="R54">
        <v>0</v>
      </c>
    </row>
    <row r="55" spans="1:18">
      <c r="B55" t="s">
        <v>1175</v>
      </c>
      <c r="C55" s="25" t="s">
        <v>480</v>
      </c>
      <c r="D55" s="25"/>
      <c r="E55" s="25"/>
      <c r="F55" s="25"/>
      <c r="G55" s="25"/>
      <c r="H55" s="25"/>
      <c r="J55" s="26">
        <v>25.7</v>
      </c>
      <c r="K55">
        <v>-14.099999999999998</v>
      </c>
      <c r="P55" s="26">
        <f t="shared" ref="P55:P62" si="13">K55+J55</f>
        <v>11.600000000000001</v>
      </c>
      <c r="Q55" s="6">
        <v>-1</v>
      </c>
      <c r="R55">
        <v>0</v>
      </c>
    </row>
    <row r="56" spans="1:18">
      <c r="C56" s="25" t="s">
        <v>472</v>
      </c>
      <c r="D56" s="25"/>
      <c r="E56" s="25"/>
      <c r="F56" s="25"/>
      <c r="G56" s="25"/>
      <c r="H56" s="25"/>
      <c r="J56" s="26">
        <v>30</v>
      </c>
      <c r="K56">
        <v>-16.5</v>
      </c>
      <c r="P56" s="26">
        <f t="shared" si="13"/>
        <v>13.5</v>
      </c>
      <c r="Q56" s="6">
        <v>-1</v>
      </c>
      <c r="R56">
        <v>0</v>
      </c>
    </row>
    <row r="57" spans="1:18">
      <c r="C57" s="9" t="s">
        <v>477</v>
      </c>
      <c r="D57" s="9"/>
      <c r="E57" s="9"/>
      <c r="F57" s="9"/>
      <c r="G57" s="9"/>
      <c r="H57" s="9"/>
      <c r="J57" s="26">
        <v>10.9</v>
      </c>
      <c r="K57">
        <v>-6</v>
      </c>
      <c r="P57" s="26">
        <f t="shared" si="13"/>
        <v>4.9000000000000004</v>
      </c>
      <c r="Q57" s="6">
        <v>-1</v>
      </c>
      <c r="R57">
        <v>0</v>
      </c>
    </row>
    <row r="58" spans="1:18">
      <c r="B58" t="s">
        <v>1177</v>
      </c>
      <c r="C58" s="25" t="s">
        <v>480</v>
      </c>
      <c r="D58" s="25"/>
      <c r="E58" s="25"/>
      <c r="F58" s="25"/>
      <c r="G58" s="25"/>
      <c r="H58" s="25"/>
      <c r="J58" s="26">
        <v>8.1999999999999993</v>
      </c>
      <c r="K58">
        <v>-4.5</v>
      </c>
      <c r="P58" s="26">
        <f t="shared" si="13"/>
        <v>3.6999999999999993</v>
      </c>
      <c r="Q58" s="6">
        <v>-1</v>
      </c>
      <c r="R58">
        <v>0</v>
      </c>
    </row>
    <row r="59" spans="1:18">
      <c r="C59" s="25" t="s">
        <v>478</v>
      </c>
      <c r="D59" s="25"/>
      <c r="E59" s="25"/>
      <c r="F59" s="25"/>
      <c r="G59" s="25"/>
      <c r="H59" s="25"/>
      <c r="J59" s="26">
        <v>20</v>
      </c>
      <c r="K59">
        <v>-11</v>
      </c>
      <c r="P59" s="26">
        <f t="shared" si="13"/>
        <v>9</v>
      </c>
      <c r="Q59" s="6">
        <v>-1</v>
      </c>
      <c r="R59">
        <v>0</v>
      </c>
    </row>
    <row r="60" spans="1:18">
      <c r="C60" s="9" t="s">
        <v>745</v>
      </c>
      <c r="D60" s="9"/>
      <c r="E60" s="9"/>
      <c r="F60" s="9"/>
      <c r="G60" s="9"/>
      <c r="H60" s="9"/>
      <c r="J60" s="26">
        <v>21.8</v>
      </c>
      <c r="K60">
        <v>-12</v>
      </c>
      <c r="P60" s="26">
        <f t="shared" si="13"/>
        <v>9.8000000000000007</v>
      </c>
      <c r="Q60" s="6">
        <v>-1</v>
      </c>
      <c r="R60">
        <v>0</v>
      </c>
    </row>
    <row r="61" spans="1:18">
      <c r="B61" t="s">
        <v>1179</v>
      </c>
      <c r="C61" s="25" t="s">
        <v>480</v>
      </c>
      <c r="D61" s="25"/>
      <c r="E61" s="25"/>
      <c r="F61" s="25"/>
      <c r="G61" s="25"/>
      <c r="H61" s="25"/>
      <c r="J61" s="26">
        <v>8.1999999999999993</v>
      </c>
      <c r="K61">
        <v>-4.5</v>
      </c>
      <c r="P61" s="26">
        <f t="shared" si="13"/>
        <v>3.6999999999999993</v>
      </c>
      <c r="Q61" s="6">
        <v>-0.5</v>
      </c>
      <c r="R61">
        <v>1.9</v>
      </c>
    </row>
    <row r="62" spans="1:18">
      <c r="B62" t="s">
        <v>1186</v>
      </c>
      <c r="C62" s="25" t="s">
        <v>473</v>
      </c>
      <c r="D62" s="25"/>
      <c r="E62" s="25"/>
      <c r="F62" s="25"/>
      <c r="G62" s="25"/>
      <c r="H62" s="25"/>
      <c r="J62" s="26">
        <v>10</v>
      </c>
      <c r="K62">
        <v>-5.5</v>
      </c>
      <c r="P62" s="26">
        <f t="shared" si="13"/>
        <v>4.5</v>
      </c>
      <c r="Q62" s="6">
        <v>-0.5</v>
      </c>
      <c r="R62">
        <v>2.2999999999999998</v>
      </c>
    </row>
    <row r="65" spans="2:29">
      <c r="B65" s="9" t="s">
        <v>5</v>
      </c>
      <c r="I65" s="26">
        <f>I67*I71</f>
        <v>11.120839668639265</v>
      </c>
      <c r="J65" s="26">
        <f>J57+J60*0.2</f>
        <v>15.260000000000002</v>
      </c>
      <c r="K65" s="26"/>
      <c r="L65" s="26"/>
      <c r="M65" s="26"/>
      <c r="N65" s="26"/>
      <c r="O65" s="26"/>
      <c r="P65" s="26">
        <f>SUM(P57,P60)</f>
        <v>14.700000000000001</v>
      </c>
      <c r="Q65" s="26"/>
      <c r="R65" s="26">
        <f>SUM(R57,R60)</f>
        <v>0</v>
      </c>
      <c r="T65" t="s">
        <v>1187</v>
      </c>
    </row>
    <row r="66" spans="2:29">
      <c r="B66" s="25" t="s">
        <v>4</v>
      </c>
      <c r="I66" s="26">
        <f>I67*I72</f>
        <v>25.819560331360744</v>
      </c>
      <c r="J66" s="26">
        <f>(J54+J55+J58+J61)*0.43+J56+J62+J59*0.27</f>
        <v>77.091000000000008</v>
      </c>
      <c r="K66" s="26"/>
      <c r="L66" s="26"/>
      <c r="M66" s="26"/>
      <c r="N66" s="26"/>
      <c r="O66" s="26"/>
      <c r="P66" s="26">
        <f>SUM(P54:P56,P58,P59,P61:P62)</f>
        <v>60.2</v>
      </c>
      <c r="Q66" s="26"/>
      <c r="R66" s="26">
        <f>SUM(R54:R56,R58,R59,R61:R62)</f>
        <v>4.1999999999999993</v>
      </c>
    </row>
    <row r="67" spans="2:29">
      <c r="B67" s="1" t="s">
        <v>364</v>
      </c>
      <c r="C67" s="1"/>
      <c r="D67" s="1"/>
      <c r="E67" s="1"/>
      <c r="F67" s="1"/>
      <c r="G67" s="1"/>
      <c r="H67" s="1"/>
      <c r="I67" s="1">
        <f>J67*0.4</f>
        <v>36.940400000000004</v>
      </c>
      <c r="J67" s="27">
        <f>SUM(J65:J66)</f>
        <v>92.351000000000013</v>
      </c>
      <c r="K67" s="27"/>
      <c r="L67" s="27"/>
      <c r="M67" s="27"/>
      <c r="N67" s="27"/>
      <c r="O67" s="27"/>
      <c r="P67" s="27">
        <f t="shared" ref="P67:R67" si="14">SUM(P65:P66)</f>
        <v>74.900000000000006</v>
      </c>
      <c r="Q67" s="27"/>
      <c r="R67" s="27">
        <f t="shared" si="14"/>
        <v>4.1999999999999993</v>
      </c>
    </row>
    <row r="68" spans="2:29">
      <c r="B68" s="1"/>
      <c r="C68" s="1"/>
      <c r="D68" s="1"/>
      <c r="E68" s="1"/>
      <c r="F68" s="1"/>
      <c r="G68" s="1"/>
      <c r="H68" s="1"/>
      <c r="I68" s="1"/>
      <c r="J68" s="1"/>
      <c r="K68" s="1"/>
      <c r="L68" s="1"/>
      <c r="M68" s="1"/>
      <c r="N68" s="1"/>
      <c r="O68" s="1"/>
      <c r="P68" s="1"/>
      <c r="Q68" s="1"/>
      <c r="R68" s="1"/>
      <c r="Z68">
        <v>2020</v>
      </c>
      <c r="AA68">
        <v>2050</v>
      </c>
    </row>
    <row r="69" spans="2:29">
      <c r="Y69" t="s">
        <v>1188</v>
      </c>
      <c r="Z69">
        <v>180</v>
      </c>
      <c r="AA69">
        <v>260</v>
      </c>
      <c r="AC69" s="23">
        <f>(AA69/Z69)^(1/30)-1</f>
        <v>1.2332923617154101E-2</v>
      </c>
    </row>
    <row r="70" spans="2:29">
      <c r="C70" s="1">
        <v>2020</v>
      </c>
      <c r="D70" s="1"/>
      <c r="E70" s="1"/>
      <c r="F70" s="1"/>
      <c r="G70" s="1"/>
      <c r="H70" s="1"/>
      <c r="I70" s="1" t="s">
        <v>1189</v>
      </c>
      <c r="Y70" t="s">
        <v>1190</v>
      </c>
      <c r="Z70">
        <v>63</v>
      </c>
      <c r="AA70">
        <v>104</v>
      </c>
      <c r="AC70" s="23">
        <f>(AA70/Z70)^(1/30)-1</f>
        <v>1.6848907424459769E-2</v>
      </c>
    </row>
    <row r="71" spans="2:29">
      <c r="B71" t="s">
        <v>1191</v>
      </c>
      <c r="C71" s="6">
        <f>Propylene!B45</f>
        <v>7.7629141311697097E-2</v>
      </c>
      <c r="D71" s="6"/>
      <c r="E71" s="6"/>
      <c r="F71" s="6"/>
      <c r="G71" s="6"/>
      <c r="H71" s="6"/>
      <c r="I71" s="6">
        <f>C71/SUM($C$71:$C$72)</f>
        <v>0.30104816592779893</v>
      </c>
      <c r="Y71" s="1" t="s">
        <v>67</v>
      </c>
      <c r="Z71" s="1">
        <f>SUM(Z69:Z70)</f>
        <v>243</v>
      </c>
      <c r="AA71" s="1">
        <f>SUM(AA69:AA70)</f>
        <v>364</v>
      </c>
      <c r="AC71" s="23">
        <f>(AA71/Z71)^(1/30)-1</f>
        <v>1.3560873212292934E-2</v>
      </c>
    </row>
    <row r="72" spans="2:29">
      <c r="B72" t="s">
        <v>1192</v>
      </c>
      <c r="C72" s="6">
        <f>Ethylene!B46</f>
        <v>0.18023371951142808</v>
      </c>
      <c r="D72" s="6"/>
      <c r="E72" s="6"/>
      <c r="F72" s="6"/>
      <c r="G72" s="6"/>
      <c r="H72" s="6"/>
      <c r="I72" s="6">
        <f>C72/SUM($C$71:$C$72)</f>
        <v>0.69895183407220118</v>
      </c>
      <c r="Y72" t="s">
        <v>1193</v>
      </c>
    </row>
    <row r="73" spans="2:29">
      <c r="Y73" t="s">
        <v>1194</v>
      </c>
    </row>
    <row r="75" spans="2:29" ht="35.5" customHeight="1">
      <c r="C75" s="29">
        <v>2020</v>
      </c>
      <c r="D75" s="29"/>
      <c r="E75" s="29"/>
      <c r="F75" s="29"/>
      <c r="G75" s="29"/>
      <c r="H75" s="29"/>
      <c r="I75" s="29" t="s">
        <v>1195</v>
      </c>
      <c r="J75" s="29" t="s">
        <v>40</v>
      </c>
      <c r="K75" s="29" t="s">
        <v>1196</v>
      </c>
      <c r="L75" s="29"/>
      <c r="M75" s="29"/>
      <c r="N75" s="29"/>
      <c r="O75" s="29"/>
      <c r="P75" s="29" t="s">
        <v>1197</v>
      </c>
      <c r="Q75" s="28" t="s">
        <v>28</v>
      </c>
      <c r="R75" s="29" t="s">
        <v>1129</v>
      </c>
    </row>
    <row r="76" spans="2:29">
      <c r="B76" s="9" t="s">
        <v>5</v>
      </c>
      <c r="C76" s="26">
        <f>I65</f>
        <v>11.120839668639265</v>
      </c>
      <c r="D76" s="26"/>
      <c r="E76" s="26"/>
      <c r="F76" s="26"/>
      <c r="G76" s="26"/>
      <c r="H76" s="26"/>
      <c r="I76" s="26">
        <f>J76-C76</f>
        <v>4.1391603313607366</v>
      </c>
      <c r="J76" s="26">
        <f>J65</f>
        <v>15.260000000000002</v>
      </c>
      <c r="K76" s="26">
        <f>P76-J76</f>
        <v>-0.5600000000000005</v>
      </c>
      <c r="L76" s="26"/>
      <c r="M76" s="26"/>
      <c r="N76" s="26"/>
      <c r="O76" s="26"/>
      <c r="P76" s="26">
        <f>P65</f>
        <v>14.700000000000001</v>
      </c>
      <c r="Q76" s="26">
        <f>R76-P76</f>
        <v>-14.700000000000001</v>
      </c>
      <c r="R76" s="26">
        <f>R65</f>
        <v>0</v>
      </c>
    </row>
    <row r="77" spans="2:29">
      <c r="B77" s="25" t="s">
        <v>4</v>
      </c>
      <c r="C77" s="26">
        <f>I66</f>
        <v>25.819560331360744</v>
      </c>
      <c r="D77" s="26"/>
      <c r="E77" s="26"/>
      <c r="F77" s="26"/>
      <c r="G77" s="26"/>
      <c r="H77" s="26"/>
      <c r="I77" s="26">
        <f>J77-C77</f>
        <v>51.27143966863926</v>
      </c>
      <c r="J77" s="26">
        <f>J66</f>
        <v>77.091000000000008</v>
      </c>
      <c r="K77" s="26">
        <f>P77-J77</f>
        <v>-16.891000000000005</v>
      </c>
      <c r="L77" s="26"/>
      <c r="M77" s="26"/>
      <c r="N77" s="26"/>
      <c r="O77" s="26"/>
      <c r="P77" s="26">
        <f>P66</f>
        <v>60.2</v>
      </c>
      <c r="Q77" s="26">
        <f>R77-P77</f>
        <v>-56</v>
      </c>
      <c r="R77" s="26">
        <f>R66</f>
        <v>4.1999999999999993</v>
      </c>
    </row>
    <row r="79" spans="2:29">
      <c r="K79" s="6">
        <f>K76/J76</f>
        <v>-3.6697247706422048E-2</v>
      </c>
      <c r="L79" s="6"/>
      <c r="M79" s="6"/>
      <c r="N79" s="6"/>
      <c r="O79" s="6"/>
      <c r="Q79" s="6">
        <f>Q76/J76</f>
        <v>-0.96330275229357798</v>
      </c>
    </row>
    <row r="80" spans="2:29">
      <c r="K80" s="6">
        <f>K77/J77</f>
        <v>-0.21910469445201131</v>
      </c>
      <c r="L80" s="6"/>
      <c r="M80" s="6"/>
      <c r="N80" s="6"/>
      <c r="O80" s="6"/>
      <c r="Q80" s="6">
        <f>Q77/J77</f>
        <v>-0.72641423771905922</v>
      </c>
    </row>
    <row r="98" spans="2:10">
      <c r="J98" s="6"/>
    </row>
    <row r="99" spans="2:10">
      <c r="J99" s="6"/>
    </row>
    <row r="103" spans="2:10">
      <c r="B103" t="s">
        <v>1198</v>
      </c>
    </row>
    <row r="105" spans="2:10">
      <c r="B105" t="s">
        <v>1199</v>
      </c>
      <c r="C105" s="6">
        <v>0.33</v>
      </c>
      <c r="D105" s="6"/>
      <c r="E105" s="6"/>
      <c r="F105" s="6"/>
      <c r="G105" s="6"/>
      <c r="H105" s="6"/>
      <c r="J105" t="s">
        <v>480</v>
      </c>
    </row>
    <row r="106" spans="2:10">
      <c r="B106" t="s">
        <v>1200</v>
      </c>
      <c r="C106" s="6">
        <v>0.25</v>
      </c>
      <c r="D106" s="6"/>
      <c r="E106" s="6"/>
      <c r="F106" s="6"/>
      <c r="G106" s="6"/>
      <c r="H106" s="6"/>
      <c r="J106" t="s">
        <v>567</v>
      </c>
    </row>
    <row r="107" spans="2:10">
      <c r="B107" t="s">
        <v>1201</v>
      </c>
      <c r="C107" s="6">
        <v>0.23</v>
      </c>
      <c r="D107" s="6"/>
      <c r="E107" s="6"/>
      <c r="F107" s="6"/>
      <c r="G107" s="6"/>
      <c r="H107" s="6"/>
      <c r="J107" t="s">
        <v>567</v>
      </c>
    </row>
    <row r="108" spans="2:10">
      <c r="B108" t="s">
        <v>1202</v>
      </c>
      <c r="C108" s="6">
        <v>0.1</v>
      </c>
      <c r="D108" s="6"/>
      <c r="E108" s="6"/>
      <c r="F108" s="6"/>
      <c r="G108" s="6"/>
      <c r="H108" s="6"/>
      <c r="J108" t="s">
        <v>480</v>
      </c>
    </row>
    <row r="109" spans="2:10">
      <c r="B109" t="s">
        <v>1203</v>
      </c>
      <c r="C109" s="6">
        <v>0.05</v>
      </c>
      <c r="D109" s="6"/>
      <c r="E109" s="6"/>
      <c r="F109" s="6"/>
      <c r="G109" s="6"/>
      <c r="H109" s="6"/>
      <c r="J109" t="s">
        <v>480</v>
      </c>
    </row>
    <row r="110" spans="2:10">
      <c r="B110" t="s">
        <v>192</v>
      </c>
      <c r="C110" s="6">
        <v>0.04</v>
      </c>
      <c r="D110" s="6"/>
      <c r="E110" s="6"/>
      <c r="F110" s="6"/>
      <c r="G110" s="6"/>
      <c r="H110" s="6"/>
      <c r="J110" t="s">
        <v>261</v>
      </c>
    </row>
  </sheetData>
  <hyperlinks>
    <hyperlink ref="P7" r:id="rId1" xr:uid="{40E35F30-303D-4A33-90D6-ECA30F8EFEC6}"/>
    <hyperlink ref="P8" r:id="rId2" display="https://cdn.odi.org/media/documents/odi-et-cp-construction-report-sep20-proof04_final2.pdf" xr:uid="{D3B15341-76B3-4383-B1BC-E944AC169992}"/>
    <hyperlink ref="P5" r:id="rId3" xr:uid="{D3020848-3A87-4982-AF72-F2156F7B4B89}"/>
  </hyperlinks>
  <pageMargins left="0.7" right="0.7" top="0.75" bottom="0.75" header="0.3" footer="0.3"/>
  <drawing r:id="rId4"/>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8829C-C842-48F4-9D0D-E5E448B6756A}">
  <sheetPr>
    <tabColor rgb="FFFF0000"/>
  </sheetPr>
  <dimension ref="A1:R22"/>
  <sheetViews>
    <sheetView workbookViewId="0">
      <selection activeCell="C11" sqref="C11"/>
    </sheetView>
  </sheetViews>
  <sheetFormatPr baseColWidth="10" defaultColWidth="8.83203125" defaultRowHeight="15"/>
  <cols>
    <col min="1" max="1" width="30.5" customWidth="1"/>
    <col min="2" max="2" width="13.1640625" customWidth="1"/>
  </cols>
  <sheetData>
    <row r="1" spans="1:18">
      <c r="A1" s="46" t="s">
        <v>1110</v>
      </c>
      <c r="B1" s="46"/>
      <c r="C1" s="46"/>
      <c r="D1" s="46"/>
      <c r="E1" s="46"/>
      <c r="F1" s="46"/>
      <c r="G1" s="1"/>
      <c r="H1" s="1"/>
      <c r="I1" s="1"/>
      <c r="J1" s="1"/>
    </row>
    <row r="2" spans="1:18" ht="16" thickBot="1">
      <c r="A2" s="45"/>
      <c r="B2" s="45" t="s">
        <v>1111</v>
      </c>
      <c r="C2" s="45" t="s">
        <v>1112</v>
      </c>
      <c r="D2" s="45" t="s">
        <v>5</v>
      </c>
      <c r="E2" s="45" t="s">
        <v>4</v>
      </c>
      <c r="F2" s="45" t="s">
        <v>1243</v>
      </c>
      <c r="G2" s="45" t="s">
        <v>7</v>
      </c>
      <c r="H2" s="45" t="s">
        <v>8</v>
      </c>
      <c r="I2" s="45" t="s">
        <v>166</v>
      </c>
      <c r="J2" s="45" t="s">
        <v>766</v>
      </c>
      <c r="K2" t="s">
        <v>96</v>
      </c>
    </row>
    <row r="3" spans="1:18">
      <c r="B3" t="s">
        <v>462</v>
      </c>
      <c r="C3" t="s">
        <v>462</v>
      </c>
      <c r="D3" t="s">
        <v>704</v>
      </c>
      <c r="E3" t="s">
        <v>704</v>
      </c>
      <c r="F3" t="s">
        <v>704</v>
      </c>
      <c r="G3" t="s">
        <v>704</v>
      </c>
      <c r="H3" t="s">
        <v>704</v>
      </c>
      <c r="I3" t="s">
        <v>704</v>
      </c>
      <c r="J3" t="s">
        <v>704</v>
      </c>
      <c r="K3" t="s">
        <v>1244</v>
      </c>
    </row>
    <row r="4" spans="1:18">
      <c r="A4" t="s">
        <v>1</v>
      </c>
      <c r="D4" s="44">
        <v>0</v>
      </c>
      <c r="E4" s="44">
        <f>'Demand Breakdown - Ethylene'!J69*'Demand Breakdown - Ethylene'!E2</f>
        <v>3.4336211538461541</v>
      </c>
      <c r="F4" s="43">
        <f>'Demand - Industry shares'!L87</f>
        <v>1.4464073070604898E-2</v>
      </c>
      <c r="G4" s="44">
        <v>0</v>
      </c>
      <c r="H4" s="44">
        <f>'Demand - Industry shares'!L116</f>
        <v>1.4471127044065453</v>
      </c>
      <c r="I4" s="44">
        <f>'Demand - Industry shares'!L130</f>
        <v>11.565136270954032</v>
      </c>
      <c r="J4" s="43">
        <f>'Demand Breakdown - C4'!I29</f>
        <v>0.30038039404623779</v>
      </c>
    </row>
    <row r="5" spans="1:18">
      <c r="A5" t="s">
        <v>1123</v>
      </c>
      <c r="B5" s="47"/>
      <c r="C5" s="47">
        <f>'Demand Breakdown - Ethylene'!L69</f>
        <v>2.1000000000000001E-2</v>
      </c>
      <c r="D5" s="44">
        <v>0</v>
      </c>
      <c r="E5" s="44">
        <f>E4*(1+C5)^30-E4</f>
        <v>2.9714600261895434</v>
      </c>
      <c r="F5" s="43">
        <f>F4*(1+C5)^30-F4</f>
        <v>1.2517226863261812E-2</v>
      </c>
      <c r="G5" s="44">
        <v>0</v>
      </c>
      <c r="H5" s="44">
        <f>H4*(1+'Demand Breakdown - BTX'!L75)^30-H4</f>
        <v>0.55949118290998845</v>
      </c>
      <c r="I5" s="44">
        <f>I4*(1+'Demand Breakdown - BTX'!L75)^30-I4</f>
        <v>4.4713806692788651</v>
      </c>
      <c r="J5" s="43">
        <f>'Demand Breakdown - C4'!L29-'Demand Breakdown - C4'!I29</f>
        <v>0.15938905633917794</v>
      </c>
      <c r="K5" s="5" t="s">
        <v>1245</v>
      </c>
    </row>
    <row r="6" spans="1:18">
      <c r="A6" t="s">
        <v>1125</v>
      </c>
      <c r="D6" s="44">
        <v>0</v>
      </c>
      <c r="E6" s="44">
        <f>SUM(E4:E5)</f>
        <v>6.4050811800356975</v>
      </c>
      <c r="F6" s="244">
        <f>SUM(F4:F5)</f>
        <v>2.698129993386671E-2</v>
      </c>
      <c r="G6" s="44">
        <f t="shared" ref="G6:I6" si="0">SUM(G4:G5)</f>
        <v>0</v>
      </c>
      <c r="H6" s="44">
        <f t="shared" si="0"/>
        <v>2.0066038873165337</v>
      </c>
      <c r="I6" s="44">
        <f t="shared" si="0"/>
        <v>16.036516940232897</v>
      </c>
      <c r="J6" s="43">
        <f>'Demand Breakdown - C4'!L29</f>
        <v>0.45976945038541572</v>
      </c>
    </row>
    <row r="7" spans="1:18" ht="16">
      <c r="A7" t="s">
        <v>206</v>
      </c>
      <c r="C7" s="679">
        <v>0</v>
      </c>
      <c r="D7" s="44">
        <v>0</v>
      </c>
      <c r="E7" s="44">
        <f>E6*C7</f>
        <v>0</v>
      </c>
      <c r="F7" s="244">
        <f>F6*C7</f>
        <v>0</v>
      </c>
      <c r="G7" s="44">
        <v>0</v>
      </c>
      <c r="H7" s="44">
        <f>H$6*$C7</f>
        <v>0</v>
      </c>
      <c r="I7" s="44">
        <f>I$6*$C7</f>
        <v>0</v>
      </c>
      <c r="J7" s="43">
        <f>$J$6*C7</f>
        <v>0</v>
      </c>
      <c r="K7" s="5" t="s">
        <v>1245</v>
      </c>
    </row>
    <row r="8" spans="1:18" ht="16">
      <c r="A8" t="s">
        <v>1157</v>
      </c>
      <c r="C8" s="679">
        <v>0</v>
      </c>
      <c r="D8" s="44">
        <v>0</v>
      </c>
      <c r="E8" s="44">
        <f>E6*C8</f>
        <v>0</v>
      </c>
      <c r="F8" s="244">
        <f>F6*C8</f>
        <v>0</v>
      </c>
      <c r="G8" s="44">
        <v>0</v>
      </c>
      <c r="H8" s="44">
        <f t="shared" ref="H8:I10" si="1">H$6*$C8</f>
        <v>0</v>
      </c>
      <c r="I8" s="44">
        <f t="shared" si="1"/>
        <v>0</v>
      </c>
      <c r="J8" s="43">
        <f t="shared" ref="J8:J10" si="2">$J$6*C8</f>
        <v>0</v>
      </c>
      <c r="K8" s="5" t="s">
        <v>1245</v>
      </c>
    </row>
    <row r="9" spans="1:18">
      <c r="A9" t="s">
        <v>183</v>
      </c>
      <c r="B9" s="48"/>
      <c r="C9" s="48"/>
      <c r="D9" s="44">
        <v>0</v>
      </c>
      <c r="E9" s="49">
        <f>SUM(E7:E8)</f>
        <v>0</v>
      </c>
      <c r="F9" s="515">
        <f>SUM(F7:F8)</f>
        <v>0</v>
      </c>
      <c r="G9" s="44">
        <f t="shared" ref="G9:J9" si="3">SUM(G7:G8)</f>
        <v>0</v>
      </c>
      <c r="H9" s="44">
        <f t="shared" si="3"/>
        <v>0</v>
      </c>
      <c r="I9" s="44">
        <f t="shared" si="3"/>
        <v>0</v>
      </c>
      <c r="J9" s="43">
        <f t="shared" si="3"/>
        <v>0</v>
      </c>
    </row>
    <row r="10" spans="1:18" ht="16">
      <c r="A10" t="s">
        <v>28</v>
      </c>
      <c r="B10" s="48"/>
      <c r="C10" s="679">
        <v>0</v>
      </c>
      <c r="D10" s="44">
        <v>0</v>
      </c>
      <c r="E10" s="49">
        <f>$E$6*C10</f>
        <v>0</v>
      </c>
      <c r="F10" s="515">
        <f>$F$6*C10</f>
        <v>0</v>
      </c>
      <c r="G10" s="44">
        <v>0</v>
      </c>
      <c r="H10" s="44">
        <f t="shared" si="1"/>
        <v>0</v>
      </c>
      <c r="I10" s="44">
        <f t="shared" si="1"/>
        <v>0</v>
      </c>
      <c r="J10" s="43">
        <f t="shared" si="2"/>
        <v>0</v>
      </c>
      <c r="K10" t="s">
        <v>1246</v>
      </c>
    </row>
    <row r="11" spans="1:18">
      <c r="A11" t="s">
        <v>1129</v>
      </c>
      <c r="B11" s="48"/>
      <c r="D11" s="44">
        <v>0</v>
      </c>
      <c r="E11" s="44">
        <f>E6-E9-E10</f>
        <v>6.4050811800356975</v>
      </c>
      <c r="F11" s="244">
        <f>F6-F9-F10</f>
        <v>2.698129993386671E-2</v>
      </c>
      <c r="G11" s="44">
        <f t="shared" ref="G11:I11" si="4">G6-G9-G10</f>
        <v>0</v>
      </c>
      <c r="H11" s="44">
        <f>H6-H9-H10</f>
        <v>2.0066038873165337</v>
      </c>
      <c r="I11" s="44">
        <f t="shared" si="4"/>
        <v>16.036516940232897</v>
      </c>
      <c r="J11" s="43">
        <f>J6-J9-J10</f>
        <v>0.45976945038541572</v>
      </c>
      <c r="K11" t="s">
        <v>1247</v>
      </c>
      <c r="Q11">
        <f>47*1.021^35</f>
        <v>97.274460536518234</v>
      </c>
    </row>
    <row r="12" spans="1:18">
      <c r="Q12">
        <f>(28-6)/Q11</f>
        <v>0.22616419436981491</v>
      </c>
      <c r="R12" s="208" t="s">
        <v>1248</v>
      </c>
    </row>
    <row r="13" spans="1:18">
      <c r="A13" t="s">
        <v>1143</v>
      </c>
      <c r="B13" s="56">
        <f>100%</f>
        <v>1</v>
      </c>
    </row>
    <row r="14" spans="1:18">
      <c r="A14" t="s">
        <v>1146</v>
      </c>
      <c r="B14" s="56">
        <v>0.5</v>
      </c>
      <c r="K14" t="s">
        <v>1154</v>
      </c>
    </row>
    <row r="15" spans="1:18">
      <c r="B15" s="56"/>
      <c r="K15" t="s">
        <v>1155</v>
      </c>
      <c r="L15" t="s">
        <v>1249</v>
      </c>
      <c r="M15" t="s">
        <v>1157</v>
      </c>
      <c r="N15" t="s">
        <v>1250</v>
      </c>
    </row>
    <row r="16" spans="1:18">
      <c r="B16" t="s">
        <v>1249</v>
      </c>
      <c r="C16" t="s">
        <v>1157</v>
      </c>
      <c r="D16" t="s">
        <v>1163</v>
      </c>
      <c r="K16">
        <v>2030</v>
      </c>
      <c r="L16" s="41">
        <f>$C$7*$B$13*B17</f>
        <v>0</v>
      </c>
      <c r="M16" s="41">
        <f>$C$8*$B$13*C17</f>
        <v>0</v>
      </c>
      <c r="N16" s="41">
        <f>$C$10*$B$13*D17</f>
        <v>0</v>
      </c>
    </row>
    <row r="17" spans="1:14">
      <c r="A17" t="s">
        <v>1150</v>
      </c>
      <c r="B17" s="55">
        <v>0.7</v>
      </c>
      <c r="C17" s="55">
        <v>0.2</v>
      </c>
      <c r="D17" s="55">
        <v>0.33</v>
      </c>
      <c r="K17">
        <v>2040</v>
      </c>
      <c r="L17" s="41">
        <f t="shared" ref="L17:L18" si="5">$C$7*$B$13*B18</f>
        <v>0</v>
      </c>
      <c r="M17" s="41">
        <f t="shared" ref="M17:M18" si="6">$C$8*$B$13*C18</f>
        <v>0</v>
      </c>
      <c r="N17" s="41">
        <f t="shared" ref="N17:N18" si="7">$C$10*$B$13*D18</f>
        <v>0</v>
      </c>
    </row>
    <row r="18" spans="1:14">
      <c r="A18" t="s">
        <v>1151</v>
      </c>
      <c r="B18" s="55">
        <v>0.9</v>
      </c>
      <c r="C18" s="55">
        <v>0.5</v>
      </c>
      <c r="D18" s="55">
        <v>0.66</v>
      </c>
      <c r="K18">
        <v>2050</v>
      </c>
      <c r="L18" s="41">
        <f t="shared" si="5"/>
        <v>0</v>
      </c>
      <c r="M18" s="41">
        <f t="shared" si="6"/>
        <v>0</v>
      </c>
      <c r="N18" s="41">
        <f t="shared" si="7"/>
        <v>0</v>
      </c>
    </row>
    <row r="19" spans="1:14">
      <c r="A19" t="s">
        <v>1152</v>
      </c>
      <c r="B19" s="55">
        <v>1</v>
      </c>
      <c r="C19" s="55">
        <v>1</v>
      </c>
      <c r="D19" s="55">
        <v>1</v>
      </c>
      <c r="K19" t="s">
        <v>1159</v>
      </c>
      <c r="L19" t="s">
        <v>1249</v>
      </c>
      <c r="M19" t="s">
        <v>1157</v>
      </c>
      <c r="N19" t="s">
        <v>1250</v>
      </c>
    </row>
    <row r="20" spans="1:14">
      <c r="A20" s="54" t="s">
        <v>96</v>
      </c>
      <c r="B20" s="177" t="s">
        <v>1251</v>
      </c>
      <c r="K20">
        <v>2030</v>
      </c>
      <c r="L20" s="41">
        <f>$C$7*$B$14*B17</f>
        <v>0</v>
      </c>
      <c r="M20" s="41">
        <f>$C$8*$B$14*C17</f>
        <v>0</v>
      </c>
      <c r="N20" s="41">
        <f>$C$10*$B$14*D17</f>
        <v>0</v>
      </c>
    </row>
    <row r="21" spans="1:14">
      <c r="K21">
        <v>2040</v>
      </c>
      <c r="L21" s="41">
        <f t="shared" ref="L21:L22" si="8">$C$7*$B$14*B18</f>
        <v>0</v>
      </c>
      <c r="M21" s="41">
        <f t="shared" ref="M21:M22" si="9">$C$8*$B$14*C18</f>
        <v>0</v>
      </c>
      <c r="N21" s="41">
        <f t="shared" ref="N21:N22" si="10">$C$10*$B$14*D18</f>
        <v>0</v>
      </c>
    </row>
    <row r="22" spans="1:14">
      <c r="K22">
        <v>2050</v>
      </c>
      <c r="L22" s="41">
        <f t="shared" si="8"/>
        <v>0</v>
      </c>
      <c r="M22" s="41">
        <f t="shared" si="9"/>
        <v>0</v>
      </c>
      <c r="N22" s="41">
        <f t="shared" si="10"/>
        <v>0</v>
      </c>
    </row>
  </sheetData>
  <hyperlinks>
    <hyperlink ref="K5" r:id="rId1" xr:uid="{417138E4-9296-490A-90BD-0D67BB8AD0AD}"/>
    <hyperlink ref="K7" r:id="rId2" xr:uid="{6A7C2740-3868-4DAA-9274-71A3B2DBB13C}"/>
    <hyperlink ref="K8" r:id="rId3" xr:uid="{DC75B207-FC8E-4A45-A135-7D9DB5DF1E03}"/>
  </hyperlinks>
  <pageMargins left="0.7" right="0.7" top="0.75" bottom="0.75" header="0.3" footer="0.3"/>
  <legacyDrawing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7391-1F5F-4469-ABB0-B9AF4AB6D648}">
  <sheetPr>
    <tabColor rgb="FFFF0000"/>
  </sheetPr>
  <dimension ref="A1:N21"/>
  <sheetViews>
    <sheetView workbookViewId="0">
      <selection activeCell="J13" sqref="J13"/>
    </sheetView>
  </sheetViews>
  <sheetFormatPr baseColWidth="10" defaultColWidth="8.83203125" defaultRowHeight="15"/>
  <cols>
    <col min="1" max="1" width="30.5" customWidth="1"/>
    <col min="2" max="2" width="25.5" customWidth="1"/>
    <col min="3" max="4" width="12.83203125" customWidth="1"/>
  </cols>
  <sheetData>
    <row r="1" spans="1:14">
      <c r="A1" s="46" t="s">
        <v>1110</v>
      </c>
      <c r="B1" s="46"/>
      <c r="C1" s="46"/>
      <c r="D1" s="46"/>
      <c r="E1" s="46"/>
      <c r="F1" s="46"/>
      <c r="G1" s="46"/>
      <c r="H1" s="46"/>
      <c r="I1" s="46"/>
      <c r="J1" s="46"/>
      <c r="K1" s="1"/>
    </row>
    <row r="2" spans="1:14" ht="16" thickBot="1">
      <c r="A2" s="45"/>
      <c r="B2" s="45" t="s">
        <v>1252</v>
      </c>
      <c r="C2" s="45" t="s">
        <v>1112</v>
      </c>
      <c r="D2" s="45" t="s">
        <v>1253</v>
      </c>
      <c r="E2" s="45" t="s">
        <v>5</v>
      </c>
      <c r="F2" s="45" t="s">
        <v>4</v>
      </c>
      <c r="G2" s="45" t="s">
        <v>6</v>
      </c>
      <c r="H2" s="45" t="s">
        <v>7</v>
      </c>
      <c r="I2" s="45" t="s">
        <v>8</v>
      </c>
      <c r="J2" s="45" t="s">
        <v>166</v>
      </c>
      <c r="K2" s="45" t="s">
        <v>766</v>
      </c>
      <c r="L2" t="s">
        <v>96</v>
      </c>
    </row>
    <row r="3" spans="1:14">
      <c r="B3" t="s">
        <v>462</v>
      </c>
      <c r="C3" t="s">
        <v>462</v>
      </c>
      <c r="E3" t="s">
        <v>704</v>
      </c>
      <c r="F3" t="s">
        <v>704</v>
      </c>
      <c r="G3" t="s">
        <v>704</v>
      </c>
      <c r="H3" t="s">
        <v>704</v>
      </c>
      <c r="I3" t="s">
        <v>704</v>
      </c>
      <c r="J3" t="s">
        <v>704</v>
      </c>
      <c r="K3" t="s">
        <v>704</v>
      </c>
    </row>
    <row r="4" spans="1:14">
      <c r="A4" t="s">
        <v>1</v>
      </c>
      <c r="E4" s="44">
        <f>'Demand Breakdown - Propylene'!K53+'Demand Breakdown - Propylene'!K55</f>
        <v>35.064810426540276</v>
      </c>
      <c r="F4" s="44">
        <f>'Demand Breakdown - Ethylene'!K66+'Demand Breakdown - Ethylene'!K68</f>
        <v>26.79978640201811</v>
      </c>
      <c r="G4" s="44">
        <f>'Demand - Industry shares'!L88+'Demand - Industry shares'!L85</f>
        <v>10.386509179092885</v>
      </c>
      <c r="H4" s="44">
        <f>'Demand - Industry shares'!L103</f>
        <v>8.4733226664561627</v>
      </c>
      <c r="I4" s="44">
        <f>'Demand - Industry shares'!L117</f>
        <v>2.7526470484159993</v>
      </c>
      <c r="J4" s="43">
        <f>'Demand - Industry shares'!L131</f>
        <v>0.54114627454012965</v>
      </c>
      <c r="K4" s="43">
        <f>'Demand Breakdown - C4'!I30</f>
        <v>17.756995485407991</v>
      </c>
      <c r="L4" s="176"/>
    </row>
    <row r="5" spans="1:14">
      <c r="A5" t="s">
        <v>1123</v>
      </c>
      <c r="B5" s="514">
        <f>'Demand Breakdown - Propylene'!L53</f>
        <v>3.6750221758679036E-3</v>
      </c>
      <c r="C5" s="514">
        <f>'Demand Breakdown - Ethylene'!L66</f>
        <v>1.4673314942567961E-2</v>
      </c>
      <c r="D5" s="514">
        <f>'Demand Breakdown - Methanol'!N41</f>
        <v>1.4E-2</v>
      </c>
      <c r="E5" s="44">
        <f>E4*(1+B5)^30-E4</f>
        <v>4.0791698087209411</v>
      </c>
      <c r="F5" s="44">
        <f>F4*(1+C5)^30-F4</f>
        <v>14.687831629255978</v>
      </c>
      <c r="G5" s="44">
        <f>G4*(1+D5)^30-G4</f>
        <v>5.375379618541487</v>
      </c>
      <c r="H5" s="44">
        <f>H4*(1+'Demand Breakdown - BTX'!L96)^30-H4</f>
        <v>3.2760055988712615</v>
      </c>
      <c r="I5" s="44">
        <f>I4*(1+'Demand Breakdown - BTX'!L96)^30-I4</f>
        <v>1.0642445115451715</v>
      </c>
      <c r="J5" s="44">
        <f>J4*(1+'Demand Breakdown - BTX'!L96)^30-J4</f>
        <v>0.20922113968583655</v>
      </c>
      <c r="K5" s="44">
        <f>'Demand Breakdown - C4'!L30-'Demand Breakdown - C4'!I30</f>
        <v>9.4222885712126612</v>
      </c>
      <c r="L5" s="72"/>
    </row>
    <row r="6" spans="1:14">
      <c r="A6" t="s">
        <v>1125</v>
      </c>
      <c r="E6" s="44">
        <f>SUM(E4:E5)</f>
        <v>39.143980235261218</v>
      </c>
      <c r="F6" s="44">
        <f>SUM(F4:F5)</f>
        <v>41.487618031274089</v>
      </c>
      <c r="G6" s="44">
        <f>SUM(G4:G5)</f>
        <v>15.761888797634372</v>
      </c>
      <c r="H6" s="44">
        <f t="shared" ref="H6:K6" si="0">SUM(H4:H5)</f>
        <v>11.749328265327424</v>
      </c>
      <c r="I6" s="44">
        <f t="shared" si="0"/>
        <v>3.8168915599611708</v>
      </c>
      <c r="J6" s="44">
        <f t="shared" si="0"/>
        <v>0.7503674142259662</v>
      </c>
      <c r="K6" s="44">
        <f t="shared" si="0"/>
        <v>27.179284056620652</v>
      </c>
    </row>
    <row r="7" spans="1:14" ht="16">
      <c r="A7" t="s">
        <v>183</v>
      </c>
      <c r="B7" s="679">
        <v>0</v>
      </c>
      <c r="C7" s="679">
        <v>0</v>
      </c>
      <c r="D7" s="679">
        <v>0</v>
      </c>
      <c r="E7" s="49">
        <f>$E$6*B7</f>
        <v>0</v>
      </c>
      <c r="F7" s="49">
        <f>$F$6*C7</f>
        <v>0</v>
      </c>
      <c r="G7" s="49">
        <f>G$6*$B7</f>
        <v>0</v>
      </c>
      <c r="H7" s="49">
        <f t="shared" ref="H7:J8" si="1">H$6*$B7</f>
        <v>0</v>
      </c>
      <c r="I7" s="49">
        <f t="shared" si="1"/>
        <v>0</v>
      </c>
      <c r="J7" s="49">
        <f t="shared" si="1"/>
        <v>0</v>
      </c>
      <c r="K7" s="49">
        <f>$K$6*D7</f>
        <v>0</v>
      </c>
      <c r="L7" s="54" t="s">
        <v>1254</v>
      </c>
    </row>
    <row r="8" spans="1:14" ht="16">
      <c r="A8" t="s">
        <v>28</v>
      </c>
      <c r="B8" s="679">
        <v>0</v>
      </c>
      <c r="C8" s="679">
        <v>0</v>
      </c>
      <c r="D8" s="679">
        <v>0</v>
      </c>
      <c r="E8" s="49">
        <f>$E$6*B8</f>
        <v>0</v>
      </c>
      <c r="F8" s="49">
        <f>$F$6*C8</f>
        <v>0</v>
      </c>
      <c r="G8" s="49">
        <f>$G$6*D8</f>
        <v>0</v>
      </c>
      <c r="H8" s="49">
        <f t="shared" si="1"/>
        <v>0</v>
      </c>
      <c r="I8" s="49">
        <f t="shared" si="1"/>
        <v>0</v>
      </c>
      <c r="J8" s="49">
        <f t="shared" si="1"/>
        <v>0</v>
      </c>
      <c r="K8" s="49">
        <f>$K$6*D8</f>
        <v>0</v>
      </c>
      <c r="L8" s="54" t="s">
        <v>1254</v>
      </c>
    </row>
    <row r="9" spans="1:14">
      <c r="A9" t="s">
        <v>1129</v>
      </c>
      <c r="B9" s="48"/>
      <c r="E9" s="44">
        <f>E6-E7-E8</f>
        <v>39.143980235261218</v>
      </c>
      <c r="F9" s="44">
        <f>F6-F7-F8</f>
        <v>41.487618031274089</v>
      </c>
      <c r="G9" s="44">
        <f>G6-G7-G8</f>
        <v>15.761888797634372</v>
      </c>
      <c r="H9" s="44">
        <f t="shared" ref="H9:K9" si="2">H6-H7-H8</f>
        <v>11.749328265327424</v>
      </c>
      <c r="I9" s="44">
        <f t="shared" si="2"/>
        <v>3.8168915599611708</v>
      </c>
      <c r="J9" s="44">
        <f t="shared" si="2"/>
        <v>0.7503674142259662</v>
      </c>
      <c r="K9" s="44">
        <f t="shared" si="2"/>
        <v>27.179284056620652</v>
      </c>
    </row>
    <row r="11" spans="1:14">
      <c r="A11" t="s">
        <v>1143</v>
      </c>
      <c r="B11" s="56">
        <f>100%</f>
        <v>1</v>
      </c>
    </row>
    <row r="12" spans="1:14">
      <c r="A12" t="s">
        <v>1146</v>
      </c>
      <c r="B12" s="56">
        <v>0.5</v>
      </c>
    </row>
    <row r="13" spans="1:14">
      <c r="B13" s="56"/>
      <c r="E13" t="s">
        <v>1154</v>
      </c>
    </row>
    <row r="14" spans="1:14">
      <c r="B14" t="s">
        <v>1162</v>
      </c>
      <c r="C14" t="s">
        <v>1163</v>
      </c>
      <c r="E14" t="s">
        <v>1155</v>
      </c>
      <c r="F14" t="s">
        <v>1162</v>
      </c>
      <c r="G14" t="s">
        <v>1163</v>
      </c>
    </row>
    <row r="15" spans="1:14">
      <c r="A15" t="s">
        <v>1150</v>
      </c>
      <c r="B15" s="55">
        <v>0.33</v>
      </c>
      <c r="C15" s="55">
        <v>0.33</v>
      </c>
      <c r="D15" s="55"/>
      <c r="E15">
        <v>2030</v>
      </c>
      <c r="F15" s="41">
        <f>$C$7*$B$11*B15</f>
        <v>0</v>
      </c>
      <c r="G15" s="41">
        <f>$C$8*$B$11*C15</f>
        <v>0</v>
      </c>
      <c r="N15" s="41"/>
    </row>
    <row r="16" spans="1:14">
      <c r="A16" t="s">
        <v>1151</v>
      </c>
      <c r="B16" s="55">
        <v>0.66</v>
      </c>
      <c r="C16" s="55">
        <v>0.66</v>
      </c>
      <c r="D16" s="55"/>
      <c r="E16">
        <v>2040</v>
      </c>
      <c r="F16" s="41">
        <f>$C$7*$B$11*B16</f>
        <v>0</v>
      </c>
      <c r="G16" s="41">
        <f>$C$8*$B$11*C16</f>
        <v>0</v>
      </c>
      <c r="N16" s="41"/>
    </row>
    <row r="17" spans="1:14">
      <c r="A17" t="s">
        <v>1152</v>
      </c>
      <c r="B17" s="55">
        <v>1</v>
      </c>
      <c r="C17" s="55">
        <v>1</v>
      </c>
      <c r="D17" s="55"/>
      <c r="E17">
        <v>2050</v>
      </c>
      <c r="F17" s="41">
        <f>$C$7*$B$11*B17</f>
        <v>0</v>
      </c>
      <c r="G17" s="41">
        <f>$C$8*$B$11*C17</f>
        <v>0</v>
      </c>
      <c r="N17" s="41"/>
    </row>
    <row r="18" spans="1:14">
      <c r="A18" s="54" t="s">
        <v>96</v>
      </c>
      <c r="B18" s="177" t="s">
        <v>1255</v>
      </c>
      <c r="E18" t="s">
        <v>1159</v>
      </c>
      <c r="F18" t="s">
        <v>1162</v>
      </c>
      <c r="G18" t="s">
        <v>1163</v>
      </c>
    </row>
    <row r="19" spans="1:14">
      <c r="E19">
        <v>2030</v>
      </c>
      <c r="F19" s="41">
        <f>$C$7*$B$12*B15</f>
        <v>0</v>
      </c>
      <c r="G19" s="41">
        <f>$C$8*$B$12*C15</f>
        <v>0</v>
      </c>
      <c r="N19" s="41"/>
    </row>
    <row r="20" spans="1:14">
      <c r="E20">
        <v>2040</v>
      </c>
      <c r="F20" s="41">
        <f>$C$7*$B$12*B16</f>
        <v>0</v>
      </c>
      <c r="G20" s="41">
        <f>$C$8*$B$12*C16</f>
        <v>0</v>
      </c>
      <c r="N20" s="41"/>
    </row>
    <row r="21" spans="1:14">
      <c r="E21">
        <v>2050</v>
      </c>
      <c r="F21" s="41">
        <f>$C$7*$B$12*B17</f>
        <v>0</v>
      </c>
      <c r="G21" s="41">
        <f>$C$8*$B$12*C17</f>
        <v>0</v>
      </c>
      <c r="N21" s="41"/>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FB92-9953-4830-B180-5AABF3C7FD31}">
  <sheetPr>
    <tabColor theme="4"/>
  </sheetPr>
  <dimension ref="A1:BL295"/>
  <sheetViews>
    <sheetView topLeftCell="A194" zoomScale="70" zoomScaleNormal="70" workbookViewId="0">
      <selection activeCell="A218" sqref="A218"/>
    </sheetView>
  </sheetViews>
  <sheetFormatPr baseColWidth="10" defaultColWidth="8.83203125" defaultRowHeight="15" outlineLevelRow="2" outlineLevelCol="1"/>
  <cols>
    <col min="1" max="1" width="6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1260</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7">
        <f>C11</f>
        <v>0.28391936890149011</v>
      </c>
      <c r="E11" s="127">
        <f t="shared" si="4"/>
        <v>0.28391936890149011</v>
      </c>
      <c r="F11" s="127">
        <f t="shared" si="4"/>
        <v>0.28391936890149011</v>
      </c>
      <c r="G11" s="127">
        <f t="shared" si="4"/>
        <v>0.28391936890149011</v>
      </c>
      <c r="H11" s="127">
        <f t="shared" si="4"/>
        <v>0.28391936890149011</v>
      </c>
      <c r="I11" s="127">
        <f t="shared" si="4"/>
        <v>0.28391936890149011</v>
      </c>
      <c r="J11" s="127">
        <f t="shared" si="4"/>
        <v>0.28391936890149011</v>
      </c>
      <c r="K11" s="127">
        <f t="shared" si="4"/>
        <v>0.28391936890149011</v>
      </c>
      <c r="L11" s="127">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1276</v>
      </c>
      <c r="B21" s="54" t="s">
        <v>462</v>
      </c>
      <c r="C21" s="110">
        <f>'Ethylene Recycling HC'!C21</f>
        <v>0.53559976833583545</v>
      </c>
      <c r="D21" s="110">
        <f>C21</f>
        <v>0.53559976833583545</v>
      </c>
      <c r="E21" s="110">
        <f t="shared" ref="E21:AF22" si="10">D21</f>
        <v>0.53559976833583545</v>
      </c>
      <c r="F21" s="110">
        <f t="shared" si="10"/>
        <v>0.53559976833583545</v>
      </c>
      <c r="G21" s="110">
        <f t="shared" si="10"/>
        <v>0.53559976833583545</v>
      </c>
      <c r="H21" s="110">
        <f t="shared" si="10"/>
        <v>0.53559976833583545</v>
      </c>
      <c r="I21" s="110">
        <f t="shared" si="10"/>
        <v>0.53559976833583545</v>
      </c>
      <c r="J21" s="110">
        <f t="shared" si="10"/>
        <v>0.53559976833583545</v>
      </c>
      <c r="K21" s="110">
        <f t="shared" si="10"/>
        <v>0.53559976833583545</v>
      </c>
      <c r="L21" s="110">
        <f t="shared" si="10"/>
        <v>0.53559976833583545</v>
      </c>
      <c r="M21" s="110">
        <f t="shared" si="10"/>
        <v>0.53559976833583545</v>
      </c>
      <c r="N21" s="110">
        <f t="shared" si="10"/>
        <v>0.53559976833583545</v>
      </c>
      <c r="O21" s="110">
        <f t="shared" si="10"/>
        <v>0.53559976833583545</v>
      </c>
      <c r="P21" s="110">
        <f t="shared" si="10"/>
        <v>0.53559976833583545</v>
      </c>
      <c r="Q21" s="110">
        <f t="shared" si="10"/>
        <v>0.53559976833583545</v>
      </c>
      <c r="R21" s="110">
        <f t="shared" si="10"/>
        <v>0.53559976833583545</v>
      </c>
      <c r="S21" s="110">
        <f t="shared" si="10"/>
        <v>0.53559976833583545</v>
      </c>
      <c r="T21" s="110">
        <f t="shared" si="10"/>
        <v>0.53559976833583545</v>
      </c>
      <c r="U21" s="110">
        <f t="shared" si="10"/>
        <v>0.53559976833583545</v>
      </c>
      <c r="V21" s="110">
        <f t="shared" si="10"/>
        <v>0.53559976833583545</v>
      </c>
      <c r="W21" s="110">
        <f t="shared" si="10"/>
        <v>0.53559976833583545</v>
      </c>
      <c r="X21" s="110">
        <f t="shared" si="10"/>
        <v>0.53559976833583545</v>
      </c>
      <c r="Y21" s="110">
        <f t="shared" si="10"/>
        <v>0.53559976833583545</v>
      </c>
      <c r="Z21" s="110">
        <f t="shared" si="10"/>
        <v>0.53559976833583545</v>
      </c>
      <c r="AA21" s="110">
        <f t="shared" si="10"/>
        <v>0.53559976833583545</v>
      </c>
      <c r="AB21" s="110">
        <f t="shared" si="10"/>
        <v>0.53559976833583545</v>
      </c>
      <c r="AC21" s="110">
        <f t="shared" si="10"/>
        <v>0.53559976833583545</v>
      </c>
      <c r="AD21" s="110">
        <f t="shared" si="10"/>
        <v>0.53559976833583545</v>
      </c>
      <c r="AE21" s="110">
        <f t="shared" si="10"/>
        <v>0.53559976833583545</v>
      </c>
      <c r="AF21" s="110">
        <f t="shared" si="10"/>
        <v>0.53559976833583545</v>
      </c>
      <c r="AG21" s="110">
        <f>AF21</f>
        <v>0.53559976833583545</v>
      </c>
      <c r="AI21" s="54" t="s">
        <v>1263</v>
      </c>
      <c r="AJ21" s="211"/>
      <c r="AM21" s="115"/>
      <c r="AN21" s="115"/>
      <c r="AO21" s="115"/>
      <c r="AP21" s="115"/>
      <c r="AQ21" s="115"/>
    </row>
    <row r="22" spans="1:64" outlineLevel="1">
      <c r="A22" t="s">
        <v>1277</v>
      </c>
      <c r="B22" s="54" t="s">
        <v>462</v>
      </c>
      <c r="C22" s="110">
        <f>'Ethylene Recycling HC'!C22</f>
        <v>0.12059259167888789</v>
      </c>
      <c r="D22" s="110">
        <f t="shared" ref="D22:S25" si="11">C22</f>
        <v>0.12059259167888789</v>
      </c>
      <c r="E22" s="110">
        <f t="shared" si="11"/>
        <v>0.12059259167888789</v>
      </c>
      <c r="F22" s="110">
        <f t="shared" si="11"/>
        <v>0.12059259167888789</v>
      </c>
      <c r="G22" s="110">
        <f t="shared" si="11"/>
        <v>0.12059259167888789</v>
      </c>
      <c r="H22" s="110">
        <f t="shared" si="11"/>
        <v>0.12059259167888789</v>
      </c>
      <c r="I22" s="110">
        <f t="shared" si="11"/>
        <v>0.12059259167888789</v>
      </c>
      <c r="J22" s="110">
        <f t="shared" si="11"/>
        <v>0.12059259167888789</v>
      </c>
      <c r="K22" s="110">
        <f t="shared" si="11"/>
        <v>0.12059259167888789</v>
      </c>
      <c r="L22" s="110">
        <f t="shared" si="11"/>
        <v>0.12059259167888789</v>
      </c>
      <c r="M22" s="110">
        <f t="shared" si="11"/>
        <v>0.12059259167888789</v>
      </c>
      <c r="N22" s="110">
        <f t="shared" si="11"/>
        <v>0.12059259167888789</v>
      </c>
      <c r="O22" s="110">
        <f t="shared" si="11"/>
        <v>0.12059259167888789</v>
      </c>
      <c r="P22" s="110">
        <f t="shared" si="11"/>
        <v>0.12059259167888789</v>
      </c>
      <c r="Q22" s="110">
        <f t="shared" si="11"/>
        <v>0.12059259167888789</v>
      </c>
      <c r="R22" s="110">
        <f t="shared" si="11"/>
        <v>0.12059259167888789</v>
      </c>
      <c r="S22" s="110">
        <f t="shared" si="11"/>
        <v>0.12059259167888789</v>
      </c>
      <c r="T22" s="110">
        <f t="shared" si="10"/>
        <v>0.12059259167888789</v>
      </c>
      <c r="U22" s="110">
        <f t="shared" si="10"/>
        <v>0.12059259167888789</v>
      </c>
      <c r="V22" s="110">
        <f t="shared" si="10"/>
        <v>0.12059259167888789</v>
      </c>
      <c r="W22" s="110">
        <f t="shared" si="10"/>
        <v>0.12059259167888789</v>
      </c>
      <c r="X22" s="110">
        <f t="shared" si="10"/>
        <v>0.12059259167888789</v>
      </c>
      <c r="Y22" s="110">
        <f t="shared" si="10"/>
        <v>0.12059259167888789</v>
      </c>
      <c r="Z22" s="110">
        <f t="shared" si="10"/>
        <v>0.12059259167888789</v>
      </c>
      <c r="AA22" s="110">
        <f t="shared" si="10"/>
        <v>0.12059259167888789</v>
      </c>
      <c r="AB22" s="110">
        <f t="shared" si="10"/>
        <v>0.12059259167888789</v>
      </c>
      <c r="AC22" s="110">
        <f t="shared" si="10"/>
        <v>0.12059259167888789</v>
      </c>
      <c r="AD22" s="110">
        <f t="shared" si="10"/>
        <v>0.12059259167888789</v>
      </c>
      <c r="AE22" s="110">
        <f t="shared" si="10"/>
        <v>0.12059259167888789</v>
      </c>
      <c r="AF22" s="110">
        <f t="shared" si="10"/>
        <v>0.12059259167888789</v>
      </c>
      <c r="AG22" s="110">
        <f t="shared" ref="T22:AG25" si="12">AF22</f>
        <v>0.12059259167888789</v>
      </c>
      <c r="AI22" s="54" t="s">
        <v>1263</v>
      </c>
      <c r="AJ22" s="211"/>
      <c r="AM22" s="120"/>
      <c r="AN22" s="115"/>
      <c r="AO22" s="116"/>
      <c r="AP22" s="117"/>
      <c r="AQ22" s="116"/>
    </row>
    <row r="23" spans="1:64" outlineLevel="1">
      <c r="A23" t="s">
        <v>1278</v>
      </c>
      <c r="B23" s="54" t="s">
        <v>462</v>
      </c>
      <c r="C23" s="110">
        <f>'Ethylene Recycling HC'!C23</f>
        <v>0.40344579328579167</v>
      </c>
      <c r="D23" s="110">
        <f t="shared" si="11"/>
        <v>0.40344579328579167</v>
      </c>
      <c r="E23" s="110">
        <f t="shared" si="11"/>
        <v>0.40344579328579167</v>
      </c>
      <c r="F23" s="110">
        <f t="shared" si="11"/>
        <v>0.40344579328579167</v>
      </c>
      <c r="G23" s="110">
        <f t="shared" si="11"/>
        <v>0.40344579328579167</v>
      </c>
      <c r="H23" s="110">
        <f t="shared" si="11"/>
        <v>0.40344579328579167</v>
      </c>
      <c r="I23" s="110">
        <f t="shared" si="11"/>
        <v>0.40344579328579167</v>
      </c>
      <c r="J23" s="110">
        <f t="shared" si="11"/>
        <v>0.40344579328579167</v>
      </c>
      <c r="K23" s="110">
        <f t="shared" si="11"/>
        <v>0.40344579328579167</v>
      </c>
      <c r="L23" s="110">
        <f t="shared" si="11"/>
        <v>0.40344579328579167</v>
      </c>
      <c r="M23" s="110">
        <f t="shared" si="11"/>
        <v>0.40344579328579167</v>
      </c>
      <c r="N23" s="110">
        <f t="shared" si="11"/>
        <v>0.40344579328579167</v>
      </c>
      <c r="O23" s="110">
        <f t="shared" si="11"/>
        <v>0.40344579328579167</v>
      </c>
      <c r="P23" s="110">
        <f t="shared" si="11"/>
        <v>0.40344579328579167</v>
      </c>
      <c r="Q23" s="110">
        <f t="shared" si="11"/>
        <v>0.40344579328579167</v>
      </c>
      <c r="R23" s="110">
        <f t="shared" si="11"/>
        <v>0.40344579328579167</v>
      </c>
      <c r="S23" s="110">
        <f t="shared" si="11"/>
        <v>0.40344579328579167</v>
      </c>
      <c r="T23" s="110">
        <f t="shared" si="12"/>
        <v>0.40344579328579167</v>
      </c>
      <c r="U23" s="110">
        <f t="shared" si="12"/>
        <v>0.40344579328579167</v>
      </c>
      <c r="V23" s="110">
        <f t="shared" si="12"/>
        <v>0.40344579328579167</v>
      </c>
      <c r="W23" s="110">
        <f t="shared" si="12"/>
        <v>0.40344579328579167</v>
      </c>
      <c r="X23" s="110">
        <f t="shared" si="12"/>
        <v>0.40344579328579167</v>
      </c>
      <c r="Y23" s="110">
        <f t="shared" si="12"/>
        <v>0.40344579328579167</v>
      </c>
      <c r="Z23" s="110">
        <f t="shared" si="12"/>
        <v>0.40344579328579167</v>
      </c>
      <c r="AA23" s="110">
        <f t="shared" si="12"/>
        <v>0.40344579328579167</v>
      </c>
      <c r="AB23" s="110">
        <f t="shared" si="12"/>
        <v>0.40344579328579167</v>
      </c>
      <c r="AC23" s="110">
        <f t="shared" si="12"/>
        <v>0.40344579328579167</v>
      </c>
      <c r="AD23" s="110">
        <f t="shared" si="12"/>
        <v>0.40344579328579167</v>
      </c>
      <c r="AE23" s="110">
        <f t="shared" si="12"/>
        <v>0.40344579328579167</v>
      </c>
      <c r="AF23" s="110">
        <f t="shared" si="12"/>
        <v>0.40344579328579167</v>
      </c>
      <c r="AG23" s="110">
        <f t="shared" si="12"/>
        <v>0.40344579328579167</v>
      </c>
      <c r="AI23" s="54" t="s">
        <v>1263</v>
      </c>
      <c r="AJ23" s="211"/>
      <c r="AM23" s="120"/>
      <c r="AN23" s="115"/>
      <c r="AO23" s="116"/>
      <c r="AP23" s="117"/>
      <c r="AQ23" s="116"/>
    </row>
    <row r="24" spans="1:64" outlineLevel="1">
      <c r="A24" t="s">
        <v>1279</v>
      </c>
      <c r="B24" s="54" t="s">
        <v>462</v>
      </c>
      <c r="C24" s="110">
        <f>'Ethylene Recycling HC'!C24</f>
        <v>0.12870939312767635</v>
      </c>
      <c r="D24" s="110">
        <f t="shared" si="11"/>
        <v>0.12870939312767635</v>
      </c>
      <c r="E24" s="110">
        <f t="shared" si="11"/>
        <v>0.12870939312767635</v>
      </c>
      <c r="F24" s="110">
        <f t="shared" si="11"/>
        <v>0.12870939312767635</v>
      </c>
      <c r="G24" s="110">
        <f t="shared" si="11"/>
        <v>0.12870939312767635</v>
      </c>
      <c r="H24" s="110">
        <f t="shared" si="11"/>
        <v>0.12870939312767635</v>
      </c>
      <c r="I24" s="110">
        <f t="shared" si="11"/>
        <v>0.12870939312767635</v>
      </c>
      <c r="J24" s="110">
        <f t="shared" si="11"/>
        <v>0.12870939312767635</v>
      </c>
      <c r="K24" s="110">
        <f t="shared" si="11"/>
        <v>0.12870939312767635</v>
      </c>
      <c r="L24" s="110">
        <f t="shared" si="11"/>
        <v>0.12870939312767635</v>
      </c>
      <c r="M24" s="110">
        <f t="shared" si="11"/>
        <v>0.12870939312767635</v>
      </c>
      <c r="N24" s="110">
        <f t="shared" si="11"/>
        <v>0.12870939312767635</v>
      </c>
      <c r="O24" s="110">
        <f t="shared" si="11"/>
        <v>0.12870939312767635</v>
      </c>
      <c r="P24" s="110">
        <f t="shared" si="11"/>
        <v>0.12870939312767635</v>
      </c>
      <c r="Q24" s="110">
        <f t="shared" si="11"/>
        <v>0.12870939312767635</v>
      </c>
      <c r="R24" s="110">
        <f t="shared" si="11"/>
        <v>0.12870939312767635</v>
      </c>
      <c r="S24" s="110">
        <f t="shared" si="11"/>
        <v>0.12870939312767635</v>
      </c>
      <c r="T24" s="110">
        <f t="shared" si="12"/>
        <v>0.12870939312767635</v>
      </c>
      <c r="U24" s="110">
        <f t="shared" si="12"/>
        <v>0.12870939312767635</v>
      </c>
      <c r="V24" s="110">
        <f t="shared" si="12"/>
        <v>0.12870939312767635</v>
      </c>
      <c r="W24" s="110">
        <f t="shared" si="12"/>
        <v>0.12870939312767635</v>
      </c>
      <c r="X24" s="110">
        <f t="shared" si="12"/>
        <v>0.12870939312767635</v>
      </c>
      <c r="Y24" s="110">
        <f t="shared" si="12"/>
        <v>0.12870939312767635</v>
      </c>
      <c r="Z24" s="110">
        <f t="shared" si="12"/>
        <v>0.12870939312767635</v>
      </c>
      <c r="AA24" s="110">
        <f t="shared" si="12"/>
        <v>0.12870939312767635</v>
      </c>
      <c r="AB24" s="110">
        <f t="shared" si="12"/>
        <v>0.12870939312767635</v>
      </c>
      <c r="AC24" s="110">
        <f t="shared" si="12"/>
        <v>0.12870939312767635</v>
      </c>
      <c r="AD24" s="110">
        <f t="shared" si="12"/>
        <v>0.12870939312767635</v>
      </c>
      <c r="AE24" s="110">
        <f t="shared" si="12"/>
        <v>0.12870939312767635</v>
      </c>
      <c r="AF24" s="110">
        <f t="shared" si="12"/>
        <v>0.12870939312767635</v>
      </c>
      <c r="AG24" s="110">
        <f t="shared" si="12"/>
        <v>0.12870939312767635</v>
      </c>
      <c r="AI24" s="54" t="s">
        <v>1280</v>
      </c>
      <c r="AJ24" s="211"/>
      <c r="AM24" s="120"/>
      <c r="AN24" s="115"/>
      <c r="AO24" s="116"/>
      <c r="AP24" s="117"/>
      <c r="AQ24" s="116"/>
    </row>
    <row r="25" spans="1:64" outlineLevel="1">
      <c r="A25" t="s">
        <v>1281</v>
      </c>
      <c r="B25" s="54" t="s">
        <v>462</v>
      </c>
      <c r="C25" s="110">
        <f>'Ethylene Recycling HC'!C25</f>
        <v>0.27152478293850724</v>
      </c>
      <c r="D25" s="110">
        <f>C25</f>
        <v>0.27152478293850724</v>
      </c>
      <c r="E25" s="110">
        <f t="shared" si="11"/>
        <v>0.27152478293850724</v>
      </c>
      <c r="F25" s="110">
        <f t="shared" si="11"/>
        <v>0.27152478293850724</v>
      </c>
      <c r="G25" s="110">
        <f t="shared" si="11"/>
        <v>0.27152478293850724</v>
      </c>
      <c r="H25" s="110">
        <f t="shared" si="11"/>
        <v>0.27152478293850724</v>
      </c>
      <c r="I25" s="110">
        <f t="shared" si="11"/>
        <v>0.27152478293850724</v>
      </c>
      <c r="J25" s="110">
        <f t="shared" si="11"/>
        <v>0.27152478293850724</v>
      </c>
      <c r="K25" s="110">
        <f t="shared" si="11"/>
        <v>0.27152478293850724</v>
      </c>
      <c r="L25" s="110">
        <f t="shared" si="11"/>
        <v>0.27152478293850724</v>
      </c>
      <c r="M25" s="110">
        <f t="shared" si="11"/>
        <v>0.27152478293850724</v>
      </c>
      <c r="N25" s="110">
        <f t="shared" si="11"/>
        <v>0.27152478293850724</v>
      </c>
      <c r="O25" s="110">
        <f t="shared" si="11"/>
        <v>0.27152478293850724</v>
      </c>
      <c r="P25" s="110">
        <f t="shared" si="11"/>
        <v>0.27152478293850724</v>
      </c>
      <c r="Q25" s="110">
        <f t="shared" si="11"/>
        <v>0.27152478293850724</v>
      </c>
      <c r="R25" s="110">
        <f t="shared" si="11"/>
        <v>0.27152478293850724</v>
      </c>
      <c r="S25" s="110">
        <f t="shared" si="11"/>
        <v>0.27152478293850724</v>
      </c>
      <c r="T25" s="110">
        <f t="shared" si="12"/>
        <v>0.27152478293850724</v>
      </c>
      <c r="U25" s="110">
        <f t="shared" si="12"/>
        <v>0.27152478293850724</v>
      </c>
      <c r="V25" s="110">
        <f t="shared" si="12"/>
        <v>0.27152478293850724</v>
      </c>
      <c r="W25" s="110">
        <f t="shared" si="12"/>
        <v>0.27152478293850724</v>
      </c>
      <c r="X25" s="110">
        <f t="shared" si="12"/>
        <v>0.27152478293850724</v>
      </c>
      <c r="Y25" s="110">
        <f t="shared" si="12"/>
        <v>0.27152478293850724</v>
      </c>
      <c r="Z25" s="110">
        <f t="shared" si="12"/>
        <v>0.27152478293850724</v>
      </c>
      <c r="AA25" s="110">
        <f t="shared" si="12"/>
        <v>0.27152478293850724</v>
      </c>
      <c r="AB25" s="110">
        <f t="shared" si="12"/>
        <v>0.27152478293850724</v>
      </c>
      <c r="AC25" s="110">
        <f t="shared" si="12"/>
        <v>0.27152478293850724</v>
      </c>
      <c r="AD25" s="110">
        <f t="shared" si="12"/>
        <v>0.27152478293850724</v>
      </c>
      <c r="AE25" s="110">
        <f t="shared" si="12"/>
        <v>0.27152478293850724</v>
      </c>
      <c r="AF25" s="110">
        <f t="shared" si="12"/>
        <v>0.27152478293850724</v>
      </c>
      <c r="AG25" s="110">
        <f t="shared" si="12"/>
        <v>0.27152478293850724</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1282</v>
      </c>
      <c r="B27" s="54" t="s">
        <v>1283</v>
      </c>
      <c r="C27" s="204">
        <f>C14*C21</f>
        <v>102.83867964679865</v>
      </c>
      <c r="D27" s="204">
        <f t="shared" ref="D27:AG27" si="13">D14*D21</f>
        <v>106.28598640768944</v>
      </c>
      <c r="E27" s="204">
        <f t="shared" si="13"/>
        <v>109.5616995008031</v>
      </c>
      <c r="F27" s="204">
        <f t="shared" si="13"/>
        <v>112.64333563181849</v>
      </c>
      <c r="G27" s="204">
        <f t="shared" si="13"/>
        <v>115.50931122200963</v>
      </c>
      <c r="H27" s="204">
        <f t="shared" si="13"/>
        <v>118.13919421573216</v>
      </c>
      <c r="I27" s="204">
        <f t="shared" si="13"/>
        <v>120.77395041935485</v>
      </c>
      <c r="J27" s="204">
        <f t="shared" si="13"/>
        <v>123.4111943053117</v>
      </c>
      <c r="K27" s="204">
        <f t="shared" si="13"/>
        <v>126.04847978225341</v>
      </c>
      <c r="L27" s="204">
        <f t="shared" si="13"/>
        <v>128.68330337612264</v>
      </c>
      <c r="M27" s="204">
        <f t="shared" si="13"/>
        <v>131.31310762622246</v>
      </c>
      <c r="N27" s="204">
        <f t="shared" si="13"/>
        <v>133.74365133866885</v>
      </c>
      <c r="O27" s="204">
        <f t="shared" si="13"/>
        <v>135.96145428106598</v>
      </c>
      <c r="P27" s="204">
        <f t="shared" si="13"/>
        <v>137.95398835278621</v>
      </c>
      <c r="Q27" s="204">
        <f t="shared" si="13"/>
        <v>139.70979402380797</v>
      </c>
      <c r="R27" s="204">
        <f t="shared" si="13"/>
        <v>141.21858889442359</v>
      </c>
      <c r="S27" s="204">
        <f t="shared" si="13"/>
        <v>142.72805331994462</v>
      </c>
      <c r="T27" s="204">
        <f t="shared" si="13"/>
        <v>144.23785099543639</v>
      </c>
      <c r="U27" s="204">
        <f t="shared" si="13"/>
        <v>145.74764157846025</v>
      </c>
      <c r="V27" s="204">
        <f t="shared" si="13"/>
        <v>147.25708079644534</v>
      </c>
      <c r="W27" s="204">
        <f t="shared" si="13"/>
        <v>148.76582055762699</v>
      </c>
      <c r="X27" s="204">
        <f t="shared" si="13"/>
        <v>150.27516423982337</v>
      </c>
      <c r="Y27" s="204">
        <f t="shared" si="13"/>
        <v>151.78480881836185</v>
      </c>
      <c r="Z27" s="204">
        <f t="shared" si="13"/>
        <v>153.2944478440792</v>
      </c>
      <c r="AA27" s="204">
        <f t="shared" si="13"/>
        <v>154.80377153088244</v>
      </c>
      <c r="AB27" s="204">
        <f t="shared" si="13"/>
        <v>156.31246684603533</v>
      </c>
      <c r="AC27" s="204">
        <f t="shared" si="13"/>
        <v>157.82170967288491</v>
      </c>
      <c r="AD27" s="204">
        <f t="shared" si="13"/>
        <v>159.33122553085934</v>
      </c>
      <c r="AE27" s="204">
        <f t="shared" si="13"/>
        <v>160.84073700912998</v>
      </c>
      <c r="AF27" s="204">
        <f t="shared" si="13"/>
        <v>162.34996383873036</v>
      </c>
      <c r="AG27" s="204">
        <f t="shared" si="13"/>
        <v>163.85862296678792</v>
      </c>
      <c r="AM27" s="120"/>
      <c r="AN27" s="115"/>
      <c r="AO27" s="115"/>
      <c r="AP27" s="115"/>
      <c r="AQ27" s="115"/>
      <c r="BD27" s="205"/>
      <c r="BE27" s="205"/>
      <c r="BF27" s="205"/>
      <c r="BG27" s="205"/>
      <c r="BH27" s="205"/>
      <c r="BI27" s="205"/>
      <c r="BJ27" s="205"/>
      <c r="BK27" s="205"/>
      <c r="BL27" s="205"/>
    </row>
    <row r="28" spans="1:64" outlineLevel="1">
      <c r="A28" t="s">
        <v>1284</v>
      </c>
      <c r="B28" s="54" t="s">
        <v>1283</v>
      </c>
      <c r="C28" s="204">
        <f t="shared" ref="C28:AG31" si="14">C15*C22</f>
        <v>2.1856442000720988</v>
      </c>
      <c r="D28" s="204">
        <f t="shared" si="14"/>
        <v>2.2589102712982947</v>
      </c>
      <c r="E28" s="204">
        <f t="shared" si="14"/>
        <v>2.3285294393744862</v>
      </c>
      <c r="F28" s="204">
        <f t="shared" si="14"/>
        <v>2.3940238638421976</v>
      </c>
      <c r="G28" s="204">
        <f t="shared" si="14"/>
        <v>2.4549348260187185</v>
      </c>
      <c r="H28" s="204">
        <f t="shared" si="14"/>
        <v>2.5108280806952612</v>
      </c>
      <c r="I28" s="204">
        <f t="shared" si="14"/>
        <v>2.5668249063529807</v>
      </c>
      <c r="J28" s="204">
        <f t="shared" si="14"/>
        <v>2.6228746030557586</v>
      </c>
      <c r="K28" s="204">
        <f t="shared" si="14"/>
        <v>2.6789251836972952</v>
      </c>
      <c r="L28" s="204">
        <f t="shared" si="14"/>
        <v>2.7349234416089296</v>
      </c>
      <c r="M28" s="204">
        <f t="shared" si="14"/>
        <v>2.7908150227367376</v>
      </c>
      <c r="N28" s="204">
        <f t="shared" si="14"/>
        <v>2.8424716930321492</v>
      </c>
      <c r="O28" s="204">
        <f t="shared" si="14"/>
        <v>2.8896069553147976</v>
      </c>
      <c r="P28" s="204">
        <f t="shared" si="14"/>
        <v>2.9319545481880098</v>
      </c>
      <c r="Q28" s="204">
        <f t="shared" si="14"/>
        <v>2.9692709207289902</v>
      </c>
      <c r="R28" s="204">
        <f t="shared" si="14"/>
        <v>3.0013375397227922</v>
      </c>
      <c r="S28" s="204">
        <f t="shared" si="14"/>
        <v>3.0334183888564659</v>
      </c>
      <c r="T28" s="204">
        <f t="shared" si="14"/>
        <v>3.0655063205962985</v>
      </c>
      <c r="U28" s="204">
        <f t="shared" si="14"/>
        <v>3.0975941015989621</v>
      </c>
      <c r="V28" s="204">
        <f t="shared" si="14"/>
        <v>3.1296744149935063</v>
      </c>
      <c r="W28" s="204">
        <f t="shared" si="14"/>
        <v>3.1617398627391444</v>
      </c>
      <c r="X28" s="204">
        <f t="shared" si="14"/>
        <v>3.1938181456988057</v>
      </c>
      <c r="Y28" s="204">
        <f t="shared" si="14"/>
        <v>3.2259028236486325</v>
      </c>
      <c r="Z28" s="204">
        <f t="shared" si="14"/>
        <v>3.2579873835836088</v>
      </c>
      <c r="AA28" s="204">
        <f t="shared" si="14"/>
        <v>3.2900652415785085</v>
      </c>
      <c r="AB28" s="204">
        <f t="shared" si="14"/>
        <v>3.3221297447067584</v>
      </c>
      <c r="AC28" s="204">
        <f t="shared" si="14"/>
        <v>3.3542058841742581</v>
      </c>
      <c r="AD28" s="204">
        <f t="shared" si="14"/>
        <v>3.3862878264087373</v>
      </c>
      <c r="AE28" s="204">
        <f t="shared" si="14"/>
        <v>3.4183696755607862</v>
      </c>
      <c r="AF28" s="204">
        <f t="shared" si="14"/>
        <v>3.4504454750366103</v>
      </c>
      <c r="AG28" s="204">
        <f t="shared" si="14"/>
        <v>3.4825092090756877</v>
      </c>
      <c r="AM28" s="206"/>
      <c r="BD28" s="205"/>
      <c r="BE28" s="205"/>
      <c r="BF28" s="205"/>
      <c r="BG28" s="205"/>
      <c r="BH28" s="205"/>
      <c r="BI28" s="205"/>
      <c r="BJ28" s="205"/>
      <c r="BK28" s="205"/>
      <c r="BL28" s="205"/>
    </row>
    <row r="29" spans="1:64" outlineLevel="1">
      <c r="A29" t="s">
        <v>1285</v>
      </c>
      <c r="B29" s="54" t="s">
        <v>1283</v>
      </c>
      <c r="C29" s="204">
        <f t="shared" si="14"/>
        <v>5.752639614679981</v>
      </c>
      <c r="D29" s="204">
        <f t="shared" si="14"/>
        <v>5.945476721348065</v>
      </c>
      <c r="E29" s="204">
        <f t="shared" si="14"/>
        <v>6.1287151387459886</v>
      </c>
      <c r="F29" s="204">
        <f t="shared" si="14"/>
        <v>6.301097185522492</v>
      </c>
      <c r="G29" s="204">
        <f t="shared" si="14"/>
        <v>6.4614155090508003</v>
      </c>
      <c r="H29" s="204">
        <f t="shared" si="14"/>
        <v>6.6085271711571334</v>
      </c>
      <c r="I29" s="204">
        <f t="shared" si="14"/>
        <v>6.7559114332270083</v>
      </c>
      <c r="J29" s="204">
        <f t="shared" si="14"/>
        <v>6.9034348524699753</v>
      </c>
      <c r="K29" s="204">
        <f t="shared" si="14"/>
        <v>7.0509605982494961</v>
      </c>
      <c r="L29" s="204">
        <f t="shared" si="14"/>
        <v>7.1983486300274544</v>
      </c>
      <c r="M29" s="204">
        <f t="shared" si="14"/>
        <v>7.3454558873350795</v>
      </c>
      <c r="N29" s="204">
        <f t="shared" si="14"/>
        <v>7.4814168126741842</v>
      </c>
      <c r="O29" s="204">
        <f t="shared" si="14"/>
        <v>7.6054773423095892</v>
      </c>
      <c r="P29" s="204">
        <f t="shared" si="14"/>
        <v>7.7169366733117464</v>
      </c>
      <c r="Q29" s="204">
        <f t="shared" si="14"/>
        <v>7.8151537769685619</v>
      </c>
      <c r="R29" s="204">
        <f t="shared" si="14"/>
        <v>7.8995534714506324</v>
      </c>
      <c r="S29" s="204">
        <f t="shared" si="14"/>
        <v>7.9839906198176243</v>
      </c>
      <c r="T29" s="204">
        <f t="shared" si="14"/>
        <v>8.0684464096820587</v>
      </c>
      <c r="U29" s="204">
        <f t="shared" si="14"/>
        <v>8.1529018028046014</v>
      </c>
      <c r="V29" s="204">
        <f t="shared" si="14"/>
        <v>8.2373375411003043</v>
      </c>
      <c r="W29" s="204">
        <f t="shared" si="14"/>
        <v>8.3217341528443036</v>
      </c>
      <c r="X29" s="204">
        <f t="shared" si="14"/>
        <v>8.406164547013022</v>
      </c>
      <c r="Y29" s="204">
        <f t="shared" si="14"/>
        <v>8.4906117728663109</v>
      </c>
      <c r="Z29" s="204">
        <f t="shared" si="14"/>
        <v>8.5750586881032156</v>
      </c>
      <c r="AA29" s="204">
        <f t="shared" si="14"/>
        <v>8.6594879637599984</v>
      </c>
      <c r="AB29" s="204">
        <f t="shared" si="14"/>
        <v>8.7438820892606266</v>
      </c>
      <c r="AC29" s="204">
        <f t="shared" si="14"/>
        <v>8.82830684173436</v>
      </c>
      <c r="AD29" s="204">
        <f t="shared" si="14"/>
        <v>8.9127468671547145</v>
      </c>
      <c r="AE29" s="204">
        <f t="shared" si="14"/>
        <v>8.9971866475810884</v>
      </c>
      <c r="AF29" s="204">
        <f t="shared" si="14"/>
        <v>9.0816105051929874</v>
      </c>
      <c r="AG29" s="204">
        <f t="shared" si="14"/>
        <v>9.1660026064424382</v>
      </c>
      <c r="BD29" s="205"/>
      <c r="BE29" s="205"/>
      <c r="BF29" s="205"/>
      <c r="BG29" s="205"/>
      <c r="BH29" s="205"/>
      <c r="BI29" s="205"/>
      <c r="BJ29" s="205"/>
      <c r="BK29" s="205"/>
      <c r="BL29" s="205"/>
    </row>
    <row r="30" spans="1:64" outlineLevel="1">
      <c r="A30" t="s">
        <v>1286</v>
      </c>
      <c r="B30" s="54" t="s">
        <v>1283</v>
      </c>
      <c r="C30" s="204">
        <f t="shared" si="14"/>
        <v>4.7040655633623691</v>
      </c>
      <c r="D30" s="204">
        <f t="shared" si="14"/>
        <v>4.8617528953657363</v>
      </c>
      <c r="E30" s="204">
        <f t="shared" si="14"/>
        <v>5.0115911586504671</v>
      </c>
      <c r="F30" s="204">
        <f t="shared" si="14"/>
        <v>5.1525519182840052</v>
      </c>
      <c r="G30" s="204">
        <f t="shared" si="14"/>
        <v>5.2836478942879612</v>
      </c>
      <c r="H30" s="204">
        <f t="shared" si="14"/>
        <v>5.4039444798619058</v>
      </c>
      <c r="I30" s="204">
        <f t="shared" si="14"/>
        <v>5.5244639766882395</v>
      </c>
      <c r="J30" s="204">
        <f t="shared" si="14"/>
        <v>5.6450972655317502</v>
      </c>
      <c r="K30" s="204">
        <f t="shared" si="14"/>
        <v>5.7657324568376458</v>
      </c>
      <c r="L30" s="204">
        <f t="shared" si="14"/>
        <v>5.8862550362408781</v>
      </c>
      <c r="M30" s="204">
        <f t="shared" si="14"/>
        <v>6.0065480199097303</v>
      </c>
      <c r="N30" s="204">
        <f t="shared" si="14"/>
        <v>6.1177263918728313</v>
      </c>
      <c r="O30" s="204">
        <f t="shared" si="14"/>
        <v>6.2191735368914705</v>
      </c>
      <c r="P30" s="204">
        <f t="shared" si="14"/>
        <v>6.3103163923112113</v>
      </c>
      <c r="Q30" s="204">
        <f t="shared" si="14"/>
        <v>6.3906307742283754</v>
      </c>
      <c r="R30" s="204">
        <f t="shared" si="14"/>
        <v>6.4596463432479041</v>
      </c>
      <c r="S30" s="204">
        <f t="shared" si="14"/>
        <v>6.5286925391695263</v>
      </c>
      <c r="T30" s="204">
        <f t="shared" si="14"/>
        <v>6.597753978671844</v>
      </c>
      <c r="U30" s="204">
        <f t="shared" si="14"/>
        <v>6.6668150937492028</v>
      </c>
      <c r="V30" s="204">
        <f t="shared" si="14"/>
        <v>6.7358601366231401</v>
      </c>
      <c r="W30" s="204">
        <f t="shared" si="14"/>
        <v>6.8048731848169286</v>
      </c>
      <c r="X30" s="204">
        <f t="shared" si="14"/>
        <v>6.8739138576754657</v>
      </c>
      <c r="Y30" s="204">
        <f t="shared" si="14"/>
        <v>6.9429682941891366</v>
      </c>
      <c r="Z30" s="204">
        <f t="shared" si="14"/>
        <v>7.0120224767046535</v>
      </c>
      <c r="AA30" s="204">
        <f t="shared" si="14"/>
        <v>7.0810622349302861</v>
      </c>
      <c r="AB30" s="204">
        <f t="shared" si="14"/>
        <v>7.1500732500657556</v>
      </c>
      <c r="AC30" s="204">
        <f t="shared" si="14"/>
        <v>7.2191093095807011</v>
      </c>
      <c r="AD30" s="204">
        <f t="shared" si="14"/>
        <v>7.2881578581349515</v>
      </c>
      <c r="AE30" s="204">
        <f t="shared" si="14"/>
        <v>7.3572062063519947</v>
      </c>
      <c r="AF30" s="204">
        <f t="shared" si="14"/>
        <v>7.426241534117862</v>
      </c>
      <c r="AG30" s="204">
        <f t="shared" si="14"/>
        <v>7.4952508939766433</v>
      </c>
      <c r="BD30" s="205"/>
      <c r="BE30" s="205"/>
      <c r="BF30" s="205"/>
      <c r="BG30" s="205"/>
      <c r="BH30" s="205"/>
      <c r="BI30" s="205"/>
      <c r="BJ30" s="205"/>
      <c r="BK30" s="205"/>
      <c r="BL30" s="205"/>
    </row>
    <row r="31" spans="1:64" outlineLevel="1">
      <c r="A31" s="181" t="s">
        <v>1287</v>
      </c>
      <c r="B31" s="176" t="s">
        <v>1283</v>
      </c>
      <c r="C31" s="204">
        <f t="shared" si="14"/>
        <v>28.091768113202104</v>
      </c>
      <c r="D31" s="204">
        <f t="shared" si="14"/>
        <v>29.033446307385653</v>
      </c>
      <c r="E31" s="204">
        <f t="shared" si="14"/>
        <v>29.928251383969435</v>
      </c>
      <c r="F31" s="204">
        <f t="shared" si="14"/>
        <v>30.770041728799526</v>
      </c>
      <c r="G31" s="204">
        <f t="shared" si="14"/>
        <v>31.552921497134374</v>
      </c>
      <c r="H31" s="204">
        <f t="shared" si="14"/>
        <v>32.271309398245535</v>
      </c>
      <c r="I31" s="204">
        <f t="shared" si="14"/>
        <v>32.991028482166051</v>
      </c>
      <c r="J31" s="204">
        <f t="shared" si="14"/>
        <v>33.711427109965484</v>
      </c>
      <c r="K31" s="204">
        <f t="shared" si="14"/>
        <v>34.431837098901674</v>
      </c>
      <c r="L31" s="204">
        <f t="shared" si="14"/>
        <v>35.151574591374157</v>
      </c>
      <c r="M31" s="204">
        <f t="shared" si="14"/>
        <v>35.869940982605996</v>
      </c>
      <c r="N31" s="204">
        <f t="shared" si="14"/>
        <v>36.533876678722947</v>
      </c>
      <c r="O31" s="204">
        <f t="shared" si="14"/>
        <v>37.139699372991053</v>
      </c>
      <c r="P31" s="204">
        <f t="shared" si="14"/>
        <v>37.683986846271161</v>
      </c>
      <c r="Q31" s="204">
        <f t="shared" si="14"/>
        <v>38.163608773853191</v>
      </c>
      <c r="R31" s="204">
        <f t="shared" si="14"/>
        <v>38.575756379999966</v>
      </c>
      <c r="S31" s="204">
        <f t="shared" si="14"/>
        <v>38.988086884071969</v>
      </c>
      <c r="T31" s="204">
        <f t="shared" si="14"/>
        <v>39.400508419854376</v>
      </c>
      <c r="U31" s="204">
        <f t="shared" si="14"/>
        <v>39.812928018233784</v>
      </c>
      <c r="V31" s="204">
        <f t="shared" si="14"/>
        <v>40.225251636528419</v>
      </c>
      <c r="W31" s="204">
        <f t="shared" si="14"/>
        <v>40.637384188792296</v>
      </c>
      <c r="X31" s="204">
        <f t="shared" si="14"/>
        <v>41.049681710201668</v>
      </c>
      <c r="Y31" s="204">
        <f t="shared" si="14"/>
        <v>41.462061425492728</v>
      </c>
      <c r="Z31" s="204">
        <f t="shared" si="14"/>
        <v>41.874439623956036</v>
      </c>
      <c r="AA31" s="204">
        <f t="shared" si="14"/>
        <v>42.286731683354908</v>
      </c>
      <c r="AB31" s="204">
        <f t="shared" si="14"/>
        <v>42.698852094588425</v>
      </c>
      <c r="AC31" s="204">
        <f t="shared" si="14"/>
        <v>43.111122066003716</v>
      </c>
      <c r="AD31" s="204">
        <f t="shared" si="14"/>
        <v>43.523466619541935</v>
      </c>
      <c r="AE31" s="204">
        <f t="shared" si="14"/>
        <v>43.935809976705173</v>
      </c>
      <c r="AF31" s="204">
        <f t="shared" si="14"/>
        <v>44.348075578256747</v>
      </c>
      <c r="AG31" s="204">
        <f t="shared" si="14"/>
        <v>44.760186104498587</v>
      </c>
      <c r="AL31" s="108"/>
      <c r="AM31" s="207"/>
      <c r="AN31" s="207"/>
      <c r="AO31" s="207"/>
    </row>
    <row r="32" spans="1:64" s="1" customFormat="1" ht="16" thickBot="1">
      <c r="A32" s="200" t="s">
        <v>1288</v>
      </c>
      <c r="B32" s="219" t="s">
        <v>1283</v>
      </c>
      <c r="C32" s="216">
        <f>SUM(C27:C31)</f>
        <v>143.57279713811519</v>
      </c>
      <c r="D32" s="216">
        <f t="shared" ref="D32:AG32" si="15">SUM(D27:D31)</f>
        <v>148.38557260308718</v>
      </c>
      <c r="E32" s="216">
        <f t="shared" si="15"/>
        <v>152.95878662154348</v>
      </c>
      <c r="F32" s="216">
        <f t="shared" si="15"/>
        <v>157.26105032826672</v>
      </c>
      <c r="G32" s="216">
        <f t="shared" si="15"/>
        <v>161.26223094850147</v>
      </c>
      <c r="H32" s="216">
        <f t="shared" si="15"/>
        <v>164.93380334569201</v>
      </c>
      <c r="I32" s="216">
        <f t="shared" si="15"/>
        <v>168.61217921778913</v>
      </c>
      <c r="J32" s="216">
        <f t="shared" si="15"/>
        <v>172.29402813633467</v>
      </c>
      <c r="K32" s="216">
        <f t="shared" si="15"/>
        <v>175.97593511993952</v>
      </c>
      <c r="L32" s="216">
        <f t="shared" si="15"/>
        <v>179.65440507537406</v>
      </c>
      <c r="M32" s="216">
        <f t="shared" si="15"/>
        <v>183.32586753881003</v>
      </c>
      <c r="N32" s="216">
        <f t="shared" si="15"/>
        <v>186.71914291497094</v>
      </c>
      <c r="O32" s="216">
        <f t="shared" si="15"/>
        <v>189.81541148857292</v>
      </c>
      <c r="P32" s="216">
        <f t="shared" si="15"/>
        <v>192.59718281286834</v>
      </c>
      <c r="Q32" s="216">
        <f t="shared" si="15"/>
        <v>195.04845826958712</v>
      </c>
      <c r="R32" s="216">
        <f t="shared" si="15"/>
        <v>197.15488262884489</v>
      </c>
      <c r="S32" s="216">
        <f t="shared" si="15"/>
        <v>199.26224175186022</v>
      </c>
      <c r="T32" s="216">
        <f t="shared" si="15"/>
        <v>201.37006612424096</v>
      </c>
      <c r="U32" s="216">
        <f t="shared" si="15"/>
        <v>203.47788059484677</v>
      </c>
      <c r="V32" s="216">
        <f t="shared" si="15"/>
        <v>205.5852045256907</v>
      </c>
      <c r="W32" s="216">
        <f t="shared" si="15"/>
        <v>207.69155194681969</v>
      </c>
      <c r="X32" s="216">
        <f t="shared" si="15"/>
        <v>209.79874250041232</v>
      </c>
      <c r="Y32" s="216">
        <f t="shared" si="15"/>
        <v>211.90635313455866</v>
      </c>
      <c r="Z32" s="216">
        <f t="shared" si="15"/>
        <v>214.01395601642673</v>
      </c>
      <c r="AA32" s="216">
        <f t="shared" si="15"/>
        <v>216.12111865450612</v>
      </c>
      <c r="AB32" s="216">
        <f t="shared" si="15"/>
        <v>218.22740402465692</v>
      </c>
      <c r="AC32" s="216">
        <f t="shared" si="15"/>
        <v>220.33445377437795</v>
      </c>
      <c r="AD32" s="216">
        <f t="shared" si="15"/>
        <v>222.44188470209969</v>
      </c>
      <c r="AE32" s="216">
        <f t="shared" si="15"/>
        <v>224.54930951532904</v>
      </c>
      <c r="AF32" s="216">
        <f t="shared" si="15"/>
        <v>226.65633693133458</v>
      </c>
      <c r="AG32" s="216">
        <f t="shared" si="15"/>
        <v>228.76257178078129</v>
      </c>
      <c r="AJ32" s="162"/>
      <c r="AL32" s="221"/>
      <c r="AM32" s="124"/>
      <c r="AN32" s="124"/>
      <c r="AO32" s="124"/>
    </row>
    <row r="33" spans="1:64" ht="16" outlineLevel="1" thickTop="1">
      <c r="AL33" s="108"/>
      <c r="AM33" s="2"/>
      <c r="AN33" s="2"/>
      <c r="AO33" s="2"/>
    </row>
    <row r="34" spans="1:64" outlineLevel="1">
      <c r="A34" t="s">
        <v>1289</v>
      </c>
      <c r="B34" s="176" t="s">
        <v>1283</v>
      </c>
      <c r="C34" s="107">
        <f>C32</f>
        <v>143.57279713811519</v>
      </c>
      <c r="D34" s="107">
        <f t="shared" ref="D34:AG34" si="16">D32</f>
        <v>148.38557260308718</v>
      </c>
      <c r="E34" s="107">
        <f t="shared" si="16"/>
        <v>152.95878662154348</v>
      </c>
      <c r="F34" s="107">
        <f t="shared" si="16"/>
        <v>157.26105032826672</v>
      </c>
      <c r="G34" s="107">
        <f t="shared" si="16"/>
        <v>161.26223094850147</v>
      </c>
      <c r="H34" s="107">
        <f t="shared" si="16"/>
        <v>164.93380334569201</v>
      </c>
      <c r="I34" s="107">
        <f t="shared" si="16"/>
        <v>168.61217921778913</v>
      </c>
      <c r="J34" s="107">
        <f t="shared" si="16"/>
        <v>172.29402813633467</v>
      </c>
      <c r="K34" s="107">
        <f t="shared" si="16"/>
        <v>175.97593511993952</v>
      </c>
      <c r="L34" s="107">
        <f t="shared" si="16"/>
        <v>179.65440507537406</v>
      </c>
      <c r="M34" s="107">
        <f t="shared" si="16"/>
        <v>183.32586753881003</v>
      </c>
      <c r="N34" s="107">
        <f t="shared" si="16"/>
        <v>186.71914291497094</v>
      </c>
      <c r="O34" s="107">
        <f t="shared" si="16"/>
        <v>189.81541148857292</v>
      </c>
      <c r="P34" s="107">
        <f t="shared" si="16"/>
        <v>192.59718281286834</v>
      </c>
      <c r="Q34" s="107">
        <f t="shared" si="16"/>
        <v>195.04845826958712</v>
      </c>
      <c r="R34" s="107">
        <f t="shared" si="16"/>
        <v>197.15488262884489</v>
      </c>
      <c r="S34" s="107">
        <f t="shared" si="16"/>
        <v>199.26224175186022</v>
      </c>
      <c r="T34" s="107">
        <f t="shared" si="16"/>
        <v>201.37006612424096</v>
      </c>
      <c r="U34" s="107">
        <f t="shared" si="16"/>
        <v>203.47788059484677</v>
      </c>
      <c r="V34" s="107">
        <f t="shared" si="16"/>
        <v>205.5852045256907</v>
      </c>
      <c r="W34" s="107">
        <f t="shared" si="16"/>
        <v>207.69155194681969</v>
      </c>
      <c r="X34" s="107">
        <f t="shared" si="16"/>
        <v>209.79874250041232</v>
      </c>
      <c r="Y34" s="107">
        <f t="shared" si="16"/>
        <v>211.90635313455866</v>
      </c>
      <c r="Z34" s="107">
        <f t="shared" si="16"/>
        <v>214.01395601642673</v>
      </c>
      <c r="AA34" s="107">
        <f t="shared" si="16"/>
        <v>216.12111865450612</v>
      </c>
      <c r="AB34" s="107">
        <f t="shared" si="16"/>
        <v>218.22740402465692</v>
      </c>
      <c r="AC34" s="107">
        <f t="shared" si="16"/>
        <v>220.33445377437795</v>
      </c>
      <c r="AD34" s="107">
        <f t="shared" si="16"/>
        <v>222.44188470209969</v>
      </c>
      <c r="AE34" s="107">
        <f t="shared" si="16"/>
        <v>224.54930951532904</v>
      </c>
      <c r="AF34" s="107">
        <f t="shared" si="16"/>
        <v>226.65633693133458</v>
      </c>
      <c r="AG34" s="107">
        <f t="shared" si="16"/>
        <v>228.76257178078129</v>
      </c>
      <c r="AL34" s="108"/>
      <c r="AM34" s="2"/>
      <c r="AN34" s="2"/>
      <c r="AO34" s="2"/>
    </row>
    <row r="35" spans="1:64" outlineLevel="1">
      <c r="A35" t="s">
        <v>1290</v>
      </c>
      <c r="B35" s="176" t="s">
        <v>1283</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c r="A36" t="s">
        <v>1291</v>
      </c>
      <c r="B36" s="176" t="s">
        <v>1283</v>
      </c>
      <c r="C36" s="107">
        <f>C35-C34</f>
        <v>19.119510554192487</v>
      </c>
      <c r="D36" s="107">
        <f t="shared" ref="D36:AG36" si="17">D35-D34</f>
        <v>18.333208035112079</v>
      </c>
      <c r="E36" s="107">
        <f t="shared" si="17"/>
        <v>17.886118166798894</v>
      </c>
      <c r="F36" s="107">
        <f t="shared" si="17"/>
        <v>17.812096082750799</v>
      </c>
      <c r="G36" s="107">
        <f t="shared" si="17"/>
        <v>18.143801863692886</v>
      </c>
      <c r="H36" s="107">
        <f t="shared" si="17"/>
        <v>18.912350500461827</v>
      </c>
      <c r="I36" s="107">
        <f t="shared" si="17"/>
        <v>19.282469349821127</v>
      </c>
      <c r="J36" s="107">
        <f t="shared" si="17"/>
        <v>19.738267463872432</v>
      </c>
      <c r="K36" s="107">
        <f t="shared" si="17"/>
        <v>20.285123056052441</v>
      </c>
      <c r="L36" s="107">
        <f t="shared" si="17"/>
        <v>20.928537684169555</v>
      </c>
      <c r="M36" s="107">
        <f t="shared" si="17"/>
        <v>21.67413246118997</v>
      </c>
      <c r="N36" s="107">
        <f t="shared" si="17"/>
        <v>20.722021280173266</v>
      </c>
      <c r="O36" s="107">
        <f t="shared" si="17"/>
        <v>20.095986573069922</v>
      </c>
      <c r="P36" s="107">
        <f t="shared" si="17"/>
        <v>19.813864951704971</v>
      </c>
      <c r="Q36" s="107">
        <f t="shared" si="17"/>
        <v>19.89200532160055</v>
      </c>
      <c r="R36" s="107">
        <f t="shared" si="17"/>
        <v>20.345117371155112</v>
      </c>
      <c r="S36" s="107">
        <f t="shared" si="17"/>
        <v>20.682192354681831</v>
      </c>
      <c r="T36" s="107">
        <f t="shared" si="17"/>
        <v>21.046274539883257</v>
      </c>
      <c r="U36" s="107">
        <f t="shared" si="17"/>
        <v>21.438147834664392</v>
      </c>
      <c r="V36" s="107">
        <f t="shared" si="17"/>
        <v>21.858605103825397</v>
      </c>
      <c r="W36" s="107">
        <f t="shared" si="17"/>
        <v>22.308448053180314</v>
      </c>
      <c r="X36" s="107">
        <f t="shared" si="17"/>
        <v>22.648617133041512</v>
      </c>
      <c r="Y36" s="107">
        <f t="shared" si="17"/>
        <v>23.014407737459692</v>
      </c>
      <c r="Z36" s="107">
        <f t="shared" si="17"/>
        <v>23.406524800019611</v>
      </c>
      <c r="AA36" s="107">
        <f t="shared" si="17"/>
        <v>23.825680861528781</v>
      </c>
      <c r="AB36" s="107">
        <f t="shared" si="17"/>
        <v>24.27259597534308</v>
      </c>
      <c r="AC36" s="107">
        <f t="shared" si="17"/>
        <v>24.615538693196953</v>
      </c>
      <c r="AD36" s="107">
        <f t="shared" si="17"/>
        <v>24.982852658168383</v>
      </c>
      <c r="AE36" s="107">
        <f t="shared" si="17"/>
        <v>25.375175238029158</v>
      </c>
      <c r="AF36" s="107">
        <f t="shared" si="17"/>
        <v>25.793150317315451</v>
      </c>
      <c r="AG36" s="107">
        <f t="shared" si="17"/>
        <v>26.237428219218714</v>
      </c>
      <c r="AL36" s="108"/>
      <c r="AM36" s="2"/>
      <c r="AN36" s="2"/>
      <c r="AO36" s="2"/>
    </row>
    <row r="37" spans="1:64" outlineLevel="1">
      <c r="A37" t="s">
        <v>1292</v>
      </c>
      <c r="B37" s="54" t="s">
        <v>462</v>
      </c>
      <c r="C37" s="2">
        <f>C34/C35</f>
        <v>0.88248054978510526</v>
      </c>
      <c r="D37" s="2">
        <f t="shared" ref="D37:AG37" si="18">D34/D35</f>
        <v>0.89003513602407247</v>
      </c>
      <c r="E37" s="2">
        <f t="shared" si="18"/>
        <v>0.89530786306470311</v>
      </c>
      <c r="F37" s="2">
        <f t="shared" si="18"/>
        <v>0.89825911941438741</v>
      </c>
      <c r="G37" s="2">
        <f t="shared" si="18"/>
        <v>0.89886738155184465</v>
      </c>
      <c r="H37" s="2">
        <f t="shared" si="18"/>
        <v>0.89712947426527034</v>
      </c>
      <c r="I37" s="2">
        <f t="shared" si="18"/>
        <v>0.89737616533084652</v>
      </c>
      <c r="J37" s="2">
        <f t="shared" si="18"/>
        <v>0.89721381290485835</v>
      </c>
      <c r="K37" s="2">
        <f t="shared" si="18"/>
        <v>0.89664213958399075</v>
      </c>
      <c r="L37" s="2">
        <f t="shared" si="18"/>
        <v>0.89566142865269238</v>
      </c>
      <c r="M37" s="2">
        <f t="shared" si="18"/>
        <v>0.89427252457956108</v>
      </c>
      <c r="N37" s="2">
        <f t="shared" si="18"/>
        <v>0.90010651280051812</v>
      </c>
      <c r="O37" s="2">
        <f t="shared" si="18"/>
        <v>0.9042644336675395</v>
      </c>
      <c r="P37" s="2">
        <f t="shared" si="18"/>
        <v>0.90671923536827637</v>
      </c>
      <c r="Q37" s="2">
        <f t="shared" si="18"/>
        <v>0.90745341761505305</v>
      </c>
      <c r="R37" s="2">
        <f t="shared" si="18"/>
        <v>0.90645923047744781</v>
      </c>
      <c r="S37" s="2">
        <f t="shared" si="18"/>
        <v>0.90596628444499172</v>
      </c>
      <c r="T37" s="2">
        <f t="shared" si="18"/>
        <v>0.90537442313347971</v>
      </c>
      <c r="U37" s="2">
        <f t="shared" si="18"/>
        <v>0.90468377027481117</v>
      </c>
      <c r="V37" s="2">
        <f t="shared" si="18"/>
        <v>0.90389448216053481</v>
      </c>
      <c r="W37" s="2">
        <f t="shared" si="18"/>
        <v>0.90300674759486821</v>
      </c>
      <c r="X37" s="2">
        <f t="shared" si="18"/>
        <v>0.90256453259457925</v>
      </c>
      <c r="Y37" s="2">
        <f t="shared" si="18"/>
        <v>0.90203331688510224</v>
      </c>
      <c r="Z37" s="2">
        <f t="shared" si="18"/>
        <v>0.90141320277202375</v>
      </c>
      <c r="AA37" s="2">
        <f t="shared" si="18"/>
        <v>0.90070431900077674</v>
      </c>
      <c r="AB37" s="2">
        <f t="shared" si="18"/>
        <v>0.89990682072023476</v>
      </c>
      <c r="AC37" s="2">
        <f t="shared" si="18"/>
        <v>0.89950790181610063</v>
      </c>
      <c r="AD37" s="2">
        <f t="shared" si="18"/>
        <v>0.8990284765997687</v>
      </c>
      <c r="AE37" s="2">
        <f t="shared" si="18"/>
        <v>0.89846863038220914</v>
      </c>
      <c r="AF37" s="2">
        <f t="shared" si="18"/>
        <v>0.89782847016872525</v>
      </c>
      <c r="AG37" s="2">
        <f t="shared" si="18"/>
        <v>0.89710812463051481</v>
      </c>
      <c r="AI37" s="208" t="s">
        <v>1293</v>
      </c>
      <c r="AL37" s="108"/>
      <c r="AM37" s="2"/>
      <c r="AN37" s="2"/>
      <c r="AO37" s="2"/>
    </row>
    <row r="38" spans="1:64" outlineLevel="1">
      <c r="AL38" s="108"/>
      <c r="AM38" s="2"/>
      <c r="AN38" s="2"/>
      <c r="AO38" s="2"/>
    </row>
    <row r="39" spans="1:64" outlineLevel="1">
      <c r="A39" t="s">
        <v>1294</v>
      </c>
      <c r="B39" s="54" t="s">
        <v>462</v>
      </c>
      <c r="C39" s="23">
        <f>'Yearly LC Ethylene'!D33/'Yearly LC Ethylene'!D26</f>
        <v>1</v>
      </c>
      <c r="D39" s="23">
        <f>'Yearly LC Ethylene'!E33/'Yearly LC Ethylene'!E26</f>
        <v>1</v>
      </c>
      <c r="E39" s="23">
        <f>'Yearly LC Ethylene'!F33/'Yearly LC Ethylene'!F26</f>
        <v>1</v>
      </c>
      <c r="F39" s="23">
        <f>'Yearly LC Ethylene'!G33/'Yearly LC Ethylene'!G26</f>
        <v>1</v>
      </c>
      <c r="G39" s="23">
        <f>'Yearly LC Ethylene'!H33/'Yearly LC Ethylene'!H26</f>
        <v>1</v>
      </c>
      <c r="H39" s="23">
        <f>'Yearly LC Ethylene'!I33/'Yearly LC Ethylene'!I26</f>
        <v>1</v>
      </c>
      <c r="I39" s="23">
        <f>'Yearly LC Ethylene'!J33/'Yearly LC Ethylene'!J26</f>
        <v>1</v>
      </c>
      <c r="J39" s="23">
        <f>'Yearly LC Ethylene'!K33/'Yearly LC Ethylene'!K26</f>
        <v>1</v>
      </c>
      <c r="K39" s="23">
        <f>'Yearly LC Ethylene'!L33/'Yearly LC Ethylene'!L26</f>
        <v>1</v>
      </c>
      <c r="L39" s="23">
        <f>'Yearly LC Ethylene'!M33/'Yearly LC Ethylene'!M26</f>
        <v>1</v>
      </c>
      <c r="M39" s="23">
        <f>'Yearly LC Ethylene'!N33/'Yearly LC Ethylene'!N26</f>
        <v>1</v>
      </c>
      <c r="N39" s="23">
        <f>'Yearly LC Ethylene'!O33/'Yearly LC Ethylene'!O26</f>
        <v>1</v>
      </c>
      <c r="O39" s="23">
        <f>'Yearly LC Ethylene'!P33/'Yearly LC Ethylene'!P26</f>
        <v>1</v>
      </c>
      <c r="P39" s="23">
        <f>'Yearly LC Ethylene'!Q33/'Yearly LC Ethylene'!Q26</f>
        <v>1</v>
      </c>
      <c r="Q39" s="23">
        <f>'Yearly LC Ethylene'!R33/'Yearly LC Ethylene'!R26</f>
        <v>1</v>
      </c>
      <c r="R39" s="23">
        <f>'Yearly LC Ethylene'!S33/'Yearly LC Ethylene'!S26</f>
        <v>1</v>
      </c>
      <c r="S39" s="23">
        <f>'Yearly LC Ethylene'!T33/'Yearly LC Ethylene'!T26</f>
        <v>1</v>
      </c>
      <c r="T39" s="23">
        <f>'Yearly LC Ethylene'!U33/'Yearly LC Ethylene'!U26</f>
        <v>1</v>
      </c>
      <c r="U39" s="23">
        <f>'Yearly LC Ethylene'!V33/'Yearly LC Ethylene'!V26</f>
        <v>1</v>
      </c>
      <c r="V39" s="23">
        <f>'Yearly LC Ethylene'!W33/'Yearly LC Ethylene'!W26</f>
        <v>1</v>
      </c>
      <c r="W39" s="23">
        <f>'Yearly LC Ethylene'!X33/'Yearly LC Ethylene'!X26</f>
        <v>1</v>
      </c>
      <c r="X39" s="23">
        <f>'Yearly LC Ethylene'!Y33/'Yearly LC Ethylene'!Y26</f>
        <v>1</v>
      </c>
      <c r="Y39" s="23">
        <f>'Yearly LC Ethylene'!Z33/'Yearly LC Ethylene'!Z26</f>
        <v>1</v>
      </c>
      <c r="Z39" s="23">
        <f>'Yearly LC Ethylene'!AA33/'Yearly LC Ethylene'!AA26</f>
        <v>1</v>
      </c>
      <c r="AA39" s="23">
        <f>'Yearly LC Ethylene'!AB33/'Yearly LC Ethylene'!AB26</f>
        <v>1</v>
      </c>
      <c r="AB39" s="23">
        <f>'Yearly LC Ethylene'!AC33/'Yearly LC Ethylene'!AC26</f>
        <v>1</v>
      </c>
      <c r="AC39" s="23">
        <f>'Yearly LC Ethylene'!AD33/'Yearly LC Ethylene'!AD26</f>
        <v>1</v>
      </c>
      <c r="AD39" s="23">
        <f>'Yearly LC Ethylene'!AE33/'Yearly LC Ethylene'!AE26</f>
        <v>1</v>
      </c>
      <c r="AE39" s="23">
        <f>'Yearly LC Ethylene'!AF33/'Yearly LC Ethylene'!AF26</f>
        <v>1</v>
      </c>
      <c r="AF39" s="23">
        <f>'Yearly LC Ethylene'!AG33/'Yearly LC Ethylene'!AG26</f>
        <v>1</v>
      </c>
      <c r="AG39" s="23">
        <f>'Yearly LC Ethylene'!AH33/'Yearly LC Ethylene'!AH26</f>
        <v>1</v>
      </c>
      <c r="AL39" s="108"/>
      <c r="AM39" s="2"/>
      <c r="AN39" s="2"/>
      <c r="AO39" s="2"/>
      <c r="BC39" s="1"/>
      <c r="BD39" s="122"/>
      <c r="BE39" s="122"/>
      <c r="BF39" s="122"/>
      <c r="BG39" s="122"/>
      <c r="BH39" s="122"/>
      <c r="BI39" s="122"/>
      <c r="BJ39" s="122"/>
      <c r="BK39" s="122"/>
    </row>
    <row r="40" spans="1:64" outlineLevel="1">
      <c r="A40" t="s">
        <v>1295</v>
      </c>
      <c r="B40" s="54" t="s">
        <v>462</v>
      </c>
      <c r="C40" s="23">
        <f>'Yearly LC Ethylene'!D19/'Yearly LC Ethylene'!D12</f>
        <v>1</v>
      </c>
      <c r="D40" s="23">
        <f>'Yearly LC Ethylene'!E19/'Yearly LC Ethylene'!E12</f>
        <v>1.0009999999999999</v>
      </c>
      <c r="E40" s="23">
        <f>'Yearly LC Ethylene'!F19/'Yearly LC Ethylene'!F12</f>
        <v>1.002</v>
      </c>
      <c r="F40" s="23">
        <f>'Yearly LC Ethylene'!G19/'Yearly LC Ethylene'!G12</f>
        <v>1.0029999999999999</v>
      </c>
      <c r="G40" s="23">
        <f>'Yearly LC Ethylene'!H19/'Yearly LC Ethylene'!H12</f>
        <v>1.004</v>
      </c>
      <c r="H40" s="23">
        <f>'Yearly LC Ethylene'!I19/'Yearly LC Ethylene'!I12</f>
        <v>1.0049999999999999</v>
      </c>
      <c r="I40" s="23">
        <f>'Yearly LC Ethylene'!J19/'Yearly LC Ethylene'!J12</f>
        <v>1.006</v>
      </c>
      <c r="J40" s="23">
        <f>'Yearly LC Ethylene'!K19/'Yearly LC Ethylene'!K12</f>
        <v>1.0069999999999999</v>
      </c>
      <c r="K40" s="23">
        <f>'Yearly LC Ethylene'!L19/'Yearly LC Ethylene'!L12</f>
        <v>1.008</v>
      </c>
      <c r="L40" s="23">
        <f>'Yearly LC Ethylene'!M19/'Yearly LC Ethylene'!M12</f>
        <v>1.0089999999999999</v>
      </c>
      <c r="M40" s="23">
        <f>'Yearly LC Ethylene'!N19/'Yearly LC Ethylene'!N12</f>
        <v>1.01</v>
      </c>
      <c r="N40" s="23">
        <f>'Yearly LC Ethylene'!O19/'Yearly LC Ethylene'!O12</f>
        <v>1.014</v>
      </c>
      <c r="O40" s="23">
        <f>'Yearly LC Ethylene'!P19/'Yearly LC Ethylene'!P12</f>
        <v>1.018</v>
      </c>
      <c r="P40" s="23">
        <f>'Yearly LC Ethylene'!Q19/'Yearly LC Ethylene'!Q12</f>
        <v>1.022</v>
      </c>
      <c r="Q40" s="23">
        <f>'Yearly LC Ethylene'!R19/'Yearly LC Ethylene'!R12</f>
        <v>1.026</v>
      </c>
      <c r="R40" s="23">
        <f>'Yearly LC Ethylene'!S19/'Yearly LC Ethylene'!S12</f>
        <v>1.03</v>
      </c>
      <c r="S40" s="23">
        <f>'Yearly LC Ethylene'!T19/'Yearly LC Ethylene'!T12</f>
        <v>1.034</v>
      </c>
      <c r="T40" s="23">
        <f>'Yearly LC Ethylene'!U19/'Yearly LC Ethylene'!U12</f>
        <v>1.038</v>
      </c>
      <c r="U40" s="23">
        <f>'Yearly LC Ethylene'!V19/'Yearly LC Ethylene'!V12</f>
        <v>1.042</v>
      </c>
      <c r="V40" s="23">
        <f>'Yearly LC Ethylene'!W19/'Yearly LC Ethylene'!W12</f>
        <v>1.046</v>
      </c>
      <c r="W40" s="23">
        <f>'Yearly LC Ethylene'!X19/'Yearly LC Ethylene'!X12</f>
        <v>1.05</v>
      </c>
      <c r="X40" s="23">
        <f>'Yearly LC Ethylene'!Y19/'Yearly LC Ethylene'!Y12</f>
        <v>1.0549999999999999</v>
      </c>
      <c r="Y40" s="23">
        <f>'Yearly LC Ethylene'!Z19/'Yearly LC Ethylene'!Z12</f>
        <v>1.06</v>
      </c>
      <c r="Z40" s="23">
        <f>'Yearly LC Ethylene'!AA19/'Yearly LC Ethylene'!AA12</f>
        <v>1.0649999999999999</v>
      </c>
      <c r="AA40" s="23">
        <f>'Yearly LC Ethylene'!AB19/'Yearly LC Ethylene'!AB12</f>
        <v>1.07</v>
      </c>
      <c r="AB40" s="23">
        <f>'Yearly LC Ethylene'!AC19/'Yearly LC Ethylene'!AC12</f>
        <v>1.075</v>
      </c>
      <c r="AC40" s="23">
        <f>'Yearly LC Ethylene'!AD19/'Yearly LC Ethylene'!AD12</f>
        <v>1.08</v>
      </c>
      <c r="AD40" s="23">
        <f>'Yearly LC Ethylene'!AE19/'Yearly LC Ethylene'!AE12</f>
        <v>1.085</v>
      </c>
      <c r="AE40" s="23">
        <f>'Yearly LC Ethylene'!AF19/'Yearly LC Ethylene'!AF12</f>
        <v>1.0900000000000001</v>
      </c>
      <c r="AF40" s="23">
        <f>'Yearly LC Ethylene'!AG19/'Yearly LC Ethylene'!AG12</f>
        <v>1.095</v>
      </c>
      <c r="AG40" s="23">
        <f>'Yearly LC Ethylene'!AH19/'Yearly LC Ethylene'!AH12</f>
        <v>1.1000000000000001</v>
      </c>
      <c r="AL40" s="108"/>
      <c r="AM40" s="2"/>
      <c r="AN40" s="2"/>
      <c r="AO40" s="2"/>
      <c r="BL40" s="1"/>
    </row>
    <row r="41" spans="1:64" outlineLevel="1">
      <c r="A41" t="s">
        <v>1296</v>
      </c>
      <c r="B41" s="54" t="s">
        <v>462</v>
      </c>
      <c r="C41" s="23">
        <f>'Yearly LC Ethylene'!D43/'Yearly LC Ethylene'!D40</f>
        <v>1</v>
      </c>
      <c r="D41" s="23">
        <f>'Yearly LC Ethylene'!E43/'Yearly LC Ethylene'!E40</f>
        <v>1</v>
      </c>
      <c r="E41" s="23">
        <f>'Yearly LC Ethylene'!F43/'Yearly LC Ethylene'!F40</f>
        <v>1</v>
      </c>
      <c r="F41" s="23">
        <f>'Yearly LC Ethylene'!G43/'Yearly LC Ethylene'!G40</f>
        <v>1</v>
      </c>
      <c r="G41" s="23">
        <f>'Yearly LC Ethylene'!H43/'Yearly LC Ethylene'!H40</f>
        <v>1</v>
      </c>
      <c r="H41" s="23">
        <f>'Yearly LC Ethylene'!I43/'Yearly LC Ethylene'!I40</f>
        <v>1</v>
      </c>
      <c r="I41" s="23">
        <f>'Yearly LC Ethylene'!J43/'Yearly LC Ethylene'!J40</f>
        <v>1</v>
      </c>
      <c r="J41" s="23">
        <f>'Yearly LC Ethylene'!K43/'Yearly LC Ethylene'!K40</f>
        <v>1</v>
      </c>
      <c r="K41" s="23">
        <f>'Yearly LC Ethylene'!L43/'Yearly LC Ethylene'!L40</f>
        <v>1</v>
      </c>
      <c r="L41" s="23">
        <f>'Yearly LC Ethylene'!M43/'Yearly LC Ethylene'!M40</f>
        <v>1</v>
      </c>
      <c r="M41" s="23">
        <f>'Yearly LC Ethylene'!N43/'Yearly LC Ethylene'!N40</f>
        <v>1</v>
      </c>
      <c r="N41" s="23">
        <f>'Yearly LC Ethylene'!O43/'Yearly LC Ethylene'!O40</f>
        <v>1</v>
      </c>
      <c r="O41" s="23">
        <f>'Yearly LC Ethylene'!P43/'Yearly LC Ethylene'!P40</f>
        <v>1</v>
      </c>
      <c r="P41" s="23">
        <f>'Yearly LC Ethylene'!Q43/'Yearly LC Ethylene'!Q40</f>
        <v>1</v>
      </c>
      <c r="Q41" s="23">
        <f>'Yearly LC Ethylene'!R43/'Yearly LC Ethylene'!R40</f>
        <v>1</v>
      </c>
      <c r="R41" s="23">
        <f>'Yearly LC Ethylene'!S43/'Yearly LC Ethylene'!S40</f>
        <v>1</v>
      </c>
      <c r="S41" s="23">
        <f>'Yearly LC Ethylene'!T43/'Yearly LC Ethylene'!T40</f>
        <v>1</v>
      </c>
      <c r="T41" s="23">
        <f>'Yearly LC Ethylene'!U43/'Yearly LC Ethylene'!U40</f>
        <v>1</v>
      </c>
      <c r="U41" s="23">
        <f>'Yearly LC Ethylene'!V43/'Yearly LC Ethylene'!V40</f>
        <v>1</v>
      </c>
      <c r="V41" s="23">
        <f>'Yearly LC Ethylene'!W43/'Yearly LC Ethylene'!W40</f>
        <v>1</v>
      </c>
      <c r="W41" s="23">
        <f>'Yearly LC Ethylene'!X43/'Yearly LC Ethylene'!X40</f>
        <v>1</v>
      </c>
      <c r="X41" s="23">
        <f>'Yearly LC Ethylene'!Y43/'Yearly LC Ethylene'!Y40</f>
        <v>1</v>
      </c>
      <c r="Y41" s="23">
        <f>'Yearly LC Ethylene'!Z43/'Yearly LC Ethylene'!Z40</f>
        <v>1</v>
      </c>
      <c r="Z41" s="23">
        <f>'Yearly LC Ethylene'!AA43/'Yearly LC Ethylene'!AA40</f>
        <v>1</v>
      </c>
      <c r="AA41" s="23">
        <f>'Yearly LC Ethylene'!AB43/'Yearly LC Ethylene'!AB40</f>
        <v>1</v>
      </c>
      <c r="AB41" s="23">
        <f>'Yearly LC Ethylene'!AC43/'Yearly LC Ethylene'!AC40</f>
        <v>1</v>
      </c>
      <c r="AC41" s="23">
        <f>'Yearly LC Ethylene'!AD43/'Yearly LC Ethylene'!AD40</f>
        <v>1</v>
      </c>
      <c r="AD41" s="23">
        <f>'Yearly LC Ethylene'!AE43/'Yearly LC Ethylene'!AE40</f>
        <v>1</v>
      </c>
      <c r="AE41" s="23">
        <f>'Yearly LC Ethylene'!AF43/'Yearly LC Ethylene'!AF40</f>
        <v>1</v>
      </c>
      <c r="AF41" s="23">
        <f>'Yearly LC Ethylene'!AG43/'Yearly LC Ethylene'!AG40</f>
        <v>1</v>
      </c>
      <c r="AG41" s="23">
        <f>'Yearly LC Ethylene'!AH43/'Yearly LC Ethylene'!AH40</f>
        <v>1</v>
      </c>
      <c r="AL41" s="108"/>
      <c r="AM41" s="2"/>
      <c r="AN41" s="2"/>
      <c r="AO41" s="2"/>
      <c r="BD41" s="41"/>
      <c r="BE41" s="41"/>
      <c r="BF41" s="41"/>
      <c r="BG41" s="41"/>
      <c r="BH41" s="41"/>
      <c r="BI41" s="41"/>
      <c r="BJ41" s="41"/>
      <c r="BK41" s="41"/>
      <c r="BL41" s="118"/>
    </row>
    <row r="42" spans="1:64" outlineLevel="1">
      <c r="A42" t="s">
        <v>1297</v>
      </c>
      <c r="B42" s="54" t="s">
        <v>462</v>
      </c>
      <c r="C42" s="23">
        <f>'Yearly LC Ethylene'!D55/'Yearly LC Ethylene'!D50</f>
        <v>1</v>
      </c>
      <c r="D42" s="23">
        <f>'Yearly LC Ethylene'!E55/'Yearly LC Ethylene'!E50</f>
        <v>1</v>
      </c>
      <c r="E42" s="23">
        <f>'Yearly LC Ethylene'!F55/'Yearly LC Ethylene'!F50</f>
        <v>1</v>
      </c>
      <c r="F42" s="23">
        <f>'Yearly LC Ethylene'!G55/'Yearly LC Ethylene'!G50</f>
        <v>1</v>
      </c>
      <c r="G42" s="23">
        <f>'Yearly LC Ethylene'!H55/'Yearly LC Ethylene'!H50</f>
        <v>1</v>
      </c>
      <c r="H42" s="23">
        <f>'Yearly LC Ethylene'!I55/'Yearly LC Ethylene'!I50</f>
        <v>1</v>
      </c>
      <c r="I42" s="23">
        <f>'Yearly LC Ethylene'!J55/'Yearly LC Ethylene'!J50</f>
        <v>1</v>
      </c>
      <c r="J42" s="23">
        <f>'Yearly LC Ethylene'!K55/'Yearly LC Ethylene'!K50</f>
        <v>1</v>
      </c>
      <c r="K42" s="23">
        <f>'Yearly LC Ethylene'!L55/'Yearly LC Ethylene'!L50</f>
        <v>1</v>
      </c>
      <c r="L42" s="23">
        <f>'Yearly LC Ethylene'!M55/'Yearly LC Ethylene'!M50</f>
        <v>1</v>
      </c>
      <c r="M42" s="23">
        <f>'Yearly LC Ethylene'!N55/'Yearly LC Ethylene'!N50</f>
        <v>1</v>
      </c>
      <c r="N42" s="23">
        <f>'Yearly LC Ethylene'!O55/'Yearly LC Ethylene'!O50</f>
        <v>1</v>
      </c>
      <c r="O42" s="23">
        <f>'Yearly LC Ethylene'!P55/'Yearly LC Ethylene'!P50</f>
        <v>1</v>
      </c>
      <c r="P42" s="23">
        <f>'Yearly LC Ethylene'!Q55/'Yearly LC Ethylene'!Q50</f>
        <v>1</v>
      </c>
      <c r="Q42" s="23">
        <f>'Yearly LC Ethylene'!R55/'Yearly LC Ethylene'!R50</f>
        <v>1</v>
      </c>
      <c r="R42" s="23">
        <f>'Yearly LC Ethylene'!S55/'Yearly LC Ethylene'!S50</f>
        <v>1</v>
      </c>
      <c r="S42" s="23">
        <f>'Yearly LC Ethylene'!T55/'Yearly LC Ethylene'!T50</f>
        <v>1</v>
      </c>
      <c r="T42" s="23">
        <f>'Yearly LC Ethylene'!U55/'Yearly LC Ethylene'!U50</f>
        <v>1</v>
      </c>
      <c r="U42" s="23">
        <f>'Yearly LC Ethylene'!V55/'Yearly LC Ethylene'!V50</f>
        <v>1</v>
      </c>
      <c r="V42" s="23">
        <f>'Yearly LC Ethylene'!W55/'Yearly LC Ethylene'!W50</f>
        <v>1</v>
      </c>
      <c r="W42" s="23">
        <f>'Yearly LC Ethylene'!X55/'Yearly LC Ethylene'!X50</f>
        <v>1</v>
      </c>
      <c r="X42" s="23">
        <f>'Yearly LC Ethylene'!Y55/'Yearly LC Ethylene'!Y50</f>
        <v>1</v>
      </c>
      <c r="Y42" s="23">
        <f>'Yearly LC Ethylene'!Z55/'Yearly LC Ethylene'!Z50</f>
        <v>1</v>
      </c>
      <c r="Z42" s="23">
        <f>'Yearly LC Ethylene'!AA55/'Yearly LC Ethylene'!AA50</f>
        <v>1</v>
      </c>
      <c r="AA42" s="23">
        <f>'Yearly LC Ethylene'!AB55/'Yearly LC Ethylene'!AB50</f>
        <v>1</v>
      </c>
      <c r="AB42" s="23">
        <f>'Yearly LC Ethylene'!AC55/'Yearly LC Ethylene'!AC50</f>
        <v>1</v>
      </c>
      <c r="AC42" s="23">
        <f>'Yearly LC Ethylene'!AD55/'Yearly LC Ethylene'!AD50</f>
        <v>1</v>
      </c>
      <c r="AD42" s="23">
        <f>'Yearly LC Ethylene'!AE55/'Yearly LC Ethylene'!AE50</f>
        <v>1</v>
      </c>
      <c r="AE42" s="23">
        <f>'Yearly LC Ethylene'!AF55/'Yearly LC Ethylene'!AF50</f>
        <v>1</v>
      </c>
      <c r="AF42" s="23">
        <f>'Yearly LC Ethylene'!AG55/'Yearly LC Ethylene'!AG50</f>
        <v>1</v>
      </c>
      <c r="AG42" s="23">
        <f>'Yearly LC Ethylene'!AH55/'Yearly LC Ethylene'!AH50</f>
        <v>1</v>
      </c>
      <c r="AL42" s="108"/>
      <c r="AM42" s="2"/>
      <c r="AN42" s="2"/>
      <c r="AO42" s="2"/>
      <c r="BD42" s="41"/>
      <c r="BE42" s="41"/>
      <c r="BF42" s="41"/>
      <c r="BG42" s="41"/>
      <c r="BH42" s="41"/>
      <c r="BI42" s="41"/>
      <c r="BJ42" s="41"/>
      <c r="BK42" s="41"/>
      <c r="BL42" s="118"/>
    </row>
    <row r="43" spans="1:64" outlineLevel="1">
      <c r="A43" t="s">
        <v>1298</v>
      </c>
      <c r="B43" s="176" t="s">
        <v>462</v>
      </c>
      <c r="C43" s="110">
        <f>'Yearly LC Ethylene'!D65/'Yearly LC Ethylene'!D62</f>
        <v>1</v>
      </c>
      <c r="D43" s="110">
        <f>'Yearly LC Ethylene'!E65/'Yearly LC Ethylene'!E62</f>
        <v>1</v>
      </c>
      <c r="E43" s="110">
        <f>'Yearly LC Ethylene'!F65/'Yearly LC Ethylene'!F62</f>
        <v>1</v>
      </c>
      <c r="F43" s="110">
        <f>'Yearly LC Ethylene'!G65/'Yearly LC Ethylene'!G62</f>
        <v>1</v>
      </c>
      <c r="G43" s="110">
        <f>'Yearly LC Ethylene'!H65/'Yearly LC Ethylene'!H62</f>
        <v>1</v>
      </c>
      <c r="H43" s="110">
        <f>'Yearly LC Ethylene'!I65/'Yearly LC Ethylene'!I62</f>
        <v>1</v>
      </c>
      <c r="I43" s="110">
        <f>'Yearly LC Ethylene'!J65/'Yearly LC Ethylene'!J62</f>
        <v>1</v>
      </c>
      <c r="J43" s="110">
        <f>'Yearly LC Ethylene'!K65/'Yearly LC Ethylene'!K62</f>
        <v>1</v>
      </c>
      <c r="K43" s="110">
        <f>'Yearly LC Ethylene'!L65/'Yearly LC Ethylene'!L62</f>
        <v>1</v>
      </c>
      <c r="L43" s="110">
        <f>'Yearly LC Ethylene'!M65/'Yearly LC Ethylene'!M62</f>
        <v>1</v>
      </c>
      <c r="M43" s="110">
        <f>'Yearly LC Ethylene'!N65/'Yearly LC Ethylene'!N62</f>
        <v>1</v>
      </c>
      <c r="N43" s="110">
        <f>'Yearly LC Ethylene'!O65/'Yearly LC Ethylene'!O62</f>
        <v>1</v>
      </c>
      <c r="O43" s="110">
        <f>'Yearly LC Ethylene'!P65/'Yearly LC Ethylene'!P62</f>
        <v>1</v>
      </c>
      <c r="P43" s="110">
        <f>'Yearly LC Ethylene'!Q65/'Yearly LC Ethylene'!Q62</f>
        <v>1</v>
      </c>
      <c r="Q43" s="110">
        <f>'Yearly LC Ethylene'!R65/'Yearly LC Ethylene'!R62</f>
        <v>1</v>
      </c>
      <c r="R43" s="110">
        <f>'Yearly LC Ethylene'!S65/'Yearly LC Ethylene'!S62</f>
        <v>1</v>
      </c>
      <c r="S43" s="110">
        <f>'Yearly LC Ethylene'!T65/'Yearly LC Ethylene'!T62</f>
        <v>1</v>
      </c>
      <c r="T43" s="110">
        <f>'Yearly LC Ethylene'!U65/'Yearly LC Ethylene'!U62</f>
        <v>1</v>
      </c>
      <c r="U43" s="110">
        <f>'Yearly LC Ethylene'!V65/'Yearly LC Ethylene'!V62</f>
        <v>1</v>
      </c>
      <c r="V43" s="110">
        <f>'Yearly LC Ethylene'!W65/'Yearly LC Ethylene'!W62</f>
        <v>1</v>
      </c>
      <c r="W43" s="110">
        <f>'Yearly LC Ethylene'!X65/'Yearly LC Ethylene'!X62</f>
        <v>1</v>
      </c>
      <c r="X43" s="110">
        <f>'Yearly LC Ethylene'!Y65/'Yearly LC Ethylene'!Y62</f>
        <v>1</v>
      </c>
      <c r="Y43" s="110">
        <f>'Yearly LC Ethylene'!Z65/'Yearly LC Ethylene'!Z62</f>
        <v>1</v>
      </c>
      <c r="Z43" s="110">
        <f>'Yearly LC Ethylene'!AA65/'Yearly LC Ethylene'!AA62</f>
        <v>1</v>
      </c>
      <c r="AA43" s="110">
        <f>'Yearly LC Ethylene'!AB65/'Yearly LC Ethylene'!AB62</f>
        <v>1</v>
      </c>
      <c r="AB43" s="110">
        <f>'Yearly LC Ethylene'!AC65/'Yearly LC Ethylene'!AC62</f>
        <v>1</v>
      </c>
      <c r="AC43" s="110">
        <f>'Yearly LC Ethylene'!AD65/'Yearly LC Ethylene'!AD62</f>
        <v>1</v>
      </c>
      <c r="AD43" s="110">
        <f>'Yearly LC Ethylene'!AE65/'Yearly LC Ethylene'!AE62</f>
        <v>1</v>
      </c>
      <c r="AE43" s="110">
        <f>'Yearly LC Ethylene'!AF65/'Yearly LC Ethylene'!AF62</f>
        <v>1</v>
      </c>
      <c r="AF43" s="110">
        <f>'Yearly LC Ethylene'!AG65/'Yearly LC Ethylene'!AG62</f>
        <v>1</v>
      </c>
      <c r="AG43" s="110">
        <f>'Yearly LC Ethylene'!AH65/'Yearly LC Ethylene'!AH62</f>
        <v>1</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1300</v>
      </c>
      <c r="B45" s="54" t="s">
        <v>1283</v>
      </c>
      <c r="C45" s="107">
        <f>C27*C39</f>
        <v>102.83867964679865</v>
      </c>
      <c r="D45" s="107">
        <f t="shared" ref="D45:AG45" si="19">D27*D39</f>
        <v>106.28598640768944</v>
      </c>
      <c r="E45" s="107">
        <f t="shared" si="19"/>
        <v>109.5616995008031</v>
      </c>
      <c r="F45" s="107">
        <f t="shared" si="19"/>
        <v>112.64333563181849</v>
      </c>
      <c r="G45" s="107">
        <f t="shared" si="19"/>
        <v>115.50931122200963</v>
      </c>
      <c r="H45" s="107">
        <f t="shared" si="19"/>
        <v>118.13919421573216</v>
      </c>
      <c r="I45" s="107">
        <f t="shared" si="19"/>
        <v>120.77395041935485</v>
      </c>
      <c r="J45" s="107">
        <f t="shared" si="19"/>
        <v>123.4111943053117</v>
      </c>
      <c r="K45" s="107">
        <f t="shared" si="19"/>
        <v>126.04847978225341</v>
      </c>
      <c r="L45" s="107">
        <f t="shared" si="19"/>
        <v>128.68330337612264</v>
      </c>
      <c r="M45" s="107">
        <f t="shared" si="19"/>
        <v>131.31310762622246</v>
      </c>
      <c r="N45" s="107">
        <f t="shared" si="19"/>
        <v>133.74365133866885</v>
      </c>
      <c r="O45" s="107">
        <f t="shared" si="19"/>
        <v>135.96145428106598</v>
      </c>
      <c r="P45" s="107">
        <f t="shared" si="19"/>
        <v>137.95398835278621</v>
      </c>
      <c r="Q45" s="107">
        <f t="shared" si="19"/>
        <v>139.70979402380797</v>
      </c>
      <c r="R45" s="107">
        <f t="shared" si="19"/>
        <v>141.21858889442359</v>
      </c>
      <c r="S45" s="107">
        <f t="shared" si="19"/>
        <v>142.72805331994462</v>
      </c>
      <c r="T45" s="107">
        <f t="shared" si="19"/>
        <v>144.23785099543639</v>
      </c>
      <c r="U45" s="107">
        <f t="shared" si="19"/>
        <v>145.74764157846025</v>
      </c>
      <c r="V45" s="107">
        <f t="shared" si="19"/>
        <v>147.25708079644534</v>
      </c>
      <c r="W45" s="107">
        <f t="shared" si="19"/>
        <v>148.76582055762699</v>
      </c>
      <c r="X45" s="107">
        <f t="shared" si="19"/>
        <v>150.27516423982337</v>
      </c>
      <c r="Y45" s="107">
        <f t="shared" si="19"/>
        <v>151.78480881836185</v>
      </c>
      <c r="Z45" s="107">
        <f t="shared" si="19"/>
        <v>153.2944478440792</v>
      </c>
      <c r="AA45" s="107">
        <f t="shared" si="19"/>
        <v>154.80377153088244</v>
      </c>
      <c r="AB45" s="107">
        <f t="shared" si="19"/>
        <v>156.31246684603533</v>
      </c>
      <c r="AC45" s="107">
        <f t="shared" si="19"/>
        <v>157.82170967288491</v>
      </c>
      <c r="AD45" s="107">
        <f t="shared" si="19"/>
        <v>159.33122553085934</v>
      </c>
      <c r="AE45" s="107">
        <f t="shared" si="19"/>
        <v>160.84073700912998</v>
      </c>
      <c r="AF45" s="107">
        <f t="shared" si="19"/>
        <v>162.34996383873036</v>
      </c>
      <c r="AG45" s="107">
        <f t="shared" si="19"/>
        <v>163.85862296678792</v>
      </c>
      <c r="AI45" s="210" t="s">
        <v>1301</v>
      </c>
      <c r="AJ45" s="211" t="s">
        <v>1302</v>
      </c>
      <c r="BD45" s="41"/>
      <c r="BE45" s="41"/>
      <c r="BF45" s="41"/>
      <c r="BG45" s="41"/>
      <c r="BH45" s="41"/>
      <c r="BI45" s="41"/>
      <c r="BJ45" s="41"/>
      <c r="BK45" s="41"/>
      <c r="BL45" s="118"/>
    </row>
    <row r="46" spans="1:64" outlineLevel="1">
      <c r="A46" t="s">
        <v>1303</v>
      </c>
      <c r="B46" s="54" t="s">
        <v>1283</v>
      </c>
      <c r="C46" s="107">
        <f>C28*$C$40</f>
        <v>2.1856442000720988</v>
      </c>
      <c r="D46" s="107">
        <f t="shared" ref="D46:O46" si="20">D28*$C$40</f>
        <v>2.2589102712982947</v>
      </c>
      <c r="E46" s="107">
        <f t="shared" si="20"/>
        <v>2.3285294393744862</v>
      </c>
      <c r="F46" s="107">
        <f t="shared" si="20"/>
        <v>2.3940238638421976</v>
      </c>
      <c r="G46" s="107">
        <f t="shared" si="20"/>
        <v>2.4549348260187185</v>
      </c>
      <c r="H46" s="107">
        <f t="shared" si="20"/>
        <v>2.5108280806952612</v>
      </c>
      <c r="I46" s="107">
        <f t="shared" si="20"/>
        <v>2.5668249063529807</v>
      </c>
      <c r="J46" s="107">
        <f t="shared" si="20"/>
        <v>2.6228746030557586</v>
      </c>
      <c r="K46" s="107">
        <f t="shared" si="20"/>
        <v>2.6789251836972952</v>
      </c>
      <c r="L46" s="107">
        <f t="shared" si="20"/>
        <v>2.7349234416089296</v>
      </c>
      <c r="M46" s="107">
        <f t="shared" si="20"/>
        <v>2.7908150227367376</v>
      </c>
      <c r="N46" s="107">
        <f t="shared" si="20"/>
        <v>2.8424716930321492</v>
      </c>
      <c r="O46" s="107">
        <f t="shared" si="20"/>
        <v>2.8896069553147976</v>
      </c>
      <c r="P46" s="107">
        <f>D40*P28</f>
        <v>2.9348865027361977</v>
      </c>
      <c r="Q46" s="107">
        <f t="shared" ref="Q46:AG46" si="21">E40*Q28</f>
        <v>2.9752094625704482</v>
      </c>
      <c r="R46" s="107">
        <f t="shared" si="21"/>
        <v>3.0103415523419601</v>
      </c>
      <c r="S46" s="107">
        <f t="shared" si="21"/>
        <v>3.0455520624118919</v>
      </c>
      <c r="T46" s="107">
        <f t="shared" si="21"/>
        <v>3.0808338521992797</v>
      </c>
      <c r="U46" s="107">
        <f t="shared" si="21"/>
        <v>3.1161796662085557</v>
      </c>
      <c r="V46" s="107">
        <f t="shared" si="21"/>
        <v>3.1515821358984604</v>
      </c>
      <c r="W46" s="107">
        <f t="shared" si="21"/>
        <v>3.1870337816410577</v>
      </c>
      <c r="X46" s="107">
        <f t="shared" si="21"/>
        <v>3.2225625090100944</v>
      </c>
      <c r="Y46" s="107">
        <f t="shared" si="21"/>
        <v>3.2581618518851188</v>
      </c>
      <c r="Z46" s="107">
        <f t="shared" si="21"/>
        <v>3.3035992069537796</v>
      </c>
      <c r="AA46" s="107">
        <f t="shared" si="21"/>
        <v>3.3492864159269216</v>
      </c>
      <c r="AB46" s="107">
        <f t="shared" si="21"/>
        <v>3.3952165990903072</v>
      </c>
      <c r="AC46" s="107">
        <f t="shared" si="21"/>
        <v>3.4414152371627891</v>
      </c>
      <c r="AD46" s="107">
        <f t="shared" si="21"/>
        <v>3.4878764612009996</v>
      </c>
      <c r="AE46" s="107">
        <f t="shared" si="21"/>
        <v>3.534594244529853</v>
      </c>
      <c r="AF46" s="107">
        <f t="shared" si="21"/>
        <v>3.5815624030880016</v>
      </c>
      <c r="AG46" s="107">
        <f t="shared" si="21"/>
        <v>3.6287745958568669</v>
      </c>
      <c r="AI46" s="210" t="s">
        <v>1304</v>
      </c>
      <c r="AJ46" s="211" t="s">
        <v>1302</v>
      </c>
      <c r="BD46" s="41"/>
      <c r="BE46" s="41"/>
      <c r="BF46" s="41"/>
      <c r="BG46" s="41"/>
      <c r="BH46" s="41"/>
      <c r="BI46" s="41"/>
      <c r="BJ46" s="41"/>
      <c r="BK46" s="41"/>
      <c r="BL46" s="118"/>
    </row>
    <row r="47" spans="1:64" outlineLevel="1">
      <c r="A47" t="s">
        <v>1305</v>
      </c>
      <c r="B47" s="54" t="s">
        <v>1283</v>
      </c>
      <c r="C47" s="107">
        <f>C29</f>
        <v>5.752639614679981</v>
      </c>
      <c r="D47" s="107">
        <f t="shared" ref="D47:AG47" si="22">D29</f>
        <v>5.945476721348065</v>
      </c>
      <c r="E47" s="107">
        <f t="shared" si="22"/>
        <v>6.1287151387459886</v>
      </c>
      <c r="F47" s="107">
        <f t="shared" si="22"/>
        <v>6.301097185522492</v>
      </c>
      <c r="G47" s="107">
        <f t="shared" si="22"/>
        <v>6.4614155090508003</v>
      </c>
      <c r="H47" s="107">
        <f t="shared" si="22"/>
        <v>6.6085271711571334</v>
      </c>
      <c r="I47" s="107">
        <f t="shared" si="22"/>
        <v>6.7559114332270083</v>
      </c>
      <c r="J47" s="107">
        <f t="shared" si="22"/>
        <v>6.9034348524699753</v>
      </c>
      <c r="K47" s="107">
        <f t="shared" si="22"/>
        <v>7.0509605982494961</v>
      </c>
      <c r="L47" s="107">
        <f t="shared" si="22"/>
        <v>7.1983486300274544</v>
      </c>
      <c r="M47" s="107">
        <f t="shared" si="22"/>
        <v>7.3454558873350795</v>
      </c>
      <c r="N47" s="107">
        <f t="shared" si="22"/>
        <v>7.4814168126741842</v>
      </c>
      <c r="O47" s="107">
        <f t="shared" si="22"/>
        <v>7.6054773423095892</v>
      </c>
      <c r="P47" s="107">
        <f t="shared" si="22"/>
        <v>7.7169366733117464</v>
      </c>
      <c r="Q47" s="107">
        <f t="shared" si="22"/>
        <v>7.8151537769685619</v>
      </c>
      <c r="R47" s="107">
        <f t="shared" si="22"/>
        <v>7.8995534714506324</v>
      </c>
      <c r="S47" s="107">
        <f t="shared" si="22"/>
        <v>7.9839906198176243</v>
      </c>
      <c r="T47" s="107">
        <f t="shared" si="22"/>
        <v>8.0684464096820587</v>
      </c>
      <c r="U47" s="107">
        <f t="shared" si="22"/>
        <v>8.1529018028046014</v>
      </c>
      <c r="V47" s="107">
        <f t="shared" si="22"/>
        <v>8.2373375411003043</v>
      </c>
      <c r="W47" s="107">
        <f t="shared" si="22"/>
        <v>8.3217341528443036</v>
      </c>
      <c r="X47" s="107">
        <f t="shared" si="22"/>
        <v>8.406164547013022</v>
      </c>
      <c r="Y47" s="107">
        <f t="shared" si="22"/>
        <v>8.4906117728663109</v>
      </c>
      <c r="Z47" s="107">
        <f t="shared" si="22"/>
        <v>8.5750586881032156</v>
      </c>
      <c r="AA47" s="107">
        <f t="shared" si="22"/>
        <v>8.6594879637599984</v>
      </c>
      <c r="AB47" s="107">
        <f t="shared" si="22"/>
        <v>8.7438820892606266</v>
      </c>
      <c r="AC47" s="107">
        <f t="shared" si="22"/>
        <v>8.82830684173436</v>
      </c>
      <c r="AD47" s="107">
        <f t="shared" si="22"/>
        <v>8.9127468671547145</v>
      </c>
      <c r="AE47" s="107">
        <f t="shared" si="22"/>
        <v>8.9971866475810884</v>
      </c>
      <c r="AF47" s="107">
        <f t="shared" si="22"/>
        <v>9.0816105051929874</v>
      </c>
      <c r="AG47" s="107">
        <f t="shared" si="22"/>
        <v>9.1660026064424382</v>
      </c>
      <c r="AI47" s="210" t="s">
        <v>1306</v>
      </c>
      <c r="AJ47" s="211" t="s">
        <v>1302</v>
      </c>
      <c r="BD47" s="41"/>
      <c r="BE47" s="41"/>
      <c r="BF47" s="41"/>
      <c r="BG47" s="41"/>
      <c r="BH47" s="41"/>
      <c r="BI47" s="41"/>
      <c r="BJ47" s="41"/>
      <c r="BK47" s="41"/>
      <c r="BL47" s="118"/>
    </row>
    <row r="48" spans="1:64" outlineLevel="1">
      <c r="A48" t="s">
        <v>1307</v>
      </c>
      <c r="B48" s="54" t="s">
        <v>1283</v>
      </c>
      <c r="C48" s="107">
        <f>C30*$C$42</f>
        <v>4.7040655633623691</v>
      </c>
      <c r="D48" s="107">
        <f t="shared" ref="D48:H48" si="23">D30*$C$42</f>
        <v>4.8617528953657363</v>
      </c>
      <c r="E48" s="107">
        <f t="shared" si="23"/>
        <v>5.0115911586504671</v>
      </c>
      <c r="F48" s="107">
        <f t="shared" si="23"/>
        <v>5.1525519182840052</v>
      </c>
      <c r="G48" s="107">
        <f t="shared" si="23"/>
        <v>5.2836478942879612</v>
      </c>
      <c r="H48" s="107">
        <f t="shared" si="23"/>
        <v>5.4039444798619058</v>
      </c>
      <c r="I48" s="107">
        <f>I30*D42</f>
        <v>5.5244639766882395</v>
      </c>
      <c r="J48" s="107">
        <f t="shared" ref="J48:AG49" si="24">J30*E42</f>
        <v>5.6450972655317502</v>
      </c>
      <c r="K48" s="107">
        <f t="shared" si="24"/>
        <v>5.7657324568376458</v>
      </c>
      <c r="L48" s="107">
        <f t="shared" si="24"/>
        <v>5.8862550362408781</v>
      </c>
      <c r="M48" s="107">
        <f t="shared" si="24"/>
        <v>6.0065480199097303</v>
      </c>
      <c r="N48" s="107">
        <f t="shared" si="24"/>
        <v>6.1177263918728313</v>
      </c>
      <c r="O48" s="107">
        <f t="shared" si="24"/>
        <v>6.2191735368914705</v>
      </c>
      <c r="P48" s="107">
        <f t="shared" si="24"/>
        <v>6.3103163923112113</v>
      </c>
      <c r="Q48" s="107">
        <f t="shared" si="24"/>
        <v>6.3906307742283754</v>
      </c>
      <c r="R48" s="107">
        <f t="shared" si="24"/>
        <v>6.4596463432479041</v>
      </c>
      <c r="S48" s="107">
        <f t="shared" si="24"/>
        <v>6.5286925391695263</v>
      </c>
      <c r="T48" s="107">
        <f t="shared" si="24"/>
        <v>6.597753978671844</v>
      </c>
      <c r="U48" s="107">
        <f t="shared" si="24"/>
        <v>6.6668150937492028</v>
      </c>
      <c r="V48" s="107">
        <f t="shared" si="24"/>
        <v>6.7358601366231401</v>
      </c>
      <c r="W48" s="107">
        <f t="shared" si="24"/>
        <v>6.8048731848169286</v>
      </c>
      <c r="X48" s="107">
        <f t="shared" si="24"/>
        <v>6.8739138576754657</v>
      </c>
      <c r="Y48" s="107">
        <f t="shared" si="24"/>
        <v>6.9429682941891366</v>
      </c>
      <c r="Z48" s="107">
        <f t="shared" si="24"/>
        <v>7.0120224767046535</v>
      </c>
      <c r="AA48" s="107">
        <f t="shared" si="24"/>
        <v>7.0810622349302861</v>
      </c>
      <c r="AB48" s="107">
        <f t="shared" si="24"/>
        <v>7.1500732500657556</v>
      </c>
      <c r="AC48" s="107">
        <f t="shared" si="24"/>
        <v>7.2191093095807011</v>
      </c>
      <c r="AD48" s="107">
        <f t="shared" si="24"/>
        <v>7.2881578581349515</v>
      </c>
      <c r="AE48" s="107">
        <f t="shared" si="24"/>
        <v>7.3572062063519947</v>
      </c>
      <c r="AF48" s="107">
        <f t="shared" si="24"/>
        <v>7.426241534117862</v>
      </c>
      <c r="AG48" s="107">
        <f t="shared" si="24"/>
        <v>7.4952508939766433</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1309</v>
      </c>
      <c r="B49" s="176" t="s">
        <v>1283</v>
      </c>
      <c r="C49" s="107">
        <f>C31*$C$43</f>
        <v>28.091768113202104</v>
      </c>
      <c r="D49" s="107">
        <f t="shared" ref="D49:H49" si="25">D31*$C$43</f>
        <v>29.033446307385653</v>
      </c>
      <c r="E49" s="107">
        <f t="shared" si="25"/>
        <v>29.928251383969435</v>
      </c>
      <c r="F49" s="107">
        <f t="shared" si="25"/>
        <v>30.770041728799526</v>
      </c>
      <c r="G49" s="107">
        <f t="shared" si="25"/>
        <v>31.552921497134374</v>
      </c>
      <c r="H49" s="107">
        <f t="shared" si="25"/>
        <v>32.271309398245535</v>
      </c>
      <c r="I49" s="107">
        <f>I31*D43</f>
        <v>32.991028482166051</v>
      </c>
      <c r="J49" s="107">
        <f t="shared" si="24"/>
        <v>33.711427109965484</v>
      </c>
      <c r="K49" s="107">
        <f t="shared" si="24"/>
        <v>34.431837098901674</v>
      </c>
      <c r="L49" s="107">
        <f t="shared" si="24"/>
        <v>35.151574591374157</v>
      </c>
      <c r="M49" s="107">
        <f t="shared" si="24"/>
        <v>35.869940982605996</v>
      </c>
      <c r="N49" s="107">
        <f t="shared" si="24"/>
        <v>36.533876678722947</v>
      </c>
      <c r="O49" s="107">
        <f t="shared" si="24"/>
        <v>37.139699372991053</v>
      </c>
      <c r="P49" s="107">
        <f t="shared" si="24"/>
        <v>37.683986846271161</v>
      </c>
      <c r="Q49" s="107">
        <f t="shared" si="24"/>
        <v>38.163608773853191</v>
      </c>
      <c r="R49" s="107">
        <f t="shared" si="24"/>
        <v>38.575756379999966</v>
      </c>
      <c r="S49" s="107">
        <f t="shared" si="24"/>
        <v>38.988086884071969</v>
      </c>
      <c r="T49" s="107">
        <f t="shared" si="24"/>
        <v>39.400508419854376</v>
      </c>
      <c r="U49" s="107">
        <f t="shared" si="24"/>
        <v>39.812928018233784</v>
      </c>
      <c r="V49" s="107">
        <f t="shared" si="24"/>
        <v>40.225251636528419</v>
      </c>
      <c r="W49" s="107">
        <f t="shared" si="24"/>
        <v>40.637384188792296</v>
      </c>
      <c r="X49" s="107">
        <f t="shared" si="24"/>
        <v>41.049681710201668</v>
      </c>
      <c r="Y49" s="107">
        <f t="shared" si="24"/>
        <v>41.462061425492728</v>
      </c>
      <c r="Z49" s="107">
        <f t="shared" si="24"/>
        <v>41.874439623956036</v>
      </c>
      <c r="AA49" s="107">
        <f t="shared" si="24"/>
        <v>42.286731683354908</v>
      </c>
      <c r="AB49" s="107">
        <f t="shared" si="24"/>
        <v>42.698852094588425</v>
      </c>
      <c r="AC49" s="107">
        <f t="shared" si="24"/>
        <v>43.111122066003716</v>
      </c>
      <c r="AD49" s="107">
        <f t="shared" si="24"/>
        <v>43.523466619541935</v>
      </c>
      <c r="AE49" s="107">
        <f t="shared" si="24"/>
        <v>43.935809976705173</v>
      </c>
      <c r="AF49" s="107">
        <f t="shared" si="24"/>
        <v>44.348075578256747</v>
      </c>
      <c r="AG49" s="107">
        <f t="shared" si="24"/>
        <v>44.760186104498587</v>
      </c>
      <c r="AI49" s="210" t="s">
        <v>1308</v>
      </c>
      <c r="AJ49" s="211" t="s">
        <v>1302</v>
      </c>
      <c r="AL49" s="108"/>
      <c r="AM49" s="2"/>
      <c r="AN49" s="2"/>
      <c r="AO49" s="2"/>
    </row>
    <row r="50" spans="1:63" s="1" customFormat="1" ht="16" thickBot="1">
      <c r="A50" s="200" t="s">
        <v>1310</v>
      </c>
      <c r="B50" s="215" t="s">
        <v>1283</v>
      </c>
      <c r="C50" s="216">
        <f>SUM(C45:C49)</f>
        <v>143.57279713811519</v>
      </c>
      <c r="D50" s="216">
        <f t="shared" ref="D50:AF50" si="26">SUM(D45:D49)</f>
        <v>148.38557260308718</v>
      </c>
      <c r="E50" s="216">
        <f t="shared" si="26"/>
        <v>152.95878662154348</v>
      </c>
      <c r="F50" s="216">
        <f t="shared" si="26"/>
        <v>157.26105032826672</v>
      </c>
      <c r="G50" s="216">
        <f t="shared" si="26"/>
        <v>161.26223094850147</v>
      </c>
      <c r="H50" s="216">
        <f t="shared" si="26"/>
        <v>164.93380334569201</v>
      </c>
      <c r="I50" s="216">
        <f t="shared" si="26"/>
        <v>168.61217921778913</v>
      </c>
      <c r="J50" s="216">
        <f t="shared" si="26"/>
        <v>172.29402813633467</v>
      </c>
      <c r="K50" s="216">
        <f t="shared" si="26"/>
        <v>175.97593511993952</v>
      </c>
      <c r="L50" s="216">
        <f t="shared" si="26"/>
        <v>179.65440507537406</v>
      </c>
      <c r="M50" s="216">
        <f t="shared" si="26"/>
        <v>183.32586753881003</v>
      </c>
      <c r="N50" s="216">
        <f t="shared" si="26"/>
        <v>186.71914291497094</v>
      </c>
      <c r="O50" s="216">
        <f t="shared" si="26"/>
        <v>189.81541148857292</v>
      </c>
      <c r="P50" s="216">
        <f t="shared" si="26"/>
        <v>192.60011476741653</v>
      </c>
      <c r="Q50" s="216">
        <f t="shared" si="26"/>
        <v>195.05439681142857</v>
      </c>
      <c r="R50" s="216">
        <f t="shared" si="26"/>
        <v>197.16388664146407</v>
      </c>
      <c r="S50" s="216">
        <f t="shared" si="26"/>
        <v>199.27437542541566</v>
      </c>
      <c r="T50" s="216">
        <f t="shared" si="26"/>
        <v>201.38539365584393</v>
      </c>
      <c r="U50" s="216">
        <f t="shared" si="26"/>
        <v>203.49646615945636</v>
      </c>
      <c r="V50" s="216">
        <f t="shared" si="26"/>
        <v>205.60711224659565</v>
      </c>
      <c r="W50" s="216">
        <f t="shared" si="26"/>
        <v>207.71684586572155</v>
      </c>
      <c r="X50" s="216">
        <f t="shared" si="26"/>
        <v>209.82748686372361</v>
      </c>
      <c r="Y50" s="216">
        <f t="shared" si="26"/>
        <v>211.93861216279515</v>
      </c>
      <c r="Z50" s="216">
        <f t="shared" si="26"/>
        <v>214.0595678397969</v>
      </c>
      <c r="AA50" s="216">
        <f t="shared" si="26"/>
        <v>216.18033982885453</v>
      </c>
      <c r="AB50" s="216">
        <f t="shared" si="26"/>
        <v>218.30049087904047</v>
      </c>
      <c r="AC50" s="216">
        <f t="shared" si="26"/>
        <v>220.42166312736646</v>
      </c>
      <c r="AD50" s="216">
        <f t="shared" si="26"/>
        <v>222.54347333689196</v>
      </c>
      <c r="AE50" s="216">
        <f t="shared" si="26"/>
        <v>224.66553408429809</v>
      </c>
      <c r="AF50" s="216">
        <f t="shared" si="26"/>
        <v>226.78745385938598</v>
      </c>
      <c r="AG50" s="216">
        <f>SUM(AG45:AG49)</f>
        <v>228.90883716756247</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27">D55</f>
        <v>0.14849999999999999</v>
      </c>
      <c r="E52" s="222">
        <f t="shared" si="27"/>
        <v>0.155</v>
      </c>
      <c r="F52" s="222">
        <f t="shared" si="27"/>
        <v>0.16149999999999998</v>
      </c>
      <c r="G52" s="222">
        <f t="shared" si="27"/>
        <v>0.16800000000000001</v>
      </c>
      <c r="H52" s="222">
        <f t="shared" si="27"/>
        <v>0.17449999999999996</v>
      </c>
      <c r="I52" s="222">
        <f t="shared" si="27"/>
        <v>0.18099999999999999</v>
      </c>
      <c r="J52" s="222">
        <f t="shared" si="27"/>
        <v>0.1875</v>
      </c>
      <c r="K52" s="222">
        <f t="shared" si="27"/>
        <v>0.19400000000000001</v>
      </c>
      <c r="L52" s="222">
        <f t="shared" si="27"/>
        <v>0.20050000000000001</v>
      </c>
      <c r="M52" s="222">
        <f t="shared" si="27"/>
        <v>0.20700000000000002</v>
      </c>
      <c r="N52" s="222">
        <f t="shared" si="27"/>
        <v>0.22070000000000001</v>
      </c>
      <c r="O52" s="222">
        <f t="shared" si="27"/>
        <v>0.2344</v>
      </c>
      <c r="P52" s="222">
        <f t="shared" si="27"/>
        <v>0.24809999999999996</v>
      </c>
      <c r="Q52" s="222">
        <f t="shared" si="27"/>
        <v>0.26179999999999998</v>
      </c>
      <c r="R52" s="222">
        <f t="shared" si="27"/>
        <v>0.27549999999999997</v>
      </c>
      <c r="S52" s="222">
        <f t="shared" si="27"/>
        <v>0.28920000000000001</v>
      </c>
      <c r="T52" s="222">
        <f t="shared" si="27"/>
        <v>0.3029</v>
      </c>
      <c r="U52" s="222">
        <f t="shared" si="27"/>
        <v>0.31659999999999999</v>
      </c>
      <c r="V52" s="222">
        <f t="shared" si="27"/>
        <v>0.33030000000000004</v>
      </c>
      <c r="W52" s="222">
        <f t="shared" si="27"/>
        <v>0.34399999999999997</v>
      </c>
      <c r="X52" s="222">
        <f t="shared" si="27"/>
        <v>0.36692262658227848</v>
      </c>
      <c r="Y52" s="222">
        <f t="shared" si="27"/>
        <v>0.38984525316455698</v>
      </c>
      <c r="Z52" s="222">
        <f t="shared" si="27"/>
        <v>0.41276787974683543</v>
      </c>
      <c r="AA52" s="222">
        <f t="shared" si="27"/>
        <v>0.43569050632911388</v>
      </c>
      <c r="AB52" s="222">
        <f t="shared" si="27"/>
        <v>0.45861313291139233</v>
      </c>
      <c r="AC52" s="222">
        <f t="shared" si="27"/>
        <v>0.48153575949367083</v>
      </c>
      <c r="AD52" s="222">
        <f t="shared" si="27"/>
        <v>0.50445838607594939</v>
      </c>
      <c r="AE52" s="222">
        <f t="shared" si="27"/>
        <v>0.5273810126582279</v>
      </c>
      <c r="AF52" s="222">
        <f t="shared" si="27"/>
        <v>0.55030363924050629</v>
      </c>
      <c r="AG52" s="222">
        <f t="shared" si="27"/>
        <v>0.5732262658227848</v>
      </c>
      <c r="AJ52" s="231" t="s">
        <v>1312</v>
      </c>
      <c r="AL52" s="217"/>
      <c r="AM52" s="218"/>
      <c r="AN52" s="218"/>
      <c r="AO52" s="218"/>
    </row>
    <row r="53" spans="1:63" ht="17" outlineLevel="1" thickTop="1">
      <c r="A53" t="s">
        <v>1313</v>
      </c>
      <c r="B53" s="54" t="s">
        <v>462</v>
      </c>
      <c r="C53" s="110">
        <f>'Ethylene Recycling HC'!C53*'Ethylene Recycling HC'!C$45/'Ethylene Recycling LC'!C$45</f>
        <v>4.7E-2</v>
      </c>
      <c r="D53" s="110">
        <f>'Ethylene Recycling HC'!D53*'Ethylene Recycling HC'!D$45/'Ethylene Recycling LC'!D$45</f>
        <v>5.0200000000000002E-2</v>
      </c>
      <c r="E53" s="110">
        <f>'Ethylene Recycling HC'!E53*'Ethylene Recycling HC'!E$45/'Ethylene Recycling LC'!E$45</f>
        <v>5.3400000000000003E-2</v>
      </c>
      <c r="F53" s="110">
        <f>'Ethylene Recycling HC'!F53*'Ethylene Recycling HC'!F$45/'Ethylene Recycling LC'!F$45</f>
        <v>5.6599999999999998E-2</v>
      </c>
      <c r="G53" s="110">
        <f>'Ethylene Recycling HC'!G53*'Ethylene Recycling HC'!G$45/'Ethylene Recycling LC'!G$45</f>
        <v>5.9799999999999999E-2</v>
      </c>
      <c r="H53" s="110">
        <f>'Ethylene Recycling HC'!H53*'Ethylene Recycling HC'!H$45/'Ethylene Recycling LC'!H$45</f>
        <v>6.3E-2</v>
      </c>
      <c r="I53" s="110">
        <f>'Ethylene Recycling HC'!I53*'Ethylene Recycling HC'!I$45/'Ethylene Recycling LC'!I$45</f>
        <v>6.6200000000000009E-2</v>
      </c>
      <c r="J53" s="110">
        <f>'Ethylene Recycling HC'!J53*'Ethylene Recycling HC'!J$45/'Ethylene Recycling LC'!J$45</f>
        <v>6.9400000000000003E-2</v>
      </c>
      <c r="K53" s="110">
        <f>'Ethylene Recycling HC'!K53*'Ethylene Recycling HC'!K$45/'Ethylene Recycling LC'!K$45</f>
        <v>7.2599999999999998E-2</v>
      </c>
      <c r="L53" s="110">
        <f>'Ethylene Recycling HC'!L53*'Ethylene Recycling HC'!L$45/'Ethylene Recycling LC'!L$45</f>
        <v>7.5800000000000006E-2</v>
      </c>
      <c r="M53" s="110">
        <f>'Ethylene Recycling HC'!M53*'Ethylene Recycling HC'!M$45/'Ethylene Recycling LC'!M$45</f>
        <v>7.9000000000000001E-2</v>
      </c>
      <c r="N53" s="110">
        <f>'Ethylene Recycling HC'!N53*'Ethylene Recycling HC'!N$45/'Ethylene Recycling LC'!N$45</f>
        <v>8.5100000000000009E-2</v>
      </c>
      <c r="O53" s="110">
        <f>'Ethylene Recycling HC'!O53*'Ethylene Recycling HC'!O$45/'Ethylene Recycling LC'!O$45</f>
        <v>9.1200000000000003E-2</v>
      </c>
      <c r="P53" s="110">
        <f>'Ethylene Recycling HC'!P53*'Ethylene Recycling HC'!P$45/'Ethylene Recycling LC'!P$45</f>
        <v>9.7299999999999998E-2</v>
      </c>
      <c r="Q53" s="110">
        <f>'Ethylene Recycling HC'!Q53*'Ethylene Recycling HC'!Q$45/'Ethylene Recycling LC'!Q$45</f>
        <v>0.10340000000000001</v>
      </c>
      <c r="R53" s="110">
        <f>'Ethylene Recycling HC'!R53*'Ethylene Recycling HC'!R$45/'Ethylene Recycling LC'!R$45</f>
        <v>0.10950000000000001</v>
      </c>
      <c r="S53" s="110">
        <f>'Ethylene Recycling HC'!S53*'Ethylene Recycling HC'!S$45/'Ethylene Recycling LC'!S$45</f>
        <v>0.11560000000000001</v>
      </c>
      <c r="T53" s="110">
        <f>'Ethylene Recycling HC'!T53*'Ethylene Recycling HC'!T$45/'Ethylene Recycling LC'!T$45</f>
        <v>0.1217</v>
      </c>
      <c r="U53" s="110">
        <f>'Ethylene Recycling HC'!U53*'Ethylene Recycling HC'!U$45/'Ethylene Recycling LC'!U$45</f>
        <v>0.12780000000000002</v>
      </c>
      <c r="V53" s="110">
        <f>'Ethylene Recycling HC'!V53*'Ethylene Recycling HC'!V$45/'Ethylene Recycling LC'!V$45</f>
        <v>0.13390000000000002</v>
      </c>
      <c r="W53" s="110">
        <f>'Ethylene Recycling HC'!W53*'Ethylene Recycling HC'!W$45/'Ethylene Recycling LC'!W$45</f>
        <v>0.14000000000000001</v>
      </c>
      <c r="X53" s="110">
        <f>'Ethylene Recycling HC'!X53*'Ethylene Recycling HC'!X$45/'Ethylene Recycling LC'!X$45</f>
        <v>0.15081012658227849</v>
      </c>
      <c r="Y53" s="110">
        <f>'Ethylene Recycling HC'!Y53*'Ethylene Recycling HC'!Y$45/'Ethylene Recycling LC'!Y$45</f>
        <v>0.16162025316455697</v>
      </c>
      <c r="Z53" s="110">
        <f>'Ethylene Recycling HC'!Z53*'Ethylene Recycling HC'!Z$45/'Ethylene Recycling LC'!Z$45</f>
        <v>0.17243037974683545</v>
      </c>
      <c r="AA53" s="110">
        <f>'Ethylene Recycling HC'!AA53*'Ethylene Recycling HC'!AA$45/'Ethylene Recycling LC'!AA$45</f>
        <v>0.18324050632911396</v>
      </c>
      <c r="AB53" s="110">
        <f>'Ethylene Recycling HC'!AB53*'Ethylene Recycling HC'!AB$45/'Ethylene Recycling LC'!AB$45</f>
        <v>0.19405063291139243</v>
      </c>
      <c r="AC53" s="110">
        <f>'Ethylene Recycling HC'!AC53*'Ethylene Recycling HC'!AC$45/'Ethylene Recycling LC'!AC$45</f>
        <v>0.20486075949367094</v>
      </c>
      <c r="AD53" s="110">
        <f>'Ethylene Recycling HC'!AD53*'Ethylene Recycling HC'!AD$45/'Ethylene Recycling LC'!AD$45</f>
        <v>0.21567088607594939</v>
      </c>
      <c r="AE53" s="110">
        <f>'Ethylene Recycling HC'!AE53*'Ethylene Recycling HC'!AE$45/'Ethylene Recycling LC'!AE$45</f>
        <v>0.2264810126582279</v>
      </c>
      <c r="AF53" s="110">
        <f>'Ethylene Recycling HC'!AF53*'Ethylene Recycling HC'!AF$45/'Ethylene Recycling LC'!AF$45</f>
        <v>0.2372911392405064</v>
      </c>
      <c r="AG53" s="110">
        <f>'Ethylene Recycling HC'!AG53*'Ethylene Recycling HC'!AG$45/'Ethylene Recycling LC'!AG$45</f>
        <v>0.24810126582278483</v>
      </c>
      <c r="AI53" s="133" t="s">
        <v>1314</v>
      </c>
      <c r="AJ53" s="211"/>
      <c r="AL53" s="108"/>
      <c r="AM53" s="2"/>
      <c r="AN53" s="2"/>
      <c r="AO53" s="2"/>
      <c r="AV53" s="41"/>
    </row>
    <row r="54" spans="1:63" ht="16" outlineLevel="1">
      <c r="A54" t="s">
        <v>1315</v>
      </c>
      <c r="B54" s="54" t="s">
        <v>462</v>
      </c>
      <c r="C54" s="110">
        <f>'Ethylene Recycling HC'!C54*'Ethylene Recycling HC'!C$45/'Ethylene Recycling LC'!C$45</f>
        <v>9.5000000000000001E-2</v>
      </c>
      <c r="D54" s="110">
        <f>'Ethylene Recycling HC'!D54*'Ethylene Recycling HC'!D$45/'Ethylene Recycling LC'!D$45</f>
        <v>9.8299999999999998E-2</v>
      </c>
      <c r="E54" s="110">
        <f>'Ethylene Recycling HC'!E54*'Ethylene Recycling HC'!E$45/'Ethylene Recycling LC'!E$45</f>
        <v>0.10160000000000001</v>
      </c>
      <c r="F54" s="110">
        <f>'Ethylene Recycling HC'!F54*'Ethylene Recycling HC'!F$45/'Ethylene Recycling LC'!F$45</f>
        <v>0.10489999999999999</v>
      </c>
      <c r="G54" s="110">
        <f>'Ethylene Recycling HC'!G54*'Ethylene Recycling HC'!G$45/'Ethylene Recycling LC'!G$45</f>
        <v>0.1082</v>
      </c>
      <c r="H54" s="110">
        <f>'Ethylene Recycling HC'!H54*'Ethylene Recycling HC'!H$45/'Ethylene Recycling LC'!H$45</f>
        <v>0.11149999999999999</v>
      </c>
      <c r="I54" s="110">
        <f>'Ethylene Recycling HC'!I54*'Ethylene Recycling HC'!I$45/'Ethylene Recycling LC'!I$45</f>
        <v>0.1148</v>
      </c>
      <c r="J54" s="110">
        <f>'Ethylene Recycling HC'!J54*'Ethylene Recycling HC'!J$45/'Ethylene Recycling LC'!J$45</f>
        <v>0.1181</v>
      </c>
      <c r="K54" s="110">
        <f>'Ethylene Recycling HC'!K54*'Ethylene Recycling HC'!K$45/'Ethylene Recycling LC'!K$45</f>
        <v>0.12140000000000001</v>
      </c>
      <c r="L54" s="110">
        <f>'Ethylene Recycling HC'!L54*'Ethylene Recycling HC'!L$45/'Ethylene Recycling LC'!L$45</f>
        <v>0.12470000000000001</v>
      </c>
      <c r="M54" s="110">
        <f>'Ethylene Recycling HC'!M54*'Ethylene Recycling HC'!M$45/'Ethylene Recycling LC'!M$45</f>
        <v>0.128</v>
      </c>
      <c r="N54" s="110">
        <f>'Ethylene Recycling HC'!N54*'Ethylene Recycling HC'!N$45/'Ethylene Recycling LC'!N$45</f>
        <v>0.1356</v>
      </c>
      <c r="O54" s="110">
        <f>'Ethylene Recycling HC'!O54*'Ethylene Recycling HC'!O$45/'Ethylene Recycling LC'!O$45</f>
        <v>0.14319999999999999</v>
      </c>
      <c r="P54" s="110">
        <f>'Ethylene Recycling HC'!P54*'Ethylene Recycling HC'!P$45/'Ethylene Recycling LC'!P$45</f>
        <v>0.15079999999999999</v>
      </c>
      <c r="Q54" s="110">
        <f>'Ethylene Recycling HC'!Q54*'Ethylene Recycling HC'!Q$45/'Ethylene Recycling LC'!Q$45</f>
        <v>0.15839999999999999</v>
      </c>
      <c r="R54" s="110">
        <f>'Ethylene Recycling HC'!R54*'Ethylene Recycling HC'!R$45/'Ethylene Recycling LC'!R$45</f>
        <v>0.16599999999999998</v>
      </c>
      <c r="S54" s="110">
        <f>'Ethylene Recycling HC'!S54*'Ethylene Recycling HC'!S$45/'Ethylene Recycling LC'!S$45</f>
        <v>0.17359999999999998</v>
      </c>
      <c r="T54" s="110">
        <f>'Ethylene Recycling HC'!T54*'Ethylene Recycling HC'!T$45/'Ethylene Recycling LC'!T$45</f>
        <v>0.1812</v>
      </c>
      <c r="U54" s="110">
        <f>'Ethylene Recycling HC'!U54*'Ethylene Recycling HC'!U$45/'Ethylene Recycling LC'!U$45</f>
        <v>0.1888</v>
      </c>
      <c r="V54" s="110">
        <f>'Ethylene Recycling HC'!V54*'Ethylene Recycling HC'!V$45/'Ethylene Recycling LC'!V$45</f>
        <v>0.19639999999999999</v>
      </c>
      <c r="W54" s="110">
        <f>'Ethylene Recycling HC'!W54*'Ethylene Recycling HC'!W$45/'Ethylene Recycling LC'!W$45</f>
        <v>0.20399999999999999</v>
      </c>
      <c r="X54" s="110">
        <f>'Ethylene Recycling HC'!X54*'Ethylene Recycling HC'!X$45/'Ethylene Recycling LC'!X$45</f>
        <v>0.21611249999999999</v>
      </c>
      <c r="Y54" s="110">
        <f>'Ethylene Recycling HC'!Y54*'Ethylene Recycling HC'!Y$45/'Ethylene Recycling LC'!Y$45</f>
        <v>0.22822499999999998</v>
      </c>
      <c r="Z54" s="110">
        <f>'Ethylene Recycling HC'!Z54*'Ethylene Recycling HC'!Z$45/'Ethylene Recycling LC'!Z$45</f>
        <v>0.24033749999999998</v>
      </c>
      <c r="AA54" s="110">
        <f>'Ethylene Recycling HC'!AA54*'Ethylene Recycling HC'!AA$45/'Ethylene Recycling LC'!AA$45</f>
        <v>0.25244999999999995</v>
      </c>
      <c r="AB54" s="110">
        <f>'Ethylene Recycling HC'!AB54*'Ethylene Recycling HC'!AB$45/'Ethylene Recycling LC'!AB$45</f>
        <v>0.26456249999999998</v>
      </c>
      <c r="AC54" s="110">
        <f>'Ethylene Recycling HC'!AC54*'Ethylene Recycling HC'!AC$45/'Ethylene Recycling LC'!AC$45</f>
        <v>0.27667499999999995</v>
      </c>
      <c r="AD54" s="110">
        <f>'Ethylene Recycling HC'!AD54*'Ethylene Recycling HC'!AD$45/'Ethylene Recycling LC'!AD$45</f>
        <v>0.28878749999999997</v>
      </c>
      <c r="AE54" s="110">
        <f>'Ethylene Recycling HC'!AE54*'Ethylene Recycling HC'!AE$45/'Ethylene Recycling LC'!AE$45</f>
        <v>0.30089999999999995</v>
      </c>
      <c r="AF54" s="110">
        <f>'Ethylene Recycling HC'!AF54*'Ethylene Recycling HC'!AF$45/'Ethylene Recycling LC'!AF$45</f>
        <v>0.31301249999999992</v>
      </c>
      <c r="AG54" s="110">
        <f>'Ethylene Recycling HC'!AG54*'Ethylene Recycling HC'!AG$45/'Ethylene Recycling LC'!AG$45</f>
        <v>0.32512499999999994</v>
      </c>
      <c r="AI54" s="133" t="s">
        <v>1314</v>
      </c>
      <c r="AJ54" s="211"/>
      <c r="AL54" s="108"/>
      <c r="AM54" s="2"/>
      <c r="AN54" s="2"/>
      <c r="AO54" s="2"/>
      <c r="AV54" s="41"/>
    </row>
    <row r="55" spans="1:63" ht="16" outlineLevel="1">
      <c r="A55" t="s">
        <v>1316</v>
      </c>
      <c r="B55" s="176" t="s">
        <v>462</v>
      </c>
      <c r="C55" s="110">
        <f>'Ethylene Recycling HC'!C55*'Ethylene Recycling HC'!C$45/'Ethylene Recycling LC'!C$45</f>
        <v>0.14200000000000002</v>
      </c>
      <c r="D55" s="110">
        <f>'Ethylene Recycling HC'!D55*'Ethylene Recycling HC'!D$45/'Ethylene Recycling LC'!D$45</f>
        <v>0.14849999999999999</v>
      </c>
      <c r="E55" s="110">
        <f>'Ethylene Recycling HC'!E55*'Ethylene Recycling HC'!E$45/'Ethylene Recycling LC'!E$45</f>
        <v>0.155</v>
      </c>
      <c r="F55" s="110">
        <f>'Ethylene Recycling HC'!F55*'Ethylene Recycling HC'!F$45/'Ethylene Recycling LC'!F$45</f>
        <v>0.16149999999999998</v>
      </c>
      <c r="G55" s="110">
        <f>'Ethylene Recycling HC'!G55*'Ethylene Recycling HC'!G$45/'Ethylene Recycling LC'!G$45</f>
        <v>0.16800000000000001</v>
      </c>
      <c r="H55" s="110">
        <f>'Ethylene Recycling HC'!H55*'Ethylene Recycling HC'!H$45/'Ethylene Recycling LC'!H$45</f>
        <v>0.17449999999999996</v>
      </c>
      <c r="I55" s="110">
        <f>'Ethylene Recycling HC'!I55*'Ethylene Recycling HC'!I$45/'Ethylene Recycling LC'!I$45</f>
        <v>0.18099999999999999</v>
      </c>
      <c r="J55" s="110">
        <f>'Ethylene Recycling HC'!J55*'Ethylene Recycling HC'!J$45/'Ethylene Recycling LC'!J$45</f>
        <v>0.1875</v>
      </c>
      <c r="K55" s="110">
        <f>'Ethylene Recycling HC'!K55*'Ethylene Recycling HC'!K$45/'Ethylene Recycling LC'!K$45</f>
        <v>0.19400000000000001</v>
      </c>
      <c r="L55" s="110">
        <f>'Ethylene Recycling HC'!L55*'Ethylene Recycling HC'!L$45/'Ethylene Recycling LC'!L$45</f>
        <v>0.20050000000000001</v>
      </c>
      <c r="M55" s="110">
        <f>'Ethylene Recycling HC'!M55*'Ethylene Recycling HC'!M$45/'Ethylene Recycling LC'!M$45</f>
        <v>0.20700000000000002</v>
      </c>
      <c r="N55" s="110">
        <f>'Ethylene Recycling HC'!N55*'Ethylene Recycling HC'!N$45/'Ethylene Recycling LC'!N$45</f>
        <v>0.22070000000000001</v>
      </c>
      <c r="O55" s="110">
        <f>'Ethylene Recycling HC'!O55*'Ethylene Recycling HC'!O$45/'Ethylene Recycling LC'!O$45</f>
        <v>0.2344</v>
      </c>
      <c r="P55" s="110">
        <f>'Ethylene Recycling HC'!P55*'Ethylene Recycling HC'!P$45/'Ethylene Recycling LC'!P$45</f>
        <v>0.24809999999999996</v>
      </c>
      <c r="Q55" s="110">
        <f>'Ethylene Recycling HC'!Q55*'Ethylene Recycling HC'!Q$45/'Ethylene Recycling LC'!Q$45</f>
        <v>0.26179999999999998</v>
      </c>
      <c r="R55" s="110">
        <f>'Ethylene Recycling HC'!R55*'Ethylene Recycling HC'!R$45/'Ethylene Recycling LC'!R$45</f>
        <v>0.27549999999999997</v>
      </c>
      <c r="S55" s="110">
        <f>'Ethylene Recycling HC'!S55*'Ethylene Recycling HC'!S$45/'Ethylene Recycling LC'!S$45</f>
        <v>0.28920000000000001</v>
      </c>
      <c r="T55" s="110">
        <f>'Ethylene Recycling HC'!T55*'Ethylene Recycling HC'!T$45/'Ethylene Recycling LC'!T$45</f>
        <v>0.3029</v>
      </c>
      <c r="U55" s="110">
        <f>'Ethylene Recycling HC'!U55*'Ethylene Recycling HC'!U$45/'Ethylene Recycling LC'!U$45</f>
        <v>0.31659999999999999</v>
      </c>
      <c r="V55" s="110">
        <f>'Ethylene Recycling HC'!V55*'Ethylene Recycling HC'!V$45/'Ethylene Recycling LC'!V$45</f>
        <v>0.33030000000000004</v>
      </c>
      <c r="W55" s="110">
        <f>'Ethylene Recycling HC'!W55*'Ethylene Recycling HC'!W$45/'Ethylene Recycling LC'!W$45</f>
        <v>0.34399999999999997</v>
      </c>
      <c r="X55" s="110">
        <f>'Ethylene Recycling HC'!X55*'Ethylene Recycling HC'!X$45/'Ethylene Recycling LC'!X$45</f>
        <v>0.36692262658227848</v>
      </c>
      <c r="Y55" s="110">
        <f>'Ethylene Recycling HC'!Y55*'Ethylene Recycling HC'!Y$45/'Ethylene Recycling LC'!Y$45</f>
        <v>0.38984525316455698</v>
      </c>
      <c r="Z55" s="110">
        <f>'Ethylene Recycling HC'!Z55*'Ethylene Recycling HC'!Z$45/'Ethylene Recycling LC'!Z$45</f>
        <v>0.41276787974683543</v>
      </c>
      <c r="AA55" s="110">
        <f>'Ethylene Recycling HC'!AA55*'Ethylene Recycling HC'!AA$45/'Ethylene Recycling LC'!AA$45</f>
        <v>0.43569050632911388</v>
      </c>
      <c r="AB55" s="110">
        <f>'Ethylene Recycling HC'!AB55*'Ethylene Recycling HC'!AB$45/'Ethylene Recycling LC'!AB$45</f>
        <v>0.45861313291139233</v>
      </c>
      <c r="AC55" s="110">
        <f>'Ethylene Recycling HC'!AC55*'Ethylene Recycling HC'!AC$45/'Ethylene Recycling LC'!AC$45</f>
        <v>0.48153575949367083</v>
      </c>
      <c r="AD55" s="110">
        <f>'Ethylene Recycling HC'!AD55*'Ethylene Recycling HC'!AD$45/'Ethylene Recycling LC'!AD$45</f>
        <v>0.50445838607594939</v>
      </c>
      <c r="AE55" s="110">
        <f>'Ethylene Recycling HC'!AE55*'Ethylene Recycling HC'!AE$45/'Ethylene Recycling LC'!AE$45</f>
        <v>0.5273810126582279</v>
      </c>
      <c r="AF55" s="110">
        <f>'Ethylene Recycling HC'!AF55*'Ethylene Recycling HC'!AF$45/'Ethylene Recycling LC'!AF$45</f>
        <v>0.55030363924050629</v>
      </c>
      <c r="AG55" s="110">
        <f>'Ethylene Recycling HC'!AG55*'Ethylene Recycling HC'!AG$45/'Ethylene Recycling LC'!AG$45</f>
        <v>0.5732262658227848</v>
      </c>
      <c r="AI55" s="133" t="s">
        <v>1314</v>
      </c>
      <c r="AJ55" s="211"/>
      <c r="AL55" s="108"/>
      <c r="AM55" s="2"/>
      <c r="AN55" s="2"/>
      <c r="AO55" s="2"/>
    </row>
    <row r="56" spans="1:63" ht="16" outlineLevel="1">
      <c r="A56" t="s">
        <v>1317</v>
      </c>
      <c r="B56" s="54" t="s">
        <v>462</v>
      </c>
      <c r="C56" s="110">
        <f>'Ethylene Recycling HC'!C61*'Ethylene Recycling HC'!C$45/'Ethylene Recycling LC'!C$45</f>
        <v>1.0924938261687524E-2</v>
      </c>
      <c r="D56" s="110">
        <f>'Ethylene Recycling HC'!D61*'Ethylene Recycling HC'!D$45/'Ethylene Recycling LC'!D$45</f>
        <v>1.1091454913190394E-2</v>
      </c>
      <c r="E56" s="110">
        <f>'Ethylene Recycling HC'!E61*'Ethylene Recycling HC'!E$45/'Ethylene Recycling LC'!E$45</f>
        <v>1.1243671707666198E-2</v>
      </c>
      <c r="F56" s="110">
        <f>'Ethylene Recycling HC'!F61*'Ethylene Recycling HC'!F$45/'Ethylene Recycling LC'!F$45</f>
        <v>1.1381588645114939E-2</v>
      </c>
      <c r="G56" s="110">
        <f>'Ethylene Recycling HC'!G61*'Ethylene Recycling HC'!G$45/'Ethylene Recycling LC'!G$45</f>
        <v>1.1505205725536613E-2</v>
      </c>
      <c r="H56" s="110">
        <f>'Ethylene Recycling HC'!H61*'Ethylene Recycling HC'!H$45/'Ethylene Recycling LC'!H$45</f>
        <v>1.161452294893122E-2</v>
      </c>
      <c r="I56" s="110">
        <f>'Ethylene Recycling HC'!I61*'Ethylene Recycling HC'!I$45/'Ethylene Recycling LC'!I$45</f>
        <v>1.1709540315298762E-2</v>
      </c>
      <c r="J56" s="110">
        <f>'Ethylene Recycling HC'!J61*'Ethylene Recycling HC'!J$45/'Ethylene Recycling LC'!J$45</f>
        <v>1.1790257824639237E-2</v>
      </c>
      <c r="K56" s="110">
        <f>'Ethylene Recycling HC'!K61*'Ethylene Recycling HC'!K$45/'Ethylene Recycling LC'!K$45</f>
        <v>1.185667547695265E-2</v>
      </c>
      <c r="L56" s="110">
        <f>'Ethylene Recycling HC'!L61*'Ethylene Recycling HC'!L$45/'Ethylene Recycling LC'!L$45</f>
        <v>1.1908793272238994E-2</v>
      </c>
      <c r="M56" s="110">
        <f>'Ethylene Recycling HC'!M61*'Ethylene Recycling HC'!M$45/'Ethylene Recycling LC'!M$45</f>
        <v>1.1946611210498273E-2</v>
      </c>
      <c r="N56" s="110">
        <f>'Ethylene Recycling HC'!N61*'Ethylene Recycling HC'!N$45/'Ethylene Recycling LC'!N$45</f>
        <v>1.2362144188565528E-2</v>
      </c>
      <c r="O56" s="110">
        <f>'Ethylene Recycling HC'!O61*'Ethylene Recycling HC'!O$45/'Ethylene Recycling LC'!O$45</f>
        <v>1.2744744162570449E-2</v>
      </c>
      <c r="P56" s="110">
        <f>'Ethylene Recycling HC'!P61*'Ethylene Recycling HC'!P$45/'Ethylene Recycling LC'!P$45</f>
        <v>1.3094411132513037E-2</v>
      </c>
      <c r="Q56" s="110">
        <f>'Ethylene Recycling HC'!Q61*'Ethylene Recycling HC'!Q$45/'Ethylene Recycling LC'!Q$45</f>
        <v>1.3411145098393293E-2</v>
      </c>
      <c r="R56" s="110">
        <f>'Ethylene Recycling HC'!R61*'Ethylene Recycling HC'!R$45/'Ethylene Recycling LC'!R$45</f>
        <v>1.3694946060211214E-2</v>
      </c>
      <c r="S56" s="110">
        <f>'Ethylene Recycling HC'!S61*'Ethylene Recycling HC'!S$45/'Ethylene Recycling LC'!S$45</f>
        <v>1.3945814017966802E-2</v>
      </c>
      <c r="T56" s="110">
        <f>'Ethylene Recycling HC'!T61*'Ethylene Recycling HC'!T$45/'Ethylene Recycling LC'!T$45</f>
        <v>1.4163748971660058E-2</v>
      </c>
      <c r="U56" s="110">
        <f>'Ethylene Recycling HC'!U61*'Ethylene Recycling HC'!U$45/'Ethylene Recycling LC'!U$45</f>
        <v>1.434875092129098E-2</v>
      </c>
      <c r="V56" s="110">
        <f>'Ethylene Recycling HC'!V61*'Ethylene Recycling HC'!V$45/'Ethylene Recycling LC'!V$45</f>
        <v>1.4500819866859568E-2</v>
      </c>
      <c r="W56" s="110">
        <f>'Ethylene Recycling HC'!W61*'Ethylene Recycling HC'!W$45/'Ethylene Recycling LC'!W$45</f>
        <v>1.4619955808365821E-2</v>
      </c>
      <c r="X56" s="110">
        <f>'Ethylene Recycling HC'!X61*'Ethylene Recycling HC'!X$45/'Ethylene Recycling LC'!X$45</f>
        <v>1.501977661603879E-2</v>
      </c>
      <c r="Y56" s="110">
        <f>'Ethylene Recycling HC'!Y61*'Ethylene Recycling HC'!Y$45/'Ethylene Recycling LC'!Y$45</f>
        <v>1.5367110448487419E-2</v>
      </c>
      <c r="Z56" s="110">
        <f>'Ethylene Recycling HC'!Z61*'Ethylene Recycling HC'!Z$45/'Ethylene Recycling LC'!Z$45</f>
        <v>1.56619573057117E-2</v>
      </c>
      <c r="AA56" s="110">
        <f>'Ethylene Recycling HC'!AA61*'Ethylene Recycling HC'!AA$45/'Ethylene Recycling LC'!AA$45</f>
        <v>1.5904317187711636E-2</v>
      </c>
      <c r="AB56" s="110">
        <f>'Ethylene Recycling HC'!AB61*'Ethylene Recycling HC'!AB$45/'Ethylene Recycling LC'!AB$45</f>
        <v>1.6094190094487228E-2</v>
      </c>
      <c r="AC56" s="110">
        <f>'Ethylene Recycling HC'!AC61*'Ethylene Recycling HC'!AC$45/'Ethylene Recycling LC'!AC$45</f>
        <v>1.6231576026038474E-2</v>
      </c>
      <c r="AD56" s="110">
        <f>'Ethylene Recycling HC'!AD61*'Ethylene Recycling HC'!AD$45/'Ethylene Recycling LC'!AD$45</f>
        <v>1.6316474982365377E-2</v>
      </c>
      <c r="AE56" s="110">
        <f>'Ethylene Recycling HC'!AE61*'Ethylene Recycling HC'!AE$45/'Ethylene Recycling LC'!AE$45</f>
        <v>1.6348886963467937E-2</v>
      </c>
      <c r="AF56" s="110">
        <f>'Ethylene Recycling HC'!AF61*'Ethylene Recycling HC'!AF$45/'Ethylene Recycling LC'!AF$45</f>
        <v>1.6328811969346151E-2</v>
      </c>
      <c r="AG56" s="110">
        <f>'Ethylene Recycling HC'!AG61*'Ethylene Recycling HC'!AG$45/'Ethylene Recycling LC'!AG$45</f>
        <v>1.6256249999999996E-2</v>
      </c>
      <c r="AI56" s="133" t="s">
        <v>1314</v>
      </c>
      <c r="AJ56" s="211"/>
      <c r="AL56" s="108"/>
      <c r="AM56" s="2"/>
      <c r="AN56" s="2"/>
      <c r="AO56" s="2"/>
    </row>
    <row r="57" spans="1:63" ht="16" outlineLevel="1">
      <c r="A57" t="s">
        <v>1318</v>
      </c>
      <c r="B57" s="54" t="s">
        <v>462</v>
      </c>
      <c r="C57" s="110">
        <f>'Ethylene Recycling HC'!C62*'Ethylene Recycling HC'!C$45/'Ethylene Recycling LC'!C$45</f>
        <v>1.3102050449781879E-2</v>
      </c>
      <c r="D57" s="110">
        <f>'Ethylene Recycling HC'!D62*'Ethylene Recycling HC'!D$45/'Ethylene Recycling LC'!D$45</f>
        <v>1.3557174307511145E-2</v>
      </c>
      <c r="E57" s="110">
        <f>'Ethylene Recycling HC'!E62*'Ethylene Recycling HC'!E$45/'Ethylene Recycling LC'!E$45</f>
        <v>1.4012298165240409E-2</v>
      </c>
      <c r="F57" s="110">
        <f>'Ethylene Recycling HC'!F62*'Ethylene Recycling HC'!F$45/'Ethylene Recycling LC'!F$45</f>
        <v>1.4467422022969674E-2</v>
      </c>
      <c r="G57" s="110">
        <f>'Ethylene Recycling HC'!G62*'Ethylene Recycling HC'!G$45/'Ethylene Recycling LC'!G$45</f>
        <v>1.4922545880698941E-2</v>
      </c>
      <c r="H57" s="110">
        <f>'Ethylene Recycling HC'!H62*'Ethylene Recycling HC'!H$45/'Ethylene Recycling LC'!H$45</f>
        <v>1.5377669738428206E-2</v>
      </c>
      <c r="I57" s="110">
        <f>'Ethylene Recycling HC'!I62*'Ethylene Recycling HC'!I$45/'Ethylene Recycling LC'!I$45</f>
        <v>1.5832793596157472E-2</v>
      </c>
      <c r="J57" s="110">
        <f>'Ethylene Recycling HC'!J62*'Ethylene Recycling HC'!J$45/'Ethylene Recycling LC'!J$45</f>
        <v>1.6287917453886736E-2</v>
      </c>
      <c r="K57" s="110">
        <f>'Ethylene Recycling HC'!K62*'Ethylene Recycling HC'!K$45/'Ethylene Recycling LC'!K$45</f>
        <v>1.6743041311616004E-2</v>
      </c>
      <c r="L57" s="110">
        <f>'Ethylene Recycling HC'!L62*'Ethylene Recycling HC'!L$45/'Ethylene Recycling LC'!L$45</f>
        <v>1.7198165169345268E-2</v>
      </c>
      <c r="M57" s="110">
        <f>'Ethylene Recycling HC'!M62*'Ethylene Recycling HC'!M$45/'Ethylene Recycling LC'!M$45</f>
        <v>1.7653289027074533E-2</v>
      </c>
      <c r="N57" s="110">
        <f>'Ethylene Recycling HC'!N62*'Ethylene Recycling HC'!N$45/'Ethylene Recycling LC'!N$45</f>
        <v>1.8701453063057084E-2</v>
      </c>
      <c r="O57" s="110">
        <f>'Ethylene Recycling HC'!O62*'Ethylene Recycling HC'!O$45/'Ethylene Recycling LC'!O$45</f>
        <v>1.9749617099039631E-2</v>
      </c>
      <c r="P57" s="110">
        <f>'Ethylene Recycling HC'!P62*'Ethylene Recycling HC'!P$45/'Ethylene Recycling LC'!P$45</f>
        <v>2.0797781135022182E-2</v>
      </c>
      <c r="Q57" s="110">
        <f>'Ethylene Recycling HC'!Q62*'Ethylene Recycling HC'!Q$45/'Ethylene Recycling LC'!Q$45</f>
        <v>2.184594517100473E-2</v>
      </c>
      <c r="R57" s="110">
        <f>'Ethylene Recycling HC'!R62*'Ethylene Recycling HC'!R$45/'Ethylene Recycling LC'!R$45</f>
        <v>2.2894109206987281E-2</v>
      </c>
      <c r="S57" s="110">
        <f>'Ethylene Recycling HC'!S62*'Ethylene Recycling HC'!S$45/'Ethylene Recycling LC'!S$45</f>
        <v>2.3942273242969832E-2</v>
      </c>
      <c r="T57" s="110">
        <f>'Ethylene Recycling HC'!T62*'Ethylene Recycling HC'!T$45/'Ethylene Recycling LC'!T$45</f>
        <v>2.4990437278952383E-2</v>
      </c>
      <c r="U57" s="110">
        <f>'Ethylene Recycling HC'!U62*'Ethylene Recycling HC'!U$45/'Ethylene Recycling LC'!U$45</f>
        <v>2.6038601314934934E-2</v>
      </c>
      <c r="V57" s="110">
        <f>'Ethylene Recycling HC'!V62*'Ethylene Recycling HC'!V$45/'Ethylene Recycling LC'!V$45</f>
        <v>2.7086765350917485E-2</v>
      </c>
      <c r="W57" s="110">
        <f>'Ethylene Recycling HC'!W62*'Ethylene Recycling HC'!W$45/'Ethylene Recycling LC'!W$45</f>
        <v>2.8134929386900036E-2</v>
      </c>
      <c r="X57" s="110">
        <f>'Ethylene Recycling HC'!X62*'Ethylene Recycling HC'!X$45/'Ethylene Recycling LC'!X$45</f>
        <v>2.9805440819247218E-2</v>
      </c>
      <c r="Y57" s="110">
        <f>'Ethylene Recycling HC'!Y62*'Ethylene Recycling HC'!Y$45/'Ethylene Recycling LC'!Y$45</f>
        <v>3.1475952251594413E-2</v>
      </c>
      <c r="Z57" s="110">
        <f>'Ethylene Recycling HC'!Z62*'Ethylene Recycling HC'!Z$45/'Ethylene Recycling LC'!Z$45</f>
        <v>3.3146463683941599E-2</v>
      </c>
      <c r="AA57" s="110">
        <f>'Ethylene Recycling HC'!AA62*'Ethylene Recycling HC'!AA$45/'Ethylene Recycling LC'!AA$45</f>
        <v>3.4816975116288784E-2</v>
      </c>
      <c r="AB57" s="110">
        <f>'Ethylene Recycling HC'!AB62*'Ethylene Recycling HC'!AB$45/'Ethylene Recycling LC'!AB$45</f>
        <v>3.6487486548635983E-2</v>
      </c>
      <c r="AC57" s="110">
        <f>'Ethylene Recycling HC'!AC62*'Ethylene Recycling HC'!AC$45/'Ethylene Recycling LC'!AC$45</f>
        <v>3.8157997980983169E-2</v>
      </c>
      <c r="AD57" s="110">
        <f>'Ethylene Recycling HC'!AD62*'Ethylene Recycling HC'!AD$45/'Ethylene Recycling LC'!AD$45</f>
        <v>3.9828509413330361E-2</v>
      </c>
      <c r="AE57" s="110">
        <f>'Ethylene Recycling HC'!AE62*'Ethylene Recycling HC'!AE$45/'Ethylene Recycling LC'!AE$45</f>
        <v>4.1499020845677546E-2</v>
      </c>
      <c r="AF57" s="110">
        <f>'Ethylene Recycling HC'!AF62*'Ethylene Recycling HC'!AF$45/'Ethylene Recycling LC'!AF$45</f>
        <v>4.3169532278024732E-2</v>
      </c>
      <c r="AG57" s="110">
        <f>'Ethylene Recycling HC'!AG62*'Ethylene Recycling HC'!AG$45/'Ethylene Recycling LC'!AG$45</f>
        <v>4.4840043710371924E-2</v>
      </c>
      <c r="AI57" s="133" t="s">
        <v>1314</v>
      </c>
      <c r="AJ57" s="211"/>
      <c r="AL57" s="108"/>
      <c r="AM57" s="2"/>
      <c r="AN57" s="2"/>
      <c r="AO57" s="2"/>
      <c r="BC57" s="1"/>
      <c r="BD57" s="2"/>
      <c r="BE57" s="2"/>
      <c r="BF57" s="2"/>
      <c r="BG57" s="2"/>
      <c r="BH57" s="2"/>
      <c r="BI57" s="2"/>
      <c r="BJ57" s="2"/>
      <c r="BK57" s="2"/>
    </row>
    <row r="58" spans="1:63" ht="16" outlineLevel="1">
      <c r="A58" t="s">
        <v>1319</v>
      </c>
      <c r="B58" s="54" t="s">
        <v>462</v>
      </c>
      <c r="C58" s="110">
        <f>'Ethylene Recycling HC'!C64*'Ethylene Recycling HC'!C$45/'Ethylene Recycling LC'!C$45</f>
        <v>6.0660693409000509E-2</v>
      </c>
      <c r="D58" s="110">
        <f>'Ethylene Recycling HC'!D64*'Ethylene Recycling HC'!D$45/'Ethylene Recycling LC'!D$45</f>
        <v>6.2980835541847857E-2</v>
      </c>
      <c r="E58" s="110">
        <f>'Ethylene Recycling HC'!E64*'Ethylene Recycling HC'!E$45/'Ethylene Recycling LC'!E$45</f>
        <v>6.5315277531722254E-2</v>
      </c>
      <c r="F58" s="110">
        <f>'Ethylene Recycling HC'!F64*'Ethylene Recycling HC'!F$45/'Ethylene Recycling LC'!F$45</f>
        <v>6.7664019378623735E-2</v>
      </c>
      <c r="G58" s="110">
        <f>'Ethylene Recycling HC'!G64*'Ethylene Recycling HC'!G$45/'Ethylene Recycling LC'!G$45</f>
        <v>7.0027061082552286E-2</v>
      </c>
      <c r="H58" s="110">
        <f>'Ethylene Recycling HC'!H64*'Ethylene Recycling HC'!H$45/'Ethylene Recycling LC'!H$45</f>
        <v>7.2404402643507892E-2</v>
      </c>
      <c r="I58" s="110">
        <f>'Ethylene Recycling HC'!I64*'Ethylene Recycling HC'!I$45/'Ethylene Recycling LC'!I$45</f>
        <v>7.4796044061490555E-2</v>
      </c>
      <c r="J58" s="110">
        <f>'Ethylene Recycling HC'!J64*'Ethylene Recycling HC'!J$45/'Ethylene Recycling LC'!J$45</f>
        <v>7.7201985336500301E-2</v>
      </c>
      <c r="K58" s="110">
        <f>'Ethylene Recycling HC'!K64*'Ethylene Recycling HC'!K$45/'Ethylene Recycling LC'!K$45</f>
        <v>7.9622226468537116E-2</v>
      </c>
      <c r="L58" s="110">
        <f>'Ethylene Recycling HC'!L64*'Ethylene Recycling HC'!L$45/'Ethylene Recycling LC'!L$45</f>
        <v>8.2056767457600988E-2</v>
      </c>
      <c r="M58" s="110">
        <f>'Ethylene Recycling HC'!M64*'Ethylene Recycling HC'!M$45/'Ethylene Recycling LC'!M$45</f>
        <v>8.4505608303691915E-2</v>
      </c>
      <c r="N58" s="110">
        <f>'Ethylene Recycling HC'!N64*'Ethylene Recycling HC'!N$45/'Ethylene Recycling LC'!N$45</f>
        <v>8.9816925859279709E-2</v>
      </c>
      <c r="O58" s="110">
        <f>'Ethylene Recycling HC'!O64*'Ethylene Recycling HC'!O$45/'Ethylene Recycling LC'!O$45</f>
        <v>9.5161176418929821E-2</v>
      </c>
      <c r="P58" s="110">
        <f>'Ethylene Recycling HC'!P64*'Ethylene Recycling HC'!P$45/'Ethylene Recycling LC'!P$45</f>
        <v>0.10053835998264227</v>
      </c>
      <c r="Q58" s="110">
        <f>'Ethylene Recycling HC'!Q64*'Ethylene Recycling HC'!Q$45/'Ethylene Recycling LC'!Q$45</f>
        <v>0.10594847655041706</v>
      </c>
      <c r="R58" s="110">
        <f>'Ethylene Recycling HC'!R64*'Ethylene Recycling HC'!R$45/'Ethylene Recycling LC'!R$45</f>
        <v>0.11139152612225417</v>
      </c>
      <c r="S58" s="110">
        <f>'Ethylene Recycling HC'!S64*'Ethylene Recycling HC'!S$45/'Ethylene Recycling LC'!S$45</f>
        <v>0.11686750869815361</v>
      </c>
      <c r="T58" s="110">
        <f>'Ethylene Recycling HC'!T64*'Ethylene Recycling HC'!T$45/'Ethylene Recycling LC'!T$45</f>
        <v>0.12237642427811544</v>
      </c>
      <c r="U58" s="110">
        <f>'Ethylene Recycling HC'!U64*'Ethylene Recycling HC'!U$45/'Ethylene Recycling LC'!U$45</f>
        <v>0.12791827286213955</v>
      </c>
      <c r="V58" s="110">
        <f>'Ethylene Recycling HC'!V64*'Ethylene Recycling HC'!V$45/'Ethylene Recycling LC'!V$45</f>
        <v>0.133493054450226</v>
      </c>
      <c r="W58" s="110">
        <f>'Ethylene Recycling HC'!W64*'Ethylene Recycling HC'!W$45/'Ethylene Recycling LC'!W$45</f>
        <v>0.13910076904237478</v>
      </c>
      <c r="X58" s="110">
        <f>'Ethylene Recycling HC'!X64*'Ethylene Recycling HC'!X$45/'Ethylene Recycling LC'!X$45</f>
        <v>0.14782811627271453</v>
      </c>
      <c r="Y58" s="110">
        <f>'Ethylene Recycling HC'!Y64*'Ethylene Recycling HC'!Y$45/'Ethylene Recycling LC'!Y$45</f>
        <v>0.15660795047827863</v>
      </c>
      <c r="Z58" s="110">
        <f>'Ethylene Recycling HC'!Z64*'Ethylene Recycling HC'!Z$45/'Ethylene Recycling LC'!Z$45</f>
        <v>0.16544027165906708</v>
      </c>
      <c r="AA58" s="110">
        <f>'Ethylene Recycling HC'!AA64*'Ethylene Recycling HC'!AA$45/'Ethylene Recycling LC'!AA$45</f>
        <v>0.17432507981507986</v>
      </c>
      <c r="AB58" s="110">
        <f>'Ethylene Recycling HC'!AB64*'Ethylene Recycling HC'!AB$45/'Ethylene Recycling LC'!AB$45</f>
        <v>0.183262374946317</v>
      </c>
      <c r="AC58" s="110">
        <f>'Ethylene Recycling HC'!AC64*'Ethylene Recycling HC'!AC$45/'Ethylene Recycling LC'!AC$45</f>
        <v>0.19225215705277843</v>
      </c>
      <c r="AD58" s="110">
        <f>'Ethylene Recycling HC'!AD64*'Ethylene Recycling HC'!AD$45/'Ethylene Recycling LC'!AD$45</f>
        <v>0.20129442613446427</v>
      </c>
      <c r="AE58" s="110">
        <f>'Ethylene Recycling HC'!AE64*'Ethylene Recycling HC'!AE$45/'Ethylene Recycling LC'!AE$45</f>
        <v>0.21038918219137442</v>
      </c>
      <c r="AF58" s="110">
        <f>'Ethylene Recycling HC'!AF64*'Ethylene Recycling HC'!AF$45/'Ethylene Recycling LC'!AF$45</f>
        <v>0.21953642522350894</v>
      </c>
      <c r="AG58" s="110">
        <f>'Ethylene Recycling HC'!AG64*'Ethylene Recycling HC'!AG$45/'Ethylene Recycling LC'!AG$45</f>
        <v>0.22873615523086779</v>
      </c>
      <c r="AI58" s="133" t="s">
        <v>1314</v>
      </c>
      <c r="AJ58" s="211"/>
      <c r="AL58" s="108"/>
      <c r="AM58" s="2"/>
      <c r="AN58" s="2"/>
      <c r="AO58" s="2"/>
      <c r="BC58" s="1"/>
      <c r="BD58" s="2"/>
      <c r="BE58" s="2"/>
      <c r="BF58" s="2"/>
      <c r="BG58" s="2"/>
      <c r="BH58" s="2"/>
      <c r="BI58" s="2"/>
      <c r="BJ58" s="2"/>
      <c r="BK58" s="2"/>
    </row>
    <row r="59" spans="1:63" outlineLevel="1">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I59" s="133"/>
      <c r="AJ59" s="211"/>
      <c r="AL59" s="108"/>
      <c r="AM59" s="2"/>
      <c r="AN59" s="2"/>
      <c r="AO59" s="2"/>
      <c r="BC59" s="1"/>
      <c r="BD59" s="2"/>
      <c r="BE59" s="2"/>
      <c r="BF59" s="2"/>
      <c r="BG59" s="2"/>
      <c r="BH59" s="2"/>
      <c r="BI59" s="2"/>
      <c r="BJ59" s="2"/>
      <c r="BK59" s="2"/>
    </row>
    <row r="60" spans="1:63" ht="16" outlineLevel="1">
      <c r="A60" t="s">
        <v>1320</v>
      </c>
      <c r="B60" s="54" t="s">
        <v>462</v>
      </c>
      <c r="C60" s="110">
        <f>'Ethylene Recycling HC'!C67*'Ethylene Recycling HC'!C$45/'Ethylene Recycling LC'!C$45</f>
        <v>5.042478396016449E-2</v>
      </c>
      <c r="D60" s="110">
        <f>'Ethylene Recycling HC'!D67*'Ethylene Recycling HC'!D$45/'Ethylene Recycling LC'!D$45</f>
        <v>5.3736028715749971E-2</v>
      </c>
      <c r="E60" s="110">
        <f>'Ethylene Recycling HC'!E67*'Ethylene Recycling HC'!E$45/'Ethylene Recycling LC'!E$45</f>
        <v>5.7031728352651023E-2</v>
      </c>
      <c r="F60" s="110">
        <f>'Ethylene Recycling HC'!F67*'Ethylene Recycling HC'!F$45/'Ethylene Recycling LC'!F$45</f>
        <v>6.0311882870867639E-2</v>
      </c>
      <c r="G60" s="110">
        <f>'Ethylene Recycling HC'!G67*'Ethylene Recycling HC'!G$45/'Ethylene Recycling LC'!G$45</f>
        <v>6.3576492270399812E-2</v>
      </c>
      <c r="H60" s="110">
        <f>'Ethylene Recycling HC'!H67*'Ethylene Recycling HC'!H$45/'Ethylene Recycling LC'!H$45</f>
        <v>6.682555655124757E-2</v>
      </c>
      <c r="I60" s="110">
        <f>'Ethylene Recycling HC'!I67*'Ethylene Recycling HC'!I$45/'Ethylene Recycling LC'!I$45</f>
        <v>7.0059075713410884E-2</v>
      </c>
      <c r="J60" s="110">
        <f>'Ethylene Recycling HC'!J67*'Ethylene Recycling HC'!J$45/'Ethylene Recycling LC'!J$45</f>
        <v>7.3277049756889756E-2</v>
      </c>
      <c r="K60" s="110">
        <f>'Ethylene Recycling HC'!K67*'Ethylene Recycling HC'!K$45/'Ethylene Recycling LC'!K$45</f>
        <v>7.6479478681684199E-2</v>
      </c>
      <c r="L60" s="110">
        <f>'Ethylene Recycling HC'!L67*'Ethylene Recycling HC'!L$45/'Ethylene Recycling LC'!L$45</f>
        <v>7.9666362487794212E-2</v>
      </c>
      <c r="M60" s="110">
        <f>'Ethylene Recycling HC'!M67*'Ethylene Recycling HC'!M$45/'Ethylene Recycling LC'!M$45</f>
        <v>8.2837701175219783E-2</v>
      </c>
      <c r="N60" s="110">
        <f>'Ethylene Recycling HC'!N67*'Ethylene Recycling HC'!N$45/'Ethylene Recycling LC'!N$45</f>
        <v>8.9027328500134728E-2</v>
      </c>
      <c r="O60" s="110">
        <f>'Ethylene Recycling HC'!O67*'Ethylene Recycling HC'!O$45/'Ethylene Recycling LC'!O$45</f>
        <v>9.5187322942557467E-2</v>
      </c>
      <c r="P60" s="110">
        <f>'Ethylene Recycling HC'!P67*'Ethylene Recycling HC'!P$45/'Ethylene Recycling LC'!P$45</f>
        <v>0.101317684502488</v>
      </c>
      <c r="Q60" s="110">
        <f>'Ethylene Recycling HC'!Q67*'Ethylene Recycling HC'!Q$45/'Ethylene Recycling LC'!Q$45</f>
        <v>0.10741841317992634</v>
      </c>
      <c r="R60" s="110">
        <f>'Ethylene Recycling HC'!R67*'Ethylene Recycling HC'!R$45/'Ethylene Recycling LC'!R$45</f>
        <v>0.11348950897487248</v>
      </c>
      <c r="S60" s="110">
        <f>'Ethylene Recycling HC'!S67*'Ethylene Recycling HC'!S$45/'Ethylene Recycling LC'!S$45</f>
        <v>0.11953097188732639</v>
      </c>
      <c r="T60" s="110">
        <f>'Ethylene Recycling HC'!T67*'Ethylene Recycling HC'!T$45/'Ethylene Recycling LC'!T$45</f>
        <v>0.12554280191728812</v>
      </c>
      <c r="U60" s="110">
        <f>'Ethylene Recycling HC'!U67*'Ethylene Recycling HC'!U$45/'Ethylene Recycling LC'!U$45</f>
        <v>0.13152499906475765</v>
      </c>
      <c r="V60" s="110">
        <f>'Ethylene Recycling HC'!V67*'Ethylene Recycling HC'!V$45/'Ethylene Recycling LC'!V$45</f>
        <v>0.13747756332973496</v>
      </c>
      <c r="W60" s="110">
        <f>'Ethylene Recycling HC'!W67*'Ethylene Recycling HC'!W$45/'Ethylene Recycling LC'!W$45</f>
        <v>0.14340049471222008</v>
      </c>
      <c r="X60" s="110">
        <f>'Ethylene Recycling HC'!X67*'Ethylene Recycling HC'!X$45/'Ethylene Recycling LC'!X$45</f>
        <v>0.15410688468365741</v>
      </c>
      <c r="Y60" s="110">
        <f>'Ethylene Recycling HC'!Y67*'Ethylene Recycling HC'!Y$45/'Ethylene Recycling LC'!Y$45</f>
        <v>0.16476076068612122</v>
      </c>
      <c r="Z60" s="110">
        <f>'Ethylene Recycling HC'!Z67*'Ethylene Recycling HC'!Z$45/'Ethylene Recycling LC'!Z$45</f>
        <v>0.17536212271961149</v>
      </c>
      <c r="AA60" s="110">
        <f>'Ethylene Recycling HC'!AA67*'Ethylene Recycling HC'!AA$45/'Ethylene Recycling LC'!AA$45</f>
        <v>0.1859109707841283</v>
      </c>
      <c r="AB60" s="110">
        <f>'Ethylene Recycling HC'!AB67*'Ethylene Recycling HC'!AB$45/'Ethylene Recycling LC'!AB$45</f>
        <v>0.19640730487967153</v>
      </c>
      <c r="AC60" s="110">
        <f>'Ethylene Recycling HC'!AC67*'Ethylene Recycling HC'!AC$45/'Ethylene Recycling LC'!AC$45</f>
        <v>0.20685112500624123</v>
      </c>
      <c r="AD60" s="110">
        <f>'Ethylene Recycling HC'!AD67*'Ethylene Recycling HC'!AD$45/'Ethylene Recycling LC'!AD$45</f>
        <v>0.21724243116383743</v>
      </c>
      <c r="AE60" s="110">
        <f>'Ethylene Recycling HC'!AE67*'Ethylene Recycling HC'!AE$45/'Ethylene Recycling LC'!AE$45</f>
        <v>0.22758122335246009</v>
      </c>
      <c r="AF60" s="110">
        <f>'Ethylene Recycling HC'!AF67*'Ethylene Recycling HC'!AF$45/'Ethylene Recycling LC'!AF$45</f>
        <v>0.23786750157210929</v>
      </c>
      <c r="AG60" s="110">
        <f>'Ethylene Recycling HC'!AG67*'Ethylene Recycling HC'!AG$45/'Ethylene Recycling LC'!AG$45</f>
        <v>0.24810126582278483</v>
      </c>
      <c r="AI60" s="133" t="s">
        <v>1314</v>
      </c>
      <c r="AJ60" s="211"/>
      <c r="AL60" s="108"/>
      <c r="AM60" s="2"/>
      <c r="AN60" s="2"/>
      <c r="AO60" s="2"/>
      <c r="AV60" s="41"/>
    </row>
    <row r="61" spans="1:63" ht="16" outlineLevel="1">
      <c r="A61" t="s">
        <v>1321</v>
      </c>
      <c r="B61" s="54" t="s">
        <v>462</v>
      </c>
      <c r="C61" s="110">
        <f>'Ethylene Recycling HC'!C68*'Ethylene Recycling HC'!C$45/'Ethylene Recycling LC'!C$45</f>
        <v>0.10192243566416224</v>
      </c>
      <c r="D61" s="110">
        <f>'Ethylene Recycling HC'!D68*'Ethylene Recycling HC'!D$45/'Ethylene Recycling LC'!D$45</f>
        <v>0.10522413591151837</v>
      </c>
      <c r="E61" s="110">
        <f>'Ethylene Recycling HC'!E68*'Ethylene Recycling HC'!E$45/'Ethylene Recycling LC'!E$45</f>
        <v>0.10850980525523116</v>
      </c>
      <c r="F61" s="110">
        <f>'Ethylene Recycling HC'!F68*'Ethylene Recycling HC'!F$45/'Ethylene Recycling LC'!F$45</f>
        <v>0.11177944369530061</v>
      </c>
      <c r="G61" s="110">
        <f>'Ethylene Recycling HC'!G68*'Ethylene Recycling HC'!G$45/'Ethylene Recycling LC'!G$45</f>
        <v>0.11503305123172677</v>
      </c>
      <c r="H61" s="110">
        <f>'Ethylene Recycling HC'!H68*'Ethylene Recycling HC'!H$45/'Ethylene Recycling LC'!H$45</f>
        <v>0.11827062786450956</v>
      </c>
      <c r="I61" s="110">
        <f>'Ethylene Recycling HC'!I68*'Ethylene Recycling HC'!I$45/'Ethylene Recycling LC'!I$45</f>
        <v>0.12149217359364907</v>
      </c>
      <c r="J61" s="110">
        <f>'Ethylene Recycling HC'!J68*'Ethylene Recycling HC'!J$45/'Ethylene Recycling LC'!J$45</f>
        <v>0.12469768841914525</v>
      </c>
      <c r="K61" s="110">
        <f>'Ethylene Recycling HC'!K68*'Ethylene Recycling HC'!K$45/'Ethylene Recycling LC'!K$45</f>
        <v>0.12788717234099811</v>
      </c>
      <c r="L61" s="110">
        <f>'Ethylene Recycling HC'!L68*'Ethylene Recycling HC'!L$45/'Ethylene Recycling LC'!L$45</f>
        <v>0.13106062535920762</v>
      </c>
      <c r="M61" s="110">
        <f>'Ethylene Recycling HC'!M68*'Ethylene Recycling HC'!M$45/'Ethylene Recycling LC'!M$45</f>
        <v>0.13421804747377383</v>
      </c>
      <c r="N61" s="110">
        <f>'Ethylene Recycling HC'!N68*'Ethylene Recycling HC'!N$45/'Ethylene Recycling LC'!N$45</f>
        <v>0.14185788184040268</v>
      </c>
      <c r="O61" s="110">
        <f>'Ethylene Recycling HC'!O68*'Ethylene Recycling HC'!O$45/'Ethylene Recycling LC'!O$45</f>
        <v>0.14946079655015601</v>
      </c>
      <c r="P61" s="110">
        <f>'Ethylene Recycling HC'!P68*'Ethylene Recycling HC'!P$45/'Ethylene Recycling LC'!P$45</f>
        <v>0.15702679160303382</v>
      </c>
      <c r="Q61" s="110">
        <f>'Ethylene Recycling HC'!Q68*'Ethylene Recycling HC'!Q$45/'Ethylene Recycling LC'!Q$45</f>
        <v>0.16455586699903607</v>
      </c>
      <c r="R61" s="110">
        <f>'Ethylene Recycling HC'!R68*'Ethylene Recycling HC'!R$45/'Ethylene Recycling LC'!R$45</f>
        <v>0.1720480227381628</v>
      </c>
      <c r="S61" s="110">
        <f>'Ethylene Recycling HC'!S68*'Ethylene Recycling HC'!S$45/'Ethylene Recycling LC'!S$45</f>
        <v>0.17950325882041399</v>
      </c>
      <c r="T61" s="110">
        <f>'Ethylene Recycling HC'!T68*'Ethylene Recycling HC'!T$45/'Ethylene Recycling LC'!T$45</f>
        <v>0.1869215752457897</v>
      </c>
      <c r="U61" s="110">
        <f>'Ethylene Recycling HC'!U68*'Ethylene Recycling HC'!U$45/'Ethylene Recycling LC'!U$45</f>
        <v>0.19430297201428984</v>
      </c>
      <c r="V61" s="110">
        <f>'Ethylene Recycling HC'!V68*'Ethylene Recycling HC'!V$45/'Ethylene Recycling LC'!V$45</f>
        <v>0.20164744912591442</v>
      </c>
      <c r="W61" s="110">
        <f>'Ethylene Recycling HC'!W68*'Ethylene Recycling HC'!W$45/'Ethylene Recycling LC'!W$45</f>
        <v>0.20895500658066349</v>
      </c>
      <c r="X61" s="110">
        <f>'Ethylene Recycling HC'!X68*'Ethylene Recycling HC'!X$45/'Ethylene Recycling LC'!X$45</f>
        <v>0.22083678908675136</v>
      </c>
      <c r="Y61" s="110">
        <f>'Ethylene Recycling HC'!Y68*'Ethylene Recycling HC'!Y$45/'Ethylene Recycling LC'!Y$45</f>
        <v>0.23265973088969383</v>
      </c>
      <c r="Z61" s="110">
        <f>'Ethylene Recycling HC'!Z68*'Ethylene Recycling HC'!Z$45/'Ethylene Recycling LC'!Z$45</f>
        <v>0.24442383198949091</v>
      </c>
      <c r="AA61" s="110">
        <f>'Ethylene Recycling HC'!AA68*'Ethylene Recycling HC'!AA$45/'Ethylene Recycling LC'!AA$45</f>
        <v>0.25612909238614262</v>
      </c>
      <c r="AB61" s="110">
        <f>'Ethylene Recycling HC'!AB68*'Ethylene Recycling HC'!AB$45/'Ethylene Recycling LC'!AB$45</f>
        <v>0.267775512079649</v>
      </c>
      <c r="AC61" s="110">
        <f>'Ethylene Recycling HC'!AC68*'Ethylene Recycling HC'!AC$45/'Ethylene Recycling LC'!AC$45</f>
        <v>0.27936309107000989</v>
      </c>
      <c r="AD61" s="110">
        <f>'Ethylene Recycling HC'!AD68*'Ethylene Recycling HC'!AD$45/'Ethylene Recycling LC'!AD$45</f>
        <v>0.29089182935722552</v>
      </c>
      <c r="AE61" s="110">
        <f>'Ethylene Recycling HC'!AE68*'Ethylene Recycling HC'!AE$45/'Ethylene Recycling LC'!AE$45</f>
        <v>0.30236172694129571</v>
      </c>
      <c r="AF61" s="110">
        <f>'Ethylene Recycling HC'!AF68*'Ethylene Recycling HC'!AF$45/'Ethylene Recycling LC'!AF$45</f>
        <v>0.31377278382222046</v>
      </c>
      <c r="AG61" s="110">
        <f>'Ethylene Recycling HC'!AG68*'Ethylene Recycling HC'!AG$45/'Ethylene Recycling LC'!AG$45</f>
        <v>0.32512499999999994</v>
      </c>
      <c r="AI61" s="133" t="s">
        <v>1314</v>
      </c>
      <c r="AJ61" s="211"/>
      <c r="AL61" s="108"/>
      <c r="AM61" s="2"/>
      <c r="AN61" s="2"/>
      <c r="AO61" s="2"/>
      <c r="AV61" s="41"/>
    </row>
    <row r="62" spans="1:63" ht="16" outlineLevel="1">
      <c r="A62" t="s">
        <v>1322</v>
      </c>
      <c r="B62" s="176" t="s">
        <v>462</v>
      </c>
      <c r="C62" s="110">
        <f>'Ethylene Recycling HC'!C69*'Ethylene Recycling HC'!C$45/'Ethylene Recycling LC'!C$45</f>
        <v>0.15234721962432674</v>
      </c>
      <c r="D62" s="110">
        <f>'Ethylene Recycling HC'!D69*'Ethylene Recycling HC'!D$45/'Ethylene Recycling LC'!D$45</f>
        <v>0.15896016462726834</v>
      </c>
      <c r="E62" s="110">
        <f>'Ethylene Recycling HC'!E69*'Ethylene Recycling HC'!E$45/'Ethylene Recycling LC'!E$45</f>
        <v>0.16554153360788218</v>
      </c>
      <c r="F62" s="110">
        <f>'Ethylene Recycling HC'!F69*'Ethylene Recycling HC'!F$45/'Ethylene Recycling LC'!F$45</f>
        <v>0.17209132656616827</v>
      </c>
      <c r="G62" s="110">
        <f>'Ethylene Recycling HC'!G69*'Ethylene Recycling HC'!G$45/'Ethylene Recycling LC'!G$45</f>
        <v>0.1786095435021266</v>
      </c>
      <c r="H62" s="110">
        <f>'Ethylene Recycling HC'!H69*'Ethylene Recycling HC'!H$45/'Ethylene Recycling LC'!H$45</f>
        <v>0.18509618441575715</v>
      </c>
      <c r="I62" s="110">
        <f>'Ethylene Recycling HC'!I69*'Ethylene Recycling HC'!I$45/'Ethylene Recycling LC'!I$45</f>
        <v>0.19155124930705997</v>
      </c>
      <c r="J62" s="110">
        <f>'Ethylene Recycling HC'!J69*'Ethylene Recycling HC'!J$45/'Ethylene Recycling LC'!J$45</f>
        <v>0.197974738176035</v>
      </c>
      <c r="K62" s="110">
        <f>'Ethylene Recycling HC'!K69*'Ethylene Recycling HC'!K$45/'Ethylene Recycling LC'!K$45</f>
        <v>0.20436665102268231</v>
      </c>
      <c r="L62" s="110">
        <f>'Ethylene Recycling HC'!L69*'Ethylene Recycling HC'!L$45/'Ethylene Recycling LC'!L$45</f>
        <v>0.21072698784700183</v>
      </c>
      <c r="M62" s="110">
        <f>'Ethylene Recycling HC'!M69*'Ethylene Recycling HC'!M$45/'Ethylene Recycling LC'!M$45</f>
        <v>0.21705574864899363</v>
      </c>
      <c r="N62" s="110">
        <f>'Ethylene Recycling HC'!N69*'Ethylene Recycling HC'!N$45/'Ethylene Recycling LC'!N$45</f>
        <v>0.23088521034053741</v>
      </c>
      <c r="O62" s="110">
        <f>'Ethylene Recycling HC'!O69*'Ethylene Recycling HC'!O$45/'Ethylene Recycling LC'!O$45</f>
        <v>0.24464811949271351</v>
      </c>
      <c r="P62" s="110">
        <f>'Ethylene Recycling HC'!P69*'Ethylene Recycling HC'!P$45/'Ethylene Recycling LC'!P$45</f>
        <v>0.2583444761055218</v>
      </c>
      <c r="Q62" s="110">
        <f>'Ethylene Recycling HC'!Q69*'Ethylene Recycling HC'!Q$45/'Ethylene Recycling LC'!Q$45</f>
        <v>0.27197428017896241</v>
      </c>
      <c r="R62" s="110">
        <f>'Ethylene Recycling HC'!R69*'Ethylene Recycling HC'!R$45/'Ethylene Recycling LC'!R$45</f>
        <v>0.28553753171303531</v>
      </c>
      <c r="S62" s="110">
        <f>'Ethylene Recycling HC'!S69*'Ethylene Recycling HC'!S$45/'Ethylene Recycling LC'!S$45</f>
        <v>0.29903423070774038</v>
      </c>
      <c r="T62" s="110">
        <f>'Ethylene Recycling HC'!T69*'Ethylene Recycling HC'!T$45/'Ethylene Recycling LC'!T$45</f>
        <v>0.31246437716307784</v>
      </c>
      <c r="U62" s="110">
        <f>'Ethylene Recycling HC'!U69*'Ethylene Recycling HC'!U$45/'Ethylene Recycling LC'!U$45</f>
        <v>0.32582797107904748</v>
      </c>
      <c r="V62" s="110">
        <f>'Ethylene Recycling HC'!V69*'Ethylene Recycling HC'!V$45/'Ethylene Recycling LC'!V$45</f>
        <v>0.33912501245564941</v>
      </c>
      <c r="W62" s="110">
        <f>'Ethylene Recycling HC'!W69*'Ethylene Recycling HC'!W$45/'Ethylene Recycling LC'!W$45</f>
        <v>0.35235550129288357</v>
      </c>
      <c r="X62" s="110">
        <f>'Ethylene Recycling HC'!X69*'Ethylene Recycling HC'!X$45/'Ethylene Recycling LC'!X$45</f>
        <v>0.37494367377040877</v>
      </c>
      <c r="Y62" s="110">
        <f>'Ethylene Recycling HC'!Y69*'Ethylene Recycling HC'!Y$45/'Ethylene Recycling LC'!Y$45</f>
        <v>0.39742049157581505</v>
      </c>
      <c r="Z62" s="110">
        <f>'Ethylene Recycling HC'!Z69*'Ethylene Recycling HC'!Z$45/'Ethylene Recycling LC'!Z$45</f>
        <v>0.4197859547091024</v>
      </c>
      <c r="AA62" s="110">
        <f>'Ethylene Recycling HC'!AA69*'Ethylene Recycling HC'!AA$45/'Ethylene Recycling LC'!AA$45</f>
        <v>0.44204006317027089</v>
      </c>
      <c r="AB62" s="110">
        <f>'Ethylene Recycling HC'!AB69*'Ethylene Recycling HC'!AB$45/'Ethylene Recycling LC'!AB$45</f>
        <v>0.46418281695932051</v>
      </c>
      <c r="AC62" s="110">
        <f>'Ethylene Recycling HC'!AC69*'Ethylene Recycling HC'!AC$45/'Ethylene Recycling LC'!AC$45</f>
        <v>0.48621421607625115</v>
      </c>
      <c r="AD62" s="110">
        <f>'Ethylene Recycling HC'!AD69*'Ethylene Recycling HC'!AD$45/'Ethylene Recycling LC'!AD$45</f>
        <v>0.50813426052106303</v>
      </c>
      <c r="AE62" s="110">
        <f>'Ethylene Recycling HC'!AE69*'Ethylene Recycling HC'!AE$45/'Ethylene Recycling LC'!AE$45</f>
        <v>0.52994295029375582</v>
      </c>
      <c r="AF62" s="110">
        <f>'Ethylene Recycling HC'!AF69*'Ethylene Recycling HC'!AF$45/'Ethylene Recycling LC'!AF$45</f>
        <v>0.55164028539432974</v>
      </c>
      <c r="AG62" s="110">
        <f>'Ethylene Recycling HC'!AG69*'Ethylene Recycling HC'!AG$45/'Ethylene Recycling LC'!AG$45</f>
        <v>0.5732262658227848</v>
      </c>
      <c r="AI62" s="133" t="s">
        <v>1314</v>
      </c>
      <c r="AJ62" s="211"/>
      <c r="AL62" s="108"/>
      <c r="AM62" s="2"/>
      <c r="AN62" s="2"/>
      <c r="AO62" s="2"/>
    </row>
    <row r="63" spans="1:63" ht="16" outlineLevel="1">
      <c r="A63" t="s">
        <v>1323</v>
      </c>
      <c r="B63" s="54" t="s">
        <v>462</v>
      </c>
      <c r="C63" s="110">
        <f>'Ethylene Recycling HC'!C70*'Ethylene Recycling HC'!C$45/'Ethylene Recycling LC'!C$45</f>
        <v>1.1721013864334644E-2</v>
      </c>
      <c r="D63" s="110">
        <f>'Ethylene Recycling HC'!D70*'Ethylene Recycling HC'!D$45/'Ethylene Recycling LC'!D$45</f>
        <v>1.1872723898698111E-2</v>
      </c>
      <c r="E63" s="110">
        <f>'Ethylene Recycling HC'!E70*'Ethylene Recycling HC'!E$45/'Ethylene Recycling LC'!E$45</f>
        <v>1.2008352631423342E-2</v>
      </c>
      <c r="F63" s="110">
        <f>'Ethylene Recycling HC'!F70*'Ethylene Recycling HC'!F$45/'Ethylene Recycling LC'!F$45</f>
        <v>1.2128004262342213E-2</v>
      </c>
      <c r="G63" s="110">
        <f>'Ethylene Recycling HC'!G70*'Ethylene Recycling HC'!G$45/'Ethylene Recycling LC'!G$45</f>
        <v>1.2231782991286593E-2</v>
      </c>
      <c r="H63" s="110">
        <f>'Ethylene Recycling HC'!H70*'Ethylene Recycling HC'!H$45/'Ethylene Recycling LC'!H$45</f>
        <v>1.2319793018088348E-2</v>
      </c>
      <c r="I63" s="110">
        <f>'Ethylene Recycling HC'!I70*'Ethylene Recycling HC'!I$45/'Ethylene Recycling LC'!I$45</f>
        <v>1.2392138542579352E-2</v>
      </c>
      <c r="J63" s="110">
        <f>'Ethylene Recycling HC'!J70*'Ethylene Recycling HC'!J$45/'Ethylene Recycling LC'!J$45</f>
        <v>1.2448923764591474E-2</v>
      </c>
      <c r="K63" s="110">
        <f>'Ethylene Recycling HC'!K70*'Ethylene Recycling HC'!K$45/'Ethylene Recycling LC'!K$45</f>
        <v>1.2490252883956585E-2</v>
      </c>
      <c r="L63" s="110">
        <f>'Ethylene Recycling HC'!L70*'Ethylene Recycling HC'!L$45/'Ethylene Recycling LC'!L$45</f>
        <v>1.2516230100506551E-2</v>
      </c>
      <c r="M63" s="110">
        <f>'Ethylene Recycling HC'!M70*'Ethylene Recycling HC'!M$45/'Ethylene Recycling LC'!M$45</f>
        <v>1.2526959614073248E-2</v>
      </c>
      <c r="N63" s="110">
        <f>'Ethylene Recycling HC'!N70*'Ethylene Recycling HC'!N$45/'Ethylene Recycling LC'!N$45</f>
        <v>1.2932651840675142E-2</v>
      </c>
      <c r="O63" s="110">
        <f>'Ethylene Recycling HC'!O70*'Ethylene Recycling HC'!O$45/'Ethylene Recycling LC'!O$45</f>
        <v>1.3301952614285826E-2</v>
      </c>
      <c r="P63" s="110">
        <f>'Ethylene Recycling HC'!P70*'Ethylene Recycling HC'!P$45/'Ethylene Recycling LC'!P$45</f>
        <v>1.3635101910275669E-2</v>
      </c>
      <c r="Q63" s="110">
        <f>'Ethylene Recycling HC'!Q70*'Ethylene Recycling HC'!Q$45/'Ethylene Recycling LC'!Q$45</f>
        <v>1.3932339704015034E-2</v>
      </c>
      <c r="R63" s="110">
        <f>'Ethylene Recycling HC'!R70*'Ethylene Recycling HC'!R$45/'Ethylene Recycling LC'!R$45</f>
        <v>1.4193905970874292E-2</v>
      </c>
      <c r="S63" s="110">
        <f>'Ethylene Recycling HC'!S70*'Ethylene Recycling HC'!S$45/'Ethylene Recycling LC'!S$45</f>
        <v>1.4420040686223807E-2</v>
      </c>
      <c r="T63" s="110">
        <f>'Ethylene Recycling HC'!T70*'Ethylene Recycling HC'!T$45/'Ethylene Recycling LC'!T$45</f>
        <v>1.4610983825433953E-2</v>
      </c>
      <c r="U63" s="110">
        <f>'Ethylene Recycling HC'!U70*'Ethylene Recycling HC'!U$45/'Ethylene Recycling LC'!U$45</f>
        <v>1.4766975363875088E-2</v>
      </c>
      <c r="V63" s="110">
        <f>'Ethylene Recycling HC'!V70*'Ethylene Recycling HC'!V$45/'Ethylene Recycling LC'!V$45</f>
        <v>1.4888255276917586E-2</v>
      </c>
      <c r="W63" s="110">
        <f>'Ethylene Recycling HC'!W70*'Ethylene Recycling HC'!W$45/'Ethylene Recycling LC'!W$45</f>
        <v>1.4975063539931813E-2</v>
      </c>
      <c r="X63" s="110">
        <f>'Ethylene Recycling HC'!X70*'Ethylene Recycling HC'!X$45/'Ethylene Recycling LC'!X$45</f>
        <v>1.5348113786506006E-2</v>
      </c>
      <c r="Y63" s="110">
        <f>'Ethylene Recycling HC'!Y70*'Ethylene Recycling HC'!Y$45/'Ethylene Recycling LC'!Y$45</f>
        <v>1.5665714893185606E-2</v>
      </c>
      <c r="Z63" s="110">
        <f>'Ethylene Recycling HC'!Z70*'Ethylene Recycling HC'!Z$45/'Ethylene Recycling LC'!Z$45</f>
        <v>1.5928249320717142E-2</v>
      </c>
      <c r="AA63" s="110">
        <f>'Ethylene Recycling HC'!AA70*'Ethylene Recycling HC'!AA$45/'Ethylene Recycling LC'!AA$45</f>
        <v>1.6136099529847136E-2</v>
      </c>
      <c r="AB63" s="110">
        <f>'Ethylene Recycling HC'!AB70*'Ethylene Recycling HC'!AB$45/'Ethylene Recycling LC'!AB$45</f>
        <v>1.6289647981322115E-2</v>
      </c>
      <c r="AC63" s="110">
        <f>'Ethylene Recycling HC'!AC70*'Ethylene Recycling HC'!AC$45/'Ethylene Recycling LC'!AC$45</f>
        <v>1.6389277135888593E-2</v>
      </c>
      <c r="AD63" s="110">
        <f>'Ethylene Recycling HC'!AD70*'Ethylene Recycling HC'!AD$45/'Ethylene Recycling LC'!AD$45</f>
        <v>1.6435369454293101E-2</v>
      </c>
      <c r="AE63" s="110">
        <f>'Ethylene Recycling HC'!AE70*'Ethylene Recycling HC'!AE$45/'Ethylene Recycling LC'!AE$45</f>
        <v>1.6428307397282162E-2</v>
      </c>
      <c r="AF63" s="110">
        <f>'Ethylene Recycling HC'!AF70*'Ethylene Recycling HC'!AF$45/'Ethylene Recycling LC'!AF$45</f>
        <v>1.6368473425602291E-2</v>
      </c>
      <c r="AG63" s="110">
        <f>'Ethylene Recycling HC'!AG70*'Ethylene Recycling HC'!AG$45/'Ethylene Recycling LC'!AG$45</f>
        <v>1.6256249999999996E-2</v>
      </c>
      <c r="AI63" s="133" t="s">
        <v>1314</v>
      </c>
      <c r="AJ63" s="211"/>
      <c r="AL63" s="108"/>
      <c r="AM63" s="2"/>
      <c r="AN63" s="2"/>
      <c r="AO63" s="2"/>
    </row>
    <row r="64" spans="1:63" ht="16" outlineLevel="1">
      <c r="A64" t="s">
        <v>1324</v>
      </c>
      <c r="B64" s="54" t="s">
        <v>462</v>
      </c>
      <c r="C64" s="110">
        <f>'Ethylene Recycling HC'!C71*'Ethylene Recycling HC'!C$45/'Ethylene Recycling LC'!C$45</f>
        <v>1.4056767305647387E-2</v>
      </c>
      <c r="D64" s="110">
        <f>'Ethylene Recycling HC'!D71*'Ethylene Recycling HC'!D$45/'Ethylene Recycling LC'!D$45</f>
        <v>1.4512125655235988E-2</v>
      </c>
      <c r="E64" s="110">
        <f>'Ethylene Recycling HC'!E71*'Ethylene Recycling HC'!E$45/'Ethylene Recycling LC'!E$45</f>
        <v>1.4965273081579427E-2</v>
      </c>
      <c r="F64" s="110">
        <f>'Ethylene Recycling HC'!F71*'Ethylene Recycling HC'!F$45/'Ethylene Recycling LC'!F$45</f>
        <v>1.5416209584677702E-2</v>
      </c>
      <c r="G64" s="110">
        <f>'Ethylene Recycling HC'!G71*'Ethylene Recycling HC'!G$45/'Ethylene Recycling LC'!G$45</f>
        <v>1.586493516453082E-2</v>
      </c>
      <c r="H64" s="110">
        <f>'Ethylene Recycling HC'!H71*'Ethylene Recycling HC'!H$45/'Ethylene Recycling LC'!H$45</f>
        <v>1.6311449821138767E-2</v>
      </c>
      <c r="I64" s="110">
        <f>'Ethylene Recycling HC'!I71*'Ethylene Recycling HC'!I$45/'Ethylene Recycling LC'!I$45</f>
        <v>1.6755753554501554E-2</v>
      </c>
      <c r="J64" s="110">
        <f>'Ethylene Recycling HC'!J71*'Ethylene Recycling HC'!J$45/'Ethylene Recycling LC'!J$45</f>
        <v>1.7197846364619185E-2</v>
      </c>
      <c r="K64" s="110">
        <f>'Ethylene Recycling HC'!K71*'Ethylene Recycling HC'!K$45/'Ethylene Recycling LC'!K$45</f>
        <v>1.7637728251491652E-2</v>
      </c>
      <c r="L64" s="110">
        <f>'Ethylene Recycling HC'!L71*'Ethylene Recycling HC'!L$45/'Ethylene Recycling LC'!L$45</f>
        <v>1.8075399215118953E-2</v>
      </c>
      <c r="M64" s="110">
        <f>'Ethylene Recycling HC'!M71*'Ethylene Recycling HC'!M$45/'Ethylene Recycling LC'!M$45</f>
        <v>1.8510859255501097E-2</v>
      </c>
      <c r="N64" s="110">
        <f>'Ethylene Recycling HC'!N71*'Ethylene Recycling HC'!N$45/'Ethylene Recycling LC'!N$45</f>
        <v>1.9564517100759501E-2</v>
      </c>
      <c r="O64" s="110">
        <f>'Ethylene Recycling HC'!O71*'Ethylene Recycling HC'!O$45/'Ethylene Recycling LC'!O$45</f>
        <v>2.0613083122786625E-2</v>
      </c>
      <c r="P64" s="110">
        <f>'Ethylene Recycling HC'!P71*'Ethylene Recycling HC'!P$45/'Ethylene Recycling LC'!P$45</f>
        <v>2.1656557321582469E-2</v>
      </c>
      <c r="Q64" s="110">
        <f>'Ethylene Recycling HC'!Q71*'Ethylene Recycling HC'!Q$45/'Ethylene Recycling LC'!Q$45</f>
        <v>2.2694939697147028E-2</v>
      </c>
      <c r="R64" s="110">
        <f>'Ethylene Recycling HC'!R71*'Ethylene Recycling HC'!R$45/'Ethylene Recycling LC'!R$45</f>
        <v>2.3728230249480304E-2</v>
      </c>
      <c r="S64" s="110">
        <f>'Ethylene Recycling HC'!S71*'Ethylene Recycling HC'!S$45/'Ethylene Recycling LC'!S$45</f>
        <v>2.4756428978582296E-2</v>
      </c>
      <c r="T64" s="110">
        <f>'Ethylene Recycling HC'!T71*'Ethylene Recycling HC'!T$45/'Ethylene Recycling LC'!T$45</f>
        <v>2.5779535884453014E-2</v>
      </c>
      <c r="U64" s="110">
        <f>'Ethylene Recycling HC'!U71*'Ethylene Recycling HC'!U$45/'Ethylene Recycling LC'!U$45</f>
        <v>2.6797550967092444E-2</v>
      </c>
      <c r="V64" s="110">
        <f>'Ethylene Recycling HC'!V71*'Ethylene Recycling HC'!V$45/'Ethylene Recycling LC'!V$45</f>
        <v>2.7810474226500591E-2</v>
      </c>
      <c r="W64" s="110">
        <f>'Ethylene Recycling HC'!W71*'Ethylene Recycling HC'!W$45/'Ethylene Recycling LC'!W$45</f>
        <v>2.8818305662677447E-2</v>
      </c>
      <c r="X64" s="110">
        <f>'Ethylene Recycling HC'!X71*'Ethylene Recycling HC'!X$45/'Ethylene Recycling LC'!X$45</f>
        <v>3.0456997387183753E-2</v>
      </c>
      <c r="Y64" s="110">
        <f>'Ethylene Recycling HC'!Y71*'Ethylene Recycling HC'!Y$45/'Ethylene Recycling LC'!Y$45</f>
        <v>3.2087574018415201E-2</v>
      </c>
      <c r="Z64" s="110">
        <f>'Ethylene Recycling HC'!Z71*'Ethylene Recycling HC'!Z$45/'Ethylene Recycling LC'!Z$45</f>
        <v>3.3710035556371788E-2</v>
      </c>
      <c r="AA64" s="110">
        <f>'Ethylene Recycling HC'!AA71*'Ethylene Recycling HC'!AA$45/'Ethylene Recycling LC'!AA$45</f>
        <v>3.532438200105352E-2</v>
      </c>
      <c r="AB64" s="110">
        <f>'Ethylene Recycling HC'!AB71*'Ethylene Recycling HC'!AB$45/'Ethylene Recycling LC'!AB$45</f>
        <v>3.6930613352460402E-2</v>
      </c>
      <c r="AC64" s="110">
        <f>'Ethylene Recycling HC'!AC71*'Ethylene Recycling HC'!AC$45/'Ethylene Recycling LC'!AC$45</f>
        <v>3.8528729610592415E-2</v>
      </c>
      <c r="AD64" s="110">
        <f>'Ethylene Recycling HC'!AD71*'Ethylene Recycling HC'!AD$45/'Ethylene Recycling LC'!AD$45</f>
        <v>4.0118730775449585E-2</v>
      </c>
      <c r="AE64" s="110">
        <f>'Ethylene Recycling HC'!AE71*'Ethylene Recycling HC'!AE$45/'Ethylene Recycling LC'!AE$45</f>
        <v>4.1700616847031885E-2</v>
      </c>
      <c r="AF64" s="110">
        <f>'Ethylene Recycling HC'!AF71*'Ethylene Recycling HC'!AF$45/'Ethylene Recycling LC'!AF$45</f>
        <v>4.3274387825339322E-2</v>
      </c>
      <c r="AG64" s="110">
        <f>'Ethylene Recycling HC'!AG71*'Ethylene Recycling HC'!AG$45/'Ethylene Recycling LC'!AG$45</f>
        <v>4.4840043710371924E-2</v>
      </c>
      <c r="AI64" s="133" t="s">
        <v>1314</v>
      </c>
      <c r="AJ64" s="211"/>
      <c r="AL64" s="108"/>
      <c r="AM64" s="2"/>
      <c r="AN64" s="2"/>
      <c r="AO64" s="2"/>
      <c r="BC64" s="1"/>
      <c r="BD64" s="2"/>
      <c r="BE64" s="2"/>
      <c r="BF64" s="2"/>
      <c r="BG64" s="2"/>
      <c r="BH64" s="2"/>
      <c r="BI64" s="2"/>
      <c r="BJ64" s="2"/>
      <c r="BK64" s="2"/>
    </row>
    <row r="65" spans="1:63" ht="16" outlineLevel="1">
      <c r="A65" t="s">
        <v>1325</v>
      </c>
      <c r="B65" s="54" t="s">
        <v>462</v>
      </c>
      <c r="C65" s="110">
        <f>'Ethylene Recycling HC'!C73*'Ethylene Recycling HC'!C$45/'Ethylene Recycling LC'!C$45</f>
        <v>6.5080901277077122E-2</v>
      </c>
      <c r="D65" s="110">
        <f>'Ethylene Recycling HC'!D73*'Ethylene Recycling HC'!D$45/'Ethylene Recycling LC'!D$45</f>
        <v>6.7417131219495274E-2</v>
      </c>
      <c r="E65" s="110">
        <f>'Ethylene Recycling HC'!E73*'Ethylene Recycling HC'!E$45/'Ethylene Recycling LC'!E$45</f>
        <v>6.9757362649198407E-2</v>
      </c>
      <c r="F65" s="110">
        <f>'Ethylene Recycling HC'!F73*'Ethylene Recycling HC'!F$45/'Ethylene Recycling LC'!F$45</f>
        <v>7.2101491366354645E-2</v>
      </c>
      <c r="G65" s="110">
        <f>'Ethylene Recycling HC'!G73*'Ethylene Recycling HC'!G$45/'Ethylene Recycling LC'!G$45</f>
        <v>7.4449413171132142E-2</v>
      </c>
      <c r="H65" s="110">
        <f>'Ethylene Recycling HC'!H73*'Ethylene Recycling HC'!H$45/'Ethylene Recycling LC'!H$45</f>
        <v>7.6801023863698969E-2</v>
      </c>
      <c r="I65" s="110">
        <f>'Ethylene Recycling HC'!I73*'Ethylene Recycling HC'!I$45/'Ethylene Recycling LC'!I$45</f>
        <v>7.9156219244223308E-2</v>
      </c>
      <c r="J65" s="110">
        <f>'Ethylene Recycling HC'!J73*'Ethylene Recycling HC'!J$45/'Ethylene Recycling LC'!J$45</f>
        <v>8.1514895112873284E-2</v>
      </c>
      <c r="K65" s="110">
        <f>'Ethylene Recycling HC'!K73*'Ethylene Recycling HC'!K$45/'Ethylene Recycling LC'!K$45</f>
        <v>8.3876947269817023E-2</v>
      </c>
      <c r="L65" s="110">
        <f>'Ethylene Recycling HC'!L73*'Ethylene Recycling HC'!L$45/'Ethylene Recycling LC'!L$45</f>
        <v>8.6242271515222638E-2</v>
      </c>
      <c r="M65" s="110">
        <f>'Ethylene Recycling HC'!M73*'Ethylene Recycling HC'!M$45/'Ethylene Recycling LC'!M$45</f>
        <v>8.8610763649258267E-2</v>
      </c>
      <c r="N65" s="110">
        <f>'Ethylene Recycling HC'!N73*'Ethylene Recycling HC'!N$45/'Ethylene Recycling LC'!N$45</f>
        <v>9.3961938464704339E-2</v>
      </c>
      <c r="O65" s="110">
        <f>'Ethylene Recycling HC'!O73*'Ethylene Recycling HC'!O$45/'Ethylene Recycling LC'!O$45</f>
        <v>9.9321684554631112E-2</v>
      </c>
      <c r="P65" s="110">
        <f>'Ethylene Recycling HC'!P73*'Ethylene Recycling HC'!P$45/'Ethylene Recycling LC'!P$45</f>
        <v>0.10468976194366819</v>
      </c>
      <c r="Q65" s="110">
        <f>'Ethylene Recycling HC'!Q73*'Ethylene Recycling HC'!Q$45/'Ethylene Recycling LC'!Q$45</f>
        <v>0.11006593065644521</v>
      </c>
      <c r="R65" s="110">
        <f>'Ethylene Recycling HC'!R73*'Ethylene Recycling HC'!R$45/'Ethylene Recycling LC'!R$45</f>
        <v>0.11544995071759183</v>
      </c>
      <c r="S65" s="110">
        <f>'Ethylene Recycling HC'!S73*'Ethylene Recycling HC'!S$45/'Ethylene Recycling LC'!S$45</f>
        <v>0.12084158215173767</v>
      </c>
      <c r="T65" s="110">
        <f>'Ethylene Recycling HC'!T73*'Ethylene Recycling HC'!T$45/'Ethylene Recycling LC'!T$45</f>
        <v>0.12624058498351237</v>
      </c>
      <c r="U65" s="110">
        <f>'Ethylene Recycling HC'!U73*'Ethylene Recycling HC'!U$45/'Ethylene Recycling LC'!U$45</f>
        <v>0.13164671923754551</v>
      </c>
      <c r="V65" s="110">
        <f>'Ethylene Recycling HC'!V73*'Ethylene Recycling HC'!V$45/'Ethylene Recycling LC'!V$45</f>
        <v>0.13705974493846676</v>
      </c>
      <c r="W65" s="110">
        <f>'Ethylene Recycling HC'!W73*'Ethylene Recycling HC'!W$45/'Ethylene Recycling LC'!W$45</f>
        <v>0.14247942211090578</v>
      </c>
      <c r="X65" s="110">
        <f>'Ethylene Recycling HC'!X73*'Ethylene Recycling HC'!X$45/'Ethylene Recycling LC'!X$45</f>
        <v>0.15105968666508979</v>
      </c>
      <c r="Y65" s="110">
        <f>'Ethylene Recycling HC'!Y73*'Ethylene Recycling HC'!Y$45/'Ethylene Recycling LC'!Y$45</f>
        <v>0.15965106194966724</v>
      </c>
      <c r="Z65" s="110">
        <f>'Ethylene Recycling HC'!Z73*'Ethylene Recycling HC'!Z$45/'Ethylene Recycling LC'!Z$45</f>
        <v>0.16825316550389161</v>
      </c>
      <c r="AA65" s="110">
        <f>'Ethylene Recycling HC'!AA73*'Ethylene Recycling HC'!AA$45/'Ethylene Recycling LC'!AA$45</f>
        <v>0.17686561486701635</v>
      </c>
      <c r="AB65" s="110">
        <f>'Ethylene Recycling HC'!AB73*'Ethylene Recycling HC'!AB$45/'Ethylene Recycling LC'!AB$45</f>
        <v>0.18548802757829502</v>
      </c>
      <c r="AC65" s="110">
        <f>'Ethylene Recycling HC'!AC73*'Ethylene Recycling HC'!AC$45/'Ethylene Recycling LC'!AC$45</f>
        <v>0.19412002117698093</v>
      </c>
      <c r="AD65" s="110">
        <f>'Ethylene Recycling HC'!AD73*'Ethylene Recycling HC'!AD$45/'Ethylene Recycling LC'!AD$45</f>
        <v>0.20276121320232779</v>
      </c>
      <c r="AE65" s="110">
        <f>'Ethylene Recycling HC'!AE73*'Ethylene Recycling HC'!AE$45/'Ethylene Recycling LC'!AE$45</f>
        <v>0.21141122119358882</v>
      </c>
      <c r="AF65" s="110">
        <f>'Ethylene Recycling HC'!AF73*'Ethylene Recycling HC'!AF$45/'Ethylene Recycling LC'!AF$45</f>
        <v>0.22006966269001765</v>
      </c>
      <c r="AG65" s="110">
        <f>'Ethylene Recycling HC'!AG73*'Ethylene Recycling HC'!AG$45/'Ethylene Recycling LC'!AG$45</f>
        <v>0.22873615523086779</v>
      </c>
      <c r="AI65" s="133" t="s">
        <v>1314</v>
      </c>
      <c r="AJ65" s="211"/>
      <c r="AL65" s="108"/>
      <c r="AM65" s="2"/>
      <c r="AN65" s="2"/>
      <c r="AO65" s="2"/>
      <c r="BC65" s="1"/>
      <c r="BD65" s="2"/>
      <c r="BE65" s="2"/>
      <c r="BF65" s="2"/>
      <c r="BG65" s="2"/>
      <c r="BH65" s="2"/>
      <c r="BI65" s="2"/>
      <c r="BJ65" s="2"/>
      <c r="BK65" s="2"/>
    </row>
    <row r="66" spans="1:63" outlineLevel="1">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I66" s="133"/>
      <c r="AJ66" s="211"/>
      <c r="AL66" s="108"/>
      <c r="AM66" s="2"/>
      <c r="AN66" s="2"/>
      <c r="AO66" s="2"/>
      <c r="BC66" s="1"/>
      <c r="BD66" s="2"/>
      <c r="BE66" s="2"/>
      <c r="BF66" s="2"/>
      <c r="BG66" s="2"/>
      <c r="BH66" s="2"/>
      <c r="BI66" s="2"/>
      <c r="BJ66" s="2"/>
      <c r="BK66" s="2"/>
    </row>
    <row r="67" spans="1:63" s="1" customFormat="1" outlineLevel="1">
      <c r="A67" s="1" t="s">
        <v>228</v>
      </c>
      <c r="B67" s="65"/>
      <c r="C67" s="300">
        <f>'Ethylene Recycling HC'!C75</f>
        <v>5.1856182039383869</v>
      </c>
      <c r="D67" s="300">
        <f>'Ethylene Recycling HC'!D75</f>
        <v>5.711386817685411</v>
      </c>
      <c r="E67" s="300">
        <f>'Ethylene Recycling HC'!E75</f>
        <v>6.2484930837845836</v>
      </c>
      <c r="F67" s="300">
        <f>'Ethylene Recycling HC'!F75</f>
        <v>6.7937316648100676</v>
      </c>
      <c r="G67" s="300">
        <f>'Ethylene Recycling HC'!G75</f>
        <v>7.3436768320653014</v>
      </c>
      <c r="H67" s="300">
        <f>'Ethylene Recycling HC'!H75</f>
        <v>7.894717403982229</v>
      </c>
      <c r="I67" s="300">
        <f>'Ethylene Recycling HC'!I75</f>
        <v>8.4613113366373138</v>
      </c>
      <c r="J67" s="300">
        <f>'Ethylene Recycling HC'!J75</f>
        <v>9.0432082256675148</v>
      </c>
      <c r="K67" s="300">
        <f>'Ethylene Recycling HC'!K75</f>
        <v>9.640122022365551</v>
      </c>
      <c r="L67" s="300">
        <f>'Ethylene Recycling HC'!L75</f>
        <v>10.251730692888978</v>
      </c>
      <c r="M67" s="300">
        <f>'Ethylene Recycling HC'!M75</f>
        <v>10.87767596993049</v>
      </c>
      <c r="N67" s="300">
        <f>'Ethylene Recycling HC'!N75</f>
        <v>11.906839982535155</v>
      </c>
      <c r="O67" s="300">
        <f>'Ethylene Recycling HC'!O75</f>
        <v>12.94180685639159</v>
      </c>
      <c r="P67" s="300">
        <f>'Ethylene Recycling HC'!P75</f>
        <v>13.977178667787499</v>
      </c>
      <c r="Q67" s="300">
        <f>'Ethylene Recycling HC'!Q75</f>
        <v>15.007404379731808</v>
      </c>
      <c r="R67" s="300">
        <f>'Ethylene Recycling HC'!R75</f>
        <v>16.026828311752514</v>
      </c>
      <c r="S67" s="300">
        <f>'Ethylene Recycling HC'!S75</f>
        <v>17.060422928919124</v>
      </c>
      <c r="T67" s="300">
        <f>'Ethylene Recycling HC'!T75</f>
        <v>18.108023956495391</v>
      </c>
      <c r="U67" s="300">
        <f>'Ethylene Recycling HC'!U75</f>
        <v>19.169458422297616</v>
      </c>
      <c r="V67" s="300">
        <f>'Ethylene Recycling HC'!V75</f>
        <v>20.244544650945212</v>
      </c>
      <c r="W67" s="300">
        <f>'Ethylene Recycling HC'!W75</f>
        <v>21.33309226423307</v>
      </c>
      <c r="X67" s="300">
        <f>'Ethylene Recycling HC'!X75</f>
        <v>23.158437406324136</v>
      </c>
      <c r="Y67" s="300">
        <f>'Ethylene Recycling HC'!Y75</f>
        <v>25.00818056151078</v>
      </c>
      <c r="Z67" s="300">
        <f>'Ethylene Recycling HC'!Z75</f>
        <v>26.882039775068499</v>
      </c>
      <c r="AA67" s="300">
        <f>'Ethylene Recycling HC'!AA75</f>
        <v>28.779719446350757</v>
      </c>
      <c r="AB67" s="300">
        <f>'Ethylene Recycling HC'!AB75</f>
        <v>30.70091033232281</v>
      </c>
      <c r="AC67" s="300">
        <f>'Ethylene Recycling HC'!AC75</f>
        <v>32.645598196244627</v>
      </c>
      <c r="AD67" s="300">
        <f>'Ethylene Recycling HC'!AD75</f>
        <v>34.613502794637569</v>
      </c>
      <c r="AE67" s="300">
        <f>'Ethylene Recycling HC'!AE75</f>
        <v>36.604331693449105</v>
      </c>
      <c r="AF67" s="300">
        <f>'Ethylene Recycling HC'!AF75</f>
        <v>38.617780278641078</v>
      </c>
      <c r="AG67" s="300">
        <f>'Ethylene Recycling HC'!AG75</f>
        <v>40.653531774038527</v>
      </c>
      <c r="AH67" s="422"/>
      <c r="AI67" s="423"/>
      <c r="AJ67" s="424"/>
      <c r="AL67" s="221"/>
      <c r="AM67" s="124"/>
      <c r="AN67" s="124"/>
      <c r="AO67" s="124"/>
      <c r="BD67" s="124"/>
      <c r="BE67" s="124"/>
      <c r="BF67" s="124"/>
      <c r="BG67" s="124"/>
      <c r="BH67" s="124"/>
      <c r="BI67" s="124"/>
      <c r="BJ67" s="124"/>
      <c r="BK67" s="124"/>
    </row>
    <row r="68" spans="1:63" outlineLevel="1">
      <c r="A68" s="4" t="s">
        <v>258</v>
      </c>
      <c r="C68" s="230">
        <f>'Ethylene Recycling HC'!C76</f>
        <v>4.8106549108690304</v>
      </c>
      <c r="D68" s="230">
        <f>'Ethylene Recycling HC'!D76</f>
        <v>5.2949553773509237</v>
      </c>
      <c r="E68" s="230">
        <f>'Ethylene Recycling HC'!E76</f>
        <v>5.789124671737782</v>
      </c>
      <c r="F68" s="230">
        <f>'Ethylene Recycling HC'!F76</f>
        <v>6.2901744889874598</v>
      </c>
      <c r="G68" s="230">
        <f>'Ethylene Recycling HC'!G76</f>
        <v>6.7949203479375742</v>
      </c>
      <c r="H68" s="230">
        <f>'Ethylene Recycling HC'!H76</f>
        <v>7.3000145636028808</v>
      </c>
      <c r="I68" s="230">
        <f>'Ethylene Recycling HC'!I76</f>
        <v>7.8188152649461706</v>
      </c>
      <c r="J68" s="230">
        <f>'Ethylene Recycling HC'!J76</f>
        <v>8.3510630218480415</v>
      </c>
      <c r="K68" s="230">
        <f>'Ethylene Recycling HC'!K76</f>
        <v>8.8964661146694848</v>
      </c>
      <c r="L68" s="230">
        <f>'Ethylene Recycling HC'!L76</f>
        <v>9.4547003276340984</v>
      </c>
      <c r="M68" s="230">
        <f>'Ethylene Recycling HC'!M76</f>
        <v>10.02540882866259</v>
      </c>
      <c r="N68" s="230">
        <f>'Ethylene Recycling HC'!N76</f>
        <v>10.966743847481649</v>
      </c>
      <c r="O68" s="230">
        <f>'Ethylene Recycling HC'!O76</f>
        <v>11.912176459705131</v>
      </c>
      <c r="P68" s="230">
        <f>'Ethylene Recycling HC'!P76</f>
        <v>12.856730935587745</v>
      </c>
      <c r="Q68" s="230">
        <f>'Ethylene Recycling HC'!Q76</f>
        <v>13.795303843854954</v>
      </c>
      <c r="R68" s="230">
        <f>'Ethylene Recycling HC'!R76</f>
        <v>14.7227090400043</v>
      </c>
      <c r="S68" s="230">
        <f>'Ethylene Recycling HC'!S76</f>
        <v>15.661891445095053</v>
      </c>
      <c r="T68" s="230">
        <f>'Ethylene Recycling HC'!T76</f>
        <v>16.612674665153214</v>
      </c>
      <c r="U68" s="230">
        <f>'Ethylene Recycling HC'!U76</f>
        <v>17.574874729248116</v>
      </c>
      <c r="V68" s="230">
        <f>'Ethylene Recycling HC'!V76</f>
        <v>18.548300110498836</v>
      </c>
      <c r="W68" s="230">
        <f>'Ethylene Recycling HC'!W76</f>
        <v>19.532751752706634</v>
      </c>
      <c r="X68" s="230">
        <f>'Ethylene Recycling HC'!X76</f>
        <v>21.190060652863494</v>
      </c>
      <c r="Y68" s="230">
        <f>'Ethylene Recycling HC'!Y76</f>
        <v>22.86747341463871</v>
      </c>
      <c r="Z68" s="230">
        <f>'Ethylene Recycling HC'!Z76</f>
        <v>24.5646881666711</v>
      </c>
      <c r="AA68" s="230">
        <f>'Ethylene Recycling HC'!AA76</f>
        <v>26.281391257667202</v>
      </c>
      <c r="AB68" s="230">
        <f>'Ethylene Recycling HC'!AB76</f>
        <v>28.017257300849149</v>
      </c>
      <c r="AC68" s="230">
        <f>'Ethylene Recycling HC'!AC76</f>
        <v>29.772230697519909</v>
      </c>
      <c r="AD68" s="230">
        <f>'Ethylene Recycling HC'!AD76</f>
        <v>31.546013450480231</v>
      </c>
      <c r="AE68" s="230">
        <f>'Ethylene Recycling HC'!AE76</f>
        <v>33.33829713693553</v>
      </c>
      <c r="AF68" s="230">
        <f>'Ethylene Recycling HC'!AF76</f>
        <v>35.148762954959537</v>
      </c>
      <c r="AG68" s="230">
        <f>'Ethylene Recycling HC'!AG76</f>
        <v>36.977081776523484</v>
      </c>
      <c r="AH68" s="245"/>
      <c r="AI68" s="133"/>
      <c r="AJ68" s="211"/>
      <c r="AL68" s="108"/>
      <c r="AM68" s="2"/>
      <c r="AN68" s="2"/>
      <c r="AO68" s="2"/>
      <c r="BC68" s="1"/>
      <c r="BD68" s="2"/>
      <c r="BE68" s="2"/>
      <c r="BF68" s="2"/>
      <c r="BG68" s="2"/>
      <c r="BH68" s="2"/>
      <c r="BI68" s="2"/>
      <c r="BJ68" s="2"/>
      <c r="BK68" s="2"/>
    </row>
    <row r="69" spans="1:63" outlineLevel="1">
      <c r="A69" s="4" t="s">
        <v>478</v>
      </c>
      <c r="C69" s="230">
        <f>'Ethylene Recycling HC'!C77</f>
        <v>0</v>
      </c>
      <c r="D69" s="230">
        <f>'Ethylene Recycling HC'!D77</f>
        <v>3.4813547775346789E-3</v>
      </c>
      <c r="E69" s="230">
        <f>'Ethylene Recycling HC'!E77</f>
        <v>7.6174918435804847E-3</v>
      </c>
      <c r="F69" s="230">
        <f>'Ethylene Recycling HC'!F77</f>
        <v>1.2423282265878861E-2</v>
      </c>
      <c r="G69" s="230">
        <f>'Ethylene Recycling HC'!G77</f>
        <v>1.7905244550984269E-2</v>
      </c>
      <c r="H69" s="230">
        <f>'Ethylene Recycling HC'!H77</f>
        <v>2.4060979433693799E-2</v>
      </c>
      <c r="I69" s="230">
        <f>'Ethylene Recycling HC'!I77</f>
        <v>3.0945366776556332E-2</v>
      </c>
      <c r="J69" s="230">
        <f>'Ethylene Recycling HC'!J77</f>
        <v>3.8585779629261706E-2</v>
      </c>
      <c r="K69" s="230">
        <f>'Ethylene Recycling HC'!K77</f>
        <v>4.700880669424571E-2</v>
      </c>
      <c r="L69" s="230">
        <f>'Ethylene Recycling HC'!L77</f>
        <v>5.6240141822746365E-2</v>
      </c>
      <c r="M69" s="230">
        <f>'Ethylene Recycling HC'!M77</f>
        <v>6.6304472828087033E-2</v>
      </c>
      <c r="N69" s="230">
        <f>'Ethylene Recycling HC'!N77</f>
        <v>7.98354745351888E-2</v>
      </c>
      <c r="O69" s="230">
        <f>'Ethylene Recycling HC'!O77</f>
        <v>9.4663567853431843E-2</v>
      </c>
      <c r="P69" s="230">
        <f>'Ethylene Recycling HC'!P77</f>
        <v>0.11075659042239543</v>
      </c>
      <c r="Q69" s="230">
        <f>'Ethylene Recycling HC'!Q77</f>
        <v>0.12806791212878543</v>
      </c>
      <c r="R69" s="230">
        <f>'Ethylene Recycling HC'!R77</f>
        <v>0.14653641162706024</v>
      </c>
      <c r="S69" s="230">
        <f>'Ethylene Recycling HC'!S77</f>
        <v>0.16638588634604012</v>
      </c>
      <c r="T69" s="230">
        <f>'Ethylene Recycling HC'!T77</f>
        <v>0.18764054709036343</v>
      </c>
      <c r="U69" s="230">
        <f>'Ethylene Recycling HC'!U77</f>
        <v>0.21032410870548279</v>
      </c>
      <c r="V69" s="230">
        <f>'Ethylene Recycling HC'!V77</f>
        <v>0.23445976350359352</v>
      </c>
      <c r="W69" s="230">
        <f>'Ethylene Recycling HC'!W77</f>
        <v>0.26007015474316519</v>
      </c>
      <c r="X69" s="230">
        <f>'Ethylene Recycling HC'!X77</f>
        <v>0.29643894291260181</v>
      </c>
      <c r="Y69" s="230">
        <f>'Ethylene Recycling HC'!Y77</f>
        <v>0.33536017370157073</v>
      </c>
      <c r="Z69" s="230">
        <f>'Ethylene Recycling HC'!Z77</f>
        <v>0.37687450938421752</v>
      </c>
      <c r="AA69" s="230">
        <f>'Ethylene Recycling HC'!AA77</f>
        <v>0.42102172514912156</v>
      </c>
      <c r="AB69" s="230">
        <f>'Ethylene Recycling HC'!AB77</f>
        <v>0.46784066756403925</v>
      </c>
      <c r="AC69" s="230">
        <f>'Ethylene Recycling HC'!AC77</f>
        <v>0.51737410452490196</v>
      </c>
      <c r="AD69" s="230">
        <f>'Ethylene Recycling HC'!AD77</f>
        <v>0.56966039134330793</v>
      </c>
      <c r="AE69" s="230">
        <f>'Ethylene Recycling HC'!AE77</f>
        <v>0.62473699198519683</v>
      </c>
      <c r="AF69" s="230">
        <f>'Ethylene Recycling HC'!AF77</f>
        <v>0.68264044210441899</v>
      </c>
      <c r="AG69" s="230">
        <f>'Ethylene Recycling HC'!AG77</f>
        <v>0.74340631224779952</v>
      </c>
      <c r="AH69" s="245"/>
      <c r="AI69" s="133"/>
      <c r="AJ69" s="211"/>
      <c r="AL69" s="108"/>
      <c r="AM69" s="2"/>
      <c r="AN69" s="2"/>
      <c r="AO69" s="2"/>
      <c r="BC69" s="1"/>
      <c r="BD69" s="2"/>
      <c r="BE69" s="2"/>
      <c r="BF69" s="2"/>
      <c r="BG69" s="2"/>
      <c r="BH69" s="2"/>
      <c r="BI69" s="2"/>
      <c r="BJ69" s="2"/>
      <c r="BK69" s="2"/>
    </row>
    <row r="70" spans="1:63" outlineLevel="1">
      <c r="A70" s="4" t="s">
        <v>480</v>
      </c>
      <c r="C70" s="230">
        <f>'Ethylene Recycling HC'!C78</f>
        <v>0</v>
      </c>
      <c r="D70" s="230">
        <f>'Ethylene Recycling HC'!D78</f>
        <v>4.2469131842237688E-3</v>
      </c>
      <c r="E70" s="230">
        <f>'Ethylene Recycling HC'!E78</f>
        <v>9.2925968792322323E-3</v>
      </c>
      <c r="F70" s="230">
        <f>'Ethylene Recycling HC'!F78</f>
        <v>1.5155192336834079E-2</v>
      </c>
      <c r="G70" s="230">
        <f>'Ethylene Recycling HC'!G78</f>
        <v>2.1842651499073884E-2</v>
      </c>
      <c r="H70" s="230">
        <f>'Ethylene Recycling HC'!H78</f>
        <v>2.935204749647876E-2</v>
      </c>
      <c r="I70" s="230">
        <f>'Ethylene Recycling HC'!I78</f>
        <v>3.7750328407225406E-2</v>
      </c>
      <c r="J70" s="230">
        <f>'Ethylene Recycling HC'!J78</f>
        <v>4.7070886681393982E-2</v>
      </c>
      <c r="K70" s="230">
        <f>'Ethylene Recycling HC'!K78</f>
        <v>5.7346157941936426E-2</v>
      </c>
      <c r="L70" s="230">
        <f>'Ethylene Recycling HC'!L78</f>
        <v>6.8607486180645896E-2</v>
      </c>
      <c r="M70" s="230">
        <f>'Ethylene Recycling HC'!M78</f>
        <v>8.0884988121209783E-2</v>
      </c>
      <c r="N70" s="230">
        <f>'Ethylene Recycling HC'!N78</f>
        <v>9.7391490106146408E-2</v>
      </c>
      <c r="O70" s="230">
        <f>'Ethylene Recycling HC'!O78</f>
        <v>0.11548031731115238</v>
      </c>
      <c r="P70" s="230">
        <f>'Ethylene Recycling HC'!P78</f>
        <v>0.13511223479430562</v>
      </c>
      <c r="Q70" s="230">
        <f>'Ethylene Recycling HC'!Q78</f>
        <v>0.15623035836666666</v>
      </c>
      <c r="R70" s="230">
        <f>'Ethylene Recycling HC'!R78</f>
        <v>0.17876012594973284</v>
      </c>
      <c r="S70" s="230">
        <f>'Ethylene Recycling HC'!S78</f>
        <v>0.20297454857276934</v>
      </c>
      <c r="T70" s="230">
        <f>'Ethylene Recycling HC'!T78</f>
        <v>0.22890316105540531</v>
      </c>
      <c r="U70" s="230">
        <f>'Ethylene Recycling HC'!U78</f>
        <v>0.25657489319544946</v>
      </c>
      <c r="V70" s="230">
        <f>'Ethylene Recycling HC'!V78</f>
        <v>0.28601803735111547</v>
      </c>
      <c r="W70" s="230">
        <f>'Ethylene Recycling HC'!W78</f>
        <v>0.3172602160886378</v>
      </c>
      <c r="X70" s="230">
        <f>'Ethylene Recycling HC'!X78</f>
        <v>0.36162658948089493</v>
      </c>
      <c r="Y70" s="230">
        <f>'Ethylene Recycling HC'!Y78</f>
        <v>0.40910669385018922</v>
      </c>
      <c r="Z70" s="230">
        <f>'Ethylene Recycling HC'!Z78</f>
        <v>0.45975013320392732</v>
      </c>
      <c r="AA70" s="230">
        <f>'Ethylene Recycling HC'!AA78</f>
        <v>0.51360542939166975</v>
      </c>
      <c r="AB70" s="230">
        <f>'Ethylene Recycling HC'!AB78</f>
        <v>0.57071997143617037</v>
      </c>
      <c r="AC70" s="230">
        <f>'Ethylene Recycling HC'!AC78</f>
        <v>0.63114593199798752</v>
      </c>
      <c r="AD70" s="230">
        <f>'Ethylene Recycling HC'!AD78</f>
        <v>0.69493010081528994</v>
      </c>
      <c r="AE70" s="230">
        <f>'Ethylene Recycling HC'!AE78</f>
        <v>0.76211818027150235</v>
      </c>
      <c r="AF70" s="230">
        <f>'Ethylene Recycling HC'!AF78</f>
        <v>0.83275474029986862</v>
      </c>
      <c r="AG70" s="230">
        <f>'Ethylene Recycling HC'!AG78</f>
        <v>0.90688317349721814</v>
      </c>
      <c r="AH70" s="245"/>
      <c r="AI70" s="133"/>
      <c r="AJ70" s="211"/>
      <c r="AL70" s="108"/>
      <c r="AM70" s="2"/>
      <c r="AN70" s="2"/>
      <c r="AO70" s="2"/>
      <c r="BC70" s="1"/>
      <c r="BD70" s="2"/>
      <c r="BE70" s="2"/>
      <c r="BF70" s="2"/>
      <c r="BG70" s="2"/>
      <c r="BH70" s="2"/>
      <c r="BI70" s="2"/>
      <c r="BJ70" s="2"/>
      <c r="BK70" s="2"/>
    </row>
    <row r="71" spans="1:63" outlineLevel="1">
      <c r="A71" s="4" t="s">
        <v>474</v>
      </c>
      <c r="C71" s="230">
        <f>'Ethylene Recycling HC'!C79</f>
        <v>0.37496329306935583</v>
      </c>
      <c r="D71" s="230">
        <f>'Ethylene Recycling HC'!D79</f>
        <v>0.40851357803414662</v>
      </c>
      <c r="E71" s="230">
        <f>'Ethylene Recycling HC'!E79</f>
        <v>0.44204347524902249</v>
      </c>
      <c r="F71" s="230">
        <f>'Ethylene Recycling HC'!F79</f>
        <v>0.47530213013342909</v>
      </c>
      <c r="G71" s="230">
        <f>'Ethylene Recycling HC'!G79</f>
        <v>0.50803346970717533</v>
      </c>
      <c r="H71" s="230">
        <f>'Ethylene Recycling HC'!H79</f>
        <v>0.53997945418594095</v>
      </c>
      <c r="I71" s="230">
        <f>'Ethylene Recycling HC'!I79</f>
        <v>0.57211509398918348</v>
      </c>
      <c r="J71" s="230">
        <f>'Ethylene Recycling HC'!J79</f>
        <v>0.60438715863911363</v>
      </c>
      <c r="K71" s="230">
        <f>'Ethylene Recycling HC'!K79</f>
        <v>0.63674084672319264</v>
      </c>
      <c r="L71" s="230">
        <f>'Ethylene Recycling HC'!L79</f>
        <v>0.66911990304699698</v>
      </c>
      <c r="M71" s="230">
        <f>'Ethylene Recycling HC'!M79</f>
        <v>0.70146674334891024</v>
      </c>
      <c r="N71" s="230">
        <f>'Ethylene Recycling HC'!N79</f>
        <v>0.75852133603243788</v>
      </c>
      <c r="O71" s="230">
        <f>'Ethylene Recycling HC'!O79</f>
        <v>0.81433114021334674</v>
      </c>
      <c r="P71" s="230">
        <f>'Ethylene Recycling HC'!P79</f>
        <v>0.86854711078688573</v>
      </c>
      <c r="Q71" s="230">
        <f>'Ethylene Recycling HC'!Q79</f>
        <v>0.92082769581146939</v>
      </c>
      <c r="R71" s="230">
        <f>'Ethylene Recycling HC'!R79</f>
        <v>0.97084237140581675</v>
      </c>
      <c r="S71" s="230">
        <f>'Ethylene Recycling HC'!S79</f>
        <v>1.0201096851297027</v>
      </c>
      <c r="T71" s="230">
        <f>'Ethylene Recycling HC'!T79</f>
        <v>1.0685866920778746</v>
      </c>
      <c r="U71" s="230">
        <f>'Ethylene Recycling HC'!U79</f>
        <v>1.1162304548452127</v>
      </c>
      <c r="V71" s="230">
        <f>'Ethylene Recycling HC'!V79</f>
        <v>1.1629980772099375</v>
      </c>
      <c r="W71" s="230">
        <f>'Ethylene Recycling HC'!W79</f>
        <v>1.2088467381906929</v>
      </c>
      <c r="X71" s="230">
        <f>'Ethylene Recycling HC'!X79</f>
        <v>1.2941671768939109</v>
      </c>
      <c r="Y71" s="230">
        <f>'Ethylene Recycling HC'!Y79</f>
        <v>1.3779765876305934</v>
      </c>
      <c r="Z71" s="230">
        <f>'Ethylene Recycling HC'!Z79</f>
        <v>1.4602024062912462</v>
      </c>
      <c r="AA71" s="230">
        <f>'Ethylene Recycling HC'!AA79</f>
        <v>1.5407722203306657</v>
      </c>
      <c r="AB71" s="230">
        <f>'Ethylene Recycling HC'!AB79</f>
        <v>1.6196138223200842</v>
      </c>
      <c r="AC71" s="230">
        <f>'Ethylene Recycling HC'!AC79</f>
        <v>1.6966713045233823</v>
      </c>
      <c r="AD71" s="230">
        <f>'Ethylene Recycling HC'!AD79</f>
        <v>1.7718751867838118</v>
      </c>
      <c r="AE71" s="230">
        <f>'Ethylene Recycling HC'!AE79</f>
        <v>1.8451562512090856</v>
      </c>
      <c r="AF71" s="230">
        <f>'Ethylene Recycling HC'!AF79</f>
        <v>1.9164455903710562</v>
      </c>
      <c r="AG71" s="230">
        <f>'Ethylene Recycling HC'!AG79</f>
        <v>1.9856746558103326</v>
      </c>
      <c r="AH71" s="245"/>
      <c r="AI71" s="133"/>
      <c r="AJ71" s="211"/>
      <c r="AL71" s="108"/>
      <c r="AM71" s="2"/>
      <c r="AN71" s="2"/>
      <c r="AO71" s="2"/>
      <c r="BC71" s="1"/>
      <c r="BD71" s="2"/>
      <c r="BE71" s="2"/>
      <c r="BF71" s="2"/>
      <c r="BG71" s="2"/>
      <c r="BH71" s="2"/>
      <c r="BI71" s="2"/>
      <c r="BJ71" s="2"/>
      <c r="BK71" s="2"/>
    </row>
    <row r="72" spans="1:63" outlineLevel="1">
      <c r="A72" s="4" t="s">
        <v>248</v>
      </c>
      <c r="C72" s="230">
        <f>'Ethylene Recycling HC'!C80</f>
        <v>0</v>
      </c>
      <c r="D72" s="230">
        <f>'Ethylene Recycling HC'!D80</f>
        <v>1.8959433858141823E-4</v>
      </c>
      <c r="E72" s="230">
        <f>'Ethylene Recycling HC'!E80</f>
        <v>4.1484807496572465E-4</v>
      </c>
      <c r="F72" s="230">
        <f>'Ethylene Recycling HC'!F80</f>
        <v>6.7657108646580701E-4</v>
      </c>
      <c r="G72" s="230">
        <f>'Ethylene Recycling HC'!G80</f>
        <v>9.7511837049436985E-4</v>
      </c>
      <c r="H72" s="230">
        <f>'Ethylene Recycling HC'!H80</f>
        <v>1.3103592632356591E-3</v>
      </c>
      <c r="I72" s="230">
        <f>'Ethylene Recycling HC'!I80</f>
        <v>1.6852825181797057E-3</v>
      </c>
      <c r="J72" s="230">
        <f>'Ethylene Recycling HC'!J80</f>
        <v>2.1013788697050889E-3</v>
      </c>
      <c r="K72" s="230">
        <f>'Ethylene Recycling HC'!K80</f>
        <v>2.5600963366935905E-3</v>
      </c>
      <c r="L72" s="230">
        <f>'Ethylene Recycling HC'!L80</f>
        <v>3.0628342044931212E-3</v>
      </c>
      <c r="M72" s="230">
        <f>'Ethylene Recycling HC'!M80</f>
        <v>3.6109369696968657E-3</v>
      </c>
      <c r="N72" s="230">
        <f>'Ethylene Recycling HC'!N80</f>
        <v>4.3478343797386798E-3</v>
      </c>
      <c r="O72" s="230">
        <f>'Ethylene Recycling HC'!O80</f>
        <v>5.155371308533589E-3</v>
      </c>
      <c r="P72" s="230">
        <f>'Ethylene Recycling HC'!P80</f>
        <v>6.0317961961743579E-3</v>
      </c>
      <c r="Q72" s="230">
        <f>'Ethylene Recycling HC'!Q80</f>
        <v>6.9745695699404767E-3</v>
      </c>
      <c r="R72" s="230">
        <f>'Ethylene Recycling HC'!R80</f>
        <v>7.9803627656130725E-3</v>
      </c>
      <c r="S72" s="230">
        <f>'Ethylene Recycling HC'!S80</f>
        <v>9.0613637755700572E-3</v>
      </c>
      <c r="T72" s="230">
        <f>'Ethylene Recycling HC'!T80</f>
        <v>1.0218891118544876E-2</v>
      </c>
      <c r="U72" s="230">
        <f>'Ethylene Recycling HC'!U80</f>
        <v>1.1454236303368275E-2</v>
      </c>
      <c r="V72" s="230">
        <f>'Ethylene Recycling HC'!V80</f>
        <v>1.276866238174622E-2</v>
      </c>
      <c r="W72" s="230">
        <f>'Ethylene Recycling HC'!W80</f>
        <v>1.4163402503957036E-2</v>
      </c>
      <c r="X72" s="230">
        <f>'Ethylene Recycling HC'!X80</f>
        <v>1.6144044173254227E-2</v>
      </c>
      <c r="Y72" s="230">
        <f>'Ethylene Recycling HC'!Y80</f>
        <v>1.8263691689740579E-2</v>
      </c>
      <c r="Z72" s="230">
        <f>'Ethylene Recycling HC'!Z80</f>
        <v>2.0524559518032455E-2</v>
      </c>
      <c r="AA72" s="230">
        <f>'Ethylene Recycling HC'!AA80</f>
        <v>2.2928813812128097E-2</v>
      </c>
      <c r="AB72" s="230">
        <f>'Ethylene Recycling HC'!AB80</f>
        <v>2.5478570153400441E-2</v>
      </c>
      <c r="AC72" s="230">
        <f>'Ethylene Recycling HC'!AC80</f>
        <v>2.8176157678481563E-2</v>
      </c>
      <c r="AD72" s="230">
        <f>'Ethylene Recycling HC'!AD80</f>
        <v>3.1023665214968268E-2</v>
      </c>
      <c r="AE72" s="230">
        <f>'Ethylene Recycling HC'!AE80</f>
        <v>3.4023133047834893E-2</v>
      </c>
      <c r="AF72" s="230">
        <f>'Ethylene Recycling HC'!AF80</f>
        <v>3.7176550906244096E-2</v>
      </c>
      <c r="AG72" s="230">
        <f>'Ethylene Recycling HC'!AG80</f>
        <v>4.0485855959697246E-2</v>
      </c>
      <c r="AH72" s="245"/>
      <c r="AI72" s="133"/>
      <c r="AJ72" s="211"/>
      <c r="AL72" s="108"/>
      <c r="AM72" s="2"/>
      <c r="AN72" s="2"/>
      <c r="AO72" s="2"/>
      <c r="BC72" s="1"/>
      <c r="BD72" s="2"/>
      <c r="BE72" s="2"/>
      <c r="BF72" s="2"/>
      <c r="BG72" s="2"/>
      <c r="BH72" s="2"/>
      <c r="BI72" s="2"/>
      <c r="BJ72" s="2"/>
      <c r="BK72" s="2"/>
    </row>
    <row r="73" spans="1:63" s="1" customFormat="1" outlineLevel="1">
      <c r="A73" s="1" t="s">
        <v>1326</v>
      </c>
      <c r="B73" s="65"/>
      <c r="C73" s="300">
        <f>'Ethylene Recycling HC'!C81</f>
        <v>1.205373589929996</v>
      </c>
      <c r="D73" s="300">
        <f>'Ethylene Recycling HC'!D81</f>
        <v>1.2619041709192769</v>
      </c>
      <c r="E73" s="300">
        <f>'Ethylene Recycling HC'!E81</f>
        <v>1.3156555225036823</v>
      </c>
      <c r="F73" s="300">
        <f>'Ethylene Recycling HC'!F81</f>
        <v>1.3661388546671391</v>
      </c>
      <c r="G73" s="300">
        <f>'Ethylene Recycling HC'!G81</f>
        <v>1.412884828340607</v>
      </c>
      <c r="H73" s="300">
        <f>'Ethylene Recycling HC'!H81</f>
        <v>1.4554504200615603</v>
      </c>
      <c r="I73" s="300">
        <f>'Ethylene Recycling HC'!I81</f>
        <v>1.4966475259312548</v>
      </c>
      <c r="J73" s="300">
        <f>'Ethylene Recycling HC'!J81</f>
        <v>1.5363365496040107</v>
      </c>
      <c r="K73" s="300">
        <f>'Ethylene Recycling HC'!K81</f>
        <v>1.574377388118634</v>
      </c>
      <c r="L73" s="300">
        <f>'Ethylene Recycling HC'!L81</f>
        <v>1.6106298351488424</v>
      </c>
      <c r="M73" s="300">
        <f>'Ethylene Recycling HC'!M81</f>
        <v>1.6449539960321427</v>
      </c>
      <c r="N73" s="300">
        <f>'Ethylene Recycling HC'!N81</f>
        <v>1.7296600786636502</v>
      </c>
      <c r="O73" s="300">
        <f>'Ethylene Recycling HC'!O81</f>
        <v>1.8085528222161285</v>
      </c>
      <c r="P73" s="300">
        <f>'Ethylene Recycling HC'!P81</f>
        <v>1.8810166901192227</v>
      </c>
      <c r="Q73" s="300">
        <f>'Ethylene Recycling HC'!Q81</f>
        <v>1.9464843103176621</v>
      </c>
      <c r="R73" s="300">
        <f>'Ethylene Recycling HC'!R81</f>
        <v>2.004443372107001</v>
      </c>
      <c r="S73" s="300">
        <f>'Ethylene Recycling HC'!S81</f>
        <v>2.0581443359391223</v>
      </c>
      <c r="T73" s="300">
        <f>'Ethylene Recycling HC'!T81</f>
        <v>2.1074569079096737</v>
      </c>
      <c r="U73" s="300">
        <f>'Ethylene Recycling HC'!U81</f>
        <v>2.152251832532019</v>
      </c>
      <c r="V73" s="300">
        <f>'Ethylene Recycling HC'!V81</f>
        <v>2.1924010102311566</v>
      </c>
      <c r="W73" s="300">
        <f>'Ethylene Recycling HC'!W81</f>
        <v>2.2277776154205586</v>
      </c>
      <c r="X73" s="300">
        <f>'Ethylene Recycling HC'!X81</f>
        <v>2.3064403200386874</v>
      </c>
      <c r="Y73" s="300">
        <f>'Ethylene Recycling HC'!Y81</f>
        <v>2.3778175400651413</v>
      </c>
      <c r="Z73" s="300">
        <f>'Ethylene Recycling HC'!Z81</f>
        <v>2.4417121847421641</v>
      </c>
      <c r="AA73" s="300">
        <f>'Ethylene Recycling HC'!AA81</f>
        <v>2.4979290650180355</v>
      </c>
      <c r="AB73" s="300">
        <f>'Ethylene Recycling HC'!AB81</f>
        <v>2.5462750600139996</v>
      </c>
      <c r="AC73" s="300">
        <f>'Ethylene Recycling HC'!AC81</f>
        <v>2.58658373788866</v>
      </c>
      <c r="AD73" s="300">
        <f>'Ethylene Recycling HC'!AD81</f>
        <v>2.6186675572049709</v>
      </c>
      <c r="AE73" s="300">
        <f>'Ethylene Recycling HC'!AE81</f>
        <v>2.6423410695914047</v>
      </c>
      <c r="AF73" s="300">
        <f>'Ethylene Recycling HC'!AF81</f>
        <v>2.6574210687417508</v>
      </c>
      <c r="AG73" s="300">
        <f>'Ethylene Recycling HC'!AG81</f>
        <v>2.6637267396038453</v>
      </c>
      <c r="AH73" s="422"/>
      <c r="AI73" s="423"/>
      <c r="AJ73" s="424"/>
      <c r="AL73" s="221"/>
      <c r="AM73" s="124"/>
      <c r="AN73" s="124"/>
      <c r="AO73" s="124"/>
      <c r="BD73" s="124"/>
      <c r="BE73" s="124"/>
      <c r="BF73" s="124"/>
      <c r="BG73" s="124"/>
      <c r="BH73" s="124"/>
      <c r="BI73" s="124"/>
      <c r="BJ73" s="124"/>
      <c r="BK73" s="124"/>
    </row>
    <row r="74" spans="1:63" outlineLevel="1">
      <c r="A74" s="4" t="s">
        <v>258</v>
      </c>
      <c r="C74" s="230">
        <f>'Ethylene Recycling HC'!C82</f>
        <v>0</v>
      </c>
      <c r="D74" s="230">
        <f>'Ethylene Recycling HC'!D82</f>
        <v>0</v>
      </c>
      <c r="E74" s="230">
        <f>'Ethylene Recycling HC'!E82</f>
        <v>0</v>
      </c>
      <c r="F74" s="230">
        <f>'Ethylene Recycling HC'!F82</f>
        <v>0</v>
      </c>
      <c r="G74" s="230">
        <f>'Ethylene Recycling HC'!G82</f>
        <v>0</v>
      </c>
      <c r="H74" s="230">
        <f>'Ethylene Recycling HC'!H82</f>
        <v>0</v>
      </c>
      <c r="I74" s="230">
        <f>'Ethylene Recycling HC'!I82</f>
        <v>0</v>
      </c>
      <c r="J74" s="230">
        <f>'Ethylene Recycling HC'!J82</f>
        <v>0</v>
      </c>
      <c r="K74" s="230">
        <f>'Ethylene Recycling HC'!K82</f>
        <v>0</v>
      </c>
      <c r="L74" s="230">
        <f>'Ethylene Recycling HC'!L82</f>
        <v>0</v>
      </c>
      <c r="M74" s="230">
        <f>'Ethylene Recycling HC'!M82</f>
        <v>0</v>
      </c>
      <c r="N74" s="230">
        <f>'Ethylene Recycling HC'!N82</f>
        <v>0</v>
      </c>
      <c r="O74" s="230">
        <f>'Ethylene Recycling HC'!O82</f>
        <v>0</v>
      </c>
      <c r="P74" s="230">
        <f>'Ethylene Recycling HC'!P82</f>
        <v>0</v>
      </c>
      <c r="Q74" s="230">
        <f>'Ethylene Recycling HC'!Q82</f>
        <v>0</v>
      </c>
      <c r="R74" s="230">
        <f>'Ethylene Recycling HC'!R82</f>
        <v>0</v>
      </c>
      <c r="S74" s="230">
        <f>'Ethylene Recycling HC'!S82</f>
        <v>0</v>
      </c>
      <c r="T74" s="230">
        <f>'Ethylene Recycling HC'!T82</f>
        <v>0</v>
      </c>
      <c r="U74" s="230">
        <f>'Ethylene Recycling HC'!U82</f>
        <v>0</v>
      </c>
      <c r="V74" s="230">
        <f>'Ethylene Recycling HC'!V82</f>
        <v>0</v>
      </c>
      <c r="W74" s="230">
        <f>'Ethylene Recycling HC'!W82</f>
        <v>0</v>
      </c>
      <c r="X74" s="230">
        <f>'Ethylene Recycling HC'!X82</f>
        <v>0</v>
      </c>
      <c r="Y74" s="230">
        <f>'Ethylene Recycling HC'!Y82</f>
        <v>0</v>
      </c>
      <c r="Z74" s="230">
        <f>'Ethylene Recycling HC'!Z82</f>
        <v>0</v>
      </c>
      <c r="AA74" s="230">
        <f>'Ethylene Recycling HC'!AA82</f>
        <v>0</v>
      </c>
      <c r="AB74" s="230">
        <f>'Ethylene Recycling HC'!AB82</f>
        <v>0</v>
      </c>
      <c r="AC74" s="230">
        <f>'Ethylene Recycling HC'!AC82</f>
        <v>0</v>
      </c>
      <c r="AD74" s="230">
        <f>'Ethylene Recycling HC'!AD82</f>
        <v>0</v>
      </c>
      <c r="AE74" s="230">
        <f>'Ethylene Recycling HC'!AE82</f>
        <v>0</v>
      </c>
      <c r="AF74" s="230">
        <f>'Ethylene Recycling HC'!AF82</f>
        <v>0</v>
      </c>
      <c r="AG74" s="230">
        <f>'Ethylene Recycling HC'!AG82</f>
        <v>0</v>
      </c>
      <c r="AH74" s="245"/>
      <c r="AI74" s="133"/>
      <c r="AJ74" s="211"/>
      <c r="AL74" s="108"/>
      <c r="AM74" s="2"/>
      <c r="AN74" s="2"/>
      <c r="AO74" s="2"/>
      <c r="BC74" s="1"/>
      <c r="BD74" s="2"/>
      <c r="BE74" s="2"/>
      <c r="BF74" s="2"/>
      <c r="BG74" s="2"/>
      <c r="BH74" s="2"/>
      <c r="BI74" s="2"/>
      <c r="BJ74" s="2"/>
      <c r="BK74" s="2"/>
    </row>
    <row r="75" spans="1:63" outlineLevel="1">
      <c r="A75" s="4" t="s">
        <v>478</v>
      </c>
      <c r="C75" s="230">
        <f>'Ethylene Recycling HC'!C83</f>
        <v>0</v>
      </c>
      <c r="D75" s="230">
        <f>'Ethylene Recycling HC'!D83</f>
        <v>0</v>
      </c>
      <c r="E75" s="230">
        <f>'Ethylene Recycling HC'!E83</f>
        <v>0</v>
      </c>
      <c r="F75" s="230">
        <f>'Ethylene Recycling HC'!F83</f>
        <v>0</v>
      </c>
      <c r="G75" s="230">
        <f>'Ethylene Recycling HC'!G83</f>
        <v>0</v>
      </c>
      <c r="H75" s="230">
        <f>'Ethylene Recycling HC'!H83</f>
        <v>0</v>
      </c>
      <c r="I75" s="230">
        <f>'Ethylene Recycling HC'!I83</f>
        <v>0</v>
      </c>
      <c r="J75" s="230">
        <f>'Ethylene Recycling HC'!J83</f>
        <v>0</v>
      </c>
      <c r="K75" s="230">
        <f>'Ethylene Recycling HC'!K83</f>
        <v>0</v>
      </c>
      <c r="L75" s="230">
        <f>'Ethylene Recycling HC'!L83</f>
        <v>0</v>
      </c>
      <c r="M75" s="230">
        <f>'Ethylene Recycling HC'!M83</f>
        <v>0</v>
      </c>
      <c r="N75" s="230">
        <f>'Ethylene Recycling HC'!N83</f>
        <v>0</v>
      </c>
      <c r="O75" s="230">
        <f>'Ethylene Recycling HC'!O83</f>
        <v>0</v>
      </c>
      <c r="P75" s="230">
        <f>'Ethylene Recycling HC'!P83</f>
        <v>0</v>
      </c>
      <c r="Q75" s="230">
        <f>'Ethylene Recycling HC'!Q83</f>
        <v>0</v>
      </c>
      <c r="R75" s="230">
        <f>'Ethylene Recycling HC'!R83</f>
        <v>0</v>
      </c>
      <c r="S75" s="230">
        <f>'Ethylene Recycling HC'!S83</f>
        <v>0</v>
      </c>
      <c r="T75" s="230">
        <f>'Ethylene Recycling HC'!T83</f>
        <v>0</v>
      </c>
      <c r="U75" s="230">
        <f>'Ethylene Recycling HC'!U83</f>
        <v>0</v>
      </c>
      <c r="V75" s="230">
        <f>'Ethylene Recycling HC'!V83</f>
        <v>0</v>
      </c>
      <c r="W75" s="230">
        <f>'Ethylene Recycling HC'!W83</f>
        <v>0</v>
      </c>
      <c r="X75" s="230">
        <f>'Ethylene Recycling HC'!X83</f>
        <v>0</v>
      </c>
      <c r="Y75" s="230">
        <f>'Ethylene Recycling HC'!Y83</f>
        <v>0</v>
      </c>
      <c r="Z75" s="230">
        <f>'Ethylene Recycling HC'!Z83</f>
        <v>0</v>
      </c>
      <c r="AA75" s="230">
        <f>'Ethylene Recycling HC'!AA83</f>
        <v>0</v>
      </c>
      <c r="AB75" s="230">
        <f>'Ethylene Recycling HC'!AB83</f>
        <v>0</v>
      </c>
      <c r="AC75" s="230">
        <f>'Ethylene Recycling HC'!AC83</f>
        <v>0</v>
      </c>
      <c r="AD75" s="230">
        <f>'Ethylene Recycling HC'!AD83</f>
        <v>0</v>
      </c>
      <c r="AE75" s="230">
        <f>'Ethylene Recycling HC'!AE83</f>
        <v>0</v>
      </c>
      <c r="AF75" s="230">
        <f>'Ethylene Recycling HC'!AF83</f>
        <v>0</v>
      </c>
      <c r="AG75" s="230">
        <f>'Ethylene Recycling HC'!AG83</f>
        <v>0</v>
      </c>
      <c r="AH75" s="245"/>
      <c r="AI75" s="133"/>
      <c r="AJ75" s="211"/>
      <c r="AL75" s="108"/>
      <c r="AM75" s="2"/>
      <c r="AN75" s="2"/>
      <c r="AO75" s="2"/>
      <c r="BC75" s="1"/>
      <c r="BD75" s="2"/>
      <c r="BE75" s="2"/>
      <c r="BF75" s="2"/>
      <c r="BG75" s="2"/>
      <c r="BH75" s="2"/>
      <c r="BI75" s="2"/>
      <c r="BJ75" s="2"/>
      <c r="BK75" s="2"/>
    </row>
    <row r="76" spans="1:63" outlineLevel="1">
      <c r="A76" s="4" t="s">
        <v>480</v>
      </c>
      <c r="C76" s="230">
        <f>'Ethylene Recycling HC'!C84</f>
        <v>0</v>
      </c>
      <c r="D76" s="230">
        <f>'Ethylene Recycling HC'!D84</f>
        <v>0</v>
      </c>
      <c r="E76" s="230">
        <f>'Ethylene Recycling HC'!E84</f>
        <v>0</v>
      </c>
      <c r="F76" s="230">
        <f>'Ethylene Recycling HC'!F84</f>
        <v>0</v>
      </c>
      <c r="G76" s="230">
        <f>'Ethylene Recycling HC'!G84</f>
        <v>0</v>
      </c>
      <c r="H76" s="230">
        <f>'Ethylene Recycling HC'!H84</f>
        <v>0</v>
      </c>
      <c r="I76" s="230">
        <f>'Ethylene Recycling HC'!I84</f>
        <v>0</v>
      </c>
      <c r="J76" s="230">
        <f>'Ethylene Recycling HC'!J84</f>
        <v>0</v>
      </c>
      <c r="K76" s="230">
        <f>'Ethylene Recycling HC'!K84</f>
        <v>0</v>
      </c>
      <c r="L76" s="230">
        <f>'Ethylene Recycling HC'!L84</f>
        <v>0</v>
      </c>
      <c r="M76" s="230">
        <f>'Ethylene Recycling HC'!M84</f>
        <v>0</v>
      </c>
      <c r="N76" s="230">
        <f>'Ethylene Recycling HC'!N84</f>
        <v>0</v>
      </c>
      <c r="O76" s="230">
        <f>'Ethylene Recycling HC'!O84</f>
        <v>0</v>
      </c>
      <c r="P76" s="230">
        <f>'Ethylene Recycling HC'!P84</f>
        <v>0</v>
      </c>
      <c r="Q76" s="230">
        <f>'Ethylene Recycling HC'!Q84</f>
        <v>0</v>
      </c>
      <c r="R76" s="230">
        <f>'Ethylene Recycling HC'!R84</f>
        <v>0</v>
      </c>
      <c r="S76" s="230">
        <f>'Ethylene Recycling HC'!S84</f>
        <v>0</v>
      </c>
      <c r="T76" s="230">
        <f>'Ethylene Recycling HC'!T84</f>
        <v>0</v>
      </c>
      <c r="U76" s="230">
        <f>'Ethylene Recycling HC'!U84</f>
        <v>0</v>
      </c>
      <c r="V76" s="230">
        <f>'Ethylene Recycling HC'!V84</f>
        <v>0</v>
      </c>
      <c r="W76" s="230">
        <f>'Ethylene Recycling HC'!W84</f>
        <v>0</v>
      </c>
      <c r="X76" s="230">
        <f>'Ethylene Recycling HC'!X84</f>
        <v>0</v>
      </c>
      <c r="Y76" s="230">
        <f>'Ethylene Recycling HC'!Y84</f>
        <v>0</v>
      </c>
      <c r="Z76" s="230">
        <f>'Ethylene Recycling HC'!Z84</f>
        <v>0</v>
      </c>
      <c r="AA76" s="230">
        <f>'Ethylene Recycling HC'!AA84</f>
        <v>0</v>
      </c>
      <c r="AB76" s="230">
        <f>'Ethylene Recycling HC'!AB84</f>
        <v>0</v>
      </c>
      <c r="AC76" s="230">
        <f>'Ethylene Recycling HC'!AC84</f>
        <v>0</v>
      </c>
      <c r="AD76" s="230">
        <f>'Ethylene Recycling HC'!AD84</f>
        <v>0</v>
      </c>
      <c r="AE76" s="230">
        <f>'Ethylene Recycling HC'!AE84</f>
        <v>0</v>
      </c>
      <c r="AF76" s="230">
        <f>'Ethylene Recycling HC'!AF84</f>
        <v>0</v>
      </c>
      <c r="AG76" s="230">
        <f>'Ethylene Recycling HC'!AG84</f>
        <v>0</v>
      </c>
      <c r="AH76" s="245"/>
      <c r="AI76" s="133"/>
      <c r="AJ76" s="211"/>
      <c r="AL76" s="108"/>
      <c r="AM76" s="2"/>
      <c r="AN76" s="2"/>
      <c r="AO76" s="2"/>
      <c r="BC76" s="1"/>
      <c r="BD76" s="2"/>
      <c r="BE76" s="2"/>
      <c r="BF76" s="2"/>
      <c r="BG76" s="2"/>
      <c r="BH76" s="2"/>
      <c r="BI76" s="2"/>
      <c r="BJ76" s="2"/>
      <c r="BK76" s="2"/>
    </row>
    <row r="77" spans="1:63" outlineLevel="1">
      <c r="A77" s="4" t="s">
        <v>474</v>
      </c>
      <c r="C77" s="230">
        <f>'Ethylene Recycling HC'!C85</f>
        <v>1.205373589929996</v>
      </c>
      <c r="D77" s="230">
        <f>'Ethylene Recycling HC'!D85</f>
        <v>1.2619041709192769</v>
      </c>
      <c r="E77" s="230">
        <f>'Ethylene Recycling HC'!E85</f>
        <v>1.3156555225036823</v>
      </c>
      <c r="F77" s="230">
        <f>'Ethylene Recycling HC'!F85</f>
        <v>1.3661388546671391</v>
      </c>
      <c r="G77" s="230">
        <f>'Ethylene Recycling HC'!G85</f>
        <v>1.412884828340607</v>
      </c>
      <c r="H77" s="230">
        <f>'Ethylene Recycling HC'!H85</f>
        <v>1.4554504200615603</v>
      </c>
      <c r="I77" s="230">
        <f>'Ethylene Recycling HC'!I85</f>
        <v>1.4966475259312548</v>
      </c>
      <c r="J77" s="230">
        <f>'Ethylene Recycling HC'!J85</f>
        <v>1.5363365496040107</v>
      </c>
      <c r="K77" s="230">
        <f>'Ethylene Recycling HC'!K85</f>
        <v>1.574377388118634</v>
      </c>
      <c r="L77" s="230">
        <f>'Ethylene Recycling HC'!L85</f>
        <v>1.6106298351488424</v>
      </c>
      <c r="M77" s="230">
        <f>'Ethylene Recycling HC'!M85</f>
        <v>1.6449539960321427</v>
      </c>
      <c r="N77" s="230">
        <f>'Ethylene Recycling HC'!N85</f>
        <v>1.7296600786636502</v>
      </c>
      <c r="O77" s="230">
        <f>'Ethylene Recycling HC'!O85</f>
        <v>1.8085528222161285</v>
      </c>
      <c r="P77" s="230">
        <f>'Ethylene Recycling HC'!P85</f>
        <v>1.8810166901192227</v>
      </c>
      <c r="Q77" s="230">
        <f>'Ethylene Recycling HC'!Q85</f>
        <v>1.9464843103176621</v>
      </c>
      <c r="R77" s="230">
        <f>'Ethylene Recycling HC'!R85</f>
        <v>2.004443372107001</v>
      </c>
      <c r="S77" s="230">
        <f>'Ethylene Recycling HC'!S85</f>
        <v>2.0581443359391223</v>
      </c>
      <c r="T77" s="230">
        <f>'Ethylene Recycling HC'!T85</f>
        <v>2.1074569079096737</v>
      </c>
      <c r="U77" s="230">
        <f>'Ethylene Recycling HC'!U85</f>
        <v>2.152251832532019</v>
      </c>
      <c r="V77" s="230">
        <f>'Ethylene Recycling HC'!V85</f>
        <v>2.1924010102311566</v>
      </c>
      <c r="W77" s="230">
        <f>'Ethylene Recycling HC'!W85</f>
        <v>2.2277776154205586</v>
      </c>
      <c r="X77" s="230">
        <f>'Ethylene Recycling HC'!X85</f>
        <v>2.3064403200386874</v>
      </c>
      <c r="Y77" s="230">
        <f>'Ethylene Recycling HC'!Y85</f>
        <v>2.3778175400651413</v>
      </c>
      <c r="Z77" s="230">
        <f>'Ethylene Recycling HC'!Z85</f>
        <v>2.4417121847421641</v>
      </c>
      <c r="AA77" s="230">
        <f>'Ethylene Recycling HC'!AA85</f>
        <v>2.4979290650180355</v>
      </c>
      <c r="AB77" s="230">
        <f>'Ethylene Recycling HC'!AB85</f>
        <v>2.5462750600139996</v>
      </c>
      <c r="AC77" s="230">
        <f>'Ethylene Recycling HC'!AC85</f>
        <v>2.58658373788866</v>
      </c>
      <c r="AD77" s="230">
        <f>'Ethylene Recycling HC'!AD85</f>
        <v>2.6186675572049709</v>
      </c>
      <c r="AE77" s="230">
        <f>'Ethylene Recycling HC'!AE85</f>
        <v>2.6423410695914047</v>
      </c>
      <c r="AF77" s="230">
        <f>'Ethylene Recycling HC'!AF85</f>
        <v>2.6574210687417508</v>
      </c>
      <c r="AG77" s="230">
        <f>'Ethylene Recycling HC'!AG85</f>
        <v>2.6637267396038453</v>
      </c>
      <c r="AH77" s="245"/>
      <c r="AI77" s="133"/>
      <c r="AJ77" s="211"/>
      <c r="AL77" s="108"/>
      <c r="AM77" s="2"/>
      <c r="AN77" s="2"/>
      <c r="AO77" s="2"/>
      <c r="BC77" s="1"/>
      <c r="BD77" s="2"/>
      <c r="BE77" s="2"/>
      <c r="BF77" s="2"/>
      <c r="BG77" s="2"/>
      <c r="BH77" s="2"/>
      <c r="BI77" s="2"/>
      <c r="BJ77" s="2"/>
      <c r="BK77" s="2"/>
    </row>
    <row r="78" spans="1:63" outlineLevel="1">
      <c r="A78" s="4" t="s">
        <v>248</v>
      </c>
      <c r="C78" s="230">
        <f>'Ethylene Recycling HC'!C86</f>
        <v>0</v>
      </c>
      <c r="D78" s="230">
        <f>'Ethylene Recycling HC'!D86</f>
        <v>4.1889981238485144E-5</v>
      </c>
      <c r="E78" s="230">
        <f>'Ethylene Recycling HC'!E86</f>
        <v>8.7348606057526299E-5</v>
      </c>
      <c r="F78" s="230">
        <f>'Ethylene Recycling HC'!F86</f>
        <v>1.3605042041223156E-4</v>
      </c>
      <c r="G78" s="230">
        <f>'Ethylene Recycling HC'!G86</f>
        <v>1.8760764982086553E-4</v>
      </c>
      <c r="H78" s="230">
        <f>'Ethylene Recycling HC'!H86</f>
        <v>2.415745672094471E-4</v>
      </c>
      <c r="I78" s="230">
        <f>'Ethylene Recycling HC'!I86</f>
        <v>2.9809491826727314E-4</v>
      </c>
      <c r="J78" s="230">
        <f>'Ethylene Recycling HC'!J86</f>
        <v>3.5699998070708909E-4</v>
      </c>
      <c r="K78" s="230">
        <f>'Ethylene Recycling HC'!K86</f>
        <v>4.1810236162412144E-4</v>
      </c>
      <c r="L78" s="230">
        <f>'Ethylene Recycling HC'!L86</f>
        <v>4.811960338845798E-4</v>
      </c>
      <c r="M78" s="230">
        <f>'Ethylene Recycling HC'!M86</f>
        <v>5.4605645674156E-4</v>
      </c>
      <c r="N78" s="230">
        <f>'Ethylene Recycling HC'!N86</f>
        <v>6.3159289671365368E-4</v>
      </c>
      <c r="O78" s="230">
        <f>'Ethylene Recycling HC'!O86</f>
        <v>7.2043737270084023E-4</v>
      </c>
      <c r="P78" s="230">
        <f>'Ethylene Recycling HC'!P86</f>
        <v>8.1174531613808132E-4</v>
      </c>
      <c r="Q78" s="230">
        <f>'Ethylene Recycling HC'!Q86</f>
        <v>9.0461280949042776E-4</v>
      </c>
      <c r="R78" s="230">
        <f>'Ethylene Recycling HC'!R86</f>
        <v>9.980880147578905E-4</v>
      </c>
      <c r="S78" s="230">
        <f>'Ethylene Recycling HC'!S86</f>
        <v>1.0931496017581443E-3</v>
      </c>
      <c r="T78" s="230">
        <f>'Ethylene Recycling HC'!T86</f>
        <v>1.1892999882645529E-3</v>
      </c>
      <c r="U78" s="230">
        <f>'Ethylene Recycling HC'!U86</f>
        <v>1.2860249116638505E-3</v>
      </c>
      <c r="V78" s="230">
        <f>'Ethylene Recycling HC'!V86</f>
        <v>1.3827936754178339E-3</v>
      </c>
      <c r="W78" s="230">
        <f>'Ethylene Recycling HC'!W86</f>
        <v>1.479059419313926E-3</v>
      </c>
      <c r="X78" s="230">
        <f>'Ethylene Recycling HC'!X86</f>
        <v>1.6078491720478052E-3</v>
      </c>
      <c r="Y78" s="230">
        <f>'Ethylene Recycling HC'!Y86</f>
        <v>1.7365408226876452E-3</v>
      </c>
      <c r="Z78" s="230">
        <f>'Ethylene Recycling HC'!Z86</f>
        <v>1.8642583479890676E-3</v>
      </c>
      <c r="AA78" s="230">
        <f>'Ethylene Recycling HC'!AA86</f>
        <v>1.9901010694169264E-3</v>
      </c>
      <c r="AB78" s="230">
        <f>'Ethylene Recycling HC'!AB86</f>
        <v>2.1131441069393258E-3</v>
      </c>
      <c r="AC78" s="230">
        <f>'Ethylene Recycling HC'!AC86</f>
        <v>2.2324599723748E-3</v>
      </c>
      <c r="AD78" s="230">
        <f>'Ethylene Recycling HC'!AD86</f>
        <v>2.3470801578802315E-3</v>
      </c>
      <c r="AE78" s="230">
        <f>'Ethylene Recycling HC'!AE86</f>
        <v>2.4560131986935251E-3</v>
      </c>
      <c r="AF78" s="230">
        <f>'Ethylene Recycling HC'!AF86</f>
        <v>2.5582451639781234E-3</v>
      </c>
      <c r="AG78" s="230">
        <f>'Ethylene Recycling HC'!AG86</f>
        <v>2.6527401775327253E-3</v>
      </c>
      <c r="AH78" s="245"/>
      <c r="AI78" s="133"/>
      <c r="AJ78" s="211"/>
      <c r="AL78" s="108"/>
      <c r="AM78" s="2"/>
      <c r="AN78" s="2"/>
      <c r="AO78" s="2"/>
      <c r="BC78" s="1"/>
      <c r="BD78" s="2"/>
      <c r="BE78" s="2"/>
      <c r="BF78" s="2"/>
      <c r="BG78" s="2"/>
      <c r="BH78" s="2"/>
      <c r="BI78" s="2"/>
      <c r="BJ78" s="2"/>
      <c r="BK78" s="2"/>
    </row>
    <row r="79" spans="1:63" s="1" customFormat="1" outlineLevel="1">
      <c r="A79" s="1" t="s">
        <v>1327</v>
      </c>
      <c r="B79" s="65"/>
      <c r="C79" s="300">
        <f>'Ethylene Recycling HC'!C87</f>
        <v>1.4455793898150646</v>
      </c>
      <c r="D79" s="300">
        <f>'Ethylene Recycling HC'!D87</f>
        <v>1.5424355901390934</v>
      </c>
      <c r="E79" s="300">
        <f>'Ethylene Recycling HC'!E87</f>
        <v>1.6396207523114628</v>
      </c>
      <c r="F79" s="300">
        <f>'Ethylene Recycling HC'!F87</f>
        <v>1.7365332704173075</v>
      </c>
      <c r="G79" s="300">
        <f>'Ethylene Recycling HC'!G87</f>
        <v>1.832547733436795</v>
      </c>
      <c r="H79" s="300">
        <f>'Ethylene Recycling HC'!H87</f>
        <v>1.9270215383596825</v>
      </c>
      <c r="I79" s="300">
        <f>'Ethylene Recycling HC'!I87</f>
        <v>2.0236585490302996</v>
      </c>
      <c r="J79" s="300">
        <f>'Ethylene Recycling HC'!J87</f>
        <v>2.1224067593369167</v>
      </c>
      <c r="K79" s="300">
        <f>'Ethylene Recycling HC'!K87</f>
        <v>2.2232088329130253</v>
      </c>
      <c r="L79" s="300">
        <f>'Ethylene Recycling HC'!L87</f>
        <v>2.3260020808436814</v>
      </c>
      <c r="M79" s="300">
        <f>'Ethylene Recycling HC'!M87</f>
        <v>2.4307184536714717</v>
      </c>
      <c r="N79" s="300">
        <f>'Ethylene Recycling HC'!N87</f>
        <v>2.616629953733403</v>
      </c>
      <c r="O79" s="300">
        <f>'Ethylene Recycling HC'!O87</f>
        <v>2.8025847585905668</v>
      </c>
      <c r="P79" s="300">
        <f>'Ethylene Recycling HC'!P87</f>
        <v>2.9876084565030347</v>
      </c>
      <c r="Q79" s="300">
        <f>'Ethylene Recycling HC'!Q87</f>
        <v>3.1707053504711542</v>
      </c>
      <c r="R79" s="300">
        <f>'Ethylene Recycling HC'!R87</f>
        <v>3.3508671927935851</v>
      </c>
      <c r="S79" s="300">
        <f>'Ethylene Recycling HC'!S87</f>
        <v>3.5334369152665159</v>
      </c>
      <c r="T79" s="300">
        <f>'Ethylene Recycling HC'!T87</f>
        <v>3.7183848556332393</v>
      </c>
      <c r="U79" s="300">
        <f>'Ethylene Recycling HC'!U87</f>
        <v>3.9056798535323103</v>
      </c>
      <c r="V79" s="300">
        <f>'Ethylene Recycling HC'!V87</f>
        <v>4.0952892501592579</v>
      </c>
      <c r="W79" s="300">
        <f>'Ethylene Recycling HC'!W87</f>
        <v>4.287178888988719</v>
      </c>
      <c r="X79" s="300">
        <f>'Ethylene Recycling HC'!X87</f>
        <v>4.5769302846109099</v>
      </c>
      <c r="Y79" s="300">
        <f>'Ethylene Recycling HC'!Y87</f>
        <v>4.8704062878301864</v>
      </c>
      <c r="Z79" s="300">
        <f>'Ethylene Recycling HC'!Z87</f>
        <v>5.1675612874182901</v>
      </c>
      <c r="AA79" s="300">
        <f>'Ethylene Recycling HC'!AA87</f>
        <v>5.4683475607607051</v>
      </c>
      <c r="AB79" s="300">
        <f>'Ethylene Recycling HC'!AB87</f>
        <v>5.7727152752602162</v>
      </c>
      <c r="AC79" s="300">
        <f>'Ethylene Recycling HC'!AC87</f>
        <v>6.0806699786680003</v>
      </c>
      <c r="AD79" s="300">
        <f>'Ethylene Recycling HC'!AD87</f>
        <v>6.3921665411949853</v>
      </c>
      <c r="AE79" s="300">
        <f>'Ethylene Recycling HC'!AE87</f>
        <v>6.7071579474119503</v>
      </c>
      <c r="AF79" s="300">
        <f>'Ethylene Recycling HC'!AF87</f>
        <v>7.0255952985870325</v>
      </c>
      <c r="AG79" s="300">
        <f>'Ethylene Recycling HC'!AG87</f>
        <v>7.3474278161521234</v>
      </c>
      <c r="AH79" s="422"/>
      <c r="AI79" s="423"/>
      <c r="AJ79" s="424"/>
      <c r="AL79" s="221"/>
      <c r="AM79" s="124"/>
      <c r="AN79" s="124"/>
      <c r="AO79" s="124"/>
      <c r="BD79" s="124"/>
      <c r="BE79" s="124"/>
      <c r="BF79" s="124"/>
      <c r="BG79" s="124"/>
      <c r="BH79" s="124"/>
      <c r="BI79" s="124"/>
      <c r="BJ79" s="124"/>
      <c r="BK79" s="124"/>
    </row>
    <row r="80" spans="1:63" outlineLevel="1">
      <c r="A80" s="4" t="s">
        <v>258</v>
      </c>
      <c r="C80" s="230">
        <f>'Ethylene Recycling HC'!C88</f>
        <v>1.4455793898150646</v>
      </c>
      <c r="D80" s="230">
        <f>'Ethylene Recycling HC'!D88</f>
        <v>1.5424355901390934</v>
      </c>
      <c r="E80" s="230">
        <f>'Ethylene Recycling HC'!E88</f>
        <v>1.6396207523114628</v>
      </c>
      <c r="F80" s="230">
        <f>'Ethylene Recycling HC'!F88</f>
        <v>1.7365332704173075</v>
      </c>
      <c r="G80" s="230">
        <f>'Ethylene Recycling HC'!G88</f>
        <v>1.832547733436795</v>
      </c>
      <c r="H80" s="230">
        <f>'Ethylene Recycling HC'!H88</f>
        <v>1.9270215383596825</v>
      </c>
      <c r="I80" s="230">
        <f>'Ethylene Recycling HC'!I88</f>
        <v>2.0236585490302996</v>
      </c>
      <c r="J80" s="230">
        <f>'Ethylene Recycling HC'!J88</f>
        <v>2.1224067593369167</v>
      </c>
      <c r="K80" s="230">
        <f>'Ethylene Recycling HC'!K88</f>
        <v>2.2232088329130253</v>
      </c>
      <c r="L80" s="230">
        <f>'Ethylene Recycling HC'!L88</f>
        <v>2.3260020808436814</v>
      </c>
      <c r="M80" s="230">
        <f>'Ethylene Recycling HC'!M88</f>
        <v>2.4307184536714717</v>
      </c>
      <c r="N80" s="230">
        <f>'Ethylene Recycling HC'!N88</f>
        <v>2.616629953733403</v>
      </c>
      <c r="O80" s="230">
        <f>'Ethylene Recycling HC'!O88</f>
        <v>2.8025847585905668</v>
      </c>
      <c r="P80" s="230">
        <f>'Ethylene Recycling HC'!P88</f>
        <v>2.9876084565030347</v>
      </c>
      <c r="Q80" s="230">
        <f>'Ethylene Recycling HC'!Q88</f>
        <v>3.1707053504711542</v>
      </c>
      <c r="R80" s="230">
        <f>'Ethylene Recycling HC'!R88</f>
        <v>3.3508671927935851</v>
      </c>
      <c r="S80" s="230">
        <f>'Ethylene Recycling HC'!S88</f>
        <v>3.5334369152665159</v>
      </c>
      <c r="T80" s="230">
        <f>'Ethylene Recycling HC'!T88</f>
        <v>3.7183848556332393</v>
      </c>
      <c r="U80" s="230">
        <f>'Ethylene Recycling HC'!U88</f>
        <v>3.9056798535323103</v>
      </c>
      <c r="V80" s="230">
        <f>'Ethylene Recycling HC'!V88</f>
        <v>4.0952892501592579</v>
      </c>
      <c r="W80" s="230">
        <f>'Ethylene Recycling HC'!W88</f>
        <v>4.287178888988719</v>
      </c>
      <c r="X80" s="230">
        <f>'Ethylene Recycling HC'!X88</f>
        <v>4.5769302846109099</v>
      </c>
      <c r="Y80" s="230">
        <f>'Ethylene Recycling HC'!Y88</f>
        <v>4.8704062878301864</v>
      </c>
      <c r="Z80" s="230">
        <f>'Ethylene Recycling HC'!Z88</f>
        <v>5.1675612874182901</v>
      </c>
      <c r="AA80" s="230">
        <f>'Ethylene Recycling HC'!AA88</f>
        <v>5.4683475607607051</v>
      </c>
      <c r="AB80" s="230">
        <f>'Ethylene Recycling HC'!AB88</f>
        <v>5.7727152752602162</v>
      </c>
      <c r="AC80" s="230">
        <f>'Ethylene Recycling HC'!AC88</f>
        <v>6.0806699786680003</v>
      </c>
      <c r="AD80" s="230">
        <f>'Ethylene Recycling HC'!AD88</f>
        <v>6.3921665411949853</v>
      </c>
      <c r="AE80" s="230">
        <f>'Ethylene Recycling HC'!AE88</f>
        <v>6.7071579474119503</v>
      </c>
      <c r="AF80" s="230">
        <f>'Ethylene Recycling HC'!AF88</f>
        <v>7.0255952985870325</v>
      </c>
      <c r="AG80" s="230">
        <f>'Ethylene Recycling HC'!AG88</f>
        <v>7.3474278161521234</v>
      </c>
      <c r="AH80" s="245"/>
      <c r="AI80" s="133"/>
      <c r="AJ80" s="211"/>
      <c r="AL80" s="108"/>
      <c r="AM80" s="2"/>
      <c r="AN80" s="2"/>
      <c r="AO80" s="2"/>
      <c r="BC80" s="1"/>
      <c r="BD80" s="2"/>
      <c r="BE80" s="2"/>
      <c r="BF80" s="2"/>
      <c r="BG80" s="2"/>
      <c r="BH80" s="2"/>
      <c r="BI80" s="2"/>
      <c r="BJ80" s="2"/>
      <c r="BK80" s="2"/>
    </row>
    <row r="81" spans="1:63" outlineLevel="1">
      <c r="A81" s="4" t="s">
        <v>478</v>
      </c>
      <c r="C81" s="230">
        <f>'Ethylene Recycling HC'!C89</f>
        <v>0</v>
      </c>
      <c r="D81" s="230">
        <f>'Ethylene Recycling HC'!D89</f>
        <v>0</v>
      </c>
      <c r="E81" s="230">
        <f>'Ethylene Recycling HC'!E89</f>
        <v>0</v>
      </c>
      <c r="F81" s="230">
        <f>'Ethylene Recycling HC'!F89</f>
        <v>0</v>
      </c>
      <c r="G81" s="230">
        <f>'Ethylene Recycling HC'!G89</f>
        <v>0</v>
      </c>
      <c r="H81" s="230">
        <f>'Ethylene Recycling HC'!H89</f>
        <v>0</v>
      </c>
      <c r="I81" s="230">
        <f>'Ethylene Recycling HC'!I89</f>
        <v>0</v>
      </c>
      <c r="J81" s="230">
        <f>'Ethylene Recycling HC'!J89</f>
        <v>0</v>
      </c>
      <c r="K81" s="230">
        <f>'Ethylene Recycling HC'!K89</f>
        <v>0</v>
      </c>
      <c r="L81" s="230">
        <f>'Ethylene Recycling HC'!L89</f>
        <v>0</v>
      </c>
      <c r="M81" s="230">
        <f>'Ethylene Recycling HC'!M89</f>
        <v>0</v>
      </c>
      <c r="N81" s="230">
        <f>'Ethylene Recycling HC'!N89</f>
        <v>0</v>
      </c>
      <c r="O81" s="230">
        <f>'Ethylene Recycling HC'!O89</f>
        <v>0</v>
      </c>
      <c r="P81" s="230">
        <f>'Ethylene Recycling HC'!P89</f>
        <v>0</v>
      </c>
      <c r="Q81" s="230">
        <f>'Ethylene Recycling HC'!Q89</f>
        <v>0</v>
      </c>
      <c r="R81" s="230">
        <f>'Ethylene Recycling HC'!R89</f>
        <v>0</v>
      </c>
      <c r="S81" s="230">
        <f>'Ethylene Recycling HC'!S89</f>
        <v>0</v>
      </c>
      <c r="T81" s="230">
        <f>'Ethylene Recycling HC'!T89</f>
        <v>0</v>
      </c>
      <c r="U81" s="230">
        <f>'Ethylene Recycling HC'!U89</f>
        <v>0</v>
      </c>
      <c r="V81" s="230">
        <f>'Ethylene Recycling HC'!V89</f>
        <v>0</v>
      </c>
      <c r="W81" s="230">
        <f>'Ethylene Recycling HC'!W89</f>
        <v>0</v>
      </c>
      <c r="X81" s="230">
        <f>'Ethylene Recycling HC'!X89</f>
        <v>0</v>
      </c>
      <c r="Y81" s="230">
        <f>'Ethylene Recycling HC'!Y89</f>
        <v>0</v>
      </c>
      <c r="Z81" s="230">
        <f>'Ethylene Recycling HC'!Z89</f>
        <v>0</v>
      </c>
      <c r="AA81" s="230">
        <f>'Ethylene Recycling HC'!AA89</f>
        <v>0</v>
      </c>
      <c r="AB81" s="230">
        <f>'Ethylene Recycling HC'!AB89</f>
        <v>0</v>
      </c>
      <c r="AC81" s="230">
        <f>'Ethylene Recycling HC'!AC89</f>
        <v>0</v>
      </c>
      <c r="AD81" s="230">
        <f>'Ethylene Recycling HC'!AD89</f>
        <v>0</v>
      </c>
      <c r="AE81" s="230">
        <f>'Ethylene Recycling HC'!AE89</f>
        <v>0</v>
      </c>
      <c r="AF81" s="230">
        <f>'Ethylene Recycling HC'!AF89</f>
        <v>0</v>
      </c>
      <c r="AG81" s="230">
        <f>'Ethylene Recycling HC'!AG89</f>
        <v>0</v>
      </c>
      <c r="AH81" s="245"/>
      <c r="AI81" s="133"/>
      <c r="AJ81" s="211"/>
      <c r="AL81" s="108"/>
      <c r="AM81" s="2"/>
      <c r="AN81" s="2"/>
      <c r="AO81" s="2"/>
      <c r="BC81" s="1"/>
      <c r="BD81" s="2"/>
      <c r="BE81" s="2"/>
      <c r="BF81" s="2"/>
      <c r="BG81" s="2"/>
      <c r="BH81" s="2"/>
      <c r="BI81" s="2"/>
      <c r="BJ81" s="2"/>
      <c r="BK81" s="2"/>
    </row>
    <row r="82" spans="1:63" outlineLevel="1">
      <c r="A82" s="4" t="s">
        <v>480</v>
      </c>
      <c r="C82" s="230">
        <f>'Ethylene Recycling HC'!C90</f>
        <v>0</v>
      </c>
      <c r="D82" s="230">
        <f>'Ethylene Recycling HC'!D90</f>
        <v>0</v>
      </c>
      <c r="E82" s="230">
        <f>'Ethylene Recycling HC'!E90</f>
        <v>0</v>
      </c>
      <c r="F82" s="230">
        <f>'Ethylene Recycling HC'!F90</f>
        <v>0</v>
      </c>
      <c r="G82" s="230">
        <f>'Ethylene Recycling HC'!G90</f>
        <v>0</v>
      </c>
      <c r="H82" s="230">
        <f>'Ethylene Recycling HC'!H90</f>
        <v>0</v>
      </c>
      <c r="I82" s="230">
        <f>'Ethylene Recycling HC'!I90</f>
        <v>0</v>
      </c>
      <c r="J82" s="230">
        <f>'Ethylene Recycling HC'!J90</f>
        <v>0</v>
      </c>
      <c r="K82" s="230">
        <f>'Ethylene Recycling HC'!K90</f>
        <v>0</v>
      </c>
      <c r="L82" s="230">
        <f>'Ethylene Recycling HC'!L90</f>
        <v>0</v>
      </c>
      <c r="M82" s="230">
        <f>'Ethylene Recycling HC'!M90</f>
        <v>0</v>
      </c>
      <c r="N82" s="230">
        <f>'Ethylene Recycling HC'!N90</f>
        <v>0</v>
      </c>
      <c r="O82" s="230">
        <f>'Ethylene Recycling HC'!O90</f>
        <v>0</v>
      </c>
      <c r="P82" s="230">
        <f>'Ethylene Recycling HC'!P90</f>
        <v>0</v>
      </c>
      <c r="Q82" s="230">
        <f>'Ethylene Recycling HC'!Q90</f>
        <v>0</v>
      </c>
      <c r="R82" s="230">
        <f>'Ethylene Recycling HC'!R90</f>
        <v>0</v>
      </c>
      <c r="S82" s="230">
        <f>'Ethylene Recycling HC'!S90</f>
        <v>0</v>
      </c>
      <c r="T82" s="230">
        <f>'Ethylene Recycling HC'!T90</f>
        <v>0</v>
      </c>
      <c r="U82" s="230">
        <f>'Ethylene Recycling HC'!U90</f>
        <v>0</v>
      </c>
      <c r="V82" s="230">
        <f>'Ethylene Recycling HC'!V90</f>
        <v>0</v>
      </c>
      <c r="W82" s="230">
        <f>'Ethylene Recycling HC'!W90</f>
        <v>0</v>
      </c>
      <c r="X82" s="230">
        <f>'Ethylene Recycling HC'!X90</f>
        <v>0</v>
      </c>
      <c r="Y82" s="230">
        <f>'Ethylene Recycling HC'!Y90</f>
        <v>0</v>
      </c>
      <c r="Z82" s="230">
        <f>'Ethylene Recycling HC'!Z90</f>
        <v>0</v>
      </c>
      <c r="AA82" s="230">
        <f>'Ethylene Recycling HC'!AA90</f>
        <v>0</v>
      </c>
      <c r="AB82" s="230">
        <f>'Ethylene Recycling HC'!AB90</f>
        <v>0</v>
      </c>
      <c r="AC82" s="230">
        <f>'Ethylene Recycling HC'!AC90</f>
        <v>0</v>
      </c>
      <c r="AD82" s="230">
        <f>'Ethylene Recycling HC'!AD90</f>
        <v>0</v>
      </c>
      <c r="AE82" s="230">
        <f>'Ethylene Recycling HC'!AE90</f>
        <v>0</v>
      </c>
      <c r="AF82" s="230">
        <f>'Ethylene Recycling HC'!AF90</f>
        <v>0</v>
      </c>
      <c r="AG82" s="230">
        <f>'Ethylene Recycling HC'!AG90</f>
        <v>0</v>
      </c>
      <c r="AH82" s="245"/>
      <c r="AI82" s="133"/>
      <c r="AJ82" s="211"/>
      <c r="AL82" s="108"/>
      <c r="AM82" s="2"/>
      <c r="AN82" s="2"/>
      <c r="AO82" s="2"/>
      <c r="BC82" s="1"/>
      <c r="BD82" s="2"/>
      <c r="BE82" s="2"/>
      <c r="BF82" s="2"/>
      <c r="BG82" s="2"/>
      <c r="BH82" s="2"/>
      <c r="BI82" s="2"/>
      <c r="BJ82" s="2"/>
      <c r="BK82" s="2"/>
    </row>
    <row r="83" spans="1:63" outlineLevel="1">
      <c r="A83" s="4" t="s">
        <v>474</v>
      </c>
      <c r="C83" s="230">
        <f>'Ethylene Recycling HC'!C91</f>
        <v>0</v>
      </c>
      <c r="D83" s="230">
        <f>'Ethylene Recycling HC'!D91</f>
        <v>0</v>
      </c>
      <c r="E83" s="230">
        <f>'Ethylene Recycling HC'!E91</f>
        <v>0</v>
      </c>
      <c r="F83" s="230">
        <f>'Ethylene Recycling HC'!F91</f>
        <v>0</v>
      </c>
      <c r="G83" s="230">
        <f>'Ethylene Recycling HC'!G91</f>
        <v>0</v>
      </c>
      <c r="H83" s="230">
        <f>'Ethylene Recycling HC'!H91</f>
        <v>0</v>
      </c>
      <c r="I83" s="230">
        <f>'Ethylene Recycling HC'!I91</f>
        <v>0</v>
      </c>
      <c r="J83" s="230">
        <f>'Ethylene Recycling HC'!J91</f>
        <v>0</v>
      </c>
      <c r="K83" s="230">
        <f>'Ethylene Recycling HC'!K91</f>
        <v>0</v>
      </c>
      <c r="L83" s="230">
        <f>'Ethylene Recycling HC'!L91</f>
        <v>0</v>
      </c>
      <c r="M83" s="230">
        <f>'Ethylene Recycling HC'!M91</f>
        <v>0</v>
      </c>
      <c r="N83" s="230">
        <f>'Ethylene Recycling HC'!N91</f>
        <v>0</v>
      </c>
      <c r="O83" s="230">
        <f>'Ethylene Recycling HC'!O91</f>
        <v>0</v>
      </c>
      <c r="P83" s="230">
        <f>'Ethylene Recycling HC'!P91</f>
        <v>0</v>
      </c>
      <c r="Q83" s="230">
        <f>'Ethylene Recycling HC'!Q91</f>
        <v>0</v>
      </c>
      <c r="R83" s="230">
        <f>'Ethylene Recycling HC'!R91</f>
        <v>0</v>
      </c>
      <c r="S83" s="230">
        <f>'Ethylene Recycling HC'!S91</f>
        <v>0</v>
      </c>
      <c r="T83" s="230">
        <f>'Ethylene Recycling HC'!T91</f>
        <v>0</v>
      </c>
      <c r="U83" s="230">
        <f>'Ethylene Recycling HC'!U91</f>
        <v>0</v>
      </c>
      <c r="V83" s="230">
        <f>'Ethylene Recycling HC'!V91</f>
        <v>0</v>
      </c>
      <c r="W83" s="230">
        <f>'Ethylene Recycling HC'!W91</f>
        <v>0</v>
      </c>
      <c r="X83" s="230">
        <f>'Ethylene Recycling HC'!X91</f>
        <v>0</v>
      </c>
      <c r="Y83" s="230">
        <f>'Ethylene Recycling HC'!Y91</f>
        <v>0</v>
      </c>
      <c r="Z83" s="230">
        <f>'Ethylene Recycling HC'!Z91</f>
        <v>0</v>
      </c>
      <c r="AA83" s="230">
        <f>'Ethylene Recycling HC'!AA91</f>
        <v>0</v>
      </c>
      <c r="AB83" s="230">
        <f>'Ethylene Recycling HC'!AB91</f>
        <v>0</v>
      </c>
      <c r="AC83" s="230">
        <f>'Ethylene Recycling HC'!AC91</f>
        <v>0</v>
      </c>
      <c r="AD83" s="230">
        <f>'Ethylene Recycling HC'!AD91</f>
        <v>0</v>
      </c>
      <c r="AE83" s="230">
        <f>'Ethylene Recycling HC'!AE91</f>
        <v>0</v>
      </c>
      <c r="AF83" s="230">
        <f>'Ethylene Recycling HC'!AF91</f>
        <v>0</v>
      </c>
      <c r="AG83" s="230">
        <f>'Ethylene Recycling HC'!AG91</f>
        <v>0</v>
      </c>
      <c r="AH83" s="245"/>
      <c r="AI83" s="133"/>
      <c r="AJ83" s="211"/>
      <c r="AL83" s="108"/>
      <c r="AM83" s="2"/>
      <c r="AN83" s="2"/>
      <c r="AO83" s="2"/>
      <c r="BC83" s="1"/>
      <c r="BD83" s="2"/>
      <c r="BE83" s="2"/>
      <c r="BF83" s="2"/>
      <c r="BG83" s="2"/>
      <c r="BH83" s="2"/>
      <c r="BI83" s="2"/>
      <c r="BJ83" s="2"/>
      <c r="BK83" s="2"/>
    </row>
    <row r="84" spans="1:63" outlineLevel="1">
      <c r="A84" s="4" t="s">
        <v>248</v>
      </c>
      <c r="C84" s="230">
        <f>'Ethylene Recycling HC'!C92</f>
        <v>0</v>
      </c>
      <c r="D84" s="230">
        <f>'Ethylene Recycling HC'!D92</f>
        <v>0</v>
      </c>
      <c r="E84" s="230">
        <f>'Ethylene Recycling HC'!E92</f>
        <v>0</v>
      </c>
      <c r="F84" s="230">
        <f>'Ethylene Recycling HC'!F92</f>
        <v>0</v>
      </c>
      <c r="G84" s="230">
        <f>'Ethylene Recycling HC'!G92</f>
        <v>0</v>
      </c>
      <c r="H84" s="230">
        <f>'Ethylene Recycling HC'!H92</f>
        <v>0</v>
      </c>
      <c r="I84" s="230">
        <f>'Ethylene Recycling HC'!I92</f>
        <v>0</v>
      </c>
      <c r="J84" s="230">
        <f>'Ethylene Recycling HC'!J92</f>
        <v>0</v>
      </c>
      <c r="K84" s="230">
        <f>'Ethylene Recycling HC'!K92</f>
        <v>0</v>
      </c>
      <c r="L84" s="230">
        <f>'Ethylene Recycling HC'!L92</f>
        <v>0</v>
      </c>
      <c r="M84" s="230">
        <f>'Ethylene Recycling HC'!M92</f>
        <v>0</v>
      </c>
      <c r="N84" s="230">
        <f>'Ethylene Recycling HC'!N92</f>
        <v>0</v>
      </c>
      <c r="O84" s="230">
        <f>'Ethylene Recycling HC'!O92</f>
        <v>0</v>
      </c>
      <c r="P84" s="230">
        <f>'Ethylene Recycling HC'!P92</f>
        <v>0</v>
      </c>
      <c r="Q84" s="230">
        <f>'Ethylene Recycling HC'!Q92</f>
        <v>0</v>
      </c>
      <c r="R84" s="230">
        <f>'Ethylene Recycling HC'!R92</f>
        <v>0</v>
      </c>
      <c r="S84" s="230">
        <f>'Ethylene Recycling HC'!S92</f>
        <v>0</v>
      </c>
      <c r="T84" s="230">
        <f>'Ethylene Recycling HC'!T92</f>
        <v>0</v>
      </c>
      <c r="U84" s="230">
        <f>'Ethylene Recycling HC'!U92</f>
        <v>0</v>
      </c>
      <c r="V84" s="230">
        <f>'Ethylene Recycling HC'!V92</f>
        <v>0</v>
      </c>
      <c r="W84" s="230">
        <f>'Ethylene Recycling HC'!W92</f>
        <v>0</v>
      </c>
      <c r="X84" s="230">
        <f>'Ethylene Recycling HC'!X92</f>
        <v>0</v>
      </c>
      <c r="Y84" s="230">
        <f>'Ethylene Recycling HC'!Y92</f>
        <v>0</v>
      </c>
      <c r="Z84" s="230">
        <f>'Ethylene Recycling HC'!Z92</f>
        <v>0</v>
      </c>
      <c r="AA84" s="230">
        <f>'Ethylene Recycling HC'!AA92</f>
        <v>0</v>
      </c>
      <c r="AB84" s="230">
        <f>'Ethylene Recycling HC'!AB92</f>
        <v>0</v>
      </c>
      <c r="AC84" s="230">
        <f>'Ethylene Recycling HC'!AC92</f>
        <v>0</v>
      </c>
      <c r="AD84" s="230">
        <f>'Ethylene Recycling HC'!AD92</f>
        <v>0</v>
      </c>
      <c r="AE84" s="230">
        <f>'Ethylene Recycling HC'!AE92</f>
        <v>0</v>
      </c>
      <c r="AF84" s="230">
        <f>'Ethylene Recycling HC'!AF92</f>
        <v>0</v>
      </c>
      <c r="AG84" s="230">
        <f>'Ethylene Recycling HC'!AG92</f>
        <v>0</v>
      </c>
      <c r="AH84" s="245"/>
      <c r="AI84" s="133"/>
      <c r="AJ84" s="211"/>
      <c r="AL84" s="108"/>
      <c r="AM84" s="2"/>
      <c r="AN84" s="2"/>
      <c r="AO84" s="2"/>
      <c r="BC84" s="1"/>
      <c r="BD84" s="2"/>
      <c r="BE84" s="2"/>
      <c r="BF84" s="2"/>
      <c r="BG84" s="2"/>
      <c r="BH84" s="2"/>
      <c r="BI84" s="2"/>
      <c r="BJ84" s="2"/>
      <c r="BK84" s="2"/>
    </row>
    <row r="85" spans="1:63" s="1" customFormat="1" outlineLevel="1">
      <c r="A85" s="1" t="s">
        <v>1328</v>
      </c>
      <c r="B85" s="65"/>
      <c r="C85" s="300">
        <f>'Ethylene Recycling HC'!C93</f>
        <v>6.6928339575582632</v>
      </c>
      <c r="D85" s="300">
        <f>'Ethylene Recycling HC'!D93</f>
        <v>7.1654962924406895</v>
      </c>
      <c r="E85" s="300">
        <f>'Ethylene Recycling HC'!E93</f>
        <v>7.6427352045400223</v>
      </c>
      <c r="F85" s="300">
        <f>'Ethylene Recycling HC'!F93</f>
        <v>8.1217524915349486</v>
      </c>
      <c r="G85" s="300">
        <f>'Ethylene Recycling HC'!G93</f>
        <v>8.5996004362802854</v>
      </c>
      <c r="H85" s="300">
        <f>'Ethylene Recycling HC'!H93</f>
        <v>9.0732110742006125</v>
      </c>
      <c r="I85" s="300">
        <f>'Ethylene Recycling HC'!I93</f>
        <v>9.5600092983854079</v>
      </c>
      <c r="J85" s="300">
        <f>'Ethylene Recycling HC'!J93</f>
        <v>10.059850559551908</v>
      </c>
      <c r="K85" s="300">
        <f>'Ethylene Recycling HC'!K93</f>
        <v>10.572561692136667</v>
      </c>
      <c r="L85" s="300">
        <f>'Ethylene Recycling HC'!L93</f>
        <v>11.097940389239334</v>
      </c>
      <c r="M85" s="300">
        <f>'Ethylene Recycling HC'!M93</f>
        <v>11.635754743916811</v>
      </c>
      <c r="N85" s="300">
        <f>'Ethylene Recycling HC'!N93</f>
        <v>12.566812737128876</v>
      </c>
      <c r="O85" s="300">
        <f>'Ethylene Recycling HC'!O93</f>
        <v>13.503920673692935</v>
      </c>
      <c r="P85" s="300">
        <f>'Ethylene Recycling HC'!P93</f>
        <v>14.442370199832762</v>
      </c>
      <c r="Q85" s="300">
        <f>'Ethylene Recycling HC'!Q93</f>
        <v>15.377288501050693</v>
      </c>
      <c r="R85" s="300">
        <f>'Ethylene Recycling HC'!R93</f>
        <v>16.303679128269064</v>
      </c>
      <c r="S85" s="300">
        <f>'Ethylene Recycling HC'!S93</f>
        <v>17.247483780619682</v>
      </c>
      <c r="T85" s="300">
        <f>'Ethylene Recycling HC'!T93</f>
        <v>18.208670686428583</v>
      </c>
      <c r="U85" s="300">
        <f>'Ethylene Recycling HC'!U93</f>
        <v>19.187198850413971</v>
      </c>
      <c r="V85" s="300">
        <f>'Ethylene Recycling HC'!V93</f>
        <v>20.18301793434399</v>
      </c>
      <c r="W85" s="300">
        <f>'Ethylene Recycling HC'!W93</f>
        <v>21.1960681429054</v>
      </c>
      <c r="X85" s="300">
        <f>'Ethylene Recycling HC'!X93</f>
        <v>22.700519223612623</v>
      </c>
      <c r="Y85" s="300">
        <f>'Ethylene Recycling HC'!Y93</f>
        <v>24.232605915678686</v>
      </c>
      <c r="Z85" s="300">
        <f>'Ethylene Recycling HC'!Z93</f>
        <v>25.792276103937539</v>
      </c>
      <c r="AA85" s="300">
        <f>'Ethylene Recycling HC'!AA93</f>
        <v>27.379464235542645</v>
      </c>
      <c r="AB85" s="300">
        <f>'Ethylene Recycling HC'!AB93</f>
        <v>28.994091161168729</v>
      </c>
      <c r="AC85" s="300">
        <f>'Ethylene Recycling HC'!AC93</f>
        <v>30.636353623887754</v>
      </c>
      <c r="AD85" s="300">
        <f>'Ethylene Recycling HC'!AD93</f>
        <v>32.306192589650742</v>
      </c>
      <c r="AE85" s="300">
        <f>'Ethylene Recycling HC'!AE93</f>
        <v>34.003536628777027</v>
      </c>
      <c r="AF85" s="300">
        <f>'Ethylene Recycling HC'!AF93</f>
        <v>35.728301779725953</v>
      </c>
      <c r="AG85" s="300">
        <f>'Ethylene Recycling HC'!AG93</f>
        <v>37.480391418847439</v>
      </c>
      <c r="AH85" s="422"/>
      <c r="AI85" s="423"/>
      <c r="AJ85" s="424"/>
      <c r="AL85" s="221"/>
      <c r="AM85" s="124"/>
      <c r="AN85" s="124"/>
      <c r="AO85" s="124"/>
      <c r="BD85" s="124"/>
      <c r="BE85" s="124"/>
      <c r="BF85" s="124"/>
      <c r="BG85" s="124"/>
      <c r="BH85" s="124"/>
      <c r="BI85" s="124"/>
      <c r="BJ85" s="124"/>
      <c r="BK85" s="124"/>
    </row>
    <row r="86" spans="1:63" outlineLevel="1">
      <c r="A86" s="4" t="s">
        <v>258</v>
      </c>
      <c r="C86" s="230">
        <f>'Ethylene Recycling HC'!C94</f>
        <v>6.6928339575582632</v>
      </c>
      <c r="D86" s="230">
        <f>'Ethylene Recycling HC'!D94</f>
        <v>7.0818988356955481</v>
      </c>
      <c r="E86" s="230">
        <f>'Ethylene Recycling HC'!E94</f>
        <v>7.4644047164340881</v>
      </c>
      <c r="F86" s="230">
        <f>'Ethylene Recycling HC'!F94</f>
        <v>7.8374911543312242</v>
      </c>
      <c r="G86" s="230">
        <f>'Ethylene Recycling HC'!G94</f>
        <v>8.1982857492538699</v>
      </c>
      <c r="H86" s="230">
        <f>'Ethylene Recycling HC'!H94</f>
        <v>8.5439404282055751</v>
      </c>
      <c r="I86" s="230">
        <f>'Ethylene Recycling HC'!I94</f>
        <v>8.8908086474984263</v>
      </c>
      <c r="J86" s="230">
        <f>'Ethylene Recycling HC'!J94</f>
        <v>9.2382960971884991</v>
      </c>
      <c r="K86" s="230">
        <f>'Ethylene Recycling HC'!K94</f>
        <v>9.5857892675372405</v>
      </c>
      <c r="L86" s="230">
        <f>'Ethylene Recycling HC'!L94</f>
        <v>9.932656648369198</v>
      </c>
      <c r="M86" s="230">
        <f>'Ethylene Recycling HC'!M94</f>
        <v>10.278250023793177</v>
      </c>
      <c r="N86" s="230">
        <f>'Ethylene Recycling HC'!N94</f>
        <v>10.954071769197331</v>
      </c>
      <c r="O86" s="230">
        <f>'Ethylene Recycling HC'!O94</f>
        <v>11.613371779375916</v>
      </c>
      <c r="P86" s="230">
        <f>'Ethylene Recycling HC'!P94</f>
        <v>12.251944052858118</v>
      </c>
      <c r="Q86" s="230">
        <f>'Ethylene Recycling HC'!Q94</f>
        <v>12.865664712545735</v>
      </c>
      <c r="R86" s="230">
        <f>'Ethylene Recycling HC'!R94</f>
        <v>13.450535280821965</v>
      </c>
      <c r="S86" s="230">
        <f>'Ethylene Recycling HC'!S94</f>
        <v>14.027953474903995</v>
      </c>
      <c r="T86" s="230">
        <f>'Ethylene Recycling HC'!T94</f>
        <v>14.597284333620232</v>
      </c>
      <c r="U86" s="230">
        <f>'Ethylene Recycling HC'!U94</f>
        <v>15.157887091827021</v>
      </c>
      <c r="V86" s="230">
        <f>'Ethylene Recycling HC'!V94</f>
        <v>15.709115625564387</v>
      </c>
      <c r="W86" s="230">
        <f>'Ethylene Recycling HC'!W94</f>
        <v>16.250318909560786</v>
      </c>
      <c r="X86" s="230">
        <f>'Ethylene Recycling HC'!X94</f>
        <v>17.138892013827508</v>
      </c>
      <c r="Y86" s="230">
        <f>'Ethylene Recycling HC'!Y94</f>
        <v>18.012903730654465</v>
      </c>
      <c r="Z86" s="230">
        <f>'Ethylene Recycling HC'!Z94</f>
        <v>18.87134868271427</v>
      </c>
      <c r="AA86" s="230">
        <f>'Ethylene Recycling HC'!AA94</f>
        <v>19.713214249590674</v>
      </c>
      <c r="AB86" s="230">
        <f>'Ethylene Recycling HC'!AB94</f>
        <v>20.537481239161149</v>
      </c>
      <c r="AC86" s="230">
        <f>'Ethylene Recycling HC'!AC94</f>
        <v>21.343326357975098</v>
      </c>
      <c r="AD86" s="230">
        <f>'Ethylene Recycling HC'!AD94</f>
        <v>22.129741923910718</v>
      </c>
      <c r="AE86" s="230">
        <f>'Ethylene Recycling HC'!AE94</f>
        <v>22.895714663376488</v>
      </c>
      <c r="AF86" s="230">
        <f>'Ethylene Recycling HC'!AF94</f>
        <v>23.640226344251957</v>
      </c>
      <c r="AG86" s="230">
        <f>'Ethylene Recycling HC'!AG94</f>
        <v>24.362254422250835</v>
      </c>
      <c r="AH86" s="245"/>
      <c r="AI86" s="133"/>
      <c r="AJ86" s="211"/>
      <c r="AL86" s="108"/>
      <c r="AM86" s="2"/>
      <c r="AN86" s="2"/>
      <c r="AO86" s="2"/>
      <c r="BC86" s="1"/>
      <c r="BD86" s="2"/>
      <c r="BE86" s="2"/>
      <c r="BF86" s="2"/>
      <c r="BG86" s="2"/>
      <c r="BH86" s="2"/>
      <c r="BI86" s="2"/>
      <c r="BJ86" s="2"/>
      <c r="BK86" s="2"/>
    </row>
    <row r="87" spans="1:63" outlineLevel="1">
      <c r="A87" s="4" t="s">
        <v>478</v>
      </c>
      <c r="C87" s="230">
        <f>'Ethylene Recycling HC'!C95</f>
        <v>0</v>
      </c>
      <c r="D87" s="230">
        <f>'Ethylene Recycling HC'!D95</f>
        <v>2.3884987641468968E-2</v>
      </c>
      <c r="E87" s="230">
        <f>'Ethylene Recycling HC'!E95</f>
        <v>5.0951568030266819E-2</v>
      </c>
      <c r="F87" s="230">
        <f>'Ethylene Recycling HC'!F95</f>
        <v>8.121752491534949E-2</v>
      </c>
      <c r="G87" s="230">
        <f>'Ethylene Recycling HC'!G95</f>
        <v>0.11466133915040382</v>
      </c>
      <c r="H87" s="230">
        <f>'Ethylene Recycling HC'!H95</f>
        <v>0.15122018457001021</v>
      </c>
      <c r="I87" s="230">
        <f>'Ethylene Recycling HC'!I95</f>
        <v>0.19120018596770816</v>
      </c>
      <c r="J87" s="230">
        <f>'Ethylene Recycling HC'!J95</f>
        <v>0.23472984638954453</v>
      </c>
      <c r="K87" s="230">
        <f>'Ethylene Recycling HC'!K95</f>
        <v>0.28193497845697779</v>
      </c>
      <c r="L87" s="230">
        <f>'Ethylene Recycling HC'!L95</f>
        <v>0.33293821167718002</v>
      </c>
      <c r="M87" s="230">
        <f>'Ethylene Recycling HC'!M95</f>
        <v>0.38785849146389373</v>
      </c>
      <c r="N87" s="230">
        <f>'Ethylene Recycling HC'!N95</f>
        <v>0.46078313369472546</v>
      </c>
      <c r="O87" s="230">
        <f>'Ethylene Recycling HC'!O95</f>
        <v>0.54015682694771738</v>
      </c>
      <c r="P87" s="230">
        <f>'Ethylene Recycling HC'!P95</f>
        <v>0.625836041992753</v>
      </c>
      <c r="Q87" s="230">
        <f>'Ethylene Recycling HC'!Q95</f>
        <v>0.71760679671569905</v>
      </c>
      <c r="R87" s="230">
        <f>'Ethylene Recycling HC'!R95</f>
        <v>0.8151839564134532</v>
      </c>
      <c r="S87" s="230">
        <f>'Ethylene Recycling HC'!S95</f>
        <v>0.91986580163304976</v>
      </c>
      <c r="T87" s="230">
        <f>'Ethylene Recycling HC'!T95</f>
        <v>1.0318246722309532</v>
      </c>
      <c r="U87" s="230">
        <f>'Ethylene Recycling HC'!U95</f>
        <v>1.1512319310248382</v>
      </c>
      <c r="V87" s="230">
        <f>'Ethylene Recycling HC'!V95</f>
        <v>1.2782578025084528</v>
      </c>
      <c r="W87" s="230">
        <f>'Ethylene Recycling HC'!W95</f>
        <v>1.4130712095270266</v>
      </c>
      <c r="X87" s="230">
        <f>'Ethylene Recycling HC'!X95</f>
        <v>1.5890363456528835</v>
      </c>
      <c r="Y87" s="230">
        <f>'Ethylene Recycling HC'!Y95</f>
        <v>1.77705776714977</v>
      </c>
      <c r="Z87" s="230">
        <f>'Ethylene Recycling HC'!Z95</f>
        <v>1.9774078346352109</v>
      </c>
      <c r="AA87" s="230">
        <f>'Ethylene Recycling HC'!AA95</f>
        <v>2.1903571388434111</v>
      </c>
      <c r="AB87" s="230">
        <f>'Ethylene Recycling HC'!AB95</f>
        <v>2.4161742634307264</v>
      </c>
      <c r="AC87" s="230">
        <f>'Ethylene Recycling HC'!AC95</f>
        <v>2.655150647403604</v>
      </c>
      <c r="AD87" s="230">
        <f>'Ethylene Recycling HC'!AD95</f>
        <v>2.9075573330685653</v>
      </c>
      <c r="AE87" s="230">
        <f>'Ethylene Recycling HC'!AE95</f>
        <v>3.1736634186858543</v>
      </c>
      <c r="AF87" s="230">
        <f>'Ethylene Recycling HC'!AF95</f>
        <v>3.45373583870684</v>
      </c>
      <c r="AG87" s="230">
        <f>'Ethylene Recycling HC'!AG95</f>
        <v>3.7480391418847443</v>
      </c>
      <c r="AH87" s="245"/>
      <c r="AI87" s="133"/>
      <c r="AJ87" s="211"/>
      <c r="AL87" s="108"/>
      <c r="AM87" s="2"/>
      <c r="AN87" s="2"/>
      <c r="AO87" s="2"/>
      <c r="BC87" s="1"/>
      <c r="BD87" s="2"/>
      <c r="BE87" s="2"/>
      <c r="BF87" s="2"/>
      <c r="BG87" s="2"/>
      <c r="BH87" s="2"/>
      <c r="BI87" s="2"/>
      <c r="BJ87" s="2"/>
      <c r="BK87" s="2"/>
    </row>
    <row r="88" spans="1:63" outlineLevel="1">
      <c r="A88" s="4" t="s">
        <v>480</v>
      </c>
      <c r="C88" s="230">
        <f>'Ethylene Recycling HC'!C96</f>
        <v>0</v>
      </c>
      <c r="D88" s="230">
        <f>'Ethylene Recycling HC'!D96</f>
        <v>3.582748146220345E-2</v>
      </c>
      <c r="E88" s="230">
        <f>'Ethylene Recycling HC'!E96</f>
        <v>7.6427352045400229E-2</v>
      </c>
      <c r="F88" s="230">
        <f>'Ethylene Recycling HC'!F96</f>
        <v>0.12182628737302423</v>
      </c>
      <c r="G88" s="230">
        <f>'Ethylene Recycling HC'!G96</f>
        <v>0.17199200872560572</v>
      </c>
      <c r="H88" s="230">
        <f>'Ethylene Recycling HC'!H96</f>
        <v>0.22683027685501533</v>
      </c>
      <c r="I88" s="230">
        <f>'Ethylene Recycling HC'!I96</f>
        <v>0.28680027895156224</v>
      </c>
      <c r="J88" s="230">
        <f>'Ethylene Recycling HC'!J96</f>
        <v>0.35209476958431679</v>
      </c>
      <c r="K88" s="230">
        <f>'Ethylene Recycling HC'!K96</f>
        <v>0.42290246768546669</v>
      </c>
      <c r="L88" s="230">
        <f>'Ethylene Recycling HC'!L96</f>
        <v>0.49940731751577</v>
      </c>
      <c r="M88" s="230">
        <f>'Ethylene Recycling HC'!M96</f>
        <v>0.58178773719584054</v>
      </c>
      <c r="N88" s="230">
        <f>'Ethylene Recycling HC'!N96</f>
        <v>0.69117470054208807</v>
      </c>
      <c r="O88" s="230">
        <f>'Ethylene Recycling HC'!O96</f>
        <v>0.81023524042157602</v>
      </c>
      <c r="P88" s="230">
        <f>'Ethylene Recycling HC'!P96</f>
        <v>0.93875406298912933</v>
      </c>
      <c r="Q88" s="230">
        <f>'Ethylene Recycling HC'!Q96</f>
        <v>1.0764101950735483</v>
      </c>
      <c r="R88" s="230">
        <f>'Ethylene Recycling HC'!R96</f>
        <v>1.2227759346201796</v>
      </c>
      <c r="S88" s="230">
        <f>'Ethylene Recycling HC'!S96</f>
        <v>1.3797987024495746</v>
      </c>
      <c r="T88" s="230">
        <f>'Ethylene Recycling HC'!T96</f>
        <v>1.5477370083464297</v>
      </c>
      <c r="U88" s="230">
        <f>'Ethylene Recycling HC'!U96</f>
        <v>1.7268478965372576</v>
      </c>
      <c r="V88" s="230">
        <f>'Ethylene Recycling HC'!V96</f>
        <v>1.9173867037626793</v>
      </c>
      <c r="W88" s="230">
        <f>'Ethylene Recycling HC'!W96</f>
        <v>2.1196068142905404</v>
      </c>
      <c r="X88" s="230">
        <f>'Ethylene Recycling HC'!X96</f>
        <v>2.3835545184793259</v>
      </c>
      <c r="Y88" s="230">
        <f>'Ethylene Recycling HC'!Y96</f>
        <v>2.6655866507246562</v>
      </c>
      <c r="Z88" s="230">
        <f>'Ethylene Recycling HC'!Z96</f>
        <v>2.966111751952818</v>
      </c>
      <c r="AA88" s="230">
        <f>'Ethylene Recycling HC'!AA96</f>
        <v>3.2855357082651184</v>
      </c>
      <c r="AB88" s="230">
        <f>'Ethylene Recycling HC'!AB96</f>
        <v>3.624261395146092</v>
      </c>
      <c r="AC88" s="230">
        <f>'Ethylene Recycling HC'!AC96</f>
        <v>3.9827259711054088</v>
      </c>
      <c r="AD88" s="230">
        <f>'Ethylene Recycling HC'!AD96</f>
        <v>4.3613359996028516</v>
      </c>
      <c r="AE88" s="230">
        <f>'Ethylene Recycling HC'!AE96</f>
        <v>4.7604951280287855</v>
      </c>
      <c r="AF88" s="230">
        <f>'Ethylene Recycling HC'!AF96</f>
        <v>5.1806037580602649</v>
      </c>
      <c r="AG88" s="230">
        <f>'Ethylene Recycling HC'!AG96</f>
        <v>5.6220587128271156</v>
      </c>
      <c r="AH88" s="245"/>
      <c r="AI88" s="133"/>
      <c r="AJ88" s="211"/>
      <c r="AL88" s="108"/>
      <c r="AM88" s="2"/>
      <c r="AN88" s="2"/>
      <c r="AO88" s="2"/>
      <c r="BC88" s="1"/>
      <c r="BD88" s="2"/>
      <c r="BE88" s="2"/>
      <c r="BF88" s="2"/>
      <c r="BG88" s="2"/>
      <c r="BH88" s="2"/>
      <c r="BI88" s="2"/>
      <c r="BJ88" s="2"/>
      <c r="BK88" s="2"/>
    </row>
    <row r="89" spans="1:63" outlineLevel="1">
      <c r="A89" s="4" t="s">
        <v>474</v>
      </c>
      <c r="C89" s="230">
        <f>'Ethylene Recycling HC'!C97</f>
        <v>0</v>
      </c>
      <c r="D89" s="230">
        <f>'Ethylene Recycling HC'!D97</f>
        <v>1.1942493820734484E-2</v>
      </c>
      <c r="E89" s="230">
        <f>'Ethylene Recycling HC'!E97</f>
        <v>2.547578401513341E-2</v>
      </c>
      <c r="F89" s="230">
        <f>'Ethylene Recycling HC'!F97</f>
        <v>4.0608762457674745E-2</v>
      </c>
      <c r="G89" s="230">
        <f>'Ethylene Recycling HC'!G97</f>
        <v>5.7330669575201908E-2</v>
      </c>
      <c r="H89" s="230">
        <f>'Ethylene Recycling HC'!H97</f>
        <v>7.5610092285005107E-2</v>
      </c>
      <c r="I89" s="230">
        <f>'Ethylene Recycling HC'!I97</f>
        <v>9.5600092983854079E-2</v>
      </c>
      <c r="J89" s="230">
        <f>'Ethylene Recycling HC'!J97</f>
        <v>0.11736492319477226</v>
      </c>
      <c r="K89" s="230">
        <f>'Ethylene Recycling HC'!K97</f>
        <v>0.1409674892284889</v>
      </c>
      <c r="L89" s="230">
        <f>'Ethylene Recycling HC'!L97</f>
        <v>0.16646910583859001</v>
      </c>
      <c r="M89" s="230">
        <f>'Ethylene Recycling HC'!M97</f>
        <v>0.19392924573194686</v>
      </c>
      <c r="N89" s="230">
        <f>'Ethylene Recycling HC'!N97</f>
        <v>0.23039156684736273</v>
      </c>
      <c r="O89" s="230">
        <f>'Ethylene Recycling HC'!O97</f>
        <v>0.27007841347385869</v>
      </c>
      <c r="P89" s="230">
        <f>'Ethylene Recycling HC'!P97</f>
        <v>0.3129180209963765</v>
      </c>
      <c r="Q89" s="230">
        <f>'Ethylene Recycling HC'!Q97</f>
        <v>0.35880339835784952</v>
      </c>
      <c r="R89" s="230">
        <f>'Ethylene Recycling HC'!R97</f>
        <v>0.4075919782067266</v>
      </c>
      <c r="S89" s="230">
        <f>'Ethylene Recycling HC'!S97</f>
        <v>0.45993290081652488</v>
      </c>
      <c r="T89" s="230">
        <f>'Ethylene Recycling HC'!T97</f>
        <v>0.5159123361154766</v>
      </c>
      <c r="U89" s="230">
        <f>'Ethylene Recycling HC'!U97</f>
        <v>0.57561596551241911</v>
      </c>
      <c r="V89" s="230">
        <f>'Ethylene Recycling HC'!V97</f>
        <v>0.63912890125422639</v>
      </c>
      <c r="W89" s="230">
        <f>'Ethylene Recycling HC'!W97</f>
        <v>0.70653560476351329</v>
      </c>
      <c r="X89" s="230">
        <f>'Ethylene Recycling HC'!X97</f>
        <v>0.79451817282644177</v>
      </c>
      <c r="Y89" s="230">
        <f>'Ethylene Recycling HC'!Y97</f>
        <v>0.88852888357488502</v>
      </c>
      <c r="Z89" s="230">
        <f>'Ethylene Recycling HC'!Z97</f>
        <v>0.98870391731760543</v>
      </c>
      <c r="AA89" s="230">
        <f>'Ethylene Recycling HC'!AA97</f>
        <v>1.0951785694217056</v>
      </c>
      <c r="AB89" s="230">
        <f>'Ethylene Recycling HC'!AB97</f>
        <v>1.2080871317153632</v>
      </c>
      <c r="AC89" s="230">
        <f>'Ethylene Recycling HC'!AC97</f>
        <v>1.327575323701802</v>
      </c>
      <c r="AD89" s="230">
        <f>'Ethylene Recycling HC'!AD97</f>
        <v>1.4537786665342827</v>
      </c>
      <c r="AE89" s="230">
        <f>'Ethylene Recycling HC'!AE97</f>
        <v>1.5868317093429272</v>
      </c>
      <c r="AF89" s="230">
        <f>'Ethylene Recycling HC'!AF97</f>
        <v>1.72686791935342</v>
      </c>
      <c r="AG89" s="230">
        <f>'Ethylene Recycling HC'!AG97</f>
        <v>1.8740195709423721</v>
      </c>
      <c r="AH89" s="245"/>
      <c r="AI89" s="133"/>
      <c r="AJ89" s="211"/>
      <c r="AL89" s="108"/>
      <c r="AM89" s="2"/>
      <c r="AN89" s="2"/>
      <c r="AO89" s="2"/>
      <c r="BC89" s="1"/>
      <c r="BD89" s="2"/>
      <c r="BE89" s="2"/>
      <c r="BF89" s="2"/>
      <c r="BG89" s="2"/>
      <c r="BH89" s="2"/>
      <c r="BI89" s="2"/>
      <c r="BJ89" s="2"/>
      <c r="BK89" s="2"/>
    </row>
    <row r="90" spans="1:63" outlineLevel="1">
      <c r="A90" s="4" t="s">
        <v>248</v>
      </c>
      <c r="C90" s="230">
        <f>'Ethylene Recycling HC'!C98</f>
        <v>0</v>
      </c>
      <c r="D90" s="230">
        <f>'Ethylene Recycling HC'!D98</f>
        <v>1.1942493820734484E-2</v>
      </c>
      <c r="E90" s="230">
        <f>'Ethylene Recycling HC'!E98</f>
        <v>2.547578401513341E-2</v>
      </c>
      <c r="F90" s="230">
        <f>'Ethylene Recycling HC'!F98</f>
        <v>4.0608762457674745E-2</v>
      </c>
      <c r="G90" s="230">
        <f>'Ethylene Recycling HC'!G98</f>
        <v>5.7330669575201908E-2</v>
      </c>
      <c r="H90" s="230">
        <f>'Ethylene Recycling HC'!H98</f>
        <v>7.5610092285005107E-2</v>
      </c>
      <c r="I90" s="230">
        <f>'Ethylene Recycling HC'!I98</f>
        <v>9.5600092983854079E-2</v>
      </c>
      <c r="J90" s="230">
        <f>'Ethylene Recycling HC'!J98</f>
        <v>0.11736492319477226</v>
      </c>
      <c r="K90" s="230">
        <f>'Ethylene Recycling HC'!K98</f>
        <v>0.1409674892284889</v>
      </c>
      <c r="L90" s="230">
        <f>'Ethylene Recycling HC'!L98</f>
        <v>0.16646910583859001</v>
      </c>
      <c r="M90" s="230">
        <f>'Ethylene Recycling HC'!M98</f>
        <v>0.19392924573194686</v>
      </c>
      <c r="N90" s="230">
        <f>'Ethylene Recycling HC'!N98</f>
        <v>0.23039156684736273</v>
      </c>
      <c r="O90" s="230">
        <f>'Ethylene Recycling HC'!O98</f>
        <v>0.27007841347385869</v>
      </c>
      <c r="P90" s="230">
        <f>'Ethylene Recycling HC'!P98</f>
        <v>0.3129180209963765</v>
      </c>
      <c r="Q90" s="230">
        <f>'Ethylene Recycling HC'!Q98</f>
        <v>0.35880339835784952</v>
      </c>
      <c r="R90" s="230">
        <f>'Ethylene Recycling HC'!R98</f>
        <v>0.4075919782067266</v>
      </c>
      <c r="S90" s="230">
        <f>'Ethylene Recycling HC'!S98</f>
        <v>0.45993290081652488</v>
      </c>
      <c r="T90" s="230">
        <f>'Ethylene Recycling HC'!T98</f>
        <v>0.5159123361154766</v>
      </c>
      <c r="U90" s="230">
        <f>'Ethylene Recycling HC'!U98</f>
        <v>0.57561596551241911</v>
      </c>
      <c r="V90" s="230">
        <f>'Ethylene Recycling HC'!V98</f>
        <v>0.63912890125422639</v>
      </c>
      <c r="W90" s="230">
        <f>'Ethylene Recycling HC'!W98</f>
        <v>0.70653560476351329</v>
      </c>
      <c r="X90" s="230">
        <f>'Ethylene Recycling HC'!X98</f>
        <v>0.79451817282644177</v>
      </c>
      <c r="Y90" s="230">
        <f>'Ethylene Recycling HC'!Y98</f>
        <v>0.88852888357488502</v>
      </c>
      <c r="Z90" s="230">
        <f>'Ethylene Recycling HC'!Z98</f>
        <v>0.98870391731760543</v>
      </c>
      <c r="AA90" s="230">
        <f>'Ethylene Recycling HC'!AA98</f>
        <v>1.0951785694217056</v>
      </c>
      <c r="AB90" s="230">
        <f>'Ethylene Recycling HC'!AB98</f>
        <v>1.2080871317153632</v>
      </c>
      <c r="AC90" s="230">
        <f>'Ethylene Recycling HC'!AC98</f>
        <v>1.327575323701802</v>
      </c>
      <c r="AD90" s="230">
        <f>'Ethylene Recycling HC'!AD98</f>
        <v>1.4537786665342827</v>
      </c>
      <c r="AE90" s="230">
        <f>'Ethylene Recycling HC'!AE98</f>
        <v>1.5868317093429272</v>
      </c>
      <c r="AF90" s="230">
        <f>'Ethylene Recycling HC'!AF98</f>
        <v>1.72686791935342</v>
      </c>
      <c r="AG90" s="230">
        <f>'Ethylene Recycling HC'!AG98</f>
        <v>1.8740195709423721</v>
      </c>
      <c r="AH90" s="245"/>
      <c r="AI90" s="133"/>
      <c r="AJ90" s="211"/>
      <c r="AL90" s="108"/>
      <c r="AM90" s="2"/>
      <c r="AN90" s="2"/>
      <c r="AO90" s="2"/>
      <c r="BC90" s="1"/>
      <c r="BD90" s="2"/>
      <c r="BE90" s="2"/>
      <c r="BF90" s="2"/>
      <c r="BG90" s="2"/>
      <c r="BH90" s="2"/>
      <c r="BI90" s="2"/>
      <c r="BJ90" s="2"/>
      <c r="BK90" s="2"/>
    </row>
    <row r="91" spans="1:63" s="1" customFormat="1" outlineLevel="1">
      <c r="A91" s="1" t="s">
        <v>1329</v>
      </c>
      <c r="B91" s="65"/>
      <c r="C91" s="300">
        <f>'Ethylene Recycling HC'!C99</f>
        <v>1.1377817727849049</v>
      </c>
      <c r="D91" s="300">
        <f>'Ethylene Recycling HC'!D99</f>
        <v>1.2140150257534472</v>
      </c>
      <c r="E91" s="300">
        <f>'Ethylene Recycling HC'!E99</f>
        <v>1.290507196909134</v>
      </c>
      <c r="F91" s="300">
        <f>'Ethylene Recycling HC'!F99</f>
        <v>1.3667847762883085</v>
      </c>
      <c r="G91" s="300">
        <f>'Ethylene Recycling HC'!G99</f>
        <v>1.4423555174852196</v>
      </c>
      <c r="H91" s="300">
        <f>'Ethylene Recycling HC'!H99</f>
        <v>1.5167136426800245</v>
      </c>
      <c r="I91" s="300">
        <f>'Ethylene Recycling HC'!I99</f>
        <v>1.5927743765920617</v>
      </c>
      <c r="J91" s="300">
        <f>'Ethylene Recycling HC'!J99</f>
        <v>1.6704967864255145</v>
      </c>
      <c r="K91" s="300">
        <f>'Ethylene Recycling HC'!K99</f>
        <v>1.7498357440655319</v>
      </c>
      <c r="L91" s="300">
        <f>'Ethylene Recycling HC'!L99</f>
        <v>1.8307419085314089</v>
      </c>
      <c r="M91" s="300">
        <f>'Ethylene Recycling HC'!M99</f>
        <v>1.9131617196846729</v>
      </c>
      <c r="N91" s="300">
        <f>'Ethylene Recycling HC'!N99</f>
        <v>2.0594883189789717</v>
      </c>
      <c r="O91" s="300">
        <f>'Ethylene Recycling HC'!O99</f>
        <v>2.2058490024661106</v>
      </c>
      <c r="P91" s="300">
        <f>'Ethylene Recycling HC'!P99</f>
        <v>2.3514768334252936</v>
      </c>
      <c r="Q91" s="300">
        <f>'Ethylene Recycling HC'!Q99</f>
        <v>2.4955881220049596</v>
      </c>
      <c r="R91" s="300">
        <f>'Ethylene Recycling HC'!R99</f>
        <v>2.6373892999894037</v>
      </c>
      <c r="S91" s="300">
        <f>'Ethylene Recycling HC'!S99</f>
        <v>2.7810856641985486</v>
      </c>
      <c r="T91" s="300">
        <f>'Ethylene Recycling HC'!T99</f>
        <v>2.926653868162973</v>
      </c>
      <c r="U91" s="300">
        <f>'Ethylene Recycling HC'!U99</f>
        <v>3.0740693862900073</v>
      </c>
      <c r="V91" s="300">
        <f>'Ethylene Recycling HC'!V99</f>
        <v>3.2233065135974761</v>
      </c>
      <c r="W91" s="300">
        <f>'Ethylene Recycling HC'!W99</f>
        <v>3.3743383662820743</v>
      </c>
      <c r="X91" s="300">
        <f>'Ethylene Recycling HC'!X99</f>
        <v>3.6023949219445708</v>
      </c>
      <c r="Y91" s="300">
        <f>'Ethylene Recycling HC'!Y99</f>
        <v>3.8333830292496796</v>
      </c>
      <c r="Z91" s="300">
        <f>'Ethylene Recycling HC'!Z99</f>
        <v>4.0672667886649991</v>
      </c>
      <c r="AA91" s="300">
        <f>'Ethylene Recycling HC'!AA99</f>
        <v>4.3040086388353176</v>
      </c>
      <c r="AB91" s="300">
        <f>'Ethylene Recycling HC'!AB99</f>
        <v>4.5435693576873248</v>
      </c>
      <c r="AC91" s="300">
        <f>'Ethylene Recycling HC'!AC99</f>
        <v>4.7859533117263924</v>
      </c>
      <c r="AD91" s="300">
        <f>'Ethylene Recycling HC'!AD99</f>
        <v>5.0311249803496541</v>
      </c>
      <c r="AE91" s="300">
        <f>'Ethylene Recycling HC'!AE99</f>
        <v>5.2790473588109297</v>
      </c>
      <c r="AF91" s="300">
        <f>'Ethylene Recycling HC'!AF99</f>
        <v>5.5296819600605129</v>
      </c>
      <c r="AG91" s="300">
        <f>'Ethylene Recycling HC'!AG99</f>
        <v>5.7829888174735</v>
      </c>
      <c r="AH91" s="422"/>
      <c r="AI91" s="423"/>
      <c r="AJ91" s="424"/>
      <c r="AL91" s="221"/>
      <c r="AM91" s="124"/>
      <c r="AN91" s="124"/>
      <c r="AO91" s="124"/>
      <c r="BD91" s="124"/>
      <c r="BE91" s="124"/>
      <c r="BF91" s="124"/>
      <c r="BG91" s="124"/>
      <c r="BH91" s="124"/>
      <c r="BI91" s="124"/>
      <c r="BJ91" s="124"/>
      <c r="BK91" s="124"/>
    </row>
    <row r="92" spans="1:63" outlineLevel="1">
      <c r="A92" s="4" t="s">
        <v>258</v>
      </c>
      <c r="C92" s="230">
        <f>'Ethylene Recycling HC'!C100</f>
        <v>0.81650485855002186</v>
      </c>
      <c r="D92" s="230">
        <f>'Ethylene Recycling HC'!D100</f>
        <v>0.87897919921797996</v>
      </c>
      <c r="E92" s="230">
        <f>'Ethylene Recycling HC'!E100</f>
        <v>0.94261812848611448</v>
      </c>
      <c r="F92" s="230">
        <f>'Ethylene Recycling HC'!F100</f>
        <v>1.0070777231904691</v>
      </c>
      <c r="G92" s="230">
        <f>'Ethylene Recycling HC'!G100</f>
        <v>1.0719880169473068</v>
      </c>
      <c r="H92" s="230">
        <f>'Ethylene Recycling HC'!H100</f>
        <v>1.1369563025661302</v>
      </c>
      <c r="I92" s="230">
        <f>'Ethylene Recycling HC'!I100</f>
        <v>1.2041632625599841</v>
      </c>
      <c r="J92" s="230">
        <f>'Ethylene Recycling HC'!J100</f>
        <v>1.2736103686461491</v>
      </c>
      <c r="K92" s="230">
        <f>'Ethylene Recycling HC'!K100</f>
        <v>1.3452948195911461</v>
      </c>
      <c r="L92" s="230">
        <f>'Ethylene Recycling HC'!L100</f>
        <v>1.4192093934017045</v>
      </c>
      <c r="M92" s="230">
        <f>'Ethylene Recycling HC'!M100</f>
        <v>1.4953423076390724</v>
      </c>
      <c r="N92" s="230">
        <f>'Ethylene Recycling HC'!N100</f>
        <v>1.6228887732114476</v>
      </c>
      <c r="O92" s="230">
        <f>'Ethylene Recycling HC'!O100</f>
        <v>1.7523346869431702</v>
      </c>
      <c r="P92" s="230">
        <f>'Ethylene Recycling HC'!P100</f>
        <v>1.8830665388430374</v>
      </c>
      <c r="Q92" s="230">
        <f>'Ethylene Recycling HC'!Q100</f>
        <v>2.0144376686028225</v>
      </c>
      <c r="R92" s="230">
        <f>'Ethylene Recycling HC'!R100</f>
        <v>2.1457733229642693</v>
      </c>
      <c r="S92" s="230">
        <f>'Ethylene Recycling HC'!S100</f>
        <v>2.2804774863242532</v>
      </c>
      <c r="T92" s="230">
        <f>'Ethylene Recycling HC'!T100</f>
        <v>2.4185672410617309</v>
      </c>
      <c r="U92" s="230">
        <f>'Ethylene Recycling HC'!U100</f>
        <v>2.5600580901168239</v>
      </c>
      <c r="V92" s="230">
        <f>'Ethylene Recycling HC'!V100</f>
        <v>2.7049639190477022</v>
      </c>
      <c r="W92" s="230">
        <f>'Ethylene Recycling HC'!W100</f>
        <v>2.8532969587829999</v>
      </c>
      <c r="X92" s="230">
        <f>'Ethylene Recycling HC'!X100</f>
        <v>3.0691864699903091</v>
      </c>
      <c r="Y92" s="230">
        <f>'Ethylene Recycling HC'!Y100</f>
        <v>3.2905105499617928</v>
      </c>
      <c r="Z92" s="230">
        <f>'Ethylene Recycling HC'!Z100</f>
        <v>3.5172944209619459</v>
      </c>
      <c r="AA92" s="230">
        <f>'Ethylene Recycling HC'!AA100</f>
        <v>3.7495609387812694</v>
      </c>
      <c r="AB92" s="230">
        <f>'Ethylene Recycling HC'!AB100</f>
        <v>3.987330540544701</v>
      </c>
      <c r="AC92" s="230">
        <f>'Ethylene Recycling HC'!AC100</f>
        <v>4.2306611908151845</v>
      </c>
      <c r="AD92" s="230">
        <f>'Ethylene Recycling HC'!AD100</f>
        <v>4.4795754515165891</v>
      </c>
      <c r="AE92" s="230">
        <f>'Ethylene Recycling HC'!AE100</f>
        <v>4.7340936446051209</v>
      </c>
      <c r="AF92" s="230">
        <f>'Ethylene Recycling HC'!AF100</f>
        <v>4.9942338062538187</v>
      </c>
      <c r="AG92" s="230">
        <f>'Ethylene Recycling HC'!AG100</f>
        <v>5.2600116419158471</v>
      </c>
      <c r="AH92" s="245"/>
      <c r="AI92" s="133"/>
      <c r="AJ92" s="211"/>
      <c r="AL92" s="108"/>
      <c r="AM92" s="2"/>
      <c r="AN92" s="2"/>
      <c r="AO92" s="2"/>
      <c r="BC92" s="1"/>
      <c r="BD92" s="2"/>
      <c r="BE92" s="2"/>
      <c r="BF92" s="2"/>
      <c r="BG92" s="2"/>
      <c r="BH92" s="2"/>
      <c r="BI92" s="2"/>
      <c r="BJ92" s="2"/>
      <c r="BK92" s="2"/>
    </row>
    <row r="93" spans="1:63" outlineLevel="1">
      <c r="A93" s="4" t="s">
        <v>478</v>
      </c>
      <c r="C93" s="230">
        <f>'Ethylene Recycling HC'!C101</f>
        <v>0.29647374042384816</v>
      </c>
      <c r="D93" s="230">
        <f>'Ethylene Recycling HC'!D101</f>
        <v>0.30653336879688015</v>
      </c>
      <c r="E93" s="230">
        <f>'Ethylene Recycling HC'!E101</f>
        <v>0.31542493525117149</v>
      </c>
      <c r="F93" s="230">
        <f>'Ethylene Recycling HC'!F101</f>
        <v>0.32303025573020983</v>
      </c>
      <c r="G93" s="230">
        <f>'Ethylene Recycling HC'!G101</f>
        <v>0.32924216586775384</v>
      </c>
      <c r="H93" s="230">
        <f>'Ethylene Recycling HC'!H101</f>
        <v>0.33396642368136997</v>
      </c>
      <c r="I93" s="230">
        <f>'Ethylene Recycling HC'!I101</f>
        <v>0.3378507709320383</v>
      </c>
      <c r="J93" s="230">
        <f>'Ethylene Recycling HC'!J101</f>
        <v>0.34084560404520015</v>
      </c>
      <c r="K93" s="230">
        <f>'Ethylene Recycling HC'!K101</f>
        <v>0.34290181964403743</v>
      </c>
      <c r="L93" s="230">
        <f>'Ethylene Recycling HC'!L101</f>
        <v>0.34397098066337084</v>
      </c>
      <c r="M93" s="230">
        <f>'Ethylene Recycling HC'!M101</f>
        <v>0.34400548533756897</v>
      </c>
      <c r="N93" s="230">
        <f>'Ethylene Recycling HC'!N101</f>
        <v>0.35368366889449537</v>
      </c>
      <c r="O93" s="230">
        <f>'Ethylene Recycling HC'!O101</f>
        <v>0.36100391146780958</v>
      </c>
      <c r="P93" s="230">
        <f>'Ethylene Recycling HC'!P101</f>
        <v>0.36584606615610343</v>
      </c>
      <c r="Q93" s="230">
        <f>'Ethylene Recycling HC'!Q101</f>
        <v>0.3681122905513749</v>
      </c>
      <c r="R93" s="230">
        <f>'Ethylene Recycling HC'!R101</f>
        <v>0.36772868178747209</v>
      </c>
      <c r="S93" s="230">
        <f>'Ethylene Recycling HC'!S101</f>
        <v>0.36530358826605674</v>
      </c>
      <c r="T93" s="230">
        <f>'Ethylene Recycling HC'!T101</f>
        <v>0.36078821433163427</v>
      </c>
      <c r="U93" s="230">
        <f>'Ethylene Recycling HC'!U101</f>
        <v>0.35413438269400804</v>
      </c>
      <c r="V93" s="230">
        <f>'Ethylene Recycling HC'!V101</f>
        <v>0.3452945820137987</v>
      </c>
      <c r="W93" s="230">
        <f>'Ethylene Recycling HC'!W101</f>
        <v>0.33422201458353473</v>
      </c>
      <c r="X93" s="230">
        <f>'Ethylene Recycling HC'!X101</f>
        <v>0.32771701724522534</v>
      </c>
      <c r="Y93" s="230">
        <f>'Ethylene Recycling HC'!Y101</f>
        <v>0.31777138289110812</v>
      </c>
      <c r="Z93" s="230">
        <f>'Ethylene Recycling HC'!Z101</f>
        <v>0.30431139833891524</v>
      </c>
      <c r="AA93" s="230">
        <f>'Ethylene Recycling HC'!AA101</f>
        <v>0.28726439921454083</v>
      </c>
      <c r="AB93" s="230">
        <f>'Ethylene Recycling HC'!AB101</f>
        <v>0.26655883712273004</v>
      </c>
      <c r="AC93" s="230">
        <f>'Ethylene Recycling HC'!AC101</f>
        <v>0.24212663591998321</v>
      </c>
      <c r="AD93" s="230">
        <f>'Ethylene Recycling HC'!AD101</f>
        <v>0.21389788260684661</v>
      </c>
      <c r="AE93" s="230">
        <f>'Ethylene Recycling HC'!AE101</f>
        <v>0.18180376055458156</v>
      </c>
      <c r="AF93" s="230">
        <f>'Ethylene Recycling HC'!AF101</f>
        <v>0.14577660948468857</v>
      </c>
      <c r="AG93" s="230">
        <f>'Ethylene Recycling HC'!AG101</f>
        <v>0.10574998537553047</v>
      </c>
      <c r="AH93" s="245"/>
      <c r="AI93" s="133"/>
      <c r="AJ93" s="211"/>
      <c r="AL93" s="108"/>
      <c r="AM93" s="2"/>
      <c r="AN93" s="2"/>
      <c r="AO93" s="2"/>
      <c r="BC93" s="1"/>
      <c r="BD93" s="2"/>
      <c r="BE93" s="2"/>
      <c r="BF93" s="2"/>
      <c r="BG93" s="2"/>
      <c r="BH93" s="2"/>
      <c r="BI93" s="2"/>
      <c r="BJ93" s="2"/>
      <c r="BK93" s="2"/>
    </row>
    <row r="94" spans="1:63" outlineLevel="1">
      <c r="A94" s="4" t="s">
        <v>480</v>
      </c>
      <c r="C94" s="230">
        <f>'Ethylene Recycling HC'!C102</f>
        <v>0</v>
      </c>
      <c r="D94" s="230">
        <f>'Ethylene Recycling HC'!D102</f>
        <v>9.027258323237704E-4</v>
      </c>
      <c r="E94" s="230">
        <f>'Ethylene Recycling HC'!E102</f>
        <v>1.9192088380069309E-3</v>
      </c>
      <c r="F94" s="230">
        <f>'Ethylene Recycling HC'!F102</f>
        <v>3.0489703140615804E-3</v>
      </c>
      <c r="G94" s="230">
        <f>'Ethylene Recycling HC'!G102</f>
        <v>4.2900674453202675E-3</v>
      </c>
      <c r="H94" s="230">
        <f>'Ethylene Recycling HC'!H102</f>
        <v>5.6390429955156382E-3</v>
      </c>
      <c r="I94" s="230">
        <f>'Ethylene Recycling HC'!I102</f>
        <v>7.1061982478545635E-3</v>
      </c>
      <c r="J94" s="230">
        <f>'Ethylene Recycling HC'!J102</f>
        <v>8.6951182559620952E-3</v>
      </c>
      <c r="K94" s="230">
        <f>'Ethylene Recycling HC'!K102</f>
        <v>1.0409241368399633E-2</v>
      </c>
      <c r="L94" s="230">
        <f>'Ethylene Recycling HC'!L102</f>
        <v>1.2251843513312446E-2</v>
      </c>
      <c r="M94" s="230">
        <f>'Ethylene Recycling HC'!M102</f>
        <v>1.422602248848169E-2</v>
      </c>
      <c r="N94" s="230">
        <f>'Ethylene Recycling HC'!N102</f>
        <v>1.6845496919062373E-2</v>
      </c>
      <c r="O94" s="230">
        <f>'Ethylene Recycling HC'!O102</f>
        <v>1.9682888608360774E-2</v>
      </c>
      <c r="P94" s="230">
        <f>'Ethylene Recycling HC'!P102</f>
        <v>2.2730859895448458E-2</v>
      </c>
      <c r="Q94" s="230">
        <f>'Ethylene Recycling HC'!Q102</f>
        <v>2.5979617578839376E-2</v>
      </c>
      <c r="R94" s="230">
        <f>'Ethylene Recycling HC'!R102</f>
        <v>2.9416927309245628E-2</v>
      </c>
      <c r="S94" s="230">
        <f>'Ethylene Recycling HC'!S102</f>
        <v>3.3087667848845322E-2</v>
      </c>
      <c r="T94" s="230">
        <f>'Ethylene Recycling HC'!T102</f>
        <v>3.6995771783106791E-2</v>
      </c>
      <c r="U94" s="230">
        <f>'Ethylene Recycling HC'!U102</f>
        <v>4.1145086474916902E-2</v>
      </c>
      <c r="V94" s="230">
        <f>'Ethylene Recycling HC'!V102</f>
        <v>4.553936967691552E-2</v>
      </c>
      <c r="W94" s="230">
        <f>'Ethylene Recycling HC'!W102</f>
        <v>5.0182285155054532E-2</v>
      </c>
      <c r="X94" s="230">
        <f>'Ethylene Recycling HC'!X102</f>
        <v>5.6252577267167467E-2</v>
      </c>
      <c r="Y94" s="230">
        <f>'Ethylene Recycling HC'!Y102</f>
        <v>6.2709986178339505E-2</v>
      </c>
      <c r="Z94" s="230">
        <f>'Ethylene Recycling HC'!Z102</f>
        <v>6.9560437508127237E-2</v>
      </c>
      <c r="AA94" s="230">
        <f>'Ethylene Recycling HC'!AA102</f>
        <v>7.6809720441342488E-2</v>
      </c>
      <c r="AB94" s="230">
        <f>'Ethylene Recycling HC'!AB102</f>
        <v>8.4463481570039051E-2</v>
      </c>
      <c r="AC94" s="230">
        <f>'Ethylene Recycling HC'!AC102</f>
        <v>9.2528093535620567E-2</v>
      </c>
      <c r="AD94" s="230">
        <f>'Ethylene Recycling HC'!AD102</f>
        <v>0.10100914115951197</v>
      </c>
      <c r="AE94" s="230">
        <f>'Ethylene Recycling HC'!AE102</f>
        <v>0.10991207271198696</v>
      </c>
      <c r="AF94" s="230">
        <f>'Ethylene Recycling HC'!AF102</f>
        <v>0.11924219443389256</v>
      </c>
      <c r="AG94" s="230">
        <f>'Ethylene Recycling HC'!AG102</f>
        <v>0.12900466508640324</v>
      </c>
      <c r="AH94" s="245"/>
      <c r="AI94" s="133"/>
      <c r="AJ94" s="211"/>
      <c r="AL94" s="108"/>
      <c r="AM94" s="2"/>
      <c r="AN94" s="2"/>
      <c r="AO94" s="2"/>
      <c r="BC94" s="1"/>
      <c r="BD94" s="2"/>
      <c r="BE94" s="2"/>
      <c r="BF94" s="2"/>
      <c r="BG94" s="2"/>
      <c r="BH94" s="2"/>
      <c r="BI94" s="2"/>
      <c r="BJ94" s="2"/>
      <c r="BK94" s="2"/>
    </row>
    <row r="95" spans="1:63" outlineLevel="1">
      <c r="A95" s="4" t="s">
        <v>474</v>
      </c>
      <c r="C95" s="230">
        <f>'Ethylene Recycling HC'!C103</f>
        <v>2.4803173811034907E-2</v>
      </c>
      <c r="D95" s="230">
        <f>'Ethylene Recycling HC'!D103</f>
        <v>2.7559431645891794E-2</v>
      </c>
      <c r="E95" s="230">
        <f>'Ethylene Recycling HC'!E103</f>
        <v>3.0459245367858611E-2</v>
      </c>
      <c r="F95" s="230">
        <f>'Ethylene Recycling HC'!F103</f>
        <v>3.3491712307404574E-2</v>
      </c>
      <c r="G95" s="230">
        <f>'Ethylene Recycling HC'!G103</f>
        <v>3.6643746356744181E-2</v>
      </c>
      <c r="H95" s="230">
        <f>'Ethylene Recycling HC'!H103</f>
        <v>3.9900130446137626E-2</v>
      </c>
      <c r="I95" s="230">
        <f>'Ethylene Recycling HC'!I103</f>
        <v>4.3336903858977101E-2</v>
      </c>
      <c r="J95" s="230">
        <f>'Ethylene Recycling HC'!J103</f>
        <v>4.6957520556062275E-2</v>
      </c>
      <c r="K95" s="230">
        <f>'Ethylene Recycling HC'!K103</f>
        <v>5.0765165186573986E-2</v>
      </c>
      <c r="L95" s="230">
        <f>'Ethylene Recycling HC'!L103</f>
        <v>5.4762733653320128E-2</v>
      </c>
      <c r="M95" s="230">
        <f>'Ethylene Recycling HC'!M103</f>
        <v>5.8952813929885828E-2</v>
      </c>
      <c r="N95" s="230">
        <f>'Ethylene Recycling HC'!N103</f>
        <v>6.5318348841508486E-2</v>
      </c>
      <c r="O95" s="230">
        <f>'Ethylene Recycling HC'!O103</f>
        <v>7.1948815062468696E-2</v>
      </c>
      <c r="P95" s="230">
        <f>'Ethylene Recycling HC'!P103</f>
        <v>7.8818597999658055E-2</v>
      </c>
      <c r="Q95" s="230">
        <f>'Ethylene Recycling HC'!Q103</f>
        <v>8.5898740915725302E-2</v>
      </c>
      <c r="R95" s="230">
        <f>'Ethylene Recycling HC'!R103</f>
        <v>9.3157112244968823E-2</v>
      </c>
      <c r="S95" s="230">
        <f>'Ethylene Recycling HC'!S103</f>
        <v>0.1007397937304278</v>
      </c>
      <c r="T95" s="230">
        <f>'Ethylene Recycling HC'!T103</f>
        <v>0.10865104403189912</v>
      </c>
      <c r="U95" s="230">
        <f>'Ethylene Recycling HC'!U103</f>
        <v>0.1168949927866294</v>
      </c>
      <c r="V95" s="230">
        <f>'Ethylene Recycling HC'!V103</f>
        <v>0.12547563528419875</v>
      </c>
      <c r="W95" s="230">
        <f>'Ethylene Recycling HC'!W103</f>
        <v>0.13439682717320731</v>
      </c>
      <c r="X95" s="230">
        <f>'Ethylene Recycling HC'!X103</f>
        <v>0.14672758167101477</v>
      </c>
      <c r="Y95" s="230">
        <f>'Ethylene Recycling HC'!Y103</f>
        <v>0.15959155726405058</v>
      </c>
      <c r="Z95" s="230">
        <f>'Ethylene Recycling HC'!Z103</f>
        <v>0.17299515518154293</v>
      </c>
      <c r="AA95" s="230">
        <f>'Ethylene Recycling HC'!AA103</f>
        <v>0.18694457502132159</v>
      </c>
      <c r="AB95" s="230">
        <f>'Ethylene Recycling HC'!AB103</f>
        <v>0.20144580730833739</v>
      </c>
      <c r="AC95" s="230">
        <f>'Ethylene Recycling HC'!AC103</f>
        <v>0.21650667299419496</v>
      </c>
      <c r="AD95" s="230">
        <f>'Ethylene Recycling HC'!AD103</f>
        <v>0.2321331684078026</v>
      </c>
      <c r="AE95" s="230">
        <f>'Ethylene Recycling HC'!AE103</f>
        <v>0.2483310919788867</v>
      </c>
      <c r="AF95" s="230">
        <f>'Ethylene Recycling HC'!AF103</f>
        <v>0.26510603763660401</v>
      </c>
      <c r="AG95" s="230">
        <f>'Ethylene Recycling HC'!AG103</f>
        <v>0.28246338826150552</v>
      </c>
      <c r="AH95" s="245"/>
      <c r="AI95" s="133"/>
      <c r="AJ95" s="211"/>
      <c r="AL95" s="108"/>
      <c r="AM95" s="2"/>
      <c r="AN95" s="2"/>
      <c r="AO95" s="2"/>
      <c r="BC95" s="1"/>
      <c r="BD95" s="2"/>
      <c r="BE95" s="2"/>
      <c r="BF95" s="2"/>
      <c r="BG95" s="2"/>
      <c r="BH95" s="2"/>
      <c r="BI95" s="2"/>
      <c r="BJ95" s="2"/>
      <c r="BK95" s="2"/>
    </row>
    <row r="96" spans="1:63" outlineLevel="1">
      <c r="A96" s="4" t="s">
        <v>248</v>
      </c>
      <c r="C96" s="230">
        <f>'Ethylene Recycling HC'!C104</f>
        <v>0</v>
      </c>
      <c r="D96" s="230">
        <f>'Ethylene Recycling HC'!D104</f>
        <v>4.0300260371596893E-5</v>
      </c>
      <c r="E96" s="230">
        <f>'Ethylene Recycling HC'!E104</f>
        <v>8.5678965982452274E-5</v>
      </c>
      <c r="F96" s="230">
        <f>'Ethylene Recycling HC'!F104</f>
        <v>1.3611474616346338E-4</v>
      </c>
      <c r="G96" s="230">
        <f>'Ethylene Recycling HC'!G104</f>
        <v>1.9152086809465479E-4</v>
      </c>
      <c r="H96" s="230">
        <f>'Ethylene Recycling HC'!H104</f>
        <v>2.5174299087123386E-4</v>
      </c>
      <c r="I96" s="230">
        <f>'Ethylene Recycling HC'!I104</f>
        <v>3.1724099320779307E-4</v>
      </c>
      <c r="J96" s="230">
        <f>'Ethylene Recycling HC'!J104</f>
        <v>3.8817492214116505E-4</v>
      </c>
      <c r="K96" s="230">
        <f>'Ethylene Recycling HC'!K104</f>
        <v>4.6469827537498371E-4</v>
      </c>
      <c r="L96" s="230">
        <f>'Ethylene Recycling HC'!L104</f>
        <v>5.469572997014486E-4</v>
      </c>
      <c r="M96" s="230">
        <f>'Ethylene Recycling HC'!M104</f>
        <v>6.3509028966436134E-4</v>
      </c>
      <c r="N96" s="230">
        <f>'Ethylene Recycling HC'!N104</f>
        <v>7.5203111245814177E-4</v>
      </c>
      <c r="O96" s="230">
        <f>'Ethylene Recycling HC'!O104</f>
        <v>8.7870038430182046E-4</v>
      </c>
      <c r="P96" s="230">
        <f>'Ethylene Recycling HC'!P104</f>
        <v>1.014770531046806E-3</v>
      </c>
      <c r="Q96" s="230">
        <f>'Ethylene Recycling HC'!Q104</f>
        <v>1.1598043561981864E-3</v>
      </c>
      <c r="R96" s="230">
        <f>'Ethylene Recycling HC'!R104</f>
        <v>1.3132556834484655E-3</v>
      </c>
      <c r="S96" s="230">
        <f>'Ethylene Recycling HC'!S104</f>
        <v>1.4771280289663086E-3</v>
      </c>
      <c r="T96" s="230">
        <f>'Ethylene Recycling HC'!T104</f>
        <v>1.651596954602981E-3</v>
      </c>
      <c r="U96" s="230">
        <f>'Ethylene Recycling HC'!U104</f>
        <v>1.836834217630218E-3</v>
      </c>
      <c r="V96" s="230">
        <f>'Ethylene Recycling HC'!V104</f>
        <v>2.0330075748622991E-3</v>
      </c>
      <c r="W96" s="230">
        <f>'Ethylene Recycling HC'!W104</f>
        <v>2.2402805872792191E-3</v>
      </c>
      <c r="X96" s="230">
        <f>'Ethylene Recycling HC'!X104</f>
        <v>2.5112757708556886E-3</v>
      </c>
      <c r="Y96" s="230">
        <f>'Ethylene Recycling HC'!Y104</f>
        <v>2.7995529543901544E-3</v>
      </c>
      <c r="Z96" s="230">
        <f>'Ethylene Recycling HC'!Z104</f>
        <v>3.1053766744699638E-3</v>
      </c>
      <c r="AA96" s="230">
        <f>'Ethylene Recycling HC'!AA104</f>
        <v>3.4290053768456438E-3</v>
      </c>
      <c r="AB96" s="230">
        <f>'Ethylene Recycling HC'!AB104</f>
        <v>3.7706911415195969E-3</v>
      </c>
      <c r="AC96" s="230">
        <f>'Ethylene Recycling HC'!AC104</f>
        <v>4.1307184614116288E-3</v>
      </c>
      <c r="AD96" s="230">
        <f>'Ethylene Recycling HC'!AD104</f>
        <v>4.5093366589067799E-3</v>
      </c>
      <c r="AE96" s="230">
        <f>'Ethylene Recycling HC'!AE104</f>
        <v>4.9067889603565552E-3</v>
      </c>
      <c r="AF96" s="230">
        <f>'Ethylene Recycling HC'!AF104</f>
        <v>5.3233122515130554E-3</v>
      </c>
      <c r="AG96" s="230">
        <f>'Ethylene Recycling HC'!AG104</f>
        <v>5.7591368342144308E-3</v>
      </c>
      <c r="AH96" s="245"/>
      <c r="AI96" s="133"/>
      <c r="AJ96" s="211"/>
      <c r="AL96" s="108"/>
      <c r="AM96" s="2"/>
      <c r="AN96" s="2"/>
      <c r="AO96" s="2"/>
      <c r="BC96" s="1"/>
      <c r="BD96" s="2"/>
      <c r="BE96" s="2"/>
      <c r="BF96" s="2"/>
      <c r="BG96" s="2"/>
      <c r="BH96" s="2"/>
      <c r="BI96" s="2"/>
      <c r="BJ96" s="2"/>
      <c r="BK96" s="2"/>
    </row>
    <row r="97" spans="1:63" outlineLevel="1">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I97" s="134"/>
      <c r="AJ97" s="211"/>
      <c r="AL97" s="108"/>
      <c r="AM97" s="132"/>
      <c r="AN97" s="2"/>
      <c r="AO97" s="2"/>
    </row>
    <row r="98" spans="1:63" s="200" customFormat="1" ht="16" thickBot="1">
      <c r="A98" s="200" t="s">
        <v>1330</v>
      </c>
      <c r="B98" s="215"/>
      <c r="C98" s="222">
        <f>C99</f>
        <v>2.5000000000000001E-2</v>
      </c>
      <c r="D98" s="222">
        <f t="shared" ref="D98:AG98" si="28">D99</f>
        <v>3.1255416735465176E-2</v>
      </c>
      <c r="E98" s="222">
        <f t="shared" si="28"/>
        <v>3.7510833470930344E-2</v>
      </c>
      <c r="F98" s="222">
        <f t="shared" si="28"/>
        <v>4.3766250206395518E-2</v>
      </c>
      <c r="G98" s="222">
        <f t="shared" si="28"/>
        <v>5.0021666941860693E-2</v>
      </c>
      <c r="H98" s="222">
        <f t="shared" si="28"/>
        <v>5.6277083677325854E-2</v>
      </c>
      <c r="I98" s="222">
        <f t="shared" si="28"/>
        <v>6.2532500412791042E-2</v>
      </c>
      <c r="J98" s="222">
        <f t="shared" si="28"/>
        <v>6.8787917148256203E-2</v>
      </c>
      <c r="K98" s="222">
        <f t="shared" si="28"/>
        <v>7.5043333883721378E-2</v>
      </c>
      <c r="L98" s="222">
        <f t="shared" si="28"/>
        <v>8.1298750619186552E-2</v>
      </c>
      <c r="M98" s="222">
        <f t="shared" si="28"/>
        <v>8.7554167354651713E-2</v>
      </c>
      <c r="N98" s="222">
        <f t="shared" si="28"/>
        <v>0.10073866108940137</v>
      </c>
      <c r="O98" s="222">
        <f t="shared" si="28"/>
        <v>0.11392315482415102</v>
      </c>
      <c r="P98" s="222">
        <f t="shared" si="28"/>
        <v>0.12723462922679171</v>
      </c>
      <c r="Q98" s="222">
        <f t="shared" si="28"/>
        <v>0.1405721665297654</v>
      </c>
      <c r="R98" s="222">
        <f t="shared" si="28"/>
        <v>0.15393568877823571</v>
      </c>
      <c r="S98" s="222">
        <f t="shared" si="28"/>
        <v>0.16732511832794308</v>
      </c>
      <c r="T98" s="222">
        <f t="shared" si="28"/>
        <v>0.18074037784366007</v>
      </c>
      <c r="U98" s="222">
        <f t="shared" si="28"/>
        <v>0.19418139029765485</v>
      </c>
      <c r="V98" s="222">
        <f t="shared" si="28"/>
        <v>0.20764807896816506</v>
      </c>
      <c r="W98" s="222">
        <f t="shared" si="28"/>
        <v>0.22114036743787965</v>
      </c>
      <c r="X98" s="222">
        <f t="shared" si="28"/>
        <v>0.24361294323895769</v>
      </c>
      <c r="Y98" s="222">
        <f t="shared" si="28"/>
        <v>0.2661283855811416</v>
      </c>
      <c r="Z98" s="222">
        <f t="shared" si="28"/>
        <v>0.28867737438243729</v>
      </c>
      <c r="AA98" s="222">
        <f t="shared" si="28"/>
        <v>0.31126586120425109</v>
      </c>
      <c r="AB98" s="222">
        <f t="shared" si="28"/>
        <v>0.33389338227334819</v>
      </c>
      <c r="AC98" s="222">
        <f t="shared" si="28"/>
        <v>0.35655948104882434</v>
      </c>
      <c r="AD98" s="222">
        <f t="shared" si="28"/>
        <v>0.37926370808167326</v>
      </c>
      <c r="AE98" s="222">
        <f t="shared" si="28"/>
        <v>0.40200562087761232</v>
      </c>
      <c r="AF98" s="222">
        <f t="shared" si="28"/>
        <v>0.42478478376307965</v>
      </c>
      <c r="AG98" s="222">
        <f t="shared" si="28"/>
        <v>0.44760076775431856</v>
      </c>
      <c r="AJ98" s="231" t="s">
        <v>1331</v>
      </c>
      <c r="AL98" s="217"/>
      <c r="AM98" s="218"/>
      <c r="AN98" s="218"/>
      <c r="AO98" s="218"/>
    </row>
    <row r="99" spans="1:63" ht="17" outlineLevel="1" thickTop="1">
      <c r="A99" t="s">
        <v>1332</v>
      </c>
      <c r="B99" s="54" t="s">
        <v>462</v>
      </c>
      <c r="C99" s="110">
        <f>'Ethylene Recycling HC'!C107*'Ethylene Recycling HC'!C$46/'Ethylene Recycling LC'!C$46</f>
        <v>2.5000000000000001E-2</v>
      </c>
      <c r="D99" s="110">
        <f>'Ethylene Recycling HC'!D107*'Ethylene Recycling HC'!D$46/'Ethylene Recycling LC'!D$46</f>
        <v>3.1255416735465176E-2</v>
      </c>
      <c r="E99" s="110">
        <f>'Ethylene Recycling HC'!E107*'Ethylene Recycling HC'!E$46/'Ethylene Recycling LC'!E$46</f>
        <v>3.7510833470930344E-2</v>
      </c>
      <c r="F99" s="110">
        <f>'Ethylene Recycling HC'!F107*'Ethylene Recycling HC'!F$46/'Ethylene Recycling LC'!F$46</f>
        <v>4.3766250206395518E-2</v>
      </c>
      <c r="G99" s="110">
        <f>'Ethylene Recycling HC'!G107*'Ethylene Recycling HC'!G$46/'Ethylene Recycling LC'!G$46</f>
        <v>5.0021666941860693E-2</v>
      </c>
      <c r="H99" s="110">
        <f>'Ethylene Recycling HC'!H107*'Ethylene Recycling HC'!H$46/'Ethylene Recycling LC'!H$46</f>
        <v>5.6277083677325854E-2</v>
      </c>
      <c r="I99" s="110">
        <f>'Ethylene Recycling HC'!I107*'Ethylene Recycling HC'!I$46/'Ethylene Recycling LC'!I$46</f>
        <v>6.2532500412791042E-2</v>
      </c>
      <c r="J99" s="110">
        <f>'Ethylene Recycling HC'!J107*'Ethylene Recycling HC'!J$46/'Ethylene Recycling LC'!J$46</f>
        <v>6.8787917148256203E-2</v>
      </c>
      <c r="K99" s="110">
        <f>'Ethylene Recycling HC'!K107*'Ethylene Recycling HC'!K$46/'Ethylene Recycling LC'!K$46</f>
        <v>7.5043333883721378E-2</v>
      </c>
      <c r="L99" s="110">
        <f>'Ethylene Recycling HC'!L107*'Ethylene Recycling HC'!L$46/'Ethylene Recycling LC'!L$46</f>
        <v>8.1298750619186552E-2</v>
      </c>
      <c r="M99" s="110">
        <f>'Ethylene Recycling HC'!M107*'Ethylene Recycling HC'!M$46/'Ethylene Recycling LC'!M$46</f>
        <v>8.7554167354651713E-2</v>
      </c>
      <c r="N99" s="110">
        <f>'Ethylene Recycling HC'!N107*'Ethylene Recycling HC'!N$46/'Ethylene Recycling LC'!N$46</f>
        <v>0.10073866108940137</v>
      </c>
      <c r="O99" s="110">
        <f>'Ethylene Recycling HC'!O107*'Ethylene Recycling HC'!O$46/'Ethylene Recycling LC'!O$46</f>
        <v>0.11392315482415102</v>
      </c>
      <c r="P99" s="110">
        <f>'Ethylene Recycling HC'!P107*'Ethylene Recycling HC'!P$46/'Ethylene Recycling LC'!P$46</f>
        <v>0.12723462922679171</v>
      </c>
      <c r="Q99" s="110">
        <f>'Ethylene Recycling HC'!Q107*'Ethylene Recycling HC'!Q$46/'Ethylene Recycling LC'!Q$46</f>
        <v>0.1405721665297654</v>
      </c>
      <c r="R99" s="110">
        <f>'Ethylene Recycling HC'!R107*'Ethylene Recycling HC'!R$46/'Ethylene Recycling LC'!R$46</f>
        <v>0.15393568877823571</v>
      </c>
      <c r="S99" s="110">
        <f>'Ethylene Recycling HC'!S107*'Ethylene Recycling HC'!S$46/'Ethylene Recycling LC'!S$46</f>
        <v>0.16732511832794308</v>
      </c>
      <c r="T99" s="110">
        <f>'Ethylene Recycling HC'!T107*'Ethylene Recycling HC'!T$46/'Ethylene Recycling LC'!T$46</f>
        <v>0.18074037784366007</v>
      </c>
      <c r="U99" s="110">
        <f>'Ethylene Recycling HC'!U107*'Ethylene Recycling HC'!U$46/'Ethylene Recycling LC'!U$46</f>
        <v>0.19418139029765485</v>
      </c>
      <c r="V99" s="110">
        <f>'Ethylene Recycling HC'!V107*'Ethylene Recycling HC'!V$46/'Ethylene Recycling LC'!V$46</f>
        <v>0.20764807896816506</v>
      </c>
      <c r="W99" s="110">
        <f>'Ethylene Recycling HC'!W107*'Ethylene Recycling HC'!W$46/'Ethylene Recycling LC'!W$46</f>
        <v>0.22114036743787965</v>
      </c>
      <c r="X99" s="110">
        <f>'Ethylene Recycling HC'!X107*'Ethylene Recycling HC'!X$46/'Ethylene Recycling LC'!X$46</f>
        <v>0.24361294323895769</v>
      </c>
      <c r="Y99" s="110">
        <f>'Ethylene Recycling HC'!Y107*'Ethylene Recycling HC'!Y$46/'Ethylene Recycling LC'!Y$46</f>
        <v>0.2661283855811416</v>
      </c>
      <c r="Z99" s="110">
        <f>'Ethylene Recycling HC'!Z107*'Ethylene Recycling HC'!Z$46/'Ethylene Recycling LC'!Z$46</f>
        <v>0.28867737438243729</v>
      </c>
      <c r="AA99" s="110">
        <f>'Ethylene Recycling HC'!AA107*'Ethylene Recycling HC'!AA$46/'Ethylene Recycling LC'!AA$46</f>
        <v>0.31126586120425109</v>
      </c>
      <c r="AB99" s="110">
        <f>'Ethylene Recycling HC'!AB107*'Ethylene Recycling HC'!AB$46/'Ethylene Recycling LC'!AB$46</f>
        <v>0.33389338227334819</v>
      </c>
      <c r="AC99" s="110">
        <f>'Ethylene Recycling HC'!AC107*'Ethylene Recycling HC'!AC$46/'Ethylene Recycling LC'!AC$46</f>
        <v>0.35655948104882434</v>
      </c>
      <c r="AD99" s="110">
        <f>'Ethylene Recycling HC'!AD107*'Ethylene Recycling HC'!AD$46/'Ethylene Recycling LC'!AD$46</f>
        <v>0.37926370808167326</v>
      </c>
      <c r="AE99" s="110">
        <f>'Ethylene Recycling HC'!AE107*'Ethylene Recycling HC'!AE$46/'Ethylene Recycling LC'!AE$46</f>
        <v>0.40200562087761232</v>
      </c>
      <c r="AF99" s="110">
        <f>'Ethylene Recycling HC'!AF107*'Ethylene Recycling HC'!AF$46/'Ethylene Recycling LC'!AF$46</f>
        <v>0.42478478376307965</v>
      </c>
      <c r="AG99" s="110">
        <f>'Ethylene Recycling HC'!AG107*'Ethylene Recycling HC'!AG$46/'Ethylene Recycling LC'!AG$46</f>
        <v>0.44760076775431856</v>
      </c>
      <c r="AI99" s="133" t="s">
        <v>1314</v>
      </c>
      <c r="AJ99" s="211"/>
    </row>
    <row r="100" spans="1:63" ht="16" outlineLevel="1">
      <c r="A100" t="s">
        <v>1333</v>
      </c>
      <c r="B100" s="54" t="s">
        <v>462</v>
      </c>
      <c r="C100" s="110">
        <f>'Ethylene Recycling HC'!C110*'Ethylene Recycling HC'!C$46/'Ethylene Recycling LC'!C$46</f>
        <v>2E-3</v>
      </c>
      <c r="D100" s="110">
        <f>'Ethylene Recycling HC'!D110*'Ethylene Recycling HC'!D$46/'Ethylene Recycling LC'!D$46</f>
        <v>3.2505633404883785E-3</v>
      </c>
      <c r="E100" s="110">
        <f>'Ethylene Recycling HC'!E110*'Ethylene Recycling HC'!E$46/'Ethylene Recycling LC'!E$46</f>
        <v>4.8013866842790843E-3</v>
      </c>
      <c r="F100" s="110">
        <f>'Ethylene Recycling HC'!F110*'Ethylene Recycling HC'!F$46/'Ethylene Recycling LC'!F$46</f>
        <v>6.6524700313721182E-3</v>
      </c>
      <c r="G100" s="110">
        <f>'Ethylene Recycling HC'!G110*'Ethylene Recycling HC'!G$46/'Ethylene Recycling LC'!G$46</f>
        <v>8.8038133817674811E-3</v>
      </c>
      <c r="H100" s="110">
        <f>'Ethylene Recycling HC'!H110*'Ethylene Recycling HC'!H$46/'Ethylene Recycling LC'!H$46</f>
        <v>1.125541673546517E-2</v>
      </c>
      <c r="I100" s="110">
        <f>'Ethylene Recycling HC'!I110*'Ethylene Recycling HC'!I$46/'Ethylene Recycling LC'!I$46</f>
        <v>1.400728009246519E-2</v>
      </c>
      <c r="J100" s="110">
        <f>'Ethylene Recycling HC'!J110*'Ethylene Recycling HC'!J$46/'Ethylene Recycling LC'!J$46</f>
        <v>1.7059403452767536E-2</v>
      </c>
      <c r="K100" s="110">
        <f>'Ethylene Recycling HC'!K110*'Ethylene Recycling HC'!K$46/'Ethylene Recycling LC'!K$46</f>
        <v>2.0411786816372211E-2</v>
      </c>
      <c r="L100" s="110">
        <f>'Ethylene Recycling HC'!L110*'Ethylene Recycling HC'!L$46/'Ethylene Recycling LC'!L$46</f>
        <v>2.4064430183279219E-2</v>
      </c>
      <c r="M100" s="110">
        <f>'Ethylene Recycling HC'!M110*'Ethylene Recycling HC'!M$46/'Ethylene Recycling LC'!M$46</f>
        <v>2.8017333553488549E-2</v>
      </c>
      <c r="N100" s="110">
        <f>'Ethylene Recycling HC'!N110*'Ethylene Recycling HC'!N$46/'Ethylene Recycling LC'!N$46</f>
        <v>3.4654099414754072E-2</v>
      </c>
      <c r="O100" s="110">
        <f>'Ethylene Recycling HC'!O110*'Ethylene Recycling HC'!O$46/'Ethylene Recycling LC'!O$46</f>
        <v>4.1923720975287584E-2</v>
      </c>
      <c r="P100" s="110">
        <f>'Ethylene Recycling HC'!P110*'Ethylene Recycling HC'!P$46/'Ethylene Recycling LC'!P$46</f>
        <v>4.9875974656902362E-2</v>
      </c>
      <c r="Q100" s="110">
        <f>'Ethylene Recycling HC'!Q110*'Ethylene Recycling HC'!Q$46/'Ethylene Recycling LC'!Q$46</f>
        <v>5.8478021276382422E-2</v>
      </c>
      <c r="R100" s="110">
        <f>'Ethylene Recycling HC'!R110*'Ethylene Recycling HC'!R$46/'Ethylene Recycling LC'!R$46</f>
        <v>6.7731703062423737E-2</v>
      </c>
      <c r="S100" s="110">
        <f>'Ethylene Recycling HC'!S110*'Ethylene Recycling HC'!S$46/'Ethylene Recycling LC'!S$46</f>
        <v>7.7638854904165625E-2</v>
      </c>
      <c r="T100" s="110">
        <f>'Ethylene Recycling HC'!T110*'Ethylene Recycling HC'!T$46/'Ethylene Recycling LC'!T$46</f>
        <v>8.8201304387706125E-2</v>
      </c>
      <c r="U100" s="110">
        <f>'Ethylene Recycling HC'!U110*'Ethylene Recycling HC'!U$46/'Ethylene Recycling LC'!U$46</f>
        <v>9.9420871832399324E-2</v>
      </c>
      <c r="V100" s="110">
        <f>'Ethylene Recycling HC'!V110*'Ethylene Recycling HC'!V$46/'Ethylene Recycling LC'!V$46</f>
        <v>0.11129937032693651</v>
      </c>
      <c r="W100" s="110">
        <f>'Ethylene Recycling HC'!W110*'Ethylene Recycling HC'!W$46/'Ethylene Recycling LC'!W$46</f>
        <v>0.12383860576521263</v>
      </c>
      <c r="X100" s="110">
        <f>'Ethylene Recycling HC'!X110*'Ethylene Recycling HC'!X$46/'Ethylene Recycling LC'!X$46</f>
        <v>0.14226995885155133</v>
      </c>
      <c r="Y100" s="110">
        <f>'Ethylene Recycling HC'!Y110*'Ethylene Recycling HC'!Y$46/'Ethylene Recycling LC'!Y$46</f>
        <v>0.16180605843333415</v>
      </c>
      <c r="Z100" s="110">
        <f>'Ethylene Recycling HC'!Z110*'Ethylene Recycling HC'!Z$46/'Ethylene Recycling LC'!Z$46</f>
        <v>0.18244410060970045</v>
      </c>
      <c r="AA100" s="110">
        <f>'Ethylene Recycling HC'!AA110*'Ethylene Recycling HC'!AA$46/'Ethylene Recycling LC'!AA$46</f>
        <v>0.20419040494998883</v>
      </c>
      <c r="AB100" s="110">
        <f>'Ethylene Recycling HC'!AB110*'Ethylene Recycling HC'!AB$46/'Ethylene Recycling LC'!AB$46</f>
        <v>0.22704749994587684</v>
      </c>
      <c r="AC100" s="110">
        <f>'Ethylene Recycling HC'!AC110*'Ethylene Recycling HC'!AC$46/'Ethylene Recycling LC'!AC$46</f>
        <v>0.25101787465837239</v>
      </c>
      <c r="AD100" s="110">
        <f>'Ethylene Recycling HC'!AD110*'Ethylene Recycling HC'!AD$46/'Ethylene Recycling LC'!AD$46</f>
        <v>0.27610397948345822</v>
      </c>
      <c r="AE100" s="110">
        <f>'Ethylene Recycling HC'!AE110*'Ethylene Recycling HC'!AE$46/'Ethylene Recycling LC'!AE$46</f>
        <v>0.30230822689996456</v>
      </c>
      <c r="AF100" s="110">
        <f>'Ethylene Recycling HC'!AF110*'Ethylene Recycling HC'!AF$46/'Ethylene Recycling LC'!AF$46</f>
        <v>0.32963299220014997</v>
      </c>
      <c r="AG100" s="110">
        <f>'Ethylene Recycling HC'!AG110*'Ethylene Recycling HC'!AG$46/'Ethylene Recycling LC'!AG$46</f>
        <v>0.35808061420345494</v>
      </c>
      <c r="AI100" s="133" t="s">
        <v>1314</v>
      </c>
      <c r="AJ100" s="211"/>
      <c r="BD100" s="203"/>
      <c r="BE100" s="203"/>
    </row>
    <row r="101" spans="1:63" ht="16" outlineLevel="1">
      <c r="A101" t="s">
        <v>1334</v>
      </c>
      <c r="B101" s="54" t="s">
        <v>462</v>
      </c>
      <c r="C101" s="110">
        <f>'Ethylene Recycling HC'!C111*'Ethylene Recycling HC'!C$46/'Ethylene Recycling LC'!C$46</f>
        <v>2.3000000000000003E-2</v>
      </c>
      <c r="D101" s="110">
        <f>'Ethylene Recycling HC'!D111*'Ethylene Recycling HC'!D$46/'Ethylene Recycling LC'!D$46</f>
        <v>2.8004853394976801E-2</v>
      </c>
      <c r="E101" s="110">
        <f>'Ethylene Recycling HC'!E111*'Ethylene Recycling HC'!E$46/'Ethylene Recycling LC'!E$46</f>
        <v>3.2709446786651261E-2</v>
      </c>
      <c r="F101" s="110">
        <f>'Ethylene Recycling HC'!F111*'Ethylene Recycling HC'!F$46/'Ethylene Recycling LC'!F$46</f>
        <v>3.7113780175023398E-2</v>
      </c>
      <c r="G101" s="110">
        <f>'Ethylene Recycling HC'!G111*'Ethylene Recycling HC'!G$46/'Ethylene Recycling LC'!G$46</f>
        <v>4.1217853560093214E-2</v>
      </c>
      <c r="H101" s="110">
        <f>'Ethylene Recycling HC'!H111*'Ethylene Recycling HC'!H$46/'Ethylene Recycling LC'!H$46</f>
        <v>4.5021666941860689E-2</v>
      </c>
      <c r="I101" s="110">
        <f>'Ethylene Recycling HC'!I111*'Ethylene Recycling HC'!I$46/'Ethylene Recycling LC'!I$46</f>
        <v>4.852522032032585E-2</v>
      </c>
      <c r="J101" s="110">
        <f>'Ethylene Recycling HC'!J111*'Ethylene Recycling HC'!J$46/'Ethylene Recycling LC'!J$46</f>
        <v>5.1728513695488657E-2</v>
      </c>
      <c r="K101" s="110">
        <f>'Ethylene Recycling HC'!K111*'Ethylene Recycling HC'!K$46/'Ethylene Recycling LC'!K$46</f>
        <v>5.4631547067349163E-2</v>
      </c>
      <c r="L101" s="110">
        <f>'Ethylene Recycling HC'!L111*'Ethylene Recycling HC'!L$46/'Ethylene Recycling LC'!L$46</f>
        <v>5.7234320435907329E-2</v>
      </c>
      <c r="M101" s="110">
        <f>'Ethylene Recycling HC'!M111*'Ethylene Recycling HC'!M$46/'Ethylene Recycling LC'!M$46</f>
        <v>5.9536833801163161E-2</v>
      </c>
      <c r="N101" s="110">
        <f>'Ethylene Recycling HC'!N111*'Ethylene Recycling HC'!N$46/'Ethylene Recycling LC'!N$46</f>
        <v>6.6084561674647282E-2</v>
      </c>
      <c r="O101" s="110">
        <f>'Ethylene Recycling HC'!O111*'Ethylene Recycling HC'!O$46/'Ethylene Recycling LC'!O$46</f>
        <v>7.1999433848863439E-2</v>
      </c>
      <c r="P101" s="110">
        <f>'Ethylene Recycling HC'!P111*'Ethylene Recycling HC'!P$46/'Ethylene Recycling LC'!P$46</f>
        <v>7.7358654569889343E-2</v>
      </c>
      <c r="Q101" s="110">
        <f>'Ethylene Recycling HC'!Q111*'Ethylene Recycling HC'!Q$46/'Ethylene Recycling LC'!Q$46</f>
        <v>8.2094145253382975E-2</v>
      </c>
      <c r="R101" s="110">
        <f>'Ethylene Recycling HC'!R111*'Ethylene Recycling HC'!R$46/'Ethylene Recycling LC'!R$46</f>
        <v>8.6203985715811976E-2</v>
      </c>
      <c r="S101" s="110">
        <f>'Ethylene Recycling HC'!S111*'Ethylene Recycling HC'!S$46/'Ethylene Recycling LC'!S$46</f>
        <v>8.9686263423777474E-2</v>
      </c>
      <c r="T101" s="110">
        <f>'Ethylene Recycling HC'!T111*'Ethylene Recycling HC'!T$46/'Ethylene Recycling LC'!T$46</f>
        <v>9.2539073455953913E-2</v>
      </c>
      <c r="U101" s="110">
        <f>'Ethylene Recycling HC'!U111*'Ethylene Recycling HC'!U$46/'Ethylene Recycling LC'!U$46</f>
        <v>9.4760518465255544E-2</v>
      </c>
      <c r="V101" s="110">
        <f>'Ethylene Recycling HC'!V111*'Ethylene Recycling HC'!V$46/'Ethylene Recycling LC'!V$46</f>
        <v>9.6348708641228575E-2</v>
      </c>
      <c r="W101" s="110">
        <f>'Ethylene Recycling HC'!W111*'Ethylene Recycling HC'!W$46/'Ethylene Recycling LC'!W$46</f>
        <v>9.730176167266702E-2</v>
      </c>
      <c r="X101" s="110">
        <f>'Ethylene Recycling HC'!X111*'Ethylene Recycling HC'!X$46/'Ethylene Recycling LC'!X$46</f>
        <v>0.10134298438740635</v>
      </c>
      <c r="Y101" s="110">
        <f>'Ethylene Recycling HC'!Y111*'Ethylene Recycling HC'!Y$46/'Ethylene Recycling LC'!Y$46</f>
        <v>0.10432232714780745</v>
      </c>
      <c r="Z101" s="110">
        <f>'Ethylene Recycling HC'!Z111*'Ethylene Recycling HC'!Z$46/'Ethylene Recycling LC'!Z$46</f>
        <v>0.10623327377273686</v>
      </c>
      <c r="AA101" s="110">
        <f>'Ethylene Recycling HC'!AA111*'Ethylene Recycling HC'!AA$46/'Ethylene Recycling LC'!AA$46</f>
        <v>0.10707545625426231</v>
      </c>
      <c r="AB101" s="110">
        <f>'Ethylene Recycling HC'!AB111*'Ethylene Recycling HC'!AB$46/'Ethylene Recycling LC'!AB$46</f>
        <v>0.10684588232747133</v>
      </c>
      <c r="AC101" s="110">
        <f>'Ethylene Recycling HC'!AC111*'Ethylene Recycling HC'!AC$46/'Ethylene Recycling LC'!AC$46</f>
        <v>0.10554160639045188</v>
      </c>
      <c r="AD101" s="110">
        <f>'Ethylene Recycling HC'!AD111*'Ethylene Recycling HC'!AD$46/'Ethylene Recycling LC'!AD$46</f>
        <v>0.103159728598215</v>
      </c>
      <c r="AE101" s="110">
        <f>'Ethylene Recycling HC'!AE111*'Ethylene Recycling HC'!AE$46/'Ethylene Recycling LC'!AE$46</f>
        <v>9.9697393977647708E-2</v>
      </c>
      <c r="AF101" s="110">
        <f>'Ethylene Recycling HC'!AF111*'Ethylene Recycling HC'!AF$46/'Ethylene Recycling LC'!AF$46</f>
        <v>9.5151791562929675E-2</v>
      </c>
      <c r="AG101" s="110">
        <f>'Ethylene Recycling HC'!AG111*'Ethylene Recycling HC'!AG$46/'Ethylene Recycling LC'!AG$46</f>
        <v>8.9520153550863693E-2</v>
      </c>
      <c r="AI101" s="133" t="s">
        <v>1314</v>
      </c>
      <c r="AJ101" s="211"/>
      <c r="BD101" s="203"/>
      <c r="BE101" s="203"/>
    </row>
    <row r="102" spans="1:63" ht="16" outlineLevel="1">
      <c r="A102" t="s">
        <v>1335</v>
      </c>
      <c r="B102" s="54" t="s">
        <v>462</v>
      </c>
      <c r="C102" s="110">
        <f>'Ethylene Recycling HC'!C118*'Ethylene Recycling HC'!C$46/'Ethylene Recycling LC'!C$46</f>
        <v>1.1960000000000002E-2</v>
      </c>
      <c r="D102" s="110">
        <f>'Ethylene Recycling HC'!D118*'Ethylene Recycling HC'!D$46/'Ethylene Recycling LC'!D$46</f>
        <v>1.4562523765387934E-2</v>
      </c>
      <c r="E102" s="110">
        <f>'Ethylene Recycling HC'!E118*'Ethylene Recycling HC'!E$46/'Ethylene Recycling LC'!E$46</f>
        <v>1.7008912329058656E-2</v>
      </c>
      <c r="F102" s="110">
        <f>'Ethylene Recycling HC'!F118*'Ethylene Recycling HC'!F$46/'Ethylene Recycling LC'!F$46</f>
        <v>1.9299165691012168E-2</v>
      </c>
      <c r="G102" s="110">
        <f>'Ethylene Recycling HC'!G118*'Ethylene Recycling HC'!G$46/'Ethylene Recycling LC'!G$46</f>
        <v>2.1433283851248472E-2</v>
      </c>
      <c r="H102" s="110">
        <f>'Ethylene Recycling HC'!H118*'Ethylene Recycling HC'!H$46/'Ethylene Recycling LC'!H$46</f>
        <v>2.3411266809767559E-2</v>
      </c>
      <c r="I102" s="110">
        <f>'Ethylene Recycling HC'!I118*'Ethylene Recycling HC'!I$46/'Ethylene Recycling LC'!I$46</f>
        <v>2.5233114566569442E-2</v>
      </c>
      <c r="J102" s="110">
        <f>'Ethylene Recycling HC'!J118*'Ethylene Recycling HC'!J$46/'Ethylene Recycling LC'!J$46</f>
        <v>2.6898827121654104E-2</v>
      </c>
      <c r="K102" s="110">
        <f>'Ethylene Recycling HC'!K118*'Ethylene Recycling HC'!K$46/'Ethylene Recycling LC'!K$46</f>
        <v>2.8408404475021569E-2</v>
      </c>
      <c r="L102" s="110">
        <f>'Ethylene Recycling HC'!L118*'Ethylene Recycling HC'!L$46/'Ethylene Recycling LC'!L$46</f>
        <v>2.9761846626671813E-2</v>
      </c>
      <c r="M102" s="110">
        <f>'Ethylene Recycling HC'!M118*'Ethylene Recycling HC'!M$46/'Ethylene Recycling LC'!M$46</f>
        <v>3.0959153576604843E-2</v>
      </c>
      <c r="N102" s="110">
        <f>'Ethylene Recycling HC'!N118*'Ethylene Recycling HC'!N$46/'Ethylene Recycling LC'!N$46</f>
        <v>3.4363972070816588E-2</v>
      </c>
      <c r="O102" s="110">
        <f>'Ethylene Recycling HC'!O118*'Ethylene Recycling HC'!O$46/'Ethylene Recycling LC'!O$46</f>
        <v>3.7439705601408989E-2</v>
      </c>
      <c r="P102" s="110">
        <f>'Ethylene Recycling HC'!P118*'Ethylene Recycling HC'!P$46/'Ethylene Recycling LC'!P$46</f>
        <v>4.0226500376342463E-2</v>
      </c>
      <c r="Q102" s="110">
        <f>'Ethylene Recycling HC'!Q118*'Ethylene Recycling HC'!Q$46/'Ethylene Recycling LC'!Q$46</f>
        <v>4.2688955531759144E-2</v>
      </c>
      <c r="R102" s="110">
        <f>'Ethylene Recycling HC'!R118*'Ethylene Recycling HC'!R$46/'Ethylene Recycling LC'!R$46</f>
        <v>4.4826072572222236E-2</v>
      </c>
      <c r="S102" s="110">
        <f>'Ethylene Recycling HC'!S118*'Ethylene Recycling HC'!S$46/'Ethylene Recycling LC'!S$46</f>
        <v>4.663685698036428E-2</v>
      </c>
      <c r="T102" s="110">
        <f>'Ethylene Recycling HC'!T118*'Ethylene Recycling HC'!T$46/'Ethylene Recycling LC'!T$46</f>
        <v>4.8120318197096036E-2</v>
      </c>
      <c r="U102" s="110">
        <f>'Ethylene Recycling HC'!U118*'Ethylene Recycling HC'!U$46/'Ethylene Recycling LC'!U$46</f>
        <v>4.9275469601932888E-2</v>
      </c>
      <c r="V102" s="110">
        <f>'Ethylene Recycling HC'!V118*'Ethylene Recycling HC'!V$46/'Ethylene Recycling LC'!V$46</f>
        <v>5.0101328493438853E-2</v>
      </c>
      <c r="W102" s="110">
        <f>'Ethylene Recycling HC'!W118*'Ethylene Recycling HC'!W$46/'Ethylene Recycling LC'!W$46</f>
        <v>5.0596916069786849E-2</v>
      </c>
      <c r="X102" s="110">
        <f>'Ethylene Recycling HC'!X118*'Ethylene Recycling HC'!X$46/'Ethylene Recycling LC'!X$46</f>
        <v>5.2698351881451305E-2</v>
      </c>
      <c r="Y102" s="110">
        <f>'Ethylene Recycling HC'!Y118*'Ethylene Recycling HC'!Y$46/'Ethylene Recycling LC'!Y$46</f>
        <v>5.4247610116859871E-2</v>
      </c>
      <c r="Z102" s="110">
        <f>'Ethylene Recycling HC'!Z118*'Ethylene Recycling HC'!Z$46/'Ethylene Recycling LC'!Z$46</f>
        <v>5.5241302361823161E-2</v>
      </c>
      <c r="AA102" s="110">
        <f>'Ethylene Recycling HC'!AA118*'Ethylene Recycling HC'!AA$46/'Ethylene Recycling LC'!AA$46</f>
        <v>5.56792372522164E-2</v>
      </c>
      <c r="AB102" s="110">
        <f>'Ethylene Recycling HC'!AB118*'Ethylene Recycling HC'!AB$46/'Ethylene Recycling LC'!AB$46</f>
        <v>5.55598588102851E-2</v>
      </c>
      <c r="AC102" s="110">
        <f>'Ethylene Recycling HC'!AC118*'Ethylene Recycling HC'!AC$46/'Ethylene Recycling LC'!AC$46</f>
        <v>5.4881635323034986E-2</v>
      </c>
      <c r="AD102" s="110">
        <f>'Ethylene Recycling HC'!AD118*'Ethylene Recycling HC'!AD$46/'Ethylene Recycling LC'!AD$46</f>
        <v>5.3643058871071805E-2</v>
      </c>
      <c r="AE102" s="110">
        <f>'Ethylene Recycling HC'!AE118*'Ethylene Recycling HC'!AE$46/'Ethylene Recycling LC'!AE$46</f>
        <v>5.1842644868376815E-2</v>
      </c>
      <c r="AF102" s="110">
        <f>'Ethylene Recycling HC'!AF118*'Ethylene Recycling HC'!AF$46/'Ethylene Recycling LC'!AF$46</f>
        <v>4.9478931612723438E-2</v>
      </c>
      <c r="AG102" s="110">
        <f>'Ethylene Recycling HC'!AG118*'Ethylene Recycling HC'!AG$46/'Ethylene Recycling LC'!AG$46</f>
        <v>4.6550479846449125E-2</v>
      </c>
      <c r="AI102" s="133" t="s">
        <v>1314</v>
      </c>
      <c r="AJ102" s="211"/>
      <c r="BD102" s="203"/>
      <c r="BE102" s="203"/>
    </row>
    <row r="103" spans="1:63" ht="16" outlineLevel="1">
      <c r="A103" t="s">
        <v>1336</v>
      </c>
      <c r="B103" s="54" t="s">
        <v>462</v>
      </c>
      <c r="C103" s="110">
        <f>'Ethylene Recycling HC'!C119*'Ethylene Recycling HC'!C$46/'Ethylene Recycling LC'!C$46</f>
        <v>2.7600000000000003E-3</v>
      </c>
      <c r="D103" s="110">
        <f>'Ethylene Recycling HC'!D119*'Ethylene Recycling HC'!D$46/'Ethylene Recycling LC'!D$46</f>
        <v>3.3605824073972158E-3</v>
      </c>
      <c r="E103" s="110">
        <f>'Ethylene Recycling HC'!E119*'Ethylene Recycling HC'!E$46/'Ethylene Recycling LC'!E$46</f>
        <v>3.9251336143981512E-3</v>
      </c>
      <c r="F103" s="110">
        <f>'Ethylene Recycling HC'!F119*'Ethylene Recycling HC'!F$46/'Ethylene Recycling LC'!F$46</f>
        <v>4.4536536210028075E-3</v>
      </c>
      <c r="G103" s="110">
        <f>'Ethylene Recycling HC'!G119*'Ethylene Recycling HC'!G$46/'Ethylene Recycling LC'!G$46</f>
        <v>4.9461424272111854E-3</v>
      </c>
      <c r="H103" s="110">
        <f>'Ethylene Recycling HC'!H119*'Ethylene Recycling HC'!H$46/'Ethylene Recycling LC'!H$46</f>
        <v>5.4026000330232825E-3</v>
      </c>
      <c r="I103" s="110">
        <f>'Ethylene Recycling HC'!I119*'Ethylene Recycling HC'!I$46/'Ethylene Recycling LC'!I$46</f>
        <v>5.8230264384391021E-3</v>
      </c>
      <c r="J103" s="110">
        <f>'Ethylene Recycling HC'!J119*'Ethylene Recycling HC'!J$46/'Ethylene Recycling LC'!J$46</f>
        <v>6.2074216434586382E-3</v>
      </c>
      <c r="K103" s="110">
        <f>'Ethylene Recycling HC'!K119*'Ethylene Recycling HC'!K$46/'Ethylene Recycling LC'!K$46</f>
        <v>6.5557856480818986E-3</v>
      </c>
      <c r="L103" s="110">
        <f>'Ethylene Recycling HC'!L119*'Ethylene Recycling HC'!L$46/'Ethylene Recycling LC'!L$46</f>
        <v>6.868118452308879E-3</v>
      </c>
      <c r="M103" s="110">
        <f>'Ethylene Recycling HC'!M119*'Ethylene Recycling HC'!M$46/'Ethylene Recycling LC'!M$46</f>
        <v>7.1444200561395785E-3</v>
      </c>
      <c r="N103" s="110">
        <f>'Ethylene Recycling HC'!N119*'Ethylene Recycling HC'!N$46/'Ethylene Recycling LC'!N$46</f>
        <v>7.9301474009576736E-3</v>
      </c>
      <c r="O103" s="110">
        <f>'Ethylene Recycling HC'!O119*'Ethylene Recycling HC'!O$46/'Ethylene Recycling LC'!O$46</f>
        <v>8.6399320618636127E-3</v>
      </c>
      <c r="P103" s="110">
        <f>'Ethylene Recycling HC'!P119*'Ethylene Recycling HC'!P$46/'Ethylene Recycling LC'!P$46</f>
        <v>9.2830385483867201E-3</v>
      </c>
      <c r="Q103" s="110">
        <f>'Ethylene Recycling HC'!Q119*'Ethylene Recycling HC'!Q$46/'Ethylene Recycling LC'!Q$46</f>
        <v>9.8512974304059576E-3</v>
      </c>
      <c r="R103" s="110">
        <f>'Ethylene Recycling HC'!R119*'Ethylene Recycling HC'!R$46/'Ethylene Recycling LC'!R$46</f>
        <v>1.0344478285897437E-2</v>
      </c>
      <c r="S103" s="110">
        <f>'Ethylene Recycling HC'!S119*'Ethylene Recycling HC'!S$46/'Ethylene Recycling LC'!S$46</f>
        <v>1.0762351610853295E-2</v>
      </c>
      <c r="T103" s="110">
        <f>'Ethylene Recycling HC'!T119*'Ethylene Recycling HC'!T$46/'Ethylene Recycling LC'!T$46</f>
        <v>1.1104688814714467E-2</v>
      </c>
      <c r="U103" s="110">
        <f>'Ethylene Recycling HC'!U119*'Ethylene Recycling HC'!U$46/'Ethylene Recycling LC'!U$46</f>
        <v>1.1371262215830666E-2</v>
      </c>
      <c r="V103" s="110">
        <f>'Ethylene Recycling HC'!V119*'Ethylene Recycling HC'!V$46/'Ethylene Recycling LC'!V$46</f>
        <v>1.1561845036947427E-2</v>
      </c>
      <c r="W103" s="110">
        <f>'Ethylene Recycling HC'!W119*'Ethylene Recycling HC'!W$46/'Ethylene Recycling LC'!W$46</f>
        <v>1.1676211400720041E-2</v>
      </c>
      <c r="X103" s="110">
        <f>'Ethylene Recycling HC'!X119*'Ethylene Recycling HC'!X$46/'Ethylene Recycling LC'!X$46</f>
        <v>1.2161158126488762E-2</v>
      </c>
      <c r="Y103" s="110">
        <f>'Ethylene Recycling HC'!Y119*'Ethylene Recycling HC'!Y$46/'Ethylene Recycling LC'!Y$46</f>
        <v>1.2518679257736892E-2</v>
      </c>
      <c r="Z103" s="110">
        <f>'Ethylene Recycling HC'!Z119*'Ethylene Recycling HC'!Z$46/'Ethylene Recycling LC'!Z$46</f>
        <v>1.2747992852728422E-2</v>
      </c>
      <c r="AA103" s="110">
        <f>'Ethylene Recycling HC'!AA119*'Ethylene Recycling HC'!AA$46/'Ethylene Recycling LC'!AA$46</f>
        <v>1.2849054750511476E-2</v>
      </c>
      <c r="AB103" s="110">
        <f>'Ethylene Recycling HC'!AB119*'Ethylene Recycling HC'!AB$46/'Ethylene Recycling LC'!AB$46</f>
        <v>1.2821505879296558E-2</v>
      </c>
      <c r="AC103" s="110">
        <f>'Ethylene Recycling HC'!AC119*'Ethylene Recycling HC'!AC$46/'Ethylene Recycling LC'!AC$46</f>
        <v>1.2664992766854226E-2</v>
      </c>
      <c r="AD103" s="110">
        <f>'Ethylene Recycling HC'!AD119*'Ethylene Recycling HC'!AD$46/'Ethylene Recycling LC'!AD$46</f>
        <v>1.23791674317858E-2</v>
      </c>
      <c r="AE103" s="110">
        <f>'Ethylene Recycling HC'!AE119*'Ethylene Recycling HC'!AE$46/'Ethylene Recycling LC'!AE$46</f>
        <v>1.1963687277317725E-2</v>
      </c>
      <c r="AF103" s="110">
        <f>'Ethylene Recycling HC'!AF119*'Ethylene Recycling HC'!AF$46/'Ethylene Recycling LC'!AF$46</f>
        <v>1.1418214987551561E-2</v>
      </c>
      <c r="AG103" s="110">
        <f>'Ethylene Recycling HC'!AG119*'Ethylene Recycling HC'!AG$46/'Ethylene Recycling LC'!AG$46</f>
        <v>1.0742418426103642E-2</v>
      </c>
      <c r="AI103" s="133" t="s">
        <v>1314</v>
      </c>
      <c r="AJ103" s="211"/>
      <c r="AL103" s="1"/>
      <c r="BC103" s="1"/>
      <c r="BD103" s="762"/>
      <c r="BE103" s="760"/>
      <c r="BF103" s="6"/>
      <c r="BG103" s="6"/>
      <c r="BH103" s="6"/>
      <c r="BI103" s="6"/>
      <c r="BJ103" s="6"/>
    </row>
    <row r="104" spans="1:63" ht="16" outlineLevel="1">
      <c r="A104" t="s">
        <v>1337</v>
      </c>
      <c r="B104" s="54" t="s">
        <v>462</v>
      </c>
      <c r="C104" s="110">
        <f>'Ethylene Recycling HC'!C120*'Ethylene Recycling HC'!C$46/'Ethylene Recycling LC'!C$46</f>
        <v>8.2800000000000009E-3</v>
      </c>
      <c r="D104" s="110">
        <f>'Ethylene Recycling HC'!D120*'Ethylene Recycling HC'!D$46/'Ethylene Recycling LC'!D$46</f>
        <v>1.0081747222191647E-2</v>
      </c>
      <c r="E104" s="110">
        <f>'Ethylene Recycling HC'!E120*'Ethylene Recycling HC'!E$46/'Ethylene Recycling LC'!E$46</f>
        <v>1.1775400843194454E-2</v>
      </c>
      <c r="F104" s="110">
        <f>'Ethylene Recycling HC'!F120*'Ethylene Recycling HC'!F$46/'Ethylene Recycling LC'!F$46</f>
        <v>1.3360960863008423E-2</v>
      </c>
      <c r="G104" s="110">
        <f>'Ethylene Recycling HC'!G120*'Ethylene Recycling HC'!G$46/'Ethylene Recycling LC'!G$46</f>
        <v>1.4838427281633556E-2</v>
      </c>
      <c r="H104" s="110">
        <f>'Ethylene Recycling HC'!H120*'Ethylene Recycling HC'!H$46/'Ethylene Recycling LC'!H$46</f>
        <v>1.6207800099069847E-2</v>
      </c>
      <c r="I104" s="110">
        <f>'Ethylene Recycling HC'!I120*'Ethylene Recycling HC'!I$46/'Ethylene Recycling LC'!I$46</f>
        <v>1.7469079315317305E-2</v>
      </c>
      <c r="J104" s="110">
        <f>'Ethylene Recycling HC'!J120*'Ethylene Recycling HC'!J$46/'Ethylene Recycling LC'!J$46</f>
        <v>1.8622264930375918E-2</v>
      </c>
      <c r="K104" s="110">
        <f>'Ethylene Recycling HC'!K120*'Ethylene Recycling HC'!K$46/'Ethylene Recycling LC'!K$46</f>
        <v>1.9667356944245699E-2</v>
      </c>
      <c r="L104" s="110">
        <f>'Ethylene Recycling HC'!L120*'Ethylene Recycling HC'!L$46/'Ethylene Recycling LC'!L$46</f>
        <v>2.0604355356926639E-2</v>
      </c>
      <c r="M104" s="110">
        <f>'Ethylene Recycling HC'!M120*'Ethylene Recycling HC'!M$46/'Ethylene Recycling LC'!M$46</f>
        <v>2.1433260168418736E-2</v>
      </c>
      <c r="N104" s="110">
        <f>'Ethylene Recycling HC'!N120*'Ethylene Recycling HC'!N$46/'Ethylene Recycling LC'!N$46</f>
        <v>2.3790442202873019E-2</v>
      </c>
      <c r="O104" s="110">
        <f>'Ethylene Recycling HC'!O120*'Ethylene Recycling HC'!O$46/'Ethylene Recycling LC'!O$46</f>
        <v>2.591979618559084E-2</v>
      </c>
      <c r="P104" s="110">
        <f>'Ethylene Recycling HC'!P120*'Ethylene Recycling HC'!P$46/'Ethylene Recycling LC'!P$46</f>
        <v>2.7849115645160166E-2</v>
      </c>
      <c r="Q104" s="110">
        <f>'Ethylene Recycling HC'!Q120*'Ethylene Recycling HC'!Q$46/'Ethylene Recycling LC'!Q$46</f>
        <v>2.9553892291217868E-2</v>
      </c>
      <c r="R104" s="110">
        <f>'Ethylene Recycling HC'!R120*'Ethylene Recycling HC'!R$46/'Ethylene Recycling LC'!R$46</f>
        <v>3.1033434857692308E-2</v>
      </c>
      <c r="S104" s="110">
        <f>'Ethylene Recycling HC'!S120*'Ethylene Recycling HC'!S$46/'Ethylene Recycling LC'!S$46</f>
        <v>3.2287054832559885E-2</v>
      </c>
      <c r="T104" s="110">
        <f>'Ethylene Recycling HC'!T120*'Ethylene Recycling HC'!T$46/'Ethylene Recycling LC'!T$46</f>
        <v>3.3314066444143399E-2</v>
      </c>
      <c r="U104" s="110">
        <f>'Ethylene Recycling HC'!U120*'Ethylene Recycling HC'!U$46/'Ethylene Recycling LC'!U$46</f>
        <v>3.4113786647491998E-2</v>
      </c>
      <c r="V104" s="110">
        <f>'Ethylene Recycling HC'!V120*'Ethylene Recycling HC'!V$46/'Ethylene Recycling LC'!V$46</f>
        <v>3.4685535110842283E-2</v>
      </c>
      <c r="W104" s="110">
        <f>'Ethylene Recycling HC'!W120*'Ethylene Recycling HC'!W$46/'Ethylene Recycling LC'!W$46</f>
        <v>3.5028634202160118E-2</v>
      </c>
      <c r="X104" s="110">
        <f>'Ethylene Recycling HC'!X120*'Ethylene Recycling HC'!X$46/'Ethylene Recycling LC'!X$46</f>
        <v>3.6483474379466287E-2</v>
      </c>
      <c r="Y104" s="110">
        <f>'Ethylene Recycling HC'!Y120*'Ethylene Recycling HC'!Y$46/'Ethylene Recycling LC'!Y$46</f>
        <v>3.7556037773210676E-2</v>
      </c>
      <c r="Z104" s="110">
        <f>'Ethylene Recycling HC'!Z120*'Ethylene Recycling HC'!Z$46/'Ethylene Recycling LC'!Z$46</f>
        <v>3.8243978558185274E-2</v>
      </c>
      <c r="AA104" s="110">
        <f>'Ethylene Recycling HC'!AA120*'Ethylene Recycling HC'!AA$46/'Ethylene Recycling LC'!AA$46</f>
        <v>3.8547164251534427E-2</v>
      </c>
      <c r="AB104" s="110">
        <f>'Ethylene Recycling HC'!AB120*'Ethylene Recycling HC'!AB$46/'Ethylene Recycling LC'!AB$46</f>
        <v>3.8464517637889675E-2</v>
      </c>
      <c r="AC104" s="110">
        <f>'Ethylene Recycling HC'!AC120*'Ethylene Recycling HC'!AC$46/'Ethylene Recycling LC'!AC$46</f>
        <v>3.7994978300562671E-2</v>
      </c>
      <c r="AD104" s="110">
        <f>'Ethylene Recycling HC'!AD120*'Ethylene Recycling HC'!AD$46/'Ethylene Recycling LC'!AD$46</f>
        <v>3.7137502295357401E-2</v>
      </c>
      <c r="AE104" s="110">
        <f>'Ethylene Recycling HC'!AE120*'Ethylene Recycling HC'!AE$46/'Ethylene Recycling LC'!AE$46</f>
        <v>3.5891061831953175E-2</v>
      </c>
      <c r="AF104" s="110">
        <f>'Ethylene Recycling HC'!AF120*'Ethylene Recycling HC'!AF$46/'Ethylene Recycling LC'!AF$46</f>
        <v>3.4254644962654686E-2</v>
      </c>
      <c r="AG104" s="110">
        <f>'Ethylene Recycling HC'!AG120*'Ethylene Recycling HC'!AG$46/'Ethylene Recycling LC'!AG$46</f>
        <v>3.2227255278310933E-2</v>
      </c>
      <c r="AI104" s="133" t="s">
        <v>1314</v>
      </c>
      <c r="AJ104" s="211"/>
      <c r="BC104" s="1"/>
      <c r="BD104" s="41"/>
      <c r="BF104" s="6"/>
      <c r="BG104" s="6"/>
      <c r="BH104" s="6"/>
      <c r="BI104" s="6"/>
      <c r="BJ104" s="6"/>
    </row>
    <row r="105" spans="1:63" outlineLevel="1">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I105" s="133"/>
      <c r="AJ105" s="211"/>
      <c r="BC105" s="1"/>
      <c r="BD105" s="41"/>
      <c r="BF105" s="6"/>
      <c r="BG105" s="6"/>
      <c r="BH105" s="6"/>
      <c r="BI105" s="6"/>
      <c r="BJ105" s="6"/>
    </row>
    <row r="106" spans="1:63" s="1" customFormat="1" outlineLevel="1">
      <c r="A106" s="1" t="s">
        <v>228</v>
      </c>
      <c r="B106" s="65"/>
      <c r="C106" s="300">
        <f>'Ethylene Recycling HC'!C130</f>
        <v>5.3282886712939133E-3</v>
      </c>
      <c r="D106" s="300">
        <f>'Ethylene Recycling HC'!D130</f>
        <v>8.9211563866526834E-3</v>
      </c>
      <c r="E106" s="300">
        <f>'Ethylene Recycling HC'!E130</f>
        <v>1.3539186992593613E-2</v>
      </c>
      <c r="F106" s="300">
        <f>'Ethylene Recycling HC'!F130</f>
        <v>1.9223459542103728E-2</v>
      </c>
      <c r="G106" s="300">
        <f>'Ethylene Recycling HC'!G130</f>
        <v>2.6001729306348805E-2</v>
      </c>
      <c r="H106" s="300">
        <f>'Ethylene Recycling HC'!H130</f>
        <v>3.3887269030810976E-2</v>
      </c>
      <c r="I106" s="300">
        <f>'Ethylene Recycling HC'!I130</f>
        <v>4.2970449915570842E-2</v>
      </c>
      <c r="J106" s="300">
        <f>'Ethylene Recycling HC'!J130</f>
        <v>5.329890202609297E-2</v>
      </c>
      <c r="K106" s="300">
        <f>'Ethylene Recycling HC'!K130</f>
        <v>6.4918838923360797E-2</v>
      </c>
      <c r="L106" s="300">
        <f>'Ethylene Recycling HC'!L130</f>
        <v>7.7874861943349638E-2</v>
      </c>
      <c r="M106" s="300">
        <f>'Ethylene Recycling HC'!M130</f>
        <v>9.2209763823172836E-2</v>
      </c>
      <c r="N106" s="300">
        <f>'Ethylene Recycling HC'!N130</f>
        <v>0.1157730402625701</v>
      </c>
      <c r="O106" s="300">
        <f>'Ethylene Recycling HC'!O130</f>
        <v>0.14190181281567329</v>
      </c>
      <c r="P106" s="300">
        <f>'Ethylene Recycling HC'!P130</f>
        <v>0.17088335220767822</v>
      </c>
      <c r="Q106" s="300">
        <f>'Ethylene Recycling HC'!Q130</f>
        <v>0.20241838538125176</v>
      </c>
      <c r="R106" s="300">
        <f>'Ethylene Recycling HC'!R130</f>
        <v>0.23640962807657073</v>
      </c>
      <c r="S106" s="300">
        <f>'Ethylene Recycling HC'!S130</f>
        <v>0.2732216520832057</v>
      </c>
      <c r="T106" s="300">
        <f>'Ethylene Recycling HC'!T130</f>
        <v>0.3129109134685738</v>
      </c>
      <c r="U106" s="300">
        <f>'Ethylene Recycling HC'!U130</f>
        <v>0.35553290017483985</v>
      </c>
      <c r="V106" s="300">
        <f>'Ethylene Recycling HC'!V130</f>
        <v>0.4011420667473084</v>
      </c>
      <c r="W106" s="300">
        <f>'Ethylene Recycling HC'!W130</f>
        <v>0.44979176891251638</v>
      </c>
      <c r="X106" s="300">
        <f>'Ethylene Recycling HC'!X130</f>
        <v>0.52067892149824624</v>
      </c>
      <c r="Y106" s="300">
        <f>'Ethylene Recycling HC'!Y130</f>
        <v>0.59662883548715606</v>
      </c>
      <c r="Z106" s="300">
        <f>'Ethylene Recycling HC'!Z130</f>
        <v>0.6797199565049632</v>
      </c>
      <c r="AA106" s="300">
        <f>'Ethylene Recycling HC'!AA130</f>
        <v>0.76854823862853294</v>
      </c>
      <c r="AB106" s="300">
        <f>'Ethylene Recycling HC'!AB130</f>
        <v>0.86324284732267176</v>
      </c>
      <c r="AC106" s="300">
        <f>'Ethylene Recycling HC'!AC130</f>
        <v>0.96394072135490672</v>
      </c>
      <c r="AD106" s="300">
        <f>'Ethylene Recycling HC'!AD130</f>
        <v>1.0707712541078851</v>
      </c>
      <c r="AE106" s="300">
        <f>'Ethylene Recycling HC'!AE130</f>
        <v>1.183862587692565</v>
      </c>
      <c r="AF106" s="300">
        <f>'Ethylene Recycling HC'!AF130</f>
        <v>1.3033414881687648</v>
      </c>
      <c r="AG106" s="300">
        <f>'Ethylene Recycling HC'!AG130</f>
        <v>1.4293332196993529</v>
      </c>
      <c r="AH106" s="422"/>
      <c r="AI106" s="423"/>
      <c r="AJ106" s="424"/>
      <c r="AL106" s="221"/>
      <c r="AM106" s="124"/>
      <c r="AN106" s="124"/>
      <c r="AO106" s="124"/>
      <c r="BD106" s="124"/>
      <c r="BE106" s="124"/>
      <c r="BF106" s="124"/>
      <c r="BG106" s="124"/>
      <c r="BH106" s="124"/>
      <c r="BI106" s="124"/>
      <c r="BJ106" s="124"/>
      <c r="BK106" s="124"/>
    </row>
    <row r="107" spans="1:63" outlineLevel="1">
      <c r="A107" s="4" t="s">
        <v>258</v>
      </c>
      <c r="C107" s="230">
        <f>'Ethylene Recycling HC'!C131</f>
        <v>4.2990647651049707E-3</v>
      </c>
      <c r="D107" s="230">
        <f>'Ethylene Recycling HC'!D131</f>
        <v>7.1713521472450189E-3</v>
      </c>
      <c r="E107" s="230">
        <f>'Ethylene Recycling HC'!E131</f>
        <v>1.0843267541403532E-2</v>
      </c>
      <c r="F107" s="230">
        <f>'Ethylene Recycling HC'!F131</f>
        <v>1.5338426788676732E-2</v>
      </c>
      <c r="G107" s="230">
        <f>'Ethylene Recycling HC'!G131</f>
        <v>2.0669364892115981E-2</v>
      </c>
      <c r="H107" s="230">
        <f>'Ethylene Recycling HC'!H131</f>
        <v>2.6836816799464744E-2</v>
      </c>
      <c r="I107" s="230">
        <f>'Ethylene Recycling HC'!I131</f>
        <v>3.3902187305766295E-2</v>
      </c>
      <c r="J107" s="230">
        <f>'Ethylene Recycling HC'!J131</f>
        <v>4.1892210474123261E-2</v>
      </c>
      <c r="K107" s="230">
        <f>'Ethylene Recycling HC'!K131</f>
        <v>5.0831943716434125E-2</v>
      </c>
      <c r="L107" s="230">
        <f>'Ethylene Recycling HC'!L131</f>
        <v>6.0744636223000005E-2</v>
      </c>
      <c r="M107" s="230">
        <f>'Ethylene Recycling HC'!M131</f>
        <v>7.1651600382510977E-2</v>
      </c>
      <c r="N107" s="230">
        <f>'Ethylene Recycling HC'!N131</f>
        <v>8.961658309877861E-2</v>
      </c>
      <c r="O107" s="230">
        <f>'Ethylene Recycling HC'!O131</f>
        <v>0.10941942107286672</v>
      </c>
      <c r="P107" s="230">
        <f>'Ethylene Recycling HC'!P131</f>
        <v>0.131257844760609</v>
      </c>
      <c r="Q107" s="230">
        <f>'Ethylene Recycling HC'!Q131</f>
        <v>0.15487737662119971</v>
      </c>
      <c r="R107" s="230">
        <f>'Ethylene Recycling HC'!R131</f>
        <v>0.18018105198933901</v>
      </c>
      <c r="S107" s="230">
        <f>'Ethylene Recycling HC'!S131</f>
        <v>0.20742369601450819</v>
      </c>
      <c r="T107" s="230">
        <f>'Ethylene Recycling HC'!T131</f>
        <v>0.23662279325710334</v>
      </c>
      <c r="U107" s="230">
        <f>'Ethylene Recycling HC'!U131</f>
        <v>0.26779442638617323</v>
      </c>
      <c r="V107" s="230">
        <f>'Ethylene Recycling HC'!V131</f>
        <v>0.30095324162912829</v>
      </c>
      <c r="W107" s="230">
        <f>'Ethylene Recycling HC'!W131</f>
        <v>0.33611241527571345</v>
      </c>
      <c r="X107" s="230">
        <f>'Ethylene Recycling HC'!X131</f>
        <v>0.38753272277864692</v>
      </c>
      <c r="Y107" s="230">
        <f>'Ethylene Recycling HC'!Y131</f>
        <v>0.44228376505860717</v>
      </c>
      <c r="Z107" s="230">
        <f>'Ethylene Recycling HC'!Z131</f>
        <v>0.50185486990075345</v>
      </c>
      <c r="AA107" s="230">
        <f>'Ethylene Recycling HC'!AA131</f>
        <v>0.56514975993414718</v>
      </c>
      <c r="AB107" s="230">
        <f>'Ethylene Recycling HC'!AB131</f>
        <v>0.63221176268379231</v>
      </c>
      <c r="AC107" s="230">
        <f>'Ethylene Recycling HC'!AC131</f>
        <v>0.70308833642020163</v>
      </c>
      <c r="AD107" s="230">
        <f>'Ethylene Recycling HC'!AD131</f>
        <v>0.77781982672425731</v>
      </c>
      <c r="AE107" s="230">
        <f>'Ethylene Recycling HC'!AE131</f>
        <v>0.85644413223049165</v>
      </c>
      <c r="AF107" s="230">
        <f>'Ethylene Recycling HC'!AF131</f>
        <v>0.93899663336562422</v>
      </c>
      <c r="AG107" s="230">
        <f>'Ethylene Recycling HC'!AG131</f>
        <v>1.0255101225521503</v>
      </c>
      <c r="AH107" s="245"/>
      <c r="AI107" s="133"/>
      <c r="AJ107" s="211"/>
      <c r="AL107" s="108"/>
      <c r="AM107" s="2"/>
      <c r="AN107" s="2"/>
      <c r="AO107" s="2"/>
      <c r="BC107" s="1"/>
      <c r="BD107" s="2"/>
      <c r="BE107" s="2"/>
      <c r="BF107" s="2"/>
      <c r="BG107" s="2"/>
      <c r="BH107" s="2"/>
      <c r="BI107" s="2"/>
      <c r="BJ107" s="2"/>
      <c r="BK107" s="2"/>
    </row>
    <row r="108" spans="1:63" outlineLevel="1">
      <c r="A108" s="4" t="s">
        <v>478</v>
      </c>
      <c r="C108" s="230">
        <f>'Ethylene Recycling HC'!C132</f>
        <v>5.3317797175375387E-4</v>
      </c>
      <c r="D108" s="230">
        <f>'Ethylene Recycling HC'!D132</f>
        <v>8.6294347322198798E-4</v>
      </c>
      <c r="E108" s="230">
        <f>'Ethylene Recycling HC'!E132</f>
        <v>1.2644853895042458E-3</v>
      </c>
      <c r="F108" s="230">
        <f>'Ethylene Recycling HC'!F132</f>
        <v>1.7312449120055293E-3</v>
      </c>
      <c r="G108" s="230">
        <f>'Ethylene Recycling HC'!G132</f>
        <v>2.2549596682377659E-3</v>
      </c>
      <c r="H108" s="230">
        <f>'Ethylene Recycling HC'!H132</f>
        <v>2.8257893050887698E-3</v>
      </c>
      <c r="I108" s="230">
        <f>'Ethylene Recycling HC'!I132</f>
        <v>3.4398883010618377E-3</v>
      </c>
      <c r="J108" s="230">
        <f>'Ethylene Recycling HC'!J132</f>
        <v>4.088926428590608E-3</v>
      </c>
      <c r="K108" s="230">
        <f>'Ethylene Recycling HC'!K132</f>
        <v>4.7638340314241747E-3</v>
      </c>
      <c r="L108" s="230">
        <f>'Ethylene Recycling HC'!L132</f>
        <v>5.454811939089828E-3</v>
      </c>
      <c r="M108" s="230">
        <f>'Ethylene Recycling HC'!M132</f>
        <v>6.1513452547473646E-3</v>
      </c>
      <c r="N108" s="230">
        <f>'Ethylene Recycling HC'!N132</f>
        <v>7.3370966013088625E-3</v>
      </c>
      <c r="O108" s="230">
        <f>'Ethylene Recycling HC'!O132</f>
        <v>8.5196871355172187E-3</v>
      </c>
      <c r="P108" s="230">
        <f>'Ethylene Recycling HC'!P132</f>
        <v>9.6897344274054168E-3</v>
      </c>
      <c r="Q108" s="230">
        <f>'Ethylene Recycling HC'!Q132</f>
        <v>1.0802720430138867E-2</v>
      </c>
      <c r="R108" s="230">
        <f>'Ethylene Recycling HC'!R132</f>
        <v>1.1828226075663783E-2</v>
      </c>
      <c r="S108" s="230">
        <f>'Ethylene Recycling HC'!S132</f>
        <v>1.2758697673073626E-2</v>
      </c>
      <c r="T108" s="230">
        <f>'Ethylene Recycling HC'!T132</f>
        <v>1.3568356960219284E-2</v>
      </c>
      <c r="U108" s="230">
        <f>'Ethylene Recycling HC'!U132</f>
        <v>1.4230633683810365E-2</v>
      </c>
      <c r="V108" s="230">
        <f>'Ethylene Recycling HC'!V132</f>
        <v>1.471817935054749E-2</v>
      </c>
      <c r="W108" s="230">
        <f>'Ethylene Recycling HC'!W132</f>
        <v>1.50028822795288E-2</v>
      </c>
      <c r="X108" s="230">
        <f>'Ethylene Recycling HC'!X132</f>
        <v>1.5630601967664297E-2</v>
      </c>
      <c r="Y108" s="230">
        <f>'Ethylene Recycling HC'!Y132</f>
        <v>1.5920526433870135E-2</v>
      </c>
      <c r="Z108" s="230">
        <f>'Ethylene Recycling HC'!Z132</f>
        <v>1.587052373279798E-2</v>
      </c>
      <c r="AA108" s="230">
        <f>'Ethylene Recycling HC'!AA132</f>
        <v>1.5381035688795447E-2</v>
      </c>
      <c r="AB108" s="230">
        <f>'Ethylene Recycling HC'!AB132</f>
        <v>1.4396807269661548E-2</v>
      </c>
      <c r="AC108" s="230">
        <f>'Ethylene Recycling HC'!AC132</f>
        <v>1.2860963820566959E-2</v>
      </c>
      <c r="AD108" s="230">
        <f>'Ethylene Recycling HC'!AD132</f>
        <v>1.0714728136882734E-2</v>
      </c>
      <c r="AE108" s="230">
        <f>'Ethylene Recycling HC'!AE132</f>
        <v>7.8975882912363325E-3</v>
      </c>
      <c r="AF108" s="230">
        <f>'Ethylene Recycling HC'!AF132</f>
        <v>4.3473180854994506E-3</v>
      </c>
      <c r="AG108" s="230">
        <f>'Ethylene Recycling HC'!AG132</f>
        <v>0</v>
      </c>
      <c r="AH108" s="245"/>
      <c r="AI108" s="133"/>
      <c r="AJ108" s="211"/>
      <c r="AL108" s="108"/>
      <c r="AM108" s="2"/>
      <c r="AN108" s="2"/>
      <c r="AO108" s="2"/>
      <c r="BC108" s="1"/>
      <c r="BD108" s="2"/>
      <c r="BE108" s="2"/>
      <c r="BF108" s="2"/>
      <c r="BG108" s="2"/>
      <c r="BH108" s="2"/>
      <c r="BI108" s="2"/>
      <c r="BJ108" s="2"/>
      <c r="BK108" s="2"/>
    </row>
    <row r="109" spans="1:63" outlineLevel="1">
      <c r="A109" s="4" t="s">
        <v>480</v>
      </c>
      <c r="C109" s="230">
        <f>'Ethylene Recycling HC'!C133</f>
        <v>0</v>
      </c>
      <c r="D109" s="230">
        <f>'Ethylene Recycling HC'!D133</f>
        <v>3.1861272809473869E-5</v>
      </c>
      <c r="E109" s="230">
        <f>'Ethylene Recycling HC'!E133</f>
        <v>9.6708478518525798E-5</v>
      </c>
      <c r="F109" s="230">
        <f>'Ethylene Recycling HC'!F133</f>
        <v>2.0596563795111138E-4</v>
      </c>
      <c r="G109" s="230">
        <f>'Ethylene Recycling HC'!G133</f>
        <v>3.7145327580498291E-4</v>
      </c>
      <c r="H109" s="230">
        <f>'Ethylene Recycling HC'!H133</f>
        <v>6.0512980412162458E-4</v>
      </c>
      <c r="I109" s="230">
        <f>'Ethylene Recycling HC'!I133</f>
        <v>9.207953553336609E-4</v>
      </c>
      <c r="J109" s="230">
        <f>'Ethylene Recycling HC'!J133</f>
        <v>1.3324725506523244E-3</v>
      </c>
      <c r="K109" s="230">
        <f>'Ethylene Recycling HC'!K133</f>
        <v>1.8548239692388801E-3</v>
      </c>
      <c r="L109" s="230">
        <f>'Ethylene Recycling HC'!L133</f>
        <v>2.5031205624648101E-3</v>
      </c>
      <c r="M109" s="230">
        <f>'Ethylene Recycling HC'!M133</f>
        <v>3.2932058508276015E-3</v>
      </c>
      <c r="N109" s="230">
        <f>'Ethylene Recycling HC'!N133</f>
        <v>4.5482265817438257E-3</v>
      </c>
      <c r="O109" s="230">
        <f>'Ethylene Recycling HC'!O133</f>
        <v>6.0815062635288563E-3</v>
      </c>
      <c r="P109" s="230">
        <f>'Ethylene Recycling HC'!P133</f>
        <v>7.9338699239279182E-3</v>
      </c>
      <c r="Q109" s="230">
        <f>'Ethylene Recycling HC'!Q133</f>
        <v>1.0120919269062591E-2</v>
      </c>
      <c r="R109" s="230">
        <f>'Ethylene Recycling HC'!R133</f>
        <v>1.2664801504102007E-2</v>
      </c>
      <c r="S109" s="230">
        <f>'Ethylene Recycling HC'!S133</f>
        <v>1.5612665833326043E-2</v>
      </c>
      <c r="T109" s="230">
        <f>'Ethylene Recycling HC'!T133</f>
        <v>1.8998162603449126E-2</v>
      </c>
      <c r="U109" s="230">
        <f>'Ethylene Recycling HC'!U133</f>
        <v>2.2855686439811135E-2</v>
      </c>
      <c r="V109" s="230">
        <f>'Ethylene Recycling HC'!V133</f>
        <v>2.7220354529281645E-2</v>
      </c>
      <c r="W109" s="230">
        <f>'Ethylene Recycling HC'!W133</f>
        <v>3.2127983493751171E-2</v>
      </c>
      <c r="X109" s="230">
        <f>'Ethylene Recycling HC'!X133</f>
        <v>3.9050919112368472E-2</v>
      </c>
      <c r="Y109" s="230">
        <f>'Ethylene Recycling HC'!Y133</f>
        <v>4.6877979931133698E-2</v>
      </c>
      <c r="Z109" s="230">
        <f>'Ethylene Recycling HC'!Z133</f>
        <v>5.5834139284336275E-2</v>
      </c>
      <c r="AA109" s="230">
        <f>'Ethylene Recycling HC'!AA133</f>
        <v>6.5875563311017127E-2</v>
      </c>
      <c r="AB109" s="230">
        <f>'Ethylene Recycling HC'!AB133</f>
        <v>7.707525422523856E-2</v>
      </c>
      <c r="AC109" s="230">
        <f>'Ethylene Recycling HC'!AC133</f>
        <v>8.9508781268669929E-2</v>
      </c>
      <c r="AD109" s="230">
        <f>'Ethylene Recycling HC'!AD133</f>
        <v>0.10325294236040322</v>
      </c>
      <c r="AE109" s="230">
        <f>'Ethylene Recycling HC'!AE133</f>
        <v>0.11838625876925653</v>
      </c>
      <c r="AF109" s="230">
        <f>'Ethylene Recycling HC'!AF133</f>
        <v>0.13498893984605068</v>
      </c>
      <c r="AG109" s="230">
        <f>'Ethylene Recycling HC'!AG133</f>
        <v>0.15314284496778779</v>
      </c>
      <c r="AH109" s="245"/>
      <c r="AI109" s="133"/>
      <c r="AJ109" s="211"/>
      <c r="AL109" s="108"/>
      <c r="AM109" s="2"/>
      <c r="AN109" s="2"/>
      <c r="AO109" s="2"/>
      <c r="BC109" s="1"/>
      <c r="BD109" s="2"/>
      <c r="BE109" s="2"/>
      <c r="BF109" s="2"/>
      <c r="BG109" s="2"/>
      <c r="BH109" s="2"/>
      <c r="BI109" s="2"/>
      <c r="BJ109" s="2"/>
      <c r="BK109" s="2"/>
    </row>
    <row r="110" spans="1:63" outlineLevel="1">
      <c r="A110" s="4" t="s">
        <v>474</v>
      </c>
      <c r="C110" s="230">
        <f>'Ethylene Recycling HC'!C134</f>
        <v>0</v>
      </c>
      <c r="D110" s="230">
        <f>'Ethylene Recycling HC'!D134</f>
        <v>0</v>
      </c>
      <c r="E110" s="230">
        <f>'Ethylene Recycling HC'!E134</f>
        <v>0</v>
      </c>
      <c r="F110" s="230">
        <f>'Ethylene Recycling HC'!F134</f>
        <v>0</v>
      </c>
      <c r="G110" s="230">
        <f>'Ethylene Recycling HC'!G134</f>
        <v>0</v>
      </c>
      <c r="H110" s="230">
        <f>'Ethylene Recycling HC'!H134</f>
        <v>0</v>
      </c>
      <c r="I110" s="230">
        <f>'Ethylene Recycling HC'!I134</f>
        <v>0</v>
      </c>
      <c r="J110" s="230">
        <f>'Ethylene Recycling HC'!J134</f>
        <v>0</v>
      </c>
      <c r="K110" s="230">
        <f>'Ethylene Recycling HC'!K134</f>
        <v>0</v>
      </c>
      <c r="L110" s="230">
        <f>'Ethylene Recycling HC'!L134</f>
        <v>0</v>
      </c>
      <c r="M110" s="230">
        <f>'Ethylene Recycling HC'!M134</f>
        <v>0</v>
      </c>
      <c r="N110" s="230">
        <f>'Ethylene Recycling HC'!N134</f>
        <v>0</v>
      </c>
      <c r="O110" s="230">
        <f>'Ethylene Recycling HC'!O134</f>
        <v>0</v>
      </c>
      <c r="P110" s="230">
        <f>'Ethylene Recycling HC'!P134</f>
        <v>0</v>
      </c>
      <c r="Q110" s="230">
        <f>'Ethylene Recycling HC'!Q134</f>
        <v>0</v>
      </c>
      <c r="R110" s="230">
        <f>'Ethylene Recycling HC'!R134</f>
        <v>0</v>
      </c>
      <c r="S110" s="230">
        <f>'Ethylene Recycling HC'!S134</f>
        <v>0</v>
      </c>
      <c r="T110" s="230">
        <f>'Ethylene Recycling HC'!T134</f>
        <v>0</v>
      </c>
      <c r="U110" s="230">
        <f>'Ethylene Recycling HC'!U134</f>
        <v>0</v>
      </c>
      <c r="V110" s="230">
        <f>'Ethylene Recycling HC'!V134</f>
        <v>0</v>
      </c>
      <c r="W110" s="230">
        <f>'Ethylene Recycling HC'!W134</f>
        <v>0</v>
      </c>
      <c r="X110" s="230">
        <f>'Ethylene Recycling HC'!X134</f>
        <v>0</v>
      </c>
      <c r="Y110" s="230">
        <f>'Ethylene Recycling HC'!Y134</f>
        <v>0</v>
      </c>
      <c r="Z110" s="230">
        <f>'Ethylene Recycling HC'!Z134</f>
        <v>0</v>
      </c>
      <c r="AA110" s="230">
        <f>'Ethylene Recycling HC'!AA134</f>
        <v>0</v>
      </c>
      <c r="AB110" s="230">
        <f>'Ethylene Recycling HC'!AB134</f>
        <v>0</v>
      </c>
      <c r="AC110" s="230">
        <f>'Ethylene Recycling HC'!AC134</f>
        <v>0</v>
      </c>
      <c r="AD110" s="230">
        <f>'Ethylene Recycling HC'!AD134</f>
        <v>0</v>
      </c>
      <c r="AE110" s="230">
        <f>'Ethylene Recycling HC'!AE134</f>
        <v>0</v>
      </c>
      <c r="AF110" s="230">
        <f>'Ethylene Recycling HC'!AF134</f>
        <v>0</v>
      </c>
      <c r="AG110" s="230">
        <f>'Ethylene Recycling HC'!AG134</f>
        <v>0</v>
      </c>
      <c r="AH110" s="245"/>
      <c r="AI110" s="133"/>
      <c r="AJ110" s="211"/>
      <c r="AL110" s="108"/>
      <c r="AM110" s="2"/>
      <c r="AN110" s="2"/>
      <c r="AO110" s="2"/>
      <c r="BC110" s="1"/>
      <c r="BD110" s="2"/>
      <c r="BE110" s="2"/>
      <c r="BF110" s="2"/>
      <c r="BG110" s="2"/>
      <c r="BH110" s="2"/>
      <c r="BI110" s="2"/>
      <c r="BJ110" s="2"/>
      <c r="BK110" s="2"/>
    </row>
    <row r="111" spans="1:63" outlineLevel="1">
      <c r="A111" s="4" t="s">
        <v>248</v>
      </c>
      <c r="C111" s="230">
        <f>'Ethylene Recycling HC'!C135</f>
        <v>4.9604593443518881E-4</v>
      </c>
      <c r="D111" s="230">
        <f>'Ethylene Recycling HC'!D135</f>
        <v>8.5499949337620247E-4</v>
      </c>
      <c r="E111" s="230">
        <f>'Ethylene Recycling HC'!E135</f>
        <v>1.3347255831673106E-3</v>
      </c>
      <c r="F111" s="230">
        <f>'Ethylene Recycling HC'!F135</f>
        <v>1.9478222034703561E-3</v>
      </c>
      <c r="G111" s="230">
        <f>'Ethylene Recycling HC'!G135</f>
        <v>2.7059514701900777E-3</v>
      </c>
      <c r="H111" s="230">
        <f>'Ethylene Recycling HC'!H135</f>
        <v>3.6195331221358417E-3</v>
      </c>
      <c r="I111" s="230">
        <f>'Ethylene Recycling HC'!I135</f>
        <v>4.7075789534090588E-3</v>
      </c>
      <c r="J111" s="230">
        <f>'Ethylene Recycling HC'!J135</f>
        <v>5.9852925727267928E-3</v>
      </c>
      <c r="K111" s="230">
        <f>'Ethylene Recycling HC'!K135</f>
        <v>7.4682372062636329E-3</v>
      </c>
      <c r="L111" s="230">
        <f>'Ethylene Recycling HC'!L135</f>
        <v>9.1722932187950166E-3</v>
      </c>
      <c r="M111" s="230">
        <f>'Ethylene Recycling HC'!M135</f>
        <v>1.1113612335086925E-2</v>
      </c>
      <c r="N111" s="230">
        <f>'Ethylene Recycling HC'!N135</f>
        <v>1.4271133980738851E-2</v>
      </c>
      <c r="O111" s="230">
        <f>'Ethylene Recycling HC'!O135</f>
        <v>1.7881198343760573E-2</v>
      </c>
      <c r="P111" s="230">
        <f>'Ethylene Recycling HC'!P135</f>
        <v>2.2001903095735978E-2</v>
      </c>
      <c r="Q111" s="230">
        <f>'Ethylene Recycling HC'!Q135</f>
        <v>2.6617369060850698E-2</v>
      </c>
      <c r="R111" s="230">
        <f>'Ethylene Recycling HC'!R135</f>
        <v>3.1735548507466078E-2</v>
      </c>
      <c r="S111" s="230">
        <f>'Ethylene Recycling HC'!S135</f>
        <v>3.7426592562298036E-2</v>
      </c>
      <c r="T111" s="230">
        <f>'Ethylene Recycling HC'!T135</f>
        <v>4.372160064780229E-2</v>
      </c>
      <c r="U111" s="230">
        <f>'Ethylene Recycling HC'!U135</f>
        <v>5.0652153665045385E-2</v>
      </c>
      <c r="V111" s="230">
        <f>'Ethylene Recycling HC'!V135</f>
        <v>5.8250291238351355E-2</v>
      </c>
      <c r="W111" s="230">
        <f>'Ethylene Recycling HC'!W135</f>
        <v>6.6548487863523381E-2</v>
      </c>
      <c r="X111" s="230">
        <f>'Ethylene Recycling HC'!X135</f>
        <v>7.8464677639567049E-2</v>
      </c>
      <c r="Y111" s="230">
        <f>'Ethylene Recycling HC'!Y135</f>
        <v>9.1546564063545693E-2</v>
      </c>
      <c r="Z111" s="230">
        <f>'Ethylene Recycling HC'!Z135</f>
        <v>0.10616042358707624</v>
      </c>
      <c r="AA111" s="230">
        <f>'Ethylene Recycling HC'!AA135</f>
        <v>0.12214187969457409</v>
      </c>
      <c r="AB111" s="230">
        <f>'Ethylene Recycling HC'!AB135</f>
        <v>0.13955902314398047</v>
      </c>
      <c r="AC111" s="230">
        <f>'Ethylene Recycling HC'!AC135</f>
        <v>0.15848263984546943</v>
      </c>
      <c r="AD111" s="230">
        <f>'Ethylene Recycling HC'!AD135</f>
        <v>0.17898375688634333</v>
      </c>
      <c r="AE111" s="230">
        <f>'Ethylene Recycling HC'!AE135</f>
        <v>0.20113460840158218</v>
      </c>
      <c r="AF111" s="230">
        <f>'Ethylene Recycling HC'!AF135</f>
        <v>0.22500859687159241</v>
      </c>
      <c r="AG111" s="230">
        <f>'Ethylene Recycling HC'!AG135</f>
        <v>0.25068025217941453</v>
      </c>
      <c r="AH111" s="245"/>
      <c r="AI111" s="133"/>
      <c r="AJ111" s="211"/>
      <c r="AL111" s="108"/>
      <c r="AM111" s="2"/>
      <c r="AN111" s="2"/>
      <c r="AO111" s="2"/>
      <c r="BC111" s="1"/>
      <c r="BD111" s="2"/>
      <c r="BE111" s="2"/>
      <c r="BF111" s="2"/>
      <c r="BG111" s="2"/>
      <c r="BH111" s="2"/>
      <c r="BI111" s="2"/>
      <c r="BJ111" s="2"/>
      <c r="BK111" s="2"/>
    </row>
    <row r="112" spans="1:63" s="1" customFormat="1" outlineLevel="1">
      <c r="A112" s="1" t="s">
        <v>1328</v>
      </c>
      <c r="B112" s="65"/>
      <c r="C112" s="300">
        <f>'Ethylene Recycling HC'!C136</f>
        <v>3.1863166254337605E-2</v>
      </c>
      <c r="D112" s="300">
        <f>'Ethylene Recycling HC'!D136</f>
        <v>3.9966780612204024E-2</v>
      </c>
      <c r="E112" s="300">
        <f>'Ethylene Recycling HC'!E136</f>
        <v>4.7962569921262875E-2</v>
      </c>
      <c r="F112" s="300">
        <f>'Ethylene Recycling HC'!F136</f>
        <v>5.5768267892671454E-2</v>
      </c>
      <c r="G112" s="300">
        <f>'Ethylene Recycling HC'!G136</f>
        <v>6.3302391893092821E-2</v>
      </c>
      <c r="H112" s="300">
        <f>'Ethylene Recycling HC'!H136</f>
        <v>7.0485519584086845E-2</v>
      </c>
      <c r="I112" s="300">
        <f>'Ethylene Recycling HC'!I136</f>
        <v>7.7408196205049767E-2</v>
      </c>
      <c r="J112" s="300">
        <f>'Ethylene Recycling HC'!J136</f>
        <v>8.4040333259207262E-2</v>
      </c>
      <c r="K112" s="300">
        <f>'Ethylene Recycling HC'!K136</f>
        <v>9.0351748760395117E-2</v>
      </c>
      <c r="L112" s="300">
        <f>'Ethylene Recycling HC'!L136</f>
        <v>9.631226168993727E-2</v>
      </c>
      <c r="M112" s="300">
        <f>'Ethylene Recycling HC'!M136</f>
        <v>0.10189178902460598</v>
      </c>
      <c r="N112" s="300">
        <f>'Ethylene Recycling HC'!N136</f>
        <v>0.11480377759990669</v>
      </c>
      <c r="O112" s="300">
        <f>'Ethylene Recycling HC'!O136</f>
        <v>0.12672448848843168</v>
      </c>
      <c r="P112" s="300">
        <f>'Ethylene Recycling HC'!P136</f>
        <v>0.13782265467851923</v>
      </c>
      <c r="Q112" s="300">
        <f>'Ethylene Recycling HC'!Q136</f>
        <v>0.14776542132831369</v>
      </c>
      <c r="R112" s="300">
        <f>'Ethylene Recycling HC'!R136</f>
        <v>0.15646019021794855</v>
      </c>
      <c r="S112" s="300">
        <f>'Ethylene Recycling HC'!S136</f>
        <v>0.16412141997549792</v>
      </c>
      <c r="T112" s="300">
        <f>'Ethylene Recycling HC'!T136</f>
        <v>0.17071598688908404</v>
      </c>
      <c r="U112" s="300">
        <f>'Ethylene Recycling HC'!U136</f>
        <v>0.17621099364915493</v>
      </c>
      <c r="V112" s="300">
        <f>'Ethylene Recycling HC'!V136</f>
        <v>0.18057380198654949</v>
      </c>
      <c r="W112" s="300">
        <f>'Ethylene Recycling HC'!W136</f>
        <v>0.18377206558425663</v>
      </c>
      <c r="X112" s="300">
        <f>'Ethylene Recycling HC'!X136</f>
        <v>0.19286517859332283</v>
      </c>
      <c r="Y112" s="300">
        <f>'Ethylene Recycling HC'!Y136</f>
        <v>0.20002766747648321</v>
      </c>
      <c r="Z112" s="300">
        <f>'Ethylene Recycling HC'!Z136</f>
        <v>0.20580887796960382</v>
      </c>
      <c r="AA112" s="300">
        <f>'Ethylene Recycling HC'!AA136</f>
        <v>0.20956998311870706</v>
      </c>
      <c r="AB112" s="300">
        <f>'Ethylene Recycling HC'!AB136</f>
        <v>0.21124060263895944</v>
      </c>
      <c r="AC112" s="300">
        <f>'Ethylene Recycling HC'!AC136</f>
        <v>0.21075249407804975</v>
      </c>
      <c r="AD112" s="300">
        <f>'Ethylene Recycling HC'!AD136</f>
        <v>0.20803555794096024</v>
      </c>
      <c r="AE112" s="300">
        <f>'Ethylene Recycling HC'!AE136</f>
        <v>0.20301983950642674</v>
      </c>
      <c r="AF112" s="300">
        <f>'Ethylene Recycling HC'!AF136</f>
        <v>0.19563558832718739</v>
      </c>
      <c r="AG112" s="300">
        <f>'Ethylene Recycling HC'!AG136</f>
        <v>0.18581331856091585</v>
      </c>
      <c r="AH112" s="422"/>
      <c r="AI112" s="423"/>
      <c r="AJ112" s="424"/>
      <c r="AL112" s="221"/>
      <c r="AM112" s="124"/>
      <c r="AN112" s="124"/>
      <c r="AO112" s="124"/>
      <c r="BD112" s="124"/>
      <c r="BE112" s="124"/>
      <c r="BF112" s="124"/>
      <c r="BG112" s="124"/>
      <c r="BH112" s="124"/>
      <c r="BI112" s="124"/>
      <c r="BJ112" s="124"/>
      <c r="BK112" s="124"/>
    </row>
    <row r="113" spans="1:63" outlineLevel="1">
      <c r="A113" s="4" t="s">
        <v>258</v>
      </c>
      <c r="C113" s="230">
        <f>'Ethylene Recycling HC'!C137</f>
        <v>2.5708407295327727E-2</v>
      </c>
      <c r="D113" s="230">
        <f>'Ethylene Recycling HC'!D137</f>
        <v>3.2127657619657683E-2</v>
      </c>
      <c r="E113" s="230">
        <f>'Ethylene Recycling HC'!E137</f>
        <v>3.8412275265422006E-2</v>
      </c>
      <c r="F113" s="230">
        <f>'Ethylene Recycling HC'!F137</f>
        <v>4.4497583399571661E-2</v>
      </c>
      <c r="G113" s="230">
        <f>'Ethylene Recycling HC'!G137</f>
        <v>5.0320508346442361E-2</v>
      </c>
      <c r="H113" s="230">
        <f>'Ethylene Recycling HC'!H137</f>
        <v>5.5820578942886681E-2</v>
      </c>
      <c r="I113" s="230">
        <f>'Ethylene Recycling HC'!I137</f>
        <v>6.1072368846530424E-2</v>
      </c>
      <c r="J113" s="230">
        <f>'Ethylene Recycling HC'!J137</f>
        <v>6.605455638629501E-2</v>
      </c>
      <c r="K113" s="230">
        <f>'Ethylene Recycling HC'!K137</f>
        <v>7.0746105195931289E-2</v>
      </c>
      <c r="L113" s="230">
        <f>'Ethylene Recycling HC'!L137</f>
        <v>7.5126339285526492E-2</v>
      </c>
      <c r="M113" s="230">
        <f>'Ethylene Recycling HC'!M137</f>
        <v>7.9175018422674631E-2</v>
      </c>
      <c r="N113" s="230">
        <f>'Ethylene Recycling HC'!N137</f>
        <v>8.8866304728649273E-2</v>
      </c>
      <c r="O113" s="230">
        <f>'Ethylene Recycling HC'!O137</f>
        <v>9.771630038420355E-2</v>
      </c>
      <c r="P113" s="230">
        <f>'Ethylene Recycling HC'!P137</f>
        <v>0.10586346989671973</v>
      </c>
      <c r="Q113" s="230">
        <f>'Ethylene Recycling HC'!Q137</f>
        <v>0.11306048493347573</v>
      </c>
      <c r="R113" s="230">
        <f>'Ethylene Recycling HC'!R137</f>
        <v>0.11924709622567158</v>
      </c>
      <c r="S113" s="230">
        <f>'Ethylene Recycling HC'!S137</f>
        <v>0.12459726843354241</v>
      </c>
      <c r="T113" s="230">
        <f>'Ethylene Recycling HC'!T137</f>
        <v>0.12909518950158019</v>
      </c>
      <c r="U113" s="230">
        <f>'Ethylene Recycling HC'!U137</f>
        <v>0.13272561257764706</v>
      </c>
      <c r="V113" s="230">
        <f>'Ethylene Recycling HC'!V137</f>
        <v>0.13547387712738065</v>
      </c>
      <c r="W113" s="230">
        <f>'Ethylene Recycling HC'!W137</f>
        <v>0.13732592966979146</v>
      </c>
      <c r="X113" s="230">
        <f>'Ethylene Recycling HC'!X137</f>
        <v>0.14354636745115898</v>
      </c>
      <c r="Y113" s="230">
        <f>'Ethylene Recycling HC'!Y137</f>
        <v>0.14828145175912238</v>
      </c>
      <c r="Z113" s="230">
        <f>'Ethylene Recycling HC'!Z137</f>
        <v>0.15195403149400014</v>
      </c>
      <c r="AA113" s="230">
        <f>'Ethylene Recycling HC'!AA137</f>
        <v>0.15410669063570145</v>
      </c>
      <c r="AB113" s="230">
        <f>'Ethylene Recycling HC'!AB137</f>
        <v>0.15470593722144546</v>
      </c>
      <c r="AC113" s="230">
        <f>'Ethylene Recycling HC'!AC137</f>
        <v>0.15372067719005295</v>
      </c>
      <c r="AD113" s="230">
        <f>'Ethylene Recycling HC'!AD137</f>
        <v>0.15111928062071261</v>
      </c>
      <c r="AE113" s="230">
        <f>'Ethylene Recycling HC'!AE137</f>
        <v>0.14687105756973937</v>
      </c>
      <c r="AF113" s="230">
        <f>'Ethylene Recycling HC'!AF137</f>
        <v>0.14094629878147896</v>
      </c>
      <c r="AG113" s="230">
        <f>'Ethylene Recycling HC'!AG137</f>
        <v>0.13331631593177953</v>
      </c>
      <c r="AH113" s="245"/>
      <c r="AI113" s="133"/>
      <c r="AJ113" s="211"/>
      <c r="AL113" s="108"/>
      <c r="AM113" s="2"/>
      <c r="AN113" s="2"/>
      <c r="AO113" s="2"/>
      <c r="BC113" s="1"/>
      <c r="BD113" s="2"/>
      <c r="BE113" s="2"/>
      <c r="BF113" s="2"/>
      <c r="BG113" s="2"/>
      <c r="BH113" s="2"/>
      <c r="BI113" s="2"/>
      <c r="BJ113" s="2"/>
      <c r="BK113" s="2"/>
    </row>
    <row r="114" spans="1:63" outlineLevel="1">
      <c r="A114" s="4" t="s">
        <v>478</v>
      </c>
      <c r="C114" s="230">
        <f>'Ethylene Recycling HC'!C138</f>
        <v>3.1884042710874486E-3</v>
      </c>
      <c r="D114" s="230">
        <f>'Ethylene Recycling HC'!D138</f>
        <v>3.8659867600345063E-3</v>
      </c>
      <c r="E114" s="230">
        <f>'Ethylene Recycling HC'!E138</f>
        <v>4.4794394923187908E-3</v>
      </c>
      <c r="F114" s="230">
        <f>'Ethylene Recycling HC'!F138</f>
        <v>5.0224326078813046E-3</v>
      </c>
      <c r="G114" s="230">
        <f>'Ethylene Recycling HC'!G138</f>
        <v>5.4898018104915791E-3</v>
      </c>
      <c r="H114" s="230">
        <f>'Ethylene Recycling HC'!H138</f>
        <v>5.8776417545846416E-3</v>
      </c>
      <c r="I114" s="230">
        <f>'Ethylene Recycling HC'!I138</f>
        <v>6.1967130680556821E-3</v>
      </c>
      <c r="J114" s="230">
        <f>'Ethylene Recycling HC'!J138</f>
        <v>6.4473136719196446E-3</v>
      </c>
      <c r="K114" s="230">
        <f>'Ethylene Recycling HC'!K138</f>
        <v>6.6301360696174117E-3</v>
      </c>
      <c r="L114" s="230">
        <f>'Ethylene Recycling HC'!L138</f>
        <v>6.74627552250677E-3</v>
      </c>
      <c r="M114" s="230">
        <f>'Ethylene Recycling HC'!M138</f>
        <v>6.7972365064958382E-3</v>
      </c>
      <c r="N114" s="230">
        <f>'Ethylene Recycling HC'!N138</f>
        <v>7.2756697460420886E-3</v>
      </c>
      <c r="O114" s="230">
        <f>'Ethylene Recycling HC'!O138</f>
        <v>7.6084510331966785E-3</v>
      </c>
      <c r="P114" s="230">
        <f>'Ethylene Recycling HC'!P138</f>
        <v>7.8150674402257553E-3</v>
      </c>
      <c r="Q114" s="230">
        <f>'Ethylene Recycling HC'!Q138</f>
        <v>7.8859859140013675E-3</v>
      </c>
      <c r="R114" s="230">
        <f>'Ethylene Recycling HC'!R138</f>
        <v>7.8281350755302088E-3</v>
      </c>
      <c r="S114" s="230">
        <f>'Ethylene Recycling HC'!S138</f>
        <v>7.6640177056876693E-3</v>
      </c>
      <c r="T114" s="230">
        <f>'Ethylene Recycling HC'!T138</f>
        <v>7.4025396661655304E-3</v>
      </c>
      <c r="U114" s="230">
        <f>'Ethylene Recycling HC'!U138</f>
        <v>7.0530578195385097E-3</v>
      </c>
      <c r="V114" s="230">
        <f>'Ethylene Recycling HC'!V138</f>
        <v>6.6253774509330158E-3</v>
      </c>
      <c r="W114" s="230">
        <f>'Ethylene Recycling HC'!W138</f>
        <v>6.1297490456360499E-3</v>
      </c>
      <c r="X114" s="230">
        <f>'Ethylene Recycling HC'!X138</f>
        <v>5.7897462630909901E-3</v>
      </c>
      <c r="Y114" s="230">
        <f>'Ethylene Recycling HC'!Y138</f>
        <v>5.33756596756593E-3</v>
      </c>
      <c r="Z114" s="230">
        <f>'Ethylene Recycling HC'!Z138</f>
        <v>4.8053535150446493E-3</v>
      </c>
      <c r="AA114" s="230">
        <f>'Ethylene Recycling HC'!AA138</f>
        <v>4.1941458292861691E-3</v>
      </c>
      <c r="AB114" s="230">
        <f>'Ethylene Recycling HC'!AB138</f>
        <v>3.5229834259877632E-3</v>
      </c>
      <c r="AC114" s="230">
        <f>'Ethylene Recycling HC'!AC138</f>
        <v>2.8118743625875904E-3</v>
      </c>
      <c r="AD114" s="230">
        <f>'Ethylene Recycling HC'!AD138</f>
        <v>2.0817186094514999E-3</v>
      </c>
      <c r="AE114" s="230">
        <f>'Ethylene Recycling HC'!AE138</f>
        <v>1.3543523750503131E-3</v>
      </c>
      <c r="AF114" s="230">
        <f>'Ethylene Recycling HC'!AF138</f>
        <v>6.5254588994713262E-4</v>
      </c>
      <c r="AG114" s="230">
        <f>'Ethylene Recycling HC'!AG138</f>
        <v>0</v>
      </c>
      <c r="AH114" s="245"/>
      <c r="AI114" s="133"/>
      <c r="AJ114" s="211"/>
      <c r="AL114" s="108"/>
      <c r="AM114" s="2"/>
      <c r="AN114" s="2"/>
      <c r="AO114" s="2"/>
      <c r="BC114" s="1"/>
      <c r="BD114" s="2"/>
      <c r="BE114" s="2"/>
      <c r="BF114" s="2"/>
      <c r="BG114" s="2"/>
      <c r="BH114" s="2"/>
      <c r="BI114" s="2"/>
      <c r="BJ114" s="2"/>
      <c r="BK114" s="2"/>
    </row>
    <row r="115" spans="1:63" outlineLevel="1">
      <c r="A115" s="4" t="s">
        <v>480</v>
      </c>
      <c r="C115" s="230">
        <f>'Ethylene Recycling HC'!C139</f>
        <v>0</v>
      </c>
      <c r="D115" s="230">
        <f>'Ethylene Recycling HC'!D139</f>
        <v>1.4273850218644293E-4</v>
      </c>
      <c r="E115" s="230">
        <f>'Ethylene Recycling HC'!E139</f>
        <v>3.4258978515187767E-4</v>
      </c>
      <c r="F115" s="230">
        <f>'Ethylene Recycling HC'!F139</f>
        <v>5.9751715599290847E-4</v>
      </c>
      <c r="G115" s="230">
        <f>'Ethylene Recycling HC'!G139</f>
        <v>9.0431988418704032E-4</v>
      </c>
      <c r="H115" s="230">
        <f>'Ethylene Recycling HC'!H139</f>
        <v>1.2586699925729793E-3</v>
      </c>
      <c r="I115" s="230">
        <f>'Ethylene Recycling HC'!I139</f>
        <v>1.6587470615367808E-3</v>
      </c>
      <c r="J115" s="230">
        <f>'Ethylene Recycling HC'!J139</f>
        <v>2.1010083314801815E-3</v>
      </c>
      <c r="K115" s="230">
        <f>'Ethylene Recycling HC'!K139</f>
        <v>2.5814785360112895E-3</v>
      </c>
      <c r="L115" s="230">
        <f>'Ethylene Recycling HC'!L139</f>
        <v>3.0957512686051267E-3</v>
      </c>
      <c r="M115" s="230">
        <f>'Ethylene Recycling HC'!M139</f>
        <v>3.6389924651645E-3</v>
      </c>
      <c r="N115" s="230">
        <f>'Ethylene Recycling HC'!N139</f>
        <v>4.5101484057106208E-3</v>
      </c>
      <c r="O115" s="230">
        <f>'Ethylene Recycling HC'!O139</f>
        <v>5.4310495066470727E-3</v>
      </c>
      <c r="P115" s="230">
        <f>'Ethylene Recycling HC'!P139</f>
        <v>6.3989089672169654E-3</v>
      </c>
      <c r="Q115" s="230">
        <f>'Ethylene Recycling HC'!Q139</f>
        <v>7.3882710664156855E-3</v>
      </c>
      <c r="R115" s="230">
        <f>'Ethylene Recycling HC'!R139</f>
        <v>8.3817959045329599E-3</v>
      </c>
      <c r="S115" s="230">
        <f>'Ethylene Recycling HC'!S139</f>
        <v>9.3783668557427396E-3</v>
      </c>
      <c r="T115" s="230">
        <f>'Ethylene Recycling HC'!T139</f>
        <v>1.0364899203980106E-2</v>
      </c>
      <c r="U115" s="230">
        <f>'Ethylene Recycling HC'!U139</f>
        <v>1.1327849591731391E-2</v>
      </c>
      <c r="V115" s="230">
        <f>'Ethylene Recycling HC'!V139</f>
        <v>1.2253222277658717E-2</v>
      </c>
      <c r="W115" s="230">
        <f>'Ethylene Recycling HC'!W139</f>
        <v>1.312657611316119E-2</v>
      </c>
      <c r="X115" s="230">
        <f>'Ethylene Recycling HC'!X139</f>
        <v>1.4464888394499215E-2</v>
      </c>
      <c r="Y115" s="230">
        <f>'Ethylene Recycling HC'!Y139</f>
        <v>1.5716459587437968E-2</v>
      </c>
      <c r="Z115" s="230">
        <f>'Ethylene Recycling HC'!Z139</f>
        <v>1.6905729261788887E-2</v>
      </c>
      <c r="AA115" s="230">
        <f>'Ethylene Recycling HC'!AA139</f>
        <v>1.7963141410174892E-2</v>
      </c>
      <c r="AB115" s="230">
        <f>'Ethylene Recycling HC'!AB139</f>
        <v>1.8860768092764241E-2</v>
      </c>
      <c r="AC115" s="230">
        <f>'Ethylene Recycling HC'!AC139</f>
        <v>1.9569874450104621E-2</v>
      </c>
      <c r="AD115" s="230">
        <f>'Ethylene Recycling HC'!AD139</f>
        <v>2.0060571658592596E-2</v>
      </c>
      <c r="AE115" s="230">
        <f>'Ethylene Recycling HC'!AE139</f>
        <v>2.0301983950642678E-2</v>
      </c>
      <c r="AF115" s="230">
        <f>'Ethylene Recycling HC'!AF139</f>
        <v>2.0262257362458697E-2</v>
      </c>
      <c r="AG115" s="230">
        <f>'Ethylene Recycling HC'!AG139</f>
        <v>1.9908569845812411E-2</v>
      </c>
      <c r="AH115" s="245"/>
      <c r="AI115" s="133"/>
      <c r="AJ115" s="211"/>
      <c r="AL115" s="108"/>
      <c r="AM115" s="2"/>
      <c r="AN115" s="2"/>
      <c r="AO115" s="2"/>
      <c r="BC115" s="1"/>
      <c r="BD115" s="2"/>
      <c r="BE115" s="2"/>
      <c r="BF115" s="2"/>
      <c r="BG115" s="2"/>
      <c r="BH115" s="2"/>
      <c r="BI115" s="2"/>
      <c r="BJ115" s="2"/>
      <c r="BK115" s="2"/>
    </row>
    <row r="116" spans="1:63" outlineLevel="1">
      <c r="A116" s="4" t="s">
        <v>474</v>
      </c>
      <c r="C116" s="230">
        <f>'Ethylene Recycling HC'!C140</f>
        <v>0</v>
      </c>
      <c r="D116" s="230">
        <f>'Ethylene Recycling HC'!D140</f>
        <v>0</v>
      </c>
      <c r="E116" s="230">
        <f>'Ethylene Recycling HC'!E140</f>
        <v>0</v>
      </c>
      <c r="F116" s="230">
        <f>'Ethylene Recycling HC'!F140</f>
        <v>0</v>
      </c>
      <c r="G116" s="230">
        <f>'Ethylene Recycling HC'!G140</f>
        <v>0</v>
      </c>
      <c r="H116" s="230">
        <f>'Ethylene Recycling HC'!H140</f>
        <v>0</v>
      </c>
      <c r="I116" s="230">
        <f>'Ethylene Recycling HC'!I140</f>
        <v>0</v>
      </c>
      <c r="J116" s="230">
        <f>'Ethylene Recycling HC'!J140</f>
        <v>0</v>
      </c>
      <c r="K116" s="230">
        <f>'Ethylene Recycling HC'!K140</f>
        <v>0</v>
      </c>
      <c r="L116" s="230">
        <f>'Ethylene Recycling HC'!L140</f>
        <v>0</v>
      </c>
      <c r="M116" s="230">
        <f>'Ethylene Recycling HC'!M140</f>
        <v>0</v>
      </c>
      <c r="N116" s="230">
        <f>'Ethylene Recycling HC'!N140</f>
        <v>0</v>
      </c>
      <c r="O116" s="230">
        <f>'Ethylene Recycling HC'!O140</f>
        <v>0</v>
      </c>
      <c r="P116" s="230">
        <f>'Ethylene Recycling HC'!P140</f>
        <v>0</v>
      </c>
      <c r="Q116" s="230">
        <f>'Ethylene Recycling HC'!Q140</f>
        <v>0</v>
      </c>
      <c r="R116" s="230">
        <f>'Ethylene Recycling HC'!R140</f>
        <v>0</v>
      </c>
      <c r="S116" s="230">
        <f>'Ethylene Recycling HC'!S140</f>
        <v>0</v>
      </c>
      <c r="T116" s="230">
        <f>'Ethylene Recycling HC'!T140</f>
        <v>0</v>
      </c>
      <c r="U116" s="230">
        <f>'Ethylene Recycling HC'!U140</f>
        <v>0</v>
      </c>
      <c r="V116" s="230">
        <f>'Ethylene Recycling HC'!V140</f>
        <v>0</v>
      </c>
      <c r="W116" s="230">
        <f>'Ethylene Recycling HC'!W140</f>
        <v>0</v>
      </c>
      <c r="X116" s="230">
        <f>'Ethylene Recycling HC'!X140</f>
        <v>0</v>
      </c>
      <c r="Y116" s="230">
        <f>'Ethylene Recycling HC'!Y140</f>
        <v>0</v>
      </c>
      <c r="Z116" s="230">
        <f>'Ethylene Recycling HC'!Z140</f>
        <v>0</v>
      </c>
      <c r="AA116" s="230">
        <f>'Ethylene Recycling HC'!AA140</f>
        <v>0</v>
      </c>
      <c r="AB116" s="230">
        <f>'Ethylene Recycling HC'!AB140</f>
        <v>0</v>
      </c>
      <c r="AC116" s="230">
        <f>'Ethylene Recycling HC'!AC140</f>
        <v>0</v>
      </c>
      <c r="AD116" s="230">
        <f>'Ethylene Recycling HC'!AD140</f>
        <v>0</v>
      </c>
      <c r="AE116" s="230">
        <f>'Ethylene Recycling HC'!AE140</f>
        <v>0</v>
      </c>
      <c r="AF116" s="230">
        <f>'Ethylene Recycling HC'!AF140</f>
        <v>0</v>
      </c>
      <c r="AG116" s="230">
        <f>'Ethylene Recycling HC'!AG140</f>
        <v>0</v>
      </c>
      <c r="AH116" s="245"/>
      <c r="AI116" s="133"/>
      <c r="AJ116" s="211"/>
      <c r="AL116" s="108"/>
      <c r="AM116" s="2"/>
      <c r="AN116" s="2"/>
      <c r="AO116" s="2"/>
      <c r="BC116" s="1"/>
      <c r="BD116" s="2"/>
      <c r="BE116" s="2"/>
      <c r="BF116" s="2"/>
      <c r="BG116" s="2"/>
      <c r="BH116" s="2"/>
      <c r="BI116" s="2"/>
      <c r="BJ116" s="2"/>
      <c r="BK116" s="2"/>
    </row>
    <row r="117" spans="1:63" outlineLevel="1">
      <c r="A117" s="4" t="s">
        <v>248</v>
      </c>
      <c r="C117" s="230">
        <f>'Ethylene Recycling HC'!C141</f>
        <v>2.9663546879224296E-3</v>
      </c>
      <c r="D117" s="230">
        <f>'Ethylene Recycling HC'!D141</f>
        <v>3.8303977303253875E-3</v>
      </c>
      <c r="E117" s="230">
        <f>'Ethylene Recycling HC'!E141</f>
        <v>4.7282653783701977E-3</v>
      </c>
      <c r="F117" s="230">
        <f>'Ethylene Recycling HC'!F141</f>
        <v>5.6507347292255811E-3</v>
      </c>
      <c r="G117" s="230">
        <f>'Ethylene Recycling HC'!G141</f>
        <v>6.5877618519718439E-3</v>
      </c>
      <c r="H117" s="230">
        <f>'Ethylene Recycling HC'!H141</f>
        <v>7.5286288940425525E-3</v>
      </c>
      <c r="I117" s="230">
        <f>'Ethylene Recycling HC'!I141</f>
        <v>8.4803672289268921E-3</v>
      </c>
      <c r="J117" s="230">
        <f>'Ethylene Recycling HC'!J141</f>
        <v>9.4374548695124408E-3</v>
      </c>
      <c r="K117" s="230">
        <f>'Ethylene Recycling HC'!K141</f>
        <v>1.0394028958835153E-2</v>
      </c>
      <c r="L117" s="230">
        <f>'Ethylene Recycling HC'!L141</f>
        <v>1.1343895613298917E-2</v>
      </c>
      <c r="M117" s="230">
        <f>'Ethylene Recycling HC'!M141</f>
        <v>1.2280541630271051E-2</v>
      </c>
      <c r="N117" s="230">
        <f>'Ethylene Recycling HC'!N141</f>
        <v>1.4151654719504754E-2</v>
      </c>
      <c r="O117" s="230">
        <f>'Ethylene Recycling HC'!O141</f>
        <v>1.5968687564384437E-2</v>
      </c>
      <c r="P117" s="230">
        <f>'Ethylene Recycling HC'!P141</f>
        <v>1.774520837435685E-2</v>
      </c>
      <c r="Q117" s="230">
        <f>'Ethylene Recycling HC'!Q141</f>
        <v>1.9430679414420997E-2</v>
      </c>
      <c r="R117" s="230">
        <f>'Ethylene Recycling HC'!R141</f>
        <v>2.1003163012213902E-2</v>
      </c>
      <c r="S117" s="230">
        <f>'Ethylene Recycling HC'!S141</f>
        <v>2.2481766980525217E-2</v>
      </c>
      <c r="T117" s="230">
        <f>'Ethylene Recycling HC'!T141</f>
        <v>2.3853358517358345E-2</v>
      </c>
      <c r="U117" s="230">
        <f>'Ethylene Recycling HC'!U141</f>
        <v>2.5104473660238109E-2</v>
      </c>
      <c r="V117" s="230">
        <f>'Ethylene Recycling HC'!V141</f>
        <v>2.6221325130577254E-2</v>
      </c>
      <c r="W117" s="230">
        <f>'Ethylene Recycling HC'!W141</f>
        <v>2.7189810755668113E-2</v>
      </c>
      <c r="X117" s="230">
        <f>'Ethylene Recycling HC'!X141</f>
        <v>2.9064176484573854E-2</v>
      </c>
      <c r="Y117" s="230">
        <f>'Ethylene Recycling HC'!Y141</f>
        <v>3.0692190162357132E-2</v>
      </c>
      <c r="Z117" s="230">
        <f>'Ethylene Recycling HC'!Z141</f>
        <v>3.2143763698770388E-2</v>
      </c>
      <c r="AA117" s="230">
        <f>'Ethylene Recycling HC'!AA141</f>
        <v>3.3306005243544802E-2</v>
      </c>
      <c r="AB117" s="230">
        <f>'Ethylene Recycling HC'!AB141</f>
        <v>3.4150913898762243E-2</v>
      </c>
      <c r="AC117" s="230">
        <f>'Ethylene Recycling HC'!AC141</f>
        <v>3.4650068075304852E-2</v>
      </c>
      <c r="AD117" s="230">
        <f>'Ethylene Recycling HC'!AD141</f>
        <v>3.4773987052203796E-2</v>
      </c>
      <c r="AE117" s="230">
        <f>'Ethylene Recycling HC'!AE141</f>
        <v>3.4492445610994668E-2</v>
      </c>
      <c r="AF117" s="230">
        <f>'Ethylene Recycling HC'!AF141</f>
        <v>3.3774486293302874E-2</v>
      </c>
      <c r="AG117" s="230">
        <f>'Ethylene Recycling HC'!AG141</f>
        <v>3.2588432783323885E-2</v>
      </c>
      <c r="AH117" s="245"/>
      <c r="AI117" s="133"/>
      <c r="AJ117" s="211"/>
      <c r="AL117" s="108"/>
      <c r="AM117" s="2"/>
      <c r="AN117" s="2"/>
      <c r="AO117" s="2"/>
      <c r="BC117" s="1"/>
      <c r="BD117" s="2"/>
      <c r="BE117" s="2"/>
      <c r="BF117" s="2"/>
      <c r="BG117" s="2"/>
      <c r="BH117" s="2"/>
      <c r="BI117" s="2"/>
      <c r="BJ117" s="2"/>
      <c r="BK117" s="2"/>
    </row>
    <row r="118" spans="1:63" s="1" customFormat="1" outlineLevel="1">
      <c r="A118" s="1" t="s">
        <v>1338</v>
      </c>
      <c r="B118" s="65"/>
      <c r="C118" s="300">
        <f>'Ethylene Recycling HC'!C142</f>
        <v>7.3530383663856008E-3</v>
      </c>
      <c r="D118" s="300">
        <f>'Ethylene Recycling HC'!D142</f>
        <v>9.2231032182009277E-3</v>
      </c>
      <c r="E118" s="300">
        <f>'Ethylene Recycling HC'!E142</f>
        <v>1.1068285366445278E-2</v>
      </c>
      <c r="F118" s="300">
        <f>'Ethylene Recycling HC'!F142</f>
        <v>1.2869600282924181E-2</v>
      </c>
      <c r="G118" s="300">
        <f>'Ethylene Recycling HC'!G142</f>
        <v>1.4608244283021422E-2</v>
      </c>
      <c r="H118" s="300">
        <f>'Ethylene Recycling HC'!H142</f>
        <v>1.6265889134789269E-2</v>
      </c>
      <c r="I118" s="300">
        <f>'Ethylene Recycling HC'!I142</f>
        <v>1.7863429893473028E-2</v>
      </c>
      <c r="J118" s="300">
        <f>'Ethylene Recycling HC'!J142</f>
        <v>1.9393923059817058E-2</v>
      </c>
      <c r="K118" s="300">
        <f>'Ethylene Recycling HC'!K142</f>
        <v>2.0850403560091178E-2</v>
      </c>
      <c r="L118" s="300">
        <f>'Ethylene Recycling HC'!L142</f>
        <v>2.2225906543831674E-2</v>
      </c>
      <c r="M118" s="300">
        <f>'Ethylene Recycling HC'!M142</f>
        <v>2.3513489774909076E-2</v>
      </c>
      <c r="N118" s="300">
        <f>'Ethylene Recycling HC'!N142</f>
        <v>2.6493179446132314E-2</v>
      </c>
      <c r="O118" s="300">
        <f>'Ethylene Recycling HC'!O142</f>
        <v>2.9244112728099618E-2</v>
      </c>
      <c r="P118" s="300">
        <f>'Ethylene Recycling HC'!P142</f>
        <v>3.1805228002735199E-2</v>
      </c>
      <c r="Q118" s="300">
        <f>'Ethylene Recycling HC'!Q142</f>
        <v>3.4099712614226244E-2</v>
      </c>
      <c r="R118" s="300">
        <f>'Ethylene Recycling HC'!R142</f>
        <v>3.6106197742603499E-2</v>
      </c>
      <c r="S118" s="300">
        <f>'Ethylene Recycling HC'!S142</f>
        <v>3.7874173840499521E-2</v>
      </c>
      <c r="T118" s="300">
        <f>'Ethylene Recycling HC'!T142</f>
        <v>3.9395996974404011E-2</v>
      </c>
      <c r="U118" s="300">
        <f>'Ethylene Recycling HC'!U142</f>
        <v>4.0664075457497291E-2</v>
      </c>
      <c r="V118" s="300">
        <f>'Ethylene Recycling HC'!V142</f>
        <v>4.1670877381511415E-2</v>
      </c>
      <c r="W118" s="300">
        <f>'Ethylene Recycling HC'!W142</f>
        <v>4.2408938211751519E-2</v>
      </c>
      <c r="X118" s="300">
        <f>'Ethylene Recycling HC'!X142</f>
        <v>4.4507348906151427E-2</v>
      </c>
      <c r="Y118" s="300">
        <f>'Ethylene Recycling HC'!Y142</f>
        <v>4.6160230956111499E-2</v>
      </c>
      <c r="Z118" s="300">
        <f>'Ethylene Recycling HC'!Z142</f>
        <v>4.7494356454523962E-2</v>
      </c>
      <c r="AA118" s="300">
        <f>'Ethylene Recycling HC'!AA142</f>
        <v>4.8362303796624699E-2</v>
      </c>
      <c r="AB118" s="300">
        <f>'Ethylene Recycling HC'!AB142</f>
        <v>4.8747831378221397E-2</v>
      </c>
      <c r="AC118" s="300">
        <f>'Ethylene Recycling HC'!AC142</f>
        <v>4.8635190941088403E-2</v>
      </c>
      <c r="AD118" s="300">
        <f>'Ethylene Recycling HC'!AD142</f>
        <v>4.8008205678683122E-2</v>
      </c>
      <c r="AE118" s="300">
        <f>'Ethylene Recycling HC'!AE142</f>
        <v>4.6850732193790781E-2</v>
      </c>
      <c r="AF118" s="300">
        <f>'Ethylene Recycling HC'!AF142</f>
        <v>4.5146674229350932E-2</v>
      </c>
      <c r="AG118" s="300">
        <f>'Ethylene Recycling HC'!AG142</f>
        <v>4.2879996590980574E-2</v>
      </c>
      <c r="AH118" s="422"/>
      <c r="AI118" s="423"/>
      <c r="AJ118" s="424"/>
      <c r="AL118" s="221"/>
      <c r="AM118" s="124"/>
      <c r="AN118" s="124"/>
      <c r="AO118" s="124"/>
      <c r="BD118" s="124"/>
      <c r="BE118" s="124"/>
      <c r="BF118" s="124"/>
      <c r="BG118" s="124"/>
      <c r="BH118" s="124"/>
      <c r="BI118" s="124"/>
      <c r="BJ118" s="124"/>
      <c r="BK118" s="124"/>
    </row>
    <row r="119" spans="1:63" outlineLevel="1">
      <c r="A119" s="4" t="s">
        <v>258</v>
      </c>
      <c r="C119" s="230">
        <f>'Ethylene Recycling HC'!C143</f>
        <v>5.9327093758448591E-3</v>
      </c>
      <c r="D119" s="230">
        <f>'Ethylene Recycling HC'!D143</f>
        <v>7.4140748353056195E-3</v>
      </c>
      <c r="E119" s="230">
        <f>'Ethylene Recycling HC'!E143</f>
        <v>8.8643712150973854E-3</v>
      </c>
      <c r="F119" s="230">
        <f>'Ethylene Recycling HC'!F143</f>
        <v>1.0268673092208845E-2</v>
      </c>
      <c r="G119" s="230">
        <f>'Ethylene Recycling HC'!G143</f>
        <v>1.1612425003025163E-2</v>
      </c>
      <c r="H119" s="230">
        <f>'Ethylene Recycling HC'!H143</f>
        <v>1.2881672063743077E-2</v>
      </c>
      <c r="I119" s="230">
        <f>'Ethylene Recycling HC'!I143</f>
        <v>1.4093623579968564E-2</v>
      </c>
      <c r="J119" s="230">
        <f>'Ethylene Recycling HC'!J143</f>
        <v>1.5243359166068077E-2</v>
      </c>
      <c r="K119" s="230">
        <f>'Ethylene Recycling HC'!K143</f>
        <v>1.632602427598414E-2</v>
      </c>
      <c r="L119" s="230">
        <f>'Ethylene Recycling HC'!L143</f>
        <v>1.7336847527429186E-2</v>
      </c>
      <c r="M119" s="230">
        <f>'Ethylene Recycling HC'!M143</f>
        <v>1.8271158097540301E-2</v>
      </c>
      <c r="N119" s="230">
        <f>'Ethylene Recycling HC'!N143</f>
        <v>2.0507608783534449E-2</v>
      </c>
      <c r="O119" s="230">
        <f>'Ethylene Recycling HC'!O143</f>
        <v>2.254991547327774E-2</v>
      </c>
      <c r="P119" s="230">
        <f>'Ethylene Recycling HC'!P143</f>
        <v>2.4430031514627623E-2</v>
      </c>
      <c r="Q119" s="230">
        <f>'Ethylene Recycling HC'!Q143</f>
        <v>2.6090881138494403E-2</v>
      </c>
      <c r="R119" s="230">
        <f>'Ethylene Recycling HC'!R143</f>
        <v>2.7518560667462662E-2</v>
      </c>
      <c r="S119" s="230">
        <f>'Ethylene Recycling HC'!S143</f>
        <v>2.875321579235594E-2</v>
      </c>
      <c r="T119" s="230">
        <f>'Ethylene Recycling HC'!T143</f>
        <v>2.9791197577287737E-2</v>
      </c>
      <c r="U119" s="230">
        <f>'Ethylene Recycling HC'!U143</f>
        <v>3.0628987517918555E-2</v>
      </c>
      <c r="V119" s="230">
        <f>'Ethylene Recycling HC'!V143</f>
        <v>3.126320241401092E-2</v>
      </c>
      <c r="W119" s="230">
        <f>'Ethylene Recycling HC'!W143</f>
        <v>3.1690599154567248E-2</v>
      </c>
      <c r="X119" s="230">
        <f>'Ethylene Recycling HC'!X143</f>
        <v>3.3126084796421304E-2</v>
      </c>
      <c r="Y119" s="230">
        <f>'Ethylene Recycling HC'!Y143</f>
        <v>3.4218796559797468E-2</v>
      </c>
      <c r="Z119" s="230">
        <f>'Ethylene Recycling HC'!Z143</f>
        <v>3.5066314960153874E-2</v>
      </c>
      <c r="AA119" s="230">
        <f>'Ethylene Recycling HC'!AA143</f>
        <v>3.5563082454392637E-2</v>
      </c>
      <c r="AB119" s="230">
        <f>'Ethylene Recycling HC'!AB143</f>
        <v>3.5701370128025864E-2</v>
      </c>
      <c r="AC119" s="230">
        <f>'Ethylene Recycling HC'!AC143</f>
        <v>3.5474002428473761E-2</v>
      </c>
      <c r="AD119" s="230">
        <f>'Ethylene Recycling HC'!AD143</f>
        <v>3.4873680143241367E-2</v>
      </c>
      <c r="AE119" s="230">
        <f>'Ethylene Recycling HC'!AE143</f>
        <v>3.389332097763216E-2</v>
      </c>
      <c r="AF119" s="230">
        <f>'Ethylene Recycling HC'!AF143</f>
        <v>3.2526068949572065E-2</v>
      </c>
      <c r="AG119" s="230">
        <f>'Ethylene Recycling HC'!AG143</f>
        <v>3.0765303676564503E-2</v>
      </c>
      <c r="AH119" s="245"/>
      <c r="AI119" s="133"/>
      <c r="AJ119" s="211"/>
      <c r="AL119" s="108"/>
      <c r="AM119" s="2"/>
      <c r="AN119" s="2"/>
      <c r="AO119" s="2"/>
      <c r="BC119" s="1"/>
      <c r="BD119" s="2"/>
      <c r="BE119" s="2"/>
      <c r="BF119" s="2"/>
      <c r="BG119" s="2"/>
      <c r="BH119" s="2"/>
      <c r="BI119" s="2"/>
      <c r="BJ119" s="2"/>
      <c r="BK119" s="2"/>
    </row>
    <row r="120" spans="1:63" outlineLevel="1">
      <c r="A120" s="4" t="s">
        <v>478</v>
      </c>
      <c r="C120" s="230">
        <f>'Ethylene Recycling HC'!C144</f>
        <v>7.3578560102018043E-4</v>
      </c>
      <c r="D120" s="230">
        <f>'Ethylene Recycling HC'!D144</f>
        <v>8.921507907771937E-4</v>
      </c>
      <c r="E120" s="230">
        <f>'Ethylene Recycling HC'!E144</f>
        <v>1.0337168059197208E-3</v>
      </c>
      <c r="F120" s="230">
        <f>'Ethylene Recycling HC'!F144</f>
        <v>1.1590229095110702E-3</v>
      </c>
      <c r="G120" s="230">
        <f>'Ethylene Recycling HC'!G144</f>
        <v>1.2668773408826724E-3</v>
      </c>
      <c r="H120" s="230">
        <f>'Ethylene Recycling HC'!H144</f>
        <v>1.3563788664426094E-3</v>
      </c>
      <c r="I120" s="230">
        <f>'Ethylene Recycling HC'!I144</f>
        <v>1.4300107080128502E-3</v>
      </c>
      <c r="J120" s="230">
        <f>'Ethylene Recycling HC'!J144</f>
        <v>1.4878416165968408E-3</v>
      </c>
      <c r="K120" s="230">
        <f>'Ethylene Recycling HC'!K144</f>
        <v>1.530031400680941E-3</v>
      </c>
      <c r="L120" s="230">
        <f>'Ethylene Recycling HC'!L144</f>
        <v>1.5568328128861776E-3</v>
      </c>
      <c r="M120" s="230">
        <f>'Ethylene Recycling HC'!M144</f>
        <v>1.5685930399605783E-3</v>
      </c>
      <c r="N120" s="230">
        <f>'Ethylene Recycling HC'!N144</f>
        <v>1.6790007106250973E-3</v>
      </c>
      <c r="O120" s="230">
        <f>'Ethylene Recycling HC'!O144</f>
        <v>1.7557963922761567E-3</v>
      </c>
      <c r="P120" s="230">
        <f>'Ethylene Recycling HC'!P144</f>
        <v>1.8034771015905586E-3</v>
      </c>
      <c r="Q120" s="230">
        <f>'Ethylene Recycling HC'!Q144</f>
        <v>1.8198429032310853E-3</v>
      </c>
      <c r="R120" s="230">
        <f>'Ethylene Recycling HC'!R144</f>
        <v>1.80649270973774E-3</v>
      </c>
      <c r="S120" s="230">
        <f>'Ethylene Recycling HC'!S144</f>
        <v>1.7686194705433082E-3</v>
      </c>
      <c r="T120" s="230">
        <f>'Ethylene Recycling HC'!T144</f>
        <v>1.708278384499738E-3</v>
      </c>
      <c r="U120" s="230">
        <f>'Ethylene Recycling HC'!U144</f>
        <v>1.6276287275858098E-3</v>
      </c>
      <c r="V120" s="230">
        <f>'Ethylene Recycling HC'!V144</f>
        <v>1.528933257907619E-3</v>
      </c>
      <c r="W120" s="230">
        <f>'Ethylene Recycling HC'!W144</f>
        <v>1.4145574720698573E-3</v>
      </c>
      <c r="X120" s="230">
        <f>'Ethylene Recycling HC'!X144</f>
        <v>1.3360952914825363E-3</v>
      </c>
      <c r="Y120" s="230">
        <f>'Ethylene Recycling HC'!Y144</f>
        <v>1.2317459925152143E-3</v>
      </c>
      <c r="Z120" s="230">
        <f>'Ethylene Recycling HC'!Z144</f>
        <v>1.1089277342410729E-3</v>
      </c>
      <c r="AA120" s="230">
        <f>'Ethylene Recycling HC'!AA144</f>
        <v>9.6787980675834648E-4</v>
      </c>
      <c r="AB120" s="230">
        <f>'Ethylene Recycling HC'!AB144</f>
        <v>8.1299617522794518E-4</v>
      </c>
      <c r="AC120" s="230">
        <f>'Ethylene Recycling HC'!AC144</f>
        <v>6.4889408367405934E-4</v>
      </c>
      <c r="AD120" s="230">
        <f>'Ethylene Recycling HC'!AD144</f>
        <v>4.8039660218111521E-4</v>
      </c>
      <c r="AE120" s="230">
        <f>'Ethylene Recycling HC'!AE144</f>
        <v>3.1254285578084144E-4</v>
      </c>
      <c r="AF120" s="230">
        <f>'Ethylene Recycling HC'!AF144</f>
        <v>1.5058751306472291E-4</v>
      </c>
      <c r="AG120" s="230">
        <f>'Ethylene Recycling HC'!AG144</f>
        <v>0</v>
      </c>
      <c r="AH120" s="245"/>
      <c r="AI120" s="133"/>
      <c r="AJ120" s="211"/>
      <c r="AL120" s="108"/>
      <c r="AM120" s="2"/>
      <c r="AN120" s="2"/>
      <c r="AO120" s="2"/>
      <c r="BC120" s="1"/>
      <c r="BD120" s="2"/>
      <c r="BE120" s="2"/>
      <c r="BF120" s="2"/>
      <c r="BG120" s="2"/>
      <c r="BH120" s="2"/>
      <c r="BI120" s="2"/>
      <c r="BJ120" s="2"/>
      <c r="BK120" s="2"/>
    </row>
    <row r="121" spans="1:63" outlineLevel="1">
      <c r="A121" s="4" t="s">
        <v>480</v>
      </c>
      <c r="C121" s="230">
        <f>'Ethylene Recycling HC'!C145</f>
        <v>0</v>
      </c>
      <c r="D121" s="230">
        <f>'Ethylene Recycling HC'!D145</f>
        <v>3.2939654350717597E-5</v>
      </c>
      <c r="E121" s="230">
        <f>'Ethylene Recycling HC'!E145</f>
        <v>7.9059181188894837E-5</v>
      </c>
      <c r="F121" s="230">
        <f>'Ethylene Recycling HC'!F145</f>
        <v>1.3788857445990195E-4</v>
      </c>
      <c r="G121" s="230">
        <f>'Ethylene Recycling HC'!G145</f>
        <v>2.0868920404316316E-4</v>
      </c>
      <c r="H121" s="230">
        <f>'Ethylene Recycling HC'!H145</f>
        <v>2.904623059783798E-4</v>
      </c>
      <c r="I121" s="230">
        <f>'Ethylene Recycling HC'!I145</f>
        <v>3.8278778343156489E-4</v>
      </c>
      <c r="J121" s="230">
        <f>'Ethylene Recycling HC'!J145</f>
        <v>4.8484807649542649E-4</v>
      </c>
      <c r="K121" s="230">
        <f>'Ethylene Recycling HC'!K145</f>
        <v>5.9572581600260519E-4</v>
      </c>
      <c r="L121" s="230">
        <f>'Ethylene Recycling HC'!L145</f>
        <v>7.1440413890887537E-4</v>
      </c>
      <c r="M121" s="230">
        <f>'Ethylene Recycling HC'!M145</f>
        <v>8.3976749196103858E-4</v>
      </c>
      <c r="N121" s="230">
        <f>'Ethylene Recycling HC'!N145</f>
        <v>1.0408034782409125E-3</v>
      </c>
      <c r="O121" s="230">
        <f>'Ethylene Recycling HC'!O145</f>
        <v>1.2533191169185553E-3</v>
      </c>
      <c r="P121" s="230">
        <f>'Ethylene Recycling HC'!P145</f>
        <v>1.4766713001269915E-3</v>
      </c>
      <c r="Q121" s="230">
        <f>'Ethylene Recycling HC'!Q145</f>
        <v>1.7049856307113126E-3</v>
      </c>
      <c r="R121" s="230">
        <f>'Ethylene Recycling HC'!R145</f>
        <v>1.9342605933537593E-3</v>
      </c>
      <c r="S121" s="230">
        <f>'Ethylene Recycling HC'!S145</f>
        <v>2.1642385051714019E-3</v>
      </c>
      <c r="T121" s="230">
        <f>'Ethylene Recycling HC'!T145</f>
        <v>2.3918998163031014E-3</v>
      </c>
      <c r="U121" s="230">
        <f>'Ethylene Recycling HC'!U145</f>
        <v>2.6141191365533977E-3</v>
      </c>
      <c r="V121" s="230">
        <f>'Ethylene Recycling HC'!V145</f>
        <v>2.8276666794597033E-3</v>
      </c>
      <c r="W121" s="230">
        <f>'Ethylene Recycling HC'!W145</f>
        <v>3.0292098722679659E-3</v>
      </c>
      <c r="X121" s="230">
        <f>'Ethylene Recycling HC'!X145</f>
        <v>3.3380511679613574E-3</v>
      </c>
      <c r="Y121" s="230">
        <f>'Ethylene Recycling HC'!Y145</f>
        <v>3.6268752894087612E-3</v>
      </c>
      <c r="Z121" s="230">
        <f>'Ethylene Recycling HC'!Z145</f>
        <v>3.9013221373358975E-3</v>
      </c>
      <c r="AA121" s="230">
        <f>'Ethylene Recycling HC'!AA145</f>
        <v>4.1453403254249751E-3</v>
      </c>
      <c r="AB121" s="230">
        <f>'Ethylene Recycling HC'!AB145</f>
        <v>4.3524849444840537E-3</v>
      </c>
      <c r="AC121" s="230">
        <f>'Ethylene Recycling HC'!AC145</f>
        <v>4.516124873101067E-3</v>
      </c>
      <c r="AD121" s="230">
        <f>'Ethylene Recycling HC'!AD145</f>
        <v>4.6293626904444444E-3</v>
      </c>
      <c r="AE121" s="230">
        <f>'Ethylene Recycling HC'!AE145</f>
        <v>4.6850732193790788E-3</v>
      </c>
      <c r="AF121" s="230">
        <f>'Ethylene Recycling HC'!AF145</f>
        <v>4.6759055451827758E-3</v>
      </c>
      <c r="AG121" s="230">
        <f>'Ethylene Recycling HC'!AG145</f>
        <v>4.5942853490336328E-3</v>
      </c>
      <c r="AH121" s="245"/>
      <c r="AI121" s="133"/>
      <c r="AJ121" s="211"/>
      <c r="AL121" s="108"/>
      <c r="AM121" s="2"/>
      <c r="AN121" s="2"/>
      <c r="AO121" s="2"/>
      <c r="BC121" s="1"/>
      <c r="BD121" s="2"/>
      <c r="BE121" s="2"/>
      <c r="BF121" s="2"/>
      <c r="BG121" s="2"/>
      <c r="BH121" s="2"/>
      <c r="BI121" s="2"/>
      <c r="BJ121" s="2"/>
      <c r="BK121" s="2"/>
    </row>
    <row r="122" spans="1:63" outlineLevel="1">
      <c r="A122" s="4" t="s">
        <v>474</v>
      </c>
      <c r="C122" s="230">
        <f>'Ethylene Recycling HC'!C146</f>
        <v>0</v>
      </c>
      <c r="D122" s="230">
        <f>'Ethylene Recycling HC'!D146</f>
        <v>0</v>
      </c>
      <c r="E122" s="230">
        <f>'Ethylene Recycling HC'!E146</f>
        <v>0</v>
      </c>
      <c r="F122" s="230">
        <f>'Ethylene Recycling HC'!F146</f>
        <v>0</v>
      </c>
      <c r="G122" s="230">
        <f>'Ethylene Recycling HC'!G146</f>
        <v>0</v>
      </c>
      <c r="H122" s="230">
        <f>'Ethylene Recycling HC'!H146</f>
        <v>0</v>
      </c>
      <c r="I122" s="230">
        <f>'Ethylene Recycling HC'!I146</f>
        <v>0</v>
      </c>
      <c r="J122" s="230">
        <f>'Ethylene Recycling HC'!J146</f>
        <v>0</v>
      </c>
      <c r="K122" s="230">
        <f>'Ethylene Recycling HC'!K146</f>
        <v>0</v>
      </c>
      <c r="L122" s="230">
        <f>'Ethylene Recycling HC'!L146</f>
        <v>0</v>
      </c>
      <c r="M122" s="230">
        <f>'Ethylene Recycling HC'!M146</f>
        <v>0</v>
      </c>
      <c r="N122" s="230">
        <f>'Ethylene Recycling HC'!N146</f>
        <v>0</v>
      </c>
      <c r="O122" s="230">
        <f>'Ethylene Recycling HC'!O146</f>
        <v>0</v>
      </c>
      <c r="P122" s="230">
        <f>'Ethylene Recycling HC'!P146</f>
        <v>0</v>
      </c>
      <c r="Q122" s="230">
        <f>'Ethylene Recycling HC'!Q146</f>
        <v>0</v>
      </c>
      <c r="R122" s="230">
        <f>'Ethylene Recycling HC'!R146</f>
        <v>0</v>
      </c>
      <c r="S122" s="230">
        <f>'Ethylene Recycling HC'!S146</f>
        <v>0</v>
      </c>
      <c r="T122" s="230">
        <f>'Ethylene Recycling HC'!T146</f>
        <v>0</v>
      </c>
      <c r="U122" s="230">
        <f>'Ethylene Recycling HC'!U146</f>
        <v>0</v>
      </c>
      <c r="V122" s="230">
        <f>'Ethylene Recycling HC'!V146</f>
        <v>0</v>
      </c>
      <c r="W122" s="230">
        <f>'Ethylene Recycling HC'!W146</f>
        <v>0</v>
      </c>
      <c r="X122" s="230">
        <f>'Ethylene Recycling HC'!X146</f>
        <v>0</v>
      </c>
      <c r="Y122" s="230">
        <f>'Ethylene Recycling HC'!Y146</f>
        <v>0</v>
      </c>
      <c r="Z122" s="230">
        <f>'Ethylene Recycling HC'!Z146</f>
        <v>0</v>
      </c>
      <c r="AA122" s="230">
        <f>'Ethylene Recycling HC'!AA146</f>
        <v>0</v>
      </c>
      <c r="AB122" s="230">
        <f>'Ethylene Recycling HC'!AB146</f>
        <v>0</v>
      </c>
      <c r="AC122" s="230">
        <f>'Ethylene Recycling HC'!AC146</f>
        <v>0</v>
      </c>
      <c r="AD122" s="230">
        <f>'Ethylene Recycling HC'!AD146</f>
        <v>0</v>
      </c>
      <c r="AE122" s="230">
        <f>'Ethylene Recycling HC'!AE146</f>
        <v>0</v>
      </c>
      <c r="AF122" s="230">
        <f>'Ethylene Recycling HC'!AF146</f>
        <v>0</v>
      </c>
      <c r="AG122" s="230">
        <f>'Ethylene Recycling HC'!AG146</f>
        <v>0</v>
      </c>
      <c r="AH122" s="245"/>
      <c r="AI122" s="133"/>
      <c r="AJ122" s="211"/>
      <c r="AL122" s="108"/>
      <c r="AM122" s="2"/>
      <c r="AN122" s="2"/>
      <c r="AO122" s="2"/>
      <c r="BC122" s="1"/>
      <c r="BD122" s="2"/>
      <c r="BE122" s="2"/>
      <c r="BF122" s="2"/>
      <c r="BG122" s="2"/>
      <c r="BH122" s="2"/>
      <c r="BI122" s="2"/>
      <c r="BJ122" s="2"/>
      <c r="BK122" s="2"/>
    </row>
    <row r="123" spans="1:63" outlineLevel="1">
      <c r="A123" s="4" t="s">
        <v>248</v>
      </c>
      <c r="C123" s="230">
        <f>'Ethylene Recycling HC'!C147</f>
        <v>6.8454338952056058E-4</v>
      </c>
      <c r="D123" s="230">
        <f>'Ethylene Recycling HC'!D147</f>
        <v>8.8393793776739705E-4</v>
      </c>
      <c r="E123" s="230">
        <f>'Ethylene Recycling HC'!E147</f>
        <v>1.0911381642392764E-3</v>
      </c>
      <c r="F123" s="230">
        <f>'Ethylene Recycling HC'!F147</f>
        <v>1.3040157067443648E-3</v>
      </c>
      <c r="G123" s="230">
        <f>'Ethylene Recycling HC'!G147</f>
        <v>1.5202527350704257E-3</v>
      </c>
      <c r="H123" s="230">
        <f>'Ethylene Recycling HC'!H147</f>
        <v>1.737375898625204E-3</v>
      </c>
      <c r="I123" s="230">
        <f>'Ethylene Recycling HC'!I147</f>
        <v>1.9570078220600526E-3</v>
      </c>
      <c r="J123" s="230">
        <f>'Ethylene Recycling HC'!J147</f>
        <v>2.1778742006567172E-3</v>
      </c>
      <c r="K123" s="230">
        <f>'Ethylene Recycling HC'!K147</f>
        <v>2.3986220674234969E-3</v>
      </c>
      <c r="L123" s="230">
        <f>'Ethylene Recycling HC'!L147</f>
        <v>2.6178220646074419E-3</v>
      </c>
      <c r="M123" s="230">
        <f>'Ethylene Recycling HC'!M147</f>
        <v>2.8339711454471663E-3</v>
      </c>
      <c r="N123" s="230">
        <f>'Ethylene Recycling HC'!N147</f>
        <v>3.2657664737318665E-3</v>
      </c>
      <c r="O123" s="230">
        <f>'Ethylene Recycling HC'!O147</f>
        <v>3.6850817456271783E-3</v>
      </c>
      <c r="P123" s="230">
        <f>'Ethylene Recycling HC'!P147</f>
        <v>4.0950480863900414E-3</v>
      </c>
      <c r="Q123" s="230">
        <f>'Ethylene Recycling HC'!Q147</f>
        <v>4.4840029417894615E-3</v>
      </c>
      <c r="R123" s="230">
        <f>'Ethylene Recycling HC'!R147</f>
        <v>4.8468837720493608E-3</v>
      </c>
      <c r="S123" s="230">
        <f>'Ethylene Recycling HC'!S147</f>
        <v>5.1881000724288964E-3</v>
      </c>
      <c r="T123" s="230">
        <f>'Ethylene Recycling HC'!T147</f>
        <v>5.5046211963134641E-3</v>
      </c>
      <c r="U123" s="230">
        <f>'Ethylene Recycling HC'!U147</f>
        <v>5.7933400754395636E-3</v>
      </c>
      <c r="V123" s="230">
        <f>'Ethylene Recycling HC'!V147</f>
        <v>6.0510750301332114E-3</v>
      </c>
      <c r="W123" s="230">
        <f>'Ethylene Recycling HC'!W147</f>
        <v>6.2745717128464863E-3</v>
      </c>
      <c r="X123" s="230">
        <f>'Ethylene Recycling HC'!X147</f>
        <v>6.7071176502862748E-3</v>
      </c>
      <c r="Y123" s="230">
        <f>'Ethylene Recycling HC'!Y147</f>
        <v>7.0828131143901062E-3</v>
      </c>
      <c r="Z123" s="230">
        <f>'Ethylene Recycling HC'!Z147</f>
        <v>7.4177916227931668E-3</v>
      </c>
      <c r="AA123" s="230">
        <f>'Ethylene Recycling HC'!AA147</f>
        <v>7.6860012100487991E-3</v>
      </c>
      <c r="AB123" s="230">
        <f>'Ethylene Recycling HC'!AB147</f>
        <v>7.8809801304835919E-3</v>
      </c>
      <c r="AC123" s="230">
        <f>'Ethylene Recycling HC'!AC147</f>
        <v>7.9961695558395818E-3</v>
      </c>
      <c r="AD123" s="230">
        <f>'Ethylene Recycling HC'!AD147</f>
        <v>8.0247662428162593E-3</v>
      </c>
      <c r="AE123" s="230">
        <f>'Ethylene Recycling HC'!AE147</f>
        <v>7.9597951409987686E-3</v>
      </c>
      <c r="AF123" s="230">
        <f>'Ethylene Recycling HC'!AF147</f>
        <v>7.7941122215314318E-3</v>
      </c>
      <c r="AG123" s="230">
        <f>'Ethylene Recycling HC'!AG147</f>
        <v>7.5204075653824342E-3</v>
      </c>
      <c r="AH123" s="245"/>
      <c r="AI123" s="133"/>
      <c r="AJ123" s="211"/>
      <c r="AL123" s="108"/>
      <c r="AM123" s="2"/>
      <c r="AN123" s="2"/>
      <c r="AO123" s="2"/>
      <c r="BC123" s="1"/>
      <c r="BD123" s="2"/>
      <c r="BE123" s="2"/>
      <c r="BF123" s="2"/>
      <c r="BG123" s="2"/>
      <c r="BH123" s="2"/>
      <c r="BI123" s="2"/>
      <c r="BJ123" s="2"/>
      <c r="BK123" s="2"/>
    </row>
    <row r="124" spans="1:63" s="1" customFormat="1" outlineLevel="1">
      <c r="A124" s="1" t="s">
        <v>1329</v>
      </c>
      <c r="B124" s="65"/>
      <c r="C124" s="300">
        <f>'Ethylene Recycling HC'!C148</f>
        <v>2.2059115099156805E-2</v>
      </c>
      <c r="D124" s="300">
        <f>'Ethylene Recycling HC'!D148</f>
        <v>2.7669309654602785E-2</v>
      </c>
      <c r="E124" s="300">
        <f>'Ethylene Recycling HC'!E148</f>
        <v>3.3204856099335836E-2</v>
      </c>
      <c r="F124" s="300">
        <f>'Ethylene Recycling HC'!F148</f>
        <v>3.8608800848772544E-2</v>
      </c>
      <c r="G124" s="300">
        <f>'Ethylene Recycling HC'!G148</f>
        <v>4.3824732849064262E-2</v>
      </c>
      <c r="H124" s="300">
        <f>'Ethylene Recycling HC'!H148</f>
        <v>4.8797667404367806E-2</v>
      </c>
      <c r="I124" s="300">
        <f>'Ethylene Recycling HC'!I148</f>
        <v>5.3590289680419081E-2</v>
      </c>
      <c r="J124" s="300">
        <f>'Ethylene Recycling HC'!J148</f>
        <v>5.818176917945117E-2</v>
      </c>
      <c r="K124" s="300">
        <f>'Ethylene Recycling HC'!K148</f>
        <v>6.2551210680273542E-2</v>
      </c>
      <c r="L124" s="300">
        <f>'Ethylene Recycling HC'!L148</f>
        <v>6.6677719631495047E-2</v>
      </c>
      <c r="M124" s="300">
        <f>'Ethylene Recycling HC'!M148</f>
        <v>7.0540469324727212E-2</v>
      </c>
      <c r="N124" s="300">
        <f>'Ethylene Recycling HC'!N148</f>
        <v>7.9479538338396938E-2</v>
      </c>
      <c r="O124" s="300">
        <f>'Ethylene Recycling HC'!O148</f>
        <v>8.7732338184298847E-2</v>
      </c>
      <c r="P124" s="300">
        <f>'Ethylene Recycling HC'!P148</f>
        <v>9.5415684008205603E-2</v>
      </c>
      <c r="Q124" s="300">
        <f>'Ethylene Recycling HC'!Q148</f>
        <v>0.10229913784267872</v>
      </c>
      <c r="R124" s="300">
        <f>'Ethylene Recycling HC'!R148</f>
        <v>0.10831859322781051</v>
      </c>
      <c r="S124" s="300">
        <f>'Ethylene Recycling HC'!S148</f>
        <v>0.11362252152149857</v>
      </c>
      <c r="T124" s="300">
        <f>'Ethylene Recycling HC'!T148</f>
        <v>0.11818799092321204</v>
      </c>
      <c r="U124" s="300">
        <f>'Ethylene Recycling HC'!U148</f>
        <v>0.12199222637249188</v>
      </c>
      <c r="V124" s="300">
        <f>'Ethylene Recycling HC'!V148</f>
        <v>0.12501263214453423</v>
      </c>
      <c r="W124" s="300">
        <f>'Ethylene Recycling HC'!W148</f>
        <v>0.12722681463525456</v>
      </c>
      <c r="X124" s="300">
        <f>'Ethylene Recycling HC'!X148</f>
        <v>0.13352204671845427</v>
      </c>
      <c r="Y124" s="300">
        <f>'Ethylene Recycling HC'!Y148</f>
        <v>0.13848069286833453</v>
      </c>
      <c r="Z124" s="300">
        <f>'Ethylene Recycling HC'!Z148</f>
        <v>0.14248306936357188</v>
      </c>
      <c r="AA124" s="300">
        <f>'Ethylene Recycling HC'!AA148</f>
        <v>0.14508691138987412</v>
      </c>
      <c r="AB124" s="300">
        <f>'Ethylene Recycling HC'!AB148</f>
        <v>0.1462434941346642</v>
      </c>
      <c r="AC124" s="300">
        <f>'Ethylene Recycling HC'!AC148</f>
        <v>0.14590557282326519</v>
      </c>
      <c r="AD124" s="300">
        <f>'Ethylene Recycling HC'!AD148</f>
        <v>0.14402461703604938</v>
      </c>
      <c r="AE124" s="300">
        <f>'Ethylene Recycling HC'!AE148</f>
        <v>0.14055219658137236</v>
      </c>
      <c r="AF124" s="300">
        <f>'Ethylene Recycling HC'!AF148</f>
        <v>0.1354400226880528</v>
      </c>
      <c r="AG124" s="300">
        <f>'Ethylene Recycling HC'!AG148</f>
        <v>0.12863998977294172</v>
      </c>
      <c r="AH124" s="422"/>
      <c r="AI124" s="423"/>
      <c r="AJ124" s="424"/>
      <c r="AL124" s="221"/>
      <c r="AM124" s="124"/>
      <c r="AN124" s="124"/>
      <c r="AO124" s="124"/>
      <c r="BD124" s="124"/>
      <c r="BE124" s="124"/>
      <c r="BF124" s="124"/>
      <c r="BG124" s="124"/>
      <c r="BH124" s="124"/>
      <c r="BI124" s="124"/>
      <c r="BJ124" s="124"/>
      <c r="BK124" s="124"/>
    </row>
    <row r="125" spans="1:63" outlineLevel="1">
      <c r="A125" s="4" t="s">
        <v>258</v>
      </c>
      <c r="C125" s="230">
        <f>'Ethylene Recycling HC'!C149</f>
        <v>1.779812812753458E-2</v>
      </c>
      <c r="D125" s="230">
        <f>'Ethylene Recycling HC'!D149</f>
        <v>2.2242224505916858E-2</v>
      </c>
      <c r="E125" s="230">
        <f>'Ethylene Recycling HC'!E149</f>
        <v>2.6593113645292162E-2</v>
      </c>
      <c r="F125" s="230">
        <f>'Ethylene Recycling HC'!F149</f>
        <v>3.0806019276626535E-2</v>
      </c>
      <c r="G125" s="230">
        <f>'Ethylene Recycling HC'!G149</f>
        <v>3.4837275009075484E-2</v>
      </c>
      <c r="H125" s="230">
        <f>'Ethylene Recycling HC'!H149</f>
        <v>3.8645016191229231E-2</v>
      </c>
      <c r="I125" s="230">
        <f>'Ethylene Recycling HC'!I149</f>
        <v>4.228087073990569E-2</v>
      </c>
      <c r="J125" s="230">
        <f>'Ethylene Recycling HC'!J149</f>
        <v>4.5730077498204229E-2</v>
      </c>
      <c r="K125" s="230">
        <f>'Ethylene Recycling HC'!K149</f>
        <v>4.8978072827952426E-2</v>
      </c>
      <c r="L125" s="230">
        <f>'Ethylene Recycling HC'!L149</f>
        <v>5.2010542582287579E-2</v>
      </c>
      <c r="M125" s="230">
        <f>'Ethylene Recycling HC'!M149</f>
        <v>5.4813474292620894E-2</v>
      </c>
      <c r="N125" s="230">
        <f>'Ethylene Recycling HC'!N149</f>
        <v>6.1522826350603341E-2</v>
      </c>
      <c r="O125" s="230">
        <f>'Ethylene Recycling HC'!O149</f>
        <v>6.764974641983322E-2</v>
      </c>
      <c r="P125" s="230">
        <f>'Ethylene Recycling HC'!P149</f>
        <v>7.3290094543882883E-2</v>
      </c>
      <c r="Q125" s="230">
        <f>'Ethylene Recycling HC'!Q149</f>
        <v>7.8272643415483206E-2</v>
      </c>
      <c r="R125" s="230">
        <f>'Ethylene Recycling HC'!R149</f>
        <v>8.2555682002387998E-2</v>
      </c>
      <c r="S125" s="230">
        <f>'Ethylene Recycling HC'!S149</f>
        <v>8.625964737706783E-2</v>
      </c>
      <c r="T125" s="230">
        <f>'Ethylene Recycling HC'!T149</f>
        <v>8.9373592731863225E-2</v>
      </c>
      <c r="U125" s="230">
        <f>'Ethylene Recycling HC'!U149</f>
        <v>9.1886962553755669E-2</v>
      </c>
      <c r="V125" s="230">
        <f>'Ethylene Recycling HC'!V149</f>
        <v>9.3789607242032738E-2</v>
      </c>
      <c r="W125" s="230">
        <f>'Ethylene Recycling HC'!W149</f>
        <v>9.5071797463701757E-2</v>
      </c>
      <c r="X125" s="230">
        <f>'Ethylene Recycling HC'!X149</f>
        <v>9.9378254389263898E-2</v>
      </c>
      <c r="Y125" s="230">
        <f>'Ethylene Recycling HC'!Y149</f>
        <v>0.10265638967939243</v>
      </c>
      <c r="Z125" s="230">
        <f>'Ethylene Recycling HC'!Z149</f>
        <v>0.10519894488046164</v>
      </c>
      <c r="AA125" s="230">
        <f>'Ethylene Recycling HC'!AA149</f>
        <v>0.10668924736317792</v>
      </c>
      <c r="AB125" s="230">
        <f>'Ethylene Recycling HC'!AB149</f>
        <v>0.10710411038407761</v>
      </c>
      <c r="AC125" s="230">
        <f>'Ethylene Recycling HC'!AC149</f>
        <v>0.10642200728542127</v>
      </c>
      <c r="AD125" s="230">
        <f>'Ethylene Recycling HC'!AD149</f>
        <v>0.10462104042972412</v>
      </c>
      <c r="AE125" s="230">
        <f>'Ethylene Recycling HC'!AE149</f>
        <v>0.10167996293289648</v>
      </c>
      <c r="AF125" s="230">
        <f>'Ethylene Recycling HC'!AF149</f>
        <v>9.7578206848716209E-2</v>
      </c>
      <c r="AG125" s="230">
        <f>'Ethylene Recycling HC'!AG149</f>
        <v>9.2295911029693506E-2</v>
      </c>
      <c r="AH125" s="245"/>
      <c r="AI125" s="133"/>
      <c r="AJ125" s="211"/>
      <c r="AL125" s="108"/>
      <c r="AM125" s="2"/>
      <c r="AN125" s="2"/>
      <c r="AO125" s="2"/>
      <c r="BC125" s="1"/>
      <c r="BD125" s="2"/>
      <c r="BE125" s="2"/>
      <c r="BF125" s="2"/>
      <c r="BG125" s="2"/>
      <c r="BH125" s="2"/>
      <c r="BI125" s="2"/>
      <c r="BJ125" s="2"/>
      <c r="BK125" s="2"/>
    </row>
    <row r="126" spans="1:63" outlineLevel="1">
      <c r="A126" s="4" t="s">
        <v>478</v>
      </c>
      <c r="C126" s="230">
        <f>'Ethylene Recycling HC'!C150</f>
        <v>2.2073568030605414E-3</v>
      </c>
      <c r="D126" s="230">
        <f>'Ethylene Recycling HC'!D150</f>
        <v>2.6764523723315815E-3</v>
      </c>
      <c r="E126" s="230">
        <f>'Ethylene Recycling HC'!E150</f>
        <v>3.1011504177591628E-3</v>
      </c>
      <c r="F126" s="230">
        <f>'Ethylene Recycling HC'!F150</f>
        <v>3.477068728533211E-3</v>
      </c>
      <c r="G126" s="230">
        <f>'Ethylene Recycling HC'!G150</f>
        <v>3.8006320226480167E-3</v>
      </c>
      <c r="H126" s="230">
        <f>'Ethylene Recycling HC'!H150</f>
        <v>4.0691365993278279E-3</v>
      </c>
      <c r="I126" s="230">
        <f>'Ethylene Recycling HC'!I150</f>
        <v>4.2900321240385503E-3</v>
      </c>
      <c r="J126" s="230">
        <f>'Ethylene Recycling HC'!J150</f>
        <v>4.4635248497905218E-3</v>
      </c>
      <c r="K126" s="230">
        <f>'Ethylene Recycling HC'!K150</f>
        <v>4.5900942020428237E-3</v>
      </c>
      <c r="L126" s="230">
        <f>'Ethylene Recycling HC'!L150</f>
        <v>4.6704984386585343E-3</v>
      </c>
      <c r="M126" s="230">
        <f>'Ethylene Recycling HC'!M150</f>
        <v>4.7057791198817332E-3</v>
      </c>
      <c r="N126" s="230">
        <f>'Ethylene Recycling HC'!N150</f>
        <v>5.0370021318752924E-3</v>
      </c>
      <c r="O126" s="230">
        <f>'Ethylene Recycling HC'!O150</f>
        <v>5.2673891768284693E-3</v>
      </c>
      <c r="P126" s="230">
        <f>'Ethylene Recycling HC'!P150</f>
        <v>5.410431304771676E-3</v>
      </c>
      <c r="Q126" s="230">
        <f>'Ethylene Recycling HC'!Q150</f>
        <v>5.4595287096932555E-3</v>
      </c>
      <c r="R126" s="230">
        <f>'Ethylene Recycling HC'!R150</f>
        <v>5.419478129213221E-3</v>
      </c>
      <c r="S126" s="230">
        <f>'Ethylene Recycling HC'!S150</f>
        <v>5.3058584116299256E-3</v>
      </c>
      <c r="T126" s="230">
        <f>'Ethylene Recycling HC'!T150</f>
        <v>5.1248351534992137E-3</v>
      </c>
      <c r="U126" s="230">
        <f>'Ethylene Recycling HC'!U150</f>
        <v>4.8828861827574293E-3</v>
      </c>
      <c r="V126" s="230">
        <f>'Ethylene Recycling HC'!V150</f>
        <v>4.5867997737228565E-3</v>
      </c>
      <c r="W126" s="230">
        <f>'Ethylene Recycling HC'!W150</f>
        <v>4.2436724162095724E-3</v>
      </c>
      <c r="X126" s="230">
        <f>'Ethylene Recycling HC'!X150</f>
        <v>4.0082858744476084E-3</v>
      </c>
      <c r="Y126" s="230">
        <f>'Ethylene Recycling HC'!Y150</f>
        <v>3.6952379775456439E-3</v>
      </c>
      <c r="Z126" s="230">
        <f>'Ethylene Recycling HC'!Z150</f>
        <v>3.3267832027232191E-3</v>
      </c>
      <c r="AA126" s="230">
        <f>'Ethylene Recycling HC'!AA150</f>
        <v>2.90363942027504E-3</v>
      </c>
      <c r="AB126" s="230">
        <f>'Ethylene Recycling HC'!AB150</f>
        <v>2.4389885256838354E-3</v>
      </c>
      <c r="AC126" s="230">
        <f>'Ethylene Recycling HC'!AC150</f>
        <v>1.9466822510221776E-3</v>
      </c>
      <c r="AD126" s="230">
        <f>'Ethylene Recycling HC'!AD150</f>
        <v>1.4411898065433458E-3</v>
      </c>
      <c r="AE126" s="230">
        <f>'Ethylene Recycling HC'!AE150</f>
        <v>9.3762856734252444E-4</v>
      </c>
      <c r="AF126" s="230">
        <f>'Ethylene Recycling HC'!AF150</f>
        <v>4.5176253919416873E-4</v>
      </c>
      <c r="AG126" s="230">
        <f>'Ethylene Recycling HC'!AG150</f>
        <v>0</v>
      </c>
      <c r="AH126" s="245"/>
      <c r="AI126" s="133"/>
      <c r="AJ126" s="211"/>
      <c r="AL126" s="108"/>
      <c r="AM126" s="2"/>
      <c r="AN126" s="2"/>
      <c r="AO126" s="2"/>
      <c r="BC126" s="1"/>
      <c r="BD126" s="2"/>
      <c r="BE126" s="2"/>
      <c r="BF126" s="2"/>
      <c r="BG126" s="2"/>
      <c r="BH126" s="2"/>
      <c r="BI126" s="2"/>
      <c r="BJ126" s="2"/>
      <c r="BK126" s="2"/>
    </row>
    <row r="127" spans="1:63" outlineLevel="1">
      <c r="A127" s="4" t="s">
        <v>480</v>
      </c>
      <c r="C127" s="230">
        <f>'Ethylene Recycling HC'!C151</f>
        <v>0</v>
      </c>
      <c r="D127" s="230">
        <f>'Ethylene Recycling HC'!D151</f>
        <v>9.8818963052152797E-5</v>
      </c>
      <c r="E127" s="230">
        <f>'Ethylene Recycling HC'!E151</f>
        <v>2.3717754356668454E-4</v>
      </c>
      <c r="F127" s="230">
        <f>'Ethylene Recycling HC'!F151</f>
        <v>4.1366572337970582E-4</v>
      </c>
      <c r="G127" s="230">
        <f>'Ethylene Recycling HC'!G151</f>
        <v>6.2606761212948947E-4</v>
      </c>
      <c r="H127" s="230">
        <f>'Ethylene Recycling HC'!H151</f>
        <v>8.7138691793513939E-4</v>
      </c>
      <c r="I127" s="230">
        <f>'Ethylene Recycling HC'!I151</f>
        <v>1.1483633502946946E-3</v>
      </c>
      <c r="J127" s="230">
        <f>'Ethylene Recycling HC'!J151</f>
        <v>1.4545442294862793E-3</v>
      </c>
      <c r="K127" s="230">
        <f>'Ethylene Recycling HC'!K151</f>
        <v>1.7871774480078156E-3</v>
      </c>
      <c r="L127" s="230">
        <f>'Ethylene Recycling HC'!L151</f>
        <v>2.143212416726627E-3</v>
      </c>
      <c r="M127" s="230">
        <f>'Ethylene Recycling HC'!M151</f>
        <v>2.5193024758831152E-3</v>
      </c>
      <c r="N127" s="230">
        <f>'Ethylene Recycling HC'!N151</f>
        <v>3.1224104347227374E-3</v>
      </c>
      <c r="O127" s="230">
        <f>'Ethylene Recycling HC'!O151</f>
        <v>3.7599573507556654E-3</v>
      </c>
      <c r="P127" s="230">
        <f>'Ethylene Recycling HC'!P151</f>
        <v>4.4300139003809755E-3</v>
      </c>
      <c r="Q127" s="230">
        <f>'Ethylene Recycling HC'!Q151</f>
        <v>5.1149568921339365E-3</v>
      </c>
      <c r="R127" s="230">
        <f>'Ethylene Recycling HC'!R151</f>
        <v>5.8027817800612785E-3</v>
      </c>
      <c r="S127" s="230">
        <f>'Ethylene Recycling HC'!S151</f>
        <v>6.4927155155142056E-3</v>
      </c>
      <c r="T127" s="230">
        <f>'Ethylene Recycling HC'!T151</f>
        <v>7.1756994489093045E-3</v>
      </c>
      <c r="U127" s="230">
        <f>'Ethylene Recycling HC'!U151</f>
        <v>7.8423574096601924E-3</v>
      </c>
      <c r="V127" s="230">
        <f>'Ethylene Recycling HC'!V151</f>
        <v>8.4830000383791099E-3</v>
      </c>
      <c r="W127" s="230">
        <f>'Ethylene Recycling HC'!W151</f>
        <v>9.0876296168038995E-3</v>
      </c>
      <c r="X127" s="230">
        <f>'Ethylene Recycling HC'!X151</f>
        <v>1.0014153503884071E-2</v>
      </c>
      <c r="Y127" s="230">
        <f>'Ethylene Recycling HC'!Y151</f>
        <v>1.0880625868226286E-2</v>
      </c>
      <c r="Z127" s="230">
        <f>'Ethylene Recycling HC'!Z151</f>
        <v>1.1703966412007693E-2</v>
      </c>
      <c r="AA127" s="230">
        <f>'Ethylene Recycling HC'!AA151</f>
        <v>1.2436020976274926E-2</v>
      </c>
      <c r="AB127" s="230">
        <f>'Ethylene Recycling HC'!AB151</f>
        <v>1.3057454833452163E-2</v>
      </c>
      <c r="AC127" s="230">
        <f>'Ethylene Recycling HC'!AC151</f>
        <v>1.3548374619303199E-2</v>
      </c>
      <c r="AD127" s="230">
        <f>'Ethylene Recycling HC'!AD151</f>
        <v>1.3888088071333335E-2</v>
      </c>
      <c r="AE127" s="230">
        <f>'Ethylene Recycling HC'!AE151</f>
        <v>1.4055219658137238E-2</v>
      </c>
      <c r="AF127" s="230">
        <f>'Ethylene Recycling HC'!AF151</f>
        <v>1.4027716635548328E-2</v>
      </c>
      <c r="AG127" s="230">
        <f>'Ethylene Recycling HC'!AG151</f>
        <v>1.3782856047100897E-2</v>
      </c>
      <c r="AH127" s="245"/>
      <c r="AI127" s="133"/>
      <c r="AJ127" s="211"/>
      <c r="AL127" s="108"/>
      <c r="AM127" s="2"/>
      <c r="AN127" s="2"/>
      <c r="AO127" s="2"/>
      <c r="BC127" s="1"/>
      <c r="BD127" s="2"/>
      <c r="BE127" s="2"/>
      <c r="BF127" s="2"/>
      <c r="BG127" s="2"/>
      <c r="BH127" s="2"/>
      <c r="BI127" s="2"/>
      <c r="BJ127" s="2"/>
      <c r="BK127" s="2"/>
    </row>
    <row r="128" spans="1:63" outlineLevel="1">
      <c r="A128" s="4" t="s">
        <v>474</v>
      </c>
      <c r="C128" s="230">
        <f>'Ethylene Recycling HC'!C152</f>
        <v>0</v>
      </c>
      <c r="D128" s="230">
        <f>'Ethylene Recycling HC'!D152</f>
        <v>0</v>
      </c>
      <c r="E128" s="230">
        <f>'Ethylene Recycling HC'!E152</f>
        <v>0</v>
      </c>
      <c r="F128" s="230">
        <f>'Ethylene Recycling HC'!F152</f>
        <v>0</v>
      </c>
      <c r="G128" s="230">
        <f>'Ethylene Recycling HC'!G152</f>
        <v>0</v>
      </c>
      <c r="H128" s="230">
        <f>'Ethylene Recycling HC'!H152</f>
        <v>0</v>
      </c>
      <c r="I128" s="230">
        <f>'Ethylene Recycling HC'!I152</f>
        <v>0</v>
      </c>
      <c r="J128" s="230">
        <f>'Ethylene Recycling HC'!J152</f>
        <v>0</v>
      </c>
      <c r="K128" s="230">
        <f>'Ethylene Recycling HC'!K152</f>
        <v>0</v>
      </c>
      <c r="L128" s="230">
        <f>'Ethylene Recycling HC'!L152</f>
        <v>0</v>
      </c>
      <c r="M128" s="230">
        <f>'Ethylene Recycling HC'!M152</f>
        <v>0</v>
      </c>
      <c r="N128" s="230">
        <f>'Ethylene Recycling HC'!N152</f>
        <v>0</v>
      </c>
      <c r="O128" s="230">
        <f>'Ethylene Recycling HC'!O152</f>
        <v>0</v>
      </c>
      <c r="P128" s="230">
        <f>'Ethylene Recycling HC'!P152</f>
        <v>0</v>
      </c>
      <c r="Q128" s="230">
        <f>'Ethylene Recycling HC'!Q152</f>
        <v>0</v>
      </c>
      <c r="R128" s="230">
        <f>'Ethylene Recycling HC'!R152</f>
        <v>0</v>
      </c>
      <c r="S128" s="230">
        <f>'Ethylene Recycling HC'!S152</f>
        <v>0</v>
      </c>
      <c r="T128" s="230">
        <f>'Ethylene Recycling HC'!T152</f>
        <v>0</v>
      </c>
      <c r="U128" s="230">
        <f>'Ethylene Recycling HC'!U152</f>
        <v>0</v>
      </c>
      <c r="V128" s="230">
        <f>'Ethylene Recycling HC'!V152</f>
        <v>0</v>
      </c>
      <c r="W128" s="230">
        <f>'Ethylene Recycling HC'!W152</f>
        <v>0</v>
      </c>
      <c r="X128" s="230">
        <f>'Ethylene Recycling HC'!X152</f>
        <v>0</v>
      </c>
      <c r="Y128" s="230">
        <f>'Ethylene Recycling HC'!Y152</f>
        <v>0</v>
      </c>
      <c r="Z128" s="230">
        <f>'Ethylene Recycling HC'!Z152</f>
        <v>0</v>
      </c>
      <c r="AA128" s="230">
        <f>'Ethylene Recycling HC'!AA152</f>
        <v>0</v>
      </c>
      <c r="AB128" s="230">
        <f>'Ethylene Recycling HC'!AB152</f>
        <v>0</v>
      </c>
      <c r="AC128" s="230">
        <f>'Ethylene Recycling HC'!AC152</f>
        <v>0</v>
      </c>
      <c r="AD128" s="230">
        <f>'Ethylene Recycling HC'!AD152</f>
        <v>0</v>
      </c>
      <c r="AE128" s="230">
        <f>'Ethylene Recycling HC'!AE152</f>
        <v>0</v>
      </c>
      <c r="AF128" s="230">
        <f>'Ethylene Recycling HC'!AF152</f>
        <v>0</v>
      </c>
      <c r="AG128" s="230">
        <f>'Ethylene Recycling HC'!AG152</f>
        <v>0</v>
      </c>
      <c r="AH128" s="245"/>
      <c r="AI128" s="133"/>
      <c r="AJ128" s="211"/>
      <c r="AL128" s="108"/>
      <c r="AM128" s="2"/>
      <c r="AN128" s="2"/>
      <c r="AO128" s="2"/>
      <c r="BC128" s="1"/>
      <c r="BD128" s="2"/>
      <c r="BE128" s="2"/>
      <c r="BF128" s="2"/>
      <c r="BG128" s="2"/>
      <c r="BH128" s="2"/>
      <c r="BI128" s="2"/>
      <c r="BJ128" s="2"/>
      <c r="BK128" s="2"/>
    </row>
    <row r="129" spans="1:63" outlineLevel="1">
      <c r="A129" s="4" t="s">
        <v>248</v>
      </c>
      <c r="C129" s="230">
        <f>'Ethylene Recycling HC'!C153</f>
        <v>2.0536301685616823E-3</v>
      </c>
      <c r="D129" s="230">
        <f>'Ethylene Recycling HC'!D153</f>
        <v>2.6518138133021915E-3</v>
      </c>
      <c r="E129" s="230">
        <f>'Ethylene Recycling HC'!E153</f>
        <v>3.2734144927178293E-3</v>
      </c>
      <c r="F129" s="230">
        <f>'Ethylene Recycling HC'!F153</f>
        <v>3.9120471202330944E-3</v>
      </c>
      <c r="G129" s="230">
        <f>'Ethylene Recycling HC'!G153</f>
        <v>4.5607582052112766E-3</v>
      </c>
      <c r="H129" s="230">
        <f>'Ethylene Recycling HC'!H153</f>
        <v>5.2121276958756119E-3</v>
      </c>
      <c r="I129" s="230">
        <f>'Ethylene Recycling HC'!I153</f>
        <v>5.8710234661801565E-3</v>
      </c>
      <c r="J129" s="230">
        <f>'Ethylene Recycling HC'!J153</f>
        <v>6.533622601970151E-3</v>
      </c>
      <c r="K129" s="230">
        <f>'Ethylene Recycling HC'!K153</f>
        <v>7.1958662022704907E-3</v>
      </c>
      <c r="L129" s="230">
        <f>'Ethylene Recycling HC'!L153</f>
        <v>7.8534661938223279E-3</v>
      </c>
      <c r="M129" s="230">
        <f>'Ethylene Recycling HC'!M153</f>
        <v>8.5019134363414958E-3</v>
      </c>
      <c r="N129" s="230">
        <f>'Ethylene Recycling HC'!N153</f>
        <v>9.7972994211955999E-3</v>
      </c>
      <c r="O129" s="230">
        <f>'Ethylene Recycling HC'!O153</f>
        <v>1.1055245236881533E-2</v>
      </c>
      <c r="P129" s="230">
        <f>'Ethylene Recycling HC'!P153</f>
        <v>1.2285144259170126E-2</v>
      </c>
      <c r="Q129" s="230">
        <f>'Ethylene Recycling HC'!Q153</f>
        <v>1.3452008825368383E-2</v>
      </c>
      <c r="R129" s="230">
        <f>'Ethylene Recycling HC'!R153</f>
        <v>1.4540651316148083E-2</v>
      </c>
      <c r="S129" s="230">
        <f>'Ethylene Recycling HC'!S153</f>
        <v>1.556430021728669E-2</v>
      </c>
      <c r="T129" s="230">
        <f>'Ethylene Recycling HC'!T153</f>
        <v>1.6513863588940393E-2</v>
      </c>
      <c r="U129" s="230">
        <f>'Ethylene Recycling HC'!U153</f>
        <v>1.7380020226318692E-2</v>
      </c>
      <c r="V129" s="230">
        <f>'Ethylene Recycling HC'!V153</f>
        <v>1.8153225090399634E-2</v>
      </c>
      <c r="W129" s="230">
        <f>'Ethylene Recycling HC'!W153</f>
        <v>1.8823715138539459E-2</v>
      </c>
      <c r="X129" s="230">
        <f>'Ethylene Recycling HC'!X153</f>
        <v>2.0121352950858824E-2</v>
      </c>
      <c r="Y129" s="230">
        <f>'Ethylene Recycling HC'!Y153</f>
        <v>2.1248439343170323E-2</v>
      </c>
      <c r="Z129" s="230">
        <f>'Ethylene Recycling HC'!Z153</f>
        <v>2.2253374868379503E-2</v>
      </c>
      <c r="AA129" s="230">
        <f>'Ethylene Recycling HC'!AA153</f>
        <v>2.3058003630146401E-2</v>
      </c>
      <c r="AB129" s="230">
        <f>'Ethylene Recycling HC'!AB153</f>
        <v>2.3642940391450776E-2</v>
      </c>
      <c r="AC129" s="230">
        <f>'Ethylene Recycling HC'!AC153</f>
        <v>2.398850866751874E-2</v>
      </c>
      <c r="AD129" s="230">
        <f>'Ethylene Recycling HC'!AD153</f>
        <v>2.4074298728448778E-2</v>
      </c>
      <c r="AE129" s="230">
        <f>'Ethylene Recycling HC'!AE153</f>
        <v>2.3879385422996308E-2</v>
      </c>
      <c r="AF129" s="230">
        <f>'Ethylene Recycling HC'!AF153</f>
        <v>2.3382336664594296E-2</v>
      </c>
      <c r="AG129" s="230">
        <f>'Ethylene Recycling HC'!AG153</f>
        <v>2.2561222696147302E-2</v>
      </c>
      <c r="AH129" s="245"/>
      <c r="AI129" s="133"/>
      <c r="AJ129" s="211"/>
      <c r="AL129" s="108"/>
      <c r="AM129" s="2"/>
      <c r="AN129" s="2"/>
      <c r="AO129" s="2"/>
      <c r="BC129" s="1"/>
      <c r="BD129" s="2"/>
      <c r="BE129" s="2"/>
      <c r="BF129" s="2"/>
      <c r="BG129" s="2"/>
      <c r="BH129" s="2"/>
      <c r="BI129" s="2"/>
      <c r="BJ129" s="2"/>
      <c r="BK129" s="2"/>
    </row>
    <row r="130" spans="1:63" outlineLevel="1">
      <c r="C130" s="110"/>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J130" s="211"/>
      <c r="AM130" s="123"/>
      <c r="AN130" s="123"/>
    </row>
    <row r="131" spans="1:63" s="200" customFormat="1" ht="16" thickBot="1">
      <c r="A131" s="200" t="s">
        <v>1339</v>
      </c>
      <c r="B131" s="215"/>
      <c r="C131" s="224">
        <f>C132</f>
        <v>0.13</v>
      </c>
      <c r="D131" s="224">
        <f t="shared" ref="D131:AF131" si="29">D132</f>
        <v>0.13557711853523402</v>
      </c>
      <c r="E131" s="224">
        <f t="shared" si="29"/>
        <v>0.14115423707046801</v>
      </c>
      <c r="F131" s="224">
        <f t="shared" si="29"/>
        <v>0.14673135560570202</v>
      </c>
      <c r="G131" s="224">
        <f t="shared" si="29"/>
        <v>0.15230847414093604</v>
      </c>
      <c r="H131" s="224">
        <f t="shared" si="29"/>
        <v>0.15788559267617003</v>
      </c>
      <c r="I131" s="224">
        <f t="shared" si="29"/>
        <v>0.16346271121140404</v>
      </c>
      <c r="J131" s="224">
        <f t="shared" si="29"/>
        <v>0.16903982974663806</v>
      </c>
      <c r="K131" s="224">
        <f t="shared" si="29"/>
        <v>0.17461694828187208</v>
      </c>
      <c r="L131" s="224">
        <f t="shared" si="29"/>
        <v>0.18019406681710606</v>
      </c>
      <c r="M131" s="224">
        <f t="shared" si="29"/>
        <v>0.18577118535234008</v>
      </c>
      <c r="N131" s="224">
        <f t="shared" si="29"/>
        <v>0.19752603518814099</v>
      </c>
      <c r="O131" s="224">
        <f t="shared" si="29"/>
        <v>0.20928088502394188</v>
      </c>
      <c r="P131" s="224">
        <f t="shared" si="29"/>
        <v>0.22103573485974279</v>
      </c>
      <c r="Q131" s="224">
        <f t="shared" si="29"/>
        <v>0.2327905846955437</v>
      </c>
      <c r="R131" s="224">
        <f t="shared" si="29"/>
        <v>0.24454543453134459</v>
      </c>
      <c r="S131" s="224">
        <f t="shared" si="29"/>
        <v>0.25630028436714547</v>
      </c>
      <c r="T131" s="224">
        <f t="shared" si="29"/>
        <v>0.26805513420294641</v>
      </c>
      <c r="U131" s="224">
        <f t="shared" si="29"/>
        <v>0.27980998403874729</v>
      </c>
      <c r="V131" s="224">
        <f t="shared" si="29"/>
        <v>0.29156483387454823</v>
      </c>
      <c r="W131" s="224">
        <f t="shared" si="29"/>
        <v>0.30331968371034912</v>
      </c>
      <c r="X131" s="224">
        <f t="shared" si="29"/>
        <v>0.3229877153393142</v>
      </c>
      <c r="Y131" s="224">
        <f t="shared" si="29"/>
        <v>0.34265574696827927</v>
      </c>
      <c r="Z131" s="224">
        <f t="shared" si="29"/>
        <v>0.36232377859724441</v>
      </c>
      <c r="AA131" s="224">
        <f t="shared" si="29"/>
        <v>0.38199181022620948</v>
      </c>
      <c r="AB131" s="224">
        <f t="shared" si="29"/>
        <v>0.40165984185517456</v>
      </c>
      <c r="AC131" s="224">
        <f t="shared" si="29"/>
        <v>0.42132787348413964</v>
      </c>
      <c r="AD131" s="224">
        <f t="shared" si="29"/>
        <v>0.44099590511310471</v>
      </c>
      <c r="AE131" s="224">
        <f t="shared" si="29"/>
        <v>0.46066393674206985</v>
      </c>
      <c r="AF131" s="224">
        <f t="shared" si="29"/>
        <v>0.48033196837103487</v>
      </c>
      <c r="AG131" s="224">
        <f>AG132</f>
        <v>0.5</v>
      </c>
      <c r="AJ131" s="231" t="s">
        <v>1340</v>
      </c>
      <c r="AL131" s="217"/>
      <c r="AM131" s="225"/>
      <c r="AN131" s="225"/>
      <c r="AO131" s="225"/>
    </row>
    <row r="132" spans="1:63" ht="17" outlineLevel="1" thickTop="1">
      <c r="A132" t="s">
        <v>1341</v>
      </c>
      <c r="B132" s="54" t="s">
        <v>462</v>
      </c>
      <c r="C132" s="110">
        <f>'Ethylene Recycling HC'!C156*'Ethylene Recycling HC'!C$48/'Ethylene Recycling LC'!C$48</f>
        <v>0.13</v>
      </c>
      <c r="D132" s="110">
        <f>'Ethylene Recycling HC'!D156*'Ethylene Recycling HC'!D$48/'Ethylene Recycling LC'!D$48</f>
        <v>0.13557711853523402</v>
      </c>
      <c r="E132" s="110">
        <f>'Ethylene Recycling HC'!E156*'Ethylene Recycling HC'!E$48/'Ethylene Recycling LC'!E$48</f>
        <v>0.14115423707046801</v>
      </c>
      <c r="F132" s="110">
        <f>'Ethylene Recycling HC'!F156*'Ethylene Recycling HC'!F$48/'Ethylene Recycling LC'!F$48</f>
        <v>0.14673135560570202</v>
      </c>
      <c r="G132" s="110">
        <f>'Ethylene Recycling HC'!G156*'Ethylene Recycling HC'!G$48/'Ethylene Recycling LC'!G$48</f>
        <v>0.15230847414093604</v>
      </c>
      <c r="H132" s="110">
        <f>'Ethylene Recycling HC'!H156*'Ethylene Recycling HC'!H$48/'Ethylene Recycling LC'!H$48</f>
        <v>0.15788559267617003</v>
      </c>
      <c r="I132" s="110">
        <f>'Ethylene Recycling HC'!I156*'Ethylene Recycling HC'!I$48/'Ethylene Recycling LC'!I$48</f>
        <v>0.16346271121140404</v>
      </c>
      <c r="J132" s="110">
        <f>'Ethylene Recycling HC'!J156*'Ethylene Recycling HC'!J$48/'Ethylene Recycling LC'!J$48</f>
        <v>0.16903982974663806</v>
      </c>
      <c r="K132" s="110">
        <f>'Ethylene Recycling HC'!K156*'Ethylene Recycling HC'!K$48/'Ethylene Recycling LC'!K$48</f>
        <v>0.17461694828187208</v>
      </c>
      <c r="L132" s="110">
        <f>'Ethylene Recycling HC'!L156*'Ethylene Recycling HC'!L$48/'Ethylene Recycling LC'!L$48</f>
        <v>0.18019406681710606</v>
      </c>
      <c r="M132" s="110">
        <f>'Ethylene Recycling HC'!M156*'Ethylene Recycling HC'!M$48/'Ethylene Recycling LC'!M$48</f>
        <v>0.18577118535234008</v>
      </c>
      <c r="N132" s="110">
        <f>'Ethylene Recycling HC'!N156*'Ethylene Recycling HC'!N$48/'Ethylene Recycling LC'!N$48</f>
        <v>0.19752603518814099</v>
      </c>
      <c r="O132" s="110">
        <f>'Ethylene Recycling HC'!O156*'Ethylene Recycling HC'!O$48/'Ethylene Recycling LC'!O$48</f>
        <v>0.20928088502394188</v>
      </c>
      <c r="P132" s="110">
        <f>'Ethylene Recycling HC'!P156*'Ethylene Recycling HC'!P$48/'Ethylene Recycling LC'!P$48</f>
        <v>0.22103573485974279</v>
      </c>
      <c r="Q132" s="110">
        <f>'Ethylene Recycling HC'!Q156*'Ethylene Recycling HC'!Q$48/'Ethylene Recycling LC'!Q$48</f>
        <v>0.2327905846955437</v>
      </c>
      <c r="R132" s="110">
        <f>'Ethylene Recycling HC'!R156*'Ethylene Recycling HC'!R$48/'Ethylene Recycling LC'!R$48</f>
        <v>0.24454543453134459</v>
      </c>
      <c r="S132" s="110">
        <f>'Ethylene Recycling HC'!S156*'Ethylene Recycling HC'!S$48/'Ethylene Recycling LC'!S$48</f>
        <v>0.25630028436714547</v>
      </c>
      <c r="T132" s="110">
        <f>'Ethylene Recycling HC'!T156*'Ethylene Recycling HC'!T$48/'Ethylene Recycling LC'!T$48</f>
        <v>0.26805513420294641</v>
      </c>
      <c r="U132" s="110">
        <f>'Ethylene Recycling HC'!U156*'Ethylene Recycling HC'!U$48/'Ethylene Recycling LC'!U$48</f>
        <v>0.27980998403874729</v>
      </c>
      <c r="V132" s="110">
        <f>'Ethylene Recycling HC'!V156*'Ethylene Recycling HC'!V$48/'Ethylene Recycling LC'!V$48</f>
        <v>0.29156483387454823</v>
      </c>
      <c r="W132" s="110">
        <f>'Ethylene Recycling HC'!W156*'Ethylene Recycling HC'!W$48/'Ethylene Recycling LC'!W$48</f>
        <v>0.30331968371034912</v>
      </c>
      <c r="X132" s="110">
        <f>'Ethylene Recycling HC'!X156*'Ethylene Recycling HC'!X$48/'Ethylene Recycling LC'!X$48</f>
        <v>0.3229877153393142</v>
      </c>
      <c r="Y132" s="110">
        <f>'Ethylene Recycling HC'!Y156*'Ethylene Recycling HC'!Y$48/'Ethylene Recycling LC'!Y$48</f>
        <v>0.34265574696827927</v>
      </c>
      <c r="Z132" s="110">
        <f>'Ethylene Recycling HC'!Z156*'Ethylene Recycling HC'!Z$48/'Ethylene Recycling LC'!Z$48</f>
        <v>0.36232377859724441</v>
      </c>
      <c r="AA132" s="110">
        <f>'Ethylene Recycling HC'!AA156*'Ethylene Recycling HC'!AA$48/'Ethylene Recycling LC'!AA$48</f>
        <v>0.38199181022620948</v>
      </c>
      <c r="AB132" s="110">
        <f>'Ethylene Recycling HC'!AB156*'Ethylene Recycling HC'!AB$48/'Ethylene Recycling LC'!AB$48</f>
        <v>0.40165984185517456</v>
      </c>
      <c r="AC132" s="110">
        <f>'Ethylene Recycling HC'!AC156*'Ethylene Recycling HC'!AC$48/'Ethylene Recycling LC'!AC$48</f>
        <v>0.42132787348413964</v>
      </c>
      <c r="AD132" s="110">
        <f>'Ethylene Recycling HC'!AD156*'Ethylene Recycling HC'!AD$48/'Ethylene Recycling LC'!AD$48</f>
        <v>0.44099590511310471</v>
      </c>
      <c r="AE132" s="110">
        <f>'Ethylene Recycling HC'!AE156*'Ethylene Recycling HC'!AE$48/'Ethylene Recycling LC'!AE$48</f>
        <v>0.46066393674206985</v>
      </c>
      <c r="AF132" s="110">
        <f>'Ethylene Recycling HC'!AF156*'Ethylene Recycling HC'!AF$48/'Ethylene Recycling LC'!AF$48</f>
        <v>0.48033196837103487</v>
      </c>
      <c r="AG132" s="110">
        <f>'Ethylene Recycling HC'!AG156*'Ethylene Recycling HC'!AG$48/'Ethylene Recycling LC'!AG$48</f>
        <v>0.5</v>
      </c>
      <c r="AI132" s="133" t="s">
        <v>1314</v>
      </c>
      <c r="AJ132" s="211" t="s">
        <v>1342</v>
      </c>
    </row>
    <row r="133" spans="1:63" ht="16" outlineLevel="1">
      <c r="A133" t="s">
        <v>1343</v>
      </c>
      <c r="B133" s="54" t="s">
        <v>462</v>
      </c>
      <c r="C133" s="110">
        <f>'Ethylene Recycling HC'!C159*'Ethylene Recycling HC'!C$48/'Ethylene Recycling LC'!C$48</f>
        <v>6.5000000000000006E-3</v>
      </c>
      <c r="D133" s="110">
        <f>'Ethylene Recycling HC'!D159*'Ethylene Recycling HC'!D$48/'Ethylene Recycling LC'!D$48</f>
        <v>7.9086652478886511E-3</v>
      </c>
      <c r="E133" s="110">
        <f>'Ethylene Recycling HC'!E159*'Ethylene Recycling HC'!E$48/'Ethylene Recycling LC'!E$48</f>
        <v>9.4102824713645332E-3</v>
      </c>
      <c r="F133" s="110">
        <f>'Ethylene Recycling HC'!F159*'Ethylene Recycling HC'!F$48/'Ethylene Recycling LC'!F$48</f>
        <v>1.1004851670427652E-2</v>
      </c>
      <c r="G133" s="110">
        <f>'Ethylene Recycling HC'!G159*'Ethylene Recycling HC'!G$48/'Ethylene Recycling LC'!G$48</f>
        <v>1.2692372845078003E-2</v>
      </c>
      <c r="H133" s="110">
        <f>'Ethylene Recycling HC'!H159*'Ethylene Recycling HC'!H$48/'Ethylene Recycling LC'!H$48</f>
        <v>1.4472845995315585E-2</v>
      </c>
      <c r="I133" s="110">
        <f>'Ethylene Recycling HC'!I159*'Ethylene Recycling HC'!I$48/'Ethylene Recycling LC'!I$48</f>
        <v>1.6346271121140402E-2</v>
      </c>
      <c r="J133" s="110">
        <f>'Ethylene Recycling HC'!J159*'Ethylene Recycling HC'!J$48/'Ethylene Recycling LC'!J$48</f>
        <v>1.8312648222552456E-2</v>
      </c>
      <c r="K133" s="110">
        <f>'Ethylene Recycling HC'!K159*'Ethylene Recycling HC'!K$48/'Ethylene Recycling LC'!K$48</f>
        <v>2.037197729955174E-2</v>
      </c>
      <c r="L133" s="110">
        <f>'Ethylene Recycling HC'!L159*'Ethylene Recycling HC'!L$48/'Ethylene Recycling LC'!L$48</f>
        <v>2.2524258352138251E-2</v>
      </c>
      <c r="M133" s="110">
        <f>'Ethylene Recycling HC'!M159*'Ethylene Recycling HC'!M$48/'Ethylene Recycling LC'!M$48</f>
        <v>2.4769491380312009E-2</v>
      </c>
      <c r="N133" s="110">
        <f>'Ethylene Recycling HC'!N159*'Ethylene Recycling HC'!N$48/'Ethylene Recycling LC'!N$48</f>
        <v>2.7982854984986639E-2</v>
      </c>
      <c r="O133" s="110">
        <f>'Ethylene Recycling HC'!O159*'Ethylene Recycling HC'!O$48/'Ethylene Recycling LC'!O$48</f>
        <v>3.1392132753591283E-2</v>
      </c>
      <c r="P133" s="110">
        <f>'Ethylene Recycling HC'!P159*'Ethylene Recycling HC'!P$48/'Ethylene Recycling LC'!P$48</f>
        <v>3.4997324686125937E-2</v>
      </c>
      <c r="Q133" s="110">
        <f>'Ethylene Recycling HC'!Q159*'Ethylene Recycling HC'!Q$48/'Ethylene Recycling LC'!Q$48</f>
        <v>3.8798430782590612E-2</v>
      </c>
      <c r="R133" s="110">
        <f>'Ethylene Recycling HC'!R159*'Ethylene Recycling HC'!R$48/'Ethylene Recycling LC'!R$48</f>
        <v>4.2795451042985308E-2</v>
      </c>
      <c r="S133" s="110">
        <f>'Ethylene Recycling HC'!S159*'Ethylene Recycling HC'!S$48/'Ethylene Recycling LC'!S$48</f>
        <v>4.6988385467309997E-2</v>
      </c>
      <c r="T133" s="110">
        <f>'Ethylene Recycling HC'!T159*'Ethylene Recycling HC'!T$48/'Ethylene Recycling LC'!T$48</f>
        <v>5.1377234055564727E-2</v>
      </c>
      <c r="U133" s="110">
        <f>'Ethylene Recycling HC'!U159*'Ethylene Recycling HC'!U$48/'Ethylene Recycling LC'!U$48</f>
        <v>5.5961996807749458E-2</v>
      </c>
      <c r="V133" s="110">
        <f>'Ethylene Recycling HC'!V159*'Ethylene Recycling HC'!V$48/'Ethylene Recycling LC'!V$48</f>
        <v>6.0742673723864209E-2</v>
      </c>
      <c r="W133" s="110">
        <f>'Ethylene Recycling HC'!W159*'Ethylene Recycling HC'!W$48/'Ethylene Recycling LC'!W$48</f>
        <v>6.5719264803908967E-2</v>
      </c>
      <c r="X133" s="110">
        <f>'Ethylene Recycling HC'!X159*'Ethylene Recycling HC'!X$48/'Ethylene Recycling LC'!X$48</f>
        <v>7.2672235951345684E-2</v>
      </c>
      <c r="Y133" s="110">
        <f>'Ethylene Recycling HC'!Y159*'Ethylene Recycling HC'!Y$48/'Ethylene Recycling LC'!Y$48</f>
        <v>7.9953007625931827E-2</v>
      </c>
      <c r="Z133" s="110">
        <f>'Ethylene Recycling HC'!Z159*'Ethylene Recycling HC'!Z$48/'Ethylene Recycling LC'!Z$48</f>
        <v>8.7561579827667393E-2</v>
      </c>
      <c r="AA133" s="110">
        <f>'Ethylene Recycling HC'!AA159*'Ethylene Recycling HC'!AA$48/'Ethylene Recycling LC'!AA$48</f>
        <v>9.5497952556552357E-2</v>
      </c>
      <c r="AB133" s="110">
        <f>'Ethylene Recycling HC'!AB159*'Ethylene Recycling HC'!AB$48/'Ethylene Recycling LC'!AB$48</f>
        <v>0.10376212581258674</v>
      </c>
      <c r="AC133" s="110">
        <f>'Ethylene Recycling HC'!AC159*'Ethylene Recycling HC'!AC$48/'Ethylene Recycling LC'!AC$48</f>
        <v>0.11235409959577057</v>
      </c>
      <c r="AD133" s="110">
        <f>'Ethylene Recycling HC'!AD159*'Ethylene Recycling HC'!AD$48/'Ethylene Recycling LC'!AD$48</f>
        <v>0.12127387390610381</v>
      </c>
      <c r="AE133" s="110">
        <f>'Ethylene Recycling HC'!AE159*'Ethylene Recycling HC'!AE$48/'Ethylene Recycling LC'!AE$48</f>
        <v>0.13052144874358648</v>
      </c>
      <c r="AF133" s="110">
        <f>'Ethylene Recycling HC'!AF159*'Ethylene Recycling HC'!AF$48/'Ethylene Recycling LC'!AF$48</f>
        <v>0.14009682410821853</v>
      </c>
      <c r="AG133" s="110">
        <f>'Ethylene Recycling HC'!AG159*'Ethylene Recycling HC'!AG$48/'Ethylene Recycling LC'!AG$48</f>
        <v>0.15</v>
      </c>
      <c r="AI133" s="133" t="s">
        <v>1314</v>
      </c>
      <c r="AJ133" s="211"/>
      <c r="BD133" s="203"/>
      <c r="BE133" s="203"/>
    </row>
    <row r="134" spans="1:63" ht="16" outlineLevel="1">
      <c r="A134" t="s">
        <v>1344</v>
      </c>
      <c r="B134" s="54" t="s">
        <v>462</v>
      </c>
      <c r="C134" s="110">
        <f>'Ethylene Recycling HC'!C160*'Ethylene Recycling HC'!C$48/'Ethylene Recycling LC'!C$48</f>
        <v>0.12349999999999998</v>
      </c>
      <c r="D134" s="110">
        <f>'Ethylene Recycling HC'!D160*'Ethylene Recycling HC'!D$48/'Ethylene Recycling LC'!D$48</f>
        <v>0.12766845328734536</v>
      </c>
      <c r="E134" s="110">
        <f>'Ethylene Recycling HC'!E160*'Ethylene Recycling HC'!E$48/'Ethylene Recycling LC'!E$48</f>
        <v>0.13174395459910349</v>
      </c>
      <c r="F134" s="110">
        <f>'Ethylene Recycling HC'!F160*'Ethylene Recycling HC'!F$48/'Ethylene Recycling LC'!F$48</f>
        <v>0.13572650393527438</v>
      </c>
      <c r="G134" s="110">
        <f>'Ethylene Recycling HC'!G160*'Ethylene Recycling HC'!G$48/'Ethylene Recycling LC'!G$48</f>
        <v>0.13961610129585802</v>
      </c>
      <c r="H134" s="110">
        <f>'Ethylene Recycling HC'!H160*'Ethylene Recycling HC'!H$48/'Ethylene Recycling LC'!H$48</f>
        <v>0.14341274668085444</v>
      </c>
      <c r="I134" s="110">
        <f>'Ethylene Recycling HC'!I160*'Ethylene Recycling HC'!I$48/'Ethylene Recycling LC'!I$48</f>
        <v>0.14711644009026364</v>
      </c>
      <c r="J134" s="110">
        <f>'Ethylene Recycling HC'!J160*'Ethylene Recycling HC'!J$48/'Ethylene Recycling LC'!J$48</f>
        <v>0.15072718152408562</v>
      </c>
      <c r="K134" s="110">
        <f>'Ethylene Recycling HC'!K160*'Ethylene Recycling HC'!K$48/'Ethylene Recycling LC'!K$48</f>
        <v>0.15424497098232032</v>
      </c>
      <c r="L134" s="110">
        <f>'Ethylene Recycling HC'!L160*'Ethylene Recycling HC'!L$48/'Ethylene Recycling LC'!L$48</f>
        <v>0.15766980846496781</v>
      </c>
      <c r="M134" s="110">
        <f>'Ethylene Recycling HC'!M160*'Ethylene Recycling HC'!M$48/'Ethylene Recycling LC'!M$48</f>
        <v>0.16100169397202807</v>
      </c>
      <c r="N134" s="110">
        <f>'Ethylene Recycling HC'!N160*'Ethylene Recycling HC'!N$48/'Ethylene Recycling LC'!N$48</f>
        <v>0.16954318020315437</v>
      </c>
      <c r="O134" s="110">
        <f>'Ethylene Recycling HC'!O160*'Ethylene Recycling HC'!O$48/'Ethylene Recycling LC'!O$48</f>
        <v>0.17788875227035059</v>
      </c>
      <c r="P134" s="110">
        <f>'Ethylene Recycling HC'!P160*'Ethylene Recycling HC'!P$48/'Ethylene Recycling LC'!P$48</f>
        <v>0.18603841017361686</v>
      </c>
      <c r="Q134" s="110">
        <f>'Ethylene Recycling HC'!Q160*'Ethylene Recycling HC'!Q$48/'Ethylene Recycling LC'!Q$48</f>
        <v>0.1939921539129531</v>
      </c>
      <c r="R134" s="110">
        <f>'Ethylene Recycling HC'!R160*'Ethylene Recycling HC'!R$48/'Ethylene Recycling LC'!R$48</f>
        <v>0.20174998348835926</v>
      </c>
      <c r="S134" s="110">
        <f>'Ethylene Recycling HC'!S160*'Ethylene Recycling HC'!S$48/'Ethylene Recycling LC'!S$48</f>
        <v>0.20931189889983545</v>
      </c>
      <c r="T134" s="110">
        <f>'Ethylene Recycling HC'!T160*'Ethylene Recycling HC'!T$48/'Ethylene Recycling LC'!T$48</f>
        <v>0.2166779001473817</v>
      </c>
      <c r="U134" s="110">
        <f>'Ethylene Recycling HC'!U160*'Ethylene Recycling HC'!U$48/'Ethylene Recycling LC'!U$48</f>
        <v>0.22384798723099786</v>
      </c>
      <c r="V134" s="110">
        <f>'Ethylene Recycling HC'!V160*'Ethylene Recycling HC'!V$48/'Ethylene Recycling LC'!V$48</f>
        <v>0.23082216015068405</v>
      </c>
      <c r="W134" s="110">
        <f>'Ethylene Recycling HC'!W160*'Ethylene Recycling HC'!W$48/'Ethylene Recycling LC'!W$48</f>
        <v>0.23760041890644013</v>
      </c>
      <c r="X134" s="110">
        <f>'Ethylene Recycling HC'!X160*'Ethylene Recycling HC'!X$48/'Ethylene Recycling LC'!X$48</f>
        <v>0.2503154793879685</v>
      </c>
      <c r="Y134" s="110">
        <f>'Ethylene Recycling HC'!Y160*'Ethylene Recycling HC'!Y$48/'Ethylene Recycling LC'!Y$48</f>
        <v>0.26270273934234745</v>
      </c>
      <c r="Z134" s="110">
        <f>'Ethylene Recycling HC'!Z160*'Ethylene Recycling HC'!Z$48/'Ethylene Recycling LC'!Z$48</f>
        <v>0.27476219876957697</v>
      </c>
      <c r="AA134" s="110">
        <f>'Ethylene Recycling HC'!AA160*'Ethylene Recycling HC'!AA$48/'Ethylene Recycling LC'!AA$48</f>
        <v>0.28649385766965713</v>
      </c>
      <c r="AB134" s="110">
        <f>'Ethylene Recycling HC'!AB160*'Ethylene Recycling HC'!AB$48/'Ethylene Recycling LC'!AB$48</f>
        <v>0.2978977160425878</v>
      </c>
      <c r="AC134" s="110">
        <f>'Ethylene Recycling HC'!AC160*'Ethylene Recycling HC'!AC$48/'Ethylene Recycling LC'!AC$48</f>
        <v>0.30897377388836911</v>
      </c>
      <c r="AD134" s="110">
        <f>'Ethylene Recycling HC'!AD160*'Ethylene Recycling HC'!AD$48/'Ethylene Recycling LC'!AD$48</f>
        <v>0.31972203120700093</v>
      </c>
      <c r="AE134" s="110">
        <f>'Ethylene Recycling HC'!AE160*'Ethylene Recycling HC'!AE$48/'Ethylene Recycling LC'!AE$48</f>
        <v>0.33014248799848334</v>
      </c>
      <c r="AF134" s="110">
        <f>'Ethylene Recycling HC'!AF160*'Ethylene Recycling HC'!AF$48/'Ethylene Recycling LC'!AF$48</f>
        <v>0.34023514426281631</v>
      </c>
      <c r="AG134" s="110">
        <f>'Ethylene Recycling HC'!AG160*'Ethylene Recycling HC'!AG$48/'Ethylene Recycling LC'!AG$48</f>
        <v>0.35000000000000003</v>
      </c>
      <c r="AI134" s="133" t="s">
        <v>1314</v>
      </c>
      <c r="AJ134" s="211"/>
      <c r="BD134" s="203"/>
      <c r="BE134" s="203"/>
    </row>
    <row r="135" spans="1:63" ht="16" outlineLevel="1">
      <c r="A135" t="s">
        <v>1345</v>
      </c>
      <c r="B135" s="54" t="s">
        <v>462</v>
      </c>
      <c r="C135" s="110">
        <f>'Ethylene Recycling HC'!C166*'Ethylene Recycling HC'!C$48/'Ethylene Recycling LC'!C$48</f>
        <v>6.1749999999999992E-2</v>
      </c>
      <c r="D135" s="110">
        <f>'Ethylene Recycling HC'!D166*'Ethylene Recycling HC'!D$48/'Ethylene Recycling LC'!D$48</f>
        <v>6.3834226643672679E-2</v>
      </c>
      <c r="E135" s="110">
        <f>'Ethylene Recycling HC'!E166*'Ethylene Recycling HC'!E$48/'Ethylene Recycling LC'!E$48</f>
        <v>6.5871977299551743E-2</v>
      </c>
      <c r="F135" s="110">
        <f>'Ethylene Recycling HC'!F166*'Ethylene Recycling HC'!F$48/'Ethylene Recycling LC'!F$48</f>
        <v>6.7863251967637192E-2</v>
      </c>
      <c r="G135" s="110">
        <f>'Ethylene Recycling HC'!G166*'Ethylene Recycling HC'!G$48/'Ethylene Recycling LC'!G$48</f>
        <v>6.9808050647929012E-2</v>
      </c>
      <c r="H135" s="110">
        <f>'Ethylene Recycling HC'!H166*'Ethylene Recycling HC'!H$48/'Ethylene Recycling LC'!H$48</f>
        <v>7.1706373340427218E-2</v>
      </c>
      <c r="I135" s="110">
        <f>'Ethylene Recycling HC'!I166*'Ethylene Recycling HC'!I$48/'Ethylene Recycling LC'!I$48</f>
        <v>7.3558220045131822E-2</v>
      </c>
      <c r="J135" s="110">
        <f>'Ethylene Recycling HC'!J166*'Ethylene Recycling HC'!J$48/'Ethylene Recycling LC'!J$48</f>
        <v>7.5363590762042812E-2</v>
      </c>
      <c r="K135" s="110">
        <f>'Ethylene Recycling HC'!K166*'Ethylene Recycling HC'!K$48/'Ethylene Recycling LC'!K$48</f>
        <v>7.7122485491160159E-2</v>
      </c>
      <c r="L135" s="110">
        <f>'Ethylene Recycling HC'!L166*'Ethylene Recycling HC'!L$48/'Ethylene Recycling LC'!L$48</f>
        <v>7.8834904232483904E-2</v>
      </c>
      <c r="M135" s="110">
        <f>'Ethylene Recycling HC'!M166*'Ethylene Recycling HC'!M$48/'Ethylene Recycling LC'!M$48</f>
        <v>8.0500846986014035E-2</v>
      </c>
      <c r="N135" s="110">
        <f>'Ethylene Recycling HC'!N166*'Ethylene Recycling HC'!N$48/'Ethylene Recycling LC'!N$48</f>
        <v>8.4771590101577185E-2</v>
      </c>
      <c r="O135" s="110">
        <f>'Ethylene Recycling HC'!O166*'Ethylene Recycling HC'!O$48/'Ethylene Recycling LC'!O$48</f>
        <v>8.8944376135175293E-2</v>
      </c>
      <c r="P135" s="110">
        <f>'Ethylene Recycling HC'!P166*'Ethylene Recycling HC'!P$48/'Ethylene Recycling LC'!P$48</f>
        <v>9.3019205086808429E-2</v>
      </c>
      <c r="Q135" s="110">
        <f>'Ethylene Recycling HC'!Q166*'Ethylene Recycling HC'!Q$48/'Ethylene Recycling LC'!Q$48</f>
        <v>9.6996076956476551E-2</v>
      </c>
      <c r="R135" s="110">
        <f>'Ethylene Recycling HC'!R166*'Ethylene Recycling HC'!R$48/'Ethylene Recycling LC'!R$48</f>
        <v>0.10087499174417963</v>
      </c>
      <c r="S135" s="110">
        <f>'Ethylene Recycling HC'!S166*'Ethylene Recycling HC'!S$48/'Ethylene Recycling LC'!S$48</f>
        <v>0.10465594944991773</v>
      </c>
      <c r="T135" s="110">
        <f>'Ethylene Recycling HC'!T166*'Ethylene Recycling HC'!T$48/'Ethylene Recycling LC'!T$48</f>
        <v>0.10833895007369085</v>
      </c>
      <c r="U135" s="110">
        <f>'Ethylene Recycling HC'!U166*'Ethylene Recycling HC'!U$48/'Ethylene Recycling LC'!U$48</f>
        <v>0.11192399361549893</v>
      </c>
      <c r="V135" s="110">
        <f>'Ethylene Recycling HC'!V166*'Ethylene Recycling HC'!V$48/'Ethylene Recycling LC'!V$48</f>
        <v>0.11541108007534202</v>
      </c>
      <c r="W135" s="110">
        <f>'Ethylene Recycling HC'!W166*'Ethylene Recycling HC'!W$48/'Ethylene Recycling LC'!W$48</f>
        <v>0.11880020945322006</v>
      </c>
      <c r="X135" s="110">
        <f>'Ethylene Recycling HC'!X166*'Ethylene Recycling HC'!X$48/'Ethylene Recycling LC'!X$48</f>
        <v>0.12515773969398425</v>
      </c>
      <c r="Y135" s="110">
        <f>'Ethylene Recycling HC'!Y166*'Ethylene Recycling HC'!Y$48/'Ethylene Recycling LC'!Y$48</f>
        <v>0.13135136967117372</v>
      </c>
      <c r="Z135" s="110">
        <f>'Ethylene Recycling HC'!Z166*'Ethylene Recycling HC'!Z$48/'Ethylene Recycling LC'!Z$48</f>
        <v>0.13738109938478849</v>
      </c>
      <c r="AA135" s="110">
        <f>'Ethylene Recycling HC'!AA166*'Ethylene Recycling HC'!AA$48/'Ethylene Recycling LC'!AA$48</f>
        <v>0.14324692883482856</v>
      </c>
      <c r="AB135" s="110">
        <f>'Ethylene Recycling HC'!AB166*'Ethylene Recycling HC'!AB$48/'Ethylene Recycling LC'!AB$48</f>
        <v>0.1489488580212939</v>
      </c>
      <c r="AC135" s="110">
        <f>'Ethylene Recycling HC'!AC166*'Ethylene Recycling HC'!AC$48/'Ethylene Recycling LC'!AC$48</f>
        <v>0.15448688694418455</v>
      </c>
      <c r="AD135" s="110">
        <f>'Ethylene Recycling HC'!AD166*'Ethylene Recycling HC'!AD$48/'Ethylene Recycling LC'!AD$48</f>
        <v>0.15986101560350047</v>
      </c>
      <c r="AE135" s="110">
        <f>'Ethylene Recycling HC'!AE166*'Ethylene Recycling HC'!AE$48/'Ethylene Recycling LC'!AE$48</f>
        <v>0.16507124399924167</v>
      </c>
      <c r="AF135" s="110">
        <f>'Ethylene Recycling HC'!AF166*'Ethylene Recycling HC'!AF$48/'Ethylene Recycling LC'!AF$48</f>
        <v>0.17011757213140816</v>
      </c>
      <c r="AG135" s="110">
        <f>'Ethylene Recycling HC'!AG166*'Ethylene Recycling HC'!AG$48/'Ethylene Recycling LC'!AG$48</f>
        <v>0.17500000000000002</v>
      </c>
      <c r="AH135" s="131"/>
      <c r="AI135" s="133" t="s">
        <v>1314</v>
      </c>
      <c r="AJ135" s="211"/>
    </row>
    <row r="136" spans="1:63" ht="16" outlineLevel="1">
      <c r="A136" t="s">
        <v>1346</v>
      </c>
      <c r="B136" s="54" t="s">
        <v>462</v>
      </c>
      <c r="C136" s="110">
        <f>'Ethylene Recycling HC'!C167*'Ethylene Recycling HC'!C$48/'Ethylene Recycling LC'!C$48</f>
        <v>6.1749999999999992E-2</v>
      </c>
      <c r="D136" s="110">
        <f>'Ethylene Recycling HC'!D167*'Ethylene Recycling HC'!D$48/'Ethylene Recycling LC'!D$48</f>
        <v>6.3834226643672679E-2</v>
      </c>
      <c r="E136" s="110">
        <f>'Ethylene Recycling HC'!E167*'Ethylene Recycling HC'!E$48/'Ethylene Recycling LC'!E$48</f>
        <v>6.5871977299551743E-2</v>
      </c>
      <c r="F136" s="110">
        <f>'Ethylene Recycling HC'!F167*'Ethylene Recycling HC'!F$48/'Ethylene Recycling LC'!F$48</f>
        <v>6.7863251967637192E-2</v>
      </c>
      <c r="G136" s="110">
        <f>'Ethylene Recycling HC'!G167*'Ethylene Recycling HC'!G$48/'Ethylene Recycling LC'!G$48</f>
        <v>6.9808050647929012E-2</v>
      </c>
      <c r="H136" s="110">
        <f>'Ethylene Recycling HC'!H167*'Ethylene Recycling HC'!H$48/'Ethylene Recycling LC'!H$48</f>
        <v>7.1706373340427218E-2</v>
      </c>
      <c r="I136" s="110">
        <f>'Ethylene Recycling HC'!I167*'Ethylene Recycling HC'!I$48/'Ethylene Recycling LC'!I$48</f>
        <v>7.3558220045131822E-2</v>
      </c>
      <c r="J136" s="110">
        <f>'Ethylene Recycling HC'!J167*'Ethylene Recycling HC'!J$48/'Ethylene Recycling LC'!J$48</f>
        <v>7.5363590762042812E-2</v>
      </c>
      <c r="K136" s="110">
        <f>'Ethylene Recycling HC'!K167*'Ethylene Recycling HC'!K$48/'Ethylene Recycling LC'!K$48</f>
        <v>7.7122485491160159E-2</v>
      </c>
      <c r="L136" s="110">
        <f>'Ethylene Recycling HC'!L167*'Ethylene Recycling HC'!L$48/'Ethylene Recycling LC'!L$48</f>
        <v>7.8834904232483904E-2</v>
      </c>
      <c r="M136" s="110">
        <f>'Ethylene Recycling HC'!M167*'Ethylene Recycling HC'!M$48/'Ethylene Recycling LC'!M$48</f>
        <v>8.0500846986014035E-2</v>
      </c>
      <c r="N136" s="110">
        <f>'Ethylene Recycling HC'!N167*'Ethylene Recycling HC'!N$48/'Ethylene Recycling LC'!N$48</f>
        <v>8.4771590101577185E-2</v>
      </c>
      <c r="O136" s="110">
        <f>'Ethylene Recycling HC'!O167*'Ethylene Recycling HC'!O$48/'Ethylene Recycling LC'!O$48</f>
        <v>8.8944376135175293E-2</v>
      </c>
      <c r="P136" s="110">
        <f>'Ethylene Recycling HC'!P167*'Ethylene Recycling HC'!P$48/'Ethylene Recycling LC'!P$48</f>
        <v>9.3019205086808429E-2</v>
      </c>
      <c r="Q136" s="110">
        <f>'Ethylene Recycling HC'!Q167*'Ethylene Recycling HC'!Q$48/'Ethylene Recycling LC'!Q$48</f>
        <v>9.6996076956476551E-2</v>
      </c>
      <c r="R136" s="110">
        <f>'Ethylene Recycling HC'!R167*'Ethylene Recycling HC'!R$48/'Ethylene Recycling LC'!R$48</f>
        <v>0.10087499174417963</v>
      </c>
      <c r="S136" s="110">
        <f>'Ethylene Recycling HC'!S167*'Ethylene Recycling HC'!S$48/'Ethylene Recycling LC'!S$48</f>
        <v>0.10465594944991773</v>
      </c>
      <c r="T136" s="110">
        <f>'Ethylene Recycling HC'!T167*'Ethylene Recycling HC'!T$48/'Ethylene Recycling LC'!T$48</f>
        <v>0.10833895007369085</v>
      </c>
      <c r="U136" s="110">
        <f>'Ethylene Recycling HC'!U167*'Ethylene Recycling HC'!U$48/'Ethylene Recycling LC'!U$48</f>
        <v>0.11192399361549893</v>
      </c>
      <c r="V136" s="110">
        <f>'Ethylene Recycling HC'!V167*'Ethylene Recycling HC'!V$48/'Ethylene Recycling LC'!V$48</f>
        <v>0.11541108007534202</v>
      </c>
      <c r="W136" s="110">
        <f>'Ethylene Recycling HC'!W167*'Ethylene Recycling HC'!W$48/'Ethylene Recycling LC'!W$48</f>
        <v>0.11880020945322006</v>
      </c>
      <c r="X136" s="110">
        <f>'Ethylene Recycling HC'!X167*'Ethylene Recycling HC'!X$48/'Ethylene Recycling LC'!X$48</f>
        <v>0.12515773969398425</v>
      </c>
      <c r="Y136" s="110">
        <f>'Ethylene Recycling HC'!Y167*'Ethylene Recycling HC'!Y$48/'Ethylene Recycling LC'!Y$48</f>
        <v>0.13135136967117372</v>
      </c>
      <c r="Z136" s="110">
        <f>'Ethylene Recycling HC'!Z167*'Ethylene Recycling HC'!Z$48/'Ethylene Recycling LC'!Z$48</f>
        <v>0.13738109938478849</v>
      </c>
      <c r="AA136" s="110">
        <f>'Ethylene Recycling HC'!AA167*'Ethylene Recycling HC'!AA$48/'Ethylene Recycling LC'!AA$48</f>
        <v>0.14324692883482856</v>
      </c>
      <c r="AB136" s="110">
        <f>'Ethylene Recycling HC'!AB167*'Ethylene Recycling HC'!AB$48/'Ethylene Recycling LC'!AB$48</f>
        <v>0.1489488580212939</v>
      </c>
      <c r="AC136" s="110">
        <f>'Ethylene Recycling HC'!AC167*'Ethylene Recycling HC'!AC$48/'Ethylene Recycling LC'!AC$48</f>
        <v>0.15448688694418455</v>
      </c>
      <c r="AD136" s="110">
        <f>'Ethylene Recycling HC'!AD167*'Ethylene Recycling HC'!AD$48/'Ethylene Recycling LC'!AD$48</f>
        <v>0.15986101560350047</v>
      </c>
      <c r="AE136" s="110">
        <f>'Ethylene Recycling HC'!AE167*'Ethylene Recycling HC'!AE$48/'Ethylene Recycling LC'!AE$48</f>
        <v>0.16507124399924167</v>
      </c>
      <c r="AF136" s="110">
        <f>'Ethylene Recycling HC'!AF167*'Ethylene Recycling HC'!AF$48/'Ethylene Recycling LC'!AF$48</f>
        <v>0.17011757213140816</v>
      </c>
      <c r="AG136" s="110">
        <f>'Ethylene Recycling HC'!AG167*'Ethylene Recycling HC'!AG$48/'Ethylene Recycling LC'!AG$48</f>
        <v>0.17500000000000002</v>
      </c>
      <c r="AI136" s="133" t="s">
        <v>1314</v>
      </c>
      <c r="AJ136" s="211"/>
    </row>
    <row r="137" spans="1:63" outlineLevel="1">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c r="AI137" s="134"/>
      <c r="AJ137" s="211"/>
      <c r="BC137" s="1"/>
      <c r="BD137" s="41"/>
      <c r="BF137" s="6"/>
      <c r="BG137" s="6"/>
      <c r="BH137" s="6"/>
      <c r="BI137" s="6"/>
      <c r="BJ137" s="6"/>
    </row>
    <row r="138" spans="1:63" s="1" customFormat="1" outlineLevel="1">
      <c r="A138" s="1" t="s">
        <v>228</v>
      </c>
      <c r="B138" s="65"/>
      <c r="C138" s="300">
        <f>'Ethylene Recycling HC'!C176</f>
        <v>3.0576426161855394E-2</v>
      </c>
      <c r="D138" s="300">
        <f>'Ethylene Recycling HC'!D176</f>
        <v>3.844997616740102E-2</v>
      </c>
      <c r="E138" s="300">
        <f>'Ethylene Recycling HC'!E176</f>
        <v>4.7160488433893956E-2</v>
      </c>
      <c r="F138" s="300">
        <f>'Ethylene Recycling HC'!F176</f>
        <v>5.6703069584892928E-2</v>
      </c>
      <c r="G138" s="300">
        <f>'Ethylene Recycling HC'!G176</f>
        <v>6.7062029056414077E-2</v>
      </c>
      <c r="H138" s="300">
        <f>'Ethylene Recycling HC'!H176</f>
        <v>7.8210456224277122E-2</v>
      </c>
      <c r="I138" s="300">
        <f>'Ethylene Recycling HC'!I176</f>
        <v>9.030438596191942E-2</v>
      </c>
      <c r="J138" s="300">
        <f>'Ethylene Recycling HC'!J176</f>
        <v>0.10337668040577572</v>
      </c>
      <c r="K138" s="300">
        <f>'Ethylene Recycling HC'!K176</f>
        <v>0.11745937072598518</v>
      </c>
      <c r="L138" s="300">
        <f>'Ethylene Recycling HC'!L176</f>
        <v>0.13258352916286445</v>
      </c>
      <c r="M138" s="300">
        <f>'Ethylene Recycling HC'!M176</f>
        <v>0.14877913940458418</v>
      </c>
      <c r="N138" s="300">
        <f>'Ethylene Recycling HC'!N176</f>
        <v>0.17119145046160295</v>
      </c>
      <c r="O138" s="300">
        <f>'Ethylene Recycling HC'!O176</f>
        <v>0.19523312128771883</v>
      </c>
      <c r="P138" s="300">
        <f>'Ethylene Recycling HC'!P176</f>
        <v>0.22084419165389826</v>
      </c>
      <c r="Q138" s="300">
        <f>'Ethylene Recycling HC'!Q176</f>
        <v>0.24794644575099303</v>
      </c>
      <c r="R138" s="300">
        <f>'Ethylene Recycling HC'!R176</f>
        <v>0.27644347883746467</v>
      </c>
      <c r="S138" s="300">
        <f>'Ethylene Recycling HC'!S176</f>
        <v>0.30677272162804847</v>
      </c>
      <c r="T138" s="300">
        <f>'Ethylene Recycling HC'!T176</f>
        <v>0.33897435040325663</v>
      </c>
      <c r="U138" s="300">
        <f>'Ethylene Recycling HC'!U176</f>
        <v>0.37308828499424868</v>
      </c>
      <c r="V138" s="300">
        <f>'Ethylene Recycling HC'!V176</f>
        <v>0.40915415452848269</v>
      </c>
      <c r="W138" s="300">
        <f>'Ethylene Recycling HC'!W176</f>
        <v>0.44721126279000301</v>
      </c>
      <c r="X138" s="300">
        <f>'Ethylene Recycling HC'!X176</f>
        <v>0.49954268977421618</v>
      </c>
      <c r="Y138" s="300">
        <f>'Ethylene Recycling HC'!Y176</f>
        <v>0.55511119697190681</v>
      </c>
      <c r="Z138" s="300">
        <f>'Ethylene Recycling HC'!Z176</f>
        <v>0.61398376584737246</v>
      </c>
      <c r="AA138" s="300">
        <f>'Ethylene Recycling HC'!AA176</f>
        <v>0.67622694536136685</v>
      </c>
      <c r="AB138" s="300">
        <f>'Ethylene Recycling HC'!AB176</f>
        <v>0.74190680014253374</v>
      </c>
      <c r="AC138" s="300">
        <f>'Ethylene Recycling HC'!AC176</f>
        <v>0.81109652636138441</v>
      </c>
      <c r="AD138" s="300">
        <f>'Ethylene Recycling HC'!AD176</f>
        <v>0.88386313709523756</v>
      </c>
      <c r="AE138" s="300">
        <f>'Ethylene Recycling HC'!AE176</f>
        <v>0.96027321275836808</v>
      </c>
      <c r="AF138" s="300">
        <f>'Ethylene Recycling HC'!AF176</f>
        <v>1.0403928539904568</v>
      </c>
      <c r="AG138" s="300">
        <f>'Ethylene Recycling HC'!AG176</f>
        <v>1.1242876340964965</v>
      </c>
      <c r="AH138" s="422"/>
      <c r="AI138" s="423"/>
      <c r="AJ138" s="424"/>
      <c r="AL138" s="221"/>
      <c r="AM138" s="124"/>
      <c r="AN138" s="124"/>
      <c r="AO138" s="124"/>
      <c r="BD138" s="124"/>
      <c r="BE138" s="124"/>
      <c r="BF138" s="124"/>
      <c r="BG138" s="124"/>
      <c r="BH138" s="124"/>
      <c r="BI138" s="124"/>
      <c r="BJ138" s="124"/>
      <c r="BK138" s="124"/>
    </row>
    <row r="139" spans="1:63" outlineLevel="1">
      <c r="A139" s="4" t="s">
        <v>258</v>
      </c>
      <c r="C139" s="230">
        <f>'Ethylene Recycling HC'!C177</f>
        <v>0</v>
      </c>
      <c r="D139" s="230">
        <f>'Ethylene Recycling HC'!D177</f>
        <v>0</v>
      </c>
      <c r="E139" s="230">
        <f>'Ethylene Recycling HC'!E177</f>
        <v>0</v>
      </c>
      <c r="F139" s="230">
        <f>'Ethylene Recycling HC'!F177</f>
        <v>0</v>
      </c>
      <c r="G139" s="230">
        <f>'Ethylene Recycling HC'!G177</f>
        <v>0</v>
      </c>
      <c r="H139" s="230">
        <f>'Ethylene Recycling HC'!H177</f>
        <v>0</v>
      </c>
      <c r="I139" s="230">
        <f>'Ethylene Recycling HC'!I177</f>
        <v>0</v>
      </c>
      <c r="J139" s="230">
        <f>'Ethylene Recycling HC'!J177</f>
        <v>0</v>
      </c>
      <c r="K139" s="230">
        <f>'Ethylene Recycling HC'!K177</f>
        <v>0</v>
      </c>
      <c r="L139" s="230">
        <f>'Ethylene Recycling HC'!L177</f>
        <v>0</v>
      </c>
      <c r="M139" s="230">
        <f>'Ethylene Recycling HC'!M177</f>
        <v>0</v>
      </c>
      <c r="N139" s="230">
        <f>'Ethylene Recycling HC'!N177</f>
        <v>0</v>
      </c>
      <c r="O139" s="230">
        <f>'Ethylene Recycling HC'!O177</f>
        <v>0</v>
      </c>
      <c r="P139" s="230">
        <f>'Ethylene Recycling HC'!P177</f>
        <v>0</v>
      </c>
      <c r="Q139" s="230">
        <f>'Ethylene Recycling HC'!Q177</f>
        <v>0</v>
      </c>
      <c r="R139" s="230">
        <f>'Ethylene Recycling HC'!R177</f>
        <v>0</v>
      </c>
      <c r="S139" s="230">
        <f>'Ethylene Recycling HC'!S177</f>
        <v>0</v>
      </c>
      <c r="T139" s="230">
        <f>'Ethylene Recycling HC'!T177</f>
        <v>0</v>
      </c>
      <c r="U139" s="230">
        <f>'Ethylene Recycling HC'!U177</f>
        <v>0</v>
      </c>
      <c r="V139" s="230">
        <f>'Ethylene Recycling HC'!V177</f>
        <v>0</v>
      </c>
      <c r="W139" s="230">
        <f>'Ethylene Recycling HC'!W177</f>
        <v>0</v>
      </c>
      <c r="X139" s="230">
        <f>'Ethylene Recycling HC'!X177</f>
        <v>0</v>
      </c>
      <c r="Y139" s="230">
        <f>'Ethylene Recycling HC'!Y177</f>
        <v>0</v>
      </c>
      <c r="Z139" s="230">
        <f>'Ethylene Recycling HC'!Z177</f>
        <v>0</v>
      </c>
      <c r="AA139" s="230">
        <f>'Ethylene Recycling HC'!AA177</f>
        <v>0</v>
      </c>
      <c r="AB139" s="230">
        <f>'Ethylene Recycling HC'!AB177</f>
        <v>0</v>
      </c>
      <c r="AC139" s="230">
        <f>'Ethylene Recycling HC'!AC177</f>
        <v>0</v>
      </c>
      <c r="AD139" s="230">
        <f>'Ethylene Recycling HC'!AD177</f>
        <v>0</v>
      </c>
      <c r="AE139" s="230">
        <f>'Ethylene Recycling HC'!AE177</f>
        <v>0</v>
      </c>
      <c r="AF139" s="230">
        <f>'Ethylene Recycling HC'!AF177</f>
        <v>0</v>
      </c>
      <c r="AG139" s="230">
        <f>'Ethylene Recycling HC'!AG177</f>
        <v>0</v>
      </c>
      <c r="AH139" s="245"/>
      <c r="AI139" s="133"/>
      <c r="AJ139" s="211"/>
      <c r="AL139" s="108"/>
      <c r="AM139" s="2"/>
      <c r="AN139" s="2"/>
      <c r="AO139" s="2"/>
      <c r="BC139" s="1"/>
      <c r="BD139" s="2"/>
      <c r="BE139" s="2"/>
      <c r="BF139" s="2"/>
      <c r="BG139" s="2"/>
      <c r="BH139" s="2"/>
      <c r="BI139" s="2"/>
      <c r="BJ139" s="2"/>
      <c r="BK139" s="2"/>
    </row>
    <row r="140" spans="1:63" outlineLevel="1">
      <c r="A140" s="4" t="s">
        <v>478</v>
      </c>
      <c r="C140" s="230">
        <f>'Ethylene Recycling HC'!C178</f>
        <v>0</v>
      </c>
      <c r="D140" s="230">
        <f>'Ethylene Recycling HC'!D178</f>
        <v>0</v>
      </c>
      <c r="E140" s="230">
        <f>'Ethylene Recycling HC'!E178</f>
        <v>0</v>
      </c>
      <c r="F140" s="230">
        <f>'Ethylene Recycling HC'!F178</f>
        <v>0</v>
      </c>
      <c r="G140" s="230">
        <f>'Ethylene Recycling HC'!G178</f>
        <v>0</v>
      </c>
      <c r="H140" s="230">
        <f>'Ethylene Recycling HC'!H178</f>
        <v>0</v>
      </c>
      <c r="I140" s="230">
        <f>'Ethylene Recycling HC'!I178</f>
        <v>0</v>
      </c>
      <c r="J140" s="230">
        <f>'Ethylene Recycling HC'!J178</f>
        <v>0</v>
      </c>
      <c r="K140" s="230">
        <f>'Ethylene Recycling HC'!K178</f>
        <v>0</v>
      </c>
      <c r="L140" s="230">
        <f>'Ethylene Recycling HC'!L178</f>
        <v>0</v>
      </c>
      <c r="M140" s="230">
        <f>'Ethylene Recycling HC'!M178</f>
        <v>0</v>
      </c>
      <c r="N140" s="230">
        <f>'Ethylene Recycling HC'!N178</f>
        <v>0</v>
      </c>
      <c r="O140" s="230">
        <f>'Ethylene Recycling HC'!O178</f>
        <v>0</v>
      </c>
      <c r="P140" s="230">
        <f>'Ethylene Recycling HC'!P178</f>
        <v>0</v>
      </c>
      <c r="Q140" s="230">
        <f>'Ethylene Recycling HC'!Q178</f>
        <v>0</v>
      </c>
      <c r="R140" s="230">
        <f>'Ethylene Recycling HC'!R178</f>
        <v>0</v>
      </c>
      <c r="S140" s="230">
        <f>'Ethylene Recycling HC'!S178</f>
        <v>0</v>
      </c>
      <c r="T140" s="230">
        <f>'Ethylene Recycling HC'!T178</f>
        <v>0</v>
      </c>
      <c r="U140" s="230">
        <f>'Ethylene Recycling HC'!U178</f>
        <v>0</v>
      </c>
      <c r="V140" s="230">
        <f>'Ethylene Recycling HC'!V178</f>
        <v>0</v>
      </c>
      <c r="W140" s="230">
        <f>'Ethylene Recycling HC'!W178</f>
        <v>0</v>
      </c>
      <c r="X140" s="230">
        <f>'Ethylene Recycling HC'!X178</f>
        <v>0</v>
      </c>
      <c r="Y140" s="230">
        <f>'Ethylene Recycling HC'!Y178</f>
        <v>0</v>
      </c>
      <c r="Z140" s="230">
        <f>'Ethylene Recycling HC'!Z178</f>
        <v>0</v>
      </c>
      <c r="AA140" s="230">
        <f>'Ethylene Recycling HC'!AA178</f>
        <v>0</v>
      </c>
      <c r="AB140" s="230">
        <f>'Ethylene Recycling HC'!AB178</f>
        <v>0</v>
      </c>
      <c r="AC140" s="230">
        <f>'Ethylene Recycling HC'!AC178</f>
        <v>0</v>
      </c>
      <c r="AD140" s="230">
        <f>'Ethylene Recycling HC'!AD178</f>
        <v>0</v>
      </c>
      <c r="AE140" s="230">
        <f>'Ethylene Recycling HC'!AE178</f>
        <v>0</v>
      </c>
      <c r="AF140" s="230">
        <f>'Ethylene Recycling HC'!AF178</f>
        <v>0</v>
      </c>
      <c r="AG140" s="230">
        <f>'Ethylene Recycling HC'!AG178</f>
        <v>0</v>
      </c>
      <c r="AH140" s="245"/>
      <c r="AI140" s="133"/>
      <c r="AJ140" s="211"/>
      <c r="AL140" s="108"/>
      <c r="AM140" s="2"/>
      <c r="AN140" s="2"/>
      <c r="AO140" s="2"/>
      <c r="BC140" s="1"/>
      <c r="BD140" s="2"/>
      <c r="BE140" s="2"/>
      <c r="BF140" s="2"/>
      <c r="BG140" s="2"/>
      <c r="BH140" s="2"/>
      <c r="BI140" s="2"/>
      <c r="BJ140" s="2"/>
      <c r="BK140" s="2"/>
    </row>
    <row r="141" spans="1:63" outlineLevel="1">
      <c r="A141" s="4" t="s">
        <v>480</v>
      </c>
      <c r="C141" s="230">
        <f>'Ethylene Recycling HC'!C179</f>
        <v>0</v>
      </c>
      <c r="D141" s="230">
        <f>'Ethylene Recycling HC'!D179</f>
        <v>0</v>
      </c>
      <c r="E141" s="230">
        <f>'Ethylene Recycling HC'!E179</f>
        <v>0</v>
      </c>
      <c r="F141" s="230">
        <f>'Ethylene Recycling HC'!F179</f>
        <v>0</v>
      </c>
      <c r="G141" s="230">
        <f>'Ethylene Recycling HC'!G179</f>
        <v>0</v>
      </c>
      <c r="H141" s="230">
        <f>'Ethylene Recycling HC'!H179</f>
        <v>0</v>
      </c>
      <c r="I141" s="230">
        <f>'Ethylene Recycling HC'!I179</f>
        <v>0</v>
      </c>
      <c r="J141" s="230">
        <f>'Ethylene Recycling HC'!J179</f>
        <v>0</v>
      </c>
      <c r="K141" s="230">
        <f>'Ethylene Recycling HC'!K179</f>
        <v>0</v>
      </c>
      <c r="L141" s="230">
        <f>'Ethylene Recycling HC'!L179</f>
        <v>0</v>
      </c>
      <c r="M141" s="230">
        <f>'Ethylene Recycling HC'!M179</f>
        <v>0</v>
      </c>
      <c r="N141" s="230">
        <f>'Ethylene Recycling HC'!N179</f>
        <v>0</v>
      </c>
      <c r="O141" s="230">
        <f>'Ethylene Recycling HC'!O179</f>
        <v>0</v>
      </c>
      <c r="P141" s="230">
        <f>'Ethylene Recycling HC'!P179</f>
        <v>0</v>
      </c>
      <c r="Q141" s="230">
        <f>'Ethylene Recycling HC'!Q179</f>
        <v>0</v>
      </c>
      <c r="R141" s="230">
        <f>'Ethylene Recycling HC'!R179</f>
        <v>0</v>
      </c>
      <c r="S141" s="230">
        <f>'Ethylene Recycling HC'!S179</f>
        <v>0</v>
      </c>
      <c r="T141" s="230">
        <f>'Ethylene Recycling HC'!T179</f>
        <v>0</v>
      </c>
      <c r="U141" s="230">
        <f>'Ethylene Recycling HC'!U179</f>
        <v>0</v>
      </c>
      <c r="V141" s="230">
        <f>'Ethylene Recycling HC'!V179</f>
        <v>0</v>
      </c>
      <c r="W141" s="230">
        <f>'Ethylene Recycling HC'!W179</f>
        <v>0</v>
      </c>
      <c r="X141" s="230">
        <f>'Ethylene Recycling HC'!X179</f>
        <v>0</v>
      </c>
      <c r="Y141" s="230">
        <f>'Ethylene Recycling HC'!Y179</f>
        <v>0</v>
      </c>
      <c r="Z141" s="230">
        <f>'Ethylene Recycling HC'!Z179</f>
        <v>0</v>
      </c>
      <c r="AA141" s="230">
        <f>'Ethylene Recycling HC'!AA179</f>
        <v>0</v>
      </c>
      <c r="AB141" s="230">
        <f>'Ethylene Recycling HC'!AB179</f>
        <v>0</v>
      </c>
      <c r="AC141" s="230">
        <f>'Ethylene Recycling HC'!AC179</f>
        <v>0</v>
      </c>
      <c r="AD141" s="230">
        <f>'Ethylene Recycling HC'!AD179</f>
        <v>0</v>
      </c>
      <c r="AE141" s="230">
        <f>'Ethylene Recycling HC'!AE179</f>
        <v>0</v>
      </c>
      <c r="AF141" s="230">
        <f>'Ethylene Recycling HC'!AF179</f>
        <v>0</v>
      </c>
      <c r="AG141" s="230">
        <f>'Ethylene Recycling HC'!AG179</f>
        <v>0</v>
      </c>
      <c r="AH141" s="245"/>
      <c r="AI141" s="133"/>
      <c r="AJ141" s="211"/>
      <c r="AL141" s="108"/>
      <c r="AM141" s="2"/>
      <c r="AN141" s="2"/>
      <c r="AO141" s="2"/>
      <c r="BC141" s="1"/>
      <c r="BD141" s="2"/>
      <c r="BE141" s="2"/>
      <c r="BF141" s="2"/>
      <c r="BG141" s="2"/>
      <c r="BH141" s="2"/>
      <c r="BI141" s="2"/>
      <c r="BJ141" s="2"/>
      <c r="BK141" s="2"/>
    </row>
    <row r="142" spans="1:63" outlineLevel="1">
      <c r="A142" s="4" t="s">
        <v>474</v>
      </c>
      <c r="C142" s="230">
        <f>'Ethylene Recycling HC'!C180</f>
        <v>2.6207188950591844E-2</v>
      </c>
      <c r="D142" s="230">
        <f>'Ethylene Recycling HC'!D180</f>
        <v>3.2955643188343306E-2</v>
      </c>
      <c r="E142" s="230">
        <f>'Ethylene Recycling HC'!E180</f>
        <v>4.0421461450296008E-2</v>
      </c>
      <c r="F142" s="230">
        <f>'Ethylene Recycling HC'!F180</f>
        <v>4.8600449602043141E-2</v>
      </c>
      <c r="G142" s="230">
        <f>'Ethylene Recycling HC'!G180</f>
        <v>5.7479159192386067E-2</v>
      </c>
      <c r="H142" s="230">
        <f>'Ethylene Recycling HC'!H180</f>
        <v>6.7034525007328288E-2</v>
      </c>
      <c r="I142" s="230">
        <f>'Ethylene Recycling HC'!I180</f>
        <v>7.7400285221155093E-2</v>
      </c>
      <c r="J142" s="230">
        <f>'Ethylene Recycling HC'!J180</f>
        <v>8.8604606115115489E-2</v>
      </c>
      <c r="K142" s="230">
        <f>'Ethylene Recycling HC'!K180</f>
        <v>0.10067494174560257</v>
      </c>
      <c r="L142" s="230">
        <f>'Ethylene Recycling HC'!L180</f>
        <v>0.11363792426605326</v>
      </c>
      <c r="M142" s="230">
        <f>'Ethylene Recycling HC'!M180</f>
        <v>0.12751925282708657</v>
      </c>
      <c r="N142" s="230">
        <f>'Ethylene Recycling HC'!N180</f>
        <v>0.1467289429191051</v>
      </c>
      <c r="O142" s="230">
        <f>'Ethylene Recycling HC'!O180</f>
        <v>0.16733516441447288</v>
      </c>
      <c r="P142" s="230">
        <f>'Ethylene Recycling HC'!P180</f>
        <v>0.18928652513794075</v>
      </c>
      <c r="Q142" s="230">
        <f>'Ethylene Recycling HC'!Q180</f>
        <v>0.2125159859764868</v>
      </c>
      <c r="R142" s="230">
        <f>'Ethylene Recycling HC'!R180</f>
        <v>0.23694091800337322</v>
      </c>
      <c r="S142" s="230">
        <f>'Ethylene Recycling HC'!S180</f>
        <v>0.2629362450024712</v>
      </c>
      <c r="T142" s="230">
        <f>'Ethylene Recycling HC'!T180</f>
        <v>0.29053640223999339</v>
      </c>
      <c r="U142" s="230">
        <f>'Ethylene Recycling HC'!U180</f>
        <v>0.31977560517828763</v>
      </c>
      <c r="V142" s="230">
        <f>'Ethylene Recycling HC'!V180</f>
        <v>0.35068782011628452</v>
      </c>
      <c r="W142" s="230">
        <f>'Ethylene Recycling HC'!W180</f>
        <v>0.38330673449964786</v>
      </c>
      <c r="X142" s="230">
        <f>'Ethylene Recycling HC'!X180</f>
        <v>0.42816023005761777</v>
      </c>
      <c r="Y142" s="230">
        <f>'Ethylene Recycling HC'!Y180</f>
        <v>0.47578824126217617</v>
      </c>
      <c r="Z142" s="230">
        <f>'Ethylene Recycling HC'!Z180</f>
        <v>0.52624817822010739</v>
      </c>
      <c r="AA142" s="230">
        <f>'Ethylene Recycling HC'!AA180</f>
        <v>0.57959708033751145</v>
      </c>
      <c r="AB142" s="230">
        <f>'Ethylene Recycling HC'!AB180</f>
        <v>0.63589157189731338</v>
      </c>
      <c r="AC142" s="230">
        <f>'Ethylene Recycling HC'!AC180</f>
        <v>0.69519438965824643</v>
      </c>
      <c r="AD142" s="230">
        <f>'Ethylene Recycling HC'!AD180</f>
        <v>0.75756297082275414</v>
      </c>
      <c r="AE142" s="230">
        <f>'Ethylene Recycling HC'!AE180</f>
        <v>0.82305438175588752</v>
      </c>
      <c r="AF142" s="230">
        <f>'Ethylene Recycling HC'!AF180</f>
        <v>0.89172527760578912</v>
      </c>
      <c r="AG142" s="230">
        <f>'Ethylene Recycling HC'!AG180</f>
        <v>0.9636318615397278</v>
      </c>
      <c r="AH142" s="245"/>
      <c r="AI142" s="133"/>
      <c r="AJ142" s="211"/>
      <c r="AL142" s="108"/>
      <c r="AM142" s="2"/>
      <c r="AN142" s="2"/>
      <c r="AO142" s="2"/>
      <c r="BC142" s="1"/>
      <c r="BD142" s="2"/>
      <c r="BE142" s="2"/>
      <c r="BF142" s="2"/>
      <c r="BG142" s="2"/>
      <c r="BH142" s="2"/>
      <c r="BI142" s="2"/>
      <c r="BJ142" s="2"/>
      <c r="BK142" s="2"/>
    </row>
    <row r="143" spans="1:63" outlineLevel="1">
      <c r="A143" s="4" t="s">
        <v>248</v>
      </c>
      <c r="C143" s="230">
        <f>'Ethylene Recycling HC'!C181</f>
        <v>4.3692372112635507E-3</v>
      </c>
      <c r="D143" s="230">
        <f>'Ethylene Recycling HC'!D181</f>
        <v>5.4943329790577153E-3</v>
      </c>
      <c r="E143" s="230">
        <f>'Ethylene Recycling HC'!E181</f>
        <v>6.7390269835979483E-3</v>
      </c>
      <c r="F143" s="230">
        <f>'Ethylene Recycling HC'!F181</f>
        <v>8.1026199828497895E-3</v>
      </c>
      <c r="G143" s="230">
        <f>'Ethylene Recycling HC'!G181</f>
        <v>9.5828698640280149E-3</v>
      </c>
      <c r="H143" s="230">
        <f>'Ethylene Recycling HC'!H181</f>
        <v>1.1175931216948829E-2</v>
      </c>
      <c r="I143" s="230">
        <f>'Ethylene Recycling HC'!I181</f>
        <v>1.2904100740764333E-2</v>
      </c>
      <c r="J143" s="230">
        <f>'Ethylene Recycling HC'!J181</f>
        <v>1.4772074290660226E-2</v>
      </c>
      <c r="K143" s="230">
        <f>'Ethylene Recycling HC'!K181</f>
        <v>1.6784428980382619E-2</v>
      </c>
      <c r="L143" s="230">
        <f>'Ethylene Recycling HC'!L181</f>
        <v>1.8945604896811196E-2</v>
      </c>
      <c r="M143" s="230">
        <f>'Ethylene Recycling HC'!M181</f>
        <v>2.1259886577497614E-2</v>
      </c>
      <c r="N143" s="230">
        <f>'Ethylene Recycling HC'!N181</f>
        <v>2.4462507542497854E-2</v>
      </c>
      <c r="O143" s="230">
        <f>'Ethylene Recycling HC'!O181</f>
        <v>2.7897956873245956E-2</v>
      </c>
      <c r="P143" s="230">
        <f>'Ethylene Recycling HC'!P181</f>
        <v>3.1557666515957525E-2</v>
      </c>
      <c r="Q143" s="230">
        <f>'Ethylene Recycling HC'!Q181</f>
        <v>3.5430459774506248E-2</v>
      </c>
      <c r="R143" s="230">
        <f>'Ethylene Recycling HC'!R181</f>
        <v>3.9502560834091462E-2</v>
      </c>
      <c r="S143" s="230">
        <f>'Ethylene Recycling HC'!S181</f>
        <v>4.3836476625577291E-2</v>
      </c>
      <c r="T143" s="230">
        <f>'Ethylene Recycling HC'!T181</f>
        <v>4.8437948163263272E-2</v>
      </c>
      <c r="U143" s="230">
        <f>'Ethylene Recycling HC'!U181</f>
        <v>5.3312679815961064E-2</v>
      </c>
      <c r="V143" s="230">
        <f>'Ethylene Recycling HC'!V181</f>
        <v>5.8466334412198208E-2</v>
      </c>
      <c r="W143" s="230">
        <f>'Ethylene Recycling HC'!W181</f>
        <v>6.3904528290355159E-2</v>
      </c>
      <c r="X143" s="230">
        <f>'Ethylene Recycling HC'!X181</f>
        <v>7.1382459716598443E-2</v>
      </c>
      <c r="Y143" s="230">
        <f>'Ethylene Recycling HC'!Y181</f>
        <v>7.9322955709730678E-2</v>
      </c>
      <c r="Z143" s="230">
        <f>'Ethylene Recycling HC'!Z181</f>
        <v>8.7735587627265146E-2</v>
      </c>
      <c r="AA143" s="230">
        <f>'Ethylene Recycling HC'!AA181</f>
        <v>9.6629865023855399E-2</v>
      </c>
      <c r="AB143" s="230">
        <f>'Ethylene Recycling HC'!AB181</f>
        <v>0.10601522824522042</v>
      </c>
      <c r="AC143" s="230">
        <f>'Ethylene Recycling HC'!AC181</f>
        <v>0.11590213670313797</v>
      </c>
      <c r="AD143" s="230">
        <f>'Ethylene Recycling HC'!AD181</f>
        <v>0.12630016627248344</v>
      </c>
      <c r="AE143" s="230">
        <f>'Ethylene Recycling HC'!AE181</f>
        <v>0.13721883100248061</v>
      </c>
      <c r="AF143" s="230">
        <f>'Ethylene Recycling HC'!AF181</f>
        <v>0.14866757638466774</v>
      </c>
      <c r="AG143" s="230">
        <f>'Ethylene Recycling HC'!AG181</f>
        <v>0.16065577255676863</v>
      </c>
      <c r="AH143" s="245"/>
      <c r="AI143" s="133"/>
      <c r="AJ143" s="211"/>
      <c r="AL143" s="108"/>
      <c r="AM143" s="2"/>
      <c r="AN143" s="2"/>
      <c r="AO143" s="2"/>
      <c r="BC143" s="1"/>
      <c r="BD143" s="2"/>
      <c r="BE143" s="2"/>
      <c r="BF143" s="2"/>
      <c r="BG143" s="2"/>
      <c r="BH143" s="2"/>
      <c r="BI143" s="2"/>
      <c r="BJ143" s="2"/>
      <c r="BK143" s="2"/>
    </row>
    <row r="144" spans="1:63" s="1" customFormat="1" outlineLevel="1">
      <c r="A144" s="1" t="s">
        <v>1328</v>
      </c>
      <c r="B144" s="65"/>
      <c r="C144" s="300">
        <f>'Ethylene Recycling HC'!C182</f>
        <v>0.29047604853762621</v>
      </c>
      <c r="D144" s="300">
        <f>'Ethylene Recycling HC'!D182</f>
        <v>0.3103462362083082</v>
      </c>
      <c r="E144" s="300">
        <f>'Ethylene Recycling HC'!E182</f>
        <v>0.33012341903725773</v>
      </c>
      <c r="F144" s="300">
        <f>'Ethylene Recycling HC'!F182</f>
        <v>0.34966892910683972</v>
      </c>
      <c r="G144" s="300">
        <f>'Ethylene Recycling HC'!G182</f>
        <v>0.36884115981027737</v>
      </c>
      <c r="H144" s="300">
        <f>'Ethylene Recycling HC'!H182</f>
        <v>0.38749726038391852</v>
      </c>
      <c r="I144" s="300">
        <f>'Ethylene Recycling HC'!I182</f>
        <v>0.40636973682863742</v>
      </c>
      <c r="J144" s="300">
        <f>'Ethylene Recycling HC'!J182</f>
        <v>0.42543480013146168</v>
      </c>
      <c r="K144" s="300">
        <f>'Ethylene Recycling HC'!K182</f>
        <v>0.44466761774837249</v>
      </c>
      <c r="L144" s="300">
        <f>'Ethylene Recycling HC'!L182</f>
        <v>0.46404235207002564</v>
      </c>
      <c r="M144" s="300">
        <f>'Ethylene Recycling HC'!M182</f>
        <v>0.48353220306489869</v>
      </c>
      <c r="N144" s="300">
        <f>'Ethylene Recycling HC'!N182</f>
        <v>0.51860939404544437</v>
      </c>
      <c r="O144" s="300">
        <f>'Ethylene Recycling HC'!O182</f>
        <v>0.5531605103152033</v>
      </c>
      <c r="P144" s="300">
        <f>'Ethylene Recycling HC'!P182</f>
        <v>0.58698061465904561</v>
      </c>
      <c r="Q144" s="300">
        <f>'Ethylene Recycling HC'!Q182</f>
        <v>0.61986611437748262</v>
      </c>
      <c r="R144" s="300">
        <f>'Ethylene Recycling HC'!R182</f>
        <v>0.65161677154545228</v>
      </c>
      <c r="S144" s="300">
        <f>'Ethylene Recycling HC'!S182</f>
        <v>0.68326651635338076</v>
      </c>
      <c r="T144" s="300">
        <f>'Ethylene Recycling HC'!T182</f>
        <v>0.71479373889382392</v>
      </c>
      <c r="U144" s="300">
        <f>'Ethylene Recycling HC'!U182</f>
        <v>0.74617656998849746</v>
      </c>
      <c r="V144" s="300">
        <f>'Ethylene Recycling HC'!V182</f>
        <v>0.77739289360411734</v>
      </c>
      <c r="W144" s="300">
        <f>'Ethylene Recycling HC'!W182</f>
        <v>0.80842035965885173</v>
      </c>
      <c r="X144" s="300">
        <f>'Ethylene Recycling HC'!X182</f>
        <v>0.86032352127781686</v>
      </c>
      <c r="Y144" s="300">
        <f>'Ethylene Recycling HC'!Y182</f>
        <v>0.91196839502527549</v>
      </c>
      <c r="Z144" s="300">
        <f>'Ethylene Recycling HC'!Z182</f>
        <v>0.96331935676053249</v>
      </c>
      <c r="AA144" s="300">
        <f>'Ethylene Recycling HC'!AA182</f>
        <v>1.0143404180420506</v>
      </c>
      <c r="AB144" s="300">
        <f>'Ethylene Recycling HC'!AB182</f>
        <v>1.0649952453658955</v>
      </c>
      <c r="AC144" s="300">
        <f>'Ethylene Recycling HC'!AC182</f>
        <v>1.1152577237469037</v>
      </c>
      <c r="AD144" s="300">
        <f>'Ethylene Recycling HC'!AD182</f>
        <v>1.1650923170800858</v>
      </c>
      <c r="AE144" s="300">
        <f>'Ethylene Recycling HC'!AE182</f>
        <v>1.214463180841465</v>
      </c>
      <c r="AF144" s="300">
        <f>'Ethylene Recycling HC'!AF182</f>
        <v>1.2633341798455544</v>
      </c>
      <c r="AG144" s="300">
        <f>'Ethylene Recycling HC'!AG182</f>
        <v>1.3116689064459126</v>
      </c>
      <c r="AH144" s="422"/>
      <c r="AI144" s="423"/>
      <c r="AJ144" s="424"/>
      <c r="AL144" s="221"/>
      <c r="AM144" s="124"/>
      <c r="AN144" s="124"/>
      <c r="AO144" s="124"/>
      <c r="BD144" s="124"/>
      <c r="BE144" s="124"/>
      <c r="BF144" s="124"/>
      <c r="BG144" s="124"/>
      <c r="BH144" s="124"/>
      <c r="BI144" s="124"/>
      <c r="BJ144" s="124"/>
      <c r="BK144" s="124"/>
    </row>
    <row r="145" spans="1:63" outlineLevel="1">
      <c r="A145" s="4" t="s">
        <v>258</v>
      </c>
      <c r="C145" s="230">
        <f>'Ethylene Recycling HC'!C183</f>
        <v>0</v>
      </c>
      <c r="D145" s="230">
        <f>'Ethylene Recycling HC'!D183</f>
        <v>0</v>
      </c>
      <c r="E145" s="230">
        <f>'Ethylene Recycling HC'!E183</f>
        <v>0</v>
      </c>
      <c r="F145" s="230">
        <f>'Ethylene Recycling HC'!F183</f>
        <v>0</v>
      </c>
      <c r="G145" s="230">
        <f>'Ethylene Recycling HC'!G183</f>
        <v>0</v>
      </c>
      <c r="H145" s="230">
        <f>'Ethylene Recycling HC'!H183</f>
        <v>0</v>
      </c>
      <c r="I145" s="230">
        <f>'Ethylene Recycling HC'!I183</f>
        <v>0</v>
      </c>
      <c r="J145" s="230">
        <f>'Ethylene Recycling HC'!J183</f>
        <v>0</v>
      </c>
      <c r="K145" s="230">
        <f>'Ethylene Recycling HC'!K183</f>
        <v>0</v>
      </c>
      <c r="L145" s="230">
        <f>'Ethylene Recycling HC'!L183</f>
        <v>0</v>
      </c>
      <c r="M145" s="230">
        <f>'Ethylene Recycling HC'!M183</f>
        <v>0</v>
      </c>
      <c r="N145" s="230">
        <f>'Ethylene Recycling HC'!N183</f>
        <v>0</v>
      </c>
      <c r="O145" s="230">
        <f>'Ethylene Recycling HC'!O183</f>
        <v>0</v>
      </c>
      <c r="P145" s="230">
        <f>'Ethylene Recycling HC'!P183</f>
        <v>0</v>
      </c>
      <c r="Q145" s="230">
        <f>'Ethylene Recycling HC'!Q183</f>
        <v>0</v>
      </c>
      <c r="R145" s="230">
        <f>'Ethylene Recycling HC'!R183</f>
        <v>0</v>
      </c>
      <c r="S145" s="230">
        <f>'Ethylene Recycling HC'!S183</f>
        <v>0</v>
      </c>
      <c r="T145" s="230">
        <f>'Ethylene Recycling HC'!T183</f>
        <v>0</v>
      </c>
      <c r="U145" s="230">
        <f>'Ethylene Recycling HC'!U183</f>
        <v>0</v>
      </c>
      <c r="V145" s="230">
        <f>'Ethylene Recycling HC'!V183</f>
        <v>0</v>
      </c>
      <c r="W145" s="230">
        <f>'Ethylene Recycling HC'!W183</f>
        <v>0</v>
      </c>
      <c r="X145" s="230">
        <f>'Ethylene Recycling HC'!X183</f>
        <v>0</v>
      </c>
      <c r="Y145" s="230">
        <f>'Ethylene Recycling HC'!Y183</f>
        <v>0</v>
      </c>
      <c r="Z145" s="230">
        <f>'Ethylene Recycling HC'!Z183</f>
        <v>0</v>
      </c>
      <c r="AA145" s="230">
        <f>'Ethylene Recycling HC'!AA183</f>
        <v>0</v>
      </c>
      <c r="AB145" s="230">
        <f>'Ethylene Recycling HC'!AB183</f>
        <v>0</v>
      </c>
      <c r="AC145" s="230">
        <f>'Ethylene Recycling HC'!AC183</f>
        <v>0</v>
      </c>
      <c r="AD145" s="230">
        <f>'Ethylene Recycling HC'!AD183</f>
        <v>0</v>
      </c>
      <c r="AE145" s="230">
        <f>'Ethylene Recycling HC'!AE183</f>
        <v>0</v>
      </c>
      <c r="AF145" s="230">
        <f>'Ethylene Recycling HC'!AF183</f>
        <v>0</v>
      </c>
      <c r="AG145" s="230">
        <f>'Ethylene Recycling HC'!AG183</f>
        <v>0</v>
      </c>
      <c r="AH145" s="245"/>
      <c r="AI145" s="133"/>
      <c r="AJ145" s="211"/>
      <c r="AL145" s="108"/>
      <c r="AM145" s="2"/>
      <c r="AN145" s="2"/>
      <c r="AO145" s="2"/>
      <c r="BC145" s="1"/>
      <c r="BD145" s="2"/>
      <c r="BE145" s="2"/>
      <c r="BF145" s="2"/>
      <c r="BG145" s="2"/>
      <c r="BH145" s="2"/>
      <c r="BI145" s="2"/>
      <c r="BJ145" s="2"/>
      <c r="BK145" s="2"/>
    </row>
    <row r="146" spans="1:63" outlineLevel="1">
      <c r="A146" s="4" t="s">
        <v>478</v>
      </c>
      <c r="C146" s="230">
        <f>'Ethylene Recycling HC'!C184</f>
        <v>0</v>
      </c>
      <c r="D146" s="230">
        <f>'Ethylene Recycling HC'!D184</f>
        <v>0</v>
      </c>
      <c r="E146" s="230">
        <f>'Ethylene Recycling HC'!E184</f>
        <v>0</v>
      </c>
      <c r="F146" s="230">
        <f>'Ethylene Recycling HC'!F184</f>
        <v>0</v>
      </c>
      <c r="G146" s="230">
        <f>'Ethylene Recycling HC'!G184</f>
        <v>0</v>
      </c>
      <c r="H146" s="230">
        <f>'Ethylene Recycling HC'!H184</f>
        <v>0</v>
      </c>
      <c r="I146" s="230">
        <f>'Ethylene Recycling HC'!I184</f>
        <v>0</v>
      </c>
      <c r="J146" s="230">
        <f>'Ethylene Recycling HC'!J184</f>
        <v>0</v>
      </c>
      <c r="K146" s="230">
        <f>'Ethylene Recycling HC'!K184</f>
        <v>0</v>
      </c>
      <c r="L146" s="230">
        <f>'Ethylene Recycling HC'!L184</f>
        <v>0</v>
      </c>
      <c r="M146" s="230">
        <f>'Ethylene Recycling HC'!M184</f>
        <v>0</v>
      </c>
      <c r="N146" s="230">
        <f>'Ethylene Recycling HC'!N184</f>
        <v>0</v>
      </c>
      <c r="O146" s="230">
        <f>'Ethylene Recycling HC'!O184</f>
        <v>0</v>
      </c>
      <c r="P146" s="230">
        <f>'Ethylene Recycling HC'!P184</f>
        <v>0</v>
      </c>
      <c r="Q146" s="230">
        <f>'Ethylene Recycling HC'!Q184</f>
        <v>0</v>
      </c>
      <c r="R146" s="230">
        <f>'Ethylene Recycling HC'!R184</f>
        <v>0</v>
      </c>
      <c r="S146" s="230">
        <f>'Ethylene Recycling HC'!S184</f>
        <v>0</v>
      </c>
      <c r="T146" s="230">
        <f>'Ethylene Recycling HC'!T184</f>
        <v>0</v>
      </c>
      <c r="U146" s="230">
        <f>'Ethylene Recycling HC'!U184</f>
        <v>0</v>
      </c>
      <c r="V146" s="230">
        <f>'Ethylene Recycling HC'!V184</f>
        <v>0</v>
      </c>
      <c r="W146" s="230">
        <f>'Ethylene Recycling HC'!W184</f>
        <v>0</v>
      </c>
      <c r="X146" s="230">
        <f>'Ethylene Recycling HC'!X184</f>
        <v>0</v>
      </c>
      <c r="Y146" s="230">
        <f>'Ethylene Recycling HC'!Y184</f>
        <v>0</v>
      </c>
      <c r="Z146" s="230">
        <f>'Ethylene Recycling HC'!Z184</f>
        <v>0</v>
      </c>
      <c r="AA146" s="230">
        <f>'Ethylene Recycling HC'!AA184</f>
        <v>0</v>
      </c>
      <c r="AB146" s="230">
        <f>'Ethylene Recycling HC'!AB184</f>
        <v>0</v>
      </c>
      <c r="AC146" s="230">
        <f>'Ethylene Recycling HC'!AC184</f>
        <v>0</v>
      </c>
      <c r="AD146" s="230">
        <f>'Ethylene Recycling HC'!AD184</f>
        <v>0</v>
      </c>
      <c r="AE146" s="230">
        <f>'Ethylene Recycling HC'!AE184</f>
        <v>0</v>
      </c>
      <c r="AF146" s="230">
        <f>'Ethylene Recycling HC'!AF184</f>
        <v>0</v>
      </c>
      <c r="AG146" s="230">
        <f>'Ethylene Recycling HC'!AG184</f>
        <v>0</v>
      </c>
      <c r="AH146" s="245"/>
      <c r="AI146" s="133"/>
      <c r="AJ146" s="211"/>
      <c r="AL146" s="108"/>
      <c r="AM146" s="2"/>
      <c r="AN146" s="2"/>
      <c r="AO146" s="2"/>
      <c r="BC146" s="1"/>
      <c r="BD146" s="2"/>
      <c r="BE146" s="2"/>
      <c r="BF146" s="2"/>
      <c r="BG146" s="2"/>
      <c r="BH146" s="2"/>
      <c r="BI146" s="2"/>
      <c r="BJ146" s="2"/>
      <c r="BK146" s="2"/>
    </row>
    <row r="147" spans="1:63" outlineLevel="1">
      <c r="A147" s="4" t="s">
        <v>480</v>
      </c>
      <c r="C147" s="230">
        <f>'Ethylene Recycling HC'!C185</f>
        <v>0</v>
      </c>
      <c r="D147" s="230">
        <f>'Ethylene Recycling HC'!D185</f>
        <v>0</v>
      </c>
      <c r="E147" s="230">
        <f>'Ethylene Recycling HC'!E185</f>
        <v>0</v>
      </c>
      <c r="F147" s="230">
        <f>'Ethylene Recycling HC'!F185</f>
        <v>0</v>
      </c>
      <c r="G147" s="230">
        <f>'Ethylene Recycling HC'!G185</f>
        <v>0</v>
      </c>
      <c r="H147" s="230">
        <f>'Ethylene Recycling HC'!H185</f>
        <v>0</v>
      </c>
      <c r="I147" s="230">
        <f>'Ethylene Recycling HC'!I185</f>
        <v>0</v>
      </c>
      <c r="J147" s="230">
        <f>'Ethylene Recycling HC'!J185</f>
        <v>0</v>
      </c>
      <c r="K147" s="230">
        <f>'Ethylene Recycling HC'!K185</f>
        <v>0</v>
      </c>
      <c r="L147" s="230">
        <f>'Ethylene Recycling HC'!L185</f>
        <v>0</v>
      </c>
      <c r="M147" s="230">
        <f>'Ethylene Recycling HC'!M185</f>
        <v>0</v>
      </c>
      <c r="N147" s="230">
        <f>'Ethylene Recycling HC'!N185</f>
        <v>0</v>
      </c>
      <c r="O147" s="230">
        <f>'Ethylene Recycling HC'!O185</f>
        <v>0</v>
      </c>
      <c r="P147" s="230">
        <f>'Ethylene Recycling HC'!P185</f>
        <v>0</v>
      </c>
      <c r="Q147" s="230">
        <f>'Ethylene Recycling HC'!Q185</f>
        <v>0</v>
      </c>
      <c r="R147" s="230">
        <f>'Ethylene Recycling HC'!R185</f>
        <v>0</v>
      </c>
      <c r="S147" s="230">
        <f>'Ethylene Recycling HC'!S185</f>
        <v>0</v>
      </c>
      <c r="T147" s="230">
        <f>'Ethylene Recycling HC'!T185</f>
        <v>0</v>
      </c>
      <c r="U147" s="230">
        <f>'Ethylene Recycling HC'!U185</f>
        <v>0</v>
      </c>
      <c r="V147" s="230">
        <f>'Ethylene Recycling HC'!V185</f>
        <v>0</v>
      </c>
      <c r="W147" s="230">
        <f>'Ethylene Recycling HC'!W185</f>
        <v>0</v>
      </c>
      <c r="X147" s="230">
        <f>'Ethylene Recycling HC'!X185</f>
        <v>0</v>
      </c>
      <c r="Y147" s="230">
        <f>'Ethylene Recycling HC'!Y185</f>
        <v>0</v>
      </c>
      <c r="Z147" s="230">
        <f>'Ethylene Recycling HC'!Z185</f>
        <v>0</v>
      </c>
      <c r="AA147" s="230">
        <f>'Ethylene Recycling HC'!AA185</f>
        <v>0</v>
      </c>
      <c r="AB147" s="230">
        <f>'Ethylene Recycling HC'!AB185</f>
        <v>0</v>
      </c>
      <c r="AC147" s="230">
        <f>'Ethylene Recycling HC'!AC185</f>
        <v>0</v>
      </c>
      <c r="AD147" s="230">
        <f>'Ethylene Recycling HC'!AD185</f>
        <v>0</v>
      </c>
      <c r="AE147" s="230">
        <f>'Ethylene Recycling HC'!AE185</f>
        <v>0</v>
      </c>
      <c r="AF147" s="230">
        <f>'Ethylene Recycling HC'!AF185</f>
        <v>0</v>
      </c>
      <c r="AG147" s="230">
        <f>'Ethylene Recycling HC'!AG185</f>
        <v>0</v>
      </c>
      <c r="AH147" s="245"/>
      <c r="AI147" s="133"/>
      <c r="AJ147" s="211"/>
      <c r="AL147" s="108"/>
      <c r="AM147" s="2"/>
      <c r="AN147" s="2"/>
      <c r="AO147" s="2"/>
      <c r="BC147" s="1"/>
      <c r="BD147" s="2"/>
      <c r="BE147" s="2"/>
      <c r="BF147" s="2"/>
      <c r="BG147" s="2"/>
      <c r="BH147" s="2"/>
      <c r="BI147" s="2"/>
      <c r="BJ147" s="2"/>
      <c r="BK147" s="2"/>
    </row>
    <row r="148" spans="1:63" outlineLevel="1">
      <c r="A148" s="4" t="s">
        <v>474</v>
      </c>
      <c r="C148" s="230">
        <f>'Ethylene Recycling HC'!C186</f>
        <v>0.24896829503062248</v>
      </c>
      <c r="D148" s="230">
        <f>'Ethylene Recycling HC'!D186</f>
        <v>0.26599912002019949</v>
      </c>
      <c r="E148" s="230">
        <f>'Ethylene Recycling HC'!E186</f>
        <v>0.2829502301520721</v>
      </c>
      <c r="F148" s="230">
        <f>'Ethylene Recycling HC'!F186</f>
        <v>0.29970277254593269</v>
      </c>
      <c r="G148" s="230">
        <f>'Ethylene Recycling HC'!G186</f>
        <v>0.31613537555812332</v>
      </c>
      <c r="H148" s="230">
        <f>'Ethylene Recycling HC'!H186</f>
        <v>0.33212560117267204</v>
      </c>
      <c r="I148" s="230">
        <f>'Ethylene Recycling HC'!I186</f>
        <v>0.3483012834951979</v>
      </c>
      <c r="J148" s="230">
        <f>'Ethylene Recycling HC'!J186</f>
        <v>0.36464203285836</v>
      </c>
      <c r="K148" s="230">
        <f>'Ethylene Recycling HC'!K186</f>
        <v>0.38112656517978116</v>
      </c>
      <c r="L148" s="230">
        <f>'Ethylene Recycling HC'!L186</f>
        <v>0.39773273493118644</v>
      </c>
      <c r="M148" s="230">
        <f>'Ethylene Recycling HC'!M186</f>
        <v>0.41443757168803141</v>
      </c>
      <c r="N148" s="230">
        <f>'Ethylene Recycling HC'!N186</f>
        <v>0.44450238590199498</v>
      </c>
      <c r="O148" s="230">
        <f>'Ethylene Recycling HC'!O186</f>
        <v>0.47411629917433978</v>
      </c>
      <c r="P148" s="230">
        <f>'Ethylene Recycling HC'!P186</f>
        <v>0.50310365891926379</v>
      </c>
      <c r="Q148" s="230">
        <f>'Ethylene Recycling HC'!Q186</f>
        <v>0.53128996494121705</v>
      </c>
      <c r="R148" s="230">
        <f>'Ethylene Recycling HC'!R186</f>
        <v>0.55850359243652248</v>
      </c>
      <c r="S148" s="230">
        <f>'Ethylene Recycling HC'!S186</f>
        <v>0.58563072750550405</v>
      </c>
      <c r="T148" s="230">
        <f>'Ethylene Recycling HC'!T186</f>
        <v>0.61265284820172528</v>
      </c>
      <c r="U148" s="230">
        <f>'Ethylene Recycling HC'!U186</f>
        <v>0.63955121035657536</v>
      </c>
      <c r="V148" s="230">
        <f>'Ethylene Recycling HC'!V186</f>
        <v>0.66630685822094071</v>
      </c>
      <c r="W148" s="230">
        <f>'Ethylene Recycling HC'!W186</f>
        <v>0.69290063544167124</v>
      </c>
      <c r="X148" s="230">
        <f>'Ethylene Recycling HC'!X186</f>
        <v>0.73738706287700839</v>
      </c>
      <c r="Y148" s="230">
        <f>'Ethylene Recycling HC'!Y186</f>
        <v>0.78165211064500373</v>
      </c>
      <c r="Z148" s="230">
        <f>'Ethylene Recycling HC'!Z186</f>
        <v>0.82566524513844408</v>
      </c>
      <c r="AA148" s="230">
        <f>'Ethylene Recycling HC'!AA186</f>
        <v>0.8693956205062674</v>
      </c>
      <c r="AB148" s="230">
        <f>'Ethylene Recycling HC'!AB186</f>
        <v>0.91281209514291783</v>
      </c>
      <c r="AC148" s="230">
        <f>'Ethylene Recycling HC'!AC186</f>
        <v>0.955892285780089</v>
      </c>
      <c r="AD148" s="230">
        <f>'Ethylene Recycling HC'!AD186</f>
        <v>0.99860573426635768</v>
      </c>
      <c r="AE148" s="230">
        <f>'Ethylene Recycling HC'!AE186</f>
        <v>1.0409217181030337</v>
      </c>
      <c r="AF148" s="230">
        <f>'Ethylene Recycling HC'!AF186</f>
        <v>1.0828092656641721</v>
      </c>
      <c r="AG148" s="230">
        <f>'Ethylene Recycling HC'!AG186</f>
        <v>1.1242371717963493</v>
      </c>
      <c r="AH148" s="245"/>
      <c r="AI148" s="133"/>
      <c r="AJ148" s="211"/>
      <c r="AL148" s="108"/>
      <c r="AM148" s="2"/>
      <c r="AN148" s="2"/>
      <c r="AO148" s="2"/>
      <c r="BC148" s="1"/>
      <c r="BD148" s="2"/>
      <c r="BE148" s="2"/>
      <c r="BF148" s="2"/>
      <c r="BG148" s="2"/>
      <c r="BH148" s="2"/>
      <c r="BI148" s="2"/>
      <c r="BJ148" s="2"/>
      <c r="BK148" s="2"/>
    </row>
    <row r="149" spans="1:63" outlineLevel="1">
      <c r="A149" s="4" t="s">
        <v>248</v>
      </c>
      <c r="C149" s="230">
        <f>'Ethylene Recycling HC'!C187</f>
        <v>4.1507753507003725E-2</v>
      </c>
      <c r="D149" s="230">
        <f>'Ethylene Recycling HC'!D187</f>
        <v>4.4347116188108701E-2</v>
      </c>
      <c r="E149" s="230">
        <f>'Ethylene Recycling HC'!E187</f>
        <v>4.7173188885185645E-2</v>
      </c>
      <c r="F149" s="230">
        <f>'Ethylene Recycling HC'!F187</f>
        <v>4.9966156560907041E-2</v>
      </c>
      <c r="G149" s="230">
        <f>'Ethylene Recycling HC'!G187</f>
        <v>5.2705784252154074E-2</v>
      </c>
      <c r="H149" s="230">
        <f>'Ethylene Recycling HC'!H187</f>
        <v>5.5371659211246482E-2</v>
      </c>
      <c r="I149" s="230">
        <f>'Ethylene Recycling HC'!I187</f>
        <v>5.8068453333439504E-2</v>
      </c>
      <c r="J149" s="230">
        <f>'Ethylene Recycling HC'!J187</f>
        <v>6.0792767273101712E-2</v>
      </c>
      <c r="K149" s="230">
        <f>'Ethylene Recycling HC'!K187</f>
        <v>6.3541052568591355E-2</v>
      </c>
      <c r="L149" s="230">
        <f>'Ethylene Recycling HC'!L187</f>
        <v>6.6309617138839191E-2</v>
      </c>
      <c r="M149" s="230">
        <f>'Ethylene Recycling HC'!M187</f>
        <v>6.9094631376867263E-2</v>
      </c>
      <c r="N149" s="230">
        <f>'Ethylene Recycling HC'!N187</f>
        <v>7.4107008143449407E-2</v>
      </c>
      <c r="O149" s="230">
        <f>'Ethylene Recycling HC'!O187</f>
        <v>7.9044211140863532E-2</v>
      </c>
      <c r="P149" s="230">
        <f>'Ethylene Recycling HC'!P187</f>
        <v>8.3876955739781864E-2</v>
      </c>
      <c r="Q149" s="230">
        <f>'Ethylene Recycling HC'!Q187</f>
        <v>8.8576149436265628E-2</v>
      </c>
      <c r="R149" s="230">
        <f>'Ethylene Recycling HC'!R187</f>
        <v>9.3113179108929855E-2</v>
      </c>
      <c r="S149" s="230">
        <f>'Ethylene Recycling HC'!S187</f>
        <v>9.7635788847876714E-2</v>
      </c>
      <c r="T149" s="230">
        <f>'Ethylene Recycling HC'!T187</f>
        <v>0.10214089069209867</v>
      </c>
      <c r="U149" s="230">
        <f>'Ethylene Recycling HC'!U187</f>
        <v>0.10662535963192214</v>
      </c>
      <c r="V149" s="230">
        <f>'Ethylene Recycling HC'!V187</f>
        <v>0.11108603538317663</v>
      </c>
      <c r="W149" s="230">
        <f>'Ethylene Recycling HC'!W187</f>
        <v>0.1155197242171805</v>
      </c>
      <c r="X149" s="230">
        <f>'Ethylene Recycling HC'!X187</f>
        <v>0.12293645840080844</v>
      </c>
      <c r="Y149" s="230">
        <f>'Ethylene Recycling HC'!Y187</f>
        <v>0.13031628438027182</v>
      </c>
      <c r="Z149" s="230">
        <f>'Ethylene Recycling HC'!Z187</f>
        <v>0.1376541116220884</v>
      </c>
      <c r="AA149" s="230">
        <f>'Ethylene Recycling HC'!AA187</f>
        <v>0.14494479753578315</v>
      </c>
      <c r="AB149" s="230">
        <f>'Ethylene Recycling HC'!AB187</f>
        <v>0.15218315022297774</v>
      </c>
      <c r="AC149" s="230">
        <f>'Ethylene Recycling HC'!AC187</f>
        <v>0.15936543796681474</v>
      </c>
      <c r="AD149" s="230">
        <f>'Ethylene Recycling HC'!AD187</f>
        <v>0.16648658281372816</v>
      </c>
      <c r="AE149" s="230">
        <f>'Ethylene Recycling HC'!AE187</f>
        <v>0.1735414627384313</v>
      </c>
      <c r="AF149" s="230">
        <f>'Ethylene Recycling HC'!AF187</f>
        <v>0.18052491418138222</v>
      </c>
      <c r="AG149" s="230">
        <f>'Ethylene Recycling HC'!AG187</f>
        <v>0.18743173464956342</v>
      </c>
      <c r="AH149" s="245"/>
      <c r="AI149" s="133"/>
      <c r="AJ149" s="211"/>
      <c r="AL149" s="108"/>
      <c r="AM149" s="2"/>
      <c r="AN149" s="2"/>
      <c r="AO149" s="2"/>
      <c r="BC149" s="1"/>
      <c r="BD149" s="2"/>
      <c r="BE149" s="2"/>
      <c r="BF149" s="2"/>
      <c r="BG149" s="2"/>
      <c r="BH149" s="2"/>
      <c r="BI149" s="2"/>
      <c r="BJ149" s="2"/>
      <c r="BK149" s="2"/>
    </row>
    <row r="150" spans="1:63" s="1" customFormat="1" outlineLevel="1">
      <c r="A150" s="1" t="s">
        <v>1329</v>
      </c>
      <c r="B150" s="65"/>
      <c r="C150" s="300">
        <f>'Ethylene Recycling HC'!C188</f>
        <v>0.29047604853762621</v>
      </c>
      <c r="D150" s="300">
        <f>'Ethylene Recycling HC'!D188</f>
        <v>0.3103462362083082</v>
      </c>
      <c r="E150" s="300">
        <f>'Ethylene Recycling HC'!E188</f>
        <v>0.33012341903725773</v>
      </c>
      <c r="F150" s="300">
        <f>'Ethylene Recycling HC'!F188</f>
        <v>0.34966892910683972</v>
      </c>
      <c r="G150" s="300">
        <f>'Ethylene Recycling HC'!G188</f>
        <v>0.36884115981027737</v>
      </c>
      <c r="H150" s="300">
        <f>'Ethylene Recycling HC'!H188</f>
        <v>0.38749726038391852</v>
      </c>
      <c r="I150" s="300">
        <f>'Ethylene Recycling HC'!I188</f>
        <v>0.40636973682863742</v>
      </c>
      <c r="J150" s="300">
        <f>'Ethylene Recycling HC'!J188</f>
        <v>0.42543480013146168</v>
      </c>
      <c r="K150" s="300">
        <f>'Ethylene Recycling HC'!K188</f>
        <v>0.44466761774837249</v>
      </c>
      <c r="L150" s="300">
        <f>'Ethylene Recycling HC'!L188</f>
        <v>0.46404235207002564</v>
      </c>
      <c r="M150" s="300">
        <f>'Ethylene Recycling HC'!M188</f>
        <v>0.48353220306489869</v>
      </c>
      <c r="N150" s="300">
        <f>'Ethylene Recycling HC'!N188</f>
        <v>0.51860939404544437</v>
      </c>
      <c r="O150" s="300">
        <f>'Ethylene Recycling HC'!O188</f>
        <v>0.5531605103152033</v>
      </c>
      <c r="P150" s="300">
        <f>'Ethylene Recycling HC'!P188</f>
        <v>0.58698061465904561</v>
      </c>
      <c r="Q150" s="300">
        <f>'Ethylene Recycling HC'!Q188</f>
        <v>0.61986611437748262</v>
      </c>
      <c r="R150" s="300">
        <f>'Ethylene Recycling HC'!R188</f>
        <v>0.65161677154545228</v>
      </c>
      <c r="S150" s="300">
        <f>'Ethylene Recycling HC'!S188</f>
        <v>0.68326651635338076</v>
      </c>
      <c r="T150" s="300">
        <f>'Ethylene Recycling HC'!T188</f>
        <v>0.71479373889382392</v>
      </c>
      <c r="U150" s="300">
        <f>'Ethylene Recycling HC'!U188</f>
        <v>0.74617656998849746</v>
      </c>
      <c r="V150" s="300">
        <f>'Ethylene Recycling HC'!V188</f>
        <v>0.77739289360411734</v>
      </c>
      <c r="W150" s="300">
        <f>'Ethylene Recycling HC'!W188</f>
        <v>0.80842035965885173</v>
      </c>
      <c r="X150" s="300">
        <f>'Ethylene Recycling HC'!X188</f>
        <v>0.86032352127781686</v>
      </c>
      <c r="Y150" s="300">
        <f>'Ethylene Recycling HC'!Y188</f>
        <v>0.91196839502527549</v>
      </c>
      <c r="Z150" s="300">
        <f>'Ethylene Recycling HC'!Z188</f>
        <v>0.96331935676053249</v>
      </c>
      <c r="AA150" s="300">
        <f>'Ethylene Recycling HC'!AA188</f>
        <v>1.0143404180420506</v>
      </c>
      <c r="AB150" s="300">
        <f>'Ethylene Recycling HC'!AB188</f>
        <v>1.0649952453658955</v>
      </c>
      <c r="AC150" s="300">
        <f>'Ethylene Recycling HC'!AC188</f>
        <v>1.1152577237469037</v>
      </c>
      <c r="AD150" s="300">
        <f>'Ethylene Recycling HC'!AD188</f>
        <v>1.1650923170800858</v>
      </c>
      <c r="AE150" s="300">
        <f>'Ethylene Recycling HC'!AE188</f>
        <v>1.214463180841465</v>
      </c>
      <c r="AF150" s="300">
        <f>'Ethylene Recycling HC'!AF188</f>
        <v>1.2633341798455544</v>
      </c>
      <c r="AG150" s="300">
        <f>'Ethylene Recycling HC'!AG188</f>
        <v>1.3116689064459126</v>
      </c>
      <c r="AH150" s="422"/>
      <c r="AI150" s="423"/>
      <c r="AJ150" s="424"/>
      <c r="AL150" s="221"/>
      <c r="AM150" s="124"/>
      <c r="AN150" s="124"/>
      <c r="AO150" s="124"/>
      <c r="BD150" s="124"/>
      <c r="BE150" s="124"/>
      <c r="BF150" s="124"/>
      <c r="BG150" s="124"/>
      <c r="BH150" s="124"/>
      <c r="BI150" s="124"/>
      <c r="BJ150" s="124"/>
      <c r="BK150" s="124"/>
    </row>
    <row r="151" spans="1:63" outlineLevel="1">
      <c r="A151" s="4" t="s">
        <v>258</v>
      </c>
      <c r="C151" s="230">
        <f>'Ethylene Recycling HC'!C189</f>
        <v>0</v>
      </c>
      <c r="D151" s="230">
        <f>'Ethylene Recycling HC'!D189</f>
        <v>0</v>
      </c>
      <c r="E151" s="230">
        <f>'Ethylene Recycling HC'!E189</f>
        <v>0</v>
      </c>
      <c r="F151" s="230">
        <f>'Ethylene Recycling HC'!F189</f>
        <v>0</v>
      </c>
      <c r="G151" s="230">
        <f>'Ethylene Recycling HC'!G189</f>
        <v>0</v>
      </c>
      <c r="H151" s="230">
        <f>'Ethylene Recycling HC'!H189</f>
        <v>0</v>
      </c>
      <c r="I151" s="230">
        <f>'Ethylene Recycling HC'!I189</f>
        <v>0</v>
      </c>
      <c r="J151" s="230">
        <f>'Ethylene Recycling HC'!J189</f>
        <v>0</v>
      </c>
      <c r="K151" s="230">
        <f>'Ethylene Recycling HC'!K189</f>
        <v>0</v>
      </c>
      <c r="L151" s="230">
        <f>'Ethylene Recycling HC'!L189</f>
        <v>0</v>
      </c>
      <c r="M151" s="230">
        <f>'Ethylene Recycling HC'!M189</f>
        <v>0</v>
      </c>
      <c r="N151" s="230">
        <f>'Ethylene Recycling HC'!N189</f>
        <v>0</v>
      </c>
      <c r="O151" s="230">
        <f>'Ethylene Recycling HC'!O189</f>
        <v>0</v>
      </c>
      <c r="P151" s="230">
        <f>'Ethylene Recycling HC'!P189</f>
        <v>0</v>
      </c>
      <c r="Q151" s="230">
        <f>'Ethylene Recycling HC'!Q189</f>
        <v>0</v>
      </c>
      <c r="R151" s="230">
        <f>'Ethylene Recycling HC'!R189</f>
        <v>0</v>
      </c>
      <c r="S151" s="230">
        <f>'Ethylene Recycling HC'!S189</f>
        <v>0</v>
      </c>
      <c r="T151" s="230">
        <f>'Ethylene Recycling HC'!T189</f>
        <v>0</v>
      </c>
      <c r="U151" s="230">
        <f>'Ethylene Recycling HC'!U189</f>
        <v>0</v>
      </c>
      <c r="V151" s="230">
        <f>'Ethylene Recycling HC'!V189</f>
        <v>0</v>
      </c>
      <c r="W151" s="230">
        <f>'Ethylene Recycling HC'!W189</f>
        <v>0</v>
      </c>
      <c r="X151" s="230">
        <f>'Ethylene Recycling HC'!X189</f>
        <v>0</v>
      </c>
      <c r="Y151" s="230">
        <f>'Ethylene Recycling HC'!Y189</f>
        <v>0</v>
      </c>
      <c r="Z151" s="230">
        <f>'Ethylene Recycling HC'!Z189</f>
        <v>0</v>
      </c>
      <c r="AA151" s="230">
        <f>'Ethylene Recycling HC'!AA189</f>
        <v>0</v>
      </c>
      <c r="AB151" s="230">
        <f>'Ethylene Recycling HC'!AB189</f>
        <v>0</v>
      </c>
      <c r="AC151" s="230">
        <f>'Ethylene Recycling HC'!AC189</f>
        <v>0</v>
      </c>
      <c r="AD151" s="230">
        <f>'Ethylene Recycling HC'!AD189</f>
        <v>0</v>
      </c>
      <c r="AE151" s="230">
        <f>'Ethylene Recycling HC'!AE189</f>
        <v>0</v>
      </c>
      <c r="AF151" s="230">
        <f>'Ethylene Recycling HC'!AF189</f>
        <v>0</v>
      </c>
      <c r="AG151" s="230">
        <f>'Ethylene Recycling HC'!AG189</f>
        <v>0</v>
      </c>
      <c r="AH151" s="245"/>
      <c r="AI151" s="133"/>
      <c r="AJ151" s="211"/>
      <c r="AL151" s="108"/>
      <c r="AM151" s="2"/>
      <c r="AN151" s="2"/>
      <c r="AO151" s="2"/>
      <c r="BC151" s="1"/>
      <c r="BD151" s="2"/>
      <c r="BE151" s="2"/>
      <c r="BF151" s="2"/>
      <c r="BG151" s="2"/>
      <c r="BH151" s="2"/>
      <c r="BI151" s="2"/>
      <c r="BJ151" s="2"/>
      <c r="BK151" s="2"/>
    </row>
    <row r="152" spans="1:63" outlineLevel="1">
      <c r="A152" s="4" t="s">
        <v>478</v>
      </c>
      <c r="C152" s="230">
        <f>'Ethylene Recycling HC'!C190</f>
        <v>0</v>
      </c>
      <c r="D152" s="230">
        <f>'Ethylene Recycling HC'!D190</f>
        <v>0</v>
      </c>
      <c r="E152" s="230">
        <f>'Ethylene Recycling HC'!E190</f>
        <v>0</v>
      </c>
      <c r="F152" s="230">
        <f>'Ethylene Recycling HC'!F190</f>
        <v>0</v>
      </c>
      <c r="G152" s="230">
        <f>'Ethylene Recycling HC'!G190</f>
        <v>0</v>
      </c>
      <c r="H152" s="230">
        <f>'Ethylene Recycling HC'!H190</f>
        <v>0</v>
      </c>
      <c r="I152" s="230">
        <f>'Ethylene Recycling HC'!I190</f>
        <v>0</v>
      </c>
      <c r="J152" s="230">
        <f>'Ethylene Recycling HC'!J190</f>
        <v>0</v>
      </c>
      <c r="K152" s="230">
        <f>'Ethylene Recycling HC'!K190</f>
        <v>0</v>
      </c>
      <c r="L152" s="230">
        <f>'Ethylene Recycling HC'!L190</f>
        <v>0</v>
      </c>
      <c r="M152" s="230">
        <f>'Ethylene Recycling HC'!M190</f>
        <v>0</v>
      </c>
      <c r="N152" s="230">
        <f>'Ethylene Recycling HC'!N190</f>
        <v>0</v>
      </c>
      <c r="O152" s="230">
        <f>'Ethylene Recycling HC'!O190</f>
        <v>0</v>
      </c>
      <c r="P152" s="230">
        <f>'Ethylene Recycling HC'!P190</f>
        <v>0</v>
      </c>
      <c r="Q152" s="230">
        <f>'Ethylene Recycling HC'!Q190</f>
        <v>0</v>
      </c>
      <c r="R152" s="230">
        <f>'Ethylene Recycling HC'!R190</f>
        <v>0</v>
      </c>
      <c r="S152" s="230">
        <f>'Ethylene Recycling HC'!S190</f>
        <v>0</v>
      </c>
      <c r="T152" s="230">
        <f>'Ethylene Recycling HC'!T190</f>
        <v>0</v>
      </c>
      <c r="U152" s="230">
        <f>'Ethylene Recycling HC'!U190</f>
        <v>0</v>
      </c>
      <c r="V152" s="230">
        <f>'Ethylene Recycling HC'!V190</f>
        <v>0</v>
      </c>
      <c r="W152" s="230">
        <f>'Ethylene Recycling HC'!W190</f>
        <v>0</v>
      </c>
      <c r="X152" s="230">
        <f>'Ethylene Recycling HC'!X190</f>
        <v>0</v>
      </c>
      <c r="Y152" s="230">
        <f>'Ethylene Recycling HC'!Y190</f>
        <v>0</v>
      </c>
      <c r="Z152" s="230">
        <f>'Ethylene Recycling HC'!Z190</f>
        <v>0</v>
      </c>
      <c r="AA152" s="230">
        <f>'Ethylene Recycling HC'!AA190</f>
        <v>0</v>
      </c>
      <c r="AB152" s="230">
        <f>'Ethylene Recycling HC'!AB190</f>
        <v>0</v>
      </c>
      <c r="AC152" s="230">
        <f>'Ethylene Recycling HC'!AC190</f>
        <v>0</v>
      </c>
      <c r="AD152" s="230">
        <f>'Ethylene Recycling HC'!AD190</f>
        <v>0</v>
      </c>
      <c r="AE152" s="230">
        <f>'Ethylene Recycling HC'!AE190</f>
        <v>0</v>
      </c>
      <c r="AF152" s="230">
        <f>'Ethylene Recycling HC'!AF190</f>
        <v>0</v>
      </c>
      <c r="AG152" s="230">
        <f>'Ethylene Recycling HC'!AG190</f>
        <v>0</v>
      </c>
      <c r="AH152" s="245"/>
      <c r="AI152" s="133"/>
      <c r="AJ152" s="211"/>
      <c r="AL152" s="108"/>
      <c r="AM152" s="2"/>
      <c r="AN152" s="2"/>
      <c r="AO152" s="2"/>
      <c r="BC152" s="1"/>
      <c r="BD152" s="2"/>
      <c r="BE152" s="2"/>
      <c r="BF152" s="2"/>
      <c r="BG152" s="2"/>
      <c r="BH152" s="2"/>
      <c r="BI152" s="2"/>
      <c r="BJ152" s="2"/>
      <c r="BK152" s="2"/>
    </row>
    <row r="153" spans="1:63" outlineLevel="1">
      <c r="A153" s="4" t="s">
        <v>480</v>
      </c>
      <c r="C153" s="230">
        <f>'Ethylene Recycling HC'!C191</f>
        <v>0</v>
      </c>
      <c r="D153" s="230">
        <f>'Ethylene Recycling HC'!D191</f>
        <v>0</v>
      </c>
      <c r="E153" s="230">
        <f>'Ethylene Recycling HC'!E191</f>
        <v>0</v>
      </c>
      <c r="F153" s="230">
        <f>'Ethylene Recycling HC'!F191</f>
        <v>0</v>
      </c>
      <c r="G153" s="230">
        <f>'Ethylene Recycling HC'!G191</f>
        <v>0</v>
      </c>
      <c r="H153" s="230">
        <f>'Ethylene Recycling HC'!H191</f>
        <v>0</v>
      </c>
      <c r="I153" s="230">
        <f>'Ethylene Recycling HC'!I191</f>
        <v>0</v>
      </c>
      <c r="J153" s="230">
        <f>'Ethylene Recycling HC'!J191</f>
        <v>0</v>
      </c>
      <c r="K153" s="230">
        <f>'Ethylene Recycling HC'!K191</f>
        <v>0</v>
      </c>
      <c r="L153" s="230">
        <f>'Ethylene Recycling HC'!L191</f>
        <v>0</v>
      </c>
      <c r="M153" s="230">
        <f>'Ethylene Recycling HC'!M191</f>
        <v>0</v>
      </c>
      <c r="N153" s="230">
        <f>'Ethylene Recycling HC'!N191</f>
        <v>0</v>
      </c>
      <c r="O153" s="230">
        <f>'Ethylene Recycling HC'!O191</f>
        <v>0</v>
      </c>
      <c r="P153" s="230">
        <f>'Ethylene Recycling HC'!P191</f>
        <v>0</v>
      </c>
      <c r="Q153" s="230">
        <f>'Ethylene Recycling HC'!Q191</f>
        <v>0</v>
      </c>
      <c r="R153" s="230">
        <f>'Ethylene Recycling HC'!R191</f>
        <v>0</v>
      </c>
      <c r="S153" s="230">
        <f>'Ethylene Recycling HC'!S191</f>
        <v>0</v>
      </c>
      <c r="T153" s="230">
        <f>'Ethylene Recycling HC'!T191</f>
        <v>0</v>
      </c>
      <c r="U153" s="230">
        <f>'Ethylene Recycling HC'!U191</f>
        <v>0</v>
      </c>
      <c r="V153" s="230">
        <f>'Ethylene Recycling HC'!V191</f>
        <v>0</v>
      </c>
      <c r="W153" s="230">
        <f>'Ethylene Recycling HC'!W191</f>
        <v>0</v>
      </c>
      <c r="X153" s="230">
        <f>'Ethylene Recycling HC'!X191</f>
        <v>0</v>
      </c>
      <c r="Y153" s="230">
        <f>'Ethylene Recycling HC'!Y191</f>
        <v>0</v>
      </c>
      <c r="Z153" s="230">
        <f>'Ethylene Recycling HC'!Z191</f>
        <v>0</v>
      </c>
      <c r="AA153" s="230">
        <f>'Ethylene Recycling HC'!AA191</f>
        <v>0</v>
      </c>
      <c r="AB153" s="230">
        <f>'Ethylene Recycling HC'!AB191</f>
        <v>0</v>
      </c>
      <c r="AC153" s="230">
        <f>'Ethylene Recycling HC'!AC191</f>
        <v>0</v>
      </c>
      <c r="AD153" s="230">
        <f>'Ethylene Recycling HC'!AD191</f>
        <v>0</v>
      </c>
      <c r="AE153" s="230">
        <f>'Ethylene Recycling HC'!AE191</f>
        <v>0</v>
      </c>
      <c r="AF153" s="230">
        <f>'Ethylene Recycling HC'!AF191</f>
        <v>0</v>
      </c>
      <c r="AG153" s="230">
        <f>'Ethylene Recycling HC'!AG191</f>
        <v>0</v>
      </c>
      <c r="AH153" s="245"/>
      <c r="AI153" s="133"/>
      <c r="AJ153" s="211"/>
      <c r="AL153" s="108"/>
      <c r="AM153" s="2"/>
      <c r="AN153" s="2"/>
      <c r="AO153" s="2"/>
      <c r="BC153" s="1"/>
      <c r="BD153" s="2"/>
      <c r="BE153" s="2"/>
      <c r="BF153" s="2"/>
      <c r="BG153" s="2"/>
      <c r="BH153" s="2"/>
      <c r="BI153" s="2"/>
      <c r="BJ153" s="2"/>
      <c r="BK153" s="2"/>
    </row>
    <row r="154" spans="1:63" outlineLevel="1">
      <c r="A154" s="4" t="s">
        <v>474</v>
      </c>
      <c r="C154" s="230">
        <f>'Ethylene Recycling HC'!C192</f>
        <v>0.24896829503062248</v>
      </c>
      <c r="D154" s="230">
        <f>'Ethylene Recycling HC'!D192</f>
        <v>0.26599912002019949</v>
      </c>
      <c r="E154" s="230">
        <f>'Ethylene Recycling HC'!E192</f>
        <v>0.2829502301520721</v>
      </c>
      <c r="F154" s="230">
        <f>'Ethylene Recycling HC'!F192</f>
        <v>0.29970277254593269</v>
      </c>
      <c r="G154" s="230">
        <f>'Ethylene Recycling HC'!G192</f>
        <v>0.31613537555812332</v>
      </c>
      <c r="H154" s="230">
        <f>'Ethylene Recycling HC'!H192</f>
        <v>0.33212560117267204</v>
      </c>
      <c r="I154" s="230">
        <f>'Ethylene Recycling HC'!I192</f>
        <v>0.3483012834951979</v>
      </c>
      <c r="J154" s="230">
        <f>'Ethylene Recycling HC'!J192</f>
        <v>0.36464203285836</v>
      </c>
      <c r="K154" s="230">
        <f>'Ethylene Recycling HC'!K192</f>
        <v>0.38112656517978116</v>
      </c>
      <c r="L154" s="230">
        <f>'Ethylene Recycling HC'!L192</f>
        <v>0.39773273493118644</v>
      </c>
      <c r="M154" s="230">
        <f>'Ethylene Recycling HC'!M192</f>
        <v>0.41443757168803141</v>
      </c>
      <c r="N154" s="230">
        <f>'Ethylene Recycling HC'!N192</f>
        <v>0.44450238590199498</v>
      </c>
      <c r="O154" s="230">
        <f>'Ethylene Recycling HC'!O192</f>
        <v>0.47411629917433978</v>
      </c>
      <c r="P154" s="230">
        <f>'Ethylene Recycling HC'!P192</f>
        <v>0.50310365891926379</v>
      </c>
      <c r="Q154" s="230">
        <f>'Ethylene Recycling HC'!Q192</f>
        <v>0.53128996494121705</v>
      </c>
      <c r="R154" s="230">
        <f>'Ethylene Recycling HC'!R192</f>
        <v>0.55850359243652248</v>
      </c>
      <c r="S154" s="230">
        <f>'Ethylene Recycling HC'!S192</f>
        <v>0.58563072750550405</v>
      </c>
      <c r="T154" s="230">
        <f>'Ethylene Recycling HC'!T192</f>
        <v>0.61265284820172528</v>
      </c>
      <c r="U154" s="230">
        <f>'Ethylene Recycling HC'!U192</f>
        <v>0.63955121035657536</v>
      </c>
      <c r="V154" s="230">
        <f>'Ethylene Recycling HC'!V192</f>
        <v>0.66630685822094071</v>
      </c>
      <c r="W154" s="230">
        <f>'Ethylene Recycling HC'!W192</f>
        <v>0.69290063544167124</v>
      </c>
      <c r="X154" s="230">
        <f>'Ethylene Recycling HC'!X192</f>
        <v>0.73738706287700839</v>
      </c>
      <c r="Y154" s="230">
        <f>'Ethylene Recycling HC'!Y192</f>
        <v>0.78165211064500373</v>
      </c>
      <c r="Z154" s="230">
        <f>'Ethylene Recycling HC'!Z192</f>
        <v>0.82566524513844408</v>
      </c>
      <c r="AA154" s="230">
        <f>'Ethylene Recycling HC'!AA192</f>
        <v>0.8693956205062674</v>
      </c>
      <c r="AB154" s="230">
        <f>'Ethylene Recycling HC'!AB192</f>
        <v>0.91281209514291783</v>
      </c>
      <c r="AC154" s="230">
        <f>'Ethylene Recycling HC'!AC192</f>
        <v>0.955892285780089</v>
      </c>
      <c r="AD154" s="230">
        <f>'Ethylene Recycling HC'!AD192</f>
        <v>0.99860573426635768</v>
      </c>
      <c r="AE154" s="230">
        <f>'Ethylene Recycling HC'!AE192</f>
        <v>1.0409217181030337</v>
      </c>
      <c r="AF154" s="230">
        <f>'Ethylene Recycling HC'!AF192</f>
        <v>1.0828092656641721</v>
      </c>
      <c r="AG154" s="230">
        <f>'Ethylene Recycling HC'!AG192</f>
        <v>1.1242371717963493</v>
      </c>
      <c r="AH154" s="245"/>
      <c r="AI154" s="133"/>
      <c r="AJ154" s="211"/>
      <c r="AL154" s="108"/>
      <c r="AM154" s="2"/>
      <c r="AN154" s="2"/>
      <c r="AO154" s="2"/>
      <c r="BC154" s="1"/>
      <c r="BD154" s="2"/>
      <c r="BE154" s="2"/>
      <c r="BF154" s="2"/>
      <c r="BG154" s="2"/>
      <c r="BH154" s="2"/>
      <c r="BI154" s="2"/>
      <c r="BJ154" s="2"/>
      <c r="BK154" s="2"/>
    </row>
    <row r="155" spans="1:63" outlineLevel="1">
      <c r="A155" s="4" t="s">
        <v>248</v>
      </c>
      <c r="C155" s="230">
        <f>'Ethylene Recycling HC'!C193</f>
        <v>4.1507753507003725E-2</v>
      </c>
      <c r="D155" s="230">
        <f>'Ethylene Recycling HC'!D193</f>
        <v>4.4347116188108701E-2</v>
      </c>
      <c r="E155" s="230">
        <f>'Ethylene Recycling HC'!E193</f>
        <v>4.7173188885185645E-2</v>
      </c>
      <c r="F155" s="230">
        <f>'Ethylene Recycling HC'!F193</f>
        <v>4.9966156560907041E-2</v>
      </c>
      <c r="G155" s="230">
        <f>'Ethylene Recycling HC'!G193</f>
        <v>5.2705784252154074E-2</v>
      </c>
      <c r="H155" s="230">
        <f>'Ethylene Recycling HC'!H193</f>
        <v>5.5371659211246482E-2</v>
      </c>
      <c r="I155" s="230">
        <f>'Ethylene Recycling HC'!I193</f>
        <v>5.8068453333439504E-2</v>
      </c>
      <c r="J155" s="230">
        <f>'Ethylene Recycling HC'!J193</f>
        <v>6.0792767273101712E-2</v>
      </c>
      <c r="K155" s="230">
        <f>'Ethylene Recycling HC'!K193</f>
        <v>6.3541052568591355E-2</v>
      </c>
      <c r="L155" s="230">
        <f>'Ethylene Recycling HC'!L193</f>
        <v>6.6309617138839191E-2</v>
      </c>
      <c r="M155" s="230">
        <f>'Ethylene Recycling HC'!M193</f>
        <v>6.9094631376867263E-2</v>
      </c>
      <c r="N155" s="230">
        <f>'Ethylene Recycling HC'!N193</f>
        <v>7.4107008143449407E-2</v>
      </c>
      <c r="O155" s="230">
        <f>'Ethylene Recycling HC'!O193</f>
        <v>7.9044211140863532E-2</v>
      </c>
      <c r="P155" s="230">
        <f>'Ethylene Recycling HC'!P193</f>
        <v>8.3876955739781864E-2</v>
      </c>
      <c r="Q155" s="230">
        <f>'Ethylene Recycling HC'!Q193</f>
        <v>8.8576149436265628E-2</v>
      </c>
      <c r="R155" s="230">
        <f>'Ethylene Recycling HC'!R193</f>
        <v>9.3113179108929855E-2</v>
      </c>
      <c r="S155" s="230">
        <f>'Ethylene Recycling HC'!S193</f>
        <v>9.7635788847876714E-2</v>
      </c>
      <c r="T155" s="230">
        <f>'Ethylene Recycling HC'!T193</f>
        <v>0.10214089069209867</v>
      </c>
      <c r="U155" s="230">
        <f>'Ethylene Recycling HC'!U193</f>
        <v>0.10662535963192214</v>
      </c>
      <c r="V155" s="230">
        <f>'Ethylene Recycling HC'!V193</f>
        <v>0.11108603538317663</v>
      </c>
      <c r="W155" s="230">
        <f>'Ethylene Recycling HC'!W193</f>
        <v>0.1155197242171805</v>
      </c>
      <c r="X155" s="230">
        <f>'Ethylene Recycling HC'!X193</f>
        <v>0.12293645840080844</v>
      </c>
      <c r="Y155" s="230">
        <f>'Ethylene Recycling HC'!Y193</f>
        <v>0.13031628438027182</v>
      </c>
      <c r="Z155" s="230">
        <f>'Ethylene Recycling HC'!Z193</f>
        <v>0.1376541116220884</v>
      </c>
      <c r="AA155" s="230">
        <f>'Ethylene Recycling HC'!AA193</f>
        <v>0.14494479753578315</v>
      </c>
      <c r="AB155" s="230">
        <f>'Ethylene Recycling HC'!AB193</f>
        <v>0.15218315022297774</v>
      </c>
      <c r="AC155" s="230">
        <f>'Ethylene Recycling HC'!AC193</f>
        <v>0.15936543796681474</v>
      </c>
      <c r="AD155" s="230">
        <f>'Ethylene Recycling HC'!AD193</f>
        <v>0.16648658281372816</v>
      </c>
      <c r="AE155" s="230">
        <f>'Ethylene Recycling HC'!AE193</f>
        <v>0.1735414627384313</v>
      </c>
      <c r="AF155" s="230">
        <f>'Ethylene Recycling HC'!AF193</f>
        <v>0.18052491418138222</v>
      </c>
      <c r="AG155" s="230">
        <f>'Ethylene Recycling HC'!AG193</f>
        <v>0.18743173464956342</v>
      </c>
      <c r="AH155" s="245"/>
      <c r="AI155" s="133"/>
      <c r="AJ155" s="211"/>
      <c r="AL155" s="108"/>
      <c r="AM155" s="2"/>
      <c r="AN155" s="2"/>
      <c r="AO155" s="2"/>
      <c r="BC155" s="1"/>
      <c r="BD155" s="2"/>
      <c r="BE155" s="2"/>
      <c r="BF155" s="2"/>
      <c r="BG155" s="2"/>
      <c r="BH155" s="2"/>
      <c r="BI155" s="2"/>
      <c r="BJ155" s="2"/>
      <c r="BK155" s="2"/>
    </row>
    <row r="156" spans="1:63" outlineLevel="1">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J156" s="211"/>
    </row>
    <row r="157" spans="1:63" s="200" customFormat="1" ht="16" thickBot="1">
      <c r="A157" s="200" t="s">
        <v>1347</v>
      </c>
      <c r="B157" s="215"/>
      <c r="C157" s="224">
        <f>C158</f>
        <v>1.6E-2</v>
      </c>
      <c r="D157" s="224">
        <f t="shared" ref="D157:AG157" si="30">D158</f>
        <v>2.3295473975819617E-2</v>
      </c>
      <c r="E157" s="224">
        <f t="shared" si="30"/>
        <v>3.059094795163924E-2</v>
      </c>
      <c r="F157" s="224">
        <f t="shared" si="30"/>
        <v>3.7886421927458863E-2</v>
      </c>
      <c r="G157" s="224">
        <f t="shared" si="30"/>
        <v>4.5181895903278479E-2</v>
      </c>
      <c r="H157" s="224">
        <f t="shared" si="30"/>
        <v>5.2477369879098103E-2</v>
      </c>
      <c r="I157" s="224">
        <f t="shared" si="30"/>
        <v>5.9772843854917726E-2</v>
      </c>
      <c r="J157" s="224">
        <f t="shared" si="30"/>
        <v>6.7068317830737342E-2</v>
      </c>
      <c r="K157" s="224">
        <f t="shared" si="30"/>
        <v>7.4363791806556986E-2</v>
      </c>
      <c r="L157" s="224">
        <f t="shared" si="30"/>
        <v>8.1659265782376589E-2</v>
      </c>
      <c r="M157" s="224">
        <f t="shared" si="30"/>
        <v>8.8954739758196205E-2</v>
      </c>
      <c r="N157" s="224">
        <f t="shared" si="30"/>
        <v>0.10433135413800063</v>
      </c>
      <c r="O157" s="224">
        <f t="shared" si="30"/>
        <v>0.11970796851780505</v>
      </c>
      <c r="P157" s="224">
        <f t="shared" si="30"/>
        <v>0.1350845828976095</v>
      </c>
      <c r="Q157" s="224">
        <f t="shared" si="30"/>
        <v>0.15046119727741392</v>
      </c>
      <c r="R157" s="224">
        <f t="shared" si="30"/>
        <v>0.16583781165721834</v>
      </c>
      <c r="S157" s="224">
        <f t="shared" si="30"/>
        <v>0.18121442603702276</v>
      </c>
      <c r="T157" s="224">
        <f t="shared" si="30"/>
        <v>0.19659104041682718</v>
      </c>
      <c r="U157" s="224">
        <f t="shared" si="30"/>
        <v>0.2119676547966316</v>
      </c>
      <c r="V157" s="224">
        <f t="shared" si="30"/>
        <v>0.22734426917643602</v>
      </c>
      <c r="W157" s="224">
        <f t="shared" si="30"/>
        <v>0.24272088355624047</v>
      </c>
      <c r="X157" s="224">
        <f t="shared" si="30"/>
        <v>0.26844879520061637</v>
      </c>
      <c r="Y157" s="224">
        <f t="shared" si="30"/>
        <v>0.29417670684499236</v>
      </c>
      <c r="Z157" s="224">
        <f t="shared" si="30"/>
        <v>0.3199046184893683</v>
      </c>
      <c r="AA157" s="224">
        <f t="shared" si="30"/>
        <v>0.34563253013374429</v>
      </c>
      <c r="AB157" s="224">
        <f t="shared" si="30"/>
        <v>0.37136044177812022</v>
      </c>
      <c r="AC157" s="224">
        <f t="shared" si="30"/>
        <v>0.39708835342249615</v>
      </c>
      <c r="AD157" s="224">
        <f t="shared" si="30"/>
        <v>0.42281626506687209</v>
      </c>
      <c r="AE157" s="224">
        <f t="shared" si="30"/>
        <v>0.44854417671124808</v>
      </c>
      <c r="AF157" s="224">
        <f t="shared" si="30"/>
        <v>0.47427208835562407</v>
      </c>
      <c r="AG157" s="224">
        <f t="shared" si="30"/>
        <v>0.5</v>
      </c>
      <c r="AJ157" s="231" t="s">
        <v>1312</v>
      </c>
      <c r="AL157" s="217"/>
      <c r="AM157" s="225"/>
      <c r="AN157" s="225"/>
      <c r="AO157" s="225"/>
    </row>
    <row r="158" spans="1:63" ht="17" outlineLevel="1" thickTop="1">
      <c r="A158" t="s">
        <v>1348</v>
      </c>
      <c r="B158" s="54" t="s">
        <v>462</v>
      </c>
      <c r="C158" s="110">
        <f>'Ethylene Recycling HC'!C196*'Ethylene Recycling HC'!C$47/'Ethylene Recycling LC'!C$47</f>
        <v>1.6E-2</v>
      </c>
      <c r="D158" s="110">
        <f>'Ethylene Recycling HC'!D196*'Ethylene Recycling HC'!D$47/'Ethylene Recycling LC'!D$47</f>
        <v>2.3295473975819617E-2</v>
      </c>
      <c r="E158" s="110">
        <f>'Ethylene Recycling HC'!E196*'Ethylene Recycling HC'!E$47/'Ethylene Recycling LC'!E$47</f>
        <v>3.059094795163924E-2</v>
      </c>
      <c r="F158" s="110">
        <f>'Ethylene Recycling HC'!F196*'Ethylene Recycling HC'!F$47/'Ethylene Recycling LC'!F$47</f>
        <v>3.7886421927458863E-2</v>
      </c>
      <c r="G158" s="110">
        <f>'Ethylene Recycling HC'!G196*'Ethylene Recycling HC'!G$47/'Ethylene Recycling LC'!G$47</f>
        <v>4.5181895903278479E-2</v>
      </c>
      <c r="H158" s="110">
        <f>'Ethylene Recycling HC'!H196*'Ethylene Recycling HC'!H$47/'Ethylene Recycling LC'!H$47</f>
        <v>5.2477369879098103E-2</v>
      </c>
      <c r="I158" s="110">
        <f>'Ethylene Recycling HC'!I196*'Ethylene Recycling HC'!I$47/'Ethylene Recycling LC'!I$47</f>
        <v>5.9772843854917726E-2</v>
      </c>
      <c r="J158" s="110">
        <f>'Ethylene Recycling HC'!J196*'Ethylene Recycling HC'!J$47/'Ethylene Recycling LC'!J$47</f>
        <v>6.7068317830737342E-2</v>
      </c>
      <c r="K158" s="110">
        <f>'Ethylene Recycling HC'!K196*'Ethylene Recycling HC'!K$47/'Ethylene Recycling LC'!K$47</f>
        <v>7.4363791806556986E-2</v>
      </c>
      <c r="L158" s="110">
        <f>'Ethylene Recycling HC'!L196*'Ethylene Recycling HC'!L$47/'Ethylene Recycling LC'!L$47</f>
        <v>8.1659265782376589E-2</v>
      </c>
      <c r="M158" s="110">
        <f>'Ethylene Recycling HC'!M196*'Ethylene Recycling HC'!M$47/'Ethylene Recycling LC'!M$47</f>
        <v>8.8954739758196205E-2</v>
      </c>
      <c r="N158" s="110">
        <f>'Ethylene Recycling HC'!N196*'Ethylene Recycling HC'!N$47/'Ethylene Recycling LC'!N$47</f>
        <v>0.10433135413800063</v>
      </c>
      <c r="O158" s="110">
        <f>'Ethylene Recycling HC'!O196*'Ethylene Recycling HC'!O$47/'Ethylene Recycling LC'!O$47</f>
        <v>0.11970796851780505</v>
      </c>
      <c r="P158" s="110">
        <f>'Ethylene Recycling HC'!P196*'Ethylene Recycling HC'!P$47/'Ethylene Recycling LC'!P$47</f>
        <v>0.1350845828976095</v>
      </c>
      <c r="Q158" s="110">
        <f>'Ethylene Recycling HC'!Q196*'Ethylene Recycling HC'!Q$47/'Ethylene Recycling LC'!Q$47</f>
        <v>0.15046119727741392</v>
      </c>
      <c r="R158" s="110">
        <f>'Ethylene Recycling HC'!R196*'Ethylene Recycling HC'!R$47/'Ethylene Recycling LC'!R$47</f>
        <v>0.16583781165721834</v>
      </c>
      <c r="S158" s="110">
        <f>'Ethylene Recycling HC'!S196*'Ethylene Recycling HC'!S$47/'Ethylene Recycling LC'!S$47</f>
        <v>0.18121442603702276</v>
      </c>
      <c r="T158" s="110">
        <f>'Ethylene Recycling HC'!T196*'Ethylene Recycling HC'!T$47/'Ethylene Recycling LC'!T$47</f>
        <v>0.19659104041682718</v>
      </c>
      <c r="U158" s="110">
        <f>'Ethylene Recycling HC'!U196*'Ethylene Recycling HC'!U$47/'Ethylene Recycling LC'!U$47</f>
        <v>0.2119676547966316</v>
      </c>
      <c r="V158" s="110">
        <f>'Ethylene Recycling HC'!V196*'Ethylene Recycling HC'!V$47/'Ethylene Recycling LC'!V$47</f>
        <v>0.22734426917643602</v>
      </c>
      <c r="W158" s="110">
        <f>'Ethylene Recycling HC'!W196*'Ethylene Recycling HC'!W$47/'Ethylene Recycling LC'!W$47</f>
        <v>0.24272088355624047</v>
      </c>
      <c r="X158" s="110">
        <f>'Ethylene Recycling HC'!X196*'Ethylene Recycling HC'!X$47/'Ethylene Recycling LC'!X$47</f>
        <v>0.26844879520061637</v>
      </c>
      <c r="Y158" s="110">
        <f>'Ethylene Recycling HC'!Y196*'Ethylene Recycling HC'!Y$47/'Ethylene Recycling LC'!Y$47</f>
        <v>0.29417670684499236</v>
      </c>
      <c r="Z158" s="110">
        <f>'Ethylene Recycling HC'!Z196*'Ethylene Recycling HC'!Z$47/'Ethylene Recycling LC'!Z$47</f>
        <v>0.3199046184893683</v>
      </c>
      <c r="AA158" s="110">
        <f>'Ethylene Recycling HC'!AA196*'Ethylene Recycling HC'!AA$47/'Ethylene Recycling LC'!AA$47</f>
        <v>0.34563253013374429</v>
      </c>
      <c r="AB158" s="110">
        <f>'Ethylene Recycling HC'!AB196*'Ethylene Recycling HC'!AB$47/'Ethylene Recycling LC'!AB$47</f>
        <v>0.37136044177812022</v>
      </c>
      <c r="AC158" s="110">
        <f>'Ethylene Recycling HC'!AC196*'Ethylene Recycling HC'!AC$47/'Ethylene Recycling LC'!AC$47</f>
        <v>0.39708835342249615</v>
      </c>
      <c r="AD158" s="110">
        <f>'Ethylene Recycling HC'!AD196*'Ethylene Recycling HC'!AD$47/'Ethylene Recycling LC'!AD$47</f>
        <v>0.42281626506687209</v>
      </c>
      <c r="AE158" s="110">
        <f>'Ethylene Recycling HC'!AE196*'Ethylene Recycling HC'!AE$47/'Ethylene Recycling LC'!AE$47</f>
        <v>0.44854417671124808</v>
      </c>
      <c r="AF158" s="110">
        <f>'Ethylene Recycling HC'!AF196*'Ethylene Recycling HC'!AF$47/'Ethylene Recycling LC'!AF$47</f>
        <v>0.47427208835562407</v>
      </c>
      <c r="AG158" s="110">
        <f>'Ethylene Recycling HC'!AG196*'Ethylene Recycling HC'!AG$47/'Ethylene Recycling LC'!AG$47</f>
        <v>0.5</v>
      </c>
      <c r="AI158" s="133" t="s">
        <v>1314</v>
      </c>
      <c r="AJ158" s="211" t="s">
        <v>1349</v>
      </c>
    </row>
    <row r="159" spans="1:63" outlineLevel="1">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J159" s="211"/>
    </row>
    <row r="160" spans="1:63" ht="16" outlineLevel="1">
      <c r="A160" t="s">
        <v>1350</v>
      </c>
      <c r="B160" s="54" t="s">
        <v>462</v>
      </c>
      <c r="C160" s="110">
        <f>'Ethylene Recycling HC'!C199*'Ethylene Recycling HC'!C$47/'Ethylene Recycling LC'!C$47</f>
        <v>1.9456662463384362E-2</v>
      </c>
      <c r="D160" s="110">
        <f>'Ethylene Recycling HC'!D199*'Ethylene Recycling HC'!D$47/'Ethylene Recycling LC'!D$47</f>
        <v>2.8238152895968031E-2</v>
      </c>
      <c r="E160" s="110">
        <f>'Ethylene Recycling HC'!E199*'Ethylene Recycling HC'!E$47/'Ethylene Recycling LC'!E$47</f>
        <v>3.6963204859037112E-2</v>
      </c>
      <c r="F160" s="110">
        <f>'Ethylene Recycling HC'!F199*'Ethylene Recycling HC'!F$47/'Ethylene Recycling LC'!F$47</f>
        <v>4.5631818352591599E-2</v>
      </c>
      <c r="G160" s="110">
        <f>'Ethylene Recycling HC'!G199*'Ethylene Recycling HC'!G$47/'Ethylene Recycling LC'!G$47</f>
        <v>5.4243993376631508E-2</v>
      </c>
      <c r="H160" s="110">
        <f>'Ethylene Recycling HC'!H199*'Ethylene Recycling HC'!H$47/'Ethylene Recycling LC'!H$47</f>
        <v>6.2799729931156817E-2</v>
      </c>
      <c r="I160" s="110">
        <f>'Ethylene Recycling HC'!I199*'Ethylene Recycling HC'!I$47/'Ethylene Recycling LC'!I$47</f>
        <v>7.1299028016167554E-2</v>
      </c>
      <c r="J160" s="110">
        <f>'Ethylene Recycling HC'!J199*'Ethylene Recycling HC'!J$47/'Ethylene Recycling LC'!J$47</f>
        <v>7.9741887631663677E-2</v>
      </c>
      <c r="K160" s="110">
        <f>'Ethylene Recycling HC'!K199*'Ethylene Recycling HC'!K$47/'Ethylene Recycling LC'!K$47</f>
        <v>8.8128308777645242E-2</v>
      </c>
      <c r="L160" s="110">
        <f>'Ethylene Recycling HC'!L199*'Ethylene Recycling HC'!L$47/'Ethylene Recycling LC'!L$47</f>
        <v>9.645829145411218E-2</v>
      </c>
      <c r="M160" s="110">
        <f>'Ethylene Recycling HC'!M199*'Ethylene Recycling HC'!M$47/'Ethylene Recycling LC'!M$47</f>
        <v>0.10473183566106455</v>
      </c>
      <c r="N160" s="110">
        <f>'Ethylene Recycling HC'!N199*'Ethylene Recycling HC'!N$47/'Ethylene Recycling LC'!N$47</f>
        <v>0.12243210219900837</v>
      </c>
      <c r="O160" s="110">
        <f>'Ethylene Recycling HC'!O199*'Ethylene Recycling HC'!O$47/'Ethylene Recycling LC'!O$47</f>
        <v>0.1400134138088984</v>
      </c>
      <c r="P160" s="110">
        <f>'Ethylene Recycling HC'!P199*'Ethylene Recycling HC'!P$47/'Ethylene Recycling LC'!P$47</f>
        <v>0.15747577049073461</v>
      </c>
      <c r="Q160" s="110">
        <f>'Ethylene Recycling HC'!Q199*'Ethylene Recycling HC'!Q$47/'Ethylene Recycling LC'!Q$47</f>
        <v>0.17481917224451696</v>
      </c>
      <c r="R160" s="110">
        <f>'Ethylene Recycling HC'!R199*'Ethylene Recycling HC'!R$47/'Ethylene Recycling LC'!R$47</f>
        <v>0.19204361907024547</v>
      </c>
      <c r="S160" s="110">
        <f>'Ethylene Recycling HC'!S199*'Ethylene Recycling HC'!S$47/'Ethylene Recycling LC'!S$47</f>
        <v>0.20914911096792019</v>
      </c>
      <c r="T160" s="110">
        <f>'Ethylene Recycling HC'!T199*'Ethylene Recycling HC'!T$47/'Ethylene Recycling LC'!T$47</f>
        <v>0.22613564793754107</v>
      </c>
      <c r="U160" s="110">
        <f>'Ethylene Recycling HC'!U199*'Ethylene Recycling HC'!U$47/'Ethylene Recycling LC'!U$47</f>
        <v>0.24300322997910812</v>
      </c>
      <c r="V160" s="110">
        <f>'Ethylene Recycling HC'!V199*'Ethylene Recycling HC'!V$47/'Ethylene Recycling LC'!V$47</f>
        <v>0.25975185709262133</v>
      </c>
      <c r="W160" s="110">
        <f>'Ethylene Recycling HC'!W199*'Ethylene Recycling HC'!W$47/'Ethylene Recycling LC'!W$47</f>
        <v>0.27638152927808074</v>
      </c>
      <c r="X160" s="110">
        <f>'Ethylene Recycling HC'!X199*'Ethylene Recycling HC'!X$47/'Ethylene Recycling LC'!X$47</f>
        <v>0.30463902724673614</v>
      </c>
      <c r="Y160" s="110">
        <f>'Ethylene Recycling HC'!Y199*'Ethylene Recycling HC'!Y$47/'Ethylene Recycling LC'!Y$47</f>
        <v>0.33269749168284424</v>
      </c>
      <c r="Z160" s="110">
        <f>'Ethylene Recycling HC'!Z199*'Ethylene Recycling HC'!Z$47/'Ethylene Recycling LC'!Z$47</f>
        <v>0.36055692258640482</v>
      </c>
      <c r="AA160" s="110">
        <f>'Ethylene Recycling HC'!AA199*'Ethylene Recycling HC'!AA$47/'Ethylene Recycling LC'!AA$47</f>
        <v>0.38821731995741809</v>
      </c>
      <c r="AB160" s="110">
        <f>'Ethylene Recycling HC'!AB199*'Ethylene Recycling HC'!AB$47/'Ethylene Recycling LC'!AB$47</f>
        <v>0.4156786837958838</v>
      </c>
      <c r="AC160" s="110">
        <f>'Ethylene Recycling HC'!AC199*'Ethylene Recycling HC'!AC$47/'Ethylene Recycling LC'!AC$47</f>
        <v>0.44294101410180214</v>
      </c>
      <c r="AD160" s="110">
        <f>'Ethylene Recycling HC'!AD199*'Ethylene Recycling HC'!AD$47/'Ethylene Recycling LC'!AD$47</f>
        <v>0.47000431087517303</v>
      </c>
      <c r="AE160" s="110">
        <f>'Ethylene Recycling HC'!AE199*'Ethylene Recycling HC'!AE$47/'Ethylene Recycling LC'!AE$47</f>
        <v>0.49686857411599661</v>
      </c>
      <c r="AF160" s="110">
        <f>'Ethylene Recycling HC'!AF199*'Ethylene Recycling HC'!AF$47/'Ethylene Recycling LC'!AF$47</f>
        <v>0.52353380382427273</v>
      </c>
      <c r="AG160" s="110">
        <f>'Ethylene Recycling HC'!AG199*'Ethylene Recycling HC'!AG$47/'Ethylene Recycling LC'!AG$47</f>
        <v>0.55000000000000004</v>
      </c>
      <c r="AI160" s="133" t="s">
        <v>1314</v>
      </c>
      <c r="AJ160" s="211" t="s">
        <v>1349</v>
      </c>
    </row>
    <row r="161" spans="1:63" outlineLevel="1">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I161" s="133"/>
      <c r="AJ161" s="211"/>
    </row>
    <row r="162" spans="1:63" s="1" customFormat="1" outlineLevel="1">
      <c r="A162" s="1" t="s">
        <v>228</v>
      </c>
      <c r="B162" s="65"/>
      <c r="C162" s="300">
        <f>'Ethylene Recycling HC'!C201</f>
        <v>0.11192716725632186</v>
      </c>
      <c r="D162" s="300">
        <f>'Ethylene Recycling HC'!D201</f>
        <v>0.16788928069684539</v>
      </c>
      <c r="E162" s="300">
        <f>'Ethylene Recycling HC'!E201</f>
        <v>0.22653695319615003</v>
      </c>
      <c r="F162" s="300">
        <f>'Ethylene Recycling HC'!F201</f>
        <v>0.28753052219178854</v>
      </c>
      <c r="G162" s="300">
        <f>'Ethylene Recycling HC'!G201</f>
        <v>0.35049298007661572</v>
      </c>
      <c r="H162" s="300">
        <f>'Ethylene Recycling HC'!H201</f>
        <v>0.41501372159137973</v>
      </c>
      <c r="I162" s="300">
        <f>'Ethylene Recycling HC'!I201</f>
        <v>0.48168991855239918</v>
      </c>
      <c r="J162" s="300">
        <f>'Ethylene Recycling HC'!J201</f>
        <v>0.55049292627817148</v>
      </c>
      <c r="K162" s="300">
        <f>'Ethylene Recycling HC'!K201</f>
        <v>0.62138923278154179</v>
      </c>
      <c r="L162" s="300">
        <f>'Ethylene Recycling HC'!L201</f>
        <v>0.69434041014349734</v>
      </c>
      <c r="M162" s="300">
        <f>'Ethylene Recycling HC'!M201</f>
        <v>0.76930307884797655</v>
      </c>
      <c r="N162" s="300">
        <f>'Ethylene Recycling HC'!N201</f>
        <v>0.91596558780270521</v>
      </c>
      <c r="O162" s="300">
        <f>'Ethylene Recycling HC'!O201</f>
        <v>1.0648688463429934</v>
      </c>
      <c r="P162" s="300">
        <f>'Ethylene Recycling HC'!P201</f>
        <v>1.2152305484579735</v>
      </c>
      <c r="Q162" s="300">
        <f>'Ethylene Recycling HC'!Q201</f>
        <v>1.3662387142532544</v>
      </c>
      <c r="R162" s="300">
        <f>'Ethylene Recycling HC'!R201</f>
        <v>1.5170588376963006</v>
      </c>
      <c r="S162" s="300">
        <f>'Ethylene Recycling HC'!S201</f>
        <v>1.6698445401110702</v>
      </c>
      <c r="T162" s="300">
        <f>'Ethylene Recycling HC'!T201</f>
        <v>1.8245633567027792</v>
      </c>
      <c r="U162" s="300">
        <f>'Ethylene Recycling HC'!U201</f>
        <v>1.9811814717840117</v>
      </c>
      <c r="V162" s="300">
        <f>'Ethylene Recycling HC'!V201</f>
        <v>2.139663723799571</v>
      </c>
      <c r="W162" s="300">
        <f>'Ethylene Recycling HC'!W201</f>
        <v>2.2999736114087423</v>
      </c>
      <c r="X162" s="300">
        <f>'Ethylene Recycling HC'!X201</f>
        <v>2.5608457904780475</v>
      </c>
      <c r="Y162" s="300">
        <f>'Ethylene Recycling HC'!Y201</f>
        <v>2.8248052396854488</v>
      </c>
      <c r="Z162" s="300">
        <f>'Ethylene Recycling HC'!Z201</f>
        <v>3.091796771580309</v>
      </c>
      <c r="AA162" s="300">
        <f>'Ethylene Recycling HC'!AA201</f>
        <v>3.3617632094944261</v>
      </c>
      <c r="AB162" s="300">
        <f>'Ethylene Recycling HC'!AB201</f>
        <v>3.6346453981302598</v>
      </c>
      <c r="AC162" s="300">
        <f>'Ethylene Recycling HC'!AC201</f>
        <v>3.9104191852796957</v>
      </c>
      <c r="AD162" s="300">
        <f>'Ethylene Recycling HC'!AD201</f>
        <v>4.1890294493019091</v>
      </c>
      <c r="AE162" s="300">
        <f>'Ethylene Recycling HC'!AE201</f>
        <v>4.4704193006390991</v>
      </c>
      <c r="AF162" s="300">
        <f>'Ethylene Recycling HC'!AF201</f>
        <v>4.7545300926341598</v>
      </c>
      <c r="AG162" s="300">
        <f>'Ethylene Recycling HC'!AG201</f>
        <v>5.0413014335433415</v>
      </c>
      <c r="AH162" s="422"/>
      <c r="AI162" s="423"/>
      <c r="AJ162" s="424"/>
      <c r="AL162" s="221"/>
      <c r="AM162" s="124"/>
      <c r="AN162" s="124"/>
      <c r="AO162" s="124"/>
      <c r="BD162" s="124"/>
      <c r="BE162" s="124"/>
      <c r="BF162" s="124"/>
      <c r="BG162" s="124"/>
      <c r="BH162" s="124"/>
      <c r="BI162" s="124"/>
      <c r="BJ162" s="124"/>
      <c r="BK162" s="124"/>
    </row>
    <row r="163" spans="1:63" outlineLevel="1">
      <c r="A163" s="4" t="s">
        <v>258</v>
      </c>
      <c r="C163" s="230">
        <f>'Ethylene Recycling HC'!C202</f>
        <v>3.9544314164516217E-2</v>
      </c>
      <c r="D163" s="230">
        <f>'Ethylene Recycling HC'!D202</f>
        <v>6.0178873848007311E-2</v>
      </c>
      <c r="E163" s="230">
        <f>'Ethylene Recycling HC'!E202</f>
        <v>8.2365130145039142E-2</v>
      </c>
      <c r="F163" s="230">
        <f>'Ethylene Recycling HC'!F202</f>
        <v>0.1060192514323469</v>
      </c>
      <c r="G163" s="230">
        <f>'Ethylene Recycling HC'!G202</f>
        <v>0.13103646091656423</v>
      </c>
      <c r="H163" s="230">
        <f>'Ethylene Recycling HC'!H202</f>
        <v>0.15729149717219354</v>
      </c>
      <c r="I163" s="230">
        <f>'Ethylene Recycling HC'!I202</f>
        <v>0.18503778747332855</v>
      </c>
      <c r="J163" s="230">
        <f>'Ethylene Recycling HC'!J202</f>
        <v>0.21429741694942006</v>
      </c>
      <c r="K163" s="230">
        <f>'Ethylene Recycling HC'!K202</f>
        <v>0.24508996203958433</v>
      </c>
      <c r="L163" s="230">
        <f>'Ethylene Recycling HC'!L202</f>
        <v>0.27743234597782879</v>
      </c>
      <c r="M163" s="230">
        <f>'Ethylene Recycling HC'!M202</f>
        <v>0.31133869802404746</v>
      </c>
      <c r="N163" s="230">
        <f>'Ethylene Recycling HC'!N202</f>
        <v>0.3754012530688024</v>
      </c>
      <c r="O163" s="230">
        <f>'Ethylene Recycling HC'!O202</f>
        <v>0.44190131881731431</v>
      </c>
      <c r="P163" s="230">
        <f>'Ethylene Recycling HC'!P202</f>
        <v>0.51054478270285408</v>
      </c>
      <c r="Q163" s="230">
        <f>'Ethylene Recycling HC'!Q202</f>
        <v>0.58100882932287845</v>
      </c>
      <c r="R163" s="230">
        <f>'Ethylene Recycling HC'!R202</f>
        <v>0.65294425424539326</v>
      </c>
      <c r="S163" s="230">
        <f>'Ethylene Recycling HC'!S202</f>
        <v>0.72728614883982257</v>
      </c>
      <c r="T163" s="230">
        <f>'Ethylene Recycling HC'!T202</f>
        <v>0.80405051469943178</v>
      </c>
      <c r="U163" s="230">
        <f>'Ethylene Recycling HC'!U202</f>
        <v>0.88325208370748898</v>
      </c>
      <c r="V163" s="230">
        <f>'Ethylene Recycling HC'!V202</f>
        <v>0.96490428558649699</v>
      </c>
      <c r="W163" s="230">
        <f>'Ethylene Recycling HC'!W202</f>
        <v>1.0490192160846719</v>
      </c>
      <c r="X163" s="230">
        <f>'Ethylene Recycling HC'!X202</f>
        <v>1.1811654658316526</v>
      </c>
      <c r="Y163" s="230">
        <f>'Ethylene Recycling HC'!Y202</f>
        <v>1.3174332335003476</v>
      </c>
      <c r="Z163" s="230">
        <f>'Ethylene Recycling HC'!Z202</f>
        <v>1.4578441012148891</v>
      </c>
      <c r="AA163" s="230">
        <f>'Ethylene Recycling HC'!AA202</f>
        <v>1.6024175683032373</v>
      </c>
      <c r="AB163" s="230">
        <f>'Ethylene Recycling HC'!AB202</f>
        <v>1.7511710052774028</v>
      </c>
      <c r="AC163" s="230">
        <f>'Ethylene Recycling HC'!AC202</f>
        <v>1.9041376108444721</v>
      </c>
      <c r="AD163" s="230">
        <f>'Ethylene Recycling HC'!AD202</f>
        <v>2.0613348477407349</v>
      </c>
      <c r="AE163" s="230">
        <f>'Ethylene Recycling HC'!AE202</f>
        <v>2.2227781663972621</v>
      </c>
      <c r="AF163" s="230">
        <f>'Ethylene Recycling HC'!AF202</f>
        <v>2.3884809649403151</v>
      </c>
      <c r="AG163" s="230">
        <f>'Ethylene Recycling HC'!AG202</f>
        <v>2.5584545501318146</v>
      </c>
      <c r="AH163" s="245"/>
      <c r="AI163" s="133"/>
      <c r="AJ163" s="211"/>
      <c r="AL163" s="108"/>
      <c r="AM163" s="2"/>
      <c r="AN163" s="2"/>
      <c r="AO163" s="2"/>
      <c r="BC163" s="1"/>
      <c r="BD163" s="2"/>
      <c r="BE163" s="2"/>
      <c r="BF163" s="2"/>
      <c r="BG163" s="2"/>
      <c r="BH163" s="2"/>
      <c r="BI163" s="2"/>
      <c r="BJ163" s="2"/>
      <c r="BK163" s="2"/>
    </row>
    <row r="164" spans="1:63" outlineLevel="1">
      <c r="A164" s="4" t="s">
        <v>478</v>
      </c>
      <c r="C164" s="230">
        <f>'Ethylene Recycling HC'!C203</f>
        <v>2.0434829407324192E-3</v>
      </c>
      <c r="D164" s="230">
        <f>'Ethylene Recycling HC'!D203</f>
        <v>3.3446143926125515E-3</v>
      </c>
      <c r="E164" s="230">
        <f>'Ethylene Recycling HC'!E203</f>
        <v>4.8899905133254137E-3</v>
      </c>
      <c r="F164" s="230">
        <f>'Ethylene Recycling HC'!F203</f>
        <v>6.6851227683696769E-3</v>
      </c>
      <c r="G164" s="230">
        <f>'Ethylene Recycling HC'!G203</f>
        <v>8.732331001899761E-3</v>
      </c>
      <c r="H164" s="230">
        <f>'Ethylene Recycling HC'!H203</f>
        <v>1.1030532272277063E-2</v>
      </c>
      <c r="I164" s="230">
        <f>'Ethylene Recycling HC'!I203</f>
        <v>1.3604372826584733E-2</v>
      </c>
      <c r="J164" s="230">
        <f>'Ethylene Recycling HC'!J203</f>
        <v>1.6463757902864553E-2</v>
      </c>
      <c r="K164" s="230">
        <f>'Ethylene Recycling HC'!K203</f>
        <v>1.961824837808003E-2</v>
      </c>
      <c r="L164" s="230">
        <f>'Ethylene Recycling HC'!L203</f>
        <v>2.3077018648886796E-2</v>
      </c>
      <c r="M164" s="230">
        <f>'Ethylene Recycling HC'!M203</f>
        <v>2.6848814479175472E-2</v>
      </c>
      <c r="N164" s="230">
        <f>'Ethylene Recycling HC'!N203</f>
        <v>3.3491796563460775E-2</v>
      </c>
      <c r="O164" s="230">
        <f>'Ethylene Recycling HC'!O203</f>
        <v>4.0708618275816885E-2</v>
      </c>
      <c r="P164" s="230">
        <f>'Ethylene Recycling HC'!P203</f>
        <v>4.8479258825989982E-2</v>
      </c>
      <c r="Q164" s="230">
        <f>'Ethylene Recycling HC'!Q203</f>
        <v>5.6777256312632876E-2</v>
      </c>
      <c r="R164" s="230">
        <f>'Ethylene Recycling HC'!R203</f>
        <v>6.5569769730509972E-2</v>
      </c>
      <c r="S164" s="230">
        <f>'Ethylene Recycling HC'!S203</f>
        <v>7.4952527506399524E-2</v>
      </c>
      <c r="T164" s="230">
        <f>'Ethylene Recycling HC'!T203</f>
        <v>8.4933832290195035E-2</v>
      </c>
      <c r="U164" s="230">
        <f>'Ethylene Recycling HC'!U203</f>
        <v>9.5521705475534707E-2</v>
      </c>
      <c r="V164" s="230">
        <f>'Ethylene Recycling HC'!V203</f>
        <v>0.10672387620903458</v>
      </c>
      <c r="W164" s="230">
        <f>'Ethylene Recycling HC'!W203</f>
        <v>0.11854777050420083</v>
      </c>
      <c r="X164" s="230">
        <f>'Ethylene Recycling HC'!X203</f>
        <v>0.13625592710824422</v>
      </c>
      <c r="Y164" s="230">
        <f>'Ethylene Recycling HC'!Y203</f>
        <v>0.15500182250022174</v>
      </c>
      <c r="Z164" s="230">
        <f>'Ethylene Recycling HC'!Z203</f>
        <v>0.17479775096268077</v>
      </c>
      <c r="AA164" s="230">
        <f>'Ethylene Recycling HC'!AA203</f>
        <v>0.19565552361299279</v>
      </c>
      <c r="AB164" s="230">
        <f>'Ethylene Recycling HC'!AB203</f>
        <v>0.21758645248401653</v>
      </c>
      <c r="AC164" s="230">
        <f>'Ethylene Recycling HC'!AC203</f>
        <v>0.24060360950176984</v>
      </c>
      <c r="AD164" s="230">
        <f>'Ethylene Recycling HC'!AD203</f>
        <v>0.26471794875106608</v>
      </c>
      <c r="AE164" s="230">
        <f>'Ethylene Recycling HC'!AE203</f>
        <v>0.28993994270008161</v>
      </c>
      <c r="AF164" s="230">
        <f>'Ethylene Recycling HC'!AF203</f>
        <v>0.3162795682083141</v>
      </c>
      <c r="AG164" s="230">
        <f>'Ethylene Recycling HC'!AG203</f>
        <v>0.34374629272404422</v>
      </c>
      <c r="AH164" s="245"/>
      <c r="AI164" s="133"/>
      <c r="AJ164" s="211"/>
      <c r="AL164" s="108"/>
      <c r="AM164" s="2"/>
      <c r="AN164" s="2"/>
      <c r="AO164" s="2"/>
      <c r="BC164" s="1"/>
      <c r="BD164" s="2"/>
      <c r="BE164" s="2"/>
      <c r="BF164" s="2"/>
      <c r="BG164" s="2"/>
      <c r="BH164" s="2"/>
      <c r="BI164" s="2"/>
      <c r="BJ164" s="2"/>
      <c r="BK164" s="2"/>
    </row>
    <row r="165" spans="1:63" outlineLevel="1">
      <c r="A165" s="4" t="s">
        <v>480</v>
      </c>
      <c r="C165" s="230">
        <f>'Ethylene Recycling HC'!C204</f>
        <v>7.0182032031055247E-2</v>
      </c>
      <c r="D165" s="230">
        <f>'Ethylene Recycling HC'!D204</f>
        <v>0.104105380084316</v>
      </c>
      <c r="E165" s="230">
        <f>'Ethylene Recycling HC'!E204</f>
        <v>0.13889751871484449</v>
      </c>
      <c r="F165" s="230">
        <f>'Ethylene Recycling HC'!F204</f>
        <v>0.17429655986903525</v>
      </c>
      <c r="G165" s="230">
        <f>'Ethylene Recycling HC'!G204</f>
        <v>0.21002767896976768</v>
      </c>
      <c r="H165" s="230">
        <f>'Ethylene Recycling HC'!H204</f>
        <v>0.24580663208934356</v>
      </c>
      <c r="I165" s="230">
        <f>'Ethylene Recycling HC'!I204</f>
        <v>0.28195047756027763</v>
      </c>
      <c r="J165" s="230">
        <f>'Ethylene Recycling HC'!J204</f>
        <v>0.31839770968825315</v>
      </c>
      <c r="K165" s="230">
        <f>'Ethylene Recycling HC'!K204</f>
        <v>0.35508483768465948</v>
      </c>
      <c r="L165" s="230">
        <f>'Ethylene Recycling HC'!L204</f>
        <v>0.39194652734434193</v>
      </c>
      <c r="M165" s="230">
        <f>'Ethylene Recycling HC'!M204</f>
        <v>0.42891575197717613</v>
      </c>
      <c r="N165" s="230">
        <f>'Ethylene Recycling HC'!N204</f>
        <v>0.50432018341223406</v>
      </c>
      <c r="O165" s="230">
        <f>'Ethylene Recycling HC'!O204</f>
        <v>0.57890431244924878</v>
      </c>
      <c r="P165" s="230">
        <f>'Ethylene Recycling HC'!P204</f>
        <v>0.65220156735751633</v>
      </c>
      <c r="Q165" s="230">
        <f>'Ethylene Recycling HC'!Q204</f>
        <v>0.72375140349505085</v>
      </c>
      <c r="R165" s="230">
        <f>'Ethylene Recycling HC'!R204</f>
        <v>0.79310407117541348</v>
      </c>
      <c r="S165" s="230">
        <f>'Ethylene Recycling HC'!S204</f>
        <v>0.8613744171556692</v>
      </c>
      <c r="T165" s="230">
        <f>'Ethylene Recycling HC'!T204</f>
        <v>0.92850494101751802</v>
      </c>
      <c r="U165" s="230">
        <f>'Ethylene Recycling HC'!U204</f>
        <v>0.9944383667288077</v>
      </c>
      <c r="V165" s="230">
        <f>'Ethylene Recycling HC'!V204</f>
        <v>1.0591176920709213</v>
      </c>
      <c r="W165" s="230">
        <f>'Ethylene Recycling HC'!W204</f>
        <v>1.1224862383727057</v>
      </c>
      <c r="X165" s="230">
        <f>'Ethylene Recycling HC'!X204</f>
        <v>1.2320065129365607</v>
      </c>
      <c r="Y165" s="230">
        <f>'Ethylene Recycling HC'!Y204</f>
        <v>1.3393647374028637</v>
      </c>
      <c r="Z165" s="230">
        <f>'Ethylene Recycling HC'!Z204</f>
        <v>1.4444707635659131</v>
      </c>
      <c r="AA165" s="230">
        <f>'Ethylene Recycling HC'!AA204</f>
        <v>1.5472350617925212</v>
      </c>
      <c r="AB165" s="230">
        <f>'Ethylene Recycling HC'!AB204</f>
        <v>1.6475687949419215</v>
      </c>
      <c r="AC165" s="230">
        <f>'Ethylene Recycling HC'!AC204</f>
        <v>1.7454003937644942</v>
      </c>
      <c r="AD165" s="230">
        <f>'Ethylene Recycling HC'!AD204</f>
        <v>1.8406453525295972</v>
      </c>
      <c r="AE165" s="230">
        <f>'Ethylene Recycling HC'!AE204</f>
        <v>1.9332199332467705</v>
      </c>
      <c r="AF165" s="230">
        <f>'Ethylene Recycling HC'!AF204</f>
        <v>2.0230412316993034</v>
      </c>
      <c r="AG165" s="230">
        <f>'Ethylene Recycling HC'!AG204</f>
        <v>2.1100272435268934</v>
      </c>
      <c r="AH165" s="245"/>
      <c r="AI165" s="133"/>
      <c r="AJ165" s="211"/>
      <c r="AL165" s="108"/>
      <c r="AM165" s="2"/>
      <c r="AN165" s="2"/>
      <c r="AO165" s="2"/>
      <c r="BC165" s="1"/>
      <c r="BD165" s="2"/>
      <c r="BE165" s="2"/>
      <c r="BF165" s="2"/>
      <c r="BG165" s="2"/>
      <c r="BH165" s="2"/>
      <c r="BI165" s="2"/>
      <c r="BJ165" s="2"/>
      <c r="BK165" s="2"/>
    </row>
    <row r="166" spans="1:63" outlineLevel="1">
      <c r="A166" s="4" t="s">
        <v>474</v>
      </c>
      <c r="C166" s="230">
        <f>'Ethylene Recycling HC'!C205</f>
        <v>0</v>
      </c>
      <c r="D166" s="230">
        <f>'Ethylene Recycling HC'!D205</f>
        <v>0</v>
      </c>
      <c r="E166" s="230">
        <f>'Ethylene Recycling HC'!E205</f>
        <v>0</v>
      </c>
      <c r="F166" s="230">
        <f>'Ethylene Recycling HC'!F205</f>
        <v>0</v>
      </c>
      <c r="G166" s="230">
        <f>'Ethylene Recycling HC'!G205</f>
        <v>0</v>
      </c>
      <c r="H166" s="230">
        <f>'Ethylene Recycling HC'!H205</f>
        <v>0</v>
      </c>
      <c r="I166" s="230">
        <f>'Ethylene Recycling HC'!I205</f>
        <v>0</v>
      </c>
      <c r="J166" s="230">
        <f>'Ethylene Recycling HC'!J205</f>
        <v>0</v>
      </c>
      <c r="K166" s="230">
        <f>'Ethylene Recycling HC'!K205</f>
        <v>0</v>
      </c>
      <c r="L166" s="230">
        <f>'Ethylene Recycling HC'!L205</f>
        <v>0</v>
      </c>
      <c r="M166" s="230">
        <f>'Ethylene Recycling HC'!M205</f>
        <v>0</v>
      </c>
      <c r="N166" s="230">
        <f>'Ethylene Recycling HC'!N205</f>
        <v>0</v>
      </c>
      <c r="O166" s="230">
        <f>'Ethylene Recycling HC'!O205</f>
        <v>0</v>
      </c>
      <c r="P166" s="230">
        <f>'Ethylene Recycling HC'!P205</f>
        <v>0</v>
      </c>
      <c r="Q166" s="230">
        <f>'Ethylene Recycling HC'!Q205</f>
        <v>0</v>
      </c>
      <c r="R166" s="230">
        <f>'Ethylene Recycling HC'!R205</f>
        <v>0</v>
      </c>
      <c r="S166" s="230">
        <f>'Ethylene Recycling HC'!S205</f>
        <v>0</v>
      </c>
      <c r="T166" s="230">
        <f>'Ethylene Recycling HC'!T205</f>
        <v>0</v>
      </c>
      <c r="U166" s="230">
        <f>'Ethylene Recycling HC'!U205</f>
        <v>0</v>
      </c>
      <c r="V166" s="230">
        <f>'Ethylene Recycling HC'!V205</f>
        <v>0</v>
      </c>
      <c r="W166" s="230">
        <f>'Ethylene Recycling HC'!W205</f>
        <v>0</v>
      </c>
      <c r="X166" s="230">
        <f>'Ethylene Recycling HC'!X205</f>
        <v>0</v>
      </c>
      <c r="Y166" s="230">
        <f>'Ethylene Recycling HC'!Y205</f>
        <v>0</v>
      </c>
      <c r="Z166" s="230">
        <f>'Ethylene Recycling HC'!Z205</f>
        <v>0</v>
      </c>
      <c r="AA166" s="230">
        <f>'Ethylene Recycling HC'!AA205</f>
        <v>0</v>
      </c>
      <c r="AB166" s="230">
        <f>'Ethylene Recycling HC'!AB205</f>
        <v>0</v>
      </c>
      <c r="AC166" s="230">
        <f>'Ethylene Recycling HC'!AC205</f>
        <v>0</v>
      </c>
      <c r="AD166" s="230">
        <f>'Ethylene Recycling HC'!AD205</f>
        <v>0</v>
      </c>
      <c r="AE166" s="230">
        <f>'Ethylene Recycling HC'!AE205</f>
        <v>0</v>
      </c>
      <c r="AF166" s="230">
        <f>'Ethylene Recycling HC'!AF205</f>
        <v>0</v>
      </c>
      <c r="AG166" s="230">
        <f>'Ethylene Recycling HC'!AG205</f>
        <v>0</v>
      </c>
      <c r="AH166" s="245"/>
      <c r="AI166" s="133"/>
      <c r="AJ166" s="211"/>
      <c r="AL166" s="108"/>
      <c r="AM166" s="2"/>
      <c r="AN166" s="2"/>
      <c r="AO166" s="2"/>
      <c r="BC166" s="1"/>
      <c r="BD166" s="2"/>
      <c r="BE166" s="2"/>
      <c r="BF166" s="2"/>
      <c r="BG166" s="2"/>
      <c r="BH166" s="2"/>
      <c r="BI166" s="2"/>
      <c r="BJ166" s="2"/>
      <c r="BK166" s="2"/>
    </row>
    <row r="167" spans="1:63" outlineLevel="1">
      <c r="A167" s="4" t="s">
        <v>248</v>
      </c>
      <c r="C167" s="230">
        <f>'Ethylene Recycling HC'!C206</f>
        <v>1.5733812001796906E-4</v>
      </c>
      <c r="D167" s="230">
        <f>'Ethylene Recycling HC'!D206</f>
        <v>2.6041237190952652E-4</v>
      </c>
      <c r="E167" s="230">
        <f>'Ethylene Recycling HC'!E206</f>
        <v>3.8431382294099649E-4</v>
      </c>
      <c r="F167" s="230">
        <f>'Ethylene Recycling HC'!F206</f>
        <v>5.2958812203671613E-4</v>
      </c>
      <c r="G167" s="230">
        <f>'Ethylene Recycling HC'!G206</f>
        <v>6.9650918838405575E-4</v>
      </c>
      <c r="H167" s="230">
        <f>'Ethylene Recycling HC'!H206</f>
        <v>8.8506005756557168E-4</v>
      </c>
      <c r="I167" s="230">
        <f>'Ethylene Recycling HC'!I206</f>
        <v>1.0972806922082677E-3</v>
      </c>
      <c r="J167" s="230">
        <f>'Ethylene Recycling HC'!J206</f>
        <v>1.3340417376337707E-3</v>
      </c>
      <c r="K167" s="230">
        <f>'Ethylene Recycling HC'!K206</f>
        <v>1.5961846792179833E-3</v>
      </c>
      <c r="L167" s="230">
        <f>'Ethylene Recycling HC'!L206</f>
        <v>1.8845181724399154E-3</v>
      </c>
      <c r="M167" s="230">
        <f>'Ethylene Recycling HC'!M206</f>
        <v>2.1998143675775799E-3</v>
      </c>
      <c r="N167" s="230">
        <f>'Ethylene Recycling HC'!N206</f>
        <v>2.7523547582080877E-3</v>
      </c>
      <c r="O167" s="230">
        <f>'Ethylene Recycling HC'!O206</f>
        <v>3.3545968006135894E-3</v>
      </c>
      <c r="P167" s="230">
        <f>'Ethylene Recycling HC'!P206</f>
        <v>4.004939571613228E-3</v>
      </c>
      <c r="Q167" s="230">
        <f>'Ethylene Recycling HC'!Q206</f>
        <v>4.7012251226924316E-3</v>
      </c>
      <c r="R167" s="230">
        <f>'Ethylene Recycling HC'!R206</f>
        <v>5.4407425449840762E-3</v>
      </c>
      <c r="S167" s="230">
        <f>'Ethylene Recycling HC'!S206</f>
        <v>6.2314466091791696E-3</v>
      </c>
      <c r="T167" s="230">
        <f>'Ethylene Recycling HC'!T206</f>
        <v>7.0740686956347037E-3</v>
      </c>
      <c r="U167" s="230">
        <f>'Ethylene Recycling HC'!U206</f>
        <v>7.9693158721806569E-3</v>
      </c>
      <c r="V167" s="230">
        <f>'Ethylene Recycling HC'!V206</f>
        <v>8.9178699331186415E-3</v>
      </c>
      <c r="W167" s="230">
        <f>'Ethylene Recycling HC'!W206</f>
        <v>9.920386447164458E-3</v>
      </c>
      <c r="X167" s="230">
        <f>'Ethylene Recycling HC'!X206</f>
        <v>1.1417884601590515E-2</v>
      </c>
      <c r="Y167" s="230">
        <f>'Ethylene Recycling HC'!Y206</f>
        <v>1.3005446282016551E-2</v>
      </c>
      <c r="Z167" s="230">
        <f>'Ethylene Recycling HC'!Z206</f>
        <v>1.4684155836826748E-2</v>
      </c>
      <c r="AA167" s="230">
        <f>'Ethylene Recycling HC'!AA206</f>
        <v>1.6455055785675469E-2</v>
      </c>
      <c r="AB167" s="230">
        <f>'Ethylene Recycling HC'!AB206</f>
        <v>1.8319145426919963E-2</v>
      </c>
      <c r="AC167" s="230">
        <f>'Ethylene Recycling HC'!AC206</f>
        <v>2.0277571168960579E-2</v>
      </c>
      <c r="AD167" s="230">
        <f>'Ethylene Recycling HC'!AD206</f>
        <v>2.2331300280512313E-2</v>
      </c>
      <c r="AE167" s="230">
        <f>'Ethylene Recycling HC'!AE206</f>
        <v>2.4481258294986014E-2</v>
      </c>
      <c r="AF167" s="230">
        <f>'Ethylene Recycling HC'!AF206</f>
        <v>2.6728327786228287E-2</v>
      </c>
      <c r="AG167" s="230">
        <f>'Ethylene Recycling HC'!AG206</f>
        <v>2.9073347160588806E-2</v>
      </c>
      <c r="AH167" s="245"/>
      <c r="AI167" s="133"/>
      <c r="AJ167" s="211"/>
      <c r="AL167" s="108"/>
      <c r="AM167" s="2"/>
      <c r="AN167" s="2"/>
      <c r="AO167" s="2"/>
      <c r="BC167" s="1"/>
      <c r="BD167" s="2"/>
      <c r="BE167" s="2"/>
      <c r="BF167" s="2"/>
      <c r="BG167" s="2"/>
      <c r="BH167" s="2"/>
      <c r="BI167" s="2"/>
      <c r="BJ167" s="2"/>
      <c r="BK167" s="2"/>
    </row>
    <row r="168" spans="1:63" outlineLevel="1">
      <c r="AJ168" s="211"/>
    </row>
    <row r="169" spans="1:63" s="200" customFormat="1" ht="16" thickBot="1">
      <c r="A169" s="200" t="s">
        <v>1351</v>
      </c>
      <c r="B169" s="215"/>
      <c r="C169" s="224">
        <f>C170</f>
        <v>0.05</v>
      </c>
      <c r="D169" s="224">
        <f t="shared" ref="D169:AG169" si="31">D170</f>
        <v>5.2260994000770548E-2</v>
      </c>
      <c r="E169" s="224">
        <f t="shared" si="31"/>
        <v>5.4521988001541094E-2</v>
      </c>
      <c r="F169" s="224">
        <f t="shared" si="31"/>
        <v>5.6782982002311633E-2</v>
      </c>
      <c r="G169" s="224">
        <f t="shared" si="31"/>
        <v>5.9043976003082178E-2</v>
      </c>
      <c r="H169" s="224">
        <f t="shared" si="31"/>
        <v>6.1304970003852724E-2</v>
      </c>
      <c r="I169" s="224">
        <f t="shared" si="31"/>
        <v>6.3565964004623277E-2</v>
      </c>
      <c r="J169" s="224">
        <f t="shared" si="31"/>
        <v>6.5826958005393815E-2</v>
      </c>
      <c r="K169" s="224">
        <f t="shared" si="31"/>
        <v>6.8087952006164354E-2</v>
      </c>
      <c r="L169" s="224">
        <f t="shared" si="31"/>
        <v>7.0348946006934907E-2</v>
      </c>
      <c r="M169" s="224">
        <f t="shared" si="31"/>
        <v>7.2609940007705445E-2</v>
      </c>
      <c r="N169" s="224">
        <f t="shared" si="31"/>
        <v>7.7375419670867973E-2</v>
      </c>
      <c r="O169" s="224">
        <f t="shared" si="31"/>
        <v>8.2140899334030501E-2</v>
      </c>
      <c r="P169" s="224">
        <f t="shared" si="31"/>
        <v>8.6906378997193029E-2</v>
      </c>
      <c r="Q169" s="224">
        <f t="shared" si="31"/>
        <v>9.1671858660355557E-2</v>
      </c>
      <c r="R169" s="224">
        <f t="shared" si="31"/>
        <v>9.6437338323518085E-2</v>
      </c>
      <c r="S169" s="224">
        <f t="shared" si="31"/>
        <v>0.10120281798668061</v>
      </c>
      <c r="T169" s="224">
        <f t="shared" si="31"/>
        <v>0.10596829764984315</v>
      </c>
      <c r="U169" s="224">
        <f t="shared" si="31"/>
        <v>0.11073377731300567</v>
      </c>
      <c r="V169" s="224">
        <f t="shared" si="31"/>
        <v>0.11549925697616818</v>
      </c>
      <c r="W169" s="224">
        <f t="shared" si="31"/>
        <v>0.12026473663933072</v>
      </c>
      <c r="X169" s="224">
        <f t="shared" si="31"/>
        <v>0.12823826297539764</v>
      </c>
      <c r="Y169" s="224">
        <f t="shared" si="31"/>
        <v>0.13621178931146458</v>
      </c>
      <c r="Z169" s="224">
        <f t="shared" si="31"/>
        <v>0.14418531564753151</v>
      </c>
      <c r="AA169" s="224">
        <f t="shared" si="31"/>
        <v>0.15215884198359844</v>
      </c>
      <c r="AB169" s="224">
        <f t="shared" si="31"/>
        <v>0.16013236831966537</v>
      </c>
      <c r="AC169" s="224">
        <f t="shared" si="31"/>
        <v>0.16810589465573231</v>
      </c>
      <c r="AD169" s="224">
        <f t="shared" si="31"/>
        <v>0.17607942099179924</v>
      </c>
      <c r="AE169" s="224">
        <f t="shared" si="31"/>
        <v>0.18405294732786615</v>
      </c>
      <c r="AF169" s="224">
        <f t="shared" si="31"/>
        <v>0.19202647366393308</v>
      </c>
      <c r="AG169" s="224">
        <f t="shared" si="31"/>
        <v>0.19999999999999998</v>
      </c>
      <c r="AJ169" s="231" t="s">
        <v>1331</v>
      </c>
      <c r="AL169" s="217"/>
      <c r="AM169" s="225"/>
      <c r="AN169" s="225"/>
      <c r="AO169" s="225"/>
    </row>
    <row r="170" spans="1:63" ht="17" outlineLevel="2" thickTop="1">
      <c r="A170" t="s">
        <v>1352</v>
      </c>
      <c r="B170" s="54" t="s">
        <v>462</v>
      </c>
      <c r="C170" s="110">
        <f>'Ethylene Recycling HC'!C209*'Ethylene Recycling HC'!C$49/'Ethylene Recycling LC'!C$49</f>
        <v>0.05</v>
      </c>
      <c r="D170" s="110">
        <f>'Ethylene Recycling HC'!D209*'Ethylene Recycling HC'!D$49/'Ethylene Recycling LC'!D$49</f>
        <v>5.2260994000770548E-2</v>
      </c>
      <c r="E170" s="110">
        <f>'Ethylene Recycling HC'!E209*'Ethylene Recycling HC'!E$49/'Ethylene Recycling LC'!E$49</f>
        <v>5.4521988001541094E-2</v>
      </c>
      <c r="F170" s="110">
        <f>'Ethylene Recycling HC'!F209*'Ethylene Recycling HC'!F$49/'Ethylene Recycling LC'!F$49</f>
        <v>5.6782982002311633E-2</v>
      </c>
      <c r="G170" s="110">
        <f>'Ethylene Recycling HC'!G209*'Ethylene Recycling HC'!G$49/'Ethylene Recycling LC'!G$49</f>
        <v>5.9043976003082178E-2</v>
      </c>
      <c r="H170" s="110">
        <f>'Ethylene Recycling HC'!H209*'Ethylene Recycling HC'!H$49/'Ethylene Recycling LC'!H$49</f>
        <v>6.1304970003852724E-2</v>
      </c>
      <c r="I170" s="110">
        <f>'Ethylene Recycling HC'!I209*'Ethylene Recycling HC'!I$49/'Ethylene Recycling LC'!I$49</f>
        <v>6.3565964004623277E-2</v>
      </c>
      <c r="J170" s="110">
        <f>'Ethylene Recycling HC'!J209*'Ethylene Recycling HC'!J$49/'Ethylene Recycling LC'!J$49</f>
        <v>6.5826958005393815E-2</v>
      </c>
      <c r="K170" s="110">
        <f>'Ethylene Recycling HC'!K209*'Ethylene Recycling HC'!K$49/'Ethylene Recycling LC'!K$49</f>
        <v>6.8087952006164354E-2</v>
      </c>
      <c r="L170" s="110">
        <f>'Ethylene Recycling HC'!L209*'Ethylene Recycling HC'!L$49/'Ethylene Recycling LC'!L$49</f>
        <v>7.0348946006934907E-2</v>
      </c>
      <c r="M170" s="110">
        <f>'Ethylene Recycling HC'!M209*'Ethylene Recycling HC'!M$49/'Ethylene Recycling LC'!M$49</f>
        <v>7.2609940007705445E-2</v>
      </c>
      <c r="N170" s="110">
        <f>'Ethylene Recycling HC'!N209*'Ethylene Recycling HC'!N$49/'Ethylene Recycling LC'!N$49</f>
        <v>7.7375419670867973E-2</v>
      </c>
      <c r="O170" s="110">
        <f>'Ethylene Recycling HC'!O209*'Ethylene Recycling HC'!O$49/'Ethylene Recycling LC'!O$49</f>
        <v>8.2140899334030501E-2</v>
      </c>
      <c r="P170" s="110">
        <f>'Ethylene Recycling HC'!P209*'Ethylene Recycling HC'!P$49/'Ethylene Recycling LC'!P$49</f>
        <v>8.6906378997193029E-2</v>
      </c>
      <c r="Q170" s="110">
        <f>'Ethylene Recycling HC'!Q209*'Ethylene Recycling HC'!Q$49/'Ethylene Recycling LC'!Q$49</f>
        <v>9.1671858660355557E-2</v>
      </c>
      <c r="R170" s="110">
        <f>'Ethylene Recycling HC'!R209*'Ethylene Recycling HC'!R$49/'Ethylene Recycling LC'!R$49</f>
        <v>9.6437338323518085E-2</v>
      </c>
      <c r="S170" s="110">
        <f>'Ethylene Recycling HC'!S209*'Ethylene Recycling HC'!S$49/'Ethylene Recycling LC'!S$49</f>
        <v>0.10120281798668061</v>
      </c>
      <c r="T170" s="110">
        <f>'Ethylene Recycling HC'!T209*'Ethylene Recycling HC'!T$49/'Ethylene Recycling LC'!T$49</f>
        <v>0.10596829764984315</v>
      </c>
      <c r="U170" s="110">
        <f>'Ethylene Recycling HC'!U209*'Ethylene Recycling HC'!U$49/'Ethylene Recycling LC'!U$49</f>
        <v>0.11073377731300567</v>
      </c>
      <c r="V170" s="110">
        <f>'Ethylene Recycling HC'!V209*'Ethylene Recycling HC'!V$49/'Ethylene Recycling LC'!V$49</f>
        <v>0.11549925697616818</v>
      </c>
      <c r="W170" s="110">
        <f>'Ethylene Recycling HC'!W209*'Ethylene Recycling HC'!W$49/'Ethylene Recycling LC'!W$49</f>
        <v>0.12026473663933072</v>
      </c>
      <c r="X170" s="110">
        <f>'Ethylene Recycling HC'!X209*'Ethylene Recycling HC'!X$49/'Ethylene Recycling LC'!X$49</f>
        <v>0.12823826297539764</v>
      </c>
      <c r="Y170" s="110">
        <f>'Ethylene Recycling HC'!Y209*'Ethylene Recycling HC'!Y$49/'Ethylene Recycling LC'!Y$49</f>
        <v>0.13621178931146458</v>
      </c>
      <c r="Z170" s="110">
        <f>'Ethylene Recycling HC'!Z209*'Ethylene Recycling HC'!Z$49/'Ethylene Recycling LC'!Z$49</f>
        <v>0.14418531564753151</v>
      </c>
      <c r="AA170" s="110">
        <f>'Ethylene Recycling HC'!AA209*'Ethylene Recycling HC'!AA$49/'Ethylene Recycling LC'!AA$49</f>
        <v>0.15215884198359844</v>
      </c>
      <c r="AB170" s="110">
        <f>'Ethylene Recycling HC'!AB209*'Ethylene Recycling HC'!AB$49/'Ethylene Recycling LC'!AB$49</f>
        <v>0.16013236831966537</v>
      </c>
      <c r="AC170" s="110">
        <f>'Ethylene Recycling HC'!AC209*'Ethylene Recycling HC'!AC$49/'Ethylene Recycling LC'!AC$49</f>
        <v>0.16810589465573231</v>
      </c>
      <c r="AD170" s="110">
        <f>'Ethylene Recycling HC'!AD209*'Ethylene Recycling HC'!AD$49/'Ethylene Recycling LC'!AD$49</f>
        <v>0.17607942099179924</v>
      </c>
      <c r="AE170" s="110">
        <f>'Ethylene Recycling HC'!AE209*'Ethylene Recycling HC'!AE$49/'Ethylene Recycling LC'!AE$49</f>
        <v>0.18405294732786615</v>
      </c>
      <c r="AF170" s="110">
        <f>'Ethylene Recycling HC'!AF209*'Ethylene Recycling HC'!AF$49/'Ethylene Recycling LC'!AF$49</f>
        <v>0.19202647366393308</v>
      </c>
      <c r="AG170" s="110">
        <f>'Ethylene Recycling HC'!AG209*'Ethylene Recycling HC'!AG$49/'Ethylene Recycling LC'!AG$49</f>
        <v>0.19999999999999998</v>
      </c>
      <c r="AI170" s="133" t="s">
        <v>1314</v>
      </c>
      <c r="AJ170" s="211" t="s">
        <v>1353</v>
      </c>
    </row>
    <row r="171" spans="1:63" outlineLevel="2">
      <c r="C171" s="113"/>
      <c r="D171" s="110"/>
      <c r="E171" s="110"/>
      <c r="F171" s="110"/>
      <c r="G171" s="110"/>
      <c r="H171" s="110"/>
      <c r="I171" s="110"/>
      <c r="J171" s="110"/>
      <c r="K171" s="110"/>
      <c r="L171" s="110"/>
      <c r="M171" s="121"/>
      <c r="N171" s="121"/>
      <c r="O171" s="121"/>
      <c r="P171" s="121"/>
      <c r="Q171" s="121"/>
      <c r="R171" s="121"/>
      <c r="S171" s="121"/>
      <c r="T171" s="121"/>
      <c r="U171" s="121"/>
      <c r="V171" s="121"/>
      <c r="W171" s="121"/>
      <c r="X171" s="23"/>
      <c r="Y171" s="23"/>
      <c r="Z171" s="23"/>
      <c r="AA171" s="23"/>
      <c r="AB171" s="23"/>
      <c r="AC171" s="23"/>
      <c r="AD171" s="23"/>
      <c r="AE171" s="23"/>
      <c r="AF171" s="23"/>
      <c r="AG171" s="106"/>
      <c r="AJ171" s="211"/>
    </row>
    <row r="172" spans="1:63" s="1" customFormat="1" outlineLevel="1">
      <c r="A172" s="1" t="s">
        <v>228</v>
      </c>
      <c r="B172" s="65"/>
      <c r="C172" s="300">
        <f>'Ethylene Recycling HC'!C214</f>
        <v>1.4045884056601057</v>
      </c>
      <c r="D172" s="300">
        <f>'Ethylene Recycling HC'!D214</f>
        <v>1.5173167632919757</v>
      </c>
      <c r="E172" s="300">
        <f>'Ethylene Recycling HC'!E214</f>
        <v>1.6317477628638877</v>
      </c>
      <c r="F172" s="300">
        <f>'Ethylene Recycling HC'!F214</f>
        <v>1.7472147256968018</v>
      </c>
      <c r="G172" s="300">
        <f>'Ethylene Recycling HC'!G214</f>
        <v>1.8630099397039381</v>
      </c>
      <c r="H172" s="300">
        <f>'Ethylene Recycling HC'!H214</f>
        <v>1.9783916546444935</v>
      </c>
      <c r="I172" s="300">
        <f>'Ethylene Recycling HC'!I214</f>
        <v>2.0971065289728688</v>
      </c>
      <c r="J172" s="300">
        <f>'Ethylene Recycling HC'!J214</f>
        <v>2.2191206966695929</v>
      </c>
      <c r="K172" s="300">
        <f>'Ethylene Recycling HC'!K214</f>
        <v>2.344393271874087</v>
      </c>
      <c r="L172" s="300">
        <f>'Ethylene Recycling HC'!L214</f>
        <v>2.4728762229873258</v>
      </c>
      <c r="M172" s="300">
        <f>'Ethylene Recycling HC'!M214</f>
        <v>2.6045142628269566</v>
      </c>
      <c r="N172" s="300">
        <f>'Ethylene Recycling HC'!N214</f>
        <v>2.8268240402199249</v>
      </c>
      <c r="O172" s="300">
        <f>'Ethylene Recycling HC'!O214</f>
        <v>3.0506883074930142</v>
      </c>
      <c r="P172" s="300">
        <f>'Ethylene Recycling HC'!P214</f>
        <v>3.274978842987279</v>
      </c>
      <c r="Q172" s="300">
        <f>'Ethylene Recycling HC'!Q214</f>
        <v>3.4985289494857756</v>
      </c>
      <c r="R172" s="300">
        <f>'Ethylene Recycling HC'!R214</f>
        <v>3.7201432691036689</v>
      </c>
      <c r="S172" s="300">
        <f>'Ethylene Recycling HC'!S214</f>
        <v>3.9457042605776262</v>
      </c>
      <c r="T172" s="300">
        <f>'Ethylene Recycling HC'!T214</f>
        <v>4.1752048037902805</v>
      </c>
      <c r="U172" s="300">
        <f>'Ethylene Recycling HC'!U214</f>
        <v>4.4086359053498247</v>
      </c>
      <c r="V172" s="300">
        <f>'Ethylene Recycling HC'!V214</f>
        <v>4.6459866756984276</v>
      </c>
      <c r="W172" s="300">
        <f>'Ethylene Recycling HC'!W214</f>
        <v>4.8872443071764087</v>
      </c>
      <c r="X172" s="300">
        <f>'Ethylene Recycling HC'!X214</f>
        <v>5.2641398782092139</v>
      </c>
      <c r="Y172" s="300">
        <f>'Ethylene Recycling HC'!Y214</f>
        <v>5.6476215753082188</v>
      </c>
      <c r="Z172" s="300">
        <f>'Ethylene Recycling HC'!Z214</f>
        <v>6.0376792947436027</v>
      </c>
      <c r="AA172" s="300">
        <f>'Ethylene Recycling HC'!AA214</f>
        <v>6.4343001242104263</v>
      </c>
      <c r="AB172" s="300">
        <f>'Ethylene Recycling HC'!AB214</f>
        <v>6.8374683104375498</v>
      </c>
      <c r="AC172" s="300">
        <f>'Ethylene Recycling HC'!AC214</f>
        <v>7.2472337445180388</v>
      </c>
      <c r="AD172" s="300">
        <f>'Ethylene Recycling HC'!AD214</f>
        <v>7.663586801924847</v>
      </c>
      <c r="AE172" s="300">
        <f>'Ethylene Recycling HC'!AE214</f>
        <v>8.0865153194496546</v>
      </c>
      <c r="AF172" s="300">
        <f>'Ethylene Recycling HC'!AF214</f>
        <v>8.516004567074237</v>
      </c>
      <c r="AG172" s="300">
        <f>'Ethylene Recycling HC'!AG214</f>
        <v>8.952037220899717</v>
      </c>
      <c r="AH172" s="422"/>
      <c r="AI172" s="423"/>
      <c r="AJ172" s="424"/>
      <c r="AL172" s="221"/>
      <c r="AM172" s="124"/>
      <c r="AN172" s="124"/>
      <c r="AO172" s="124"/>
      <c r="BD172" s="124"/>
      <c r="BE172" s="124"/>
      <c r="BF172" s="124"/>
      <c r="BG172" s="124"/>
      <c r="BH172" s="124"/>
      <c r="BI172" s="124"/>
      <c r="BJ172" s="124"/>
      <c r="BK172" s="124"/>
    </row>
    <row r="173" spans="1:63" outlineLevel="1">
      <c r="A173" s="4" t="s">
        <v>258</v>
      </c>
      <c r="C173" s="230">
        <f>'Ethylene Recycling HC'!C215</f>
        <v>1.0081324273678582</v>
      </c>
      <c r="D173" s="230">
        <f>'Ethylene Recycling HC'!D215</f>
        <v>1.0890423311906798</v>
      </c>
      <c r="E173" s="230">
        <f>'Ethylene Recycling HC'!E215</f>
        <v>1.1711742930520239</v>
      </c>
      <c r="F173" s="230">
        <f>'Ethylene Recycling HC'!F215</f>
        <v>1.2540498095040007</v>
      </c>
      <c r="G173" s="230">
        <f>'Ethylene Recycling HC'!G215</f>
        <v>1.3371609256887687</v>
      </c>
      <c r="H173" s="230">
        <f>'Ethylene Recycling HC'!H215</f>
        <v>1.4199752561276007</v>
      </c>
      <c r="I173" s="230">
        <f>'Ethylene Recycling HC'!I215</f>
        <v>1.5051819358489029</v>
      </c>
      <c r="J173" s="230">
        <f>'Ethylene Recycling HC'!J215</f>
        <v>1.592756657780029</v>
      </c>
      <c r="K173" s="230">
        <f>'Ethylene Recycling HC'!K215</f>
        <v>1.6826700764118572</v>
      </c>
      <c r="L173" s="230">
        <f>'Ethylene Recycling HC'!L215</f>
        <v>1.7748877174369531</v>
      </c>
      <c r="M173" s="230">
        <f>'Ethylene Recycling HC'!M215</f>
        <v>1.8693698989092582</v>
      </c>
      <c r="N173" s="230">
        <f>'Ethylene Recycling HC'!N215</f>
        <v>2.0289310163210557</v>
      </c>
      <c r="O173" s="230">
        <f>'Ethylene Recycling HC'!O215</f>
        <v>2.1896078567801527</v>
      </c>
      <c r="P173" s="230">
        <f>'Ethylene Recycling HC'!P215</f>
        <v>2.3505906479467966</v>
      </c>
      <c r="Q173" s="230">
        <f>'Ethylene Recycling HC'!Q215</f>
        <v>2.5110420019480832</v>
      </c>
      <c r="R173" s="230">
        <f>'Ethylene Recycling HC'!R215</f>
        <v>2.6701039599391616</v>
      </c>
      <c r="S173" s="230">
        <f>'Ethylene Recycling HC'!S215</f>
        <v>2.8319986110254161</v>
      </c>
      <c r="T173" s="230">
        <f>'Ethylene Recycling HC'!T215</f>
        <v>2.9967208447978648</v>
      </c>
      <c r="U173" s="230">
        <f>'Ethylene Recycling HC'!U215</f>
        <v>3.1642642063193351</v>
      </c>
      <c r="V173" s="230">
        <f>'Ethylene Recycling HC'!V215</f>
        <v>3.3346208796942052</v>
      </c>
      <c r="W173" s="230">
        <f>'Ethylene Recycling HC'!W215</f>
        <v>3.5077816723241377</v>
      </c>
      <c r="X173" s="230">
        <f>'Ethylene Recycling HC'!X215</f>
        <v>3.778295543404349</v>
      </c>
      <c r="Y173" s="230">
        <f>'Ethylene Recycling HC'!Y215</f>
        <v>4.053536555354663</v>
      </c>
      <c r="Z173" s="230">
        <f>'Ethylene Recycling HC'!Z215</f>
        <v>4.3334974563014148</v>
      </c>
      <c r="AA173" s="230">
        <f>'Ethylene Recycling HC'!AA215</f>
        <v>4.6181689785379438</v>
      </c>
      <c r="AB173" s="230">
        <f>'Ethylene Recycling HC'!AB215</f>
        <v>4.9075398152761496</v>
      </c>
      <c r="AC173" s="230">
        <f>'Ethylene Recycling HC'!AC215</f>
        <v>5.2016457754608814</v>
      </c>
      <c r="AD173" s="230">
        <f>'Ethylene Recycling HC'!AD215</f>
        <v>5.5004799511625473</v>
      </c>
      <c r="AE173" s="230">
        <f>'Ethylene Recycling HC'!AE215</f>
        <v>5.8040336123327725</v>
      </c>
      <c r="AF173" s="230">
        <f>'Ethylene Recycling HC'!AF215</f>
        <v>6.1122961866152927</v>
      </c>
      <c r="AG173" s="230">
        <f>'Ethylene Recycling HC'!AG215</f>
        <v>6.4252552399161384</v>
      </c>
      <c r="AH173" s="245"/>
      <c r="AI173" s="133"/>
      <c r="AJ173" s="211"/>
      <c r="AL173" s="108"/>
      <c r="AM173" s="2"/>
      <c r="AN173" s="2"/>
      <c r="AO173" s="2"/>
      <c r="BC173" s="1"/>
      <c r="BD173" s="2"/>
      <c r="BE173" s="2"/>
      <c r="BF173" s="2"/>
      <c r="BG173" s="2"/>
      <c r="BH173" s="2"/>
      <c r="BI173" s="2"/>
      <c r="BJ173" s="2"/>
      <c r="BK173" s="2"/>
    </row>
    <row r="174" spans="1:63" outlineLevel="1">
      <c r="A174" s="4" t="s">
        <v>478</v>
      </c>
      <c r="C174" s="230">
        <f>'Ethylene Recycling HC'!C216</f>
        <v>9.7824750363057281E-2</v>
      </c>
      <c r="D174" s="230">
        <f>'Ethylene Recycling HC'!D216</f>
        <v>0.10567589266192351</v>
      </c>
      <c r="E174" s="230">
        <f>'Ethylene Recycling HC'!E216</f>
        <v>0.11364561811445316</v>
      </c>
      <c r="F174" s="230">
        <f>'Ethylene Recycling HC'!F216</f>
        <v>0.12168749484417153</v>
      </c>
      <c r="G174" s="230">
        <f>'Ethylene Recycling HC'!G216</f>
        <v>0.1297522331389187</v>
      </c>
      <c r="H174" s="230">
        <f>'Ethylene Recycling HC'!H216</f>
        <v>0.13778817264620566</v>
      </c>
      <c r="I174" s="230">
        <f>'Ethylene Recycling HC'!I216</f>
        <v>0.14605625523805735</v>
      </c>
      <c r="J174" s="230">
        <f>'Ethylene Recycling HC'!J216</f>
        <v>0.15455412226272408</v>
      </c>
      <c r="K174" s="230">
        <f>'Ethylene Recycling HC'!K216</f>
        <v>0.16327892616067285</v>
      </c>
      <c r="L174" s="230">
        <f>'Ethylene Recycling HC'!L216</f>
        <v>0.17222732169627078</v>
      </c>
      <c r="M174" s="230">
        <f>'Ethylene Recycling HC'!M216</f>
        <v>0.18139545830746695</v>
      </c>
      <c r="N174" s="230">
        <f>'Ethylene Recycling HC'!N216</f>
        <v>0.19687856950865437</v>
      </c>
      <c r="O174" s="230">
        <f>'Ethylene Recycling HC'!O216</f>
        <v>0.21246994558220719</v>
      </c>
      <c r="P174" s="230">
        <f>'Ethylene Recycling HC'!P216</f>
        <v>0.22809100977090904</v>
      </c>
      <c r="Q174" s="230">
        <f>'Ethylene Recycling HC'!Q216</f>
        <v>0.24366050562729324</v>
      </c>
      <c r="R174" s="230">
        <f>'Ethylene Recycling HC'!R216</f>
        <v>0.25909518058697345</v>
      </c>
      <c r="S174" s="230">
        <f>'Ethylene Recycling HC'!S216</f>
        <v>0.27480472766401459</v>
      </c>
      <c r="T174" s="230">
        <f>'Ethylene Recycling HC'!T216</f>
        <v>0.29078865096673673</v>
      </c>
      <c r="U174" s="230">
        <f>'Ethylene Recycling HC'!U216</f>
        <v>0.30704632413633987</v>
      </c>
      <c r="V174" s="230">
        <f>'Ethylene Recycling HC'!V216</f>
        <v>0.32357698875258339</v>
      </c>
      <c r="W174" s="230">
        <f>'Ethylene Recycling HC'!W216</f>
        <v>0.34037975280603172</v>
      </c>
      <c r="X174" s="230">
        <f>'Ethylene Recycling HC'!X216</f>
        <v>0.36662923272531006</v>
      </c>
      <c r="Y174" s="230">
        <f>'Ethylene Recycling HC'!Y216</f>
        <v>0.39333741366738573</v>
      </c>
      <c r="Z174" s="230">
        <f>'Ethylene Recycling HC'!Z216</f>
        <v>0.4205035919422358</v>
      </c>
      <c r="AA174" s="230">
        <f>'Ethylene Recycling HC'!AA216</f>
        <v>0.44812686825224241</v>
      </c>
      <c r="AB174" s="230">
        <f>'Ethylene Recycling HC'!AB216</f>
        <v>0.47620614543626533</v>
      </c>
      <c r="AC174" s="230">
        <f>'Ethylene Recycling HC'!AC216</f>
        <v>0.50474489823730029</v>
      </c>
      <c r="AD174" s="230">
        <f>'Ethylene Recycling HC'!AD216</f>
        <v>0.53374245634014916</v>
      </c>
      <c r="AE174" s="230">
        <f>'Ethylene Recycling HC'!AE216</f>
        <v>0.56319797261919635</v>
      </c>
      <c r="AF174" s="230">
        <f>'Ethylene Recycling HC'!AF216</f>
        <v>0.59311042117934709</v>
      </c>
      <c r="AG174" s="230">
        <f>'Ethylene Recycling HC'!AG216</f>
        <v>0.62347859547064255</v>
      </c>
      <c r="AH174" s="245"/>
      <c r="AI174" s="133"/>
      <c r="AJ174" s="211"/>
      <c r="AL174" s="108"/>
      <c r="AM174" s="2"/>
      <c r="AN174" s="2"/>
      <c r="AO174" s="2"/>
      <c r="BC174" s="1"/>
      <c r="BD174" s="2"/>
      <c r="BE174" s="2"/>
      <c r="BF174" s="2"/>
      <c r="BG174" s="2"/>
      <c r="BH174" s="2"/>
      <c r="BI174" s="2"/>
      <c r="BJ174" s="2"/>
      <c r="BK174" s="2"/>
    </row>
    <row r="175" spans="1:63" outlineLevel="1">
      <c r="A175" s="4" t="s">
        <v>480</v>
      </c>
      <c r="C175" s="230">
        <f>'Ethylene Recycling HC'!C217</f>
        <v>0.22582166373040025</v>
      </c>
      <c r="D175" s="230">
        <f>'Ethylene Recycling HC'!D217</f>
        <v>0.24394548218671225</v>
      </c>
      <c r="E175" s="230">
        <f>'Ethylene Recycling HC'!E217</f>
        <v>0.2623430416436533</v>
      </c>
      <c r="F175" s="230">
        <f>'Ethylene Recycling HC'!F217</f>
        <v>0.28090715732889615</v>
      </c>
      <c r="G175" s="230">
        <f>'Ethylene Recycling HC'!G217</f>
        <v>0.29952404735428412</v>
      </c>
      <c r="H175" s="230">
        <f>'Ethylene Recycling HC'!H217</f>
        <v>0.31807445737258255</v>
      </c>
      <c r="I175" s="230">
        <f>'Ethylene Recycling HC'!I217</f>
        <v>0.33716075363015424</v>
      </c>
      <c r="J175" s="230">
        <f>'Ethylene Recycling HC'!J217</f>
        <v>0.35677749134272646</v>
      </c>
      <c r="K175" s="230">
        <f>'Ethylene Recycling HC'!K217</f>
        <v>0.37691809711625601</v>
      </c>
      <c r="L175" s="230">
        <f>'Ethylene Recycling HC'!L217</f>
        <v>0.39757484870587745</v>
      </c>
      <c r="M175" s="230">
        <f>'Ethylene Recycling HC'!M217</f>
        <v>0.41873885735567379</v>
      </c>
      <c r="N175" s="230">
        <f>'Ethylene Recycling HC'!N217</f>
        <v>0.45448054765591639</v>
      </c>
      <c r="O175" s="230">
        <f>'Ethylene Recycling HC'!O217</f>
        <v>0.4904721599187542</v>
      </c>
      <c r="P175" s="230">
        <f>'Ethylene Recycling HC'!P217</f>
        <v>0.52653230514008242</v>
      </c>
      <c r="Q175" s="230">
        <f>'Ethylene Recycling HC'!Q217</f>
        <v>0.56247340843637061</v>
      </c>
      <c r="R175" s="230">
        <f>'Ethylene Recycling HC'!R217</f>
        <v>0.59810328702637217</v>
      </c>
      <c r="S175" s="230">
        <f>'Ethylene Recycling HC'!S217</f>
        <v>0.63436768886969319</v>
      </c>
      <c r="T175" s="230">
        <f>'Ethylene Recycling HC'!T217</f>
        <v>0.67126546923472175</v>
      </c>
      <c r="U175" s="230">
        <f>'Ethylene Recycling HC'!U217</f>
        <v>0.70879518221553095</v>
      </c>
      <c r="V175" s="230">
        <f>'Ethylene Recycling HC'!V217</f>
        <v>0.74695507705150188</v>
      </c>
      <c r="W175" s="230">
        <f>'Ethylene Recycling HC'!W217</f>
        <v>0.78574309460060676</v>
      </c>
      <c r="X175" s="230">
        <f>'Ethylene Recycling HC'!X217</f>
        <v>0.84633820172257412</v>
      </c>
      <c r="Y175" s="230">
        <f>'Ethylene Recycling HC'!Y217</f>
        <v>0.9079921883994444</v>
      </c>
      <c r="Z175" s="230">
        <f>'Ethylene Recycling HC'!Z217</f>
        <v>0.97070343021151673</v>
      </c>
      <c r="AA175" s="230">
        <f>'Ethylene Recycling HC'!AA217</f>
        <v>1.0344698511924995</v>
      </c>
      <c r="AB175" s="230">
        <f>'Ethylene Recycling HC'!AB217</f>
        <v>1.0992889186218573</v>
      </c>
      <c r="AC175" s="230">
        <f>'Ethylene Recycling HC'!AC217</f>
        <v>1.1651686537032373</v>
      </c>
      <c r="AD175" s="230">
        <f>'Ethylene Recycling HC'!AD217</f>
        <v>1.2321075090604106</v>
      </c>
      <c r="AE175" s="230">
        <f>'Ethylene Recycling HC'!AE217</f>
        <v>1.3001035291625409</v>
      </c>
      <c r="AF175" s="230">
        <f>'Ethylene Recycling HC'!AF217</f>
        <v>1.3691543458018256</v>
      </c>
      <c r="AG175" s="230">
        <f>'Ethylene Recycling HC'!AG217</f>
        <v>1.439257173741215</v>
      </c>
      <c r="AH175" s="245"/>
      <c r="AI175" s="133"/>
      <c r="AJ175" s="211"/>
      <c r="AL175" s="108"/>
      <c r="AM175" s="2"/>
      <c r="AN175" s="2"/>
      <c r="AO175" s="2"/>
      <c r="BC175" s="1"/>
      <c r="BD175" s="2"/>
      <c r="BE175" s="2"/>
      <c r="BF175" s="2"/>
      <c r="BG175" s="2"/>
      <c r="BH175" s="2"/>
      <c r="BI175" s="2"/>
      <c r="BJ175" s="2"/>
      <c r="BK175" s="2"/>
    </row>
    <row r="176" spans="1:63" outlineLevel="1">
      <c r="A176" s="4" t="s">
        <v>474</v>
      </c>
      <c r="C176" s="230">
        <f>'Ethylene Recycling HC'!C218</f>
        <v>0</v>
      </c>
      <c r="D176" s="230">
        <f>'Ethylene Recycling HC'!D218</f>
        <v>0</v>
      </c>
      <c r="E176" s="230">
        <f>'Ethylene Recycling HC'!E218</f>
        <v>0</v>
      </c>
      <c r="F176" s="230">
        <f>'Ethylene Recycling HC'!F218</f>
        <v>0</v>
      </c>
      <c r="G176" s="230">
        <f>'Ethylene Recycling HC'!G218</f>
        <v>0</v>
      </c>
      <c r="H176" s="230">
        <f>'Ethylene Recycling HC'!H218</f>
        <v>0</v>
      </c>
      <c r="I176" s="230">
        <f>'Ethylene Recycling HC'!I218</f>
        <v>0</v>
      </c>
      <c r="J176" s="230">
        <f>'Ethylene Recycling HC'!J218</f>
        <v>0</v>
      </c>
      <c r="K176" s="230">
        <f>'Ethylene Recycling HC'!K218</f>
        <v>0</v>
      </c>
      <c r="L176" s="230">
        <f>'Ethylene Recycling HC'!L218</f>
        <v>0</v>
      </c>
      <c r="M176" s="230">
        <f>'Ethylene Recycling HC'!M218</f>
        <v>0</v>
      </c>
      <c r="N176" s="230">
        <f>'Ethylene Recycling HC'!N218</f>
        <v>0</v>
      </c>
      <c r="O176" s="230">
        <f>'Ethylene Recycling HC'!O218</f>
        <v>0</v>
      </c>
      <c r="P176" s="230">
        <f>'Ethylene Recycling HC'!P218</f>
        <v>0</v>
      </c>
      <c r="Q176" s="230">
        <f>'Ethylene Recycling HC'!Q218</f>
        <v>0</v>
      </c>
      <c r="R176" s="230">
        <f>'Ethylene Recycling HC'!R218</f>
        <v>0</v>
      </c>
      <c r="S176" s="230">
        <f>'Ethylene Recycling HC'!S218</f>
        <v>0</v>
      </c>
      <c r="T176" s="230">
        <f>'Ethylene Recycling HC'!T218</f>
        <v>0</v>
      </c>
      <c r="U176" s="230">
        <f>'Ethylene Recycling HC'!U218</f>
        <v>0</v>
      </c>
      <c r="V176" s="230">
        <f>'Ethylene Recycling HC'!V218</f>
        <v>0</v>
      </c>
      <c r="W176" s="230">
        <f>'Ethylene Recycling HC'!W218</f>
        <v>0</v>
      </c>
      <c r="X176" s="230">
        <f>'Ethylene Recycling HC'!X218</f>
        <v>0</v>
      </c>
      <c r="Y176" s="230">
        <f>'Ethylene Recycling HC'!Y218</f>
        <v>0</v>
      </c>
      <c r="Z176" s="230">
        <f>'Ethylene Recycling HC'!Z218</f>
        <v>0</v>
      </c>
      <c r="AA176" s="230">
        <f>'Ethylene Recycling HC'!AA218</f>
        <v>0</v>
      </c>
      <c r="AB176" s="230">
        <f>'Ethylene Recycling HC'!AB218</f>
        <v>0</v>
      </c>
      <c r="AC176" s="230">
        <f>'Ethylene Recycling HC'!AC218</f>
        <v>0</v>
      </c>
      <c r="AD176" s="230">
        <f>'Ethylene Recycling HC'!AD218</f>
        <v>0</v>
      </c>
      <c r="AE176" s="230">
        <f>'Ethylene Recycling HC'!AE218</f>
        <v>0</v>
      </c>
      <c r="AF176" s="230">
        <f>'Ethylene Recycling HC'!AF218</f>
        <v>0</v>
      </c>
      <c r="AG176" s="230">
        <f>'Ethylene Recycling HC'!AG218</f>
        <v>0</v>
      </c>
      <c r="AH176" s="245"/>
      <c r="AI176" s="133"/>
      <c r="AJ176" s="211"/>
      <c r="AL176" s="108"/>
      <c r="AM176" s="2"/>
      <c r="AN176" s="2"/>
      <c r="AO176" s="2"/>
      <c r="BC176" s="1"/>
      <c r="BD176" s="2"/>
      <c r="BE176" s="2"/>
      <c r="BF176" s="2"/>
      <c r="BG176" s="2"/>
      <c r="BH176" s="2"/>
      <c r="BI176" s="2"/>
      <c r="BJ176" s="2"/>
      <c r="BK176" s="2"/>
    </row>
    <row r="177" spans="1:63" outlineLevel="1">
      <c r="A177" s="4" t="s">
        <v>248</v>
      </c>
      <c r="C177" s="230">
        <f>'Ethylene Recycling HC'!C219</f>
        <v>7.2809564198789783E-2</v>
      </c>
      <c r="D177" s="230">
        <f>'Ethylene Recycling HC'!D219</f>
        <v>7.8653057252660211E-2</v>
      </c>
      <c r="E177" s="230">
        <f>'Ethylene Recycling HC'!E219</f>
        <v>8.4584810053757287E-2</v>
      </c>
      <c r="F177" s="230">
        <f>'Ethylene Recycling HC'!F219</f>
        <v>9.0570264019733393E-2</v>
      </c>
      <c r="G177" s="230">
        <f>'Ethylene Recycling HC'!G219</f>
        <v>9.6572733521966631E-2</v>
      </c>
      <c r="H177" s="230">
        <f>'Ethylene Recycling HC'!H219</f>
        <v>0.10255376849810451</v>
      </c>
      <c r="I177" s="230">
        <f>'Ethylene Recycling HC'!I219</f>
        <v>0.10870758425575412</v>
      </c>
      <c r="J177" s="230">
        <f>'Ethylene Recycling HC'!J219</f>
        <v>0.11503242528411323</v>
      </c>
      <c r="K177" s="230">
        <f>'Ethylene Recycling HC'!K219</f>
        <v>0.12152617218530082</v>
      </c>
      <c r="L177" s="230">
        <f>'Ethylene Recycling HC'!L219</f>
        <v>0.12818633514822442</v>
      </c>
      <c r="M177" s="230">
        <f>'Ethylene Recycling HC'!M219</f>
        <v>0.13501004825455756</v>
      </c>
      <c r="N177" s="230">
        <f>'Ethylene Recycling HC'!N219</f>
        <v>0.14653390673429847</v>
      </c>
      <c r="O177" s="230">
        <f>'Ethylene Recycling HC'!O219</f>
        <v>0.15813834521189996</v>
      </c>
      <c r="P177" s="230">
        <f>'Ethylene Recycling HC'!P219</f>
        <v>0.1697648801294909</v>
      </c>
      <c r="Q177" s="230">
        <f>'Ethylene Recycling HC'!Q219</f>
        <v>0.18135303347402826</v>
      </c>
      <c r="R177" s="230">
        <f>'Ethylene Recycling HC'!R219</f>
        <v>0.19284084155116168</v>
      </c>
      <c r="S177" s="230">
        <f>'Ethylene Recycling HC'!S219</f>
        <v>0.20453323301850229</v>
      </c>
      <c r="T177" s="230">
        <f>'Ethylene Recycling HC'!T219</f>
        <v>0.21642983879095695</v>
      </c>
      <c r="U177" s="230">
        <f>'Ethylene Recycling HC'!U219</f>
        <v>0.22853019267861868</v>
      </c>
      <c r="V177" s="230">
        <f>'Ethylene Recycling HC'!V219</f>
        <v>0.24083373020013707</v>
      </c>
      <c r="W177" s="230">
        <f>'Ethylene Recycling HC'!W219</f>
        <v>0.25333978744563218</v>
      </c>
      <c r="X177" s="230">
        <f>'Ethylene Recycling HC'!X219</f>
        <v>0.27287690035698081</v>
      </c>
      <c r="Y177" s="230">
        <f>'Ethylene Recycling HC'!Y219</f>
        <v>0.29275541788672571</v>
      </c>
      <c r="Z177" s="230">
        <f>'Ethylene Recycling HC'!Z219</f>
        <v>0.31297481628843554</v>
      </c>
      <c r="AA177" s="230">
        <f>'Ethylene Recycling HC'!AA219</f>
        <v>0.33353442622774043</v>
      </c>
      <c r="AB177" s="230">
        <f>'Ethylene Recycling HC'!AB219</f>
        <v>0.35443343110327752</v>
      </c>
      <c r="AC177" s="230">
        <f>'Ethylene Recycling HC'!AC219</f>
        <v>0.37567441711661925</v>
      </c>
      <c r="AD177" s="230">
        <f>'Ethylene Recycling HC'!AD219</f>
        <v>0.39725688536173959</v>
      </c>
      <c r="AE177" s="230">
        <f>'Ethylene Recycling HC'!AE219</f>
        <v>0.41918020533514472</v>
      </c>
      <c r="AF177" s="230">
        <f>'Ethylene Recycling HC'!AF219</f>
        <v>0.44144361347777122</v>
      </c>
      <c r="AG177" s="230">
        <f>'Ethylene Recycling HC'!AG219</f>
        <v>0.46404621177172106</v>
      </c>
      <c r="AH177" s="245"/>
      <c r="AI177" s="133"/>
      <c r="AJ177" s="211"/>
      <c r="AL177" s="108"/>
      <c r="AM177" s="2"/>
      <c r="AN177" s="2"/>
      <c r="AO177" s="2"/>
      <c r="BC177" s="1"/>
      <c r="BD177" s="2"/>
      <c r="BE177" s="2"/>
      <c r="BF177" s="2"/>
      <c r="BG177" s="2"/>
      <c r="BH177" s="2"/>
      <c r="BI177" s="2"/>
      <c r="BJ177" s="2"/>
      <c r="BK177" s="2"/>
    </row>
    <row r="178" spans="1:63" outlineLevel="2">
      <c r="C178" s="113"/>
      <c r="D178" s="110"/>
      <c r="E178" s="110"/>
      <c r="F178" s="110"/>
      <c r="G178" s="110"/>
      <c r="H178" s="110"/>
      <c r="I178" s="110"/>
      <c r="J178" s="110"/>
      <c r="K178" s="110"/>
      <c r="L178" s="110"/>
      <c r="M178" s="121"/>
      <c r="N178" s="121"/>
      <c r="O178" s="121"/>
      <c r="P178" s="121"/>
      <c r="Q178" s="121"/>
      <c r="R178" s="121"/>
      <c r="S178" s="121"/>
      <c r="T178" s="121"/>
      <c r="U178" s="121"/>
      <c r="V178" s="121"/>
      <c r="W178" s="121"/>
      <c r="X178" s="23"/>
      <c r="Y178" s="23"/>
      <c r="Z178" s="23"/>
      <c r="AA178" s="23"/>
      <c r="AB178" s="23"/>
      <c r="AC178" s="23"/>
      <c r="AD178" s="23"/>
      <c r="AE178" s="23"/>
      <c r="AF178" s="23"/>
      <c r="AG178" s="106"/>
      <c r="AJ178" s="211"/>
    </row>
    <row r="179" spans="1:63" s="200" customFormat="1" ht="16" thickBot="1">
      <c r="A179" s="227" t="s">
        <v>1354</v>
      </c>
      <c r="B179" s="228"/>
      <c r="C179" s="229">
        <f t="shared" ref="C179:AG179" si="32">(C45*C62+C46*C98+C48*C131+C47*C160+C49*C169)/C50</f>
        <v>0.12432628235285131</v>
      </c>
      <c r="D179" s="229">
        <f t="shared" si="32"/>
        <v>0.13013522293747887</v>
      </c>
      <c r="E179" s="229">
        <f t="shared" si="32"/>
        <v>0.1359192848076744</v>
      </c>
      <c r="F179" s="229">
        <f t="shared" si="32"/>
        <v>0.14167846796343792</v>
      </c>
      <c r="G179" s="229">
        <f t="shared" si="32"/>
        <v>0.14741277240476947</v>
      </c>
      <c r="H179" s="229">
        <f t="shared" si="32"/>
        <v>0.15312219813166889</v>
      </c>
      <c r="I179" s="229">
        <f t="shared" si="32"/>
        <v>0.15880674514413637</v>
      </c>
      <c r="J179" s="229">
        <f t="shared" si="32"/>
        <v>0.16446641344217175</v>
      </c>
      <c r="K179" s="229">
        <f t="shared" si="32"/>
        <v>0.17010120302577519</v>
      </c>
      <c r="L179" s="229">
        <f t="shared" si="32"/>
        <v>0.17571111389494656</v>
      </c>
      <c r="M179" s="229">
        <f t="shared" si="32"/>
        <v>0.18129614604968586</v>
      </c>
      <c r="N179" s="229">
        <f t="shared" si="32"/>
        <v>0.19342943185318112</v>
      </c>
      <c r="O179" s="229">
        <f t="shared" si="32"/>
        <v>0.20551028098164262</v>
      </c>
      <c r="P179" s="229">
        <f t="shared" si="32"/>
        <v>0.21753925176357994</v>
      </c>
      <c r="Q179" s="229">
        <f t="shared" si="32"/>
        <v>0.22951622405689659</v>
      </c>
      <c r="R179" s="229">
        <f t="shared" si="32"/>
        <v>0.2414412002362418</v>
      </c>
      <c r="S179" s="229">
        <f t="shared" si="32"/>
        <v>0.2533141826761201</v>
      </c>
      <c r="T179" s="229">
        <f t="shared" si="32"/>
        <v>0.26513517375089152</v>
      </c>
      <c r="U179" s="229">
        <f t="shared" si="32"/>
        <v>0.27690417583477117</v>
      </c>
      <c r="V179" s="229">
        <f t="shared" si="32"/>
        <v>0.28862119130183</v>
      </c>
      <c r="W179" s="229">
        <f t="shared" si="32"/>
        <v>0.3002862225259943</v>
      </c>
      <c r="X179" s="229">
        <f t="shared" si="32"/>
        <v>0.32014373569067972</v>
      </c>
      <c r="Y179" s="229">
        <f t="shared" si="32"/>
        <v>0.3399142645825125</v>
      </c>
      <c r="Z179" s="229">
        <f t="shared" si="32"/>
        <v>0.35959443349062203</v>
      </c>
      <c r="AA179" s="229">
        <f t="shared" si="32"/>
        <v>0.37918785143564515</v>
      </c>
      <c r="AB179" s="229">
        <f t="shared" si="32"/>
        <v>0.39869453425985191</v>
      </c>
      <c r="AC179" s="229">
        <f t="shared" si="32"/>
        <v>0.4181144978016561</v>
      </c>
      <c r="AD179" s="229">
        <f t="shared" si="32"/>
        <v>0.43744775789561502</v>
      </c>
      <c r="AE179" s="229">
        <f t="shared" si="32"/>
        <v>0.45669433037243112</v>
      </c>
      <c r="AF179" s="229">
        <f t="shared" si="32"/>
        <v>0.47585423105895353</v>
      </c>
      <c r="AG179" s="229">
        <f t="shared" si="32"/>
        <v>0.49492747577817825</v>
      </c>
      <c r="AJ179" s="231" t="s">
        <v>1355</v>
      </c>
      <c r="AL179" s="217"/>
      <c r="AM179" s="225"/>
      <c r="AN179" s="225"/>
      <c r="AO179" s="225"/>
    </row>
    <row r="180" spans="1:63" s="200" customFormat="1" ht="17" thickTop="1" thickBot="1">
      <c r="A180" s="227" t="s">
        <v>1356</v>
      </c>
      <c r="B180" s="228"/>
      <c r="C180" s="229">
        <f t="shared" ref="C180:AG180" si="33">(C14*C52+C98*C15+C17*C131+C157*C16+C169*C18)/C19</f>
        <v>0.10392620862112158</v>
      </c>
      <c r="D180" s="229">
        <f t="shared" si="33"/>
        <v>0.10914907209487128</v>
      </c>
      <c r="E180" s="229">
        <f t="shared" si="33"/>
        <v>0.11437193556862101</v>
      </c>
      <c r="F180" s="229">
        <f t="shared" si="33"/>
        <v>0.11959479904237068</v>
      </c>
      <c r="G180" s="229">
        <f t="shared" si="33"/>
        <v>0.12481766251612042</v>
      </c>
      <c r="H180" s="229">
        <f t="shared" si="33"/>
        <v>0.13004052598987012</v>
      </c>
      <c r="I180" s="229">
        <f t="shared" si="33"/>
        <v>0.13526338946361988</v>
      </c>
      <c r="J180" s="229">
        <f t="shared" si="33"/>
        <v>0.14048625293736958</v>
      </c>
      <c r="K180" s="229">
        <f t="shared" si="33"/>
        <v>0.1457091164111193</v>
      </c>
      <c r="L180" s="229">
        <f t="shared" si="33"/>
        <v>0.15093197988486898</v>
      </c>
      <c r="M180" s="229">
        <f t="shared" si="33"/>
        <v>0.15615484335861871</v>
      </c>
      <c r="N180" s="229">
        <f t="shared" si="33"/>
        <v>0.16716303252636805</v>
      </c>
      <c r="O180" s="229">
        <f t="shared" si="33"/>
        <v>0.17817122169411745</v>
      </c>
      <c r="P180" s="229">
        <f t="shared" si="33"/>
        <v>0.18918572656727456</v>
      </c>
      <c r="Q180" s="229">
        <f t="shared" si="33"/>
        <v>0.20020152774484803</v>
      </c>
      <c r="R180" s="229">
        <f t="shared" si="33"/>
        <v>0.21121862134955643</v>
      </c>
      <c r="S180" s="229">
        <f t="shared" si="33"/>
        <v>0.22223700351956577</v>
      </c>
      <c r="T180" s="229">
        <f t="shared" si="33"/>
        <v>0.23325667040841222</v>
      </c>
      <c r="U180" s="229">
        <f t="shared" si="33"/>
        <v>0.24427761818492655</v>
      </c>
      <c r="V180" s="229">
        <f t="shared" si="33"/>
        <v>0.25529984303315723</v>
      </c>
      <c r="W180" s="229">
        <f t="shared" si="33"/>
        <v>0.26632334115229572</v>
      </c>
      <c r="X180" s="229">
        <f t="shared" si="33"/>
        <v>0.28476258783324554</v>
      </c>
      <c r="Y180" s="229">
        <f t="shared" si="33"/>
        <v>0.3032039665902822</v>
      </c>
      <c r="Z180" s="229">
        <f t="shared" si="33"/>
        <v>0.32164701386550132</v>
      </c>
      <c r="AA180" s="229">
        <f t="shared" si="33"/>
        <v>0.34009202567489666</v>
      </c>
      <c r="AB180" s="229">
        <f t="shared" si="33"/>
        <v>0.3585389789515307</v>
      </c>
      <c r="AC180" s="229">
        <f t="shared" si="33"/>
        <v>0.3769878509881841</v>
      </c>
      <c r="AD180" s="229">
        <f t="shared" si="33"/>
        <v>0.39543861943037151</v>
      </c>
      <c r="AE180" s="229">
        <f t="shared" si="33"/>
        <v>0.41389126226951778</v>
      </c>
      <c r="AF180" s="229">
        <f t="shared" si="33"/>
        <v>0.43234575783629409</v>
      </c>
      <c r="AG180" s="229">
        <f t="shared" si="33"/>
        <v>0.45080208479410577</v>
      </c>
      <c r="AJ180" s="226" t="s">
        <v>1357</v>
      </c>
      <c r="AL180" s="217"/>
      <c r="AM180" s="225"/>
      <c r="AN180" s="225"/>
      <c r="AO180" s="225"/>
    </row>
    <row r="181" spans="1:63" ht="16" thickTop="1">
      <c r="B181" s="130"/>
      <c r="C181" s="113"/>
      <c r="D181" s="23"/>
      <c r="E181" s="23"/>
      <c r="F181" s="23"/>
      <c r="G181" s="23"/>
      <c r="H181" s="23"/>
      <c r="I181" s="23"/>
      <c r="J181" s="23"/>
      <c r="K181" s="23"/>
      <c r="L181" s="23"/>
      <c r="M181" s="126"/>
      <c r="N181" s="110"/>
      <c r="O181" s="110"/>
      <c r="P181" s="110"/>
      <c r="Q181" s="110"/>
      <c r="R181" s="110"/>
      <c r="S181" s="110"/>
      <c r="T181" s="110"/>
      <c r="U181" s="110"/>
      <c r="V181" s="110"/>
      <c r="W181" s="126"/>
      <c r="X181" s="110"/>
      <c r="Y181" s="110"/>
      <c r="Z181" s="110"/>
      <c r="AA181" s="110"/>
      <c r="AB181" s="110"/>
      <c r="AC181" s="110"/>
      <c r="AD181" s="110"/>
      <c r="AE181" s="110"/>
      <c r="AF181" s="110"/>
      <c r="AG181" s="113"/>
    </row>
    <row r="182" spans="1:63">
      <c r="A182" t="s">
        <v>1358</v>
      </c>
      <c r="B182" s="130"/>
      <c r="C182" s="230">
        <f>C172+C162+C150+C144+C138+C124+C118+C112+C106+C91+C85+C79+C73+C67</f>
        <v>17.861834618571326</v>
      </c>
      <c r="D182" s="230">
        <f t="shared" ref="D182:AG182" si="34">D172+D162+D150+D144+D138+D124+D118+D112+D106+D91+D85+D79+D73+D67</f>
        <v>19.325366739382417</v>
      </c>
      <c r="E182" s="230">
        <f t="shared" si="34"/>
        <v>20.808478700996972</v>
      </c>
      <c r="F182" s="230">
        <f t="shared" si="34"/>
        <v>22.302197361971405</v>
      </c>
      <c r="G182" s="230">
        <f t="shared" si="34"/>
        <v>23.797049714397261</v>
      </c>
      <c r="H182" s="230">
        <f t="shared" si="34"/>
        <v>25.283160777666147</v>
      </c>
      <c r="I182" s="230">
        <f t="shared" si="34"/>
        <v>26.808073759415315</v>
      </c>
      <c r="J182" s="230">
        <f t="shared" si="34"/>
        <v>28.371073711726893</v>
      </c>
      <c r="K182" s="230">
        <f t="shared" si="34"/>
        <v>29.971354992401892</v>
      </c>
      <c r="L182" s="230">
        <f t="shared" si="34"/>
        <v>31.608020522894599</v>
      </c>
      <c r="M182" s="230">
        <f t="shared" si="34"/>
        <v>33.280081282392317</v>
      </c>
      <c r="N182" s="230">
        <f t="shared" si="34"/>
        <v>36.167180473262178</v>
      </c>
      <c r="O182" s="230">
        <f t="shared" si="34"/>
        <v>39.065428161327972</v>
      </c>
      <c r="P182" s="230">
        <f t="shared" si="34"/>
        <v>41.960592578982194</v>
      </c>
      <c r="Q182" s="230">
        <f t="shared" si="34"/>
        <v>44.836499658987734</v>
      </c>
      <c r="R182" s="230">
        <f t="shared" si="34"/>
        <v>47.677381042904841</v>
      </c>
      <c r="S182" s="230">
        <f t="shared" si="34"/>
        <v>50.558267947387201</v>
      </c>
      <c r="T182" s="230">
        <f t="shared" si="34"/>
        <v>53.478731151569093</v>
      </c>
      <c r="U182" s="230">
        <f t="shared" si="34"/>
        <v>56.438317342824988</v>
      </c>
      <c r="V182" s="230">
        <f t="shared" si="34"/>
        <v>59.436549078771705</v>
      </c>
      <c r="W182" s="230">
        <f t="shared" si="34"/>
        <v>62.472924765866452</v>
      </c>
      <c r="X182" s="230">
        <f t="shared" si="34"/>
        <v>67.281471053264212</v>
      </c>
      <c r="Y182" s="230">
        <f t="shared" si="34"/>
        <v>72.155165563138695</v>
      </c>
      <c r="Z182" s="230">
        <f t="shared" si="34"/>
        <v>77.096460945816489</v>
      </c>
      <c r="AA182" s="230">
        <f t="shared" si="34"/>
        <v>82.102007498591519</v>
      </c>
      <c r="AB182" s="230">
        <f t="shared" si="34"/>
        <v>87.17104696136974</v>
      </c>
      <c r="AC182" s="230">
        <f t="shared" si="34"/>
        <v>92.303657731265673</v>
      </c>
      <c r="AD182" s="230">
        <f t="shared" si="34"/>
        <v>97.499158120283667</v>
      </c>
      <c r="AE182" s="230">
        <f t="shared" si="34"/>
        <v>102.75683424854464</v>
      </c>
      <c r="AF182" s="230">
        <f t="shared" si="34"/>
        <v>108.07594003255964</v>
      </c>
      <c r="AG182" s="230">
        <f t="shared" si="34"/>
        <v>113.455697192171</v>
      </c>
      <c r="AI182" s="23">
        <f>(AG182/C182)^(1/30)-1</f>
        <v>6.3563296635208877E-2</v>
      </c>
    </row>
    <row r="183" spans="1:63">
      <c r="A183" t="s">
        <v>1359</v>
      </c>
      <c r="B183" s="130"/>
      <c r="C183" s="230">
        <f>C182</f>
        <v>17.861834618571326</v>
      </c>
      <c r="D183" s="230">
        <f>C183*(1+$AI$183)</f>
        <v>18.160127256701465</v>
      </c>
      <c r="E183" s="230">
        <f t="shared" ref="E183:AG183" si="35">D183*(1+$AI$183)</f>
        <v>18.463401381888378</v>
      </c>
      <c r="F183" s="230">
        <f t="shared" si="35"/>
        <v>18.771740184965914</v>
      </c>
      <c r="G183" s="230">
        <f t="shared" si="35"/>
        <v>19.085228246054843</v>
      </c>
      <c r="H183" s="230">
        <f t="shared" si="35"/>
        <v>19.403951557763957</v>
      </c>
      <c r="I183" s="230">
        <f t="shared" si="35"/>
        <v>19.727997548778614</v>
      </c>
      <c r="J183" s="230">
        <f t="shared" si="35"/>
        <v>20.057455107843214</v>
      </c>
      <c r="K183" s="230">
        <f t="shared" si="35"/>
        <v>20.392414608144193</v>
      </c>
      <c r="L183" s="230">
        <f t="shared" si="35"/>
        <v>20.732967932100198</v>
      </c>
      <c r="M183" s="230">
        <f t="shared" si="35"/>
        <v>21.07920849656627</v>
      </c>
      <c r="N183" s="230">
        <f t="shared" si="35"/>
        <v>21.431231278458927</v>
      </c>
      <c r="O183" s="230">
        <f t="shared" si="35"/>
        <v>21.789132840809192</v>
      </c>
      <c r="P183" s="230">
        <f t="shared" si="35"/>
        <v>22.153011359250705</v>
      </c>
      <c r="Q183" s="230">
        <f t="shared" si="35"/>
        <v>22.522966648950192</v>
      </c>
      <c r="R183" s="230">
        <f t="shared" si="35"/>
        <v>22.899100191987657</v>
      </c>
      <c r="S183" s="230">
        <f t="shared" si="35"/>
        <v>23.281515165193849</v>
      </c>
      <c r="T183" s="230">
        <f t="shared" si="35"/>
        <v>23.670316468452583</v>
      </c>
      <c r="U183" s="230">
        <f t="shared" si="35"/>
        <v>24.065610753475738</v>
      </c>
      <c r="V183" s="230">
        <f t="shared" si="35"/>
        <v>24.467506453058782</v>
      </c>
      <c r="W183" s="230">
        <f t="shared" si="35"/>
        <v>24.876113810824862</v>
      </c>
      <c r="X183" s="230">
        <f t="shared" si="35"/>
        <v>25.291544911465635</v>
      </c>
      <c r="Y183" s="230">
        <f t="shared" si="35"/>
        <v>25.713913711487109</v>
      </c>
      <c r="Z183" s="230">
        <f t="shared" si="35"/>
        <v>26.143336070468941</v>
      </c>
      <c r="AA183" s="230">
        <f t="shared" si="35"/>
        <v>26.57992978284577</v>
      </c>
      <c r="AB183" s="230">
        <f t="shared" si="35"/>
        <v>27.023814610219294</v>
      </c>
      <c r="AC183" s="230">
        <f t="shared" si="35"/>
        <v>27.475112314209955</v>
      </c>
      <c r="AD183" s="230">
        <f t="shared" si="35"/>
        <v>27.933946689857258</v>
      </c>
      <c r="AE183" s="230">
        <f t="shared" si="35"/>
        <v>28.400443599577873</v>
      </c>
      <c r="AF183" s="230">
        <f t="shared" si="35"/>
        <v>28.874731007690823</v>
      </c>
      <c r="AG183" s="230">
        <f t="shared" si="35"/>
        <v>29.356939015519259</v>
      </c>
      <c r="AI183" s="214">
        <v>1.67E-2</v>
      </c>
      <c r="AJ183" s="3" t="s">
        <v>1360</v>
      </c>
    </row>
    <row r="184" spans="1:63">
      <c r="B184" s="130"/>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c r="AF184" s="127"/>
      <c r="AG184" s="127"/>
      <c r="AI184" s="214">
        <v>1.67E-2</v>
      </c>
    </row>
    <row r="185" spans="1:63" s="58" customFormat="1">
      <c r="A185" s="58" t="s">
        <v>1361</v>
      </c>
      <c r="B185" s="303"/>
      <c r="C185" s="304"/>
      <c r="D185" s="304"/>
      <c r="E185" s="304"/>
      <c r="F185" s="304"/>
      <c r="G185" s="304"/>
      <c r="H185" s="304"/>
      <c r="I185" s="304"/>
      <c r="J185" s="304"/>
      <c r="K185" s="304"/>
      <c r="L185" s="304"/>
      <c r="M185" s="304"/>
      <c r="N185" s="304"/>
      <c r="O185" s="304"/>
      <c r="P185" s="304"/>
      <c r="Q185" s="304"/>
      <c r="R185" s="304"/>
      <c r="S185" s="304"/>
      <c r="T185" s="304"/>
      <c r="U185" s="304"/>
      <c r="V185" s="304"/>
      <c r="W185" s="304"/>
      <c r="X185" s="304"/>
      <c r="Y185" s="304"/>
      <c r="Z185" s="304"/>
      <c r="AA185" s="304"/>
      <c r="AB185" s="304"/>
      <c r="AC185" s="304"/>
      <c r="AD185" s="304"/>
      <c r="AE185" s="304"/>
      <c r="AF185" s="304"/>
      <c r="AG185" s="304"/>
      <c r="AI185" s="305"/>
      <c r="AJ185" s="306"/>
    </row>
    <row r="186" spans="1:63" s="190" customFormat="1" outlineLevel="1">
      <c r="A186" s="344" t="s">
        <v>1362</v>
      </c>
      <c r="B186" s="318" t="s">
        <v>462</v>
      </c>
      <c r="C186" s="319">
        <v>0.84</v>
      </c>
      <c r="D186" s="320">
        <f>-($C186-$AG186)/30+C186</f>
        <v>0.83566666666666667</v>
      </c>
      <c r="E186" s="320">
        <f t="shared" ref="E186:AF186" si="36">-($C186-$AG186)/30+D186</f>
        <v>0.83133333333333337</v>
      </c>
      <c r="F186" s="320">
        <f t="shared" si="36"/>
        <v>0.82700000000000007</v>
      </c>
      <c r="G186" s="320">
        <f t="shared" si="36"/>
        <v>0.82266666666666677</v>
      </c>
      <c r="H186" s="320">
        <f t="shared" si="36"/>
        <v>0.81833333333333347</v>
      </c>
      <c r="I186" s="320">
        <f t="shared" si="36"/>
        <v>0.81400000000000017</v>
      </c>
      <c r="J186" s="320">
        <f t="shared" si="36"/>
        <v>0.80966666666666687</v>
      </c>
      <c r="K186" s="320">
        <f t="shared" si="36"/>
        <v>0.80533333333333357</v>
      </c>
      <c r="L186" s="320">
        <f t="shared" si="36"/>
        <v>0.80100000000000027</v>
      </c>
      <c r="M186" s="320">
        <f t="shared" si="36"/>
        <v>0.79666666666666697</v>
      </c>
      <c r="N186" s="320">
        <f t="shared" si="36"/>
        <v>0.79233333333333367</v>
      </c>
      <c r="O186" s="320">
        <f t="shared" si="36"/>
        <v>0.78800000000000037</v>
      </c>
      <c r="P186" s="320">
        <f t="shared" si="36"/>
        <v>0.78366666666666707</v>
      </c>
      <c r="Q186" s="320">
        <f t="shared" si="36"/>
        <v>0.77933333333333377</v>
      </c>
      <c r="R186" s="320">
        <f t="shared" si="36"/>
        <v>0.77500000000000047</v>
      </c>
      <c r="S186" s="320">
        <f t="shared" si="36"/>
        <v>0.77066666666666717</v>
      </c>
      <c r="T186" s="320">
        <f t="shared" si="36"/>
        <v>0.76633333333333387</v>
      </c>
      <c r="U186" s="320">
        <f t="shared" si="36"/>
        <v>0.76200000000000057</v>
      </c>
      <c r="V186" s="320">
        <f t="shared" si="36"/>
        <v>0.75766666666666727</v>
      </c>
      <c r="W186" s="320">
        <f t="shared" si="36"/>
        <v>0.75333333333333397</v>
      </c>
      <c r="X186" s="320">
        <f t="shared" si="36"/>
        <v>0.74900000000000067</v>
      </c>
      <c r="Y186" s="320">
        <f t="shared" si="36"/>
        <v>0.74466666666666737</v>
      </c>
      <c r="Z186" s="320">
        <f t="shared" si="36"/>
        <v>0.74033333333333406</v>
      </c>
      <c r="AA186" s="320">
        <f t="shared" si="36"/>
        <v>0.73600000000000076</v>
      </c>
      <c r="AB186" s="320">
        <f t="shared" si="36"/>
        <v>0.73166666666666746</v>
      </c>
      <c r="AC186" s="320">
        <f t="shared" si="36"/>
        <v>0.72733333333333416</v>
      </c>
      <c r="AD186" s="320">
        <f t="shared" si="36"/>
        <v>0.72300000000000086</v>
      </c>
      <c r="AE186" s="320">
        <f t="shared" si="36"/>
        <v>0.71866666666666756</v>
      </c>
      <c r="AF186" s="320">
        <f t="shared" si="36"/>
        <v>0.71433333333333426</v>
      </c>
      <c r="AG186" s="319">
        <v>0.71</v>
      </c>
      <c r="AI186" s="321"/>
      <c r="AJ186" s="322" t="s">
        <v>1363</v>
      </c>
    </row>
    <row r="187" spans="1:63" outlineLevel="1">
      <c r="A187" s="3" t="s">
        <v>90</v>
      </c>
      <c r="B187" s="302" t="s">
        <v>462</v>
      </c>
      <c r="C187" s="296">
        <v>0.16</v>
      </c>
      <c r="D187" s="317">
        <f t="shared" ref="D187:AF192" si="37">-($C187-$AG187)/30+C187</f>
        <v>0.16206666666666666</v>
      </c>
      <c r="E187" s="317">
        <f t="shared" si="37"/>
        <v>0.16413333333333333</v>
      </c>
      <c r="F187" s="317">
        <f t="shared" si="37"/>
        <v>0.16619999999999999</v>
      </c>
      <c r="G187" s="317">
        <f t="shared" si="37"/>
        <v>0.16826666666666665</v>
      </c>
      <c r="H187" s="317">
        <f t="shared" si="37"/>
        <v>0.17033333333333331</v>
      </c>
      <c r="I187" s="317">
        <f t="shared" si="37"/>
        <v>0.17239999999999997</v>
      </c>
      <c r="J187" s="317">
        <f t="shared" si="37"/>
        <v>0.17446666666666663</v>
      </c>
      <c r="K187" s="317">
        <f t="shared" si="37"/>
        <v>0.17653333333333329</v>
      </c>
      <c r="L187" s="317">
        <f t="shared" si="37"/>
        <v>0.17859999999999995</v>
      </c>
      <c r="M187" s="317">
        <f t="shared" si="37"/>
        <v>0.18066666666666661</v>
      </c>
      <c r="N187" s="317">
        <f t="shared" si="37"/>
        <v>0.18273333333333328</v>
      </c>
      <c r="O187" s="317">
        <f t="shared" si="37"/>
        <v>0.18479999999999994</v>
      </c>
      <c r="P187" s="317">
        <f t="shared" si="37"/>
        <v>0.1868666666666666</v>
      </c>
      <c r="Q187" s="317">
        <f t="shared" si="37"/>
        <v>0.18893333333333326</v>
      </c>
      <c r="R187" s="317">
        <f t="shared" si="37"/>
        <v>0.19099999999999992</v>
      </c>
      <c r="S187" s="317">
        <f t="shared" si="37"/>
        <v>0.19306666666666658</v>
      </c>
      <c r="T187" s="317">
        <f t="shared" si="37"/>
        <v>0.19513333333333324</v>
      </c>
      <c r="U187" s="317">
        <f t="shared" si="37"/>
        <v>0.1971999999999999</v>
      </c>
      <c r="V187" s="317">
        <f t="shared" si="37"/>
        <v>0.19926666666666656</v>
      </c>
      <c r="W187" s="317">
        <f t="shared" si="37"/>
        <v>0.20133333333333323</v>
      </c>
      <c r="X187" s="317">
        <f t="shared" si="37"/>
        <v>0.20339999999999989</v>
      </c>
      <c r="Y187" s="317">
        <f t="shared" si="37"/>
        <v>0.20546666666666655</v>
      </c>
      <c r="Z187" s="317">
        <f t="shared" si="37"/>
        <v>0.20753333333333321</v>
      </c>
      <c r="AA187" s="317">
        <f t="shared" si="37"/>
        <v>0.20959999999999987</v>
      </c>
      <c r="AB187" s="317">
        <f t="shared" si="37"/>
        <v>0.21166666666666653</v>
      </c>
      <c r="AC187" s="317">
        <f t="shared" si="37"/>
        <v>0.21373333333333319</v>
      </c>
      <c r="AD187" s="317">
        <f t="shared" si="37"/>
        <v>0.21579999999999985</v>
      </c>
      <c r="AE187" s="317">
        <f t="shared" si="37"/>
        <v>0.21786666666666651</v>
      </c>
      <c r="AF187" s="317">
        <f t="shared" si="37"/>
        <v>0.21993333333333318</v>
      </c>
      <c r="AG187" s="296">
        <v>0.222</v>
      </c>
      <c r="AI187" s="214"/>
      <c r="AJ187" s="211" t="s">
        <v>1363</v>
      </c>
    </row>
    <row r="188" spans="1:63" outlineLevel="1">
      <c r="A188" s="3" t="s">
        <v>33</v>
      </c>
      <c r="B188" s="302" t="s">
        <v>462</v>
      </c>
      <c r="C188" s="296">
        <v>0.37</v>
      </c>
      <c r="D188" s="317">
        <f t="shared" si="37"/>
        <v>0.36270000000000002</v>
      </c>
      <c r="E188" s="317">
        <f t="shared" si="37"/>
        <v>0.35540000000000005</v>
      </c>
      <c r="F188" s="317">
        <f t="shared" si="37"/>
        <v>0.34810000000000008</v>
      </c>
      <c r="G188" s="317">
        <f t="shared" si="37"/>
        <v>0.3408000000000001</v>
      </c>
      <c r="H188" s="317">
        <f t="shared" si="37"/>
        <v>0.33350000000000013</v>
      </c>
      <c r="I188" s="317">
        <f t="shared" si="37"/>
        <v>0.32620000000000016</v>
      </c>
      <c r="J188" s="317">
        <f t="shared" si="37"/>
        <v>0.31890000000000018</v>
      </c>
      <c r="K188" s="317">
        <f t="shared" si="37"/>
        <v>0.31160000000000021</v>
      </c>
      <c r="L188" s="317">
        <f t="shared" si="37"/>
        <v>0.30430000000000024</v>
      </c>
      <c r="M188" s="317">
        <f t="shared" si="37"/>
        <v>0.29700000000000026</v>
      </c>
      <c r="N188" s="317">
        <f t="shared" si="37"/>
        <v>0.28970000000000029</v>
      </c>
      <c r="O188" s="317">
        <f t="shared" si="37"/>
        <v>0.28240000000000032</v>
      </c>
      <c r="P188" s="317">
        <f t="shared" si="37"/>
        <v>0.27510000000000034</v>
      </c>
      <c r="Q188" s="317">
        <f t="shared" si="37"/>
        <v>0.26780000000000037</v>
      </c>
      <c r="R188" s="317">
        <f t="shared" si="37"/>
        <v>0.2605000000000004</v>
      </c>
      <c r="S188" s="317">
        <f t="shared" si="37"/>
        <v>0.25320000000000042</v>
      </c>
      <c r="T188" s="317">
        <f t="shared" si="37"/>
        <v>0.24590000000000042</v>
      </c>
      <c r="U188" s="317">
        <f t="shared" si="37"/>
        <v>0.23860000000000042</v>
      </c>
      <c r="V188" s="317">
        <f t="shared" si="37"/>
        <v>0.23130000000000042</v>
      </c>
      <c r="W188" s="317">
        <f t="shared" si="37"/>
        <v>0.22400000000000042</v>
      </c>
      <c r="X188" s="317">
        <f t="shared" si="37"/>
        <v>0.21670000000000042</v>
      </c>
      <c r="Y188" s="317">
        <f t="shared" si="37"/>
        <v>0.20940000000000042</v>
      </c>
      <c r="Z188" s="317">
        <f t="shared" si="37"/>
        <v>0.20210000000000042</v>
      </c>
      <c r="AA188" s="317">
        <f t="shared" si="37"/>
        <v>0.19480000000000042</v>
      </c>
      <c r="AB188" s="317">
        <f t="shared" si="37"/>
        <v>0.18750000000000042</v>
      </c>
      <c r="AC188" s="317">
        <f t="shared" si="37"/>
        <v>0.18020000000000042</v>
      </c>
      <c r="AD188" s="317">
        <f t="shared" si="37"/>
        <v>0.17290000000000041</v>
      </c>
      <c r="AE188" s="317">
        <f t="shared" si="37"/>
        <v>0.16560000000000041</v>
      </c>
      <c r="AF188" s="317">
        <f t="shared" si="37"/>
        <v>0.15830000000000041</v>
      </c>
      <c r="AG188" s="296">
        <v>0.151</v>
      </c>
      <c r="AI188" s="214"/>
      <c r="AJ188" s="211" t="s">
        <v>1363</v>
      </c>
    </row>
    <row r="189" spans="1:63" outlineLevel="1">
      <c r="A189" s="3" t="s">
        <v>451</v>
      </c>
      <c r="B189" s="302" t="s">
        <v>462</v>
      </c>
      <c r="C189" s="296">
        <v>0.08</v>
      </c>
      <c r="D189" s="317">
        <f t="shared" si="37"/>
        <v>8.0100000000000005E-2</v>
      </c>
      <c r="E189" s="317">
        <f t="shared" si="37"/>
        <v>8.0200000000000007E-2</v>
      </c>
      <c r="F189" s="317">
        <f t="shared" si="37"/>
        <v>8.030000000000001E-2</v>
      </c>
      <c r="G189" s="317">
        <f t="shared" si="37"/>
        <v>8.0400000000000013E-2</v>
      </c>
      <c r="H189" s="317">
        <f t="shared" si="37"/>
        <v>8.0500000000000016E-2</v>
      </c>
      <c r="I189" s="317">
        <f t="shared" si="37"/>
        <v>8.0600000000000019E-2</v>
      </c>
      <c r="J189" s="317">
        <f t="shared" si="37"/>
        <v>8.0700000000000022E-2</v>
      </c>
      <c r="K189" s="317">
        <f t="shared" si="37"/>
        <v>8.0800000000000025E-2</v>
      </c>
      <c r="L189" s="317">
        <f t="shared" si="37"/>
        <v>8.0900000000000027E-2</v>
      </c>
      <c r="M189" s="317">
        <f t="shared" si="37"/>
        <v>8.100000000000003E-2</v>
      </c>
      <c r="N189" s="317">
        <f t="shared" si="37"/>
        <v>8.1100000000000033E-2</v>
      </c>
      <c r="O189" s="317">
        <f t="shared" si="37"/>
        <v>8.1200000000000036E-2</v>
      </c>
      <c r="P189" s="317">
        <f t="shared" si="37"/>
        <v>8.1300000000000039E-2</v>
      </c>
      <c r="Q189" s="317">
        <f t="shared" si="37"/>
        <v>8.1400000000000042E-2</v>
      </c>
      <c r="R189" s="317">
        <f t="shared" si="37"/>
        <v>8.1500000000000045E-2</v>
      </c>
      <c r="S189" s="317">
        <f t="shared" si="37"/>
        <v>8.1600000000000047E-2</v>
      </c>
      <c r="T189" s="317">
        <f t="shared" si="37"/>
        <v>8.170000000000005E-2</v>
      </c>
      <c r="U189" s="317">
        <f t="shared" si="37"/>
        <v>8.1800000000000053E-2</v>
      </c>
      <c r="V189" s="317">
        <f t="shared" si="37"/>
        <v>8.1900000000000056E-2</v>
      </c>
      <c r="W189" s="317">
        <f t="shared" si="37"/>
        <v>8.2000000000000059E-2</v>
      </c>
      <c r="X189" s="317">
        <f t="shared" si="37"/>
        <v>8.2100000000000062E-2</v>
      </c>
      <c r="Y189" s="317">
        <f t="shared" si="37"/>
        <v>8.2200000000000065E-2</v>
      </c>
      <c r="Z189" s="317">
        <f t="shared" si="37"/>
        <v>8.2300000000000068E-2</v>
      </c>
      <c r="AA189" s="317">
        <f t="shared" si="37"/>
        <v>8.240000000000007E-2</v>
      </c>
      <c r="AB189" s="317">
        <f t="shared" si="37"/>
        <v>8.2500000000000073E-2</v>
      </c>
      <c r="AC189" s="317">
        <f t="shared" si="37"/>
        <v>8.2600000000000076E-2</v>
      </c>
      <c r="AD189" s="317">
        <f t="shared" si="37"/>
        <v>8.2700000000000079E-2</v>
      </c>
      <c r="AE189" s="317">
        <f t="shared" si="37"/>
        <v>8.2800000000000082E-2</v>
      </c>
      <c r="AF189" s="317">
        <f t="shared" si="37"/>
        <v>8.2900000000000085E-2</v>
      </c>
      <c r="AG189" s="296">
        <v>8.3000000000000004E-2</v>
      </c>
      <c r="AI189" s="214"/>
      <c r="AJ189" s="211" t="s">
        <v>1363</v>
      </c>
    </row>
    <row r="190" spans="1:63" outlineLevel="1">
      <c r="A190" s="3" t="s">
        <v>452</v>
      </c>
      <c r="B190" s="302" t="s">
        <v>462</v>
      </c>
      <c r="C190" s="296">
        <v>0.27</v>
      </c>
      <c r="D190" s="317">
        <f t="shared" si="37"/>
        <v>0.27313333333333334</v>
      </c>
      <c r="E190" s="317">
        <f t="shared" si="37"/>
        <v>0.27626666666666666</v>
      </c>
      <c r="F190" s="317">
        <f t="shared" si="37"/>
        <v>0.27939999999999998</v>
      </c>
      <c r="G190" s="317">
        <f t="shared" si="37"/>
        <v>0.2825333333333333</v>
      </c>
      <c r="H190" s="317">
        <f t="shared" si="37"/>
        <v>0.28566666666666662</v>
      </c>
      <c r="I190" s="317">
        <f t="shared" si="37"/>
        <v>0.28879999999999995</v>
      </c>
      <c r="J190" s="317">
        <f t="shared" si="37"/>
        <v>0.29193333333333327</v>
      </c>
      <c r="K190" s="317">
        <f t="shared" si="37"/>
        <v>0.29506666666666659</v>
      </c>
      <c r="L190" s="317">
        <f t="shared" si="37"/>
        <v>0.29819999999999991</v>
      </c>
      <c r="M190" s="317">
        <f t="shared" si="37"/>
        <v>0.30133333333333323</v>
      </c>
      <c r="N190" s="317">
        <f t="shared" si="37"/>
        <v>0.30446666666666655</v>
      </c>
      <c r="O190" s="317">
        <f t="shared" si="37"/>
        <v>0.30759999999999987</v>
      </c>
      <c r="P190" s="317">
        <f t="shared" si="37"/>
        <v>0.31073333333333319</v>
      </c>
      <c r="Q190" s="317">
        <f t="shared" si="37"/>
        <v>0.31386666666666652</v>
      </c>
      <c r="R190" s="317">
        <f t="shared" si="37"/>
        <v>0.31699999999999984</v>
      </c>
      <c r="S190" s="317">
        <f t="shared" si="37"/>
        <v>0.32013333333333316</v>
      </c>
      <c r="T190" s="317">
        <f t="shared" si="37"/>
        <v>0.32326666666666648</v>
      </c>
      <c r="U190" s="317">
        <f t="shared" si="37"/>
        <v>0.3263999999999998</v>
      </c>
      <c r="V190" s="317">
        <f t="shared" si="37"/>
        <v>0.32953333333333312</v>
      </c>
      <c r="W190" s="317">
        <f t="shared" si="37"/>
        <v>0.33266666666666644</v>
      </c>
      <c r="X190" s="317">
        <f t="shared" si="37"/>
        <v>0.33579999999999977</v>
      </c>
      <c r="Y190" s="317">
        <f t="shared" si="37"/>
        <v>0.33893333333333309</v>
      </c>
      <c r="Z190" s="317">
        <f t="shared" si="37"/>
        <v>0.34206666666666641</v>
      </c>
      <c r="AA190" s="317">
        <f t="shared" si="37"/>
        <v>0.34519999999999973</v>
      </c>
      <c r="AB190" s="317">
        <f t="shared" si="37"/>
        <v>0.34833333333333305</v>
      </c>
      <c r="AC190" s="317">
        <f t="shared" si="37"/>
        <v>0.35146666666666637</v>
      </c>
      <c r="AD190" s="317">
        <f t="shared" si="37"/>
        <v>0.35459999999999969</v>
      </c>
      <c r="AE190" s="317">
        <f t="shared" si="37"/>
        <v>0.35773333333333301</v>
      </c>
      <c r="AF190" s="317">
        <f t="shared" si="37"/>
        <v>0.36086666666666634</v>
      </c>
      <c r="AG190" s="296">
        <v>0.36399999999999999</v>
      </c>
      <c r="AI190" s="214"/>
      <c r="AJ190" s="211" t="s">
        <v>1363</v>
      </c>
    </row>
    <row r="191" spans="1:63" outlineLevel="1">
      <c r="A191" s="3" t="s">
        <v>1364</v>
      </c>
      <c r="B191" s="302" t="s">
        <v>462</v>
      </c>
      <c r="C191" s="296">
        <v>7.0000000000000007E-2</v>
      </c>
      <c r="D191" s="317">
        <f t="shared" si="37"/>
        <v>7.1266666666666673E-2</v>
      </c>
      <c r="E191" s="317">
        <f t="shared" si="37"/>
        <v>7.2533333333333339E-2</v>
      </c>
      <c r="F191" s="317">
        <f t="shared" si="37"/>
        <v>7.3800000000000004E-2</v>
      </c>
      <c r="G191" s="317">
        <f t="shared" si="37"/>
        <v>7.506666666666667E-2</v>
      </c>
      <c r="H191" s="317">
        <f t="shared" si="37"/>
        <v>7.6333333333333336E-2</v>
      </c>
      <c r="I191" s="317">
        <f t="shared" si="37"/>
        <v>7.7600000000000002E-2</v>
      </c>
      <c r="J191" s="317">
        <f t="shared" si="37"/>
        <v>7.8866666666666668E-2</v>
      </c>
      <c r="K191" s="317">
        <f t="shared" si="37"/>
        <v>8.0133333333333334E-2</v>
      </c>
      <c r="L191" s="317">
        <f t="shared" si="37"/>
        <v>8.14E-2</v>
      </c>
      <c r="M191" s="317">
        <f t="shared" si="37"/>
        <v>8.2666666666666666E-2</v>
      </c>
      <c r="N191" s="317">
        <f t="shared" si="37"/>
        <v>8.3933333333333332E-2</v>
      </c>
      <c r="O191" s="317">
        <f t="shared" si="37"/>
        <v>8.5199999999999998E-2</v>
      </c>
      <c r="P191" s="317">
        <f t="shared" si="37"/>
        <v>8.6466666666666664E-2</v>
      </c>
      <c r="Q191" s="317">
        <f t="shared" si="37"/>
        <v>8.773333333333333E-2</v>
      </c>
      <c r="R191" s="317">
        <f t="shared" si="37"/>
        <v>8.8999999999999996E-2</v>
      </c>
      <c r="S191" s="317">
        <f t="shared" si="37"/>
        <v>9.0266666666666662E-2</v>
      </c>
      <c r="T191" s="317">
        <f t="shared" si="37"/>
        <v>9.1533333333333328E-2</v>
      </c>
      <c r="U191" s="317">
        <f t="shared" si="37"/>
        <v>9.2799999999999994E-2</v>
      </c>
      <c r="V191" s="317">
        <f t="shared" si="37"/>
        <v>9.406666666666666E-2</v>
      </c>
      <c r="W191" s="317">
        <f t="shared" si="37"/>
        <v>9.5333333333333325E-2</v>
      </c>
      <c r="X191" s="317">
        <f t="shared" si="37"/>
        <v>9.6599999999999991E-2</v>
      </c>
      <c r="Y191" s="317">
        <f t="shared" si="37"/>
        <v>9.7866666666666657E-2</v>
      </c>
      <c r="Z191" s="317">
        <f t="shared" si="37"/>
        <v>9.9133333333333323E-2</v>
      </c>
      <c r="AA191" s="317">
        <f t="shared" si="37"/>
        <v>0.10039999999999999</v>
      </c>
      <c r="AB191" s="317">
        <f t="shared" si="37"/>
        <v>0.10166666666666666</v>
      </c>
      <c r="AC191" s="317">
        <f t="shared" si="37"/>
        <v>0.10293333333333332</v>
      </c>
      <c r="AD191" s="317">
        <f t="shared" si="37"/>
        <v>0.10419999999999999</v>
      </c>
      <c r="AE191" s="317">
        <f t="shared" si="37"/>
        <v>0.10546666666666665</v>
      </c>
      <c r="AF191" s="317">
        <f t="shared" si="37"/>
        <v>0.10673333333333332</v>
      </c>
      <c r="AG191" s="296">
        <v>0.108</v>
      </c>
      <c r="AI191" s="214"/>
      <c r="AJ191" s="211" t="s">
        <v>1363</v>
      </c>
    </row>
    <row r="192" spans="1:63" outlineLevel="1">
      <c r="A192" s="3" t="s">
        <v>1365</v>
      </c>
      <c r="B192" s="302" t="s">
        <v>462</v>
      </c>
      <c r="C192" s="296">
        <v>0.05</v>
      </c>
      <c r="D192" s="317">
        <f t="shared" si="37"/>
        <v>5.0733333333333339E-2</v>
      </c>
      <c r="E192" s="317">
        <f t="shared" si="37"/>
        <v>5.1466666666666674E-2</v>
      </c>
      <c r="F192" s="317">
        <f t="shared" si="37"/>
        <v>5.220000000000001E-2</v>
      </c>
      <c r="G192" s="317">
        <f t="shared" si="37"/>
        <v>5.2933333333333346E-2</v>
      </c>
      <c r="H192" s="317">
        <f t="shared" si="37"/>
        <v>5.3666666666666682E-2</v>
      </c>
      <c r="I192" s="317">
        <f t="shared" si="37"/>
        <v>5.4400000000000018E-2</v>
      </c>
      <c r="J192" s="317">
        <f t="shared" si="37"/>
        <v>5.5133333333333354E-2</v>
      </c>
      <c r="K192" s="317">
        <f t="shared" si="37"/>
        <v>5.5866666666666689E-2</v>
      </c>
      <c r="L192" s="317">
        <f t="shared" si="37"/>
        <v>5.6600000000000025E-2</v>
      </c>
      <c r="M192" s="317">
        <f t="shared" si="37"/>
        <v>5.7333333333333361E-2</v>
      </c>
      <c r="N192" s="317">
        <f t="shared" si="37"/>
        <v>5.8066666666666697E-2</v>
      </c>
      <c r="O192" s="317">
        <f t="shared" si="37"/>
        <v>5.8800000000000033E-2</v>
      </c>
      <c r="P192" s="317">
        <f t="shared" si="37"/>
        <v>5.9533333333333369E-2</v>
      </c>
      <c r="Q192" s="317">
        <f t="shared" si="37"/>
        <v>6.0266666666666704E-2</v>
      </c>
      <c r="R192" s="317">
        <f t="shared" si="37"/>
        <v>6.100000000000004E-2</v>
      </c>
      <c r="S192" s="317">
        <f t="shared" si="37"/>
        <v>6.1733333333333376E-2</v>
      </c>
      <c r="T192" s="317">
        <f t="shared" si="37"/>
        <v>6.2466666666666712E-2</v>
      </c>
      <c r="U192" s="317">
        <f t="shared" si="37"/>
        <v>6.3200000000000048E-2</v>
      </c>
      <c r="V192" s="317">
        <f t="shared" si="37"/>
        <v>6.3933333333333384E-2</v>
      </c>
      <c r="W192" s="317">
        <f t="shared" si="37"/>
        <v>6.4666666666666719E-2</v>
      </c>
      <c r="X192" s="317">
        <f t="shared" si="37"/>
        <v>6.5400000000000055E-2</v>
      </c>
      <c r="Y192" s="317">
        <f t="shared" si="37"/>
        <v>6.6133333333333391E-2</v>
      </c>
      <c r="Z192" s="317">
        <f t="shared" si="37"/>
        <v>6.6866666666666727E-2</v>
      </c>
      <c r="AA192" s="317">
        <f t="shared" si="37"/>
        <v>6.7600000000000063E-2</v>
      </c>
      <c r="AB192" s="317">
        <f t="shared" si="37"/>
        <v>6.8333333333333399E-2</v>
      </c>
      <c r="AC192" s="317">
        <f t="shared" si="37"/>
        <v>6.9066666666666734E-2</v>
      </c>
      <c r="AD192" s="317">
        <f t="shared" si="37"/>
        <v>6.980000000000007E-2</v>
      </c>
      <c r="AE192" s="317">
        <f t="shared" si="37"/>
        <v>7.0533333333333406E-2</v>
      </c>
      <c r="AF192" s="317">
        <f t="shared" si="37"/>
        <v>7.1266666666666742E-2</v>
      </c>
      <c r="AG192" s="296">
        <v>7.1999999999999995E-2</v>
      </c>
      <c r="AI192" s="214"/>
      <c r="AJ192" s="211" t="s">
        <v>1363</v>
      </c>
    </row>
    <row r="193" spans="1:36" s="58" customFormat="1" outlineLevel="1">
      <c r="A193" s="306" t="s">
        <v>1366</v>
      </c>
      <c r="B193" s="303"/>
      <c r="C193" s="304"/>
      <c r="D193" s="304"/>
      <c r="E193" s="304"/>
      <c r="F193" s="304"/>
      <c r="G193" s="304"/>
      <c r="H193" s="304"/>
      <c r="I193" s="304"/>
      <c r="J193" s="304"/>
      <c r="K193" s="304"/>
      <c r="L193" s="304"/>
      <c r="M193" s="304"/>
      <c r="N193" s="304"/>
      <c r="O193" s="304"/>
      <c r="P193" s="304"/>
      <c r="Q193" s="304"/>
      <c r="R193" s="304"/>
      <c r="S193" s="304"/>
      <c r="T193" s="304"/>
      <c r="U193" s="304"/>
      <c r="V193" s="304"/>
      <c r="W193" s="304"/>
      <c r="X193" s="304"/>
      <c r="Y193" s="304"/>
      <c r="Z193" s="304"/>
      <c r="AA193" s="304"/>
      <c r="AB193" s="304"/>
      <c r="AC193" s="304"/>
      <c r="AD193" s="304"/>
      <c r="AE193" s="304"/>
      <c r="AF193" s="304"/>
      <c r="AG193" s="304"/>
      <c r="AI193" s="305"/>
      <c r="AJ193" s="306"/>
    </row>
    <row r="194" spans="1:36" s="58" customFormat="1" outlineLevel="1">
      <c r="A194" s="307" t="s">
        <v>1367</v>
      </c>
      <c r="B194" s="308" t="s">
        <v>462</v>
      </c>
      <c r="C194" s="337">
        <v>0.84</v>
      </c>
      <c r="D194" s="338">
        <f>-($C194-$AG194)/30+C194</f>
        <v>0.84399999999999997</v>
      </c>
      <c r="E194" s="338">
        <f t="shared" ref="E194:AF194" si="38">-($C194-$AG194)/30+D194</f>
        <v>0.84799999999999998</v>
      </c>
      <c r="F194" s="338">
        <f t="shared" si="38"/>
        <v>0.85199999999999998</v>
      </c>
      <c r="G194" s="338">
        <f t="shared" si="38"/>
        <v>0.85599999999999998</v>
      </c>
      <c r="H194" s="338">
        <f t="shared" si="38"/>
        <v>0.86</v>
      </c>
      <c r="I194" s="338">
        <f t="shared" si="38"/>
        <v>0.86399999999999999</v>
      </c>
      <c r="J194" s="338">
        <f t="shared" si="38"/>
        <v>0.86799999999999999</v>
      </c>
      <c r="K194" s="338">
        <f t="shared" si="38"/>
        <v>0.872</v>
      </c>
      <c r="L194" s="338">
        <f t="shared" si="38"/>
        <v>0.876</v>
      </c>
      <c r="M194" s="338">
        <f t="shared" si="38"/>
        <v>0.88</v>
      </c>
      <c r="N194" s="338">
        <f t="shared" si="38"/>
        <v>0.88400000000000001</v>
      </c>
      <c r="O194" s="338">
        <f t="shared" si="38"/>
        <v>0.88800000000000001</v>
      </c>
      <c r="P194" s="338">
        <f t="shared" si="38"/>
        <v>0.89200000000000002</v>
      </c>
      <c r="Q194" s="338">
        <f t="shared" si="38"/>
        <v>0.89600000000000002</v>
      </c>
      <c r="R194" s="338">
        <f t="shared" si="38"/>
        <v>0.9</v>
      </c>
      <c r="S194" s="338">
        <f t="shared" si="38"/>
        <v>0.90400000000000003</v>
      </c>
      <c r="T194" s="338">
        <f t="shared" si="38"/>
        <v>0.90800000000000003</v>
      </c>
      <c r="U194" s="338">
        <f t="shared" si="38"/>
        <v>0.91200000000000003</v>
      </c>
      <c r="V194" s="338">
        <f t="shared" si="38"/>
        <v>0.91600000000000004</v>
      </c>
      <c r="W194" s="338">
        <f t="shared" si="38"/>
        <v>0.92</v>
      </c>
      <c r="X194" s="338">
        <f t="shared" si="38"/>
        <v>0.92400000000000004</v>
      </c>
      <c r="Y194" s="338">
        <f t="shared" si="38"/>
        <v>0.92800000000000005</v>
      </c>
      <c r="Z194" s="338">
        <f t="shared" si="38"/>
        <v>0.93200000000000005</v>
      </c>
      <c r="AA194" s="338">
        <f t="shared" si="38"/>
        <v>0.93600000000000005</v>
      </c>
      <c r="AB194" s="338">
        <f t="shared" si="38"/>
        <v>0.94000000000000006</v>
      </c>
      <c r="AC194" s="338">
        <f t="shared" si="38"/>
        <v>0.94400000000000006</v>
      </c>
      <c r="AD194" s="338">
        <f t="shared" si="38"/>
        <v>0.94800000000000006</v>
      </c>
      <c r="AE194" s="338">
        <f t="shared" si="38"/>
        <v>0.95200000000000007</v>
      </c>
      <c r="AF194" s="338">
        <f t="shared" si="38"/>
        <v>0.95600000000000007</v>
      </c>
      <c r="AG194" s="337">
        <v>0.96</v>
      </c>
      <c r="AI194" s="305"/>
      <c r="AJ194" s="339" t="s">
        <v>1363</v>
      </c>
    </row>
    <row r="195" spans="1:36" s="58" customFormat="1" outlineLevel="1">
      <c r="A195" s="307" t="s">
        <v>1368</v>
      </c>
      <c r="B195" s="308" t="s">
        <v>462</v>
      </c>
      <c r="C195" s="337">
        <v>0.22</v>
      </c>
      <c r="D195" s="338">
        <f>-($C195-$AG195)/30+C195</f>
        <v>0.22666666666666666</v>
      </c>
      <c r="E195" s="338">
        <f t="shared" ref="E195:AF195" si="39">-($C195-$AG195)/30+D195</f>
        <v>0.23333333333333331</v>
      </c>
      <c r="F195" s="338">
        <f t="shared" si="39"/>
        <v>0.23999999999999996</v>
      </c>
      <c r="G195" s="338">
        <f t="shared" si="39"/>
        <v>0.24666666666666662</v>
      </c>
      <c r="H195" s="338">
        <f t="shared" si="39"/>
        <v>0.2533333333333333</v>
      </c>
      <c r="I195" s="338">
        <f t="shared" si="39"/>
        <v>0.25999999999999995</v>
      </c>
      <c r="J195" s="338">
        <f t="shared" si="39"/>
        <v>0.26666666666666661</v>
      </c>
      <c r="K195" s="338">
        <f t="shared" si="39"/>
        <v>0.27333333333333326</v>
      </c>
      <c r="L195" s="338">
        <f t="shared" si="39"/>
        <v>0.27999999999999992</v>
      </c>
      <c r="M195" s="338">
        <f t="shared" si="39"/>
        <v>0.28666666666666657</v>
      </c>
      <c r="N195" s="338">
        <f t="shared" si="39"/>
        <v>0.29333333333333322</v>
      </c>
      <c r="O195" s="338">
        <f t="shared" si="39"/>
        <v>0.29999999999999988</v>
      </c>
      <c r="P195" s="338">
        <f t="shared" si="39"/>
        <v>0.30666666666666653</v>
      </c>
      <c r="Q195" s="338">
        <f t="shared" si="39"/>
        <v>0.31333333333333319</v>
      </c>
      <c r="R195" s="338">
        <f t="shared" si="39"/>
        <v>0.31999999999999984</v>
      </c>
      <c r="S195" s="338">
        <f t="shared" si="39"/>
        <v>0.32666666666666649</v>
      </c>
      <c r="T195" s="338">
        <f t="shared" si="39"/>
        <v>0.33333333333333315</v>
      </c>
      <c r="U195" s="338">
        <f t="shared" si="39"/>
        <v>0.3399999999999998</v>
      </c>
      <c r="V195" s="338">
        <f t="shared" si="39"/>
        <v>0.34666666666666646</v>
      </c>
      <c r="W195" s="338">
        <f t="shared" si="39"/>
        <v>0.35333333333333311</v>
      </c>
      <c r="X195" s="338">
        <f t="shared" si="39"/>
        <v>0.35999999999999976</v>
      </c>
      <c r="Y195" s="338">
        <f t="shared" si="39"/>
        <v>0.36666666666666642</v>
      </c>
      <c r="Z195" s="338">
        <f t="shared" si="39"/>
        <v>0.37333333333333307</v>
      </c>
      <c r="AA195" s="338">
        <f t="shared" si="39"/>
        <v>0.37999999999999973</v>
      </c>
      <c r="AB195" s="338">
        <f t="shared" si="39"/>
        <v>0.38666666666666638</v>
      </c>
      <c r="AC195" s="338">
        <f t="shared" si="39"/>
        <v>0.39333333333333304</v>
      </c>
      <c r="AD195" s="338">
        <f t="shared" si="39"/>
        <v>0.39999999999999969</v>
      </c>
      <c r="AE195" s="338">
        <f t="shared" si="39"/>
        <v>0.40666666666666634</v>
      </c>
      <c r="AF195" s="338">
        <f t="shared" si="39"/>
        <v>0.413333333333333</v>
      </c>
      <c r="AG195" s="337">
        <v>0.42</v>
      </c>
      <c r="AI195" s="305"/>
      <c r="AJ195" s="339" t="s">
        <v>1363</v>
      </c>
    </row>
    <row r="196" spans="1:36" s="62" customFormat="1" outlineLevel="1">
      <c r="A196" s="311" t="s">
        <v>1369</v>
      </c>
      <c r="B196" s="312" t="s">
        <v>462</v>
      </c>
      <c r="C196" s="340">
        <f>1-C195</f>
        <v>0.78</v>
      </c>
      <c r="D196" s="340">
        <f t="shared" ref="D196:AG196" si="40">1-D195</f>
        <v>0.77333333333333332</v>
      </c>
      <c r="E196" s="340">
        <f t="shared" si="40"/>
        <v>0.76666666666666672</v>
      </c>
      <c r="F196" s="340">
        <f t="shared" si="40"/>
        <v>0.76</v>
      </c>
      <c r="G196" s="340">
        <f t="shared" si="40"/>
        <v>0.75333333333333341</v>
      </c>
      <c r="H196" s="340">
        <f t="shared" si="40"/>
        <v>0.7466666666666667</v>
      </c>
      <c r="I196" s="340">
        <f t="shared" si="40"/>
        <v>0.74</v>
      </c>
      <c r="J196" s="340">
        <f t="shared" si="40"/>
        <v>0.73333333333333339</v>
      </c>
      <c r="K196" s="340">
        <f t="shared" si="40"/>
        <v>0.72666666666666679</v>
      </c>
      <c r="L196" s="340">
        <f t="shared" si="40"/>
        <v>0.72000000000000008</v>
      </c>
      <c r="M196" s="340">
        <f t="shared" si="40"/>
        <v>0.71333333333333337</v>
      </c>
      <c r="N196" s="340">
        <f t="shared" si="40"/>
        <v>0.70666666666666678</v>
      </c>
      <c r="O196" s="340">
        <f t="shared" si="40"/>
        <v>0.70000000000000018</v>
      </c>
      <c r="P196" s="340">
        <f t="shared" si="40"/>
        <v>0.69333333333333347</v>
      </c>
      <c r="Q196" s="340">
        <f t="shared" si="40"/>
        <v>0.68666666666666676</v>
      </c>
      <c r="R196" s="340">
        <f t="shared" si="40"/>
        <v>0.68000000000000016</v>
      </c>
      <c r="S196" s="340">
        <f t="shared" si="40"/>
        <v>0.67333333333333356</v>
      </c>
      <c r="T196" s="340">
        <f t="shared" si="40"/>
        <v>0.66666666666666685</v>
      </c>
      <c r="U196" s="340">
        <f t="shared" si="40"/>
        <v>0.66000000000000014</v>
      </c>
      <c r="V196" s="340">
        <f t="shared" si="40"/>
        <v>0.65333333333333354</v>
      </c>
      <c r="W196" s="340">
        <f t="shared" si="40"/>
        <v>0.64666666666666694</v>
      </c>
      <c r="X196" s="340">
        <f t="shared" si="40"/>
        <v>0.64000000000000024</v>
      </c>
      <c r="Y196" s="340">
        <f t="shared" si="40"/>
        <v>0.63333333333333353</v>
      </c>
      <c r="Z196" s="340">
        <f t="shared" si="40"/>
        <v>0.62666666666666693</v>
      </c>
      <c r="AA196" s="340">
        <f t="shared" si="40"/>
        <v>0.62000000000000033</v>
      </c>
      <c r="AB196" s="340">
        <f t="shared" si="40"/>
        <v>0.61333333333333362</v>
      </c>
      <c r="AC196" s="340">
        <f t="shared" si="40"/>
        <v>0.60666666666666691</v>
      </c>
      <c r="AD196" s="340">
        <f t="shared" si="40"/>
        <v>0.60000000000000031</v>
      </c>
      <c r="AE196" s="340">
        <f t="shared" si="40"/>
        <v>0.59333333333333371</v>
      </c>
      <c r="AF196" s="340">
        <f t="shared" si="40"/>
        <v>0.586666666666667</v>
      </c>
      <c r="AG196" s="340">
        <f t="shared" si="40"/>
        <v>0.58000000000000007</v>
      </c>
      <c r="AI196" s="342"/>
      <c r="AJ196" s="341" t="s">
        <v>1363</v>
      </c>
    </row>
    <row r="197" spans="1:36" s="1" customFormat="1" outlineLevel="1">
      <c r="A197" t="s">
        <v>1370</v>
      </c>
      <c r="B197" s="302" t="s">
        <v>462</v>
      </c>
      <c r="C197" s="296">
        <v>0.85</v>
      </c>
      <c r="D197" s="317">
        <f t="shared" ref="D197:AF205" si="41">-($C197-$AG197)/30+C197</f>
        <v>0.84833333333333327</v>
      </c>
      <c r="E197" s="317">
        <f t="shared" si="41"/>
        <v>0.84666666666666657</v>
      </c>
      <c r="F197" s="317">
        <f t="shared" si="41"/>
        <v>0.84499999999999986</v>
      </c>
      <c r="G197" s="317">
        <f t="shared" si="41"/>
        <v>0.84333333333333316</v>
      </c>
      <c r="H197" s="317">
        <f t="shared" si="41"/>
        <v>0.84166666666666645</v>
      </c>
      <c r="I197" s="317">
        <f t="shared" si="41"/>
        <v>0.83999999999999975</v>
      </c>
      <c r="J197" s="317">
        <f t="shared" si="41"/>
        <v>0.83833333333333304</v>
      </c>
      <c r="K197" s="317">
        <f t="shared" si="41"/>
        <v>0.83666666666666634</v>
      </c>
      <c r="L197" s="317">
        <f t="shared" si="41"/>
        <v>0.83499999999999963</v>
      </c>
      <c r="M197" s="317">
        <f t="shared" si="41"/>
        <v>0.83333333333333293</v>
      </c>
      <c r="N197" s="317">
        <f t="shared" si="41"/>
        <v>0.83166666666666622</v>
      </c>
      <c r="O197" s="317">
        <f t="shared" si="41"/>
        <v>0.82999999999999952</v>
      </c>
      <c r="P197" s="317">
        <f t="shared" si="41"/>
        <v>0.82833333333333281</v>
      </c>
      <c r="Q197" s="317">
        <f t="shared" si="41"/>
        <v>0.82666666666666611</v>
      </c>
      <c r="R197" s="317">
        <f t="shared" si="41"/>
        <v>0.8249999999999994</v>
      </c>
      <c r="S197" s="317">
        <f t="shared" si="41"/>
        <v>0.8233333333333327</v>
      </c>
      <c r="T197" s="317">
        <f t="shared" si="41"/>
        <v>0.82166666666666599</v>
      </c>
      <c r="U197" s="317">
        <f t="shared" si="41"/>
        <v>0.81999999999999929</v>
      </c>
      <c r="V197" s="317">
        <f t="shared" si="41"/>
        <v>0.81833333333333258</v>
      </c>
      <c r="W197" s="317">
        <f t="shared" si="41"/>
        <v>0.81666666666666587</v>
      </c>
      <c r="X197" s="317">
        <f t="shared" si="41"/>
        <v>0.81499999999999917</v>
      </c>
      <c r="Y197" s="317">
        <f t="shared" si="41"/>
        <v>0.81333333333333246</v>
      </c>
      <c r="Z197" s="317">
        <f t="shared" si="41"/>
        <v>0.81166666666666576</v>
      </c>
      <c r="AA197" s="317">
        <f t="shared" si="41"/>
        <v>0.80999999999999905</v>
      </c>
      <c r="AB197" s="317">
        <f t="shared" si="41"/>
        <v>0.80833333333333235</v>
      </c>
      <c r="AC197" s="317">
        <f t="shared" si="41"/>
        <v>0.80666666666666564</v>
      </c>
      <c r="AD197" s="317">
        <f t="shared" si="41"/>
        <v>0.80499999999999894</v>
      </c>
      <c r="AE197" s="317">
        <f t="shared" si="41"/>
        <v>0.80333333333333223</v>
      </c>
      <c r="AF197" s="317">
        <f t="shared" si="41"/>
        <v>0.80166666666666553</v>
      </c>
      <c r="AG197" s="296">
        <v>0.8</v>
      </c>
      <c r="AI197" s="316"/>
      <c r="AJ197" s="211" t="s">
        <v>1363</v>
      </c>
    </row>
    <row r="198" spans="1:36" s="1" customFormat="1" outlineLevel="1">
      <c r="A198" t="s">
        <v>1371</v>
      </c>
      <c r="B198" s="302" t="s">
        <v>462</v>
      </c>
      <c r="C198" s="296">
        <v>0.15</v>
      </c>
      <c r="D198" s="317">
        <f t="shared" si="41"/>
        <v>0.15166666666666667</v>
      </c>
      <c r="E198" s="317">
        <f t="shared" si="41"/>
        <v>0.15333333333333335</v>
      </c>
      <c r="F198" s="317">
        <f t="shared" si="41"/>
        <v>0.15500000000000003</v>
      </c>
      <c r="G198" s="317">
        <f t="shared" si="41"/>
        <v>0.1566666666666667</v>
      </c>
      <c r="H198" s="317">
        <f t="shared" si="41"/>
        <v>0.15833333333333338</v>
      </c>
      <c r="I198" s="317">
        <f t="shared" si="41"/>
        <v>0.16000000000000006</v>
      </c>
      <c r="J198" s="317">
        <f t="shared" si="41"/>
        <v>0.16166666666666674</v>
      </c>
      <c r="K198" s="317">
        <f t="shared" si="41"/>
        <v>0.16333333333333341</v>
      </c>
      <c r="L198" s="317">
        <f t="shared" si="41"/>
        <v>0.16500000000000009</v>
      </c>
      <c r="M198" s="317">
        <f t="shared" si="41"/>
        <v>0.16666666666666677</v>
      </c>
      <c r="N198" s="317">
        <f t="shared" si="41"/>
        <v>0.16833333333333345</v>
      </c>
      <c r="O198" s="317">
        <f t="shared" si="41"/>
        <v>0.17000000000000012</v>
      </c>
      <c r="P198" s="317">
        <f t="shared" si="41"/>
        <v>0.1716666666666668</v>
      </c>
      <c r="Q198" s="317">
        <f t="shared" si="41"/>
        <v>0.17333333333333348</v>
      </c>
      <c r="R198" s="317">
        <f t="shared" si="41"/>
        <v>0.17500000000000016</v>
      </c>
      <c r="S198" s="317">
        <f t="shared" si="41"/>
        <v>0.17666666666666683</v>
      </c>
      <c r="T198" s="317">
        <f t="shared" si="41"/>
        <v>0.17833333333333351</v>
      </c>
      <c r="U198" s="317">
        <f t="shared" si="41"/>
        <v>0.18000000000000019</v>
      </c>
      <c r="V198" s="317">
        <f t="shared" si="41"/>
        <v>0.18166666666666687</v>
      </c>
      <c r="W198" s="317">
        <f t="shared" si="41"/>
        <v>0.18333333333333354</v>
      </c>
      <c r="X198" s="317">
        <f t="shared" si="41"/>
        <v>0.18500000000000022</v>
      </c>
      <c r="Y198" s="317">
        <f t="shared" si="41"/>
        <v>0.1866666666666669</v>
      </c>
      <c r="Z198" s="317">
        <f t="shared" si="41"/>
        <v>0.18833333333333357</v>
      </c>
      <c r="AA198" s="317">
        <f t="shared" si="41"/>
        <v>0.19000000000000025</v>
      </c>
      <c r="AB198" s="317">
        <f t="shared" si="41"/>
        <v>0.19166666666666693</v>
      </c>
      <c r="AC198" s="317">
        <f t="shared" si="41"/>
        <v>0.19333333333333361</v>
      </c>
      <c r="AD198" s="317">
        <f t="shared" si="41"/>
        <v>0.19500000000000028</v>
      </c>
      <c r="AE198" s="317">
        <f t="shared" si="41"/>
        <v>0.19666666666666696</v>
      </c>
      <c r="AF198" s="317">
        <f t="shared" si="41"/>
        <v>0.19833333333333364</v>
      </c>
      <c r="AG198" s="296">
        <v>0.2</v>
      </c>
      <c r="AI198" s="316"/>
      <c r="AJ198" s="211" t="s">
        <v>1363</v>
      </c>
    </row>
    <row r="199" spans="1:36" s="1" customFormat="1" outlineLevel="1">
      <c r="A199" t="s">
        <v>1372</v>
      </c>
      <c r="B199" s="302" t="s">
        <v>462</v>
      </c>
      <c r="C199" s="296">
        <v>0.15</v>
      </c>
      <c r="D199" s="317">
        <f t="shared" si="41"/>
        <v>0.15633333333333332</v>
      </c>
      <c r="E199" s="317">
        <f t="shared" si="41"/>
        <v>0.16266666666666665</v>
      </c>
      <c r="F199" s="317">
        <f t="shared" si="41"/>
        <v>0.16899999999999998</v>
      </c>
      <c r="G199" s="317">
        <f t="shared" si="41"/>
        <v>0.17533333333333331</v>
      </c>
      <c r="H199" s="317">
        <f t="shared" si="41"/>
        <v>0.18166666666666664</v>
      </c>
      <c r="I199" s="317">
        <f t="shared" si="41"/>
        <v>0.18799999999999997</v>
      </c>
      <c r="J199" s="317">
        <f t="shared" si="41"/>
        <v>0.1943333333333333</v>
      </c>
      <c r="K199" s="317">
        <f t="shared" si="41"/>
        <v>0.20066666666666663</v>
      </c>
      <c r="L199" s="317">
        <f t="shared" si="41"/>
        <v>0.20699999999999996</v>
      </c>
      <c r="M199" s="317">
        <f t="shared" si="41"/>
        <v>0.21333333333333329</v>
      </c>
      <c r="N199" s="317">
        <f t="shared" si="41"/>
        <v>0.21966666666666662</v>
      </c>
      <c r="O199" s="317">
        <f t="shared" si="41"/>
        <v>0.22599999999999995</v>
      </c>
      <c r="P199" s="317">
        <f t="shared" si="41"/>
        <v>0.23233333333333328</v>
      </c>
      <c r="Q199" s="317">
        <f t="shared" si="41"/>
        <v>0.23866666666666661</v>
      </c>
      <c r="R199" s="317">
        <f t="shared" si="41"/>
        <v>0.24499999999999994</v>
      </c>
      <c r="S199" s="317">
        <f t="shared" si="41"/>
        <v>0.2513333333333333</v>
      </c>
      <c r="T199" s="317">
        <f t="shared" si="41"/>
        <v>0.25766666666666665</v>
      </c>
      <c r="U199" s="317">
        <f t="shared" si="41"/>
        <v>0.26400000000000001</v>
      </c>
      <c r="V199" s="317">
        <f t="shared" si="41"/>
        <v>0.27033333333333337</v>
      </c>
      <c r="W199" s="317">
        <f t="shared" si="41"/>
        <v>0.27666666666666673</v>
      </c>
      <c r="X199" s="317">
        <f t="shared" si="41"/>
        <v>0.28300000000000008</v>
      </c>
      <c r="Y199" s="317">
        <f t="shared" si="41"/>
        <v>0.28933333333333344</v>
      </c>
      <c r="Z199" s="317">
        <f t="shared" si="41"/>
        <v>0.2956666666666668</v>
      </c>
      <c r="AA199" s="317">
        <f t="shared" si="41"/>
        <v>0.30200000000000016</v>
      </c>
      <c r="AB199" s="317">
        <f t="shared" si="41"/>
        <v>0.30833333333333351</v>
      </c>
      <c r="AC199" s="317">
        <f t="shared" si="41"/>
        <v>0.31466666666666687</v>
      </c>
      <c r="AD199" s="317">
        <f t="shared" si="41"/>
        <v>0.32100000000000023</v>
      </c>
      <c r="AE199" s="317">
        <f t="shared" si="41"/>
        <v>0.32733333333333359</v>
      </c>
      <c r="AF199" s="317">
        <f t="shared" si="41"/>
        <v>0.33366666666666694</v>
      </c>
      <c r="AG199" s="296">
        <v>0.34</v>
      </c>
      <c r="AI199" s="316"/>
      <c r="AJ199" s="211" t="s">
        <v>1363</v>
      </c>
    </row>
    <row r="200" spans="1:36" s="1" customFormat="1" outlineLevel="1">
      <c r="A200" t="s">
        <v>1373</v>
      </c>
      <c r="B200" s="302" t="s">
        <v>462</v>
      </c>
      <c r="C200" s="296">
        <v>0.85</v>
      </c>
      <c r="D200" s="317">
        <f t="shared" si="41"/>
        <v>0.84366666666666668</v>
      </c>
      <c r="E200" s="317">
        <f t="shared" si="41"/>
        <v>0.83733333333333337</v>
      </c>
      <c r="F200" s="317">
        <f t="shared" si="41"/>
        <v>0.83100000000000007</v>
      </c>
      <c r="G200" s="317">
        <f t="shared" si="41"/>
        <v>0.82466666666666677</v>
      </c>
      <c r="H200" s="317">
        <f t="shared" si="41"/>
        <v>0.81833333333333347</v>
      </c>
      <c r="I200" s="317">
        <f t="shared" si="41"/>
        <v>0.81200000000000017</v>
      </c>
      <c r="J200" s="317">
        <f t="shared" si="41"/>
        <v>0.80566666666666686</v>
      </c>
      <c r="K200" s="317">
        <f t="shared" si="41"/>
        <v>0.79933333333333356</v>
      </c>
      <c r="L200" s="317">
        <f t="shared" si="41"/>
        <v>0.79300000000000026</v>
      </c>
      <c r="M200" s="317">
        <f t="shared" si="41"/>
        <v>0.78666666666666696</v>
      </c>
      <c r="N200" s="317">
        <f t="shared" si="41"/>
        <v>0.78033333333333366</v>
      </c>
      <c r="O200" s="317">
        <f t="shared" si="41"/>
        <v>0.77400000000000035</v>
      </c>
      <c r="P200" s="317">
        <f t="shared" si="41"/>
        <v>0.76766666666666705</v>
      </c>
      <c r="Q200" s="317">
        <f t="shared" si="41"/>
        <v>0.76133333333333375</v>
      </c>
      <c r="R200" s="317">
        <f t="shared" si="41"/>
        <v>0.75500000000000045</v>
      </c>
      <c r="S200" s="317">
        <f t="shared" si="41"/>
        <v>0.74866666666666715</v>
      </c>
      <c r="T200" s="317">
        <f t="shared" si="41"/>
        <v>0.74233333333333384</v>
      </c>
      <c r="U200" s="317">
        <f t="shared" si="41"/>
        <v>0.73600000000000054</v>
      </c>
      <c r="V200" s="317">
        <f t="shared" si="41"/>
        <v>0.72966666666666724</v>
      </c>
      <c r="W200" s="317">
        <f t="shared" si="41"/>
        <v>0.72333333333333394</v>
      </c>
      <c r="X200" s="317">
        <f t="shared" si="41"/>
        <v>0.71700000000000064</v>
      </c>
      <c r="Y200" s="317">
        <f t="shared" si="41"/>
        <v>0.71066666666666733</v>
      </c>
      <c r="Z200" s="317">
        <f t="shared" si="41"/>
        <v>0.70433333333333403</v>
      </c>
      <c r="AA200" s="317">
        <f t="shared" si="41"/>
        <v>0.69800000000000073</v>
      </c>
      <c r="AB200" s="317">
        <f t="shared" si="41"/>
        <v>0.69166666666666743</v>
      </c>
      <c r="AC200" s="317">
        <f t="shared" si="41"/>
        <v>0.68533333333333413</v>
      </c>
      <c r="AD200" s="317">
        <f t="shared" si="41"/>
        <v>0.67900000000000083</v>
      </c>
      <c r="AE200" s="317">
        <f t="shared" si="41"/>
        <v>0.67266666666666752</v>
      </c>
      <c r="AF200" s="317">
        <f t="shared" si="41"/>
        <v>0.66633333333333422</v>
      </c>
      <c r="AG200" s="296">
        <v>0.66</v>
      </c>
      <c r="AI200" s="316"/>
      <c r="AJ200" s="211" t="s">
        <v>1363</v>
      </c>
    </row>
    <row r="201" spans="1:36" s="1" customFormat="1" outlineLevel="1">
      <c r="A201" t="s">
        <v>1374</v>
      </c>
      <c r="B201" s="302" t="s">
        <v>462</v>
      </c>
      <c r="C201" s="296">
        <v>0</v>
      </c>
      <c r="D201" s="317">
        <f t="shared" si="41"/>
        <v>0</v>
      </c>
      <c r="E201" s="317">
        <f t="shared" si="41"/>
        <v>0</v>
      </c>
      <c r="F201" s="317">
        <f t="shared" si="41"/>
        <v>0</v>
      </c>
      <c r="G201" s="317">
        <f t="shared" si="41"/>
        <v>0</v>
      </c>
      <c r="H201" s="317">
        <f t="shared" si="41"/>
        <v>0</v>
      </c>
      <c r="I201" s="317">
        <f t="shared" si="41"/>
        <v>0</v>
      </c>
      <c r="J201" s="317">
        <f t="shared" si="41"/>
        <v>0</v>
      </c>
      <c r="K201" s="317">
        <f t="shared" si="41"/>
        <v>0</v>
      </c>
      <c r="L201" s="317">
        <f t="shared" si="41"/>
        <v>0</v>
      </c>
      <c r="M201" s="317">
        <f t="shared" si="41"/>
        <v>0</v>
      </c>
      <c r="N201" s="317">
        <f t="shared" si="41"/>
        <v>0</v>
      </c>
      <c r="O201" s="317">
        <f t="shared" si="41"/>
        <v>0</v>
      </c>
      <c r="P201" s="317">
        <f t="shared" si="41"/>
        <v>0</v>
      </c>
      <c r="Q201" s="317">
        <f t="shared" si="41"/>
        <v>0</v>
      </c>
      <c r="R201" s="317">
        <f t="shared" si="41"/>
        <v>0</v>
      </c>
      <c r="S201" s="317">
        <f t="shared" si="41"/>
        <v>0</v>
      </c>
      <c r="T201" s="317">
        <f t="shared" si="41"/>
        <v>0</v>
      </c>
      <c r="U201" s="317">
        <f t="shared" si="41"/>
        <v>0</v>
      </c>
      <c r="V201" s="317">
        <f t="shared" si="41"/>
        <v>0</v>
      </c>
      <c r="W201" s="317">
        <f t="shared" si="41"/>
        <v>0</v>
      </c>
      <c r="X201" s="317">
        <f t="shared" si="41"/>
        <v>0</v>
      </c>
      <c r="Y201" s="317">
        <f t="shared" si="41"/>
        <v>0</v>
      </c>
      <c r="Z201" s="317">
        <f t="shared" si="41"/>
        <v>0</v>
      </c>
      <c r="AA201" s="317">
        <f t="shared" si="41"/>
        <v>0</v>
      </c>
      <c r="AB201" s="317">
        <f t="shared" si="41"/>
        <v>0</v>
      </c>
      <c r="AC201" s="317">
        <f t="shared" si="41"/>
        <v>0</v>
      </c>
      <c r="AD201" s="317">
        <f t="shared" si="41"/>
        <v>0</v>
      </c>
      <c r="AE201" s="317">
        <f t="shared" si="41"/>
        <v>0</v>
      </c>
      <c r="AF201" s="317">
        <f t="shared" si="41"/>
        <v>0</v>
      </c>
      <c r="AG201" s="296">
        <v>0</v>
      </c>
      <c r="AI201" s="316"/>
      <c r="AJ201" s="211" t="s">
        <v>1363</v>
      </c>
    </row>
    <row r="202" spans="1:36" s="1" customFormat="1" outlineLevel="1">
      <c r="A202" t="s">
        <v>1375</v>
      </c>
      <c r="B202" s="302" t="s">
        <v>462</v>
      </c>
      <c r="C202" s="296">
        <v>1</v>
      </c>
      <c r="D202" s="317">
        <f t="shared" si="41"/>
        <v>1</v>
      </c>
      <c r="E202" s="317">
        <f t="shared" si="41"/>
        <v>1</v>
      </c>
      <c r="F202" s="317">
        <f t="shared" si="41"/>
        <v>1</v>
      </c>
      <c r="G202" s="317">
        <f t="shared" si="41"/>
        <v>1</v>
      </c>
      <c r="H202" s="317">
        <f t="shared" si="41"/>
        <v>1</v>
      </c>
      <c r="I202" s="317">
        <f t="shared" si="41"/>
        <v>1</v>
      </c>
      <c r="J202" s="317">
        <f t="shared" si="41"/>
        <v>1</v>
      </c>
      <c r="K202" s="317">
        <f t="shared" si="41"/>
        <v>1</v>
      </c>
      <c r="L202" s="317">
        <f t="shared" si="41"/>
        <v>1</v>
      </c>
      <c r="M202" s="317">
        <f t="shared" si="41"/>
        <v>1</v>
      </c>
      <c r="N202" s="317">
        <f t="shared" si="41"/>
        <v>1</v>
      </c>
      <c r="O202" s="317">
        <f t="shared" si="41"/>
        <v>1</v>
      </c>
      <c r="P202" s="317">
        <f t="shared" si="41"/>
        <v>1</v>
      </c>
      <c r="Q202" s="317">
        <f t="shared" si="41"/>
        <v>1</v>
      </c>
      <c r="R202" s="317">
        <f t="shared" si="41"/>
        <v>1</v>
      </c>
      <c r="S202" s="317">
        <f t="shared" si="41"/>
        <v>1</v>
      </c>
      <c r="T202" s="317">
        <f t="shared" si="41"/>
        <v>1</v>
      </c>
      <c r="U202" s="317">
        <f t="shared" si="41"/>
        <v>1</v>
      </c>
      <c r="V202" s="317">
        <f t="shared" si="41"/>
        <v>1</v>
      </c>
      <c r="W202" s="317">
        <f t="shared" si="41"/>
        <v>1</v>
      </c>
      <c r="X202" s="317">
        <f t="shared" si="41"/>
        <v>1</v>
      </c>
      <c r="Y202" s="317">
        <f t="shared" si="41"/>
        <v>1</v>
      </c>
      <c r="Z202" s="317">
        <f t="shared" si="41"/>
        <v>1</v>
      </c>
      <c r="AA202" s="317">
        <f t="shared" si="41"/>
        <v>1</v>
      </c>
      <c r="AB202" s="317">
        <f t="shared" si="41"/>
        <v>1</v>
      </c>
      <c r="AC202" s="317">
        <f t="shared" si="41"/>
        <v>1</v>
      </c>
      <c r="AD202" s="317">
        <f t="shared" si="41"/>
        <v>1</v>
      </c>
      <c r="AE202" s="317">
        <f t="shared" si="41"/>
        <v>1</v>
      </c>
      <c r="AF202" s="317">
        <f t="shared" si="41"/>
        <v>1</v>
      </c>
      <c r="AG202" s="296">
        <v>1</v>
      </c>
      <c r="AI202" s="316"/>
      <c r="AJ202" s="211" t="s">
        <v>1363</v>
      </c>
    </row>
    <row r="203" spans="1:36" s="1" customFormat="1" outlineLevel="1">
      <c r="A203" t="s">
        <v>1376</v>
      </c>
      <c r="B203" s="302" t="s">
        <v>462</v>
      </c>
      <c r="C203" s="296">
        <v>0.8</v>
      </c>
      <c r="D203" s="317">
        <f t="shared" si="41"/>
        <v>0.80333333333333334</v>
      </c>
      <c r="E203" s="317">
        <f t="shared" si="41"/>
        <v>0.80666666666666664</v>
      </c>
      <c r="F203" s="317">
        <f t="shared" si="41"/>
        <v>0.80999999999999994</v>
      </c>
      <c r="G203" s="317">
        <f t="shared" si="41"/>
        <v>0.81333333333333324</v>
      </c>
      <c r="H203" s="317">
        <f t="shared" si="41"/>
        <v>0.81666666666666654</v>
      </c>
      <c r="I203" s="317">
        <f t="shared" si="41"/>
        <v>0.81999999999999984</v>
      </c>
      <c r="J203" s="317">
        <f t="shared" si="41"/>
        <v>0.82333333333333314</v>
      </c>
      <c r="K203" s="317">
        <f t="shared" si="41"/>
        <v>0.82666666666666644</v>
      </c>
      <c r="L203" s="317">
        <f t="shared" si="41"/>
        <v>0.82999999999999974</v>
      </c>
      <c r="M203" s="317">
        <f t="shared" si="41"/>
        <v>0.83333333333333304</v>
      </c>
      <c r="N203" s="317">
        <f t="shared" si="41"/>
        <v>0.83666666666666634</v>
      </c>
      <c r="O203" s="317">
        <f t="shared" si="41"/>
        <v>0.83999999999999964</v>
      </c>
      <c r="P203" s="317">
        <f t="shared" si="41"/>
        <v>0.84333333333333294</v>
      </c>
      <c r="Q203" s="317">
        <f t="shared" si="41"/>
        <v>0.84666666666666623</v>
      </c>
      <c r="R203" s="317">
        <f t="shared" si="41"/>
        <v>0.84999999999999953</v>
      </c>
      <c r="S203" s="317">
        <f t="shared" si="41"/>
        <v>0.85333333333333283</v>
      </c>
      <c r="T203" s="317">
        <f t="shared" si="41"/>
        <v>0.85666666666666613</v>
      </c>
      <c r="U203" s="317">
        <f t="shared" si="41"/>
        <v>0.85999999999999943</v>
      </c>
      <c r="V203" s="317">
        <f t="shared" si="41"/>
        <v>0.86333333333333273</v>
      </c>
      <c r="W203" s="317">
        <f t="shared" si="41"/>
        <v>0.86666666666666603</v>
      </c>
      <c r="X203" s="317">
        <f t="shared" si="41"/>
        <v>0.86999999999999933</v>
      </c>
      <c r="Y203" s="317">
        <f t="shared" si="41"/>
        <v>0.87333333333333263</v>
      </c>
      <c r="Z203" s="317">
        <f t="shared" si="41"/>
        <v>0.87666666666666593</v>
      </c>
      <c r="AA203" s="317">
        <f t="shared" si="41"/>
        <v>0.87999999999999923</v>
      </c>
      <c r="AB203" s="317">
        <f t="shared" si="41"/>
        <v>0.88333333333333253</v>
      </c>
      <c r="AC203" s="317">
        <f t="shared" si="41"/>
        <v>0.88666666666666583</v>
      </c>
      <c r="AD203" s="317">
        <f t="shared" si="41"/>
        <v>0.88999999999999913</v>
      </c>
      <c r="AE203" s="317">
        <f t="shared" si="41"/>
        <v>0.89333333333333242</v>
      </c>
      <c r="AF203" s="317">
        <f t="shared" si="41"/>
        <v>0.89666666666666572</v>
      </c>
      <c r="AG203" s="296">
        <v>0.9</v>
      </c>
      <c r="AI203" s="316"/>
      <c r="AJ203" s="211" t="s">
        <v>1363</v>
      </c>
    </row>
    <row r="204" spans="1:36" s="1" customFormat="1" outlineLevel="1">
      <c r="A204" t="s">
        <v>1377</v>
      </c>
      <c r="B204" s="302" t="s">
        <v>462</v>
      </c>
      <c r="C204" s="296">
        <v>0.2</v>
      </c>
      <c r="D204" s="317">
        <f t="shared" si="41"/>
        <v>0.19666666666666668</v>
      </c>
      <c r="E204" s="317">
        <f t="shared" si="41"/>
        <v>0.19333333333333336</v>
      </c>
      <c r="F204" s="317">
        <f t="shared" si="41"/>
        <v>0.19000000000000003</v>
      </c>
      <c r="G204" s="317">
        <f t="shared" si="41"/>
        <v>0.1866666666666667</v>
      </c>
      <c r="H204" s="317">
        <f t="shared" si="41"/>
        <v>0.18333333333333338</v>
      </c>
      <c r="I204" s="317">
        <f t="shared" si="41"/>
        <v>0.18000000000000005</v>
      </c>
      <c r="J204" s="317">
        <f t="shared" si="41"/>
        <v>0.17666666666666672</v>
      </c>
      <c r="K204" s="317">
        <f t="shared" si="41"/>
        <v>0.17333333333333339</v>
      </c>
      <c r="L204" s="317">
        <f t="shared" si="41"/>
        <v>0.17000000000000007</v>
      </c>
      <c r="M204" s="317">
        <f t="shared" si="41"/>
        <v>0.16666666666666674</v>
      </c>
      <c r="N204" s="317">
        <f t="shared" si="41"/>
        <v>0.16333333333333341</v>
      </c>
      <c r="O204" s="317">
        <f t="shared" si="41"/>
        <v>0.16000000000000009</v>
      </c>
      <c r="P204" s="317">
        <f t="shared" si="41"/>
        <v>0.15666666666666676</v>
      </c>
      <c r="Q204" s="317">
        <f t="shared" si="41"/>
        <v>0.15333333333333343</v>
      </c>
      <c r="R204" s="317">
        <f t="shared" si="41"/>
        <v>0.15000000000000011</v>
      </c>
      <c r="S204" s="317">
        <f t="shared" si="41"/>
        <v>0.14666666666666678</v>
      </c>
      <c r="T204" s="317">
        <f t="shared" si="41"/>
        <v>0.14333333333333345</v>
      </c>
      <c r="U204" s="317">
        <f t="shared" si="41"/>
        <v>0.14000000000000012</v>
      </c>
      <c r="V204" s="317">
        <f t="shared" si="41"/>
        <v>0.1366666666666668</v>
      </c>
      <c r="W204" s="317">
        <f t="shared" si="41"/>
        <v>0.13333333333333347</v>
      </c>
      <c r="X204" s="317">
        <f t="shared" si="41"/>
        <v>0.13000000000000014</v>
      </c>
      <c r="Y204" s="317">
        <f t="shared" si="41"/>
        <v>0.12666666666666682</v>
      </c>
      <c r="Z204" s="317">
        <f t="shared" si="41"/>
        <v>0.12333333333333349</v>
      </c>
      <c r="AA204" s="317">
        <f t="shared" si="41"/>
        <v>0.12000000000000016</v>
      </c>
      <c r="AB204" s="317">
        <f t="shared" si="41"/>
        <v>0.11666666666666684</v>
      </c>
      <c r="AC204" s="317">
        <f t="shared" si="41"/>
        <v>0.11333333333333351</v>
      </c>
      <c r="AD204" s="317">
        <f t="shared" si="41"/>
        <v>0.11000000000000018</v>
      </c>
      <c r="AE204" s="317">
        <f t="shared" si="41"/>
        <v>0.10666666666666685</v>
      </c>
      <c r="AF204" s="317">
        <f t="shared" si="41"/>
        <v>0.10333333333333353</v>
      </c>
      <c r="AG204" s="296">
        <v>0.1</v>
      </c>
      <c r="AI204" s="316"/>
      <c r="AJ204" s="211" t="s">
        <v>1363</v>
      </c>
    </row>
    <row r="205" spans="1:36" s="1" customFormat="1" outlineLevel="1">
      <c r="A205" t="s">
        <v>1378</v>
      </c>
      <c r="B205" s="302" t="s">
        <v>462</v>
      </c>
      <c r="C205" s="296">
        <v>0.95</v>
      </c>
      <c r="D205" s="317">
        <f t="shared" si="41"/>
        <v>0.94866666666666666</v>
      </c>
      <c r="E205" s="317">
        <f t="shared" si="41"/>
        <v>0.94733333333333336</v>
      </c>
      <c r="F205" s="317">
        <f t="shared" si="41"/>
        <v>0.94600000000000006</v>
      </c>
      <c r="G205" s="317">
        <f t="shared" si="41"/>
        <v>0.94466666666666677</v>
      </c>
      <c r="H205" s="317">
        <f t="shared" si="41"/>
        <v>0.94333333333333347</v>
      </c>
      <c r="I205" s="317">
        <f t="shared" si="41"/>
        <v>0.94200000000000017</v>
      </c>
      <c r="J205" s="317">
        <f t="shared" si="41"/>
        <v>0.94066666666666687</v>
      </c>
      <c r="K205" s="317">
        <f t="shared" si="41"/>
        <v>0.93933333333333358</v>
      </c>
      <c r="L205" s="317">
        <f t="shared" si="41"/>
        <v>0.93800000000000028</v>
      </c>
      <c r="M205" s="317">
        <f t="shared" si="41"/>
        <v>0.93666666666666698</v>
      </c>
      <c r="N205" s="317">
        <f t="shared" si="41"/>
        <v>0.93533333333333368</v>
      </c>
      <c r="O205" s="317">
        <f t="shared" si="41"/>
        <v>0.93400000000000039</v>
      </c>
      <c r="P205" s="317">
        <f t="shared" si="41"/>
        <v>0.93266666666666709</v>
      </c>
      <c r="Q205" s="317">
        <f t="shared" si="41"/>
        <v>0.93133333333333379</v>
      </c>
      <c r="R205" s="317">
        <f t="shared" si="41"/>
        <v>0.93000000000000049</v>
      </c>
      <c r="S205" s="317">
        <f t="shared" si="41"/>
        <v>0.9286666666666672</v>
      </c>
      <c r="T205" s="317">
        <f t="shared" si="41"/>
        <v>0.9273333333333339</v>
      </c>
      <c r="U205" s="317">
        <f t="shared" si="41"/>
        <v>0.9260000000000006</v>
      </c>
      <c r="V205" s="317">
        <f t="shared" si="41"/>
        <v>0.9246666666666673</v>
      </c>
      <c r="W205" s="317">
        <f t="shared" si="41"/>
        <v>0.92333333333333401</v>
      </c>
      <c r="X205" s="317">
        <f t="shared" si="41"/>
        <v>0.92200000000000071</v>
      </c>
      <c r="Y205" s="317">
        <f t="shared" si="41"/>
        <v>0.92066666666666741</v>
      </c>
      <c r="Z205" s="317">
        <f t="shared" si="41"/>
        <v>0.91933333333333411</v>
      </c>
      <c r="AA205" s="317">
        <f t="shared" ref="AA205:AF205" si="42">-($C205-$AG205)/30+Z205</f>
        <v>0.91800000000000082</v>
      </c>
      <c r="AB205" s="317">
        <f t="shared" si="42"/>
        <v>0.91666666666666752</v>
      </c>
      <c r="AC205" s="317">
        <f t="shared" si="42"/>
        <v>0.91533333333333422</v>
      </c>
      <c r="AD205" s="317">
        <f t="shared" si="42"/>
        <v>0.91400000000000092</v>
      </c>
      <c r="AE205" s="317">
        <f t="shared" si="42"/>
        <v>0.91266666666666763</v>
      </c>
      <c r="AF205" s="317">
        <f t="shared" si="42"/>
        <v>0.91133333333333433</v>
      </c>
      <c r="AG205" s="296">
        <v>0.91</v>
      </c>
      <c r="AI205" s="316"/>
      <c r="AJ205" s="211" t="s">
        <v>1363</v>
      </c>
    </row>
    <row r="206" spans="1:36" s="1" customFormat="1" outlineLevel="1">
      <c r="A206" t="s">
        <v>1379</v>
      </c>
      <c r="B206" s="302" t="s">
        <v>462</v>
      </c>
      <c r="C206" s="296">
        <v>0.05</v>
      </c>
      <c r="D206" s="317">
        <f t="shared" ref="D206:AF206" si="43">-($C206-$AG206)/30+C206</f>
        <v>5.1333333333333335E-2</v>
      </c>
      <c r="E206" s="317">
        <f t="shared" si="43"/>
        <v>5.2666666666666667E-2</v>
      </c>
      <c r="F206" s="317">
        <f t="shared" si="43"/>
        <v>5.3999999999999999E-2</v>
      </c>
      <c r="G206" s="317">
        <f t="shared" si="43"/>
        <v>5.5333333333333332E-2</v>
      </c>
      <c r="H206" s="317">
        <f t="shared" si="43"/>
        <v>5.6666666666666664E-2</v>
      </c>
      <c r="I206" s="317">
        <f t="shared" si="43"/>
        <v>5.7999999999999996E-2</v>
      </c>
      <c r="J206" s="317">
        <f t="shared" si="43"/>
        <v>5.9333333333333328E-2</v>
      </c>
      <c r="K206" s="317">
        <f t="shared" si="43"/>
        <v>6.066666666666666E-2</v>
      </c>
      <c r="L206" s="317">
        <f t="shared" si="43"/>
        <v>6.1999999999999993E-2</v>
      </c>
      <c r="M206" s="317">
        <f t="shared" si="43"/>
        <v>6.3333333333333325E-2</v>
      </c>
      <c r="N206" s="317">
        <f t="shared" si="43"/>
        <v>6.4666666666666664E-2</v>
      </c>
      <c r="O206" s="317">
        <f t="shared" si="43"/>
        <v>6.6000000000000003E-2</v>
      </c>
      <c r="P206" s="317">
        <f t="shared" si="43"/>
        <v>6.7333333333333342E-2</v>
      </c>
      <c r="Q206" s="317">
        <f t="shared" si="43"/>
        <v>6.8666666666666681E-2</v>
      </c>
      <c r="R206" s="317">
        <f t="shared" si="43"/>
        <v>7.0000000000000021E-2</v>
      </c>
      <c r="S206" s="317">
        <f t="shared" si="43"/>
        <v>7.133333333333336E-2</v>
      </c>
      <c r="T206" s="317">
        <f t="shared" si="43"/>
        <v>7.2666666666666699E-2</v>
      </c>
      <c r="U206" s="317">
        <f t="shared" si="43"/>
        <v>7.4000000000000038E-2</v>
      </c>
      <c r="V206" s="317">
        <f t="shared" si="43"/>
        <v>7.5333333333333377E-2</v>
      </c>
      <c r="W206" s="317">
        <f t="shared" si="43"/>
        <v>7.6666666666666716E-2</v>
      </c>
      <c r="X206" s="317">
        <f t="shared" si="43"/>
        <v>7.8000000000000055E-2</v>
      </c>
      <c r="Y206" s="317">
        <f t="shared" si="43"/>
        <v>7.9333333333333395E-2</v>
      </c>
      <c r="Z206" s="317">
        <f t="shared" si="43"/>
        <v>8.0666666666666734E-2</v>
      </c>
      <c r="AA206" s="317">
        <f t="shared" si="43"/>
        <v>8.2000000000000073E-2</v>
      </c>
      <c r="AB206" s="317">
        <f t="shared" si="43"/>
        <v>8.3333333333333412E-2</v>
      </c>
      <c r="AC206" s="317">
        <f t="shared" si="43"/>
        <v>8.4666666666666751E-2</v>
      </c>
      <c r="AD206" s="317">
        <f t="shared" si="43"/>
        <v>8.600000000000009E-2</v>
      </c>
      <c r="AE206" s="317">
        <f t="shared" si="43"/>
        <v>8.7333333333333429E-2</v>
      </c>
      <c r="AF206" s="317">
        <f t="shared" si="43"/>
        <v>8.8666666666666769E-2</v>
      </c>
      <c r="AG206" s="296">
        <v>0.09</v>
      </c>
      <c r="AI206" s="316"/>
      <c r="AJ206" s="211" t="s">
        <v>1363</v>
      </c>
    </row>
    <row r="207" spans="1:36" s="1" customFormat="1" outlineLevel="1">
      <c r="A207" t="s">
        <v>1380</v>
      </c>
      <c r="B207" s="302"/>
      <c r="C207" s="296">
        <v>0.27</v>
      </c>
      <c r="D207" s="317">
        <f t="shared" ref="D207:AF207" si="44">-($C207-$AG207)/30+C207</f>
        <v>0.26600000000000001</v>
      </c>
      <c r="E207" s="317">
        <f t="shared" si="44"/>
        <v>0.26200000000000001</v>
      </c>
      <c r="F207" s="317">
        <f t="shared" si="44"/>
        <v>0.25800000000000001</v>
      </c>
      <c r="G207" s="317">
        <f t="shared" si="44"/>
        <v>0.254</v>
      </c>
      <c r="H207" s="317">
        <f t="shared" si="44"/>
        <v>0.25</v>
      </c>
      <c r="I207" s="317">
        <f t="shared" si="44"/>
        <v>0.246</v>
      </c>
      <c r="J207" s="317">
        <f t="shared" si="44"/>
        <v>0.24199999999999999</v>
      </c>
      <c r="K207" s="317">
        <f t="shared" si="44"/>
        <v>0.23799999999999999</v>
      </c>
      <c r="L207" s="317">
        <f t="shared" si="44"/>
        <v>0.23399999999999999</v>
      </c>
      <c r="M207" s="317">
        <f t="shared" si="44"/>
        <v>0.22999999999999998</v>
      </c>
      <c r="N207" s="317">
        <f t="shared" si="44"/>
        <v>0.22599999999999998</v>
      </c>
      <c r="O207" s="317">
        <f t="shared" si="44"/>
        <v>0.22199999999999998</v>
      </c>
      <c r="P207" s="317">
        <f t="shared" si="44"/>
        <v>0.21799999999999997</v>
      </c>
      <c r="Q207" s="317">
        <f t="shared" si="44"/>
        <v>0.21399999999999997</v>
      </c>
      <c r="R207" s="317">
        <f t="shared" si="44"/>
        <v>0.20999999999999996</v>
      </c>
      <c r="S207" s="317">
        <f t="shared" si="44"/>
        <v>0.20599999999999996</v>
      </c>
      <c r="T207" s="317">
        <f t="shared" si="44"/>
        <v>0.20199999999999996</v>
      </c>
      <c r="U207" s="317">
        <f t="shared" si="44"/>
        <v>0.19799999999999995</v>
      </c>
      <c r="V207" s="317">
        <f t="shared" si="44"/>
        <v>0.19399999999999995</v>
      </c>
      <c r="W207" s="317">
        <f t="shared" si="44"/>
        <v>0.18999999999999995</v>
      </c>
      <c r="X207" s="317">
        <f t="shared" si="44"/>
        <v>0.18599999999999994</v>
      </c>
      <c r="Y207" s="317">
        <f t="shared" si="44"/>
        <v>0.18199999999999994</v>
      </c>
      <c r="Z207" s="317">
        <f t="shared" si="44"/>
        <v>0.17799999999999994</v>
      </c>
      <c r="AA207" s="317">
        <f t="shared" si="44"/>
        <v>0.17399999999999993</v>
      </c>
      <c r="AB207" s="317">
        <f t="shared" si="44"/>
        <v>0.16999999999999993</v>
      </c>
      <c r="AC207" s="317">
        <f t="shared" si="44"/>
        <v>0.16599999999999993</v>
      </c>
      <c r="AD207" s="317">
        <f t="shared" si="44"/>
        <v>0.16199999999999992</v>
      </c>
      <c r="AE207" s="317">
        <f t="shared" si="44"/>
        <v>0.15799999999999992</v>
      </c>
      <c r="AF207" s="317">
        <f t="shared" si="44"/>
        <v>0.15399999999999991</v>
      </c>
      <c r="AG207" s="296">
        <v>0.15</v>
      </c>
      <c r="AI207" s="316"/>
      <c r="AJ207" s="211"/>
    </row>
    <row r="208" spans="1:36" s="67" customFormat="1" outlineLevel="1">
      <c r="A208" s="345" t="s">
        <v>1381</v>
      </c>
      <c r="B208" s="308" t="s">
        <v>462</v>
      </c>
      <c r="C208" s="337">
        <v>0.16</v>
      </c>
      <c r="D208" s="338">
        <f t="shared" ref="D208:AF213" si="45">-($C208-$AG208)/30+C208</f>
        <v>0.16533333333333333</v>
      </c>
      <c r="E208" s="338">
        <f t="shared" si="45"/>
        <v>0.17066666666666666</v>
      </c>
      <c r="F208" s="338">
        <f t="shared" si="45"/>
        <v>0.17599999999999999</v>
      </c>
      <c r="G208" s="338">
        <f t="shared" si="45"/>
        <v>0.18133333333333332</v>
      </c>
      <c r="H208" s="338">
        <f t="shared" si="45"/>
        <v>0.18666666666666665</v>
      </c>
      <c r="I208" s="338">
        <f t="shared" si="45"/>
        <v>0.19199999999999998</v>
      </c>
      <c r="J208" s="338">
        <f t="shared" si="45"/>
        <v>0.19733333333333331</v>
      </c>
      <c r="K208" s="338">
        <f t="shared" si="45"/>
        <v>0.20266666666666663</v>
      </c>
      <c r="L208" s="338">
        <f t="shared" si="45"/>
        <v>0.20799999999999996</v>
      </c>
      <c r="M208" s="338">
        <f t="shared" si="45"/>
        <v>0.21333333333333329</v>
      </c>
      <c r="N208" s="338">
        <f t="shared" si="45"/>
        <v>0.21866666666666662</v>
      </c>
      <c r="O208" s="338">
        <f t="shared" si="45"/>
        <v>0.22399999999999995</v>
      </c>
      <c r="P208" s="338">
        <f t="shared" si="45"/>
        <v>0.22933333333333328</v>
      </c>
      <c r="Q208" s="338">
        <f t="shared" si="45"/>
        <v>0.23466666666666661</v>
      </c>
      <c r="R208" s="338">
        <f t="shared" si="45"/>
        <v>0.23999999999999994</v>
      </c>
      <c r="S208" s="338">
        <f t="shared" si="45"/>
        <v>0.24533333333333326</v>
      </c>
      <c r="T208" s="338">
        <f t="shared" si="45"/>
        <v>0.25066666666666659</v>
      </c>
      <c r="U208" s="338">
        <f t="shared" si="45"/>
        <v>0.25599999999999995</v>
      </c>
      <c r="V208" s="338">
        <f t="shared" si="45"/>
        <v>0.26133333333333331</v>
      </c>
      <c r="W208" s="338">
        <f t="shared" si="45"/>
        <v>0.26666666666666666</v>
      </c>
      <c r="X208" s="338">
        <f t="shared" si="45"/>
        <v>0.27200000000000002</v>
      </c>
      <c r="Y208" s="338">
        <f t="shared" si="45"/>
        <v>0.27733333333333338</v>
      </c>
      <c r="Z208" s="338">
        <f t="shared" si="45"/>
        <v>0.28266666666666673</v>
      </c>
      <c r="AA208" s="338">
        <f t="shared" si="45"/>
        <v>0.28800000000000009</v>
      </c>
      <c r="AB208" s="338">
        <f t="shared" si="45"/>
        <v>0.29333333333333345</v>
      </c>
      <c r="AC208" s="338">
        <f t="shared" si="45"/>
        <v>0.2986666666666668</v>
      </c>
      <c r="AD208" s="338">
        <f t="shared" si="45"/>
        <v>0.30400000000000016</v>
      </c>
      <c r="AE208" s="338">
        <f t="shared" si="45"/>
        <v>0.30933333333333352</v>
      </c>
      <c r="AF208" s="338">
        <f t="shared" si="45"/>
        <v>0.31466666666666687</v>
      </c>
      <c r="AG208" s="337">
        <v>0.32</v>
      </c>
      <c r="AI208" s="337"/>
      <c r="AJ208" s="339" t="s">
        <v>1363</v>
      </c>
    </row>
    <row r="209" spans="1:36" outlineLevel="1">
      <c r="A209" s="346" t="s">
        <v>1382</v>
      </c>
      <c r="B209" s="302" t="s">
        <v>462</v>
      </c>
      <c r="C209" s="296">
        <v>0.37</v>
      </c>
      <c r="D209" s="317">
        <f t="shared" si="45"/>
        <v>0.37166666666666665</v>
      </c>
      <c r="E209" s="317">
        <f t="shared" si="45"/>
        <v>0.37333333333333329</v>
      </c>
      <c r="F209" s="317">
        <f t="shared" si="45"/>
        <v>0.37499999999999994</v>
      </c>
      <c r="G209" s="317">
        <f t="shared" si="45"/>
        <v>0.37666666666666659</v>
      </c>
      <c r="H209" s="317">
        <f t="shared" si="45"/>
        <v>0.37833333333333324</v>
      </c>
      <c r="I209" s="317">
        <f t="shared" si="45"/>
        <v>0.37999999999999989</v>
      </c>
      <c r="J209" s="317">
        <f t="shared" si="45"/>
        <v>0.38166666666666654</v>
      </c>
      <c r="K209" s="317">
        <f t="shared" si="45"/>
        <v>0.38333333333333319</v>
      </c>
      <c r="L209" s="317">
        <f t="shared" si="45"/>
        <v>0.38499999999999984</v>
      </c>
      <c r="M209" s="317">
        <f t="shared" si="45"/>
        <v>0.38666666666666649</v>
      </c>
      <c r="N209" s="317">
        <f t="shared" si="45"/>
        <v>0.38833333333333314</v>
      </c>
      <c r="O209" s="317">
        <f t="shared" si="45"/>
        <v>0.38999999999999979</v>
      </c>
      <c r="P209" s="317">
        <f t="shared" si="45"/>
        <v>0.39166666666666644</v>
      </c>
      <c r="Q209" s="317">
        <f t="shared" si="45"/>
        <v>0.39333333333333309</v>
      </c>
      <c r="R209" s="317">
        <f t="shared" si="45"/>
        <v>0.39499999999999974</v>
      </c>
      <c r="S209" s="317">
        <f t="shared" si="45"/>
        <v>0.39666666666666639</v>
      </c>
      <c r="T209" s="317">
        <f t="shared" si="45"/>
        <v>0.39833333333333304</v>
      </c>
      <c r="U209" s="317">
        <f t="shared" si="45"/>
        <v>0.39999999999999969</v>
      </c>
      <c r="V209" s="317">
        <f t="shared" si="45"/>
        <v>0.40166666666666634</v>
      </c>
      <c r="W209" s="317">
        <f t="shared" si="45"/>
        <v>0.40333333333333299</v>
      </c>
      <c r="X209" s="317">
        <f t="shared" si="45"/>
        <v>0.40499999999999964</v>
      </c>
      <c r="Y209" s="317">
        <f t="shared" si="45"/>
        <v>0.40666666666666629</v>
      </c>
      <c r="Z209" s="317">
        <f t="shared" si="45"/>
        <v>0.40833333333333294</v>
      </c>
      <c r="AA209" s="317">
        <f t="shared" si="45"/>
        <v>0.40999999999999959</v>
      </c>
      <c r="AB209" s="317">
        <f t="shared" si="45"/>
        <v>0.41166666666666624</v>
      </c>
      <c r="AC209" s="317">
        <f t="shared" si="45"/>
        <v>0.41333333333333289</v>
      </c>
      <c r="AD209" s="317">
        <f t="shared" si="45"/>
        <v>0.41499999999999954</v>
      </c>
      <c r="AE209" s="317">
        <f t="shared" si="45"/>
        <v>0.41666666666666619</v>
      </c>
      <c r="AF209" s="317">
        <f t="shared" si="45"/>
        <v>0.41833333333333284</v>
      </c>
      <c r="AG209" s="296">
        <v>0.42</v>
      </c>
      <c r="AI209" s="296"/>
      <c r="AJ209" s="211" t="s">
        <v>1363</v>
      </c>
    </row>
    <row r="210" spans="1:36" outlineLevel="1">
      <c r="A210" s="346" t="s">
        <v>1383</v>
      </c>
      <c r="B210" s="302" t="s">
        <v>462</v>
      </c>
      <c r="C210" s="296">
        <v>0.08</v>
      </c>
      <c r="D210" s="317">
        <f t="shared" si="45"/>
        <v>7.7666666666666662E-2</v>
      </c>
      <c r="E210" s="317">
        <f t="shared" si="45"/>
        <v>7.5333333333333322E-2</v>
      </c>
      <c r="F210" s="317">
        <f t="shared" si="45"/>
        <v>7.2999999999999982E-2</v>
      </c>
      <c r="G210" s="317">
        <f t="shared" si="45"/>
        <v>7.0666666666666642E-2</v>
      </c>
      <c r="H210" s="317">
        <f t="shared" si="45"/>
        <v>6.8333333333333302E-2</v>
      </c>
      <c r="I210" s="317">
        <f t="shared" si="45"/>
        <v>6.5999999999999961E-2</v>
      </c>
      <c r="J210" s="317">
        <f t="shared" si="45"/>
        <v>6.3666666666666621E-2</v>
      </c>
      <c r="K210" s="317">
        <f t="shared" si="45"/>
        <v>6.1333333333333288E-2</v>
      </c>
      <c r="L210" s="317">
        <f t="shared" si="45"/>
        <v>5.8999999999999955E-2</v>
      </c>
      <c r="M210" s="317">
        <f t="shared" si="45"/>
        <v>5.6666666666666622E-2</v>
      </c>
      <c r="N210" s="317">
        <f t="shared" si="45"/>
        <v>5.4333333333333289E-2</v>
      </c>
      <c r="O210" s="317">
        <f t="shared" si="45"/>
        <v>5.1999999999999956E-2</v>
      </c>
      <c r="P210" s="317">
        <f t="shared" si="45"/>
        <v>4.9666666666666623E-2</v>
      </c>
      <c r="Q210" s="317">
        <f t="shared" si="45"/>
        <v>4.733333333333329E-2</v>
      </c>
      <c r="R210" s="317">
        <f t="shared" si="45"/>
        <v>4.4999999999999957E-2</v>
      </c>
      <c r="S210" s="317">
        <f t="shared" si="45"/>
        <v>4.2666666666666624E-2</v>
      </c>
      <c r="T210" s="317">
        <f t="shared" si="45"/>
        <v>4.0333333333333291E-2</v>
      </c>
      <c r="U210" s="317">
        <f t="shared" si="45"/>
        <v>3.7999999999999957E-2</v>
      </c>
      <c r="V210" s="317">
        <f t="shared" si="45"/>
        <v>3.5666666666666624E-2</v>
      </c>
      <c r="W210" s="317">
        <f t="shared" si="45"/>
        <v>3.3333333333333291E-2</v>
      </c>
      <c r="X210" s="317">
        <f t="shared" si="45"/>
        <v>3.0999999999999958E-2</v>
      </c>
      <c r="Y210" s="317">
        <f t="shared" si="45"/>
        <v>2.8666666666666625E-2</v>
      </c>
      <c r="Z210" s="317">
        <f t="shared" si="45"/>
        <v>2.6333333333333292E-2</v>
      </c>
      <c r="AA210" s="317">
        <f t="shared" si="45"/>
        <v>2.3999999999999959E-2</v>
      </c>
      <c r="AB210" s="317">
        <f t="shared" si="45"/>
        <v>2.1666666666666626E-2</v>
      </c>
      <c r="AC210" s="317">
        <f t="shared" si="45"/>
        <v>1.9333333333333293E-2</v>
      </c>
      <c r="AD210" s="317">
        <f t="shared" si="45"/>
        <v>1.699999999999996E-2</v>
      </c>
      <c r="AE210" s="317">
        <f t="shared" si="45"/>
        <v>1.4666666666666626E-2</v>
      </c>
      <c r="AF210" s="317">
        <f t="shared" si="45"/>
        <v>1.2333333333333293E-2</v>
      </c>
      <c r="AG210" s="296">
        <v>0.01</v>
      </c>
      <c r="AI210" s="296"/>
      <c r="AJ210" s="211" t="s">
        <v>1363</v>
      </c>
    </row>
    <row r="211" spans="1:36" outlineLevel="1">
      <c r="A211" s="346" t="s">
        <v>1384</v>
      </c>
      <c r="B211" s="302" t="s">
        <v>462</v>
      </c>
      <c r="C211" s="296">
        <v>0.27</v>
      </c>
      <c r="D211" s="317">
        <f t="shared" si="45"/>
        <v>0.26633333333333337</v>
      </c>
      <c r="E211" s="317">
        <f t="shared" si="45"/>
        <v>0.26266666666666671</v>
      </c>
      <c r="F211" s="317">
        <f t="shared" si="45"/>
        <v>0.25900000000000006</v>
      </c>
      <c r="G211" s="317">
        <f t="shared" si="45"/>
        <v>0.25533333333333341</v>
      </c>
      <c r="H211" s="317">
        <f t="shared" si="45"/>
        <v>0.25166666666666676</v>
      </c>
      <c r="I211" s="317">
        <f t="shared" si="45"/>
        <v>0.24800000000000008</v>
      </c>
      <c r="J211" s="317">
        <f t="shared" si="45"/>
        <v>0.2443333333333334</v>
      </c>
      <c r="K211" s="317">
        <f t="shared" si="45"/>
        <v>0.24066666666666672</v>
      </c>
      <c r="L211" s="317">
        <f t="shared" si="45"/>
        <v>0.23700000000000004</v>
      </c>
      <c r="M211" s="317">
        <f t="shared" si="45"/>
        <v>0.23333333333333336</v>
      </c>
      <c r="N211" s="317">
        <f t="shared" si="45"/>
        <v>0.22966666666666669</v>
      </c>
      <c r="O211" s="317">
        <f t="shared" si="45"/>
        <v>0.22600000000000001</v>
      </c>
      <c r="P211" s="317">
        <f t="shared" si="45"/>
        <v>0.22233333333333333</v>
      </c>
      <c r="Q211" s="317">
        <f t="shared" si="45"/>
        <v>0.21866666666666665</v>
      </c>
      <c r="R211" s="317">
        <f t="shared" si="45"/>
        <v>0.21499999999999997</v>
      </c>
      <c r="S211" s="317">
        <f t="shared" si="45"/>
        <v>0.21133333333333329</v>
      </c>
      <c r="T211" s="317">
        <f t="shared" si="45"/>
        <v>0.20766666666666661</v>
      </c>
      <c r="U211" s="317">
        <f t="shared" si="45"/>
        <v>0.20399999999999993</v>
      </c>
      <c r="V211" s="317">
        <f t="shared" si="45"/>
        <v>0.20033333333333325</v>
      </c>
      <c r="W211" s="317">
        <f t="shared" si="45"/>
        <v>0.19666666666666657</v>
      </c>
      <c r="X211" s="317">
        <f t="shared" si="45"/>
        <v>0.19299999999999989</v>
      </c>
      <c r="Y211" s="317">
        <f t="shared" si="45"/>
        <v>0.18933333333333321</v>
      </c>
      <c r="Z211" s="317">
        <f t="shared" si="45"/>
        <v>0.18566666666666654</v>
      </c>
      <c r="AA211" s="317">
        <f t="shared" si="45"/>
        <v>0.18199999999999986</v>
      </c>
      <c r="AB211" s="317">
        <f t="shared" si="45"/>
        <v>0.17833333333333318</v>
      </c>
      <c r="AC211" s="317">
        <f t="shared" si="45"/>
        <v>0.1746666666666665</v>
      </c>
      <c r="AD211" s="317">
        <f t="shared" si="45"/>
        <v>0.17099999999999982</v>
      </c>
      <c r="AE211" s="317">
        <f t="shared" si="45"/>
        <v>0.16733333333333314</v>
      </c>
      <c r="AF211" s="317">
        <f t="shared" si="45"/>
        <v>0.16366666666666646</v>
      </c>
      <c r="AG211" s="296">
        <v>0.16</v>
      </c>
      <c r="AI211" s="296"/>
      <c r="AJ211" s="211" t="s">
        <v>1363</v>
      </c>
    </row>
    <row r="212" spans="1:36" outlineLevel="1">
      <c r="A212" s="346" t="s">
        <v>1385</v>
      </c>
      <c r="B212" s="302" t="s">
        <v>462</v>
      </c>
      <c r="C212" s="296">
        <v>7.0000000000000007E-2</v>
      </c>
      <c r="D212" s="317">
        <f t="shared" si="45"/>
        <v>6.9666666666666668E-2</v>
      </c>
      <c r="E212" s="317">
        <f t="shared" si="45"/>
        <v>6.933333333333333E-2</v>
      </c>
      <c r="F212" s="317">
        <f t="shared" si="45"/>
        <v>6.8999999999999992E-2</v>
      </c>
      <c r="G212" s="317">
        <f t="shared" si="45"/>
        <v>6.8666666666666654E-2</v>
      </c>
      <c r="H212" s="317">
        <f t="shared" si="45"/>
        <v>6.8333333333333315E-2</v>
      </c>
      <c r="I212" s="317">
        <f t="shared" si="45"/>
        <v>6.7999999999999977E-2</v>
      </c>
      <c r="J212" s="317">
        <f t="shared" si="45"/>
        <v>6.7666666666666639E-2</v>
      </c>
      <c r="K212" s="317">
        <f t="shared" si="45"/>
        <v>6.7333333333333301E-2</v>
      </c>
      <c r="L212" s="317">
        <f t="shared" si="45"/>
        <v>6.6999999999999962E-2</v>
      </c>
      <c r="M212" s="317">
        <f t="shared" si="45"/>
        <v>6.6666666666666624E-2</v>
      </c>
      <c r="N212" s="317">
        <f t="shared" si="45"/>
        <v>6.6333333333333286E-2</v>
      </c>
      <c r="O212" s="317">
        <f t="shared" si="45"/>
        <v>6.5999999999999948E-2</v>
      </c>
      <c r="P212" s="317">
        <f t="shared" si="45"/>
        <v>6.5666666666666609E-2</v>
      </c>
      <c r="Q212" s="317">
        <f t="shared" si="45"/>
        <v>6.5333333333333271E-2</v>
      </c>
      <c r="R212" s="317">
        <f t="shared" si="45"/>
        <v>6.4999999999999933E-2</v>
      </c>
      <c r="S212" s="317">
        <f t="shared" si="45"/>
        <v>6.4666666666666595E-2</v>
      </c>
      <c r="T212" s="317">
        <f t="shared" si="45"/>
        <v>6.4333333333333256E-2</v>
      </c>
      <c r="U212" s="317">
        <f t="shared" si="45"/>
        <v>6.3999999999999918E-2</v>
      </c>
      <c r="V212" s="317">
        <f t="shared" si="45"/>
        <v>6.366666666666658E-2</v>
      </c>
      <c r="W212" s="317">
        <f t="shared" si="45"/>
        <v>6.3333333333333242E-2</v>
      </c>
      <c r="X212" s="317">
        <f t="shared" si="45"/>
        <v>6.2999999999999903E-2</v>
      </c>
      <c r="Y212" s="317">
        <f t="shared" si="45"/>
        <v>6.2666666666666565E-2</v>
      </c>
      <c r="Z212" s="317">
        <f t="shared" si="45"/>
        <v>6.2333333333333234E-2</v>
      </c>
      <c r="AA212" s="317">
        <f t="shared" si="45"/>
        <v>6.1999999999999902E-2</v>
      </c>
      <c r="AB212" s="317">
        <f t="shared" si="45"/>
        <v>6.1666666666666571E-2</v>
      </c>
      <c r="AC212" s="317">
        <f t="shared" si="45"/>
        <v>6.133333333333324E-2</v>
      </c>
      <c r="AD212" s="317">
        <f t="shared" si="45"/>
        <v>6.0999999999999908E-2</v>
      </c>
      <c r="AE212" s="317">
        <f t="shared" si="45"/>
        <v>6.0666666666666577E-2</v>
      </c>
      <c r="AF212" s="317">
        <f t="shared" si="45"/>
        <v>6.0333333333333246E-2</v>
      </c>
      <c r="AG212" s="296">
        <v>0.06</v>
      </c>
      <c r="AI212" s="296"/>
      <c r="AJ212" s="211" t="s">
        <v>1363</v>
      </c>
    </row>
    <row r="213" spans="1:36" s="68" customFormat="1" outlineLevel="1">
      <c r="A213" s="347" t="s">
        <v>1386</v>
      </c>
      <c r="B213" s="312" t="s">
        <v>462</v>
      </c>
      <c r="C213" s="314">
        <v>0.05</v>
      </c>
      <c r="D213" s="340">
        <f t="shared" si="45"/>
        <v>4.9333333333333333E-2</v>
      </c>
      <c r="E213" s="340">
        <f t="shared" si="45"/>
        <v>4.8666666666666664E-2</v>
      </c>
      <c r="F213" s="340">
        <f t="shared" si="45"/>
        <v>4.7999999999999994E-2</v>
      </c>
      <c r="G213" s="340">
        <f t="shared" si="45"/>
        <v>4.7333333333333324E-2</v>
      </c>
      <c r="H213" s="340">
        <f t="shared" si="45"/>
        <v>4.6666666666666655E-2</v>
      </c>
      <c r="I213" s="340">
        <f t="shared" si="45"/>
        <v>4.5999999999999985E-2</v>
      </c>
      <c r="J213" s="340">
        <f t="shared" si="45"/>
        <v>4.5333333333333316E-2</v>
      </c>
      <c r="K213" s="340">
        <f t="shared" si="45"/>
        <v>4.4666666666666646E-2</v>
      </c>
      <c r="L213" s="340">
        <f t="shared" si="45"/>
        <v>4.3999999999999977E-2</v>
      </c>
      <c r="M213" s="340">
        <f t="shared" si="45"/>
        <v>4.3333333333333307E-2</v>
      </c>
      <c r="N213" s="340">
        <f t="shared" si="45"/>
        <v>4.2666666666666637E-2</v>
      </c>
      <c r="O213" s="340">
        <f t="shared" si="45"/>
        <v>4.1999999999999968E-2</v>
      </c>
      <c r="P213" s="340">
        <f t="shared" si="45"/>
        <v>4.1333333333333298E-2</v>
      </c>
      <c r="Q213" s="340">
        <f t="shared" si="45"/>
        <v>4.0666666666666629E-2</v>
      </c>
      <c r="R213" s="340">
        <f t="shared" si="45"/>
        <v>3.9999999999999959E-2</v>
      </c>
      <c r="S213" s="340">
        <f t="shared" si="45"/>
        <v>3.933333333333329E-2</v>
      </c>
      <c r="T213" s="340">
        <f t="shared" si="45"/>
        <v>3.866666666666662E-2</v>
      </c>
      <c r="U213" s="340">
        <f t="shared" si="45"/>
        <v>3.799999999999995E-2</v>
      </c>
      <c r="V213" s="340">
        <f t="shared" si="45"/>
        <v>3.7333333333333281E-2</v>
      </c>
      <c r="W213" s="340">
        <f t="shared" si="45"/>
        <v>3.6666666666666611E-2</v>
      </c>
      <c r="X213" s="340">
        <f t="shared" si="45"/>
        <v>3.5999999999999942E-2</v>
      </c>
      <c r="Y213" s="340">
        <f t="shared" si="45"/>
        <v>3.5333333333333272E-2</v>
      </c>
      <c r="Z213" s="340">
        <f t="shared" si="45"/>
        <v>3.4666666666666603E-2</v>
      </c>
      <c r="AA213" s="340">
        <f t="shared" si="45"/>
        <v>3.3999999999999933E-2</v>
      </c>
      <c r="AB213" s="340">
        <f t="shared" si="45"/>
        <v>3.3333333333333263E-2</v>
      </c>
      <c r="AC213" s="340">
        <f t="shared" si="45"/>
        <v>3.2666666666666594E-2</v>
      </c>
      <c r="AD213" s="340">
        <f t="shared" si="45"/>
        <v>3.1999999999999924E-2</v>
      </c>
      <c r="AE213" s="340">
        <f t="shared" si="45"/>
        <v>3.1333333333333255E-2</v>
      </c>
      <c r="AF213" s="340">
        <f t="shared" si="45"/>
        <v>3.0666666666666589E-2</v>
      </c>
      <c r="AG213" s="314">
        <v>0.03</v>
      </c>
      <c r="AI213" s="314"/>
      <c r="AJ213" s="341" t="s">
        <v>1363</v>
      </c>
    </row>
    <row r="214" spans="1:36" s="58" customFormat="1" outlineLevel="1">
      <c r="A214" s="58" t="s">
        <v>1361</v>
      </c>
      <c r="B214" s="303"/>
      <c r="C214" s="304">
        <f>C32</f>
        <v>143.57279713811519</v>
      </c>
      <c r="D214" s="304">
        <f t="shared" ref="D214:AG214" si="46">D32</f>
        <v>148.38557260308718</v>
      </c>
      <c r="E214" s="304">
        <f t="shared" si="46"/>
        <v>152.95878662154348</v>
      </c>
      <c r="F214" s="304">
        <f t="shared" si="46"/>
        <v>157.26105032826672</v>
      </c>
      <c r="G214" s="304">
        <f t="shared" si="46"/>
        <v>161.26223094850147</v>
      </c>
      <c r="H214" s="304">
        <f t="shared" si="46"/>
        <v>164.93380334569201</v>
      </c>
      <c r="I214" s="304">
        <f t="shared" si="46"/>
        <v>168.61217921778913</v>
      </c>
      <c r="J214" s="304">
        <f t="shared" si="46"/>
        <v>172.29402813633467</v>
      </c>
      <c r="K214" s="304">
        <f t="shared" si="46"/>
        <v>175.97593511993952</v>
      </c>
      <c r="L214" s="304">
        <f t="shared" si="46"/>
        <v>179.65440507537406</v>
      </c>
      <c r="M214" s="304">
        <f t="shared" si="46"/>
        <v>183.32586753881003</v>
      </c>
      <c r="N214" s="304">
        <f t="shared" si="46"/>
        <v>186.71914291497094</v>
      </c>
      <c r="O214" s="304">
        <f t="shared" si="46"/>
        <v>189.81541148857292</v>
      </c>
      <c r="P214" s="304">
        <f t="shared" si="46"/>
        <v>192.59718281286834</v>
      </c>
      <c r="Q214" s="304">
        <f t="shared" si="46"/>
        <v>195.04845826958712</v>
      </c>
      <c r="R214" s="304">
        <f t="shared" si="46"/>
        <v>197.15488262884489</v>
      </c>
      <c r="S214" s="304">
        <f t="shared" si="46"/>
        <v>199.26224175186022</v>
      </c>
      <c r="T214" s="304">
        <f t="shared" si="46"/>
        <v>201.37006612424096</v>
      </c>
      <c r="U214" s="304">
        <f t="shared" si="46"/>
        <v>203.47788059484677</v>
      </c>
      <c r="V214" s="304">
        <f t="shared" si="46"/>
        <v>205.5852045256907</v>
      </c>
      <c r="W214" s="304">
        <f t="shared" si="46"/>
        <v>207.69155194681969</v>
      </c>
      <c r="X214" s="304">
        <f t="shared" si="46"/>
        <v>209.79874250041232</v>
      </c>
      <c r="Y214" s="304">
        <f t="shared" si="46"/>
        <v>211.90635313455866</v>
      </c>
      <c r="Z214" s="304">
        <f t="shared" si="46"/>
        <v>214.01395601642673</v>
      </c>
      <c r="AA214" s="304">
        <f t="shared" si="46"/>
        <v>216.12111865450612</v>
      </c>
      <c r="AB214" s="304">
        <f t="shared" si="46"/>
        <v>218.22740402465692</v>
      </c>
      <c r="AC214" s="304">
        <f t="shared" si="46"/>
        <v>220.33445377437795</v>
      </c>
      <c r="AD214" s="304">
        <f t="shared" si="46"/>
        <v>222.44188470209969</v>
      </c>
      <c r="AE214" s="304">
        <f t="shared" si="46"/>
        <v>224.54930951532904</v>
      </c>
      <c r="AF214" s="304">
        <f t="shared" si="46"/>
        <v>226.65633693133458</v>
      </c>
      <c r="AG214" s="304">
        <f t="shared" si="46"/>
        <v>228.76257178078129</v>
      </c>
      <c r="AI214" s="305"/>
      <c r="AJ214" s="306"/>
    </row>
    <row r="215" spans="1:36" s="58" customFormat="1" outlineLevel="1">
      <c r="A215" s="307" t="s">
        <v>3</v>
      </c>
      <c r="B215" s="308" t="s">
        <v>704</v>
      </c>
      <c r="C215" s="309">
        <v>0</v>
      </c>
      <c r="D215" s="309">
        <v>0</v>
      </c>
      <c r="E215" s="309">
        <v>0</v>
      </c>
      <c r="F215" s="309">
        <v>0</v>
      </c>
      <c r="G215" s="309">
        <v>0</v>
      </c>
      <c r="H215" s="309">
        <v>0</v>
      </c>
      <c r="I215" s="309">
        <v>0</v>
      </c>
      <c r="J215" s="309">
        <v>0</v>
      </c>
      <c r="K215" s="309">
        <v>0</v>
      </c>
      <c r="L215" s="309">
        <v>0</v>
      </c>
      <c r="M215" s="309">
        <v>0</v>
      </c>
      <c r="N215" s="309">
        <v>0</v>
      </c>
      <c r="O215" s="309">
        <v>0</v>
      </c>
      <c r="P215" s="309">
        <v>0</v>
      </c>
      <c r="Q215" s="309">
        <v>0</v>
      </c>
      <c r="R215" s="309">
        <v>0</v>
      </c>
      <c r="S215" s="309">
        <v>0</v>
      </c>
      <c r="T215" s="309">
        <v>0</v>
      </c>
      <c r="U215" s="309">
        <v>0</v>
      </c>
      <c r="V215" s="309">
        <v>0</v>
      </c>
      <c r="W215" s="309">
        <v>0</v>
      </c>
      <c r="X215" s="309">
        <v>0</v>
      </c>
      <c r="Y215" s="309">
        <v>0</v>
      </c>
      <c r="Z215" s="309">
        <v>0</v>
      </c>
      <c r="AA215" s="309">
        <v>0</v>
      </c>
      <c r="AB215" s="309">
        <v>0</v>
      </c>
      <c r="AC215" s="309">
        <v>0</v>
      </c>
      <c r="AD215" s="309">
        <v>0</v>
      </c>
      <c r="AE215" s="309">
        <v>0</v>
      </c>
      <c r="AF215" s="309">
        <v>0</v>
      </c>
      <c r="AG215" s="309">
        <v>0</v>
      </c>
      <c r="AI215" s="305"/>
      <c r="AJ215" s="306"/>
    </row>
    <row r="216" spans="1:36" outlineLevel="1">
      <c r="A216" s="310" t="s">
        <v>51</v>
      </c>
      <c r="B216" s="302" t="s">
        <v>704</v>
      </c>
      <c r="C216" s="249">
        <f>C183</f>
        <v>17.861834618571326</v>
      </c>
      <c r="D216" s="249">
        <f t="shared" ref="D216:AG216" si="47">D183</f>
        <v>18.160127256701465</v>
      </c>
      <c r="E216" s="249">
        <f t="shared" si="47"/>
        <v>18.463401381888378</v>
      </c>
      <c r="F216" s="249">
        <f t="shared" si="47"/>
        <v>18.771740184965914</v>
      </c>
      <c r="G216" s="249">
        <f t="shared" si="47"/>
        <v>19.085228246054843</v>
      </c>
      <c r="H216" s="249">
        <f t="shared" si="47"/>
        <v>19.403951557763957</v>
      </c>
      <c r="I216" s="249">
        <f t="shared" si="47"/>
        <v>19.727997548778614</v>
      </c>
      <c r="J216" s="249">
        <f t="shared" si="47"/>
        <v>20.057455107843214</v>
      </c>
      <c r="K216" s="249">
        <f t="shared" si="47"/>
        <v>20.392414608144193</v>
      </c>
      <c r="L216" s="249">
        <f t="shared" si="47"/>
        <v>20.732967932100198</v>
      </c>
      <c r="M216" s="249">
        <f t="shared" si="47"/>
        <v>21.07920849656627</v>
      </c>
      <c r="N216" s="249">
        <f t="shared" si="47"/>
        <v>21.431231278458927</v>
      </c>
      <c r="O216" s="249">
        <f t="shared" si="47"/>
        <v>21.789132840809192</v>
      </c>
      <c r="P216" s="249">
        <f t="shared" si="47"/>
        <v>22.153011359250705</v>
      </c>
      <c r="Q216" s="249">
        <f t="shared" si="47"/>
        <v>22.522966648950192</v>
      </c>
      <c r="R216" s="249">
        <f t="shared" si="47"/>
        <v>22.899100191987657</v>
      </c>
      <c r="S216" s="249">
        <f t="shared" si="47"/>
        <v>23.281515165193849</v>
      </c>
      <c r="T216" s="249">
        <f t="shared" si="47"/>
        <v>23.670316468452583</v>
      </c>
      <c r="U216" s="249">
        <f t="shared" si="47"/>
        <v>24.065610753475738</v>
      </c>
      <c r="V216" s="249">
        <f t="shared" si="47"/>
        <v>24.467506453058782</v>
      </c>
      <c r="W216" s="249">
        <f t="shared" si="47"/>
        <v>24.876113810824862</v>
      </c>
      <c r="X216" s="249">
        <f t="shared" si="47"/>
        <v>25.291544911465635</v>
      </c>
      <c r="Y216" s="249">
        <f t="shared" si="47"/>
        <v>25.713913711487109</v>
      </c>
      <c r="Z216" s="249">
        <f t="shared" si="47"/>
        <v>26.143336070468941</v>
      </c>
      <c r="AA216" s="249">
        <f t="shared" si="47"/>
        <v>26.57992978284577</v>
      </c>
      <c r="AB216" s="249">
        <f t="shared" si="47"/>
        <v>27.023814610219294</v>
      </c>
      <c r="AC216" s="249">
        <f t="shared" si="47"/>
        <v>27.475112314209955</v>
      </c>
      <c r="AD216" s="249">
        <f t="shared" si="47"/>
        <v>27.933946689857258</v>
      </c>
      <c r="AE216" s="249">
        <f t="shared" si="47"/>
        <v>28.400443599577873</v>
      </c>
      <c r="AF216" s="249">
        <f t="shared" si="47"/>
        <v>28.874731007690823</v>
      </c>
      <c r="AG216" s="249">
        <f t="shared" si="47"/>
        <v>29.356939015519259</v>
      </c>
      <c r="AI216" s="296"/>
    </row>
    <row r="217" spans="1:36" s="68" customFormat="1" outlineLevel="1">
      <c r="A217" s="311" t="s">
        <v>1387</v>
      </c>
      <c r="B217" s="312" t="s">
        <v>704</v>
      </c>
      <c r="C217" s="313">
        <f>C214-C215-C216</f>
        <v>125.71096251954387</v>
      </c>
      <c r="D217" s="313">
        <f t="shared" ref="D217:AG217" si="48">D214-D215-D216</f>
        <v>130.22544534638573</v>
      </c>
      <c r="E217" s="313">
        <f t="shared" si="48"/>
        <v>134.49538523965509</v>
      </c>
      <c r="F217" s="313">
        <f t="shared" si="48"/>
        <v>138.4893101433008</v>
      </c>
      <c r="G217" s="313">
        <f t="shared" si="48"/>
        <v>142.17700270244663</v>
      </c>
      <c r="H217" s="313">
        <f t="shared" si="48"/>
        <v>145.52985178792807</v>
      </c>
      <c r="I217" s="313">
        <f t="shared" si="48"/>
        <v>148.88418166901053</v>
      </c>
      <c r="J217" s="313">
        <f t="shared" si="48"/>
        <v>152.23657302849145</v>
      </c>
      <c r="K217" s="313">
        <f t="shared" si="48"/>
        <v>155.58352051179531</v>
      </c>
      <c r="L217" s="313">
        <f t="shared" si="48"/>
        <v>158.92143714327386</v>
      </c>
      <c r="M217" s="313">
        <f t="shared" si="48"/>
        <v>162.24665904224375</v>
      </c>
      <c r="N217" s="313">
        <f t="shared" si="48"/>
        <v>165.28791163651201</v>
      </c>
      <c r="O217" s="313">
        <f t="shared" si="48"/>
        <v>168.02627864776372</v>
      </c>
      <c r="P217" s="313">
        <f t="shared" si="48"/>
        <v>170.44417145361763</v>
      </c>
      <c r="Q217" s="313">
        <f t="shared" si="48"/>
        <v>172.52549162063693</v>
      </c>
      <c r="R217" s="313">
        <f t="shared" si="48"/>
        <v>174.25578243685723</v>
      </c>
      <c r="S217" s="313">
        <f t="shared" si="48"/>
        <v>175.98072658666638</v>
      </c>
      <c r="T217" s="313">
        <f t="shared" si="48"/>
        <v>177.69974965578837</v>
      </c>
      <c r="U217" s="313">
        <f t="shared" si="48"/>
        <v>179.41226984137103</v>
      </c>
      <c r="V217" s="313">
        <f t="shared" si="48"/>
        <v>181.11769807263192</v>
      </c>
      <c r="W217" s="313">
        <f t="shared" si="48"/>
        <v>182.81543813599484</v>
      </c>
      <c r="X217" s="313">
        <f t="shared" si="48"/>
        <v>184.50719758894667</v>
      </c>
      <c r="Y217" s="313">
        <f t="shared" si="48"/>
        <v>186.19243942307156</v>
      </c>
      <c r="Z217" s="313">
        <f t="shared" si="48"/>
        <v>187.8706199459578</v>
      </c>
      <c r="AA217" s="313">
        <f t="shared" si="48"/>
        <v>189.54118887166035</v>
      </c>
      <c r="AB217" s="313">
        <f t="shared" si="48"/>
        <v>191.20358941443763</v>
      </c>
      <c r="AC217" s="313">
        <f t="shared" si="48"/>
        <v>192.859341460168</v>
      </c>
      <c r="AD217" s="313">
        <f t="shared" si="48"/>
        <v>194.50793801224242</v>
      </c>
      <c r="AE217" s="313">
        <f t="shared" si="48"/>
        <v>196.14886591575117</v>
      </c>
      <c r="AF217" s="313">
        <f t="shared" si="48"/>
        <v>197.78160592364375</v>
      </c>
      <c r="AG217" s="313">
        <f t="shared" si="48"/>
        <v>199.40563276526203</v>
      </c>
      <c r="AI217" s="314"/>
      <c r="AJ217" s="315"/>
    </row>
    <row r="218" spans="1:36" outlineLevel="1">
      <c r="A218" s="112" t="s">
        <v>90</v>
      </c>
      <c r="B218" s="302" t="s">
        <v>704</v>
      </c>
      <c r="C218" s="230">
        <f>C187*C$217</f>
        <v>20.113754003127021</v>
      </c>
      <c r="D218" s="230">
        <f t="shared" ref="D218:AG218" si="49">D187*D$217</f>
        <v>21.105203842470914</v>
      </c>
      <c r="E218" s="230">
        <f t="shared" si="49"/>
        <v>22.075175897335388</v>
      </c>
      <c r="F218" s="230">
        <f t="shared" si="49"/>
        <v>23.01692334581659</v>
      </c>
      <c r="G218" s="230">
        <f t="shared" si="49"/>
        <v>23.923650321398352</v>
      </c>
      <c r="H218" s="230">
        <f t="shared" si="49"/>
        <v>24.788584754543745</v>
      </c>
      <c r="I218" s="230">
        <f t="shared" si="49"/>
        <v>25.667632919737411</v>
      </c>
      <c r="J218" s="230">
        <f t="shared" si="49"/>
        <v>26.56020744103747</v>
      </c>
      <c r="K218" s="230">
        <f t="shared" si="49"/>
        <v>27.46567748768226</v>
      </c>
      <c r="L218" s="230">
        <f t="shared" si="49"/>
        <v>28.383368673788706</v>
      </c>
      <c r="M218" s="230">
        <f t="shared" si="49"/>
        <v>29.312563066965364</v>
      </c>
      <c r="N218" s="230">
        <f t="shared" si="49"/>
        <v>30.203611053045286</v>
      </c>
      <c r="O218" s="230">
        <f t="shared" si="49"/>
        <v>31.051256294106725</v>
      </c>
      <c r="P218" s="230">
        <f t="shared" si="49"/>
        <v>31.850334172299334</v>
      </c>
      <c r="Q218" s="230">
        <f t="shared" si="49"/>
        <v>32.595816216858992</v>
      </c>
      <c r="R218" s="230">
        <f t="shared" si="49"/>
        <v>33.282854445439717</v>
      </c>
      <c r="S218" s="230">
        <f t="shared" si="49"/>
        <v>33.97601227966571</v>
      </c>
      <c r="T218" s="230">
        <f t="shared" si="49"/>
        <v>34.67514448283282</v>
      </c>
      <c r="U218" s="230">
        <f t="shared" si="49"/>
        <v>35.380099612718347</v>
      </c>
      <c r="V218" s="230">
        <f t="shared" si="49"/>
        <v>36.090719969273103</v>
      </c>
      <c r="W218" s="230">
        <f t="shared" si="49"/>
        <v>36.806841544713606</v>
      </c>
      <c r="X218" s="230">
        <f t="shared" si="49"/>
        <v>37.528763989591731</v>
      </c>
      <c r="Y218" s="230">
        <f t="shared" si="49"/>
        <v>38.256339886793747</v>
      </c>
      <c r="Z218" s="230">
        <f t="shared" si="49"/>
        <v>38.989415992784416</v>
      </c>
      <c r="AA218" s="230">
        <f t="shared" si="49"/>
        <v>39.727833187499982</v>
      </c>
      <c r="AB218" s="230">
        <f t="shared" si="49"/>
        <v>40.471426426055942</v>
      </c>
      <c r="AC218" s="230">
        <f t="shared" si="49"/>
        <v>41.22046991475321</v>
      </c>
      <c r="AD218" s="230">
        <f t="shared" si="49"/>
        <v>41.974813023041882</v>
      </c>
      <c r="AE218" s="230">
        <f t="shared" si="49"/>
        <v>42.734299587511629</v>
      </c>
      <c r="AF218" s="230">
        <f t="shared" si="49"/>
        <v>43.498767862806687</v>
      </c>
      <c r="AG218" s="230">
        <f t="shared" si="49"/>
        <v>44.268050473888174</v>
      </c>
      <c r="AI218" s="214"/>
    </row>
    <row r="219" spans="1:36" outlineLevel="1">
      <c r="A219" s="112" t="s">
        <v>33</v>
      </c>
      <c r="B219" s="302" t="s">
        <v>704</v>
      </c>
      <c r="C219" s="230">
        <f t="shared" ref="C219:AG219" si="50">C188*C$217</f>
        <v>46.513056132231235</v>
      </c>
      <c r="D219" s="230">
        <f t="shared" si="50"/>
        <v>47.232769027134104</v>
      </c>
      <c r="E219" s="230">
        <f t="shared" si="50"/>
        <v>47.799659914173425</v>
      </c>
      <c r="F219" s="230">
        <f t="shared" si="50"/>
        <v>48.208128860883015</v>
      </c>
      <c r="G219" s="230">
        <f t="shared" si="50"/>
        <v>48.453922520993828</v>
      </c>
      <c r="H219" s="230">
        <f t="shared" si="50"/>
        <v>48.534205571274029</v>
      </c>
      <c r="I219" s="230">
        <f t="shared" si="50"/>
        <v>48.566020060431256</v>
      </c>
      <c r="J219" s="230">
        <f t="shared" si="50"/>
        <v>48.548243138785949</v>
      </c>
      <c r="K219" s="230">
        <f t="shared" si="50"/>
        <v>48.479824991475454</v>
      </c>
      <c r="L219" s="230">
        <f t="shared" si="50"/>
        <v>48.359793322698273</v>
      </c>
      <c r="M219" s="230">
        <f t="shared" si="50"/>
        <v>48.187257735546439</v>
      </c>
      <c r="N219" s="230">
        <f t="shared" si="50"/>
        <v>47.883908001097574</v>
      </c>
      <c r="O219" s="230">
        <f t="shared" si="50"/>
        <v>47.450621090128529</v>
      </c>
      <c r="P219" s="230">
        <f t="shared" si="50"/>
        <v>46.889191566890268</v>
      </c>
      <c r="Q219" s="230">
        <f t="shared" si="50"/>
        <v>46.202326656006633</v>
      </c>
      <c r="R219" s="230">
        <f t="shared" si="50"/>
        <v>45.393631324801376</v>
      </c>
      <c r="S219" s="230">
        <f t="shared" si="50"/>
        <v>44.558319971744005</v>
      </c>
      <c r="T219" s="230">
        <f t="shared" si="50"/>
        <v>43.696368440358434</v>
      </c>
      <c r="U219" s="230">
        <f t="shared" si="50"/>
        <v>42.8077675841512</v>
      </c>
      <c r="V219" s="230">
        <f t="shared" si="50"/>
        <v>41.892523564199841</v>
      </c>
      <c r="W219" s="230">
        <f t="shared" si="50"/>
        <v>40.95065814246292</v>
      </c>
      <c r="X219" s="230">
        <f t="shared" si="50"/>
        <v>39.98270971752482</v>
      </c>
      <c r="Y219" s="230">
        <f t="shared" si="50"/>
        <v>38.988696815191261</v>
      </c>
      <c r="Z219" s="230">
        <f t="shared" si="50"/>
        <v>37.968652291078151</v>
      </c>
      <c r="AA219" s="230">
        <f t="shared" si="50"/>
        <v>36.922623592199514</v>
      </c>
      <c r="AB219" s="230">
        <f t="shared" si="50"/>
        <v>35.850673015207136</v>
      </c>
      <c r="AC219" s="230">
        <f t="shared" si="50"/>
        <v>34.753253331122352</v>
      </c>
      <c r="AD219" s="230">
        <f t="shared" si="50"/>
        <v>33.630422482316796</v>
      </c>
      <c r="AE219" s="230">
        <f t="shared" si="50"/>
        <v>32.482252195648478</v>
      </c>
      <c r="AF219" s="230">
        <f t="shared" si="50"/>
        <v>31.308828217712886</v>
      </c>
      <c r="AG219" s="230">
        <f t="shared" si="50"/>
        <v>30.110250547554564</v>
      </c>
      <c r="AI219" s="214"/>
    </row>
    <row r="220" spans="1:36" outlineLevel="1">
      <c r="A220" s="112" t="s">
        <v>451</v>
      </c>
      <c r="B220" s="302" t="s">
        <v>704</v>
      </c>
      <c r="C220" s="230">
        <f t="shared" ref="C220:AG220" si="51">C189*C$217</f>
        <v>10.05687700156351</v>
      </c>
      <c r="D220" s="230">
        <f t="shared" si="51"/>
        <v>10.431058172245498</v>
      </c>
      <c r="E220" s="230">
        <f t="shared" si="51"/>
        <v>10.786529896220339</v>
      </c>
      <c r="F220" s="230">
        <f t="shared" si="51"/>
        <v>11.120691604507055</v>
      </c>
      <c r="G220" s="230">
        <f t="shared" si="51"/>
        <v>11.431031017276711</v>
      </c>
      <c r="H220" s="230">
        <f t="shared" si="51"/>
        <v>11.715153068928212</v>
      </c>
      <c r="I220" s="230">
        <f t="shared" si="51"/>
        <v>12.000065042522252</v>
      </c>
      <c r="J220" s="230">
        <f t="shared" si="51"/>
        <v>12.285491443399263</v>
      </c>
      <c r="K220" s="230">
        <f t="shared" si="51"/>
        <v>12.571148457353065</v>
      </c>
      <c r="L220" s="230">
        <f t="shared" si="51"/>
        <v>12.85674426489086</v>
      </c>
      <c r="M220" s="230">
        <f t="shared" si="51"/>
        <v>13.141979382421749</v>
      </c>
      <c r="N220" s="230">
        <f t="shared" si="51"/>
        <v>13.404849633721129</v>
      </c>
      <c r="O220" s="230">
        <f t="shared" si="51"/>
        <v>13.643733826198419</v>
      </c>
      <c r="P220" s="230">
        <f t="shared" si="51"/>
        <v>13.85711113917912</v>
      </c>
      <c r="Q220" s="230">
        <f t="shared" si="51"/>
        <v>14.043575017919853</v>
      </c>
      <c r="R220" s="230">
        <f t="shared" si="51"/>
        <v>14.201846268603871</v>
      </c>
      <c r="S220" s="230">
        <f t="shared" si="51"/>
        <v>14.360027289471985</v>
      </c>
      <c r="T220" s="230">
        <f t="shared" si="51"/>
        <v>14.518069546877918</v>
      </c>
      <c r="U220" s="230">
        <f t="shared" si="51"/>
        <v>14.67592367302416</v>
      </c>
      <c r="V220" s="230">
        <f t="shared" si="51"/>
        <v>14.833539472148566</v>
      </c>
      <c r="W220" s="230">
        <f t="shared" si="51"/>
        <v>14.990865927151587</v>
      </c>
      <c r="X220" s="230">
        <f t="shared" si="51"/>
        <v>15.148040922052532</v>
      </c>
      <c r="Y220" s="230">
        <f t="shared" si="51"/>
        <v>15.305018520576494</v>
      </c>
      <c r="Z220" s="230">
        <f t="shared" si="51"/>
        <v>15.461752021552339</v>
      </c>
      <c r="AA220" s="230">
        <f t="shared" si="51"/>
        <v>15.618193963024826</v>
      </c>
      <c r="AB220" s="230">
        <f t="shared" si="51"/>
        <v>15.774296126691118</v>
      </c>
      <c r="AC220" s="230">
        <f t="shared" si="51"/>
        <v>15.930181604609892</v>
      </c>
      <c r="AD220" s="230">
        <f t="shared" si="51"/>
        <v>16.085806473612465</v>
      </c>
      <c r="AE220" s="230">
        <f t="shared" si="51"/>
        <v>16.241126097824214</v>
      </c>
      <c r="AF220" s="230">
        <f t="shared" si="51"/>
        <v>16.396095131070084</v>
      </c>
      <c r="AG220" s="230">
        <f t="shared" si="51"/>
        <v>16.55066751951675</v>
      </c>
      <c r="AI220" s="214"/>
    </row>
    <row r="221" spans="1:36" outlineLevel="1">
      <c r="A221" s="112" t="s">
        <v>452</v>
      </c>
      <c r="B221" s="302" t="s">
        <v>704</v>
      </c>
      <c r="C221" s="230">
        <f t="shared" ref="C221:AG221" si="52">C190*C$217</f>
        <v>33.941959880276848</v>
      </c>
      <c r="D221" s="230">
        <f t="shared" si="52"/>
        <v>35.568909972276153</v>
      </c>
      <c r="E221" s="230">
        <f t="shared" si="52"/>
        <v>37.156591762208713</v>
      </c>
      <c r="F221" s="230">
        <f t="shared" si="52"/>
        <v>38.693913254038243</v>
      </c>
      <c r="G221" s="230">
        <f t="shared" si="52"/>
        <v>40.169742496864586</v>
      </c>
      <c r="H221" s="230">
        <f t="shared" si="52"/>
        <v>41.573027660751443</v>
      </c>
      <c r="I221" s="230">
        <f t="shared" si="52"/>
        <v>42.997751666010231</v>
      </c>
      <c r="J221" s="230">
        <f t="shared" si="52"/>
        <v>44.442930219450929</v>
      </c>
      <c r="K221" s="230">
        <f t="shared" si="52"/>
        <v>45.907510785680394</v>
      </c>
      <c r="L221" s="230">
        <f t="shared" si="52"/>
        <v>47.390372556124248</v>
      </c>
      <c r="M221" s="230">
        <f t="shared" si="52"/>
        <v>48.890326591396096</v>
      </c>
      <c r="N221" s="230">
        <f t="shared" si="52"/>
        <v>50.324659496263337</v>
      </c>
      <c r="O221" s="230">
        <f t="shared" si="52"/>
        <v>51.684883312052101</v>
      </c>
      <c r="P221" s="230">
        <f t="shared" si="52"/>
        <v>52.962685543020761</v>
      </c>
      <c r="Q221" s="230">
        <f t="shared" si="52"/>
        <v>54.150000969997215</v>
      </c>
      <c r="R221" s="230">
        <f t="shared" si="52"/>
        <v>55.239083032483713</v>
      </c>
      <c r="S221" s="230">
        <f t="shared" si="52"/>
        <v>56.337296604611431</v>
      </c>
      <c r="T221" s="230">
        <f t="shared" si="52"/>
        <v>57.444405738727816</v>
      </c>
      <c r="U221" s="230">
        <f t="shared" si="52"/>
        <v>58.560164876223467</v>
      </c>
      <c r="V221" s="230">
        <f t="shared" si="52"/>
        <v>59.684318771534599</v>
      </c>
      <c r="W221" s="230">
        <f t="shared" si="52"/>
        <v>60.816602419907575</v>
      </c>
      <c r="X221" s="230">
        <f t="shared" si="52"/>
        <v>61.957516950368245</v>
      </c>
      <c r="Y221" s="230">
        <f t="shared" si="52"/>
        <v>63.106824135126345</v>
      </c>
      <c r="Z221" s="230">
        <f t="shared" si="52"/>
        <v>64.264276729513909</v>
      </c>
      <c r="AA221" s="230">
        <f t="shared" si="52"/>
        <v>65.429618398497098</v>
      </c>
      <c r="AB221" s="230">
        <f t="shared" si="52"/>
        <v>66.602583646029061</v>
      </c>
      <c r="AC221" s="230">
        <f t="shared" si="52"/>
        <v>67.78362987853366</v>
      </c>
      <c r="AD221" s="230">
        <f t="shared" si="52"/>
        <v>68.972514819141097</v>
      </c>
      <c r="AE221" s="230">
        <f t="shared" si="52"/>
        <v>70.168987633594654</v>
      </c>
      <c r="AF221" s="230">
        <f t="shared" si="52"/>
        <v>71.372788857645503</v>
      </c>
      <c r="AG221" s="230">
        <f t="shared" si="52"/>
        <v>72.583650326555372</v>
      </c>
      <c r="AI221" s="214"/>
    </row>
    <row r="222" spans="1:36" outlineLevel="1">
      <c r="A222" s="112" t="s">
        <v>1364</v>
      </c>
      <c r="B222" s="302" t="s">
        <v>704</v>
      </c>
      <c r="C222" s="230">
        <f t="shared" ref="C222:AG222" si="53">C191*C$217</f>
        <v>8.7997673763680719</v>
      </c>
      <c r="D222" s="230">
        <f t="shared" si="53"/>
        <v>9.2807334050190899</v>
      </c>
      <c r="E222" s="230">
        <f t="shared" si="53"/>
        <v>9.7553986093829828</v>
      </c>
      <c r="F222" s="230">
        <f t="shared" si="53"/>
        <v>10.2205110885756</v>
      </c>
      <c r="G222" s="230">
        <f t="shared" si="53"/>
        <v>10.672753669530328</v>
      </c>
      <c r="H222" s="230">
        <f t="shared" si="53"/>
        <v>11.108778686478509</v>
      </c>
      <c r="I222" s="230">
        <f t="shared" si="53"/>
        <v>11.553412497515218</v>
      </c>
      <c r="J222" s="230">
        <f t="shared" si="53"/>
        <v>12.006391059513692</v>
      </c>
      <c r="K222" s="230">
        <f t="shared" si="53"/>
        <v>12.467426110345198</v>
      </c>
      <c r="L222" s="230">
        <f t="shared" si="53"/>
        <v>12.936204983462492</v>
      </c>
      <c r="M222" s="230">
        <f t="shared" si="53"/>
        <v>13.412390480825483</v>
      </c>
      <c r="N222" s="230">
        <f t="shared" si="53"/>
        <v>13.873165383357907</v>
      </c>
      <c r="O222" s="230">
        <f t="shared" si="53"/>
        <v>14.315838940789469</v>
      </c>
      <c r="P222" s="230">
        <f t="shared" si="53"/>
        <v>14.737739358356137</v>
      </c>
      <c r="Q222" s="230">
        <f t="shared" si="53"/>
        <v>15.136236464850546</v>
      </c>
      <c r="R222" s="230">
        <f t="shared" si="53"/>
        <v>15.508764636880294</v>
      </c>
      <c r="S222" s="230">
        <f t="shared" si="53"/>
        <v>15.885193586556417</v>
      </c>
      <c r="T222" s="230">
        <f t="shared" si="53"/>
        <v>16.26545041849316</v>
      </c>
      <c r="U222" s="230">
        <f t="shared" si="53"/>
        <v>16.649458641279232</v>
      </c>
      <c r="V222" s="230">
        <f t="shared" si="53"/>
        <v>17.037138132032243</v>
      </c>
      <c r="W222" s="230">
        <f t="shared" si="53"/>
        <v>17.428405102298175</v>
      </c>
      <c r="X222" s="230">
        <f t="shared" si="53"/>
        <v>17.823395287092247</v>
      </c>
      <c r="Y222" s="230">
        <f t="shared" si="53"/>
        <v>18.222033404871269</v>
      </c>
      <c r="Z222" s="230">
        <f t="shared" si="53"/>
        <v>18.624240790642613</v>
      </c>
      <c r="AA222" s="230">
        <f t="shared" si="53"/>
        <v>19.029935362714696</v>
      </c>
      <c r="AB222" s="230">
        <f t="shared" si="53"/>
        <v>19.439031590467824</v>
      </c>
      <c r="AC222" s="230">
        <f t="shared" si="53"/>
        <v>19.851654880966624</v>
      </c>
      <c r="AD222" s="230">
        <f t="shared" si="53"/>
        <v>20.267727140875657</v>
      </c>
      <c r="AE222" s="230">
        <f t="shared" si="53"/>
        <v>20.68716705858122</v>
      </c>
      <c r="AF222" s="230">
        <f t="shared" si="53"/>
        <v>21.109890072250241</v>
      </c>
      <c r="AG222" s="230">
        <f t="shared" si="53"/>
        <v>21.535808338648298</v>
      </c>
      <c r="AI222" s="214"/>
    </row>
    <row r="223" spans="1:36" outlineLevel="1">
      <c r="A223" s="112" t="s">
        <v>1365</v>
      </c>
      <c r="B223" s="302" t="s">
        <v>704</v>
      </c>
      <c r="C223" s="230">
        <f t="shared" ref="C223:AF223" si="54">C192*C$217</f>
        <v>6.2855481259771935</v>
      </c>
      <c r="D223" s="230">
        <f t="shared" si="54"/>
        <v>6.6067709272399702</v>
      </c>
      <c r="E223" s="230">
        <f t="shared" si="54"/>
        <v>6.9220291603342501</v>
      </c>
      <c r="F223" s="230">
        <f t="shared" si="54"/>
        <v>7.2291419894803033</v>
      </c>
      <c r="G223" s="230">
        <f t="shared" si="54"/>
        <v>7.5259026763828434</v>
      </c>
      <c r="H223" s="230">
        <f t="shared" si="54"/>
        <v>7.8101020459521422</v>
      </c>
      <c r="I223" s="230">
        <f t="shared" si="54"/>
        <v>8.0992994827941747</v>
      </c>
      <c r="J223" s="230">
        <f t="shared" si="54"/>
        <v>8.3933097263041656</v>
      </c>
      <c r="K223" s="230">
        <f t="shared" si="54"/>
        <v>8.6919326792589686</v>
      </c>
      <c r="L223" s="230">
        <f t="shared" si="54"/>
        <v>8.9949533423093051</v>
      </c>
      <c r="M223" s="230">
        <f t="shared" si="54"/>
        <v>9.3021417850886454</v>
      </c>
      <c r="N223" s="230">
        <f t="shared" si="54"/>
        <v>9.5977180690268025</v>
      </c>
      <c r="O223" s="230">
        <f t="shared" si="54"/>
        <v>9.8799451844885127</v>
      </c>
      <c r="P223" s="230">
        <f t="shared" si="54"/>
        <v>10.147109673872043</v>
      </c>
      <c r="Q223" s="230">
        <f t="shared" si="54"/>
        <v>10.397536295003725</v>
      </c>
      <c r="R223" s="230">
        <f t="shared" si="54"/>
        <v>10.629602728648297</v>
      </c>
      <c r="S223" s="230">
        <f t="shared" si="54"/>
        <v>10.863876854616878</v>
      </c>
      <c r="T223" s="230">
        <f t="shared" si="54"/>
        <v>11.100311028498254</v>
      </c>
      <c r="U223" s="230">
        <f t="shared" si="54"/>
        <v>11.338855453974658</v>
      </c>
      <c r="V223" s="230">
        <f t="shared" si="54"/>
        <v>11.57945816344361</v>
      </c>
      <c r="W223" s="230">
        <f t="shared" si="54"/>
        <v>11.822064999461009</v>
      </c>
      <c r="X223" s="230">
        <f t="shared" si="54"/>
        <v>12.066770722317122</v>
      </c>
      <c r="Y223" s="230">
        <f t="shared" si="54"/>
        <v>12.313526660512476</v>
      </c>
      <c r="Z223" s="230">
        <f t="shared" si="54"/>
        <v>12.56228212038639</v>
      </c>
      <c r="AA223" s="230">
        <f t="shared" si="54"/>
        <v>12.812984367724251</v>
      </c>
      <c r="AB223" s="230">
        <f t="shared" si="54"/>
        <v>13.065578609986584</v>
      </c>
      <c r="AC223" s="230">
        <f t="shared" si="54"/>
        <v>13.320151850182283</v>
      </c>
      <c r="AD223" s="230">
        <f t="shared" si="54"/>
        <v>13.576654073254534</v>
      </c>
      <c r="AE223" s="230">
        <f t="shared" si="54"/>
        <v>13.835033342590997</v>
      </c>
      <c r="AF223" s="230">
        <f t="shared" si="54"/>
        <v>14.09523578215836</v>
      </c>
      <c r="AG223" s="230">
        <f>AG192*AG$217</f>
        <v>14.357205559098865</v>
      </c>
      <c r="AI223" s="214"/>
    </row>
    <row r="224" spans="1:36" s="58" customFormat="1">
      <c r="A224" s="58" t="s">
        <v>1366</v>
      </c>
      <c r="B224" s="303"/>
      <c r="C224" s="304">
        <f>C50</f>
        <v>143.57279713811519</v>
      </c>
      <c r="D224" s="304">
        <f t="shared" ref="D224:AG224" si="55">D50</f>
        <v>148.38557260308718</v>
      </c>
      <c r="E224" s="304">
        <f t="shared" si="55"/>
        <v>152.95878662154348</v>
      </c>
      <c r="F224" s="304">
        <f t="shared" si="55"/>
        <v>157.26105032826672</v>
      </c>
      <c r="G224" s="304">
        <f t="shared" si="55"/>
        <v>161.26223094850147</v>
      </c>
      <c r="H224" s="304">
        <f t="shared" si="55"/>
        <v>164.93380334569201</v>
      </c>
      <c r="I224" s="304">
        <f t="shared" si="55"/>
        <v>168.61217921778913</v>
      </c>
      <c r="J224" s="304">
        <f t="shared" si="55"/>
        <v>172.29402813633467</v>
      </c>
      <c r="K224" s="304">
        <f t="shared" si="55"/>
        <v>175.97593511993952</v>
      </c>
      <c r="L224" s="304">
        <f t="shared" si="55"/>
        <v>179.65440507537406</v>
      </c>
      <c r="M224" s="304">
        <f t="shared" si="55"/>
        <v>183.32586753881003</v>
      </c>
      <c r="N224" s="304">
        <f t="shared" si="55"/>
        <v>186.71914291497094</v>
      </c>
      <c r="O224" s="304">
        <f t="shared" si="55"/>
        <v>189.81541148857292</v>
      </c>
      <c r="P224" s="304">
        <f t="shared" si="55"/>
        <v>192.60011476741653</v>
      </c>
      <c r="Q224" s="304">
        <f t="shared" si="55"/>
        <v>195.05439681142857</v>
      </c>
      <c r="R224" s="304">
        <f t="shared" si="55"/>
        <v>197.16388664146407</v>
      </c>
      <c r="S224" s="304">
        <f t="shared" si="55"/>
        <v>199.27437542541566</v>
      </c>
      <c r="T224" s="304">
        <f t="shared" si="55"/>
        <v>201.38539365584393</v>
      </c>
      <c r="U224" s="304">
        <f t="shared" si="55"/>
        <v>203.49646615945636</v>
      </c>
      <c r="V224" s="304">
        <f t="shared" si="55"/>
        <v>205.60711224659565</v>
      </c>
      <c r="W224" s="304">
        <f t="shared" si="55"/>
        <v>207.71684586572155</v>
      </c>
      <c r="X224" s="304">
        <f t="shared" si="55"/>
        <v>209.82748686372361</v>
      </c>
      <c r="Y224" s="304">
        <f t="shared" si="55"/>
        <v>211.93861216279515</v>
      </c>
      <c r="Z224" s="304">
        <f t="shared" si="55"/>
        <v>214.0595678397969</v>
      </c>
      <c r="AA224" s="304">
        <f t="shared" si="55"/>
        <v>216.18033982885453</v>
      </c>
      <c r="AB224" s="304">
        <f t="shared" si="55"/>
        <v>218.30049087904047</v>
      </c>
      <c r="AC224" s="304">
        <f t="shared" si="55"/>
        <v>220.42166312736646</v>
      </c>
      <c r="AD224" s="304">
        <f t="shared" si="55"/>
        <v>222.54347333689196</v>
      </c>
      <c r="AE224" s="304">
        <f t="shared" si="55"/>
        <v>224.66553408429809</v>
      </c>
      <c r="AF224" s="304">
        <f t="shared" si="55"/>
        <v>226.78745385938598</v>
      </c>
      <c r="AG224" s="304">
        <f t="shared" si="55"/>
        <v>228.90883716756247</v>
      </c>
      <c r="AI224" s="305"/>
      <c r="AJ224" s="306"/>
    </row>
    <row r="225" spans="1:36" s="58" customFormat="1">
      <c r="A225" s="307" t="s">
        <v>3</v>
      </c>
      <c r="B225" s="308" t="s">
        <v>704</v>
      </c>
      <c r="C225" s="309">
        <f>C50-C32</f>
        <v>0</v>
      </c>
      <c r="D225" s="309">
        <f t="shared" ref="D225:AG225" si="56">D50-D32</f>
        <v>0</v>
      </c>
      <c r="E225" s="309">
        <f t="shared" si="56"/>
        <v>0</v>
      </c>
      <c r="F225" s="309">
        <f t="shared" si="56"/>
        <v>0</v>
      </c>
      <c r="G225" s="309">
        <f t="shared" si="56"/>
        <v>0</v>
      </c>
      <c r="H225" s="309">
        <f t="shared" si="56"/>
        <v>0</v>
      </c>
      <c r="I225" s="309">
        <f t="shared" si="56"/>
        <v>0</v>
      </c>
      <c r="J225" s="309">
        <f t="shared" si="56"/>
        <v>0</v>
      </c>
      <c r="K225" s="309">
        <f t="shared" si="56"/>
        <v>0</v>
      </c>
      <c r="L225" s="309">
        <f t="shared" si="56"/>
        <v>0</v>
      </c>
      <c r="M225" s="309">
        <f t="shared" si="56"/>
        <v>0</v>
      </c>
      <c r="N225" s="309">
        <f t="shared" si="56"/>
        <v>0</v>
      </c>
      <c r="O225" s="309">
        <f t="shared" si="56"/>
        <v>0</v>
      </c>
      <c r="P225" s="309">
        <f t="shared" si="56"/>
        <v>2.9319545481882869E-3</v>
      </c>
      <c r="Q225" s="309">
        <f t="shared" si="56"/>
        <v>5.938541841459255E-3</v>
      </c>
      <c r="R225" s="309">
        <f t="shared" si="56"/>
        <v>9.0040126191865966E-3</v>
      </c>
      <c r="S225" s="309">
        <f t="shared" si="56"/>
        <v>1.2133673555439373E-2</v>
      </c>
      <c r="T225" s="309">
        <f t="shared" si="56"/>
        <v>1.5327531602963518E-2</v>
      </c>
      <c r="U225" s="309">
        <f t="shared" si="56"/>
        <v>1.8585564609594485E-2</v>
      </c>
      <c r="V225" s="309">
        <f t="shared" si="56"/>
        <v>2.1907720904948746E-2</v>
      </c>
      <c r="W225" s="309">
        <f t="shared" si="56"/>
        <v>2.5293918901866164E-2</v>
      </c>
      <c r="X225" s="309">
        <f t="shared" si="56"/>
        <v>2.8744363311290044E-2</v>
      </c>
      <c r="Y225" s="309">
        <f t="shared" si="56"/>
        <v>3.2259028236495624E-2</v>
      </c>
      <c r="Z225" s="309">
        <f t="shared" si="56"/>
        <v>4.5611823370165894E-2</v>
      </c>
      <c r="AA225" s="309">
        <f t="shared" si="56"/>
        <v>5.9221174348408567E-2</v>
      </c>
      <c r="AB225" s="309">
        <f t="shared" si="56"/>
        <v>7.3086854383547006E-2</v>
      </c>
      <c r="AC225" s="309">
        <f t="shared" si="56"/>
        <v>8.7209352988509181E-2</v>
      </c>
      <c r="AD225" s="309">
        <f t="shared" si="56"/>
        <v>0.10158863479227875</v>
      </c>
      <c r="AE225" s="309">
        <f t="shared" si="56"/>
        <v>0.11622456896904509</v>
      </c>
      <c r="AF225" s="309">
        <f t="shared" si="56"/>
        <v>0.13111692805139796</v>
      </c>
      <c r="AG225" s="309">
        <f t="shared" si="56"/>
        <v>0.14626538678118095</v>
      </c>
      <c r="AI225" s="305"/>
      <c r="AJ225" s="306"/>
    </row>
    <row r="226" spans="1:36">
      <c r="A226" s="310" t="s">
        <v>51</v>
      </c>
      <c r="B226" s="302" t="s">
        <v>704</v>
      </c>
      <c r="C226" s="249">
        <f>C182</f>
        <v>17.861834618571326</v>
      </c>
      <c r="D226" s="249">
        <f t="shared" ref="D226:AG226" si="57">D182</f>
        <v>19.325366739382417</v>
      </c>
      <c r="E226" s="249">
        <f t="shared" si="57"/>
        <v>20.808478700996972</v>
      </c>
      <c r="F226" s="249">
        <f t="shared" si="57"/>
        <v>22.302197361971405</v>
      </c>
      <c r="G226" s="249">
        <f t="shared" si="57"/>
        <v>23.797049714397261</v>
      </c>
      <c r="H226" s="249">
        <f t="shared" si="57"/>
        <v>25.283160777666147</v>
      </c>
      <c r="I226" s="249">
        <f t="shared" si="57"/>
        <v>26.808073759415315</v>
      </c>
      <c r="J226" s="249">
        <f t="shared" si="57"/>
        <v>28.371073711726893</v>
      </c>
      <c r="K226" s="249">
        <f t="shared" si="57"/>
        <v>29.971354992401892</v>
      </c>
      <c r="L226" s="249">
        <f t="shared" si="57"/>
        <v>31.608020522894599</v>
      </c>
      <c r="M226" s="249">
        <f t="shared" si="57"/>
        <v>33.280081282392317</v>
      </c>
      <c r="N226" s="249">
        <f t="shared" si="57"/>
        <v>36.167180473262178</v>
      </c>
      <c r="O226" s="249">
        <f t="shared" si="57"/>
        <v>39.065428161327972</v>
      </c>
      <c r="P226" s="249">
        <f t="shared" si="57"/>
        <v>41.960592578982194</v>
      </c>
      <c r="Q226" s="249">
        <f t="shared" si="57"/>
        <v>44.836499658987734</v>
      </c>
      <c r="R226" s="249">
        <f t="shared" si="57"/>
        <v>47.677381042904841</v>
      </c>
      <c r="S226" s="249">
        <f t="shared" si="57"/>
        <v>50.558267947387201</v>
      </c>
      <c r="T226" s="249">
        <f t="shared" si="57"/>
        <v>53.478731151569093</v>
      </c>
      <c r="U226" s="249">
        <f t="shared" si="57"/>
        <v>56.438317342824988</v>
      </c>
      <c r="V226" s="249">
        <f t="shared" si="57"/>
        <v>59.436549078771705</v>
      </c>
      <c r="W226" s="249">
        <f t="shared" si="57"/>
        <v>62.472924765866452</v>
      </c>
      <c r="X226" s="249">
        <f t="shared" si="57"/>
        <v>67.281471053264212</v>
      </c>
      <c r="Y226" s="249">
        <f t="shared" si="57"/>
        <v>72.155165563138695</v>
      </c>
      <c r="Z226" s="249">
        <f t="shared" si="57"/>
        <v>77.096460945816489</v>
      </c>
      <c r="AA226" s="249">
        <f t="shared" si="57"/>
        <v>82.102007498591519</v>
      </c>
      <c r="AB226" s="249">
        <f t="shared" si="57"/>
        <v>87.17104696136974</v>
      </c>
      <c r="AC226" s="249">
        <f t="shared" si="57"/>
        <v>92.303657731265673</v>
      </c>
      <c r="AD226" s="249">
        <f t="shared" si="57"/>
        <v>97.499158120283667</v>
      </c>
      <c r="AE226" s="249">
        <f t="shared" si="57"/>
        <v>102.75683424854464</v>
      </c>
      <c r="AF226" s="249">
        <f t="shared" si="57"/>
        <v>108.07594003255964</v>
      </c>
      <c r="AG226" s="249">
        <f t="shared" si="57"/>
        <v>113.455697192171</v>
      </c>
      <c r="AH226" s="633"/>
      <c r="AI226" s="296"/>
    </row>
    <row r="227" spans="1:36" s="68" customFormat="1">
      <c r="A227" s="311" t="s">
        <v>1387</v>
      </c>
      <c r="B227" s="312" t="s">
        <v>704</v>
      </c>
      <c r="C227" s="313">
        <f>C224-C226</f>
        <v>125.71096251954387</v>
      </c>
      <c r="D227" s="313">
        <f t="shared" ref="D227:AG227" si="58">D224-D226</f>
        <v>129.06020586370477</v>
      </c>
      <c r="E227" s="313">
        <f t="shared" si="58"/>
        <v>132.15030792054651</v>
      </c>
      <c r="F227" s="313">
        <f t="shared" si="58"/>
        <v>134.95885296629532</v>
      </c>
      <c r="G227" s="313">
        <f t="shared" si="58"/>
        <v>137.46518123410419</v>
      </c>
      <c r="H227" s="313">
        <f t="shared" si="58"/>
        <v>139.65064256802586</v>
      </c>
      <c r="I227" s="313">
        <f t="shared" si="58"/>
        <v>141.80410545837381</v>
      </c>
      <c r="J227" s="313">
        <f t="shared" si="58"/>
        <v>143.92295442460778</v>
      </c>
      <c r="K227" s="313">
        <f t="shared" si="58"/>
        <v>146.00458012753762</v>
      </c>
      <c r="L227" s="313">
        <f t="shared" si="58"/>
        <v>148.04638455247945</v>
      </c>
      <c r="M227" s="313">
        <f t="shared" si="58"/>
        <v>150.04578625641773</v>
      </c>
      <c r="N227" s="313">
        <f t="shared" si="58"/>
        <v>150.55196244170878</v>
      </c>
      <c r="O227" s="313">
        <f t="shared" si="58"/>
        <v>150.74998332724493</v>
      </c>
      <c r="P227" s="313">
        <f t="shared" si="58"/>
        <v>150.63952218843434</v>
      </c>
      <c r="Q227" s="313">
        <f t="shared" si="58"/>
        <v>150.21789715244086</v>
      </c>
      <c r="R227" s="313">
        <f t="shared" si="58"/>
        <v>149.48650559855923</v>
      </c>
      <c r="S227" s="313">
        <f t="shared" si="58"/>
        <v>148.71610747802845</v>
      </c>
      <c r="T227" s="313">
        <f t="shared" si="58"/>
        <v>147.90666250427483</v>
      </c>
      <c r="U227" s="313">
        <f t="shared" si="58"/>
        <v>147.05814881663139</v>
      </c>
      <c r="V227" s="313">
        <f t="shared" si="58"/>
        <v>146.17056316782396</v>
      </c>
      <c r="W227" s="313">
        <f t="shared" si="58"/>
        <v>145.2439210998551</v>
      </c>
      <c r="X227" s="313">
        <f t="shared" si="58"/>
        <v>142.54601581045938</v>
      </c>
      <c r="Y227" s="313">
        <f t="shared" si="58"/>
        <v>139.78344659965646</v>
      </c>
      <c r="Z227" s="313">
        <f t="shared" si="58"/>
        <v>136.96310689398041</v>
      </c>
      <c r="AA227" s="313">
        <f t="shared" si="58"/>
        <v>134.07833233026301</v>
      </c>
      <c r="AB227" s="313">
        <f t="shared" si="58"/>
        <v>131.12944391767073</v>
      </c>
      <c r="AC227" s="313">
        <f t="shared" si="58"/>
        <v>128.11800539610078</v>
      </c>
      <c r="AD227" s="313">
        <f t="shared" si="58"/>
        <v>125.0443152166083</v>
      </c>
      <c r="AE227" s="313">
        <f t="shared" si="58"/>
        <v>121.90869983575345</v>
      </c>
      <c r="AF227" s="313">
        <f t="shared" si="58"/>
        <v>118.71151382682633</v>
      </c>
      <c r="AG227" s="313">
        <f t="shared" si="58"/>
        <v>115.45313997539147</v>
      </c>
      <c r="AI227" s="314"/>
      <c r="AJ227" s="315"/>
    </row>
    <row r="228" spans="1:36" s="58" customFormat="1" outlineLevel="1">
      <c r="A228" s="307" t="s">
        <v>1367</v>
      </c>
      <c r="B228" s="308" t="s">
        <v>462</v>
      </c>
      <c r="C228" s="309">
        <f>C50*C194</f>
        <v>120.60114959601675</v>
      </c>
      <c r="D228" s="309">
        <f t="shared" ref="D228:AG228" si="59">D50*D194</f>
        <v>125.23742327700558</v>
      </c>
      <c r="E228" s="309">
        <f t="shared" si="59"/>
        <v>129.70905105506887</v>
      </c>
      <c r="F228" s="309">
        <f t="shared" si="59"/>
        <v>133.98641487968325</v>
      </c>
      <c r="G228" s="309">
        <f t="shared" si="59"/>
        <v>138.04046969191725</v>
      </c>
      <c r="H228" s="309">
        <f t="shared" si="59"/>
        <v>141.84307087729513</v>
      </c>
      <c r="I228" s="309">
        <f t="shared" si="59"/>
        <v>145.6809228441698</v>
      </c>
      <c r="J228" s="309">
        <f t="shared" si="59"/>
        <v>149.55121642233848</v>
      </c>
      <c r="K228" s="309">
        <f t="shared" si="59"/>
        <v>153.45101542458727</v>
      </c>
      <c r="L228" s="309">
        <f t="shared" si="59"/>
        <v>157.37725884602767</v>
      </c>
      <c r="M228" s="309">
        <f t="shared" si="59"/>
        <v>161.32676343415284</v>
      </c>
      <c r="N228" s="309">
        <f t="shared" si="59"/>
        <v>165.05972233683431</v>
      </c>
      <c r="O228" s="309">
        <f t="shared" si="59"/>
        <v>168.55608540185276</v>
      </c>
      <c r="P228" s="309">
        <f t="shared" si="59"/>
        <v>171.79930237253555</v>
      </c>
      <c r="Q228" s="309">
        <f t="shared" si="59"/>
        <v>174.76873954304</v>
      </c>
      <c r="R228" s="309">
        <f t="shared" si="59"/>
        <v>177.44749797731768</v>
      </c>
      <c r="S228" s="309">
        <f t="shared" si="59"/>
        <v>180.14403538457574</v>
      </c>
      <c r="T228" s="309">
        <f t="shared" si="59"/>
        <v>182.85793743950629</v>
      </c>
      <c r="U228" s="309">
        <f t="shared" si="59"/>
        <v>185.58877713742422</v>
      </c>
      <c r="V228" s="309">
        <f t="shared" si="59"/>
        <v>188.33611481788162</v>
      </c>
      <c r="W228" s="309">
        <f t="shared" si="59"/>
        <v>191.09949819646383</v>
      </c>
      <c r="X228" s="309">
        <f t="shared" si="59"/>
        <v>193.88059786208063</v>
      </c>
      <c r="Y228" s="309">
        <f t="shared" si="59"/>
        <v>196.67903208707392</v>
      </c>
      <c r="Z228" s="309">
        <f t="shared" si="59"/>
        <v>199.50351722669072</v>
      </c>
      <c r="AA228" s="309">
        <f t="shared" si="59"/>
        <v>202.34479807980784</v>
      </c>
      <c r="AB228" s="309">
        <f t="shared" si="59"/>
        <v>205.20246142629804</v>
      </c>
      <c r="AC228" s="309">
        <f t="shared" si="59"/>
        <v>208.07804999223396</v>
      </c>
      <c r="AD228" s="309">
        <f t="shared" si="59"/>
        <v>210.97121272337358</v>
      </c>
      <c r="AE228" s="309">
        <f t="shared" si="59"/>
        <v>213.88158844825179</v>
      </c>
      <c r="AF228" s="309">
        <f t="shared" si="59"/>
        <v>216.80880588957302</v>
      </c>
      <c r="AG228" s="309">
        <f t="shared" si="59"/>
        <v>219.75248368085997</v>
      </c>
      <c r="AI228" s="305"/>
      <c r="AJ228" s="339" t="s">
        <v>1363</v>
      </c>
    </row>
    <row r="229" spans="1:36" s="58" customFormat="1" outlineLevel="1">
      <c r="A229" s="307" t="s">
        <v>1368</v>
      </c>
      <c r="B229" s="308" t="s">
        <v>462</v>
      </c>
      <c r="C229" s="309">
        <f>C228*C195</f>
        <v>26.532252911123685</v>
      </c>
      <c r="D229" s="309">
        <f t="shared" ref="D229:AG229" si="60">D228*D195</f>
        <v>28.387149276121264</v>
      </c>
      <c r="E229" s="309">
        <f t="shared" si="60"/>
        <v>30.265445246182733</v>
      </c>
      <c r="F229" s="309">
        <f t="shared" si="60"/>
        <v>32.156739571123978</v>
      </c>
      <c r="G229" s="309">
        <f t="shared" si="60"/>
        <v>34.049982524006246</v>
      </c>
      <c r="H229" s="309">
        <f t="shared" si="60"/>
        <v>35.933577955581427</v>
      </c>
      <c r="I229" s="309">
        <f t="shared" si="60"/>
        <v>37.877039939484142</v>
      </c>
      <c r="J229" s="309">
        <f t="shared" si="60"/>
        <v>39.880324379290251</v>
      </c>
      <c r="K229" s="309">
        <f t="shared" si="60"/>
        <v>41.943277549387176</v>
      </c>
      <c r="L229" s="309">
        <f t="shared" si="60"/>
        <v>44.065632476887735</v>
      </c>
      <c r="M229" s="309">
        <f t="shared" si="60"/>
        <v>46.247005517790463</v>
      </c>
      <c r="N229" s="309">
        <f t="shared" si="60"/>
        <v>48.417518552138048</v>
      </c>
      <c r="O229" s="309">
        <f t="shared" si="60"/>
        <v>50.566825620555804</v>
      </c>
      <c r="P229" s="309">
        <f t="shared" si="60"/>
        <v>52.685119394244211</v>
      </c>
      <c r="Q229" s="309">
        <f t="shared" si="60"/>
        <v>54.760871723485842</v>
      </c>
      <c r="R229" s="309">
        <f t="shared" si="60"/>
        <v>56.783199352741633</v>
      </c>
      <c r="S229" s="309">
        <f t="shared" si="60"/>
        <v>58.847051558961375</v>
      </c>
      <c r="T229" s="309">
        <f t="shared" si="60"/>
        <v>60.952645813168729</v>
      </c>
      <c r="U229" s="309">
        <f t="shared" si="60"/>
        <v>63.100184226724195</v>
      </c>
      <c r="V229" s="309">
        <f t="shared" si="60"/>
        <v>65.289853136865588</v>
      </c>
      <c r="W229" s="309">
        <f t="shared" si="60"/>
        <v>67.521822696083845</v>
      </c>
      <c r="X229" s="309">
        <f t="shared" si="60"/>
        <v>69.79701523034899</v>
      </c>
      <c r="Y229" s="309">
        <f t="shared" si="60"/>
        <v>72.115645098593717</v>
      </c>
      <c r="Z229" s="309">
        <f t="shared" si="60"/>
        <v>74.481313097964488</v>
      </c>
      <c r="AA229" s="309">
        <f t="shared" si="60"/>
        <v>76.891023270326926</v>
      </c>
      <c r="AB229" s="309">
        <f t="shared" si="60"/>
        <v>79.344951751501853</v>
      </c>
      <c r="AC229" s="309">
        <f t="shared" si="60"/>
        <v>81.844032996945288</v>
      </c>
      <c r="AD229" s="309">
        <f t="shared" si="60"/>
        <v>84.388485089349373</v>
      </c>
      <c r="AE229" s="309">
        <f t="shared" si="60"/>
        <v>86.978512635622323</v>
      </c>
      <c r="AF229" s="309">
        <f t="shared" si="60"/>
        <v>89.614306434356777</v>
      </c>
      <c r="AG229" s="309">
        <f t="shared" si="60"/>
        <v>92.296043145961178</v>
      </c>
      <c r="AI229" s="305"/>
      <c r="AJ229" s="339" t="s">
        <v>1363</v>
      </c>
    </row>
    <row r="230" spans="1:36" s="62" customFormat="1" outlineLevel="1">
      <c r="A230" s="311" t="s">
        <v>1369</v>
      </c>
      <c r="B230" s="312" t="s">
        <v>462</v>
      </c>
      <c r="C230" s="313">
        <f>C228*C196</f>
        <v>94.068896684893076</v>
      </c>
      <c r="D230" s="313">
        <f t="shared" ref="D230:AG230" si="61">D228*D196</f>
        <v>96.850274000884312</v>
      </c>
      <c r="E230" s="313">
        <f t="shared" si="61"/>
        <v>99.443605808886133</v>
      </c>
      <c r="F230" s="313">
        <f t="shared" si="61"/>
        <v>101.82967530855927</v>
      </c>
      <c r="G230" s="313">
        <f t="shared" si="61"/>
        <v>103.99048716791101</v>
      </c>
      <c r="H230" s="313">
        <f t="shared" si="61"/>
        <v>105.90949292171371</v>
      </c>
      <c r="I230" s="313">
        <f t="shared" si="61"/>
        <v>107.80388290468565</v>
      </c>
      <c r="J230" s="313">
        <f t="shared" si="61"/>
        <v>109.67089204304823</v>
      </c>
      <c r="K230" s="313">
        <f t="shared" si="61"/>
        <v>111.50773787520011</v>
      </c>
      <c r="L230" s="313">
        <f t="shared" si="61"/>
        <v>113.31162636913994</v>
      </c>
      <c r="M230" s="313">
        <f t="shared" si="61"/>
        <v>115.07975791636237</v>
      </c>
      <c r="N230" s="313">
        <f t="shared" si="61"/>
        <v>116.64220378469626</v>
      </c>
      <c r="O230" s="313">
        <f t="shared" si="61"/>
        <v>117.98925978129697</v>
      </c>
      <c r="P230" s="313">
        <f t="shared" si="61"/>
        <v>119.11418297829134</v>
      </c>
      <c r="Q230" s="313">
        <f t="shared" si="61"/>
        <v>120.00786781955415</v>
      </c>
      <c r="R230" s="313">
        <f t="shared" si="61"/>
        <v>120.66429862457605</v>
      </c>
      <c r="S230" s="313">
        <f t="shared" si="61"/>
        <v>121.29698382561438</v>
      </c>
      <c r="T230" s="313">
        <f t="shared" si="61"/>
        <v>121.90529162633756</v>
      </c>
      <c r="U230" s="313">
        <f t="shared" si="61"/>
        <v>122.48859291070001</v>
      </c>
      <c r="V230" s="313">
        <f t="shared" si="61"/>
        <v>123.04626168101603</v>
      </c>
      <c r="W230" s="313">
        <f t="shared" si="61"/>
        <v>123.57767550038</v>
      </c>
      <c r="X230" s="313">
        <f t="shared" si="61"/>
        <v>124.08358263173164</v>
      </c>
      <c r="Y230" s="313">
        <f t="shared" si="61"/>
        <v>124.56338698848019</v>
      </c>
      <c r="Z230" s="313">
        <f t="shared" si="61"/>
        <v>125.02220412872623</v>
      </c>
      <c r="AA230" s="313">
        <f t="shared" si="61"/>
        <v>125.45377480948093</v>
      </c>
      <c r="AB230" s="313">
        <f t="shared" si="61"/>
        <v>125.85750967479619</v>
      </c>
      <c r="AC230" s="313">
        <f t="shared" si="61"/>
        <v>126.23401699528866</v>
      </c>
      <c r="AD230" s="313">
        <f t="shared" si="61"/>
        <v>126.58272763402421</v>
      </c>
      <c r="AE230" s="313">
        <f t="shared" si="61"/>
        <v>126.90307581262948</v>
      </c>
      <c r="AF230" s="313">
        <f t="shared" si="61"/>
        <v>127.19449945521625</v>
      </c>
      <c r="AG230" s="313">
        <f t="shared" si="61"/>
        <v>127.4564405348988</v>
      </c>
      <c r="AI230" s="342"/>
      <c r="AJ230" s="341" t="s">
        <v>1363</v>
      </c>
    </row>
    <row r="231" spans="1:36" s="1" customFormat="1" outlineLevel="1">
      <c r="A231" t="s">
        <v>1370</v>
      </c>
      <c r="B231" s="302" t="s">
        <v>704</v>
      </c>
      <c r="C231" s="249">
        <f>C197*C228</f>
        <v>102.51097715661423</v>
      </c>
      <c r="D231" s="249">
        <f t="shared" ref="D231:AG231" si="62">D197*D228</f>
        <v>106.24308074665973</v>
      </c>
      <c r="E231" s="249">
        <f t="shared" si="62"/>
        <v>109.82032989329163</v>
      </c>
      <c r="F231" s="249">
        <f t="shared" si="62"/>
        <v>113.21852057333233</v>
      </c>
      <c r="G231" s="249">
        <f t="shared" si="62"/>
        <v>116.41412944018353</v>
      </c>
      <c r="H231" s="249">
        <f t="shared" si="62"/>
        <v>119.38458465505671</v>
      </c>
      <c r="I231" s="249">
        <f t="shared" si="62"/>
        <v>122.3719751891026</v>
      </c>
      <c r="J231" s="249">
        <f t="shared" si="62"/>
        <v>125.37376976739372</v>
      </c>
      <c r="K231" s="249">
        <f t="shared" si="62"/>
        <v>128.38734957190462</v>
      </c>
      <c r="L231" s="249">
        <f t="shared" si="62"/>
        <v>131.41001113643304</v>
      </c>
      <c r="M231" s="249">
        <f t="shared" si="62"/>
        <v>134.43896952846063</v>
      </c>
      <c r="N231" s="249">
        <f t="shared" si="62"/>
        <v>137.27466907680045</v>
      </c>
      <c r="O231" s="249">
        <f t="shared" si="62"/>
        <v>139.90155088353771</v>
      </c>
      <c r="P231" s="249">
        <f t="shared" si="62"/>
        <v>142.30708879858352</v>
      </c>
      <c r="Q231" s="249">
        <f t="shared" si="62"/>
        <v>144.47549135557963</v>
      </c>
      <c r="R231" s="249">
        <f t="shared" si="62"/>
        <v>146.39418583128699</v>
      </c>
      <c r="S231" s="249">
        <f t="shared" si="62"/>
        <v>148.31858913330058</v>
      </c>
      <c r="T231" s="249">
        <f t="shared" si="62"/>
        <v>150.24827192946088</v>
      </c>
      <c r="U231" s="249">
        <f t="shared" si="62"/>
        <v>152.18279725268772</v>
      </c>
      <c r="V231" s="249">
        <f t="shared" si="62"/>
        <v>154.12172062596633</v>
      </c>
      <c r="W231" s="249">
        <f t="shared" si="62"/>
        <v>156.06459019377863</v>
      </c>
      <c r="X231" s="249">
        <f t="shared" si="62"/>
        <v>158.01268725759556</v>
      </c>
      <c r="Y231" s="249">
        <f t="shared" si="62"/>
        <v>159.96561276415329</v>
      </c>
      <c r="Z231" s="249">
        <f t="shared" si="62"/>
        <v>161.93035481566378</v>
      </c>
      <c r="AA231" s="249">
        <f t="shared" si="62"/>
        <v>163.89928644464416</v>
      </c>
      <c r="AB231" s="249">
        <f t="shared" si="62"/>
        <v>165.87198965292404</v>
      </c>
      <c r="AC231" s="249">
        <f t="shared" si="62"/>
        <v>167.84962699373517</v>
      </c>
      <c r="AD231" s="249">
        <f t="shared" si="62"/>
        <v>169.83182624231551</v>
      </c>
      <c r="AE231" s="249">
        <f t="shared" si="62"/>
        <v>171.81820938676205</v>
      </c>
      <c r="AF231" s="249">
        <f t="shared" si="62"/>
        <v>173.80839272147412</v>
      </c>
      <c r="AG231" s="249">
        <f t="shared" si="62"/>
        <v>175.801986944688</v>
      </c>
      <c r="AI231" s="316"/>
      <c r="AJ231" s="211" t="s">
        <v>1363</v>
      </c>
    </row>
    <row r="232" spans="1:36" s="1" customFormat="1" outlineLevel="1">
      <c r="A232" t="s">
        <v>1371</v>
      </c>
      <c r="B232" s="302" t="s">
        <v>704</v>
      </c>
      <c r="C232" s="249">
        <f>C198*C228</f>
        <v>18.090172439402512</v>
      </c>
      <c r="D232" s="249">
        <f t="shared" ref="D232:AG232" si="63">D198*D228</f>
        <v>18.994342530345847</v>
      </c>
      <c r="E232" s="249">
        <f t="shared" si="63"/>
        <v>19.88872116177723</v>
      </c>
      <c r="F232" s="249">
        <f t="shared" si="63"/>
        <v>20.767894306350907</v>
      </c>
      <c r="G232" s="249">
        <f t="shared" si="63"/>
        <v>21.626340251733708</v>
      </c>
      <c r="H232" s="249">
        <f t="shared" si="63"/>
        <v>22.458486222238403</v>
      </c>
      <c r="I232" s="249">
        <f t="shared" si="63"/>
        <v>23.308947655067175</v>
      </c>
      <c r="J232" s="249">
        <f t="shared" si="63"/>
        <v>24.177446654944731</v>
      </c>
      <c r="K232" s="249">
        <f t="shared" si="63"/>
        <v>25.0636658526826</v>
      </c>
      <c r="L232" s="249">
        <f t="shared" si="63"/>
        <v>25.967247709594581</v>
      </c>
      <c r="M232" s="249">
        <f t="shared" si="63"/>
        <v>26.887793905692156</v>
      </c>
      <c r="N232" s="249">
        <f t="shared" si="63"/>
        <v>27.785053260033795</v>
      </c>
      <c r="O232" s="249">
        <f t="shared" si="63"/>
        <v>28.654534518314989</v>
      </c>
      <c r="P232" s="249">
        <f t="shared" si="63"/>
        <v>29.492213573951958</v>
      </c>
      <c r="Q232" s="249">
        <f t="shared" si="63"/>
        <v>30.293248187460293</v>
      </c>
      <c r="R232" s="249">
        <f t="shared" si="63"/>
        <v>31.053312146030621</v>
      </c>
      <c r="S232" s="249">
        <f t="shared" si="63"/>
        <v>31.825446251275078</v>
      </c>
      <c r="T232" s="249">
        <f t="shared" si="63"/>
        <v>32.609665510045318</v>
      </c>
      <c r="U232" s="249">
        <f t="shared" si="63"/>
        <v>33.405979884736396</v>
      </c>
      <c r="V232" s="249">
        <f t="shared" si="63"/>
        <v>34.214394191915197</v>
      </c>
      <c r="W232" s="249">
        <f t="shared" si="63"/>
        <v>35.034908002685071</v>
      </c>
      <c r="X232" s="249">
        <f t="shared" si="63"/>
        <v>35.867910604484962</v>
      </c>
      <c r="Y232" s="249">
        <f t="shared" si="63"/>
        <v>36.713419322920508</v>
      </c>
      <c r="Z232" s="249">
        <f t="shared" si="63"/>
        <v>37.5731624110268</v>
      </c>
      <c r="AA232" s="249">
        <f t="shared" si="63"/>
        <v>38.445511635163541</v>
      </c>
      <c r="AB232" s="249">
        <f t="shared" si="63"/>
        <v>39.330471773373844</v>
      </c>
      <c r="AC232" s="249">
        <f t="shared" si="63"/>
        <v>40.228422998498623</v>
      </c>
      <c r="AD232" s="249">
        <f t="shared" si="63"/>
        <v>41.139386481057912</v>
      </c>
      <c r="AE232" s="249">
        <f t="shared" si="63"/>
        <v>42.063379061489584</v>
      </c>
      <c r="AF232" s="249">
        <f t="shared" si="63"/>
        <v>43.000413168098717</v>
      </c>
      <c r="AG232" s="249">
        <f t="shared" si="63"/>
        <v>43.950496736171999</v>
      </c>
      <c r="AI232" s="316"/>
      <c r="AJ232" s="211" t="s">
        <v>1363</v>
      </c>
    </row>
    <row r="233" spans="1:36" s="1" customFormat="1" outlineLevel="1">
      <c r="A233" t="s">
        <v>1372</v>
      </c>
      <c r="B233" s="302" t="s">
        <v>704</v>
      </c>
      <c r="C233" s="249">
        <f>C231*C199</f>
        <v>15.376646573492135</v>
      </c>
      <c r="D233" s="249">
        <f t="shared" ref="D233:AG233" si="64">D231*D199</f>
        <v>16.609334956727803</v>
      </c>
      <c r="E233" s="249">
        <f t="shared" si="64"/>
        <v>17.864106995975437</v>
      </c>
      <c r="F233" s="249">
        <f t="shared" si="64"/>
        <v>19.13392997689316</v>
      </c>
      <c r="G233" s="249">
        <f t="shared" si="64"/>
        <v>20.41127736184551</v>
      </c>
      <c r="H233" s="249">
        <f t="shared" si="64"/>
        <v>21.688199545668635</v>
      </c>
      <c r="I233" s="249">
        <f t="shared" si="64"/>
        <v>23.005931335551285</v>
      </c>
      <c r="J233" s="249">
        <f t="shared" si="64"/>
        <v>24.36430259146351</v>
      </c>
      <c r="K233" s="249">
        <f t="shared" si="64"/>
        <v>25.76306148076219</v>
      </c>
      <c r="L233" s="249">
        <f t="shared" si="64"/>
        <v>27.201872305241636</v>
      </c>
      <c r="M233" s="249">
        <f t="shared" si="64"/>
        <v>28.680313499404928</v>
      </c>
      <c r="N233" s="249">
        <f t="shared" si="64"/>
        <v>30.154668973870493</v>
      </c>
      <c r="O233" s="249">
        <f t="shared" si="64"/>
        <v>31.617750499679516</v>
      </c>
      <c r="P233" s="249">
        <f t="shared" si="64"/>
        <v>33.062680297537561</v>
      </c>
      <c r="Q233" s="249">
        <f t="shared" si="64"/>
        <v>34.481483936864997</v>
      </c>
      <c r="R233" s="249">
        <f t="shared" si="64"/>
        <v>35.866575528665301</v>
      </c>
      <c r="S233" s="249">
        <f t="shared" si="64"/>
        <v>37.277405402169542</v>
      </c>
      <c r="T233" s="249">
        <f t="shared" si="64"/>
        <v>38.713971400491083</v>
      </c>
      <c r="U233" s="249">
        <f t="shared" si="64"/>
        <v>40.176258474709563</v>
      </c>
      <c r="V233" s="249">
        <f t="shared" si="64"/>
        <v>41.664238475886236</v>
      </c>
      <c r="W233" s="249">
        <f t="shared" si="64"/>
        <v>43.177869953612095</v>
      </c>
      <c r="X233" s="249">
        <f t="shared" si="64"/>
        <v>44.717590493899557</v>
      </c>
      <c r="Y233" s="249">
        <f t="shared" si="64"/>
        <v>46.2833839597617</v>
      </c>
      <c r="Z233" s="249">
        <f t="shared" si="64"/>
        <v>47.877408240497942</v>
      </c>
      <c r="AA233" s="249">
        <f t="shared" si="64"/>
        <v>49.497584506282564</v>
      </c>
      <c r="AB233" s="249">
        <f t="shared" si="64"/>
        <v>51.143863476318273</v>
      </c>
      <c r="AC233" s="249">
        <f t="shared" si="64"/>
        <v>52.816682627362034</v>
      </c>
      <c r="AD233" s="249">
        <f t="shared" si="64"/>
        <v>54.516016223783318</v>
      </c>
      <c r="AE233" s="249">
        <f t="shared" si="64"/>
        <v>56.24182720593349</v>
      </c>
      <c r="AF233" s="249">
        <f t="shared" si="64"/>
        <v>57.994067038065246</v>
      </c>
      <c r="AG233" s="249">
        <f t="shared" si="64"/>
        <v>59.772675561193921</v>
      </c>
      <c r="AI233" s="316"/>
      <c r="AJ233" s="211" t="s">
        <v>1363</v>
      </c>
    </row>
    <row r="234" spans="1:36" s="1" customFormat="1" outlineLevel="1">
      <c r="A234" t="s">
        <v>1373</v>
      </c>
      <c r="B234" s="302" t="s">
        <v>704</v>
      </c>
      <c r="C234" s="249">
        <f>C231*C200</f>
        <v>87.134330583122093</v>
      </c>
      <c r="D234" s="249">
        <f t="shared" ref="D234:AG234" si="65">D231*D200</f>
        <v>89.633745789931922</v>
      </c>
      <c r="E234" s="249">
        <f t="shared" si="65"/>
        <v>91.956222897316195</v>
      </c>
      <c r="F234" s="249">
        <f t="shared" si="65"/>
        <v>94.08459059643917</v>
      </c>
      <c r="G234" s="249">
        <f t="shared" si="65"/>
        <v>96.002852078338023</v>
      </c>
      <c r="H234" s="249">
        <f t="shared" si="65"/>
        <v>97.696385109388089</v>
      </c>
      <c r="I234" s="249">
        <f t="shared" si="65"/>
        <v>99.366043853551332</v>
      </c>
      <c r="J234" s="249">
        <f t="shared" si="65"/>
        <v>101.00946717593024</v>
      </c>
      <c r="K234" s="249">
        <f t="shared" si="65"/>
        <v>102.62428809114246</v>
      </c>
      <c r="L234" s="249">
        <f t="shared" si="65"/>
        <v>104.20813883119143</v>
      </c>
      <c r="M234" s="249">
        <f t="shared" si="65"/>
        <v>105.75865602905574</v>
      </c>
      <c r="N234" s="249">
        <f t="shared" si="65"/>
        <v>107.12000010292999</v>
      </c>
      <c r="O234" s="249">
        <f t="shared" si="65"/>
        <v>108.28380038385824</v>
      </c>
      <c r="P234" s="249">
        <f t="shared" si="65"/>
        <v>109.24440850104601</v>
      </c>
      <c r="Q234" s="249">
        <f t="shared" si="65"/>
        <v>109.99400741871469</v>
      </c>
      <c r="R234" s="249">
        <f t="shared" si="65"/>
        <v>110.52761030262174</v>
      </c>
      <c r="S234" s="249">
        <f t="shared" si="65"/>
        <v>111.0411837311311</v>
      </c>
      <c r="T234" s="249">
        <f t="shared" si="65"/>
        <v>111.53430052896988</v>
      </c>
      <c r="U234" s="249">
        <f t="shared" si="65"/>
        <v>112.00653877797825</v>
      </c>
      <c r="V234" s="249">
        <f t="shared" si="65"/>
        <v>112.4574821500802</v>
      </c>
      <c r="W234" s="249">
        <f t="shared" si="65"/>
        <v>112.88672024016664</v>
      </c>
      <c r="X234" s="249">
        <f t="shared" si="65"/>
        <v>113.29509676369612</v>
      </c>
      <c r="Y234" s="249">
        <f t="shared" si="65"/>
        <v>113.68222880439171</v>
      </c>
      <c r="Z234" s="249">
        <f t="shared" si="65"/>
        <v>114.05294657516596</v>
      </c>
      <c r="AA234" s="249">
        <f t="shared" si="65"/>
        <v>114.40170193836174</v>
      </c>
      <c r="AB234" s="249">
        <f t="shared" si="65"/>
        <v>114.72812617660593</v>
      </c>
      <c r="AC234" s="249">
        <f t="shared" si="65"/>
        <v>115.0329443663733</v>
      </c>
      <c r="AD234" s="249">
        <f t="shared" si="65"/>
        <v>115.31581001853237</v>
      </c>
      <c r="AE234" s="249">
        <f t="shared" si="65"/>
        <v>115.57638218082876</v>
      </c>
      <c r="AF234" s="249">
        <f t="shared" si="65"/>
        <v>115.81432568340908</v>
      </c>
      <c r="AG234" s="249">
        <f t="shared" si="65"/>
        <v>116.02931138349409</v>
      </c>
      <c r="AI234" s="316"/>
      <c r="AJ234" s="211" t="s">
        <v>1363</v>
      </c>
    </row>
    <row r="235" spans="1:36" s="1" customFormat="1" outlineLevel="1">
      <c r="A235" t="s">
        <v>1374</v>
      </c>
      <c r="B235" s="302" t="s">
        <v>704</v>
      </c>
      <c r="C235" s="249">
        <f>C201*C234</f>
        <v>0</v>
      </c>
      <c r="D235" s="249">
        <f t="shared" ref="D235:AG235" si="66">D201*D234</f>
        <v>0</v>
      </c>
      <c r="E235" s="249">
        <f t="shared" si="66"/>
        <v>0</v>
      </c>
      <c r="F235" s="249">
        <f t="shared" si="66"/>
        <v>0</v>
      </c>
      <c r="G235" s="249">
        <f t="shared" si="66"/>
        <v>0</v>
      </c>
      <c r="H235" s="249">
        <f t="shared" si="66"/>
        <v>0</v>
      </c>
      <c r="I235" s="249">
        <f t="shared" si="66"/>
        <v>0</v>
      </c>
      <c r="J235" s="249">
        <f t="shared" si="66"/>
        <v>0</v>
      </c>
      <c r="K235" s="249">
        <f t="shared" si="66"/>
        <v>0</v>
      </c>
      <c r="L235" s="249">
        <f t="shared" si="66"/>
        <v>0</v>
      </c>
      <c r="M235" s="249">
        <f t="shared" si="66"/>
        <v>0</v>
      </c>
      <c r="N235" s="249">
        <f t="shared" si="66"/>
        <v>0</v>
      </c>
      <c r="O235" s="249">
        <f t="shared" si="66"/>
        <v>0</v>
      </c>
      <c r="P235" s="249">
        <f t="shared" si="66"/>
        <v>0</v>
      </c>
      <c r="Q235" s="249">
        <f t="shared" si="66"/>
        <v>0</v>
      </c>
      <c r="R235" s="249">
        <f t="shared" si="66"/>
        <v>0</v>
      </c>
      <c r="S235" s="249">
        <f t="shared" si="66"/>
        <v>0</v>
      </c>
      <c r="T235" s="249">
        <f t="shared" si="66"/>
        <v>0</v>
      </c>
      <c r="U235" s="249">
        <f t="shared" si="66"/>
        <v>0</v>
      </c>
      <c r="V235" s="249">
        <f t="shared" si="66"/>
        <v>0</v>
      </c>
      <c r="W235" s="249">
        <f t="shared" si="66"/>
        <v>0</v>
      </c>
      <c r="X235" s="249">
        <f t="shared" si="66"/>
        <v>0</v>
      </c>
      <c r="Y235" s="249">
        <f t="shared" si="66"/>
        <v>0</v>
      </c>
      <c r="Z235" s="249">
        <f t="shared" si="66"/>
        <v>0</v>
      </c>
      <c r="AA235" s="249">
        <f t="shared" si="66"/>
        <v>0</v>
      </c>
      <c r="AB235" s="249">
        <f t="shared" si="66"/>
        <v>0</v>
      </c>
      <c r="AC235" s="249">
        <f t="shared" si="66"/>
        <v>0</v>
      </c>
      <c r="AD235" s="249">
        <f t="shared" si="66"/>
        <v>0</v>
      </c>
      <c r="AE235" s="249">
        <f t="shared" si="66"/>
        <v>0</v>
      </c>
      <c r="AF235" s="249">
        <f t="shared" si="66"/>
        <v>0</v>
      </c>
      <c r="AG235" s="249">
        <f t="shared" si="66"/>
        <v>0</v>
      </c>
      <c r="AI235" s="316"/>
      <c r="AJ235" s="211" t="s">
        <v>1363</v>
      </c>
    </row>
    <row r="236" spans="1:36" s="1" customFormat="1" outlineLevel="1">
      <c r="A236" t="s">
        <v>1388</v>
      </c>
      <c r="B236" s="302" t="s">
        <v>704</v>
      </c>
      <c r="C236" s="249">
        <f>C202*C234</f>
        <v>87.134330583122093</v>
      </c>
      <c r="D236" s="249">
        <f t="shared" ref="D236:AG236" si="67">D202*D234</f>
        <v>89.633745789931922</v>
      </c>
      <c r="E236" s="249">
        <f t="shared" si="67"/>
        <v>91.956222897316195</v>
      </c>
      <c r="F236" s="249">
        <f t="shared" si="67"/>
        <v>94.08459059643917</v>
      </c>
      <c r="G236" s="249">
        <f t="shared" si="67"/>
        <v>96.002852078338023</v>
      </c>
      <c r="H236" s="249">
        <f t="shared" si="67"/>
        <v>97.696385109388089</v>
      </c>
      <c r="I236" s="249">
        <f t="shared" si="67"/>
        <v>99.366043853551332</v>
      </c>
      <c r="J236" s="249">
        <f t="shared" si="67"/>
        <v>101.00946717593024</v>
      </c>
      <c r="K236" s="249">
        <f t="shared" si="67"/>
        <v>102.62428809114246</v>
      </c>
      <c r="L236" s="249">
        <f t="shared" si="67"/>
        <v>104.20813883119143</v>
      </c>
      <c r="M236" s="249">
        <f t="shared" si="67"/>
        <v>105.75865602905574</v>
      </c>
      <c r="N236" s="249">
        <f t="shared" si="67"/>
        <v>107.12000010292999</v>
      </c>
      <c r="O236" s="249">
        <f t="shared" si="67"/>
        <v>108.28380038385824</v>
      </c>
      <c r="P236" s="249">
        <f t="shared" si="67"/>
        <v>109.24440850104601</v>
      </c>
      <c r="Q236" s="249">
        <f t="shared" si="67"/>
        <v>109.99400741871469</v>
      </c>
      <c r="R236" s="249">
        <f t="shared" si="67"/>
        <v>110.52761030262174</v>
      </c>
      <c r="S236" s="249">
        <f t="shared" si="67"/>
        <v>111.0411837311311</v>
      </c>
      <c r="T236" s="249">
        <f t="shared" si="67"/>
        <v>111.53430052896988</v>
      </c>
      <c r="U236" s="249">
        <f t="shared" si="67"/>
        <v>112.00653877797825</v>
      </c>
      <c r="V236" s="249">
        <f t="shared" si="67"/>
        <v>112.4574821500802</v>
      </c>
      <c r="W236" s="249">
        <f t="shared" si="67"/>
        <v>112.88672024016664</v>
      </c>
      <c r="X236" s="249">
        <f t="shared" si="67"/>
        <v>113.29509676369612</v>
      </c>
      <c r="Y236" s="249">
        <f t="shared" si="67"/>
        <v>113.68222880439171</v>
      </c>
      <c r="Z236" s="249">
        <f t="shared" si="67"/>
        <v>114.05294657516596</v>
      </c>
      <c r="AA236" s="249">
        <f t="shared" si="67"/>
        <v>114.40170193836174</v>
      </c>
      <c r="AB236" s="249">
        <f t="shared" si="67"/>
        <v>114.72812617660593</v>
      </c>
      <c r="AC236" s="249">
        <f t="shared" si="67"/>
        <v>115.0329443663733</v>
      </c>
      <c r="AD236" s="249">
        <f t="shared" si="67"/>
        <v>115.31581001853237</v>
      </c>
      <c r="AE236" s="249">
        <f t="shared" si="67"/>
        <v>115.57638218082876</v>
      </c>
      <c r="AF236" s="249">
        <f t="shared" si="67"/>
        <v>115.81432568340908</v>
      </c>
      <c r="AG236" s="249">
        <f t="shared" si="67"/>
        <v>116.02931138349409</v>
      </c>
      <c r="AI236" s="316"/>
      <c r="AJ236" s="211" t="s">
        <v>1363</v>
      </c>
    </row>
    <row r="237" spans="1:36" s="1" customFormat="1" outlineLevel="1">
      <c r="A237" t="s">
        <v>1376</v>
      </c>
      <c r="B237" s="302" t="s">
        <v>704</v>
      </c>
      <c r="C237" s="249">
        <f>C203*(C235+C233)</f>
        <v>12.301317258793709</v>
      </c>
      <c r="D237" s="249">
        <f t="shared" ref="D237:AG237" si="68">D203*(D235+D233)</f>
        <v>13.342832415238002</v>
      </c>
      <c r="E237" s="249">
        <f t="shared" si="68"/>
        <v>14.410379643420185</v>
      </c>
      <c r="F237" s="249">
        <f t="shared" si="68"/>
        <v>15.498483281283459</v>
      </c>
      <c r="G237" s="249">
        <f t="shared" si="68"/>
        <v>16.601172254301012</v>
      </c>
      <c r="H237" s="249">
        <f t="shared" si="68"/>
        <v>17.712029628962714</v>
      </c>
      <c r="I237" s="249">
        <f t="shared" si="68"/>
        <v>18.864863695152049</v>
      </c>
      <c r="J237" s="249">
        <f t="shared" si="68"/>
        <v>20.05994246697162</v>
      </c>
      <c r="K237" s="249">
        <f t="shared" si="68"/>
        <v>21.29746415743007</v>
      </c>
      <c r="L237" s="249">
        <f t="shared" si="68"/>
        <v>22.57755401335055</v>
      </c>
      <c r="M237" s="249">
        <f t="shared" si="68"/>
        <v>23.900261249504098</v>
      </c>
      <c r="N237" s="249">
        <f t="shared" si="68"/>
        <v>25.22940637480497</v>
      </c>
      <c r="O237" s="249">
        <f t="shared" si="68"/>
        <v>26.558910419730783</v>
      </c>
      <c r="P237" s="249">
        <f t="shared" si="68"/>
        <v>27.882860384256663</v>
      </c>
      <c r="Q237" s="249">
        <f t="shared" si="68"/>
        <v>29.194323066545682</v>
      </c>
      <c r="R237" s="249">
        <f t="shared" si="68"/>
        <v>30.48658919936549</v>
      </c>
      <c r="S237" s="249">
        <f t="shared" si="68"/>
        <v>31.810052609851322</v>
      </c>
      <c r="T237" s="249">
        <f t="shared" si="68"/>
        <v>33.164968833087343</v>
      </c>
      <c r="U237" s="249">
        <f t="shared" si="68"/>
        <v>34.551582288250202</v>
      </c>
      <c r="V237" s="249">
        <f t="shared" si="68"/>
        <v>35.970125884181762</v>
      </c>
      <c r="W237" s="249">
        <f t="shared" si="68"/>
        <v>37.420820626463787</v>
      </c>
      <c r="X237" s="249">
        <f t="shared" si="68"/>
        <v>38.904303729692586</v>
      </c>
      <c r="Y237" s="249">
        <f t="shared" si="68"/>
        <v>40.420821991525187</v>
      </c>
      <c r="Z237" s="249">
        <f t="shared" si="68"/>
        <v>41.972527890836496</v>
      </c>
      <c r="AA237" s="249">
        <f t="shared" si="68"/>
        <v>43.557874365528619</v>
      </c>
      <c r="AB237" s="249">
        <f t="shared" si="68"/>
        <v>45.177079404081098</v>
      </c>
      <c r="AC237" s="249">
        <f t="shared" si="68"/>
        <v>46.830791929594291</v>
      </c>
      <c r="AD237" s="249">
        <f t="shared" si="68"/>
        <v>48.519254439167106</v>
      </c>
      <c r="AE237" s="249">
        <f t="shared" si="68"/>
        <v>50.242698970633867</v>
      </c>
      <c r="AF237" s="249">
        <f t="shared" si="68"/>
        <v>52.001346777465116</v>
      </c>
      <c r="AG237" s="249">
        <f t="shared" si="68"/>
        <v>53.795408005074528</v>
      </c>
      <c r="AH237" s="249"/>
      <c r="AI237" s="316"/>
      <c r="AJ237" s="211" t="s">
        <v>1363</v>
      </c>
    </row>
    <row r="238" spans="1:36" s="1" customFormat="1" outlineLevel="1">
      <c r="A238" t="s">
        <v>1377</v>
      </c>
      <c r="B238" s="302" t="s">
        <v>704</v>
      </c>
      <c r="C238" s="249">
        <f>C204*(C235+C233)</f>
        <v>3.0753293146984273</v>
      </c>
      <c r="D238" s="249">
        <f t="shared" ref="D238:AG238" si="69">D204*(D235+D233)</f>
        <v>3.2665025414898015</v>
      </c>
      <c r="E238" s="249">
        <f t="shared" si="69"/>
        <v>3.4537273525552514</v>
      </c>
      <c r="F238" s="249">
        <f t="shared" si="69"/>
        <v>3.6354466956097009</v>
      </c>
      <c r="G238" s="249">
        <f t="shared" si="69"/>
        <v>3.8101051075444961</v>
      </c>
      <c r="H238" s="249">
        <f t="shared" si="69"/>
        <v>3.9761699167059175</v>
      </c>
      <c r="I238" s="249">
        <f t="shared" si="69"/>
        <v>4.1410676403992328</v>
      </c>
      <c r="J238" s="249">
        <f t="shared" si="69"/>
        <v>4.3043601244918879</v>
      </c>
      <c r="K238" s="249">
        <f t="shared" si="69"/>
        <v>4.4655973233321147</v>
      </c>
      <c r="L238" s="249">
        <f t="shared" si="69"/>
        <v>4.6243182918910799</v>
      </c>
      <c r="M238" s="249">
        <f t="shared" si="69"/>
        <v>4.7800522499008231</v>
      </c>
      <c r="N238" s="249">
        <f t="shared" si="69"/>
        <v>4.9252625990655163</v>
      </c>
      <c r="O238" s="249">
        <f t="shared" si="69"/>
        <v>5.058840079948725</v>
      </c>
      <c r="P238" s="249">
        <f t="shared" si="69"/>
        <v>5.1798199132808875</v>
      </c>
      <c r="Q238" s="249">
        <f t="shared" si="69"/>
        <v>5.2871608703193029</v>
      </c>
      <c r="R238" s="249">
        <f t="shared" si="69"/>
        <v>5.3799863292997987</v>
      </c>
      <c r="S238" s="249">
        <f t="shared" si="69"/>
        <v>5.4673527923182039</v>
      </c>
      <c r="T238" s="249">
        <f t="shared" si="69"/>
        <v>5.5490025674037264</v>
      </c>
      <c r="U238" s="249">
        <f t="shared" si="69"/>
        <v>5.624676186459344</v>
      </c>
      <c r="V238" s="249">
        <f t="shared" si="69"/>
        <v>5.6941125917044575</v>
      </c>
      <c r="W238" s="249">
        <f t="shared" si="69"/>
        <v>5.7570493271482857</v>
      </c>
      <c r="X238" s="249">
        <f t="shared" si="69"/>
        <v>5.813286764206949</v>
      </c>
      <c r="Y238" s="249">
        <f t="shared" si="69"/>
        <v>5.8625619682364887</v>
      </c>
      <c r="Z238" s="249">
        <f t="shared" si="69"/>
        <v>5.9048803496614202</v>
      </c>
      <c r="AA238" s="249">
        <f t="shared" si="69"/>
        <v>5.9397101407539159</v>
      </c>
      <c r="AB238" s="249">
        <f t="shared" si="69"/>
        <v>5.9667840722371404</v>
      </c>
      <c r="AC238" s="249">
        <f t="shared" si="69"/>
        <v>5.9858906977677062</v>
      </c>
      <c r="AD238" s="249">
        <f t="shared" si="69"/>
        <v>5.9967617846161749</v>
      </c>
      <c r="AE238" s="249">
        <f t="shared" si="69"/>
        <v>5.9991282352995832</v>
      </c>
      <c r="AF238" s="249">
        <f t="shared" si="69"/>
        <v>5.9927202606000867</v>
      </c>
      <c r="AG238" s="249">
        <f t="shared" si="69"/>
        <v>5.9772675561193926</v>
      </c>
      <c r="AI238" s="316"/>
      <c r="AJ238" s="211" t="s">
        <v>1363</v>
      </c>
    </row>
    <row r="239" spans="1:36" s="1" customFormat="1" outlineLevel="1">
      <c r="A239" t="s">
        <v>1378</v>
      </c>
      <c r="B239" s="302" t="s">
        <v>704</v>
      </c>
      <c r="C239" s="249">
        <f>C232*C205</f>
        <v>17.185663817432385</v>
      </c>
      <c r="D239" s="249">
        <f t="shared" ref="D239:AG239" si="70">D232*D205</f>
        <v>18.019299613788093</v>
      </c>
      <c r="E239" s="249">
        <f t="shared" si="70"/>
        <v>18.841248513923631</v>
      </c>
      <c r="F239" s="249">
        <f t="shared" si="70"/>
        <v>19.646428013807959</v>
      </c>
      <c r="G239" s="249">
        <f t="shared" si="70"/>
        <v>20.429682757804446</v>
      </c>
      <c r="H239" s="249">
        <f t="shared" si="70"/>
        <v>21.185838669644895</v>
      </c>
      <c r="I239" s="249">
        <f t="shared" si="70"/>
        <v>21.957028691073283</v>
      </c>
      <c r="J239" s="249">
        <f t="shared" si="70"/>
        <v>22.742918153418014</v>
      </c>
      <c r="K239" s="249">
        <f t="shared" si="70"/>
        <v>23.543136790953195</v>
      </c>
      <c r="L239" s="249">
        <f t="shared" si="70"/>
        <v>24.357278351599724</v>
      </c>
      <c r="M239" s="249">
        <f t="shared" si="70"/>
        <v>25.184900291664995</v>
      </c>
      <c r="N239" s="249">
        <f t="shared" si="70"/>
        <v>25.988286482551619</v>
      </c>
      <c r="O239" s="249">
        <f t="shared" si="70"/>
        <v>26.763335240106212</v>
      </c>
      <c r="P239" s="249">
        <f t="shared" si="70"/>
        <v>27.506404526639205</v>
      </c>
      <c r="Q239" s="249">
        <f t="shared" si="70"/>
        <v>28.213111811921365</v>
      </c>
      <c r="R239" s="249">
        <f t="shared" si="70"/>
        <v>28.879580295808491</v>
      </c>
      <c r="S239" s="249">
        <f t="shared" si="70"/>
        <v>29.555231085350805</v>
      </c>
      <c r="T239" s="249">
        <f t="shared" si="70"/>
        <v>30.240029816315378</v>
      </c>
      <c r="U239" s="249">
        <f t="shared" si="70"/>
        <v>30.933937373265923</v>
      </c>
      <c r="V239" s="249">
        <f t="shared" si="70"/>
        <v>31.636909829457608</v>
      </c>
      <c r="W239" s="249">
        <f t="shared" si="70"/>
        <v>32.348898389145909</v>
      </c>
      <c r="X239" s="249">
        <f t="shared" si="70"/>
        <v>33.07021357733516</v>
      </c>
      <c r="Y239" s="249">
        <f t="shared" si="70"/>
        <v>33.800821389968839</v>
      </c>
      <c r="Z239" s="249">
        <f t="shared" si="70"/>
        <v>34.542260643204003</v>
      </c>
      <c r="AA239" s="249">
        <f t="shared" si="70"/>
        <v>35.292979681080162</v>
      </c>
      <c r="AB239" s="249">
        <f t="shared" si="70"/>
        <v>36.052932458926058</v>
      </c>
      <c r="AC239" s="249">
        <f t="shared" si="70"/>
        <v>36.822416517959105</v>
      </c>
      <c r="AD239" s="249">
        <f t="shared" si="70"/>
        <v>37.60139924368697</v>
      </c>
      <c r="AE239" s="249">
        <f t="shared" si="70"/>
        <v>38.389843956786201</v>
      </c>
      <c r="AF239" s="249">
        <f t="shared" si="70"/>
        <v>39.187709867194009</v>
      </c>
      <c r="AG239" s="249">
        <f t="shared" si="70"/>
        <v>39.994952029916519</v>
      </c>
      <c r="AI239" s="316"/>
      <c r="AJ239" s="211" t="s">
        <v>1363</v>
      </c>
    </row>
    <row r="240" spans="1:36" s="1" customFormat="1" outlineLevel="1">
      <c r="A240" t="s">
        <v>1389</v>
      </c>
      <c r="B240" s="302" t="s">
        <v>704</v>
      </c>
      <c r="C240" s="249">
        <f>C232*C206</f>
        <v>0.9045086219701256</v>
      </c>
      <c r="D240" s="249">
        <f t="shared" ref="D240:AG240" si="71">D232*D206</f>
        <v>0.97504291655775355</v>
      </c>
      <c r="E240" s="249">
        <f t="shared" si="71"/>
        <v>1.0474726478536007</v>
      </c>
      <c r="F240" s="249">
        <f t="shared" si="71"/>
        <v>1.1214662925429491</v>
      </c>
      <c r="G240" s="249">
        <f t="shared" si="71"/>
        <v>1.1966574939292651</v>
      </c>
      <c r="H240" s="249">
        <f t="shared" si="71"/>
        <v>1.2726475525935095</v>
      </c>
      <c r="I240" s="249">
        <f t="shared" si="71"/>
        <v>1.351918963993896</v>
      </c>
      <c r="J240" s="249">
        <f t="shared" si="71"/>
        <v>1.4345285015267206</v>
      </c>
      <c r="K240" s="249">
        <f t="shared" si="71"/>
        <v>1.5205290617294109</v>
      </c>
      <c r="L240" s="249">
        <f t="shared" si="71"/>
        <v>1.6099693579948637</v>
      </c>
      <c r="M240" s="249">
        <f t="shared" si="71"/>
        <v>1.7028936140271698</v>
      </c>
      <c r="N240" s="249">
        <f t="shared" si="71"/>
        <v>1.7967667774821854</v>
      </c>
      <c r="O240" s="249">
        <f t="shared" si="71"/>
        <v>1.8911992782087894</v>
      </c>
      <c r="P240" s="249">
        <f t="shared" si="71"/>
        <v>1.9858090473127654</v>
      </c>
      <c r="Q240" s="249">
        <f t="shared" si="71"/>
        <v>2.0801363755389404</v>
      </c>
      <c r="R240" s="249">
        <f t="shared" si="71"/>
        <v>2.1737318502221439</v>
      </c>
      <c r="S240" s="249">
        <f t="shared" si="71"/>
        <v>2.2702151659242897</v>
      </c>
      <c r="T240" s="249">
        <f t="shared" si="71"/>
        <v>2.3696356937299607</v>
      </c>
      <c r="U240" s="249">
        <f t="shared" si="71"/>
        <v>2.4720425114704945</v>
      </c>
      <c r="V240" s="249">
        <f t="shared" si="71"/>
        <v>2.5774843624576129</v>
      </c>
      <c r="W240" s="249">
        <f t="shared" si="71"/>
        <v>2.6860096135391904</v>
      </c>
      <c r="X240" s="249">
        <f t="shared" si="71"/>
        <v>2.7976970271498289</v>
      </c>
      <c r="Y240" s="249">
        <f t="shared" si="71"/>
        <v>2.9125979329516958</v>
      </c>
      <c r="Z240" s="249">
        <f t="shared" si="71"/>
        <v>3.0309017678228312</v>
      </c>
      <c r="AA240" s="249">
        <f t="shared" si="71"/>
        <v>3.1525319540834134</v>
      </c>
      <c r="AB240" s="249">
        <f t="shared" si="71"/>
        <v>3.2775393144478233</v>
      </c>
      <c r="AC240" s="249">
        <f t="shared" si="71"/>
        <v>3.4060064805395536</v>
      </c>
      <c r="AD240" s="249">
        <f t="shared" si="71"/>
        <v>3.537987237370984</v>
      </c>
      <c r="AE240" s="249">
        <f t="shared" si="71"/>
        <v>3.6735351047034279</v>
      </c>
      <c r="AF240" s="249">
        <f t="shared" si="71"/>
        <v>3.8127033009047575</v>
      </c>
      <c r="AG240" s="249">
        <f t="shared" si="71"/>
        <v>3.9555447062554796</v>
      </c>
      <c r="AI240" s="316"/>
      <c r="AJ240" s="211" t="s">
        <v>1363</v>
      </c>
    </row>
    <row r="241" spans="1:36" s="1" customFormat="1" outlineLevel="1">
      <c r="A241" t="s">
        <v>1380</v>
      </c>
      <c r="B241" s="302" t="s">
        <v>704</v>
      </c>
      <c r="C241" s="249">
        <f t="shared" ref="C241:AG241" si="72">C237*C207</f>
        <v>3.3213556598743015</v>
      </c>
      <c r="D241" s="249">
        <f t="shared" si="72"/>
        <v>3.5491934224533086</v>
      </c>
      <c r="E241" s="249">
        <f t="shared" si="72"/>
        <v>3.7755194665760889</v>
      </c>
      <c r="F241" s="249">
        <f t="shared" si="72"/>
        <v>3.9986086865711323</v>
      </c>
      <c r="G241" s="249">
        <f t="shared" si="72"/>
        <v>4.2166977525924576</v>
      </c>
      <c r="H241" s="249">
        <f t="shared" si="72"/>
        <v>4.4280074072406785</v>
      </c>
      <c r="I241" s="249">
        <f t="shared" si="72"/>
        <v>4.6407564690074041</v>
      </c>
      <c r="J241" s="249">
        <f t="shared" si="72"/>
        <v>4.854506077007132</v>
      </c>
      <c r="K241" s="249">
        <f t="shared" si="72"/>
        <v>5.0687964694683565</v>
      </c>
      <c r="L241" s="249">
        <f t="shared" si="72"/>
        <v>5.2831476391240288</v>
      </c>
      <c r="M241" s="249">
        <f t="shared" si="72"/>
        <v>5.4970600873859423</v>
      </c>
      <c r="N241" s="249">
        <f t="shared" si="72"/>
        <v>5.7018458407059232</v>
      </c>
      <c r="O241" s="249">
        <f t="shared" si="72"/>
        <v>5.8960781131802333</v>
      </c>
      <c r="P241" s="249">
        <f t="shared" si="72"/>
        <v>6.0784635637679516</v>
      </c>
      <c r="Q241" s="249">
        <f t="shared" si="72"/>
        <v>6.247585136240775</v>
      </c>
      <c r="R241" s="249">
        <f t="shared" si="72"/>
        <v>6.402183731866752</v>
      </c>
      <c r="S241" s="249">
        <f t="shared" si="72"/>
        <v>6.5528708376293707</v>
      </c>
      <c r="T241" s="249">
        <f t="shared" si="72"/>
        <v>6.6993237042836418</v>
      </c>
      <c r="U241" s="249">
        <f t="shared" si="72"/>
        <v>6.8412132930735385</v>
      </c>
      <c r="V241" s="249">
        <f t="shared" si="72"/>
        <v>6.9782044215312604</v>
      </c>
      <c r="W241" s="249">
        <f t="shared" si="72"/>
        <v>7.1099559190281179</v>
      </c>
      <c r="X241" s="249">
        <f t="shared" si="72"/>
        <v>7.2362004937228184</v>
      </c>
      <c r="Y241" s="249">
        <f t="shared" si="72"/>
        <v>7.3565896024575821</v>
      </c>
      <c r="Z241" s="249">
        <f t="shared" si="72"/>
        <v>7.4711099645688934</v>
      </c>
      <c r="AA241" s="249">
        <f t="shared" si="72"/>
        <v>7.5790701396019768</v>
      </c>
      <c r="AB241" s="249">
        <f t="shared" si="72"/>
        <v>7.6801034986937839</v>
      </c>
      <c r="AC241" s="249">
        <f t="shared" si="72"/>
        <v>7.7739114603126485</v>
      </c>
      <c r="AD241" s="249">
        <f t="shared" si="72"/>
        <v>7.8601192191450675</v>
      </c>
      <c r="AE241" s="249">
        <f t="shared" si="72"/>
        <v>7.9383464373601473</v>
      </c>
      <c r="AF241" s="249">
        <f t="shared" si="72"/>
        <v>8.0082074037296227</v>
      </c>
      <c r="AG241" s="249">
        <f t="shared" si="72"/>
        <v>8.0693112007611791</v>
      </c>
      <c r="AI241" s="316"/>
      <c r="AJ241" s="211"/>
    </row>
    <row r="242" spans="1:36" s="67" customFormat="1">
      <c r="A242" s="345" t="s">
        <v>1381</v>
      </c>
      <c r="B242" s="308" t="s">
        <v>704</v>
      </c>
      <c r="C242" s="309">
        <f>C208*C$227</f>
        <v>20.113754003127021</v>
      </c>
      <c r="D242" s="309">
        <f t="shared" ref="D242:AG247" si="73">D208*D$227</f>
        <v>21.337954036132523</v>
      </c>
      <c r="E242" s="309">
        <f t="shared" si="73"/>
        <v>22.553652551773272</v>
      </c>
      <c r="F242" s="309">
        <f t="shared" si="73"/>
        <v>23.752758122067977</v>
      </c>
      <c r="G242" s="309">
        <f t="shared" si="73"/>
        <v>24.927019530450892</v>
      </c>
      <c r="H242" s="309">
        <f t="shared" si="73"/>
        <v>26.068119946031491</v>
      </c>
      <c r="I242" s="309">
        <f t="shared" si="73"/>
        <v>27.226388248007769</v>
      </c>
      <c r="J242" s="309">
        <f t="shared" si="73"/>
        <v>28.400796339789263</v>
      </c>
      <c r="K242" s="309">
        <f t="shared" si="73"/>
        <v>29.590261572514287</v>
      </c>
      <c r="L242" s="309">
        <f t="shared" si="73"/>
        <v>30.793647986915719</v>
      </c>
      <c r="M242" s="309">
        <f t="shared" si="73"/>
        <v>32.009767734702443</v>
      </c>
      <c r="N242" s="309">
        <f t="shared" si="73"/>
        <v>32.920695787253649</v>
      </c>
      <c r="O242" s="309">
        <f t="shared" si="73"/>
        <v>33.767996265302855</v>
      </c>
      <c r="P242" s="309">
        <f t="shared" si="73"/>
        <v>34.546663755214269</v>
      </c>
      <c r="Q242" s="309">
        <f t="shared" si="73"/>
        <v>35.251133198439447</v>
      </c>
      <c r="R242" s="309">
        <f t="shared" si="73"/>
        <v>35.876761343654209</v>
      </c>
      <c r="S242" s="309">
        <f t="shared" si="73"/>
        <v>36.48501836794297</v>
      </c>
      <c r="T242" s="309">
        <f t="shared" si="73"/>
        <v>37.075270067738217</v>
      </c>
      <c r="U242" s="309">
        <f t="shared" si="73"/>
        <v>37.646886097057624</v>
      </c>
      <c r="V242" s="309">
        <f t="shared" si="73"/>
        <v>38.199240507857994</v>
      </c>
      <c r="W242" s="309">
        <f t="shared" si="73"/>
        <v>38.731712293294692</v>
      </c>
      <c r="X242" s="309">
        <f t="shared" si="73"/>
        <v>38.772516300444956</v>
      </c>
      <c r="Y242" s="309">
        <f t="shared" si="73"/>
        <v>38.766609190304727</v>
      </c>
      <c r="Z242" s="309">
        <f t="shared" si="73"/>
        <v>38.714904882031803</v>
      </c>
      <c r="AA242" s="309">
        <f t="shared" si="73"/>
        <v>38.61455971111576</v>
      </c>
      <c r="AB242" s="309">
        <f t="shared" si="73"/>
        <v>38.464636882516764</v>
      </c>
      <c r="AC242" s="309">
        <f t="shared" si="73"/>
        <v>38.264577611635453</v>
      </c>
      <c r="AD242" s="309">
        <f t="shared" si="73"/>
        <v>38.013471825848939</v>
      </c>
      <c r="AE242" s="309">
        <f t="shared" si="73"/>
        <v>37.71042448252642</v>
      </c>
      <c r="AF242" s="309">
        <f t="shared" si="73"/>
        <v>37.354556350841378</v>
      </c>
      <c r="AG242" s="309">
        <f>AG208*AG$227</f>
        <v>36.945004792125268</v>
      </c>
      <c r="AI242" s="337"/>
      <c r="AJ242" s="348"/>
    </row>
    <row r="243" spans="1:36">
      <c r="A243" s="346" t="s">
        <v>1382</v>
      </c>
      <c r="B243" s="302" t="s">
        <v>704</v>
      </c>
      <c r="C243" s="249">
        <f t="shared" ref="C243:R247" si="74">C209*C$227</f>
        <v>46.513056132231235</v>
      </c>
      <c r="D243" s="249">
        <f t="shared" si="74"/>
        <v>47.967376512676935</v>
      </c>
      <c r="E243" s="249">
        <f t="shared" si="74"/>
        <v>49.336114957004028</v>
      </c>
      <c r="F243" s="249">
        <f t="shared" si="74"/>
        <v>50.609569862360736</v>
      </c>
      <c r="G243" s="249">
        <f t="shared" si="74"/>
        <v>51.778551598179234</v>
      </c>
      <c r="H243" s="249">
        <f t="shared" si="74"/>
        <v>52.834493104903103</v>
      </c>
      <c r="I243" s="249">
        <f t="shared" si="74"/>
        <v>53.885560074182031</v>
      </c>
      <c r="J243" s="249">
        <f t="shared" si="74"/>
        <v>54.93059427205862</v>
      </c>
      <c r="K243" s="249">
        <f t="shared" si="74"/>
        <v>55.968422382222734</v>
      </c>
      <c r="L243" s="249">
        <f t="shared" si="74"/>
        <v>56.997858052704565</v>
      </c>
      <c r="M243" s="249">
        <f t="shared" si="74"/>
        <v>58.017704019148162</v>
      </c>
      <c r="N243" s="249">
        <f t="shared" si="74"/>
        <v>58.464345414863551</v>
      </c>
      <c r="O243" s="249">
        <f t="shared" si="74"/>
        <v>58.792493497625493</v>
      </c>
      <c r="P243" s="249">
        <f t="shared" si="74"/>
        <v>59.000479523803413</v>
      </c>
      <c r="Q243" s="249">
        <f t="shared" si="74"/>
        <v>59.085706213293363</v>
      </c>
      <c r="R243" s="249">
        <f t="shared" si="74"/>
        <v>59.047169711430861</v>
      </c>
      <c r="S243" s="249">
        <f t="shared" si="73"/>
        <v>58.99072263295124</v>
      </c>
      <c r="T243" s="249">
        <f t="shared" si="73"/>
        <v>58.916153897536098</v>
      </c>
      <c r="U243" s="249">
        <f t="shared" si="73"/>
        <v>58.823259526652507</v>
      </c>
      <c r="V243" s="249">
        <f t="shared" si="73"/>
        <v>58.711842872409242</v>
      </c>
      <c r="W243" s="249">
        <f t="shared" si="73"/>
        <v>58.581714843608175</v>
      </c>
      <c r="X243" s="249">
        <f t="shared" si="73"/>
        <v>57.731136403236</v>
      </c>
      <c r="Y243" s="249">
        <f t="shared" si="73"/>
        <v>56.845268283860243</v>
      </c>
      <c r="Z243" s="249">
        <f t="shared" si="73"/>
        <v>55.926601981708615</v>
      </c>
      <c r="AA243" s="249">
        <f t="shared" si="73"/>
        <v>54.972116255407776</v>
      </c>
      <c r="AB243" s="249">
        <f t="shared" si="73"/>
        <v>53.981621079441062</v>
      </c>
      <c r="AC243" s="249">
        <f t="shared" si="73"/>
        <v>52.955442230388265</v>
      </c>
      <c r="AD243" s="249">
        <f t="shared" si="73"/>
        <v>51.893390814892385</v>
      </c>
      <c r="AE243" s="249">
        <f t="shared" si="73"/>
        <v>50.795291598230548</v>
      </c>
      <c r="AF243" s="249">
        <f t="shared" si="73"/>
        <v>49.66098328422229</v>
      </c>
      <c r="AG243" s="249">
        <f t="shared" si="73"/>
        <v>48.490318789664414</v>
      </c>
      <c r="AI243" s="296"/>
    </row>
    <row r="244" spans="1:36">
      <c r="A244" s="346" t="s">
        <v>1383</v>
      </c>
      <c r="B244" s="302" t="s">
        <v>704</v>
      </c>
      <c r="C244" s="249">
        <f t="shared" si="74"/>
        <v>10.05687700156351</v>
      </c>
      <c r="D244" s="249">
        <f t="shared" si="73"/>
        <v>10.023675988747737</v>
      </c>
      <c r="E244" s="249">
        <f t="shared" si="73"/>
        <v>9.9553231966811691</v>
      </c>
      <c r="F244" s="249">
        <f t="shared" si="73"/>
        <v>9.8519962665395564</v>
      </c>
      <c r="G244" s="249">
        <f t="shared" si="73"/>
        <v>9.7142061405433591</v>
      </c>
      <c r="H244" s="249">
        <f t="shared" si="73"/>
        <v>9.5427939088150957</v>
      </c>
      <c r="I244" s="249">
        <f t="shared" si="73"/>
        <v>9.3590709602526658</v>
      </c>
      <c r="J244" s="249">
        <f t="shared" si="73"/>
        <v>9.163094765033355</v>
      </c>
      <c r="K244" s="249">
        <f t="shared" si="73"/>
        <v>8.9549475811556345</v>
      </c>
      <c r="L244" s="249">
        <f t="shared" si="73"/>
        <v>8.7347366885962803</v>
      </c>
      <c r="M244" s="249">
        <f t="shared" si="73"/>
        <v>8.5025945545303312</v>
      </c>
      <c r="N244" s="249">
        <f t="shared" si="73"/>
        <v>8.1799899593328362</v>
      </c>
      <c r="O244" s="249">
        <f t="shared" si="73"/>
        <v>7.8389991330167303</v>
      </c>
      <c r="P244" s="249">
        <f t="shared" si="73"/>
        <v>7.4817629353588995</v>
      </c>
      <c r="Q244" s="249">
        <f t="shared" si="73"/>
        <v>7.1103137985488605</v>
      </c>
      <c r="R244" s="249">
        <f t="shared" si="73"/>
        <v>6.7268927519351589</v>
      </c>
      <c r="S244" s="249">
        <f t="shared" si="73"/>
        <v>6.3452205857292077</v>
      </c>
      <c r="T244" s="249">
        <f t="shared" si="73"/>
        <v>5.9655687210057451</v>
      </c>
      <c r="U244" s="249">
        <f t="shared" si="73"/>
        <v>5.5882096550319869</v>
      </c>
      <c r="V244" s="249">
        <f t="shared" si="73"/>
        <v>5.2134167529857152</v>
      </c>
      <c r="W244" s="249">
        <f t="shared" si="73"/>
        <v>4.8414640366618302</v>
      </c>
      <c r="X244" s="249">
        <f t="shared" si="73"/>
        <v>4.4189264901242344</v>
      </c>
      <c r="Y244" s="249">
        <f t="shared" si="73"/>
        <v>4.0071254691901457</v>
      </c>
      <c r="Z244" s="249">
        <f t="shared" si="73"/>
        <v>3.6066951482081451</v>
      </c>
      <c r="AA244" s="249">
        <f t="shared" si="73"/>
        <v>3.2178799759263068</v>
      </c>
      <c r="AB244" s="249">
        <f t="shared" si="73"/>
        <v>2.841137951549527</v>
      </c>
      <c r="AC244" s="249">
        <f t="shared" si="73"/>
        <v>2.47694810432461</v>
      </c>
      <c r="AD244" s="249">
        <f t="shared" si="73"/>
        <v>2.1257533586823358</v>
      </c>
      <c r="AE244" s="249">
        <f t="shared" si="73"/>
        <v>1.7879942642577125</v>
      </c>
      <c r="AF244" s="249">
        <f t="shared" si="73"/>
        <v>1.4641086705308535</v>
      </c>
      <c r="AG244" s="249">
        <f t="shared" si="73"/>
        <v>1.1545313997539146</v>
      </c>
      <c r="AI244" s="296"/>
    </row>
    <row r="245" spans="1:36">
      <c r="A245" s="346" t="s">
        <v>1384</v>
      </c>
      <c r="B245" s="302" t="s">
        <v>704</v>
      </c>
      <c r="C245" s="249">
        <f t="shared" si="74"/>
        <v>33.941959880276848</v>
      </c>
      <c r="D245" s="249">
        <f t="shared" si="73"/>
        <v>34.373034828366706</v>
      </c>
      <c r="E245" s="249">
        <f t="shared" si="73"/>
        <v>34.711480880463554</v>
      </c>
      <c r="F245" s="249">
        <f t="shared" si="73"/>
        <v>34.954342918270498</v>
      </c>
      <c r="G245" s="249">
        <f t="shared" si="73"/>
        <v>35.099442941774612</v>
      </c>
      <c r="H245" s="249">
        <f t="shared" si="73"/>
        <v>35.145411712953191</v>
      </c>
      <c r="I245" s="249">
        <f t="shared" si="73"/>
        <v>35.167418153676714</v>
      </c>
      <c r="J245" s="249">
        <f t="shared" si="73"/>
        <v>35.165175197745846</v>
      </c>
      <c r="K245" s="249">
        <f t="shared" si="73"/>
        <v>35.138435617360727</v>
      </c>
      <c r="L245" s="249">
        <f t="shared" si="73"/>
        <v>35.086993138937636</v>
      </c>
      <c r="M245" s="249">
        <f t="shared" si="73"/>
        <v>35.010683459830808</v>
      </c>
      <c r="N245" s="249">
        <f t="shared" si="73"/>
        <v>34.57676737411245</v>
      </c>
      <c r="O245" s="249">
        <f t="shared" si="73"/>
        <v>34.069496231957359</v>
      </c>
      <c r="P245" s="249">
        <f t="shared" si="73"/>
        <v>33.492187099895233</v>
      </c>
      <c r="Q245" s="249">
        <f t="shared" si="73"/>
        <v>32.847646844000394</v>
      </c>
      <c r="R245" s="249">
        <f t="shared" si="73"/>
        <v>32.139598703690233</v>
      </c>
      <c r="S245" s="249">
        <f t="shared" si="73"/>
        <v>31.428670713690007</v>
      </c>
      <c r="T245" s="249">
        <f t="shared" si="73"/>
        <v>30.7152835800544</v>
      </c>
      <c r="U245" s="249">
        <f t="shared" si="73"/>
        <v>29.999862358592793</v>
      </c>
      <c r="V245" s="249">
        <f t="shared" si="73"/>
        <v>29.282836154620721</v>
      </c>
      <c r="W245" s="249">
        <f t="shared" si="73"/>
        <v>28.564637816304824</v>
      </c>
      <c r="X245" s="249">
        <f t="shared" si="73"/>
        <v>27.511381051418645</v>
      </c>
      <c r="Y245" s="249">
        <f t="shared" si="73"/>
        <v>26.465665889534939</v>
      </c>
      <c r="Z245" s="249">
        <f t="shared" si="73"/>
        <v>25.429483513315677</v>
      </c>
      <c r="AA245" s="249">
        <f t="shared" si="73"/>
        <v>24.402256484107848</v>
      </c>
      <c r="AB245" s="249">
        <f t="shared" si="73"/>
        <v>23.384750831984594</v>
      </c>
      <c r="AC245" s="249">
        <f t="shared" si="73"/>
        <v>22.377944942518916</v>
      </c>
      <c r="AD245" s="249">
        <f t="shared" si="73"/>
        <v>21.382577902039998</v>
      </c>
      <c r="AE245" s="249">
        <f t="shared" si="73"/>
        <v>20.399389105849387</v>
      </c>
      <c r="AF245" s="249">
        <f t="shared" si="73"/>
        <v>19.42911776299055</v>
      </c>
      <c r="AG245" s="249">
        <f t="shared" si="73"/>
        <v>18.472502396062634</v>
      </c>
      <c r="AI245" s="296"/>
    </row>
    <row r="246" spans="1:36">
      <c r="A246" s="346" t="s">
        <v>1385</v>
      </c>
      <c r="B246" s="302" t="s">
        <v>704</v>
      </c>
      <c r="C246" s="249">
        <f t="shared" si="74"/>
        <v>8.7997673763680719</v>
      </c>
      <c r="D246" s="249">
        <f t="shared" si="73"/>
        <v>8.9911943418380993</v>
      </c>
      <c r="E246" s="249">
        <f t="shared" si="73"/>
        <v>9.1624213491578903</v>
      </c>
      <c r="F246" s="249">
        <f t="shared" si="73"/>
        <v>9.3121608546743762</v>
      </c>
      <c r="G246" s="249">
        <f t="shared" si="73"/>
        <v>9.4392757780751531</v>
      </c>
      <c r="H246" s="249">
        <f t="shared" si="73"/>
        <v>9.5427939088150975</v>
      </c>
      <c r="I246" s="249">
        <f t="shared" si="73"/>
        <v>9.6426791711694158</v>
      </c>
      <c r="J246" s="249">
        <f t="shared" si="73"/>
        <v>9.7387865827317892</v>
      </c>
      <c r="K246" s="249">
        <f t="shared" si="73"/>
        <v>9.8309750619208618</v>
      </c>
      <c r="L246" s="249">
        <f t="shared" si="73"/>
        <v>9.9191077650161183</v>
      </c>
      <c r="M246" s="249">
        <f t="shared" si="73"/>
        <v>10.003052417094509</v>
      </c>
      <c r="N246" s="249">
        <f t="shared" si="73"/>
        <v>9.9866135086333419</v>
      </c>
      <c r="O246" s="249">
        <f t="shared" si="73"/>
        <v>9.9494988995981579</v>
      </c>
      <c r="P246" s="249">
        <f t="shared" si="73"/>
        <v>9.8919952903738473</v>
      </c>
      <c r="Q246" s="249">
        <f t="shared" si="73"/>
        <v>9.8142359472927936</v>
      </c>
      <c r="R246" s="249">
        <f t="shared" si="73"/>
        <v>9.7166228639063394</v>
      </c>
      <c r="S246" s="249">
        <f t="shared" si="73"/>
        <v>9.6169749502458295</v>
      </c>
      <c r="T246" s="249">
        <f t="shared" si="73"/>
        <v>9.5153286211083365</v>
      </c>
      <c r="U246" s="249">
        <f t="shared" si="73"/>
        <v>9.4117215242643972</v>
      </c>
      <c r="V246" s="249">
        <f t="shared" si="73"/>
        <v>9.3061925216847801</v>
      </c>
      <c r="W246" s="249">
        <f t="shared" si="73"/>
        <v>9.1987816696574765</v>
      </c>
      <c r="X246" s="249">
        <f t="shared" si="73"/>
        <v>8.980398996058927</v>
      </c>
      <c r="Y246" s="249">
        <f t="shared" si="73"/>
        <v>8.7597626535784574</v>
      </c>
      <c r="Z246" s="249">
        <f t="shared" si="73"/>
        <v>8.537366996391432</v>
      </c>
      <c r="AA246" s="249">
        <f t="shared" si="73"/>
        <v>8.312856604476293</v>
      </c>
      <c r="AB246" s="249">
        <f t="shared" si="73"/>
        <v>8.0863157082563486</v>
      </c>
      <c r="AC246" s="249">
        <f t="shared" si="73"/>
        <v>7.8579043309608361</v>
      </c>
      <c r="AD246" s="249">
        <f t="shared" si="73"/>
        <v>7.627703228213095</v>
      </c>
      <c r="AE246" s="249">
        <f t="shared" si="73"/>
        <v>7.3957944567023652</v>
      </c>
      <c r="AF246" s="249">
        <f t="shared" si="73"/>
        <v>7.1622613342185115</v>
      </c>
      <c r="AG246" s="249">
        <f t="shared" si="73"/>
        <v>6.9271883985234881</v>
      </c>
      <c r="AI246" s="296"/>
    </row>
    <row r="247" spans="1:36" s="68" customFormat="1">
      <c r="A247" s="347" t="s">
        <v>1386</v>
      </c>
      <c r="B247" s="312" t="s">
        <v>704</v>
      </c>
      <c r="C247" s="313">
        <f t="shared" si="74"/>
        <v>6.2855481259771935</v>
      </c>
      <c r="D247" s="313">
        <f t="shared" si="73"/>
        <v>6.3669701559427683</v>
      </c>
      <c r="E247" s="313">
        <f t="shared" si="73"/>
        <v>6.4313149854665967</v>
      </c>
      <c r="F247" s="313">
        <f t="shared" si="73"/>
        <v>6.4780249423821745</v>
      </c>
      <c r="G247" s="313">
        <f t="shared" si="73"/>
        <v>6.5066852450809307</v>
      </c>
      <c r="H247" s="313">
        <f t="shared" si="73"/>
        <v>6.5170299865078718</v>
      </c>
      <c r="I247" s="313">
        <f t="shared" si="73"/>
        <v>6.5229888510851932</v>
      </c>
      <c r="J247" s="313">
        <f t="shared" si="73"/>
        <v>6.5245072672488833</v>
      </c>
      <c r="K247" s="313">
        <f t="shared" si="73"/>
        <v>6.5215379123633443</v>
      </c>
      <c r="L247" s="313">
        <f t="shared" si="73"/>
        <v>6.5140409203090925</v>
      </c>
      <c r="M247" s="313">
        <f t="shared" si="73"/>
        <v>6.5019840711114307</v>
      </c>
      <c r="N247" s="313">
        <f t="shared" si="73"/>
        <v>6.423550397512904</v>
      </c>
      <c r="O247" s="313">
        <f t="shared" si="73"/>
        <v>6.3314992997442827</v>
      </c>
      <c r="P247" s="313">
        <f t="shared" si="73"/>
        <v>6.226433583788614</v>
      </c>
      <c r="Q247" s="313">
        <f t="shared" si="73"/>
        <v>6.1088611508659225</v>
      </c>
      <c r="R247" s="313">
        <f t="shared" si="73"/>
        <v>5.9794602239423629</v>
      </c>
      <c r="S247" s="313">
        <f t="shared" si="73"/>
        <v>5.8495002274691128</v>
      </c>
      <c r="T247" s="313">
        <f t="shared" si="73"/>
        <v>5.7190576168319538</v>
      </c>
      <c r="U247" s="313">
        <f t="shared" si="73"/>
        <v>5.5882096550319851</v>
      </c>
      <c r="V247" s="313">
        <f t="shared" si="73"/>
        <v>5.4570343582654202</v>
      </c>
      <c r="W247" s="313">
        <f t="shared" si="73"/>
        <v>5.3256104403280125</v>
      </c>
      <c r="X247" s="313">
        <f t="shared" si="73"/>
        <v>5.1316565691765295</v>
      </c>
      <c r="Y247" s="313">
        <f t="shared" si="73"/>
        <v>4.9390151131878532</v>
      </c>
      <c r="Z247" s="313">
        <f t="shared" si="73"/>
        <v>4.7480543723246456</v>
      </c>
      <c r="AA247" s="313">
        <f t="shared" si="73"/>
        <v>4.5586632992289333</v>
      </c>
      <c r="AB247" s="313">
        <f t="shared" si="73"/>
        <v>4.3709814639223481</v>
      </c>
      <c r="AC247" s="313">
        <f t="shared" si="73"/>
        <v>4.1851881762726162</v>
      </c>
      <c r="AD247" s="313">
        <f t="shared" si="73"/>
        <v>4.001418086931456</v>
      </c>
      <c r="AE247" s="313">
        <f t="shared" si="73"/>
        <v>3.8198059281869319</v>
      </c>
      <c r="AF247" s="313">
        <f t="shared" si="73"/>
        <v>3.6404864240226651</v>
      </c>
      <c r="AG247" s="313">
        <f t="shared" si="73"/>
        <v>3.4635941992617441</v>
      </c>
      <c r="AI247" s="314"/>
      <c r="AJ247" s="315"/>
    </row>
    <row r="248" spans="1:36" s="181" customFormat="1">
      <c r="B248" s="176"/>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J248" s="323"/>
    </row>
    <row r="249" spans="1:36" s="181" customFormat="1">
      <c r="A249" s="181" t="s">
        <v>1390</v>
      </c>
      <c r="B249" s="350" t="s">
        <v>704</v>
      </c>
      <c r="C249" s="230">
        <f>C182</f>
        <v>17.861834618571326</v>
      </c>
      <c r="D249" s="230">
        <f t="shared" ref="D249:AG249" si="75">D182</f>
        <v>19.325366739382417</v>
      </c>
      <c r="E249" s="230">
        <f t="shared" si="75"/>
        <v>20.808478700996972</v>
      </c>
      <c r="F249" s="230">
        <f t="shared" si="75"/>
        <v>22.302197361971405</v>
      </c>
      <c r="G249" s="230">
        <f t="shared" si="75"/>
        <v>23.797049714397261</v>
      </c>
      <c r="H249" s="230">
        <f t="shared" si="75"/>
        <v>25.283160777666147</v>
      </c>
      <c r="I249" s="230">
        <f t="shared" si="75"/>
        <v>26.808073759415315</v>
      </c>
      <c r="J249" s="230">
        <f t="shared" si="75"/>
        <v>28.371073711726893</v>
      </c>
      <c r="K249" s="230">
        <f t="shared" si="75"/>
        <v>29.971354992401892</v>
      </c>
      <c r="L249" s="230">
        <f t="shared" si="75"/>
        <v>31.608020522894599</v>
      </c>
      <c r="M249" s="230">
        <f t="shared" si="75"/>
        <v>33.280081282392317</v>
      </c>
      <c r="N249" s="230">
        <f t="shared" si="75"/>
        <v>36.167180473262178</v>
      </c>
      <c r="O249" s="230">
        <f t="shared" si="75"/>
        <v>39.065428161327972</v>
      </c>
      <c r="P249" s="230">
        <f t="shared" si="75"/>
        <v>41.960592578982194</v>
      </c>
      <c r="Q249" s="230">
        <f t="shared" si="75"/>
        <v>44.836499658987734</v>
      </c>
      <c r="R249" s="230">
        <f t="shared" si="75"/>
        <v>47.677381042904841</v>
      </c>
      <c r="S249" s="230">
        <f t="shared" si="75"/>
        <v>50.558267947387201</v>
      </c>
      <c r="T249" s="230">
        <f t="shared" si="75"/>
        <v>53.478731151569093</v>
      </c>
      <c r="U249" s="230">
        <f t="shared" si="75"/>
        <v>56.438317342824988</v>
      </c>
      <c r="V249" s="230">
        <f t="shared" si="75"/>
        <v>59.436549078771705</v>
      </c>
      <c r="W249" s="230">
        <f t="shared" si="75"/>
        <v>62.472924765866452</v>
      </c>
      <c r="X249" s="230">
        <f t="shared" si="75"/>
        <v>67.281471053264212</v>
      </c>
      <c r="Y249" s="230">
        <f t="shared" si="75"/>
        <v>72.155165563138695</v>
      </c>
      <c r="Z249" s="230">
        <f t="shared" si="75"/>
        <v>77.096460945816489</v>
      </c>
      <c r="AA249" s="230">
        <f t="shared" si="75"/>
        <v>82.102007498591519</v>
      </c>
      <c r="AB249" s="230">
        <f t="shared" si="75"/>
        <v>87.17104696136974</v>
      </c>
      <c r="AC249" s="230">
        <f t="shared" si="75"/>
        <v>92.303657731265673</v>
      </c>
      <c r="AD249" s="230">
        <f t="shared" si="75"/>
        <v>97.499158120283667</v>
      </c>
      <c r="AE249" s="230">
        <f t="shared" si="75"/>
        <v>102.75683424854464</v>
      </c>
      <c r="AF249" s="230">
        <f t="shared" si="75"/>
        <v>108.07594003255964</v>
      </c>
      <c r="AG249" s="230">
        <f t="shared" si="75"/>
        <v>113.455697192171</v>
      </c>
      <c r="AI249" s="763" t="s">
        <v>1391</v>
      </c>
      <c r="AJ249" s="323"/>
    </row>
    <row r="250" spans="1:36" s="181" customFormat="1">
      <c r="A250" s="181" t="s">
        <v>1392</v>
      </c>
      <c r="B250" s="349" t="s">
        <v>704</v>
      </c>
      <c r="C250" s="249">
        <f>C249/(1-C207)</f>
        <v>24.468266600782638</v>
      </c>
      <c r="D250" s="249">
        <f t="shared" ref="D250:AG250" si="76">D249/(1-D207)</f>
        <v>26.328837519594575</v>
      </c>
      <c r="E250" s="249">
        <f t="shared" si="76"/>
        <v>28.195770597556873</v>
      </c>
      <c r="F250" s="249">
        <f t="shared" si="76"/>
        <v>30.056869760069279</v>
      </c>
      <c r="G250" s="249">
        <f t="shared" si="76"/>
        <v>31.899530448253699</v>
      </c>
      <c r="H250" s="249">
        <f t="shared" si="76"/>
        <v>33.710881036888196</v>
      </c>
      <c r="I250" s="249">
        <f t="shared" si="76"/>
        <v>35.554474481983178</v>
      </c>
      <c r="J250" s="249">
        <f t="shared" si="76"/>
        <v>37.428857139481387</v>
      </c>
      <c r="K250" s="249">
        <f t="shared" si="76"/>
        <v>39.33248686666915</v>
      </c>
      <c r="L250" s="249">
        <f t="shared" si="76"/>
        <v>41.263734364092166</v>
      </c>
      <c r="M250" s="249">
        <f t="shared" si="76"/>
        <v>43.22088478232768</v>
      </c>
      <c r="N250" s="249">
        <f t="shared" si="76"/>
        <v>46.72762335046793</v>
      </c>
      <c r="O250" s="249">
        <f t="shared" si="76"/>
        <v>50.21263259810793</v>
      </c>
      <c r="P250" s="249">
        <f t="shared" si="76"/>
        <v>53.658046776192059</v>
      </c>
      <c r="Q250" s="249">
        <f t="shared" si="76"/>
        <v>57.043892695913144</v>
      </c>
      <c r="R250" s="249">
        <f t="shared" si="76"/>
        <v>60.35111524418334</v>
      </c>
      <c r="S250" s="249">
        <f t="shared" si="76"/>
        <v>63.675400437515364</v>
      </c>
      <c r="T250" s="249">
        <f t="shared" si="76"/>
        <v>67.015953824021423</v>
      </c>
      <c r="U250" s="249">
        <f t="shared" si="76"/>
        <v>70.371966761627164</v>
      </c>
      <c r="V250" s="249">
        <f t="shared" si="76"/>
        <v>73.74261672304182</v>
      </c>
      <c r="W250" s="249">
        <f t="shared" si="76"/>
        <v>77.127067612180795</v>
      </c>
      <c r="X250" s="249">
        <f t="shared" si="76"/>
        <v>82.655369844304929</v>
      </c>
      <c r="Y250" s="249">
        <f t="shared" si="76"/>
        <v>88.209248854692774</v>
      </c>
      <c r="Z250" s="249">
        <f t="shared" si="76"/>
        <v>93.791315019241466</v>
      </c>
      <c r="AA250" s="249">
        <f t="shared" si="76"/>
        <v>99.397103509190686</v>
      </c>
      <c r="AB250" s="249">
        <f t="shared" si="76"/>
        <v>105.02535778478281</v>
      </c>
      <c r="AC250" s="249">
        <f t="shared" si="76"/>
        <v>110.67584859863989</v>
      </c>
      <c r="AD250" s="249">
        <f t="shared" si="76"/>
        <v>116.34744405761774</v>
      </c>
      <c r="AE250" s="249">
        <f t="shared" si="76"/>
        <v>122.03899554458981</v>
      </c>
      <c r="AF250" s="249">
        <f t="shared" si="76"/>
        <v>127.74933809995228</v>
      </c>
      <c r="AG250" s="249">
        <f t="shared" si="76"/>
        <v>133.47729081431882</v>
      </c>
      <c r="AI250" s="763"/>
      <c r="AJ250" s="323"/>
    </row>
    <row r="251" spans="1:36" s="181" customFormat="1">
      <c r="A251" s="181" t="s">
        <v>1393</v>
      </c>
      <c r="B251" s="349" t="s">
        <v>704</v>
      </c>
      <c r="C251" s="249">
        <f>C239</f>
        <v>17.185663817432385</v>
      </c>
      <c r="D251" s="249">
        <f t="shared" ref="D251:AG251" si="77">D239</f>
        <v>18.019299613788093</v>
      </c>
      <c r="E251" s="249">
        <f t="shared" si="77"/>
        <v>18.841248513923631</v>
      </c>
      <c r="F251" s="249">
        <f t="shared" si="77"/>
        <v>19.646428013807959</v>
      </c>
      <c r="G251" s="249">
        <f t="shared" si="77"/>
        <v>20.429682757804446</v>
      </c>
      <c r="H251" s="249">
        <f t="shared" si="77"/>
        <v>21.185838669644895</v>
      </c>
      <c r="I251" s="249">
        <f t="shared" si="77"/>
        <v>21.957028691073283</v>
      </c>
      <c r="J251" s="249">
        <f t="shared" si="77"/>
        <v>22.742918153418014</v>
      </c>
      <c r="K251" s="249">
        <f t="shared" si="77"/>
        <v>23.543136790953195</v>
      </c>
      <c r="L251" s="249">
        <f t="shared" si="77"/>
        <v>24.357278351599724</v>
      </c>
      <c r="M251" s="249">
        <f t="shared" si="77"/>
        <v>25.184900291664995</v>
      </c>
      <c r="N251" s="249">
        <f t="shared" si="77"/>
        <v>25.988286482551619</v>
      </c>
      <c r="O251" s="249">
        <f t="shared" si="77"/>
        <v>26.763335240106212</v>
      </c>
      <c r="P251" s="249">
        <f t="shared" si="77"/>
        <v>27.506404526639205</v>
      </c>
      <c r="Q251" s="249">
        <f t="shared" si="77"/>
        <v>28.213111811921365</v>
      </c>
      <c r="R251" s="249">
        <f t="shared" si="77"/>
        <v>28.879580295808491</v>
      </c>
      <c r="S251" s="249">
        <f t="shared" si="77"/>
        <v>29.555231085350805</v>
      </c>
      <c r="T251" s="249">
        <f t="shared" si="77"/>
        <v>30.240029816315378</v>
      </c>
      <c r="U251" s="249">
        <f t="shared" si="77"/>
        <v>30.933937373265923</v>
      </c>
      <c r="V251" s="249">
        <f t="shared" si="77"/>
        <v>31.636909829457608</v>
      </c>
      <c r="W251" s="249">
        <f t="shared" si="77"/>
        <v>32.348898389145909</v>
      </c>
      <c r="X251" s="249">
        <f t="shared" si="77"/>
        <v>33.07021357733516</v>
      </c>
      <c r="Y251" s="249">
        <f t="shared" si="77"/>
        <v>33.800821389968839</v>
      </c>
      <c r="Z251" s="249">
        <f t="shared" si="77"/>
        <v>34.542260643204003</v>
      </c>
      <c r="AA251" s="249">
        <f t="shared" si="77"/>
        <v>35.292979681080162</v>
      </c>
      <c r="AB251" s="249">
        <f t="shared" si="77"/>
        <v>36.052932458926058</v>
      </c>
      <c r="AC251" s="249">
        <f t="shared" si="77"/>
        <v>36.822416517959105</v>
      </c>
      <c r="AD251" s="249">
        <f t="shared" si="77"/>
        <v>37.60139924368697</v>
      </c>
      <c r="AE251" s="249">
        <f t="shared" si="77"/>
        <v>38.389843956786201</v>
      </c>
      <c r="AF251" s="249">
        <f t="shared" si="77"/>
        <v>39.187709867194009</v>
      </c>
      <c r="AG251" s="249">
        <f t="shared" si="77"/>
        <v>39.994952029916519</v>
      </c>
      <c r="AI251" s="763"/>
      <c r="AJ251" s="323"/>
    </row>
    <row r="252" spans="1:36" s="181" customFormat="1">
      <c r="A252" s="181" t="s">
        <v>1394</v>
      </c>
      <c r="B252" s="349" t="s">
        <v>704</v>
      </c>
      <c r="C252" s="249">
        <f>C250-C251</f>
        <v>7.2826027833502529</v>
      </c>
      <c r="D252" s="249">
        <f t="shared" ref="D252:AG252" si="78">D250-D251</f>
        <v>8.3095379058064829</v>
      </c>
      <c r="E252" s="249">
        <f t="shared" si="78"/>
        <v>9.3545220836332419</v>
      </c>
      <c r="F252" s="249">
        <f t="shared" si="78"/>
        <v>10.41044174626132</v>
      </c>
      <c r="G252" s="249">
        <f t="shared" si="78"/>
        <v>11.469847690449253</v>
      </c>
      <c r="H252" s="249">
        <f t="shared" si="78"/>
        <v>12.525042367243302</v>
      </c>
      <c r="I252" s="249">
        <f t="shared" si="78"/>
        <v>13.597445790909894</v>
      </c>
      <c r="J252" s="249">
        <f t="shared" si="78"/>
        <v>14.685938986063373</v>
      </c>
      <c r="K252" s="249">
        <f t="shared" si="78"/>
        <v>15.789350075715955</v>
      </c>
      <c r="L252" s="249">
        <f t="shared" si="78"/>
        <v>16.906456012492441</v>
      </c>
      <c r="M252" s="249">
        <f t="shared" si="78"/>
        <v>18.035984490662685</v>
      </c>
      <c r="N252" s="249">
        <f t="shared" si="78"/>
        <v>20.739336867916311</v>
      </c>
      <c r="O252" s="249">
        <f t="shared" si="78"/>
        <v>23.449297358001719</v>
      </c>
      <c r="P252" s="249">
        <f t="shared" si="78"/>
        <v>26.151642249552854</v>
      </c>
      <c r="Q252" s="249">
        <f t="shared" si="78"/>
        <v>28.830780883991778</v>
      </c>
      <c r="R252" s="249">
        <f t="shared" si="78"/>
        <v>31.471534948374849</v>
      </c>
      <c r="S252" s="249">
        <f t="shared" si="78"/>
        <v>34.120169352164559</v>
      </c>
      <c r="T252" s="249">
        <f t="shared" si="78"/>
        <v>36.775924007706045</v>
      </c>
      <c r="U252" s="249">
        <f t="shared" si="78"/>
        <v>39.438029388361244</v>
      </c>
      <c r="V252" s="249">
        <f t="shared" si="78"/>
        <v>42.105706893584212</v>
      </c>
      <c r="W252" s="249">
        <f t="shared" si="78"/>
        <v>44.778169223034887</v>
      </c>
      <c r="X252" s="249">
        <f t="shared" si="78"/>
        <v>49.585156266969769</v>
      </c>
      <c r="Y252" s="249">
        <f t="shared" si="78"/>
        <v>54.408427464723935</v>
      </c>
      <c r="Z252" s="249">
        <f t="shared" si="78"/>
        <v>59.249054376037463</v>
      </c>
      <c r="AA252" s="249">
        <f t="shared" si="78"/>
        <v>64.104123828110517</v>
      </c>
      <c r="AB252" s="249">
        <f t="shared" si="78"/>
        <v>68.972425325856761</v>
      </c>
      <c r="AC252" s="249">
        <f t="shared" si="78"/>
        <v>73.85343208068079</v>
      </c>
      <c r="AD252" s="249">
        <f t="shared" si="78"/>
        <v>78.746044813930766</v>
      </c>
      <c r="AE252" s="249">
        <f t="shared" si="78"/>
        <v>83.649151587803601</v>
      </c>
      <c r="AF252" s="249">
        <f t="shared" si="78"/>
        <v>88.561628232758267</v>
      </c>
      <c r="AG252" s="249">
        <f t="shared" si="78"/>
        <v>93.482338784402302</v>
      </c>
      <c r="AI252" s="763"/>
      <c r="AJ252" s="323"/>
    </row>
    <row r="253" spans="1:36" s="181" customFormat="1">
      <c r="A253" s="181" t="s">
        <v>1395</v>
      </c>
      <c r="B253" s="349" t="s">
        <v>704</v>
      </c>
      <c r="C253" s="249">
        <f>(C252)/(1-C204)</f>
        <v>9.1032534791878152</v>
      </c>
      <c r="D253" s="249">
        <f t="shared" ref="D253:AG253" si="79">(D250-D239)/(1-D204)</f>
        <v>10.343823119261183</v>
      </c>
      <c r="E253" s="249">
        <f t="shared" si="79"/>
        <v>11.59651497971063</v>
      </c>
      <c r="F253" s="249">
        <f t="shared" si="79"/>
        <v>12.852397217606569</v>
      </c>
      <c r="G253" s="249">
        <f t="shared" si="79"/>
        <v>14.102271750552362</v>
      </c>
      <c r="H253" s="249">
        <f t="shared" si="79"/>
        <v>15.336786572134656</v>
      </c>
      <c r="I253" s="249">
        <f t="shared" si="79"/>
        <v>16.582250964524263</v>
      </c>
      <c r="J253" s="249">
        <f t="shared" si="79"/>
        <v>17.837172857566852</v>
      </c>
      <c r="K253" s="249">
        <f t="shared" si="79"/>
        <v>19.100020252882203</v>
      </c>
      <c r="L253" s="249">
        <f t="shared" si="79"/>
        <v>20.369224111436676</v>
      </c>
      <c r="M253" s="249">
        <f t="shared" si="79"/>
        <v>21.643181388795224</v>
      </c>
      <c r="N253" s="249">
        <f t="shared" si="79"/>
        <v>24.78805203336611</v>
      </c>
      <c r="O253" s="249">
        <f t="shared" si="79"/>
        <v>27.915830188097289</v>
      </c>
      <c r="P253" s="249">
        <f t="shared" si="79"/>
        <v>31.009852469825521</v>
      </c>
      <c r="Q253" s="249">
        <f t="shared" si="79"/>
        <v>34.052103406289504</v>
      </c>
      <c r="R253" s="249">
        <f t="shared" si="79"/>
        <v>37.025335233382179</v>
      </c>
      <c r="S253" s="249">
        <f t="shared" si="79"/>
        <v>39.984573459567848</v>
      </c>
      <c r="T253" s="249">
        <f t="shared" si="79"/>
        <v>42.929094172419511</v>
      </c>
      <c r="U253" s="249">
        <f t="shared" si="79"/>
        <v>45.858173707396801</v>
      </c>
      <c r="V253" s="249">
        <f t="shared" si="79"/>
        <v>48.771089065927669</v>
      </c>
      <c r="W253" s="249">
        <f t="shared" si="79"/>
        <v>51.667118334271038</v>
      </c>
      <c r="X253" s="249">
        <f t="shared" si="79"/>
        <v>56.994432490769853</v>
      </c>
      <c r="Y253" s="249">
        <f t="shared" si="79"/>
        <v>62.299726104645735</v>
      </c>
      <c r="Z253" s="249">
        <f t="shared" si="79"/>
        <v>67.584472672286097</v>
      </c>
      <c r="AA253" s="249">
        <f t="shared" si="79"/>
        <v>72.845595259216509</v>
      </c>
      <c r="AB253" s="249">
        <f t="shared" si="79"/>
        <v>78.081990934932193</v>
      </c>
      <c r="AC253" s="249">
        <f t="shared" si="79"/>
        <v>83.293344451895649</v>
      </c>
      <c r="AD253" s="249">
        <f t="shared" si="79"/>
        <v>88.478702038124482</v>
      </c>
      <c r="AE253" s="249">
        <f t="shared" si="79"/>
        <v>93.63710998634734</v>
      </c>
      <c r="AF253" s="249">
        <f t="shared" si="79"/>
        <v>98.767615129470201</v>
      </c>
      <c r="AG253" s="249">
        <f t="shared" si="79"/>
        <v>103.86926531600255</v>
      </c>
      <c r="AI253" s="763"/>
      <c r="AJ253" s="323"/>
    </row>
    <row r="254" spans="1:36" s="181" customFormat="1">
      <c r="A254" s="181" t="s">
        <v>1396</v>
      </c>
      <c r="B254" s="349" t="s">
        <v>704</v>
      </c>
      <c r="C254" s="249">
        <f>IF(C233&gt;C253,C253,C233)</f>
        <v>9.1032534791878152</v>
      </c>
      <c r="D254" s="249">
        <f t="shared" ref="D254:AG254" si="80">IF(D233&gt;D253,D253,D233)</f>
        <v>10.343823119261183</v>
      </c>
      <c r="E254" s="249">
        <f t="shared" si="80"/>
        <v>11.59651497971063</v>
      </c>
      <c r="F254" s="249">
        <f t="shared" si="80"/>
        <v>12.852397217606569</v>
      </c>
      <c r="G254" s="249">
        <f t="shared" si="80"/>
        <v>14.102271750552362</v>
      </c>
      <c r="H254" s="249">
        <f t="shared" si="80"/>
        <v>15.336786572134656</v>
      </c>
      <c r="I254" s="249">
        <f t="shared" si="80"/>
        <v>16.582250964524263</v>
      </c>
      <c r="J254" s="249">
        <f t="shared" si="80"/>
        <v>17.837172857566852</v>
      </c>
      <c r="K254" s="249">
        <f t="shared" si="80"/>
        <v>19.100020252882203</v>
      </c>
      <c r="L254" s="249">
        <f t="shared" si="80"/>
        <v>20.369224111436676</v>
      </c>
      <c r="M254" s="249">
        <f t="shared" si="80"/>
        <v>21.643181388795224</v>
      </c>
      <c r="N254" s="249">
        <f t="shared" si="80"/>
        <v>24.78805203336611</v>
      </c>
      <c r="O254" s="249">
        <f t="shared" si="80"/>
        <v>27.915830188097289</v>
      </c>
      <c r="P254" s="249">
        <f t="shared" si="80"/>
        <v>31.009852469825521</v>
      </c>
      <c r="Q254" s="249">
        <f t="shared" si="80"/>
        <v>34.052103406289504</v>
      </c>
      <c r="R254" s="249">
        <f t="shared" si="80"/>
        <v>35.866575528665301</v>
      </c>
      <c r="S254" s="249">
        <f t="shared" si="80"/>
        <v>37.277405402169542</v>
      </c>
      <c r="T254" s="249">
        <f t="shared" si="80"/>
        <v>38.713971400491083</v>
      </c>
      <c r="U254" s="249">
        <f t="shared" si="80"/>
        <v>40.176258474709563</v>
      </c>
      <c r="V254" s="249">
        <f t="shared" si="80"/>
        <v>41.664238475886236</v>
      </c>
      <c r="W254" s="249">
        <f t="shared" si="80"/>
        <v>43.177869953612095</v>
      </c>
      <c r="X254" s="249">
        <f t="shared" si="80"/>
        <v>44.717590493899557</v>
      </c>
      <c r="Y254" s="249">
        <f t="shared" si="80"/>
        <v>46.2833839597617</v>
      </c>
      <c r="Z254" s="249">
        <f t="shared" si="80"/>
        <v>47.877408240497942</v>
      </c>
      <c r="AA254" s="249">
        <f t="shared" si="80"/>
        <v>49.497584506282564</v>
      </c>
      <c r="AB254" s="249">
        <f t="shared" si="80"/>
        <v>51.143863476318273</v>
      </c>
      <c r="AC254" s="249">
        <f t="shared" si="80"/>
        <v>52.816682627362034</v>
      </c>
      <c r="AD254" s="249">
        <f t="shared" si="80"/>
        <v>54.516016223783318</v>
      </c>
      <c r="AE254" s="249">
        <f t="shared" si="80"/>
        <v>56.24182720593349</v>
      </c>
      <c r="AF254" s="249">
        <f t="shared" si="80"/>
        <v>57.994067038065246</v>
      </c>
      <c r="AG254" s="249">
        <f t="shared" si="80"/>
        <v>59.772675561193921</v>
      </c>
      <c r="AI254" s="763"/>
      <c r="AJ254" s="323"/>
    </row>
    <row r="255" spans="1:36" s="181" customFormat="1">
      <c r="A255" s="181" t="s">
        <v>1397</v>
      </c>
      <c r="B255" s="349" t="s">
        <v>704</v>
      </c>
      <c r="C255" s="249">
        <f>IF(C253-C254&lt;0,0,C253-C254)</f>
        <v>0</v>
      </c>
      <c r="D255" s="249">
        <f t="shared" ref="D255:AG255" si="81">IF(D253-D254&lt;0,0,D253-D254)</f>
        <v>0</v>
      </c>
      <c r="E255" s="249">
        <f t="shared" si="81"/>
        <v>0</v>
      </c>
      <c r="F255" s="249">
        <f t="shared" si="81"/>
        <v>0</v>
      </c>
      <c r="G255" s="249">
        <f t="shared" si="81"/>
        <v>0</v>
      </c>
      <c r="H255" s="249">
        <f t="shared" si="81"/>
        <v>0</v>
      </c>
      <c r="I255" s="249">
        <f t="shared" si="81"/>
        <v>0</v>
      </c>
      <c r="J255" s="249">
        <f t="shared" si="81"/>
        <v>0</v>
      </c>
      <c r="K255" s="249">
        <f t="shared" si="81"/>
        <v>0</v>
      </c>
      <c r="L255" s="249">
        <f t="shared" si="81"/>
        <v>0</v>
      </c>
      <c r="M255" s="249">
        <f t="shared" si="81"/>
        <v>0</v>
      </c>
      <c r="N255" s="249">
        <f t="shared" si="81"/>
        <v>0</v>
      </c>
      <c r="O255" s="249">
        <f t="shared" si="81"/>
        <v>0</v>
      </c>
      <c r="P255" s="249">
        <f t="shared" si="81"/>
        <v>0</v>
      </c>
      <c r="Q255" s="249">
        <f t="shared" si="81"/>
        <v>0</v>
      </c>
      <c r="R255" s="249">
        <f t="shared" si="81"/>
        <v>1.1587597047168785</v>
      </c>
      <c r="S255" s="249">
        <f t="shared" si="81"/>
        <v>2.7071680573983059</v>
      </c>
      <c r="T255" s="249">
        <f t="shared" si="81"/>
        <v>4.2151227719284279</v>
      </c>
      <c r="U255" s="249">
        <f t="shared" si="81"/>
        <v>5.6819152326872384</v>
      </c>
      <c r="V255" s="249">
        <f t="shared" si="81"/>
        <v>7.1068505900414323</v>
      </c>
      <c r="W255" s="249">
        <f t="shared" si="81"/>
        <v>8.4892483806589425</v>
      </c>
      <c r="X255" s="249">
        <f t="shared" si="81"/>
        <v>12.276841996870296</v>
      </c>
      <c r="Y255" s="249">
        <f t="shared" si="81"/>
        <v>16.016342144884035</v>
      </c>
      <c r="Z255" s="249">
        <f t="shared" si="81"/>
        <v>19.707064431788154</v>
      </c>
      <c r="AA255" s="249">
        <f t="shared" si="81"/>
        <v>23.348010752933945</v>
      </c>
      <c r="AB255" s="249">
        <f t="shared" si="81"/>
        <v>26.93812745861392</v>
      </c>
      <c r="AC255" s="249">
        <f t="shared" si="81"/>
        <v>30.476661824533615</v>
      </c>
      <c r="AD255" s="249">
        <f t="shared" si="81"/>
        <v>33.962685814341164</v>
      </c>
      <c r="AE255" s="249">
        <f t="shared" si="81"/>
        <v>37.395282780413851</v>
      </c>
      <c r="AF255" s="249">
        <f t="shared" si="81"/>
        <v>40.773548091404955</v>
      </c>
      <c r="AG255" s="249">
        <f t="shared" si="81"/>
        <v>44.096589754808633</v>
      </c>
      <c r="AI255" s="763"/>
      <c r="AJ255" s="323"/>
    </row>
    <row r="256" spans="1:36" s="181" customFormat="1">
      <c r="A256" s="181" t="s">
        <v>1398</v>
      </c>
      <c r="B256" s="349" t="s">
        <v>704</v>
      </c>
      <c r="C256" s="249">
        <f>C250*C207+C204*C253+C240+IF(C233&gt;C253,C233-C253,0)</f>
        <v>15.604984394323321</v>
      </c>
      <c r="D256" s="249">
        <f t="shared" ref="D256:AG256" si="82">D250*D207+D204*D253+D240+IF(D233&gt;D253,D233-D253,0)</f>
        <v>16.278310747691229</v>
      </c>
      <c r="E256" s="249">
        <f t="shared" si="82"/>
        <v>16.944349456755695</v>
      </c>
      <c r="F256" s="249">
        <f t="shared" si="82"/>
        <v>17.599626921272666</v>
      </c>
      <c r="G256" s="249">
        <f t="shared" si="82"/>
        <v>18.240567899181961</v>
      </c>
      <c r="H256" s="249">
        <f t="shared" si="82"/>
        <v>18.86352499024089</v>
      </c>
      <c r="I256" s="249">
        <f t="shared" si="82"/>
        <v>19.506805231203145</v>
      </c>
      <c r="J256" s="249">
        <f t="shared" si="82"/>
        <v>20.170675534681351</v>
      </c>
      <c r="K256" s="249">
        <f t="shared" si="82"/>
        <v>20.855372341042905</v>
      </c>
      <c r="L256" s="249">
        <f t="shared" si="82"/>
        <v>21.561099491941626</v>
      </c>
      <c r="M256" s="249">
        <f t="shared" si="82"/>
        <v>22.288026122704778</v>
      </c>
      <c r="N256" s="249">
        <f t="shared" si="82"/>
        <v>21.77254176064212</v>
      </c>
      <c r="O256" s="249">
        <f t="shared" si="82"/>
        <v>21.206856856666544</v>
      </c>
      <c r="P256" s="249">
        <f t="shared" si="82"/>
        <v>20.594301292507343</v>
      </c>
      <c r="Q256" s="249">
        <f t="shared" si="82"/>
        <v>19.938232465337574</v>
      </c>
      <c r="R256" s="249">
        <f t="shared" si="82"/>
        <v>20.401266336507973</v>
      </c>
      <c r="S256" s="249">
        <f t="shared" si="82"/>
        <v>21.251751763455744</v>
      </c>
      <c r="T256" s="249">
        <f t="shared" si="82"/>
        <v>22.060028530895753</v>
      </c>
      <c r="U256" s="249">
        <f t="shared" si="82"/>
        <v>22.825836249308228</v>
      </c>
      <c r="V256" s="249">
        <f t="shared" si="82"/>
        <v>23.548934179071178</v>
      </c>
      <c r="W256" s="249">
        <f t="shared" si="82"/>
        <v>24.229101571089686</v>
      </c>
      <c r="X256" s="249">
        <f t="shared" si="82"/>
        <v>25.580872041990631</v>
      </c>
      <c r="Y256" s="249">
        <f t="shared" si="82"/>
        <v>26.857979864427577</v>
      </c>
      <c r="Z256" s="249">
        <f t="shared" si="82"/>
        <v>28.061174137496437</v>
      </c>
      <c r="AA256" s="249">
        <f t="shared" si="82"/>
        <v>29.189099395788581</v>
      </c>
      <c r="AB256" s="249">
        <f t="shared" si="82"/>
        <v>30.241415746936326</v>
      </c>
      <c r="AC256" s="249">
        <f t="shared" si="82"/>
        <v>31.21810971912862</v>
      </c>
      <c r="AD256" s="249">
        <f t="shared" si="82"/>
        <v>32.118930398898755</v>
      </c>
      <c r="AE256" s="249">
        <f t="shared" si="82"/>
        <v>32.943654799292339</v>
      </c>
      <c r="AF256" s="249">
        <f t="shared" si="82"/>
        <v>33.692088265009339</v>
      </c>
      <c r="AG256" s="249">
        <f t="shared" si="82"/>
        <v>34.364064860003559</v>
      </c>
      <c r="AI256" s="763"/>
      <c r="AJ256" s="323"/>
    </row>
    <row r="257" spans="1:37" s="181" customFormat="1">
      <c r="A257" s="181" t="s">
        <v>1399</v>
      </c>
      <c r="B257" s="349" t="s">
        <v>704</v>
      </c>
      <c r="C257" s="249">
        <f>C236-C255</f>
        <v>87.134330583122093</v>
      </c>
      <c r="D257" s="249">
        <f t="shared" ref="D257:AG257" si="83">D236-D255</f>
        <v>89.633745789931922</v>
      </c>
      <c r="E257" s="249">
        <f t="shared" si="83"/>
        <v>91.956222897316195</v>
      </c>
      <c r="F257" s="249">
        <f t="shared" si="83"/>
        <v>94.08459059643917</v>
      </c>
      <c r="G257" s="249">
        <f t="shared" si="83"/>
        <v>96.002852078338023</v>
      </c>
      <c r="H257" s="249">
        <f t="shared" si="83"/>
        <v>97.696385109388089</v>
      </c>
      <c r="I257" s="249">
        <f t="shared" si="83"/>
        <v>99.366043853551332</v>
      </c>
      <c r="J257" s="249">
        <f t="shared" si="83"/>
        <v>101.00946717593024</v>
      </c>
      <c r="K257" s="249">
        <f t="shared" si="83"/>
        <v>102.62428809114246</v>
      </c>
      <c r="L257" s="249">
        <f t="shared" si="83"/>
        <v>104.20813883119143</v>
      </c>
      <c r="M257" s="249">
        <f t="shared" si="83"/>
        <v>105.75865602905574</v>
      </c>
      <c r="N257" s="249">
        <f t="shared" si="83"/>
        <v>107.12000010292999</v>
      </c>
      <c r="O257" s="249">
        <f t="shared" si="83"/>
        <v>108.28380038385824</v>
      </c>
      <c r="P257" s="249">
        <f t="shared" si="83"/>
        <v>109.24440850104601</v>
      </c>
      <c r="Q257" s="249">
        <f t="shared" si="83"/>
        <v>109.99400741871469</v>
      </c>
      <c r="R257" s="249">
        <f t="shared" si="83"/>
        <v>109.36885059790487</v>
      </c>
      <c r="S257" s="249">
        <f t="shared" si="83"/>
        <v>108.33401567373279</v>
      </c>
      <c r="T257" s="249">
        <f t="shared" si="83"/>
        <v>107.31917775704144</v>
      </c>
      <c r="U257" s="249">
        <f t="shared" si="83"/>
        <v>106.32462354529102</v>
      </c>
      <c r="V257" s="249">
        <f t="shared" si="83"/>
        <v>105.35063156003876</v>
      </c>
      <c r="W257" s="249">
        <f t="shared" si="83"/>
        <v>104.3974718595077</v>
      </c>
      <c r="X257" s="249">
        <f t="shared" si="83"/>
        <v>101.01825476682583</v>
      </c>
      <c r="Y257" s="249">
        <f t="shared" si="83"/>
        <v>97.665886659507677</v>
      </c>
      <c r="Z257" s="249">
        <f t="shared" si="83"/>
        <v>94.345882143377807</v>
      </c>
      <c r="AA257" s="249">
        <f t="shared" si="83"/>
        <v>91.053691185427795</v>
      </c>
      <c r="AB257" s="249">
        <f t="shared" si="83"/>
        <v>87.789998717992006</v>
      </c>
      <c r="AC257" s="249">
        <f t="shared" si="83"/>
        <v>84.556282541839693</v>
      </c>
      <c r="AD257" s="249">
        <f t="shared" si="83"/>
        <v>81.353124204191204</v>
      </c>
      <c r="AE257" s="249">
        <f t="shared" si="83"/>
        <v>78.181099400414908</v>
      </c>
      <c r="AF257" s="249">
        <f t="shared" si="83"/>
        <v>75.040777592004133</v>
      </c>
      <c r="AG257" s="249">
        <f t="shared" si="83"/>
        <v>71.932721628685456</v>
      </c>
      <c r="AI257" s="763"/>
      <c r="AJ257" s="323"/>
    </row>
    <row r="258" spans="1:37" s="181" customFormat="1">
      <c r="B258" s="350"/>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c r="AA258" s="327"/>
      <c r="AB258" s="327"/>
      <c r="AC258" s="327"/>
      <c r="AD258" s="327"/>
      <c r="AE258" s="327"/>
      <c r="AF258" s="327"/>
      <c r="AG258" s="327"/>
      <c r="AJ258" s="323"/>
    </row>
    <row r="259" spans="1:37" s="181" customFormat="1">
      <c r="A259" s="181" t="s">
        <v>1400</v>
      </c>
      <c r="B259" s="350" t="s">
        <v>462</v>
      </c>
      <c r="C259" s="296">
        <v>0.8</v>
      </c>
      <c r="D259" s="317">
        <f>C259</f>
        <v>0.8</v>
      </c>
      <c r="E259" s="317">
        <f t="shared" ref="E259:AG259" si="84">D259</f>
        <v>0.8</v>
      </c>
      <c r="F259" s="317">
        <f t="shared" si="84"/>
        <v>0.8</v>
      </c>
      <c r="G259" s="317">
        <f t="shared" si="84"/>
        <v>0.8</v>
      </c>
      <c r="H259" s="317">
        <f t="shared" si="84"/>
        <v>0.8</v>
      </c>
      <c r="I259" s="317">
        <f t="shared" si="84"/>
        <v>0.8</v>
      </c>
      <c r="J259" s="317">
        <f t="shared" si="84"/>
        <v>0.8</v>
      </c>
      <c r="K259" s="317">
        <f t="shared" si="84"/>
        <v>0.8</v>
      </c>
      <c r="L259" s="317">
        <f t="shared" si="84"/>
        <v>0.8</v>
      </c>
      <c r="M259" s="317">
        <f t="shared" si="84"/>
        <v>0.8</v>
      </c>
      <c r="N259" s="317">
        <f t="shared" si="84"/>
        <v>0.8</v>
      </c>
      <c r="O259" s="317">
        <f t="shared" si="84"/>
        <v>0.8</v>
      </c>
      <c r="P259" s="317">
        <f t="shared" si="84"/>
        <v>0.8</v>
      </c>
      <c r="Q259" s="317">
        <f t="shared" si="84"/>
        <v>0.8</v>
      </c>
      <c r="R259" s="317">
        <f t="shared" si="84"/>
        <v>0.8</v>
      </c>
      <c r="S259" s="317">
        <f t="shared" si="84"/>
        <v>0.8</v>
      </c>
      <c r="T259" s="317">
        <f t="shared" si="84"/>
        <v>0.8</v>
      </c>
      <c r="U259" s="317">
        <f t="shared" si="84"/>
        <v>0.8</v>
      </c>
      <c r="V259" s="317">
        <f t="shared" si="84"/>
        <v>0.8</v>
      </c>
      <c r="W259" s="317">
        <f t="shared" si="84"/>
        <v>0.8</v>
      </c>
      <c r="X259" s="317">
        <f t="shared" si="84"/>
        <v>0.8</v>
      </c>
      <c r="Y259" s="317">
        <f t="shared" si="84"/>
        <v>0.8</v>
      </c>
      <c r="Z259" s="317">
        <f t="shared" si="84"/>
        <v>0.8</v>
      </c>
      <c r="AA259" s="317">
        <f t="shared" si="84"/>
        <v>0.8</v>
      </c>
      <c r="AB259" s="317">
        <f t="shared" si="84"/>
        <v>0.8</v>
      </c>
      <c r="AC259" s="317">
        <f t="shared" si="84"/>
        <v>0.8</v>
      </c>
      <c r="AD259" s="317">
        <f t="shared" si="84"/>
        <v>0.8</v>
      </c>
      <c r="AE259" s="317">
        <f t="shared" si="84"/>
        <v>0.8</v>
      </c>
      <c r="AF259" s="317">
        <f t="shared" si="84"/>
        <v>0.8</v>
      </c>
      <c r="AG259" s="317">
        <f t="shared" si="84"/>
        <v>0.8</v>
      </c>
      <c r="AJ259" s="323" t="s">
        <v>1401</v>
      </c>
    </row>
    <row r="260" spans="1:37" s="181" customFormat="1">
      <c r="B260" s="350"/>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c r="AA260" s="327"/>
      <c r="AB260" s="327"/>
      <c r="AC260" s="327"/>
      <c r="AD260" s="327"/>
      <c r="AE260" s="327"/>
      <c r="AF260" s="327"/>
      <c r="AG260" s="327"/>
      <c r="AJ260" s="323"/>
    </row>
    <row r="261" spans="1:37" s="181" customFormat="1">
      <c r="A261" s="181" t="s">
        <v>1402</v>
      </c>
      <c r="B261" s="350" t="s">
        <v>704</v>
      </c>
      <c r="C261" s="327">
        <f>C195*C256*C259</f>
        <v>2.7464772534009043</v>
      </c>
      <c r="D261" s="327">
        <f t="shared" ref="D261:AF261" si="85">D195*D256*D259</f>
        <v>2.9518003489146762</v>
      </c>
      <c r="E261" s="327">
        <f t="shared" si="85"/>
        <v>3.1629452319277296</v>
      </c>
      <c r="F261" s="327">
        <f t="shared" si="85"/>
        <v>3.3791283688843516</v>
      </c>
      <c r="G261" s="327">
        <f t="shared" si="85"/>
        <v>3.5994720654385732</v>
      </c>
      <c r="H261" s="327">
        <f t="shared" si="85"/>
        <v>3.8230077313554869</v>
      </c>
      <c r="I261" s="327">
        <f t="shared" si="85"/>
        <v>4.0574154880902533</v>
      </c>
      <c r="J261" s="327">
        <f t="shared" si="85"/>
        <v>4.3030774473986879</v>
      </c>
      <c r="K261" s="327">
        <f t="shared" si="85"/>
        <v>4.5603747519080473</v>
      </c>
      <c r="L261" s="327">
        <f t="shared" si="85"/>
        <v>4.8296862861949235</v>
      </c>
      <c r="M261" s="327">
        <f t="shared" si="85"/>
        <v>5.1113873241402947</v>
      </c>
      <c r="N261" s="327">
        <f t="shared" si="85"/>
        <v>5.109289799830683</v>
      </c>
      <c r="O261" s="327">
        <f t="shared" si="85"/>
        <v>5.089645645599969</v>
      </c>
      <c r="P261" s="327">
        <f t="shared" si="85"/>
        <v>5.0524685837618</v>
      </c>
      <c r="Q261" s="327">
        <f t="shared" si="85"/>
        <v>4.9978502713112833</v>
      </c>
      <c r="R261" s="327">
        <f t="shared" si="85"/>
        <v>5.2227241821460382</v>
      </c>
      <c r="S261" s="327">
        <f t="shared" si="85"/>
        <v>5.5537911275164316</v>
      </c>
      <c r="T261" s="327">
        <f t="shared" si="85"/>
        <v>5.882674274905531</v>
      </c>
      <c r="U261" s="327">
        <f t="shared" si="85"/>
        <v>6.2086274598118347</v>
      </c>
      <c r="V261" s="327">
        <f t="shared" si="85"/>
        <v>6.5309044123290692</v>
      </c>
      <c r="W261" s="327">
        <f t="shared" si="85"/>
        <v>6.8487593774280136</v>
      </c>
      <c r="X261" s="327">
        <f t="shared" si="85"/>
        <v>7.3672911480932974</v>
      </c>
      <c r="Y261" s="327">
        <f t="shared" si="85"/>
        <v>7.8783407602320841</v>
      </c>
      <c r="Z261" s="327">
        <f t="shared" si="85"/>
        <v>8.38093734239893</v>
      </c>
      <c r="AA261" s="327">
        <f t="shared" si="85"/>
        <v>8.8734862163197228</v>
      </c>
      <c r="AB261" s="327">
        <f t="shared" si="85"/>
        <v>9.3546779377189644</v>
      </c>
      <c r="AC261" s="327">
        <f t="shared" si="85"/>
        <v>9.8232985249524649</v>
      </c>
      <c r="AD261" s="327">
        <f t="shared" si="85"/>
        <v>10.278057727647594</v>
      </c>
      <c r="AE261" s="327">
        <f t="shared" si="85"/>
        <v>10.717669028036433</v>
      </c>
      <c r="AF261" s="327">
        <f t="shared" si="85"/>
        <v>11.140850519629746</v>
      </c>
      <c r="AG261" s="327">
        <f>AG195*AG256*AG259</f>
        <v>11.546325792961197</v>
      </c>
      <c r="AJ261" s="323"/>
    </row>
    <row r="262" spans="1:37" s="181" customFormat="1">
      <c r="A262" s="181" t="s">
        <v>1403</v>
      </c>
      <c r="B262" s="350" t="s">
        <v>704</v>
      </c>
      <c r="C262" s="327">
        <f>C256*C259-C261</f>
        <v>9.7375102620577536</v>
      </c>
      <c r="D262" s="327">
        <f t="shared" ref="D262:AG262" si="86">D256*D259-D261</f>
        <v>10.070848249238306</v>
      </c>
      <c r="E262" s="327">
        <f t="shared" si="86"/>
        <v>10.392534333476828</v>
      </c>
      <c r="F262" s="327">
        <f t="shared" si="86"/>
        <v>10.700573168133781</v>
      </c>
      <c r="G262" s="327">
        <f t="shared" si="86"/>
        <v>10.992982253906998</v>
      </c>
      <c r="H262" s="327">
        <f t="shared" si="86"/>
        <v>11.267812260837227</v>
      </c>
      <c r="I262" s="327">
        <f t="shared" si="86"/>
        <v>11.548028696872263</v>
      </c>
      <c r="J262" s="327">
        <f t="shared" si="86"/>
        <v>11.833462980346393</v>
      </c>
      <c r="K262" s="327">
        <f t="shared" si="86"/>
        <v>12.123923120926278</v>
      </c>
      <c r="L262" s="327">
        <f t="shared" si="86"/>
        <v>12.419193307358377</v>
      </c>
      <c r="M262" s="327">
        <f t="shared" si="86"/>
        <v>12.719033574023527</v>
      </c>
      <c r="N262" s="327">
        <f t="shared" si="86"/>
        <v>12.308743608683013</v>
      </c>
      <c r="O262" s="327">
        <f t="shared" si="86"/>
        <v>11.875839839733267</v>
      </c>
      <c r="P262" s="327">
        <f t="shared" si="86"/>
        <v>11.422972450244075</v>
      </c>
      <c r="Q262" s="327">
        <f t="shared" si="86"/>
        <v>10.952735700958776</v>
      </c>
      <c r="R262" s="327">
        <f t="shared" si="86"/>
        <v>11.098288887060342</v>
      </c>
      <c r="S262" s="327">
        <f t="shared" si="86"/>
        <v>11.447610283248165</v>
      </c>
      <c r="T262" s="327">
        <f t="shared" si="86"/>
        <v>11.765348549811071</v>
      </c>
      <c r="U262" s="327">
        <f t="shared" si="86"/>
        <v>12.052041539634748</v>
      </c>
      <c r="V262" s="327">
        <f t="shared" si="86"/>
        <v>12.308242930927875</v>
      </c>
      <c r="W262" s="327">
        <f t="shared" si="86"/>
        <v>12.534521879443737</v>
      </c>
      <c r="X262" s="327">
        <f t="shared" si="86"/>
        <v>13.09740648549921</v>
      </c>
      <c r="Y262" s="327">
        <f t="shared" si="86"/>
        <v>13.608043131309977</v>
      </c>
      <c r="Z262" s="327">
        <f t="shared" si="86"/>
        <v>14.068001967598221</v>
      </c>
      <c r="AA262" s="327">
        <f t="shared" si="86"/>
        <v>14.477793300311145</v>
      </c>
      <c r="AB262" s="327">
        <f t="shared" si="86"/>
        <v>14.838454659830099</v>
      </c>
      <c r="AC262" s="327">
        <f t="shared" si="86"/>
        <v>15.151189250350432</v>
      </c>
      <c r="AD262" s="327">
        <f t="shared" si="86"/>
        <v>15.417086591471412</v>
      </c>
      <c r="AE262" s="327">
        <f t="shared" si="86"/>
        <v>15.63725481139744</v>
      </c>
      <c r="AF262" s="327">
        <f t="shared" si="86"/>
        <v>15.812820092377725</v>
      </c>
      <c r="AG262" s="327">
        <f t="shared" si="86"/>
        <v>15.944926095041653</v>
      </c>
      <c r="AJ262" s="323"/>
    </row>
    <row r="263" spans="1:37" s="181" customFormat="1">
      <c r="B263" s="176"/>
      <c r="C263" s="327"/>
      <c r="D263" s="327"/>
      <c r="E263" s="327"/>
      <c r="F263" s="327"/>
      <c r="G263" s="327"/>
      <c r="H263" s="327"/>
      <c r="I263" s="327"/>
      <c r="J263" s="327"/>
      <c r="K263" s="327"/>
      <c r="L263" s="327"/>
      <c r="M263" s="327"/>
      <c r="N263" s="327"/>
      <c r="O263" s="327"/>
      <c r="P263" s="327"/>
      <c r="Q263" s="327"/>
      <c r="R263" s="327"/>
      <c r="S263" s="327"/>
      <c r="T263" s="327"/>
      <c r="U263" s="327"/>
      <c r="V263" s="327"/>
      <c r="W263" s="327"/>
      <c r="X263" s="327"/>
      <c r="Y263" s="327"/>
      <c r="Z263" s="327"/>
      <c r="AA263" s="327"/>
      <c r="AB263" s="327"/>
      <c r="AC263" s="327"/>
      <c r="AD263" s="327"/>
      <c r="AE263" s="327"/>
      <c r="AF263" s="327"/>
      <c r="AG263" s="327"/>
      <c r="AJ263" s="323"/>
    </row>
    <row r="264" spans="1:37" s="181" customFormat="1">
      <c r="B264" s="210" t="s">
        <v>492</v>
      </c>
      <c r="C264" s="331">
        <v>0</v>
      </c>
      <c r="D264" s="331">
        <f>C264+1</f>
        <v>1</v>
      </c>
      <c r="E264" s="331">
        <f t="shared" ref="E264:AG264" si="87">D264+1</f>
        <v>2</v>
      </c>
      <c r="F264" s="331">
        <f t="shared" si="87"/>
        <v>3</v>
      </c>
      <c r="G264" s="331">
        <f t="shared" si="87"/>
        <v>4</v>
      </c>
      <c r="H264" s="331">
        <f t="shared" si="87"/>
        <v>5</v>
      </c>
      <c r="I264" s="331">
        <f t="shared" si="87"/>
        <v>6</v>
      </c>
      <c r="J264" s="331">
        <f t="shared" si="87"/>
        <v>7</v>
      </c>
      <c r="K264" s="331">
        <f t="shared" si="87"/>
        <v>8</v>
      </c>
      <c r="L264" s="331">
        <f t="shared" si="87"/>
        <v>9</v>
      </c>
      <c r="M264" s="331">
        <f t="shared" si="87"/>
        <v>10</v>
      </c>
      <c r="N264" s="331">
        <f t="shared" si="87"/>
        <v>11</v>
      </c>
      <c r="O264" s="331">
        <f t="shared" si="87"/>
        <v>12</v>
      </c>
      <c r="P264" s="331">
        <f t="shared" si="87"/>
        <v>13</v>
      </c>
      <c r="Q264" s="331">
        <f t="shared" si="87"/>
        <v>14</v>
      </c>
      <c r="R264" s="331">
        <f t="shared" si="87"/>
        <v>15</v>
      </c>
      <c r="S264" s="331">
        <f t="shared" si="87"/>
        <v>16</v>
      </c>
      <c r="T264" s="331">
        <f t="shared" si="87"/>
        <v>17</v>
      </c>
      <c r="U264" s="331">
        <f t="shared" si="87"/>
        <v>18</v>
      </c>
      <c r="V264" s="331">
        <f t="shared" si="87"/>
        <v>19</v>
      </c>
      <c r="W264" s="331">
        <f t="shared" si="87"/>
        <v>20</v>
      </c>
      <c r="X264" s="331">
        <f t="shared" si="87"/>
        <v>21</v>
      </c>
      <c r="Y264" s="331">
        <f t="shared" si="87"/>
        <v>22</v>
      </c>
      <c r="Z264" s="331">
        <f t="shared" si="87"/>
        <v>23</v>
      </c>
      <c r="AA264" s="331">
        <f t="shared" si="87"/>
        <v>24</v>
      </c>
      <c r="AB264" s="331">
        <f t="shared" si="87"/>
        <v>25</v>
      </c>
      <c r="AC264" s="331">
        <f t="shared" si="87"/>
        <v>26</v>
      </c>
      <c r="AD264" s="331">
        <f t="shared" si="87"/>
        <v>27</v>
      </c>
      <c r="AE264" s="331">
        <f t="shared" si="87"/>
        <v>28</v>
      </c>
      <c r="AF264" s="331">
        <f t="shared" si="87"/>
        <v>29</v>
      </c>
      <c r="AG264" s="331">
        <f t="shared" si="87"/>
        <v>30</v>
      </c>
      <c r="AJ264" s="323" t="s">
        <v>493</v>
      </c>
      <c r="AK264" s="181">
        <f>'Ethylene Recycling HC'!AK306</f>
        <v>1.9</v>
      </c>
    </row>
    <row r="265" spans="1:37" s="181" customFormat="1">
      <c r="A265" s="181" t="s">
        <v>1404</v>
      </c>
      <c r="B265" s="176"/>
      <c r="C265" s="333">
        <f>$AK$266/((1+EXP(-$AK$265*(C264-$AK$267)))^$AK$264)</f>
        <v>4.6088632748610021E-5</v>
      </c>
      <c r="D265" s="333">
        <f t="shared" ref="D265:AG265" si="88">$AK$266/((1+EXP(-$AK$265*(D264-$AK$267)))^$AK$264)</f>
        <v>8.924759460408035E-5</v>
      </c>
      <c r="E265" s="333">
        <f t="shared" si="88"/>
        <v>1.7252431976790472E-4</v>
      </c>
      <c r="F265" s="333">
        <f t="shared" si="88"/>
        <v>3.3269643715580369E-4</v>
      </c>
      <c r="G265" s="333">
        <f t="shared" si="88"/>
        <v>6.393827369910735E-4</v>
      </c>
      <c r="H265" s="333">
        <f t="shared" si="88"/>
        <v>1.2229053771654547E-3</v>
      </c>
      <c r="I265" s="333">
        <f t="shared" si="88"/>
        <v>2.3234018804222717E-3</v>
      </c>
      <c r="J265" s="333">
        <f t="shared" si="88"/>
        <v>4.3736281679830789E-3</v>
      </c>
      <c r="K265" s="333">
        <f t="shared" si="88"/>
        <v>8.1294184230466908E-3</v>
      </c>
      <c r="L265" s="333">
        <f t="shared" si="88"/>
        <v>1.4853985082038716E-2</v>
      </c>
      <c r="M265" s="333">
        <f t="shared" si="88"/>
        <v>2.6531412096832362E-2</v>
      </c>
      <c r="N265" s="333">
        <f t="shared" si="88"/>
        <v>4.6014759335105015E-2</v>
      </c>
      <c r="O265" s="333">
        <f t="shared" si="88"/>
        <v>7.6910635328419796E-2</v>
      </c>
      <c r="P265" s="333">
        <f t="shared" si="88"/>
        <v>0.12294065829885638</v>
      </c>
      <c r="Q265" s="333">
        <f t="shared" si="88"/>
        <v>0.18666754187878853</v>
      </c>
      <c r="R265" s="333">
        <f t="shared" si="88"/>
        <v>0.26794336563407328</v>
      </c>
      <c r="S265" s="333">
        <f t="shared" si="88"/>
        <v>0.36297326582455031</v>
      </c>
      <c r="T265" s="333">
        <f t="shared" si="88"/>
        <v>0.46484396312424381</v>
      </c>
      <c r="U265" s="333">
        <f t="shared" si="88"/>
        <v>0.56546260593861253</v>
      </c>
      <c r="V265" s="333">
        <f t="shared" si="88"/>
        <v>0.6578403022607352</v>
      </c>
      <c r="W265" s="333">
        <f t="shared" si="88"/>
        <v>0.73754668886795227</v>
      </c>
      <c r="X265" s="333">
        <f t="shared" si="88"/>
        <v>0.80293052021410605</v>
      </c>
      <c r="Y265" s="333">
        <f t="shared" si="88"/>
        <v>0.85447682949112158</v>
      </c>
      <c r="Z265" s="333">
        <f t="shared" si="88"/>
        <v>0.89389910336617451</v>
      </c>
      <c r="AA265" s="333">
        <f t="shared" si="88"/>
        <v>0.92337223319290385</v>
      </c>
      <c r="AB265" s="333">
        <f t="shared" si="88"/>
        <v>0.94504210708611314</v>
      </c>
      <c r="AC265" s="333">
        <f t="shared" si="88"/>
        <v>0.96078240575184182</v>
      </c>
      <c r="AD265" s="333">
        <f t="shared" si="88"/>
        <v>0.97211605463477313</v>
      </c>
      <c r="AE265" s="333">
        <f t="shared" si="88"/>
        <v>0.98022577885232642</v>
      </c>
      <c r="AF265" s="333">
        <f t="shared" si="88"/>
        <v>0.98600279580400285</v>
      </c>
      <c r="AG265" s="333">
        <f t="shared" si="88"/>
        <v>0.9901050637460882</v>
      </c>
      <c r="AI265" s="176" t="s">
        <v>494</v>
      </c>
      <c r="AJ265" s="323" t="s">
        <v>495</v>
      </c>
      <c r="AK265" s="181">
        <f>'Ethylene Recycling HC'!AK307</f>
        <v>0.35</v>
      </c>
    </row>
    <row r="266" spans="1:37" s="181" customFormat="1">
      <c r="B266" s="176"/>
      <c r="C266" s="329">
        <v>0</v>
      </c>
      <c r="D266" s="329">
        <v>0</v>
      </c>
      <c r="E266" s="329">
        <v>0</v>
      </c>
      <c r="F266" s="329">
        <v>0</v>
      </c>
      <c r="G266" s="329">
        <v>0</v>
      </c>
      <c r="H266" s="329">
        <v>0</v>
      </c>
      <c r="I266" s="329">
        <v>0</v>
      </c>
      <c r="J266" s="329">
        <v>0</v>
      </c>
      <c r="K266" s="329">
        <v>0</v>
      </c>
      <c r="L266" s="329">
        <v>0</v>
      </c>
      <c r="M266" s="329">
        <f>C265</f>
        <v>4.6088632748610021E-5</v>
      </c>
      <c r="N266" s="329">
        <v>0</v>
      </c>
      <c r="O266" s="329">
        <v>0</v>
      </c>
      <c r="P266" s="329">
        <v>0</v>
      </c>
      <c r="Q266" s="329">
        <v>0</v>
      </c>
      <c r="R266" s="329">
        <f t="shared" ref="R266:AG266" si="89">C265</f>
        <v>4.6088632748610021E-5</v>
      </c>
      <c r="S266" s="329">
        <f t="shared" si="89"/>
        <v>8.924759460408035E-5</v>
      </c>
      <c r="T266" s="329">
        <f t="shared" si="89"/>
        <v>1.7252431976790472E-4</v>
      </c>
      <c r="U266" s="329">
        <f t="shared" si="89"/>
        <v>3.3269643715580369E-4</v>
      </c>
      <c r="V266" s="329">
        <f t="shared" si="89"/>
        <v>6.393827369910735E-4</v>
      </c>
      <c r="W266" s="329">
        <f t="shared" si="89"/>
        <v>1.2229053771654547E-3</v>
      </c>
      <c r="X266" s="329">
        <f t="shared" si="89"/>
        <v>2.3234018804222717E-3</v>
      </c>
      <c r="Y266" s="329">
        <f t="shared" si="89"/>
        <v>4.3736281679830789E-3</v>
      </c>
      <c r="Z266" s="329">
        <f t="shared" si="89"/>
        <v>8.1294184230466908E-3</v>
      </c>
      <c r="AA266" s="329">
        <f t="shared" si="89"/>
        <v>1.4853985082038716E-2</v>
      </c>
      <c r="AB266" s="329">
        <f t="shared" si="89"/>
        <v>2.6531412096832362E-2</v>
      </c>
      <c r="AC266" s="329">
        <f t="shared" si="89"/>
        <v>4.6014759335105015E-2</v>
      </c>
      <c r="AD266" s="329">
        <f t="shared" si="89"/>
        <v>7.6910635328419796E-2</v>
      </c>
      <c r="AE266" s="329">
        <f t="shared" si="89"/>
        <v>0.12294065829885638</v>
      </c>
      <c r="AF266" s="329">
        <f t="shared" si="89"/>
        <v>0.18666754187878853</v>
      </c>
      <c r="AG266" s="329">
        <f t="shared" si="89"/>
        <v>0.26794336563407328</v>
      </c>
      <c r="AI266" s="176" t="s">
        <v>496</v>
      </c>
      <c r="AJ266" s="323" t="s">
        <v>497</v>
      </c>
      <c r="AK266" s="181">
        <f>'Ethylene Recycling HC'!AK308</f>
        <v>1</v>
      </c>
    </row>
    <row r="267" spans="1:37" s="181" customFormat="1">
      <c r="B267" s="176"/>
      <c r="C267" s="327"/>
      <c r="D267" s="327"/>
      <c r="E267" s="327"/>
      <c r="F267" s="327"/>
      <c r="G267" s="327"/>
      <c r="H267" s="327"/>
      <c r="I267" s="327"/>
      <c r="J267" s="327"/>
      <c r="K267" s="327"/>
      <c r="L267" s="327"/>
      <c r="M267" s="327"/>
      <c r="N267" s="327"/>
      <c r="O267" s="327"/>
      <c r="P267" s="327"/>
      <c r="Q267" s="327"/>
      <c r="R267" s="327"/>
      <c r="S267" s="327"/>
      <c r="T267" s="327"/>
      <c r="U267" s="327"/>
      <c r="V267" s="327"/>
      <c r="W267" s="327"/>
      <c r="X267" s="327"/>
      <c r="Y267" s="327"/>
      <c r="Z267" s="327"/>
      <c r="AA267" s="327"/>
      <c r="AB267" s="327"/>
      <c r="AC267" s="327"/>
      <c r="AD267" s="327"/>
      <c r="AE267" s="327"/>
      <c r="AF267" s="327"/>
      <c r="AG267" s="327"/>
      <c r="AJ267" s="323" t="s">
        <v>498</v>
      </c>
      <c r="AK267" s="181">
        <f>'Ethylene Recycling HC'!AK309</f>
        <v>15</v>
      </c>
    </row>
    <row r="268" spans="1:37" s="181" customFormat="1">
      <c r="A268" s="181" t="s">
        <v>1405</v>
      </c>
      <c r="B268" s="176"/>
      <c r="C268" s="328">
        <f>'Ethylene Recycling HC'!C310</f>
        <v>8.5469247930390777E-2</v>
      </c>
      <c r="D268" s="328">
        <f>'Ethylene Recycling HC'!D310</f>
        <v>8.5469247930390777E-2</v>
      </c>
      <c r="E268" s="328">
        <f>'Ethylene Recycling HC'!E310</f>
        <v>8.5469247930390777E-2</v>
      </c>
      <c r="F268" s="328">
        <f>'Ethylene Recycling HC'!F310</f>
        <v>8.5469247930390777E-2</v>
      </c>
      <c r="G268" s="328">
        <f>'Ethylene Recycling HC'!G310</f>
        <v>8.5469247930390777E-2</v>
      </c>
      <c r="H268" s="328">
        <f>'Ethylene Recycling HC'!H310</f>
        <v>8.5469247930390777E-2</v>
      </c>
      <c r="I268" s="328">
        <f>'Ethylene Recycling HC'!I310</f>
        <v>8.5469247930390777E-2</v>
      </c>
      <c r="J268" s="328">
        <f>'Ethylene Recycling HC'!J310</f>
        <v>8.5469247930390777E-2</v>
      </c>
      <c r="K268" s="328">
        <f>'Ethylene Recycling HC'!K310</f>
        <v>8.5469247930390777E-2</v>
      </c>
      <c r="L268" s="328">
        <f>'Ethylene Recycling HC'!L310</f>
        <v>8.5469247930390777E-2</v>
      </c>
      <c r="M268" s="328">
        <f>'Ethylene Recycling HC'!M310</f>
        <v>8.5469247930390777E-2</v>
      </c>
      <c r="N268" s="328">
        <f>'Ethylene Recycling HC'!N310</f>
        <v>8.5469247930390777E-2</v>
      </c>
      <c r="O268" s="328">
        <f>'Ethylene Recycling HC'!O310</f>
        <v>8.5469247930390777E-2</v>
      </c>
      <c r="P268" s="328">
        <f>'Ethylene Recycling HC'!P310</f>
        <v>8.5469247930390777E-2</v>
      </c>
      <c r="Q268" s="328">
        <f>'Ethylene Recycling HC'!Q310</f>
        <v>8.5469247930390777E-2</v>
      </c>
      <c r="R268" s="328">
        <f>'Ethylene Recycling HC'!R310</f>
        <v>8.5469247930390777E-2</v>
      </c>
      <c r="S268" s="328">
        <f>'Ethylene Recycling HC'!S310</f>
        <v>8.5469247930390777E-2</v>
      </c>
      <c r="T268" s="328">
        <f>'Ethylene Recycling HC'!T310</f>
        <v>8.5469247930390777E-2</v>
      </c>
      <c r="U268" s="328">
        <f>'Ethylene Recycling HC'!U310</f>
        <v>8.5469247930390777E-2</v>
      </c>
      <c r="V268" s="328">
        <f>'Ethylene Recycling HC'!V310</f>
        <v>8.5469247930390777E-2</v>
      </c>
      <c r="W268" s="328">
        <f>'Ethylene Recycling HC'!W310</f>
        <v>8.5469247930390777E-2</v>
      </c>
      <c r="X268" s="328">
        <f>'Ethylene Recycling HC'!X310</f>
        <v>8.5469247930390777E-2</v>
      </c>
      <c r="Y268" s="328">
        <f>'Ethylene Recycling HC'!Y310</f>
        <v>8.5469247930390777E-2</v>
      </c>
      <c r="Z268" s="328">
        <f>'Ethylene Recycling HC'!Z310</f>
        <v>8.5469247930390777E-2</v>
      </c>
      <c r="AA268" s="328">
        <f>'Ethylene Recycling HC'!AA310</f>
        <v>8.5469247930390777E-2</v>
      </c>
      <c r="AB268" s="328">
        <f>'Ethylene Recycling HC'!AB310</f>
        <v>8.5469247930390777E-2</v>
      </c>
      <c r="AC268" s="328">
        <f>'Ethylene Recycling HC'!AC310</f>
        <v>8.5469247930390777E-2</v>
      </c>
      <c r="AD268" s="328">
        <f>'Ethylene Recycling HC'!AD310</f>
        <v>8.5469247930390777E-2</v>
      </c>
      <c r="AE268" s="328">
        <f>'Ethylene Recycling HC'!AE310</f>
        <v>8.5469247930390777E-2</v>
      </c>
      <c r="AF268" s="328">
        <f>'Ethylene Recycling HC'!AF310</f>
        <v>8.5469247930390777E-2</v>
      </c>
      <c r="AG268" s="328">
        <f>'Ethylene Recycling HC'!AG310</f>
        <v>8.5469247930390777E-2</v>
      </c>
      <c r="AI268" s="181" t="s">
        <v>1406</v>
      </c>
      <c r="AJ268" s="323"/>
    </row>
    <row r="269" spans="1:37" s="300" customFormat="1" ht="16" thickBot="1">
      <c r="A269" s="334" t="s">
        <v>1407</v>
      </c>
      <c r="B269" s="335"/>
      <c r="C269" s="336">
        <f>C268*(C261*C265+C262*C266)</f>
        <v>1.0818815477462023E-5</v>
      </c>
      <c r="D269" s="336">
        <f t="shared" ref="D269:AG269" si="90">D268*(D261*D265+D262*D266)</f>
        <v>2.2516111057818729E-5</v>
      </c>
      <c r="E269" s="336">
        <f t="shared" si="90"/>
        <v>4.663928438610196E-5</v>
      </c>
      <c r="F269" s="336">
        <f t="shared" si="90"/>
        <v>9.608657713745202E-5</v>
      </c>
      <c r="G269" s="336">
        <f t="shared" si="90"/>
        <v>1.9670237167658338E-4</v>
      </c>
      <c r="H269" s="336">
        <f t="shared" si="90"/>
        <v>3.9958383748381587E-4</v>
      </c>
      <c r="I269" s="336">
        <f t="shared" si="90"/>
        <v>8.057191792668842E-4</v>
      </c>
      <c r="J269" s="336">
        <f t="shared" si="90"/>
        <v>1.6085364368499963E-3</v>
      </c>
      <c r="K269" s="336">
        <f t="shared" si="90"/>
        <v>3.1686180543568881E-3</v>
      </c>
      <c r="L269" s="336">
        <f t="shared" si="90"/>
        <v>6.1315713717573096E-3</v>
      </c>
      <c r="M269" s="336">
        <f t="shared" si="90"/>
        <v>1.1640785616413447E-2</v>
      </c>
      <c r="N269" s="336">
        <f t="shared" si="90"/>
        <v>2.0094054417978537E-2</v>
      </c>
      <c r="O269" s="336">
        <f t="shared" si="90"/>
        <v>3.3456755924607139E-2</v>
      </c>
      <c r="P269" s="336">
        <f t="shared" si="90"/>
        <v>5.3089549307910509E-2</v>
      </c>
      <c r="Q269" s="336">
        <f t="shared" si="90"/>
        <v>7.9737374596567448E-2</v>
      </c>
      <c r="R269" s="336">
        <f t="shared" si="90"/>
        <v>0.11964889590822324</v>
      </c>
      <c r="S269" s="336">
        <f t="shared" si="90"/>
        <v>0.17238287272772146</v>
      </c>
      <c r="T269" s="336">
        <f t="shared" si="90"/>
        <v>0.23389133473316545</v>
      </c>
      <c r="U269" s="336">
        <f t="shared" si="90"/>
        <v>0.30040358052623417</v>
      </c>
      <c r="V269" s="336">
        <f t="shared" si="90"/>
        <v>0.36787347293083217</v>
      </c>
      <c r="W269" s="336">
        <f t="shared" si="90"/>
        <v>0.43303920402567814</v>
      </c>
      <c r="X269" s="336">
        <f t="shared" si="90"/>
        <v>0.50818762292918385</v>
      </c>
      <c r="Y269" s="336">
        <f t="shared" si="90"/>
        <v>0.58045381239767557</v>
      </c>
      <c r="Z269" s="336">
        <f t="shared" si="90"/>
        <v>0.65008568517345078</v>
      </c>
      <c r="AA269" s="336">
        <f t="shared" si="90"/>
        <v>0.71867532580841453</v>
      </c>
      <c r="AB269" s="336">
        <f t="shared" si="90"/>
        <v>0.78924437747359677</v>
      </c>
      <c r="AC269" s="336">
        <f t="shared" si="90"/>
        <v>0.86625054691613579</v>
      </c>
      <c r="AD269" s="336">
        <f t="shared" si="90"/>
        <v>0.9553071217406065</v>
      </c>
      <c r="AE269" s="336">
        <f t="shared" si="90"/>
        <v>1.0622280414094987</v>
      </c>
      <c r="AF269" s="336">
        <f t="shared" si="90"/>
        <v>1.1911549956053977</v>
      </c>
      <c r="AG269" s="336">
        <f t="shared" si="90"/>
        <v>1.34224435103047</v>
      </c>
      <c r="AJ269" s="326"/>
    </row>
    <row r="270" spans="1:37" s="230" customFormat="1">
      <c r="A270" s="325" t="s">
        <v>1408</v>
      </c>
      <c r="B270" s="324"/>
      <c r="C270" s="330">
        <v>0.25</v>
      </c>
      <c r="D270" s="330">
        <v>0.25</v>
      </c>
      <c r="E270" s="330">
        <v>0.25</v>
      </c>
      <c r="F270" s="330">
        <v>0.25</v>
      </c>
      <c r="G270" s="330">
        <v>0.25</v>
      </c>
      <c r="H270" s="330">
        <v>0.25</v>
      </c>
      <c r="I270" s="330">
        <v>0.25</v>
      </c>
      <c r="J270" s="330">
        <v>0.25</v>
      </c>
      <c r="K270" s="330">
        <v>0.25</v>
      </c>
      <c r="L270" s="330">
        <v>0.25</v>
      </c>
      <c r="M270" s="330">
        <v>0.25</v>
      </c>
      <c r="N270" s="330">
        <v>0.25</v>
      </c>
      <c r="O270" s="330">
        <v>0.25</v>
      </c>
      <c r="P270" s="330">
        <v>0.25</v>
      </c>
      <c r="Q270" s="330">
        <v>0.25</v>
      </c>
      <c r="R270" s="330">
        <v>0.25</v>
      </c>
      <c r="S270" s="330">
        <v>0.25</v>
      </c>
      <c r="T270" s="330">
        <v>0.25</v>
      </c>
      <c r="U270" s="330">
        <v>0.25</v>
      </c>
      <c r="V270" s="330">
        <v>0.25</v>
      </c>
      <c r="W270" s="330">
        <v>0.25</v>
      </c>
      <c r="X270" s="330">
        <v>0.25</v>
      </c>
      <c r="Y270" s="330">
        <v>0.25</v>
      </c>
      <c r="Z270" s="330">
        <v>0.25</v>
      </c>
      <c r="AA270" s="330">
        <v>0.25</v>
      </c>
      <c r="AB270" s="330">
        <v>0.25</v>
      </c>
      <c r="AC270" s="330">
        <v>0.25</v>
      </c>
      <c r="AD270" s="330">
        <v>0.25</v>
      </c>
      <c r="AE270" s="330">
        <v>0.25</v>
      </c>
      <c r="AF270" s="330">
        <v>0.25</v>
      </c>
      <c r="AG270" s="330">
        <v>0.25</v>
      </c>
      <c r="AI270" s="230" t="s">
        <v>1409</v>
      </c>
      <c r="AJ270" s="230" t="s">
        <v>1410</v>
      </c>
    </row>
    <row r="271" spans="1:37" s="230" customFormat="1" ht="16" thickBot="1">
      <c r="A271" s="301" t="s">
        <v>1411</v>
      </c>
      <c r="B271" s="335"/>
      <c r="C271" s="336">
        <f>C270*(C261*C265+C262*C266)</f>
        <v>3.1645345371101353E-5</v>
      </c>
      <c r="D271" s="336">
        <f t="shared" ref="D271:AF271" si="91">D270*(D261*D265+D262*D266)</f>
        <v>6.5860270223029984E-5</v>
      </c>
      <c r="E271" s="336">
        <f t="shared" si="91"/>
        <v>1.3642124365036728E-4</v>
      </c>
      <c r="F271" s="336">
        <f t="shared" si="91"/>
        <v>2.8105599225498152E-4</v>
      </c>
      <c r="G271" s="336">
        <f t="shared" si="91"/>
        <v>5.7536007523075687E-4</v>
      </c>
      <c r="H271" s="336">
        <f t="shared" si="91"/>
        <v>1.1687941779049329E-3</v>
      </c>
      <c r="I271" s="336">
        <f t="shared" si="91"/>
        <v>2.3567516936708359E-3</v>
      </c>
      <c r="J271" s="336">
        <f t="shared" si="91"/>
        <v>4.7050151832389066E-3</v>
      </c>
      <c r="K271" s="336">
        <f t="shared" si="91"/>
        <v>9.2682986310395656E-3</v>
      </c>
      <c r="L271" s="336">
        <f t="shared" si="91"/>
        <v>1.7935022011516592E-2</v>
      </c>
      <c r="M271" s="336">
        <f t="shared" si="91"/>
        <v>3.4049631587650453E-2</v>
      </c>
      <c r="N271" s="336">
        <f t="shared" si="91"/>
        <v>5.8775685128128939E-2</v>
      </c>
      <c r="O271" s="336">
        <f t="shared" si="91"/>
        <v>9.786197004990474E-2</v>
      </c>
      <c r="P271" s="336">
        <f t="shared" si="91"/>
        <v>0.15528845343049158</v>
      </c>
      <c r="Q271" s="336">
        <f t="shared" si="91"/>
        <v>0.2332341062059784</v>
      </c>
      <c r="R271" s="336">
        <f t="shared" si="91"/>
        <v>0.3499764500258315</v>
      </c>
      <c r="S271" s="336">
        <f t="shared" si="91"/>
        <v>0.50422484373594889</v>
      </c>
      <c r="T271" s="336">
        <f t="shared" si="91"/>
        <v>0.68413885811787811</v>
      </c>
      <c r="U271" s="336">
        <f t="shared" si="91"/>
        <v>0.87868908350197961</v>
      </c>
      <c r="V271" s="336">
        <f t="shared" si="91"/>
        <v>1.076040452673813</v>
      </c>
      <c r="W271" s="336">
        <f t="shared" si="91"/>
        <v>1.2666520839704849</v>
      </c>
      <c r="X271" s="336">
        <f t="shared" si="91"/>
        <v>1.4864633632410984</v>
      </c>
      <c r="Y271" s="336">
        <f t="shared" si="91"/>
        <v>1.6978440388010025</v>
      </c>
      <c r="Z271" s="336">
        <f t="shared" si="91"/>
        <v>1.9015192625273358</v>
      </c>
      <c r="AA271" s="336">
        <f t="shared" si="91"/>
        <v>2.1021459273683134</v>
      </c>
      <c r="AB271" s="336">
        <f t="shared" si="91"/>
        <v>2.3085624262085052</v>
      </c>
      <c r="AC271" s="336">
        <f t="shared" si="91"/>
        <v>2.5338076790544632</v>
      </c>
      <c r="AD271" s="336">
        <f t="shared" si="91"/>
        <v>2.7943007130431372</v>
      </c>
      <c r="AE271" s="336">
        <f t="shared" si="91"/>
        <v>3.1070474677471576</v>
      </c>
      <c r="AF271" s="336">
        <f t="shared" si="91"/>
        <v>3.4841625042012687</v>
      </c>
      <c r="AG271" s="336">
        <f>AG270*(AG261*AG265+AG262*AG266)</f>
        <v>3.9261031994912425</v>
      </c>
      <c r="AJ271" s="325"/>
    </row>
    <row r="272" spans="1:37" s="230" customFormat="1">
      <c r="A272" s="326"/>
      <c r="B272" s="324"/>
      <c r="AJ272" s="325"/>
    </row>
    <row r="273" spans="1:36" s="230" customFormat="1">
      <c r="A273" s="326" t="s">
        <v>1412</v>
      </c>
      <c r="B273" s="324"/>
      <c r="C273" s="230">
        <f t="shared" ref="C273:AG273" si="92">SUM(C242:C243)-SUM(C269,C271)</f>
        <v>66.626767671197413</v>
      </c>
      <c r="D273" s="230">
        <f t="shared" si="92"/>
        <v>69.305242172428166</v>
      </c>
      <c r="E273" s="230">
        <f t="shared" si="92"/>
        <v>71.889584448249266</v>
      </c>
      <c r="F273" s="230">
        <f t="shared" si="92"/>
        <v>74.361950841859326</v>
      </c>
      <c r="G273" s="230">
        <f t="shared" si="92"/>
        <v>76.704799066183213</v>
      </c>
      <c r="H273" s="230">
        <f t="shared" si="92"/>
        <v>78.901044672919198</v>
      </c>
      <c r="I273" s="230">
        <f t="shared" si="92"/>
        <v>81.108785851316867</v>
      </c>
      <c r="J273" s="230">
        <f t="shared" si="92"/>
        <v>83.325077060227784</v>
      </c>
      <c r="K273" s="230">
        <f t="shared" si="92"/>
        <v>85.546247038051618</v>
      </c>
      <c r="L273" s="230">
        <f t="shared" si="92"/>
        <v>87.76743944623702</v>
      </c>
      <c r="M273" s="230">
        <f t="shared" si="92"/>
        <v>89.981781336646534</v>
      </c>
      <c r="N273" s="230">
        <f t="shared" si="92"/>
        <v>91.306171462571101</v>
      </c>
      <c r="O273" s="230">
        <f t="shared" si="92"/>
        <v>92.429171036953832</v>
      </c>
      <c r="P273" s="230">
        <f t="shared" si="92"/>
        <v>93.33876527627929</v>
      </c>
      <c r="Q273" s="230">
        <f t="shared" si="92"/>
        <v>94.023867930930265</v>
      </c>
      <c r="R273" s="230">
        <f t="shared" si="92"/>
        <v>94.454305709151015</v>
      </c>
      <c r="S273" s="230">
        <f t="shared" si="92"/>
        <v>94.799133284430539</v>
      </c>
      <c r="T273" s="230">
        <f t="shared" si="92"/>
        <v>95.073393772423273</v>
      </c>
      <c r="U273" s="230">
        <f t="shared" si="92"/>
        <v>95.291052959681906</v>
      </c>
      <c r="V273" s="230">
        <f t="shared" si="92"/>
        <v>95.467169454662582</v>
      </c>
      <c r="W273" s="230">
        <f t="shared" si="92"/>
        <v>95.613735848906714</v>
      </c>
      <c r="X273" s="230">
        <f t="shared" si="92"/>
        <v>94.509001717510671</v>
      </c>
      <c r="Y273" s="230">
        <f t="shared" si="92"/>
        <v>93.333579622966298</v>
      </c>
      <c r="Z273" s="230">
        <f t="shared" si="92"/>
        <v>92.089901916039636</v>
      </c>
      <c r="AA273" s="230">
        <f t="shared" si="92"/>
        <v>90.765854713346798</v>
      </c>
      <c r="AB273" s="230">
        <f t="shared" si="92"/>
        <v>89.348451158275722</v>
      </c>
      <c r="AC273" s="230">
        <f t="shared" si="92"/>
        <v>87.819961616053121</v>
      </c>
      <c r="AD273" s="230">
        <f t="shared" si="92"/>
        <v>86.157254805957578</v>
      </c>
      <c r="AE273" s="230">
        <f t="shared" si="92"/>
        <v>84.336440571600306</v>
      </c>
      <c r="AF273" s="230">
        <f t="shared" si="92"/>
        <v>82.340222135257008</v>
      </c>
      <c r="AG273" s="230">
        <f t="shared" si="92"/>
        <v>80.166976031267964</v>
      </c>
      <c r="AJ273" s="325"/>
    </row>
    <row r="274" spans="1:36" s="230" customFormat="1">
      <c r="A274" s="326"/>
      <c r="B274" s="324"/>
      <c r="AJ274" s="325"/>
    </row>
    <row r="275" spans="1:36" s="230" customFormat="1">
      <c r="A275" s="325" t="s">
        <v>1413</v>
      </c>
      <c r="B275" s="324" t="s">
        <v>704</v>
      </c>
      <c r="C275" s="327">
        <f>C195*C194*C50</f>
        <v>26.532252911123685</v>
      </c>
      <c r="D275" s="327">
        <f t="shared" ref="D275:AG275" si="93">D195*D194*D50</f>
        <v>28.387149276121264</v>
      </c>
      <c r="E275" s="327">
        <f t="shared" si="93"/>
        <v>30.265445246182733</v>
      </c>
      <c r="F275" s="327">
        <f t="shared" si="93"/>
        <v>32.156739571123971</v>
      </c>
      <c r="G275" s="327">
        <f t="shared" si="93"/>
        <v>34.049982524006246</v>
      </c>
      <c r="H275" s="327">
        <f t="shared" si="93"/>
        <v>35.933577955581427</v>
      </c>
      <c r="I275" s="327">
        <f t="shared" si="93"/>
        <v>37.877039939484142</v>
      </c>
      <c r="J275" s="327">
        <f t="shared" si="93"/>
        <v>39.880324379290258</v>
      </c>
      <c r="K275" s="327">
        <f t="shared" si="93"/>
        <v>41.943277549387176</v>
      </c>
      <c r="L275" s="327">
        <f t="shared" si="93"/>
        <v>44.065632476887735</v>
      </c>
      <c r="M275" s="327">
        <f t="shared" si="93"/>
        <v>46.247005517790463</v>
      </c>
      <c r="N275" s="327">
        <f t="shared" si="93"/>
        <v>48.417518552138048</v>
      </c>
      <c r="O275" s="327">
        <f t="shared" si="93"/>
        <v>50.566825620555811</v>
      </c>
      <c r="P275" s="327">
        <f t="shared" si="93"/>
        <v>52.685119394244211</v>
      </c>
      <c r="Q275" s="327">
        <f t="shared" si="93"/>
        <v>54.760871723485842</v>
      </c>
      <c r="R275" s="327">
        <f t="shared" si="93"/>
        <v>56.783199352741626</v>
      </c>
      <c r="S275" s="327">
        <f t="shared" si="93"/>
        <v>58.847051558961375</v>
      </c>
      <c r="T275" s="327">
        <f t="shared" si="93"/>
        <v>60.952645813168736</v>
      </c>
      <c r="U275" s="327">
        <f t="shared" si="93"/>
        <v>63.100184226724195</v>
      </c>
      <c r="V275" s="327">
        <f t="shared" si="93"/>
        <v>65.289853136865588</v>
      </c>
      <c r="W275" s="327">
        <f t="shared" si="93"/>
        <v>67.521822696083845</v>
      </c>
      <c r="X275" s="327">
        <f t="shared" si="93"/>
        <v>69.79701523034899</v>
      </c>
      <c r="Y275" s="327">
        <f t="shared" si="93"/>
        <v>72.115645098593717</v>
      </c>
      <c r="Z275" s="327">
        <f t="shared" si="93"/>
        <v>74.481313097964488</v>
      </c>
      <c r="AA275" s="327">
        <f t="shared" si="93"/>
        <v>76.891023270326926</v>
      </c>
      <c r="AB275" s="327">
        <f t="shared" si="93"/>
        <v>79.344951751501853</v>
      </c>
      <c r="AC275" s="327">
        <f t="shared" si="93"/>
        <v>81.844032996945288</v>
      </c>
      <c r="AD275" s="327">
        <f t="shared" si="93"/>
        <v>84.388485089349373</v>
      </c>
      <c r="AE275" s="327">
        <f t="shared" si="93"/>
        <v>86.978512635622323</v>
      </c>
      <c r="AF275" s="327">
        <f t="shared" si="93"/>
        <v>89.614306434356763</v>
      </c>
      <c r="AG275" s="327">
        <f t="shared" si="93"/>
        <v>92.296043145961178</v>
      </c>
      <c r="AJ275" s="325"/>
    </row>
    <row r="276" spans="1:36" s="230" customFormat="1">
      <c r="A276" s="230" t="s">
        <v>1414</v>
      </c>
      <c r="B276" s="324" t="s">
        <v>704</v>
      </c>
      <c r="C276" s="327">
        <f>C196*C194*C50</f>
        <v>94.068896684893076</v>
      </c>
      <c r="D276" s="327">
        <f t="shared" ref="D276:AG276" si="94">D196*D194*D50</f>
        <v>96.850274000884326</v>
      </c>
      <c r="E276" s="327">
        <f t="shared" si="94"/>
        <v>99.443605808886133</v>
      </c>
      <c r="F276" s="327">
        <f t="shared" si="94"/>
        <v>101.82967530855926</v>
      </c>
      <c r="G276" s="327">
        <f t="shared" si="94"/>
        <v>103.99048716791101</v>
      </c>
      <c r="H276" s="327">
        <f t="shared" si="94"/>
        <v>105.90949292171369</v>
      </c>
      <c r="I276" s="327">
        <f t="shared" si="94"/>
        <v>107.80388290468566</v>
      </c>
      <c r="J276" s="327">
        <f t="shared" si="94"/>
        <v>109.67089204304824</v>
      </c>
      <c r="K276" s="327">
        <f t="shared" si="94"/>
        <v>111.50773787520009</v>
      </c>
      <c r="L276" s="327">
        <f t="shared" si="94"/>
        <v>113.31162636913993</v>
      </c>
      <c r="M276" s="327">
        <f t="shared" si="94"/>
        <v>115.07975791636235</v>
      </c>
      <c r="N276" s="327">
        <f t="shared" si="94"/>
        <v>116.64220378469626</v>
      </c>
      <c r="O276" s="327">
        <f t="shared" si="94"/>
        <v>117.98925978129695</v>
      </c>
      <c r="P276" s="327">
        <f t="shared" si="94"/>
        <v>119.11418297829132</v>
      </c>
      <c r="Q276" s="327">
        <f t="shared" si="94"/>
        <v>120.00786781955415</v>
      </c>
      <c r="R276" s="327">
        <f t="shared" si="94"/>
        <v>120.66429862457605</v>
      </c>
      <c r="S276" s="327">
        <f t="shared" si="94"/>
        <v>121.29698382561438</v>
      </c>
      <c r="T276" s="327">
        <f t="shared" si="94"/>
        <v>121.90529162633756</v>
      </c>
      <c r="U276" s="327">
        <f t="shared" si="94"/>
        <v>122.48859291069999</v>
      </c>
      <c r="V276" s="327">
        <f t="shared" si="94"/>
        <v>123.04626168101602</v>
      </c>
      <c r="W276" s="327">
        <f t="shared" si="94"/>
        <v>123.57767550038001</v>
      </c>
      <c r="X276" s="327">
        <f t="shared" si="94"/>
        <v>124.08358263173164</v>
      </c>
      <c r="Y276" s="327">
        <f t="shared" si="94"/>
        <v>124.56338698848019</v>
      </c>
      <c r="Z276" s="327">
        <f t="shared" si="94"/>
        <v>125.02220412872624</v>
      </c>
      <c r="AA276" s="327">
        <f t="shared" si="94"/>
        <v>125.45377480948095</v>
      </c>
      <c r="AB276" s="327">
        <f t="shared" si="94"/>
        <v>125.8575096747962</v>
      </c>
      <c r="AC276" s="327">
        <f t="shared" si="94"/>
        <v>126.23401699528866</v>
      </c>
      <c r="AD276" s="327">
        <f t="shared" si="94"/>
        <v>126.58272763402422</v>
      </c>
      <c r="AE276" s="327">
        <f t="shared" si="94"/>
        <v>126.90307581262948</v>
      </c>
      <c r="AF276" s="327">
        <f t="shared" si="94"/>
        <v>127.19449945521623</v>
      </c>
      <c r="AG276" s="327">
        <f t="shared" si="94"/>
        <v>127.4564405348988</v>
      </c>
      <c r="AJ276" s="325"/>
    </row>
    <row r="277" spans="1:36" s="230" customFormat="1">
      <c r="B277" s="324"/>
      <c r="C277" s="317"/>
      <c r="D277" s="317"/>
      <c r="E277" s="317"/>
      <c r="F277" s="317"/>
      <c r="G277" s="317"/>
      <c r="H277" s="317"/>
      <c r="I277" s="317"/>
      <c r="J277" s="317"/>
      <c r="K277" s="317"/>
      <c r="L277" s="317"/>
      <c r="M277" s="317"/>
      <c r="N277" s="317"/>
      <c r="O277" s="317"/>
      <c r="P277" s="317"/>
      <c r="Q277" s="317"/>
      <c r="R277" s="317"/>
      <c r="S277" s="317"/>
      <c r="T277" s="317"/>
      <c r="U277" s="317"/>
      <c r="V277" s="317"/>
      <c r="W277" s="317"/>
      <c r="X277" s="317"/>
      <c r="Y277" s="317"/>
      <c r="Z277" s="317"/>
      <c r="AA277" s="317"/>
      <c r="AB277" s="317"/>
      <c r="AC277" s="317"/>
      <c r="AD277" s="317"/>
      <c r="AE277" s="317"/>
      <c r="AF277" s="317"/>
      <c r="AG277" s="317"/>
      <c r="AJ277" s="325"/>
    </row>
    <row r="278" spans="1:36" s="230" customFormat="1">
      <c r="A278" s="351" t="s">
        <v>233</v>
      </c>
      <c r="B278" s="352" t="s">
        <v>704</v>
      </c>
      <c r="C278" s="304">
        <f>C256-C269-C271</f>
        <v>15.604941930162472</v>
      </c>
      <c r="D278" s="353">
        <f t="shared" ref="D278:AG278" si="95">D256-D269-D271</f>
        <v>16.278222371309948</v>
      </c>
      <c r="E278" s="353">
        <f t="shared" si="95"/>
        <v>16.944166396227661</v>
      </c>
      <c r="F278" s="353">
        <f t="shared" si="95"/>
        <v>17.599249778703275</v>
      </c>
      <c r="G278" s="353">
        <f t="shared" si="95"/>
        <v>18.239795836735052</v>
      </c>
      <c r="H278" s="353">
        <f t="shared" si="95"/>
        <v>18.861956612225502</v>
      </c>
      <c r="I278" s="353">
        <f t="shared" si="95"/>
        <v>19.503642760330209</v>
      </c>
      <c r="J278" s="353">
        <f t="shared" si="95"/>
        <v>20.164361983061262</v>
      </c>
      <c r="K278" s="353">
        <f t="shared" si="95"/>
        <v>20.84293542435751</v>
      </c>
      <c r="L278" s="353">
        <f t="shared" si="95"/>
        <v>21.537032898558351</v>
      </c>
      <c r="M278" s="353">
        <f t="shared" si="95"/>
        <v>22.242335705500714</v>
      </c>
      <c r="N278" s="353">
        <f t="shared" si="95"/>
        <v>21.693672021096013</v>
      </c>
      <c r="O278" s="353">
        <f t="shared" si="95"/>
        <v>21.075538130692031</v>
      </c>
      <c r="P278" s="353">
        <f t="shared" si="95"/>
        <v>20.385923289768943</v>
      </c>
      <c r="Q278" s="353">
        <f t="shared" si="95"/>
        <v>19.625260984535029</v>
      </c>
      <c r="R278" s="353">
        <f t="shared" si="95"/>
        <v>19.931640990573918</v>
      </c>
      <c r="S278" s="353">
        <f t="shared" si="95"/>
        <v>20.575144046992076</v>
      </c>
      <c r="T278" s="353">
        <f t="shared" si="95"/>
        <v>21.141998338044708</v>
      </c>
      <c r="U278" s="353">
        <f t="shared" si="95"/>
        <v>21.646743585280017</v>
      </c>
      <c r="V278" s="353">
        <f t="shared" si="95"/>
        <v>22.105020253466535</v>
      </c>
      <c r="W278" s="353">
        <f t="shared" si="95"/>
        <v>22.529410283093522</v>
      </c>
      <c r="X278" s="353">
        <f t="shared" si="95"/>
        <v>23.586221055820346</v>
      </c>
      <c r="Y278" s="353">
        <f t="shared" si="95"/>
        <v>24.579682013228901</v>
      </c>
      <c r="Z278" s="353">
        <f t="shared" si="95"/>
        <v>25.509569189795648</v>
      </c>
      <c r="AA278" s="353">
        <f t="shared" si="95"/>
        <v>26.368278142611853</v>
      </c>
      <c r="AB278" s="353">
        <f t="shared" si="95"/>
        <v>27.143608943254222</v>
      </c>
      <c r="AC278" s="353">
        <f t="shared" si="95"/>
        <v>27.818051493158023</v>
      </c>
      <c r="AD278" s="353">
        <f t="shared" si="95"/>
        <v>28.369322564115009</v>
      </c>
      <c r="AE278" s="353">
        <f t="shared" si="95"/>
        <v>28.774379290135684</v>
      </c>
      <c r="AF278" s="353">
        <f t="shared" si="95"/>
        <v>29.016770765202676</v>
      </c>
      <c r="AG278" s="354">
        <f t="shared" si="95"/>
        <v>29.095717309481842</v>
      </c>
      <c r="AI278" s="230" t="s">
        <v>1415</v>
      </c>
      <c r="AJ278" s="325"/>
    </row>
    <row r="279" spans="1:36" s="230" customFormat="1">
      <c r="A279" s="355" t="s">
        <v>234</v>
      </c>
      <c r="B279" s="356" t="s">
        <v>704</v>
      </c>
      <c r="C279" s="357">
        <f>C257+C278</f>
        <v>102.73927251328456</v>
      </c>
      <c r="D279" s="357">
        <f t="shared" ref="D279:AF279" si="96">D257+D278</f>
        <v>105.91196816124187</v>
      </c>
      <c r="E279" s="357">
        <f t="shared" si="96"/>
        <v>108.90038929354385</v>
      </c>
      <c r="F279" s="357">
        <f t="shared" si="96"/>
        <v>111.68384037514244</v>
      </c>
      <c r="G279" s="357">
        <f t="shared" si="96"/>
        <v>114.24264791507308</v>
      </c>
      <c r="H279" s="357">
        <f t="shared" si="96"/>
        <v>116.55834172161359</v>
      </c>
      <c r="I279" s="357">
        <f t="shared" si="96"/>
        <v>118.86968661388154</v>
      </c>
      <c r="J279" s="357">
        <f t="shared" si="96"/>
        <v>121.17382915899151</v>
      </c>
      <c r="K279" s="357">
        <f t="shared" si="96"/>
        <v>123.46722351549997</v>
      </c>
      <c r="L279" s="357">
        <f t="shared" si="96"/>
        <v>125.74517172974979</v>
      </c>
      <c r="M279" s="357">
        <f t="shared" si="96"/>
        <v>128.00099173455646</v>
      </c>
      <c r="N279" s="357">
        <f t="shared" si="96"/>
        <v>128.813672124026</v>
      </c>
      <c r="O279" s="357">
        <f t="shared" si="96"/>
        <v>129.35933851455027</v>
      </c>
      <c r="P279" s="357">
        <f t="shared" si="96"/>
        <v>129.63033179081495</v>
      </c>
      <c r="Q279" s="357">
        <f t="shared" si="96"/>
        <v>129.61926840324972</v>
      </c>
      <c r="R279" s="357">
        <f t="shared" si="96"/>
        <v>129.30049158847879</v>
      </c>
      <c r="S279" s="357">
        <f t="shared" si="96"/>
        <v>128.90915972072486</v>
      </c>
      <c r="T279" s="357">
        <f t="shared" si="96"/>
        <v>128.46117609508616</v>
      </c>
      <c r="U279" s="357">
        <f t="shared" si="96"/>
        <v>127.97136713057104</v>
      </c>
      <c r="V279" s="357">
        <f t="shared" si="96"/>
        <v>127.4556518135053</v>
      </c>
      <c r="W279" s="357">
        <f t="shared" si="96"/>
        <v>126.92688214260123</v>
      </c>
      <c r="X279" s="357">
        <f t="shared" si="96"/>
        <v>124.60447582264618</v>
      </c>
      <c r="Y279" s="357">
        <f t="shared" si="96"/>
        <v>122.24556867273658</v>
      </c>
      <c r="Z279" s="357">
        <f t="shared" si="96"/>
        <v>119.85545133317345</v>
      </c>
      <c r="AA279" s="357">
        <f t="shared" si="96"/>
        <v>117.42196932803965</v>
      </c>
      <c r="AB279" s="357">
        <f t="shared" si="96"/>
        <v>114.93360766124623</v>
      </c>
      <c r="AC279" s="357">
        <f t="shared" si="96"/>
        <v>112.37433403499772</v>
      </c>
      <c r="AD279" s="357">
        <f t="shared" si="96"/>
        <v>109.72244676830621</v>
      </c>
      <c r="AE279" s="357">
        <f t="shared" si="96"/>
        <v>106.95547869055059</v>
      </c>
      <c r="AF279" s="357">
        <f t="shared" si="96"/>
        <v>104.05754835720681</v>
      </c>
      <c r="AG279" s="358">
        <f>AG257+AG278</f>
        <v>101.0284389381673</v>
      </c>
      <c r="AI279" s="230" t="s">
        <v>1416</v>
      </c>
      <c r="AJ279" s="325"/>
    </row>
    <row r="280" spans="1:36">
      <c r="B280" s="1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c r="AA280" s="230"/>
      <c r="AB280" s="230"/>
      <c r="AC280" s="230"/>
      <c r="AD280" s="230"/>
      <c r="AE280" s="230"/>
      <c r="AF280" s="230"/>
      <c r="AG280" s="230"/>
      <c r="AI280" s="23"/>
    </row>
    <row r="281" spans="1:36" ht="16" thickBot="1">
      <c r="A281" s="200" t="s">
        <v>1417</v>
      </c>
      <c r="B281" s="235"/>
      <c r="C281" s="236"/>
      <c r="D281" s="222"/>
      <c r="E281" s="222"/>
      <c r="F281" s="222"/>
      <c r="G281" s="222"/>
      <c r="H281" s="222"/>
      <c r="I281" s="222"/>
      <c r="J281" s="222"/>
      <c r="K281" s="222"/>
      <c r="L281" s="222"/>
      <c r="M281" s="237"/>
      <c r="N281" s="110"/>
      <c r="O281" s="110"/>
      <c r="P281" s="110"/>
      <c r="Q281" s="110"/>
      <c r="R281" s="110"/>
      <c r="S281" s="110"/>
      <c r="T281" s="110"/>
      <c r="U281" s="110"/>
      <c r="V281" s="110"/>
      <c r="W281" s="126"/>
      <c r="X281" s="110"/>
      <c r="Y281" s="110"/>
      <c r="Z281" s="110"/>
      <c r="AA281" s="110"/>
      <c r="AB281" s="110"/>
      <c r="AC281" s="110"/>
      <c r="AD281" s="110"/>
      <c r="AE281" s="110"/>
      <c r="AF281" s="110"/>
      <c r="AG281" s="110" t="s">
        <v>1418</v>
      </c>
    </row>
    <row r="282" spans="1:36" ht="16" hidden="1" thickTop="1">
      <c r="A282" s="181" t="s">
        <v>1419</v>
      </c>
      <c r="B282" s="130"/>
      <c r="C282" s="234">
        <f>C58*C14+C102*C15+C135*C17+C158*C16</f>
        <v>14.348994409010164</v>
      </c>
      <c r="D282" s="233"/>
      <c r="E282" s="233"/>
      <c r="F282" s="233"/>
      <c r="G282" s="233"/>
      <c r="H282" s="233"/>
      <c r="I282" s="233"/>
      <c r="J282" s="233"/>
      <c r="K282" s="233"/>
      <c r="L282" s="233"/>
      <c r="M282" s="127">
        <f>C282/$C$287</f>
        <v>0.39980093750123691</v>
      </c>
      <c r="N282" s="110"/>
      <c r="O282" s="110"/>
      <c r="P282" s="110"/>
      <c r="Q282" s="110"/>
      <c r="R282" s="110"/>
      <c r="S282" s="110"/>
      <c r="T282" s="110"/>
      <c r="U282" s="110"/>
      <c r="V282" s="110"/>
      <c r="W282" s="106"/>
      <c r="X282" s="110"/>
      <c r="Y282" s="110"/>
      <c r="Z282" s="110"/>
      <c r="AA282" s="110"/>
      <c r="AB282" s="110"/>
      <c r="AC282" s="110"/>
      <c r="AD282" s="110"/>
      <c r="AE282" s="110"/>
      <c r="AF282" s="110"/>
      <c r="AG282" s="56">
        <v>0.46</v>
      </c>
    </row>
    <row r="283" spans="1:36" ht="16" hidden="1" thickTop="1">
      <c r="A283" t="s">
        <v>1420</v>
      </c>
      <c r="C283" s="234">
        <f>C53*C14+C103*C15</f>
        <v>9.0743320403108019</v>
      </c>
      <c r="D283" s="234"/>
      <c r="E283" s="234"/>
      <c r="F283" s="234"/>
      <c r="G283" s="234"/>
      <c r="H283" s="234"/>
      <c r="I283" s="234"/>
      <c r="J283" s="234"/>
      <c r="K283" s="234"/>
      <c r="L283" s="234"/>
      <c r="M283" s="127">
        <f t="shared" ref="M283:M286" si="97">C283/$C$287</f>
        <v>0.25283489236260948</v>
      </c>
      <c r="AG283" s="56">
        <v>0.24</v>
      </c>
    </row>
    <row r="284" spans="1:36" ht="16" hidden="1" thickTop="1">
      <c r="A284" t="s">
        <v>1421</v>
      </c>
      <c r="C284" s="234">
        <f>C136*C17+C57*C14+C169*C18+C104*C15</f>
        <v>10.095550469083447</v>
      </c>
      <c r="D284" s="234"/>
      <c r="E284" s="234"/>
      <c r="F284" s="234"/>
      <c r="G284" s="234"/>
      <c r="H284" s="234"/>
      <c r="I284" s="234"/>
      <c r="J284" s="234"/>
      <c r="K284" s="234"/>
      <c r="L284" s="234"/>
      <c r="M284" s="127">
        <f t="shared" si="97"/>
        <v>0.28128873892348555</v>
      </c>
      <c r="AG284" s="56">
        <v>0.26</v>
      </c>
    </row>
    <row r="285" spans="1:36" ht="16" hidden="1" thickTop="1">
      <c r="A285" t="s">
        <v>1422</v>
      </c>
      <c r="C285" s="234">
        <f>C133*C17+C56*C14</f>
        <v>2.3352217603778325</v>
      </c>
      <c r="D285" s="234"/>
      <c r="E285" s="234"/>
      <c r="F285" s="234"/>
      <c r="G285" s="234"/>
      <c r="H285" s="234"/>
      <c r="I285" s="234"/>
      <c r="J285" s="234"/>
      <c r="K285" s="234"/>
      <c r="L285" s="234"/>
      <c r="M285" s="127">
        <f t="shared" si="97"/>
        <v>6.5065454934325972E-2</v>
      </c>
      <c r="AG285" s="56">
        <v>0.01</v>
      </c>
    </row>
    <row r="286" spans="1:36" ht="16" hidden="1" thickTop="1">
      <c r="A286" t="s">
        <v>1423</v>
      </c>
      <c r="B286"/>
      <c r="C286" s="234">
        <f>C100*C15</f>
        <v>3.6248399170191126E-2</v>
      </c>
      <c r="D286" s="234"/>
      <c r="E286" s="234"/>
      <c r="F286" s="234"/>
      <c r="G286" s="234"/>
      <c r="H286" s="234"/>
      <c r="I286" s="234"/>
      <c r="J286" s="234"/>
      <c r="K286" s="234"/>
      <c r="L286" s="234"/>
      <c r="M286" s="127">
        <f t="shared" si="97"/>
        <v>1.0099762783419455E-3</v>
      </c>
      <c r="AG286" s="56">
        <v>0.03</v>
      </c>
    </row>
    <row r="287" spans="1:36" ht="16" hidden="1" thickTop="1">
      <c r="A287" t="s">
        <v>1424</v>
      </c>
      <c r="B287" s="51"/>
      <c r="C287" s="233">
        <f>SUM(C282:C286)</f>
        <v>35.890347077952441</v>
      </c>
      <c r="D287" s="234"/>
      <c r="E287" s="234"/>
      <c r="F287" s="234"/>
      <c r="G287" s="234"/>
      <c r="H287" s="234"/>
      <c r="I287" s="234"/>
      <c r="J287" s="234"/>
      <c r="K287" s="234"/>
      <c r="L287" s="234"/>
      <c r="M287" s="234"/>
    </row>
    <row r="288" spans="1:36" ht="16" hidden="1" thickTop="1">
      <c r="B288" s="181" t="s">
        <v>1425</v>
      </c>
      <c r="C288" s="234">
        <f>C180*C19</f>
        <v>37.870379963560374</v>
      </c>
      <c r="D288" s="234"/>
      <c r="E288" s="234"/>
      <c r="F288" s="234"/>
      <c r="G288" s="234"/>
      <c r="H288" s="234"/>
      <c r="I288" s="234"/>
      <c r="J288" s="234"/>
      <c r="K288" s="234"/>
      <c r="L288" s="234"/>
      <c r="M288" s="234"/>
      <c r="AG288" s="107" t="s">
        <v>1426</v>
      </c>
    </row>
    <row r="289" spans="2:35" ht="16" thickTop="1">
      <c r="B289" s="51"/>
    </row>
    <row r="290" spans="2:35">
      <c r="C290" s="266"/>
      <c r="AG290" s="266">
        <f>(AG180*AG50+'Propylene Recycling LC'!AG92*'Propylene Recycling LC'!AG50)/('Propylene Recycling LC'!AG50+'Ethylene Recycling LC'!AG50)</f>
        <v>0.45080208479410577</v>
      </c>
      <c r="AH290" s="267"/>
      <c r="AI290" s="267" t="s">
        <v>1427</v>
      </c>
    </row>
    <row r="291" spans="2:35">
      <c r="C291" s="266"/>
      <c r="AG291" s="266">
        <f>(AG52*AG45+'Propylene Recycling LC'!AG52*'Propylene Recycling LC'!AG45)/('Propylene Recycling LC'!AG45+'Ethylene Recycling LC'!AG45)</f>
        <v>0.57322626582278491</v>
      </c>
      <c r="AI291" t="s">
        <v>309</v>
      </c>
    </row>
    <row r="292" spans="2:35">
      <c r="AG292" s="266">
        <f>(AG157*AG47+'Propylene Recycling LC'!AG82*'Propylene Recycling LC'!AG47)/('Propylene Recycling LC'!AG47+'Ethylene Recycling LC'!AG47)</f>
        <v>0.5</v>
      </c>
      <c r="AI292" t="s">
        <v>369</v>
      </c>
    </row>
    <row r="293" spans="2:35">
      <c r="AG293" s="266">
        <f>AG131</f>
        <v>0.5</v>
      </c>
      <c r="AI293" t="s">
        <v>320</v>
      </c>
    </row>
    <row r="294" spans="2:35">
      <c r="AG294" s="266">
        <f>(AG98*AG46+'Propylene Recycling LC'!AG65*'Propylene Recycling LC'!AG46)/('Propylene Recycling LC'!AG46+'Ethylene Recycling LC'!AG46)</f>
        <v>0.44760076775431856</v>
      </c>
      <c r="AI294" t="s">
        <v>311</v>
      </c>
    </row>
    <row r="295" spans="2:35">
      <c r="AG295" s="266">
        <f>(AG169*AG49+'Propylene Recycling LC'!AG87*'Propylene Recycling LC'!AG49)/('Propylene Recycling LC'!AG49+'Ethylene Recycling LC'!AG49)</f>
        <v>0.19999999999999998</v>
      </c>
      <c r="AI295" t="s">
        <v>192</v>
      </c>
    </row>
  </sheetData>
  <sortState xmlns:xlrd2="http://schemas.microsoft.com/office/spreadsheetml/2017/richdata2" ref="AZ7:BA22">
    <sortCondition ref="AZ7:AZ22"/>
  </sortState>
  <mergeCells count="2">
    <mergeCell ref="BD103:BE103"/>
    <mergeCell ref="AI249:AI257"/>
  </mergeCells>
  <phoneticPr fontId="21" type="noConversion"/>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7577-3F00-4150-8F03-DDB32EF9A7CA}">
  <sheetPr>
    <tabColor theme="4"/>
  </sheetPr>
  <dimension ref="A1:BL341"/>
  <sheetViews>
    <sheetView topLeftCell="A217" zoomScale="70" zoomScaleNormal="70" workbookViewId="0">
      <selection activeCell="C228" sqref="C228"/>
    </sheetView>
  </sheetViews>
  <sheetFormatPr baseColWidth="10" defaultColWidth="8.83203125" defaultRowHeight="15" outlineLevelRow="2" outlineLevelCol="1"/>
  <cols>
    <col min="1" max="1" width="77.6640625" customWidth="1"/>
    <col min="2" max="2" width="15.5" style="54" customWidth="1"/>
    <col min="3" max="3" width="30.6640625" style="107"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4" max="34" width="17.5" customWidth="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4"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I14" s="24">
        <f>'Demand Breakdown - Ethylene'!L63</f>
        <v>1.4E-2</v>
      </c>
      <c r="AJ14" s="211" t="s">
        <v>1429</v>
      </c>
      <c r="AM14" s="26"/>
      <c r="AN14" s="2"/>
      <c r="AO14" s="26"/>
      <c r="AR14" s="2"/>
    </row>
    <row r="15" spans="1:47" outlineLevel="1">
      <c r="A15" t="s">
        <v>1271</v>
      </c>
      <c r="B15" s="54" t="s">
        <v>1270</v>
      </c>
      <c r="C15" s="107">
        <f t="shared" ref="C15:AG15" si="9">C$5*C8</f>
        <v>18.124199585095564</v>
      </c>
      <c r="D15" s="107">
        <f t="shared" si="9"/>
        <v>18.731749934633516</v>
      </c>
      <c r="E15" s="107">
        <f t="shared" si="9"/>
        <v>19.309058765192301</v>
      </c>
      <c r="F15" s="107">
        <f t="shared" si="9"/>
        <v>19.852163640507602</v>
      </c>
      <c r="G15" s="107">
        <f t="shared" si="9"/>
        <v>20.357260689410186</v>
      </c>
      <c r="H15" s="107">
        <f t="shared" si="9"/>
        <v>20.820748984158627</v>
      </c>
      <c r="I15" s="107">
        <f t="shared" si="9"/>
        <v>21.285096129187462</v>
      </c>
      <c r="J15" s="107">
        <f t="shared" si="9"/>
        <v>21.749881701190311</v>
      </c>
      <c r="K15" s="107">
        <f t="shared" si="9"/>
        <v>22.214674603152208</v>
      </c>
      <c r="L15" s="107">
        <f t="shared" si="9"/>
        <v>22.679033624979567</v>
      </c>
      <c r="M15" s="107">
        <f t="shared" si="9"/>
        <v>23.142508042020335</v>
      </c>
      <c r="N15" s="107">
        <f t="shared" si="9"/>
        <v>23.570864954963728</v>
      </c>
      <c r="O15" s="107">
        <f t="shared" si="9"/>
        <v>23.96172861935996</v>
      </c>
      <c r="P15" s="107">
        <f t="shared" si="9"/>
        <v>24.31289109363512</v>
      </c>
      <c r="Q15" s="107">
        <f t="shared" si="9"/>
        <v>24.62233276017087</v>
      </c>
      <c r="R15" s="107">
        <f t="shared" si="9"/>
        <v>24.888241457773027</v>
      </c>
      <c r="S15" s="107">
        <f t="shared" si="9"/>
        <v>25.154268157150199</v>
      </c>
      <c r="T15" s="107">
        <f t="shared" si="9"/>
        <v>25.420353588212798</v>
      </c>
      <c r="U15" s="107">
        <f t="shared" si="9"/>
        <v>25.686437769305002</v>
      </c>
      <c r="V15" s="107">
        <f t="shared" si="9"/>
        <v>25.952460026127937</v>
      </c>
      <c r="W15" s="107">
        <f t="shared" si="9"/>
        <v>26.218359011291316</v>
      </c>
      <c r="X15" s="107">
        <f t="shared" si="9"/>
        <v>26.484364430969823</v>
      </c>
      <c r="Y15" s="107">
        <f t="shared" si="9"/>
        <v>26.750422880358332</v>
      </c>
      <c r="Z15" s="107">
        <f t="shared" si="9"/>
        <v>27.016480351122464</v>
      </c>
      <c r="AA15" s="107">
        <f t="shared" si="9"/>
        <v>27.282482246830252</v>
      </c>
      <c r="AB15" s="107">
        <f t="shared" si="9"/>
        <v>27.548373398864126</v>
      </c>
      <c r="AC15" s="107">
        <f t="shared" si="9"/>
        <v>27.81436104388391</v>
      </c>
      <c r="AD15" s="107">
        <f t="shared" si="9"/>
        <v>28.080396807672006</v>
      </c>
      <c r="AE15" s="107">
        <f t="shared" si="9"/>
        <v>28.346431799584909</v>
      </c>
      <c r="AF15" s="107">
        <f t="shared" si="9"/>
        <v>28.612416625263382</v>
      </c>
      <c r="AG15" s="107">
        <f t="shared" si="9"/>
        <v>28.878301399715003</v>
      </c>
      <c r="AI15" s="24">
        <f>'Demand Breakdown - Ethylene'!L64</f>
        <v>1.7000000000000001E-2</v>
      </c>
      <c r="AJ15" s="211" t="s">
        <v>1429</v>
      </c>
      <c r="AM15" s="26"/>
      <c r="AN15" s="2"/>
      <c r="AO15" s="26"/>
      <c r="AR15" s="2"/>
    </row>
    <row r="16" spans="1:47" outlineLevel="1">
      <c r="A16" t="s">
        <v>1272</v>
      </c>
      <c r="B16" s="54" t="s">
        <v>1270</v>
      </c>
      <c r="C16" s="107">
        <f t="shared" ref="C16:AG16" si="10">C$5*C9</f>
        <v>14.258767126628445</v>
      </c>
      <c r="D16" s="107">
        <f t="shared" si="10"/>
        <v>14.736742383471642</v>
      </c>
      <c r="E16" s="107">
        <f t="shared" si="10"/>
        <v>15.190925870937384</v>
      </c>
      <c r="F16" s="107">
        <f t="shared" si="10"/>
        <v>15.618200239998389</v>
      </c>
      <c r="G16" s="107">
        <f t="shared" si="10"/>
        <v>16.015572888806112</v>
      </c>
      <c r="H16" s="107">
        <f t="shared" si="10"/>
        <v>16.380210876249752</v>
      </c>
      <c r="I16" s="107">
        <f t="shared" si="10"/>
        <v>16.745524542974419</v>
      </c>
      <c r="J16" s="107">
        <f t="shared" si="10"/>
        <v>17.111183131310387</v>
      </c>
      <c r="K16" s="107">
        <f t="shared" si="10"/>
        <v>17.476847486310902</v>
      </c>
      <c r="L16" s="107">
        <f t="shared" si="10"/>
        <v>17.842170496813957</v>
      </c>
      <c r="M16" s="107">
        <f t="shared" si="10"/>
        <v>18.206797566313274</v>
      </c>
      <c r="N16" s="107">
        <f t="shared" si="10"/>
        <v>18.543796805372864</v>
      </c>
      <c r="O16" s="107">
        <f t="shared" si="10"/>
        <v>18.851299155626702</v>
      </c>
      <c r="P16" s="107">
        <f t="shared" si="10"/>
        <v>19.127567573483773</v>
      </c>
      <c r="Q16" s="107">
        <f t="shared" si="10"/>
        <v>19.371013174581517</v>
      </c>
      <c r="R16" s="107">
        <f t="shared" si="10"/>
        <v>19.580210285783725</v>
      </c>
      <c r="S16" s="107">
        <f t="shared" si="10"/>
        <v>19.789500231972799</v>
      </c>
      <c r="T16" s="107">
        <f t="shared" si="10"/>
        <v>19.998836383867207</v>
      </c>
      <c r="U16" s="107">
        <f t="shared" si="10"/>
        <v>20.208171552378225</v>
      </c>
      <c r="V16" s="107">
        <f t="shared" si="10"/>
        <v>20.417458003497298</v>
      </c>
      <c r="W16" s="107">
        <f t="shared" si="10"/>
        <v>20.626647473677782</v>
      </c>
      <c r="X16" s="107">
        <f t="shared" si="10"/>
        <v>20.835920678588632</v>
      </c>
      <c r="Y16" s="107">
        <f t="shared" si="10"/>
        <v>21.04523560331625</v>
      </c>
      <c r="Z16" s="107">
        <f t="shared" si="10"/>
        <v>21.254549758135273</v>
      </c>
      <c r="AA16" s="107">
        <f t="shared" si="10"/>
        <v>21.463820190649052</v>
      </c>
      <c r="AB16" s="107">
        <f t="shared" si="10"/>
        <v>21.673003498308045</v>
      </c>
      <c r="AC16" s="107">
        <f t="shared" si="10"/>
        <v>21.882262719444423</v>
      </c>
      <c r="AD16" s="107">
        <f t="shared" si="10"/>
        <v>22.091559796835288</v>
      </c>
      <c r="AE16" s="107">
        <f t="shared" si="10"/>
        <v>22.300856266972374</v>
      </c>
      <c r="AF16" s="107">
        <f t="shared" si="10"/>
        <v>22.510113270061499</v>
      </c>
      <c r="AG16" s="107">
        <f t="shared" si="10"/>
        <v>22.719291560314904</v>
      </c>
      <c r="AI16" s="24">
        <f>'Demand Breakdown - Ethylene'!L65</f>
        <v>1.7000000000000001E-2</v>
      </c>
      <c r="AJ16" s="211" t="s">
        <v>1429</v>
      </c>
      <c r="AM16" s="26"/>
      <c r="AN16" s="2"/>
      <c r="AO16" s="26"/>
      <c r="AR16" s="2"/>
    </row>
    <row r="17" spans="1:64" outlineLevel="1">
      <c r="A17" t="s">
        <v>1273</v>
      </c>
      <c r="B17" s="54" t="s">
        <v>1270</v>
      </c>
      <c r="C17" s="107">
        <f t="shared" ref="C17:AG17" si="11">C$5*C10</f>
        <v>36.547958537074749</v>
      </c>
      <c r="D17" s="107">
        <f t="shared" si="11"/>
        <v>37.773100915354362</v>
      </c>
      <c r="E17" s="107">
        <f t="shared" si="11"/>
        <v>38.937260419518097</v>
      </c>
      <c r="F17" s="107">
        <f t="shared" si="11"/>
        <v>40.03244668532318</v>
      </c>
      <c r="G17" s="107">
        <f t="shared" si="11"/>
        <v>41.050989099503568</v>
      </c>
      <c r="H17" s="107">
        <f t="shared" si="11"/>
        <v>41.985626289926905</v>
      </c>
      <c r="I17" s="107">
        <f t="shared" si="11"/>
        <v>42.921995376111482</v>
      </c>
      <c r="J17" s="107">
        <f t="shared" si="11"/>
        <v>43.859248562627918</v>
      </c>
      <c r="K17" s="107">
        <f t="shared" si="11"/>
        <v>44.796516530213069</v>
      </c>
      <c r="L17" s="107">
        <f t="shared" si="11"/>
        <v>45.732909566296122</v>
      </c>
      <c r="M17" s="107">
        <f t="shared" si="11"/>
        <v>46.66751877193137</v>
      </c>
      <c r="N17" s="107">
        <f t="shared" si="11"/>
        <v>47.531312542233863</v>
      </c>
      <c r="O17" s="107">
        <f t="shared" si="11"/>
        <v>48.319500121659445</v>
      </c>
      <c r="P17" s="107">
        <f t="shared" si="11"/>
        <v>49.027629133885689</v>
      </c>
      <c r="Q17" s="107">
        <f t="shared" si="11"/>
        <v>49.65162696314664</v>
      </c>
      <c r="R17" s="107">
        <f t="shared" si="11"/>
        <v>50.187839335394145</v>
      </c>
      <c r="S17" s="107">
        <f t="shared" si="11"/>
        <v>50.72428966154191</v>
      </c>
      <c r="T17" s="107">
        <f t="shared" si="11"/>
        <v>51.260858421786239</v>
      </c>
      <c r="U17" s="107">
        <f t="shared" si="11"/>
        <v>51.797424661430085</v>
      </c>
      <c r="V17" s="107">
        <f t="shared" si="11"/>
        <v>52.333866029042213</v>
      </c>
      <c r="W17" s="107">
        <f t="shared" si="11"/>
        <v>52.870058815883567</v>
      </c>
      <c r="X17" s="107">
        <f t="shared" si="11"/>
        <v>53.406466230920095</v>
      </c>
      <c r="Y17" s="107">
        <f t="shared" si="11"/>
        <v>53.942980581859274</v>
      </c>
      <c r="Z17" s="107">
        <f t="shared" si="11"/>
        <v>54.479492959374852</v>
      </c>
      <c r="AA17" s="107">
        <f t="shared" si="11"/>
        <v>55.015893268225248</v>
      </c>
      <c r="AB17" s="107">
        <f t="shared" si="11"/>
        <v>55.552070259340518</v>
      </c>
      <c r="AC17" s="107">
        <f t="shared" si="11"/>
        <v>56.088441831277486</v>
      </c>
      <c r="AD17" s="107">
        <f t="shared" si="11"/>
        <v>56.624910436064987</v>
      </c>
      <c r="AE17" s="107">
        <f t="shared" si="11"/>
        <v>57.161377484344435</v>
      </c>
      <c r="AF17" s="107">
        <f t="shared" si="11"/>
        <v>57.697743371000321</v>
      </c>
      <c r="AG17" s="107">
        <f t="shared" si="11"/>
        <v>58.233907501541481</v>
      </c>
      <c r="AI17" s="24">
        <f>'Demand Breakdown - Ethylene'!L69</f>
        <v>2.1000000000000001E-2</v>
      </c>
      <c r="AJ17" s="211" t="s">
        <v>1429</v>
      </c>
      <c r="AM17" s="26"/>
      <c r="AN17" s="2"/>
      <c r="AO17" s="26"/>
      <c r="AR17" s="2"/>
    </row>
    <row r="18" spans="1:64" outlineLevel="1">
      <c r="A18" t="s">
        <v>1274</v>
      </c>
      <c r="B18" s="54" t="s">
        <v>1270</v>
      </c>
      <c r="C18" s="128">
        <f t="shared" ref="C18:AG18" si="12">C$5*C11</f>
        <v>103.45931523887491</v>
      </c>
      <c r="D18" s="128">
        <f t="shared" si="12"/>
        <v>106.92742663553078</v>
      </c>
      <c r="E18" s="128">
        <f t="shared" si="12"/>
        <v>110.22290878968255</v>
      </c>
      <c r="F18" s="128">
        <f t="shared" si="12"/>
        <v>113.32314271941829</v>
      </c>
      <c r="G18" s="128">
        <f t="shared" si="12"/>
        <v>116.2064145882412</v>
      </c>
      <c r="H18" s="128">
        <f t="shared" si="12"/>
        <v>118.85216903222452</v>
      </c>
      <c r="I18" s="128">
        <f t="shared" si="12"/>
        <v>121.5028260961269</v>
      </c>
      <c r="J18" s="128">
        <f t="shared" si="12"/>
        <v>124.15598585562697</v>
      </c>
      <c r="K18" s="128">
        <f t="shared" si="12"/>
        <v>126.80918745711517</v>
      </c>
      <c r="L18" s="128">
        <f t="shared" si="12"/>
        <v>129.45991231796697</v>
      </c>
      <c r="M18" s="128">
        <f t="shared" si="12"/>
        <v>132.10558754310665</v>
      </c>
      <c r="N18" s="128">
        <f t="shared" si="12"/>
        <v>134.55079968518692</v>
      </c>
      <c r="O18" s="128">
        <f t="shared" si="12"/>
        <v>136.78198715806414</v>
      </c>
      <c r="P18" s="128">
        <f t="shared" si="12"/>
        <v>138.78654625351649</v>
      </c>
      <c r="Q18" s="128">
        <f t="shared" si="12"/>
        <v>140.55294828279517</v>
      </c>
      <c r="R18" s="128">
        <f t="shared" si="12"/>
        <v>142.07084879149429</v>
      </c>
      <c r="S18" s="128">
        <f t="shared" si="12"/>
        <v>143.5894228958897</v>
      </c>
      <c r="T18" s="128">
        <f t="shared" si="12"/>
        <v>145.10833226143296</v>
      </c>
      <c r="U18" s="128">
        <f t="shared" si="12"/>
        <v>146.62723449170494</v>
      </c>
      <c r="V18" s="128">
        <f t="shared" si="12"/>
        <v>148.14578323643596</v>
      </c>
      <c r="W18" s="128">
        <f t="shared" si="12"/>
        <v>149.6636283031134</v>
      </c>
      <c r="X18" s="128">
        <f t="shared" si="12"/>
        <v>151.18208093549336</v>
      </c>
      <c r="Y18" s="128">
        <f t="shared" si="12"/>
        <v>152.700836280137</v>
      </c>
      <c r="Z18" s="128">
        <f t="shared" si="12"/>
        <v>154.219586038448</v>
      </c>
      <c r="AA18" s="128">
        <f t="shared" si="12"/>
        <v>155.73801855476179</v>
      </c>
      <c r="AB18" s="128">
        <f t="shared" si="12"/>
        <v>157.25581890717694</v>
      </c>
      <c r="AC18" s="128">
        <f t="shared" si="12"/>
        <v>158.77417007554399</v>
      </c>
      <c r="AD18" s="128">
        <f t="shared" si="12"/>
        <v>160.29279592278979</v>
      </c>
      <c r="AE18" s="128">
        <f t="shared" si="12"/>
        <v>161.81141736390009</v>
      </c>
      <c r="AF18" s="128">
        <f t="shared" si="12"/>
        <v>163.32975243847389</v>
      </c>
      <c r="AG18" s="128">
        <f t="shared" si="12"/>
        <v>164.84751638540308</v>
      </c>
      <c r="AI18" s="24">
        <f>'Demand Breakdown - Ethylene'!L68</f>
        <v>1.4673314942567961E-2</v>
      </c>
      <c r="AJ18" s="211" t="s">
        <v>1429</v>
      </c>
    </row>
    <row r="19" spans="1:64" ht="16" outlineLevel="1" thickBot="1">
      <c r="A19" s="200" t="s">
        <v>1275</v>
      </c>
      <c r="B19" s="198"/>
      <c r="C19" s="199">
        <f t="shared" ref="C19:AG19" si="13">SUM(C14:C18)</f>
        <v>364.3968202633319</v>
      </c>
      <c r="D19" s="199">
        <f t="shared" si="13"/>
        <v>376.61194813598922</v>
      </c>
      <c r="E19" s="199">
        <f t="shared" si="13"/>
        <v>388.21905393825375</v>
      </c>
      <c r="F19" s="199">
        <f t="shared" si="13"/>
        <v>399.13847074919846</v>
      </c>
      <c r="G19" s="199">
        <f t="shared" si="13"/>
        <v>409.29371968476261</v>
      </c>
      <c r="H19" s="199">
        <f t="shared" si="13"/>
        <v>418.6124021480972</v>
      </c>
      <c r="I19" s="199">
        <f t="shared" si="13"/>
        <v>427.94835226012367</v>
      </c>
      <c r="J19" s="199">
        <f t="shared" si="13"/>
        <v>437.29311718322629</v>
      </c>
      <c r="K19" s="199">
        <f t="shared" si="13"/>
        <v>446.63802947911398</v>
      </c>
      <c r="L19" s="199">
        <f t="shared" si="13"/>
        <v>455.9742183805887</v>
      </c>
      <c r="M19" s="199">
        <f t="shared" si="13"/>
        <v>465.2926218251161</v>
      </c>
      <c r="N19" s="199">
        <f t="shared" si="13"/>
        <v>473.90496888527275</v>
      </c>
      <c r="O19" s="199">
        <f t="shared" si="13"/>
        <v>481.76349393592307</v>
      </c>
      <c r="P19" s="199">
        <f t="shared" si="13"/>
        <v>488.82380511936992</v>
      </c>
      <c r="Q19" s="199">
        <f t="shared" si="13"/>
        <v>495.04529693274304</v>
      </c>
      <c r="R19" s="199">
        <f t="shared" si="13"/>
        <v>500.39153489661282</v>
      </c>
      <c r="S19" s="199">
        <f t="shared" si="13"/>
        <v>505.74014534989368</v>
      </c>
      <c r="T19" s="199">
        <f t="shared" si="13"/>
        <v>511.08993663542685</v>
      </c>
      <c r="U19" s="199">
        <f t="shared" si="13"/>
        <v>516.43970278963025</v>
      </c>
      <c r="V19" s="199">
        <f t="shared" si="13"/>
        <v>521.78822392295911</v>
      </c>
      <c r="W19" s="199">
        <f t="shared" si="13"/>
        <v>527.13426661300218</v>
      </c>
      <c r="X19" s="199">
        <f t="shared" si="13"/>
        <v>532.48244922644983</v>
      </c>
      <c r="Y19" s="199">
        <f t="shared" si="13"/>
        <v>537.83169803085445</v>
      </c>
      <c r="Z19" s="199">
        <f t="shared" si="13"/>
        <v>543.18092715948774</v>
      </c>
      <c r="AA19" s="199">
        <f t="shared" si="13"/>
        <v>548.52903892160077</v>
      </c>
      <c r="AB19" s="199">
        <f t="shared" si="13"/>
        <v>553.87492412234508</v>
      </c>
      <c r="AC19" s="199">
        <f t="shared" si="13"/>
        <v>559.22274936668009</v>
      </c>
      <c r="AD19" s="199">
        <f t="shared" si="13"/>
        <v>564.57154206483767</v>
      </c>
      <c r="AE19" s="199">
        <f t="shared" si="13"/>
        <v>569.92031924402772</v>
      </c>
      <c r="AF19" s="199">
        <f t="shared" si="13"/>
        <v>575.26808780398312</v>
      </c>
      <c r="AG19" s="199">
        <f t="shared" si="13"/>
        <v>580.61384477999206</v>
      </c>
    </row>
    <row r="20" spans="1:64" ht="16" outlineLevel="1" thickTop="1">
      <c r="AL20" s="114"/>
      <c r="AM20" s="115"/>
      <c r="AN20" s="115"/>
      <c r="AO20" s="115"/>
      <c r="AP20" s="115"/>
      <c r="AQ20" s="115"/>
    </row>
    <row r="21" spans="1:64" outlineLevel="1">
      <c r="A21" t="s">
        <v>1276</v>
      </c>
      <c r="B21" s="54" t="s">
        <v>462</v>
      </c>
      <c r="C21" s="110">
        <f>'Overall recycling rates'!C76</f>
        <v>0.53559976833583545</v>
      </c>
      <c r="D21" s="110">
        <f>C21</f>
        <v>0.53559976833583545</v>
      </c>
      <c r="E21" s="110">
        <f t="shared" ref="E21:T21" si="14">D21</f>
        <v>0.53559976833583545</v>
      </c>
      <c r="F21" s="110">
        <f t="shared" si="14"/>
        <v>0.53559976833583545</v>
      </c>
      <c r="G21" s="110">
        <f t="shared" si="14"/>
        <v>0.53559976833583545</v>
      </c>
      <c r="H21" s="110">
        <f t="shared" si="14"/>
        <v>0.53559976833583545</v>
      </c>
      <c r="I21" s="110">
        <f t="shared" si="14"/>
        <v>0.53559976833583545</v>
      </c>
      <c r="J21" s="110">
        <f t="shared" si="14"/>
        <v>0.53559976833583545</v>
      </c>
      <c r="K21" s="110">
        <f t="shared" si="14"/>
        <v>0.53559976833583545</v>
      </c>
      <c r="L21" s="110">
        <f t="shared" si="14"/>
        <v>0.53559976833583545</v>
      </c>
      <c r="M21" s="110">
        <f t="shared" si="14"/>
        <v>0.53559976833583545</v>
      </c>
      <c r="N21" s="110">
        <f t="shared" si="14"/>
        <v>0.53559976833583545</v>
      </c>
      <c r="O21" s="110">
        <f t="shared" si="14"/>
        <v>0.53559976833583545</v>
      </c>
      <c r="P21" s="110">
        <f t="shared" si="14"/>
        <v>0.53559976833583545</v>
      </c>
      <c r="Q21" s="110">
        <f t="shared" si="14"/>
        <v>0.53559976833583545</v>
      </c>
      <c r="R21" s="110">
        <f t="shared" si="14"/>
        <v>0.53559976833583545</v>
      </c>
      <c r="S21" s="110">
        <f t="shared" si="14"/>
        <v>0.53559976833583545</v>
      </c>
      <c r="T21" s="110">
        <f t="shared" si="14"/>
        <v>0.53559976833583545</v>
      </c>
      <c r="U21" s="110">
        <f t="shared" ref="T21:AG25" si="15">T21</f>
        <v>0.53559976833583545</v>
      </c>
      <c r="V21" s="110">
        <f t="shared" si="15"/>
        <v>0.53559976833583545</v>
      </c>
      <c r="W21" s="110">
        <f t="shared" si="15"/>
        <v>0.53559976833583545</v>
      </c>
      <c r="X21" s="110">
        <f t="shared" si="15"/>
        <v>0.53559976833583545</v>
      </c>
      <c r="Y21" s="110">
        <f t="shared" si="15"/>
        <v>0.53559976833583545</v>
      </c>
      <c r="Z21" s="110">
        <f t="shared" si="15"/>
        <v>0.53559976833583545</v>
      </c>
      <c r="AA21" s="110">
        <f t="shared" si="15"/>
        <v>0.53559976833583545</v>
      </c>
      <c r="AB21" s="110">
        <f t="shared" si="15"/>
        <v>0.53559976833583545</v>
      </c>
      <c r="AC21" s="110">
        <f t="shared" si="15"/>
        <v>0.53559976833583545</v>
      </c>
      <c r="AD21" s="110">
        <f t="shared" si="15"/>
        <v>0.53559976833583545</v>
      </c>
      <c r="AE21" s="110">
        <f t="shared" si="15"/>
        <v>0.53559976833583545</v>
      </c>
      <c r="AF21" s="110">
        <f t="shared" si="15"/>
        <v>0.53559976833583545</v>
      </c>
      <c r="AG21" s="110">
        <f>AF21</f>
        <v>0.53559976833583545</v>
      </c>
      <c r="AI21" s="54" t="s">
        <v>1263</v>
      </c>
      <c r="AJ21" s="211"/>
      <c r="AM21" s="115"/>
      <c r="AN21" s="115"/>
      <c r="AO21" s="115"/>
      <c r="AP21" s="115"/>
      <c r="AQ21" s="115"/>
    </row>
    <row r="22" spans="1:64" outlineLevel="1">
      <c r="A22" t="s">
        <v>1277</v>
      </c>
      <c r="B22" s="54" t="s">
        <v>462</v>
      </c>
      <c r="C22" s="110">
        <f>'Overall recycling rates'!C78</f>
        <v>0.12059259167888789</v>
      </c>
      <c r="D22" s="110">
        <f t="shared" ref="D22:S25" si="16">C22</f>
        <v>0.12059259167888789</v>
      </c>
      <c r="E22" s="110">
        <f t="shared" si="16"/>
        <v>0.12059259167888789</v>
      </c>
      <c r="F22" s="110">
        <f t="shared" si="16"/>
        <v>0.12059259167888789</v>
      </c>
      <c r="G22" s="110">
        <f t="shared" si="16"/>
        <v>0.12059259167888789</v>
      </c>
      <c r="H22" s="110">
        <f t="shared" si="16"/>
        <v>0.12059259167888789</v>
      </c>
      <c r="I22" s="110">
        <f t="shared" si="16"/>
        <v>0.12059259167888789</v>
      </c>
      <c r="J22" s="110">
        <f t="shared" si="16"/>
        <v>0.12059259167888789</v>
      </c>
      <c r="K22" s="110">
        <f t="shared" si="16"/>
        <v>0.12059259167888789</v>
      </c>
      <c r="L22" s="110">
        <f t="shared" si="16"/>
        <v>0.12059259167888789</v>
      </c>
      <c r="M22" s="110">
        <f t="shared" si="16"/>
        <v>0.12059259167888789</v>
      </c>
      <c r="N22" s="110">
        <f t="shared" si="16"/>
        <v>0.12059259167888789</v>
      </c>
      <c r="O22" s="110">
        <f t="shared" si="16"/>
        <v>0.12059259167888789</v>
      </c>
      <c r="P22" s="110">
        <f t="shared" si="16"/>
        <v>0.12059259167888789</v>
      </c>
      <c r="Q22" s="110">
        <f t="shared" si="16"/>
        <v>0.12059259167888789</v>
      </c>
      <c r="R22" s="110">
        <f t="shared" si="16"/>
        <v>0.12059259167888789</v>
      </c>
      <c r="S22" s="110">
        <f t="shared" si="16"/>
        <v>0.12059259167888789</v>
      </c>
      <c r="T22" s="110">
        <f t="shared" si="15"/>
        <v>0.12059259167888789</v>
      </c>
      <c r="U22" s="110">
        <f t="shared" si="15"/>
        <v>0.12059259167888789</v>
      </c>
      <c r="V22" s="110">
        <f t="shared" si="15"/>
        <v>0.12059259167888789</v>
      </c>
      <c r="W22" s="110">
        <f t="shared" si="15"/>
        <v>0.12059259167888789</v>
      </c>
      <c r="X22" s="110">
        <f t="shared" si="15"/>
        <v>0.12059259167888789</v>
      </c>
      <c r="Y22" s="110">
        <f t="shared" si="15"/>
        <v>0.12059259167888789</v>
      </c>
      <c r="Z22" s="110">
        <f t="shared" si="15"/>
        <v>0.12059259167888789</v>
      </c>
      <c r="AA22" s="110">
        <f t="shared" si="15"/>
        <v>0.12059259167888789</v>
      </c>
      <c r="AB22" s="110">
        <f t="shared" si="15"/>
        <v>0.12059259167888789</v>
      </c>
      <c r="AC22" s="110">
        <f t="shared" si="15"/>
        <v>0.12059259167888789</v>
      </c>
      <c r="AD22" s="110">
        <f t="shared" si="15"/>
        <v>0.12059259167888789</v>
      </c>
      <c r="AE22" s="110">
        <f t="shared" si="15"/>
        <v>0.12059259167888789</v>
      </c>
      <c r="AF22" s="110">
        <f t="shared" si="15"/>
        <v>0.12059259167888789</v>
      </c>
      <c r="AG22" s="110">
        <f t="shared" si="15"/>
        <v>0.12059259167888789</v>
      </c>
      <c r="AI22" s="54" t="s">
        <v>1263</v>
      </c>
      <c r="AJ22" s="211"/>
      <c r="AM22" s="120"/>
      <c r="AN22" s="115"/>
      <c r="AO22" s="116"/>
      <c r="AP22" s="117"/>
      <c r="AQ22" s="116"/>
    </row>
    <row r="23" spans="1:64" outlineLevel="1">
      <c r="A23" t="s">
        <v>1278</v>
      </c>
      <c r="B23" s="54" t="s">
        <v>462</v>
      </c>
      <c r="C23" s="110">
        <f>'Overall recycling rates'!C77</f>
        <v>0.40344579328579167</v>
      </c>
      <c r="D23" s="110">
        <f t="shared" si="16"/>
        <v>0.40344579328579167</v>
      </c>
      <c r="E23" s="110">
        <f t="shared" si="16"/>
        <v>0.40344579328579167</v>
      </c>
      <c r="F23" s="110">
        <f t="shared" si="16"/>
        <v>0.40344579328579167</v>
      </c>
      <c r="G23" s="110">
        <f t="shared" si="16"/>
        <v>0.40344579328579167</v>
      </c>
      <c r="H23" s="110">
        <f t="shared" si="16"/>
        <v>0.40344579328579167</v>
      </c>
      <c r="I23" s="110">
        <f t="shared" si="16"/>
        <v>0.40344579328579167</v>
      </c>
      <c r="J23" s="110">
        <f t="shared" si="16"/>
        <v>0.40344579328579167</v>
      </c>
      <c r="K23" s="110">
        <f t="shared" si="16"/>
        <v>0.40344579328579167</v>
      </c>
      <c r="L23" s="110">
        <f t="shared" si="16"/>
        <v>0.40344579328579167</v>
      </c>
      <c r="M23" s="110">
        <f t="shared" si="16"/>
        <v>0.40344579328579167</v>
      </c>
      <c r="N23" s="110">
        <f t="shared" si="16"/>
        <v>0.40344579328579167</v>
      </c>
      <c r="O23" s="110">
        <f t="shared" si="16"/>
        <v>0.40344579328579167</v>
      </c>
      <c r="P23" s="110">
        <f t="shared" si="16"/>
        <v>0.40344579328579167</v>
      </c>
      <c r="Q23" s="110">
        <f t="shared" si="16"/>
        <v>0.40344579328579167</v>
      </c>
      <c r="R23" s="110">
        <f t="shared" si="16"/>
        <v>0.40344579328579167</v>
      </c>
      <c r="S23" s="110">
        <f t="shared" si="16"/>
        <v>0.40344579328579167</v>
      </c>
      <c r="T23" s="110">
        <f t="shared" si="15"/>
        <v>0.40344579328579167</v>
      </c>
      <c r="U23" s="110">
        <f t="shared" si="15"/>
        <v>0.40344579328579167</v>
      </c>
      <c r="V23" s="110">
        <f t="shared" si="15"/>
        <v>0.40344579328579167</v>
      </c>
      <c r="W23" s="110">
        <f t="shared" si="15"/>
        <v>0.40344579328579167</v>
      </c>
      <c r="X23" s="110">
        <f t="shared" si="15"/>
        <v>0.40344579328579167</v>
      </c>
      <c r="Y23" s="110">
        <f t="shared" si="15"/>
        <v>0.40344579328579167</v>
      </c>
      <c r="Z23" s="110">
        <f t="shared" si="15"/>
        <v>0.40344579328579167</v>
      </c>
      <c r="AA23" s="110">
        <f t="shared" si="15"/>
        <v>0.40344579328579167</v>
      </c>
      <c r="AB23" s="110">
        <f t="shared" si="15"/>
        <v>0.40344579328579167</v>
      </c>
      <c r="AC23" s="110">
        <f t="shared" si="15"/>
        <v>0.40344579328579167</v>
      </c>
      <c r="AD23" s="110">
        <f t="shared" si="15"/>
        <v>0.40344579328579167</v>
      </c>
      <c r="AE23" s="110">
        <f t="shared" si="15"/>
        <v>0.40344579328579167</v>
      </c>
      <c r="AF23" s="110">
        <f t="shared" si="15"/>
        <v>0.40344579328579167</v>
      </c>
      <c r="AG23" s="110">
        <f t="shared" si="15"/>
        <v>0.40344579328579167</v>
      </c>
      <c r="AI23" s="54" t="s">
        <v>1263</v>
      </c>
      <c r="AJ23" s="211"/>
      <c r="AM23" s="120"/>
      <c r="AN23" s="115"/>
      <c r="AO23" s="116"/>
      <c r="AP23" s="117"/>
      <c r="AQ23" s="116"/>
    </row>
    <row r="24" spans="1:64" outlineLevel="1">
      <c r="A24" t="s">
        <v>1279</v>
      </c>
      <c r="B24" s="54" t="s">
        <v>462</v>
      </c>
      <c r="C24" s="110">
        <f>'Overall recycling rates'!C79</f>
        <v>0.12870939312767635</v>
      </c>
      <c r="D24" s="110">
        <f t="shared" si="16"/>
        <v>0.12870939312767635</v>
      </c>
      <c r="E24" s="110">
        <f t="shared" si="16"/>
        <v>0.12870939312767635</v>
      </c>
      <c r="F24" s="110">
        <f t="shared" si="16"/>
        <v>0.12870939312767635</v>
      </c>
      <c r="G24" s="110">
        <f t="shared" si="16"/>
        <v>0.12870939312767635</v>
      </c>
      <c r="H24" s="110">
        <f t="shared" si="16"/>
        <v>0.12870939312767635</v>
      </c>
      <c r="I24" s="110">
        <f t="shared" si="16"/>
        <v>0.12870939312767635</v>
      </c>
      <c r="J24" s="110">
        <f t="shared" si="16"/>
        <v>0.12870939312767635</v>
      </c>
      <c r="K24" s="110">
        <f t="shared" si="16"/>
        <v>0.12870939312767635</v>
      </c>
      <c r="L24" s="110">
        <f t="shared" si="16"/>
        <v>0.12870939312767635</v>
      </c>
      <c r="M24" s="110">
        <f t="shared" si="16"/>
        <v>0.12870939312767635</v>
      </c>
      <c r="N24" s="110">
        <f t="shared" si="16"/>
        <v>0.12870939312767635</v>
      </c>
      <c r="O24" s="110">
        <f t="shared" si="16"/>
        <v>0.12870939312767635</v>
      </c>
      <c r="P24" s="110">
        <f t="shared" si="16"/>
        <v>0.12870939312767635</v>
      </c>
      <c r="Q24" s="110">
        <f t="shared" si="16"/>
        <v>0.12870939312767635</v>
      </c>
      <c r="R24" s="110">
        <f t="shared" si="16"/>
        <v>0.12870939312767635</v>
      </c>
      <c r="S24" s="110">
        <f t="shared" si="16"/>
        <v>0.12870939312767635</v>
      </c>
      <c r="T24" s="110">
        <f t="shared" si="15"/>
        <v>0.12870939312767635</v>
      </c>
      <c r="U24" s="110">
        <f t="shared" si="15"/>
        <v>0.12870939312767635</v>
      </c>
      <c r="V24" s="110">
        <f t="shared" si="15"/>
        <v>0.12870939312767635</v>
      </c>
      <c r="W24" s="110">
        <f t="shared" si="15"/>
        <v>0.12870939312767635</v>
      </c>
      <c r="X24" s="110">
        <f t="shared" si="15"/>
        <v>0.12870939312767635</v>
      </c>
      <c r="Y24" s="110">
        <f t="shared" si="15"/>
        <v>0.12870939312767635</v>
      </c>
      <c r="Z24" s="110">
        <f t="shared" si="15"/>
        <v>0.12870939312767635</v>
      </c>
      <c r="AA24" s="110">
        <f t="shared" si="15"/>
        <v>0.12870939312767635</v>
      </c>
      <c r="AB24" s="110">
        <f t="shared" si="15"/>
        <v>0.12870939312767635</v>
      </c>
      <c r="AC24" s="110">
        <f t="shared" si="15"/>
        <v>0.12870939312767635</v>
      </c>
      <c r="AD24" s="110">
        <f t="shared" si="15"/>
        <v>0.12870939312767635</v>
      </c>
      <c r="AE24" s="110">
        <f t="shared" si="15"/>
        <v>0.12870939312767635</v>
      </c>
      <c r="AF24" s="110">
        <f t="shared" si="15"/>
        <v>0.12870939312767635</v>
      </c>
      <c r="AG24" s="110">
        <f t="shared" si="15"/>
        <v>0.12870939312767635</v>
      </c>
      <c r="AI24" s="54" t="s">
        <v>1430</v>
      </c>
      <c r="AJ24" s="211"/>
      <c r="AM24" s="120"/>
      <c r="AN24" s="115"/>
      <c r="AO24" s="116"/>
      <c r="AP24" s="117"/>
      <c r="AQ24" s="116"/>
    </row>
    <row r="25" spans="1:64" outlineLevel="1">
      <c r="A25" t="s">
        <v>1281</v>
      </c>
      <c r="B25" s="54" t="s">
        <v>462</v>
      </c>
      <c r="C25" s="110">
        <f>'Overall recycling rates'!C80</f>
        <v>0.27152478293850724</v>
      </c>
      <c r="D25" s="110">
        <f>C25</f>
        <v>0.27152478293850724</v>
      </c>
      <c r="E25" s="110">
        <f t="shared" si="16"/>
        <v>0.27152478293850724</v>
      </c>
      <c r="F25" s="110">
        <f t="shared" si="16"/>
        <v>0.27152478293850724</v>
      </c>
      <c r="G25" s="110">
        <f t="shared" si="16"/>
        <v>0.27152478293850724</v>
      </c>
      <c r="H25" s="110">
        <f t="shared" si="16"/>
        <v>0.27152478293850724</v>
      </c>
      <c r="I25" s="110">
        <f t="shared" si="16"/>
        <v>0.27152478293850724</v>
      </c>
      <c r="J25" s="110">
        <f t="shared" si="16"/>
        <v>0.27152478293850724</v>
      </c>
      <c r="K25" s="110">
        <f t="shared" si="16"/>
        <v>0.27152478293850724</v>
      </c>
      <c r="L25" s="110">
        <f t="shared" si="16"/>
        <v>0.27152478293850724</v>
      </c>
      <c r="M25" s="110">
        <f t="shared" si="16"/>
        <v>0.27152478293850724</v>
      </c>
      <c r="N25" s="110">
        <f t="shared" si="16"/>
        <v>0.27152478293850724</v>
      </c>
      <c r="O25" s="110">
        <f t="shared" si="16"/>
        <v>0.27152478293850724</v>
      </c>
      <c r="P25" s="110">
        <f t="shared" si="16"/>
        <v>0.27152478293850724</v>
      </c>
      <c r="Q25" s="110">
        <f t="shared" si="16"/>
        <v>0.27152478293850724</v>
      </c>
      <c r="R25" s="110">
        <f t="shared" si="16"/>
        <v>0.27152478293850724</v>
      </c>
      <c r="S25" s="110">
        <f t="shared" si="16"/>
        <v>0.27152478293850724</v>
      </c>
      <c r="T25" s="110">
        <f t="shared" si="15"/>
        <v>0.27152478293850724</v>
      </c>
      <c r="U25" s="110">
        <f t="shared" si="15"/>
        <v>0.27152478293850724</v>
      </c>
      <c r="V25" s="110">
        <f t="shared" si="15"/>
        <v>0.27152478293850724</v>
      </c>
      <c r="W25" s="110">
        <f t="shared" si="15"/>
        <v>0.27152478293850724</v>
      </c>
      <c r="X25" s="110">
        <f t="shared" si="15"/>
        <v>0.27152478293850724</v>
      </c>
      <c r="Y25" s="110">
        <f t="shared" si="15"/>
        <v>0.27152478293850724</v>
      </c>
      <c r="Z25" s="110">
        <f t="shared" si="15"/>
        <v>0.27152478293850724</v>
      </c>
      <c r="AA25" s="110">
        <f t="shared" si="15"/>
        <v>0.27152478293850724</v>
      </c>
      <c r="AB25" s="110">
        <f t="shared" si="15"/>
        <v>0.27152478293850724</v>
      </c>
      <c r="AC25" s="110">
        <f t="shared" si="15"/>
        <v>0.27152478293850724</v>
      </c>
      <c r="AD25" s="110">
        <f t="shared" si="15"/>
        <v>0.27152478293850724</v>
      </c>
      <c r="AE25" s="110">
        <f t="shared" si="15"/>
        <v>0.27152478293850724</v>
      </c>
      <c r="AF25" s="110">
        <f t="shared" si="15"/>
        <v>0.27152478293850724</v>
      </c>
      <c r="AG25" s="110">
        <f t="shared" si="15"/>
        <v>0.27152478293850724</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1282</v>
      </c>
      <c r="B27" s="54" t="s">
        <v>1283</v>
      </c>
      <c r="C27" s="204">
        <f t="shared" ref="C27:AG27" si="17">C14*C21</f>
        <v>102.83867964679865</v>
      </c>
      <c r="D27" s="204">
        <f t="shared" si="17"/>
        <v>106.28598640768944</v>
      </c>
      <c r="E27" s="204">
        <f t="shared" si="17"/>
        <v>109.5616995008031</v>
      </c>
      <c r="F27" s="204">
        <f t="shared" si="17"/>
        <v>112.64333563181849</v>
      </c>
      <c r="G27" s="204">
        <f t="shared" si="17"/>
        <v>115.50931122200963</v>
      </c>
      <c r="H27" s="204">
        <f t="shared" si="17"/>
        <v>118.13919421573216</v>
      </c>
      <c r="I27" s="204">
        <f t="shared" si="17"/>
        <v>120.77395041935485</v>
      </c>
      <c r="J27" s="204">
        <f t="shared" si="17"/>
        <v>123.4111943053117</v>
      </c>
      <c r="K27" s="204">
        <f t="shared" si="17"/>
        <v>126.04847978225341</v>
      </c>
      <c r="L27" s="204">
        <f t="shared" si="17"/>
        <v>128.68330337612264</v>
      </c>
      <c r="M27" s="204">
        <f t="shared" si="17"/>
        <v>131.31310762622246</v>
      </c>
      <c r="N27" s="204">
        <f t="shared" si="17"/>
        <v>133.74365133866885</v>
      </c>
      <c r="O27" s="204">
        <f t="shared" si="17"/>
        <v>135.96145428106598</v>
      </c>
      <c r="P27" s="204">
        <f t="shared" si="17"/>
        <v>137.95398835278621</v>
      </c>
      <c r="Q27" s="204">
        <f t="shared" si="17"/>
        <v>139.70979402380797</v>
      </c>
      <c r="R27" s="204">
        <f t="shared" si="17"/>
        <v>141.21858889442359</v>
      </c>
      <c r="S27" s="204">
        <f t="shared" si="17"/>
        <v>142.72805331994462</v>
      </c>
      <c r="T27" s="204">
        <f t="shared" si="17"/>
        <v>144.23785099543639</v>
      </c>
      <c r="U27" s="204">
        <f t="shared" si="17"/>
        <v>145.74764157846025</v>
      </c>
      <c r="V27" s="204">
        <f t="shared" si="17"/>
        <v>147.25708079644534</v>
      </c>
      <c r="W27" s="204">
        <f t="shared" si="17"/>
        <v>148.76582055762699</v>
      </c>
      <c r="X27" s="204">
        <f t="shared" si="17"/>
        <v>150.27516423982337</v>
      </c>
      <c r="Y27" s="204">
        <f t="shared" si="17"/>
        <v>151.78480881836185</v>
      </c>
      <c r="Z27" s="204">
        <f t="shared" si="17"/>
        <v>153.2944478440792</v>
      </c>
      <c r="AA27" s="204">
        <f t="shared" si="17"/>
        <v>154.80377153088244</v>
      </c>
      <c r="AB27" s="204">
        <f t="shared" si="17"/>
        <v>156.31246684603533</v>
      </c>
      <c r="AC27" s="204">
        <f t="shared" si="17"/>
        <v>157.82170967288491</v>
      </c>
      <c r="AD27" s="204">
        <f t="shared" si="17"/>
        <v>159.33122553085934</v>
      </c>
      <c r="AE27" s="204">
        <f t="shared" si="17"/>
        <v>160.84073700912998</v>
      </c>
      <c r="AF27" s="204">
        <f t="shared" si="17"/>
        <v>162.34996383873036</v>
      </c>
      <c r="AG27" s="204">
        <f t="shared" si="17"/>
        <v>163.85862296678792</v>
      </c>
      <c r="AI27" s="245"/>
      <c r="AM27" s="120"/>
      <c r="AN27" s="115"/>
      <c r="AO27" s="115"/>
      <c r="AP27" s="115"/>
      <c r="AQ27" s="115"/>
      <c r="BD27" s="205"/>
      <c r="BE27" s="205"/>
      <c r="BF27" s="205"/>
      <c r="BG27" s="205"/>
      <c r="BH27" s="205"/>
      <c r="BI27" s="205"/>
      <c r="BJ27" s="205"/>
      <c r="BK27" s="205"/>
      <c r="BL27" s="205"/>
    </row>
    <row r="28" spans="1:64" outlineLevel="1">
      <c r="A28" t="s">
        <v>1284</v>
      </c>
      <c r="B28" s="54" t="s">
        <v>1283</v>
      </c>
      <c r="C28" s="204">
        <f t="shared" ref="C28:AG28" si="18">C15*C22</f>
        <v>2.1856442000720988</v>
      </c>
      <c r="D28" s="204">
        <f t="shared" si="18"/>
        <v>2.2589102712982947</v>
      </c>
      <c r="E28" s="204">
        <f t="shared" si="18"/>
        <v>2.3285294393744862</v>
      </c>
      <c r="F28" s="204">
        <f t="shared" si="18"/>
        <v>2.3940238638421976</v>
      </c>
      <c r="G28" s="204">
        <f t="shared" si="18"/>
        <v>2.4549348260187185</v>
      </c>
      <c r="H28" s="204">
        <f t="shared" si="18"/>
        <v>2.5108280806952612</v>
      </c>
      <c r="I28" s="204">
        <f t="shared" si="18"/>
        <v>2.5668249063529807</v>
      </c>
      <c r="J28" s="204">
        <f t="shared" si="18"/>
        <v>2.6228746030557586</v>
      </c>
      <c r="K28" s="204">
        <f t="shared" si="18"/>
        <v>2.6789251836972952</v>
      </c>
      <c r="L28" s="204">
        <f t="shared" si="18"/>
        <v>2.7349234416089296</v>
      </c>
      <c r="M28" s="204">
        <f t="shared" si="18"/>
        <v>2.7908150227367376</v>
      </c>
      <c r="N28" s="204">
        <f t="shared" si="18"/>
        <v>2.8424716930321492</v>
      </c>
      <c r="O28" s="204">
        <f t="shared" si="18"/>
        <v>2.8896069553147976</v>
      </c>
      <c r="P28" s="204">
        <f t="shared" si="18"/>
        <v>2.9319545481880098</v>
      </c>
      <c r="Q28" s="204">
        <f t="shared" si="18"/>
        <v>2.9692709207289902</v>
      </c>
      <c r="R28" s="204">
        <f t="shared" si="18"/>
        <v>3.0013375397227922</v>
      </c>
      <c r="S28" s="204">
        <f t="shared" si="18"/>
        <v>3.0334183888564659</v>
      </c>
      <c r="T28" s="204">
        <f t="shared" si="18"/>
        <v>3.0655063205962985</v>
      </c>
      <c r="U28" s="204">
        <f t="shared" si="18"/>
        <v>3.0975941015989621</v>
      </c>
      <c r="V28" s="204">
        <f t="shared" si="18"/>
        <v>3.1296744149935063</v>
      </c>
      <c r="W28" s="204">
        <f t="shared" si="18"/>
        <v>3.1617398627391444</v>
      </c>
      <c r="X28" s="204">
        <f t="shared" si="18"/>
        <v>3.1938181456988057</v>
      </c>
      <c r="Y28" s="204">
        <f t="shared" si="18"/>
        <v>3.2259028236486325</v>
      </c>
      <c r="Z28" s="204">
        <f t="shared" si="18"/>
        <v>3.2579873835836088</v>
      </c>
      <c r="AA28" s="204">
        <f t="shared" si="18"/>
        <v>3.2900652415785085</v>
      </c>
      <c r="AB28" s="204">
        <f t="shared" si="18"/>
        <v>3.3221297447067584</v>
      </c>
      <c r="AC28" s="204">
        <f t="shared" si="18"/>
        <v>3.3542058841742581</v>
      </c>
      <c r="AD28" s="204">
        <f t="shared" si="18"/>
        <v>3.3862878264087373</v>
      </c>
      <c r="AE28" s="204">
        <f t="shared" si="18"/>
        <v>3.4183696755607862</v>
      </c>
      <c r="AF28" s="204">
        <f t="shared" si="18"/>
        <v>3.4504454750366103</v>
      </c>
      <c r="AG28" s="204">
        <f t="shared" si="18"/>
        <v>3.4825092090756877</v>
      </c>
      <c r="AM28" s="206"/>
      <c r="BD28" s="205"/>
      <c r="BE28" s="205"/>
      <c r="BF28" s="205"/>
      <c r="BG28" s="205"/>
      <c r="BH28" s="205"/>
      <c r="BI28" s="205"/>
      <c r="BJ28" s="205"/>
      <c r="BK28" s="205"/>
      <c r="BL28" s="205"/>
    </row>
    <row r="29" spans="1:64" outlineLevel="1">
      <c r="A29" t="s">
        <v>1285</v>
      </c>
      <c r="B29" s="54" t="s">
        <v>1283</v>
      </c>
      <c r="C29" s="204">
        <f t="shared" ref="C29:AG29" si="19">C16*C23</f>
        <v>5.752639614679981</v>
      </c>
      <c r="D29" s="204">
        <f t="shared" si="19"/>
        <v>5.945476721348065</v>
      </c>
      <c r="E29" s="204">
        <f t="shared" si="19"/>
        <v>6.1287151387459886</v>
      </c>
      <c r="F29" s="204">
        <f t="shared" si="19"/>
        <v>6.301097185522492</v>
      </c>
      <c r="G29" s="204">
        <f t="shared" si="19"/>
        <v>6.4614155090508003</v>
      </c>
      <c r="H29" s="204">
        <f t="shared" si="19"/>
        <v>6.6085271711571334</v>
      </c>
      <c r="I29" s="204">
        <f t="shared" si="19"/>
        <v>6.7559114332270083</v>
      </c>
      <c r="J29" s="204">
        <f t="shared" si="19"/>
        <v>6.9034348524699753</v>
      </c>
      <c r="K29" s="204">
        <f t="shared" si="19"/>
        <v>7.0509605982494961</v>
      </c>
      <c r="L29" s="204">
        <f t="shared" si="19"/>
        <v>7.1983486300274544</v>
      </c>
      <c r="M29" s="204">
        <f t="shared" si="19"/>
        <v>7.3454558873350795</v>
      </c>
      <c r="N29" s="204">
        <f t="shared" si="19"/>
        <v>7.4814168126741842</v>
      </c>
      <c r="O29" s="204">
        <f t="shared" si="19"/>
        <v>7.6054773423095892</v>
      </c>
      <c r="P29" s="204">
        <f t="shared" si="19"/>
        <v>7.7169366733117464</v>
      </c>
      <c r="Q29" s="204">
        <f t="shared" si="19"/>
        <v>7.8151537769685619</v>
      </c>
      <c r="R29" s="204">
        <f t="shared" si="19"/>
        <v>7.8995534714506324</v>
      </c>
      <c r="S29" s="204">
        <f t="shared" si="19"/>
        <v>7.9839906198176243</v>
      </c>
      <c r="T29" s="204">
        <f t="shared" si="19"/>
        <v>8.0684464096820587</v>
      </c>
      <c r="U29" s="204">
        <f t="shared" si="19"/>
        <v>8.1529018028046014</v>
      </c>
      <c r="V29" s="204">
        <f t="shared" si="19"/>
        <v>8.2373375411003043</v>
      </c>
      <c r="W29" s="204">
        <f t="shared" si="19"/>
        <v>8.3217341528443036</v>
      </c>
      <c r="X29" s="204">
        <f t="shared" si="19"/>
        <v>8.406164547013022</v>
      </c>
      <c r="Y29" s="204">
        <f t="shared" si="19"/>
        <v>8.4906117728663109</v>
      </c>
      <c r="Z29" s="204">
        <f t="shared" si="19"/>
        <v>8.5750586881032156</v>
      </c>
      <c r="AA29" s="204">
        <f t="shared" si="19"/>
        <v>8.6594879637599984</v>
      </c>
      <c r="AB29" s="204">
        <f t="shared" si="19"/>
        <v>8.7438820892606266</v>
      </c>
      <c r="AC29" s="204">
        <f t="shared" si="19"/>
        <v>8.82830684173436</v>
      </c>
      <c r="AD29" s="204">
        <f t="shared" si="19"/>
        <v>8.9127468671547145</v>
      </c>
      <c r="AE29" s="204">
        <f t="shared" si="19"/>
        <v>8.9971866475810884</v>
      </c>
      <c r="AF29" s="204">
        <f t="shared" si="19"/>
        <v>9.0816105051929874</v>
      </c>
      <c r="AG29" s="204">
        <f t="shared" si="19"/>
        <v>9.1660026064424382</v>
      </c>
      <c r="BD29" s="205"/>
      <c r="BE29" s="205"/>
      <c r="BF29" s="205"/>
      <c r="BG29" s="205"/>
      <c r="BH29" s="205"/>
      <c r="BI29" s="205"/>
      <c r="BJ29" s="205"/>
      <c r="BK29" s="205"/>
      <c r="BL29" s="205"/>
    </row>
    <row r="30" spans="1:64" outlineLevel="1">
      <c r="A30" t="s">
        <v>1286</v>
      </c>
      <c r="B30" s="54" t="s">
        <v>1283</v>
      </c>
      <c r="C30" s="204">
        <f t="shared" ref="C30:AG30" si="20">C17*C24</f>
        <v>4.7040655633623691</v>
      </c>
      <c r="D30" s="204">
        <f t="shared" si="20"/>
        <v>4.8617528953657363</v>
      </c>
      <c r="E30" s="204">
        <f t="shared" si="20"/>
        <v>5.0115911586504671</v>
      </c>
      <c r="F30" s="204">
        <f t="shared" si="20"/>
        <v>5.1525519182840052</v>
      </c>
      <c r="G30" s="204">
        <f t="shared" si="20"/>
        <v>5.2836478942879612</v>
      </c>
      <c r="H30" s="204">
        <f t="shared" si="20"/>
        <v>5.4039444798619058</v>
      </c>
      <c r="I30" s="204">
        <f t="shared" si="20"/>
        <v>5.5244639766882395</v>
      </c>
      <c r="J30" s="204">
        <f t="shared" si="20"/>
        <v>5.6450972655317502</v>
      </c>
      <c r="K30" s="204">
        <f t="shared" si="20"/>
        <v>5.7657324568376458</v>
      </c>
      <c r="L30" s="204">
        <f t="shared" si="20"/>
        <v>5.8862550362408781</v>
      </c>
      <c r="M30" s="204">
        <f t="shared" si="20"/>
        <v>6.0065480199097303</v>
      </c>
      <c r="N30" s="204">
        <f t="shared" si="20"/>
        <v>6.1177263918728313</v>
      </c>
      <c r="O30" s="204">
        <f t="shared" si="20"/>
        <v>6.2191735368914705</v>
      </c>
      <c r="P30" s="204">
        <f t="shared" si="20"/>
        <v>6.3103163923112113</v>
      </c>
      <c r="Q30" s="204">
        <f t="shared" si="20"/>
        <v>6.3906307742283754</v>
      </c>
      <c r="R30" s="204">
        <f t="shared" si="20"/>
        <v>6.4596463432479041</v>
      </c>
      <c r="S30" s="204">
        <f t="shared" si="20"/>
        <v>6.5286925391695263</v>
      </c>
      <c r="T30" s="204">
        <f t="shared" si="20"/>
        <v>6.597753978671844</v>
      </c>
      <c r="U30" s="204">
        <f t="shared" si="20"/>
        <v>6.6668150937492028</v>
      </c>
      <c r="V30" s="204">
        <f t="shared" si="20"/>
        <v>6.7358601366231401</v>
      </c>
      <c r="W30" s="204">
        <f t="shared" si="20"/>
        <v>6.8048731848169286</v>
      </c>
      <c r="X30" s="204">
        <f t="shared" si="20"/>
        <v>6.8739138576754657</v>
      </c>
      <c r="Y30" s="204">
        <f t="shared" si="20"/>
        <v>6.9429682941891366</v>
      </c>
      <c r="Z30" s="204">
        <f t="shared" si="20"/>
        <v>7.0120224767046535</v>
      </c>
      <c r="AA30" s="204">
        <f t="shared" si="20"/>
        <v>7.0810622349302861</v>
      </c>
      <c r="AB30" s="204">
        <f t="shared" si="20"/>
        <v>7.1500732500657556</v>
      </c>
      <c r="AC30" s="204">
        <f t="shared" si="20"/>
        <v>7.2191093095807011</v>
      </c>
      <c r="AD30" s="204">
        <f t="shared" si="20"/>
        <v>7.2881578581349515</v>
      </c>
      <c r="AE30" s="204">
        <f t="shared" si="20"/>
        <v>7.3572062063519947</v>
      </c>
      <c r="AF30" s="204">
        <f t="shared" si="20"/>
        <v>7.426241534117862</v>
      </c>
      <c r="AG30" s="204">
        <f t="shared" si="20"/>
        <v>7.4952508939766433</v>
      </c>
      <c r="BD30" s="205"/>
      <c r="BE30" s="205"/>
      <c r="BF30" s="205"/>
      <c r="BG30" s="205"/>
      <c r="BH30" s="205"/>
      <c r="BI30" s="205"/>
      <c r="BJ30" s="205"/>
      <c r="BK30" s="205"/>
      <c r="BL30" s="205"/>
    </row>
    <row r="31" spans="1:64" outlineLevel="1">
      <c r="A31" s="181" t="s">
        <v>1287</v>
      </c>
      <c r="B31" s="176" t="s">
        <v>1283</v>
      </c>
      <c r="C31" s="204">
        <f t="shared" ref="C31:AG31" si="21">C18*C25</f>
        <v>28.091768113202104</v>
      </c>
      <c r="D31" s="204">
        <f t="shared" si="21"/>
        <v>29.033446307385653</v>
      </c>
      <c r="E31" s="204">
        <f t="shared" si="21"/>
        <v>29.928251383969435</v>
      </c>
      <c r="F31" s="204">
        <f t="shared" si="21"/>
        <v>30.770041728799526</v>
      </c>
      <c r="G31" s="204">
        <f t="shared" si="21"/>
        <v>31.552921497134374</v>
      </c>
      <c r="H31" s="204">
        <f t="shared" si="21"/>
        <v>32.271309398245535</v>
      </c>
      <c r="I31" s="204">
        <f t="shared" si="21"/>
        <v>32.991028482166051</v>
      </c>
      <c r="J31" s="204">
        <f t="shared" si="21"/>
        <v>33.711427109965484</v>
      </c>
      <c r="K31" s="204">
        <f t="shared" si="21"/>
        <v>34.431837098901674</v>
      </c>
      <c r="L31" s="204">
        <f t="shared" si="21"/>
        <v>35.151574591374157</v>
      </c>
      <c r="M31" s="204">
        <f t="shared" si="21"/>
        <v>35.869940982605996</v>
      </c>
      <c r="N31" s="204">
        <f t="shared" si="21"/>
        <v>36.533876678722947</v>
      </c>
      <c r="O31" s="204">
        <f t="shared" si="21"/>
        <v>37.139699372991053</v>
      </c>
      <c r="P31" s="204">
        <f t="shared" si="21"/>
        <v>37.683986846271161</v>
      </c>
      <c r="Q31" s="204">
        <f t="shared" si="21"/>
        <v>38.163608773853191</v>
      </c>
      <c r="R31" s="204">
        <f t="shared" si="21"/>
        <v>38.575756379999966</v>
      </c>
      <c r="S31" s="204">
        <f t="shared" si="21"/>
        <v>38.988086884071969</v>
      </c>
      <c r="T31" s="204">
        <f t="shared" si="21"/>
        <v>39.400508419854376</v>
      </c>
      <c r="U31" s="204">
        <f t="shared" si="21"/>
        <v>39.812928018233784</v>
      </c>
      <c r="V31" s="204">
        <f t="shared" si="21"/>
        <v>40.225251636528419</v>
      </c>
      <c r="W31" s="204">
        <f t="shared" si="21"/>
        <v>40.637384188792296</v>
      </c>
      <c r="X31" s="204">
        <f t="shared" si="21"/>
        <v>41.049681710201668</v>
      </c>
      <c r="Y31" s="204">
        <f t="shared" si="21"/>
        <v>41.462061425492728</v>
      </c>
      <c r="Z31" s="204">
        <f t="shared" si="21"/>
        <v>41.874439623956036</v>
      </c>
      <c r="AA31" s="204">
        <f t="shared" si="21"/>
        <v>42.286731683354908</v>
      </c>
      <c r="AB31" s="204">
        <f t="shared" si="21"/>
        <v>42.698852094588425</v>
      </c>
      <c r="AC31" s="204">
        <f t="shared" si="21"/>
        <v>43.111122066003716</v>
      </c>
      <c r="AD31" s="204">
        <f t="shared" si="21"/>
        <v>43.523466619541935</v>
      </c>
      <c r="AE31" s="204">
        <f t="shared" si="21"/>
        <v>43.935809976705173</v>
      </c>
      <c r="AF31" s="204">
        <f t="shared" si="21"/>
        <v>44.348075578256747</v>
      </c>
      <c r="AG31" s="204">
        <f t="shared" si="21"/>
        <v>44.760186104498587</v>
      </c>
      <c r="AL31" s="108"/>
      <c r="AM31" s="207"/>
      <c r="AN31" s="207"/>
      <c r="AO31" s="207"/>
    </row>
    <row r="32" spans="1:64" s="1" customFormat="1" ht="16" thickBot="1">
      <c r="A32" s="200" t="s">
        <v>1288</v>
      </c>
      <c r="B32" s="219" t="s">
        <v>1283</v>
      </c>
      <c r="C32" s="216">
        <f>SUM(C27:C31)</f>
        <v>143.57279713811519</v>
      </c>
      <c r="D32" s="216">
        <f t="shared" ref="D32:AG32" si="22">SUM(D27:D31)</f>
        <v>148.38557260308718</v>
      </c>
      <c r="E32" s="216">
        <f t="shared" si="22"/>
        <v>152.95878662154348</v>
      </c>
      <c r="F32" s="216">
        <f t="shared" si="22"/>
        <v>157.26105032826672</v>
      </c>
      <c r="G32" s="216">
        <f t="shared" si="22"/>
        <v>161.26223094850147</v>
      </c>
      <c r="H32" s="216">
        <f t="shared" si="22"/>
        <v>164.93380334569201</v>
      </c>
      <c r="I32" s="216">
        <f t="shared" si="22"/>
        <v>168.61217921778913</v>
      </c>
      <c r="J32" s="216">
        <f t="shared" si="22"/>
        <v>172.29402813633467</v>
      </c>
      <c r="K32" s="216">
        <f t="shared" si="22"/>
        <v>175.97593511993952</v>
      </c>
      <c r="L32" s="216">
        <f t="shared" si="22"/>
        <v>179.65440507537406</v>
      </c>
      <c r="M32" s="216">
        <f t="shared" si="22"/>
        <v>183.32586753881003</v>
      </c>
      <c r="N32" s="216">
        <f t="shared" si="22"/>
        <v>186.71914291497094</v>
      </c>
      <c r="O32" s="216">
        <f t="shared" si="22"/>
        <v>189.81541148857292</v>
      </c>
      <c r="P32" s="216">
        <f t="shared" si="22"/>
        <v>192.59718281286834</v>
      </c>
      <c r="Q32" s="216">
        <f t="shared" si="22"/>
        <v>195.04845826958712</v>
      </c>
      <c r="R32" s="216">
        <f t="shared" si="22"/>
        <v>197.15488262884489</v>
      </c>
      <c r="S32" s="216">
        <f t="shared" si="22"/>
        <v>199.26224175186022</v>
      </c>
      <c r="T32" s="216">
        <f t="shared" si="22"/>
        <v>201.37006612424096</v>
      </c>
      <c r="U32" s="216">
        <f t="shared" si="22"/>
        <v>203.47788059484677</v>
      </c>
      <c r="V32" s="216">
        <f t="shared" si="22"/>
        <v>205.5852045256907</v>
      </c>
      <c r="W32" s="216">
        <f t="shared" si="22"/>
        <v>207.69155194681969</v>
      </c>
      <c r="X32" s="216">
        <f t="shared" si="22"/>
        <v>209.79874250041232</v>
      </c>
      <c r="Y32" s="216">
        <f t="shared" si="22"/>
        <v>211.90635313455866</v>
      </c>
      <c r="Z32" s="216">
        <f t="shared" si="22"/>
        <v>214.01395601642673</v>
      </c>
      <c r="AA32" s="216">
        <f t="shared" si="22"/>
        <v>216.12111865450612</v>
      </c>
      <c r="AB32" s="216">
        <f t="shared" si="22"/>
        <v>218.22740402465692</v>
      </c>
      <c r="AC32" s="216">
        <f t="shared" si="22"/>
        <v>220.33445377437795</v>
      </c>
      <c r="AD32" s="216">
        <f t="shared" si="22"/>
        <v>222.44188470209969</v>
      </c>
      <c r="AE32" s="216">
        <f t="shared" si="22"/>
        <v>224.54930951532904</v>
      </c>
      <c r="AF32" s="216">
        <f t="shared" si="22"/>
        <v>226.65633693133458</v>
      </c>
      <c r="AG32" s="216">
        <f t="shared" si="22"/>
        <v>228.76257178078129</v>
      </c>
      <c r="AJ32" s="162"/>
      <c r="AL32" s="221"/>
      <c r="AM32" s="124"/>
      <c r="AN32" s="124"/>
      <c r="AO32" s="124"/>
    </row>
    <row r="33" spans="1:64" ht="16" outlineLevel="1" thickTop="1">
      <c r="AL33" s="108"/>
      <c r="AM33" s="2"/>
      <c r="AN33" s="2"/>
      <c r="AO33" s="2"/>
    </row>
    <row r="34" spans="1:64" outlineLevel="1">
      <c r="A34" t="s">
        <v>1289</v>
      </c>
      <c r="B34" s="176" t="s">
        <v>1283</v>
      </c>
      <c r="C34" s="107">
        <f>C32</f>
        <v>143.57279713811519</v>
      </c>
      <c r="D34" s="107">
        <f t="shared" ref="D34:AG34" si="23">D32</f>
        <v>148.38557260308718</v>
      </c>
      <c r="E34" s="107">
        <f t="shared" si="23"/>
        <v>152.95878662154348</v>
      </c>
      <c r="F34" s="107">
        <f t="shared" si="23"/>
        <v>157.26105032826672</v>
      </c>
      <c r="G34" s="107">
        <f t="shared" si="23"/>
        <v>161.26223094850147</v>
      </c>
      <c r="H34" s="107">
        <f t="shared" si="23"/>
        <v>164.93380334569201</v>
      </c>
      <c r="I34" s="107">
        <f t="shared" si="23"/>
        <v>168.61217921778913</v>
      </c>
      <c r="J34" s="107">
        <f t="shared" si="23"/>
        <v>172.29402813633467</v>
      </c>
      <c r="K34" s="107">
        <f t="shared" si="23"/>
        <v>175.97593511993952</v>
      </c>
      <c r="L34" s="107">
        <f t="shared" si="23"/>
        <v>179.65440507537406</v>
      </c>
      <c r="M34" s="107">
        <f t="shared" si="23"/>
        <v>183.32586753881003</v>
      </c>
      <c r="N34" s="107">
        <f t="shared" si="23"/>
        <v>186.71914291497094</v>
      </c>
      <c r="O34" s="107">
        <f t="shared" si="23"/>
        <v>189.81541148857292</v>
      </c>
      <c r="P34" s="107">
        <f t="shared" si="23"/>
        <v>192.59718281286834</v>
      </c>
      <c r="Q34" s="107">
        <f t="shared" si="23"/>
        <v>195.04845826958712</v>
      </c>
      <c r="R34" s="107">
        <f t="shared" si="23"/>
        <v>197.15488262884489</v>
      </c>
      <c r="S34" s="107">
        <f t="shared" si="23"/>
        <v>199.26224175186022</v>
      </c>
      <c r="T34" s="107">
        <f t="shared" si="23"/>
        <v>201.37006612424096</v>
      </c>
      <c r="U34" s="107">
        <f t="shared" si="23"/>
        <v>203.47788059484677</v>
      </c>
      <c r="V34" s="107">
        <f t="shared" si="23"/>
        <v>205.5852045256907</v>
      </c>
      <c r="W34" s="107">
        <f t="shared" si="23"/>
        <v>207.69155194681969</v>
      </c>
      <c r="X34" s="107">
        <f t="shared" si="23"/>
        <v>209.79874250041232</v>
      </c>
      <c r="Y34" s="107">
        <f t="shared" si="23"/>
        <v>211.90635313455866</v>
      </c>
      <c r="Z34" s="107">
        <f t="shared" si="23"/>
        <v>214.01395601642673</v>
      </c>
      <c r="AA34" s="107">
        <f t="shared" si="23"/>
        <v>216.12111865450612</v>
      </c>
      <c r="AB34" s="107">
        <f t="shared" si="23"/>
        <v>218.22740402465692</v>
      </c>
      <c r="AC34" s="107">
        <f t="shared" si="23"/>
        <v>220.33445377437795</v>
      </c>
      <c r="AD34" s="107">
        <f t="shared" si="23"/>
        <v>222.44188470209969</v>
      </c>
      <c r="AE34" s="107">
        <f t="shared" si="23"/>
        <v>224.54930951532904</v>
      </c>
      <c r="AF34" s="107">
        <f t="shared" si="23"/>
        <v>226.65633693133458</v>
      </c>
      <c r="AG34" s="107">
        <f t="shared" si="23"/>
        <v>228.76257178078129</v>
      </c>
      <c r="AL34" s="108"/>
      <c r="AM34" s="2"/>
      <c r="AN34" s="2"/>
      <c r="AO34" s="2"/>
    </row>
    <row r="35" spans="1:64" outlineLevel="1">
      <c r="A35" t="s">
        <v>1290</v>
      </c>
      <c r="B35" s="176" t="s">
        <v>1283</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c r="A36" t="s">
        <v>1291</v>
      </c>
      <c r="B36" s="176" t="s">
        <v>1283</v>
      </c>
      <c r="C36" s="107">
        <f>C35-C34</f>
        <v>19.119510554192487</v>
      </c>
      <c r="D36" s="107">
        <f t="shared" ref="D36:AG36" si="24">D35-D34</f>
        <v>18.333208035112079</v>
      </c>
      <c r="E36" s="107">
        <f t="shared" si="24"/>
        <v>17.886118166798894</v>
      </c>
      <c r="F36" s="107">
        <f t="shared" si="24"/>
        <v>17.812096082750799</v>
      </c>
      <c r="G36" s="107">
        <f t="shared" si="24"/>
        <v>18.143801863692886</v>
      </c>
      <c r="H36" s="107">
        <f t="shared" si="24"/>
        <v>18.912350500461827</v>
      </c>
      <c r="I36" s="107">
        <f t="shared" si="24"/>
        <v>19.282469349821127</v>
      </c>
      <c r="J36" s="107">
        <f t="shared" si="24"/>
        <v>19.738267463872432</v>
      </c>
      <c r="K36" s="107">
        <f t="shared" si="24"/>
        <v>20.285123056052441</v>
      </c>
      <c r="L36" s="107">
        <f t="shared" si="24"/>
        <v>20.928537684169555</v>
      </c>
      <c r="M36" s="107">
        <f t="shared" si="24"/>
        <v>21.67413246118997</v>
      </c>
      <c r="N36" s="107">
        <f t="shared" si="24"/>
        <v>20.722021280173266</v>
      </c>
      <c r="O36" s="107">
        <f t="shared" si="24"/>
        <v>20.095986573069922</v>
      </c>
      <c r="P36" s="107">
        <f t="shared" si="24"/>
        <v>19.813864951704971</v>
      </c>
      <c r="Q36" s="107">
        <f t="shared" si="24"/>
        <v>19.89200532160055</v>
      </c>
      <c r="R36" s="107">
        <f t="shared" si="24"/>
        <v>20.345117371155112</v>
      </c>
      <c r="S36" s="107">
        <f t="shared" si="24"/>
        <v>20.682192354681831</v>
      </c>
      <c r="T36" s="107">
        <f t="shared" si="24"/>
        <v>21.046274539883257</v>
      </c>
      <c r="U36" s="107">
        <f t="shared" si="24"/>
        <v>21.438147834664392</v>
      </c>
      <c r="V36" s="107">
        <f t="shared" si="24"/>
        <v>21.858605103825397</v>
      </c>
      <c r="W36" s="107">
        <f t="shared" si="24"/>
        <v>22.308448053180314</v>
      </c>
      <c r="X36" s="107">
        <f t="shared" si="24"/>
        <v>22.648617133041512</v>
      </c>
      <c r="Y36" s="107">
        <f t="shared" si="24"/>
        <v>23.014407737459692</v>
      </c>
      <c r="Z36" s="107">
        <f t="shared" si="24"/>
        <v>23.406524800019611</v>
      </c>
      <c r="AA36" s="107">
        <f t="shared" si="24"/>
        <v>23.825680861528781</v>
      </c>
      <c r="AB36" s="107">
        <f t="shared" si="24"/>
        <v>24.27259597534308</v>
      </c>
      <c r="AC36" s="107">
        <f t="shared" si="24"/>
        <v>24.615538693196953</v>
      </c>
      <c r="AD36" s="107">
        <f t="shared" si="24"/>
        <v>24.982852658168383</v>
      </c>
      <c r="AE36" s="107">
        <f t="shared" si="24"/>
        <v>25.375175238029158</v>
      </c>
      <c r="AF36" s="107">
        <f t="shared" si="24"/>
        <v>25.793150317315451</v>
      </c>
      <c r="AG36" s="107">
        <f t="shared" si="24"/>
        <v>26.237428219218714</v>
      </c>
      <c r="AL36" s="108"/>
      <c r="AM36" s="2"/>
      <c r="AN36" s="2"/>
      <c r="AO36" s="2"/>
    </row>
    <row r="37" spans="1:64" outlineLevel="1">
      <c r="A37" t="s">
        <v>1292</v>
      </c>
      <c r="B37" s="54" t="s">
        <v>462</v>
      </c>
      <c r="C37" s="2">
        <f>C34/C35</f>
        <v>0.88248054978510526</v>
      </c>
      <c r="D37" s="2">
        <f t="shared" ref="D37:AG37" si="25">D34/D35</f>
        <v>0.89003513602407247</v>
      </c>
      <c r="E37" s="2">
        <f t="shared" si="25"/>
        <v>0.89530786306470311</v>
      </c>
      <c r="F37" s="2">
        <f t="shared" si="25"/>
        <v>0.89825911941438741</v>
      </c>
      <c r="G37" s="2">
        <f t="shared" si="25"/>
        <v>0.89886738155184465</v>
      </c>
      <c r="H37" s="2">
        <f t="shared" si="25"/>
        <v>0.89712947426527034</v>
      </c>
      <c r="I37" s="2">
        <f t="shared" si="25"/>
        <v>0.89737616533084652</v>
      </c>
      <c r="J37" s="2">
        <f t="shared" si="25"/>
        <v>0.89721381290485835</v>
      </c>
      <c r="K37" s="2">
        <f t="shared" si="25"/>
        <v>0.89664213958399075</v>
      </c>
      <c r="L37" s="2">
        <f t="shared" si="25"/>
        <v>0.89566142865269238</v>
      </c>
      <c r="M37" s="2">
        <f t="shared" si="25"/>
        <v>0.89427252457956108</v>
      </c>
      <c r="N37" s="2">
        <f t="shared" si="25"/>
        <v>0.90010651280051812</v>
      </c>
      <c r="O37" s="2">
        <f t="shared" si="25"/>
        <v>0.9042644336675395</v>
      </c>
      <c r="P37" s="2">
        <f t="shared" si="25"/>
        <v>0.90671923536827637</v>
      </c>
      <c r="Q37" s="2">
        <f t="shared" si="25"/>
        <v>0.90745341761505305</v>
      </c>
      <c r="R37" s="2">
        <f t="shared" si="25"/>
        <v>0.90645923047744781</v>
      </c>
      <c r="S37" s="2">
        <f t="shared" si="25"/>
        <v>0.90596628444499172</v>
      </c>
      <c r="T37" s="2">
        <f t="shared" si="25"/>
        <v>0.90537442313347971</v>
      </c>
      <c r="U37" s="2">
        <f t="shared" si="25"/>
        <v>0.90468377027481117</v>
      </c>
      <c r="V37" s="2">
        <f t="shared" si="25"/>
        <v>0.90389448216053481</v>
      </c>
      <c r="W37" s="2">
        <f t="shared" si="25"/>
        <v>0.90300674759486821</v>
      </c>
      <c r="X37" s="2">
        <f t="shared" si="25"/>
        <v>0.90256453259457925</v>
      </c>
      <c r="Y37" s="2">
        <f t="shared" si="25"/>
        <v>0.90203331688510224</v>
      </c>
      <c r="Z37" s="2">
        <f t="shared" si="25"/>
        <v>0.90141320277202375</v>
      </c>
      <c r="AA37" s="2">
        <f t="shared" si="25"/>
        <v>0.90070431900077674</v>
      </c>
      <c r="AB37" s="2">
        <f t="shared" si="25"/>
        <v>0.89990682072023476</v>
      </c>
      <c r="AC37" s="2">
        <f t="shared" si="25"/>
        <v>0.89950790181610063</v>
      </c>
      <c r="AD37" s="2">
        <f t="shared" si="25"/>
        <v>0.8990284765997687</v>
      </c>
      <c r="AE37" s="2">
        <f t="shared" si="25"/>
        <v>0.89846863038220914</v>
      </c>
      <c r="AF37" s="2">
        <f t="shared" si="25"/>
        <v>0.89782847016872525</v>
      </c>
      <c r="AG37" s="2">
        <f t="shared" si="25"/>
        <v>0.89710812463051481</v>
      </c>
      <c r="AI37" s="208" t="s">
        <v>1293</v>
      </c>
      <c r="AL37" s="108"/>
      <c r="AM37" s="2"/>
      <c r="AN37" s="2"/>
      <c r="AO37" s="2"/>
    </row>
    <row r="38" spans="1:64" outlineLevel="1">
      <c r="AL38" s="108"/>
      <c r="AM38" s="2"/>
      <c r="AN38" s="2"/>
      <c r="AO38" s="2"/>
    </row>
    <row r="39" spans="1:64" outlineLevel="1">
      <c r="A39" t="s">
        <v>1294</v>
      </c>
      <c r="B39" s="54" t="s">
        <v>462</v>
      </c>
      <c r="C39" s="23">
        <f>'Yearly HC Ethylene'!D33/'Yearly HC Ethylene'!D26</f>
        <v>1</v>
      </c>
      <c r="D39" s="23">
        <f>'Yearly HC Ethylene'!E33/'Yearly HC Ethylene'!E26</f>
        <v>1</v>
      </c>
      <c r="E39" s="23">
        <f>'Yearly HC Ethylene'!F33/'Yearly HC Ethylene'!F26</f>
        <v>1</v>
      </c>
      <c r="F39" s="23">
        <f>'Yearly HC Ethylene'!G33/'Yearly HC Ethylene'!G26</f>
        <v>1</v>
      </c>
      <c r="G39" s="23">
        <f>'Yearly HC Ethylene'!H33/'Yearly HC Ethylene'!H26</f>
        <v>1</v>
      </c>
      <c r="H39" s="23">
        <f>'Yearly HC Ethylene'!I33/'Yearly HC Ethylene'!I26</f>
        <v>1</v>
      </c>
      <c r="I39" s="23">
        <f>'Yearly HC Ethylene'!J33/'Yearly HC Ethylene'!J26</f>
        <v>1</v>
      </c>
      <c r="J39" s="23">
        <f>'Yearly HC Ethylene'!K33/'Yearly HC Ethylene'!K26</f>
        <v>1</v>
      </c>
      <c r="K39" s="23">
        <f>'Yearly HC Ethylene'!L33/'Yearly HC Ethylene'!L26</f>
        <v>1</v>
      </c>
      <c r="L39" s="23">
        <f>'Yearly HC Ethylene'!M33/'Yearly HC Ethylene'!M26</f>
        <v>1</v>
      </c>
      <c r="M39" s="23">
        <f>'Yearly HC Ethylene'!N33/'Yearly HC Ethylene'!N26</f>
        <v>1</v>
      </c>
      <c r="N39" s="23">
        <f>'Yearly HC Ethylene'!O33/'Yearly HC Ethylene'!O26</f>
        <v>1</v>
      </c>
      <c r="O39" s="23">
        <f>'Yearly HC Ethylene'!P33/'Yearly HC Ethylene'!P26</f>
        <v>1</v>
      </c>
      <c r="P39" s="23">
        <f>'Yearly HC Ethylene'!Q33/'Yearly HC Ethylene'!Q26</f>
        <v>1</v>
      </c>
      <c r="Q39" s="23">
        <f>'Yearly HC Ethylene'!R33/'Yearly HC Ethylene'!R26</f>
        <v>1</v>
      </c>
      <c r="R39" s="23">
        <f>'Yearly HC Ethylene'!S33/'Yearly HC Ethylene'!S26</f>
        <v>1</v>
      </c>
      <c r="S39" s="23">
        <f>'Yearly HC Ethylene'!T33/'Yearly HC Ethylene'!T26</f>
        <v>1</v>
      </c>
      <c r="T39" s="23">
        <f>'Yearly HC Ethylene'!U33/'Yearly HC Ethylene'!U26</f>
        <v>1</v>
      </c>
      <c r="U39" s="23">
        <f>'Yearly HC Ethylene'!V33/'Yearly HC Ethylene'!V26</f>
        <v>1</v>
      </c>
      <c r="V39" s="23">
        <f>'Yearly HC Ethylene'!W33/'Yearly HC Ethylene'!W26</f>
        <v>1</v>
      </c>
      <c r="W39" s="23">
        <f>'Yearly HC Ethylene'!X33/'Yearly HC Ethylene'!X26</f>
        <v>1</v>
      </c>
      <c r="X39" s="23">
        <f>'Yearly HC Ethylene'!Y33/'Yearly HC Ethylene'!Y26</f>
        <v>1</v>
      </c>
      <c r="Y39" s="23">
        <f>'Yearly HC Ethylene'!Z33/'Yearly HC Ethylene'!Z26</f>
        <v>1</v>
      </c>
      <c r="Z39" s="23">
        <f>'Yearly HC Ethylene'!AA33/'Yearly HC Ethylene'!AA26</f>
        <v>1</v>
      </c>
      <c r="AA39" s="23">
        <f>'Yearly HC Ethylene'!AB33/'Yearly HC Ethylene'!AB26</f>
        <v>1</v>
      </c>
      <c r="AB39" s="23">
        <f>'Yearly HC Ethylene'!AC33/'Yearly HC Ethylene'!AC26</f>
        <v>1</v>
      </c>
      <c r="AC39" s="23">
        <f>'Yearly HC Ethylene'!AD33/'Yearly HC Ethylene'!AD26</f>
        <v>1</v>
      </c>
      <c r="AD39" s="23">
        <f>'Yearly HC Ethylene'!AE33/'Yearly HC Ethylene'!AE26</f>
        <v>1</v>
      </c>
      <c r="AE39" s="23">
        <f>'Yearly HC Ethylene'!AF33/'Yearly HC Ethylene'!AF26</f>
        <v>1</v>
      </c>
      <c r="AF39" s="23">
        <f>'Yearly HC Ethylene'!AG33/'Yearly HC Ethylene'!AG26</f>
        <v>1</v>
      </c>
      <c r="AG39" s="23">
        <f>'Yearly HC Ethylene'!AH33/'Yearly HC Ethylene'!AH26</f>
        <v>1</v>
      </c>
      <c r="AL39" s="108"/>
      <c r="AM39" s="2"/>
      <c r="AN39" s="2"/>
      <c r="AO39" s="2"/>
      <c r="BC39" s="1"/>
      <c r="BD39" s="122"/>
      <c r="BE39" s="122"/>
      <c r="BF39" s="122"/>
      <c r="BG39" s="122"/>
      <c r="BH39" s="122"/>
      <c r="BI39" s="122"/>
      <c r="BJ39" s="122"/>
      <c r="BK39" s="122"/>
    </row>
    <row r="40" spans="1:64" outlineLevel="1">
      <c r="A40" t="s">
        <v>1295</v>
      </c>
      <c r="B40" s="54" t="s">
        <v>462</v>
      </c>
      <c r="C40" s="23">
        <f>'Yearly HC Ethylene'!D19/'Yearly HC Ethylene'!D12</f>
        <v>1</v>
      </c>
      <c r="D40" s="23">
        <f>'Yearly HC Ethylene'!E19/'Yearly HC Ethylene'!E12</f>
        <v>1.002</v>
      </c>
      <c r="E40" s="23">
        <f>'Yearly HC Ethylene'!F19/'Yearly HC Ethylene'!F12</f>
        <v>1.004</v>
      </c>
      <c r="F40" s="23">
        <f>'Yearly HC Ethylene'!G19/'Yearly HC Ethylene'!G12</f>
        <v>1.006</v>
      </c>
      <c r="G40" s="23">
        <f>'Yearly HC Ethylene'!H19/'Yearly HC Ethylene'!H12</f>
        <v>1.008</v>
      </c>
      <c r="H40" s="23">
        <f>'Yearly HC Ethylene'!I19/'Yearly HC Ethylene'!I12</f>
        <v>1.01</v>
      </c>
      <c r="I40" s="23">
        <f>'Yearly HC Ethylene'!J19/'Yearly HC Ethylene'!J12</f>
        <v>1.012</v>
      </c>
      <c r="J40" s="23">
        <f>'Yearly HC Ethylene'!K19/'Yearly HC Ethylene'!K12</f>
        <v>1.014</v>
      </c>
      <c r="K40" s="23">
        <f>'Yearly HC Ethylene'!L19/'Yearly HC Ethylene'!L12</f>
        <v>1.016</v>
      </c>
      <c r="L40" s="23">
        <f>'Yearly HC Ethylene'!M19/'Yearly HC Ethylene'!M12</f>
        <v>1.018</v>
      </c>
      <c r="M40" s="23">
        <f>'Yearly HC Ethylene'!N19/'Yearly HC Ethylene'!N12</f>
        <v>1.02</v>
      </c>
      <c r="N40" s="23">
        <f>'Yearly HC Ethylene'!O19/'Yearly HC Ethylene'!O12</f>
        <v>1.0249999999999999</v>
      </c>
      <c r="O40" s="23">
        <f>'Yearly HC Ethylene'!P19/'Yearly HC Ethylene'!P12</f>
        <v>1.03</v>
      </c>
      <c r="P40" s="23">
        <f>'Yearly HC Ethylene'!Q19/'Yearly HC Ethylene'!Q12</f>
        <v>1.0350000000000001</v>
      </c>
      <c r="Q40" s="23">
        <f>'Yearly HC Ethylene'!R19/'Yearly HC Ethylene'!R12</f>
        <v>1.04</v>
      </c>
      <c r="R40" s="23">
        <f>'Yearly HC Ethylene'!S19/'Yearly HC Ethylene'!S12</f>
        <v>1.0449999999999999</v>
      </c>
      <c r="S40" s="23">
        <f>'Yearly HC Ethylene'!T19/'Yearly HC Ethylene'!T12</f>
        <v>1.05</v>
      </c>
      <c r="T40" s="23">
        <f>'Yearly HC Ethylene'!U19/'Yearly HC Ethylene'!U12</f>
        <v>1.0549999999999999</v>
      </c>
      <c r="U40" s="23">
        <f>'Yearly HC Ethylene'!V19/'Yearly HC Ethylene'!V12</f>
        <v>1.06</v>
      </c>
      <c r="V40" s="23">
        <f>'Yearly HC Ethylene'!W19/'Yearly HC Ethylene'!W12</f>
        <v>1.0649999999999999</v>
      </c>
      <c r="W40" s="23">
        <f>'Yearly HC Ethylene'!X19/'Yearly HC Ethylene'!X12</f>
        <v>1.07</v>
      </c>
      <c r="X40" s="23">
        <f>'Yearly HC Ethylene'!Y19/'Yearly HC Ethylene'!Y12</f>
        <v>1.073</v>
      </c>
      <c r="Y40" s="23">
        <f>'Yearly HC Ethylene'!Z19/'Yearly HC Ethylene'!Z12</f>
        <v>1.0760000000000001</v>
      </c>
      <c r="Z40" s="23">
        <f>'Yearly HC Ethylene'!AA19/'Yearly HC Ethylene'!AA12</f>
        <v>1.079</v>
      </c>
      <c r="AA40" s="23">
        <f>'Yearly HC Ethylene'!AB19/'Yearly HC Ethylene'!AB12</f>
        <v>1.0820000000000001</v>
      </c>
      <c r="AB40" s="23">
        <f>'Yearly HC Ethylene'!AC19/'Yearly HC Ethylene'!AC12</f>
        <v>1.085</v>
      </c>
      <c r="AC40" s="23">
        <f>'Yearly HC Ethylene'!AD19/'Yearly HC Ethylene'!AD12</f>
        <v>1.0880000000000001</v>
      </c>
      <c r="AD40" s="23">
        <f>'Yearly HC Ethylene'!AE19/'Yearly HC Ethylene'!AE12</f>
        <v>1.091</v>
      </c>
      <c r="AE40" s="23">
        <f>'Yearly HC Ethylene'!AF19/'Yearly HC Ethylene'!AF12</f>
        <v>1.0940000000000001</v>
      </c>
      <c r="AF40" s="23">
        <f>'Yearly HC Ethylene'!AG19/'Yearly HC Ethylene'!AG12</f>
        <v>1.097</v>
      </c>
      <c r="AG40" s="23">
        <f>'Yearly HC Ethylene'!AH19/'Yearly HC Ethylene'!AH12</f>
        <v>1.1000000000000001</v>
      </c>
      <c r="AL40" s="108"/>
      <c r="AM40" s="2"/>
      <c r="AN40" s="2"/>
      <c r="AO40" s="2"/>
      <c r="BL40" s="1"/>
    </row>
    <row r="41" spans="1:64" outlineLevel="1">
      <c r="A41" t="s">
        <v>1296</v>
      </c>
      <c r="B41" s="54" t="s">
        <v>462</v>
      </c>
      <c r="C41" s="23">
        <f>'Yearly HC Ethylene'!D43/'Yearly HC Ethylene'!D40</f>
        <v>1</v>
      </c>
      <c r="D41" s="23">
        <f>'Yearly HC Ethylene'!E43/'Yearly HC Ethylene'!E40</f>
        <v>1</v>
      </c>
      <c r="E41" s="23">
        <f>'Yearly HC Ethylene'!F43/'Yearly HC Ethylene'!F40</f>
        <v>1</v>
      </c>
      <c r="F41" s="23">
        <f>'Yearly HC Ethylene'!G43/'Yearly HC Ethylene'!G40</f>
        <v>1</v>
      </c>
      <c r="G41" s="23">
        <f>'Yearly HC Ethylene'!H43/'Yearly HC Ethylene'!H40</f>
        <v>1</v>
      </c>
      <c r="H41" s="23">
        <f>'Yearly HC Ethylene'!I43/'Yearly HC Ethylene'!I40</f>
        <v>1</v>
      </c>
      <c r="I41" s="23">
        <f>'Yearly HC Ethylene'!J43/'Yearly HC Ethylene'!J40</f>
        <v>1</v>
      </c>
      <c r="J41" s="23">
        <f>'Yearly HC Ethylene'!K43/'Yearly HC Ethylene'!K40</f>
        <v>1</v>
      </c>
      <c r="K41" s="23">
        <f>'Yearly HC Ethylene'!L43/'Yearly HC Ethylene'!L40</f>
        <v>1</v>
      </c>
      <c r="L41" s="23">
        <f>'Yearly HC Ethylene'!M43/'Yearly HC Ethylene'!M40</f>
        <v>1</v>
      </c>
      <c r="M41" s="23">
        <f>'Yearly HC Ethylene'!N43/'Yearly HC Ethylene'!N40</f>
        <v>1</v>
      </c>
      <c r="N41" s="23">
        <f>'Yearly HC Ethylene'!O43/'Yearly HC Ethylene'!O40</f>
        <v>1</v>
      </c>
      <c r="O41" s="23">
        <f>'Yearly HC Ethylene'!P43/'Yearly HC Ethylene'!P40</f>
        <v>1</v>
      </c>
      <c r="P41" s="23">
        <f>'Yearly HC Ethylene'!Q43/'Yearly HC Ethylene'!Q40</f>
        <v>1</v>
      </c>
      <c r="Q41" s="23">
        <f>'Yearly HC Ethylene'!R43/'Yearly HC Ethylene'!R40</f>
        <v>1</v>
      </c>
      <c r="R41" s="23">
        <f>'Yearly HC Ethylene'!S43/'Yearly HC Ethylene'!S40</f>
        <v>1</v>
      </c>
      <c r="S41" s="23">
        <f>'Yearly HC Ethylene'!T43/'Yearly HC Ethylene'!T40</f>
        <v>1</v>
      </c>
      <c r="T41" s="23">
        <f>'Yearly HC Ethylene'!U43/'Yearly HC Ethylene'!U40</f>
        <v>1</v>
      </c>
      <c r="U41" s="23">
        <f>'Yearly HC Ethylene'!V43/'Yearly HC Ethylene'!V40</f>
        <v>1</v>
      </c>
      <c r="V41" s="23">
        <f>'Yearly HC Ethylene'!W43/'Yearly HC Ethylene'!W40</f>
        <v>1</v>
      </c>
      <c r="W41" s="23">
        <f>'Yearly HC Ethylene'!X43/'Yearly HC Ethylene'!X40</f>
        <v>1</v>
      </c>
      <c r="X41" s="23">
        <f>'Yearly HC Ethylene'!Y43/'Yearly HC Ethylene'!Y40</f>
        <v>1</v>
      </c>
      <c r="Y41" s="23">
        <f>'Yearly HC Ethylene'!Z43/'Yearly HC Ethylene'!Z40</f>
        <v>1</v>
      </c>
      <c r="Z41" s="23">
        <f>'Yearly HC Ethylene'!AA43/'Yearly HC Ethylene'!AA40</f>
        <v>1</v>
      </c>
      <c r="AA41" s="23">
        <f>'Yearly HC Ethylene'!AB43/'Yearly HC Ethylene'!AB40</f>
        <v>1</v>
      </c>
      <c r="AB41" s="23">
        <f>'Yearly HC Ethylene'!AC43/'Yearly HC Ethylene'!AC40</f>
        <v>1</v>
      </c>
      <c r="AC41" s="23">
        <f>'Yearly HC Ethylene'!AD43/'Yearly HC Ethylene'!AD40</f>
        <v>1</v>
      </c>
      <c r="AD41" s="23">
        <f>'Yearly HC Ethylene'!AE43/'Yearly HC Ethylene'!AE40</f>
        <v>1</v>
      </c>
      <c r="AE41" s="23">
        <f>'Yearly HC Ethylene'!AF43/'Yearly HC Ethylene'!AF40</f>
        <v>1</v>
      </c>
      <c r="AF41" s="23">
        <f>'Yearly HC Ethylene'!AG43/'Yearly HC Ethylene'!AG40</f>
        <v>1</v>
      </c>
      <c r="AG41" s="23">
        <f>'Yearly HC Ethylene'!AH43/'Yearly HC Ethylene'!AH40</f>
        <v>1</v>
      </c>
      <c r="AL41" s="108"/>
      <c r="AM41" s="2"/>
      <c r="AN41" s="2"/>
      <c r="AO41" s="2"/>
      <c r="BD41" s="41"/>
      <c r="BE41" s="41"/>
      <c r="BF41" s="41"/>
      <c r="BG41" s="41"/>
      <c r="BH41" s="41"/>
      <c r="BI41" s="41"/>
      <c r="BJ41" s="41"/>
      <c r="BK41" s="41"/>
      <c r="BL41" s="118"/>
    </row>
    <row r="42" spans="1:64" outlineLevel="1">
      <c r="A42" t="s">
        <v>1297</v>
      </c>
      <c r="B42" s="54" t="s">
        <v>462</v>
      </c>
      <c r="C42" s="23">
        <f>'Yearly HC Ethylene'!D55/'Yearly HC Ethylene'!D50</f>
        <v>1</v>
      </c>
      <c r="D42" s="23">
        <f>'Yearly HC Ethylene'!E55/'Yearly HC Ethylene'!E50</f>
        <v>1</v>
      </c>
      <c r="E42" s="23">
        <f>'Yearly HC Ethylene'!F55/'Yearly HC Ethylene'!F50</f>
        <v>1</v>
      </c>
      <c r="F42" s="23">
        <f>'Yearly HC Ethylene'!G55/'Yearly HC Ethylene'!G50</f>
        <v>1</v>
      </c>
      <c r="G42" s="23">
        <f>'Yearly HC Ethylene'!H55/'Yearly HC Ethylene'!H50</f>
        <v>1</v>
      </c>
      <c r="H42" s="23">
        <f>'Yearly HC Ethylene'!I55/'Yearly HC Ethylene'!I50</f>
        <v>1</v>
      </c>
      <c r="I42" s="23">
        <f>'Yearly HC Ethylene'!J55/'Yearly HC Ethylene'!J50</f>
        <v>1</v>
      </c>
      <c r="J42" s="23">
        <f>'Yearly HC Ethylene'!K55/'Yearly HC Ethylene'!K50</f>
        <v>1</v>
      </c>
      <c r="K42" s="23">
        <f>'Yearly HC Ethylene'!L55/'Yearly HC Ethylene'!L50</f>
        <v>1</v>
      </c>
      <c r="L42" s="23">
        <f>'Yearly HC Ethylene'!M55/'Yearly HC Ethylene'!M50</f>
        <v>1</v>
      </c>
      <c r="M42" s="23">
        <f>'Yearly HC Ethylene'!N55/'Yearly HC Ethylene'!N50</f>
        <v>1</v>
      </c>
      <c r="N42" s="23">
        <f>'Yearly HC Ethylene'!O55/'Yearly HC Ethylene'!O50</f>
        <v>1</v>
      </c>
      <c r="O42" s="23">
        <f>'Yearly HC Ethylene'!P55/'Yearly HC Ethylene'!P50</f>
        <v>1</v>
      </c>
      <c r="P42" s="23">
        <f>'Yearly HC Ethylene'!Q55/'Yearly HC Ethylene'!Q50</f>
        <v>1</v>
      </c>
      <c r="Q42" s="23">
        <f>'Yearly HC Ethylene'!R55/'Yearly HC Ethylene'!R50</f>
        <v>1</v>
      </c>
      <c r="R42" s="23">
        <f>'Yearly HC Ethylene'!S55/'Yearly HC Ethylene'!S50</f>
        <v>1</v>
      </c>
      <c r="S42" s="23">
        <f>'Yearly HC Ethylene'!T55/'Yearly HC Ethylene'!T50</f>
        <v>1</v>
      </c>
      <c r="T42" s="23">
        <f>'Yearly HC Ethylene'!U55/'Yearly HC Ethylene'!U50</f>
        <v>1</v>
      </c>
      <c r="U42" s="23">
        <f>'Yearly HC Ethylene'!V55/'Yearly HC Ethylene'!V50</f>
        <v>1</v>
      </c>
      <c r="V42" s="23">
        <f>'Yearly HC Ethylene'!W55/'Yearly HC Ethylene'!W50</f>
        <v>1</v>
      </c>
      <c r="W42" s="23">
        <f>'Yearly HC Ethylene'!X55/'Yearly HC Ethylene'!X50</f>
        <v>1</v>
      </c>
      <c r="X42" s="23">
        <f>'Yearly HC Ethylene'!Y55/'Yearly HC Ethylene'!Y50</f>
        <v>1</v>
      </c>
      <c r="Y42" s="23">
        <f>'Yearly HC Ethylene'!Z55/'Yearly HC Ethylene'!Z50</f>
        <v>1</v>
      </c>
      <c r="Z42" s="23">
        <f>'Yearly HC Ethylene'!AA55/'Yearly HC Ethylene'!AA50</f>
        <v>1</v>
      </c>
      <c r="AA42" s="23">
        <f>'Yearly HC Ethylene'!AB55/'Yearly HC Ethylene'!AB50</f>
        <v>1</v>
      </c>
      <c r="AB42" s="23">
        <f>'Yearly HC Ethylene'!AC55/'Yearly HC Ethylene'!AC50</f>
        <v>1</v>
      </c>
      <c r="AC42" s="23">
        <f>'Yearly HC Ethylene'!AD55/'Yearly HC Ethylene'!AD50</f>
        <v>1</v>
      </c>
      <c r="AD42" s="23">
        <f>'Yearly HC Ethylene'!AE55/'Yearly HC Ethylene'!AE50</f>
        <v>1</v>
      </c>
      <c r="AE42" s="23">
        <f>'Yearly HC Ethylene'!AF55/'Yearly HC Ethylene'!AF50</f>
        <v>1</v>
      </c>
      <c r="AF42" s="23">
        <f>'Yearly HC Ethylene'!AG55/'Yearly HC Ethylene'!AG50</f>
        <v>1</v>
      </c>
      <c r="AG42" s="23">
        <f>'Yearly HC Ethylene'!AH55/'Yearly HC Ethylene'!AH50</f>
        <v>1</v>
      </c>
      <c r="AL42" s="108"/>
      <c r="AM42" s="2"/>
      <c r="AN42" s="2"/>
      <c r="AO42" s="2"/>
      <c r="BD42" s="41"/>
      <c r="BE42" s="41"/>
      <c r="BF42" s="41"/>
      <c r="BG42" s="41"/>
      <c r="BH42" s="41"/>
      <c r="BI42" s="41"/>
      <c r="BJ42" s="41"/>
      <c r="BK42" s="41"/>
      <c r="BL42" s="118"/>
    </row>
    <row r="43" spans="1:64" outlineLevel="1">
      <c r="A43" t="s">
        <v>1298</v>
      </c>
      <c r="B43" s="176" t="s">
        <v>462</v>
      </c>
      <c r="C43" s="110">
        <f>'Yearly HC Ethylene'!D65/'Yearly HC Ethylene'!D62</f>
        <v>1</v>
      </c>
      <c r="D43" s="110">
        <f>'Yearly HC Ethylene'!E65/'Yearly HC Ethylene'!E62</f>
        <v>1</v>
      </c>
      <c r="E43" s="110">
        <f>'Yearly HC Ethylene'!F65/'Yearly HC Ethylene'!F62</f>
        <v>1</v>
      </c>
      <c r="F43" s="110">
        <f>'Yearly HC Ethylene'!G65/'Yearly HC Ethylene'!G62</f>
        <v>1</v>
      </c>
      <c r="G43" s="110">
        <f>'Yearly HC Ethylene'!H65/'Yearly HC Ethylene'!H62</f>
        <v>1</v>
      </c>
      <c r="H43" s="110">
        <f>'Yearly HC Ethylene'!I65/'Yearly HC Ethylene'!I62</f>
        <v>1</v>
      </c>
      <c r="I43" s="110">
        <f>'Yearly HC Ethylene'!J65/'Yearly HC Ethylene'!J62</f>
        <v>1</v>
      </c>
      <c r="J43" s="110">
        <f>'Yearly HC Ethylene'!K65/'Yearly HC Ethylene'!K62</f>
        <v>1</v>
      </c>
      <c r="K43" s="110">
        <f>'Yearly HC Ethylene'!L65/'Yearly HC Ethylene'!L62</f>
        <v>1</v>
      </c>
      <c r="L43" s="110">
        <f>'Yearly HC Ethylene'!M65/'Yearly HC Ethylene'!M62</f>
        <v>1</v>
      </c>
      <c r="M43" s="110">
        <f>'Yearly HC Ethylene'!N65/'Yearly HC Ethylene'!N62</f>
        <v>1</v>
      </c>
      <c r="N43" s="110">
        <f>'Yearly HC Ethylene'!O65/'Yearly HC Ethylene'!O62</f>
        <v>1</v>
      </c>
      <c r="O43" s="110">
        <f>'Yearly HC Ethylene'!P65/'Yearly HC Ethylene'!P62</f>
        <v>1</v>
      </c>
      <c r="P43" s="110">
        <f>'Yearly HC Ethylene'!Q65/'Yearly HC Ethylene'!Q62</f>
        <v>1</v>
      </c>
      <c r="Q43" s="110">
        <f>'Yearly HC Ethylene'!R65/'Yearly HC Ethylene'!R62</f>
        <v>1</v>
      </c>
      <c r="R43" s="110">
        <f>'Yearly HC Ethylene'!S65/'Yearly HC Ethylene'!S62</f>
        <v>1</v>
      </c>
      <c r="S43" s="110">
        <f>'Yearly HC Ethylene'!T65/'Yearly HC Ethylene'!T62</f>
        <v>1</v>
      </c>
      <c r="T43" s="110">
        <f>'Yearly HC Ethylene'!U65/'Yearly HC Ethylene'!U62</f>
        <v>1</v>
      </c>
      <c r="U43" s="110">
        <f>'Yearly HC Ethylene'!V65/'Yearly HC Ethylene'!V62</f>
        <v>1</v>
      </c>
      <c r="V43" s="110">
        <f>'Yearly HC Ethylene'!W65/'Yearly HC Ethylene'!W62</f>
        <v>1</v>
      </c>
      <c r="W43" s="110">
        <f>'Yearly HC Ethylene'!X65/'Yearly HC Ethylene'!X62</f>
        <v>1</v>
      </c>
      <c r="X43" s="110">
        <f>'Yearly HC Ethylene'!Y65/'Yearly HC Ethylene'!Y62</f>
        <v>1</v>
      </c>
      <c r="Y43" s="110">
        <f>'Yearly HC Ethylene'!Z65/'Yearly HC Ethylene'!Z62</f>
        <v>1</v>
      </c>
      <c r="Z43" s="110">
        <f>'Yearly HC Ethylene'!AA65/'Yearly HC Ethylene'!AA62</f>
        <v>1</v>
      </c>
      <c r="AA43" s="110">
        <f>'Yearly HC Ethylene'!AB65/'Yearly HC Ethylene'!AB62</f>
        <v>1</v>
      </c>
      <c r="AB43" s="110">
        <f>'Yearly HC Ethylene'!AC65/'Yearly HC Ethylene'!AC62</f>
        <v>1</v>
      </c>
      <c r="AC43" s="110">
        <f>'Yearly HC Ethylene'!AD65/'Yearly HC Ethylene'!AD62</f>
        <v>1</v>
      </c>
      <c r="AD43" s="110">
        <f>'Yearly HC Ethylene'!AE65/'Yearly HC Ethylene'!AE62</f>
        <v>1</v>
      </c>
      <c r="AE43" s="110">
        <f>'Yearly HC Ethylene'!AF65/'Yearly HC Ethylene'!AF62</f>
        <v>1</v>
      </c>
      <c r="AF43" s="110">
        <f>'Yearly HC Ethylene'!AG65/'Yearly HC Ethylene'!AG62</f>
        <v>1</v>
      </c>
      <c r="AG43" s="110">
        <f>'Yearly HC Ethylene'!AH65/'Yearly HC Ethylene'!AH62</f>
        <v>1</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1300</v>
      </c>
      <c r="B45" s="54" t="s">
        <v>1283</v>
      </c>
      <c r="C45" s="107">
        <f>C27*C39</f>
        <v>102.83867964679865</v>
      </c>
      <c r="D45" s="107">
        <f t="shared" ref="D45:AG45" si="26">D27*D39</f>
        <v>106.28598640768944</v>
      </c>
      <c r="E45" s="107">
        <f t="shared" si="26"/>
        <v>109.5616995008031</v>
      </c>
      <c r="F45" s="107">
        <f t="shared" si="26"/>
        <v>112.64333563181849</v>
      </c>
      <c r="G45" s="107">
        <f t="shared" si="26"/>
        <v>115.50931122200963</v>
      </c>
      <c r="H45" s="107">
        <f t="shared" si="26"/>
        <v>118.13919421573216</v>
      </c>
      <c r="I45" s="107">
        <f t="shared" si="26"/>
        <v>120.77395041935485</v>
      </c>
      <c r="J45" s="107">
        <f t="shared" si="26"/>
        <v>123.4111943053117</v>
      </c>
      <c r="K45" s="107">
        <f t="shared" si="26"/>
        <v>126.04847978225341</v>
      </c>
      <c r="L45" s="107">
        <f t="shared" si="26"/>
        <v>128.68330337612264</v>
      </c>
      <c r="M45" s="107">
        <f t="shared" si="26"/>
        <v>131.31310762622246</v>
      </c>
      <c r="N45" s="107">
        <f t="shared" si="26"/>
        <v>133.74365133866885</v>
      </c>
      <c r="O45" s="107">
        <f t="shared" si="26"/>
        <v>135.96145428106598</v>
      </c>
      <c r="P45" s="107">
        <f t="shared" si="26"/>
        <v>137.95398835278621</v>
      </c>
      <c r="Q45" s="107">
        <f t="shared" si="26"/>
        <v>139.70979402380797</v>
      </c>
      <c r="R45" s="107">
        <f t="shared" si="26"/>
        <v>141.21858889442359</v>
      </c>
      <c r="S45" s="107">
        <f t="shared" si="26"/>
        <v>142.72805331994462</v>
      </c>
      <c r="T45" s="107">
        <f t="shared" si="26"/>
        <v>144.23785099543639</v>
      </c>
      <c r="U45" s="107">
        <f t="shared" si="26"/>
        <v>145.74764157846025</v>
      </c>
      <c r="V45" s="107">
        <f t="shared" si="26"/>
        <v>147.25708079644534</v>
      </c>
      <c r="W45" s="107">
        <f t="shared" si="26"/>
        <v>148.76582055762699</v>
      </c>
      <c r="X45" s="107">
        <f t="shared" si="26"/>
        <v>150.27516423982337</v>
      </c>
      <c r="Y45" s="107">
        <f t="shared" si="26"/>
        <v>151.78480881836185</v>
      </c>
      <c r="Z45" s="107">
        <f t="shared" si="26"/>
        <v>153.2944478440792</v>
      </c>
      <c r="AA45" s="107">
        <f t="shared" si="26"/>
        <v>154.80377153088244</v>
      </c>
      <c r="AB45" s="107">
        <f t="shared" si="26"/>
        <v>156.31246684603533</v>
      </c>
      <c r="AC45" s="107">
        <f t="shared" si="26"/>
        <v>157.82170967288491</v>
      </c>
      <c r="AD45" s="107">
        <f t="shared" si="26"/>
        <v>159.33122553085934</v>
      </c>
      <c r="AE45" s="107">
        <f t="shared" si="26"/>
        <v>160.84073700912998</v>
      </c>
      <c r="AF45" s="107">
        <f t="shared" si="26"/>
        <v>162.34996383873036</v>
      </c>
      <c r="AG45" s="107">
        <f t="shared" si="26"/>
        <v>163.85862296678792</v>
      </c>
      <c r="AI45" s="210" t="s">
        <v>1301</v>
      </c>
      <c r="AJ45" s="211" t="s">
        <v>1302</v>
      </c>
      <c r="BD45" s="41"/>
      <c r="BE45" s="41"/>
      <c r="BF45" s="41"/>
      <c r="BG45" s="41"/>
      <c r="BH45" s="41"/>
      <c r="BI45" s="41"/>
      <c r="BJ45" s="41"/>
      <c r="BK45" s="41"/>
      <c r="BL45" s="118"/>
    </row>
    <row r="46" spans="1:64" outlineLevel="1">
      <c r="A46" t="s">
        <v>1303</v>
      </c>
      <c r="B46" s="54" t="s">
        <v>1283</v>
      </c>
      <c r="C46" s="107">
        <f>C28*$C$40</f>
        <v>2.1856442000720988</v>
      </c>
      <c r="D46" s="107">
        <f t="shared" ref="D46:O46" si="27">D28*$C$40</f>
        <v>2.2589102712982947</v>
      </c>
      <c r="E46" s="107">
        <f t="shared" si="27"/>
        <v>2.3285294393744862</v>
      </c>
      <c r="F46" s="107">
        <f t="shared" si="27"/>
        <v>2.3940238638421976</v>
      </c>
      <c r="G46" s="107">
        <f t="shared" si="27"/>
        <v>2.4549348260187185</v>
      </c>
      <c r="H46" s="107">
        <f t="shared" si="27"/>
        <v>2.5108280806952612</v>
      </c>
      <c r="I46" s="107">
        <f t="shared" si="27"/>
        <v>2.5668249063529807</v>
      </c>
      <c r="J46" s="107">
        <f t="shared" si="27"/>
        <v>2.6228746030557586</v>
      </c>
      <c r="K46" s="107">
        <f t="shared" si="27"/>
        <v>2.6789251836972952</v>
      </c>
      <c r="L46" s="107">
        <f t="shared" si="27"/>
        <v>2.7349234416089296</v>
      </c>
      <c r="M46" s="107">
        <f t="shared" si="27"/>
        <v>2.7908150227367376</v>
      </c>
      <c r="N46" s="107">
        <f t="shared" si="27"/>
        <v>2.8424716930321492</v>
      </c>
      <c r="O46" s="107">
        <f t="shared" si="27"/>
        <v>2.8896069553147976</v>
      </c>
      <c r="P46" s="107">
        <f>D40*P28</f>
        <v>2.937818457284386</v>
      </c>
      <c r="Q46" s="107">
        <f t="shared" ref="Q46:AG46" si="28">E40*Q28</f>
        <v>2.9811480044119061</v>
      </c>
      <c r="R46" s="107">
        <f t="shared" si="28"/>
        <v>3.0193455649611289</v>
      </c>
      <c r="S46" s="107">
        <f t="shared" si="28"/>
        <v>3.0576857359673175</v>
      </c>
      <c r="T46" s="107">
        <f t="shared" si="28"/>
        <v>3.0961613838022615</v>
      </c>
      <c r="U46" s="107">
        <f t="shared" si="28"/>
        <v>3.1347652308181497</v>
      </c>
      <c r="V46" s="107">
        <f t="shared" si="28"/>
        <v>3.1734898568034153</v>
      </c>
      <c r="W46" s="107">
        <f t="shared" si="28"/>
        <v>3.2123277005429709</v>
      </c>
      <c r="X46" s="107">
        <f t="shared" si="28"/>
        <v>3.2513068723213845</v>
      </c>
      <c r="Y46" s="107">
        <f t="shared" si="28"/>
        <v>3.2904208801216051</v>
      </c>
      <c r="Z46" s="107">
        <f t="shared" si="28"/>
        <v>3.3394370681731989</v>
      </c>
      <c r="AA46" s="107">
        <f t="shared" si="28"/>
        <v>3.3887671988258639</v>
      </c>
      <c r="AB46" s="107">
        <f t="shared" si="28"/>
        <v>3.4384042857714956</v>
      </c>
      <c r="AC46" s="107">
        <f t="shared" si="28"/>
        <v>3.4883741195412288</v>
      </c>
      <c r="AD46" s="107">
        <f t="shared" si="28"/>
        <v>3.5386707785971301</v>
      </c>
      <c r="AE46" s="107">
        <f t="shared" si="28"/>
        <v>3.5892881593388255</v>
      </c>
      <c r="AF46" s="107">
        <f t="shared" si="28"/>
        <v>3.6402199761636238</v>
      </c>
      <c r="AG46" s="107">
        <f t="shared" si="28"/>
        <v>3.6914597616202292</v>
      </c>
      <c r="AI46" s="210" t="s">
        <v>1304</v>
      </c>
      <c r="AJ46" s="211" t="s">
        <v>1302</v>
      </c>
      <c r="BD46" s="41"/>
      <c r="BE46" s="41"/>
      <c r="BF46" s="41"/>
      <c r="BG46" s="41"/>
      <c r="BH46" s="41"/>
      <c r="BI46" s="41"/>
      <c r="BJ46" s="41"/>
      <c r="BK46" s="41"/>
      <c r="BL46" s="118"/>
    </row>
    <row r="47" spans="1:64" outlineLevel="1">
      <c r="A47" t="s">
        <v>1305</v>
      </c>
      <c r="B47" s="54" t="s">
        <v>1283</v>
      </c>
      <c r="C47" s="107">
        <f>C29</f>
        <v>5.752639614679981</v>
      </c>
      <c r="D47" s="107">
        <f t="shared" ref="D47:AG47" si="29">D29</f>
        <v>5.945476721348065</v>
      </c>
      <c r="E47" s="107">
        <f t="shared" si="29"/>
        <v>6.1287151387459886</v>
      </c>
      <c r="F47" s="107">
        <f t="shared" si="29"/>
        <v>6.301097185522492</v>
      </c>
      <c r="G47" s="107">
        <f t="shared" si="29"/>
        <v>6.4614155090508003</v>
      </c>
      <c r="H47" s="107">
        <f t="shared" si="29"/>
        <v>6.6085271711571334</v>
      </c>
      <c r="I47" s="107">
        <f t="shared" si="29"/>
        <v>6.7559114332270083</v>
      </c>
      <c r="J47" s="107">
        <f t="shared" si="29"/>
        <v>6.9034348524699753</v>
      </c>
      <c r="K47" s="107">
        <f t="shared" si="29"/>
        <v>7.0509605982494961</v>
      </c>
      <c r="L47" s="107">
        <f t="shared" si="29"/>
        <v>7.1983486300274544</v>
      </c>
      <c r="M47" s="107">
        <f t="shared" si="29"/>
        <v>7.3454558873350795</v>
      </c>
      <c r="N47" s="107">
        <f t="shared" si="29"/>
        <v>7.4814168126741842</v>
      </c>
      <c r="O47" s="107">
        <f t="shared" si="29"/>
        <v>7.6054773423095892</v>
      </c>
      <c r="P47" s="107">
        <f t="shared" si="29"/>
        <v>7.7169366733117464</v>
      </c>
      <c r="Q47" s="107">
        <f t="shared" si="29"/>
        <v>7.8151537769685619</v>
      </c>
      <c r="R47" s="107">
        <f t="shared" si="29"/>
        <v>7.8995534714506324</v>
      </c>
      <c r="S47" s="107">
        <f t="shared" si="29"/>
        <v>7.9839906198176243</v>
      </c>
      <c r="T47" s="107">
        <f t="shared" si="29"/>
        <v>8.0684464096820587</v>
      </c>
      <c r="U47" s="107">
        <f t="shared" si="29"/>
        <v>8.1529018028046014</v>
      </c>
      <c r="V47" s="107">
        <f t="shared" si="29"/>
        <v>8.2373375411003043</v>
      </c>
      <c r="W47" s="107">
        <f t="shared" si="29"/>
        <v>8.3217341528443036</v>
      </c>
      <c r="X47" s="107">
        <f t="shared" si="29"/>
        <v>8.406164547013022</v>
      </c>
      <c r="Y47" s="107">
        <f t="shared" si="29"/>
        <v>8.4906117728663109</v>
      </c>
      <c r="Z47" s="107">
        <f t="shared" si="29"/>
        <v>8.5750586881032156</v>
      </c>
      <c r="AA47" s="107">
        <f t="shared" si="29"/>
        <v>8.6594879637599984</v>
      </c>
      <c r="AB47" s="107">
        <f t="shared" si="29"/>
        <v>8.7438820892606266</v>
      </c>
      <c r="AC47" s="107">
        <f t="shared" si="29"/>
        <v>8.82830684173436</v>
      </c>
      <c r="AD47" s="107">
        <f t="shared" si="29"/>
        <v>8.9127468671547145</v>
      </c>
      <c r="AE47" s="107">
        <f t="shared" si="29"/>
        <v>8.9971866475810884</v>
      </c>
      <c r="AF47" s="107">
        <f t="shared" si="29"/>
        <v>9.0816105051929874</v>
      </c>
      <c r="AG47" s="107">
        <f t="shared" si="29"/>
        <v>9.1660026064424382</v>
      </c>
      <c r="AI47" s="210" t="s">
        <v>1306</v>
      </c>
      <c r="AJ47" s="211" t="s">
        <v>1302</v>
      </c>
      <c r="BD47" s="41"/>
      <c r="BE47" s="41"/>
      <c r="BF47" s="41"/>
      <c r="BG47" s="41"/>
      <c r="BH47" s="41"/>
      <c r="BI47" s="41"/>
      <c r="BJ47" s="41"/>
      <c r="BK47" s="41"/>
      <c r="BL47" s="118"/>
    </row>
    <row r="48" spans="1:64" outlineLevel="1">
      <c r="A48" t="s">
        <v>1307</v>
      </c>
      <c r="B48" s="54" t="s">
        <v>1283</v>
      </c>
      <c r="C48" s="107">
        <f>C30*$C$42</f>
        <v>4.7040655633623691</v>
      </c>
      <c r="D48" s="107">
        <f t="shared" ref="D48:H48" si="30">D30*$C$42</f>
        <v>4.8617528953657363</v>
      </c>
      <c r="E48" s="107">
        <f t="shared" si="30"/>
        <v>5.0115911586504671</v>
      </c>
      <c r="F48" s="107">
        <f t="shared" si="30"/>
        <v>5.1525519182840052</v>
      </c>
      <c r="G48" s="107">
        <f t="shared" si="30"/>
        <v>5.2836478942879612</v>
      </c>
      <c r="H48" s="107">
        <f t="shared" si="30"/>
        <v>5.4039444798619058</v>
      </c>
      <c r="I48" s="107">
        <f>I30*D42</f>
        <v>5.5244639766882395</v>
      </c>
      <c r="J48" s="107">
        <f t="shared" ref="J48:AG48" si="31">J30*E42</f>
        <v>5.6450972655317502</v>
      </c>
      <c r="K48" s="107">
        <f t="shared" si="31"/>
        <v>5.7657324568376458</v>
      </c>
      <c r="L48" s="107">
        <f t="shared" si="31"/>
        <v>5.8862550362408781</v>
      </c>
      <c r="M48" s="107">
        <f t="shared" si="31"/>
        <v>6.0065480199097303</v>
      </c>
      <c r="N48" s="107">
        <f t="shared" si="31"/>
        <v>6.1177263918728313</v>
      </c>
      <c r="O48" s="107">
        <f t="shared" si="31"/>
        <v>6.2191735368914705</v>
      </c>
      <c r="P48" s="107">
        <f t="shared" si="31"/>
        <v>6.3103163923112113</v>
      </c>
      <c r="Q48" s="107">
        <f t="shared" si="31"/>
        <v>6.3906307742283754</v>
      </c>
      <c r="R48" s="107">
        <f t="shared" si="31"/>
        <v>6.4596463432479041</v>
      </c>
      <c r="S48" s="107">
        <f t="shared" si="31"/>
        <v>6.5286925391695263</v>
      </c>
      <c r="T48" s="107">
        <f t="shared" si="31"/>
        <v>6.597753978671844</v>
      </c>
      <c r="U48" s="107">
        <f t="shared" si="31"/>
        <v>6.6668150937492028</v>
      </c>
      <c r="V48" s="107">
        <f t="shared" si="31"/>
        <v>6.7358601366231401</v>
      </c>
      <c r="W48" s="107">
        <f t="shared" si="31"/>
        <v>6.8048731848169286</v>
      </c>
      <c r="X48" s="107">
        <f t="shared" si="31"/>
        <v>6.8739138576754657</v>
      </c>
      <c r="Y48" s="107">
        <f t="shared" si="31"/>
        <v>6.9429682941891366</v>
      </c>
      <c r="Z48" s="107">
        <f t="shared" si="31"/>
        <v>7.0120224767046535</v>
      </c>
      <c r="AA48" s="107">
        <f t="shared" si="31"/>
        <v>7.0810622349302861</v>
      </c>
      <c r="AB48" s="107">
        <f t="shared" si="31"/>
        <v>7.1500732500657556</v>
      </c>
      <c r="AC48" s="107">
        <f t="shared" si="31"/>
        <v>7.2191093095807011</v>
      </c>
      <c r="AD48" s="107">
        <f t="shared" si="31"/>
        <v>7.2881578581349515</v>
      </c>
      <c r="AE48" s="107">
        <f t="shared" si="31"/>
        <v>7.3572062063519947</v>
      </c>
      <c r="AF48" s="107">
        <f t="shared" si="31"/>
        <v>7.426241534117862</v>
      </c>
      <c r="AG48" s="107">
        <f t="shared" si="31"/>
        <v>7.4952508939766433</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1309</v>
      </c>
      <c r="B49" s="176" t="s">
        <v>1283</v>
      </c>
      <c r="C49" s="107">
        <f>C31*$C$43</f>
        <v>28.091768113202104</v>
      </c>
      <c r="D49" s="107">
        <f t="shared" ref="D49:H49" si="32">D31*$C$43</f>
        <v>29.033446307385653</v>
      </c>
      <c r="E49" s="107">
        <f t="shared" si="32"/>
        <v>29.928251383969435</v>
      </c>
      <c r="F49" s="107">
        <f t="shared" si="32"/>
        <v>30.770041728799526</v>
      </c>
      <c r="G49" s="107">
        <f t="shared" si="32"/>
        <v>31.552921497134374</v>
      </c>
      <c r="H49" s="107">
        <f t="shared" si="32"/>
        <v>32.271309398245535</v>
      </c>
      <c r="I49" s="107">
        <f>I31*D43</f>
        <v>32.991028482166051</v>
      </c>
      <c r="J49" s="107">
        <f t="shared" ref="J49" si="33">J31*E43</f>
        <v>33.711427109965484</v>
      </c>
      <c r="K49" s="107">
        <f t="shared" ref="K49" si="34">K31*F43</f>
        <v>34.431837098901674</v>
      </c>
      <c r="L49" s="107">
        <f t="shared" ref="L49" si="35">L31*G43</f>
        <v>35.151574591374157</v>
      </c>
      <c r="M49" s="107">
        <f t="shared" ref="M49" si="36">M31*H43</f>
        <v>35.869940982605996</v>
      </c>
      <c r="N49" s="107">
        <f t="shared" ref="N49" si="37">N31*I43</f>
        <v>36.533876678722947</v>
      </c>
      <c r="O49" s="107">
        <f t="shared" ref="O49" si="38">O31*J43</f>
        <v>37.139699372991053</v>
      </c>
      <c r="P49" s="107">
        <f t="shared" ref="P49" si="39">P31*K43</f>
        <v>37.683986846271161</v>
      </c>
      <c r="Q49" s="107">
        <f t="shared" ref="Q49" si="40">Q31*L43</f>
        <v>38.163608773853191</v>
      </c>
      <c r="R49" s="107">
        <f t="shared" ref="R49" si="41">R31*M43</f>
        <v>38.575756379999966</v>
      </c>
      <c r="S49" s="107">
        <f t="shared" ref="S49" si="42">S31*N43</f>
        <v>38.988086884071969</v>
      </c>
      <c r="T49" s="107">
        <f t="shared" ref="T49" si="43">T31*O43</f>
        <v>39.400508419854376</v>
      </c>
      <c r="U49" s="107">
        <f t="shared" ref="U49" si="44">U31*P43</f>
        <v>39.812928018233784</v>
      </c>
      <c r="V49" s="107">
        <f t="shared" ref="V49" si="45">V31*Q43</f>
        <v>40.225251636528419</v>
      </c>
      <c r="W49" s="107">
        <f t="shared" ref="W49" si="46">W31*R43</f>
        <v>40.637384188792296</v>
      </c>
      <c r="X49" s="107">
        <f t="shared" ref="X49" si="47">X31*S43</f>
        <v>41.049681710201668</v>
      </c>
      <c r="Y49" s="107">
        <f t="shared" ref="Y49" si="48">Y31*T43</f>
        <v>41.462061425492728</v>
      </c>
      <c r="Z49" s="107">
        <f t="shared" ref="Z49" si="49">Z31*U43</f>
        <v>41.874439623956036</v>
      </c>
      <c r="AA49" s="107">
        <f t="shared" ref="AA49" si="50">AA31*V43</f>
        <v>42.286731683354908</v>
      </c>
      <c r="AB49" s="107">
        <f t="shared" ref="AB49" si="51">AB31*W43</f>
        <v>42.698852094588425</v>
      </c>
      <c r="AC49" s="107">
        <f t="shared" ref="AC49" si="52">AC31*X43</f>
        <v>43.111122066003716</v>
      </c>
      <c r="AD49" s="107">
        <f t="shared" ref="AD49" si="53">AD31*Y43</f>
        <v>43.523466619541935</v>
      </c>
      <c r="AE49" s="107">
        <f t="shared" ref="AE49" si="54">AE31*Z43</f>
        <v>43.935809976705173</v>
      </c>
      <c r="AF49" s="107">
        <f t="shared" ref="AF49" si="55">AF31*AA43</f>
        <v>44.348075578256747</v>
      </c>
      <c r="AG49" s="107">
        <f t="shared" ref="AG49" si="56">AG31*AB43</f>
        <v>44.760186104498587</v>
      </c>
      <c r="AI49" s="210" t="s">
        <v>1308</v>
      </c>
      <c r="AJ49" s="211" t="s">
        <v>1302</v>
      </c>
      <c r="AL49" s="108"/>
      <c r="AM49" s="2"/>
      <c r="AN49" s="2"/>
      <c r="AO49" s="2"/>
    </row>
    <row r="50" spans="1:63" s="1" customFormat="1" ht="16" thickBot="1">
      <c r="A50" s="200" t="s">
        <v>1310</v>
      </c>
      <c r="B50" s="215" t="s">
        <v>1283</v>
      </c>
      <c r="C50" s="216">
        <f>SUM(C45:C49)</f>
        <v>143.57279713811519</v>
      </c>
      <c r="D50" s="216">
        <f t="shared" ref="D50:AF50" si="57">SUM(D45:D49)</f>
        <v>148.38557260308718</v>
      </c>
      <c r="E50" s="216">
        <f t="shared" si="57"/>
        <v>152.95878662154348</v>
      </c>
      <c r="F50" s="216">
        <f t="shared" si="57"/>
        <v>157.26105032826672</v>
      </c>
      <c r="G50" s="216">
        <f t="shared" si="57"/>
        <v>161.26223094850147</v>
      </c>
      <c r="H50" s="216">
        <f t="shared" si="57"/>
        <v>164.93380334569201</v>
      </c>
      <c r="I50" s="216">
        <f t="shared" si="57"/>
        <v>168.61217921778913</v>
      </c>
      <c r="J50" s="216">
        <f t="shared" si="57"/>
        <v>172.29402813633467</v>
      </c>
      <c r="K50" s="216">
        <f t="shared" si="57"/>
        <v>175.97593511993952</v>
      </c>
      <c r="L50" s="216">
        <f t="shared" si="57"/>
        <v>179.65440507537406</v>
      </c>
      <c r="M50" s="216">
        <f t="shared" si="57"/>
        <v>183.32586753881003</v>
      </c>
      <c r="N50" s="216">
        <f t="shared" si="57"/>
        <v>186.71914291497094</v>
      </c>
      <c r="O50" s="216">
        <f t="shared" si="57"/>
        <v>189.81541148857292</v>
      </c>
      <c r="P50" s="216">
        <f t="shared" si="57"/>
        <v>192.60304672196472</v>
      </c>
      <c r="Q50" s="216">
        <f t="shared" si="57"/>
        <v>195.06033535327001</v>
      </c>
      <c r="R50" s="216">
        <f t="shared" si="57"/>
        <v>197.17289065408323</v>
      </c>
      <c r="S50" s="216">
        <f t="shared" si="57"/>
        <v>199.28650909897107</v>
      </c>
      <c r="T50" s="216">
        <f t="shared" si="57"/>
        <v>201.40072118744695</v>
      </c>
      <c r="U50" s="216">
        <f t="shared" si="57"/>
        <v>203.51505172406596</v>
      </c>
      <c r="V50" s="216">
        <f t="shared" si="57"/>
        <v>205.62901996750062</v>
      </c>
      <c r="W50" s="216">
        <f t="shared" si="57"/>
        <v>207.74213978462348</v>
      </c>
      <c r="X50" s="216">
        <f t="shared" si="57"/>
        <v>209.8562312270349</v>
      </c>
      <c r="Y50" s="216">
        <f t="shared" si="57"/>
        <v>211.97087119103165</v>
      </c>
      <c r="Z50" s="216">
        <f t="shared" si="57"/>
        <v>214.09540570101632</v>
      </c>
      <c r="AA50" s="216">
        <f t="shared" si="57"/>
        <v>216.21982061175351</v>
      </c>
      <c r="AB50" s="216">
        <f t="shared" si="57"/>
        <v>218.34367856572166</v>
      </c>
      <c r="AC50" s="216">
        <f t="shared" si="57"/>
        <v>220.46862200974488</v>
      </c>
      <c r="AD50" s="216">
        <f t="shared" si="57"/>
        <v>222.59426765428805</v>
      </c>
      <c r="AE50" s="216">
        <f t="shared" si="57"/>
        <v>224.72022799910707</v>
      </c>
      <c r="AF50" s="216">
        <f t="shared" si="57"/>
        <v>226.84611143246158</v>
      </c>
      <c r="AG50" s="216">
        <f>SUM(AG45:AG49)</f>
        <v>228.97152233332582</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58">D55</f>
        <v>0.14849999999999999</v>
      </c>
      <c r="E52" s="222">
        <f t="shared" si="58"/>
        <v>0.155</v>
      </c>
      <c r="F52" s="222">
        <f t="shared" si="58"/>
        <v>0.16149999999999998</v>
      </c>
      <c r="G52" s="222">
        <f t="shared" si="58"/>
        <v>0.16800000000000001</v>
      </c>
      <c r="H52" s="222">
        <f t="shared" si="58"/>
        <v>0.17449999999999999</v>
      </c>
      <c r="I52" s="222">
        <f t="shared" si="58"/>
        <v>0.18099999999999999</v>
      </c>
      <c r="J52" s="222">
        <f t="shared" si="58"/>
        <v>0.1875</v>
      </c>
      <c r="K52" s="222">
        <f t="shared" si="58"/>
        <v>0.19400000000000001</v>
      </c>
      <c r="L52" s="222">
        <f t="shared" si="58"/>
        <v>0.20050000000000001</v>
      </c>
      <c r="M52" s="222">
        <f t="shared" si="58"/>
        <v>0.20700000000000002</v>
      </c>
      <c r="N52" s="222">
        <f t="shared" si="58"/>
        <v>0.22070000000000001</v>
      </c>
      <c r="O52" s="222">
        <f t="shared" si="58"/>
        <v>0.2344</v>
      </c>
      <c r="P52" s="222">
        <f t="shared" si="58"/>
        <v>0.24809999999999999</v>
      </c>
      <c r="Q52" s="222">
        <f t="shared" si="58"/>
        <v>0.26179999999999998</v>
      </c>
      <c r="R52" s="222">
        <f t="shared" si="58"/>
        <v>0.27549999999999997</v>
      </c>
      <c r="S52" s="222">
        <f t="shared" si="58"/>
        <v>0.28920000000000001</v>
      </c>
      <c r="T52" s="222">
        <f t="shared" si="58"/>
        <v>0.3029</v>
      </c>
      <c r="U52" s="222">
        <f t="shared" si="58"/>
        <v>0.31659999999999999</v>
      </c>
      <c r="V52" s="222">
        <f t="shared" si="58"/>
        <v>0.33030000000000004</v>
      </c>
      <c r="W52" s="222">
        <f t="shared" si="58"/>
        <v>0.34399999999999997</v>
      </c>
      <c r="X52" s="222">
        <f t="shared" si="58"/>
        <v>0.36692262658227848</v>
      </c>
      <c r="Y52" s="222">
        <f t="shared" si="58"/>
        <v>0.38984525316455698</v>
      </c>
      <c r="Z52" s="222">
        <f t="shared" si="58"/>
        <v>0.41276787974683543</v>
      </c>
      <c r="AA52" s="222">
        <f t="shared" si="58"/>
        <v>0.43569050632911388</v>
      </c>
      <c r="AB52" s="222">
        <f t="shared" si="58"/>
        <v>0.45861313291139238</v>
      </c>
      <c r="AC52" s="222">
        <f t="shared" si="58"/>
        <v>0.48153575949367089</v>
      </c>
      <c r="AD52" s="222">
        <f t="shared" si="58"/>
        <v>0.50445838607594939</v>
      </c>
      <c r="AE52" s="222">
        <f t="shared" si="58"/>
        <v>0.5273810126582279</v>
      </c>
      <c r="AF52" s="222">
        <f t="shared" si="58"/>
        <v>0.55030363924050629</v>
      </c>
      <c r="AG52" s="222">
        <f t="shared" si="58"/>
        <v>0.5732262658227848</v>
      </c>
      <c r="AJ52" s="231" t="s">
        <v>1312</v>
      </c>
      <c r="AL52" s="217"/>
      <c r="AM52" s="218"/>
      <c r="AN52" s="218"/>
      <c r="AO52" s="218"/>
    </row>
    <row r="53" spans="1:63" ht="16" outlineLevel="1" thickTop="1">
      <c r="A53" t="s">
        <v>1313</v>
      </c>
      <c r="B53" s="54" t="s">
        <v>462</v>
      </c>
      <c r="C53" s="113">
        <v>4.7E-2</v>
      </c>
      <c r="D53" s="110">
        <f>$C53+($M53-$C53)/10*(D$1-$C$1)</f>
        <v>5.0200000000000002E-2</v>
      </c>
      <c r="E53" s="110">
        <f t="shared" ref="E53:L54" si="59">$C53+($M53-$C53)/10*(E$1-$C$1)</f>
        <v>5.3400000000000003E-2</v>
      </c>
      <c r="F53" s="110">
        <f t="shared" si="59"/>
        <v>5.6599999999999998E-2</v>
      </c>
      <c r="G53" s="110">
        <f t="shared" si="59"/>
        <v>5.9799999999999999E-2</v>
      </c>
      <c r="H53" s="110">
        <f t="shared" si="59"/>
        <v>6.3E-2</v>
      </c>
      <c r="I53" s="110">
        <f t="shared" si="59"/>
        <v>6.6200000000000009E-2</v>
      </c>
      <c r="J53" s="110">
        <f t="shared" si="59"/>
        <v>6.9400000000000003E-2</v>
      </c>
      <c r="K53" s="110">
        <f t="shared" si="59"/>
        <v>7.2599999999999998E-2</v>
      </c>
      <c r="L53" s="110">
        <f t="shared" si="59"/>
        <v>7.5800000000000006E-2</v>
      </c>
      <c r="M53" s="113">
        <v>7.9000000000000001E-2</v>
      </c>
      <c r="N53" s="110">
        <f>$M53+($W53-$M53)/10*(N$1-$M$1)</f>
        <v>8.5100000000000009E-2</v>
      </c>
      <c r="O53" s="110">
        <f t="shared" ref="O53:U54" si="60">$M53+($W53-$M53)/10*(O$1-$M$1)</f>
        <v>9.1200000000000003E-2</v>
      </c>
      <c r="P53" s="110">
        <f t="shared" si="60"/>
        <v>9.7299999999999998E-2</v>
      </c>
      <c r="Q53" s="110">
        <f t="shared" si="60"/>
        <v>0.10340000000000001</v>
      </c>
      <c r="R53" s="110">
        <f t="shared" si="60"/>
        <v>0.10950000000000001</v>
      </c>
      <c r="S53" s="110">
        <f t="shared" si="60"/>
        <v>0.11560000000000001</v>
      </c>
      <c r="T53" s="110">
        <f t="shared" si="60"/>
        <v>0.1217</v>
      </c>
      <c r="U53" s="110">
        <f t="shared" si="60"/>
        <v>0.12780000000000002</v>
      </c>
      <c r="V53" s="110">
        <f>$M53+($W53-$M53)/10*(V$1-$M$1)</f>
        <v>0.13390000000000002</v>
      </c>
      <c r="W53" s="113">
        <v>0.14000000000000001</v>
      </c>
      <c r="X53" s="110">
        <f>$W53+($AG53-$W53)/10*(X$1-$W$1)</f>
        <v>0.15081012658227849</v>
      </c>
      <c r="Y53" s="110">
        <f t="shared" ref="Y53:AF54" si="61">$W53+($AG53-$W53)/10*(Y$1-$W$1)</f>
        <v>0.16162025316455697</v>
      </c>
      <c r="Z53" s="110">
        <f t="shared" si="61"/>
        <v>0.17243037974683545</v>
      </c>
      <c r="AA53" s="110">
        <f t="shared" si="61"/>
        <v>0.18324050632911396</v>
      </c>
      <c r="AB53" s="110">
        <f t="shared" si="61"/>
        <v>0.19405063291139243</v>
      </c>
      <c r="AC53" s="110">
        <f t="shared" si="61"/>
        <v>0.20486075949367091</v>
      </c>
      <c r="AD53" s="110">
        <f t="shared" si="61"/>
        <v>0.21567088607594942</v>
      </c>
      <c r="AE53" s="110">
        <f t="shared" si="61"/>
        <v>0.2264810126582279</v>
      </c>
      <c r="AF53" s="110">
        <f t="shared" si="61"/>
        <v>0.23729113924050638</v>
      </c>
      <c r="AG53" s="110">
        <f>(W53/M53)*W53</f>
        <v>0.24810126582278486</v>
      </c>
      <c r="AI53" s="133"/>
      <c r="AJ53" s="211" t="s">
        <v>1431</v>
      </c>
      <c r="AL53" s="108"/>
      <c r="AM53" s="2"/>
      <c r="AN53" s="2"/>
      <c r="AO53" s="2"/>
      <c r="AV53" s="41"/>
    </row>
    <row r="54" spans="1:63" outlineLevel="1">
      <c r="A54" t="s">
        <v>1315</v>
      </c>
      <c r="B54" s="54" t="s">
        <v>462</v>
      </c>
      <c r="C54" s="113">
        <v>9.5000000000000001E-2</v>
      </c>
      <c r="D54" s="110">
        <f>$C54+($M54-$C54)/10*(D$1-$C$1)</f>
        <v>9.8299999999999998E-2</v>
      </c>
      <c r="E54" s="110">
        <f t="shared" si="59"/>
        <v>0.1016</v>
      </c>
      <c r="F54" s="110">
        <f t="shared" si="59"/>
        <v>0.10489999999999999</v>
      </c>
      <c r="G54" s="110">
        <f t="shared" si="59"/>
        <v>0.1082</v>
      </c>
      <c r="H54" s="110">
        <f t="shared" si="59"/>
        <v>0.1115</v>
      </c>
      <c r="I54" s="110">
        <f t="shared" si="59"/>
        <v>0.1148</v>
      </c>
      <c r="J54" s="110">
        <f t="shared" si="59"/>
        <v>0.1181</v>
      </c>
      <c r="K54" s="110">
        <f t="shared" si="59"/>
        <v>0.12140000000000001</v>
      </c>
      <c r="L54" s="110">
        <f t="shared" si="59"/>
        <v>0.12470000000000001</v>
      </c>
      <c r="M54" s="113">
        <v>0.128</v>
      </c>
      <c r="N54" s="110">
        <f>$M54+($W54-$M54)/10*(N$1-$M$1)</f>
        <v>0.1356</v>
      </c>
      <c r="O54" s="110">
        <f t="shared" si="60"/>
        <v>0.14319999999999999</v>
      </c>
      <c r="P54" s="110">
        <f t="shared" si="60"/>
        <v>0.15079999999999999</v>
      </c>
      <c r="Q54" s="110">
        <f t="shared" si="60"/>
        <v>0.15839999999999999</v>
      </c>
      <c r="R54" s="110">
        <f t="shared" si="60"/>
        <v>0.16599999999999998</v>
      </c>
      <c r="S54" s="110">
        <f t="shared" si="60"/>
        <v>0.17359999999999998</v>
      </c>
      <c r="T54" s="110">
        <f t="shared" si="60"/>
        <v>0.1812</v>
      </c>
      <c r="U54" s="110">
        <f t="shared" si="60"/>
        <v>0.1888</v>
      </c>
      <c r="V54" s="110">
        <f>$M54+($W54-$M54)/10*(V$1-$M$1)</f>
        <v>0.19639999999999999</v>
      </c>
      <c r="W54" s="113">
        <v>0.20399999999999999</v>
      </c>
      <c r="X54" s="110">
        <f>$W54+($AG54-$W54)/10*(X$1-$W$1)</f>
        <v>0.21611249999999999</v>
      </c>
      <c r="Y54" s="110">
        <f t="shared" si="61"/>
        <v>0.22822499999999998</v>
      </c>
      <c r="Z54" s="110">
        <f t="shared" si="61"/>
        <v>0.24033749999999998</v>
      </c>
      <c r="AA54" s="110">
        <f t="shared" si="61"/>
        <v>0.25244999999999995</v>
      </c>
      <c r="AB54" s="110">
        <f t="shared" si="61"/>
        <v>0.26456249999999998</v>
      </c>
      <c r="AC54" s="110">
        <f t="shared" si="61"/>
        <v>0.27667499999999995</v>
      </c>
      <c r="AD54" s="110">
        <f t="shared" si="61"/>
        <v>0.28878749999999997</v>
      </c>
      <c r="AE54" s="110">
        <f t="shared" si="61"/>
        <v>0.30089999999999995</v>
      </c>
      <c r="AF54" s="110">
        <f t="shared" si="61"/>
        <v>0.31301249999999992</v>
      </c>
      <c r="AG54" s="110">
        <f>(W54/M54)*W54</f>
        <v>0.32512499999999994</v>
      </c>
      <c r="AI54" s="133"/>
      <c r="AJ54" s="211" t="s">
        <v>1431</v>
      </c>
      <c r="AL54" s="108"/>
      <c r="AM54" s="2"/>
      <c r="AN54" s="2"/>
      <c r="AO54" s="2"/>
      <c r="AV54" s="41"/>
    </row>
    <row r="55" spans="1:63" outlineLevel="1">
      <c r="A55" t="s">
        <v>1316</v>
      </c>
      <c r="B55" s="176" t="s">
        <v>462</v>
      </c>
      <c r="C55" s="110">
        <f t="shared" ref="C55:AF55" si="62">C53+C54</f>
        <v>0.14200000000000002</v>
      </c>
      <c r="D55" s="110">
        <f t="shared" si="62"/>
        <v>0.14849999999999999</v>
      </c>
      <c r="E55" s="110">
        <f t="shared" si="62"/>
        <v>0.155</v>
      </c>
      <c r="F55" s="110">
        <f t="shared" si="62"/>
        <v>0.16149999999999998</v>
      </c>
      <c r="G55" s="110">
        <f t="shared" si="62"/>
        <v>0.16800000000000001</v>
      </c>
      <c r="H55" s="110">
        <f t="shared" si="62"/>
        <v>0.17449999999999999</v>
      </c>
      <c r="I55" s="110">
        <f t="shared" si="62"/>
        <v>0.18099999999999999</v>
      </c>
      <c r="J55" s="110">
        <f t="shared" si="62"/>
        <v>0.1875</v>
      </c>
      <c r="K55" s="110">
        <f t="shared" si="62"/>
        <v>0.19400000000000001</v>
      </c>
      <c r="L55" s="110">
        <f t="shared" si="62"/>
        <v>0.20050000000000001</v>
      </c>
      <c r="M55" s="110">
        <f t="shared" si="62"/>
        <v>0.20700000000000002</v>
      </c>
      <c r="N55" s="110">
        <f t="shared" si="62"/>
        <v>0.22070000000000001</v>
      </c>
      <c r="O55" s="110">
        <f t="shared" si="62"/>
        <v>0.2344</v>
      </c>
      <c r="P55" s="110">
        <f t="shared" si="62"/>
        <v>0.24809999999999999</v>
      </c>
      <c r="Q55" s="110">
        <f t="shared" si="62"/>
        <v>0.26179999999999998</v>
      </c>
      <c r="R55" s="110">
        <f t="shared" si="62"/>
        <v>0.27549999999999997</v>
      </c>
      <c r="S55" s="110">
        <f t="shared" si="62"/>
        <v>0.28920000000000001</v>
      </c>
      <c r="T55" s="110">
        <f t="shared" si="62"/>
        <v>0.3029</v>
      </c>
      <c r="U55" s="110">
        <f t="shared" si="62"/>
        <v>0.31659999999999999</v>
      </c>
      <c r="V55" s="110">
        <f t="shared" si="62"/>
        <v>0.33030000000000004</v>
      </c>
      <c r="W55" s="110">
        <f t="shared" si="62"/>
        <v>0.34399999999999997</v>
      </c>
      <c r="X55" s="110">
        <f t="shared" si="62"/>
        <v>0.36692262658227848</v>
      </c>
      <c r="Y55" s="110">
        <f t="shared" si="62"/>
        <v>0.38984525316455698</v>
      </c>
      <c r="Z55" s="110">
        <f t="shared" si="62"/>
        <v>0.41276787974683543</v>
      </c>
      <c r="AA55" s="110">
        <f t="shared" si="62"/>
        <v>0.43569050632911388</v>
      </c>
      <c r="AB55" s="110">
        <f t="shared" si="62"/>
        <v>0.45861313291139238</v>
      </c>
      <c r="AC55" s="110">
        <f t="shared" si="62"/>
        <v>0.48153575949367089</v>
      </c>
      <c r="AD55" s="110">
        <f t="shared" si="62"/>
        <v>0.50445838607594939</v>
      </c>
      <c r="AE55" s="110">
        <f t="shared" si="62"/>
        <v>0.5273810126582279</v>
      </c>
      <c r="AF55" s="110">
        <f t="shared" si="62"/>
        <v>0.55030363924050629</v>
      </c>
      <c r="AG55" s="110">
        <f>AG53+AG54</f>
        <v>0.5732262658227848</v>
      </c>
      <c r="AI55" s="133"/>
      <c r="AJ55" s="211"/>
      <c r="AL55" s="108"/>
      <c r="AM55" s="2"/>
      <c r="AN55" s="2"/>
      <c r="AO55" s="2"/>
    </row>
    <row r="56" spans="1:63" outlineLevel="1">
      <c r="C56" s="113"/>
      <c r="D56" s="110"/>
      <c r="E56" s="110"/>
      <c r="F56" s="110"/>
      <c r="G56" s="110"/>
      <c r="H56" s="110"/>
      <c r="I56" s="110"/>
      <c r="J56" s="110"/>
      <c r="K56" s="110"/>
      <c r="L56" s="110"/>
      <c r="M56" s="113"/>
      <c r="N56" s="110"/>
      <c r="O56" s="110"/>
      <c r="P56" s="110"/>
      <c r="Q56" s="110"/>
      <c r="R56" s="110"/>
      <c r="S56" s="110"/>
      <c r="T56" s="110"/>
      <c r="U56" s="110"/>
      <c r="V56" s="110"/>
      <c r="W56" s="113"/>
      <c r="X56" s="110"/>
      <c r="Y56" s="110"/>
      <c r="Z56" s="110"/>
      <c r="AA56" s="110"/>
      <c r="AB56" s="110"/>
      <c r="AC56" s="110"/>
      <c r="AD56" s="110"/>
      <c r="AE56" s="110"/>
      <c r="AF56" s="110"/>
      <c r="AG56" s="113"/>
      <c r="AI56" s="133"/>
      <c r="AJ56" s="211"/>
      <c r="AL56" s="108"/>
      <c r="AM56" s="2"/>
      <c r="AN56" s="2"/>
      <c r="AO56" s="2"/>
      <c r="AV56" s="41"/>
    </row>
    <row r="57" spans="1:63" outlineLevel="1">
      <c r="A57" t="s">
        <v>1317</v>
      </c>
      <c r="B57" s="54" t="s">
        <v>462</v>
      </c>
      <c r="C57" s="110">
        <f>'Ethylene recycling rates'!W28</f>
        <v>0.11499935012302656</v>
      </c>
      <c r="D57" s="121">
        <f>C57-($C$57-$AG$57)/($AG$1-$C$1)</f>
        <v>0.11283270511892568</v>
      </c>
      <c r="E57" s="121">
        <f t="shared" ref="E57:AF57" si="63">D57-($C$57-$AG$57)/($AG$1-$C$1)</f>
        <v>0.1106660601148248</v>
      </c>
      <c r="F57" s="121">
        <f t="shared" si="63"/>
        <v>0.10849941511072392</v>
      </c>
      <c r="G57" s="121">
        <f t="shared" si="63"/>
        <v>0.10633277010662304</v>
      </c>
      <c r="H57" s="121">
        <f t="shared" si="63"/>
        <v>0.10416612510252216</v>
      </c>
      <c r="I57" s="121">
        <f t="shared" si="63"/>
        <v>0.10199948009842127</v>
      </c>
      <c r="J57" s="121">
        <f t="shared" si="63"/>
        <v>9.9832835094320393E-2</v>
      </c>
      <c r="K57" s="121">
        <f t="shared" si="63"/>
        <v>9.7666190090219512E-2</v>
      </c>
      <c r="L57" s="121">
        <f t="shared" si="63"/>
        <v>9.5499545086118631E-2</v>
      </c>
      <c r="M57" s="121">
        <f t="shared" si="63"/>
        <v>9.333290008201775E-2</v>
      </c>
      <c r="N57" s="121">
        <f t="shared" si="63"/>
        <v>9.1166255077916869E-2</v>
      </c>
      <c r="O57" s="121">
        <f t="shared" si="63"/>
        <v>8.8999610073815988E-2</v>
      </c>
      <c r="P57" s="121">
        <f t="shared" si="63"/>
        <v>8.6832965069715107E-2</v>
      </c>
      <c r="Q57" s="121">
        <f t="shared" si="63"/>
        <v>8.4666320065614226E-2</v>
      </c>
      <c r="R57" s="121">
        <f t="shared" si="63"/>
        <v>8.2499675061513345E-2</v>
      </c>
      <c r="S57" s="121">
        <f t="shared" si="63"/>
        <v>8.0333030057412463E-2</v>
      </c>
      <c r="T57" s="121">
        <f t="shared" si="63"/>
        <v>7.8166385053311582E-2</v>
      </c>
      <c r="U57" s="121">
        <f t="shared" si="63"/>
        <v>7.5999740049210701E-2</v>
      </c>
      <c r="V57" s="121">
        <f t="shared" si="63"/>
        <v>7.383309504510982E-2</v>
      </c>
      <c r="W57" s="121">
        <f t="shared" si="63"/>
        <v>7.1666450041008939E-2</v>
      </c>
      <c r="X57" s="121">
        <f t="shared" si="63"/>
        <v>6.9499805036908058E-2</v>
      </c>
      <c r="Y57" s="121">
        <f t="shared" si="63"/>
        <v>6.7333160032807177E-2</v>
      </c>
      <c r="Z57" s="121">
        <f t="shared" si="63"/>
        <v>6.5166515028706296E-2</v>
      </c>
      <c r="AA57" s="121">
        <f t="shared" si="63"/>
        <v>6.2999870024605414E-2</v>
      </c>
      <c r="AB57" s="121">
        <f t="shared" si="63"/>
        <v>6.0833225020504526E-2</v>
      </c>
      <c r="AC57" s="121">
        <f t="shared" si="63"/>
        <v>5.8666580016403638E-2</v>
      </c>
      <c r="AD57" s="121">
        <f t="shared" si="63"/>
        <v>5.649993501230275E-2</v>
      </c>
      <c r="AE57" s="121">
        <f t="shared" si="63"/>
        <v>5.4333290008201862E-2</v>
      </c>
      <c r="AF57" s="121">
        <f t="shared" si="63"/>
        <v>5.2166645004100974E-2</v>
      </c>
      <c r="AG57" s="214">
        <v>0.05</v>
      </c>
      <c r="AI57" s="133"/>
      <c r="AJ57" s="211" t="s">
        <v>1432</v>
      </c>
      <c r="AL57" s="108"/>
      <c r="AM57" s="2"/>
      <c r="AN57" s="2"/>
      <c r="AO57" s="2"/>
      <c r="AV57" s="41"/>
    </row>
    <row r="58" spans="1:63" outlineLevel="1">
      <c r="A58" t="s">
        <v>1318</v>
      </c>
      <c r="C58" s="110">
        <f>'Ethylene recycling rates'!Z28</f>
        <v>0.13791632052401978</v>
      </c>
      <c r="D58" s="110">
        <f t="shared" ref="D58:S59" si="64">C58</f>
        <v>0.13791632052401978</v>
      </c>
      <c r="E58" s="110">
        <f t="shared" si="64"/>
        <v>0.13791632052401978</v>
      </c>
      <c r="F58" s="110">
        <f t="shared" si="64"/>
        <v>0.13791632052401978</v>
      </c>
      <c r="G58" s="110">
        <f t="shared" si="64"/>
        <v>0.13791632052401978</v>
      </c>
      <c r="H58" s="110">
        <f t="shared" si="64"/>
        <v>0.13791632052401978</v>
      </c>
      <c r="I58" s="110">
        <f t="shared" si="64"/>
        <v>0.13791632052401978</v>
      </c>
      <c r="J58" s="110">
        <f t="shared" si="64"/>
        <v>0.13791632052401978</v>
      </c>
      <c r="K58" s="110">
        <f t="shared" si="64"/>
        <v>0.13791632052401978</v>
      </c>
      <c r="L58" s="110">
        <f t="shared" si="64"/>
        <v>0.13791632052401978</v>
      </c>
      <c r="M58" s="110">
        <f t="shared" si="64"/>
        <v>0.13791632052401978</v>
      </c>
      <c r="N58" s="110">
        <f t="shared" si="64"/>
        <v>0.13791632052401978</v>
      </c>
      <c r="O58" s="110">
        <f t="shared" si="64"/>
        <v>0.13791632052401978</v>
      </c>
      <c r="P58" s="110">
        <f t="shared" si="64"/>
        <v>0.13791632052401978</v>
      </c>
      <c r="Q58" s="110">
        <f t="shared" si="64"/>
        <v>0.13791632052401978</v>
      </c>
      <c r="R58" s="110">
        <f t="shared" si="64"/>
        <v>0.13791632052401978</v>
      </c>
      <c r="S58" s="110">
        <f t="shared" si="64"/>
        <v>0.13791632052401978</v>
      </c>
      <c r="T58" s="110">
        <f t="shared" ref="E58:AG59" si="65">S58</f>
        <v>0.13791632052401978</v>
      </c>
      <c r="U58" s="110">
        <f t="shared" si="65"/>
        <v>0.13791632052401978</v>
      </c>
      <c r="V58" s="110">
        <f t="shared" si="65"/>
        <v>0.13791632052401978</v>
      </c>
      <c r="W58" s="110">
        <f t="shared" si="65"/>
        <v>0.13791632052401978</v>
      </c>
      <c r="X58" s="110">
        <f t="shared" si="65"/>
        <v>0.13791632052401978</v>
      </c>
      <c r="Y58" s="110">
        <f t="shared" si="65"/>
        <v>0.13791632052401978</v>
      </c>
      <c r="Z58" s="110">
        <f t="shared" si="65"/>
        <v>0.13791632052401978</v>
      </c>
      <c r="AA58" s="110">
        <f t="shared" si="65"/>
        <v>0.13791632052401978</v>
      </c>
      <c r="AB58" s="110">
        <f t="shared" si="65"/>
        <v>0.13791632052401978</v>
      </c>
      <c r="AC58" s="110">
        <f t="shared" si="65"/>
        <v>0.13791632052401978</v>
      </c>
      <c r="AD58" s="110">
        <f t="shared" si="65"/>
        <v>0.13791632052401978</v>
      </c>
      <c r="AE58" s="110">
        <f t="shared" si="65"/>
        <v>0.13791632052401978</v>
      </c>
      <c r="AF58" s="110">
        <f t="shared" si="65"/>
        <v>0.13791632052401978</v>
      </c>
      <c r="AG58" s="110">
        <f t="shared" si="65"/>
        <v>0.13791632052401978</v>
      </c>
      <c r="AI58" s="133"/>
      <c r="AJ58" s="211" t="s">
        <v>1432</v>
      </c>
      <c r="AL58" s="108"/>
      <c r="AM58" s="2"/>
      <c r="AN58" s="2"/>
      <c r="AO58" s="2"/>
      <c r="AV58" s="41"/>
    </row>
    <row r="59" spans="1:63" outlineLevel="1">
      <c r="A59" t="s">
        <v>1433</v>
      </c>
      <c r="B59" s="54" t="s">
        <v>462</v>
      </c>
      <c r="C59" s="110">
        <f>'Ethylene recycling rates'!X28</f>
        <v>0.10855071452136934</v>
      </c>
      <c r="D59" s="110">
        <f t="shared" si="64"/>
        <v>0.10855071452136934</v>
      </c>
      <c r="E59" s="110">
        <f t="shared" si="65"/>
        <v>0.10855071452136934</v>
      </c>
      <c r="F59" s="110">
        <f t="shared" si="65"/>
        <v>0.10855071452136934</v>
      </c>
      <c r="G59" s="110">
        <f t="shared" si="65"/>
        <v>0.10855071452136934</v>
      </c>
      <c r="H59" s="110">
        <f t="shared" si="65"/>
        <v>0.10855071452136934</v>
      </c>
      <c r="I59" s="110">
        <f t="shared" si="65"/>
        <v>0.10855071452136934</v>
      </c>
      <c r="J59" s="110">
        <f t="shared" si="65"/>
        <v>0.10855071452136934</v>
      </c>
      <c r="K59" s="110">
        <f t="shared" si="65"/>
        <v>0.10855071452136934</v>
      </c>
      <c r="L59" s="110">
        <f t="shared" si="65"/>
        <v>0.10855071452136934</v>
      </c>
      <c r="M59" s="110">
        <f t="shared" si="65"/>
        <v>0.10855071452136934</v>
      </c>
      <c r="N59" s="110">
        <f t="shared" si="65"/>
        <v>0.10855071452136934</v>
      </c>
      <c r="O59" s="110">
        <f t="shared" si="65"/>
        <v>0.10855071452136934</v>
      </c>
      <c r="P59" s="110">
        <f t="shared" si="65"/>
        <v>0.10855071452136934</v>
      </c>
      <c r="Q59" s="110">
        <f t="shared" si="65"/>
        <v>0.10855071452136934</v>
      </c>
      <c r="R59" s="110">
        <f t="shared" si="65"/>
        <v>0.10855071452136934</v>
      </c>
      <c r="S59" s="110">
        <f t="shared" si="65"/>
        <v>0.10855071452136934</v>
      </c>
      <c r="T59" s="110">
        <f t="shared" si="65"/>
        <v>0.10855071452136934</v>
      </c>
      <c r="U59" s="110">
        <f t="shared" si="65"/>
        <v>0.10855071452136934</v>
      </c>
      <c r="V59" s="110">
        <f t="shared" si="65"/>
        <v>0.10855071452136934</v>
      </c>
      <c r="W59" s="110">
        <f t="shared" si="65"/>
        <v>0.10855071452136934</v>
      </c>
      <c r="X59" s="110">
        <f t="shared" si="65"/>
        <v>0.10855071452136934</v>
      </c>
      <c r="Y59" s="110">
        <f t="shared" si="65"/>
        <v>0.10855071452136934</v>
      </c>
      <c r="Z59" s="110">
        <f t="shared" si="65"/>
        <v>0.10855071452136934</v>
      </c>
      <c r="AA59" s="110">
        <f t="shared" si="65"/>
        <v>0.10855071452136934</v>
      </c>
      <c r="AB59" s="110">
        <f t="shared" si="65"/>
        <v>0.10855071452136934</v>
      </c>
      <c r="AC59" s="110">
        <f t="shared" si="65"/>
        <v>0.10855071452136934</v>
      </c>
      <c r="AD59" s="110">
        <f t="shared" si="65"/>
        <v>0.10855071452136934</v>
      </c>
      <c r="AE59" s="110">
        <f t="shared" si="65"/>
        <v>0.10855071452136934</v>
      </c>
      <c r="AF59" s="110">
        <f t="shared" si="65"/>
        <v>0.10855071452136934</v>
      </c>
      <c r="AG59" s="110">
        <f t="shared" si="65"/>
        <v>0.10855071452136934</v>
      </c>
      <c r="AI59" s="133"/>
      <c r="AJ59" s="211" t="s">
        <v>1432</v>
      </c>
      <c r="AL59" s="108"/>
      <c r="AM59" s="2"/>
      <c r="AN59" s="2"/>
      <c r="AO59" s="2"/>
      <c r="AV59" s="41"/>
    </row>
    <row r="60" spans="1:63" outlineLevel="1">
      <c r="A60" t="s">
        <v>1319</v>
      </c>
      <c r="B60" s="54" t="s">
        <v>462</v>
      </c>
      <c r="C60" s="110">
        <f>1-C59-C58-C57</f>
        <v>0.63853361483158433</v>
      </c>
      <c r="D60" s="110">
        <f t="shared" ref="D60:AG60" si="66">1-D59-D58-D57</f>
        <v>0.64070025983568524</v>
      </c>
      <c r="E60" s="110">
        <f t="shared" si="66"/>
        <v>0.64286690483978604</v>
      </c>
      <c r="F60" s="110">
        <f t="shared" si="66"/>
        <v>0.64503354984388694</v>
      </c>
      <c r="G60" s="110">
        <f t="shared" si="66"/>
        <v>0.64720019484798785</v>
      </c>
      <c r="H60" s="110">
        <f t="shared" si="66"/>
        <v>0.64936683985208865</v>
      </c>
      <c r="I60" s="110">
        <f t="shared" si="66"/>
        <v>0.65153348485618956</v>
      </c>
      <c r="J60" s="110">
        <f t="shared" si="66"/>
        <v>0.65370012986029047</v>
      </c>
      <c r="K60" s="110">
        <f t="shared" si="66"/>
        <v>0.65586677486439138</v>
      </c>
      <c r="L60" s="110">
        <f t="shared" si="66"/>
        <v>0.65803341986849229</v>
      </c>
      <c r="M60" s="110">
        <f t="shared" si="66"/>
        <v>0.66020006487259308</v>
      </c>
      <c r="N60" s="110">
        <f t="shared" si="66"/>
        <v>0.66236670987669399</v>
      </c>
      <c r="O60" s="110">
        <f t="shared" si="66"/>
        <v>0.6645333548807949</v>
      </c>
      <c r="P60" s="110">
        <f t="shared" si="66"/>
        <v>0.6666999998848957</v>
      </c>
      <c r="Q60" s="110">
        <f t="shared" si="66"/>
        <v>0.66886664488899661</v>
      </c>
      <c r="R60" s="110">
        <f t="shared" si="66"/>
        <v>0.67103328989309752</v>
      </c>
      <c r="S60" s="110">
        <f t="shared" si="66"/>
        <v>0.67319993489719843</v>
      </c>
      <c r="T60" s="110">
        <f t="shared" si="66"/>
        <v>0.67536657990129934</v>
      </c>
      <c r="U60" s="110">
        <f t="shared" si="66"/>
        <v>0.67753322490540013</v>
      </c>
      <c r="V60" s="110">
        <f t="shared" si="66"/>
        <v>0.67969986990950104</v>
      </c>
      <c r="W60" s="110">
        <f t="shared" si="66"/>
        <v>0.68186651491360195</v>
      </c>
      <c r="X60" s="110">
        <f t="shared" si="66"/>
        <v>0.68403315991770275</v>
      </c>
      <c r="Y60" s="110">
        <f t="shared" si="66"/>
        <v>0.68619980492180366</v>
      </c>
      <c r="Z60" s="110">
        <f t="shared" si="66"/>
        <v>0.68836644992590457</v>
      </c>
      <c r="AA60" s="110">
        <f t="shared" si="66"/>
        <v>0.69053309493000548</v>
      </c>
      <c r="AB60" s="110">
        <f t="shared" si="66"/>
        <v>0.69269973993410638</v>
      </c>
      <c r="AC60" s="110">
        <f t="shared" si="66"/>
        <v>0.69486638493820718</v>
      </c>
      <c r="AD60" s="110">
        <f t="shared" si="66"/>
        <v>0.69703302994230809</v>
      </c>
      <c r="AE60" s="110">
        <f t="shared" si="66"/>
        <v>0.699199674946409</v>
      </c>
      <c r="AF60" s="110">
        <f t="shared" si="66"/>
        <v>0.70136631995050991</v>
      </c>
      <c r="AG60" s="110">
        <f t="shared" si="66"/>
        <v>0.70353296495461082</v>
      </c>
      <c r="AI60" s="133"/>
      <c r="AJ60" s="211" t="s">
        <v>1432</v>
      </c>
      <c r="AL60" s="108"/>
      <c r="AM60" s="2"/>
      <c r="AN60" s="2"/>
      <c r="AO60" s="2"/>
      <c r="AV60" s="41"/>
    </row>
    <row r="61" spans="1:63" outlineLevel="1">
      <c r="A61" t="s">
        <v>1317</v>
      </c>
      <c r="B61" s="54" t="s">
        <v>462</v>
      </c>
      <c r="C61" s="110">
        <f>C$54*C57</f>
        <v>1.0924938261687523E-2</v>
      </c>
      <c r="D61" s="110">
        <f t="shared" ref="D61:AG64" si="67">D$54*D57</f>
        <v>1.1091454913190394E-2</v>
      </c>
      <c r="E61" s="110">
        <f t="shared" si="67"/>
        <v>1.1243671707666198E-2</v>
      </c>
      <c r="F61" s="110">
        <f t="shared" si="67"/>
        <v>1.1381588645114939E-2</v>
      </c>
      <c r="G61" s="110">
        <f t="shared" si="67"/>
        <v>1.1505205725536613E-2</v>
      </c>
      <c r="H61" s="110">
        <f t="shared" si="67"/>
        <v>1.161452294893122E-2</v>
      </c>
      <c r="I61" s="110">
        <f t="shared" si="67"/>
        <v>1.1709540315298762E-2</v>
      </c>
      <c r="J61" s="110">
        <f t="shared" si="67"/>
        <v>1.1790257824639237E-2</v>
      </c>
      <c r="K61" s="110">
        <f t="shared" si="67"/>
        <v>1.185667547695265E-2</v>
      </c>
      <c r="L61" s="110">
        <f t="shared" si="67"/>
        <v>1.1908793272238994E-2</v>
      </c>
      <c r="M61" s="110">
        <f t="shared" si="67"/>
        <v>1.1946611210498273E-2</v>
      </c>
      <c r="N61" s="110">
        <f t="shared" si="67"/>
        <v>1.2362144188565528E-2</v>
      </c>
      <c r="O61" s="110">
        <f t="shared" si="67"/>
        <v>1.2744744162570449E-2</v>
      </c>
      <c r="P61" s="110">
        <f t="shared" si="67"/>
        <v>1.3094411132513037E-2</v>
      </c>
      <c r="Q61" s="110">
        <f t="shared" si="67"/>
        <v>1.3411145098393293E-2</v>
      </c>
      <c r="R61" s="110">
        <f t="shared" si="67"/>
        <v>1.3694946060211214E-2</v>
      </c>
      <c r="S61" s="110">
        <f t="shared" si="67"/>
        <v>1.3945814017966802E-2</v>
      </c>
      <c r="T61" s="110">
        <f t="shared" si="67"/>
        <v>1.4163748971660058E-2</v>
      </c>
      <c r="U61" s="110">
        <f t="shared" si="67"/>
        <v>1.434875092129098E-2</v>
      </c>
      <c r="V61" s="110">
        <f t="shared" si="67"/>
        <v>1.4500819866859568E-2</v>
      </c>
      <c r="W61" s="110">
        <f t="shared" si="67"/>
        <v>1.4619955808365823E-2</v>
      </c>
      <c r="X61" s="110">
        <f t="shared" si="67"/>
        <v>1.5019776616038791E-2</v>
      </c>
      <c r="Y61" s="110">
        <f t="shared" si="67"/>
        <v>1.5367110448487417E-2</v>
      </c>
      <c r="Z61" s="110">
        <f t="shared" si="67"/>
        <v>1.56619573057117E-2</v>
      </c>
      <c r="AA61" s="110">
        <f t="shared" si="67"/>
        <v>1.5904317187711636E-2</v>
      </c>
      <c r="AB61" s="110">
        <f t="shared" si="67"/>
        <v>1.6094190094487228E-2</v>
      </c>
      <c r="AC61" s="110">
        <f t="shared" si="67"/>
        <v>1.6231576026038474E-2</v>
      </c>
      <c r="AD61" s="110">
        <f t="shared" si="67"/>
        <v>1.6316474982365377E-2</v>
      </c>
      <c r="AE61" s="110">
        <f t="shared" si="67"/>
        <v>1.6348886963467937E-2</v>
      </c>
      <c r="AF61" s="110">
        <f t="shared" si="67"/>
        <v>1.6328811969346151E-2</v>
      </c>
      <c r="AG61" s="110">
        <f>AG$54*AG57</f>
        <v>1.6256249999999996E-2</v>
      </c>
      <c r="AH61" s="271"/>
      <c r="AI61" s="133"/>
      <c r="AJ61" s="211"/>
      <c r="AL61" s="108"/>
      <c r="AM61" s="2"/>
      <c r="AN61" s="2"/>
      <c r="AO61" s="2"/>
    </row>
    <row r="62" spans="1:63" outlineLevel="1">
      <c r="A62" t="s">
        <v>1318</v>
      </c>
      <c r="B62" s="54" t="s">
        <v>462</v>
      </c>
      <c r="C62" s="110">
        <f>C$54*C58</f>
        <v>1.3102050449781879E-2</v>
      </c>
      <c r="D62" s="110">
        <f t="shared" ref="C62:R64" si="68">D$54*D58</f>
        <v>1.3557174307511145E-2</v>
      </c>
      <c r="E62" s="110">
        <f t="shared" si="68"/>
        <v>1.4012298165240409E-2</v>
      </c>
      <c r="F62" s="110">
        <f t="shared" si="68"/>
        <v>1.4467422022969674E-2</v>
      </c>
      <c r="G62" s="110">
        <f t="shared" si="68"/>
        <v>1.4922545880698941E-2</v>
      </c>
      <c r="H62" s="110">
        <f t="shared" si="68"/>
        <v>1.5377669738428206E-2</v>
      </c>
      <c r="I62" s="110">
        <f t="shared" si="68"/>
        <v>1.5832793596157472E-2</v>
      </c>
      <c r="J62" s="110">
        <f t="shared" si="68"/>
        <v>1.6287917453886736E-2</v>
      </c>
      <c r="K62" s="110">
        <f t="shared" si="68"/>
        <v>1.6743041311616004E-2</v>
      </c>
      <c r="L62" s="110">
        <f t="shared" si="68"/>
        <v>1.7198165169345268E-2</v>
      </c>
      <c r="M62" s="110">
        <f t="shared" si="68"/>
        <v>1.7653289027074533E-2</v>
      </c>
      <c r="N62" s="110">
        <f t="shared" si="68"/>
        <v>1.8701453063057084E-2</v>
      </c>
      <c r="O62" s="110">
        <f t="shared" si="68"/>
        <v>1.9749617099039631E-2</v>
      </c>
      <c r="P62" s="110">
        <f t="shared" si="68"/>
        <v>2.0797781135022182E-2</v>
      </c>
      <c r="Q62" s="110">
        <f t="shared" si="68"/>
        <v>2.184594517100473E-2</v>
      </c>
      <c r="R62" s="110">
        <f t="shared" si="68"/>
        <v>2.2894109206987281E-2</v>
      </c>
      <c r="S62" s="110">
        <f t="shared" si="67"/>
        <v>2.3942273242969832E-2</v>
      </c>
      <c r="T62" s="110">
        <f t="shared" si="67"/>
        <v>2.4990437278952383E-2</v>
      </c>
      <c r="U62" s="110">
        <f t="shared" si="67"/>
        <v>2.6038601314934934E-2</v>
      </c>
      <c r="V62" s="110">
        <f t="shared" si="67"/>
        <v>2.7086765350917485E-2</v>
      </c>
      <c r="W62" s="110">
        <f t="shared" si="67"/>
        <v>2.8134929386900032E-2</v>
      </c>
      <c r="X62" s="110">
        <f t="shared" si="67"/>
        <v>2.9805440819247221E-2</v>
      </c>
      <c r="Y62" s="110">
        <f t="shared" si="67"/>
        <v>3.1475952251594413E-2</v>
      </c>
      <c r="Z62" s="110">
        <f t="shared" si="67"/>
        <v>3.3146463683941599E-2</v>
      </c>
      <c r="AA62" s="110">
        <f t="shared" si="67"/>
        <v>3.4816975116288784E-2</v>
      </c>
      <c r="AB62" s="110">
        <f t="shared" si="67"/>
        <v>3.6487486548635983E-2</v>
      </c>
      <c r="AC62" s="110">
        <f t="shared" si="67"/>
        <v>3.8157997980983169E-2</v>
      </c>
      <c r="AD62" s="110">
        <f t="shared" si="67"/>
        <v>3.9828509413330361E-2</v>
      </c>
      <c r="AE62" s="110">
        <f t="shared" si="67"/>
        <v>4.1499020845677546E-2</v>
      </c>
      <c r="AF62" s="110">
        <f t="shared" si="67"/>
        <v>4.3169532278024732E-2</v>
      </c>
      <c r="AG62" s="110">
        <f t="shared" si="67"/>
        <v>4.4840043710371924E-2</v>
      </c>
      <c r="AH62" s="271"/>
      <c r="AJ62" s="211"/>
      <c r="AL62" s="108"/>
      <c r="AM62" s="2"/>
      <c r="AN62" s="2"/>
      <c r="AO62" s="2"/>
      <c r="BC62" s="1"/>
      <c r="BD62" s="2"/>
      <c r="BE62" s="2"/>
      <c r="BF62" s="2"/>
      <c r="BG62" s="2"/>
      <c r="BH62" s="2"/>
      <c r="BI62" s="2"/>
      <c r="BJ62" s="2"/>
      <c r="BK62" s="2"/>
    </row>
    <row r="63" spans="1:63" outlineLevel="1">
      <c r="A63" t="s">
        <v>1433</v>
      </c>
      <c r="C63" s="110">
        <f t="shared" si="68"/>
        <v>1.0312317879530087E-2</v>
      </c>
      <c r="D63" s="110">
        <f t="shared" si="67"/>
        <v>1.0670535237450606E-2</v>
      </c>
      <c r="E63" s="110">
        <f t="shared" si="67"/>
        <v>1.1028752595371125E-2</v>
      </c>
      <c r="F63" s="110">
        <f t="shared" si="67"/>
        <v>1.1386969953291644E-2</v>
      </c>
      <c r="G63" s="110">
        <f t="shared" si="67"/>
        <v>1.1745187311212163E-2</v>
      </c>
      <c r="H63" s="110">
        <f t="shared" si="67"/>
        <v>1.2103404669132681E-2</v>
      </c>
      <c r="I63" s="110">
        <f t="shared" si="67"/>
        <v>1.24616220270532E-2</v>
      </c>
      <c r="J63" s="110">
        <f t="shared" si="67"/>
        <v>1.2819839384973719E-2</v>
      </c>
      <c r="K63" s="110">
        <f t="shared" si="67"/>
        <v>1.317805674289424E-2</v>
      </c>
      <c r="L63" s="110">
        <f t="shared" si="67"/>
        <v>1.3536274100814759E-2</v>
      </c>
      <c r="M63" s="110">
        <f t="shared" si="67"/>
        <v>1.3894491458735276E-2</v>
      </c>
      <c r="N63" s="110">
        <f t="shared" si="67"/>
        <v>1.4719476889097683E-2</v>
      </c>
      <c r="O63" s="110">
        <f t="shared" si="67"/>
        <v>1.5544462319460089E-2</v>
      </c>
      <c r="P63" s="110">
        <f t="shared" si="67"/>
        <v>1.6369447749822495E-2</v>
      </c>
      <c r="Q63" s="110">
        <f t="shared" si="67"/>
        <v>1.7194433180184904E-2</v>
      </c>
      <c r="R63" s="110">
        <f t="shared" si="67"/>
        <v>1.8019418610547309E-2</v>
      </c>
      <c r="S63" s="110">
        <f t="shared" si="67"/>
        <v>1.8844404040909715E-2</v>
      </c>
      <c r="T63" s="110">
        <f t="shared" si="67"/>
        <v>1.9669389471272124E-2</v>
      </c>
      <c r="U63" s="110">
        <f t="shared" si="67"/>
        <v>2.049437490163453E-2</v>
      </c>
      <c r="V63" s="110">
        <f t="shared" si="67"/>
        <v>2.1319360331996939E-2</v>
      </c>
      <c r="W63" s="110">
        <f t="shared" si="67"/>
        <v>2.2144345762359345E-2</v>
      </c>
      <c r="X63" s="110">
        <f t="shared" si="67"/>
        <v>2.3459166291999432E-2</v>
      </c>
      <c r="Y63" s="110">
        <f t="shared" si="67"/>
        <v>2.4773986821639518E-2</v>
      </c>
      <c r="Z63" s="110">
        <f t="shared" si="67"/>
        <v>2.6088807351279601E-2</v>
      </c>
      <c r="AA63" s="110">
        <f t="shared" si="67"/>
        <v>2.7403627880919684E-2</v>
      </c>
      <c r="AB63" s="110">
        <f t="shared" si="67"/>
        <v>2.8718448410559774E-2</v>
      </c>
      <c r="AC63" s="110">
        <f t="shared" si="67"/>
        <v>3.0033268940199857E-2</v>
      </c>
      <c r="AD63" s="110">
        <f t="shared" si="67"/>
        <v>3.1348089469839947E-2</v>
      </c>
      <c r="AE63" s="110">
        <f t="shared" si="67"/>
        <v>3.266290999948003E-2</v>
      </c>
      <c r="AF63" s="110">
        <f t="shared" si="67"/>
        <v>3.3977730529120113E-2</v>
      </c>
      <c r="AG63" s="110">
        <f t="shared" si="67"/>
        <v>3.5292551058760203E-2</v>
      </c>
      <c r="AH63" s="271"/>
      <c r="AJ63" s="211"/>
      <c r="AL63" s="108"/>
      <c r="AM63" s="2"/>
      <c r="AN63" s="2"/>
      <c r="AO63" s="2"/>
      <c r="BC63" s="1"/>
      <c r="BD63" s="2"/>
      <c r="BE63" s="2"/>
      <c r="BF63" s="2"/>
      <c r="BG63" s="2"/>
      <c r="BH63" s="2"/>
      <c r="BI63" s="2"/>
      <c r="BJ63" s="2"/>
      <c r="BK63" s="2"/>
    </row>
    <row r="64" spans="1:63" outlineLevel="1">
      <c r="A64" t="s">
        <v>1319</v>
      </c>
      <c r="B64" s="54" t="s">
        <v>462</v>
      </c>
      <c r="C64" s="110">
        <f t="shared" si="68"/>
        <v>6.0660693409000509E-2</v>
      </c>
      <c r="D64" s="110">
        <f t="shared" si="67"/>
        <v>6.2980835541847857E-2</v>
      </c>
      <c r="E64" s="110">
        <f t="shared" si="67"/>
        <v>6.5315277531722254E-2</v>
      </c>
      <c r="F64" s="110">
        <f t="shared" si="67"/>
        <v>6.7664019378623735E-2</v>
      </c>
      <c r="G64" s="110">
        <f t="shared" si="67"/>
        <v>7.0027061082552286E-2</v>
      </c>
      <c r="H64" s="110">
        <f t="shared" si="67"/>
        <v>7.2404402643507892E-2</v>
      </c>
      <c r="I64" s="110">
        <f t="shared" si="67"/>
        <v>7.4796044061490555E-2</v>
      </c>
      <c r="J64" s="110">
        <f t="shared" si="67"/>
        <v>7.7201985336500301E-2</v>
      </c>
      <c r="K64" s="110">
        <f t="shared" si="67"/>
        <v>7.9622226468537116E-2</v>
      </c>
      <c r="L64" s="110">
        <f t="shared" si="67"/>
        <v>8.2056767457600988E-2</v>
      </c>
      <c r="M64" s="110">
        <f t="shared" si="67"/>
        <v>8.4505608303691915E-2</v>
      </c>
      <c r="N64" s="110">
        <f t="shared" si="67"/>
        <v>8.9816925859279709E-2</v>
      </c>
      <c r="O64" s="110">
        <f t="shared" si="67"/>
        <v>9.5161176418929821E-2</v>
      </c>
      <c r="P64" s="110">
        <f t="shared" si="67"/>
        <v>0.10053835998264227</v>
      </c>
      <c r="Q64" s="110">
        <f t="shared" si="67"/>
        <v>0.10594847655041706</v>
      </c>
      <c r="R64" s="110">
        <f t="shared" si="67"/>
        <v>0.11139152612225417</v>
      </c>
      <c r="S64" s="110">
        <f t="shared" si="67"/>
        <v>0.11686750869815363</v>
      </c>
      <c r="T64" s="110">
        <f t="shared" si="67"/>
        <v>0.12237642427811544</v>
      </c>
      <c r="U64" s="110">
        <f t="shared" si="67"/>
        <v>0.12791827286213955</v>
      </c>
      <c r="V64" s="110">
        <f t="shared" si="67"/>
        <v>0.133493054450226</v>
      </c>
      <c r="W64" s="110">
        <f t="shared" si="67"/>
        <v>0.13910076904237478</v>
      </c>
      <c r="X64" s="110">
        <f t="shared" si="67"/>
        <v>0.14782811627271453</v>
      </c>
      <c r="Y64" s="110">
        <f t="shared" si="67"/>
        <v>0.15660795047827863</v>
      </c>
      <c r="Z64" s="110">
        <f t="shared" si="67"/>
        <v>0.16544027165906708</v>
      </c>
      <c r="AA64" s="110">
        <f t="shared" si="67"/>
        <v>0.17432507981507986</v>
      </c>
      <c r="AB64" s="110">
        <f t="shared" si="67"/>
        <v>0.183262374946317</v>
      </c>
      <c r="AC64" s="110">
        <f t="shared" si="67"/>
        <v>0.19225215705277843</v>
      </c>
      <c r="AD64" s="110">
        <f t="shared" si="67"/>
        <v>0.20129442613446427</v>
      </c>
      <c r="AE64" s="110">
        <f t="shared" si="67"/>
        <v>0.21038918219137442</v>
      </c>
      <c r="AF64" s="110">
        <f t="shared" si="67"/>
        <v>0.21953642522350891</v>
      </c>
      <c r="AG64" s="110">
        <f t="shared" si="67"/>
        <v>0.22873615523086779</v>
      </c>
      <c r="AH64" s="271"/>
      <c r="AI64" s="133"/>
      <c r="AJ64" s="211"/>
      <c r="AL64" s="108"/>
      <c r="AM64" s="2"/>
      <c r="AN64" s="2"/>
      <c r="AO64" s="2"/>
      <c r="BC64" s="1"/>
      <c r="BD64" s="2"/>
      <c r="BE64" s="2"/>
      <c r="BF64" s="2"/>
      <c r="BG64" s="2"/>
      <c r="BH64" s="2"/>
      <c r="BI64" s="2"/>
      <c r="BJ64" s="2"/>
      <c r="BK64" s="2"/>
    </row>
    <row r="65" spans="1:63" outlineLevel="1">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I65" s="133"/>
      <c r="AJ65" s="211"/>
      <c r="AL65" s="108"/>
      <c r="AM65" s="2"/>
      <c r="AN65" s="2"/>
      <c r="AO65" s="2"/>
      <c r="BC65" s="1"/>
      <c r="BD65" s="2"/>
      <c r="BE65" s="2"/>
      <c r="BF65" s="2"/>
      <c r="BG65" s="2"/>
      <c r="BH65" s="2"/>
      <c r="BI65" s="2"/>
      <c r="BJ65" s="2"/>
      <c r="BK65" s="2"/>
    </row>
    <row r="66" spans="1:63" outlineLevel="1">
      <c r="A66" t="s">
        <v>1434</v>
      </c>
      <c r="C66" s="382">
        <f>'Overall recycling rates'!C84</f>
        <v>1.072867743833287</v>
      </c>
      <c r="D66" s="382">
        <f t="shared" ref="D66:AF66" si="69">C66-($C$66-$AG$66)/($AG$1-$C$1)</f>
        <v>1.0704388190388441</v>
      </c>
      <c r="E66" s="382">
        <f t="shared" si="69"/>
        <v>1.0680098942444012</v>
      </c>
      <c r="F66" s="382">
        <f t="shared" si="69"/>
        <v>1.0655809694499583</v>
      </c>
      <c r="G66" s="382">
        <f t="shared" si="69"/>
        <v>1.0631520446555154</v>
      </c>
      <c r="H66" s="382">
        <f t="shared" si="69"/>
        <v>1.0607231198610725</v>
      </c>
      <c r="I66" s="382">
        <f t="shared" si="69"/>
        <v>1.0582941950666296</v>
      </c>
      <c r="J66" s="382">
        <f t="shared" si="69"/>
        <v>1.0558652702721867</v>
      </c>
      <c r="K66" s="382">
        <f t="shared" si="69"/>
        <v>1.0534363454777438</v>
      </c>
      <c r="L66" s="382">
        <f t="shared" si="69"/>
        <v>1.0510074206833009</v>
      </c>
      <c r="M66" s="382">
        <f t="shared" si="69"/>
        <v>1.048578495888858</v>
      </c>
      <c r="N66" s="382">
        <f t="shared" si="69"/>
        <v>1.0461495710944151</v>
      </c>
      <c r="O66" s="382">
        <f t="shared" si="69"/>
        <v>1.0437206462999722</v>
      </c>
      <c r="P66" s="382">
        <f t="shared" si="69"/>
        <v>1.0412917215055293</v>
      </c>
      <c r="Q66" s="382">
        <f t="shared" si="69"/>
        <v>1.0388627967110864</v>
      </c>
      <c r="R66" s="382">
        <f t="shared" si="69"/>
        <v>1.0364338719166435</v>
      </c>
      <c r="S66" s="382">
        <f t="shared" si="69"/>
        <v>1.0340049471222006</v>
      </c>
      <c r="T66" s="382">
        <f t="shared" si="69"/>
        <v>1.0315760223277577</v>
      </c>
      <c r="U66" s="382">
        <f t="shared" si="69"/>
        <v>1.0291470975333148</v>
      </c>
      <c r="V66" s="382">
        <f t="shared" si="69"/>
        <v>1.0267181727388719</v>
      </c>
      <c r="W66" s="382">
        <f t="shared" si="69"/>
        <v>1.024289247944429</v>
      </c>
      <c r="X66" s="382">
        <f t="shared" si="69"/>
        <v>1.0218603231499861</v>
      </c>
      <c r="Y66" s="382">
        <f t="shared" si="69"/>
        <v>1.0194313983555432</v>
      </c>
      <c r="Z66" s="382">
        <f t="shared" si="69"/>
        <v>1.0170024735611003</v>
      </c>
      <c r="AA66" s="382">
        <f t="shared" si="69"/>
        <v>1.0145735487666574</v>
      </c>
      <c r="AB66" s="382">
        <f t="shared" si="69"/>
        <v>1.0121446239722145</v>
      </c>
      <c r="AC66" s="382">
        <f t="shared" si="69"/>
        <v>1.0097156991777716</v>
      </c>
      <c r="AD66" s="382">
        <f t="shared" si="69"/>
        <v>1.0072867743833287</v>
      </c>
      <c r="AE66" s="382">
        <f t="shared" si="69"/>
        <v>1.0048578495888858</v>
      </c>
      <c r="AF66" s="382">
        <f t="shared" si="69"/>
        <v>1.0024289247944429</v>
      </c>
      <c r="AG66" s="382">
        <f>'Overall recycling rates'!C93</f>
        <v>1</v>
      </c>
      <c r="AI66" s="133"/>
      <c r="AJ66" s="211"/>
      <c r="AL66" s="108"/>
      <c r="AM66" s="2"/>
      <c r="AN66" s="2"/>
      <c r="AO66" s="2"/>
      <c r="BC66" s="1"/>
      <c r="BD66" s="2"/>
      <c r="BE66" s="2"/>
      <c r="BF66" s="2"/>
      <c r="BG66" s="2"/>
      <c r="BH66" s="2"/>
      <c r="BI66" s="2"/>
      <c r="BJ66" s="2"/>
      <c r="BK66" s="2"/>
    </row>
    <row r="67" spans="1:63" outlineLevel="1">
      <c r="A67" t="s">
        <v>1320</v>
      </c>
      <c r="B67" s="54" t="s">
        <v>462</v>
      </c>
      <c r="C67" s="110">
        <f t="shared" ref="C67:AG67" si="70">C53*C$66</f>
        <v>5.042478396016449E-2</v>
      </c>
      <c r="D67" s="110">
        <f t="shared" si="70"/>
        <v>5.3736028715749971E-2</v>
      </c>
      <c r="E67" s="110">
        <f t="shared" si="70"/>
        <v>5.7031728352651023E-2</v>
      </c>
      <c r="F67" s="110">
        <f t="shared" si="70"/>
        <v>6.0311882870867639E-2</v>
      </c>
      <c r="G67" s="110">
        <f t="shared" si="70"/>
        <v>6.3576492270399812E-2</v>
      </c>
      <c r="H67" s="110">
        <f t="shared" si="70"/>
        <v>6.682555655124757E-2</v>
      </c>
      <c r="I67" s="110">
        <f t="shared" si="70"/>
        <v>7.0059075713410884E-2</v>
      </c>
      <c r="J67" s="110">
        <f t="shared" si="70"/>
        <v>7.3277049756889756E-2</v>
      </c>
      <c r="K67" s="110">
        <f t="shared" si="70"/>
        <v>7.6479478681684199E-2</v>
      </c>
      <c r="L67" s="110">
        <f t="shared" si="70"/>
        <v>7.9666362487794212E-2</v>
      </c>
      <c r="M67" s="110">
        <f t="shared" si="70"/>
        <v>8.2837701175219783E-2</v>
      </c>
      <c r="N67" s="110">
        <f t="shared" si="70"/>
        <v>8.9027328500134728E-2</v>
      </c>
      <c r="O67" s="110">
        <f t="shared" si="70"/>
        <v>9.5187322942557467E-2</v>
      </c>
      <c r="P67" s="110">
        <f t="shared" si="70"/>
        <v>0.101317684502488</v>
      </c>
      <c r="Q67" s="110">
        <f t="shared" si="70"/>
        <v>0.10741841317992634</v>
      </c>
      <c r="R67" s="110">
        <f t="shared" si="70"/>
        <v>0.11348950897487248</v>
      </c>
      <c r="S67" s="110">
        <f t="shared" si="70"/>
        <v>0.11953097188732639</v>
      </c>
      <c r="T67" s="110">
        <f t="shared" si="70"/>
        <v>0.12554280191728812</v>
      </c>
      <c r="U67" s="110">
        <f t="shared" si="70"/>
        <v>0.13152499906475765</v>
      </c>
      <c r="V67" s="110">
        <f t="shared" si="70"/>
        <v>0.13747756332973496</v>
      </c>
      <c r="W67" s="110">
        <f t="shared" si="70"/>
        <v>0.14340049471222008</v>
      </c>
      <c r="X67" s="110">
        <f t="shared" si="70"/>
        <v>0.15410688468365741</v>
      </c>
      <c r="Y67" s="110">
        <f t="shared" si="70"/>
        <v>0.16476076068612122</v>
      </c>
      <c r="Z67" s="110">
        <f t="shared" si="70"/>
        <v>0.17536212271961149</v>
      </c>
      <c r="AA67" s="110">
        <f t="shared" si="70"/>
        <v>0.1859109707841283</v>
      </c>
      <c r="AB67" s="110">
        <f t="shared" si="70"/>
        <v>0.19640730487967153</v>
      </c>
      <c r="AC67" s="110">
        <f t="shared" si="70"/>
        <v>0.20685112500624123</v>
      </c>
      <c r="AD67" s="110">
        <f t="shared" si="70"/>
        <v>0.21724243116383746</v>
      </c>
      <c r="AE67" s="110">
        <f t="shared" si="70"/>
        <v>0.22758122335246012</v>
      </c>
      <c r="AF67" s="110">
        <f t="shared" si="70"/>
        <v>0.23786750157210926</v>
      </c>
      <c r="AG67" s="110">
        <f t="shared" si="70"/>
        <v>0.24810126582278486</v>
      </c>
      <c r="AI67" s="133"/>
      <c r="AJ67" s="211"/>
      <c r="AL67" s="108"/>
      <c r="AM67" s="2"/>
      <c r="AN67" s="2"/>
      <c r="AO67" s="2"/>
      <c r="AV67" s="41"/>
    </row>
    <row r="68" spans="1:63" outlineLevel="1">
      <c r="A68" t="s">
        <v>1321</v>
      </c>
      <c r="B68" s="54" t="s">
        <v>462</v>
      </c>
      <c r="C68" s="110">
        <f t="shared" ref="C68:AG68" si="71">C54*C$66</f>
        <v>0.10192243566416226</v>
      </c>
      <c r="D68" s="110">
        <f t="shared" si="71"/>
        <v>0.10522413591151837</v>
      </c>
      <c r="E68" s="110">
        <f t="shared" si="71"/>
        <v>0.10850980525523116</v>
      </c>
      <c r="F68" s="110">
        <f t="shared" si="71"/>
        <v>0.11177944369530061</v>
      </c>
      <c r="G68" s="110">
        <f t="shared" si="71"/>
        <v>0.11503305123172677</v>
      </c>
      <c r="H68" s="110">
        <f t="shared" si="71"/>
        <v>0.11827062786450958</v>
      </c>
      <c r="I68" s="110">
        <f t="shared" si="71"/>
        <v>0.12149217359364907</v>
      </c>
      <c r="J68" s="110">
        <f t="shared" si="71"/>
        <v>0.12469768841914525</v>
      </c>
      <c r="K68" s="110">
        <f t="shared" si="71"/>
        <v>0.12788717234099811</v>
      </c>
      <c r="L68" s="110">
        <f t="shared" si="71"/>
        <v>0.13106062535920762</v>
      </c>
      <c r="M68" s="110">
        <f t="shared" si="71"/>
        <v>0.13421804747377383</v>
      </c>
      <c r="N68" s="110">
        <f t="shared" si="71"/>
        <v>0.14185788184040268</v>
      </c>
      <c r="O68" s="110">
        <f t="shared" si="71"/>
        <v>0.14946079655015601</v>
      </c>
      <c r="P68" s="110">
        <f t="shared" si="71"/>
        <v>0.15702679160303382</v>
      </c>
      <c r="Q68" s="110">
        <f t="shared" si="71"/>
        <v>0.16455586699903607</v>
      </c>
      <c r="R68" s="110">
        <f t="shared" si="71"/>
        <v>0.1720480227381628</v>
      </c>
      <c r="S68" s="110">
        <f t="shared" si="71"/>
        <v>0.17950325882041399</v>
      </c>
      <c r="T68" s="110">
        <f t="shared" si="71"/>
        <v>0.1869215752457897</v>
      </c>
      <c r="U68" s="110">
        <f t="shared" si="71"/>
        <v>0.19430297201428984</v>
      </c>
      <c r="V68" s="110">
        <f t="shared" si="71"/>
        <v>0.20164744912591442</v>
      </c>
      <c r="W68" s="110">
        <f t="shared" si="71"/>
        <v>0.20895500658066349</v>
      </c>
      <c r="X68" s="110">
        <f t="shared" si="71"/>
        <v>0.22083678908675136</v>
      </c>
      <c r="Y68" s="110">
        <f t="shared" si="71"/>
        <v>0.23265973088969383</v>
      </c>
      <c r="Z68" s="110">
        <f t="shared" si="71"/>
        <v>0.24442383198949091</v>
      </c>
      <c r="AA68" s="110">
        <f t="shared" si="71"/>
        <v>0.25612909238614262</v>
      </c>
      <c r="AB68" s="110">
        <f t="shared" si="71"/>
        <v>0.267775512079649</v>
      </c>
      <c r="AC68" s="110">
        <f t="shared" si="71"/>
        <v>0.27936309107000989</v>
      </c>
      <c r="AD68" s="110">
        <f t="shared" si="71"/>
        <v>0.29089182935722552</v>
      </c>
      <c r="AE68" s="110">
        <f t="shared" si="71"/>
        <v>0.30236172694129571</v>
      </c>
      <c r="AF68" s="110">
        <f t="shared" si="71"/>
        <v>0.31377278382222046</v>
      </c>
      <c r="AG68" s="110">
        <f t="shared" si="71"/>
        <v>0.32512499999999994</v>
      </c>
      <c r="AH68" s="245"/>
      <c r="AI68" s="133"/>
      <c r="AJ68" s="211"/>
      <c r="AL68" s="108"/>
      <c r="AM68" s="2"/>
      <c r="AN68" s="2"/>
      <c r="AO68" s="2"/>
      <c r="AV68" s="41"/>
    </row>
    <row r="69" spans="1:63" outlineLevel="1">
      <c r="A69" t="s">
        <v>1322</v>
      </c>
      <c r="B69" s="176" t="s">
        <v>462</v>
      </c>
      <c r="C69" s="110">
        <f>SUM(C67:C68)</f>
        <v>0.15234721962432674</v>
      </c>
      <c r="D69" s="110">
        <f t="shared" ref="D69:AG69" si="72">SUM(D67:D68)</f>
        <v>0.15896016462726834</v>
      </c>
      <c r="E69" s="110">
        <f t="shared" si="72"/>
        <v>0.16554153360788218</v>
      </c>
      <c r="F69" s="110">
        <f t="shared" si="72"/>
        <v>0.17209132656616827</v>
      </c>
      <c r="G69" s="110">
        <f t="shared" si="72"/>
        <v>0.1786095435021266</v>
      </c>
      <c r="H69" s="110">
        <f t="shared" si="72"/>
        <v>0.18509618441575715</v>
      </c>
      <c r="I69" s="110">
        <f t="shared" si="72"/>
        <v>0.19155124930705997</v>
      </c>
      <c r="J69" s="110">
        <f t="shared" si="72"/>
        <v>0.197974738176035</v>
      </c>
      <c r="K69" s="110">
        <f t="shared" si="72"/>
        <v>0.20436665102268231</v>
      </c>
      <c r="L69" s="110">
        <f t="shared" si="72"/>
        <v>0.21072698784700183</v>
      </c>
      <c r="M69" s="110">
        <f t="shared" si="72"/>
        <v>0.21705574864899363</v>
      </c>
      <c r="N69" s="110">
        <f t="shared" si="72"/>
        <v>0.23088521034053741</v>
      </c>
      <c r="O69" s="110">
        <f t="shared" si="72"/>
        <v>0.24464811949271348</v>
      </c>
      <c r="P69" s="110">
        <f t="shared" si="72"/>
        <v>0.2583444761055218</v>
      </c>
      <c r="Q69" s="110">
        <f t="shared" si="72"/>
        <v>0.27197428017896241</v>
      </c>
      <c r="R69" s="110">
        <f t="shared" si="72"/>
        <v>0.28553753171303531</v>
      </c>
      <c r="S69" s="110">
        <f t="shared" si="72"/>
        <v>0.29903423070774038</v>
      </c>
      <c r="T69" s="110">
        <f t="shared" si="72"/>
        <v>0.31246437716307784</v>
      </c>
      <c r="U69" s="110">
        <f t="shared" si="72"/>
        <v>0.32582797107904748</v>
      </c>
      <c r="V69" s="110">
        <f t="shared" si="72"/>
        <v>0.33912501245564941</v>
      </c>
      <c r="W69" s="110">
        <f t="shared" si="72"/>
        <v>0.35235550129288357</v>
      </c>
      <c r="X69" s="110">
        <f t="shared" si="72"/>
        <v>0.37494367377040877</v>
      </c>
      <c r="Y69" s="110">
        <f t="shared" si="72"/>
        <v>0.39742049157581505</v>
      </c>
      <c r="Z69" s="110">
        <f t="shared" si="72"/>
        <v>0.4197859547091024</v>
      </c>
      <c r="AA69" s="110">
        <f t="shared" si="72"/>
        <v>0.44204006317027089</v>
      </c>
      <c r="AB69" s="110">
        <f t="shared" si="72"/>
        <v>0.46418281695932051</v>
      </c>
      <c r="AC69" s="110">
        <f t="shared" si="72"/>
        <v>0.48621421607625115</v>
      </c>
      <c r="AD69" s="110">
        <f t="shared" si="72"/>
        <v>0.50813426052106303</v>
      </c>
      <c r="AE69" s="110">
        <f t="shared" si="72"/>
        <v>0.52994295029375582</v>
      </c>
      <c r="AF69" s="110">
        <f t="shared" si="72"/>
        <v>0.55164028539432974</v>
      </c>
      <c r="AG69" s="110">
        <f t="shared" si="72"/>
        <v>0.5732262658227848</v>
      </c>
      <c r="AI69" s="133"/>
      <c r="AJ69" s="211"/>
      <c r="AL69" s="108"/>
      <c r="AM69" s="2"/>
      <c r="AN69" s="2"/>
      <c r="AO69" s="2"/>
    </row>
    <row r="70" spans="1:63" outlineLevel="1">
      <c r="A70" t="s">
        <v>1323</v>
      </c>
      <c r="B70" s="54" t="s">
        <v>462</v>
      </c>
      <c r="C70" s="110">
        <f>C$68*C57</f>
        <v>1.1721013864334644E-2</v>
      </c>
      <c r="D70" s="110">
        <f t="shared" ref="D70:AG73" si="73">D$68*D57</f>
        <v>1.1872723898698111E-2</v>
      </c>
      <c r="E70" s="110">
        <f t="shared" si="73"/>
        <v>1.2008352631423342E-2</v>
      </c>
      <c r="F70" s="110">
        <f t="shared" si="73"/>
        <v>1.2128004262342213E-2</v>
      </c>
      <c r="G70" s="110">
        <f t="shared" si="73"/>
        <v>1.2231782991286593E-2</v>
      </c>
      <c r="H70" s="110">
        <f t="shared" si="73"/>
        <v>1.2319793018088348E-2</v>
      </c>
      <c r="I70" s="110">
        <f t="shared" si="73"/>
        <v>1.2392138542579352E-2</v>
      </c>
      <c r="J70" s="110">
        <f t="shared" si="73"/>
        <v>1.2448923764591474E-2</v>
      </c>
      <c r="K70" s="110">
        <f t="shared" si="73"/>
        <v>1.2490252883956585E-2</v>
      </c>
      <c r="L70" s="110">
        <f t="shared" si="73"/>
        <v>1.2516230100506551E-2</v>
      </c>
      <c r="M70" s="110">
        <f t="shared" si="73"/>
        <v>1.2526959614073248E-2</v>
      </c>
      <c r="N70" s="110">
        <f t="shared" si="73"/>
        <v>1.2932651840675142E-2</v>
      </c>
      <c r="O70" s="110">
        <f t="shared" si="73"/>
        <v>1.3301952614285826E-2</v>
      </c>
      <c r="P70" s="110">
        <f t="shared" si="73"/>
        <v>1.3635101910275669E-2</v>
      </c>
      <c r="Q70" s="110">
        <f t="shared" si="73"/>
        <v>1.3932339704015034E-2</v>
      </c>
      <c r="R70" s="110">
        <f t="shared" si="73"/>
        <v>1.419390597087429E-2</v>
      </c>
      <c r="S70" s="110">
        <f t="shared" si="73"/>
        <v>1.4420040686223805E-2</v>
      </c>
      <c r="T70" s="110">
        <f t="shared" si="73"/>
        <v>1.4610983825433953E-2</v>
      </c>
      <c r="U70" s="110">
        <f t="shared" si="73"/>
        <v>1.476697536387509E-2</v>
      </c>
      <c r="V70" s="110">
        <f t="shared" si="73"/>
        <v>1.4888255276917587E-2</v>
      </c>
      <c r="W70" s="110">
        <f t="shared" si="73"/>
        <v>1.4975063539931815E-2</v>
      </c>
      <c r="X70" s="110">
        <f t="shared" si="73"/>
        <v>1.5348113786506004E-2</v>
      </c>
      <c r="Y70" s="110">
        <f t="shared" si="73"/>
        <v>1.5665714893185606E-2</v>
      </c>
      <c r="Z70" s="110">
        <f t="shared" si="73"/>
        <v>1.5928249320717142E-2</v>
      </c>
      <c r="AA70" s="110">
        <f t="shared" si="73"/>
        <v>1.6136099529847136E-2</v>
      </c>
      <c r="AB70" s="110">
        <f t="shared" si="73"/>
        <v>1.6289647981322115E-2</v>
      </c>
      <c r="AC70" s="110">
        <f t="shared" si="73"/>
        <v>1.6389277135888593E-2</v>
      </c>
      <c r="AD70" s="110">
        <f t="shared" si="73"/>
        <v>1.6435369454293101E-2</v>
      </c>
      <c r="AE70" s="110">
        <f t="shared" si="73"/>
        <v>1.6428307397282162E-2</v>
      </c>
      <c r="AF70" s="110">
        <f t="shared" si="73"/>
        <v>1.6368473425602291E-2</v>
      </c>
      <c r="AG70" s="110">
        <f t="shared" si="73"/>
        <v>1.6256249999999996E-2</v>
      </c>
      <c r="AI70" s="133"/>
      <c r="AJ70" s="211"/>
      <c r="AL70" s="108"/>
      <c r="AM70" s="2"/>
      <c r="AN70" s="2"/>
      <c r="AO70" s="2"/>
    </row>
    <row r="71" spans="1:63" outlineLevel="1">
      <c r="A71" t="s">
        <v>1324</v>
      </c>
      <c r="B71" s="54" t="s">
        <v>462</v>
      </c>
      <c r="C71" s="110">
        <f t="shared" ref="C71:R73" si="74">C$68*C58</f>
        <v>1.4056767305647387E-2</v>
      </c>
      <c r="D71" s="110">
        <f t="shared" si="74"/>
        <v>1.4512125655235988E-2</v>
      </c>
      <c r="E71" s="110">
        <f t="shared" si="74"/>
        <v>1.4965273081579427E-2</v>
      </c>
      <c r="F71" s="110">
        <f t="shared" si="74"/>
        <v>1.5416209584677702E-2</v>
      </c>
      <c r="G71" s="110">
        <f t="shared" si="74"/>
        <v>1.586493516453082E-2</v>
      </c>
      <c r="H71" s="110">
        <f t="shared" si="74"/>
        <v>1.6311449821138767E-2</v>
      </c>
      <c r="I71" s="110">
        <f t="shared" si="74"/>
        <v>1.6755753554501557E-2</v>
      </c>
      <c r="J71" s="110">
        <f t="shared" si="74"/>
        <v>1.7197846364619185E-2</v>
      </c>
      <c r="K71" s="110">
        <f t="shared" si="74"/>
        <v>1.7637728251491652E-2</v>
      </c>
      <c r="L71" s="110">
        <f t="shared" si="74"/>
        <v>1.8075399215118953E-2</v>
      </c>
      <c r="M71" s="110">
        <f t="shared" si="74"/>
        <v>1.8510859255501097E-2</v>
      </c>
      <c r="N71" s="110">
        <f t="shared" si="74"/>
        <v>1.9564517100759501E-2</v>
      </c>
      <c r="O71" s="110">
        <f t="shared" si="74"/>
        <v>2.0613083122786625E-2</v>
      </c>
      <c r="P71" s="110">
        <f t="shared" si="74"/>
        <v>2.1656557321582469E-2</v>
      </c>
      <c r="Q71" s="110">
        <f t="shared" si="74"/>
        <v>2.2694939697147028E-2</v>
      </c>
      <c r="R71" s="110">
        <f t="shared" si="74"/>
        <v>2.3728230249480304E-2</v>
      </c>
      <c r="S71" s="110">
        <f t="shared" si="73"/>
        <v>2.4756428978582296E-2</v>
      </c>
      <c r="T71" s="110">
        <f t="shared" si="73"/>
        <v>2.5779535884453014E-2</v>
      </c>
      <c r="U71" s="110">
        <f t="shared" si="73"/>
        <v>2.6797550967092444E-2</v>
      </c>
      <c r="V71" s="110">
        <f t="shared" si="73"/>
        <v>2.7810474226500587E-2</v>
      </c>
      <c r="W71" s="110">
        <f t="shared" si="73"/>
        <v>2.8818305662677447E-2</v>
      </c>
      <c r="X71" s="110">
        <f t="shared" si="73"/>
        <v>3.0456997387183753E-2</v>
      </c>
      <c r="Y71" s="110">
        <f t="shared" si="73"/>
        <v>3.2087574018415201E-2</v>
      </c>
      <c r="Z71" s="110">
        <f t="shared" si="73"/>
        <v>3.3710035556371788E-2</v>
      </c>
      <c r="AA71" s="110">
        <f t="shared" si="73"/>
        <v>3.532438200105352E-2</v>
      </c>
      <c r="AB71" s="110">
        <f t="shared" si="73"/>
        <v>3.6930613352460402E-2</v>
      </c>
      <c r="AC71" s="110">
        <f t="shared" si="73"/>
        <v>3.8528729610592415E-2</v>
      </c>
      <c r="AD71" s="110">
        <f t="shared" si="73"/>
        <v>4.0118730775449585E-2</v>
      </c>
      <c r="AE71" s="110">
        <f t="shared" si="73"/>
        <v>4.1700616847031885E-2</v>
      </c>
      <c r="AF71" s="110">
        <f t="shared" si="73"/>
        <v>4.3274387825339322E-2</v>
      </c>
      <c r="AG71" s="110">
        <f t="shared" si="73"/>
        <v>4.4840043710371924E-2</v>
      </c>
      <c r="AI71" s="133"/>
      <c r="AJ71" s="211"/>
      <c r="AL71" s="108"/>
      <c r="AM71" s="2"/>
      <c r="AN71" s="2"/>
      <c r="AO71" s="2"/>
      <c r="BC71" s="1"/>
      <c r="BD71" s="2"/>
      <c r="BE71" s="2"/>
      <c r="BF71" s="2"/>
      <c r="BG71" s="2"/>
      <c r="BH71" s="2"/>
      <c r="BI71" s="2"/>
      <c r="BJ71" s="2"/>
      <c r="BK71" s="2"/>
    </row>
    <row r="72" spans="1:63" outlineLevel="1">
      <c r="A72" t="s">
        <v>1435</v>
      </c>
      <c r="C72" s="110">
        <f t="shared" si="74"/>
        <v>1.1063753217103111E-2</v>
      </c>
      <c r="D72" s="110">
        <f t="shared" si="73"/>
        <v>1.1422155138088998E-2</v>
      </c>
      <c r="E72" s="110">
        <f t="shared" si="73"/>
        <v>1.1778816893029981E-2</v>
      </c>
      <c r="F72" s="110">
        <f t="shared" si="73"/>
        <v>1.2133738481926056E-2</v>
      </c>
      <c r="G72" s="110">
        <f t="shared" si="73"/>
        <v>1.2486919904777228E-2</v>
      </c>
      <c r="H72" s="110">
        <f t="shared" si="73"/>
        <v>1.2838361161583489E-2</v>
      </c>
      <c r="I72" s="110">
        <f t="shared" si="73"/>
        <v>1.3188062252344847E-2</v>
      </c>
      <c r="J72" s="110">
        <f t="shared" si="73"/>
        <v>1.3536023177061299E-2</v>
      </c>
      <c r="K72" s="110">
        <f t="shared" si="73"/>
        <v>1.3882243935732848E-2</v>
      </c>
      <c r="L72" s="110">
        <f t="shared" si="73"/>
        <v>1.4226724528359486E-2</v>
      </c>
      <c r="M72" s="110">
        <f t="shared" si="73"/>
        <v>1.4569464954941221E-2</v>
      </c>
      <c r="N72" s="110">
        <f t="shared" si="73"/>
        <v>1.5398774434263697E-2</v>
      </c>
      <c r="O72" s="110">
        <f t="shared" si="73"/>
        <v>1.6224076258452447E-2</v>
      </c>
      <c r="P72" s="110">
        <f t="shared" si="73"/>
        <v>1.7045370427507481E-2</v>
      </c>
      <c r="Q72" s="110">
        <f t="shared" si="73"/>
        <v>1.7862656941428787E-2</v>
      </c>
      <c r="R72" s="110">
        <f t="shared" si="73"/>
        <v>1.8675935800216373E-2</v>
      </c>
      <c r="S72" s="110">
        <f t="shared" si="73"/>
        <v>1.9485207003870231E-2</v>
      </c>
      <c r="T72" s="110">
        <f t="shared" si="73"/>
        <v>2.0290470552390378E-2</v>
      </c>
      <c r="U72" s="110">
        <f t="shared" si="73"/>
        <v>2.1091726445776792E-2</v>
      </c>
      <c r="V72" s="110">
        <f t="shared" si="73"/>
        <v>2.1888974684029484E-2</v>
      </c>
      <c r="W72" s="110">
        <f t="shared" si="73"/>
        <v>2.2682215267148455E-2</v>
      </c>
      <c r="X72" s="110">
        <f t="shared" si="73"/>
        <v>2.3971991247971801E-2</v>
      </c>
      <c r="Y72" s="110">
        <f t="shared" si="73"/>
        <v>2.525538002842577E-2</v>
      </c>
      <c r="Z72" s="110">
        <f t="shared" si="73"/>
        <v>2.6532381608510371E-2</v>
      </c>
      <c r="AA72" s="110">
        <f t="shared" si="73"/>
        <v>2.7802995988225603E-2</v>
      </c>
      <c r="AB72" s="110">
        <f t="shared" si="73"/>
        <v>2.9067223167571467E-2</v>
      </c>
      <c r="AC72" s="110">
        <f t="shared" si="73"/>
        <v>3.032506314654795E-2</v>
      </c>
      <c r="AD72" s="110">
        <f t="shared" si="73"/>
        <v>3.157651592515507E-2</v>
      </c>
      <c r="AE72" s="110">
        <f t="shared" si="73"/>
        <v>3.2821581503392823E-2</v>
      </c>
      <c r="AF72" s="110">
        <f t="shared" si="73"/>
        <v>3.4060259881261191E-2</v>
      </c>
      <c r="AG72" s="110">
        <f t="shared" si="73"/>
        <v>3.5292551058760203E-2</v>
      </c>
      <c r="AI72" s="133"/>
      <c r="AJ72" s="211"/>
      <c r="AL72" s="108"/>
      <c r="AM72" s="2"/>
      <c r="AN72" s="2"/>
      <c r="AO72" s="2"/>
      <c r="BC72" s="1"/>
      <c r="BD72" s="2"/>
      <c r="BE72" s="2"/>
      <c r="BF72" s="2"/>
      <c r="BG72" s="2"/>
      <c r="BH72" s="2"/>
      <c r="BI72" s="2"/>
      <c r="BJ72" s="2"/>
      <c r="BK72" s="2"/>
    </row>
    <row r="73" spans="1:63" outlineLevel="1">
      <c r="A73" t="s">
        <v>1325</v>
      </c>
      <c r="B73" s="54" t="s">
        <v>462</v>
      </c>
      <c r="C73" s="110">
        <f t="shared" si="74"/>
        <v>6.5080901277077122E-2</v>
      </c>
      <c r="D73" s="110">
        <f t="shared" si="73"/>
        <v>6.7417131219495274E-2</v>
      </c>
      <c r="E73" s="110">
        <f t="shared" si="73"/>
        <v>6.9757362649198407E-2</v>
      </c>
      <c r="F73" s="110">
        <f t="shared" si="73"/>
        <v>7.2101491366354645E-2</v>
      </c>
      <c r="G73" s="110">
        <f t="shared" si="73"/>
        <v>7.4449413171132142E-2</v>
      </c>
      <c r="H73" s="110">
        <f t="shared" si="73"/>
        <v>7.6801023863698969E-2</v>
      </c>
      <c r="I73" s="110">
        <f t="shared" si="73"/>
        <v>7.9156219244223308E-2</v>
      </c>
      <c r="J73" s="110">
        <f t="shared" si="73"/>
        <v>8.1514895112873284E-2</v>
      </c>
      <c r="K73" s="110">
        <f t="shared" si="73"/>
        <v>8.3876947269817023E-2</v>
      </c>
      <c r="L73" s="110">
        <f t="shared" si="73"/>
        <v>8.6242271515222638E-2</v>
      </c>
      <c r="M73" s="110">
        <f t="shared" si="73"/>
        <v>8.8610763649258267E-2</v>
      </c>
      <c r="N73" s="110">
        <f t="shared" si="73"/>
        <v>9.3961938464704339E-2</v>
      </c>
      <c r="O73" s="110">
        <f t="shared" si="73"/>
        <v>9.9321684554631112E-2</v>
      </c>
      <c r="P73" s="110">
        <f t="shared" si="73"/>
        <v>0.10468976194366819</v>
      </c>
      <c r="Q73" s="110">
        <f t="shared" si="73"/>
        <v>0.11006593065644521</v>
      </c>
      <c r="R73" s="110">
        <f t="shared" si="73"/>
        <v>0.11544995071759183</v>
      </c>
      <c r="S73" s="110">
        <f t="shared" si="73"/>
        <v>0.12084158215173765</v>
      </c>
      <c r="T73" s="110">
        <f t="shared" si="73"/>
        <v>0.12624058498351237</v>
      </c>
      <c r="U73" s="110">
        <f t="shared" si="73"/>
        <v>0.13164671923754551</v>
      </c>
      <c r="V73" s="110">
        <f t="shared" si="73"/>
        <v>0.13705974493846676</v>
      </c>
      <c r="W73" s="110">
        <f t="shared" si="73"/>
        <v>0.14247942211090578</v>
      </c>
      <c r="X73" s="110">
        <f t="shared" si="73"/>
        <v>0.15105968666508979</v>
      </c>
      <c r="Y73" s="110">
        <f t="shared" si="73"/>
        <v>0.15965106194966724</v>
      </c>
      <c r="Z73" s="110">
        <f t="shared" si="73"/>
        <v>0.16825316550389161</v>
      </c>
      <c r="AA73" s="110">
        <f t="shared" si="73"/>
        <v>0.17686561486701635</v>
      </c>
      <c r="AB73" s="110">
        <f t="shared" si="73"/>
        <v>0.18548802757829502</v>
      </c>
      <c r="AC73" s="110">
        <f t="shared" si="73"/>
        <v>0.19412002117698093</v>
      </c>
      <c r="AD73" s="110">
        <f t="shared" si="73"/>
        <v>0.20276121320232776</v>
      </c>
      <c r="AE73" s="110">
        <f t="shared" si="73"/>
        <v>0.21141122119358882</v>
      </c>
      <c r="AF73" s="110">
        <f t="shared" si="73"/>
        <v>0.22006966269001765</v>
      </c>
      <c r="AG73" s="110">
        <f t="shared" si="73"/>
        <v>0.22873615523086779</v>
      </c>
      <c r="AH73" s="245"/>
      <c r="AI73" s="133"/>
      <c r="AJ73" s="211"/>
      <c r="AL73" s="108"/>
      <c r="AM73" s="2"/>
      <c r="AN73" s="2"/>
      <c r="AO73" s="2"/>
      <c r="BC73" s="1"/>
      <c r="BD73" s="2"/>
      <c r="BE73" s="2"/>
      <c r="BF73" s="2"/>
      <c r="BG73" s="2"/>
      <c r="BH73" s="2"/>
      <c r="BI73" s="2"/>
      <c r="BJ73" s="2"/>
      <c r="BK73" s="2"/>
    </row>
    <row r="74" spans="1:63" outlineLevel="1">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245"/>
      <c r="AI74" s="133"/>
      <c r="AJ74" s="211"/>
      <c r="AL74" s="108"/>
      <c r="AM74" s="2"/>
      <c r="AN74" s="2"/>
      <c r="AO74" s="2"/>
      <c r="BC74" s="1"/>
      <c r="BD74" s="2"/>
      <c r="BE74" s="2"/>
      <c r="BF74" s="2"/>
      <c r="BG74" s="2"/>
      <c r="BH74" s="2"/>
      <c r="BI74" s="2"/>
      <c r="BJ74" s="2"/>
      <c r="BK74" s="2"/>
    </row>
    <row r="75" spans="1:63" s="1" customFormat="1" outlineLevel="1">
      <c r="A75" s="1" t="s">
        <v>228</v>
      </c>
      <c r="B75" s="65"/>
      <c r="C75" s="300">
        <f>C67*C45</f>
        <v>5.1856182039383869</v>
      </c>
      <c r="D75" s="300">
        <f t="shared" ref="D75:AG75" si="75">D67*D45</f>
        <v>5.711386817685411</v>
      </c>
      <c r="E75" s="300">
        <f t="shared" si="75"/>
        <v>6.2484930837845836</v>
      </c>
      <c r="F75" s="300">
        <f t="shared" si="75"/>
        <v>6.7937316648100676</v>
      </c>
      <c r="G75" s="300">
        <f t="shared" si="75"/>
        <v>7.3436768320653014</v>
      </c>
      <c r="H75" s="300">
        <f t="shared" si="75"/>
        <v>7.894717403982229</v>
      </c>
      <c r="I75" s="300">
        <f t="shared" si="75"/>
        <v>8.4613113366373138</v>
      </c>
      <c r="J75" s="300">
        <f t="shared" si="75"/>
        <v>9.0432082256675148</v>
      </c>
      <c r="K75" s="300">
        <f t="shared" si="75"/>
        <v>9.640122022365551</v>
      </c>
      <c r="L75" s="300">
        <f t="shared" si="75"/>
        <v>10.251730692888978</v>
      </c>
      <c r="M75" s="300">
        <f t="shared" si="75"/>
        <v>10.87767596993049</v>
      </c>
      <c r="N75" s="300">
        <f t="shared" si="75"/>
        <v>11.906839982535155</v>
      </c>
      <c r="O75" s="300">
        <f t="shared" si="75"/>
        <v>12.94180685639159</v>
      </c>
      <c r="P75" s="300">
        <f t="shared" si="75"/>
        <v>13.977178667787499</v>
      </c>
      <c r="Q75" s="300">
        <f t="shared" si="75"/>
        <v>15.007404379731808</v>
      </c>
      <c r="R75" s="300">
        <f t="shared" si="75"/>
        <v>16.026828311752514</v>
      </c>
      <c r="S75" s="300">
        <f t="shared" si="75"/>
        <v>17.060422928919124</v>
      </c>
      <c r="T75" s="300">
        <f t="shared" si="75"/>
        <v>18.108023956495391</v>
      </c>
      <c r="U75" s="300">
        <f t="shared" si="75"/>
        <v>19.169458422297616</v>
      </c>
      <c r="V75" s="300">
        <f t="shared" si="75"/>
        <v>20.244544650945212</v>
      </c>
      <c r="W75" s="300">
        <f t="shared" si="75"/>
        <v>21.33309226423307</v>
      </c>
      <c r="X75" s="300">
        <f t="shared" si="75"/>
        <v>23.158437406324136</v>
      </c>
      <c r="Y75" s="300">
        <f t="shared" si="75"/>
        <v>25.00818056151078</v>
      </c>
      <c r="Z75" s="300">
        <f t="shared" si="75"/>
        <v>26.882039775068499</v>
      </c>
      <c r="AA75" s="300">
        <f t="shared" si="75"/>
        <v>28.779719446350757</v>
      </c>
      <c r="AB75" s="300">
        <f t="shared" si="75"/>
        <v>30.70091033232281</v>
      </c>
      <c r="AC75" s="300">
        <f t="shared" si="75"/>
        <v>32.645598196244627</v>
      </c>
      <c r="AD75" s="300">
        <f t="shared" si="75"/>
        <v>34.613502794637569</v>
      </c>
      <c r="AE75" s="300">
        <f t="shared" si="75"/>
        <v>36.604331693449105</v>
      </c>
      <c r="AF75" s="300">
        <f t="shared" si="75"/>
        <v>38.617780278641078</v>
      </c>
      <c r="AG75" s="300">
        <f t="shared" si="75"/>
        <v>40.653531774038527</v>
      </c>
      <c r="AH75" s="245">
        <f>AG75-C75</f>
        <v>35.467913570100137</v>
      </c>
      <c r="AI75" s="423"/>
      <c r="AJ75" s="424"/>
      <c r="AL75" s="221"/>
      <c r="AM75" s="124"/>
      <c r="AN75" s="124"/>
      <c r="AO75" s="124"/>
      <c r="BD75" s="124"/>
      <c r="BE75" s="124"/>
      <c r="BF75" s="124"/>
      <c r="BG75" s="124"/>
      <c r="BH75" s="124"/>
      <c r="BI75" s="124"/>
      <c r="BJ75" s="124"/>
      <c r="BK75" s="124"/>
    </row>
    <row r="76" spans="1:63" outlineLevel="1">
      <c r="A76" s="4" t="s">
        <v>258</v>
      </c>
      <c r="C76" s="230">
        <f>C$75*'Ethylene recycling rates'!E43</f>
        <v>4.8106549108690304</v>
      </c>
      <c r="D76" s="230">
        <f>D$75*'Ethylene recycling rates'!F43</f>
        <v>5.2949553773509237</v>
      </c>
      <c r="E76" s="230">
        <f>E$75*'Ethylene recycling rates'!G43</f>
        <v>5.789124671737782</v>
      </c>
      <c r="F76" s="230">
        <f>F$75*'Ethylene recycling rates'!H43</f>
        <v>6.2901744889874598</v>
      </c>
      <c r="G76" s="230">
        <f>G$75*'Ethylene recycling rates'!I43</f>
        <v>6.7949203479375742</v>
      </c>
      <c r="H76" s="230">
        <f>H$75*'Ethylene recycling rates'!J43</f>
        <v>7.3000145636028808</v>
      </c>
      <c r="I76" s="230">
        <f>I$75*'Ethylene recycling rates'!K43</f>
        <v>7.8188152649461706</v>
      </c>
      <c r="J76" s="230">
        <f>J$75*'Ethylene recycling rates'!L43</f>
        <v>8.3510630218480415</v>
      </c>
      <c r="K76" s="230">
        <f>K$75*'Ethylene recycling rates'!M43</f>
        <v>8.8964661146694848</v>
      </c>
      <c r="L76" s="230">
        <f>L$75*'Ethylene recycling rates'!N43</f>
        <v>9.4547003276340984</v>
      </c>
      <c r="M76" s="230">
        <f>M$75*'Ethylene recycling rates'!O43</f>
        <v>10.02540882866259</v>
      </c>
      <c r="N76" s="230">
        <f>N$75*'Ethylene recycling rates'!P43</f>
        <v>10.966743847481649</v>
      </c>
      <c r="O76" s="230">
        <f>O$75*'Ethylene recycling rates'!Q43</f>
        <v>11.912176459705131</v>
      </c>
      <c r="P76" s="230">
        <f>P$75*'Ethylene recycling rates'!R43</f>
        <v>12.856730935587745</v>
      </c>
      <c r="Q76" s="230">
        <f>Q$75*'Ethylene recycling rates'!S43</f>
        <v>13.795303843854954</v>
      </c>
      <c r="R76" s="230">
        <f>R$75*'Ethylene recycling rates'!T43</f>
        <v>14.7227090400043</v>
      </c>
      <c r="S76" s="230">
        <f>S$75*'Ethylene recycling rates'!U43</f>
        <v>15.661891445095053</v>
      </c>
      <c r="T76" s="230">
        <f>T$75*'Ethylene recycling rates'!V43</f>
        <v>16.612674665153214</v>
      </c>
      <c r="U76" s="230">
        <f>U$75*'Ethylene recycling rates'!W43</f>
        <v>17.574874729248116</v>
      </c>
      <c r="V76" s="230">
        <f>V$75*'Ethylene recycling rates'!X43</f>
        <v>18.548300110498836</v>
      </c>
      <c r="W76" s="230">
        <f>W$75*'Ethylene recycling rates'!Y43</f>
        <v>19.532751752706634</v>
      </c>
      <c r="X76" s="230">
        <f>X$75*'Ethylene recycling rates'!Z43</f>
        <v>21.190060652863494</v>
      </c>
      <c r="Y76" s="230">
        <f>Y$75*'Ethylene recycling rates'!AA43</f>
        <v>22.86747341463871</v>
      </c>
      <c r="Z76" s="230">
        <f>Z$75*'Ethylene recycling rates'!AB43</f>
        <v>24.5646881666711</v>
      </c>
      <c r="AA76" s="230">
        <f>AA$75*'Ethylene recycling rates'!AC43</f>
        <v>26.281391257667202</v>
      </c>
      <c r="AB76" s="230">
        <f>AB$75*'Ethylene recycling rates'!AD43</f>
        <v>28.017257300849149</v>
      </c>
      <c r="AC76" s="230">
        <f>AC$75*'Ethylene recycling rates'!AE43</f>
        <v>29.772230697519909</v>
      </c>
      <c r="AD76" s="230">
        <f>AD$75*'Ethylene recycling rates'!AF43</f>
        <v>31.546013450480231</v>
      </c>
      <c r="AE76" s="230">
        <f>AE$75*'Ethylene recycling rates'!AG43</f>
        <v>33.33829713693553</v>
      </c>
      <c r="AF76" s="230">
        <f>AF$75*'Ethylene recycling rates'!AH43</f>
        <v>35.148762954959537</v>
      </c>
      <c r="AG76" s="230">
        <f>AG$75*'Ethylene recycling rates'!AI43</f>
        <v>36.977081776523484</v>
      </c>
      <c r="AH76" s="245">
        <f>AG76-C76</f>
        <v>32.166426865654451</v>
      </c>
      <c r="AI76" s="133"/>
      <c r="AJ76" s="211"/>
      <c r="AL76" s="108"/>
      <c r="AM76" s="2"/>
      <c r="AN76" s="2"/>
      <c r="AO76" s="2"/>
      <c r="BC76" s="1"/>
      <c r="BD76" s="2"/>
      <c r="BE76" s="2"/>
      <c r="BF76" s="2"/>
      <c r="BG76" s="2"/>
      <c r="BH76" s="2"/>
      <c r="BI76" s="2"/>
      <c r="BJ76" s="2"/>
      <c r="BK76" s="2"/>
    </row>
    <row r="77" spans="1:63" outlineLevel="1">
      <c r="A77" s="4" t="s">
        <v>478</v>
      </c>
      <c r="C77" s="230">
        <f>C$75*'Ethylene recycling rates'!E44</f>
        <v>0</v>
      </c>
      <c r="D77" s="230">
        <f>D$75*'Ethylene recycling rates'!F44</f>
        <v>3.4813547775346789E-3</v>
      </c>
      <c r="E77" s="230">
        <f>E$75*'Ethylene recycling rates'!G44</f>
        <v>7.6174918435804847E-3</v>
      </c>
      <c r="F77" s="230">
        <f>F$75*'Ethylene recycling rates'!H44</f>
        <v>1.2423282265878861E-2</v>
      </c>
      <c r="G77" s="230">
        <f>G$75*'Ethylene recycling rates'!I44</f>
        <v>1.7905244550984269E-2</v>
      </c>
      <c r="H77" s="230">
        <f>H$75*'Ethylene recycling rates'!J44</f>
        <v>2.4060979433693799E-2</v>
      </c>
      <c r="I77" s="230">
        <f>I$75*'Ethylene recycling rates'!K44</f>
        <v>3.0945366776556332E-2</v>
      </c>
      <c r="J77" s="230">
        <f>J$75*'Ethylene recycling rates'!L44</f>
        <v>3.8585779629261706E-2</v>
      </c>
      <c r="K77" s="230">
        <f>K$75*'Ethylene recycling rates'!M44</f>
        <v>4.700880669424571E-2</v>
      </c>
      <c r="L77" s="230">
        <f>L$75*'Ethylene recycling rates'!N44</f>
        <v>5.6240141822746365E-2</v>
      </c>
      <c r="M77" s="230">
        <f>M$75*'Ethylene recycling rates'!O44</f>
        <v>6.6304472828087033E-2</v>
      </c>
      <c r="N77" s="230">
        <f>N$75*'Ethylene recycling rates'!P44</f>
        <v>7.98354745351888E-2</v>
      </c>
      <c r="O77" s="230">
        <f>O$75*'Ethylene recycling rates'!Q44</f>
        <v>9.4663567853431843E-2</v>
      </c>
      <c r="P77" s="230">
        <f>P$75*'Ethylene recycling rates'!R44</f>
        <v>0.11075659042239543</v>
      </c>
      <c r="Q77" s="230">
        <f>Q$75*'Ethylene recycling rates'!S44</f>
        <v>0.12806791212878543</v>
      </c>
      <c r="R77" s="230">
        <f>R$75*'Ethylene recycling rates'!T44</f>
        <v>0.14653641162706024</v>
      </c>
      <c r="S77" s="230">
        <f>S$75*'Ethylene recycling rates'!U44</f>
        <v>0.16638588634604012</v>
      </c>
      <c r="T77" s="230">
        <f>T$75*'Ethylene recycling rates'!V44</f>
        <v>0.18764054709036343</v>
      </c>
      <c r="U77" s="230">
        <f>U$75*'Ethylene recycling rates'!W44</f>
        <v>0.21032410870548279</v>
      </c>
      <c r="V77" s="230">
        <f>V$75*'Ethylene recycling rates'!X44</f>
        <v>0.23445976350359352</v>
      </c>
      <c r="W77" s="230">
        <f>W$75*'Ethylene recycling rates'!Y44</f>
        <v>0.26007015474316519</v>
      </c>
      <c r="X77" s="230">
        <f>X$75*'Ethylene recycling rates'!Z44</f>
        <v>0.29643894291260181</v>
      </c>
      <c r="Y77" s="230">
        <f>Y$75*'Ethylene recycling rates'!AA44</f>
        <v>0.33536017370157073</v>
      </c>
      <c r="Z77" s="230">
        <f>Z$75*'Ethylene recycling rates'!AB44</f>
        <v>0.37687450938421752</v>
      </c>
      <c r="AA77" s="230">
        <f>AA$75*'Ethylene recycling rates'!AC44</f>
        <v>0.42102172514912156</v>
      </c>
      <c r="AB77" s="230">
        <f>AB$75*'Ethylene recycling rates'!AD44</f>
        <v>0.46784066756403925</v>
      </c>
      <c r="AC77" s="230">
        <f>AC$75*'Ethylene recycling rates'!AE44</f>
        <v>0.51737410452490196</v>
      </c>
      <c r="AD77" s="230">
        <f>AD$75*'Ethylene recycling rates'!AF44</f>
        <v>0.56966039134330793</v>
      </c>
      <c r="AE77" s="230">
        <f>AE$75*'Ethylene recycling rates'!AG44</f>
        <v>0.62473699198519683</v>
      </c>
      <c r="AF77" s="230">
        <f>AF$75*'Ethylene recycling rates'!AH44</f>
        <v>0.68264044210441899</v>
      </c>
      <c r="AG77" s="230">
        <f>AG$75*'Ethylene recycling rates'!AI44</f>
        <v>0.74340631224779952</v>
      </c>
      <c r="AH77" s="245">
        <f t="shared" ref="AH77:AH86" si="76">AG77-C77</f>
        <v>0.74340631224779952</v>
      </c>
      <c r="AI77" s="133"/>
      <c r="AJ77" s="211"/>
      <c r="AL77" s="108"/>
      <c r="AM77" s="2"/>
      <c r="AN77" s="2"/>
      <c r="AO77" s="2"/>
      <c r="BC77" s="1"/>
      <c r="BD77" s="2"/>
      <c r="BE77" s="2"/>
      <c r="BF77" s="2"/>
      <c r="BG77" s="2"/>
      <c r="BH77" s="2"/>
      <c r="BI77" s="2"/>
      <c r="BJ77" s="2"/>
      <c r="BK77" s="2"/>
    </row>
    <row r="78" spans="1:63" outlineLevel="1">
      <c r="A78" s="4" t="s">
        <v>480</v>
      </c>
      <c r="C78" s="230">
        <f>C$75*'Ethylene recycling rates'!E45</f>
        <v>0</v>
      </c>
      <c r="D78" s="230">
        <f>D$75*'Ethylene recycling rates'!F45</f>
        <v>4.2469131842237688E-3</v>
      </c>
      <c r="E78" s="230">
        <f>E$75*'Ethylene recycling rates'!G45</f>
        <v>9.2925968792322323E-3</v>
      </c>
      <c r="F78" s="230">
        <f>F$75*'Ethylene recycling rates'!H45</f>
        <v>1.5155192336834079E-2</v>
      </c>
      <c r="G78" s="230">
        <f>G$75*'Ethylene recycling rates'!I45</f>
        <v>2.1842651499073884E-2</v>
      </c>
      <c r="H78" s="230">
        <f>H$75*'Ethylene recycling rates'!J45</f>
        <v>2.935204749647876E-2</v>
      </c>
      <c r="I78" s="230">
        <f>I$75*'Ethylene recycling rates'!K45</f>
        <v>3.7750328407225406E-2</v>
      </c>
      <c r="J78" s="230">
        <f>J$75*'Ethylene recycling rates'!L45</f>
        <v>4.7070886681393982E-2</v>
      </c>
      <c r="K78" s="230">
        <f>K$75*'Ethylene recycling rates'!M45</f>
        <v>5.7346157941936426E-2</v>
      </c>
      <c r="L78" s="230">
        <f>L$75*'Ethylene recycling rates'!N45</f>
        <v>6.8607486180645896E-2</v>
      </c>
      <c r="M78" s="230">
        <f>M$75*'Ethylene recycling rates'!O45</f>
        <v>8.0884988121209783E-2</v>
      </c>
      <c r="N78" s="230">
        <f>N$75*'Ethylene recycling rates'!P45</f>
        <v>9.7391490106146408E-2</v>
      </c>
      <c r="O78" s="230">
        <f>O$75*'Ethylene recycling rates'!Q45</f>
        <v>0.11548031731115238</v>
      </c>
      <c r="P78" s="230">
        <f>P$75*'Ethylene recycling rates'!R45</f>
        <v>0.13511223479430562</v>
      </c>
      <c r="Q78" s="230">
        <f>Q$75*'Ethylene recycling rates'!S45</f>
        <v>0.15623035836666666</v>
      </c>
      <c r="R78" s="230">
        <f>R$75*'Ethylene recycling rates'!T45</f>
        <v>0.17876012594973284</v>
      </c>
      <c r="S78" s="230">
        <f>S$75*'Ethylene recycling rates'!U45</f>
        <v>0.20297454857276934</v>
      </c>
      <c r="T78" s="230">
        <f>T$75*'Ethylene recycling rates'!V45</f>
        <v>0.22890316105540531</v>
      </c>
      <c r="U78" s="230">
        <f>U$75*'Ethylene recycling rates'!W45</f>
        <v>0.25657489319544946</v>
      </c>
      <c r="V78" s="230">
        <f>V$75*'Ethylene recycling rates'!X45</f>
        <v>0.28601803735111547</v>
      </c>
      <c r="W78" s="230">
        <f>W$75*'Ethylene recycling rates'!Y45</f>
        <v>0.3172602160886378</v>
      </c>
      <c r="X78" s="230">
        <f>X$75*'Ethylene recycling rates'!Z45</f>
        <v>0.36162658948089493</v>
      </c>
      <c r="Y78" s="230">
        <f>Y$75*'Ethylene recycling rates'!AA45</f>
        <v>0.40910669385018922</v>
      </c>
      <c r="Z78" s="230">
        <f>Z$75*'Ethylene recycling rates'!AB45</f>
        <v>0.45975013320392732</v>
      </c>
      <c r="AA78" s="230">
        <f>AA$75*'Ethylene recycling rates'!AC45</f>
        <v>0.51360542939166975</v>
      </c>
      <c r="AB78" s="230">
        <f>AB$75*'Ethylene recycling rates'!AD45</f>
        <v>0.57071997143617037</v>
      </c>
      <c r="AC78" s="230">
        <f>AC$75*'Ethylene recycling rates'!AE45</f>
        <v>0.63114593199798752</v>
      </c>
      <c r="AD78" s="230">
        <f>AD$75*'Ethylene recycling rates'!AF45</f>
        <v>0.69493010081528994</v>
      </c>
      <c r="AE78" s="230">
        <f>AE$75*'Ethylene recycling rates'!AG45</f>
        <v>0.76211818027150235</v>
      </c>
      <c r="AF78" s="230">
        <f>AF$75*'Ethylene recycling rates'!AH45</f>
        <v>0.83275474029986862</v>
      </c>
      <c r="AG78" s="230">
        <f>AG$75*'Ethylene recycling rates'!AI45</f>
        <v>0.90688317349721814</v>
      </c>
      <c r="AH78" s="245">
        <f t="shared" si="76"/>
        <v>0.90688317349721814</v>
      </c>
      <c r="AI78" s="133"/>
      <c r="AJ78" s="211"/>
      <c r="AL78" s="108"/>
      <c r="AM78" s="2"/>
      <c r="AN78" s="2"/>
      <c r="AO78" s="2"/>
      <c r="BC78" s="1"/>
      <c r="BD78" s="2"/>
      <c r="BE78" s="2"/>
      <c r="BF78" s="2"/>
      <c r="BG78" s="2"/>
      <c r="BH78" s="2"/>
      <c r="BI78" s="2"/>
      <c r="BJ78" s="2"/>
      <c r="BK78" s="2"/>
    </row>
    <row r="79" spans="1:63" outlineLevel="1">
      <c r="A79" s="4" t="s">
        <v>474</v>
      </c>
      <c r="C79" s="230">
        <f>C$75*'Ethylene recycling rates'!E46</f>
        <v>0.37496329306935583</v>
      </c>
      <c r="D79" s="230">
        <f>D$75*'Ethylene recycling rates'!F46</f>
        <v>0.40851357803414662</v>
      </c>
      <c r="E79" s="230">
        <f>E$75*'Ethylene recycling rates'!G46</f>
        <v>0.44204347524902249</v>
      </c>
      <c r="F79" s="230">
        <f>F$75*'Ethylene recycling rates'!H46</f>
        <v>0.47530213013342909</v>
      </c>
      <c r="G79" s="230">
        <f>G$75*'Ethylene recycling rates'!I46</f>
        <v>0.50803346970717533</v>
      </c>
      <c r="H79" s="230">
        <f>H$75*'Ethylene recycling rates'!J46</f>
        <v>0.53997945418594095</v>
      </c>
      <c r="I79" s="230">
        <f>I$75*'Ethylene recycling rates'!K46</f>
        <v>0.57211509398918348</v>
      </c>
      <c r="J79" s="230">
        <f>J$75*'Ethylene recycling rates'!L46</f>
        <v>0.60438715863911363</v>
      </c>
      <c r="K79" s="230">
        <f>K$75*'Ethylene recycling rates'!M46</f>
        <v>0.63674084672319264</v>
      </c>
      <c r="L79" s="230">
        <f>L$75*'Ethylene recycling rates'!N46</f>
        <v>0.66911990304699698</v>
      </c>
      <c r="M79" s="230">
        <f>M$75*'Ethylene recycling rates'!O46</f>
        <v>0.70146674334891024</v>
      </c>
      <c r="N79" s="230">
        <f>N$75*'Ethylene recycling rates'!P46</f>
        <v>0.75852133603243788</v>
      </c>
      <c r="O79" s="230">
        <f>O$75*'Ethylene recycling rates'!Q46</f>
        <v>0.81433114021334674</v>
      </c>
      <c r="P79" s="230">
        <f>P$75*'Ethylene recycling rates'!R46</f>
        <v>0.86854711078688573</v>
      </c>
      <c r="Q79" s="230">
        <f>Q$75*'Ethylene recycling rates'!S46</f>
        <v>0.92082769581146939</v>
      </c>
      <c r="R79" s="230">
        <f>R$75*'Ethylene recycling rates'!T46</f>
        <v>0.97084237140581675</v>
      </c>
      <c r="S79" s="230">
        <f>S$75*'Ethylene recycling rates'!U46</f>
        <v>1.0201096851297027</v>
      </c>
      <c r="T79" s="230">
        <f>T$75*'Ethylene recycling rates'!V46</f>
        <v>1.0685866920778746</v>
      </c>
      <c r="U79" s="230">
        <f>U$75*'Ethylene recycling rates'!W46</f>
        <v>1.1162304548452127</v>
      </c>
      <c r="V79" s="230">
        <f>V$75*'Ethylene recycling rates'!X46</f>
        <v>1.1629980772099375</v>
      </c>
      <c r="W79" s="230">
        <f>W$75*'Ethylene recycling rates'!Y46</f>
        <v>1.2088467381906929</v>
      </c>
      <c r="X79" s="230">
        <f>X$75*'Ethylene recycling rates'!Z46</f>
        <v>1.2941671768939109</v>
      </c>
      <c r="Y79" s="230">
        <f>Y$75*'Ethylene recycling rates'!AA46</f>
        <v>1.3779765876305934</v>
      </c>
      <c r="Z79" s="230">
        <f>Z$75*'Ethylene recycling rates'!AB46</f>
        <v>1.4602024062912462</v>
      </c>
      <c r="AA79" s="230">
        <f>AA$75*'Ethylene recycling rates'!AC46</f>
        <v>1.5407722203306657</v>
      </c>
      <c r="AB79" s="230">
        <f>AB$75*'Ethylene recycling rates'!AD46</f>
        <v>1.6196138223200842</v>
      </c>
      <c r="AC79" s="230">
        <f>AC$75*'Ethylene recycling rates'!AE46</f>
        <v>1.6966713045233823</v>
      </c>
      <c r="AD79" s="230">
        <f>AD$75*'Ethylene recycling rates'!AF46</f>
        <v>1.7718751867838118</v>
      </c>
      <c r="AE79" s="230">
        <f>AE$75*'Ethylene recycling rates'!AG46</f>
        <v>1.8451562512090856</v>
      </c>
      <c r="AF79" s="230">
        <f>AF$75*'Ethylene recycling rates'!AH46</f>
        <v>1.9164455903710562</v>
      </c>
      <c r="AG79" s="230">
        <f>AG$75*'Ethylene recycling rates'!AI46</f>
        <v>1.9856746558103326</v>
      </c>
      <c r="AH79" s="245">
        <f t="shared" si="76"/>
        <v>1.6107113627409768</v>
      </c>
      <c r="AI79" s="133"/>
      <c r="AJ79" s="211"/>
      <c r="AL79" s="108"/>
      <c r="AM79" s="2"/>
      <c r="AN79" s="2"/>
      <c r="AO79" s="2"/>
      <c r="BC79" s="1"/>
      <c r="BD79" s="2"/>
      <c r="BE79" s="2"/>
      <c r="BF79" s="2"/>
      <c r="BG79" s="2"/>
      <c r="BH79" s="2"/>
      <c r="BI79" s="2"/>
      <c r="BJ79" s="2"/>
      <c r="BK79" s="2"/>
    </row>
    <row r="80" spans="1:63" outlineLevel="1">
      <c r="A80" s="4" t="s">
        <v>248</v>
      </c>
      <c r="C80" s="230">
        <f>C$75*'Ethylene recycling rates'!E47</f>
        <v>0</v>
      </c>
      <c r="D80" s="230">
        <f>D$75*'Ethylene recycling rates'!F47</f>
        <v>1.8959433858141823E-4</v>
      </c>
      <c r="E80" s="230">
        <f>E$75*'Ethylene recycling rates'!G47</f>
        <v>4.1484807496572465E-4</v>
      </c>
      <c r="F80" s="230">
        <f>F$75*'Ethylene recycling rates'!H47</f>
        <v>6.7657108646580701E-4</v>
      </c>
      <c r="G80" s="230">
        <f>G$75*'Ethylene recycling rates'!I47</f>
        <v>9.7511837049436985E-4</v>
      </c>
      <c r="H80" s="230">
        <f>H$75*'Ethylene recycling rates'!J47</f>
        <v>1.3103592632356591E-3</v>
      </c>
      <c r="I80" s="230">
        <f>I$75*'Ethylene recycling rates'!K47</f>
        <v>1.6852825181797057E-3</v>
      </c>
      <c r="J80" s="230">
        <f>J$75*'Ethylene recycling rates'!L47</f>
        <v>2.1013788697050889E-3</v>
      </c>
      <c r="K80" s="230">
        <f>K$75*'Ethylene recycling rates'!M47</f>
        <v>2.5600963366935905E-3</v>
      </c>
      <c r="L80" s="230">
        <f>L$75*'Ethylene recycling rates'!N47</f>
        <v>3.0628342044931212E-3</v>
      </c>
      <c r="M80" s="230">
        <f>M$75*'Ethylene recycling rates'!O47</f>
        <v>3.6109369696968657E-3</v>
      </c>
      <c r="N80" s="230">
        <f>N$75*'Ethylene recycling rates'!P47</f>
        <v>4.3478343797386798E-3</v>
      </c>
      <c r="O80" s="230">
        <f>O$75*'Ethylene recycling rates'!Q47</f>
        <v>5.155371308533589E-3</v>
      </c>
      <c r="P80" s="230">
        <f>P$75*'Ethylene recycling rates'!R47</f>
        <v>6.0317961961743579E-3</v>
      </c>
      <c r="Q80" s="230">
        <f>Q$75*'Ethylene recycling rates'!S47</f>
        <v>6.9745695699404767E-3</v>
      </c>
      <c r="R80" s="230">
        <f>R$75*'Ethylene recycling rates'!T47</f>
        <v>7.9803627656130725E-3</v>
      </c>
      <c r="S80" s="230">
        <f>S$75*'Ethylene recycling rates'!U47</f>
        <v>9.0613637755700572E-3</v>
      </c>
      <c r="T80" s="230">
        <f>T$75*'Ethylene recycling rates'!V47</f>
        <v>1.0218891118544876E-2</v>
      </c>
      <c r="U80" s="230">
        <f>U$75*'Ethylene recycling rates'!W47</f>
        <v>1.1454236303368275E-2</v>
      </c>
      <c r="V80" s="230">
        <f>V$75*'Ethylene recycling rates'!X47</f>
        <v>1.276866238174622E-2</v>
      </c>
      <c r="W80" s="230">
        <f>W$75*'Ethylene recycling rates'!Y47</f>
        <v>1.4163402503957036E-2</v>
      </c>
      <c r="X80" s="230">
        <f>X$75*'Ethylene recycling rates'!Z47</f>
        <v>1.6144044173254227E-2</v>
      </c>
      <c r="Y80" s="230">
        <f>Y$75*'Ethylene recycling rates'!AA47</f>
        <v>1.8263691689740579E-2</v>
      </c>
      <c r="Z80" s="230">
        <f>Z$75*'Ethylene recycling rates'!AB47</f>
        <v>2.0524559518032455E-2</v>
      </c>
      <c r="AA80" s="230">
        <f>AA$75*'Ethylene recycling rates'!AC47</f>
        <v>2.2928813812128097E-2</v>
      </c>
      <c r="AB80" s="230">
        <f>AB$75*'Ethylene recycling rates'!AD47</f>
        <v>2.5478570153400441E-2</v>
      </c>
      <c r="AC80" s="230">
        <f>AC$75*'Ethylene recycling rates'!AE47</f>
        <v>2.8176157678481563E-2</v>
      </c>
      <c r="AD80" s="230">
        <f>AD$75*'Ethylene recycling rates'!AF47</f>
        <v>3.1023665214968268E-2</v>
      </c>
      <c r="AE80" s="230">
        <f>AE$75*'Ethylene recycling rates'!AG47</f>
        <v>3.4023133047834893E-2</v>
      </c>
      <c r="AF80" s="230">
        <f>AF$75*'Ethylene recycling rates'!AH47</f>
        <v>3.7176550906244096E-2</v>
      </c>
      <c r="AG80" s="230">
        <f>AG$75*'Ethylene recycling rates'!AI47</f>
        <v>4.0485855959697246E-2</v>
      </c>
      <c r="AH80" s="245">
        <f t="shared" si="76"/>
        <v>4.0485855959697246E-2</v>
      </c>
      <c r="AI80" s="133"/>
      <c r="AJ80" s="211"/>
      <c r="AL80" s="108"/>
      <c r="AM80" s="2"/>
      <c r="AN80" s="2"/>
      <c r="AO80" s="2"/>
      <c r="BC80" s="1"/>
      <c r="BD80" s="2"/>
      <c r="BE80" s="2"/>
      <c r="BF80" s="2"/>
      <c r="BG80" s="2"/>
      <c r="BH80" s="2"/>
      <c r="BI80" s="2"/>
      <c r="BJ80" s="2"/>
      <c r="BK80" s="2"/>
    </row>
    <row r="81" spans="1:63" s="1" customFormat="1" outlineLevel="1">
      <c r="A81" s="1" t="s">
        <v>1326</v>
      </c>
      <c r="B81" s="65"/>
      <c r="C81" s="300">
        <f>C70*C45</f>
        <v>1.205373589929996</v>
      </c>
      <c r="D81" s="300">
        <f t="shared" ref="D81:AG81" si="77">D70*D45</f>
        <v>1.2619041709192769</v>
      </c>
      <c r="E81" s="300">
        <f t="shared" si="77"/>
        <v>1.3156555225036823</v>
      </c>
      <c r="F81" s="300">
        <f t="shared" si="77"/>
        <v>1.3661388546671391</v>
      </c>
      <c r="G81" s="300">
        <f t="shared" si="77"/>
        <v>1.412884828340607</v>
      </c>
      <c r="H81" s="300">
        <f t="shared" si="77"/>
        <v>1.4554504200615603</v>
      </c>
      <c r="I81" s="300">
        <f t="shared" si="77"/>
        <v>1.4966475259312548</v>
      </c>
      <c r="J81" s="300">
        <f t="shared" si="77"/>
        <v>1.5363365496040107</v>
      </c>
      <c r="K81" s="300">
        <f t="shared" si="77"/>
        <v>1.574377388118634</v>
      </c>
      <c r="L81" s="300">
        <f t="shared" si="77"/>
        <v>1.6106298351488424</v>
      </c>
      <c r="M81" s="300">
        <f t="shared" si="77"/>
        <v>1.6449539960321427</v>
      </c>
      <c r="N81" s="300">
        <f t="shared" si="77"/>
        <v>1.7296600786636502</v>
      </c>
      <c r="O81" s="300">
        <f t="shared" si="77"/>
        <v>1.8085528222161285</v>
      </c>
      <c r="P81" s="300">
        <f t="shared" si="77"/>
        <v>1.8810166901192227</v>
      </c>
      <c r="Q81" s="300">
        <f t="shared" si="77"/>
        <v>1.9464843103176621</v>
      </c>
      <c r="R81" s="300">
        <f t="shared" si="77"/>
        <v>2.004443372107001</v>
      </c>
      <c r="S81" s="300">
        <f t="shared" si="77"/>
        <v>2.0581443359391223</v>
      </c>
      <c r="T81" s="300">
        <f t="shared" si="77"/>
        <v>2.1074569079096737</v>
      </c>
      <c r="U81" s="300">
        <f t="shared" si="77"/>
        <v>2.152251832532019</v>
      </c>
      <c r="V81" s="300">
        <f t="shared" si="77"/>
        <v>2.1924010102311566</v>
      </c>
      <c r="W81" s="300">
        <f t="shared" si="77"/>
        <v>2.2277776154205586</v>
      </c>
      <c r="X81" s="300">
        <f t="shared" si="77"/>
        <v>2.3064403200386874</v>
      </c>
      <c r="Y81" s="300">
        <f t="shared" si="77"/>
        <v>2.3778175400651413</v>
      </c>
      <c r="Z81" s="300">
        <f t="shared" si="77"/>
        <v>2.4417121847421641</v>
      </c>
      <c r="AA81" s="300">
        <f t="shared" si="77"/>
        <v>2.4979290650180355</v>
      </c>
      <c r="AB81" s="300">
        <f t="shared" si="77"/>
        <v>2.5462750600139996</v>
      </c>
      <c r="AC81" s="300">
        <f t="shared" si="77"/>
        <v>2.58658373788866</v>
      </c>
      <c r="AD81" s="300">
        <f t="shared" si="77"/>
        <v>2.6186675572049709</v>
      </c>
      <c r="AE81" s="300">
        <f t="shared" si="77"/>
        <v>2.6423410695914047</v>
      </c>
      <c r="AF81" s="300">
        <f t="shared" si="77"/>
        <v>2.6574210687417508</v>
      </c>
      <c r="AG81" s="300">
        <f t="shared" si="77"/>
        <v>2.6637267396038453</v>
      </c>
      <c r="AH81" s="245">
        <f t="shared" si="76"/>
        <v>1.4583531496738493</v>
      </c>
      <c r="AI81" s="423"/>
      <c r="AJ81" s="424"/>
      <c r="AL81" s="221"/>
      <c r="AM81" s="124"/>
      <c r="AN81" s="124"/>
      <c r="AO81" s="124"/>
      <c r="BD81" s="124"/>
      <c r="BE81" s="124"/>
      <c r="BF81" s="124"/>
      <c r="BG81" s="124"/>
      <c r="BH81" s="124"/>
      <c r="BI81" s="124"/>
      <c r="BJ81" s="124"/>
      <c r="BK81" s="124"/>
    </row>
    <row r="82" spans="1:63" outlineLevel="1">
      <c r="A82" s="4" t="s">
        <v>258</v>
      </c>
      <c r="C82" s="230">
        <f>C$81*'Ethylene recycling rates'!E48</f>
        <v>0</v>
      </c>
      <c r="D82" s="230">
        <f>D$81*'Ethylene recycling rates'!F48</f>
        <v>0</v>
      </c>
      <c r="E82" s="230">
        <f>E$81*'Ethylene recycling rates'!G48</f>
        <v>0</v>
      </c>
      <c r="F82" s="230">
        <f>F$81*'Ethylene recycling rates'!H48</f>
        <v>0</v>
      </c>
      <c r="G82" s="230">
        <f>G$81*'Ethylene recycling rates'!I48</f>
        <v>0</v>
      </c>
      <c r="H82" s="230">
        <f>H$81*'Ethylene recycling rates'!J48</f>
        <v>0</v>
      </c>
      <c r="I82" s="230">
        <f>I$81*'Ethylene recycling rates'!K48</f>
        <v>0</v>
      </c>
      <c r="J82" s="230">
        <f>J$81*'Ethylene recycling rates'!L48</f>
        <v>0</v>
      </c>
      <c r="K82" s="230">
        <f>K$81*'Ethylene recycling rates'!M48</f>
        <v>0</v>
      </c>
      <c r="L82" s="230">
        <f>L$81*'Ethylene recycling rates'!N48</f>
        <v>0</v>
      </c>
      <c r="M82" s="230">
        <f>M$81*'Ethylene recycling rates'!O48</f>
        <v>0</v>
      </c>
      <c r="N82" s="230">
        <f>N$81*'Ethylene recycling rates'!P48</f>
        <v>0</v>
      </c>
      <c r="O82" s="230">
        <f>O$81*'Ethylene recycling rates'!Q48</f>
        <v>0</v>
      </c>
      <c r="P82" s="230">
        <f>P$81*'Ethylene recycling rates'!R48</f>
        <v>0</v>
      </c>
      <c r="Q82" s="230">
        <f>Q$81*'Ethylene recycling rates'!S48</f>
        <v>0</v>
      </c>
      <c r="R82" s="230">
        <f>R$81*'Ethylene recycling rates'!T48</f>
        <v>0</v>
      </c>
      <c r="S82" s="230">
        <f>S$81*'Ethylene recycling rates'!U48</f>
        <v>0</v>
      </c>
      <c r="T82" s="230">
        <f>T$81*'Ethylene recycling rates'!V48</f>
        <v>0</v>
      </c>
      <c r="U82" s="230">
        <f>U$81*'Ethylene recycling rates'!W48</f>
        <v>0</v>
      </c>
      <c r="V82" s="230">
        <f>V$81*'Ethylene recycling rates'!X48</f>
        <v>0</v>
      </c>
      <c r="W82" s="230">
        <f>W$81*'Ethylene recycling rates'!Y48</f>
        <v>0</v>
      </c>
      <c r="X82" s="230">
        <f>X$81*'Ethylene recycling rates'!Z48</f>
        <v>0</v>
      </c>
      <c r="Y82" s="230">
        <f>Y$81*'Ethylene recycling rates'!AA48</f>
        <v>0</v>
      </c>
      <c r="Z82" s="230">
        <f>Z$81*'Ethylene recycling rates'!AB48</f>
        <v>0</v>
      </c>
      <c r="AA82" s="230">
        <f>AA$81*'Ethylene recycling rates'!AC48</f>
        <v>0</v>
      </c>
      <c r="AB82" s="230">
        <f>AB$81*'Ethylene recycling rates'!AD48</f>
        <v>0</v>
      </c>
      <c r="AC82" s="230">
        <f>AC$81*'Ethylene recycling rates'!AE48</f>
        <v>0</v>
      </c>
      <c r="AD82" s="230">
        <f>AD$81*'Ethylene recycling rates'!AF48</f>
        <v>0</v>
      </c>
      <c r="AE82" s="230">
        <f>AE$81*'Ethylene recycling rates'!AG48</f>
        <v>0</v>
      </c>
      <c r="AF82" s="230">
        <f>AF$81*'Ethylene recycling rates'!AH48</f>
        <v>0</v>
      </c>
      <c r="AG82" s="230">
        <f>AG$81*'Ethylene recycling rates'!AI48</f>
        <v>0</v>
      </c>
      <c r="AH82" s="245">
        <f t="shared" si="76"/>
        <v>0</v>
      </c>
      <c r="AI82" s="133"/>
      <c r="AJ82" s="211"/>
      <c r="AL82" s="108"/>
      <c r="AM82" s="2"/>
      <c r="AN82" s="2"/>
      <c r="AO82" s="2"/>
      <c r="BC82" s="1"/>
      <c r="BD82" s="2"/>
      <c r="BE82" s="2"/>
      <c r="BF82" s="2"/>
      <c r="BG82" s="2"/>
      <c r="BH82" s="2"/>
      <c r="BI82" s="2"/>
      <c r="BJ82" s="2"/>
      <c r="BK82" s="2"/>
    </row>
    <row r="83" spans="1:63" outlineLevel="1">
      <c r="A83" s="4" t="s">
        <v>478</v>
      </c>
      <c r="C83" s="230">
        <f>C$81*'Ethylene recycling rates'!E49</f>
        <v>0</v>
      </c>
      <c r="D83" s="230">
        <f>D$81*'Ethylene recycling rates'!F49</f>
        <v>0</v>
      </c>
      <c r="E83" s="230">
        <f>E$81*'Ethylene recycling rates'!G49</f>
        <v>0</v>
      </c>
      <c r="F83" s="230">
        <f>F$81*'Ethylene recycling rates'!H49</f>
        <v>0</v>
      </c>
      <c r="G83" s="230">
        <f>G$81*'Ethylene recycling rates'!I49</f>
        <v>0</v>
      </c>
      <c r="H83" s="230">
        <f>H$81*'Ethylene recycling rates'!J49</f>
        <v>0</v>
      </c>
      <c r="I83" s="230">
        <f>I$81*'Ethylene recycling rates'!K49</f>
        <v>0</v>
      </c>
      <c r="J83" s="230">
        <f>J$81*'Ethylene recycling rates'!L49</f>
        <v>0</v>
      </c>
      <c r="K83" s="230">
        <f>K$81*'Ethylene recycling rates'!M49</f>
        <v>0</v>
      </c>
      <c r="L83" s="230">
        <f>L$81*'Ethylene recycling rates'!N49</f>
        <v>0</v>
      </c>
      <c r="M83" s="230">
        <f>M$81*'Ethylene recycling rates'!O49</f>
        <v>0</v>
      </c>
      <c r="N83" s="230">
        <f>N$81*'Ethylene recycling rates'!P49</f>
        <v>0</v>
      </c>
      <c r="O83" s="230">
        <f>O$81*'Ethylene recycling rates'!Q49</f>
        <v>0</v>
      </c>
      <c r="P83" s="230">
        <f>P$81*'Ethylene recycling rates'!R49</f>
        <v>0</v>
      </c>
      <c r="Q83" s="230">
        <f>Q$81*'Ethylene recycling rates'!S49</f>
        <v>0</v>
      </c>
      <c r="R83" s="230">
        <f>R$81*'Ethylene recycling rates'!T49</f>
        <v>0</v>
      </c>
      <c r="S83" s="230">
        <f>S$81*'Ethylene recycling rates'!U49</f>
        <v>0</v>
      </c>
      <c r="T83" s="230">
        <f>T$81*'Ethylene recycling rates'!V49</f>
        <v>0</v>
      </c>
      <c r="U83" s="230">
        <f>U$81*'Ethylene recycling rates'!W49</f>
        <v>0</v>
      </c>
      <c r="V83" s="230">
        <f>V$81*'Ethylene recycling rates'!X49</f>
        <v>0</v>
      </c>
      <c r="W83" s="230">
        <f>W$81*'Ethylene recycling rates'!Y49</f>
        <v>0</v>
      </c>
      <c r="X83" s="230">
        <f>X$81*'Ethylene recycling rates'!Z49</f>
        <v>0</v>
      </c>
      <c r="Y83" s="230">
        <f>Y$81*'Ethylene recycling rates'!AA49</f>
        <v>0</v>
      </c>
      <c r="Z83" s="230">
        <f>Z$81*'Ethylene recycling rates'!AB49</f>
        <v>0</v>
      </c>
      <c r="AA83" s="230">
        <f>AA$81*'Ethylene recycling rates'!AC49</f>
        <v>0</v>
      </c>
      <c r="AB83" s="230">
        <f>AB$81*'Ethylene recycling rates'!AD49</f>
        <v>0</v>
      </c>
      <c r="AC83" s="230">
        <f>AC$81*'Ethylene recycling rates'!AE49</f>
        <v>0</v>
      </c>
      <c r="AD83" s="230">
        <f>AD$81*'Ethylene recycling rates'!AF49</f>
        <v>0</v>
      </c>
      <c r="AE83" s="230">
        <f>AE$81*'Ethylene recycling rates'!AG49</f>
        <v>0</v>
      </c>
      <c r="AF83" s="230">
        <f>AF$81*'Ethylene recycling rates'!AH49</f>
        <v>0</v>
      </c>
      <c r="AG83" s="230">
        <f>AG$81*'Ethylene recycling rates'!AI49</f>
        <v>0</v>
      </c>
      <c r="AH83" s="245">
        <f t="shared" si="76"/>
        <v>0</v>
      </c>
      <c r="AI83" s="133"/>
      <c r="AJ83" s="211"/>
      <c r="AL83" s="108"/>
      <c r="AM83" s="2"/>
      <c r="AN83" s="2"/>
      <c r="AO83" s="2"/>
      <c r="BC83" s="1"/>
      <c r="BD83" s="2"/>
      <c r="BE83" s="2"/>
      <c r="BF83" s="2"/>
      <c r="BG83" s="2"/>
      <c r="BH83" s="2"/>
      <c r="BI83" s="2"/>
      <c r="BJ83" s="2"/>
      <c r="BK83" s="2"/>
    </row>
    <row r="84" spans="1:63" outlineLevel="1">
      <c r="A84" s="4" t="s">
        <v>480</v>
      </c>
      <c r="C84" s="230">
        <f>C$81*'Ethylene recycling rates'!E50</f>
        <v>0</v>
      </c>
      <c r="D84" s="230">
        <f>D$81*'Ethylene recycling rates'!F50</f>
        <v>0</v>
      </c>
      <c r="E84" s="230">
        <f>E$81*'Ethylene recycling rates'!G50</f>
        <v>0</v>
      </c>
      <c r="F84" s="230">
        <f>F$81*'Ethylene recycling rates'!H50</f>
        <v>0</v>
      </c>
      <c r="G84" s="230">
        <f>G$81*'Ethylene recycling rates'!I50</f>
        <v>0</v>
      </c>
      <c r="H84" s="230">
        <f>H$81*'Ethylene recycling rates'!J50</f>
        <v>0</v>
      </c>
      <c r="I84" s="230">
        <f>I$81*'Ethylene recycling rates'!K50</f>
        <v>0</v>
      </c>
      <c r="J84" s="230">
        <f>J$81*'Ethylene recycling rates'!L50</f>
        <v>0</v>
      </c>
      <c r="K84" s="230">
        <f>K$81*'Ethylene recycling rates'!M50</f>
        <v>0</v>
      </c>
      <c r="L84" s="230">
        <f>L$81*'Ethylene recycling rates'!N50</f>
        <v>0</v>
      </c>
      <c r="M84" s="230">
        <f>M$81*'Ethylene recycling rates'!O50</f>
        <v>0</v>
      </c>
      <c r="N84" s="230">
        <f>N$81*'Ethylene recycling rates'!P50</f>
        <v>0</v>
      </c>
      <c r="O84" s="230">
        <f>O$81*'Ethylene recycling rates'!Q50</f>
        <v>0</v>
      </c>
      <c r="P84" s="230">
        <f>P$81*'Ethylene recycling rates'!R50</f>
        <v>0</v>
      </c>
      <c r="Q84" s="230">
        <f>Q$81*'Ethylene recycling rates'!S50</f>
        <v>0</v>
      </c>
      <c r="R84" s="230">
        <f>R$81*'Ethylene recycling rates'!T50</f>
        <v>0</v>
      </c>
      <c r="S84" s="230">
        <f>S$81*'Ethylene recycling rates'!U50</f>
        <v>0</v>
      </c>
      <c r="T84" s="230">
        <f>T$81*'Ethylene recycling rates'!V50</f>
        <v>0</v>
      </c>
      <c r="U84" s="230">
        <f>U$81*'Ethylene recycling rates'!W50</f>
        <v>0</v>
      </c>
      <c r="V84" s="230">
        <f>V$81*'Ethylene recycling rates'!X50</f>
        <v>0</v>
      </c>
      <c r="W84" s="230">
        <f>W$81*'Ethylene recycling rates'!Y50</f>
        <v>0</v>
      </c>
      <c r="X84" s="230">
        <f>X$81*'Ethylene recycling rates'!Z50</f>
        <v>0</v>
      </c>
      <c r="Y84" s="230">
        <f>Y$81*'Ethylene recycling rates'!AA50</f>
        <v>0</v>
      </c>
      <c r="Z84" s="230">
        <f>Z$81*'Ethylene recycling rates'!AB50</f>
        <v>0</v>
      </c>
      <c r="AA84" s="230">
        <f>AA$81*'Ethylene recycling rates'!AC50</f>
        <v>0</v>
      </c>
      <c r="AB84" s="230">
        <f>AB$81*'Ethylene recycling rates'!AD50</f>
        <v>0</v>
      </c>
      <c r="AC84" s="230">
        <f>AC$81*'Ethylene recycling rates'!AE50</f>
        <v>0</v>
      </c>
      <c r="AD84" s="230">
        <f>AD$81*'Ethylene recycling rates'!AF50</f>
        <v>0</v>
      </c>
      <c r="AE84" s="230">
        <f>AE$81*'Ethylene recycling rates'!AG50</f>
        <v>0</v>
      </c>
      <c r="AF84" s="230">
        <f>AF$81*'Ethylene recycling rates'!AH50</f>
        <v>0</v>
      </c>
      <c r="AG84" s="230">
        <f>AG$81*'Ethylene recycling rates'!AI50</f>
        <v>0</v>
      </c>
      <c r="AH84" s="245">
        <f t="shared" si="76"/>
        <v>0</v>
      </c>
      <c r="AI84" s="133"/>
      <c r="AJ84" s="211"/>
      <c r="AL84" s="108"/>
      <c r="AM84" s="2"/>
      <c r="AN84" s="2"/>
      <c r="AO84" s="2"/>
      <c r="BC84" s="1"/>
      <c r="BD84" s="2"/>
      <c r="BE84" s="2"/>
      <c r="BF84" s="2"/>
      <c r="BG84" s="2"/>
      <c r="BH84" s="2"/>
      <c r="BI84" s="2"/>
      <c r="BJ84" s="2"/>
      <c r="BK84" s="2"/>
    </row>
    <row r="85" spans="1:63" outlineLevel="1">
      <c r="A85" s="4" t="s">
        <v>474</v>
      </c>
      <c r="C85" s="230">
        <f>C$81*'Ethylene recycling rates'!E51</f>
        <v>1.205373589929996</v>
      </c>
      <c r="D85" s="230">
        <f>D$81*'Ethylene recycling rates'!F51</f>
        <v>1.2619041709192769</v>
      </c>
      <c r="E85" s="230">
        <f>E$81*'Ethylene recycling rates'!G51</f>
        <v>1.3156555225036823</v>
      </c>
      <c r="F85" s="230">
        <f>F$81*'Ethylene recycling rates'!H51</f>
        <v>1.3661388546671391</v>
      </c>
      <c r="G85" s="230">
        <f>G$81*'Ethylene recycling rates'!I51</f>
        <v>1.412884828340607</v>
      </c>
      <c r="H85" s="230">
        <f>H$81*'Ethylene recycling rates'!J51</f>
        <v>1.4554504200615603</v>
      </c>
      <c r="I85" s="230">
        <f>I$81*'Ethylene recycling rates'!K51</f>
        <v>1.4966475259312548</v>
      </c>
      <c r="J85" s="230">
        <f>J$81*'Ethylene recycling rates'!L51</f>
        <v>1.5363365496040107</v>
      </c>
      <c r="K85" s="230">
        <f>K$81*'Ethylene recycling rates'!M51</f>
        <v>1.574377388118634</v>
      </c>
      <c r="L85" s="230">
        <f>L$81*'Ethylene recycling rates'!N51</f>
        <v>1.6106298351488424</v>
      </c>
      <c r="M85" s="230">
        <f>M$81*'Ethylene recycling rates'!O51</f>
        <v>1.6449539960321427</v>
      </c>
      <c r="N85" s="230">
        <f>N$81*'Ethylene recycling rates'!P51</f>
        <v>1.7296600786636502</v>
      </c>
      <c r="O85" s="230">
        <f>O$81*'Ethylene recycling rates'!Q51</f>
        <v>1.8085528222161285</v>
      </c>
      <c r="P85" s="230">
        <f>P$81*'Ethylene recycling rates'!R51</f>
        <v>1.8810166901192227</v>
      </c>
      <c r="Q85" s="230">
        <f>Q$81*'Ethylene recycling rates'!S51</f>
        <v>1.9464843103176621</v>
      </c>
      <c r="R85" s="230">
        <f>R$81*'Ethylene recycling rates'!T51</f>
        <v>2.004443372107001</v>
      </c>
      <c r="S85" s="230">
        <f>S$81*'Ethylene recycling rates'!U51</f>
        <v>2.0581443359391223</v>
      </c>
      <c r="T85" s="230">
        <f>T$81*'Ethylene recycling rates'!V51</f>
        <v>2.1074569079096737</v>
      </c>
      <c r="U85" s="230">
        <f>U$81*'Ethylene recycling rates'!W51</f>
        <v>2.152251832532019</v>
      </c>
      <c r="V85" s="230">
        <f>V$81*'Ethylene recycling rates'!X51</f>
        <v>2.1924010102311566</v>
      </c>
      <c r="W85" s="230">
        <f>W$81*'Ethylene recycling rates'!Y51</f>
        <v>2.2277776154205586</v>
      </c>
      <c r="X85" s="230">
        <f>X$81*'Ethylene recycling rates'!Z51</f>
        <v>2.3064403200386874</v>
      </c>
      <c r="Y85" s="230">
        <f>Y$81*'Ethylene recycling rates'!AA51</f>
        <v>2.3778175400651413</v>
      </c>
      <c r="Z85" s="230">
        <f>Z$81*'Ethylene recycling rates'!AB51</f>
        <v>2.4417121847421641</v>
      </c>
      <c r="AA85" s="230">
        <f>AA$81*'Ethylene recycling rates'!AC51</f>
        <v>2.4979290650180355</v>
      </c>
      <c r="AB85" s="230">
        <f>AB$81*'Ethylene recycling rates'!AD51</f>
        <v>2.5462750600139996</v>
      </c>
      <c r="AC85" s="230">
        <f>AC$81*'Ethylene recycling rates'!AE51</f>
        <v>2.58658373788866</v>
      </c>
      <c r="AD85" s="230">
        <f>AD$81*'Ethylene recycling rates'!AF51</f>
        <v>2.6186675572049709</v>
      </c>
      <c r="AE85" s="230">
        <f>AE$81*'Ethylene recycling rates'!AG51</f>
        <v>2.6423410695914047</v>
      </c>
      <c r="AF85" s="230">
        <f>AF$81*'Ethylene recycling rates'!AH51</f>
        <v>2.6574210687417508</v>
      </c>
      <c r="AG85" s="230">
        <f>AG$81*'Ethylene recycling rates'!AI51</f>
        <v>2.6637267396038453</v>
      </c>
      <c r="AH85" s="245">
        <f t="shared" si="76"/>
        <v>1.4583531496738493</v>
      </c>
      <c r="AI85" s="133"/>
      <c r="AJ85" s="211"/>
      <c r="AL85" s="108"/>
      <c r="AM85" s="2"/>
      <c r="AN85" s="2"/>
      <c r="AO85" s="2"/>
      <c r="BC85" s="1"/>
      <c r="BD85" s="2"/>
      <c r="BE85" s="2"/>
      <c r="BF85" s="2"/>
      <c r="BG85" s="2"/>
      <c r="BH85" s="2"/>
      <c r="BI85" s="2"/>
      <c r="BJ85" s="2"/>
      <c r="BK85" s="2"/>
    </row>
    <row r="86" spans="1:63" outlineLevel="1">
      <c r="A86" s="4" t="s">
        <v>248</v>
      </c>
      <c r="C86" s="230">
        <f>C$81*'Ethylene recycling rates'!E52</f>
        <v>0</v>
      </c>
      <c r="D86" s="230">
        <f>D$81*'Ethylene recycling rates'!F52</f>
        <v>4.1889981238485144E-5</v>
      </c>
      <c r="E86" s="230">
        <f>E$81*'Ethylene recycling rates'!G52</f>
        <v>8.7348606057526299E-5</v>
      </c>
      <c r="F86" s="230">
        <f>F$81*'Ethylene recycling rates'!H52</f>
        <v>1.3605042041223156E-4</v>
      </c>
      <c r="G86" s="230">
        <f>G$81*'Ethylene recycling rates'!I52</f>
        <v>1.8760764982086553E-4</v>
      </c>
      <c r="H86" s="230">
        <f>H$81*'Ethylene recycling rates'!J52</f>
        <v>2.415745672094471E-4</v>
      </c>
      <c r="I86" s="230">
        <f>I$81*'Ethylene recycling rates'!K52</f>
        <v>2.9809491826727314E-4</v>
      </c>
      <c r="J86" s="230">
        <f>J$81*'Ethylene recycling rates'!L52</f>
        <v>3.5699998070708909E-4</v>
      </c>
      <c r="K86" s="230">
        <f>K$81*'Ethylene recycling rates'!M52</f>
        <v>4.1810236162412144E-4</v>
      </c>
      <c r="L86" s="230">
        <f>L$81*'Ethylene recycling rates'!N52</f>
        <v>4.811960338845798E-4</v>
      </c>
      <c r="M86" s="230">
        <f>M$81*'Ethylene recycling rates'!O52</f>
        <v>5.4605645674156E-4</v>
      </c>
      <c r="N86" s="230">
        <f>N$81*'Ethylene recycling rates'!P52</f>
        <v>6.3159289671365368E-4</v>
      </c>
      <c r="O86" s="230">
        <f>O$81*'Ethylene recycling rates'!Q52</f>
        <v>7.2043737270084023E-4</v>
      </c>
      <c r="P86" s="230">
        <f>P$81*'Ethylene recycling rates'!R52</f>
        <v>8.1174531613808132E-4</v>
      </c>
      <c r="Q86" s="230">
        <f>Q$81*'Ethylene recycling rates'!S52</f>
        <v>9.0461280949042776E-4</v>
      </c>
      <c r="R86" s="230">
        <f>R$81*'Ethylene recycling rates'!T52</f>
        <v>9.980880147578905E-4</v>
      </c>
      <c r="S86" s="230">
        <f>S$81*'Ethylene recycling rates'!U52</f>
        <v>1.0931496017581443E-3</v>
      </c>
      <c r="T86" s="230">
        <f>T$81*'Ethylene recycling rates'!V52</f>
        <v>1.1892999882645529E-3</v>
      </c>
      <c r="U86" s="230">
        <f>U$81*'Ethylene recycling rates'!W52</f>
        <v>1.2860249116638505E-3</v>
      </c>
      <c r="V86" s="230">
        <f>V$81*'Ethylene recycling rates'!X52</f>
        <v>1.3827936754178339E-3</v>
      </c>
      <c r="W86" s="230">
        <f>W$81*'Ethylene recycling rates'!Y52</f>
        <v>1.479059419313926E-3</v>
      </c>
      <c r="X86" s="230">
        <f>X$81*'Ethylene recycling rates'!Z52</f>
        <v>1.6078491720478052E-3</v>
      </c>
      <c r="Y86" s="230">
        <f>Y$81*'Ethylene recycling rates'!AA52</f>
        <v>1.7365408226876452E-3</v>
      </c>
      <c r="Z86" s="230">
        <f>Z$81*'Ethylene recycling rates'!AB52</f>
        <v>1.8642583479890676E-3</v>
      </c>
      <c r="AA86" s="230">
        <f>AA$81*'Ethylene recycling rates'!AC52</f>
        <v>1.9901010694169264E-3</v>
      </c>
      <c r="AB86" s="230">
        <f>AB$81*'Ethylene recycling rates'!AD52</f>
        <v>2.1131441069393258E-3</v>
      </c>
      <c r="AC86" s="230">
        <f>AC$81*'Ethylene recycling rates'!AE52</f>
        <v>2.2324599723748E-3</v>
      </c>
      <c r="AD86" s="230">
        <f>AD$81*'Ethylene recycling rates'!AF52</f>
        <v>2.3470801578802315E-3</v>
      </c>
      <c r="AE86" s="230">
        <f>AE$81*'Ethylene recycling rates'!AG52</f>
        <v>2.4560131986935251E-3</v>
      </c>
      <c r="AF86" s="230">
        <f>AF$81*'Ethylene recycling rates'!AH52</f>
        <v>2.5582451639781234E-3</v>
      </c>
      <c r="AG86" s="230">
        <f>AG$81*'Ethylene recycling rates'!AI52</f>
        <v>2.6527401775327253E-3</v>
      </c>
      <c r="AH86" s="245">
        <f t="shared" si="76"/>
        <v>2.6527401775327253E-3</v>
      </c>
      <c r="AI86" s="133"/>
      <c r="AJ86" s="211"/>
      <c r="AL86" s="108"/>
      <c r="AM86" s="2"/>
      <c r="AN86" s="2"/>
      <c r="AO86" s="2"/>
      <c r="BC86" s="1"/>
      <c r="BD86" s="2"/>
      <c r="BE86" s="2"/>
      <c r="BF86" s="2"/>
      <c r="BG86" s="2"/>
      <c r="BH86" s="2"/>
      <c r="BI86" s="2"/>
      <c r="BJ86" s="2"/>
      <c r="BK86" s="2"/>
    </row>
    <row r="87" spans="1:63" s="1" customFormat="1" outlineLevel="1">
      <c r="A87" s="1" t="s">
        <v>1327</v>
      </c>
      <c r="B87" s="65"/>
      <c r="C87" s="300">
        <f>C71*C45</f>
        <v>1.4455793898150646</v>
      </c>
      <c r="D87" s="300">
        <f t="shared" ref="D87:AG87" si="78">D71*D45</f>
        <v>1.5424355901390934</v>
      </c>
      <c r="E87" s="300">
        <f t="shared" si="78"/>
        <v>1.6396207523114628</v>
      </c>
      <c r="F87" s="300">
        <f t="shared" si="78"/>
        <v>1.7365332704173075</v>
      </c>
      <c r="G87" s="300">
        <f t="shared" si="78"/>
        <v>1.832547733436795</v>
      </c>
      <c r="H87" s="300">
        <f t="shared" si="78"/>
        <v>1.9270215383596825</v>
      </c>
      <c r="I87" s="300">
        <f t="shared" si="78"/>
        <v>2.0236585490302996</v>
      </c>
      <c r="J87" s="300">
        <f t="shared" si="78"/>
        <v>2.1224067593369167</v>
      </c>
      <c r="K87" s="300">
        <f t="shared" si="78"/>
        <v>2.2232088329130253</v>
      </c>
      <c r="L87" s="300">
        <f t="shared" si="78"/>
        <v>2.3260020808436814</v>
      </c>
      <c r="M87" s="300">
        <f t="shared" si="78"/>
        <v>2.4307184536714717</v>
      </c>
      <c r="N87" s="300">
        <f t="shared" si="78"/>
        <v>2.616629953733403</v>
      </c>
      <c r="O87" s="300">
        <f t="shared" si="78"/>
        <v>2.8025847585905668</v>
      </c>
      <c r="P87" s="300">
        <f t="shared" si="78"/>
        <v>2.9876084565030347</v>
      </c>
      <c r="Q87" s="300">
        <f t="shared" si="78"/>
        <v>3.1707053504711542</v>
      </c>
      <c r="R87" s="300">
        <f t="shared" si="78"/>
        <v>3.3508671927935851</v>
      </c>
      <c r="S87" s="300">
        <f t="shared" si="78"/>
        <v>3.5334369152665159</v>
      </c>
      <c r="T87" s="300">
        <f t="shared" si="78"/>
        <v>3.7183848556332393</v>
      </c>
      <c r="U87" s="300">
        <f t="shared" si="78"/>
        <v>3.9056798535323103</v>
      </c>
      <c r="V87" s="300">
        <f t="shared" si="78"/>
        <v>4.0952892501592579</v>
      </c>
      <c r="W87" s="300">
        <f t="shared" si="78"/>
        <v>4.287178888988719</v>
      </c>
      <c r="X87" s="300">
        <f t="shared" si="78"/>
        <v>4.5769302846109099</v>
      </c>
      <c r="Y87" s="300">
        <f t="shared" si="78"/>
        <v>4.8704062878301864</v>
      </c>
      <c r="Z87" s="300">
        <f t="shared" si="78"/>
        <v>5.1675612874182901</v>
      </c>
      <c r="AA87" s="300">
        <f t="shared" si="78"/>
        <v>5.4683475607607051</v>
      </c>
      <c r="AB87" s="300">
        <f t="shared" si="78"/>
        <v>5.7727152752602162</v>
      </c>
      <c r="AC87" s="300">
        <f t="shared" si="78"/>
        <v>6.0806699786680003</v>
      </c>
      <c r="AD87" s="300">
        <f t="shared" si="78"/>
        <v>6.3921665411949853</v>
      </c>
      <c r="AE87" s="300">
        <f t="shared" si="78"/>
        <v>6.7071579474119503</v>
      </c>
      <c r="AF87" s="300">
        <f t="shared" si="78"/>
        <v>7.0255952985870325</v>
      </c>
      <c r="AG87" s="300">
        <f t="shared" si="78"/>
        <v>7.3474278161521234</v>
      </c>
      <c r="AH87" s="245">
        <f>AG87-C87</f>
        <v>5.9018484263370592</v>
      </c>
      <c r="AI87" s="423"/>
      <c r="AJ87" s="424"/>
      <c r="AL87" s="221"/>
      <c r="AM87" s="124"/>
      <c r="AN87" s="124"/>
      <c r="AO87" s="124"/>
      <c r="BD87" s="124"/>
      <c r="BE87" s="124"/>
      <c r="BF87" s="124"/>
      <c r="BG87" s="124"/>
      <c r="BH87" s="124"/>
      <c r="BI87" s="124"/>
      <c r="BJ87" s="124"/>
      <c r="BK87" s="124"/>
    </row>
    <row r="88" spans="1:63" outlineLevel="1">
      <c r="A88" s="4" t="s">
        <v>258</v>
      </c>
      <c r="C88" s="230">
        <f>C$87*'Ethylene recycling rates'!E53</f>
        <v>1.4455793898150646</v>
      </c>
      <c r="D88" s="230">
        <f>D$87*'Ethylene recycling rates'!F53</f>
        <v>1.5424355901390934</v>
      </c>
      <c r="E88" s="230">
        <f>E$87*'Ethylene recycling rates'!G53</f>
        <v>1.6396207523114628</v>
      </c>
      <c r="F88" s="230">
        <f>F$87*'Ethylene recycling rates'!H53</f>
        <v>1.7365332704173075</v>
      </c>
      <c r="G88" s="230">
        <f>G$87*'Ethylene recycling rates'!I53</f>
        <v>1.832547733436795</v>
      </c>
      <c r="H88" s="230">
        <f>H$87*'Ethylene recycling rates'!J53</f>
        <v>1.9270215383596825</v>
      </c>
      <c r="I88" s="230">
        <f>I$87*'Ethylene recycling rates'!K53</f>
        <v>2.0236585490302996</v>
      </c>
      <c r="J88" s="230">
        <f>J$87*'Ethylene recycling rates'!L53</f>
        <v>2.1224067593369167</v>
      </c>
      <c r="K88" s="230">
        <f>K$87*'Ethylene recycling rates'!M53</f>
        <v>2.2232088329130253</v>
      </c>
      <c r="L88" s="230">
        <f>L$87*'Ethylene recycling rates'!N53</f>
        <v>2.3260020808436814</v>
      </c>
      <c r="M88" s="230">
        <f>M$87*'Ethylene recycling rates'!O53</f>
        <v>2.4307184536714717</v>
      </c>
      <c r="N88" s="230">
        <f>N$87*'Ethylene recycling rates'!P53</f>
        <v>2.616629953733403</v>
      </c>
      <c r="O88" s="230">
        <f>O$87*'Ethylene recycling rates'!Q53</f>
        <v>2.8025847585905668</v>
      </c>
      <c r="P88" s="230">
        <f>P$87*'Ethylene recycling rates'!R53</f>
        <v>2.9876084565030347</v>
      </c>
      <c r="Q88" s="230">
        <f>Q$87*'Ethylene recycling rates'!S53</f>
        <v>3.1707053504711542</v>
      </c>
      <c r="R88" s="230">
        <f>R$87*'Ethylene recycling rates'!T53</f>
        <v>3.3508671927935851</v>
      </c>
      <c r="S88" s="230">
        <f>S$87*'Ethylene recycling rates'!U53</f>
        <v>3.5334369152665159</v>
      </c>
      <c r="T88" s="230">
        <f>T$87*'Ethylene recycling rates'!V53</f>
        <v>3.7183848556332393</v>
      </c>
      <c r="U88" s="230">
        <f>U$87*'Ethylene recycling rates'!W53</f>
        <v>3.9056798535323103</v>
      </c>
      <c r="V88" s="230">
        <f>V$87*'Ethylene recycling rates'!X53</f>
        <v>4.0952892501592579</v>
      </c>
      <c r="W88" s="230">
        <f>W$87*'Ethylene recycling rates'!Y53</f>
        <v>4.287178888988719</v>
      </c>
      <c r="X88" s="230">
        <f>X$87*'Ethylene recycling rates'!Z53</f>
        <v>4.5769302846109099</v>
      </c>
      <c r="Y88" s="230">
        <f>Y$87*'Ethylene recycling rates'!AA53</f>
        <v>4.8704062878301864</v>
      </c>
      <c r="Z88" s="230">
        <f>Z$87*'Ethylene recycling rates'!AB53</f>
        <v>5.1675612874182901</v>
      </c>
      <c r="AA88" s="230">
        <f>AA$87*'Ethylene recycling rates'!AC53</f>
        <v>5.4683475607607051</v>
      </c>
      <c r="AB88" s="230">
        <f>AB$87*'Ethylene recycling rates'!AD53</f>
        <v>5.7727152752602162</v>
      </c>
      <c r="AC88" s="230">
        <f>AC$87*'Ethylene recycling rates'!AE53</f>
        <v>6.0806699786680003</v>
      </c>
      <c r="AD88" s="230">
        <f>AD$87*'Ethylene recycling rates'!AF53</f>
        <v>6.3921665411949853</v>
      </c>
      <c r="AE88" s="230">
        <f>AE$87*'Ethylene recycling rates'!AG53</f>
        <v>6.7071579474119503</v>
      </c>
      <c r="AF88" s="230">
        <f>AF$87*'Ethylene recycling rates'!AH53</f>
        <v>7.0255952985870325</v>
      </c>
      <c r="AG88" s="230">
        <f>AG$87*'Ethylene recycling rates'!AI53</f>
        <v>7.3474278161521234</v>
      </c>
      <c r="AH88" s="245">
        <f>AG88-C88</f>
        <v>5.9018484263370592</v>
      </c>
      <c r="AI88" s="133"/>
      <c r="AJ88" s="211"/>
      <c r="AL88" s="108"/>
      <c r="AM88" s="2"/>
      <c r="AN88" s="2"/>
      <c r="AO88" s="2"/>
      <c r="BC88" s="1"/>
      <c r="BD88" s="2"/>
      <c r="BE88" s="2"/>
      <c r="BF88" s="2"/>
      <c r="BG88" s="2"/>
      <c r="BH88" s="2"/>
      <c r="BI88" s="2"/>
      <c r="BJ88" s="2"/>
      <c r="BK88" s="2"/>
    </row>
    <row r="89" spans="1:63" outlineLevel="1">
      <c r="A89" s="4" t="s">
        <v>478</v>
      </c>
      <c r="C89" s="230">
        <f>C$87*'Ethylene recycling rates'!E54</f>
        <v>0</v>
      </c>
      <c r="D89" s="230">
        <f>D$87*'Ethylene recycling rates'!F54</f>
        <v>0</v>
      </c>
      <c r="E89" s="230">
        <f>E$87*'Ethylene recycling rates'!G54</f>
        <v>0</v>
      </c>
      <c r="F89" s="230">
        <f>F$87*'Ethylene recycling rates'!H54</f>
        <v>0</v>
      </c>
      <c r="G89" s="230">
        <f>G$87*'Ethylene recycling rates'!I54</f>
        <v>0</v>
      </c>
      <c r="H89" s="230">
        <f>H$87*'Ethylene recycling rates'!J54</f>
        <v>0</v>
      </c>
      <c r="I89" s="230">
        <f>I$87*'Ethylene recycling rates'!K54</f>
        <v>0</v>
      </c>
      <c r="J89" s="230">
        <f>J$87*'Ethylene recycling rates'!L54</f>
        <v>0</v>
      </c>
      <c r="K89" s="230">
        <f>K$87*'Ethylene recycling rates'!M54</f>
        <v>0</v>
      </c>
      <c r="L89" s="230">
        <f>L$87*'Ethylene recycling rates'!N54</f>
        <v>0</v>
      </c>
      <c r="M89" s="230">
        <f>M$87*'Ethylene recycling rates'!O54</f>
        <v>0</v>
      </c>
      <c r="N89" s="230">
        <f>N$87*'Ethylene recycling rates'!P54</f>
        <v>0</v>
      </c>
      <c r="O89" s="230">
        <f>O$87*'Ethylene recycling rates'!Q54</f>
        <v>0</v>
      </c>
      <c r="P89" s="230">
        <f>P$87*'Ethylene recycling rates'!R54</f>
        <v>0</v>
      </c>
      <c r="Q89" s="230">
        <f>Q$87*'Ethylene recycling rates'!S54</f>
        <v>0</v>
      </c>
      <c r="R89" s="230">
        <f>R$87*'Ethylene recycling rates'!T54</f>
        <v>0</v>
      </c>
      <c r="S89" s="230">
        <f>S$87*'Ethylene recycling rates'!U54</f>
        <v>0</v>
      </c>
      <c r="T89" s="230">
        <f>T$87*'Ethylene recycling rates'!V54</f>
        <v>0</v>
      </c>
      <c r="U89" s="230">
        <f>U$87*'Ethylene recycling rates'!W54</f>
        <v>0</v>
      </c>
      <c r="V89" s="230">
        <f>V$87*'Ethylene recycling rates'!X54</f>
        <v>0</v>
      </c>
      <c r="W89" s="230">
        <f>W$87*'Ethylene recycling rates'!Y54</f>
        <v>0</v>
      </c>
      <c r="X89" s="230">
        <f>X$87*'Ethylene recycling rates'!Z54</f>
        <v>0</v>
      </c>
      <c r="Y89" s="230">
        <f>Y$87*'Ethylene recycling rates'!AA54</f>
        <v>0</v>
      </c>
      <c r="Z89" s="230">
        <f>Z$87*'Ethylene recycling rates'!AB54</f>
        <v>0</v>
      </c>
      <c r="AA89" s="230">
        <f>AA$87*'Ethylene recycling rates'!AC54</f>
        <v>0</v>
      </c>
      <c r="AB89" s="230">
        <f>AB$87*'Ethylene recycling rates'!AD54</f>
        <v>0</v>
      </c>
      <c r="AC89" s="230">
        <f>AC$87*'Ethylene recycling rates'!AE54</f>
        <v>0</v>
      </c>
      <c r="AD89" s="230">
        <f>AD$87*'Ethylene recycling rates'!AF54</f>
        <v>0</v>
      </c>
      <c r="AE89" s="230">
        <f>AE$87*'Ethylene recycling rates'!AG54</f>
        <v>0</v>
      </c>
      <c r="AF89" s="230">
        <f>AF$87*'Ethylene recycling rates'!AH54</f>
        <v>0</v>
      </c>
      <c r="AG89" s="230">
        <f>AG$87*'Ethylene recycling rates'!AI54</f>
        <v>0</v>
      </c>
      <c r="AH89" s="245">
        <f t="shared" ref="AH89:AH92" si="79">AG89-C89</f>
        <v>0</v>
      </c>
      <c r="AI89" s="133"/>
      <c r="AJ89" s="211"/>
      <c r="AL89" s="108"/>
      <c r="AM89" s="2"/>
      <c r="AN89" s="2"/>
      <c r="AO89" s="2"/>
      <c r="BC89" s="1"/>
      <c r="BD89" s="2"/>
      <c r="BE89" s="2"/>
      <c r="BF89" s="2"/>
      <c r="BG89" s="2"/>
      <c r="BH89" s="2"/>
      <c r="BI89" s="2"/>
      <c r="BJ89" s="2"/>
      <c r="BK89" s="2"/>
    </row>
    <row r="90" spans="1:63" outlineLevel="1">
      <c r="A90" s="4" t="s">
        <v>480</v>
      </c>
      <c r="C90" s="230">
        <f>C$87*'Ethylene recycling rates'!E55</f>
        <v>0</v>
      </c>
      <c r="D90" s="230">
        <f>D$87*'Ethylene recycling rates'!F55</f>
        <v>0</v>
      </c>
      <c r="E90" s="230">
        <f>E$87*'Ethylene recycling rates'!G55</f>
        <v>0</v>
      </c>
      <c r="F90" s="230">
        <f>F$87*'Ethylene recycling rates'!H55</f>
        <v>0</v>
      </c>
      <c r="G90" s="230">
        <f>G$87*'Ethylene recycling rates'!I55</f>
        <v>0</v>
      </c>
      <c r="H90" s="230">
        <f>H$87*'Ethylene recycling rates'!J55</f>
        <v>0</v>
      </c>
      <c r="I90" s="230">
        <f>I$87*'Ethylene recycling rates'!K55</f>
        <v>0</v>
      </c>
      <c r="J90" s="230">
        <f>J$87*'Ethylene recycling rates'!L55</f>
        <v>0</v>
      </c>
      <c r="K90" s="230">
        <f>K$87*'Ethylene recycling rates'!M55</f>
        <v>0</v>
      </c>
      <c r="L90" s="230">
        <f>L$87*'Ethylene recycling rates'!N55</f>
        <v>0</v>
      </c>
      <c r="M90" s="230">
        <f>M$87*'Ethylene recycling rates'!O55</f>
        <v>0</v>
      </c>
      <c r="N90" s="230">
        <f>N$87*'Ethylene recycling rates'!P55</f>
        <v>0</v>
      </c>
      <c r="O90" s="230">
        <f>O$87*'Ethylene recycling rates'!Q55</f>
        <v>0</v>
      </c>
      <c r="P90" s="230">
        <f>P$87*'Ethylene recycling rates'!R55</f>
        <v>0</v>
      </c>
      <c r="Q90" s="230">
        <f>Q$87*'Ethylene recycling rates'!S55</f>
        <v>0</v>
      </c>
      <c r="R90" s="230">
        <f>R$87*'Ethylene recycling rates'!T55</f>
        <v>0</v>
      </c>
      <c r="S90" s="230">
        <f>S$87*'Ethylene recycling rates'!U55</f>
        <v>0</v>
      </c>
      <c r="T90" s="230">
        <f>T$87*'Ethylene recycling rates'!V55</f>
        <v>0</v>
      </c>
      <c r="U90" s="230">
        <f>U$87*'Ethylene recycling rates'!W55</f>
        <v>0</v>
      </c>
      <c r="V90" s="230">
        <f>V$87*'Ethylene recycling rates'!X55</f>
        <v>0</v>
      </c>
      <c r="W90" s="230">
        <f>W$87*'Ethylene recycling rates'!Y55</f>
        <v>0</v>
      </c>
      <c r="X90" s="230">
        <f>X$87*'Ethylene recycling rates'!Z55</f>
        <v>0</v>
      </c>
      <c r="Y90" s="230">
        <f>Y$87*'Ethylene recycling rates'!AA55</f>
        <v>0</v>
      </c>
      <c r="Z90" s="230">
        <f>Z$87*'Ethylene recycling rates'!AB55</f>
        <v>0</v>
      </c>
      <c r="AA90" s="230">
        <f>AA$87*'Ethylene recycling rates'!AC55</f>
        <v>0</v>
      </c>
      <c r="AB90" s="230">
        <f>AB$87*'Ethylene recycling rates'!AD55</f>
        <v>0</v>
      </c>
      <c r="AC90" s="230">
        <f>AC$87*'Ethylene recycling rates'!AE55</f>
        <v>0</v>
      </c>
      <c r="AD90" s="230">
        <f>AD$87*'Ethylene recycling rates'!AF55</f>
        <v>0</v>
      </c>
      <c r="AE90" s="230">
        <f>AE$87*'Ethylene recycling rates'!AG55</f>
        <v>0</v>
      </c>
      <c r="AF90" s="230">
        <f>AF$87*'Ethylene recycling rates'!AH55</f>
        <v>0</v>
      </c>
      <c r="AG90" s="230">
        <f>AG$87*'Ethylene recycling rates'!AI55</f>
        <v>0</v>
      </c>
      <c r="AH90" s="245">
        <f t="shared" si="79"/>
        <v>0</v>
      </c>
      <c r="AI90" s="133"/>
      <c r="AJ90" s="211"/>
      <c r="AL90" s="108"/>
      <c r="AM90" s="2"/>
      <c r="AN90" s="2"/>
      <c r="AO90" s="2"/>
      <c r="BC90" s="1"/>
      <c r="BD90" s="2"/>
      <c r="BE90" s="2"/>
      <c r="BF90" s="2"/>
      <c r="BG90" s="2"/>
      <c r="BH90" s="2"/>
      <c r="BI90" s="2"/>
      <c r="BJ90" s="2"/>
      <c r="BK90" s="2"/>
    </row>
    <row r="91" spans="1:63" outlineLevel="1">
      <c r="A91" s="4" t="s">
        <v>474</v>
      </c>
      <c r="C91" s="230">
        <f>C$87*'Ethylene recycling rates'!E56</f>
        <v>0</v>
      </c>
      <c r="D91" s="230">
        <f>D$87*'Ethylene recycling rates'!F56</f>
        <v>0</v>
      </c>
      <c r="E91" s="230">
        <f>E$87*'Ethylene recycling rates'!G56</f>
        <v>0</v>
      </c>
      <c r="F91" s="230">
        <f>F$87*'Ethylene recycling rates'!H56</f>
        <v>0</v>
      </c>
      <c r="G91" s="230">
        <f>G$87*'Ethylene recycling rates'!I56</f>
        <v>0</v>
      </c>
      <c r="H91" s="230">
        <f>H$87*'Ethylene recycling rates'!J56</f>
        <v>0</v>
      </c>
      <c r="I91" s="230">
        <f>I$87*'Ethylene recycling rates'!K56</f>
        <v>0</v>
      </c>
      <c r="J91" s="230">
        <f>J$87*'Ethylene recycling rates'!L56</f>
        <v>0</v>
      </c>
      <c r="K91" s="230">
        <f>K$87*'Ethylene recycling rates'!M56</f>
        <v>0</v>
      </c>
      <c r="L91" s="230">
        <f>L$87*'Ethylene recycling rates'!N56</f>
        <v>0</v>
      </c>
      <c r="M91" s="230">
        <f>M$87*'Ethylene recycling rates'!O56</f>
        <v>0</v>
      </c>
      <c r="N91" s="230">
        <f>N$87*'Ethylene recycling rates'!P56</f>
        <v>0</v>
      </c>
      <c r="O91" s="230">
        <f>O$87*'Ethylene recycling rates'!Q56</f>
        <v>0</v>
      </c>
      <c r="P91" s="230">
        <f>P$87*'Ethylene recycling rates'!R56</f>
        <v>0</v>
      </c>
      <c r="Q91" s="230">
        <f>Q$87*'Ethylene recycling rates'!S56</f>
        <v>0</v>
      </c>
      <c r="R91" s="230">
        <f>R$87*'Ethylene recycling rates'!T56</f>
        <v>0</v>
      </c>
      <c r="S91" s="230">
        <f>S$87*'Ethylene recycling rates'!U56</f>
        <v>0</v>
      </c>
      <c r="T91" s="230">
        <f>T$87*'Ethylene recycling rates'!V56</f>
        <v>0</v>
      </c>
      <c r="U91" s="230">
        <f>U$87*'Ethylene recycling rates'!W56</f>
        <v>0</v>
      </c>
      <c r="V91" s="230">
        <f>V$87*'Ethylene recycling rates'!X56</f>
        <v>0</v>
      </c>
      <c r="W91" s="230">
        <f>W$87*'Ethylene recycling rates'!Y56</f>
        <v>0</v>
      </c>
      <c r="X91" s="230">
        <f>X$87*'Ethylene recycling rates'!Z56</f>
        <v>0</v>
      </c>
      <c r="Y91" s="230">
        <f>Y$87*'Ethylene recycling rates'!AA56</f>
        <v>0</v>
      </c>
      <c r="Z91" s="230">
        <f>Z$87*'Ethylene recycling rates'!AB56</f>
        <v>0</v>
      </c>
      <c r="AA91" s="230">
        <f>AA$87*'Ethylene recycling rates'!AC56</f>
        <v>0</v>
      </c>
      <c r="AB91" s="230">
        <f>AB$87*'Ethylene recycling rates'!AD56</f>
        <v>0</v>
      </c>
      <c r="AC91" s="230">
        <f>AC$87*'Ethylene recycling rates'!AE56</f>
        <v>0</v>
      </c>
      <c r="AD91" s="230">
        <f>AD$87*'Ethylene recycling rates'!AF56</f>
        <v>0</v>
      </c>
      <c r="AE91" s="230">
        <f>AE$87*'Ethylene recycling rates'!AG56</f>
        <v>0</v>
      </c>
      <c r="AF91" s="230">
        <f>AF$87*'Ethylene recycling rates'!AH56</f>
        <v>0</v>
      </c>
      <c r="AG91" s="230">
        <f>AG$87*'Ethylene recycling rates'!AI56</f>
        <v>0</v>
      </c>
      <c r="AH91" s="245">
        <f t="shared" si="79"/>
        <v>0</v>
      </c>
      <c r="AI91" s="133"/>
      <c r="AJ91" s="211"/>
      <c r="AL91" s="108"/>
      <c r="AM91" s="2"/>
      <c r="AN91" s="2"/>
      <c r="AO91" s="2"/>
      <c r="BC91" s="1"/>
      <c r="BD91" s="2"/>
      <c r="BE91" s="2"/>
      <c r="BF91" s="2"/>
      <c r="BG91" s="2"/>
      <c r="BH91" s="2"/>
      <c r="BI91" s="2"/>
      <c r="BJ91" s="2"/>
      <c r="BK91" s="2"/>
    </row>
    <row r="92" spans="1:63" outlineLevel="1">
      <c r="A92" s="4" t="s">
        <v>248</v>
      </c>
      <c r="C92" s="230">
        <f>C$87*'Ethylene recycling rates'!E57</f>
        <v>0</v>
      </c>
      <c r="D92" s="230">
        <f>D$87*'Ethylene recycling rates'!F57</f>
        <v>0</v>
      </c>
      <c r="E92" s="230">
        <f>E$87*'Ethylene recycling rates'!G57</f>
        <v>0</v>
      </c>
      <c r="F92" s="230">
        <f>F$87*'Ethylene recycling rates'!H57</f>
        <v>0</v>
      </c>
      <c r="G92" s="230">
        <f>G$87*'Ethylene recycling rates'!I57</f>
        <v>0</v>
      </c>
      <c r="H92" s="230">
        <f>H$87*'Ethylene recycling rates'!J57</f>
        <v>0</v>
      </c>
      <c r="I92" s="230">
        <f>I$87*'Ethylene recycling rates'!K57</f>
        <v>0</v>
      </c>
      <c r="J92" s="230">
        <f>J$87*'Ethylene recycling rates'!L57</f>
        <v>0</v>
      </c>
      <c r="K92" s="230">
        <f>K$87*'Ethylene recycling rates'!M57</f>
        <v>0</v>
      </c>
      <c r="L92" s="230">
        <f>L$87*'Ethylene recycling rates'!N57</f>
        <v>0</v>
      </c>
      <c r="M92" s="230">
        <f>M$87*'Ethylene recycling rates'!O57</f>
        <v>0</v>
      </c>
      <c r="N92" s="230">
        <f>N$87*'Ethylene recycling rates'!P57</f>
        <v>0</v>
      </c>
      <c r="O92" s="230">
        <f>O$87*'Ethylene recycling rates'!Q57</f>
        <v>0</v>
      </c>
      <c r="P92" s="230">
        <f>P$87*'Ethylene recycling rates'!R57</f>
        <v>0</v>
      </c>
      <c r="Q92" s="230">
        <f>Q$87*'Ethylene recycling rates'!S57</f>
        <v>0</v>
      </c>
      <c r="R92" s="230">
        <f>R$87*'Ethylene recycling rates'!T57</f>
        <v>0</v>
      </c>
      <c r="S92" s="230">
        <f>S$87*'Ethylene recycling rates'!U57</f>
        <v>0</v>
      </c>
      <c r="T92" s="230">
        <f>T$87*'Ethylene recycling rates'!V57</f>
        <v>0</v>
      </c>
      <c r="U92" s="230">
        <f>U$87*'Ethylene recycling rates'!W57</f>
        <v>0</v>
      </c>
      <c r="V92" s="230">
        <f>V$87*'Ethylene recycling rates'!X57</f>
        <v>0</v>
      </c>
      <c r="W92" s="230">
        <f>W$87*'Ethylene recycling rates'!Y57</f>
        <v>0</v>
      </c>
      <c r="X92" s="230">
        <f>X$87*'Ethylene recycling rates'!Z57</f>
        <v>0</v>
      </c>
      <c r="Y92" s="230">
        <f>Y$87*'Ethylene recycling rates'!AA57</f>
        <v>0</v>
      </c>
      <c r="Z92" s="230">
        <f>Z$87*'Ethylene recycling rates'!AB57</f>
        <v>0</v>
      </c>
      <c r="AA92" s="230">
        <f>AA$87*'Ethylene recycling rates'!AC57</f>
        <v>0</v>
      </c>
      <c r="AB92" s="230">
        <f>AB$87*'Ethylene recycling rates'!AD57</f>
        <v>0</v>
      </c>
      <c r="AC92" s="230">
        <f>AC$87*'Ethylene recycling rates'!AE57</f>
        <v>0</v>
      </c>
      <c r="AD92" s="230">
        <f>AD$87*'Ethylene recycling rates'!AF57</f>
        <v>0</v>
      </c>
      <c r="AE92" s="230">
        <f>AE$87*'Ethylene recycling rates'!AG57</f>
        <v>0</v>
      </c>
      <c r="AF92" s="230">
        <f>AF$87*'Ethylene recycling rates'!AH57</f>
        <v>0</v>
      </c>
      <c r="AG92" s="230">
        <f>AG$87*'Ethylene recycling rates'!AI57</f>
        <v>0</v>
      </c>
      <c r="AH92" s="245">
        <f t="shared" si="79"/>
        <v>0</v>
      </c>
      <c r="AI92" s="133"/>
      <c r="AJ92" s="211"/>
      <c r="AL92" s="108"/>
      <c r="AM92" s="2"/>
      <c r="AN92" s="2"/>
      <c r="AO92" s="2"/>
      <c r="BC92" s="1"/>
      <c r="BD92" s="2"/>
      <c r="BE92" s="2"/>
      <c r="BF92" s="2"/>
      <c r="BG92" s="2"/>
      <c r="BH92" s="2"/>
      <c r="BI92" s="2"/>
      <c r="BJ92" s="2"/>
      <c r="BK92" s="2"/>
    </row>
    <row r="93" spans="1:63" s="1" customFormat="1" outlineLevel="1">
      <c r="A93" s="1" t="s">
        <v>1328</v>
      </c>
      <c r="B93" s="65"/>
      <c r="C93" s="300">
        <f>C73*C45</f>
        <v>6.6928339575582632</v>
      </c>
      <c r="D93" s="300">
        <f t="shared" ref="D93:AG93" si="80">D73*D45</f>
        <v>7.1654962924406895</v>
      </c>
      <c r="E93" s="300">
        <f t="shared" si="80"/>
        <v>7.6427352045400223</v>
      </c>
      <c r="F93" s="300">
        <f t="shared" si="80"/>
        <v>8.1217524915349486</v>
      </c>
      <c r="G93" s="300">
        <f t="shared" si="80"/>
        <v>8.5996004362802854</v>
      </c>
      <c r="H93" s="300">
        <f t="shared" si="80"/>
        <v>9.0732110742006125</v>
      </c>
      <c r="I93" s="300">
        <f t="shared" si="80"/>
        <v>9.5600092983854079</v>
      </c>
      <c r="J93" s="300">
        <f t="shared" si="80"/>
        <v>10.059850559551908</v>
      </c>
      <c r="K93" s="300">
        <f t="shared" si="80"/>
        <v>10.572561692136667</v>
      </c>
      <c r="L93" s="300">
        <f t="shared" si="80"/>
        <v>11.097940389239334</v>
      </c>
      <c r="M93" s="300">
        <f t="shared" si="80"/>
        <v>11.635754743916811</v>
      </c>
      <c r="N93" s="300">
        <f t="shared" si="80"/>
        <v>12.566812737128876</v>
      </c>
      <c r="O93" s="300">
        <f t="shared" si="80"/>
        <v>13.503920673692935</v>
      </c>
      <c r="P93" s="300">
        <f t="shared" si="80"/>
        <v>14.442370199832762</v>
      </c>
      <c r="Q93" s="300">
        <f t="shared" si="80"/>
        <v>15.377288501050693</v>
      </c>
      <c r="R93" s="300">
        <f t="shared" si="80"/>
        <v>16.303679128269064</v>
      </c>
      <c r="S93" s="300">
        <f t="shared" si="80"/>
        <v>17.247483780619682</v>
      </c>
      <c r="T93" s="300">
        <f t="shared" si="80"/>
        <v>18.208670686428583</v>
      </c>
      <c r="U93" s="300">
        <f t="shared" si="80"/>
        <v>19.187198850413971</v>
      </c>
      <c r="V93" s="300">
        <f t="shared" si="80"/>
        <v>20.18301793434399</v>
      </c>
      <c r="W93" s="300">
        <f t="shared" si="80"/>
        <v>21.1960681429054</v>
      </c>
      <c r="X93" s="300">
        <f t="shared" si="80"/>
        <v>22.700519223612623</v>
      </c>
      <c r="Y93" s="300">
        <f t="shared" si="80"/>
        <v>24.232605915678686</v>
      </c>
      <c r="Z93" s="300">
        <f t="shared" si="80"/>
        <v>25.792276103937539</v>
      </c>
      <c r="AA93" s="300">
        <f t="shared" si="80"/>
        <v>27.379464235542645</v>
      </c>
      <c r="AB93" s="300">
        <f t="shared" si="80"/>
        <v>28.994091161168729</v>
      </c>
      <c r="AC93" s="300">
        <f t="shared" si="80"/>
        <v>30.636353623887754</v>
      </c>
      <c r="AD93" s="300">
        <f t="shared" si="80"/>
        <v>32.306192589650742</v>
      </c>
      <c r="AE93" s="300">
        <f t="shared" si="80"/>
        <v>34.003536628777027</v>
      </c>
      <c r="AF93" s="300">
        <f t="shared" si="80"/>
        <v>35.728301779725953</v>
      </c>
      <c r="AG93" s="300">
        <f t="shared" si="80"/>
        <v>37.480391418847439</v>
      </c>
      <c r="AH93" s="422"/>
      <c r="AI93" s="423"/>
      <c r="AJ93" s="424"/>
      <c r="AL93" s="221"/>
      <c r="AM93" s="124"/>
      <c r="AN93" s="124"/>
      <c r="AO93" s="124"/>
      <c r="BD93" s="124"/>
      <c r="BE93" s="124"/>
      <c r="BF93" s="124"/>
      <c r="BG93" s="124"/>
      <c r="BH93" s="124"/>
      <c r="BI93" s="124"/>
      <c r="BJ93" s="124"/>
      <c r="BK93" s="124"/>
    </row>
    <row r="94" spans="1:63" outlineLevel="1">
      <c r="A94" s="4" t="s">
        <v>258</v>
      </c>
      <c r="C94" s="230">
        <f>C$93*'Ethylene recycling rates'!E58</f>
        <v>6.6928339575582632</v>
      </c>
      <c r="D94" s="230">
        <f>D$93*'Ethylene recycling rates'!F58</f>
        <v>7.0818988356955481</v>
      </c>
      <c r="E94" s="230">
        <f>E$93*'Ethylene recycling rates'!G58</f>
        <v>7.4644047164340881</v>
      </c>
      <c r="F94" s="230">
        <f>F$93*'Ethylene recycling rates'!H58</f>
        <v>7.8374911543312242</v>
      </c>
      <c r="G94" s="230">
        <f>G$93*'Ethylene recycling rates'!I58</f>
        <v>8.1982857492538699</v>
      </c>
      <c r="H94" s="230">
        <f>H$93*'Ethylene recycling rates'!J58</f>
        <v>8.5439404282055751</v>
      </c>
      <c r="I94" s="230">
        <f>I$93*'Ethylene recycling rates'!K58</f>
        <v>8.8908086474984263</v>
      </c>
      <c r="J94" s="230">
        <f>J$93*'Ethylene recycling rates'!L58</f>
        <v>9.2382960971884991</v>
      </c>
      <c r="K94" s="230">
        <f>K$93*'Ethylene recycling rates'!M58</f>
        <v>9.5857892675372405</v>
      </c>
      <c r="L94" s="230">
        <f>L$93*'Ethylene recycling rates'!N58</f>
        <v>9.932656648369198</v>
      </c>
      <c r="M94" s="230">
        <f>M$93*'Ethylene recycling rates'!O58</f>
        <v>10.278250023793177</v>
      </c>
      <c r="N94" s="230">
        <f>N$93*'Ethylene recycling rates'!P58</f>
        <v>10.954071769197331</v>
      </c>
      <c r="O94" s="230">
        <f>O$93*'Ethylene recycling rates'!Q58</f>
        <v>11.613371779375916</v>
      </c>
      <c r="P94" s="230">
        <f>P$93*'Ethylene recycling rates'!R58</f>
        <v>12.251944052858118</v>
      </c>
      <c r="Q94" s="230">
        <f>Q$93*'Ethylene recycling rates'!S58</f>
        <v>12.865664712545735</v>
      </c>
      <c r="R94" s="230">
        <f>R$93*'Ethylene recycling rates'!T58</f>
        <v>13.450535280821965</v>
      </c>
      <c r="S94" s="230">
        <f>S$93*'Ethylene recycling rates'!U58</f>
        <v>14.027953474903995</v>
      </c>
      <c r="T94" s="230">
        <f>T$93*'Ethylene recycling rates'!V58</f>
        <v>14.597284333620232</v>
      </c>
      <c r="U94" s="230">
        <f>U$93*'Ethylene recycling rates'!W58</f>
        <v>15.157887091827021</v>
      </c>
      <c r="V94" s="230">
        <f>V$93*'Ethylene recycling rates'!X58</f>
        <v>15.709115625564387</v>
      </c>
      <c r="W94" s="230">
        <f>W$93*'Ethylene recycling rates'!Y58</f>
        <v>16.250318909560786</v>
      </c>
      <c r="X94" s="230">
        <f>X$93*'Ethylene recycling rates'!Z58</f>
        <v>17.138892013827508</v>
      </c>
      <c r="Y94" s="230">
        <f>Y$93*'Ethylene recycling rates'!AA58</f>
        <v>18.012903730654465</v>
      </c>
      <c r="Z94" s="230">
        <f>Z$93*'Ethylene recycling rates'!AB58</f>
        <v>18.87134868271427</v>
      </c>
      <c r="AA94" s="230">
        <f>AA$93*'Ethylene recycling rates'!AC58</f>
        <v>19.713214249590674</v>
      </c>
      <c r="AB94" s="230">
        <f>AB$93*'Ethylene recycling rates'!AD58</f>
        <v>20.537481239161149</v>
      </c>
      <c r="AC94" s="230">
        <f>AC$93*'Ethylene recycling rates'!AE58</f>
        <v>21.343326357975098</v>
      </c>
      <c r="AD94" s="230">
        <f>AD$93*'Ethylene recycling rates'!AF58</f>
        <v>22.129741923910718</v>
      </c>
      <c r="AE94" s="230">
        <f>AE$93*'Ethylene recycling rates'!AG58</f>
        <v>22.895714663376488</v>
      </c>
      <c r="AF94" s="230">
        <f>AF$93*'Ethylene recycling rates'!AH58</f>
        <v>23.640226344251957</v>
      </c>
      <c r="AG94" s="230">
        <f>AG$93*'Ethylene recycling rates'!AI58</f>
        <v>24.362254422250835</v>
      </c>
      <c r="AH94" s="245"/>
      <c r="AI94" s="133"/>
      <c r="AJ94" s="211"/>
      <c r="AL94" s="108"/>
      <c r="AM94" s="2"/>
      <c r="AN94" s="2"/>
      <c r="AO94" s="2"/>
      <c r="BC94" s="1"/>
      <c r="BD94" s="2"/>
      <c r="BE94" s="2"/>
      <c r="BF94" s="2"/>
      <c r="BG94" s="2"/>
      <c r="BH94" s="2"/>
      <c r="BI94" s="2"/>
      <c r="BJ94" s="2"/>
      <c r="BK94" s="2"/>
    </row>
    <row r="95" spans="1:63" outlineLevel="1">
      <c r="A95" s="4" t="s">
        <v>478</v>
      </c>
      <c r="C95" s="230">
        <f>C$93*'Ethylene recycling rates'!E59</f>
        <v>0</v>
      </c>
      <c r="D95" s="230">
        <f>D$93*'Ethylene recycling rates'!F59</f>
        <v>2.3884987641468968E-2</v>
      </c>
      <c r="E95" s="230">
        <f>E$93*'Ethylene recycling rates'!G59</f>
        <v>5.0951568030266819E-2</v>
      </c>
      <c r="F95" s="230">
        <f>F$93*'Ethylene recycling rates'!H59</f>
        <v>8.121752491534949E-2</v>
      </c>
      <c r="G95" s="230">
        <f>G$93*'Ethylene recycling rates'!I59</f>
        <v>0.11466133915040382</v>
      </c>
      <c r="H95" s="230">
        <f>H$93*'Ethylene recycling rates'!J59</f>
        <v>0.15122018457001021</v>
      </c>
      <c r="I95" s="230">
        <f>I$93*'Ethylene recycling rates'!K59</f>
        <v>0.19120018596770816</v>
      </c>
      <c r="J95" s="230">
        <f>J$93*'Ethylene recycling rates'!L59</f>
        <v>0.23472984638954453</v>
      </c>
      <c r="K95" s="230">
        <f>K$93*'Ethylene recycling rates'!M59</f>
        <v>0.28193497845697779</v>
      </c>
      <c r="L95" s="230">
        <f>L$93*'Ethylene recycling rates'!N59</f>
        <v>0.33293821167718002</v>
      </c>
      <c r="M95" s="230">
        <f>M$93*'Ethylene recycling rates'!O59</f>
        <v>0.38785849146389373</v>
      </c>
      <c r="N95" s="230">
        <f>N$93*'Ethylene recycling rates'!P59</f>
        <v>0.46078313369472546</v>
      </c>
      <c r="O95" s="230">
        <f>O$93*'Ethylene recycling rates'!Q59</f>
        <v>0.54015682694771738</v>
      </c>
      <c r="P95" s="230">
        <f>P$93*'Ethylene recycling rates'!R59</f>
        <v>0.625836041992753</v>
      </c>
      <c r="Q95" s="230">
        <f>Q$93*'Ethylene recycling rates'!S59</f>
        <v>0.71760679671569905</v>
      </c>
      <c r="R95" s="230">
        <f>R$93*'Ethylene recycling rates'!T59</f>
        <v>0.8151839564134532</v>
      </c>
      <c r="S95" s="230">
        <f>S$93*'Ethylene recycling rates'!U59</f>
        <v>0.91986580163304976</v>
      </c>
      <c r="T95" s="230">
        <f>T$93*'Ethylene recycling rates'!V59</f>
        <v>1.0318246722309532</v>
      </c>
      <c r="U95" s="230">
        <f>U$93*'Ethylene recycling rates'!W59</f>
        <v>1.1512319310248382</v>
      </c>
      <c r="V95" s="230">
        <f>V$93*'Ethylene recycling rates'!X59</f>
        <v>1.2782578025084528</v>
      </c>
      <c r="W95" s="230">
        <f>W$93*'Ethylene recycling rates'!Y59</f>
        <v>1.4130712095270266</v>
      </c>
      <c r="X95" s="230">
        <f>X$93*'Ethylene recycling rates'!Z59</f>
        <v>1.5890363456528835</v>
      </c>
      <c r="Y95" s="230">
        <f>Y$93*'Ethylene recycling rates'!AA59</f>
        <v>1.77705776714977</v>
      </c>
      <c r="Z95" s="230">
        <f>Z$93*'Ethylene recycling rates'!AB59</f>
        <v>1.9774078346352109</v>
      </c>
      <c r="AA95" s="230">
        <f>AA$93*'Ethylene recycling rates'!AC59</f>
        <v>2.1903571388434111</v>
      </c>
      <c r="AB95" s="230">
        <f>AB$93*'Ethylene recycling rates'!AD59</f>
        <v>2.4161742634307264</v>
      </c>
      <c r="AC95" s="230">
        <f>AC$93*'Ethylene recycling rates'!AE59</f>
        <v>2.655150647403604</v>
      </c>
      <c r="AD95" s="230">
        <f>AD$93*'Ethylene recycling rates'!AF59</f>
        <v>2.9075573330685653</v>
      </c>
      <c r="AE95" s="230">
        <f>AE$93*'Ethylene recycling rates'!AG59</f>
        <v>3.1736634186858543</v>
      </c>
      <c r="AF95" s="230">
        <f>AF$93*'Ethylene recycling rates'!AH59</f>
        <v>3.45373583870684</v>
      </c>
      <c r="AG95" s="230">
        <f>AG$93*'Ethylene recycling rates'!AI59</f>
        <v>3.7480391418847443</v>
      </c>
      <c r="AH95" s="245"/>
      <c r="AI95" s="133"/>
      <c r="AJ95" s="211"/>
      <c r="AL95" s="108"/>
      <c r="AM95" s="2"/>
      <c r="AN95" s="2"/>
      <c r="AO95" s="2"/>
      <c r="BC95" s="1"/>
      <c r="BD95" s="2"/>
      <c r="BE95" s="2"/>
      <c r="BF95" s="2"/>
      <c r="BG95" s="2"/>
      <c r="BH95" s="2"/>
      <c r="BI95" s="2"/>
      <c r="BJ95" s="2"/>
      <c r="BK95" s="2"/>
    </row>
    <row r="96" spans="1:63" outlineLevel="1">
      <c r="A96" s="4" t="s">
        <v>480</v>
      </c>
      <c r="C96" s="230">
        <f>C$93*'Ethylene recycling rates'!E60</f>
        <v>0</v>
      </c>
      <c r="D96" s="230">
        <f>D$93*'Ethylene recycling rates'!F60</f>
        <v>3.582748146220345E-2</v>
      </c>
      <c r="E96" s="230">
        <f>E$93*'Ethylene recycling rates'!G60</f>
        <v>7.6427352045400229E-2</v>
      </c>
      <c r="F96" s="230">
        <f>F$93*'Ethylene recycling rates'!H60</f>
        <v>0.12182628737302423</v>
      </c>
      <c r="G96" s="230">
        <f>G$93*'Ethylene recycling rates'!I60</f>
        <v>0.17199200872560572</v>
      </c>
      <c r="H96" s="230">
        <f>H$93*'Ethylene recycling rates'!J60</f>
        <v>0.22683027685501533</v>
      </c>
      <c r="I96" s="230">
        <f>I$93*'Ethylene recycling rates'!K60</f>
        <v>0.28680027895156224</v>
      </c>
      <c r="J96" s="230">
        <f>J$93*'Ethylene recycling rates'!L60</f>
        <v>0.35209476958431679</v>
      </c>
      <c r="K96" s="230">
        <f>K$93*'Ethylene recycling rates'!M60</f>
        <v>0.42290246768546669</v>
      </c>
      <c r="L96" s="230">
        <f>L$93*'Ethylene recycling rates'!N60</f>
        <v>0.49940731751577</v>
      </c>
      <c r="M96" s="230">
        <f>M$93*'Ethylene recycling rates'!O60</f>
        <v>0.58178773719584054</v>
      </c>
      <c r="N96" s="230">
        <f>N$93*'Ethylene recycling rates'!P60</f>
        <v>0.69117470054208807</v>
      </c>
      <c r="O96" s="230">
        <f>O$93*'Ethylene recycling rates'!Q60</f>
        <v>0.81023524042157602</v>
      </c>
      <c r="P96" s="230">
        <f>P$93*'Ethylene recycling rates'!R60</f>
        <v>0.93875406298912933</v>
      </c>
      <c r="Q96" s="230">
        <f>Q$93*'Ethylene recycling rates'!S60</f>
        <v>1.0764101950735483</v>
      </c>
      <c r="R96" s="230">
        <f>R$93*'Ethylene recycling rates'!T60</f>
        <v>1.2227759346201796</v>
      </c>
      <c r="S96" s="230">
        <f>S$93*'Ethylene recycling rates'!U60</f>
        <v>1.3797987024495746</v>
      </c>
      <c r="T96" s="230">
        <f>T$93*'Ethylene recycling rates'!V60</f>
        <v>1.5477370083464297</v>
      </c>
      <c r="U96" s="230">
        <f>U$93*'Ethylene recycling rates'!W60</f>
        <v>1.7268478965372576</v>
      </c>
      <c r="V96" s="230">
        <f>V$93*'Ethylene recycling rates'!X60</f>
        <v>1.9173867037626793</v>
      </c>
      <c r="W96" s="230">
        <f>W$93*'Ethylene recycling rates'!Y60</f>
        <v>2.1196068142905404</v>
      </c>
      <c r="X96" s="230">
        <f>X$93*'Ethylene recycling rates'!Z60</f>
        <v>2.3835545184793259</v>
      </c>
      <c r="Y96" s="230">
        <f>Y$93*'Ethylene recycling rates'!AA60</f>
        <v>2.6655866507246562</v>
      </c>
      <c r="Z96" s="230">
        <f>Z$93*'Ethylene recycling rates'!AB60</f>
        <v>2.966111751952818</v>
      </c>
      <c r="AA96" s="230">
        <f>AA$93*'Ethylene recycling rates'!AC60</f>
        <v>3.2855357082651184</v>
      </c>
      <c r="AB96" s="230">
        <f>AB$93*'Ethylene recycling rates'!AD60</f>
        <v>3.624261395146092</v>
      </c>
      <c r="AC96" s="230">
        <f>AC$93*'Ethylene recycling rates'!AE60</f>
        <v>3.9827259711054088</v>
      </c>
      <c r="AD96" s="230">
        <f>AD$93*'Ethylene recycling rates'!AF60</f>
        <v>4.3613359996028516</v>
      </c>
      <c r="AE96" s="230">
        <f>AE$93*'Ethylene recycling rates'!AG60</f>
        <v>4.7604951280287855</v>
      </c>
      <c r="AF96" s="230">
        <f>AF$93*'Ethylene recycling rates'!AH60</f>
        <v>5.1806037580602649</v>
      </c>
      <c r="AG96" s="230">
        <f>AG$93*'Ethylene recycling rates'!AI60</f>
        <v>5.6220587128271156</v>
      </c>
      <c r="AH96" s="245"/>
      <c r="AI96" s="133"/>
      <c r="AJ96" s="211"/>
      <c r="AL96" s="108"/>
      <c r="AM96" s="2"/>
      <c r="AN96" s="2"/>
      <c r="AO96" s="2"/>
      <c r="BC96" s="1"/>
      <c r="BD96" s="2"/>
      <c r="BE96" s="2"/>
      <c r="BF96" s="2"/>
      <c r="BG96" s="2"/>
      <c r="BH96" s="2"/>
      <c r="BI96" s="2"/>
      <c r="BJ96" s="2"/>
      <c r="BK96" s="2"/>
    </row>
    <row r="97" spans="1:63" outlineLevel="1">
      <c r="A97" s="4" t="s">
        <v>474</v>
      </c>
      <c r="C97" s="230">
        <f>C$93*'Ethylene recycling rates'!E61</f>
        <v>0</v>
      </c>
      <c r="D97" s="230">
        <f>D$93*'Ethylene recycling rates'!F61</f>
        <v>1.1942493820734484E-2</v>
      </c>
      <c r="E97" s="230">
        <f>E$93*'Ethylene recycling rates'!G61</f>
        <v>2.547578401513341E-2</v>
      </c>
      <c r="F97" s="230">
        <f>F$93*'Ethylene recycling rates'!H61</f>
        <v>4.0608762457674745E-2</v>
      </c>
      <c r="G97" s="230">
        <f>G$93*'Ethylene recycling rates'!I61</f>
        <v>5.7330669575201908E-2</v>
      </c>
      <c r="H97" s="230">
        <f>H$93*'Ethylene recycling rates'!J61</f>
        <v>7.5610092285005107E-2</v>
      </c>
      <c r="I97" s="230">
        <f>I$93*'Ethylene recycling rates'!K61</f>
        <v>9.5600092983854079E-2</v>
      </c>
      <c r="J97" s="230">
        <f>J$93*'Ethylene recycling rates'!L61</f>
        <v>0.11736492319477226</v>
      </c>
      <c r="K97" s="230">
        <f>K$93*'Ethylene recycling rates'!M61</f>
        <v>0.1409674892284889</v>
      </c>
      <c r="L97" s="230">
        <f>L$93*'Ethylene recycling rates'!N61</f>
        <v>0.16646910583859001</v>
      </c>
      <c r="M97" s="230">
        <f>M$93*'Ethylene recycling rates'!O61</f>
        <v>0.19392924573194686</v>
      </c>
      <c r="N97" s="230">
        <f>N$93*'Ethylene recycling rates'!P61</f>
        <v>0.23039156684736273</v>
      </c>
      <c r="O97" s="230">
        <f>O$93*'Ethylene recycling rates'!Q61</f>
        <v>0.27007841347385869</v>
      </c>
      <c r="P97" s="230">
        <f>P$93*'Ethylene recycling rates'!R61</f>
        <v>0.3129180209963765</v>
      </c>
      <c r="Q97" s="230">
        <f>Q$93*'Ethylene recycling rates'!S61</f>
        <v>0.35880339835784952</v>
      </c>
      <c r="R97" s="230">
        <f>R$93*'Ethylene recycling rates'!T61</f>
        <v>0.4075919782067266</v>
      </c>
      <c r="S97" s="230">
        <f>S$93*'Ethylene recycling rates'!U61</f>
        <v>0.45993290081652488</v>
      </c>
      <c r="T97" s="230">
        <f>T$93*'Ethylene recycling rates'!V61</f>
        <v>0.5159123361154766</v>
      </c>
      <c r="U97" s="230">
        <f>U$93*'Ethylene recycling rates'!W61</f>
        <v>0.57561596551241911</v>
      </c>
      <c r="V97" s="230">
        <f>V$93*'Ethylene recycling rates'!X61</f>
        <v>0.63912890125422639</v>
      </c>
      <c r="W97" s="230">
        <f>W$93*'Ethylene recycling rates'!Y61</f>
        <v>0.70653560476351329</v>
      </c>
      <c r="X97" s="230">
        <f>X$93*'Ethylene recycling rates'!Z61</f>
        <v>0.79451817282644177</v>
      </c>
      <c r="Y97" s="230">
        <f>Y$93*'Ethylene recycling rates'!AA61</f>
        <v>0.88852888357488502</v>
      </c>
      <c r="Z97" s="230">
        <f>Z$93*'Ethylene recycling rates'!AB61</f>
        <v>0.98870391731760543</v>
      </c>
      <c r="AA97" s="230">
        <f>AA$93*'Ethylene recycling rates'!AC61</f>
        <v>1.0951785694217056</v>
      </c>
      <c r="AB97" s="230">
        <f>AB$93*'Ethylene recycling rates'!AD61</f>
        <v>1.2080871317153632</v>
      </c>
      <c r="AC97" s="230">
        <f>AC$93*'Ethylene recycling rates'!AE61</f>
        <v>1.327575323701802</v>
      </c>
      <c r="AD97" s="230">
        <f>AD$93*'Ethylene recycling rates'!AF61</f>
        <v>1.4537786665342827</v>
      </c>
      <c r="AE97" s="230">
        <f>AE$93*'Ethylene recycling rates'!AG61</f>
        <v>1.5868317093429272</v>
      </c>
      <c r="AF97" s="230">
        <f>AF$93*'Ethylene recycling rates'!AH61</f>
        <v>1.72686791935342</v>
      </c>
      <c r="AG97" s="230">
        <f>AG$93*'Ethylene recycling rates'!AI61</f>
        <v>1.8740195709423721</v>
      </c>
      <c r="AH97" s="245"/>
      <c r="AI97" s="133"/>
      <c r="AJ97" s="211"/>
      <c r="AL97" s="108"/>
      <c r="AM97" s="2"/>
      <c r="AN97" s="2"/>
      <c r="AO97" s="2"/>
      <c r="BC97" s="1"/>
      <c r="BD97" s="2"/>
      <c r="BE97" s="2"/>
      <c r="BF97" s="2"/>
      <c r="BG97" s="2"/>
      <c r="BH97" s="2"/>
      <c r="BI97" s="2"/>
      <c r="BJ97" s="2"/>
      <c r="BK97" s="2"/>
    </row>
    <row r="98" spans="1:63" outlineLevel="1">
      <c r="A98" s="4" t="s">
        <v>248</v>
      </c>
      <c r="C98" s="230">
        <f>C$93*'Ethylene recycling rates'!E62</f>
        <v>0</v>
      </c>
      <c r="D98" s="230">
        <f>D$93*'Ethylene recycling rates'!F62</f>
        <v>1.1942493820734484E-2</v>
      </c>
      <c r="E98" s="230">
        <f>E$93*'Ethylene recycling rates'!G62</f>
        <v>2.547578401513341E-2</v>
      </c>
      <c r="F98" s="230">
        <f>F$93*'Ethylene recycling rates'!H62</f>
        <v>4.0608762457674745E-2</v>
      </c>
      <c r="G98" s="230">
        <f>G$93*'Ethylene recycling rates'!I62</f>
        <v>5.7330669575201908E-2</v>
      </c>
      <c r="H98" s="230">
        <f>H$93*'Ethylene recycling rates'!J62</f>
        <v>7.5610092285005107E-2</v>
      </c>
      <c r="I98" s="230">
        <f>I$93*'Ethylene recycling rates'!K62</f>
        <v>9.5600092983854079E-2</v>
      </c>
      <c r="J98" s="230">
        <f>J$93*'Ethylene recycling rates'!L62</f>
        <v>0.11736492319477226</v>
      </c>
      <c r="K98" s="230">
        <f>K$93*'Ethylene recycling rates'!M62</f>
        <v>0.1409674892284889</v>
      </c>
      <c r="L98" s="230">
        <f>L$93*'Ethylene recycling rates'!N62</f>
        <v>0.16646910583859001</v>
      </c>
      <c r="M98" s="230">
        <f>M$93*'Ethylene recycling rates'!O62</f>
        <v>0.19392924573194686</v>
      </c>
      <c r="N98" s="230">
        <f>N$93*'Ethylene recycling rates'!P62</f>
        <v>0.23039156684736273</v>
      </c>
      <c r="O98" s="230">
        <f>O$93*'Ethylene recycling rates'!Q62</f>
        <v>0.27007841347385869</v>
      </c>
      <c r="P98" s="230">
        <f>P$93*'Ethylene recycling rates'!R62</f>
        <v>0.3129180209963765</v>
      </c>
      <c r="Q98" s="230">
        <f>Q$93*'Ethylene recycling rates'!S62</f>
        <v>0.35880339835784952</v>
      </c>
      <c r="R98" s="230">
        <f>R$93*'Ethylene recycling rates'!T62</f>
        <v>0.4075919782067266</v>
      </c>
      <c r="S98" s="230">
        <f>S$93*'Ethylene recycling rates'!U62</f>
        <v>0.45993290081652488</v>
      </c>
      <c r="T98" s="230">
        <f>T$93*'Ethylene recycling rates'!V62</f>
        <v>0.5159123361154766</v>
      </c>
      <c r="U98" s="230">
        <f>U$93*'Ethylene recycling rates'!W62</f>
        <v>0.57561596551241911</v>
      </c>
      <c r="V98" s="230">
        <f>V$93*'Ethylene recycling rates'!X62</f>
        <v>0.63912890125422639</v>
      </c>
      <c r="W98" s="230">
        <f>W$93*'Ethylene recycling rates'!Y62</f>
        <v>0.70653560476351329</v>
      </c>
      <c r="X98" s="230">
        <f>X$93*'Ethylene recycling rates'!Z62</f>
        <v>0.79451817282644177</v>
      </c>
      <c r="Y98" s="230">
        <f>Y$93*'Ethylene recycling rates'!AA62</f>
        <v>0.88852888357488502</v>
      </c>
      <c r="Z98" s="230">
        <f>Z$93*'Ethylene recycling rates'!AB62</f>
        <v>0.98870391731760543</v>
      </c>
      <c r="AA98" s="230">
        <f>AA$93*'Ethylene recycling rates'!AC62</f>
        <v>1.0951785694217056</v>
      </c>
      <c r="AB98" s="230">
        <f>AB$93*'Ethylene recycling rates'!AD62</f>
        <v>1.2080871317153632</v>
      </c>
      <c r="AC98" s="230">
        <f>AC$93*'Ethylene recycling rates'!AE62</f>
        <v>1.327575323701802</v>
      </c>
      <c r="AD98" s="230">
        <f>AD$93*'Ethylene recycling rates'!AF62</f>
        <v>1.4537786665342827</v>
      </c>
      <c r="AE98" s="230">
        <f>AE$93*'Ethylene recycling rates'!AG62</f>
        <v>1.5868317093429272</v>
      </c>
      <c r="AF98" s="230">
        <f>AF$93*'Ethylene recycling rates'!AH62</f>
        <v>1.72686791935342</v>
      </c>
      <c r="AG98" s="230">
        <f>AG$93*'Ethylene recycling rates'!AI62</f>
        <v>1.8740195709423721</v>
      </c>
      <c r="AH98" s="245"/>
      <c r="AI98" s="133"/>
      <c r="AJ98" s="211"/>
      <c r="AL98" s="108"/>
      <c r="AM98" s="2"/>
      <c r="AN98" s="2"/>
      <c r="AO98" s="2"/>
      <c r="BC98" s="1"/>
      <c r="BD98" s="2"/>
      <c r="BE98" s="2"/>
      <c r="BF98" s="2"/>
      <c r="BG98" s="2"/>
      <c r="BH98" s="2"/>
      <c r="BI98" s="2"/>
      <c r="BJ98" s="2"/>
      <c r="BK98" s="2"/>
    </row>
    <row r="99" spans="1:63" s="1" customFormat="1" outlineLevel="1">
      <c r="A99" s="1" t="s">
        <v>1329</v>
      </c>
      <c r="B99" s="65"/>
      <c r="C99" s="300">
        <f>C72*C45</f>
        <v>1.1377817727849049</v>
      </c>
      <c r="D99" s="300">
        <f t="shared" ref="D99:AG99" si="81">D72*D45</f>
        <v>1.2140150257534472</v>
      </c>
      <c r="E99" s="300">
        <f t="shared" si="81"/>
        <v>1.290507196909134</v>
      </c>
      <c r="F99" s="300">
        <f t="shared" si="81"/>
        <v>1.3667847762883085</v>
      </c>
      <c r="G99" s="300">
        <f t="shared" si="81"/>
        <v>1.4423555174852196</v>
      </c>
      <c r="H99" s="300">
        <f t="shared" si="81"/>
        <v>1.5167136426800245</v>
      </c>
      <c r="I99" s="300">
        <f t="shared" si="81"/>
        <v>1.5927743765920617</v>
      </c>
      <c r="J99" s="300">
        <f t="shared" si="81"/>
        <v>1.6704967864255145</v>
      </c>
      <c r="K99" s="300">
        <f t="shared" si="81"/>
        <v>1.7498357440655319</v>
      </c>
      <c r="L99" s="300">
        <f t="shared" si="81"/>
        <v>1.8307419085314089</v>
      </c>
      <c r="M99" s="300">
        <f t="shared" si="81"/>
        <v>1.9131617196846729</v>
      </c>
      <c r="N99" s="300">
        <f t="shared" si="81"/>
        <v>2.0594883189789717</v>
      </c>
      <c r="O99" s="300">
        <f t="shared" si="81"/>
        <v>2.2058490024661106</v>
      </c>
      <c r="P99" s="300">
        <f t="shared" si="81"/>
        <v>2.3514768334252936</v>
      </c>
      <c r="Q99" s="300">
        <f t="shared" si="81"/>
        <v>2.4955881220049596</v>
      </c>
      <c r="R99" s="300">
        <f t="shared" si="81"/>
        <v>2.6373892999894037</v>
      </c>
      <c r="S99" s="300">
        <f t="shared" si="81"/>
        <v>2.7810856641985486</v>
      </c>
      <c r="T99" s="300">
        <f t="shared" si="81"/>
        <v>2.926653868162973</v>
      </c>
      <c r="U99" s="300">
        <f t="shared" si="81"/>
        <v>3.0740693862900073</v>
      </c>
      <c r="V99" s="300">
        <f t="shared" si="81"/>
        <v>3.2233065135974761</v>
      </c>
      <c r="W99" s="300">
        <f t="shared" si="81"/>
        <v>3.3743383662820743</v>
      </c>
      <c r="X99" s="300">
        <f t="shared" si="81"/>
        <v>3.6023949219445708</v>
      </c>
      <c r="Y99" s="300">
        <f t="shared" si="81"/>
        <v>3.8333830292496796</v>
      </c>
      <c r="Z99" s="300">
        <f t="shared" si="81"/>
        <v>4.0672667886649991</v>
      </c>
      <c r="AA99" s="300">
        <f t="shared" si="81"/>
        <v>4.3040086388353176</v>
      </c>
      <c r="AB99" s="300">
        <f t="shared" si="81"/>
        <v>4.5435693576873248</v>
      </c>
      <c r="AC99" s="300">
        <f t="shared" si="81"/>
        <v>4.7859533117263924</v>
      </c>
      <c r="AD99" s="300">
        <f t="shared" si="81"/>
        <v>5.0311249803496541</v>
      </c>
      <c r="AE99" s="300">
        <f t="shared" si="81"/>
        <v>5.2790473588109297</v>
      </c>
      <c r="AF99" s="300">
        <f t="shared" si="81"/>
        <v>5.5296819600605129</v>
      </c>
      <c r="AG99" s="300">
        <f t="shared" si="81"/>
        <v>5.7829888174735</v>
      </c>
      <c r="AH99" s="422"/>
      <c r="AI99" s="423"/>
      <c r="AJ99" s="424"/>
      <c r="AL99" s="221"/>
      <c r="AM99" s="124"/>
      <c r="AN99" s="124"/>
      <c r="AO99" s="124"/>
      <c r="BD99" s="124"/>
      <c r="BE99" s="124"/>
      <c r="BF99" s="124"/>
      <c r="BG99" s="124"/>
      <c r="BH99" s="124"/>
      <c r="BI99" s="124"/>
      <c r="BJ99" s="124"/>
      <c r="BK99" s="124"/>
    </row>
    <row r="100" spans="1:63" outlineLevel="1">
      <c r="A100" s="4" t="s">
        <v>258</v>
      </c>
      <c r="C100" s="230">
        <f>C$99*'Ethylene recycling rates'!E63</f>
        <v>0.81650485855002186</v>
      </c>
      <c r="D100" s="230">
        <f>D$99*'Ethylene recycling rates'!F63</f>
        <v>0.87897919921797996</v>
      </c>
      <c r="E100" s="230">
        <f>E$99*'Ethylene recycling rates'!G63</f>
        <v>0.94261812848611448</v>
      </c>
      <c r="F100" s="230">
        <f>F$99*'Ethylene recycling rates'!H63</f>
        <v>1.0070777231904691</v>
      </c>
      <c r="G100" s="230">
        <f>G$99*'Ethylene recycling rates'!I63</f>
        <v>1.0719880169473068</v>
      </c>
      <c r="H100" s="230">
        <f>H$99*'Ethylene recycling rates'!J63</f>
        <v>1.1369563025661302</v>
      </c>
      <c r="I100" s="230">
        <f>I$99*'Ethylene recycling rates'!K63</f>
        <v>1.2041632625599841</v>
      </c>
      <c r="J100" s="230">
        <f>J$99*'Ethylene recycling rates'!L63</f>
        <v>1.2736103686461491</v>
      </c>
      <c r="K100" s="230">
        <f>K$99*'Ethylene recycling rates'!M63</f>
        <v>1.3452948195911461</v>
      </c>
      <c r="L100" s="230">
        <f>L$99*'Ethylene recycling rates'!N63</f>
        <v>1.4192093934017045</v>
      </c>
      <c r="M100" s="230">
        <f>M$99*'Ethylene recycling rates'!O63</f>
        <v>1.4953423076390724</v>
      </c>
      <c r="N100" s="230">
        <f>N$99*'Ethylene recycling rates'!P63</f>
        <v>1.6228887732114476</v>
      </c>
      <c r="O100" s="230">
        <f>O$99*'Ethylene recycling rates'!Q63</f>
        <v>1.7523346869431702</v>
      </c>
      <c r="P100" s="230">
        <f>P$99*'Ethylene recycling rates'!R63</f>
        <v>1.8830665388430374</v>
      </c>
      <c r="Q100" s="230">
        <f>Q$99*'Ethylene recycling rates'!S63</f>
        <v>2.0144376686028225</v>
      </c>
      <c r="R100" s="230">
        <f>R$99*'Ethylene recycling rates'!T63</f>
        <v>2.1457733229642693</v>
      </c>
      <c r="S100" s="230">
        <f>S$99*'Ethylene recycling rates'!U63</f>
        <v>2.2804774863242532</v>
      </c>
      <c r="T100" s="230">
        <f>T$99*'Ethylene recycling rates'!V63</f>
        <v>2.4185672410617309</v>
      </c>
      <c r="U100" s="230">
        <f>U$99*'Ethylene recycling rates'!W63</f>
        <v>2.5600580901168239</v>
      </c>
      <c r="V100" s="230">
        <f>V$99*'Ethylene recycling rates'!X63</f>
        <v>2.7049639190477022</v>
      </c>
      <c r="W100" s="230">
        <f>W$99*'Ethylene recycling rates'!Y63</f>
        <v>2.8532969587829999</v>
      </c>
      <c r="X100" s="230">
        <f>X$99*'Ethylene recycling rates'!Z63</f>
        <v>3.0691864699903091</v>
      </c>
      <c r="Y100" s="230">
        <f>Y$99*'Ethylene recycling rates'!AA63</f>
        <v>3.2905105499617928</v>
      </c>
      <c r="Z100" s="230">
        <f>Z$99*'Ethylene recycling rates'!AB63</f>
        <v>3.5172944209619459</v>
      </c>
      <c r="AA100" s="230">
        <f>AA$99*'Ethylene recycling rates'!AC63</f>
        <v>3.7495609387812694</v>
      </c>
      <c r="AB100" s="230">
        <f>AB$99*'Ethylene recycling rates'!AD63</f>
        <v>3.987330540544701</v>
      </c>
      <c r="AC100" s="230">
        <f>AC$99*'Ethylene recycling rates'!AE63</f>
        <v>4.2306611908151845</v>
      </c>
      <c r="AD100" s="230">
        <f>AD$99*'Ethylene recycling rates'!AF63</f>
        <v>4.4795754515165891</v>
      </c>
      <c r="AE100" s="230">
        <f>AE$99*'Ethylene recycling rates'!AG63</f>
        <v>4.7340936446051209</v>
      </c>
      <c r="AF100" s="230">
        <f>AF$99*'Ethylene recycling rates'!AH63</f>
        <v>4.9942338062538187</v>
      </c>
      <c r="AG100" s="230">
        <f>AG$99*'Ethylene recycling rates'!AI63</f>
        <v>5.2600116419158471</v>
      </c>
      <c r="AH100" s="245"/>
      <c r="AI100" s="133"/>
      <c r="AJ100" s="211"/>
      <c r="AL100" s="108"/>
      <c r="AM100" s="2"/>
      <c r="AN100" s="2"/>
      <c r="AO100" s="2"/>
      <c r="BC100" s="1"/>
      <c r="BD100" s="2"/>
      <c r="BE100" s="2"/>
      <c r="BF100" s="2"/>
      <c r="BG100" s="2"/>
      <c r="BH100" s="2"/>
      <c r="BI100" s="2"/>
      <c r="BJ100" s="2"/>
      <c r="BK100" s="2"/>
    </row>
    <row r="101" spans="1:63" outlineLevel="1">
      <c r="A101" s="4" t="s">
        <v>478</v>
      </c>
      <c r="C101" s="230">
        <f>C$99*'Ethylene recycling rates'!E64</f>
        <v>0.29647374042384816</v>
      </c>
      <c r="D101" s="230">
        <f>D$99*'Ethylene recycling rates'!F64</f>
        <v>0.30653336879688015</v>
      </c>
      <c r="E101" s="230">
        <f>E$99*'Ethylene recycling rates'!G64</f>
        <v>0.31542493525117149</v>
      </c>
      <c r="F101" s="230">
        <f>F$99*'Ethylene recycling rates'!H64</f>
        <v>0.32303025573020983</v>
      </c>
      <c r="G101" s="230">
        <f>G$99*'Ethylene recycling rates'!I64</f>
        <v>0.32924216586775384</v>
      </c>
      <c r="H101" s="230">
        <f>H$99*'Ethylene recycling rates'!J64</f>
        <v>0.33396642368136997</v>
      </c>
      <c r="I101" s="230">
        <f>I$99*'Ethylene recycling rates'!K64</f>
        <v>0.3378507709320383</v>
      </c>
      <c r="J101" s="230">
        <f>J$99*'Ethylene recycling rates'!L64</f>
        <v>0.34084560404520015</v>
      </c>
      <c r="K101" s="230">
        <f>K$99*'Ethylene recycling rates'!M64</f>
        <v>0.34290181964403743</v>
      </c>
      <c r="L101" s="230">
        <f>L$99*'Ethylene recycling rates'!N64</f>
        <v>0.34397098066337084</v>
      </c>
      <c r="M101" s="230">
        <f>M$99*'Ethylene recycling rates'!O64</f>
        <v>0.34400548533756897</v>
      </c>
      <c r="N101" s="230">
        <f>N$99*'Ethylene recycling rates'!P64</f>
        <v>0.35368366889449537</v>
      </c>
      <c r="O101" s="230">
        <f>O$99*'Ethylene recycling rates'!Q64</f>
        <v>0.36100391146780958</v>
      </c>
      <c r="P101" s="230">
        <f>P$99*'Ethylene recycling rates'!R64</f>
        <v>0.36584606615610343</v>
      </c>
      <c r="Q101" s="230">
        <f>Q$99*'Ethylene recycling rates'!S64</f>
        <v>0.3681122905513749</v>
      </c>
      <c r="R101" s="230">
        <f>R$99*'Ethylene recycling rates'!T64</f>
        <v>0.36772868178747209</v>
      </c>
      <c r="S101" s="230">
        <f>S$99*'Ethylene recycling rates'!U64</f>
        <v>0.36530358826605674</v>
      </c>
      <c r="T101" s="230">
        <f>T$99*'Ethylene recycling rates'!V64</f>
        <v>0.36078821433163427</v>
      </c>
      <c r="U101" s="230">
        <f>U$99*'Ethylene recycling rates'!W64</f>
        <v>0.35413438269400804</v>
      </c>
      <c r="V101" s="230">
        <f>V$99*'Ethylene recycling rates'!X64</f>
        <v>0.3452945820137987</v>
      </c>
      <c r="W101" s="230">
        <f>W$99*'Ethylene recycling rates'!Y64</f>
        <v>0.33422201458353473</v>
      </c>
      <c r="X101" s="230">
        <f>X$99*'Ethylene recycling rates'!Z64</f>
        <v>0.32771701724522534</v>
      </c>
      <c r="Y101" s="230">
        <f>Y$99*'Ethylene recycling rates'!AA64</f>
        <v>0.31777138289110812</v>
      </c>
      <c r="Z101" s="230">
        <f>Z$99*'Ethylene recycling rates'!AB64</f>
        <v>0.30431139833891524</v>
      </c>
      <c r="AA101" s="230">
        <f>AA$99*'Ethylene recycling rates'!AC64</f>
        <v>0.28726439921454083</v>
      </c>
      <c r="AB101" s="230">
        <f>AB$99*'Ethylene recycling rates'!AD64</f>
        <v>0.26655883712273004</v>
      </c>
      <c r="AC101" s="230">
        <f>AC$99*'Ethylene recycling rates'!AE64</f>
        <v>0.24212663591998321</v>
      </c>
      <c r="AD101" s="230">
        <f>AD$99*'Ethylene recycling rates'!AF64</f>
        <v>0.21389788260684661</v>
      </c>
      <c r="AE101" s="230">
        <f>AE$99*'Ethylene recycling rates'!AG64</f>
        <v>0.18180376055458156</v>
      </c>
      <c r="AF101" s="230">
        <f>AF$99*'Ethylene recycling rates'!AH64</f>
        <v>0.14577660948468857</v>
      </c>
      <c r="AG101" s="230">
        <f>AG$99*'Ethylene recycling rates'!AI64</f>
        <v>0.10574998537553047</v>
      </c>
      <c r="AH101" s="245"/>
      <c r="AI101" s="133"/>
      <c r="AJ101" s="211"/>
      <c r="AL101" s="108"/>
      <c r="AM101" s="2"/>
      <c r="AN101" s="2"/>
      <c r="AO101" s="2"/>
      <c r="BC101" s="1"/>
      <c r="BD101" s="2"/>
      <c r="BE101" s="2"/>
      <c r="BF101" s="2"/>
      <c r="BG101" s="2"/>
      <c r="BH101" s="2"/>
      <c r="BI101" s="2"/>
      <c r="BJ101" s="2"/>
      <c r="BK101" s="2"/>
    </row>
    <row r="102" spans="1:63" outlineLevel="1">
      <c r="A102" s="4" t="s">
        <v>480</v>
      </c>
      <c r="C102" s="230">
        <f>C$99*'Ethylene recycling rates'!E65</f>
        <v>0</v>
      </c>
      <c r="D102" s="230">
        <f>D$99*'Ethylene recycling rates'!F65</f>
        <v>9.027258323237704E-4</v>
      </c>
      <c r="E102" s="230">
        <f>E$99*'Ethylene recycling rates'!G65</f>
        <v>1.9192088380069309E-3</v>
      </c>
      <c r="F102" s="230">
        <f>F$99*'Ethylene recycling rates'!H65</f>
        <v>3.0489703140615804E-3</v>
      </c>
      <c r="G102" s="230">
        <f>G$99*'Ethylene recycling rates'!I65</f>
        <v>4.2900674453202675E-3</v>
      </c>
      <c r="H102" s="230">
        <f>H$99*'Ethylene recycling rates'!J65</f>
        <v>5.6390429955156382E-3</v>
      </c>
      <c r="I102" s="230">
        <f>I$99*'Ethylene recycling rates'!K65</f>
        <v>7.1061982478545635E-3</v>
      </c>
      <c r="J102" s="230">
        <f>J$99*'Ethylene recycling rates'!L65</f>
        <v>8.6951182559620952E-3</v>
      </c>
      <c r="K102" s="230">
        <f>K$99*'Ethylene recycling rates'!M65</f>
        <v>1.0409241368399633E-2</v>
      </c>
      <c r="L102" s="230">
        <f>L$99*'Ethylene recycling rates'!N65</f>
        <v>1.2251843513312446E-2</v>
      </c>
      <c r="M102" s="230">
        <f>M$99*'Ethylene recycling rates'!O65</f>
        <v>1.422602248848169E-2</v>
      </c>
      <c r="N102" s="230">
        <f>N$99*'Ethylene recycling rates'!P65</f>
        <v>1.6845496919062373E-2</v>
      </c>
      <c r="O102" s="230">
        <f>O$99*'Ethylene recycling rates'!Q65</f>
        <v>1.9682888608360774E-2</v>
      </c>
      <c r="P102" s="230">
        <f>P$99*'Ethylene recycling rates'!R65</f>
        <v>2.2730859895448458E-2</v>
      </c>
      <c r="Q102" s="230">
        <f>Q$99*'Ethylene recycling rates'!S65</f>
        <v>2.5979617578839376E-2</v>
      </c>
      <c r="R102" s="230">
        <f>R$99*'Ethylene recycling rates'!T65</f>
        <v>2.9416927309245628E-2</v>
      </c>
      <c r="S102" s="230">
        <f>S$99*'Ethylene recycling rates'!U65</f>
        <v>3.3087667848845322E-2</v>
      </c>
      <c r="T102" s="230">
        <f>T$99*'Ethylene recycling rates'!V65</f>
        <v>3.6995771783106791E-2</v>
      </c>
      <c r="U102" s="230">
        <f>U$99*'Ethylene recycling rates'!W65</f>
        <v>4.1145086474916902E-2</v>
      </c>
      <c r="V102" s="230">
        <f>V$99*'Ethylene recycling rates'!X65</f>
        <v>4.553936967691552E-2</v>
      </c>
      <c r="W102" s="230">
        <f>W$99*'Ethylene recycling rates'!Y65</f>
        <v>5.0182285155054532E-2</v>
      </c>
      <c r="X102" s="230">
        <f>X$99*'Ethylene recycling rates'!Z65</f>
        <v>5.6252577267167467E-2</v>
      </c>
      <c r="Y102" s="230">
        <f>Y$99*'Ethylene recycling rates'!AA65</f>
        <v>6.2709986178339505E-2</v>
      </c>
      <c r="Z102" s="230">
        <f>Z$99*'Ethylene recycling rates'!AB65</f>
        <v>6.9560437508127237E-2</v>
      </c>
      <c r="AA102" s="230">
        <f>AA$99*'Ethylene recycling rates'!AC65</f>
        <v>7.6809720441342488E-2</v>
      </c>
      <c r="AB102" s="230">
        <f>AB$99*'Ethylene recycling rates'!AD65</f>
        <v>8.4463481570039051E-2</v>
      </c>
      <c r="AC102" s="230">
        <f>AC$99*'Ethylene recycling rates'!AE65</f>
        <v>9.2528093535620567E-2</v>
      </c>
      <c r="AD102" s="230">
        <f>AD$99*'Ethylene recycling rates'!AF65</f>
        <v>0.10100914115951197</v>
      </c>
      <c r="AE102" s="230">
        <f>AE$99*'Ethylene recycling rates'!AG65</f>
        <v>0.10991207271198696</v>
      </c>
      <c r="AF102" s="230">
        <f>AF$99*'Ethylene recycling rates'!AH65</f>
        <v>0.11924219443389256</v>
      </c>
      <c r="AG102" s="230">
        <f>AG$99*'Ethylene recycling rates'!AI65</f>
        <v>0.12900466508640324</v>
      </c>
      <c r="AH102" s="245"/>
      <c r="AI102" s="133"/>
      <c r="AJ102" s="211"/>
      <c r="AL102" s="108"/>
      <c r="AM102" s="2"/>
      <c r="AN102" s="2"/>
      <c r="AO102" s="2"/>
      <c r="BC102" s="1"/>
      <c r="BD102" s="2"/>
      <c r="BE102" s="2"/>
      <c r="BF102" s="2"/>
      <c r="BG102" s="2"/>
      <c r="BH102" s="2"/>
      <c r="BI102" s="2"/>
      <c r="BJ102" s="2"/>
      <c r="BK102" s="2"/>
    </row>
    <row r="103" spans="1:63" outlineLevel="1">
      <c r="A103" s="4" t="s">
        <v>474</v>
      </c>
      <c r="C103" s="230">
        <f>C$99*'Ethylene recycling rates'!E66</f>
        <v>2.4803173811034907E-2</v>
      </c>
      <c r="D103" s="230">
        <f>D$99*'Ethylene recycling rates'!F66</f>
        <v>2.7559431645891794E-2</v>
      </c>
      <c r="E103" s="230">
        <f>E$99*'Ethylene recycling rates'!G66</f>
        <v>3.0459245367858611E-2</v>
      </c>
      <c r="F103" s="230">
        <f>F$99*'Ethylene recycling rates'!H66</f>
        <v>3.3491712307404574E-2</v>
      </c>
      <c r="G103" s="230">
        <f>G$99*'Ethylene recycling rates'!I66</f>
        <v>3.6643746356744181E-2</v>
      </c>
      <c r="H103" s="230">
        <f>H$99*'Ethylene recycling rates'!J66</f>
        <v>3.9900130446137626E-2</v>
      </c>
      <c r="I103" s="230">
        <f>I$99*'Ethylene recycling rates'!K66</f>
        <v>4.3336903858977101E-2</v>
      </c>
      <c r="J103" s="230">
        <f>J$99*'Ethylene recycling rates'!L66</f>
        <v>4.6957520556062275E-2</v>
      </c>
      <c r="K103" s="230">
        <f>K$99*'Ethylene recycling rates'!M66</f>
        <v>5.0765165186573986E-2</v>
      </c>
      <c r="L103" s="230">
        <f>L$99*'Ethylene recycling rates'!N66</f>
        <v>5.4762733653320128E-2</v>
      </c>
      <c r="M103" s="230">
        <f>M$99*'Ethylene recycling rates'!O66</f>
        <v>5.8952813929885828E-2</v>
      </c>
      <c r="N103" s="230">
        <f>N$99*'Ethylene recycling rates'!P66</f>
        <v>6.5318348841508486E-2</v>
      </c>
      <c r="O103" s="230">
        <f>O$99*'Ethylene recycling rates'!Q66</f>
        <v>7.1948815062468696E-2</v>
      </c>
      <c r="P103" s="230">
        <f>P$99*'Ethylene recycling rates'!R66</f>
        <v>7.8818597999658055E-2</v>
      </c>
      <c r="Q103" s="230">
        <f>Q$99*'Ethylene recycling rates'!S66</f>
        <v>8.5898740915725302E-2</v>
      </c>
      <c r="R103" s="230">
        <f>R$99*'Ethylene recycling rates'!T66</f>
        <v>9.3157112244968823E-2</v>
      </c>
      <c r="S103" s="230">
        <f>S$99*'Ethylene recycling rates'!U66</f>
        <v>0.1007397937304278</v>
      </c>
      <c r="T103" s="230">
        <f>T$99*'Ethylene recycling rates'!V66</f>
        <v>0.10865104403189912</v>
      </c>
      <c r="U103" s="230">
        <f>U$99*'Ethylene recycling rates'!W66</f>
        <v>0.1168949927866294</v>
      </c>
      <c r="V103" s="230">
        <f>V$99*'Ethylene recycling rates'!X66</f>
        <v>0.12547563528419875</v>
      </c>
      <c r="W103" s="230">
        <f>W$99*'Ethylene recycling rates'!Y66</f>
        <v>0.13439682717320731</v>
      </c>
      <c r="X103" s="230">
        <f>X$99*'Ethylene recycling rates'!Z66</f>
        <v>0.14672758167101477</v>
      </c>
      <c r="Y103" s="230">
        <f>Y$99*'Ethylene recycling rates'!AA66</f>
        <v>0.15959155726405058</v>
      </c>
      <c r="Z103" s="230">
        <f>Z$99*'Ethylene recycling rates'!AB66</f>
        <v>0.17299515518154293</v>
      </c>
      <c r="AA103" s="230">
        <f>AA$99*'Ethylene recycling rates'!AC66</f>
        <v>0.18694457502132159</v>
      </c>
      <c r="AB103" s="230">
        <f>AB$99*'Ethylene recycling rates'!AD66</f>
        <v>0.20144580730833739</v>
      </c>
      <c r="AC103" s="230">
        <f>AC$99*'Ethylene recycling rates'!AE66</f>
        <v>0.21650667299419496</v>
      </c>
      <c r="AD103" s="230">
        <f>AD$99*'Ethylene recycling rates'!AF66</f>
        <v>0.2321331684078026</v>
      </c>
      <c r="AE103" s="230">
        <f>AE$99*'Ethylene recycling rates'!AG66</f>
        <v>0.2483310919788867</v>
      </c>
      <c r="AF103" s="230">
        <f>AF$99*'Ethylene recycling rates'!AH66</f>
        <v>0.26510603763660401</v>
      </c>
      <c r="AG103" s="230">
        <f>AG$99*'Ethylene recycling rates'!AI66</f>
        <v>0.28246338826150552</v>
      </c>
      <c r="AH103" s="245"/>
      <c r="AI103" s="133"/>
      <c r="AJ103" s="211"/>
      <c r="AL103" s="108"/>
      <c r="AM103" s="2"/>
      <c r="AN103" s="2"/>
      <c r="AO103" s="2"/>
      <c r="BC103" s="1"/>
      <c r="BD103" s="2"/>
      <c r="BE103" s="2"/>
      <c r="BF103" s="2"/>
      <c r="BG103" s="2"/>
      <c r="BH103" s="2"/>
      <c r="BI103" s="2"/>
      <c r="BJ103" s="2"/>
      <c r="BK103" s="2"/>
    </row>
    <row r="104" spans="1:63" outlineLevel="1">
      <c r="A104" s="4" t="s">
        <v>248</v>
      </c>
      <c r="C104" s="230">
        <f>C$99*'Ethylene recycling rates'!E67</f>
        <v>0</v>
      </c>
      <c r="D104" s="230">
        <f>D$99*'Ethylene recycling rates'!F67</f>
        <v>4.0300260371596893E-5</v>
      </c>
      <c r="E104" s="230">
        <f>E$99*'Ethylene recycling rates'!G67</f>
        <v>8.5678965982452274E-5</v>
      </c>
      <c r="F104" s="230">
        <f>F$99*'Ethylene recycling rates'!H67</f>
        <v>1.3611474616346338E-4</v>
      </c>
      <c r="G104" s="230">
        <f>G$99*'Ethylene recycling rates'!I67</f>
        <v>1.9152086809465479E-4</v>
      </c>
      <c r="H104" s="230">
        <f>H$99*'Ethylene recycling rates'!J67</f>
        <v>2.5174299087123386E-4</v>
      </c>
      <c r="I104" s="230">
        <f>I$99*'Ethylene recycling rates'!K67</f>
        <v>3.1724099320779307E-4</v>
      </c>
      <c r="J104" s="230">
        <f>J$99*'Ethylene recycling rates'!L67</f>
        <v>3.8817492214116505E-4</v>
      </c>
      <c r="K104" s="230">
        <f>K$99*'Ethylene recycling rates'!M67</f>
        <v>4.6469827537498371E-4</v>
      </c>
      <c r="L104" s="230">
        <f>L$99*'Ethylene recycling rates'!N67</f>
        <v>5.469572997014486E-4</v>
      </c>
      <c r="M104" s="230">
        <f>M$99*'Ethylene recycling rates'!O67</f>
        <v>6.3509028966436134E-4</v>
      </c>
      <c r="N104" s="230">
        <f>N$99*'Ethylene recycling rates'!P67</f>
        <v>7.5203111245814177E-4</v>
      </c>
      <c r="O104" s="230">
        <f>O$99*'Ethylene recycling rates'!Q67</f>
        <v>8.7870038430182046E-4</v>
      </c>
      <c r="P104" s="230">
        <f>P$99*'Ethylene recycling rates'!R67</f>
        <v>1.014770531046806E-3</v>
      </c>
      <c r="Q104" s="230">
        <f>Q$99*'Ethylene recycling rates'!S67</f>
        <v>1.1598043561981864E-3</v>
      </c>
      <c r="R104" s="230">
        <f>R$99*'Ethylene recycling rates'!T67</f>
        <v>1.3132556834484655E-3</v>
      </c>
      <c r="S104" s="230">
        <f>S$99*'Ethylene recycling rates'!U67</f>
        <v>1.4771280289663086E-3</v>
      </c>
      <c r="T104" s="230">
        <f>T$99*'Ethylene recycling rates'!V67</f>
        <v>1.651596954602981E-3</v>
      </c>
      <c r="U104" s="230">
        <f>U$99*'Ethylene recycling rates'!W67</f>
        <v>1.836834217630218E-3</v>
      </c>
      <c r="V104" s="230">
        <f>V$99*'Ethylene recycling rates'!X67</f>
        <v>2.0330075748622991E-3</v>
      </c>
      <c r="W104" s="230">
        <f>W$99*'Ethylene recycling rates'!Y67</f>
        <v>2.2402805872792191E-3</v>
      </c>
      <c r="X104" s="230">
        <f>X$99*'Ethylene recycling rates'!Z67</f>
        <v>2.5112757708556886E-3</v>
      </c>
      <c r="Y104" s="230">
        <f>Y$99*'Ethylene recycling rates'!AA67</f>
        <v>2.7995529543901544E-3</v>
      </c>
      <c r="Z104" s="230">
        <f>Z$99*'Ethylene recycling rates'!AB67</f>
        <v>3.1053766744699638E-3</v>
      </c>
      <c r="AA104" s="230">
        <f>AA$99*'Ethylene recycling rates'!AC67</f>
        <v>3.4290053768456438E-3</v>
      </c>
      <c r="AB104" s="230">
        <f>AB$99*'Ethylene recycling rates'!AD67</f>
        <v>3.7706911415195969E-3</v>
      </c>
      <c r="AC104" s="230">
        <f>AC$99*'Ethylene recycling rates'!AE67</f>
        <v>4.1307184614116288E-3</v>
      </c>
      <c r="AD104" s="230">
        <f>AD$99*'Ethylene recycling rates'!AF67</f>
        <v>4.5093366589067799E-3</v>
      </c>
      <c r="AE104" s="230">
        <f>AE$99*'Ethylene recycling rates'!AG67</f>
        <v>4.9067889603565552E-3</v>
      </c>
      <c r="AF104" s="230">
        <f>AF$99*'Ethylene recycling rates'!AH67</f>
        <v>5.3233122515130554E-3</v>
      </c>
      <c r="AG104" s="230">
        <f>AG$99*'Ethylene recycling rates'!AI67</f>
        <v>5.7591368342144308E-3</v>
      </c>
      <c r="AH104" s="245"/>
      <c r="AI104" s="133"/>
      <c r="AJ104" s="211"/>
      <c r="AL104" s="108"/>
      <c r="AM104" s="2"/>
      <c r="AN104" s="2"/>
      <c r="AO104" s="2"/>
      <c r="BC104" s="1"/>
      <c r="BD104" s="2"/>
      <c r="BE104" s="2"/>
      <c r="BF104" s="2"/>
      <c r="BG104" s="2"/>
      <c r="BH104" s="2"/>
      <c r="BI104" s="2"/>
      <c r="BJ104" s="2"/>
      <c r="BK104" s="2"/>
    </row>
    <row r="105" spans="1:63" outlineLevel="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I105" s="134"/>
      <c r="AJ105" s="211"/>
      <c r="AL105" s="108"/>
      <c r="AM105" s="132"/>
      <c r="AN105" s="2"/>
      <c r="AO105" s="2"/>
    </row>
    <row r="106" spans="1:63" s="200" customFormat="1" ht="16" thickBot="1">
      <c r="A106" s="200" t="s">
        <v>1330</v>
      </c>
      <c r="B106" s="215"/>
      <c r="C106" s="222">
        <f>C107</f>
        <v>2.5000000000000001E-2</v>
      </c>
      <c r="D106" s="222">
        <f t="shared" ref="D106:AG106" si="82">D107</f>
        <v>3.1255416735465176E-2</v>
      </c>
      <c r="E106" s="222">
        <f t="shared" si="82"/>
        <v>3.7510833470930344E-2</v>
      </c>
      <c r="F106" s="222">
        <f t="shared" si="82"/>
        <v>4.3766250206395518E-2</v>
      </c>
      <c r="G106" s="222">
        <f t="shared" si="82"/>
        <v>5.0021666941860693E-2</v>
      </c>
      <c r="H106" s="222">
        <f t="shared" si="82"/>
        <v>5.6277083677325861E-2</v>
      </c>
      <c r="I106" s="222">
        <f t="shared" si="82"/>
        <v>6.2532500412791042E-2</v>
      </c>
      <c r="J106" s="222">
        <f t="shared" si="82"/>
        <v>6.8787917148256203E-2</v>
      </c>
      <c r="K106" s="222">
        <f t="shared" si="82"/>
        <v>7.5043333883721378E-2</v>
      </c>
      <c r="L106" s="222">
        <f t="shared" si="82"/>
        <v>8.1298750619186552E-2</v>
      </c>
      <c r="M106" s="222">
        <f t="shared" si="82"/>
        <v>8.7554167354651713E-2</v>
      </c>
      <c r="N106" s="222">
        <f t="shared" si="82"/>
        <v>0.10073866108940137</v>
      </c>
      <c r="O106" s="222">
        <f t="shared" si="82"/>
        <v>0.11392315482415102</v>
      </c>
      <c r="P106" s="222">
        <f t="shared" si="82"/>
        <v>0.12710764855890069</v>
      </c>
      <c r="Q106" s="222">
        <f t="shared" si="82"/>
        <v>0.14029214229365033</v>
      </c>
      <c r="R106" s="222">
        <f t="shared" si="82"/>
        <v>0.1534766360284</v>
      </c>
      <c r="S106" s="222">
        <f t="shared" si="82"/>
        <v>0.16666112976314967</v>
      </c>
      <c r="T106" s="222">
        <f t="shared" si="82"/>
        <v>0.17984562349789934</v>
      </c>
      <c r="U106" s="222">
        <f t="shared" si="82"/>
        <v>0.19303011723264898</v>
      </c>
      <c r="V106" s="222">
        <f t="shared" si="82"/>
        <v>0.20621461096739863</v>
      </c>
      <c r="W106" s="222">
        <f t="shared" si="82"/>
        <v>0.2193991047021483</v>
      </c>
      <c r="X106" s="222">
        <f t="shared" si="82"/>
        <v>0.24145919423193346</v>
      </c>
      <c r="Y106" s="222">
        <f t="shared" si="82"/>
        <v>0.26351928376171863</v>
      </c>
      <c r="Z106" s="222">
        <f t="shared" si="82"/>
        <v>0.28557937329150385</v>
      </c>
      <c r="AA106" s="222">
        <f t="shared" si="82"/>
        <v>0.30763946282128896</v>
      </c>
      <c r="AB106" s="222">
        <f t="shared" si="82"/>
        <v>0.32969955235107418</v>
      </c>
      <c r="AC106" s="222">
        <f t="shared" si="82"/>
        <v>0.35175964188085934</v>
      </c>
      <c r="AD106" s="222">
        <f t="shared" si="82"/>
        <v>0.37381973141064451</v>
      </c>
      <c r="AE106" s="222">
        <f t="shared" si="82"/>
        <v>0.39587982094042967</v>
      </c>
      <c r="AF106" s="222">
        <f t="shared" si="82"/>
        <v>0.41793991047021484</v>
      </c>
      <c r="AG106" s="222">
        <f t="shared" si="82"/>
        <v>0.44</v>
      </c>
      <c r="AJ106" s="231" t="s">
        <v>1331</v>
      </c>
      <c r="AL106" s="217"/>
      <c r="AM106" s="218"/>
      <c r="AN106" s="218"/>
      <c r="AO106" s="218"/>
    </row>
    <row r="107" spans="1:63" ht="16" outlineLevel="1" thickTop="1">
      <c r="A107" t="s">
        <v>1332</v>
      </c>
      <c r="B107" s="54" t="s">
        <v>462</v>
      </c>
      <c r="C107" s="214">
        <v>2.5000000000000001E-2</v>
      </c>
      <c r="D107" s="110">
        <f>$C107+($M107-$C107)/10*(D$1-$C$1)</f>
        <v>3.1255416735465176E-2</v>
      </c>
      <c r="E107" s="110">
        <f t="shared" ref="E107:L107" si="83">$C107+($M107-$C107)/10*(E$1-$C$1)</f>
        <v>3.7510833470930344E-2</v>
      </c>
      <c r="F107" s="110">
        <f t="shared" si="83"/>
        <v>4.3766250206395518E-2</v>
      </c>
      <c r="G107" s="110">
        <f t="shared" si="83"/>
        <v>5.0021666941860693E-2</v>
      </c>
      <c r="H107" s="110">
        <f t="shared" si="83"/>
        <v>5.6277083677325861E-2</v>
      </c>
      <c r="I107" s="110">
        <f t="shared" si="83"/>
        <v>6.2532500412791042E-2</v>
      </c>
      <c r="J107" s="110">
        <f t="shared" si="83"/>
        <v>6.8787917148256203E-2</v>
      </c>
      <c r="K107" s="110">
        <f t="shared" si="83"/>
        <v>7.5043333883721378E-2</v>
      </c>
      <c r="L107" s="110">
        <f t="shared" si="83"/>
        <v>8.1298750619186552E-2</v>
      </c>
      <c r="M107" s="121">
        <f>(M$55-$C$55)/($AG$55-$C$55)*($AG107-$C107)+$C107</f>
        <v>8.7554167354651713E-2</v>
      </c>
      <c r="N107" s="121">
        <f>$M107+($W107-$M107)/10*(N$1-$M$1)</f>
        <v>0.10073866108940137</v>
      </c>
      <c r="O107" s="121">
        <f t="shared" ref="O107:U107" si="84">$M107+($W107-$M107)/10*(O$1-$M$1)</f>
        <v>0.11392315482415102</v>
      </c>
      <c r="P107" s="121">
        <f t="shared" si="84"/>
        <v>0.12710764855890069</v>
      </c>
      <c r="Q107" s="121">
        <f t="shared" si="84"/>
        <v>0.14029214229365033</v>
      </c>
      <c r="R107" s="121">
        <f t="shared" si="84"/>
        <v>0.1534766360284</v>
      </c>
      <c r="S107" s="121">
        <f t="shared" si="84"/>
        <v>0.16666112976314967</v>
      </c>
      <c r="T107" s="121">
        <f t="shared" si="84"/>
        <v>0.17984562349789934</v>
      </c>
      <c r="U107" s="121">
        <f t="shared" si="84"/>
        <v>0.19303011723264898</v>
      </c>
      <c r="V107" s="121">
        <f>$M107+($W107-$M107)/10*(V$1-$M$1)</f>
        <v>0.20621461096739863</v>
      </c>
      <c r="W107" s="121">
        <f>(W$55-$C$55)/($AG$55-$C$55)*($AG107-$C107)+$C107</f>
        <v>0.2193991047021483</v>
      </c>
      <c r="X107" s="110">
        <f>$W107+($AG107-$W107)/10*(X$1-$W$1)</f>
        <v>0.24145919423193346</v>
      </c>
      <c r="Y107" s="110">
        <f t="shared" ref="Y107:AF107" si="85">$W107+($AG107-$W107)/10*(Y$1-$W$1)</f>
        <v>0.26351928376171863</v>
      </c>
      <c r="Z107" s="110">
        <f t="shared" si="85"/>
        <v>0.28557937329150385</v>
      </c>
      <c r="AA107" s="110">
        <f t="shared" si="85"/>
        <v>0.30763946282128896</v>
      </c>
      <c r="AB107" s="110">
        <f t="shared" si="85"/>
        <v>0.32969955235107418</v>
      </c>
      <c r="AC107" s="110">
        <f t="shared" si="85"/>
        <v>0.35175964188085934</v>
      </c>
      <c r="AD107" s="110">
        <f t="shared" si="85"/>
        <v>0.37381973141064451</v>
      </c>
      <c r="AE107" s="110">
        <f t="shared" si="85"/>
        <v>0.39587982094042967</v>
      </c>
      <c r="AF107" s="110">
        <f t="shared" si="85"/>
        <v>0.41793991047021484</v>
      </c>
      <c r="AG107" s="214">
        <v>0.44</v>
      </c>
      <c r="AJ107" s="211" t="s">
        <v>1436</v>
      </c>
    </row>
    <row r="108" spans="1:63" outlineLevel="1">
      <c r="A108" t="s">
        <v>1437</v>
      </c>
      <c r="B108" s="54" t="s">
        <v>462</v>
      </c>
      <c r="C108" s="214">
        <v>0.08</v>
      </c>
      <c r="D108" s="110">
        <f t="shared" ref="D108:AF108" si="86">C108-($C$108-$AG$108)/($AG$1-$C$1)</f>
        <v>0.10400000000000001</v>
      </c>
      <c r="E108" s="110">
        <f t="shared" si="86"/>
        <v>0.128</v>
      </c>
      <c r="F108" s="110">
        <f t="shared" si="86"/>
        <v>0.152</v>
      </c>
      <c r="G108" s="110">
        <f t="shared" si="86"/>
        <v>0.17599999999999999</v>
      </c>
      <c r="H108" s="110">
        <f t="shared" si="86"/>
        <v>0.19999999999999998</v>
      </c>
      <c r="I108" s="110">
        <f t="shared" si="86"/>
        <v>0.22399999999999998</v>
      </c>
      <c r="J108" s="110">
        <f t="shared" si="86"/>
        <v>0.24799999999999997</v>
      </c>
      <c r="K108" s="110">
        <f t="shared" si="86"/>
        <v>0.27199999999999996</v>
      </c>
      <c r="L108" s="110">
        <f t="shared" si="86"/>
        <v>0.29599999999999999</v>
      </c>
      <c r="M108" s="110">
        <f t="shared" si="86"/>
        <v>0.32</v>
      </c>
      <c r="N108" s="110">
        <f t="shared" si="86"/>
        <v>0.34400000000000003</v>
      </c>
      <c r="O108" s="110">
        <f t="shared" si="86"/>
        <v>0.36800000000000005</v>
      </c>
      <c r="P108" s="110">
        <f t="shared" si="86"/>
        <v>0.39200000000000007</v>
      </c>
      <c r="Q108" s="110">
        <f t="shared" si="86"/>
        <v>0.41600000000000009</v>
      </c>
      <c r="R108" s="110">
        <f t="shared" si="86"/>
        <v>0.44000000000000011</v>
      </c>
      <c r="S108" s="110">
        <f t="shared" si="86"/>
        <v>0.46400000000000013</v>
      </c>
      <c r="T108" s="110">
        <f t="shared" si="86"/>
        <v>0.48800000000000016</v>
      </c>
      <c r="U108" s="110">
        <f t="shared" si="86"/>
        <v>0.51200000000000012</v>
      </c>
      <c r="V108" s="110">
        <f t="shared" si="86"/>
        <v>0.53600000000000014</v>
      </c>
      <c r="W108" s="110">
        <f t="shared" si="86"/>
        <v>0.56000000000000016</v>
      </c>
      <c r="X108" s="110">
        <f t="shared" si="86"/>
        <v>0.58400000000000019</v>
      </c>
      <c r="Y108" s="110">
        <f t="shared" si="86"/>
        <v>0.60800000000000021</v>
      </c>
      <c r="Z108" s="110">
        <f t="shared" si="86"/>
        <v>0.63200000000000023</v>
      </c>
      <c r="AA108" s="110">
        <f t="shared" si="86"/>
        <v>0.65600000000000025</v>
      </c>
      <c r="AB108" s="110">
        <f t="shared" si="86"/>
        <v>0.68000000000000027</v>
      </c>
      <c r="AC108" s="110">
        <f t="shared" si="86"/>
        <v>0.70400000000000029</v>
      </c>
      <c r="AD108" s="110">
        <f t="shared" si="86"/>
        <v>0.72800000000000031</v>
      </c>
      <c r="AE108" s="110">
        <f t="shared" si="86"/>
        <v>0.75200000000000033</v>
      </c>
      <c r="AF108" s="110">
        <f t="shared" si="86"/>
        <v>0.77600000000000036</v>
      </c>
      <c r="AG108" s="214">
        <v>0.8</v>
      </c>
      <c r="AI108" s="134"/>
      <c r="AJ108" s="211" t="s">
        <v>1438</v>
      </c>
      <c r="AL108" s="54" t="s">
        <v>1439</v>
      </c>
    </row>
    <row r="109" spans="1:63" outlineLevel="1">
      <c r="A109" t="s">
        <v>1440</v>
      </c>
      <c r="B109" s="176" t="s">
        <v>462</v>
      </c>
      <c r="C109" s="110">
        <f>1-C108</f>
        <v>0.92</v>
      </c>
      <c r="D109" s="110">
        <f t="shared" ref="D109:AG109" si="87">1-D108</f>
        <v>0.89600000000000002</v>
      </c>
      <c r="E109" s="110">
        <f t="shared" si="87"/>
        <v>0.872</v>
      </c>
      <c r="F109" s="110">
        <f t="shared" si="87"/>
        <v>0.84799999999999998</v>
      </c>
      <c r="G109" s="110">
        <f t="shared" si="87"/>
        <v>0.82400000000000007</v>
      </c>
      <c r="H109" s="110">
        <f t="shared" si="87"/>
        <v>0.8</v>
      </c>
      <c r="I109" s="110">
        <f t="shared" si="87"/>
        <v>0.77600000000000002</v>
      </c>
      <c r="J109" s="110">
        <f t="shared" si="87"/>
        <v>0.752</v>
      </c>
      <c r="K109" s="110">
        <f t="shared" si="87"/>
        <v>0.72799999999999998</v>
      </c>
      <c r="L109" s="110">
        <f t="shared" si="87"/>
        <v>0.70399999999999996</v>
      </c>
      <c r="M109" s="110">
        <f t="shared" si="87"/>
        <v>0.67999999999999994</v>
      </c>
      <c r="N109" s="110">
        <f t="shared" si="87"/>
        <v>0.65599999999999992</v>
      </c>
      <c r="O109" s="110">
        <f t="shared" si="87"/>
        <v>0.6319999999999999</v>
      </c>
      <c r="P109" s="110">
        <f t="shared" si="87"/>
        <v>0.60799999999999987</v>
      </c>
      <c r="Q109" s="110">
        <f t="shared" si="87"/>
        <v>0.58399999999999985</v>
      </c>
      <c r="R109" s="110">
        <f t="shared" si="87"/>
        <v>0.55999999999999983</v>
      </c>
      <c r="S109" s="110">
        <f t="shared" si="87"/>
        <v>0.53599999999999981</v>
      </c>
      <c r="T109" s="110">
        <f t="shared" si="87"/>
        <v>0.51199999999999979</v>
      </c>
      <c r="U109" s="110">
        <f t="shared" si="87"/>
        <v>0.48799999999999988</v>
      </c>
      <c r="V109" s="110">
        <f t="shared" si="87"/>
        <v>0.46399999999999986</v>
      </c>
      <c r="W109" s="110">
        <f t="shared" si="87"/>
        <v>0.43999999999999984</v>
      </c>
      <c r="X109" s="110">
        <f t="shared" si="87"/>
        <v>0.41599999999999981</v>
      </c>
      <c r="Y109" s="110">
        <f t="shared" si="87"/>
        <v>0.39199999999999979</v>
      </c>
      <c r="Z109" s="110">
        <f t="shared" si="87"/>
        <v>0.36799999999999977</v>
      </c>
      <c r="AA109" s="110">
        <f t="shared" si="87"/>
        <v>0.34399999999999975</v>
      </c>
      <c r="AB109" s="110">
        <f t="shared" si="87"/>
        <v>0.31999999999999973</v>
      </c>
      <c r="AC109" s="110">
        <f t="shared" si="87"/>
        <v>0.29599999999999971</v>
      </c>
      <c r="AD109" s="110">
        <f t="shared" si="87"/>
        <v>0.27199999999999969</v>
      </c>
      <c r="AE109" s="110">
        <f t="shared" si="87"/>
        <v>0.24799999999999967</v>
      </c>
      <c r="AF109" s="110">
        <f t="shared" si="87"/>
        <v>0.22399999999999964</v>
      </c>
      <c r="AG109" s="110">
        <f t="shared" si="87"/>
        <v>0.19999999999999996</v>
      </c>
      <c r="AI109" s="134"/>
      <c r="AJ109" s="211"/>
      <c r="BD109" s="760"/>
      <c r="BE109" s="760"/>
    </row>
    <row r="110" spans="1:63" outlineLevel="1">
      <c r="A110" t="s">
        <v>1333</v>
      </c>
      <c r="B110" s="54" t="s">
        <v>462</v>
      </c>
      <c r="C110" s="110">
        <f>C107*C108</f>
        <v>2E-3</v>
      </c>
      <c r="D110" s="110">
        <f t="shared" ref="D110:AG110" si="88">D107*D108</f>
        <v>3.2505633404883785E-3</v>
      </c>
      <c r="E110" s="110">
        <f t="shared" si="88"/>
        <v>4.8013866842790843E-3</v>
      </c>
      <c r="F110" s="110">
        <f t="shared" si="88"/>
        <v>6.652470031372119E-3</v>
      </c>
      <c r="G110" s="110">
        <f t="shared" si="88"/>
        <v>8.8038133817674811E-3</v>
      </c>
      <c r="H110" s="110">
        <f t="shared" si="88"/>
        <v>1.125541673546517E-2</v>
      </c>
      <c r="I110" s="110">
        <f t="shared" si="88"/>
        <v>1.4007280092465192E-2</v>
      </c>
      <c r="J110" s="110">
        <f t="shared" si="88"/>
        <v>1.7059403452767536E-2</v>
      </c>
      <c r="K110" s="110">
        <f t="shared" si="88"/>
        <v>2.0411786816372211E-2</v>
      </c>
      <c r="L110" s="110">
        <f t="shared" si="88"/>
        <v>2.4064430183279219E-2</v>
      </c>
      <c r="M110" s="110">
        <f t="shared" si="88"/>
        <v>2.8017333553488549E-2</v>
      </c>
      <c r="N110" s="110">
        <f t="shared" si="88"/>
        <v>3.4654099414754072E-2</v>
      </c>
      <c r="O110" s="110">
        <f t="shared" si="88"/>
        <v>4.1923720975287584E-2</v>
      </c>
      <c r="P110" s="110">
        <f t="shared" si="88"/>
        <v>4.9826198235089082E-2</v>
      </c>
      <c r="Q110" s="110">
        <f t="shared" si="88"/>
        <v>5.8361531194158552E-2</v>
      </c>
      <c r="R110" s="110">
        <f t="shared" si="88"/>
        <v>6.752971985249602E-2</v>
      </c>
      <c r="S110" s="110">
        <f t="shared" si="88"/>
        <v>7.7330764210101474E-2</v>
      </c>
      <c r="T110" s="110">
        <f t="shared" si="88"/>
        <v>8.7764664266974907E-2</v>
      </c>
      <c r="U110" s="110">
        <f t="shared" si="88"/>
        <v>9.8831420023116304E-2</v>
      </c>
      <c r="V110" s="110">
        <f t="shared" si="88"/>
        <v>0.11053103147852569</v>
      </c>
      <c r="W110" s="110">
        <f t="shared" si="88"/>
        <v>0.12286349863320307</v>
      </c>
      <c r="X110" s="110">
        <f t="shared" si="88"/>
        <v>0.14101216943144917</v>
      </c>
      <c r="Y110" s="110">
        <f t="shared" si="88"/>
        <v>0.16021972452712499</v>
      </c>
      <c r="Z110" s="110">
        <f t="shared" si="88"/>
        <v>0.18048616392023051</v>
      </c>
      <c r="AA110" s="110">
        <f t="shared" si="88"/>
        <v>0.20181148761076564</v>
      </c>
      <c r="AB110" s="110">
        <f t="shared" si="88"/>
        <v>0.22419569559873054</v>
      </c>
      <c r="AC110" s="110">
        <f t="shared" si="88"/>
        <v>0.24763878788412508</v>
      </c>
      <c r="AD110" s="110">
        <f t="shared" si="88"/>
        <v>0.27214076446694929</v>
      </c>
      <c r="AE110" s="110">
        <f t="shared" si="88"/>
        <v>0.29770162534720324</v>
      </c>
      <c r="AF110" s="110">
        <f t="shared" si="88"/>
        <v>0.32432137052488685</v>
      </c>
      <c r="AG110" s="110">
        <f t="shared" si="88"/>
        <v>0.35200000000000004</v>
      </c>
      <c r="AI110" s="134"/>
      <c r="AJ110" s="211"/>
      <c r="BD110" s="203"/>
      <c r="BE110" s="203"/>
    </row>
    <row r="111" spans="1:63" outlineLevel="1">
      <c r="A111" t="s">
        <v>1334</v>
      </c>
      <c r="B111" s="54" t="s">
        <v>462</v>
      </c>
      <c r="C111" s="110">
        <f>C107*C109</f>
        <v>2.3000000000000003E-2</v>
      </c>
      <c r="D111" s="110">
        <f t="shared" ref="D111:AG111" si="89">D107*D109</f>
        <v>2.8004853394976797E-2</v>
      </c>
      <c r="E111" s="110">
        <f t="shared" si="89"/>
        <v>3.2709446786651261E-2</v>
      </c>
      <c r="F111" s="110">
        <f t="shared" si="89"/>
        <v>3.7113780175023398E-2</v>
      </c>
      <c r="G111" s="110">
        <f t="shared" si="89"/>
        <v>4.1217853560093214E-2</v>
      </c>
      <c r="H111" s="110">
        <f t="shared" si="89"/>
        <v>4.5021666941860689E-2</v>
      </c>
      <c r="I111" s="110">
        <f t="shared" si="89"/>
        <v>4.852522032032585E-2</v>
      </c>
      <c r="J111" s="110">
        <f t="shared" si="89"/>
        <v>5.1728513695488663E-2</v>
      </c>
      <c r="K111" s="110">
        <f t="shared" si="89"/>
        <v>5.4631547067349163E-2</v>
      </c>
      <c r="L111" s="110">
        <f t="shared" si="89"/>
        <v>5.7234320435907329E-2</v>
      </c>
      <c r="M111" s="110">
        <f t="shared" si="89"/>
        <v>5.9536833801163161E-2</v>
      </c>
      <c r="N111" s="110">
        <f t="shared" si="89"/>
        <v>6.6084561674647282E-2</v>
      </c>
      <c r="O111" s="110">
        <f t="shared" si="89"/>
        <v>7.1999433848863439E-2</v>
      </c>
      <c r="P111" s="110">
        <f t="shared" si="89"/>
        <v>7.7281450323811604E-2</v>
      </c>
      <c r="Q111" s="110">
        <f t="shared" si="89"/>
        <v>8.1930611099491776E-2</v>
      </c>
      <c r="R111" s="110">
        <f t="shared" si="89"/>
        <v>8.594691617590397E-2</v>
      </c>
      <c r="S111" s="110">
        <f t="shared" si="89"/>
        <v>8.9330365553048199E-2</v>
      </c>
      <c r="T111" s="110">
        <f t="shared" si="89"/>
        <v>9.2080959230924422E-2</v>
      </c>
      <c r="U111" s="110">
        <f t="shared" si="89"/>
        <v>9.4198697209532681E-2</v>
      </c>
      <c r="V111" s="110">
        <f t="shared" si="89"/>
        <v>9.5683579488872933E-2</v>
      </c>
      <c r="W111" s="110">
        <f t="shared" si="89"/>
        <v>9.6535606068945221E-2</v>
      </c>
      <c r="X111" s="110">
        <f t="shared" si="89"/>
        <v>0.10044702480048427</v>
      </c>
      <c r="Y111" s="110">
        <f t="shared" si="89"/>
        <v>0.10329955923459365</v>
      </c>
      <c r="Z111" s="110">
        <f t="shared" si="89"/>
        <v>0.10509320937127335</v>
      </c>
      <c r="AA111" s="110">
        <f t="shared" si="89"/>
        <v>0.10582797521052333</v>
      </c>
      <c r="AB111" s="110">
        <f t="shared" si="89"/>
        <v>0.10550385675234365</v>
      </c>
      <c r="AC111" s="110">
        <f t="shared" si="89"/>
        <v>0.10412085399673426</v>
      </c>
      <c r="AD111" s="110">
        <f t="shared" si="89"/>
        <v>0.10167896694369519</v>
      </c>
      <c r="AE111" s="110">
        <f t="shared" si="89"/>
        <v>9.8178195593226422E-2</v>
      </c>
      <c r="AF111" s="110">
        <f t="shared" si="89"/>
        <v>9.3618539945327969E-2</v>
      </c>
      <c r="AG111" s="110">
        <f t="shared" si="89"/>
        <v>8.7999999999999981E-2</v>
      </c>
      <c r="AI111" s="134"/>
      <c r="AJ111" s="211"/>
      <c r="BD111" s="203"/>
      <c r="BE111" s="203"/>
    </row>
    <row r="112" spans="1:63" outlineLevel="1">
      <c r="B112" s="176"/>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I112" s="134"/>
      <c r="AJ112" s="211"/>
      <c r="BD112" s="203"/>
      <c r="BE112" s="203"/>
    </row>
    <row r="113" spans="1:62" ht="16" outlineLevel="1">
      <c r="A113" t="s">
        <v>1441</v>
      </c>
      <c r="B113" s="54" t="s">
        <v>462</v>
      </c>
      <c r="C113" s="214">
        <v>0.52</v>
      </c>
      <c r="D113" s="110">
        <f>C113</f>
        <v>0.52</v>
      </c>
      <c r="E113" s="110">
        <f t="shared" ref="E113:AG115" si="90">D113</f>
        <v>0.52</v>
      </c>
      <c r="F113" s="110">
        <f t="shared" si="90"/>
        <v>0.52</v>
      </c>
      <c r="G113" s="110">
        <f t="shared" si="90"/>
        <v>0.52</v>
      </c>
      <c r="H113" s="110">
        <f t="shared" si="90"/>
        <v>0.52</v>
      </c>
      <c r="I113" s="110">
        <f t="shared" si="90"/>
        <v>0.52</v>
      </c>
      <c r="J113" s="110">
        <f t="shared" si="90"/>
        <v>0.52</v>
      </c>
      <c r="K113" s="110">
        <f t="shared" si="90"/>
        <v>0.52</v>
      </c>
      <c r="L113" s="110">
        <f t="shared" si="90"/>
        <v>0.52</v>
      </c>
      <c r="M113" s="110">
        <f t="shared" si="90"/>
        <v>0.52</v>
      </c>
      <c r="N113" s="110">
        <f t="shared" si="90"/>
        <v>0.52</v>
      </c>
      <c r="O113" s="110">
        <f t="shared" si="90"/>
        <v>0.52</v>
      </c>
      <c r="P113" s="110">
        <f t="shared" si="90"/>
        <v>0.52</v>
      </c>
      <c r="Q113" s="110">
        <f t="shared" si="90"/>
        <v>0.52</v>
      </c>
      <c r="R113" s="110">
        <f t="shared" si="90"/>
        <v>0.52</v>
      </c>
      <c r="S113" s="110">
        <f t="shared" si="90"/>
        <v>0.52</v>
      </c>
      <c r="T113" s="110">
        <f t="shared" si="90"/>
        <v>0.52</v>
      </c>
      <c r="U113" s="110">
        <f t="shared" si="90"/>
        <v>0.52</v>
      </c>
      <c r="V113" s="110">
        <f t="shared" si="90"/>
        <v>0.52</v>
      </c>
      <c r="W113" s="110">
        <f t="shared" si="90"/>
        <v>0.52</v>
      </c>
      <c r="X113" s="110">
        <f t="shared" si="90"/>
        <v>0.52</v>
      </c>
      <c r="Y113" s="110">
        <f t="shared" si="90"/>
        <v>0.52</v>
      </c>
      <c r="Z113" s="110">
        <f t="shared" si="90"/>
        <v>0.52</v>
      </c>
      <c r="AA113" s="110">
        <f t="shared" si="90"/>
        <v>0.52</v>
      </c>
      <c r="AB113" s="110">
        <f t="shared" si="90"/>
        <v>0.52</v>
      </c>
      <c r="AC113" s="110">
        <f t="shared" si="90"/>
        <v>0.52</v>
      </c>
      <c r="AD113" s="110">
        <f t="shared" si="90"/>
        <v>0.52</v>
      </c>
      <c r="AE113" s="110">
        <f t="shared" si="90"/>
        <v>0.52</v>
      </c>
      <c r="AF113" s="110">
        <f t="shared" si="90"/>
        <v>0.52</v>
      </c>
      <c r="AG113" s="110">
        <f t="shared" si="90"/>
        <v>0.52</v>
      </c>
      <c r="AI113" s="133" t="s">
        <v>1442</v>
      </c>
      <c r="AJ113" s="232" t="s">
        <v>1443</v>
      </c>
      <c r="BD113" s="203"/>
      <c r="BE113" s="203"/>
    </row>
    <row r="114" spans="1:62" ht="16" outlineLevel="1">
      <c r="A114" t="s">
        <v>1444</v>
      </c>
      <c r="B114" s="54" t="s">
        <v>462</v>
      </c>
      <c r="C114" s="214">
        <v>0.12</v>
      </c>
      <c r="D114" s="110">
        <f t="shared" ref="D114:S115" si="91">C114</f>
        <v>0.12</v>
      </c>
      <c r="E114" s="110">
        <f t="shared" si="91"/>
        <v>0.12</v>
      </c>
      <c r="F114" s="110">
        <f t="shared" si="91"/>
        <v>0.12</v>
      </c>
      <c r="G114" s="110">
        <f t="shared" si="91"/>
        <v>0.12</v>
      </c>
      <c r="H114" s="110">
        <f t="shared" si="91"/>
        <v>0.12</v>
      </c>
      <c r="I114" s="110">
        <f t="shared" si="91"/>
        <v>0.12</v>
      </c>
      <c r="J114" s="110">
        <f t="shared" si="91"/>
        <v>0.12</v>
      </c>
      <c r="K114" s="110">
        <f t="shared" si="91"/>
        <v>0.12</v>
      </c>
      <c r="L114" s="110">
        <f t="shared" si="91"/>
        <v>0.12</v>
      </c>
      <c r="M114" s="110">
        <f t="shared" si="91"/>
        <v>0.12</v>
      </c>
      <c r="N114" s="110">
        <f t="shared" si="91"/>
        <v>0.12</v>
      </c>
      <c r="O114" s="110">
        <f t="shared" si="91"/>
        <v>0.12</v>
      </c>
      <c r="P114" s="110">
        <f t="shared" si="91"/>
        <v>0.12</v>
      </c>
      <c r="Q114" s="110">
        <f t="shared" si="91"/>
        <v>0.12</v>
      </c>
      <c r="R114" s="110">
        <f t="shared" si="91"/>
        <v>0.12</v>
      </c>
      <c r="S114" s="110">
        <f t="shared" si="91"/>
        <v>0.12</v>
      </c>
      <c r="T114" s="110">
        <f t="shared" si="90"/>
        <v>0.12</v>
      </c>
      <c r="U114" s="110">
        <f t="shared" si="90"/>
        <v>0.12</v>
      </c>
      <c r="V114" s="110">
        <f t="shared" si="90"/>
        <v>0.12</v>
      </c>
      <c r="W114" s="110">
        <f t="shared" si="90"/>
        <v>0.12</v>
      </c>
      <c r="X114" s="110">
        <f t="shared" si="90"/>
        <v>0.12</v>
      </c>
      <c r="Y114" s="110">
        <f t="shared" si="90"/>
        <v>0.12</v>
      </c>
      <c r="Z114" s="110">
        <f t="shared" si="90"/>
        <v>0.12</v>
      </c>
      <c r="AA114" s="110">
        <f t="shared" si="90"/>
        <v>0.12</v>
      </c>
      <c r="AB114" s="110">
        <f t="shared" si="90"/>
        <v>0.12</v>
      </c>
      <c r="AC114" s="110">
        <f t="shared" si="90"/>
        <v>0.12</v>
      </c>
      <c r="AD114" s="110">
        <f t="shared" si="90"/>
        <v>0.12</v>
      </c>
      <c r="AE114" s="110">
        <f t="shared" si="90"/>
        <v>0.12</v>
      </c>
      <c r="AF114" s="110">
        <f t="shared" si="90"/>
        <v>0.12</v>
      </c>
      <c r="AG114" s="110">
        <f t="shared" si="90"/>
        <v>0.12</v>
      </c>
      <c r="AI114" s="133" t="s">
        <v>1442</v>
      </c>
      <c r="AJ114" s="232" t="s">
        <v>1443</v>
      </c>
      <c r="AL114" s="1"/>
      <c r="BC114" s="1"/>
      <c r="BD114" s="762"/>
      <c r="BE114" s="760"/>
      <c r="BF114" s="6"/>
      <c r="BG114" s="6"/>
      <c r="BH114" s="6"/>
      <c r="BI114" s="6"/>
      <c r="BJ114" s="6"/>
    </row>
    <row r="115" spans="1:62" outlineLevel="1">
      <c r="A115" t="s">
        <v>1445</v>
      </c>
      <c r="B115" s="54" t="s">
        <v>462</v>
      </c>
      <c r="C115" s="121">
        <f>1-C113-C114</f>
        <v>0.36</v>
      </c>
      <c r="D115" s="110">
        <f t="shared" si="91"/>
        <v>0.36</v>
      </c>
      <c r="E115" s="110">
        <f t="shared" si="90"/>
        <v>0.36</v>
      </c>
      <c r="F115" s="110">
        <f t="shared" si="90"/>
        <v>0.36</v>
      </c>
      <c r="G115" s="110">
        <f t="shared" si="90"/>
        <v>0.36</v>
      </c>
      <c r="H115" s="110">
        <f t="shared" si="90"/>
        <v>0.36</v>
      </c>
      <c r="I115" s="110">
        <f t="shared" si="90"/>
        <v>0.36</v>
      </c>
      <c r="J115" s="110">
        <f t="shared" si="90"/>
        <v>0.36</v>
      </c>
      <c r="K115" s="110">
        <f t="shared" si="90"/>
        <v>0.36</v>
      </c>
      <c r="L115" s="110">
        <f t="shared" si="90"/>
        <v>0.36</v>
      </c>
      <c r="M115" s="110">
        <f t="shared" si="90"/>
        <v>0.36</v>
      </c>
      <c r="N115" s="110">
        <f t="shared" si="90"/>
        <v>0.36</v>
      </c>
      <c r="O115" s="110">
        <f t="shared" si="90"/>
        <v>0.36</v>
      </c>
      <c r="P115" s="110">
        <f t="shared" si="90"/>
        <v>0.36</v>
      </c>
      <c r="Q115" s="110">
        <f t="shared" si="90"/>
        <v>0.36</v>
      </c>
      <c r="R115" s="110">
        <f t="shared" si="90"/>
        <v>0.36</v>
      </c>
      <c r="S115" s="110">
        <f t="shared" si="90"/>
        <v>0.36</v>
      </c>
      <c r="T115" s="110">
        <f t="shared" si="90"/>
        <v>0.36</v>
      </c>
      <c r="U115" s="110">
        <f t="shared" si="90"/>
        <v>0.36</v>
      </c>
      <c r="V115" s="110">
        <f t="shared" si="90"/>
        <v>0.36</v>
      </c>
      <c r="W115" s="110">
        <f t="shared" si="90"/>
        <v>0.36</v>
      </c>
      <c r="X115" s="110">
        <f t="shared" si="90"/>
        <v>0.36</v>
      </c>
      <c r="Y115" s="110">
        <f t="shared" si="90"/>
        <v>0.36</v>
      </c>
      <c r="Z115" s="110">
        <f t="shared" si="90"/>
        <v>0.36</v>
      </c>
      <c r="AA115" s="110">
        <f t="shared" si="90"/>
        <v>0.36</v>
      </c>
      <c r="AB115" s="110">
        <f t="shared" si="90"/>
        <v>0.36</v>
      </c>
      <c r="AC115" s="110">
        <f t="shared" si="90"/>
        <v>0.36</v>
      </c>
      <c r="AD115" s="110">
        <f t="shared" si="90"/>
        <v>0.36</v>
      </c>
      <c r="AE115" s="110">
        <f t="shared" si="90"/>
        <v>0.36</v>
      </c>
      <c r="AF115" s="110">
        <f t="shared" si="90"/>
        <v>0.36</v>
      </c>
      <c r="AG115" s="110">
        <f t="shared" si="90"/>
        <v>0.36</v>
      </c>
      <c r="AI115" s="133"/>
      <c r="AJ115" s="223"/>
      <c r="BC115" s="1"/>
      <c r="BD115" s="41"/>
      <c r="BF115" s="6"/>
      <c r="BG115" s="6"/>
      <c r="BH115" s="6"/>
      <c r="BI115" s="6"/>
      <c r="BJ115" s="6"/>
    </row>
    <row r="116" spans="1:62" outlineLevel="1">
      <c r="A116" t="s">
        <v>1268</v>
      </c>
      <c r="B116" s="54" t="s">
        <v>462</v>
      </c>
      <c r="C116" s="110">
        <f>SUM(C113:C115)</f>
        <v>1</v>
      </c>
      <c r="D116" s="110">
        <f t="shared" ref="D116:AG116" si="92">SUM(D113:D115)</f>
        <v>1</v>
      </c>
      <c r="E116" s="110">
        <f t="shared" si="92"/>
        <v>1</v>
      </c>
      <c r="F116" s="110">
        <f t="shared" si="92"/>
        <v>1</v>
      </c>
      <c r="G116" s="110">
        <f t="shared" si="92"/>
        <v>1</v>
      </c>
      <c r="H116" s="110">
        <f t="shared" si="92"/>
        <v>1</v>
      </c>
      <c r="I116" s="110">
        <f t="shared" si="92"/>
        <v>1</v>
      </c>
      <c r="J116" s="110">
        <f t="shared" si="92"/>
        <v>1</v>
      </c>
      <c r="K116" s="110">
        <f t="shared" si="92"/>
        <v>1</v>
      </c>
      <c r="L116" s="110">
        <f t="shared" si="92"/>
        <v>1</v>
      </c>
      <c r="M116" s="110">
        <f t="shared" si="92"/>
        <v>1</v>
      </c>
      <c r="N116" s="110">
        <f t="shared" si="92"/>
        <v>1</v>
      </c>
      <c r="O116" s="110">
        <f t="shared" si="92"/>
        <v>1</v>
      </c>
      <c r="P116" s="110">
        <f t="shared" si="92"/>
        <v>1</v>
      </c>
      <c r="Q116" s="110">
        <f t="shared" si="92"/>
        <v>1</v>
      </c>
      <c r="R116" s="110">
        <f t="shared" si="92"/>
        <v>1</v>
      </c>
      <c r="S116" s="110">
        <f t="shared" si="92"/>
        <v>1</v>
      </c>
      <c r="T116" s="110">
        <f t="shared" si="92"/>
        <v>1</v>
      </c>
      <c r="U116" s="110">
        <f t="shared" si="92"/>
        <v>1</v>
      </c>
      <c r="V116" s="110">
        <f t="shared" si="92"/>
        <v>1</v>
      </c>
      <c r="W116" s="110">
        <f t="shared" si="92"/>
        <v>1</v>
      </c>
      <c r="X116" s="110">
        <f t="shared" si="92"/>
        <v>1</v>
      </c>
      <c r="Y116" s="110">
        <f t="shared" si="92"/>
        <v>1</v>
      </c>
      <c r="Z116" s="110">
        <f t="shared" si="92"/>
        <v>1</v>
      </c>
      <c r="AA116" s="110">
        <f t="shared" si="92"/>
        <v>1</v>
      </c>
      <c r="AB116" s="110">
        <f t="shared" si="92"/>
        <v>1</v>
      </c>
      <c r="AC116" s="110">
        <f t="shared" si="92"/>
        <v>1</v>
      </c>
      <c r="AD116" s="110">
        <f t="shared" si="92"/>
        <v>1</v>
      </c>
      <c r="AE116" s="110">
        <f t="shared" si="92"/>
        <v>1</v>
      </c>
      <c r="AF116" s="110">
        <f t="shared" si="92"/>
        <v>1</v>
      </c>
      <c r="AG116" s="110">
        <f t="shared" si="92"/>
        <v>1</v>
      </c>
      <c r="AI116" s="133"/>
      <c r="AJ116" s="211"/>
      <c r="BC116" s="1"/>
      <c r="BD116" s="41"/>
      <c r="BF116" s="6"/>
      <c r="BG116" s="6"/>
      <c r="BH116" s="6"/>
      <c r="BI116" s="6"/>
      <c r="BJ116" s="6"/>
    </row>
    <row r="117" spans="1:62" outlineLevel="1">
      <c r="C117" s="214"/>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I117" s="133"/>
      <c r="AJ117" s="211"/>
      <c r="BC117" s="1"/>
      <c r="BD117" s="41"/>
      <c r="BF117" s="6"/>
      <c r="BG117" s="6"/>
      <c r="BH117" s="6"/>
      <c r="BI117" s="6"/>
      <c r="BJ117" s="6"/>
    </row>
    <row r="118" spans="1:62" outlineLevel="1">
      <c r="A118" t="s">
        <v>1335</v>
      </c>
      <c r="B118" s="54" t="s">
        <v>462</v>
      </c>
      <c r="C118" s="110">
        <f>C113*C111</f>
        <v>1.1960000000000002E-2</v>
      </c>
      <c r="D118" s="110">
        <f t="shared" ref="D118:AG118" si="93">D113*D111</f>
        <v>1.4562523765387934E-2</v>
      </c>
      <c r="E118" s="110">
        <f t="shared" si="93"/>
        <v>1.7008912329058656E-2</v>
      </c>
      <c r="F118" s="110">
        <f t="shared" si="93"/>
        <v>1.9299165691012168E-2</v>
      </c>
      <c r="G118" s="110">
        <f t="shared" si="93"/>
        <v>2.1433283851248472E-2</v>
      </c>
      <c r="H118" s="110">
        <f t="shared" si="93"/>
        <v>2.3411266809767559E-2</v>
      </c>
      <c r="I118" s="110">
        <f t="shared" si="93"/>
        <v>2.5233114566569442E-2</v>
      </c>
      <c r="J118" s="110">
        <f t="shared" si="93"/>
        <v>2.6898827121654107E-2</v>
      </c>
      <c r="K118" s="110">
        <f t="shared" si="93"/>
        <v>2.8408404475021565E-2</v>
      </c>
      <c r="L118" s="110">
        <f t="shared" si="93"/>
        <v>2.9761846626671813E-2</v>
      </c>
      <c r="M118" s="110">
        <f t="shared" si="93"/>
        <v>3.0959153576604843E-2</v>
      </c>
      <c r="N118" s="110">
        <f t="shared" si="93"/>
        <v>3.4363972070816588E-2</v>
      </c>
      <c r="O118" s="110">
        <f t="shared" si="93"/>
        <v>3.7439705601408989E-2</v>
      </c>
      <c r="P118" s="110">
        <f t="shared" si="93"/>
        <v>4.0186354168382038E-2</v>
      </c>
      <c r="Q118" s="110">
        <f t="shared" si="93"/>
        <v>4.2603917771735722E-2</v>
      </c>
      <c r="R118" s="110">
        <f t="shared" si="93"/>
        <v>4.4692396411470069E-2</v>
      </c>
      <c r="S118" s="110">
        <f t="shared" si="93"/>
        <v>4.6451790087585064E-2</v>
      </c>
      <c r="T118" s="110">
        <f t="shared" si="93"/>
        <v>4.7882098800080701E-2</v>
      </c>
      <c r="U118" s="110">
        <f t="shared" si="93"/>
        <v>4.8983322548956994E-2</v>
      </c>
      <c r="V118" s="110">
        <f t="shared" si="93"/>
        <v>4.9755461334213928E-2</v>
      </c>
      <c r="W118" s="110">
        <f t="shared" si="93"/>
        <v>5.0198515155851518E-2</v>
      </c>
      <c r="X118" s="110">
        <f t="shared" si="93"/>
        <v>5.2232452896251821E-2</v>
      </c>
      <c r="Y118" s="110">
        <f t="shared" si="93"/>
        <v>5.3715770801988701E-2</v>
      </c>
      <c r="Z118" s="110">
        <f t="shared" si="93"/>
        <v>5.4648468873062142E-2</v>
      </c>
      <c r="AA118" s="110">
        <f t="shared" si="93"/>
        <v>5.5030547109472132E-2</v>
      </c>
      <c r="AB118" s="110">
        <f t="shared" si="93"/>
        <v>5.4862005511218705E-2</v>
      </c>
      <c r="AC118" s="110">
        <f t="shared" si="93"/>
        <v>5.4142844078301819E-2</v>
      </c>
      <c r="AD118" s="110">
        <f t="shared" si="93"/>
        <v>5.2873062810721502E-2</v>
      </c>
      <c r="AE118" s="110">
        <f t="shared" si="93"/>
        <v>5.1052661708477741E-2</v>
      </c>
      <c r="AF118" s="110">
        <f t="shared" si="93"/>
        <v>4.8681640771570549E-2</v>
      </c>
      <c r="AG118" s="110">
        <f t="shared" si="93"/>
        <v>4.5759999999999995E-2</v>
      </c>
      <c r="AI118" s="133"/>
      <c r="AJ118" s="211"/>
      <c r="BD118" s="203"/>
      <c r="BE118" s="203"/>
    </row>
    <row r="119" spans="1:62" outlineLevel="1">
      <c r="A119" t="s">
        <v>1336</v>
      </c>
      <c r="B119" s="54" t="s">
        <v>462</v>
      </c>
      <c r="C119" s="110">
        <f>C111*C114</f>
        <v>2.7600000000000003E-3</v>
      </c>
      <c r="D119" s="110">
        <f t="shared" ref="D119:AG119" si="94">D111*D114</f>
        <v>3.3605824073972158E-3</v>
      </c>
      <c r="E119" s="110">
        <f t="shared" si="94"/>
        <v>3.9251336143981512E-3</v>
      </c>
      <c r="F119" s="110">
        <f t="shared" si="94"/>
        <v>4.4536536210028075E-3</v>
      </c>
      <c r="G119" s="110">
        <f t="shared" si="94"/>
        <v>4.9461424272111854E-3</v>
      </c>
      <c r="H119" s="110">
        <f t="shared" si="94"/>
        <v>5.4026000330232825E-3</v>
      </c>
      <c r="I119" s="110">
        <f t="shared" si="94"/>
        <v>5.8230264384391021E-3</v>
      </c>
      <c r="J119" s="110">
        <f t="shared" si="94"/>
        <v>6.2074216434586391E-3</v>
      </c>
      <c r="K119" s="110">
        <f t="shared" si="94"/>
        <v>6.5557856480818995E-3</v>
      </c>
      <c r="L119" s="110">
        <f t="shared" si="94"/>
        <v>6.868118452308879E-3</v>
      </c>
      <c r="M119" s="110">
        <f t="shared" si="94"/>
        <v>7.1444200561395794E-3</v>
      </c>
      <c r="N119" s="110">
        <f t="shared" si="94"/>
        <v>7.9301474009576736E-3</v>
      </c>
      <c r="O119" s="110">
        <f t="shared" si="94"/>
        <v>8.6399320618636127E-3</v>
      </c>
      <c r="P119" s="110">
        <f t="shared" si="94"/>
        <v>9.2737740388573915E-3</v>
      </c>
      <c r="Q119" s="110">
        <f t="shared" si="94"/>
        <v>9.8316733319390136E-3</v>
      </c>
      <c r="R119" s="110">
        <f t="shared" si="94"/>
        <v>1.0313629941108475E-2</v>
      </c>
      <c r="S119" s="110">
        <f t="shared" si="94"/>
        <v>1.0719643866365784E-2</v>
      </c>
      <c r="T119" s="110">
        <f t="shared" si="94"/>
        <v>1.104971510771093E-2</v>
      </c>
      <c r="U119" s="110">
        <f t="shared" si="94"/>
        <v>1.1303843665143922E-2</v>
      </c>
      <c r="V119" s="110">
        <f t="shared" si="94"/>
        <v>1.1482029538664751E-2</v>
      </c>
      <c r="W119" s="110">
        <f t="shared" si="94"/>
        <v>1.1584272728273426E-2</v>
      </c>
      <c r="X119" s="110">
        <f t="shared" si="94"/>
        <v>1.2053642976058113E-2</v>
      </c>
      <c r="Y119" s="110">
        <f t="shared" si="94"/>
        <v>1.2395947108151237E-2</v>
      </c>
      <c r="Z119" s="110">
        <f t="shared" si="94"/>
        <v>1.2611185124552803E-2</v>
      </c>
      <c r="AA119" s="110">
        <f t="shared" si="94"/>
        <v>1.2699357025262798E-2</v>
      </c>
      <c r="AB119" s="110">
        <f t="shared" si="94"/>
        <v>1.2660462810281237E-2</v>
      </c>
      <c r="AC119" s="110">
        <f t="shared" si="94"/>
        <v>1.2494502479608111E-2</v>
      </c>
      <c r="AD119" s="110">
        <f t="shared" si="94"/>
        <v>1.2201476033243421E-2</v>
      </c>
      <c r="AE119" s="110">
        <f t="shared" si="94"/>
        <v>1.178138347118717E-2</v>
      </c>
      <c r="AF119" s="110">
        <f t="shared" si="94"/>
        <v>1.1234224793439355E-2</v>
      </c>
      <c r="AG119" s="110">
        <f t="shared" si="94"/>
        <v>1.0559999999999996E-2</v>
      </c>
      <c r="AI119" s="133"/>
      <c r="AJ119" s="211"/>
      <c r="AL119" s="1"/>
      <c r="BC119" s="1"/>
      <c r="BD119" s="762"/>
      <c r="BE119" s="760"/>
      <c r="BF119" s="6"/>
      <c r="BG119" s="6"/>
      <c r="BH119" s="6"/>
      <c r="BI119" s="6"/>
      <c r="BJ119" s="6"/>
    </row>
    <row r="120" spans="1:62" outlineLevel="1">
      <c r="A120" t="s">
        <v>1337</v>
      </c>
      <c r="B120" s="54" t="s">
        <v>462</v>
      </c>
      <c r="C120" s="110">
        <f>C111*C115</f>
        <v>8.2800000000000009E-3</v>
      </c>
      <c r="D120" s="110">
        <f t="shared" ref="D120:AG120" si="95">D111*D115</f>
        <v>1.0081747222191647E-2</v>
      </c>
      <c r="E120" s="110">
        <f t="shared" si="95"/>
        <v>1.1775400843194454E-2</v>
      </c>
      <c r="F120" s="110">
        <f t="shared" si="95"/>
        <v>1.3360960863008423E-2</v>
      </c>
      <c r="G120" s="110">
        <f t="shared" si="95"/>
        <v>1.4838427281633556E-2</v>
      </c>
      <c r="H120" s="110">
        <f t="shared" si="95"/>
        <v>1.6207800099069847E-2</v>
      </c>
      <c r="I120" s="110">
        <f t="shared" si="95"/>
        <v>1.7469079315317305E-2</v>
      </c>
      <c r="J120" s="110">
        <f t="shared" si="95"/>
        <v>1.8622264930375918E-2</v>
      </c>
      <c r="K120" s="110">
        <f t="shared" si="95"/>
        <v>1.9667356944245699E-2</v>
      </c>
      <c r="L120" s="110">
        <f t="shared" si="95"/>
        <v>2.0604355356926639E-2</v>
      </c>
      <c r="M120" s="110">
        <f t="shared" si="95"/>
        <v>2.1433260168418736E-2</v>
      </c>
      <c r="N120" s="110">
        <f t="shared" si="95"/>
        <v>2.3790442202873022E-2</v>
      </c>
      <c r="O120" s="110">
        <f t="shared" si="95"/>
        <v>2.5919796185590836E-2</v>
      </c>
      <c r="P120" s="110">
        <f t="shared" si="95"/>
        <v>2.7821322116572178E-2</v>
      </c>
      <c r="Q120" s="110">
        <f t="shared" si="95"/>
        <v>2.9495019995817037E-2</v>
      </c>
      <c r="R120" s="110">
        <f t="shared" si="95"/>
        <v>3.0940889823325428E-2</v>
      </c>
      <c r="S120" s="110">
        <f t="shared" si="95"/>
        <v>3.215893159909735E-2</v>
      </c>
      <c r="T120" s="110">
        <f t="shared" si="95"/>
        <v>3.3149145323132789E-2</v>
      </c>
      <c r="U120" s="110">
        <f t="shared" si="95"/>
        <v>3.3911530995431767E-2</v>
      </c>
      <c r="V120" s="110">
        <f t="shared" si="95"/>
        <v>3.4446088615994255E-2</v>
      </c>
      <c r="W120" s="110">
        <f t="shared" si="95"/>
        <v>3.4752818184820275E-2</v>
      </c>
      <c r="X120" s="110">
        <f t="shared" si="95"/>
        <v>3.6160928928174338E-2</v>
      </c>
      <c r="Y120" s="110">
        <f t="shared" si="95"/>
        <v>3.7187841324453713E-2</v>
      </c>
      <c r="Z120" s="110">
        <f t="shared" si="95"/>
        <v>3.7833555373658408E-2</v>
      </c>
      <c r="AA120" s="110">
        <f t="shared" si="95"/>
        <v>3.8098071075788394E-2</v>
      </c>
      <c r="AB120" s="110">
        <f t="shared" si="95"/>
        <v>3.7981388430843713E-2</v>
      </c>
      <c r="AC120" s="110">
        <f t="shared" si="95"/>
        <v>3.748350743882433E-2</v>
      </c>
      <c r="AD120" s="110">
        <f t="shared" si="95"/>
        <v>3.6604428099730267E-2</v>
      </c>
      <c r="AE120" s="110">
        <f t="shared" si="95"/>
        <v>3.5344150413561509E-2</v>
      </c>
      <c r="AF120" s="110">
        <f t="shared" si="95"/>
        <v>3.3702674380318071E-2</v>
      </c>
      <c r="AG120" s="110">
        <f t="shared" si="95"/>
        <v>3.1679999999999993E-2</v>
      </c>
      <c r="AI120" s="134"/>
      <c r="AJ120" s="211"/>
      <c r="BC120" s="1"/>
      <c r="BD120" s="41"/>
      <c r="BF120" s="6"/>
      <c r="BG120" s="6"/>
      <c r="BH120" s="6"/>
      <c r="BI120" s="6"/>
      <c r="BJ120" s="6"/>
    </row>
    <row r="121" spans="1:62" outlineLevel="1">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I121" s="134"/>
      <c r="AJ121" s="211"/>
      <c r="BC121" s="1"/>
      <c r="BD121" s="41"/>
      <c r="BF121" s="6"/>
      <c r="BG121" s="6"/>
      <c r="BH121" s="6"/>
      <c r="BI121" s="6"/>
      <c r="BJ121" s="6"/>
    </row>
    <row r="122" spans="1:62" outlineLevel="1">
      <c r="A122" t="s">
        <v>1446</v>
      </c>
      <c r="C122" s="382">
        <f>'Overall recycling rates'!C86</f>
        <v>1.2189286506738257</v>
      </c>
      <c r="D122" s="382">
        <f>C122-($C122-$AG122)/($AG1-$C1)</f>
        <v>1.2149643623180315</v>
      </c>
      <c r="E122" s="382">
        <f t="shared" ref="E122:AF122" si="96">D122-($C122-$AG122)/($AG1-$C1)</f>
        <v>1.2110000739622373</v>
      </c>
      <c r="F122" s="382">
        <f t="shared" si="96"/>
        <v>1.2070357856064431</v>
      </c>
      <c r="G122" s="382">
        <f t="shared" si="96"/>
        <v>1.2030714972506489</v>
      </c>
      <c r="H122" s="382">
        <f t="shared" si="96"/>
        <v>1.1991072088948547</v>
      </c>
      <c r="I122" s="382">
        <f t="shared" si="96"/>
        <v>1.1951429205390605</v>
      </c>
      <c r="J122" s="382">
        <f t="shared" si="96"/>
        <v>1.1911786321832663</v>
      </c>
      <c r="K122" s="382">
        <f t="shared" si="96"/>
        <v>1.187214343827472</v>
      </c>
      <c r="L122" s="382">
        <f t="shared" si="96"/>
        <v>1.1832500554716778</v>
      </c>
      <c r="M122" s="382">
        <f t="shared" si="96"/>
        <v>1.1792857671158836</v>
      </c>
      <c r="N122" s="382">
        <f t="shared" si="96"/>
        <v>1.1753214787600894</v>
      </c>
      <c r="O122" s="382">
        <f t="shared" si="96"/>
        <v>1.1713571904042952</v>
      </c>
      <c r="P122" s="382">
        <f t="shared" si="96"/>
        <v>1.167392902048501</v>
      </c>
      <c r="Q122" s="382">
        <f t="shared" si="96"/>
        <v>1.1634286136927068</v>
      </c>
      <c r="R122" s="382">
        <f t="shared" si="96"/>
        <v>1.1594643253369126</v>
      </c>
      <c r="S122" s="382">
        <f t="shared" si="96"/>
        <v>1.1555000369811184</v>
      </c>
      <c r="T122" s="382">
        <f t="shared" si="96"/>
        <v>1.1515357486253242</v>
      </c>
      <c r="U122" s="382">
        <f t="shared" si="96"/>
        <v>1.1475714602695299</v>
      </c>
      <c r="V122" s="382">
        <f t="shared" si="96"/>
        <v>1.1436071719137357</v>
      </c>
      <c r="W122" s="382">
        <f t="shared" si="96"/>
        <v>1.1396428835579415</v>
      </c>
      <c r="X122" s="382">
        <f t="shared" si="96"/>
        <v>1.1356785952021473</v>
      </c>
      <c r="Y122" s="382">
        <f t="shared" si="96"/>
        <v>1.1317143068463531</v>
      </c>
      <c r="Z122" s="382">
        <f t="shared" si="96"/>
        <v>1.1277500184905589</v>
      </c>
      <c r="AA122" s="382">
        <f t="shared" si="96"/>
        <v>1.1237857301347647</v>
      </c>
      <c r="AB122" s="382">
        <f t="shared" si="96"/>
        <v>1.1198214417789705</v>
      </c>
      <c r="AC122" s="382">
        <f t="shared" si="96"/>
        <v>1.1158571534231763</v>
      </c>
      <c r="AD122" s="382">
        <f t="shared" si="96"/>
        <v>1.1118928650673821</v>
      </c>
      <c r="AE122" s="382">
        <f t="shared" si="96"/>
        <v>1.1079285767115878</v>
      </c>
      <c r="AF122" s="382">
        <f t="shared" si="96"/>
        <v>1.1039642883557936</v>
      </c>
      <c r="AG122" s="382">
        <f>'Overall recycling rates'!C95</f>
        <v>1.1000000000000001</v>
      </c>
      <c r="AI122" s="134"/>
      <c r="AJ122" s="211"/>
      <c r="BC122" s="1"/>
      <c r="BD122" s="41"/>
      <c r="BF122" s="6"/>
      <c r="BG122" s="6"/>
      <c r="BH122" s="6"/>
      <c r="BI122" s="6"/>
      <c r="BJ122" s="6"/>
    </row>
    <row r="123" spans="1:62" outlineLevel="1">
      <c r="A123" t="s">
        <v>1447</v>
      </c>
      <c r="B123" s="54" t="s">
        <v>462</v>
      </c>
      <c r="C123" s="110">
        <f>C110*C122</f>
        <v>2.4378573013476516E-3</v>
      </c>
      <c r="D123" s="110">
        <f t="shared" ref="D123:AG123" si="97">D110*D122</f>
        <v>3.9493186161508329E-3</v>
      </c>
      <c r="E123" s="110">
        <f t="shared" si="97"/>
        <v>5.8144796297832724E-3</v>
      </c>
      <c r="F123" s="110">
        <f t="shared" si="97"/>
        <v>8.0297693905405643E-3</v>
      </c>
      <c r="G123" s="110">
        <f t="shared" si="97"/>
        <v>1.0591616946718303E-2</v>
      </c>
      <c r="H123" s="110">
        <f t="shared" si="97"/>
        <v>1.3496451346612077E-2</v>
      </c>
      <c r="I123" s="110">
        <f t="shared" si="97"/>
        <v>1.6740701638517489E-2</v>
      </c>
      <c r="J123" s="110">
        <f t="shared" si="97"/>
        <v>2.0320796870730122E-2</v>
      </c>
      <c r="K123" s="110">
        <f t="shared" si="97"/>
        <v>2.4233166091545577E-2</v>
      </c>
      <c r="L123" s="110">
        <f t="shared" si="97"/>
        <v>2.8474238349259454E-2</v>
      </c>
      <c r="M123" s="110">
        <f t="shared" si="97"/>
        <v>3.3040442692167327E-2</v>
      </c>
      <c r="N123" s="110">
        <f t="shared" si="97"/>
        <v>4.0729707369247907E-2</v>
      </c>
      <c r="O123" s="110">
        <f t="shared" si="97"/>
        <v>4.9107652012906483E-2</v>
      </c>
      <c r="P123" s="110">
        <f t="shared" si="97"/>
        <v>5.8166750155704543E-2</v>
      </c>
      <c r="Q123" s="110">
        <f t="shared" si="97"/>
        <v>6.7899475330203546E-2</v>
      </c>
      <c r="R123" s="110">
        <f t="shared" si="97"/>
        <v>7.8298301068965015E-2</v>
      </c>
      <c r="S123" s="110">
        <f t="shared" si="97"/>
        <v>8.9355700904550403E-2</v>
      </c>
      <c r="T123" s="110">
        <f t="shared" si="97"/>
        <v>0.10106414836952118</v>
      </c>
      <c r="U123" s="110">
        <f t="shared" si="97"/>
        <v>0.11341611699643883</v>
      </c>
      <c r="V123" s="110">
        <f t="shared" si="97"/>
        <v>0.12640408031786488</v>
      </c>
      <c r="W123" s="110">
        <f t="shared" si="97"/>
        <v>0.14002051186636075</v>
      </c>
      <c r="X123" s="110">
        <f t="shared" si="97"/>
        <v>0.16014450248631537</v>
      </c>
      <c r="Y123" s="110">
        <f t="shared" si="97"/>
        <v>0.1813229544863289</v>
      </c>
      <c r="Z123" s="110">
        <f t="shared" si="97"/>
        <v>0.20354327469833</v>
      </c>
      <c r="AA123" s="110">
        <f t="shared" si="97"/>
        <v>0.22679286995424727</v>
      </c>
      <c r="AB123" s="110">
        <f t="shared" si="97"/>
        <v>0.25105914708600963</v>
      </c>
      <c r="AC123" s="110">
        <f t="shared" si="97"/>
        <v>0.27632951292554558</v>
      </c>
      <c r="AD123" s="110">
        <f t="shared" si="97"/>
        <v>0.30259137430478383</v>
      </c>
      <c r="AE123" s="110">
        <f t="shared" si="97"/>
        <v>0.32983213805565326</v>
      </c>
      <c r="AF123" s="110">
        <f t="shared" si="97"/>
        <v>0.3580392110100824</v>
      </c>
      <c r="AG123" s="110">
        <f t="shared" si="97"/>
        <v>0.38720000000000004</v>
      </c>
      <c r="AI123" s="134"/>
      <c r="AJ123" s="211"/>
      <c r="BC123" s="1"/>
      <c r="BD123" s="41"/>
      <c r="BF123" s="6"/>
      <c r="BG123" s="6"/>
      <c r="BH123" s="6"/>
      <c r="BI123" s="6"/>
      <c r="BJ123" s="6"/>
    </row>
    <row r="124" spans="1:62" outlineLevel="1">
      <c r="A124" t="s">
        <v>1448</v>
      </c>
      <c r="B124" s="54" t="s">
        <v>462</v>
      </c>
      <c r="C124" s="110">
        <f>C111*C122</f>
        <v>2.8035358965497994E-2</v>
      </c>
      <c r="D124" s="110">
        <f t="shared" ref="D124:AG124" si="98">D111*D122</f>
        <v>3.4024898846837945E-2</v>
      </c>
      <c r="E124" s="110">
        <f t="shared" si="98"/>
        <v>3.9611142477898542E-2</v>
      </c>
      <c r="F124" s="110">
        <f t="shared" si="98"/>
        <v>4.47976608103842E-2</v>
      </c>
      <c r="G124" s="110">
        <f t="shared" si="98"/>
        <v>4.958802479599933E-2</v>
      </c>
      <c r="H124" s="110">
        <f t="shared" si="98"/>
        <v>5.3985805386448316E-2</v>
      </c>
      <c r="I124" s="110">
        <f t="shared" si="98"/>
        <v>5.7994573533435602E-2</v>
      </c>
      <c r="J124" s="110">
        <f t="shared" si="98"/>
        <v>6.1617900188665545E-2</v>
      </c>
      <c r="K124" s="110">
        <f t="shared" si="98"/>
        <v>6.4859356303842597E-2</v>
      </c>
      <c r="L124" s="110">
        <f t="shared" si="98"/>
        <v>6.7722512830671128E-2</v>
      </c>
      <c r="M124" s="110">
        <f t="shared" si="98"/>
        <v>7.0210940720855569E-2</v>
      </c>
      <c r="N124" s="110">
        <f t="shared" si="98"/>
        <v>7.7670604750658775E-2</v>
      </c>
      <c r="O124" s="110">
        <f t="shared" si="98"/>
        <v>8.4337054543904583E-2</v>
      </c>
      <c r="P124" s="110">
        <f t="shared" si="98"/>
        <v>9.0217816568031489E-2</v>
      </c>
      <c r="Q124" s="110">
        <f t="shared" si="98"/>
        <v>9.5320417290478007E-2</v>
      </c>
      <c r="R124" s="110">
        <f t="shared" si="98"/>
        <v>9.9652383178682677E-2</v>
      </c>
      <c r="S124" s="110">
        <f t="shared" si="98"/>
        <v>0.10322124070008401</v>
      </c>
      <c r="T124" s="110">
        <f t="shared" si="98"/>
        <v>0.10603451632212051</v>
      </c>
      <c r="U124" s="110">
        <f t="shared" si="98"/>
        <v>0.10809973651223072</v>
      </c>
      <c r="V124" s="110">
        <f t="shared" si="98"/>
        <v>0.1094244277378531</v>
      </c>
      <c r="W124" s="110">
        <f t="shared" si="98"/>
        <v>0.11001611646642626</v>
      </c>
      <c r="X124" s="110">
        <f t="shared" si="98"/>
        <v>0.11407553601764923</v>
      </c>
      <c r="Y124" s="110">
        <f t="shared" si="98"/>
        <v>0.11690558907671195</v>
      </c>
      <c r="Z124" s="110">
        <f t="shared" si="98"/>
        <v>0.1185188688116857</v>
      </c>
      <c r="AA124" s="110">
        <f t="shared" si="98"/>
        <v>0.11892796839064174</v>
      </c>
      <c r="AB124" s="110">
        <f t="shared" si="98"/>
        <v>0.11814548098165144</v>
      </c>
      <c r="AC124" s="110">
        <f t="shared" si="98"/>
        <v>0.11618399975278604</v>
      </c>
      <c r="AD124" s="110">
        <f t="shared" si="98"/>
        <v>0.11305611787211688</v>
      </c>
      <c r="AE124" s="110">
        <f t="shared" si="98"/>
        <v>0.10877442850771524</v>
      </c>
      <c r="AF124" s="110">
        <f t="shared" si="98"/>
        <v>0.10335152482765243</v>
      </c>
      <c r="AG124" s="110">
        <f t="shared" si="98"/>
        <v>9.6799999999999983E-2</v>
      </c>
      <c r="AI124" s="134"/>
      <c r="AJ124" s="211"/>
      <c r="BC124" s="1"/>
      <c r="BD124" s="41"/>
      <c r="BF124" s="6"/>
      <c r="BG124" s="6"/>
      <c r="BH124" s="6"/>
      <c r="BI124" s="6"/>
      <c r="BJ124" s="6"/>
    </row>
    <row r="125" spans="1:62" outlineLevel="1">
      <c r="A125" t="s">
        <v>1449</v>
      </c>
      <c r="B125" s="54" t="s">
        <v>462</v>
      </c>
      <c r="C125" s="110">
        <f>C107*C122</f>
        <v>3.0473216266845644E-2</v>
      </c>
      <c r="D125" s="110">
        <f t="shared" ref="D125:AG125" si="99">D107*D122</f>
        <v>3.7974217462988777E-2</v>
      </c>
      <c r="E125" s="110">
        <f t="shared" si="99"/>
        <v>4.5425622107681814E-2</v>
      </c>
      <c r="F125" s="110">
        <f t="shared" si="99"/>
        <v>5.2827430200924765E-2</v>
      </c>
      <c r="G125" s="110">
        <f t="shared" si="99"/>
        <v>6.0179641742717629E-2</v>
      </c>
      <c r="H125" s="110">
        <f t="shared" si="99"/>
        <v>6.7482256733060395E-2</v>
      </c>
      <c r="I125" s="110">
        <f t="shared" si="99"/>
        <v>7.4735275171953094E-2</v>
      </c>
      <c r="J125" s="110">
        <f t="shared" si="99"/>
        <v>8.1938697059395674E-2</v>
      </c>
      <c r="K125" s="110">
        <f t="shared" si="99"/>
        <v>8.9092522395388174E-2</v>
      </c>
      <c r="L125" s="110">
        <f t="shared" si="99"/>
        <v>9.6196751179930595E-2</v>
      </c>
      <c r="M125" s="110">
        <f t="shared" si="99"/>
        <v>0.1032513834130229</v>
      </c>
      <c r="N125" s="110">
        <f t="shared" si="99"/>
        <v>0.11840031211990669</v>
      </c>
      <c r="O125" s="110">
        <f t="shared" si="99"/>
        <v>0.13344470655681107</v>
      </c>
      <c r="P125" s="110">
        <f t="shared" si="99"/>
        <v>0.14838456672373604</v>
      </c>
      <c r="Q125" s="110">
        <f t="shared" si="99"/>
        <v>0.16321989262068157</v>
      </c>
      <c r="R125" s="110">
        <f t="shared" si="99"/>
        <v>0.17795068424764771</v>
      </c>
      <c r="S125" s="110">
        <f t="shared" si="99"/>
        <v>0.19257694160463443</v>
      </c>
      <c r="T125" s="110">
        <f t="shared" si="99"/>
        <v>0.2070986646916417</v>
      </c>
      <c r="U125" s="110">
        <f t="shared" si="99"/>
        <v>0.22151585350866956</v>
      </c>
      <c r="V125" s="110">
        <f t="shared" si="99"/>
        <v>0.23582850805571798</v>
      </c>
      <c r="W125" s="110">
        <f t="shared" si="99"/>
        <v>0.250036628332787</v>
      </c>
      <c r="X125" s="110">
        <f t="shared" si="99"/>
        <v>0.27422003850396465</v>
      </c>
      <c r="Y125" s="110">
        <f t="shared" si="99"/>
        <v>0.29822854356304085</v>
      </c>
      <c r="Z125" s="110">
        <f t="shared" si="99"/>
        <v>0.32206214351001566</v>
      </c>
      <c r="AA125" s="110">
        <f t="shared" si="99"/>
        <v>0.34572083834488898</v>
      </c>
      <c r="AB125" s="110">
        <f t="shared" si="99"/>
        <v>0.36920462806766102</v>
      </c>
      <c r="AC125" s="110">
        <f t="shared" si="99"/>
        <v>0.39251351267833162</v>
      </c>
      <c r="AD125" s="110">
        <f t="shared" si="99"/>
        <v>0.41564749217690078</v>
      </c>
      <c r="AE125" s="110">
        <f t="shared" si="99"/>
        <v>0.43860656656336849</v>
      </c>
      <c r="AF125" s="110">
        <f t="shared" si="99"/>
        <v>0.46139073583773482</v>
      </c>
      <c r="AG125" s="110">
        <f t="shared" si="99"/>
        <v>0.48400000000000004</v>
      </c>
      <c r="AI125" s="134"/>
      <c r="AJ125" s="211"/>
      <c r="BC125" s="1"/>
      <c r="BD125" s="41"/>
      <c r="BF125" s="6"/>
      <c r="BG125" s="6"/>
      <c r="BH125" s="6"/>
      <c r="BI125" s="6"/>
      <c r="BJ125" s="6"/>
    </row>
    <row r="126" spans="1:62" outlineLevel="1">
      <c r="A126" t="s">
        <v>1450</v>
      </c>
      <c r="B126" s="54" t="s">
        <v>462</v>
      </c>
      <c r="C126" s="110">
        <f>C118*C122</f>
        <v>1.4578386662058958E-2</v>
      </c>
      <c r="D126" s="110">
        <f t="shared" ref="D126:AG126" si="100">D118*D122</f>
        <v>1.7692947400355732E-2</v>
      </c>
      <c r="E126" s="110">
        <f t="shared" si="100"/>
        <v>2.0597794088507242E-2</v>
      </c>
      <c r="F126" s="110">
        <f t="shared" si="100"/>
        <v>2.3294783621399785E-2</v>
      </c>
      <c r="G126" s="110">
        <f t="shared" si="100"/>
        <v>2.5785772893919652E-2</v>
      </c>
      <c r="H126" s="110">
        <f t="shared" si="100"/>
        <v>2.8072618800953127E-2</v>
      </c>
      <c r="I126" s="110">
        <f t="shared" si="100"/>
        <v>3.015717823738651E-2</v>
      </c>
      <c r="J126" s="110">
        <f t="shared" si="100"/>
        <v>3.2041308098106083E-2</v>
      </c>
      <c r="K126" s="110">
        <f t="shared" si="100"/>
        <v>3.3726865277998147E-2</v>
      </c>
      <c r="L126" s="110">
        <f t="shared" si="100"/>
        <v>3.5215706671948989E-2</v>
      </c>
      <c r="M126" s="110">
        <f t="shared" si="100"/>
        <v>3.6509689174844893E-2</v>
      </c>
      <c r="N126" s="110">
        <f t="shared" si="100"/>
        <v>4.0388714470342563E-2</v>
      </c>
      <c r="O126" s="110">
        <f t="shared" si="100"/>
        <v>4.3855268362830387E-2</v>
      </c>
      <c r="P126" s="110">
        <f t="shared" si="100"/>
        <v>4.6913264615376385E-2</v>
      </c>
      <c r="Q126" s="110">
        <f t="shared" si="100"/>
        <v>4.9566616991048564E-2</v>
      </c>
      <c r="R126" s="110">
        <f t="shared" si="100"/>
        <v>5.1819239252914998E-2</v>
      </c>
      <c r="S126" s="110">
        <f t="shared" si="100"/>
        <v>5.3675045164043686E-2</v>
      </c>
      <c r="T126" s="110">
        <f t="shared" si="100"/>
        <v>5.5137948487502662E-2</v>
      </c>
      <c r="U126" s="110">
        <f t="shared" si="100"/>
        <v>5.6211862986359974E-2</v>
      </c>
      <c r="V126" s="110">
        <f t="shared" si="100"/>
        <v>5.690070242368362E-2</v>
      </c>
      <c r="W126" s="110">
        <f t="shared" si="100"/>
        <v>5.7208380562541655E-2</v>
      </c>
      <c r="X126" s="110">
        <f t="shared" si="100"/>
        <v>5.9319278729177596E-2</v>
      </c>
      <c r="Y126" s="110">
        <f t="shared" si="100"/>
        <v>6.0790906319890217E-2</v>
      </c>
      <c r="Z126" s="110">
        <f t="shared" si="100"/>
        <v>6.1629811782076563E-2</v>
      </c>
      <c r="AA126" s="110">
        <f t="shared" si="100"/>
        <v>6.1842543563133706E-2</v>
      </c>
      <c r="AB126" s="110">
        <f t="shared" si="100"/>
        <v>6.1435650110458755E-2</v>
      </c>
      <c r="AC126" s="110">
        <f t="shared" si="100"/>
        <v>6.0415679871448746E-2</v>
      </c>
      <c r="AD126" s="110">
        <f t="shared" si="100"/>
        <v>5.8789181293500782E-2</v>
      </c>
      <c r="AE126" s="110">
        <f t="shared" si="100"/>
        <v>5.6562702824011921E-2</v>
      </c>
      <c r="AF126" s="110">
        <f t="shared" si="100"/>
        <v>5.374279291037927E-2</v>
      </c>
      <c r="AG126" s="110">
        <f t="shared" si="100"/>
        <v>5.0335999999999999E-2</v>
      </c>
      <c r="AI126" s="134"/>
      <c r="AJ126" s="211"/>
      <c r="BC126" s="1"/>
      <c r="BD126" s="41"/>
      <c r="BF126" s="6"/>
      <c r="BG126" s="6"/>
      <c r="BH126" s="6"/>
      <c r="BI126" s="6"/>
      <c r="BJ126" s="6"/>
    </row>
    <row r="127" spans="1:62" outlineLevel="1">
      <c r="A127" t="s">
        <v>1451</v>
      </c>
      <c r="B127" s="54" t="s">
        <v>462</v>
      </c>
      <c r="C127" s="110">
        <f>C119*C122</f>
        <v>3.3642430758597593E-3</v>
      </c>
      <c r="D127" s="110">
        <f t="shared" ref="D127:AG127" si="101">D119*D122</f>
        <v>4.0829878616205533E-3</v>
      </c>
      <c r="E127" s="110">
        <f t="shared" si="101"/>
        <v>4.753337097347825E-3</v>
      </c>
      <c r="F127" s="110">
        <f t="shared" si="101"/>
        <v>5.3757192972461038E-3</v>
      </c>
      <c r="G127" s="110">
        <f t="shared" si="101"/>
        <v>5.9505629755199196E-3</v>
      </c>
      <c r="H127" s="110">
        <f t="shared" si="101"/>
        <v>6.4782966463737979E-3</v>
      </c>
      <c r="I127" s="110">
        <f t="shared" si="101"/>
        <v>6.9593488240122722E-3</v>
      </c>
      <c r="J127" s="110">
        <f t="shared" si="101"/>
        <v>7.3941480226398645E-3</v>
      </c>
      <c r="K127" s="110">
        <f t="shared" si="101"/>
        <v>7.7831227564611107E-3</v>
      </c>
      <c r="L127" s="110">
        <f t="shared" si="101"/>
        <v>8.1267015396805347E-3</v>
      </c>
      <c r="M127" s="110">
        <f t="shared" si="101"/>
        <v>8.4253128865026689E-3</v>
      </c>
      <c r="N127" s="110">
        <f t="shared" si="101"/>
        <v>9.3204725700790532E-3</v>
      </c>
      <c r="O127" s="110">
        <f t="shared" si="101"/>
        <v>1.0120446545268551E-2</v>
      </c>
      <c r="P127" s="110">
        <f t="shared" si="101"/>
        <v>1.0826137988163778E-2</v>
      </c>
      <c r="Q127" s="110">
        <f t="shared" si="101"/>
        <v>1.1438450074857363E-2</v>
      </c>
      <c r="R127" s="110">
        <f t="shared" si="101"/>
        <v>1.195828598144192E-2</v>
      </c>
      <c r="S127" s="110">
        <f t="shared" si="101"/>
        <v>1.2386548884010081E-2</v>
      </c>
      <c r="T127" s="110">
        <f t="shared" si="101"/>
        <v>1.2724141958654461E-2</v>
      </c>
      <c r="U127" s="110">
        <f t="shared" si="101"/>
        <v>1.2971968381467686E-2</v>
      </c>
      <c r="V127" s="110">
        <f t="shared" si="101"/>
        <v>1.3130931328542372E-2</v>
      </c>
      <c r="W127" s="110">
        <f t="shared" si="101"/>
        <v>1.3201933975971148E-2</v>
      </c>
      <c r="X127" s="110">
        <f t="shared" si="101"/>
        <v>1.3689064322117908E-2</v>
      </c>
      <c r="Y127" s="110">
        <f t="shared" si="101"/>
        <v>1.4028670689205432E-2</v>
      </c>
      <c r="Z127" s="110">
        <f t="shared" si="101"/>
        <v>1.4222264257402284E-2</v>
      </c>
      <c r="AA127" s="110">
        <f t="shared" si="101"/>
        <v>1.4271356206877008E-2</v>
      </c>
      <c r="AB127" s="110">
        <f t="shared" si="101"/>
        <v>1.4177457717798171E-2</v>
      </c>
      <c r="AC127" s="110">
        <f t="shared" si="101"/>
        <v>1.3942079970334325E-2</v>
      </c>
      <c r="AD127" s="110">
        <f t="shared" si="101"/>
        <v>1.3566734144654024E-2</v>
      </c>
      <c r="AE127" s="110">
        <f t="shared" si="101"/>
        <v>1.3052931420925827E-2</v>
      </c>
      <c r="AF127" s="110">
        <f t="shared" si="101"/>
        <v>1.2402182979318291E-2</v>
      </c>
      <c r="AG127" s="110">
        <f t="shared" si="101"/>
        <v>1.1615999999999998E-2</v>
      </c>
      <c r="AI127" s="134"/>
      <c r="AJ127" s="211"/>
      <c r="BC127" s="1"/>
      <c r="BD127" s="41"/>
      <c r="BF127" s="6"/>
      <c r="BG127" s="6"/>
      <c r="BH127" s="6"/>
      <c r="BI127" s="6"/>
      <c r="BJ127" s="6"/>
    </row>
    <row r="128" spans="1:62" outlineLevel="1">
      <c r="A128" t="s">
        <v>1452</v>
      </c>
      <c r="B128" s="54" t="s">
        <v>462</v>
      </c>
      <c r="C128" s="110">
        <f>C120*C122</f>
        <v>1.0092729227579278E-2</v>
      </c>
      <c r="D128" s="110">
        <f t="shared" ref="D128:AG128" si="102">D120*D122</f>
        <v>1.2248963584861661E-2</v>
      </c>
      <c r="E128" s="110">
        <f t="shared" si="102"/>
        <v>1.4260011292043474E-2</v>
      </c>
      <c r="F128" s="110">
        <f t="shared" si="102"/>
        <v>1.6127157891738311E-2</v>
      </c>
      <c r="G128" s="110">
        <f t="shared" si="102"/>
        <v>1.7851688926559757E-2</v>
      </c>
      <c r="H128" s="110">
        <f t="shared" si="102"/>
        <v>1.9434889939121392E-2</v>
      </c>
      <c r="I128" s="110">
        <f t="shared" si="102"/>
        <v>2.0878046472036817E-2</v>
      </c>
      <c r="J128" s="110">
        <f t="shared" si="102"/>
        <v>2.2182444067919593E-2</v>
      </c>
      <c r="K128" s="110">
        <f t="shared" si="102"/>
        <v>2.3349368269383334E-2</v>
      </c>
      <c r="L128" s="110">
        <f t="shared" si="102"/>
        <v>2.4380104619041609E-2</v>
      </c>
      <c r="M128" s="110">
        <f t="shared" si="102"/>
        <v>2.5275938659508002E-2</v>
      </c>
      <c r="N128" s="110">
        <f t="shared" si="102"/>
        <v>2.796141771023716E-2</v>
      </c>
      <c r="O128" s="110">
        <f t="shared" si="102"/>
        <v>3.0361339635805649E-2</v>
      </c>
      <c r="P128" s="110">
        <f t="shared" si="102"/>
        <v>3.2478413964491339E-2</v>
      </c>
      <c r="Q128" s="110">
        <f t="shared" si="102"/>
        <v>3.4315350224572085E-2</v>
      </c>
      <c r="R128" s="110">
        <f t="shared" si="102"/>
        <v>3.587485794432576E-2</v>
      </c>
      <c r="S128" s="110">
        <f t="shared" si="102"/>
        <v>3.7159646652030247E-2</v>
      </c>
      <c r="T128" s="110">
        <f t="shared" si="102"/>
        <v>3.8172425875963381E-2</v>
      </c>
      <c r="U128" s="110">
        <f t="shared" si="102"/>
        <v>3.891590514440306E-2</v>
      </c>
      <c r="V128" s="110">
        <f t="shared" si="102"/>
        <v>3.9392793985627117E-2</v>
      </c>
      <c r="W128" s="110">
        <f t="shared" si="102"/>
        <v>3.9605801927913444E-2</v>
      </c>
      <c r="X128" s="110">
        <f t="shared" si="102"/>
        <v>4.1067192966353722E-2</v>
      </c>
      <c r="Y128" s="110">
        <f t="shared" si="102"/>
        <v>4.20860120676163E-2</v>
      </c>
      <c r="Z128" s="110">
        <f t="shared" si="102"/>
        <v>4.2666792772206856E-2</v>
      </c>
      <c r="AA128" s="110">
        <f t="shared" si="102"/>
        <v>4.2814068620631023E-2</v>
      </c>
      <c r="AB128" s="110">
        <f t="shared" si="102"/>
        <v>4.2532373153394518E-2</v>
      </c>
      <c r="AC128" s="110">
        <f t="shared" si="102"/>
        <v>4.1826239911002969E-2</v>
      </c>
      <c r="AD128" s="110">
        <f t="shared" si="102"/>
        <v>4.0700202433962072E-2</v>
      </c>
      <c r="AE128" s="110">
        <f t="shared" si="102"/>
        <v>3.9158794262777484E-2</v>
      </c>
      <c r="AF128" s="110">
        <f t="shared" si="102"/>
        <v>3.7206548937954879E-2</v>
      </c>
      <c r="AG128" s="110">
        <f t="shared" si="102"/>
        <v>3.4847999999999997E-2</v>
      </c>
      <c r="AI128" s="134"/>
      <c r="AJ128" s="211"/>
      <c r="BC128" s="1"/>
      <c r="BD128" s="41"/>
      <c r="BF128" s="6"/>
      <c r="BG128" s="6"/>
      <c r="BH128" s="6"/>
      <c r="BI128" s="6"/>
      <c r="BJ128" s="6"/>
    </row>
    <row r="129" spans="1:63" outlineLevel="1">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C129" s="1"/>
      <c r="BD129" s="41"/>
      <c r="BF129" s="6"/>
      <c r="BG129" s="6"/>
      <c r="BH129" s="6"/>
      <c r="BI129" s="6"/>
      <c r="BJ129" s="6"/>
    </row>
    <row r="130" spans="1:63" s="1" customFormat="1" outlineLevel="1">
      <c r="A130" s="1" t="s">
        <v>228</v>
      </c>
      <c r="B130" s="65"/>
      <c r="C130" s="300">
        <f>C123*C46</f>
        <v>5.3282886712939133E-3</v>
      </c>
      <c r="D130" s="300">
        <f t="shared" ref="D130:AG130" si="103">D123*D46</f>
        <v>8.9211563866526834E-3</v>
      </c>
      <c r="E130" s="300">
        <f t="shared" si="103"/>
        <v>1.3539186992593613E-2</v>
      </c>
      <c r="F130" s="300">
        <f t="shared" si="103"/>
        <v>1.9223459542103728E-2</v>
      </c>
      <c r="G130" s="300">
        <f t="shared" si="103"/>
        <v>2.6001729306348805E-2</v>
      </c>
      <c r="H130" s="300">
        <f t="shared" si="103"/>
        <v>3.3887269030810976E-2</v>
      </c>
      <c r="I130" s="300">
        <f t="shared" si="103"/>
        <v>4.2970449915570842E-2</v>
      </c>
      <c r="J130" s="300">
        <f t="shared" si="103"/>
        <v>5.329890202609297E-2</v>
      </c>
      <c r="K130" s="300">
        <f t="shared" si="103"/>
        <v>6.4918838923360797E-2</v>
      </c>
      <c r="L130" s="300">
        <f t="shared" si="103"/>
        <v>7.7874861943349638E-2</v>
      </c>
      <c r="M130" s="300">
        <f t="shared" si="103"/>
        <v>9.2209763823172836E-2</v>
      </c>
      <c r="N130" s="300">
        <f t="shared" si="103"/>
        <v>0.1157730402625701</v>
      </c>
      <c r="O130" s="300">
        <f t="shared" si="103"/>
        <v>0.14190181281567329</v>
      </c>
      <c r="P130" s="300">
        <f t="shared" si="103"/>
        <v>0.17088335220767822</v>
      </c>
      <c r="Q130" s="300">
        <f t="shared" si="103"/>
        <v>0.20241838538125176</v>
      </c>
      <c r="R130" s="300">
        <f t="shared" si="103"/>
        <v>0.23640962807657073</v>
      </c>
      <c r="S130" s="300">
        <f t="shared" si="103"/>
        <v>0.2732216520832057</v>
      </c>
      <c r="T130" s="300">
        <f t="shared" si="103"/>
        <v>0.3129109134685738</v>
      </c>
      <c r="U130" s="300">
        <f t="shared" si="103"/>
        <v>0.35553290017483985</v>
      </c>
      <c r="V130" s="300">
        <f t="shared" si="103"/>
        <v>0.4011420667473084</v>
      </c>
      <c r="W130" s="300">
        <f t="shared" si="103"/>
        <v>0.44979176891251638</v>
      </c>
      <c r="X130" s="300">
        <f t="shared" si="103"/>
        <v>0.52067892149824624</v>
      </c>
      <c r="Y130" s="300">
        <f t="shared" si="103"/>
        <v>0.59662883548715606</v>
      </c>
      <c r="Z130" s="300">
        <f t="shared" si="103"/>
        <v>0.6797199565049632</v>
      </c>
      <c r="AA130" s="300">
        <f t="shared" si="103"/>
        <v>0.76854823862853294</v>
      </c>
      <c r="AB130" s="300">
        <f t="shared" si="103"/>
        <v>0.86324284732267176</v>
      </c>
      <c r="AC130" s="300">
        <f t="shared" si="103"/>
        <v>0.96394072135490672</v>
      </c>
      <c r="AD130" s="300">
        <f t="shared" si="103"/>
        <v>1.0707712541078851</v>
      </c>
      <c r="AE130" s="300">
        <f t="shared" si="103"/>
        <v>1.183862587692565</v>
      </c>
      <c r="AF130" s="300">
        <f t="shared" si="103"/>
        <v>1.3033414881687648</v>
      </c>
      <c r="AG130" s="300">
        <f t="shared" si="103"/>
        <v>1.4293332196993529</v>
      </c>
      <c r="AH130" s="245">
        <f>AG130-C130</f>
        <v>1.4240049310280589</v>
      </c>
      <c r="AI130" s="423"/>
      <c r="AJ130" s="424"/>
      <c r="AL130" s="221"/>
      <c r="AM130" s="124"/>
      <c r="AN130" s="124"/>
      <c r="AO130" s="124"/>
      <c r="BD130" s="124"/>
      <c r="BE130" s="124"/>
      <c r="BF130" s="124"/>
      <c r="BG130" s="124"/>
      <c r="BH130" s="124"/>
      <c r="BI130" s="124"/>
      <c r="BJ130" s="124"/>
      <c r="BK130" s="124"/>
    </row>
    <row r="131" spans="1:63" outlineLevel="1">
      <c r="A131" s="4" t="s">
        <v>258</v>
      </c>
      <c r="C131" s="230">
        <f>C$130*'Ethylene recycling rates'!E68</f>
        <v>4.2990647651049707E-3</v>
      </c>
      <c r="D131" s="230">
        <f>D$130*'Ethylene recycling rates'!F68</f>
        <v>7.1713521472450189E-3</v>
      </c>
      <c r="E131" s="230">
        <f>E$130*'Ethylene recycling rates'!G68</f>
        <v>1.0843267541403532E-2</v>
      </c>
      <c r="F131" s="230">
        <f>F$130*'Ethylene recycling rates'!H68</f>
        <v>1.5338426788676732E-2</v>
      </c>
      <c r="G131" s="230">
        <f>G$130*'Ethylene recycling rates'!I68</f>
        <v>2.0669364892115981E-2</v>
      </c>
      <c r="H131" s="230">
        <f>H$130*'Ethylene recycling rates'!J68</f>
        <v>2.6836816799464744E-2</v>
      </c>
      <c r="I131" s="230">
        <f>I$130*'Ethylene recycling rates'!K68</f>
        <v>3.3902187305766295E-2</v>
      </c>
      <c r="J131" s="230">
        <f>J$130*'Ethylene recycling rates'!L68</f>
        <v>4.1892210474123261E-2</v>
      </c>
      <c r="K131" s="230">
        <f>K$130*'Ethylene recycling rates'!M68</f>
        <v>5.0831943716434125E-2</v>
      </c>
      <c r="L131" s="230">
        <f>L$130*'Ethylene recycling rates'!N68</f>
        <v>6.0744636223000005E-2</v>
      </c>
      <c r="M131" s="230">
        <f>M$130*'Ethylene recycling rates'!O68</f>
        <v>7.1651600382510977E-2</v>
      </c>
      <c r="N131" s="230">
        <f>N$130*'Ethylene recycling rates'!P68</f>
        <v>8.961658309877861E-2</v>
      </c>
      <c r="O131" s="230">
        <f>O$130*'Ethylene recycling rates'!Q68</f>
        <v>0.10941942107286672</v>
      </c>
      <c r="P131" s="230">
        <f>P$130*'Ethylene recycling rates'!R68</f>
        <v>0.131257844760609</v>
      </c>
      <c r="Q131" s="230">
        <f>Q$130*'Ethylene recycling rates'!S68</f>
        <v>0.15487737662119971</v>
      </c>
      <c r="R131" s="230">
        <f>R$130*'Ethylene recycling rates'!T68</f>
        <v>0.18018105198933901</v>
      </c>
      <c r="S131" s="230">
        <f>S$130*'Ethylene recycling rates'!U68</f>
        <v>0.20742369601450819</v>
      </c>
      <c r="T131" s="230">
        <f>T$130*'Ethylene recycling rates'!V68</f>
        <v>0.23662279325710334</v>
      </c>
      <c r="U131" s="230">
        <f>U$130*'Ethylene recycling rates'!W68</f>
        <v>0.26779442638617323</v>
      </c>
      <c r="V131" s="230">
        <f>V$130*'Ethylene recycling rates'!X68</f>
        <v>0.30095324162912829</v>
      </c>
      <c r="W131" s="230">
        <f>W$130*'Ethylene recycling rates'!Y68</f>
        <v>0.33611241527571345</v>
      </c>
      <c r="X131" s="230">
        <f>X$130*'Ethylene recycling rates'!Z68</f>
        <v>0.38753272277864692</v>
      </c>
      <c r="Y131" s="230">
        <f>Y$130*'Ethylene recycling rates'!AA68</f>
        <v>0.44228376505860717</v>
      </c>
      <c r="Z131" s="230">
        <f>Z$130*'Ethylene recycling rates'!AB68</f>
        <v>0.50185486990075345</v>
      </c>
      <c r="AA131" s="230">
        <f>AA$130*'Ethylene recycling rates'!AC68</f>
        <v>0.56514975993414718</v>
      </c>
      <c r="AB131" s="230">
        <f>AB$130*'Ethylene recycling rates'!AD68</f>
        <v>0.63221176268379231</v>
      </c>
      <c r="AC131" s="230">
        <f>AC$130*'Ethylene recycling rates'!AE68</f>
        <v>0.70308833642020163</v>
      </c>
      <c r="AD131" s="230">
        <f>AD$130*'Ethylene recycling rates'!AF68</f>
        <v>0.77781982672425731</v>
      </c>
      <c r="AE131" s="230">
        <f>AE$130*'Ethylene recycling rates'!AG68</f>
        <v>0.85644413223049165</v>
      </c>
      <c r="AF131" s="230">
        <f>AF$130*'Ethylene recycling rates'!AH68</f>
        <v>0.93899663336562422</v>
      </c>
      <c r="AG131" s="230">
        <f>AG$130*'Ethylene recycling rates'!AI68</f>
        <v>1.0255101225521503</v>
      </c>
      <c r="AH131" s="245">
        <f>AG131-C131</f>
        <v>1.0212110577870455</v>
      </c>
      <c r="AI131" s="133"/>
      <c r="AJ131" s="211"/>
      <c r="AL131" s="108"/>
      <c r="AM131" s="2"/>
      <c r="AN131" s="2"/>
      <c r="AO131" s="2"/>
      <c r="BC131" s="1"/>
      <c r="BD131" s="2"/>
      <c r="BE131" s="2"/>
      <c r="BF131" s="2"/>
      <c r="BG131" s="2"/>
      <c r="BH131" s="2"/>
      <c r="BI131" s="2"/>
      <c r="BJ131" s="2"/>
      <c r="BK131" s="2"/>
    </row>
    <row r="132" spans="1:63" outlineLevel="1">
      <c r="A132" s="4" t="s">
        <v>478</v>
      </c>
      <c r="C132" s="230">
        <f>C$130*'Ethylene recycling rates'!E69</f>
        <v>5.3317797175375387E-4</v>
      </c>
      <c r="D132" s="230">
        <f>D$130*'Ethylene recycling rates'!F69</f>
        <v>8.6294347322198798E-4</v>
      </c>
      <c r="E132" s="230">
        <f>E$130*'Ethylene recycling rates'!G69</f>
        <v>1.2644853895042458E-3</v>
      </c>
      <c r="F132" s="230">
        <f>F$130*'Ethylene recycling rates'!H69</f>
        <v>1.7312449120055293E-3</v>
      </c>
      <c r="G132" s="230">
        <f>G$130*'Ethylene recycling rates'!I69</f>
        <v>2.2549596682377659E-3</v>
      </c>
      <c r="H132" s="230">
        <f>H$130*'Ethylene recycling rates'!J69</f>
        <v>2.8257893050887698E-3</v>
      </c>
      <c r="I132" s="230">
        <f>I$130*'Ethylene recycling rates'!K69</f>
        <v>3.4398883010618377E-3</v>
      </c>
      <c r="J132" s="230">
        <f>J$130*'Ethylene recycling rates'!L69</f>
        <v>4.088926428590608E-3</v>
      </c>
      <c r="K132" s="230">
        <f>K$130*'Ethylene recycling rates'!M69</f>
        <v>4.7638340314241747E-3</v>
      </c>
      <c r="L132" s="230">
        <f>L$130*'Ethylene recycling rates'!N69</f>
        <v>5.454811939089828E-3</v>
      </c>
      <c r="M132" s="230">
        <f>M$130*'Ethylene recycling rates'!O69</f>
        <v>6.1513452547473646E-3</v>
      </c>
      <c r="N132" s="230">
        <f>N$130*'Ethylene recycling rates'!P69</f>
        <v>7.3370966013088625E-3</v>
      </c>
      <c r="O132" s="230">
        <f>O$130*'Ethylene recycling rates'!Q69</f>
        <v>8.5196871355172187E-3</v>
      </c>
      <c r="P132" s="230">
        <f>P$130*'Ethylene recycling rates'!R69</f>
        <v>9.6897344274054168E-3</v>
      </c>
      <c r="Q132" s="230">
        <f>Q$130*'Ethylene recycling rates'!S69</f>
        <v>1.0802720430138867E-2</v>
      </c>
      <c r="R132" s="230">
        <f>R$130*'Ethylene recycling rates'!T69</f>
        <v>1.1828226075663783E-2</v>
      </c>
      <c r="S132" s="230">
        <f>S$130*'Ethylene recycling rates'!U69</f>
        <v>1.2758697673073626E-2</v>
      </c>
      <c r="T132" s="230">
        <f>T$130*'Ethylene recycling rates'!V69</f>
        <v>1.3568356960219284E-2</v>
      </c>
      <c r="U132" s="230">
        <f>U$130*'Ethylene recycling rates'!W69</f>
        <v>1.4230633683810365E-2</v>
      </c>
      <c r="V132" s="230">
        <f>V$130*'Ethylene recycling rates'!X69</f>
        <v>1.471817935054749E-2</v>
      </c>
      <c r="W132" s="230">
        <f>W$130*'Ethylene recycling rates'!Y69</f>
        <v>1.50028822795288E-2</v>
      </c>
      <c r="X132" s="230">
        <f>X$130*'Ethylene recycling rates'!Z69</f>
        <v>1.5630601967664297E-2</v>
      </c>
      <c r="Y132" s="230">
        <f>Y$130*'Ethylene recycling rates'!AA69</f>
        <v>1.5920526433870135E-2</v>
      </c>
      <c r="Z132" s="230">
        <f>Z$130*'Ethylene recycling rates'!AB69</f>
        <v>1.587052373279798E-2</v>
      </c>
      <c r="AA132" s="230">
        <f>AA$130*'Ethylene recycling rates'!AC69</f>
        <v>1.5381035688795447E-2</v>
      </c>
      <c r="AB132" s="230">
        <f>AB$130*'Ethylene recycling rates'!AD69</f>
        <v>1.4396807269661548E-2</v>
      </c>
      <c r="AC132" s="230">
        <f>AC$130*'Ethylene recycling rates'!AE69</f>
        <v>1.2860963820566959E-2</v>
      </c>
      <c r="AD132" s="230">
        <f>AD$130*'Ethylene recycling rates'!AF69</f>
        <v>1.0714728136882734E-2</v>
      </c>
      <c r="AE132" s="230">
        <f>AE$130*'Ethylene recycling rates'!AG69</f>
        <v>7.8975882912363325E-3</v>
      </c>
      <c r="AF132" s="230">
        <f>AF$130*'Ethylene recycling rates'!AH69</f>
        <v>4.3473180854994506E-3</v>
      </c>
      <c r="AG132" s="230">
        <f>AG$130*'Ethylene recycling rates'!AI69</f>
        <v>0</v>
      </c>
      <c r="AH132" s="245">
        <f t="shared" ref="AH132:AH135" si="104">AG132-C132</f>
        <v>-5.3317797175375387E-4</v>
      </c>
      <c r="AI132" s="133"/>
      <c r="AJ132" s="211"/>
      <c r="AL132" s="108"/>
      <c r="AM132" s="2"/>
      <c r="AN132" s="2"/>
      <c r="AO132" s="2"/>
      <c r="BC132" s="1"/>
      <c r="BD132" s="2"/>
      <c r="BE132" s="2"/>
      <c r="BF132" s="2"/>
      <c r="BG132" s="2"/>
      <c r="BH132" s="2"/>
      <c r="BI132" s="2"/>
      <c r="BJ132" s="2"/>
      <c r="BK132" s="2"/>
    </row>
    <row r="133" spans="1:63" outlineLevel="1">
      <c r="A133" s="4" t="s">
        <v>480</v>
      </c>
      <c r="C133" s="230">
        <f>C$130*'Ethylene recycling rates'!E70</f>
        <v>0</v>
      </c>
      <c r="D133" s="230">
        <f>D$130*'Ethylene recycling rates'!F70</f>
        <v>3.1861272809473869E-5</v>
      </c>
      <c r="E133" s="230">
        <f>E$130*'Ethylene recycling rates'!G70</f>
        <v>9.6708478518525798E-5</v>
      </c>
      <c r="F133" s="230">
        <f>F$130*'Ethylene recycling rates'!H70</f>
        <v>2.0596563795111138E-4</v>
      </c>
      <c r="G133" s="230">
        <f>G$130*'Ethylene recycling rates'!I70</f>
        <v>3.7145327580498291E-4</v>
      </c>
      <c r="H133" s="230">
        <f>H$130*'Ethylene recycling rates'!J70</f>
        <v>6.0512980412162458E-4</v>
      </c>
      <c r="I133" s="230">
        <f>I$130*'Ethylene recycling rates'!K70</f>
        <v>9.207953553336609E-4</v>
      </c>
      <c r="J133" s="230">
        <f>J$130*'Ethylene recycling rates'!L70</f>
        <v>1.3324725506523244E-3</v>
      </c>
      <c r="K133" s="230">
        <f>K$130*'Ethylene recycling rates'!M70</f>
        <v>1.8548239692388801E-3</v>
      </c>
      <c r="L133" s="230">
        <f>L$130*'Ethylene recycling rates'!N70</f>
        <v>2.5031205624648101E-3</v>
      </c>
      <c r="M133" s="230">
        <f>M$130*'Ethylene recycling rates'!O70</f>
        <v>3.2932058508276015E-3</v>
      </c>
      <c r="N133" s="230">
        <f>N$130*'Ethylene recycling rates'!P70</f>
        <v>4.5482265817438257E-3</v>
      </c>
      <c r="O133" s="230">
        <f>O$130*'Ethylene recycling rates'!Q70</f>
        <v>6.0815062635288563E-3</v>
      </c>
      <c r="P133" s="230">
        <f>P$130*'Ethylene recycling rates'!R70</f>
        <v>7.9338699239279182E-3</v>
      </c>
      <c r="Q133" s="230">
        <f>Q$130*'Ethylene recycling rates'!S70</f>
        <v>1.0120919269062591E-2</v>
      </c>
      <c r="R133" s="230">
        <f>R$130*'Ethylene recycling rates'!T70</f>
        <v>1.2664801504102007E-2</v>
      </c>
      <c r="S133" s="230">
        <f>S$130*'Ethylene recycling rates'!U70</f>
        <v>1.5612665833326043E-2</v>
      </c>
      <c r="T133" s="230">
        <f>T$130*'Ethylene recycling rates'!V70</f>
        <v>1.8998162603449126E-2</v>
      </c>
      <c r="U133" s="230">
        <f>U$130*'Ethylene recycling rates'!W70</f>
        <v>2.2855686439811135E-2</v>
      </c>
      <c r="V133" s="230">
        <f>V$130*'Ethylene recycling rates'!X70</f>
        <v>2.7220354529281645E-2</v>
      </c>
      <c r="W133" s="230">
        <f>W$130*'Ethylene recycling rates'!Y70</f>
        <v>3.2127983493751171E-2</v>
      </c>
      <c r="X133" s="230">
        <f>X$130*'Ethylene recycling rates'!Z70</f>
        <v>3.9050919112368472E-2</v>
      </c>
      <c r="Y133" s="230">
        <f>Y$130*'Ethylene recycling rates'!AA70</f>
        <v>4.6877979931133698E-2</v>
      </c>
      <c r="Z133" s="230">
        <f>Z$130*'Ethylene recycling rates'!AB70</f>
        <v>5.5834139284336275E-2</v>
      </c>
      <c r="AA133" s="230">
        <f>AA$130*'Ethylene recycling rates'!AC70</f>
        <v>6.5875563311017127E-2</v>
      </c>
      <c r="AB133" s="230">
        <f>AB$130*'Ethylene recycling rates'!AD70</f>
        <v>7.707525422523856E-2</v>
      </c>
      <c r="AC133" s="230">
        <f>AC$130*'Ethylene recycling rates'!AE70</f>
        <v>8.9508781268669929E-2</v>
      </c>
      <c r="AD133" s="230">
        <f>AD$130*'Ethylene recycling rates'!AF70</f>
        <v>0.10325294236040322</v>
      </c>
      <c r="AE133" s="230">
        <f>AE$130*'Ethylene recycling rates'!AG70</f>
        <v>0.11838625876925653</v>
      </c>
      <c r="AF133" s="230">
        <f>AF$130*'Ethylene recycling rates'!AH70</f>
        <v>0.13498893984605068</v>
      </c>
      <c r="AG133" s="230">
        <f>AG$130*'Ethylene recycling rates'!AI70</f>
        <v>0.15314284496778779</v>
      </c>
      <c r="AH133" s="245">
        <f t="shared" si="104"/>
        <v>0.15314284496778779</v>
      </c>
      <c r="AI133" s="133"/>
      <c r="AJ133" s="211"/>
      <c r="AL133" s="108"/>
      <c r="AM133" s="2"/>
      <c r="AN133" s="2"/>
      <c r="AO133" s="2"/>
      <c r="BC133" s="1"/>
      <c r="BD133" s="2"/>
      <c r="BE133" s="2"/>
      <c r="BF133" s="2"/>
      <c r="BG133" s="2"/>
      <c r="BH133" s="2"/>
      <c r="BI133" s="2"/>
      <c r="BJ133" s="2"/>
      <c r="BK133" s="2"/>
    </row>
    <row r="134" spans="1:63" outlineLevel="1">
      <c r="A134" s="4" t="s">
        <v>474</v>
      </c>
      <c r="C134" s="230">
        <f>C$130*'Ethylene recycling rates'!E71</f>
        <v>0</v>
      </c>
      <c r="D134" s="230">
        <f>D$130*'Ethylene recycling rates'!F71</f>
        <v>0</v>
      </c>
      <c r="E134" s="230">
        <f>E$130*'Ethylene recycling rates'!G71</f>
        <v>0</v>
      </c>
      <c r="F134" s="230">
        <f>F$130*'Ethylene recycling rates'!H71</f>
        <v>0</v>
      </c>
      <c r="G134" s="230">
        <f>G$130*'Ethylene recycling rates'!I71</f>
        <v>0</v>
      </c>
      <c r="H134" s="230">
        <f>H$130*'Ethylene recycling rates'!J71</f>
        <v>0</v>
      </c>
      <c r="I134" s="230">
        <f>I$130*'Ethylene recycling rates'!K71</f>
        <v>0</v>
      </c>
      <c r="J134" s="230">
        <f>J$130*'Ethylene recycling rates'!L71</f>
        <v>0</v>
      </c>
      <c r="K134" s="230">
        <f>K$130*'Ethylene recycling rates'!M71</f>
        <v>0</v>
      </c>
      <c r="L134" s="230">
        <f>L$130*'Ethylene recycling rates'!N71</f>
        <v>0</v>
      </c>
      <c r="M134" s="230">
        <f>M$130*'Ethylene recycling rates'!O71</f>
        <v>0</v>
      </c>
      <c r="N134" s="230">
        <f>N$130*'Ethylene recycling rates'!P71</f>
        <v>0</v>
      </c>
      <c r="O134" s="230">
        <f>O$130*'Ethylene recycling rates'!Q71</f>
        <v>0</v>
      </c>
      <c r="P134" s="230">
        <f>P$130*'Ethylene recycling rates'!R71</f>
        <v>0</v>
      </c>
      <c r="Q134" s="230">
        <f>Q$130*'Ethylene recycling rates'!S71</f>
        <v>0</v>
      </c>
      <c r="R134" s="230">
        <f>R$130*'Ethylene recycling rates'!T71</f>
        <v>0</v>
      </c>
      <c r="S134" s="230">
        <f>S$130*'Ethylene recycling rates'!U71</f>
        <v>0</v>
      </c>
      <c r="T134" s="230">
        <f>T$130*'Ethylene recycling rates'!V71</f>
        <v>0</v>
      </c>
      <c r="U134" s="230">
        <f>U$130*'Ethylene recycling rates'!W71</f>
        <v>0</v>
      </c>
      <c r="V134" s="230">
        <f>V$130*'Ethylene recycling rates'!X71</f>
        <v>0</v>
      </c>
      <c r="W134" s="230">
        <f>W$130*'Ethylene recycling rates'!Y71</f>
        <v>0</v>
      </c>
      <c r="X134" s="230">
        <f>X$130*'Ethylene recycling rates'!Z71</f>
        <v>0</v>
      </c>
      <c r="Y134" s="230">
        <f>Y$130*'Ethylene recycling rates'!AA71</f>
        <v>0</v>
      </c>
      <c r="Z134" s="230">
        <f>Z$130*'Ethylene recycling rates'!AB71</f>
        <v>0</v>
      </c>
      <c r="AA134" s="230">
        <f>AA$130*'Ethylene recycling rates'!AC71</f>
        <v>0</v>
      </c>
      <c r="AB134" s="230">
        <f>AB$130*'Ethylene recycling rates'!AD71</f>
        <v>0</v>
      </c>
      <c r="AC134" s="230">
        <f>AC$130*'Ethylene recycling rates'!AE71</f>
        <v>0</v>
      </c>
      <c r="AD134" s="230">
        <f>AD$130*'Ethylene recycling rates'!AF71</f>
        <v>0</v>
      </c>
      <c r="AE134" s="230">
        <f>AE$130*'Ethylene recycling rates'!AG71</f>
        <v>0</v>
      </c>
      <c r="AF134" s="230">
        <f>AF$130*'Ethylene recycling rates'!AH71</f>
        <v>0</v>
      </c>
      <c r="AG134" s="230">
        <f>AG$130*'Ethylene recycling rates'!AI71</f>
        <v>0</v>
      </c>
      <c r="AH134" s="245">
        <f t="shared" si="104"/>
        <v>0</v>
      </c>
      <c r="AI134" s="133"/>
      <c r="AJ134" s="211"/>
      <c r="AL134" s="108"/>
      <c r="AM134" s="2"/>
      <c r="AN134" s="2"/>
      <c r="AO134" s="2"/>
      <c r="BC134" s="1"/>
      <c r="BD134" s="2"/>
      <c r="BE134" s="2"/>
      <c r="BF134" s="2"/>
      <c r="BG134" s="2"/>
      <c r="BH134" s="2"/>
      <c r="BI134" s="2"/>
      <c r="BJ134" s="2"/>
      <c r="BK134" s="2"/>
    </row>
    <row r="135" spans="1:63" outlineLevel="1">
      <c r="A135" s="4" t="s">
        <v>248</v>
      </c>
      <c r="C135" s="230">
        <f>C$130*'Ethylene recycling rates'!E72</f>
        <v>4.9604593443518881E-4</v>
      </c>
      <c r="D135" s="230">
        <f>D$130*'Ethylene recycling rates'!F72</f>
        <v>8.5499949337620247E-4</v>
      </c>
      <c r="E135" s="230">
        <f>E$130*'Ethylene recycling rates'!G72</f>
        <v>1.3347255831673106E-3</v>
      </c>
      <c r="F135" s="230">
        <f>F$130*'Ethylene recycling rates'!H72</f>
        <v>1.9478222034703561E-3</v>
      </c>
      <c r="G135" s="230">
        <f>G$130*'Ethylene recycling rates'!I72</f>
        <v>2.7059514701900777E-3</v>
      </c>
      <c r="H135" s="230">
        <f>H$130*'Ethylene recycling rates'!J72</f>
        <v>3.6195331221358417E-3</v>
      </c>
      <c r="I135" s="230">
        <f>I$130*'Ethylene recycling rates'!K72</f>
        <v>4.7075789534090588E-3</v>
      </c>
      <c r="J135" s="230">
        <f>J$130*'Ethylene recycling rates'!L72</f>
        <v>5.9852925727267928E-3</v>
      </c>
      <c r="K135" s="230">
        <f>K$130*'Ethylene recycling rates'!M72</f>
        <v>7.4682372062636329E-3</v>
      </c>
      <c r="L135" s="230">
        <f>L$130*'Ethylene recycling rates'!N72</f>
        <v>9.1722932187950166E-3</v>
      </c>
      <c r="M135" s="230">
        <f>M$130*'Ethylene recycling rates'!O72</f>
        <v>1.1113612335086925E-2</v>
      </c>
      <c r="N135" s="230">
        <f>N$130*'Ethylene recycling rates'!P72</f>
        <v>1.4271133980738851E-2</v>
      </c>
      <c r="O135" s="230">
        <f>O$130*'Ethylene recycling rates'!Q72</f>
        <v>1.7881198343760573E-2</v>
      </c>
      <c r="P135" s="230">
        <f>P$130*'Ethylene recycling rates'!R72</f>
        <v>2.2001903095735978E-2</v>
      </c>
      <c r="Q135" s="230">
        <f>Q$130*'Ethylene recycling rates'!S72</f>
        <v>2.6617369060850698E-2</v>
      </c>
      <c r="R135" s="230">
        <f>R$130*'Ethylene recycling rates'!T72</f>
        <v>3.1735548507466078E-2</v>
      </c>
      <c r="S135" s="230">
        <f>S$130*'Ethylene recycling rates'!U72</f>
        <v>3.7426592562298036E-2</v>
      </c>
      <c r="T135" s="230">
        <f>T$130*'Ethylene recycling rates'!V72</f>
        <v>4.372160064780229E-2</v>
      </c>
      <c r="U135" s="230">
        <f>U$130*'Ethylene recycling rates'!W72</f>
        <v>5.0652153665045385E-2</v>
      </c>
      <c r="V135" s="230">
        <f>V$130*'Ethylene recycling rates'!X72</f>
        <v>5.8250291238351355E-2</v>
      </c>
      <c r="W135" s="230">
        <f>W$130*'Ethylene recycling rates'!Y72</f>
        <v>6.6548487863523381E-2</v>
      </c>
      <c r="X135" s="230">
        <f>X$130*'Ethylene recycling rates'!Z72</f>
        <v>7.8464677639567049E-2</v>
      </c>
      <c r="Y135" s="230">
        <f>Y$130*'Ethylene recycling rates'!AA72</f>
        <v>9.1546564063545693E-2</v>
      </c>
      <c r="Z135" s="230">
        <f>Z$130*'Ethylene recycling rates'!AB72</f>
        <v>0.10616042358707624</v>
      </c>
      <c r="AA135" s="230">
        <f>AA$130*'Ethylene recycling rates'!AC72</f>
        <v>0.12214187969457409</v>
      </c>
      <c r="AB135" s="230">
        <f>AB$130*'Ethylene recycling rates'!AD72</f>
        <v>0.13955902314398047</v>
      </c>
      <c r="AC135" s="230">
        <f>AC$130*'Ethylene recycling rates'!AE72</f>
        <v>0.15848263984546943</v>
      </c>
      <c r="AD135" s="230">
        <f>AD$130*'Ethylene recycling rates'!AF72</f>
        <v>0.17898375688634333</v>
      </c>
      <c r="AE135" s="230">
        <f>AE$130*'Ethylene recycling rates'!AG72</f>
        <v>0.20113460840158218</v>
      </c>
      <c r="AF135" s="230">
        <f>AF$130*'Ethylene recycling rates'!AH72</f>
        <v>0.22500859687159241</v>
      </c>
      <c r="AG135" s="230">
        <f>AG$130*'Ethylene recycling rates'!AI72</f>
        <v>0.25068025217941453</v>
      </c>
      <c r="AH135" s="245">
        <f t="shared" si="104"/>
        <v>0.25018420624497933</v>
      </c>
      <c r="AI135" s="133"/>
      <c r="AJ135" s="211"/>
      <c r="AL135" s="108"/>
      <c r="AM135" s="2"/>
      <c r="AN135" s="2"/>
      <c r="AO135" s="2"/>
      <c r="BC135" s="1"/>
      <c r="BD135" s="2"/>
      <c r="BE135" s="2"/>
      <c r="BF135" s="2"/>
      <c r="BG135" s="2"/>
      <c r="BH135" s="2"/>
      <c r="BI135" s="2"/>
      <c r="BJ135" s="2"/>
      <c r="BK135" s="2"/>
    </row>
    <row r="136" spans="1:63" s="1" customFormat="1" outlineLevel="1">
      <c r="A136" s="1" t="s">
        <v>1328</v>
      </c>
      <c r="B136" s="65"/>
      <c r="C136" s="300">
        <f>C126*C46</f>
        <v>3.1863166254337605E-2</v>
      </c>
      <c r="D136" s="300">
        <f t="shared" ref="D136:AG136" si="105">D126*D46</f>
        <v>3.9966780612204024E-2</v>
      </c>
      <c r="E136" s="300">
        <f t="shared" si="105"/>
        <v>4.7962569921262875E-2</v>
      </c>
      <c r="F136" s="300">
        <f t="shared" si="105"/>
        <v>5.5768267892671454E-2</v>
      </c>
      <c r="G136" s="300">
        <f t="shared" si="105"/>
        <v>6.3302391893092821E-2</v>
      </c>
      <c r="H136" s="300">
        <f t="shared" si="105"/>
        <v>7.0485519584086845E-2</v>
      </c>
      <c r="I136" s="300">
        <f t="shared" si="105"/>
        <v>7.7408196205049767E-2</v>
      </c>
      <c r="J136" s="300">
        <f t="shared" si="105"/>
        <v>8.4040333259207262E-2</v>
      </c>
      <c r="K136" s="300">
        <f t="shared" si="105"/>
        <v>9.0351748760395117E-2</v>
      </c>
      <c r="L136" s="300">
        <f t="shared" si="105"/>
        <v>9.631226168993727E-2</v>
      </c>
      <c r="M136" s="300">
        <f t="shared" si="105"/>
        <v>0.10189178902460598</v>
      </c>
      <c r="N136" s="300">
        <f t="shared" si="105"/>
        <v>0.11480377759990669</v>
      </c>
      <c r="O136" s="300">
        <f t="shared" si="105"/>
        <v>0.12672448848843168</v>
      </c>
      <c r="P136" s="300">
        <f t="shared" si="105"/>
        <v>0.13782265467851923</v>
      </c>
      <c r="Q136" s="300">
        <f t="shared" si="105"/>
        <v>0.14776542132831369</v>
      </c>
      <c r="R136" s="300">
        <f t="shared" si="105"/>
        <v>0.15646019021794855</v>
      </c>
      <c r="S136" s="300">
        <f t="shared" si="105"/>
        <v>0.16412141997549792</v>
      </c>
      <c r="T136" s="300">
        <f t="shared" si="105"/>
        <v>0.17071598688908404</v>
      </c>
      <c r="U136" s="300">
        <f t="shared" si="105"/>
        <v>0.17621099364915493</v>
      </c>
      <c r="V136" s="300">
        <f t="shared" si="105"/>
        <v>0.18057380198654949</v>
      </c>
      <c r="W136" s="300">
        <f t="shared" si="105"/>
        <v>0.18377206558425663</v>
      </c>
      <c r="X136" s="300">
        <f t="shared" si="105"/>
        <v>0.19286517859332283</v>
      </c>
      <c r="Y136" s="300">
        <f t="shared" si="105"/>
        <v>0.20002766747648321</v>
      </c>
      <c r="Z136" s="300">
        <f t="shared" si="105"/>
        <v>0.20580887796960382</v>
      </c>
      <c r="AA136" s="300">
        <f t="shared" si="105"/>
        <v>0.20956998311870706</v>
      </c>
      <c r="AB136" s="300">
        <f t="shared" si="105"/>
        <v>0.21124060263895944</v>
      </c>
      <c r="AC136" s="300">
        <f t="shared" si="105"/>
        <v>0.21075249407804975</v>
      </c>
      <c r="AD136" s="300">
        <f t="shared" si="105"/>
        <v>0.20803555794096024</v>
      </c>
      <c r="AE136" s="300">
        <f t="shared" si="105"/>
        <v>0.20301983950642674</v>
      </c>
      <c r="AF136" s="300">
        <f t="shared" si="105"/>
        <v>0.19563558832718739</v>
      </c>
      <c r="AG136" s="300">
        <f t="shared" si="105"/>
        <v>0.18581331856091585</v>
      </c>
      <c r="AH136" s="422"/>
      <c r="AI136" s="423"/>
      <c r="AJ136" s="424"/>
      <c r="AL136" s="221"/>
      <c r="AM136" s="124"/>
      <c r="AN136" s="124"/>
      <c r="AO136" s="124"/>
      <c r="BD136" s="124"/>
      <c r="BE136" s="124"/>
      <c r="BF136" s="124"/>
      <c r="BG136" s="124"/>
      <c r="BH136" s="124"/>
      <c r="BI136" s="124"/>
      <c r="BJ136" s="124"/>
      <c r="BK136" s="124"/>
    </row>
    <row r="137" spans="1:63" outlineLevel="1">
      <c r="A137" s="4" t="s">
        <v>258</v>
      </c>
      <c r="C137" s="230">
        <f>C$136*'Ethylene recycling rates'!E73</f>
        <v>2.5708407295327727E-2</v>
      </c>
      <c r="D137" s="230">
        <f>D$136*'Ethylene recycling rates'!F73</f>
        <v>3.2127657619657683E-2</v>
      </c>
      <c r="E137" s="230">
        <f>E$136*'Ethylene recycling rates'!G73</f>
        <v>3.8412275265422006E-2</v>
      </c>
      <c r="F137" s="230">
        <f>F$136*'Ethylene recycling rates'!H73</f>
        <v>4.4497583399571661E-2</v>
      </c>
      <c r="G137" s="230">
        <f>G$136*'Ethylene recycling rates'!I73</f>
        <v>5.0320508346442361E-2</v>
      </c>
      <c r="H137" s="230">
        <f>H$136*'Ethylene recycling rates'!J73</f>
        <v>5.5820578942886681E-2</v>
      </c>
      <c r="I137" s="230">
        <f>I$136*'Ethylene recycling rates'!K73</f>
        <v>6.1072368846530424E-2</v>
      </c>
      <c r="J137" s="230">
        <f>J$136*'Ethylene recycling rates'!L73</f>
        <v>6.605455638629501E-2</v>
      </c>
      <c r="K137" s="230">
        <f>K$136*'Ethylene recycling rates'!M73</f>
        <v>7.0746105195931289E-2</v>
      </c>
      <c r="L137" s="230">
        <f>L$136*'Ethylene recycling rates'!N73</f>
        <v>7.5126339285526492E-2</v>
      </c>
      <c r="M137" s="230">
        <f>M$136*'Ethylene recycling rates'!O73</f>
        <v>7.9175018422674631E-2</v>
      </c>
      <c r="N137" s="230">
        <f>N$136*'Ethylene recycling rates'!P73</f>
        <v>8.8866304728649273E-2</v>
      </c>
      <c r="O137" s="230">
        <f>O$136*'Ethylene recycling rates'!Q73</f>
        <v>9.771630038420355E-2</v>
      </c>
      <c r="P137" s="230">
        <f>P$136*'Ethylene recycling rates'!R73</f>
        <v>0.10586346989671973</v>
      </c>
      <c r="Q137" s="230">
        <f>Q$136*'Ethylene recycling rates'!S73</f>
        <v>0.11306048493347573</v>
      </c>
      <c r="R137" s="230">
        <f>R$136*'Ethylene recycling rates'!T73</f>
        <v>0.11924709622567158</v>
      </c>
      <c r="S137" s="230">
        <f>S$136*'Ethylene recycling rates'!U73</f>
        <v>0.12459726843354241</v>
      </c>
      <c r="T137" s="230">
        <f>T$136*'Ethylene recycling rates'!V73</f>
        <v>0.12909518950158019</v>
      </c>
      <c r="U137" s="230">
        <f>U$136*'Ethylene recycling rates'!W73</f>
        <v>0.13272561257764706</v>
      </c>
      <c r="V137" s="230">
        <f>V$136*'Ethylene recycling rates'!X73</f>
        <v>0.13547387712738065</v>
      </c>
      <c r="W137" s="230">
        <f>W$136*'Ethylene recycling rates'!Y73</f>
        <v>0.13732592966979146</v>
      </c>
      <c r="X137" s="230">
        <f>X$136*'Ethylene recycling rates'!Z73</f>
        <v>0.14354636745115898</v>
      </c>
      <c r="Y137" s="230">
        <f>Y$136*'Ethylene recycling rates'!AA73</f>
        <v>0.14828145175912238</v>
      </c>
      <c r="Z137" s="230">
        <f>Z$136*'Ethylene recycling rates'!AB73</f>
        <v>0.15195403149400014</v>
      </c>
      <c r="AA137" s="230">
        <f>AA$136*'Ethylene recycling rates'!AC73</f>
        <v>0.15410669063570145</v>
      </c>
      <c r="AB137" s="230">
        <f>AB$136*'Ethylene recycling rates'!AD73</f>
        <v>0.15470593722144546</v>
      </c>
      <c r="AC137" s="230">
        <f>AC$136*'Ethylene recycling rates'!AE73</f>
        <v>0.15372067719005295</v>
      </c>
      <c r="AD137" s="230">
        <f>AD$136*'Ethylene recycling rates'!AF73</f>
        <v>0.15111928062071261</v>
      </c>
      <c r="AE137" s="230">
        <f>AE$136*'Ethylene recycling rates'!AG73</f>
        <v>0.14687105756973937</v>
      </c>
      <c r="AF137" s="230">
        <f>AF$136*'Ethylene recycling rates'!AH73</f>
        <v>0.14094629878147896</v>
      </c>
      <c r="AG137" s="230">
        <f>AG$136*'Ethylene recycling rates'!AI73</f>
        <v>0.13331631593177953</v>
      </c>
      <c r="AH137" s="245"/>
      <c r="AI137" s="133"/>
      <c r="AJ137" s="211"/>
      <c r="AL137" s="108"/>
      <c r="AM137" s="2"/>
      <c r="AN137" s="2"/>
      <c r="AO137" s="2"/>
      <c r="BC137" s="1"/>
      <c r="BD137" s="2"/>
      <c r="BE137" s="2"/>
      <c r="BF137" s="2"/>
      <c r="BG137" s="2"/>
      <c r="BH137" s="2"/>
      <c r="BI137" s="2"/>
      <c r="BJ137" s="2"/>
      <c r="BK137" s="2"/>
    </row>
    <row r="138" spans="1:63" outlineLevel="1">
      <c r="A138" s="4" t="s">
        <v>478</v>
      </c>
      <c r="C138" s="230">
        <f>C$136*'Ethylene recycling rates'!E74</f>
        <v>3.1884042710874486E-3</v>
      </c>
      <c r="D138" s="230">
        <f>D$136*'Ethylene recycling rates'!F74</f>
        <v>3.8659867600345063E-3</v>
      </c>
      <c r="E138" s="230">
        <f>E$136*'Ethylene recycling rates'!G74</f>
        <v>4.4794394923187908E-3</v>
      </c>
      <c r="F138" s="230">
        <f>F$136*'Ethylene recycling rates'!H74</f>
        <v>5.0224326078813046E-3</v>
      </c>
      <c r="G138" s="230">
        <f>G$136*'Ethylene recycling rates'!I74</f>
        <v>5.4898018104915791E-3</v>
      </c>
      <c r="H138" s="230">
        <f>H$136*'Ethylene recycling rates'!J74</f>
        <v>5.8776417545846416E-3</v>
      </c>
      <c r="I138" s="230">
        <f>I$136*'Ethylene recycling rates'!K74</f>
        <v>6.1967130680556821E-3</v>
      </c>
      <c r="J138" s="230">
        <f>J$136*'Ethylene recycling rates'!L74</f>
        <v>6.4473136719196446E-3</v>
      </c>
      <c r="K138" s="230">
        <f>K$136*'Ethylene recycling rates'!M74</f>
        <v>6.6301360696174117E-3</v>
      </c>
      <c r="L138" s="230">
        <f>L$136*'Ethylene recycling rates'!N74</f>
        <v>6.74627552250677E-3</v>
      </c>
      <c r="M138" s="230">
        <f>M$136*'Ethylene recycling rates'!O74</f>
        <v>6.7972365064958382E-3</v>
      </c>
      <c r="N138" s="230">
        <f>N$136*'Ethylene recycling rates'!P74</f>
        <v>7.2756697460420886E-3</v>
      </c>
      <c r="O138" s="230">
        <f>O$136*'Ethylene recycling rates'!Q74</f>
        <v>7.6084510331966785E-3</v>
      </c>
      <c r="P138" s="230">
        <f>P$136*'Ethylene recycling rates'!R74</f>
        <v>7.8150674402257553E-3</v>
      </c>
      <c r="Q138" s="230">
        <f>Q$136*'Ethylene recycling rates'!S74</f>
        <v>7.8859859140013675E-3</v>
      </c>
      <c r="R138" s="230">
        <f>R$136*'Ethylene recycling rates'!T74</f>
        <v>7.8281350755302088E-3</v>
      </c>
      <c r="S138" s="230">
        <f>S$136*'Ethylene recycling rates'!U74</f>
        <v>7.6640177056876693E-3</v>
      </c>
      <c r="T138" s="230">
        <f>T$136*'Ethylene recycling rates'!V74</f>
        <v>7.4025396661655304E-3</v>
      </c>
      <c r="U138" s="230">
        <f>U$136*'Ethylene recycling rates'!W74</f>
        <v>7.0530578195385097E-3</v>
      </c>
      <c r="V138" s="230">
        <f>V$136*'Ethylene recycling rates'!X74</f>
        <v>6.6253774509330158E-3</v>
      </c>
      <c r="W138" s="230">
        <f>W$136*'Ethylene recycling rates'!Y74</f>
        <v>6.1297490456360499E-3</v>
      </c>
      <c r="X138" s="230">
        <f>X$136*'Ethylene recycling rates'!Z74</f>
        <v>5.7897462630909901E-3</v>
      </c>
      <c r="Y138" s="230">
        <f>Y$136*'Ethylene recycling rates'!AA74</f>
        <v>5.33756596756593E-3</v>
      </c>
      <c r="Z138" s="230">
        <f>Z$136*'Ethylene recycling rates'!AB74</f>
        <v>4.8053535150446493E-3</v>
      </c>
      <c r="AA138" s="230">
        <f>AA$136*'Ethylene recycling rates'!AC74</f>
        <v>4.1941458292861691E-3</v>
      </c>
      <c r="AB138" s="230">
        <f>AB$136*'Ethylene recycling rates'!AD74</f>
        <v>3.5229834259877632E-3</v>
      </c>
      <c r="AC138" s="230">
        <f>AC$136*'Ethylene recycling rates'!AE74</f>
        <v>2.8118743625875904E-3</v>
      </c>
      <c r="AD138" s="230">
        <f>AD$136*'Ethylene recycling rates'!AF74</f>
        <v>2.0817186094514999E-3</v>
      </c>
      <c r="AE138" s="230">
        <f>AE$136*'Ethylene recycling rates'!AG74</f>
        <v>1.3543523750503131E-3</v>
      </c>
      <c r="AF138" s="230">
        <f>AF$136*'Ethylene recycling rates'!AH74</f>
        <v>6.5254588994713262E-4</v>
      </c>
      <c r="AG138" s="230">
        <f>AG$136*'Ethylene recycling rates'!AI74</f>
        <v>0</v>
      </c>
      <c r="AH138" s="245"/>
      <c r="AI138" s="133"/>
      <c r="AJ138" s="211"/>
      <c r="AL138" s="108"/>
      <c r="AM138" s="2"/>
      <c r="AN138" s="2"/>
      <c r="AO138" s="2"/>
      <c r="BC138" s="1"/>
      <c r="BD138" s="2"/>
      <c r="BE138" s="2"/>
      <c r="BF138" s="2"/>
      <c r="BG138" s="2"/>
      <c r="BH138" s="2"/>
      <c r="BI138" s="2"/>
      <c r="BJ138" s="2"/>
      <c r="BK138" s="2"/>
    </row>
    <row r="139" spans="1:63" outlineLevel="1">
      <c r="A139" s="4" t="s">
        <v>480</v>
      </c>
      <c r="C139" s="230">
        <f>C$136*'Ethylene recycling rates'!E75</f>
        <v>0</v>
      </c>
      <c r="D139" s="230">
        <f>D$136*'Ethylene recycling rates'!F75</f>
        <v>1.4273850218644293E-4</v>
      </c>
      <c r="E139" s="230">
        <f>E$136*'Ethylene recycling rates'!G75</f>
        <v>3.4258978515187767E-4</v>
      </c>
      <c r="F139" s="230">
        <f>F$136*'Ethylene recycling rates'!H75</f>
        <v>5.9751715599290847E-4</v>
      </c>
      <c r="G139" s="230">
        <f>G$136*'Ethylene recycling rates'!I75</f>
        <v>9.0431988418704032E-4</v>
      </c>
      <c r="H139" s="230">
        <f>H$136*'Ethylene recycling rates'!J75</f>
        <v>1.2586699925729793E-3</v>
      </c>
      <c r="I139" s="230">
        <f>I$136*'Ethylene recycling rates'!K75</f>
        <v>1.6587470615367808E-3</v>
      </c>
      <c r="J139" s="230">
        <f>J$136*'Ethylene recycling rates'!L75</f>
        <v>2.1010083314801815E-3</v>
      </c>
      <c r="K139" s="230">
        <f>K$136*'Ethylene recycling rates'!M75</f>
        <v>2.5814785360112895E-3</v>
      </c>
      <c r="L139" s="230">
        <f>L$136*'Ethylene recycling rates'!N75</f>
        <v>3.0957512686051267E-3</v>
      </c>
      <c r="M139" s="230">
        <f>M$136*'Ethylene recycling rates'!O75</f>
        <v>3.6389924651645E-3</v>
      </c>
      <c r="N139" s="230">
        <f>N$136*'Ethylene recycling rates'!P75</f>
        <v>4.5101484057106208E-3</v>
      </c>
      <c r="O139" s="230">
        <f>O$136*'Ethylene recycling rates'!Q75</f>
        <v>5.4310495066470727E-3</v>
      </c>
      <c r="P139" s="230">
        <f>P$136*'Ethylene recycling rates'!R75</f>
        <v>6.3989089672169654E-3</v>
      </c>
      <c r="Q139" s="230">
        <f>Q$136*'Ethylene recycling rates'!S75</f>
        <v>7.3882710664156855E-3</v>
      </c>
      <c r="R139" s="230">
        <f>R$136*'Ethylene recycling rates'!T75</f>
        <v>8.3817959045329599E-3</v>
      </c>
      <c r="S139" s="230">
        <f>S$136*'Ethylene recycling rates'!U75</f>
        <v>9.3783668557427396E-3</v>
      </c>
      <c r="T139" s="230">
        <f>T$136*'Ethylene recycling rates'!V75</f>
        <v>1.0364899203980106E-2</v>
      </c>
      <c r="U139" s="230">
        <f>U$136*'Ethylene recycling rates'!W75</f>
        <v>1.1327849591731391E-2</v>
      </c>
      <c r="V139" s="230">
        <f>V$136*'Ethylene recycling rates'!X75</f>
        <v>1.2253222277658717E-2</v>
      </c>
      <c r="W139" s="230">
        <f>W$136*'Ethylene recycling rates'!Y75</f>
        <v>1.312657611316119E-2</v>
      </c>
      <c r="X139" s="230">
        <f>X$136*'Ethylene recycling rates'!Z75</f>
        <v>1.4464888394499215E-2</v>
      </c>
      <c r="Y139" s="230">
        <f>Y$136*'Ethylene recycling rates'!AA75</f>
        <v>1.5716459587437968E-2</v>
      </c>
      <c r="Z139" s="230">
        <f>Z$136*'Ethylene recycling rates'!AB75</f>
        <v>1.6905729261788887E-2</v>
      </c>
      <c r="AA139" s="230">
        <f>AA$136*'Ethylene recycling rates'!AC75</f>
        <v>1.7963141410174892E-2</v>
      </c>
      <c r="AB139" s="230">
        <f>AB$136*'Ethylene recycling rates'!AD75</f>
        <v>1.8860768092764241E-2</v>
      </c>
      <c r="AC139" s="230">
        <f>AC$136*'Ethylene recycling rates'!AE75</f>
        <v>1.9569874450104621E-2</v>
      </c>
      <c r="AD139" s="230">
        <f>AD$136*'Ethylene recycling rates'!AF75</f>
        <v>2.0060571658592596E-2</v>
      </c>
      <c r="AE139" s="230">
        <f>AE$136*'Ethylene recycling rates'!AG75</f>
        <v>2.0301983950642678E-2</v>
      </c>
      <c r="AF139" s="230">
        <f>AF$136*'Ethylene recycling rates'!AH75</f>
        <v>2.0262257362458697E-2</v>
      </c>
      <c r="AG139" s="230">
        <f>AG$136*'Ethylene recycling rates'!AI75</f>
        <v>1.9908569845812411E-2</v>
      </c>
      <c r="AH139" s="245"/>
      <c r="AI139" s="133"/>
      <c r="AJ139" s="211"/>
      <c r="AL139" s="108"/>
      <c r="AM139" s="2"/>
      <c r="AN139" s="2"/>
      <c r="AO139" s="2"/>
      <c r="BC139" s="1"/>
      <c r="BD139" s="2"/>
      <c r="BE139" s="2"/>
      <c r="BF139" s="2"/>
      <c r="BG139" s="2"/>
      <c r="BH139" s="2"/>
      <c r="BI139" s="2"/>
      <c r="BJ139" s="2"/>
      <c r="BK139" s="2"/>
    </row>
    <row r="140" spans="1:63" outlineLevel="1">
      <c r="A140" s="4" t="s">
        <v>474</v>
      </c>
      <c r="C140" s="230">
        <f>C$136*'Ethylene recycling rates'!E76</f>
        <v>0</v>
      </c>
      <c r="D140" s="230">
        <f>D$136*'Ethylene recycling rates'!F76</f>
        <v>0</v>
      </c>
      <c r="E140" s="230">
        <f>E$136*'Ethylene recycling rates'!G76</f>
        <v>0</v>
      </c>
      <c r="F140" s="230">
        <f>F$136*'Ethylene recycling rates'!H76</f>
        <v>0</v>
      </c>
      <c r="G140" s="230">
        <f>G$136*'Ethylene recycling rates'!I76</f>
        <v>0</v>
      </c>
      <c r="H140" s="230">
        <f>H$136*'Ethylene recycling rates'!J76</f>
        <v>0</v>
      </c>
      <c r="I140" s="230">
        <f>I$136*'Ethylene recycling rates'!K76</f>
        <v>0</v>
      </c>
      <c r="J140" s="230">
        <f>J$136*'Ethylene recycling rates'!L76</f>
        <v>0</v>
      </c>
      <c r="K140" s="230">
        <f>K$136*'Ethylene recycling rates'!M76</f>
        <v>0</v>
      </c>
      <c r="L140" s="230">
        <f>L$136*'Ethylene recycling rates'!N76</f>
        <v>0</v>
      </c>
      <c r="M140" s="230">
        <f>M$136*'Ethylene recycling rates'!O76</f>
        <v>0</v>
      </c>
      <c r="N140" s="230">
        <f>N$136*'Ethylene recycling rates'!P76</f>
        <v>0</v>
      </c>
      <c r="O140" s="230">
        <f>O$136*'Ethylene recycling rates'!Q76</f>
        <v>0</v>
      </c>
      <c r="P140" s="230">
        <f>P$136*'Ethylene recycling rates'!R76</f>
        <v>0</v>
      </c>
      <c r="Q140" s="230">
        <f>Q$136*'Ethylene recycling rates'!S76</f>
        <v>0</v>
      </c>
      <c r="R140" s="230">
        <f>R$136*'Ethylene recycling rates'!T76</f>
        <v>0</v>
      </c>
      <c r="S140" s="230">
        <f>S$136*'Ethylene recycling rates'!U76</f>
        <v>0</v>
      </c>
      <c r="T140" s="230">
        <f>T$136*'Ethylene recycling rates'!V76</f>
        <v>0</v>
      </c>
      <c r="U140" s="230">
        <f>U$136*'Ethylene recycling rates'!W76</f>
        <v>0</v>
      </c>
      <c r="V140" s="230">
        <f>V$136*'Ethylene recycling rates'!X76</f>
        <v>0</v>
      </c>
      <c r="W140" s="230">
        <f>W$136*'Ethylene recycling rates'!Y76</f>
        <v>0</v>
      </c>
      <c r="X140" s="230">
        <f>X$136*'Ethylene recycling rates'!Z76</f>
        <v>0</v>
      </c>
      <c r="Y140" s="230">
        <f>Y$136*'Ethylene recycling rates'!AA76</f>
        <v>0</v>
      </c>
      <c r="Z140" s="230">
        <f>Z$136*'Ethylene recycling rates'!AB76</f>
        <v>0</v>
      </c>
      <c r="AA140" s="230">
        <f>AA$136*'Ethylene recycling rates'!AC76</f>
        <v>0</v>
      </c>
      <c r="AB140" s="230">
        <f>AB$136*'Ethylene recycling rates'!AD76</f>
        <v>0</v>
      </c>
      <c r="AC140" s="230">
        <f>AC$136*'Ethylene recycling rates'!AE76</f>
        <v>0</v>
      </c>
      <c r="AD140" s="230">
        <f>AD$136*'Ethylene recycling rates'!AF76</f>
        <v>0</v>
      </c>
      <c r="AE140" s="230">
        <f>AE$136*'Ethylene recycling rates'!AG76</f>
        <v>0</v>
      </c>
      <c r="AF140" s="230">
        <f>AF$136*'Ethylene recycling rates'!AH76</f>
        <v>0</v>
      </c>
      <c r="AG140" s="230">
        <f>AG$136*'Ethylene recycling rates'!AI76</f>
        <v>0</v>
      </c>
      <c r="AH140" s="245"/>
      <c r="AI140" s="133"/>
      <c r="AJ140" s="211"/>
      <c r="AL140" s="108"/>
      <c r="AM140" s="2"/>
      <c r="AN140" s="2"/>
      <c r="AO140" s="2"/>
      <c r="BC140" s="1"/>
      <c r="BD140" s="2"/>
      <c r="BE140" s="2"/>
      <c r="BF140" s="2"/>
      <c r="BG140" s="2"/>
      <c r="BH140" s="2"/>
      <c r="BI140" s="2"/>
      <c r="BJ140" s="2"/>
      <c r="BK140" s="2"/>
    </row>
    <row r="141" spans="1:63" outlineLevel="1">
      <c r="A141" s="4" t="s">
        <v>248</v>
      </c>
      <c r="C141" s="230">
        <f>C$136*'Ethylene recycling rates'!E77</f>
        <v>2.9663546879224296E-3</v>
      </c>
      <c r="D141" s="230">
        <f>D$136*'Ethylene recycling rates'!F77</f>
        <v>3.8303977303253875E-3</v>
      </c>
      <c r="E141" s="230">
        <f>E$136*'Ethylene recycling rates'!G77</f>
        <v>4.7282653783701977E-3</v>
      </c>
      <c r="F141" s="230">
        <f>F$136*'Ethylene recycling rates'!H77</f>
        <v>5.6507347292255811E-3</v>
      </c>
      <c r="G141" s="230">
        <f>G$136*'Ethylene recycling rates'!I77</f>
        <v>6.5877618519718439E-3</v>
      </c>
      <c r="H141" s="230">
        <f>H$136*'Ethylene recycling rates'!J77</f>
        <v>7.5286288940425525E-3</v>
      </c>
      <c r="I141" s="230">
        <f>I$136*'Ethylene recycling rates'!K77</f>
        <v>8.4803672289268921E-3</v>
      </c>
      <c r="J141" s="230">
        <f>J$136*'Ethylene recycling rates'!L77</f>
        <v>9.4374548695124408E-3</v>
      </c>
      <c r="K141" s="230">
        <f>K$136*'Ethylene recycling rates'!M77</f>
        <v>1.0394028958835153E-2</v>
      </c>
      <c r="L141" s="230">
        <f>L$136*'Ethylene recycling rates'!N77</f>
        <v>1.1343895613298917E-2</v>
      </c>
      <c r="M141" s="230">
        <f>M$136*'Ethylene recycling rates'!O77</f>
        <v>1.2280541630271051E-2</v>
      </c>
      <c r="N141" s="230">
        <f>N$136*'Ethylene recycling rates'!P77</f>
        <v>1.4151654719504754E-2</v>
      </c>
      <c r="O141" s="230">
        <f>O$136*'Ethylene recycling rates'!Q77</f>
        <v>1.5968687564384437E-2</v>
      </c>
      <c r="P141" s="230">
        <f>P$136*'Ethylene recycling rates'!R77</f>
        <v>1.774520837435685E-2</v>
      </c>
      <c r="Q141" s="230">
        <f>Q$136*'Ethylene recycling rates'!S77</f>
        <v>1.9430679414420997E-2</v>
      </c>
      <c r="R141" s="230">
        <f>R$136*'Ethylene recycling rates'!T77</f>
        <v>2.1003163012213902E-2</v>
      </c>
      <c r="S141" s="230">
        <f>S$136*'Ethylene recycling rates'!U77</f>
        <v>2.2481766980525217E-2</v>
      </c>
      <c r="T141" s="230">
        <f>T$136*'Ethylene recycling rates'!V77</f>
        <v>2.3853358517358345E-2</v>
      </c>
      <c r="U141" s="230">
        <f>U$136*'Ethylene recycling rates'!W77</f>
        <v>2.5104473660238109E-2</v>
      </c>
      <c r="V141" s="230">
        <f>V$136*'Ethylene recycling rates'!X77</f>
        <v>2.6221325130577254E-2</v>
      </c>
      <c r="W141" s="230">
        <f>W$136*'Ethylene recycling rates'!Y77</f>
        <v>2.7189810755668113E-2</v>
      </c>
      <c r="X141" s="230">
        <f>X$136*'Ethylene recycling rates'!Z77</f>
        <v>2.9064176484573854E-2</v>
      </c>
      <c r="Y141" s="230">
        <f>Y$136*'Ethylene recycling rates'!AA77</f>
        <v>3.0692190162357132E-2</v>
      </c>
      <c r="Z141" s="230">
        <f>Z$136*'Ethylene recycling rates'!AB77</f>
        <v>3.2143763698770388E-2</v>
      </c>
      <c r="AA141" s="230">
        <f>AA$136*'Ethylene recycling rates'!AC77</f>
        <v>3.3306005243544802E-2</v>
      </c>
      <c r="AB141" s="230">
        <f>AB$136*'Ethylene recycling rates'!AD77</f>
        <v>3.4150913898762243E-2</v>
      </c>
      <c r="AC141" s="230">
        <f>AC$136*'Ethylene recycling rates'!AE77</f>
        <v>3.4650068075304852E-2</v>
      </c>
      <c r="AD141" s="230">
        <f>AD$136*'Ethylene recycling rates'!AF77</f>
        <v>3.4773987052203796E-2</v>
      </c>
      <c r="AE141" s="230">
        <f>AE$136*'Ethylene recycling rates'!AG77</f>
        <v>3.4492445610994668E-2</v>
      </c>
      <c r="AF141" s="230">
        <f>AF$136*'Ethylene recycling rates'!AH77</f>
        <v>3.3774486293302874E-2</v>
      </c>
      <c r="AG141" s="230">
        <f>AG$136*'Ethylene recycling rates'!AI77</f>
        <v>3.2588432783323885E-2</v>
      </c>
      <c r="AH141" s="245"/>
      <c r="AI141" s="133"/>
      <c r="AJ141" s="211"/>
      <c r="AL141" s="108"/>
      <c r="AM141" s="2"/>
      <c r="AN141" s="2"/>
      <c r="AO141" s="2"/>
      <c r="BC141" s="1"/>
      <c r="BD141" s="2"/>
      <c r="BE141" s="2"/>
      <c r="BF141" s="2"/>
      <c r="BG141" s="2"/>
      <c r="BH141" s="2"/>
      <c r="BI141" s="2"/>
      <c r="BJ141" s="2"/>
      <c r="BK141" s="2"/>
    </row>
    <row r="142" spans="1:63" s="1" customFormat="1" outlineLevel="1">
      <c r="A142" s="1" t="s">
        <v>1338</v>
      </c>
      <c r="B142" s="65"/>
      <c r="C142" s="300">
        <f>C127*C46</f>
        <v>7.3530383663856008E-3</v>
      </c>
      <c r="D142" s="300">
        <f t="shared" ref="D142:AG142" si="106">D127*D46</f>
        <v>9.2231032182009277E-3</v>
      </c>
      <c r="E142" s="300">
        <f t="shared" si="106"/>
        <v>1.1068285366445278E-2</v>
      </c>
      <c r="F142" s="300">
        <f t="shared" si="106"/>
        <v>1.2869600282924181E-2</v>
      </c>
      <c r="G142" s="300">
        <f t="shared" si="106"/>
        <v>1.4608244283021422E-2</v>
      </c>
      <c r="H142" s="300">
        <f t="shared" si="106"/>
        <v>1.6265889134789269E-2</v>
      </c>
      <c r="I142" s="300">
        <f t="shared" si="106"/>
        <v>1.7863429893473028E-2</v>
      </c>
      <c r="J142" s="300">
        <f t="shared" si="106"/>
        <v>1.9393923059817058E-2</v>
      </c>
      <c r="K142" s="300">
        <f t="shared" si="106"/>
        <v>2.0850403560091178E-2</v>
      </c>
      <c r="L142" s="300">
        <f t="shared" si="106"/>
        <v>2.2225906543831674E-2</v>
      </c>
      <c r="M142" s="300">
        <f t="shared" si="106"/>
        <v>2.3513489774909076E-2</v>
      </c>
      <c r="N142" s="300">
        <f t="shared" si="106"/>
        <v>2.6493179446132314E-2</v>
      </c>
      <c r="O142" s="300">
        <f t="shared" si="106"/>
        <v>2.9244112728099618E-2</v>
      </c>
      <c r="P142" s="300">
        <f t="shared" si="106"/>
        <v>3.1805228002735199E-2</v>
      </c>
      <c r="Q142" s="300">
        <f t="shared" si="106"/>
        <v>3.4099712614226244E-2</v>
      </c>
      <c r="R142" s="300">
        <f t="shared" si="106"/>
        <v>3.6106197742603499E-2</v>
      </c>
      <c r="S142" s="300">
        <f t="shared" si="106"/>
        <v>3.7874173840499521E-2</v>
      </c>
      <c r="T142" s="300">
        <f t="shared" si="106"/>
        <v>3.9395996974404011E-2</v>
      </c>
      <c r="U142" s="300">
        <f t="shared" si="106"/>
        <v>4.0664075457497291E-2</v>
      </c>
      <c r="V142" s="300">
        <f t="shared" si="106"/>
        <v>4.1670877381511415E-2</v>
      </c>
      <c r="W142" s="300">
        <f t="shared" si="106"/>
        <v>4.2408938211751519E-2</v>
      </c>
      <c r="X142" s="300">
        <f t="shared" si="106"/>
        <v>4.4507348906151427E-2</v>
      </c>
      <c r="Y142" s="300">
        <f t="shared" si="106"/>
        <v>4.6160230956111499E-2</v>
      </c>
      <c r="Z142" s="300">
        <f t="shared" si="106"/>
        <v>4.7494356454523962E-2</v>
      </c>
      <c r="AA142" s="300">
        <f t="shared" si="106"/>
        <v>4.8362303796624699E-2</v>
      </c>
      <c r="AB142" s="300">
        <f t="shared" si="106"/>
        <v>4.8747831378221397E-2</v>
      </c>
      <c r="AC142" s="300">
        <f t="shared" si="106"/>
        <v>4.8635190941088403E-2</v>
      </c>
      <c r="AD142" s="300">
        <f t="shared" si="106"/>
        <v>4.8008205678683122E-2</v>
      </c>
      <c r="AE142" s="300">
        <f t="shared" si="106"/>
        <v>4.6850732193790781E-2</v>
      </c>
      <c r="AF142" s="300">
        <f t="shared" si="106"/>
        <v>4.5146674229350932E-2</v>
      </c>
      <c r="AG142" s="300">
        <f t="shared" si="106"/>
        <v>4.2879996590980574E-2</v>
      </c>
      <c r="AH142" s="422"/>
      <c r="AI142" s="423"/>
      <c r="AJ142" s="424"/>
      <c r="AL142" s="221"/>
      <c r="AM142" s="124"/>
      <c r="AN142" s="124"/>
      <c r="AO142" s="124"/>
      <c r="BD142" s="124"/>
      <c r="BE142" s="124"/>
      <c r="BF142" s="124"/>
      <c r="BG142" s="124"/>
      <c r="BH142" s="124"/>
      <c r="BI142" s="124"/>
      <c r="BJ142" s="124"/>
      <c r="BK142" s="124"/>
    </row>
    <row r="143" spans="1:63" outlineLevel="1">
      <c r="A143" s="4" t="s">
        <v>258</v>
      </c>
      <c r="C143" s="230">
        <f>C$142*'Ethylene recycling rates'!E78</f>
        <v>5.9327093758448591E-3</v>
      </c>
      <c r="D143" s="230">
        <f>D$142*'Ethylene recycling rates'!F78</f>
        <v>7.4140748353056195E-3</v>
      </c>
      <c r="E143" s="230">
        <f>E$142*'Ethylene recycling rates'!G78</f>
        <v>8.8643712150973854E-3</v>
      </c>
      <c r="F143" s="230">
        <f>F$142*'Ethylene recycling rates'!H78</f>
        <v>1.0268673092208845E-2</v>
      </c>
      <c r="G143" s="230">
        <f>G$142*'Ethylene recycling rates'!I78</f>
        <v>1.1612425003025163E-2</v>
      </c>
      <c r="H143" s="230">
        <f>H$142*'Ethylene recycling rates'!J78</f>
        <v>1.2881672063743077E-2</v>
      </c>
      <c r="I143" s="230">
        <f>I$142*'Ethylene recycling rates'!K78</f>
        <v>1.4093623579968564E-2</v>
      </c>
      <c r="J143" s="230">
        <f>J$142*'Ethylene recycling rates'!L78</f>
        <v>1.5243359166068077E-2</v>
      </c>
      <c r="K143" s="230">
        <f>K$142*'Ethylene recycling rates'!M78</f>
        <v>1.632602427598414E-2</v>
      </c>
      <c r="L143" s="230">
        <f>L$142*'Ethylene recycling rates'!N78</f>
        <v>1.7336847527429186E-2</v>
      </c>
      <c r="M143" s="230">
        <f>M$142*'Ethylene recycling rates'!O78</f>
        <v>1.8271158097540301E-2</v>
      </c>
      <c r="N143" s="230">
        <f>N$142*'Ethylene recycling rates'!P78</f>
        <v>2.0507608783534449E-2</v>
      </c>
      <c r="O143" s="230">
        <f>O$142*'Ethylene recycling rates'!Q78</f>
        <v>2.254991547327774E-2</v>
      </c>
      <c r="P143" s="230">
        <f>P$142*'Ethylene recycling rates'!R78</f>
        <v>2.4430031514627623E-2</v>
      </c>
      <c r="Q143" s="230">
        <f>Q$142*'Ethylene recycling rates'!S78</f>
        <v>2.6090881138494403E-2</v>
      </c>
      <c r="R143" s="230">
        <f>R$142*'Ethylene recycling rates'!T78</f>
        <v>2.7518560667462662E-2</v>
      </c>
      <c r="S143" s="230">
        <f>S$142*'Ethylene recycling rates'!U78</f>
        <v>2.875321579235594E-2</v>
      </c>
      <c r="T143" s="230">
        <f>T$142*'Ethylene recycling rates'!V78</f>
        <v>2.9791197577287737E-2</v>
      </c>
      <c r="U143" s="230">
        <f>U$142*'Ethylene recycling rates'!W78</f>
        <v>3.0628987517918555E-2</v>
      </c>
      <c r="V143" s="230">
        <f>V$142*'Ethylene recycling rates'!X78</f>
        <v>3.126320241401092E-2</v>
      </c>
      <c r="W143" s="230">
        <f>W$142*'Ethylene recycling rates'!Y78</f>
        <v>3.1690599154567248E-2</v>
      </c>
      <c r="X143" s="230">
        <f>X$142*'Ethylene recycling rates'!Z78</f>
        <v>3.3126084796421304E-2</v>
      </c>
      <c r="Y143" s="230">
        <f>Y$142*'Ethylene recycling rates'!AA78</f>
        <v>3.4218796559797468E-2</v>
      </c>
      <c r="Z143" s="230">
        <f>Z$142*'Ethylene recycling rates'!AB78</f>
        <v>3.5066314960153874E-2</v>
      </c>
      <c r="AA143" s="230">
        <f>AA$142*'Ethylene recycling rates'!AC78</f>
        <v>3.5563082454392637E-2</v>
      </c>
      <c r="AB143" s="230">
        <f>AB$142*'Ethylene recycling rates'!AD78</f>
        <v>3.5701370128025864E-2</v>
      </c>
      <c r="AC143" s="230">
        <f>AC$142*'Ethylene recycling rates'!AE78</f>
        <v>3.5474002428473761E-2</v>
      </c>
      <c r="AD143" s="230">
        <f>AD$142*'Ethylene recycling rates'!AF78</f>
        <v>3.4873680143241367E-2</v>
      </c>
      <c r="AE143" s="230">
        <f>AE$142*'Ethylene recycling rates'!AG78</f>
        <v>3.389332097763216E-2</v>
      </c>
      <c r="AF143" s="230">
        <f>AF$142*'Ethylene recycling rates'!AH78</f>
        <v>3.2526068949572065E-2</v>
      </c>
      <c r="AG143" s="230">
        <f>AG$142*'Ethylene recycling rates'!AI78</f>
        <v>3.0765303676564503E-2</v>
      </c>
      <c r="AH143" s="245"/>
      <c r="AI143" s="133"/>
      <c r="AJ143" s="211"/>
      <c r="AL143" s="108"/>
      <c r="AM143" s="2"/>
      <c r="AN143" s="2"/>
      <c r="AO143" s="2"/>
      <c r="BC143" s="1"/>
      <c r="BD143" s="2"/>
      <c r="BE143" s="2"/>
      <c r="BF143" s="2"/>
      <c r="BG143" s="2"/>
      <c r="BH143" s="2"/>
      <c r="BI143" s="2"/>
      <c r="BJ143" s="2"/>
      <c r="BK143" s="2"/>
    </row>
    <row r="144" spans="1:63" outlineLevel="1">
      <c r="A144" s="4" t="s">
        <v>478</v>
      </c>
      <c r="C144" s="230">
        <f>C$142*'Ethylene recycling rates'!E79</f>
        <v>7.3578560102018043E-4</v>
      </c>
      <c r="D144" s="230">
        <f>D$142*'Ethylene recycling rates'!F79</f>
        <v>8.921507907771937E-4</v>
      </c>
      <c r="E144" s="230">
        <f>E$142*'Ethylene recycling rates'!G79</f>
        <v>1.0337168059197208E-3</v>
      </c>
      <c r="F144" s="230">
        <f>F$142*'Ethylene recycling rates'!H79</f>
        <v>1.1590229095110702E-3</v>
      </c>
      <c r="G144" s="230">
        <f>G$142*'Ethylene recycling rates'!I79</f>
        <v>1.2668773408826724E-3</v>
      </c>
      <c r="H144" s="230">
        <f>H$142*'Ethylene recycling rates'!J79</f>
        <v>1.3563788664426094E-3</v>
      </c>
      <c r="I144" s="230">
        <f>I$142*'Ethylene recycling rates'!K79</f>
        <v>1.4300107080128502E-3</v>
      </c>
      <c r="J144" s="230">
        <f>J$142*'Ethylene recycling rates'!L79</f>
        <v>1.4878416165968408E-3</v>
      </c>
      <c r="K144" s="230">
        <f>K$142*'Ethylene recycling rates'!M79</f>
        <v>1.530031400680941E-3</v>
      </c>
      <c r="L144" s="230">
        <f>L$142*'Ethylene recycling rates'!N79</f>
        <v>1.5568328128861776E-3</v>
      </c>
      <c r="M144" s="230">
        <f>M$142*'Ethylene recycling rates'!O79</f>
        <v>1.5685930399605783E-3</v>
      </c>
      <c r="N144" s="230">
        <f>N$142*'Ethylene recycling rates'!P79</f>
        <v>1.6790007106250973E-3</v>
      </c>
      <c r="O144" s="230">
        <f>O$142*'Ethylene recycling rates'!Q79</f>
        <v>1.7557963922761567E-3</v>
      </c>
      <c r="P144" s="230">
        <f>P$142*'Ethylene recycling rates'!R79</f>
        <v>1.8034771015905586E-3</v>
      </c>
      <c r="Q144" s="230">
        <f>Q$142*'Ethylene recycling rates'!S79</f>
        <v>1.8198429032310853E-3</v>
      </c>
      <c r="R144" s="230">
        <f>R$142*'Ethylene recycling rates'!T79</f>
        <v>1.80649270973774E-3</v>
      </c>
      <c r="S144" s="230">
        <f>S$142*'Ethylene recycling rates'!U79</f>
        <v>1.7686194705433082E-3</v>
      </c>
      <c r="T144" s="230">
        <f>T$142*'Ethylene recycling rates'!V79</f>
        <v>1.708278384499738E-3</v>
      </c>
      <c r="U144" s="230">
        <f>U$142*'Ethylene recycling rates'!W79</f>
        <v>1.6276287275858098E-3</v>
      </c>
      <c r="V144" s="230">
        <f>V$142*'Ethylene recycling rates'!X79</f>
        <v>1.528933257907619E-3</v>
      </c>
      <c r="W144" s="230">
        <f>W$142*'Ethylene recycling rates'!Y79</f>
        <v>1.4145574720698573E-3</v>
      </c>
      <c r="X144" s="230">
        <f>X$142*'Ethylene recycling rates'!Z79</f>
        <v>1.3360952914825363E-3</v>
      </c>
      <c r="Y144" s="230">
        <f>Y$142*'Ethylene recycling rates'!AA79</f>
        <v>1.2317459925152143E-3</v>
      </c>
      <c r="Z144" s="230">
        <f>Z$142*'Ethylene recycling rates'!AB79</f>
        <v>1.1089277342410729E-3</v>
      </c>
      <c r="AA144" s="230">
        <f>AA$142*'Ethylene recycling rates'!AC79</f>
        <v>9.6787980675834648E-4</v>
      </c>
      <c r="AB144" s="230">
        <f>AB$142*'Ethylene recycling rates'!AD79</f>
        <v>8.1299617522794518E-4</v>
      </c>
      <c r="AC144" s="230">
        <f>AC$142*'Ethylene recycling rates'!AE79</f>
        <v>6.4889408367405934E-4</v>
      </c>
      <c r="AD144" s="230">
        <f>AD$142*'Ethylene recycling rates'!AF79</f>
        <v>4.8039660218111521E-4</v>
      </c>
      <c r="AE144" s="230">
        <f>AE$142*'Ethylene recycling rates'!AG79</f>
        <v>3.1254285578084144E-4</v>
      </c>
      <c r="AF144" s="230">
        <f>AF$142*'Ethylene recycling rates'!AH79</f>
        <v>1.5058751306472291E-4</v>
      </c>
      <c r="AG144" s="230">
        <f>AG$142*'Ethylene recycling rates'!AI79</f>
        <v>0</v>
      </c>
      <c r="AH144" s="245"/>
      <c r="AI144" s="133"/>
      <c r="AJ144" s="211"/>
      <c r="AL144" s="108"/>
      <c r="AM144" s="2"/>
      <c r="AN144" s="2"/>
      <c r="AO144" s="2"/>
      <c r="BC144" s="1"/>
      <c r="BD144" s="2"/>
      <c r="BE144" s="2"/>
      <c r="BF144" s="2"/>
      <c r="BG144" s="2"/>
      <c r="BH144" s="2"/>
      <c r="BI144" s="2"/>
      <c r="BJ144" s="2"/>
      <c r="BK144" s="2"/>
    </row>
    <row r="145" spans="1:63" outlineLevel="1">
      <c r="A145" s="4" t="s">
        <v>480</v>
      </c>
      <c r="C145" s="230">
        <f>C$142*'Ethylene recycling rates'!E80</f>
        <v>0</v>
      </c>
      <c r="D145" s="230">
        <f>D$142*'Ethylene recycling rates'!F80</f>
        <v>3.2939654350717597E-5</v>
      </c>
      <c r="E145" s="230">
        <f>E$142*'Ethylene recycling rates'!G80</f>
        <v>7.9059181188894837E-5</v>
      </c>
      <c r="F145" s="230">
        <f>F$142*'Ethylene recycling rates'!H80</f>
        <v>1.3788857445990195E-4</v>
      </c>
      <c r="G145" s="230">
        <f>G$142*'Ethylene recycling rates'!I80</f>
        <v>2.0868920404316316E-4</v>
      </c>
      <c r="H145" s="230">
        <f>H$142*'Ethylene recycling rates'!J80</f>
        <v>2.904623059783798E-4</v>
      </c>
      <c r="I145" s="230">
        <f>I$142*'Ethylene recycling rates'!K80</f>
        <v>3.8278778343156489E-4</v>
      </c>
      <c r="J145" s="230">
        <f>J$142*'Ethylene recycling rates'!L80</f>
        <v>4.8484807649542649E-4</v>
      </c>
      <c r="K145" s="230">
        <f>K$142*'Ethylene recycling rates'!M80</f>
        <v>5.9572581600260519E-4</v>
      </c>
      <c r="L145" s="230">
        <f>L$142*'Ethylene recycling rates'!N80</f>
        <v>7.1440413890887537E-4</v>
      </c>
      <c r="M145" s="230">
        <f>M$142*'Ethylene recycling rates'!O80</f>
        <v>8.3976749196103858E-4</v>
      </c>
      <c r="N145" s="230">
        <f>N$142*'Ethylene recycling rates'!P80</f>
        <v>1.0408034782409125E-3</v>
      </c>
      <c r="O145" s="230">
        <f>O$142*'Ethylene recycling rates'!Q80</f>
        <v>1.2533191169185553E-3</v>
      </c>
      <c r="P145" s="230">
        <f>P$142*'Ethylene recycling rates'!R80</f>
        <v>1.4766713001269915E-3</v>
      </c>
      <c r="Q145" s="230">
        <f>Q$142*'Ethylene recycling rates'!S80</f>
        <v>1.7049856307113126E-3</v>
      </c>
      <c r="R145" s="230">
        <f>R$142*'Ethylene recycling rates'!T80</f>
        <v>1.9342605933537593E-3</v>
      </c>
      <c r="S145" s="230">
        <f>S$142*'Ethylene recycling rates'!U80</f>
        <v>2.1642385051714019E-3</v>
      </c>
      <c r="T145" s="230">
        <f>T$142*'Ethylene recycling rates'!V80</f>
        <v>2.3918998163031014E-3</v>
      </c>
      <c r="U145" s="230">
        <f>U$142*'Ethylene recycling rates'!W80</f>
        <v>2.6141191365533977E-3</v>
      </c>
      <c r="V145" s="230">
        <f>V$142*'Ethylene recycling rates'!X80</f>
        <v>2.8276666794597033E-3</v>
      </c>
      <c r="W145" s="230">
        <f>W$142*'Ethylene recycling rates'!Y80</f>
        <v>3.0292098722679659E-3</v>
      </c>
      <c r="X145" s="230">
        <f>X$142*'Ethylene recycling rates'!Z80</f>
        <v>3.3380511679613574E-3</v>
      </c>
      <c r="Y145" s="230">
        <f>Y$142*'Ethylene recycling rates'!AA80</f>
        <v>3.6268752894087612E-3</v>
      </c>
      <c r="Z145" s="230">
        <f>Z$142*'Ethylene recycling rates'!AB80</f>
        <v>3.9013221373358975E-3</v>
      </c>
      <c r="AA145" s="230">
        <f>AA$142*'Ethylene recycling rates'!AC80</f>
        <v>4.1453403254249751E-3</v>
      </c>
      <c r="AB145" s="230">
        <f>AB$142*'Ethylene recycling rates'!AD80</f>
        <v>4.3524849444840537E-3</v>
      </c>
      <c r="AC145" s="230">
        <f>AC$142*'Ethylene recycling rates'!AE80</f>
        <v>4.516124873101067E-3</v>
      </c>
      <c r="AD145" s="230">
        <f>AD$142*'Ethylene recycling rates'!AF80</f>
        <v>4.6293626904444444E-3</v>
      </c>
      <c r="AE145" s="230">
        <f>AE$142*'Ethylene recycling rates'!AG80</f>
        <v>4.6850732193790788E-3</v>
      </c>
      <c r="AF145" s="230">
        <f>AF$142*'Ethylene recycling rates'!AH80</f>
        <v>4.6759055451827758E-3</v>
      </c>
      <c r="AG145" s="230">
        <f>AG$142*'Ethylene recycling rates'!AI80</f>
        <v>4.5942853490336328E-3</v>
      </c>
      <c r="AH145" s="245"/>
      <c r="AI145" s="133"/>
      <c r="AJ145" s="211"/>
      <c r="AL145" s="108"/>
      <c r="AM145" s="2"/>
      <c r="AN145" s="2"/>
      <c r="AO145" s="2"/>
      <c r="BC145" s="1"/>
      <c r="BD145" s="2"/>
      <c r="BE145" s="2"/>
      <c r="BF145" s="2"/>
      <c r="BG145" s="2"/>
      <c r="BH145" s="2"/>
      <c r="BI145" s="2"/>
      <c r="BJ145" s="2"/>
      <c r="BK145" s="2"/>
    </row>
    <row r="146" spans="1:63" outlineLevel="1">
      <c r="A146" s="4" t="s">
        <v>474</v>
      </c>
      <c r="C146" s="230">
        <f>C$142*'Ethylene recycling rates'!E81</f>
        <v>0</v>
      </c>
      <c r="D146" s="230">
        <f>D$142*'Ethylene recycling rates'!F81</f>
        <v>0</v>
      </c>
      <c r="E146" s="230">
        <f>E$142*'Ethylene recycling rates'!G81</f>
        <v>0</v>
      </c>
      <c r="F146" s="230">
        <f>F$142*'Ethylene recycling rates'!H81</f>
        <v>0</v>
      </c>
      <c r="G146" s="230">
        <f>G$142*'Ethylene recycling rates'!I81</f>
        <v>0</v>
      </c>
      <c r="H146" s="230">
        <f>H$142*'Ethylene recycling rates'!J81</f>
        <v>0</v>
      </c>
      <c r="I146" s="230">
        <f>I$142*'Ethylene recycling rates'!K81</f>
        <v>0</v>
      </c>
      <c r="J146" s="230">
        <f>J$142*'Ethylene recycling rates'!L81</f>
        <v>0</v>
      </c>
      <c r="K146" s="230">
        <f>K$142*'Ethylene recycling rates'!M81</f>
        <v>0</v>
      </c>
      <c r="L146" s="230">
        <f>L$142*'Ethylene recycling rates'!N81</f>
        <v>0</v>
      </c>
      <c r="M146" s="230">
        <f>M$142*'Ethylene recycling rates'!O81</f>
        <v>0</v>
      </c>
      <c r="N146" s="230">
        <f>N$142*'Ethylene recycling rates'!P81</f>
        <v>0</v>
      </c>
      <c r="O146" s="230">
        <f>O$142*'Ethylene recycling rates'!Q81</f>
        <v>0</v>
      </c>
      <c r="P146" s="230">
        <f>P$142*'Ethylene recycling rates'!R81</f>
        <v>0</v>
      </c>
      <c r="Q146" s="230">
        <f>Q$142*'Ethylene recycling rates'!S81</f>
        <v>0</v>
      </c>
      <c r="R146" s="230">
        <f>R$142*'Ethylene recycling rates'!T81</f>
        <v>0</v>
      </c>
      <c r="S146" s="230">
        <f>S$142*'Ethylene recycling rates'!U81</f>
        <v>0</v>
      </c>
      <c r="T146" s="230">
        <f>T$142*'Ethylene recycling rates'!V81</f>
        <v>0</v>
      </c>
      <c r="U146" s="230">
        <f>U$142*'Ethylene recycling rates'!W81</f>
        <v>0</v>
      </c>
      <c r="V146" s="230">
        <f>V$142*'Ethylene recycling rates'!X81</f>
        <v>0</v>
      </c>
      <c r="W146" s="230">
        <f>W$142*'Ethylene recycling rates'!Y81</f>
        <v>0</v>
      </c>
      <c r="X146" s="230">
        <f>X$142*'Ethylene recycling rates'!Z81</f>
        <v>0</v>
      </c>
      <c r="Y146" s="230">
        <f>Y$142*'Ethylene recycling rates'!AA81</f>
        <v>0</v>
      </c>
      <c r="Z146" s="230">
        <f>Z$142*'Ethylene recycling rates'!AB81</f>
        <v>0</v>
      </c>
      <c r="AA146" s="230">
        <f>AA$142*'Ethylene recycling rates'!AC81</f>
        <v>0</v>
      </c>
      <c r="AB146" s="230">
        <f>AB$142*'Ethylene recycling rates'!AD81</f>
        <v>0</v>
      </c>
      <c r="AC146" s="230">
        <f>AC$142*'Ethylene recycling rates'!AE81</f>
        <v>0</v>
      </c>
      <c r="AD146" s="230">
        <f>AD$142*'Ethylene recycling rates'!AF81</f>
        <v>0</v>
      </c>
      <c r="AE146" s="230">
        <f>AE$142*'Ethylene recycling rates'!AG81</f>
        <v>0</v>
      </c>
      <c r="AF146" s="230">
        <f>AF$142*'Ethylene recycling rates'!AH81</f>
        <v>0</v>
      </c>
      <c r="AG146" s="230">
        <f>AG$142*'Ethylene recycling rates'!AI81</f>
        <v>0</v>
      </c>
      <c r="AH146" s="245"/>
      <c r="AI146" s="133"/>
      <c r="AJ146" s="211"/>
      <c r="AL146" s="108"/>
      <c r="AM146" s="2"/>
      <c r="AN146" s="2"/>
      <c r="AO146" s="2"/>
      <c r="BC146" s="1"/>
      <c r="BD146" s="2"/>
      <c r="BE146" s="2"/>
      <c r="BF146" s="2"/>
      <c r="BG146" s="2"/>
      <c r="BH146" s="2"/>
      <c r="BI146" s="2"/>
      <c r="BJ146" s="2"/>
      <c r="BK146" s="2"/>
    </row>
    <row r="147" spans="1:63" outlineLevel="1">
      <c r="A147" s="4" t="s">
        <v>248</v>
      </c>
      <c r="C147" s="230">
        <f>C$142*'Ethylene recycling rates'!E82</f>
        <v>6.8454338952056058E-4</v>
      </c>
      <c r="D147" s="230">
        <f>D$142*'Ethylene recycling rates'!F82</f>
        <v>8.8393793776739705E-4</v>
      </c>
      <c r="E147" s="230">
        <f>E$142*'Ethylene recycling rates'!G82</f>
        <v>1.0911381642392764E-3</v>
      </c>
      <c r="F147" s="230">
        <f>F$142*'Ethylene recycling rates'!H82</f>
        <v>1.3040157067443648E-3</v>
      </c>
      <c r="G147" s="230">
        <f>G$142*'Ethylene recycling rates'!I82</f>
        <v>1.5202527350704257E-3</v>
      </c>
      <c r="H147" s="230">
        <f>H$142*'Ethylene recycling rates'!J82</f>
        <v>1.737375898625204E-3</v>
      </c>
      <c r="I147" s="230">
        <f>I$142*'Ethylene recycling rates'!K82</f>
        <v>1.9570078220600526E-3</v>
      </c>
      <c r="J147" s="230">
        <f>J$142*'Ethylene recycling rates'!L82</f>
        <v>2.1778742006567172E-3</v>
      </c>
      <c r="K147" s="230">
        <f>K$142*'Ethylene recycling rates'!M82</f>
        <v>2.3986220674234969E-3</v>
      </c>
      <c r="L147" s="230">
        <f>L$142*'Ethylene recycling rates'!N82</f>
        <v>2.6178220646074419E-3</v>
      </c>
      <c r="M147" s="230">
        <f>M$142*'Ethylene recycling rates'!O82</f>
        <v>2.8339711454471663E-3</v>
      </c>
      <c r="N147" s="230">
        <f>N$142*'Ethylene recycling rates'!P82</f>
        <v>3.2657664737318665E-3</v>
      </c>
      <c r="O147" s="230">
        <f>O$142*'Ethylene recycling rates'!Q82</f>
        <v>3.6850817456271783E-3</v>
      </c>
      <c r="P147" s="230">
        <f>P$142*'Ethylene recycling rates'!R82</f>
        <v>4.0950480863900414E-3</v>
      </c>
      <c r="Q147" s="230">
        <f>Q$142*'Ethylene recycling rates'!S82</f>
        <v>4.4840029417894615E-3</v>
      </c>
      <c r="R147" s="230">
        <f>R$142*'Ethylene recycling rates'!T82</f>
        <v>4.8468837720493608E-3</v>
      </c>
      <c r="S147" s="230">
        <f>S$142*'Ethylene recycling rates'!U82</f>
        <v>5.1881000724288964E-3</v>
      </c>
      <c r="T147" s="230">
        <f>T$142*'Ethylene recycling rates'!V82</f>
        <v>5.5046211963134641E-3</v>
      </c>
      <c r="U147" s="230">
        <f>U$142*'Ethylene recycling rates'!W82</f>
        <v>5.7933400754395636E-3</v>
      </c>
      <c r="V147" s="230">
        <f>V$142*'Ethylene recycling rates'!X82</f>
        <v>6.0510750301332114E-3</v>
      </c>
      <c r="W147" s="230">
        <f>W$142*'Ethylene recycling rates'!Y82</f>
        <v>6.2745717128464863E-3</v>
      </c>
      <c r="X147" s="230">
        <f>X$142*'Ethylene recycling rates'!Z82</f>
        <v>6.7071176502862748E-3</v>
      </c>
      <c r="Y147" s="230">
        <f>Y$142*'Ethylene recycling rates'!AA82</f>
        <v>7.0828131143901062E-3</v>
      </c>
      <c r="Z147" s="230">
        <f>Z$142*'Ethylene recycling rates'!AB82</f>
        <v>7.4177916227931668E-3</v>
      </c>
      <c r="AA147" s="230">
        <f>AA$142*'Ethylene recycling rates'!AC82</f>
        <v>7.6860012100487991E-3</v>
      </c>
      <c r="AB147" s="230">
        <f>AB$142*'Ethylene recycling rates'!AD82</f>
        <v>7.8809801304835919E-3</v>
      </c>
      <c r="AC147" s="230">
        <f>AC$142*'Ethylene recycling rates'!AE82</f>
        <v>7.9961695558395818E-3</v>
      </c>
      <c r="AD147" s="230">
        <f>AD$142*'Ethylene recycling rates'!AF82</f>
        <v>8.0247662428162593E-3</v>
      </c>
      <c r="AE147" s="230">
        <f>AE$142*'Ethylene recycling rates'!AG82</f>
        <v>7.9597951409987686E-3</v>
      </c>
      <c r="AF147" s="230">
        <f>AF$142*'Ethylene recycling rates'!AH82</f>
        <v>7.7941122215314318E-3</v>
      </c>
      <c r="AG147" s="230">
        <f>AG$142*'Ethylene recycling rates'!AI82</f>
        <v>7.5204075653824342E-3</v>
      </c>
      <c r="AH147" s="245"/>
      <c r="AI147" s="133"/>
      <c r="AJ147" s="211"/>
      <c r="AL147" s="108"/>
      <c r="AM147" s="2"/>
      <c r="AN147" s="2"/>
      <c r="AO147" s="2"/>
      <c r="BC147" s="1"/>
      <c r="BD147" s="2"/>
      <c r="BE147" s="2"/>
      <c r="BF147" s="2"/>
      <c r="BG147" s="2"/>
      <c r="BH147" s="2"/>
      <c r="BI147" s="2"/>
      <c r="BJ147" s="2"/>
      <c r="BK147" s="2"/>
    </row>
    <row r="148" spans="1:63" s="1" customFormat="1" outlineLevel="1">
      <c r="A148" s="1" t="s">
        <v>1329</v>
      </c>
      <c r="B148" s="65"/>
      <c r="C148" s="300">
        <f>C46*C128</f>
        <v>2.2059115099156805E-2</v>
      </c>
      <c r="D148" s="300">
        <f t="shared" ref="D148:AG148" si="107">D46*D128</f>
        <v>2.7669309654602785E-2</v>
      </c>
      <c r="E148" s="300">
        <f t="shared" si="107"/>
        <v>3.3204856099335836E-2</v>
      </c>
      <c r="F148" s="300">
        <f t="shared" si="107"/>
        <v>3.8608800848772544E-2</v>
      </c>
      <c r="G148" s="300">
        <f t="shared" si="107"/>
        <v>4.3824732849064262E-2</v>
      </c>
      <c r="H148" s="300">
        <f t="shared" si="107"/>
        <v>4.8797667404367806E-2</v>
      </c>
      <c r="I148" s="300">
        <f t="shared" si="107"/>
        <v>5.3590289680419081E-2</v>
      </c>
      <c r="J148" s="300">
        <f t="shared" si="107"/>
        <v>5.818176917945117E-2</v>
      </c>
      <c r="K148" s="300">
        <f t="shared" si="107"/>
        <v>6.2551210680273542E-2</v>
      </c>
      <c r="L148" s="300">
        <f t="shared" si="107"/>
        <v>6.6677719631495047E-2</v>
      </c>
      <c r="M148" s="300">
        <f t="shared" si="107"/>
        <v>7.0540469324727212E-2</v>
      </c>
      <c r="N148" s="300">
        <f t="shared" si="107"/>
        <v>7.9479538338396938E-2</v>
      </c>
      <c r="O148" s="300">
        <f t="shared" si="107"/>
        <v>8.7732338184298847E-2</v>
      </c>
      <c r="P148" s="300">
        <f t="shared" si="107"/>
        <v>9.5415684008205603E-2</v>
      </c>
      <c r="Q148" s="300">
        <f t="shared" si="107"/>
        <v>0.10229913784267872</v>
      </c>
      <c r="R148" s="300">
        <f t="shared" si="107"/>
        <v>0.10831859322781051</v>
      </c>
      <c r="S148" s="300">
        <f t="shared" si="107"/>
        <v>0.11362252152149857</v>
      </c>
      <c r="T148" s="300">
        <f t="shared" si="107"/>
        <v>0.11818799092321204</v>
      </c>
      <c r="U148" s="300">
        <f t="shared" si="107"/>
        <v>0.12199222637249188</v>
      </c>
      <c r="V148" s="300">
        <f t="shared" si="107"/>
        <v>0.12501263214453423</v>
      </c>
      <c r="W148" s="300">
        <f t="shared" si="107"/>
        <v>0.12722681463525456</v>
      </c>
      <c r="X148" s="300">
        <f t="shared" si="107"/>
        <v>0.13352204671845427</v>
      </c>
      <c r="Y148" s="300">
        <f t="shared" si="107"/>
        <v>0.13848069286833453</v>
      </c>
      <c r="Z148" s="300">
        <f t="shared" si="107"/>
        <v>0.14248306936357188</v>
      </c>
      <c r="AA148" s="300">
        <f t="shared" si="107"/>
        <v>0.14508691138987412</v>
      </c>
      <c r="AB148" s="300">
        <f t="shared" si="107"/>
        <v>0.1462434941346642</v>
      </c>
      <c r="AC148" s="300">
        <f t="shared" si="107"/>
        <v>0.14590557282326519</v>
      </c>
      <c r="AD148" s="300">
        <f t="shared" si="107"/>
        <v>0.14402461703604938</v>
      </c>
      <c r="AE148" s="300">
        <f t="shared" si="107"/>
        <v>0.14055219658137236</v>
      </c>
      <c r="AF148" s="300">
        <f t="shared" si="107"/>
        <v>0.1354400226880528</v>
      </c>
      <c r="AG148" s="300">
        <f t="shared" si="107"/>
        <v>0.12863998977294172</v>
      </c>
      <c r="AH148" s="422"/>
      <c r="AI148" s="423"/>
      <c r="AJ148" s="424"/>
      <c r="AL148" s="221"/>
      <c r="AM148" s="124"/>
      <c r="AN148" s="124"/>
      <c r="AO148" s="124"/>
      <c r="BD148" s="124"/>
      <c r="BE148" s="124"/>
      <c r="BF148" s="124"/>
      <c r="BG148" s="124"/>
      <c r="BH148" s="124"/>
      <c r="BI148" s="124"/>
      <c r="BJ148" s="124"/>
      <c r="BK148" s="124"/>
    </row>
    <row r="149" spans="1:63" outlineLevel="1">
      <c r="A149" s="4" t="s">
        <v>258</v>
      </c>
      <c r="C149" s="230">
        <f>C$148*'Ethylene recycling rates'!E83</f>
        <v>1.779812812753458E-2</v>
      </c>
      <c r="D149" s="230">
        <f>D$148*'Ethylene recycling rates'!F83</f>
        <v>2.2242224505916858E-2</v>
      </c>
      <c r="E149" s="230">
        <f>E$148*'Ethylene recycling rates'!G83</f>
        <v>2.6593113645292162E-2</v>
      </c>
      <c r="F149" s="230">
        <f>F$148*'Ethylene recycling rates'!H83</f>
        <v>3.0806019276626535E-2</v>
      </c>
      <c r="G149" s="230">
        <f>G$148*'Ethylene recycling rates'!I83</f>
        <v>3.4837275009075484E-2</v>
      </c>
      <c r="H149" s="230">
        <f>H$148*'Ethylene recycling rates'!J83</f>
        <v>3.8645016191229231E-2</v>
      </c>
      <c r="I149" s="230">
        <f>I$148*'Ethylene recycling rates'!K83</f>
        <v>4.228087073990569E-2</v>
      </c>
      <c r="J149" s="230">
        <f>J$148*'Ethylene recycling rates'!L83</f>
        <v>4.5730077498204229E-2</v>
      </c>
      <c r="K149" s="230">
        <f>K$148*'Ethylene recycling rates'!M83</f>
        <v>4.8978072827952426E-2</v>
      </c>
      <c r="L149" s="230">
        <f>L$148*'Ethylene recycling rates'!N83</f>
        <v>5.2010542582287579E-2</v>
      </c>
      <c r="M149" s="230">
        <f>M$148*'Ethylene recycling rates'!O83</f>
        <v>5.4813474292620894E-2</v>
      </c>
      <c r="N149" s="230">
        <f>N$148*'Ethylene recycling rates'!P83</f>
        <v>6.1522826350603341E-2</v>
      </c>
      <c r="O149" s="230">
        <f>O$148*'Ethylene recycling rates'!Q83</f>
        <v>6.764974641983322E-2</v>
      </c>
      <c r="P149" s="230">
        <f>P$148*'Ethylene recycling rates'!R83</f>
        <v>7.3290094543882883E-2</v>
      </c>
      <c r="Q149" s="230">
        <f>Q$148*'Ethylene recycling rates'!S83</f>
        <v>7.8272643415483206E-2</v>
      </c>
      <c r="R149" s="230">
        <f>R$148*'Ethylene recycling rates'!T83</f>
        <v>8.2555682002387998E-2</v>
      </c>
      <c r="S149" s="230">
        <f>S$148*'Ethylene recycling rates'!U83</f>
        <v>8.625964737706783E-2</v>
      </c>
      <c r="T149" s="230">
        <f>T$148*'Ethylene recycling rates'!V83</f>
        <v>8.9373592731863225E-2</v>
      </c>
      <c r="U149" s="230">
        <f>U$148*'Ethylene recycling rates'!W83</f>
        <v>9.1886962553755669E-2</v>
      </c>
      <c r="V149" s="230">
        <f>V$148*'Ethylene recycling rates'!X83</f>
        <v>9.3789607242032738E-2</v>
      </c>
      <c r="W149" s="230">
        <f>W$148*'Ethylene recycling rates'!Y83</f>
        <v>9.5071797463701757E-2</v>
      </c>
      <c r="X149" s="230">
        <f>X$148*'Ethylene recycling rates'!Z83</f>
        <v>9.9378254389263898E-2</v>
      </c>
      <c r="Y149" s="230">
        <f>Y$148*'Ethylene recycling rates'!AA83</f>
        <v>0.10265638967939243</v>
      </c>
      <c r="Z149" s="230">
        <f>Z$148*'Ethylene recycling rates'!AB83</f>
        <v>0.10519894488046164</v>
      </c>
      <c r="AA149" s="230">
        <f>AA$148*'Ethylene recycling rates'!AC83</f>
        <v>0.10668924736317792</v>
      </c>
      <c r="AB149" s="230">
        <f>AB$148*'Ethylene recycling rates'!AD83</f>
        <v>0.10710411038407761</v>
      </c>
      <c r="AC149" s="230">
        <f>AC$148*'Ethylene recycling rates'!AE83</f>
        <v>0.10642200728542127</v>
      </c>
      <c r="AD149" s="230">
        <f>AD$148*'Ethylene recycling rates'!AF83</f>
        <v>0.10462104042972412</v>
      </c>
      <c r="AE149" s="230">
        <f>AE$148*'Ethylene recycling rates'!AG83</f>
        <v>0.10167996293289648</v>
      </c>
      <c r="AF149" s="230">
        <f>AF$148*'Ethylene recycling rates'!AH83</f>
        <v>9.7578206848716209E-2</v>
      </c>
      <c r="AG149" s="230">
        <f>AG$148*'Ethylene recycling rates'!AI83</f>
        <v>9.2295911029693506E-2</v>
      </c>
      <c r="AH149" s="245"/>
      <c r="AI149" s="133"/>
      <c r="AJ149" s="211"/>
      <c r="AL149" s="108"/>
      <c r="AM149" s="2"/>
      <c r="AN149" s="2"/>
      <c r="AO149" s="2"/>
      <c r="BC149" s="1"/>
      <c r="BD149" s="2"/>
      <c r="BE149" s="2"/>
      <c r="BF149" s="2"/>
      <c r="BG149" s="2"/>
      <c r="BH149" s="2"/>
      <c r="BI149" s="2"/>
      <c r="BJ149" s="2"/>
      <c r="BK149" s="2"/>
    </row>
    <row r="150" spans="1:63" outlineLevel="1">
      <c r="A150" s="4" t="s">
        <v>478</v>
      </c>
      <c r="C150" s="230">
        <f>C$148*'Ethylene recycling rates'!E84</f>
        <v>2.2073568030605414E-3</v>
      </c>
      <c r="D150" s="230">
        <f>D$148*'Ethylene recycling rates'!F84</f>
        <v>2.6764523723315815E-3</v>
      </c>
      <c r="E150" s="230">
        <f>E$148*'Ethylene recycling rates'!G84</f>
        <v>3.1011504177591628E-3</v>
      </c>
      <c r="F150" s="230">
        <f>F$148*'Ethylene recycling rates'!H84</f>
        <v>3.477068728533211E-3</v>
      </c>
      <c r="G150" s="230">
        <f>G$148*'Ethylene recycling rates'!I84</f>
        <v>3.8006320226480167E-3</v>
      </c>
      <c r="H150" s="230">
        <f>H$148*'Ethylene recycling rates'!J84</f>
        <v>4.0691365993278279E-3</v>
      </c>
      <c r="I150" s="230">
        <f>I$148*'Ethylene recycling rates'!K84</f>
        <v>4.2900321240385503E-3</v>
      </c>
      <c r="J150" s="230">
        <f>J$148*'Ethylene recycling rates'!L84</f>
        <v>4.4635248497905218E-3</v>
      </c>
      <c r="K150" s="230">
        <f>K$148*'Ethylene recycling rates'!M84</f>
        <v>4.5900942020428237E-3</v>
      </c>
      <c r="L150" s="230">
        <f>L$148*'Ethylene recycling rates'!N84</f>
        <v>4.6704984386585343E-3</v>
      </c>
      <c r="M150" s="230">
        <f>M$148*'Ethylene recycling rates'!O84</f>
        <v>4.7057791198817332E-3</v>
      </c>
      <c r="N150" s="230">
        <f>N$148*'Ethylene recycling rates'!P84</f>
        <v>5.0370021318752924E-3</v>
      </c>
      <c r="O150" s="230">
        <f>O$148*'Ethylene recycling rates'!Q84</f>
        <v>5.2673891768284693E-3</v>
      </c>
      <c r="P150" s="230">
        <f>P$148*'Ethylene recycling rates'!R84</f>
        <v>5.410431304771676E-3</v>
      </c>
      <c r="Q150" s="230">
        <f>Q$148*'Ethylene recycling rates'!S84</f>
        <v>5.4595287096932555E-3</v>
      </c>
      <c r="R150" s="230">
        <f>R$148*'Ethylene recycling rates'!T84</f>
        <v>5.419478129213221E-3</v>
      </c>
      <c r="S150" s="230">
        <f>S$148*'Ethylene recycling rates'!U84</f>
        <v>5.3058584116299256E-3</v>
      </c>
      <c r="T150" s="230">
        <f>T$148*'Ethylene recycling rates'!V84</f>
        <v>5.1248351534992137E-3</v>
      </c>
      <c r="U150" s="230">
        <f>U$148*'Ethylene recycling rates'!W84</f>
        <v>4.8828861827574293E-3</v>
      </c>
      <c r="V150" s="230">
        <f>V$148*'Ethylene recycling rates'!X84</f>
        <v>4.5867997737228565E-3</v>
      </c>
      <c r="W150" s="230">
        <f>W$148*'Ethylene recycling rates'!Y84</f>
        <v>4.2436724162095724E-3</v>
      </c>
      <c r="X150" s="230">
        <f>X$148*'Ethylene recycling rates'!Z84</f>
        <v>4.0082858744476084E-3</v>
      </c>
      <c r="Y150" s="230">
        <f>Y$148*'Ethylene recycling rates'!AA84</f>
        <v>3.6952379775456439E-3</v>
      </c>
      <c r="Z150" s="230">
        <f>Z$148*'Ethylene recycling rates'!AB84</f>
        <v>3.3267832027232191E-3</v>
      </c>
      <c r="AA150" s="230">
        <f>AA$148*'Ethylene recycling rates'!AC84</f>
        <v>2.90363942027504E-3</v>
      </c>
      <c r="AB150" s="230">
        <f>AB$148*'Ethylene recycling rates'!AD84</f>
        <v>2.4389885256838354E-3</v>
      </c>
      <c r="AC150" s="230">
        <f>AC$148*'Ethylene recycling rates'!AE84</f>
        <v>1.9466822510221776E-3</v>
      </c>
      <c r="AD150" s="230">
        <f>AD$148*'Ethylene recycling rates'!AF84</f>
        <v>1.4411898065433458E-3</v>
      </c>
      <c r="AE150" s="230">
        <f>AE$148*'Ethylene recycling rates'!AG84</f>
        <v>9.3762856734252444E-4</v>
      </c>
      <c r="AF150" s="230">
        <f>AF$148*'Ethylene recycling rates'!AH84</f>
        <v>4.5176253919416873E-4</v>
      </c>
      <c r="AG150" s="230">
        <f>AG$148*'Ethylene recycling rates'!AI84</f>
        <v>0</v>
      </c>
      <c r="AH150" s="245"/>
      <c r="AI150" s="133"/>
      <c r="AJ150" s="211"/>
      <c r="AL150" s="108"/>
      <c r="AM150" s="2"/>
      <c r="AN150" s="2"/>
      <c r="AO150" s="2"/>
      <c r="BC150" s="1"/>
      <c r="BD150" s="2"/>
      <c r="BE150" s="2"/>
      <c r="BF150" s="2"/>
      <c r="BG150" s="2"/>
      <c r="BH150" s="2"/>
      <c r="BI150" s="2"/>
      <c r="BJ150" s="2"/>
      <c r="BK150" s="2"/>
    </row>
    <row r="151" spans="1:63" outlineLevel="1">
      <c r="A151" s="4" t="s">
        <v>480</v>
      </c>
      <c r="C151" s="230">
        <f>C$148*'Ethylene recycling rates'!E85</f>
        <v>0</v>
      </c>
      <c r="D151" s="230">
        <f>D$148*'Ethylene recycling rates'!F85</f>
        <v>9.8818963052152797E-5</v>
      </c>
      <c r="E151" s="230">
        <f>E$148*'Ethylene recycling rates'!G85</f>
        <v>2.3717754356668454E-4</v>
      </c>
      <c r="F151" s="230">
        <f>F$148*'Ethylene recycling rates'!H85</f>
        <v>4.1366572337970582E-4</v>
      </c>
      <c r="G151" s="230">
        <f>G$148*'Ethylene recycling rates'!I85</f>
        <v>6.2606761212948947E-4</v>
      </c>
      <c r="H151" s="230">
        <f>H$148*'Ethylene recycling rates'!J85</f>
        <v>8.7138691793513939E-4</v>
      </c>
      <c r="I151" s="230">
        <f>I$148*'Ethylene recycling rates'!K85</f>
        <v>1.1483633502946946E-3</v>
      </c>
      <c r="J151" s="230">
        <f>J$148*'Ethylene recycling rates'!L85</f>
        <v>1.4545442294862793E-3</v>
      </c>
      <c r="K151" s="230">
        <f>K$148*'Ethylene recycling rates'!M85</f>
        <v>1.7871774480078156E-3</v>
      </c>
      <c r="L151" s="230">
        <f>L$148*'Ethylene recycling rates'!N85</f>
        <v>2.143212416726627E-3</v>
      </c>
      <c r="M151" s="230">
        <f>M$148*'Ethylene recycling rates'!O85</f>
        <v>2.5193024758831152E-3</v>
      </c>
      <c r="N151" s="230">
        <f>N$148*'Ethylene recycling rates'!P85</f>
        <v>3.1224104347227374E-3</v>
      </c>
      <c r="O151" s="230">
        <f>O$148*'Ethylene recycling rates'!Q85</f>
        <v>3.7599573507556654E-3</v>
      </c>
      <c r="P151" s="230">
        <f>P$148*'Ethylene recycling rates'!R85</f>
        <v>4.4300139003809755E-3</v>
      </c>
      <c r="Q151" s="230">
        <f>Q$148*'Ethylene recycling rates'!S85</f>
        <v>5.1149568921339365E-3</v>
      </c>
      <c r="R151" s="230">
        <f>R$148*'Ethylene recycling rates'!T85</f>
        <v>5.8027817800612785E-3</v>
      </c>
      <c r="S151" s="230">
        <f>S$148*'Ethylene recycling rates'!U85</f>
        <v>6.4927155155142056E-3</v>
      </c>
      <c r="T151" s="230">
        <f>T$148*'Ethylene recycling rates'!V85</f>
        <v>7.1756994489093045E-3</v>
      </c>
      <c r="U151" s="230">
        <f>U$148*'Ethylene recycling rates'!W85</f>
        <v>7.8423574096601924E-3</v>
      </c>
      <c r="V151" s="230">
        <f>V$148*'Ethylene recycling rates'!X85</f>
        <v>8.4830000383791099E-3</v>
      </c>
      <c r="W151" s="230">
        <f>W$148*'Ethylene recycling rates'!Y85</f>
        <v>9.0876296168038995E-3</v>
      </c>
      <c r="X151" s="230">
        <f>X$148*'Ethylene recycling rates'!Z85</f>
        <v>1.0014153503884071E-2</v>
      </c>
      <c r="Y151" s="230">
        <f>Y$148*'Ethylene recycling rates'!AA85</f>
        <v>1.0880625868226286E-2</v>
      </c>
      <c r="Z151" s="230">
        <f>Z$148*'Ethylene recycling rates'!AB85</f>
        <v>1.1703966412007693E-2</v>
      </c>
      <c r="AA151" s="230">
        <f>AA$148*'Ethylene recycling rates'!AC85</f>
        <v>1.2436020976274926E-2</v>
      </c>
      <c r="AB151" s="230">
        <f>AB$148*'Ethylene recycling rates'!AD85</f>
        <v>1.3057454833452163E-2</v>
      </c>
      <c r="AC151" s="230">
        <f>AC$148*'Ethylene recycling rates'!AE85</f>
        <v>1.3548374619303199E-2</v>
      </c>
      <c r="AD151" s="230">
        <f>AD$148*'Ethylene recycling rates'!AF85</f>
        <v>1.3888088071333335E-2</v>
      </c>
      <c r="AE151" s="230">
        <f>AE$148*'Ethylene recycling rates'!AG85</f>
        <v>1.4055219658137238E-2</v>
      </c>
      <c r="AF151" s="230">
        <f>AF$148*'Ethylene recycling rates'!AH85</f>
        <v>1.4027716635548328E-2</v>
      </c>
      <c r="AG151" s="230">
        <f>AG$148*'Ethylene recycling rates'!AI85</f>
        <v>1.3782856047100897E-2</v>
      </c>
      <c r="AH151" s="245"/>
      <c r="AI151" s="133"/>
      <c r="AJ151" s="211"/>
      <c r="AL151" s="108"/>
      <c r="AM151" s="2"/>
      <c r="AN151" s="2"/>
      <c r="AO151" s="2"/>
      <c r="BC151" s="1"/>
      <c r="BD151" s="2"/>
      <c r="BE151" s="2"/>
      <c r="BF151" s="2"/>
      <c r="BG151" s="2"/>
      <c r="BH151" s="2"/>
      <c r="BI151" s="2"/>
      <c r="BJ151" s="2"/>
      <c r="BK151" s="2"/>
    </row>
    <row r="152" spans="1:63" outlineLevel="1">
      <c r="A152" s="4" t="s">
        <v>474</v>
      </c>
      <c r="C152" s="230">
        <f>C$148*'Ethylene recycling rates'!E86</f>
        <v>0</v>
      </c>
      <c r="D152" s="230">
        <f>D$148*'Ethylene recycling rates'!F86</f>
        <v>0</v>
      </c>
      <c r="E152" s="230">
        <f>E$148*'Ethylene recycling rates'!G86</f>
        <v>0</v>
      </c>
      <c r="F152" s="230">
        <f>F$148*'Ethylene recycling rates'!H86</f>
        <v>0</v>
      </c>
      <c r="G152" s="230">
        <f>G$148*'Ethylene recycling rates'!I86</f>
        <v>0</v>
      </c>
      <c r="H152" s="230">
        <f>H$148*'Ethylene recycling rates'!J86</f>
        <v>0</v>
      </c>
      <c r="I152" s="230">
        <f>I$148*'Ethylene recycling rates'!K86</f>
        <v>0</v>
      </c>
      <c r="J152" s="230">
        <f>J$148*'Ethylene recycling rates'!L86</f>
        <v>0</v>
      </c>
      <c r="K152" s="230">
        <f>K$148*'Ethylene recycling rates'!M86</f>
        <v>0</v>
      </c>
      <c r="L152" s="230">
        <f>L$148*'Ethylene recycling rates'!N86</f>
        <v>0</v>
      </c>
      <c r="M152" s="230">
        <f>M$148*'Ethylene recycling rates'!O86</f>
        <v>0</v>
      </c>
      <c r="N152" s="230">
        <f>N$148*'Ethylene recycling rates'!P86</f>
        <v>0</v>
      </c>
      <c r="O152" s="230">
        <f>O$148*'Ethylene recycling rates'!Q86</f>
        <v>0</v>
      </c>
      <c r="P152" s="230">
        <f>P$148*'Ethylene recycling rates'!R86</f>
        <v>0</v>
      </c>
      <c r="Q152" s="230">
        <f>Q$148*'Ethylene recycling rates'!S86</f>
        <v>0</v>
      </c>
      <c r="R152" s="230">
        <f>R$148*'Ethylene recycling rates'!T86</f>
        <v>0</v>
      </c>
      <c r="S152" s="230">
        <f>S$148*'Ethylene recycling rates'!U86</f>
        <v>0</v>
      </c>
      <c r="T152" s="230">
        <f>T$148*'Ethylene recycling rates'!V86</f>
        <v>0</v>
      </c>
      <c r="U152" s="230">
        <f>U$148*'Ethylene recycling rates'!W86</f>
        <v>0</v>
      </c>
      <c r="V152" s="230">
        <f>V$148*'Ethylene recycling rates'!X86</f>
        <v>0</v>
      </c>
      <c r="W152" s="230">
        <f>W$148*'Ethylene recycling rates'!Y86</f>
        <v>0</v>
      </c>
      <c r="X152" s="230">
        <f>X$148*'Ethylene recycling rates'!Z86</f>
        <v>0</v>
      </c>
      <c r="Y152" s="230">
        <f>Y$148*'Ethylene recycling rates'!AA86</f>
        <v>0</v>
      </c>
      <c r="Z152" s="230">
        <f>Z$148*'Ethylene recycling rates'!AB86</f>
        <v>0</v>
      </c>
      <c r="AA152" s="230">
        <f>AA$148*'Ethylene recycling rates'!AC86</f>
        <v>0</v>
      </c>
      <c r="AB152" s="230">
        <f>AB$148*'Ethylene recycling rates'!AD86</f>
        <v>0</v>
      </c>
      <c r="AC152" s="230">
        <f>AC$148*'Ethylene recycling rates'!AE86</f>
        <v>0</v>
      </c>
      <c r="AD152" s="230">
        <f>AD$148*'Ethylene recycling rates'!AF86</f>
        <v>0</v>
      </c>
      <c r="AE152" s="230">
        <f>AE$148*'Ethylene recycling rates'!AG86</f>
        <v>0</v>
      </c>
      <c r="AF152" s="230">
        <f>AF$148*'Ethylene recycling rates'!AH86</f>
        <v>0</v>
      </c>
      <c r="AG152" s="230">
        <f>AG$148*'Ethylene recycling rates'!AI86</f>
        <v>0</v>
      </c>
      <c r="AH152" s="245"/>
      <c r="AI152" s="133"/>
      <c r="AJ152" s="211"/>
      <c r="AL152" s="108"/>
      <c r="AM152" s="2"/>
      <c r="AN152" s="2"/>
      <c r="AO152" s="2"/>
      <c r="BC152" s="1"/>
      <c r="BD152" s="2"/>
      <c r="BE152" s="2"/>
      <c r="BF152" s="2"/>
      <c r="BG152" s="2"/>
      <c r="BH152" s="2"/>
      <c r="BI152" s="2"/>
      <c r="BJ152" s="2"/>
      <c r="BK152" s="2"/>
    </row>
    <row r="153" spans="1:63" outlineLevel="1">
      <c r="A153" s="4" t="s">
        <v>248</v>
      </c>
      <c r="C153" s="230">
        <f>C$148*'Ethylene recycling rates'!E87</f>
        <v>2.0536301685616823E-3</v>
      </c>
      <c r="D153" s="230">
        <f>D$148*'Ethylene recycling rates'!F87</f>
        <v>2.6518138133021915E-3</v>
      </c>
      <c r="E153" s="230">
        <f>E$148*'Ethylene recycling rates'!G87</f>
        <v>3.2734144927178293E-3</v>
      </c>
      <c r="F153" s="230">
        <f>F$148*'Ethylene recycling rates'!H87</f>
        <v>3.9120471202330944E-3</v>
      </c>
      <c r="G153" s="230">
        <f>G$148*'Ethylene recycling rates'!I87</f>
        <v>4.5607582052112766E-3</v>
      </c>
      <c r="H153" s="230">
        <f>H$148*'Ethylene recycling rates'!J87</f>
        <v>5.2121276958756119E-3</v>
      </c>
      <c r="I153" s="230">
        <f>I$148*'Ethylene recycling rates'!K87</f>
        <v>5.8710234661801565E-3</v>
      </c>
      <c r="J153" s="230">
        <f>J$148*'Ethylene recycling rates'!L87</f>
        <v>6.533622601970151E-3</v>
      </c>
      <c r="K153" s="230">
        <f>K$148*'Ethylene recycling rates'!M87</f>
        <v>7.1958662022704907E-3</v>
      </c>
      <c r="L153" s="230">
        <f>L$148*'Ethylene recycling rates'!N87</f>
        <v>7.8534661938223279E-3</v>
      </c>
      <c r="M153" s="230">
        <f>M$148*'Ethylene recycling rates'!O87</f>
        <v>8.5019134363414958E-3</v>
      </c>
      <c r="N153" s="230">
        <f>N$148*'Ethylene recycling rates'!P87</f>
        <v>9.7972994211955999E-3</v>
      </c>
      <c r="O153" s="230">
        <f>O$148*'Ethylene recycling rates'!Q87</f>
        <v>1.1055245236881533E-2</v>
      </c>
      <c r="P153" s="230">
        <f>P$148*'Ethylene recycling rates'!R87</f>
        <v>1.2285144259170126E-2</v>
      </c>
      <c r="Q153" s="230">
        <f>Q$148*'Ethylene recycling rates'!S87</f>
        <v>1.3452008825368383E-2</v>
      </c>
      <c r="R153" s="230">
        <f>R$148*'Ethylene recycling rates'!T87</f>
        <v>1.4540651316148083E-2</v>
      </c>
      <c r="S153" s="230">
        <f>S$148*'Ethylene recycling rates'!U87</f>
        <v>1.556430021728669E-2</v>
      </c>
      <c r="T153" s="230">
        <f>T$148*'Ethylene recycling rates'!V87</f>
        <v>1.6513863588940393E-2</v>
      </c>
      <c r="U153" s="230">
        <f>U$148*'Ethylene recycling rates'!W87</f>
        <v>1.7380020226318692E-2</v>
      </c>
      <c r="V153" s="230">
        <f>V$148*'Ethylene recycling rates'!X87</f>
        <v>1.8153225090399634E-2</v>
      </c>
      <c r="W153" s="230">
        <f>W$148*'Ethylene recycling rates'!Y87</f>
        <v>1.8823715138539459E-2</v>
      </c>
      <c r="X153" s="230">
        <f>X$148*'Ethylene recycling rates'!Z87</f>
        <v>2.0121352950858824E-2</v>
      </c>
      <c r="Y153" s="230">
        <f>Y$148*'Ethylene recycling rates'!AA87</f>
        <v>2.1248439343170323E-2</v>
      </c>
      <c r="Z153" s="230">
        <f>Z$148*'Ethylene recycling rates'!AB87</f>
        <v>2.2253374868379503E-2</v>
      </c>
      <c r="AA153" s="230">
        <f>AA$148*'Ethylene recycling rates'!AC87</f>
        <v>2.3058003630146401E-2</v>
      </c>
      <c r="AB153" s="230">
        <f>AB$148*'Ethylene recycling rates'!AD87</f>
        <v>2.3642940391450776E-2</v>
      </c>
      <c r="AC153" s="230">
        <f>AC$148*'Ethylene recycling rates'!AE87</f>
        <v>2.398850866751874E-2</v>
      </c>
      <c r="AD153" s="230">
        <f>AD$148*'Ethylene recycling rates'!AF87</f>
        <v>2.4074298728448778E-2</v>
      </c>
      <c r="AE153" s="230">
        <f>AE$148*'Ethylene recycling rates'!AG87</f>
        <v>2.3879385422996308E-2</v>
      </c>
      <c r="AF153" s="230">
        <f>AF$148*'Ethylene recycling rates'!AH87</f>
        <v>2.3382336664594296E-2</v>
      </c>
      <c r="AG153" s="230">
        <f>AG$148*'Ethylene recycling rates'!AI87</f>
        <v>2.2561222696147302E-2</v>
      </c>
      <c r="AH153" s="245"/>
      <c r="AI153" s="133"/>
      <c r="AJ153" s="211"/>
      <c r="AL153" s="108"/>
      <c r="AM153" s="2"/>
      <c r="AN153" s="2"/>
      <c r="AO153" s="2"/>
      <c r="BC153" s="1"/>
      <c r="BD153" s="2"/>
      <c r="BE153" s="2"/>
      <c r="BF153" s="2"/>
      <c r="BG153" s="2"/>
      <c r="BH153" s="2"/>
      <c r="BI153" s="2"/>
      <c r="BJ153" s="2"/>
      <c r="BK153" s="2"/>
    </row>
    <row r="154" spans="1:63" outlineLevel="1">
      <c r="C154" s="110"/>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J154" s="211"/>
      <c r="AM154" s="123"/>
      <c r="AN154" s="123"/>
    </row>
    <row r="155" spans="1:63" s="200" customFormat="1" ht="16" thickBot="1">
      <c r="A155" s="200" t="s">
        <v>1339</v>
      </c>
      <c r="B155" s="215"/>
      <c r="C155" s="224">
        <f>C156</f>
        <v>0.13</v>
      </c>
      <c r="D155" s="224">
        <f t="shared" ref="D155:AG155" si="108">D156</f>
        <v>0.13557711853523402</v>
      </c>
      <c r="E155" s="224">
        <f t="shared" si="108"/>
        <v>0.14115423707046801</v>
      </c>
      <c r="F155" s="224">
        <f t="shared" si="108"/>
        <v>0.14673135560570202</v>
      </c>
      <c r="G155" s="224">
        <f t="shared" si="108"/>
        <v>0.15230847414093604</v>
      </c>
      <c r="H155" s="224">
        <f t="shared" si="108"/>
        <v>0.15788559267617003</v>
      </c>
      <c r="I155" s="224">
        <f t="shared" si="108"/>
        <v>0.16346271121140404</v>
      </c>
      <c r="J155" s="224">
        <f t="shared" si="108"/>
        <v>0.16903982974663806</v>
      </c>
      <c r="K155" s="224">
        <f t="shared" si="108"/>
        <v>0.17461694828187208</v>
      </c>
      <c r="L155" s="224">
        <f t="shared" si="108"/>
        <v>0.18019406681710606</v>
      </c>
      <c r="M155" s="224">
        <f t="shared" si="108"/>
        <v>0.18577118535234008</v>
      </c>
      <c r="N155" s="224">
        <f t="shared" si="108"/>
        <v>0.19752603518814099</v>
      </c>
      <c r="O155" s="224">
        <f t="shared" si="108"/>
        <v>0.20928088502394188</v>
      </c>
      <c r="P155" s="224">
        <f t="shared" si="108"/>
        <v>0.22103573485974279</v>
      </c>
      <c r="Q155" s="224">
        <f t="shared" si="108"/>
        <v>0.2327905846955437</v>
      </c>
      <c r="R155" s="224">
        <f t="shared" si="108"/>
        <v>0.24454543453134459</v>
      </c>
      <c r="S155" s="224">
        <f t="shared" si="108"/>
        <v>0.25630028436714547</v>
      </c>
      <c r="T155" s="224">
        <f t="shared" si="108"/>
        <v>0.26805513420294641</v>
      </c>
      <c r="U155" s="224">
        <f t="shared" si="108"/>
        <v>0.27980998403874729</v>
      </c>
      <c r="V155" s="224">
        <f t="shared" si="108"/>
        <v>0.29156483387454823</v>
      </c>
      <c r="W155" s="224">
        <f t="shared" si="108"/>
        <v>0.30331968371034912</v>
      </c>
      <c r="X155" s="224">
        <f t="shared" si="108"/>
        <v>0.3229877153393142</v>
      </c>
      <c r="Y155" s="224">
        <f t="shared" si="108"/>
        <v>0.34265574696827927</v>
      </c>
      <c r="Z155" s="224">
        <f t="shared" si="108"/>
        <v>0.36232377859724441</v>
      </c>
      <c r="AA155" s="224">
        <f t="shared" si="108"/>
        <v>0.38199181022620948</v>
      </c>
      <c r="AB155" s="224">
        <f t="shared" si="108"/>
        <v>0.40165984185517456</v>
      </c>
      <c r="AC155" s="224">
        <f t="shared" si="108"/>
        <v>0.42132787348413964</v>
      </c>
      <c r="AD155" s="224">
        <f t="shared" si="108"/>
        <v>0.44099590511310471</v>
      </c>
      <c r="AE155" s="224">
        <f t="shared" si="108"/>
        <v>0.46066393674206985</v>
      </c>
      <c r="AF155" s="224">
        <f t="shared" si="108"/>
        <v>0.48033196837103487</v>
      </c>
      <c r="AG155" s="224">
        <f t="shared" si="108"/>
        <v>0.5</v>
      </c>
      <c r="AJ155" s="231" t="s">
        <v>1340</v>
      </c>
      <c r="AL155" s="217"/>
      <c r="AM155" s="225"/>
      <c r="AN155" s="225"/>
      <c r="AO155" s="225"/>
    </row>
    <row r="156" spans="1:63" ht="16" outlineLevel="1" thickTop="1">
      <c r="A156" t="s">
        <v>1341</v>
      </c>
      <c r="B156" s="54" t="s">
        <v>462</v>
      </c>
      <c r="C156" s="214">
        <v>0.13</v>
      </c>
      <c r="D156" s="110">
        <f>$C156+($M156-$C156)/10*(D$1-$C$1)</f>
        <v>0.13557711853523402</v>
      </c>
      <c r="E156" s="110">
        <f t="shared" ref="E156:L156" si="109">$C156+($M156-$C156)/10*(E$1-$C$1)</f>
        <v>0.14115423707046801</v>
      </c>
      <c r="F156" s="110">
        <f t="shared" si="109"/>
        <v>0.14673135560570202</v>
      </c>
      <c r="G156" s="110">
        <f t="shared" si="109"/>
        <v>0.15230847414093604</v>
      </c>
      <c r="H156" s="110">
        <f t="shared" si="109"/>
        <v>0.15788559267617003</v>
      </c>
      <c r="I156" s="110">
        <f t="shared" si="109"/>
        <v>0.16346271121140404</v>
      </c>
      <c r="J156" s="110">
        <f t="shared" si="109"/>
        <v>0.16903982974663806</v>
      </c>
      <c r="K156" s="110">
        <f t="shared" si="109"/>
        <v>0.17461694828187208</v>
      </c>
      <c r="L156" s="110">
        <f t="shared" si="109"/>
        <v>0.18019406681710606</v>
      </c>
      <c r="M156" s="121">
        <f>(M$55-$C$55)/($AG$55-$C$55)*($AG156-$C156)+$C156</f>
        <v>0.18577118535234008</v>
      </c>
      <c r="N156" s="121">
        <f>$M156+($W156-$M156)/10*(N$1-$M$1)</f>
        <v>0.19752603518814099</v>
      </c>
      <c r="O156" s="121">
        <f t="shared" ref="O156:U156" si="110">$M156+($W156-$M156)/10*(O$1-$M$1)</f>
        <v>0.20928088502394188</v>
      </c>
      <c r="P156" s="121">
        <f t="shared" si="110"/>
        <v>0.22103573485974279</v>
      </c>
      <c r="Q156" s="121">
        <f t="shared" si="110"/>
        <v>0.2327905846955437</v>
      </c>
      <c r="R156" s="121">
        <f t="shared" si="110"/>
        <v>0.24454543453134459</v>
      </c>
      <c r="S156" s="121">
        <f t="shared" si="110"/>
        <v>0.25630028436714547</v>
      </c>
      <c r="T156" s="121">
        <f t="shared" si="110"/>
        <v>0.26805513420294641</v>
      </c>
      <c r="U156" s="121">
        <f t="shared" si="110"/>
        <v>0.27980998403874729</v>
      </c>
      <c r="V156" s="121">
        <f>$M156+($W156-$M156)/10*(V$1-$M$1)</f>
        <v>0.29156483387454823</v>
      </c>
      <c r="W156" s="121">
        <f>(W$55-$C$55)/($AG$55-$C$55)*($AG156-$C156)+$C156</f>
        <v>0.30331968371034912</v>
      </c>
      <c r="X156" s="110">
        <f>$W156+($AG156-$W156)/10*(X$1-$W$1)</f>
        <v>0.3229877153393142</v>
      </c>
      <c r="Y156" s="110">
        <f t="shared" ref="Y156:AF156" si="111">$W156+($AG156-$W156)/10*(Y$1-$W$1)</f>
        <v>0.34265574696827927</v>
      </c>
      <c r="Z156" s="110">
        <f t="shared" si="111"/>
        <v>0.36232377859724441</v>
      </c>
      <c r="AA156" s="110">
        <f t="shared" si="111"/>
        <v>0.38199181022620948</v>
      </c>
      <c r="AB156" s="110">
        <f t="shared" si="111"/>
        <v>0.40165984185517456</v>
      </c>
      <c r="AC156" s="110">
        <f t="shared" si="111"/>
        <v>0.42132787348413964</v>
      </c>
      <c r="AD156" s="110">
        <f t="shared" si="111"/>
        <v>0.44099590511310471</v>
      </c>
      <c r="AE156" s="110">
        <f t="shared" si="111"/>
        <v>0.46066393674206985</v>
      </c>
      <c r="AF156" s="110">
        <f t="shared" si="111"/>
        <v>0.48033196837103487</v>
      </c>
      <c r="AG156" s="214">
        <v>0.5</v>
      </c>
      <c r="AJ156" s="211" t="s">
        <v>1342</v>
      </c>
    </row>
    <row r="157" spans="1:63" outlineLevel="1">
      <c r="A157" t="s">
        <v>1453</v>
      </c>
      <c r="B157" s="54" t="s">
        <v>462</v>
      </c>
      <c r="C157" s="214">
        <v>0.05</v>
      </c>
      <c r="D157" s="110">
        <f t="shared" ref="D157:AF157" si="112">C157-($C$157-$AG$157)/($AG$1-$C$1)</f>
        <v>5.8333333333333334E-2</v>
      </c>
      <c r="E157" s="110">
        <f t="shared" si="112"/>
        <v>6.6666666666666666E-2</v>
      </c>
      <c r="F157" s="110">
        <f t="shared" si="112"/>
        <v>7.4999999999999997E-2</v>
      </c>
      <c r="G157" s="110">
        <f t="shared" si="112"/>
        <v>8.3333333333333329E-2</v>
      </c>
      <c r="H157" s="110">
        <f t="shared" si="112"/>
        <v>9.166666666666666E-2</v>
      </c>
      <c r="I157" s="110">
        <f t="shared" si="112"/>
        <v>9.9999999999999992E-2</v>
      </c>
      <c r="J157" s="110">
        <f t="shared" si="112"/>
        <v>0.10833333333333332</v>
      </c>
      <c r="K157" s="110">
        <f t="shared" si="112"/>
        <v>0.11666666666666665</v>
      </c>
      <c r="L157" s="110">
        <f t="shared" si="112"/>
        <v>0.12499999999999999</v>
      </c>
      <c r="M157" s="110">
        <f t="shared" si="112"/>
        <v>0.13333333333333333</v>
      </c>
      <c r="N157" s="110">
        <f t="shared" si="112"/>
        <v>0.14166666666666666</v>
      </c>
      <c r="O157" s="110">
        <f t="shared" si="112"/>
        <v>0.15</v>
      </c>
      <c r="P157" s="110">
        <f t="shared" si="112"/>
        <v>0.15833333333333333</v>
      </c>
      <c r="Q157" s="110">
        <f t="shared" si="112"/>
        <v>0.16666666666666666</v>
      </c>
      <c r="R157" s="110">
        <f t="shared" si="112"/>
        <v>0.17499999999999999</v>
      </c>
      <c r="S157" s="110">
        <f t="shared" si="112"/>
        <v>0.18333333333333332</v>
      </c>
      <c r="T157" s="110">
        <f t="shared" si="112"/>
        <v>0.19166666666666665</v>
      </c>
      <c r="U157" s="110">
        <f t="shared" si="112"/>
        <v>0.19999999999999998</v>
      </c>
      <c r="V157" s="110">
        <f t="shared" si="112"/>
        <v>0.20833333333333331</v>
      </c>
      <c r="W157" s="110">
        <f t="shared" si="112"/>
        <v>0.21666666666666665</v>
      </c>
      <c r="X157" s="110">
        <f t="shared" si="112"/>
        <v>0.22499999999999998</v>
      </c>
      <c r="Y157" s="110">
        <f t="shared" si="112"/>
        <v>0.23333333333333331</v>
      </c>
      <c r="Z157" s="110">
        <f t="shared" si="112"/>
        <v>0.24166666666666664</v>
      </c>
      <c r="AA157" s="110">
        <f t="shared" si="112"/>
        <v>0.24999999999999997</v>
      </c>
      <c r="AB157" s="110">
        <f t="shared" si="112"/>
        <v>0.2583333333333333</v>
      </c>
      <c r="AC157" s="110">
        <f t="shared" si="112"/>
        <v>0.26666666666666666</v>
      </c>
      <c r="AD157" s="110">
        <f t="shared" si="112"/>
        <v>0.27500000000000002</v>
      </c>
      <c r="AE157" s="110">
        <f t="shared" si="112"/>
        <v>0.28333333333333338</v>
      </c>
      <c r="AF157" s="110">
        <f t="shared" si="112"/>
        <v>0.29166666666666674</v>
      </c>
      <c r="AG157" s="214">
        <v>0.3</v>
      </c>
      <c r="AI157" s="135"/>
      <c r="AJ157" s="211" t="s">
        <v>1454</v>
      </c>
      <c r="AM157" s="123"/>
      <c r="AN157" s="123"/>
    </row>
    <row r="158" spans="1:63" ht="14.5" customHeight="1" outlineLevel="1">
      <c r="A158" t="s">
        <v>1455</v>
      </c>
      <c r="B158" s="176" t="s">
        <v>462</v>
      </c>
      <c r="C158" s="110">
        <f>1-C157</f>
        <v>0.95</v>
      </c>
      <c r="D158" s="110">
        <f t="shared" ref="D158" si="113">1-D157</f>
        <v>0.94166666666666665</v>
      </c>
      <c r="E158" s="110">
        <f t="shared" ref="E158" si="114">1-E157</f>
        <v>0.93333333333333335</v>
      </c>
      <c r="F158" s="110">
        <f t="shared" ref="F158" si="115">1-F157</f>
        <v>0.92500000000000004</v>
      </c>
      <c r="G158" s="110">
        <f t="shared" ref="G158" si="116">1-G157</f>
        <v>0.91666666666666663</v>
      </c>
      <c r="H158" s="110">
        <f t="shared" ref="H158" si="117">1-H157</f>
        <v>0.90833333333333333</v>
      </c>
      <c r="I158" s="110">
        <f t="shared" ref="I158" si="118">1-I157</f>
        <v>0.9</v>
      </c>
      <c r="J158" s="110">
        <f t="shared" ref="J158" si="119">1-J157</f>
        <v>0.89166666666666672</v>
      </c>
      <c r="K158" s="110">
        <f t="shared" ref="K158" si="120">1-K157</f>
        <v>0.8833333333333333</v>
      </c>
      <c r="L158" s="110">
        <f t="shared" ref="L158" si="121">1-L157</f>
        <v>0.875</v>
      </c>
      <c r="M158" s="110">
        <f t="shared" ref="M158" si="122">1-M157</f>
        <v>0.8666666666666667</v>
      </c>
      <c r="N158" s="110">
        <f t="shared" ref="N158" si="123">1-N157</f>
        <v>0.85833333333333339</v>
      </c>
      <c r="O158" s="110">
        <f t="shared" ref="O158" si="124">1-O157</f>
        <v>0.85</v>
      </c>
      <c r="P158" s="110">
        <f t="shared" ref="P158" si="125">1-P157</f>
        <v>0.84166666666666667</v>
      </c>
      <c r="Q158" s="110">
        <f t="shared" ref="Q158" si="126">1-Q157</f>
        <v>0.83333333333333337</v>
      </c>
      <c r="R158" s="110">
        <f t="shared" ref="R158" si="127">1-R157</f>
        <v>0.82499999999999996</v>
      </c>
      <c r="S158" s="110">
        <f t="shared" ref="S158" si="128">1-S157</f>
        <v>0.81666666666666665</v>
      </c>
      <c r="T158" s="110">
        <f t="shared" ref="T158" si="129">1-T157</f>
        <v>0.80833333333333335</v>
      </c>
      <c r="U158" s="110">
        <f t="shared" ref="U158" si="130">1-U157</f>
        <v>0.8</v>
      </c>
      <c r="V158" s="110">
        <f t="shared" ref="V158" si="131">1-V157</f>
        <v>0.79166666666666674</v>
      </c>
      <c r="W158" s="110">
        <f t="shared" ref="W158" si="132">1-W157</f>
        <v>0.78333333333333333</v>
      </c>
      <c r="X158" s="110">
        <f t="shared" ref="X158" si="133">1-X157</f>
        <v>0.77500000000000002</v>
      </c>
      <c r="Y158" s="110">
        <f t="shared" ref="Y158" si="134">1-Y157</f>
        <v>0.76666666666666672</v>
      </c>
      <c r="Z158" s="110">
        <f t="shared" ref="Z158" si="135">1-Z157</f>
        <v>0.7583333333333333</v>
      </c>
      <c r="AA158" s="110">
        <f t="shared" ref="AA158" si="136">1-AA157</f>
        <v>0.75</v>
      </c>
      <c r="AB158" s="110">
        <f t="shared" ref="AB158" si="137">1-AB157</f>
        <v>0.7416666666666667</v>
      </c>
      <c r="AC158" s="110">
        <f t="shared" ref="AC158" si="138">1-AC157</f>
        <v>0.73333333333333339</v>
      </c>
      <c r="AD158" s="110">
        <f t="shared" ref="AD158" si="139">1-AD157</f>
        <v>0.72499999999999998</v>
      </c>
      <c r="AE158" s="110">
        <f t="shared" ref="AE158" si="140">1-AE157</f>
        <v>0.71666666666666656</v>
      </c>
      <c r="AF158" s="110">
        <f t="shared" ref="AF158" si="141">1-AF157</f>
        <v>0.70833333333333326</v>
      </c>
      <c r="AG158" s="110">
        <f t="shared" ref="AG158" si="142">1-AG157</f>
        <v>0.7</v>
      </c>
      <c r="AI158" s="135" t="s">
        <v>1456</v>
      </c>
      <c r="AJ158" s="211"/>
    </row>
    <row r="159" spans="1:63" outlineLevel="1">
      <c r="A159" t="s">
        <v>1343</v>
      </c>
      <c r="B159" s="54" t="s">
        <v>462</v>
      </c>
      <c r="C159" s="110">
        <f>C156*C157</f>
        <v>6.5000000000000006E-3</v>
      </c>
      <c r="D159" s="110">
        <f t="shared" ref="D159:AG159" si="143">D156*D157</f>
        <v>7.9086652478886511E-3</v>
      </c>
      <c r="E159" s="110">
        <f t="shared" si="143"/>
        <v>9.4102824713645332E-3</v>
      </c>
      <c r="F159" s="110">
        <f t="shared" si="143"/>
        <v>1.1004851670427652E-2</v>
      </c>
      <c r="G159" s="110">
        <f t="shared" si="143"/>
        <v>1.2692372845078003E-2</v>
      </c>
      <c r="H159" s="110">
        <f t="shared" si="143"/>
        <v>1.4472845995315585E-2</v>
      </c>
      <c r="I159" s="110">
        <f t="shared" si="143"/>
        <v>1.6346271121140402E-2</v>
      </c>
      <c r="J159" s="110">
        <f t="shared" si="143"/>
        <v>1.8312648222552456E-2</v>
      </c>
      <c r="K159" s="110">
        <f t="shared" si="143"/>
        <v>2.037197729955174E-2</v>
      </c>
      <c r="L159" s="110">
        <f t="shared" si="143"/>
        <v>2.2524258352138254E-2</v>
      </c>
      <c r="M159" s="110">
        <f t="shared" si="143"/>
        <v>2.4769491380312009E-2</v>
      </c>
      <c r="N159" s="110">
        <f t="shared" si="143"/>
        <v>2.7982854984986639E-2</v>
      </c>
      <c r="O159" s="110">
        <f t="shared" si="143"/>
        <v>3.1392132753591283E-2</v>
      </c>
      <c r="P159" s="110">
        <f t="shared" si="143"/>
        <v>3.4997324686125937E-2</v>
      </c>
      <c r="Q159" s="110">
        <f t="shared" si="143"/>
        <v>3.8798430782590612E-2</v>
      </c>
      <c r="R159" s="110">
        <f t="shared" si="143"/>
        <v>4.2795451042985301E-2</v>
      </c>
      <c r="S159" s="110">
        <f t="shared" si="143"/>
        <v>4.6988385467309997E-2</v>
      </c>
      <c r="T159" s="110">
        <f t="shared" si="143"/>
        <v>5.1377234055564727E-2</v>
      </c>
      <c r="U159" s="110">
        <f t="shared" si="143"/>
        <v>5.5961996807749458E-2</v>
      </c>
      <c r="V159" s="110">
        <f t="shared" si="143"/>
        <v>6.0742673723864209E-2</v>
      </c>
      <c r="W159" s="110">
        <f t="shared" si="143"/>
        <v>6.5719264803908967E-2</v>
      </c>
      <c r="X159" s="110">
        <f t="shared" si="143"/>
        <v>7.2672235951345684E-2</v>
      </c>
      <c r="Y159" s="110">
        <f t="shared" si="143"/>
        <v>7.9953007625931827E-2</v>
      </c>
      <c r="Z159" s="110">
        <f t="shared" si="143"/>
        <v>8.7561579827667393E-2</v>
      </c>
      <c r="AA159" s="110">
        <f t="shared" si="143"/>
        <v>9.5497952556552357E-2</v>
      </c>
      <c r="AB159" s="110">
        <f t="shared" si="143"/>
        <v>0.10376212581258674</v>
      </c>
      <c r="AC159" s="110">
        <f t="shared" si="143"/>
        <v>0.11235409959577057</v>
      </c>
      <c r="AD159" s="110">
        <f t="shared" si="143"/>
        <v>0.12127387390610381</v>
      </c>
      <c r="AE159" s="110">
        <f t="shared" si="143"/>
        <v>0.13052144874358648</v>
      </c>
      <c r="AF159" s="110">
        <f t="shared" si="143"/>
        <v>0.14009682410821853</v>
      </c>
      <c r="AG159" s="110">
        <f t="shared" si="143"/>
        <v>0.15</v>
      </c>
      <c r="AI159" s="134"/>
      <c r="AJ159" s="211"/>
      <c r="BD159" s="203"/>
      <c r="BE159" s="203"/>
    </row>
    <row r="160" spans="1:63" outlineLevel="1">
      <c r="A160" t="s">
        <v>1344</v>
      </c>
      <c r="B160" s="54" t="s">
        <v>462</v>
      </c>
      <c r="C160" s="110">
        <f>C156*C158</f>
        <v>0.1235</v>
      </c>
      <c r="D160" s="110">
        <f t="shared" ref="D160:AG160" si="144">D156*D158</f>
        <v>0.12766845328734536</v>
      </c>
      <c r="E160" s="110">
        <f t="shared" si="144"/>
        <v>0.13174395459910349</v>
      </c>
      <c r="F160" s="110">
        <f t="shared" si="144"/>
        <v>0.13572650393527438</v>
      </c>
      <c r="G160" s="110">
        <f t="shared" si="144"/>
        <v>0.13961610129585802</v>
      </c>
      <c r="H160" s="110">
        <f t="shared" si="144"/>
        <v>0.14341274668085444</v>
      </c>
      <c r="I160" s="110">
        <f t="shared" si="144"/>
        <v>0.14711644009026364</v>
      </c>
      <c r="J160" s="110">
        <f t="shared" si="144"/>
        <v>0.15072718152408562</v>
      </c>
      <c r="K160" s="110">
        <f t="shared" si="144"/>
        <v>0.15424497098232032</v>
      </c>
      <c r="L160" s="110">
        <f t="shared" si="144"/>
        <v>0.15766980846496781</v>
      </c>
      <c r="M160" s="110">
        <f t="shared" si="144"/>
        <v>0.16100169397202807</v>
      </c>
      <c r="N160" s="110">
        <f t="shared" si="144"/>
        <v>0.16954318020315437</v>
      </c>
      <c r="O160" s="110">
        <f t="shared" si="144"/>
        <v>0.17788875227035059</v>
      </c>
      <c r="P160" s="110">
        <f t="shared" si="144"/>
        <v>0.18603841017361686</v>
      </c>
      <c r="Q160" s="110">
        <f t="shared" si="144"/>
        <v>0.1939921539129531</v>
      </c>
      <c r="R160" s="110">
        <f t="shared" si="144"/>
        <v>0.20174998348835926</v>
      </c>
      <c r="S160" s="110">
        <f t="shared" si="144"/>
        <v>0.20931189889983545</v>
      </c>
      <c r="T160" s="110">
        <f t="shared" si="144"/>
        <v>0.2166779001473817</v>
      </c>
      <c r="U160" s="110">
        <f t="shared" si="144"/>
        <v>0.22384798723099786</v>
      </c>
      <c r="V160" s="110">
        <f t="shared" si="144"/>
        <v>0.23082216015068405</v>
      </c>
      <c r="W160" s="110">
        <f t="shared" si="144"/>
        <v>0.23760041890644015</v>
      </c>
      <c r="X160" s="110">
        <f t="shared" si="144"/>
        <v>0.2503154793879685</v>
      </c>
      <c r="Y160" s="110">
        <f t="shared" si="144"/>
        <v>0.26270273934234745</v>
      </c>
      <c r="Z160" s="110">
        <f t="shared" si="144"/>
        <v>0.27476219876957697</v>
      </c>
      <c r="AA160" s="110">
        <f t="shared" si="144"/>
        <v>0.28649385766965713</v>
      </c>
      <c r="AB160" s="110">
        <f t="shared" si="144"/>
        <v>0.2978977160425878</v>
      </c>
      <c r="AC160" s="110">
        <f t="shared" si="144"/>
        <v>0.30897377388836911</v>
      </c>
      <c r="AD160" s="110">
        <f t="shared" si="144"/>
        <v>0.31972203120700093</v>
      </c>
      <c r="AE160" s="110">
        <f t="shared" si="144"/>
        <v>0.33014248799848334</v>
      </c>
      <c r="AF160" s="110">
        <f t="shared" si="144"/>
        <v>0.34023514426281631</v>
      </c>
      <c r="AG160" s="110">
        <f t="shared" si="144"/>
        <v>0.35</v>
      </c>
      <c r="AI160" s="134"/>
      <c r="AJ160" s="211"/>
      <c r="BD160" s="203"/>
      <c r="BE160" s="203"/>
    </row>
    <row r="161" spans="1:63" outlineLevel="1">
      <c r="C161" s="110"/>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J161" s="211"/>
    </row>
    <row r="162" spans="1:63" outlineLevel="1">
      <c r="A162" t="s">
        <v>1441</v>
      </c>
      <c r="B162" s="54" t="s">
        <v>462</v>
      </c>
      <c r="C162" s="106">
        <v>0.5</v>
      </c>
      <c r="D162" s="110">
        <f>C162</f>
        <v>0.5</v>
      </c>
      <c r="E162" s="110">
        <f t="shared" ref="E162:AG162" si="145">D162</f>
        <v>0.5</v>
      </c>
      <c r="F162" s="110">
        <f t="shared" si="145"/>
        <v>0.5</v>
      </c>
      <c r="G162" s="110">
        <f t="shared" si="145"/>
        <v>0.5</v>
      </c>
      <c r="H162" s="110">
        <f t="shared" si="145"/>
        <v>0.5</v>
      </c>
      <c r="I162" s="110">
        <f t="shared" si="145"/>
        <v>0.5</v>
      </c>
      <c r="J162" s="110">
        <f t="shared" si="145"/>
        <v>0.5</v>
      </c>
      <c r="K162" s="110">
        <f t="shared" si="145"/>
        <v>0.5</v>
      </c>
      <c r="L162" s="110">
        <f t="shared" si="145"/>
        <v>0.5</v>
      </c>
      <c r="M162" s="110">
        <f t="shared" si="145"/>
        <v>0.5</v>
      </c>
      <c r="N162" s="110">
        <f t="shared" si="145"/>
        <v>0.5</v>
      </c>
      <c r="O162" s="110">
        <f t="shared" si="145"/>
        <v>0.5</v>
      </c>
      <c r="P162" s="110">
        <f t="shared" si="145"/>
        <v>0.5</v>
      </c>
      <c r="Q162" s="110">
        <f t="shared" si="145"/>
        <v>0.5</v>
      </c>
      <c r="R162" s="110">
        <f t="shared" si="145"/>
        <v>0.5</v>
      </c>
      <c r="S162" s="110">
        <f t="shared" si="145"/>
        <v>0.5</v>
      </c>
      <c r="T162" s="110">
        <f t="shared" si="145"/>
        <v>0.5</v>
      </c>
      <c r="U162" s="110">
        <f t="shared" si="145"/>
        <v>0.5</v>
      </c>
      <c r="V162" s="110">
        <f t="shared" si="145"/>
        <v>0.5</v>
      </c>
      <c r="W162" s="110">
        <f t="shared" si="145"/>
        <v>0.5</v>
      </c>
      <c r="X162" s="110">
        <f t="shared" si="145"/>
        <v>0.5</v>
      </c>
      <c r="Y162" s="110">
        <f t="shared" si="145"/>
        <v>0.5</v>
      </c>
      <c r="Z162" s="110">
        <f t="shared" si="145"/>
        <v>0.5</v>
      </c>
      <c r="AA162" s="110">
        <f t="shared" si="145"/>
        <v>0.5</v>
      </c>
      <c r="AB162" s="110">
        <f t="shared" si="145"/>
        <v>0.5</v>
      </c>
      <c r="AC162" s="110">
        <f t="shared" si="145"/>
        <v>0.5</v>
      </c>
      <c r="AD162" s="110">
        <f t="shared" si="145"/>
        <v>0.5</v>
      </c>
      <c r="AE162" s="110">
        <f t="shared" si="145"/>
        <v>0.5</v>
      </c>
      <c r="AF162" s="110">
        <f t="shared" si="145"/>
        <v>0.5</v>
      </c>
      <c r="AG162" s="110">
        <f t="shared" si="145"/>
        <v>0.5</v>
      </c>
      <c r="AI162" s="54"/>
      <c r="AJ162" s="211" t="s">
        <v>1457</v>
      </c>
    </row>
    <row r="163" spans="1:63" outlineLevel="1">
      <c r="A163" t="s">
        <v>1445</v>
      </c>
      <c r="B163" s="54" t="s">
        <v>462</v>
      </c>
      <c r="C163" s="121">
        <f>1-C162</f>
        <v>0.5</v>
      </c>
      <c r="D163" s="110">
        <f t="shared" ref="D163:AG163" si="146">C163</f>
        <v>0.5</v>
      </c>
      <c r="E163" s="110">
        <f t="shared" si="146"/>
        <v>0.5</v>
      </c>
      <c r="F163" s="110">
        <f t="shared" si="146"/>
        <v>0.5</v>
      </c>
      <c r="G163" s="110">
        <f t="shared" si="146"/>
        <v>0.5</v>
      </c>
      <c r="H163" s="110">
        <f t="shared" si="146"/>
        <v>0.5</v>
      </c>
      <c r="I163" s="110">
        <f t="shared" si="146"/>
        <v>0.5</v>
      </c>
      <c r="J163" s="110">
        <f t="shared" si="146"/>
        <v>0.5</v>
      </c>
      <c r="K163" s="110">
        <f t="shared" si="146"/>
        <v>0.5</v>
      </c>
      <c r="L163" s="110">
        <f t="shared" si="146"/>
        <v>0.5</v>
      </c>
      <c r="M163" s="110">
        <f t="shared" si="146"/>
        <v>0.5</v>
      </c>
      <c r="N163" s="110">
        <f t="shared" si="146"/>
        <v>0.5</v>
      </c>
      <c r="O163" s="110">
        <f t="shared" si="146"/>
        <v>0.5</v>
      </c>
      <c r="P163" s="110">
        <f t="shared" si="146"/>
        <v>0.5</v>
      </c>
      <c r="Q163" s="110">
        <f t="shared" si="146"/>
        <v>0.5</v>
      </c>
      <c r="R163" s="110">
        <f t="shared" si="146"/>
        <v>0.5</v>
      </c>
      <c r="S163" s="110">
        <f t="shared" si="146"/>
        <v>0.5</v>
      </c>
      <c r="T163" s="110">
        <f t="shared" si="146"/>
        <v>0.5</v>
      </c>
      <c r="U163" s="110">
        <f t="shared" si="146"/>
        <v>0.5</v>
      </c>
      <c r="V163" s="110">
        <f t="shared" si="146"/>
        <v>0.5</v>
      </c>
      <c r="W163" s="110">
        <f t="shared" si="146"/>
        <v>0.5</v>
      </c>
      <c r="X163" s="110">
        <f t="shared" si="146"/>
        <v>0.5</v>
      </c>
      <c r="Y163" s="110">
        <f t="shared" si="146"/>
        <v>0.5</v>
      </c>
      <c r="Z163" s="110">
        <f t="shared" si="146"/>
        <v>0.5</v>
      </c>
      <c r="AA163" s="110">
        <f t="shared" si="146"/>
        <v>0.5</v>
      </c>
      <c r="AB163" s="110">
        <f t="shared" si="146"/>
        <v>0.5</v>
      </c>
      <c r="AC163" s="110">
        <f t="shared" si="146"/>
        <v>0.5</v>
      </c>
      <c r="AD163" s="110">
        <f t="shared" si="146"/>
        <v>0.5</v>
      </c>
      <c r="AE163" s="110">
        <f t="shared" si="146"/>
        <v>0.5</v>
      </c>
      <c r="AF163" s="110">
        <f t="shared" si="146"/>
        <v>0.5</v>
      </c>
      <c r="AG163" s="110">
        <f t="shared" si="146"/>
        <v>0.5</v>
      </c>
      <c r="AJ163" s="223"/>
    </row>
    <row r="164" spans="1:63" outlineLevel="1">
      <c r="A164" t="s">
        <v>1268</v>
      </c>
      <c r="B164" s="54" t="s">
        <v>462</v>
      </c>
      <c r="C164" s="110">
        <f t="shared" ref="C164:AG164" si="147">SUM(C162:C163)</f>
        <v>1</v>
      </c>
      <c r="D164" s="110">
        <f t="shared" si="147"/>
        <v>1</v>
      </c>
      <c r="E164" s="110">
        <f t="shared" si="147"/>
        <v>1</v>
      </c>
      <c r="F164" s="110">
        <f t="shared" si="147"/>
        <v>1</v>
      </c>
      <c r="G164" s="110">
        <f t="shared" si="147"/>
        <v>1</v>
      </c>
      <c r="H164" s="110">
        <f t="shared" si="147"/>
        <v>1</v>
      </c>
      <c r="I164" s="110">
        <f t="shared" si="147"/>
        <v>1</v>
      </c>
      <c r="J164" s="110">
        <f t="shared" si="147"/>
        <v>1</v>
      </c>
      <c r="K164" s="110">
        <f t="shared" si="147"/>
        <v>1</v>
      </c>
      <c r="L164" s="110">
        <f t="shared" si="147"/>
        <v>1</v>
      </c>
      <c r="M164" s="110">
        <f t="shared" si="147"/>
        <v>1</v>
      </c>
      <c r="N164" s="110">
        <f t="shared" si="147"/>
        <v>1</v>
      </c>
      <c r="O164" s="110">
        <f t="shared" si="147"/>
        <v>1</v>
      </c>
      <c r="P164" s="110">
        <f t="shared" si="147"/>
        <v>1</v>
      </c>
      <c r="Q164" s="110">
        <f t="shared" si="147"/>
        <v>1</v>
      </c>
      <c r="R164" s="110">
        <f t="shared" si="147"/>
        <v>1</v>
      </c>
      <c r="S164" s="110">
        <f t="shared" si="147"/>
        <v>1</v>
      </c>
      <c r="T164" s="110">
        <f t="shared" si="147"/>
        <v>1</v>
      </c>
      <c r="U164" s="110">
        <f t="shared" si="147"/>
        <v>1</v>
      </c>
      <c r="V164" s="110">
        <f t="shared" si="147"/>
        <v>1</v>
      </c>
      <c r="W164" s="110">
        <f t="shared" si="147"/>
        <v>1</v>
      </c>
      <c r="X164" s="110">
        <f t="shared" si="147"/>
        <v>1</v>
      </c>
      <c r="Y164" s="110">
        <f t="shared" si="147"/>
        <v>1</v>
      </c>
      <c r="Z164" s="110">
        <f t="shared" si="147"/>
        <v>1</v>
      </c>
      <c r="AA164" s="110">
        <f t="shared" si="147"/>
        <v>1</v>
      </c>
      <c r="AB164" s="110">
        <f t="shared" si="147"/>
        <v>1</v>
      </c>
      <c r="AC164" s="110">
        <f t="shared" si="147"/>
        <v>1</v>
      </c>
      <c r="AD164" s="110">
        <f t="shared" si="147"/>
        <v>1</v>
      </c>
      <c r="AE164" s="110">
        <f t="shared" si="147"/>
        <v>1</v>
      </c>
      <c r="AF164" s="110">
        <f t="shared" si="147"/>
        <v>1</v>
      </c>
      <c r="AG164" s="110">
        <f t="shared" si="147"/>
        <v>1</v>
      </c>
      <c r="AH164" s="131"/>
      <c r="AI164" s="54"/>
      <c r="AJ164" s="223"/>
    </row>
    <row r="165" spans="1:63" outlineLevel="1">
      <c r="C165" s="214"/>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31"/>
      <c r="AI165" s="131"/>
      <c r="AJ165" s="223"/>
    </row>
    <row r="166" spans="1:63" outlineLevel="1">
      <c r="A166" t="s">
        <v>1345</v>
      </c>
      <c r="B166" s="54" t="s">
        <v>462</v>
      </c>
      <c r="C166" s="110">
        <f>C162*C160</f>
        <v>6.1749999999999999E-2</v>
      </c>
      <c r="D166" s="110">
        <f t="shared" ref="D166:AG166" si="148">D162*D160</f>
        <v>6.3834226643672679E-2</v>
      </c>
      <c r="E166" s="110">
        <f t="shared" si="148"/>
        <v>6.5871977299551743E-2</v>
      </c>
      <c r="F166" s="110">
        <f t="shared" si="148"/>
        <v>6.7863251967637192E-2</v>
      </c>
      <c r="G166" s="110">
        <f t="shared" si="148"/>
        <v>6.9808050647929012E-2</v>
      </c>
      <c r="H166" s="110">
        <f t="shared" si="148"/>
        <v>7.1706373340427218E-2</v>
      </c>
      <c r="I166" s="110">
        <f t="shared" si="148"/>
        <v>7.3558220045131822E-2</v>
      </c>
      <c r="J166" s="110">
        <f t="shared" si="148"/>
        <v>7.5363590762042812E-2</v>
      </c>
      <c r="K166" s="110">
        <f t="shared" si="148"/>
        <v>7.7122485491160159E-2</v>
      </c>
      <c r="L166" s="110">
        <f t="shared" si="148"/>
        <v>7.8834904232483904E-2</v>
      </c>
      <c r="M166" s="110">
        <f t="shared" si="148"/>
        <v>8.0500846986014035E-2</v>
      </c>
      <c r="N166" s="110">
        <f t="shared" si="148"/>
        <v>8.4771590101577185E-2</v>
      </c>
      <c r="O166" s="110">
        <f t="shared" si="148"/>
        <v>8.8944376135175293E-2</v>
      </c>
      <c r="P166" s="110">
        <f t="shared" si="148"/>
        <v>9.3019205086808429E-2</v>
      </c>
      <c r="Q166" s="110">
        <f t="shared" si="148"/>
        <v>9.6996076956476551E-2</v>
      </c>
      <c r="R166" s="110">
        <f t="shared" si="148"/>
        <v>0.10087499174417963</v>
      </c>
      <c r="S166" s="110">
        <f t="shared" si="148"/>
        <v>0.10465594944991773</v>
      </c>
      <c r="T166" s="110">
        <f t="shared" si="148"/>
        <v>0.10833895007369085</v>
      </c>
      <c r="U166" s="110">
        <f t="shared" si="148"/>
        <v>0.11192399361549893</v>
      </c>
      <c r="V166" s="110">
        <f t="shared" si="148"/>
        <v>0.11541108007534202</v>
      </c>
      <c r="W166" s="110">
        <f t="shared" si="148"/>
        <v>0.11880020945322008</v>
      </c>
      <c r="X166" s="110">
        <f t="shared" si="148"/>
        <v>0.12515773969398425</v>
      </c>
      <c r="Y166" s="110">
        <f t="shared" si="148"/>
        <v>0.13135136967117372</v>
      </c>
      <c r="Z166" s="110">
        <f t="shared" si="148"/>
        <v>0.13738109938478849</v>
      </c>
      <c r="AA166" s="110">
        <f t="shared" si="148"/>
        <v>0.14324692883482856</v>
      </c>
      <c r="AB166" s="110">
        <f t="shared" si="148"/>
        <v>0.1489488580212939</v>
      </c>
      <c r="AC166" s="110">
        <f t="shared" si="148"/>
        <v>0.15448688694418455</v>
      </c>
      <c r="AD166" s="110">
        <f t="shared" si="148"/>
        <v>0.15986101560350047</v>
      </c>
      <c r="AE166" s="110">
        <f t="shared" si="148"/>
        <v>0.16507124399924167</v>
      </c>
      <c r="AF166" s="110">
        <f t="shared" si="148"/>
        <v>0.17011757213140816</v>
      </c>
      <c r="AG166" s="110">
        <f t="shared" si="148"/>
        <v>0.17499999999999999</v>
      </c>
      <c r="AH166" s="131"/>
      <c r="AI166" s="131"/>
      <c r="AJ166" s="211"/>
    </row>
    <row r="167" spans="1:63" outlineLevel="1">
      <c r="A167" t="s">
        <v>1346</v>
      </c>
      <c r="B167" s="54" t="s">
        <v>462</v>
      </c>
      <c r="C167" s="110">
        <f>C160*C163</f>
        <v>6.1749999999999999E-2</v>
      </c>
      <c r="D167" s="110">
        <f t="shared" ref="D167:AG167" si="149">D160*D163</f>
        <v>6.3834226643672679E-2</v>
      </c>
      <c r="E167" s="110">
        <f t="shared" si="149"/>
        <v>6.5871977299551743E-2</v>
      </c>
      <c r="F167" s="110">
        <f t="shared" si="149"/>
        <v>6.7863251967637192E-2</v>
      </c>
      <c r="G167" s="110">
        <f t="shared" si="149"/>
        <v>6.9808050647929012E-2</v>
      </c>
      <c r="H167" s="110">
        <f t="shared" si="149"/>
        <v>7.1706373340427218E-2</v>
      </c>
      <c r="I167" s="110">
        <f t="shared" si="149"/>
        <v>7.3558220045131822E-2</v>
      </c>
      <c r="J167" s="110">
        <f t="shared" si="149"/>
        <v>7.5363590762042812E-2</v>
      </c>
      <c r="K167" s="110">
        <f t="shared" si="149"/>
        <v>7.7122485491160159E-2</v>
      </c>
      <c r="L167" s="110">
        <f t="shared" si="149"/>
        <v>7.8834904232483904E-2</v>
      </c>
      <c r="M167" s="110">
        <f t="shared" si="149"/>
        <v>8.0500846986014035E-2</v>
      </c>
      <c r="N167" s="110">
        <f t="shared" si="149"/>
        <v>8.4771590101577185E-2</v>
      </c>
      <c r="O167" s="110">
        <f t="shared" si="149"/>
        <v>8.8944376135175293E-2</v>
      </c>
      <c r="P167" s="110">
        <f t="shared" si="149"/>
        <v>9.3019205086808429E-2</v>
      </c>
      <c r="Q167" s="110">
        <f t="shared" si="149"/>
        <v>9.6996076956476551E-2</v>
      </c>
      <c r="R167" s="110">
        <f t="shared" si="149"/>
        <v>0.10087499174417963</v>
      </c>
      <c r="S167" s="110">
        <f t="shared" si="149"/>
        <v>0.10465594944991773</v>
      </c>
      <c r="T167" s="110">
        <f t="shared" si="149"/>
        <v>0.10833895007369085</v>
      </c>
      <c r="U167" s="110">
        <f t="shared" si="149"/>
        <v>0.11192399361549893</v>
      </c>
      <c r="V167" s="110">
        <f t="shared" si="149"/>
        <v>0.11541108007534202</v>
      </c>
      <c r="W167" s="110">
        <f t="shared" si="149"/>
        <v>0.11880020945322008</v>
      </c>
      <c r="X167" s="110">
        <f t="shared" si="149"/>
        <v>0.12515773969398425</v>
      </c>
      <c r="Y167" s="110">
        <f t="shared" si="149"/>
        <v>0.13135136967117372</v>
      </c>
      <c r="Z167" s="110">
        <f t="shared" si="149"/>
        <v>0.13738109938478849</v>
      </c>
      <c r="AA167" s="110">
        <f t="shared" si="149"/>
        <v>0.14324692883482856</v>
      </c>
      <c r="AB167" s="110">
        <f t="shared" si="149"/>
        <v>0.1489488580212939</v>
      </c>
      <c r="AC167" s="110">
        <f t="shared" si="149"/>
        <v>0.15448688694418455</v>
      </c>
      <c r="AD167" s="110">
        <f t="shared" si="149"/>
        <v>0.15986101560350047</v>
      </c>
      <c r="AE167" s="110">
        <f t="shared" si="149"/>
        <v>0.16507124399924167</v>
      </c>
      <c r="AF167" s="110">
        <f t="shared" si="149"/>
        <v>0.17011757213140816</v>
      </c>
      <c r="AG167" s="110">
        <f t="shared" si="149"/>
        <v>0.17499999999999999</v>
      </c>
      <c r="AJ167" s="211"/>
    </row>
    <row r="168" spans="1:63" outlineLevel="1">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I168" s="134"/>
      <c r="AJ168" s="211"/>
      <c r="BC168" s="1"/>
      <c r="BD168" s="41"/>
      <c r="BF168" s="6"/>
      <c r="BG168" s="6"/>
      <c r="BH168" s="6"/>
      <c r="BI168" s="6"/>
      <c r="BJ168" s="6"/>
    </row>
    <row r="169" spans="1:63" outlineLevel="1">
      <c r="A169" t="s">
        <v>1446</v>
      </c>
      <c r="C169" s="382">
        <f>'Overall recycling rates'!C87</f>
        <v>0.99999999999999978</v>
      </c>
      <c r="D169" s="382">
        <f>C169-($C169-$AG169)/($AG1-$C1)</f>
        <v>0.99999999999999978</v>
      </c>
      <c r="E169" s="382">
        <f t="shared" ref="E169:AF169" si="150">D169-($C169-$AG169)/($AG1-$C1)</f>
        <v>0.99999999999999978</v>
      </c>
      <c r="F169" s="382">
        <f t="shared" si="150"/>
        <v>0.99999999999999978</v>
      </c>
      <c r="G169" s="382">
        <f t="shared" si="150"/>
        <v>0.99999999999999978</v>
      </c>
      <c r="H169" s="382">
        <f t="shared" si="150"/>
        <v>0.99999999999999978</v>
      </c>
      <c r="I169" s="382">
        <f t="shared" si="150"/>
        <v>0.99999999999999978</v>
      </c>
      <c r="J169" s="382">
        <f t="shared" si="150"/>
        <v>0.99999999999999978</v>
      </c>
      <c r="K169" s="382">
        <f t="shared" si="150"/>
        <v>0.99999999999999978</v>
      </c>
      <c r="L169" s="382">
        <f t="shared" si="150"/>
        <v>0.99999999999999978</v>
      </c>
      <c r="M169" s="382">
        <f t="shared" si="150"/>
        <v>0.99999999999999978</v>
      </c>
      <c r="N169" s="382">
        <f t="shared" si="150"/>
        <v>0.99999999999999978</v>
      </c>
      <c r="O169" s="382">
        <f t="shared" si="150"/>
        <v>0.99999999999999978</v>
      </c>
      <c r="P169" s="382">
        <f t="shared" si="150"/>
        <v>0.99999999999999978</v>
      </c>
      <c r="Q169" s="382">
        <f t="shared" si="150"/>
        <v>0.99999999999999978</v>
      </c>
      <c r="R169" s="382">
        <f t="shared" si="150"/>
        <v>0.99999999999999978</v>
      </c>
      <c r="S169" s="382">
        <f t="shared" si="150"/>
        <v>0.99999999999999978</v>
      </c>
      <c r="T169" s="382">
        <f t="shared" si="150"/>
        <v>0.99999999999999978</v>
      </c>
      <c r="U169" s="382">
        <f t="shared" si="150"/>
        <v>0.99999999999999978</v>
      </c>
      <c r="V169" s="382">
        <f t="shared" si="150"/>
        <v>0.99999999999999978</v>
      </c>
      <c r="W169" s="382">
        <f t="shared" si="150"/>
        <v>0.99999999999999978</v>
      </c>
      <c r="X169" s="382">
        <f t="shared" si="150"/>
        <v>0.99999999999999978</v>
      </c>
      <c r="Y169" s="382">
        <f t="shared" si="150"/>
        <v>0.99999999999999978</v>
      </c>
      <c r="Z169" s="382">
        <f t="shared" si="150"/>
        <v>0.99999999999999978</v>
      </c>
      <c r="AA169" s="382">
        <f t="shared" si="150"/>
        <v>0.99999999999999978</v>
      </c>
      <c r="AB169" s="382">
        <f t="shared" si="150"/>
        <v>0.99999999999999978</v>
      </c>
      <c r="AC169" s="382">
        <f t="shared" si="150"/>
        <v>0.99999999999999978</v>
      </c>
      <c r="AD169" s="382">
        <f t="shared" si="150"/>
        <v>0.99999999999999978</v>
      </c>
      <c r="AE169" s="382">
        <f t="shared" si="150"/>
        <v>0.99999999999999978</v>
      </c>
      <c r="AF169" s="382">
        <f t="shared" si="150"/>
        <v>0.99999999999999978</v>
      </c>
      <c r="AG169" s="382">
        <f>'Overall recycling rates'!C96</f>
        <v>1</v>
      </c>
      <c r="AI169" s="134"/>
      <c r="AJ169" s="211"/>
      <c r="BC169" s="1"/>
      <c r="BD169" s="41"/>
      <c r="BF169" s="6"/>
      <c r="BG169" s="6"/>
      <c r="BH169" s="6"/>
      <c r="BI169" s="6"/>
      <c r="BJ169" s="6"/>
    </row>
    <row r="170" spans="1:63" outlineLevel="1">
      <c r="A170" t="s">
        <v>1447</v>
      </c>
      <c r="B170" s="54" t="s">
        <v>462</v>
      </c>
      <c r="C170" s="110">
        <f>C159*C169</f>
        <v>6.4999999999999988E-3</v>
      </c>
      <c r="D170" s="110">
        <f t="shared" ref="D170:AG170" si="151">D159*D169</f>
        <v>7.9086652478886493E-3</v>
      </c>
      <c r="E170" s="110">
        <f t="shared" si="151"/>
        <v>9.4102824713645315E-3</v>
      </c>
      <c r="F170" s="110">
        <f t="shared" si="151"/>
        <v>1.100485167042765E-2</v>
      </c>
      <c r="G170" s="110">
        <f t="shared" si="151"/>
        <v>1.2692372845077999E-2</v>
      </c>
      <c r="H170" s="110">
        <f t="shared" si="151"/>
        <v>1.4472845995315581E-2</v>
      </c>
      <c r="I170" s="110">
        <f t="shared" si="151"/>
        <v>1.6346271121140399E-2</v>
      </c>
      <c r="J170" s="110">
        <f t="shared" si="151"/>
        <v>1.8312648222552453E-2</v>
      </c>
      <c r="K170" s="110">
        <f t="shared" si="151"/>
        <v>2.0371977299551737E-2</v>
      </c>
      <c r="L170" s="110">
        <f t="shared" si="151"/>
        <v>2.2524258352138251E-2</v>
      </c>
      <c r="M170" s="110">
        <f t="shared" si="151"/>
        <v>2.4769491380312002E-2</v>
      </c>
      <c r="N170" s="110">
        <f t="shared" si="151"/>
        <v>2.7982854984986632E-2</v>
      </c>
      <c r="O170" s="110">
        <f t="shared" si="151"/>
        <v>3.1392132753591276E-2</v>
      </c>
      <c r="P170" s="110">
        <f t="shared" si="151"/>
        <v>3.499732468612593E-2</v>
      </c>
      <c r="Q170" s="110">
        <f t="shared" si="151"/>
        <v>3.8798430782590605E-2</v>
      </c>
      <c r="R170" s="110">
        <f t="shared" si="151"/>
        <v>4.2795451042985294E-2</v>
      </c>
      <c r="S170" s="110">
        <f t="shared" si="151"/>
        <v>4.6988385467309983E-2</v>
      </c>
      <c r="T170" s="110">
        <f t="shared" si="151"/>
        <v>5.1377234055564713E-2</v>
      </c>
      <c r="U170" s="110">
        <f t="shared" si="151"/>
        <v>5.5961996807749444E-2</v>
      </c>
      <c r="V170" s="110">
        <f t="shared" si="151"/>
        <v>6.0742673723864195E-2</v>
      </c>
      <c r="W170" s="110">
        <f t="shared" si="151"/>
        <v>6.5719264803908953E-2</v>
      </c>
      <c r="X170" s="110">
        <f t="shared" si="151"/>
        <v>7.2672235951345671E-2</v>
      </c>
      <c r="Y170" s="110">
        <f t="shared" si="151"/>
        <v>7.9953007625931813E-2</v>
      </c>
      <c r="Z170" s="110">
        <f t="shared" si="151"/>
        <v>8.756157982766738E-2</v>
      </c>
      <c r="AA170" s="110">
        <f t="shared" si="151"/>
        <v>9.5497952556552329E-2</v>
      </c>
      <c r="AB170" s="110">
        <f t="shared" si="151"/>
        <v>0.10376212581258672</v>
      </c>
      <c r="AC170" s="110">
        <f t="shared" si="151"/>
        <v>0.11235409959577054</v>
      </c>
      <c r="AD170" s="110">
        <f t="shared" si="151"/>
        <v>0.12127387390610378</v>
      </c>
      <c r="AE170" s="110">
        <f t="shared" si="151"/>
        <v>0.13052144874358645</v>
      </c>
      <c r="AF170" s="110">
        <f t="shared" si="151"/>
        <v>0.1400968241082185</v>
      </c>
      <c r="AG170" s="110">
        <f t="shared" si="151"/>
        <v>0.15</v>
      </c>
      <c r="AI170" s="134"/>
      <c r="AJ170" s="211"/>
      <c r="BC170" s="1"/>
      <c r="BD170" s="41"/>
      <c r="BF170" s="6"/>
      <c r="BG170" s="6"/>
      <c r="BH170" s="6"/>
      <c r="BI170" s="6"/>
      <c r="BJ170" s="6"/>
    </row>
    <row r="171" spans="1:63" outlineLevel="1">
      <c r="A171" t="s">
        <v>1448</v>
      </c>
      <c r="B171" s="54" t="s">
        <v>462</v>
      </c>
      <c r="C171" s="110">
        <f>C160*C169</f>
        <v>0.12349999999999997</v>
      </c>
      <c r="D171" s="110">
        <f t="shared" ref="D171:AG171" si="152">D160*D169</f>
        <v>0.12766845328734533</v>
      </c>
      <c r="E171" s="110">
        <f t="shared" si="152"/>
        <v>0.13174395459910346</v>
      </c>
      <c r="F171" s="110">
        <f t="shared" si="152"/>
        <v>0.13572650393527436</v>
      </c>
      <c r="G171" s="110">
        <f t="shared" si="152"/>
        <v>0.139616101295858</v>
      </c>
      <c r="H171" s="110">
        <f t="shared" si="152"/>
        <v>0.14341274668085441</v>
      </c>
      <c r="I171" s="110">
        <f t="shared" si="152"/>
        <v>0.14711644009026362</v>
      </c>
      <c r="J171" s="110">
        <f t="shared" si="152"/>
        <v>0.1507271815240856</v>
      </c>
      <c r="K171" s="110">
        <f t="shared" si="152"/>
        <v>0.15424497098232029</v>
      </c>
      <c r="L171" s="110">
        <f t="shared" si="152"/>
        <v>0.15766980846496778</v>
      </c>
      <c r="M171" s="110">
        <f t="shared" si="152"/>
        <v>0.16100169397202804</v>
      </c>
      <c r="N171" s="110">
        <f t="shared" si="152"/>
        <v>0.16954318020315434</v>
      </c>
      <c r="O171" s="110">
        <f t="shared" si="152"/>
        <v>0.17788875227035056</v>
      </c>
      <c r="P171" s="110">
        <f t="shared" si="152"/>
        <v>0.18603841017361683</v>
      </c>
      <c r="Q171" s="110">
        <f t="shared" si="152"/>
        <v>0.19399215391295305</v>
      </c>
      <c r="R171" s="110">
        <f t="shared" si="152"/>
        <v>0.20174998348835921</v>
      </c>
      <c r="S171" s="110">
        <f t="shared" si="152"/>
        <v>0.2093118988998354</v>
      </c>
      <c r="T171" s="110">
        <f t="shared" si="152"/>
        <v>0.21667790014738164</v>
      </c>
      <c r="U171" s="110">
        <f t="shared" si="152"/>
        <v>0.2238479872309978</v>
      </c>
      <c r="V171" s="110">
        <f t="shared" si="152"/>
        <v>0.23082216015068399</v>
      </c>
      <c r="W171" s="110">
        <f t="shared" si="152"/>
        <v>0.2376004189064401</v>
      </c>
      <c r="X171" s="110">
        <f t="shared" si="152"/>
        <v>0.25031547938796844</v>
      </c>
      <c r="Y171" s="110">
        <f t="shared" si="152"/>
        <v>0.26270273934234739</v>
      </c>
      <c r="Z171" s="110">
        <f t="shared" si="152"/>
        <v>0.27476219876957692</v>
      </c>
      <c r="AA171" s="110">
        <f t="shared" si="152"/>
        <v>0.28649385766965707</v>
      </c>
      <c r="AB171" s="110">
        <f t="shared" si="152"/>
        <v>0.29789771604258775</v>
      </c>
      <c r="AC171" s="110">
        <f t="shared" si="152"/>
        <v>0.30897377388836905</v>
      </c>
      <c r="AD171" s="110">
        <f t="shared" si="152"/>
        <v>0.31972203120700088</v>
      </c>
      <c r="AE171" s="110">
        <f t="shared" si="152"/>
        <v>0.33014248799848328</v>
      </c>
      <c r="AF171" s="110">
        <f t="shared" si="152"/>
        <v>0.34023514426281626</v>
      </c>
      <c r="AG171" s="110">
        <f t="shared" si="152"/>
        <v>0.35</v>
      </c>
      <c r="AI171" s="134"/>
      <c r="AJ171" s="211"/>
      <c r="BC171" s="1"/>
      <c r="BD171" s="41"/>
      <c r="BF171" s="6"/>
      <c r="BG171" s="6"/>
      <c r="BH171" s="6"/>
      <c r="BI171" s="6"/>
      <c r="BJ171" s="6"/>
    </row>
    <row r="172" spans="1:63" outlineLevel="1">
      <c r="A172" t="s">
        <v>1449</v>
      </c>
      <c r="B172" s="54" t="s">
        <v>462</v>
      </c>
      <c r="C172" s="110">
        <f>C156*C169</f>
        <v>0.12999999999999998</v>
      </c>
      <c r="D172" s="110">
        <f t="shared" ref="D172:AG172" si="153">D156*D169</f>
        <v>0.13557711853523399</v>
      </c>
      <c r="E172" s="110">
        <f t="shared" si="153"/>
        <v>0.14115423707046798</v>
      </c>
      <c r="F172" s="110">
        <f t="shared" si="153"/>
        <v>0.146731355605702</v>
      </c>
      <c r="G172" s="110">
        <f t="shared" si="153"/>
        <v>0.15230847414093601</v>
      </c>
      <c r="H172" s="110">
        <f t="shared" si="153"/>
        <v>0.15788559267617</v>
      </c>
      <c r="I172" s="110">
        <f t="shared" si="153"/>
        <v>0.16346271121140402</v>
      </c>
      <c r="J172" s="110">
        <f t="shared" si="153"/>
        <v>0.16903982974663803</v>
      </c>
      <c r="K172" s="110">
        <f t="shared" si="153"/>
        <v>0.17461694828187205</v>
      </c>
      <c r="L172" s="110">
        <f t="shared" si="153"/>
        <v>0.18019406681710604</v>
      </c>
      <c r="M172" s="110">
        <f t="shared" si="153"/>
        <v>0.18577118535234005</v>
      </c>
      <c r="N172" s="110">
        <f t="shared" si="153"/>
        <v>0.19752603518814094</v>
      </c>
      <c r="O172" s="110">
        <f t="shared" si="153"/>
        <v>0.20928088502394182</v>
      </c>
      <c r="P172" s="110">
        <f t="shared" si="153"/>
        <v>0.22103573485974273</v>
      </c>
      <c r="Q172" s="110">
        <f t="shared" si="153"/>
        <v>0.23279058469554365</v>
      </c>
      <c r="R172" s="110">
        <f t="shared" si="153"/>
        <v>0.24454543453134453</v>
      </c>
      <c r="S172" s="110">
        <f t="shared" si="153"/>
        <v>0.25630028436714541</v>
      </c>
      <c r="T172" s="110">
        <f t="shared" si="153"/>
        <v>0.26805513420294635</v>
      </c>
      <c r="U172" s="110">
        <f t="shared" si="153"/>
        <v>0.27980998403874724</v>
      </c>
      <c r="V172" s="110">
        <f t="shared" si="153"/>
        <v>0.29156483387454818</v>
      </c>
      <c r="W172" s="110">
        <f t="shared" si="153"/>
        <v>0.30331968371034906</v>
      </c>
      <c r="X172" s="110">
        <f t="shared" si="153"/>
        <v>0.32298771533931414</v>
      </c>
      <c r="Y172" s="110">
        <f t="shared" si="153"/>
        <v>0.34265574696827922</v>
      </c>
      <c r="Z172" s="110">
        <f t="shared" si="153"/>
        <v>0.36232377859724435</v>
      </c>
      <c r="AA172" s="110">
        <f t="shared" si="153"/>
        <v>0.38199181022620937</v>
      </c>
      <c r="AB172" s="110">
        <f t="shared" si="153"/>
        <v>0.40165984185517445</v>
      </c>
      <c r="AC172" s="110">
        <f t="shared" si="153"/>
        <v>0.42132787348413953</v>
      </c>
      <c r="AD172" s="110">
        <f t="shared" si="153"/>
        <v>0.4409959051131046</v>
      </c>
      <c r="AE172" s="110">
        <f t="shared" si="153"/>
        <v>0.46066393674206974</v>
      </c>
      <c r="AF172" s="110">
        <f t="shared" si="153"/>
        <v>0.48033196837103476</v>
      </c>
      <c r="AG172" s="110">
        <f t="shared" si="153"/>
        <v>0.5</v>
      </c>
      <c r="AI172" s="134"/>
      <c r="AJ172" s="211"/>
      <c r="BC172" s="1"/>
      <c r="BD172" s="41"/>
      <c r="BF172" s="6"/>
      <c r="BG172" s="6"/>
      <c r="BH172" s="6"/>
      <c r="BI172" s="6"/>
      <c r="BJ172" s="6"/>
    </row>
    <row r="173" spans="1:63" outlineLevel="1">
      <c r="A173" t="s">
        <v>1450</v>
      </c>
      <c r="B173" s="54" t="s">
        <v>462</v>
      </c>
      <c r="C173" s="110">
        <f>C166*C169</f>
        <v>6.1749999999999985E-2</v>
      </c>
      <c r="D173" s="110">
        <f t="shared" ref="D173:AG173" si="154">D166*D169</f>
        <v>6.3834226643672665E-2</v>
      </c>
      <c r="E173" s="110">
        <f t="shared" si="154"/>
        <v>6.5871977299551729E-2</v>
      </c>
      <c r="F173" s="110">
        <f t="shared" si="154"/>
        <v>6.7863251967637178E-2</v>
      </c>
      <c r="G173" s="110">
        <f t="shared" si="154"/>
        <v>6.9808050647928999E-2</v>
      </c>
      <c r="H173" s="110">
        <f t="shared" si="154"/>
        <v>7.1706373340427204E-2</v>
      </c>
      <c r="I173" s="110">
        <f t="shared" si="154"/>
        <v>7.3558220045131809E-2</v>
      </c>
      <c r="J173" s="110">
        <f t="shared" si="154"/>
        <v>7.5363590762042798E-2</v>
      </c>
      <c r="K173" s="110">
        <f t="shared" si="154"/>
        <v>7.7122485491160145E-2</v>
      </c>
      <c r="L173" s="110">
        <f t="shared" si="154"/>
        <v>7.8834904232483891E-2</v>
      </c>
      <c r="M173" s="110">
        <f t="shared" si="154"/>
        <v>8.0500846986014021E-2</v>
      </c>
      <c r="N173" s="110">
        <f t="shared" si="154"/>
        <v>8.4771590101577171E-2</v>
      </c>
      <c r="O173" s="110">
        <f t="shared" si="154"/>
        <v>8.8944376135175279E-2</v>
      </c>
      <c r="P173" s="110">
        <f t="shared" si="154"/>
        <v>9.3019205086808415E-2</v>
      </c>
      <c r="Q173" s="110">
        <f t="shared" si="154"/>
        <v>9.6996076956476524E-2</v>
      </c>
      <c r="R173" s="110">
        <f t="shared" si="154"/>
        <v>0.1008749917441796</v>
      </c>
      <c r="S173" s="110">
        <f t="shared" si="154"/>
        <v>0.1046559494499177</v>
      </c>
      <c r="T173" s="110">
        <f t="shared" si="154"/>
        <v>0.10833895007369082</v>
      </c>
      <c r="U173" s="110">
        <f t="shared" si="154"/>
        <v>0.1119239936154989</v>
      </c>
      <c r="V173" s="110">
        <f t="shared" si="154"/>
        <v>0.115411080075342</v>
      </c>
      <c r="W173" s="110">
        <f t="shared" si="154"/>
        <v>0.11880020945322005</v>
      </c>
      <c r="X173" s="110">
        <f t="shared" si="154"/>
        <v>0.12515773969398422</v>
      </c>
      <c r="Y173" s="110">
        <f t="shared" si="154"/>
        <v>0.1313513696711737</v>
      </c>
      <c r="Z173" s="110">
        <f t="shared" si="154"/>
        <v>0.13738109938478846</v>
      </c>
      <c r="AA173" s="110">
        <f t="shared" si="154"/>
        <v>0.14324692883482854</v>
      </c>
      <c r="AB173" s="110">
        <f t="shared" si="154"/>
        <v>0.14894885802129387</v>
      </c>
      <c r="AC173" s="110">
        <f t="shared" si="154"/>
        <v>0.15448688694418453</v>
      </c>
      <c r="AD173" s="110">
        <f t="shared" si="154"/>
        <v>0.15986101560350044</v>
      </c>
      <c r="AE173" s="110">
        <f t="shared" si="154"/>
        <v>0.16507124399924164</v>
      </c>
      <c r="AF173" s="110">
        <f t="shared" si="154"/>
        <v>0.17011757213140813</v>
      </c>
      <c r="AG173" s="110">
        <f t="shared" si="154"/>
        <v>0.17499999999999999</v>
      </c>
      <c r="AI173" s="134"/>
      <c r="AJ173" s="211"/>
      <c r="BC173" s="1"/>
      <c r="BD173" s="41"/>
      <c r="BF173" s="6"/>
      <c r="BG173" s="6"/>
      <c r="BH173" s="6"/>
      <c r="BI173" s="6"/>
      <c r="BJ173" s="6"/>
    </row>
    <row r="174" spans="1:63" outlineLevel="1">
      <c r="A174" t="s">
        <v>1452</v>
      </c>
      <c r="B174" s="54" t="s">
        <v>462</v>
      </c>
      <c r="C174" s="110">
        <f>C167*C169</f>
        <v>6.1749999999999985E-2</v>
      </c>
      <c r="D174" s="110">
        <f t="shared" ref="D174:AG174" si="155">D167*D169</f>
        <v>6.3834226643672665E-2</v>
      </c>
      <c r="E174" s="110">
        <f t="shared" si="155"/>
        <v>6.5871977299551729E-2</v>
      </c>
      <c r="F174" s="110">
        <f t="shared" si="155"/>
        <v>6.7863251967637178E-2</v>
      </c>
      <c r="G174" s="110">
        <f t="shared" si="155"/>
        <v>6.9808050647928999E-2</v>
      </c>
      <c r="H174" s="110">
        <f t="shared" si="155"/>
        <v>7.1706373340427204E-2</v>
      </c>
      <c r="I174" s="110">
        <f t="shared" si="155"/>
        <v>7.3558220045131809E-2</v>
      </c>
      <c r="J174" s="110">
        <f t="shared" si="155"/>
        <v>7.5363590762042798E-2</v>
      </c>
      <c r="K174" s="110">
        <f t="shared" si="155"/>
        <v>7.7122485491160145E-2</v>
      </c>
      <c r="L174" s="110">
        <f t="shared" si="155"/>
        <v>7.8834904232483891E-2</v>
      </c>
      <c r="M174" s="110">
        <f t="shared" si="155"/>
        <v>8.0500846986014021E-2</v>
      </c>
      <c r="N174" s="110">
        <f t="shared" si="155"/>
        <v>8.4771590101577171E-2</v>
      </c>
      <c r="O174" s="110">
        <f t="shared" si="155"/>
        <v>8.8944376135175279E-2</v>
      </c>
      <c r="P174" s="110">
        <f t="shared" si="155"/>
        <v>9.3019205086808415E-2</v>
      </c>
      <c r="Q174" s="110">
        <f t="shared" si="155"/>
        <v>9.6996076956476524E-2</v>
      </c>
      <c r="R174" s="110">
        <f t="shared" si="155"/>
        <v>0.1008749917441796</v>
      </c>
      <c r="S174" s="110">
        <f t="shared" si="155"/>
        <v>0.1046559494499177</v>
      </c>
      <c r="T174" s="110">
        <f t="shared" si="155"/>
        <v>0.10833895007369082</v>
      </c>
      <c r="U174" s="110">
        <f t="shared" si="155"/>
        <v>0.1119239936154989</v>
      </c>
      <c r="V174" s="110">
        <f t="shared" si="155"/>
        <v>0.115411080075342</v>
      </c>
      <c r="W174" s="110">
        <f t="shared" si="155"/>
        <v>0.11880020945322005</v>
      </c>
      <c r="X174" s="110">
        <f t="shared" si="155"/>
        <v>0.12515773969398422</v>
      </c>
      <c r="Y174" s="110">
        <f t="shared" si="155"/>
        <v>0.1313513696711737</v>
      </c>
      <c r="Z174" s="110">
        <f t="shared" si="155"/>
        <v>0.13738109938478846</v>
      </c>
      <c r="AA174" s="110">
        <f t="shared" si="155"/>
        <v>0.14324692883482854</v>
      </c>
      <c r="AB174" s="110">
        <f t="shared" si="155"/>
        <v>0.14894885802129387</v>
      </c>
      <c r="AC174" s="110">
        <f t="shared" si="155"/>
        <v>0.15448688694418453</v>
      </c>
      <c r="AD174" s="110">
        <f t="shared" si="155"/>
        <v>0.15986101560350044</v>
      </c>
      <c r="AE174" s="110">
        <f t="shared" si="155"/>
        <v>0.16507124399924164</v>
      </c>
      <c r="AF174" s="110">
        <f t="shared" si="155"/>
        <v>0.17011757213140813</v>
      </c>
      <c r="AG174" s="110">
        <f t="shared" si="155"/>
        <v>0.17499999999999999</v>
      </c>
      <c r="AI174" s="134"/>
      <c r="AJ174" s="211"/>
      <c r="BC174" s="1"/>
      <c r="BD174" s="41"/>
      <c r="BF174" s="6"/>
      <c r="BG174" s="6"/>
      <c r="BH174" s="6"/>
      <c r="BI174" s="6"/>
      <c r="BJ174" s="6"/>
    </row>
    <row r="175" spans="1:63" outlineLevel="1">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I175" s="134"/>
      <c r="AJ175" s="211"/>
      <c r="BC175" s="1"/>
      <c r="BD175" s="41"/>
      <c r="BF175" s="6"/>
      <c r="BG175" s="6"/>
      <c r="BH175" s="6"/>
      <c r="BI175" s="6"/>
      <c r="BJ175" s="6"/>
    </row>
    <row r="176" spans="1:63" s="1" customFormat="1" outlineLevel="1">
      <c r="A176" s="1" t="s">
        <v>228</v>
      </c>
      <c r="B176" s="65"/>
      <c r="C176" s="300">
        <f>C170*C48</f>
        <v>3.0576426161855394E-2</v>
      </c>
      <c r="D176" s="300">
        <f t="shared" ref="D176:AG176" si="156">D170*D48</f>
        <v>3.844997616740102E-2</v>
      </c>
      <c r="E176" s="300">
        <f t="shared" si="156"/>
        <v>4.7160488433893956E-2</v>
      </c>
      <c r="F176" s="300">
        <f t="shared" si="156"/>
        <v>5.6703069584892928E-2</v>
      </c>
      <c r="G176" s="300">
        <f t="shared" si="156"/>
        <v>6.7062029056414077E-2</v>
      </c>
      <c r="H176" s="300">
        <f t="shared" si="156"/>
        <v>7.8210456224277122E-2</v>
      </c>
      <c r="I176" s="300">
        <f t="shared" si="156"/>
        <v>9.030438596191942E-2</v>
      </c>
      <c r="J176" s="300">
        <f t="shared" si="156"/>
        <v>0.10337668040577572</v>
      </c>
      <c r="K176" s="300">
        <f t="shared" si="156"/>
        <v>0.11745937072598518</v>
      </c>
      <c r="L176" s="300">
        <f t="shared" si="156"/>
        <v>0.13258352916286445</v>
      </c>
      <c r="M176" s="300">
        <f t="shared" si="156"/>
        <v>0.14877913940458418</v>
      </c>
      <c r="N176" s="300">
        <f t="shared" si="156"/>
        <v>0.17119145046160295</v>
      </c>
      <c r="O176" s="300">
        <f t="shared" si="156"/>
        <v>0.19523312128771883</v>
      </c>
      <c r="P176" s="300">
        <f t="shared" si="156"/>
        <v>0.22084419165389826</v>
      </c>
      <c r="Q176" s="300">
        <f t="shared" si="156"/>
        <v>0.24794644575099303</v>
      </c>
      <c r="R176" s="300">
        <f t="shared" si="156"/>
        <v>0.27644347883746467</v>
      </c>
      <c r="S176" s="300">
        <f t="shared" si="156"/>
        <v>0.30677272162804847</v>
      </c>
      <c r="T176" s="300">
        <f t="shared" si="156"/>
        <v>0.33897435040325663</v>
      </c>
      <c r="U176" s="300">
        <f t="shared" si="156"/>
        <v>0.37308828499424868</v>
      </c>
      <c r="V176" s="300">
        <f t="shared" si="156"/>
        <v>0.40915415452848269</v>
      </c>
      <c r="W176" s="300">
        <f t="shared" si="156"/>
        <v>0.44721126279000301</v>
      </c>
      <c r="X176" s="300">
        <f t="shared" si="156"/>
        <v>0.49954268977421618</v>
      </c>
      <c r="Y176" s="300">
        <f t="shared" si="156"/>
        <v>0.55511119697190681</v>
      </c>
      <c r="Z176" s="300">
        <f t="shared" si="156"/>
        <v>0.61398376584737246</v>
      </c>
      <c r="AA176" s="300">
        <f t="shared" si="156"/>
        <v>0.67622694536136685</v>
      </c>
      <c r="AB176" s="300">
        <f t="shared" si="156"/>
        <v>0.74190680014253374</v>
      </c>
      <c r="AC176" s="300">
        <f t="shared" si="156"/>
        <v>0.81109652636138441</v>
      </c>
      <c r="AD176" s="300">
        <f t="shared" si="156"/>
        <v>0.88386313709523756</v>
      </c>
      <c r="AE176" s="300">
        <f t="shared" si="156"/>
        <v>0.96027321275836808</v>
      </c>
      <c r="AF176" s="300">
        <f t="shared" si="156"/>
        <v>1.0403928539904568</v>
      </c>
      <c r="AG176" s="300">
        <f t="shared" si="156"/>
        <v>1.1242876340964965</v>
      </c>
      <c r="AH176" s="422">
        <f>AG176-C176</f>
        <v>1.0937112079346412</v>
      </c>
      <c r="AI176" s="423"/>
      <c r="AJ176" s="424"/>
      <c r="AL176" s="221"/>
      <c r="AM176" s="124"/>
      <c r="AN176" s="124"/>
      <c r="AO176" s="124"/>
      <c r="BD176" s="124"/>
      <c r="BE176" s="124"/>
      <c r="BF176" s="124"/>
      <c r="BG176" s="124"/>
      <c r="BH176" s="124"/>
      <c r="BI176" s="124"/>
      <c r="BJ176" s="124"/>
      <c r="BK176" s="124"/>
    </row>
    <row r="177" spans="1:63" outlineLevel="1">
      <c r="A177" s="4" t="s">
        <v>258</v>
      </c>
      <c r="C177" s="230">
        <f>C$176*'Ethylene recycling rates'!E88</f>
        <v>0</v>
      </c>
      <c r="D177" s="230">
        <f>D$176*'Ethylene recycling rates'!F88</f>
        <v>0</v>
      </c>
      <c r="E177" s="230">
        <f>E$176*'Ethylene recycling rates'!G88</f>
        <v>0</v>
      </c>
      <c r="F177" s="230">
        <f>F$176*'Ethylene recycling rates'!H88</f>
        <v>0</v>
      </c>
      <c r="G177" s="230">
        <f>G$176*'Ethylene recycling rates'!I88</f>
        <v>0</v>
      </c>
      <c r="H177" s="230">
        <f>H$176*'Ethylene recycling rates'!J88</f>
        <v>0</v>
      </c>
      <c r="I177" s="230">
        <f>I$176*'Ethylene recycling rates'!K88</f>
        <v>0</v>
      </c>
      <c r="J177" s="230">
        <f>J$176*'Ethylene recycling rates'!L88</f>
        <v>0</v>
      </c>
      <c r="K177" s="230">
        <f>K$176*'Ethylene recycling rates'!M88</f>
        <v>0</v>
      </c>
      <c r="L177" s="230">
        <f>L$176*'Ethylene recycling rates'!N88</f>
        <v>0</v>
      </c>
      <c r="M177" s="230">
        <f>M$176*'Ethylene recycling rates'!O88</f>
        <v>0</v>
      </c>
      <c r="N177" s="230">
        <f>N$176*'Ethylene recycling rates'!P88</f>
        <v>0</v>
      </c>
      <c r="O177" s="230">
        <f>O$176*'Ethylene recycling rates'!Q88</f>
        <v>0</v>
      </c>
      <c r="P177" s="230">
        <f>P$176*'Ethylene recycling rates'!R88</f>
        <v>0</v>
      </c>
      <c r="Q177" s="230">
        <f>Q$176*'Ethylene recycling rates'!S88</f>
        <v>0</v>
      </c>
      <c r="R177" s="230">
        <f>R$176*'Ethylene recycling rates'!T88</f>
        <v>0</v>
      </c>
      <c r="S177" s="230">
        <f>S$176*'Ethylene recycling rates'!U88</f>
        <v>0</v>
      </c>
      <c r="T177" s="230">
        <f>T$176*'Ethylene recycling rates'!V88</f>
        <v>0</v>
      </c>
      <c r="U177" s="230">
        <f>U$176*'Ethylene recycling rates'!W88</f>
        <v>0</v>
      </c>
      <c r="V177" s="230">
        <f>V$176*'Ethylene recycling rates'!X88</f>
        <v>0</v>
      </c>
      <c r="W177" s="230">
        <f>W$176*'Ethylene recycling rates'!Y88</f>
        <v>0</v>
      </c>
      <c r="X177" s="230">
        <f>X$176*'Ethylene recycling rates'!Z88</f>
        <v>0</v>
      </c>
      <c r="Y177" s="230">
        <f>Y$176*'Ethylene recycling rates'!AA88</f>
        <v>0</v>
      </c>
      <c r="Z177" s="230">
        <f>Z$176*'Ethylene recycling rates'!AB88</f>
        <v>0</v>
      </c>
      <c r="AA177" s="230">
        <f>AA$176*'Ethylene recycling rates'!AC88</f>
        <v>0</v>
      </c>
      <c r="AB177" s="230">
        <f>AB$176*'Ethylene recycling rates'!AD88</f>
        <v>0</v>
      </c>
      <c r="AC177" s="230">
        <f>AC$176*'Ethylene recycling rates'!AE88</f>
        <v>0</v>
      </c>
      <c r="AD177" s="230">
        <f>AD$176*'Ethylene recycling rates'!AF88</f>
        <v>0</v>
      </c>
      <c r="AE177" s="230">
        <f>AE$176*'Ethylene recycling rates'!AG88</f>
        <v>0</v>
      </c>
      <c r="AF177" s="230">
        <f>AF$176*'Ethylene recycling rates'!AH88</f>
        <v>0</v>
      </c>
      <c r="AG177" s="230">
        <f>AG$176*'Ethylene recycling rates'!AI88</f>
        <v>0</v>
      </c>
      <c r="AH177" s="422">
        <f t="shared" ref="AH177:AH181" si="157">AG177-C177</f>
        <v>0</v>
      </c>
      <c r="AI177" s="133"/>
      <c r="AJ177" s="211"/>
      <c r="AL177" s="108"/>
      <c r="AM177" s="2"/>
      <c r="AN177" s="2"/>
      <c r="AO177" s="2"/>
      <c r="BC177" s="1"/>
      <c r="BD177" s="2"/>
      <c r="BE177" s="2"/>
      <c r="BF177" s="2"/>
      <c r="BG177" s="2"/>
      <c r="BH177" s="2"/>
      <c r="BI177" s="2"/>
      <c r="BJ177" s="2"/>
      <c r="BK177" s="2"/>
    </row>
    <row r="178" spans="1:63" outlineLevel="1">
      <c r="A178" s="4" t="s">
        <v>478</v>
      </c>
      <c r="C178" s="230">
        <f>C$176*'Ethylene recycling rates'!E89</f>
        <v>0</v>
      </c>
      <c r="D178" s="230">
        <f>D$176*'Ethylene recycling rates'!F89</f>
        <v>0</v>
      </c>
      <c r="E178" s="230">
        <f>E$176*'Ethylene recycling rates'!G89</f>
        <v>0</v>
      </c>
      <c r="F178" s="230">
        <f>F$176*'Ethylene recycling rates'!H89</f>
        <v>0</v>
      </c>
      <c r="G178" s="230">
        <f>G$176*'Ethylene recycling rates'!I89</f>
        <v>0</v>
      </c>
      <c r="H178" s="230">
        <f>H$176*'Ethylene recycling rates'!J89</f>
        <v>0</v>
      </c>
      <c r="I178" s="230">
        <f>I$176*'Ethylene recycling rates'!K89</f>
        <v>0</v>
      </c>
      <c r="J178" s="230">
        <f>J$176*'Ethylene recycling rates'!L89</f>
        <v>0</v>
      </c>
      <c r="K178" s="230">
        <f>K$176*'Ethylene recycling rates'!M89</f>
        <v>0</v>
      </c>
      <c r="L178" s="230">
        <f>L$176*'Ethylene recycling rates'!N89</f>
        <v>0</v>
      </c>
      <c r="M178" s="230">
        <f>M$176*'Ethylene recycling rates'!O89</f>
        <v>0</v>
      </c>
      <c r="N178" s="230">
        <f>N$176*'Ethylene recycling rates'!P89</f>
        <v>0</v>
      </c>
      <c r="O178" s="230">
        <f>O$176*'Ethylene recycling rates'!Q89</f>
        <v>0</v>
      </c>
      <c r="P178" s="230">
        <f>P$176*'Ethylene recycling rates'!R89</f>
        <v>0</v>
      </c>
      <c r="Q178" s="230">
        <f>Q$176*'Ethylene recycling rates'!S89</f>
        <v>0</v>
      </c>
      <c r="R178" s="230">
        <f>R$176*'Ethylene recycling rates'!T89</f>
        <v>0</v>
      </c>
      <c r="S178" s="230">
        <f>S$176*'Ethylene recycling rates'!U89</f>
        <v>0</v>
      </c>
      <c r="T178" s="230">
        <f>T$176*'Ethylene recycling rates'!V89</f>
        <v>0</v>
      </c>
      <c r="U178" s="230">
        <f>U$176*'Ethylene recycling rates'!W89</f>
        <v>0</v>
      </c>
      <c r="V178" s="230">
        <f>V$176*'Ethylene recycling rates'!X89</f>
        <v>0</v>
      </c>
      <c r="W178" s="230">
        <f>W$176*'Ethylene recycling rates'!Y89</f>
        <v>0</v>
      </c>
      <c r="X178" s="230">
        <f>X$176*'Ethylene recycling rates'!Z89</f>
        <v>0</v>
      </c>
      <c r="Y178" s="230">
        <f>Y$176*'Ethylene recycling rates'!AA89</f>
        <v>0</v>
      </c>
      <c r="Z178" s="230">
        <f>Z$176*'Ethylene recycling rates'!AB89</f>
        <v>0</v>
      </c>
      <c r="AA178" s="230">
        <f>AA$176*'Ethylene recycling rates'!AC89</f>
        <v>0</v>
      </c>
      <c r="AB178" s="230">
        <f>AB$176*'Ethylene recycling rates'!AD89</f>
        <v>0</v>
      </c>
      <c r="AC178" s="230">
        <f>AC$176*'Ethylene recycling rates'!AE89</f>
        <v>0</v>
      </c>
      <c r="AD178" s="230">
        <f>AD$176*'Ethylene recycling rates'!AF89</f>
        <v>0</v>
      </c>
      <c r="AE178" s="230">
        <f>AE$176*'Ethylene recycling rates'!AG89</f>
        <v>0</v>
      </c>
      <c r="AF178" s="230">
        <f>AF$176*'Ethylene recycling rates'!AH89</f>
        <v>0</v>
      </c>
      <c r="AG178" s="230">
        <f>AG$176*'Ethylene recycling rates'!AI89</f>
        <v>0</v>
      </c>
      <c r="AH178" s="422">
        <f t="shared" si="157"/>
        <v>0</v>
      </c>
      <c r="AI178" s="133"/>
      <c r="AJ178" s="211"/>
      <c r="AL178" s="108"/>
      <c r="AM178" s="2"/>
      <c r="AN178" s="2"/>
      <c r="AO178" s="2"/>
      <c r="BC178" s="1"/>
      <c r="BD178" s="2"/>
      <c r="BE178" s="2"/>
      <c r="BF178" s="2"/>
      <c r="BG178" s="2"/>
      <c r="BH178" s="2"/>
      <c r="BI178" s="2"/>
      <c r="BJ178" s="2"/>
      <c r="BK178" s="2"/>
    </row>
    <row r="179" spans="1:63" outlineLevel="1">
      <c r="A179" s="4" t="s">
        <v>480</v>
      </c>
      <c r="C179" s="230">
        <f>C$176*'Ethylene recycling rates'!E90</f>
        <v>0</v>
      </c>
      <c r="D179" s="230">
        <f>D$176*'Ethylene recycling rates'!F90</f>
        <v>0</v>
      </c>
      <c r="E179" s="230">
        <f>E$176*'Ethylene recycling rates'!G90</f>
        <v>0</v>
      </c>
      <c r="F179" s="230">
        <f>F$176*'Ethylene recycling rates'!H90</f>
        <v>0</v>
      </c>
      <c r="G179" s="230">
        <f>G$176*'Ethylene recycling rates'!I90</f>
        <v>0</v>
      </c>
      <c r="H179" s="230">
        <f>H$176*'Ethylene recycling rates'!J90</f>
        <v>0</v>
      </c>
      <c r="I179" s="230">
        <f>I$176*'Ethylene recycling rates'!K90</f>
        <v>0</v>
      </c>
      <c r="J179" s="230">
        <f>J$176*'Ethylene recycling rates'!L90</f>
        <v>0</v>
      </c>
      <c r="K179" s="230">
        <f>K$176*'Ethylene recycling rates'!M90</f>
        <v>0</v>
      </c>
      <c r="L179" s="230">
        <f>L$176*'Ethylene recycling rates'!N90</f>
        <v>0</v>
      </c>
      <c r="M179" s="230">
        <f>M$176*'Ethylene recycling rates'!O90</f>
        <v>0</v>
      </c>
      <c r="N179" s="230">
        <f>N$176*'Ethylene recycling rates'!P90</f>
        <v>0</v>
      </c>
      <c r="O179" s="230">
        <f>O$176*'Ethylene recycling rates'!Q90</f>
        <v>0</v>
      </c>
      <c r="P179" s="230">
        <f>P$176*'Ethylene recycling rates'!R90</f>
        <v>0</v>
      </c>
      <c r="Q179" s="230">
        <f>Q$176*'Ethylene recycling rates'!S90</f>
        <v>0</v>
      </c>
      <c r="R179" s="230">
        <f>R$176*'Ethylene recycling rates'!T90</f>
        <v>0</v>
      </c>
      <c r="S179" s="230">
        <f>S$176*'Ethylene recycling rates'!U90</f>
        <v>0</v>
      </c>
      <c r="T179" s="230">
        <f>T$176*'Ethylene recycling rates'!V90</f>
        <v>0</v>
      </c>
      <c r="U179" s="230">
        <f>U$176*'Ethylene recycling rates'!W90</f>
        <v>0</v>
      </c>
      <c r="V179" s="230">
        <f>V$176*'Ethylene recycling rates'!X90</f>
        <v>0</v>
      </c>
      <c r="W179" s="230">
        <f>W$176*'Ethylene recycling rates'!Y90</f>
        <v>0</v>
      </c>
      <c r="X179" s="230">
        <f>X$176*'Ethylene recycling rates'!Z90</f>
        <v>0</v>
      </c>
      <c r="Y179" s="230">
        <f>Y$176*'Ethylene recycling rates'!AA90</f>
        <v>0</v>
      </c>
      <c r="Z179" s="230">
        <f>Z$176*'Ethylene recycling rates'!AB90</f>
        <v>0</v>
      </c>
      <c r="AA179" s="230">
        <f>AA$176*'Ethylene recycling rates'!AC90</f>
        <v>0</v>
      </c>
      <c r="AB179" s="230">
        <f>AB$176*'Ethylene recycling rates'!AD90</f>
        <v>0</v>
      </c>
      <c r="AC179" s="230">
        <f>AC$176*'Ethylene recycling rates'!AE90</f>
        <v>0</v>
      </c>
      <c r="AD179" s="230">
        <f>AD$176*'Ethylene recycling rates'!AF90</f>
        <v>0</v>
      </c>
      <c r="AE179" s="230">
        <f>AE$176*'Ethylene recycling rates'!AG90</f>
        <v>0</v>
      </c>
      <c r="AF179" s="230">
        <f>AF$176*'Ethylene recycling rates'!AH90</f>
        <v>0</v>
      </c>
      <c r="AG179" s="230">
        <f>AG$176*'Ethylene recycling rates'!AI90</f>
        <v>0</v>
      </c>
      <c r="AH179" s="422">
        <f t="shared" si="157"/>
        <v>0</v>
      </c>
      <c r="AI179" s="133"/>
      <c r="AJ179" s="211"/>
      <c r="AL179" s="108"/>
      <c r="AM179" s="2"/>
      <c r="AN179" s="2"/>
      <c r="AO179" s="2"/>
      <c r="BC179" s="1"/>
      <c r="BD179" s="2"/>
      <c r="BE179" s="2"/>
      <c r="BF179" s="2"/>
      <c r="BG179" s="2"/>
      <c r="BH179" s="2"/>
      <c r="BI179" s="2"/>
      <c r="BJ179" s="2"/>
      <c r="BK179" s="2"/>
    </row>
    <row r="180" spans="1:63" outlineLevel="1">
      <c r="A180" s="4" t="s">
        <v>474</v>
      </c>
      <c r="C180" s="230">
        <f>C$176*'Ethylene recycling rates'!E91</f>
        <v>2.6207188950591844E-2</v>
      </c>
      <c r="D180" s="230">
        <f>D$176*'Ethylene recycling rates'!F91</f>
        <v>3.2955643188343306E-2</v>
      </c>
      <c r="E180" s="230">
        <f>E$176*'Ethylene recycling rates'!G91</f>
        <v>4.0421461450296008E-2</v>
      </c>
      <c r="F180" s="230">
        <f>F$176*'Ethylene recycling rates'!H91</f>
        <v>4.8600449602043141E-2</v>
      </c>
      <c r="G180" s="230">
        <f>G$176*'Ethylene recycling rates'!I91</f>
        <v>5.7479159192386067E-2</v>
      </c>
      <c r="H180" s="230">
        <f>H$176*'Ethylene recycling rates'!J91</f>
        <v>6.7034525007328288E-2</v>
      </c>
      <c r="I180" s="230">
        <f>I$176*'Ethylene recycling rates'!K91</f>
        <v>7.7400285221155093E-2</v>
      </c>
      <c r="J180" s="230">
        <f>J$176*'Ethylene recycling rates'!L91</f>
        <v>8.8604606115115489E-2</v>
      </c>
      <c r="K180" s="230">
        <f>K$176*'Ethylene recycling rates'!M91</f>
        <v>0.10067494174560257</v>
      </c>
      <c r="L180" s="230">
        <f>L$176*'Ethylene recycling rates'!N91</f>
        <v>0.11363792426605326</v>
      </c>
      <c r="M180" s="230">
        <f>M$176*'Ethylene recycling rates'!O91</f>
        <v>0.12751925282708657</v>
      </c>
      <c r="N180" s="230">
        <f>N$176*'Ethylene recycling rates'!P91</f>
        <v>0.1467289429191051</v>
      </c>
      <c r="O180" s="230">
        <f>O$176*'Ethylene recycling rates'!Q91</f>
        <v>0.16733516441447288</v>
      </c>
      <c r="P180" s="230">
        <f>P$176*'Ethylene recycling rates'!R91</f>
        <v>0.18928652513794075</v>
      </c>
      <c r="Q180" s="230">
        <f>Q$176*'Ethylene recycling rates'!S91</f>
        <v>0.2125159859764868</v>
      </c>
      <c r="R180" s="230">
        <f>R$176*'Ethylene recycling rates'!T91</f>
        <v>0.23694091800337322</v>
      </c>
      <c r="S180" s="230">
        <f>S$176*'Ethylene recycling rates'!U91</f>
        <v>0.2629362450024712</v>
      </c>
      <c r="T180" s="230">
        <f>T$176*'Ethylene recycling rates'!V91</f>
        <v>0.29053640223999339</v>
      </c>
      <c r="U180" s="230">
        <f>U$176*'Ethylene recycling rates'!W91</f>
        <v>0.31977560517828763</v>
      </c>
      <c r="V180" s="230">
        <f>V$176*'Ethylene recycling rates'!X91</f>
        <v>0.35068782011628452</v>
      </c>
      <c r="W180" s="230">
        <f>W$176*'Ethylene recycling rates'!Y91</f>
        <v>0.38330673449964786</v>
      </c>
      <c r="X180" s="230">
        <f>X$176*'Ethylene recycling rates'!Z91</f>
        <v>0.42816023005761777</v>
      </c>
      <c r="Y180" s="230">
        <f>Y$176*'Ethylene recycling rates'!AA91</f>
        <v>0.47578824126217617</v>
      </c>
      <c r="Z180" s="230">
        <f>Z$176*'Ethylene recycling rates'!AB91</f>
        <v>0.52624817822010739</v>
      </c>
      <c r="AA180" s="230">
        <f>AA$176*'Ethylene recycling rates'!AC91</f>
        <v>0.57959708033751145</v>
      </c>
      <c r="AB180" s="230">
        <f>AB$176*'Ethylene recycling rates'!AD91</f>
        <v>0.63589157189731338</v>
      </c>
      <c r="AC180" s="230">
        <f>AC$176*'Ethylene recycling rates'!AE91</f>
        <v>0.69519438965824643</v>
      </c>
      <c r="AD180" s="230">
        <f>AD$176*'Ethylene recycling rates'!AF91</f>
        <v>0.75756297082275414</v>
      </c>
      <c r="AE180" s="230">
        <f>AE$176*'Ethylene recycling rates'!AG91</f>
        <v>0.82305438175588752</v>
      </c>
      <c r="AF180" s="230">
        <f>AF$176*'Ethylene recycling rates'!AH91</f>
        <v>0.89172527760578912</v>
      </c>
      <c r="AG180" s="230">
        <f>AG$176*'Ethylene recycling rates'!AI91</f>
        <v>0.9636318615397278</v>
      </c>
      <c r="AH180" s="422">
        <f t="shared" si="157"/>
        <v>0.93742467258913598</v>
      </c>
      <c r="AI180" s="133"/>
      <c r="AJ180" s="211"/>
      <c r="AL180" s="108"/>
      <c r="AM180" s="2"/>
      <c r="AN180" s="2"/>
      <c r="AO180" s="2"/>
      <c r="BC180" s="1"/>
      <c r="BD180" s="2"/>
      <c r="BE180" s="2"/>
      <c r="BF180" s="2"/>
      <c r="BG180" s="2"/>
      <c r="BH180" s="2"/>
      <c r="BI180" s="2"/>
      <c r="BJ180" s="2"/>
      <c r="BK180" s="2"/>
    </row>
    <row r="181" spans="1:63" outlineLevel="1">
      <c r="A181" s="4" t="s">
        <v>248</v>
      </c>
      <c r="C181" s="230">
        <f>C$176*'Ethylene recycling rates'!E92</f>
        <v>4.3692372112635507E-3</v>
      </c>
      <c r="D181" s="230">
        <f>D$176*'Ethylene recycling rates'!F92</f>
        <v>5.4943329790577153E-3</v>
      </c>
      <c r="E181" s="230">
        <f>E$176*'Ethylene recycling rates'!G92</f>
        <v>6.7390269835979483E-3</v>
      </c>
      <c r="F181" s="230">
        <f>F$176*'Ethylene recycling rates'!H92</f>
        <v>8.1026199828497895E-3</v>
      </c>
      <c r="G181" s="230">
        <f>G$176*'Ethylene recycling rates'!I92</f>
        <v>9.5828698640280149E-3</v>
      </c>
      <c r="H181" s="230">
        <f>H$176*'Ethylene recycling rates'!J92</f>
        <v>1.1175931216948829E-2</v>
      </c>
      <c r="I181" s="230">
        <f>I$176*'Ethylene recycling rates'!K92</f>
        <v>1.2904100740764333E-2</v>
      </c>
      <c r="J181" s="230">
        <f>J$176*'Ethylene recycling rates'!L92</f>
        <v>1.4772074290660226E-2</v>
      </c>
      <c r="K181" s="230">
        <f>K$176*'Ethylene recycling rates'!M92</f>
        <v>1.6784428980382619E-2</v>
      </c>
      <c r="L181" s="230">
        <f>L$176*'Ethylene recycling rates'!N92</f>
        <v>1.8945604896811196E-2</v>
      </c>
      <c r="M181" s="230">
        <f>M$176*'Ethylene recycling rates'!O92</f>
        <v>2.1259886577497614E-2</v>
      </c>
      <c r="N181" s="230">
        <f>N$176*'Ethylene recycling rates'!P92</f>
        <v>2.4462507542497854E-2</v>
      </c>
      <c r="O181" s="230">
        <f>O$176*'Ethylene recycling rates'!Q92</f>
        <v>2.7897956873245956E-2</v>
      </c>
      <c r="P181" s="230">
        <f>P$176*'Ethylene recycling rates'!R92</f>
        <v>3.1557666515957525E-2</v>
      </c>
      <c r="Q181" s="230">
        <f>Q$176*'Ethylene recycling rates'!S92</f>
        <v>3.5430459774506248E-2</v>
      </c>
      <c r="R181" s="230">
        <f>R$176*'Ethylene recycling rates'!T92</f>
        <v>3.9502560834091462E-2</v>
      </c>
      <c r="S181" s="230">
        <f>S$176*'Ethylene recycling rates'!U92</f>
        <v>4.3836476625577291E-2</v>
      </c>
      <c r="T181" s="230">
        <f>T$176*'Ethylene recycling rates'!V92</f>
        <v>4.8437948163263272E-2</v>
      </c>
      <c r="U181" s="230">
        <f>U$176*'Ethylene recycling rates'!W92</f>
        <v>5.3312679815961064E-2</v>
      </c>
      <c r="V181" s="230">
        <f>V$176*'Ethylene recycling rates'!X92</f>
        <v>5.8466334412198208E-2</v>
      </c>
      <c r="W181" s="230">
        <f>W$176*'Ethylene recycling rates'!Y92</f>
        <v>6.3904528290355159E-2</v>
      </c>
      <c r="X181" s="230">
        <f>X$176*'Ethylene recycling rates'!Z92</f>
        <v>7.1382459716598443E-2</v>
      </c>
      <c r="Y181" s="230">
        <f>Y$176*'Ethylene recycling rates'!AA92</f>
        <v>7.9322955709730678E-2</v>
      </c>
      <c r="Z181" s="230">
        <f>Z$176*'Ethylene recycling rates'!AB92</f>
        <v>8.7735587627265146E-2</v>
      </c>
      <c r="AA181" s="230">
        <f>AA$176*'Ethylene recycling rates'!AC92</f>
        <v>9.6629865023855399E-2</v>
      </c>
      <c r="AB181" s="230">
        <f>AB$176*'Ethylene recycling rates'!AD92</f>
        <v>0.10601522824522042</v>
      </c>
      <c r="AC181" s="230">
        <f>AC$176*'Ethylene recycling rates'!AE92</f>
        <v>0.11590213670313797</v>
      </c>
      <c r="AD181" s="230">
        <f>AD$176*'Ethylene recycling rates'!AF92</f>
        <v>0.12630016627248344</v>
      </c>
      <c r="AE181" s="230">
        <f>AE$176*'Ethylene recycling rates'!AG92</f>
        <v>0.13721883100248061</v>
      </c>
      <c r="AF181" s="230">
        <f>AF$176*'Ethylene recycling rates'!AH92</f>
        <v>0.14866757638466774</v>
      </c>
      <c r="AG181" s="230">
        <f>AG$176*'Ethylene recycling rates'!AI92</f>
        <v>0.16065577255676863</v>
      </c>
      <c r="AH181" s="422">
        <f t="shared" si="157"/>
        <v>0.15628653534550507</v>
      </c>
      <c r="AI181" s="133"/>
      <c r="AJ181" s="211"/>
      <c r="AL181" s="108"/>
      <c r="AM181" s="2"/>
      <c r="AN181" s="2"/>
      <c r="AO181" s="2"/>
      <c r="BC181" s="1"/>
      <c r="BD181" s="2"/>
      <c r="BE181" s="2"/>
      <c r="BF181" s="2"/>
      <c r="BG181" s="2"/>
      <c r="BH181" s="2"/>
      <c r="BI181" s="2"/>
      <c r="BJ181" s="2"/>
      <c r="BK181" s="2"/>
    </row>
    <row r="182" spans="1:63" s="1" customFormat="1" outlineLevel="1">
      <c r="A182" s="1" t="s">
        <v>1328</v>
      </c>
      <c r="B182" s="65"/>
      <c r="C182" s="300">
        <f>C173*C48</f>
        <v>0.29047604853762621</v>
      </c>
      <c r="D182" s="300">
        <f t="shared" ref="D182:AG182" si="158">D173*D48</f>
        <v>0.3103462362083082</v>
      </c>
      <c r="E182" s="300">
        <f t="shared" si="158"/>
        <v>0.33012341903725773</v>
      </c>
      <c r="F182" s="300">
        <f t="shared" si="158"/>
        <v>0.34966892910683972</v>
      </c>
      <c r="G182" s="300">
        <f t="shared" si="158"/>
        <v>0.36884115981027737</v>
      </c>
      <c r="H182" s="300">
        <f t="shared" si="158"/>
        <v>0.38749726038391852</v>
      </c>
      <c r="I182" s="300">
        <f t="shared" si="158"/>
        <v>0.40636973682863742</v>
      </c>
      <c r="J182" s="300">
        <f t="shared" si="158"/>
        <v>0.42543480013146168</v>
      </c>
      <c r="K182" s="300">
        <f t="shared" si="158"/>
        <v>0.44466761774837249</v>
      </c>
      <c r="L182" s="300">
        <f t="shared" si="158"/>
        <v>0.46404235207002564</v>
      </c>
      <c r="M182" s="300">
        <f t="shared" si="158"/>
        <v>0.48353220306489869</v>
      </c>
      <c r="N182" s="300">
        <f t="shared" si="158"/>
        <v>0.51860939404544437</v>
      </c>
      <c r="O182" s="300">
        <f t="shared" si="158"/>
        <v>0.5531605103152033</v>
      </c>
      <c r="P182" s="300">
        <f t="shared" si="158"/>
        <v>0.58698061465904561</v>
      </c>
      <c r="Q182" s="300">
        <f t="shared" si="158"/>
        <v>0.61986611437748262</v>
      </c>
      <c r="R182" s="300">
        <f t="shared" si="158"/>
        <v>0.65161677154545228</v>
      </c>
      <c r="S182" s="300">
        <f t="shared" si="158"/>
        <v>0.68326651635338076</v>
      </c>
      <c r="T182" s="300">
        <f t="shared" si="158"/>
        <v>0.71479373889382392</v>
      </c>
      <c r="U182" s="300">
        <f t="shared" si="158"/>
        <v>0.74617656998849746</v>
      </c>
      <c r="V182" s="300">
        <f t="shared" si="158"/>
        <v>0.77739289360411734</v>
      </c>
      <c r="W182" s="300">
        <f t="shared" si="158"/>
        <v>0.80842035965885173</v>
      </c>
      <c r="X182" s="300">
        <f t="shared" si="158"/>
        <v>0.86032352127781686</v>
      </c>
      <c r="Y182" s="300">
        <f t="shared" si="158"/>
        <v>0.91196839502527549</v>
      </c>
      <c r="Z182" s="300">
        <f t="shared" si="158"/>
        <v>0.96331935676053249</v>
      </c>
      <c r="AA182" s="300">
        <f t="shared" si="158"/>
        <v>1.0143404180420506</v>
      </c>
      <c r="AB182" s="300">
        <f t="shared" si="158"/>
        <v>1.0649952453658955</v>
      </c>
      <c r="AC182" s="300">
        <f t="shared" si="158"/>
        <v>1.1152577237469037</v>
      </c>
      <c r="AD182" s="300">
        <f t="shared" si="158"/>
        <v>1.1650923170800858</v>
      </c>
      <c r="AE182" s="300">
        <f t="shared" si="158"/>
        <v>1.214463180841465</v>
      </c>
      <c r="AF182" s="300">
        <f t="shared" si="158"/>
        <v>1.2633341798455544</v>
      </c>
      <c r="AG182" s="300">
        <f t="shared" si="158"/>
        <v>1.3116689064459126</v>
      </c>
      <c r="AH182" s="422"/>
      <c r="AI182" s="423"/>
      <c r="AJ182" s="424"/>
      <c r="AL182" s="221"/>
      <c r="AM182" s="124"/>
      <c r="AN182" s="124"/>
      <c r="AO182" s="124"/>
      <c r="BD182" s="124"/>
      <c r="BE182" s="124"/>
      <c r="BF182" s="124"/>
      <c r="BG182" s="124"/>
      <c r="BH182" s="124"/>
      <c r="BI182" s="124"/>
      <c r="BJ182" s="124"/>
      <c r="BK182" s="124"/>
    </row>
    <row r="183" spans="1:63" outlineLevel="1">
      <c r="A183" s="4" t="s">
        <v>258</v>
      </c>
      <c r="C183" s="230">
        <f>C$182*'Ethylene recycling rates'!E93</f>
        <v>0</v>
      </c>
      <c r="D183" s="230">
        <f>D$182*'Ethylene recycling rates'!F93</f>
        <v>0</v>
      </c>
      <c r="E183" s="230">
        <f>E$182*'Ethylene recycling rates'!G93</f>
        <v>0</v>
      </c>
      <c r="F183" s="230">
        <f>F$182*'Ethylene recycling rates'!H93</f>
        <v>0</v>
      </c>
      <c r="G183" s="230">
        <f>G$182*'Ethylene recycling rates'!I93</f>
        <v>0</v>
      </c>
      <c r="H183" s="230">
        <f>H$182*'Ethylene recycling rates'!J93</f>
        <v>0</v>
      </c>
      <c r="I183" s="230">
        <f>I$182*'Ethylene recycling rates'!K93</f>
        <v>0</v>
      </c>
      <c r="J183" s="230">
        <f>J$182*'Ethylene recycling rates'!L93</f>
        <v>0</v>
      </c>
      <c r="K183" s="230">
        <f>K$182*'Ethylene recycling rates'!M93</f>
        <v>0</v>
      </c>
      <c r="L183" s="230">
        <f>L$182*'Ethylene recycling rates'!N93</f>
        <v>0</v>
      </c>
      <c r="M183" s="230">
        <f>M$182*'Ethylene recycling rates'!O93</f>
        <v>0</v>
      </c>
      <c r="N183" s="230">
        <f>N$182*'Ethylene recycling rates'!P93</f>
        <v>0</v>
      </c>
      <c r="O183" s="230">
        <f>O$182*'Ethylene recycling rates'!Q93</f>
        <v>0</v>
      </c>
      <c r="P183" s="230">
        <f>P$182*'Ethylene recycling rates'!R93</f>
        <v>0</v>
      </c>
      <c r="Q183" s="230">
        <f>Q$182*'Ethylene recycling rates'!S93</f>
        <v>0</v>
      </c>
      <c r="R183" s="230">
        <f>R$182*'Ethylene recycling rates'!T93</f>
        <v>0</v>
      </c>
      <c r="S183" s="230">
        <f>S$182*'Ethylene recycling rates'!U93</f>
        <v>0</v>
      </c>
      <c r="T183" s="230">
        <f>T$182*'Ethylene recycling rates'!V93</f>
        <v>0</v>
      </c>
      <c r="U183" s="230">
        <f>U$182*'Ethylene recycling rates'!W93</f>
        <v>0</v>
      </c>
      <c r="V183" s="230">
        <f>V$182*'Ethylene recycling rates'!X93</f>
        <v>0</v>
      </c>
      <c r="W183" s="230">
        <f>W$182*'Ethylene recycling rates'!Y93</f>
        <v>0</v>
      </c>
      <c r="X183" s="230">
        <f>X$182*'Ethylene recycling rates'!Z93</f>
        <v>0</v>
      </c>
      <c r="Y183" s="230">
        <f>Y$182*'Ethylene recycling rates'!AA93</f>
        <v>0</v>
      </c>
      <c r="Z183" s="230">
        <f>Z$182*'Ethylene recycling rates'!AB93</f>
        <v>0</v>
      </c>
      <c r="AA183" s="230">
        <f>AA$182*'Ethylene recycling rates'!AC93</f>
        <v>0</v>
      </c>
      <c r="AB183" s="230">
        <f>AB$182*'Ethylene recycling rates'!AD93</f>
        <v>0</v>
      </c>
      <c r="AC183" s="230">
        <f>AC$182*'Ethylene recycling rates'!AE93</f>
        <v>0</v>
      </c>
      <c r="AD183" s="230">
        <f>AD$182*'Ethylene recycling rates'!AF93</f>
        <v>0</v>
      </c>
      <c r="AE183" s="230">
        <f>AE$182*'Ethylene recycling rates'!AG93</f>
        <v>0</v>
      </c>
      <c r="AF183" s="230">
        <f>AF$182*'Ethylene recycling rates'!AH93</f>
        <v>0</v>
      </c>
      <c r="AG183" s="230">
        <f>AG$182*'Ethylene recycling rates'!AI93</f>
        <v>0</v>
      </c>
      <c r="AH183" s="245"/>
      <c r="AI183" s="133"/>
      <c r="AJ183" s="211"/>
      <c r="AL183" s="108"/>
      <c r="AM183" s="2"/>
      <c r="AN183" s="2"/>
      <c r="AO183" s="2"/>
      <c r="BC183" s="1"/>
      <c r="BD183" s="2"/>
      <c r="BE183" s="2"/>
      <c r="BF183" s="2"/>
      <c r="BG183" s="2"/>
      <c r="BH183" s="2"/>
      <c r="BI183" s="2"/>
      <c r="BJ183" s="2"/>
      <c r="BK183" s="2"/>
    </row>
    <row r="184" spans="1:63" outlineLevel="1">
      <c r="A184" s="4" t="s">
        <v>478</v>
      </c>
      <c r="C184" s="230">
        <f>C$182*'Ethylene recycling rates'!E94</f>
        <v>0</v>
      </c>
      <c r="D184" s="230">
        <f>D$182*'Ethylene recycling rates'!F94</f>
        <v>0</v>
      </c>
      <c r="E184" s="230">
        <f>E$182*'Ethylene recycling rates'!G94</f>
        <v>0</v>
      </c>
      <c r="F184" s="230">
        <f>F$182*'Ethylene recycling rates'!H94</f>
        <v>0</v>
      </c>
      <c r="G184" s="230">
        <f>G$182*'Ethylene recycling rates'!I94</f>
        <v>0</v>
      </c>
      <c r="H184" s="230">
        <f>H$182*'Ethylene recycling rates'!J94</f>
        <v>0</v>
      </c>
      <c r="I184" s="230">
        <f>I$182*'Ethylene recycling rates'!K94</f>
        <v>0</v>
      </c>
      <c r="J184" s="230">
        <f>J$182*'Ethylene recycling rates'!L94</f>
        <v>0</v>
      </c>
      <c r="K184" s="230">
        <f>K$182*'Ethylene recycling rates'!M94</f>
        <v>0</v>
      </c>
      <c r="L184" s="230">
        <f>L$182*'Ethylene recycling rates'!N94</f>
        <v>0</v>
      </c>
      <c r="M184" s="230">
        <f>M$182*'Ethylene recycling rates'!O94</f>
        <v>0</v>
      </c>
      <c r="N184" s="230">
        <f>N$182*'Ethylene recycling rates'!P94</f>
        <v>0</v>
      </c>
      <c r="O184" s="230">
        <f>O$182*'Ethylene recycling rates'!Q94</f>
        <v>0</v>
      </c>
      <c r="P184" s="230">
        <f>P$182*'Ethylene recycling rates'!R94</f>
        <v>0</v>
      </c>
      <c r="Q184" s="230">
        <f>Q$182*'Ethylene recycling rates'!S94</f>
        <v>0</v>
      </c>
      <c r="R184" s="230">
        <f>R$182*'Ethylene recycling rates'!T94</f>
        <v>0</v>
      </c>
      <c r="S184" s="230">
        <f>S$182*'Ethylene recycling rates'!U94</f>
        <v>0</v>
      </c>
      <c r="T184" s="230">
        <f>T$182*'Ethylene recycling rates'!V94</f>
        <v>0</v>
      </c>
      <c r="U184" s="230">
        <f>U$182*'Ethylene recycling rates'!W94</f>
        <v>0</v>
      </c>
      <c r="V184" s="230">
        <f>V$182*'Ethylene recycling rates'!X94</f>
        <v>0</v>
      </c>
      <c r="W184" s="230">
        <f>W$182*'Ethylene recycling rates'!Y94</f>
        <v>0</v>
      </c>
      <c r="X184" s="230">
        <f>X$182*'Ethylene recycling rates'!Z94</f>
        <v>0</v>
      </c>
      <c r="Y184" s="230">
        <f>Y$182*'Ethylene recycling rates'!AA94</f>
        <v>0</v>
      </c>
      <c r="Z184" s="230">
        <f>Z$182*'Ethylene recycling rates'!AB94</f>
        <v>0</v>
      </c>
      <c r="AA184" s="230">
        <f>AA$182*'Ethylene recycling rates'!AC94</f>
        <v>0</v>
      </c>
      <c r="AB184" s="230">
        <f>AB$182*'Ethylene recycling rates'!AD94</f>
        <v>0</v>
      </c>
      <c r="AC184" s="230">
        <f>AC$182*'Ethylene recycling rates'!AE94</f>
        <v>0</v>
      </c>
      <c r="AD184" s="230">
        <f>AD$182*'Ethylene recycling rates'!AF94</f>
        <v>0</v>
      </c>
      <c r="AE184" s="230">
        <f>AE$182*'Ethylene recycling rates'!AG94</f>
        <v>0</v>
      </c>
      <c r="AF184" s="230">
        <f>AF$182*'Ethylene recycling rates'!AH94</f>
        <v>0</v>
      </c>
      <c r="AG184" s="230">
        <f>AG$182*'Ethylene recycling rates'!AI94</f>
        <v>0</v>
      </c>
      <c r="AH184" s="245"/>
      <c r="AI184" s="133"/>
      <c r="AJ184" s="211"/>
      <c r="AL184" s="108"/>
      <c r="AM184" s="2"/>
      <c r="AN184" s="2"/>
      <c r="AO184" s="2"/>
      <c r="BC184" s="1"/>
      <c r="BD184" s="2"/>
      <c r="BE184" s="2"/>
      <c r="BF184" s="2"/>
      <c r="BG184" s="2"/>
      <c r="BH184" s="2"/>
      <c r="BI184" s="2"/>
      <c r="BJ184" s="2"/>
      <c r="BK184" s="2"/>
    </row>
    <row r="185" spans="1:63" outlineLevel="1">
      <c r="A185" s="4" t="s">
        <v>480</v>
      </c>
      <c r="C185" s="230">
        <f>C$182*'Ethylene recycling rates'!E95</f>
        <v>0</v>
      </c>
      <c r="D185" s="230">
        <f>D$182*'Ethylene recycling rates'!F95</f>
        <v>0</v>
      </c>
      <c r="E185" s="230">
        <f>E$182*'Ethylene recycling rates'!G95</f>
        <v>0</v>
      </c>
      <c r="F185" s="230">
        <f>F$182*'Ethylene recycling rates'!H95</f>
        <v>0</v>
      </c>
      <c r="G185" s="230">
        <f>G$182*'Ethylene recycling rates'!I95</f>
        <v>0</v>
      </c>
      <c r="H185" s="230">
        <f>H$182*'Ethylene recycling rates'!J95</f>
        <v>0</v>
      </c>
      <c r="I185" s="230">
        <f>I$182*'Ethylene recycling rates'!K95</f>
        <v>0</v>
      </c>
      <c r="J185" s="230">
        <f>J$182*'Ethylene recycling rates'!L95</f>
        <v>0</v>
      </c>
      <c r="K185" s="230">
        <f>K$182*'Ethylene recycling rates'!M95</f>
        <v>0</v>
      </c>
      <c r="L185" s="230">
        <f>L$182*'Ethylene recycling rates'!N95</f>
        <v>0</v>
      </c>
      <c r="M185" s="230">
        <f>M$182*'Ethylene recycling rates'!O95</f>
        <v>0</v>
      </c>
      <c r="N185" s="230">
        <f>N$182*'Ethylene recycling rates'!P95</f>
        <v>0</v>
      </c>
      <c r="O185" s="230">
        <f>O$182*'Ethylene recycling rates'!Q95</f>
        <v>0</v>
      </c>
      <c r="P185" s="230">
        <f>P$182*'Ethylene recycling rates'!R95</f>
        <v>0</v>
      </c>
      <c r="Q185" s="230">
        <f>Q$182*'Ethylene recycling rates'!S95</f>
        <v>0</v>
      </c>
      <c r="R185" s="230">
        <f>R$182*'Ethylene recycling rates'!T95</f>
        <v>0</v>
      </c>
      <c r="S185" s="230">
        <f>S$182*'Ethylene recycling rates'!U95</f>
        <v>0</v>
      </c>
      <c r="T185" s="230">
        <f>T$182*'Ethylene recycling rates'!V95</f>
        <v>0</v>
      </c>
      <c r="U185" s="230">
        <f>U$182*'Ethylene recycling rates'!W95</f>
        <v>0</v>
      </c>
      <c r="V185" s="230">
        <f>V$182*'Ethylene recycling rates'!X95</f>
        <v>0</v>
      </c>
      <c r="W185" s="230">
        <f>W$182*'Ethylene recycling rates'!Y95</f>
        <v>0</v>
      </c>
      <c r="X185" s="230">
        <f>X$182*'Ethylene recycling rates'!Z95</f>
        <v>0</v>
      </c>
      <c r="Y185" s="230">
        <f>Y$182*'Ethylene recycling rates'!AA95</f>
        <v>0</v>
      </c>
      <c r="Z185" s="230">
        <f>Z$182*'Ethylene recycling rates'!AB95</f>
        <v>0</v>
      </c>
      <c r="AA185" s="230">
        <f>AA$182*'Ethylene recycling rates'!AC95</f>
        <v>0</v>
      </c>
      <c r="AB185" s="230">
        <f>AB$182*'Ethylene recycling rates'!AD95</f>
        <v>0</v>
      </c>
      <c r="AC185" s="230">
        <f>AC$182*'Ethylene recycling rates'!AE95</f>
        <v>0</v>
      </c>
      <c r="AD185" s="230">
        <f>AD$182*'Ethylene recycling rates'!AF95</f>
        <v>0</v>
      </c>
      <c r="AE185" s="230">
        <f>AE$182*'Ethylene recycling rates'!AG95</f>
        <v>0</v>
      </c>
      <c r="AF185" s="230">
        <f>AF$182*'Ethylene recycling rates'!AH95</f>
        <v>0</v>
      </c>
      <c r="AG185" s="230">
        <f>AG$182*'Ethylene recycling rates'!AI95</f>
        <v>0</v>
      </c>
      <c r="AH185" s="245"/>
      <c r="AI185" s="133"/>
      <c r="AJ185" s="211"/>
      <c r="AL185" s="108"/>
      <c r="AM185" s="2"/>
      <c r="AN185" s="2"/>
      <c r="AO185" s="2"/>
      <c r="BC185" s="1"/>
      <c r="BD185" s="2"/>
      <c r="BE185" s="2"/>
      <c r="BF185" s="2"/>
      <c r="BG185" s="2"/>
      <c r="BH185" s="2"/>
      <c r="BI185" s="2"/>
      <c r="BJ185" s="2"/>
      <c r="BK185" s="2"/>
    </row>
    <row r="186" spans="1:63" outlineLevel="1">
      <c r="A186" s="4" t="s">
        <v>474</v>
      </c>
      <c r="C186" s="230">
        <f>C$182*'Ethylene recycling rates'!E96</f>
        <v>0.24896829503062248</v>
      </c>
      <c r="D186" s="230">
        <f>D$182*'Ethylene recycling rates'!F96</f>
        <v>0.26599912002019949</v>
      </c>
      <c r="E186" s="230">
        <f>E$182*'Ethylene recycling rates'!G96</f>
        <v>0.2829502301520721</v>
      </c>
      <c r="F186" s="230">
        <f>F$182*'Ethylene recycling rates'!H96</f>
        <v>0.29970277254593269</v>
      </c>
      <c r="G186" s="230">
        <f>G$182*'Ethylene recycling rates'!I96</f>
        <v>0.31613537555812332</v>
      </c>
      <c r="H186" s="230">
        <f>H$182*'Ethylene recycling rates'!J96</f>
        <v>0.33212560117267204</v>
      </c>
      <c r="I186" s="230">
        <f>I$182*'Ethylene recycling rates'!K96</f>
        <v>0.3483012834951979</v>
      </c>
      <c r="J186" s="230">
        <f>J$182*'Ethylene recycling rates'!L96</f>
        <v>0.36464203285836</v>
      </c>
      <c r="K186" s="230">
        <f>K$182*'Ethylene recycling rates'!M96</f>
        <v>0.38112656517978116</v>
      </c>
      <c r="L186" s="230">
        <f>L$182*'Ethylene recycling rates'!N96</f>
        <v>0.39773273493118644</v>
      </c>
      <c r="M186" s="230">
        <f>M$182*'Ethylene recycling rates'!O96</f>
        <v>0.41443757168803141</v>
      </c>
      <c r="N186" s="230">
        <f>N$182*'Ethylene recycling rates'!P96</f>
        <v>0.44450238590199498</v>
      </c>
      <c r="O186" s="230">
        <f>O$182*'Ethylene recycling rates'!Q96</f>
        <v>0.47411629917433978</v>
      </c>
      <c r="P186" s="230">
        <f>P$182*'Ethylene recycling rates'!R96</f>
        <v>0.50310365891926379</v>
      </c>
      <c r="Q186" s="230">
        <f>Q$182*'Ethylene recycling rates'!S96</f>
        <v>0.53128996494121705</v>
      </c>
      <c r="R186" s="230">
        <f>R$182*'Ethylene recycling rates'!T96</f>
        <v>0.55850359243652248</v>
      </c>
      <c r="S186" s="230">
        <f>S$182*'Ethylene recycling rates'!U96</f>
        <v>0.58563072750550405</v>
      </c>
      <c r="T186" s="230">
        <f>T$182*'Ethylene recycling rates'!V96</f>
        <v>0.61265284820172528</v>
      </c>
      <c r="U186" s="230">
        <f>U$182*'Ethylene recycling rates'!W96</f>
        <v>0.63955121035657536</v>
      </c>
      <c r="V186" s="230">
        <f>V$182*'Ethylene recycling rates'!X96</f>
        <v>0.66630685822094071</v>
      </c>
      <c r="W186" s="230">
        <f>W$182*'Ethylene recycling rates'!Y96</f>
        <v>0.69290063544167124</v>
      </c>
      <c r="X186" s="230">
        <f>X$182*'Ethylene recycling rates'!Z96</f>
        <v>0.73738706287700839</v>
      </c>
      <c r="Y186" s="230">
        <f>Y$182*'Ethylene recycling rates'!AA96</f>
        <v>0.78165211064500373</v>
      </c>
      <c r="Z186" s="230">
        <f>Z$182*'Ethylene recycling rates'!AB96</f>
        <v>0.82566524513844408</v>
      </c>
      <c r="AA186" s="230">
        <f>AA$182*'Ethylene recycling rates'!AC96</f>
        <v>0.8693956205062674</v>
      </c>
      <c r="AB186" s="230">
        <f>AB$182*'Ethylene recycling rates'!AD96</f>
        <v>0.91281209514291783</v>
      </c>
      <c r="AC186" s="230">
        <f>AC$182*'Ethylene recycling rates'!AE96</f>
        <v>0.955892285780089</v>
      </c>
      <c r="AD186" s="230">
        <f>AD$182*'Ethylene recycling rates'!AF96</f>
        <v>0.99860573426635768</v>
      </c>
      <c r="AE186" s="230">
        <f>AE$182*'Ethylene recycling rates'!AG96</f>
        <v>1.0409217181030337</v>
      </c>
      <c r="AF186" s="230">
        <f>AF$182*'Ethylene recycling rates'!AH96</f>
        <v>1.0828092656641721</v>
      </c>
      <c r="AG186" s="230">
        <f>AG$182*'Ethylene recycling rates'!AI96</f>
        <v>1.1242371717963493</v>
      </c>
      <c r="AH186" s="245"/>
      <c r="AI186" s="133"/>
      <c r="AJ186" s="211"/>
      <c r="AL186" s="108"/>
      <c r="AM186" s="2"/>
      <c r="AN186" s="2"/>
      <c r="AO186" s="2"/>
      <c r="BC186" s="1"/>
      <c r="BD186" s="2"/>
      <c r="BE186" s="2"/>
      <c r="BF186" s="2"/>
      <c r="BG186" s="2"/>
      <c r="BH186" s="2"/>
      <c r="BI186" s="2"/>
      <c r="BJ186" s="2"/>
      <c r="BK186" s="2"/>
    </row>
    <row r="187" spans="1:63" outlineLevel="1">
      <c r="A187" s="4" t="s">
        <v>248</v>
      </c>
      <c r="C187" s="230">
        <f>C$182*'Ethylene recycling rates'!E97</f>
        <v>4.1507753507003725E-2</v>
      </c>
      <c r="D187" s="230">
        <f>D$182*'Ethylene recycling rates'!F97</f>
        <v>4.4347116188108701E-2</v>
      </c>
      <c r="E187" s="230">
        <f>E$182*'Ethylene recycling rates'!G97</f>
        <v>4.7173188885185645E-2</v>
      </c>
      <c r="F187" s="230">
        <f>F$182*'Ethylene recycling rates'!H97</f>
        <v>4.9966156560907041E-2</v>
      </c>
      <c r="G187" s="230">
        <f>G$182*'Ethylene recycling rates'!I97</f>
        <v>5.2705784252154074E-2</v>
      </c>
      <c r="H187" s="230">
        <f>H$182*'Ethylene recycling rates'!J97</f>
        <v>5.5371659211246482E-2</v>
      </c>
      <c r="I187" s="230">
        <f>I$182*'Ethylene recycling rates'!K97</f>
        <v>5.8068453333439504E-2</v>
      </c>
      <c r="J187" s="230">
        <f>J$182*'Ethylene recycling rates'!L97</f>
        <v>6.0792767273101712E-2</v>
      </c>
      <c r="K187" s="230">
        <f>K$182*'Ethylene recycling rates'!M97</f>
        <v>6.3541052568591355E-2</v>
      </c>
      <c r="L187" s="230">
        <f>L$182*'Ethylene recycling rates'!N97</f>
        <v>6.6309617138839191E-2</v>
      </c>
      <c r="M187" s="230">
        <f>M$182*'Ethylene recycling rates'!O97</f>
        <v>6.9094631376867263E-2</v>
      </c>
      <c r="N187" s="230">
        <f>N$182*'Ethylene recycling rates'!P97</f>
        <v>7.4107008143449407E-2</v>
      </c>
      <c r="O187" s="230">
        <f>O$182*'Ethylene recycling rates'!Q97</f>
        <v>7.9044211140863532E-2</v>
      </c>
      <c r="P187" s="230">
        <f>P$182*'Ethylene recycling rates'!R97</f>
        <v>8.3876955739781864E-2</v>
      </c>
      <c r="Q187" s="230">
        <f>Q$182*'Ethylene recycling rates'!S97</f>
        <v>8.8576149436265628E-2</v>
      </c>
      <c r="R187" s="230">
        <f>R$182*'Ethylene recycling rates'!T97</f>
        <v>9.3113179108929855E-2</v>
      </c>
      <c r="S187" s="230">
        <f>S$182*'Ethylene recycling rates'!U97</f>
        <v>9.7635788847876714E-2</v>
      </c>
      <c r="T187" s="230">
        <f>T$182*'Ethylene recycling rates'!V97</f>
        <v>0.10214089069209867</v>
      </c>
      <c r="U187" s="230">
        <f>U$182*'Ethylene recycling rates'!W97</f>
        <v>0.10662535963192214</v>
      </c>
      <c r="V187" s="230">
        <f>V$182*'Ethylene recycling rates'!X97</f>
        <v>0.11108603538317663</v>
      </c>
      <c r="W187" s="230">
        <f>W$182*'Ethylene recycling rates'!Y97</f>
        <v>0.1155197242171805</v>
      </c>
      <c r="X187" s="230">
        <f>X$182*'Ethylene recycling rates'!Z97</f>
        <v>0.12293645840080844</v>
      </c>
      <c r="Y187" s="230">
        <f>Y$182*'Ethylene recycling rates'!AA97</f>
        <v>0.13031628438027182</v>
      </c>
      <c r="Z187" s="230">
        <f>Z$182*'Ethylene recycling rates'!AB97</f>
        <v>0.1376541116220884</v>
      </c>
      <c r="AA187" s="230">
        <f>AA$182*'Ethylene recycling rates'!AC97</f>
        <v>0.14494479753578315</v>
      </c>
      <c r="AB187" s="230">
        <f>AB$182*'Ethylene recycling rates'!AD97</f>
        <v>0.15218315022297774</v>
      </c>
      <c r="AC187" s="230">
        <f>AC$182*'Ethylene recycling rates'!AE97</f>
        <v>0.15936543796681474</v>
      </c>
      <c r="AD187" s="230">
        <f>AD$182*'Ethylene recycling rates'!AF97</f>
        <v>0.16648658281372816</v>
      </c>
      <c r="AE187" s="230">
        <f>AE$182*'Ethylene recycling rates'!AG97</f>
        <v>0.1735414627384313</v>
      </c>
      <c r="AF187" s="230">
        <f>AF$182*'Ethylene recycling rates'!AH97</f>
        <v>0.18052491418138222</v>
      </c>
      <c r="AG187" s="230">
        <f>AG$182*'Ethylene recycling rates'!AI97</f>
        <v>0.18743173464956342</v>
      </c>
      <c r="AH187" s="245"/>
      <c r="AI187" s="133"/>
      <c r="AJ187" s="211"/>
      <c r="AL187" s="108"/>
      <c r="AM187" s="2"/>
      <c r="AN187" s="2"/>
      <c r="AO187" s="2"/>
      <c r="BC187" s="1"/>
      <c r="BD187" s="2"/>
      <c r="BE187" s="2"/>
      <c r="BF187" s="2"/>
      <c r="BG187" s="2"/>
      <c r="BH187" s="2"/>
      <c r="BI187" s="2"/>
      <c r="BJ187" s="2"/>
      <c r="BK187" s="2"/>
    </row>
    <row r="188" spans="1:63" s="1" customFormat="1" outlineLevel="1">
      <c r="A188" s="1" t="s">
        <v>1329</v>
      </c>
      <c r="B188" s="65"/>
      <c r="C188" s="300">
        <f>C174*C48</f>
        <v>0.29047604853762621</v>
      </c>
      <c r="D188" s="300">
        <f t="shared" ref="D188:AG188" si="159">D174*D48</f>
        <v>0.3103462362083082</v>
      </c>
      <c r="E188" s="300">
        <f t="shared" si="159"/>
        <v>0.33012341903725773</v>
      </c>
      <c r="F188" s="300">
        <f t="shared" si="159"/>
        <v>0.34966892910683972</v>
      </c>
      <c r="G188" s="300">
        <f t="shared" si="159"/>
        <v>0.36884115981027737</v>
      </c>
      <c r="H188" s="300">
        <f t="shared" si="159"/>
        <v>0.38749726038391852</v>
      </c>
      <c r="I188" s="300">
        <f t="shared" si="159"/>
        <v>0.40636973682863742</v>
      </c>
      <c r="J188" s="300">
        <f t="shared" si="159"/>
        <v>0.42543480013146168</v>
      </c>
      <c r="K188" s="300">
        <f t="shared" si="159"/>
        <v>0.44466761774837249</v>
      </c>
      <c r="L188" s="300">
        <f t="shared" si="159"/>
        <v>0.46404235207002564</v>
      </c>
      <c r="M188" s="300">
        <f t="shared" si="159"/>
        <v>0.48353220306489869</v>
      </c>
      <c r="N188" s="300">
        <f t="shared" si="159"/>
        <v>0.51860939404544437</v>
      </c>
      <c r="O188" s="300">
        <f t="shared" si="159"/>
        <v>0.5531605103152033</v>
      </c>
      <c r="P188" s="300">
        <f t="shared" si="159"/>
        <v>0.58698061465904561</v>
      </c>
      <c r="Q188" s="300">
        <f t="shared" si="159"/>
        <v>0.61986611437748262</v>
      </c>
      <c r="R188" s="300">
        <f t="shared" si="159"/>
        <v>0.65161677154545228</v>
      </c>
      <c r="S188" s="300">
        <f t="shared" si="159"/>
        <v>0.68326651635338076</v>
      </c>
      <c r="T188" s="300">
        <f t="shared" si="159"/>
        <v>0.71479373889382392</v>
      </c>
      <c r="U188" s="300">
        <f t="shared" si="159"/>
        <v>0.74617656998849746</v>
      </c>
      <c r="V188" s="300">
        <f t="shared" si="159"/>
        <v>0.77739289360411734</v>
      </c>
      <c r="W188" s="300">
        <f t="shared" si="159"/>
        <v>0.80842035965885173</v>
      </c>
      <c r="X188" s="300">
        <f t="shared" si="159"/>
        <v>0.86032352127781686</v>
      </c>
      <c r="Y188" s="300">
        <f t="shared" si="159"/>
        <v>0.91196839502527549</v>
      </c>
      <c r="Z188" s="300">
        <f t="shared" si="159"/>
        <v>0.96331935676053249</v>
      </c>
      <c r="AA188" s="300">
        <f t="shared" si="159"/>
        <v>1.0143404180420506</v>
      </c>
      <c r="AB188" s="300">
        <f t="shared" si="159"/>
        <v>1.0649952453658955</v>
      </c>
      <c r="AC188" s="300">
        <f t="shared" si="159"/>
        <v>1.1152577237469037</v>
      </c>
      <c r="AD188" s="300">
        <f t="shared" si="159"/>
        <v>1.1650923170800858</v>
      </c>
      <c r="AE188" s="300">
        <f t="shared" si="159"/>
        <v>1.214463180841465</v>
      </c>
      <c r="AF188" s="300">
        <f t="shared" si="159"/>
        <v>1.2633341798455544</v>
      </c>
      <c r="AG188" s="300">
        <f t="shared" si="159"/>
        <v>1.3116689064459126</v>
      </c>
      <c r="AH188" s="422"/>
      <c r="AI188" s="423"/>
      <c r="AJ188" s="424"/>
      <c r="AL188" s="221"/>
      <c r="AM188" s="124"/>
      <c r="AN188" s="124"/>
      <c r="AO188" s="124"/>
      <c r="BD188" s="124"/>
      <c r="BE188" s="124"/>
      <c r="BF188" s="124"/>
      <c r="BG188" s="124"/>
      <c r="BH188" s="124"/>
      <c r="BI188" s="124"/>
      <c r="BJ188" s="124"/>
      <c r="BK188" s="124"/>
    </row>
    <row r="189" spans="1:63" outlineLevel="1">
      <c r="A189" s="4" t="s">
        <v>258</v>
      </c>
      <c r="C189" s="230">
        <f>C$188*'Ethylene recycling rates'!E98</f>
        <v>0</v>
      </c>
      <c r="D189" s="230">
        <f>D$188*'Ethylene recycling rates'!F98</f>
        <v>0</v>
      </c>
      <c r="E189" s="230">
        <f>E$188*'Ethylene recycling rates'!G98</f>
        <v>0</v>
      </c>
      <c r="F189" s="230">
        <f>F$188*'Ethylene recycling rates'!H98</f>
        <v>0</v>
      </c>
      <c r="G189" s="230">
        <f>G$188*'Ethylene recycling rates'!I98</f>
        <v>0</v>
      </c>
      <c r="H189" s="230">
        <f>H$188*'Ethylene recycling rates'!J98</f>
        <v>0</v>
      </c>
      <c r="I189" s="230">
        <f>I$188*'Ethylene recycling rates'!K98</f>
        <v>0</v>
      </c>
      <c r="J189" s="230">
        <f>J$188*'Ethylene recycling rates'!L98</f>
        <v>0</v>
      </c>
      <c r="K189" s="230">
        <f>K$188*'Ethylene recycling rates'!M98</f>
        <v>0</v>
      </c>
      <c r="L189" s="230">
        <f>L$188*'Ethylene recycling rates'!N98</f>
        <v>0</v>
      </c>
      <c r="M189" s="230">
        <f>M$188*'Ethylene recycling rates'!O98</f>
        <v>0</v>
      </c>
      <c r="N189" s="230">
        <f>N$188*'Ethylene recycling rates'!P98</f>
        <v>0</v>
      </c>
      <c r="O189" s="230">
        <f>O$188*'Ethylene recycling rates'!Q98</f>
        <v>0</v>
      </c>
      <c r="P189" s="230">
        <f>P$188*'Ethylene recycling rates'!R98</f>
        <v>0</v>
      </c>
      <c r="Q189" s="230">
        <f>Q$188*'Ethylene recycling rates'!S98</f>
        <v>0</v>
      </c>
      <c r="R189" s="230">
        <f>R$188*'Ethylene recycling rates'!T98</f>
        <v>0</v>
      </c>
      <c r="S189" s="230">
        <f>S$188*'Ethylene recycling rates'!U98</f>
        <v>0</v>
      </c>
      <c r="T189" s="230">
        <f>T$188*'Ethylene recycling rates'!V98</f>
        <v>0</v>
      </c>
      <c r="U189" s="230">
        <f>U$188*'Ethylene recycling rates'!W98</f>
        <v>0</v>
      </c>
      <c r="V189" s="230">
        <f>V$188*'Ethylene recycling rates'!X98</f>
        <v>0</v>
      </c>
      <c r="W189" s="230">
        <f>W$188*'Ethylene recycling rates'!Y98</f>
        <v>0</v>
      </c>
      <c r="X189" s="230">
        <f>X$188*'Ethylene recycling rates'!Z98</f>
        <v>0</v>
      </c>
      <c r="Y189" s="230">
        <f>Y$188*'Ethylene recycling rates'!AA98</f>
        <v>0</v>
      </c>
      <c r="Z189" s="230">
        <f>Z$188*'Ethylene recycling rates'!AB98</f>
        <v>0</v>
      </c>
      <c r="AA189" s="230">
        <f>AA$188*'Ethylene recycling rates'!AC98</f>
        <v>0</v>
      </c>
      <c r="AB189" s="230">
        <f>AB$188*'Ethylene recycling rates'!AD98</f>
        <v>0</v>
      </c>
      <c r="AC189" s="230">
        <f>AC$188*'Ethylene recycling rates'!AE98</f>
        <v>0</v>
      </c>
      <c r="AD189" s="230">
        <f>AD$188*'Ethylene recycling rates'!AF98</f>
        <v>0</v>
      </c>
      <c r="AE189" s="230">
        <f>AE$188*'Ethylene recycling rates'!AG98</f>
        <v>0</v>
      </c>
      <c r="AF189" s="230">
        <f>AF$188*'Ethylene recycling rates'!AH98</f>
        <v>0</v>
      </c>
      <c r="AG189" s="230">
        <f>AG$188*'Ethylene recycling rates'!AI98</f>
        <v>0</v>
      </c>
      <c r="AH189" s="245"/>
      <c r="AI189" s="133"/>
      <c r="AJ189" s="211"/>
      <c r="AL189" s="108"/>
      <c r="AM189" s="2"/>
      <c r="AN189" s="2"/>
      <c r="AO189" s="2"/>
      <c r="BC189" s="1"/>
      <c r="BD189" s="2"/>
      <c r="BE189" s="2"/>
      <c r="BF189" s="2"/>
      <c r="BG189" s="2"/>
      <c r="BH189" s="2"/>
      <c r="BI189" s="2"/>
      <c r="BJ189" s="2"/>
      <c r="BK189" s="2"/>
    </row>
    <row r="190" spans="1:63" outlineLevel="1">
      <c r="A190" s="4" t="s">
        <v>478</v>
      </c>
      <c r="C190" s="230">
        <f>C$188*'Ethylene recycling rates'!E99</f>
        <v>0</v>
      </c>
      <c r="D190" s="230">
        <f>D$188*'Ethylene recycling rates'!F99</f>
        <v>0</v>
      </c>
      <c r="E190" s="230">
        <f>E$188*'Ethylene recycling rates'!G99</f>
        <v>0</v>
      </c>
      <c r="F190" s="230">
        <f>F$188*'Ethylene recycling rates'!H99</f>
        <v>0</v>
      </c>
      <c r="G190" s="230">
        <f>G$188*'Ethylene recycling rates'!I99</f>
        <v>0</v>
      </c>
      <c r="H190" s="230">
        <f>H$188*'Ethylene recycling rates'!J99</f>
        <v>0</v>
      </c>
      <c r="I190" s="230">
        <f>I$188*'Ethylene recycling rates'!K99</f>
        <v>0</v>
      </c>
      <c r="J190" s="230">
        <f>J$188*'Ethylene recycling rates'!L99</f>
        <v>0</v>
      </c>
      <c r="K190" s="230">
        <f>K$188*'Ethylene recycling rates'!M99</f>
        <v>0</v>
      </c>
      <c r="L190" s="230">
        <f>L$188*'Ethylene recycling rates'!N99</f>
        <v>0</v>
      </c>
      <c r="M190" s="230">
        <f>M$188*'Ethylene recycling rates'!O99</f>
        <v>0</v>
      </c>
      <c r="N190" s="230">
        <f>N$188*'Ethylene recycling rates'!P99</f>
        <v>0</v>
      </c>
      <c r="O190" s="230">
        <f>O$188*'Ethylene recycling rates'!Q99</f>
        <v>0</v>
      </c>
      <c r="P190" s="230">
        <f>P$188*'Ethylene recycling rates'!R99</f>
        <v>0</v>
      </c>
      <c r="Q190" s="230">
        <f>Q$188*'Ethylene recycling rates'!S99</f>
        <v>0</v>
      </c>
      <c r="R190" s="230">
        <f>R$188*'Ethylene recycling rates'!T99</f>
        <v>0</v>
      </c>
      <c r="S190" s="230">
        <f>S$188*'Ethylene recycling rates'!U99</f>
        <v>0</v>
      </c>
      <c r="T190" s="230">
        <f>T$188*'Ethylene recycling rates'!V99</f>
        <v>0</v>
      </c>
      <c r="U190" s="230">
        <f>U$188*'Ethylene recycling rates'!W99</f>
        <v>0</v>
      </c>
      <c r="V190" s="230">
        <f>V$188*'Ethylene recycling rates'!X99</f>
        <v>0</v>
      </c>
      <c r="W190" s="230">
        <f>W$188*'Ethylene recycling rates'!Y99</f>
        <v>0</v>
      </c>
      <c r="X190" s="230">
        <f>X$188*'Ethylene recycling rates'!Z99</f>
        <v>0</v>
      </c>
      <c r="Y190" s="230">
        <f>Y$188*'Ethylene recycling rates'!AA99</f>
        <v>0</v>
      </c>
      <c r="Z190" s="230">
        <f>Z$188*'Ethylene recycling rates'!AB99</f>
        <v>0</v>
      </c>
      <c r="AA190" s="230">
        <f>AA$188*'Ethylene recycling rates'!AC99</f>
        <v>0</v>
      </c>
      <c r="AB190" s="230">
        <f>AB$188*'Ethylene recycling rates'!AD99</f>
        <v>0</v>
      </c>
      <c r="AC190" s="230">
        <f>AC$188*'Ethylene recycling rates'!AE99</f>
        <v>0</v>
      </c>
      <c r="AD190" s="230">
        <f>AD$188*'Ethylene recycling rates'!AF99</f>
        <v>0</v>
      </c>
      <c r="AE190" s="230">
        <f>AE$188*'Ethylene recycling rates'!AG99</f>
        <v>0</v>
      </c>
      <c r="AF190" s="230">
        <f>AF$188*'Ethylene recycling rates'!AH99</f>
        <v>0</v>
      </c>
      <c r="AG190" s="230">
        <f>AG$188*'Ethylene recycling rates'!AI99</f>
        <v>0</v>
      </c>
      <c r="AH190" s="245"/>
      <c r="AI190" s="133"/>
      <c r="AJ190" s="211"/>
      <c r="AL190" s="108"/>
      <c r="AM190" s="2"/>
      <c r="AN190" s="2"/>
      <c r="AO190" s="2"/>
      <c r="BC190" s="1"/>
      <c r="BD190" s="2"/>
      <c r="BE190" s="2"/>
      <c r="BF190" s="2"/>
      <c r="BG190" s="2"/>
      <c r="BH190" s="2"/>
      <c r="BI190" s="2"/>
      <c r="BJ190" s="2"/>
      <c r="BK190" s="2"/>
    </row>
    <row r="191" spans="1:63" outlineLevel="1">
      <c r="A191" s="4" t="s">
        <v>480</v>
      </c>
      <c r="C191" s="230">
        <f>C$188*'Ethylene recycling rates'!E100</f>
        <v>0</v>
      </c>
      <c r="D191" s="230">
        <f>D$188*'Ethylene recycling rates'!F100</f>
        <v>0</v>
      </c>
      <c r="E191" s="230">
        <f>E$188*'Ethylene recycling rates'!G100</f>
        <v>0</v>
      </c>
      <c r="F191" s="230">
        <f>F$188*'Ethylene recycling rates'!H100</f>
        <v>0</v>
      </c>
      <c r="G191" s="230">
        <f>G$188*'Ethylene recycling rates'!I100</f>
        <v>0</v>
      </c>
      <c r="H191" s="230">
        <f>H$188*'Ethylene recycling rates'!J100</f>
        <v>0</v>
      </c>
      <c r="I191" s="230">
        <f>I$188*'Ethylene recycling rates'!K100</f>
        <v>0</v>
      </c>
      <c r="J191" s="230">
        <f>J$188*'Ethylene recycling rates'!L100</f>
        <v>0</v>
      </c>
      <c r="K191" s="230">
        <f>K$188*'Ethylene recycling rates'!M100</f>
        <v>0</v>
      </c>
      <c r="L191" s="230">
        <f>L$188*'Ethylene recycling rates'!N100</f>
        <v>0</v>
      </c>
      <c r="M191" s="230">
        <f>M$188*'Ethylene recycling rates'!O100</f>
        <v>0</v>
      </c>
      <c r="N191" s="230">
        <f>N$188*'Ethylene recycling rates'!P100</f>
        <v>0</v>
      </c>
      <c r="O191" s="230">
        <f>O$188*'Ethylene recycling rates'!Q100</f>
        <v>0</v>
      </c>
      <c r="P191" s="230">
        <f>P$188*'Ethylene recycling rates'!R100</f>
        <v>0</v>
      </c>
      <c r="Q191" s="230">
        <f>Q$188*'Ethylene recycling rates'!S100</f>
        <v>0</v>
      </c>
      <c r="R191" s="230">
        <f>R$188*'Ethylene recycling rates'!T100</f>
        <v>0</v>
      </c>
      <c r="S191" s="230">
        <f>S$188*'Ethylene recycling rates'!U100</f>
        <v>0</v>
      </c>
      <c r="T191" s="230">
        <f>T$188*'Ethylene recycling rates'!V100</f>
        <v>0</v>
      </c>
      <c r="U191" s="230">
        <f>U$188*'Ethylene recycling rates'!W100</f>
        <v>0</v>
      </c>
      <c r="V191" s="230">
        <f>V$188*'Ethylene recycling rates'!X100</f>
        <v>0</v>
      </c>
      <c r="W191" s="230">
        <f>W$188*'Ethylene recycling rates'!Y100</f>
        <v>0</v>
      </c>
      <c r="X191" s="230">
        <f>X$188*'Ethylene recycling rates'!Z100</f>
        <v>0</v>
      </c>
      <c r="Y191" s="230">
        <f>Y$188*'Ethylene recycling rates'!AA100</f>
        <v>0</v>
      </c>
      <c r="Z191" s="230">
        <f>Z$188*'Ethylene recycling rates'!AB100</f>
        <v>0</v>
      </c>
      <c r="AA191" s="230">
        <f>AA$188*'Ethylene recycling rates'!AC100</f>
        <v>0</v>
      </c>
      <c r="AB191" s="230">
        <f>AB$188*'Ethylene recycling rates'!AD100</f>
        <v>0</v>
      </c>
      <c r="AC191" s="230">
        <f>AC$188*'Ethylene recycling rates'!AE100</f>
        <v>0</v>
      </c>
      <c r="AD191" s="230">
        <f>AD$188*'Ethylene recycling rates'!AF100</f>
        <v>0</v>
      </c>
      <c r="AE191" s="230">
        <f>AE$188*'Ethylene recycling rates'!AG100</f>
        <v>0</v>
      </c>
      <c r="AF191" s="230">
        <f>AF$188*'Ethylene recycling rates'!AH100</f>
        <v>0</v>
      </c>
      <c r="AG191" s="230">
        <f>AG$188*'Ethylene recycling rates'!AI100</f>
        <v>0</v>
      </c>
      <c r="AH191" s="245"/>
      <c r="AI191" s="133"/>
      <c r="AJ191" s="211"/>
      <c r="AL191" s="108"/>
      <c r="AM191" s="2"/>
      <c r="AN191" s="2"/>
      <c r="AO191" s="2"/>
      <c r="BC191" s="1"/>
      <c r="BD191" s="2"/>
      <c r="BE191" s="2"/>
      <c r="BF191" s="2"/>
      <c r="BG191" s="2"/>
      <c r="BH191" s="2"/>
      <c r="BI191" s="2"/>
      <c r="BJ191" s="2"/>
      <c r="BK191" s="2"/>
    </row>
    <row r="192" spans="1:63" outlineLevel="1">
      <c r="A192" s="4" t="s">
        <v>474</v>
      </c>
      <c r="C192" s="230">
        <f>C$188*'Ethylene recycling rates'!E101</f>
        <v>0.24896829503062248</v>
      </c>
      <c r="D192" s="230">
        <f>D$188*'Ethylene recycling rates'!F101</f>
        <v>0.26599912002019949</v>
      </c>
      <c r="E192" s="230">
        <f>E$188*'Ethylene recycling rates'!G101</f>
        <v>0.2829502301520721</v>
      </c>
      <c r="F192" s="230">
        <f>F$188*'Ethylene recycling rates'!H101</f>
        <v>0.29970277254593269</v>
      </c>
      <c r="G192" s="230">
        <f>G$188*'Ethylene recycling rates'!I101</f>
        <v>0.31613537555812332</v>
      </c>
      <c r="H192" s="230">
        <f>H$188*'Ethylene recycling rates'!J101</f>
        <v>0.33212560117267204</v>
      </c>
      <c r="I192" s="230">
        <f>I$188*'Ethylene recycling rates'!K101</f>
        <v>0.3483012834951979</v>
      </c>
      <c r="J192" s="230">
        <f>J$188*'Ethylene recycling rates'!L101</f>
        <v>0.36464203285836</v>
      </c>
      <c r="K192" s="230">
        <f>K$188*'Ethylene recycling rates'!M101</f>
        <v>0.38112656517978116</v>
      </c>
      <c r="L192" s="230">
        <f>L$188*'Ethylene recycling rates'!N101</f>
        <v>0.39773273493118644</v>
      </c>
      <c r="M192" s="230">
        <f>M$188*'Ethylene recycling rates'!O101</f>
        <v>0.41443757168803141</v>
      </c>
      <c r="N192" s="230">
        <f>N$188*'Ethylene recycling rates'!P101</f>
        <v>0.44450238590199498</v>
      </c>
      <c r="O192" s="230">
        <f>O$188*'Ethylene recycling rates'!Q101</f>
        <v>0.47411629917433978</v>
      </c>
      <c r="P192" s="230">
        <f>P$188*'Ethylene recycling rates'!R101</f>
        <v>0.50310365891926379</v>
      </c>
      <c r="Q192" s="230">
        <f>Q$188*'Ethylene recycling rates'!S101</f>
        <v>0.53128996494121705</v>
      </c>
      <c r="R192" s="230">
        <f>R$188*'Ethylene recycling rates'!T101</f>
        <v>0.55850359243652248</v>
      </c>
      <c r="S192" s="230">
        <f>S$188*'Ethylene recycling rates'!U101</f>
        <v>0.58563072750550405</v>
      </c>
      <c r="T192" s="230">
        <f>T$188*'Ethylene recycling rates'!V101</f>
        <v>0.61265284820172528</v>
      </c>
      <c r="U192" s="230">
        <f>U$188*'Ethylene recycling rates'!W101</f>
        <v>0.63955121035657536</v>
      </c>
      <c r="V192" s="230">
        <f>V$188*'Ethylene recycling rates'!X101</f>
        <v>0.66630685822094071</v>
      </c>
      <c r="W192" s="230">
        <f>W$188*'Ethylene recycling rates'!Y101</f>
        <v>0.69290063544167124</v>
      </c>
      <c r="X192" s="230">
        <f>X$188*'Ethylene recycling rates'!Z101</f>
        <v>0.73738706287700839</v>
      </c>
      <c r="Y192" s="230">
        <f>Y$188*'Ethylene recycling rates'!AA101</f>
        <v>0.78165211064500373</v>
      </c>
      <c r="Z192" s="230">
        <f>Z$188*'Ethylene recycling rates'!AB101</f>
        <v>0.82566524513844408</v>
      </c>
      <c r="AA192" s="230">
        <f>AA$188*'Ethylene recycling rates'!AC101</f>
        <v>0.8693956205062674</v>
      </c>
      <c r="AB192" s="230">
        <f>AB$188*'Ethylene recycling rates'!AD101</f>
        <v>0.91281209514291783</v>
      </c>
      <c r="AC192" s="230">
        <f>AC$188*'Ethylene recycling rates'!AE101</f>
        <v>0.955892285780089</v>
      </c>
      <c r="AD192" s="230">
        <f>AD$188*'Ethylene recycling rates'!AF101</f>
        <v>0.99860573426635768</v>
      </c>
      <c r="AE192" s="230">
        <f>AE$188*'Ethylene recycling rates'!AG101</f>
        <v>1.0409217181030337</v>
      </c>
      <c r="AF192" s="230">
        <f>AF$188*'Ethylene recycling rates'!AH101</f>
        <v>1.0828092656641721</v>
      </c>
      <c r="AG192" s="230">
        <f>AG$188*'Ethylene recycling rates'!AI101</f>
        <v>1.1242371717963493</v>
      </c>
      <c r="AH192" s="245"/>
      <c r="AI192" s="133"/>
      <c r="AJ192" s="211"/>
      <c r="AL192" s="108"/>
      <c r="AM192" s="2"/>
      <c r="AN192" s="2"/>
      <c r="AO192" s="2"/>
      <c r="BC192" s="1"/>
      <c r="BD192" s="2"/>
      <c r="BE192" s="2"/>
      <c r="BF192" s="2"/>
      <c r="BG192" s="2"/>
      <c r="BH192" s="2"/>
      <c r="BI192" s="2"/>
      <c r="BJ192" s="2"/>
      <c r="BK192" s="2"/>
    </row>
    <row r="193" spans="1:63" outlineLevel="1">
      <c r="A193" s="4" t="s">
        <v>248</v>
      </c>
      <c r="C193" s="230">
        <f>C$188*'Ethylene recycling rates'!E102</f>
        <v>4.1507753507003725E-2</v>
      </c>
      <c r="D193" s="230">
        <f>D$188*'Ethylene recycling rates'!F102</f>
        <v>4.4347116188108701E-2</v>
      </c>
      <c r="E193" s="230">
        <f>E$188*'Ethylene recycling rates'!G102</f>
        <v>4.7173188885185645E-2</v>
      </c>
      <c r="F193" s="230">
        <f>F$188*'Ethylene recycling rates'!H102</f>
        <v>4.9966156560907041E-2</v>
      </c>
      <c r="G193" s="230">
        <f>G$188*'Ethylene recycling rates'!I102</f>
        <v>5.2705784252154074E-2</v>
      </c>
      <c r="H193" s="230">
        <f>H$188*'Ethylene recycling rates'!J102</f>
        <v>5.5371659211246482E-2</v>
      </c>
      <c r="I193" s="230">
        <f>I$188*'Ethylene recycling rates'!K102</f>
        <v>5.8068453333439504E-2</v>
      </c>
      <c r="J193" s="230">
        <f>J$188*'Ethylene recycling rates'!L102</f>
        <v>6.0792767273101712E-2</v>
      </c>
      <c r="K193" s="230">
        <f>K$188*'Ethylene recycling rates'!M102</f>
        <v>6.3541052568591355E-2</v>
      </c>
      <c r="L193" s="230">
        <f>L$188*'Ethylene recycling rates'!N102</f>
        <v>6.6309617138839191E-2</v>
      </c>
      <c r="M193" s="230">
        <f>M$188*'Ethylene recycling rates'!O102</f>
        <v>6.9094631376867263E-2</v>
      </c>
      <c r="N193" s="230">
        <f>N$188*'Ethylene recycling rates'!P102</f>
        <v>7.4107008143449407E-2</v>
      </c>
      <c r="O193" s="230">
        <f>O$188*'Ethylene recycling rates'!Q102</f>
        <v>7.9044211140863532E-2</v>
      </c>
      <c r="P193" s="230">
        <f>P$188*'Ethylene recycling rates'!R102</f>
        <v>8.3876955739781864E-2</v>
      </c>
      <c r="Q193" s="230">
        <f>Q$188*'Ethylene recycling rates'!S102</f>
        <v>8.8576149436265628E-2</v>
      </c>
      <c r="R193" s="230">
        <f>R$188*'Ethylene recycling rates'!T102</f>
        <v>9.3113179108929855E-2</v>
      </c>
      <c r="S193" s="230">
        <f>S$188*'Ethylene recycling rates'!U102</f>
        <v>9.7635788847876714E-2</v>
      </c>
      <c r="T193" s="230">
        <f>T$188*'Ethylene recycling rates'!V102</f>
        <v>0.10214089069209867</v>
      </c>
      <c r="U193" s="230">
        <f>U$188*'Ethylene recycling rates'!W102</f>
        <v>0.10662535963192214</v>
      </c>
      <c r="V193" s="230">
        <f>V$188*'Ethylene recycling rates'!X102</f>
        <v>0.11108603538317663</v>
      </c>
      <c r="W193" s="230">
        <f>W$188*'Ethylene recycling rates'!Y102</f>
        <v>0.1155197242171805</v>
      </c>
      <c r="X193" s="230">
        <f>X$188*'Ethylene recycling rates'!Z102</f>
        <v>0.12293645840080844</v>
      </c>
      <c r="Y193" s="230">
        <f>Y$188*'Ethylene recycling rates'!AA102</f>
        <v>0.13031628438027182</v>
      </c>
      <c r="Z193" s="230">
        <f>Z$188*'Ethylene recycling rates'!AB102</f>
        <v>0.1376541116220884</v>
      </c>
      <c r="AA193" s="230">
        <f>AA$188*'Ethylene recycling rates'!AC102</f>
        <v>0.14494479753578315</v>
      </c>
      <c r="AB193" s="230">
        <f>AB$188*'Ethylene recycling rates'!AD102</f>
        <v>0.15218315022297774</v>
      </c>
      <c r="AC193" s="230">
        <f>AC$188*'Ethylene recycling rates'!AE102</f>
        <v>0.15936543796681474</v>
      </c>
      <c r="AD193" s="230">
        <f>AD$188*'Ethylene recycling rates'!AF102</f>
        <v>0.16648658281372816</v>
      </c>
      <c r="AE193" s="230">
        <f>AE$188*'Ethylene recycling rates'!AG102</f>
        <v>0.1735414627384313</v>
      </c>
      <c r="AF193" s="230">
        <f>AF$188*'Ethylene recycling rates'!AH102</f>
        <v>0.18052491418138222</v>
      </c>
      <c r="AG193" s="230">
        <f>AG$188*'Ethylene recycling rates'!AI102</f>
        <v>0.18743173464956342</v>
      </c>
      <c r="AH193" s="245"/>
      <c r="AI193" s="133"/>
      <c r="AJ193" s="211"/>
      <c r="AL193" s="108"/>
      <c r="AM193" s="2"/>
      <c r="AN193" s="2"/>
      <c r="AO193" s="2"/>
      <c r="BC193" s="1"/>
      <c r="BD193" s="2"/>
      <c r="BE193" s="2"/>
      <c r="BF193" s="2"/>
      <c r="BG193" s="2"/>
      <c r="BH193" s="2"/>
      <c r="BI193" s="2"/>
      <c r="BJ193" s="2"/>
      <c r="BK193" s="2"/>
    </row>
    <row r="194" spans="1:63" outlineLevel="1">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J194" s="211"/>
    </row>
    <row r="195" spans="1:63" s="200" customFormat="1" ht="16" thickBot="1">
      <c r="A195" s="200" t="s">
        <v>1347</v>
      </c>
      <c r="B195" s="215"/>
      <c r="C195" s="224">
        <f>C196</f>
        <v>1.6E-2</v>
      </c>
      <c r="D195" s="224">
        <f t="shared" ref="D195" si="160">D196</f>
        <v>2.329547397581962E-2</v>
      </c>
      <c r="E195" s="224">
        <f t="shared" ref="E195" si="161">E196</f>
        <v>3.059094795163924E-2</v>
      </c>
      <c r="F195" s="224">
        <f t="shared" ref="F195" si="162">F196</f>
        <v>3.7886421927458863E-2</v>
      </c>
      <c r="G195" s="224">
        <f t="shared" ref="G195" si="163">G196</f>
        <v>4.5181895903278479E-2</v>
      </c>
      <c r="H195" s="224">
        <f t="shared" ref="H195" si="164">H196</f>
        <v>5.2477369879098103E-2</v>
      </c>
      <c r="I195" s="224">
        <f t="shared" ref="I195" si="165">I196</f>
        <v>5.9772843854917726E-2</v>
      </c>
      <c r="J195" s="224">
        <f t="shared" ref="J195" si="166">J196</f>
        <v>6.7068317830737342E-2</v>
      </c>
      <c r="K195" s="224">
        <f t="shared" ref="K195" si="167">K196</f>
        <v>7.4363791806556973E-2</v>
      </c>
      <c r="L195" s="224">
        <f t="shared" ref="L195" si="168">L196</f>
        <v>8.1659265782376589E-2</v>
      </c>
      <c r="M195" s="224">
        <f t="shared" ref="M195" si="169">M196</f>
        <v>8.8954739758196205E-2</v>
      </c>
      <c r="N195" s="224">
        <f t="shared" ref="N195" si="170">N196</f>
        <v>0.10433135413800063</v>
      </c>
      <c r="O195" s="224">
        <f t="shared" ref="O195" si="171">O196</f>
        <v>0.11970796851780505</v>
      </c>
      <c r="P195" s="224">
        <f t="shared" ref="P195" si="172">P196</f>
        <v>0.1350845828976095</v>
      </c>
      <c r="Q195" s="224">
        <f t="shared" ref="Q195" si="173">Q196</f>
        <v>0.15046119727741392</v>
      </c>
      <c r="R195" s="224">
        <f t="shared" ref="R195" si="174">R196</f>
        <v>0.16583781165721834</v>
      </c>
      <c r="S195" s="224">
        <f t="shared" ref="S195" si="175">S196</f>
        <v>0.18121442603702276</v>
      </c>
      <c r="T195" s="224">
        <f t="shared" ref="T195" si="176">T196</f>
        <v>0.19659104041682718</v>
      </c>
      <c r="U195" s="224">
        <f t="shared" ref="U195" si="177">U196</f>
        <v>0.2119676547966316</v>
      </c>
      <c r="V195" s="224">
        <f t="shared" ref="V195" si="178">V196</f>
        <v>0.22734426917643602</v>
      </c>
      <c r="W195" s="224">
        <f t="shared" ref="W195" si="179">W196</f>
        <v>0.24272088355624044</v>
      </c>
      <c r="X195" s="224">
        <f t="shared" ref="X195" si="180">X196</f>
        <v>0.26844879520061637</v>
      </c>
      <c r="Y195" s="224">
        <f t="shared" ref="Y195" si="181">Y196</f>
        <v>0.29417670684499236</v>
      </c>
      <c r="Z195" s="224">
        <f t="shared" ref="Z195" si="182">Z196</f>
        <v>0.3199046184893683</v>
      </c>
      <c r="AA195" s="224">
        <f t="shared" ref="AA195" si="183">AA196</f>
        <v>0.34563253013374429</v>
      </c>
      <c r="AB195" s="224">
        <f t="shared" ref="AB195" si="184">AB196</f>
        <v>0.37136044177812022</v>
      </c>
      <c r="AC195" s="224">
        <f t="shared" ref="AC195" si="185">AC196</f>
        <v>0.39708835342249615</v>
      </c>
      <c r="AD195" s="224">
        <f t="shared" ref="AD195" si="186">AD196</f>
        <v>0.42281626506687209</v>
      </c>
      <c r="AE195" s="224">
        <f t="shared" ref="AE195" si="187">AE196</f>
        <v>0.44854417671124808</v>
      </c>
      <c r="AF195" s="224">
        <f t="shared" ref="AF195" si="188">AF196</f>
        <v>0.47427208835562407</v>
      </c>
      <c r="AG195" s="224">
        <f t="shared" ref="AG195" si="189">AG196</f>
        <v>0.5</v>
      </c>
      <c r="AJ195" s="231" t="s">
        <v>1312</v>
      </c>
      <c r="AL195" s="217"/>
      <c r="AM195" s="225"/>
      <c r="AN195" s="225"/>
      <c r="AO195" s="225"/>
    </row>
    <row r="196" spans="1:63" ht="16" outlineLevel="1" thickTop="1">
      <c r="A196" t="s">
        <v>1348</v>
      </c>
      <c r="B196" s="54" t="s">
        <v>462</v>
      </c>
      <c r="C196" s="113">
        <v>1.6E-2</v>
      </c>
      <c r="D196" s="110">
        <f>$C196+($M196-$C196)/10*(D$1-$C$1)</f>
        <v>2.329547397581962E-2</v>
      </c>
      <c r="E196" s="110">
        <f t="shared" ref="E196:L196" si="190">$C196+($M196-$C196)/10*(E$1-$C$1)</f>
        <v>3.059094795163924E-2</v>
      </c>
      <c r="F196" s="110">
        <f t="shared" si="190"/>
        <v>3.7886421927458863E-2</v>
      </c>
      <c r="G196" s="110">
        <f t="shared" si="190"/>
        <v>4.5181895903278479E-2</v>
      </c>
      <c r="H196" s="110">
        <f t="shared" si="190"/>
        <v>5.2477369879098103E-2</v>
      </c>
      <c r="I196" s="110">
        <f t="shared" si="190"/>
        <v>5.9772843854917726E-2</v>
      </c>
      <c r="J196" s="110">
        <f t="shared" si="190"/>
        <v>6.7068317830737342E-2</v>
      </c>
      <c r="K196" s="110">
        <f t="shared" si="190"/>
        <v>7.4363791806556973E-2</v>
      </c>
      <c r="L196" s="110">
        <f t="shared" si="190"/>
        <v>8.1659265782376589E-2</v>
      </c>
      <c r="M196" s="121">
        <f>(M$55-$C$55)/($AG$55-$C$55)*($AG196-$C196)+$C196</f>
        <v>8.8954739758196205E-2</v>
      </c>
      <c r="N196" s="121">
        <f>$M196+($W196-$M196)/10*(N$1-$M$1)</f>
        <v>0.10433135413800063</v>
      </c>
      <c r="O196" s="121">
        <f t="shared" ref="O196:U196" si="191">$M196+($W196-$M196)/10*(O$1-$M$1)</f>
        <v>0.11970796851780505</v>
      </c>
      <c r="P196" s="121">
        <f t="shared" si="191"/>
        <v>0.1350845828976095</v>
      </c>
      <c r="Q196" s="121">
        <f t="shared" si="191"/>
        <v>0.15046119727741392</v>
      </c>
      <c r="R196" s="121">
        <f t="shared" si="191"/>
        <v>0.16583781165721834</v>
      </c>
      <c r="S196" s="121">
        <f t="shared" si="191"/>
        <v>0.18121442603702276</v>
      </c>
      <c r="T196" s="121">
        <f t="shared" si="191"/>
        <v>0.19659104041682718</v>
      </c>
      <c r="U196" s="121">
        <f t="shared" si="191"/>
        <v>0.2119676547966316</v>
      </c>
      <c r="V196" s="121">
        <f>$M196+($W196-$M196)/10*(V$1-$M$1)</f>
        <v>0.22734426917643602</v>
      </c>
      <c r="W196" s="121">
        <f>(W$55-$C$55)/($AG$55-$C$55)*($AG196-$C196)+$C196</f>
        <v>0.24272088355624044</v>
      </c>
      <c r="X196" s="23">
        <f t="shared" ref="X196:AF196" si="192">$W196+($AG196-$W196)/10*(X$1-$W$1)</f>
        <v>0.26844879520061637</v>
      </c>
      <c r="Y196" s="23">
        <f t="shared" si="192"/>
        <v>0.29417670684499236</v>
      </c>
      <c r="Z196" s="23">
        <f t="shared" si="192"/>
        <v>0.3199046184893683</v>
      </c>
      <c r="AA196" s="23">
        <f t="shared" si="192"/>
        <v>0.34563253013374429</v>
      </c>
      <c r="AB196" s="23">
        <f t="shared" si="192"/>
        <v>0.37136044177812022</v>
      </c>
      <c r="AC196" s="23">
        <f t="shared" si="192"/>
        <v>0.39708835342249615</v>
      </c>
      <c r="AD196" s="23">
        <f t="shared" si="192"/>
        <v>0.42281626506687209</v>
      </c>
      <c r="AE196" s="23">
        <f t="shared" si="192"/>
        <v>0.44854417671124808</v>
      </c>
      <c r="AF196" s="23">
        <f t="shared" si="192"/>
        <v>0.47427208835562407</v>
      </c>
      <c r="AG196" s="106">
        <v>0.5</v>
      </c>
      <c r="AJ196" s="211" t="s">
        <v>1458</v>
      </c>
    </row>
    <row r="197" spans="1:63" outlineLevel="1">
      <c r="C197" s="113"/>
      <c r="D197" s="110"/>
      <c r="E197" s="110"/>
      <c r="F197" s="110"/>
      <c r="G197" s="110"/>
      <c r="H197" s="110"/>
      <c r="I197" s="110"/>
      <c r="J197" s="110"/>
      <c r="K197" s="110"/>
      <c r="L197" s="110"/>
      <c r="M197" s="121"/>
      <c r="N197" s="121"/>
      <c r="O197" s="121"/>
      <c r="P197" s="121"/>
      <c r="Q197" s="121"/>
      <c r="R197" s="121"/>
      <c r="S197" s="121"/>
      <c r="T197" s="121"/>
      <c r="U197" s="121"/>
      <c r="V197" s="121"/>
      <c r="W197" s="121"/>
      <c r="X197" s="23"/>
      <c r="Y197" s="23"/>
      <c r="Z197" s="23"/>
      <c r="AA197" s="23"/>
      <c r="AB197" s="23"/>
      <c r="AC197" s="23"/>
      <c r="AD197" s="23"/>
      <c r="AE197" s="23"/>
      <c r="AF197" s="23"/>
      <c r="AG197" s="106"/>
      <c r="AJ197" s="211"/>
    </row>
    <row r="198" spans="1:63" outlineLevel="1">
      <c r="A198" t="s">
        <v>1434</v>
      </c>
      <c r="C198" s="382">
        <f>'Overall recycling rates'!C85</f>
        <v>1.2160414039615226</v>
      </c>
      <c r="D198" s="382">
        <f>C198-($C198-$AG198)/($AG1-$C1)</f>
        <v>1.2121733571628053</v>
      </c>
      <c r="E198" s="382">
        <f t="shared" ref="E198:AF198" si="193">D198-($C198-$AG198)/($AG1-$C1)</f>
        <v>1.2083053103640879</v>
      </c>
      <c r="F198" s="382">
        <f t="shared" si="193"/>
        <v>1.2044372635653706</v>
      </c>
      <c r="G198" s="382">
        <f t="shared" si="193"/>
        <v>1.2005692167666533</v>
      </c>
      <c r="H198" s="382">
        <f t="shared" si="193"/>
        <v>1.196701169967936</v>
      </c>
      <c r="I198" s="382">
        <f t="shared" si="193"/>
        <v>1.1928331231692186</v>
      </c>
      <c r="J198" s="382">
        <f t="shared" si="193"/>
        <v>1.1889650763705013</v>
      </c>
      <c r="K198" s="382">
        <f t="shared" si="193"/>
        <v>1.185097029571784</v>
      </c>
      <c r="L198" s="382">
        <f t="shared" si="193"/>
        <v>1.1812289827730666</v>
      </c>
      <c r="M198" s="382">
        <f t="shared" si="193"/>
        <v>1.1773609359743493</v>
      </c>
      <c r="N198" s="382">
        <f t="shared" si="193"/>
        <v>1.173492889175632</v>
      </c>
      <c r="O198" s="382">
        <f t="shared" si="193"/>
        <v>1.1696248423769147</v>
      </c>
      <c r="P198" s="382">
        <f t="shared" si="193"/>
        <v>1.1657567955781973</v>
      </c>
      <c r="Q198" s="382">
        <f t="shared" si="193"/>
        <v>1.16188874877948</v>
      </c>
      <c r="R198" s="382">
        <f t="shared" si="193"/>
        <v>1.1580207019807627</v>
      </c>
      <c r="S198" s="382">
        <f t="shared" si="193"/>
        <v>1.1541526551820454</v>
      </c>
      <c r="T198" s="382">
        <f t="shared" si="193"/>
        <v>1.150284608383328</v>
      </c>
      <c r="U198" s="382">
        <f t="shared" si="193"/>
        <v>1.1464165615846107</v>
      </c>
      <c r="V198" s="382">
        <f t="shared" si="193"/>
        <v>1.1425485147858934</v>
      </c>
      <c r="W198" s="382">
        <f t="shared" si="193"/>
        <v>1.138680467987176</v>
      </c>
      <c r="X198" s="382">
        <f t="shared" si="193"/>
        <v>1.1348124211884587</v>
      </c>
      <c r="Y198" s="382">
        <f t="shared" si="193"/>
        <v>1.1309443743897414</v>
      </c>
      <c r="Z198" s="382">
        <f t="shared" si="193"/>
        <v>1.1270763275910241</v>
      </c>
      <c r="AA198" s="382">
        <f t="shared" si="193"/>
        <v>1.1232082807923067</v>
      </c>
      <c r="AB198" s="382">
        <f t="shared" si="193"/>
        <v>1.1193402339935894</v>
      </c>
      <c r="AC198" s="382">
        <f t="shared" si="193"/>
        <v>1.1154721871948721</v>
      </c>
      <c r="AD198" s="382">
        <f t="shared" si="193"/>
        <v>1.1116041403961547</v>
      </c>
      <c r="AE198" s="382">
        <f t="shared" si="193"/>
        <v>1.1077360935974374</v>
      </c>
      <c r="AF198" s="382">
        <f t="shared" si="193"/>
        <v>1.1038680467987201</v>
      </c>
      <c r="AG198" s="382">
        <f>'Overall recycling rates'!C94</f>
        <v>1.1000000000000001</v>
      </c>
      <c r="AI198" s="133"/>
      <c r="AJ198" s="211" t="s">
        <v>1459</v>
      </c>
      <c r="AL198" s="108"/>
      <c r="AM198" s="2"/>
      <c r="AN198" s="2"/>
      <c r="AO198" s="2"/>
      <c r="BC198" s="1"/>
      <c r="BD198" s="2"/>
      <c r="BE198" s="2"/>
      <c r="BF198" s="2"/>
      <c r="BG198" s="2"/>
      <c r="BH198" s="2"/>
      <c r="BI198" s="2"/>
      <c r="BJ198" s="2"/>
      <c r="BK198" s="2"/>
    </row>
    <row r="199" spans="1:63" outlineLevel="1">
      <c r="A199" t="s">
        <v>1350</v>
      </c>
      <c r="B199" s="54" t="s">
        <v>462</v>
      </c>
      <c r="C199" s="110">
        <f>C196*C198</f>
        <v>1.9456662463384362E-2</v>
      </c>
      <c r="D199" s="110">
        <f t="shared" ref="D199:AG199" si="194">D196*D198</f>
        <v>2.8238152895968031E-2</v>
      </c>
      <c r="E199" s="110">
        <f t="shared" si="194"/>
        <v>3.6963204859037112E-2</v>
      </c>
      <c r="F199" s="110">
        <f t="shared" si="194"/>
        <v>4.5631818352591606E-2</v>
      </c>
      <c r="G199" s="110">
        <f t="shared" si="194"/>
        <v>5.4243993376631508E-2</v>
      </c>
      <c r="H199" s="110">
        <f t="shared" si="194"/>
        <v>6.2799729931156817E-2</v>
      </c>
      <c r="I199" s="110">
        <f t="shared" si="194"/>
        <v>7.1299028016167554E-2</v>
      </c>
      <c r="J199" s="110">
        <f t="shared" si="194"/>
        <v>7.9741887631663677E-2</v>
      </c>
      <c r="K199" s="110">
        <f t="shared" si="194"/>
        <v>8.8128308777645242E-2</v>
      </c>
      <c r="L199" s="110">
        <f t="shared" si="194"/>
        <v>9.645829145411218E-2</v>
      </c>
      <c r="M199" s="110">
        <f t="shared" si="194"/>
        <v>0.10473183566106455</v>
      </c>
      <c r="N199" s="110">
        <f t="shared" si="194"/>
        <v>0.12243210219900838</v>
      </c>
      <c r="O199" s="110">
        <f t="shared" si="194"/>
        <v>0.1400134138088984</v>
      </c>
      <c r="P199" s="110">
        <f t="shared" si="194"/>
        <v>0.15747577049073461</v>
      </c>
      <c r="Q199" s="110">
        <f t="shared" si="194"/>
        <v>0.17481917224451696</v>
      </c>
      <c r="R199" s="110">
        <f t="shared" si="194"/>
        <v>0.19204361907024547</v>
      </c>
      <c r="S199" s="110">
        <f t="shared" si="194"/>
        <v>0.20914911096792019</v>
      </c>
      <c r="T199" s="110">
        <f t="shared" si="194"/>
        <v>0.22613564793754107</v>
      </c>
      <c r="U199" s="110">
        <f t="shared" si="194"/>
        <v>0.24300322997910812</v>
      </c>
      <c r="V199" s="110">
        <f t="shared" si="194"/>
        <v>0.25975185709262133</v>
      </c>
      <c r="W199" s="110">
        <f t="shared" si="194"/>
        <v>0.27638152927808074</v>
      </c>
      <c r="X199" s="110">
        <f t="shared" si="194"/>
        <v>0.30463902724673614</v>
      </c>
      <c r="Y199" s="110">
        <f t="shared" si="194"/>
        <v>0.33269749168284424</v>
      </c>
      <c r="Z199" s="110">
        <f t="shared" si="194"/>
        <v>0.36055692258640482</v>
      </c>
      <c r="AA199" s="110">
        <f t="shared" si="194"/>
        <v>0.38821731995741809</v>
      </c>
      <c r="AB199" s="110">
        <f t="shared" si="194"/>
        <v>0.4156786837958838</v>
      </c>
      <c r="AC199" s="110">
        <f t="shared" si="194"/>
        <v>0.44294101410180214</v>
      </c>
      <c r="AD199" s="110">
        <f t="shared" si="194"/>
        <v>0.47000431087517308</v>
      </c>
      <c r="AE199" s="110">
        <f t="shared" si="194"/>
        <v>0.49686857411599661</v>
      </c>
      <c r="AF199" s="110">
        <f t="shared" si="194"/>
        <v>0.52353380382427273</v>
      </c>
      <c r="AG199" s="110">
        <f t="shared" si="194"/>
        <v>0.55000000000000004</v>
      </c>
      <c r="AJ199" s="211" t="s">
        <v>1349</v>
      </c>
    </row>
    <row r="200" spans="1:63" outlineLevel="1">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I200" s="134"/>
      <c r="AJ200" s="211"/>
      <c r="BC200" s="1"/>
      <c r="BD200" s="41"/>
      <c r="BF200" s="6"/>
      <c r="BG200" s="6"/>
      <c r="BH200" s="6"/>
      <c r="BI200" s="6"/>
      <c r="BJ200" s="6"/>
    </row>
    <row r="201" spans="1:63" s="1" customFormat="1" outlineLevel="1">
      <c r="A201" s="1" t="s">
        <v>228</v>
      </c>
      <c r="B201" s="65"/>
      <c r="C201" s="300">
        <f>C199*C47</f>
        <v>0.11192716725632186</v>
      </c>
      <c r="D201" s="300">
        <f t="shared" ref="D201:AG201" si="195">D199*D47</f>
        <v>0.16788928069684539</v>
      </c>
      <c r="E201" s="300">
        <f t="shared" si="195"/>
        <v>0.22653695319615003</v>
      </c>
      <c r="F201" s="300">
        <f t="shared" si="195"/>
        <v>0.28753052219178854</v>
      </c>
      <c r="G201" s="300">
        <f t="shared" si="195"/>
        <v>0.35049298007661572</v>
      </c>
      <c r="H201" s="300">
        <f t="shared" si="195"/>
        <v>0.41501372159137973</v>
      </c>
      <c r="I201" s="300">
        <f t="shared" si="195"/>
        <v>0.48168991855239918</v>
      </c>
      <c r="J201" s="300">
        <f t="shared" si="195"/>
        <v>0.55049292627817148</v>
      </c>
      <c r="K201" s="300">
        <f t="shared" si="195"/>
        <v>0.62138923278154179</v>
      </c>
      <c r="L201" s="300">
        <f t="shared" si="195"/>
        <v>0.69434041014349734</v>
      </c>
      <c r="M201" s="300">
        <f t="shared" si="195"/>
        <v>0.76930307884797655</v>
      </c>
      <c r="N201" s="300">
        <f t="shared" si="195"/>
        <v>0.91596558780270521</v>
      </c>
      <c r="O201" s="300">
        <f t="shared" si="195"/>
        <v>1.0648688463429934</v>
      </c>
      <c r="P201" s="300">
        <f t="shared" si="195"/>
        <v>1.2152305484579735</v>
      </c>
      <c r="Q201" s="300">
        <f t="shared" si="195"/>
        <v>1.3662387142532544</v>
      </c>
      <c r="R201" s="300">
        <f t="shared" si="195"/>
        <v>1.5170588376963006</v>
      </c>
      <c r="S201" s="300">
        <f t="shared" si="195"/>
        <v>1.6698445401110702</v>
      </c>
      <c r="T201" s="300">
        <f t="shared" si="195"/>
        <v>1.8245633567027792</v>
      </c>
      <c r="U201" s="300">
        <f t="shared" si="195"/>
        <v>1.9811814717840117</v>
      </c>
      <c r="V201" s="300">
        <f t="shared" si="195"/>
        <v>2.139663723799571</v>
      </c>
      <c r="W201" s="300">
        <f t="shared" si="195"/>
        <v>2.2999736114087423</v>
      </c>
      <c r="X201" s="300">
        <f t="shared" si="195"/>
        <v>2.5608457904780475</v>
      </c>
      <c r="Y201" s="300">
        <f t="shared" si="195"/>
        <v>2.8248052396854488</v>
      </c>
      <c r="Z201" s="300">
        <f t="shared" si="195"/>
        <v>3.091796771580309</v>
      </c>
      <c r="AA201" s="300">
        <f t="shared" si="195"/>
        <v>3.3617632094944261</v>
      </c>
      <c r="AB201" s="300">
        <f t="shared" si="195"/>
        <v>3.6346453981302598</v>
      </c>
      <c r="AC201" s="300">
        <f t="shared" si="195"/>
        <v>3.9104191852796957</v>
      </c>
      <c r="AD201" s="300">
        <f t="shared" si="195"/>
        <v>4.1890294493019091</v>
      </c>
      <c r="AE201" s="300">
        <f t="shared" si="195"/>
        <v>4.4704193006390991</v>
      </c>
      <c r="AF201" s="300">
        <f t="shared" si="195"/>
        <v>4.7545300926341598</v>
      </c>
      <c r="AG201" s="300">
        <f t="shared" si="195"/>
        <v>5.0413014335433415</v>
      </c>
      <c r="AH201" s="422"/>
      <c r="AI201" s="423"/>
      <c r="AJ201" s="424"/>
      <c r="AL201" s="221"/>
      <c r="AM201" s="124"/>
      <c r="AN201" s="124"/>
      <c r="AO201" s="124"/>
      <c r="BD201" s="124"/>
      <c r="BE201" s="124"/>
      <c r="BF201" s="124"/>
      <c r="BG201" s="124"/>
      <c r="BH201" s="124"/>
      <c r="BI201" s="124"/>
      <c r="BJ201" s="124"/>
      <c r="BK201" s="124"/>
    </row>
    <row r="202" spans="1:63" outlineLevel="1">
      <c r="A202" s="4" t="s">
        <v>258</v>
      </c>
      <c r="C202" s="230">
        <f>C$201*'Ethylene recycling rates'!E103</f>
        <v>3.9544314164516217E-2</v>
      </c>
      <c r="D202" s="230">
        <f>D$201*'Ethylene recycling rates'!F103</f>
        <v>6.0178873848007311E-2</v>
      </c>
      <c r="E202" s="230">
        <f>E$201*'Ethylene recycling rates'!G103</f>
        <v>8.2365130145039142E-2</v>
      </c>
      <c r="F202" s="230">
        <f>F$201*'Ethylene recycling rates'!H103</f>
        <v>0.1060192514323469</v>
      </c>
      <c r="G202" s="230">
        <f>G$201*'Ethylene recycling rates'!I103</f>
        <v>0.13103646091656423</v>
      </c>
      <c r="H202" s="230">
        <f>H$201*'Ethylene recycling rates'!J103</f>
        <v>0.15729149717219354</v>
      </c>
      <c r="I202" s="230">
        <f>I$201*'Ethylene recycling rates'!K103</f>
        <v>0.18503778747332855</v>
      </c>
      <c r="J202" s="230">
        <f>J$201*'Ethylene recycling rates'!L103</f>
        <v>0.21429741694942006</v>
      </c>
      <c r="K202" s="230">
        <f>K$201*'Ethylene recycling rates'!M103</f>
        <v>0.24508996203958433</v>
      </c>
      <c r="L202" s="230">
        <f>L$201*'Ethylene recycling rates'!N103</f>
        <v>0.27743234597782879</v>
      </c>
      <c r="M202" s="230">
        <f>M$201*'Ethylene recycling rates'!O103</f>
        <v>0.31133869802404746</v>
      </c>
      <c r="N202" s="230">
        <f>N$201*'Ethylene recycling rates'!P103</f>
        <v>0.3754012530688024</v>
      </c>
      <c r="O202" s="230">
        <f>O$201*'Ethylene recycling rates'!Q103</f>
        <v>0.44190131881731431</v>
      </c>
      <c r="P202" s="230">
        <f>P$201*'Ethylene recycling rates'!R103</f>
        <v>0.51054478270285408</v>
      </c>
      <c r="Q202" s="230">
        <f>Q$201*'Ethylene recycling rates'!S103</f>
        <v>0.58100882932287845</v>
      </c>
      <c r="R202" s="230">
        <f>R$201*'Ethylene recycling rates'!T103</f>
        <v>0.65294425424539326</v>
      </c>
      <c r="S202" s="230">
        <f>S$201*'Ethylene recycling rates'!U103</f>
        <v>0.72728614883982257</v>
      </c>
      <c r="T202" s="230">
        <f>T$201*'Ethylene recycling rates'!V103</f>
        <v>0.80405051469943178</v>
      </c>
      <c r="U202" s="230">
        <f>U$201*'Ethylene recycling rates'!W103</f>
        <v>0.88325208370748898</v>
      </c>
      <c r="V202" s="230">
        <f>V$201*'Ethylene recycling rates'!X103</f>
        <v>0.96490428558649699</v>
      </c>
      <c r="W202" s="230">
        <f>W$201*'Ethylene recycling rates'!Y103</f>
        <v>1.0490192160846719</v>
      </c>
      <c r="X202" s="230">
        <f>X$201*'Ethylene recycling rates'!Z103</f>
        <v>1.1811654658316526</v>
      </c>
      <c r="Y202" s="230">
        <f>Y$201*'Ethylene recycling rates'!AA103</f>
        <v>1.3174332335003476</v>
      </c>
      <c r="Z202" s="230">
        <f>Z$201*'Ethylene recycling rates'!AB103</f>
        <v>1.4578441012148891</v>
      </c>
      <c r="AA202" s="230">
        <f>AA$201*'Ethylene recycling rates'!AC103</f>
        <v>1.6024175683032373</v>
      </c>
      <c r="AB202" s="230">
        <f>AB$201*'Ethylene recycling rates'!AD103</f>
        <v>1.7511710052774028</v>
      </c>
      <c r="AC202" s="230">
        <f>AC$201*'Ethylene recycling rates'!AE103</f>
        <v>1.9041376108444721</v>
      </c>
      <c r="AD202" s="230">
        <f>AD$201*'Ethylene recycling rates'!AF103</f>
        <v>2.0613348477407349</v>
      </c>
      <c r="AE202" s="230">
        <f>AE$201*'Ethylene recycling rates'!AG103</f>
        <v>2.2227781663972621</v>
      </c>
      <c r="AF202" s="230">
        <f>AF$201*'Ethylene recycling rates'!AH103</f>
        <v>2.3884809649403151</v>
      </c>
      <c r="AG202" s="230">
        <f>AG$201*'Ethylene recycling rates'!AI103</f>
        <v>2.5584545501318146</v>
      </c>
      <c r="AH202" s="245"/>
      <c r="AI202" s="133"/>
      <c r="AJ202" s="211"/>
      <c r="AL202" s="108"/>
      <c r="AM202" s="2"/>
      <c r="AN202" s="2"/>
      <c r="AO202" s="2"/>
      <c r="BC202" s="1"/>
      <c r="BD202" s="2"/>
      <c r="BE202" s="2"/>
      <c r="BF202" s="2"/>
      <c r="BG202" s="2"/>
      <c r="BH202" s="2"/>
      <c r="BI202" s="2"/>
      <c r="BJ202" s="2"/>
      <c r="BK202" s="2"/>
    </row>
    <row r="203" spans="1:63" outlineLevel="1">
      <c r="A203" s="4" t="s">
        <v>478</v>
      </c>
      <c r="C203" s="230">
        <f>C$201*'Ethylene recycling rates'!E104</f>
        <v>2.0434829407324192E-3</v>
      </c>
      <c r="D203" s="230">
        <f>D$201*'Ethylene recycling rates'!F104</f>
        <v>3.3446143926125515E-3</v>
      </c>
      <c r="E203" s="230">
        <f>E$201*'Ethylene recycling rates'!G104</f>
        <v>4.8899905133254137E-3</v>
      </c>
      <c r="F203" s="230">
        <f>F$201*'Ethylene recycling rates'!H104</f>
        <v>6.6851227683696769E-3</v>
      </c>
      <c r="G203" s="230">
        <f>G$201*'Ethylene recycling rates'!I104</f>
        <v>8.732331001899761E-3</v>
      </c>
      <c r="H203" s="230">
        <f>H$201*'Ethylene recycling rates'!J104</f>
        <v>1.1030532272277063E-2</v>
      </c>
      <c r="I203" s="230">
        <f>I$201*'Ethylene recycling rates'!K104</f>
        <v>1.3604372826584733E-2</v>
      </c>
      <c r="J203" s="230">
        <f>J$201*'Ethylene recycling rates'!L104</f>
        <v>1.6463757902864553E-2</v>
      </c>
      <c r="K203" s="230">
        <f>K$201*'Ethylene recycling rates'!M104</f>
        <v>1.961824837808003E-2</v>
      </c>
      <c r="L203" s="230">
        <f>L$201*'Ethylene recycling rates'!N104</f>
        <v>2.3077018648886796E-2</v>
      </c>
      <c r="M203" s="230">
        <f>M$201*'Ethylene recycling rates'!O104</f>
        <v>2.6848814479175472E-2</v>
      </c>
      <c r="N203" s="230">
        <f>N$201*'Ethylene recycling rates'!P104</f>
        <v>3.3491796563460775E-2</v>
      </c>
      <c r="O203" s="230">
        <f>O$201*'Ethylene recycling rates'!Q104</f>
        <v>4.0708618275816885E-2</v>
      </c>
      <c r="P203" s="230">
        <f>P$201*'Ethylene recycling rates'!R104</f>
        <v>4.8479258825989982E-2</v>
      </c>
      <c r="Q203" s="230">
        <f>Q$201*'Ethylene recycling rates'!S104</f>
        <v>5.6777256312632876E-2</v>
      </c>
      <c r="R203" s="230">
        <f>R$201*'Ethylene recycling rates'!T104</f>
        <v>6.5569769730509972E-2</v>
      </c>
      <c r="S203" s="230">
        <f>S$201*'Ethylene recycling rates'!U104</f>
        <v>7.4952527506399524E-2</v>
      </c>
      <c r="T203" s="230">
        <f>T$201*'Ethylene recycling rates'!V104</f>
        <v>8.4933832290195035E-2</v>
      </c>
      <c r="U203" s="230">
        <f>U$201*'Ethylene recycling rates'!W104</f>
        <v>9.5521705475534707E-2</v>
      </c>
      <c r="V203" s="230">
        <f>V$201*'Ethylene recycling rates'!X104</f>
        <v>0.10672387620903458</v>
      </c>
      <c r="W203" s="230">
        <f>W$201*'Ethylene recycling rates'!Y104</f>
        <v>0.11854777050420083</v>
      </c>
      <c r="X203" s="230">
        <f>X$201*'Ethylene recycling rates'!Z104</f>
        <v>0.13625592710824422</v>
      </c>
      <c r="Y203" s="230">
        <f>Y$201*'Ethylene recycling rates'!AA104</f>
        <v>0.15500182250022174</v>
      </c>
      <c r="Z203" s="230">
        <f>Z$201*'Ethylene recycling rates'!AB104</f>
        <v>0.17479775096268077</v>
      </c>
      <c r="AA203" s="230">
        <f>AA$201*'Ethylene recycling rates'!AC104</f>
        <v>0.19565552361299279</v>
      </c>
      <c r="AB203" s="230">
        <f>AB$201*'Ethylene recycling rates'!AD104</f>
        <v>0.21758645248401653</v>
      </c>
      <c r="AC203" s="230">
        <f>AC$201*'Ethylene recycling rates'!AE104</f>
        <v>0.24060360950176984</v>
      </c>
      <c r="AD203" s="230">
        <f>AD$201*'Ethylene recycling rates'!AF104</f>
        <v>0.26471794875106608</v>
      </c>
      <c r="AE203" s="230">
        <f>AE$201*'Ethylene recycling rates'!AG104</f>
        <v>0.28993994270008161</v>
      </c>
      <c r="AF203" s="230">
        <f>AF$201*'Ethylene recycling rates'!AH104</f>
        <v>0.3162795682083141</v>
      </c>
      <c r="AG203" s="230">
        <f>AG$201*'Ethylene recycling rates'!AI104</f>
        <v>0.34374629272404422</v>
      </c>
      <c r="AH203" s="245"/>
      <c r="AI203" s="133"/>
      <c r="AJ203" s="211"/>
      <c r="AL203" s="108"/>
      <c r="AM203" s="2"/>
      <c r="AN203" s="2"/>
      <c r="AO203" s="2"/>
      <c r="BC203" s="1"/>
      <c r="BD203" s="2"/>
      <c r="BE203" s="2"/>
      <c r="BF203" s="2"/>
      <c r="BG203" s="2"/>
      <c r="BH203" s="2"/>
      <c r="BI203" s="2"/>
      <c r="BJ203" s="2"/>
      <c r="BK203" s="2"/>
    </row>
    <row r="204" spans="1:63" outlineLevel="1">
      <c r="A204" s="4" t="s">
        <v>480</v>
      </c>
      <c r="C204" s="230">
        <f>C$201*'Ethylene recycling rates'!E105</f>
        <v>7.0182032031055247E-2</v>
      </c>
      <c r="D204" s="230">
        <f>D$201*'Ethylene recycling rates'!F105</f>
        <v>0.104105380084316</v>
      </c>
      <c r="E204" s="230">
        <f>E$201*'Ethylene recycling rates'!G105</f>
        <v>0.13889751871484449</v>
      </c>
      <c r="F204" s="230">
        <f>F$201*'Ethylene recycling rates'!H105</f>
        <v>0.17429655986903525</v>
      </c>
      <c r="G204" s="230">
        <f>G$201*'Ethylene recycling rates'!I105</f>
        <v>0.21002767896976768</v>
      </c>
      <c r="H204" s="230">
        <f>H$201*'Ethylene recycling rates'!J105</f>
        <v>0.24580663208934356</v>
      </c>
      <c r="I204" s="230">
        <f>I$201*'Ethylene recycling rates'!K105</f>
        <v>0.28195047756027763</v>
      </c>
      <c r="J204" s="230">
        <f>J$201*'Ethylene recycling rates'!L105</f>
        <v>0.31839770968825315</v>
      </c>
      <c r="K204" s="230">
        <f>K$201*'Ethylene recycling rates'!M105</f>
        <v>0.35508483768465948</v>
      </c>
      <c r="L204" s="230">
        <f>L$201*'Ethylene recycling rates'!N105</f>
        <v>0.39194652734434193</v>
      </c>
      <c r="M204" s="230">
        <f>M$201*'Ethylene recycling rates'!O105</f>
        <v>0.42891575197717613</v>
      </c>
      <c r="N204" s="230">
        <f>N$201*'Ethylene recycling rates'!P105</f>
        <v>0.50432018341223406</v>
      </c>
      <c r="O204" s="230">
        <f>O$201*'Ethylene recycling rates'!Q105</f>
        <v>0.57890431244924878</v>
      </c>
      <c r="P204" s="230">
        <f>P$201*'Ethylene recycling rates'!R105</f>
        <v>0.65220156735751633</v>
      </c>
      <c r="Q204" s="230">
        <f>Q$201*'Ethylene recycling rates'!S105</f>
        <v>0.72375140349505085</v>
      </c>
      <c r="R204" s="230">
        <f>R$201*'Ethylene recycling rates'!T105</f>
        <v>0.79310407117541348</v>
      </c>
      <c r="S204" s="230">
        <f>S$201*'Ethylene recycling rates'!U105</f>
        <v>0.8613744171556692</v>
      </c>
      <c r="T204" s="230">
        <f>T$201*'Ethylene recycling rates'!V105</f>
        <v>0.92850494101751802</v>
      </c>
      <c r="U204" s="230">
        <f>U$201*'Ethylene recycling rates'!W105</f>
        <v>0.9944383667288077</v>
      </c>
      <c r="V204" s="230">
        <f>V$201*'Ethylene recycling rates'!X105</f>
        <v>1.0591176920709213</v>
      </c>
      <c r="W204" s="230">
        <f>W$201*'Ethylene recycling rates'!Y105</f>
        <v>1.1224862383727057</v>
      </c>
      <c r="X204" s="230">
        <f>X$201*'Ethylene recycling rates'!Z105</f>
        <v>1.2320065129365607</v>
      </c>
      <c r="Y204" s="230">
        <f>Y$201*'Ethylene recycling rates'!AA105</f>
        <v>1.3393647374028637</v>
      </c>
      <c r="Z204" s="230">
        <f>Z$201*'Ethylene recycling rates'!AB105</f>
        <v>1.4444707635659131</v>
      </c>
      <c r="AA204" s="230">
        <f>AA$201*'Ethylene recycling rates'!AC105</f>
        <v>1.5472350617925212</v>
      </c>
      <c r="AB204" s="230">
        <f>AB$201*'Ethylene recycling rates'!AD105</f>
        <v>1.6475687949419215</v>
      </c>
      <c r="AC204" s="230">
        <f>AC$201*'Ethylene recycling rates'!AE105</f>
        <v>1.7454003937644942</v>
      </c>
      <c r="AD204" s="230">
        <f>AD$201*'Ethylene recycling rates'!AF105</f>
        <v>1.8406453525295972</v>
      </c>
      <c r="AE204" s="230">
        <f>AE$201*'Ethylene recycling rates'!AG105</f>
        <v>1.9332199332467705</v>
      </c>
      <c r="AF204" s="230">
        <f>AF$201*'Ethylene recycling rates'!AH105</f>
        <v>2.0230412316993034</v>
      </c>
      <c r="AG204" s="230">
        <f>AG$201*'Ethylene recycling rates'!AI105</f>
        <v>2.1100272435268934</v>
      </c>
      <c r="AH204" s="245"/>
      <c r="AI204" s="133"/>
      <c r="AJ204" s="211"/>
      <c r="AL204" s="108"/>
      <c r="AM204" s="2"/>
      <c r="AN204" s="2"/>
      <c r="AO204" s="2"/>
      <c r="BC204" s="1"/>
      <c r="BD204" s="2"/>
      <c r="BE204" s="2"/>
      <c r="BF204" s="2"/>
      <c r="BG204" s="2"/>
      <c r="BH204" s="2"/>
      <c r="BI204" s="2"/>
      <c r="BJ204" s="2"/>
      <c r="BK204" s="2"/>
    </row>
    <row r="205" spans="1:63" outlineLevel="1">
      <c r="A205" s="4" t="s">
        <v>474</v>
      </c>
      <c r="C205" s="230">
        <f>C$201*'Ethylene recycling rates'!E106</f>
        <v>0</v>
      </c>
      <c r="D205" s="230">
        <f>D$201*'Ethylene recycling rates'!F106</f>
        <v>0</v>
      </c>
      <c r="E205" s="230">
        <f>E$201*'Ethylene recycling rates'!G106</f>
        <v>0</v>
      </c>
      <c r="F205" s="230">
        <f>F$201*'Ethylene recycling rates'!H106</f>
        <v>0</v>
      </c>
      <c r="G205" s="230">
        <f>G$201*'Ethylene recycling rates'!I106</f>
        <v>0</v>
      </c>
      <c r="H205" s="230">
        <f>H$201*'Ethylene recycling rates'!J106</f>
        <v>0</v>
      </c>
      <c r="I205" s="230">
        <f>I$201*'Ethylene recycling rates'!K106</f>
        <v>0</v>
      </c>
      <c r="J205" s="230">
        <f>J$201*'Ethylene recycling rates'!L106</f>
        <v>0</v>
      </c>
      <c r="K205" s="230">
        <f>K$201*'Ethylene recycling rates'!M106</f>
        <v>0</v>
      </c>
      <c r="L205" s="230">
        <f>L$201*'Ethylene recycling rates'!N106</f>
        <v>0</v>
      </c>
      <c r="M205" s="230">
        <f>M$201*'Ethylene recycling rates'!O106</f>
        <v>0</v>
      </c>
      <c r="N205" s="230">
        <f>N$201*'Ethylene recycling rates'!P106</f>
        <v>0</v>
      </c>
      <c r="O205" s="230">
        <f>O$201*'Ethylene recycling rates'!Q106</f>
        <v>0</v>
      </c>
      <c r="P205" s="230">
        <f>P$201*'Ethylene recycling rates'!R106</f>
        <v>0</v>
      </c>
      <c r="Q205" s="230">
        <f>Q$201*'Ethylene recycling rates'!S106</f>
        <v>0</v>
      </c>
      <c r="R205" s="230">
        <f>R$201*'Ethylene recycling rates'!T106</f>
        <v>0</v>
      </c>
      <c r="S205" s="230">
        <f>S$201*'Ethylene recycling rates'!U106</f>
        <v>0</v>
      </c>
      <c r="T205" s="230">
        <f>T$201*'Ethylene recycling rates'!V106</f>
        <v>0</v>
      </c>
      <c r="U205" s="230">
        <f>U$201*'Ethylene recycling rates'!W106</f>
        <v>0</v>
      </c>
      <c r="V205" s="230">
        <f>V$201*'Ethylene recycling rates'!X106</f>
        <v>0</v>
      </c>
      <c r="W205" s="230">
        <f>W$201*'Ethylene recycling rates'!Y106</f>
        <v>0</v>
      </c>
      <c r="X205" s="230">
        <f>X$201*'Ethylene recycling rates'!Z106</f>
        <v>0</v>
      </c>
      <c r="Y205" s="230">
        <f>Y$201*'Ethylene recycling rates'!AA106</f>
        <v>0</v>
      </c>
      <c r="Z205" s="230">
        <f>Z$201*'Ethylene recycling rates'!AB106</f>
        <v>0</v>
      </c>
      <c r="AA205" s="230">
        <f>AA$201*'Ethylene recycling rates'!AC106</f>
        <v>0</v>
      </c>
      <c r="AB205" s="230">
        <f>AB$201*'Ethylene recycling rates'!AD106</f>
        <v>0</v>
      </c>
      <c r="AC205" s="230">
        <f>AC$201*'Ethylene recycling rates'!AE106</f>
        <v>0</v>
      </c>
      <c r="AD205" s="230">
        <f>AD$201*'Ethylene recycling rates'!AF106</f>
        <v>0</v>
      </c>
      <c r="AE205" s="230">
        <f>AE$201*'Ethylene recycling rates'!AG106</f>
        <v>0</v>
      </c>
      <c r="AF205" s="230">
        <f>AF$201*'Ethylene recycling rates'!AH106</f>
        <v>0</v>
      </c>
      <c r="AG205" s="230">
        <f>AG$201*'Ethylene recycling rates'!AI106</f>
        <v>0</v>
      </c>
      <c r="AH205" s="245"/>
      <c r="AI205" s="133"/>
      <c r="AJ205" s="211"/>
      <c r="AL205" s="108"/>
      <c r="AM205" s="2"/>
      <c r="AN205" s="2"/>
      <c r="AO205" s="2"/>
      <c r="BC205" s="1"/>
      <c r="BD205" s="2"/>
      <c r="BE205" s="2"/>
      <c r="BF205" s="2"/>
      <c r="BG205" s="2"/>
      <c r="BH205" s="2"/>
      <c r="BI205" s="2"/>
      <c r="BJ205" s="2"/>
      <c r="BK205" s="2"/>
    </row>
    <row r="206" spans="1:63" outlineLevel="1">
      <c r="A206" s="4" t="s">
        <v>248</v>
      </c>
      <c r="C206" s="230">
        <f>C$201*'Ethylene recycling rates'!E107</f>
        <v>1.5733812001796906E-4</v>
      </c>
      <c r="D206" s="230">
        <f>D$201*'Ethylene recycling rates'!F107</f>
        <v>2.6041237190952652E-4</v>
      </c>
      <c r="E206" s="230">
        <f>E$201*'Ethylene recycling rates'!G107</f>
        <v>3.8431382294099649E-4</v>
      </c>
      <c r="F206" s="230">
        <f>F$201*'Ethylene recycling rates'!H107</f>
        <v>5.2958812203671613E-4</v>
      </c>
      <c r="G206" s="230">
        <f>G$201*'Ethylene recycling rates'!I107</f>
        <v>6.9650918838405575E-4</v>
      </c>
      <c r="H206" s="230">
        <f>H$201*'Ethylene recycling rates'!J107</f>
        <v>8.8506005756557168E-4</v>
      </c>
      <c r="I206" s="230">
        <f>I$201*'Ethylene recycling rates'!K107</f>
        <v>1.0972806922082677E-3</v>
      </c>
      <c r="J206" s="230">
        <f>J$201*'Ethylene recycling rates'!L107</f>
        <v>1.3340417376337707E-3</v>
      </c>
      <c r="K206" s="230">
        <f>K$201*'Ethylene recycling rates'!M107</f>
        <v>1.5961846792179833E-3</v>
      </c>
      <c r="L206" s="230">
        <f>L$201*'Ethylene recycling rates'!N107</f>
        <v>1.8845181724399154E-3</v>
      </c>
      <c r="M206" s="230">
        <f>M$201*'Ethylene recycling rates'!O107</f>
        <v>2.1998143675775799E-3</v>
      </c>
      <c r="N206" s="230">
        <f>N$201*'Ethylene recycling rates'!P107</f>
        <v>2.7523547582080877E-3</v>
      </c>
      <c r="O206" s="230">
        <f>O$201*'Ethylene recycling rates'!Q107</f>
        <v>3.3545968006135894E-3</v>
      </c>
      <c r="P206" s="230">
        <f>P$201*'Ethylene recycling rates'!R107</f>
        <v>4.004939571613228E-3</v>
      </c>
      <c r="Q206" s="230">
        <f>Q$201*'Ethylene recycling rates'!S107</f>
        <v>4.7012251226924316E-3</v>
      </c>
      <c r="R206" s="230">
        <f>R$201*'Ethylene recycling rates'!T107</f>
        <v>5.4407425449840762E-3</v>
      </c>
      <c r="S206" s="230">
        <f>S$201*'Ethylene recycling rates'!U107</f>
        <v>6.2314466091791696E-3</v>
      </c>
      <c r="T206" s="230">
        <f>T$201*'Ethylene recycling rates'!V107</f>
        <v>7.0740686956347037E-3</v>
      </c>
      <c r="U206" s="230">
        <f>U$201*'Ethylene recycling rates'!W107</f>
        <v>7.9693158721806569E-3</v>
      </c>
      <c r="V206" s="230">
        <f>V$201*'Ethylene recycling rates'!X107</f>
        <v>8.9178699331186415E-3</v>
      </c>
      <c r="W206" s="230">
        <f>W$201*'Ethylene recycling rates'!Y107</f>
        <v>9.920386447164458E-3</v>
      </c>
      <c r="X206" s="230">
        <f>X$201*'Ethylene recycling rates'!Z107</f>
        <v>1.1417884601590515E-2</v>
      </c>
      <c r="Y206" s="230">
        <f>Y$201*'Ethylene recycling rates'!AA107</f>
        <v>1.3005446282016551E-2</v>
      </c>
      <c r="Z206" s="230">
        <f>Z$201*'Ethylene recycling rates'!AB107</f>
        <v>1.4684155836826748E-2</v>
      </c>
      <c r="AA206" s="230">
        <f>AA$201*'Ethylene recycling rates'!AC107</f>
        <v>1.6455055785675469E-2</v>
      </c>
      <c r="AB206" s="230">
        <f>AB$201*'Ethylene recycling rates'!AD107</f>
        <v>1.8319145426919963E-2</v>
      </c>
      <c r="AC206" s="230">
        <f>AC$201*'Ethylene recycling rates'!AE107</f>
        <v>2.0277571168960579E-2</v>
      </c>
      <c r="AD206" s="230">
        <f>AD$201*'Ethylene recycling rates'!AF107</f>
        <v>2.2331300280512313E-2</v>
      </c>
      <c r="AE206" s="230">
        <f>AE$201*'Ethylene recycling rates'!AG107</f>
        <v>2.4481258294986014E-2</v>
      </c>
      <c r="AF206" s="230">
        <f>AF$201*'Ethylene recycling rates'!AH107</f>
        <v>2.6728327786228287E-2</v>
      </c>
      <c r="AG206" s="230">
        <f>AG$201*'Ethylene recycling rates'!AI107</f>
        <v>2.9073347160588806E-2</v>
      </c>
      <c r="AH206" s="245"/>
      <c r="AI206" s="133"/>
      <c r="AJ206" s="211"/>
      <c r="AL206" s="108"/>
      <c r="AM206" s="2"/>
      <c r="AN206" s="2"/>
      <c r="AO206" s="2"/>
      <c r="BC206" s="1"/>
      <c r="BD206" s="2"/>
      <c r="BE206" s="2"/>
      <c r="BF206" s="2"/>
      <c r="BG206" s="2"/>
      <c r="BH206" s="2"/>
      <c r="BI206" s="2"/>
      <c r="BJ206" s="2"/>
      <c r="BK206" s="2"/>
    </row>
    <row r="207" spans="1:63" outlineLevel="1">
      <c r="AJ207" s="211"/>
    </row>
    <row r="208" spans="1:63" s="200" customFormat="1" ht="16" thickBot="1">
      <c r="A208" s="200" t="s">
        <v>1351</v>
      </c>
      <c r="B208" s="215"/>
      <c r="C208" s="224">
        <f>C209</f>
        <v>0.05</v>
      </c>
      <c r="D208" s="224">
        <f t="shared" ref="D208:AG208" si="196">D209</f>
        <v>5.2260994000770548E-2</v>
      </c>
      <c r="E208" s="224">
        <f t="shared" si="196"/>
        <v>5.4521988001541094E-2</v>
      </c>
      <c r="F208" s="224">
        <f t="shared" si="196"/>
        <v>5.6782982002311633E-2</v>
      </c>
      <c r="G208" s="224">
        <f t="shared" si="196"/>
        <v>5.9043976003082178E-2</v>
      </c>
      <c r="H208" s="224">
        <f t="shared" si="196"/>
        <v>6.1304970003852724E-2</v>
      </c>
      <c r="I208" s="224">
        <f t="shared" si="196"/>
        <v>6.3565964004623277E-2</v>
      </c>
      <c r="J208" s="224">
        <f t="shared" si="196"/>
        <v>6.5826958005393815E-2</v>
      </c>
      <c r="K208" s="224">
        <f t="shared" si="196"/>
        <v>6.8087952006164354E-2</v>
      </c>
      <c r="L208" s="224">
        <f t="shared" si="196"/>
        <v>7.0348946006934907E-2</v>
      </c>
      <c r="M208" s="224">
        <f t="shared" si="196"/>
        <v>7.2609940007705445E-2</v>
      </c>
      <c r="N208" s="224">
        <f t="shared" si="196"/>
        <v>7.7375419670867973E-2</v>
      </c>
      <c r="O208" s="224">
        <f t="shared" si="196"/>
        <v>8.2140899334030501E-2</v>
      </c>
      <c r="P208" s="224">
        <f t="shared" si="196"/>
        <v>8.6906378997193029E-2</v>
      </c>
      <c r="Q208" s="224">
        <f t="shared" si="196"/>
        <v>9.1671858660355557E-2</v>
      </c>
      <c r="R208" s="224">
        <f t="shared" si="196"/>
        <v>9.6437338323518085E-2</v>
      </c>
      <c r="S208" s="224">
        <f t="shared" si="196"/>
        <v>0.10120281798668061</v>
      </c>
      <c r="T208" s="224">
        <f t="shared" si="196"/>
        <v>0.10596829764984314</v>
      </c>
      <c r="U208" s="224">
        <f t="shared" si="196"/>
        <v>0.11073377731300567</v>
      </c>
      <c r="V208" s="224">
        <f t="shared" si="196"/>
        <v>0.1154992569761682</v>
      </c>
      <c r="W208" s="224">
        <f t="shared" si="196"/>
        <v>0.12026473663933072</v>
      </c>
      <c r="X208" s="224">
        <f t="shared" si="196"/>
        <v>0.12823826297539764</v>
      </c>
      <c r="Y208" s="224">
        <f t="shared" si="196"/>
        <v>0.13621178931146458</v>
      </c>
      <c r="Z208" s="224">
        <f t="shared" si="196"/>
        <v>0.14418531564753151</v>
      </c>
      <c r="AA208" s="224">
        <f t="shared" si="196"/>
        <v>0.15215884198359844</v>
      </c>
      <c r="AB208" s="224">
        <f t="shared" si="196"/>
        <v>0.16013236831966537</v>
      </c>
      <c r="AC208" s="224">
        <f t="shared" si="196"/>
        <v>0.16810589465573231</v>
      </c>
      <c r="AD208" s="224">
        <f t="shared" si="196"/>
        <v>0.17607942099179924</v>
      </c>
      <c r="AE208" s="224">
        <f t="shared" si="196"/>
        <v>0.18405294732786615</v>
      </c>
      <c r="AF208" s="224">
        <f t="shared" si="196"/>
        <v>0.19202647366393311</v>
      </c>
      <c r="AG208" s="224">
        <f t="shared" si="196"/>
        <v>0.2</v>
      </c>
      <c r="AJ208" s="231" t="s">
        <v>1331</v>
      </c>
      <c r="AL208" s="217"/>
      <c r="AM208" s="225"/>
      <c r="AN208" s="225"/>
      <c r="AO208" s="225"/>
    </row>
    <row r="209" spans="1:63" ht="16" outlineLevel="2" thickTop="1">
      <c r="A209" t="s">
        <v>1352</v>
      </c>
      <c r="B209" s="54" t="s">
        <v>462</v>
      </c>
      <c r="C209" s="113">
        <v>0.05</v>
      </c>
      <c r="D209" s="110">
        <f>$C209+($M209-$C209)/10*(D$1-$C$1)</f>
        <v>5.2260994000770548E-2</v>
      </c>
      <c r="E209" s="110">
        <f t="shared" ref="E209:L209" si="197">$C209+($M209-$C209)/10*(E$1-$C$1)</f>
        <v>5.4521988001541094E-2</v>
      </c>
      <c r="F209" s="110">
        <f t="shared" si="197"/>
        <v>5.6782982002311633E-2</v>
      </c>
      <c r="G209" s="110">
        <f t="shared" si="197"/>
        <v>5.9043976003082178E-2</v>
      </c>
      <c r="H209" s="110">
        <f t="shared" si="197"/>
        <v>6.1304970003852724E-2</v>
      </c>
      <c r="I209" s="110">
        <f t="shared" si="197"/>
        <v>6.3565964004623277E-2</v>
      </c>
      <c r="J209" s="110">
        <f t="shared" si="197"/>
        <v>6.5826958005393815E-2</v>
      </c>
      <c r="K209" s="110">
        <f t="shared" si="197"/>
        <v>6.8087952006164354E-2</v>
      </c>
      <c r="L209" s="110">
        <f t="shared" si="197"/>
        <v>7.0348946006934907E-2</v>
      </c>
      <c r="M209" s="121">
        <f>(M$55-$C$55)/($AG$55-$C$55)*($AG209-$C209)+$C209</f>
        <v>7.2609940007705445E-2</v>
      </c>
      <c r="N209" s="121">
        <f>$M209+($W209-$M209)/10*(N$1-$M$1)</f>
        <v>7.7375419670867973E-2</v>
      </c>
      <c r="O209" s="121">
        <f t="shared" ref="O209:U209" si="198">$M209+($W209-$M209)/10*(O$1-$M$1)</f>
        <v>8.2140899334030501E-2</v>
      </c>
      <c r="P209" s="121">
        <f t="shared" si="198"/>
        <v>8.6906378997193029E-2</v>
      </c>
      <c r="Q209" s="121">
        <f t="shared" si="198"/>
        <v>9.1671858660355557E-2</v>
      </c>
      <c r="R209" s="121">
        <f t="shared" si="198"/>
        <v>9.6437338323518085E-2</v>
      </c>
      <c r="S209" s="121">
        <f t="shared" si="198"/>
        <v>0.10120281798668061</v>
      </c>
      <c r="T209" s="121">
        <f t="shared" si="198"/>
        <v>0.10596829764984314</v>
      </c>
      <c r="U209" s="121">
        <f t="shared" si="198"/>
        <v>0.11073377731300567</v>
      </c>
      <c r="V209" s="121">
        <f>$M209+($W209-$M209)/10*(V$1-$M$1)</f>
        <v>0.1154992569761682</v>
      </c>
      <c r="W209" s="121">
        <f>(W$55-$C$55)/($AG$55-$C$55)*($AG209-$C209)+$C209</f>
        <v>0.12026473663933072</v>
      </c>
      <c r="X209" s="23">
        <f t="shared" ref="X209:AF209" si="199">$W209+($AG209-$W209)/10*(X$1-$W$1)</f>
        <v>0.12823826297539764</v>
      </c>
      <c r="Y209" s="23">
        <f t="shared" si="199"/>
        <v>0.13621178931146458</v>
      </c>
      <c r="Z209" s="23">
        <f t="shared" si="199"/>
        <v>0.14418531564753151</v>
      </c>
      <c r="AA209" s="23">
        <f t="shared" si="199"/>
        <v>0.15215884198359844</v>
      </c>
      <c r="AB209" s="23">
        <f t="shared" si="199"/>
        <v>0.16013236831966537</v>
      </c>
      <c r="AC209" s="23">
        <f t="shared" si="199"/>
        <v>0.16810589465573231</v>
      </c>
      <c r="AD209" s="23">
        <f t="shared" si="199"/>
        <v>0.17607942099179924</v>
      </c>
      <c r="AE209" s="23">
        <f t="shared" si="199"/>
        <v>0.18405294732786615</v>
      </c>
      <c r="AF209" s="23">
        <f t="shared" si="199"/>
        <v>0.19202647366393311</v>
      </c>
      <c r="AG209" s="106">
        <v>0.2</v>
      </c>
      <c r="AJ209" s="211" t="s">
        <v>1353</v>
      </c>
    </row>
    <row r="210" spans="1:63" outlineLevel="1">
      <c r="C210" s="113"/>
      <c r="D210" s="110"/>
      <c r="E210" s="110"/>
      <c r="F210" s="110"/>
      <c r="G210" s="110"/>
      <c r="H210" s="110"/>
      <c r="I210" s="110"/>
      <c r="J210" s="110"/>
      <c r="K210" s="110"/>
      <c r="L210" s="110"/>
      <c r="M210" s="121"/>
      <c r="N210" s="121"/>
      <c r="O210" s="121"/>
      <c r="P210" s="121"/>
      <c r="Q210" s="121"/>
      <c r="R210" s="121"/>
      <c r="S210" s="121"/>
      <c r="T210" s="121"/>
      <c r="U210" s="121"/>
      <c r="V210" s="121"/>
      <c r="W210" s="121"/>
      <c r="X210" s="23"/>
      <c r="Y210" s="23"/>
      <c r="Z210" s="23"/>
      <c r="AA210" s="23"/>
      <c r="AB210" s="23"/>
      <c r="AC210" s="23"/>
      <c r="AD210" s="23"/>
      <c r="AE210" s="23"/>
      <c r="AF210" s="23"/>
      <c r="AG210" s="106"/>
      <c r="AJ210" s="211"/>
    </row>
    <row r="211" spans="1:63" outlineLevel="1">
      <c r="A211" t="s">
        <v>1434</v>
      </c>
      <c r="C211" s="382">
        <f>'Overall recycling rates'!C88</f>
        <v>1.0000000000000002</v>
      </c>
      <c r="D211" s="382">
        <f>C211-($C211-$AG211)/($AG1-$C1)</f>
        <v>1.0000000000000002</v>
      </c>
      <c r="E211" s="382">
        <f t="shared" ref="E211:AF211" si="200">D211-($C211-$AG211)/($AG1-$C1)</f>
        <v>1.0000000000000002</v>
      </c>
      <c r="F211" s="382">
        <f t="shared" si="200"/>
        <v>1.0000000000000002</v>
      </c>
      <c r="G211" s="382">
        <f t="shared" si="200"/>
        <v>1.0000000000000002</v>
      </c>
      <c r="H211" s="382">
        <f t="shared" si="200"/>
        <v>1.0000000000000002</v>
      </c>
      <c r="I211" s="382">
        <f t="shared" si="200"/>
        <v>1.0000000000000002</v>
      </c>
      <c r="J211" s="382">
        <f t="shared" si="200"/>
        <v>1.0000000000000002</v>
      </c>
      <c r="K211" s="382">
        <f t="shared" si="200"/>
        <v>1.0000000000000002</v>
      </c>
      <c r="L211" s="382">
        <f t="shared" si="200"/>
        <v>1.0000000000000002</v>
      </c>
      <c r="M211" s="382">
        <f t="shared" si="200"/>
        <v>1.0000000000000002</v>
      </c>
      <c r="N211" s="382">
        <f t="shared" si="200"/>
        <v>1.0000000000000002</v>
      </c>
      <c r="O211" s="382">
        <f t="shared" si="200"/>
        <v>1.0000000000000002</v>
      </c>
      <c r="P211" s="382">
        <f t="shared" si="200"/>
        <v>1.0000000000000002</v>
      </c>
      <c r="Q211" s="382">
        <f t="shared" si="200"/>
        <v>1.0000000000000002</v>
      </c>
      <c r="R211" s="382">
        <f t="shared" si="200"/>
        <v>1.0000000000000002</v>
      </c>
      <c r="S211" s="382">
        <f t="shared" si="200"/>
        <v>1.0000000000000002</v>
      </c>
      <c r="T211" s="382">
        <f t="shared" si="200"/>
        <v>1.0000000000000002</v>
      </c>
      <c r="U211" s="382">
        <f t="shared" si="200"/>
        <v>1.0000000000000002</v>
      </c>
      <c r="V211" s="382">
        <f t="shared" si="200"/>
        <v>1.0000000000000002</v>
      </c>
      <c r="W211" s="382">
        <f t="shared" si="200"/>
        <v>1.0000000000000002</v>
      </c>
      <c r="X211" s="382">
        <f t="shared" si="200"/>
        <v>1.0000000000000002</v>
      </c>
      <c r="Y211" s="382">
        <f t="shared" si="200"/>
        <v>1.0000000000000002</v>
      </c>
      <c r="Z211" s="382">
        <f t="shared" si="200"/>
        <v>1.0000000000000002</v>
      </c>
      <c r="AA211" s="382">
        <f t="shared" si="200"/>
        <v>1.0000000000000002</v>
      </c>
      <c r="AB211" s="382">
        <f t="shared" si="200"/>
        <v>1.0000000000000002</v>
      </c>
      <c r="AC211" s="382">
        <f t="shared" si="200"/>
        <v>1.0000000000000002</v>
      </c>
      <c r="AD211" s="382">
        <f t="shared" si="200"/>
        <v>1.0000000000000002</v>
      </c>
      <c r="AE211" s="382">
        <f t="shared" si="200"/>
        <v>1.0000000000000002</v>
      </c>
      <c r="AF211" s="382">
        <f t="shared" si="200"/>
        <v>1.0000000000000002</v>
      </c>
      <c r="AG211" s="382">
        <f>'Overall recycling rates'!C97</f>
        <v>1</v>
      </c>
      <c r="AI211" s="133"/>
      <c r="AJ211" s="211" t="s">
        <v>1459</v>
      </c>
      <c r="AL211" s="108"/>
      <c r="AM211" s="2"/>
      <c r="AN211" s="2"/>
      <c r="AO211" s="2"/>
      <c r="BC211" s="1"/>
      <c r="BD211" s="2"/>
      <c r="BE211" s="2"/>
      <c r="BF211" s="2"/>
      <c r="BG211" s="2"/>
      <c r="BH211" s="2"/>
      <c r="BI211" s="2"/>
      <c r="BJ211" s="2"/>
      <c r="BK211" s="2"/>
    </row>
    <row r="212" spans="1:63" outlineLevel="1">
      <c r="A212" t="s">
        <v>1350</v>
      </c>
      <c r="B212" s="54" t="s">
        <v>462</v>
      </c>
      <c r="C212" s="110">
        <f>C209*C211</f>
        <v>5.0000000000000017E-2</v>
      </c>
      <c r="D212" s="110">
        <f t="shared" ref="D212:AG212" si="201">D209*D211</f>
        <v>5.2260994000770562E-2</v>
      </c>
      <c r="E212" s="110">
        <f t="shared" si="201"/>
        <v>5.4521988001541108E-2</v>
      </c>
      <c r="F212" s="110">
        <f t="shared" si="201"/>
        <v>5.6782982002311647E-2</v>
      </c>
      <c r="G212" s="110">
        <f t="shared" si="201"/>
        <v>5.9043976003082192E-2</v>
      </c>
      <c r="H212" s="110">
        <f t="shared" si="201"/>
        <v>6.1304970003852738E-2</v>
      </c>
      <c r="I212" s="110">
        <f t="shared" si="201"/>
        <v>6.356596400462329E-2</v>
      </c>
      <c r="J212" s="110">
        <f t="shared" si="201"/>
        <v>6.5826958005393829E-2</v>
      </c>
      <c r="K212" s="110">
        <f t="shared" si="201"/>
        <v>6.8087952006164368E-2</v>
      </c>
      <c r="L212" s="110">
        <f t="shared" si="201"/>
        <v>7.034894600693492E-2</v>
      </c>
      <c r="M212" s="110">
        <f t="shared" si="201"/>
        <v>7.2609940007705459E-2</v>
      </c>
      <c r="N212" s="110">
        <f t="shared" si="201"/>
        <v>7.7375419670867987E-2</v>
      </c>
      <c r="O212" s="110">
        <f t="shared" si="201"/>
        <v>8.2140899334030515E-2</v>
      </c>
      <c r="P212" s="110">
        <f t="shared" si="201"/>
        <v>8.6906378997193043E-2</v>
      </c>
      <c r="Q212" s="110">
        <f t="shared" si="201"/>
        <v>9.1671858660355571E-2</v>
      </c>
      <c r="R212" s="110">
        <f t="shared" si="201"/>
        <v>9.6437338323518113E-2</v>
      </c>
      <c r="S212" s="110">
        <f t="shared" si="201"/>
        <v>0.10120281798668064</v>
      </c>
      <c r="T212" s="110">
        <f t="shared" si="201"/>
        <v>0.10596829764984317</v>
      </c>
      <c r="U212" s="110">
        <f t="shared" si="201"/>
        <v>0.1107337773130057</v>
      </c>
      <c r="V212" s="110">
        <f t="shared" si="201"/>
        <v>0.11549925697616822</v>
      </c>
      <c r="W212" s="110">
        <f t="shared" si="201"/>
        <v>0.12026473663933075</v>
      </c>
      <c r="X212" s="110">
        <f t="shared" si="201"/>
        <v>0.12823826297539767</v>
      </c>
      <c r="Y212" s="110">
        <f t="shared" si="201"/>
        <v>0.1362117893114646</v>
      </c>
      <c r="Z212" s="110">
        <f t="shared" si="201"/>
        <v>0.14418531564753154</v>
      </c>
      <c r="AA212" s="110">
        <f t="shared" si="201"/>
        <v>0.15215884198359847</v>
      </c>
      <c r="AB212" s="110">
        <f t="shared" si="201"/>
        <v>0.1601323683196654</v>
      </c>
      <c r="AC212" s="110">
        <f t="shared" si="201"/>
        <v>0.16810589465573234</v>
      </c>
      <c r="AD212" s="110">
        <f t="shared" si="201"/>
        <v>0.17607942099179927</v>
      </c>
      <c r="AE212" s="110">
        <f t="shared" si="201"/>
        <v>0.18405294732786617</v>
      </c>
      <c r="AF212" s="110">
        <f t="shared" si="201"/>
        <v>0.19202647366393316</v>
      </c>
      <c r="AG212" s="110">
        <f t="shared" si="201"/>
        <v>0.2</v>
      </c>
      <c r="AJ212" s="211" t="s">
        <v>1349</v>
      </c>
    </row>
    <row r="213" spans="1:63" outlineLevel="2">
      <c r="C213" s="113"/>
      <c r="D213" s="110"/>
      <c r="E213" s="110"/>
      <c r="F213" s="110"/>
      <c r="G213" s="110"/>
      <c r="H213" s="110"/>
      <c r="I213" s="110"/>
      <c r="J213" s="110"/>
      <c r="K213" s="110"/>
      <c r="L213" s="110"/>
      <c r="M213" s="121"/>
      <c r="N213" s="121"/>
      <c r="O213" s="121"/>
      <c r="P213" s="121"/>
      <c r="Q213" s="121"/>
      <c r="R213" s="121"/>
      <c r="S213" s="121"/>
      <c r="T213" s="121"/>
      <c r="U213" s="121"/>
      <c r="V213" s="121"/>
      <c r="W213" s="121"/>
      <c r="X213" s="23"/>
      <c r="Y213" s="23"/>
      <c r="Z213" s="23"/>
      <c r="AA213" s="23"/>
      <c r="AB213" s="23"/>
      <c r="AC213" s="23"/>
      <c r="AD213" s="23"/>
      <c r="AE213" s="23"/>
      <c r="AF213" s="23"/>
      <c r="AG213" s="106"/>
      <c r="AJ213" s="211"/>
    </row>
    <row r="214" spans="1:63" s="1" customFormat="1" outlineLevel="1">
      <c r="A214" s="1" t="s">
        <v>228</v>
      </c>
      <c r="B214" s="65"/>
      <c r="C214" s="300">
        <f>C212*C49</f>
        <v>1.4045884056601057</v>
      </c>
      <c r="D214" s="300">
        <f t="shared" ref="D214:AF214" si="202">D212*D49</f>
        <v>1.5173167632919757</v>
      </c>
      <c r="E214" s="300">
        <f t="shared" si="202"/>
        <v>1.6317477628638877</v>
      </c>
      <c r="F214" s="300">
        <f t="shared" si="202"/>
        <v>1.7472147256968018</v>
      </c>
      <c r="G214" s="300">
        <f t="shared" si="202"/>
        <v>1.8630099397039381</v>
      </c>
      <c r="H214" s="300">
        <f t="shared" si="202"/>
        <v>1.9783916546444935</v>
      </c>
      <c r="I214" s="300">
        <f t="shared" si="202"/>
        <v>2.0971065289728688</v>
      </c>
      <c r="J214" s="300">
        <f t="shared" si="202"/>
        <v>2.2191206966695929</v>
      </c>
      <c r="K214" s="300">
        <f t="shared" si="202"/>
        <v>2.344393271874087</v>
      </c>
      <c r="L214" s="300">
        <f t="shared" si="202"/>
        <v>2.4728762229873258</v>
      </c>
      <c r="M214" s="300">
        <f t="shared" si="202"/>
        <v>2.6045142628269566</v>
      </c>
      <c r="N214" s="300">
        <f t="shared" si="202"/>
        <v>2.8268240402199249</v>
      </c>
      <c r="O214" s="300">
        <f t="shared" si="202"/>
        <v>3.0506883074930142</v>
      </c>
      <c r="P214" s="300">
        <f t="shared" si="202"/>
        <v>3.274978842987279</v>
      </c>
      <c r="Q214" s="300">
        <f t="shared" si="202"/>
        <v>3.4985289494857756</v>
      </c>
      <c r="R214" s="300">
        <f t="shared" si="202"/>
        <v>3.7201432691036689</v>
      </c>
      <c r="S214" s="300">
        <f t="shared" si="202"/>
        <v>3.9457042605776262</v>
      </c>
      <c r="T214" s="300">
        <f t="shared" si="202"/>
        <v>4.1752048037902805</v>
      </c>
      <c r="U214" s="300">
        <f t="shared" si="202"/>
        <v>4.4086359053498247</v>
      </c>
      <c r="V214" s="300">
        <f t="shared" si="202"/>
        <v>4.6459866756984276</v>
      </c>
      <c r="W214" s="300">
        <f t="shared" si="202"/>
        <v>4.8872443071764087</v>
      </c>
      <c r="X214" s="300">
        <f t="shared" si="202"/>
        <v>5.2641398782092139</v>
      </c>
      <c r="Y214" s="300">
        <f t="shared" si="202"/>
        <v>5.6476215753082188</v>
      </c>
      <c r="Z214" s="300">
        <f t="shared" si="202"/>
        <v>6.0376792947436027</v>
      </c>
      <c r="AA214" s="300">
        <f t="shared" si="202"/>
        <v>6.4343001242104263</v>
      </c>
      <c r="AB214" s="300">
        <f t="shared" si="202"/>
        <v>6.8374683104375498</v>
      </c>
      <c r="AC214" s="300">
        <f t="shared" si="202"/>
        <v>7.2472337445180388</v>
      </c>
      <c r="AD214" s="300">
        <f t="shared" si="202"/>
        <v>7.663586801924847</v>
      </c>
      <c r="AE214" s="300">
        <f t="shared" si="202"/>
        <v>8.0865153194496546</v>
      </c>
      <c r="AF214" s="300">
        <f t="shared" si="202"/>
        <v>8.516004567074237</v>
      </c>
      <c r="AG214" s="300">
        <f>AG212*AG49</f>
        <v>8.952037220899717</v>
      </c>
      <c r="AH214" s="422"/>
      <c r="AI214" s="423"/>
      <c r="AJ214" s="424"/>
      <c r="AL214" s="221"/>
      <c r="AM214" s="124"/>
      <c r="AN214" s="124"/>
      <c r="AO214" s="124"/>
      <c r="BD214" s="124"/>
      <c r="BE214" s="124"/>
      <c r="BF214" s="124"/>
      <c r="BG214" s="124"/>
      <c r="BH214" s="124"/>
      <c r="BI214" s="124"/>
      <c r="BJ214" s="124"/>
      <c r="BK214" s="124"/>
    </row>
    <row r="215" spans="1:63" outlineLevel="1">
      <c r="A215" s="4" t="s">
        <v>258</v>
      </c>
      <c r="C215" s="230">
        <f>C$214*'Ethylene recycling rates'!E108</f>
        <v>1.0081324273678582</v>
      </c>
      <c r="D215" s="230">
        <f>D$214*'Ethylene recycling rates'!F108</f>
        <v>1.0890423311906798</v>
      </c>
      <c r="E215" s="230">
        <f>E$214*'Ethylene recycling rates'!G108</f>
        <v>1.1711742930520239</v>
      </c>
      <c r="F215" s="230">
        <f>F$214*'Ethylene recycling rates'!H108</f>
        <v>1.2540498095040007</v>
      </c>
      <c r="G215" s="230">
        <f>G$214*'Ethylene recycling rates'!I108</f>
        <v>1.3371609256887687</v>
      </c>
      <c r="H215" s="230">
        <f>H$214*'Ethylene recycling rates'!J108</f>
        <v>1.4199752561276007</v>
      </c>
      <c r="I215" s="230">
        <f>I$214*'Ethylene recycling rates'!K108</f>
        <v>1.5051819358489029</v>
      </c>
      <c r="J215" s="230">
        <f>J$214*'Ethylene recycling rates'!L108</f>
        <v>1.592756657780029</v>
      </c>
      <c r="K215" s="230">
        <f>K$214*'Ethylene recycling rates'!M108</f>
        <v>1.6826700764118572</v>
      </c>
      <c r="L215" s="230">
        <f>L$214*'Ethylene recycling rates'!N108</f>
        <v>1.7748877174369531</v>
      </c>
      <c r="M215" s="230">
        <f>M$214*'Ethylene recycling rates'!O108</f>
        <v>1.8693698989092582</v>
      </c>
      <c r="N215" s="230">
        <f>N$214*'Ethylene recycling rates'!P108</f>
        <v>2.0289310163210557</v>
      </c>
      <c r="O215" s="230">
        <f>O$214*'Ethylene recycling rates'!Q108</f>
        <v>2.1896078567801527</v>
      </c>
      <c r="P215" s="230">
        <f>P$214*'Ethylene recycling rates'!R108</f>
        <v>2.3505906479467966</v>
      </c>
      <c r="Q215" s="230">
        <f>Q$214*'Ethylene recycling rates'!S108</f>
        <v>2.5110420019480832</v>
      </c>
      <c r="R215" s="230">
        <f>R$214*'Ethylene recycling rates'!T108</f>
        <v>2.6701039599391616</v>
      </c>
      <c r="S215" s="230">
        <f>S$214*'Ethylene recycling rates'!U108</f>
        <v>2.8319986110254161</v>
      </c>
      <c r="T215" s="230">
        <f>T$214*'Ethylene recycling rates'!V108</f>
        <v>2.9967208447978648</v>
      </c>
      <c r="U215" s="230">
        <f>U$214*'Ethylene recycling rates'!W108</f>
        <v>3.1642642063193351</v>
      </c>
      <c r="V215" s="230">
        <f>V$214*'Ethylene recycling rates'!X108</f>
        <v>3.3346208796942052</v>
      </c>
      <c r="W215" s="230">
        <f>W$214*'Ethylene recycling rates'!Y108</f>
        <v>3.5077816723241377</v>
      </c>
      <c r="X215" s="230">
        <f>X$214*'Ethylene recycling rates'!Z108</f>
        <v>3.778295543404349</v>
      </c>
      <c r="Y215" s="230">
        <f>Y$214*'Ethylene recycling rates'!AA108</f>
        <v>4.053536555354663</v>
      </c>
      <c r="Z215" s="230">
        <f>Z$214*'Ethylene recycling rates'!AB108</f>
        <v>4.3334974563014148</v>
      </c>
      <c r="AA215" s="230">
        <f>AA$214*'Ethylene recycling rates'!AC108</f>
        <v>4.6181689785379438</v>
      </c>
      <c r="AB215" s="230">
        <f>AB$214*'Ethylene recycling rates'!AD108</f>
        <v>4.9075398152761496</v>
      </c>
      <c r="AC215" s="230">
        <f>AC$214*'Ethylene recycling rates'!AE108</f>
        <v>5.2016457754608814</v>
      </c>
      <c r="AD215" s="230">
        <f>AD$214*'Ethylene recycling rates'!AF108</f>
        <v>5.5004799511625473</v>
      </c>
      <c r="AE215" s="230">
        <f>AE$214*'Ethylene recycling rates'!AG108</f>
        <v>5.8040336123327725</v>
      </c>
      <c r="AF215" s="230">
        <f>AF$214*'Ethylene recycling rates'!AH108</f>
        <v>6.1122961866152927</v>
      </c>
      <c r="AG215" s="230">
        <f>AG$214*'Ethylene recycling rates'!AI108</f>
        <v>6.4252552399161384</v>
      </c>
      <c r="AH215" s="245"/>
      <c r="AI215" s="133"/>
      <c r="AJ215" s="211"/>
      <c r="AL215" s="108"/>
      <c r="AM215" s="2"/>
      <c r="AN215" s="2"/>
      <c r="AO215" s="2"/>
      <c r="BC215" s="1"/>
      <c r="BD215" s="2"/>
      <c r="BE215" s="2"/>
      <c r="BF215" s="2"/>
      <c r="BG215" s="2"/>
      <c r="BH215" s="2"/>
      <c r="BI215" s="2"/>
      <c r="BJ215" s="2"/>
      <c r="BK215" s="2"/>
    </row>
    <row r="216" spans="1:63" outlineLevel="1">
      <c r="A216" s="4" t="s">
        <v>478</v>
      </c>
      <c r="C216" s="230">
        <f>C$214*'Ethylene recycling rates'!E109</f>
        <v>9.7824750363057281E-2</v>
      </c>
      <c r="D216" s="230">
        <f>D$214*'Ethylene recycling rates'!F109</f>
        <v>0.10567589266192351</v>
      </c>
      <c r="E216" s="230">
        <f>E$214*'Ethylene recycling rates'!G109</f>
        <v>0.11364561811445316</v>
      </c>
      <c r="F216" s="230">
        <f>F$214*'Ethylene recycling rates'!H109</f>
        <v>0.12168749484417153</v>
      </c>
      <c r="G216" s="230">
        <f>G$214*'Ethylene recycling rates'!I109</f>
        <v>0.1297522331389187</v>
      </c>
      <c r="H216" s="230">
        <f>H$214*'Ethylene recycling rates'!J109</f>
        <v>0.13778817264620566</v>
      </c>
      <c r="I216" s="230">
        <f>I$214*'Ethylene recycling rates'!K109</f>
        <v>0.14605625523805735</v>
      </c>
      <c r="J216" s="230">
        <f>J$214*'Ethylene recycling rates'!L109</f>
        <v>0.15455412226272408</v>
      </c>
      <c r="K216" s="230">
        <f>K$214*'Ethylene recycling rates'!M109</f>
        <v>0.16327892616067285</v>
      </c>
      <c r="L216" s="230">
        <f>L$214*'Ethylene recycling rates'!N109</f>
        <v>0.17222732169627078</v>
      </c>
      <c r="M216" s="230">
        <f>M$214*'Ethylene recycling rates'!O109</f>
        <v>0.18139545830746695</v>
      </c>
      <c r="N216" s="230">
        <f>N$214*'Ethylene recycling rates'!P109</f>
        <v>0.19687856950865437</v>
      </c>
      <c r="O216" s="230">
        <f>O$214*'Ethylene recycling rates'!Q109</f>
        <v>0.21246994558220719</v>
      </c>
      <c r="P216" s="230">
        <f>P$214*'Ethylene recycling rates'!R109</f>
        <v>0.22809100977090904</v>
      </c>
      <c r="Q216" s="230">
        <f>Q$214*'Ethylene recycling rates'!S109</f>
        <v>0.24366050562729324</v>
      </c>
      <c r="R216" s="230">
        <f>R$214*'Ethylene recycling rates'!T109</f>
        <v>0.25909518058697345</v>
      </c>
      <c r="S216" s="230">
        <f>S$214*'Ethylene recycling rates'!U109</f>
        <v>0.27480472766401459</v>
      </c>
      <c r="T216" s="230">
        <f>T$214*'Ethylene recycling rates'!V109</f>
        <v>0.29078865096673673</v>
      </c>
      <c r="U216" s="230">
        <f>U$214*'Ethylene recycling rates'!W109</f>
        <v>0.30704632413633987</v>
      </c>
      <c r="V216" s="230">
        <f>V$214*'Ethylene recycling rates'!X109</f>
        <v>0.32357698875258339</v>
      </c>
      <c r="W216" s="230">
        <f>W$214*'Ethylene recycling rates'!Y109</f>
        <v>0.34037975280603172</v>
      </c>
      <c r="X216" s="230">
        <f>X$214*'Ethylene recycling rates'!Z109</f>
        <v>0.36662923272531006</v>
      </c>
      <c r="Y216" s="230">
        <f>Y$214*'Ethylene recycling rates'!AA109</f>
        <v>0.39333741366738573</v>
      </c>
      <c r="Z216" s="230">
        <f>Z$214*'Ethylene recycling rates'!AB109</f>
        <v>0.4205035919422358</v>
      </c>
      <c r="AA216" s="230">
        <f>AA$214*'Ethylene recycling rates'!AC109</f>
        <v>0.44812686825224241</v>
      </c>
      <c r="AB216" s="230">
        <f>AB$214*'Ethylene recycling rates'!AD109</f>
        <v>0.47620614543626533</v>
      </c>
      <c r="AC216" s="230">
        <f>AC$214*'Ethylene recycling rates'!AE109</f>
        <v>0.50474489823730029</v>
      </c>
      <c r="AD216" s="230">
        <f>AD$214*'Ethylene recycling rates'!AF109</f>
        <v>0.53374245634014916</v>
      </c>
      <c r="AE216" s="230">
        <f>AE$214*'Ethylene recycling rates'!AG109</f>
        <v>0.56319797261919635</v>
      </c>
      <c r="AF216" s="230">
        <f>AF$214*'Ethylene recycling rates'!AH109</f>
        <v>0.59311042117934709</v>
      </c>
      <c r="AG216" s="230">
        <f>AG$214*'Ethylene recycling rates'!AI109</f>
        <v>0.62347859547064255</v>
      </c>
      <c r="AH216" s="245"/>
      <c r="AI216" s="133"/>
      <c r="AJ216" s="211"/>
      <c r="AL216" s="108"/>
      <c r="AM216" s="2"/>
      <c r="AN216" s="2"/>
      <c r="AO216" s="2"/>
      <c r="BC216" s="1"/>
      <c r="BD216" s="2"/>
      <c r="BE216" s="2"/>
      <c r="BF216" s="2"/>
      <c r="BG216" s="2"/>
      <c r="BH216" s="2"/>
      <c r="BI216" s="2"/>
      <c r="BJ216" s="2"/>
      <c r="BK216" s="2"/>
    </row>
    <row r="217" spans="1:63" outlineLevel="1">
      <c r="A217" s="4" t="s">
        <v>480</v>
      </c>
      <c r="C217" s="230">
        <f>C$214*'Ethylene recycling rates'!E110</f>
        <v>0.22582166373040025</v>
      </c>
      <c r="D217" s="230">
        <f>D$214*'Ethylene recycling rates'!F110</f>
        <v>0.24394548218671225</v>
      </c>
      <c r="E217" s="230">
        <f>E$214*'Ethylene recycling rates'!G110</f>
        <v>0.2623430416436533</v>
      </c>
      <c r="F217" s="230">
        <f>F$214*'Ethylene recycling rates'!H110</f>
        <v>0.28090715732889615</v>
      </c>
      <c r="G217" s="230">
        <f>G$214*'Ethylene recycling rates'!I110</f>
        <v>0.29952404735428412</v>
      </c>
      <c r="H217" s="230">
        <f>H$214*'Ethylene recycling rates'!J110</f>
        <v>0.31807445737258255</v>
      </c>
      <c r="I217" s="230">
        <f>I$214*'Ethylene recycling rates'!K110</f>
        <v>0.33716075363015424</v>
      </c>
      <c r="J217" s="230">
        <f>J$214*'Ethylene recycling rates'!L110</f>
        <v>0.35677749134272646</v>
      </c>
      <c r="K217" s="230">
        <f>K$214*'Ethylene recycling rates'!M110</f>
        <v>0.37691809711625601</v>
      </c>
      <c r="L217" s="230">
        <f>L$214*'Ethylene recycling rates'!N110</f>
        <v>0.39757484870587745</v>
      </c>
      <c r="M217" s="230">
        <f>M$214*'Ethylene recycling rates'!O110</f>
        <v>0.41873885735567379</v>
      </c>
      <c r="N217" s="230">
        <f>N$214*'Ethylene recycling rates'!P110</f>
        <v>0.45448054765591639</v>
      </c>
      <c r="O217" s="230">
        <f>O$214*'Ethylene recycling rates'!Q110</f>
        <v>0.4904721599187542</v>
      </c>
      <c r="P217" s="230">
        <f>P$214*'Ethylene recycling rates'!R110</f>
        <v>0.52653230514008242</v>
      </c>
      <c r="Q217" s="230">
        <f>Q$214*'Ethylene recycling rates'!S110</f>
        <v>0.56247340843637061</v>
      </c>
      <c r="R217" s="230">
        <f>R$214*'Ethylene recycling rates'!T110</f>
        <v>0.59810328702637217</v>
      </c>
      <c r="S217" s="230">
        <f>S$214*'Ethylene recycling rates'!U110</f>
        <v>0.63436768886969319</v>
      </c>
      <c r="T217" s="230">
        <f>T$214*'Ethylene recycling rates'!V110</f>
        <v>0.67126546923472175</v>
      </c>
      <c r="U217" s="230">
        <f>U$214*'Ethylene recycling rates'!W110</f>
        <v>0.70879518221553095</v>
      </c>
      <c r="V217" s="230">
        <f>V$214*'Ethylene recycling rates'!X110</f>
        <v>0.74695507705150188</v>
      </c>
      <c r="W217" s="230">
        <f>W$214*'Ethylene recycling rates'!Y110</f>
        <v>0.78574309460060676</v>
      </c>
      <c r="X217" s="230">
        <f>X$214*'Ethylene recycling rates'!Z110</f>
        <v>0.84633820172257412</v>
      </c>
      <c r="Y217" s="230">
        <f>Y$214*'Ethylene recycling rates'!AA110</f>
        <v>0.9079921883994444</v>
      </c>
      <c r="Z217" s="230">
        <f>Z$214*'Ethylene recycling rates'!AB110</f>
        <v>0.97070343021151673</v>
      </c>
      <c r="AA217" s="230">
        <f>AA$214*'Ethylene recycling rates'!AC110</f>
        <v>1.0344698511924995</v>
      </c>
      <c r="AB217" s="230">
        <f>AB$214*'Ethylene recycling rates'!AD110</f>
        <v>1.0992889186218573</v>
      </c>
      <c r="AC217" s="230">
        <f>AC$214*'Ethylene recycling rates'!AE110</f>
        <v>1.1651686537032373</v>
      </c>
      <c r="AD217" s="230">
        <f>AD$214*'Ethylene recycling rates'!AF110</f>
        <v>1.2321075090604106</v>
      </c>
      <c r="AE217" s="230">
        <f>AE$214*'Ethylene recycling rates'!AG110</f>
        <v>1.3001035291625409</v>
      </c>
      <c r="AF217" s="230">
        <f>AF$214*'Ethylene recycling rates'!AH110</f>
        <v>1.3691543458018256</v>
      </c>
      <c r="AG217" s="230">
        <f>AG$214*'Ethylene recycling rates'!AI110</f>
        <v>1.439257173741215</v>
      </c>
      <c r="AH217" s="245"/>
      <c r="AI217" s="133"/>
      <c r="AJ217" s="211"/>
      <c r="AL217" s="108"/>
      <c r="AM217" s="2"/>
      <c r="AN217" s="2"/>
      <c r="AO217" s="2"/>
      <c r="BC217" s="1"/>
      <c r="BD217" s="2"/>
      <c r="BE217" s="2"/>
      <c r="BF217" s="2"/>
      <c r="BG217" s="2"/>
      <c r="BH217" s="2"/>
      <c r="BI217" s="2"/>
      <c r="BJ217" s="2"/>
      <c r="BK217" s="2"/>
    </row>
    <row r="218" spans="1:63" outlineLevel="1">
      <c r="A218" s="4" t="s">
        <v>474</v>
      </c>
      <c r="C218" s="230">
        <f>C$214*'Ethylene recycling rates'!E111</f>
        <v>0</v>
      </c>
      <c r="D218" s="230">
        <f>D$214*'Ethylene recycling rates'!F111</f>
        <v>0</v>
      </c>
      <c r="E218" s="230">
        <f>E$214*'Ethylene recycling rates'!G111</f>
        <v>0</v>
      </c>
      <c r="F218" s="230">
        <f>F$214*'Ethylene recycling rates'!H111</f>
        <v>0</v>
      </c>
      <c r="G218" s="230">
        <f>G$214*'Ethylene recycling rates'!I111</f>
        <v>0</v>
      </c>
      <c r="H218" s="230">
        <f>H$214*'Ethylene recycling rates'!J111</f>
        <v>0</v>
      </c>
      <c r="I218" s="230">
        <f>I$214*'Ethylene recycling rates'!K111</f>
        <v>0</v>
      </c>
      <c r="J218" s="230">
        <f>J$214*'Ethylene recycling rates'!L111</f>
        <v>0</v>
      </c>
      <c r="K218" s="230">
        <f>K$214*'Ethylene recycling rates'!M111</f>
        <v>0</v>
      </c>
      <c r="L218" s="230">
        <f>L$214*'Ethylene recycling rates'!N111</f>
        <v>0</v>
      </c>
      <c r="M218" s="230">
        <f>M$214*'Ethylene recycling rates'!O111</f>
        <v>0</v>
      </c>
      <c r="N218" s="230">
        <f>N$214*'Ethylene recycling rates'!P111</f>
        <v>0</v>
      </c>
      <c r="O218" s="230">
        <f>O$214*'Ethylene recycling rates'!Q111</f>
        <v>0</v>
      </c>
      <c r="P218" s="230">
        <f>P$214*'Ethylene recycling rates'!R111</f>
        <v>0</v>
      </c>
      <c r="Q218" s="230">
        <f>Q$214*'Ethylene recycling rates'!S111</f>
        <v>0</v>
      </c>
      <c r="R218" s="230">
        <f>R$214*'Ethylene recycling rates'!T111</f>
        <v>0</v>
      </c>
      <c r="S218" s="230">
        <f>S$214*'Ethylene recycling rates'!U111</f>
        <v>0</v>
      </c>
      <c r="T218" s="230">
        <f>T$214*'Ethylene recycling rates'!V111</f>
        <v>0</v>
      </c>
      <c r="U218" s="230">
        <f>U$214*'Ethylene recycling rates'!W111</f>
        <v>0</v>
      </c>
      <c r="V218" s="230">
        <f>V$214*'Ethylene recycling rates'!X111</f>
        <v>0</v>
      </c>
      <c r="W218" s="230">
        <f>W$214*'Ethylene recycling rates'!Y111</f>
        <v>0</v>
      </c>
      <c r="X218" s="230">
        <f>X$214*'Ethylene recycling rates'!Z111</f>
        <v>0</v>
      </c>
      <c r="Y218" s="230">
        <f>Y$214*'Ethylene recycling rates'!AA111</f>
        <v>0</v>
      </c>
      <c r="Z218" s="230">
        <f>Z$214*'Ethylene recycling rates'!AB111</f>
        <v>0</v>
      </c>
      <c r="AA218" s="230">
        <f>AA$214*'Ethylene recycling rates'!AC111</f>
        <v>0</v>
      </c>
      <c r="AB218" s="230">
        <f>AB$214*'Ethylene recycling rates'!AD111</f>
        <v>0</v>
      </c>
      <c r="AC218" s="230">
        <f>AC$214*'Ethylene recycling rates'!AE111</f>
        <v>0</v>
      </c>
      <c r="AD218" s="230">
        <f>AD$214*'Ethylene recycling rates'!AF111</f>
        <v>0</v>
      </c>
      <c r="AE218" s="230">
        <f>AE$214*'Ethylene recycling rates'!AG111</f>
        <v>0</v>
      </c>
      <c r="AF218" s="230">
        <f>AF$214*'Ethylene recycling rates'!AH111</f>
        <v>0</v>
      </c>
      <c r="AG218" s="230">
        <f>AG$214*'Ethylene recycling rates'!AI111</f>
        <v>0</v>
      </c>
      <c r="AH218" s="245"/>
      <c r="AI218" s="133"/>
      <c r="AJ218" s="211"/>
      <c r="AL218" s="108"/>
      <c r="AM218" s="2"/>
      <c r="AN218" s="2"/>
      <c r="AO218" s="2"/>
      <c r="BC218" s="1"/>
      <c r="BD218" s="2"/>
      <c r="BE218" s="2"/>
      <c r="BF218" s="2"/>
      <c r="BG218" s="2"/>
      <c r="BH218" s="2"/>
      <c r="BI218" s="2"/>
      <c r="BJ218" s="2"/>
      <c r="BK218" s="2"/>
    </row>
    <row r="219" spans="1:63" outlineLevel="1">
      <c r="A219" s="4" t="s">
        <v>248</v>
      </c>
      <c r="C219" s="230">
        <f>C$214*'Ethylene recycling rates'!E112</f>
        <v>7.2809564198789783E-2</v>
      </c>
      <c r="D219" s="230">
        <f>D$214*'Ethylene recycling rates'!F112</f>
        <v>7.8653057252660211E-2</v>
      </c>
      <c r="E219" s="230">
        <f>E$214*'Ethylene recycling rates'!G112</f>
        <v>8.4584810053757287E-2</v>
      </c>
      <c r="F219" s="230">
        <f>F$214*'Ethylene recycling rates'!H112</f>
        <v>9.0570264019733393E-2</v>
      </c>
      <c r="G219" s="230">
        <f>G$214*'Ethylene recycling rates'!I112</f>
        <v>9.6572733521966631E-2</v>
      </c>
      <c r="H219" s="230">
        <f>H$214*'Ethylene recycling rates'!J112</f>
        <v>0.10255376849810451</v>
      </c>
      <c r="I219" s="230">
        <f>I$214*'Ethylene recycling rates'!K112</f>
        <v>0.10870758425575412</v>
      </c>
      <c r="J219" s="230">
        <f>J$214*'Ethylene recycling rates'!L112</f>
        <v>0.11503242528411323</v>
      </c>
      <c r="K219" s="230">
        <f>K$214*'Ethylene recycling rates'!M112</f>
        <v>0.12152617218530082</v>
      </c>
      <c r="L219" s="230">
        <f>L$214*'Ethylene recycling rates'!N112</f>
        <v>0.12818633514822442</v>
      </c>
      <c r="M219" s="230">
        <f>M$214*'Ethylene recycling rates'!O112</f>
        <v>0.13501004825455756</v>
      </c>
      <c r="N219" s="230">
        <f>N$214*'Ethylene recycling rates'!P112</f>
        <v>0.14653390673429847</v>
      </c>
      <c r="O219" s="230">
        <f>O$214*'Ethylene recycling rates'!Q112</f>
        <v>0.15813834521189996</v>
      </c>
      <c r="P219" s="230">
        <f>P$214*'Ethylene recycling rates'!R112</f>
        <v>0.1697648801294909</v>
      </c>
      <c r="Q219" s="230">
        <f>Q$214*'Ethylene recycling rates'!S112</f>
        <v>0.18135303347402826</v>
      </c>
      <c r="R219" s="230">
        <f>R$214*'Ethylene recycling rates'!T112</f>
        <v>0.19284084155116168</v>
      </c>
      <c r="S219" s="230">
        <f>S$214*'Ethylene recycling rates'!U112</f>
        <v>0.20453323301850229</v>
      </c>
      <c r="T219" s="230">
        <f>T$214*'Ethylene recycling rates'!V112</f>
        <v>0.21642983879095695</v>
      </c>
      <c r="U219" s="230">
        <f>U$214*'Ethylene recycling rates'!W112</f>
        <v>0.22853019267861868</v>
      </c>
      <c r="V219" s="230">
        <f>V$214*'Ethylene recycling rates'!X112</f>
        <v>0.24083373020013707</v>
      </c>
      <c r="W219" s="230">
        <f>W$214*'Ethylene recycling rates'!Y112</f>
        <v>0.25333978744563218</v>
      </c>
      <c r="X219" s="230">
        <f>X$214*'Ethylene recycling rates'!Z112</f>
        <v>0.27287690035698081</v>
      </c>
      <c r="Y219" s="230">
        <f>Y$214*'Ethylene recycling rates'!AA112</f>
        <v>0.29275541788672571</v>
      </c>
      <c r="Z219" s="230">
        <f>Z$214*'Ethylene recycling rates'!AB112</f>
        <v>0.31297481628843554</v>
      </c>
      <c r="AA219" s="230">
        <f>AA$214*'Ethylene recycling rates'!AC112</f>
        <v>0.33353442622774043</v>
      </c>
      <c r="AB219" s="230">
        <f>AB$214*'Ethylene recycling rates'!AD112</f>
        <v>0.35443343110327752</v>
      </c>
      <c r="AC219" s="230">
        <f>AC$214*'Ethylene recycling rates'!AE112</f>
        <v>0.37567441711661925</v>
      </c>
      <c r="AD219" s="230">
        <f>AD$214*'Ethylene recycling rates'!AF112</f>
        <v>0.39725688536173959</v>
      </c>
      <c r="AE219" s="230">
        <f>AE$214*'Ethylene recycling rates'!AG112</f>
        <v>0.41918020533514472</v>
      </c>
      <c r="AF219" s="230">
        <f>AF$214*'Ethylene recycling rates'!AH112</f>
        <v>0.44144361347777122</v>
      </c>
      <c r="AG219" s="230">
        <f>AG$214*'Ethylene recycling rates'!AI112</f>
        <v>0.46404621177172106</v>
      </c>
      <c r="AH219" s="245"/>
      <c r="AI219" s="133"/>
      <c r="AJ219" s="211"/>
      <c r="AL219" s="108"/>
      <c r="AM219" s="2"/>
      <c r="AN219" s="2"/>
      <c r="AO219" s="2"/>
      <c r="BC219" s="1"/>
      <c r="BD219" s="2"/>
      <c r="BE219" s="2"/>
      <c r="BF219" s="2"/>
      <c r="BG219" s="2"/>
      <c r="BH219" s="2"/>
      <c r="BI219" s="2"/>
      <c r="BJ219" s="2"/>
      <c r="BK219" s="2"/>
    </row>
    <row r="220" spans="1:63" outlineLevel="2">
      <c r="C220" s="113"/>
      <c r="D220" s="110"/>
      <c r="E220" s="110"/>
      <c r="F220" s="110"/>
      <c r="G220" s="110"/>
      <c r="H220" s="110"/>
      <c r="I220" s="110"/>
      <c r="J220" s="110"/>
      <c r="K220" s="110"/>
      <c r="L220" s="110"/>
      <c r="M220" s="121"/>
      <c r="N220" s="121"/>
      <c r="O220" s="121"/>
      <c r="P220" s="121"/>
      <c r="Q220" s="121"/>
      <c r="R220" s="121"/>
      <c r="S220" s="121"/>
      <c r="T220" s="121"/>
      <c r="U220" s="121"/>
      <c r="V220" s="121"/>
      <c r="W220" s="121"/>
      <c r="X220" s="23"/>
      <c r="Y220" s="23"/>
      <c r="Z220" s="23"/>
      <c r="AA220" s="23"/>
      <c r="AB220" s="23"/>
      <c r="AC220" s="23"/>
      <c r="AD220" s="23"/>
      <c r="AE220" s="23"/>
      <c r="AF220" s="23"/>
      <c r="AG220" s="106"/>
      <c r="AJ220" s="211"/>
    </row>
    <row r="221" spans="1:63" s="200" customFormat="1" ht="16" thickBot="1">
      <c r="A221" s="227" t="s">
        <v>1354</v>
      </c>
      <c r="B221" s="228"/>
      <c r="C221" s="229">
        <f t="shared" ref="C221:AG221" si="203">(C45*C69+C46*C106+C48*C155+C47*C199+C49*C208)/C50</f>
        <v>0.12432628235285131</v>
      </c>
      <c r="D221" s="229">
        <f t="shared" si="203"/>
        <v>0.13013522293747887</v>
      </c>
      <c r="E221" s="229">
        <f t="shared" si="203"/>
        <v>0.1359192848076744</v>
      </c>
      <c r="F221" s="229">
        <f t="shared" si="203"/>
        <v>0.14167846796343792</v>
      </c>
      <c r="G221" s="229">
        <f t="shared" si="203"/>
        <v>0.14741277240476947</v>
      </c>
      <c r="H221" s="229">
        <f t="shared" si="203"/>
        <v>0.15312219813166889</v>
      </c>
      <c r="I221" s="229">
        <f t="shared" si="203"/>
        <v>0.15880674514413637</v>
      </c>
      <c r="J221" s="229">
        <f t="shared" si="203"/>
        <v>0.16446641344217175</v>
      </c>
      <c r="K221" s="229">
        <f t="shared" si="203"/>
        <v>0.17010120302577519</v>
      </c>
      <c r="L221" s="229">
        <f t="shared" si="203"/>
        <v>0.17571111389494656</v>
      </c>
      <c r="M221" s="229">
        <f t="shared" si="203"/>
        <v>0.18129614604968586</v>
      </c>
      <c r="N221" s="229">
        <f t="shared" si="203"/>
        <v>0.19342943185318112</v>
      </c>
      <c r="O221" s="229">
        <f t="shared" si="203"/>
        <v>0.20551028098164262</v>
      </c>
      <c r="P221" s="229">
        <f t="shared" si="203"/>
        <v>0.21753594021057249</v>
      </c>
      <c r="Q221" s="229">
        <f t="shared" si="203"/>
        <v>0.22950923651790062</v>
      </c>
      <c r="R221" s="229">
        <f t="shared" si="203"/>
        <v>0.24143017468599248</v>
      </c>
      <c r="S221" s="229">
        <f t="shared" si="203"/>
        <v>0.25329875949663122</v>
      </c>
      <c r="T221" s="229">
        <f t="shared" si="203"/>
        <v>0.2651149957310176</v>
      </c>
      <c r="U221" s="229">
        <f t="shared" si="203"/>
        <v>0.27687888816977024</v>
      </c>
      <c r="V221" s="229">
        <f t="shared" si="203"/>
        <v>0.28859044159292557</v>
      </c>
      <c r="W221" s="229">
        <f t="shared" si="203"/>
        <v>0.30024966077993831</v>
      </c>
      <c r="X221" s="229">
        <f t="shared" si="203"/>
        <v>0.32009988506114767</v>
      </c>
      <c r="Y221" s="229">
        <f t="shared" si="203"/>
        <v>0.33986253434336433</v>
      </c>
      <c r="Z221" s="229">
        <f t="shared" si="203"/>
        <v>0.35953424025405767</v>
      </c>
      <c r="AA221" s="229">
        <f t="shared" si="203"/>
        <v>0.37911861341112868</v>
      </c>
      <c r="AB221" s="229">
        <f t="shared" si="203"/>
        <v>0.39861567374627888</v>
      </c>
      <c r="AC221" s="229">
        <f t="shared" si="203"/>
        <v>0.41802544118514534</v>
      </c>
      <c r="AD221" s="229">
        <f t="shared" si="203"/>
        <v>0.4373479356473024</v>
      </c>
      <c r="AE221" s="229">
        <f t="shared" si="203"/>
        <v>0.45658317704626405</v>
      </c>
      <c r="AF221" s="229">
        <f t="shared" si="203"/>
        <v>0.47573118528948705</v>
      </c>
      <c r="AG221" s="229">
        <f t="shared" si="203"/>
        <v>0.49479198027837185</v>
      </c>
      <c r="AJ221" s="231" t="s">
        <v>1355</v>
      </c>
      <c r="AL221" s="217"/>
      <c r="AM221" s="225"/>
      <c r="AN221" s="225"/>
      <c r="AO221" s="225"/>
    </row>
    <row r="222" spans="1:63" s="200" customFormat="1" ht="17" thickTop="1" thickBot="1">
      <c r="A222" s="227" t="s">
        <v>1356</v>
      </c>
      <c r="B222" s="228"/>
      <c r="C222" s="229">
        <f t="shared" ref="C222:AG222" si="204">(C14*C52+C106*C15+C17*C155+C195*C16+C208*C18)/C19</f>
        <v>0.10392620862112158</v>
      </c>
      <c r="D222" s="229">
        <f t="shared" si="204"/>
        <v>0.10914907209487128</v>
      </c>
      <c r="E222" s="229">
        <f t="shared" si="204"/>
        <v>0.11437193556862101</v>
      </c>
      <c r="F222" s="229">
        <f t="shared" si="204"/>
        <v>0.11959479904237068</v>
      </c>
      <c r="G222" s="229">
        <f t="shared" si="204"/>
        <v>0.12481766251612042</v>
      </c>
      <c r="H222" s="229">
        <f t="shared" si="204"/>
        <v>0.13004052598987015</v>
      </c>
      <c r="I222" s="229">
        <f t="shared" si="204"/>
        <v>0.13526338946361988</v>
      </c>
      <c r="J222" s="229">
        <f t="shared" si="204"/>
        <v>0.14048625293736958</v>
      </c>
      <c r="K222" s="229">
        <f t="shared" si="204"/>
        <v>0.1457091164111193</v>
      </c>
      <c r="L222" s="229">
        <f t="shared" si="204"/>
        <v>0.15093197988486898</v>
      </c>
      <c r="M222" s="229">
        <f t="shared" si="204"/>
        <v>0.15615484335861871</v>
      </c>
      <c r="N222" s="229">
        <f t="shared" si="204"/>
        <v>0.16716303252636805</v>
      </c>
      <c r="O222" s="229">
        <f t="shared" si="204"/>
        <v>0.17817122169411745</v>
      </c>
      <c r="P222" s="229">
        <f t="shared" si="204"/>
        <v>0.18917941086186682</v>
      </c>
      <c r="Q222" s="229">
        <f t="shared" si="204"/>
        <v>0.20018760002961619</v>
      </c>
      <c r="R222" s="229">
        <f t="shared" si="204"/>
        <v>0.21119578919736562</v>
      </c>
      <c r="S222" s="229">
        <f t="shared" si="204"/>
        <v>0.22220397836511507</v>
      </c>
      <c r="T222" s="229">
        <f t="shared" si="204"/>
        <v>0.23321216753286442</v>
      </c>
      <c r="U222" s="229">
        <f t="shared" si="204"/>
        <v>0.24422035670061382</v>
      </c>
      <c r="V222" s="229">
        <f t="shared" si="204"/>
        <v>0.25522854586836319</v>
      </c>
      <c r="W222" s="229">
        <f t="shared" si="204"/>
        <v>0.26623673503611256</v>
      </c>
      <c r="X222" s="229">
        <f t="shared" si="204"/>
        <v>0.28465546566672584</v>
      </c>
      <c r="Y222" s="229">
        <f t="shared" si="204"/>
        <v>0.30307419629733917</v>
      </c>
      <c r="Z222" s="229">
        <f t="shared" si="204"/>
        <v>0.32149292692795245</v>
      </c>
      <c r="AA222" s="229">
        <f t="shared" si="204"/>
        <v>0.33991165755856578</v>
      </c>
      <c r="AB222" s="229">
        <f t="shared" si="204"/>
        <v>0.35833038818917906</v>
      </c>
      <c r="AC222" s="229">
        <f t="shared" si="204"/>
        <v>0.37674911881979239</v>
      </c>
      <c r="AD222" s="229">
        <f t="shared" si="204"/>
        <v>0.39516784945040562</v>
      </c>
      <c r="AE222" s="229">
        <f t="shared" si="204"/>
        <v>0.4135865800810189</v>
      </c>
      <c r="AF222" s="229">
        <f t="shared" si="204"/>
        <v>0.43200531071163223</v>
      </c>
      <c r="AG222" s="229">
        <f t="shared" si="204"/>
        <v>0.45042404134224556</v>
      </c>
      <c r="AJ222" s="226" t="s">
        <v>1357</v>
      </c>
      <c r="AL222" s="217"/>
      <c r="AM222" s="225"/>
      <c r="AN222" s="225"/>
      <c r="AO222" s="225"/>
    </row>
    <row r="223" spans="1:63" ht="16" thickTop="1">
      <c r="A223" t="s">
        <v>53</v>
      </c>
      <c r="B223" s="130"/>
      <c r="C223" s="230">
        <f>C214+C201+C188+C182+C176+C148+C142+C136+C130+C99+C93+C87+C81+C75</f>
        <v>17.861834618571326</v>
      </c>
      <c r="D223" s="230">
        <f t="shared" ref="D223:AG223" si="205">D214+D201+D188+D182+D176+D148+D142+D136+D130+D99+D93+D87+D81+D75</f>
        <v>19.325366739382417</v>
      </c>
      <c r="E223" s="230">
        <f t="shared" si="205"/>
        <v>20.808478700996972</v>
      </c>
      <c r="F223" s="230">
        <f t="shared" si="205"/>
        <v>22.302197361971405</v>
      </c>
      <c r="G223" s="230">
        <f t="shared" si="205"/>
        <v>23.797049714397261</v>
      </c>
      <c r="H223" s="230">
        <f t="shared" si="205"/>
        <v>25.283160777666147</v>
      </c>
      <c r="I223" s="230">
        <f t="shared" si="205"/>
        <v>26.808073759415315</v>
      </c>
      <c r="J223" s="230">
        <f t="shared" si="205"/>
        <v>28.371073711726893</v>
      </c>
      <c r="K223" s="230">
        <f t="shared" si="205"/>
        <v>29.971354992401892</v>
      </c>
      <c r="L223" s="230">
        <f t="shared" si="205"/>
        <v>31.608020522894599</v>
      </c>
      <c r="M223" s="230">
        <f t="shared" si="205"/>
        <v>33.280081282392317</v>
      </c>
      <c r="N223" s="230">
        <f t="shared" si="205"/>
        <v>36.167180473262178</v>
      </c>
      <c r="O223" s="230">
        <f t="shared" si="205"/>
        <v>39.065428161327972</v>
      </c>
      <c r="P223" s="230">
        <f t="shared" si="205"/>
        <v>41.960592578982194</v>
      </c>
      <c r="Q223" s="230">
        <f t="shared" si="205"/>
        <v>44.836499658987734</v>
      </c>
      <c r="R223" s="230">
        <f t="shared" si="205"/>
        <v>47.677381042904841</v>
      </c>
      <c r="S223" s="230">
        <f t="shared" si="205"/>
        <v>50.558267947387201</v>
      </c>
      <c r="T223" s="230">
        <f t="shared" si="205"/>
        <v>53.478731151569093</v>
      </c>
      <c r="U223" s="230">
        <f t="shared" si="205"/>
        <v>56.438317342824988</v>
      </c>
      <c r="V223" s="230">
        <f t="shared" si="205"/>
        <v>59.436549078771705</v>
      </c>
      <c r="W223" s="230">
        <f t="shared" si="205"/>
        <v>62.472924765866452</v>
      </c>
      <c r="X223" s="230">
        <f t="shared" si="205"/>
        <v>67.281471053264212</v>
      </c>
      <c r="Y223" s="230">
        <f t="shared" si="205"/>
        <v>72.155165563138695</v>
      </c>
      <c r="Z223" s="230">
        <f t="shared" si="205"/>
        <v>77.096460945816489</v>
      </c>
      <c r="AA223" s="230">
        <f t="shared" si="205"/>
        <v>82.102007498591519</v>
      </c>
      <c r="AB223" s="230">
        <f t="shared" si="205"/>
        <v>87.17104696136974</v>
      </c>
      <c r="AC223" s="230">
        <f t="shared" si="205"/>
        <v>92.303657731265673</v>
      </c>
      <c r="AD223" s="230">
        <f t="shared" si="205"/>
        <v>97.499158120283667</v>
      </c>
      <c r="AE223" s="230">
        <f t="shared" si="205"/>
        <v>102.75683424854464</v>
      </c>
      <c r="AF223" s="230">
        <f t="shared" si="205"/>
        <v>108.07594003255964</v>
      </c>
      <c r="AG223" s="230">
        <f t="shared" si="205"/>
        <v>113.455697192171</v>
      </c>
    </row>
    <row r="224" spans="1:63">
      <c r="A224" t="s">
        <v>1358</v>
      </c>
      <c r="B224" s="130"/>
      <c r="C224" s="230">
        <f>(C45*C69+C46*C125+C47*C199+C48*C172+C49*C212)</f>
        <v>17.861834618571326</v>
      </c>
      <c r="D224" s="230">
        <f t="shared" ref="D224:AG224" si="206">(D45*D69+D46*D125+D47*D199+D48*D172+D49*D212)</f>
        <v>19.325366739382417</v>
      </c>
      <c r="E224" s="230">
        <f t="shared" si="206"/>
        <v>20.808478700996968</v>
      </c>
      <c r="F224" s="230">
        <f t="shared" si="206"/>
        <v>22.302197361971409</v>
      </c>
      <c r="G224" s="230">
        <f t="shared" si="206"/>
        <v>23.797049714397264</v>
      </c>
      <c r="H224" s="230">
        <f t="shared" si="206"/>
        <v>25.283160777666151</v>
      </c>
      <c r="I224" s="230">
        <f t="shared" si="206"/>
        <v>26.808073759415315</v>
      </c>
      <c r="J224" s="230">
        <f t="shared" si="206"/>
        <v>28.371073711726893</v>
      </c>
      <c r="K224" s="230">
        <f t="shared" si="206"/>
        <v>29.971354992401888</v>
      </c>
      <c r="L224" s="230">
        <f t="shared" si="206"/>
        <v>31.608020522894599</v>
      </c>
      <c r="M224" s="230">
        <f t="shared" si="206"/>
        <v>33.280081282392317</v>
      </c>
      <c r="N224" s="230">
        <f t="shared" si="206"/>
        <v>36.167180473262178</v>
      </c>
      <c r="O224" s="230">
        <f t="shared" si="206"/>
        <v>39.065428161327972</v>
      </c>
      <c r="P224" s="230">
        <f t="shared" si="206"/>
        <v>41.960592578982194</v>
      </c>
      <c r="Q224" s="230">
        <f t="shared" si="206"/>
        <v>44.836499658987741</v>
      </c>
      <c r="R224" s="230">
        <f t="shared" si="206"/>
        <v>47.677381042904841</v>
      </c>
      <c r="S224" s="230">
        <f t="shared" si="206"/>
        <v>50.558267947387201</v>
      </c>
      <c r="T224" s="230">
        <f t="shared" si="206"/>
        <v>53.4787311515691</v>
      </c>
      <c r="U224" s="230">
        <f t="shared" si="206"/>
        <v>56.438317342824988</v>
      </c>
      <c r="V224" s="230">
        <f t="shared" si="206"/>
        <v>59.436549078771719</v>
      </c>
      <c r="W224" s="230">
        <f t="shared" si="206"/>
        <v>62.472924765866459</v>
      </c>
      <c r="X224" s="230">
        <f t="shared" si="206"/>
        <v>67.281471053264212</v>
      </c>
      <c r="Y224" s="230">
        <f t="shared" si="206"/>
        <v>72.155165563138681</v>
      </c>
      <c r="Z224" s="230">
        <f t="shared" si="206"/>
        <v>77.096460945816503</v>
      </c>
      <c r="AA224" s="230">
        <f t="shared" si="206"/>
        <v>82.102007498591519</v>
      </c>
      <c r="AB224" s="230">
        <f t="shared" si="206"/>
        <v>87.171046961369726</v>
      </c>
      <c r="AC224" s="230">
        <f t="shared" si="206"/>
        <v>92.303657731265673</v>
      </c>
      <c r="AD224" s="230">
        <f t="shared" si="206"/>
        <v>97.499158120283681</v>
      </c>
      <c r="AE224" s="230">
        <f t="shared" si="206"/>
        <v>102.75683424854462</v>
      </c>
      <c r="AF224" s="230">
        <f t="shared" si="206"/>
        <v>108.07594003255964</v>
      </c>
      <c r="AG224" s="230">
        <f t="shared" si="206"/>
        <v>113.45569719217102</v>
      </c>
      <c r="AI224" s="23">
        <f>(AG224/C224)^(1/30)-1</f>
        <v>6.3563296635208877E-2</v>
      </c>
    </row>
    <row r="225" spans="1:36">
      <c r="A225" t="s">
        <v>1359</v>
      </c>
      <c r="B225" s="130"/>
      <c r="C225" s="230">
        <f>C224</f>
        <v>17.861834618571326</v>
      </c>
      <c r="D225" s="230">
        <f>C225*(1+$AI$225)</f>
        <v>18.160127256701465</v>
      </c>
      <c r="E225" s="230">
        <f t="shared" ref="E225:AG225" si="207">D225*(1+$AI$225)</f>
        <v>18.463401381888378</v>
      </c>
      <c r="F225" s="230">
        <f t="shared" si="207"/>
        <v>18.771740184965914</v>
      </c>
      <c r="G225" s="230">
        <f t="shared" si="207"/>
        <v>19.085228246054843</v>
      </c>
      <c r="H225" s="230">
        <f t="shared" si="207"/>
        <v>19.403951557763957</v>
      </c>
      <c r="I225" s="230">
        <f t="shared" si="207"/>
        <v>19.727997548778614</v>
      </c>
      <c r="J225" s="230">
        <f t="shared" si="207"/>
        <v>20.057455107843214</v>
      </c>
      <c r="K225" s="230">
        <f t="shared" si="207"/>
        <v>20.392414608144193</v>
      </c>
      <c r="L225" s="230">
        <f t="shared" si="207"/>
        <v>20.732967932100198</v>
      </c>
      <c r="M225" s="230">
        <f>L225*(1+$AI$225)</f>
        <v>21.07920849656627</v>
      </c>
      <c r="N225" s="230">
        <f t="shared" si="207"/>
        <v>21.431231278458927</v>
      </c>
      <c r="O225" s="230">
        <f t="shared" si="207"/>
        <v>21.789132840809192</v>
      </c>
      <c r="P225" s="230">
        <f t="shared" si="207"/>
        <v>22.153011359250705</v>
      </c>
      <c r="Q225" s="230">
        <f t="shared" si="207"/>
        <v>22.522966648950192</v>
      </c>
      <c r="R225" s="230">
        <f t="shared" si="207"/>
        <v>22.899100191987657</v>
      </c>
      <c r="S225" s="230">
        <f t="shared" si="207"/>
        <v>23.281515165193849</v>
      </c>
      <c r="T225" s="230">
        <f t="shared" si="207"/>
        <v>23.670316468452583</v>
      </c>
      <c r="U225" s="230">
        <f t="shared" si="207"/>
        <v>24.065610753475738</v>
      </c>
      <c r="V225" s="230">
        <f t="shared" si="207"/>
        <v>24.467506453058782</v>
      </c>
      <c r="W225" s="230">
        <f t="shared" si="207"/>
        <v>24.876113810824862</v>
      </c>
      <c r="X225" s="230">
        <f t="shared" si="207"/>
        <v>25.291544911465635</v>
      </c>
      <c r="Y225" s="230">
        <f t="shared" si="207"/>
        <v>25.713913711487109</v>
      </c>
      <c r="Z225" s="230">
        <f t="shared" si="207"/>
        <v>26.143336070468941</v>
      </c>
      <c r="AA225" s="230">
        <f t="shared" si="207"/>
        <v>26.57992978284577</v>
      </c>
      <c r="AB225" s="230">
        <f t="shared" si="207"/>
        <v>27.023814610219294</v>
      </c>
      <c r="AC225" s="230">
        <f t="shared" si="207"/>
        <v>27.475112314209955</v>
      </c>
      <c r="AD225" s="230">
        <f t="shared" si="207"/>
        <v>27.933946689857258</v>
      </c>
      <c r="AE225" s="230">
        <f t="shared" si="207"/>
        <v>28.400443599577873</v>
      </c>
      <c r="AF225" s="230">
        <f t="shared" si="207"/>
        <v>28.874731007690823</v>
      </c>
      <c r="AG225" s="230">
        <f t="shared" si="207"/>
        <v>29.356939015519259</v>
      </c>
      <c r="AI225" s="214">
        <v>1.67E-2</v>
      </c>
      <c r="AJ225" s="3" t="s">
        <v>1360</v>
      </c>
    </row>
    <row r="226" spans="1:36">
      <c r="B226" s="1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30"/>
      <c r="AI226" s="214"/>
    </row>
    <row r="227" spans="1:36" s="58" customFormat="1">
      <c r="A227" s="58" t="s">
        <v>1361</v>
      </c>
      <c r="B227" s="303"/>
      <c r="C227" s="304"/>
      <c r="D227" s="304"/>
      <c r="E227" s="304"/>
      <c r="F227" s="304"/>
      <c r="G227" s="304"/>
      <c r="H227" s="304"/>
      <c r="I227" s="304"/>
      <c r="J227" s="304"/>
      <c r="K227" s="304"/>
      <c r="L227" s="304"/>
      <c r="M227" s="304"/>
      <c r="N227" s="304"/>
      <c r="O227" s="304"/>
      <c r="P227" s="304"/>
      <c r="Q227" s="304"/>
      <c r="R227" s="304"/>
      <c r="S227" s="304"/>
      <c r="T227" s="304"/>
      <c r="U227" s="304"/>
      <c r="V227" s="304"/>
      <c r="W227" s="304"/>
      <c r="X227" s="304"/>
      <c r="Y227" s="304"/>
      <c r="Z227" s="304"/>
      <c r="AA227" s="304"/>
      <c r="AB227" s="304"/>
      <c r="AC227" s="304"/>
      <c r="AD227" s="304"/>
      <c r="AE227" s="304"/>
      <c r="AF227" s="304"/>
      <c r="AG227" s="304"/>
      <c r="AI227" s="305"/>
      <c r="AJ227" s="306"/>
    </row>
    <row r="228" spans="1:36" s="190" customFormat="1" outlineLevel="1">
      <c r="A228" s="344" t="s">
        <v>1362</v>
      </c>
      <c r="B228" s="318" t="s">
        <v>462</v>
      </c>
      <c r="C228" s="319">
        <v>0.84</v>
      </c>
      <c r="D228" s="320">
        <f>-($C228-$AG228)/30+C228</f>
        <v>0.83566666666666667</v>
      </c>
      <c r="E228" s="320">
        <f t="shared" ref="E228:AF228" si="208">-($C228-$AG228)/30+D228</f>
        <v>0.83133333333333337</v>
      </c>
      <c r="F228" s="320">
        <f t="shared" si="208"/>
        <v>0.82700000000000007</v>
      </c>
      <c r="G228" s="320">
        <f t="shared" si="208"/>
        <v>0.82266666666666677</v>
      </c>
      <c r="H228" s="320">
        <f t="shared" si="208"/>
        <v>0.81833333333333347</v>
      </c>
      <c r="I228" s="320">
        <f t="shared" si="208"/>
        <v>0.81400000000000017</v>
      </c>
      <c r="J228" s="320">
        <f t="shared" si="208"/>
        <v>0.80966666666666687</v>
      </c>
      <c r="K228" s="320">
        <f t="shared" si="208"/>
        <v>0.80533333333333357</v>
      </c>
      <c r="L228" s="320">
        <f t="shared" si="208"/>
        <v>0.80100000000000027</v>
      </c>
      <c r="M228" s="320">
        <f t="shared" si="208"/>
        <v>0.79666666666666697</v>
      </c>
      <c r="N228" s="320">
        <f t="shared" si="208"/>
        <v>0.79233333333333367</v>
      </c>
      <c r="O228" s="320">
        <f t="shared" si="208"/>
        <v>0.78800000000000037</v>
      </c>
      <c r="P228" s="320">
        <f t="shared" si="208"/>
        <v>0.78366666666666707</v>
      </c>
      <c r="Q228" s="320">
        <f t="shared" si="208"/>
        <v>0.77933333333333377</v>
      </c>
      <c r="R228" s="320">
        <f t="shared" si="208"/>
        <v>0.77500000000000047</v>
      </c>
      <c r="S228" s="320">
        <f t="shared" si="208"/>
        <v>0.77066666666666717</v>
      </c>
      <c r="T228" s="320">
        <f t="shared" si="208"/>
        <v>0.76633333333333387</v>
      </c>
      <c r="U228" s="320">
        <f t="shared" si="208"/>
        <v>0.76200000000000057</v>
      </c>
      <c r="V228" s="320">
        <f t="shared" si="208"/>
        <v>0.75766666666666727</v>
      </c>
      <c r="W228" s="320">
        <f t="shared" si="208"/>
        <v>0.75333333333333397</v>
      </c>
      <c r="X228" s="320">
        <f t="shared" si="208"/>
        <v>0.74900000000000067</v>
      </c>
      <c r="Y228" s="320">
        <f t="shared" si="208"/>
        <v>0.74466666666666737</v>
      </c>
      <c r="Z228" s="320">
        <f t="shared" si="208"/>
        <v>0.74033333333333406</v>
      </c>
      <c r="AA228" s="320">
        <f t="shared" si="208"/>
        <v>0.73600000000000076</v>
      </c>
      <c r="AB228" s="320">
        <f t="shared" si="208"/>
        <v>0.73166666666666746</v>
      </c>
      <c r="AC228" s="320">
        <f t="shared" si="208"/>
        <v>0.72733333333333416</v>
      </c>
      <c r="AD228" s="320">
        <f t="shared" si="208"/>
        <v>0.72300000000000086</v>
      </c>
      <c r="AE228" s="320">
        <f t="shared" si="208"/>
        <v>0.71866666666666756</v>
      </c>
      <c r="AF228" s="320">
        <f t="shared" si="208"/>
        <v>0.71433333333333426</v>
      </c>
      <c r="AG228" s="319">
        <v>0.71</v>
      </c>
      <c r="AI228" s="321"/>
      <c r="AJ228" s="322" t="s">
        <v>1363</v>
      </c>
    </row>
    <row r="229" spans="1:36" outlineLevel="1">
      <c r="A229" s="3" t="s">
        <v>90</v>
      </c>
      <c r="B229" s="302" t="s">
        <v>462</v>
      </c>
      <c r="C229" s="296">
        <v>0.16</v>
      </c>
      <c r="D229" s="317">
        <f t="shared" ref="D229:AF229" si="209">-($C229-$AG229)/30+C229</f>
        <v>0.16206666666666666</v>
      </c>
      <c r="E229" s="317">
        <f t="shared" si="209"/>
        <v>0.16413333333333333</v>
      </c>
      <c r="F229" s="317">
        <f t="shared" si="209"/>
        <v>0.16619999999999999</v>
      </c>
      <c r="G229" s="317">
        <f t="shared" si="209"/>
        <v>0.16826666666666665</v>
      </c>
      <c r="H229" s="317">
        <f t="shared" si="209"/>
        <v>0.17033333333333331</v>
      </c>
      <c r="I229" s="317">
        <f t="shared" si="209"/>
        <v>0.17239999999999997</v>
      </c>
      <c r="J229" s="317">
        <f t="shared" si="209"/>
        <v>0.17446666666666663</v>
      </c>
      <c r="K229" s="317">
        <f t="shared" si="209"/>
        <v>0.17653333333333329</v>
      </c>
      <c r="L229" s="317">
        <f t="shared" si="209"/>
        <v>0.17859999999999995</v>
      </c>
      <c r="M229" s="317">
        <f t="shared" si="209"/>
        <v>0.18066666666666661</v>
      </c>
      <c r="N229" s="317">
        <f t="shared" si="209"/>
        <v>0.18273333333333328</v>
      </c>
      <c r="O229" s="317">
        <f t="shared" si="209"/>
        <v>0.18479999999999994</v>
      </c>
      <c r="P229" s="317">
        <f t="shared" si="209"/>
        <v>0.1868666666666666</v>
      </c>
      <c r="Q229" s="317">
        <f t="shared" si="209"/>
        <v>0.18893333333333326</v>
      </c>
      <c r="R229" s="317">
        <f t="shared" si="209"/>
        <v>0.19099999999999992</v>
      </c>
      <c r="S229" s="317">
        <f t="shared" si="209"/>
        <v>0.19306666666666658</v>
      </c>
      <c r="T229" s="317">
        <f t="shared" si="209"/>
        <v>0.19513333333333324</v>
      </c>
      <c r="U229" s="317">
        <f t="shared" si="209"/>
        <v>0.1971999999999999</v>
      </c>
      <c r="V229" s="317">
        <f t="shared" si="209"/>
        <v>0.19926666666666656</v>
      </c>
      <c r="W229" s="317">
        <f t="shared" si="209"/>
        <v>0.20133333333333323</v>
      </c>
      <c r="X229" s="317">
        <f t="shared" si="209"/>
        <v>0.20339999999999989</v>
      </c>
      <c r="Y229" s="317">
        <f t="shared" si="209"/>
        <v>0.20546666666666655</v>
      </c>
      <c r="Z229" s="317">
        <f t="shared" si="209"/>
        <v>0.20753333333333321</v>
      </c>
      <c r="AA229" s="317">
        <f t="shared" si="209"/>
        <v>0.20959999999999987</v>
      </c>
      <c r="AB229" s="317">
        <f t="shared" si="209"/>
        <v>0.21166666666666653</v>
      </c>
      <c r="AC229" s="317">
        <f t="shared" si="209"/>
        <v>0.21373333333333319</v>
      </c>
      <c r="AD229" s="317">
        <f t="shared" si="209"/>
        <v>0.21579999999999985</v>
      </c>
      <c r="AE229" s="317">
        <f t="shared" si="209"/>
        <v>0.21786666666666651</v>
      </c>
      <c r="AF229" s="317">
        <f t="shared" si="209"/>
        <v>0.21993333333333318</v>
      </c>
      <c r="AG229" s="296">
        <v>0.222</v>
      </c>
      <c r="AI229" s="214"/>
      <c r="AJ229" s="211" t="s">
        <v>1363</v>
      </c>
    </row>
    <row r="230" spans="1:36" outlineLevel="1">
      <c r="A230" s="3" t="s">
        <v>33</v>
      </c>
      <c r="B230" s="302" t="s">
        <v>462</v>
      </c>
      <c r="C230" s="296">
        <v>0.37</v>
      </c>
      <c r="D230" s="317">
        <f t="shared" ref="D230:AF230" si="210">-($C230-$AG230)/30+C230</f>
        <v>0.36270000000000002</v>
      </c>
      <c r="E230" s="317">
        <f t="shared" si="210"/>
        <v>0.35540000000000005</v>
      </c>
      <c r="F230" s="317">
        <f t="shared" si="210"/>
        <v>0.34810000000000008</v>
      </c>
      <c r="G230" s="317">
        <f t="shared" si="210"/>
        <v>0.3408000000000001</v>
      </c>
      <c r="H230" s="317">
        <f t="shared" si="210"/>
        <v>0.33350000000000013</v>
      </c>
      <c r="I230" s="317">
        <f t="shared" si="210"/>
        <v>0.32620000000000016</v>
      </c>
      <c r="J230" s="317">
        <f t="shared" si="210"/>
        <v>0.31890000000000018</v>
      </c>
      <c r="K230" s="317">
        <f t="shared" si="210"/>
        <v>0.31160000000000021</v>
      </c>
      <c r="L230" s="317">
        <f t="shared" si="210"/>
        <v>0.30430000000000024</v>
      </c>
      <c r="M230" s="317">
        <f t="shared" si="210"/>
        <v>0.29700000000000026</v>
      </c>
      <c r="N230" s="317">
        <f t="shared" si="210"/>
        <v>0.28970000000000029</v>
      </c>
      <c r="O230" s="317">
        <f t="shared" si="210"/>
        <v>0.28240000000000032</v>
      </c>
      <c r="P230" s="317">
        <f t="shared" si="210"/>
        <v>0.27510000000000034</v>
      </c>
      <c r="Q230" s="317">
        <f t="shared" si="210"/>
        <v>0.26780000000000037</v>
      </c>
      <c r="R230" s="317">
        <f t="shared" si="210"/>
        <v>0.2605000000000004</v>
      </c>
      <c r="S230" s="317">
        <f t="shared" si="210"/>
        <v>0.25320000000000042</v>
      </c>
      <c r="T230" s="317">
        <f t="shared" si="210"/>
        <v>0.24590000000000042</v>
      </c>
      <c r="U230" s="317">
        <f t="shared" si="210"/>
        <v>0.23860000000000042</v>
      </c>
      <c r="V230" s="317">
        <f t="shared" si="210"/>
        <v>0.23130000000000042</v>
      </c>
      <c r="W230" s="317">
        <f t="shared" si="210"/>
        <v>0.22400000000000042</v>
      </c>
      <c r="X230" s="317">
        <f t="shared" si="210"/>
        <v>0.21670000000000042</v>
      </c>
      <c r="Y230" s="317">
        <f t="shared" si="210"/>
        <v>0.20940000000000042</v>
      </c>
      <c r="Z230" s="317">
        <f t="shared" si="210"/>
        <v>0.20210000000000042</v>
      </c>
      <c r="AA230" s="317">
        <f t="shared" si="210"/>
        <v>0.19480000000000042</v>
      </c>
      <c r="AB230" s="317">
        <f t="shared" si="210"/>
        <v>0.18750000000000042</v>
      </c>
      <c r="AC230" s="317">
        <f t="shared" si="210"/>
        <v>0.18020000000000042</v>
      </c>
      <c r="AD230" s="317">
        <f t="shared" si="210"/>
        <v>0.17290000000000041</v>
      </c>
      <c r="AE230" s="317">
        <f t="shared" si="210"/>
        <v>0.16560000000000041</v>
      </c>
      <c r="AF230" s="317">
        <f t="shared" si="210"/>
        <v>0.15830000000000041</v>
      </c>
      <c r="AG230" s="296">
        <v>0.151</v>
      </c>
      <c r="AI230" s="214"/>
      <c r="AJ230" s="211" t="s">
        <v>1363</v>
      </c>
    </row>
    <row r="231" spans="1:36" outlineLevel="1">
      <c r="A231" s="3" t="s">
        <v>451</v>
      </c>
      <c r="B231" s="302" t="s">
        <v>462</v>
      </c>
      <c r="C231" s="296">
        <v>0.08</v>
      </c>
      <c r="D231" s="317">
        <f t="shared" ref="D231:AF231" si="211">-($C231-$AG231)/30+C231</f>
        <v>8.0100000000000005E-2</v>
      </c>
      <c r="E231" s="317">
        <f t="shared" si="211"/>
        <v>8.0200000000000007E-2</v>
      </c>
      <c r="F231" s="317">
        <f t="shared" si="211"/>
        <v>8.030000000000001E-2</v>
      </c>
      <c r="G231" s="317">
        <f t="shared" si="211"/>
        <v>8.0400000000000013E-2</v>
      </c>
      <c r="H231" s="317">
        <f t="shared" si="211"/>
        <v>8.0500000000000016E-2</v>
      </c>
      <c r="I231" s="317">
        <f t="shared" si="211"/>
        <v>8.0600000000000019E-2</v>
      </c>
      <c r="J231" s="317">
        <f t="shared" si="211"/>
        <v>8.0700000000000022E-2</v>
      </c>
      <c r="K231" s="317">
        <f t="shared" si="211"/>
        <v>8.0800000000000025E-2</v>
      </c>
      <c r="L231" s="317">
        <f t="shared" si="211"/>
        <v>8.0900000000000027E-2</v>
      </c>
      <c r="M231" s="317">
        <f t="shared" si="211"/>
        <v>8.100000000000003E-2</v>
      </c>
      <c r="N231" s="317">
        <f t="shared" si="211"/>
        <v>8.1100000000000033E-2</v>
      </c>
      <c r="O231" s="317">
        <f t="shared" si="211"/>
        <v>8.1200000000000036E-2</v>
      </c>
      <c r="P231" s="317">
        <f t="shared" si="211"/>
        <v>8.1300000000000039E-2</v>
      </c>
      <c r="Q231" s="317">
        <f t="shared" si="211"/>
        <v>8.1400000000000042E-2</v>
      </c>
      <c r="R231" s="317">
        <f t="shared" si="211"/>
        <v>8.1500000000000045E-2</v>
      </c>
      <c r="S231" s="317">
        <f t="shared" si="211"/>
        <v>8.1600000000000047E-2</v>
      </c>
      <c r="T231" s="317">
        <f t="shared" si="211"/>
        <v>8.170000000000005E-2</v>
      </c>
      <c r="U231" s="317">
        <f t="shared" si="211"/>
        <v>8.1800000000000053E-2</v>
      </c>
      <c r="V231" s="317">
        <f t="shared" si="211"/>
        <v>8.1900000000000056E-2</v>
      </c>
      <c r="W231" s="317">
        <f t="shared" si="211"/>
        <v>8.2000000000000059E-2</v>
      </c>
      <c r="X231" s="317">
        <f t="shared" si="211"/>
        <v>8.2100000000000062E-2</v>
      </c>
      <c r="Y231" s="317">
        <f t="shared" si="211"/>
        <v>8.2200000000000065E-2</v>
      </c>
      <c r="Z231" s="317">
        <f t="shared" si="211"/>
        <v>8.2300000000000068E-2</v>
      </c>
      <c r="AA231" s="317">
        <f t="shared" si="211"/>
        <v>8.240000000000007E-2</v>
      </c>
      <c r="AB231" s="317">
        <f t="shared" si="211"/>
        <v>8.2500000000000073E-2</v>
      </c>
      <c r="AC231" s="317">
        <f t="shared" si="211"/>
        <v>8.2600000000000076E-2</v>
      </c>
      <c r="AD231" s="317">
        <f t="shared" si="211"/>
        <v>8.2700000000000079E-2</v>
      </c>
      <c r="AE231" s="317">
        <f t="shared" si="211"/>
        <v>8.2800000000000082E-2</v>
      </c>
      <c r="AF231" s="317">
        <f t="shared" si="211"/>
        <v>8.2900000000000085E-2</v>
      </c>
      <c r="AG231" s="296">
        <v>8.3000000000000004E-2</v>
      </c>
      <c r="AI231" s="214"/>
      <c r="AJ231" s="211" t="s">
        <v>1363</v>
      </c>
    </row>
    <row r="232" spans="1:36" outlineLevel="1">
      <c r="A232" s="3" t="s">
        <v>452</v>
      </c>
      <c r="B232" s="302" t="s">
        <v>462</v>
      </c>
      <c r="C232" s="296">
        <v>0.27</v>
      </c>
      <c r="D232" s="317">
        <f t="shared" ref="D232:AF232" si="212">-($C232-$AG232)/30+C232</f>
        <v>0.27313333333333334</v>
      </c>
      <c r="E232" s="317">
        <f t="shared" si="212"/>
        <v>0.27626666666666666</v>
      </c>
      <c r="F232" s="317">
        <f t="shared" si="212"/>
        <v>0.27939999999999998</v>
      </c>
      <c r="G232" s="317">
        <f t="shared" si="212"/>
        <v>0.2825333333333333</v>
      </c>
      <c r="H232" s="317">
        <f t="shared" si="212"/>
        <v>0.28566666666666662</v>
      </c>
      <c r="I232" s="317">
        <f t="shared" si="212"/>
        <v>0.28879999999999995</v>
      </c>
      <c r="J232" s="317">
        <f t="shared" si="212"/>
        <v>0.29193333333333327</v>
      </c>
      <c r="K232" s="317">
        <f t="shared" si="212"/>
        <v>0.29506666666666659</v>
      </c>
      <c r="L232" s="317">
        <f t="shared" si="212"/>
        <v>0.29819999999999991</v>
      </c>
      <c r="M232" s="317">
        <f t="shared" si="212"/>
        <v>0.30133333333333323</v>
      </c>
      <c r="N232" s="317">
        <f t="shared" si="212"/>
        <v>0.30446666666666655</v>
      </c>
      <c r="O232" s="317">
        <f t="shared" si="212"/>
        <v>0.30759999999999987</v>
      </c>
      <c r="P232" s="317">
        <f t="shared" si="212"/>
        <v>0.31073333333333319</v>
      </c>
      <c r="Q232" s="317">
        <f t="shared" si="212"/>
        <v>0.31386666666666652</v>
      </c>
      <c r="R232" s="317">
        <f t="shared" si="212"/>
        <v>0.31699999999999984</v>
      </c>
      <c r="S232" s="317">
        <f t="shared" si="212"/>
        <v>0.32013333333333316</v>
      </c>
      <c r="T232" s="317">
        <f t="shared" si="212"/>
        <v>0.32326666666666648</v>
      </c>
      <c r="U232" s="317">
        <f t="shared" si="212"/>
        <v>0.3263999999999998</v>
      </c>
      <c r="V232" s="317">
        <f t="shared" si="212"/>
        <v>0.32953333333333312</v>
      </c>
      <c r="W232" s="317">
        <f t="shared" si="212"/>
        <v>0.33266666666666644</v>
      </c>
      <c r="X232" s="317">
        <f t="shared" si="212"/>
        <v>0.33579999999999977</v>
      </c>
      <c r="Y232" s="317">
        <f t="shared" si="212"/>
        <v>0.33893333333333309</v>
      </c>
      <c r="Z232" s="317">
        <f t="shared" si="212"/>
        <v>0.34206666666666641</v>
      </c>
      <c r="AA232" s="317">
        <f t="shared" si="212"/>
        <v>0.34519999999999973</v>
      </c>
      <c r="AB232" s="317">
        <f t="shared" si="212"/>
        <v>0.34833333333333305</v>
      </c>
      <c r="AC232" s="317">
        <f t="shared" si="212"/>
        <v>0.35146666666666637</v>
      </c>
      <c r="AD232" s="317">
        <f t="shared" si="212"/>
        <v>0.35459999999999969</v>
      </c>
      <c r="AE232" s="317">
        <f t="shared" si="212"/>
        <v>0.35773333333333301</v>
      </c>
      <c r="AF232" s="317">
        <f t="shared" si="212"/>
        <v>0.36086666666666634</v>
      </c>
      <c r="AG232" s="296">
        <v>0.36399999999999999</v>
      </c>
      <c r="AI232" s="214"/>
      <c r="AJ232" s="211" t="s">
        <v>1363</v>
      </c>
    </row>
    <row r="233" spans="1:36" outlineLevel="1">
      <c r="A233" s="3" t="s">
        <v>1364</v>
      </c>
      <c r="B233" s="302" t="s">
        <v>462</v>
      </c>
      <c r="C233" s="296">
        <v>7.0000000000000007E-2</v>
      </c>
      <c r="D233" s="317">
        <f t="shared" ref="D233:AF233" si="213">-($C233-$AG233)/30+C233</f>
        <v>7.1266666666666673E-2</v>
      </c>
      <c r="E233" s="317">
        <f t="shared" si="213"/>
        <v>7.2533333333333339E-2</v>
      </c>
      <c r="F233" s="317">
        <f t="shared" si="213"/>
        <v>7.3800000000000004E-2</v>
      </c>
      <c r="G233" s="317">
        <f t="shared" si="213"/>
        <v>7.506666666666667E-2</v>
      </c>
      <c r="H233" s="317">
        <f t="shared" si="213"/>
        <v>7.6333333333333336E-2</v>
      </c>
      <c r="I233" s="317">
        <f t="shared" si="213"/>
        <v>7.7600000000000002E-2</v>
      </c>
      <c r="J233" s="317">
        <f t="shared" si="213"/>
        <v>7.8866666666666668E-2</v>
      </c>
      <c r="K233" s="317">
        <f t="shared" si="213"/>
        <v>8.0133333333333334E-2</v>
      </c>
      <c r="L233" s="317">
        <f t="shared" si="213"/>
        <v>8.14E-2</v>
      </c>
      <c r="M233" s="317">
        <f t="shared" si="213"/>
        <v>8.2666666666666666E-2</v>
      </c>
      <c r="N233" s="317">
        <f t="shared" si="213"/>
        <v>8.3933333333333332E-2</v>
      </c>
      <c r="O233" s="317">
        <f t="shared" si="213"/>
        <v>8.5199999999999998E-2</v>
      </c>
      <c r="P233" s="317">
        <f t="shared" si="213"/>
        <v>8.6466666666666664E-2</v>
      </c>
      <c r="Q233" s="317">
        <f t="shared" si="213"/>
        <v>8.773333333333333E-2</v>
      </c>
      <c r="R233" s="317">
        <f t="shared" si="213"/>
        <v>8.8999999999999996E-2</v>
      </c>
      <c r="S233" s="317">
        <f t="shared" si="213"/>
        <v>9.0266666666666662E-2</v>
      </c>
      <c r="T233" s="317">
        <f t="shared" si="213"/>
        <v>9.1533333333333328E-2</v>
      </c>
      <c r="U233" s="317">
        <f t="shared" si="213"/>
        <v>9.2799999999999994E-2</v>
      </c>
      <c r="V233" s="317">
        <f t="shared" si="213"/>
        <v>9.406666666666666E-2</v>
      </c>
      <c r="W233" s="317">
        <f t="shared" si="213"/>
        <v>9.5333333333333325E-2</v>
      </c>
      <c r="X233" s="317">
        <f t="shared" si="213"/>
        <v>9.6599999999999991E-2</v>
      </c>
      <c r="Y233" s="317">
        <f t="shared" si="213"/>
        <v>9.7866666666666657E-2</v>
      </c>
      <c r="Z233" s="317">
        <f t="shared" si="213"/>
        <v>9.9133333333333323E-2</v>
      </c>
      <c r="AA233" s="317">
        <f t="shared" si="213"/>
        <v>0.10039999999999999</v>
      </c>
      <c r="AB233" s="317">
        <f t="shared" si="213"/>
        <v>0.10166666666666666</v>
      </c>
      <c r="AC233" s="317">
        <f t="shared" si="213"/>
        <v>0.10293333333333332</v>
      </c>
      <c r="AD233" s="317">
        <f t="shared" si="213"/>
        <v>0.10419999999999999</v>
      </c>
      <c r="AE233" s="317">
        <f t="shared" si="213"/>
        <v>0.10546666666666665</v>
      </c>
      <c r="AF233" s="317">
        <f t="shared" si="213"/>
        <v>0.10673333333333332</v>
      </c>
      <c r="AG233" s="296">
        <v>0.108</v>
      </c>
      <c r="AI233" s="214"/>
      <c r="AJ233" s="211" t="s">
        <v>1363</v>
      </c>
    </row>
    <row r="234" spans="1:36" outlineLevel="1">
      <c r="A234" s="3" t="s">
        <v>1365</v>
      </c>
      <c r="B234" s="302" t="s">
        <v>462</v>
      </c>
      <c r="C234" s="296">
        <v>0.05</v>
      </c>
      <c r="D234" s="317">
        <f t="shared" ref="D234:AF234" si="214">-($C234-$AG234)/30+C234</f>
        <v>5.0733333333333339E-2</v>
      </c>
      <c r="E234" s="317">
        <f t="shared" si="214"/>
        <v>5.1466666666666674E-2</v>
      </c>
      <c r="F234" s="317">
        <f t="shared" si="214"/>
        <v>5.220000000000001E-2</v>
      </c>
      <c r="G234" s="317">
        <f t="shared" si="214"/>
        <v>5.2933333333333346E-2</v>
      </c>
      <c r="H234" s="317">
        <f t="shared" si="214"/>
        <v>5.3666666666666682E-2</v>
      </c>
      <c r="I234" s="317">
        <f t="shared" si="214"/>
        <v>5.4400000000000018E-2</v>
      </c>
      <c r="J234" s="317">
        <f t="shared" si="214"/>
        <v>5.5133333333333354E-2</v>
      </c>
      <c r="K234" s="317">
        <f t="shared" si="214"/>
        <v>5.5866666666666689E-2</v>
      </c>
      <c r="L234" s="317">
        <f t="shared" si="214"/>
        <v>5.6600000000000025E-2</v>
      </c>
      <c r="M234" s="317">
        <f t="shared" si="214"/>
        <v>5.7333333333333361E-2</v>
      </c>
      <c r="N234" s="317">
        <f t="shared" si="214"/>
        <v>5.8066666666666697E-2</v>
      </c>
      <c r="O234" s="317">
        <f t="shared" si="214"/>
        <v>5.8800000000000033E-2</v>
      </c>
      <c r="P234" s="317">
        <f t="shared" si="214"/>
        <v>5.9533333333333369E-2</v>
      </c>
      <c r="Q234" s="317">
        <f t="shared" si="214"/>
        <v>6.0266666666666704E-2</v>
      </c>
      <c r="R234" s="317">
        <f t="shared" si="214"/>
        <v>6.100000000000004E-2</v>
      </c>
      <c r="S234" s="317">
        <f t="shared" si="214"/>
        <v>6.1733333333333376E-2</v>
      </c>
      <c r="T234" s="317">
        <f t="shared" si="214"/>
        <v>6.2466666666666712E-2</v>
      </c>
      <c r="U234" s="317">
        <f t="shared" si="214"/>
        <v>6.3200000000000048E-2</v>
      </c>
      <c r="V234" s="317">
        <f t="shared" si="214"/>
        <v>6.3933333333333384E-2</v>
      </c>
      <c r="W234" s="317">
        <f t="shared" si="214"/>
        <v>6.4666666666666719E-2</v>
      </c>
      <c r="X234" s="317">
        <f t="shared" si="214"/>
        <v>6.5400000000000055E-2</v>
      </c>
      <c r="Y234" s="317">
        <f t="shared" si="214"/>
        <v>6.6133333333333391E-2</v>
      </c>
      <c r="Z234" s="317">
        <f t="shared" si="214"/>
        <v>6.6866666666666727E-2</v>
      </c>
      <c r="AA234" s="317">
        <f t="shared" si="214"/>
        <v>6.7600000000000063E-2</v>
      </c>
      <c r="AB234" s="317">
        <f t="shared" si="214"/>
        <v>6.8333333333333399E-2</v>
      </c>
      <c r="AC234" s="317">
        <f t="shared" si="214"/>
        <v>6.9066666666666734E-2</v>
      </c>
      <c r="AD234" s="317">
        <f t="shared" si="214"/>
        <v>6.980000000000007E-2</v>
      </c>
      <c r="AE234" s="317">
        <f t="shared" si="214"/>
        <v>7.0533333333333406E-2</v>
      </c>
      <c r="AF234" s="317">
        <f t="shared" si="214"/>
        <v>7.1266666666666742E-2</v>
      </c>
      <c r="AG234" s="296">
        <v>7.1999999999999995E-2</v>
      </c>
      <c r="AI234" s="214"/>
      <c r="AJ234" s="211" t="s">
        <v>1363</v>
      </c>
    </row>
    <row r="235" spans="1:36" s="58" customFormat="1" outlineLevel="1">
      <c r="A235" s="306" t="s">
        <v>1366</v>
      </c>
      <c r="B235" s="303"/>
      <c r="C235" s="304"/>
      <c r="D235" s="304"/>
      <c r="E235" s="304"/>
      <c r="F235" s="304"/>
      <c r="G235" s="304"/>
      <c r="H235" s="304"/>
      <c r="I235" s="304"/>
      <c r="J235" s="304"/>
      <c r="K235" s="304"/>
      <c r="L235" s="304"/>
      <c r="M235" s="304"/>
      <c r="N235" s="304"/>
      <c r="O235" s="304"/>
      <c r="P235" s="304"/>
      <c r="Q235" s="304"/>
      <c r="R235" s="304"/>
      <c r="S235" s="304"/>
      <c r="T235" s="304"/>
      <c r="U235" s="304"/>
      <c r="V235" s="304"/>
      <c r="W235" s="304"/>
      <c r="X235" s="304"/>
      <c r="Y235" s="304"/>
      <c r="Z235" s="304"/>
      <c r="AA235" s="304"/>
      <c r="AB235" s="304"/>
      <c r="AC235" s="304"/>
      <c r="AD235" s="304"/>
      <c r="AE235" s="304"/>
      <c r="AF235" s="304"/>
      <c r="AG235" s="304"/>
      <c r="AI235" s="305"/>
      <c r="AJ235" s="306"/>
    </row>
    <row r="236" spans="1:36" s="58" customFormat="1" outlineLevel="1">
      <c r="A236" s="307" t="s">
        <v>1367</v>
      </c>
      <c r="B236" s="308" t="s">
        <v>462</v>
      </c>
      <c r="C236" s="337">
        <v>0.84</v>
      </c>
      <c r="D236" s="338">
        <f>-($C236-$AG236)/30+C236</f>
        <v>0.84399999999999997</v>
      </c>
      <c r="E236" s="338">
        <f t="shared" ref="E236:AF236" si="215">-($C236-$AG236)/30+D236</f>
        <v>0.84799999999999998</v>
      </c>
      <c r="F236" s="338">
        <f t="shared" si="215"/>
        <v>0.85199999999999998</v>
      </c>
      <c r="G236" s="338">
        <f t="shared" si="215"/>
        <v>0.85599999999999998</v>
      </c>
      <c r="H236" s="338">
        <f t="shared" si="215"/>
        <v>0.86</v>
      </c>
      <c r="I236" s="338">
        <f t="shared" si="215"/>
        <v>0.86399999999999999</v>
      </c>
      <c r="J236" s="338">
        <f t="shared" si="215"/>
        <v>0.86799999999999999</v>
      </c>
      <c r="K236" s="338">
        <f t="shared" si="215"/>
        <v>0.872</v>
      </c>
      <c r="L236" s="338">
        <f t="shared" si="215"/>
        <v>0.876</v>
      </c>
      <c r="M236" s="338">
        <f t="shared" si="215"/>
        <v>0.88</v>
      </c>
      <c r="N236" s="338">
        <f t="shared" si="215"/>
        <v>0.88400000000000001</v>
      </c>
      <c r="O236" s="338">
        <f t="shared" si="215"/>
        <v>0.88800000000000001</v>
      </c>
      <c r="P236" s="338">
        <f t="shared" si="215"/>
        <v>0.89200000000000002</v>
      </c>
      <c r="Q236" s="338">
        <f t="shared" si="215"/>
        <v>0.89600000000000002</v>
      </c>
      <c r="R236" s="338">
        <f t="shared" si="215"/>
        <v>0.9</v>
      </c>
      <c r="S236" s="338">
        <f t="shared" si="215"/>
        <v>0.90400000000000003</v>
      </c>
      <c r="T236" s="338">
        <f t="shared" si="215"/>
        <v>0.90800000000000003</v>
      </c>
      <c r="U236" s="338">
        <f t="shared" si="215"/>
        <v>0.91200000000000003</v>
      </c>
      <c r="V236" s="338">
        <f t="shared" si="215"/>
        <v>0.91600000000000004</v>
      </c>
      <c r="W236" s="338">
        <f t="shared" si="215"/>
        <v>0.92</v>
      </c>
      <c r="X236" s="338">
        <f t="shared" si="215"/>
        <v>0.92400000000000004</v>
      </c>
      <c r="Y236" s="338">
        <f t="shared" si="215"/>
        <v>0.92800000000000005</v>
      </c>
      <c r="Z236" s="338">
        <f t="shared" si="215"/>
        <v>0.93200000000000005</v>
      </c>
      <c r="AA236" s="338">
        <f t="shared" si="215"/>
        <v>0.93600000000000005</v>
      </c>
      <c r="AB236" s="338">
        <f t="shared" si="215"/>
        <v>0.94000000000000006</v>
      </c>
      <c r="AC236" s="338">
        <f t="shared" si="215"/>
        <v>0.94400000000000006</v>
      </c>
      <c r="AD236" s="338">
        <f t="shared" si="215"/>
        <v>0.94800000000000006</v>
      </c>
      <c r="AE236" s="338">
        <f t="shared" si="215"/>
        <v>0.95200000000000007</v>
      </c>
      <c r="AF236" s="338">
        <f t="shared" si="215"/>
        <v>0.95600000000000007</v>
      </c>
      <c r="AG236" s="337">
        <v>0.96</v>
      </c>
      <c r="AI236" s="305"/>
      <c r="AJ236" s="339" t="s">
        <v>1363</v>
      </c>
    </row>
    <row r="237" spans="1:36" s="58" customFormat="1" outlineLevel="1">
      <c r="A237" s="307" t="s">
        <v>1368</v>
      </c>
      <c r="B237" s="308" t="s">
        <v>462</v>
      </c>
      <c r="C237" s="337">
        <v>0.22</v>
      </c>
      <c r="D237" s="338">
        <f>-($C237-$AG237)/30+C237</f>
        <v>0.22666666666666666</v>
      </c>
      <c r="E237" s="338">
        <f t="shared" ref="E237:AF237" si="216">-($C237-$AG237)/30+D237</f>
        <v>0.23333333333333331</v>
      </c>
      <c r="F237" s="338">
        <f t="shared" si="216"/>
        <v>0.23999999999999996</v>
      </c>
      <c r="G237" s="338">
        <f t="shared" si="216"/>
        <v>0.24666666666666662</v>
      </c>
      <c r="H237" s="338">
        <f t="shared" si="216"/>
        <v>0.2533333333333333</v>
      </c>
      <c r="I237" s="338">
        <f t="shared" si="216"/>
        <v>0.25999999999999995</v>
      </c>
      <c r="J237" s="338">
        <f t="shared" si="216"/>
        <v>0.26666666666666661</v>
      </c>
      <c r="K237" s="338">
        <f t="shared" si="216"/>
        <v>0.27333333333333326</v>
      </c>
      <c r="L237" s="338">
        <f t="shared" si="216"/>
        <v>0.27999999999999992</v>
      </c>
      <c r="M237" s="338">
        <f t="shared" si="216"/>
        <v>0.28666666666666657</v>
      </c>
      <c r="N237" s="338">
        <f t="shared" si="216"/>
        <v>0.29333333333333322</v>
      </c>
      <c r="O237" s="338">
        <f t="shared" si="216"/>
        <v>0.29999999999999988</v>
      </c>
      <c r="P237" s="338">
        <f t="shared" si="216"/>
        <v>0.30666666666666653</v>
      </c>
      <c r="Q237" s="338">
        <f t="shared" si="216"/>
        <v>0.31333333333333319</v>
      </c>
      <c r="R237" s="338">
        <f t="shared" si="216"/>
        <v>0.31999999999999984</v>
      </c>
      <c r="S237" s="338">
        <f t="shared" si="216"/>
        <v>0.32666666666666649</v>
      </c>
      <c r="T237" s="338">
        <f t="shared" si="216"/>
        <v>0.33333333333333315</v>
      </c>
      <c r="U237" s="338">
        <f t="shared" si="216"/>
        <v>0.3399999999999998</v>
      </c>
      <c r="V237" s="338">
        <f t="shared" si="216"/>
        <v>0.34666666666666646</v>
      </c>
      <c r="W237" s="338">
        <f t="shared" si="216"/>
        <v>0.35333333333333311</v>
      </c>
      <c r="X237" s="338">
        <f t="shared" si="216"/>
        <v>0.35999999999999976</v>
      </c>
      <c r="Y237" s="338">
        <f t="shared" si="216"/>
        <v>0.36666666666666642</v>
      </c>
      <c r="Z237" s="338">
        <f t="shared" si="216"/>
        <v>0.37333333333333307</v>
      </c>
      <c r="AA237" s="338">
        <f t="shared" si="216"/>
        <v>0.37999999999999973</v>
      </c>
      <c r="AB237" s="338">
        <f t="shared" si="216"/>
        <v>0.38666666666666638</v>
      </c>
      <c r="AC237" s="338">
        <f t="shared" si="216"/>
        <v>0.39333333333333304</v>
      </c>
      <c r="AD237" s="338">
        <f t="shared" si="216"/>
        <v>0.39999999999999969</v>
      </c>
      <c r="AE237" s="338">
        <f t="shared" si="216"/>
        <v>0.40666666666666634</v>
      </c>
      <c r="AF237" s="338">
        <f t="shared" si="216"/>
        <v>0.413333333333333</v>
      </c>
      <c r="AG237" s="337">
        <v>0.42</v>
      </c>
      <c r="AI237" s="305"/>
      <c r="AJ237" s="339" t="s">
        <v>1363</v>
      </c>
    </row>
    <row r="238" spans="1:36" s="62" customFormat="1" outlineLevel="1">
      <c r="A238" s="311" t="s">
        <v>1369</v>
      </c>
      <c r="B238" s="312" t="s">
        <v>462</v>
      </c>
      <c r="C238" s="340">
        <f>1-C237</f>
        <v>0.78</v>
      </c>
      <c r="D238" s="340">
        <f t="shared" ref="D238" si="217">1-D237</f>
        <v>0.77333333333333332</v>
      </c>
      <c r="E238" s="340">
        <f t="shared" ref="E238" si="218">1-E237</f>
        <v>0.76666666666666672</v>
      </c>
      <c r="F238" s="340">
        <f t="shared" ref="F238" si="219">1-F237</f>
        <v>0.76</v>
      </c>
      <c r="G238" s="340">
        <f t="shared" ref="G238" si="220">1-G237</f>
        <v>0.75333333333333341</v>
      </c>
      <c r="H238" s="340">
        <f t="shared" ref="H238" si="221">1-H237</f>
        <v>0.7466666666666667</v>
      </c>
      <c r="I238" s="340">
        <f t="shared" ref="I238" si="222">1-I237</f>
        <v>0.74</v>
      </c>
      <c r="J238" s="340">
        <f t="shared" ref="J238" si="223">1-J237</f>
        <v>0.73333333333333339</v>
      </c>
      <c r="K238" s="340">
        <f t="shared" ref="K238" si="224">1-K237</f>
        <v>0.72666666666666679</v>
      </c>
      <c r="L238" s="340">
        <f t="shared" ref="L238" si="225">1-L237</f>
        <v>0.72000000000000008</v>
      </c>
      <c r="M238" s="340">
        <f t="shared" ref="M238" si="226">1-M237</f>
        <v>0.71333333333333337</v>
      </c>
      <c r="N238" s="340">
        <f t="shared" ref="N238" si="227">1-N237</f>
        <v>0.70666666666666678</v>
      </c>
      <c r="O238" s="340">
        <f t="shared" ref="O238" si="228">1-O237</f>
        <v>0.70000000000000018</v>
      </c>
      <c r="P238" s="340">
        <f t="shared" ref="P238" si="229">1-P237</f>
        <v>0.69333333333333347</v>
      </c>
      <c r="Q238" s="340">
        <f t="shared" ref="Q238" si="230">1-Q237</f>
        <v>0.68666666666666676</v>
      </c>
      <c r="R238" s="340">
        <f t="shared" ref="R238" si="231">1-R237</f>
        <v>0.68000000000000016</v>
      </c>
      <c r="S238" s="340">
        <f t="shared" ref="S238" si="232">1-S237</f>
        <v>0.67333333333333356</v>
      </c>
      <c r="T238" s="340">
        <f t="shared" ref="T238" si="233">1-T237</f>
        <v>0.66666666666666685</v>
      </c>
      <c r="U238" s="340">
        <f t="shared" ref="U238" si="234">1-U237</f>
        <v>0.66000000000000014</v>
      </c>
      <c r="V238" s="340">
        <f t="shared" ref="V238" si="235">1-V237</f>
        <v>0.65333333333333354</v>
      </c>
      <c r="W238" s="340">
        <f t="shared" ref="W238" si="236">1-W237</f>
        <v>0.64666666666666694</v>
      </c>
      <c r="X238" s="340">
        <f t="shared" ref="X238" si="237">1-X237</f>
        <v>0.64000000000000024</v>
      </c>
      <c r="Y238" s="340">
        <f t="shared" ref="Y238" si="238">1-Y237</f>
        <v>0.63333333333333353</v>
      </c>
      <c r="Z238" s="340">
        <f t="shared" ref="Z238" si="239">1-Z237</f>
        <v>0.62666666666666693</v>
      </c>
      <c r="AA238" s="340">
        <f t="shared" ref="AA238" si="240">1-AA237</f>
        <v>0.62000000000000033</v>
      </c>
      <c r="AB238" s="340">
        <f t="shared" ref="AB238" si="241">1-AB237</f>
        <v>0.61333333333333362</v>
      </c>
      <c r="AC238" s="340">
        <f t="shared" ref="AC238" si="242">1-AC237</f>
        <v>0.60666666666666691</v>
      </c>
      <c r="AD238" s="340">
        <f t="shared" ref="AD238" si="243">1-AD237</f>
        <v>0.60000000000000031</v>
      </c>
      <c r="AE238" s="340">
        <f t="shared" ref="AE238" si="244">1-AE237</f>
        <v>0.59333333333333371</v>
      </c>
      <c r="AF238" s="340">
        <f t="shared" ref="AF238" si="245">1-AF237</f>
        <v>0.586666666666667</v>
      </c>
      <c r="AG238" s="340">
        <f t="shared" ref="AG238" si="246">1-AG237</f>
        <v>0.58000000000000007</v>
      </c>
      <c r="AI238" s="342"/>
      <c r="AJ238" s="341" t="s">
        <v>1363</v>
      </c>
    </row>
    <row r="239" spans="1:36" s="1" customFormat="1" outlineLevel="1">
      <c r="A239" t="s">
        <v>1370</v>
      </c>
      <c r="B239" s="302" t="s">
        <v>462</v>
      </c>
      <c r="C239" s="296">
        <v>0.85</v>
      </c>
      <c r="D239" s="317">
        <f t="shared" ref="D239:AF240" si="247">-($C239-$AG239)/30+C239</f>
        <v>0.84833333333333327</v>
      </c>
      <c r="E239" s="317">
        <f t="shared" si="247"/>
        <v>0.84666666666666657</v>
      </c>
      <c r="F239" s="317">
        <f t="shared" si="247"/>
        <v>0.84499999999999986</v>
      </c>
      <c r="G239" s="317">
        <f t="shared" si="247"/>
        <v>0.84333333333333316</v>
      </c>
      <c r="H239" s="317">
        <f t="shared" si="247"/>
        <v>0.84166666666666645</v>
      </c>
      <c r="I239" s="317">
        <f t="shared" si="247"/>
        <v>0.83999999999999975</v>
      </c>
      <c r="J239" s="317">
        <f t="shared" si="247"/>
        <v>0.83833333333333304</v>
      </c>
      <c r="K239" s="317">
        <f t="shared" si="247"/>
        <v>0.83666666666666634</v>
      </c>
      <c r="L239" s="317">
        <f t="shared" si="247"/>
        <v>0.83499999999999963</v>
      </c>
      <c r="M239" s="317">
        <f t="shared" si="247"/>
        <v>0.83333333333333293</v>
      </c>
      <c r="N239" s="317">
        <f t="shared" si="247"/>
        <v>0.83166666666666622</v>
      </c>
      <c r="O239" s="317">
        <f t="shared" si="247"/>
        <v>0.82999999999999952</v>
      </c>
      <c r="P239" s="317">
        <f t="shared" si="247"/>
        <v>0.82833333333333281</v>
      </c>
      <c r="Q239" s="317">
        <f t="shared" si="247"/>
        <v>0.82666666666666611</v>
      </c>
      <c r="R239" s="317">
        <f t="shared" si="247"/>
        <v>0.8249999999999994</v>
      </c>
      <c r="S239" s="317">
        <f t="shared" si="247"/>
        <v>0.8233333333333327</v>
      </c>
      <c r="T239" s="317">
        <f t="shared" si="247"/>
        <v>0.82166666666666599</v>
      </c>
      <c r="U239" s="317">
        <f t="shared" si="247"/>
        <v>0.81999999999999929</v>
      </c>
      <c r="V239" s="317">
        <f t="shared" si="247"/>
        <v>0.81833333333333258</v>
      </c>
      <c r="W239" s="317">
        <f t="shared" si="247"/>
        <v>0.81666666666666587</v>
      </c>
      <c r="X239" s="317">
        <f t="shared" si="247"/>
        <v>0.81499999999999917</v>
      </c>
      <c r="Y239" s="317">
        <f t="shared" si="247"/>
        <v>0.81333333333333246</v>
      </c>
      <c r="Z239" s="317">
        <f t="shared" si="247"/>
        <v>0.81166666666666576</v>
      </c>
      <c r="AA239" s="317">
        <f t="shared" si="247"/>
        <v>0.80999999999999905</v>
      </c>
      <c r="AB239" s="317">
        <f t="shared" si="247"/>
        <v>0.80833333333333235</v>
      </c>
      <c r="AC239" s="317">
        <f t="shared" si="247"/>
        <v>0.80666666666666564</v>
      </c>
      <c r="AD239" s="317">
        <f t="shared" si="247"/>
        <v>0.80499999999999894</v>
      </c>
      <c r="AE239" s="317">
        <f t="shared" si="247"/>
        <v>0.80333333333333223</v>
      </c>
      <c r="AF239" s="317">
        <f t="shared" si="247"/>
        <v>0.80166666666666553</v>
      </c>
      <c r="AG239" s="296">
        <v>0.8</v>
      </c>
      <c r="AI239" s="316"/>
      <c r="AJ239" s="211" t="s">
        <v>1363</v>
      </c>
    </row>
    <row r="240" spans="1:36" s="1" customFormat="1" outlineLevel="1">
      <c r="A240" t="s">
        <v>1371</v>
      </c>
      <c r="B240" s="302" t="s">
        <v>462</v>
      </c>
      <c r="C240" s="296">
        <v>0.15</v>
      </c>
      <c r="D240" s="317">
        <f t="shared" si="247"/>
        <v>0.15166666666666667</v>
      </c>
      <c r="E240" s="317">
        <f t="shared" si="247"/>
        <v>0.15333333333333335</v>
      </c>
      <c r="F240" s="317">
        <f t="shared" si="247"/>
        <v>0.15500000000000003</v>
      </c>
      <c r="G240" s="317">
        <f t="shared" si="247"/>
        <v>0.1566666666666667</v>
      </c>
      <c r="H240" s="317">
        <f t="shared" si="247"/>
        <v>0.15833333333333338</v>
      </c>
      <c r="I240" s="317">
        <f t="shared" si="247"/>
        <v>0.16000000000000006</v>
      </c>
      <c r="J240" s="317">
        <f t="shared" si="247"/>
        <v>0.16166666666666674</v>
      </c>
      <c r="K240" s="317">
        <f t="shared" si="247"/>
        <v>0.16333333333333341</v>
      </c>
      <c r="L240" s="317">
        <f t="shared" si="247"/>
        <v>0.16500000000000009</v>
      </c>
      <c r="M240" s="317">
        <f t="shared" si="247"/>
        <v>0.16666666666666677</v>
      </c>
      <c r="N240" s="317">
        <f t="shared" si="247"/>
        <v>0.16833333333333345</v>
      </c>
      <c r="O240" s="317">
        <f t="shared" si="247"/>
        <v>0.17000000000000012</v>
      </c>
      <c r="P240" s="317">
        <f t="shared" si="247"/>
        <v>0.1716666666666668</v>
      </c>
      <c r="Q240" s="317">
        <f t="shared" si="247"/>
        <v>0.17333333333333348</v>
      </c>
      <c r="R240" s="317">
        <f t="shared" si="247"/>
        <v>0.17500000000000016</v>
      </c>
      <c r="S240" s="317">
        <f t="shared" si="247"/>
        <v>0.17666666666666683</v>
      </c>
      <c r="T240" s="317">
        <f t="shared" si="247"/>
        <v>0.17833333333333351</v>
      </c>
      <c r="U240" s="317">
        <f t="shared" si="247"/>
        <v>0.18000000000000019</v>
      </c>
      <c r="V240" s="317">
        <f t="shared" si="247"/>
        <v>0.18166666666666687</v>
      </c>
      <c r="W240" s="317">
        <f t="shared" si="247"/>
        <v>0.18333333333333354</v>
      </c>
      <c r="X240" s="317">
        <f t="shared" si="247"/>
        <v>0.18500000000000022</v>
      </c>
      <c r="Y240" s="317">
        <f t="shared" si="247"/>
        <v>0.1866666666666669</v>
      </c>
      <c r="Z240" s="317">
        <f t="shared" si="247"/>
        <v>0.18833333333333357</v>
      </c>
      <c r="AA240" s="317">
        <f t="shared" si="247"/>
        <v>0.19000000000000025</v>
      </c>
      <c r="AB240" s="317">
        <f t="shared" si="247"/>
        <v>0.19166666666666693</v>
      </c>
      <c r="AC240" s="317">
        <f t="shared" si="247"/>
        <v>0.19333333333333361</v>
      </c>
      <c r="AD240" s="317">
        <f t="shared" si="247"/>
        <v>0.19500000000000028</v>
      </c>
      <c r="AE240" s="317">
        <f t="shared" si="247"/>
        <v>0.19666666666666696</v>
      </c>
      <c r="AF240" s="317">
        <f t="shared" si="247"/>
        <v>0.19833333333333364</v>
      </c>
      <c r="AG240" s="296">
        <v>0.2</v>
      </c>
      <c r="AI240" s="316"/>
      <c r="AJ240" s="211" t="s">
        <v>1363</v>
      </c>
    </row>
    <row r="241" spans="1:36" s="1" customFormat="1" outlineLevel="1">
      <c r="A241" t="s">
        <v>1372</v>
      </c>
      <c r="B241" s="302" t="s">
        <v>462</v>
      </c>
      <c r="C241" s="296">
        <v>0.15</v>
      </c>
      <c r="D241" s="317">
        <f t="shared" ref="D241:AF241" si="248">-($C241-$AG241)/30+C241</f>
        <v>0.15633333333333332</v>
      </c>
      <c r="E241" s="317">
        <f t="shared" si="248"/>
        <v>0.16266666666666665</v>
      </c>
      <c r="F241" s="317">
        <f t="shared" si="248"/>
        <v>0.16899999999999998</v>
      </c>
      <c r="G241" s="317">
        <f t="shared" si="248"/>
        <v>0.17533333333333331</v>
      </c>
      <c r="H241" s="317">
        <f t="shared" si="248"/>
        <v>0.18166666666666664</v>
      </c>
      <c r="I241" s="317">
        <f t="shared" si="248"/>
        <v>0.18799999999999997</v>
      </c>
      <c r="J241" s="317">
        <f t="shared" si="248"/>
        <v>0.1943333333333333</v>
      </c>
      <c r="K241" s="317">
        <f t="shared" si="248"/>
        <v>0.20066666666666663</v>
      </c>
      <c r="L241" s="317">
        <f t="shared" si="248"/>
        <v>0.20699999999999996</v>
      </c>
      <c r="M241" s="317">
        <f t="shared" si="248"/>
        <v>0.21333333333333329</v>
      </c>
      <c r="N241" s="317">
        <f t="shared" si="248"/>
        <v>0.21966666666666662</v>
      </c>
      <c r="O241" s="317">
        <f t="shared" si="248"/>
        <v>0.22599999999999995</v>
      </c>
      <c r="P241" s="317">
        <f t="shared" si="248"/>
        <v>0.23233333333333328</v>
      </c>
      <c r="Q241" s="317">
        <f t="shared" si="248"/>
        <v>0.23866666666666661</v>
      </c>
      <c r="R241" s="317">
        <f t="shared" si="248"/>
        <v>0.24499999999999994</v>
      </c>
      <c r="S241" s="317">
        <f t="shared" si="248"/>
        <v>0.2513333333333333</v>
      </c>
      <c r="T241" s="317">
        <f t="shared" si="248"/>
        <v>0.25766666666666665</v>
      </c>
      <c r="U241" s="317">
        <f t="shared" si="248"/>
        <v>0.26400000000000001</v>
      </c>
      <c r="V241" s="317">
        <f t="shared" si="248"/>
        <v>0.27033333333333337</v>
      </c>
      <c r="W241" s="317">
        <f t="shared" si="248"/>
        <v>0.27666666666666673</v>
      </c>
      <c r="X241" s="317">
        <f t="shared" si="248"/>
        <v>0.28300000000000008</v>
      </c>
      <c r="Y241" s="317">
        <f t="shared" si="248"/>
        <v>0.28933333333333344</v>
      </c>
      <c r="Z241" s="317">
        <f t="shared" si="248"/>
        <v>0.2956666666666668</v>
      </c>
      <c r="AA241" s="317">
        <f t="shared" si="248"/>
        <v>0.30200000000000016</v>
      </c>
      <c r="AB241" s="317">
        <f t="shared" si="248"/>
        <v>0.30833333333333351</v>
      </c>
      <c r="AC241" s="317">
        <f t="shared" si="248"/>
        <v>0.31466666666666687</v>
      </c>
      <c r="AD241" s="317">
        <f t="shared" si="248"/>
        <v>0.32100000000000023</v>
      </c>
      <c r="AE241" s="317">
        <f t="shared" si="248"/>
        <v>0.32733333333333359</v>
      </c>
      <c r="AF241" s="317">
        <f t="shared" si="248"/>
        <v>0.33366666666666694</v>
      </c>
      <c r="AG241" s="296">
        <v>0.34</v>
      </c>
      <c r="AI241" s="316"/>
      <c r="AJ241" s="211" t="s">
        <v>1363</v>
      </c>
    </row>
    <row r="242" spans="1:36" s="1" customFormat="1" outlineLevel="1">
      <c r="A242" t="s">
        <v>1373</v>
      </c>
      <c r="B242" s="302" t="s">
        <v>462</v>
      </c>
      <c r="C242" s="296">
        <v>0.85</v>
      </c>
      <c r="D242" s="317">
        <f t="shared" ref="D242:AF242" si="249">-($C242-$AG242)/30+C242</f>
        <v>0.84366666666666668</v>
      </c>
      <c r="E242" s="317">
        <f t="shared" si="249"/>
        <v>0.83733333333333337</v>
      </c>
      <c r="F242" s="317">
        <f t="shared" si="249"/>
        <v>0.83100000000000007</v>
      </c>
      <c r="G242" s="317">
        <f t="shared" si="249"/>
        <v>0.82466666666666677</v>
      </c>
      <c r="H242" s="317">
        <f t="shared" si="249"/>
        <v>0.81833333333333347</v>
      </c>
      <c r="I242" s="317">
        <f t="shared" si="249"/>
        <v>0.81200000000000017</v>
      </c>
      <c r="J242" s="317">
        <f t="shared" si="249"/>
        <v>0.80566666666666686</v>
      </c>
      <c r="K242" s="317">
        <f t="shared" si="249"/>
        <v>0.79933333333333356</v>
      </c>
      <c r="L242" s="317">
        <f t="shared" si="249"/>
        <v>0.79300000000000026</v>
      </c>
      <c r="M242" s="317">
        <f t="shared" si="249"/>
        <v>0.78666666666666696</v>
      </c>
      <c r="N242" s="317">
        <f t="shared" si="249"/>
        <v>0.78033333333333366</v>
      </c>
      <c r="O242" s="317">
        <f t="shared" si="249"/>
        <v>0.77400000000000035</v>
      </c>
      <c r="P242" s="317">
        <f t="shared" si="249"/>
        <v>0.76766666666666705</v>
      </c>
      <c r="Q242" s="317">
        <f t="shared" si="249"/>
        <v>0.76133333333333375</v>
      </c>
      <c r="R242" s="317">
        <f t="shared" si="249"/>
        <v>0.75500000000000045</v>
      </c>
      <c r="S242" s="317">
        <f t="shared" si="249"/>
        <v>0.74866666666666715</v>
      </c>
      <c r="T242" s="317">
        <f t="shared" si="249"/>
        <v>0.74233333333333384</v>
      </c>
      <c r="U242" s="317">
        <f t="shared" si="249"/>
        <v>0.73600000000000054</v>
      </c>
      <c r="V242" s="317">
        <f t="shared" si="249"/>
        <v>0.72966666666666724</v>
      </c>
      <c r="W242" s="317">
        <f t="shared" si="249"/>
        <v>0.72333333333333394</v>
      </c>
      <c r="X242" s="317">
        <f t="shared" si="249"/>
        <v>0.71700000000000064</v>
      </c>
      <c r="Y242" s="317">
        <f t="shared" si="249"/>
        <v>0.71066666666666733</v>
      </c>
      <c r="Z242" s="317">
        <f t="shared" si="249"/>
        <v>0.70433333333333403</v>
      </c>
      <c r="AA242" s="317">
        <f t="shared" si="249"/>
        <v>0.69800000000000073</v>
      </c>
      <c r="AB242" s="317">
        <f t="shared" si="249"/>
        <v>0.69166666666666743</v>
      </c>
      <c r="AC242" s="317">
        <f t="shared" si="249"/>
        <v>0.68533333333333413</v>
      </c>
      <c r="AD242" s="317">
        <f t="shared" si="249"/>
        <v>0.67900000000000083</v>
      </c>
      <c r="AE242" s="317">
        <f t="shared" si="249"/>
        <v>0.67266666666666752</v>
      </c>
      <c r="AF242" s="317">
        <f t="shared" si="249"/>
        <v>0.66633333333333422</v>
      </c>
      <c r="AG242" s="296">
        <v>0.66</v>
      </c>
      <c r="AI242" s="316"/>
      <c r="AJ242" s="211" t="s">
        <v>1363</v>
      </c>
    </row>
    <row r="243" spans="1:36" s="1" customFormat="1" outlineLevel="1">
      <c r="A243" t="s">
        <v>1374</v>
      </c>
      <c r="B243" s="302" t="s">
        <v>462</v>
      </c>
      <c r="C243" s="296">
        <v>0</v>
      </c>
      <c r="D243" s="317">
        <f t="shared" ref="D243:AF243" si="250">-($C243-$AG243)/30+C243</f>
        <v>0</v>
      </c>
      <c r="E243" s="317">
        <f t="shared" si="250"/>
        <v>0</v>
      </c>
      <c r="F243" s="317">
        <f t="shared" si="250"/>
        <v>0</v>
      </c>
      <c r="G243" s="317">
        <f t="shared" si="250"/>
        <v>0</v>
      </c>
      <c r="H243" s="317">
        <f t="shared" si="250"/>
        <v>0</v>
      </c>
      <c r="I243" s="317">
        <f t="shared" si="250"/>
        <v>0</v>
      </c>
      <c r="J243" s="317">
        <f t="shared" si="250"/>
        <v>0</v>
      </c>
      <c r="K243" s="317">
        <f t="shared" si="250"/>
        <v>0</v>
      </c>
      <c r="L243" s="317">
        <f t="shared" si="250"/>
        <v>0</v>
      </c>
      <c r="M243" s="317">
        <f t="shared" si="250"/>
        <v>0</v>
      </c>
      <c r="N243" s="317">
        <f t="shared" si="250"/>
        <v>0</v>
      </c>
      <c r="O243" s="317">
        <f t="shared" si="250"/>
        <v>0</v>
      </c>
      <c r="P243" s="317">
        <f t="shared" si="250"/>
        <v>0</v>
      </c>
      <c r="Q243" s="317">
        <f t="shared" si="250"/>
        <v>0</v>
      </c>
      <c r="R243" s="317">
        <f t="shared" si="250"/>
        <v>0</v>
      </c>
      <c r="S243" s="317">
        <f t="shared" si="250"/>
        <v>0</v>
      </c>
      <c r="T243" s="317">
        <f t="shared" si="250"/>
        <v>0</v>
      </c>
      <c r="U243" s="317">
        <f t="shared" si="250"/>
        <v>0</v>
      </c>
      <c r="V243" s="317">
        <f t="shared" si="250"/>
        <v>0</v>
      </c>
      <c r="W243" s="317">
        <f t="shared" si="250"/>
        <v>0</v>
      </c>
      <c r="X243" s="317">
        <f t="shared" si="250"/>
        <v>0</v>
      </c>
      <c r="Y243" s="317">
        <f t="shared" si="250"/>
        <v>0</v>
      </c>
      <c r="Z243" s="317">
        <f t="shared" si="250"/>
        <v>0</v>
      </c>
      <c r="AA243" s="317">
        <f t="shared" si="250"/>
        <v>0</v>
      </c>
      <c r="AB243" s="317">
        <f t="shared" si="250"/>
        <v>0</v>
      </c>
      <c r="AC243" s="317">
        <f t="shared" si="250"/>
        <v>0</v>
      </c>
      <c r="AD243" s="317">
        <f t="shared" si="250"/>
        <v>0</v>
      </c>
      <c r="AE243" s="317">
        <f t="shared" si="250"/>
        <v>0</v>
      </c>
      <c r="AF243" s="317">
        <f t="shared" si="250"/>
        <v>0</v>
      </c>
      <c r="AG243" s="296">
        <v>0</v>
      </c>
      <c r="AI243" s="316"/>
      <c r="AJ243" s="211" t="s">
        <v>1363</v>
      </c>
    </row>
    <row r="244" spans="1:36" s="1" customFormat="1" outlineLevel="1">
      <c r="A244" t="s">
        <v>1375</v>
      </c>
      <c r="B244" s="302" t="s">
        <v>462</v>
      </c>
      <c r="C244" s="296">
        <v>1</v>
      </c>
      <c r="D244" s="317">
        <f t="shared" ref="D244:AF244" si="251">-($C244-$AG244)/30+C244</f>
        <v>1</v>
      </c>
      <c r="E244" s="317">
        <f t="shared" si="251"/>
        <v>1</v>
      </c>
      <c r="F244" s="317">
        <f t="shared" si="251"/>
        <v>1</v>
      </c>
      <c r="G244" s="317">
        <f t="shared" si="251"/>
        <v>1</v>
      </c>
      <c r="H244" s="317">
        <f t="shared" si="251"/>
        <v>1</v>
      </c>
      <c r="I244" s="317">
        <f t="shared" si="251"/>
        <v>1</v>
      </c>
      <c r="J244" s="317">
        <f t="shared" si="251"/>
        <v>1</v>
      </c>
      <c r="K244" s="317">
        <f t="shared" si="251"/>
        <v>1</v>
      </c>
      <c r="L244" s="317">
        <f t="shared" si="251"/>
        <v>1</v>
      </c>
      <c r="M244" s="317">
        <f t="shared" si="251"/>
        <v>1</v>
      </c>
      <c r="N244" s="317">
        <f t="shared" si="251"/>
        <v>1</v>
      </c>
      <c r="O244" s="317">
        <f t="shared" si="251"/>
        <v>1</v>
      </c>
      <c r="P244" s="317">
        <f t="shared" si="251"/>
        <v>1</v>
      </c>
      <c r="Q244" s="317">
        <f t="shared" si="251"/>
        <v>1</v>
      </c>
      <c r="R244" s="317">
        <f t="shared" si="251"/>
        <v>1</v>
      </c>
      <c r="S244" s="317">
        <f t="shared" si="251"/>
        <v>1</v>
      </c>
      <c r="T244" s="317">
        <f t="shared" si="251"/>
        <v>1</v>
      </c>
      <c r="U244" s="317">
        <f t="shared" si="251"/>
        <v>1</v>
      </c>
      <c r="V244" s="317">
        <f t="shared" si="251"/>
        <v>1</v>
      </c>
      <c r="W244" s="317">
        <f t="shared" si="251"/>
        <v>1</v>
      </c>
      <c r="X244" s="317">
        <f t="shared" si="251"/>
        <v>1</v>
      </c>
      <c r="Y244" s="317">
        <f t="shared" si="251"/>
        <v>1</v>
      </c>
      <c r="Z244" s="317">
        <f t="shared" si="251"/>
        <v>1</v>
      </c>
      <c r="AA244" s="317">
        <f t="shared" si="251"/>
        <v>1</v>
      </c>
      <c r="AB244" s="317">
        <f t="shared" si="251"/>
        <v>1</v>
      </c>
      <c r="AC244" s="317">
        <f t="shared" si="251"/>
        <v>1</v>
      </c>
      <c r="AD244" s="317">
        <f t="shared" si="251"/>
        <v>1</v>
      </c>
      <c r="AE244" s="317">
        <f t="shared" si="251"/>
        <v>1</v>
      </c>
      <c r="AF244" s="317">
        <f t="shared" si="251"/>
        <v>1</v>
      </c>
      <c r="AG244" s="296">
        <v>1</v>
      </c>
      <c r="AI244" s="316"/>
      <c r="AJ244" s="211" t="s">
        <v>1363</v>
      </c>
    </row>
    <row r="245" spans="1:36" s="1" customFormat="1" outlineLevel="1">
      <c r="A245" t="s">
        <v>1376</v>
      </c>
      <c r="B245" s="302" t="s">
        <v>462</v>
      </c>
      <c r="C245" s="296">
        <v>0.8</v>
      </c>
      <c r="D245" s="317">
        <f t="shared" ref="D245:AF245" si="252">-($C245-$AG245)/30+C245</f>
        <v>0.80333333333333334</v>
      </c>
      <c r="E245" s="317">
        <f t="shared" si="252"/>
        <v>0.80666666666666664</v>
      </c>
      <c r="F245" s="317">
        <f t="shared" si="252"/>
        <v>0.80999999999999994</v>
      </c>
      <c r="G245" s="317">
        <f t="shared" si="252"/>
        <v>0.81333333333333324</v>
      </c>
      <c r="H245" s="317">
        <f t="shared" si="252"/>
        <v>0.81666666666666654</v>
      </c>
      <c r="I245" s="317">
        <f t="shared" si="252"/>
        <v>0.81999999999999984</v>
      </c>
      <c r="J245" s="317">
        <f t="shared" si="252"/>
        <v>0.82333333333333314</v>
      </c>
      <c r="K245" s="317">
        <f t="shared" si="252"/>
        <v>0.82666666666666644</v>
      </c>
      <c r="L245" s="317">
        <f t="shared" si="252"/>
        <v>0.82999999999999974</v>
      </c>
      <c r="M245" s="317">
        <f t="shared" si="252"/>
        <v>0.83333333333333304</v>
      </c>
      <c r="N245" s="317">
        <f t="shared" si="252"/>
        <v>0.83666666666666634</v>
      </c>
      <c r="O245" s="317">
        <f t="shared" si="252"/>
        <v>0.83999999999999964</v>
      </c>
      <c r="P245" s="317">
        <f t="shared" si="252"/>
        <v>0.84333333333333294</v>
      </c>
      <c r="Q245" s="317">
        <f t="shared" si="252"/>
        <v>0.84666666666666623</v>
      </c>
      <c r="R245" s="317">
        <f t="shared" si="252"/>
        <v>0.84999999999999953</v>
      </c>
      <c r="S245" s="317">
        <f t="shared" si="252"/>
        <v>0.85333333333333283</v>
      </c>
      <c r="T245" s="317">
        <f t="shared" si="252"/>
        <v>0.85666666666666613</v>
      </c>
      <c r="U245" s="317">
        <f t="shared" si="252"/>
        <v>0.85999999999999943</v>
      </c>
      <c r="V245" s="317">
        <f t="shared" si="252"/>
        <v>0.86333333333333273</v>
      </c>
      <c r="W245" s="317">
        <f t="shared" si="252"/>
        <v>0.86666666666666603</v>
      </c>
      <c r="X245" s="317">
        <f t="shared" si="252"/>
        <v>0.86999999999999933</v>
      </c>
      <c r="Y245" s="317">
        <f t="shared" si="252"/>
        <v>0.87333333333333263</v>
      </c>
      <c r="Z245" s="317">
        <f t="shared" si="252"/>
        <v>0.87666666666666593</v>
      </c>
      <c r="AA245" s="317">
        <f t="shared" si="252"/>
        <v>0.87999999999999923</v>
      </c>
      <c r="AB245" s="317">
        <f t="shared" si="252"/>
        <v>0.88333333333333253</v>
      </c>
      <c r="AC245" s="317">
        <f t="shared" si="252"/>
        <v>0.88666666666666583</v>
      </c>
      <c r="AD245" s="317">
        <f t="shared" si="252"/>
        <v>0.88999999999999913</v>
      </c>
      <c r="AE245" s="317">
        <f t="shared" si="252"/>
        <v>0.89333333333333242</v>
      </c>
      <c r="AF245" s="317">
        <f t="shared" si="252"/>
        <v>0.89666666666666572</v>
      </c>
      <c r="AG245" s="296">
        <v>0.9</v>
      </c>
      <c r="AI245" s="316"/>
      <c r="AJ245" s="211" t="s">
        <v>1363</v>
      </c>
    </row>
    <row r="246" spans="1:36" s="1" customFormat="1" outlineLevel="1">
      <c r="A246" t="s">
        <v>1377</v>
      </c>
      <c r="B246" s="302" t="s">
        <v>462</v>
      </c>
      <c r="C246" s="296">
        <v>0.2</v>
      </c>
      <c r="D246" s="317">
        <f t="shared" ref="D246:AF246" si="253">-($C246-$AG246)/30+C246</f>
        <v>0.19666666666666668</v>
      </c>
      <c r="E246" s="317">
        <f t="shared" si="253"/>
        <v>0.19333333333333336</v>
      </c>
      <c r="F246" s="317">
        <f t="shared" si="253"/>
        <v>0.19000000000000003</v>
      </c>
      <c r="G246" s="317">
        <f t="shared" si="253"/>
        <v>0.1866666666666667</v>
      </c>
      <c r="H246" s="317">
        <f t="shared" si="253"/>
        <v>0.18333333333333338</v>
      </c>
      <c r="I246" s="317">
        <f t="shared" si="253"/>
        <v>0.18000000000000005</v>
      </c>
      <c r="J246" s="317">
        <f t="shared" si="253"/>
        <v>0.17666666666666672</v>
      </c>
      <c r="K246" s="317">
        <f t="shared" si="253"/>
        <v>0.17333333333333339</v>
      </c>
      <c r="L246" s="317">
        <f t="shared" si="253"/>
        <v>0.17000000000000007</v>
      </c>
      <c r="M246" s="317">
        <f t="shared" si="253"/>
        <v>0.16666666666666674</v>
      </c>
      <c r="N246" s="317">
        <f t="shared" si="253"/>
        <v>0.16333333333333341</v>
      </c>
      <c r="O246" s="317">
        <f t="shared" si="253"/>
        <v>0.16000000000000009</v>
      </c>
      <c r="P246" s="317">
        <f t="shared" si="253"/>
        <v>0.15666666666666676</v>
      </c>
      <c r="Q246" s="317">
        <f t="shared" si="253"/>
        <v>0.15333333333333343</v>
      </c>
      <c r="R246" s="317">
        <f t="shared" si="253"/>
        <v>0.15000000000000011</v>
      </c>
      <c r="S246" s="317">
        <f t="shared" si="253"/>
        <v>0.14666666666666678</v>
      </c>
      <c r="T246" s="317">
        <f t="shared" si="253"/>
        <v>0.14333333333333345</v>
      </c>
      <c r="U246" s="317">
        <f t="shared" si="253"/>
        <v>0.14000000000000012</v>
      </c>
      <c r="V246" s="317">
        <f t="shared" si="253"/>
        <v>0.1366666666666668</v>
      </c>
      <c r="W246" s="317">
        <f t="shared" si="253"/>
        <v>0.13333333333333347</v>
      </c>
      <c r="X246" s="317">
        <f t="shared" si="253"/>
        <v>0.13000000000000014</v>
      </c>
      <c r="Y246" s="317">
        <f t="shared" si="253"/>
        <v>0.12666666666666682</v>
      </c>
      <c r="Z246" s="317">
        <f t="shared" si="253"/>
        <v>0.12333333333333349</v>
      </c>
      <c r="AA246" s="317">
        <f t="shared" si="253"/>
        <v>0.12000000000000016</v>
      </c>
      <c r="AB246" s="317">
        <f t="shared" si="253"/>
        <v>0.11666666666666684</v>
      </c>
      <c r="AC246" s="317">
        <f t="shared" si="253"/>
        <v>0.11333333333333351</v>
      </c>
      <c r="AD246" s="317">
        <f t="shared" si="253"/>
        <v>0.11000000000000018</v>
      </c>
      <c r="AE246" s="317">
        <f t="shared" si="253"/>
        <v>0.10666666666666685</v>
      </c>
      <c r="AF246" s="317">
        <f t="shared" si="253"/>
        <v>0.10333333333333353</v>
      </c>
      <c r="AG246" s="296">
        <v>0.1</v>
      </c>
      <c r="AI246" s="316"/>
      <c r="AJ246" s="211" t="s">
        <v>1363</v>
      </c>
    </row>
    <row r="247" spans="1:36" s="1" customFormat="1" outlineLevel="1">
      <c r="A247" t="s">
        <v>1378</v>
      </c>
      <c r="B247" s="302" t="s">
        <v>462</v>
      </c>
      <c r="C247" s="296">
        <v>0.95</v>
      </c>
      <c r="D247" s="317">
        <f t="shared" ref="D247:AF247" si="254">-($C247-$AG247)/30+C247</f>
        <v>0.94866666666666666</v>
      </c>
      <c r="E247" s="317">
        <f t="shared" si="254"/>
        <v>0.94733333333333336</v>
      </c>
      <c r="F247" s="317">
        <f t="shared" si="254"/>
        <v>0.94600000000000006</v>
      </c>
      <c r="G247" s="317">
        <f t="shared" si="254"/>
        <v>0.94466666666666677</v>
      </c>
      <c r="H247" s="317">
        <f t="shared" si="254"/>
        <v>0.94333333333333347</v>
      </c>
      <c r="I247" s="317">
        <f t="shared" si="254"/>
        <v>0.94200000000000017</v>
      </c>
      <c r="J247" s="317">
        <f t="shared" si="254"/>
        <v>0.94066666666666687</v>
      </c>
      <c r="K247" s="317">
        <f t="shared" si="254"/>
        <v>0.93933333333333358</v>
      </c>
      <c r="L247" s="317">
        <f t="shared" si="254"/>
        <v>0.93800000000000028</v>
      </c>
      <c r="M247" s="317">
        <f t="shared" si="254"/>
        <v>0.93666666666666698</v>
      </c>
      <c r="N247" s="317">
        <f t="shared" si="254"/>
        <v>0.93533333333333368</v>
      </c>
      <c r="O247" s="317">
        <f t="shared" si="254"/>
        <v>0.93400000000000039</v>
      </c>
      <c r="P247" s="317">
        <f t="shared" si="254"/>
        <v>0.93266666666666709</v>
      </c>
      <c r="Q247" s="317">
        <f t="shared" si="254"/>
        <v>0.93133333333333379</v>
      </c>
      <c r="R247" s="317">
        <f t="shared" si="254"/>
        <v>0.93000000000000049</v>
      </c>
      <c r="S247" s="317">
        <f t="shared" si="254"/>
        <v>0.9286666666666672</v>
      </c>
      <c r="T247" s="317">
        <f t="shared" si="254"/>
        <v>0.9273333333333339</v>
      </c>
      <c r="U247" s="317">
        <f t="shared" si="254"/>
        <v>0.9260000000000006</v>
      </c>
      <c r="V247" s="317">
        <f t="shared" si="254"/>
        <v>0.9246666666666673</v>
      </c>
      <c r="W247" s="317">
        <f t="shared" si="254"/>
        <v>0.92333333333333401</v>
      </c>
      <c r="X247" s="317">
        <f t="shared" si="254"/>
        <v>0.92200000000000071</v>
      </c>
      <c r="Y247" s="317">
        <f t="shared" si="254"/>
        <v>0.92066666666666741</v>
      </c>
      <c r="Z247" s="317">
        <f t="shared" si="254"/>
        <v>0.91933333333333411</v>
      </c>
      <c r="AA247" s="317">
        <f t="shared" si="254"/>
        <v>0.91800000000000082</v>
      </c>
      <c r="AB247" s="317">
        <f t="shared" si="254"/>
        <v>0.91666666666666752</v>
      </c>
      <c r="AC247" s="317">
        <f t="shared" si="254"/>
        <v>0.91533333333333422</v>
      </c>
      <c r="AD247" s="317">
        <f t="shared" si="254"/>
        <v>0.91400000000000092</v>
      </c>
      <c r="AE247" s="317">
        <f t="shared" si="254"/>
        <v>0.91266666666666763</v>
      </c>
      <c r="AF247" s="317">
        <f t="shared" si="254"/>
        <v>0.91133333333333433</v>
      </c>
      <c r="AG247" s="296">
        <v>0.91</v>
      </c>
      <c r="AI247" s="316"/>
      <c r="AJ247" s="211" t="s">
        <v>1363</v>
      </c>
    </row>
    <row r="248" spans="1:36" s="1" customFormat="1" outlineLevel="1">
      <c r="A248" t="s">
        <v>1379</v>
      </c>
      <c r="B248" s="302" t="s">
        <v>462</v>
      </c>
      <c r="C248" s="296">
        <v>0.05</v>
      </c>
      <c r="D248" s="317">
        <f t="shared" ref="D248:AF248" si="255">-($C248-$AG248)/30+C248</f>
        <v>5.1333333333333335E-2</v>
      </c>
      <c r="E248" s="317">
        <f t="shared" si="255"/>
        <v>5.2666666666666667E-2</v>
      </c>
      <c r="F248" s="317">
        <f t="shared" si="255"/>
        <v>5.3999999999999999E-2</v>
      </c>
      <c r="G248" s="317">
        <f t="shared" si="255"/>
        <v>5.5333333333333332E-2</v>
      </c>
      <c r="H248" s="317">
        <f t="shared" si="255"/>
        <v>5.6666666666666664E-2</v>
      </c>
      <c r="I248" s="317">
        <f t="shared" si="255"/>
        <v>5.7999999999999996E-2</v>
      </c>
      <c r="J248" s="317">
        <f t="shared" si="255"/>
        <v>5.9333333333333328E-2</v>
      </c>
      <c r="K248" s="317">
        <f t="shared" si="255"/>
        <v>6.066666666666666E-2</v>
      </c>
      <c r="L248" s="317">
        <f t="shared" si="255"/>
        <v>6.1999999999999993E-2</v>
      </c>
      <c r="M248" s="317">
        <f t="shared" si="255"/>
        <v>6.3333333333333325E-2</v>
      </c>
      <c r="N248" s="317">
        <f t="shared" si="255"/>
        <v>6.4666666666666664E-2</v>
      </c>
      <c r="O248" s="317">
        <f t="shared" si="255"/>
        <v>6.6000000000000003E-2</v>
      </c>
      <c r="P248" s="317">
        <f t="shared" si="255"/>
        <v>6.7333333333333342E-2</v>
      </c>
      <c r="Q248" s="317">
        <f t="shared" si="255"/>
        <v>6.8666666666666681E-2</v>
      </c>
      <c r="R248" s="317">
        <f t="shared" si="255"/>
        <v>7.0000000000000021E-2</v>
      </c>
      <c r="S248" s="317">
        <f t="shared" si="255"/>
        <v>7.133333333333336E-2</v>
      </c>
      <c r="T248" s="317">
        <f t="shared" si="255"/>
        <v>7.2666666666666699E-2</v>
      </c>
      <c r="U248" s="317">
        <f t="shared" si="255"/>
        <v>7.4000000000000038E-2</v>
      </c>
      <c r="V248" s="317">
        <f t="shared" si="255"/>
        <v>7.5333333333333377E-2</v>
      </c>
      <c r="W248" s="317">
        <f t="shared" si="255"/>
        <v>7.6666666666666716E-2</v>
      </c>
      <c r="X248" s="317">
        <f t="shared" si="255"/>
        <v>7.8000000000000055E-2</v>
      </c>
      <c r="Y248" s="317">
        <f t="shared" si="255"/>
        <v>7.9333333333333395E-2</v>
      </c>
      <c r="Z248" s="317">
        <f t="shared" si="255"/>
        <v>8.0666666666666734E-2</v>
      </c>
      <c r="AA248" s="317">
        <f t="shared" si="255"/>
        <v>8.2000000000000073E-2</v>
      </c>
      <c r="AB248" s="317">
        <f t="shared" si="255"/>
        <v>8.3333333333333412E-2</v>
      </c>
      <c r="AC248" s="317">
        <f t="shared" si="255"/>
        <v>8.4666666666666751E-2</v>
      </c>
      <c r="AD248" s="317">
        <f t="shared" si="255"/>
        <v>8.600000000000009E-2</v>
      </c>
      <c r="AE248" s="317">
        <f t="shared" si="255"/>
        <v>8.7333333333333429E-2</v>
      </c>
      <c r="AF248" s="317">
        <f t="shared" si="255"/>
        <v>8.8666666666666769E-2</v>
      </c>
      <c r="AG248" s="296">
        <v>0.09</v>
      </c>
      <c r="AI248" s="316"/>
      <c r="AJ248" s="211" t="s">
        <v>1363</v>
      </c>
    </row>
    <row r="249" spans="1:36" s="1" customFormat="1" outlineLevel="1">
      <c r="A249" t="s">
        <v>1380</v>
      </c>
      <c r="B249" s="302"/>
      <c r="C249" s="296">
        <v>0.27</v>
      </c>
      <c r="D249" s="317">
        <f t="shared" ref="D249:AF249" si="256">-($C249-$AG249)/30+C249</f>
        <v>0.26600000000000001</v>
      </c>
      <c r="E249" s="317">
        <f t="shared" si="256"/>
        <v>0.26200000000000001</v>
      </c>
      <c r="F249" s="317">
        <f t="shared" si="256"/>
        <v>0.25800000000000001</v>
      </c>
      <c r="G249" s="317">
        <f t="shared" si="256"/>
        <v>0.254</v>
      </c>
      <c r="H249" s="317">
        <f t="shared" si="256"/>
        <v>0.25</v>
      </c>
      <c r="I249" s="317">
        <f t="shared" si="256"/>
        <v>0.246</v>
      </c>
      <c r="J249" s="317">
        <f t="shared" si="256"/>
        <v>0.24199999999999999</v>
      </c>
      <c r="K249" s="317">
        <f t="shared" si="256"/>
        <v>0.23799999999999999</v>
      </c>
      <c r="L249" s="317">
        <f t="shared" si="256"/>
        <v>0.23399999999999999</v>
      </c>
      <c r="M249" s="317">
        <f t="shared" si="256"/>
        <v>0.22999999999999998</v>
      </c>
      <c r="N249" s="317">
        <f t="shared" si="256"/>
        <v>0.22599999999999998</v>
      </c>
      <c r="O249" s="317">
        <f t="shared" si="256"/>
        <v>0.22199999999999998</v>
      </c>
      <c r="P249" s="317">
        <f t="shared" si="256"/>
        <v>0.21799999999999997</v>
      </c>
      <c r="Q249" s="317">
        <f t="shared" si="256"/>
        <v>0.21399999999999997</v>
      </c>
      <c r="R249" s="317">
        <f t="shared" si="256"/>
        <v>0.20999999999999996</v>
      </c>
      <c r="S249" s="317">
        <f t="shared" si="256"/>
        <v>0.20599999999999996</v>
      </c>
      <c r="T249" s="317">
        <f t="shared" si="256"/>
        <v>0.20199999999999996</v>
      </c>
      <c r="U249" s="317">
        <f t="shared" si="256"/>
        <v>0.19799999999999995</v>
      </c>
      <c r="V249" s="317">
        <f t="shared" si="256"/>
        <v>0.19399999999999995</v>
      </c>
      <c r="W249" s="317">
        <f t="shared" si="256"/>
        <v>0.18999999999999995</v>
      </c>
      <c r="X249" s="317">
        <f t="shared" si="256"/>
        <v>0.18599999999999994</v>
      </c>
      <c r="Y249" s="317">
        <f t="shared" si="256"/>
        <v>0.18199999999999994</v>
      </c>
      <c r="Z249" s="317">
        <f t="shared" si="256"/>
        <v>0.17799999999999994</v>
      </c>
      <c r="AA249" s="317">
        <f t="shared" si="256"/>
        <v>0.17399999999999993</v>
      </c>
      <c r="AB249" s="317">
        <f t="shared" si="256"/>
        <v>0.16999999999999993</v>
      </c>
      <c r="AC249" s="317">
        <f t="shared" si="256"/>
        <v>0.16599999999999993</v>
      </c>
      <c r="AD249" s="317">
        <f t="shared" si="256"/>
        <v>0.16199999999999992</v>
      </c>
      <c r="AE249" s="317">
        <f t="shared" si="256"/>
        <v>0.15799999999999992</v>
      </c>
      <c r="AF249" s="317">
        <f t="shared" si="256"/>
        <v>0.15399999999999991</v>
      </c>
      <c r="AG249" s="296">
        <v>0.15</v>
      </c>
      <c r="AI249" s="316"/>
      <c r="AJ249" s="211"/>
    </row>
    <row r="250" spans="1:36" s="67" customFormat="1" outlineLevel="1">
      <c r="A250" s="345" t="s">
        <v>1381</v>
      </c>
      <c r="B250" s="308" t="s">
        <v>462</v>
      </c>
      <c r="C250" s="337">
        <v>0.16</v>
      </c>
      <c r="D250" s="338">
        <f t="shared" ref="D250:AF250" si="257">-($C250-$AG250)/30+C250</f>
        <v>0.16533333333333333</v>
      </c>
      <c r="E250" s="338">
        <f t="shared" si="257"/>
        <v>0.17066666666666666</v>
      </c>
      <c r="F250" s="338">
        <f t="shared" si="257"/>
        <v>0.17599999999999999</v>
      </c>
      <c r="G250" s="338">
        <f t="shared" si="257"/>
        <v>0.18133333333333332</v>
      </c>
      <c r="H250" s="338">
        <f t="shared" si="257"/>
        <v>0.18666666666666665</v>
      </c>
      <c r="I250" s="338">
        <f t="shared" si="257"/>
        <v>0.19199999999999998</v>
      </c>
      <c r="J250" s="338">
        <f t="shared" si="257"/>
        <v>0.19733333333333331</v>
      </c>
      <c r="K250" s="338">
        <f t="shared" si="257"/>
        <v>0.20266666666666663</v>
      </c>
      <c r="L250" s="338">
        <f t="shared" si="257"/>
        <v>0.20799999999999996</v>
      </c>
      <c r="M250" s="338">
        <f t="shared" si="257"/>
        <v>0.21333333333333329</v>
      </c>
      <c r="N250" s="338">
        <f t="shared" si="257"/>
        <v>0.21866666666666662</v>
      </c>
      <c r="O250" s="338">
        <f t="shared" si="257"/>
        <v>0.22399999999999995</v>
      </c>
      <c r="P250" s="338">
        <f t="shared" si="257"/>
        <v>0.22933333333333328</v>
      </c>
      <c r="Q250" s="338">
        <f t="shared" si="257"/>
        <v>0.23466666666666661</v>
      </c>
      <c r="R250" s="338">
        <f t="shared" si="257"/>
        <v>0.23999999999999994</v>
      </c>
      <c r="S250" s="338">
        <f t="shared" si="257"/>
        <v>0.24533333333333326</v>
      </c>
      <c r="T250" s="338">
        <f t="shared" si="257"/>
        <v>0.25066666666666659</v>
      </c>
      <c r="U250" s="338">
        <f t="shared" si="257"/>
        <v>0.25599999999999995</v>
      </c>
      <c r="V250" s="338">
        <f t="shared" si="257"/>
        <v>0.26133333333333331</v>
      </c>
      <c r="W250" s="338">
        <f t="shared" si="257"/>
        <v>0.26666666666666666</v>
      </c>
      <c r="X250" s="338">
        <f t="shared" si="257"/>
        <v>0.27200000000000002</v>
      </c>
      <c r="Y250" s="338">
        <f t="shared" si="257"/>
        <v>0.27733333333333338</v>
      </c>
      <c r="Z250" s="338">
        <f t="shared" si="257"/>
        <v>0.28266666666666673</v>
      </c>
      <c r="AA250" s="338">
        <f t="shared" si="257"/>
        <v>0.28800000000000009</v>
      </c>
      <c r="AB250" s="338">
        <f t="shared" si="257"/>
        <v>0.29333333333333345</v>
      </c>
      <c r="AC250" s="338">
        <f t="shared" si="257"/>
        <v>0.2986666666666668</v>
      </c>
      <c r="AD250" s="338">
        <f t="shared" si="257"/>
        <v>0.30400000000000016</v>
      </c>
      <c r="AE250" s="338">
        <f t="shared" si="257"/>
        <v>0.30933333333333352</v>
      </c>
      <c r="AF250" s="338">
        <f t="shared" si="257"/>
        <v>0.31466666666666687</v>
      </c>
      <c r="AG250" s="337">
        <v>0.32</v>
      </c>
      <c r="AI250" s="337"/>
      <c r="AJ250" s="339" t="s">
        <v>1363</v>
      </c>
    </row>
    <row r="251" spans="1:36" outlineLevel="1">
      <c r="A251" s="346" t="s">
        <v>1382</v>
      </c>
      <c r="B251" s="302" t="s">
        <v>462</v>
      </c>
      <c r="C251" s="296">
        <v>0.37</v>
      </c>
      <c r="D251" s="317">
        <f t="shared" ref="D251:AF251" si="258">-($C251-$AG251)/30+C251</f>
        <v>0.37166666666666665</v>
      </c>
      <c r="E251" s="317">
        <f t="shared" si="258"/>
        <v>0.37333333333333329</v>
      </c>
      <c r="F251" s="317">
        <f t="shared" si="258"/>
        <v>0.37499999999999994</v>
      </c>
      <c r="G251" s="317">
        <f t="shared" si="258"/>
        <v>0.37666666666666659</v>
      </c>
      <c r="H251" s="317">
        <f t="shared" si="258"/>
        <v>0.37833333333333324</v>
      </c>
      <c r="I251" s="317">
        <f t="shared" si="258"/>
        <v>0.37999999999999989</v>
      </c>
      <c r="J251" s="317">
        <f t="shared" si="258"/>
        <v>0.38166666666666654</v>
      </c>
      <c r="K251" s="317">
        <f t="shared" si="258"/>
        <v>0.38333333333333319</v>
      </c>
      <c r="L251" s="317">
        <f t="shared" si="258"/>
        <v>0.38499999999999984</v>
      </c>
      <c r="M251" s="317">
        <f t="shared" si="258"/>
        <v>0.38666666666666649</v>
      </c>
      <c r="N251" s="317">
        <f t="shared" si="258"/>
        <v>0.38833333333333314</v>
      </c>
      <c r="O251" s="317">
        <f t="shared" si="258"/>
        <v>0.38999999999999979</v>
      </c>
      <c r="P251" s="317">
        <f t="shared" si="258"/>
        <v>0.39166666666666644</v>
      </c>
      <c r="Q251" s="317">
        <f t="shared" si="258"/>
        <v>0.39333333333333309</v>
      </c>
      <c r="R251" s="317">
        <f t="shared" si="258"/>
        <v>0.39499999999999974</v>
      </c>
      <c r="S251" s="317">
        <f t="shared" si="258"/>
        <v>0.39666666666666639</v>
      </c>
      <c r="T251" s="317">
        <f t="shared" si="258"/>
        <v>0.39833333333333304</v>
      </c>
      <c r="U251" s="317">
        <f t="shared" si="258"/>
        <v>0.39999999999999969</v>
      </c>
      <c r="V251" s="317">
        <f t="shared" si="258"/>
        <v>0.40166666666666634</v>
      </c>
      <c r="W251" s="317">
        <f t="shared" si="258"/>
        <v>0.40333333333333299</v>
      </c>
      <c r="X251" s="317">
        <f t="shared" si="258"/>
        <v>0.40499999999999964</v>
      </c>
      <c r="Y251" s="317">
        <f t="shared" si="258"/>
        <v>0.40666666666666629</v>
      </c>
      <c r="Z251" s="317">
        <f t="shared" si="258"/>
        <v>0.40833333333333294</v>
      </c>
      <c r="AA251" s="317">
        <f t="shared" si="258"/>
        <v>0.40999999999999959</v>
      </c>
      <c r="AB251" s="317">
        <f t="shared" si="258"/>
        <v>0.41166666666666624</v>
      </c>
      <c r="AC251" s="317">
        <f t="shared" si="258"/>
        <v>0.41333333333333289</v>
      </c>
      <c r="AD251" s="317">
        <f t="shared" si="258"/>
        <v>0.41499999999999954</v>
      </c>
      <c r="AE251" s="317">
        <f t="shared" si="258"/>
        <v>0.41666666666666619</v>
      </c>
      <c r="AF251" s="317">
        <f t="shared" si="258"/>
        <v>0.41833333333333284</v>
      </c>
      <c r="AG251" s="296">
        <v>0.42</v>
      </c>
      <c r="AI251" s="296"/>
      <c r="AJ251" s="211" t="s">
        <v>1363</v>
      </c>
    </row>
    <row r="252" spans="1:36" outlineLevel="1">
      <c r="A252" s="346" t="s">
        <v>1383</v>
      </c>
      <c r="B252" s="302" t="s">
        <v>462</v>
      </c>
      <c r="C252" s="296">
        <v>0.08</v>
      </c>
      <c r="D252" s="317">
        <f t="shared" ref="D252:AF252" si="259">-($C252-$AG252)/30+C252</f>
        <v>7.7666666666666662E-2</v>
      </c>
      <c r="E252" s="317">
        <f t="shared" si="259"/>
        <v>7.5333333333333322E-2</v>
      </c>
      <c r="F252" s="317">
        <f t="shared" si="259"/>
        <v>7.2999999999999982E-2</v>
      </c>
      <c r="G252" s="317">
        <f t="shared" si="259"/>
        <v>7.0666666666666642E-2</v>
      </c>
      <c r="H252" s="317">
        <f t="shared" si="259"/>
        <v>6.8333333333333302E-2</v>
      </c>
      <c r="I252" s="317">
        <f t="shared" si="259"/>
        <v>6.5999999999999961E-2</v>
      </c>
      <c r="J252" s="317">
        <f t="shared" si="259"/>
        <v>6.3666666666666621E-2</v>
      </c>
      <c r="K252" s="317">
        <f t="shared" si="259"/>
        <v>6.1333333333333288E-2</v>
      </c>
      <c r="L252" s="317">
        <f t="shared" si="259"/>
        <v>5.8999999999999955E-2</v>
      </c>
      <c r="M252" s="317">
        <f t="shared" si="259"/>
        <v>5.6666666666666622E-2</v>
      </c>
      <c r="N252" s="317">
        <f t="shared" si="259"/>
        <v>5.4333333333333289E-2</v>
      </c>
      <c r="O252" s="317">
        <f t="shared" si="259"/>
        <v>5.1999999999999956E-2</v>
      </c>
      <c r="P252" s="317">
        <f t="shared" si="259"/>
        <v>4.9666666666666623E-2</v>
      </c>
      <c r="Q252" s="317">
        <f t="shared" si="259"/>
        <v>4.733333333333329E-2</v>
      </c>
      <c r="R252" s="317">
        <f t="shared" si="259"/>
        <v>4.4999999999999957E-2</v>
      </c>
      <c r="S252" s="317">
        <f t="shared" si="259"/>
        <v>4.2666666666666624E-2</v>
      </c>
      <c r="T252" s="317">
        <f t="shared" si="259"/>
        <v>4.0333333333333291E-2</v>
      </c>
      <c r="U252" s="317">
        <f t="shared" si="259"/>
        <v>3.7999999999999957E-2</v>
      </c>
      <c r="V252" s="317">
        <f t="shared" si="259"/>
        <v>3.5666666666666624E-2</v>
      </c>
      <c r="W252" s="317">
        <f t="shared" si="259"/>
        <v>3.3333333333333291E-2</v>
      </c>
      <c r="X252" s="317">
        <f t="shared" si="259"/>
        <v>3.0999999999999958E-2</v>
      </c>
      <c r="Y252" s="317">
        <f t="shared" si="259"/>
        <v>2.8666666666666625E-2</v>
      </c>
      <c r="Z252" s="317">
        <f t="shared" si="259"/>
        <v>2.6333333333333292E-2</v>
      </c>
      <c r="AA252" s="317">
        <f t="shared" si="259"/>
        <v>2.3999999999999959E-2</v>
      </c>
      <c r="AB252" s="317">
        <f t="shared" si="259"/>
        <v>2.1666666666666626E-2</v>
      </c>
      <c r="AC252" s="317">
        <f t="shared" si="259"/>
        <v>1.9333333333333293E-2</v>
      </c>
      <c r="AD252" s="317">
        <f t="shared" si="259"/>
        <v>1.699999999999996E-2</v>
      </c>
      <c r="AE252" s="317">
        <f t="shared" si="259"/>
        <v>1.4666666666666626E-2</v>
      </c>
      <c r="AF252" s="317">
        <f t="shared" si="259"/>
        <v>1.2333333333333293E-2</v>
      </c>
      <c r="AG252" s="296">
        <v>0.01</v>
      </c>
      <c r="AI252" s="296"/>
      <c r="AJ252" s="211" t="s">
        <v>1363</v>
      </c>
    </row>
    <row r="253" spans="1:36" outlineLevel="1">
      <c r="A253" s="346" t="s">
        <v>1384</v>
      </c>
      <c r="B253" s="302" t="s">
        <v>462</v>
      </c>
      <c r="C253" s="296">
        <v>0.27</v>
      </c>
      <c r="D253" s="317">
        <f t="shared" ref="D253:AF253" si="260">-($C253-$AG253)/30+C253</f>
        <v>0.26633333333333337</v>
      </c>
      <c r="E253" s="317">
        <f t="shared" si="260"/>
        <v>0.26266666666666671</v>
      </c>
      <c r="F253" s="317">
        <f t="shared" si="260"/>
        <v>0.25900000000000006</v>
      </c>
      <c r="G253" s="317">
        <f t="shared" si="260"/>
        <v>0.25533333333333341</v>
      </c>
      <c r="H253" s="317">
        <f t="shared" si="260"/>
        <v>0.25166666666666676</v>
      </c>
      <c r="I253" s="317">
        <f t="shared" si="260"/>
        <v>0.24800000000000008</v>
      </c>
      <c r="J253" s="317">
        <f t="shared" si="260"/>
        <v>0.2443333333333334</v>
      </c>
      <c r="K253" s="317">
        <f t="shared" si="260"/>
        <v>0.24066666666666672</v>
      </c>
      <c r="L253" s="317">
        <f t="shared" si="260"/>
        <v>0.23700000000000004</v>
      </c>
      <c r="M253" s="317">
        <f t="shared" si="260"/>
        <v>0.23333333333333336</v>
      </c>
      <c r="N253" s="317">
        <f t="shared" si="260"/>
        <v>0.22966666666666669</v>
      </c>
      <c r="O253" s="317">
        <f t="shared" si="260"/>
        <v>0.22600000000000001</v>
      </c>
      <c r="P253" s="317">
        <f t="shared" si="260"/>
        <v>0.22233333333333333</v>
      </c>
      <c r="Q253" s="317">
        <f t="shared" si="260"/>
        <v>0.21866666666666665</v>
      </c>
      <c r="R253" s="317">
        <f t="shared" si="260"/>
        <v>0.21499999999999997</v>
      </c>
      <c r="S253" s="317">
        <f t="shared" si="260"/>
        <v>0.21133333333333329</v>
      </c>
      <c r="T253" s="317">
        <f t="shared" si="260"/>
        <v>0.20766666666666661</v>
      </c>
      <c r="U253" s="317">
        <f t="shared" si="260"/>
        <v>0.20399999999999993</v>
      </c>
      <c r="V253" s="317">
        <f t="shared" si="260"/>
        <v>0.20033333333333325</v>
      </c>
      <c r="W253" s="317">
        <f t="shared" si="260"/>
        <v>0.19666666666666657</v>
      </c>
      <c r="X253" s="317">
        <f t="shared" si="260"/>
        <v>0.19299999999999989</v>
      </c>
      <c r="Y253" s="317">
        <f t="shared" si="260"/>
        <v>0.18933333333333321</v>
      </c>
      <c r="Z253" s="317">
        <f t="shared" si="260"/>
        <v>0.18566666666666654</v>
      </c>
      <c r="AA253" s="317">
        <f t="shared" si="260"/>
        <v>0.18199999999999986</v>
      </c>
      <c r="AB253" s="317">
        <f t="shared" si="260"/>
        <v>0.17833333333333318</v>
      </c>
      <c r="AC253" s="317">
        <f t="shared" si="260"/>
        <v>0.1746666666666665</v>
      </c>
      <c r="AD253" s="317">
        <f t="shared" si="260"/>
        <v>0.17099999999999982</v>
      </c>
      <c r="AE253" s="317">
        <f t="shared" si="260"/>
        <v>0.16733333333333314</v>
      </c>
      <c r="AF253" s="317">
        <f t="shared" si="260"/>
        <v>0.16366666666666646</v>
      </c>
      <c r="AG253" s="296">
        <v>0.16</v>
      </c>
      <c r="AI253" s="296"/>
      <c r="AJ253" s="211" t="s">
        <v>1363</v>
      </c>
    </row>
    <row r="254" spans="1:36" outlineLevel="1">
      <c r="A254" s="346" t="s">
        <v>1385</v>
      </c>
      <c r="B254" s="302" t="s">
        <v>462</v>
      </c>
      <c r="C254" s="296">
        <v>7.0000000000000007E-2</v>
      </c>
      <c r="D254" s="317">
        <f t="shared" ref="D254:AF254" si="261">-($C254-$AG254)/30+C254</f>
        <v>6.9666666666666668E-2</v>
      </c>
      <c r="E254" s="317">
        <f t="shared" si="261"/>
        <v>6.933333333333333E-2</v>
      </c>
      <c r="F254" s="317">
        <f t="shared" si="261"/>
        <v>6.8999999999999992E-2</v>
      </c>
      <c r="G254" s="317">
        <f t="shared" si="261"/>
        <v>6.8666666666666654E-2</v>
      </c>
      <c r="H254" s="317">
        <f t="shared" si="261"/>
        <v>6.8333333333333315E-2</v>
      </c>
      <c r="I254" s="317">
        <f t="shared" si="261"/>
        <v>6.7999999999999977E-2</v>
      </c>
      <c r="J254" s="317">
        <f t="shared" si="261"/>
        <v>6.7666666666666639E-2</v>
      </c>
      <c r="K254" s="317">
        <f t="shared" si="261"/>
        <v>6.7333333333333301E-2</v>
      </c>
      <c r="L254" s="317">
        <f t="shared" si="261"/>
        <v>6.6999999999999962E-2</v>
      </c>
      <c r="M254" s="317">
        <f t="shared" si="261"/>
        <v>6.6666666666666624E-2</v>
      </c>
      <c r="N254" s="317">
        <f t="shared" si="261"/>
        <v>6.6333333333333286E-2</v>
      </c>
      <c r="O254" s="317">
        <f t="shared" si="261"/>
        <v>6.5999999999999948E-2</v>
      </c>
      <c r="P254" s="317">
        <f t="shared" si="261"/>
        <v>6.5666666666666609E-2</v>
      </c>
      <c r="Q254" s="317">
        <f t="shared" si="261"/>
        <v>6.5333333333333271E-2</v>
      </c>
      <c r="R254" s="317">
        <f t="shared" si="261"/>
        <v>6.4999999999999933E-2</v>
      </c>
      <c r="S254" s="317">
        <f t="shared" si="261"/>
        <v>6.4666666666666595E-2</v>
      </c>
      <c r="T254" s="317">
        <f t="shared" si="261"/>
        <v>6.4333333333333256E-2</v>
      </c>
      <c r="U254" s="317">
        <f t="shared" si="261"/>
        <v>6.3999999999999918E-2</v>
      </c>
      <c r="V254" s="317">
        <f t="shared" si="261"/>
        <v>6.366666666666658E-2</v>
      </c>
      <c r="W254" s="317">
        <f t="shared" si="261"/>
        <v>6.3333333333333242E-2</v>
      </c>
      <c r="X254" s="317">
        <f t="shared" si="261"/>
        <v>6.2999999999999903E-2</v>
      </c>
      <c r="Y254" s="317">
        <f t="shared" si="261"/>
        <v>6.2666666666666565E-2</v>
      </c>
      <c r="Z254" s="317">
        <f t="shared" si="261"/>
        <v>6.2333333333333234E-2</v>
      </c>
      <c r="AA254" s="317">
        <f t="shared" si="261"/>
        <v>6.1999999999999902E-2</v>
      </c>
      <c r="AB254" s="317">
        <f t="shared" si="261"/>
        <v>6.1666666666666571E-2</v>
      </c>
      <c r="AC254" s="317">
        <f t="shared" si="261"/>
        <v>6.133333333333324E-2</v>
      </c>
      <c r="AD254" s="317">
        <f t="shared" si="261"/>
        <v>6.0999999999999908E-2</v>
      </c>
      <c r="AE254" s="317">
        <f t="shared" si="261"/>
        <v>6.0666666666666577E-2</v>
      </c>
      <c r="AF254" s="317">
        <f t="shared" si="261"/>
        <v>6.0333333333333246E-2</v>
      </c>
      <c r="AG254" s="296">
        <v>0.06</v>
      </c>
      <c r="AI254" s="296"/>
      <c r="AJ254" s="211" t="s">
        <v>1363</v>
      </c>
    </row>
    <row r="255" spans="1:36" s="68" customFormat="1" outlineLevel="1">
      <c r="A255" s="347" t="s">
        <v>1386</v>
      </c>
      <c r="B255" s="312" t="s">
        <v>462</v>
      </c>
      <c r="C255" s="314">
        <v>0.05</v>
      </c>
      <c r="D255" s="340">
        <f t="shared" ref="D255:AF255" si="262">-($C255-$AG255)/30+C255</f>
        <v>4.9333333333333333E-2</v>
      </c>
      <c r="E255" s="340">
        <f t="shared" si="262"/>
        <v>4.8666666666666664E-2</v>
      </c>
      <c r="F255" s="340">
        <f t="shared" si="262"/>
        <v>4.7999999999999994E-2</v>
      </c>
      <c r="G255" s="340">
        <f t="shared" si="262"/>
        <v>4.7333333333333324E-2</v>
      </c>
      <c r="H255" s="340">
        <f t="shared" si="262"/>
        <v>4.6666666666666655E-2</v>
      </c>
      <c r="I255" s="340">
        <f t="shared" si="262"/>
        <v>4.5999999999999985E-2</v>
      </c>
      <c r="J255" s="340">
        <f t="shared" si="262"/>
        <v>4.5333333333333316E-2</v>
      </c>
      <c r="K255" s="340">
        <f t="shared" si="262"/>
        <v>4.4666666666666646E-2</v>
      </c>
      <c r="L255" s="340">
        <f t="shared" si="262"/>
        <v>4.3999999999999977E-2</v>
      </c>
      <c r="M255" s="340">
        <f t="shared" si="262"/>
        <v>4.3333333333333307E-2</v>
      </c>
      <c r="N255" s="340">
        <f t="shared" si="262"/>
        <v>4.2666666666666637E-2</v>
      </c>
      <c r="O255" s="340">
        <f t="shared" si="262"/>
        <v>4.1999999999999968E-2</v>
      </c>
      <c r="P255" s="340">
        <f t="shared" si="262"/>
        <v>4.1333333333333298E-2</v>
      </c>
      <c r="Q255" s="340">
        <f t="shared" si="262"/>
        <v>4.0666666666666629E-2</v>
      </c>
      <c r="R255" s="340">
        <f t="shared" si="262"/>
        <v>3.9999999999999959E-2</v>
      </c>
      <c r="S255" s="340">
        <f t="shared" si="262"/>
        <v>3.933333333333329E-2</v>
      </c>
      <c r="T255" s="340">
        <f t="shared" si="262"/>
        <v>3.866666666666662E-2</v>
      </c>
      <c r="U255" s="340">
        <f t="shared" si="262"/>
        <v>3.799999999999995E-2</v>
      </c>
      <c r="V255" s="340">
        <f t="shared" si="262"/>
        <v>3.7333333333333281E-2</v>
      </c>
      <c r="W255" s="340">
        <f t="shared" si="262"/>
        <v>3.6666666666666611E-2</v>
      </c>
      <c r="X255" s="340">
        <f t="shared" si="262"/>
        <v>3.5999999999999942E-2</v>
      </c>
      <c r="Y255" s="340">
        <f t="shared" si="262"/>
        <v>3.5333333333333272E-2</v>
      </c>
      <c r="Z255" s="340">
        <f t="shared" si="262"/>
        <v>3.4666666666666603E-2</v>
      </c>
      <c r="AA255" s="340">
        <f t="shared" si="262"/>
        <v>3.3999999999999933E-2</v>
      </c>
      <c r="AB255" s="340">
        <f t="shared" si="262"/>
        <v>3.3333333333333263E-2</v>
      </c>
      <c r="AC255" s="340">
        <f t="shared" si="262"/>
        <v>3.2666666666666594E-2</v>
      </c>
      <c r="AD255" s="340">
        <f t="shared" si="262"/>
        <v>3.1999999999999924E-2</v>
      </c>
      <c r="AE255" s="340">
        <f t="shared" si="262"/>
        <v>3.1333333333333255E-2</v>
      </c>
      <c r="AF255" s="340">
        <f t="shared" si="262"/>
        <v>3.0666666666666589E-2</v>
      </c>
      <c r="AG255" s="314">
        <v>0.03</v>
      </c>
      <c r="AI255" s="314"/>
      <c r="AJ255" s="341" t="s">
        <v>1363</v>
      </c>
    </row>
    <row r="256" spans="1:36" s="58" customFormat="1" outlineLevel="1">
      <c r="A256" s="58" t="s">
        <v>1361</v>
      </c>
      <c r="B256" s="303"/>
      <c r="C256" s="304">
        <f t="shared" ref="C256:AG256" si="263">C32</f>
        <v>143.57279713811519</v>
      </c>
      <c r="D256" s="304">
        <f t="shared" si="263"/>
        <v>148.38557260308718</v>
      </c>
      <c r="E256" s="304">
        <f t="shared" si="263"/>
        <v>152.95878662154348</v>
      </c>
      <c r="F256" s="304">
        <f t="shared" si="263"/>
        <v>157.26105032826672</v>
      </c>
      <c r="G256" s="304">
        <f t="shared" si="263"/>
        <v>161.26223094850147</v>
      </c>
      <c r="H256" s="304">
        <f t="shared" si="263"/>
        <v>164.93380334569201</v>
      </c>
      <c r="I256" s="304">
        <f t="shared" si="263"/>
        <v>168.61217921778913</v>
      </c>
      <c r="J256" s="304">
        <f t="shared" si="263"/>
        <v>172.29402813633467</v>
      </c>
      <c r="K256" s="304">
        <f t="shared" si="263"/>
        <v>175.97593511993952</v>
      </c>
      <c r="L256" s="304">
        <f t="shared" si="263"/>
        <v>179.65440507537406</v>
      </c>
      <c r="M256" s="304">
        <f t="shared" si="263"/>
        <v>183.32586753881003</v>
      </c>
      <c r="N256" s="304">
        <f t="shared" si="263"/>
        <v>186.71914291497094</v>
      </c>
      <c r="O256" s="304">
        <f t="shared" si="263"/>
        <v>189.81541148857292</v>
      </c>
      <c r="P256" s="304">
        <f t="shared" si="263"/>
        <v>192.59718281286834</v>
      </c>
      <c r="Q256" s="304">
        <f t="shared" si="263"/>
        <v>195.04845826958712</v>
      </c>
      <c r="R256" s="304">
        <f t="shared" si="263"/>
        <v>197.15488262884489</v>
      </c>
      <c r="S256" s="304">
        <f t="shared" si="263"/>
        <v>199.26224175186022</v>
      </c>
      <c r="T256" s="304">
        <f t="shared" si="263"/>
        <v>201.37006612424096</v>
      </c>
      <c r="U256" s="304">
        <f t="shared" si="263"/>
        <v>203.47788059484677</v>
      </c>
      <c r="V256" s="304">
        <f t="shared" si="263"/>
        <v>205.5852045256907</v>
      </c>
      <c r="W256" s="304">
        <f t="shared" si="263"/>
        <v>207.69155194681969</v>
      </c>
      <c r="X256" s="304">
        <f t="shared" si="263"/>
        <v>209.79874250041232</v>
      </c>
      <c r="Y256" s="304">
        <f t="shared" si="263"/>
        <v>211.90635313455866</v>
      </c>
      <c r="Z256" s="304">
        <f t="shared" si="263"/>
        <v>214.01395601642673</v>
      </c>
      <c r="AA256" s="304">
        <f t="shared" si="263"/>
        <v>216.12111865450612</v>
      </c>
      <c r="AB256" s="304">
        <f t="shared" si="263"/>
        <v>218.22740402465692</v>
      </c>
      <c r="AC256" s="304">
        <f t="shared" si="263"/>
        <v>220.33445377437795</v>
      </c>
      <c r="AD256" s="304">
        <f t="shared" si="263"/>
        <v>222.44188470209969</v>
      </c>
      <c r="AE256" s="304">
        <f t="shared" si="263"/>
        <v>224.54930951532904</v>
      </c>
      <c r="AF256" s="304">
        <f t="shared" si="263"/>
        <v>226.65633693133458</v>
      </c>
      <c r="AG256" s="304">
        <f t="shared" si="263"/>
        <v>228.76257178078129</v>
      </c>
      <c r="AI256" s="305"/>
      <c r="AJ256" s="306"/>
    </row>
    <row r="257" spans="1:36" s="58" customFormat="1" outlineLevel="1">
      <c r="A257" s="307" t="s">
        <v>3</v>
      </c>
      <c r="B257" s="308" t="s">
        <v>704</v>
      </c>
      <c r="C257" s="309">
        <v>0</v>
      </c>
      <c r="D257" s="309">
        <v>0</v>
      </c>
      <c r="E257" s="309">
        <v>0</v>
      </c>
      <c r="F257" s="309">
        <v>0</v>
      </c>
      <c r="G257" s="309">
        <v>0</v>
      </c>
      <c r="H257" s="309">
        <v>0</v>
      </c>
      <c r="I257" s="309">
        <v>0</v>
      </c>
      <c r="J257" s="309">
        <v>0</v>
      </c>
      <c r="K257" s="309">
        <v>0</v>
      </c>
      <c r="L257" s="309">
        <v>0</v>
      </c>
      <c r="M257" s="309">
        <v>0</v>
      </c>
      <c r="N257" s="309">
        <v>0</v>
      </c>
      <c r="O257" s="309">
        <v>0</v>
      </c>
      <c r="P257" s="309">
        <v>0</v>
      </c>
      <c r="Q257" s="309">
        <v>0</v>
      </c>
      <c r="R257" s="309">
        <v>0</v>
      </c>
      <c r="S257" s="309">
        <v>0</v>
      </c>
      <c r="T257" s="309">
        <v>0</v>
      </c>
      <c r="U257" s="309">
        <v>0</v>
      </c>
      <c r="V257" s="309">
        <v>0</v>
      </c>
      <c r="W257" s="309">
        <v>0</v>
      </c>
      <c r="X257" s="309">
        <v>0</v>
      </c>
      <c r="Y257" s="309">
        <v>0</v>
      </c>
      <c r="Z257" s="309">
        <v>0</v>
      </c>
      <c r="AA257" s="309">
        <v>0</v>
      </c>
      <c r="AB257" s="309">
        <v>0</v>
      </c>
      <c r="AC257" s="309">
        <v>0</v>
      </c>
      <c r="AD257" s="309">
        <v>0</v>
      </c>
      <c r="AE257" s="309">
        <v>0</v>
      </c>
      <c r="AF257" s="309">
        <v>0</v>
      </c>
      <c r="AG257" s="309">
        <v>0</v>
      </c>
      <c r="AI257" s="305"/>
      <c r="AJ257" s="306"/>
    </row>
    <row r="258" spans="1:36" outlineLevel="1">
      <c r="A258" s="310" t="s">
        <v>51</v>
      </c>
      <c r="B258" s="302" t="s">
        <v>704</v>
      </c>
      <c r="C258" s="249">
        <f t="shared" ref="C258:AG258" si="264">C225</f>
        <v>17.861834618571326</v>
      </c>
      <c r="D258" s="249">
        <f t="shared" si="264"/>
        <v>18.160127256701465</v>
      </c>
      <c r="E258" s="249">
        <f t="shared" si="264"/>
        <v>18.463401381888378</v>
      </c>
      <c r="F258" s="249">
        <f t="shared" si="264"/>
        <v>18.771740184965914</v>
      </c>
      <c r="G258" s="249">
        <f t="shared" si="264"/>
        <v>19.085228246054843</v>
      </c>
      <c r="H258" s="249">
        <f t="shared" si="264"/>
        <v>19.403951557763957</v>
      </c>
      <c r="I258" s="249">
        <f t="shared" si="264"/>
        <v>19.727997548778614</v>
      </c>
      <c r="J258" s="249">
        <f t="shared" si="264"/>
        <v>20.057455107843214</v>
      </c>
      <c r="K258" s="249">
        <f t="shared" si="264"/>
        <v>20.392414608144193</v>
      </c>
      <c r="L258" s="249">
        <f t="shared" si="264"/>
        <v>20.732967932100198</v>
      </c>
      <c r="M258" s="249">
        <f t="shared" si="264"/>
        <v>21.07920849656627</v>
      </c>
      <c r="N258" s="249">
        <f t="shared" si="264"/>
        <v>21.431231278458927</v>
      </c>
      <c r="O258" s="249">
        <f t="shared" si="264"/>
        <v>21.789132840809192</v>
      </c>
      <c r="P258" s="249">
        <f t="shared" si="264"/>
        <v>22.153011359250705</v>
      </c>
      <c r="Q258" s="249">
        <f t="shared" si="264"/>
        <v>22.522966648950192</v>
      </c>
      <c r="R258" s="249">
        <f t="shared" si="264"/>
        <v>22.899100191987657</v>
      </c>
      <c r="S258" s="249">
        <f t="shared" si="264"/>
        <v>23.281515165193849</v>
      </c>
      <c r="T258" s="249">
        <f t="shared" si="264"/>
        <v>23.670316468452583</v>
      </c>
      <c r="U258" s="249">
        <f t="shared" si="264"/>
        <v>24.065610753475738</v>
      </c>
      <c r="V258" s="249">
        <f t="shared" si="264"/>
        <v>24.467506453058782</v>
      </c>
      <c r="W258" s="249">
        <f t="shared" si="264"/>
        <v>24.876113810824862</v>
      </c>
      <c r="X258" s="249">
        <f t="shared" si="264"/>
        <v>25.291544911465635</v>
      </c>
      <c r="Y258" s="249">
        <f t="shared" si="264"/>
        <v>25.713913711487109</v>
      </c>
      <c r="Z258" s="249">
        <f t="shared" si="264"/>
        <v>26.143336070468941</v>
      </c>
      <c r="AA258" s="249">
        <f t="shared" si="264"/>
        <v>26.57992978284577</v>
      </c>
      <c r="AB258" s="249">
        <f t="shared" si="264"/>
        <v>27.023814610219294</v>
      </c>
      <c r="AC258" s="249">
        <f t="shared" si="264"/>
        <v>27.475112314209955</v>
      </c>
      <c r="AD258" s="249">
        <f t="shared" si="264"/>
        <v>27.933946689857258</v>
      </c>
      <c r="AE258" s="249">
        <f t="shared" si="264"/>
        <v>28.400443599577873</v>
      </c>
      <c r="AF258" s="249">
        <f t="shared" si="264"/>
        <v>28.874731007690823</v>
      </c>
      <c r="AG258" s="249">
        <f t="shared" si="264"/>
        <v>29.356939015519259</v>
      </c>
      <c r="AI258" s="296"/>
    </row>
    <row r="259" spans="1:36" s="68" customFormat="1" outlineLevel="1">
      <c r="A259" s="311" t="s">
        <v>1387</v>
      </c>
      <c r="B259" s="312" t="s">
        <v>704</v>
      </c>
      <c r="C259" s="313">
        <f>C256-C257-C258</f>
        <v>125.71096251954387</v>
      </c>
      <c r="D259" s="313">
        <f t="shared" ref="D259:AG259" si="265">D256-D257-D258</f>
        <v>130.22544534638573</v>
      </c>
      <c r="E259" s="313">
        <f t="shared" si="265"/>
        <v>134.49538523965509</v>
      </c>
      <c r="F259" s="313">
        <f t="shared" si="265"/>
        <v>138.4893101433008</v>
      </c>
      <c r="G259" s="313">
        <f t="shared" si="265"/>
        <v>142.17700270244663</v>
      </c>
      <c r="H259" s="313">
        <f t="shared" si="265"/>
        <v>145.52985178792807</v>
      </c>
      <c r="I259" s="313">
        <f t="shared" si="265"/>
        <v>148.88418166901053</v>
      </c>
      <c r="J259" s="313">
        <f t="shared" si="265"/>
        <v>152.23657302849145</v>
      </c>
      <c r="K259" s="313">
        <f t="shared" si="265"/>
        <v>155.58352051179531</v>
      </c>
      <c r="L259" s="313">
        <f t="shared" si="265"/>
        <v>158.92143714327386</v>
      </c>
      <c r="M259" s="313">
        <f t="shared" si="265"/>
        <v>162.24665904224375</v>
      </c>
      <c r="N259" s="313">
        <f t="shared" si="265"/>
        <v>165.28791163651201</v>
      </c>
      <c r="O259" s="313">
        <f t="shared" si="265"/>
        <v>168.02627864776372</v>
      </c>
      <c r="P259" s="313">
        <f t="shared" si="265"/>
        <v>170.44417145361763</v>
      </c>
      <c r="Q259" s="313">
        <f t="shared" si="265"/>
        <v>172.52549162063693</v>
      </c>
      <c r="R259" s="313">
        <f t="shared" si="265"/>
        <v>174.25578243685723</v>
      </c>
      <c r="S259" s="313">
        <f t="shared" si="265"/>
        <v>175.98072658666638</v>
      </c>
      <c r="T259" s="313">
        <f t="shared" si="265"/>
        <v>177.69974965578837</v>
      </c>
      <c r="U259" s="313">
        <f t="shared" si="265"/>
        <v>179.41226984137103</v>
      </c>
      <c r="V259" s="313">
        <f t="shared" si="265"/>
        <v>181.11769807263192</v>
      </c>
      <c r="W259" s="313">
        <f t="shared" si="265"/>
        <v>182.81543813599484</v>
      </c>
      <c r="X259" s="313">
        <f t="shared" si="265"/>
        <v>184.50719758894667</v>
      </c>
      <c r="Y259" s="313">
        <f t="shared" si="265"/>
        <v>186.19243942307156</v>
      </c>
      <c r="Z259" s="313">
        <f t="shared" si="265"/>
        <v>187.8706199459578</v>
      </c>
      <c r="AA259" s="313">
        <f t="shared" si="265"/>
        <v>189.54118887166035</v>
      </c>
      <c r="AB259" s="313">
        <f t="shared" si="265"/>
        <v>191.20358941443763</v>
      </c>
      <c r="AC259" s="313">
        <f t="shared" si="265"/>
        <v>192.859341460168</v>
      </c>
      <c r="AD259" s="313">
        <f t="shared" si="265"/>
        <v>194.50793801224242</v>
      </c>
      <c r="AE259" s="313">
        <f t="shared" si="265"/>
        <v>196.14886591575117</v>
      </c>
      <c r="AF259" s="313">
        <f t="shared" si="265"/>
        <v>197.78160592364375</v>
      </c>
      <c r="AG259" s="313">
        <f t="shared" si="265"/>
        <v>199.40563276526203</v>
      </c>
      <c r="AI259" s="314"/>
      <c r="AJ259" s="315"/>
    </row>
    <row r="260" spans="1:36" outlineLevel="1">
      <c r="A260" s="112" t="s">
        <v>90</v>
      </c>
      <c r="B260" s="302" t="s">
        <v>704</v>
      </c>
      <c r="C260" s="230">
        <f t="shared" ref="C260:AG260" si="266">C229*C$259</f>
        <v>20.113754003127021</v>
      </c>
      <c r="D260" s="230">
        <f t="shared" si="266"/>
        <v>21.105203842470914</v>
      </c>
      <c r="E260" s="230">
        <f t="shared" si="266"/>
        <v>22.075175897335388</v>
      </c>
      <c r="F260" s="230">
        <f t="shared" si="266"/>
        <v>23.01692334581659</v>
      </c>
      <c r="G260" s="230">
        <f t="shared" si="266"/>
        <v>23.923650321398352</v>
      </c>
      <c r="H260" s="230">
        <f t="shared" si="266"/>
        <v>24.788584754543745</v>
      </c>
      <c r="I260" s="230">
        <f t="shared" si="266"/>
        <v>25.667632919737411</v>
      </c>
      <c r="J260" s="230">
        <f t="shared" si="266"/>
        <v>26.56020744103747</v>
      </c>
      <c r="K260" s="230">
        <f t="shared" si="266"/>
        <v>27.46567748768226</v>
      </c>
      <c r="L260" s="230">
        <f t="shared" si="266"/>
        <v>28.383368673788706</v>
      </c>
      <c r="M260" s="230">
        <f t="shared" si="266"/>
        <v>29.312563066965364</v>
      </c>
      <c r="N260" s="230">
        <f t="shared" si="266"/>
        <v>30.203611053045286</v>
      </c>
      <c r="O260" s="230">
        <f t="shared" si="266"/>
        <v>31.051256294106725</v>
      </c>
      <c r="P260" s="230">
        <f t="shared" si="266"/>
        <v>31.850334172299334</v>
      </c>
      <c r="Q260" s="230">
        <f t="shared" si="266"/>
        <v>32.595816216858992</v>
      </c>
      <c r="R260" s="230">
        <f t="shared" si="266"/>
        <v>33.282854445439717</v>
      </c>
      <c r="S260" s="230">
        <f t="shared" si="266"/>
        <v>33.97601227966571</v>
      </c>
      <c r="T260" s="230">
        <f t="shared" si="266"/>
        <v>34.67514448283282</v>
      </c>
      <c r="U260" s="230">
        <f t="shared" si="266"/>
        <v>35.380099612718347</v>
      </c>
      <c r="V260" s="230">
        <f t="shared" si="266"/>
        <v>36.090719969273103</v>
      </c>
      <c r="W260" s="230">
        <f t="shared" si="266"/>
        <v>36.806841544713606</v>
      </c>
      <c r="X260" s="230">
        <f t="shared" si="266"/>
        <v>37.528763989591731</v>
      </c>
      <c r="Y260" s="230">
        <f t="shared" si="266"/>
        <v>38.256339886793747</v>
      </c>
      <c r="Z260" s="230">
        <f t="shared" si="266"/>
        <v>38.989415992784416</v>
      </c>
      <c r="AA260" s="230">
        <f t="shared" si="266"/>
        <v>39.727833187499982</v>
      </c>
      <c r="AB260" s="230">
        <f t="shared" si="266"/>
        <v>40.471426426055942</v>
      </c>
      <c r="AC260" s="230">
        <f t="shared" si="266"/>
        <v>41.22046991475321</v>
      </c>
      <c r="AD260" s="230">
        <f t="shared" si="266"/>
        <v>41.974813023041882</v>
      </c>
      <c r="AE260" s="230">
        <f t="shared" si="266"/>
        <v>42.734299587511629</v>
      </c>
      <c r="AF260" s="230">
        <f t="shared" si="266"/>
        <v>43.498767862806687</v>
      </c>
      <c r="AG260" s="230">
        <f t="shared" si="266"/>
        <v>44.268050473888174</v>
      </c>
      <c r="AI260" s="214"/>
    </row>
    <row r="261" spans="1:36" outlineLevel="1">
      <c r="A261" s="112" t="s">
        <v>33</v>
      </c>
      <c r="B261" s="302" t="s">
        <v>704</v>
      </c>
      <c r="C261" s="230">
        <f t="shared" ref="C261:AG261" si="267">C230*C$259</f>
        <v>46.513056132231235</v>
      </c>
      <c r="D261" s="230">
        <f t="shared" si="267"/>
        <v>47.232769027134104</v>
      </c>
      <c r="E261" s="230">
        <f t="shared" si="267"/>
        <v>47.799659914173425</v>
      </c>
      <c r="F261" s="230">
        <f t="shared" si="267"/>
        <v>48.208128860883015</v>
      </c>
      <c r="G261" s="230">
        <f t="shared" si="267"/>
        <v>48.453922520993828</v>
      </c>
      <c r="H261" s="230">
        <f t="shared" si="267"/>
        <v>48.534205571274029</v>
      </c>
      <c r="I261" s="230">
        <f t="shared" si="267"/>
        <v>48.566020060431256</v>
      </c>
      <c r="J261" s="230">
        <f t="shared" si="267"/>
        <v>48.548243138785949</v>
      </c>
      <c r="K261" s="230">
        <f t="shared" si="267"/>
        <v>48.479824991475454</v>
      </c>
      <c r="L261" s="230">
        <f t="shared" si="267"/>
        <v>48.359793322698273</v>
      </c>
      <c r="M261" s="230">
        <f t="shared" si="267"/>
        <v>48.187257735546439</v>
      </c>
      <c r="N261" s="230">
        <f t="shared" si="267"/>
        <v>47.883908001097574</v>
      </c>
      <c r="O261" s="230">
        <f t="shared" si="267"/>
        <v>47.450621090128529</v>
      </c>
      <c r="P261" s="230">
        <f t="shared" si="267"/>
        <v>46.889191566890268</v>
      </c>
      <c r="Q261" s="230">
        <f t="shared" si="267"/>
        <v>46.202326656006633</v>
      </c>
      <c r="R261" s="230">
        <f t="shared" si="267"/>
        <v>45.393631324801376</v>
      </c>
      <c r="S261" s="230">
        <f t="shared" si="267"/>
        <v>44.558319971744005</v>
      </c>
      <c r="T261" s="230">
        <f t="shared" si="267"/>
        <v>43.696368440358434</v>
      </c>
      <c r="U261" s="230">
        <f t="shared" si="267"/>
        <v>42.8077675841512</v>
      </c>
      <c r="V261" s="230">
        <f t="shared" si="267"/>
        <v>41.892523564199841</v>
      </c>
      <c r="W261" s="230">
        <f t="shared" si="267"/>
        <v>40.95065814246292</v>
      </c>
      <c r="X261" s="230">
        <f t="shared" si="267"/>
        <v>39.98270971752482</v>
      </c>
      <c r="Y261" s="230">
        <f t="shared" si="267"/>
        <v>38.988696815191261</v>
      </c>
      <c r="Z261" s="230">
        <f t="shared" si="267"/>
        <v>37.968652291078151</v>
      </c>
      <c r="AA261" s="230">
        <f t="shared" si="267"/>
        <v>36.922623592199514</v>
      </c>
      <c r="AB261" s="230">
        <f t="shared" si="267"/>
        <v>35.850673015207136</v>
      </c>
      <c r="AC261" s="230">
        <f t="shared" si="267"/>
        <v>34.753253331122352</v>
      </c>
      <c r="AD261" s="230">
        <f t="shared" si="267"/>
        <v>33.630422482316796</v>
      </c>
      <c r="AE261" s="230">
        <f t="shared" si="267"/>
        <v>32.482252195648478</v>
      </c>
      <c r="AF261" s="230">
        <f t="shared" si="267"/>
        <v>31.308828217712886</v>
      </c>
      <c r="AG261" s="230">
        <f t="shared" si="267"/>
        <v>30.110250547554564</v>
      </c>
      <c r="AI261" s="214"/>
    </row>
    <row r="262" spans="1:36" outlineLevel="1">
      <c r="A262" s="112" t="s">
        <v>451</v>
      </c>
      <c r="B262" s="302" t="s">
        <v>704</v>
      </c>
      <c r="C262" s="230">
        <f t="shared" ref="C262:AG262" si="268">C231*C$259</f>
        <v>10.05687700156351</v>
      </c>
      <c r="D262" s="230">
        <f t="shared" si="268"/>
        <v>10.431058172245498</v>
      </c>
      <c r="E262" s="230">
        <f t="shared" si="268"/>
        <v>10.786529896220339</v>
      </c>
      <c r="F262" s="230">
        <f t="shared" si="268"/>
        <v>11.120691604507055</v>
      </c>
      <c r="G262" s="230">
        <f t="shared" si="268"/>
        <v>11.431031017276711</v>
      </c>
      <c r="H262" s="230">
        <f t="shared" si="268"/>
        <v>11.715153068928212</v>
      </c>
      <c r="I262" s="230">
        <f t="shared" si="268"/>
        <v>12.000065042522252</v>
      </c>
      <c r="J262" s="230">
        <f t="shared" si="268"/>
        <v>12.285491443399263</v>
      </c>
      <c r="K262" s="230">
        <f t="shared" si="268"/>
        <v>12.571148457353065</v>
      </c>
      <c r="L262" s="230">
        <f t="shared" si="268"/>
        <v>12.85674426489086</v>
      </c>
      <c r="M262" s="230">
        <f t="shared" si="268"/>
        <v>13.141979382421749</v>
      </c>
      <c r="N262" s="230">
        <f t="shared" si="268"/>
        <v>13.404849633721129</v>
      </c>
      <c r="O262" s="230">
        <f t="shared" si="268"/>
        <v>13.643733826198419</v>
      </c>
      <c r="P262" s="230">
        <f t="shared" si="268"/>
        <v>13.85711113917912</v>
      </c>
      <c r="Q262" s="230">
        <f t="shared" si="268"/>
        <v>14.043575017919853</v>
      </c>
      <c r="R262" s="230">
        <f t="shared" si="268"/>
        <v>14.201846268603871</v>
      </c>
      <c r="S262" s="230">
        <f t="shared" si="268"/>
        <v>14.360027289471985</v>
      </c>
      <c r="T262" s="230">
        <f t="shared" si="268"/>
        <v>14.518069546877918</v>
      </c>
      <c r="U262" s="230">
        <f t="shared" si="268"/>
        <v>14.67592367302416</v>
      </c>
      <c r="V262" s="230">
        <f t="shared" si="268"/>
        <v>14.833539472148566</v>
      </c>
      <c r="W262" s="230">
        <f t="shared" si="268"/>
        <v>14.990865927151587</v>
      </c>
      <c r="X262" s="230">
        <f t="shared" si="268"/>
        <v>15.148040922052532</v>
      </c>
      <c r="Y262" s="230">
        <f t="shared" si="268"/>
        <v>15.305018520576494</v>
      </c>
      <c r="Z262" s="230">
        <f t="shared" si="268"/>
        <v>15.461752021552339</v>
      </c>
      <c r="AA262" s="230">
        <f t="shared" si="268"/>
        <v>15.618193963024826</v>
      </c>
      <c r="AB262" s="230">
        <f t="shared" si="268"/>
        <v>15.774296126691118</v>
      </c>
      <c r="AC262" s="230">
        <f t="shared" si="268"/>
        <v>15.930181604609892</v>
      </c>
      <c r="AD262" s="230">
        <f t="shared" si="268"/>
        <v>16.085806473612465</v>
      </c>
      <c r="AE262" s="230">
        <f t="shared" si="268"/>
        <v>16.241126097824214</v>
      </c>
      <c r="AF262" s="230">
        <f t="shared" si="268"/>
        <v>16.396095131070084</v>
      </c>
      <c r="AG262" s="230">
        <f t="shared" si="268"/>
        <v>16.55066751951675</v>
      </c>
      <c r="AI262" s="214"/>
    </row>
    <row r="263" spans="1:36" outlineLevel="1">
      <c r="A263" s="112" t="s">
        <v>452</v>
      </c>
      <c r="B263" s="302" t="s">
        <v>704</v>
      </c>
      <c r="C263" s="230">
        <f t="shared" ref="C263:AG263" si="269">C232*C$259</f>
        <v>33.941959880276848</v>
      </c>
      <c r="D263" s="230">
        <f t="shared" si="269"/>
        <v>35.568909972276153</v>
      </c>
      <c r="E263" s="230">
        <f t="shared" si="269"/>
        <v>37.156591762208713</v>
      </c>
      <c r="F263" s="230">
        <f t="shared" si="269"/>
        <v>38.693913254038243</v>
      </c>
      <c r="G263" s="230">
        <f t="shared" si="269"/>
        <v>40.169742496864586</v>
      </c>
      <c r="H263" s="230">
        <f t="shared" si="269"/>
        <v>41.573027660751443</v>
      </c>
      <c r="I263" s="230">
        <f t="shared" si="269"/>
        <v>42.997751666010231</v>
      </c>
      <c r="J263" s="230">
        <f t="shared" si="269"/>
        <v>44.442930219450929</v>
      </c>
      <c r="K263" s="230">
        <f t="shared" si="269"/>
        <v>45.907510785680394</v>
      </c>
      <c r="L263" s="230">
        <f t="shared" si="269"/>
        <v>47.390372556124248</v>
      </c>
      <c r="M263" s="230">
        <f t="shared" si="269"/>
        <v>48.890326591396096</v>
      </c>
      <c r="N263" s="230">
        <f t="shared" si="269"/>
        <v>50.324659496263337</v>
      </c>
      <c r="O263" s="230">
        <f t="shared" si="269"/>
        <v>51.684883312052101</v>
      </c>
      <c r="P263" s="230">
        <f t="shared" si="269"/>
        <v>52.962685543020761</v>
      </c>
      <c r="Q263" s="230">
        <f t="shared" si="269"/>
        <v>54.150000969997215</v>
      </c>
      <c r="R263" s="230">
        <f t="shared" si="269"/>
        <v>55.239083032483713</v>
      </c>
      <c r="S263" s="230">
        <f t="shared" si="269"/>
        <v>56.337296604611431</v>
      </c>
      <c r="T263" s="230">
        <f t="shared" si="269"/>
        <v>57.444405738727816</v>
      </c>
      <c r="U263" s="230">
        <f t="shared" si="269"/>
        <v>58.560164876223467</v>
      </c>
      <c r="V263" s="230">
        <f t="shared" si="269"/>
        <v>59.684318771534599</v>
      </c>
      <c r="W263" s="230">
        <f t="shared" si="269"/>
        <v>60.816602419907575</v>
      </c>
      <c r="X263" s="230">
        <f t="shared" si="269"/>
        <v>61.957516950368245</v>
      </c>
      <c r="Y263" s="230">
        <f t="shared" si="269"/>
        <v>63.106824135126345</v>
      </c>
      <c r="Z263" s="230">
        <f t="shared" si="269"/>
        <v>64.264276729513909</v>
      </c>
      <c r="AA263" s="230">
        <f t="shared" si="269"/>
        <v>65.429618398497098</v>
      </c>
      <c r="AB263" s="230">
        <f t="shared" si="269"/>
        <v>66.602583646029061</v>
      </c>
      <c r="AC263" s="230">
        <f t="shared" si="269"/>
        <v>67.78362987853366</v>
      </c>
      <c r="AD263" s="230">
        <f t="shared" si="269"/>
        <v>68.972514819141097</v>
      </c>
      <c r="AE263" s="230">
        <f t="shared" si="269"/>
        <v>70.168987633594654</v>
      </c>
      <c r="AF263" s="230">
        <f t="shared" si="269"/>
        <v>71.372788857645503</v>
      </c>
      <c r="AG263" s="230">
        <f t="shared" si="269"/>
        <v>72.583650326555372</v>
      </c>
      <c r="AI263" s="214"/>
    </row>
    <row r="264" spans="1:36" outlineLevel="1">
      <c r="A264" s="112" t="s">
        <v>1364</v>
      </c>
      <c r="B264" s="302" t="s">
        <v>704</v>
      </c>
      <c r="C264" s="230">
        <f t="shared" ref="C264:AG264" si="270">C233*C$259</f>
        <v>8.7997673763680719</v>
      </c>
      <c r="D264" s="230">
        <f t="shared" si="270"/>
        <v>9.2807334050190899</v>
      </c>
      <c r="E264" s="230">
        <f t="shared" si="270"/>
        <v>9.7553986093829828</v>
      </c>
      <c r="F264" s="230">
        <f t="shared" si="270"/>
        <v>10.2205110885756</v>
      </c>
      <c r="G264" s="230">
        <f t="shared" si="270"/>
        <v>10.672753669530328</v>
      </c>
      <c r="H264" s="230">
        <f t="shared" si="270"/>
        <v>11.108778686478509</v>
      </c>
      <c r="I264" s="230">
        <f t="shared" si="270"/>
        <v>11.553412497515218</v>
      </c>
      <c r="J264" s="230">
        <f t="shared" si="270"/>
        <v>12.006391059513692</v>
      </c>
      <c r="K264" s="230">
        <f t="shared" si="270"/>
        <v>12.467426110345198</v>
      </c>
      <c r="L264" s="230">
        <f t="shared" si="270"/>
        <v>12.936204983462492</v>
      </c>
      <c r="M264" s="230">
        <f t="shared" si="270"/>
        <v>13.412390480825483</v>
      </c>
      <c r="N264" s="230">
        <f t="shared" si="270"/>
        <v>13.873165383357907</v>
      </c>
      <c r="O264" s="230">
        <f t="shared" si="270"/>
        <v>14.315838940789469</v>
      </c>
      <c r="P264" s="230">
        <f t="shared" si="270"/>
        <v>14.737739358356137</v>
      </c>
      <c r="Q264" s="230">
        <f t="shared" si="270"/>
        <v>15.136236464850546</v>
      </c>
      <c r="R264" s="230">
        <f t="shared" si="270"/>
        <v>15.508764636880294</v>
      </c>
      <c r="S264" s="230">
        <f t="shared" si="270"/>
        <v>15.885193586556417</v>
      </c>
      <c r="T264" s="230">
        <f t="shared" si="270"/>
        <v>16.26545041849316</v>
      </c>
      <c r="U264" s="230">
        <f t="shared" si="270"/>
        <v>16.649458641279232</v>
      </c>
      <c r="V264" s="230">
        <f t="shared" si="270"/>
        <v>17.037138132032243</v>
      </c>
      <c r="W264" s="230">
        <f t="shared" si="270"/>
        <v>17.428405102298175</v>
      </c>
      <c r="X264" s="230">
        <f t="shared" si="270"/>
        <v>17.823395287092247</v>
      </c>
      <c r="Y264" s="230">
        <f t="shared" si="270"/>
        <v>18.222033404871269</v>
      </c>
      <c r="Z264" s="230">
        <f t="shared" si="270"/>
        <v>18.624240790642613</v>
      </c>
      <c r="AA264" s="230">
        <f t="shared" si="270"/>
        <v>19.029935362714696</v>
      </c>
      <c r="AB264" s="230">
        <f t="shared" si="270"/>
        <v>19.439031590467824</v>
      </c>
      <c r="AC264" s="230">
        <f t="shared" si="270"/>
        <v>19.851654880966624</v>
      </c>
      <c r="AD264" s="230">
        <f t="shared" si="270"/>
        <v>20.267727140875657</v>
      </c>
      <c r="AE264" s="230">
        <f t="shared" si="270"/>
        <v>20.68716705858122</v>
      </c>
      <c r="AF264" s="230">
        <f t="shared" si="270"/>
        <v>21.109890072250241</v>
      </c>
      <c r="AG264" s="230">
        <f t="shared" si="270"/>
        <v>21.535808338648298</v>
      </c>
      <c r="AI264" s="214"/>
    </row>
    <row r="265" spans="1:36" outlineLevel="1">
      <c r="A265" s="112" t="s">
        <v>1365</v>
      </c>
      <c r="B265" s="302" t="s">
        <v>704</v>
      </c>
      <c r="C265" s="230">
        <f t="shared" ref="C265:AG265" si="271">C234*C$259</f>
        <v>6.2855481259771935</v>
      </c>
      <c r="D265" s="230">
        <f t="shared" si="271"/>
        <v>6.6067709272399702</v>
      </c>
      <c r="E265" s="230">
        <f t="shared" si="271"/>
        <v>6.9220291603342501</v>
      </c>
      <c r="F265" s="230">
        <f t="shared" si="271"/>
        <v>7.2291419894803033</v>
      </c>
      <c r="G265" s="230">
        <f t="shared" si="271"/>
        <v>7.5259026763828434</v>
      </c>
      <c r="H265" s="230">
        <f t="shared" si="271"/>
        <v>7.8101020459521422</v>
      </c>
      <c r="I265" s="230">
        <f t="shared" si="271"/>
        <v>8.0992994827941747</v>
      </c>
      <c r="J265" s="230">
        <f t="shared" si="271"/>
        <v>8.3933097263041656</v>
      </c>
      <c r="K265" s="230">
        <f t="shared" si="271"/>
        <v>8.6919326792589686</v>
      </c>
      <c r="L265" s="230">
        <f t="shared" si="271"/>
        <v>8.9949533423093051</v>
      </c>
      <c r="M265" s="230">
        <f t="shared" si="271"/>
        <v>9.3021417850886454</v>
      </c>
      <c r="N265" s="230">
        <f t="shared" si="271"/>
        <v>9.5977180690268025</v>
      </c>
      <c r="O265" s="230">
        <f t="shared" si="271"/>
        <v>9.8799451844885127</v>
      </c>
      <c r="P265" s="230">
        <f t="shared" si="271"/>
        <v>10.147109673872043</v>
      </c>
      <c r="Q265" s="230">
        <f t="shared" si="271"/>
        <v>10.397536295003725</v>
      </c>
      <c r="R265" s="230">
        <f t="shared" si="271"/>
        <v>10.629602728648297</v>
      </c>
      <c r="S265" s="230">
        <f t="shared" si="271"/>
        <v>10.863876854616878</v>
      </c>
      <c r="T265" s="230">
        <f t="shared" si="271"/>
        <v>11.100311028498254</v>
      </c>
      <c r="U265" s="230">
        <f t="shared" si="271"/>
        <v>11.338855453974658</v>
      </c>
      <c r="V265" s="230">
        <f t="shared" si="271"/>
        <v>11.57945816344361</v>
      </c>
      <c r="W265" s="230">
        <f t="shared" si="271"/>
        <v>11.822064999461009</v>
      </c>
      <c r="X265" s="230">
        <f t="shared" si="271"/>
        <v>12.066770722317122</v>
      </c>
      <c r="Y265" s="230">
        <f t="shared" si="271"/>
        <v>12.313526660512476</v>
      </c>
      <c r="Z265" s="230">
        <f t="shared" si="271"/>
        <v>12.56228212038639</v>
      </c>
      <c r="AA265" s="230">
        <f t="shared" si="271"/>
        <v>12.812984367724251</v>
      </c>
      <c r="AB265" s="230">
        <f t="shared" si="271"/>
        <v>13.065578609986584</v>
      </c>
      <c r="AC265" s="230">
        <f t="shared" si="271"/>
        <v>13.320151850182283</v>
      </c>
      <c r="AD265" s="230">
        <f t="shared" si="271"/>
        <v>13.576654073254534</v>
      </c>
      <c r="AE265" s="230">
        <f t="shared" si="271"/>
        <v>13.835033342590997</v>
      </c>
      <c r="AF265" s="230">
        <f t="shared" si="271"/>
        <v>14.09523578215836</v>
      </c>
      <c r="AG265" s="230">
        <f t="shared" si="271"/>
        <v>14.357205559098865</v>
      </c>
      <c r="AI265" s="214"/>
    </row>
    <row r="266" spans="1:36" s="58" customFormat="1">
      <c r="A266" s="58" t="s">
        <v>1366</v>
      </c>
      <c r="B266" s="303"/>
      <c r="C266" s="304">
        <f t="shared" ref="C266:AG266" si="272">C50</f>
        <v>143.57279713811519</v>
      </c>
      <c r="D266" s="304">
        <f t="shared" si="272"/>
        <v>148.38557260308718</v>
      </c>
      <c r="E266" s="304">
        <f t="shared" si="272"/>
        <v>152.95878662154348</v>
      </c>
      <c r="F266" s="304">
        <f t="shared" si="272"/>
        <v>157.26105032826672</v>
      </c>
      <c r="G266" s="304">
        <f t="shared" si="272"/>
        <v>161.26223094850147</v>
      </c>
      <c r="H266" s="304">
        <f t="shared" si="272"/>
        <v>164.93380334569201</v>
      </c>
      <c r="I266" s="304">
        <f t="shared" si="272"/>
        <v>168.61217921778913</v>
      </c>
      <c r="J266" s="304">
        <f t="shared" si="272"/>
        <v>172.29402813633467</v>
      </c>
      <c r="K266" s="304">
        <f t="shared" si="272"/>
        <v>175.97593511993952</v>
      </c>
      <c r="L266" s="304">
        <f t="shared" si="272"/>
        <v>179.65440507537406</v>
      </c>
      <c r="M266" s="304">
        <f t="shared" si="272"/>
        <v>183.32586753881003</v>
      </c>
      <c r="N266" s="304">
        <f t="shared" si="272"/>
        <v>186.71914291497094</v>
      </c>
      <c r="O266" s="304">
        <f t="shared" si="272"/>
        <v>189.81541148857292</v>
      </c>
      <c r="P266" s="304">
        <f t="shared" si="272"/>
        <v>192.60304672196472</v>
      </c>
      <c r="Q266" s="304">
        <f t="shared" si="272"/>
        <v>195.06033535327001</v>
      </c>
      <c r="R266" s="304">
        <f t="shared" si="272"/>
        <v>197.17289065408323</v>
      </c>
      <c r="S266" s="304">
        <f t="shared" si="272"/>
        <v>199.28650909897107</v>
      </c>
      <c r="T266" s="304">
        <f t="shared" si="272"/>
        <v>201.40072118744695</v>
      </c>
      <c r="U266" s="304">
        <f t="shared" si="272"/>
        <v>203.51505172406596</v>
      </c>
      <c r="V266" s="304">
        <f t="shared" si="272"/>
        <v>205.62901996750062</v>
      </c>
      <c r="W266" s="304">
        <f t="shared" si="272"/>
        <v>207.74213978462348</v>
      </c>
      <c r="X266" s="304">
        <f t="shared" si="272"/>
        <v>209.8562312270349</v>
      </c>
      <c r="Y266" s="304">
        <f t="shared" si="272"/>
        <v>211.97087119103165</v>
      </c>
      <c r="Z266" s="304">
        <f t="shared" si="272"/>
        <v>214.09540570101632</v>
      </c>
      <c r="AA266" s="304">
        <f t="shared" si="272"/>
        <v>216.21982061175351</v>
      </c>
      <c r="AB266" s="304">
        <f t="shared" si="272"/>
        <v>218.34367856572166</v>
      </c>
      <c r="AC266" s="304">
        <f t="shared" si="272"/>
        <v>220.46862200974488</v>
      </c>
      <c r="AD266" s="304">
        <f t="shared" si="272"/>
        <v>222.59426765428805</v>
      </c>
      <c r="AE266" s="304">
        <f t="shared" si="272"/>
        <v>224.72022799910707</v>
      </c>
      <c r="AF266" s="304">
        <f t="shared" si="272"/>
        <v>226.84611143246158</v>
      </c>
      <c r="AG266" s="304">
        <f t="shared" si="272"/>
        <v>228.97152233332582</v>
      </c>
      <c r="AI266" s="305"/>
      <c r="AJ266" s="306"/>
    </row>
    <row r="267" spans="1:36" s="58" customFormat="1">
      <c r="A267" s="307" t="s">
        <v>3</v>
      </c>
      <c r="B267" s="308" t="s">
        <v>704</v>
      </c>
      <c r="C267" s="309">
        <f t="shared" ref="C267:AG267" si="273">C50-C32</f>
        <v>0</v>
      </c>
      <c r="D267" s="309">
        <f t="shared" si="273"/>
        <v>0</v>
      </c>
      <c r="E267" s="309">
        <f t="shared" si="273"/>
        <v>0</v>
      </c>
      <c r="F267" s="309">
        <f t="shared" si="273"/>
        <v>0</v>
      </c>
      <c r="G267" s="309">
        <f t="shared" si="273"/>
        <v>0</v>
      </c>
      <c r="H267" s="309">
        <f t="shared" si="273"/>
        <v>0</v>
      </c>
      <c r="I267" s="309">
        <f t="shared" si="273"/>
        <v>0</v>
      </c>
      <c r="J267" s="309">
        <f t="shared" si="273"/>
        <v>0</v>
      </c>
      <c r="K267" s="309">
        <f t="shared" si="273"/>
        <v>0</v>
      </c>
      <c r="L267" s="309">
        <f t="shared" si="273"/>
        <v>0</v>
      </c>
      <c r="M267" s="309">
        <f t="shared" si="273"/>
        <v>0</v>
      </c>
      <c r="N267" s="309">
        <f t="shared" si="273"/>
        <v>0</v>
      </c>
      <c r="O267" s="309">
        <f t="shared" si="273"/>
        <v>0</v>
      </c>
      <c r="P267" s="309">
        <f t="shared" si="273"/>
        <v>5.8639090963765739E-3</v>
      </c>
      <c r="Q267" s="309">
        <f t="shared" si="273"/>
        <v>1.1877083682890088E-2</v>
      </c>
      <c r="R267" s="309">
        <f t="shared" si="273"/>
        <v>1.8008025238344771E-2</v>
      </c>
      <c r="S267" s="309">
        <f t="shared" si="273"/>
        <v>2.4267347110850324E-2</v>
      </c>
      <c r="T267" s="309">
        <f t="shared" si="273"/>
        <v>3.0655063205983879E-2</v>
      </c>
      <c r="U267" s="309">
        <f t="shared" si="273"/>
        <v>3.717112921918897E-2</v>
      </c>
      <c r="V267" s="309">
        <f t="shared" si="273"/>
        <v>4.3815441809925915E-2</v>
      </c>
      <c r="W267" s="309">
        <f t="shared" si="273"/>
        <v>5.0587837803789171E-2</v>
      </c>
      <c r="X267" s="309">
        <f t="shared" si="273"/>
        <v>5.7488726622580089E-2</v>
      </c>
      <c r="Y267" s="309">
        <f t="shared" si="273"/>
        <v>6.4518056472991248E-2</v>
      </c>
      <c r="Z267" s="309">
        <f t="shared" si="273"/>
        <v>8.1449684589586013E-2</v>
      </c>
      <c r="AA267" s="309">
        <f t="shared" si="273"/>
        <v>9.8701957247385508E-2</v>
      </c>
      <c r="AB267" s="309">
        <f t="shared" si="273"/>
        <v>0.11627454106474033</v>
      </c>
      <c r="AC267" s="309">
        <f t="shared" si="273"/>
        <v>0.13416823536692846</v>
      </c>
      <c r="AD267" s="309">
        <f t="shared" si="273"/>
        <v>0.15238295218836129</v>
      </c>
      <c r="AE267" s="309">
        <f t="shared" si="273"/>
        <v>0.17091848377802421</v>
      </c>
      <c r="AF267" s="309">
        <f t="shared" si="273"/>
        <v>0.18977450112700467</v>
      </c>
      <c r="AG267" s="309">
        <f t="shared" si="273"/>
        <v>0.20895055254453609</v>
      </c>
      <c r="AI267" s="305"/>
      <c r="AJ267" s="306"/>
    </row>
    <row r="268" spans="1:36">
      <c r="A268" s="310" t="s">
        <v>51</v>
      </c>
      <c r="B268" s="302" t="s">
        <v>704</v>
      </c>
      <c r="C268" s="249">
        <f t="shared" ref="C268:AG268" si="274">C224</f>
        <v>17.861834618571326</v>
      </c>
      <c r="D268" s="249">
        <f t="shared" si="274"/>
        <v>19.325366739382417</v>
      </c>
      <c r="E268" s="249">
        <f t="shared" si="274"/>
        <v>20.808478700996968</v>
      </c>
      <c r="F268" s="249">
        <f t="shared" si="274"/>
        <v>22.302197361971409</v>
      </c>
      <c r="G268" s="249">
        <f t="shared" si="274"/>
        <v>23.797049714397264</v>
      </c>
      <c r="H268" s="249">
        <f t="shared" si="274"/>
        <v>25.283160777666151</v>
      </c>
      <c r="I268" s="249">
        <f t="shared" si="274"/>
        <v>26.808073759415315</v>
      </c>
      <c r="J268" s="249">
        <f t="shared" si="274"/>
        <v>28.371073711726893</v>
      </c>
      <c r="K268" s="249">
        <f t="shared" si="274"/>
        <v>29.971354992401888</v>
      </c>
      <c r="L268" s="249">
        <f t="shared" si="274"/>
        <v>31.608020522894599</v>
      </c>
      <c r="M268" s="249">
        <f t="shared" si="274"/>
        <v>33.280081282392317</v>
      </c>
      <c r="N268" s="249">
        <f t="shared" si="274"/>
        <v>36.167180473262178</v>
      </c>
      <c r="O268" s="249">
        <f t="shared" si="274"/>
        <v>39.065428161327972</v>
      </c>
      <c r="P268" s="249">
        <f t="shared" si="274"/>
        <v>41.960592578982194</v>
      </c>
      <c r="Q268" s="249">
        <f t="shared" si="274"/>
        <v>44.836499658987741</v>
      </c>
      <c r="R268" s="249">
        <f t="shared" si="274"/>
        <v>47.677381042904841</v>
      </c>
      <c r="S268" s="249">
        <f t="shared" si="274"/>
        <v>50.558267947387201</v>
      </c>
      <c r="T268" s="249">
        <f t="shared" si="274"/>
        <v>53.4787311515691</v>
      </c>
      <c r="U268" s="249">
        <f t="shared" si="274"/>
        <v>56.438317342824988</v>
      </c>
      <c r="V268" s="249">
        <f t="shared" si="274"/>
        <v>59.436549078771719</v>
      </c>
      <c r="W268" s="249">
        <f t="shared" si="274"/>
        <v>62.472924765866459</v>
      </c>
      <c r="X268" s="249">
        <f t="shared" si="274"/>
        <v>67.281471053264212</v>
      </c>
      <c r="Y268" s="249">
        <f t="shared" si="274"/>
        <v>72.155165563138681</v>
      </c>
      <c r="Z268" s="249">
        <f t="shared" si="274"/>
        <v>77.096460945816503</v>
      </c>
      <c r="AA268" s="249">
        <f t="shared" si="274"/>
        <v>82.102007498591519</v>
      </c>
      <c r="AB268" s="249">
        <f t="shared" si="274"/>
        <v>87.171046961369726</v>
      </c>
      <c r="AC268" s="249">
        <f t="shared" si="274"/>
        <v>92.303657731265673</v>
      </c>
      <c r="AD268" s="249">
        <f t="shared" si="274"/>
        <v>97.499158120283681</v>
      </c>
      <c r="AE268" s="249">
        <f t="shared" si="274"/>
        <v>102.75683424854462</v>
      </c>
      <c r="AF268" s="249">
        <f t="shared" si="274"/>
        <v>108.07594003255964</v>
      </c>
      <c r="AG268" s="249">
        <f t="shared" si="274"/>
        <v>113.45569719217102</v>
      </c>
      <c r="AI268" s="296"/>
    </row>
    <row r="269" spans="1:36" s="68" customFormat="1">
      <c r="A269" s="311" t="s">
        <v>1387</v>
      </c>
      <c r="B269" s="312" t="s">
        <v>704</v>
      </c>
      <c r="C269" s="313">
        <f>C266-C268</f>
        <v>125.71096251954387</v>
      </c>
      <c r="D269" s="313">
        <f t="shared" ref="D269:AG269" si="275">D266-D268</f>
        <v>129.06020586370477</v>
      </c>
      <c r="E269" s="313">
        <f t="shared" si="275"/>
        <v>132.15030792054651</v>
      </c>
      <c r="F269" s="313">
        <f t="shared" si="275"/>
        <v>134.9588529662953</v>
      </c>
      <c r="G269" s="313">
        <f t="shared" si="275"/>
        <v>137.46518123410419</v>
      </c>
      <c r="H269" s="313">
        <f t="shared" si="275"/>
        <v>139.65064256802586</v>
      </c>
      <c r="I269" s="313">
        <f t="shared" si="275"/>
        <v>141.80410545837381</v>
      </c>
      <c r="J269" s="313">
        <f t="shared" si="275"/>
        <v>143.92295442460778</v>
      </c>
      <c r="K269" s="313">
        <f t="shared" si="275"/>
        <v>146.00458012753762</v>
      </c>
      <c r="L269" s="313">
        <f t="shared" si="275"/>
        <v>148.04638455247945</v>
      </c>
      <c r="M269" s="313">
        <f t="shared" si="275"/>
        <v>150.04578625641773</v>
      </c>
      <c r="N269" s="313">
        <f t="shared" si="275"/>
        <v>150.55196244170878</v>
      </c>
      <c r="O269" s="313">
        <f t="shared" si="275"/>
        <v>150.74998332724493</v>
      </c>
      <c r="P269" s="313">
        <f t="shared" si="275"/>
        <v>150.64245414298253</v>
      </c>
      <c r="Q269" s="313">
        <f t="shared" si="275"/>
        <v>150.22383569428226</v>
      </c>
      <c r="R269" s="313">
        <f t="shared" si="275"/>
        <v>149.49550961117839</v>
      </c>
      <c r="S269" s="313">
        <f t="shared" si="275"/>
        <v>148.72824115158386</v>
      </c>
      <c r="T269" s="313">
        <f t="shared" si="275"/>
        <v>147.92199003587785</v>
      </c>
      <c r="U269" s="313">
        <f t="shared" si="275"/>
        <v>147.07673438124095</v>
      </c>
      <c r="V269" s="313">
        <f t="shared" si="275"/>
        <v>146.19247088872891</v>
      </c>
      <c r="W269" s="313">
        <f t="shared" si="275"/>
        <v>145.26921501875702</v>
      </c>
      <c r="X269" s="313">
        <f t="shared" si="275"/>
        <v>142.5747601737707</v>
      </c>
      <c r="Y269" s="313">
        <f t="shared" si="275"/>
        <v>139.81570562789295</v>
      </c>
      <c r="Z269" s="313">
        <f t="shared" si="275"/>
        <v>136.99894475519983</v>
      </c>
      <c r="AA269" s="313">
        <f t="shared" si="275"/>
        <v>134.11781311316199</v>
      </c>
      <c r="AB269" s="313">
        <f t="shared" si="275"/>
        <v>131.17263160435192</v>
      </c>
      <c r="AC269" s="313">
        <f t="shared" si="275"/>
        <v>128.1649642784792</v>
      </c>
      <c r="AD269" s="313">
        <f t="shared" si="275"/>
        <v>125.09510953400437</v>
      </c>
      <c r="AE269" s="313">
        <f t="shared" si="275"/>
        <v>121.96339375056245</v>
      </c>
      <c r="AF269" s="313">
        <f t="shared" si="275"/>
        <v>118.77017139990194</v>
      </c>
      <c r="AG269" s="313">
        <f t="shared" si="275"/>
        <v>115.51582514115481</v>
      </c>
      <c r="AI269" s="314"/>
      <c r="AJ269" s="315"/>
    </row>
    <row r="270" spans="1:36" s="58" customFormat="1" outlineLevel="1">
      <c r="A270" s="307" t="s">
        <v>1367</v>
      </c>
      <c r="B270" s="308" t="s">
        <v>462</v>
      </c>
      <c r="C270" s="309">
        <f t="shared" ref="C270:AF270" si="276">C50*C236</f>
        <v>120.60114959601675</v>
      </c>
      <c r="D270" s="309">
        <f t="shared" si="276"/>
        <v>125.23742327700558</v>
      </c>
      <c r="E270" s="309">
        <f t="shared" si="276"/>
        <v>129.70905105506887</v>
      </c>
      <c r="F270" s="309">
        <f t="shared" si="276"/>
        <v>133.98641487968325</v>
      </c>
      <c r="G270" s="309">
        <f t="shared" si="276"/>
        <v>138.04046969191725</v>
      </c>
      <c r="H270" s="309">
        <f t="shared" si="276"/>
        <v>141.84307087729513</v>
      </c>
      <c r="I270" s="309">
        <f t="shared" si="276"/>
        <v>145.6809228441698</v>
      </c>
      <c r="J270" s="309">
        <f t="shared" si="276"/>
        <v>149.55121642233848</v>
      </c>
      <c r="K270" s="309">
        <f t="shared" si="276"/>
        <v>153.45101542458727</v>
      </c>
      <c r="L270" s="309">
        <f t="shared" si="276"/>
        <v>157.37725884602767</v>
      </c>
      <c r="M270" s="309">
        <f t="shared" si="276"/>
        <v>161.32676343415284</v>
      </c>
      <c r="N270" s="309">
        <f t="shared" si="276"/>
        <v>165.05972233683431</v>
      </c>
      <c r="O270" s="309">
        <f t="shared" si="276"/>
        <v>168.55608540185276</v>
      </c>
      <c r="P270" s="309">
        <f t="shared" si="276"/>
        <v>171.80191767599254</v>
      </c>
      <c r="Q270" s="309">
        <f t="shared" si="276"/>
        <v>174.77406047652994</v>
      </c>
      <c r="R270" s="309">
        <f t="shared" si="276"/>
        <v>177.45560158867491</v>
      </c>
      <c r="S270" s="309">
        <f t="shared" si="276"/>
        <v>180.15500422546984</v>
      </c>
      <c r="T270" s="309">
        <f t="shared" si="276"/>
        <v>182.87185483820184</v>
      </c>
      <c r="U270" s="309">
        <f t="shared" si="276"/>
        <v>185.60572717234817</v>
      </c>
      <c r="V270" s="309">
        <f t="shared" si="276"/>
        <v>188.35618229023058</v>
      </c>
      <c r="W270" s="309">
        <f t="shared" si="276"/>
        <v>191.12276860185361</v>
      </c>
      <c r="X270" s="309">
        <f t="shared" si="276"/>
        <v>193.90715765378025</v>
      </c>
      <c r="Y270" s="309">
        <f t="shared" si="276"/>
        <v>196.70896846527737</v>
      </c>
      <c r="Z270" s="309">
        <f t="shared" si="276"/>
        <v>199.53691811334721</v>
      </c>
      <c r="AA270" s="309">
        <f t="shared" si="276"/>
        <v>202.38175209260129</v>
      </c>
      <c r="AB270" s="309">
        <f t="shared" si="276"/>
        <v>205.24305785177836</v>
      </c>
      <c r="AC270" s="309">
        <f t="shared" si="276"/>
        <v>208.12237917719918</v>
      </c>
      <c r="AD270" s="309">
        <f t="shared" si="276"/>
        <v>211.01936573626509</v>
      </c>
      <c r="AE270" s="309">
        <f t="shared" si="276"/>
        <v>213.93365705514995</v>
      </c>
      <c r="AF270" s="309">
        <f t="shared" si="276"/>
        <v>216.86488252943329</v>
      </c>
      <c r="AG270" s="309">
        <f>AG50*AG236</f>
        <v>219.81266143999278</v>
      </c>
      <c r="AI270" s="305"/>
      <c r="AJ270" s="339" t="s">
        <v>1363</v>
      </c>
    </row>
    <row r="271" spans="1:36" s="58" customFormat="1" outlineLevel="1">
      <c r="A271" s="307" t="s">
        <v>1368</v>
      </c>
      <c r="B271" s="308" t="s">
        <v>462</v>
      </c>
      <c r="C271" s="309">
        <f>C270*C237</f>
        <v>26.532252911123685</v>
      </c>
      <c r="D271" s="309">
        <f t="shared" ref="D271:AG271" si="277">D270*D237</f>
        <v>28.387149276121264</v>
      </c>
      <c r="E271" s="309">
        <f t="shared" si="277"/>
        <v>30.265445246182733</v>
      </c>
      <c r="F271" s="309">
        <f t="shared" si="277"/>
        <v>32.156739571123978</v>
      </c>
      <c r="G271" s="309">
        <f t="shared" si="277"/>
        <v>34.049982524006246</v>
      </c>
      <c r="H271" s="309">
        <f t="shared" si="277"/>
        <v>35.933577955581427</v>
      </c>
      <c r="I271" s="309">
        <f t="shared" si="277"/>
        <v>37.877039939484142</v>
      </c>
      <c r="J271" s="309">
        <f t="shared" si="277"/>
        <v>39.880324379290251</v>
      </c>
      <c r="K271" s="309">
        <f t="shared" si="277"/>
        <v>41.943277549387176</v>
      </c>
      <c r="L271" s="309">
        <f t="shared" si="277"/>
        <v>44.065632476887735</v>
      </c>
      <c r="M271" s="309">
        <f t="shared" si="277"/>
        <v>46.247005517790463</v>
      </c>
      <c r="N271" s="309">
        <f t="shared" si="277"/>
        <v>48.417518552138048</v>
      </c>
      <c r="O271" s="309">
        <f t="shared" si="277"/>
        <v>50.566825620555804</v>
      </c>
      <c r="P271" s="309">
        <f t="shared" si="277"/>
        <v>52.68592142063769</v>
      </c>
      <c r="Q271" s="309">
        <f t="shared" si="277"/>
        <v>54.762538949312692</v>
      </c>
      <c r="R271" s="309">
        <f t="shared" si="277"/>
        <v>56.785792508375941</v>
      </c>
      <c r="S271" s="309">
        <f t="shared" si="277"/>
        <v>58.850634713653449</v>
      </c>
      <c r="T271" s="309">
        <f t="shared" si="277"/>
        <v>60.957284946067247</v>
      </c>
      <c r="U271" s="309">
        <f t="shared" si="277"/>
        <v>63.10594723859834</v>
      </c>
      <c r="V271" s="309">
        <f t="shared" si="277"/>
        <v>65.296809860613223</v>
      </c>
      <c r="W271" s="309">
        <f t="shared" si="277"/>
        <v>67.530044905988234</v>
      </c>
      <c r="X271" s="309">
        <f t="shared" si="277"/>
        <v>69.806576755360837</v>
      </c>
      <c r="Y271" s="309">
        <f t="shared" si="277"/>
        <v>72.126621770601659</v>
      </c>
      <c r="Z271" s="309">
        <f t="shared" si="277"/>
        <v>74.493782762316243</v>
      </c>
      <c r="AA271" s="309">
        <f t="shared" si="277"/>
        <v>76.905065795188435</v>
      </c>
      <c r="AB271" s="309">
        <f t="shared" si="277"/>
        <v>79.360649036020902</v>
      </c>
      <c r="AC271" s="309">
        <f t="shared" si="277"/>
        <v>81.861469143031613</v>
      </c>
      <c r="AD271" s="309">
        <f t="shared" si="277"/>
        <v>84.407746294505969</v>
      </c>
      <c r="AE271" s="309">
        <f t="shared" si="277"/>
        <v>86.99968720242758</v>
      </c>
      <c r="AF271" s="309">
        <f t="shared" si="277"/>
        <v>89.637484778832359</v>
      </c>
      <c r="AG271" s="309">
        <f t="shared" si="277"/>
        <v>92.321317804796962</v>
      </c>
      <c r="AI271" s="305"/>
      <c r="AJ271" s="339" t="s">
        <v>1363</v>
      </c>
    </row>
    <row r="272" spans="1:36" s="62" customFormat="1" outlineLevel="1">
      <c r="A272" s="311" t="s">
        <v>1369</v>
      </c>
      <c r="B272" s="312" t="s">
        <v>462</v>
      </c>
      <c r="C272" s="313">
        <f>C270*C238</f>
        <v>94.068896684893076</v>
      </c>
      <c r="D272" s="313">
        <f t="shared" ref="D272:AG272" si="278">D270*D238</f>
        <v>96.850274000884312</v>
      </c>
      <c r="E272" s="313">
        <f t="shared" si="278"/>
        <v>99.443605808886133</v>
      </c>
      <c r="F272" s="313">
        <f t="shared" si="278"/>
        <v>101.82967530855927</v>
      </c>
      <c r="G272" s="313">
        <f t="shared" si="278"/>
        <v>103.99048716791101</v>
      </c>
      <c r="H272" s="313">
        <f t="shared" si="278"/>
        <v>105.90949292171371</v>
      </c>
      <c r="I272" s="313">
        <f t="shared" si="278"/>
        <v>107.80388290468565</v>
      </c>
      <c r="J272" s="313">
        <f t="shared" si="278"/>
        <v>109.67089204304823</v>
      </c>
      <c r="K272" s="313">
        <f t="shared" si="278"/>
        <v>111.50773787520011</v>
      </c>
      <c r="L272" s="313">
        <f t="shared" si="278"/>
        <v>113.31162636913994</v>
      </c>
      <c r="M272" s="313">
        <f t="shared" si="278"/>
        <v>115.07975791636237</v>
      </c>
      <c r="N272" s="313">
        <f t="shared" si="278"/>
        <v>116.64220378469626</v>
      </c>
      <c r="O272" s="313">
        <f t="shared" si="278"/>
        <v>117.98925978129697</v>
      </c>
      <c r="P272" s="313">
        <f t="shared" si="278"/>
        <v>119.11599625535486</v>
      </c>
      <c r="Q272" s="313">
        <f t="shared" si="278"/>
        <v>120.01152152721724</v>
      </c>
      <c r="R272" s="313">
        <f t="shared" si="278"/>
        <v>120.66980908029896</v>
      </c>
      <c r="S272" s="313">
        <f t="shared" si="278"/>
        <v>121.3043695118164</v>
      </c>
      <c r="T272" s="313">
        <f t="shared" si="278"/>
        <v>121.91456989213459</v>
      </c>
      <c r="U272" s="313">
        <f t="shared" si="278"/>
        <v>122.49977993374982</v>
      </c>
      <c r="V272" s="313">
        <f t="shared" si="278"/>
        <v>123.05937242961735</v>
      </c>
      <c r="W272" s="313">
        <f t="shared" si="278"/>
        <v>123.59272369586539</v>
      </c>
      <c r="X272" s="313">
        <f t="shared" si="278"/>
        <v>124.10058089841941</v>
      </c>
      <c r="Y272" s="313">
        <f t="shared" si="278"/>
        <v>124.58234669467571</v>
      </c>
      <c r="Z272" s="313">
        <f t="shared" si="278"/>
        <v>125.04313535103097</v>
      </c>
      <c r="AA272" s="313">
        <f t="shared" si="278"/>
        <v>125.47668629741287</v>
      </c>
      <c r="AB272" s="313">
        <f t="shared" si="278"/>
        <v>125.88240881575746</v>
      </c>
      <c r="AC272" s="313">
        <f t="shared" si="278"/>
        <v>126.26091003416755</v>
      </c>
      <c r="AD272" s="313">
        <f t="shared" si="278"/>
        <v>126.61161944175912</v>
      </c>
      <c r="AE272" s="313">
        <f t="shared" si="278"/>
        <v>126.93396985272238</v>
      </c>
      <c r="AF272" s="313">
        <f t="shared" si="278"/>
        <v>127.22739775060093</v>
      </c>
      <c r="AG272" s="313">
        <f t="shared" si="278"/>
        <v>127.49134363519583</v>
      </c>
      <c r="AI272" s="342"/>
      <c r="AJ272" s="341" t="s">
        <v>1363</v>
      </c>
    </row>
    <row r="273" spans="1:36" s="1" customFormat="1" outlineLevel="1">
      <c r="A273" t="s">
        <v>1370</v>
      </c>
      <c r="B273" s="302" t="s">
        <v>704</v>
      </c>
      <c r="C273" s="249">
        <f>C239*C270</f>
        <v>102.51097715661423</v>
      </c>
      <c r="D273" s="249">
        <f t="shared" ref="D273:AG273" si="279">D239*D270</f>
        <v>106.24308074665973</v>
      </c>
      <c r="E273" s="249">
        <f t="shared" si="279"/>
        <v>109.82032989329163</v>
      </c>
      <c r="F273" s="249">
        <f t="shared" si="279"/>
        <v>113.21852057333233</v>
      </c>
      <c r="G273" s="249">
        <f t="shared" si="279"/>
        <v>116.41412944018353</v>
      </c>
      <c r="H273" s="249">
        <f t="shared" si="279"/>
        <v>119.38458465505671</v>
      </c>
      <c r="I273" s="249">
        <f t="shared" si="279"/>
        <v>122.3719751891026</v>
      </c>
      <c r="J273" s="249">
        <f t="shared" si="279"/>
        <v>125.37376976739372</v>
      </c>
      <c r="K273" s="249">
        <f t="shared" si="279"/>
        <v>128.38734957190462</v>
      </c>
      <c r="L273" s="249">
        <f t="shared" si="279"/>
        <v>131.41001113643304</v>
      </c>
      <c r="M273" s="249">
        <f t="shared" si="279"/>
        <v>134.43896952846063</v>
      </c>
      <c r="N273" s="249">
        <f t="shared" si="279"/>
        <v>137.27466907680045</v>
      </c>
      <c r="O273" s="249">
        <f t="shared" si="279"/>
        <v>139.90155088353771</v>
      </c>
      <c r="P273" s="249">
        <f t="shared" si="279"/>
        <v>142.30925514161373</v>
      </c>
      <c r="Q273" s="249">
        <f t="shared" si="279"/>
        <v>144.47988999393132</v>
      </c>
      <c r="R273" s="249">
        <f t="shared" si="279"/>
        <v>146.4008713106567</v>
      </c>
      <c r="S273" s="249">
        <f t="shared" si="279"/>
        <v>148.32762014563673</v>
      </c>
      <c r="T273" s="249">
        <f t="shared" si="279"/>
        <v>150.25970739205573</v>
      </c>
      <c r="U273" s="249">
        <f t="shared" si="279"/>
        <v>152.19669628132536</v>
      </c>
      <c r="V273" s="249">
        <f t="shared" si="279"/>
        <v>154.13814250750522</v>
      </c>
      <c r="W273" s="249">
        <f t="shared" si="279"/>
        <v>156.08359435818031</v>
      </c>
      <c r="X273" s="249">
        <f t="shared" si="279"/>
        <v>158.03433348783074</v>
      </c>
      <c r="Y273" s="249">
        <f t="shared" si="279"/>
        <v>159.98996101842542</v>
      </c>
      <c r="Z273" s="249">
        <f t="shared" si="279"/>
        <v>161.95746520199998</v>
      </c>
      <c r="AA273" s="249">
        <f t="shared" si="279"/>
        <v>163.92921919500685</v>
      </c>
      <c r="AB273" s="249">
        <f t="shared" si="279"/>
        <v>165.90480509685398</v>
      </c>
      <c r="AC273" s="249">
        <f t="shared" si="279"/>
        <v>167.88538586960712</v>
      </c>
      <c r="AD273" s="249">
        <f t="shared" si="279"/>
        <v>169.87058941769317</v>
      </c>
      <c r="AE273" s="249">
        <f t="shared" si="279"/>
        <v>171.86003783430357</v>
      </c>
      <c r="AF273" s="249">
        <f t="shared" si="279"/>
        <v>173.85334749442876</v>
      </c>
      <c r="AG273" s="249">
        <f t="shared" si="279"/>
        <v>175.85012915199422</v>
      </c>
      <c r="AI273" s="316"/>
      <c r="AJ273" s="211" t="s">
        <v>1363</v>
      </c>
    </row>
    <row r="274" spans="1:36" s="1" customFormat="1" outlineLevel="1">
      <c r="A274" t="s">
        <v>1371</v>
      </c>
      <c r="B274" s="302" t="s">
        <v>704</v>
      </c>
      <c r="C274" s="249">
        <f>C240*C270</f>
        <v>18.090172439402512</v>
      </c>
      <c r="D274" s="249">
        <f t="shared" ref="D274:AG274" si="280">D240*D270</f>
        <v>18.994342530345847</v>
      </c>
      <c r="E274" s="249">
        <f t="shared" si="280"/>
        <v>19.88872116177723</v>
      </c>
      <c r="F274" s="249">
        <f t="shared" si="280"/>
        <v>20.767894306350907</v>
      </c>
      <c r="G274" s="249">
        <f t="shared" si="280"/>
        <v>21.626340251733708</v>
      </c>
      <c r="H274" s="249">
        <f t="shared" si="280"/>
        <v>22.458486222238403</v>
      </c>
      <c r="I274" s="249">
        <f t="shared" si="280"/>
        <v>23.308947655067175</v>
      </c>
      <c r="J274" s="249">
        <f t="shared" si="280"/>
        <v>24.177446654944731</v>
      </c>
      <c r="K274" s="249">
        <f t="shared" si="280"/>
        <v>25.0636658526826</v>
      </c>
      <c r="L274" s="249">
        <f t="shared" si="280"/>
        <v>25.967247709594581</v>
      </c>
      <c r="M274" s="249">
        <f t="shared" si="280"/>
        <v>26.887793905692156</v>
      </c>
      <c r="N274" s="249">
        <f t="shared" si="280"/>
        <v>27.785053260033795</v>
      </c>
      <c r="O274" s="249">
        <f t="shared" si="280"/>
        <v>28.654534518314989</v>
      </c>
      <c r="P274" s="249">
        <f t="shared" si="280"/>
        <v>29.492662534378741</v>
      </c>
      <c r="Q274" s="249">
        <f t="shared" si="280"/>
        <v>30.294170482598549</v>
      </c>
      <c r="R274" s="249">
        <f t="shared" si="280"/>
        <v>31.054730278018138</v>
      </c>
      <c r="S274" s="249">
        <f t="shared" si="280"/>
        <v>31.827384079833035</v>
      </c>
      <c r="T274" s="249">
        <f t="shared" si="280"/>
        <v>32.612147446146025</v>
      </c>
      <c r="U274" s="249">
        <f t="shared" si="280"/>
        <v>33.409030891022702</v>
      </c>
      <c r="V274" s="249">
        <f t="shared" si="280"/>
        <v>34.218039782725256</v>
      </c>
      <c r="W274" s="249">
        <f t="shared" si="280"/>
        <v>35.039174243673202</v>
      </c>
      <c r="X274" s="249">
        <f t="shared" si="280"/>
        <v>35.872824165949389</v>
      </c>
      <c r="Y274" s="249">
        <f t="shared" si="280"/>
        <v>36.719007446851819</v>
      </c>
      <c r="Z274" s="249">
        <f t="shared" si="280"/>
        <v>37.579452911347104</v>
      </c>
      <c r="AA274" s="249">
        <f t="shared" si="280"/>
        <v>38.452532897594295</v>
      </c>
      <c r="AB274" s="249">
        <f t="shared" si="280"/>
        <v>39.338252754924241</v>
      </c>
      <c r="AC274" s="249">
        <f t="shared" si="280"/>
        <v>40.236993307591895</v>
      </c>
      <c r="AD274" s="249">
        <f t="shared" si="280"/>
        <v>41.148776318571755</v>
      </c>
      <c r="AE274" s="249">
        <f t="shared" si="280"/>
        <v>42.073619220846219</v>
      </c>
      <c r="AF274" s="249">
        <f t="shared" si="280"/>
        <v>43.011535035004336</v>
      </c>
      <c r="AG274" s="249">
        <f t="shared" si="280"/>
        <v>43.962532287998556</v>
      </c>
      <c r="AI274" s="316"/>
      <c r="AJ274" s="211" t="s">
        <v>1363</v>
      </c>
    </row>
    <row r="275" spans="1:36" s="1" customFormat="1" outlineLevel="1">
      <c r="A275" t="s">
        <v>1372</v>
      </c>
      <c r="B275" s="302" t="s">
        <v>704</v>
      </c>
      <c r="C275" s="249">
        <f>C273*C241</f>
        <v>15.376646573492135</v>
      </c>
      <c r="D275" s="249">
        <f t="shared" ref="D275:AG275" si="281">D273*D241</f>
        <v>16.609334956727803</v>
      </c>
      <c r="E275" s="249">
        <f t="shared" si="281"/>
        <v>17.864106995975437</v>
      </c>
      <c r="F275" s="249">
        <f t="shared" si="281"/>
        <v>19.13392997689316</v>
      </c>
      <c r="G275" s="249">
        <f t="shared" si="281"/>
        <v>20.41127736184551</v>
      </c>
      <c r="H275" s="249">
        <f t="shared" si="281"/>
        <v>21.688199545668635</v>
      </c>
      <c r="I275" s="249">
        <f t="shared" si="281"/>
        <v>23.005931335551285</v>
      </c>
      <c r="J275" s="249">
        <f t="shared" si="281"/>
        <v>24.36430259146351</v>
      </c>
      <c r="K275" s="249">
        <f t="shared" si="281"/>
        <v>25.76306148076219</v>
      </c>
      <c r="L275" s="249">
        <f t="shared" si="281"/>
        <v>27.201872305241636</v>
      </c>
      <c r="M275" s="249">
        <f t="shared" si="281"/>
        <v>28.680313499404928</v>
      </c>
      <c r="N275" s="249">
        <f t="shared" si="281"/>
        <v>30.154668973870493</v>
      </c>
      <c r="O275" s="249">
        <f t="shared" si="281"/>
        <v>31.617750499679516</v>
      </c>
      <c r="P275" s="249">
        <f t="shared" si="281"/>
        <v>33.063183611234919</v>
      </c>
      <c r="Q275" s="249">
        <f t="shared" si="281"/>
        <v>34.482533745218269</v>
      </c>
      <c r="R275" s="249">
        <f t="shared" si="281"/>
        <v>35.868213471110884</v>
      </c>
      <c r="S275" s="249">
        <f t="shared" si="281"/>
        <v>37.279675196603357</v>
      </c>
      <c r="T275" s="249">
        <f t="shared" si="281"/>
        <v>38.716917938019691</v>
      </c>
      <c r="U275" s="249">
        <f t="shared" si="281"/>
        <v>40.179927818269896</v>
      </c>
      <c r="V275" s="249">
        <f t="shared" si="281"/>
        <v>41.668677857862249</v>
      </c>
      <c r="W275" s="249">
        <f t="shared" si="281"/>
        <v>43.183127772429891</v>
      </c>
      <c r="X275" s="249">
        <f t="shared" si="281"/>
        <v>44.723716377056114</v>
      </c>
      <c r="Y275" s="249">
        <f t="shared" si="281"/>
        <v>46.290428721331104</v>
      </c>
      <c r="Z275" s="249">
        <f t="shared" si="281"/>
        <v>47.885423878058013</v>
      </c>
      <c r="AA275" s="249">
        <f t="shared" si="281"/>
        <v>49.506624196892098</v>
      </c>
      <c r="AB275" s="249">
        <f t="shared" si="281"/>
        <v>51.153981571530004</v>
      </c>
      <c r="AC275" s="249">
        <f t="shared" si="281"/>
        <v>52.827934753636406</v>
      </c>
      <c r="AD275" s="249">
        <f t="shared" si="281"/>
        <v>54.528459203079549</v>
      </c>
      <c r="AE275" s="249">
        <f t="shared" si="281"/>
        <v>56.255519051095412</v>
      </c>
      <c r="AF275" s="249">
        <f t="shared" si="281"/>
        <v>58.00906694730778</v>
      </c>
      <c r="AG275" s="249">
        <f t="shared" si="281"/>
        <v>59.789043911678043</v>
      </c>
      <c r="AI275" s="316"/>
      <c r="AJ275" s="211" t="s">
        <v>1363</v>
      </c>
    </row>
    <row r="276" spans="1:36" s="1" customFormat="1" outlineLevel="1">
      <c r="A276" t="s">
        <v>1373</v>
      </c>
      <c r="B276" s="302" t="s">
        <v>704</v>
      </c>
      <c r="C276" s="249">
        <f>C273*C242</f>
        <v>87.134330583122093</v>
      </c>
      <c r="D276" s="249">
        <f t="shared" ref="D276:AG276" si="282">D273*D242</f>
        <v>89.633745789931922</v>
      </c>
      <c r="E276" s="249">
        <f t="shared" si="282"/>
        <v>91.956222897316195</v>
      </c>
      <c r="F276" s="249">
        <f t="shared" si="282"/>
        <v>94.08459059643917</v>
      </c>
      <c r="G276" s="249">
        <f t="shared" si="282"/>
        <v>96.002852078338023</v>
      </c>
      <c r="H276" s="249">
        <f t="shared" si="282"/>
        <v>97.696385109388089</v>
      </c>
      <c r="I276" s="249">
        <f t="shared" si="282"/>
        <v>99.366043853551332</v>
      </c>
      <c r="J276" s="249">
        <f t="shared" si="282"/>
        <v>101.00946717593024</v>
      </c>
      <c r="K276" s="249">
        <f t="shared" si="282"/>
        <v>102.62428809114246</v>
      </c>
      <c r="L276" s="249">
        <f t="shared" si="282"/>
        <v>104.20813883119143</v>
      </c>
      <c r="M276" s="249">
        <f t="shared" si="282"/>
        <v>105.75865602905574</v>
      </c>
      <c r="N276" s="249">
        <f t="shared" si="282"/>
        <v>107.12000010292999</v>
      </c>
      <c r="O276" s="249">
        <f t="shared" si="282"/>
        <v>108.28380038385824</v>
      </c>
      <c r="P276" s="249">
        <f t="shared" si="282"/>
        <v>109.24607153037887</v>
      </c>
      <c r="Q276" s="249">
        <f t="shared" si="282"/>
        <v>109.9973562487131</v>
      </c>
      <c r="R276" s="249">
        <f t="shared" si="282"/>
        <v>110.53265783954588</v>
      </c>
      <c r="S276" s="249">
        <f t="shared" si="282"/>
        <v>111.04794494903344</v>
      </c>
      <c r="T276" s="249">
        <f t="shared" si="282"/>
        <v>111.54278945403611</v>
      </c>
      <c r="U276" s="249">
        <f t="shared" si="282"/>
        <v>112.01676846305554</v>
      </c>
      <c r="V276" s="249">
        <f t="shared" si="282"/>
        <v>112.46946464964307</v>
      </c>
      <c r="W276" s="249">
        <f t="shared" si="282"/>
        <v>112.90046658575052</v>
      </c>
      <c r="X276" s="249">
        <f t="shared" si="282"/>
        <v>113.31061711077474</v>
      </c>
      <c r="Y276" s="249">
        <f t="shared" si="282"/>
        <v>113.69953229709444</v>
      </c>
      <c r="Z276" s="249">
        <f t="shared" si="282"/>
        <v>114.0720413239421</v>
      </c>
      <c r="AA276" s="249">
        <f t="shared" si="282"/>
        <v>114.4225949981149</v>
      </c>
      <c r="AB276" s="249">
        <f t="shared" si="282"/>
        <v>114.75082352532412</v>
      </c>
      <c r="AC276" s="249">
        <f t="shared" si="282"/>
        <v>115.05745111597088</v>
      </c>
      <c r="AD276" s="249">
        <f t="shared" si="282"/>
        <v>115.3421302146138</v>
      </c>
      <c r="AE276" s="249">
        <f t="shared" si="282"/>
        <v>115.60451878320835</v>
      </c>
      <c r="AF276" s="249">
        <f t="shared" si="282"/>
        <v>115.84428054712119</v>
      </c>
      <c r="AG276" s="249">
        <f t="shared" si="282"/>
        <v>116.06108524031619</v>
      </c>
      <c r="AI276" s="316"/>
      <c r="AJ276" s="211" t="s">
        <v>1363</v>
      </c>
    </row>
    <row r="277" spans="1:36" s="1" customFormat="1" outlineLevel="1">
      <c r="A277" t="s">
        <v>1374</v>
      </c>
      <c r="B277" s="302" t="s">
        <v>704</v>
      </c>
      <c r="C277" s="249">
        <f>C243*C276</f>
        <v>0</v>
      </c>
      <c r="D277" s="249">
        <f t="shared" ref="D277:AG277" si="283">D243*D276</f>
        <v>0</v>
      </c>
      <c r="E277" s="249">
        <f t="shared" si="283"/>
        <v>0</v>
      </c>
      <c r="F277" s="249">
        <f t="shared" si="283"/>
        <v>0</v>
      </c>
      <c r="G277" s="249">
        <f t="shared" si="283"/>
        <v>0</v>
      </c>
      <c r="H277" s="249">
        <f t="shared" si="283"/>
        <v>0</v>
      </c>
      <c r="I277" s="249">
        <f t="shared" si="283"/>
        <v>0</v>
      </c>
      <c r="J277" s="249">
        <f t="shared" si="283"/>
        <v>0</v>
      </c>
      <c r="K277" s="249">
        <f t="shared" si="283"/>
        <v>0</v>
      </c>
      <c r="L277" s="249">
        <f t="shared" si="283"/>
        <v>0</v>
      </c>
      <c r="M277" s="249">
        <f t="shared" si="283"/>
        <v>0</v>
      </c>
      <c r="N277" s="249">
        <f t="shared" si="283"/>
        <v>0</v>
      </c>
      <c r="O277" s="249">
        <f t="shared" si="283"/>
        <v>0</v>
      </c>
      <c r="P277" s="249">
        <f t="shared" si="283"/>
        <v>0</v>
      </c>
      <c r="Q277" s="249">
        <f t="shared" si="283"/>
        <v>0</v>
      </c>
      <c r="R277" s="249">
        <f t="shared" si="283"/>
        <v>0</v>
      </c>
      <c r="S277" s="249">
        <f t="shared" si="283"/>
        <v>0</v>
      </c>
      <c r="T277" s="249">
        <f t="shared" si="283"/>
        <v>0</v>
      </c>
      <c r="U277" s="249">
        <f t="shared" si="283"/>
        <v>0</v>
      </c>
      <c r="V277" s="249">
        <f t="shared" si="283"/>
        <v>0</v>
      </c>
      <c r="W277" s="249">
        <f t="shared" si="283"/>
        <v>0</v>
      </c>
      <c r="X277" s="249">
        <f t="shared" si="283"/>
        <v>0</v>
      </c>
      <c r="Y277" s="249">
        <f t="shared" si="283"/>
        <v>0</v>
      </c>
      <c r="Z277" s="249">
        <f t="shared" si="283"/>
        <v>0</v>
      </c>
      <c r="AA277" s="249">
        <f t="shared" si="283"/>
        <v>0</v>
      </c>
      <c r="AB277" s="249">
        <f t="shared" si="283"/>
        <v>0</v>
      </c>
      <c r="AC277" s="249">
        <f t="shared" si="283"/>
        <v>0</v>
      </c>
      <c r="AD277" s="249">
        <f t="shared" si="283"/>
        <v>0</v>
      </c>
      <c r="AE277" s="249">
        <f t="shared" si="283"/>
        <v>0</v>
      </c>
      <c r="AF277" s="249">
        <f t="shared" si="283"/>
        <v>0</v>
      </c>
      <c r="AG277" s="249">
        <f t="shared" si="283"/>
        <v>0</v>
      </c>
      <c r="AI277" s="316"/>
      <c r="AJ277" s="211" t="s">
        <v>1363</v>
      </c>
    </row>
    <row r="278" spans="1:36" s="1" customFormat="1" outlineLevel="1">
      <c r="A278" t="s">
        <v>1388</v>
      </c>
      <c r="B278" s="302" t="s">
        <v>704</v>
      </c>
      <c r="C278" s="249">
        <f>C244*C276</f>
        <v>87.134330583122093</v>
      </c>
      <c r="D278" s="249">
        <f t="shared" ref="D278:AG278" si="284">D244*D276</f>
        <v>89.633745789931922</v>
      </c>
      <c r="E278" s="249">
        <f t="shared" si="284"/>
        <v>91.956222897316195</v>
      </c>
      <c r="F278" s="249">
        <f t="shared" si="284"/>
        <v>94.08459059643917</v>
      </c>
      <c r="G278" s="249">
        <f t="shared" si="284"/>
        <v>96.002852078338023</v>
      </c>
      <c r="H278" s="249">
        <f t="shared" si="284"/>
        <v>97.696385109388089</v>
      </c>
      <c r="I278" s="249">
        <f t="shared" si="284"/>
        <v>99.366043853551332</v>
      </c>
      <c r="J278" s="249">
        <f t="shared" si="284"/>
        <v>101.00946717593024</v>
      </c>
      <c r="K278" s="249">
        <f t="shared" si="284"/>
        <v>102.62428809114246</v>
      </c>
      <c r="L278" s="249">
        <f t="shared" si="284"/>
        <v>104.20813883119143</v>
      </c>
      <c r="M278" s="249">
        <f t="shared" si="284"/>
        <v>105.75865602905574</v>
      </c>
      <c r="N278" s="249">
        <f t="shared" si="284"/>
        <v>107.12000010292999</v>
      </c>
      <c r="O278" s="249">
        <f t="shared" si="284"/>
        <v>108.28380038385824</v>
      </c>
      <c r="P278" s="249">
        <f t="shared" si="284"/>
        <v>109.24607153037887</v>
      </c>
      <c r="Q278" s="249">
        <f t="shared" si="284"/>
        <v>109.9973562487131</v>
      </c>
      <c r="R278" s="249">
        <f t="shared" si="284"/>
        <v>110.53265783954588</v>
      </c>
      <c r="S278" s="249">
        <f t="shared" si="284"/>
        <v>111.04794494903344</v>
      </c>
      <c r="T278" s="249">
        <f t="shared" si="284"/>
        <v>111.54278945403611</v>
      </c>
      <c r="U278" s="249">
        <f t="shared" si="284"/>
        <v>112.01676846305554</v>
      </c>
      <c r="V278" s="249">
        <f t="shared" si="284"/>
        <v>112.46946464964307</v>
      </c>
      <c r="W278" s="249">
        <f t="shared" si="284"/>
        <v>112.90046658575052</v>
      </c>
      <c r="X278" s="249">
        <f t="shared" si="284"/>
        <v>113.31061711077474</v>
      </c>
      <c r="Y278" s="249">
        <f t="shared" si="284"/>
        <v>113.69953229709444</v>
      </c>
      <c r="Z278" s="249">
        <f t="shared" si="284"/>
        <v>114.0720413239421</v>
      </c>
      <c r="AA278" s="249">
        <f t="shared" si="284"/>
        <v>114.4225949981149</v>
      </c>
      <c r="AB278" s="249">
        <f t="shared" si="284"/>
        <v>114.75082352532412</v>
      </c>
      <c r="AC278" s="249">
        <f t="shared" si="284"/>
        <v>115.05745111597088</v>
      </c>
      <c r="AD278" s="249">
        <f t="shared" si="284"/>
        <v>115.3421302146138</v>
      </c>
      <c r="AE278" s="249">
        <f t="shared" si="284"/>
        <v>115.60451878320835</v>
      </c>
      <c r="AF278" s="249">
        <f t="shared" si="284"/>
        <v>115.84428054712119</v>
      </c>
      <c r="AG278" s="249">
        <f t="shared" si="284"/>
        <v>116.06108524031619</v>
      </c>
      <c r="AI278" s="316"/>
      <c r="AJ278" s="211" t="s">
        <v>1363</v>
      </c>
    </row>
    <row r="279" spans="1:36" s="1" customFormat="1" outlineLevel="1">
      <c r="A279" t="s">
        <v>1376</v>
      </c>
      <c r="B279" s="302" t="s">
        <v>704</v>
      </c>
      <c r="C279" s="249">
        <f>C245*(C277+C275)</f>
        <v>12.301317258793709</v>
      </c>
      <c r="D279" s="249">
        <f t="shared" ref="D279:AG279" si="285">D245*(D277+D275)</f>
        <v>13.342832415238002</v>
      </c>
      <c r="E279" s="249">
        <f t="shared" si="285"/>
        <v>14.410379643420185</v>
      </c>
      <c r="F279" s="249">
        <f t="shared" si="285"/>
        <v>15.498483281283459</v>
      </c>
      <c r="G279" s="249">
        <f t="shared" si="285"/>
        <v>16.601172254301012</v>
      </c>
      <c r="H279" s="249">
        <f t="shared" si="285"/>
        <v>17.712029628962714</v>
      </c>
      <c r="I279" s="249">
        <f t="shared" si="285"/>
        <v>18.864863695152049</v>
      </c>
      <c r="J279" s="249">
        <f t="shared" si="285"/>
        <v>20.05994246697162</v>
      </c>
      <c r="K279" s="249">
        <f t="shared" si="285"/>
        <v>21.29746415743007</v>
      </c>
      <c r="L279" s="249">
        <f t="shared" si="285"/>
        <v>22.57755401335055</v>
      </c>
      <c r="M279" s="249">
        <f t="shared" si="285"/>
        <v>23.900261249504098</v>
      </c>
      <c r="N279" s="249">
        <f t="shared" si="285"/>
        <v>25.22940637480497</v>
      </c>
      <c r="O279" s="249">
        <f t="shared" si="285"/>
        <v>26.558910419730783</v>
      </c>
      <c r="P279" s="249">
        <f t="shared" si="285"/>
        <v>27.883284845474769</v>
      </c>
      <c r="Q279" s="249">
        <f t="shared" si="285"/>
        <v>29.195211904284786</v>
      </c>
      <c r="R279" s="249">
        <f t="shared" si="285"/>
        <v>30.487981450444234</v>
      </c>
      <c r="S279" s="249">
        <f t="shared" si="285"/>
        <v>31.811989501101511</v>
      </c>
      <c r="T279" s="249">
        <f t="shared" si="285"/>
        <v>33.167493033570182</v>
      </c>
      <c r="U279" s="249">
        <f t="shared" si="285"/>
        <v>34.554737923712089</v>
      </c>
      <c r="V279" s="249">
        <f t="shared" si="285"/>
        <v>35.973958550621049</v>
      </c>
      <c r="W279" s="249">
        <f t="shared" si="285"/>
        <v>37.425377402772547</v>
      </c>
      <c r="X279" s="249">
        <f t="shared" si="285"/>
        <v>38.909633248038787</v>
      </c>
      <c r="Y279" s="249">
        <f t="shared" si="285"/>
        <v>40.426974416629129</v>
      </c>
      <c r="Z279" s="249">
        <f t="shared" si="285"/>
        <v>41.979554933097489</v>
      </c>
      <c r="AA279" s="249">
        <f t="shared" si="285"/>
        <v>43.565829293265004</v>
      </c>
      <c r="AB279" s="249">
        <f t="shared" si="285"/>
        <v>45.186017054851462</v>
      </c>
      <c r="AC279" s="249">
        <f t="shared" si="285"/>
        <v>46.8407688148909</v>
      </c>
      <c r="AD279" s="249">
        <f t="shared" si="285"/>
        <v>48.530328690740753</v>
      </c>
      <c r="AE279" s="249">
        <f t="shared" si="285"/>
        <v>50.254930352311852</v>
      </c>
      <c r="AF279" s="249">
        <f t="shared" si="285"/>
        <v>52.014796696085924</v>
      </c>
      <c r="AG279" s="249">
        <f t="shared" si="285"/>
        <v>53.810139520510241</v>
      </c>
      <c r="AH279" s="249"/>
      <c r="AI279" s="316"/>
      <c r="AJ279" s="211" t="s">
        <v>1363</v>
      </c>
    </row>
    <row r="280" spans="1:36" s="1" customFormat="1" outlineLevel="1">
      <c r="A280" t="s">
        <v>1377</v>
      </c>
      <c r="B280" s="302" t="s">
        <v>704</v>
      </c>
      <c r="C280" s="249">
        <f>C246*(C277+C275)</f>
        <v>3.0753293146984273</v>
      </c>
      <c r="D280" s="249">
        <f t="shared" ref="D280:AG280" si="286">D246*(D277+D275)</f>
        <v>3.2665025414898015</v>
      </c>
      <c r="E280" s="249">
        <f t="shared" si="286"/>
        <v>3.4537273525552514</v>
      </c>
      <c r="F280" s="249">
        <f t="shared" si="286"/>
        <v>3.6354466956097009</v>
      </c>
      <c r="G280" s="249">
        <f t="shared" si="286"/>
        <v>3.8101051075444961</v>
      </c>
      <c r="H280" s="249">
        <f t="shared" si="286"/>
        <v>3.9761699167059175</v>
      </c>
      <c r="I280" s="249">
        <f t="shared" si="286"/>
        <v>4.1410676403992328</v>
      </c>
      <c r="J280" s="249">
        <f t="shared" si="286"/>
        <v>4.3043601244918879</v>
      </c>
      <c r="K280" s="249">
        <f t="shared" si="286"/>
        <v>4.4655973233321147</v>
      </c>
      <c r="L280" s="249">
        <f t="shared" si="286"/>
        <v>4.6243182918910799</v>
      </c>
      <c r="M280" s="249">
        <f t="shared" si="286"/>
        <v>4.7800522499008231</v>
      </c>
      <c r="N280" s="249">
        <f t="shared" si="286"/>
        <v>4.9252625990655163</v>
      </c>
      <c r="O280" s="249">
        <f t="shared" si="286"/>
        <v>5.058840079948725</v>
      </c>
      <c r="P280" s="249">
        <f t="shared" si="286"/>
        <v>5.1798987657601403</v>
      </c>
      <c r="Q280" s="249">
        <f t="shared" si="286"/>
        <v>5.2873218409334717</v>
      </c>
      <c r="R280" s="249">
        <f t="shared" si="286"/>
        <v>5.3802320206666367</v>
      </c>
      <c r="S280" s="249">
        <f t="shared" si="286"/>
        <v>5.4676856955018298</v>
      </c>
      <c r="T280" s="249">
        <f t="shared" si="286"/>
        <v>5.5494249044494932</v>
      </c>
      <c r="U280" s="249">
        <f t="shared" si="286"/>
        <v>5.6251898945577903</v>
      </c>
      <c r="V280" s="249">
        <f t="shared" si="286"/>
        <v>5.6947193072411793</v>
      </c>
      <c r="W280" s="249">
        <f t="shared" si="286"/>
        <v>5.7577503696573249</v>
      </c>
      <c r="X280" s="249">
        <f t="shared" si="286"/>
        <v>5.814083129017301</v>
      </c>
      <c r="Y280" s="249">
        <f t="shared" si="286"/>
        <v>5.8634543047019463</v>
      </c>
      <c r="Z280" s="249">
        <f t="shared" si="286"/>
        <v>5.9058689449604955</v>
      </c>
      <c r="AA280" s="249">
        <f t="shared" si="286"/>
        <v>5.9407949036270598</v>
      </c>
      <c r="AB280" s="249">
        <f t="shared" si="286"/>
        <v>5.9679645166785091</v>
      </c>
      <c r="AC280" s="249">
        <f t="shared" si="286"/>
        <v>5.9871659387454681</v>
      </c>
      <c r="AD280" s="249">
        <f t="shared" si="286"/>
        <v>5.9981305123387605</v>
      </c>
      <c r="AE280" s="249">
        <f t="shared" si="286"/>
        <v>6.0005886987835213</v>
      </c>
      <c r="AF280" s="249">
        <f t="shared" si="286"/>
        <v>5.9942702512218151</v>
      </c>
      <c r="AG280" s="249">
        <f t="shared" si="286"/>
        <v>5.9789043911678048</v>
      </c>
      <c r="AI280" s="316"/>
      <c r="AJ280" s="211" t="s">
        <v>1363</v>
      </c>
    </row>
    <row r="281" spans="1:36" s="1" customFormat="1" outlineLevel="1">
      <c r="A281" t="s">
        <v>1378</v>
      </c>
      <c r="B281" s="302" t="s">
        <v>704</v>
      </c>
      <c r="C281" s="249">
        <f>C274*C247</f>
        <v>17.185663817432385</v>
      </c>
      <c r="D281" s="249">
        <f t="shared" ref="D281:AG281" si="287">D274*D247</f>
        <v>18.019299613788093</v>
      </c>
      <c r="E281" s="249">
        <f t="shared" si="287"/>
        <v>18.841248513923631</v>
      </c>
      <c r="F281" s="249">
        <f t="shared" si="287"/>
        <v>19.646428013807959</v>
      </c>
      <c r="G281" s="249">
        <f t="shared" si="287"/>
        <v>20.429682757804446</v>
      </c>
      <c r="H281" s="249">
        <f t="shared" si="287"/>
        <v>21.185838669644895</v>
      </c>
      <c r="I281" s="249">
        <f t="shared" si="287"/>
        <v>21.957028691073283</v>
      </c>
      <c r="J281" s="249">
        <f t="shared" si="287"/>
        <v>22.742918153418014</v>
      </c>
      <c r="K281" s="249">
        <f t="shared" si="287"/>
        <v>23.543136790953195</v>
      </c>
      <c r="L281" s="249">
        <f t="shared" si="287"/>
        <v>24.357278351599724</v>
      </c>
      <c r="M281" s="249">
        <f t="shared" si="287"/>
        <v>25.184900291664995</v>
      </c>
      <c r="N281" s="249">
        <f t="shared" si="287"/>
        <v>25.988286482551619</v>
      </c>
      <c r="O281" s="249">
        <f t="shared" si="287"/>
        <v>26.763335240106212</v>
      </c>
      <c r="P281" s="249">
        <f t="shared" si="287"/>
        <v>27.506823257063918</v>
      </c>
      <c r="Q281" s="249">
        <f t="shared" si="287"/>
        <v>28.213970776126796</v>
      </c>
      <c r="R281" s="249">
        <f t="shared" si="287"/>
        <v>28.880899158556883</v>
      </c>
      <c r="S281" s="249">
        <f t="shared" si="287"/>
        <v>29.557030682138294</v>
      </c>
      <c r="T281" s="249">
        <f t="shared" si="287"/>
        <v>30.242331398392764</v>
      </c>
      <c r="U281" s="249">
        <f t="shared" si="287"/>
        <v>30.936762605087043</v>
      </c>
      <c r="V281" s="249">
        <f t="shared" si="287"/>
        <v>31.640280785759977</v>
      </c>
      <c r="W281" s="249">
        <f t="shared" si="287"/>
        <v>32.352837551658283</v>
      </c>
      <c r="X281" s="249">
        <f t="shared" si="287"/>
        <v>33.074743881005361</v>
      </c>
      <c r="Y281" s="249">
        <f t="shared" si="287"/>
        <v>33.805966189401602</v>
      </c>
      <c r="Z281" s="249">
        <f t="shared" si="287"/>
        <v>34.548043709831802</v>
      </c>
      <c r="AA281" s="249">
        <f t="shared" si="287"/>
        <v>35.299425199991596</v>
      </c>
      <c r="AB281" s="249">
        <f t="shared" si="287"/>
        <v>36.060065025347257</v>
      </c>
      <c r="AC281" s="249">
        <f t="shared" si="287"/>
        <v>36.83026120754915</v>
      </c>
      <c r="AD281" s="249">
        <f t="shared" si="287"/>
        <v>37.60998155517462</v>
      </c>
      <c r="AE281" s="249">
        <f t="shared" si="287"/>
        <v>38.399189808892359</v>
      </c>
      <c r="AF281" s="249">
        <f t="shared" si="287"/>
        <v>39.197845595233993</v>
      </c>
      <c r="AG281" s="249">
        <f t="shared" si="287"/>
        <v>40.00590438207869</v>
      </c>
      <c r="AI281" s="316"/>
      <c r="AJ281" s="211" t="s">
        <v>1363</v>
      </c>
    </row>
    <row r="282" spans="1:36" s="1" customFormat="1" outlineLevel="1">
      <c r="A282" t="s">
        <v>1389</v>
      </c>
      <c r="B282" s="302" t="s">
        <v>704</v>
      </c>
      <c r="C282" s="249">
        <f>C274*C248</f>
        <v>0.9045086219701256</v>
      </c>
      <c r="D282" s="249">
        <f t="shared" ref="D282:AG282" si="288">D274*D248</f>
        <v>0.97504291655775355</v>
      </c>
      <c r="E282" s="249">
        <f t="shared" si="288"/>
        <v>1.0474726478536007</v>
      </c>
      <c r="F282" s="249">
        <f t="shared" si="288"/>
        <v>1.1214662925429491</v>
      </c>
      <c r="G282" s="249">
        <f t="shared" si="288"/>
        <v>1.1966574939292651</v>
      </c>
      <c r="H282" s="249">
        <f t="shared" si="288"/>
        <v>1.2726475525935095</v>
      </c>
      <c r="I282" s="249">
        <f t="shared" si="288"/>
        <v>1.351918963993896</v>
      </c>
      <c r="J282" s="249">
        <f t="shared" si="288"/>
        <v>1.4345285015267206</v>
      </c>
      <c r="K282" s="249">
        <f t="shared" si="288"/>
        <v>1.5205290617294109</v>
      </c>
      <c r="L282" s="249">
        <f t="shared" si="288"/>
        <v>1.6099693579948637</v>
      </c>
      <c r="M282" s="249">
        <f t="shared" si="288"/>
        <v>1.7028936140271698</v>
      </c>
      <c r="N282" s="249">
        <f t="shared" si="288"/>
        <v>1.7967667774821854</v>
      </c>
      <c r="O282" s="249">
        <f t="shared" si="288"/>
        <v>1.8911992782087894</v>
      </c>
      <c r="P282" s="249">
        <f t="shared" si="288"/>
        <v>1.9858392773148354</v>
      </c>
      <c r="Q282" s="249">
        <f t="shared" si="288"/>
        <v>2.0801997064717677</v>
      </c>
      <c r="R282" s="249">
        <f t="shared" si="288"/>
        <v>2.1738311194612701</v>
      </c>
      <c r="S282" s="249">
        <f t="shared" si="288"/>
        <v>2.2703533976947572</v>
      </c>
      <c r="T282" s="249">
        <f t="shared" si="288"/>
        <v>2.3698160477532788</v>
      </c>
      <c r="U282" s="249">
        <f t="shared" si="288"/>
        <v>2.472268285935681</v>
      </c>
      <c r="V282" s="249">
        <f t="shared" si="288"/>
        <v>2.5777589969653043</v>
      </c>
      <c r="W282" s="249">
        <f t="shared" si="288"/>
        <v>2.6863366920149474</v>
      </c>
      <c r="X282" s="249">
        <f t="shared" si="288"/>
        <v>2.7980802849440543</v>
      </c>
      <c r="Y282" s="249">
        <f t="shared" si="288"/>
        <v>2.9130412574502467</v>
      </c>
      <c r="Z282" s="249">
        <f t="shared" si="288"/>
        <v>3.0314092015153355</v>
      </c>
      <c r="AA282" s="249">
        <f t="shared" si="288"/>
        <v>3.153107697602735</v>
      </c>
      <c r="AB282" s="249">
        <f t="shared" si="288"/>
        <v>3.2781877295770232</v>
      </c>
      <c r="AC282" s="249">
        <f t="shared" si="288"/>
        <v>3.4067321000427837</v>
      </c>
      <c r="AD282" s="249">
        <f t="shared" si="288"/>
        <v>3.5387947633971746</v>
      </c>
      <c r="AE282" s="249">
        <f t="shared" si="288"/>
        <v>3.6744294119539069</v>
      </c>
      <c r="AF282" s="249">
        <f t="shared" si="288"/>
        <v>3.8136894397703887</v>
      </c>
      <c r="AG282" s="249">
        <f t="shared" si="288"/>
        <v>3.9566279059198699</v>
      </c>
      <c r="AI282" s="316"/>
      <c r="AJ282" s="211" t="s">
        <v>1363</v>
      </c>
    </row>
    <row r="283" spans="1:36" s="1" customFormat="1" outlineLevel="1">
      <c r="A283" t="s">
        <v>1380</v>
      </c>
      <c r="B283" s="302" t="s">
        <v>704</v>
      </c>
      <c r="C283" s="249">
        <f t="shared" ref="C283:AG283" si="289">C279*C249</f>
        <v>3.3213556598743015</v>
      </c>
      <c r="D283" s="249">
        <f t="shared" si="289"/>
        <v>3.5491934224533086</v>
      </c>
      <c r="E283" s="249">
        <f t="shared" si="289"/>
        <v>3.7755194665760889</v>
      </c>
      <c r="F283" s="249">
        <f t="shared" si="289"/>
        <v>3.9986086865711323</v>
      </c>
      <c r="G283" s="249">
        <f t="shared" si="289"/>
        <v>4.2166977525924576</v>
      </c>
      <c r="H283" s="249">
        <f t="shared" si="289"/>
        <v>4.4280074072406785</v>
      </c>
      <c r="I283" s="249">
        <f t="shared" si="289"/>
        <v>4.6407564690074041</v>
      </c>
      <c r="J283" s="249">
        <f t="shared" si="289"/>
        <v>4.854506077007132</v>
      </c>
      <c r="K283" s="249">
        <f t="shared" si="289"/>
        <v>5.0687964694683565</v>
      </c>
      <c r="L283" s="249">
        <f t="shared" si="289"/>
        <v>5.2831476391240288</v>
      </c>
      <c r="M283" s="249">
        <f t="shared" si="289"/>
        <v>5.4970600873859423</v>
      </c>
      <c r="N283" s="249">
        <f t="shared" si="289"/>
        <v>5.7018458407059232</v>
      </c>
      <c r="O283" s="249">
        <f t="shared" si="289"/>
        <v>5.8960781131802333</v>
      </c>
      <c r="P283" s="249">
        <f t="shared" si="289"/>
        <v>6.0785560963134992</v>
      </c>
      <c r="Q283" s="249">
        <f t="shared" si="289"/>
        <v>6.2477753475169431</v>
      </c>
      <c r="R283" s="249">
        <f t="shared" si="289"/>
        <v>6.4024761045932879</v>
      </c>
      <c r="S283" s="249">
        <f t="shared" si="289"/>
        <v>6.5532698372269103</v>
      </c>
      <c r="T283" s="249">
        <f t="shared" si="289"/>
        <v>6.6998335927811752</v>
      </c>
      <c r="U283" s="249">
        <f t="shared" si="289"/>
        <v>6.8418381088949918</v>
      </c>
      <c r="V283" s="249">
        <f t="shared" si="289"/>
        <v>6.9789479588204815</v>
      </c>
      <c r="W283" s="249">
        <f t="shared" si="289"/>
        <v>7.1108217065267816</v>
      </c>
      <c r="X283" s="249">
        <f t="shared" si="289"/>
        <v>7.237191784135212</v>
      </c>
      <c r="Y283" s="249">
        <f t="shared" si="289"/>
        <v>7.3577093438264987</v>
      </c>
      <c r="Z283" s="249">
        <f t="shared" si="289"/>
        <v>7.4723607780913506</v>
      </c>
      <c r="AA283" s="249">
        <f t="shared" si="289"/>
        <v>7.5804542970281075</v>
      </c>
      <c r="AB283" s="249">
        <f t="shared" si="289"/>
        <v>7.6816228993247453</v>
      </c>
      <c r="AC283" s="249">
        <f t="shared" si="289"/>
        <v>7.7755676232718862</v>
      </c>
      <c r="AD283" s="249">
        <f t="shared" si="289"/>
        <v>7.8619132478999978</v>
      </c>
      <c r="AE283" s="249">
        <f t="shared" si="289"/>
        <v>7.9402789956652686</v>
      </c>
      <c r="AF283" s="249">
        <f t="shared" si="289"/>
        <v>8.010278691197227</v>
      </c>
      <c r="AG283" s="249">
        <f t="shared" si="289"/>
        <v>8.0715209280765361</v>
      </c>
      <c r="AI283" s="316"/>
      <c r="AJ283" s="211"/>
    </row>
    <row r="284" spans="1:36" s="67" customFormat="1">
      <c r="A284" s="345" t="s">
        <v>1381</v>
      </c>
      <c r="B284" s="308" t="s">
        <v>704</v>
      </c>
      <c r="C284" s="309">
        <f>C250*C$269</f>
        <v>20.113754003127021</v>
      </c>
      <c r="D284" s="309">
        <f t="shared" ref="D284:AG284" si="290">D250*D$269</f>
        <v>21.337954036132523</v>
      </c>
      <c r="E284" s="309">
        <f t="shared" si="290"/>
        <v>22.553652551773272</v>
      </c>
      <c r="F284" s="309">
        <f t="shared" si="290"/>
        <v>23.75275812206797</v>
      </c>
      <c r="G284" s="309">
        <f t="shared" si="290"/>
        <v>24.927019530450892</v>
      </c>
      <c r="H284" s="309">
        <f t="shared" si="290"/>
        <v>26.068119946031491</v>
      </c>
      <c r="I284" s="309">
        <f t="shared" si="290"/>
        <v>27.226388248007769</v>
      </c>
      <c r="J284" s="309">
        <f t="shared" si="290"/>
        <v>28.400796339789263</v>
      </c>
      <c r="K284" s="309">
        <f t="shared" si="290"/>
        <v>29.590261572514287</v>
      </c>
      <c r="L284" s="309">
        <f t="shared" si="290"/>
        <v>30.793647986915719</v>
      </c>
      <c r="M284" s="309">
        <f t="shared" si="290"/>
        <v>32.009767734702443</v>
      </c>
      <c r="N284" s="309">
        <f t="shared" si="290"/>
        <v>32.920695787253649</v>
      </c>
      <c r="O284" s="309">
        <f t="shared" si="290"/>
        <v>33.767996265302855</v>
      </c>
      <c r="P284" s="309">
        <f t="shared" si="290"/>
        <v>34.547336150123982</v>
      </c>
      <c r="Q284" s="309">
        <f t="shared" si="290"/>
        <v>35.252526776258229</v>
      </c>
      <c r="R284" s="309">
        <f t="shared" si="290"/>
        <v>35.878922306682803</v>
      </c>
      <c r="S284" s="309">
        <f t="shared" si="290"/>
        <v>36.487995162521898</v>
      </c>
      <c r="T284" s="309">
        <f t="shared" si="290"/>
        <v>37.079112168993369</v>
      </c>
      <c r="U284" s="309">
        <f t="shared" si="290"/>
        <v>37.651644001597674</v>
      </c>
      <c r="V284" s="309">
        <f t="shared" si="290"/>
        <v>38.204965725587819</v>
      </c>
      <c r="W284" s="309">
        <f t="shared" si="290"/>
        <v>38.738457338335209</v>
      </c>
      <c r="X284" s="309">
        <f t="shared" si="290"/>
        <v>38.780334767265636</v>
      </c>
      <c r="Y284" s="309">
        <f t="shared" si="290"/>
        <v>38.775555694135655</v>
      </c>
      <c r="Z284" s="309">
        <f t="shared" si="290"/>
        <v>38.725035050803157</v>
      </c>
      <c r="AA284" s="309">
        <f t="shared" si="290"/>
        <v>38.625930176590664</v>
      </c>
      <c r="AB284" s="309">
        <f t="shared" si="290"/>
        <v>38.477305270609911</v>
      </c>
      <c r="AC284" s="309">
        <f t="shared" si="290"/>
        <v>38.278602664505804</v>
      </c>
      <c r="AD284" s="309">
        <f t="shared" si="290"/>
        <v>38.028913298337343</v>
      </c>
      <c r="AE284" s="309">
        <f t="shared" si="290"/>
        <v>37.72734313350734</v>
      </c>
      <c r="AF284" s="309">
        <f t="shared" si="290"/>
        <v>37.373013933835836</v>
      </c>
      <c r="AG284" s="309">
        <f t="shared" si="290"/>
        <v>36.965064045169541</v>
      </c>
      <c r="AI284" s="337"/>
      <c r="AJ284" s="348"/>
    </row>
    <row r="285" spans="1:36">
      <c r="A285" s="346" t="s">
        <v>1382</v>
      </c>
      <c r="B285" s="302" t="s">
        <v>704</v>
      </c>
      <c r="C285" s="249">
        <f t="shared" ref="C285:AG285" si="291">C251*C$269</f>
        <v>46.513056132231235</v>
      </c>
      <c r="D285" s="249">
        <f t="shared" si="291"/>
        <v>47.967376512676935</v>
      </c>
      <c r="E285" s="249">
        <f t="shared" si="291"/>
        <v>49.336114957004028</v>
      </c>
      <c r="F285" s="249">
        <f t="shared" si="291"/>
        <v>50.609569862360729</v>
      </c>
      <c r="G285" s="249">
        <f t="shared" si="291"/>
        <v>51.778551598179234</v>
      </c>
      <c r="H285" s="249">
        <f t="shared" si="291"/>
        <v>52.834493104903103</v>
      </c>
      <c r="I285" s="249">
        <f t="shared" si="291"/>
        <v>53.885560074182031</v>
      </c>
      <c r="J285" s="249">
        <f t="shared" si="291"/>
        <v>54.93059427205862</v>
      </c>
      <c r="K285" s="249">
        <f t="shared" si="291"/>
        <v>55.968422382222734</v>
      </c>
      <c r="L285" s="249">
        <f t="shared" si="291"/>
        <v>56.997858052704565</v>
      </c>
      <c r="M285" s="249">
        <f t="shared" si="291"/>
        <v>58.017704019148162</v>
      </c>
      <c r="N285" s="249">
        <f t="shared" si="291"/>
        <v>58.464345414863551</v>
      </c>
      <c r="O285" s="249">
        <f t="shared" si="291"/>
        <v>58.792493497625493</v>
      </c>
      <c r="P285" s="249">
        <f t="shared" si="291"/>
        <v>59.001627872668124</v>
      </c>
      <c r="Q285" s="249">
        <f t="shared" si="291"/>
        <v>59.088042039750988</v>
      </c>
      <c r="R285" s="249">
        <f t="shared" si="291"/>
        <v>59.050726296415426</v>
      </c>
      <c r="S285" s="249">
        <f t="shared" si="291"/>
        <v>58.995535656794893</v>
      </c>
      <c r="T285" s="249">
        <f t="shared" si="291"/>
        <v>58.9222593642913</v>
      </c>
      <c r="U285" s="249">
        <f t="shared" si="291"/>
        <v>58.830693752496337</v>
      </c>
      <c r="V285" s="249">
        <f t="shared" si="291"/>
        <v>58.720642473639394</v>
      </c>
      <c r="W285" s="249">
        <f t="shared" si="291"/>
        <v>58.59191672423195</v>
      </c>
      <c r="X285" s="249">
        <f t="shared" si="291"/>
        <v>57.742777870377083</v>
      </c>
      <c r="Y285" s="249">
        <f t="shared" si="291"/>
        <v>56.858386955343079</v>
      </c>
      <c r="Z285" s="249">
        <f t="shared" si="291"/>
        <v>55.941235775039878</v>
      </c>
      <c r="AA285" s="249">
        <f t="shared" si="291"/>
        <v>54.98830337639636</v>
      </c>
      <c r="AB285" s="249">
        <f t="shared" si="291"/>
        <v>53.999400010458153</v>
      </c>
      <c r="AC285" s="249">
        <f t="shared" si="291"/>
        <v>52.974851901771345</v>
      </c>
      <c r="AD285" s="249">
        <f t="shared" si="291"/>
        <v>51.914470456611753</v>
      </c>
      <c r="AE285" s="249">
        <f t="shared" si="291"/>
        <v>50.818080729400961</v>
      </c>
      <c r="AF285" s="249">
        <f t="shared" si="291"/>
        <v>49.685521702292256</v>
      </c>
      <c r="AG285" s="249">
        <f t="shared" si="291"/>
        <v>48.516646559285014</v>
      </c>
      <c r="AI285" s="296"/>
    </row>
    <row r="286" spans="1:36">
      <c r="A286" s="346" t="s">
        <v>1383</v>
      </c>
      <c r="B286" s="302" t="s">
        <v>704</v>
      </c>
      <c r="C286" s="249">
        <f t="shared" ref="C286:AG286" si="292">C252*C$269</f>
        <v>10.05687700156351</v>
      </c>
      <c r="D286" s="249">
        <f t="shared" si="292"/>
        <v>10.023675988747737</v>
      </c>
      <c r="E286" s="249">
        <f t="shared" si="292"/>
        <v>9.9553231966811691</v>
      </c>
      <c r="F286" s="249">
        <f t="shared" si="292"/>
        <v>9.8519962665395546</v>
      </c>
      <c r="G286" s="249">
        <f t="shared" si="292"/>
        <v>9.7142061405433591</v>
      </c>
      <c r="H286" s="249">
        <f t="shared" si="292"/>
        <v>9.5427939088150957</v>
      </c>
      <c r="I286" s="249">
        <f t="shared" si="292"/>
        <v>9.3590709602526658</v>
      </c>
      <c r="J286" s="249">
        <f t="shared" si="292"/>
        <v>9.163094765033355</v>
      </c>
      <c r="K286" s="249">
        <f t="shared" si="292"/>
        <v>8.9549475811556345</v>
      </c>
      <c r="L286" s="249">
        <f t="shared" si="292"/>
        <v>8.7347366885962803</v>
      </c>
      <c r="M286" s="249">
        <f t="shared" si="292"/>
        <v>8.5025945545303312</v>
      </c>
      <c r="N286" s="249">
        <f t="shared" si="292"/>
        <v>8.1799899593328362</v>
      </c>
      <c r="O286" s="249">
        <f t="shared" si="292"/>
        <v>7.8389991330167303</v>
      </c>
      <c r="P286" s="249">
        <f t="shared" si="292"/>
        <v>7.4819085557681255</v>
      </c>
      <c r="Q286" s="249">
        <f t="shared" si="292"/>
        <v>7.110594889529354</v>
      </c>
      <c r="R286" s="249">
        <f t="shared" si="292"/>
        <v>6.7272979325030215</v>
      </c>
      <c r="S286" s="249">
        <f t="shared" si="292"/>
        <v>6.3457382891342382</v>
      </c>
      <c r="T286" s="249">
        <f t="shared" si="292"/>
        <v>5.9661869314470675</v>
      </c>
      <c r="U286" s="249">
        <f t="shared" si="292"/>
        <v>5.5889159064871503</v>
      </c>
      <c r="V286" s="249">
        <f t="shared" si="292"/>
        <v>5.2141981283646581</v>
      </c>
      <c r="W286" s="249">
        <f t="shared" si="292"/>
        <v>4.8423071672918949</v>
      </c>
      <c r="X286" s="249">
        <f t="shared" si="292"/>
        <v>4.4198175653868859</v>
      </c>
      <c r="Y286" s="249">
        <f t="shared" si="292"/>
        <v>4.0080502279995924</v>
      </c>
      <c r="Z286" s="249">
        <f t="shared" si="292"/>
        <v>3.60763887855359</v>
      </c>
      <c r="AA286" s="249">
        <f t="shared" si="292"/>
        <v>3.218827514715882</v>
      </c>
      <c r="AB286" s="249">
        <f t="shared" si="292"/>
        <v>2.8420736847609529</v>
      </c>
      <c r="AC286" s="249">
        <f t="shared" si="292"/>
        <v>2.4778559760505927</v>
      </c>
      <c r="AD286" s="249">
        <f t="shared" si="292"/>
        <v>2.1266168620780692</v>
      </c>
      <c r="AE286" s="249">
        <f t="shared" si="292"/>
        <v>1.7887964416749109</v>
      </c>
      <c r="AF286" s="249">
        <f t="shared" si="292"/>
        <v>1.4648321139321192</v>
      </c>
      <c r="AG286" s="249">
        <f t="shared" si="292"/>
        <v>1.1551582514115482</v>
      </c>
      <c r="AI286" s="296"/>
    </row>
    <row r="287" spans="1:36">
      <c r="A287" s="346" t="s">
        <v>1384</v>
      </c>
      <c r="B287" s="302" t="s">
        <v>704</v>
      </c>
      <c r="C287" s="249">
        <f t="shared" ref="C287:AG287" si="293">C253*C$269</f>
        <v>33.941959880276848</v>
      </c>
      <c r="D287" s="249">
        <f t="shared" si="293"/>
        <v>34.373034828366706</v>
      </c>
      <c r="E287" s="249">
        <f t="shared" si="293"/>
        <v>34.711480880463554</v>
      </c>
      <c r="F287" s="249">
        <f t="shared" si="293"/>
        <v>34.954342918270491</v>
      </c>
      <c r="G287" s="249">
        <f t="shared" si="293"/>
        <v>35.099442941774612</v>
      </c>
      <c r="H287" s="249">
        <f t="shared" si="293"/>
        <v>35.145411712953191</v>
      </c>
      <c r="I287" s="249">
        <f t="shared" si="293"/>
        <v>35.167418153676714</v>
      </c>
      <c r="J287" s="249">
        <f t="shared" si="293"/>
        <v>35.165175197745846</v>
      </c>
      <c r="K287" s="249">
        <f t="shared" si="293"/>
        <v>35.138435617360727</v>
      </c>
      <c r="L287" s="249">
        <f t="shared" si="293"/>
        <v>35.086993138937636</v>
      </c>
      <c r="M287" s="249">
        <f t="shared" si="293"/>
        <v>35.010683459830808</v>
      </c>
      <c r="N287" s="249">
        <f t="shared" si="293"/>
        <v>34.57676737411245</v>
      </c>
      <c r="O287" s="249">
        <f t="shared" si="293"/>
        <v>34.069496231957359</v>
      </c>
      <c r="P287" s="249">
        <f t="shared" si="293"/>
        <v>33.492838971123113</v>
      </c>
      <c r="Q287" s="249">
        <f t="shared" si="293"/>
        <v>32.848945405149721</v>
      </c>
      <c r="R287" s="249">
        <f t="shared" si="293"/>
        <v>32.141534566403351</v>
      </c>
      <c r="S287" s="249">
        <f t="shared" si="293"/>
        <v>31.431234963368048</v>
      </c>
      <c r="T287" s="249">
        <f t="shared" si="293"/>
        <v>30.718466597450625</v>
      </c>
      <c r="U287" s="249">
        <f t="shared" si="293"/>
        <v>30.003653813773145</v>
      </c>
      <c r="V287" s="249">
        <f t="shared" si="293"/>
        <v>29.287225001375347</v>
      </c>
      <c r="W287" s="249">
        <f t="shared" si="293"/>
        <v>28.569612287022203</v>
      </c>
      <c r="X287" s="249">
        <f t="shared" si="293"/>
        <v>27.51692871353773</v>
      </c>
      <c r="Y287" s="249">
        <f t="shared" si="293"/>
        <v>26.47177359888105</v>
      </c>
      <c r="Z287" s="249">
        <f t="shared" si="293"/>
        <v>25.436137409548749</v>
      </c>
      <c r="AA287" s="249">
        <f t="shared" si="293"/>
        <v>24.409441986595461</v>
      </c>
      <c r="AB287" s="249">
        <f t="shared" si="293"/>
        <v>23.392452636109404</v>
      </c>
      <c r="AC287" s="249">
        <f t="shared" si="293"/>
        <v>22.386147093974348</v>
      </c>
      <c r="AD287" s="249">
        <f t="shared" si="293"/>
        <v>21.391263730314723</v>
      </c>
      <c r="AE287" s="249">
        <f t="shared" si="293"/>
        <v>20.408541220927425</v>
      </c>
      <c r="AF287" s="249">
        <f t="shared" si="293"/>
        <v>19.438718052450593</v>
      </c>
      <c r="AG287" s="249">
        <f t="shared" si="293"/>
        <v>18.48253202258477</v>
      </c>
      <c r="AI287" s="296"/>
    </row>
    <row r="288" spans="1:36">
      <c r="A288" s="346" t="s">
        <v>1385</v>
      </c>
      <c r="B288" s="302" t="s">
        <v>704</v>
      </c>
      <c r="C288" s="249">
        <f t="shared" ref="C288:AG288" si="294">C254*C$269</f>
        <v>8.7997673763680719</v>
      </c>
      <c r="D288" s="249">
        <f t="shared" si="294"/>
        <v>8.9911943418380993</v>
      </c>
      <c r="E288" s="249">
        <f t="shared" si="294"/>
        <v>9.1624213491578903</v>
      </c>
      <c r="F288" s="249">
        <f t="shared" si="294"/>
        <v>9.3121608546743744</v>
      </c>
      <c r="G288" s="249">
        <f t="shared" si="294"/>
        <v>9.4392757780751531</v>
      </c>
      <c r="H288" s="249">
        <f t="shared" si="294"/>
        <v>9.5427939088150975</v>
      </c>
      <c r="I288" s="249">
        <f t="shared" si="294"/>
        <v>9.6426791711694158</v>
      </c>
      <c r="J288" s="249">
        <f t="shared" si="294"/>
        <v>9.7387865827317892</v>
      </c>
      <c r="K288" s="249">
        <f t="shared" si="294"/>
        <v>9.8309750619208618</v>
      </c>
      <c r="L288" s="249">
        <f t="shared" si="294"/>
        <v>9.9191077650161183</v>
      </c>
      <c r="M288" s="249">
        <f t="shared" si="294"/>
        <v>10.003052417094509</v>
      </c>
      <c r="N288" s="249">
        <f t="shared" si="294"/>
        <v>9.9866135086333419</v>
      </c>
      <c r="O288" s="249">
        <f t="shared" si="294"/>
        <v>9.9494988995981579</v>
      </c>
      <c r="P288" s="249">
        <f t="shared" si="294"/>
        <v>9.8921878220558437</v>
      </c>
      <c r="Q288" s="249">
        <f t="shared" si="294"/>
        <v>9.8146239320264321</v>
      </c>
      <c r="R288" s="249">
        <f t="shared" si="294"/>
        <v>9.7172081247265858</v>
      </c>
      <c r="S288" s="249">
        <f t="shared" si="294"/>
        <v>9.6177595944690797</v>
      </c>
      <c r="T288" s="249">
        <f t="shared" si="294"/>
        <v>9.5163146923081303</v>
      </c>
      <c r="U288" s="249">
        <f t="shared" si="294"/>
        <v>9.4129110003994096</v>
      </c>
      <c r="V288" s="249">
        <f t="shared" si="294"/>
        <v>9.3075873132490603</v>
      </c>
      <c r="W288" s="249">
        <f t="shared" si="294"/>
        <v>9.2003836178545981</v>
      </c>
      <c r="X288" s="249">
        <f t="shared" si="294"/>
        <v>8.9822098909475407</v>
      </c>
      <c r="Y288" s="249">
        <f t="shared" si="294"/>
        <v>8.7617842193479447</v>
      </c>
      <c r="Z288" s="249">
        <f t="shared" si="294"/>
        <v>8.5396008897407754</v>
      </c>
      <c r="AA288" s="249">
        <f t="shared" si="294"/>
        <v>8.3153044130160296</v>
      </c>
      <c r="AB288" s="249">
        <f t="shared" si="294"/>
        <v>8.0889789489350221</v>
      </c>
      <c r="AC288" s="249">
        <f t="shared" si="294"/>
        <v>7.8607844757467129</v>
      </c>
      <c r="AD288" s="249">
        <f t="shared" si="294"/>
        <v>7.6308016815742548</v>
      </c>
      <c r="AE288" s="249">
        <f t="shared" si="294"/>
        <v>7.3991125542007774</v>
      </c>
      <c r="AF288" s="249">
        <f t="shared" si="294"/>
        <v>7.1658003411274063</v>
      </c>
      <c r="AG288" s="249">
        <f t="shared" si="294"/>
        <v>6.930949508469288</v>
      </c>
      <c r="AI288" s="296"/>
    </row>
    <row r="289" spans="1:36" s="68" customFormat="1">
      <c r="A289" s="347" t="s">
        <v>1386</v>
      </c>
      <c r="B289" s="312" t="s">
        <v>704</v>
      </c>
      <c r="C289" s="313">
        <f t="shared" ref="C289:AG289" si="295">C255*C$269</f>
        <v>6.2855481259771935</v>
      </c>
      <c r="D289" s="313">
        <f t="shared" si="295"/>
        <v>6.3669701559427683</v>
      </c>
      <c r="E289" s="313">
        <f t="shared" si="295"/>
        <v>6.4313149854665967</v>
      </c>
      <c r="F289" s="313">
        <f t="shared" si="295"/>
        <v>6.4780249423821736</v>
      </c>
      <c r="G289" s="313">
        <f t="shared" si="295"/>
        <v>6.5066852450809307</v>
      </c>
      <c r="H289" s="313">
        <f t="shared" si="295"/>
        <v>6.5170299865078718</v>
      </c>
      <c r="I289" s="313">
        <f t="shared" si="295"/>
        <v>6.5229888510851932</v>
      </c>
      <c r="J289" s="313">
        <f t="shared" si="295"/>
        <v>6.5245072672488833</v>
      </c>
      <c r="K289" s="313">
        <f t="shared" si="295"/>
        <v>6.5215379123633443</v>
      </c>
      <c r="L289" s="313">
        <f t="shared" si="295"/>
        <v>6.5140409203090925</v>
      </c>
      <c r="M289" s="313">
        <f t="shared" si="295"/>
        <v>6.5019840711114307</v>
      </c>
      <c r="N289" s="313">
        <f t="shared" si="295"/>
        <v>6.423550397512904</v>
      </c>
      <c r="O289" s="313">
        <f t="shared" si="295"/>
        <v>6.3314992997442827</v>
      </c>
      <c r="P289" s="313">
        <f t="shared" si="295"/>
        <v>6.2265547712432729</v>
      </c>
      <c r="Q289" s="313">
        <f t="shared" si="295"/>
        <v>6.1091026515674729</v>
      </c>
      <c r="R289" s="313">
        <f t="shared" si="295"/>
        <v>5.9798203844471294</v>
      </c>
      <c r="S289" s="313">
        <f t="shared" si="295"/>
        <v>5.849977485295625</v>
      </c>
      <c r="T289" s="313">
        <f t="shared" si="295"/>
        <v>5.7196502813872705</v>
      </c>
      <c r="U289" s="313">
        <f t="shared" si="295"/>
        <v>5.5889159064871485</v>
      </c>
      <c r="V289" s="313">
        <f t="shared" si="295"/>
        <v>5.4578522465125383</v>
      </c>
      <c r="W289" s="313">
        <f t="shared" si="295"/>
        <v>5.3265378840210831</v>
      </c>
      <c r="X289" s="313">
        <f t="shared" si="295"/>
        <v>5.1326913662557372</v>
      </c>
      <c r="Y289" s="313">
        <f t="shared" si="295"/>
        <v>4.9401549321855427</v>
      </c>
      <c r="Z289" s="313">
        <f t="shared" si="295"/>
        <v>4.7492967515135849</v>
      </c>
      <c r="AA289" s="313">
        <f t="shared" si="295"/>
        <v>4.5600056458474985</v>
      </c>
      <c r="AB289" s="313">
        <f t="shared" si="295"/>
        <v>4.3724210534783881</v>
      </c>
      <c r="AC289" s="313">
        <f t="shared" si="295"/>
        <v>4.1867221664303109</v>
      </c>
      <c r="AD289" s="313">
        <f t="shared" si="295"/>
        <v>4.0030435050881303</v>
      </c>
      <c r="AE289" s="313">
        <f t="shared" si="295"/>
        <v>3.8215196708509471</v>
      </c>
      <c r="AF289" s="313">
        <f t="shared" si="295"/>
        <v>3.6422852562636501</v>
      </c>
      <c r="AG289" s="313">
        <f t="shared" si="295"/>
        <v>3.465474754234644</v>
      </c>
      <c r="AI289" s="314"/>
      <c r="AJ289" s="315"/>
    </row>
    <row r="290" spans="1:36" s="181" customFormat="1">
      <c r="B290" s="176"/>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J290" s="323"/>
    </row>
    <row r="291" spans="1:36" s="181" customFormat="1">
      <c r="A291" s="181" t="s">
        <v>1390</v>
      </c>
      <c r="B291" s="350" t="s">
        <v>704</v>
      </c>
      <c r="C291" s="230">
        <f>C224</f>
        <v>17.861834618571326</v>
      </c>
      <c r="D291" s="230">
        <f t="shared" ref="D291:AG291" si="296">D224</f>
        <v>19.325366739382417</v>
      </c>
      <c r="E291" s="230">
        <f t="shared" si="296"/>
        <v>20.808478700996968</v>
      </c>
      <c r="F291" s="230">
        <f t="shared" si="296"/>
        <v>22.302197361971409</v>
      </c>
      <c r="G291" s="230">
        <f t="shared" si="296"/>
        <v>23.797049714397264</v>
      </c>
      <c r="H291" s="230">
        <f t="shared" si="296"/>
        <v>25.283160777666151</v>
      </c>
      <c r="I291" s="230">
        <f t="shared" si="296"/>
        <v>26.808073759415315</v>
      </c>
      <c r="J291" s="230">
        <f t="shared" si="296"/>
        <v>28.371073711726893</v>
      </c>
      <c r="K291" s="230">
        <f t="shared" si="296"/>
        <v>29.971354992401888</v>
      </c>
      <c r="L291" s="230">
        <f t="shared" si="296"/>
        <v>31.608020522894599</v>
      </c>
      <c r="M291" s="230">
        <f t="shared" si="296"/>
        <v>33.280081282392317</v>
      </c>
      <c r="N291" s="230">
        <f t="shared" si="296"/>
        <v>36.167180473262178</v>
      </c>
      <c r="O291" s="230">
        <f t="shared" si="296"/>
        <v>39.065428161327972</v>
      </c>
      <c r="P291" s="230">
        <f t="shared" si="296"/>
        <v>41.960592578982194</v>
      </c>
      <c r="Q291" s="230">
        <f t="shared" si="296"/>
        <v>44.836499658987741</v>
      </c>
      <c r="R291" s="230">
        <f t="shared" si="296"/>
        <v>47.677381042904841</v>
      </c>
      <c r="S291" s="230">
        <f t="shared" si="296"/>
        <v>50.558267947387201</v>
      </c>
      <c r="T291" s="230">
        <f t="shared" si="296"/>
        <v>53.4787311515691</v>
      </c>
      <c r="U291" s="230">
        <f t="shared" si="296"/>
        <v>56.438317342824988</v>
      </c>
      <c r="V291" s="230">
        <f t="shared" si="296"/>
        <v>59.436549078771719</v>
      </c>
      <c r="W291" s="230">
        <f t="shared" si="296"/>
        <v>62.472924765866459</v>
      </c>
      <c r="X291" s="230">
        <f t="shared" si="296"/>
        <v>67.281471053264212</v>
      </c>
      <c r="Y291" s="230">
        <f t="shared" si="296"/>
        <v>72.155165563138681</v>
      </c>
      <c r="Z291" s="230">
        <f t="shared" si="296"/>
        <v>77.096460945816503</v>
      </c>
      <c r="AA291" s="230">
        <f t="shared" si="296"/>
        <v>82.102007498591519</v>
      </c>
      <c r="AB291" s="230">
        <f t="shared" si="296"/>
        <v>87.171046961369726</v>
      </c>
      <c r="AC291" s="230">
        <f t="shared" si="296"/>
        <v>92.303657731265673</v>
      </c>
      <c r="AD291" s="230">
        <f t="shared" si="296"/>
        <v>97.499158120283681</v>
      </c>
      <c r="AE291" s="230">
        <f t="shared" si="296"/>
        <v>102.75683424854462</v>
      </c>
      <c r="AF291" s="230">
        <f t="shared" si="296"/>
        <v>108.07594003255964</v>
      </c>
      <c r="AG291" s="230">
        <f t="shared" si="296"/>
        <v>113.45569719217102</v>
      </c>
      <c r="AI291" s="763" t="s">
        <v>1391</v>
      </c>
      <c r="AJ291" s="323"/>
    </row>
    <row r="292" spans="1:36" s="181" customFormat="1">
      <c r="A292" s="181" t="s">
        <v>1392</v>
      </c>
      <c r="B292" s="349" t="s">
        <v>704</v>
      </c>
      <c r="C292" s="249">
        <f>C291/(1-C249)</f>
        <v>24.468266600782638</v>
      </c>
      <c r="D292" s="249">
        <f t="shared" ref="D292:AG292" si="297">D291/(1-D249)</f>
        <v>26.328837519594575</v>
      </c>
      <c r="E292" s="249">
        <f t="shared" si="297"/>
        <v>28.195770597556869</v>
      </c>
      <c r="F292" s="249">
        <f t="shared" si="297"/>
        <v>30.056869760069283</v>
      </c>
      <c r="G292" s="249">
        <f t="shared" si="297"/>
        <v>31.899530448253707</v>
      </c>
      <c r="H292" s="249">
        <f t="shared" si="297"/>
        <v>33.710881036888203</v>
      </c>
      <c r="I292" s="249">
        <f t="shared" si="297"/>
        <v>35.554474481983178</v>
      </c>
      <c r="J292" s="249">
        <f t="shared" si="297"/>
        <v>37.428857139481387</v>
      </c>
      <c r="K292" s="249">
        <f t="shared" si="297"/>
        <v>39.332486866669143</v>
      </c>
      <c r="L292" s="249">
        <f t="shared" si="297"/>
        <v>41.263734364092166</v>
      </c>
      <c r="M292" s="249">
        <f t="shared" si="297"/>
        <v>43.22088478232768</v>
      </c>
      <c r="N292" s="249">
        <f t="shared" si="297"/>
        <v>46.72762335046793</v>
      </c>
      <c r="O292" s="249">
        <f t="shared" si="297"/>
        <v>50.21263259810793</v>
      </c>
      <c r="P292" s="249">
        <f t="shared" si="297"/>
        <v>53.658046776192059</v>
      </c>
      <c r="Q292" s="249">
        <f t="shared" si="297"/>
        <v>57.043892695913151</v>
      </c>
      <c r="R292" s="249">
        <f t="shared" si="297"/>
        <v>60.35111524418334</v>
      </c>
      <c r="S292" s="249">
        <f t="shared" si="297"/>
        <v>63.675400437515364</v>
      </c>
      <c r="T292" s="249">
        <f t="shared" si="297"/>
        <v>67.015953824021423</v>
      </c>
      <c r="U292" s="249">
        <f t="shared" si="297"/>
        <v>70.371966761627164</v>
      </c>
      <c r="V292" s="249">
        <f t="shared" si="297"/>
        <v>73.742616723041834</v>
      </c>
      <c r="W292" s="249">
        <f t="shared" si="297"/>
        <v>77.127067612180809</v>
      </c>
      <c r="X292" s="249">
        <f t="shared" si="297"/>
        <v>82.655369844304929</v>
      </c>
      <c r="Y292" s="249">
        <f t="shared" si="297"/>
        <v>88.20924885469276</v>
      </c>
      <c r="Z292" s="249">
        <f t="shared" si="297"/>
        <v>93.79131501924148</v>
      </c>
      <c r="AA292" s="249">
        <f t="shared" si="297"/>
        <v>99.397103509190686</v>
      </c>
      <c r="AB292" s="249">
        <f t="shared" si="297"/>
        <v>105.0253577847828</v>
      </c>
      <c r="AC292" s="249">
        <f t="shared" si="297"/>
        <v>110.67584859863989</v>
      </c>
      <c r="AD292" s="249">
        <f t="shared" si="297"/>
        <v>116.34744405761775</v>
      </c>
      <c r="AE292" s="249">
        <f t="shared" si="297"/>
        <v>122.0389955445898</v>
      </c>
      <c r="AF292" s="249">
        <f t="shared" si="297"/>
        <v>127.74933809995228</v>
      </c>
      <c r="AG292" s="249">
        <f t="shared" si="297"/>
        <v>133.47729081431885</v>
      </c>
      <c r="AI292" s="763"/>
      <c r="AJ292" s="323"/>
    </row>
    <row r="293" spans="1:36" s="181" customFormat="1">
      <c r="A293" s="181" t="s">
        <v>1393</v>
      </c>
      <c r="B293" s="349" t="s">
        <v>704</v>
      </c>
      <c r="C293" s="249">
        <f>C281</f>
        <v>17.185663817432385</v>
      </c>
      <c r="D293" s="249">
        <f t="shared" ref="D293:AG293" si="298">D281</f>
        <v>18.019299613788093</v>
      </c>
      <c r="E293" s="249">
        <f t="shared" si="298"/>
        <v>18.841248513923631</v>
      </c>
      <c r="F293" s="249">
        <f t="shared" si="298"/>
        <v>19.646428013807959</v>
      </c>
      <c r="G293" s="249">
        <f t="shared" si="298"/>
        <v>20.429682757804446</v>
      </c>
      <c r="H293" s="249">
        <f t="shared" si="298"/>
        <v>21.185838669644895</v>
      </c>
      <c r="I293" s="249">
        <f t="shared" si="298"/>
        <v>21.957028691073283</v>
      </c>
      <c r="J293" s="249">
        <f t="shared" si="298"/>
        <v>22.742918153418014</v>
      </c>
      <c r="K293" s="249">
        <f t="shared" si="298"/>
        <v>23.543136790953195</v>
      </c>
      <c r="L293" s="249">
        <f t="shared" si="298"/>
        <v>24.357278351599724</v>
      </c>
      <c r="M293" s="249">
        <f t="shared" si="298"/>
        <v>25.184900291664995</v>
      </c>
      <c r="N293" s="249">
        <f t="shared" si="298"/>
        <v>25.988286482551619</v>
      </c>
      <c r="O293" s="249">
        <f t="shared" si="298"/>
        <v>26.763335240106212</v>
      </c>
      <c r="P293" s="249">
        <f t="shared" si="298"/>
        <v>27.506823257063918</v>
      </c>
      <c r="Q293" s="249">
        <f t="shared" si="298"/>
        <v>28.213970776126796</v>
      </c>
      <c r="R293" s="249">
        <f t="shared" si="298"/>
        <v>28.880899158556883</v>
      </c>
      <c r="S293" s="249">
        <f t="shared" si="298"/>
        <v>29.557030682138294</v>
      </c>
      <c r="T293" s="249">
        <f t="shared" si="298"/>
        <v>30.242331398392764</v>
      </c>
      <c r="U293" s="249">
        <f t="shared" si="298"/>
        <v>30.936762605087043</v>
      </c>
      <c r="V293" s="249">
        <f t="shared" si="298"/>
        <v>31.640280785759977</v>
      </c>
      <c r="W293" s="249">
        <f t="shared" si="298"/>
        <v>32.352837551658283</v>
      </c>
      <c r="X293" s="249">
        <f t="shared" si="298"/>
        <v>33.074743881005361</v>
      </c>
      <c r="Y293" s="249">
        <f t="shared" si="298"/>
        <v>33.805966189401602</v>
      </c>
      <c r="Z293" s="249">
        <f t="shared" si="298"/>
        <v>34.548043709831802</v>
      </c>
      <c r="AA293" s="249">
        <f t="shared" si="298"/>
        <v>35.299425199991596</v>
      </c>
      <c r="AB293" s="249">
        <f t="shared" si="298"/>
        <v>36.060065025347257</v>
      </c>
      <c r="AC293" s="249">
        <f t="shared" si="298"/>
        <v>36.83026120754915</v>
      </c>
      <c r="AD293" s="249">
        <f t="shared" si="298"/>
        <v>37.60998155517462</v>
      </c>
      <c r="AE293" s="249">
        <f t="shared" si="298"/>
        <v>38.399189808892359</v>
      </c>
      <c r="AF293" s="249">
        <f t="shared" si="298"/>
        <v>39.197845595233993</v>
      </c>
      <c r="AG293" s="249">
        <f t="shared" si="298"/>
        <v>40.00590438207869</v>
      </c>
      <c r="AI293" s="763"/>
      <c r="AJ293" s="323"/>
    </row>
    <row r="294" spans="1:36" s="181" customFormat="1">
      <c r="A294" s="181" t="s">
        <v>1394</v>
      </c>
      <c r="B294" s="349" t="s">
        <v>704</v>
      </c>
      <c r="C294" s="249">
        <f>C292-C293</f>
        <v>7.2826027833502529</v>
      </c>
      <c r="D294" s="249">
        <f t="shared" ref="D294:AG294" si="299">D292-D293</f>
        <v>8.3095379058064829</v>
      </c>
      <c r="E294" s="249">
        <f t="shared" si="299"/>
        <v>9.3545220836332383</v>
      </c>
      <c r="F294" s="249">
        <f t="shared" si="299"/>
        <v>10.410441746261323</v>
      </c>
      <c r="G294" s="249">
        <f t="shared" si="299"/>
        <v>11.46984769044926</v>
      </c>
      <c r="H294" s="249">
        <f t="shared" si="299"/>
        <v>12.525042367243309</v>
      </c>
      <c r="I294" s="249">
        <f t="shared" si="299"/>
        <v>13.597445790909894</v>
      </c>
      <c r="J294" s="249">
        <f t="shared" si="299"/>
        <v>14.685938986063373</v>
      </c>
      <c r="K294" s="249">
        <f t="shared" si="299"/>
        <v>15.789350075715948</v>
      </c>
      <c r="L294" s="249">
        <f t="shared" si="299"/>
        <v>16.906456012492441</v>
      </c>
      <c r="M294" s="249">
        <f t="shared" si="299"/>
        <v>18.035984490662685</v>
      </c>
      <c r="N294" s="249">
        <f t="shared" si="299"/>
        <v>20.739336867916311</v>
      </c>
      <c r="O294" s="249">
        <f t="shared" si="299"/>
        <v>23.449297358001719</v>
      </c>
      <c r="P294" s="249">
        <f t="shared" si="299"/>
        <v>26.151223519128141</v>
      </c>
      <c r="Q294" s="249">
        <f t="shared" si="299"/>
        <v>28.829921919786354</v>
      </c>
      <c r="R294" s="249">
        <f t="shared" si="299"/>
        <v>31.470216085626458</v>
      </c>
      <c r="S294" s="249">
        <f t="shared" si="299"/>
        <v>34.118369755377074</v>
      </c>
      <c r="T294" s="249">
        <f t="shared" si="299"/>
        <v>36.773622425628659</v>
      </c>
      <c r="U294" s="249">
        <f t="shared" si="299"/>
        <v>39.435204156540124</v>
      </c>
      <c r="V294" s="249">
        <f t="shared" si="299"/>
        <v>42.102335937281858</v>
      </c>
      <c r="W294" s="249">
        <f t="shared" si="299"/>
        <v>44.774230060522527</v>
      </c>
      <c r="X294" s="249">
        <f t="shared" si="299"/>
        <v>49.580625963299568</v>
      </c>
      <c r="Y294" s="249">
        <f t="shared" si="299"/>
        <v>54.403282665291158</v>
      </c>
      <c r="Z294" s="249">
        <f t="shared" si="299"/>
        <v>59.243271309409678</v>
      </c>
      <c r="AA294" s="249">
        <f t="shared" si="299"/>
        <v>64.097678309199097</v>
      </c>
      <c r="AB294" s="249">
        <f t="shared" si="299"/>
        <v>68.965292759435542</v>
      </c>
      <c r="AC294" s="249">
        <f t="shared" si="299"/>
        <v>73.845587391090731</v>
      </c>
      <c r="AD294" s="249">
        <f t="shared" si="299"/>
        <v>78.737462502443123</v>
      </c>
      <c r="AE294" s="249">
        <f t="shared" si="299"/>
        <v>83.639805735697436</v>
      </c>
      <c r="AF294" s="249">
        <f t="shared" si="299"/>
        <v>88.551492504718283</v>
      </c>
      <c r="AG294" s="249">
        <f t="shared" si="299"/>
        <v>93.471386432240166</v>
      </c>
      <c r="AI294" s="763"/>
      <c r="AJ294" s="323"/>
    </row>
    <row r="295" spans="1:36" s="181" customFormat="1">
      <c r="A295" s="181" t="s">
        <v>1395</v>
      </c>
      <c r="B295" s="349" t="s">
        <v>704</v>
      </c>
      <c r="C295" s="249">
        <f>(C294)/(1-C246)</f>
        <v>9.1032534791878152</v>
      </c>
      <c r="D295" s="249">
        <f t="shared" ref="D295:AG295" si="300">(D292-D281)/(1-D246)</f>
        <v>10.343823119261183</v>
      </c>
      <c r="E295" s="249">
        <f t="shared" si="300"/>
        <v>11.596514979710626</v>
      </c>
      <c r="F295" s="249">
        <f t="shared" si="300"/>
        <v>12.852397217606573</v>
      </c>
      <c r="G295" s="249">
        <f t="shared" si="300"/>
        <v>14.10227175055237</v>
      </c>
      <c r="H295" s="249">
        <f t="shared" si="300"/>
        <v>15.336786572134663</v>
      </c>
      <c r="I295" s="249">
        <f t="shared" si="300"/>
        <v>16.582250964524263</v>
      </c>
      <c r="J295" s="249">
        <f t="shared" si="300"/>
        <v>17.837172857566852</v>
      </c>
      <c r="K295" s="249">
        <f t="shared" si="300"/>
        <v>19.100020252882196</v>
      </c>
      <c r="L295" s="249">
        <f t="shared" si="300"/>
        <v>20.369224111436676</v>
      </c>
      <c r="M295" s="249">
        <f t="shared" si="300"/>
        <v>21.643181388795224</v>
      </c>
      <c r="N295" s="249">
        <f t="shared" si="300"/>
        <v>24.78805203336611</v>
      </c>
      <c r="O295" s="249">
        <f t="shared" si="300"/>
        <v>27.915830188097289</v>
      </c>
      <c r="P295" s="249">
        <f t="shared" si="300"/>
        <v>31.009355951535348</v>
      </c>
      <c r="Q295" s="249">
        <f t="shared" si="300"/>
        <v>34.051088881637433</v>
      </c>
      <c r="R295" s="249">
        <f t="shared" si="300"/>
        <v>37.023783630148777</v>
      </c>
      <c r="S295" s="249">
        <f t="shared" si="300"/>
        <v>39.982464557082508</v>
      </c>
      <c r="T295" s="249">
        <f t="shared" si="300"/>
        <v>42.926407500733845</v>
      </c>
      <c r="U295" s="249">
        <f t="shared" si="300"/>
        <v>45.854888554116428</v>
      </c>
      <c r="V295" s="249">
        <f t="shared" si="300"/>
        <v>48.76718448333807</v>
      </c>
      <c r="W295" s="249">
        <f t="shared" si="300"/>
        <v>51.66257314675677</v>
      </c>
      <c r="X295" s="249">
        <f t="shared" si="300"/>
        <v>56.989225245171923</v>
      </c>
      <c r="Y295" s="249">
        <f t="shared" si="300"/>
        <v>62.293835112928818</v>
      </c>
      <c r="Z295" s="249">
        <f t="shared" si="300"/>
        <v>67.577876018338046</v>
      </c>
      <c r="AA295" s="249">
        <f t="shared" si="300"/>
        <v>72.838270805908067</v>
      </c>
      <c r="AB295" s="249">
        <f t="shared" si="300"/>
        <v>78.073916331436479</v>
      </c>
      <c r="AC295" s="249">
        <f t="shared" si="300"/>
        <v>83.284497057621138</v>
      </c>
      <c r="AD295" s="249">
        <f t="shared" si="300"/>
        <v>88.469058991509144</v>
      </c>
      <c r="AE295" s="249">
        <f t="shared" si="300"/>
        <v>93.626648211601633</v>
      </c>
      <c r="AF295" s="249">
        <f t="shared" si="300"/>
        <v>98.756311343551999</v>
      </c>
      <c r="AG295" s="249">
        <f t="shared" si="300"/>
        <v>103.85709603582241</v>
      </c>
      <c r="AI295" s="763"/>
      <c r="AJ295" s="323"/>
    </row>
    <row r="296" spans="1:36" s="181" customFormat="1">
      <c r="A296" s="181" t="s">
        <v>1396</v>
      </c>
      <c r="B296" s="349" t="s">
        <v>704</v>
      </c>
      <c r="C296" s="249">
        <f>IF(C275&gt;C295,C295,C275)</f>
        <v>9.1032534791878152</v>
      </c>
      <c r="D296" s="249">
        <f t="shared" ref="D296:AG296" si="301">IF(D275&gt;D295,D295,D275)</f>
        <v>10.343823119261183</v>
      </c>
      <c r="E296" s="249">
        <f t="shared" si="301"/>
        <v>11.596514979710626</v>
      </c>
      <c r="F296" s="249">
        <f t="shared" si="301"/>
        <v>12.852397217606573</v>
      </c>
      <c r="G296" s="249">
        <f t="shared" si="301"/>
        <v>14.10227175055237</v>
      </c>
      <c r="H296" s="249">
        <f t="shared" si="301"/>
        <v>15.336786572134663</v>
      </c>
      <c r="I296" s="249">
        <f t="shared" si="301"/>
        <v>16.582250964524263</v>
      </c>
      <c r="J296" s="249">
        <f t="shared" si="301"/>
        <v>17.837172857566852</v>
      </c>
      <c r="K296" s="249">
        <f t="shared" si="301"/>
        <v>19.100020252882196</v>
      </c>
      <c r="L296" s="249">
        <f t="shared" si="301"/>
        <v>20.369224111436676</v>
      </c>
      <c r="M296" s="249">
        <f t="shared" si="301"/>
        <v>21.643181388795224</v>
      </c>
      <c r="N296" s="249">
        <f t="shared" si="301"/>
        <v>24.78805203336611</v>
      </c>
      <c r="O296" s="249">
        <f t="shared" si="301"/>
        <v>27.915830188097289</v>
      </c>
      <c r="P296" s="249">
        <f t="shared" si="301"/>
        <v>31.009355951535348</v>
      </c>
      <c r="Q296" s="249">
        <f t="shared" si="301"/>
        <v>34.051088881637433</v>
      </c>
      <c r="R296" s="249">
        <f t="shared" si="301"/>
        <v>35.868213471110884</v>
      </c>
      <c r="S296" s="249">
        <f t="shared" si="301"/>
        <v>37.279675196603357</v>
      </c>
      <c r="T296" s="249">
        <f t="shared" si="301"/>
        <v>38.716917938019691</v>
      </c>
      <c r="U296" s="249">
        <f t="shared" si="301"/>
        <v>40.179927818269896</v>
      </c>
      <c r="V296" s="249">
        <f t="shared" si="301"/>
        <v>41.668677857862249</v>
      </c>
      <c r="W296" s="249">
        <f t="shared" si="301"/>
        <v>43.183127772429891</v>
      </c>
      <c r="X296" s="249">
        <f t="shared" si="301"/>
        <v>44.723716377056114</v>
      </c>
      <c r="Y296" s="249">
        <f t="shared" si="301"/>
        <v>46.290428721331104</v>
      </c>
      <c r="Z296" s="249">
        <f t="shared" si="301"/>
        <v>47.885423878058013</v>
      </c>
      <c r="AA296" s="249">
        <f t="shared" si="301"/>
        <v>49.506624196892098</v>
      </c>
      <c r="AB296" s="249">
        <f t="shared" si="301"/>
        <v>51.153981571530004</v>
      </c>
      <c r="AC296" s="249">
        <f t="shared" si="301"/>
        <v>52.827934753636406</v>
      </c>
      <c r="AD296" s="249">
        <f t="shared" si="301"/>
        <v>54.528459203079549</v>
      </c>
      <c r="AE296" s="249">
        <f t="shared" si="301"/>
        <v>56.255519051095412</v>
      </c>
      <c r="AF296" s="249">
        <f t="shared" si="301"/>
        <v>58.00906694730778</v>
      </c>
      <c r="AG296" s="249">
        <f t="shared" si="301"/>
        <v>59.789043911678043</v>
      </c>
      <c r="AI296" s="763"/>
      <c r="AJ296" s="323"/>
    </row>
    <row r="297" spans="1:36" s="181" customFormat="1">
      <c r="A297" s="181" t="s">
        <v>1397</v>
      </c>
      <c r="B297" s="349" t="s">
        <v>704</v>
      </c>
      <c r="C297" s="249">
        <f>IF(C295-C296&lt;0,0,C295-C296)</f>
        <v>0</v>
      </c>
      <c r="D297" s="249">
        <f t="shared" ref="D297:AG297" si="302">IF(D295-D296&lt;0,0,D295-D296)</f>
        <v>0</v>
      </c>
      <c r="E297" s="249">
        <f t="shared" si="302"/>
        <v>0</v>
      </c>
      <c r="F297" s="249">
        <f t="shared" si="302"/>
        <v>0</v>
      </c>
      <c r="G297" s="249">
        <f t="shared" si="302"/>
        <v>0</v>
      </c>
      <c r="H297" s="249">
        <f t="shared" si="302"/>
        <v>0</v>
      </c>
      <c r="I297" s="249">
        <f t="shared" si="302"/>
        <v>0</v>
      </c>
      <c r="J297" s="249">
        <f t="shared" si="302"/>
        <v>0</v>
      </c>
      <c r="K297" s="249">
        <f t="shared" si="302"/>
        <v>0</v>
      </c>
      <c r="L297" s="249">
        <f t="shared" si="302"/>
        <v>0</v>
      </c>
      <c r="M297" s="249">
        <f t="shared" si="302"/>
        <v>0</v>
      </c>
      <c r="N297" s="249">
        <f t="shared" si="302"/>
        <v>0</v>
      </c>
      <c r="O297" s="249">
        <f t="shared" si="302"/>
        <v>0</v>
      </c>
      <c r="P297" s="249">
        <f t="shared" si="302"/>
        <v>0</v>
      </c>
      <c r="Q297" s="249">
        <f t="shared" si="302"/>
        <v>0</v>
      </c>
      <c r="R297" s="249">
        <f t="shared" si="302"/>
        <v>1.1555701590378931</v>
      </c>
      <c r="S297" s="249">
        <f t="shared" si="302"/>
        <v>2.7027893604791515</v>
      </c>
      <c r="T297" s="249">
        <f t="shared" si="302"/>
        <v>4.209489562714154</v>
      </c>
      <c r="U297" s="249">
        <f t="shared" si="302"/>
        <v>5.6749607358465326</v>
      </c>
      <c r="V297" s="249">
        <f t="shared" si="302"/>
        <v>7.0985066254758209</v>
      </c>
      <c r="W297" s="249">
        <f t="shared" si="302"/>
        <v>8.4794453743268789</v>
      </c>
      <c r="X297" s="249">
        <f t="shared" si="302"/>
        <v>12.265508868115809</v>
      </c>
      <c r="Y297" s="249">
        <f t="shared" si="302"/>
        <v>16.003406391597714</v>
      </c>
      <c r="Z297" s="249">
        <f t="shared" si="302"/>
        <v>19.692452140280032</v>
      </c>
      <c r="AA297" s="249">
        <f t="shared" si="302"/>
        <v>23.331646609015969</v>
      </c>
      <c r="AB297" s="249">
        <f t="shared" si="302"/>
        <v>26.919934759906475</v>
      </c>
      <c r="AC297" s="249">
        <f t="shared" si="302"/>
        <v>30.456562303984732</v>
      </c>
      <c r="AD297" s="249">
        <f t="shared" si="302"/>
        <v>33.940599788429594</v>
      </c>
      <c r="AE297" s="249">
        <f t="shared" si="302"/>
        <v>37.371129160506221</v>
      </c>
      <c r="AF297" s="249">
        <f t="shared" si="302"/>
        <v>40.74724439624422</v>
      </c>
      <c r="AG297" s="249">
        <f t="shared" si="302"/>
        <v>44.068052124144366</v>
      </c>
      <c r="AI297" s="763"/>
      <c r="AJ297" s="323"/>
    </row>
    <row r="298" spans="1:36" s="181" customFormat="1">
      <c r="A298" s="181" t="s">
        <v>1398</v>
      </c>
      <c r="B298" s="349" t="s">
        <v>704</v>
      </c>
      <c r="C298" s="249">
        <f>C292*C249+C246*C295+C282+IF(C275&gt;C295,C275-C295,0)</f>
        <v>15.604984394323321</v>
      </c>
      <c r="D298" s="249">
        <f t="shared" ref="D298:AG298" si="303">D292*D249+D246*D295+D282+IF(D275&gt;D295,D275-D295,0)</f>
        <v>16.278310747691229</v>
      </c>
      <c r="E298" s="249">
        <f t="shared" si="303"/>
        <v>16.944349456755702</v>
      </c>
      <c r="F298" s="249">
        <f t="shared" si="303"/>
        <v>17.599626921272659</v>
      </c>
      <c r="G298" s="249">
        <f t="shared" si="303"/>
        <v>18.240567899181954</v>
      </c>
      <c r="H298" s="249">
        <f t="shared" si="303"/>
        <v>18.86352499024089</v>
      </c>
      <c r="I298" s="249">
        <f t="shared" si="303"/>
        <v>19.506805231203145</v>
      </c>
      <c r="J298" s="249">
        <f t="shared" si="303"/>
        <v>20.170675534681351</v>
      </c>
      <c r="K298" s="249">
        <f t="shared" si="303"/>
        <v>20.855372341042909</v>
      </c>
      <c r="L298" s="249">
        <f t="shared" si="303"/>
        <v>21.561099491941626</v>
      </c>
      <c r="M298" s="249">
        <f t="shared" si="303"/>
        <v>22.288026122704778</v>
      </c>
      <c r="N298" s="249">
        <f t="shared" si="303"/>
        <v>21.77254176064212</v>
      </c>
      <c r="O298" s="249">
        <f t="shared" si="303"/>
        <v>21.206856856666544</v>
      </c>
      <c r="P298" s="249">
        <f t="shared" si="303"/>
        <v>20.595253566631481</v>
      </c>
      <c r="Q298" s="249">
        <f t="shared" si="303"/>
        <v>19.940204568829092</v>
      </c>
      <c r="R298" s="249">
        <f t="shared" si="303"/>
        <v>20.401132865262088</v>
      </c>
      <c r="S298" s="249">
        <f t="shared" si="303"/>
        <v>21.25158068952836</v>
      </c>
      <c r="T298" s="249">
        <f t="shared" si="303"/>
        <v>22.059823795310795</v>
      </c>
      <c r="U298" s="249">
        <f t="shared" si="303"/>
        <v>22.825602102314161</v>
      </c>
      <c r="V298" s="249">
        <f t="shared" si="303"/>
        <v>23.548675187291625</v>
      </c>
      <c r="W298" s="249">
        <f t="shared" si="303"/>
        <v>24.228822624563541</v>
      </c>
      <c r="X298" s="249">
        <f t="shared" si="303"/>
        <v>25.580578357857124</v>
      </c>
      <c r="Y298" s="249">
        <f t="shared" si="303"/>
        <v>26.857676996641981</v>
      </c>
      <c r="Z298" s="249">
        <f t="shared" si="303"/>
        <v>28.060867983868679</v>
      </c>
      <c r="AA298" s="249">
        <f t="shared" si="303"/>
        <v>29.188796204910886</v>
      </c>
      <c r="AB298" s="249">
        <f t="shared" si="303"/>
        <v>30.241122124991026</v>
      </c>
      <c r="AC298" s="249">
        <f t="shared" si="303"/>
        <v>31.21783263394741</v>
      </c>
      <c r="AD298" s="249">
        <f t="shared" si="303"/>
        <v>32.11867718979726</v>
      </c>
      <c r="AE298" s="249">
        <f t="shared" si="303"/>
        <v>32.943433183903281</v>
      </c>
      <c r="AF298" s="249">
        <f t="shared" si="303"/>
        <v>33.691906345996749</v>
      </c>
      <c r="AG298" s="249">
        <f t="shared" si="303"/>
        <v>34.363931131649935</v>
      </c>
      <c r="AI298" s="763"/>
      <c r="AJ298" s="323"/>
    </row>
    <row r="299" spans="1:36" s="181" customFormat="1">
      <c r="A299" s="181" t="s">
        <v>1399</v>
      </c>
      <c r="B299" s="349" t="s">
        <v>704</v>
      </c>
      <c r="C299" s="249">
        <f>C278-C297</f>
        <v>87.134330583122093</v>
      </c>
      <c r="D299" s="249">
        <f t="shared" ref="D299:AG299" si="304">D278-D297</f>
        <v>89.633745789931922</v>
      </c>
      <c r="E299" s="249">
        <f t="shared" si="304"/>
        <v>91.956222897316195</v>
      </c>
      <c r="F299" s="249">
        <f t="shared" si="304"/>
        <v>94.08459059643917</v>
      </c>
      <c r="G299" s="249">
        <f t="shared" si="304"/>
        <v>96.002852078338023</v>
      </c>
      <c r="H299" s="249">
        <f t="shared" si="304"/>
        <v>97.696385109388089</v>
      </c>
      <c r="I299" s="249">
        <f t="shared" si="304"/>
        <v>99.366043853551332</v>
      </c>
      <c r="J299" s="249">
        <f t="shared" si="304"/>
        <v>101.00946717593024</v>
      </c>
      <c r="K299" s="249">
        <f t="shared" si="304"/>
        <v>102.62428809114246</v>
      </c>
      <c r="L299" s="249">
        <f t="shared" si="304"/>
        <v>104.20813883119143</v>
      </c>
      <c r="M299" s="249">
        <f t="shared" si="304"/>
        <v>105.75865602905574</v>
      </c>
      <c r="N299" s="249">
        <f t="shared" si="304"/>
        <v>107.12000010292999</v>
      </c>
      <c r="O299" s="249">
        <f t="shared" si="304"/>
        <v>108.28380038385824</v>
      </c>
      <c r="P299" s="249">
        <f t="shared" si="304"/>
        <v>109.24607153037887</v>
      </c>
      <c r="Q299" s="249">
        <f t="shared" si="304"/>
        <v>109.9973562487131</v>
      </c>
      <c r="R299" s="249">
        <f t="shared" si="304"/>
        <v>109.37708768050798</v>
      </c>
      <c r="S299" s="249">
        <f t="shared" si="304"/>
        <v>108.34515558855429</v>
      </c>
      <c r="T299" s="249">
        <f t="shared" si="304"/>
        <v>107.33329989132196</v>
      </c>
      <c r="U299" s="249">
        <f t="shared" si="304"/>
        <v>106.34180772720902</v>
      </c>
      <c r="V299" s="249">
        <f t="shared" si="304"/>
        <v>105.37095802416725</v>
      </c>
      <c r="W299" s="249">
        <f t="shared" si="304"/>
        <v>104.42102121142364</v>
      </c>
      <c r="X299" s="249">
        <f t="shared" si="304"/>
        <v>101.04510824265893</v>
      </c>
      <c r="Y299" s="249">
        <f t="shared" si="304"/>
        <v>97.696125905496729</v>
      </c>
      <c r="Z299" s="249">
        <f t="shared" si="304"/>
        <v>94.379589183662063</v>
      </c>
      <c r="AA299" s="249">
        <f t="shared" si="304"/>
        <v>91.090948389098941</v>
      </c>
      <c r="AB299" s="249">
        <f t="shared" si="304"/>
        <v>87.830888765417654</v>
      </c>
      <c r="AC299" s="249">
        <f t="shared" si="304"/>
        <v>84.600888811986152</v>
      </c>
      <c r="AD299" s="249">
        <f t="shared" si="304"/>
        <v>81.401530426184209</v>
      </c>
      <c r="AE299" s="249">
        <f t="shared" si="304"/>
        <v>78.233389622702134</v>
      </c>
      <c r="AF299" s="249">
        <f t="shared" si="304"/>
        <v>75.09703615087696</v>
      </c>
      <c r="AG299" s="249">
        <f t="shared" si="304"/>
        <v>71.99303311617183</v>
      </c>
      <c r="AI299" s="763"/>
      <c r="AJ299" s="323"/>
    </row>
    <row r="300" spans="1:36" s="181" customFormat="1">
      <c r="B300" s="350"/>
      <c r="C300" s="327"/>
      <c r="D300" s="327"/>
      <c r="E300" s="327"/>
      <c r="F300" s="327"/>
      <c r="G300" s="327"/>
      <c r="H300" s="327"/>
      <c r="I300" s="327"/>
      <c r="J300" s="327"/>
      <c r="K300" s="327"/>
      <c r="L300" s="327"/>
      <c r="M300" s="327"/>
      <c r="N300" s="327"/>
      <c r="O300" s="327"/>
      <c r="P300" s="327"/>
      <c r="Q300" s="327"/>
      <c r="R300" s="327"/>
      <c r="S300" s="327"/>
      <c r="T300" s="327"/>
      <c r="U300" s="327"/>
      <c r="V300" s="327"/>
      <c r="W300" s="327"/>
      <c r="X300" s="327"/>
      <c r="Y300" s="327"/>
      <c r="Z300" s="327"/>
      <c r="AA300" s="327"/>
      <c r="AB300" s="327"/>
      <c r="AC300" s="327"/>
      <c r="AD300" s="327"/>
      <c r="AE300" s="327"/>
      <c r="AF300" s="327"/>
      <c r="AG300" s="327"/>
      <c r="AJ300" s="323"/>
    </row>
    <row r="301" spans="1:36" s="181" customFormat="1">
      <c r="A301" s="181" t="s">
        <v>1400</v>
      </c>
      <c r="B301" s="350" t="s">
        <v>462</v>
      </c>
      <c r="C301" s="296">
        <v>0.8</v>
      </c>
      <c r="D301" s="317">
        <f>C301</f>
        <v>0.8</v>
      </c>
      <c r="E301" s="317">
        <f t="shared" ref="E301:AG301" si="305">D301</f>
        <v>0.8</v>
      </c>
      <c r="F301" s="317">
        <f t="shared" si="305"/>
        <v>0.8</v>
      </c>
      <c r="G301" s="317">
        <f t="shared" si="305"/>
        <v>0.8</v>
      </c>
      <c r="H301" s="317">
        <f t="shared" si="305"/>
        <v>0.8</v>
      </c>
      <c r="I301" s="317">
        <f t="shared" si="305"/>
        <v>0.8</v>
      </c>
      <c r="J301" s="317">
        <f t="shared" si="305"/>
        <v>0.8</v>
      </c>
      <c r="K301" s="317">
        <f t="shared" si="305"/>
        <v>0.8</v>
      </c>
      <c r="L301" s="317">
        <f t="shared" si="305"/>
        <v>0.8</v>
      </c>
      <c r="M301" s="317">
        <f t="shared" si="305"/>
        <v>0.8</v>
      </c>
      <c r="N301" s="317">
        <f t="shared" si="305"/>
        <v>0.8</v>
      </c>
      <c r="O301" s="317">
        <f t="shared" si="305"/>
        <v>0.8</v>
      </c>
      <c r="P301" s="317">
        <f t="shared" si="305"/>
        <v>0.8</v>
      </c>
      <c r="Q301" s="317">
        <f t="shared" si="305"/>
        <v>0.8</v>
      </c>
      <c r="R301" s="317">
        <f t="shared" si="305"/>
        <v>0.8</v>
      </c>
      <c r="S301" s="317">
        <f t="shared" si="305"/>
        <v>0.8</v>
      </c>
      <c r="T301" s="317">
        <f t="shared" si="305"/>
        <v>0.8</v>
      </c>
      <c r="U301" s="317">
        <f t="shared" si="305"/>
        <v>0.8</v>
      </c>
      <c r="V301" s="317">
        <f t="shared" si="305"/>
        <v>0.8</v>
      </c>
      <c r="W301" s="317">
        <f t="shared" si="305"/>
        <v>0.8</v>
      </c>
      <c r="X301" s="317">
        <f t="shared" si="305"/>
        <v>0.8</v>
      </c>
      <c r="Y301" s="317">
        <f t="shared" si="305"/>
        <v>0.8</v>
      </c>
      <c r="Z301" s="317">
        <f t="shared" si="305"/>
        <v>0.8</v>
      </c>
      <c r="AA301" s="317">
        <f t="shared" si="305"/>
        <v>0.8</v>
      </c>
      <c r="AB301" s="317">
        <f t="shared" si="305"/>
        <v>0.8</v>
      </c>
      <c r="AC301" s="317">
        <f t="shared" si="305"/>
        <v>0.8</v>
      </c>
      <c r="AD301" s="317">
        <f t="shared" si="305"/>
        <v>0.8</v>
      </c>
      <c r="AE301" s="317">
        <f t="shared" si="305"/>
        <v>0.8</v>
      </c>
      <c r="AF301" s="317">
        <f t="shared" si="305"/>
        <v>0.8</v>
      </c>
      <c r="AG301" s="317">
        <f t="shared" si="305"/>
        <v>0.8</v>
      </c>
      <c r="AJ301" s="323" t="s">
        <v>1401</v>
      </c>
    </row>
    <row r="302" spans="1:36" s="181" customFormat="1">
      <c r="B302" s="350"/>
      <c r="C302" s="327"/>
      <c r="D302" s="327"/>
      <c r="E302" s="327"/>
      <c r="F302" s="327"/>
      <c r="G302" s="327"/>
      <c r="H302" s="327"/>
      <c r="I302" s="327"/>
      <c r="J302" s="327"/>
      <c r="K302" s="327"/>
      <c r="L302" s="327"/>
      <c r="M302" s="327"/>
      <c r="N302" s="327"/>
      <c r="O302" s="327"/>
      <c r="P302" s="327"/>
      <c r="Q302" s="327"/>
      <c r="R302" s="327"/>
      <c r="S302" s="327"/>
      <c r="T302" s="327"/>
      <c r="U302" s="327"/>
      <c r="V302" s="327"/>
      <c r="W302" s="327"/>
      <c r="X302" s="327"/>
      <c r="Y302" s="327"/>
      <c r="Z302" s="327"/>
      <c r="AA302" s="327"/>
      <c r="AB302" s="327"/>
      <c r="AC302" s="327"/>
      <c r="AD302" s="327"/>
      <c r="AE302" s="327"/>
      <c r="AF302" s="327"/>
      <c r="AG302" s="327"/>
      <c r="AJ302" s="323"/>
    </row>
    <row r="303" spans="1:36" s="181" customFormat="1">
      <c r="A303" s="181" t="s">
        <v>1402</v>
      </c>
      <c r="B303" s="350" t="s">
        <v>704</v>
      </c>
      <c r="C303" s="327">
        <f>C237*C298*C301</f>
        <v>2.7464772534009043</v>
      </c>
      <c r="D303" s="327">
        <f t="shared" ref="D303:AG303" si="306">D237*D298*D301</f>
        <v>2.9518003489146762</v>
      </c>
      <c r="E303" s="327">
        <f t="shared" si="306"/>
        <v>3.1629452319277309</v>
      </c>
      <c r="F303" s="327">
        <f t="shared" si="306"/>
        <v>3.3791283688843503</v>
      </c>
      <c r="G303" s="327">
        <f t="shared" si="306"/>
        <v>3.5994720654385719</v>
      </c>
      <c r="H303" s="327">
        <f t="shared" si="306"/>
        <v>3.8230077313554869</v>
      </c>
      <c r="I303" s="327">
        <f t="shared" si="306"/>
        <v>4.0574154880902533</v>
      </c>
      <c r="J303" s="327">
        <f t="shared" si="306"/>
        <v>4.3030774473986879</v>
      </c>
      <c r="K303" s="327">
        <f t="shared" si="306"/>
        <v>4.5603747519080482</v>
      </c>
      <c r="L303" s="327">
        <f t="shared" si="306"/>
        <v>4.8296862861949235</v>
      </c>
      <c r="M303" s="327">
        <f t="shared" si="306"/>
        <v>5.1113873241402947</v>
      </c>
      <c r="N303" s="327">
        <f t="shared" si="306"/>
        <v>5.109289799830683</v>
      </c>
      <c r="O303" s="327">
        <f t="shared" si="306"/>
        <v>5.089645645599969</v>
      </c>
      <c r="P303" s="327">
        <f t="shared" si="306"/>
        <v>5.052702208346922</v>
      </c>
      <c r="Q303" s="327">
        <f t="shared" si="306"/>
        <v>4.9983446119198236</v>
      </c>
      <c r="R303" s="327">
        <f t="shared" si="306"/>
        <v>5.2226900135070924</v>
      </c>
      <c r="S303" s="327">
        <f t="shared" si="306"/>
        <v>5.5537464201967417</v>
      </c>
      <c r="T303" s="327">
        <f t="shared" si="306"/>
        <v>5.8826196787495419</v>
      </c>
      <c r="U303" s="327">
        <f t="shared" si="306"/>
        <v>6.2085637718294482</v>
      </c>
      <c r="V303" s="327">
        <f t="shared" si="306"/>
        <v>6.5308325852755402</v>
      </c>
      <c r="W303" s="327">
        <f t="shared" si="306"/>
        <v>6.8486805285432899</v>
      </c>
      <c r="X303" s="327">
        <f t="shared" si="306"/>
        <v>7.3672065670628477</v>
      </c>
      <c r="Y303" s="327">
        <f t="shared" si="306"/>
        <v>7.8782519190149758</v>
      </c>
      <c r="Z303" s="327">
        <f t="shared" si="306"/>
        <v>8.3808459045154393</v>
      </c>
      <c r="AA303" s="327">
        <f t="shared" si="306"/>
        <v>8.8733940462929031</v>
      </c>
      <c r="AB303" s="327">
        <f t="shared" si="306"/>
        <v>9.3545871106638838</v>
      </c>
      <c r="AC303" s="327">
        <f t="shared" si="306"/>
        <v>9.823211335482112</v>
      </c>
      <c r="AD303" s="327">
        <f t="shared" si="306"/>
        <v>10.277976700735117</v>
      </c>
      <c r="AE303" s="327">
        <f t="shared" si="306"/>
        <v>10.717596929163193</v>
      </c>
      <c r="AF303" s="327">
        <f t="shared" si="306"/>
        <v>11.140790365076249</v>
      </c>
      <c r="AG303" s="327">
        <f t="shared" si="306"/>
        <v>11.546280860234377</v>
      </c>
      <c r="AJ303" s="323"/>
    </row>
    <row r="304" spans="1:36" s="181" customFormat="1">
      <c r="A304" s="181" t="s">
        <v>1403</v>
      </c>
      <c r="B304" s="350" t="s">
        <v>704</v>
      </c>
      <c r="C304" s="327">
        <f>C298*C301-C303</f>
        <v>9.7375102620577536</v>
      </c>
      <c r="D304" s="327">
        <f t="shared" ref="D304:AG304" si="307">D298*D301-D303</f>
        <v>10.070848249238306</v>
      </c>
      <c r="E304" s="327">
        <f t="shared" si="307"/>
        <v>10.392534333476831</v>
      </c>
      <c r="F304" s="327">
        <f t="shared" si="307"/>
        <v>10.700573168133777</v>
      </c>
      <c r="G304" s="327">
        <f t="shared" si="307"/>
        <v>10.992982253906991</v>
      </c>
      <c r="H304" s="327">
        <f t="shared" si="307"/>
        <v>11.267812260837227</v>
      </c>
      <c r="I304" s="327">
        <f t="shared" si="307"/>
        <v>11.548028696872263</v>
      </c>
      <c r="J304" s="327">
        <f t="shared" si="307"/>
        <v>11.833462980346393</v>
      </c>
      <c r="K304" s="327">
        <f t="shared" si="307"/>
        <v>12.12392312092628</v>
      </c>
      <c r="L304" s="327">
        <f t="shared" si="307"/>
        <v>12.419193307358377</v>
      </c>
      <c r="M304" s="327">
        <f t="shared" si="307"/>
        <v>12.719033574023527</v>
      </c>
      <c r="N304" s="327">
        <f t="shared" si="307"/>
        <v>12.308743608683013</v>
      </c>
      <c r="O304" s="327">
        <f t="shared" si="307"/>
        <v>11.875839839733267</v>
      </c>
      <c r="P304" s="327">
        <f t="shared" si="307"/>
        <v>11.423500644958263</v>
      </c>
      <c r="Q304" s="327">
        <f t="shared" si="307"/>
        <v>10.953819043143451</v>
      </c>
      <c r="R304" s="327">
        <f t="shared" si="307"/>
        <v>11.098216278702578</v>
      </c>
      <c r="S304" s="327">
        <f t="shared" si="307"/>
        <v>11.447518131425948</v>
      </c>
      <c r="T304" s="327">
        <f t="shared" si="307"/>
        <v>11.765239357499095</v>
      </c>
      <c r="U304" s="327">
        <f t="shared" si="307"/>
        <v>12.05191791002188</v>
      </c>
      <c r="V304" s="327">
        <f t="shared" si="307"/>
        <v>12.308107564557762</v>
      </c>
      <c r="W304" s="327">
        <f t="shared" si="307"/>
        <v>12.534377571107544</v>
      </c>
      <c r="X304" s="327">
        <f t="shared" si="307"/>
        <v>13.097256119222852</v>
      </c>
      <c r="Y304" s="327">
        <f t="shared" si="307"/>
        <v>13.607889678298612</v>
      </c>
      <c r="Z304" s="327">
        <f t="shared" si="307"/>
        <v>14.067848482579507</v>
      </c>
      <c r="AA304" s="327">
        <f t="shared" si="307"/>
        <v>14.477642917635807</v>
      </c>
      <c r="AB304" s="327">
        <f t="shared" si="307"/>
        <v>14.838310589328939</v>
      </c>
      <c r="AC304" s="327">
        <f t="shared" si="307"/>
        <v>15.151054771675819</v>
      </c>
      <c r="AD304" s="327">
        <f t="shared" si="307"/>
        <v>15.416965051102693</v>
      </c>
      <c r="AE304" s="327">
        <f t="shared" si="307"/>
        <v>15.637149617959434</v>
      </c>
      <c r="AF304" s="327">
        <f t="shared" si="307"/>
        <v>15.812734711721152</v>
      </c>
      <c r="AG304" s="327">
        <f t="shared" si="307"/>
        <v>15.944864045085572</v>
      </c>
      <c r="AJ304" s="323"/>
    </row>
    <row r="305" spans="1:37" s="181" customFormat="1">
      <c r="B305" s="176"/>
      <c r="C305" s="327"/>
      <c r="D305" s="327"/>
      <c r="E305" s="327"/>
      <c r="F305" s="327"/>
      <c r="G305" s="327"/>
      <c r="H305" s="327"/>
      <c r="I305" s="327"/>
      <c r="J305" s="327"/>
      <c r="K305" s="327"/>
      <c r="L305" s="327"/>
      <c r="M305" s="327"/>
      <c r="N305" s="327"/>
      <c r="O305" s="327"/>
      <c r="P305" s="327"/>
      <c r="Q305" s="327"/>
      <c r="R305" s="327"/>
      <c r="S305" s="327"/>
      <c r="T305" s="327"/>
      <c r="U305" s="327"/>
      <c r="V305" s="327"/>
      <c r="W305" s="327"/>
      <c r="X305" s="327"/>
      <c r="Y305" s="327"/>
      <c r="Z305" s="327"/>
      <c r="AA305" s="327"/>
      <c r="AB305" s="327"/>
      <c r="AC305" s="327"/>
      <c r="AD305" s="327"/>
      <c r="AE305" s="327"/>
      <c r="AF305" s="327"/>
      <c r="AG305" s="327"/>
      <c r="AJ305" s="323"/>
    </row>
    <row r="306" spans="1:37" s="181" customFormat="1">
      <c r="B306" s="210" t="s">
        <v>492</v>
      </c>
      <c r="C306" s="331">
        <v>0</v>
      </c>
      <c r="D306" s="331">
        <f>C306+1</f>
        <v>1</v>
      </c>
      <c r="E306" s="331">
        <f t="shared" ref="E306:AG306" si="308">D306+1</f>
        <v>2</v>
      </c>
      <c r="F306" s="331">
        <f t="shared" si="308"/>
        <v>3</v>
      </c>
      <c r="G306" s="331">
        <f t="shared" si="308"/>
        <v>4</v>
      </c>
      <c r="H306" s="331">
        <f t="shared" si="308"/>
        <v>5</v>
      </c>
      <c r="I306" s="331">
        <f t="shared" si="308"/>
        <v>6</v>
      </c>
      <c r="J306" s="331">
        <f t="shared" si="308"/>
        <v>7</v>
      </c>
      <c r="K306" s="331">
        <f t="shared" si="308"/>
        <v>8</v>
      </c>
      <c r="L306" s="331">
        <f t="shared" si="308"/>
        <v>9</v>
      </c>
      <c r="M306" s="331">
        <f t="shared" si="308"/>
        <v>10</v>
      </c>
      <c r="N306" s="331">
        <f t="shared" si="308"/>
        <v>11</v>
      </c>
      <c r="O306" s="331">
        <f t="shared" si="308"/>
        <v>12</v>
      </c>
      <c r="P306" s="331">
        <f t="shared" si="308"/>
        <v>13</v>
      </c>
      <c r="Q306" s="331">
        <f t="shared" si="308"/>
        <v>14</v>
      </c>
      <c r="R306" s="331">
        <f t="shared" si="308"/>
        <v>15</v>
      </c>
      <c r="S306" s="331">
        <f t="shared" si="308"/>
        <v>16</v>
      </c>
      <c r="T306" s="331">
        <f t="shared" si="308"/>
        <v>17</v>
      </c>
      <c r="U306" s="331">
        <f t="shared" si="308"/>
        <v>18</v>
      </c>
      <c r="V306" s="331">
        <f t="shared" si="308"/>
        <v>19</v>
      </c>
      <c r="W306" s="331">
        <f t="shared" si="308"/>
        <v>20</v>
      </c>
      <c r="X306" s="331">
        <f t="shared" si="308"/>
        <v>21</v>
      </c>
      <c r="Y306" s="331">
        <f t="shared" si="308"/>
        <v>22</v>
      </c>
      <c r="Z306" s="331">
        <f t="shared" si="308"/>
        <v>23</v>
      </c>
      <c r="AA306" s="331">
        <f t="shared" si="308"/>
        <v>24</v>
      </c>
      <c r="AB306" s="331">
        <f t="shared" si="308"/>
        <v>25</v>
      </c>
      <c r="AC306" s="331">
        <f t="shared" si="308"/>
        <v>26</v>
      </c>
      <c r="AD306" s="331">
        <f t="shared" si="308"/>
        <v>27</v>
      </c>
      <c r="AE306" s="331">
        <f t="shared" si="308"/>
        <v>28</v>
      </c>
      <c r="AF306" s="331">
        <f t="shared" si="308"/>
        <v>29</v>
      </c>
      <c r="AG306" s="331">
        <f t="shared" si="308"/>
        <v>30</v>
      </c>
      <c r="AJ306" s="323" t="s">
        <v>493</v>
      </c>
      <c r="AK306" s="51">
        <v>1.9</v>
      </c>
    </row>
    <row r="307" spans="1:37" s="181" customFormat="1">
      <c r="A307" s="181" t="s">
        <v>1404</v>
      </c>
      <c r="B307" s="176"/>
      <c r="C307" s="333">
        <f>$AK$308/((1+EXP(-$AK$307*(C306-$AK$309)))^$AK$306)</f>
        <v>4.6088632748610021E-5</v>
      </c>
      <c r="D307" s="333">
        <f t="shared" ref="D307:AG307" si="309">$AK$308/((1+EXP(-$AK$307*(D306-$AK$309)))^$AK$306)</f>
        <v>8.924759460408035E-5</v>
      </c>
      <c r="E307" s="333">
        <f t="shared" si="309"/>
        <v>1.7252431976790472E-4</v>
      </c>
      <c r="F307" s="333">
        <f t="shared" si="309"/>
        <v>3.3269643715580369E-4</v>
      </c>
      <c r="G307" s="333">
        <f t="shared" si="309"/>
        <v>6.393827369910735E-4</v>
      </c>
      <c r="H307" s="333">
        <f t="shared" si="309"/>
        <v>1.2229053771654547E-3</v>
      </c>
      <c r="I307" s="333">
        <f t="shared" si="309"/>
        <v>2.3234018804222717E-3</v>
      </c>
      <c r="J307" s="333">
        <f t="shared" si="309"/>
        <v>4.3736281679830789E-3</v>
      </c>
      <c r="K307" s="333">
        <f t="shared" si="309"/>
        <v>8.1294184230466908E-3</v>
      </c>
      <c r="L307" s="333">
        <f t="shared" si="309"/>
        <v>1.4853985082038716E-2</v>
      </c>
      <c r="M307" s="333">
        <f t="shared" si="309"/>
        <v>2.6531412096832362E-2</v>
      </c>
      <c r="N307" s="333">
        <f t="shared" si="309"/>
        <v>4.6014759335105015E-2</v>
      </c>
      <c r="O307" s="333">
        <f t="shared" si="309"/>
        <v>7.6910635328419796E-2</v>
      </c>
      <c r="P307" s="333">
        <f t="shared" si="309"/>
        <v>0.12294065829885638</v>
      </c>
      <c r="Q307" s="333">
        <f t="shared" si="309"/>
        <v>0.18666754187878853</v>
      </c>
      <c r="R307" s="333">
        <f t="shared" si="309"/>
        <v>0.26794336563407328</v>
      </c>
      <c r="S307" s="333">
        <f t="shared" si="309"/>
        <v>0.36297326582455031</v>
      </c>
      <c r="T307" s="333">
        <f t="shared" si="309"/>
        <v>0.46484396312424381</v>
      </c>
      <c r="U307" s="333">
        <f t="shared" si="309"/>
        <v>0.56546260593861253</v>
      </c>
      <c r="V307" s="333">
        <f t="shared" si="309"/>
        <v>0.6578403022607352</v>
      </c>
      <c r="W307" s="333">
        <f t="shared" si="309"/>
        <v>0.73754668886795227</v>
      </c>
      <c r="X307" s="333">
        <f t="shared" si="309"/>
        <v>0.80293052021410605</v>
      </c>
      <c r="Y307" s="333">
        <f t="shared" si="309"/>
        <v>0.85447682949112158</v>
      </c>
      <c r="Z307" s="333">
        <f t="shared" si="309"/>
        <v>0.89389910336617451</v>
      </c>
      <c r="AA307" s="333">
        <f t="shared" si="309"/>
        <v>0.92337223319290385</v>
      </c>
      <c r="AB307" s="333">
        <f t="shared" si="309"/>
        <v>0.94504210708611314</v>
      </c>
      <c r="AC307" s="333">
        <f t="shared" si="309"/>
        <v>0.96078240575184182</v>
      </c>
      <c r="AD307" s="333">
        <f t="shared" si="309"/>
        <v>0.97211605463477313</v>
      </c>
      <c r="AE307" s="333">
        <f t="shared" si="309"/>
        <v>0.98022577885232642</v>
      </c>
      <c r="AF307" s="333">
        <f t="shared" si="309"/>
        <v>0.98600279580400285</v>
      </c>
      <c r="AG307" s="333">
        <f t="shared" si="309"/>
        <v>0.9901050637460882</v>
      </c>
      <c r="AI307" s="176" t="s">
        <v>494</v>
      </c>
      <c r="AJ307" s="323" t="s">
        <v>495</v>
      </c>
      <c r="AK307" s="51">
        <v>0.35</v>
      </c>
    </row>
    <row r="308" spans="1:37" s="181" customFormat="1">
      <c r="B308" s="176"/>
      <c r="C308" s="329">
        <v>0</v>
      </c>
      <c r="D308" s="329">
        <v>0</v>
      </c>
      <c r="E308" s="329">
        <v>0</v>
      </c>
      <c r="F308" s="329">
        <v>0</v>
      </c>
      <c r="G308" s="329">
        <v>0</v>
      </c>
      <c r="H308" s="329">
        <v>0</v>
      </c>
      <c r="I308" s="329">
        <v>0</v>
      </c>
      <c r="J308" s="329">
        <v>0</v>
      </c>
      <c r="K308" s="329">
        <v>0</v>
      </c>
      <c r="L308" s="329">
        <v>0</v>
      </c>
      <c r="M308" s="329">
        <f>C307</f>
        <v>4.6088632748610021E-5</v>
      </c>
      <c r="N308" s="329">
        <v>0</v>
      </c>
      <c r="O308" s="329">
        <v>0</v>
      </c>
      <c r="P308" s="329">
        <v>0</v>
      </c>
      <c r="Q308" s="329">
        <v>0</v>
      </c>
      <c r="R308" s="329">
        <f t="shared" ref="R308:AG308" si="310">C307</f>
        <v>4.6088632748610021E-5</v>
      </c>
      <c r="S308" s="329">
        <f t="shared" si="310"/>
        <v>8.924759460408035E-5</v>
      </c>
      <c r="T308" s="329">
        <f t="shared" si="310"/>
        <v>1.7252431976790472E-4</v>
      </c>
      <c r="U308" s="329">
        <f t="shared" si="310"/>
        <v>3.3269643715580369E-4</v>
      </c>
      <c r="V308" s="329">
        <f t="shared" si="310"/>
        <v>6.393827369910735E-4</v>
      </c>
      <c r="W308" s="329">
        <f t="shared" si="310"/>
        <v>1.2229053771654547E-3</v>
      </c>
      <c r="X308" s="329">
        <f t="shared" si="310"/>
        <v>2.3234018804222717E-3</v>
      </c>
      <c r="Y308" s="329">
        <f t="shared" si="310"/>
        <v>4.3736281679830789E-3</v>
      </c>
      <c r="Z308" s="329">
        <f t="shared" si="310"/>
        <v>8.1294184230466908E-3</v>
      </c>
      <c r="AA308" s="329">
        <f t="shared" si="310"/>
        <v>1.4853985082038716E-2</v>
      </c>
      <c r="AB308" s="329">
        <f t="shared" si="310"/>
        <v>2.6531412096832362E-2</v>
      </c>
      <c r="AC308" s="329">
        <f t="shared" si="310"/>
        <v>4.6014759335105015E-2</v>
      </c>
      <c r="AD308" s="329">
        <f t="shared" si="310"/>
        <v>7.6910635328419796E-2</v>
      </c>
      <c r="AE308" s="329">
        <f t="shared" si="310"/>
        <v>0.12294065829885638</v>
      </c>
      <c r="AF308" s="329">
        <f t="shared" si="310"/>
        <v>0.18666754187878853</v>
      </c>
      <c r="AG308" s="329">
        <f t="shared" si="310"/>
        <v>0.26794336563407328</v>
      </c>
      <c r="AI308" s="176" t="s">
        <v>496</v>
      </c>
      <c r="AJ308" s="323" t="s">
        <v>497</v>
      </c>
      <c r="AK308" s="51">
        <v>1</v>
      </c>
    </row>
    <row r="309" spans="1:37" s="181" customFormat="1">
      <c r="B309" s="176"/>
      <c r="C309" s="327"/>
      <c r="D309" s="327"/>
      <c r="E309" s="327"/>
      <c r="F309" s="327"/>
      <c r="G309" s="327"/>
      <c r="H309" s="327"/>
      <c r="I309" s="327"/>
      <c r="J309" s="327"/>
      <c r="K309" s="327"/>
      <c r="L309" s="327"/>
      <c r="M309" s="327"/>
      <c r="N309" s="327"/>
      <c r="O309" s="327"/>
      <c r="P309" s="327"/>
      <c r="Q309" s="327"/>
      <c r="R309" s="327"/>
      <c r="S309" s="327"/>
      <c r="T309" s="327"/>
      <c r="U309" s="327"/>
      <c r="V309" s="327"/>
      <c r="W309" s="327"/>
      <c r="X309" s="327"/>
      <c r="Y309" s="327"/>
      <c r="Z309" s="327"/>
      <c r="AA309" s="327"/>
      <c r="AB309" s="327"/>
      <c r="AC309" s="327"/>
      <c r="AD309" s="327"/>
      <c r="AE309" s="327"/>
      <c r="AF309" s="327"/>
      <c r="AG309" s="327"/>
      <c r="AJ309" s="323" t="s">
        <v>498</v>
      </c>
      <c r="AK309" s="51">
        <v>15</v>
      </c>
    </row>
    <row r="310" spans="1:37" s="181" customFormat="1">
      <c r="A310" s="181" t="s">
        <v>1460</v>
      </c>
      <c r="B310" s="176" t="s">
        <v>462</v>
      </c>
      <c r="C310" s="328">
        <f>('Overall recycling rates'!G12+'Overall recycling rates'!G15)*'Overall recycling rates'!G57/(SUMPRODUCT('Overall recycling rates'!C57:I57,'Overall recycling rates'!C12:I12)+SUMPRODUCT('Overall recycling rates'!C15:I15,'Overall recycling rates'!C57:I57))</f>
        <v>8.5469247930390777E-2</v>
      </c>
      <c r="D310" s="328">
        <f>C310</f>
        <v>8.5469247930390777E-2</v>
      </c>
      <c r="E310" s="328">
        <f t="shared" ref="E310:AG310" si="311">D310</f>
        <v>8.5469247930390777E-2</v>
      </c>
      <c r="F310" s="328">
        <f t="shared" si="311"/>
        <v>8.5469247930390777E-2</v>
      </c>
      <c r="G310" s="328">
        <f t="shared" si="311"/>
        <v>8.5469247930390777E-2</v>
      </c>
      <c r="H310" s="328">
        <f t="shared" si="311"/>
        <v>8.5469247930390777E-2</v>
      </c>
      <c r="I310" s="328">
        <f t="shared" si="311"/>
        <v>8.5469247930390777E-2</v>
      </c>
      <c r="J310" s="328">
        <f t="shared" si="311"/>
        <v>8.5469247930390777E-2</v>
      </c>
      <c r="K310" s="328">
        <f t="shared" si="311"/>
        <v>8.5469247930390777E-2</v>
      </c>
      <c r="L310" s="328">
        <f t="shared" si="311"/>
        <v>8.5469247930390777E-2</v>
      </c>
      <c r="M310" s="328">
        <f t="shared" si="311"/>
        <v>8.5469247930390777E-2</v>
      </c>
      <c r="N310" s="328">
        <f t="shared" si="311"/>
        <v>8.5469247930390777E-2</v>
      </c>
      <c r="O310" s="328">
        <f t="shared" si="311"/>
        <v>8.5469247930390777E-2</v>
      </c>
      <c r="P310" s="328">
        <f t="shared" si="311"/>
        <v>8.5469247930390777E-2</v>
      </c>
      <c r="Q310" s="328">
        <f t="shared" si="311"/>
        <v>8.5469247930390777E-2</v>
      </c>
      <c r="R310" s="328">
        <f t="shared" si="311"/>
        <v>8.5469247930390777E-2</v>
      </c>
      <c r="S310" s="328">
        <f t="shared" si="311"/>
        <v>8.5469247930390777E-2</v>
      </c>
      <c r="T310" s="328">
        <f t="shared" si="311"/>
        <v>8.5469247930390777E-2</v>
      </c>
      <c r="U310" s="328">
        <f t="shared" si="311"/>
        <v>8.5469247930390777E-2</v>
      </c>
      <c r="V310" s="328">
        <f t="shared" si="311"/>
        <v>8.5469247930390777E-2</v>
      </c>
      <c r="W310" s="328">
        <f t="shared" si="311"/>
        <v>8.5469247930390777E-2</v>
      </c>
      <c r="X310" s="328">
        <f t="shared" si="311"/>
        <v>8.5469247930390777E-2</v>
      </c>
      <c r="Y310" s="328">
        <f t="shared" si="311"/>
        <v>8.5469247930390777E-2</v>
      </c>
      <c r="Z310" s="328">
        <f t="shared" si="311"/>
        <v>8.5469247930390777E-2</v>
      </c>
      <c r="AA310" s="328">
        <f t="shared" si="311"/>
        <v>8.5469247930390777E-2</v>
      </c>
      <c r="AB310" s="328">
        <f t="shared" si="311"/>
        <v>8.5469247930390777E-2</v>
      </c>
      <c r="AC310" s="328">
        <f t="shared" si="311"/>
        <v>8.5469247930390777E-2</v>
      </c>
      <c r="AD310" s="328">
        <f t="shared" si="311"/>
        <v>8.5469247930390777E-2</v>
      </c>
      <c r="AE310" s="328">
        <f t="shared" si="311"/>
        <v>8.5469247930390777E-2</v>
      </c>
      <c r="AF310" s="328">
        <f t="shared" si="311"/>
        <v>8.5469247930390777E-2</v>
      </c>
      <c r="AG310" s="328">
        <f t="shared" si="311"/>
        <v>8.5469247930390777E-2</v>
      </c>
      <c r="AJ310" s="323"/>
    </row>
    <row r="311" spans="1:37" s="300" customFormat="1" ht="16" thickBot="1">
      <c r="A311" s="334" t="s">
        <v>1407</v>
      </c>
      <c r="B311" s="335" t="s">
        <v>704</v>
      </c>
      <c r="C311" s="336">
        <f>C310*(C303*C307+C304*C308)</f>
        <v>1.0818815477462023E-5</v>
      </c>
      <c r="D311" s="336">
        <f t="shared" ref="D311:AG311" si="312">D310*(D303*D307+D304*D308)</f>
        <v>2.2516111057818729E-5</v>
      </c>
      <c r="E311" s="336">
        <f t="shared" si="312"/>
        <v>4.663928438610198E-5</v>
      </c>
      <c r="F311" s="336">
        <f t="shared" si="312"/>
        <v>9.608657713745198E-5</v>
      </c>
      <c r="G311" s="336">
        <f t="shared" si="312"/>
        <v>1.9670237167658332E-4</v>
      </c>
      <c r="H311" s="336">
        <f t="shared" si="312"/>
        <v>3.9958383748381587E-4</v>
      </c>
      <c r="I311" s="336">
        <f t="shared" si="312"/>
        <v>8.057191792668842E-4</v>
      </c>
      <c r="J311" s="336">
        <f t="shared" si="312"/>
        <v>1.6085364368499963E-3</v>
      </c>
      <c r="K311" s="336">
        <f t="shared" si="312"/>
        <v>3.168618054356889E-3</v>
      </c>
      <c r="L311" s="336">
        <f t="shared" si="312"/>
        <v>6.1315713717573096E-3</v>
      </c>
      <c r="M311" s="336">
        <f t="shared" si="312"/>
        <v>1.1640785616413447E-2</v>
      </c>
      <c r="N311" s="336">
        <f t="shared" si="312"/>
        <v>2.0094054417978537E-2</v>
      </c>
      <c r="O311" s="336">
        <f t="shared" si="312"/>
        <v>3.3456755924607139E-2</v>
      </c>
      <c r="P311" s="336">
        <f t="shared" si="312"/>
        <v>5.3092004152255554E-2</v>
      </c>
      <c r="Q311" s="336">
        <f t="shared" si="312"/>
        <v>7.9745261471952197E-2</v>
      </c>
      <c r="R311" s="336">
        <f t="shared" si="312"/>
        <v>0.11964811312901034</v>
      </c>
      <c r="S311" s="336">
        <f t="shared" si="312"/>
        <v>0.17238148506728856</v>
      </c>
      <c r="T311" s="336">
        <f t="shared" si="312"/>
        <v>0.23388916402521895</v>
      </c>
      <c r="U311" s="336">
        <f t="shared" si="312"/>
        <v>0.3004004989920192</v>
      </c>
      <c r="V311" s="336">
        <f t="shared" si="312"/>
        <v>0.36786942704898123</v>
      </c>
      <c r="W311" s="336">
        <f t="shared" si="312"/>
        <v>0.43303421850108931</v>
      </c>
      <c r="X311" s="336">
        <f t="shared" si="312"/>
        <v>0.5081817886229314</v>
      </c>
      <c r="Y311" s="336">
        <f t="shared" si="312"/>
        <v>0.58044726682866077</v>
      </c>
      <c r="Z311" s="336">
        <f t="shared" si="312"/>
        <v>0.65007859259457668</v>
      </c>
      <c r="AA311" s="336">
        <f t="shared" si="312"/>
        <v>0.71866786083665035</v>
      </c>
      <c r="AB311" s="336">
        <f t="shared" si="312"/>
        <v>0.78923671449011168</v>
      </c>
      <c r="AC311" s="336">
        <f t="shared" si="312"/>
        <v>0.86624285826387848</v>
      </c>
      <c r="AD311" s="336">
        <f t="shared" si="312"/>
        <v>0.95529959059137648</v>
      </c>
      <c r="AE311" s="336">
        <f t="shared" si="312"/>
        <v>1.0622208956910861</v>
      </c>
      <c r="AF311" s="336">
        <f t="shared" si="312"/>
        <v>1.1911485640141313</v>
      </c>
      <c r="AG311" s="336">
        <f t="shared" si="312"/>
        <v>1.3422391276633288</v>
      </c>
      <c r="AJ311" s="326"/>
    </row>
    <row r="312" spans="1:37" s="230" customFormat="1">
      <c r="A312" s="325" t="s">
        <v>1408</v>
      </c>
      <c r="B312" s="324" t="s">
        <v>462</v>
      </c>
      <c r="C312" s="330">
        <v>0.5</v>
      </c>
      <c r="D312" s="330">
        <v>0.5</v>
      </c>
      <c r="E312" s="330">
        <v>0.5</v>
      </c>
      <c r="F312" s="330">
        <v>0.5</v>
      </c>
      <c r="G312" s="330">
        <v>0.5</v>
      </c>
      <c r="H312" s="330">
        <v>0.5</v>
      </c>
      <c r="I312" s="330">
        <v>0.5</v>
      </c>
      <c r="J312" s="330">
        <v>0.5</v>
      </c>
      <c r="K312" s="330">
        <v>0.5</v>
      </c>
      <c r="L312" s="330">
        <v>0.5</v>
      </c>
      <c r="M312" s="330">
        <v>0.5</v>
      </c>
      <c r="N312" s="330">
        <v>0.5</v>
      </c>
      <c r="O312" s="330">
        <v>0.5</v>
      </c>
      <c r="P312" s="330">
        <v>0.5</v>
      </c>
      <c r="Q312" s="330">
        <v>0.5</v>
      </c>
      <c r="R312" s="330">
        <v>0.5</v>
      </c>
      <c r="S312" s="330">
        <v>0.5</v>
      </c>
      <c r="T312" s="330">
        <v>0.5</v>
      </c>
      <c r="U312" s="330">
        <v>0.5</v>
      </c>
      <c r="V312" s="330">
        <v>0.5</v>
      </c>
      <c r="W312" s="330">
        <v>0.5</v>
      </c>
      <c r="X312" s="330">
        <v>0.5</v>
      </c>
      <c r="Y312" s="330">
        <v>0.5</v>
      </c>
      <c r="Z312" s="330">
        <v>0.5</v>
      </c>
      <c r="AA312" s="330">
        <v>0.5</v>
      </c>
      <c r="AB312" s="330">
        <v>0.5</v>
      </c>
      <c r="AC312" s="330">
        <v>0.5</v>
      </c>
      <c r="AD312" s="330">
        <v>0.5</v>
      </c>
      <c r="AE312" s="330">
        <v>0.5</v>
      </c>
      <c r="AF312" s="330">
        <v>0.5</v>
      </c>
      <c r="AG312" s="330">
        <v>0.5</v>
      </c>
      <c r="AJ312" s="230" t="s">
        <v>1410</v>
      </c>
    </row>
    <row r="313" spans="1:37" s="230" customFormat="1" ht="16" thickBot="1">
      <c r="A313" s="301" t="s">
        <v>1411</v>
      </c>
      <c r="B313" s="335" t="s">
        <v>704</v>
      </c>
      <c r="C313" s="336">
        <f>C312*(C303*C307+C304*C308)</f>
        <v>6.3290690742202706E-5</v>
      </c>
      <c r="D313" s="336">
        <f t="shared" ref="D313:AG313" si="313">D312*(D303*D307+D304*D308)</f>
        <v>1.3172054044605997E-4</v>
      </c>
      <c r="E313" s="336">
        <f t="shared" si="313"/>
        <v>2.7284248730073468E-4</v>
      </c>
      <c r="F313" s="336">
        <f t="shared" si="313"/>
        <v>5.6211198450996282E-4</v>
      </c>
      <c r="G313" s="336">
        <f t="shared" si="313"/>
        <v>1.1507201504615133E-3</v>
      </c>
      <c r="H313" s="336">
        <f t="shared" si="313"/>
        <v>2.3375883558098658E-3</v>
      </c>
      <c r="I313" s="336">
        <f t="shared" si="313"/>
        <v>4.7135033873416717E-3</v>
      </c>
      <c r="J313" s="336">
        <f t="shared" si="313"/>
        <v>9.4100303664778132E-3</v>
      </c>
      <c r="K313" s="336">
        <f t="shared" si="313"/>
        <v>1.8536597262079135E-2</v>
      </c>
      <c r="L313" s="336">
        <f t="shared" si="313"/>
        <v>3.5870044023033183E-2</v>
      </c>
      <c r="M313" s="336">
        <f t="shared" si="313"/>
        <v>6.8099263175300906E-2</v>
      </c>
      <c r="N313" s="336">
        <f t="shared" si="313"/>
        <v>0.11755137025625788</v>
      </c>
      <c r="O313" s="336">
        <f t="shared" si="313"/>
        <v>0.19572394009980948</v>
      </c>
      <c r="P313" s="336">
        <f t="shared" si="313"/>
        <v>0.310591267841128</v>
      </c>
      <c r="Q313" s="336">
        <f t="shared" si="313"/>
        <v>0.46651435108508033</v>
      </c>
      <c r="R313" s="336">
        <f t="shared" si="313"/>
        <v>0.69994832074839397</v>
      </c>
      <c r="S313" s="336">
        <f t="shared" si="313"/>
        <v>1.0084415695788165</v>
      </c>
      <c r="T313" s="336">
        <f t="shared" si="313"/>
        <v>1.3682650174698312</v>
      </c>
      <c r="U313" s="336">
        <f t="shared" si="313"/>
        <v>1.7573601398521499</v>
      </c>
      <c r="V313" s="336">
        <f t="shared" si="313"/>
        <v>2.152057236706864</v>
      </c>
      <c r="W313" s="336">
        <f t="shared" si="313"/>
        <v>2.5332750023363251</v>
      </c>
      <c r="X313" s="336">
        <f t="shared" si="313"/>
        <v>2.9728925954561625</v>
      </c>
      <c r="Y313" s="336">
        <f t="shared" si="313"/>
        <v>3.395649785648037</v>
      </c>
      <c r="Z313" s="336">
        <f t="shared" si="313"/>
        <v>3.8029970330616694</v>
      </c>
      <c r="AA313" s="336">
        <f t="shared" si="313"/>
        <v>4.2042481842238697</v>
      </c>
      <c r="AB313" s="336">
        <f t="shared" si="313"/>
        <v>4.617080023524335</v>
      </c>
      <c r="AC313" s="336">
        <f t="shared" si="313"/>
        <v>5.0675703790524622</v>
      </c>
      <c r="AD313" s="336">
        <f t="shared" si="313"/>
        <v>5.5885573684315482</v>
      </c>
      <c r="AE313" s="336">
        <f t="shared" si="313"/>
        <v>6.2140531326319675</v>
      </c>
      <c r="AF313" s="336">
        <f t="shared" si="313"/>
        <v>6.968287383224931</v>
      </c>
      <c r="AG313" s="336">
        <f t="shared" si="313"/>
        <v>7.8521758419852743</v>
      </c>
      <c r="AJ313" s="325"/>
    </row>
    <row r="314" spans="1:37" s="230" customFormat="1">
      <c r="A314" s="326"/>
      <c r="B314" s="324"/>
      <c r="AJ314" s="325"/>
    </row>
    <row r="315" spans="1:37" s="230" customFormat="1">
      <c r="A315" s="326" t="s">
        <v>1412</v>
      </c>
      <c r="B315" s="324" t="s">
        <v>704</v>
      </c>
      <c r="C315" s="230">
        <f t="shared" ref="C315:AF315" si="314">SUM(C284:C285)-SUM(C311,C313)</f>
        <v>66.62673602585204</v>
      </c>
      <c r="D315" s="230">
        <f t="shared" si="314"/>
        <v>69.305176312157954</v>
      </c>
      <c r="E315" s="230">
        <f t="shared" si="314"/>
        <v>71.889448027005614</v>
      </c>
      <c r="F315" s="230">
        <f t="shared" si="314"/>
        <v>74.361669785867051</v>
      </c>
      <c r="G315" s="230">
        <f t="shared" si="314"/>
        <v>76.704223706107982</v>
      </c>
      <c r="H315" s="230">
        <f t="shared" si="314"/>
        <v>78.899875878741298</v>
      </c>
      <c r="I315" s="230">
        <f t="shared" si="314"/>
        <v>81.106429099623199</v>
      </c>
      <c r="J315" s="230">
        <f t="shared" si="314"/>
        <v>83.32037204504455</v>
      </c>
      <c r="K315" s="230">
        <f t="shared" si="314"/>
        <v>85.53697873942059</v>
      </c>
      <c r="L315" s="230">
        <f t="shared" si="314"/>
        <v>87.749504424225492</v>
      </c>
      <c r="M315" s="230">
        <f t="shared" si="314"/>
        <v>89.947731705058885</v>
      </c>
      <c r="N315" s="230">
        <f t="shared" si="314"/>
        <v>91.247395777442975</v>
      </c>
      <c r="O315" s="230">
        <f t="shared" si="314"/>
        <v>92.331309066903927</v>
      </c>
      <c r="P315" s="230">
        <f t="shared" si="314"/>
        <v>93.185280750798725</v>
      </c>
      <c r="Q315" s="230">
        <f t="shared" si="314"/>
        <v>93.794309203452173</v>
      </c>
      <c r="R315" s="230">
        <f t="shared" si="314"/>
        <v>94.110052169220822</v>
      </c>
      <c r="S315" s="230">
        <f t="shared" si="314"/>
        <v>94.302707764670686</v>
      </c>
      <c r="T315" s="230">
        <f t="shared" si="314"/>
        <v>94.399217351789616</v>
      </c>
      <c r="U315" s="230">
        <f t="shared" si="314"/>
        <v>94.424577115249832</v>
      </c>
      <c r="V315" s="230">
        <f t="shared" si="314"/>
        <v>94.405681535471373</v>
      </c>
      <c r="W315" s="230">
        <f t="shared" si="314"/>
        <v>94.364064841729743</v>
      </c>
      <c r="X315" s="230">
        <f t="shared" si="314"/>
        <v>93.042038253563632</v>
      </c>
      <c r="Y315" s="230">
        <f t="shared" si="314"/>
        <v>91.657845597002037</v>
      </c>
      <c r="Z315" s="230">
        <f t="shared" si="314"/>
        <v>90.213195200186803</v>
      </c>
      <c r="AA315" s="230">
        <f t="shared" si="314"/>
        <v>88.691317507926513</v>
      </c>
      <c r="AB315" s="230">
        <f t="shared" si="314"/>
        <v>87.07038854305361</v>
      </c>
      <c r="AC315" s="230">
        <f t="shared" si="314"/>
        <v>85.319641328960813</v>
      </c>
      <c r="AD315" s="230">
        <f t="shared" si="314"/>
        <v>83.399526795926164</v>
      </c>
      <c r="AE315" s="230">
        <f t="shared" si="314"/>
        <v>81.269149834585249</v>
      </c>
      <c r="AF315" s="230">
        <f t="shared" si="314"/>
        <v>78.899099688889024</v>
      </c>
      <c r="AG315" s="230">
        <f>SUM(AG284:AG285)-SUM(AG311,AG313)</f>
        <v>76.287295634805943</v>
      </c>
      <c r="AJ315" s="325"/>
    </row>
    <row r="316" spans="1:37" s="230" customFormat="1">
      <c r="A316" s="326"/>
      <c r="B316" s="324"/>
      <c r="AJ316" s="325"/>
    </row>
    <row r="317" spans="1:37" s="230" customFormat="1">
      <c r="A317" s="325" t="s">
        <v>1413</v>
      </c>
      <c r="B317" s="324" t="s">
        <v>704</v>
      </c>
      <c r="C317" s="327">
        <f>C237*C236*C50</f>
        <v>26.532252911123685</v>
      </c>
      <c r="D317" s="327">
        <f t="shared" ref="D317:AG317" si="315">D237*D236*D50</f>
        <v>28.387149276121264</v>
      </c>
      <c r="E317" s="327">
        <f t="shared" si="315"/>
        <v>30.265445246182733</v>
      </c>
      <c r="F317" s="327">
        <f t="shared" si="315"/>
        <v>32.156739571123971</v>
      </c>
      <c r="G317" s="327">
        <f t="shared" si="315"/>
        <v>34.049982524006246</v>
      </c>
      <c r="H317" s="327">
        <f t="shared" si="315"/>
        <v>35.933577955581427</v>
      </c>
      <c r="I317" s="327">
        <f t="shared" si="315"/>
        <v>37.877039939484142</v>
      </c>
      <c r="J317" s="327">
        <f t="shared" si="315"/>
        <v>39.880324379290258</v>
      </c>
      <c r="K317" s="327">
        <f t="shared" si="315"/>
        <v>41.943277549387176</v>
      </c>
      <c r="L317" s="327">
        <f t="shared" si="315"/>
        <v>44.065632476887735</v>
      </c>
      <c r="M317" s="327">
        <f t="shared" si="315"/>
        <v>46.247005517790463</v>
      </c>
      <c r="N317" s="327">
        <f t="shared" si="315"/>
        <v>48.417518552138048</v>
      </c>
      <c r="O317" s="327">
        <f t="shared" si="315"/>
        <v>50.566825620555811</v>
      </c>
      <c r="P317" s="327">
        <f t="shared" si="315"/>
        <v>52.685921420637683</v>
      </c>
      <c r="Q317" s="327">
        <f t="shared" si="315"/>
        <v>54.762538949312685</v>
      </c>
      <c r="R317" s="327">
        <f t="shared" si="315"/>
        <v>56.785792508375948</v>
      </c>
      <c r="S317" s="327">
        <f t="shared" si="315"/>
        <v>58.850634713653449</v>
      </c>
      <c r="T317" s="327">
        <f t="shared" si="315"/>
        <v>60.957284946067247</v>
      </c>
      <c r="U317" s="327">
        <f t="shared" si="315"/>
        <v>63.10594723859834</v>
      </c>
      <c r="V317" s="327">
        <f t="shared" si="315"/>
        <v>65.296809860613223</v>
      </c>
      <c r="W317" s="327">
        <f t="shared" si="315"/>
        <v>67.53004490598822</v>
      </c>
      <c r="X317" s="327">
        <f t="shared" si="315"/>
        <v>69.806576755360851</v>
      </c>
      <c r="Y317" s="327">
        <f t="shared" si="315"/>
        <v>72.126621770601659</v>
      </c>
      <c r="Z317" s="327">
        <f t="shared" si="315"/>
        <v>74.493782762316243</v>
      </c>
      <c r="AA317" s="327">
        <f t="shared" si="315"/>
        <v>76.905065795188435</v>
      </c>
      <c r="AB317" s="327">
        <f t="shared" si="315"/>
        <v>79.360649036020916</v>
      </c>
      <c r="AC317" s="327">
        <f t="shared" si="315"/>
        <v>81.861469143031613</v>
      </c>
      <c r="AD317" s="327">
        <f t="shared" si="315"/>
        <v>84.407746294505955</v>
      </c>
      <c r="AE317" s="327">
        <f t="shared" si="315"/>
        <v>86.999687202427566</v>
      </c>
      <c r="AF317" s="327">
        <f t="shared" si="315"/>
        <v>89.637484778832359</v>
      </c>
      <c r="AG317" s="327">
        <f t="shared" si="315"/>
        <v>92.321317804796962</v>
      </c>
      <c r="AJ317" s="325"/>
    </row>
    <row r="318" spans="1:37" s="230" customFormat="1">
      <c r="A318" s="230" t="s">
        <v>1414</v>
      </c>
      <c r="B318" s="324" t="s">
        <v>704</v>
      </c>
      <c r="C318" s="327">
        <f t="shared" ref="C318:AG318" si="316">C238*C236*C50</f>
        <v>94.068896684893076</v>
      </c>
      <c r="D318" s="327">
        <f t="shared" si="316"/>
        <v>96.850274000884326</v>
      </c>
      <c r="E318" s="327">
        <f t="shared" si="316"/>
        <v>99.443605808886133</v>
      </c>
      <c r="F318" s="327">
        <f t="shared" si="316"/>
        <v>101.82967530855926</v>
      </c>
      <c r="G318" s="327">
        <f t="shared" si="316"/>
        <v>103.99048716791101</v>
      </c>
      <c r="H318" s="327">
        <f t="shared" si="316"/>
        <v>105.90949292171369</v>
      </c>
      <c r="I318" s="327">
        <f t="shared" si="316"/>
        <v>107.80388290468566</v>
      </c>
      <c r="J318" s="327">
        <f t="shared" si="316"/>
        <v>109.67089204304824</v>
      </c>
      <c r="K318" s="327">
        <f t="shared" si="316"/>
        <v>111.50773787520009</v>
      </c>
      <c r="L318" s="327">
        <f t="shared" si="316"/>
        <v>113.31162636913993</v>
      </c>
      <c r="M318" s="327">
        <f t="shared" si="316"/>
        <v>115.07975791636235</v>
      </c>
      <c r="N318" s="327">
        <f t="shared" si="316"/>
        <v>116.64220378469626</v>
      </c>
      <c r="O318" s="327">
        <f t="shared" si="316"/>
        <v>117.98925978129695</v>
      </c>
      <c r="P318" s="327">
        <f t="shared" si="316"/>
        <v>119.11599625535483</v>
      </c>
      <c r="Q318" s="327">
        <f t="shared" si="316"/>
        <v>120.01152152721724</v>
      </c>
      <c r="R318" s="327">
        <f t="shared" si="316"/>
        <v>120.66980908029898</v>
      </c>
      <c r="S318" s="327">
        <f t="shared" si="316"/>
        <v>121.3043695118164</v>
      </c>
      <c r="T318" s="327">
        <f t="shared" si="316"/>
        <v>121.91456989213458</v>
      </c>
      <c r="U318" s="327">
        <f t="shared" si="316"/>
        <v>122.49977993374981</v>
      </c>
      <c r="V318" s="327">
        <f t="shared" si="316"/>
        <v>123.05937242961734</v>
      </c>
      <c r="W318" s="327">
        <f t="shared" si="316"/>
        <v>123.59272369586539</v>
      </c>
      <c r="X318" s="327">
        <f t="shared" si="316"/>
        <v>124.10058089841941</v>
      </c>
      <c r="Y318" s="327">
        <f t="shared" si="316"/>
        <v>124.58234669467571</v>
      </c>
      <c r="Z318" s="327">
        <f t="shared" si="316"/>
        <v>125.04313535103098</v>
      </c>
      <c r="AA318" s="327">
        <f t="shared" si="316"/>
        <v>125.47668629741288</v>
      </c>
      <c r="AB318" s="327">
        <f t="shared" si="316"/>
        <v>125.88240881575747</v>
      </c>
      <c r="AC318" s="327">
        <f t="shared" si="316"/>
        <v>126.26091003416755</v>
      </c>
      <c r="AD318" s="327">
        <f t="shared" si="316"/>
        <v>126.6116194417591</v>
      </c>
      <c r="AE318" s="327">
        <f t="shared" si="316"/>
        <v>126.93396985272238</v>
      </c>
      <c r="AF318" s="327">
        <f t="shared" si="316"/>
        <v>127.22739775060093</v>
      </c>
      <c r="AG318" s="327">
        <f t="shared" si="316"/>
        <v>127.49134363519583</v>
      </c>
      <c r="AJ318" s="325"/>
    </row>
    <row r="319" spans="1:37" s="230" customFormat="1">
      <c r="B319" s="324"/>
      <c r="C319" s="317"/>
      <c r="D319" s="317"/>
      <c r="E319" s="317"/>
      <c r="F319" s="317"/>
      <c r="G319" s="317"/>
      <c r="H319" s="317"/>
      <c r="I319" s="317"/>
      <c r="J319" s="317"/>
      <c r="K319" s="317"/>
      <c r="L319" s="317"/>
      <c r="M319" s="317"/>
      <c r="N319" s="317"/>
      <c r="O319" s="317"/>
      <c r="P319" s="317"/>
      <c r="Q319" s="317"/>
      <c r="R319" s="317"/>
      <c r="S319" s="317"/>
      <c r="T319" s="317"/>
      <c r="U319" s="317"/>
      <c r="V319" s="317"/>
      <c r="W319" s="317"/>
      <c r="X319" s="317"/>
      <c r="Y319" s="317"/>
      <c r="Z319" s="317"/>
      <c r="AA319" s="317"/>
      <c r="AB319" s="317"/>
      <c r="AC319" s="317"/>
      <c r="AD319" s="317"/>
      <c r="AE319" s="317"/>
      <c r="AF319" s="317"/>
      <c r="AG319" s="317"/>
      <c r="AJ319" s="325"/>
    </row>
    <row r="320" spans="1:37" s="230" customFormat="1">
      <c r="A320" s="351" t="s">
        <v>233</v>
      </c>
      <c r="B320" s="352" t="s">
        <v>704</v>
      </c>
      <c r="C320" s="304">
        <f t="shared" ref="C320:AG320" si="317">C298-C311-C313</f>
        <v>15.604910284817102</v>
      </c>
      <c r="D320" s="353">
        <f t="shared" si="317"/>
        <v>16.278156511039725</v>
      </c>
      <c r="E320" s="353">
        <f t="shared" si="317"/>
        <v>16.944029974984016</v>
      </c>
      <c r="F320" s="353">
        <f t="shared" si="317"/>
        <v>17.59896872271101</v>
      </c>
      <c r="G320" s="353">
        <f t="shared" si="317"/>
        <v>18.239220476659813</v>
      </c>
      <c r="H320" s="353">
        <f t="shared" si="317"/>
        <v>18.860787818047594</v>
      </c>
      <c r="I320" s="353">
        <f t="shared" si="317"/>
        <v>19.501286008636537</v>
      </c>
      <c r="J320" s="353">
        <f t="shared" si="317"/>
        <v>20.159656967878021</v>
      </c>
      <c r="K320" s="353">
        <f t="shared" si="317"/>
        <v>20.833667125726471</v>
      </c>
      <c r="L320" s="353">
        <f t="shared" si="317"/>
        <v>21.519097876546837</v>
      </c>
      <c r="M320" s="353">
        <f t="shared" si="317"/>
        <v>22.208286073913062</v>
      </c>
      <c r="N320" s="353">
        <f t="shared" si="317"/>
        <v>21.634896335967884</v>
      </c>
      <c r="O320" s="353">
        <f t="shared" si="317"/>
        <v>20.977676160642126</v>
      </c>
      <c r="P320" s="353">
        <f t="shared" si="317"/>
        <v>20.231570294638097</v>
      </c>
      <c r="Q320" s="353">
        <f t="shared" si="317"/>
        <v>19.393944956272058</v>
      </c>
      <c r="R320" s="353">
        <f t="shared" si="317"/>
        <v>19.581536431384684</v>
      </c>
      <c r="S320" s="353">
        <f t="shared" si="317"/>
        <v>20.070757634882256</v>
      </c>
      <c r="T320" s="353">
        <f t="shared" si="317"/>
        <v>20.457669613815746</v>
      </c>
      <c r="U320" s="353">
        <f t="shared" si="317"/>
        <v>20.767841463469992</v>
      </c>
      <c r="V320" s="353">
        <f t="shared" si="317"/>
        <v>21.028748523535782</v>
      </c>
      <c r="W320" s="353">
        <f t="shared" si="317"/>
        <v>21.262513403726128</v>
      </c>
      <c r="X320" s="353">
        <f t="shared" si="317"/>
        <v>22.099503973778031</v>
      </c>
      <c r="Y320" s="353">
        <f t="shared" si="317"/>
        <v>22.881579944165285</v>
      </c>
      <c r="Z320" s="353">
        <f t="shared" si="317"/>
        <v>23.607792358212432</v>
      </c>
      <c r="AA320" s="353">
        <f t="shared" si="317"/>
        <v>24.265880159850369</v>
      </c>
      <c r="AB320" s="353">
        <f t="shared" si="317"/>
        <v>24.83480538697658</v>
      </c>
      <c r="AC320" s="353">
        <f t="shared" si="317"/>
        <v>25.28401939663107</v>
      </c>
      <c r="AD320" s="353">
        <f t="shared" si="317"/>
        <v>25.574820230774336</v>
      </c>
      <c r="AE320" s="353">
        <f t="shared" si="317"/>
        <v>25.667159155580226</v>
      </c>
      <c r="AF320" s="353">
        <f t="shared" si="317"/>
        <v>25.532470398757688</v>
      </c>
      <c r="AG320" s="354">
        <f t="shared" si="317"/>
        <v>25.169516162001333</v>
      </c>
      <c r="AI320" s="230" t="s">
        <v>1415</v>
      </c>
      <c r="AJ320" s="325"/>
    </row>
    <row r="321" spans="1:36" s="230" customFormat="1">
      <c r="A321" s="355" t="s">
        <v>234</v>
      </c>
      <c r="B321" s="356" t="s">
        <v>704</v>
      </c>
      <c r="C321" s="357">
        <f>C299+C320</f>
        <v>102.7392408679392</v>
      </c>
      <c r="D321" s="357">
        <f t="shared" ref="D321:AF321" si="318">D299+D320</f>
        <v>105.91190230097165</v>
      </c>
      <c r="E321" s="357">
        <f t="shared" si="318"/>
        <v>108.90025287230021</v>
      </c>
      <c r="F321" s="357">
        <f t="shared" si="318"/>
        <v>111.68355931915018</v>
      </c>
      <c r="G321" s="357">
        <f t="shared" si="318"/>
        <v>114.24207255499783</v>
      </c>
      <c r="H321" s="357">
        <f t="shared" si="318"/>
        <v>116.55717292743569</v>
      </c>
      <c r="I321" s="357">
        <f t="shared" si="318"/>
        <v>118.86732986218787</v>
      </c>
      <c r="J321" s="357">
        <f t="shared" si="318"/>
        <v>121.16912414380826</v>
      </c>
      <c r="K321" s="357">
        <f t="shared" si="318"/>
        <v>123.45795521686892</v>
      </c>
      <c r="L321" s="357">
        <f t="shared" si="318"/>
        <v>125.72723670773827</v>
      </c>
      <c r="M321" s="357">
        <f t="shared" si="318"/>
        <v>127.9669421029688</v>
      </c>
      <c r="N321" s="357">
        <f t="shared" si="318"/>
        <v>128.75489643889787</v>
      </c>
      <c r="O321" s="357">
        <f t="shared" si="318"/>
        <v>129.26147654450037</v>
      </c>
      <c r="P321" s="357">
        <f t="shared" si="318"/>
        <v>129.47764182501697</v>
      </c>
      <c r="Q321" s="357">
        <f t="shared" si="318"/>
        <v>129.39130120498515</v>
      </c>
      <c r="R321" s="357">
        <f t="shared" si="318"/>
        <v>128.95862411189268</v>
      </c>
      <c r="S321" s="357">
        <f t="shared" si="318"/>
        <v>128.41591322343655</v>
      </c>
      <c r="T321" s="357">
        <f t="shared" si="318"/>
        <v>127.7909695051377</v>
      </c>
      <c r="U321" s="357">
        <f t="shared" si="318"/>
        <v>127.10964919067901</v>
      </c>
      <c r="V321" s="357">
        <f t="shared" si="318"/>
        <v>126.39970654770303</v>
      </c>
      <c r="W321" s="357">
        <f t="shared" si="318"/>
        <v>125.68353461514977</v>
      </c>
      <c r="X321" s="357">
        <f t="shared" si="318"/>
        <v>123.14461221643695</v>
      </c>
      <c r="Y321" s="357">
        <f t="shared" si="318"/>
        <v>120.57770584966201</v>
      </c>
      <c r="Z321" s="357">
        <f t="shared" si="318"/>
        <v>117.9873815418745</v>
      </c>
      <c r="AA321" s="357">
        <f t="shared" si="318"/>
        <v>115.35682854894931</v>
      </c>
      <c r="AB321" s="357">
        <f t="shared" si="318"/>
        <v>112.66569415239424</v>
      </c>
      <c r="AC321" s="357">
        <f t="shared" si="318"/>
        <v>109.88490820861722</v>
      </c>
      <c r="AD321" s="357">
        <f t="shared" si="318"/>
        <v>106.97635065695854</v>
      </c>
      <c r="AE321" s="357">
        <f t="shared" si="318"/>
        <v>103.90054877828236</v>
      </c>
      <c r="AF321" s="357">
        <f t="shared" si="318"/>
        <v>100.62950654963464</v>
      </c>
      <c r="AG321" s="358">
        <f>AG299+AG320</f>
        <v>97.162549278173159</v>
      </c>
      <c r="AI321" s="230" t="s">
        <v>1416</v>
      </c>
      <c r="AJ321" s="325"/>
    </row>
    <row r="322" spans="1:36" s="230" customFormat="1">
      <c r="B322" s="324"/>
      <c r="C322" s="317"/>
      <c r="D322" s="317"/>
      <c r="E322" s="317"/>
      <c r="F322" s="317"/>
      <c r="G322" s="317"/>
      <c r="H322" s="317"/>
      <c r="I322" s="317"/>
      <c r="J322" s="317"/>
      <c r="K322" s="317"/>
      <c r="L322" s="317"/>
      <c r="M322" s="317"/>
      <c r="N322" s="317"/>
      <c r="O322" s="317"/>
      <c r="P322" s="317"/>
      <c r="Q322" s="317"/>
      <c r="R322" s="317"/>
      <c r="S322" s="317"/>
      <c r="T322" s="317"/>
      <c r="U322" s="317"/>
      <c r="V322" s="317"/>
      <c r="W322" s="317"/>
      <c r="X322" s="317"/>
      <c r="Y322" s="317"/>
      <c r="Z322" s="317"/>
      <c r="AA322" s="317"/>
      <c r="AB322" s="317"/>
      <c r="AC322" s="317"/>
      <c r="AD322" s="317"/>
      <c r="AE322" s="317"/>
      <c r="AF322" s="317"/>
      <c r="AG322" s="317"/>
      <c r="AJ322" s="325"/>
    </row>
    <row r="323" spans="1:36" s="181" customFormat="1">
      <c r="B323" s="176"/>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234"/>
      <c r="AJ323" s="323"/>
    </row>
    <row r="324" spans="1:36" ht="16" thickBot="1">
      <c r="A324" s="200" t="s">
        <v>1417</v>
      </c>
      <c r="B324" s="235"/>
      <c r="C324" s="236"/>
      <c r="D324" s="222"/>
      <c r="E324" s="222"/>
      <c r="F324" s="222"/>
      <c r="G324" s="222"/>
      <c r="H324" s="222"/>
      <c r="I324" s="222"/>
      <c r="J324" s="222"/>
      <c r="K324" s="222"/>
      <c r="L324" s="222"/>
      <c r="M324" s="237"/>
      <c r="N324" s="110"/>
      <c r="O324" s="110"/>
      <c r="P324" s="110"/>
      <c r="Q324" s="110"/>
      <c r="R324" s="110"/>
      <c r="S324" s="110"/>
      <c r="T324" s="110"/>
      <c r="U324" s="110"/>
      <c r="V324" s="110"/>
      <c r="W324" s="126"/>
      <c r="X324" s="110"/>
      <c r="Y324" s="110"/>
      <c r="Z324" s="110"/>
      <c r="AA324" s="110"/>
      <c r="AB324" s="110"/>
      <c r="AC324" s="110"/>
      <c r="AD324" s="110"/>
      <c r="AE324" s="110"/>
      <c r="AF324" s="110"/>
      <c r="AG324" s="110" t="s">
        <v>1418</v>
      </c>
    </row>
    <row r="325" spans="1:36" ht="16" hidden="1" thickTop="1">
      <c r="A325" s="181" t="s">
        <v>1419</v>
      </c>
      <c r="B325" s="130"/>
      <c r="C325" s="234">
        <f>C64*C14+C118*C15+C166*C17+C196*C16</f>
        <v>14.348994409010164</v>
      </c>
      <c r="D325" s="233"/>
      <c r="E325" s="233"/>
      <c r="F325" s="233"/>
      <c r="G325" s="233"/>
      <c r="H325" s="233"/>
      <c r="I325" s="233"/>
      <c r="J325" s="233"/>
      <c r="K325" s="233"/>
      <c r="L325" s="233"/>
      <c r="M325" s="127">
        <f>C325/$C$330</f>
        <v>0.39980093750123691</v>
      </c>
      <c r="N325" s="110"/>
      <c r="O325" s="110"/>
      <c r="P325" s="110"/>
      <c r="Q325" s="110"/>
      <c r="R325" s="110"/>
      <c r="S325" s="110"/>
      <c r="T325" s="110"/>
      <c r="U325" s="110"/>
      <c r="V325" s="110"/>
      <c r="W325" s="106"/>
      <c r="X325" s="110"/>
      <c r="Y325" s="110"/>
      <c r="Z325" s="110"/>
      <c r="AA325" s="110"/>
      <c r="AB325" s="110"/>
      <c r="AC325" s="110"/>
      <c r="AD325" s="110"/>
      <c r="AE325" s="110"/>
      <c r="AF325" s="110"/>
      <c r="AG325" s="56">
        <v>0.46</v>
      </c>
    </row>
    <row r="326" spans="1:36" hidden="1">
      <c r="A326" t="s">
        <v>1420</v>
      </c>
      <c r="C326" s="234">
        <f>C53*C14+C119*C15</f>
        <v>9.0743320403108019</v>
      </c>
      <c r="D326" s="234"/>
      <c r="E326" s="234"/>
      <c r="F326" s="234"/>
      <c r="G326" s="234"/>
      <c r="H326" s="234"/>
      <c r="I326" s="234"/>
      <c r="J326" s="234"/>
      <c r="K326" s="234"/>
      <c r="L326" s="234"/>
      <c r="M326" s="127">
        <f t="shared" ref="M326:M329" si="319">C326/$C$330</f>
        <v>0.25283489236260948</v>
      </c>
      <c r="AG326" s="56">
        <v>0.24</v>
      </c>
    </row>
    <row r="327" spans="1:36" hidden="1">
      <c r="A327" t="s">
        <v>1421</v>
      </c>
      <c r="C327" s="234">
        <f>C167*C17+C62*C14+C208*C18+C120*C15</f>
        <v>10.095550469083447</v>
      </c>
      <c r="D327" s="234"/>
      <c r="E327" s="234"/>
      <c r="F327" s="234"/>
      <c r="G327" s="234"/>
      <c r="H327" s="234"/>
      <c r="I327" s="234"/>
      <c r="J327" s="234"/>
      <c r="K327" s="234"/>
      <c r="L327" s="234"/>
      <c r="M327" s="127">
        <f t="shared" si="319"/>
        <v>0.28128873892348555</v>
      </c>
      <c r="AG327" s="56">
        <v>0.26</v>
      </c>
    </row>
    <row r="328" spans="1:36" hidden="1">
      <c r="A328" t="s">
        <v>1422</v>
      </c>
      <c r="C328" s="234">
        <f>C159*C17+C61*C14</f>
        <v>2.335221760377832</v>
      </c>
      <c r="D328" s="234"/>
      <c r="E328" s="234"/>
      <c r="F328" s="234"/>
      <c r="G328" s="234"/>
      <c r="H328" s="234"/>
      <c r="I328" s="234"/>
      <c r="J328" s="234"/>
      <c r="K328" s="234"/>
      <c r="L328" s="234"/>
      <c r="M328" s="127">
        <f t="shared" si="319"/>
        <v>6.5065454934325959E-2</v>
      </c>
      <c r="AG328" s="56">
        <v>0.01</v>
      </c>
    </row>
    <row r="329" spans="1:36" hidden="1">
      <c r="A329" t="s">
        <v>1423</v>
      </c>
      <c r="B329"/>
      <c r="C329" s="234">
        <f>C110*C15</f>
        <v>3.6248399170191126E-2</v>
      </c>
      <c r="D329" s="234"/>
      <c r="E329" s="234"/>
      <c r="F329" s="234"/>
      <c r="G329" s="234"/>
      <c r="H329" s="234"/>
      <c r="I329" s="234"/>
      <c r="J329" s="234"/>
      <c r="K329" s="234"/>
      <c r="L329" s="234"/>
      <c r="M329" s="127">
        <f t="shared" si="319"/>
        <v>1.0099762783419455E-3</v>
      </c>
      <c r="AG329" s="56">
        <v>0.03</v>
      </c>
    </row>
    <row r="330" spans="1:36" hidden="1">
      <c r="A330" t="s">
        <v>1424</v>
      </c>
      <c r="B330" s="51"/>
      <c r="C330" s="233">
        <f>SUM(C325:C329)</f>
        <v>35.890347077952441</v>
      </c>
      <c r="D330" s="234"/>
      <c r="E330" s="234"/>
      <c r="F330" s="234"/>
      <c r="G330" s="234"/>
      <c r="H330" s="234"/>
      <c r="I330" s="234"/>
      <c r="J330" s="234"/>
      <c r="K330" s="234"/>
      <c r="L330" s="234"/>
      <c r="M330" s="234"/>
    </row>
    <row r="331" spans="1:36" hidden="1">
      <c r="B331" s="181" t="s">
        <v>1425</v>
      </c>
      <c r="C331" s="234">
        <f>C222*C19</f>
        <v>37.870379963560374</v>
      </c>
      <c r="D331" s="234"/>
      <c r="E331" s="234"/>
      <c r="F331" s="234"/>
      <c r="G331" s="234"/>
      <c r="H331" s="234"/>
      <c r="I331" s="234"/>
      <c r="J331" s="234"/>
      <c r="K331" s="234"/>
      <c r="L331" s="234"/>
      <c r="M331" s="234"/>
      <c r="AG331" s="107" t="s">
        <v>1426</v>
      </c>
    </row>
    <row r="332" spans="1:36" ht="16" thickTop="1">
      <c r="B332" s="51"/>
    </row>
    <row r="333" spans="1:36">
      <c r="B333" s="51"/>
    </row>
    <row r="334" spans="1:36">
      <c r="B334" s="51"/>
    </row>
    <row r="335" spans="1:36">
      <c r="A335" s="245"/>
      <c r="B335" s="278">
        <f>AG224-C224</f>
        <v>95.593862573599694</v>
      </c>
      <c r="AG335" s="107" t="s">
        <v>1461</v>
      </c>
    </row>
    <row r="336" spans="1:36">
      <c r="A336" s="112"/>
      <c r="B336"/>
      <c r="C336" s="2">
        <f>(C67*C45+C119*C46)/(C67*C45+C119*C46+'Yearly HC Ethylene'!D95)</f>
        <v>5.5053692721079947E-2</v>
      </c>
      <c r="W336" s="107" t="s">
        <v>309</v>
      </c>
      <c r="AG336" s="2">
        <f>(AG67*AG45+AG119*AG46)/(AG67*AG45+AG119*AG46+'Yearly HC Ethylene'!AH95)</f>
        <v>0.28979866152538236</v>
      </c>
    </row>
    <row r="337" spans="3:34">
      <c r="C337" s="2">
        <f>(C199*C47+C45*C73+C46*C118+C166*C48)/(C199*C47+C45*C73+C46*C118+C166*C48+'Yearly HC Ethylene'!D127)</f>
        <v>0.1695868688038055</v>
      </c>
      <c r="W337" s="107" t="s">
        <v>811</v>
      </c>
      <c r="AG337" s="2">
        <f>(AG199*AG47+AG45*AG73+AG46*AG118+AG166*AG48)/(AG199*AG47+AG45*AG73+AG46*AG118+AG166*AG48+'Yearly HC Ethylene'!AH127)</f>
        <v>0.67754637852843835</v>
      </c>
      <c r="AH337" s="245">
        <f>AG199*AG47+AG45*AG73+AG46*AG118+AG166*AG48</f>
        <v>44.002282957528429</v>
      </c>
    </row>
    <row r="338" spans="3:34">
      <c r="C338" s="2">
        <f>(C110*C46)/(C110*C46+'Yearly HC Ethylene'!D105)</f>
        <v>5.1534797089779541E-4</v>
      </c>
      <c r="W338" s="107" t="s">
        <v>1462</v>
      </c>
      <c r="AG338" s="2">
        <f>(AG110*AG46)/(AG110*AG46+'Yearly HC Ethylene'!AH105)</f>
        <v>0.1376916019134258</v>
      </c>
    </row>
    <row r="339" spans="3:34">
      <c r="C339" s="2">
        <f>(C70*C45+C48*C159)/(C70*C45+C48*C159+'Yearly HC Ethylene'!D115)</f>
        <v>0.26468169583723472</v>
      </c>
      <c r="W339" s="107" t="s">
        <v>320</v>
      </c>
      <c r="AG339" s="2">
        <f>(AG70*AG45+AG48*AG159)/(AG70*AG45+AG48*AG159+'Yearly HC Ethylene'!AH115)</f>
        <v>0.49574648715216502</v>
      </c>
    </row>
    <row r="340" spans="3:34">
      <c r="C340" s="2">
        <f>(C71*C45+C209*C49+C120*C46+C167*C48)/(C71*C45+C209*C49+C120*C46+C167*C48+'Yearly HC Ethylene'!D139)</f>
        <v>0.10543712439274786</v>
      </c>
      <c r="W340" s="107" t="s">
        <v>248</v>
      </c>
      <c r="AG340" s="2">
        <f>(AG71*AG45+AG209*AG49+AG120*AG46+AG167*AG48)/(AG71*AG45+AG209*AG49+AG120*AG46+AG167*AG48+'Yearly HC Ethylene'!AH139)</f>
        <v>0.25473540456304855</v>
      </c>
    </row>
    <row r="341" spans="3:34">
      <c r="C341" s="2">
        <f>C224/('Yearly HC Ethylene'!D148+C224)</f>
        <v>9.892785836957832E-2</v>
      </c>
      <c r="AG341" s="2">
        <f>AG224/('Yearly HC Ethylene'!AH148+AG224)</f>
        <v>0.38075244059326713</v>
      </c>
    </row>
  </sheetData>
  <mergeCells count="4">
    <mergeCell ref="BD119:BE119"/>
    <mergeCell ref="BD109:BE109"/>
    <mergeCell ref="BD114:BE114"/>
    <mergeCell ref="AI291:AI299"/>
  </mergeCells>
  <hyperlinks>
    <hyperlink ref="AJ113" r:id="rId1" xr:uid="{D8AB2709-857C-422C-A3AC-7C781BC300EC}"/>
    <hyperlink ref="AJ114" r:id="rId2" xr:uid="{D7778EEE-F00F-459A-AB60-035BCA437FBE}"/>
  </hyperlinks>
  <pageMargins left="0.7" right="0.7" top="0.75" bottom="0.75" header="0.3" footer="0.3"/>
  <pageSetup orientation="portrait" r:id="rId3"/>
  <drawing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28A3-6961-4768-9D36-6787C1C64686}">
  <sheetPr>
    <tabColor theme="4"/>
  </sheetPr>
  <dimension ref="A1:BL200"/>
  <sheetViews>
    <sheetView topLeftCell="A81" zoomScale="70" zoomScaleNormal="70" workbookViewId="0">
      <selection activeCell="AI41" sqref="AI41"/>
    </sheetView>
  </sheetViews>
  <sheetFormatPr baseColWidth="10" defaultColWidth="8.83203125" defaultRowHeight="15" outlineLevelRow="2" outlineLevelCol="1"/>
  <cols>
    <col min="1" max="1" width="56.66406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1463</v>
      </c>
      <c r="B21" s="54" t="s">
        <v>462</v>
      </c>
      <c r="C21" s="110">
        <f>'Overall recycling rates'!D76</f>
        <v>0.22178989519762488</v>
      </c>
      <c r="D21" s="110">
        <f>C21</f>
        <v>0.22178989519762488</v>
      </c>
      <c r="E21" s="110">
        <f t="shared" ref="E21:T21" si="10">D21</f>
        <v>0.22178989519762488</v>
      </c>
      <c r="F21" s="110">
        <f t="shared" si="10"/>
        <v>0.22178989519762488</v>
      </c>
      <c r="G21" s="110">
        <f t="shared" si="10"/>
        <v>0.22178989519762488</v>
      </c>
      <c r="H21" s="110">
        <f t="shared" si="10"/>
        <v>0.22178989519762488</v>
      </c>
      <c r="I21" s="110">
        <f t="shared" si="10"/>
        <v>0.22178989519762488</v>
      </c>
      <c r="J21" s="110">
        <f t="shared" si="10"/>
        <v>0.22178989519762488</v>
      </c>
      <c r="K21" s="110">
        <f t="shared" si="10"/>
        <v>0.22178989519762488</v>
      </c>
      <c r="L21" s="110">
        <f t="shared" si="10"/>
        <v>0.22178989519762488</v>
      </c>
      <c r="M21" s="110">
        <f t="shared" si="10"/>
        <v>0.22178989519762488</v>
      </c>
      <c r="N21" s="110">
        <f t="shared" si="10"/>
        <v>0.22178989519762488</v>
      </c>
      <c r="O21" s="110">
        <f t="shared" si="10"/>
        <v>0.22178989519762488</v>
      </c>
      <c r="P21" s="110">
        <f t="shared" si="10"/>
        <v>0.22178989519762488</v>
      </c>
      <c r="Q21" s="110">
        <f t="shared" si="10"/>
        <v>0.22178989519762488</v>
      </c>
      <c r="R21" s="110">
        <f t="shared" si="10"/>
        <v>0.22178989519762488</v>
      </c>
      <c r="S21" s="110">
        <f t="shared" si="10"/>
        <v>0.22178989519762488</v>
      </c>
      <c r="T21" s="110">
        <f t="shared" si="10"/>
        <v>0.22178989519762488</v>
      </c>
      <c r="U21" s="110">
        <f t="shared" ref="T21:AG25" si="11">T21</f>
        <v>0.22178989519762488</v>
      </c>
      <c r="V21" s="110">
        <f t="shared" si="11"/>
        <v>0.22178989519762488</v>
      </c>
      <c r="W21" s="110">
        <f t="shared" si="11"/>
        <v>0.22178989519762488</v>
      </c>
      <c r="X21" s="110">
        <f t="shared" si="11"/>
        <v>0.22178989519762488</v>
      </c>
      <c r="Y21" s="110">
        <f t="shared" si="11"/>
        <v>0.22178989519762488</v>
      </c>
      <c r="Z21" s="110">
        <f t="shared" si="11"/>
        <v>0.22178989519762488</v>
      </c>
      <c r="AA21" s="110">
        <f t="shared" si="11"/>
        <v>0.22178989519762488</v>
      </c>
      <c r="AB21" s="110">
        <f t="shared" si="11"/>
        <v>0.22178989519762488</v>
      </c>
      <c r="AC21" s="110">
        <f t="shared" si="11"/>
        <v>0.22178989519762488</v>
      </c>
      <c r="AD21" s="110">
        <f t="shared" si="11"/>
        <v>0.22178989519762488</v>
      </c>
      <c r="AE21" s="110">
        <f t="shared" si="11"/>
        <v>0.22178989519762488</v>
      </c>
      <c r="AF21" s="110">
        <f t="shared" si="11"/>
        <v>0.22178989519762488</v>
      </c>
      <c r="AG21" s="110">
        <f>AF21</f>
        <v>0.22178989519762488</v>
      </c>
      <c r="AI21" s="54" t="s">
        <v>1263</v>
      </c>
      <c r="AJ21" s="211"/>
      <c r="AM21" s="115"/>
      <c r="AN21" s="115"/>
      <c r="AO21" s="115"/>
      <c r="AP21" s="115"/>
      <c r="AQ21" s="115"/>
    </row>
    <row r="22" spans="1:64" outlineLevel="1">
      <c r="A22" t="s">
        <v>1464</v>
      </c>
      <c r="B22" s="54" t="s">
        <v>462</v>
      </c>
      <c r="C22" s="110">
        <f>'Overall recycling rates'!D78</f>
        <v>0.56901109754749091</v>
      </c>
      <c r="D22" s="110">
        <f t="shared" ref="D22:S25" si="12">C22</f>
        <v>0.56901109754749091</v>
      </c>
      <c r="E22" s="110">
        <f t="shared" si="12"/>
        <v>0.56901109754749091</v>
      </c>
      <c r="F22" s="110">
        <f t="shared" si="12"/>
        <v>0.56901109754749091</v>
      </c>
      <c r="G22" s="110">
        <f t="shared" si="12"/>
        <v>0.56901109754749091</v>
      </c>
      <c r="H22" s="110">
        <f t="shared" si="12"/>
        <v>0.56901109754749091</v>
      </c>
      <c r="I22" s="110">
        <f t="shared" si="12"/>
        <v>0.56901109754749091</v>
      </c>
      <c r="J22" s="110">
        <f t="shared" si="12"/>
        <v>0.56901109754749091</v>
      </c>
      <c r="K22" s="110">
        <f t="shared" si="12"/>
        <v>0.56901109754749091</v>
      </c>
      <c r="L22" s="110">
        <f t="shared" si="12"/>
        <v>0.56901109754749091</v>
      </c>
      <c r="M22" s="110">
        <f t="shared" si="12"/>
        <v>0.56901109754749091</v>
      </c>
      <c r="N22" s="110">
        <f t="shared" si="12"/>
        <v>0.56901109754749091</v>
      </c>
      <c r="O22" s="110">
        <f t="shared" si="12"/>
        <v>0.56901109754749091</v>
      </c>
      <c r="P22" s="110">
        <f t="shared" si="12"/>
        <v>0.56901109754749091</v>
      </c>
      <c r="Q22" s="110">
        <f t="shared" si="12"/>
        <v>0.56901109754749091</v>
      </c>
      <c r="R22" s="110">
        <f t="shared" si="12"/>
        <v>0.56901109754749091</v>
      </c>
      <c r="S22" s="110">
        <f t="shared" si="12"/>
        <v>0.56901109754749091</v>
      </c>
      <c r="T22" s="110">
        <f t="shared" si="11"/>
        <v>0.56901109754749091</v>
      </c>
      <c r="U22" s="110">
        <f t="shared" si="11"/>
        <v>0.56901109754749091</v>
      </c>
      <c r="V22" s="110">
        <f t="shared" si="11"/>
        <v>0.56901109754749091</v>
      </c>
      <c r="W22" s="110">
        <f t="shared" si="11"/>
        <v>0.56901109754749091</v>
      </c>
      <c r="X22" s="110">
        <f t="shared" si="11"/>
        <v>0.56901109754749091</v>
      </c>
      <c r="Y22" s="110">
        <f t="shared" si="11"/>
        <v>0.56901109754749091</v>
      </c>
      <c r="Z22" s="110">
        <f t="shared" si="11"/>
        <v>0.56901109754749091</v>
      </c>
      <c r="AA22" s="110">
        <f t="shared" si="11"/>
        <v>0.56901109754749091</v>
      </c>
      <c r="AB22" s="110">
        <f t="shared" si="11"/>
        <v>0.56901109754749091</v>
      </c>
      <c r="AC22" s="110">
        <f t="shared" si="11"/>
        <v>0.56901109754749091</v>
      </c>
      <c r="AD22" s="110">
        <f t="shared" si="11"/>
        <v>0.56901109754749091</v>
      </c>
      <c r="AE22" s="110">
        <f t="shared" si="11"/>
        <v>0.56901109754749091</v>
      </c>
      <c r="AF22" s="110">
        <f t="shared" si="11"/>
        <v>0.56901109754749091</v>
      </c>
      <c r="AG22" s="110">
        <f t="shared" si="11"/>
        <v>0.56901109754749091</v>
      </c>
      <c r="AI22" s="54" t="s">
        <v>1263</v>
      </c>
      <c r="AJ22" s="211"/>
      <c r="AM22" s="120"/>
      <c r="AN22" s="115"/>
      <c r="AO22" s="116"/>
      <c r="AP22" s="117"/>
      <c r="AQ22" s="116"/>
    </row>
    <row r="23" spans="1:64" outlineLevel="1">
      <c r="A23" t="s">
        <v>1465</v>
      </c>
      <c r="B23" s="54" t="s">
        <v>462</v>
      </c>
      <c r="C23" s="110">
        <f>'Overall recycling rates'!D77</f>
        <v>0.18333362189931796</v>
      </c>
      <c r="D23" s="110">
        <f t="shared" si="12"/>
        <v>0.18333362189931796</v>
      </c>
      <c r="E23" s="110">
        <f t="shared" si="12"/>
        <v>0.18333362189931796</v>
      </c>
      <c r="F23" s="110">
        <f t="shared" si="12"/>
        <v>0.18333362189931796</v>
      </c>
      <c r="G23" s="110">
        <f t="shared" si="12"/>
        <v>0.18333362189931796</v>
      </c>
      <c r="H23" s="110">
        <f t="shared" si="12"/>
        <v>0.18333362189931796</v>
      </c>
      <c r="I23" s="110">
        <f t="shared" si="12"/>
        <v>0.18333362189931796</v>
      </c>
      <c r="J23" s="110">
        <f t="shared" si="12"/>
        <v>0.18333362189931796</v>
      </c>
      <c r="K23" s="110">
        <f t="shared" si="12"/>
        <v>0.18333362189931796</v>
      </c>
      <c r="L23" s="110">
        <f t="shared" si="12"/>
        <v>0.18333362189931796</v>
      </c>
      <c r="M23" s="110">
        <f t="shared" si="12"/>
        <v>0.18333362189931796</v>
      </c>
      <c r="N23" s="110">
        <f t="shared" si="12"/>
        <v>0.18333362189931796</v>
      </c>
      <c r="O23" s="110">
        <f t="shared" si="12"/>
        <v>0.18333362189931796</v>
      </c>
      <c r="P23" s="110">
        <f t="shared" si="12"/>
        <v>0.18333362189931796</v>
      </c>
      <c r="Q23" s="110">
        <f t="shared" si="12"/>
        <v>0.18333362189931796</v>
      </c>
      <c r="R23" s="110">
        <f t="shared" si="12"/>
        <v>0.18333362189931796</v>
      </c>
      <c r="S23" s="110">
        <f t="shared" si="12"/>
        <v>0.18333362189931796</v>
      </c>
      <c r="T23" s="110">
        <f t="shared" si="11"/>
        <v>0.18333362189931796</v>
      </c>
      <c r="U23" s="110">
        <f t="shared" si="11"/>
        <v>0.18333362189931796</v>
      </c>
      <c r="V23" s="110">
        <f t="shared" si="11"/>
        <v>0.18333362189931796</v>
      </c>
      <c r="W23" s="110">
        <f t="shared" si="11"/>
        <v>0.18333362189931796</v>
      </c>
      <c r="X23" s="110">
        <f t="shared" si="11"/>
        <v>0.18333362189931796</v>
      </c>
      <c r="Y23" s="110">
        <f t="shared" si="11"/>
        <v>0.18333362189931796</v>
      </c>
      <c r="Z23" s="110">
        <f t="shared" si="11"/>
        <v>0.18333362189931796</v>
      </c>
      <c r="AA23" s="110">
        <f t="shared" si="11"/>
        <v>0.18333362189931796</v>
      </c>
      <c r="AB23" s="110">
        <f t="shared" si="11"/>
        <v>0.18333362189931796</v>
      </c>
      <c r="AC23" s="110">
        <f t="shared" si="11"/>
        <v>0.18333362189931796</v>
      </c>
      <c r="AD23" s="110">
        <f t="shared" si="11"/>
        <v>0.18333362189931796</v>
      </c>
      <c r="AE23" s="110">
        <f t="shared" si="11"/>
        <v>0.18333362189931796</v>
      </c>
      <c r="AF23" s="110">
        <f t="shared" si="11"/>
        <v>0.18333362189931796</v>
      </c>
      <c r="AG23" s="110">
        <f t="shared" si="11"/>
        <v>0.18333362189931796</v>
      </c>
      <c r="AI23" s="54" t="s">
        <v>1263</v>
      </c>
      <c r="AJ23" s="211"/>
      <c r="AM23" s="120"/>
      <c r="AN23" s="115"/>
      <c r="AO23" s="116"/>
      <c r="AP23" s="117"/>
      <c r="AQ23" s="116"/>
    </row>
    <row r="24" spans="1:64" outlineLevel="1">
      <c r="A24" t="s">
        <v>1466</v>
      </c>
      <c r="B24" s="54" t="s">
        <v>462</v>
      </c>
      <c r="C24" s="110">
        <f>'Overall recycling rates'!D79</f>
        <v>1.9541639980703622E-2</v>
      </c>
      <c r="D24" s="110">
        <f t="shared" si="12"/>
        <v>1.9541639980703622E-2</v>
      </c>
      <c r="E24" s="110">
        <f t="shared" si="12"/>
        <v>1.9541639980703622E-2</v>
      </c>
      <c r="F24" s="110">
        <f t="shared" si="12"/>
        <v>1.9541639980703622E-2</v>
      </c>
      <c r="G24" s="110">
        <f t="shared" si="12"/>
        <v>1.9541639980703622E-2</v>
      </c>
      <c r="H24" s="110">
        <f t="shared" si="12"/>
        <v>1.9541639980703622E-2</v>
      </c>
      <c r="I24" s="110">
        <f t="shared" si="12"/>
        <v>1.9541639980703622E-2</v>
      </c>
      <c r="J24" s="110">
        <f t="shared" si="12"/>
        <v>1.9541639980703622E-2</v>
      </c>
      <c r="K24" s="110">
        <f t="shared" si="12"/>
        <v>1.9541639980703622E-2</v>
      </c>
      <c r="L24" s="110">
        <f t="shared" si="12"/>
        <v>1.9541639980703622E-2</v>
      </c>
      <c r="M24" s="110">
        <f t="shared" si="12"/>
        <v>1.9541639980703622E-2</v>
      </c>
      <c r="N24" s="110">
        <f t="shared" si="12"/>
        <v>1.9541639980703622E-2</v>
      </c>
      <c r="O24" s="110">
        <f t="shared" si="12"/>
        <v>1.9541639980703622E-2</v>
      </c>
      <c r="P24" s="110">
        <f t="shared" si="12"/>
        <v>1.9541639980703622E-2</v>
      </c>
      <c r="Q24" s="110">
        <f t="shared" si="12"/>
        <v>1.9541639980703622E-2</v>
      </c>
      <c r="R24" s="110">
        <f t="shared" si="12"/>
        <v>1.9541639980703622E-2</v>
      </c>
      <c r="S24" s="110">
        <f t="shared" si="12"/>
        <v>1.9541639980703622E-2</v>
      </c>
      <c r="T24" s="110">
        <f t="shared" si="11"/>
        <v>1.9541639980703622E-2</v>
      </c>
      <c r="U24" s="110">
        <f t="shared" si="11"/>
        <v>1.9541639980703622E-2</v>
      </c>
      <c r="V24" s="110">
        <f t="shared" si="11"/>
        <v>1.9541639980703622E-2</v>
      </c>
      <c r="W24" s="110">
        <f t="shared" si="11"/>
        <v>1.9541639980703622E-2</v>
      </c>
      <c r="X24" s="110">
        <f t="shared" si="11"/>
        <v>1.9541639980703622E-2</v>
      </c>
      <c r="Y24" s="110">
        <f t="shared" si="11"/>
        <v>1.9541639980703622E-2</v>
      </c>
      <c r="Z24" s="110">
        <f t="shared" si="11"/>
        <v>1.9541639980703622E-2</v>
      </c>
      <c r="AA24" s="110">
        <f t="shared" si="11"/>
        <v>1.9541639980703622E-2</v>
      </c>
      <c r="AB24" s="110">
        <f t="shared" si="11"/>
        <v>1.9541639980703622E-2</v>
      </c>
      <c r="AC24" s="110">
        <f t="shared" si="11"/>
        <v>1.9541639980703622E-2</v>
      </c>
      <c r="AD24" s="110">
        <f t="shared" si="11"/>
        <v>1.9541639980703622E-2</v>
      </c>
      <c r="AE24" s="110">
        <f t="shared" si="11"/>
        <v>1.9541639980703622E-2</v>
      </c>
      <c r="AF24" s="110">
        <f t="shared" si="11"/>
        <v>1.9541639980703622E-2</v>
      </c>
      <c r="AG24" s="110">
        <f t="shared" si="11"/>
        <v>1.9541639980703622E-2</v>
      </c>
      <c r="AI24" s="54" t="s">
        <v>1467</v>
      </c>
      <c r="AJ24" s="211"/>
      <c r="AM24" s="120"/>
      <c r="AN24" s="115"/>
      <c r="AO24" s="116"/>
      <c r="AP24" s="117"/>
      <c r="AQ24" s="116"/>
    </row>
    <row r="25" spans="1:64" outlineLevel="1">
      <c r="A25" t="s">
        <v>1468</v>
      </c>
      <c r="B25" s="54" t="s">
        <v>462</v>
      </c>
      <c r="C25" s="110">
        <f>'Overall recycling rates'!D80</f>
        <v>0.33739166064714576</v>
      </c>
      <c r="D25" s="110">
        <f>C25</f>
        <v>0.33739166064714576</v>
      </c>
      <c r="E25" s="110">
        <f t="shared" si="12"/>
        <v>0.33739166064714576</v>
      </c>
      <c r="F25" s="110">
        <f t="shared" si="12"/>
        <v>0.33739166064714576</v>
      </c>
      <c r="G25" s="110">
        <f t="shared" si="12"/>
        <v>0.33739166064714576</v>
      </c>
      <c r="H25" s="110">
        <f t="shared" si="12"/>
        <v>0.33739166064714576</v>
      </c>
      <c r="I25" s="110">
        <f t="shared" si="12"/>
        <v>0.33739166064714576</v>
      </c>
      <c r="J25" s="110">
        <f t="shared" si="12"/>
        <v>0.33739166064714576</v>
      </c>
      <c r="K25" s="110">
        <f t="shared" si="12"/>
        <v>0.33739166064714576</v>
      </c>
      <c r="L25" s="110">
        <f t="shared" si="12"/>
        <v>0.33739166064714576</v>
      </c>
      <c r="M25" s="110">
        <f t="shared" si="12"/>
        <v>0.33739166064714576</v>
      </c>
      <c r="N25" s="110">
        <f t="shared" si="12"/>
        <v>0.33739166064714576</v>
      </c>
      <c r="O25" s="110">
        <f t="shared" si="12"/>
        <v>0.33739166064714576</v>
      </c>
      <c r="P25" s="110">
        <f t="shared" si="12"/>
        <v>0.33739166064714576</v>
      </c>
      <c r="Q25" s="110">
        <f t="shared" si="12"/>
        <v>0.33739166064714576</v>
      </c>
      <c r="R25" s="110">
        <f t="shared" si="12"/>
        <v>0.33739166064714576</v>
      </c>
      <c r="S25" s="110">
        <f t="shared" si="12"/>
        <v>0.33739166064714576</v>
      </c>
      <c r="T25" s="110">
        <f t="shared" si="11"/>
        <v>0.33739166064714576</v>
      </c>
      <c r="U25" s="110">
        <f t="shared" si="11"/>
        <v>0.33739166064714576</v>
      </c>
      <c r="V25" s="110">
        <f t="shared" si="11"/>
        <v>0.33739166064714576</v>
      </c>
      <c r="W25" s="110">
        <f t="shared" si="11"/>
        <v>0.33739166064714576</v>
      </c>
      <c r="X25" s="110">
        <f t="shared" si="11"/>
        <v>0.33739166064714576</v>
      </c>
      <c r="Y25" s="110">
        <f t="shared" si="11"/>
        <v>0.33739166064714576</v>
      </c>
      <c r="Z25" s="110">
        <f t="shared" si="11"/>
        <v>0.33739166064714576</v>
      </c>
      <c r="AA25" s="110">
        <f t="shared" si="11"/>
        <v>0.33739166064714576</v>
      </c>
      <c r="AB25" s="110">
        <f t="shared" si="11"/>
        <v>0.33739166064714576</v>
      </c>
      <c r="AC25" s="110">
        <f t="shared" si="11"/>
        <v>0.33739166064714576</v>
      </c>
      <c r="AD25" s="110">
        <f t="shared" si="11"/>
        <v>0.33739166064714576</v>
      </c>
      <c r="AE25" s="110">
        <f t="shared" si="11"/>
        <v>0.33739166064714576</v>
      </c>
      <c r="AF25" s="110">
        <f t="shared" si="11"/>
        <v>0.33739166064714576</v>
      </c>
      <c r="AG25" s="110">
        <f t="shared" si="11"/>
        <v>0.33739166064714576</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1469</v>
      </c>
      <c r="B27" s="54" t="s">
        <v>1470</v>
      </c>
      <c r="C27" s="204">
        <f>C14*C21</f>
        <v>42.585119205697637</v>
      </c>
      <c r="D27" s="204">
        <f t="shared" ref="D27:AF27" si="13">D14*D21</f>
        <v>44.012636263047483</v>
      </c>
      <c r="E27" s="204">
        <f t="shared" si="13"/>
        <v>45.36909701335091</v>
      </c>
      <c r="F27" s="204">
        <f t="shared" si="13"/>
        <v>46.645191207078334</v>
      </c>
      <c r="G27" s="204">
        <f t="shared" si="13"/>
        <v>47.83198116362081</v>
      </c>
      <c r="H27" s="204">
        <f t="shared" si="13"/>
        <v>48.921006043844443</v>
      </c>
      <c r="I27" s="204">
        <f t="shared" si="13"/>
        <v>50.012048902373749</v>
      </c>
      <c r="J27" s="204">
        <f t="shared" si="13"/>
        <v>51.104121901012896</v>
      </c>
      <c r="K27" s="204">
        <f t="shared" si="13"/>
        <v>52.196212122325981</v>
      </c>
      <c r="L27" s="204">
        <f t="shared" si="13"/>
        <v>53.287282886908656</v>
      </c>
      <c r="M27" s="204">
        <f t="shared" si="13"/>
        <v>54.376275159687594</v>
      </c>
      <c r="N27" s="204">
        <f t="shared" si="13"/>
        <v>55.382754376308014</v>
      </c>
      <c r="O27" s="204">
        <f t="shared" si="13"/>
        <v>56.301138422088286</v>
      </c>
      <c r="P27" s="204">
        <f t="shared" si="13"/>
        <v>57.126239456611934</v>
      </c>
      <c r="Q27" s="204">
        <f t="shared" si="13"/>
        <v>57.853312130622385</v>
      </c>
      <c r="R27" s="204">
        <f t="shared" si="13"/>
        <v>58.478098540198893</v>
      </c>
      <c r="S27" s="204">
        <f t="shared" si="13"/>
        <v>59.103162210000427</v>
      </c>
      <c r="T27" s="204">
        <f t="shared" si="13"/>
        <v>59.728363877389825</v>
      </c>
      <c r="U27" s="204">
        <f t="shared" si="13"/>
        <v>60.353562607814325</v>
      </c>
      <c r="V27" s="204">
        <f t="shared" si="13"/>
        <v>60.978615839267896</v>
      </c>
      <c r="W27" s="204">
        <f t="shared" si="13"/>
        <v>61.603379428230369</v>
      </c>
      <c r="X27" s="204">
        <f t="shared" si="13"/>
        <v>62.22839309866503</v>
      </c>
      <c r="Y27" s="204">
        <f t="shared" si="13"/>
        <v>62.853531369168849</v>
      </c>
      <c r="Z27" s="204">
        <f t="shared" si="13"/>
        <v>63.478667340269851</v>
      </c>
      <c r="AA27" s="204">
        <f t="shared" si="13"/>
        <v>64.103672730685716</v>
      </c>
      <c r="AB27" s="204">
        <f t="shared" si="13"/>
        <v>64.728417914711073</v>
      </c>
      <c r="AC27" s="204">
        <f t="shared" si="13"/>
        <v>65.35338982131735</v>
      </c>
      <c r="AD27" s="204">
        <f t="shared" si="13"/>
        <v>65.978474789108787</v>
      </c>
      <c r="AE27" s="204">
        <f t="shared" si="13"/>
        <v>66.603557943280975</v>
      </c>
      <c r="AF27" s="204">
        <f t="shared" si="13"/>
        <v>67.228523225485176</v>
      </c>
      <c r="AG27" s="204">
        <f>AG14*AG21</f>
        <v>67.853253424567384</v>
      </c>
      <c r="AM27" s="120"/>
      <c r="AN27" s="115"/>
      <c r="AO27" s="115"/>
      <c r="AP27" s="115"/>
      <c r="AQ27" s="115"/>
      <c r="BD27" s="205"/>
      <c r="BE27" s="205"/>
      <c r="BF27" s="205"/>
      <c r="BG27" s="205"/>
      <c r="BH27" s="205"/>
      <c r="BI27" s="205"/>
      <c r="BJ27" s="205"/>
      <c r="BK27" s="205"/>
      <c r="BL27" s="205"/>
    </row>
    <row r="28" spans="1:64" outlineLevel="1">
      <c r="A28" t="s">
        <v>1471</v>
      </c>
      <c r="B28" s="54" t="s">
        <v>1470</v>
      </c>
      <c r="C28" s="204">
        <f t="shared" ref="C28:AG31" si="14">C15*C22</f>
        <v>10.312870698085007</v>
      </c>
      <c r="D28" s="204">
        <f t="shared" si="14"/>
        <v>10.658573589290958</v>
      </c>
      <c r="E28" s="204">
        <f t="shared" si="14"/>
        <v>10.98706872059107</v>
      </c>
      <c r="F28" s="204">
        <f t="shared" si="14"/>
        <v>11.296101421777623</v>
      </c>
      <c r="G28" s="204">
        <f t="shared" si="14"/>
        <v>11.583507247941681</v>
      </c>
      <c r="H28" s="204">
        <f t="shared" si="14"/>
        <v>11.847237231236907</v>
      </c>
      <c r="I28" s="204">
        <f t="shared" si="14"/>
        <v>12.111455909872808</v>
      </c>
      <c r="J28" s="204">
        <f t="shared" si="14"/>
        <v>12.375924058322388</v>
      </c>
      <c r="K28" s="204">
        <f t="shared" si="14"/>
        <v>12.640396377600009</v>
      </c>
      <c r="L28" s="204">
        <f t="shared" si="14"/>
        <v>12.904621814266076</v>
      </c>
      <c r="M28" s="204">
        <f t="shared" si="14"/>
        <v>13.168343900991626</v>
      </c>
      <c r="N28" s="204">
        <f t="shared" si="14"/>
        <v>13.412083738167601</v>
      </c>
      <c r="O28" s="204">
        <f t="shared" si="14"/>
        <v>13.634489500837134</v>
      </c>
      <c r="P28" s="204">
        <f t="shared" si="14"/>
        <v>13.834304845741936</v>
      </c>
      <c r="Q28" s="204">
        <f t="shared" si="14"/>
        <v>14.010380588044368</v>
      </c>
      <c r="R28" s="204">
        <f t="shared" si="14"/>
        <v>14.161685587914395</v>
      </c>
      <c r="S28" s="204">
        <f t="shared" si="14"/>
        <v>14.313057732103935</v>
      </c>
      <c r="T28" s="204">
        <f t="shared" si="14"/>
        <v>14.464463295274262</v>
      </c>
      <c r="U28" s="204">
        <f t="shared" si="14"/>
        <v>14.615868147197563</v>
      </c>
      <c r="V28" s="204">
        <f t="shared" si="14"/>
        <v>14.767237763524442</v>
      </c>
      <c r="W28" s="204">
        <f t="shared" si="14"/>
        <v>14.918537236909021</v>
      </c>
      <c r="X28" s="204">
        <f t="shared" si="14"/>
        <v>15.069897272713868</v>
      </c>
      <c r="Y28" s="204">
        <f t="shared" si="14"/>
        <v>15.221287483012208</v>
      </c>
      <c r="Z28" s="204">
        <f t="shared" si="14"/>
        <v>15.372677136462416</v>
      </c>
      <c r="AA28" s="204">
        <f t="shared" si="14"/>
        <v>15.524035167088817</v>
      </c>
      <c r="AB28" s="204">
        <f t="shared" si="14"/>
        <v>15.675330183335779</v>
      </c>
      <c r="AC28" s="204">
        <f t="shared" si="14"/>
        <v>15.826680105162559</v>
      </c>
      <c r="AD28" s="204">
        <f t="shared" si="14"/>
        <v>15.978057407102508</v>
      </c>
      <c r="AE28" s="204">
        <f t="shared" si="14"/>
        <v>16.129434269836906</v>
      </c>
      <c r="AF28" s="204">
        <f t="shared" si="14"/>
        <v>16.280782587427193</v>
      </c>
      <c r="AG28" s="204">
        <f t="shared" si="14"/>
        <v>16.432073974759078</v>
      </c>
      <c r="AM28" s="206"/>
      <c r="BD28" s="205"/>
      <c r="BE28" s="205"/>
      <c r="BF28" s="205"/>
      <c r="BG28" s="205"/>
      <c r="BH28" s="205"/>
      <c r="BI28" s="205"/>
      <c r="BJ28" s="205"/>
      <c r="BK28" s="205"/>
      <c r="BL28" s="205"/>
    </row>
    <row r="29" spans="1:64" outlineLevel="1">
      <c r="A29" t="s">
        <v>1472</v>
      </c>
      <c r="B29" s="54" t="s">
        <v>1470</v>
      </c>
      <c r="C29" s="204">
        <f t="shared" si="14"/>
        <v>2.6141114211437237</v>
      </c>
      <c r="D29" s="204">
        <f t="shared" si="14"/>
        <v>2.7017403561590436</v>
      </c>
      <c r="E29" s="204">
        <f t="shared" si="14"/>
        <v>2.7850074599230017</v>
      </c>
      <c r="F29" s="204">
        <f t="shared" si="14"/>
        <v>2.8633412175477018</v>
      </c>
      <c r="G29" s="204">
        <f t="shared" si="14"/>
        <v>2.9361929844973473</v>
      </c>
      <c r="H29" s="204">
        <f t="shared" si="14"/>
        <v>3.0030433874174678</v>
      </c>
      <c r="I29" s="204">
        <f t="shared" si="14"/>
        <v>3.0700176650674211</v>
      </c>
      <c r="J29" s="204">
        <f t="shared" si="14"/>
        <v>3.137055178445646</v>
      </c>
      <c r="K29" s="204">
        <f t="shared" si="14"/>
        <v>3.2040937490473684</v>
      </c>
      <c r="L29" s="204">
        <f t="shared" si="14"/>
        <v>3.2710697397260557</v>
      </c>
      <c r="M29" s="204">
        <f t="shared" si="14"/>
        <v>3.3379181410198999</v>
      </c>
      <c r="N29" s="204">
        <f t="shared" si="14"/>
        <v>3.3997014320940089</v>
      </c>
      <c r="O29" s="204">
        <f t="shared" si="14"/>
        <v>3.4560769517085976</v>
      </c>
      <c r="P29" s="204">
        <f t="shared" si="14"/>
        <v>3.5067262413707287</v>
      </c>
      <c r="Q29" s="204">
        <f t="shared" si="14"/>
        <v>3.5513580051554348</v>
      </c>
      <c r="R29" s="204">
        <f t="shared" si="14"/>
        <v>3.5897108692430097</v>
      </c>
      <c r="S29" s="204">
        <f t="shared" si="14"/>
        <v>3.6280807531049661</v>
      </c>
      <c r="T29" s="204">
        <f t="shared" si="14"/>
        <v>3.6664591080262339</v>
      </c>
      <c r="U29" s="204">
        <f t="shared" si="14"/>
        <v>3.7048372826602627</v>
      </c>
      <c r="V29" s="204">
        <f t="shared" si="14"/>
        <v>3.7432065257583771</v>
      </c>
      <c r="W29" s="204">
        <f t="shared" si="14"/>
        <v>3.7815579889897641</v>
      </c>
      <c r="X29" s="204">
        <f t="shared" si="14"/>
        <v>3.8199248036125488</v>
      </c>
      <c r="Y29" s="204">
        <f t="shared" si="14"/>
        <v>3.8582992668804459</v>
      </c>
      <c r="Z29" s="204">
        <f t="shared" si="14"/>
        <v>3.8966735889982118</v>
      </c>
      <c r="AA29" s="204">
        <f t="shared" si="14"/>
        <v>3.9350398953474</v>
      </c>
      <c r="AB29" s="204">
        <f t="shared" si="14"/>
        <v>3.9733902287814025</v>
      </c>
      <c r="AC29" s="204">
        <f t="shared" si="14"/>
        <v>4.0117544797081646</v>
      </c>
      <c r="AD29" s="204">
        <f t="shared" si="14"/>
        <v>4.050125670959174</v>
      </c>
      <c r="AE29" s="204">
        <f t="shared" si="14"/>
        <v>4.0884967508801484</v>
      </c>
      <c r="AF29" s="204">
        <f t="shared" si="14"/>
        <v>4.1268605951642749</v>
      </c>
      <c r="AG29" s="204">
        <f t="shared" si="14"/>
        <v>4.1652100087391384</v>
      </c>
      <c r="BD29" s="205"/>
      <c r="BE29" s="205"/>
      <c r="BF29" s="205"/>
      <c r="BG29" s="205"/>
      <c r="BH29" s="205"/>
      <c r="BI29" s="205"/>
      <c r="BJ29" s="205"/>
      <c r="BK29" s="205"/>
      <c r="BL29" s="205"/>
    </row>
    <row r="30" spans="1:64" outlineLevel="1">
      <c r="A30" t="s">
        <v>1473</v>
      </c>
      <c r="B30" s="54" t="s">
        <v>1470</v>
      </c>
      <c r="C30" s="204">
        <f t="shared" si="14"/>
        <v>0.71420704776119814</v>
      </c>
      <c r="D30" s="204">
        <f t="shared" si="14"/>
        <v>0.73814833904264143</v>
      </c>
      <c r="E30" s="204">
        <f t="shared" si="14"/>
        <v>0.76089792495312358</v>
      </c>
      <c r="F30" s="204">
        <f t="shared" si="14"/>
        <v>0.78229966067129764</v>
      </c>
      <c r="G30" s="204">
        <f t="shared" si="14"/>
        <v>0.80220364983428749</v>
      </c>
      <c r="H30" s="204">
        <f t="shared" si="14"/>
        <v>0.82046799332211673</v>
      </c>
      <c r="I30" s="204">
        <f t="shared" si="14"/>
        <v>0.83876618089339616</v>
      </c>
      <c r="J30" s="204">
        <f t="shared" si="14"/>
        <v>0.85708164523506758</v>
      </c>
      <c r="K30" s="204">
        <f t="shared" si="14"/>
        <v>0.87539739842306241</v>
      </c>
      <c r="L30" s="204">
        <f t="shared" si="14"/>
        <v>0.89369605401463548</v>
      </c>
      <c r="M30" s="204">
        <f t="shared" si="14"/>
        <v>0.9119598506338108</v>
      </c>
      <c r="N30" s="204">
        <f t="shared" si="14"/>
        <v>0.92883979751063672</v>
      </c>
      <c r="O30" s="204">
        <f t="shared" si="14"/>
        <v>0.94424227542503369</v>
      </c>
      <c r="P30" s="204">
        <f t="shared" si="14"/>
        <v>0.95808027764185033</v>
      </c>
      <c r="Q30" s="204">
        <f t="shared" si="14"/>
        <v>0.9702742185700084</v>
      </c>
      <c r="R30" s="204">
        <f t="shared" si="14"/>
        <v>0.98075268770166812</v>
      </c>
      <c r="S30" s="204">
        <f t="shared" si="14"/>
        <v>0.99123580684277879</v>
      </c>
      <c r="T30" s="204">
        <f t="shared" si="14"/>
        <v>1.0017212403803659</v>
      </c>
      <c r="U30" s="204">
        <f t="shared" si="14"/>
        <v>1.012206624661286</v>
      </c>
      <c r="V30" s="204">
        <f t="shared" si="14"/>
        <v>1.0226895687379185</v>
      </c>
      <c r="W30" s="204">
        <f t="shared" si="14"/>
        <v>1.0331676551386224</v>
      </c>
      <c r="X30" s="204">
        <f t="shared" si="14"/>
        <v>1.0436499357262461</v>
      </c>
      <c r="Y30" s="204">
        <f t="shared" si="14"/>
        <v>1.0541343060167803</v>
      </c>
      <c r="Z30" s="204">
        <f t="shared" si="14"/>
        <v>1.0646186377433811</v>
      </c>
      <c r="AA30" s="204">
        <f t="shared" si="14"/>
        <v>1.0751007794644738</v>
      </c>
      <c r="AB30" s="204">
        <f t="shared" si="14"/>
        <v>1.0855785571907852</v>
      </c>
      <c r="AC30" s="204">
        <f t="shared" si="14"/>
        <v>1.0960601373454615</v>
      </c>
      <c r="AD30" s="204">
        <f t="shared" si="14"/>
        <v>1.1065436136811693</v>
      </c>
      <c r="AE30" s="204">
        <f t="shared" si="14"/>
        <v>1.117027059600157</v>
      </c>
      <c r="AF30" s="204">
        <f t="shared" si="14"/>
        <v>1.1275085286551172</v>
      </c>
      <c r="AG30" s="204">
        <f t="shared" si="14"/>
        <v>1.1379860550647196</v>
      </c>
      <c r="BD30" s="205"/>
      <c r="BE30" s="205"/>
      <c r="BF30" s="205"/>
      <c r="BG30" s="205"/>
      <c r="BH30" s="205"/>
      <c r="BI30" s="205"/>
      <c r="BJ30" s="205"/>
      <c r="BK30" s="205"/>
      <c r="BL30" s="205"/>
    </row>
    <row r="31" spans="1:64" outlineLevel="1">
      <c r="A31" s="181" t="s">
        <v>1474</v>
      </c>
      <c r="B31" s="176" t="s">
        <v>1470</v>
      </c>
      <c r="C31" s="204">
        <f t="shared" si="14"/>
        <v>34.906310177860561</v>
      </c>
      <c r="D31" s="204">
        <f t="shared" si="14"/>
        <v>36.076422041287579</v>
      </c>
      <c r="E31" s="204">
        <f t="shared" si="14"/>
        <v>37.188290237909875</v>
      </c>
      <c r="F31" s="204">
        <f t="shared" si="14"/>
        <v>38.234283311858043</v>
      </c>
      <c r="G31" s="204">
        <f t="shared" si="14"/>
        <v>39.207075195777406</v>
      </c>
      <c r="H31" s="204">
        <f t="shared" si="14"/>
        <v>40.099730681297501</v>
      </c>
      <c r="I31" s="204">
        <f t="shared" si="14"/>
        <v>40.99404026989361</v>
      </c>
      <c r="J31" s="204">
        <f t="shared" si="14"/>
        <v>41.889194247113522</v>
      </c>
      <c r="K31" s="204">
        <f t="shared" si="14"/>
        <v>42.784362341471294</v>
      </c>
      <c r="L31" s="204">
        <f t="shared" si="14"/>
        <v>43.678694804192759</v>
      </c>
      <c r="M31" s="204">
        <f t="shared" si="14"/>
        <v>44.571323561935642</v>
      </c>
      <c r="N31" s="204">
        <f t="shared" si="14"/>
        <v>45.396317747186671</v>
      </c>
      <c r="O31" s="204">
        <f t="shared" si="14"/>
        <v>46.149101793875829</v>
      </c>
      <c r="P31" s="204">
        <f t="shared" si="14"/>
        <v>46.825423315955838</v>
      </c>
      <c r="Q31" s="204">
        <f t="shared" si="14"/>
        <v>47.421392629984659</v>
      </c>
      <c r="R31" s="204">
        <f t="shared" si="14"/>
        <v>47.933519603311801</v>
      </c>
      <c r="S31" s="204">
        <f t="shared" si="14"/>
        <v>48.445873842209522</v>
      </c>
      <c r="T31" s="204">
        <f t="shared" si="14"/>
        <v>48.958341195422662</v>
      </c>
      <c r="U31" s="204">
        <f t="shared" si="14"/>
        <v>49.470806141254776</v>
      </c>
      <c r="V31" s="204">
        <f t="shared" si="14"/>
        <v>49.98315182401322</v>
      </c>
      <c r="W31" s="204">
        <f t="shared" si="14"/>
        <v>50.495260091664598</v>
      </c>
      <c r="X31" s="204">
        <f t="shared" si="14"/>
        <v>51.007573346917297</v>
      </c>
      <c r="Y31" s="204">
        <f t="shared" si="14"/>
        <v>51.519988734763345</v>
      </c>
      <c r="Z31" s="204">
        <f t="shared" si="14"/>
        <v>52.032402237827348</v>
      </c>
      <c r="AA31" s="204">
        <f t="shared" si="14"/>
        <v>52.544708706087079</v>
      </c>
      <c r="AB31" s="204">
        <f t="shared" si="14"/>
        <v>53.056801887519249</v>
      </c>
      <c r="AC31" s="204">
        <f t="shared" si="14"/>
        <v>53.569080909660144</v>
      </c>
      <c r="AD31" s="204">
        <f t="shared" si="14"/>
        <v>54.081452606164085</v>
      </c>
      <c r="AE31" s="204">
        <f t="shared" si="14"/>
        <v>54.593822816074649</v>
      </c>
      <c r="AF31" s="204">
        <f t="shared" si="14"/>
        <v>55.106096408303912</v>
      </c>
      <c r="AG31" s="204">
        <f t="shared" si="14"/>
        <v>55.61817730682872</v>
      </c>
      <c r="AL31" s="108"/>
      <c r="AM31" s="207"/>
      <c r="AN31" s="207"/>
      <c r="AO31" s="207"/>
    </row>
    <row r="32" spans="1:64" s="1" customFormat="1" ht="16" thickBot="1">
      <c r="A32" s="200" t="s">
        <v>1475</v>
      </c>
      <c r="B32" s="219" t="s">
        <v>1470</v>
      </c>
      <c r="C32" s="216">
        <f>SUM(C27:C31)</f>
        <v>91.132618550548131</v>
      </c>
      <c r="D32" s="216">
        <f t="shared" ref="D32:AG32" si="15">SUM(D27:D31)</f>
        <v>94.187520588827709</v>
      </c>
      <c r="E32" s="216">
        <f t="shared" si="15"/>
        <v>97.090361356727982</v>
      </c>
      <c r="F32" s="216">
        <f t="shared" si="15"/>
        <v>99.821216818932996</v>
      </c>
      <c r="G32" s="216">
        <f t="shared" si="15"/>
        <v>102.36096024167153</v>
      </c>
      <c r="H32" s="216">
        <f t="shared" si="15"/>
        <v>104.69148533711844</v>
      </c>
      <c r="I32" s="216">
        <f t="shared" si="15"/>
        <v>107.02632892810098</v>
      </c>
      <c r="J32" s="216">
        <f t="shared" si="15"/>
        <v>109.36337703012953</v>
      </c>
      <c r="K32" s="216">
        <f t="shared" si="15"/>
        <v>111.70046198886772</v>
      </c>
      <c r="L32" s="216">
        <f t="shared" si="15"/>
        <v>114.03536529910819</v>
      </c>
      <c r="M32" s="216">
        <f t="shared" si="15"/>
        <v>116.36582061426857</v>
      </c>
      <c r="N32" s="216">
        <f t="shared" si="15"/>
        <v>118.51969709126692</v>
      </c>
      <c r="O32" s="216">
        <f t="shared" si="15"/>
        <v>120.48504894393488</v>
      </c>
      <c r="P32" s="216">
        <f t="shared" si="15"/>
        <v>122.25077413732228</v>
      </c>
      <c r="Q32" s="216">
        <f t="shared" si="15"/>
        <v>123.80671757237687</v>
      </c>
      <c r="R32" s="216">
        <f t="shared" si="15"/>
        <v>125.14376728836976</v>
      </c>
      <c r="S32" s="216">
        <f t="shared" si="15"/>
        <v>126.48141034426163</v>
      </c>
      <c r="T32" s="216">
        <f t="shared" si="15"/>
        <v>127.81934871649334</v>
      </c>
      <c r="U32" s="216">
        <f t="shared" si="15"/>
        <v>129.15728080358821</v>
      </c>
      <c r="V32" s="216">
        <f t="shared" si="15"/>
        <v>130.49490152130187</v>
      </c>
      <c r="W32" s="216">
        <f t="shared" si="15"/>
        <v>131.83190240093236</v>
      </c>
      <c r="X32" s="216">
        <f t="shared" si="15"/>
        <v>133.16943845763501</v>
      </c>
      <c r="Y32" s="216">
        <f t="shared" si="15"/>
        <v>134.50724115984161</v>
      </c>
      <c r="Z32" s="216">
        <f t="shared" si="15"/>
        <v>135.8450389413012</v>
      </c>
      <c r="AA32" s="216">
        <f t="shared" si="15"/>
        <v>137.18255727867347</v>
      </c>
      <c r="AB32" s="216">
        <f t="shared" si="15"/>
        <v>138.51951877153829</v>
      </c>
      <c r="AC32" s="216">
        <f t="shared" si="15"/>
        <v>139.85696545319368</v>
      </c>
      <c r="AD32" s="216">
        <f t="shared" si="15"/>
        <v>141.19465408701572</v>
      </c>
      <c r="AE32" s="216">
        <f t="shared" si="15"/>
        <v>142.53233883967283</v>
      </c>
      <c r="AF32" s="216">
        <f t="shared" si="15"/>
        <v>143.86977134503567</v>
      </c>
      <c r="AG32" s="216">
        <f t="shared" si="15"/>
        <v>145.20670076995904</v>
      </c>
      <c r="AJ32" s="162"/>
      <c r="AL32" s="221"/>
      <c r="AM32" s="124"/>
      <c r="AN32" s="124"/>
      <c r="AO32" s="124"/>
    </row>
    <row r="33" spans="1:64" ht="16" outlineLevel="1" thickTop="1">
      <c r="AL33" s="108"/>
      <c r="AM33" s="2"/>
      <c r="AN33" s="2"/>
      <c r="AO33" s="2"/>
    </row>
    <row r="34" spans="1:64" outlineLevel="1">
      <c r="A34" t="s">
        <v>1476</v>
      </c>
      <c r="B34" s="176" t="s">
        <v>1470</v>
      </c>
      <c r="C34" s="107">
        <f>C32</f>
        <v>91.132618550548131</v>
      </c>
      <c r="D34" s="107">
        <f t="shared" ref="D34:AG34" si="16">D32</f>
        <v>94.187520588827709</v>
      </c>
      <c r="E34" s="107">
        <f t="shared" si="16"/>
        <v>97.090361356727982</v>
      </c>
      <c r="F34" s="107">
        <f t="shared" si="16"/>
        <v>99.821216818932996</v>
      </c>
      <c r="G34" s="107">
        <f t="shared" si="16"/>
        <v>102.36096024167153</v>
      </c>
      <c r="H34" s="107">
        <f t="shared" si="16"/>
        <v>104.69148533711844</v>
      </c>
      <c r="I34" s="107">
        <f t="shared" si="16"/>
        <v>107.02632892810098</v>
      </c>
      <c r="J34" s="107">
        <f t="shared" si="16"/>
        <v>109.36337703012953</v>
      </c>
      <c r="K34" s="107">
        <f t="shared" si="16"/>
        <v>111.70046198886772</v>
      </c>
      <c r="L34" s="107">
        <f t="shared" si="16"/>
        <v>114.03536529910819</v>
      </c>
      <c r="M34" s="107">
        <f t="shared" si="16"/>
        <v>116.36582061426857</v>
      </c>
      <c r="N34" s="107">
        <f t="shared" si="16"/>
        <v>118.51969709126692</v>
      </c>
      <c r="O34" s="107">
        <f t="shared" si="16"/>
        <v>120.48504894393488</v>
      </c>
      <c r="P34" s="107">
        <f t="shared" si="16"/>
        <v>122.25077413732228</v>
      </c>
      <c r="Q34" s="107">
        <f t="shared" si="16"/>
        <v>123.80671757237687</v>
      </c>
      <c r="R34" s="107">
        <f t="shared" si="16"/>
        <v>125.14376728836976</v>
      </c>
      <c r="S34" s="107">
        <f t="shared" si="16"/>
        <v>126.48141034426163</v>
      </c>
      <c r="T34" s="107">
        <f t="shared" si="16"/>
        <v>127.81934871649334</v>
      </c>
      <c r="U34" s="107">
        <f t="shared" si="16"/>
        <v>129.15728080358821</v>
      </c>
      <c r="V34" s="107">
        <f t="shared" si="16"/>
        <v>130.49490152130187</v>
      </c>
      <c r="W34" s="107">
        <f t="shared" si="16"/>
        <v>131.83190240093236</v>
      </c>
      <c r="X34" s="107">
        <f t="shared" si="16"/>
        <v>133.16943845763501</v>
      </c>
      <c r="Y34" s="107">
        <f t="shared" si="16"/>
        <v>134.50724115984161</v>
      </c>
      <c r="Z34" s="107">
        <f t="shared" si="16"/>
        <v>135.8450389413012</v>
      </c>
      <c r="AA34" s="107">
        <f t="shared" si="16"/>
        <v>137.18255727867347</v>
      </c>
      <c r="AB34" s="107">
        <f t="shared" si="16"/>
        <v>138.51951877153829</v>
      </c>
      <c r="AC34" s="107">
        <f t="shared" si="16"/>
        <v>139.85696545319368</v>
      </c>
      <c r="AD34" s="107">
        <f t="shared" si="16"/>
        <v>141.19465408701572</v>
      </c>
      <c r="AE34" s="107">
        <f t="shared" si="16"/>
        <v>142.53233883967283</v>
      </c>
      <c r="AF34" s="107">
        <f t="shared" si="16"/>
        <v>143.86977134503567</v>
      </c>
      <c r="AG34" s="107">
        <f t="shared" si="16"/>
        <v>145.20670076995904</v>
      </c>
      <c r="AL34" s="108"/>
      <c r="AM34" s="2"/>
      <c r="AN34" s="2"/>
      <c r="AO34" s="2"/>
    </row>
    <row r="35" spans="1:64" outlineLevel="1">
      <c r="A35" t="s">
        <v>1477</v>
      </c>
      <c r="B35" s="176" t="s">
        <v>1470</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c r="A36" t="s">
        <v>1478</v>
      </c>
      <c r="B36" s="176" t="s">
        <v>1470</v>
      </c>
      <c r="C36" s="107">
        <f>C35-C34</f>
        <v>71.559689141759549</v>
      </c>
      <c r="D36" s="107">
        <f t="shared" ref="D36:AG36" si="17">D35-D34</f>
        <v>72.531260049371554</v>
      </c>
      <c r="E36" s="107">
        <f t="shared" si="17"/>
        <v>73.754543431614394</v>
      </c>
      <c r="F36" s="107">
        <f t="shared" si="17"/>
        <v>75.251929592084522</v>
      </c>
      <c r="G36" s="107">
        <f t="shared" si="17"/>
        <v>77.045072570522819</v>
      </c>
      <c r="H36" s="107">
        <f t="shared" si="17"/>
        <v>79.154668509035403</v>
      </c>
      <c r="I36" s="107">
        <f t="shared" si="17"/>
        <v>80.868319639509281</v>
      </c>
      <c r="J36" s="107">
        <f t="shared" si="17"/>
        <v>82.668918570077579</v>
      </c>
      <c r="K36" s="107">
        <f t="shared" si="17"/>
        <v>84.560596187124247</v>
      </c>
      <c r="L36" s="107">
        <f t="shared" si="17"/>
        <v>86.54757746043542</v>
      </c>
      <c r="M36" s="107">
        <f t="shared" si="17"/>
        <v>88.634179385731429</v>
      </c>
      <c r="N36" s="107">
        <f t="shared" si="17"/>
        <v>88.921467103877291</v>
      </c>
      <c r="O36" s="107">
        <f t="shared" si="17"/>
        <v>89.426349117707957</v>
      </c>
      <c r="P36" s="107">
        <f t="shared" si="17"/>
        <v>90.16027362725103</v>
      </c>
      <c r="Q36" s="107">
        <f t="shared" si="17"/>
        <v>91.133746018810797</v>
      </c>
      <c r="R36" s="107">
        <f t="shared" si="17"/>
        <v>92.356232711630241</v>
      </c>
      <c r="S36" s="107">
        <f t="shared" si="17"/>
        <v>93.463023762280415</v>
      </c>
      <c r="T36" s="107">
        <f t="shared" si="17"/>
        <v>94.596991947630883</v>
      </c>
      <c r="U36" s="107">
        <f t="shared" si="17"/>
        <v>95.75874762592295</v>
      </c>
      <c r="V36" s="107">
        <f t="shared" si="17"/>
        <v>96.948908108214226</v>
      </c>
      <c r="W36" s="107">
        <f t="shared" si="17"/>
        <v>98.168097599067636</v>
      </c>
      <c r="X36" s="107">
        <f t="shared" si="17"/>
        <v>99.277921175818818</v>
      </c>
      <c r="Y36" s="107">
        <f t="shared" si="17"/>
        <v>100.41351971217674</v>
      </c>
      <c r="Z36" s="107">
        <f t="shared" si="17"/>
        <v>101.57544187514515</v>
      </c>
      <c r="AA36" s="107">
        <f t="shared" si="17"/>
        <v>102.76424223736143</v>
      </c>
      <c r="AB36" s="107">
        <f t="shared" si="17"/>
        <v>103.98048122846171</v>
      </c>
      <c r="AC36" s="107">
        <f t="shared" si="17"/>
        <v>105.09302701438122</v>
      </c>
      <c r="AD36" s="107">
        <f t="shared" si="17"/>
        <v>106.23008327325235</v>
      </c>
      <c r="AE36" s="107">
        <f t="shared" si="17"/>
        <v>107.39214591368537</v>
      </c>
      <c r="AF36" s="107">
        <f t="shared" si="17"/>
        <v>108.57971590361436</v>
      </c>
      <c r="AG36" s="107">
        <f t="shared" si="17"/>
        <v>109.79329923004096</v>
      </c>
      <c r="AL36" s="108"/>
      <c r="AM36" s="2"/>
      <c r="AN36" s="2"/>
      <c r="AO36" s="2"/>
    </row>
    <row r="37" spans="1:64" outlineLevel="1">
      <c r="A37" t="s">
        <v>1292</v>
      </c>
      <c r="B37" s="54" t="s">
        <v>462</v>
      </c>
      <c r="C37" s="2">
        <f>C34/C35</f>
        <v>0.56015321094899562</v>
      </c>
      <c r="D37" s="2">
        <f t="shared" ref="D37:AG37" si="18">D34/D35</f>
        <v>0.56494847328104258</v>
      </c>
      <c r="E37" s="2">
        <f t="shared" si="18"/>
        <v>0.56829532889501166</v>
      </c>
      <c r="F37" s="2">
        <f t="shared" si="18"/>
        <v>0.57016863445513055</v>
      </c>
      <c r="G37" s="2">
        <f t="shared" si="18"/>
        <v>0.57055472793841289</v>
      </c>
      <c r="H37" s="2">
        <f t="shared" si="18"/>
        <v>0.56945159388390787</v>
      </c>
      <c r="I37" s="2">
        <f t="shared" si="18"/>
        <v>0.56960818066933727</v>
      </c>
      <c r="J37" s="2">
        <f t="shared" si="18"/>
        <v>0.56950512770942252</v>
      </c>
      <c r="K37" s="2">
        <f t="shared" si="18"/>
        <v>0.56914225892282333</v>
      </c>
      <c r="L37" s="2">
        <f t="shared" si="18"/>
        <v>0.56851975412392064</v>
      </c>
      <c r="M37" s="2">
        <f t="shared" si="18"/>
        <v>0.56763814933789547</v>
      </c>
      <c r="N37" s="2">
        <f t="shared" si="18"/>
        <v>0.57134126464780621</v>
      </c>
      <c r="O37" s="2">
        <f t="shared" si="18"/>
        <v>0.57398049870809342</v>
      </c>
      <c r="P37" s="2">
        <f t="shared" si="18"/>
        <v>0.57553868042127188</v>
      </c>
      <c r="Q37" s="2">
        <f t="shared" si="18"/>
        <v>0.57600470150587701</v>
      </c>
      <c r="R37" s="2">
        <f t="shared" si="18"/>
        <v>0.57537364270514835</v>
      </c>
      <c r="S37" s="2">
        <f t="shared" si="18"/>
        <v>0.5750607459472854</v>
      </c>
      <c r="T37" s="2">
        <f t="shared" si="18"/>
        <v>0.57468506286377641</v>
      </c>
      <c r="U37" s="2">
        <f t="shared" si="18"/>
        <v>0.57424667199325985</v>
      </c>
      <c r="V37" s="2">
        <f t="shared" si="18"/>
        <v>0.57374567254156272</v>
      </c>
      <c r="W37" s="2">
        <f t="shared" si="18"/>
        <v>0.57318218435187984</v>
      </c>
      <c r="X37" s="2">
        <f t="shared" si="18"/>
        <v>0.57290148904091598</v>
      </c>
      <c r="Y37" s="2">
        <f t="shared" si="18"/>
        <v>0.57256430066272146</v>
      </c>
      <c r="Z37" s="2">
        <f t="shared" si="18"/>
        <v>0.57217068415561512</v>
      </c>
      <c r="AA37" s="2">
        <f t="shared" si="18"/>
        <v>0.57172072124056805</v>
      </c>
      <c r="AB37" s="2">
        <f t="shared" si="18"/>
        <v>0.57121451039809601</v>
      </c>
      <c r="AC37" s="2">
        <f t="shared" si="18"/>
        <v>0.57096129721950151</v>
      </c>
      <c r="AD37" s="2">
        <f t="shared" si="18"/>
        <v>0.5706569827794794</v>
      </c>
      <c r="AE37" s="2">
        <f t="shared" si="18"/>
        <v>0.5703016212290406</v>
      </c>
      <c r="AF37" s="2">
        <f t="shared" si="18"/>
        <v>0.56989528048964189</v>
      </c>
      <c r="AG37" s="2">
        <f t="shared" si="18"/>
        <v>0.5694380422351335</v>
      </c>
      <c r="AI37" s="208"/>
      <c r="AL37" s="108"/>
      <c r="AM37" s="2"/>
      <c r="AN37" s="2"/>
      <c r="AO37" s="2"/>
    </row>
    <row r="38" spans="1:64" outlineLevel="1">
      <c r="AL38" s="108"/>
      <c r="AM38" s="2"/>
      <c r="AN38" s="2"/>
      <c r="AO38" s="2"/>
    </row>
    <row r="39" spans="1:64" outlineLevel="1">
      <c r="A39" t="s">
        <v>1479</v>
      </c>
      <c r="B39" s="54" t="s">
        <v>462</v>
      </c>
      <c r="C39" s="23">
        <f>'Yearly LC Propylene'!D21/'Yearly LC Propylene'!D14</f>
        <v>1</v>
      </c>
      <c r="D39" s="23">
        <f>'Yearly LC Propylene'!E21/'Yearly LC Propylene'!E14</f>
        <v>1</v>
      </c>
      <c r="E39" s="23">
        <f>'Yearly LC Propylene'!F21/'Yearly LC Propylene'!F14</f>
        <v>1</v>
      </c>
      <c r="F39" s="23">
        <f>'Yearly LC Propylene'!G21/'Yearly LC Propylene'!G14</f>
        <v>1</v>
      </c>
      <c r="G39" s="23">
        <f>'Yearly LC Propylene'!H21/'Yearly LC Propylene'!H14</f>
        <v>1</v>
      </c>
      <c r="H39" s="23">
        <f>'Yearly LC Propylene'!I21/'Yearly LC Propylene'!I14</f>
        <v>1</v>
      </c>
      <c r="I39" s="23">
        <f>'Yearly LC Propylene'!J21/'Yearly LC Propylene'!J14</f>
        <v>1</v>
      </c>
      <c r="J39" s="23">
        <f>'Yearly LC Propylene'!K21/'Yearly LC Propylene'!K14</f>
        <v>1</v>
      </c>
      <c r="K39" s="23">
        <f>'Yearly LC Propylene'!L21/'Yearly LC Propylene'!L14</f>
        <v>1</v>
      </c>
      <c r="L39" s="23">
        <f>'Yearly LC Propylene'!M21/'Yearly LC Propylene'!M14</f>
        <v>1</v>
      </c>
      <c r="M39" s="23">
        <f>'Yearly LC Propylene'!N21/'Yearly LC Propylene'!N14</f>
        <v>1</v>
      </c>
      <c r="N39" s="23">
        <f>'Yearly LC Propylene'!O21/'Yearly LC Propylene'!O14</f>
        <v>1</v>
      </c>
      <c r="O39" s="23">
        <f>'Yearly LC Propylene'!P21/'Yearly LC Propylene'!P14</f>
        <v>1</v>
      </c>
      <c r="P39" s="23">
        <f>'Yearly LC Propylene'!Q21/'Yearly LC Propylene'!Q14</f>
        <v>1</v>
      </c>
      <c r="Q39" s="23">
        <f>'Yearly LC Propylene'!R21/'Yearly LC Propylene'!R14</f>
        <v>1</v>
      </c>
      <c r="R39" s="23">
        <f>'Yearly LC Propylene'!S21/'Yearly LC Propylene'!S14</f>
        <v>1</v>
      </c>
      <c r="S39" s="23">
        <f>'Yearly LC Propylene'!T21/'Yearly LC Propylene'!T14</f>
        <v>1</v>
      </c>
      <c r="T39" s="23">
        <f>'Yearly LC Propylene'!U21/'Yearly LC Propylene'!U14</f>
        <v>1</v>
      </c>
      <c r="U39" s="23">
        <f>'Yearly LC Propylene'!V21/'Yearly LC Propylene'!V14</f>
        <v>1</v>
      </c>
      <c r="V39" s="23">
        <f>'Yearly LC Propylene'!W21/'Yearly LC Propylene'!W14</f>
        <v>1</v>
      </c>
      <c r="W39" s="23">
        <f>'Yearly LC Propylene'!X21/'Yearly LC Propylene'!X14</f>
        <v>1</v>
      </c>
      <c r="X39" s="23">
        <f>'Yearly LC Propylene'!Y21/'Yearly LC Propylene'!Y14</f>
        <v>1</v>
      </c>
      <c r="Y39" s="23">
        <f>'Yearly LC Propylene'!Z21/'Yearly LC Propylene'!Z14</f>
        <v>1</v>
      </c>
      <c r="Z39" s="23">
        <f>'Yearly LC Propylene'!AA21/'Yearly LC Propylene'!AA14</f>
        <v>1</v>
      </c>
      <c r="AA39" s="23">
        <f>'Yearly LC Propylene'!AB21/'Yearly LC Propylene'!AB14</f>
        <v>1</v>
      </c>
      <c r="AB39" s="23">
        <f>'Yearly LC Propylene'!AC21/'Yearly LC Propylene'!AC14</f>
        <v>1</v>
      </c>
      <c r="AC39" s="23">
        <f>'Yearly LC Propylene'!AD21/'Yearly LC Propylene'!AD14</f>
        <v>1</v>
      </c>
      <c r="AD39" s="23">
        <f>'Yearly LC Propylene'!AE21/'Yearly LC Propylene'!AE14</f>
        <v>1</v>
      </c>
      <c r="AE39" s="23">
        <f>'Yearly LC Propylene'!AF21/'Yearly LC Propylene'!AF14</f>
        <v>1</v>
      </c>
      <c r="AF39" s="23">
        <f>'Yearly LC Propylene'!AG21/'Yearly LC Propylene'!AG14</f>
        <v>1</v>
      </c>
      <c r="AG39" s="23">
        <f>'Yearly LC Propylene'!AH21/'Yearly LC Propylene'!AH14</f>
        <v>1</v>
      </c>
      <c r="AL39" s="108"/>
      <c r="AM39" s="2"/>
      <c r="AN39" s="2"/>
      <c r="AO39" s="2"/>
      <c r="BC39" s="1"/>
      <c r="BD39" s="122"/>
      <c r="BE39" s="122"/>
      <c r="BF39" s="122"/>
      <c r="BG39" s="122"/>
      <c r="BH39" s="122"/>
      <c r="BI39" s="122"/>
      <c r="BJ39" s="122"/>
      <c r="BK39" s="122"/>
    </row>
    <row r="40" spans="1:64" outlineLevel="1">
      <c r="A40" t="s">
        <v>1480</v>
      </c>
      <c r="B40" s="54" t="s">
        <v>462</v>
      </c>
      <c r="C40" s="23">
        <f>'Yearly LC Propylene'!D13/'Yearly LC Propylene'!D6</f>
        <v>1</v>
      </c>
      <c r="D40" s="23">
        <f>'Yearly LC Propylene'!E13/'Yearly LC Propylene'!E6</f>
        <v>1.0009999999999999</v>
      </c>
      <c r="E40" s="23">
        <f>'Yearly LC Propylene'!F13/'Yearly LC Propylene'!F6</f>
        <v>1.002</v>
      </c>
      <c r="F40" s="23">
        <f>'Yearly LC Propylene'!G13/'Yearly LC Propylene'!G6</f>
        <v>1.0029999999999999</v>
      </c>
      <c r="G40" s="23">
        <f>'Yearly LC Propylene'!H13/'Yearly LC Propylene'!H6</f>
        <v>1.004</v>
      </c>
      <c r="H40" s="23">
        <f>'Yearly LC Propylene'!I13/'Yearly LC Propylene'!I6</f>
        <v>1.0049999999999999</v>
      </c>
      <c r="I40" s="23">
        <f>'Yearly LC Propylene'!J13/'Yearly LC Propylene'!J6</f>
        <v>1.006</v>
      </c>
      <c r="J40" s="23">
        <f>'Yearly LC Propylene'!K13/'Yearly LC Propylene'!K6</f>
        <v>1.0070000000000001</v>
      </c>
      <c r="K40" s="23">
        <f>'Yearly LC Propylene'!L13/'Yearly LC Propylene'!L6</f>
        <v>1.008</v>
      </c>
      <c r="L40" s="23">
        <f>'Yearly LC Propylene'!M13/'Yearly LC Propylene'!M6</f>
        <v>1.0090000000000001</v>
      </c>
      <c r="M40" s="23">
        <f>'Yearly LC Propylene'!N13/'Yearly LC Propylene'!N6</f>
        <v>1.01</v>
      </c>
      <c r="N40" s="23">
        <f>'Yearly LC Propylene'!O13/'Yearly LC Propylene'!O6</f>
        <v>1.014</v>
      </c>
      <c r="O40" s="23">
        <f>'Yearly LC Propylene'!P13/'Yearly LC Propylene'!P6</f>
        <v>1.018</v>
      </c>
      <c r="P40" s="23">
        <f>'Yearly LC Propylene'!Q13/'Yearly LC Propylene'!Q6</f>
        <v>1.022</v>
      </c>
      <c r="Q40" s="23">
        <f>'Yearly LC Propylene'!R13/'Yearly LC Propylene'!R6</f>
        <v>1.026</v>
      </c>
      <c r="R40" s="23">
        <f>'Yearly LC Propylene'!S13/'Yearly LC Propylene'!S6</f>
        <v>1.03</v>
      </c>
      <c r="S40" s="23">
        <f>'Yearly LC Propylene'!T13/'Yearly LC Propylene'!T6</f>
        <v>1.034</v>
      </c>
      <c r="T40" s="23">
        <f>'Yearly LC Propylene'!U13/'Yearly LC Propylene'!U6</f>
        <v>1.038</v>
      </c>
      <c r="U40" s="23">
        <f>'Yearly LC Propylene'!V13/'Yearly LC Propylene'!V6</f>
        <v>1.042</v>
      </c>
      <c r="V40" s="23">
        <f>'Yearly LC Propylene'!W13/'Yearly LC Propylene'!W6</f>
        <v>1.046</v>
      </c>
      <c r="W40" s="23">
        <f>'Yearly LC Propylene'!X13/'Yearly LC Propylene'!X6</f>
        <v>1.05</v>
      </c>
      <c r="X40" s="23">
        <f>'Yearly LC Propylene'!Y13/'Yearly LC Propylene'!Y6</f>
        <v>1.0550000000000002</v>
      </c>
      <c r="Y40" s="23">
        <f>'Yearly LC Propylene'!Z13/'Yearly LC Propylene'!Z6</f>
        <v>1.06</v>
      </c>
      <c r="Z40" s="23">
        <f>'Yearly LC Propylene'!AA13/'Yearly LC Propylene'!AA6</f>
        <v>1.0649999999999999</v>
      </c>
      <c r="AA40" s="23">
        <f>'Yearly LC Propylene'!AB13/'Yearly LC Propylene'!AB6</f>
        <v>1.07</v>
      </c>
      <c r="AB40" s="23">
        <f>'Yearly LC Propylene'!AC13/'Yearly LC Propylene'!AC6</f>
        <v>1.075</v>
      </c>
      <c r="AC40" s="23">
        <f>'Yearly LC Propylene'!AD13/'Yearly LC Propylene'!AD6</f>
        <v>1.08</v>
      </c>
      <c r="AD40" s="23">
        <f>'Yearly LC Propylene'!AE13/'Yearly LC Propylene'!AE6</f>
        <v>1.085</v>
      </c>
      <c r="AE40" s="23">
        <f>'Yearly LC Propylene'!AF13/'Yearly LC Propylene'!AF6</f>
        <v>1.0900000000000001</v>
      </c>
      <c r="AF40" s="23">
        <f>'Yearly LC Propylene'!AG13/'Yearly LC Propylene'!AG6</f>
        <v>1.095</v>
      </c>
      <c r="AG40" s="23">
        <f>'Yearly LC Propylene'!AH13/'Yearly LC Propylene'!AH6</f>
        <v>1.0999999999999999</v>
      </c>
      <c r="AL40" s="108"/>
      <c r="AM40" s="2"/>
      <c r="AN40" s="2"/>
      <c r="AO40" s="2"/>
      <c r="BL40" s="1"/>
    </row>
    <row r="41" spans="1:64" outlineLevel="1">
      <c r="A41" t="s">
        <v>1481</v>
      </c>
      <c r="B41" s="54" t="s">
        <v>462</v>
      </c>
      <c r="C41" s="23">
        <f>'Yearly LC Propylene'!D25/'Yearly LC Propylene'!D22</f>
        <v>1</v>
      </c>
      <c r="D41" s="23">
        <f>'Yearly LC Propylene'!E25/'Yearly LC Propylene'!E22</f>
        <v>1</v>
      </c>
      <c r="E41" s="23">
        <f>'Yearly LC Propylene'!F25/'Yearly LC Propylene'!F22</f>
        <v>1</v>
      </c>
      <c r="F41" s="23">
        <f>'Yearly LC Propylene'!G25/'Yearly LC Propylene'!G22</f>
        <v>1</v>
      </c>
      <c r="G41" s="23">
        <f>'Yearly LC Propylene'!H25/'Yearly LC Propylene'!H22</f>
        <v>1</v>
      </c>
      <c r="H41" s="23">
        <f>'Yearly LC Propylene'!I25/'Yearly LC Propylene'!I22</f>
        <v>1</v>
      </c>
      <c r="I41" s="23">
        <f>'Yearly LC Propylene'!J25/'Yearly LC Propylene'!J22</f>
        <v>1</v>
      </c>
      <c r="J41" s="23">
        <f>'Yearly LC Propylene'!K25/'Yearly LC Propylene'!K22</f>
        <v>1</v>
      </c>
      <c r="K41" s="23">
        <f>'Yearly LC Propylene'!L25/'Yearly LC Propylene'!L22</f>
        <v>1</v>
      </c>
      <c r="L41" s="23">
        <f>'Yearly LC Propylene'!M25/'Yearly LC Propylene'!M22</f>
        <v>1</v>
      </c>
      <c r="M41" s="23">
        <f>'Yearly LC Propylene'!N25/'Yearly LC Propylene'!N22</f>
        <v>1</v>
      </c>
      <c r="N41" s="23">
        <f>'Yearly LC Propylene'!O25/'Yearly LC Propylene'!O22</f>
        <v>1</v>
      </c>
      <c r="O41" s="23">
        <f>'Yearly LC Propylene'!P25/'Yearly LC Propylene'!P22</f>
        <v>1</v>
      </c>
      <c r="P41" s="23">
        <f>'Yearly LC Propylene'!Q25/'Yearly LC Propylene'!Q22</f>
        <v>1</v>
      </c>
      <c r="Q41" s="23">
        <f>'Yearly LC Propylene'!R25/'Yearly LC Propylene'!R22</f>
        <v>1</v>
      </c>
      <c r="R41" s="23">
        <f>'Yearly LC Propylene'!S25/'Yearly LC Propylene'!S22</f>
        <v>1</v>
      </c>
      <c r="S41" s="23">
        <f>'Yearly LC Propylene'!T25/'Yearly LC Propylene'!T22</f>
        <v>1</v>
      </c>
      <c r="T41" s="23">
        <f>'Yearly LC Propylene'!U25/'Yearly LC Propylene'!U22</f>
        <v>1</v>
      </c>
      <c r="U41" s="23">
        <f>'Yearly LC Propylene'!V25/'Yearly LC Propylene'!V22</f>
        <v>1</v>
      </c>
      <c r="V41" s="23">
        <f>'Yearly LC Propylene'!W25/'Yearly LC Propylene'!W22</f>
        <v>1</v>
      </c>
      <c r="W41" s="23">
        <f>'Yearly LC Propylene'!X25/'Yearly LC Propylene'!X22</f>
        <v>1</v>
      </c>
      <c r="X41" s="23">
        <f>'Yearly LC Propylene'!Y25/'Yearly LC Propylene'!Y22</f>
        <v>1</v>
      </c>
      <c r="Y41" s="23">
        <f>'Yearly LC Propylene'!Z25/'Yearly LC Propylene'!Z22</f>
        <v>1</v>
      </c>
      <c r="Z41" s="23">
        <f>'Yearly LC Propylene'!AA25/'Yearly LC Propylene'!AA22</f>
        <v>1</v>
      </c>
      <c r="AA41" s="23">
        <f>'Yearly LC Propylene'!AB25/'Yearly LC Propylene'!AB22</f>
        <v>1</v>
      </c>
      <c r="AB41" s="23">
        <f>'Yearly LC Propylene'!AC25/'Yearly LC Propylene'!AC22</f>
        <v>1</v>
      </c>
      <c r="AC41" s="23">
        <f>'Yearly LC Propylene'!AD25/'Yearly LC Propylene'!AD22</f>
        <v>1</v>
      </c>
      <c r="AD41" s="23">
        <f>'Yearly LC Propylene'!AE25/'Yearly LC Propylene'!AE22</f>
        <v>1</v>
      </c>
      <c r="AE41" s="23">
        <f>'Yearly LC Propylene'!AF25/'Yearly LC Propylene'!AF22</f>
        <v>1</v>
      </c>
      <c r="AF41" s="23">
        <f>'Yearly LC Propylene'!AG25/'Yearly LC Propylene'!AG22</f>
        <v>1</v>
      </c>
      <c r="AG41" s="23">
        <f>'Yearly LC Propylene'!AH25/'Yearly LC Propylene'!AH22</f>
        <v>1</v>
      </c>
      <c r="AL41" s="108"/>
      <c r="AM41" s="2"/>
      <c r="AN41" s="2"/>
      <c r="AO41" s="2"/>
      <c r="BD41" s="41"/>
      <c r="BE41" s="41"/>
      <c r="BF41" s="41"/>
      <c r="BG41" s="41"/>
      <c r="BH41" s="41"/>
      <c r="BI41" s="41"/>
      <c r="BJ41" s="41"/>
      <c r="BK41" s="41"/>
      <c r="BL41" s="118"/>
    </row>
    <row r="42" spans="1:64" outlineLevel="1">
      <c r="A42" t="s">
        <v>1482</v>
      </c>
      <c r="B42" s="54" t="s">
        <v>462</v>
      </c>
      <c r="C42" s="23" t="s">
        <v>1483</v>
      </c>
      <c r="D42" s="23" t="s">
        <v>1483</v>
      </c>
      <c r="E42" s="23" t="s">
        <v>1483</v>
      </c>
      <c r="F42" s="23" t="s">
        <v>1483</v>
      </c>
      <c r="G42" s="23" t="s">
        <v>1483</v>
      </c>
      <c r="H42" s="23" t="s">
        <v>1483</v>
      </c>
      <c r="I42" s="23" t="s">
        <v>1483</v>
      </c>
      <c r="J42" s="23" t="s">
        <v>1483</v>
      </c>
      <c r="K42" s="23" t="s">
        <v>1483</v>
      </c>
      <c r="L42" s="23" t="s">
        <v>1483</v>
      </c>
      <c r="M42" s="23" t="s">
        <v>1483</v>
      </c>
      <c r="N42" s="23" t="s">
        <v>1483</v>
      </c>
      <c r="O42" s="23" t="s">
        <v>1483</v>
      </c>
      <c r="P42" s="23" t="s">
        <v>1483</v>
      </c>
      <c r="Q42" s="23" t="s">
        <v>1483</v>
      </c>
      <c r="R42" s="23" t="s">
        <v>1483</v>
      </c>
      <c r="S42" s="23" t="s">
        <v>1483</v>
      </c>
      <c r="T42" s="23" t="s">
        <v>1483</v>
      </c>
      <c r="U42" s="23" t="s">
        <v>1483</v>
      </c>
      <c r="V42" s="23" t="s">
        <v>1483</v>
      </c>
      <c r="W42" s="23" t="s">
        <v>1483</v>
      </c>
      <c r="X42" s="23" t="s">
        <v>1483</v>
      </c>
      <c r="Y42" s="23" t="s">
        <v>1483</v>
      </c>
      <c r="Z42" s="23" t="s">
        <v>1483</v>
      </c>
      <c r="AA42" s="23" t="s">
        <v>1483</v>
      </c>
      <c r="AB42" s="23" t="s">
        <v>1483</v>
      </c>
      <c r="AC42" s="23" t="s">
        <v>1483</v>
      </c>
      <c r="AD42" s="23" t="s">
        <v>1483</v>
      </c>
      <c r="AE42" s="23" t="s">
        <v>1483</v>
      </c>
      <c r="AF42" s="23" t="s">
        <v>1483</v>
      </c>
      <c r="AG42" s="23" t="s">
        <v>1483</v>
      </c>
      <c r="AL42" s="108"/>
      <c r="AM42" s="2"/>
      <c r="AN42" s="2"/>
      <c r="AO42" s="2"/>
      <c r="BD42" s="41"/>
      <c r="BE42" s="41"/>
      <c r="BF42" s="41"/>
      <c r="BG42" s="41"/>
      <c r="BH42" s="41"/>
      <c r="BI42" s="41"/>
      <c r="BJ42" s="41"/>
      <c r="BK42" s="41"/>
      <c r="BL42" s="118"/>
    </row>
    <row r="43" spans="1:64" outlineLevel="1">
      <c r="A43" t="s">
        <v>1484</v>
      </c>
      <c r="B43" s="176" t="s">
        <v>462</v>
      </c>
      <c r="C43" s="110">
        <f>'Yearly LC Propylene'!D35/'Yearly LC Propylene'!D32</f>
        <v>1</v>
      </c>
      <c r="D43" s="110">
        <f>'Yearly LC Propylene'!E35/'Yearly LC Propylene'!E32</f>
        <v>1</v>
      </c>
      <c r="E43" s="110">
        <f>'Yearly LC Propylene'!F35/'Yearly LC Propylene'!F32</f>
        <v>1</v>
      </c>
      <c r="F43" s="110">
        <f>'Yearly LC Propylene'!G35/'Yearly LC Propylene'!G32</f>
        <v>1</v>
      </c>
      <c r="G43" s="110">
        <f>'Yearly LC Propylene'!H35/'Yearly LC Propylene'!H32</f>
        <v>1</v>
      </c>
      <c r="H43" s="110">
        <f>'Yearly LC Propylene'!I35/'Yearly LC Propylene'!I32</f>
        <v>1</v>
      </c>
      <c r="I43" s="110">
        <f>'Yearly LC Propylene'!J35/'Yearly LC Propylene'!J32</f>
        <v>1</v>
      </c>
      <c r="J43" s="110">
        <f>'Yearly LC Propylene'!K35/'Yearly LC Propylene'!K32</f>
        <v>1</v>
      </c>
      <c r="K43" s="110">
        <f>'Yearly LC Propylene'!L35/'Yearly LC Propylene'!L32</f>
        <v>1</v>
      </c>
      <c r="L43" s="110">
        <f>'Yearly LC Propylene'!M35/'Yearly LC Propylene'!M32</f>
        <v>1</v>
      </c>
      <c r="M43" s="110">
        <f>'Yearly LC Propylene'!N35/'Yearly LC Propylene'!N32</f>
        <v>1</v>
      </c>
      <c r="N43" s="110">
        <f>'Yearly LC Propylene'!O35/'Yearly LC Propylene'!O32</f>
        <v>1</v>
      </c>
      <c r="O43" s="110">
        <f>'Yearly LC Propylene'!P35/'Yearly LC Propylene'!P32</f>
        <v>1</v>
      </c>
      <c r="P43" s="110">
        <f>'Yearly LC Propylene'!Q35/'Yearly LC Propylene'!Q32</f>
        <v>1</v>
      </c>
      <c r="Q43" s="110">
        <f>'Yearly LC Propylene'!R35/'Yearly LC Propylene'!R32</f>
        <v>1</v>
      </c>
      <c r="R43" s="110">
        <f>'Yearly LC Propylene'!S35/'Yearly LC Propylene'!S32</f>
        <v>1</v>
      </c>
      <c r="S43" s="110">
        <f>'Yearly LC Propylene'!T35/'Yearly LC Propylene'!T32</f>
        <v>1</v>
      </c>
      <c r="T43" s="110">
        <f>'Yearly LC Propylene'!U35/'Yearly LC Propylene'!U32</f>
        <v>1</v>
      </c>
      <c r="U43" s="110">
        <f>'Yearly LC Propylene'!V35/'Yearly LC Propylene'!V32</f>
        <v>1</v>
      </c>
      <c r="V43" s="110">
        <f>'Yearly LC Propylene'!W35/'Yearly LC Propylene'!W32</f>
        <v>1</v>
      </c>
      <c r="W43" s="110">
        <f>'Yearly LC Propylene'!X35/'Yearly LC Propylene'!X32</f>
        <v>1</v>
      </c>
      <c r="X43" s="110">
        <f>'Yearly LC Propylene'!Y35/'Yearly LC Propylene'!Y32</f>
        <v>1</v>
      </c>
      <c r="Y43" s="110">
        <f>'Yearly LC Propylene'!Z35/'Yearly LC Propylene'!Z32</f>
        <v>1</v>
      </c>
      <c r="Z43" s="110">
        <f>'Yearly LC Propylene'!AA35/'Yearly LC Propylene'!AA32</f>
        <v>1</v>
      </c>
      <c r="AA43" s="110">
        <f>'Yearly LC Propylene'!AB35/'Yearly LC Propylene'!AB32</f>
        <v>1</v>
      </c>
      <c r="AB43" s="110">
        <f>'Yearly LC Propylene'!AC35/'Yearly LC Propylene'!AC32</f>
        <v>1</v>
      </c>
      <c r="AC43" s="110">
        <f>'Yearly LC Propylene'!AD35/'Yearly LC Propylene'!AD32</f>
        <v>1</v>
      </c>
      <c r="AD43" s="110">
        <f>'Yearly LC Propylene'!AE35/'Yearly LC Propylene'!AE32</f>
        <v>1</v>
      </c>
      <c r="AE43" s="110">
        <f>'Yearly LC Propylene'!AF35/'Yearly LC Propylene'!AF32</f>
        <v>1</v>
      </c>
      <c r="AF43" s="110">
        <f>'Yearly LC Propylene'!AG35/'Yearly LC Propylene'!AG32</f>
        <v>1</v>
      </c>
      <c r="AG43" s="110">
        <f>'Yearly LC Propylene'!AH35/'Yearly LC Propylene'!AH32</f>
        <v>1</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1485</v>
      </c>
      <c r="B45" s="54" t="s">
        <v>1470</v>
      </c>
      <c r="C45" s="107">
        <f>C27*C39</f>
        <v>42.585119205697637</v>
      </c>
      <c r="D45" s="107">
        <f t="shared" ref="D45:AF45" si="19">D27*D39</f>
        <v>44.012636263047483</v>
      </c>
      <c r="E45" s="107">
        <f t="shared" si="19"/>
        <v>45.36909701335091</v>
      </c>
      <c r="F45" s="107">
        <f t="shared" si="19"/>
        <v>46.645191207078334</v>
      </c>
      <c r="G45" s="107">
        <f t="shared" si="19"/>
        <v>47.83198116362081</v>
      </c>
      <c r="H45" s="107">
        <f t="shared" si="19"/>
        <v>48.921006043844443</v>
      </c>
      <c r="I45" s="107">
        <f t="shared" si="19"/>
        <v>50.012048902373749</v>
      </c>
      <c r="J45" s="107">
        <f t="shared" si="19"/>
        <v>51.104121901012896</v>
      </c>
      <c r="K45" s="107">
        <f t="shared" si="19"/>
        <v>52.196212122325981</v>
      </c>
      <c r="L45" s="107">
        <f t="shared" si="19"/>
        <v>53.287282886908656</v>
      </c>
      <c r="M45" s="107">
        <f t="shared" si="19"/>
        <v>54.376275159687594</v>
      </c>
      <c r="N45" s="107">
        <f t="shared" si="19"/>
        <v>55.382754376308014</v>
      </c>
      <c r="O45" s="107">
        <f t="shared" si="19"/>
        <v>56.301138422088286</v>
      </c>
      <c r="P45" s="107">
        <f t="shared" si="19"/>
        <v>57.126239456611934</v>
      </c>
      <c r="Q45" s="107">
        <f t="shared" si="19"/>
        <v>57.853312130622385</v>
      </c>
      <c r="R45" s="107">
        <f t="shared" si="19"/>
        <v>58.478098540198893</v>
      </c>
      <c r="S45" s="107">
        <f t="shared" si="19"/>
        <v>59.103162210000427</v>
      </c>
      <c r="T45" s="107">
        <f t="shared" si="19"/>
        <v>59.728363877389825</v>
      </c>
      <c r="U45" s="107">
        <f t="shared" si="19"/>
        <v>60.353562607814325</v>
      </c>
      <c r="V45" s="107">
        <f t="shared" si="19"/>
        <v>60.978615839267896</v>
      </c>
      <c r="W45" s="107">
        <f t="shared" si="19"/>
        <v>61.603379428230369</v>
      </c>
      <c r="X45" s="107">
        <f t="shared" si="19"/>
        <v>62.22839309866503</v>
      </c>
      <c r="Y45" s="107">
        <f t="shared" si="19"/>
        <v>62.853531369168849</v>
      </c>
      <c r="Z45" s="107">
        <f t="shared" si="19"/>
        <v>63.478667340269851</v>
      </c>
      <c r="AA45" s="107">
        <f t="shared" si="19"/>
        <v>64.103672730685716</v>
      </c>
      <c r="AB45" s="107">
        <f t="shared" si="19"/>
        <v>64.728417914711073</v>
      </c>
      <c r="AC45" s="107">
        <f t="shared" si="19"/>
        <v>65.35338982131735</v>
      </c>
      <c r="AD45" s="107">
        <f t="shared" si="19"/>
        <v>65.978474789108787</v>
      </c>
      <c r="AE45" s="107">
        <f t="shared" si="19"/>
        <v>66.603557943280975</v>
      </c>
      <c r="AF45" s="107">
        <f t="shared" si="19"/>
        <v>67.228523225485176</v>
      </c>
      <c r="AG45" s="107">
        <f>AG27*AG39</f>
        <v>67.853253424567384</v>
      </c>
      <c r="AI45" s="210" t="s">
        <v>1301</v>
      </c>
      <c r="AJ45" s="211" t="s">
        <v>1302</v>
      </c>
      <c r="BD45" s="41"/>
      <c r="BE45" s="41"/>
      <c r="BF45" s="41"/>
      <c r="BG45" s="41"/>
      <c r="BH45" s="41"/>
      <c r="BI45" s="41"/>
      <c r="BJ45" s="41"/>
      <c r="BK45" s="41"/>
      <c r="BL45" s="118"/>
    </row>
    <row r="46" spans="1:64" outlineLevel="1">
      <c r="A46" t="s">
        <v>1486</v>
      </c>
      <c r="B46" s="54" t="s">
        <v>1470</v>
      </c>
      <c r="C46" s="107">
        <f>C28*$C$40</f>
        <v>10.312870698085007</v>
      </c>
      <c r="D46" s="107">
        <f t="shared" ref="D46:O46" si="20">D28*$C$40</f>
        <v>10.658573589290958</v>
      </c>
      <c r="E46" s="107">
        <f t="shared" si="20"/>
        <v>10.98706872059107</v>
      </c>
      <c r="F46" s="107">
        <f t="shared" si="20"/>
        <v>11.296101421777623</v>
      </c>
      <c r="G46" s="107">
        <f t="shared" si="20"/>
        <v>11.583507247941681</v>
      </c>
      <c r="H46" s="107">
        <f t="shared" si="20"/>
        <v>11.847237231236907</v>
      </c>
      <c r="I46" s="107">
        <f t="shared" si="20"/>
        <v>12.111455909872808</v>
      </c>
      <c r="J46" s="107">
        <f t="shared" si="20"/>
        <v>12.375924058322388</v>
      </c>
      <c r="K46" s="107">
        <f t="shared" si="20"/>
        <v>12.640396377600009</v>
      </c>
      <c r="L46" s="107">
        <f t="shared" si="20"/>
        <v>12.904621814266076</v>
      </c>
      <c r="M46" s="107">
        <f t="shared" si="20"/>
        <v>13.168343900991626</v>
      </c>
      <c r="N46" s="107">
        <f t="shared" si="20"/>
        <v>13.412083738167601</v>
      </c>
      <c r="O46" s="107">
        <f t="shared" si="20"/>
        <v>13.634489500837134</v>
      </c>
      <c r="P46" s="107">
        <f>D40*P28</f>
        <v>13.848139150587677</v>
      </c>
      <c r="Q46" s="107">
        <f t="shared" ref="Q46:AG46" si="21">E40*Q28</f>
        <v>14.038401349220457</v>
      </c>
      <c r="R46" s="107">
        <f t="shared" si="21"/>
        <v>14.204170644678136</v>
      </c>
      <c r="S46" s="107">
        <f t="shared" si="21"/>
        <v>14.370309963032351</v>
      </c>
      <c r="T46" s="107">
        <f t="shared" si="21"/>
        <v>14.536785611750632</v>
      </c>
      <c r="U46" s="107">
        <f t="shared" si="21"/>
        <v>14.703563356080748</v>
      </c>
      <c r="V46" s="107">
        <f t="shared" si="21"/>
        <v>14.870608427869115</v>
      </c>
      <c r="W46" s="107">
        <f t="shared" si="21"/>
        <v>15.037885534804293</v>
      </c>
      <c r="X46" s="107">
        <f t="shared" si="21"/>
        <v>15.205526348168295</v>
      </c>
      <c r="Y46" s="107">
        <f t="shared" si="21"/>
        <v>15.37350035784233</v>
      </c>
      <c r="Z46" s="107">
        <f t="shared" si="21"/>
        <v>15.587894616372889</v>
      </c>
      <c r="AA46" s="107">
        <f t="shared" si="21"/>
        <v>15.803467800096415</v>
      </c>
      <c r="AB46" s="107">
        <f t="shared" si="21"/>
        <v>16.020187447369167</v>
      </c>
      <c r="AC46" s="107">
        <f t="shared" si="21"/>
        <v>16.238173787896788</v>
      </c>
      <c r="AD46" s="107">
        <f t="shared" si="21"/>
        <v>16.457399129315583</v>
      </c>
      <c r="AE46" s="107">
        <f t="shared" si="21"/>
        <v>16.677835035011363</v>
      </c>
      <c r="AF46" s="107">
        <f t="shared" si="21"/>
        <v>16.899452325749426</v>
      </c>
      <c r="AG46" s="107">
        <f t="shared" si="21"/>
        <v>17.12222108169896</v>
      </c>
      <c r="AI46" s="210" t="s">
        <v>1304</v>
      </c>
      <c r="AJ46" s="211" t="s">
        <v>1302</v>
      </c>
      <c r="BD46" s="41"/>
      <c r="BE46" s="41"/>
      <c r="BF46" s="41"/>
      <c r="BG46" s="41"/>
      <c r="BH46" s="41"/>
      <c r="BI46" s="41"/>
      <c r="BJ46" s="41"/>
      <c r="BK46" s="41"/>
      <c r="BL46" s="118"/>
    </row>
    <row r="47" spans="1:64" outlineLevel="1">
      <c r="A47" t="s">
        <v>1487</v>
      </c>
      <c r="B47" s="54" t="s">
        <v>1470</v>
      </c>
      <c r="C47" s="107">
        <f>C29</f>
        <v>2.6141114211437237</v>
      </c>
      <c r="D47" s="107">
        <f t="shared" ref="D47:AG47" si="22">D29</f>
        <v>2.7017403561590436</v>
      </c>
      <c r="E47" s="107">
        <f t="shared" si="22"/>
        <v>2.7850074599230017</v>
      </c>
      <c r="F47" s="107">
        <f t="shared" si="22"/>
        <v>2.8633412175477018</v>
      </c>
      <c r="G47" s="107">
        <f t="shared" si="22"/>
        <v>2.9361929844973473</v>
      </c>
      <c r="H47" s="107">
        <f t="shared" si="22"/>
        <v>3.0030433874174678</v>
      </c>
      <c r="I47" s="107">
        <f t="shared" si="22"/>
        <v>3.0700176650674211</v>
      </c>
      <c r="J47" s="107">
        <f t="shared" si="22"/>
        <v>3.137055178445646</v>
      </c>
      <c r="K47" s="107">
        <f t="shared" si="22"/>
        <v>3.2040937490473684</v>
      </c>
      <c r="L47" s="107">
        <f t="shared" si="22"/>
        <v>3.2710697397260557</v>
      </c>
      <c r="M47" s="107">
        <f t="shared" si="22"/>
        <v>3.3379181410198999</v>
      </c>
      <c r="N47" s="107">
        <f t="shared" si="22"/>
        <v>3.3997014320940089</v>
      </c>
      <c r="O47" s="107">
        <f t="shared" si="22"/>
        <v>3.4560769517085976</v>
      </c>
      <c r="P47" s="107">
        <f t="shared" si="22"/>
        <v>3.5067262413707287</v>
      </c>
      <c r="Q47" s="107">
        <f t="shared" si="22"/>
        <v>3.5513580051554348</v>
      </c>
      <c r="R47" s="107">
        <f t="shared" si="22"/>
        <v>3.5897108692430097</v>
      </c>
      <c r="S47" s="107">
        <f t="shared" si="22"/>
        <v>3.6280807531049661</v>
      </c>
      <c r="T47" s="107">
        <f t="shared" si="22"/>
        <v>3.6664591080262339</v>
      </c>
      <c r="U47" s="107">
        <f t="shared" si="22"/>
        <v>3.7048372826602627</v>
      </c>
      <c r="V47" s="107">
        <f t="shared" si="22"/>
        <v>3.7432065257583771</v>
      </c>
      <c r="W47" s="107">
        <f t="shared" si="22"/>
        <v>3.7815579889897641</v>
      </c>
      <c r="X47" s="107">
        <f t="shared" si="22"/>
        <v>3.8199248036125488</v>
      </c>
      <c r="Y47" s="107">
        <f t="shared" si="22"/>
        <v>3.8582992668804459</v>
      </c>
      <c r="Z47" s="107">
        <f t="shared" si="22"/>
        <v>3.8966735889982118</v>
      </c>
      <c r="AA47" s="107">
        <f t="shared" si="22"/>
        <v>3.9350398953474</v>
      </c>
      <c r="AB47" s="107">
        <f t="shared" si="22"/>
        <v>3.9733902287814025</v>
      </c>
      <c r="AC47" s="107">
        <f t="shared" si="22"/>
        <v>4.0117544797081646</v>
      </c>
      <c r="AD47" s="107">
        <f t="shared" si="22"/>
        <v>4.050125670959174</v>
      </c>
      <c r="AE47" s="107">
        <f t="shared" si="22"/>
        <v>4.0884967508801484</v>
      </c>
      <c r="AF47" s="107">
        <f t="shared" si="22"/>
        <v>4.1268605951642749</v>
      </c>
      <c r="AG47" s="107">
        <f t="shared" si="22"/>
        <v>4.1652100087391384</v>
      </c>
      <c r="AI47" s="210" t="s">
        <v>1306</v>
      </c>
      <c r="AJ47" s="211" t="s">
        <v>1302</v>
      </c>
      <c r="BD47" s="41"/>
      <c r="BE47" s="41"/>
      <c r="BF47" s="41"/>
      <c r="BG47" s="41"/>
      <c r="BH47" s="41"/>
      <c r="BI47" s="41"/>
      <c r="BJ47" s="41"/>
      <c r="BK47" s="41"/>
      <c r="BL47" s="118"/>
    </row>
    <row r="48" spans="1:64" outlineLevel="1">
      <c r="A48" t="s">
        <v>1488</v>
      </c>
      <c r="B48" s="54" t="s">
        <v>1470</v>
      </c>
      <c r="C48" s="84">
        <v>0</v>
      </c>
      <c r="D48" s="84">
        <v>0</v>
      </c>
      <c r="E48" s="84">
        <v>0</v>
      </c>
      <c r="F48" s="84">
        <v>0</v>
      </c>
      <c r="G48" s="84">
        <v>0</v>
      </c>
      <c r="H48" s="84">
        <v>0</v>
      </c>
      <c r="I48" s="84">
        <v>0</v>
      </c>
      <c r="J48" s="84">
        <v>0</v>
      </c>
      <c r="K48" s="84">
        <v>0</v>
      </c>
      <c r="L48" s="84">
        <v>0</v>
      </c>
      <c r="M48" s="84">
        <v>0</v>
      </c>
      <c r="N48" s="84">
        <v>0</v>
      </c>
      <c r="O48" s="84">
        <v>0</v>
      </c>
      <c r="P48" s="84">
        <v>0</v>
      </c>
      <c r="Q48" s="84">
        <v>0</v>
      </c>
      <c r="R48" s="84">
        <v>0</v>
      </c>
      <c r="S48" s="84">
        <v>0</v>
      </c>
      <c r="T48" s="84">
        <v>0</v>
      </c>
      <c r="U48" s="84">
        <v>0</v>
      </c>
      <c r="V48" s="84">
        <v>0</v>
      </c>
      <c r="W48" s="84">
        <v>0</v>
      </c>
      <c r="X48" s="84">
        <v>0</v>
      </c>
      <c r="Y48" s="84">
        <v>0</v>
      </c>
      <c r="Z48" s="84">
        <v>0</v>
      </c>
      <c r="AA48" s="84">
        <v>0</v>
      </c>
      <c r="AB48" s="84">
        <v>0</v>
      </c>
      <c r="AC48" s="84">
        <v>0</v>
      </c>
      <c r="AD48" s="84">
        <v>0</v>
      </c>
      <c r="AE48" s="84">
        <v>0</v>
      </c>
      <c r="AF48" s="84">
        <v>0</v>
      </c>
      <c r="AG48" s="84">
        <v>0</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1489</v>
      </c>
      <c r="B49" s="176" t="s">
        <v>1470</v>
      </c>
      <c r="C49" s="107">
        <f>(C31+C30)*$C$43</f>
        <v>35.620517225621761</v>
      </c>
      <c r="D49" s="107">
        <f t="shared" ref="D49:H49" si="23">(D31+D30)*$C$43</f>
        <v>36.814570380330217</v>
      </c>
      <c r="E49" s="107">
        <f t="shared" si="23"/>
        <v>37.949188162862995</v>
      </c>
      <c r="F49" s="107">
        <f t="shared" si="23"/>
        <v>39.016582972529342</v>
      </c>
      <c r="G49" s="107">
        <f t="shared" si="23"/>
        <v>40.009278845611696</v>
      </c>
      <c r="H49" s="107">
        <f t="shared" si="23"/>
        <v>40.92019867461962</v>
      </c>
      <c r="I49" s="107">
        <f>(I31+I30)*D43</f>
        <v>41.832806450787004</v>
      </c>
      <c r="J49" s="107">
        <f t="shared" ref="J49:AG49" si="24">(J31+J30)*E43</f>
        <v>42.746275892348592</v>
      </c>
      <c r="K49" s="107">
        <f t="shared" si="24"/>
        <v>43.659759739894355</v>
      </c>
      <c r="L49" s="107">
        <f t="shared" si="24"/>
        <v>44.572390858207392</v>
      </c>
      <c r="M49" s="107">
        <f t="shared" si="24"/>
        <v>45.483283412569456</v>
      </c>
      <c r="N49" s="107">
        <f t="shared" si="24"/>
        <v>46.325157544697305</v>
      </c>
      <c r="O49" s="107">
        <f t="shared" si="24"/>
        <v>47.093344069300862</v>
      </c>
      <c r="P49" s="107">
        <f t="shared" si="24"/>
        <v>47.783503593597686</v>
      </c>
      <c r="Q49" s="107">
        <f t="shared" si="24"/>
        <v>48.391666848554671</v>
      </c>
      <c r="R49" s="107">
        <f t="shared" si="24"/>
        <v>48.914272291013468</v>
      </c>
      <c r="S49" s="107">
        <f t="shared" si="24"/>
        <v>49.437109649052303</v>
      </c>
      <c r="T49" s="107">
        <f t="shared" si="24"/>
        <v>49.960062435803025</v>
      </c>
      <c r="U49" s="107">
        <f t="shared" si="24"/>
        <v>50.483012765916065</v>
      </c>
      <c r="V49" s="107">
        <f t="shared" si="24"/>
        <v>51.005841392751137</v>
      </c>
      <c r="W49" s="107">
        <f t="shared" si="24"/>
        <v>51.528427746803217</v>
      </c>
      <c r="X49" s="107">
        <f t="shared" si="24"/>
        <v>52.051223282643541</v>
      </c>
      <c r="Y49" s="107">
        <f t="shared" si="24"/>
        <v>52.574123040780123</v>
      </c>
      <c r="Z49" s="107">
        <f t="shared" si="24"/>
        <v>53.097020875570728</v>
      </c>
      <c r="AA49" s="107">
        <f t="shared" si="24"/>
        <v>53.619809485551549</v>
      </c>
      <c r="AB49" s="107">
        <f t="shared" si="24"/>
        <v>54.142380444710035</v>
      </c>
      <c r="AC49" s="107">
        <f t="shared" si="24"/>
        <v>54.665141047005605</v>
      </c>
      <c r="AD49" s="107">
        <f t="shared" si="24"/>
        <v>55.187996219845253</v>
      </c>
      <c r="AE49" s="107">
        <f t="shared" si="24"/>
        <v>55.710849875674803</v>
      </c>
      <c r="AF49" s="107">
        <f t="shared" si="24"/>
        <v>56.233604936959033</v>
      </c>
      <c r="AG49" s="107">
        <f t="shared" si="24"/>
        <v>56.756163361893442</v>
      </c>
      <c r="AI49" s="210" t="s">
        <v>1308</v>
      </c>
      <c r="AJ49" s="211" t="s">
        <v>1302</v>
      </c>
      <c r="AL49" s="108"/>
      <c r="AM49" s="2"/>
      <c r="AN49" s="2"/>
      <c r="AO49" s="2"/>
    </row>
    <row r="50" spans="1:63" s="1" customFormat="1" ht="16" thickBot="1">
      <c r="A50" s="200" t="s">
        <v>1490</v>
      </c>
      <c r="B50" s="215" t="s">
        <v>1470</v>
      </c>
      <c r="C50" s="216">
        <f>SUM(C45:C49)</f>
        <v>91.132618550548131</v>
      </c>
      <c r="D50" s="216">
        <f t="shared" ref="D50:AF50" si="25">SUM(D45:D49)</f>
        <v>94.187520588827709</v>
      </c>
      <c r="E50" s="216">
        <f t="shared" si="25"/>
        <v>97.090361356727982</v>
      </c>
      <c r="F50" s="216">
        <f t="shared" si="25"/>
        <v>99.821216818932996</v>
      </c>
      <c r="G50" s="216">
        <f t="shared" si="25"/>
        <v>102.36096024167153</v>
      </c>
      <c r="H50" s="216">
        <f t="shared" si="25"/>
        <v>104.69148533711844</v>
      </c>
      <c r="I50" s="216">
        <f t="shared" si="25"/>
        <v>107.02632892810098</v>
      </c>
      <c r="J50" s="216">
        <f t="shared" si="25"/>
        <v>109.36337703012953</v>
      </c>
      <c r="K50" s="216">
        <f t="shared" si="25"/>
        <v>111.70046198886772</v>
      </c>
      <c r="L50" s="216">
        <f t="shared" si="25"/>
        <v>114.03536529910818</v>
      </c>
      <c r="M50" s="216">
        <f t="shared" si="25"/>
        <v>116.36582061426859</v>
      </c>
      <c r="N50" s="216">
        <f t="shared" si="25"/>
        <v>118.51969709126692</v>
      </c>
      <c r="O50" s="216">
        <f t="shared" si="25"/>
        <v>120.48504894393488</v>
      </c>
      <c r="P50" s="216">
        <f t="shared" si="25"/>
        <v>122.26460844216803</v>
      </c>
      <c r="Q50" s="216">
        <f t="shared" si="25"/>
        <v>123.83473833355296</v>
      </c>
      <c r="R50" s="216">
        <f t="shared" si="25"/>
        <v>125.18625234513351</v>
      </c>
      <c r="S50" s="216">
        <f t="shared" si="25"/>
        <v>126.53866257519005</v>
      </c>
      <c r="T50" s="216">
        <f t="shared" si="25"/>
        <v>127.89167103296971</v>
      </c>
      <c r="U50" s="216">
        <f t="shared" si="25"/>
        <v>129.2449760124714</v>
      </c>
      <c r="V50" s="216">
        <f t="shared" si="25"/>
        <v>130.59827218564652</v>
      </c>
      <c r="W50" s="216">
        <f t="shared" si="25"/>
        <v>131.95125069882764</v>
      </c>
      <c r="X50" s="216">
        <f t="shared" si="25"/>
        <v>133.30506753308941</v>
      </c>
      <c r="Y50" s="216">
        <f t="shared" si="25"/>
        <v>134.65945403467174</v>
      </c>
      <c r="Z50" s="216">
        <f t="shared" si="25"/>
        <v>136.06025642121168</v>
      </c>
      <c r="AA50" s="216">
        <f t="shared" si="25"/>
        <v>137.46198991168109</v>
      </c>
      <c r="AB50" s="216">
        <f t="shared" si="25"/>
        <v>138.86437603557167</v>
      </c>
      <c r="AC50" s="216">
        <f t="shared" si="25"/>
        <v>140.26845913592791</v>
      </c>
      <c r="AD50" s="216">
        <f t="shared" si="25"/>
        <v>141.67399580922878</v>
      </c>
      <c r="AE50" s="216">
        <f t="shared" si="25"/>
        <v>143.08073960484728</v>
      </c>
      <c r="AF50" s="216">
        <f t="shared" si="25"/>
        <v>144.48844108335791</v>
      </c>
      <c r="AG50" s="216">
        <f>SUM(AG45:AG49)</f>
        <v>145.89684787689893</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26">D55</f>
        <v>0.14849999999999999</v>
      </c>
      <c r="E52" s="222">
        <f t="shared" si="26"/>
        <v>0.155</v>
      </c>
      <c r="F52" s="222">
        <f t="shared" si="26"/>
        <v>0.16149999999999998</v>
      </c>
      <c r="G52" s="222">
        <f t="shared" si="26"/>
        <v>0.16800000000000001</v>
      </c>
      <c r="H52" s="222">
        <f t="shared" si="26"/>
        <v>0.17449999999999999</v>
      </c>
      <c r="I52" s="222">
        <f t="shared" si="26"/>
        <v>0.18099999999999999</v>
      </c>
      <c r="J52" s="222">
        <f t="shared" si="26"/>
        <v>0.1875</v>
      </c>
      <c r="K52" s="222">
        <f t="shared" si="26"/>
        <v>0.19400000000000003</v>
      </c>
      <c r="L52" s="222">
        <f t="shared" si="26"/>
        <v>0.20050000000000001</v>
      </c>
      <c r="M52" s="222">
        <f t="shared" si="26"/>
        <v>0.20700000000000002</v>
      </c>
      <c r="N52" s="222">
        <f t="shared" si="26"/>
        <v>0.22070000000000001</v>
      </c>
      <c r="O52" s="222">
        <f t="shared" si="26"/>
        <v>0.23439999999999997</v>
      </c>
      <c r="P52" s="222">
        <f t="shared" si="26"/>
        <v>0.24809999999999999</v>
      </c>
      <c r="Q52" s="222">
        <f t="shared" si="26"/>
        <v>0.26179999999999998</v>
      </c>
      <c r="R52" s="222">
        <f t="shared" si="26"/>
        <v>0.27549999999999997</v>
      </c>
      <c r="S52" s="222">
        <f t="shared" si="26"/>
        <v>0.28920000000000001</v>
      </c>
      <c r="T52" s="222">
        <f t="shared" si="26"/>
        <v>0.3029</v>
      </c>
      <c r="U52" s="222">
        <f t="shared" si="26"/>
        <v>0.31659999999999999</v>
      </c>
      <c r="V52" s="222">
        <f t="shared" si="26"/>
        <v>0.33030000000000004</v>
      </c>
      <c r="W52" s="222">
        <f t="shared" si="26"/>
        <v>0.34399999999999997</v>
      </c>
      <c r="X52" s="222">
        <f t="shared" si="26"/>
        <v>0.36692262658227848</v>
      </c>
      <c r="Y52" s="222">
        <f t="shared" si="26"/>
        <v>0.38984525316455698</v>
      </c>
      <c r="Z52" s="222">
        <f t="shared" si="26"/>
        <v>0.41276787974683543</v>
      </c>
      <c r="AA52" s="222">
        <f t="shared" si="26"/>
        <v>0.43569050632911388</v>
      </c>
      <c r="AB52" s="222">
        <f t="shared" si="26"/>
        <v>0.45861313291139238</v>
      </c>
      <c r="AC52" s="222">
        <f t="shared" si="26"/>
        <v>0.48153575949367089</v>
      </c>
      <c r="AD52" s="222">
        <f t="shared" si="26"/>
        <v>0.50445838607594939</v>
      </c>
      <c r="AE52" s="222">
        <f t="shared" si="26"/>
        <v>0.5273810126582279</v>
      </c>
      <c r="AF52" s="222">
        <f t="shared" si="26"/>
        <v>0.55030363924050629</v>
      </c>
      <c r="AG52" s="222">
        <f t="shared" si="26"/>
        <v>0.5732262658227848</v>
      </c>
      <c r="AJ52" s="231" t="s">
        <v>1491</v>
      </c>
      <c r="AL52" s="217"/>
      <c r="AM52" s="218"/>
      <c r="AN52" s="218"/>
      <c r="AO52" s="218"/>
    </row>
    <row r="53" spans="1:63" ht="17" outlineLevel="1" thickTop="1">
      <c r="A53" t="s">
        <v>1313</v>
      </c>
      <c r="B53" s="54" t="s">
        <v>462</v>
      </c>
      <c r="C53" s="110">
        <f>'Propylene Recycling HC'!C53*'Propylene Recycling HC'!C$45/'Propylene Recycling LC'!C$45</f>
        <v>4.7E-2</v>
      </c>
      <c r="D53" s="110">
        <f>'Propylene Recycling HC'!D53*'Propylene Recycling HC'!D$45/'Propylene Recycling LC'!D$45</f>
        <v>5.0200000000000002E-2</v>
      </c>
      <c r="E53" s="110">
        <f>'Propylene Recycling HC'!E53*'Propylene Recycling HC'!E$45/'Propylene Recycling LC'!E$45</f>
        <v>5.3399999999999996E-2</v>
      </c>
      <c r="F53" s="110">
        <f>'Propylene Recycling HC'!F53*'Propylene Recycling HC'!F$45/'Propylene Recycling LC'!F$45</f>
        <v>5.6599999999999998E-2</v>
      </c>
      <c r="G53" s="110">
        <f>'Propylene Recycling HC'!G53*'Propylene Recycling HC'!G$45/'Propylene Recycling LC'!G$45</f>
        <v>5.9799999999999999E-2</v>
      </c>
      <c r="H53" s="110">
        <f>'Propylene Recycling HC'!H53*'Propylene Recycling HC'!H$45/'Propylene Recycling LC'!H$45</f>
        <v>6.3E-2</v>
      </c>
      <c r="I53" s="110">
        <f>'Propylene Recycling HC'!I53*'Propylene Recycling HC'!I$45/'Propylene Recycling LC'!I$45</f>
        <v>6.6200000000000009E-2</v>
      </c>
      <c r="J53" s="110">
        <f>'Propylene Recycling HC'!J53*'Propylene Recycling HC'!J$45/'Propylene Recycling LC'!J$45</f>
        <v>6.9400000000000003E-2</v>
      </c>
      <c r="K53" s="110">
        <f>'Propylene Recycling HC'!K53*'Propylene Recycling HC'!K$45/'Propylene Recycling LC'!K$45</f>
        <v>7.2599999999999998E-2</v>
      </c>
      <c r="L53" s="110">
        <f>'Propylene Recycling HC'!L53*'Propylene Recycling HC'!L$45/'Propylene Recycling LC'!L$45</f>
        <v>7.580000000000002E-2</v>
      </c>
      <c r="M53" s="110">
        <f>'Propylene Recycling HC'!M53*'Propylene Recycling HC'!M$45/'Propylene Recycling LC'!M$45</f>
        <v>7.9000000000000001E-2</v>
      </c>
      <c r="N53" s="110">
        <f>'Propylene Recycling HC'!N53*'Propylene Recycling HC'!N$45/'Propylene Recycling LC'!N$45</f>
        <v>8.5100000000000009E-2</v>
      </c>
      <c r="O53" s="110">
        <f>'Propylene Recycling HC'!O53*'Propylene Recycling HC'!O$45/'Propylene Recycling LC'!O$45</f>
        <v>9.1200000000000003E-2</v>
      </c>
      <c r="P53" s="110">
        <f>'Propylene Recycling HC'!P53*'Propylene Recycling HC'!P$45/'Propylene Recycling LC'!P$45</f>
        <v>9.7299999999999998E-2</v>
      </c>
      <c r="Q53" s="110">
        <f>'Propylene Recycling HC'!Q53*'Propylene Recycling HC'!Q$45/'Propylene Recycling LC'!Q$45</f>
        <v>0.10340000000000001</v>
      </c>
      <c r="R53" s="110">
        <f>'Propylene Recycling HC'!R53*'Propylene Recycling HC'!R$45/'Propylene Recycling LC'!R$45</f>
        <v>0.10950000000000001</v>
      </c>
      <c r="S53" s="110">
        <f>'Propylene Recycling HC'!S53*'Propylene Recycling HC'!S$45/'Propylene Recycling LC'!S$45</f>
        <v>0.11560000000000001</v>
      </c>
      <c r="T53" s="110">
        <f>'Propylene Recycling HC'!T53*'Propylene Recycling HC'!T$45/'Propylene Recycling LC'!T$45</f>
        <v>0.1217</v>
      </c>
      <c r="U53" s="110">
        <f>'Propylene Recycling HC'!U53*'Propylene Recycling HC'!U$45/'Propylene Recycling LC'!U$45</f>
        <v>0.12780000000000002</v>
      </c>
      <c r="V53" s="110">
        <f>'Propylene Recycling HC'!V53*'Propylene Recycling HC'!V$45/'Propylene Recycling LC'!V$45</f>
        <v>0.13390000000000002</v>
      </c>
      <c r="W53" s="110">
        <f>'Propylene Recycling HC'!W53*'Propylene Recycling HC'!W$45/'Propylene Recycling LC'!W$45</f>
        <v>0.14000000000000001</v>
      </c>
      <c r="X53" s="110">
        <f>'Propylene Recycling HC'!X53*'Propylene Recycling HC'!X$45/'Propylene Recycling LC'!X$45</f>
        <v>0.15081012658227849</v>
      </c>
      <c r="Y53" s="110">
        <f>'Propylene Recycling HC'!Y53*'Propylene Recycling HC'!Y$45/'Propylene Recycling LC'!Y$45</f>
        <v>0.16162025316455697</v>
      </c>
      <c r="Z53" s="110">
        <f>'Propylene Recycling HC'!Z53*'Propylene Recycling HC'!Z$45/'Propylene Recycling LC'!Z$45</f>
        <v>0.17243037974683545</v>
      </c>
      <c r="AA53" s="110">
        <f>'Propylene Recycling HC'!AA53*'Propylene Recycling HC'!AA$45/'Propylene Recycling LC'!AA$45</f>
        <v>0.18324050632911396</v>
      </c>
      <c r="AB53" s="110">
        <f>'Propylene Recycling HC'!AB53*'Propylene Recycling HC'!AB$45/'Propylene Recycling LC'!AB$45</f>
        <v>0.19405063291139243</v>
      </c>
      <c r="AC53" s="110">
        <f>'Propylene Recycling HC'!AC53*'Propylene Recycling HC'!AC$45/'Propylene Recycling LC'!AC$45</f>
        <v>0.20486075949367091</v>
      </c>
      <c r="AD53" s="110">
        <f>'Propylene Recycling HC'!AD53*'Propylene Recycling HC'!AD$45/'Propylene Recycling LC'!AD$45</f>
        <v>0.21567088607594942</v>
      </c>
      <c r="AE53" s="110">
        <f>'Propylene Recycling HC'!AE53*'Propylene Recycling HC'!AE$45/'Propylene Recycling LC'!AE$45</f>
        <v>0.2264810126582279</v>
      </c>
      <c r="AF53" s="110">
        <f>'Propylene Recycling HC'!AF53*'Propylene Recycling HC'!AF$45/'Propylene Recycling LC'!AF$45</f>
        <v>0.23729113924050638</v>
      </c>
      <c r="AG53" s="110">
        <f>'Propylene Recycling HC'!AG53*'Propylene Recycling HC'!AG$45/'Propylene Recycling LC'!AG$45</f>
        <v>0.24810126582278486</v>
      </c>
      <c r="AI53" s="133" t="s">
        <v>1314</v>
      </c>
      <c r="AJ53" s="211"/>
      <c r="AL53" s="108"/>
      <c r="AM53" s="2"/>
      <c r="AN53" s="2"/>
      <c r="AO53" s="2"/>
      <c r="AV53" s="41"/>
    </row>
    <row r="54" spans="1:63" ht="16" outlineLevel="1">
      <c r="A54" t="s">
        <v>1315</v>
      </c>
      <c r="B54" s="54" t="s">
        <v>462</v>
      </c>
      <c r="C54" s="110">
        <f>'Propylene Recycling HC'!C54*'Propylene Recycling HC'!C$45/'Propylene Recycling LC'!C$45</f>
        <v>9.5000000000000001E-2</v>
      </c>
      <c r="D54" s="110">
        <f>'Propylene Recycling HC'!D54*'Propylene Recycling HC'!D$45/'Propylene Recycling LC'!D$45</f>
        <v>9.8300000000000012E-2</v>
      </c>
      <c r="E54" s="110">
        <f>'Propylene Recycling HC'!E54*'Propylene Recycling HC'!E$45/'Propylene Recycling LC'!E$45</f>
        <v>0.1016</v>
      </c>
      <c r="F54" s="110">
        <f>'Propylene Recycling HC'!F54*'Propylene Recycling HC'!F$45/'Propylene Recycling LC'!F$45</f>
        <v>0.10489999999999998</v>
      </c>
      <c r="G54" s="110">
        <f>'Propylene Recycling HC'!G54*'Propylene Recycling HC'!G$45/'Propylene Recycling LC'!G$45</f>
        <v>0.1082</v>
      </c>
      <c r="H54" s="110">
        <f>'Propylene Recycling HC'!H54*'Propylene Recycling HC'!H$45/'Propylene Recycling LC'!H$45</f>
        <v>0.11149999999999999</v>
      </c>
      <c r="I54" s="110">
        <f>'Propylene Recycling HC'!I54*'Propylene Recycling HC'!I$45/'Propylene Recycling LC'!I$45</f>
        <v>0.1148</v>
      </c>
      <c r="J54" s="110">
        <f>'Propylene Recycling HC'!J54*'Propylene Recycling HC'!J$45/'Propylene Recycling LC'!J$45</f>
        <v>0.1181</v>
      </c>
      <c r="K54" s="110">
        <f>'Propylene Recycling HC'!K54*'Propylene Recycling HC'!K$45/'Propylene Recycling LC'!K$45</f>
        <v>0.12140000000000001</v>
      </c>
      <c r="L54" s="110">
        <f>'Propylene Recycling HC'!L54*'Propylene Recycling HC'!L$45/'Propylene Recycling LC'!L$45</f>
        <v>0.12470000000000001</v>
      </c>
      <c r="M54" s="110">
        <f>'Propylene Recycling HC'!M54*'Propylene Recycling HC'!M$45/'Propylene Recycling LC'!M$45</f>
        <v>0.128</v>
      </c>
      <c r="N54" s="110">
        <f>'Propylene Recycling HC'!N54*'Propylene Recycling HC'!N$45/'Propylene Recycling LC'!N$45</f>
        <v>0.1356</v>
      </c>
      <c r="O54" s="110">
        <f>'Propylene Recycling HC'!O54*'Propylene Recycling HC'!O$45/'Propylene Recycling LC'!O$45</f>
        <v>0.14319999999999999</v>
      </c>
      <c r="P54" s="110">
        <f>'Propylene Recycling HC'!P54*'Propylene Recycling HC'!P$45/'Propylene Recycling LC'!P$45</f>
        <v>0.15079999999999999</v>
      </c>
      <c r="Q54" s="110">
        <f>'Propylene Recycling HC'!Q54*'Propylene Recycling HC'!Q$45/'Propylene Recycling LC'!Q$45</f>
        <v>0.15839999999999999</v>
      </c>
      <c r="R54" s="110">
        <f>'Propylene Recycling HC'!R54*'Propylene Recycling HC'!R$45/'Propylene Recycling LC'!R$45</f>
        <v>0.16599999999999998</v>
      </c>
      <c r="S54" s="110">
        <f>'Propylene Recycling HC'!S54*'Propylene Recycling HC'!S$45/'Propylene Recycling LC'!S$45</f>
        <v>0.17359999999999998</v>
      </c>
      <c r="T54" s="110">
        <f>'Propylene Recycling HC'!T54*'Propylene Recycling HC'!T$45/'Propylene Recycling LC'!T$45</f>
        <v>0.1812</v>
      </c>
      <c r="U54" s="110">
        <f>'Propylene Recycling HC'!U54*'Propylene Recycling HC'!U$45/'Propylene Recycling LC'!U$45</f>
        <v>0.1888</v>
      </c>
      <c r="V54" s="110">
        <f>'Propylene Recycling HC'!V54*'Propylene Recycling HC'!V$45/'Propylene Recycling LC'!V$45</f>
        <v>0.19639999999999999</v>
      </c>
      <c r="W54" s="110">
        <f>'Propylene Recycling HC'!W54*'Propylene Recycling HC'!W$45/'Propylene Recycling LC'!W$45</f>
        <v>0.20399999999999999</v>
      </c>
      <c r="X54" s="110">
        <f>'Propylene Recycling HC'!X54*'Propylene Recycling HC'!X$45/'Propylene Recycling LC'!X$45</f>
        <v>0.21611249999999999</v>
      </c>
      <c r="Y54" s="110">
        <f>'Propylene Recycling HC'!Y54*'Propylene Recycling HC'!Y$45/'Propylene Recycling LC'!Y$45</f>
        <v>0.22822499999999998</v>
      </c>
      <c r="Z54" s="110">
        <f>'Propylene Recycling HC'!Z54*'Propylene Recycling HC'!Z$45/'Propylene Recycling LC'!Z$45</f>
        <v>0.24033749999999998</v>
      </c>
      <c r="AA54" s="110">
        <f>'Propylene Recycling HC'!AA54*'Propylene Recycling HC'!AA$45/'Propylene Recycling LC'!AA$45</f>
        <v>0.25244999999999995</v>
      </c>
      <c r="AB54" s="110">
        <f>'Propylene Recycling HC'!AB54*'Propylene Recycling HC'!AB$45/'Propylene Recycling LC'!AB$45</f>
        <v>0.26456249999999998</v>
      </c>
      <c r="AC54" s="110">
        <f>'Propylene Recycling HC'!AC54*'Propylene Recycling HC'!AC$45/'Propylene Recycling LC'!AC$45</f>
        <v>0.27667499999999995</v>
      </c>
      <c r="AD54" s="110">
        <f>'Propylene Recycling HC'!AD54*'Propylene Recycling HC'!AD$45/'Propylene Recycling LC'!AD$45</f>
        <v>0.28878749999999997</v>
      </c>
      <c r="AE54" s="110">
        <f>'Propylene Recycling HC'!AE54*'Propylene Recycling HC'!AE$45/'Propylene Recycling LC'!AE$45</f>
        <v>0.30089999999999995</v>
      </c>
      <c r="AF54" s="110">
        <f>'Propylene Recycling HC'!AF54*'Propylene Recycling HC'!AF$45/'Propylene Recycling LC'!AF$45</f>
        <v>0.31301249999999992</v>
      </c>
      <c r="AG54" s="110">
        <f>'Propylene Recycling HC'!AG54*'Propylene Recycling HC'!AG$45/'Propylene Recycling LC'!AG$45</f>
        <v>0.32512499999999994</v>
      </c>
      <c r="AI54" s="133" t="s">
        <v>1314</v>
      </c>
      <c r="AJ54" s="211"/>
      <c r="AL54" s="108"/>
      <c r="AM54" s="2"/>
      <c r="AN54" s="2"/>
      <c r="AO54" s="2"/>
      <c r="AV54" s="41"/>
    </row>
    <row r="55" spans="1:63" ht="16" outlineLevel="1">
      <c r="A55" t="s">
        <v>1316</v>
      </c>
      <c r="B55" s="176" t="s">
        <v>462</v>
      </c>
      <c r="C55" s="110">
        <f>'Propylene Recycling HC'!C55*'Propylene Recycling HC'!C$45/'Propylene Recycling LC'!C$45</f>
        <v>0.14200000000000002</v>
      </c>
      <c r="D55" s="110">
        <f>'Propylene Recycling HC'!D55*'Propylene Recycling HC'!D$45/'Propylene Recycling LC'!D$45</f>
        <v>0.14849999999999999</v>
      </c>
      <c r="E55" s="110">
        <f>'Propylene Recycling HC'!E55*'Propylene Recycling HC'!E$45/'Propylene Recycling LC'!E$45</f>
        <v>0.155</v>
      </c>
      <c r="F55" s="110">
        <f>'Propylene Recycling HC'!F55*'Propylene Recycling HC'!F$45/'Propylene Recycling LC'!F$45</f>
        <v>0.16149999999999998</v>
      </c>
      <c r="G55" s="110">
        <f>'Propylene Recycling HC'!G55*'Propylene Recycling HC'!G$45/'Propylene Recycling LC'!G$45</f>
        <v>0.16800000000000001</v>
      </c>
      <c r="H55" s="110">
        <f>'Propylene Recycling HC'!H55*'Propylene Recycling HC'!H$45/'Propylene Recycling LC'!H$45</f>
        <v>0.17449999999999999</v>
      </c>
      <c r="I55" s="110">
        <f>'Propylene Recycling HC'!I55*'Propylene Recycling HC'!I$45/'Propylene Recycling LC'!I$45</f>
        <v>0.18099999999999999</v>
      </c>
      <c r="J55" s="110">
        <f>'Propylene Recycling HC'!J55*'Propylene Recycling HC'!J$45/'Propylene Recycling LC'!J$45</f>
        <v>0.1875</v>
      </c>
      <c r="K55" s="110">
        <f>'Propylene Recycling HC'!K55*'Propylene Recycling HC'!K$45/'Propylene Recycling LC'!K$45</f>
        <v>0.19400000000000003</v>
      </c>
      <c r="L55" s="110">
        <f>'Propylene Recycling HC'!L55*'Propylene Recycling HC'!L$45/'Propylene Recycling LC'!L$45</f>
        <v>0.20050000000000001</v>
      </c>
      <c r="M55" s="110">
        <f>'Propylene Recycling HC'!M55*'Propylene Recycling HC'!M$45/'Propylene Recycling LC'!M$45</f>
        <v>0.20700000000000002</v>
      </c>
      <c r="N55" s="110">
        <f>'Propylene Recycling HC'!N55*'Propylene Recycling HC'!N$45/'Propylene Recycling LC'!N$45</f>
        <v>0.22070000000000001</v>
      </c>
      <c r="O55" s="110">
        <f>'Propylene Recycling HC'!O55*'Propylene Recycling HC'!O$45/'Propylene Recycling LC'!O$45</f>
        <v>0.23439999999999997</v>
      </c>
      <c r="P55" s="110">
        <f>'Propylene Recycling HC'!P55*'Propylene Recycling HC'!P$45/'Propylene Recycling LC'!P$45</f>
        <v>0.24809999999999999</v>
      </c>
      <c r="Q55" s="110">
        <f>'Propylene Recycling HC'!Q55*'Propylene Recycling HC'!Q$45/'Propylene Recycling LC'!Q$45</f>
        <v>0.26179999999999998</v>
      </c>
      <c r="R55" s="110">
        <f>'Propylene Recycling HC'!R55*'Propylene Recycling HC'!R$45/'Propylene Recycling LC'!R$45</f>
        <v>0.27549999999999997</v>
      </c>
      <c r="S55" s="110">
        <f>'Propylene Recycling HC'!S55*'Propylene Recycling HC'!S$45/'Propylene Recycling LC'!S$45</f>
        <v>0.28920000000000001</v>
      </c>
      <c r="T55" s="110">
        <f>'Propylene Recycling HC'!T55*'Propylene Recycling HC'!T$45/'Propylene Recycling LC'!T$45</f>
        <v>0.3029</v>
      </c>
      <c r="U55" s="110">
        <f>'Propylene Recycling HC'!U55*'Propylene Recycling HC'!U$45/'Propylene Recycling LC'!U$45</f>
        <v>0.31659999999999999</v>
      </c>
      <c r="V55" s="110">
        <f>'Propylene Recycling HC'!V55*'Propylene Recycling HC'!V$45/'Propylene Recycling LC'!V$45</f>
        <v>0.33030000000000004</v>
      </c>
      <c r="W55" s="110">
        <f>'Propylene Recycling HC'!W55*'Propylene Recycling HC'!W$45/'Propylene Recycling LC'!W$45</f>
        <v>0.34399999999999997</v>
      </c>
      <c r="X55" s="110">
        <f>'Propylene Recycling HC'!X55*'Propylene Recycling HC'!X$45/'Propylene Recycling LC'!X$45</f>
        <v>0.36692262658227848</v>
      </c>
      <c r="Y55" s="110">
        <f>'Propylene Recycling HC'!Y55*'Propylene Recycling HC'!Y$45/'Propylene Recycling LC'!Y$45</f>
        <v>0.38984525316455698</v>
      </c>
      <c r="Z55" s="110">
        <f>'Propylene Recycling HC'!Z55*'Propylene Recycling HC'!Z$45/'Propylene Recycling LC'!Z$45</f>
        <v>0.41276787974683543</v>
      </c>
      <c r="AA55" s="110">
        <f>'Propylene Recycling HC'!AA55*'Propylene Recycling HC'!AA$45/'Propylene Recycling LC'!AA$45</f>
        <v>0.43569050632911388</v>
      </c>
      <c r="AB55" s="110">
        <f>'Propylene Recycling HC'!AB55*'Propylene Recycling HC'!AB$45/'Propylene Recycling LC'!AB$45</f>
        <v>0.45861313291139238</v>
      </c>
      <c r="AC55" s="110">
        <f>'Propylene Recycling HC'!AC55*'Propylene Recycling HC'!AC$45/'Propylene Recycling LC'!AC$45</f>
        <v>0.48153575949367089</v>
      </c>
      <c r="AD55" s="110">
        <f>'Propylene Recycling HC'!AD55*'Propylene Recycling HC'!AD$45/'Propylene Recycling LC'!AD$45</f>
        <v>0.50445838607594939</v>
      </c>
      <c r="AE55" s="110">
        <f>'Propylene Recycling HC'!AE55*'Propylene Recycling HC'!AE$45/'Propylene Recycling LC'!AE$45</f>
        <v>0.5273810126582279</v>
      </c>
      <c r="AF55" s="110">
        <f>'Propylene Recycling HC'!AF55*'Propylene Recycling HC'!AF$45/'Propylene Recycling LC'!AF$45</f>
        <v>0.55030363924050629</v>
      </c>
      <c r="AG55" s="110">
        <f>'Propylene Recycling HC'!AG55*'Propylene Recycling HC'!AG$45/'Propylene Recycling LC'!AG$45</f>
        <v>0.5732262658227848</v>
      </c>
      <c r="AI55" s="133" t="s">
        <v>1314</v>
      </c>
      <c r="AJ55" s="211"/>
      <c r="AL55" s="108"/>
      <c r="AM55" s="2"/>
      <c r="AN55" s="2"/>
      <c r="AO55" s="2"/>
    </row>
    <row r="56" spans="1:63" ht="16" outlineLevel="1">
      <c r="A56" t="s">
        <v>1318</v>
      </c>
      <c r="B56" s="54" t="s">
        <v>462</v>
      </c>
      <c r="C56" s="110">
        <f>'Propylene Recycling HC'!C59*'Propylene Recycling HC'!C$45/'Propylene Recycling LC'!C$45</f>
        <v>1.9000000000000003E-2</v>
      </c>
      <c r="D56" s="110">
        <f>'Propylene Recycling HC'!D59*'Propylene Recycling HC'!D$45/'Propylene Recycling LC'!D$45</f>
        <v>1.966E-2</v>
      </c>
      <c r="E56" s="110">
        <f>'Propylene Recycling HC'!E59*'Propylene Recycling HC'!E$45/'Propylene Recycling LC'!E$45</f>
        <v>2.0320000000000001E-2</v>
      </c>
      <c r="F56" s="110">
        <f>'Propylene Recycling HC'!F59*'Propylene Recycling HC'!F$45/'Propylene Recycling LC'!F$45</f>
        <v>2.0979999999999999E-2</v>
      </c>
      <c r="G56" s="110">
        <f>'Propylene Recycling HC'!G59*'Propylene Recycling HC'!G$45/'Propylene Recycling LC'!G$45</f>
        <v>2.1640000000000003E-2</v>
      </c>
      <c r="H56" s="110">
        <f>'Propylene Recycling HC'!H59*'Propylene Recycling HC'!H$45/'Propylene Recycling LC'!H$45</f>
        <v>2.23E-2</v>
      </c>
      <c r="I56" s="110">
        <f>'Propylene Recycling HC'!I59*'Propylene Recycling HC'!I$45/'Propylene Recycling LC'!I$45</f>
        <v>2.2960000000000001E-2</v>
      </c>
      <c r="J56" s="110">
        <f>'Propylene Recycling HC'!J59*'Propylene Recycling HC'!J$45/'Propylene Recycling LC'!J$45</f>
        <v>2.3620000000000002E-2</v>
      </c>
      <c r="K56" s="110">
        <f>'Propylene Recycling HC'!K59*'Propylene Recycling HC'!K$45/'Propylene Recycling LC'!K$45</f>
        <v>2.4280000000000003E-2</v>
      </c>
      <c r="L56" s="110">
        <f>'Propylene Recycling HC'!L59*'Propylene Recycling HC'!L$45/'Propylene Recycling LC'!L$45</f>
        <v>2.4940000000000004E-2</v>
      </c>
      <c r="M56" s="110">
        <f>'Propylene Recycling HC'!M59*'Propylene Recycling HC'!M$45/'Propylene Recycling LC'!M$45</f>
        <v>2.5600000000000001E-2</v>
      </c>
      <c r="N56" s="110">
        <f>'Propylene Recycling HC'!N59*'Propylene Recycling HC'!N$45/'Propylene Recycling LC'!N$45</f>
        <v>2.7119999999999998E-2</v>
      </c>
      <c r="O56" s="110">
        <f>'Propylene Recycling HC'!O59*'Propylene Recycling HC'!O$45/'Propylene Recycling LC'!O$45</f>
        <v>2.8639999999999999E-2</v>
      </c>
      <c r="P56" s="110">
        <f>'Propylene Recycling HC'!P59*'Propylene Recycling HC'!P$45/'Propylene Recycling LC'!P$45</f>
        <v>3.0159999999999999E-2</v>
      </c>
      <c r="Q56" s="110">
        <f>'Propylene Recycling HC'!Q59*'Propylene Recycling HC'!Q$45/'Propylene Recycling LC'!Q$45</f>
        <v>3.168E-2</v>
      </c>
      <c r="R56" s="110">
        <f>'Propylene Recycling HC'!R59*'Propylene Recycling HC'!R$45/'Propylene Recycling LC'!R$45</f>
        <v>3.32E-2</v>
      </c>
      <c r="S56" s="110">
        <f>'Propylene Recycling HC'!S59*'Propylene Recycling HC'!S$45/'Propylene Recycling LC'!S$45</f>
        <v>3.4719999999999994E-2</v>
      </c>
      <c r="T56" s="110">
        <f>'Propylene Recycling HC'!T59*'Propylene Recycling HC'!T$45/'Propylene Recycling LC'!T$45</f>
        <v>3.6240000000000001E-2</v>
      </c>
      <c r="U56" s="110">
        <f>'Propylene Recycling HC'!U59*'Propylene Recycling HC'!U$45/'Propylene Recycling LC'!U$45</f>
        <v>3.7760000000000002E-2</v>
      </c>
      <c r="V56" s="110">
        <f>'Propylene Recycling HC'!V59*'Propylene Recycling HC'!V$45/'Propylene Recycling LC'!V$45</f>
        <v>3.9280000000000002E-2</v>
      </c>
      <c r="W56" s="110">
        <f>'Propylene Recycling HC'!W59*'Propylene Recycling HC'!W$45/'Propylene Recycling LC'!W$45</f>
        <v>4.0800000000000003E-2</v>
      </c>
      <c r="X56" s="110">
        <f>'Propylene Recycling HC'!X59*'Propylene Recycling HC'!X$45/'Propylene Recycling LC'!X$45</f>
        <v>4.3222499999999997E-2</v>
      </c>
      <c r="Y56" s="110">
        <f>'Propylene Recycling HC'!Y59*'Propylene Recycling HC'!Y$45/'Propylene Recycling LC'!Y$45</f>
        <v>4.5644999999999998E-2</v>
      </c>
      <c r="Z56" s="110">
        <f>'Propylene Recycling HC'!Z59*'Propylene Recycling HC'!Z$45/'Propylene Recycling LC'!Z$45</f>
        <v>4.8067499999999999E-2</v>
      </c>
      <c r="AA56" s="110">
        <f>'Propylene Recycling HC'!AA59*'Propylene Recycling HC'!AA$45/'Propylene Recycling LC'!AA$45</f>
        <v>5.0489999999999993E-2</v>
      </c>
      <c r="AB56" s="110">
        <f>'Propylene Recycling HC'!AB59*'Propylene Recycling HC'!AB$45/'Propylene Recycling LC'!AB$45</f>
        <v>5.2912500000000001E-2</v>
      </c>
      <c r="AC56" s="110">
        <f>'Propylene Recycling HC'!AC59*'Propylene Recycling HC'!AC$45/'Propylene Recycling LC'!AC$45</f>
        <v>5.5334999999999995E-2</v>
      </c>
      <c r="AD56" s="110">
        <f>'Propylene Recycling HC'!AD59*'Propylene Recycling HC'!AD$45/'Propylene Recycling LC'!AD$45</f>
        <v>5.7757499999999996E-2</v>
      </c>
      <c r="AE56" s="110">
        <f>'Propylene Recycling HC'!AE59*'Propylene Recycling HC'!AE$45/'Propylene Recycling LC'!AE$45</f>
        <v>6.017999999999999E-2</v>
      </c>
      <c r="AF56" s="110">
        <f>'Propylene Recycling HC'!AF59*'Propylene Recycling HC'!AF$45/'Propylene Recycling LC'!AF$45</f>
        <v>6.2602499999999991E-2</v>
      </c>
      <c r="AG56" s="110">
        <f>'Propylene Recycling HC'!AG59*'Propylene Recycling HC'!AG$45/'Propylene Recycling LC'!AG$45</f>
        <v>6.5024999999999986E-2</v>
      </c>
      <c r="AI56" s="133" t="s">
        <v>1314</v>
      </c>
      <c r="AJ56" s="211"/>
      <c r="AL56" s="108"/>
      <c r="AM56" s="2"/>
      <c r="AN56" s="2"/>
      <c r="AO56" s="2"/>
      <c r="BC56" s="1"/>
      <c r="BD56" s="2"/>
      <c r="BE56" s="2"/>
      <c r="BF56" s="2"/>
      <c r="BG56" s="2"/>
      <c r="BH56" s="2"/>
      <c r="BI56" s="2"/>
      <c r="BJ56" s="2"/>
      <c r="BK56" s="2"/>
    </row>
    <row r="57" spans="1:63" ht="16" outlineLevel="1">
      <c r="A57" t="s">
        <v>1319</v>
      </c>
      <c r="B57" s="54" t="s">
        <v>462</v>
      </c>
      <c r="C57" s="110">
        <f>'Propylene Recycling HC'!C60*'Propylene Recycling HC'!C$45/'Propylene Recycling LC'!C$45</f>
        <v>7.6000000000000012E-2</v>
      </c>
      <c r="D57" s="110">
        <f>'Propylene Recycling HC'!D60*'Propylene Recycling HC'!D$45/'Propylene Recycling LC'!D$45</f>
        <v>7.8640000000000002E-2</v>
      </c>
      <c r="E57" s="110">
        <f>'Propylene Recycling HC'!E60*'Propylene Recycling HC'!E$45/'Propylene Recycling LC'!E$45</f>
        <v>8.1280000000000005E-2</v>
      </c>
      <c r="F57" s="110">
        <f>'Propylene Recycling HC'!F60*'Propylene Recycling HC'!F$45/'Propylene Recycling LC'!F$45</f>
        <v>8.3919999999999995E-2</v>
      </c>
      <c r="G57" s="110">
        <f>'Propylene Recycling HC'!G60*'Propylene Recycling HC'!G$45/'Propylene Recycling LC'!G$45</f>
        <v>8.6560000000000012E-2</v>
      </c>
      <c r="H57" s="110">
        <f>'Propylene Recycling HC'!H60*'Propylene Recycling HC'!H$45/'Propylene Recycling LC'!H$45</f>
        <v>8.9200000000000002E-2</v>
      </c>
      <c r="I57" s="110">
        <f>'Propylene Recycling HC'!I60*'Propylene Recycling HC'!I$45/'Propylene Recycling LC'!I$45</f>
        <v>9.1840000000000005E-2</v>
      </c>
      <c r="J57" s="110">
        <f>'Propylene Recycling HC'!J60*'Propylene Recycling HC'!J$45/'Propylene Recycling LC'!J$45</f>
        <v>9.4480000000000008E-2</v>
      </c>
      <c r="K57" s="110">
        <f>'Propylene Recycling HC'!K60*'Propylene Recycling HC'!K$45/'Propylene Recycling LC'!K$45</f>
        <v>9.7120000000000012E-2</v>
      </c>
      <c r="L57" s="110">
        <f>'Propylene Recycling HC'!L60*'Propylene Recycling HC'!L$45/'Propylene Recycling LC'!L$45</f>
        <v>9.9760000000000015E-2</v>
      </c>
      <c r="M57" s="110">
        <f>'Propylene Recycling HC'!M60*'Propylene Recycling HC'!M$45/'Propylene Recycling LC'!M$45</f>
        <v>0.1024</v>
      </c>
      <c r="N57" s="110">
        <f>'Propylene Recycling HC'!N60*'Propylene Recycling HC'!N$45/'Propylene Recycling LC'!N$45</f>
        <v>0.10847999999999999</v>
      </c>
      <c r="O57" s="110">
        <f>'Propylene Recycling HC'!O60*'Propylene Recycling HC'!O$45/'Propylene Recycling LC'!O$45</f>
        <v>0.11456</v>
      </c>
      <c r="P57" s="110">
        <f>'Propylene Recycling HC'!P60*'Propylene Recycling HC'!P$45/'Propylene Recycling LC'!P$45</f>
        <v>0.12064</v>
      </c>
      <c r="Q57" s="110">
        <f>'Propylene Recycling HC'!Q60*'Propylene Recycling HC'!Q$45/'Propylene Recycling LC'!Q$45</f>
        <v>0.12672</v>
      </c>
      <c r="R57" s="110">
        <f>'Propylene Recycling HC'!R60*'Propylene Recycling HC'!R$45/'Propylene Recycling LC'!R$45</f>
        <v>0.1328</v>
      </c>
      <c r="S57" s="110">
        <f>'Propylene Recycling HC'!S60*'Propylene Recycling HC'!S$45/'Propylene Recycling LC'!S$45</f>
        <v>0.13887999999999998</v>
      </c>
      <c r="T57" s="110">
        <f>'Propylene Recycling HC'!T60*'Propylene Recycling HC'!T$45/'Propylene Recycling LC'!T$45</f>
        <v>0.14496000000000001</v>
      </c>
      <c r="U57" s="110">
        <f>'Propylene Recycling HC'!U60*'Propylene Recycling HC'!U$45/'Propylene Recycling LC'!U$45</f>
        <v>0.15104000000000001</v>
      </c>
      <c r="V57" s="110">
        <f>'Propylene Recycling HC'!V60*'Propylene Recycling HC'!V$45/'Propylene Recycling LC'!V$45</f>
        <v>0.15712000000000001</v>
      </c>
      <c r="W57" s="110">
        <f>'Propylene Recycling HC'!W60*'Propylene Recycling HC'!W$45/'Propylene Recycling LC'!W$45</f>
        <v>0.16320000000000001</v>
      </c>
      <c r="X57" s="110">
        <f>'Propylene Recycling HC'!X60*'Propylene Recycling HC'!X$45/'Propylene Recycling LC'!X$45</f>
        <v>0.17288999999999999</v>
      </c>
      <c r="Y57" s="110">
        <f>'Propylene Recycling HC'!Y60*'Propylene Recycling HC'!Y$45/'Propylene Recycling LC'!Y$45</f>
        <v>0.18257999999999999</v>
      </c>
      <c r="Z57" s="110">
        <f>'Propylene Recycling HC'!Z60*'Propylene Recycling HC'!Z$45/'Propylene Recycling LC'!Z$45</f>
        <v>0.19227</v>
      </c>
      <c r="AA57" s="110">
        <f>'Propylene Recycling HC'!AA60*'Propylene Recycling HC'!AA$45/'Propylene Recycling LC'!AA$45</f>
        <v>0.20195999999999997</v>
      </c>
      <c r="AB57" s="110">
        <f>'Propylene Recycling HC'!AB60*'Propylene Recycling HC'!AB$45/'Propylene Recycling LC'!AB$45</f>
        <v>0.21165</v>
      </c>
      <c r="AC57" s="110">
        <f>'Propylene Recycling HC'!AC60*'Propylene Recycling HC'!AC$45/'Propylene Recycling LC'!AC$45</f>
        <v>0.22133999999999998</v>
      </c>
      <c r="AD57" s="110">
        <f>'Propylene Recycling HC'!AD60*'Propylene Recycling HC'!AD$45/'Propylene Recycling LC'!AD$45</f>
        <v>0.23102999999999999</v>
      </c>
      <c r="AE57" s="110">
        <f>'Propylene Recycling HC'!AE60*'Propylene Recycling HC'!AE$45/'Propylene Recycling LC'!AE$45</f>
        <v>0.24071999999999996</v>
      </c>
      <c r="AF57" s="110">
        <f>'Propylene Recycling HC'!AF60*'Propylene Recycling HC'!AF$45/'Propylene Recycling LC'!AF$45</f>
        <v>0.25040999999999997</v>
      </c>
      <c r="AG57" s="110">
        <f>'Propylene Recycling HC'!AG60*'Propylene Recycling HC'!AG$45/'Propylene Recycling LC'!AG$45</f>
        <v>0.26009999999999994</v>
      </c>
      <c r="AI57" s="133" t="s">
        <v>1314</v>
      </c>
      <c r="AJ57" s="211"/>
      <c r="AL57" s="108"/>
      <c r="AM57" s="2"/>
      <c r="AN57" s="2"/>
      <c r="AO57" s="2"/>
      <c r="BC57" s="1"/>
      <c r="BD57" s="2"/>
      <c r="BE57" s="2"/>
      <c r="BF57" s="2"/>
      <c r="BG57" s="2"/>
      <c r="BH57" s="2"/>
      <c r="BI57" s="2"/>
      <c r="BJ57" s="2"/>
      <c r="BK57" s="2"/>
    </row>
    <row r="58" spans="1:63" outlineLevel="1">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I58" s="133"/>
      <c r="AJ58" s="211"/>
      <c r="AL58" s="108"/>
      <c r="AM58" s="2"/>
      <c r="AN58" s="2"/>
      <c r="AO58" s="2"/>
      <c r="BC58" s="1"/>
      <c r="BD58" s="2"/>
      <c r="BE58" s="2"/>
      <c r="BF58" s="2"/>
      <c r="BG58" s="2"/>
      <c r="BH58" s="2"/>
      <c r="BI58" s="2"/>
      <c r="BJ58" s="2"/>
      <c r="BK58" s="2"/>
    </row>
    <row r="59" spans="1:63" ht="16" outlineLevel="1">
      <c r="A59" t="s">
        <v>1492</v>
      </c>
      <c r="B59" s="54" t="s">
        <v>462</v>
      </c>
      <c r="C59" s="110">
        <f>'Propylene Recycling HC'!C63*'Propylene Recycling HC'!C$45/'Propylene Recycling LC'!C$45</f>
        <v>2.1191226930388714E-2</v>
      </c>
      <c r="D59" s="110">
        <f>'Propylene Recycling HC'!D63*'Propylene Recycling HC'!D$45/'Propylene Recycling LC'!D$45</f>
        <v>2.321823274131907E-2</v>
      </c>
      <c r="E59" s="110">
        <f>'Propylene Recycling HC'!E63*'Propylene Recycling HC'!E$45/'Propylene Recycling LC'!E$45</f>
        <v>2.5319718089586669E-2</v>
      </c>
      <c r="F59" s="110">
        <f>'Propylene Recycling HC'!F63*'Propylene Recycling HC'!F$45/'Propylene Recycling LC'!F$45</f>
        <v>2.7495682975191508E-2</v>
      </c>
      <c r="G59" s="110">
        <f>'Propylene Recycling HC'!G63*'Propylene Recycling HC'!G$45/'Propylene Recycling LC'!G$45</f>
        <v>2.9746127398133593E-2</v>
      </c>
      <c r="H59" s="110">
        <f>'Propylene Recycling HC'!H63*'Propylene Recycling HC'!H$45/'Propylene Recycling LC'!H$45</f>
        <v>3.2071051358412928E-2</v>
      </c>
      <c r="I59" s="110">
        <f>'Propylene Recycling HC'!I63*'Propylene Recycling HC'!I$45/'Propylene Recycling LC'!I$45</f>
        <v>3.4470454856029495E-2</v>
      </c>
      <c r="J59" s="110">
        <f>'Propylene Recycling HC'!J63*'Propylene Recycling HC'!J$45/'Propylene Recycling LC'!J$45</f>
        <v>3.6944337890983309E-2</v>
      </c>
      <c r="K59" s="110">
        <f>'Propylene Recycling HC'!K63*'Propylene Recycling HC'!K$45/'Propylene Recycling LC'!K$45</f>
        <v>3.9492700463274362E-2</v>
      </c>
      <c r="L59" s="110">
        <f>'Propylene Recycling HC'!L63*'Propylene Recycling HC'!L$45/'Propylene Recycling LC'!L$45</f>
        <v>4.2115542572902662E-2</v>
      </c>
      <c r="M59" s="110">
        <f>'Propylene Recycling HC'!M63*'Propylene Recycling HC'!M$45/'Propylene Recycling LC'!M$45</f>
        <v>4.4812864219868201E-2</v>
      </c>
      <c r="N59" s="110">
        <f>'Propylene Recycling HC'!N63*'Propylene Recycling HC'!N$45/'Propylene Recycling LC'!N$45</f>
        <v>4.9263443137408158E-2</v>
      </c>
      <c r="O59" s="110">
        <f>'Propylene Recycling HC'!O63*'Propylene Recycling HC'!O$45/'Propylene Recycling LC'!O$45</f>
        <v>5.3855998672997243E-2</v>
      </c>
      <c r="P59" s="110">
        <f>'Propylene Recycling HC'!P63*'Propylene Recycling HC'!P$45/'Propylene Recycling LC'!P$45</f>
        <v>5.8590530826635429E-2</v>
      </c>
      <c r="Q59" s="110">
        <f>'Propylene Recycling HC'!Q63*'Propylene Recycling HC'!Q$45/'Propylene Recycling LC'!Q$45</f>
        <v>6.3467039598322741E-2</v>
      </c>
      <c r="R59" s="110">
        <f>'Propylene Recycling HC'!R63*'Propylene Recycling HC'!R$45/'Propylene Recycling LC'!R$45</f>
        <v>6.8485524988059182E-2</v>
      </c>
      <c r="S59" s="110">
        <f>'Propylene Recycling HC'!S63*'Propylene Recycling HC'!S$45/'Propylene Recycling LC'!S$45</f>
        <v>7.3645986995844737E-2</v>
      </c>
      <c r="T59" s="110">
        <f>'Propylene Recycling HC'!T63*'Propylene Recycling HC'!T$45/'Propylene Recycling LC'!T$45</f>
        <v>7.8948425621679405E-2</v>
      </c>
      <c r="U59" s="110">
        <f>'Propylene Recycling HC'!U63*'Propylene Recycling HC'!U$45/'Propylene Recycling LC'!U$45</f>
        <v>8.4392840865563201E-2</v>
      </c>
      <c r="V59" s="110">
        <f>'Propylene Recycling HC'!V63*'Propylene Recycling HC'!V$45/'Propylene Recycling LC'!V$45</f>
        <v>8.9979232727496111E-2</v>
      </c>
      <c r="W59" s="110">
        <f>'Propylene Recycling HC'!W63*'Propylene Recycling HC'!W$45/'Propylene Recycling LC'!W$45</f>
        <v>9.5707601207478135E-2</v>
      </c>
      <c r="X59" s="110">
        <f>'Propylene Recycling HC'!X63*'Propylene Recycling HC'!X$45/'Propylene Recycling LC'!X$45</f>
        <v>0.10485272375292087</v>
      </c>
      <c r="Y59" s="110">
        <f>'Propylene Recycling HC'!Y63*'Propylene Recycling HC'!Y$45/'Propylene Recycling LC'!Y$45</f>
        <v>0.11424945043161523</v>
      </c>
      <c r="Z59" s="110">
        <f>'Propylene Recycling HC'!Z63*'Propylene Recycling HC'!Z$45/'Propylene Recycling LC'!Z$45</f>
        <v>0.12389778124356118</v>
      </c>
      <c r="AA59" s="110">
        <f>'Propylene Recycling HC'!AA63*'Propylene Recycling HC'!AA$45/'Propylene Recycling LC'!AA$45</f>
        <v>0.13379771618875877</v>
      </c>
      <c r="AB59" s="110">
        <f>'Propylene Recycling HC'!AB63*'Propylene Recycling HC'!AB$45/'Propylene Recycling LC'!AB$45</f>
        <v>0.14394925526720792</v>
      </c>
      <c r="AC59" s="110">
        <f>'Propylene Recycling HC'!AC63*'Propylene Recycling HC'!AC$45/'Propylene Recycling LC'!AC$45</f>
        <v>0.15435239847890869</v>
      </c>
      <c r="AD59" s="110">
        <f>'Propylene Recycling HC'!AD63*'Propylene Recycling HC'!AD$45/'Propylene Recycling LC'!AD$45</f>
        <v>0.16500714582386108</v>
      </c>
      <c r="AE59" s="110">
        <f>'Propylene Recycling HC'!AE63*'Propylene Recycling HC'!AE$45/'Propylene Recycling LC'!AE$45</f>
        <v>0.17591349730206504</v>
      </c>
      <c r="AF59" s="110">
        <f>'Propylene Recycling HC'!AF63*'Propylene Recycling HC'!AF$45/'Propylene Recycling LC'!AF$45</f>
        <v>0.18707145291352062</v>
      </c>
      <c r="AG59" s="110">
        <f>'Propylene Recycling HC'!AG63*'Propylene Recycling HC'!AG$45/'Propylene Recycling LC'!AG$45</f>
        <v>0.1984810126582279</v>
      </c>
      <c r="AI59" s="133" t="s">
        <v>1314</v>
      </c>
      <c r="AJ59" s="211"/>
      <c r="AL59" s="108"/>
      <c r="AM59" s="2"/>
      <c r="AN59" s="2"/>
      <c r="AO59" s="2"/>
      <c r="AV59" s="41"/>
    </row>
    <row r="60" spans="1:63" ht="16" outlineLevel="1">
      <c r="A60" t="s">
        <v>1493</v>
      </c>
      <c r="B60" s="54" t="s">
        <v>462</v>
      </c>
      <c r="C60" s="110">
        <f>'Propylene Recycling HC'!C64*'Propylene Recycling HC'!C$45/'Propylene Recycling LC'!C$45</f>
        <v>4.2833331029509106E-2</v>
      </c>
      <c r="D60" s="110">
        <f>'Propylene Recycling HC'!D64*'Propylene Recycling HC'!D$45/'Propylene Recycling LC'!D$45</f>
        <v>4.5465184830112838E-2</v>
      </c>
      <c r="E60" s="110">
        <f>'Propylene Recycling HC'!E64*'Propylene Recycling HC'!E$45/'Propylene Recycling LC'!E$45</f>
        <v>4.8173845653595608E-2</v>
      </c>
      <c r="F60" s="110">
        <f>'Propylene Recycling HC'!F64*'Propylene Recycling HC'!F$45/'Propylene Recycling LC'!F$45</f>
        <v>5.0959313499957408E-2</v>
      </c>
      <c r="G60" s="110">
        <f>'Propylene Recycling HC'!G64*'Propylene Recycling HC'!G$45/'Propylene Recycling LC'!G$45</f>
        <v>5.3821588369198245E-2</v>
      </c>
      <c r="H60" s="110">
        <f>'Propylene Recycling HC'!H64*'Propylene Recycling HC'!H$45/'Propylene Recycling LC'!H$45</f>
        <v>5.6760670261318112E-2</v>
      </c>
      <c r="I60" s="110">
        <f>'Propylene Recycling HC'!I64*'Propylene Recycling HC'!I$45/'Propylene Recycling LC'!I$45</f>
        <v>5.9776559176317016E-2</v>
      </c>
      <c r="J60" s="110">
        <f>'Propylene Recycling HC'!J64*'Propylene Recycling HC'!J$45/'Propylene Recycling LC'!J$45</f>
        <v>6.286925511419493E-2</v>
      </c>
      <c r="K60" s="110">
        <f>'Propylene Recycling HC'!K64*'Propylene Recycling HC'!K$45/'Propylene Recycling LC'!K$45</f>
        <v>6.6038758074951895E-2</v>
      </c>
      <c r="L60" s="110">
        <f>'Propylene Recycling HC'!L64*'Propylene Recycling HC'!L$45/'Propylene Recycling LC'!L$45</f>
        <v>6.928506805858789E-2</v>
      </c>
      <c r="M60" s="110">
        <f>'Propylene Recycling HC'!M64*'Propylene Recycling HC'!M$45/'Propylene Recycling LC'!M$45</f>
        <v>7.2608185065102901E-2</v>
      </c>
      <c r="N60" s="110">
        <f>'Propylene Recycling HC'!N64*'Propylene Recycling HC'!N$45/'Propylene Recycling LC'!N$45</f>
        <v>7.8497331250676219E-2</v>
      </c>
      <c r="O60" s="110">
        <f>'Propylene Recycling HC'!O64*'Propylene Recycling HC'!O$45/'Propylene Recycling LC'!O$45</f>
        <v>8.4563366337425477E-2</v>
      </c>
      <c r="P60" s="110">
        <f>'Propylene Recycling HC'!P64*'Propylene Recycling HC'!P$45/'Propylene Recycling LC'!P$45</f>
        <v>9.0806290325350689E-2</v>
      </c>
      <c r="Q60" s="110">
        <f>'Propylene Recycling HC'!Q64*'Propylene Recycling HC'!Q$45/'Propylene Recycling LC'!Q$45</f>
        <v>9.7226103214451839E-2</v>
      </c>
      <c r="R60" s="110">
        <f>'Propylene Recycling HC'!R64*'Propylene Recycling HC'!R$45/'Propylene Recycling LC'!R$45</f>
        <v>0.10382280500472897</v>
      </c>
      <c r="S60" s="110">
        <f>'Propylene Recycling HC'!S64*'Propylene Recycling HC'!S$45/'Propylene Recycling LC'!S$45</f>
        <v>0.11059639569618203</v>
      </c>
      <c r="T60" s="110">
        <f>'Propylene Recycling HC'!T64*'Propylene Recycling HC'!T$45/'Propylene Recycling LC'!T$45</f>
        <v>0.11754687528881107</v>
      </c>
      <c r="U60" s="110">
        <f>'Propylene Recycling HC'!U64*'Propylene Recycling HC'!U$45/'Propylene Recycling LC'!U$45</f>
        <v>0.12467424378261603</v>
      </c>
      <c r="V60" s="110">
        <f>'Propylene Recycling HC'!V64*'Propylene Recycling HC'!V$45/'Propylene Recycling LC'!V$45</f>
        <v>0.13197850117759696</v>
      </c>
      <c r="W60" s="110">
        <f>'Propylene Recycling HC'!W64*'Propylene Recycling HC'!W$45/'Propylene Recycling LC'!W$45</f>
        <v>0.13945964747375383</v>
      </c>
      <c r="X60" s="110">
        <f>'Propylene Recycling HC'!X64*'Propylene Recycling HC'!X$45/'Propylene Recycling LC'!X$45</f>
        <v>0.15025505763825714</v>
      </c>
      <c r="Y60" s="110">
        <f>'Propylene Recycling HC'!Y64*'Propylene Recycling HC'!Y$45/'Propylene Recycling LC'!Y$45</f>
        <v>0.16133238448900966</v>
      </c>
      <c r="Z60" s="110">
        <f>'Propylene Recycling HC'!Z64*'Propylene Recycling HC'!Z$45/'Propylene Recycling LC'!Z$45</f>
        <v>0.17269162802601132</v>
      </c>
      <c r="AA60" s="110">
        <f>'Propylene Recycling HC'!AA64*'Propylene Recycling HC'!AA$45/'Propylene Recycling LC'!AA$45</f>
        <v>0.18433278824926214</v>
      </c>
      <c r="AB60" s="110">
        <f>'Propylene Recycling HC'!AB64*'Propylene Recycling HC'!AB$45/'Propylene Recycling LC'!AB$45</f>
        <v>0.19625586515876217</v>
      </c>
      <c r="AC60" s="110">
        <f>'Propylene Recycling HC'!AC64*'Propylene Recycling HC'!AC$45/'Propylene Recycling LC'!AC$45</f>
        <v>0.20846085875451134</v>
      </c>
      <c r="AD60" s="110">
        <f>'Propylene Recycling HC'!AD64*'Propylene Recycling HC'!AD$45/'Propylene Recycling LC'!AD$45</f>
        <v>0.22094776903650973</v>
      </c>
      <c r="AE60" s="110">
        <f>'Propylene Recycling HC'!AE64*'Propylene Recycling HC'!AE$45/'Propylene Recycling LC'!AE$45</f>
        <v>0.23371659600475725</v>
      </c>
      <c r="AF60" s="110">
        <f>'Propylene Recycling HC'!AF64*'Propylene Recycling HC'!AF$45/'Propylene Recycling LC'!AF$45</f>
        <v>0.2467673396592539</v>
      </c>
      <c r="AG60" s="110">
        <f>'Propylene Recycling HC'!AG64*'Propylene Recycling HC'!AG$45/'Propylene Recycling LC'!AG$45</f>
        <v>0.26009999999999994</v>
      </c>
      <c r="AI60" s="133" t="s">
        <v>1314</v>
      </c>
      <c r="AJ60" s="211"/>
      <c r="AL60" s="108"/>
      <c r="AM60" s="2"/>
      <c r="AN60" s="2"/>
      <c r="AO60" s="2"/>
      <c r="AV60" s="41"/>
    </row>
    <row r="61" spans="1:63" ht="16" outlineLevel="1">
      <c r="A61" t="s">
        <v>1494</v>
      </c>
      <c r="B61" s="176" t="s">
        <v>462</v>
      </c>
      <c r="C61" s="110">
        <f>'Propylene Recycling HC'!C65*'Propylene Recycling HC'!C$45/'Propylene Recycling LC'!C$45</f>
        <v>6.4024557959897824E-2</v>
      </c>
      <c r="D61" s="110">
        <f>'Propylene Recycling HC'!D65*'Propylene Recycling HC'!D$45/'Propylene Recycling LC'!D$45</f>
        <v>6.8683417571431912E-2</v>
      </c>
      <c r="E61" s="110">
        <f>'Propylene Recycling HC'!E65*'Propylene Recycling HC'!E$45/'Propylene Recycling LC'!E$45</f>
        <v>7.3493563743182277E-2</v>
      </c>
      <c r="F61" s="110">
        <f>'Propylene Recycling HC'!F65*'Propylene Recycling HC'!F$45/'Propylene Recycling LC'!F$45</f>
        <v>7.8454996475148919E-2</v>
      </c>
      <c r="G61" s="110">
        <f>'Propylene Recycling HC'!G65*'Propylene Recycling HC'!G$45/'Propylene Recycling LC'!G$45</f>
        <v>8.3567715767331838E-2</v>
      </c>
      <c r="H61" s="110">
        <f>'Propylene Recycling HC'!H65*'Propylene Recycling HC'!H$45/'Propylene Recycling LC'!H$45</f>
        <v>8.8831721619731047E-2</v>
      </c>
      <c r="I61" s="110">
        <f>'Propylene Recycling HC'!I65*'Propylene Recycling HC'!I$45/'Propylene Recycling LC'!I$45</f>
        <v>9.4247014032346504E-2</v>
      </c>
      <c r="J61" s="110">
        <f>'Propylene Recycling HC'!J65*'Propylene Recycling HC'!J$45/'Propylene Recycling LC'!J$45</f>
        <v>9.9813593005178239E-2</v>
      </c>
      <c r="K61" s="110">
        <f>'Propylene Recycling HC'!K65*'Propylene Recycling HC'!K$45/'Propylene Recycling LC'!K$45</f>
        <v>0.10553145853822626</v>
      </c>
      <c r="L61" s="110">
        <f>'Propylene Recycling HC'!L65*'Propylene Recycling HC'!L$45/'Propylene Recycling LC'!L$45</f>
        <v>0.11140061063149055</v>
      </c>
      <c r="M61" s="110">
        <f>'Propylene Recycling HC'!M65*'Propylene Recycling HC'!M$45/'Propylene Recycling LC'!M$45</f>
        <v>0.1174210492849711</v>
      </c>
      <c r="N61" s="110">
        <f>'Propylene Recycling HC'!N65*'Propylene Recycling HC'!N$45/'Propylene Recycling LC'!N$45</f>
        <v>0.12776077438808436</v>
      </c>
      <c r="O61" s="110">
        <f>'Propylene Recycling HC'!O65*'Propylene Recycling HC'!O$45/'Propylene Recycling LC'!O$45</f>
        <v>0.13841936501042271</v>
      </c>
      <c r="P61" s="110">
        <f>'Propylene Recycling HC'!P65*'Propylene Recycling HC'!P$45/'Propylene Recycling LC'!P$45</f>
        <v>0.1493968211519861</v>
      </c>
      <c r="Q61" s="110">
        <f>'Propylene Recycling HC'!Q65*'Propylene Recycling HC'!Q$45/'Propylene Recycling LC'!Q$45</f>
        <v>0.16069314281277458</v>
      </c>
      <c r="R61" s="110">
        <f>'Propylene Recycling HC'!R65*'Propylene Recycling HC'!R$45/'Propylene Recycling LC'!R$45</f>
        <v>0.17230832999278814</v>
      </c>
      <c r="S61" s="110">
        <f>'Propylene Recycling HC'!S65*'Propylene Recycling HC'!S$45/'Propylene Recycling LC'!S$45</f>
        <v>0.18424238269202675</v>
      </c>
      <c r="T61" s="110">
        <f>'Propylene Recycling HC'!T65*'Propylene Recycling HC'!T$45/'Propylene Recycling LC'!T$45</f>
        <v>0.19649530091049047</v>
      </c>
      <c r="U61" s="110">
        <f>'Propylene Recycling HC'!U65*'Propylene Recycling HC'!U$45/'Propylene Recycling LC'!U$45</f>
        <v>0.20906708464817925</v>
      </c>
      <c r="V61" s="110">
        <f>'Propylene Recycling HC'!V65*'Propylene Recycling HC'!V$45/'Propylene Recycling LC'!V$45</f>
        <v>0.22195773390509307</v>
      </c>
      <c r="W61" s="110">
        <f>'Propylene Recycling HC'!W65*'Propylene Recycling HC'!W$45/'Propylene Recycling LC'!W$45</f>
        <v>0.23516724868123196</v>
      </c>
      <c r="X61" s="110">
        <f>'Propylene Recycling HC'!X65*'Propylene Recycling HC'!X$45/'Propylene Recycling LC'!X$45</f>
        <v>0.25510778139117801</v>
      </c>
      <c r="Y61" s="110">
        <f>'Propylene Recycling HC'!Y65*'Propylene Recycling HC'!Y$45/'Propylene Recycling LC'!Y$45</f>
        <v>0.27558183492062488</v>
      </c>
      <c r="Z61" s="110">
        <f>'Propylene Recycling HC'!Z65*'Propylene Recycling HC'!Z$45/'Propylene Recycling LC'!Z$45</f>
        <v>0.2965894092695725</v>
      </c>
      <c r="AA61" s="110">
        <f>'Propylene Recycling HC'!AA65*'Propylene Recycling HC'!AA$45/'Propylene Recycling LC'!AA$45</f>
        <v>0.31813050443802093</v>
      </c>
      <c r="AB61" s="110">
        <f>'Propylene Recycling HC'!AB65*'Propylene Recycling HC'!AB$45/'Propylene Recycling LC'!AB$45</f>
        <v>0.34020512042597006</v>
      </c>
      <c r="AC61" s="110">
        <f>'Propylene Recycling HC'!AC65*'Propylene Recycling HC'!AC$45/'Propylene Recycling LC'!AC$45</f>
        <v>0.36281325723342006</v>
      </c>
      <c r="AD61" s="110">
        <f>'Propylene Recycling HC'!AD65*'Propylene Recycling HC'!AD$45/'Propylene Recycling LC'!AD$45</f>
        <v>0.38595491486037081</v>
      </c>
      <c r="AE61" s="110">
        <f>'Propylene Recycling HC'!AE65*'Propylene Recycling HC'!AE$45/'Propylene Recycling LC'!AE$45</f>
        <v>0.40963009330682232</v>
      </c>
      <c r="AF61" s="110">
        <f>'Propylene Recycling HC'!AF65*'Propylene Recycling HC'!AF$45/'Propylene Recycling LC'!AF$45</f>
        <v>0.43383879257277458</v>
      </c>
      <c r="AG61" s="110">
        <f>'Propylene Recycling HC'!AG65*'Propylene Recycling HC'!AG$45/'Propylene Recycling LC'!AG$45</f>
        <v>0.45858101265822782</v>
      </c>
      <c r="AI61" s="133" t="s">
        <v>1314</v>
      </c>
      <c r="AJ61" s="211"/>
      <c r="AL61" s="108"/>
      <c r="AM61" s="2"/>
      <c r="AN61" s="2"/>
      <c r="AO61" s="2"/>
    </row>
    <row r="62" spans="1:63" ht="16" outlineLevel="1">
      <c r="A62" t="s">
        <v>1495</v>
      </c>
      <c r="B62" s="54" t="s">
        <v>462</v>
      </c>
      <c r="C62" s="110">
        <f>'Propylene Recycling HC'!C66*'Propylene Recycling HC'!C$45/'Propylene Recycling LC'!C$45</f>
        <v>8.5666662059018222E-3</v>
      </c>
      <c r="D62" s="110">
        <f>'Propylene Recycling HC'!D66*'Propylene Recycling HC'!D$45/'Propylene Recycling LC'!D$45</f>
        <v>9.093036966022568E-3</v>
      </c>
      <c r="E62" s="110">
        <f>'Propylene Recycling HC'!E66*'Propylene Recycling HC'!E$45/'Propylene Recycling LC'!E$45</f>
        <v>9.6347691307191227E-3</v>
      </c>
      <c r="F62" s="110">
        <f>'Propylene Recycling HC'!F66*'Propylene Recycling HC'!F$45/'Propylene Recycling LC'!F$45</f>
        <v>1.0191862699991481E-2</v>
      </c>
      <c r="G62" s="110">
        <f>'Propylene Recycling HC'!G66*'Propylene Recycling HC'!G$45/'Propylene Recycling LC'!G$45</f>
        <v>1.076431767383965E-2</v>
      </c>
      <c r="H62" s="110">
        <f>'Propylene Recycling HC'!H66*'Propylene Recycling HC'!H$45/'Propylene Recycling LC'!H$45</f>
        <v>1.1352134052263622E-2</v>
      </c>
      <c r="I62" s="110">
        <f>'Propylene Recycling HC'!I66*'Propylene Recycling HC'!I$45/'Propylene Recycling LC'!I$45</f>
        <v>1.1955311835263402E-2</v>
      </c>
      <c r="J62" s="110">
        <f>'Propylene Recycling HC'!J66*'Propylene Recycling HC'!J$45/'Propylene Recycling LC'!J$45</f>
        <v>1.2573851022838988E-2</v>
      </c>
      <c r="K62" s="110">
        <f>'Propylene Recycling HC'!K66*'Propylene Recycling HC'!K$45/'Propylene Recycling LC'!K$45</f>
        <v>1.320775161499038E-2</v>
      </c>
      <c r="L62" s="110">
        <f>'Propylene Recycling HC'!L66*'Propylene Recycling HC'!L$45/'Propylene Recycling LC'!L$45</f>
        <v>1.3857013611717579E-2</v>
      </c>
      <c r="M62" s="110">
        <f>'Propylene Recycling HC'!M66*'Propylene Recycling HC'!M$45/'Propylene Recycling LC'!M$45</f>
        <v>1.4521637013020582E-2</v>
      </c>
      <c r="N62" s="110">
        <f>'Propylene Recycling HC'!N66*'Propylene Recycling HC'!N$45/'Propylene Recycling LC'!N$45</f>
        <v>1.5699466250135245E-2</v>
      </c>
      <c r="O62" s="110">
        <f>'Propylene Recycling HC'!O66*'Propylene Recycling HC'!O$45/'Propylene Recycling LC'!O$45</f>
        <v>1.6912673267485096E-2</v>
      </c>
      <c r="P62" s="110">
        <f>'Propylene Recycling HC'!P66*'Propylene Recycling HC'!P$45/'Propylene Recycling LC'!P$45</f>
        <v>1.816125806507014E-2</v>
      </c>
      <c r="Q62" s="110">
        <f>'Propylene Recycling HC'!Q66*'Propylene Recycling HC'!Q$45/'Propylene Recycling LC'!Q$45</f>
        <v>1.9445220642890372E-2</v>
      </c>
      <c r="R62" s="110">
        <f>'Propylene Recycling HC'!R66*'Propylene Recycling HC'!R$45/'Propylene Recycling LC'!R$45</f>
        <v>2.0764561000945796E-2</v>
      </c>
      <c r="S62" s="110">
        <f>'Propylene Recycling HC'!S66*'Propylene Recycling HC'!S$45/'Propylene Recycling LC'!S$45</f>
        <v>2.2119279139236406E-2</v>
      </c>
      <c r="T62" s="110">
        <f>'Propylene Recycling HC'!T66*'Propylene Recycling HC'!T$45/'Propylene Recycling LC'!T$45</f>
        <v>2.3509375057762214E-2</v>
      </c>
      <c r="U62" s="110">
        <f>'Propylene Recycling HC'!U66*'Propylene Recycling HC'!U$45/'Propylene Recycling LC'!U$45</f>
        <v>2.4934848756523208E-2</v>
      </c>
      <c r="V62" s="110">
        <f>'Propylene Recycling HC'!V66*'Propylene Recycling HC'!V$45/'Propylene Recycling LC'!V$45</f>
        <v>2.6395700235519393E-2</v>
      </c>
      <c r="W62" s="110">
        <f>'Propylene Recycling HC'!W66*'Propylene Recycling HC'!W$45/'Propylene Recycling LC'!W$45</f>
        <v>2.7891929494750767E-2</v>
      </c>
      <c r="X62" s="110">
        <f>'Propylene Recycling HC'!X66*'Propylene Recycling HC'!X$45/'Propylene Recycling LC'!X$45</f>
        <v>3.0051011527651432E-2</v>
      </c>
      <c r="Y62" s="110">
        <f>'Propylene Recycling HC'!Y66*'Propylene Recycling HC'!Y$45/'Propylene Recycling LC'!Y$45</f>
        <v>3.2266476897801932E-2</v>
      </c>
      <c r="Z62" s="110">
        <f>'Propylene Recycling HC'!Z66*'Propylene Recycling HC'!Z$45/'Propylene Recycling LC'!Z$45</f>
        <v>3.4538325605202265E-2</v>
      </c>
      <c r="AA62" s="110">
        <f>'Propylene Recycling HC'!AA66*'Propylene Recycling HC'!AA$45/'Propylene Recycling LC'!AA$45</f>
        <v>3.686655764985243E-2</v>
      </c>
      <c r="AB62" s="110">
        <f>'Propylene Recycling HC'!AB66*'Propylene Recycling HC'!AB$45/'Propylene Recycling LC'!AB$45</f>
        <v>3.9251173031752441E-2</v>
      </c>
      <c r="AC62" s="110">
        <f>'Propylene Recycling HC'!AC66*'Propylene Recycling HC'!AC$45/'Propylene Recycling LC'!AC$45</f>
        <v>4.1692171750902271E-2</v>
      </c>
      <c r="AD62" s="110">
        <f>'Propylene Recycling HC'!AD66*'Propylene Recycling HC'!AD$45/'Propylene Recycling LC'!AD$45</f>
        <v>4.4189553807301947E-2</v>
      </c>
      <c r="AE62" s="110">
        <f>'Propylene Recycling HC'!AE66*'Propylene Recycling HC'!AE$45/'Propylene Recycling LC'!AE$45</f>
        <v>4.6743319200951448E-2</v>
      </c>
      <c r="AF62" s="110">
        <f>'Propylene Recycling HC'!AF66*'Propylene Recycling HC'!AF$45/'Propylene Recycling LC'!AF$45</f>
        <v>4.9353467931850789E-2</v>
      </c>
      <c r="AG62" s="110">
        <f>'Propylene Recycling HC'!AG66*'Propylene Recycling HC'!AG$45/'Propylene Recycling LC'!AG$45</f>
        <v>5.201999999999999E-2</v>
      </c>
      <c r="AI62" s="133" t="s">
        <v>1314</v>
      </c>
      <c r="AJ62" s="211"/>
      <c r="AL62" s="108"/>
      <c r="AM62" s="2"/>
      <c r="AN62" s="2"/>
      <c r="AO62" s="2"/>
      <c r="BC62" s="1"/>
      <c r="BD62" s="2"/>
      <c r="BE62" s="2"/>
      <c r="BF62" s="2"/>
      <c r="BG62" s="2"/>
      <c r="BH62" s="2"/>
      <c r="BI62" s="2"/>
      <c r="BJ62" s="2"/>
      <c r="BK62" s="2"/>
    </row>
    <row r="63" spans="1:63" ht="16" outlineLevel="1">
      <c r="A63" t="s">
        <v>1496</v>
      </c>
      <c r="B63" s="54" t="s">
        <v>462</v>
      </c>
      <c r="C63" s="110">
        <f>'Propylene Recycling HC'!C67*'Propylene Recycling HC'!C$45/'Propylene Recycling LC'!C$45</f>
        <v>3.4266664823607289E-2</v>
      </c>
      <c r="D63" s="110">
        <f>'Propylene Recycling HC'!D67*'Propylene Recycling HC'!D$45/'Propylene Recycling LC'!D$45</f>
        <v>3.6372147864090272E-2</v>
      </c>
      <c r="E63" s="110">
        <f>'Propylene Recycling HC'!E67*'Propylene Recycling HC'!E$45/'Propylene Recycling LC'!E$45</f>
        <v>3.8539076522876491E-2</v>
      </c>
      <c r="F63" s="110">
        <f>'Propylene Recycling HC'!F67*'Propylene Recycling HC'!F$45/'Propylene Recycling LC'!F$45</f>
        <v>4.0767450799965924E-2</v>
      </c>
      <c r="G63" s="110">
        <f>'Propylene Recycling HC'!G67*'Propylene Recycling HC'!G$45/'Propylene Recycling LC'!G$45</f>
        <v>4.3057270695358599E-2</v>
      </c>
      <c r="H63" s="110">
        <f>'Propylene Recycling HC'!H67*'Propylene Recycling HC'!H$45/'Propylene Recycling LC'!H$45</f>
        <v>4.5408536209054488E-2</v>
      </c>
      <c r="I63" s="110">
        <f>'Propylene Recycling HC'!I67*'Propylene Recycling HC'!I$45/'Propylene Recycling LC'!I$45</f>
        <v>4.7821247341053606E-2</v>
      </c>
      <c r="J63" s="110">
        <f>'Propylene Recycling HC'!J67*'Propylene Recycling HC'!J$45/'Propylene Recycling LC'!J$45</f>
        <v>5.0295404091355952E-2</v>
      </c>
      <c r="K63" s="110">
        <f>'Propylene Recycling HC'!K67*'Propylene Recycling HC'!K$45/'Propylene Recycling LC'!K$45</f>
        <v>5.283100645996152E-2</v>
      </c>
      <c r="L63" s="110">
        <f>'Propylene Recycling HC'!L67*'Propylene Recycling HC'!L$45/'Propylene Recycling LC'!L$45</f>
        <v>5.5428054446870316E-2</v>
      </c>
      <c r="M63" s="110">
        <f>'Propylene Recycling HC'!M67*'Propylene Recycling HC'!M$45/'Propylene Recycling LC'!M$45</f>
        <v>5.8086548052082326E-2</v>
      </c>
      <c r="N63" s="110">
        <f>'Propylene Recycling HC'!N67*'Propylene Recycling HC'!N$45/'Propylene Recycling LC'!N$45</f>
        <v>6.2797865000540978E-2</v>
      </c>
      <c r="O63" s="110">
        <f>'Propylene Recycling HC'!O67*'Propylene Recycling HC'!O$45/'Propylene Recycling LC'!O$45</f>
        <v>6.7650693069940385E-2</v>
      </c>
      <c r="P63" s="110">
        <f>'Propylene Recycling HC'!P67*'Propylene Recycling HC'!P$45/'Propylene Recycling LC'!P$45</f>
        <v>7.2645032260280559E-2</v>
      </c>
      <c r="Q63" s="110">
        <f>'Propylene Recycling HC'!Q67*'Propylene Recycling HC'!Q$45/'Propylene Recycling LC'!Q$45</f>
        <v>7.7780882571561488E-2</v>
      </c>
      <c r="R63" s="110">
        <f>'Propylene Recycling HC'!R67*'Propylene Recycling HC'!R$45/'Propylene Recycling LC'!R$45</f>
        <v>8.3058244003783185E-2</v>
      </c>
      <c r="S63" s="110">
        <f>'Propylene Recycling HC'!S67*'Propylene Recycling HC'!S$45/'Propylene Recycling LC'!S$45</f>
        <v>8.8477116556945623E-2</v>
      </c>
      <c r="T63" s="110">
        <f>'Propylene Recycling HC'!T67*'Propylene Recycling HC'!T$45/'Propylene Recycling LC'!T$45</f>
        <v>9.4037500231048857E-2</v>
      </c>
      <c r="U63" s="110">
        <f>'Propylene Recycling HC'!U67*'Propylene Recycling HC'!U$45/'Propylene Recycling LC'!U$45</f>
        <v>9.9739395026092831E-2</v>
      </c>
      <c r="V63" s="110">
        <f>'Propylene Recycling HC'!V67*'Propylene Recycling HC'!V$45/'Propylene Recycling LC'!V$45</f>
        <v>0.10558280094207757</v>
      </c>
      <c r="W63" s="110">
        <f>'Propylene Recycling HC'!W67*'Propylene Recycling HC'!W$45/'Propylene Recycling LC'!W$45</f>
        <v>0.11156771797900307</v>
      </c>
      <c r="X63" s="110">
        <f>'Propylene Recycling HC'!X67*'Propylene Recycling HC'!X$45/'Propylene Recycling LC'!X$45</f>
        <v>0.12020404611060573</v>
      </c>
      <c r="Y63" s="110">
        <f>'Propylene Recycling HC'!Y67*'Propylene Recycling HC'!Y$45/'Propylene Recycling LC'!Y$45</f>
        <v>0.12906590759120773</v>
      </c>
      <c r="Z63" s="110">
        <f>'Propylene Recycling HC'!Z67*'Propylene Recycling HC'!Z$45/'Propylene Recycling LC'!Z$45</f>
        <v>0.13815330242080906</v>
      </c>
      <c r="AA63" s="110">
        <f>'Propylene Recycling HC'!AA67*'Propylene Recycling HC'!AA$45/'Propylene Recycling LC'!AA$45</f>
        <v>0.14746623059940972</v>
      </c>
      <c r="AB63" s="110">
        <f>'Propylene Recycling HC'!AB67*'Propylene Recycling HC'!AB$45/'Propylene Recycling LC'!AB$45</f>
        <v>0.15700469212700977</v>
      </c>
      <c r="AC63" s="110">
        <f>'Propylene Recycling HC'!AC67*'Propylene Recycling HC'!AC$45/'Propylene Recycling LC'!AC$45</f>
        <v>0.16676868700360908</v>
      </c>
      <c r="AD63" s="110">
        <f>'Propylene Recycling HC'!AD67*'Propylene Recycling HC'!AD$45/'Propylene Recycling LC'!AD$45</f>
        <v>0.17675821522920779</v>
      </c>
      <c r="AE63" s="110">
        <f>'Propylene Recycling HC'!AE67*'Propylene Recycling HC'!AE$45/'Propylene Recycling LC'!AE$45</f>
        <v>0.18697327680380579</v>
      </c>
      <c r="AF63" s="110">
        <f>'Propylene Recycling HC'!AF67*'Propylene Recycling HC'!AF$45/'Propylene Recycling LC'!AF$45</f>
        <v>0.19741387172740316</v>
      </c>
      <c r="AG63" s="110">
        <f>'Propylene Recycling HC'!AG67*'Propylene Recycling HC'!AG$45/'Propylene Recycling LC'!AG$45</f>
        <v>0.20807999999999996</v>
      </c>
      <c r="AI63" s="133" t="s">
        <v>1314</v>
      </c>
      <c r="AJ63" s="211"/>
      <c r="AL63" s="108"/>
      <c r="AM63" s="2"/>
      <c r="AN63" s="2"/>
      <c r="AO63" s="2"/>
      <c r="BC63" s="1"/>
      <c r="BD63" s="2"/>
      <c r="BE63" s="2"/>
      <c r="BF63" s="2"/>
      <c r="BG63" s="2"/>
      <c r="BH63" s="2"/>
      <c r="BI63" s="2"/>
      <c r="BJ63" s="2"/>
      <c r="BK63" s="2"/>
    </row>
    <row r="64" spans="1:63" outlineLevel="1">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I64" s="134"/>
      <c r="AJ64" s="211"/>
      <c r="AL64" s="108"/>
      <c r="AM64" s="132"/>
      <c r="AN64" s="2"/>
      <c r="AO64" s="2"/>
    </row>
    <row r="65" spans="1:63" s="200" customFormat="1" ht="16" thickBot="1">
      <c r="A65" s="200" t="s">
        <v>1330</v>
      </c>
      <c r="B65" s="215"/>
      <c r="C65" s="222">
        <f>C66</f>
        <v>2.5000000000000005E-2</v>
      </c>
      <c r="D65" s="222">
        <f t="shared" ref="D65:AG65" si="27">D66</f>
        <v>3.1255416735465176E-2</v>
      </c>
      <c r="E65" s="222">
        <f t="shared" si="27"/>
        <v>3.7510833470930344E-2</v>
      </c>
      <c r="F65" s="222">
        <f t="shared" si="27"/>
        <v>4.3766250206395518E-2</v>
      </c>
      <c r="G65" s="222">
        <f t="shared" si="27"/>
        <v>5.00216669418607E-2</v>
      </c>
      <c r="H65" s="222">
        <f t="shared" si="27"/>
        <v>5.6277083677325868E-2</v>
      </c>
      <c r="I65" s="222">
        <f t="shared" si="27"/>
        <v>6.2532500412791042E-2</v>
      </c>
      <c r="J65" s="222">
        <f t="shared" si="27"/>
        <v>6.8787917148256203E-2</v>
      </c>
      <c r="K65" s="222">
        <f t="shared" si="27"/>
        <v>7.5043333883721378E-2</v>
      </c>
      <c r="L65" s="222">
        <f t="shared" si="27"/>
        <v>8.1298750619186538E-2</v>
      </c>
      <c r="M65" s="222">
        <f t="shared" si="27"/>
        <v>8.7554167354651713E-2</v>
      </c>
      <c r="N65" s="222">
        <f t="shared" si="27"/>
        <v>0.10073866108940137</v>
      </c>
      <c r="O65" s="222">
        <f t="shared" si="27"/>
        <v>0.11392315482415102</v>
      </c>
      <c r="P65" s="222">
        <f t="shared" si="27"/>
        <v>0.12723462922679171</v>
      </c>
      <c r="Q65" s="222">
        <f t="shared" si="27"/>
        <v>0.14057216652976542</v>
      </c>
      <c r="R65" s="222">
        <f t="shared" si="27"/>
        <v>0.15393568877823571</v>
      </c>
      <c r="S65" s="222">
        <f t="shared" si="27"/>
        <v>0.16732511832794311</v>
      </c>
      <c r="T65" s="222">
        <f t="shared" si="27"/>
        <v>0.18074037784366004</v>
      </c>
      <c r="U65" s="222">
        <f t="shared" si="27"/>
        <v>0.19418139029765485</v>
      </c>
      <c r="V65" s="222">
        <f t="shared" si="27"/>
        <v>0.20764807896816501</v>
      </c>
      <c r="W65" s="222">
        <f t="shared" si="27"/>
        <v>0.22114036743787963</v>
      </c>
      <c r="X65" s="222">
        <f t="shared" si="27"/>
        <v>0.2436129432389576</v>
      </c>
      <c r="Y65" s="222">
        <f t="shared" si="27"/>
        <v>0.2661283855811416</v>
      </c>
      <c r="Z65" s="222">
        <f t="shared" si="27"/>
        <v>0.28867737438243729</v>
      </c>
      <c r="AA65" s="222">
        <f t="shared" si="27"/>
        <v>0.31126586120425115</v>
      </c>
      <c r="AB65" s="222">
        <f t="shared" si="27"/>
        <v>0.33389338227334808</v>
      </c>
      <c r="AC65" s="222">
        <f t="shared" si="27"/>
        <v>0.35655948104882429</v>
      </c>
      <c r="AD65" s="222">
        <f t="shared" si="27"/>
        <v>0.37926370808167326</v>
      </c>
      <c r="AE65" s="222">
        <f t="shared" si="27"/>
        <v>0.40200562087761227</v>
      </c>
      <c r="AF65" s="222">
        <f t="shared" si="27"/>
        <v>0.4247847837630796</v>
      </c>
      <c r="AG65" s="222">
        <f t="shared" si="27"/>
        <v>0.44760076775431862</v>
      </c>
      <c r="AJ65" s="231" t="s">
        <v>1331</v>
      </c>
      <c r="AL65" s="217"/>
      <c r="AM65" s="218"/>
      <c r="AN65" s="218"/>
      <c r="AO65" s="218"/>
    </row>
    <row r="66" spans="1:63" ht="17" outlineLevel="1" thickTop="1">
      <c r="A66" t="s">
        <v>1332</v>
      </c>
      <c r="B66" s="54" t="s">
        <v>462</v>
      </c>
      <c r="C66" s="110">
        <f>'Propylene Recycling HC'!C70*'Propylene Recycling HC'!C$46/'Propylene Recycling LC'!C$46</f>
        <v>2.5000000000000005E-2</v>
      </c>
      <c r="D66" s="110">
        <f>'Propylene Recycling HC'!D70*'Propylene Recycling HC'!D$46/'Propylene Recycling LC'!D$46</f>
        <v>3.1255416735465176E-2</v>
      </c>
      <c r="E66" s="110">
        <f>'Propylene Recycling HC'!E70*'Propylene Recycling HC'!E$46/'Propylene Recycling LC'!E$46</f>
        <v>3.7510833470930344E-2</v>
      </c>
      <c r="F66" s="110">
        <f>'Propylene Recycling HC'!F70*'Propylene Recycling HC'!F$46/'Propylene Recycling LC'!F$46</f>
        <v>4.3766250206395518E-2</v>
      </c>
      <c r="G66" s="110">
        <f>'Propylene Recycling HC'!G70*'Propylene Recycling HC'!G$46/'Propylene Recycling LC'!G$46</f>
        <v>5.00216669418607E-2</v>
      </c>
      <c r="H66" s="110">
        <f>'Propylene Recycling HC'!H70*'Propylene Recycling HC'!H$46/'Propylene Recycling LC'!H$46</f>
        <v>5.6277083677325868E-2</v>
      </c>
      <c r="I66" s="110">
        <f>'Propylene Recycling HC'!I70*'Propylene Recycling HC'!I$46/'Propylene Recycling LC'!I$46</f>
        <v>6.2532500412791042E-2</v>
      </c>
      <c r="J66" s="110">
        <f>'Propylene Recycling HC'!J70*'Propylene Recycling HC'!J$46/'Propylene Recycling LC'!J$46</f>
        <v>6.8787917148256203E-2</v>
      </c>
      <c r="K66" s="110">
        <f>'Propylene Recycling HC'!K70*'Propylene Recycling HC'!K$46/'Propylene Recycling LC'!K$46</f>
        <v>7.5043333883721378E-2</v>
      </c>
      <c r="L66" s="110">
        <f>'Propylene Recycling HC'!L70*'Propylene Recycling HC'!L$46/'Propylene Recycling LC'!L$46</f>
        <v>8.1298750619186538E-2</v>
      </c>
      <c r="M66" s="110">
        <f>'Propylene Recycling HC'!M70*'Propylene Recycling HC'!M$46/'Propylene Recycling LC'!M$46</f>
        <v>8.7554167354651713E-2</v>
      </c>
      <c r="N66" s="110">
        <f>'Propylene Recycling HC'!N70*'Propylene Recycling HC'!N$46/'Propylene Recycling LC'!N$46</f>
        <v>0.10073866108940137</v>
      </c>
      <c r="O66" s="110">
        <f>'Propylene Recycling HC'!O70*'Propylene Recycling HC'!O$46/'Propylene Recycling LC'!O$46</f>
        <v>0.11392315482415102</v>
      </c>
      <c r="P66" s="110">
        <f>'Propylene Recycling HC'!P70*'Propylene Recycling HC'!P$46/'Propylene Recycling LC'!P$46</f>
        <v>0.12723462922679171</v>
      </c>
      <c r="Q66" s="110">
        <f>'Propylene Recycling HC'!Q70*'Propylene Recycling HC'!Q$46/'Propylene Recycling LC'!Q$46</f>
        <v>0.14057216652976542</v>
      </c>
      <c r="R66" s="110">
        <f>'Propylene Recycling HC'!R70*'Propylene Recycling HC'!R$46/'Propylene Recycling LC'!R$46</f>
        <v>0.15393568877823571</v>
      </c>
      <c r="S66" s="110">
        <f>'Propylene Recycling HC'!S70*'Propylene Recycling HC'!S$46/'Propylene Recycling LC'!S$46</f>
        <v>0.16732511832794311</v>
      </c>
      <c r="T66" s="110">
        <f>'Propylene Recycling HC'!T70*'Propylene Recycling HC'!T$46/'Propylene Recycling LC'!T$46</f>
        <v>0.18074037784366004</v>
      </c>
      <c r="U66" s="110">
        <f>'Propylene Recycling HC'!U70*'Propylene Recycling HC'!U$46/'Propylene Recycling LC'!U$46</f>
        <v>0.19418139029765485</v>
      </c>
      <c r="V66" s="110">
        <f>'Propylene Recycling HC'!V70*'Propylene Recycling HC'!V$46/'Propylene Recycling LC'!V$46</f>
        <v>0.20764807896816501</v>
      </c>
      <c r="W66" s="110">
        <f>'Propylene Recycling HC'!W70*'Propylene Recycling HC'!W$46/'Propylene Recycling LC'!W$46</f>
        <v>0.22114036743787963</v>
      </c>
      <c r="X66" s="110">
        <f>'Propylene Recycling HC'!X70*'Propylene Recycling HC'!X$46/'Propylene Recycling LC'!X$46</f>
        <v>0.2436129432389576</v>
      </c>
      <c r="Y66" s="110">
        <f>'Propylene Recycling HC'!Y70*'Propylene Recycling HC'!Y$46/'Propylene Recycling LC'!Y$46</f>
        <v>0.2661283855811416</v>
      </c>
      <c r="Z66" s="110">
        <f>'Propylene Recycling HC'!Z70*'Propylene Recycling HC'!Z$46/'Propylene Recycling LC'!Z$46</f>
        <v>0.28867737438243729</v>
      </c>
      <c r="AA66" s="110">
        <f>'Propylene Recycling HC'!AA70*'Propylene Recycling HC'!AA$46/'Propylene Recycling LC'!AA$46</f>
        <v>0.31126586120425115</v>
      </c>
      <c r="AB66" s="110">
        <f>'Propylene Recycling HC'!AB70*'Propylene Recycling HC'!AB$46/'Propylene Recycling LC'!AB$46</f>
        <v>0.33389338227334808</v>
      </c>
      <c r="AC66" s="110">
        <f>'Propylene Recycling HC'!AC70*'Propylene Recycling HC'!AC$46/'Propylene Recycling LC'!AC$46</f>
        <v>0.35655948104882429</v>
      </c>
      <c r="AD66" s="110">
        <f>'Propylene Recycling HC'!AD70*'Propylene Recycling HC'!AD$46/'Propylene Recycling LC'!AD$46</f>
        <v>0.37926370808167326</v>
      </c>
      <c r="AE66" s="110">
        <f>'Propylene Recycling HC'!AE70*'Propylene Recycling HC'!AE$46/'Propylene Recycling LC'!AE$46</f>
        <v>0.40200562087761227</v>
      </c>
      <c r="AF66" s="110">
        <f>'Propylene Recycling HC'!AF70*'Propylene Recycling HC'!AF$46/'Propylene Recycling LC'!AF$46</f>
        <v>0.4247847837630796</v>
      </c>
      <c r="AG66" s="110">
        <f>'Propylene Recycling HC'!AG70*'Propylene Recycling HC'!AG$46/'Propylene Recycling LC'!AG$46</f>
        <v>0.44760076775431862</v>
      </c>
      <c r="AI66" s="133" t="s">
        <v>1314</v>
      </c>
      <c r="AJ66" s="211"/>
    </row>
    <row r="67" spans="1:63" ht="16" outlineLevel="1">
      <c r="A67" t="s">
        <v>1333</v>
      </c>
      <c r="B67" s="54" t="s">
        <v>462</v>
      </c>
      <c r="C67" s="110">
        <f>'Propylene Recycling HC'!C73*'Propylene Recycling HC'!C$46/'Propylene Recycling LC'!C$46</f>
        <v>2E-3</v>
      </c>
      <c r="D67" s="110">
        <f>'Propylene Recycling HC'!D73*'Propylene Recycling HC'!D$46/'Propylene Recycling LC'!D$46</f>
        <v>3.2505633404883785E-3</v>
      </c>
      <c r="E67" s="110">
        <f>'Propylene Recycling HC'!E73*'Propylene Recycling HC'!E$46/'Propylene Recycling LC'!E$46</f>
        <v>4.8013866842790843E-3</v>
      </c>
      <c r="F67" s="110">
        <f>'Propylene Recycling HC'!F73*'Propylene Recycling HC'!F$46/'Propylene Recycling LC'!F$46</f>
        <v>6.652470031372119E-3</v>
      </c>
      <c r="G67" s="110">
        <f>'Propylene Recycling HC'!G73*'Propylene Recycling HC'!G$46/'Propylene Recycling LC'!G$46</f>
        <v>8.8038133817674811E-3</v>
      </c>
      <c r="H67" s="110">
        <f>'Propylene Recycling HC'!H73*'Propylene Recycling HC'!H$46/'Propylene Recycling LC'!H$46</f>
        <v>1.125541673546517E-2</v>
      </c>
      <c r="I67" s="110">
        <f>'Propylene Recycling HC'!I73*'Propylene Recycling HC'!I$46/'Propylene Recycling LC'!I$46</f>
        <v>1.400728009246519E-2</v>
      </c>
      <c r="J67" s="110">
        <f>'Propylene Recycling HC'!J73*'Propylene Recycling HC'!J$46/'Propylene Recycling LC'!J$46</f>
        <v>1.7059403452767536E-2</v>
      </c>
      <c r="K67" s="110">
        <f>'Propylene Recycling HC'!K73*'Propylene Recycling HC'!K$46/'Propylene Recycling LC'!K$46</f>
        <v>2.0411786816372211E-2</v>
      </c>
      <c r="L67" s="110">
        <f>'Propylene Recycling HC'!L73*'Propylene Recycling HC'!L$46/'Propylene Recycling LC'!L$46</f>
        <v>2.4064430183279219E-2</v>
      </c>
      <c r="M67" s="110">
        <f>'Propylene Recycling HC'!M73*'Propylene Recycling HC'!M$46/'Propylene Recycling LC'!M$46</f>
        <v>2.8017333553488549E-2</v>
      </c>
      <c r="N67" s="110">
        <f>'Propylene Recycling HC'!N73*'Propylene Recycling HC'!N$46/'Propylene Recycling LC'!N$46</f>
        <v>3.4654099414754072E-2</v>
      </c>
      <c r="O67" s="110">
        <f>'Propylene Recycling HC'!O73*'Propylene Recycling HC'!O$46/'Propylene Recycling LC'!O$46</f>
        <v>4.1923720975287584E-2</v>
      </c>
      <c r="P67" s="110">
        <f>'Propylene Recycling HC'!P73*'Propylene Recycling HC'!P$46/'Propylene Recycling LC'!P$46</f>
        <v>4.9875974656902355E-2</v>
      </c>
      <c r="Q67" s="110">
        <f>'Propylene Recycling HC'!Q73*'Propylene Recycling HC'!Q$46/'Propylene Recycling LC'!Q$46</f>
        <v>5.8478021276382422E-2</v>
      </c>
      <c r="R67" s="110">
        <f>'Propylene Recycling HC'!R73*'Propylene Recycling HC'!R$46/'Propylene Recycling LC'!R$46</f>
        <v>6.7731703062423737E-2</v>
      </c>
      <c r="S67" s="110">
        <f>'Propylene Recycling HC'!S73*'Propylene Recycling HC'!S$46/'Propylene Recycling LC'!S$46</f>
        <v>7.7638854904165625E-2</v>
      </c>
      <c r="T67" s="110">
        <f>'Propylene Recycling HC'!T73*'Propylene Recycling HC'!T$46/'Propylene Recycling LC'!T$46</f>
        <v>8.8201304387706125E-2</v>
      </c>
      <c r="U67" s="110">
        <f>'Propylene Recycling HC'!U73*'Propylene Recycling HC'!U$46/'Propylene Recycling LC'!U$46</f>
        <v>9.9420871832399324E-2</v>
      </c>
      <c r="V67" s="110">
        <f>'Propylene Recycling HC'!V73*'Propylene Recycling HC'!V$46/'Propylene Recycling LC'!V$46</f>
        <v>0.11129937032693647</v>
      </c>
      <c r="W67" s="110">
        <f>'Propylene Recycling HC'!W73*'Propylene Recycling HC'!W$46/'Propylene Recycling LC'!W$46</f>
        <v>0.12383860576521263</v>
      </c>
      <c r="X67" s="110">
        <f>'Propylene Recycling HC'!X73*'Propylene Recycling HC'!X$46/'Propylene Recycling LC'!X$46</f>
        <v>0.14226995885155128</v>
      </c>
      <c r="Y67" s="110">
        <f>'Propylene Recycling HC'!Y73*'Propylene Recycling HC'!Y$46/'Propylene Recycling LC'!Y$46</f>
        <v>0.16180605843333418</v>
      </c>
      <c r="Z67" s="110">
        <f>'Propylene Recycling HC'!Z73*'Propylene Recycling HC'!Z$46/'Propylene Recycling LC'!Z$46</f>
        <v>0.18244410060970045</v>
      </c>
      <c r="AA67" s="110">
        <f>'Propylene Recycling HC'!AA73*'Propylene Recycling HC'!AA$46/'Propylene Recycling LC'!AA$46</f>
        <v>0.20419040494998883</v>
      </c>
      <c r="AB67" s="110">
        <f>'Propylene Recycling HC'!AB73*'Propylene Recycling HC'!AB$46/'Propylene Recycling LC'!AB$46</f>
        <v>0.22704749994587678</v>
      </c>
      <c r="AC67" s="110">
        <f>'Propylene Recycling HC'!AC73*'Propylene Recycling HC'!AC$46/'Propylene Recycling LC'!AC$46</f>
        <v>0.25101787465837239</v>
      </c>
      <c r="AD67" s="110">
        <f>'Propylene Recycling HC'!AD73*'Propylene Recycling HC'!AD$46/'Propylene Recycling LC'!AD$46</f>
        <v>0.27610397948345822</v>
      </c>
      <c r="AE67" s="110">
        <f>'Propylene Recycling HC'!AE73*'Propylene Recycling HC'!AE$46/'Propylene Recycling LC'!AE$46</f>
        <v>0.30230822689996462</v>
      </c>
      <c r="AF67" s="110">
        <f>'Propylene Recycling HC'!AF73*'Propylene Recycling HC'!AF$46/'Propylene Recycling LC'!AF$46</f>
        <v>0.32963299220014991</v>
      </c>
      <c r="AG67" s="110">
        <f>'Propylene Recycling HC'!AG73*'Propylene Recycling HC'!AG$46/'Propylene Recycling LC'!AG$46</f>
        <v>0.35808061420345494</v>
      </c>
      <c r="AI67" s="133" t="s">
        <v>1314</v>
      </c>
      <c r="AJ67" s="211"/>
      <c r="BD67" s="203"/>
      <c r="BE67" s="203"/>
    </row>
    <row r="68" spans="1:63" ht="16" outlineLevel="1">
      <c r="A68" t="s">
        <v>1334</v>
      </c>
      <c r="B68" s="54" t="s">
        <v>462</v>
      </c>
      <c r="C68" s="110">
        <f>'Propylene Recycling HC'!C74*'Propylene Recycling HC'!C$46/'Propylene Recycling LC'!C$46</f>
        <v>2.3000000000000003E-2</v>
      </c>
      <c r="D68" s="110">
        <f>'Propylene Recycling HC'!D74*'Propylene Recycling HC'!D$46/'Propylene Recycling LC'!D$46</f>
        <v>2.8004853394976797E-2</v>
      </c>
      <c r="E68" s="110">
        <f>'Propylene Recycling HC'!E74*'Propylene Recycling HC'!E$46/'Propylene Recycling LC'!E$46</f>
        <v>3.2709446786651261E-2</v>
      </c>
      <c r="F68" s="110">
        <f>'Propylene Recycling HC'!F74*'Propylene Recycling HC'!F$46/'Propylene Recycling LC'!F$46</f>
        <v>3.7113780175023398E-2</v>
      </c>
      <c r="G68" s="110">
        <f>'Propylene Recycling HC'!G74*'Propylene Recycling HC'!G$46/'Propylene Recycling LC'!G$46</f>
        <v>4.1217853560093214E-2</v>
      </c>
      <c r="H68" s="110">
        <f>'Propylene Recycling HC'!H74*'Propylene Recycling HC'!H$46/'Propylene Recycling LC'!H$46</f>
        <v>4.5021666941860689E-2</v>
      </c>
      <c r="I68" s="110">
        <f>'Propylene Recycling HC'!I74*'Propylene Recycling HC'!I$46/'Propylene Recycling LC'!I$46</f>
        <v>4.8525220320325857E-2</v>
      </c>
      <c r="J68" s="110">
        <f>'Propylene Recycling HC'!J74*'Propylene Recycling HC'!J$46/'Propylene Recycling LC'!J$46</f>
        <v>5.172851369548867E-2</v>
      </c>
      <c r="K68" s="110">
        <f>'Propylene Recycling HC'!K74*'Propylene Recycling HC'!K$46/'Propylene Recycling LC'!K$46</f>
        <v>5.4631547067349163E-2</v>
      </c>
      <c r="L68" s="110">
        <f>'Propylene Recycling HC'!L74*'Propylene Recycling HC'!L$46/'Propylene Recycling LC'!L$46</f>
        <v>5.7234320435907329E-2</v>
      </c>
      <c r="M68" s="110">
        <f>'Propylene Recycling HC'!M74*'Propylene Recycling HC'!M$46/'Propylene Recycling LC'!M$46</f>
        <v>5.9536833801163168E-2</v>
      </c>
      <c r="N68" s="110">
        <f>'Propylene Recycling HC'!N74*'Propylene Recycling HC'!N$46/'Propylene Recycling LC'!N$46</f>
        <v>6.6084561674647282E-2</v>
      </c>
      <c r="O68" s="110">
        <f>'Propylene Recycling HC'!O74*'Propylene Recycling HC'!O$46/'Propylene Recycling LC'!O$46</f>
        <v>7.1999433848863439E-2</v>
      </c>
      <c r="P68" s="110">
        <f>'Propylene Recycling HC'!P74*'Propylene Recycling HC'!P$46/'Propylene Recycling LC'!P$46</f>
        <v>7.7358654569889329E-2</v>
      </c>
      <c r="Q68" s="110">
        <f>'Propylene Recycling HC'!Q74*'Propylene Recycling HC'!Q$46/'Propylene Recycling LC'!Q$46</f>
        <v>8.2094145253382989E-2</v>
      </c>
      <c r="R68" s="110">
        <f>'Propylene Recycling HC'!R74*'Propylene Recycling HC'!R$46/'Propylene Recycling LC'!R$46</f>
        <v>8.6203985715811976E-2</v>
      </c>
      <c r="S68" s="110">
        <f>'Propylene Recycling HC'!S74*'Propylene Recycling HC'!S$46/'Propylene Recycling LC'!S$46</f>
        <v>8.9686263423777474E-2</v>
      </c>
      <c r="T68" s="110">
        <f>'Propylene Recycling HC'!T74*'Propylene Recycling HC'!T$46/'Propylene Recycling LC'!T$46</f>
        <v>9.2539073455953913E-2</v>
      </c>
      <c r="U68" s="110">
        <f>'Propylene Recycling HC'!U74*'Propylene Recycling HC'!U$46/'Propylene Recycling LC'!U$46</f>
        <v>9.4760518465255544E-2</v>
      </c>
      <c r="V68" s="110">
        <f>'Propylene Recycling HC'!V74*'Propylene Recycling HC'!V$46/'Propylene Recycling LC'!V$46</f>
        <v>9.6348708641228534E-2</v>
      </c>
      <c r="W68" s="110">
        <f>'Propylene Recycling HC'!W74*'Propylene Recycling HC'!W$46/'Propylene Recycling LC'!W$46</f>
        <v>9.7301761672667006E-2</v>
      </c>
      <c r="X68" s="110">
        <f>'Propylene Recycling HC'!X74*'Propylene Recycling HC'!X$46/'Propylene Recycling LC'!X$46</f>
        <v>0.10134298438740631</v>
      </c>
      <c r="Y68" s="110">
        <f>'Propylene Recycling HC'!Y74*'Propylene Recycling HC'!Y$46/'Propylene Recycling LC'!Y$46</f>
        <v>0.10432232714780745</v>
      </c>
      <c r="Z68" s="110">
        <f>'Propylene Recycling HC'!Z74*'Propylene Recycling HC'!Z$46/'Propylene Recycling LC'!Z$46</f>
        <v>0.10623327377273686</v>
      </c>
      <c r="AA68" s="110">
        <f>'Propylene Recycling HC'!AA74*'Propylene Recycling HC'!AA$46/'Propylene Recycling LC'!AA$46</f>
        <v>0.10707545625426232</v>
      </c>
      <c r="AB68" s="110">
        <f>'Propylene Recycling HC'!AB74*'Propylene Recycling HC'!AB$46/'Propylene Recycling LC'!AB$46</f>
        <v>0.10684588232747129</v>
      </c>
      <c r="AC68" s="110">
        <f>'Propylene Recycling HC'!AC74*'Propylene Recycling HC'!AC$46/'Propylene Recycling LC'!AC$46</f>
        <v>0.10554160639045189</v>
      </c>
      <c r="AD68" s="110">
        <f>'Propylene Recycling HC'!AD74*'Propylene Recycling HC'!AD$46/'Propylene Recycling LC'!AD$46</f>
        <v>0.10315972859821501</v>
      </c>
      <c r="AE68" s="110">
        <f>'Propylene Recycling HC'!AE74*'Propylene Recycling HC'!AE$46/'Propylene Recycling LC'!AE$46</f>
        <v>9.9697393977647708E-2</v>
      </c>
      <c r="AF68" s="110">
        <f>'Propylene Recycling HC'!AF74*'Propylene Recycling HC'!AF$46/'Propylene Recycling LC'!AF$46</f>
        <v>9.5151791562929661E-2</v>
      </c>
      <c r="AG68" s="110">
        <f>'Propylene Recycling HC'!AG74*'Propylene Recycling HC'!AG$46/'Propylene Recycling LC'!AG$46</f>
        <v>8.9520153550863707E-2</v>
      </c>
      <c r="AI68" s="133" t="s">
        <v>1314</v>
      </c>
      <c r="AJ68" s="211"/>
      <c r="BD68" s="203"/>
      <c r="BE68" s="203"/>
    </row>
    <row r="69" spans="1:63" ht="16" outlineLevel="1">
      <c r="A69" t="s">
        <v>1335</v>
      </c>
      <c r="B69" s="54" t="s">
        <v>462</v>
      </c>
      <c r="C69" s="110">
        <f>'Propylene Recycling HC'!C81*'Propylene Recycling HC'!C$46/'Propylene Recycling LC'!C$46</f>
        <v>1.1960000000000002E-2</v>
      </c>
      <c r="D69" s="110">
        <f>'Propylene Recycling HC'!D81*'Propylene Recycling HC'!D$46/'Propylene Recycling LC'!D$46</f>
        <v>1.4562523765387934E-2</v>
      </c>
      <c r="E69" s="110">
        <f>'Propylene Recycling HC'!E81*'Propylene Recycling HC'!E$46/'Propylene Recycling LC'!E$46</f>
        <v>1.7008912329058656E-2</v>
      </c>
      <c r="F69" s="110">
        <f>'Propylene Recycling HC'!F81*'Propylene Recycling HC'!F$46/'Propylene Recycling LC'!F$46</f>
        <v>1.9299165691012168E-2</v>
      </c>
      <c r="G69" s="110">
        <f>'Propylene Recycling HC'!G81*'Propylene Recycling HC'!G$46/'Propylene Recycling LC'!G$46</f>
        <v>2.1433283851248472E-2</v>
      </c>
      <c r="H69" s="110">
        <f>'Propylene Recycling HC'!H81*'Propylene Recycling HC'!H$46/'Propylene Recycling LC'!H$46</f>
        <v>2.3411266809767559E-2</v>
      </c>
      <c r="I69" s="110">
        <f>'Propylene Recycling HC'!I81*'Propylene Recycling HC'!I$46/'Propylene Recycling LC'!I$46</f>
        <v>2.5233114566569442E-2</v>
      </c>
      <c r="J69" s="110">
        <f>'Propylene Recycling HC'!J81*'Propylene Recycling HC'!J$46/'Propylene Recycling LC'!J$46</f>
        <v>2.6898827121654107E-2</v>
      </c>
      <c r="K69" s="110">
        <f>'Propylene Recycling HC'!K81*'Propylene Recycling HC'!K$46/'Propylene Recycling LC'!K$46</f>
        <v>2.8408404475021565E-2</v>
      </c>
      <c r="L69" s="110">
        <f>'Propylene Recycling HC'!L81*'Propylene Recycling HC'!L$46/'Propylene Recycling LC'!L$46</f>
        <v>2.9761846626671813E-2</v>
      </c>
      <c r="M69" s="110">
        <f>'Propylene Recycling HC'!M81*'Propylene Recycling HC'!M$46/'Propylene Recycling LC'!M$46</f>
        <v>3.0959153576604843E-2</v>
      </c>
      <c r="N69" s="110">
        <f>'Propylene Recycling HC'!N81*'Propylene Recycling HC'!N$46/'Propylene Recycling LC'!N$46</f>
        <v>3.4363972070816588E-2</v>
      </c>
      <c r="O69" s="110">
        <f>'Propylene Recycling HC'!O81*'Propylene Recycling HC'!O$46/'Propylene Recycling LC'!O$46</f>
        <v>3.7439705601408989E-2</v>
      </c>
      <c r="P69" s="110">
        <f>'Propylene Recycling HC'!P81*'Propylene Recycling HC'!P$46/'Propylene Recycling LC'!P$46</f>
        <v>4.0226500376342463E-2</v>
      </c>
      <c r="Q69" s="110">
        <f>'Propylene Recycling HC'!Q81*'Propylene Recycling HC'!Q$46/'Propylene Recycling LC'!Q$46</f>
        <v>4.2688955531759144E-2</v>
      </c>
      <c r="R69" s="110">
        <f>'Propylene Recycling HC'!R81*'Propylene Recycling HC'!R$46/'Propylene Recycling LC'!R$46</f>
        <v>4.4826072572222229E-2</v>
      </c>
      <c r="S69" s="110">
        <f>'Propylene Recycling HC'!S81*'Propylene Recycling HC'!S$46/'Propylene Recycling LC'!S$46</f>
        <v>4.6636856980364287E-2</v>
      </c>
      <c r="T69" s="110">
        <f>'Propylene Recycling HC'!T81*'Propylene Recycling HC'!T$46/'Propylene Recycling LC'!T$46</f>
        <v>4.8120318197096029E-2</v>
      </c>
      <c r="U69" s="110">
        <f>'Propylene Recycling HC'!U81*'Propylene Recycling HC'!U$46/'Propylene Recycling LC'!U$46</f>
        <v>4.9275469601932888E-2</v>
      </c>
      <c r="V69" s="110">
        <f>'Propylene Recycling HC'!V81*'Propylene Recycling HC'!V$46/'Propylene Recycling LC'!V$46</f>
        <v>5.0101328493438839E-2</v>
      </c>
      <c r="W69" s="110">
        <f>'Propylene Recycling HC'!W81*'Propylene Recycling HC'!W$46/'Propylene Recycling LC'!W$46</f>
        <v>5.0596916069786856E-2</v>
      </c>
      <c r="X69" s="110">
        <f>'Propylene Recycling HC'!X81*'Propylene Recycling HC'!X$46/'Propylene Recycling LC'!X$46</f>
        <v>5.2698351881451284E-2</v>
      </c>
      <c r="Y69" s="110">
        <f>'Propylene Recycling HC'!Y81*'Propylene Recycling HC'!Y$46/'Propylene Recycling LC'!Y$46</f>
        <v>5.4247610116859878E-2</v>
      </c>
      <c r="Z69" s="110">
        <f>'Propylene Recycling HC'!Z81*'Propylene Recycling HC'!Z$46/'Propylene Recycling LC'!Z$46</f>
        <v>5.5241302361823168E-2</v>
      </c>
      <c r="AA69" s="110">
        <f>'Propylene Recycling HC'!AA81*'Propylene Recycling HC'!AA$46/'Propylene Recycling LC'!AA$46</f>
        <v>5.5679237252216407E-2</v>
      </c>
      <c r="AB69" s="110">
        <f>'Propylene Recycling HC'!AB81*'Propylene Recycling HC'!AB$46/'Propylene Recycling LC'!AB$46</f>
        <v>5.5559858810285079E-2</v>
      </c>
      <c r="AC69" s="110">
        <f>'Propylene Recycling HC'!AC81*'Propylene Recycling HC'!AC$46/'Propylene Recycling LC'!AC$46</f>
        <v>5.4881635323034979E-2</v>
      </c>
      <c r="AD69" s="110">
        <f>'Propylene Recycling HC'!AD81*'Propylene Recycling HC'!AD$46/'Propylene Recycling LC'!AD$46</f>
        <v>5.3643058871071805E-2</v>
      </c>
      <c r="AE69" s="110">
        <f>'Propylene Recycling HC'!AE81*'Propylene Recycling HC'!AE$46/'Propylene Recycling LC'!AE$46</f>
        <v>5.1842644868376808E-2</v>
      </c>
      <c r="AF69" s="110">
        <f>'Propylene Recycling HC'!AF81*'Propylene Recycling HC'!AF$46/'Propylene Recycling LC'!AF$46</f>
        <v>4.9478931612723431E-2</v>
      </c>
      <c r="AG69" s="110">
        <f>'Propylene Recycling HC'!AG81*'Propylene Recycling HC'!AG$46/'Propylene Recycling LC'!AG$46</f>
        <v>4.6550479846449139E-2</v>
      </c>
      <c r="AI69" s="133" t="s">
        <v>1314</v>
      </c>
      <c r="AJ69" s="211"/>
      <c r="BD69" s="203"/>
      <c r="BE69" s="203"/>
    </row>
    <row r="70" spans="1:63" ht="16" outlineLevel="1">
      <c r="A70" t="s">
        <v>1336</v>
      </c>
      <c r="B70" s="54" t="s">
        <v>462</v>
      </c>
      <c r="C70" s="110">
        <f>'Propylene Recycling HC'!C82*'Propylene Recycling HC'!C$46/'Propylene Recycling LC'!C$46</f>
        <v>2.7600000000000003E-3</v>
      </c>
      <c r="D70" s="110">
        <f>'Propylene Recycling HC'!D82*'Propylene Recycling HC'!D$46/'Propylene Recycling LC'!D$46</f>
        <v>3.3605824073972158E-3</v>
      </c>
      <c r="E70" s="110">
        <f>'Propylene Recycling HC'!E82*'Propylene Recycling HC'!E$46/'Propylene Recycling LC'!E$46</f>
        <v>3.9251336143981512E-3</v>
      </c>
      <c r="F70" s="110">
        <f>'Propylene Recycling HC'!F82*'Propylene Recycling HC'!F$46/'Propylene Recycling LC'!F$46</f>
        <v>4.4536536210028075E-3</v>
      </c>
      <c r="G70" s="110">
        <f>'Propylene Recycling HC'!G82*'Propylene Recycling HC'!G$46/'Propylene Recycling LC'!G$46</f>
        <v>4.9461424272111854E-3</v>
      </c>
      <c r="H70" s="110">
        <f>'Propylene Recycling HC'!H82*'Propylene Recycling HC'!H$46/'Propylene Recycling LC'!H$46</f>
        <v>5.4026000330232825E-3</v>
      </c>
      <c r="I70" s="110">
        <f>'Propylene Recycling HC'!I82*'Propylene Recycling HC'!I$46/'Propylene Recycling LC'!I$46</f>
        <v>5.8230264384391021E-3</v>
      </c>
      <c r="J70" s="110">
        <f>'Propylene Recycling HC'!J82*'Propylene Recycling HC'!J$46/'Propylene Recycling LC'!J$46</f>
        <v>6.2074216434586391E-3</v>
      </c>
      <c r="K70" s="110">
        <f>'Propylene Recycling HC'!K82*'Propylene Recycling HC'!K$46/'Propylene Recycling LC'!K$46</f>
        <v>6.5557856480818995E-3</v>
      </c>
      <c r="L70" s="110">
        <f>'Propylene Recycling HC'!L82*'Propylene Recycling HC'!L$46/'Propylene Recycling LC'!L$46</f>
        <v>6.868118452308879E-3</v>
      </c>
      <c r="M70" s="110">
        <f>'Propylene Recycling HC'!M82*'Propylene Recycling HC'!M$46/'Propylene Recycling LC'!M$46</f>
        <v>7.1444200561395802E-3</v>
      </c>
      <c r="N70" s="110">
        <f>'Propylene Recycling HC'!N82*'Propylene Recycling HC'!N$46/'Propylene Recycling LC'!N$46</f>
        <v>7.9301474009576736E-3</v>
      </c>
      <c r="O70" s="110">
        <f>'Propylene Recycling HC'!O82*'Propylene Recycling HC'!O$46/'Propylene Recycling LC'!O$46</f>
        <v>8.6399320618636127E-3</v>
      </c>
      <c r="P70" s="110">
        <f>'Propylene Recycling HC'!P82*'Propylene Recycling HC'!P$46/'Propylene Recycling LC'!P$46</f>
        <v>9.2830385483867201E-3</v>
      </c>
      <c r="Q70" s="110">
        <f>'Propylene Recycling HC'!Q82*'Propylene Recycling HC'!Q$46/'Propylene Recycling LC'!Q$46</f>
        <v>9.8512974304059576E-3</v>
      </c>
      <c r="R70" s="110">
        <f>'Propylene Recycling HC'!R82*'Propylene Recycling HC'!R$46/'Propylene Recycling LC'!R$46</f>
        <v>1.0344478285897435E-2</v>
      </c>
      <c r="S70" s="110">
        <f>'Propylene Recycling HC'!S82*'Propylene Recycling HC'!S$46/'Propylene Recycling LC'!S$46</f>
        <v>1.0762351610853297E-2</v>
      </c>
      <c r="T70" s="110">
        <f>'Propylene Recycling HC'!T82*'Propylene Recycling HC'!T$46/'Propylene Recycling LC'!T$46</f>
        <v>1.1104688814714467E-2</v>
      </c>
      <c r="U70" s="110">
        <f>'Propylene Recycling HC'!U82*'Propylene Recycling HC'!U$46/'Propylene Recycling LC'!U$46</f>
        <v>1.1371262215830664E-2</v>
      </c>
      <c r="V70" s="110">
        <f>'Propylene Recycling HC'!V82*'Propylene Recycling HC'!V$46/'Propylene Recycling LC'!V$46</f>
        <v>1.1561845036947424E-2</v>
      </c>
      <c r="W70" s="110">
        <f>'Propylene Recycling HC'!W82*'Propylene Recycling HC'!W$46/'Propylene Recycling LC'!W$46</f>
        <v>1.1676211400720041E-2</v>
      </c>
      <c r="X70" s="110">
        <f>'Propylene Recycling HC'!X82*'Propylene Recycling HC'!X$46/'Propylene Recycling LC'!X$46</f>
        <v>1.2161158126488759E-2</v>
      </c>
      <c r="Y70" s="110">
        <f>'Propylene Recycling HC'!Y82*'Propylene Recycling HC'!Y$46/'Propylene Recycling LC'!Y$46</f>
        <v>1.2518679257736894E-2</v>
      </c>
      <c r="Z70" s="110">
        <f>'Propylene Recycling HC'!Z82*'Propylene Recycling HC'!Z$46/'Propylene Recycling LC'!Z$46</f>
        <v>1.2747992852728424E-2</v>
      </c>
      <c r="AA70" s="110">
        <f>'Propylene Recycling HC'!AA82*'Propylene Recycling HC'!AA$46/'Propylene Recycling LC'!AA$46</f>
        <v>1.2849054750511476E-2</v>
      </c>
      <c r="AB70" s="110">
        <f>'Propylene Recycling HC'!AB82*'Propylene Recycling HC'!AB$46/'Propylene Recycling LC'!AB$46</f>
        <v>1.2821505879296554E-2</v>
      </c>
      <c r="AC70" s="110">
        <f>'Propylene Recycling HC'!AC82*'Propylene Recycling HC'!AC$46/'Propylene Recycling LC'!AC$46</f>
        <v>1.2664992766854226E-2</v>
      </c>
      <c r="AD70" s="110">
        <f>'Propylene Recycling HC'!AD82*'Propylene Recycling HC'!AD$46/'Propylene Recycling LC'!AD$46</f>
        <v>1.23791674317858E-2</v>
      </c>
      <c r="AE70" s="110">
        <f>'Propylene Recycling HC'!AE82*'Propylene Recycling HC'!AE$46/'Propylene Recycling LC'!AE$46</f>
        <v>1.1963687277317725E-2</v>
      </c>
      <c r="AF70" s="110">
        <f>'Propylene Recycling HC'!AF82*'Propylene Recycling HC'!AF$46/'Propylene Recycling LC'!AF$46</f>
        <v>1.1418214987551559E-2</v>
      </c>
      <c r="AG70" s="110">
        <f>'Propylene Recycling HC'!AG82*'Propylene Recycling HC'!AG$46/'Propylene Recycling LC'!AG$46</f>
        <v>1.0742418426103646E-2</v>
      </c>
      <c r="AI70" s="133" t="s">
        <v>1314</v>
      </c>
      <c r="AJ70" s="211"/>
      <c r="AL70" s="1"/>
      <c r="BC70" s="1"/>
      <c r="BD70" s="762"/>
      <c r="BE70" s="760"/>
      <c r="BF70" s="6"/>
      <c r="BG70" s="6"/>
      <c r="BH70" s="6"/>
      <c r="BI70" s="6"/>
      <c r="BJ70" s="6"/>
    </row>
    <row r="71" spans="1:63" ht="16" outlineLevel="1">
      <c r="A71" t="s">
        <v>1337</v>
      </c>
      <c r="B71" s="54" t="s">
        <v>462</v>
      </c>
      <c r="C71" s="110">
        <f>'Propylene Recycling HC'!C83*'Propylene Recycling HC'!C$46/'Propylene Recycling LC'!C$46</f>
        <v>8.2800000000000009E-3</v>
      </c>
      <c r="D71" s="110">
        <f>'Propylene Recycling HC'!D83*'Propylene Recycling HC'!D$46/'Propylene Recycling LC'!D$46</f>
        <v>1.0081747222191647E-2</v>
      </c>
      <c r="E71" s="110">
        <f>'Propylene Recycling HC'!E83*'Propylene Recycling HC'!E$46/'Propylene Recycling LC'!E$46</f>
        <v>1.1775400843194452E-2</v>
      </c>
      <c r="F71" s="110">
        <f>'Propylene Recycling HC'!F83*'Propylene Recycling HC'!F$46/'Propylene Recycling LC'!F$46</f>
        <v>1.3360960863008423E-2</v>
      </c>
      <c r="G71" s="110">
        <f>'Propylene Recycling HC'!G83*'Propylene Recycling HC'!G$46/'Propylene Recycling LC'!G$46</f>
        <v>1.4838427281633558E-2</v>
      </c>
      <c r="H71" s="110">
        <f>'Propylene Recycling HC'!H83*'Propylene Recycling HC'!H$46/'Propylene Recycling LC'!H$46</f>
        <v>1.6207800099069847E-2</v>
      </c>
      <c r="I71" s="110">
        <f>'Propylene Recycling HC'!I83*'Propylene Recycling HC'!I$46/'Propylene Recycling LC'!I$46</f>
        <v>1.7469079315317305E-2</v>
      </c>
      <c r="J71" s="110">
        <f>'Propylene Recycling HC'!J83*'Propylene Recycling HC'!J$46/'Propylene Recycling LC'!J$46</f>
        <v>1.8622264930375918E-2</v>
      </c>
      <c r="K71" s="110">
        <f>'Propylene Recycling HC'!K83*'Propylene Recycling HC'!K$46/'Propylene Recycling LC'!K$46</f>
        <v>1.9667356944245699E-2</v>
      </c>
      <c r="L71" s="110">
        <f>'Propylene Recycling HC'!L83*'Propylene Recycling HC'!L$46/'Propylene Recycling LC'!L$46</f>
        <v>2.0604355356926639E-2</v>
      </c>
      <c r="M71" s="110">
        <f>'Propylene Recycling HC'!M83*'Propylene Recycling HC'!M$46/'Propylene Recycling LC'!M$46</f>
        <v>2.1433260168418733E-2</v>
      </c>
      <c r="N71" s="110">
        <f>'Propylene Recycling HC'!N83*'Propylene Recycling HC'!N$46/'Propylene Recycling LC'!N$46</f>
        <v>2.3790442202873022E-2</v>
      </c>
      <c r="O71" s="110">
        <f>'Propylene Recycling HC'!O83*'Propylene Recycling HC'!O$46/'Propylene Recycling LC'!O$46</f>
        <v>2.5919796185590836E-2</v>
      </c>
      <c r="P71" s="110">
        <f>'Propylene Recycling HC'!P83*'Propylene Recycling HC'!P$46/'Propylene Recycling LC'!P$46</f>
        <v>2.7849115645160162E-2</v>
      </c>
      <c r="Q71" s="110">
        <f>'Propylene Recycling HC'!Q83*'Propylene Recycling HC'!Q$46/'Propylene Recycling LC'!Q$46</f>
        <v>2.9553892291217871E-2</v>
      </c>
      <c r="R71" s="110">
        <f>'Propylene Recycling HC'!R83*'Propylene Recycling HC'!R$46/'Propylene Recycling LC'!R$46</f>
        <v>3.1033434857692308E-2</v>
      </c>
      <c r="S71" s="110">
        <f>'Propylene Recycling HC'!S83*'Propylene Recycling HC'!S$46/'Propylene Recycling LC'!S$46</f>
        <v>3.2287054832559892E-2</v>
      </c>
      <c r="T71" s="110">
        <f>'Propylene Recycling HC'!T83*'Propylene Recycling HC'!T$46/'Propylene Recycling LC'!T$46</f>
        <v>3.3314066444143399E-2</v>
      </c>
      <c r="U71" s="110">
        <f>'Propylene Recycling HC'!U83*'Propylene Recycling HC'!U$46/'Propylene Recycling LC'!U$46</f>
        <v>3.4113786647491998E-2</v>
      </c>
      <c r="V71" s="110">
        <f>'Propylene Recycling HC'!V83*'Propylene Recycling HC'!V$46/'Propylene Recycling LC'!V$46</f>
        <v>3.4685535110842276E-2</v>
      </c>
      <c r="W71" s="110">
        <f>'Propylene Recycling HC'!W83*'Propylene Recycling HC'!W$46/'Propylene Recycling LC'!W$46</f>
        <v>3.5028634202160118E-2</v>
      </c>
      <c r="X71" s="110">
        <f>'Propylene Recycling HC'!X83*'Propylene Recycling HC'!X$46/'Propylene Recycling LC'!X$46</f>
        <v>3.6483474379466273E-2</v>
      </c>
      <c r="Y71" s="110">
        <f>'Propylene Recycling HC'!Y83*'Propylene Recycling HC'!Y$46/'Propylene Recycling LC'!Y$46</f>
        <v>3.7556037773210683E-2</v>
      </c>
      <c r="Z71" s="110">
        <f>'Propylene Recycling HC'!Z83*'Propylene Recycling HC'!Z$46/'Propylene Recycling LC'!Z$46</f>
        <v>3.8243978558185274E-2</v>
      </c>
      <c r="AA71" s="110">
        <f>'Propylene Recycling HC'!AA83*'Propylene Recycling HC'!AA$46/'Propylene Recycling LC'!AA$46</f>
        <v>3.8547164251534427E-2</v>
      </c>
      <c r="AB71" s="110">
        <f>'Propylene Recycling HC'!AB83*'Propylene Recycling HC'!AB$46/'Propylene Recycling LC'!AB$46</f>
        <v>3.8464517637889661E-2</v>
      </c>
      <c r="AC71" s="110">
        <f>'Propylene Recycling HC'!AC83*'Propylene Recycling HC'!AC$46/'Propylene Recycling LC'!AC$46</f>
        <v>3.7994978300562678E-2</v>
      </c>
      <c r="AD71" s="110">
        <f>'Propylene Recycling HC'!AD83*'Propylene Recycling HC'!AD$46/'Propylene Recycling LC'!AD$46</f>
        <v>3.7137502295357401E-2</v>
      </c>
      <c r="AE71" s="110">
        <f>'Propylene Recycling HC'!AE83*'Propylene Recycling HC'!AE$46/'Propylene Recycling LC'!AE$46</f>
        <v>3.5891061831953175E-2</v>
      </c>
      <c r="AF71" s="110">
        <f>'Propylene Recycling HC'!AF83*'Propylene Recycling HC'!AF$46/'Propylene Recycling LC'!AF$46</f>
        <v>3.4254644962654679E-2</v>
      </c>
      <c r="AG71" s="110">
        <f>'Propylene Recycling HC'!AG83*'Propylene Recycling HC'!AG$46/'Propylene Recycling LC'!AG$46</f>
        <v>3.2227255278310933E-2</v>
      </c>
      <c r="AI71" s="133" t="s">
        <v>1314</v>
      </c>
      <c r="AJ71" s="211"/>
      <c r="BC71" s="1"/>
      <c r="BD71" s="41"/>
      <c r="BF71" s="6"/>
      <c r="BG71" s="6"/>
      <c r="BH71" s="6"/>
      <c r="BI71" s="6"/>
      <c r="BJ71" s="6"/>
    </row>
    <row r="72" spans="1:63" outlineLevel="1">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I72" s="133"/>
      <c r="AJ72" s="211"/>
      <c r="AL72" s="108"/>
      <c r="AM72" s="2"/>
      <c r="AN72" s="2"/>
      <c r="AO72" s="2"/>
      <c r="BC72" s="1"/>
      <c r="BD72" s="2"/>
      <c r="BE72" s="2"/>
      <c r="BF72" s="2"/>
      <c r="BG72" s="2"/>
      <c r="BH72" s="2"/>
      <c r="BI72" s="2"/>
      <c r="BJ72" s="2"/>
      <c r="BK72" s="2"/>
    </row>
    <row r="73" spans="1:63" ht="16" outlineLevel="1">
      <c r="A73" t="s">
        <v>1497</v>
      </c>
      <c r="B73" s="54" t="s">
        <v>462</v>
      </c>
      <c r="C73" s="110">
        <f>'Propylene Recycling HC'!C86*'Propylene Recycling HC'!C$46/'Propylene Recycling LC'!C$46</f>
        <v>2.9064636138078598E-2</v>
      </c>
      <c r="D73" s="110">
        <f>'Propylene Recycling HC'!D86*'Propylene Recycling HC'!D$46/'Propylene Recycling LC'!D$46</f>
        <v>3.627188811769895E-2</v>
      </c>
      <c r="E73" s="110">
        <f>'Propylene Recycling HC'!E86*'Propylene Recycling HC'!E$46/'Propylene Recycling LC'!E$46</f>
        <v>4.3453040227764493E-2</v>
      </c>
      <c r="F73" s="110">
        <f>'Propylene Recycling HC'!F86*'Propylene Recycling HC'!F$46/'Propylene Recycling LC'!F$46</f>
        <v>5.0608092468275238E-2</v>
      </c>
      <c r="G73" s="110">
        <f>'Propylene Recycling HC'!G86*'Propylene Recycling HC'!G$46/'Propylene Recycling LC'!G$46</f>
        <v>5.7737044839231193E-2</v>
      </c>
      <c r="H73" s="110">
        <f>'Propylene Recycling HC'!H86*'Propylene Recycling HC'!H$46/'Propylene Recycling LC'!H$46</f>
        <v>6.4839897340632321E-2</v>
      </c>
      <c r="I73" s="110">
        <f>'Propylene Recycling HC'!I86*'Propylene Recycling HC'!I$46/'Propylene Recycling LC'!I$46</f>
        <v>7.191664997247868E-2</v>
      </c>
      <c r="J73" s="110">
        <f>'Propylene Recycling HC'!J86*'Propylene Recycling HC'!J$46/'Propylene Recycling LC'!J$46</f>
        <v>7.8967302734770206E-2</v>
      </c>
      <c r="K73" s="110">
        <f>'Propylene Recycling HC'!K86*'Propylene Recycling HC'!K$46/'Propylene Recycling LC'!K$46</f>
        <v>8.5991855627506941E-2</v>
      </c>
      <c r="L73" s="110">
        <f>'Propylene Recycling HC'!L86*'Propylene Recycling HC'!L$46/'Propylene Recycling LC'!L$46</f>
        <v>9.2990308650688872E-2</v>
      </c>
      <c r="M73" s="110">
        <f>'Propylene Recycling HC'!M86*'Propylene Recycling HC'!M$46/'Propylene Recycling LC'!M$46</f>
        <v>9.9962661804315983E-2</v>
      </c>
      <c r="N73" s="110">
        <f>'Propylene Recycling HC'!N86*'Propylene Recycling HC'!N$46/'Propylene Recycling LC'!N$46</f>
        <v>0.11480555072260869</v>
      </c>
      <c r="O73" s="110">
        <f>'Propylene Recycling HC'!O86*'Propylene Recycling HC'!O$46/'Propylene Recycling LC'!O$46</f>
        <v>0.12959342914660896</v>
      </c>
      <c r="P73" s="110">
        <f>'Propylene Recycling HC'!P86*'Propylene Recycling HC'!P$46/'Propylene Recycling LC'!P$46</f>
        <v>0.14447047919127814</v>
      </c>
      <c r="Q73" s="110">
        <f>'Propylene Recycling HC'!Q86*'Propylene Recycling HC'!Q$46/'Propylene Recycling LC'!Q$46</f>
        <v>0.15932152807363187</v>
      </c>
      <c r="R73" s="110">
        <f>'Propylene Recycling HC'!R86*'Propylene Recycling HC'!R$46/'Propylene Recycling LC'!R$46</f>
        <v>0.17414632448810802</v>
      </c>
      <c r="S73" s="110">
        <f>'Propylene Recycling HC'!S86*'Propylene Recycling HC'!S$46/'Propylene Recycling LC'!S$46</f>
        <v>0.18894461813036184</v>
      </c>
      <c r="T73" s="110">
        <f>'Propylene Recycling HC'!T86*'Propylene Recycling HC'!T$46/'Propylene Recycling LC'!T$46</f>
        <v>0.20371615969228471</v>
      </c>
      <c r="U73" s="110">
        <f>'Propylene Recycling HC'!U86*'Propylene Recycling HC'!U$46/'Propylene Recycling LC'!U$46</f>
        <v>0.21846070085705291</v>
      </c>
      <c r="V73" s="110">
        <f>'Propylene Recycling HC'!V86*'Propylene Recycling HC'!V$46/'Propylene Recycling LC'!V$46</f>
        <v>0.23317799429420524</v>
      </c>
      <c r="W73" s="110">
        <f>'Propylene Recycling HC'!W86*'Propylene Recycling HC'!W$46/'Propylene Recycling LC'!W$46</f>
        <v>0.24786779365475103</v>
      </c>
      <c r="X73" s="110">
        <f>'Propylene Recycling HC'!X86*'Propylene Recycling HC'!X$46/'Propylene Recycling LC'!X$46</f>
        <v>0.27254822493919728</v>
      </c>
      <c r="Y73" s="110">
        <f>'Propylene Recycling HC'!Y86*'Propylene Recycling HC'!Y$46/'Propylene Recycling LC'!Y$46</f>
        <v>0.29718276109337544</v>
      </c>
      <c r="Z73" s="110">
        <f>'Propylene Recycling HC'!Z86*'Propylene Recycling HC'!Z$46/'Propylene Recycling LC'!Z$46</f>
        <v>0.3217607456412549</v>
      </c>
      <c r="AA73" s="110">
        <f>'Propylene Recycling HC'!AA86*'Propylene Recycling HC'!AA$46/'Propylene Recycling LC'!AA$46</f>
        <v>0.34628858984459815</v>
      </c>
      <c r="AB73" s="110">
        <f>'Propylene Recycling HC'!AB86*'Propylene Recycling HC'!AB$46/'Propylene Recycling LC'!AB$46</f>
        <v>0.3707655315151499</v>
      </c>
      <c r="AC73" s="110">
        <f>'Propylene Recycling HC'!AC86*'Propylene Recycling HC'!AC$46/'Propylene Recycling LC'!AC$46</f>
        <v>0.39519082035063141</v>
      </c>
      <c r="AD73" s="110">
        <f>'Propylene Recycling HC'!AD86*'Propylene Recycling HC'!AD$46/'Propylene Recycling LC'!AD$46</f>
        <v>0.41956371770394474</v>
      </c>
      <c r="AE73" s="110">
        <f>'Propylene Recycling HC'!AE86*'Propylene Recycling HC'!AE$46/'Propylene Recycling LC'!AE$46</f>
        <v>0.44388349635773472</v>
      </c>
      <c r="AF73" s="110">
        <f>'Propylene Recycling HC'!AF86*'Propylene Recycling HC'!AF$46/'Propylene Recycling LC'!AF$46</f>
        <v>0.46814944030416189</v>
      </c>
      <c r="AG73" s="110">
        <f>'Propylene Recycling HC'!AG86*'Propylene Recycling HC'!AG$46/'Propylene Recycling LC'!AG$46</f>
        <v>0.4923608445297506</v>
      </c>
      <c r="AI73" s="133" t="s">
        <v>1314</v>
      </c>
      <c r="AJ73" s="211"/>
      <c r="AL73" s="108"/>
      <c r="AM73" s="2"/>
      <c r="AN73" s="2"/>
      <c r="AO73" s="2"/>
      <c r="AV73" s="41"/>
    </row>
    <row r="74" spans="1:63" ht="16" outlineLevel="1">
      <c r="A74" t="s">
        <v>1498</v>
      </c>
      <c r="B74" s="54" t="s">
        <v>462</v>
      </c>
      <c r="C74" s="110">
        <f>'Propylene Recycling HC'!C87*'Propylene Recycling HC'!C$46/'Propylene Recycling LC'!C$46</f>
        <v>2.3251708910462881E-3</v>
      </c>
      <c r="D74" s="110">
        <f>'Propylene Recycling HC'!D87*'Propylene Recycling HC'!D$46/'Propylene Recycling LC'!D$46</f>
        <v>3.7722763642406912E-3</v>
      </c>
      <c r="E74" s="110">
        <f>'Propylene Recycling HC'!E87*'Propylene Recycling HC'!E$46/'Propylene Recycling LC'!E$46</f>
        <v>5.5619891491538558E-3</v>
      </c>
      <c r="F74" s="110">
        <f>'Propylene Recycling HC'!F87*'Propylene Recycling HC'!F$46/'Propylene Recycling LC'!F$46</f>
        <v>7.6924300551778372E-3</v>
      </c>
      <c r="G74" s="110">
        <f>'Propylene Recycling HC'!G87*'Propylene Recycling HC'!G$46/'Propylene Recycling LC'!G$46</f>
        <v>1.0161719891704689E-2</v>
      </c>
      <c r="H74" s="110">
        <f>'Propylene Recycling HC'!H87*'Propylene Recycling HC'!H$46/'Propylene Recycling LC'!H$46</f>
        <v>1.2967979468126464E-2</v>
      </c>
      <c r="I74" s="110">
        <f>'Propylene Recycling HC'!I87*'Propylene Recycling HC'!I$46/'Propylene Recycling LC'!I$46</f>
        <v>1.6109329593835223E-2</v>
      </c>
      <c r="J74" s="110">
        <f>'Propylene Recycling HC'!J87*'Propylene Recycling HC'!J$46/'Propylene Recycling LC'!J$46</f>
        <v>1.9583891078223007E-2</v>
      </c>
      <c r="K74" s="110">
        <f>'Propylene Recycling HC'!K87*'Propylene Recycling HC'!K$46/'Propylene Recycling LC'!K$46</f>
        <v>2.338978473068188E-2</v>
      </c>
      <c r="L74" s="110">
        <f>'Propylene Recycling HC'!L87*'Propylene Recycling HC'!L$46/'Propylene Recycling LC'!L$46</f>
        <v>2.7525131360603906E-2</v>
      </c>
      <c r="M74" s="110">
        <f>'Propylene Recycling HC'!M87*'Propylene Recycling HC'!M$46/'Propylene Recycling LC'!M$46</f>
        <v>3.1988051777381114E-2</v>
      </c>
      <c r="N74" s="110">
        <f>'Propylene Recycling HC'!N87*'Propylene Recycling HC'!N$46/'Propylene Recycling LC'!N$46</f>
        <v>3.9493109448577389E-2</v>
      </c>
      <c r="O74" s="110">
        <f>'Propylene Recycling HC'!O87*'Propylene Recycling HC'!O$46/'Propylene Recycling LC'!O$46</f>
        <v>4.7690381925952104E-2</v>
      </c>
      <c r="P74" s="110">
        <f>'Propylene Recycling HC'!P87*'Propylene Recycling HC'!P$46/'Propylene Recycling LC'!P$46</f>
        <v>5.6632427842981059E-2</v>
      </c>
      <c r="Q74" s="110">
        <f>'Propylene Recycling HC'!Q87*'Propylene Recycling HC'!Q$46/'Propylene Recycling LC'!Q$46</f>
        <v>6.6277755678630881E-2</v>
      </c>
      <c r="R74" s="110">
        <f>'Propylene Recycling HC'!R87*'Propylene Recycling HC'!R$46/'Propylene Recycling LC'!R$46</f>
        <v>7.662438277476756E-2</v>
      </c>
      <c r="S74" s="110">
        <f>'Propylene Recycling HC'!S87*'Propylene Recycling HC'!S$46/'Propylene Recycling LC'!S$46</f>
        <v>8.7670302812487902E-2</v>
      </c>
      <c r="T74" s="110">
        <f>'Propylene Recycling HC'!T87*'Propylene Recycling HC'!T$46/'Propylene Recycling LC'!T$46</f>
        <v>9.9413485929834969E-2</v>
      </c>
      <c r="U74" s="110">
        <f>'Propylene Recycling HC'!U87*'Propylene Recycling HC'!U$46/'Propylene Recycling LC'!U$46</f>
        <v>0.11185187883881112</v>
      </c>
      <c r="V74" s="110">
        <f>'Propylene Recycling HC'!V87*'Propylene Recycling HC'!V$46/'Propylene Recycling LC'!V$46</f>
        <v>0.12498340494169406</v>
      </c>
      <c r="W74" s="110">
        <f>'Propylene Recycling HC'!W87*'Propylene Recycling HC'!W$46/'Propylene Recycling LC'!W$46</f>
        <v>0.1388059644466606</v>
      </c>
      <c r="X74" s="110">
        <f>'Propylene Recycling HC'!X87*'Propylene Recycling HC'!X$46/'Propylene Recycling LC'!X$46</f>
        <v>0.15916816336449122</v>
      </c>
      <c r="Y74" s="110">
        <f>'Propylene Recycling HC'!Y87*'Propylene Recycling HC'!Y$46/'Propylene Recycling LC'!Y$46</f>
        <v>0.18068711874477233</v>
      </c>
      <c r="Z74" s="110">
        <f>'Propylene Recycling HC'!Z87*'Propylene Recycling HC'!Z$46/'Propylene Recycling LC'!Z$46</f>
        <v>0.20335279124527317</v>
      </c>
      <c r="AA74" s="110">
        <f>'Propylene Recycling HC'!AA87*'Propylene Recycling HC'!AA$46/'Propylene Recycling LC'!AA$46</f>
        <v>0.22716531493805653</v>
      </c>
      <c r="AB74" s="110">
        <f>'Propylene Recycling HC'!AB87*'Propylene Recycling HC'!AB$46/'Propylene Recycling LC'!AB$46</f>
        <v>0.25212056143030204</v>
      </c>
      <c r="AC74" s="110">
        <f>'Propylene Recycling HC'!AC87*'Propylene Recycling HC'!AC$46/'Propylene Recycling LC'!AC$46</f>
        <v>0.2782143375268446</v>
      </c>
      <c r="AD74" s="110">
        <f>'Propylene Recycling HC'!AD87*'Propylene Recycling HC'!AD$46/'Propylene Recycling LC'!AD$46</f>
        <v>0.30544238648847188</v>
      </c>
      <c r="AE74" s="110">
        <f>'Propylene Recycling HC'!AE87*'Propylene Recycling HC'!AE$46/'Propylene Recycling LC'!AE$46</f>
        <v>0.33380038926101663</v>
      </c>
      <c r="AF74" s="110">
        <f>'Propylene Recycling HC'!AF87*'Propylene Recycling HC'!AF$46/'Propylene Recycling LC'!AF$46</f>
        <v>0.36328396567602983</v>
      </c>
      <c r="AG74" s="110">
        <f>'Propylene Recycling HC'!AG87*'Propylene Recycling HC'!AG$46/'Propylene Recycling LC'!AG$46</f>
        <v>0.39388867562380042</v>
      </c>
      <c r="AI74" s="133" t="s">
        <v>1314</v>
      </c>
      <c r="AJ74" s="211"/>
      <c r="AL74" s="108"/>
      <c r="AM74" s="2"/>
      <c r="AN74" s="2"/>
      <c r="AO74" s="2"/>
      <c r="AV74" s="41"/>
    </row>
    <row r="75" spans="1:63" ht="16" outlineLevel="1">
      <c r="A75" t="s">
        <v>1499</v>
      </c>
      <c r="B75" s="176" t="s">
        <v>462</v>
      </c>
      <c r="C75" s="110">
        <f>'Propylene Recycling HC'!C88*'Propylene Recycling HC'!C$46/'Propylene Recycling LC'!C$46</f>
        <v>2.6739465247032315E-2</v>
      </c>
      <c r="D75" s="110">
        <f>'Propylene Recycling HC'!D88*'Propylene Recycling HC'!D$46/'Propylene Recycling LC'!D$46</f>
        <v>3.2499611753458259E-2</v>
      </c>
      <c r="E75" s="110">
        <f>'Propylene Recycling HC'!E88*'Propylene Recycling HC'!E$46/'Propylene Recycling LC'!E$46</f>
        <v>3.7891051078610641E-2</v>
      </c>
      <c r="F75" s="110">
        <f>'Propylene Recycling HC'!F88*'Propylene Recycling HC'!F$46/'Propylene Recycling LC'!F$46</f>
        <v>4.2915662413097404E-2</v>
      </c>
      <c r="G75" s="110">
        <f>'Propylene Recycling HC'!G88*'Propylene Recycling HC'!G$46/'Propylene Recycling LC'!G$46</f>
        <v>4.7575324947526504E-2</v>
      </c>
      <c r="H75" s="110">
        <f>'Propylene Recycling HC'!H88*'Propylene Recycling HC'!H$46/'Propylene Recycling LC'!H$46</f>
        <v>5.1871917872505856E-2</v>
      </c>
      <c r="I75" s="110">
        <f>'Propylene Recycling HC'!I88*'Propylene Recycling HC'!I$46/'Propylene Recycling LC'!I$46</f>
        <v>5.580732037864345E-2</v>
      </c>
      <c r="J75" s="110">
        <f>'Propylene Recycling HC'!J88*'Propylene Recycling HC'!J$46/'Propylene Recycling LC'!J$46</f>
        <v>5.9383411656547189E-2</v>
      </c>
      <c r="K75" s="110">
        <f>'Propylene Recycling HC'!K88*'Propylene Recycling HC'!K$46/'Propylene Recycling LC'!K$46</f>
        <v>6.2602070896825054E-2</v>
      </c>
      <c r="L75" s="110">
        <f>'Propylene Recycling HC'!L88*'Propylene Recycling HC'!L$46/'Propylene Recycling LC'!L$46</f>
        <v>6.5465177290084969E-2</v>
      </c>
      <c r="M75" s="110">
        <f>'Propylene Recycling HC'!M88*'Propylene Recycling HC'!M$46/'Propylene Recycling LC'!M$46</f>
        <v>6.7974610026934862E-2</v>
      </c>
      <c r="N75" s="110">
        <f>'Propylene Recycling HC'!N88*'Propylene Recycling HC'!N$46/'Propylene Recycling LC'!N$46</f>
        <v>7.5312441274031278E-2</v>
      </c>
      <c r="O75" s="110">
        <f>'Propylene Recycling HC'!O88*'Propylene Recycling HC'!O$46/'Propylene Recycling LC'!O$46</f>
        <v>8.1903047220656847E-2</v>
      </c>
      <c r="P75" s="110">
        <f>'Propylene Recycling HC'!P88*'Propylene Recycling HC'!P$46/'Propylene Recycling LC'!P$46</f>
        <v>8.7838051348297114E-2</v>
      </c>
      <c r="Q75" s="110">
        <f>'Propylene Recycling HC'!Q88*'Propylene Recycling HC'!Q$46/'Propylene Recycling LC'!Q$46</f>
        <v>9.3043772395000987E-2</v>
      </c>
      <c r="R75" s="110">
        <f>'Propylene Recycling HC'!R88*'Propylene Recycling HC'!R$46/'Propylene Recycling LC'!R$46</f>
        <v>9.7521941713340471E-2</v>
      </c>
      <c r="S75" s="110">
        <f>'Propylene Recycling HC'!S88*'Propylene Recycling HC'!S$46/'Propylene Recycling LC'!S$46</f>
        <v>0.1012743153178739</v>
      </c>
      <c r="T75" s="110">
        <f>'Propylene Recycling HC'!T88*'Propylene Recycling HC'!T$46/'Propylene Recycling LC'!T$46</f>
        <v>0.10430267376244973</v>
      </c>
      <c r="U75" s="110">
        <f>'Propylene Recycling HC'!U88*'Propylene Recycling HC'!U$46/'Propylene Recycling LC'!U$46</f>
        <v>0.10660882201824179</v>
      </c>
      <c r="V75" s="110">
        <f>'Propylene Recycling HC'!V88*'Propylene Recycling HC'!V$46/'Propylene Recycling LC'!V$46</f>
        <v>0.10819458935251121</v>
      </c>
      <c r="W75" s="110">
        <f>'Propylene Recycling HC'!W88*'Propylene Recycling HC'!W$46/'Propylene Recycling LC'!W$46</f>
        <v>0.10906182920809042</v>
      </c>
      <c r="X75" s="110">
        <f>'Propylene Recycling HC'!X88*'Propylene Recycling HC'!X$46/'Propylene Recycling LC'!X$46</f>
        <v>0.11338006157470602</v>
      </c>
      <c r="Y75" s="110">
        <f>'Propylene Recycling HC'!Y88*'Propylene Recycling HC'!Y$46/'Propylene Recycling LC'!Y$46</f>
        <v>0.11649564234860312</v>
      </c>
      <c r="Z75" s="110">
        <f>'Propylene Recycling HC'!Z88*'Propylene Recycling HC'!Z$46/'Propylene Recycling LC'!Z$46</f>
        <v>0.11840795439598174</v>
      </c>
      <c r="AA75" s="110">
        <f>'Propylene Recycling HC'!AA88*'Propylene Recycling HC'!AA$46/'Propylene Recycling LC'!AA$46</f>
        <v>0.11912327490654168</v>
      </c>
      <c r="AB75" s="110">
        <f>'Propylene Recycling HC'!AB88*'Propylene Recycling HC'!AB$46/'Propylene Recycling LC'!AB$46</f>
        <v>0.11864497008484788</v>
      </c>
      <c r="AC75" s="110">
        <f>'Propylene Recycling HC'!AC88*'Propylene Recycling HC'!AC$46/'Propylene Recycling LC'!AC$46</f>
        <v>0.11697648282378678</v>
      </c>
      <c r="AD75" s="110">
        <f>'Propylene Recycling HC'!AD88*'Propylene Recycling HC'!AD$46/'Propylene Recycling LC'!AD$46</f>
        <v>0.11412133121547285</v>
      </c>
      <c r="AE75" s="110">
        <f>'Propylene Recycling HC'!AE88*'Propylene Recycling HC'!AE$46/'Propylene Recycling LC'!AE$46</f>
        <v>0.11008310709671805</v>
      </c>
      <c r="AF75" s="110">
        <f>'Propylene Recycling HC'!AF88*'Propylene Recycling HC'!AF$46/'Propylene Recycling LC'!AF$46</f>
        <v>0.10486547462813209</v>
      </c>
      <c r="AG75" s="110">
        <f>'Propylene Recycling HC'!AG88*'Propylene Recycling HC'!AG$46/'Propylene Recycling LC'!AG$46</f>
        <v>9.8472168905950078E-2</v>
      </c>
      <c r="AI75" s="133" t="s">
        <v>1314</v>
      </c>
      <c r="AJ75" s="211"/>
      <c r="AL75" s="108"/>
      <c r="AM75" s="2"/>
      <c r="AN75" s="2"/>
      <c r="AO75" s="2"/>
    </row>
    <row r="76" spans="1:63" ht="16" outlineLevel="1">
      <c r="A76" t="s">
        <v>1500</v>
      </c>
      <c r="B76" s="54" t="s">
        <v>462</v>
      </c>
      <c r="C76" s="110">
        <f>'Propylene Recycling HC'!C89*'Propylene Recycling HC'!C$46/'Propylene Recycling LC'!C$46</f>
        <v>1.3904521928456806E-2</v>
      </c>
      <c r="D76" s="110">
        <f>'Propylene Recycling HC'!D89*'Propylene Recycling HC'!D$46/'Propylene Recycling LC'!D$46</f>
        <v>1.6899798111798297E-2</v>
      </c>
      <c r="E76" s="110">
        <f>'Propylene Recycling HC'!E89*'Propylene Recycling HC'!E$46/'Propylene Recycling LC'!E$46</f>
        <v>1.9703346560877535E-2</v>
      </c>
      <c r="F76" s="110">
        <f>'Propylene Recycling HC'!F89*'Propylene Recycling HC'!F$46/'Propylene Recycling LC'!F$46</f>
        <v>2.2316144454810654E-2</v>
      </c>
      <c r="G76" s="110">
        <f>'Propylene Recycling HC'!G89*'Propylene Recycling HC'!G$46/'Propylene Recycling LC'!G$46</f>
        <v>2.4739168972713783E-2</v>
      </c>
      <c r="H76" s="110">
        <f>'Propylene Recycling HC'!H89*'Propylene Recycling HC'!H$46/'Propylene Recycling LC'!H$46</f>
        <v>2.6973397293703048E-2</v>
      </c>
      <c r="I76" s="110">
        <f>'Propylene Recycling HC'!I89*'Propylene Recycling HC'!I$46/'Propylene Recycling LC'!I$46</f>
        <v>2.9019806596894598E-2</v>
      </c>
      <c r="J76" s="110">
        <f>'Propylene Recycling HC'!J89*'Propylene Recycling HC'!J$46/'Propylene Recycling LC'!J$46</f>
        <v>3.0879374061404542E-2</v>
      </c>
      <c r="K76" s="110">
        <f>'Propylene Recycling HC'!K89*'Propylene Recycling HC'!K$46/'Propylene Recycling LC'!K$46</f>
        <v>3.2553076866349027E-2</v>
      </c>
      <c r="L76" s="110">
        <f>'Propylene Recycling HC'!L89*'Propylene Recycling HC'!L$46/'Propylene Recycling LC'!L$46</f>
        <v>3.4041892190844185E-2</v>
      </c>
      <c r="M76" s="110">
        <f>'Propylene Recycling HC'!M89*'Propylene Recycling HC'!M$46/'Propylene Recycling LC'!M$46</f>
        <v>3.5346797214006132E-2</v>
      </c>
      <c r="N76" s="110">
        <f>'Propylene Recycling HC'!N89*'Propylene Recycling HC'!N$46/'Propylene Recycling LC'!N$46</f>
        <v>3.9162469462496269E-2</v>
      </c>
      <c r="O76" s="110">
        <f>'Propylene Recycling HC'!O89*'Propylene Recycling HC'!O$46/'Propylene Recycling LC'!O$46</f>
        <v>4.2589584554741565E-2</v>
      </c>
      <c r="P76" s="110">
        <f>'Propylene Recycling HC'!P89*'Propylene Recycling HC'!P$46/'Propylene Recycling LC'!P$46</f>
        <v>4.5675786701114503E-2</v>
      </c>
      <c r="Q76" s="110">
        <f>'Propylene Recycling HC'!Q89*'Propylene Recycling HC'!Q$46/'Propylene Recycling LC'!Q$46</f>
        <v>4.8382761645400514E-2</v>
      </c>
      <c r="R76" s="110">
        <f>'Propylene Recycling HC'!R89*'Propylene Recycling HC'!R$46/'Propylene Recycling LC'!R$46</f>
        <v>5.0711409690937043E-2</v>
      </c>
      <c r="S76" s="110">
        <f>'Propylene Recycling HC'!S89*'Propylene Recycling HC'!S$46/'Propylene Recycling LC'!S$46</f>
        <v>5.266264396529443E-2</v>
      </c>
      <c r="T76" s="110">
        <f>'Propylene Recycling HC'!T89*'Propylene Recycling HC'!T$46/'Propylene Recycling LC'!T$46</f>
        <v>5.4237390356473854E-2</v>
      </c>
      <c r="U76" s="110">
        <f>'Propylene Recycling HC'!U89*'Propylene Recycling HC'!U$46/'Propylene Recycling LC'!U$46</f>
        <v>5.5436587449485722E-2</v>
      </c>
      <c r="V76" s="110">
        <f>'Propylene Recycling HC'!V89*'Propylene Recycling HC'!V$46/'Propylene Recycling LC'!V$46</f>
        <v>5.6261186463305829E-2</v>
      </c>
      <c r="W76" s="110">
        <f>'Propylene Recycling HC'!W89*'Propylene Recycling HC'!W$46/'Propylene Recycling LC'!W$46</f>
        <v>5.6712151188207022E-2</v>
      </c>
      <c r="X76" s="110">
        <f>'Propylene Recycling HC'!X89*'Propylene Recycling HC'!X$46/'Propylene Recycling LC'!X$46</f>
        <v>5.8957632018847121E-2</v>
      </c>
      <c r="Y76" s="110">
        <f>'Propylene Recycling HC'!Y89*'Propylene Recycling HC'!Y$46/'Propylene Recycling LC'!Y$46</f>
        <v>6.0577734021273623E-2</v>
      </c>
      <c r="Z76" s="110">
        <f>'Propylene Recycling HC'!Z89*'Propylene Recycling HC'!Z$46/'Propylene Recycling LC'!Z$46</f>
        <v>6.1572136285910496E-2</v>
      </c>
      <c r="AA76" s="110">
        <f>'Propylene Recycling HC'!AA89*'Propylene Recycling HC'!AA$46/'Propylene Recycling LC'!AA$46</f>
        <v>6.1944102951401674E-2</v>
      </c>
      <c r="AB76" s="110">
        <f>'Propylene Recycling HC'!AB89*'Propylene Recycling HC'!AB$46/'Propylene Recycling LC'!AB$46</f>
        <v>6.1695384444120899E-2</v>
      </c>
      <c r="AC76" s="110">
        <f>'Propylene Recycling HC'!AC89*'Propylene Recycling HC'!AC$46/'Propylene Recycling LC'!AC$46</f>
        <v>6.0827771068369126E-2</v>
      </c>
      <c r="AD76" s="110">
        <f>'Propylene Recycling HC'!AD89*'Propylene Recycling HC'!AD$46/'Propylene Recycling LC'!AD$46</f>
        <v>5.9343092232045883E-2</v>
      </c>
      <c r="AE76" s="110">
        <f>'Propylene Recycling HC'!AE89*'Propylene Recycling HC'!AE$46/'Propylene Recycling LC'!AE$46</f>
        <v>5.7243215690293392E-2</v>
      </c>
      <c r="AF76" s="110">
        <f>'Propylene Recycling HC'!AF89*'Propylene Recycling HC'!AF$46/'Propylene Recycling LC'!AF$46</f>
        <v>5.4530046806628693E-2</v>
      </c>
      <c r="AG76" s="110">
        <f>'Propylene Recycling HC'!AG89*'Propylene Recycling HC'!AG$46/'Propylene Recycling LC'!AG$46</f>
        <v>5.1205527831094055E-2</v>
      </c>
      <c r="AI76" s="133" t="s">
        <v>1314</v>
      </c>
      <c r="AJ76" s="211"/>
      <c r="AL76" s="108"/>
      <c r="AM76" s="2"/>
      <c r="AN76" s="2"/>
      <c r="AO76" s="2"/>
      <c r="BC76" s="1"/>
      <c r="BD76" s="2"/>
      <c r="BE76" s="2"/>
      <c r="BF76" s="2"/>
      <c r="BG76" s="2"/>
      <c r="BH76" s="2"/>
      <c r="BI76" s="2"/>
      <c r="BJ76" s="2"/>
      <c r="BK76" s="2"/>
    </row>
    <row r="77" spans="1:63" ht="16" outlineLevel="1">
      <c r="A77" t="s">
        <v>1501</v>
      </c>
      <c r="B77" s="54" t="s">
        <v>462</v>
      </c>
      <c r="C77" s="110">
        <f>'Propylene Recycling HC'!C90*'Propylene Recycling HC'!C$46/'Propylene Recycling LC'!C$46</f>
        <v>3.2087358296438774E-3</v>
      </c>
      <c r="D77" s="110">
        <f>'Propylene Recycling HC'!D90*'Propylene Recycling HC'!D$46/'Propylene Recycling LC'!D$46</f>
        <v>3.8999534104149913E-3</v>
      </c>
      <c r="E77" s="110">
        <f>'Propylene Recycling HC'!E90*'Propylene Recycling HC'!E$46/'Propylene Recycling LC'!E$46</f>
        <v>4.5469261294332772E-3</v>
      </c>
      <c r="F77" s="110">
        <f>'Propylene Recycling HC'!F90*'Propylene Recycling HC'!F$46/'Propylene Recycling LC'!F$46</f>
        <v>5.1498794895716883E-3</v>
      </c>
      <c r="G77" s="110">
        <f>'Propylene Recycling HC'!G90*'Propylene Recycling HC'!G$46/'Propylene Recycling LC'!G$46</f>
        <v>5.7090389937031801E-3</v>
      </c>
      <c r="H77" s="110">
        <f>'Propylene Recycling HC'!H90*'Propylene Recycling HC'!H$46/'Propylene Recycling LC'!H$46</f>
        <v>6.2246301447007029E-3</v>
      </c>
      <c r="I77" s="110">
        <f>'Propylene Recycling HC'!I90*'Propylene Recycling HC'!I$46/'Propylene Recycling LC'!I$46</f>
        <v>6.6968784454372156E-3</v>
      </c>
      <c r="J77" s="110">
        <f>'Propylene Recycling HC'!J90*'Propylene Recycling HC'!J$46/'Propylene Recycling LC'!J$46</f>
        <v>7.1260093987856625E-3</v>
      </c>
      <c r="K77" s="110">
        <f>'Propylene Recycling HC'!K90*'Propylene Recycling HC'!K$46/'Propylene Recycling LC'!K$46</f>
        <v>7.5122485076190059E-3</v>
      </c>
      <c r="L77" s="110">
        <f>'Propylene Recycling HC'!L90*'Propylene Recycling HC'!L$46/'Propylene Recycling LC'!L$46</f>
        <v>7.8558212748101944E-3</v>
      </c>
      <c r="M77" s="110">
        <f>'Propylene Recycling HC'!M90*'Propylene Recycling HC'!M$46/'Propylene Recycling LC'!M$46</f>
        <v>8.1569532032321843E-3</v>
      </c>
      <c r="N77" s="110">
        <f>'Propylene Recycling HC'!N90*'Propylene Recycling HC'!N$46/'Propylene Recycling LC'!N$46</f>
        <v>9.0374929528837539E-3</v>
      </c>
      <c r="O77" s="110">
        <f>'Propylene Recycling HC'!O90*'Propylene Recycling HC'!O$46/'Propylene Recycling LC'!O$46</f>
        <v>9.8283656664788221E-3</v>
      </c>
      <c r="P77" s="110">
        <f>'Propylene Recycling HC'!P90*'Propylene Recycling HC'!P$46/'Propylene Recycling LC'!P$46</f>
        <v>1.0540566161795651E-2</v>
      </c>
      <c r="Q77" s="110">
        <f>'Propylene Recycling HC'!Q90*'Propylene Recycling HC'!Q$46/'Propylene Recycling LC'!Q$46</f>
        <v>1.116525268740012E-2</v>
      </c>
      <c r="R77" s="110">
        <f>'Propylene Recycling HC'!R90*'Propylene Recycling HC'!R$46/'Propylene Recycling LC'!R$46</f>
        <v>1.1702633005600854E-2</v>
      </c>
      <c r="S77" s="110">
        <f>'Propylene Recycling HC'!S90*'Propylene Recycling HC'!S$46/'Propylene Recycling LC'!S$46</f>
        <v>1.2152917838144867E-2</v>
      </c>
      <c r="T77" s="110">
        <f>'Propylene Recycling HC'!T90*'Propylene Recycling HC'!T$46/'Propylene Recycling LC'!T$46</f>
        <v>1.2516320851493967E-2</v>
      </c>
      <c r="U77" s="110">
        <f>'Propylene Recycling HC'!U90*'Propylene Recycling HC'!U$46/'Propylene Recycling LC'!U$46</f>
        <v>1.2793058642189015E-2</v>
      </c>
      <c r="V77" s="110">
        <f>'Propylene Recycling HC'!V90*'Propylene Recycling HC'!V$46/'Propylene Recycling LC'!V$46</f>
        <v>1.2983350722301345E-2</v>
      </c>
      <c r="W77" s="110">
        <f>'Propylene Recycling HC'!W90*'Propylene Recycling HC'!W$46/'Propylene Recycling LC'!W$46</f>
        <v>1.3087419504970849E-2</v>
      </c>
      <c r="X77" s="110">
        <f>'Propylene Recycling HC'!X90*'Propylene Recycling HC'!X$46/'Propylene Recycling LC'!X$46</f>
        <v>1.360560738896472E-2</v>
      </c>
      <c r="Y77" s="110">
        <f>'Propylene Recycling HC'!Y90*'Propylene Recycling HC'!Y$46/'Propylene Recycling LC'!Y$46</f>
        <v>1.3979477081832373E-2</v>
      </c>
      <c r="Z77" s="110">
        <f>'Propylene Recycling HC'!Z90*'Propylene Recycling HC'!Z$46/'Propylene Recycling LC'!Z$46</f>
        <v>1.4208954527517808E-2</v>
      </c>
      <c r="AA77" s="110">
        <f>'Propylene Recycling HC'!AA90*'Propylene Recycling HC'!AA$46/'Propylene Recycling LC'!AA$46</f>
        <v>1.4294792988785002E-2</v>
      </c>
      <c r="AB77" s="110">
        <f>'Propylene Recycling HC'!AB90*'Propylene Recycling HC'!AB$46/'Propylene Recycling LC'!AB$46</f>
        <v>1.4237396410181744E-2</v>
      </c>
      <c r="AC77" s="110">
        <f>'Propylene Recycling HC'!AC90*'Propylene Recycling HC'!AC$46/'Propylene Recycling LC'!AC$46</f>
        <v>1.4037177938854414E-2</v>
      </c>
      <c r="AD77" s="110">
        <f>'Propylene Recycling HC'!AD90*'Propylene Recycling HC'!AD$46/'Propylene Recycling LC'!AD$46</f>
        <v>1.3694559745856739E-2</v>
      </c>
      <c r="AE77" s="110">
        <f>'Propylene Recycling HC'!AE90*'Propylene Recycling HC'!AE$46/'Propylene Recycling LC'!AE$46</f>
        <v>1.3209972851606168E-2</v>
      </c>
      <c r="AF77" s="110">
        <f>'Propylene Recycling HC'!AF90*'Propylene Recycling HC'!AF$46/'Propylene Recycling LC'!AF$46</f>
        <v>1.2583856955375849E-2</v>
      </c>
      <c r="AG77" s="110">
        <f>'Propylene Recycling HC'!AG90*'Propylene Recycling HC'!AG$46/'Propylene Recycling LC'!AG$46</f>
        <v>1.1816660268714011E-2</v>
      </c>
      <c r="AI77" s="133" t="s">
        <v>1314</v>
      </c>
      <c r="AJ77" s="211"/>
      <c r="AL77" s="108"/>
      <c r="AM77" s="2"/>
      <c r="AN77" s="2"/>
      <c r="AO77" s="2"/>
      <c r="BC77" s="1"/>
      <c r="BD77" s="2"/>
      <c r="BE77" s="2"/>
      <c r="BF77" s="2"/>
      <c r="BG77" s="2"/>
      <c r="BH77" s="2"/>
      <c r="BI77" s="2"/>
      <c r="BJ77" s="2"/>
      <c r="BK77" s="2"/>
    </row>
    <row r="78" spans="1:63" ht="16" outlineLevel="1">
      <c r="A78" t="s">
        <v>1502</v>
      </c>
      <c r="B78" s="54" t="s">
        <v>462</v>
      </c>
      <c r="C78" s="110">
        <f>'Propylene Recycling HC'!C91*'Propylene Recycling HC'!C$46/'Propylene Recycling LC'!C$46</f>
        <v>9.6262074889316325E-3</v>
      </c>
      <c r="D78" s="110">
        <f>'Propylene Recycling HC'!D91*'Propylene Recycling HC'!D$46/'Propylene Recycling LC'!D$46</f>
        <v>1.1699860231244974E-2</v>
      </c>
      <c r="E78" s="110">
        <f>'Propylene Recycling HC'!E91*'Propylene Recycling HC'!E$46/'Propylene Recycling LC'!E$46</f>
        <v>1.3640778388299831E-2</v>
      </c>
      <c r="F78" s="110">
        <f>'Propylene Recycling HC'!F91*'Propylene Recycling HC'!F$46/'Propylene Recycling LC'!F$46</f>
        <v>1.5449638468715067E-2</v>
      </c>
      <c r="G78" s="110">
        <f>'Propylene Recycling HC'!G91*'Propylene Recycling HC'!G$46/'Propylene Recycling LC'!G$46</f>
        <v>1.7127116981109542E-2</v>
      </c>
      <c r="H78" s="110">
        <f>'Propylene Recycling HC'!H91*'Propylene Recycling HC'!H$46/'Propylene Recycling LC'!H$46</f>
        <v>1.867389043410211E-2</v>
      </c>
      <c r="I78" s="110">
        <f>'Propylene Recycling HC'!I91*'Propylene Recycling HC'!I$46/'Propylene Recycling LC'!I$46</f>
        <v>2.0090635336311644E-2</v>
      </c>
      <c r="J78" s="110">
        <f>'Propylene Recycling HC'!J91*'Propylene Recycling HC'!J$46/'Propylene Recycling LC'!J$46</f>
        <v>2.1378028196356987E-2</v>
      </c>
      <c r="K78" s="110">
        <f>'Propylene Recycling HC'!K91*'Propylene Recycling HC'!K$46/'Propylene Recycling LC'!K$46</f>
        <v>2.2536745522857018E-2</v>
      </c>
      <c r="L78" s="110">
        <f>'Propylene Recycling HC'!L91*'Propylene Recycling HC'!L$46/'Propylene Recycling LC'!L$46</f>
        <v>2.3567463824430587E-2</v>
      </c>
      <c r="M78" s="110">
        <f>'Propylene Recycling HC'!M91*'Propylene Recycling HC'!M$46/'Propylene Recycling LC'!M$46</f>
        <v>2.4470859609696551E-2</v>
      </c>
      <c r="N78" s="110">
        <f>'Propylene Recycling HC'!N91*'Propylene Recycling HC'!N$46/'Propylene Recycling LC'!N$46</f>
        <v>2.7112478858651264E-2</v>
      </c>
      <c r="O78" s="110">
        <f>'Propylene Recycling HC'!O91*'Propylene Recycling HC'!O$46/'Propylene Recycling LC'!O$46</f>
        <v>2.9485096999436463E-2</v>
      </c>
      <c r="P78" s="110">
        <f>'Propylene Recycling HC'!P91*'Propylene Recycling HC'!P$46/'Propylene Recycling LC'!P$46</f>
        <v>3.1621698485386956E-2</v>
      </c>
      <c r="Q78" s="110">
        <f>'Propylene Recycling HC'!Q91*'Propylene Recycling HC'!Q$46/'Propylene Recycling LC'!Q$46</f>
        <v>3.3495758062200356E-2</v>
      </c>
      <c r="R78" s="110">
        <f>'Propylene Recycling HC'!R91*'Propylene Recycling HC'!R$46/'Propylene Recycling LC'!R$46</f>
        <v>3.5107899016802564E-2</v>
      </c>
      <c r="S78" s="110">
        <f>'Propylene Recycling HC'!S91*'Propylene Recycling HC'!S$46/'Propylene Recycling LC'!S$46</f>
        <v>3.6458753514434603E-2</v>
      </c>
      <c r="T78" s="110">
        <f>'Propylene Recycling HC'!T91*'Propylene Recycling HC'!T$46/'Propylene Recycling LC'!T$46</f>
        <v>3.7548962554481903E-2</v>
      </c>
      <c r="U78" s="110">
        <f>'Propylene Recycling HC'!U91*'Propylene Recycling HC'!U$46/'Propylene Recycling LC'!U$46</f>
        <v>3.8379175926567047E-2</v>
      </c>
      <c r="V78" s="110">
        <f>'Propylene Recycling HC'!V91*'Propylene Recycling HC'!V$46/'Propylene Recycling LC'!V$46</f>
        <v>3.8950052166904031E-2</v>
      </c>
      <c r="W78" s="110">
        <f>'Propylene Recycling HC'!W91*'Propylene Recycling HC'!W$46/'Propylene Recycling LC'!W$46</f>
        <v>3.9262258514912544E-2</v>
      </c>
      <c r="X78" s="110">
        <f>'Propylene Recycling HC'!X91*'Propylene Recycling HC'!X$46/'Propylene Recycling LC'!X$46</f>
        <v>4.0816822166894161E-2</v>
      </c>
      <c r="Y78" s="110">
        <f>'Propylene Recycling HC'!Y91*'Propylene Recycling HC'!Y$46/'Propylene Recycling LC'!Y$46</f>
        <v>4.1938431245497121E-2</v>
      </c>
      <c r="Z78" s="110">
        <f>'Propylene Recycling HC'!Z91*'Propylene Recycling HC'!Z$46/'Propylene Recycling LC'!Z$46</f>
        <v>4.2626863582553423E-2</v>
      </c>
      <c r="AA78" s="110">
        <f>'Propylene Recycling HC'!AA91*'Propylene Recycling HC'!AA$46/'Propylene Recycling LC'!AA$46</f>
        <v>4.2884378966355004E-2</v>
      </c>
      <c r="AB78" s="110">
        <f>'Propylene Recycling HC'!AB91*'Propylene Recycling HC'!AB$46/'Propylene Recycling LC'!AB$46</f>
        <v>4.2712189230545226E-2</v>
      </c>
      <c r="AC78" s="110">
        <f>'Propylene Recycling HC'!AC91*'Propylene Recycling HC'!AC$46/'Propylene Recycling LC'!AC$46</f>
        <v>4.211153381656324E-2</v>
      </c>
      <c r="AD78" s="110">
        <f>'Propylene Recycling HC'!AD91*'Propylene Recycling HC'!AD$46/'Propylene Recycling LC'!AD$46</f>
        <v>4.1083679237570218E-2</v>
      </c>
      <c r="AE78" s="110">
        <f>'Propylene Recycling HC'!AE91*'Propylene Recycling HC'!AE$46/'Propylene Recycling LC'!AE$46</f>
        <v>3.9629918554818497E-2</v>
      </c>
      <c r="AF78" s="110">
        <f>'Propylene Recycling HC'!AF91*'Propylene Recycling HC'!AF$46/'Propylene Recycling LC'!AF$46</f>
        <v>3.7751570866127557E-2</v>
      </c>
      <c r="AG78" s="110">
        <f>'Propylene Recycling HC'!AG91*'Propylene Recycling HC'!AG$46/'Propylene Recycling LC'!AG$46</f>
        <v>3.5449980806142034E-2</v>
      </c>
      <c r="AI78" s="133" t="s">
        <v>1314</v>
      </c>
      <c r="AJ78" s="211"/>
      <c r="AL78" s="108"/>
      <c r="AM78" s="2"/>
      <c r="AN78" s="2"/>
      <c r="AO78" s="2"/>
      <c r="BC78" s="1"/>
      <c r="BD78" s="2"/>
      <c r="BE78" s="2"/>
      <c r="BF78" s="2"/>
      <c r="BG78" s="2"/>
      <c r="BH78" s="2"/>
      <c r="BI78" s="2"/>
      <c r="BJ78" s="2"/>
      <c r="BK78" s="2"/>
    </row>
    <row r="79" spans="1:63" outlineLevel="1">
      <c r="C79" s="110"/>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J79" s="211"/>
      <c r="AM79" s="123"/>
      <c r="AN79" s="123"/>
    </row>
    <row r="80" spans="1:63" s="200" customFormat="1" ht="16" thickBot="1">
      <c r="A80" s="200" t="s">
        <v>1339</v>
      </c>
      <c r="B80" s="215"/>
      <c r="C80" s="224">
        <f>'Propylene Recycling HC'!C93</f>
        <v>0.13</v>
      </c>
      <c r="D80" s="224">
        <f>'Propylene Recycling HC'!D93</f>
        <v>0.13557711853523402</v>
      </c>
      <c r="E80" s="224">
        <f>'Propylene Recycling HC'!E93</f>
        <v>0.14115423707046801</v>
      </c>
      <c r="F80" s="224">
        <f>'Propylene Recycling HC'!F93</f>
        <v>0.14673135560570202</v>
      </c>
      <c r="G80" s="224">
        <f>'Propylene Recycling HC'!G93</f>
        <v>0.15230847414093604</v>
      </c>
      <c r="H80" s="224">
        <f>'Propylene Recycling HC'!H93</f>
        <v>0.15788559267617003</v>
      </c>
      <c r="I80" s="224">
        <f>'Propylene Recycling HC'!I93</f>
        <v>0.16346271121140404</v>
      </c>
      <c r="J80" s="224">
        <f>'Propylene Recycling HC'!J93</f>
        <v>0.16903982974663806</v>
      </c>
      <c r="K80" s="224">
        <f>'Propylene Recycling HC'!K93</f>
        <v>0.17461694828187208</v>
      </c>
      <c r="L80" s="224">
        <f>'Propylene Recycling HC'!L93</f>
        <v>0.18019406681710606</v>
      </c>
      <c r="M80" s="224">
        <f>'Propylene Recycling HC'!M93</f>
        <v>0.18577118535234008</v>
      </c>
      <c r="N80" s="224">
        <f>'Propylene Recycling HC'!N93</f>
        <v>0.19752603518814099</v>
      </c>
      <c r="O80" s="224">
        <f>'Propylene Recycling HC'!O93</f>
        <v>0.20928088502394188</v>
      </c>
      <c r="P80" s="224">
        <f>'Propylene Recycling HC'!P93</f>
        <v>0.22103573485974279</v>
      </c>
      <c r="Q80" s="224">
        <f>'Propylene Recycling HC'!Q93</f>
        <v>0.2327905846955437</v>
      </c>
      <c r="R80" s="224">
        <f>'Propylene Recycling HC'!R93</f>
        <v>0.24454543453134459</v>
      </c>
      <c r="S80" s="224">
        <f>'Propylene Recycling HC'!S93</f>
        <v>0.25630028436714547</v>
      </c>
      <c r="T80" s="224">
        <f>'Propylene Recycling HC'!T93</f>
        <v>0.26805513420294641</v>
      </c>
      <c r="U80" s="224">
        <f>'Propylene Recycling HC'!U93</f>
        <v>0.27980998403874729</v>
      </c>
      <c r="V80" s="224">
        <f>'Propylene Recycling HC'!V93</f>
        <v>0.29156483387454823</v>
      </c>
      <c r="W80" s="224">
        <f>'Propylene Recycling HC'!W93</f>
        <v>0.30331968371034912</v>
      </c>
      <c r="X80" s="224">
        <f>'Propylene Recycling HC'!X93</f>
        <v>0.3229877153393142</v>
      </c>
      <c r="Y80" s="224">
        <f>'Propylene Recycling HC'!Y93</f>
        <v>0.34265574696827927</v>
      </c>
      <c r="Z80" s="224">
        <f>'Propylene Recycling HC'!Z93</f>
        <v>0.36232377859724441</v>
      </c>
      <c r="AA80" s="224">
        <f>'Propylene Recycling HC'!AA93</f>
        <v>0.38199181022620948</v>
      </c>
      <c r="AB80" s="224">
        <f>'Propylene Recycling HC'!AB93</f>
        <v>0.40165984185517456</v>
      </c>
      <c r="AC80" s="224">
        <f>'Propylene Recycling HC'!AC93</f>
        <v>0.42132787348413964</v>
      </c>
      <c r="AD80" s="224">
        <f>'Propylene Recycling HC'!AD93</f>
        <v>0.44099590511310471</v>
      </c>
      <c r="AE80" s="224">
        <f>'Propylene Recycling HC'!AE93</f>
        <v>0.46066393674206985</v>
      </c>
      <c r="AF80" s="224">
        <f>'Propylene Recycling HC'!AF93</f>
        <v>0.48033196837103487</v>
      </c>
      <c r="AG80" s="224">
        <f>'Propylene Recycling HC'!AG93</f>
        <v>0.5</v>
      </c>
      <c r="AJ80" s="231" t="s">
        <v>1340</v>
      </c>
      <c r="AL80" s="217"/>
      <c r="AM80" s="225"/>
      <c r="AN80" s="225"/>
      <c r="AO80" s="225"/>
    </row>
    <row r="81" spans="1:41" ht="16" outlineLevel="1" thickTop="1">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J81" s="211"/>
    </row>
    <row r="82" spans="1:41" s="200" customFormat="1" ht="16" thickBot="1">
      <c r="A82" s="200" t="s">
        <v>1347</v>
      </c>
      <c r="B82" s="215"/>
      <c r="C82" s="224">
        <f>C83</f>
        <v>1.6E-2</v>
      </c>
      <c r="D82" s="224">
        <f t="shared" ref="D82:AG82" si="28">D83</f>
        <v>2.3295473975819624E-2</v>
      </c>
      <c r="E82" s="224">
        <f t="shared" si="28"/>
        <v>3.059094795163924E-2</v>
      </c>
      <c r="F82" s="224">
        <f t="shared" si="28"/>
        <v>3.7886421927458863E-2</v>
      </c>
      <c r="G82" s="224">
        <f t="shared" si="28"/>
        <v>4.5181895903278486E-2</v>
      </c>
      <c r="H82" s="224">
        <f t="shared" si="28"/>
        <v>5.2477369879098103E-2</v>
      </c>
      <c r="I82" s="224">
        <f t="shared" si="28"/>
        <v>5.9772843854917726E-2</v>
      </c>
      <c r="J82" s="224">
        <f t="shared" si="28"/>
        <v>6.7068317830737342E-2</v>
      </c>
      <c r="K82" s="224">
        <f t="shared" si="28"/>
        <v>7.4363791806556973E-2</v>
      </c>
      <c r="L82" s="224">
        <f t="shared" si="28"/>
        <v>8.1659265782376589E-2</v>
      </c>
      <c r="M82" s="224">
        <f t="shared" si="28"/>
        <v>8.8954739758196205E-2</v>
      </c>
      <c r="N82" s="224">
        <f t="shared" si="28"/>
        <v>0.10433135413800063</v>
      </c>
      <c r="O82" s="224">
        <f t="shared" si="28"/>
        <v>0.11970796851780505</v>
      </c>
      <c r="P82" s="224">
        <f t="shared" si="28"/>
        <v>0.1350845828976095</v>
      </c>
      <c r="Q82" s="224">
        <f t="shared" si="28"/>
        <v>0.15046119727741392</v>
      </c>
      <c r="R82" s="224">
        <f t="shared" si="28"/>
        <v>0.16583781165721834</v>
      </c>
      <c r="S82" s="224">
        <f t="shared" si="28"/>
        <v>0.18121442603702276</v>
      </c>
      <c r="T82" s="224">
        <f t="shared" si="28"/>
        <v>0.19659104041682718</v>
      </c>
      <c r="U82" s="224">
        <f t="shared" si="28"/>
        <v>0.2119676547966316</v>
      </c>
      <c r="V82" s="224">
        <f t="shared" si="28"/>
        <v>0.22734426917643602</v>
      </c>
      <c r="W82" s="224">
        <f t="shared" si="28"/>
        <v>0.24272088355624044</v>
      </c>
      <c r="X82" s="224">
        <f t="shared" si="28"/>
        <v>0.26844879520061637</v>
      </c>
      <c r="Y82" s="224">
        <f t="shared" si="28"/>
        <v>0.29417670684499236</v>
      </c>
      <c r="Z82" s="224">
        <f t="shared" si="28"/>
        <v>0.3199046184893683</v>
      </c>
      <c r="AA82" s="224">
        <f t="shared" si="28"/>
        <v>0.34563253013374429</v>
      </c>
      <c r="AB82" s="224">
        <f t="shared" si="28"/>
        <v>0.37136044177812022</v>
      </c>
      <c r="AC82" s="224">
        <f t="shared" si="28"/>
        <v>0.39708835342249615</v>
      </c>
      <c r="AD82" s="224">
        <f t="shared" si="28"/>
        <v>0.42281626506687209</v>
      </c>
      <c r="AE82" s="224">
        <f t="shared" si="28"/>
        <v>0.44854417671124808</v>
      </c>
      <c r="AF82" s="224">
        <f t="shared" si="28"/>
        <v>0.47427208835562407</v>
      </c>
      <c r="AG82" s="224">
        <f t="shared" si="28"/>
        <v>0.5</v>
      </c>
      <c r="AJ82" s="231" t="s">
        <v>1491</v>
      </c>
      <c r="AL82" s="217"/>
      <c r="AM82" s="225"/>
      <c r="AN82" s="225"/>
      <c r="AO82" s="225"/>
    </row>
    <row r="83" spans="1:41" ht="17" outlineLevel="1" thickTop="1">
      <c r="A83" t="s">
        <v>1348</v>
      </c>
      <c r="B83" s="54" t="s">
        <v>462</v>
      </c>
      <c r="C83" s="110">
        <f>'Propylene Recycling HC'!C108*'Propylene Recycling HC'!C$47/'Propylene Recycling LC'!C$47</f>
        <v>1.6E-2</v>
      </c>
      <c r="D83" s="110">
        <f>'Propylene Recycling HC'!D108*'Propylene Recycling HC'!D$47/'Propylene Recycling LC'!D$47</f>
        <v>2.3295473975819624E-2</v>
      </c>
      <c r="E83" s="110">
        <f>'Propylene Recycling HC'!E108*'Propylene Recycling HC'!E$47/'Propylene Recycling LC'!E$47</f>
        <v>3.059094795163924E-2</v>
      </c>
      <c r="F83" s="110">
        <f>'Propylene Recycling HC'!F108*'Propylene Recycling HC'!F$47/'Propylene Recycling LC'!F$47</f>
        <v>3.7886421927458863E-2</v>
      </c>
      <c r="G83" s="110">
        <f>'Propylene Recycling HC'!G108*'Propylene Recycling HC'!G$47/'Propylene Recycling LC'!G$47</f>
        <v>4.5181895903278486E-2</v>
      </c>
      <c r="H83" s="110">
        <f>'Propylene Recycling HC'!H108*'Propylene Recycling HC'!H$47/'Propylene Recycling LC'!H$47</f>
        <v>5.2477369879098103E-2</v>
      </c>
      <c r="I83" s="110">
        <f>'Propylene Recycling HC'!I108*'Propylene Recycling HC'!I$47/'Propylene Recycling LC'!I$47</f>
        <v>5.9772843854917726E-2</v>
      </c>
      <c r="J83" s="110">
        <f>'Propylene Recycling HC'!J108*'Propylene Recycling HC'!J$47/'Propylene Recycling LC'!J$47</f>
        <v>6.7068317830737342E-2</v>
      </c>
      <c r="K83" s="110">
        <f>'Propylene Recycling HC'!K108*'Propylene Recycling HC'!K$47/'Propylene Recycling LC'!K$47</f>
        <v>7.4363791806556973E-2</v>
      </c>
      <c r="L83" s="110">
        <f>'Propylene Recycling HC'!L108*'Propylene Recycling HC'!L$47/'Propylene Recycling LC'!L$47</f>
        <v>8.1659265782376589E-2</v>
      </c>
      <c r="M83" s="110">
        <f>'Propylene Recycling HC'!M108*'Propylene Recycling HC'!M$47/'Propylene Recycling LC'!M$47</f>
        <v>8.8954739758196205E-2</v>
      </c>
      <c r="N83" s="110">
        <f>'Propylene Recycling HC'!N108*'Propylene Recycling HC'!N$47/'Propylene Recycling LC'!N$47</f>
        <v>0.10433135413800063</v>
      </c>
      <c r="O83" s="110">
        <f>'Propylene Recycling HC'!O108*'Propylene Recycling HC'!O$47/'Propylene Recycling LC'!O$47</f>
        <v>0.11970796851780505</v>
      </c>
      <c r="P83" s="110">
        <f>'Propylene Recycling HC'!P108*'Propylene Recycling HC'!P$47/'Propylene Recycling LC'!P$47</f>
        <v>0.1350845828976095</v>
      </c>
      <c r="Q83" s="110">
        <f>'Propylene Recycling HC'!Q108*'Propylene Recycling HC'!Q$47/'Propylene Recycling LC'!Q$47</f>
        <v>0.15046119727741392</v>
      </c>
      <c r="R83" s="110">
        <f>'Propylene Recycling HC'!R108*'Propylene Recycling HC'!R$47/'Propylene Recycling LC'!R$47</f>
        <v>0.16583781165721834</v>
      </c>
      <c r="S83" s="110">
        <f>'Propylene Recycling HC'!S108*'Propylene Recycling HC'!S$47/'Propylene Recycling LC'!S$47</f>
        <v>0.18121442603702276</v>
      </c>
      <c r="T83" s="110">
        <f>'Propylene Recycling HC'!T108*'Propylene Recycling HC'!T$47/'Propylene Recycling LC'!T$47</f>
        <v>0.19659104041682718</v>
      </c>
      <c r="U83" s="110">
        <f>'Propylene Recycling HC'!U108*'Propylene Recycling HC'!U$47/'Propylene Recycling LC'!U$47</f>
        <v>0.2119676547966316</v>
      </c>
      <c r="V83" s="110">
        <f>'Propylene Recycling HC'!V108*'Propylene Recycling HC'!V$47/'Propylene Recycling LC'!V$47</f>
        <v>0.22734426917643602</v>
      </c>
      <c r="W83" s="110">
        <f>'Propylene Recycling HC'!W108*'Propylene Recycling HC'!W$47/'Propylene Recycling LC'!W$47</f>
        <v>0.24272088355624044</v>
      </c>
      <c r="X83" s="110">
        <f>'Propylene Recycling HC'!X108*'Propylene Recycling HC'!X$47/'Propylene Recycling LC'!X$47</f>
        <v>0.26844879520061637</v>
      </c>
      <c r="Y83" s="110">
        <f>'Propylene Recycling HC'!Y108*'Propylene Recycling HC'!Y$47/'Propylene Recycling LC'!Y$47</f>
        <v>0.29417670684499236</v>
      </c>
      <c r="Z83" s="110">
        <f>'Propylene Recycling HC'!Z108*'Propylene Recycling HC'!Z$47/'Propylene Recycling LC'!Z$47</f>
        <v>0.3199046184893683</v>
      </c>
      <c r="AA83" s="110">
        <f>'Propylene Recycling HC'!AA108*'Propylene Recycling HC'!AA$47/'Propylene Recycling LC'!AA$47</f>
        <v>0.34563253013374429</v>
      </c>
      <c r="AB83" s="110">
        <f>'Propylene Recycling HC'!AB108*'Propylene Recycling HC'!AB$47/'Propylene Recycling LC'!AB$47</f>
        <v>0.37136044177812022</v>
      </c>
      <c r="AC83" s="110">
        <f>'Propylene Recycling HC'!AC108*'Propylene Recycling HC'!AC$47/'Propylene Recycling LC'!AC$47</f>
        <v>0.39708835342249615</v>
      </c>
      <c r="AD83" s="110">
        <f>'Propylene Recycling HC'!AD108*'Propylene Recycling HC'!AD$47/'Propylene Recycling LC'!AD$47</f>
        <v>0.42281626506687209</v>
      </c>
      <c r="AE83" s="110">
        <f>'Propylene Recycling HC'!AE108*'Propylene Recycling HC'!AE$47/'Propylene Recycling LC'!AE$47</f>
        <v>0.44854417671124808</v>
      </c>
      <c r="AF83" s="110">
        <f>'Propylene Recycling HC'!AF108*'Propylene Recycling HC'!AF$47/'Propylene Recycling LC'!AF$47</f>
        <v>0.47427208835562407</v>
      </c>
      <c r="AG83" s="110">
        <f>'Propylene Recycling HC'!AG108*'Propylene Recycling HC'!AG$47/'Propylene Recycling LC'!AG$47</f>
        <v>0.5</v>
      </c>
      <c r="AI83" s="133" t="s">
        <v>1314</v>
      </c>
      <c r="AJ83" s="211" t="s">
        <v>1349</v>
      </c>
    </row>
    <row r="84" spans="1:41" outlineLevel="1">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J84" s="211"/>
    </row>
    <row r="85" spans="1:41" ht="16" outlineLevel="1">
      <c r="A85" t="s">
        <v>1503</v>
      </c>
      <c r="B85" s="54" t="s">
        <v>462</v>
      </c>
      <c r="C85" s="110">
        <f>'Propylene Recycling HC'!C111*'Propylene Recycling HC'!C$47/'Propylene Recycling LC'!C$47</f>
        <v>5.878360653438313E-3</v>
      </c>
      <c r="D85" s="110">
        <f>'Propylene Recycling HC'!D111*'Propylene Recycling HC'!D$47/'Propylene Recycling LC'!D$47</f>
        <v>8.8946224957238834E-3</v>
      </c>
      <c r="E85" s="110">
        <f>'Propylene Recycling HC'!E111*'Propylene Recycling HC'!E$47/'Propylene Recycling LC'!E$47</f>
        <v>1.2121287003521325E-2</v>
      </c>
      <c r="F85" s="110">
        <f>'Propylene Recycling HC'!F111*'Propylene Recycling HC'!F$47/'Propylene Recycling LC'!F$47</f>
        <v>1.5558354176830647E-2</v>
      </c>
      <c r="G85" s="110">
        <f>'Propylene Recycling HC'!G111*'Propylene Recycling HC'!G$47/'Propylene Recycling LC'!G$47</f>
        <v>1.9205824015651841E-2</v>
      </c>
      <c r="H85" s="110">
        <f>'Propylene Recycling HC'!H111*'Propylene Recycling HC'!H$47/'Propylene Recycling LC'!H$47</f>
        <v>2.3063696519984914E-2</v>
      </c>
      <c r="I85" s="110">
        <f>'Propylene Recycling HC'!I111*'Propylene Recycling HC'!I$47/'Propylene Recycling LC'!I$47</f>
        <v>2.7131971689829851E-2</v>
      </c>
      <c r="J85" s="110">
        <f>'Propylene Recycling HC'!J111*'Propylene Recycling HC'!J$47/'Propylene Recycling LC'!J$47</f>
        <v>3.1410649525186671E-2</v>
      </c>
      <c r="K85" s="110">
        <f>'Propylene Recycling HC'!K111*'Propylene Recycling HC'!K$47/'Propylene Recycling LC'!K$47</f>
        <v>3.5899730026055364E-2</v>
      </c>
      <c r="L85" s="110">
        <f>'Propylene Recycling HC'!L111*'Propylene Recycling HC'!L$47/'Propylene Recycling LC'!L$47</f>
        <v>4.059921319243593E-2</v>
      </c>
      <c r="M85" s="110">
        <f>'Propylene Recycling HC'!M111*'Propylene Recycling HC'!M$47/'Propylene Recycling LC'!M$47</f>
        <v>4.5509099024328384E-2</v>
      </c>
      <c r="N85" s="110">
        <f>'Propylene Recycling HC'!N111*'Propylene Recycling HC'!N$47/'Propylene Recycling LC'!N$47</f>
        <v>5.4880216410918656E-2</v>
      </c>
      <c r="O85" s="110">
        <f>'Propylene Recycling HC'!O111*'Propylene Recycling HC'!O$47/'Propylene Recycling LC'!O$47</f>
        <v>6.4694797877126273E-2</v>
      </c>
      <c r="P85" s="110">
        <f>'Propylene Recycling HC'!P111*'Propylene Recycling HC'!P$47/'Propylene Recycling LC'!P$47</f>
        <v>7.4952843422951235E-2</v>
      </c>
      <c r="Q85" s="110">
        <f>'Propylene Recycling HC'!Q111*'Propylene Recycling HC'!Q$47/'Propylene Recycling LC'!Q$47</f>
        <v>8.5654353048393514E-2</v>
      </c>
      <c r="R85" s="110">
        <f>'Propylene Recycling HC'!R111*'Propylene Recycling HC'!R$47/'Propylene Recycling LC'!R$47</f>
        <v>9.6799326753453138E-2</v>
      </c>
      <c r="S85" s="110">
        <f>'Propylene Recycling HC'!S111*'Propylene Recycling HC'!S$47/'Propylene Recycling LC'!S$47</f>
        <v>0.10838776453813009</v>
      </c>
      <c r="T85" s="110">
        <f>'Propylene Recycling HC'!T111*'Propylene Recycling HC'!T$47/'Propylene Recycling LC'!T$47</f>
        <v>0.12041966640242438</v>
      </c>
      <c r="U85" s="110">
        <f>'Propylene Recycling HC'!U111*'Propylene Recycling HC'!U$47/'Propylene Recycling LC'!U$47</f>
        <v>0.13289503234633601</v>
      </c>
      <c r="V85" s="110">
        <f>'Propylene Recycling HC'!V111*'Propylene Recycling HC'!V$47/'Propylene Recycling LC'!V$47</f>
        <v>0.14581386236986496</v>
      </c>
      <c r="W85" s="110">
        <f>'Propylene Recycling HC'!W111*'Propylene Recycling HC'!W$47/'Propylene Recycling LC'!W$47</f>
        <v>0.15917615647301125</v>
      </c>
      <c r="X85" s="110">
        <f>'Propylene Recycling HC'!X111*'Propylene Recycling HC'!X$47/'Propylene Recycling LC'!X$47</f>
        <v>0.17991955347178681</v>
      </c>
      <c r="Y85" s="110">
        <f>'Propylene Recycling HC'!Y111*'Propylene Recycling HC'!Y$47/'Propylene Recycling LC'!Y$47</f>
        <v>0.20140494766032316</v>
      </c>
      <c r="Z85" s="110">
        <f>'Propylene Recycling HC'!Z111*'Propylene Recycling HC'!Z$47/'Propylene Recycling LC'!Z$47</f>
        <v>0.22363233903862018</v>
      </c>
      <c r="AA85" s="110">
        <f>'Propylene Recycling HC'!AA111*'Propylene Recycling HC'!AA$47/'Propylene Recycling LC'!AA$47</f>
        <v>0.24660172760667798</v>
      </c>
      <c r="AB85" s="110">
        <f>'Propylene Recycling HC'!AB111*'Propylene Recycling HC'!AB$47/'Propylene Recycling LC'!AB$47</f>
        <v>0.27031311336449648</v>
      </c>
      <c r="AC85" s="110">
        <f>'Propylene Recycling HC'!AC111*'Propylene Recycling HC'!AC$47/'Propylene Recycling LC'!AC$47</f>
        <v>0.29476649631207569</v>
      </c>
      <c r="AD85" s="110">
        <f>'Propylene Recycling HC'!AD111*'Propylene Recycling HC'!AD$47/'Propylene Recycling LC'!AD$47</f>
        <v>0.31996187644941559</v>
      </c>
      <c r="AE85" s="110">
        <f>'Propylene Recycling HC'!AE111*'Propylene Recycling HC'!AE$47/'Propylene Recycling LC'!AE$47</f>
        <v>0.34589925377651631</v>
      </c>
      <c r="AF85" s="110">
        <f>'Propylene Recycling HC'!AF111*'Propylene Recycling HC'!AF$47/'Propylene Recycling LC'!AF$47</f>
        <v>0.37257862829337779</v>
      </c>
      <c r="AG85" s="110">
        <f>'Propylene Recycling HC'!AG111*'Propylene Recycling HC'!AG$47/'Propylene Recycling LC'!AG$47</f>
        <v>0.4</v>
      </c>
      <c r="AI85" s="133" t="s">
        <v>1314</v>
      </c>
      <c r="AJ85" s="211" t="s">
        <v>1349</v>
      </c>
    </row>
    <row r="86" spans="1:41" outlineLevel="1">
      <c r="AJ86" s="211"/>
    </row>
    <row r="87" spans="1:41" s="200" customFormat="1" ht="16" thickBot="1">
      <c r="A87" s="200" t="s">
        <v>1351</v>
      </c>
      <c r="B87" s="215"/>
      <c r="C87" s="224">
        <f>C88</f>
        <v>0.05</v>
      </c>
      <c r="D87" s="224">
        <f t="shared" ref="D87:AG87" si="29">D88</f>
        <v>5.2260994000770548E-2</v>
      </c>
      <c r="E87" s="224">
        <f t="shared" si="29"/>
        <v>5.4521988001541094E-2</v>
      </c>
      <c r="F87" s="224">
        <f t="shared" si="29"/>
        <v>5.6782982002311633E-2</v>
      </c>
      <c r="G87" s="224">
        <f t="shared" si="29"/>
        <v>5.9043976003082171E-2</v>
      </c>
      <c r="H87" s="224">
        <f t="shared" si="29"/>
        <v>6.1304970003852717E-2</v>
      </c>
      <c r="I87" s="224">
        <f t="shared" si="29"/>
        <v>6.3565964004623277E-2</v>
      </c>
      <c r="J87" s="224">
        <f t="shared" si="29"/>
        <v>6.5826958005393815E-2</v>
      </c>
      <c r="K87" s="224">
        <f t="shared" si="29"/>
        <v>6.8087952006164354E-2</v>
      </c>
      <c r="L87" s="224">
        <f t="shared" si="29"/>
        <v>7.0348946006934907E-2</v>
      </c>
      <c r="M87" s="224">
        <f t="shared" si="29"/>
        <v>7.2609940007705445E-2</v>
      </c>
      <c r="N87" s="224">
        <f t="shared" si="29"/>
        <v>7.7375419670867973E-2</v>
      </c>
      <c r="O87" s="224">
        <f t="shared" si="29"/>
        <v>8.2140899334030501E-2</v>
      </c>
      <c r="P87" s="224">
        <f t="shared" si="29"/>
        <v>8.6906378997193029E-2</v>
      </c>
      <c r="Q87" s="224">
        <f t="shared" si="29"/>
        <v>9.1671858660355571E-2</v>
      </c>
      <c r="R87" s="224">
        <f t="shared" si="29"/>
        <v>9.6437338323518085E-2</v>
      </c>
      <c r="S87" s="224">
        <f t="shared" si="29"/>
        <v>0.10120281798668061</v>
      </c>
      <c r="T87" s="224">
        <f t="shared" si="29"/>
        <v>0.10596829764984315</v>
      </c>
      <c r="U87" s="224">
        <f t="shared" si="29"/>
        <v>0.11073377731300567</v>
      </c>
      <c r="V87" s="224">
        <f t="shared" si="29"/>
        <v>0.1154992569761682</v>
      </c>
      <c r="W87" s="224">
        <f t="shared" si="29"/>
        <v>0.12026473663933072</v>
      </c>
      <c r="X87" s="224">
        <f t="shared" si="29"/>
        <v>0.12823826297539764</v>
      </c>
      <c r="Y87" s="224">
        <f t="shared" si="29"/>
        <v>0.13621178931146458</v>
      </c>
      <c r="Z87" s="224">
        <f t="shared" si="29"/>
        <v>0.14418531564753151</v>
      </c>
      <c r="AA87" s="224">
        <f t="shared" si="29"/>
        <v>0.15215884198359844</v>
      </c>
      <c r="AB87" s="224">
        <f t="shared" si="29"/>
        <v>0.16013236831966537</v>
      </c>
      <c r="AC87" s="224">
        <f t="shared" si="29"/>
        <v>0.16810589465573231</v>
      </c>
      <c r="AD87" s="224">
        <f t="shared" si="29"/>
        <v>0.17607942099179924</v>
      </c>
      <c r="AE87" s="224">
        <f t="shared" si="29"/>
        <v>0.18405294732786615</v>
      </c>
      <c r="AF87" s="224">
        <f t="shared" si="29"/>
        <v>0.19202647366393311</v>
      </c>
      <c r="AG87" s="224">
        <f t="shared" si="29"/>
        <v>0.2</v>
      </c>
      <c r="AJ87" s="231" t="s">
        <v>1331</v>
      </c>
      <c r="AL87" s="217"/>
      <c r="AM87" s="225"/>
      <c r="AN87" s="225"/>
      <c r="AO87" s="225"/>
    </row>
    <row r="88" spans="1:41" ht="17" outlineLevel="2" thickTop="1">
      <c r="A88" t="s">
        <v>1352</v>
      </c>
      <c r="B88" s="54" t="s">
        <v>462</v>
      </c>
      <c r="C88" s="110">
        <f>'Propylene Recycling HC'!C114*'Propylene Recycling HC'!C$49/'Propylene Recycling LC'!C$49</f>
        <v>0.05</v>
      </c>
      <c r="D88" s="110">
        <f>'Propylene Recycling HC'!D114*'Propylene Recycling HC'!D$49/'Propylene Recycling LC'!D$49</f>
        <v>5.2260994000770548E-2</v>
      </c>
      <c r="E88" s="110">
        <f>'Propylene Recycling HC'!E114*'Propylene Recycling HC'!E$49/'Propylene Recycling LC'!E$49</f>
        <v>5.4521988001541094E-2</v>
      </c>
      <c r="F88" s="110">
        <f>'Propylene Recycling HC'!F114*'Propylene Recycling HC'!F$49/'Propylene Recycling LC'!F$49</f>
        <v>5.6782982002311633E-2</v>
      </c>
      <c r="G88" s="110">
        <f>'Propylene Recycling HC'!G114*'Propylene Recycling HC'!G$49/'Propylene Recycling LC'!G$49</f>
        <v>5.9043976003082171E-2</v>
      </c>
      <c r="H88" s="110">
        <f>'Propylene Recycling HC'!H114*'Propylene Recycling HC'!H$49/'Propylene Recycling LC'!H$49</f>
        <v>6.1304970003852717E-2</v>
      </c>
      <c r="I88" s="110">
        <f>'Propylene Recycling HC'!I114*'Propylene Recycling HC'!I$49/'Propylene Recycling LC'!I$49</f>
        <v>6.3565964004623277E-2</v>
      </c>
      <c r="J88" s="110">
        <f>'Propylene Recycling HC'!J114*'Propylene Recycling HC'!J$49/'Propylene Recycling LC'!J$49</f>
        <v>6.5826958005393815E-2</v>
      </c>
      <c r="K88" s="110">
        <f>'Propylene Recycling HC'!K114*'Propylene Recycling HC'!K$49/'Propylene Recycling LC'!K$49</f>
        <v>6.8087952006164354E-2</v>
      </c>
      <c r="L88" s="110">
        <f>'Propylene Recycling HC'!L114*'Propylene Recycling HC'!L$49/'Propylene Recycling LC'!L$49</f>
        <v>7.0348946006934907E-2</v>
      </c>
      <c r="M88" s="110">
        <f>'Propylene Recycling HC'!M114*'Propylene Recycling HC'!M$49/'Propylene Recycling LC'!M$49</f>
        <v>7.2609940007705445E-2</v>
      </c>
      <c r="N88" s="110">
        <f>'Propylene Recycling HC'!N114*'Propylene Recycling HC'!N$49/'Propylene Recycling LC'!N$49</f>
        <v>7.7375419670867973E-2</v>
      </c>
      <c r="O88" s="110">
        <f>'Propylene Recycling HC'!O114*'Propylene Recycling HC'!O$49/'Propylene Recycling LC'!O$49</f>
        <v>8.2140899334030501E-2</v>
      </c>
      <c r="P88" s="110">
        <f>'Propylene Recycling HC'!P114*'Propylene Recycling HC'!P$49/'Propylene Recycling LC'!P$49</f>
        <v>8.6906378997193029E-2</v>
      </c>
      <c r="Q88" s="110">
        <f>'Propylene Recycling HC'!Q114*'Propylene Recycling HC'!Q$49/'Propylene Recycling LC'!Q$49</f>
        <v>9.1671858660355571E-2</v>
      </c>
      <c r="R88" s="110">
        <f>'Propylene Recycling HC'!R114*'Propylene Recycling HC'!R$49/'Propylene Recycling LC'!R$49</f>
        <v>9.6437338323518085E-2</v>
      </c>
      <c r="S88" s="110">
        <f>'Propylene Recycling HC'!S114*'Propylene Recycling HC'!S$49/'Propylene Recycling LC'!S$49</f>
        <v>0.10120281798668061</v>
      </c>
      <c r="T88" s="110">
        <f>'Propylene Recycling HC'!T114*'Propylene Recycling HC'!T$49/'Propylene Recycling LC'!T$49</f>
        <v>0.10596829764984315</v>
      </c>
      <c r="U88" s="110">
        <f>'Propylene Recycling HC'!U114*'Propylene Recycling HC'!U$49/'Propylene Recycling LC'!U$49</f>
        <v>0.11073377731300567</v>
      </c>
      <c r="V88" s="110">
        <f>'Propylene Recycling HC'!V114*'Propylene Recycling HC'!V$49/'Propylene Recycling LC'!V$49</f>
        <v>0.1154992569761682</v>
      </c>
      <c r="W88" s="110">
        <f>'Propylene Recycling HC'!W114*'Propylene Recycling HC'!W$49/'Propylene Recycling LC'!W$49</f>
        <v>0.12026473663933072</v>
      </c>
      <c r="X88" s="110">
        <f>'Propylene Recycling HC'!X114*'Propylene Recycling HC'!X$49/'Propylene Recycling LC'!X$49</f>
        <v>0.12823826297539764</v>
      </c>
      <c r="Y88" s="110">
        <f>'Propylene Recycling HC'!Y114*'Propylene Recycling HC'!Y$49/'Propylene Recycling LC'!Y$49</f>
        <v>0.13621178931146458</v>
      </c>
      <c r="Z88" s="110">
        <f>'Propylene Recycling HC'!Z114*'Propylene Recycling HC'!Z$49/'Propylene Recycling LC'!Z$49</f>
        <v>0.14418531564753151</v>
      </c>
      <c r="AA88" s="110">
        <f>'Propylene Recycling HC'!AA114*'Propylene Recycling HC'!AA$49/'Propylene Recycling LC'!AA$49</f>
        <v>0.15215884198359844</v>
      </c>
      <c r="AB88" s="110">
        <f>'Propylene Recycling HC'!AB114*'Propylene Recycling HC'!AB$49/'Propylene Recycling LC'!AB$49</f>
        <v>0.16013236831966537</v>
      </c>
      <c r="AC88" s="110">
        <f>'Propylene Recycling HC'!AC114*'Propylene Recycling HC'!AC$49/'Propylene Recycling LC'!AC$49</f>
        <v>0.16810589465573231</v>
      </c>
      <c r="AD88" s="110">
        <f>'Propylene Recycling HC'!AD114*'Propylene Recycling HC'!AD$49/'Propylene Recycling LC'!AD$49</f>
        <v>0.17607942099179924</v>
      </c>
      <c r="AE88" s="110">
        <f>'Propylene Recycling HC'!AE114*'Propylene Recycling HC'!AE$49/'Propylene Recycling LC'!AE$49</f>
        <v>0.18405294732786615</v>
      </c>
      <c r="AF88" s="110">
        <f>'Propylene Recycling HC'!AF114*'Propylene Recycling HC'!AF$49/'Propylene Recycling LC'!AF$49</f>
        <v>0.19202647366393311</v>
      </c>
      <c r="AG88" s="110">
        <f>'Propylene Recycling HC'!AG114*'Propylene Recycling HC'!AG$49/'Propylene Recycling LC'!AG$49</f>
        <v>0.2</v>
      </c>
      <c r="AI88" s="133" t="s">
        <v>1314</v>
      </c>
      <c r="AJ88" s="211" t="s">
        <v>1353</v>
      </c>
    </row>
    <row r="89" spans="1:41" outlineLevel="2">
      <c r="C89" s="113"/>
      <c r="D89" s="110"/>
      <c r="E89" s="110"/>
      <c r="F89" s="110"/>
      <c r="G89" s="110"/>
      <c r="H89" s="110"/>
      <c r="I89" s="110"/>
      <c r="J89" s="110"/>
      <c r="K89" s="110"/>
      <c r="L89" s="110"/>
      <c r="M89" s="121"/>
      <c r="N89" s="121"/>
      <c r="O89" s="121"/>
      <c r="P89" s="121"/>
      <c r="Q89" s="121"/>
      <c r="R89" s="121"/>
      <c r="S89" s="121"/>
      <c r="T89" s="121"/>
      <c r="U89" s="121"/>
      <c r="V89" s="121"/>
      <c r="W89" s="121"/>
      <c r="X89" s="23"/>
      <c r="Y89" s="23"/>
      <c r="Z89" s="23"/>
      <c r="AA89" s="23"/>
      <c r="AB89" s="23"/>
      <c r="AC89" s="23"/>
      <c r="AD89" s="23"/>
      <c r="AE89" s="23"/>
      <c r="AF89" s="23"/>
      <c r="AG89" s="106"/>
      <c r="AJ89" s="211"/>
    </row>
    <row r="90" spans="1:41" outlineLevel="2">
      <c r="C90" s="113"/>
      <c r="D90" s="110"/>
      <c r="E90" s="110"/>
      <c r="F90" s="110"/>
      <c r="G90" s="110"/>
      <c r="H90" s="110"/>
      <c r="I90" s="110"/>
      <c r="J90" s="110"/>
      <c r="K90" s="110"/>
      <c r="L90" s="110"/>
      <c r="M90" s="121"/>
      <c r="N90" s="121"/>
      <c r="O90" s="121"/>
      <c r="P90" s="121"/>
      <c r="Q90" s="121"/>
      <c r="R90" s="121"/>
      <c r="S90" s="121"/>
      <c r="T90" s="121"/>
      <c r="U90" s="121"/>
      <c r="V90" s="121"/>
      <c r="W90" s="121"/>
      <c r="X90" s="23"/>
      <c r="Y90" s="23"/>
      <c r="Z90" s="23"/>
      <c r="AA90" s="23"/>
      <c r="AB90" s="23"/>
      <c r="AC90" s="23"/>
      <c r="AD90" s="23"/>
      <c r="AE90" s="23"/>
      <c r="AF90" s="23"/>
      <c r="AG90" s="106"/>
      <c r="AJ90" s="211"/>
    </row>
    <row r="91" spans="1:41" s="200" customFormat="1" ht="16" thickBot="1">
      <c r="A91" s="227" t="s">
        <v>1504</v>
      </c>
      <c r="B91" s="228"/>
      <c r="C91" s="229">
        <f>(C45*C61+C46*C65+C47*C85+C49*C87)/C50</f>
        <v>5.2458799355333138E-2</v>
      </c>
      <c r="D91" s="229">
        <f t="shared" ref="D91:AG91" si="30">(D45*D61+D46*D65+D47*D85+D49*D87)/D50</f>
        <v>5.6313972417906338E-2</v>
      </c>
      <c r="E91" s="229">
        <f t="shared" si="30"/>
        <v>6.0245875111682938E-2</v>
      </c>
      <c r="F91" s="229">
        <f t="shared" si="30"/>
        <v>6.4254507436662944E-2</v>
      </c>
      <c r="G91" s="229">
        <f t="shared" si="30"/>
        <v>6.833986939284635E-2</v>
      </c>
      <c r="H91" s="229">
        <f t="shared" si="30"/>
        <v>7.2501960980233163E-2</v>
      </c>
      <c r="I91" s="229">
        <f t="shared" si="30"/>
        <v>7.6740782198823368E-2</v>
      </c>
      <c r="J91" s="229">
        <f t="shared" si="30"/>
        <v>8.1056333048616952E-2</v>
      </c>
      <c r="K91" s="229">
        <f t="shared" si="30"/>
        <v>8.544861352961397E-2</v>
      </c>
      <c r="L91" s="229">
        <f t="shared" si="30"/>
        <v>8.9917623641814381E-2</v>
      </c>
      <c r="M91" s="229">
        <f t="shared" si="30"/>
        <v>9.4463363385218158E-2</v>
      </c>
      <c r="N91" s="229">
        <f t="shared" si="30"/>
        <v>0.10291845238464394</v>
      </c>
      <c r="O91" s="229">
        <f t="shared" si="30"/>
        <v>0.11153526383752915</v>
      </c>
      <c r="P91" s="229">
        <f t="shared" si="30"/>
        <v>0.12032894876905802</v>
      </c>
      <c r="Q91" s="229">
        <f t="shared" si="30"/>
        <v>0.12928829641972092</v>
      </c>
      <c r="R91" s="229">
        <f t="shared" si="30"/>
        <v>0.13841325056776904</v>
      </c>
      <c r="S91" s="229">
        <f t="shared" si="30"/>
        <v>0.14770375501689106</v>
      </c>
      <c r="T91" s="229">
        <f t="shared" si="30"/>
        <v>0.15715975359619888</v>
      </c>
      <c r="U91" s="229">
        <f t="shared" si="30"/>
        <v>0.16678119016021278</v>
      </c>
      <c r="V91" s="229">
        <f t="shared" si="30"/>
        <v>0.17656800858884764</v>
      </c>
      <c r="W91" s="229">
        <f t="shared" si="30"/>
        <v>0.18652015278739817</v>
      </c>
      <c r="X91" s="229">
        <f t="shared" si="30"/>
        <v>0.20210370433140804</v>
      </c>
      <c r="Y91" s="229">
        <f t="shared" si="30"/>
        <v>0.2179639928001845</v>
      </c>
      <c r="Z91" s="229">
        <f t="shared" si="30"/>
        <v>0.23411837313555417</v>
      </c>
      <c r="AA91" s="229">
        <f t="shared" si="30"/>
        <v>0.25055311314915973</v>
      </c>
      <c r="AB91" s="229">
        <f t="shared" si="30"/>
        <v>0.26726783306925661</v>
      </c>
      <c r="AC91" s="229">
        <f t="shared" si="30"/>
        <v>0.28426215380970321</v>
      </c>
      <c r="AD91" s="229">
        <f t="shared" si="30"/>
        <v>0.30153569696841381</v>
      </c>
      <c r="AE91" s="229">
        <f t="shared" si="30"/>
        <v>0.31908808482581641</v>
      </c>
      <c r="AF91" s="229">
        <f t="shared" si="30"/>
        <v>0.33691894034331499</v>
      </c>
      <c r="AG91" s="229">
        <f t="shared" si="30"/>
        <v>0.35502788716175532</v>
      </c>
      <c r="AJ91" s="231" t="s">
        <v>1355</v>
      </c>
      <c r="AL91" s="217"/>
      <c r="AM91" s="225"/>
      <c r="AN91" s="225"/>
      <c r="AO91" s="225"/>
    </row>
    <row r="92" spans="1:41" s="200" customFormat="1" ht="17" thickTop="1" thickBot="1">
      <c r="A92" s="227" t="s">
        <v>1356</v>
      </c>
      <c r="B92" s="228"/>
      <c r="C92" s="229">
        <f>(C14*C52+C65*C15+C80*C17+C82*C16+C87*C18)/C19</f>
        <v>0.10392620862112158</v>
      </c>
      <c r="D92" s="229">
        <f t="shared" ref="D92:AF92" si="31">(D14*D52+D65*D15+D80*D17+D82*D16+D87*D18)/D19</f>
        <v>0.10914907209487128</v>
      </c>
      <c r="E92" s="229">
        <f t="shared" si="31"/>
        <v>0.11437193556862101</v>
      </c>
      <c r="F92" s="229">
        <f t="shared" si="31"/>
        <v>0.11959479904237068</v>
      </c>
      <c r="G92" s="229">
        <f t="shared" si="31"/>
        <v>0.12481766251612042</v>
      </c>
      <c r="H92" s="229">
        <f t="shared" si="31"/>
        <v>0.13004052598987015</v>
      </c>
      <c r="I92" s="229">
        <f t="shared" si="31"/>
        <v>0.13526338946361988</v>
      </c>
      <c r="J92" s="229">
        <f t="shared" si="31"/>
        <v>0.14048625293736958</v>
      </c>
      <c r="K92" s="229">
        <f t="shared" si="31"/>
        <v>0.1457091164111193</v>
      </c>
      <c r="L92" s="229">
        <f t="shared" si="31"/>
        <v>0.15093197988486898</v>
      </c>
      <c r="M92" s="229">
        <f t="shared" si="31"/>
        <v>0.15615484335861871</v>
      </c>
      <c r="N92" s="229">
        <f t="shared" si="31"/>
        <v>0.16716303252636805</v>
      </c>
      <c r="O92" s="229">
        <f t="shared" si="31"/>
        <v>0.17817122169411745</v>
      </c>
      <c r="P92" s="229">
        <f t="shared" si="31"/>
        <v>0.18918572656727456</v>
      </c>
      <c r="Q92" s="229">
        <f t="shared" si="31"/>
        <v>0.20020152774484803</v>
      </c>
      <c r="R92" s="229">
        <f t="shared" si="31"/>
        <v>0.21121862134955643</v>
      </c>
      <c r="S92" s="229">
        <f t="shared" si="31"/>
        <v>0.22223700351956577</v>
      </c>
      <c r="T92" s="229">
        <f t="shared" si="31"/>
        <v>0.23325667040841222</v>
      </c>
      <c r="U92" s="229">
        <f t="shared" si="31"/>
        <v>0.24427761818492655</v>
      </c>
      <c r="V92" s="229">
        <f t="shared" si="31"/>
        <v>0.25529984303315723</v>
      </c>
      <c r="W92" s="229">
        <f t="shared" si="31"/>
        <v>0.26632334115229572</v>
      </c>
      <c r="X92" s="229">
        <f t="shared" si="31"/>
        <v>0.28476258783324554</v>
      </c>
      <c r="Y92" s="229">
        <f t="shared" si="31"/>
        <v>0.3032039665902822</v>
      </c>
      <c r="Z92" s="229">
        <f t="shared" si="31"/>
        <v>0.32164701386550132</v>
      </c>
      <c r="AA92" s="229">
        <f t="shared" si="31"/>
        <v>0.34009202567489666</v>
      </c>
      <c r="AB92" s="229">
        <f t="shared" si="31"/>
        <v>0.35853897895153075</v>
      </c>
      <c r="AC92" s="229">
        <f t="shared" si="31"/>
        <v>0.37698785098818421</v>
      </c>
      <c r="AD92" s="229">
        <f t="shared" si="31"/>
        <v>0.39543861943037151</v>
      </c>
      <c r="AE92" s="229">
        <f t="shared" si="31"/>
        <v>0.41389126226951778</v>
      </c>
      <c r="AF92" s="229">
        <f t="shared" si="31"/>
        <v>0.43234575783629409</v>
      </c>
      <c r="AG92" s="229">
        <f>(AG14*AG52+AG65*AG15+AG80*AG17+AG82*AG16+AG87*AG18)/AG19</f>
        <v>0.45080208479410577</v>
      </c>
      <c r="AJ92" s="226" t="s">
        <v>1357</v>
      </c>
      <c r="AL92" s="217"/>
      <c r="AM92" s="225"/>
      <c r="AN92" s="225"/>
      <c r="AO92" s="225"/>
    </row>
    <row r="93" spans="1:41" ht="16" thickTop="1">
      <c r="B93" s="130"/>
      <c r="C93" s="113"/>
      <c r="D93" s="23"/>
      <c r="E93" s="23"/>
      <c r="F93" s="23"/>
      <c r="G93" s="23"/>
      <c r="H93" s="23"/>
      <c r="I93" s="23"/>
      <c r="J93" s="23"/>
      <c r="K93" s="23"/>
      <c r="L93" s="23"/>
      <c r="M93" s="126"/>
      <c r="N93" s="110"/>
      <c r="O93" s="110"/>
      <c r="P93" s="110"/>
      <c r="Q93" s="110"/>
      <c r="R93" s="110"/>
      <c r="S93" s="110"/>
      <c r="T93" s="110"/>
      <c r="U93" s="110"/>
      <c r="V93" s="110"/>
      <c r="W93" s="126"/>
      <c r="X93" s="110"/>
      <c r="Y93" s="110"/>
      <c r="Z93" s="110"/>
      <c r="AA93" s="110"/>
      <c r="AB93" s="110"/>
      <c r="AC93" s="110"/>
      <c r="AD93" s="110"/>
      <c r="AE93" s="110"/>
      <c r="AF93" s="110"/>
      <c r="AG93" s="113"/>
    </row>
    <row r="94" spans="1:41" ht="16" thickBot="1">
      <c r="A94" s="200" t="s">
        <v>1417</v>
      </c>
      <c r="B94" s="235"/>
      <c r="C94" s="236"/>
      <c r="D94" s="222"/>
      <c r="E94" s="222"/>
      <c r="F94" s="222"/>
      <c r="G94" s="222"/>
      <c r="H94" s="222"/>
      <c r="I94" s="222"/>
      <c r="J94" s="222"/>
      <c r="K94" s="222"/>
      <c r="L94" s="222"/>
      <c r="M94" s="237"/>
      <c r="N94" s="110"/>
      <c r="O94" s="110"/>
      <c r="P94" s="110"/>
      <c r="Q94" s="110"/>
      <c r="R94" s="110"/>
      <c r="S94" s="110"/>
      <c r="T94" s="110"/>
      <c r="U94" s="110"/>
      <c r="V94" s="110"/>
      <c r="W94" s="126"/>
      <c r="X94" s="110"/>
      <c r="Y94" s="110"/>
      <c r="Z94" s="110"/>
      <c r="AA94" s="110"/>
      <c r="AB94" s="110"/>
      <c r="AC94" s="110"/>
      <c r="AD94" s="110"/>
      <c r="AE94" s="110"/>
      <c r="AF94" s="110"/>
      <c r="AG94" s="110" t="s">
        <v>1418</v>
      </c>
    </row>
    <row r="95" spans="1:41" ht="16" hidden="1" thickTop="1">
      <c r="A95" s="181" t="s">
        <v>1419</v>
      </c>
      <c r="B95" s="130"/>
      <c r="C95" s="234" t="e">
        <f>C57*C14+C69*C15+#REF!*C17+C83*C16</f>
        <v>#REF!</v>
      </c>
      <c r="D95" s="233"/>
      <c r="E95" s="233"/>
      <c r="F95" s="233"/>
      <c r="G95" s="233"/>
      <c r="H95" s="233"/>
      <c r="I95" s="233"/>
      <c r="J95" s="233"/>
      <c r="K95" s="233"/>
      <c r="L95" s="233"/>
      <c r="M95" s="127" t="e">
        <f>C95/$C$100</f>
        <v>#REF!</v>
      </c>
      <c r="N95" s="110"/>
      <c r="O95" s="110"/>
      <c r="P95" s="110"/>
      <c r="Q95" s="110"/>
      <c r="R95" s="110"/>
      <c r="S95" s="110"/>
      <c r="T95" s="110"/>
      <c r="U95" s="110"/>
      <c r="V95" s="110"/>
      <c r="W95" s="106"/>
      <c r="X95" s="110"/>
      <c r="Y95" s="110"/>
      <c r="Z95" s="110"/>
      <c r="AA95" s="110"/>
      <c r="AB95" s="110"/>
      <c r="AC95" s="110"/>
      <c r="AD95" s="110"/>
      <c r="AE95" s="110"/>
      <c r="AF95" s="110"/>
      <c r="AG95" s="56">
        <v>0.46</v>
      </c>
    </row>
    <row r="96" spans="1:41" ht="16" hidden="1" thickTop="1">
      <c r="A96" t="s">
        <v>1420</v>
      </c>
      <c r="C96" s="234">
        <f>C53*C14+C70*C15</f>
        <v>9.0743320403108019</v>
      </c>
      <c r="D96" s="234"/>
      <c r="E96" s="234"/>
      <c r="F96" s="234"/>
      <c r="G96" s="234"/>
      <c r="H96" s="234"/>
      <c r="I96" s="234"/>
      <c r="J96" s="234"/>
      <c r="K96" s="234"/>
      <c r="L96" s="234"/>
      <c r="M96" s="127" t="e">
        <f t="shared" ref="M96:M99" si="32">C96/$C$100</f>
        <v>#REF!</v>
      </c>
      <c r="AG96" s="56">
        <v>0.24</v>
      </c>
    </row>
    <row r="97" spans="1:36" ht="16" hidden="1" thickTop="1">
      <c r="A97" t="s">
        <v>1421</v>
      </c>
      <c r="C97" s="234" t="e">
        <f>#REF!*C17+C56*C14+C87*C18+C71*C15</f>
        <v>#REF!</v>
      </c>
      <c r="D97" s="234"/>
      <c r="E97" s="234"/>
      <c r="F97" s="234"/>
      <c r="G97" s="234"/>
      <c r="H97" s="234"/>
      <c r="I97" s="234"/>
      <c r="J97" s="234"/>
      <c r="K97" s="234"/>
      <c r="L97" s="234"/>
      <c r="M97" s="127" t="e">
        <f t="shared" si="32"/>
        <v>#REF!</v>
      </c>
      <c r="AG97" s="56">
        <v>0.26</v>
      </c>
    </row>
    <row r="98" spans="1:36" ht="16" hidden="1" thickTop="1">
      <c r="A98" t="s">
        <v>1422</v>
      </c>
      <c r="C98" s="234" t="e">
        <f>#REF!*C17+#REF!*C14</f>
        <v>#REF!</v>
      </c>
      <c r="D98" s="234"/>
      <c r="E98" s="234"/>
      <c r="F98" s="234"/>
      <c r="G98" s="234"/>
      <c r="H98" s="234"/>
      <c r="I98" s="234"/>
      <c r="J98" s="234"/>
      <c r="K98" s="234"/>
      <c r="L98" s="234"/>
      <c r="M98" s="127" t="e">
        <f t="shared" si="32"/>
        <v>#REF!</v>
      </c>
      <c r="AG98" s="56">
        <v>0.01</v>
      </c>
    </row>
    <row r="99" spans="1:36" ht="16" hidden="1" thickTop="1">
      <c r="A99" t="s">
        <v>1423</v>
      </c>
      <c r="B99"/>
      <c r="C99" s="234">
        <f>C67*C15</f>
        <v>3.6248399170191126E-2</v>
      </c>
      <c r="D99" s="234"/>
      <c r="E99" s="234"/>
      <c r="F99" s="234"/>
      <c r="G99" s="234"/>
      <c r="H99" s="234"/>
      <c r="I99" s="234"/>
      <c r="J99" s="234"/>
      <c r="K99" s="234"/>
      <c r="L99" s="234"/>
      <c r="M99" s="127" t="e">
        <f t="shared" si="32"/>
        <v>#REF!</v>
      </c>
      <c r="AG99" s="56">
        <v>0.03</v>
      </c>
    </row>
    <row r="100" spans="1:36" ht="16" hidden="1" thickTop="1">
      <c r="A100" t="s">
        <v>1424</v>
      </c>
      <c r="B100" s="51"/>
      <c r="C100" s="233" t="e">
        <f>SUM(C95:C99)</f>
        <v>#REF!</v>
      </c>
      <c r="D100" s="234"/>
      <c r="E100" s="234"/>
      <c r="F100" s="234"/>
      <c r="G100" s="234"/>
      <c r="H100" s="234"/>
      <c r="I100" s="234"/>
      <c r="J100" s="234"/>
      <c r="K100" s="234"/>
      <c r="L100" s="234"/>
      <c r="M100" s="234"/>
    </row>
    <row r="101" spans="1:36" ht="16" hidden="1" thickTop="1">
      <c r="B101" s="181" t="s">
        <v>1425</v>
      </c>
      <c r="C101" s="234">
        <f>C92*C19</f>
        <v>37.870379963560374</v>
      </c>
      <c r="D101" s="234"/>
      <c r="E101" s="234"/>
      <c r="F101" s="234"/>
      <c r="G101" s="234"/>
      <c r="H101" s="234"/>
      <c r="I101" s="234"/>
      <c r="J101" s="234"/>
      <c r="K101" s="234"/>
      <c r="L101" s="234"/>
      <c r="M101" s="234"/>
      <c r="AG101" s="107" t="s">
        <v>1426</v>
      </c>
    </row>
    <row r="102" spans="1:36" ht="16" thickTop="1">
      <c r="B102" s="51"/>
    </row>
    <row r="103" spans="1:36">
      <c r="A103" t="s">
        <v>1505</v>
      </c>
      <c r="B103" s="130"/>
      <c r="C103" s="230">
        <f>(C45*C61+C46*C73+C47*C85+C49*C88)</f>
        <v>4.8226258181960828</v>
      </c>
      <c r="D103" s="230">
        <f t="shared" ref="D103:AG103" si="33">(D45*D61+D46*D73+D47*D85+D49*D88)</f>
        <v>5.357541865936339</v>
      </c>
      <c r="E103" s="230">
        <f t="shared" si="33"/>
        <v>5.9145812188348987</v>
      </c>
      <c r="F103" s="230">
        <f t="shared" si="33"/>
        <v>6.4912492625308715</v>
      </c>
      <c r="G103" s="230">
        <f t="shared" si="33"/>
        <v>7.0847057896369705</v>
      </c>
      <c r="H103" s="230">
        <f t="shared" si="33"/>
        <v>7.6917836697104818</v>
      </c>
      <c r="I103" s="230">
        <f t="shared" si="33"/>
        <v>8.3269399114548346</v>
      </c>
      <c r="J103" s="230">
        <f t="shared" si="33"/>
        <v>8.9905736148547231</v>
      </c>
      <c r="K103" s="230">
        <f t="shared" si="33"/>
        <v>9.6830432621563141</v>
      </c>
      <c r="L103" s="230">
        <f t="shared" si="33"/>
        <v>10.404664193638112</v>
      </c>
      <c r="M103" s="230">
        <f t="shared" si="33"/>
        <v>11.155706120511489</v>
      </c>
      <c r="N103" s="230">
        <f t="shared" si="33"/>
        <v>12.386530103426116</v>
      </c>
      <c r="O103" s="230">
        <f t="shared" si="33"/>
        <v>13.651987913164181</v>
      </c>
      <c r="P103" s="230">
        <f t="shared" si="33"/>
        <v>14.950656254193436</v>
      </c>
      <c r="Q103" s="230">
        <f t="shared" si="33"/>
        <v>16.273593419121404</v>
      </c>
      <c r="R103" s="230">
        <f t="shared" si="33"/>
        <v>17.614511431947378</v>
      </c>
      <c r="S103" s="230">
        <f t="shared" si="33"/>
        <v>19.00091453057739</v>
      </c>
      <c r="T103" s="230">
        <f t="shared" si="33"/>
        <v>20.433417521543454</v>
      </c>
      <c r="U103" s="230">
        <f t="shared" si="33"/>
        <v>21.912623302640206</v>
      </c>
      <c r="V103" s="230">
        <f t="shared" si="33"/>
        <v>23.439122218974095</v>
      </c>
      <c r="W103" s="230">
        <f t="shared" si="33"/>
        <v>25.013491416922847</v>
      </c>
      <c r="X103" s="230">
        <f t="shared" si="33"/>
        <v>27.38142414287055</v>
      </c>
      <c r="Y103" s="230">
        <f t="shared" si="33"/>
        <v>29.828326722739863</v>
      </c>
      <c r="Z103" s="230">
        <f t="shared" si="33"/>
        <v>32.369905986477207</v>
      </c>
      <c r="AA103" s="230">
        <f t="shared" si="33"/>
        <v>34.99501007638932</v>
      </c>
      <c r="AB103" s="230">
        <f t="shared" si="33"/>
        <v>37.704679615982684</v>
      </c>
      <c r="AC103" s="230">
        <f t="shared" si="33"/>
        <v>40.500316706789164</v>
      </c>
      <c r="AD103" s="230">
        <f t="shared" si="33"/>
        <v>43.383000411904916</v>
      </c>
      <c r="AE103" s="230">
        <f t="shared" si="33"/>
        <v>46.35379147484629</v>
      </c>
      <c r="AF103" s="230">
        <f t="shared" si="33"/>
        <v>49.413731407500961</v>
      </c>
      <c r="AG103" s="230">
        <f t="shared" si="33"/>
        <v>52.563841575478222</v>
      </c>
      <c r="AI103" s="23">
        <f>(AG103/C103)^(1/30)-1</f>
        <v>8.2879463934363296E-2</v>
      </c>
    </row>
    <row r="104" spans="1:36">
      <c r="A104" t="s">
        <v>1359</v>
      </c>
      <c r="B104" s="130"/>
      <c r="C104" s="230">
        <f>C103</f>
        <v>4.8226258181960828</v>
      </c>
      <c r="D104" s="230">
        <f>C104*(1+$AI$104)</f>
        <v>4.903163669359957</v>
      </c>
      <c r="E104" s="230">
        <f t="shared" ref="E104:AG104" si="34">D104*(1+$AI$104)</f>
        <v>4.9850465026382675</v>
      </c>
      <c r="F104" s="230">
        <f t="shared" si="34"/>
        <v>5.0682967792323259</v>
      </c>
      <c r="G104" s="230">
        <f t="shared" si="34"/>
        <v>5.1529373354455057</v>
      </c>
      <c r="H104" s="230">
        <f t="shared" si="34"/>
        <v>5.2389913889474453</v>
      </c>
      <c r="I104" s="230">
        <f t="shared" si="34"/>
        <v>5.3264825451428672</v>
      </c>
      <c r="J104" s="230">
        <f t="shared" si="34"/>
        <v>5.415434803646753</v>
      </c>
      <c r="K104" s="230">
        <f t="shared" si="34"/>
        <v>5.5058725648676532</v>
      </c>
      <c r="L104" s="230">
        <f t="shared" si="34"/>
        <v>5.5978206367009431</v>
      </c>
      <c r="M104" s="230">
        <f t="shared" si="34"/>
        <v>5.6913042413338486</v>
      </c>
      <c r="N104" s="230">
        <f t="shared" si="34"/>
        <v>5.7863490221641234</v>
      </c>
      <c r="O104" s="230">
        <f t="shared" si="34"/>
        <v>5.8829810508342639</v>
      </c>
      <c r="P104" s="230">
        <f t="shared" si="34"/>
        <v>5.9812268343831958</v>
      </c>
      <c r="Q104" s="230">
        <f t="shared" si="34"/>
        <v>6.0811133225173952</v>
      </c>
      <c r="R104" s="230">
        <f t="shared" si="34"/>
        <v>6.1826679150034352</v>
      </c>
      <c r="S104" s="230">
        <f t="shared" si="34"/>
        <v>6.2859184691839918</v>
      </c>
      <c r="T104" s="230">
        <f t="shared" si="34"/>
        <v>6.3908933076193639</v>
      </c>
      <c r="U104" s="230">
        <f t="shared" si="34"/>
        <v>6.4976212258566068</v>
      </c>
      <c r="V104" s="230">
        <f t="shared" si="34"/>
        <v>6.606131500328412</v>
      </c>
      <c r="W104" s="230">
        <f t="shared" si="34"/>
        <v>6.7164538963838964</v>
      </c>
      <c r="X104" s="230">
        <f t="shared" si="34"/>
        <v>6.8286186764535071</v>
      </c>
      <c r="Y104" s="230">
        <f t="shared" si="34"/>
        <v>6.9426566083502799</v>
      </c>
      <c r="Z104" s="230">
        <f t="shared" si="34"/>
        <v>7.0585989737097288</v>
      </c>
      <c r="AA104" s="230">
        <f t="shared" si="34"/>
        <v>7.1764775765706812</v>
      </c>
      <c r="AB104" s="230">
        <f t="shared" si="34"/>
        <v>7.2963247520994114</v>
      </c>
      <c r="AC104" s="230">
        <f t="shared" si="34"/>
        <v>7.418173375459471</v>
      </c>
      <c r="AD104" s="230">
        <f t="shared" si="34"/>
        <v>7.5420568708296436</v>
      </c>
      <c r="AE104" s="230">
        <f t="shared" si="34"/>
        <v>7.6680092205724986</v>
      </c>
      <c r="AF104" s="230">
        <f t="shared" si="34"/>
        <v>7.7960649745560584</v>
      </c>
      <c r="AG104" s="230">
        <f t="shared" si="34"/>
        <v>7.9262592596311441</v>
      </c>
      <c r="AI104" s="214">
        <v>1.67E-2</v>
      </c>
      <c r="AJ104" s="3" t="s">
        <v>1360</v>
      </c>
    </row>
    <row r="106" spans="1:36" s="58" customFormat="1">
      <c r="A106" s="58" t="s">
        <v>1361</v>
      </c>
      <c r="B106" s="303"/>
      <c r="C106" s="304"/>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c r="Z106" s="304"/>
      <c r="AA106" s="304"/>
      <c r="AB106" s="304"/>
      <c r="AC106" s="304"/>
      <c r="AD106" s="304"/>
      <c r="AE106" s="304"/>
      <c r="AF106" s="304"/>
      <c r="AG106" s="304"/>
      <c r="AI106" s="305"/>
      <c r="AJ106" s="306"/>
    </row>
    <row r="107" spans="1:36" s="190" customFormat="1" outlineLevel="1">
      <c r="A107" s="344" t="s">
        <v>1362</v>
      </c>
      <c r="B107" s="318" t="s">
        <v>462</v>
      </c>
      <c r="C107" s="319">
        <v>0.84</v>
      </c>
      <c r="D107" s="320">
        <f>-($C107-$AG107)/30+C107</f>
        <v>0.83566666666666667</v>
      </c>
      <c r="E107" s="320">
        <f t="shared" ref="E107:AF113" si="35">-($C107-$AG107)/30+D107</f>
        <v>0.83133333333333337</v>
      </c>
      <c r="F107" s="320">
        <f t="shared" si="35"/>
        <v>0.82700000000000007</v>
      </c>
      <c r="G107" s="320">
        <f t="shared" si="35"/>
        <v>0.82266666666666677</v>
      </c>
      <c r="H107" s="320">
        <f t="shared" si="35"/>
        <v>0.81833333333333347</v>
      </c>
      <c r="I107" s="320">
        <f t="shared" si="35"/>
        <v>0.81400000000000017</v>
      </c>
      <c r="J107" s="320">
        <f t="shared" si="35"/>
        <v>0.80966666666666687</v>
      </c>
      <c r="K107" s="320">
        <f t="shared" si="35"/>
        <v>0.80533333333333357</v>
      </c>
      <c r="L107" s="320">
        <f t="shared" si="35"/>
        <v>0.80100000000000027</v>
      </c>
      <c r="M107" s="320">
        <f t="shared" si="35"/>
        <v>0.79666666666666697</v>
      </c>
      <c r="N107" s="320">
        <f t="shared" si="35"/>
        <v>0.79233333333333367</v>
      </c>
      <c r="O107" s="320">
        <f t="shared" si="35"/>
        <v>0.78800000000000037</v>
      </c>
      <c r="P107" s="320">
        <f t="shared" si="35"/>
        <v>0.78366666666666707</v>
      </c>
      <c r="Q107" s="320">
        <f t="shared" si="35"/>
        <v>0.77933333333333377</v>
      </c>
      <c r="R107" s="320">
        <f t="shared" si="35"/>
        <v>0.77500000000000047</v>
      </c>
      <c r="S107" s="320">
        <f t="shared" si="35"/>
        <v>0.77066666666666717</v>
      </c>
      <c r="T107" s="320">
        <f t="shared" si="35"/>
        <v>0.76633333333333387</v>
      </c>
      <c r="U107" s="320">
        <f t="shared" si="35"/>
        <v>0.76200000000000057</v>
      </c>
      <c r="V107" s="320">
        <f t="shared" si="35"/>
        <v>0.75766666666666727</v>
      </c>
      <c r="W107" s="320">
        <f t="shared" si="35"/>
        <v>0.75333333333333397</v>
      </c>
      <c r="X107" s="320">
        <f t="shared" si="35"/>
        <v>0.74900000000000067</v>
      </c>
      <c r="Y107" s="320">
        <f t="shared" si="35"/>
        <v>0.74466666666666737</v>
      </c>
      <c r="Z107" s="320">
        <f t="shared" si="35"/>
        <v>0.74033333333333406</v>
      </c>
      <c r="AA107" s="320">
        <f t="shared" si="35"/>
        <v>0.73600000000000076</v>
      </c>
      <c r="AB107" s="320">
        <f t="shared" si="35"/>
        <v>0.73166666666666746</v>
      </c>
      <c r="AC107" s="320">
        <f t="shared" si="35"/>
        <v>0.72733333333333416</v>
      </c>
      <c r="AD107" s="320">
        <f t="shared" si="35"/>
        <v>0.72300000000000086</v>
      </c>
      <c r="AE107" s="320">
        <f t="shared" si="35"/>
        <v>0.71866666666666756</v>
      </c>
      <c r="AF107" s="320">
        <f t="shared" si="35"/>
        <v>0.71433333333333426</v>
      </c>
      <c r="AG107" s="319">
        <v>0.71</v>
      </c>
      <c r="AI107" s="321"/>
      <c r="AJ107" s="322" t="s">
        <v>1363</v>
      </c>
    </row>
    <row r="108" spans="1:36" outlineLevel="1">
      <c r="A108" s="3" t="s">
        <v>90</v>
      </c>
      <c r="B108" s="302" t="s">
        <v>462</v>
      </c>
      <c r="C108" s="296">
        <v>0.16</v>
      </c>
      <c r="D108" s="317">
        <f t="shared" ref="D108:S113" si="36">-($C108-$AG108)/30+C108</f>
        <v>0.16206666666666666</v>
      </c>
      <c r="E108" s="317">
        <f t="shared" si="36"/>
        <v>0.16413333333333333</v>
      </c>
      <c r="F108" s="317">
        <f t="shared" si="36"/>
        <v>0.16619999999999999</v>
      </c>
      <c r="G108" s="317">
        <f t="shared" si="36"/>
        <v>0.16826666666666665</v>
      </c>
      <c r="H108" s="317">
        <f t="shared" si="36"/>
        <v>0.17033333333333331</v>
      </c>
      <c r="I108" s="317">
        <f t="shared" si="36"/>
        <v>0.17239999999999997</v>
      </c>
      <c r="J108" s="317">
        <f t="shared" si="36"/>
        <v>0.17446666666666663</v>
      </c>
      <c r="K108" s="317">
        <f t="shared" si="36"/>
        <v>0.17653333333333329</v>
      </c>
      <c r="L108" s="317">
        <f t="shared" si="36"/>
        <v>0.17859999999999995</v>
      </c>
      <c r="M108" s="317">
        <f t="shared" si="36"/>
        <v>0.18066666666666661</v>
      </c>
      <c r="N108" s="317">
        <f t="shared" si="36"/>
        <v>0.18273333333333328</v>
      </c>
      <c r="O108" s="317">
        <f t="shared" si="36"/>
        <v>0.18479999999999994</v>
      </c>
      <c r="P108" s="317">
        <f t="shared" si="36"/>
        <v>0.1868666666666666</v>
      </c>
      <c r="Q108" s="317">
        <f t="shared" si="36"/>
        <v>0.18893333333333326</v>
      </c>
      <c r="R108" s="317">
        <f t="shared" si="36"/>
        <v>0.19099999999999992</v>
      </c>
      <c r="S108" s="317">
        <f t="shared" si="36"/>
        <v>0.19306666666666658</v>
      </c>
      <c r="T108" s="317">
        <f t="shared" si="35"/>
        <v>0.19513333333333324</v>
      </c>
      <c r="U108" s="317">
        <f t="shared" si="35"/>
        <v>0.1971999999999999</v>
      </c>
      <c r="V108" s="317">
        <f t="shared" si="35"/>
        <v>0.19926666666666656</v>
      </c>
      <c r="W108" s="317">
        <f t="shared" si="35"/>
        <v>0.20133333333333323</v>
      </c>
      <c r="X108" s="317">
        <f t="shared" si="35"/>
        <v>0.20339999999999989</v>
      </c>
      <c r="Y108" s="317">
        <f t="shared" si="35"/>
        <v>0.20546666666666655</v>
      </c>
      <c r="Z108" s="317">
        <f t="shared" si="35"/>
        <v>0.20753333333333321</v>
      </c>
      <c r="AA108" s="317">
        <f t="shared" si="35"/>
        <v>0.20959999999999987</v>
      </c>
      <c r="AB108" s="317">
        <f t="shared" si="35"/>
        <v>0.21166666666666653</v>
      </c>
      <c r="AC108" s="317">
        <f t="shared" si="35"/>
        <v>0.21373333333333319</v>
      </c>
      <c r="AD108" s="317">
        <f t="shared" si="35"/>
        <v>0.21579999999999985</v>
      </c>
      <c r="AE108" s="317">
        <f t="shared" si="35"/>
        <v>0.21786666666666651</v>
      </c>
      <c r="AF108" s="317">
        <f t="shared" si="35"/>
        <v>0.21993333333333318</v>
      </c>
      <c r="AG108" s="296">
        <v>0.222</v>
      </c>
      <c r="AI108" s="214"/>
      <c r="AJ108" s="211" t="s">
        <v>1363</v>
      </c>
    </row>
    <row r="109" spans="1:36" outlineLevel="1">
      <c r="A109" s="3" t="s">
        <v>33</v>
      </c>
      <c r="B109" s="302" t="s">
        <v>462</v>
      </c>
      <c r="C109" s="296">
        <v>0.37</v>
      </c>
      <c r="D109" s="317">
        <f t="shared" si="36"/>
        <v>0.36270000000000002</v>
      </c>
      <c r="E109" s="317">
        <f t="shared" si="36"/>
        <v>0.35540000000000005</v>
      </c>
      <c r="F109" s="317">
        <f t="shared" si="36"/>
        <v>0.34810000000000008</v>
      </c>
      <c r="G109" s="317">
        <f t="shared" si="36"/>
        <v>0.3408000000000001</v>
      </c>
      <c r="H109" s="317">
        <f t="shared" si="36"/>
        <v>0.33350000000000013</v>
      </c>
      <c r="I109" s="317">
        <f t="shared" si="36"/>
        <v>0.32620000000000016</v>
      </c>
      <c r="J109" s="317">
        <f t="shared" si="36"/>
        <v>0.31890000000000018</v>
      </c>
      <c r="K109" s="317">
        <f t="shared" si="36"/>
        <v>0.31160000000000021</v>
      </c>
      <c r="L109" s="317">
        <f t="shared" si="36"/>
        <v>0.30430000000000024</v>
      </c>
      <c r="M109" s="317">
        <f t="shared" si="36"/>
        <v>0.29700000000000026</v>
      </c>
      <c r="N109" s="317">
        <f t="shared" si="36"/>
        <v>0.28970000000000029</v>
      </c>
      <c r="O109" s="317">
        <f t="shared" si="36"/>
        <v>0.28240000000000032</v>
      </c>
      <c r="P109" s="317">
        <f t="shared" si="36"/>
        <v>0.27510000000000034</v>
      </c>
      <c r="Q109" s="317">
        <f t="shared" si="36"/>
        <v>0.26780000000000037</v>
      </c>
      <c r="R109" s="317">
        <f t="shared" si="36"/>
        <v>0.2605000000000004</v>
      </c>
      <c r="S109" s="317">
        <f t="shared" si="36"/>
        <v>0.25320000000000042</v>
      </c>
      <c r="T109" s="317">
        <f t="shared" si="35"/>
        <v>0.24590000000000042</v>
      </c>
      <c r="U109" s="317">
        <f t="shared" si="35"/>
        <v>0.23860000000000042</v>
      </c>
      <c r="V109" s="317">
        <f t="shared" si="35"/>
        <v>0.23130000000000042</v>
      </c>
      <c r="W109" s="317">
        <f t="shared" si="35"/>
        <v>0.22400000000000042</v>
      </c>
      <c r="X109" s="317">
        <f t="shared" si="35"/>
        <v>0.21670000000000042</v>
      </c>
      <c r="Y109" s="317">
        <f t="shared" si="35"/>
        <v>0.20940000000000042</v>
      </c>
      <c r="Z109" s="317">
        <f t="shared" si="35"/>
        <v>0.20210000000000042</v>
      </c>
      <c r="AA109" s="317">
        <f t="shared" si="35"/>
        <v>0.19480000000000042</v>
      </c>
      <c r="AB109" s="317">
        <f t="shared" si="35"/>
        <v>0.18750000000000042</v>
      </c>
      <c r="AC109" s="317">
        <f t="shared" si="35"/>
        <v>0.18020000000000042</v>
      </c>
      <c r="AD109" s="317">
        <f t="shared" si="35"/>
        <v>0.17290000000000041</v>
      </c>
      <c r="AE109" s="317">
        <f t="shared" si="35"/>
        <v>0.16560000000000041</v>
      </c>
      <c r="AF109" s="317">
        <f t="shared" si="35"/>
        <v>0.15830000000000041</v>
      </c>
      <c r="AG109" s="296">
        <v>0.151</v>
      </c>
      <c r="AI109" s="214"/>
      <c r="AJ109" s="211" t="s">
        <v>1363</v>
      </c>
    </row>
    <row r="110" spans="1:36" outlineLevel="1">
      <c r="A110" s="3" t="s">
        <v>451</v>
      </c>
      <c r="B110" s="302" t="s">
        <v>462</v>
      </c>
      <c r="C110" s="296">
        <v>0.08</v>
      </c>
      <c r="D110" s="317">
        <f t="shared" si="36"/>
        <v>8.0100000000000005E-2</v>
      </c>
      <c r="E110" s="317">
        <f t="shared" si="36"/>
        <v>8.0200000000000007E-2</v>
      </c>
      <c r="F110" s="317">
        <f t="shared" si="36"/>
        <v>8.030000000000001E-2</v>
      </c>
      <c r="G110" s="317">
        <f t="shared" si="36"/>
        <v>8.0400000000000013E-2</v>
      </c>
      <c r="H110" s="317">
        <f t="shared" si="36"/>
        <v>8.0500000000000016E-2</v>
      </c>
      <c r="I110" s="317">
        <f t="shared" si="36"/>
        <v>8.0600000000000019E-2</v>
      </c>
      <c r="J110" s="317">
        <f t="shared" si="36"/>
        <v>8.0700000000000022E-2</v>
      </c>
      <c r="K110" s="317">
        <f t="shared" si="36"/>
        <v>8.0800000000000025E-2</v>
      </c>
      <c r="L110" s="317">
        <f t="shared" si="36"/>
        <v>8.0900000000000027E-2</v>
      </c>
      <c r="M110" s="317">
        <f t="shared" si="36"/>
        <v>8.100000000000003E-2</v>
      </c>
      <c r="N110" s="317">
        <f t="shared" si="36"/>
        <v>8.1100000000000033E-2</v>
      </c>
      <c r="O110" s="317">
        <f t="shared" si="36"/>
        <v>8.1200000000000036E-2</v>
      </c>
      <c r="P110" s="317">
        <f t="shared" si="36"/>
        <v>8.1300000000000039E-2</v>
      </c>
      <c r="Q110" s="317">
        <f t="shared" si="36"/>
        <v>8.1400000000000042E-2</v>
      </c>
      <c r="R110" s="317">
        <f t="shared" si="36"/>
        <v>8.1500000000000045E-2</v>
      </c>
      <c r="S110" s="317">
        <f t="shared" si="36"/>
        <v>8.1600000000000047E-2</v>
      </c>
      <c r="T110" s="317">
        <f t="shared" si="35"/>
        <v>8.170000000000005E-2</v>
      </c>
      <c r="U110" s="317">
        <f t="shared" si="35"/>
        <v>8.1800000000000053E-2</v>
      </c>
      <c r="V110" s="317">
        <f t="shared" si="35"/>
        <v>8.1900000000000056E-2</v>
      </c>
      <c r="W110" s="317">
        <f t="shared" si="35"/>
        <v>8.2000000000000059E-2</v>
      </c>
      <c r="X110" s="317">
        <f t="shared" si="35"/>
        <v>8.2100000000000062E-2</v>
      </c>
      <c r="Y110" s="317">
        <f t="shared" si="35"/>
        <v>8.2200000000000065E-2</v>
      </c>
      <c r="Z110" s="317">
        <f t="shared" si="35"/>
        <v>8.2300000000000068E-2</v>
      </c>
      <c r="AA110" s="317">
        <f t="shared" si="35"/>
        <v>8.240000000000007E-2</v>
      </c>
      <c r="AB110" s="317">
        <f t="shared" si="35"/>
        <v>8.2500000000000073E-2</v>
      </c>
      <c r="AC110" s="317">
        <f t="shared" si="35"/>
        <v>8.2600000000000076E-2</v>
      </c>
      <c r="AD110" s="317">
        <f t="shared" si="35"/>
        <v>8.2700000000000079E-2</v>
      </c>
      <c r="AE110" s="317">
        <f t="shared" si="35"/>
        <v>8.2800000000000082E-2</v>
      </c>
      <c r="AF110" s="317">
        <f t="shared" si="35"/>
        <v>8.2900000000000085E-2</v>
      </c>
      <c r="AG110" s="296">
        <v>8.3000000000000004E-2</v>
      </c>
      <c r="AI110" s="214"/>
      <c r="AJ110" s="211" t="s">
        <v>1363</v>
      </c>
    </row>
    <row r="111" spans="1:36" outlineLevel="1">
      <c r="A111" s="3" t="s">
        <v>452</v>
      </c>
      <c r="B111" s="302" t="s">
        <v>462</v>
      </c>
      <c r="C111" s="296">
        <v>0.27</v>
      </c>
      <c r="D111" s="317">
        <f t="shared" si="36"/>
        <v>0.27313333333333334</v>
      </c>
      <c r="E111" s="317">
        <f t="shared" si="36"/>
        <v>0.27626666666666666</v>
      </c>
      <c r="F111" s="317">
        <f t="shared" si="36"/>
        <v>0.27939999999999998</v>
      </c>
      <c r="G111" s="317">
        <f t="shared" si="36"/>
        <v>0.2825333333333333</v>
      </c>
      <c r="H111" s="317">
        <f t="shared" si="36"/>
        <v>0.28566666666666662</v>
      </c>
      <c r="I111" s="317">
        <f t="shared" si="36"/>
        <v>0.28879999999999995</v>
      </c>
      <c r="J111" s="317">
        <f t="shared" si="36"/>
        <v>0.29193333333333327</v>
      </c>
      <c r="K111" s="317">
        <f t="shared" si="36"/>
        <v>0.29506666666666659</v>
      </c>
      <c r="L111" s="317">
        <f t="shared" si="36"/>
        <v>0.29819999999999991</v>
      </c>
      <c r="M111" s="317">
        <f t="shared" si="36"/>
        <v>0.30133333333333323</v>
      </c>
      <c r="N111" s="317">
        <f t="shared" si="36"/>
        <v>0.30446666666666655</v>
      </c>
      <c r="O111" s="317">
        <f t="shared" si="36"/>
        <v>0.30759999999999987</v>
      </c>
      <c r="P111" s="317">
        <f t="shared" si="36"/>
        <v>0.31073333333333319</v>
      </c>
      <c r="Q111" s="317">
        <f t="shared" si="36"/>
        <v>0.31386666666666652</v>
      </c>
      <c r="R111" s="317">
        <f t="shared" si="36"/>
        <v>0.31699999999999984</v>
      </c>
      <c r="S111" s="317">
        <f t="shared" si="36"/>
        <v>0.32013333333333316</v>
      </c>
      <c r="T111" s="317">
        <f t="shared" si="35"/>
        <v>0.32326666666666648</v>
      </c>
      <c r="U111" s="317">
        <f t="shared" si="35"/>
        <v>0.3263999999999998</v>
      </c>
      <c r="V111" s="317">
        <f t="shared" si="35"/>
        <v>0.32953333333333312</v>
      </c>
      <c r="W111" s="317">
        <f t="shared" si="35"/>
        <v>0.33266666666666644</v>
      </c>
      <c r="X111" s="317">
        <f t="shared" si="35"/>
        <v>0.33579999999999977</v>
      </c>
      <c r="Y111" s="317">
        <f t="shared" si="35"/>
        <v>0.33893333333333309</v>
      </c>
      <c r="Z111" s="317">
        <f t="shared" si="35"/>
        <v>0.34206666666666641</v>
      </c>
      <c r="AA111" s="317">
        <f t="shared" si="35"/>
        <v>0.34519999999999973</v>
      </c>
      <c r="AB111" s="317">
        <f t="shared" si="35"/>
        <v>0.34833333333333305</v>
      </c>
      <c r="AC111" s="317">
        <f t="shared" si="35"/>
        <v>0.35146666666666637</v>
      </c>
      <c r="AD111" s="317">
        <f t="shared" si="35"/>
        <v>0.35459999999999969</v>
      </c>
      <c r="AE111" s="317">
        <f t="shared" si="35"/>
        <v>0.35773333333333301</v>
      </c>
      <c r="AF111" s="317">
        <f t="shared" si="35"/>
        <v>0.36086666666666634</v>
      </c>
      <c r="AG111" s="296">
        <v>0.36399999999999999</v>
      </c>
      <c r="AI111" s="214"/>
      <c r="AJ111" s="211" t="s">
        <v>1363</v>
      </c>
    </row>
    <row r="112" spans="1:36" outlineLevel="1">
      <c r="A112" s="3" t="s">
        <v>1364</v>
      </c>
      <c r="B112" s="302" t="s">
        <v>462</v>
      </c>
      <c r="C112" s="296">
        <v>7.0000000000000007E-2</v>
      </c>
      <c r="D112" s="317">
        <f t="shared" si="36"/>
        <v>7.1266666666666673E-2</v>
      </c>
      <c r="E112" s="317">
        <f t="shared" si="36"/>
        <v>7.2533333333333339E-2</v>
      </c>
      <c r="F112" s="317">
        <f t="shared" si="36"/>
        <v>7.3800000000000004E-2</v>
      </c>
      <c r="G112" s="317">
        <f t="shared" si="36"/>
        <v>7.506666666666667E-2</v>
      </c>
      <c r="H112" s="317">
        <f t="shared" si="36"/>
        <v>7.6333333333333336E-2</v>
      </c>
      <c r="I112" s="317">
        <f t="shared" si="36"/>
        <v>7.7600000000000002E-2</v>
      </c>
      <c r="J112" s="317">
        <f t="shared" si="36"/>
        <v>7.8866666666666668E-2</v>
      </c>
      <c r="K112" s="317">
        <f t="shared" si="36"/>
        <v>8.0133333333333334E-2</v>
      </c>
      <c r="L112" s="317">
        <f t="shared" si="36"/>
        <v>8.14E-2</v>
      </c>
      <c r="M112" s="317">
        <f t="shared" si="36"/>
        <v>8.2666666666666666E-2</v>
      </c>
      <c r="N112" s="317">
        <f t="shared" si="36"/>
        <v>8.3933333333333332E-2</v>
      </c>
      <c r="O112" s="317">
        <f t="shared" si="36"/>
        <v>8.5199999999999998E-2</v>
      </c>
      <c r="P112" s="317">
        <f t="shared" si="36"/>
        <v>8.6466666666666664E-2</v>
      </c>
      <c r="Q112" s="317">
        <f t="shared" si="36"/>
        <v>8.773333333333333E-2</v>
      </c>
      <c r="R112" s="317">
        <f t="shared" si="36"/>
        <v>8.8999999999999996E-2</v>
      </c>
      <c r="S112" s="317">
        <f t="shared" si="36"/>
        <v>9.0266666666666662E-2</v>
      </c>
      <c r="T112" s="317">
        <f t="shared" si="35"/>
        <v>9.1533333333333328E-2</v>
      </c>
      <c r="U112" s="317">
        <f t="shared" si="35"/>
        <v>9.2799999999999994E-2</v>
      </c>
      <c r="V112" s="317">
        <f t="shared" si="35"/>
        <v>9.406666666666666E-2</v>
      </c>
      <c r="W112" s="317">
        <f t="shared" si="35"/>
        <v>9.5333333333333325E-2</v>
      </c>
      <c r="X112" s="317">
        <f t="shared" si="35"/>
        <v>9.6599999999999991E-2</v>
      </c>
      <c r="Y112" s="317">
        <f t="shared" si="35"/>
        <v>9.7866666666666657E-2</v>
      </c>
      <c r="Z112" s="317">
        <f t="shared" si="35"/>
        <v>9.9133333333333323E-2</v>
      </c>
      <c r="AA112" s="317">
        <f t="shared" si="35"/>
        <v>0.10039999999999999</v>
      </c>
      <c r="AB112" s="317">
        <f t="shared" si="35"/>
        <v>0.10166666666666666</v>
      </c>
      <c r="AC112" s="317">
        <f t="shared" si="35"/>
        <v>0.10293333333333332</v>
      </c>
      <c r="AD112" s="317">
        <f t="shared" si="35"/>
        <v>0.10419999999999999</v>
      </c>
      <c r="AE112" s="317">
        <f t="shared" si="35"/>
        <v>0.10546666666666665</v>
      </c>
      <c r="AF112" s="317">
        <f t="shared" si="35"/>
        <v>0.10673333333333332</v>
      </c>
      <c r="AG112" s="296">
        <v>0.108</v>
      </c>
      <c r="AI112" s="214"/>
      <c r="AJ112" s="211" t="s">
        <v>1363</v>
      </c>
    </row>
    <row r="113" spans="1:36" outlineLevel="1">
      <c r="A113" s="3" t="s">
        <v>1365</v>
      </c>
      <c r="B113" s="302" t="s">
        <v>462</v>
      </c>
      <c r="C113" s="296">
        <v>0.05</v>
      </c>
      <c r="D113" s="317">
        <f t="shared" si="36"/>
        <v>5.0733333333333339E-2</v>
      </c>
      <c r="E113" s="317">
        <f t="shared" si="36"/>
        <v>5.1466666666666674E-2</v>
      </c>
      <c r="F113" s="317">
        <f t="shared" si="36"/>
        <v>5.220000000000001E-2</v>
      </c>
      <c r="G113" s="317">
        <f t="shared" si="36"/>
        <v>5.2933333333333346E-2</v>
      </c>
      <c r="H113" s="317">
        <f t="shared" si="36"/>
        <v>5.3666666666666682E-2</v>
      </c>
      <c r="I113" s="317">
        <f t="shared" si="36"/>
        <v>5.4400000000000018E-2</v>
      </c>
      <c r="J113" s="317">
        <f t="shared" si="36"/>
        <v>5.5133333333333354E-2</v>
      </c>
      <c r="K113" s="317">
        <f t="shared" si="36"/>
        <v>5.5866666666666689E-2</v>
      </c>
      <c r="L113" s="317">
        <f t="shared" si="36"/>
        <v>5.6600000000000025E-2</v>
      </c>
      <c r="M113" s="317">
        <f t="shared" si="36"/>
        <v>5.7333333333333361E-2</v>
      </c>
      <c r="N113" s="317">
        <f t="shared" si="36"/>
        <v>5.8066666666666697E-2</v>
      </c>
      <c r="O113" s="317">
        <f t="shared" si="36"/>
        <v>5.8800000000000033E-2</v>
      </c>
      <c r="P113" s="317">
        <f t="shared" si="36"/>
        <v>5.9533333333333369E-2</v>
      </c>
      <c r="Q113" s="317">
        <f t="shared" si="36"/>
        <v>6.0266666666666704E-2</v>
      </c>
      <c r="R113" s="317">
        <f t="shared" si="36"/>
        <v>6.100000000000004E-2</v>
      </c>
      <c r="S113" s="317">
        <f t="shared" si="36"/>
        <v>6.1733333333333376E-2</v>
      </c>
      <c r="T113" s="317">
        <f t="shared" si="35"/>
        <v>6.2466666666666712E-2</v>
      </c>
      <c r="U113" s="317">
        <f t="shared" si="35"/>
        <v>6.3200000000000048E-2</v>
      </c>
      <c r="V113" s="317">
        <f t="shared" si="35"/>
        <v>6.3933333333333384E-2</v>
      </c>
      <c r="W113" s="317">
        <f t="shared" si="35"/>
        <v>6.4666666666666719E-2</v>
      </c>
      <c r="X113" s="317">
        <f t="shared" si="35"/>
        <v>6.5400000000000055E-2</v>
      </c>
      <c r="Y113" s="317">
        <f t="shared" si="35"/>
        <v>6.6133333333333391E-2</v>
      </c>
      <c r="Z113" s="317">
        <f t="shared" si="35"/>
        <v>6.6866666666666727E-2</v>
      </c>
      <c r="AA113" s="317">
        <f t="shared" si="35"/>
        <v>6.7600000000000063E-2</v>
      </c>
      <c r="AB113" s="317">
        <f t="shared" si="35"/>
        <v>6.8333333333333399E-2</v>
      </c>
      <c r="AC113" s="317">
        <f t="shared" si="35"/>
        <v>6.9066666666666734E-2</v>
      </c>
      <c r="AD113" s="317">
        <f t="shared" si="35"/>
        <v>6.980000000000007E-2</v>
      </c>
      <c r="AE113" s="317">
        <f t="shared" si="35"/>
        <v>7.0533333333333406E-2</v>
      </c>
      <c r="AF113" s="317">
        <f t="shared" si="35"/>
        <v>7.1266666666666742E-2</v>
      </c>
      <c r="AG113" s="296">
        <v>7.1999999999999995E-2</v>
      </c>
      <c r="AI113" s="214"/>
      <c r="AJ113" s="211" t="s">
        <v>1363</v>
      </c>
    </row>
    <row r="114" spans="1:36" s="58" customFormat="1" outlineLevel="1">
      <c r="A114" s="306" t="s">
        <v>1366</v>
      </c>
      <c r="B114" s="303"/>
      <c r="C114" s="304"/>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c r="Z114" s="304"/>
      <c r="AA114" s="304"/>
      <c r="AB114" s="304"/>
      <c r="AC114" s="304"/>
      <c r="AD114" s="304"/>
      <c r="AE114" s="304"/>
      <c r="AF114" s="304"/>
      <c r="AG114" s="304"/>
      <c r="AI114" s="305"/>
      <c r="AJ114" s="306"/>
    </row>
    <row r="115" spans="1:36" s="58" customFormat="1" outlineLevel="1">
      <c r="A115" s="307" t="s">
        <v>1367</v>
      </c>
      <c r="B115" s="308" t="s">
        <v>462</v>
      </c>
      <c r="C115" s="337">
        <v>0.84</v>
      </c>
      <c r="D115" s="338">
        <f>-($C115-$AG115)/30+C115</f>
        <v>0.84399999999999997</v>
      </c>
      <c r="E115" s="338">
        <f t="shared" ref="E115:T116" si="37">-($C115-$AG115)/30+D115</f>
        <v>0.84799999999999998</v>
      </c>
      <c r="F115" s="338">
        <f t="shared" si="37"/>
        <v>0.85199999999999998</v>
      </c>
      <c r="G115" s="338">
        <f t="shared" si="37"/>
        <v>0.85599999999999998</v>
      </c>
      <c r="H115" s="338">
        <f t="shared" si="37"/>
        <v>0.86</v>
      </c>
      <c r="I115" s="338">
        <f t="shared" si="37"/>
        <v>0.86399999999999999</v>
      </c>
      <c r="J115" s="338">
        <f t="shared" si="37"/>
        <v>0.86799999999999999</v>
      </c>
      <c r="K115" s="338">
        <f t="shared" si="37"/>
        <v>0.872</v>
      </c>
      <c r="L115" s="338">
        <f t="shared" si="37"/>
        <v>0.876</v>
      </c>
      <c r="M115" s="338">
        <f t="shared" si="37"/>
        <v>0.88</v>
      </c>
      <c r="N115" s="338">
        <f t="shared" si="37"/>
        <v>0.88400000000000001</v>
      </c>
      <c r="O115" s="338">
        <f t="shared" si="37"/>
        <v>0.88800000000000001</v>
      </c>
      <c r="P115" s="338">
        <f t="shared" si="37"/>
        <v>0.89200000000000002</v>
      </c>
      <c r="Q115" s="338">
        <f t="shared" si="37"/>
        <v>0.89600000000000002</v>
      </c>
      <c r="R115" s="338">
        <f t="shared" si="37"/>
        <v>0.9</v>
      </c>
      <c r="S115" s="338">
        <f t="shared" si="37"/>
        <v>0.90400000000000003</v>
      </c>
      <c r="T115" s="338">
        <f t="shared" si="37"/>
        <v>0.90800000000000003</v>
      </c>
      <c r="U115" s="338">
        <f t="shared" ref="U115:AF116" si="38">-($C115-$AG115)/30+T115</f>
        <v>0.91200000000000003</v>
      </c>
      <c r="V115" s="338">
        <f t="shared" si="38"/>
        <v>0.91600000000000004</v>
      </c>
      <c r="W115" s="338">
        <f t="shared" si="38"/>
        <v>0.92</v>
      </c>
      <c r="X115" s="338">
        <f t="shared" si="38"/>
        <v>0.92400000000000004</v>
      </c>
      <c r="Y115" s="338">
        <f t="shared" si="38"/>
        <v>0.92800000000000005</v>
      </c>
      <c r="Z115" s="338">
        <f t="shared" si="38"/>
        <v>0.93200000000000005</v>
      </c>
      <c r="AA115" s="338">
        <f t="shared" si="38"/>
        <v>0.93600000000000005</v>
      </c>
      <c r="AB115" s="338">
        <f t="shared" si="38"/>
        <v>0.94000000000000006</v>
      </c>
      <c r="AC115" s="338">
        <f t="shared" si="38"/>
        <v>0.94400000000000006</v>
      </c>
      <c r="AD115" s="338">
        <f t="shared" si="38"/>
        <v>0.94800000000000006</v>
      </c>
      <c r="AE115" s="338">
        <f t="shared" si="38"/>
        <v>0.95200000000000007</v>
      </c>
      <c r="AF115" s="338">
        <f t="shared" si="38"/>
        <v>0.95600000000000007</v>
      </c>
      <c r="AG115" s="337">
        <v>0.96</v>
      </c>
      <c r="AI115" s="305"/>
      <c r="AJ115" s="339" t="s">
        <v>1363</v>
      </c>
    </row>
    <row r="116" spans="1:36" s="58" customFormat="1" outlineLevel="1">
      <c r="A116" s="307" t="s">
        <v>1368</v>
      </c>
      <c r="B116" s="308" t="s">
        <v>462</v>
      </c>
      <c r="C116" s="337">
        <v>0.22</v>
      </c>
      <c r="D116" s="338">
        <f>-($C116-$AG116)/30+C116</f>
        <v>0.22666666666666666</v>
      </c>
      <c r="E116" s="338">
        <f t="shared" si="37"/>
        <v>0.23333333333333331</v>
      </c>
      <c r="F116" s="338">
        <f t="shared" si="37"/>
        <v>0.23999999999999996</v>
      </c>
      <c r="G116" s="338">
        <f t="shared" si="37"/>
        <v>0.24666666666666662</v>
      </c>
      <c r="H116" s="338">
        <f t="shared" si="37"/>
        <v>0.2533333333333333</v>
      </c>
      <c r="I116" s="338">
        <f t="shared" si="37"/>
        <v>0.25999999999999995</v>
      </c>
      <c r="J116" s="338">
        <f t="shared" si="37"/>
        <v>0.26666666666666661</v>
      </c>
      <c r="K116" s="338">
        <f t="shared" si="37"/>
        <v>0.27333333333333326</v>
      </c>
      <c r="L116" s="338">
        <f t="shared" si="37"/>
        <v>0.27999999999999992</v>
      </c>
      <c r="M116" s="338">
        <f t="shared" si="37"/>
        <v>0.28666666666666657</v>
      </c>
      <c r="N116" s="338">
        <f t="shared" si="37"/>
        <v>0.29333333333333322</v>
      </c>
      <c r="O116" s="338">
        <f t="shared" si="37"/>
        <v>0.29999999999999988</v>
      </c>
      <c r="P116" s="338">
        <f t="shared" si="37"/>
        <v>0.30666666666666653</v>
      </c>
      <c r="Q116" s="338">
        <f t="shared" si="37"/>
        <v>0.31333333333333319</v>
      </c>
      <c r="R116" s="338">
        <f t="shared" si="37"/>
        <v>0.31999999999999984</v>
      </c>
      <c r="S116" s="338">
        <f t="shared" si="37"/>
        <v>0.32666666666666649</v>
      </c>
      <c r="T116" s="338">
        <f t="shared" si="37"/>
        <v>0.33333333333333315</v>
      </c>
      <c r="U116" s="338">
        <f t="shared" si="38"/>
        <v>0.3399999999999998</v>
      </c>
      <c r="V116" s="338">
        <f t="shared" si="38"/>
        <v>0.34666666666666646</v>
      </c>
      <c r="W116" s="338">
        <f t="shared" si="38"/>
        <v>0.35333333333333311</v>
      </c>
      <c r="X116" s="338">
        <f t="shared" si="38"/>
        <v>0.35999999999999976</v>
      </c>
      <c r="Y116" s="338">
        <f t="shared" si="38"/>
        <v>0.36666666666666642</v>
      </c>
      <c r="Z116" s="338">
        <f t="shared" si="38"/>
        <v>0.37333333333333307</v>
      </c>
      <c r="AA116" s="338">
        <f t="shared" si="38"/>
        <v>0.37999999999999973</v>
      </c>
      <c r="AB116" s="338">
        <f t="shared" si="38"/>
        <v>0.38666666666666638</v>
      </c>
      <c r="AC116" s="338">
        <f t="shared" si="38"/>
        <v>0.39333333333333304</v>
      </c>
      <c r="AD116" s="338">
        <f t="shared" si="38"/>
        <v>0.39999999999999969</v>
      </c>
      <c r="AE116" s="338">
        <f t="shared" si="38"/>
        <v>0.40666666666666634</v>
      </c>
      <c r="AF116" s="338">
        <f t="shared" si="38"/>
        <v>0.413333333333333</v>
      </c>
      <c r="AG116" s="337">
        <v>0.42</v>
      </c>
      <c r="AI116" s="305"/>
      <c r="AJ116" s="339" t="s">
        <v>1363</v>
      </c>
    </row>
    <row r="117" spans="1:36" s="62" customFormat="1" outlineLevel="1">
      <c r="A117" s="311" t="s">
        <v>1369</v>
      </c>
      <c r="B117" s="312" t="s">
        <v>462</v>
      </c>
      <c r="C117" s="340">
        <f>1-C116</f>
        <v>0.78</v>
      </c>
      <c r="D117" s="340">
        <f t="shared" ref="D117:AG117" si="39">1-D116</f>
        <v>0.77333333333333332</v>
      </c>
      <c r="E117" s="340">
        <f t="shared" si="39"/>
        <v>0.76666666666666672</v>
      </c>
      <c r="F117" s="340">
        <f t="shared" si="39"/>
        <v>0.76</v>
      </c>
      <c r="G117" s="340">
        <f t="shared" si="39"/>
        <v>0.75333333333333341</v>
      </c>
      <c r="H117" s="340">
        <f t="shared" si="39"/>
        <v>0.7466666666666667</v>
      </c>
      <c r="I117" s="340">
        <f t="shared" si="39"/>
        <v>0.74</v>
      </c>
      <c r="J117" s="340">
        <f t="shared" si="39"/>
        <v>0.73333333333333339</v>
      </c>
      <c r="K117" s="340">
        <f t="shared" si="39"/>
        <v>0.72666666666666679</v>
      </c>
      <c r="L117" s="340">
        <f t="shared" si="39"/>
        <v>0.72000000000000008</v>
      </c>
      <c r="M117" s="340">
        <f t="shared" si="39"/>
        <v>0.71333333333333337</v>
      </c>
      <c r="N117" s="340">
        <f t="shared" si="39"/>
        <v>0.70666666666666678</v>
      </c>
      <c r="O117" s="340">
        <f t="shared" si="39"/>
        <v>0.70000000000000018</v>
      </c>
      <c r="P117" s="340">
        <f t="shared" si="39"/>
        <v>0.69333333333333347</v>
      </c>
      <c r="Q117" s="340">
        <f t="shared" si="39"/>
        <v>0.68666666666666676</v>
      </c>
      <c r="R117" s="340">
        <f t="shared" si="39"/>
        <v>0.68000000000000016</v>
      </c>
      <c r="S117" s="340">
        <f t="shared" si="39"/>
        <v>0.67333333333333356</v>
      </c>
      <c r="T117" s="340">
        <f t="shared" si="39"/>
        <v>0.66666666666666685</v>
      </c>
      <c r="U117" s="340">
        <f t="shared" si="39"/>
        <v>0.66000000000000014</v>
      </c>
      <c r="V117" s="340">
        <f t="shared" si="39"/>
        <v>0.65333333333333354</v>
      </c>
      <c r="W117" s="340">
        <f t="shared" si="39"/>
        <v>0.64666666666666694</v>
      </c>
      <c r="X117" s="340">
        <f t="shared" si="39"/>
        <v>0.64000000000000024</v>
      </c>
      <c r="Y117" s="340">
        <f t="shared" si="39"/>
        <v>0.63333333333333353</v>
      </c>
      <c r="Z117" s="340">
        <f t="shared" si="39"/>
        <v>0.62666666666666693</v>
      </c>
      <c r="AA117" s="340">
        <f t="shared" si="39"/>
        <v>0.62000000000000033</v>
      </c>
      <c r="AB117" s="340">
        <f t="shared" si="39"/>
        <v>0.61333333333333362</v>
      </c>
      <c r="AC117" s="340">
        <f t="shared" si="39"/>
        <v>0.60666666666666691</v>
      </c>
      <c r="AD117" s="340">
        <f t="shared" si="39"/>
        <v>0.60000000000000031</v>
      </c>
      <c r="AE117" s="340">
        <f t="shared" si="39"/>
        <v>0.59333333333333371</v>
      </c>
      <c r="AF117" s="340">
        <f t="shared" si="39"/>
        <v>0.586666666666667</v>
      </c>
      <c r="AG117" s="340">
        <f t="shared" si="39"/>
        <v>0.58000000000000007</v>
      </c>
      <c r="AI117" s="342"/>
      <c r="AJ117" s="341" t="s">
        <v>1363</v>
      </c>
    </row>
    <row r="118" spans="1:36" s="1" customFormat="1" outlineLevel="1">
      <c r="A118" t="s">
        <v>1370</v>
      </c>
      <c r="B118" s="302" t="s">
        <v>462</v>
      </c>
      <c r="C118" s="296">
        <v>0.95</v>
      </c>
      <c r="D118" s="317">
        <f t="shared" ref="D118:S133" si="40">-($C118-$AG118)/30+C118</f>
        <v>0.94499999999999995</v>
      </c>
      <c r="E118" s="317">
        <f t="shared" si="40"/>
        <v>0.94</v>
      </c>
      <c r="F118" s="317">
        <f t="shared" si="40"/>
        <v>0.93499999999999994</v>
      </c>
      <c r="G118" s="317">
        <f t="shared" si="40"/>
        <v>0.92999999999999994</v>
      </c>
      <c r="H118" s="317">
        <f t="shared" si="40"/>
        <v>0.92499999999999993</v>
      </c>
      <c r="I118" s="317">
        <f t="shared" si="40"/>
        <v>0.91999999999999993</v>
      </c>
      <c r="J118" s="317">
        <f t="shared" si="40"/>
        <v>0.91499999999999992</v>
      </c>
      <c r="K118" s="317">
        <f t="shared" si="40"/>
        <v>0.90999999999999992</v>
      </c>
      <c r="L118" s="317">
        <f t="shared" si="40"/>
        <v>0.90499999999999992</v>
      </c>
      <c r="M118" s="317">
        <f t="shared" si="40"/>
        <v>0.89999999999999991</v>
      </c>
      <c r="N118" s="317">
        <f t="shared" si="40"/>
        <v>0.89499999999999991</v>
      </c>
      <c r="O118" s="317">
        <f t="shared" si="40"/>
        <v>0.8899999999999999</v>
      </c>
      <c r="P118" s="317">
        <f t="shared" si="40"/>
        <v>0.8849999999999999</v>
      </c>
      <c r="Q118" s="317">
        <f t="shared" si="40"/>
        <v>0.87999999999999989</v>
      </c>
      <c r="R118" s="317">
        <f t="shared" si="40"/>
        <v>0.87499999999999989</v>
      </c>
      <c r="S118" s="317">
        <f t="shared" si="40"/>
        <v>0.86999999999999988</v>
      </c>
      <c r="T118" s="317">
        <f t="shared" ref="T118:AF132" si="41">-($C118-$AG118)/30+S118</f>
        <v>0.86499999999999988</v>
      </c>
      <c r="U118" s="317">
        <f t="shared" si="41"/>
        <v>0.85999999999999988</v>
      </c>
      <c r="V118" s="317">
        <f t="shared" si="41"/>
        <v>0.85499999999999987</v>
      </c>
      <c r="W118" s="317">
        <f t="shared" si="41"/>
        <v>0.84999999999999987</v>
      </c>
      <c r="X118" s="317">
        <f t="shared" si="41"/>
        <v>0.84499999999999986</v>
      </c>
      <c r="Y118" s="317">
        <f t="shared" si="41"/>
        <v>0.83999999999999986</v>
      </c>
      <c r="Z118" s="317">
        <f t="shared" si="41"/>
        <v>0.83499999999999985</v>
      </c>
      <c r="AA118" s="317">
        <f t="shared" si="41"/>
        <v>0.82999999999999985</v>
      </c>
      <c r="AB118" s="317">
        <f t="shared" si="41"/>
        <v>0.82499999999999984</v>
      </c>
      <c r="AC118" s="317">
        <f t="shared" si="41"/>
        <v>0.81999999999999984</v>
      </c>
      <c r="AD118" s="317">
        <f t="shared" si="41"/>
        <v>0.81499999999999984</v>
      </c>
      <c r="AE118" s="317">
        <f t="shared" si="41"/>
        <v>0.80999999999999983</v>
      </c>
      <c r="AF118" s="317">
        <f t="shared" si="41"/>
        <v>0.80499999999999983</v>
      </c>
      <c r="AG118" s="296">
        <v>0.8</v>
      </c>
      <c r="AJ118" s="211" t="s">
        <v>1363</v>
      </c>
    </row>
    <row r="119" spans="1:36" s="1" customFormat="1" outlineLevel="1">
      <c r="A119" t="s">
        <v>1371</v>
      </c>
      <c r="B119" s="302" t="s">
        <v>462</v>
      </c>
      <c r="C119" s="296">
        <v>0.05</v>
      </c>
      <c r="D119" s="317">
        <f t="shared" si="40"/>
        <v>5.5000000000000007E-2</v>
      </c>
      <c r="E119" s="317">
        <f t="shared" si="40"/>
        <v>6.0000000000000012E-2</v>
      </c>
      <c r="F119" s="317">
        <f t="shared" si="40"/>
        <v>6.5000000000000016E-2</v>
      </c>
      <c r="G119" s="317">
        <f t="shared" si="40"/>
        <v>7.0000000000000021E-2</v>
      </c>
      <c r="H119" s="317">
        <f t="shared" si="40"/>
        <v>7.5000000000000025E-2</v>
      </c>
      <c r="I119" s="317">
        <f t="shared" si="40"/>
        <v>8.0000000000000029E-2</v>
      </c>
      <c r="J119" s="317">
        <f t="shared" si="40"/>
        <v>8.5000000000000034E-2</v>
      </c>
      <c r="K119" s="317">
        <f t="shared" si="40"/>
        <v>9.0000000000000038E-2</v>
      </c>
      <c r="L119" s="317">
        <f t="shared" si="40"/>
        <v>9.5000000000000043E-2</v>
      </c>
      <c r="M119" s="317">
        <f t="shared" si="40"/>
        <v>0.10000000000000005</v>
      </c>
      <c r="N119" s="317">
        <f t="shared" si="40"/>
        <v>0.10500000000000005</v>
      </c>
      <c r="O119" s="317">
        <f t="shared" si="40"/>
        <v>0.11000000000000006</v>
      </c>
      <c r="P119" s="317">
        <f t="shared" si="40"/>
        <v>0.11500000000000006</v>
      </c>
      <c r="Q119" s="317">
        <f t="shared" si="40"/>
        <v>0.12000000000000006</v>
      </c>
      <c r="R119" s="317">
        <f t="shared" si="40"/>
        <v>0.12500000000000006</v>
      </c>
      <c r="S119" s="317">
        <f t="shared" si="40"/>
        <v>0.13000000000000006</v>
      </c>
      <c r="T119" s="317">
        <f t="shared" si="41"/>
        <v>0.13500000000000006</v>
      </c>
      <c r="U119" s="317">
        <f t="shared" si="41"/>
        <v>0.14000000000000007</v>
      </c>
      <c r="V119" s="317">
        <f t="shared" si="41"/>
        <v>0.14500000000000007</v>
      </c>
      <c r="W119" s="317">
        <f t="shared" si="41"/>
        <v>0.15000000000000008</v>
      </c>
      <c r="X119" s="317">
        <f t="shared" si="41"/>
        <v>0.15500000000000008</v>
      </c>
      <c r="Y119" s="317">
        <f t="shared" si="41"/>
        <v>0.16000000000000009</v>
      </c>
      <c r="Z119" s="317">
        <f t="shared" si="41"/>
        <v>0.16500000000000009</v>
      </c>
      <c r="AA119" s="317">
        <f t="shared" si="41"/>
        <v>0.1700000000000001</v>
      </c>
      <c r="AB119" s="317">
        <f t="shared" si="41"/>
        <v>0.1750000000000001</v>
      </c>
      <c r="AC119" s="317">
        <f t="shared" si="41"/>
        <v>0.1800000000000001</v>
      </c>
      <c r="AD119" s="317">
        <f t="shared" si="41"/>
        <v>0.18500000000000011</v>
      </c>
      <c r="AE119" s="317">
        <f t="shared" si="41"/>
        <v>0.19000000000000011</v>
      </c>
      <c r="AF119" s="317">
        <f t="shared" si="41"/>
        <v>0.19500000000000012</v>
      </c>
      <c r="AG119" s="296">
        <v>0.2</v>
      </c>
      <c r="AI119" s="435" t="s">
        <v>1506</v>
      </c>
      <c r="AJ119" s="211" t="s">
        <v>1363</v>
      </c>
    </row>
    <row r="120" spans="1:36" s="1" customFormat="1" outlineLevel="1">
      <c r="A120" t="s">
        <v>1372</v>
      </c>
      <c r="B120" s="302" t="s">
        <v>462</v>
      </c>
      <c r="C120" s="296">
        <v>0.15</v>
      </c>
      <c r="D120" s="317">
        <f t="shared" si="40"/>
        <v>0.15633333333333332</v>
      </c>
      <c r="E120" s="317">
        <f t="shared" si="40"/>
        <v>0.16266666666666665</v>
      </c>
      <c r="F120" s="317">
        <f t="shared" si="40"/>
        <v>0.16899999999999998</v>
      </c>
      <c r="G120" s="317">
        <f t="shared" si="40"/>
        <v>0.17533333333333331</v>
      </c>
      <c r="H120" s="317">
        <f t="shared" si="40"/>
        <v>0.18166666666666664</v>
      </c>
      <c r="I120" s="317">
        <f t="shared" si="40"/>
        <v>0.18799999999999997</v>
      </c>
      <c r="J120" s="317">
        <f t="shared" si="40"/>
        <v>0.1943333333333333</v>
      </c>
      <c r="K120" s="317">
        <f t="shared" si="40"/>
        <v>0.20066666666666663</v>
      </c>
      <c r="L120" s="317">
        <f t="shared" si="40"/>
        <v>0.20699999999999996</v>
      </c>
      <c r="M120" s="317">
        <f t="shared" si="40"/>
        <v>0.21333333333333329</v>
      </c>
      <c r="N120" s="317">
        <f t="shared" si="40"/>
        <v>0.21966666666666662</v>
      </c>
      <c r="O120" s="317">
        <f t="shared" si="40"/>
        <v>0.22599999999999995</v>
      </c>
      <c r="P120" s="317">
        <f t="shared" si="40"/>
        <v>0.23233333333333328</v>
      </c>
      <c r="Q120" s="317">
        <f t="shared" si="40"/>
        <v>0.23866666666666661</v>
      </c>
      <c r="R120" s="317">
        <f t="shared" si="40"/>
        <v>0.24499999999999994</v>
      </c>
      <c r="S120" s="317">
        <f t="shared" si="40"/>
        <v>0.2513333333333333</v>
      </c>
      <c r="T120" s="317">
        <f t="shared" si="41"/>
        <v>0.25766666666666665</v>
      </c>
      <c r="U120" s="317">
        <f t="shared" si="41"/>
        <v>0.26400000000000001</v>
      </c>
      <c r="V120" s="317">
        <f t="shared" si="41"/>
        <v>0.27033333333333337</v>
      </c>
      <c r="W120" s="317">
        <f t="shared" si="41"/>
        <v>0.27666666666666673</v>
      </c>
      <c r="X120" s="317">
        <f t="shared" si="41"/>
        <v>0.28300000000000008</v>
      </c>
      <c r="Y120" s="317">
        <f t="shared" si="41"/>
        <v>0.28933333333333344</v>
      </c>
      <c r="Z120" s="317">
        <f t="shared" si="41"/>
        <v>0.2956666666666668</v>
      </c>
      <c r="AA120" s="317">
        <f t="shared" si="41"/>
        <v>0.30200000000000016</v>
      </c>
      <c r="AB120" s="317">
        <f t="shared" si="41"/>
        <v>0.30833333333333351</v>
      </c>
      <c r="AC120" s="317">
        <f t="shared" si="41"/>
        <v>0.31466666666666687</v>
      </c>
      <c r="AD120" s="317">
        <f t="shared" si="41"/>
        <v>0.32100000000000023</v>
      </c>
      <c r="AE120" s="317">
        <f t="shared" si="41"/>
        <v>0.32733333333333359</v>
      </c>
      <c r="AF120" s="317">
        <f t="shared" si="41"/>
        <v>0.33366666666666694</v>
      </c>
      <c r="AG120" s="296">
        <v>0.34</v>
      </c>
      <c r="AI120" s="316"/>
      <c r="AJ120" s="211" t="s">
        <v>1363</v>
      </c>
    </row>
    <row r="121" spans="1:36" s="1" customFormat="1" outlineLevel="1">
      <c r="A121" t="s">
        <v>1373</v>
      </c>
      <c r="B121" s="302" t="s">
        <v>462</v>
      </c>
      <c r="C121" s="296">
        <v>0.85</v>
      </c>
      <c r="D121" s="317">
        <f t="shared" si="40"/>
        <v>0.84366666666666668</v>
      </c>
      <c r="E121" s="317">
        <f t="shared" si="40"/>
        <v>0.83733333333333337</v>
      </c>
      <c r="F121" s="317">
        <f t="shared" si="40"/>
        <v>0.83100000000000007</v>
      </c>
      <c r="G121" s="317">
        <f t="shared" si="40"/>
        <v>0.82466666666666677</v>
      </c>
      <c r="H121" s="317">
        <f t="shared" si="40"/>
        <v>0.81833333333333347</v>
      </c>
      <c r="I121" s="317">
        <f t="shared" si="40"/>
        <v>0.81200000000000017</v>
      </c>
      <c r="J121" s="317">
        <f t="shared" si="40"/>
        <v>0.80566666666666686</v>
      </c>
      <c r="K121" s="317">
        <f t="shared" si="40"/>
        <v>0.79933333333333356</v>
      </c>
      <c r="L121" s="317">
        <f t="shared" si="40"/>
        <v>0.79300000000000026</v>
      </c>
      <c r="M121" s="317">
        <f t="shared" si="40"/>
        <v>0.78666666666666696</v>
      </c>
      <c r="N121" s="317">
        <f t="shared" si="40"/>
        <v>0.78033333333333366</v>
      </c>
      <c r="O121" s="317">
        <f t="shared" si="40"/>
        <v>0.77400000000000035</v>
      </c>
      <c r="P121" s="317">
        <f t="shared" si="40"/>
        <v>0.76766666666666705</v>
      </c>
      <c r="Q121" s="317">
        <f t="shared" si="40"/>
        <v>0.76133333333333375</v>
      </c>
      <c r="R121" s="317">
        <f t="shared" si="40"/>
        <v>0.75500000000000045</v>
      </c>
      <c r="S121" s="317">
        <f t="shared" si="40"/>
        <v>0.74866666666666715</v>
      </c>
      <c r="T121" s="317">
        <f t="shared" si="41"/>
        <v>0.74233333333333384</v>
      </c>
      <c r="U121" s="317">
        <f t="shared" si="41"/>
        <v>0.73600000000000054</v>
      </c>
      <c r="V121" s="317">
        <f t="shared" si="41"/>
        <v>0.72966666666666724</v>
      </c>
      <c r="W121" s="317">
        <f t="shared" si="41"/>
        <v>0.72333333333333394</v>
      </c>
      <c r="X121" s="317">
        <f t="shared" si="41"/>
        <v>0.71700000000000064</v>
      </c>
      <c r="Y121" s="317">
        <f t="shared" si="41"/>
        <v>0.71066666666666733</v>
      </c>
      <c r="Z121" s="317">
        <f t="shared" si="41"/>
        <v>0.70433333333333403</v>
      </c>
      <c r="AA121" s="317">
        <f t="shared" si="41"/>
        <v>0.69800000000000073</v>
      </c>
      <c r="AB121" s="317">
        <f t="shared" si="41"/>
        <v>0.69166666666666743</v>
      </c>
      <c r="AC121" s="317">
        <f t="shared" si="41"/>
        <v>0.68533333333333413</v>
      </c>
      <c r="AD121" s="317">
        <f t="shared" si="41"/>
        <v>0.67900000000000083</v>
      </c>
      <c r="AE121" s="317">
        <f t="shared" si="41"/>
        <v>0.67266666666666752</v>
      </c>
      <c r="AF121" s="317">
        <f t="shared" si="41"/>
        <v>0.66633333333333422</v>
      </c>
      <c r="AG121" s="296">
        <v>0.66</v>
      </c>
      <c r="AI121" s="316"/>
      <c r="AJ121" s="211" t="s">
        <v>1363</v>
      </c>
    </row>
    <row r="122" spans="1:36" s="1" customFormat="1" outlineLevel="1">
      <c r="A122" t="s">
        <v>1374</v>
      </c>
      <c r="B122" s="302" t="s">
        <v>462</v>
      </c>
      <c r="C122" s="296">
        <v>0</v>
      </c>
      <c r="D122" s="317">
        <f t="shared" si="40"/>
        <v>0</v>
      </c>
      <c r="E122" s="317">
        <f t="shared" si="40"/>
        <v>0</v>
      </c>
      <c r="F122" s="317">
        <f t="shared" si="40"/>
        <v>0</v>
      </c>
      <c r="G122" s="317">
        <f t="shared" si="40"/>
        <v>0</v>
      </c>
      <c r="H122" s="317">
        <f t="shared" si="40"/>
        <v>0</v>
      </c>
      <c r="I122" s="317">
        <f t="shared" si="40"/>
        <v>0</v>
      </c>
      <c r="J122" s="317">
        <f t="shared" si="40"/>
        <v>0</v>
      </c>
      <c r="K122" s="317">
        <f t="shared" si="40"/>
        <v>0</v>
      </c>
      <c r="L122" s="317">
        <f t="shared" si="40"/>
        <v>0</v>
      </c>
      <c r="M122" s="317">
        <f t="shared" si="40"/>
        <v>0</v>
      </c>
      <c r="N122" s="317">
        <f t="shared" si="40"/>
        <v>0</v>
      </c>
      <c r="O122" s="317">
        <f t="shared" si="40"/>
        <v>0</v>
      </c>
      <c r="P122" s="317">
        <f t="shared" si="40"/>
        <v>0</v>
      </c>
      <c r="Q122" s="317">
        <f t="shared" si="40"/>
        <v>0</v>
      </c>
      <c r="R122" s="317">
        <f t="shared" si="40"/>
        <v>0</v>
      </c>
      <c r="S122" s="317">
        <f t="shared" si="40"/>
        <v>0</v>
      </c>
      <c r="T122" s="317">
        <f t="shared" si="41"/>
        <v>0</v>
      </c>
      <c r="U122" s="317">
        <f t="shared" si="41"/>
        <v>0</v>
      </c>
      <c r="V122" s="317">
        <f t="shared" si="41"/>
        <v>0</v>
      </c>
      <c r="W122" s="317">
        <f t="shared" si="41"/>
        <v>0</v>
      </c>
      <c r="X122" s="317">
        <f t="shared" si="41"/>
        <v>0</v>
      </c>
      <c r="Y122" s="317">
        <f t="shared" si="41"/>
        <v>0</v>
      </c>
      <c r="Z122" s="317">
        <f t="shared" si="41"/>
        <v>0</v>
      </c>
      <c r="AA122" s="317">
        <f t="shared" si="41"/>
        <v>0</v>
      </c>
      <c r="AB122" s="317">
        <f t="shared" si="41"/>
        <v>0</v>
      </c>
      <c r="AC122" s="317">
        <f t="shared" si="41"/>
        <v>0</v>
      </c>
      <c r="AD122" s="317">
        <f t="shared" si="41"/>
        <v>0</v>
      </c>
      <c r="AE122" s="317">
        <f t="shared" si="41"/>
        <v>0</v>
      </c>
      <c r="AF122" s="317">
        <f t="shared" si="41"/>
        <v>0</v>
      </c>
      <c r="AG122" s="296">
        <v>0</v>
      </c>
      <c r="AI122" s="316"/>
      <c r="AJ122" s="211" t="s">
        <v>1363</v>
      </c>
    </row>
    <row r="123" spans="1:36" s="1" customFormat="1" outlineLevel="1">
      <c r="A123" t="s">
        <v>1375</v>
      </c>
      <c r="B123" s="302" t="s">
        <v>462</v>
      </c>
      <c r="C123" s="296">
        <v>1</v>
      </c>
      <c r="D123" s="317">
        <f t="shared" si="40"/>
        <v>1</v>
      </c>
      <c r="E123" s="317">
        <f t="shared" si="40"/>
        <v>1</v>
      </c>
      <c r="F123" s="317">
        <f t="shared" si="40"/>
        <v>1</v>
      </c>
      <c r="G123" s="317">
        <f t="shared" si="40"/>
        <v>1</v>
      </c>
      <c r="H123" s="317">
        <f t="shared" si="40"/>
        <v>1</v>
      </c>
      <c r="I123" s="317">
        <f t="shared" si="40"/>
        <v>1</v>
      </c>
      <c r="J123" s="317">
        <f t="shared" si="40"/>
        <v>1</v>
      </c>
      <c r="K123" s="317">
        <f t="shared" si="40"/>
        <v>1</v>
      </c>
      <c r="L123" s="317">
        <f t="shared" si="40"/>
        <v>1</v>
      </c>
      <c r="M123" s="317">
        <f t="shared" si="40"/>
        <v>1</v>
      </c>
      <c r="N123" s="317">
        <f t="shared" si="40"/>
        <v>1</v>
      </c>
      <c r="O123" s="317">
        <f t="shared" si="40"/>
        <v>1</v>
      </c>
      <c r="P123" s="317">
        <f t="shared" si="40"/>
        <v>1</v>
      </c>
      <c r="Q123" s="317">
        <f t="shared" si="40"/>
        <v>1</v>
      </c>
      <c r="R123" s="317">
        <f t="shared" si="40"/>
        <v>1</v>
      </c>
      <c r="S123" s="317">
        <f t="shared" si="40"/>
        <v>1</v>
      </c>
      <c r="T123" s="317">
        <f t="shared" si="41"/>
        <v>1</v>
      </c>
      <c r="U123" s="317">
        <f t="shared" si="41"/>
        <v>1</v>
      </c>
      <c r="V123" s="317">
        <f t="shared" si="41"/>
        <v>1</v>
      </c>
      <c r="W123" s="317">
        <f t="shared" si="41"/>
        <v>1</v>
      </c>
      <c r="X123" s="317">
        <f t="shared" si="41"/>
        <v>1</v>
      </c>
      <c r="Y123" s="317">
        <f t="shared" si="41"/>
        <v>1</v>
      </c>
      <c r="Z123" s="317">
        <f t="shared" si="41"/>
        <v>1</v>
      </c>
      <c r="AA123" s="317">
        <f t="shared" si="41"/>
        <v>1</v>
      </c>
      <c r="AB123" s="317">
        <f t="shared" si="41"/>
        <v>1</v>
      </c>
      <c r="AC123" s="317">
        <f t="shared" si="41"/>
        <v>1</v>
      </c>
      <c r="AD123" s="317">
        <f t="shared" si="41"/>
        <v>1</v>
      </c>
      <c r="AE123" s="317">
        <f t="shared" si="41"/>
        <v>1</v>
      </c>
      <c r="AF123" s="317">
        <f t="shared" si="41"/>
        <v>1</v>
      </c>
      <c r="AG123" s="296">
        <v>1</v>
      </c>
      <c r="AI123" s="316"/>
      <c r="AJ123" s="211" t="s">
        <v>1363</v>
      </c>
    </row>
    <row r="124" spans="1:36" s="1" customFormat="1" outlineLevel="1">
      <c r="A124" t="s">
        <v>1376</v>
      </c>
      <c r="B124" s="302" t="s">
        <v>462</v>
      </c>
      <c r="C124" s="296">
        <v>0.8</v>
      </c>
      <c r="D124" s="317">
        <f t="shared" si="40"/>
        <v>0.80333333333333334</v>
      </c>
      <c r="E124" s="317">
        <f t="shared" si="40"/>
        <v>0.80666666666666664</v>
      </c>
      <c r="F124" s="317">
        <f t="shared" si="40"/>
        <v>0.80999999999999994</v>
      </c>
      <c r="G124" s="317">
        <f t="shared" si="40"/>
        <v>0.81333333333333324</v>
      </c>
      <c r="H124" s="317">
        <f t="shared" si="40"/>
        <v>0.81666666666666654</v>
      </c>
      <c r="I124" s="317">
        <f t="shared" si="40"/>
        <v>0.81999999999999984</v>
      </c>
      <c r="J124" s="317">
        <f t="shared" si="40"/>
        <v>0.82333333333333314</v>
      </c>
      <c r="K124" s="317">
        <f t="shared" si="40"/>
        <v>0.82666666666666644</v>
      </c>
      <c r="L124" s="317">
        <f t="shared" si="40"/>
        <v>0.82999999999999974</v>
      </c>
      <c r="M124" s="317">
        <f t="shared" si="40"/>
        <v>0.83333333333333304</v>
      </c>
      <c r="N124" s="317">
        <f t="shared" si="40"/>
        <v>0.83666666666666634</v>
      </c>
      <c r="O124" s="317">
        <f t="shared" si="40"/>
        <v>0.83999999999999964</v>
      </c>
      <c r="P124" s="317">
        <f t="shared" si="40"/>
        <v>0.84333333333333294</v>
      </c>
      <c r="Q124" s="317">
        <f t="shared" si="40"/>
        <v>0.84666666666666623</v>
      </c>
      <c r="R124" s="317">
        <f t="shared" si="40"/>
        <v>0.84999999999999953</v>
      </c>
      <c r="S124" s="317">
        <f t="shared" si="40"/>
        <v>0.85333333333333283</v>
      </c>
      <c r="T124" s="317">
        <f t="shared" si="41"/>
        <v>0.85666666666666613</v>
      </c>
      <c r="U124" s="317">
        <f t="shared" si="41"/>
        <v>0.85999999999999943</v>
      </c>
      <c r="V124" s="317">
        <f t="shared" si="41"/>
        <v>0.86333333333333273</v>
      </c>
      <c r="W124" s="317">
        <f t="shared" si="41"/>
        <v>0.86666666666666603</v>
      </c>
      <c r="X124" s="317">
        <f t="shared" si="41"/>
        <v>0.86999999999999933</v>
      </c>
      <c r="Y124" s="317">
        <f t="shared" si="41"/>
        <v>0.87333333333333263</v>
      </c>
      <c r="Z124" s="317">
        <f t="shared" si="41"/>
        <v>0.87666666666666593</v>
      </c>
      <c r="AA124" s="317">
        <f t="shared" si="41"/>
        <v>0.87999999999999923</v>
      </c>
      <c r="AB124" s="317">
        <f t="shared" si="41"/>
        <v>0.88333333333333253</v>
      </c>
      <c r="AC124" s="317">
        <f t="shared" si="41"/>
        <v>0.88666666666666583</v>
      </c>
      <c r="AD124" s="317">
        <f t="shared" si="41"/>
        <v>0.88999999999999913</v>
      </c>
      <c r="AE124" s="317">
        <f t="shared" si="41"/>
        <v>0.89333333333333242</v>
      </c>
      <c r="AF124" s="317">
        <f t="shared" si="41"/>
        <v>0.89666666666666572</v>
      </c>
      <c r="AG124" s="296">
        <v>0.9</v>
      </c>
      <c r="AI124" s="316"/>
      <c r="AJ124" s="211" t="s">
        <v>1363</v>
      </c>
    </row>
    <row r="125" spans="1:36" s="1" customFormat="1" outlineLevel="1">
      <c r="A125" t="s">
        <v>1377</v>
      </c>
      <c r="B125" s="302" t="s">
        <v>462</v>
      </c>
      <c r="C125" s="296">
        <v>0.2</v>
      </c>
      <c r="D125" s="317">
        <f t="shared" si="40"/>
        <v>0.19666666666666668</v>
      </c>
      <c r="E125" s="317">
        <f t="shared" si="40"/>
        <v>0.19333333333333336</v>
      </c>
      <c r="F125" s="317">
        <f t="shared" si="40"/>
        <v>0.19000000000000003</v>
      </c>
      <c r="G125" s="317">
        <f t="shared" si="40"/>
        <v>0.1866666666666667</v>
      </c>
      <c r="H125" s="317">
        <f t="shared" si="40"/>
        <v>0.18333333333333338</v>
      </c>
      <c r="I125" s="317">
        <f t="shared" si="40"/>
        <v>0.18000000000000005</v>
      </c>
      <c r="J125" s="317">
        <f t="shared" si="40"/>
        <v>0.17666666666666672</v>
      </c>
      <c r="K125" s="317">
        <f t="shared" si="40"/>
        <v>0.17333333333333339</v>
      </c>
      <c r="L125" s="317">
        <f t="shared" si="40"/>
        <v>0.17000000000000007</v>
      </c>
      <c r="M125" s="317">
        <f t="shared" si="40"/>
        <v>0.16666666666666674</v>
      </c>
      <c r="N125" s="317">
        <f t="shared" si="40"/>
        <v>0.16333333333333341</v>
      </c>
      <c r="O125" s="317">
        <f t="shared" si="40"/>
        <v>0.16000000000000009</v>
      </c>
      <c r="P125" s="317">
        <f t="shared" si="40"/>
        <v>0.15666666666666676</v>
      </c>
      <c r="Q125" s="317">
        <f t="shared" si="40"/>
        <v>0.15333333333333343</v>
      </c>
      <c r="R125" s="317">
        <f t="shared" si="40"/>
        <v>0.15000000000000011</v>
      </c>
      <c r="S125" s="317">
        <f t="shared" si="40"/>
        <v>0.14666666666666678</v>
      </c>
      <c r="T125" s="317">
        <f t="shared" si="41"/>
        <v>0.14333333333333345</v>
      </c>
      <c r="U125" s="317">
        <f t="shared" si="41"/>
        <v>0.14000000000000012</v>
      </c>
      <c r="V125" s="317">
        <f t="shared" si="41"/>
        <v>0.1366666666666668</v>
      </c>
      <c r="W125" s="317">
        <f t="shared" si="41"/>
        <v>0.13333333333333347</v>
      </c>
      <c r="X125" s="317">
        <f t="shared" si="41"/>
        <v>0.13000000000000014</v>
      </c>
      <c r="Y125" s="317">
        <f t="shared" si="41"/>
        <v>0.12666666666666682</v>
      </c>
      <c r="Z125" s="317">
        <f t="shared" si="41"/>
        <v>0.12333333333333349</v>
      </c>
      <c r="AA125" s="317">
        <f t="shared" si="41"/>
        <v>0.12000000000000016</v>
      </c>
      <c r="AB125" s="317">
        <f t="shared" si="41"/>
        <v>0.11666666666666684</v>
      </c>
      <c r="AC125" s="317">
        <f t="shared" si="41"/>
        <v>0.11333333333333351</v>
      </c>
      <c r="AD125" s="317">
        <f t="shared" si="41"/>
        <v>0.11000000000000018</v>
      </c>
      <c r="AE125" s="317">
        <f t="shared" si="41"/>
        <v>0.10666666666666685</v>
      </c>
      <c r="AF125" s="317">
        <f t="shared" si="41"/>
        <v>0.10333333333333353</v>
      </c>
      <c r="AG125" s="296">
        <v>0.1</v>
      </c>
      <c r="AI125" s="316"/>
      <c r="AJ125" s="211" t="s">
        <v>1363</v>
      </c>
    </row>
    <row r="126" spans="1:36" s="1" customFormat="1" outlineLevel="1">
      <c r="A126" t="s">
        <v>1378</v>
      </c>
      <c r="B126" s="302" t="s">
        <v>462</v>
      </c>
      <c r="C126" s="296">
        <v>0.95</v>
      </c>
      <c r="D126" s="317">
        <f t="shared" si="40"/>
        <v>0.94866666666666666</v>
      </c>
      <c r="E126" s="317">
        <f t="shared" si="40"/>
        <v>0.94733333333333336</v>
      </c>
      <c r="F126" s="317">
        <f t="shared" si="40"/>
        <v>0.94600000000000006</v>
      </c>
      <c r="G126" s="317">
        <f t="shared" si="40"/>
        <v>0.94466666666666677</v>
      </c>
      <c r="H126" s="317">
        <f t="shared" si="40"/>
        <v>0.94333333333333347</v>
      </c>
      <c r="I126" s="317">
        <f t="shared" si="40"/>
        <v>0.94200000000000017</v>
      </c>
      <c r="J126" s="317">
        <f t="shared" si="40"/>
        <v>0.94066666666666687</v>
      </c>
      <c r="K126" s="317">
        <f t="shared" si="40"/>
        <v>0.93933333333333358</v>
      </c>
      <c r="L126" s="317">
        <f t="shared" si="40"/>
        <v>0.93800000000000028</v>
      </c>
      <c r="M126" s="317">
        <f t="shared" si="40"/>
        <v>0.93666666666666698</v>
      </c>
      <c r="N126" s="317">
        <f t="shared" si="40"/>
        <v>0.93533333333333368</v>
      </c>
      <c r="O126" s="317">
        <f t="shared" si="40"/>
        <v>0.93400000000000039</v>
      </c>
      <c r="P126" s="317">
        <f t="shared" si="40"/>
        <v>0.93266666666666709</v>
      </c>
      <c r="Q126" s="317">
        <f t="shared" si="40"/>
        <v>0.93133333333333379</v>
      </c>
      <c r="R126" s="317">
        <f t="shared" si="40"/>
        <v>0.93000000000000049</v>
      </c>
      <c r="S126" s="317">
        <f t="shared" si="40"/>
        <v>0.9286666666666672</v>
      </c>
      <c r="T126" s="317">
        <f t="shared" si="41"/>
        <v>0.9273333333333339</v>
      </c>
      <c r="U126" s="317">
        <f t="shared" si="41"/>
        <v>0.9260000000000006</v>
      </c>
      <c r="V126" s="317">
        <f t="shared" si="41"/>
        <v>0.9246666666666673</v>
      </c>
      <c r="W126" s="317">
        <f t="shared" si="41"/>
        <v>0.92333333333333401</v>
      </c>
      <c r="X126" s="317">
        <f t="shared" si="41"/>
        <v>0.92200000000000071</v>
      </c>
      <c r="Y126" s="317">
        <f t="shared" si="41"/>
        <v>0.92066666666666741</v>
      </c>
      <c r="Z126" s="317">
        <f t="shared" si="41"/>
        <v>0.91933333333333411</v>
      </c>
      <c r="AA126" s="317">
        <f t="shared" si="41"/>
        <v>0.91800000000000082</v>
      </c>
      <c r="AB126" s="317">
        <f t="shared" si="41"/>
        <v>0.91666666666666752</v>
      </c>
      <c r="AC126" s="317">
        <f t="shared" si="41"/>
        <v>0.91533333333333422</v>
      </c>
      <c r="AD126" s="317">
        <f t="shared" si="41"/>
        <v>0.91400000000000092</v>
      </c>
      <c r="AE126" s="317">
        <f t="shared" si="41"/>
        <v>0.91266666666666763</v>
      </c>
      <c r="AF126" s="317">
        <f t="shared" si="41"/>
        <v>0.91133333333333433</v>
      </c>
      <c r="AG126" s="296">
        <v>0.91</v>
      </c>
      <c r="AI126" s="316"/>
      <c r="AJ126" s="211" t="s">
        <v>1363</v>
      </c>
    </row>
    <row r="127" spans="1:36" s="1" customFormat="1" outlineLevel="1">
      <c r="A127" t="s">
        <v>1379</v>
      </c>
      <c r="B127" s="302" t="s">
        <v>462</v>
      </c>
      <c r="C127" s="296">
        <v>0.05</v>
      </c>
      <c r="D127" s="317">
        <f t="shared" si="40"/>
        <v>5.1333333333333335E-2</v>
      </c>
      <c r="E127" s="317">
        <f t="shared" si="40"/>
        <v>5.2666666666666667E-2</v>
      </c>
      <c r="F127" s="317">
        <f t="shared" si="40"/>
        <v>5.3999999999999999E-2</v>
      </c>
      <c r="G127" s="317">
        <f t="shared" si="40"/>
        <v>5.5333333333333332E-2</v>
      </c>
      <c r="H127" s="317">
        <f t="shared" si="40"/>
        <v>5.6666666666666664E-2</v>
      </c>
      <c r="I127" s="317">
        <f t="shared" si="40"/>
        <v>5.7999999999999996E-2</v>
      </c>
      <c r="J127" s="317">
        <f t="shared" si="40"/>
        <v>5.9333333333333328E-2</v>
      </c>
      <c r="K127" s="317">
        <f t="shared" si="40"/>
        <v>6.066666666666666E-2</v>
      </c>
      <c r="L127" s="317">
        <f t="shared" si="40"/>
        <v>6.1999999999999993E-2</v>
      </c>
      <c r="M127" s="317">
        <f t="shared" si="40"/>
        <v>6.3333333333333325E-2</v>
      </c>
      <c r="N127" s="317">
        <f t="shared" si="40"/>
        <v>6.4666666666666664E-2</v>
      </c>
      <c r="O127" s="317">
        <f t="shared" si="40"/>
        <v>6.6000000000000003E-2</v>
      </c>
      <c r="P127" s="317">
        <f t="shared" si="40"/>
        <v>6.7333333333333342E-2</v>
      </c>
      <c r="Q127" s="317">
        <f t="shared" si="40"/>
        <v>6.8666666666666681E-2</v>
      </c>
      <c r="R127" s="317">
        <f t="shared" si="40"/>
        <v>7.0000000000000021E-2</v>
      </c>
      <c r="S127" s="317">
        <f t="shared" si="40"/>
        <v>7.133333333333336E-2</v>
      </c>
      <c r="T127" s="317">
        <f t="shared" si="41"/>
        <v>7.2666666666666699E-2</v>
      </c>
      <c r="U127" s="317">
        <f t="shared" si="41"/>
        <v>7.4000000000000038E-2</v>
      </c>
      <c r="V127" s="317">
        <f t="shared" si="41"/>
        <v>7.5333333333333377E-2</v>
      </c>
      <c r="W127" s="317">
        <f t="shared" si="41"/>
        <v>7.6666666666666716E-2</v>
      </c>
      <c r="X127" s="317">
        <f t="shared" si="41"/>
        <v>7.8000000000000055E-2</v>
      </c>
      <c r="Y127" s="317">
        <f t="shared" si="41"/>
        <v>7.9333333333333395E-2</v>
      </c>
      <c r="Z127" s="317">
        <f t="shared" si="41"/>
        <v>8.0666666666666734E-2</v>
      </c>
      <c r="AA127" s="317">
        <f t="shared" si="41"/>
        <v>8.2000000000000073E-2</v>
      </c>
      <c r="AB127" s="317">
        <f t="shared" si="41"/>
        <v>8.3333333333333412E-2</v>
      </c>
      <c r="AC127" s="317">
        <f t="shared" si="41"/>
        <v>8.4666666666666751E-2</v>
      </c>
      <c r="AD127" s="317">
        <f t="shared" si="41"/>
        <v>8.600000000000009E-2</v>
      </c>
      <c r="AE127" s="317">
        <f t="shared" si="41"/>
        <v>8.7333333333333429E-2</v>
      </c>
      <c r="AF127" s="317">
        <f t="shared" si="41"/>
        <v>8.8666666666666769E-2</v>
      </c>
      <c r="AG127" s="296">
        <v>0.09</v>
      </c>
      <c r="AI127" s="316"/>
      <c r="AJ127" s="211" t="s">
        <v>1363</v>
      </c>
    </row>
    <row r="128" spans="1:36" s="1" customFormat="1" outlineLevel="1">
      <c r="A128" t="s">
        <v>1380</v>
      </c>
      <c r="B128" s="302"/>
      <c r="C128" s="296">
        <v>0.27</v>
      </c>
      <c r="D128" s="317">
        <f t="shared" si="40"/>
        <v>0.26600000000000001</v>
      </c>
      <c r="E128" s="317">
        <f t="shared" si="40"/>
        <v>0.26200000000000001</v>
      </c>
      <c r="F128" s="317">
        <f t="shared" si="40"/>
        <v>0.25800000000000001</v>
      </c>
      <c r="G128" s="317">
        <f t="shared" si="40"/>
        <v>0.254</v>
      </c>
      <c r="H128" s="317">
        <f t="shared" si="40"/>
        <v>0.25</v>
      </c>
      <c r="I128" s="317">
        <f t="shared" si="40"/>
        <v>0.246</v>
      </c>
      <c r="J128" s="317">
        <f t="shared" si="40"/>
        <v>0.24199999999999999</v>
      </c>
      <c r="K128" s="317">
        <f t="shared" si="40"/>
        <v>0.23799999999999999</v>
      </c>
      <c r="L128" s="317">
        <f t="shared" si="40"/>
        <v>0.23399999999999999</v>
      </c>
      <c r="M128" s="317">
        <f t="shared" si="40"/>
        <v>0.22999999999999998</v>
      </c>
      <c r="N128" s="317">
        <f t="shared" si="40"/>
        <v>0.22599999999999998</v>
      </c>
      <c r="O128" s="317">
        <f t="shared" si="40"/>
        <v>0.22199999999999998</v>
      </c>
      <c r="P128" s="317">
        <f t="shared" si="40"/>
        <v>0.21799999999999997</v>
      </c>
      <c r="Q128" s="317">
        <f t="shared" si="40"/>
        <v>0.21399999999999997</v>
      </c>
      <c r="R128" s="317">
        <f t="shared" si="40"/>
        <v>0.20999999999999996</v>
      </c>
      <c r="S128" s="317">
        <f t="shared" si="40"/>
        <v>0.20599999999999996</v>
      </c>
      <c r="T128" s="317">
        <f t="shared" si="41"/>
        <v>0.20199999999999996</v>
      </c>
      <c r="U128" s="317">
        <f t="shared" si="41"/>
        <v>0.19799999999999995</v>
      </c>
      <c r="V128" s="317">
        <f t="shared" si="41"/>
        <v>0.19399999999999995</v>
      </c>
      <c r="W128" s="317">
        <f t="shared" si="41"/>
        <v>0.18999999999999995</v>
      </c>
      <c r="X128" s="317">
        <f t="shared" si="41"/>
        <v>0.18599999999999994</v>
      </c>
      <c r="Y128" s="317">
        <f t="shared" si="41"/>
        <v>0.18199999999999994</v>
      </c>
      <c r="Z128" s="317">
        <f t="shared" si="41"/>
        <v>0.17799999999999994</v>
      </c>
      <c r="AA128" s="317">
        <f t="shared" si="41"/>
        <v>0.17399999999999993</v>
      </c>
      <c r="AB128" s="317">
        <f t="shared" si="41"/>
        <v>0.16999999999999993</v>
      </c>
      <c r="AC128" s="317">
        <f t="shared" si="41"/>
        <v>0.16599999999999993</v>
      </c>
      <c r="AD128" s="317">
        <f t="shared" si="41"/>
        <v>0.16199999999999992</v>
      </c>
      <c r="AE128" s="317">
        <f t="shared" si="41"/>
        <v>0.15799999999999992</v>
      </c>
      <c r="AF128" s="317">
        <f t="shared" si="41"/>
        <v>0.15399999999999991</v>
      </c>
      <c r="AG128" s="296">
        <v>0.15</v>
      </c>
      <c r="AI128" s="316"/>
      <c r="AJ128" s="211"/>
    </row>
    <row r="129" spans="1:36" s="67" customFormat="1" outlineLevel="1">
      <c r="A129" s="345" t="s">
        <v>1381</v>
      </c>
      <c r="B129" s="308" t="s">
        <v>462</v>
      </c>
      <c r="C129" s="337">
        <v>0.16</v>
      </c>
      <c r="D129" s="338">
        <f t="shared" si="40"/>
        <v>0.16533333333333333</v>
      </c>
      <c r="E129" s="338">
        <f t="shared" si="40"/>
        <v>0.17066666666666666</v>
      </c>
      <c r="F129" s="338">
        <f t="shared" si="40"/>
        <v>0.17599999999999999</v>
      </c>
      <c r="G129" s="338">
        <f t="shared" si="40"/>
        <v>0.18133333333333332</v>
      </c>
      <c r="H129" s="338">
        <f t="shared" si="40"/>
        <v>0.18666666666666665</v>
      </c>
      <c r="I129" s="338">
        <f t="shared" si="40"/>
        <v>0.19199999999999998</v>
      </c>
      <c r="J129" s="338">
        <f t="shared" si="40"/>
        <v>0.19733333333333331</v>
      </c>
      <c r="K129" s="338">
        <f t="shared" si="40"/>
        <v>0.20266666666666663</v>
      </c>
      <c r="L129" s="338">
        <f t="shared" si="40"/>
        <v>0.20799999999999996</v>
      </c>
      <c r="M129" s="338">
        <f t="shared" si="40"/>
        <v>0.21333333333333329</v>
      </c>
      <c r="N129" s="338">
        <f t="shared" si="40"/>
        <v>0.21866666666666662</v>
      </c>
      <c r="O129" s="338">
        <f t="shared" si="40"/>
        <v>0.22399999999999995</v>
      </c>
      <c r="P129" s="338">
        <f t="shared" si="40"/>
        <v>0.22933333333333328</v>
      </c>
      <c r="Q129" s="338">
        <f t="shared" si="40"/>
        <v>0.23466666666666661</v>
      </c>
      <c r="R129" s="338">
        <f t="shared" si="40"/>
        <v>0.23999999999999994</v>
      </c>
      <c r="S129" s="338">
        <f t="shared" si="40"/>
        <v>0.24533333333333326</v>
      </c>
      <c r="T129" s="338">
        <f t="shared" si="41"/>
        <v>0.25066666666666659</v>
      </c>
      <c r="U129" s="338">
        <f t="shared" si="41"/>
        <v>0.25599999999999995</v>
      </c>
      <c r="V129" s="338">
        <f t="shared" si="41"/>
        <v>0.26133333333333331</v>
      </c>
      <c r="W129" s="338">
        <f t="shared" si="41"/>
        <v>0.26666666666666666</v>
      </c>
      <c r="X129" s="338">
        <f t="shared" si="41"/>
        <v>0.27200000000000002</v>
      </c>
      <c r="Y129" s="338">
        <f t="shared" si="41"/>
        <v>0.27733333333333338</v>
      </c>
      <c r="Z129" s="338">
        <f t="shared" si="41"/>
        <v>0.28266666666666673</v>
      </c>
      <c r="AA129" s="338">
        <f t="shared" si="41"/>
        <v>0.28800000000000009</v>
      </c>
      <c r="AB129" s="338">
        <f t="shared" si="41"/>
        <v>0.29333333333333345</v>
      </c>
      <c r="AC129" s="338">
        <f t="shared" si="41"/>
        <v>0.2986666666666668</v>
      </c>
      <c r="AD129" s="338">
        <f t="shared" si="41"/>
        <v>0.30400000000000016</v>
      </c>
      <c r="AE129" s="338">
        <f t="shared" si="41"/>
        <v>0.30933333333333352</v>
      </c>
      <c r="AF129" s="338">
        <f t="shared" si="41"/>
        <v>0.31466666666666687</v>
      </c>
      <c r="AG129" s="337">
        <v>0.32</v>
      </c>
      <c r="AI129" s="337"/>
      <c r="AJ129" s="339" t="s">
        <v>1363</v>
      </c>
    </row>
    <row r="130" spans="1:36" outlineLevel="1">
      <c r="A130" s="346" t="s">
        <v>1382</v>
      </c>
      <c r="B130" s="302" t="s">
        <v>462</v>
      </c>
      <c r="C130" s="296">
        <v>0.37</v>
      </c>
      <c r="D130" s="317">
        <f t="shared" si="40"/>
        <v>0.37166666666666665</v>
      </c>
      <c r="E130" s="317">
        <f t="shared" si="40"/>
        <v>0.37333333333333329</v>
      </c>
      <c r="F130" s="317">
        <f t="shared" si="40"/>
        <v>0.37499999999999994</v>
      </c>
      <c r="G130" s="317">
        <f t="shared" si="40"/>
        <v>0.37666666666666659</v>
      </c>
      <c r="H130" s="317">
        <f t="shared" si="40"/>
        <v>0.37833333333333324</v>
      </c>
      <c r="I130" s="317">
        <f t="shared" si="40"/>
        <v>0.37999999999999989</v>
      </c>
      <c r="J130" s="317">
        <f t="shared" si="40"/>
        <v>0.38166666666666654</v>
      </c>
      <c r="K130" s="317">
        <f t="shared" si="40"/>
        <v>0.38333333333333319</v>
      </c>
      <c r="L130" s="317">
        <f t="shared" si="40"/>
        <v>0.38499999999999984</v>
      </c>
      <c r="M130" s="317">
        <f t="shared" si="40"/>
        <v>0.38666666666666649</v>
      </c>
      <c r="N130" s="317">
        <f t="shared" si="40"/>
        <v>0.38833333333333314</v>
      </c>
      <c r="O130" s="317">
        <f t="shared" si="40"/>
        <v>0.38999999999999979</v>
      </c>
      <c r="P130" s="317">
        <f t="shared" si="40"/>
        <v>0.39166666666666644</v>
      </c>
      <c r="Q130" s="317">
        <f t="shared" si="40"/>
        <v>0.39333333333333309</v>
      </c>
      <c r="R130" s="317">
        <f t="shared" si="40"/>
        <v>0.39499999999999974</v>
      </c>
      <c r="S130" s="317">
        <f t="shared" si="40"/>
        <v>0.39666666666666639</v>
      </c>
      <c r="T130" s="317">
        <f t="shared" si="41"/>
        <v>0.39833333333333304</v>
      </c>
      <c r="U130" s="317">
        <f t="shared" si="41"/>
        <v>0.39999999999999969</v>
      </c>
      <c r="V130" s="317">
        <f t="shared" si="41"/>
        <v>0.40166666666666634</v>
      </c>
      <c r="W130" s="317">
        <f t="shared" si="41"/>
        <v>0.40333333333333299</v>
      </c>
      <c r="X130" s="317">
        <f t="shared" si="41"/>
        <v>0.40499999999999964</v>
      </c>
      <c r="Y130" s="317">
        <f t="shared" si="41"/>
        <v>0.40666666666666629</v>
      </c>
      <c r="Z130" s="317">
        <f t="shared" si="41"/>
        <v>0.40833333333333294</v>
      </c>
      <c r="AA130" s="317">
        <f t="shared" si="41"/>
        <v>0.40999999999999959</v>
      </c>
      <c r="AB130" s="317">
        <f t="shared" si="41"/>
        <v>0.41166666666666624</v>
      </c>
      <c r="AC130" s="317">
        <f t="shared" si="41"/>
        <v>0.41333333333333289</v>
      </c>
      <c r="AD130" s="317">
        <f t="shared" si="41"/>
        <v>0.41499999999999954</v>
      </c>
      <c r="AE130" s="317">
        <f t="shared" si="41"/>
        <v>0.41666666666666619</v>
      </c>
      <c r="AF130" s="317">
        <f t="shared" si="41"/>
        <v>0.41833333333333284</v>
      </c>
      <c r="AG130" s="296">
        <v>0.42</v>
      </c>
      <c r="AI130" s="296"/>
      <c r="AJ130" s="211" t="s">
        <v>1363</v>
      </c>
    </row>
    <row r="131" spans="1:36" outlineLevel="1">
      <c r="A131" s="346" t="s">
        <v>1383</v>
      </c>
      <c r="B131" s="302" t="s">
        <v>462</v>
      </c>
      <c r="C131" s="296">
        <v>0.08</v>
      </c>
      <c r="D131" s="317">
        <f t="shared" si="40"/>
        <v>7.7666666666666662E-2</v>
      </c>
      <c r="E131" s="317">
        <f t="shared" si="40"/>
        <v>7.5333333333333322E-2</v>
      </c>
      <c r="F131" s="317">
        <f t="shared" si="40"/>
        <v>7.2999999999999982E-2</v>
      </c>
      <c r="G131" s="317">
        <f t="shared" si="40"/>
        <v>7.0666666666666642E-2</v>
      </c>
      <c r="H131" s="317">
        <f t="shared" si="40"/>
        <v>6.8333333333333302E-2</v>
      </c>
      <c r="I131" s="317">
        <f t="shared" si="40"/>
        <v>6.5999999999999961E-2</v>
      </c>
      <c r="J131" s="317">
        <f t="shared" si="40"/>
        <v>6.3666666666666621E-2</v>
      </c>
      <c r="K131" s="317">
        <f t="shared" si="40"/>
        <v>6.1333333333333288E-2</v>
      </c>
      <c r="L131" s="317">
        <f t="shared" si="40"/>
        <v>5.8999999999999955E-2</v>
      </c>
      <c r="M131" s="317">
        <f t="shared" si="40"/>
        <v>5.6666666666666622E-2</v>
      </c>
      <c r="N131" s="317">
        <f t="shared" si="40"/>
        <v>5.4333333333333289E-2</v>
      </c>
      <c r="O131" s="317">
        <f t="shared" si="40"/>
        <v>5.1999999999999956E-2</v>
      </c>
      <c r="P131" s="317">
        <f t="shared" si="40"/>
        <v>4.9666666666666623E-2</v>
      </c>
      <c r="Q131" s="317">
        <f t="shared" si="40"/>
        <v>4.733333333333329E-2</v>
      </c>
      <c r="R131" s="317">
        <f t="shared" si="40"/>
        <v>4.4999999999999957E-2</v>
      </c>
      <c r="S131" s="317">
        <f t="shared" si="40"/>
        <v>4.2666666666666624E-2</v>
      </c>
      <c r="T131" s="317">
        <f t="shared" si="41"/>
        <v>4.0333333333333291E-2</v>
      </c>
      <c r="U131" s="317">
        <f t="shared" si="41"/>
        <v>3.7999999999999957E-2</v>
      </c>
      <c r="V131" s="317">
        <f t="shared" si="41"/>
        <v>3.5666666666666624E-2</v>
      </c>
      <c r="W131" s="317">
        <f t="shared" si="41"/>
        <v>3.3333333333333291E-2</v>
      </c>
      <c r="X131" s="317">
        <f t="shared" si="41"/>
        <v>3.0999999999999958E-2</v>
      </c>
      <c r="Y131" s="317">
        <f t="shared" si="41"/>
        <v>2.8666666666666625E-2</v>
      </c>
      <c r="Z131" s="317">
        <f t="shared" si="41"/>
        <v>2.6333333333333292E-2</v>
      </c>
      <c r="AA131" s="317">
        <f t="shared" si="41"/>
        <v>2.3999999999999959E-2</v>
      </c>
      <c r="AB131" s="317">
        <f t="shared" si="41"/>
        <v>2.1666666666666626E-2</v>
      </c>
      <c r="AC131" s="317">
        <f t="shared" si="41"/>
        <v>1.9333333333333293E-2</v>
      </c>
      <c r="AD131" s="317">
        <f t="shared" si="41"/>
        <v>1.699999999999996E-2</v>
      </c>
      <c r="AE131" s="317">
        <f t="shared" si="41"/>
        <v>1.4666666666666626E-2</v>
      </c>
      <c r="AF131" s="317">
        <f t="shared" si="41"/>
        <v>1.2333333333333293E-2</v>
      </c>
      <c r="AG131" s="296">
        <v>0.01</v>
      </c>
      <c r="AI131" s="296"/>
      <c r="AJ131" s="211" t="s">
        <v>1363</v>
      </c>
    </row>
    <row r="132" spans="1:36" outlineLevel="1">
      <c r="A132" s="346" t="s">
        <v>1384</v>
      </c>
      <c r="B132" s="302" t="s">
        <v>462</v>
      </c>
      <c r="C132" s="296">
        <v>0.27</v>
      </c>
      <c r="D132" s="317">
        <f t="shared" si="40"/>
        <v>0.26633333333333337</v>
      </c>
      <c r="E132" s="317">
        <f t="shared" si="40"/>
        <v>0.26266666666666671</v>
      </c>
      <c r="F132" s="317">
        <f t="shared" si="40"/>
        <v>0.25900000000000006</v>
      </c>
      <c r="G132" s="317">
        <f t="shared" si="40"/>
        <v>0.25533333333333341</v>
      </c>
      <c r="H132" s="317">
        <f t="shared" si="40"/>
        <v>0.25166666666666676</v>
      </c>
      <c r="I132" s="317">
        <f t="shared" si="40"/>
        <v>0.24800000000000008</v>
      </c>
      <c r="J132" s="317">
        <f t="shared" si="40"/>
        <v>0.2443333333333334</v>
      </c>
      <c r="K132" s="317">
        <f t="shared" si="40"/>
        <v>0.24066666666666672</v>
      </c>
      <c r="L132" s="317">
        <f t="shared" si="40"/>
        <v>0.23700000000000004</v>
      </c>
      <c r="M132" s="317">
        <f t="shared" si="40"/>
        <v>0.23333333333333336</v>
      </c>
      <c r="N132" s="317">
        <f t="shared" si="40"/>
        <v>0.22966666666666669</v>
      </c>
      <c r="O132" s="317">
        <f t="shared" si="40"/>
        <v>0.22600000000000001</v>
      </c>
      <c r="P132" s="317">
        <f t="shared" si="40"/>
        <v>0.22233333333333333</v>
      </c>
      <c r="Q132" s="317">
        <f t="shared" si="40"/>
        <v>0.21866666666666665</v>
      </c>
      <c r="R132" s="317">
        <f t="shared" si="40"/>
        <v>0.21499999999999997</v>
      </c>
      <c r="S132" s="317">
        <f t="shared" si="40"/>
        <v>0.21133333333333329</v>
      </c>
      <c r="T132" s="317">
        <f t="shared" si="41"/>
        <v>0.20766666666666661</v>
      </c>
      <c r="U132" s="317">
        <f t="shared" si="41"/>
        <v>0.20399999999999993</v>
      </c>
      <c r="V132" s="317">
        <f t="shared" si="41"/>
        <v>0.20033333333333325</v>
      </c>
      <c r="W132" s="317">
        <f t="shared" si="41"/>
        <v>0.19666666666666657</v>
      </c>
      <c r="X132" s="317">
        <f t="shared" si="41"/>
        <v>0.19299999999999989</v>
      </c>
      <c r="Y132" s="317">
        <f t="shared" si="41"/>
        <v>0.18933333333333321</v>
      </c>
      <c r="Z132" s="317">
        <f t="shared" si="41"/>
        <v>0.18566666666666654</v>
      </c>
      <c r="AA132" s="317">
        <f t="shared" si="41"/>
        <v>0.18199999999999986</v>
      </c>
      <c r="AB132" s="317">
        <f t="shared" si="41"/>
        <v>0.17833333333333318</v>
      </c>
      <c r="AC132" s="317">
        <f t="shared" si="41"/>
        <v>0.1746666666666665</v>
      </c>
      <c r="AD132" s="317">
        <f t="shared" si="41"/>
        <v>0.17099999999999982</v>
      </c>
      <c r="AE132" s="317">
        <f t="shared" si="41"/>
        <v>0.16733333333333314</v>
      </c>
      <c r="AF132" s="317">
        <f t="shared" si="41"/>
        <v>0.16366666666666646</v>
      </c>
      <c r="AG132" s="296">
        <v>0.16</v>
      </c>
      <c r="AI132" s="296"/>
      <c r="AJ132" s="211" t="s">
        <v>1363</v>
      </c>
    </row>
    <row r="133" spans="1:36" outlineLevel="1">
      <c r="A133" s="346" t="s">
        <v>1385</v>
      </c>
      <c r="B133" s="302" t="s">
        <v>462</v>
      </c>
      <c r="C133" s="296">
        <v>7.0000000000000007E-2</v>
      </c>
      <c r="D133" s="317">
        <f t="shared" si="40"/>
        <v>6.9666666666666668E-2</v>
      </c>
      <c r="E133" s="317">
        <f t="shared" si="40"/>
        <v>6.933333333333333E-2</v>
      </c>
      <c r="F133" s="317">
        <f t="shared" si="40"/>
        <v>6.8999999999999992E-2</v>
      </c>
      <c r="G133" s="317">
        <f t="shared" si="40"/>
        <v>6.8666666666666654E-2</v>
      </c>
      <c r="H133" s="317">
        <f t="shared" si="40"/>
        <v>6.8333333333333315E-2</v>
      </c>
      <c r="I133" s="317">
        <f t="shared" si="40"/>
        <v>6.7999999999999977E-2</v>
      </c>
      <c r="J133" s="317">
        <f t="shared" si="40"/>
        <v>6.7666666666666639E-2</v>
      </c>
      <c r="K133" s="317">
        <f t="shared" si="40"/>
        <v>6.7333333333333301E-2</v>
      </c>
      <c r="L133" s="317">
        <f t="shared" si="40"/>
        <v>6.6999999999999962E-2</v>
      </c>
      <c r="M133" s="317">
        <f t="shared" si="40"/>
        <v>6.6666666666666624E-2</v>
      </c>
      <c r="N133" s="317">
        <f t="shared" si="40"/>
        <v>6.6333333333333286E-2</v>
      </c>
      <c r="O133" s="317">
        <f t="shared" si="40"/>
        <v>6.5999999999999948E-2</v>
      </c>
      <c r="P133" s="317">
        <f t="shared" si="40"/>
        <v>6.5666666666666609E-2</v>
      </c>
      <c r="Q133" s="317">
        <f t="shared" si="40"/>
        <v>6.5333333333333271E-2</v>
      </c>
      <c r="R133" s="317">
        <f t="shared" si="40"/>
        <v>6.4999999999999933E-2</v>
      </c>
      <c r="S133" s="317">
        <f t="shared" ref="S133:AF133" si="42">-($C133-$AG133)/30+R133</f>
        <v>6.4666666666666595E-2</v>
      </c>
      <c r="T133" s="317">
        <f t="shared" si="42"/>
        <v>6.4333333333333256E-2</v>
      </c>
      <c r="U133" s="317">
        <f t="shared" si="42"/>
        <v>6.3999999999999918E-2</v>
      </c>
      <c r="V133" s="317">
        <f t="shared" si="42"/>
        <v>6.366666666666658E-2</v>
      </c>
      <c r="W133" s="317">
        <f t="shared" si="42"/>
        <v>6.3333333333333242E-2</v>
      </c>
      <c r="X133" s="317">
        <f t="shared" si="42"/>
        <v>6.2999999999999903E-2</v>
      </c>
      <c r="Y133" s="317">
        <f t="shared" si="42"/>
        <v>6.2666666666666565E-2</v>
      </c>
      <c r="Z133" s="317">
        <f t="shared" si="42"/>
        <v>6.2333333333333234E-2</v>
      </c>
      <c r="AA133" s="317">
        <f t="shared" si="42"/>
        <v>6.1999999999999902E-2</v>
      </c>
      <c r="AB133" s="317">
        <f t="shared" si="42"/>
        <v>6.1666666666666571E-2</v>
      </c>
      <c r="AC133" s="317">
        <f t="shared" si="42"/>
        <v>6.133333333333324E-2</v>
      </c>
      <c r="AD133" s="317">
        <f t="shared" si="42"/>
        <v>6.0999999999999908E-2</v>
      </c>
      <c r="AE133" s="317">
        <f t="shared" si="42"/>
        <v>6.0666666666666577E-2</v>
      </c>
      <c r="AF133" s="317">
        <f t="shared" si="42"/>
        <v>6.0333333333333246E-2</v>
      </c>
      <c r="AG133" s="296">
        <v>0.06</v>
      </c>
      <c r="AI133" s="296"/>
      <c r="AJ133" s="211" t="s">
        <v>1363</v>
      </c>
    </row>
    <row r="134" spans="1:36" s="68" customFormat="1" outlineLevel="1">
      <c r="A134" s="347" t="s">
        <v>1386</v>
      </c>
      <c r="B134" s="312" t="s">
        <v>462</v>
      </c>
      <c r="C134" s="314">
        <v>0.05</v>
      </c>
      <c r="D134" s="340">
        <f t="shared" ref="D134:AF134" si="43">-($C134-$AG134)/30+C134</f>
        <v>4.9333333333333333E-2</v>
      </c>
      <c r="E134" s="340">
        <f t="shared" si="43"/>
        <v>4.8666666666666664E-2</v>
      </c>
      <c r="F134" s="340">
        <f t="shared" si="43"/>
        <v>4.7999999999999994E-2</v>
      </c>
      <c r="G134" s="340">
        <f t="shared" si="43"/>
        <v>4.7333333333333324E-2</v>
      </c>
      <c r="H134" s="340">
        <f t="shared" si="43"/>
        <v>4.6666666666666655E-2</v>
      </c>
      <c r="I134" s="340">
        <f t="shared" si="43"/>
        <v>4.5999999999999985E-2</v>
      </c>
      <c r="J134" s="340">
        <f t="shared" si="43"/>
        <v>4.5333333333333316E-2</v>
      </c>
      <c r="K134" s="340">
        <f t="shared" si="43"/>
        <v>4.4666666666666646E-2</v>
      </c>
      <c r="L134" s="340">
        <f t="shared" si="43"/>
        <v>4.3999999999999977E-2</v>
      </c>
      <c r="M134" s="340">
        <f t="shared" si="43"/>
        <v>4.3333333333333307E-2</v>
      </c>
      <c r="N134" s="340">
        <f t="shared" si="43"/>
        <v>4.2666666666666637E-2</v>
      </c>
      <c r="O134" s="340">
        <f t="shared" si="43"/>
        <v>4.1999999999999968E-2</v>
      </c>
      <c r="P134" s="340">
        <f t="shared" si="43"/>
        <v>4.1333333333333298E-2</v>
      </c>
      <c r="Q134" s="340">
        <f t="shared" si="43"/>
        <v>4.0666666666666629E-2</v>
      </c>
      <c r="R134" s="340">
        <f t="shared" si="43"/>
        <v>3.9999999999999959E-2</v>
      </c>
      <c r="S134" s="340">
        <f t="shared" si="43"/>
        <v>3.933333333333329E-2</v>
      </c>
      <c r="T134" s="340">
        <f t="shared" si="43"/>
        <v>3.866666666666662E-2</v>
      </c>
      <c r="U134" s="340">
        <f t="shared" si="43"/>
        <v>3.799999999999995E-2</v>
      </c>
      <c r="V134" s="340">
        <f t="shared" si="43"/>
        <v>3.7333333333333281E-2</v>
      </c>
      <c r="W134" s="340">
        <f t="shared" si="43"/>
        <v>3.6666666666666611E-2</v>
      </c>
      <c r="X134" s="340">
        <f t="shared" si="43"/>
        <v>3.5999999999999942E-2</v>
      </c>
      <c r="Y134" s="340">
        <f t="shared" si="43"/>
        <v>3.5333333333333272E-2</v>
      </c>
      <c r="Z134" s="340">
        <f t="shared" si="43"/>
        <v>3.4666666666666603E-2</v>
      </c>
      <c r="AA134" s="340">
        <f t="shared" si="43"/>
        <v>3.3999999999999933E-2</v>
      </c>
      <c r="AB134" s="340">
        <f t="shared" si="43"/>
        <v>3.3333333333333263E-2</v>
      </c>
      <c r="AC134" s="340">
        <f t="shared" si="43"/>
        <v>3.2666666666666594E-2</v>
      </c>
      <c r="AD134" s="340">
        <f t="shared" si="43"/>
        <v>3.1999999999999924E-2</v>
      </c>
      <c r="AE134" s="340">
        <f t="shared" si="43"/>
        <v>3.1333333333333255E-2</v>
      </c>
      <c r="AF134" s="340">
        <f t="shared" si="43"/>
        <v>3.0666666666666589E-2</v>
      </c>
      <c r="AG134" s="314">
        <v>0.03</v>
      </c>
      <c r="AI134" s="314"/>
      <c r="AJ134" s="341" t="s">
        <v>1363</v>
      </c>
    </row>
    <row r="135" spans="1:36" s="58" customFormat="1" outlineLevel="1">
      <c r="A135" s="58" t="s">
        <v>1361</v>
      </c>
      <c r="B135" s="303"/>
      <c r="C135" s="304">
        <f>C32</f>
        <v>91.132618550548131</v>
      </c>
      <c r="D135" s="304">
        <f t="shared" ref="D135:AG135" si="44">D32</f>
        <v>94.187520588827709</v>
      </c>
      <c r="E135" s="304">
        <f t="shared" si="44"/>
        <v>97.090361356727982</v>
      </c>
      <c r="F135" s="304">
        <f t="shared" si="44"/>
        <v>99.821216818932996</v>
      </c>
      <c r="G135" s="304">
        <f t="shared" si="44"/>
        <v>102.36096024167153</v>
      </c>
      <c r="H135" s="304">
        <f t="shared" si="44"/>
        <v>104.69148533711844</v>
      </c>
      <c r="I135" s="304">
        <f t="shared" si="44"/>
        <v>107.02632892810098</v>
      </c>
      <c r="J135" s="304">
        <f t="shared" si="44"/>
        <v>109.36337703012953</v>
      </c>
      <c r="K135" s="304">
        <f t="shared" si="44"/>
        <v>111.70046198886772</v>
      </c>
      <c r="L135" s="304">
        <f t="shared" si="44"/>
        <v>114.03536529910819</v>
      </c>
      <c r="M135" s="304">
        <f t="shared" si="44"/>
        <v>116.36582061426857</v>
      </c>
      <c r="N135" s="304">
        <f t="shared" si="44"/>
        <v>118.51969709126692</v>
      </c>
      <c r="O135" s="304">
        <f t="shared" si="44"/>
        <v>120.48504894393488</v>
      </c>
      <c r="P135" s="304">
        <f t="shared" si="44"/>
        <v>122.25077413732228</v>
      </c>
      <c r="Q135" s="304">
        <f t="shared" si="44"/>
        <v>123.80671757237687</v>
      </c>
      <c r="R135" s="304">
        <f t="shared" si="44"/>
        <v>125.14376728836976</v>
      </c>
      <c r="S135" s="304">
        <f t="shared" si="44"/>
        <v>126.48141034426163</v>
      </c>
      <c r="T135" s="304">
        <f t="shared" si="44"/>
        <v>127.81934871649334</v>
      </c>
      <c r="U135" s="304">
        <f t="shared" si="44"/>
        <v>129.15728080358821</v>
      </c>
      <c r="V135" s="304">
        <f t="shared" si="44"/>
        <v>130.49490152130187</v>
      </c>
      <c r="W135" s="304">
        <f t="shared" si="44"/>
        <v>131.83190240093236</v>
      </c>
      <c r="X135" s="304">
        <f t="shared" si="44"/>
        <v>133.16943845763501</v>
      </c>
      <c r="Y135" s="304">
        <f t="shared" si="44"/>
        <v>134.50724115984161</v>
      </c>
      <c r="Z135" s="304">
        <f t="shared" si="44"/>
        <v>135.8450389413012</v>
      </c>
      <c r="AA135" s="304">
        <f t="shared" si="44"/>
        <v>137.18255727867347</v>
      </c>
      <c r="AB135" s="304">
        <f t="shared" si="44"/>
        <v>138.51951877153829</v>
      </c>
      <c r="AC135" s="304">
        <f t="shared" si="44"/>
        <v>139.85696545319368</v>
      </c>
      <c r="AD135" s="304">
        <f t="shared" si="44"/>
        <v>141.19465408701572</v>
      </c>
      <c r="AE135" s="304">
        <f t="shared" si="44"/>
        <v>142.53233883967283</v>
      </c>
      <c r="AF135" s="304">
        <f t="shared" si="44"/>
        <v>143.86977134503567</v>
      </c>
      <c r="AG135" s="304">
        <f t="shared" si="44"/>
        <v>145.20670076995904</v>
      </c>
      <c r="AI135" s="305"/>
      <c r="AJ135" s="306"/>
    </row>
    <row r="136" spans="1:36" s="58" customFormat="1" outlineLevel="1">
      <c r="A136" s="307" t="s">
        <v>3</v>
      </c>
      <c r="B136" s="308" t="s">
        <v>704</v>
      </c>
      <c r="C136" s="309">
        <v>0</v>
      </c>
      <c r="D136" s="309">
        <v>0</v>
      </c>
      <c r="E136" s="309">
        <v>0</v>
      </c>
      <c r="F136" s="309">
        <v>0</v>
      </c>
      <c r="G136" s="309">
        <v>0</v>
      </c>
      <c r="H136" s="309">
        <v>0</v>
      </c>
      <c r="I136" s="309">
        <v>0</v>
      </c>
      <c r="J136" s="309">
        <v>0</v>
      </c>
      <c r="K136" s="309">
        <v>0</v>
      </c>
      <c r="L136" s="309">
        <v>0</v>
      </c>
      <c r="M136" s="309">
        <v>0</v>
      </c>
      <c r="N136" s="309">
        <v>0</v>
      </c>
      <c r="O136" s="309">
        <v>0</v>
      </c>
      <c r="P136" s="309">
        <v>0</v>
      </c>
      <c r="Q136" s="309">
        <v>0</v>
      </c>
      <c r="R136" s="309">
        <v>0</v>
      </c>
      <c r="S136" s="309">
        <v>0</v>
      </c>
      <c r="T136" s="309">
        <v>0</v>
      </c>
      <c r="U136" s="309">
        <v>0</v>
      </c>
      <c r="V136" s="309">
        <v>0</v>
      </c>
      <c r="W136" s="309">
        <v>0</v>
      </c>
      <c r="X136" s="309">
        <v>0</v>
      </c>
      <c r="Y136" s="309">
        <v>0</v>
      </c>
      <c r="Z136" s="309">
        <v>0</v>
      </c>
      <c r="AA136" s="309">
        <v>0</v>
      </c>
      <c r="AB136" s="309">
        <v>0</v>
      </c>
      <c r="AC136" s="309">
        <v>0</v>
      </c>
      <c r="AD136" s="309">
        <v>0</v>
      </c>
      <c r="AE136" s="309">
        <v>0</v>
      </c>
      <c r="AF136" s="309">
        <v>0</v>
      </c>
      <c r="AG136" s="309">
        <v>0</v>
      </c>
      <c r="AI136" s="305"/>
      <c r="AJ136" s="306"/>
    </row>
    <row r="137" spans="1:36" outlineLevel="1">
      <c r="A137" s="310" t="s">
        <v>51</v>
      </c>
      <c r="B137" s="302" t="s">
        <v>704</v>
      </c>
      <c r="C137" s="249">
        <f>C104</f>
        <v>4.8226258181960828</v>
      </c>
      <c r="D137" s="249">
        <f t="shared" ref="D137:AG137" si="45">D104</f>
        <v>4.903163669359957</v>
      </c>
      <c r="E137" s="249">
        <f t="shared" si="45"/>
        <v>4.9850465026382675</v>
      </c>
      <c r="F137" s="249">
        <f t="shared" si="45"/>
        <v>5.0682967792323259</v>
      </c>
      <c r="G137" s="249">
        <f t="shared" si="45"/>
        <v>5.1529373354455057</v>
      </c>
      <c r="H137" s="249">
        <f t="shared" si="45"/>
        <v>5.2389913889474453</v>
      </c>
      <c r="I137" s="249">
        <f t="shared" si="45"/>
        <v>5.3264825451428672</v>
      </c>
      <c r="J137" s="249">
        <f t="shared" si="45"/>
        <v>5.415434803646753</v>
      </c>
      <c r="K137" s="249">
        <f t="shared" si="45"/>
        <v>5.5058725648676532</v>
      </c>
      <c r="L137" s="249">
        <f t="shared" si="45"/>
        <v>5.5978206367009431</v>
      </c>
      <c r="M137" s="249">
        <f t="shared" si="45"/>
        <v>5.6913042413338486</v>
      </c>
      <c r="N137" s="249">
        <f t="shared" si="45"/>
        <v>5.7863490221641234</v>
      </c>
      <c r="O137" s="249">
        <f t="shared" si="45"/>
        <v>5.8829810508342639</v>
      </c>
      <c r="P137" s="249">
        <f t="shared" si="45"/>
        <v>5.9812268343831958</v>
      </c>
      <c r="Q137" s="249">
        <f t="shared" si="45"/>
        <v>6.0811133225173952</v>
      </c>
      <c r="R137" s="249">
        <f t="shared" si="45"/>
        <v>6.1826679150034352</v>
      </c>
      <c r="S137" s="249">
        <f t="shared" si="45"/>
        <v>6.2859184691839918</v>
      </c>
      <c r="T137" s="249">
        <f t="shared" si="45"/>
        <v>6.3908933076193639</v>
      </c>
      <c r="U137" s="249">
        <f t="shared" si="45"/>
        <v>6.4976212258566068</v>
      </c>
      <c r="V137" s="249">
        <f t="shared" si="45"/>
        <v>6.606131500328412</v>
      </c>
      <c r="W137" s="249">
        <f t="shared" si="45"/>
        <v>6.7164538963838964</v>
      </c>
      <c r="X137" s="249">
        <f t="shared" si="45"/>
        <v>6.8286186764535071</v>
      </c>
      <c r="Y137" s="249">
        <f t="shared" si="45"/>
        <v>6.9426566083502799</v>
      </c>
      <c r="Z137" s="249">
        <f t="shared" si="45"/>
        <v>7.0585989737097288</v>
      </c>
      <c r="AA137" s="249">
        <f t="shared" si="45"/>
        <v>7.1764775765706812</v>
      </c>
      <c r="AB137" s="249">
        <f t="shared" si="45"/>
        <v>7.2963247520994114</v>
      </c>
      <c r="AC137" s="249">
        <f t="shared" si="45"/>
        <v>7.418173375459471</v>
      </c>
      <c r="AD137" s="249">
        <f t="shared" si="45"/>
        <v>7.5420568708296436</v>
      </c>
      <c r="AE137" s="249">
        <f t="shared" si="45"/>
        <v>7.6680092205724986</v>
      </c>
      <c r="AF137" s="249">
        <f t="shared" si="45"/>
        <v>7.7960649745560584</v>
      </c>
      <c r="AG137" s="249">
        <f t="shared" si="45"/>
        <v>7.9262592596311441</v>
      </c>
      <c r="AI137" s="296"/>
    </row>
    <row r="138" spans="1:36" s="68" customFormat="1" outlineLevel="1">
      <c r="A138" s="311" t="s">
        <v>1387</v>
      </c>
      <c r="B138" s="312" t="s">
        <v>704</v>
      </c>
      <c r="C138" s="313">
        <f>C135-C136-C137</f>
        <v>86.309992732352043</v>
      </c>
      <c r="D138" s="313">
        <f t="shared" ref="D138:AG138" si="46">D135-D136-D137</f>
        <v>89.284356919467754</v>
      </c>
      <c r="E138" s="313">
        <f t="shared" si="46"/>
        <v>92.105314854089713</v>
      </c>
      <c r="F138" s="313">
        <f t="shared" si="46"/>
        <v>94.752920039700669</v>
      </c>
      <c r="G138" s="313">
        <f t="shared" si="46"/>
        <v>97.208022906226034</v>
      </c>
      <c r="H138" s="313">
        <f t="shared" si="46"/>
        <v>99.452493948170996</v>
      </c>
      <c r="I138" s="313">
        <f t="shared" si="46"/>
        <v>101.69984638295811</v>
      </c>
      <c r="J138" s="313">
        <f t="shared" si="46"/>
        <v>103.94794222648278</v>
      </c>
      <c r="K138" s="313">
        <f t="shared" si="46"/>
        <v>106.19458942400006</v>
      </c>
      <c r="L138" s="313">
        <f t="shared" si="46"/>
        <v>108.43754466240725</v>
      </c>
      <c r="M138" s="313">
        <f t="shared" si="46"/>
        <v>110.67451637293472</v>
      </c>
      <c r="N138" s="313">
        <f t="shared" si="46"/>
        <v>112.7333480691028</v>
      </c>
      <c r="O138" s="313">
        <f t="shared" si="46"/>
        <v>114.60206789310062</v>
      </c>
      <c r="P138" s="313">
        <f t="shared" si="46"/>
        <v>116.26954730293909</v>
      </c>
      <c r="Q138" s="313">
        <f t="shared" si="46"/>
        <v>117.72560424985947</v>
      </c>
      <c r="R138" s="313">
        <f t="shared" si="46"/>
        <v>118.96109937336632</v>
      </c>
      <c r="S138" s="313">
        <f t="shared" si="46"/>
        <v>120.19549187507764</v>
      </c>
      <c r="T138" s="313">
        <f t="shared" si="46"/>
        <v>121.42845540887397</v>
      </c>
      <c r="U138" s="313">
        <f t="shared" si="46"/>
        <v>122.6596595777316</v>
      </c>
      <c r="V138" s="313">
        <f t="shared" si="46"/>
        <v>123.88877002097345</v>
      </c>
      <c r="W138" s="313">
        <f t="shared" si="46"/>
        <v>125.11544850454847</v>
      </c>
      <c r="X138" s="313">
        <f t="shared" si="46"/>
        <v>126.34081978118151</v>
      </c>
      <c r="Y138" s="313">
        <f t="shared" si="46"/>
        <v>127.56458455149134</v>
      </c>
      <c r="Z138" s="313">
        <f t="shared" si="46"/>
        <v>128.78643996759146</v>
      </c>
      <c r="AA138" s="313">
        <f t="shared" si="46"/>
        <v>130.0060797021028</v>
      </c>
      <c r="AB138" s="313">
        <f t="shared" si="46"/>
        <v>131.22319401943886</v>
      </c>
      <c r="AC138" s="313">
        <f t="shared" si="46"/>
        <v>132.43879207773421</v>
      </c>
      <c r="AD138" s="313">
        <f t="shared" si="46"/>
        <v>133.65259721618608</v>
      </c>
      <c r="AE138" s="313">
        <f t="shared" si="46"/>
        <v>134.86432961910035</v>
      </c>
      <c r="AF138" s="313">
        <f t="shared" si="46"/>
        <v>136.07370637047961</v>
      </c>
      <c r="AG138" s="313">
        <f t="shared" si="46"/>
        <v>137.2804415103279</v>
      </c>
      <c r="AI138" s="314"/>
      <c r="AJ138" s="315"/>
    </row>
    <row r="139" spans="1:36" outlineLevel="1">
      <c r="A139" s="112" t="s">
        <v>90</v>
      </c>
      <c r="B139" s="302" t="s">
        <v>704</v>
      </c>
      <c r="C139" s="230">
        <f>C108*C$138</f>
        <v>13.809598837176328</v>
      </c>
      <c r="D139" s="230">
        <f t="shared" ref="D139:AG144" si="47">D108*D$138</f>
        <v>14.470018111415074</v>
      </c>
      <c r="E139" s="230">
        <f t="shared" si="47"/>
        <v>15.117552344717923</v>
      </c>
      <c r="F139" s="230">
        <f t="shared" si="47"/>
        <v>15.747935310598249</v>
      </c>
      <c r="G139" s="230">
        <f t="shared" si="47"/>
        <v>16.356869987687631</v>
      </c>
      <c r="H139" s="230">
        <f t="shared" si="47"/>
        <v>16.940074802505123</v>
      </c>
      <c r="I139" s="230">
        <f t="shared" si="47"/>
        <v>17.533053516421976</v>
      </c>
      <c r="J139" s="230">
        <f t="shared" si="47"/>
        <v>18.135450987113693</v>
      </c>
      <c r="K139" s="230">
        <f t="shared" si="47"/>
        <v>18.746884852983474</v>
      </c>
      <c r="L139" s="230">
        <f t="shared" si="47"/>
        <v>19.366945476705929</v>
      </c>
      <c r="M139" s="230">
        <f t="shared" si="47"/>
        <v>19.995195958043535</v>
      </c>
      <c r="N139" s="230">
        <f t="shared" si="47"/>
        <v>20.600140470494047</v>
      </c>
      <c r="O139" s="230">
        <f t="shared" si="47"/>
        <v>21.178462146644989</v>
      </c>
      <c r="P139" s="230">
        <f t="shared" si="47"/>
        <v>21.726902739342542</v>
      </c>
      <c r="Q139" s="230">
        <f t="shared" si="47"/>
        <v>22.242290829606773</v>
      </c>
      <c r="R139" s="230">
        <f t="shared" si="47"/>
        <v>22.721569980312957</v>
      </c>
      <c r="S139" s="230">
        <f t="shared" si="47"/>
        <v>23.205742964681644</v>
      </c>
      <c r="T139" s="230">
        <f t="shared" si="47"/>
        <v>23.694739265451595</v>
      </c>
      <c r="U139" s="230">
        <f t="shared" si="47"/>
        <v>24.188484868728661</v>
      </c>
      <c r="V139" s="230">
        <f t="shared" si="47"/>
        <v>24.68690223951263</v>
      </c>
      <c r="W139" s="230">
        <f t="shared" si="47"/>
        <v>25.189910298915745</v>
      </c>
      <c r="X139" s="230">
        <f t="shared" si="47"/>
        <v>25.697722743492303</v>
      </c>
      <c r="Y139" s="230">
        <f t="shared" si="47"/>
        <v>26.210269972513071</v>
      </c>
      <c r="Z139" s="230">
        <f t="shared" si="47"/>
        <v>26.727479174607467</v>
      </c>
      <c r="AA139" s="230">
        <f t="shared" si="47"/>
        <v>27.249274305560728</v>
      </c>
      <c r="AB139" s="230">
        <f t="shared" si="47"/>
        <v>27.775576067447876</v>
      </c>
      <c r="AC139" s="230">
        <f t="shared" si="47"/>
        <v>28.306584493414373</v>
      </c>
      <c r="AD139" s="230">
        <f t="shared" si="47"/>
        <v>28.842230479252937</v>
      </c>
      <c r="AE139" s="230">
        <f t="shared" si="47"/>
        <v>29.382441946347974</v>
      </c>
      <c r="AF139" s="230">
        <f t="shared" si="47"/>
        <v>29.927143821080794</v>
      </c>
      <c r="AG139" s="230">
        <f t="shared" si="47"/>
        <v>30.476258015292796</v>
      </c>
      <c r="AI139" s="214"/>
    </row>
    <row r="140" spans="1:36" outlineLevel="1">
      <c r="A140" s="112" t="s">
        <v>33</v>
      </c>
      <c r="B140" s="302" t="s">
        <v>704</v>
      </c>
      <c r="C140" s="230">
        <f t="shared" ref="C140:R144" si="48">C109*C$138</f>
        <v>31.934697310970254</v>
      </c>
      <c r="D140" s="230">
        <f t="shared" si="48"/>
        <v>32.383436254690956</v>
      </c>
      <c r="E140" s="230">
        <f t="shared" si="48"/>
        <v>32.734228899143488</v>
      </c>
      <c r="F140" s="230">
        <f t="shared" si="48"/>
        <v>32.98349146581981</v>
      </c>
      <c r="G140" s="230">
        <f t="shared" si="48"/>
        <v>33.128494206441843</v>
      </c>
      <c r="H140" s="230">
        <f t="shared" si="48"/>
        <v>33.16740673171504</v>
      </c>
      <c r="I140" s="230">
        <f t="shared" si="48"/>
        <v>33.174489890120952</v>
      </c>
      <c r="J140" s="230">
        <f t="shared" si="48"/>
        <v>33.14899877602538</v>
      </c>
      <c r="K140" s="230">
        <f t="shared" si="48"/>
        <v>33.090234064518441</v>
      </c>
      <c r="L140" s="230">
        <f t="shared" si="48"/>
        <v>32.997544840770551</v>
      </c>
      <c r="M140" s="230">
        <f t="shared" si="48"/>
        <v>32.87033136276164</v>
      </c>
      <c r="N140" s="230">
        <f t="shared" si="48"/>
        <v>32.658850935619114</v>
      </c>
      <c r="O140" s="230">
        <f t="shared" si="48"/>
        <v>32.363623973011656</v>
      </c>
      <c r="P140" s="230">
        <f t="shared" si="48"/>
        <v>31.985752463038583</v>
      </c>
      <c r="Q140" s="230">
        <f t="shared" si="48"/>
        <v>31.526916818112412</v>
      </c>
      <c r="R140" s="230">
        <f t="shared" si="48"/>
        <v>30.989366386761976</v>
      </c>
      <c r="S140" s="230">
        <f t="shared" si="47"/>
        <v>30.433498542769708</v>
      </c>
      <c r="T140" s="230">
        <f t="shared" si="47"/>
        <v>29.859257185042161</v>
      </c>
      <c r="U140" s="230">
        <f t="shared" si="47"/>
        <v>29.266594775246812</v>
      </c>
      <c r="V140" s="230">
        <f t="shared" si="47"/>
        <v>28.655472505851211</v>
      </c>
      <c r="W140" s="230">
        <f t="shared" si="47"/>
        <v>28.025860465018908</v>
      </c>
      <c r="X140" s="230">
        <f t="shared" si="47"/>
        <v>27.378055646582087</v>
      </c>
      <c r="Y140" s="230">
        <f t="shared" si="47"/>
        <v>26.712024005082338</v>
      </c>
      <c r="Z140" s="230">
        <f t="shared" si="47"/>
        <v>26.027739517450289</v>
      </c>
      <c r="AA140" s="230">
        <f t="shared" si="47"/>
        <v>25.32518432596968</v>
      </c>
      <c r="AB140" s="230">
        <f t="shared" si="47"/>
        <v>24.604348878644842</v>
      </c>
      <c r="AC140" s="230">
        <f t="shared" si="47"/>
        <v>23.86547033240776</v>
      </c>
      <c r="AD140" s="230">
        <f t="shared" si="47"/>
        <v>23.108534058678629</v>
      </c>
      <c r="AE140" s="230">
        <f t="shared" si="47"/>
        <v>22.333532984923075</v>
      </c>
      <c r="AF140" s="230">
        <f t="shared" si="47"/>
        <v>21.54046771844698</v>
      </c>
      <c r="AG140" s="230">
        <f t="shared" si="47"/>
        <v>20.729346668059513</v>
      </c>
      <c r="AI140" s="214"/>
    </row>
    <row r="141" spans="1:36" outlineLevel="1">
      <c r="A141" s="112" t="s">
        <v>451</v>
      </c>
      <c r="B141" s="302" t="s">
        <v>704</v>
      </c>
      <c r="C141" s="230">
        <f t="shared" si="48"/>
        <v>6.9047994185881638</v>
      </c>
      <c r="D141" s="230">
        <f t="shared" si="47"/>
        <v>7.1516769892493679</v>
      </c>
      <c r="E141" s="230">
        <f t="shared" si="47"/>
        <v>7.386846251297996</v>
      </c>
      <c r="F141" s="230">
        <f t="shared" si="47"/>
        <v>7.6086594791879643</v>
      </c>
      <c r="G141" s="230">
        <f t="shared" si="47"/>
        <v>7.8155250416605746</v>
      </c>
      <c r="H141" s="230">
        <f t="shared" si="47"/>
        <v>8.0059257628277667</v>
      </c>
      <c r="I141" s="230">
        <f t="shared" si="47"/>
        <v>8.1970076184664258</v>
      </c>
      <c r="J141" s="230">
        <f t="shared" si="47"/>
        <v>8.3885989376771626</v>
      </c>
      <c r="K141" s="230">
        <f t="shared" si="47"/>
        <v>8.580522825459207</v>
      </c>
      <c r="L141" s="230">
        <f t="shared" si="47"/>
        <v>8.7725973631887495</v>
      </c>
      <c r="M141" s="230">
        <f t="shared" si="47"/>
        <v>8.964635826207715</v>
      </c>
      <c r="N141" s="230">
        <f t="shared" si="47"/>
        <v>9.1426745284042408</v>
      </c>
      <c r="O141" s="230">
        <f t="shared" si="47"/>
        <v>9.3056879129197743</v>
      </c>
      <c r="P141" s="230">
        <f t="shared" si="47"/>
        <v>9.4527141957289516</v>
      </c>
      <c r="Q141" s="230">
        <f t="shared" si="47"/>
        <v>9.5828641859385666</v>
      </c>
      <c r="R141" s="230">
        <f t="shared" si="47"/>
        <v>9.6953295989293604</v>
      </c>
      <c r="S141" s="230">
        <f t="shared" si="47"/>
        <v>9.8079521370063407</v>
      </c>
      <c r="T141" s="230">
        <f t="shared" si="47"/>
        <v>9.9207048069050092</v>
      </c>
      <c r="U141" s="230">
        <f t="shared" si="47"/>
        <v>10.033560153458451</v>
      </c>
      <c r="V141" s="230">
        <f t="shared" si="47"/>
        <v>10.146490264717732</v>
      </c>
      <c r="W141" s="230">
        <f t="shared" si="47"/>
        <v>10.259466777372982</v>
      </c>
      <c r="X141" s="230">
        <f t="shared" si="47"/>
        <v>10.372581304035009</v>
      </c>
      <c r="Y141" s="230">
        <f t="shared" si="47"/>
        <v>10.485808850132596</v>
      </c>
      <c r="Z141" s="230">
        <f t="shared" si="47"/>
        <v>10.599124009332787</v>
      </c>
      <c r="AA141" s="230">
        <f t="shared" si="47"/>
        <v>10.712500967453279</v>
      </c>
      <c r="AB141" s="230">
        <f t="shared" si="47"/>
        <v>10.825913506603715</v>
      </c>
      <c r="AC141" s="230">
        <f t="shared" si="47"/>
        <v>10.939444225620855</v>
      </c>
      <c r="AD141" s="230">
        <f t="shared" si="47"/>
        <v>11.053069789778599</v>
      </c>
      <c r="AE141" s="230">
        <f t="shared" si="47"/>
        <v>11.16676649246152</v>
      </c>
      <c r="AF141" s="230">
        <f t="shared" si="47"/>
        <v>11.280510258112772</v>
      </c>
      <c r="AG141" s="230">
        <f t="shared" si="47"/>
        <v>11.394276645357216</v>
      </c>
      <c r="AI141" s="214"/>
    </row>
    <row r="142" spans="1:36" outlineLevel="1">
      <c r="A142" s="112" t="s">
        <v>452</v>
      </c>
      <c r="B142" s="302" t="s">
        <v>704</v>
      </c>
      <c r="C142" s="230">
        <f t="shared" si="48"/>
        <v>23.303698037735053</v>
      </c>
      <c r="D142" s="230">
        <f t="shared" si="47"/>
        <v>24.386534019937294</v>
      </c>
      <c r="E142" s="230">
        <f t="shared" si="47"/>
        <v>25.445628317023186</v>
      </c>
      <c r="F142" s="230">
        <f t="shared" si="47"/>
        <v>26.473965859092367</v>
      </c>
      <c r="G142" s="230">
        <f t="shared" si="47"/>
        <v>27.464506738439059</v>
      </c>
      <c r="H142" s="230">
        <f t="shared" si="47"/>
        <v>28.410262437860844</v>
      </c>
      <c r="I142" s="230">
        <f t="shared" si="47"/>
        <v>29.370915635398298</v>
      </c>
      <c r="J142" s="230">
        <f t="shared" si="47"/>
        <v>30.345869267317866</v>
      </c>
      <c r="K142" s="230">
        <f t="shared" si="47"/>
        <v>31.334483519374942</v>
      </c>
      <c r="L142" s="230">
        <f t="shared" si="47"/>
        <v>32.336075818329832</v>
      </c>
      <c r="M142" s="230">
        <f t="shared" si="47"/>
        <v>33.349920933710983</v>
      </c>
      <c r="N142" s="230">
        <f t="shared" si="47"/>
        <v>34.323546708772824</v>
      </c>
      <c r="O142" s="230">
        <f t="shared" si="47"/>
        <v>35.25159608391774</v>
      </c>
      <c r="P142" s="230">
        <f t="shared" si="47"/>
        <v>36.12882399859992</v>
      </c>
      <c r="Q142" s="230">
        <f t="shared" si="47"/>
        <v>36.950142987222542</v>
      </c>
      <c r="R142" s="230">
        <f t="shared" si="47"/>
        <v>37.710668501357105</v>
      </c>
      <c r="S142" s="230">
        <f t="shared" si="47"/>
        <v>38.478583465608168</v>
      </c>
      <c r="T142" s="230">
        <f t="shared" si="47"/>
        <v>39.253772018508634</v>
      </c>
      <c r="U142" s="230">
        <f t="shared" si="47"/>
        <v>40.036112886171573</v>
      </c>
      <c r="V142" s="230">
        <f t="shared" si="47"/>
        <v>40.825479347578096</v>
      </c>
      <c r="W142" s="230">
        <f t="shared" si="47"/>
        <v>41.621739202513098</v>
      </c>
      <c r="X142" s="230">
        <f t="shared" si="47"/>
        <v>42.425247282520722</v>
      </c>
      <c r="Y142" s="230">
        <f t="shared" si="47"/>
        <v>43.235889857318767</v>
      </c>
      <c r="Z142" s="230">
        <f t="shared" si="47"/>
        <v>44.053548231580756</v>
      </c>
      <c r="AA142" s="230">
        <f t="shared" si="47"/>
        <v>44.878098713165848</v>
      </c>
      <c r="AB142" s="230">
        <f t="shared" si="47"/>
        <v>45.709412583437832</v>
      </c>
      <c r="AC142" s="230">
        <f t="shared" si="47"/>
        <v>46.547820788920944</v>
      </c>
      <c r="AD142" s="230">
        <f t="shared" si="47"/>
        <v>47.393210972859542</v>
      </c>
      <c r="AE142" s="230">
        <f t="shared" si="47"/>
        <v>48.245466182406119</v>
      </c>
      <c r="AF142" s="230">
        <f t="shared" si="47"/>
        <v>49.104464838893698</v>
      </c>
      <c r="AG142" s="230">
        <f t="shared" si="47"/>
        <v>49.970080709759358</v>
      </c>
      <c r="AI142" s="214"/>
    </row>
    <row r="143" spans="1:36" outlineLevel="1">
      <c r="A143" s="112" t="s">
        <v>1364</v>
      </c>
      <c r="B143" s="302" t="s">
        <v>704</v>
      </c>
      <c r="C143" s="230">
        <f t="shared" si="48"/>
        <v>6.0416994912646436</v>
      </c>
      <c r="D143" s="230">
        <f t="shared" si="47"/>
        <v>6.3629985031274021</v>
      </c>
      <c r="E143" s="230">
        <f t="shared" si="47"/>
        <v>6.6807055040833072</v>
      </c>
      <c r="F143" s="230">
        <f t="shared" si="47"/>
        <v>6.9927654989299102</v>
      </c>
      <c r="G143" s="230">
        <f t="shared" si="47"/>
        <v>7.2970822528273684</v>
      </c>
      <c r="H143" s="230">
        <f t="shared" si="47"/>
        <v>7.5915403713770528</v>
      </c>
      <c r="I143" s="230">
        <f t="shared" si="47"/>
        <v>7.8919080793175498</v>
      </c>
      <c r="J143" s="230">
        <f t="shared" si="47"/>
        <v>8.1980277102619414</v>
      </c>
      <c r="K143" s="230">
        <f t="shared" si="47"/>
        <v>8.509726432509872</v>
      </c>
      <c r="L143" s="230">
        <f t="shared" si="47"/>
        <v>8.8268161355199499</v>
      </c>
      <c r="M143" s="230">
        <f t="shared" si="47"/>
        <v>9.1490933534959371</v>
      </c>
      <c r="N143" s="230">
        <f t="shared" si="47"/>
        <v>9.4620856812666947</v>
      </c>
      <c r="O143" s="230">
        <f t="shared" si="47"/>
        <v>9.764096184492173</v>
      </c>
      <c r="P143" s="230">
        <f t="shared" si="47"/>
        <v>10.053440190127466</v>
      </c>
      <c r="Q143" s="230">
        <f t="shared" si="47"/>
        <v>10.328459679521004</v>
      </c>
      <c r="R143" s="230">
        <f t="shared" si="47"/>
        <v>10.587537844229603</v>
      </c>
      <c r="S143" s="230">
        <f t="shared" si="47"/>
        <v>10.849646399923675</v>
      </c>
      <c r="T143" s="230">
        <f t="shared" si="47"/>
        <v>11.114751285092263</v>
      </c>
      <c r="U143" s="230">
        <f t="shared" si="47"/>
        <v>11.382816408813492</v>
      </c>
      <c r="V143" s="230">
        <f t="shared" si="47"/>
        <v>11.653803633306236</v>
      </c>
      <c r="W143" s="230">
        <f t="shared" si="47"/>
        <v>11.927672757433619</v>
      </c>
      <c r="X143" s="230">
        <f t="shared" si="47"/>
        <v>12.204523190862133</v>
      </c>
      <c r="Y143" s="230">
        <f t="shared" si="47"/>
        <v>12.484320674772617</v>
      </c>
      <c r="Z143" s="230">
        <f t="shared" si="47"/>
        <v>12.767029082120565</v>
      </c>
      <c r="AA143" s="230">
        <f t="shared" si="47"/>
        <v>13.052610402091119</v>
      </c>
      <c r="AB143" s="230">
        <f t="shared" si="47"/>
        <v>13.341024725309616</v>
      </c>
      <c r="AC143" s="230">
        <f t="shared" si="47"/>
        <v>13.632366331201439</v>
      </c>
      <c r="AD143" s="230">
        <f t="shared" si="47"/>
        <v>13.926600629926588</v>
      </c>
      <c r="AE143" s="230">
        <f t="shared" si="47"/>
        <v>14.223691297161114</v>
      </c>
      <c r="AF143" s="230">
        <f t="shared" si="47"/>
        <v>14.523600259942523</v>
      </c>
      <c r="AG143" s="230">
        <f t="shared" si="47"/>
        <v>14.826287683115414</v>
      </c>
      <c r="AI143" s="214"/>
    </row>
    <row r="144" spans="1:36" outlineLevel="1">
      <c r="A144" s="112" t="s">
        <v>1365</v>
      </c>
      <c r="B144" s="302" t="s">
        <v>704</v>
      </c>
      <c r="C144" s="230">
        <f t="shared" si="48"/>
        <v>4.3154996366176022</v>
      </c>
      <c r="D144" s="230">
        <f t="shared" si="47"/>
        <v>4.5296930410476648</v>
      </c>
      <c r="E144" s="230">
        <f t="shared" si="47"/>
        <v>4.7403535378238182</v>
      </c>
      <c r="F144" s="230">
        <f t="shared" si="47"/>
        <v>4.9461024260723763</v>
      </c>
      <c r="G144" s="230">
        <f t="shared" si="47"/>
        <v>5.145544679169566</v>
      </c>
      <c r="H144" s="230">
        <f t="shared" si="47"/>
        <v>5.3372838418851787</v>
      </c>
      <c r="I144" s="230">
        <f t="shared" si="47"/>
        <v>5.5324716432329231</v>
      </c>
      <c r="J144" s="230">
        <f t="shared" si="47"/>
        <v>5.7309965480867531</v>
      </c>
      <c r="K144" s="230">
        <f t="shared" si="47"/>
        <v>5.9327377291541392</v>
      </c>
      <c r="L144" s="230">
        <f t="shared" si="47"/>
        <v>6.1375650278922533</v>
      </c>
      <c r="M144" s="230">
        <f t="shared" si="47"/>
        <v>6.345338938714927</v>
      </c>
      <c r="N144" s="230">
        <f t="shared" si="47"/>
        <v>6.5460497445459058</v>
      </c>
      <c r="O144" s="230">
        <f t="shared" si="47"/>
        <v>6.7386015921143203</v>
      </c>
      <c r="P144" s="230">
        <f t="shared" si="47"/>
        <v>6.9219137161016446</v>
      </c>
      <c r="Q144" s="230">
        <f t="shared" si="47"/>
        <v>7.0949297494582018</v>
      </c>
      <c r="R144" s="230">
        <f t="shared" si="47"/>
        <v>7.2566270617753501</v>
      </c>
      <c r="S144" s="230">
        <f t="shared" si="47"/>
        <v>7.4200683650881309</v>
      </c>
      <c r="T144" s="230">
        <f t="shared" si="47"/>
        <v>7.5852308478743327</v>
      </c>
      <c r="U144" s="230">
        <f t="shared" si="47"/>
        <v>7.7520904853126433</v>
      </c>
      <c r="V144" s="230">
        <f t="shared" si="47"/>
        <v>7.9206220300075758</v>
      </c>
      <c r="W144" s="230">
        <f t="shared" si="47"/>
        <v>8.0907990032941406</v>
      </c>
      <c r="X144" s="230">
        <f t="shared" si="47"/>
        <v>8.2626896136892771</v>
      </c>
      <c r="Y144" s="230">
        <f t="shared" si="47"/>
        <v>8.4362711916719686</v>
      </c>
      <c r="Z144" s="230">
        <f t="shared" si="47"/>
        <v>8.6115199524996235</v>
      </c>
      <c r="AA144" s="230">
        <f t="shared" si="47"/>
        <v>8.7884109878621572</v>
      </c>
      <c r="AB144" s="230">
        <f t="shared" si="47"/>
        <v>8.9669182579949975</v>
      </c>
      <c r="AC144" s="230">
        <f t="shared" si="47"/>
        <v>9.1471059061688518</v>
      </c>
      <c r="AD144" s="230">
        <f t="shared" si="47"/>
        <v>9.3289512856897971</v>
      </c>
      <c r="AE144" s="230">
        <f t="shared" si="47"/>
        <v>9.512430715800555</v>
      </c>
      <c r="AF144" s="230">
        <f t="shared" si="47"/>
        <v>9.6975194740028581</v>
      </c>
      <c r="AG144" s="230">
        <f t="shared" si="47"/>
        <v>9.8841917887436086</v>
      </c>
      <c r="AI144" s="214"/>
    </row>
    <row r="145" spans="1:36" s="58" customFormat="1">
      <c r="A145" s="58" t="s">
        <v>1366</v>
      </c>
      <c r="B145" s="303"/>
      <c r="C145" s="304">
        <f>C50</f>
        <v>91.132618550548131</v>
      </c>
      <c r="D145" s="304">
        <f t="shared" ref="D145:AG145" si="49">D50</f>
        <v>94.187520588827709</v>
      </c>
      <c r="E145" s="304">
        <f t="shared" si="49"/>
        <v>97.090361356727982</v>
      </c>
      <c r="F145" s="304">
        <f t="shared" si="49"/>
        <v>99.821216818932996</v>
      </c>
      <c r="G145" s="304">
        <f t="shared" si="49"/>
        <v>102.36096024167153</v>
      </c>
      <c r="H145" s="304">
        <f t="shared" si="49"/>
        <v>104.69148533711844</v>
      </c>
      <c r="I145" s="304">
        <f t="shared" si="49"/>
        <v>107.02632892810098</v>
      </c>
      <c r="J145" s="304">
        <f t="shared" si="49"/>
        <v>109.36337703012953</v>
      </c>
      <c r="K145" s="304">
        <f t="shared" si="49"/>
        <v>111.70046198886772</v>
      </c>
      <c r="L145" s="304">
        <f t="shared" si="49"/>
        <v>114.03536529910818</v>
      </c>
      <c r="M145" s="304">
        <f t="shared" si="49"/>
        <v>116.36582061426859</v>
      </c>
      <c r="N145" s="304">
        <f t="shared" si="49"/>
        <v>118.51969709126692</v>
      </c>
      <c r="O145" s="304">
        <f t="shared" si="49"/>
        <v>120.48504894393488</v>
      </c>
      <c r="P145" s="304">
        <f t="shared" si="49"/>
        <v>122.26460844216803</v>
      </c>
      <c r="Q145" s="304">
        <f t="shared" si="49"/>
        <v>123.83473833355296</v>
      </c>
      <c r="R145" s="304">
        <f t="shared" si="49"/>
        <v>125.18625234513351</v>
      </c>
      <c r="S145" s="304">
        <f t="shared" si="49"/>
        <v>126.53866257519005</v>
      </c>
      <c r="T145" s="304">
        <f t="shared" si="49"/>
        <v>127.89167103296971</v>
      </c>
      <c r="U145" s="304">
        <f t="shared" si="49"/>
        <v>129.2449760124714</v>
      </c>
      <c r="V145" s="304">
        <f t="shared" si="49"/>
        <v>130.59827218564652</v>
      </c>
      <c r="W145" s="304">
        <f t="shared" si="49"/>
        <v>131.95125069882764</v>
      </c>
      <c r="X145" s="304">
        <f t="shared" si="49"/>
        <v>133.30506753308941</v>
      </c>
      <c r="Y145" s="304">
        <f t="shared" si="49"/>
        <v>134.65945403467174</v>
      </c>
      <c r="Z145" s="304">
        <f t="shared" si="49"/>
        <v>136.06025642121168</v>
      </c>
      <c r="AA145" s="304">
        <f t="shared" si="49"/>
        <v>137.46198991168109</v>
      </c>
      <c r="AB145" s="304">
        <f t="shared" si="49"/>
        <v>138.86437603557167</v>
      </c>
      <c r="AC145" s="304">
        <f t="shared" si="49"/>
        <v>140.26845913592791</v>
      </c>
      <c r="AD145" s="304">
        <f t="shared" si="49"/>
        <v>141.67399580922878</v>
      </c>
      <c r="AE145" s="304">
        <f t="shared" si="49"/>
        <v>143.08073960484728</v>
      </c>
      <c r="AF145" s="304">
        <f t="shared" si="49"/>
        <v>144.48844108335791</v>
      </c>
      <c r="AG145" s="304">
        <f t="shared" si="49"/>
        <v>145.89684787689893</v>
      </c>
      <c r="AI145" s="305"/>
      <c r="AJ145" s="306"/>
    </row>
    <row r="146" spans="1:36" s="58" customFormat="1">
      <c r="A146" s="307" t="s">
        <v>3</v>
      </c>
      <c r="B146" s="308" t="s">
        <v>704</v>
      </c>
      <c r="C146" s="309">
        <f>C145-C135</f>
        <v>0</v>
      </c>
      <c r="D146" s="309">
        <f t="shared" ref="D146:AG146" si="50">D145-D135</f>
        <v>0</v>
      </c>
      <c r="E146" s="309">
        <f t="shared" si="50"/>
        <v>0</v>
      </c>
      <c r="F146" s="309">
        <f t="shared" si="50"/>
        <v>0</v>
      </c>
      <c r="G146" s="309">
        <f t="shared" si="50"/>
        <v>0</v>
      </c>
      <c r="H146" s="309">
        <f t="shared" si="50"/>
        <v>0</v>
      </c>
      <c r="I146" s="309">
        <f t="shared" si="50"/>
        <v>0</v>
      </c>
      <c r="J146" s="309">
        <f t="shared" si="50"/>
        <v>0</v>
      </c>
      <c r="K146" s="309">
        <f t="shared" si="50"/>
        <v>0</v>
      </c>
      <c r="L146" s="309">
        <f t="shared" si="50"/>
        <v>0</v>
      </c>
      <c r="M146" s="309">
        <f t="shared" si="50"/>
        <v>0</v>
      </c>
      <c r="N146" s="309">
        <f t="shared" si="50"/>
        <v>0</v>
      </c>
      <c r="O146" s="309">
        <f t="shared" si="50"/>
        <v>0</v>
      </c>
      <c r="P146" s="309">
        <f t="shared" si="50"/>
        <v>1.3834304845744327E-2</v>
      </c>
      <c r="Q146" s="309">
        <f t="shared" si="50"/>
        <v>2.8020761176094311E-2</v>
      </c>
      <c r="R146" s="309">
        <f t="shared" si="50"/>
        <v>4.2485056763752027E-2</v>
      </c>
      <c r="S146" s="309">
        <f t="shared" si="50"/>
        <v>5.7252230928412473E-2</v>
      </c>
      <c r="T146" s="309">
        <f t="shared" si="50"/>
        <v>7.2322316476373771E-2</v>
      </c>
      <c r="U146" s="309">
        <f t="shared" si="50"/>
        <v>8.7695208883189935E-2</v>
      </c>
      <c r="V146" s="309">
        <f t="shared" si="50"/>
        <v>0.10337066434465214</v>
      </c>
      <c r="W146" s="309">
        <f t="shared" si="50"/>
        <v>0.11934829789527157</v>
      </c>
      <c r="X146" s="309">
        <f t="shared" si="50"/>
        <v>0.13562907545440339</v>
      </c>
      <c r="Y146" s="309">
        <f t="shared" si="50"/>
        <v>0.15221287483012702</v>
      </c>
      <c r="Z146" s="309">
        <f t="shared" si="50"/>
        <v>0.21521747991047846</v>
      </c>
      <c r="AA146" s="309">
        <f t="shared" si="50"/>
        <v>0.279432633007616</v>
      </c>
      <c r="AB146" s="309">
        <f t="shared" si="50"/>
        <v>0.34485726403337935</v>
      </c>
      <c r="AC146" s="309">
        <f t="shared" si="50"/>
        <v>0.41149368273423192</v>
      </c>
      <c r="AD146" s="309">
        <f t="shared" si="50"/>
        <v>0.47934172221306426</v>
      </c>
      <c r="AE146" s="309">
        <f t="shared" si="50"/>
        <v>0.54840076517444913</v>
      </c>
      <c r="AF146" s="309">
        <f t="shared" si="50"/>
        <v>0.61866973832223948</v>
      </c>
      <c r="AG146" s="309">
        <f t="shared" si="50"/>
        <v>0.69014710693988945</v>
      </c>
      <c r="AI146" s="305"/>
      <c r="AJ146" s="306"/>
    </row>
    <row r="147" spans="1:36">
      <c r="A147" s="310" t="s">
        <v>51</v>
      </c>
      <c r="B147" s="302" t="s">
        <v>704</v>
      </c>
      <c r="C147" s="249">
        <f>C103</f>
        <v>4.8226258181960828</v>
      </c>
      <c r="D147" s="249">
        <f t="shared" ref="D147:AG147" si="51">D103</f>
        <v>5.357541865936339</v>
      </c>
      <c r="E147" s="249">
        <f t="shared" si="51"/>
        <v>5.9145812188348987</v>
      </c>
      <c r="F147" s="249">
        <f t="shared" si="51"/>
        <v>6.4912492625308715</v>
      </c>
      <c r="G147" s="249">
        <f t="shared" si="51"/>
        <v>7.0847057896369705</v>
      </c>
      <c r="H147" s="249">
        <f t="shared" si="51"/>
        <v>7.6917836697104818</v>
      </c>
      <c r="I147" s="249">
        <f t="shared" si="51"/>
        <v>8.3269399114548346</v>
      </c>
      <c r="J147" s="249">
        <f t="shared" si="51"/>
        <v>8.9905736148547231</v>
      </c>
      <c r="K147" s="249">
        <f t="shared" si="51"/>
        <v>9.6830432621563141</v>
      </c>
      <c r="L147" s="249">
        <f t="shared" si="51"/>
        <v>10.404664193638112</v>
      </c>
      <c r="M147" s="249">
        <f t="shared" si="51"/>
        <v>11.155706120511489</v>
      </c>
      <c r="N147" s="249">
        <f t="shared" si="51"/>
        <v>12.386530103426116</v>
      </c>
      <c r="O147" s="249">
        <f t="shared" si="51"/>
        <v>13.651987913164181</v>
      </c>
      <c r="P147" s="249">
        <f t="shared" si="51"/>
        <v>14.950656254193436</v>
      </c>
      <c r="Q147" s="249">
        <f t="shared" si="51"/>
        <v>16.273593419121404</v>
      </c>
      <c r="R147" s="249">
        <f t="shared" si="51"/>
        <v>17.614511431947378</v>
      </c>
      <c r="S147" s="249">
        <f t="shared" si="51"/>
        <v>19.00091453057739</v>
      </c>
      <c r="T147" s="249">
        <f t="shared" si="51"/>
        <v>20.433417521543454</v>
      </c>
      <c r="U147" s="249">
        <f t="shared" si="51"/>
        <v>21.912623302640206</v>
      </c>
      <c r="V147" s="249">
        <f t="shared" si="51"/>
        <v>23.439122218974095</v>
      </c>
      <c r="W147" s="249">
        <f t="shared" si="51"/>
        <v>25.013491416922847</v>
      </c>
      <c r="X147" s="249">
        <f t="shared" si="51"/>
        <v>27.38142414287055</v>
      </c>
      <c r="Y147" s="249">
        <f t="shared" si="51"/>
        <v>29.828326722739863</v>
      </c>
      <c r="Z147" s="249">
        <f t="shared" si="51"/>
        <v>32.369905986477207</v>
      </c>
      <c r="AA147" s="249">
        <f t="shared" si="51"/>
        <v>34.99501007638932</v>
      </c>
      <c r="AB147" s="249">
        <f t="shared" si="51"/>
        <v>37.704679615982684</v>
      </c>
      <c r="AC147" s="249">
        <f t="shared" si="51"/>
        <v>40.500316706789164</v>
      </c>
      <c r="AD147" s="249">
        <f t="shared" si="51"/>
        <v>43.383000411904916</v>
      </c>
      <c r="AE147" s="249">
        <f t="shared" si="51"/>
        <v>46.35379147484629</v>
      </c>
      <c r="AF147" s="249">
        <f t="shared" si="51"/>
        <v>49.413731407500961</v>
      </c>
      <c r="AG147" s="249">
        <f t="shared" si="51"/>
        <v>52.563841575478222</v>
      </c>
      <c r="AI147" s="296"/>
    </row>
    <row r="148" spans="1:36" s="68" customFormat="1">
      <c r="A148" s="311" t="s">
        <v>1387</v>
      </c>
      <c r="B148" s="312" t="s">
        <v>704</v>
      </c>
      <c r="C148" s="313">
        <f>C145-C147</f>
        <v>86.309992732352043</v>
      </c>
      <c r="D148" s="313">
        <f t="shared" ref="D148:AG148" si="52">D145-D147</f>
        <v>88.829978722891369</v>
      </c>
      <c r="E148" s="313">
        <f t="shared" si="52"/>
        <v>91.175780137893085</v>
      </c>
      <c r="F148" s="313">
        <f t="shared" si="52"/>
        <v>93.329967556402124</v>
      </c>
      <c r="G148" s="313">
        <f t="shared" si="52"/>
        <v>95.276254452034564</v>
      </c>
      <c r="H148" s="313">
        <f t="shared" si="52"/>
        <v>96.999701667407948</v>
      </c>
      <c r="I148" s="313">
        <f t="shared" si="52"/>
        <v>98.699389016646151</v>
      </c>
      <c r="J148" s="313">
        <f t="shared" si="52"/>
        <v>100.3728034152748</v>
      </c>
      <c r="K148" s="313">
        <f t="shared" si="52"/>
        <v>102.0174187267114</v>
      </c>
      <c r="L148" s="313">
        <f t="shared" si="52"/>
        <v>103.63070110547007</v>
      </c>
      <c r="M148" s="313">
        <f t="shared" si="52"/>
        <v>105.21011449375709</v>
      </c>
      <c r="N148" s="313">
        <f t="shared" si="52"/>
        <v>106.13316698784081</v>
      </c>
      <c r="O148" s="313">
        <f t="shared" si="52"/>
        <v>106.83306103077071</v>
      </c>
      <c r="P148" s="313">
        <f t="shared" si="52"/>
        <v>107.31395218797459</v>
      </c>
      <c r="Q148" s="313">
        <f t="shared" si="52"/>
        <v>107.56114491443157</v>
      </c>
      <c r="R148" s="313">
        <f t="shared" si="52"/>
        <v>107.57174091318613</v>
      </c>
      <c r="S148" s="313">
        <f t="shared" si="52"/>
        <v>107.53774804461266</v>
      </c>
      <c r="T148" s="313">
        <f t="shared" si="52"/>
        <v>107.45825351142625</v>
      </c>
      <c r="U148" s="313">
        <f t="shared" si="52"/>
        <v>107.33235270983118</v>
      </c>
      <c r="V148" s="313">
        <f t="shared" si="52"/>
        <v>107.15914996667243</v>
      </c>
      <c r="W148" s="313">
        <f t="shared" si="52"/>
        <v>106.93775928190479</v>
      </c>
      <c r="X148" s="313">
        <f t="shared" si="52"/>
        <v>105.92364339021887</v>
      </c>
      <c r="Y148" s="313">
        <f t="shared" si="52"/>
        <v>104.83112731193188</v>
      </c>
      <c r="Z148" s="313">
        <f t="shared" si="52"/>
        <v>103.69035043473447</v>
      </c>
      <c r="AA148" s="313">
        <f t="shared" si="52"/>
        <v>102.46697983529177</v>
      </c>
      <c r="AB148" s="313">
        <f t="shared" si="52"/>
        <v>101.15969641958898</v>
      </c>
      <c r="AC148" s="313">
        <f t="shared" si="52"/>
        <v>99.768142429138749</v>
      </c>
      <c r="AD148" s="313">
        <f t="shared" si="52"/>
        <v>98.290995397323869</v>
      </c>
      <c r="AE148" s="313">
        <f t="shared" si="52"/>
        <v>96.726948130000991</v>
      </c>
      <c r="AF148" s="313">
        <f t="shared" si="52"/>
        <v>95.074709675856951</v>
      </c>
      <c r="AG148" s="313">
        <f t="shared" si="52"/>
        <v>93.33300630142071</v>
      </c>
      <c r="AI148" s="314"/>
      <c r="AJ148" s="315"/>
    </row>
    <row r="149" spans="1:36" s="58" customFormat="1" outlineLevel="1">
      <c r="A149" s="307" t="s">
        <v>1367</v>
      </c>
      <c r="B149" s="308" t="s">
        <v>462</v>
      </c>
      <c r="C149" s="309">
        <f>C145*C115</f>
        <v>76.551399582460434</v>
      </c>
      <c r="D149" s="309">
        <f t="shared" ref="D149:AG149" si="53">D145*D115</f>
        <v>79.494267376970583</v>
      </c>
      <c r="E149" s="309">
        <f t="shared" si="53"/>
        <v>82.332626430505329</v>
      </c>
      <c r="F149" s="309">
        <f t="shared" si="53"/>
        <v>85.04767672973091</v>
      </c>
      <c r="G149" s="309">
        <f t="shared" si="53"/>
        <v>87.620981966870829</v>
      </c>
      <c r="H149" s="309">
        <f t="shared" si="53"/>
        <v>90.034677389921853</v>
      </c>
      <c r="I149" s="309">
        <f t="shared" si="53"/>
        <v>92.470748193879245</v>
      </c>
      <c r="J149" s="309">
        <f t="shared" si="53"/>
        <v>94.927411262152432</v>
      </c>
      <c r="K149" s="309">
        <f t="shared" si="53"/>
        <v>97.402802854292645</v>
      </c>
      <c r="L149" s="309">
        <f t="shared" si="53"/>
        <v>99.894980002018769</v>
      </c>
      <c r="M149" s="309">
        <f t="shared" si="53"/>
        <v>102.40192214055635</v>
      </c>
      <c r="N149" s="309">
        <f t="shared" si="53"/>
        <v>104.77141222867996</v>
      </c>
      <c r="O149" s="309">
        <f t="shared" si="53"/>
        <v>106.99072346221418</v>
      </c>
      <c r="P149" s="309">
        <f t="shared" si="53"/>
        <v>109.06003073041389</v>
      </c>
      <c r="Q149" s="309">
        <f t="shared" si="53"/>
        <v>110.95592554686345</v>
      </c>
      <c r="R149" s="309">
        <f t="shared" si="53"/>
        <v>112.66762711062016</v>
      </c>
      <c r="S149" s="309">
        <f t="shared" si="53"/>
        <v>114.3909509679718</v>
      </c>
      <c r="T149" s="309">
        <f t="shared" si="53"/>
        <v>116.12563729793651</v>
      </c>
      <c r="U149" s="309">
        <f t="shared" si="53"/>
        <v>117.87141812337391</v>
      </c>
      <c r="V149" s="309">
        <f t="shared" si="53"/>
        <v>119.62801732205222</v>
      </c>
      <c r="W149" s="309">
        <f t="shared" si="53"/>
        <v>121.39515064292144</v>
      </c>
      <c r="X149" s="309">
        <f t="shared" si="53"/>
        <v>123.17388240057463</v>
      </c>
      <c r="Y149" s="309">
        <f t="shared" si="53"/>
        <v>124.96397334417539</v>
      </c>
      <c r="Z149" s="309">
        <f t="shared" si="53"/>
        <v>126.80815898456929</v>
      </c>
      <c r="AA149" s="309">
        <f t="shared" si="53"/>
        <v>128.66442255733349</v>
      </c>
      <c r="AB149" s="309">
        <f t="shared" si="53"/>
        <v>130.53251347343738</v>
      </c>
      <c r="AC149" s="309">
        <f t="shared" si="53"/>
        <v>132.41342542431596</v>
      </c>
      <c r="AD149" s="309">
        <f t="shared" si="53"/>
        <v>134.30694802714891</v>
      </c>
      <c r="AE149" s="309">
        <f t="shared" si="53"/>
        <v>136.21286410381461</v>
      </c>
      <c r="AF149" s="309">
        <f t="shared" si="53"/>
        <v>138.13094967569018</v>
      </c>
      <c r="AG149" s="309">
        <f t="shared" si="53"/>
        <v>140.06097396182298</v>
      </c>
      <c r="AI149" s="305"/>
      <c r="AJ149" s="339" t="s">
        <v>1363</v>
      </c>
    </row>
    <row r="150" spans="1:36" s="58" customFormat="1" outlineLevel="1">
      <c r="A150" s="307" t="s">
        <v>1368</v>
      </c>
      <c r="B150" s="308" t="s">
        <v>462</v>
      </c>
      <c r="C150" s="309">
        <f>C149*C116</f>
        <v>16.841307908141296</v>
      </c>
      <c r="D150" s="309">
        <f t="shared" ref="D150:AG150" si="54">D149*D116</f>
        <v>18.018700605446664</v>
      </c>
      <c r="E150" s="309">
        <f t="shared" si="54"/>
        <v>19.210946167117907</v>
      </c>
      <c r="F150" s="309">
        <f t="shared" si="54"/>
        <v>20.411442415135415</v>
      </c>
      <c r="G150" s="309">
        <f t="shared" si="54"/>
        <v>21.613175551828135</v>
      </c>
      <c r="H150" s="309">
        <f t="shared" si="54"/>
        <v>22.8087849387802</v>
      </c>
      <c r="I150" s="309">
        <f t="shared" si="54"/>
        <v>24.0423945304086</v>
      </c>
      <c r="J150" s="309">
        <f t="shared" si="54"/>
        <v>25.313976336573976</v>
      </c>
      <c r="K150" s="309">
        <f t="shared" si="54"/>
        <v>26.623432780173317</v>
      </c>
      <c r="L150" s="309">
        <f t="shared" si="54"/>
        <v>27.970594400565247</v>
      </c>
      <c r="M150" s="309">
        <f t="shared" si="54"/>
        <v>29.35521768029281</v>
      </c>
      <c r="N150" s="309">
        <f t="shared" si="54"/>
        <v>30.732947587079444</v>
      </c>
      <c r="O150" s="309">
        <f t="shared" si="54"/>
        <v>32.09721703866424</v>
      </c>
      <c r="P150" s="309">
        <f t="shared" si="54"/>
        <v>33.445076090660244</v>
      </c>
      <c r="Q150" s="309">
        <f t="shared" si="54"/>
        <v>34.766190004683864</v>
      </c>
      <c r="R150" s="309">
        <f t="shared" si="54"/>
        <v>36.053640675398434</v>
      </c>
      <c r="S150" s="309">
        <f t="shared" si="54"/>
        <v>37.367710649537436</v>
      </c>
      <c r="T150" s="309">
        <f t="shared" si="54"/>
        <v>38.708545765978812</v>
      </c>
      <c r="U150" s="309">
        <f t="shared" si="54"/>
        <v>40.076282161947105</v>
      </c>
      <c r="V150" s="309">
        <f t="shared" si="54"/>
        <v>41.471046004978078</v>
      </c>
      <c r="W150" s="309">
        <f t="shared" si="54"/>
        <v>42.892953227165549</v>
      </c>
      <c r="X150" s="309">
        <f t="shared" si="54"/>
        <v>44.342597664206835</v>
      </c>
      <c r="Y150" s="309">
        <f t="shared" si="54"/>
        <v>45.820123559530941</v>
      </c>
      <c r="Z150" s="309">
        <f t="shared" si="54"/>
        <v>47.341712687572503</v>
      </c>
      <c r="AA150" s="309">
        <f t="shared" si="54"/>
        <v>48.892480571786692</v>
      </c>
      <c r="AB150" s="309">
        <f t="shared" si="54"/>
        <v>50.472571876395747</v>
      </c>
      <c r="AC150" s="309">
        <f t="shared" si="54"/>
        <v>52.082614000230905</v>
      </c>
      <c r="AD150" s="309">
        <f t="shared" si="54"/>
        <v>53.722779210859521</v>
      </c>
      <c r="AE150" s="309">
        <f t="shared" si="54"/>
        <v>55.3932314022179</v>
      </c>
      <c r="AF150" s="309">
        <f t="shared" si="54"/>
        <v>57.094125865951895</v>
      </c>
      <c r="AG150" s="309">
        <f t="shared" si="54"/>
        <v>58.825609063965651</v>
      </c>
      <c r="AI150" s="305"/>
      <c r="AJ150" s="339" t="s">
        <v>1363</v>
      </c>
    </row>
    <row r="151" spans="1:36" s="62" customFormat="1" outlineLevel="1">
      <c r="A151" s="311" t="s">
        <v>1369</v>
      </c>
      <c r="B151" s="312" t="s">
        <v>462</v>
      </c>
      <c r="C151" s="313">
        <f>C149*C117</f>
        <v>59.710091674319138</v>
      </c>
      <c r="D151" s="313">
        <f t="shared" ref="D151:AG151" si="55">D149*D117</f>
        <v>61.475566771523916</v>
      </c>
      <c r="E151" s="313">
        <f t="shared" si="55"/>
        <v>63.121680263387425</v>
      </c>
      <c r="F151" s="313">
        <f t="shared" si="55"/>
        <v>64.636234314595498</v>
      </c>
      <c r="G151" s="313">
        <f t="shared" si="55"/>
        <v>66.007806415042694</v>
      </c>
      <c r="H151" s="313">
        <f t="shared" si="55"/>
        <v>67.225892451141647</v>
      </c>
      <c r="I151" s="313">
        <f t="shared" si="55"/>
        <v>68.428353663470645</v>
      </c>
      <c r="J151" s="313">
        <f t="shared" si="55"/>
        <v>69.61343492557846</v>
      </c>
      <c r="K151" s="313">
        <f t="shared" si="55"/>
        <v>70.779370074119328</v>
      </c>
      <c r="L151" s="313">
        <f t="shared" si="55"/>
        <v>71.924385601453523</v>
      </c>
      <c r="M151" s="313">
        <f t="shared" si="55"/>
        <v>73.046704460263541</v>
      </c>
      <c r="N151" s="313">
        <f t="shared" si="55"/>
        <v>74.038464641600513</v>
      </c>
      <c r="O151" s="313">
        <f t="shared" si="55"/>
        <v>74.893506423549937</v>
      </c>
      <c r="P151" s="313">
        <f t="shared" si="55"/>
        <v>75.614954639753648</v>
      </c>
      <c r="Q151" s="313">
        <f t="shared" si="55"/>
        <v>76.189735542179577</v>
      </c>
      <c r="R151" s="313">
        <f t="shared" si="55"/>
        <v>76.613986435221733</v>
      </c>
      <c r="S151" s="313">
        <f t="shared" si="55"/>
        <v>77.023240318434375</v>
      </c>
      <c r="T151" s="313">
        <f t="shared" si="55"/>
        <v>77.417091531957695</v>
      </c>
      <c r="U151" s="313">
        <f t="shared" si="55"/>
        <v>77.795135961426794</v>
      </c>
      <c r="V151" s="313">
        <f t="shared" si="55"/>
        <v>78.156971317074138</v>
      </c>
      <c r="W151" s="313">
        <f t="shared" si="55"/>
        <v>78.502197415755901</v>
      </c>
      <c r="X151" s="313">
        <f t="shared" si="55"/>
        <v>78.831284736367792</v>
      </c>
      <c r="Y151" s="313">
        <f t="shared" si="55"/>
        <v>79.143849784644431</v>
      </c>
      <c r="Z151" s="313">
        <f t="shared" si="55"/>
        <v>79.466446296996793</v>
      </c>
      <c r="AA151" s="313">
        <f t="shared" si="55"/>
        <v>79.771941985546803</v>
      </c>
      <c r="AB151" s="313">
        <f t="shared" si="55"/>
        <v>80.059941597041629</v>
      </c>
      <c r="AC151" s="313">
        <f t="shared" si="55"/>
        <v>80.330811424085041</v>
      </c>
      <c r="AD151" s="313">
        <f t="shared" si="55"/>
        <v>80.584168816289392</v>
      </c>
      <c r="AE151" s="313">
        <f t="shared" si="55"/>
        <v>80.819632701596717</v>
      </c>
      <c r="AF151" s="313">
        <f t="shared" si="55"/>
        <v>81.03682380973828</v>
      </c>
      <c r="AG151" s="313">
        <f t="shared" si="55"/>
        <v>81.235364897857337</v>
      </c>
      <c r="AI151" s="342"/>
      <c r="AJ151" s="341" t="s">
        <v>1363</v>
      </c>
    </row>
    <row r="152" spans="1:36" s="1" customFormat="1" outlineLevel="1">
      <c r="A152" t="s">
        <v>1370</v>
      </c>
      <c r="B152" s="302" t="s">
        <v>704</v>
      </c>
      <c r="C152" s="249">
        <f>C118*C149</f>
        <v>72.723829603337407</v>
      </c>
      <c r="D152" s="249">
        <f t="shared" ref="D152:AG152" si="56">D118*D149</f>
        <v>75.122082671237195</v>
      </c>
      <c r="E152" s="249">
        <f t="shared" si="56"/>
        <v>77.392668844675001</v>
      </c>
      <c r="F152" s="249">
        <f t="shared" si="56"/>
        <v>79.519577742298395</v>
      </c>
      <c r="G152" s="249">
        <f t="shared" si="56"/>
        <v>81.487513229189872</v>
      </c>
      <c r="H152" s="249">
        <f t="shared" si="56"/>
        <v>83.282076585677714</v>
      </c>
      <c r="I152" s="249">
        <f t="shared" si="56"/>
        <v>85.073088338368905</v>
      </c>
      <c r="J152" s="249">
        <f t="shared" si="56"/>
        <v>86.858581304869475</v>
      </c>
      <c r="K152" s="249">
        <f t="shared" si="56"/>
        <v>88.636550597406298</v>
      </c>
      <c r="L152" s="249">
        <f t="shared" si="56"/>
        <v>90.404956901826978</v>
      </c>
      <c r="M152" s="249">
        <f t="shared" si="56"/>
        <v>92.161729926500712</v>
      </c>
      <c r="N152" s="249">
        <f t="shared" si="56"/>
        <v>93.770413944668562</v>
      </c>
      <c r="O152" s="249">
        <f t="shared" si="56"/>
        <v>95.221743881370614</v>
      </c>
      <c r="P152" s="249">
        <f t="shared" si="56"/>
        <v>96.518127196416273</v>
      </c>
      <c r="Q152" s="249">
        <f t="shared" si="56"/>
        <v>97.641214481239828</v>
      </c>
      <c r="R152" s="249">
        <f t="shared" si="56"/>
        <v>98.584173721792624</v>
      </c>
      <c r="S152" s="249">
        <f t="shared" si="56"/>
        <v>99.520127342135453</v>
      </c>
      <c r="T152" s="249">
        <f t="shared" si="56"/>
        <v>100.44867626271507</v>
      </c>
      <c r="U152" s="249">
        <f t="shared" si="56"/>
        <v>101.36941958610156</v>
      </c>
      <c r="V152" s="249">
        <f t="shared" si="56"/>
        <v>102.28195481035463</v>
      </c>
      <c r="W152" s="249">
        <f t="shared" si="56"/>
        <v>103.18587804648321</v>
      </c>
      <c r="X152" s="249">
        <f t="shared" si="56"/>
        <v>104.08193062848554</v>
      </c>
      <c r="Y152" s="249">
        <f t="shared" si="56"/>
        <v>104.96973760910731</v>
      </c>
      <c r="Z152" s="249">
        <f t="shared" si="56"/>
        <v>105.88481275211534</v>
      </c>
      <c r="AA152" s="249">
        <f t="shared" si="56"/>
        <v>106.79147072258678</v>
      </c>
      <c r="AB152" s="249">
        <f t="shared" si="56"/>
        <v>107.68932361558582</v>
      </c>
      <c r="AC152" s="249">
        <f t="shared" si="56"/>
        <v>108.57900884793906</v>
      </c>
      <c r="AD152" s="249">
        <f t="shared" si="56"/>
        <v>109.46016264212633</v>
      </c>
      <c r="AE152" s="249">
        <f t="shared" si="56"/>
        <v>110.33241992408981</v>
      </c>
      <c r="AF152" s="249">
        <f t="shared" si="56"/>
        <v>111.19541448893057</v>
      </c>
      <c r="AG152" s="249">
        <f t="shared" si="56"/>
        <v>112.04877916945838</v>
      </c>
      <c r="AI152" s="316"/>
      <c r="AJ152" s="211" t="s">
        <v>1363</v>
      </c>
    </row>
    <row r="153" spans="1:36" s="1" customFormat="1" outlineLevel="1">
      <c r="A153" t="s">
        <v>1371</v>
      </c>
      <c r="B153" s="302" t="s">
        <v>704</v>
      </c>
      <c r="C153" s="249">
        <f>C119*C149</f>
        <v>3.8275699791230218</v>
      </c>
      <c r="D153" s="249">
        <f t="shared" ref="D153:AG153" si="57">D119*D149</f>
        <v>4.3721847057333827</v>
      </c>
      <c r="E153" s="249">
        <f t="shared" si="57"/>
        <v>4.9399575858303209</v>
      </c>
      <c r="F153" s="249">
        <f t="shared" si="57"/>
        <v>5.5280989874325108</v>
      </c>
      <c r="G153" s="249">
        <f t="shared" si="57"/>
        <v>6.1334687376809596</v>
      </c>
      <c r="H153" s="249">
        <f t="shared" si="57"/>
        <v>6.7526008042441417</v>
      </c>
      <c r="I153" s="249">
        <f t="shared" si="57"/>
        <v>7.3976598555103426</v>
      </c>
      <c r="J153" s="249">
        <f t="shared" si="57"/>
        <v>8.0688299572829596</v>
      </c>
      <c r="K153" s="249">
        <f t="shared" si="57"/>
        <v>8.7662522568863412</v>
      </c>
      <c r="L153" s="249">
        <f t="shared" si="57"/>
        <v>9.4900231001917881</v>
      </c>
      <c r="M153" s="249">
        <f t="shared" si="57"/>
        <v>10.240192214055639</v>
      </c>
      <c r="N153" s="249">
        <f t="shared" si="57"/>
        <v>11.000998284011402</v>
      </c>
      <c r="O153" s="249">
        <f t="shared" si="57"/>
        <v>11.768979580843565</v>
      </c>
      <c r="P153" s="249">
        <f t="shared" si="57"/>
        <v>12.541903533997603</v>
      </c>
      <c r="Q153" s="249">
        <f t="shared" si="57"/>
        <v>13.314711065623621</v>
      </c>
      <c r="R153" s="249">
        <f t="shared" si="57"/>
        <v>14.083453388827527</v>
      </c>
      <c r="S153" s="249">
        <f t="shared" si="57"/>
        <v>14.870823625836341</v>
      </c>
      <c r="T153" s="249">
        <f t="shared" si="57"/>
        <v>15.676961035221435</v>
      </c>
      <c r="U153" s="249">
        <f t="shared" si="57"/>
        <v>16.501998537272357</v>
      </c>
      <c r="V153" s="249">
        <f t="shared" si="57"/>
        <v>17.346062511697578</v>
      </c>
      <c r="W153" s="249">
        <f t="shared" si="57"/>
        <v>18.209272596438225</v>
      </c>
      <c r="X153" s="249">
        <f t="shared" si="57"/>
        <v>19.091951772089079</v>
      </c>
      <c r="Y153" s="249">
        <f t="shared" si="57"/>
        <v>19.994235735068074</v>
      </c>
      <c r="Z153" s="249">
        <f t="shared" si="57"/>
        <v>20.923346232453945</v>
      </c>
      <c r="AA153" s="249">
        <f t="shared" si="57"/>
        <v>21.872951834746708</v>
      </c>
      <c r="AB153" s="249">
        <f t="shared" si="57"/>
        <v>22.843189857851552</v>
      </c>
      <c r="AC153" s="249">
        <f t="shared" si="57"/>
        <v>23.834416576376885</v>
      </c>
      <c r="AD153" s="249">
        <f t="shared" si="57"/>
        <v>24.846785385022564</v>
      </c>
      <c r="AE153" s="249">
        <f t="shared" si="57"/>
        <v>25.88044417972479</v>
      </c>
      <c r="AF153" s="249">
        <f t="shared" si="57"/>
        <v>26.935535186759601</v>
      </c>
      <c r="AG153" s="249">
        <f t="shared" si="57"/>
        <v>28.012194792364596</v>
      </c>
      <c r="AI153" s="316"/>
      <c r="AJ153" s="211" t="s">
        <v>1363</v>
      </c>
    </row>
    <row r="154" spans="1:36" s="1" customFormat="1" outlineLevel="1">
      <c r="A154" t="s">
        <v>1372</v>
      </c>
      <c r="B154" s="302" t="s">
        <v>704</v>
      </c>
      <c r="C154" s="249">
        <f>C152*C120</f>
        <v>10.90857444050061</v>
      </c>
      <c r="D154" s="249">
        <f t="shared" ref="D154:AG154" si="58">D152*D120</f>
        <v>11.744085590936747</v>
      </c>
      <c r="E154" s="249">
        <f t="shared" si="58"/>
        <v>12.589207465400467</v>
      </c>
      <c r="F154" s="249">
        <f t="shared" si="58"/>
        <v>13.438808638448428</v>
      </c>
      <c r="G154" s="249">
        <f t="shared" si="58"/>
        <v>14.287477319517956</v>
      </c>
      <c r="H154" s="249">
        <f t="shared" si="58"/>
        <v>15.129577246398116</v>
      </c>
      <c r="I154" s="249">
        <f t="shared" si="58"/>
        <v>15.993740607613352</v>
      </c>
      <c r="J154" s="249">
        <f t="shared" si="58"/>
        <v>16.879517633579631</v>
      </c>
      <c r="K154" s="249">
        <f t="shared" si="58"/>
        <v>17.786401153212861</v>
      </c>
      <c r="L154" s="249">
        <f t="shared" si="58"/>
        <v>18.713826078678181</v>
      </c>
      <c r="M154" s="249">
        <f t="shared" si="58"/>
        <v>19.661169050986814</v>
      </c>
      <c r="N154" s="249">
        <f t="shared" si="58"/>
        <v>20.598234263178856</v>
      </c>
      <c r="O154" s="249">
        <f t="shared" si="58"/>
        <v>21.520114117189753</v>
      </c>
      <c r="P154" s="249">
        <f t="shared" si="58"/>
        <v>22.424378218634043</v>
      </c>
      <c r="Q154" s="249">
        <f t="shared" si="58"/>
        <v>23.303703189522565</v>
      </c>
      <c r="R154" s="249">
        <f t="shared" si="58"/>
        <v>24.153122561839186</v>
      </c>
      <c r="S154" s="249">
        <f t="shared" si="58"/>
        <v>25.012725338656708</v>
      </c>
      <c r="T154" s="249">
        <f t="shared" si="58"/>
        <v>25.882275583692916</v>
      </c>
      <c r="U154" s="249">
        <f t="shared" si="58"/>
        <v>26.761526770730811</v>
      </c>
      <c r="V154" s="249">
        <f t="shared" si="58"/>
        <v>27.65022178373254</v>
      </c>
      <c r="W154" s="249">
        <f t="shared" si="58"/>
        <v>28.548092926193693</v>
      </c>
      <c r="X154" s="249">
        <f t="shared" si="58"/>
        <v>29.455186367861415</v>
      </c>
      <c r="Y154" s="249">
        <f t="shared" si="58"/>
        <v>30.371244081568396</v>
      </c>
      <c r="Z154" s="249">
        <f t="shared" si="58"/>
        <v>31.306609637042115</v>
      </c>
      <c r="AA154" s="249">
        <f t="shared" si="58"/>
        <v>32.251024158221227</v>
      </c>
      <c r="AB154" s="249">
        <f t="shared" si="58"/>
        <v>33.204208114805645</v>
      </c>
      <c r="AC154" s="249">
        <f t="shared" si="58"/>
        <v>34.166194784151514</v>
      </c>
      <c r="AD154" s="249">
        <f t="shared" si="58"/>
        <v>35.136712208122582</v>
      </c>
      <c r="AE154" s="249">
        <f t="shared" si="58"/>
        <v>36.115478788485426</v>
      </c>
      <c r="AF154" s="249">
        <f t="shared" si="58"/>
        <v>37.102203301139866</v>
      </c>
      <c r="AG154" s="249">
        <f t="shared" si="58"/>
        <v>38.096584917615857</v>
      </c>
      <c r="AI154" s="316"/>
      <c r="AJ154" s="211" t="s">
        <v>1363</v>
      </c>
    </row>
    <row r="155" spans="1:36" s="1" customFormat="1" outlineLevel="1">
      <c r="A155" t="s">
        <v>1373</v>
      </c>
      <c r="B155" s="302" t="s">
        <v>704</v>
      </c>
      <c r="C155" s="249">
        <f>C152*C121</f>
        <v>61.815255162836792</v>
      </c>
      <c r="D155" s="249">
        <f t="shared" ref="D155:AG155" si="59">D152*D121</f>
        <v>63.377997080300446</v>
      </c>
      <c r="E155" s="249">
        <f t="shared" si="59"/>
        <v>64.803461379274538</v>
      </c>
      <c r="F155" s="249">
        <f t="shared" si="59"/>
        <v>66.080769103849974</v>
      </c>
      <c r="G155" s="249">
        <f t="shared" si="59"/>
        <v>67.200035909671925</v>
      </c>
      <c r="H155" s="249">
        <f t="shared" si="59"/>
        <v>68.152499339279601</v>
      </c>
      <c r="I155" s="249">
        <f t="shared" si="59"/>
        <v>69.079347730755558</v>
      </c>
      <c r="J155" s="249">
        <f t="shared" si="59"/>
        <v>69.97906367128985</v>
      </c>
      <c r="K155" s="249">
        <f t="shared" si="59"/>
        <v>70.850149444193448</v>
      </c>
      <c r="L155" s="249">
        <f t="shared" si="59"/>
        <v>71.691130823148811</v>
      </c>
      <c r="M155" s="249">
        <f t="shared" si="59"/>
        <v>72.500560875513926</v>
      </c>
      <c r="N155" s="249">
        <f t="shared" si="59"/>
        <v>73.172179681489737</v>
      </c>
      <c r="O155" s="249">
        <f t="shared" si="59"/>
        <v>73.701629764180893</v>
      </c>
      <c r="P155" s="249">
        <f t="shared" si="59"/>
        <v>74.093748977782269</v>
      </c>
      <c r="Q155" s="249">
        <f t="shared" si="59"/>
        <v>74.337511291717291</v>
      </c>
      <c r="R155" s="249">
        <f t="shared" si="59"/>
        <v>74.431051159953469</v>
      </c>
      <c r="S155" s="249">
        <f t="shared" si="59"/>
        <v>74.507402003478788</v>
      </c>
      <c r="T155" s="249">
        <f t="shared" si="59"/>
        <v>74.566400679022209</v>
      </c>
      <c r="U155" s="249">
        <f t="shared" si="59"/>
        <v>74.607892815370803</v>
      </c>
      <c r="V155" s="249">
        <f t="shared" si="59"/>
        <v>74.631733026622157</v>
      </c>
      <c r="W155" s="249">
        <f t="shared" si="59"/>
        <v>74.637785120289578</v>
      </c>
      <c r="X155" s="249">
        <f t="shared" si="59"/>
        <v>74.626744260624193</v>
      </c>
      <c r="Y155" s="249">
        <f t="shared" si="59"/>
        <v>74.598493527539006</v>
      </c>
      <c r="Z155" s="249">
        <f t="shared" si="59"/>
        <v>74.578203115073308</v>
      </c>
      <c r="AA155" s="249">
        <f t="shared" si="59"/>
        <v>74.540446564365652</v>
      </c>
      <c r="AB155" s="249">
        <f t="shared" si="59"/>
        <v>74.485115500780282</v>
      </c>
      <c r="AC155" s="249">
        <f t="shared" si="59"/>
        <v>74.412814063787664</v>
      </c>
      <c r="AD155" s="249">
        <f t="shared" si="59"/>
        <v>74.323450434003874</v>
      </c>
      <c r="AE155" s="249">
        <f t="shared" si="59"/>
        <v>74.2169411356045</v>
      </c>
      <c r="AF155" s="249">
        <f t="shared" si="59"/>
        <v>74.093211187790828</v>
      </c>
      <c r="AG155" s="249">
        <f t="shared" si="59"/>
        <v>73.952194251842542</v>
      </c>
      <c r="AI155" s="316"/>
      <c r="AJ155" s="211" t="s">
        <v>1363</v>
      </c>
    </row>
    <row r="156" spans="1:36" s="1" customFormat="1" outlineLevel="1">
      <c r="A156" t="s">
        <v>1374</v>
      </c>
      <c r="B156" s="302" t="s">
        <v>704</v>
      </c>
      <c r="C156" s="249">
        <f>C122*C155</f>
        <v>0</v>
      </c>
      <c r="D156" s="249">
        <f t="shared" ref="D156:AG156" si="60">D122*D155</f>
        <v>0</v>
      </c>
      <c r="E156" s="249">
        <f t="shared" si="60"/>
        <v>0</v>
      </c>
      <c r="F156" s="249">
        <f t="shared" si="60"/>
        <v>0</v>
      </c>
      <c r="G156" s="249">
        <f t="shared" si="60"/>
        <v>0</v>
      </c>
      <c r="H156" s="249">
        <f t="shared" si="60"/>
        <v>0</v>
      </c>
      <c r="I156" s="249">
        <f t="shared" si="60"/>
        <v>0</v>
      </c>
      <c r="J156" s="249">
        <f t="shared" si="60"/>
        <v>0</v>
      </c>
      <c r="K156" s="249">
        <f t="shared" si="60"/>
        <v>0</v>
      </c>
      <c r="L156" s="249">
        <f t="shared" si="60"/>
        <v>0</v>
      </c>
      <c r="M156" s="249">
        <f t="shared" si="60"/>
        <v>0</v>
      </c>
      <c r="N156" s="249">
        <f t="shared" si="60"/>
        <v>0</v>
      </c>
      <c r="O156" s="249">
        <f t="shared" si="60"/>
        <v>0</v>
      </c>
      <c r="P156" s="249">
        <f t="shared" si="60"/>
        <v>0</v>
      </c>
      <c r="Q156" s="249">
        <f t="shared" si="60"/>
        <v>0</v>
      </c>
      <c r="R156" s="249">
        <f t="shared" si="60"/>
        <v>0</v>
      </c>
      <c r="S156" s="249">
        <f t="shared" si="60"/>
        <v>0</v>
      </c>
      <c r="T156" s="249">
        <f t="shared" si="60"/>
        <v>0</v>
      </c>
      <c r="U156" s="249">
        <f t="shared" si="60"/>
        <v>0</v>
      </c>
      <c r="V156" s="249">
        <f t="shared" si="60"/>
        <v>0</v>
      </c>
      <c r="W156" s="249">
        <f t="shared" si="60"/>
        <v>0</v>
      </c>
      <c r="X156" s="249">
        <f t="shared" si="60"/>
        <v>0</v>
      </c>
      <c r="Y156" s="249">
        <f t="shared" si="60"/>
        <v>0</v>
      </c>
      <c r="Z156" s="249">
        <f t="shared" si="60"/>
        <v>0</v>
      </c>
      <c r="AA156" s="249">
        <f t="shared" si="60"/>
        <v>0</v>
      </c>
      <c r="AB156" s="249">
        <f t="shared" si="60"/>
        <v>0</v>
      </c>
      <c r="AC156" s="249">
        <f t="shared" si="60"/>
        <v>0</v>
      </c>
      <c r="AD156" s="249">
        <f t="shared" si="60"/>
        <v>0</v>
      </c>
      <c r="AE156" s="249">
        <f t="shared" si="60"/>
        <v>0</v>
      </c>
      <c r="AF156" s="249">
        <f t="shared" si="60"/>
        <v>0</v>
      </c>
      <c r="AG156" s="249">
        <f t="shared" si="60"/>
        <v>0</v>
      </c>
      <c r="AI156" s="316"/>
      <c r="AJ156" s="211" t="s">
        <v>1363</v>
      </c>
    </row>
    <row r="157" spans="1:36" s="1" customFormat="1" outlineLevel="1">
      <c r="A157" t="s">
        <v>1388</v>
      </c>
      <c r="B157" s="302" t="s">
        <v>704</v>
      </c>
      <c r="C157" s="249">
        <f>C123*C155</f>
        <v>61.815255162836792</v>
      </c>
      <c r="D157" s="249">
        <f t="shared" ref="D157:AG157" si="61">D123*D155</f>
        <v>63.377997080300446</v>
      </c>
      <c r="E157" s="249">
        <f t="shared" si="61"/>
        <v>64.803461379274538</v>
      </c>
      <c r="F157" s="249">
        <f t="shared" si="61"/>
        <v>66.080769103849974</v>
      </c>
      <c r="G157" s="249">
        <f t="shared" si="61"/>
        <v>67.200035909671925</v>
      </c>
      <c r="H157" s="249">
        <f t="shared" si="61"/>
        <v>68.152499339279601</v>
      </c>
      <c r="I157" s="249">
        <f t="shared" si="61"/>
        <v>69.079347730755558</v>
      </c>
      <c r="J157" s="249">
        <f t="shared" si="61"/>
        <v>69.97906367128985</v>
      </c>
      <c r="K157" s="249">
        <f t="shared" si="61"/>
        <v>70.850149444193448</v>
      </c>
      <c r="L157" s="249">
        <f t="shared" si="61"/>
        <v>71.691130823148811</v>
      </c>
      <c r="M157" s="249">
        <f t="shared" si="61"/>
        <v>72.500560875513926</v>
      </c>
      <c r="N157" s="249">
        <f t="shared" si="61"/>
        <v>73.172179681489737</v>
      </c>
      <c r="O157" s="249">
        <f t="shared" si="61"/>
        <v>73.701629764180893</v>
      </c>
      <c r="P157" s="249">
        <f t="shared" si="61"/>
        <v>74.093748977782269</v>
      </c>
      <c r="Q157" s="249">
        <f t="shared" si="61"/>
        <v>74.337511291717291</v>
      </c>
      <c r="R157" s="249">
        <f t="shared" si="61"/>
        <v>74.431051159953469</v>
      </c>
      <c r="S157" s="249">
        <f t="shared" si="61"/>
        <v>74.507402003478788</v>
      </c>
      <c r="T157" s="249">
        <f t="shared" si="61"/>
        <v>74.566400679022209</v>
      </c>
      <c r="U157" s="249">
        <f t="shared" si="61"/>
        <v>74.607892815370803</v>
      </c>
      <c r="V157" s="249">
        <f t="shared" si="61"/>
        <v>74.631733026622157</v>
      </c>
      <c r="W157" s="249">
        <f t="shared" si="61"/>
        <v>74.637785120289578</v>
      </c>
      <c r="X157" s="249">
        <f t="shared" si="61"/>
        <v>74.626744260624193</v>
      </c>
      <c r="Y157" s="249">
        <f t="shared" si="61"/>
        <v>74.598493527539006</v>
      </c>
      <c r="Z157" s="249">
        <f t="shared" si="61"/>
        <v>74.578203115073308</v>
      </c>
      <c r="AA157" s="249">
        <f t="shared" si="61"/>
        <v>74.540446564365652</v>
      </c>
      <c r="AB157" s="249">
        <f t="shared" si="61"/>
        <v>74.485115500780282</v>
      </c>
      <c r="AC157" s="249">
        <f t="shared" si="61"/>
        <v>74.412814063787664</v>
      </c>
      <c r="AD157" s="249">
        <f t="shared" si="61"/>
        <v>74.323450434003874</v>
      </c>
      <c r="AE157" s="249">
        <f t="shared" si="61"/>
        <v>74.2169411356045</v>
      </c>
      <c r="AF157" s="249">
        <f t="shared" si="61"/>
        <v>74.093211187790828</v>
      </c>
      <c r="AG157" s="249">
        <f t="shared" si="61"/>
        <v>73.952194251842542</v>
      </c>
      <c r="AI157" s="316"/>
      <c r="AJ157" s="211" t="s">
        <v>1363</v>
      </c>
    </row>
    <row r="158" spans="1:36" s="1" customFormat="1" outlineLevel="1">
      <c r="A158" t="s">
        <v>1376</v>
      </c>
      <c r="B158" s="302" t="s">
        <v>704</v>
      </c>
      <c r="C158" s="249">
        <f>C124*(C156+C154)</f>
        <v>8.7268595524004891</v>
      </c>
      <c r="D158" s="249">
        <f t="shared" ref="D158:AG158" si="62">D124*(D156+D154)</f>
        <v>9.4344154247191874</v>
      </c>
      <c r="E158" s="249">
        <f t="shared" si="62"/>
        <v>10.155294022089709</v>
      </c>
      <c r="F158" s="249">
        <f t="shared" si="62"/>
        <v>10.885434997143227</v>
      </c>
      <c r="G158" s="249">
        <f t="shared" si="62"/>
        <v>11.620481553207936</v>
      </c>
      <c r="H158" s="249">
        <f t="shared" si="62"/>
        <v>12.355821417891793</v>
      </c>
      <c r="I158" s="249">
        <f t="shared" si="62"/>
        <v>13.114867298242947</v>
      </c>
      <c r="J158" s="249">
        <f t="shared" si="62"/>
        <v>13.897469518313892</v>
      </c>
      <c r="K158" s="249">
        <f t="shared" si="62"/>
        <v>14.703424953322628</v>
      </c>
      <c r="L158" s="249">
        <f t="shared" si="62"/>
        <v>15.532475645302886</v>
      </c>
      <c r="M158" s="249">
        <f t="shared" si="62"/>
        <v>16.384307542489005</v>
      </c>
      <c r="N158" s="249">
        <f t="shared" si="62"/>
        <v>17.233856000192969</v>
      </c>
      <c r="O158" s="249">
        <f t="shared" si="62"/>
        <v>18.076895858439386</v>
      </c>
      <c r="P158" s="249">
        <f t="shared" si="62"/>
        <v>18.911225631048033</v>
      </c>
      <c r="Q158" s="249">
        <f t="shared" si="62"/>
        <v>19.730468700462428</v>
      </c>
      <c r="R158" s="249">
        <f t="shared" si="62"/>
        <v>20.530154177563297</v>
      </c>
      <c r="S158" s="249">
        <f t="shared" si="62"/>
        <v>21.344192288987045</v>
      </c>
      <c r="T158" s="249">
        <f t="shared" si="62"/>
        <v>22.172482750030252</v>
      </c>
      <c r="U158" s="249">
        <f t="shared" si="62"/>
        <v>23.01491302282848</v>
      </c>
      <c r="V158" s="249">
        <f t="shared" si="62"/>
        <v>23.871358139955742</v>
      </c>
      <c r="W158" s="249">
        <f t="shared" si="62"/>
        <v>24.741680536034515</v>
      </c>
      <c r="X158" s="249">
        <f t="shared" si="62"/>
        <v>25.626012140039411</v>
      </c>
      <c r="Y158" s="249">
        <f t="shared" si="62"/>
        <v>26.524219831236376</v>
      </c>
      <c r="Z158" s="249">
        <f t="shared" si="62"/>
        <v>27.44546111514023</v>
      </c>
      <c r="AA158" s="249">
        <f t="shared" si="62"/>
        <v>28.380901259234655</v>
      </c>
      <c r="AB158" s="249">
        <f t="shared" si="62"/>
        <v>29.330383834744961</v>
      </c>
      <c r="AC158" s="249">
        <f t="shared" si="62"/>
        <v>30.294026041947646</v>
      </c>
      <c r="AD158" s="249">
        <f t="shared" si="62"/>
        <v>31.271673865229065</v>
      </c>
      <c r="AE158" s="249">
        <f t="shared" si="62"/>
        <v>32.26316105104695</v>
      </c>
      <c r="AF158" s="249">
        <f t="shared" si="62"/>
        <v>33.268308960022047</v>
      </c>
      <c r="AG158" s="249">
        <f t="shared" si="62"/>
        <v>34.286926425854276</v>
      </c>
      <c r="AH158" s="249"/>
      <c r="AI158" s="316"/>
      <c r="AJ158" s="211" t="s">
        <v>1363</v>
      </c>
    </row>
    <row r="159" spans="1:36" s="1" customFormat="1" outlineLevel="1">
      <c r="A159" t="s">
        <v>1377</v>
      </c>
      <c r="B159" s="302" t="s">
        <v>704</v>
      </c>
      <c r="C159" s="249">
        <f>C125*(C156+C154)</f>
        <v>2.1817148881001223</v>
      </c>
      <c r="D159" s="249">
        <f t="shared" ref="D159:AG159" si="63">D125*(D156+D154)</f>
        <v>2.3096701662175603</v>
      </c>
      <c r="E159" s="249">
        <f t="shared" si="63"/>
        <v>2.433913443310757</v>
      </c>
      <c r="F159" s="249">
        <f t="shared" si="63"/>
        <v>2.5533736413052019</v>
      </c>
      <c r="G159" s="249">
        <f t="shared" si="63"/>
        <v>2.666995766310019</v>
      </c>
      <c r="H159" s="249">
        <f t="shared" si="63"/>
        <v>2.7737558285063217</v>
      </c>
      <c r="I159" s="249">
        <f t="shared" si="63"/>
        <v>2.8788733093704044</v>
      </c>
      <c r="J159" s="249">
        <f t="shared" si="63"/>
        <v>2.9820481152657359</v>
      </c>
      <c r="K159" s="249">
        <f t="shared" si="63"/>
        <v>3.0829761998902301</v>
      </c>
      <c r="L159" s="249">
        <f t="shared" si="63"/>
        <v>3.1813504333752922</v>
      </c>
      <c r="M159" s="249">
        <f t="shared" si="63"/>
        <v>3.2768615084978037</v>
      </c>
      <c r="N159" s="249">
        <f t="shared" si="63"/>
        <v>3.3643782629858814</v>
      </c>
      <c r="O159" s="249">
        <f t="shared" si="63"/>
        <v>3.4432182587503624</v>
      </c>
      <c r="P159" s="249">
        <f t="shared" si="63"/>
        <v>3.5131525875860024</v>
      </c>
      <c r="Q159" s="249">
        <f t="shared" si="63"/>
        <v>3.5732344890601291</v>
      </c>
      <c r="R159" s="249">
        <f t="shared" si="63"/>
        <v>3.6229683842758806</v>
      </c>
      <c r="S159" s="249">
        <f t="shared" si="63"/>
        <v>3.6685330496696533</v>
      </c>
      <c r="T159" s="249">
        <f t="shared" si="63"/>
        <v>3.7097928336626542</v>
      </c>
      <c r="U159" s="249">
        <f t="shared" si="63"/>
        <v>3.7466137479023169</v>
      </c>
      <c r="V159" s="249">
        <f t="shared" si="63"/>
        <v>3.7788636437767842</v>
      </c>
      <c r="W159" s="249">
        <f t="shared" si="63"/>
        <v>3.8064123901591631</v>
      </c>
      <c r="X159" s="249">
        <f t="shared" si="63"/>
        <v>3.829174227821988</v>
      </c>
      <c r="Y159" s="249">
        <f t="shared" si="63"/>
        <v>3.8470242503320011</v>
      </c>
      <c r="Z159" s="249">
        <f t="shared" si="63"/>
        <v>3.8611485219018657</v>
      </c>
      <c r="AA159" s="249">
        <f t="shared" si="63"/>
        <v>3.8701228989865526</v>
      </c>
      <c r="AB159" s="249">
        <f t="shared" si="63"/>
        <v>3.8738242800606644</v>
      </c>
      <c r="AC159" s="249">
        <f t="shared" si="63"/>
        <v>3.8721687422038444</v>
      </c>
      <c r="AD159" s="249">
        <f t="shared" si="63"/>
        <v>3.8650383428934902</v>
      </c>
      <c r="AE159" s="249">
        <f t="shared" si="63"/>
        <v>3.8523177374384523</v>
      </c>
      <c r="AF159" s="249">
        <f t="shared" si="63"/>
        <v>3.8338943411177935</v>
      </c>
      <c r="AG159" s="249">
        <f t="shared" si="63"/>
        <v>3.8096584917615859</v>
      </c>
      <c r="AI159" s="316"/>
      <c r="AJ159" s="211" t="s">
        <v>1363</v>
      </c>
    </row>
    <row r="160" spans="1:36" s="1" customFormat="1" outlineLevel="1">
      <c r="A160" t="s">
        <v>1378</v>
      </c>
      <c r="B160" s="302" t="s">
        <v>704</v>
      </c>
      <c r="C160" s="249">
        <f>C153*C126</f>
        <v>3.6361914801668704</v>
      </c>
      <c r="D160" s="249">
        <f t="shared" ref="D160:AG160" si="64">D153*D126</f>
        <v>4.1477458908390687</v>
      </c>
      <c r="E160" s="249">
        <f t="shared" si="64"/>
        <v>4.6797864863099239</v>
      </c>
      <c r="F160" s="249">
        <f t="shared" si="64"/>
        <v>5.2295816421111558</v>
      </c>
      <c r="G160" s="249">
        <f t="shared" si="64"/>
        <v>5.7940834675292807</v>
      </c>
      <c r="H160" s="249">
        <f t="shared" si="64"/>
        <v>6.3699534253369743</v>
      </c>
      <c r="I160" s="249">
        <f t="shared" si="64"/>
        <v>6.9685955838907443</v>
      </c>
      <c r="J160" s="249">
        <f t="shared" si="64"/>
        <v>7.5900793798175057</v>
      </c>
      <c r="K160" s="249">
        <f t="shared" si="64"/>
        <v>8.2344329533019049</v>
      </c>
      <c r="L160" s="249">
        <f t="shared" si="64"/>
        <v>8.9016416679799004</v>
      </c>
      <c r="M160" s="249">
        <f t="shared" si="64"/>
        <v>9.5916467071654523</v>
      </c>
      <c r="N160" s="249">
        <f t="shared" si="64"/>
        <v>10.289600394978669</v>
      </c>
      <c r="O160" s="249">
        <f t="shared" si="64"/>
        <v>10.992226928507895</v>
      </c>
      <c r="P160" s="249">
        <f t="shared" si="64"/>
        <v>11.697415362708437</v>
      </c>
      <c r="Q160" s="249">
        <f t="shared" si="64"/>
        <v>12.400434239117471</v>
      </c>
      <c r="R160" s="249">
        <f t="shared" si="64"/>
        <v>13.097611651609608</v>
      </c>
      <c r="S160" s="249">
        <f t="shared" si="64"/>
        <v>13.810038207193356</v>
      </c>
      <c r="T160" s="249">
        <f t="shared" si="64"/>
        <v>14.537768533328686</v>
      </c>
      <c r="U160" s="249">
        <f t="shared" si="64"/>
        <v>15.280850645514212</v>
      </c>
      <c r="V160" s="249">
        <f t="shared" si="64"/>
        <v>16.039325802483038</v>
      </c>
      <c r="W160" s="249">
        <f t="shared" si="64"/>
        <v>16.81322836404464</v>
      </c>
      <c r="X160" s="249">
        <f t="shared" si="64"/>
        <v>17.602779533866144</v>
      </c>
      <c r="Y160" s="249">
        <f t="shared" si="64"/>
        <v>18.408026366752686</v>
      </c>
      <c r="Z160" s="249">
        <f t="shared" si="64"/>
        <v>19.235529636369343</v>
      </c>
      <c r="AA160" s="249">
        <f t="shared" si="64"/>
        <v>20.079369784297494</v>
      </c>
      <c r="AB160" s="249">
        <f t="shared" si="64"/>
        <v>20.939590703030611</v>
      </c>
      <c r="AC160" s="249">
        <f t="shared" si="64"/>
        <v>21.81643597291033</v>
      </c>
      <c r="AD160" s="249">
        <f t="shared" si="64"/>
        <v>22.709961841910648</v>
      </c>
      <c r="AE160" s="249">
        <f t="shared" si="64"/>
        <v>23.620218721362182</v>
      </c>
      <c r="AF160" s="249">
        <f t="shared" si="64"/>
        <v>24.547251066866945</v>
      </c>
      <c r="AG160" s="249">
        <f t="shared" si="64"/>
        <v>25.491097261051785</v>
      </c>
      <c r="AI160" s="316"/>
      <c r="AJ160" s="211" t="s">
        <v>1363</v>
      </c>
    </row>
    <row r="161" spans="1:36" s="1" customFormat="1" outlineLevel="1">
      <c r="A161" t="s">
        <v>1389</v>
      </c>
      <c r="B161" s="302" t="s">
        <v>704</v>
      </c>
      <c r="C161" s="249">
        <f>C153*C127</f>
        <v>0.19137849895615111</v>
      </c>
      <c r="D161" s="249">
        <f t="shared" ref="D161:AG161" si="65">D153*D127</f>
        <v>0.22443881489431367</v>
      </c>
      <c r="E161" s="249">
        <f t="shared" si="65"/>
        <v>0.26017109952039691</v>
      </c>
      <c r="F161" s="249">
        <f t="shared" si="65"/>
        <v>0.2985173453213556</v>
      </c>
      <c r="G161" s="249">
        <f t="shared" si="65"/>
        <v>0.33938527015167974</v>
      </c>
      <c r="H161" s="249">
        <f t="shared" si="65"/>
        <v>0.38264737890716799</v>
      </c>
      <c r="I161" s="249">
        <f t="shared" si="65"/>
        <v>0.42906427161959981</v>
      </c>
      <c r="J161" s="249">
        <f t="shared" si="65"/>
        <v>0.47875057746545557</v>
      </c>
      <c r="K161" s="249">
        <f t="shared" si="65"/>
        <v>0.53181930358443796</v>
      </c>
      <c r="L161" s="249">
        <f t="shared" si="65"/>
        <v>0.58838143221189076</v>
      </c>
      <c r="M161" s="249">
        <f t="shared" si="65"/>
        <v>0.64854550689019042</v>
      </c>
      <c r="N161" s="249">
        <f t="shared" si="65"/>
        <v>0.71139788903273726</v>
      </c>
      <c r="O161" s="249">
        <f t="shared" si="65"/>
        <v>0.77675265233567536</v>
      </c>
      <c r="P161" s="249">
        <f t="shared" si="65"/>
        <v>0.84448817128917208</v>
      </c>
      <c r="Q161" s="249">
        <f t="shared" si="65"/>
        <v>0.91427682650615549</v>
      </c>
      <c r="R161" s="249">
        <f t="shared" si="65"/>
        <v>0.98584173721792723</v>
      </c>
      <c r="S161" s="249">
        <f t="shared" si="65"/>
        <v>1.0607854186429926</v>
      </c>
      <c r="T161" s="249">
        <f t="shared" si="65"/>
        <v>1.1391925018927582</v>
      </c>
      <c r="U161" s="249">
        <f t="shared" si="65"/>
        <v>1.2211478917581551</v>
      </c>
      <c r="V161" s="249">
        <f t="shared" si="65"/>
        <v>1.3067367092145517</v>
      </c>
      <c r="W161" s="249">
        <f t="shared" si="65"/>
        <v>1.3960442323935982</v>
      </c>
      <c r="X161" s="249">
        <f t="shared" si="65"/>
        <v>1.4891722382229493</v>
      </c>
      <c r="Y161" s="249">
        <f t="shared" si="65"/>
        <v>1.5862093683154017</v>
      </c>
      <c r="Z161" s="249">
        <f t="shared" si="65"/>
        <v>1.6878165960846196</v>
      </c>
      <c r="AA161" s="249">
        <f t="shared" si="65"/>
        <v>1.7935820504492317</v>
      </c>
      <c r="AB161" s="249">
        <f t="shared" si="65"/>
        <v>1.9035991548209645</v>
      </c>
      <c r="AC161" s="249">
        <f t="shared" si="65"/>
        <v>2.0179806034665781</v>
      </c>
      <c r="AD161" s="249">
        <f t="shared" si="65"/>
        <v>2.1368235431119427</v>
      </c>
      <c r="AE161" s="249">
        <f t="shared" si="65"/>
        <v>2.2602254583626342</v>
      </c>
      <c r="AF161" s="249">
        <f t="shared" si="65"/>
        <v>2.3882841198926874</v>
      </c>
      <c r="AG161" s="249">
        <f t="shared" si="65"/>
        <v>2.5210975313128134</v>
      </c>
      <c r="AI161" s="316"/>
      <c r="AJ161" s="211" t="s">
        <v>1363</v>
      </c>
    </row>
    <row r="162" spans="1:36" s="1" customFormat="1" outlineLevel="1">
      <c r="A162" t="s">
        <v>1380</v>
      </c>
      <c r="B162" s="302" t="s">
        <v>704</v>
      </c>
      <c r="C162" s="249">
        <f t="shared" ref="C162:AG162" si="66">C158*C128</f>
        <v>2.3562520791481321</v>
      </c>
      <c r="D162" s="249">
        <f t="shared" si="66"/>
        <v>2.5095545029753041</v>
      </c>
      <c r="E162" s="249">
        <f t="shared" si="66"/>
        <v>2.6606870337875037</v>
      </c>
      <c r="F162" s="249">
        <f t="shared" si="66"/>
        <v>2.8084422292629525</v>
      </c>
      <c r="G162" s="249">
        <f t="shared" si="66"/>
        <v>2.9516023145148158</v>
      </c>
      <c r="H162" s="249">
        <f t="shared" si="66"/>
        <v>3.0889553544729482</v>
      </c>
      <c r="I162" s="249">
        <f t="shared" si="66"/>
        <v>3.2262573553677649</v>
      </c>
      <c r="J162" s="249">
        <f t="shared" si="66"/>
        <v>3.363187623431962</v>
      </c>
      <c r="K162" s="249">
        <f t="shared" si="66"/>
        <v>3.4994151388907855</v>
      </c>
      <c r="L162" s="249">
        <f t="shared" si="66"/>
        <v>3.634599301000875</v>
      </c>
      <c r="M162" s="249">
        <f t="shared" si="66"/>
        <v>3.7683907347724706</v>
      </c>
      <c r="N162" s="249">
        <f t="shared" si="66"/>
        <v>3.8948514560436105</v>
      </c>
      <c r="O162" s="249">
        <f t="shared" si="66"/>
        <v>4.0130708805735429</v>
      </c>
      <c r="P162" s="249">
        <f t="shared" si="66"/>
        <v>4.1226471875684707</v>
      </c>
      <c r="Q162" s="249">
        <f t="shared" si="66"/>
        <v>4.222320301898959</v>
      </c>
      <c r="R162" s="249">
        <f t="shared" si="66"/>
        <v>4.3113323772882914</v>
      </c>
      <c r="S162" s="249">
        <f t="shared" si="66"/>
        <v>4.3969036115313305</v>
      </c>
      <c r="T162" s="249">
        <f t="shared" si="66"/>
        <v>4.4788415155061099</v>
      </c>
      <c r="U162" s="249">
        <f t="shared" si="66"/>
        <v>4.5569527785200377</v>
      </c>
      <c r="V162" s="249">
        <f t="shared" si="66"/>
        <v>4.6310434791514128</v>
      </c>
      <c r="W162" s="249">
        <f t="shared" si="66"/>
        <v>4.7009193018465565</v>
      </c>
      <c r="X162" s="249">
        <f t="shared" si="66"/>
        <v>4.7664382580473292</v>
      </c>
      <c r="Y162" s="249">
        <f t="shared" si="66"/>
        <v>4.8274080092850191</v>
      </c>
      <c r="Z162" s="249">
        <f t="shared" si="66"/>
        <v>4.8852920784949587</v>
      </c>
      <c r="AA162" s="249">
        <f t="shared" si="66"/>
        <v>4.9382768191068278</v>
      </c>
      <c r="AB162" s="249">
        <f t="shared" si="66"/>
        <v>4.9861652519066411</v>
      </c>
      <c r="AC162" s="249">
        <f t="shared" si="66"/>
        <v>5.0288083229633074</v>
      </c>
      <c r="AD162" s="249">
        <f t="shared" si="66"/>
        <v>5.0660111661671063</v>
      </c>
      <c r="AE162" s="249">
        <f t="shared" si="66"/>
        <v>5.0975794460654154</v>
      </c>
      <c r="AF162" s="249">
        <f t="shared" si="66"/>
        <v>5.1233195798433924</v>
      </c>
      <c r="AG162" s="249">
        <f t="shared" si="66"/>
        <v>5.1430389638781415</v>
      </c>
      <c r="AI162" s="316"/>
      <c r="AJ162" s="211"/>
    </row>
    <row r="163" spans="1:36" s="67" customFormat="1">
      <c r="A163" s="345" t="s">
        <v>1381</v>
      </c>
      <c r="B163" s="308" t="s">
        <v>704</v>
      </c>
      <c r="C163" s="309">
        <f>C129*C$148</f>
        <v>13.809598837176328</v>
      </c>
      <c r="D163" s="309">
        <f t="shared" ref="D163:AG168" si="67">D129*D$148</f>
        <v>14.686556482184706</v>
      </c>
      <c r="E163" s="309">
        <f t="shared" si="67"/>
        <v>15.560666476867086</v>
      </c>
      <c r="F163" s="309">
        <f t="shared" si="67"/>
        <v>16.426074289926774</v>
      </c>
      <c r="G163" s="309">
        <f t="shared" si="67"/>
        <v>17.276760807302267</v>
      </c>
      <c r="H163" s="309">
        <f t="shared" si="67"/>
        <v>18.106610977916148</v>
      </c>
      <c r="I163" s="309">
        <f t="shared" si="67"/>
        <v>18.950282691196058</v>
      </c>
      <c r="J163" s="309">
        <f t="shared" si="67"/>
        <v>19.806899873947557</v>
      </c>
      <c r="K163" s="309">
        <f t="shared" si="67"/>
        <v>20.675530195280174</v>
      </c>
      <c r="L163" s="309">
        <f t="shared" si="67"/>
        <v>21.55518582993777</v>
      </c>
      <c r="M163" s="309">
        <f t="shared" si="67"/>
        <v>22.44482442533484</v>
      </c>
      <c r="N163" s="309">
        <f t="shared" si="67"/>
        <v>23.207785848007852</v>
      </c>
      <c r="O163" s="309">
        <f t="shared" si="67"/>
        <v>23.930605670892632</v>
      </c>
      <c r="P163" s="309">
        <f t="shared" si="67"/>
        <v>24.610666368442168</v>
      </c>
      <c r="Q163" s="309">
        <f t="shared" si="67"/>
        <v>25.241015339919933</v>
      </c>
      <c r="R163" s="309">
        <f t="shared" si="67"/>
        <v>25.817217819164664</v>
      </c>
      <c r="S163" s="309">
        <f t="shared" si="67"/>
        <v>26.382594186944964</v>
      </c>
      <c r="T163" s="309">
        <f t="shared" si="67"/>
        <v>26.936202213530837</v>
      </c>
      <c r="U163" s="309">
        <f t="shared" si="67"/>
        <v>27.477082293716776</v>
      </c>
      <c r="V163" s="309">
        <f t="shared" si="67"/>
        <v>28.004257857957057</v>
      </c>
      <c r="W163" s="309">
        <f t="shared" si="67"/>
        <v>28.516735808507942</v>
      </c>
      <c r="X163" s="309">
        <f t="shared" si="67"/>
        <v>28.811231002139536</v>
      </c>
      <c r="Y163" s="309">
        <f t="shared" si="67"/>
        <v>29.073165974509113</v>
      </c>
      <c r="Z163" s="309">
        <f t="shared" si="67"/>
        <v>29.309805722884949</v>
      </c>
      <c r="AA163" s="309">
        <f t="shared" si="67"/>
        <v>29.510490192564038</v>
      </c>
      <c r="AB163" s="309">
        <f t="shared" si="67"/>
        <v>29.673510949746113</v>
      </c>
      <c r="AC163" s="309">
        <f t="shared" si="67"/>
        <v>29.797418538836119</v>
      </c>
      <c r="AD163" s="309">
        <f t="shared" si="67"/>
        <v>29.880462600786473</v>
      </c>
      <c r="AE163" s="309">
        <f t="shared" si="67"/>
        <v>29.920869288213659</v>
      </c>
      <c r="AF163" s="309">
        <f t="shared" si="67"/>
        <v>29.916841978003006</v>
      </c>
      <c r="AG163" s="309">
        <f t="shared" si="67"/>
        <v>29.866562016454626</v>
      </c>
      <c r="AI163" s="337"/>
      <c r="AJ163" s="348"/>
    </row>
    <row r="164" spans="1:36">
      <c r="A164" s="346" t="s">
        <v>1382</v>
      </c>
      <c r="B164" s="302" t="s">
        <v>704</v>
      </c>
      <c r="C164" s="249">
        <f t="shared" ref="C164:R168" si="68">C130*C$148</f>
        <v>31.934697310970254</v>
      </c>
      <c r="D164" s="249">
        <f t="shared" si="68"/>
        <v>33.015142092007956</v>
      </c>
      <c r="E164" s="249">
        <f t="shared" si="68"/>
        <v>34.03895791814675</v>
      </c>
      <c r="F164" s="249">
        <f t="shared" si="68"/>
        <v>34.998737833650793</v>
      </c>
      <c r="G164" s="249">
        <f t="shared" si="68"/>
        <v>35.887389176933013</v>
      </c>
      <c r="H164" s="249">
        <f t="shared" si="68"/>
        <v>36.698220464169331</v>
      </c>
      <c r="I164" s="249">
        <f t="shared" si="68"/>
        <v>37.505767826325524</v>
      </c>
      <c r="J164" s="249">
        <f t="shared" si="68"/>
        <v>38.308953303496537</v>
      </c>
      <c r="K164" s="249">
        <f t="shared" si="68"/>
        <v>39.106677178572689</v>
      </c>
      <c r="L164" s="249">
        <f t="shared" si="68"/>
        <v>39.897819925605958</v>
      </c>
      <c r="M164" s="249">
        <f t="shared" si="68"/>
        <v>40.681244270919386</v>
      </c>
      <c r="N164" s="249">
        <f t="shared" si="68"/>
        <v>41.215046513611497</v>
      </c>
      <c r="O164" s="249">
        <f t="shared" si="68"/>
        <v>41.664893802000556</v>
      </c>
      <c r="P164" s="249">
        <f t="shared" si="68"/>
        <v>42.031297940290024</v>
      </c>
      <c r="Q164" s="249">
        <f t="shared" si="68"/>
        <v>42.307383666343057</v>
      </c>
      <c r="R164" s="249">
        <f t="shared" si="68"/>
        <v>42.490837660708493</v>
      </c>
      <c r="S164" s="249">
        <f t="shared" si="67"/>
        <v>42.656640057696322</v>
      </c>
      <c r="T164" s="249">
        <f t="shared" si="67"/>
        <v>42.804204315384759</v>
      </c>
      <c r="U164" s="249">
        <f t="shared" si="67"/>
        <v>42.932941083932441</v>
      </c>
      <c r="V164" s="249">
        <f t="shared" si="67"/>
        <v>43.042258569946725</v>
      </c>
      <c r="W164" s="249">
        <f t="shared" si="67"/>
        <v>43.131562910368231</v>
      </c>
      <c r="X164" s="249">
        <f t="shared" si="67"/>
        <v>42.899075573038601</v>
      </c>
      <c r="Y164" s="249">
        <f t="shared" si="67"/>
        <v>42.631325106852259</v>
      </c>
      <c r="Z164" s="249">
        <f t="shared" si="67"/>
        <v>42.340226427516534</v>
      </c>
      <c r="AA164" s="249">
        <f t="shared" si="67"/>
        <v>42.011461732469584</v>
      </c>
      <c r="AB164" s="249">
        <f t="shared" si="67"/>
        <v>41.644075026064087</v>
      </c>
      <c r="AC164" s="249">
        <f t="shared" si="67"/>
        <v>41.237498870710638</v>
      </c>
      <c r="AD164" s="249">
        <f t="shared" si="67"/>
        <v>40.79076308988936</v>
      </c>
      <c r="AE164" s="249">
        <f t="shared" si="67"/>
        <v>40.302895054167031</v>
      </c>
      <c r="AF164" s="249">
        <f t="shared" si="67"/>
        <v>39.772920214400109</v>
      </c>
      <c r="AG164" s="249">
        <f t="shared" si="67"/>
        <v>39.199862646596699</v>
      </c>
      <c r="AI164" s="296"/>
    </row>
    <row r="165" spans="1:36">
      <c r="A165" s="346" t="s">
        <v>1383</v>
      </c>
      <c r="B165" s="302" t="s">
        <v>704</v>
      </c>
      <c r="C165" s="249">
        <f t="shared" si="68"/>
        <v>6.9047994185881638</v>
      </c>
      <c r="D165" s="249">
        <f t="shared" si="67"/>
        <v>6.8991283474778955</v>
      </c>
      <c r="E165" s="249">
        <f t="shared" si="67"/>
        <v>6.868575437054611</v>
      </c>
      <c r="F165" s="249">
        <f t="shared" si="67"/>
        <v>6.8130876316173534</v>
      </c>
      <c r="G165" s="249">
        <f t="shared" si="67"/>
        <v>6.7328553146104397</v>
      </c>
      <c r="H165" s="249">
        <f t="shared" si="67"/>
        <v>6.6283129472728737</v>
      </c>
      <c r="I165" s="249">
        <f t="shared" si="67"/>
        <v>6.5141596750986421</v>
      </c>
      <c r="J165" s="249">
        <f t="shared" si="67"/>
        <v>6.3904018174391579</v>
      </c>
      <c r="K165" s="249">
        <f t="shared" si="67"/>
        <v>6.2570683485716279</v>
      </c>
      <c r="L165" s="249">
        <f t="shared" si="67"/>
        <v>6.1142113652227295</v>
      </c>
      <c r="M165" s="249">
        <f t="shared" si="67"/>
        <v>5.9619064879795634</v>
      </c>
      <c r="N165" s="249">
        <f t="shared" si="67"/>
        <v>5.766568739672679</v>
      </c>
      <c r="O165" s="249">
        <f t="shared" si="67"/>
        <v>5.555319173600072</v>
      </c>
      <c r="P165" s="249">
        <f t="shared" si="67"/>
        <v>5.3299262920027335</v>
      </c>
      <c r="Q165" s="249">
        <f t="shared" si="67"/>
        <v>5.0912275259497557</v>
      </c>
      <c r="R165" s="249">
        <f t="shared" si="67"/>
        <v>4.8407283410933717</v>
      </c>
      <c r="S165" s="249">
        <f t="shared" si="67"/>
        <v>4.5882772499034683</v>
      </c>
      <c r="T165" s="249">
        <f t="shared" si="67"/>
        <v>4.3341495582941878</v>
      </c>
      <c r="U165" s="249">
        <f t="shared" si="67"/>
        <v>4.0786294029735801</v>
      </c>
      <c r="V165" s="249">
        <f t="shared" si="67"/>
        <v>3.8220096821446456</v>
      </c>
      <c r="W165" s="249">
        <f t="shared" si="67"/>
        <v>3.5645919760634883</v>
      </c>
      <c r="X165" s="249">
        <f t="shared" si="67"/>
        <v>3.2836329450967807</v>
      </c>
      <c r="Y165" s="249">
        <f t="shared" si="67"/>
        <v>3.0051589829420426</v>
      </c>
      <c r="Z165" s="249">
        <f t="shared" si="67"/>
        <v>2.7305125614480033</v>
      </c>
      <c r="AA165" s="249">
        <f t="shared" si="67"/>
        <v>2.4592075160469982</v>
      </c>
      <c r="AB165" s="249">
        <f t="shared" si="67"/>
        <v>2.191793422424424</v>
      </c>
      <c r="AC165" s="249">
        <f t="shared" si="67"/>
        <v>1.9288507536300117</v>
      </c>
      <c r="AD165" s="249">
        <f t="shared" si="67"/>
        <v>1.6709469217545019</v>
      </c>
      <c r="AE165" s="249">
        <f t="shared" si="67"/>
        <v>1.4186619059066774</v>
      </c>
      <c r="AF165" s="249">
        <f t="shared" si="67"/>
        <v>1.172588086002232</v>
      </c>
      <c r="AG165" s="249">
        <f t="shared" si="67"/>
        <v>0.93333006301420707</v>
      </c>
      <c r="AI165" s="296"/>
    </row>
    <row r="166" spans="1:36">
      <c r="A166" s="346" t="s">
        <v>1384</v>
      </c>
      <c r="B166" s="302" t="s">
        <v>704</v>
      </c>
      <c r="C166" s="249">
        <f t="shared" si="68"/>
        <v>23.303698037735053</v>
      </c>
      <c r="D166" s="249">
        <f t="shared" si="67"/>
        <v>23.658384333196736</v>
      </c>
      <c r="E166" s="249">
        <f t="shared" si="67"/>
        <v>23.948838249553255</v>
      </c>
      <c r="F166" s="249">
        <f t="shared" si="67"/>
        <v>24.172461597108157</v>
      </c>
      <c r="G166" s="249">
        <f t="shared" si="67"/>
        <v>24.327203636752834</v>
      </c>
      <c r="H166" s="249">
        <f t="shared" si="67"/>
        <v>24.411591586297675</v>
      </c>
      <c r="I166" s="249">
        <f t="shared" si="67"/>
        <v>24.477448476128252</v>
      </c>
      <c r="J166" s="249">
        <f t="shared" si="67"/>
        <v>24.524421634465483</v>
      </c>
      <c r="K166" s="249">
        <f t="shared" si="67"/>
        <v>24.552192106895216</v>
      </c>
      <c r="L166" s="249">
        <f t="shared" si="67"/>
        <v>24.560476161996409</v>
      </c>
      <c r="M166" s="249">
        <f t="shared" si="67"/>
        <v>24.54902671520999</v>
      </c>
      <c r="N166" s="249">
        <f t="shared" si="67"/>
        <v>24.375250684874107</v>
      </c>
      <c r="O166" s="249">
        <f t="shared" si="67"/>
        <v>24.144271792954182</v>
      </c>
      <c r="P166" s="249">
        <f t="shared" si="67"/>
        <v>23.85946870312635</v>
      </c>
      <c r="Q166" s="249">
        <f t="shared" si="67"/>
        <v>23.520037021289035</v>
      </c>
      <c r="R166" s="249">
        <f t="shared" si="67"/>
        <v>23.127924296335014</v>
      </c>
      <c r="S166" s="249">
        <f t="shared" si="67"/>
        <v>22.726310753428137</v>
      </c>
      <c r="T166" s="249">
        <f t="shared" si="67"/>
        <v>22.315497312539513</v>
      </c>
      <c r="U166" s="249">
        <f t="shared" si="67"/>
        <v>21.895799952805554</v>
      </c>
      <c r="V166" s="249">
        <f t="shared" si="67"/>
        <v>21.467549709990035</v>
      </c>
      <c r="W166" s="249">
        <f t="shared" si="67"/>
        <v>21.031092658774597</v>
      </c>
      <c r="X166" s="249">
        <f t="shared" si="67"/>
        <v>20.443263174312232</v>
      </c>
      <c r="Y166" s="249">
        <f t="shared" si="67"/>
        <v>19.848026771059089</v>
      </c>
      <c r="Z166" s="249">
        <f t="shared" si="67"/>
        <v>19.251841730715686</v>
      </c>
      <c r="AA166" s="249">
        <f t="shared" si="67"/>
        <v>18.648990330023086</v>
      </c>
      <c r="AB166" s="249">
        <f t="shared" si="67"/>
        <v>18.040145861493354</v>
      </c>
      <c r="AC166" s="249">
        <f t="shared" si="67"/>
        <v>17.426168877622885</v>
      </c>
      <c r="AD166" s="249">
        <f t="shared" si="67"/>
        <v>16.807760212942362</v>
      </c>
      <c r="AE166" s="249">
        <f t="shared" si="67"/>
        <v>16.185642653753479</v>
      </c>
      <c r="AF166" s="249">
        <f t="shared" si="67"/>
        <v>15.560560816948568</v>
      </c>
      <c r="AG166" s="249">
        <f t="shared" si="67"/>
        <v>14.933281008227313</v>
      </c>
      <c r="AI166" s="296"/>
    </row>
    <row r="167" spans="1:36">
      <c r="A167" s="346" t="s">
        <v>1385</v>
      </c>
      <c r="B167" s="302" t="s">
        <v>704</v>
      </c>
      <c r="C167" s="249">
        <f t="shared" si="68"/>
        <v>6.0416994912646436</v>
      </c>
      <c r="D167" s="249">
        <f t="shared" si="67"/>
        <v>6.1884885176947657</v>
      </c>
      <c r="E167" s="249">
        <f t="shared" si="67"/>
        <v>6.3215207562272537</v>
      </c>
      <c r="F167" s="249">
        <f t="shared" si="67"/>
        <v>6.4397677613917459</v>
      </c>
      <c r="G167" s="249">
        <f t="shared" si="67"/>
        <v>6.5423028057063721</v>
      </c>
      <c r="H167" s="249">
        <f t="shared" si="67"/>
        <v>6.6283129472728746</v>
      </c>
      <c r="I167" s="249">
        <f t="shared" si="67"/>
        <v>6.7115584531319357</v>
      </c>
      <c r="J167" s="249">
        <f t="shared" si="67"/>
        <v>6.7918930311002592</v>
      </c>
      <c r="K167" s="249">
        <f t="shared" si="67"/>
        <v>6.8691728609318972</v>
      </c>
      <c r="L167" s="249">
        <f t="shared" si="67"/>
        <v>6.9432569740664905</v>
      </c>
      <c r="M167" s="249">
        <f t="shared" si="67"/>
        <v>7.014007632917135</v>
      </c>
      <c r="N167" s="249">
        <f t="shared" si="67"/>
        <v>7.0401667435267683</v>
      </c>
      <c r="O167" s="249">
        <f t="shared" si="67"/>
        <v>7.0509820280308615</v>
      </c>
      <c r="P167" s="249">
        <f t="shared" si="67"/>
        <v>7.0469495270103257</v>
      </c>
      <c r="Q167" s="249">
        <f t="shared" si="67"/>
        <v>7.0273281344095224</v>
      </c>
      <c r="R167" s="249">
        <f t="shared" si="67"/>
        <v>6.9921631593570917</v>
      </c>
      <c r="S167" s="249">
        <f t="shared" si="67"/>
        <v>6.954107706884944</v>
      </c>
      <c r="T167" s="249">
        <f t="shared" si="67"/>
        <v>6.913147642568414</v>
      </c>
      <c r="U167" s="249">
        <f t="shared" si="67"/>
        <v>6.869270573429187</v>
      </c>
      <c r="V167" s="249">
        <f t="shared" si="67"/>
        <v>6.8224658812114685</v>
      </c>
      <c r="W167" s="249">
        <f t="shared" si="67"/>
        <v>6.7727247545206266</v>
      </c>
      <c r="X167" s="249">
        <f t="shared" si="67"/>
        <v>6.6731895335837788</v>
      </c>
      <c r="Y167" s="249">
        <f t="shared" si="67"/>
        <v>6.5694173115477206</v>
      </c>
      <c r="Z167" s="249">
        <f t="shared" si="67"/>
        <v>6.4633651770984386</v>
      </c>
      <c r="AA167" s="249">
        <f t="shared" si="67"/>
        <v>6.3529527497880798</v>
      </c>
      <c r="AB167" s="249">
        <f t="shared" si="67"/>
        <v>6.2381812792079776</v>
      </c>
      <c r="AC167" s="249">
        <f t="shared" si="67"/>
        <v>6.1191127356538342</v>
      </c>
      <c r="AD167" s="249">
        <f t="shared" si="67"/>
        <v>5.9957507192367467</v>
      </c>
      <c r="AE167" s="249">
        <f t="shared" si="67"/>
        <v>5.8681015198867179</v>
      </c>
      <c r="AF167" s="249">
        <f t="shared" si="67"/>
        <v>5.736174150443361</v>
      </c>
      <c r="AG167" s="249">
        <f t="shared" si="67"/>
        <v>5.5999803780852426</v>
      </c>
      <c r="AI167" s="296"/>
    </row>
    <row r="168" spans="1:36" s="68" customFormat="1">
      <c r="A168" s="347" t="s">
        <v>1386</v>
      </c>
      <c r="B168" s="312" t="s">
        <v>704</v>
      </c>
      <c r="C168" s="313">
        <f t="shared" si="68"/>
        <v>4.3154996366176022</v>
      </c>
      <c r="D168" s="313">
        <f t="shared" si="67"/>
        <v>4.3822789503293071</v>
      </c>
      <c r="E168" s="313">
        <f t="shared" si="67"/>
        <v>4.4372213000441301</v>
      </c>
      <c r="F168" s="313">
        <f t="shared" si="67"/>
        <v>4.479838442707301</v>
      </c>
      <c r="G168" s="313">
        <f t="shared" si="67"/>
        <v>4.5097427107296353</v>
      </c>
      <c r="H168" s="313">
        <f t="shared" si="67"/>
        <v>4.5266527444790361</v>
      </c>
      <c r="I168" s="313">
        <f t="shared" si="67"/>
        <v>4.5401718947657219</v>
      </c>
      <c r="J168" s="313">
        <f t="shared" si="67"/>
        <v>4.550233754825789</v>
      </c>
      <c r="K168" s="313">
        <f t="shared" si="67"/>
        <v>4.5567780364597734</v>
      </c>
      <c r="L168" s="313">
        <f t="shared" si="67"/>
        <v>4.5597508486406806</v>
      </c>
      <c r="M168" s="313">
        <f t="shared" si="67"/>
        <v>4.5591049613961374</v>
      </c>
      <c r="N168" s="313">
        <f t="shared" si="67"/>
        <v>4.528348458147871</v>
      </c>
      <c r="O168" s="313">
        <f t="shared" si="67"/>
        <v>4.4869885632923667</v>
      </c>
      <c r="P168" s="313">
        <f t="shared" si="67"/>
        <v>4.4356433571029461</v>
      </c>
      <c r="Q168" s="313">
        <f t="shared" si="67"/>
        <v>4.374153226520213</v>
      </c>
      <c r="R168" s="313">
        <f t="shared" si="67"/>
        <v>4.3028696365274408</v>
      </c>
      <c r="S168" s="313">
        <f t="shared" si="67"/>
        <v>4.2298180897547599</v>
      </c>
      <c r="T168" s="313">
        <f t="shared" si="67"/>
        <v>4.1550524691084769</v>
      </c>
      <c r="U168" s="313">
        <f t="shared" si="67"/>
        <v>4.0786294029735801</v>
      </c>
      <c r="V168" s="313">
        <f t="shared" si="67"/>
        <v>4.0006082654224322</v>
      </c>
      <c r="W168" s="313">
        <f t="shared" si="67"/>
        <v>3.9210511736698361</v>
      </c>
      <c r="X168" s="313">
        <f t="shared" si="67"/>
        <v>3.8132511620478731</v>
      </c>
      <c r="Y168" s="313">
        <f t="shared" si="67"/>
        <v>3.7040331650215865</v>
      </c>
      <c r="Z168" s="313">
        <f t="shared" si="67"/>
        <v>3.5945988150707882</v>
      </c>
      <c r="AA168" s="313">
        <f t="shared" si="67"/>
        <v>3.4838773143999133</v>
      </c>
      <c r="AB168" s="313">
        <f t="shared" si="67"/>
        <v>3.3719898806529591</v>
      </c>
      <c r="AC168" s="313">
        <f t="shared" si="67"/>
        <v>3.259092652685192</v>
      </c>
      <c r="AD168" s="313">
        <f t="shared" si="67"/>
        <v>3.1453118527143564</v>
      </c>
      <c r="AE168" s="313">
        <f t="shared" si="67"/>
        <v>3.0307777080733569</v>
      </c>
      <c r="AF168" s="313">
        <f t="shared" si="67"/>
        <v>2.9156244300596059</v>
      </c>
      <c r="AG168" s="313">
        <f t="shared" si="67"/>
        <v>2.7999901890426213</v>
      </c>
      <c r="AI168" s="314"/>
      <c r="AJ168" s="315"/>
    </row>
    <row r="169" spans="1:36" s="181" customFormat="1">
      <c r="B169" s="176"/>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J169" s="323"/>
    </row>
    <row r="170" spans="1:36" s="181" customFormat="1">
      <c r="A170" s="181" t="s">
        <v>1507</v>
      </c>
      <c r="B170" s="350" t="s">
        <v>704</v>
      </c>
      <c r="C170" s="230">
        <f>C103</f>
        <v>4.8226258181960828</v>
      </c>
      <c r="D170" s="230">
        <f t="shared" ref="D170:AG170" si="69">D103</f>
        <v>5.357541865936339</v>
      </c>
      <c r="E170" s="230">
        <f t="shared" si="69"/>
        <v>5.9145812188348987</v>
      </c>
      <c r="F170" s="230">
        <f t="shared" si="69"/>
        <v>6.4912492625308715</v>
      </c>
      <c r="G170" s="230">
        <f t="shared" si="69"/>
        <v>7.0847057896369705</v>
      </c>
      <c r="H170" s="230">
        <f t="shared" si="69"/>
        <v>7.6917836697104818</v>
      </c>
      <c r="I170" s="230">
        <f t="shared" si="69"/>
        <v>8.3269399114548346</v>
      </c>
      <c r="J170" s="230">
        <f t="shared" si="69"/>
        <v>8.9905736148547231</v>
      </c>
      <c r="K170" s="230">
        <f t="shared" si="69"/>
        <v>9.6830432621563141</v>
      </c>
      <c r="L170" s="230">
        <f t="shared" si="69"/>
        <v>10.404664193638112</v>
      </c>
      <c r="M170" s="230">
        <f t="shared" si="69"/>
        <v>11.155706120511489</v>
      </c>
      <c r="N170" s="230">
        <f t="shared" si="69"/>
        <v>12.386530103426116</v>
      </c>
      <c r="O170" s="230">
        <f t="shared" si="69"/>
        <v>13.651987913164181</v>
      </c>
      <c r="P170" s="230">
        <f t="shared" si="69"/>
        <v>14.950656254193436</v>
      </c>
      <c r="Q170" s="230">
        <f t="shared" si="69"/>
        <v>16.273593419121404</v>
      </c>
      <c r="R170" s="230">
        <f t="shared" si="69"/>
        <v>17.614511431947378</v>
      </c>
      <c r="S170" s="230">
        <f t="shared" si="69"/>
        <v>19.00091453057739</v>
      </c>
      <c r="T170" s="230">
        <f t="shared" si="69"/>
        <v>20.433417521543454</v>
      </c>
      <c r="U170" s="230">
        <f t="shared" si="69"/>
        <v>21.912623302640206</v>
      </c>
      <c r="V170" s="230">
        <f t="shared" si="69"/>
        <v>23.439122218974095</v>
      </c>
      <c r="W170" s="230">
        <f t="shared" si="69"/>
        <v>25.013491416922847</v>
      </c>
      <c r="X170" s="230">
        <f t="shared" si="69"/>
        <v>27.38142414287055</v>
      </c>
      <c r="Y170" s="230">
        <f t="shared" si="69"/>
        <v>29.828326722739863</v>
      </c>
      <c r="Z170" s="230">
        <f t="shared" si="69"/>
        <v>32.369905986477207</v>
      </c>
      <c r="AA170" s="230">
        <f t="shared" si="69"/>
        <v>34.99501007638932</v>
      </c>
      <c r="AB170" s="230">
        <f t="shared" si="69"/>
        <v>37.704679615982684</v>
      </c>
      <c r="AC170" s="230">
        <f t="shared" si="69"/>
        <v>40.500316706789164</v>
      </c>
      <c r="AD170" s="230">
        <f t="shared" si="69"/>
        <v>43.383000411904916</v>
      </c>
      <c r="AE170" s="230">
        <f t="shared" si="69"/>
        <v>46.35379147484629</v>
      </c>
      <c r="AF170" s="230">
        <f t="shared" si="69"/>
        <v>49.413731407500961</v>
      </c>
      <c r="AG170" s="230">
        <f t="shared" si="69"/>
        <v>52.563841575478222</v>
      </c>
      <c r="AI170" s="763" t="s">
        <v>1391</v>
      </c>
      <c r="AJ170" s="323"/>
    </row>
    <row r="171" spans="1:36" s="181" customFormat="1">
      <c r="A171" s="181" t="s">
        <v>1508</v>
      </c>
      <c r="B171" s="349" t="s">
        <v>704</v>
      </c>
      <c r="C171" s="249">
        <f>C170/(1-C128)</f>
        <v>6.6063367372549084</v>
      </c>
      <c r="D171" s="249">
        <f t="shared" ref="D171:AG171" si="70">D170/(1-D128)</f>
        <v>7.2991033595862929</v>
      </c>
      <c r="E171" s="249">
        <f t="shared" si="70"/>
        <v>8.0143376948982361</v>
      </c>
      <c r="F171" s="249">
        <f t="shared" si="70"/>
        <v>8.748314369987698</v>
      </c>
      <c r="G171" s="249">
        <f t="shared" si="70"/>
        <v>9.4969246509878964</v>
      </c>
      <c r="H171" s="249">
        <f t="shared" si="70"/>
        <v>10.255711559613976</v>
      </c>
      <c r="I171" s="249">
        <f t="shared" si="70"/>
        <v>11.043686885218614</v>
      </c>
      <c r="J171" s="249">
        <f t="shared" si="70"/>
        <v>11.860915059175097</v>
      </c>
      <c r="K171" s="249">
        <f t="shared" si="70"/>
        <v>12.707405855848181</v>
      </c>
      <c r="L171" s="249">
        <f t="shared" si="70"/>
        <v>13.583112524331739</v>
      </c>
      <c r="M171" s="249">
        <f t="shared" si="70"/>
        <v>14.487930026638297</v>
      </c>
      <c r="N171" s="249">
        <f t="shared" si="70"/>
        <v>16.003268867475601</v>
      </c>
      <c r="O171" s="249">
        <f t="shared" si="70"/>
        <v>17.547542304838277</v>
      </c>
      <c r="P171" s="249">
        <f t="shared" si="70"/>
        <v>19.118486258559383</v>
      </c>
      <c r="Q171" s="249">
        <f t="shared" si="70"/>
        <v>20.704317327126468</v>
      </c>
      <c r="R171" s="249">
        <f t="shared" si="70"/>
        <v>22.296849913857439</v>
      </c>
      <c r="S171" s="249">
        <f t="shared" si="70"/>
        <v>23.930622834480339</v>
      </c>
      <c r="T171" s="249">
        <f t="shared" si="70"/>
        <v>25.605786367848939</v>
      </c>
      <c r="U171" s="249">
        <f t="shared" si="70"/>
        <v>27.322472945935417</v>
      </c>
      <c r="V171" s="249">
        <f t="shared" si="70"/>
        <v>29.080796797734607</v>
      </c>
      <c r="W171" s="249">
        <f t="shared" si="70"/>
        <v>30.880853601139314</v>
      </c>
      <c r="X171" s="249">
        <f t="shared" si="70"/>
        <v>33.638113197629664</v>
      </c>
      <c r="Y171" s="249">
        <f t="shared" si="70"/>
        <v>36.464947093814011</v>
      </c>
      <c r="Z171" s="249">
        <f t="shared" si="70"/>
        <v>39.379447672113386</v>
      </c>
      <c r="AA171" s="249">
        <f t="shared" si="70"/>
        <v>42.366840286185614</v>
      </c>
      <c r="AB171" s="249">
        <f t="shared" si="70"/>
        <v>45.427324838533352</v>
      </c>
      <c r="AC171" s="249">
        <f t="shared" si="70"/>
        <v>48.561530823488205</v>
      </c>
      <c r="AD171" s="249">
        <f t="shared" si="70"/>
        <v>51.769690229003473</v>
      </c>
      <c r="AE171" s="249">
        <f t="shared" si="70"/>
        <v>55.052008877489648</v>
      </c>
      <c r="AF171" s="249">
        <f t="shared" si="70"/>
        <v>58.408665966313187</v>
      </c>
      <c r="AG171" s="249">
        <f t="shared" si="70"/>
        <v>61.839813618209675</v>
      </c>
      <c r="AI171" s="763"/>
      <c r="AJ171" s="323"/>
    </row>
    <row r="172" spans="1:36" s="181" customFormat="1">
      <c r="A172" s="181" t="s">
        <v>1509</v>
      </c>
      <c r="B172" s="349" t="s">
        <v>704</v>
      </c>
      <c r="C172" s="249">
        <f>C160</f>
        <v>3.6361914801668704</v>
      </c>
      <c r="D172" s="249">
        <f t="shared" ref="D172:AG172" si="71">D160</f>
        <v>4.1477458908390687</v>
      </c>
      <c r="E172" s="249">
        <f t="shared" si="71"/>
        <v>4.6797864863099239</v>
      </c>
      <c r="F172" s="249">
        <f t="shared" si="71"/>
        <v>5.2295816421111558</v>
      </c>
      <c r="G172" s="249">
        <f t="shared" si="71"/>
        <v>5.7940834675292807</v>
      </c>
      <c r="H172" s="249">
        <f t="shared" si="71"/>
        <v>6.3699534253369743</v>
      </c>
      <c r="I172" s="249">
        <f t="shared" si="71"/>
        <v>6.9685955838907443</v>
      </c>
      <c r="J172" s="249">
        <f t="shared" si="71"/>
        <v>7.5900793798175057</v>
      </c>
      <c r="K172" s="249">
        <f t="shared" si="71"/>
        <v>8.2344329533019049</v>
      </c>
      <c r="L172" s="249">
        <f t="shared" si="71"/>
        <v>8.9016416679799004</v>
      </c>
      <c r="M172" s="249">
        <f t="shared" si="71"/>
        <v>9.5916467071654523</v>
      </c>
      <c r="N172" s="249">
        <f t="shared" si="71"/>
        <v>10.289600394978669</v>
      </c>
      <c r="O172" s="249">
        <f t="shared" si="71"/>
        <v>10.992226928507895</v>
      </c>
      <c r="P172" s="249">
        <f t="shared" si="71"/>
        <v>11.697415362708437</v>
      </c>
      <c r="Q172" s="249">
        <f t="shared" si="71"/>
        <v>12.400434239117471</v>
      </c>
      <c r="R172" s="249">
        <f t="shared" si="71"/>
        <v>13.097611651609608</v>
      </c>
      <c r="S172" s="249">
        <f t="shared" si="71"/>
        <v>13.810038207193356</v>
      </c>
      <c r="T172" s="249">
        <f t="shared" si="71"/>
        <v>14.537768533328686</v>
      </c>
      <c r="U172" s="249">
        <f t="shared" si="71"/>
        <v>15.280850645514212</v>
      </c>
      <c r="V172" s="249">
        <f t="shared" si="71"/>
        <v>16.039325802483038</v>
      </c>
      <c r="W172" s="249">
        <f t="shared" si="71"/>
        <v>16.81322836404464</v>
      </c>
      <c r="X172" s="249">
        <f t="shared" si="71"/>
        <v>17.602779533866144</v>
      </c>
      <c r="Y172" s="249">
        <f t="shared" si="71"/>
        <v>18.408026366752686</v>
      </c>
      <c r="Z172" s="249">
        <f t="shared" si="71"/>
        <v>19.235529636369343</v>
      </c>
      <c r="AA172" s="249">
        <f t="shared" si="71"/>
        <v>20.079369784297494</v>
      </c>
      <c r="AB172" s="249">
        <f t="shared" si="71"/>
        <v>20.939590703030611</v>
      </c>
      <c r="AC172" s="249">
        <f t="shared" si="71"/>
        <v>21.81643597291033</v>
      </c>
      <c r="AD172" s="249">
        <f t="shared" si="71"/>
        <v>22.709961841910648</v>
      </c>
      <c r="AE172" s="249">
        <f t="shared" si="71"/>
        <v>23.620218721362182</v>
      </c>
      <c r="AF172" s="249">
        <f t="shared" si="71"/>
        <v>24.547251066866945</v>
      </c>
      <c r="AG172" s="249">
        <f t="shared" si="71"/>
        <v>25.491097261051785</v>
      </c>
      <c r="AI172" s="763"/>
      <c r="AJ172" s="323"/>
    </row>
    <row r="173" spans="1:36" s="181" customFormat="1">
      <c r="A173" s="181" t="s">
        <v>1510</v>
      </c>
      <c r="B173" s="349" t="s">
        <v>704</v>
      </c>
      <c r="C173" s="249">
        <f>C171-C172</f>
        <v>2.970145257088038</v>
      </c>
      <c r="D173" s="249">
        <f t="shared" ref="D173:AG173" si="72">D171-D172</f>
        <v>3.1513574687472241</v>
      </c>
      <c r="E173" s="249">
        <f t="shared" si="72"/>
        <v>3.3345512085883122</v>
      </c>
      <c r="F173" s="249">
        <f t="shared" si="72"/>
        <v>3.5187327278765421</v>
      </c>
      <c r="G173" s="249">
        <f t="shared" si="72"/>
        <v>3.7028411834586157</v>
      </c>
      <c r="H173" s="249">
        <f t="shared" si="72"/>
        <v>3.885758134277002</v>
      </c>
      <c r="I173" s="249">
        <f t="shared" si="72"/>
        <v>4.0750913013278698</v>
      </c>
      <c r="J173" s="249">
        <f t="shared" si="72"/>
        <v>4.2708356793575915</v>
      </c>
      <c r="K173" s="249">
        <f t="shared" si="72"/>
        <v>4.4729729025462763</v>
      </c>
      <c r="L173" s="249">
        <f t="shared" si="72"/>
        <v>4.6814708563518383</v>
      </c>
      <c r="M173" s="249">
        <f t="shared" si="72"/>
        <v>4.896283319472845</v>
      </c>
      <c r="N173" s="249">
        <f t="shared" si="72"/>
        <v>5.7136684724969324</v>
      </c>
      <c r="O173" s="249">
        <f t="shared" si="72"/>
        <v>6.5553153763303822</v>
      </c>
      <c r="P173" s="249">
        <f t="shared" si="72"/>
        <v>7.4210708958509457</v>
      </c>
      <c r="Q173" s="249">
        <f t="shared" si="72"/>
        <v>8.3038830880089964</v>
      </c>
      <c r="R173" s="249">
        <f t="shared" si="72"/>
        <v>9.1992382622478317</v>
      </c>
      <c r="S173" s="249">
        <f t="shared" si="72"/>
        <v>10.120584627286982</v>
      </c>
      <c r="T173" s="249">
        <f t="shared" si="72"/>
        <v>11.068017834520253</v>
      </c>
      <c r="U173" s="249">
        <f t="shared" si="72"/>
        <v>12.041622300421205</v>
      </c>
      <c r="V173" s="249">
        <f t="shared" si="72"/>
        <v>13.041470995251569</v>
      </c>
      <c r="W173" s="249">
        <f t="shared" si="72"/>
        <v>14.067625237094674</v>
      </c>
      <c r="X173" s="249">
        <f t="shared" si="72"/>
        <v>16.03533366376352</v>
      </c>
      <c r="Y173" s="249">
        <f t="shared" si="72"/>
        <v>18.056920727061325</v>
      </c>
      <c r="Z173" s="249">
        <f t="shared" si="72"/>
        <v>20.143918035744043</v>
      </c>
      <c r="AA173" s="249">
        <f t="shared" si="72"/>
        <v>22.287470501888119</v>
      </c>
      <c r="AB173" s="249">
        <f t="shared" si="72"/>
        <v>24.487734135502741</v>
      </c>
      <c r="AC173" s="249">
        <f t="shared" si="72"/>
        <v>26.745094850577875</v>
      </c>
      <c r="AD173" s="249">
        <f t="shared" si="72"/>
        <v>29.059728387092825</v>
      </c>
      <c r="AE173" s="249">
        <f t="shared" si="72"/>
        <v>31.431790156127466</v>
      </c>
      <c r="AF173" s="249">
        <f t="shared" si="72"/>
        <v>33.861414899446245</v>
      </c>
      <c r="AG173" s="249">
        <f t="shared" si="72"/>
        <v>36.34871635715789</v>
      </c>
      <c r="AI173" s="763"/>
      <c r="AJ173" s="323"/>
    </row>
    <row r="174" spans="1:36" s="181" customFormat="1">
      <c r="A174" s="181" t="s">
        <v>1511</v>
      </c>
      <c r="B174" s="349" t="s">
        <v>704</v>
      </c>
      <c r="C174" s="249">
        <f>(C173)/(1-C125)</f>
        <v>3.7126815713600472</v>
      </c>
      <c r="D174" s="249">
        <f t="shared" ref="D174:AG174" si="73">(D171-D160)/(1-D125)</f>
        <v>3.9228516208471671</v>
      </c>
      <c r="E174" s="249">
        <f t="shared" si="73"/>
        <v>4.1337411676714613</v>
      </c>
      <c r="F174" s="249">
        <f t="shared" si="73"/>
        <v>4.3441144788599289</v>
      </c>
      <c r="G174" s="249">
        <f t="shared" si="73"/>
        <v>4.5526735862196102</v>
      </c>
      <c r="H174" s="249">
        <f t="shared" si="73"/>
        <v>4.7580711848289825</v>
      </c>
      <c r="I174" s="249">
        <f t="shared" si="73"/>
        <v>4.9696235382047194</v>
      </c>
      <c r="J174" s="249">
        <f t="shared" si="73"/>
        <v>5.1872498129849296</v>
      </c>
      <c r="K174" s="249">
        <f t="shared" si="73"/>
        <v>5.4108543175963018</v>
      </c>
      <c r="L174" s="249">
        <f t="shared" si="73"/>
        <v>5.6403263329540225</v>
      </c>
      <c r="M174" s="249">
        <f t="shared" si="73"/>
        <v>5.8755399833674149</v>
      </c>
      <c r="N174" s="249">
        <f t="shared" si="73"/>
        <v>6.8290858237015142</v>
      </c>
      <c r="O174" s="249">
        <f t="shared" si="73"/>
        <v>7.8039468765837894</v>
      </c>
      <c r="P174" s="249">
        <f t="shared" si="73"/>
        <v>8.7996888093094228</v>
      </c>
      <c r="Q174" s="249">
        <f t="shared" si="73"/>
        <v>9.8077359307192875</v>
      </c>
      <c r="R174" s="249">
        <f t="shared" si="73"/>
        <v>10.822633249703333</v>
      </c>
      <c r="S174" s="249">
        <f t="shared" si="73"/>
        <v>11.860060110101934</v>
      </c>
      <c r="T174" s="249">
        <f t="shared" si="73"/>
        <v>12.919865176482787</v>
      </c>
      <c r="U174" s="249">
        <f t="shared" si="73"/>
        <v>14.001886395838612</v>
      </c>
      <c r="V174" s="249">
        <f t="shared" si="73"/>
        <v>15.105950959750855</v>
      </c>
      <c r="W174" s="249">
        <f t="shared" si="73"/>
        <v>16.231875273570783</v>
      </c>
      <c r="X174" s="249">
        <f t="shared" si="73"/>
        <v>18.431418004325888</v>
      </c>
      <c r="Y174" s="249">
        <f t="shared" si="73"/>
        <v>20.675863427932818</v>
      </c>
      <c r="Z174" s="249">
        <f t="shared" si="73"/>
        <v>22.97785327271184</v>
      </c>
      <c r="AA174" s="249">
        <f t="shared" si="73"/>
        <v>25.326671024872866</v>
      </c>
      <c r="AB174" s="249">
        <f t="shared" si="73"/>
        <v>27.721963172267259</v>
      </c>
      <c r="AC174" s="249">
        <f t="shared" si="73"/>
        <v>30.16364080892242</v>
      </c>
      <c r="AD174" s="249">
        <f t="shared" si="73"/>
        <v>32.651380210216665</v>
      </c>
      <c r="AE174" s="249">
        <f t="shared" si="73"/>
        <v>35.184839727008367</v>
      </c>
      <c r="AF174" s="249">
        <f t="shared" si="73"/>
        <v>37.763659739159387</v>
      </c>
      <c r="AG174" s="249">
        <f t="shared" si="73"/>
        <v>40.387462619064323</v>
      </c>
      <c r="AI174" s="763"/>
      <c r="AJ174" s="323"/>
    </row>
    <row r="175" spans="1:36" s="181" customFormat="1">
      <c r="A175" s="181" t="s">
        <v>1512</v>
      </c>
      <c r="B175" s="349" t="s">
        <v>704</v>
      </c>
      <c r="C175" s="249">
        <f>IF(C154&gt;C174,C174,C154)</f>
        <v>3.7126815713600472</v>
      </c>
      <c r="D175" s="249">
        <f t="shared" ref="D175:AG175" si="74">IF(D154&gt;D174,D174,D154)</f>
        <v>3.9228516208471671</v>
      </c>
      <c r="E175" s="249">
        <f t="shared" si="74"/>
        <v>4.1337411676714613</v>
      </c>
      <c r="F175" s="249">
        <f t="shared" si="74"/>
        <v>4.3441144788599289</v>
      </c>
      <c r="G175" s="249">
        <f t="shared" si="74"/>
        <v>4.5526735862196102</v>
      </c>
      <c r="H175" s="249">
        <f t="shared" si="74"/>
        <v>4.7580711848289825</v>
      </c>
      <c r="I175" s="249">
        <f t="shared" si="74"/>
        <v>4.9696235382047194</v>
      </c>
      <c r="J175" s="249">
        <f t="shared" si="74"/>
        <v>5.1872498129849296</v>
      </c>
      <c r="K175" s="249">
        <f t="shared" si="74"/>
        <v>5.4108543175963018</v>
      </c>
      <c r="L175" s="249">
        <f t="shared" si="74"/>
        <v>5.6403263329540225</v>
      </c>
      <c r="M175" s="249">
        <f t="shared" si="74"/>
        <v>5.8755399833674149</v>
      </c>
      <c r="N175" s="249">
        <f t="shared" si="74"/>
        <v>6.8290858237015142</v>
      </c>
      <c r="O175" s="249">
        <f t="shared" si="74"/>
        <v>7.8039468765837894</v>
      </c>
      <c r="P175" s="249">
        <f t="shared" si="74"/>
        <v>8.7996888093094228</v>
      </c>
      <c r="Q175" s="249">
        <f t="shared" si="74"/>
        <v>9.8077359307192875</v>
      </c>
      <c r="R175" s="249">
        <f t="shared" si="74"/>
        <v>10.822633249703333</v>
      </c>
      <c r="S175" s="249">
        <f t="shared" si="74"/>
        <v>11.860060110101934</v>
      </c>
      <c r="T175" s="249">
        <f t="shared" si="74"/>
        <v>12.919865176482787</v>
      </c>
      <c r="U175" s="249">
        <f t="shared" si="74"/>
        <v>14.001886395838612</v>
      </c>
      <c r="V175" s="249">
        <f t="shared" si="74"/>
        <v>15.105950959750855</v>
      </c>
      <c r="W175" s="249">
        <f t="shared" si="74"/>
        <v>16.231875273570783</v>
      </c>
      <c r="X175" s="249">
        <f t="shared" si="74"/>
        <v>18.431418004325888</v>
      </c>
      <c r="Y175" s="249">
        <f t="shared" si="74"/>
        <v>20.675863427932818</v>
      </c>
      <c r="Z175" s="249">
        <f t="shared" si="74"/>
        <v>22.97785327271184</v>
      </c>
      <c r="AA175" s="249">
        <f t="shared" si="74"/>
        <v>25.326671024872866</v>
      </c>
      <c r="AB175" s="249">
        <f t="shared" si="74"/>
        <v>27.721963172267259</v>
      </c>
      <c r="AC175" s="249">
        <f t="shared" si="74"/>
        <v>30.16364080892242</v>
      </c>
      <c r="AD175" s="249">
        <f t="shared" si="74"/>
        <v>32.651380210216665</v>
      </c>
      <c r="AE175" s="249">
        <f t="shared" si="74"/>
        <v>35.184839727008367</v>
      </c>
      <c r="AF175" s="249">
        <f t="shared" si="74"/>
        <v>37.102203301139866</v>
      </c>
      <c r="AG175" s="249">
        <f t="shared" si="74"/>
        <v>38.096584917615857</v>
      </c>
      <c r="AI175" s="763"/>
      <c r="AJ175" s="323"/>
    </row>
    <row r="176" spans="1:36" s="181" customFormat="1">
      <c r="A176" s="181" t="s">
        <v>1513</v>
      </c>
      <c r="B176" s="349" t="s">
        <v>704</v>
      </c>
      <c r="C176" s="249">
        <f>IF(C174-C175&lt;0,0,C174-C175)</f>
        <v>0</v>
      </c>
      <c r="D176" s="249">
        <f t="shared" ref="D176:AG176" si="75">IF(D174-D175&lt;0,0,D174-D175)</f>
        <v>0</v>
      </c>
      <c r="E176" s="249">
        <f t="shared" si="75"/>
        <v>0</v>
      </c>
      <c r="F176" s="249">
        <f t="shared" si="75"/>
        <v>0</v>
      </c>
      <c r="G176" s="249">
        <f t="shared" si="75"/>
        <v>0</v>
      </c>
      <c r="H176" s="249">
        <f t="shared" si="75"/>
        <v>0</v>
      </c>
      <c r="I176" s="249">
        <f t="shared" si="75"/>
        <v>0</v>
      </c>
      <c r="J176" s="249">
        <f t="shared" si="75"/>
        <v>0</v>
      </c>
      <c r="K176" s="249">
        <f t="shared" si="75"/>
        <v>0</v>
      </c>
      <c r="L176" s="249">
        <f t="shared" si="75"/>
        <v>0</v>
      </c>
      <c r="M176" s="249">
        <f t="shared" si="75"/>
        <v>0</v>
      </c>
      <c r="N176" s="249">
        <f t="shared" si="75"/>
        <v>0</v>
      </c>
      <c r="O176" s="249">
        <f t="shared" si="75"/>
        <v>0</v>
      </c>
      <c r="P176" s="249">
        <f t="shared" si="75"/>
        <v>0</v>
      </c>
      <c r="Q176" s="249">
        <f t="shared" si="75"/>
        <v>0</v>
      </c>
      <c r="R176" s="249">
        <f t="shared" si="75"/>
        <v>0</v>
      </c>
      <c r="S176" s="249">
        <f t="shared" si="75"/>
        <v>0</v>
      </c>
      <c r="T176" s="249">
        <f t="shared" si="75"/>
        <v>0</v>
      </c>
      <c r="U176" s="249">
        <f t="shared" si="75"/>
        <v>0</v>
      </c>
      <c r="V176" s="249">
        <f t="shared" si="75"/>
        <v>0</v>
      </c>
      <c r="W176" s="249">
        <f t="shared" si="75"/>
        <v>0</v>
      </c>
      <c r="X176" s="249">
        <f t="shared" si="75"/>
        <v>0</v>
      </c>
      <c r="Y176" s="249">
        <f t="shared" si="75"/>
        <v>0</v>
      </c>
      <c r="Z176" s="249">
        <f t="shared" si="75"/>
        <v>0</v>
      </c>
      <c r="AA176" s="249">
        <f t="shared" si="75"/>
        <v>0</v>
      </c>
      <c r="AB176" s="249">
        <f t="shared" si="75"/>
        <v>0</v>
      </c>
      <c r="AC176" s="249">
        <f t="shared" si="75"/>
        <v>0</v>
      </c>
      <c r="AD176" s="249">
        <f t="shared" si="75"/>
        <v>0</v>
      </c>
      <c r="AE176" s="249">
        <f t="shared" si="75"/>
        <v>0</v>
      </c>
      <c r="AF176" s="249">
        <f t="shared" si="75"/>
        <v>0.66145643801952048</v>
      </c>
      <c r="AG176" s="249">
        <f t="shared" si="75"/>
        <v>2.2908777014484656</v>
      </c>
      <c r="AI176" s="763"/>
      <c r="AJ176" s="323"/>
    </row>
    <row r="177" spans="1:37" s="181" customFormat="1">
      <c r="A177" s="181" t="s">
        <v>1514</v>
      </c>
      <c r="B177" s="349" t="s">
        <v>704</v>
      </c>
      <c r="C177" s="249">
        <f>C171*C128+C125*C174+C161+IF(C154&gt;C174,C154-C174,0)</f>
        <v>9.9135186014275476</v>
      </c>
      <c r="D177" s="249">
        <f t="shared" ref="D177:AG177" si="76">D171*D128+D125*D174+D161+IF(D154&gt;D174,D154-D174,0)</f>
        <v>10.75872843073379</v>
      </c>
      <c r="E177" s="249">
        <f t="shared" si="76"/>
        <v>11.614583832395891</v>
      </c>
      <c r="F177" s="249">
        <f t="shared" si="76"/>
        <v>12.475658363350068</v>
      </c>
      <c r="G177" s="249">
        <f t="shared" si="76"/>
        <v>13.336240267561946</v>
      </c>
      <c r="H177" s="249">
        <f t="shared" si="76"/>
        <v>14.190394380931775</v>
      </c>
      <c r="I177" s="249">
        <f t="shared" si="76"/>
        <v>15.06446055166886</v>
      </c>
      <c r="J177" s="249">
        <f t="shared" si="76"/>
        <v>15.957773976007868</v>
      </c>
      <c r="K177" s="249">
        <f t="shared" si="76"/>
        <v>16.86961014794289</v>
      </c>
      <c r="L177" s="249">
        <f t="shared" si="76"/>
        <v>17.799184985231861</v>
      </c>
      <c r="M177" s="249">
        <f t="shared" si="76"/>
        <v>18.745655144530968</v>
      </c>
      <c r="N177" s="249">
        <f t="shared" si="76"/>
        <v>19.212702443764144</v>
      </c>
      <c r="O177" s="249">
        <f t="shared" si="76"/>
        <v>19.637105784869142</v>
      </c>
      <c r="P177" s="249">
        <f t="shared" si="76"/>
        <v>20.015625498438215</v>
      </c>
      <c r="Q177" s="249">
        <f t="shared" si="76"/>
        <v>20.344820836024788</v>
      </c>
      <c r="R177" s="249">
        <f t="shared" si="76"/>
        <v>20.622064518719345</v>
      </c>
      <c r="S177" s="249">
        <f t="shared" si="76"/>
        <v>20.882634433915666</v>
      </c>
      <c r="T177" s="249">
        <f t="shared" si="76"/>
        <v>21.125819097370908</v>
      </c>
      <c r="U177" s="249">
        <f t="shared" si="76"/>
        <v>21.350902005362972</v>
      </c>
      <c r="V177" s="249">
        <f t="shared" si="76"/>
        <v>21.557162076456034</v>
      </c>
      <c r="W177" s="249">
        <f t="shared" si="76"/>
        <v>21.743874105709082</v>
      </c>
      <c r="X177" s="249">
        <f t="shared" si="76"/>
        <v>21.165713997079962</v>
      </c>
      <c r="Y177" s="249">
        <f t="shared" si="76"/>
        <v>20.53715309389662</v>
      </c>
      <c r="Z177" s="249">
        <f t="shared" si="76"/>
        <v>19.860049883018874</v>
      </c>
      <c r="AA177" s="249">
        <f t="shared" si="76"/>
        <v>19.128965916578636</v>
      </c>
      <c r="AB177" s="249">
        <f t="shared" si="76"/>
        <v>18.342718356674538</v>
      </c>
      <c r="AC177" s="249">
        <f t="shared" si="76"/>
        <v>17.500294653739257</v>
      </c>
      <c r="AD177" s="249">
        <f t="shared" si="76"/>
        <v>16.600497181240257</v>
      </c>
      <c r="AE177" s="249">
        <f t="shared" si="76"/>
        <v>15.642131493363951</v>
      </c>
      <c r="AF177" s="249">
        <f t="shared" si="76"/>
        <v>15.285463518418059</v>
      </c>
      <c r="AG177" s="249">
        <f t="shared" si="76"/>
        <v>15.835815835950697</v>
      </c>
      <c r="AI177" s="763"/>
      <c r="AJ177" s="323"/>
    </row>
    <row r="178" spans="1:37" s="181" customFormat="1">
      <c r="A178" s="181" t="s">
        <v>1515</v>
      </c>
      <c r="B178" s="349" t="s">
        <v>704</v>
      </c>
      <c r="C178" s="249">
        <f>C157-C176</f>
        <v>61.815255162836792</v>
      </c>
      <c r="D178" s="249">
        <f t="shared" ref="D178:AG178" si="77">D157-D176</f>
        <v>63.377997080300446</v>
      </c>
      <c r="E178" s="249">
        <f t="shared" si="77"/>
        <v>64.803461379274538</v>
      </c>
      <c r="F178" s="249">
        <f t="shared" si="77"/>
        <v>66.080769103849974</v>
      </c>
      <c r="G178" s="249">
        <f t="shared" si="77"/>
        <v>67.200035909671925</v>
      </c>
      <c r="H178" s="249">
        <f t="shared" si="77"/>
        <v>68.152499339279601</v>
      </c>
      <c r="I178" s="249">
        <f t="shared" si="77"/>
        <v>69.079347730755558</v>
      </c>
      <c r="J178" s="249">
        <f t="shared" si="77"/>
        <v>69.97906367128985</v>
      </c>
      <c r="K178" s="249">
        <f t="shared" si="77"/>
        <v>70.850149444193448</v>
      </c>
      <c r="L178" s="249">
        <f t="shared" si="77"/>
        <v>71.691130823148811</v>
      </c>
      <c r="M178" s="249">
        <f t="shared" si="77"/>
        <v>72.500560875513926</v>
      </c>
      <c r="N178" s="249">
        <f t="shared" si="77"/>
        <v>73.172179681489737</v>
      </c>
      <c r="O178" s="249">
        <f t="shared" si="77"/>
        <v>73.701629764180893</v>
      </c>
      <c r="P178" s="249">
        <f t="shared" si="77"/>
        <v>74.093748977782269</v>
      </c>
      <c r="Q178" s="249">
        <f t="shared" si="77"/>
        <v>74.337511291717291</v>
      </c>
      <c r="R178" s="249">
        <f t="shared" si="77"/>
        <v>74.431051159953469</v>
      </c>
      <c r="S178" s="249">
        <f t="shared" si="77"/>
        <v>74.507402003478788</v>
      </c>
      <c r="T178" s="249">
        <f t="shared" si="77"/>
        <v>74.566400679022209</v>
      </c>
      <c r="U178" s="249">
        <f t="shared" si="77"/>
        <v>74.607892815370803</v>
      </c>
      <c r="V178" s="249">
        <f t="shared" si="77"/>
        <v>74.631733026622157</v>
      </c>
      <c r="W178" s="249">
        <f t="shared" si="77"/>
        <v>74.637785120289578</v>
      </c>
      <c r="X178" s="249">
        <f t="shared" si="77"/>
        <v>74.626744260624193</v>
      </c>
      <c r="Y178" s="249">
        <f t="shared" si="77"/>
        <v>74.598493527539006</v>
      </c>
      <c r="Z178" s="249">
        <f t="shared" si="77"/>
        <v>74.578203115073308</v>
      </c>
      <c r="AA178" s="249">
        <f t="shared" si="77"/>
        <v>74.540446564365652</v>
      </c>
      <c r="AB178" s="249">
        <f t="shared" si="77"/>
        <v>74.485115500780282</v>
      </c>
      <c r="AC178" s="249">
        <f t="shared" si="77"/>
        <v>74.412814063787664</v>
      </c>
      <c r="AD178" s="249">
        <f t="shared" si="77"/>
        <v>74.323450434003874</v>
      </c>
      <c r="AE178" s="249">
        <f t="shared" si="77"/>
        <v>74.2169411356045</v>
      </c>
      <c r="AF178" s="249">
        <f t="shared" si="77"/>
        <v>73.431754749771301</v>
      </c>
      <c r="AG178" s="249">
        <f t="shared" si="77"/>
        <v>71.661316550394076</v>
      </c>
      <c r="AI178" s="763"/>
      <c r="AJ178" s="323"/>
    </row>
    <row r="179" spans="1:37" s="181" customFormat="1">
      <c r="B179" s="350"/>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7"/>
      <c r="Y179" s="327"/>
      <c r="Z179" s="327"/>
      <c r="AA179" s="327"/>
      <c r="AB179" s="327"/>
      <c r="AC179" s="327"/>
      <c r="AD179" s="327"/>
      <c r="AE179" s="327"/>
      <c r="AF179" s="327"/>
      <c r="AG179" s="327"/>
      <c r="AJ179" s="323"/>
    </row>
    <row r="180" spans="1:37" s="181" customFormat="1">
      <c r="A180" s="181" t="s">
        <v>1400</v>
      </c>
      <c r="B180" s="350" t="s">
        <v>462</v>
      </c>
      <c r="C180" s="296">
        <v>0.8</v>
      </c>
      <c r="D180" s="317">
        <f>C180</f>
        <v>0.8</v>
      </c>
      <c r="E180" s="317">
        <f t="shared" ref="E180:AG180" si="78">D180</f>
        <v>0.8</v>
      </c>
      <c r="F180" s="317">
        <f t="shared" si="78"/>
        <v>0.8</v>
      </c>
      <c r="G180" s="317">
        <f t="shared" si="78"/>
        <v>0.8</v>
      </c>
      <c r="H180" s="317">
        <f t="shared" si="78"/>
        <v>0.8</v>
      </c>
      <c r="I180" s="317">
        <f t="shared" si="78"/>
        <v>0.8</v>
      </c>
      <c r="J180" s="317">
        <f t="shared" si="78"/>
        <v>0.8</v>
      </c>
      <c r="K180" s="317">
        <f t="shared" si="78"/>
        <v>0.8</v>
      </c>
      <c r="L180" s="317">
        <f t="shared" si="78"/>
        <v>0.8</v>
      </c>
      <c r="M180" s="317">
        <f t="shared" si="78"/>
        <v>0.8</v>
      </c>
      <c r="N180" s="317">
        <f t="shared" si="78"/>
        <v>0.8</v>
      </c>
      <c r="O180" s="317">
        <f t="shared" si="78"/>
        <v>0.8</v>
      </c>
      <c r="P180" s="317">
        <f t="shared" si="78"/>
        <v>0.8</v>
      </c>
      <c r="Q180" s="317">
        <f t="shared" si="78"/>
        <v>0.8</v>
      </c>
      <c r="R180" s="317">
        <f t="shared" si="78"/>
        <v>0.8</v>
      </c>
      <c r="S180" s="317">
        <f t="shared" si="78"/>
        <v>0.8</v>
      </c>
      <c r="T180" s="317">
        <f t="shared" si="78"/>
        <v>0.8</v>
      </c>
      <c r="U180" s="317">
        <f t="shared" si="78"/>
        <v>0.8</v>
      </c>
      <c r="V180" s="317">
        <f t="shared" si="78"/>
        <v>0.8</v>
      </c>
      <c r="W180" s="317">
        <f t="shared" si="78"/>
        <v>0.8</v>
      </c>
      <c r="X180" s="317">
        <f t="shared" si="78"/>
        <v>0.8</v>
      </c>
      <c r="Y180" s="317">
        <f t="shared" si="78"/>
        <v>0.8</v>
      </c>
      <c r="Z180" s="317">
        <f t="shared" si="78"/>
        <v>0.8</v>
      </c>
      <c r="AA180" s="317">
        <f t="shared" si="78"/>
        <v>0.8</v>
      </c>
      <c r="AB180" s="317">
        <f t="shared" si="78"/>
        <v>0.8</v>
      </c>
      <c r="AC180" s="317">
        <f t="shared" si="78"/>
        <v>0.8</v>
      </c>
      <c r="AD180" s="317">
        <f t="shared" si="78"/>
        <v>0.8</v>
      </c>
      <c r="AE180" s="317">
        <f t="shared" si="78"/>
        <v>0.8</v>
      </c>
      <c r="AF180" s="317">
        <f t="shared" si="78"/>
        <v>0.8</v>
      </c>
      <c r="AG180" s="317">
        <f t="shared" si="78"/>
        <v>0.8</v>
      </c>
      <c r="AJ180" s="323" t="s">
        <v>1401</v>
      </c>
    </row>
    <row r="181" spans="1:37" s="181" customFormat="1">
      <c r="B181" s="350"/>
      <c r="C181" s="327"/>
      <c r="D181" s="327"/>
      <c r="E181" s="327"/>
      <c r="F181" s="327"/>
      <c r="G181" s="327"/>
      <c r="H181" s="327"/>
      <c r="I181" s="327"/>
      <c r="J181" s="327"/>
      <c r="K181" s="327"/>
      <c r="L181" s="327"/>
      <c r="M181" s="327"/>
      <c r="N181" s="327"/>
      <c r="O181" s="327"/>
      <c r="P181" s="327"/>
      <c r="Q181" s="327"/>
      <c r="R181" s="327"/>
      <c r="S181" s="327"/>
      <c r="T181" s="327"/>
      <c r="U181" s="327"/>
      <c r="V181" s="327"/>
      <c r="W181" s="327"/>
      <c r="X181" s="327"/>
      <c r="Y181" s="327"/>
      <c r="Z181" s="327"/>
      <c r="AA181" s="327"/>
      <c r="AB181" s="327"/>
      <c r="AC181" s="327"/>
      <c r="AD181" s="327"/>
      <c r="AE181" s="327"/>
      <c r="AF181" s="327"/>
      <c r="AG181" s="327"/>
      <c r="AJ181" s="323"/>
    </row>
    <row r="182" spans="1:37" s="181" customFormat="1">
      <c r="A182" s="181" t="s">
        <v>1402</v>
      </c>
      <c r="B182" s="350" t="s">
        <v>704</v>
      </c>
      <c r="C182" s="327">
        <f>C116*C177*C180</f>
        <v>1.7447792738512484</v>
      </c>
      <c r="D182" s="327">
        <f t="shared" ref="D182:AG182" si="79">D116*D177*D180</f>
        <v>1.9509160887730606</v>
      </c>
      <c r="E182" s="327">
        <f t="shared" si="79"/>
        <v>2.1680556487138993</v>
      </c>
      <c r="F182" s="327">
        <f t="shared" si="79"/>
        <v>2.3953264057632127</v>
      </c>
      <c r="G182" s="327">
        <f t="shared" si="79"/>
        <v>2.6316847461322239</v>
      </c>
      <c r="H182" s="327">
        <f t="shared" si="79"/>
        <v>2.8759199278688392</v>
      </c>
      <c r="I182" s="327">
        <f t="shared" si="79"/>
        <v>3.1334077947471224</v>
      </c>
      <c r="J182" s="327">
        <f t="shared" si="79"/>
        <v>3.404325114881678</v>
      </c>
      <c r="K182" s="327">
        <f t="shared" si="79"/>
        <v>3.6888214190168442</v>
      </c>
      <c r="L182" s="327">
        <f t="shared" si="79"/>
        <v>3.9870174366919358</v>
      </c>
      <c r="M182" s="327">
        <f t="shared" si="79"/>
        <v>4.2990035798124344</v>
      </c>
      <c r="N182" s="327">
        <f t="shared" si="79"/>
        <v>4.5085808401366512</v>
      </c>
      <c r="O182" s="327">
        <f t="shared" si="79"/>
        <v>4.7129053883685925</v>
      </c>
      <c r="P182" s="327">
        <f t="shared" si="79"/>
        <v>4.9105001222835067</v>
      </c>
      <c r="Q182" s="327">
        <f t="shared" si="79"/>
        <v>5.0997684228968785</v>
      </c>
      <c r="R182" s="327">
        <f t="shared" si="79"/>
        <v>5.2792485167921503</v>
      </c>
      <c r="S182" s="327">
        <f t="shared" si="79"/>
        <v>5.4573284653966248</v>
      </c>
      <c r="T182" s="327">
        <f t="shared" si="79"/>
        <v>5.6335517592989062</v>
      </c>
      <c r="U182" s="327">
        <f t="shared" si="79"/>
        <v>5.8074453454587251</v>
      </c>
      <c r="V182" s="327">
        <f t="shared" si="79"/>
        <v>5.9785196158704705</v>
      </c>
      <c r="W182" s="327">
        <f t="shared" si="79"/>
        <v>6.1462684138804304</v>
      </c>
      <c r="X182" s="327">
        <f t="shared" si="79"/>
        <v>6.0957256311590253</v>
      </c>
      <c r="Y182" s="327">
        <f t="shared" si="79"/>
        <v>6.0242315742096721</v>
      </c>
      <c r="Z182" s="327">
        <f t="shared" si="79"/>
        <v>5.9315348983949665</v>
      </c>
      <c r="AA182" s="327">
        <f t="shared" si="79"/>
        <v>5.8152056386399016</v>
      </c>
      <c r="AB182" s="327">
        <f t="shared" si="79"/>
        <v>5.6740142116646535</v>
      </c>
      <c r="AC182" s="327">
        <f t="shared" si="79"/>
        <v>5.5067593843766156</v>
      </c>
      <c r="AD182" s="327">
        <f t="shared" si="79"/>
        <v>5.3121590979968785</v>
      </c>
      <c r="AE182" s="327">
        <f t="shared" si="79"/>
        <v>5.0889067791744012</v>
      </c>
      <c r="AF182" s="327">
        <f t="shared" si="79"/>
        <v>5.0543932700902339</v>
      </c>
      <c r="AG182" s="327">
        <f t="shared" si="79"/>
        <v>5.320834120879435</v>
      </c>
      <c r="AJ182" s="323"/>
    </row>
    <row r="183" spans="1:37" s="181" customFormat="1">
      <c r="A183" s="181" t="s">
        <v>1403</v>
      </c>
      <c r="B183" s="350" t="s">
        <v>704</v>
      </c>
      <c r="C183" s="327">
        <f>C177*C180-C182</f>
        <v>6.1860356072907896</v>
      </c>
      <c r="D183" s="327">
        <f t="shared" ref="D183:AG183" si="80">D177*D180-D182</f>
        <v>6.6560666558139721</v>
      </c>
      <c r="E183" s="327">
        <f t="shared" si="80"/>
        <v>7.1236114172028131</v>
      </c>
      <c r="F183" s="327">
        <f t="shared" si="80"/>
        <v>7.5852002849168425</v>
      </c>
      <c r="G183" s="327">
        <f t="shared" si="80"/>
        <v>8.0373074679173335</v>
      </c>
      <c r="H183" s="327">
        <f t="shared" si="80"/>
        <v>8.4763955768765804</v>
      </c>
      <c r="I183" s="327">
        <f t="shared" si="80"/>
        <v>8.9181606465879675</v>
      </c>
      <c r="J183" s="327">
        <f t="shared" si="80"/>
        <v>9.3618940659246181</v>
      </c>
      <c r="K183" s="327">
        <f t="shared" si="80"/>
        <v>9.8068666993374691</v>
      </c>
      <c r="L183" s="327">
        <f t="shared" si="80"/>
        <v>10.252330551493554</v>
      </c>
      <c r="M183" s="327">
        <f t="shared" si="80"/>
        <v>10.697520535812341</v>
      </c>
      <c r="N183" s="327">
        <f t="shared" si="80"/>
        <v>10.861581114874664</v>
      </c>
      <c r="O183" s="327">
        <f t="shared" si="80"/>
        <v>10.99677923952672</v>
      </c>
      <c r="P183" s="327">
        <f t="shared" si="80"/>
        <v>11.102000276467065</v>
      </c>
      <c r="Q183" s="327">
        <f t="shared" si="80"/>
        <v>11.176088245922951</v>
      </c>
      <c r="R183" s="327">
        <f t="shared" si="80"/>
        <v>11.218403098183327</v>
      </c>
      <c r="S183" s="327">
        <f t="shared" si="80"/>
        <v>11.248779081735908</v>
      </c>
      <c r="T183" s="327">
        <f t="shared" si="80"/>
        <v>11.267103518597821</v>
      </c>
      <c r="U183" s="327">
        <f t="shared" si="80"/>
        <v>11.273276258831654</v>
      </c>
      <c r="V183" s="327">
        <f t="shared" si="80"/>
        <v>11.267210045294355</v>
      </c>
      <c r="W183" s="327">
        <f t="shared" si="80"/>
        <v>11.248830870686835</v>
      </c>
      <c r="X183" s="327">
        <f t="shared" si="80"/>
        <v>10.836845566504946</v>
      </c>
      <c r="Y183" s="327">
        <f t="shared" si="80"/>
        <v>10.405490900907626</v>
      </c>
      <c r="Z183" s="327">
        <f t="shared" si="80"/>
        <v>9.9565050080201338</v>
      </c>
      <c r="AA183" s="327">
        <f t="shared" si="80"/>
        <v>9.4879670946230092</v>
      </c>
      <c r="AB183" s="327">
        <f t="shared" si="80"/>
        <v>9.0001604736749776</v>
      </c>
      <c r="AC183" s="327">
        <f t="shared" si="80"/>
        <v>8.4934763386147907</v>
      </c>
      <c r="AD183" s="327">
        <f t="shared" si="80"/>
        <v>7.9682386469953288</v>
      </c>
      <c r="AE183" s="327">
        <f t="shared" si="80"/>
        <v>7.4247984155167615</v>
      </c>
      <c r="AF183" s="327">
        <f t="shared" si="80"/>
        <v>7.1739775446442131</v>
      </c>
      <c r="AG183" s="327">
        <f t="shared" si="80"/>
        <v>7.3478185478811229</v>
      </c>
      <c r="AJ183" s="323"/>
    </row>
    <row r="184" spans="1:37" s="181" customFormat="1">
      <c r="B184" s="176"/>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7"/>
      <c r="Y184" s="327"/>
      <c r="Z184" s="327"/>
      <c r="AA184" s="327"/>
      <c r="AB184" s="327"/>
      <c r="AC184" s="327"/>
      <c r="AD184" s="327"/>
      <c r="AE184" s="327"/>
      <c r="AF184" s="327"/>
      <c r="AG184" s="327"/>
      <c r="AJ184" s="323"/>
    </row>
    <row r="185" spans="1:37" s="181" customFormat="1">
      <c r="B185" s="210" t="s">
        <v>492</v>
      </c>
      <c r="C185" s="331">
        <v>0</v>
      </c>
      <c r="D185" s="331">
        <f>C185+1</f>
        <v>1</v>
      </c>
      <c r="E185" s="331">
        <f t="shared" ref="E185:AG185" si="81">D185+1</f>
        <v>2</v>
      </c>
      <c r="F185" s="331">
        <f t="shared" si="81"/>
        <v>3</v>
      </c>
      <c r="G185" s="331">
        <f t="shared" si="81"/>
        <v>4</v>
      </c>
      <c r="H185" s="331">
        <f t="shared" si="81"/>
        <v>5</v>
      </c>
      <c r="I185" s="331">
        <f t="shared" si="81"/>
        <v>6</v>
      </c>
      <c r="J185" s="331">
        <f t="shared" si="81"/>
        <v>7</v>
      </c>
      <c r="K185" s="331">
        <f t="shared" si="81"/>
        <v>8</v>
      </c>
      <c r="L185" s="331">
        <f t="shared" si="81"/>
        <v>9</v>
      </c>
      <c r="M185" s="331">
        <f t="shared" si="81"/>
        <v>10</v>
      </c>
      <c r="N185" s="331">
        <f t="shared" si="81"/>
        <v>11</v>
      </c>
      <c r="O185" s="331">
        <f t="shared" si="81"/>
        <v>12</v>
      </c>
      <c r="P185" s="331">
        <f t="shared" si="81"/>
        <v>13</v>
      </c>
      <c r="Q185" s="331">
        <f t="shared" si="81"/>
        <v>14</v>
      </c>
      <c r="R185" s="331">
        <f t="shared" si="81"/>
        <v>15</v>
      </c>
      <c r="S185" s="331">
        <f t="shared" si="81"/>
        <v>16</v>
      </c>
      <c r="T185" s="331">
        <f t="shared" si="81"/>
        <v>17</v>
      </c>
      <c r="U185" s="331">
        <f t="shared" si="81"/>
        <v>18</v>
      </c>
      <c r="V185" s="331">
        <f t="shared" si="81"/>
        <v>19</v>
      </c>
      <c r="W185" s="331">
        <f t="shared" si="81"/>
        <v>20</v>
      </c>
      <c r="X185" s="331">
        <f t="shared" si="81"/>
        <v>21</v>
      </c>
      <c r="Y185" s="331">
        <f t="shared" si="81"/>
        <v>22</v>
      </c>
      <c r="Z185" s="331">
        <f t="shared" si="81"/>
        <v>23</v>
      </c>
      <c r="AA185" s="331">
        <f t="shared" si="81"/>
        <v>24</v>
      </c>
      <c r="AB185" s="331">
        <f t="shared" si="81"/>
        <v>25</v>
      </c>
      <c r="AC185" s="331">
        <f t="shared" si="81"/>
        <v>26</v>
      </c>
      <c r="AD185" s="331">
        <f t="shared" si="81"/>
        <v>27</v>
      </c>
      <c r="AE185" s="331">
        <f t="shared" si="81"/>
        <v>28</v>
      </c>
      <c r="AF185" s="331">
        <f t="shared" si="81"/>
        <v>29</v>
      </c>
      <c r="AG185" s="331">
        <f t="shared" si="81"/>
        <v>30</v>
      </c>
      <c r="AJ185" s="323" t="s">
        <v>493</v>
      </c>
      <c r="AK185" s="181">
        <f>'Propylene Recycling HC'!AK199</f>
        <v>1.9</v>
      </c>
    </row>
    <row r="186" spans="1:37" s="181" customFormat="1">
      <c r="A186" s="181" t="s">
        <v>1404</v>
      </c>
      <c r="B186" s="176"/>
      <c r="C186" s="333">
        <f>$AK$187/((1+EXP(-$AK$186*(C185-$AK$188)))^$AK$185)</f>
        <v>4.6088632748610021E-5</v>
      </c>
      <c r="D186" s="333">
        <f t="shared" ref="D186:AG186" si="82">$AK$187/((1+EXP(-$AK$186*(D185-$AK$188)))^$AK$185)</f>
        <v>8.924759460408035E-5</v>
      </c>
      <c r="E186" s="333">
        <f t="shared" si="82"/>
        <v>1.7252431976790472E-4</v>
      </c>
      <c r="F186" s="333">
        <f t="shared" si="82"/>
        <v>3.3269643715580369E-4</v>
      </c>
      <c r="G186" s="333">
        <f t="shared" si="82"/>
        <v>6.393827369910735E-4</v>
      </c>
      <c r="H186" s="333">
        <f t="shared" si="82"/>
        <v>1.2229053771654547E-3</v>
      </c>
      <c r="I186" s="333">
        <f t="shared" si="82"/>
        <v>2.3234018804222717E-3</v>
      </c>
      <c r="J186" s="333">
        <f t="shared" si="82"/>
        <v>4.3736281679830789E-3</v>
      </c>
      <c r="K186" s="333">
        <f t="shared" si="82"/>
        <v>8.1294184230466908E-3</v>
      </c>
      <c r="L186" s="333">
        <f t="shared" si="82"/>
        <v>1.4853985082038716E-2</v>
      </c>
      <c r="M186" s="333">
        <f t="shared" si="82"/>
        <v>2.6531412096832362E-2</v>
      </c>
      <c r="N186" s="333">
        <f t="shared" si="82"/>
        <v>4.6014759335105015E-2</v>
      </c>
      <c r="O186" s="333">
        <f t="shared" si="82"/>
        <v>7.6910635328419796E-2</v>
      </c>
      <c r="P186" s="333">
        <f t="shared" si="82"/>
        <v>0.12294065829885638</v>
      </c>
      <c r="Q186" s="333">
        <f t="shared" si="82"/>
        <v>0.18666754187878853</v>
      </c>
      <c r="R186" s="333">
        <f t="shared" si="82"/>
        <v>0.26794336563407328</v>
      </c>
      <c r="S186" s="333">
        <f t="shared" si="82"/>
        <v>0.36297326582455031</v>
      </c>
      <c r="T186" s="333">
        <f t="shared" si="82"/>
        <v>0.46484396312424381</v>
      </c>
      <c r="U186" s="333">
        <f t="shared" si="82"/>
        <v>0.56546260593861253</v>
      </c>
      <c r="V186" s="333">
        <f t="shared" si="82"/>
        <v>0.6578403022607352</v>
      </c>
      <c r="W186" s="333">
        <f t="shared" si="82"/>
        <v>0.73754668886795227</v>
      </c>
      <c r="X186" s="333">
        <f t="shared" si="82"/>
        <v>0.80293052021410605</v>
      </c>
      <c r="Y186" s="333">
        <f t="shared" si="82"/>
        <v>0.85447682949112158</v>
      </c>
      <c r="Z186" s="333">
        <f t="shared" si="82"/>
        <v>0.89389910336617451</v>
      </c>
      <c r="AA186" s="333">
        <f t="shared" si="82"/>
        <v>0.92337223319290385</v>
      </c>
      <c r="AB186" s="333">
        <f t="shared" si="82"/>
        <v>0.94504210708611314</v>
      </c>
      <c r="AC186" s="333">
        <f t="shared" si="82"/>
        <v>0.96078240575184182</v>
      </c>
      <c r="AD186" s="333">
        <f t="shared" si="82"/>
        <v>0.97211605463477313</v>
      </c>
      <c r="AE186" s="333">
        <f t="shared" si="82"/>
        <v>0.98022577885232642</v>
      </c>
      <c r="AF186" s="333">
        <f t="shared" si="82"/>
        <v>0.98600279580400285</v>
      </c>
      <c r="AG186" s="333">
        <f t="shared" si="82"/>
        <v>0.9901050637460882</v>
      </c>
      <c r="AI186" s="176" t="s">
        <v>494</v>
      </c>
      <c r="AJ186" s="323" t="s">
        <v>495</v>
      </c>
      <c r="AK186" s="181">
        <f>'Propylene Recycling HC'!AK200</f>
        <v>0.35</v>
      </c>
    </row>
    <row r="187" spans="1:37" s="181" customFormat="1">
      <c r="B187" s="176"/>
      <c r="C187" s="329">
        <v>0</v>
      </c>
      <c r="D187" s="329">
        <v>0</v>
      </c>
      <c r="E187" s="329">
        <v>0</v>
      </c>
      <c r="F187" s="329">
        <v>0</v>
      </c>
      <c r="G187" s="329">
        <v>0</v>
      </c>
      <c r="H187" s="329">
        <v>0</v>
      </c>
      <c r="I187" s="329">
        <v>0</v>
      </c>
      <c r="J187" s="329">
        <v>0</v>
      </c>
      <c r="K187" s="329">
        <v>0</v>
      </c>
      <c r="L187" s="329">
        <v>0</v>
      </c>
      <c r="M187" s="329">
        <f>C186</f>
        <v>4.6088632748610021E-5</v>
      </c>
      <c r="N187" s="329">
        <v>0</v>
      </c>
      <c r="O187" s="329">
        <v>0</v>
      </c>
      <c r="P187" s="329">
        <v>0</v>
      </c>
      <c r="Q187" s="329">
        <v>0</v>
      </c>
      <c r="R187" s="329">
        <f t="shared" ref="R187:AG187" si="83">C186</f>
        <v>4.6088632748610021E-5</v>
      </c>
      <c r="S187" s="329">
        <f t="shared" si="83"/>
        <v>8.924759460408035E-5</v>
      </c>
      <c r="T187" s="329">
        <f t="shared" si="83"/>
        <v>1.7252431976790472E-4</v>
      </c>
      <c r="U187" s="329">
        <f t="shared" si="83"/>
        <v>3.3269643715580369E-4</v>
      </c>
      <c r="V187" s="329">
        <f t="shared" si="83"/>
        <v>6.393827369910735E-4</v>
      </c>
      <c r="W187" s="329">
        <f t="shared" si="83"/>
        <v>1.2229053771654547E-3</v>
      </c>
      <c r="X187" s="329">
        <f t="shared" si="83"/>
        <v>2.3234018804222717E-3</v>
      </c>
      <c r="Y187" s="329">
        <f t="shared" si="83"/>
        <v>4.3736281679830789E-3</v>
      </c>
      <c r="Z187" s="329">
        <f t="shared" si="83"/>
        <v>8.1294184230466908E-3</v>
      </c>
      <c r="AA187" s="329">
        <f t="shared" si="83"/>
        <v>1.4853985082038716E-2</v>
      </c>
      <c r="AB187" s="329">
        <f t="shared" si="83"/>
        <v>2.6531412096832362E-2</v>
      </c>
      <c r="AC187" s="329">
        <f t="shared" si="83"/>
        <v>4.6014759335105015E-2</v>
      </c>
      <c r="AD187" s="329">
        <f t="shared" si="83"/>
        <v>7.6910635328419796E-2</v>
      </c>
      <c r="AE187" s="329">
        <f t="shared" si="83"/>
        <v>0.12294065829885638</v>
      </c>
      <c r="AF187" s="329">
        <f t="shared" si="83"/>
        <v>0.18666754187878853</v>
      </c>
      <c r="AG187" s="329">
        <f t="shared" si="83"/>
        <v>0.26794336563407328</v>
      </c>
      <c r="AI187" s="176" t="s">
        <v>496</v>
      </c>
      <c r="AJ187" s="323" t="s">
        <v>497</v>
      </c>
      <c r="AK187" s="181">
        <f>'Propylene Recycling HC'!AK201</f>
        <v>1</v>
      </c>
    </row>
    <row r="188" spans="1:37" s="181" customFormat="1">
      <c r="B188" s="176"/>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7"/>
      <c r="Y188" s="327"/>
      <c r="Z188" s="327"/>
      <c r="AA188" s="327"/>
      <c r="AB188" s="327"/>
      <c r="AC188" s="327"/>
      <c r="AD188" s="327"/>
      <c r="AE188" s="327"/>
      <c r="AF188" s="327"/>
      <c r="AG188" s="327"/>
      <c r="AJ188" s="323" t="s">
        <v>498</v>
      </c>
      <c r="AK188" s="181">
        <f>'Propylene Recycling HC'!AK202</f>
        <v>15</v>
      </c>
    </row>
    <row r="189" spans="1:37" s="181" customFormat="1">
      <c r="A189" s="181" t="s">
        <v>1460</v>
      </c>
      <c r="B189" s="176" t="s">
        <v>462</v>
      </c>
      <c r="C189" s="328">
        <v>0</v>
      </c>
      <c r="D189" s="328">
        <f>C189</f>
        <v>0</v>
      </c>
      <c r="E189" s="328">
        <f t="shared" ref="E189:AG189" si="84">D189</f>
        <v>0</v>
      </c>
      <c r="F189" s="328">
        <f t="shared" si="84"/>
        <v>0</v>
      </c>
      <c r="G189" s="328">
        <f t="shared" si="84"/>
        <v>0</v>
      </c>
      <c r="H189" s="328">
        <f t="shared" si="84"/>
        <v>0</v>
      </c>
      <c r="I189" s="328">
        <f t="shared" si="84"/>
        <v>0</v>
      </c>
      <c r="J189" s="328">
        <f t="shared" si="84"/>
        <v>0</v>
      </c>
      <c r="K189" s="328">
        <f t="shared" si="84"/>
        <v>0</v>
      </c>
      <c r="L189" s="328">
        <f t="shared" si="84"/>
        <v>0</v>
      </c>
      <c r="M189" s="328">
        <f t="shared" si="84"/>
        <v>0</v>
      </c>
      <c r="N189" s="328">
        <f t="shared" si="84"/>
        <v>0</v>
      </c>
      <c r="O189" s="328">
        <f t="shared" si="84"/>
        <v>0</v>
      </c>
      <c r="P189" s="328">
        <f t="shared" si="84"/>
        <v>0</v>
      </c>
      <c r="Q189" s="328">
        <f t="shared" si="84"/>
        <v>0</v>
      </c>
      <c r="R189" s="328">
        <f t="shared" si="84"/>
        <v>0</v>
      </c>
      <c r="S189" s="328">
        <f t="shared" si="84"/>
        <v>0</v>
      </c>
      <c r="T189" s="328">
        <f t="shared" si="84"/>
        <v>0</v>
      </c>
      <c r="U189" s="328">
        <f t="shared" si="84"/>
        <v>0</v>
      </c>
      <c r="V189" s="328">
        <f t="shared" si="84"/>
        <v>0</v>
      </c>
      <c r="W189" s="328">
        <f t="shared" si="84"/>
        <v>0</v>
      </c>
      <c r="X189" s="328">
        <f t="shared" si="84"/>
        <v>0</v>
      </c>
      <c r="Y189" s="328">
        <f t="shared" si="84"/>
        <v>0</v>
      </c>
      <c r="Z189" s="328">
        <f t="shared" si="84"/>
        <v>0</v>
      </c>
      <c r="AA189" s="328">
        <f t="shared" si="84"/>
        <v>0</v>
      </c>
      <c r="AB189" s="328">
        <f t="shared" si="84"/>
        <v>0</v>
      </c>
      <c r="AC189" s="328">
        <f t="shared" si="84"/>
        <v>0</v>
      </c>
      <c r="AD189" s="328">
        <f t="shared" si="84"/>
        <v>0</v>
      </c>
      <c r="AE189" s="328">
        <f t="shared" si="84"/>
        <v>0</v>
      </c>
      <c r="AF189" s="328">
        <f t="shared" si="84"/>
        <v>0</v>
      </c>
      <c r="AG189" s="328">
        <f t="shared" si="84"/>
        <v>0</v>
      </c>
      <c r="AI189" s="176" t="s">
        <v>1516</v>
      </c>
      <c r="AJ189" s="323"/>
    </row>
    <row r="190" spans="1:37" s="300" customFormat="1" ht="16" thickBot="1">
      <c r="A190" s="334" t="s">
        <v>1407</v>
      </c>
      <c r="B190" s="335" t="s">
        <v>704</v>
      </c>
      <c r="C190" s="336">
        <f>C189*(C182*C186+C183*C187)</f>
        <v>0</v>
      </c>
      <c r="D190" s="336">
        <f t="shared" ref="D190:AG190" si="85">D189*(D182*D186+D183*D187)</f>
        <v>0</v>
      </c>
      <c r="E190" s="336">
        <f t="shared" si="85"/>
        <v>0</v>
      </c>
      <c r="F190" s="336">
        <f t="shared" si="85"/>
        <v>0</v>
      </c>
      <c r="G190" s="336">
        <f t="shared" si="85"/>
        <v>0</v>
      </c>
      <c r="H190" s="336">
        <f t="shared" si="85"/>
        <v>0</v>
      </c>
      <c r="I190" s="336">
        <f t="shared" si="85"/>
        <v>0</v>
      </c>
      <c r="J190" s="336">
        <f t="shared" si="85"/>
        <v>0</v>
      </c>
      <c r="K190" s="336">
        <f t="shared" si="85"/>
        <v>0</v>
      </c>
      <c r="L190" s="336">
        <f t="shared" si="85"/>
        <v>0</v>
      </c>
      <c r="M190" s="336">
        <f t="shared" si="85"/>
        <v>0</v>
      </c>
      <c r="N190" s="336">
        <f t="shared" si="85"/>
        <v>0</v>
      </c>
      <c r="O190" s="336">
        <f t="shared" si="85"/>
        <v>0</v>
      </c>
      <c r="P190" s="336">
        <f t="shared" si="85"/>
        <v>0</v>
      </c>
      <c r="Q190" s="336">
        <f t="shared" si="85"/>
        <v>0</v>
      </c>
      <c r="R190" s="336">
        <f t="shared" si="85"/>
        <v>0</v>
      </c>
      <c r="S190" s="336">
        <f t="shared" si="85"/>
        <v>0</v>
      </c>
      <c r="T190" s="336">
        <f t="shared" si="85"/>
        <v>0</v>
      </c>
      <c r="U190" s="336">
        <f t="shared" si="85"/>
        <v>0</v>
      </c>
      <c r="V190" s="336">
        <f t="shared" si="85"/>
        <v>0</v>
      </c>
      <c r="W190" s="336">
        <f t="shared" si="85"/>
        <v>0</v>
      </c>
      <c r="X190" s="336">
        <f t="shared" si="85"/>
        <v>0</v>
      </c>
      <c r="Y190" s="336">
        <f t="shared" si="85"/>
        <v>0</v>
      </c>
      <c r="Z190" s="336">
        <f t="shared" si="85"/>
        <v>0</v>
      </c>
      <c r="AA190" s="336">
        <f t="shared" si="85"/>
        <v>0</v>
      </c>
      <c r="AB190" s="336">
        <f t="shared" si="85"/>
        <v>0</v>
      </c>
      <c r="AC190" s="336">
        <f t="shared" si="85"/>
        <v>0</v>
      </c>
      <c r="AD190" s="336">
        <f t="shared" si="85"/>
        <v>0</v>
      </c>
      <c r="AE190" s="336">
        <f t="shared" si="85"/>
        <v>0</v>
      </c>
      <c r="AF190" s="336">
        <f t="shared" si="85"/>
        <v>0</v>
      </c>
      <c r="AG190" s="336">
        <f t="shared" si="85"/>
        <v>0</v>
      </c>
      <c r="AJ190" s="326"/>
    </row>
    <row r="191" spans="1:37" s="230" customFormat="1">
      <c r="A191" s="325" t="s">
        <v>1408</v>
      </c>
      <c r="B191" s="324" t="s">
        <v>462</v>
      </c>
      <c r="C191" s="330">
        <v>0.25</v>
      </c>
      <c r="D191" s="330">
        <v>0.25</v>
      </c>
      <c r="E191" s="330">
        <v>0.25</v>
      </c>
      <c r="F191" s="330">
        <v>0.25</v>
      </c>
      <c r="G191" s="330">
        <v>0.25</v>
      </c>
      <c r="H191" s="330">
        <v>0.25</v>
      </c>
      <c r="I191" s="330">
        <v>0.25</v>
      </c>
      <c r="J191" s="330">
        <v>0.25</v>
      </c>
      <c r="K191" s="330">
        <v>0.25</v>
      </c>
      <c r="L191" s="330">
        <v>0.25</v>
      </c>
      <c r="M191" s="330">
        <v>0.25</v>
      </c>
      <c r="N191" s="330">
        <v>0.25</v>
      </c>
      <c r="O191" s="330">
        <v>0.25</v>
      </c>
      <c r="P191" s="330">
        <v>0.25</v>
      </c>
      <c r="Q191" s="330">
        <v>0.25</v>
      </c>
      <c r="R191" s="330">
        <v>0.25</v>
      </c>
      <c r="S191" s="330">
        <v>0.25</v>
      </c>
      <c r="T191" s="330">
        <v>0.25</v>
      </c>
      <c r="U191" s="330">
        <v>0.25</v>
      </c>
      <c r="V191" s="330">
        <v>0.25</v>
      </c>
      <c r="W191" s="330">
        <v>0.25</v>
      </c>
      <c r="X191" s="330">
        <v>0.25</v>
      </c>
      <c r="Y191" s="330">
        <v>0.25</v>
      </c>
      <c r="Z191" s="330">
        <v>0.25</v>
      </c>
      <c r="AA191" s="330">
        <v>0.25</v>
      </c>
      <c r="AB191" s="330">
        <v>0.25</v>
      </c>
      <c r="AC191" s="330">
        <v>0.25</v>
      </c>
      <c r="AD191" s="330">
        <v>0.25</v>
      </c>
      <c r="AE191" s="330">
        <v>0.25</v>
      </c>
      <c r="AF191" s="330">
        <v>0.25</v>
      </c>
      <c r="AG191" s="330">
        <v>0.25</v>
      </c>
      <c r="AI191" s="230" t="s">
        <v>1517</v>
      </c>
      <c r="AJ191" s="230" t="s">
        <v>1410</v>
      </c>
    </row>
    <row r="192" spans="1:37" s="230" customFormat="1" ht="16" thickBot="1">
      <c r="A192" s="301" t="s">
        <v>1411</v>
      </c>
      <c r="B192" s="335" t="s">
        <v>704</v>
      </c>
      <c r="C192" s="336">
        <f>C191*(C182*C186+C183*C187)</f>
        <v>2.0103622794979166E-5</v>
      </c>
      <c r="D192" s="336">
        <f t="shared" ref="D192:AG192" si="86">D191*(D182*D186+D183*D187)</f>
        <v>4.3528642049349038E-5</v>
      </c>
      <c r="E192" s="336">
        <f t="shared" si="86"/>
        <v>9.3510581503332212E-5</v>
      </c>
      <c r="F192" s="336">
        <f t="shared" si="86"/>
        <v>1.9922914025565945E-4</v>
      </c>
      <c r="G192" s="336">
        <f t="shared" si="86"/>
        <v>4.2066344896991994E-4</v>
      </c>
      <c r="H192" s="336">
        <f t="shared" si="86"/>
        <v>8.792444860220226E-4</v>
      </c>
      <c r="I192" s="336">
        <f t="shared" si="86"/>
        <v>1.8200413906113168E-3</v>
      </c>
      <c r="J192" s="336">
        <f t="shared" si="86"/>
        <v>3.7223130538546847E-3</v>
      </c>
      <c r="K192" s="336">
        <f t="shared" si="86"/>
        <v>7.4969932007711926E-3</v>
      </c>
      <c r="L192" s="336">
        <f t="shared" si="86"/>
        <v>1.4805774381612563E-2</v>
      </c>
      <c r="M192" s="336">
        <f t="shared" si="86"/>
        <v>2.8637917419264258E-2</v>
      </c>
      <c r="N192" s="336">
        <f t="shared" si="86"/>
        <v>5.1865315575438393E-2</v>
      </c>
      <c r="O192" s="336">
        <f t="shared" si="86"/>
        <v>9.0618136915540368E-2</v>
      </c>
      <c r="P192" s="336">
        <f t="shared" si="86"/>
        <v>0.15092502940253727</v>
      </c>
      <c r="Q192" s="336">
        <f t="shared" si="86"/>
        <v>0.23799030891330661</v>
      </c>
      <c r="R192" s="336">
        <f t="shared" si="86"/>
        <v>0.35376416411709904</v>
      </c>
      <c r="S192" s="336">
        <f t="shared" si="86"/>
        <v>0.49546706555939302</v>
      </c>
      <c r="T192" s="336">
        <f t="shared" si="86"/>
        <v>0.65516659390709009</v>
      </c>
      <c r="U192" s="336">
        <f t="shared" si="86"/>
        <v>0.82191093943388582</v>
      </c>
      <c r="V192" s="336">
        <f t="shared" si="86"/>
        <v>0.98502880269324467</v>
      </c>
      <c r="W192" s="336">
        <f t="shared" si="86"/>
        <v>1.1367290433274451</v>
      </c>
      <c r="X192" s="336">
        <f t="shared" si="86"/>
        <v>1.2299056248690099</v>
      </c>
      <c r="Y192" s="336">
        <f t="shared" si="86"/>
        <v>1.2982690109392225</v>
      </c>
      <c r="Z192" s="336">
        <f t="shared" si="86"/>
        <v>1.3457835806254472</v>
      </c>
      <c r="AA192" s="336">
        <f t="shared" si="86"/>
        <v>1.3776333846773241</v>
      </c>
      <c r="AB192" s="336">
        <f t="shared" si="86"/>
        <v>1.4002423281732019</v>
      </c>
      <c r="AC192" s="336">
        <f t="shared" si="86"/>
        <v>1.4204056997144163</v>
      </c>
      <c r="AD192" s="336">
        <f t="shared" si="86"/>
        <v>1.4442193601814548</v>
      </c>
      <c r="AE192" s="336">
        <f t="shared" si="86"/>
        <v>1.475271804015762</v>
      </c>
      <c r="AF192" s="336">
        <f t="shared" si="86"/>
        <v>1.5806986622885675</v>
      </c>
      <c r="AG192" s="336">
        <f t="shared" si="86"/>
        <v>1.8092460095558578</v>
      </c>
      <c r="AJ192" s="325"/>
    </row>
    <row r="193" spans="1:36" s="230" customFormat="1">
      <c r="A193" s="326"/>
      <c r="B193" s="324"/>
      <c r="AJ193" s="325"/>
    </row>
    <row r="194" spans="1:36" s="230" customFormat="1">
      <c r="A194" s="326" t="s">
        <v>1412</v>
      </c>
      <c r="B194" s="324" t="s">
        <v>704</v>
      </c>
      <c r="C194" s="230">
        <f>SUM(C163:C164)-SUM(C190,C192)</f>
        <v>45.744276044523787</v>
      </c>
      <c r="D194" s="230">
        <f t="shared" ref="D194:AG194" si="87">SUM(D163:D164)-SUM(D190,D192)</f>
        <v>47.701655045550609</v>
      </c>
      <c r="E194" s="230">
        <f t="shared" si="87"/>
        <v>49.599530884432333</v>
      </c>
      <c r="F194" s="230">
        <f t="shared" si="87"/>
        <v>51.42461289443731</v>
      </c>
      <c r="G194" s="230">
        <f t="shared" si="87"/>
        <v>53.16372932078631</v>
      </c>
      <c r="H194" s="230">
        <f t="shared" si="87"/>
        <v>54.803952197599457</v>
      </c>
      <c r="I194" s="230">
        <f t="shared" si="87"/>
        <v>56.454230476130974</v>
      </c>
      <c r="J194" s="230">
        <f t="shared" si="87"/>
        <v>58.112130864390238</v>
      </c>
      <c r="K194" s="230">
        <f t="shared" si="87"/>
        <v>59.774710380652088</v>
      </c>
      <c r="L194" s="230">
        <f t="shared" si="87"/>
        <v>61.438199981162114</v>
      </c>
      <c r="M194" s="230">
        <f t="shared" si="87"/>
        <v>63.097430778834955</v>
      </c>
      <c r="N194" s="230">
        <f t="shared" si="87"/>
        <v>64.370967046043916</v>
      </c>
      <c r="O194" s="230">
        <f t="shared" si="87"/>
        <v>65.504881335977643</v>
      </c>
      <c r="P194" s="230">
        <f t="shared" si="87"/>
        <v>66.491039279329641</v>
      </c>
      <c r="Q194" s="230">
        <f t="shared" si="87"/>
        <v>67.310408697349686</v>
      </c>
      <c r="R194" s="230">
        <f t="shared" si="87"/>
        <v>67.954291315756066</v>
      </c>
      <c r="S194" s="230">
        <f t="shared" si="87"/>
        <v>68.543767179081883</v>
      </c>
      <c r="T194" s="230">
        <f t="shared" si="87"/>
        <v>69.085239935008502</v>
      </c>
      <c r="U194" s="230">
        <f t="shared" si="87"/>
        <v>69.588112438215333</v>
      </c>
      <c r="V194" s="230">
        <f t="shared" si="87"/>
        <v>70.061487625210532</v>
      </c>
      <c r="W194" s="230">
        <f t="shared" si="87"/>
        <v>70.511569675548728</v>
      </c>
      <c r="X194" s="230">
        <f t="shared" si="87"/>
        <v>70.480400950309132</v>
      </c>
      <c r="Y194" s="230">
        <f t="shared" si="87"/>
        <v>70.406222070422146</v>
      </c>
      <c r="Z194" s="230">
        <f t="shared" si="87"/>
        <v>70.304248569776036</v>
      </c>
      <c r="AA194" s="230">
        <f t="shared" si="87"/>
        <v>70.144318540356295</v>
      </c>
      <c r="AB194" s="230">
        <f t="shared" si="87"/>
        <v>69.917343647636997</v>
      </c>
      <c r="AC194" s="230">
        <f t="shared" si="87"/>
        <v>69.614511709832328</v>
      </c>
      <c r="AD194" s="230">
        <f t="shared" si="87"/>
        <v>69.22700633049439</v>
      </c>
      <c r="AE194" s="230">
        <f t="shared" si="87"/>
        <v>68.748492538364928</v>
      </c>
      <c r="AF194" s="230">
        <f t="shared" si="87"/>
        <v>68.109063530114554</v>
      </c>
      <c r="AG194" s="230">
        <f t="shared" si="87"/>
        <v>67.257178653495458</v>
      </c>
      <c r="AJ194" s="325"/>
    </row>
    <row r="195" spans="1:36" s="230" customFormat="1">
      <c r="A195" s="326"/>
      <c r="B195" s="324"/>
      <c r="AJ195" s="325"/>
    </row>
    <row r="196" spans="1:36" s="230" customFormat="1">
      <c r="A196" s="325" t="s">
        <v>1413</v>
      </c>
      <c r="B196" s="324" t="s">
        <v>704</v>
      </c>
      <c r="C196" s="327">
        <f>C116*C115*C36</f>
        <v>13.224230553397163</v>
      </c>
      <c r="D196" s="327">
        <f t="shared" ref="D196:AG196" si="88">D116*D115*D36</f>
        <v>13.87571358917844</v>
      </c>
      <c r="E196" s="327">
        <f t="shared" si="88"/>
        <v>14.593565660335432</v>
      </c>
      <c r="F196" s="327">
        <f t="shared" si="88"/>
        <v>15.387514562989441</v>
      </c>
      <c r="G196" s="327">
        <f t="shared" si="88"/>
        <v>16.267810256357322</v>
      </c>
      <c r="H196" s="327">
        <f t="shared" si="88"/>
        <v>17.245163779168511</v>
      </c>
      <c r="I196" s="327">
        <f t="shared" si="88"/>
        <v>18.166259323819361</v>
      </c>
      <c r="J196" s="327">
        <f t="shared" si="88"/>
        <v>19.135099018353955</v>
      </c>
      <c r="K196" s="327">
        <f t="shared" si="88"/>
        <v>20.154736232547101</v>
      </c>
      <c r="L196" s="327">
        <f t="shared" si="88"/>
        <v>21.228389799495591</v>
      </c>
      <c r="M196" s="327">
        <f t="shared" si="88"/>
        <v>22.359448986373842</v>
      </c>
      <c r="N196" s="327">
        <f t="shared" si="88"/>
        <v>23.057929229816065</v>
      </c>
      <c r="O196" s="327">
        <f t="shared" si="88"/>
        <v>23.823179404957394</v>
      </c>
      <c r="P196" s="327">
        <f t="shared" si="88"/>
        <v>24.663042316489083</v>
      </c>
      <c r="Q196" s="327">
        <f t="shared" si="88"/>
        <v>25.585495415627722</v>
      </c>
      <c r="R196" s="327">
        <f t="shared" si="88"/>
        <v>26.598595020949496</v>
      </c>
      <c r="S196" s="327">
        <f t="shared" si="88"/>
        <v>27.600254003826471</v>
      </c>
      <c r="T196" s="327">
        <f t="shared" si="88"/>
        <v>28.631356229482932</v>
      </c>
      <c r="U196" s="327">
        <f t="shared" si="88"/>
        <v>29.692872463846175</v>
      </c>
      <c r="V196" s="327">
        <f t="shared" si="88"/>
        <v>30.785802606736382</v>
      </c>
      <c r="W196" s="327">
        <f t="shared" si="88"/>
        <v>31.911176259536898</v>
      </c>
      <c r="X196" s="327">
        <f t="shared" si="88"/>
        <v>33.023807699924355</v>
      </c>
      <c r="Y196" s="327">
        <f t="shared" si="88"/>
        <v>34.167373640729984</v>
      </c>
      <c r="Z196" s="327">
        <f t="shared" si="88"/>
        <v>35.342836415650481</v>
      </c>
      <c r="AA196" s="327">
        <f t="shared" si="88"/>
        <v>36.551185678984687</v>
      </c>
      <c r="AB196" s="327">
        <f t="shared" si="88"/>
        <v>37.793438910504861</v>
      </c>
      <c r="AC196" s="327">
        <f t="shared" si="88"/>
        <v>39.021741550619815</v>
      </c>
      <c r="AD196" s="327">
        <f t="shared" si="88"/>
        <v>40.282447577217262</v>
      </c>
      <c r="AE196" s="327">
        <f t="shared" si="88"/>
        <v>41.576511316663549</v>
      </c>
      <c r="AF196" s="327">
        <f t="shared" si="88"/>
        <v>42.904912806926838</v>
      </c>
      <c r="AG196" s="327">
        <f t="shared" si="88"/>
        <v>44.268658249552509</v>
      </c>
      <c r="AJ196" s="325"/>
    </row>
    <row r="197" spans="1:36" s="230" customFormat="1">
      <c r="A197" s="230" t="s">
        <v>1414</v>
      </c>
      <c r="B197" s="324" t="s">
        <v>704</v>
      </c>
      <c r="C197" s="327">
        <f>C117*C115*C36</f>
        <v>46.885908325680859</v>
      </c>
      <c r="D197" s="327">
        <f t="shared" ref="D197:AG197" si="89">D117*D115*D36</f>
        <v>47.34066989249115</v>
      </c>
      <c r="E197" s="327">
        <f t="shared" si="89"/>
        <v>47.950287169673572</v>
      </c>
      <c r="F197" s="327">
        <f t="shared" si="89"/>
        <v>48.727129449466567</v>
      </c>
      <c r="G197" s="327">
        <f t="shared" si="89"/>
        <v>49.682771864010213</v>
      </c>
      <c r="H197" s="327">
        <f t="shared" si="89"/>
        <v>50.827851138601936</v>
      </c>
      <c r="I197" s="327">
        <f t="shared" si="89"/>
        <v>51.703968844716655</v>
      </c>
      <c r="J197" s="327">
        <f t="shared" si="89"/>
        <v>52.621522300473387</v>
      </c>
      <c r="K197" s="327">
        <f t="shared" si="89"/>
        <v>53.582103642625242</v>
      </c>
      <c r="L197" s="327">
        <f t="shared" si="89"/>
        <v>54.587288055845832</v>
      </c>
      <c r="M197" s="327">
        <f t="shared" si="89"/>
        <v>55.638628873069813</v>
      </c>
      <c r="N197" s="327">
        <f t="shared" si="89"/>
        <v>55.548647690011457</v>
      </c>
      <c r="O197" s="327">
        <f t="shared" si="89"/>
        <v>55.58741861156728</v>
      </c>
      <c r="P197" s="327">
        <f t="shared" si="89"/>
        <v>55.75992175901883</v>
      </c>
      <c r="Q197" s="327">
        <f t="shared" si="89"/>
        <v>56.070341017226745</v>
      </c>
      <c r="R197" s="327">
        <f t="shared" si="89"/>
        <v>56.522014419517724</v>
      </c>
      <c r="S197" s="327">
        <f t="shared" si="89"/>
        <v>56.890319477275028</v>
      </c>
      <c r="T197" s="327">
        <f t="shared" si="89"/>
        <v>57.262712458965908</v>
      </c>
      <c r="U197" s="327">
        <f t="shared" si="89"/>
        <v>57.639105370995551</v>
      </c>
      <c r="V197" s="327">
        <f t="shared" si="89"/>
        <v>58.019397220387845</v>
      </c>
      <c r="W197" s="327">
        <f t="shared" si="89"/>
        <v>58.403473531605336</v>
      </c>
      <c r="X197" s="327">
        <f t="shared" si="89"/>
        <v>58.70899146653224</v>
      </c>
      <c r="Y197" s="327">
        <f t="shared" si="89"/>
        <v>59.016372652170027</v>
      </c>
      <c r="Z197" s="327">
        <f t="shared" si="89"/>
        <v>59.325475411984804</v>
      </c>
      <c r="AA197" s="327">
        <f t="shared" si="89"/>
        <v>59.636145055185622</v>
      </c>
      <c r="AB197" s="327">
        <f t="shared" si="89"/>
        <v>59.948213444249163</v>
      </c>
      <c r="AC197" s="327">
        <f t="shared" si="89"/>
        <v>60.186075950956059</v>
      </c>
      <c r="AD197" s="327">
        <f t="shared" si="89"/>
        <v>60.423671365825967</v>
      </c>
      <c r="AE197" s="327">
        <f t="shared" si="89"/>
        <v>60.660811593164937</v>
      </c>
      <c r="AF197" s="327">
        <f t="shared" si="89"/>
        <v>60.897295596928494</v>
      </c>
      <c r="AG197" s="327">
        <f t="shared" si="89"/>
        <v>61.132909011286813</v>
      </c>
      <c r="AJ197" s="325"/>
    </row>
    <row r="198" spans="1:36" s="230" customFormat="1">
      <c r="B198" s="324"/>
      <c r="C198" s="317"/>
      <c r="D198" s="317"/>
      <c r="E198" s="317"/>
      <c r="F198" s="317"/>
      <c r="G198" s="317"/>
      <c r="H198" s="317"/>
      <c r="I198" s="317"/>
      <c r="J198" s="317"/>
      <c r="K198" s="317"/>
      <c r="L198" s="317"/>
      <c r="M198" s="317"/>
      <c r="N198" s="317"/>
      <c r="O198" s="317"/>
      <c r="P198" s="317"/>
      <c r="Q198" s="317"/>
      <c r="R198" s="317"/>
      <c r="S198" s="317"/>
      <c r="T198" s="317"/>
      <c r="U198" s="317"/>
      <c r="V198" s="317"/>
      <c r="W198" s="317"/>
      <c r="X198" s="317"/>
      <c r="Y198" s="317"/>
      <c r="Z198" s="317"/>
      <c r="AA198" s="317"/>
      <c r="AB198" s="317"/>
      <c r="AC198" s="317"/>
      <c r="AD198" s="317"/>
      <c r="AE198" s="317"/>
      <c r="AF198" s="317"/>
      <c r="AG198" s="317"/>
      <c r="AJ198" s="325"/>
    </row>
    <row r="199" spans="1:36" s="230" customFormat="1">
      <c r="A199" s="351" t="s">
        <v>233</v>
      </c>
      <c r="B199" s="352" t="s">
        <v>704</v>
      </c>
      <c r="C199" s="304">
        <f>C177-C190-C192</f>
        <v>9.9134984978047527</v>
      </c>
      <c r="D199" s="353">
        <f t="shared" ref="D199:AF199" si="90">D177-D190-D192</f>
        <v>10.758684902091741</v>
      </c>
      <c r="E199" s="353">
        <f t="shared" si="90"/>
        <v>11.614490321814387</v>
      </c>
      <c r="F199" s="353">
        <f t="shared" si="90"/>
        <v>12.475459134209812</v>
      </c>
      <c r="G199" s="353">
        <f t="shared" si="90"/>
        <v>13.335819604112976</v>
      </c>
      <c r="H199" s="353">
        <f t="shared" si="90"/>
        <v>14.189515136445753</v>
      </c>
      <c r="I199" s="353">
        <f t="shared" si="90"/>
        <v>15.062640510278248</v>
      </c>
      <c r="J199" s="353">
        <f t="shared" si="90"/>
        <v>15.954051662954013</v>
      </c>
      <c r="K199" s="353">
        <f t="shared" si="90"/>
        <v>16.862113154742119</v>
      </c>
      <c r="L199" s="353">
        <f t="shared" si="90"/>
        <v>17.784379210850247</v>
      </c>
      <c r="M199" s="353">
        <f t="shared" si="90"/>
        <v>18.717017227111704</v>
      </c>
      <c r="N199" s="353">
        <f t="shared" si="90"/>
        <v>19.160837128188707</v>
      </c>
      <c r="O199" s="353">
        <f t="shared" si="90"/>
        <v>19.546487647953601</v>
      </c>
      <c r="P199" s="353">
        <f t="shared" si="90"/>
        <v>19.864700469035679</v>
      </c>
      <c r="Q199" s="353">
        <f t="shared" si="90"/>
        <v>20.10683052711148</v>
      </c>
      <c r="R199" s="353">
        <f t="shared" si="90"/>
        <v>20.268300354602246</v>
      </c>
      <c r="S199" s="353">
        <f t="shared" si="90"/>
        <v>20.387167368356273</v>
      </c>
      <c r="T199" s="353">
        <f t="shared" si="90"/>
        <v>20.470652503463818</v>
      </c>
      <c r="U199" s="353">
        <f t="shared" si="90"/>
        <v>20.528991065929088</v>
      </c>
      <c r="V199" s="353">
        <f t="shared" si="90"/>
        <v>20.572133273762791</v>
      </c>
      <c r="W199" s="353">
        <f t="shared" si="90"/>
        <v>20.607145062381637</v>
      </c>
      <c r="X199" s="353">
        <f t="shared" si="90"/>
        <v>19.935808372210953</v>
      </c>
      <c r="Y199" s="353">
        <f t="shared" si="90"/>
        <v>19.238884082957398</v>
      </c>
      <c r="Z199" s="353">
        <f t="shared" si="90"/>
        <v>18.514266302393427</v>
      </c>
      <c r="AA199" s="353">
        <f t="shared" si="90"/>
        <v>17.751332531901312</v>
      </c>
      <c r="AB199" s="353">
        <f t="shared" si="90"/>
        <v>16.942476028501336</v>
      </c>
      <c r="AC199" s="353">
        <f t="shared" si="90"/>
        <v>16.079888954024842</v>
      </c>
      <c r="AD199" s="353">
        <f t="shared" si="90"/>
        <v>15.156277821058803</v>
      </c>
      <c r="AE199" s="353">
        <f t="shared" si="90"/>
        <v>14.16685968934819</v>
      </c>
      <c r="AF199" s="353">
        <f t="shared" si="90"/>
        <v>13.704764856129492</v>
      </c>
      <c r="AG199" s="354">
        <f>AG177-AG190-AG192</f>
        <v>14.026569826394839</v>
      </c>
      <c r="AI199" s="230" t="s">
        <v>1415</v>
      </c>
      <c r="AJ199" s="325"/>
    </row>
    <row r="200" spans="1:36" s="230" customFormat="1">
      <c r="A200" s="355" t="s">
        <v>234</v>
      </c>
      <c r="B200" s="356" t="s">
        <v>704</v>
      </c>
      <c r="C200" s="357">
        <f>C178+C199</f>
        <v>71.728753660641544</v>
      </c>
      <c r="D200" s="357">
        <f t="shared" ref="D200:AG200" si="91">D178+D199</f>
        <v>74.13668198239219</v>
      </c>
      <c r="E200" s="357">
        <f t="shared" si="91"/>
        <v>76.417951701088924</v>
      </c>
      <c r="F200" s="357">
        <f t="shared" si="91"/>
        <v>78.556228238059788</v>
      </c>
      <c r="G200" s="357">
        <f t="shared" si="91"/>
        <v>80.535855513784895</v>
      </c>
      <c r="H200" s="357">
        <f t="shared" si="91"/>
        <v>82.34201447572535</v>
      </c>
      <c r="I200" s="357">
        <f t="shared" si="91"/>
        <v>84.1419882410338</v>
      </c>
      <c r="J200" s="357">
        <f t="shared" si="91"/>
        <v>85.933115334243865</v>
      </c>
      <c r="K200" s="357">
        <f t="shared" si="91"/>
        <v>87.712262598935567</v>
      </c>
      <c r="L200" s="357">
        <f t="shared" si="91"/>
        <v>89.475510033999058</v>
      </c>
      <c r="M200" s="357">
        <f t="shared" si="91"/>
        <v>91.217578102625623</v>
      </c>
      <c r="N200" s="357">
        <f t="shared" si="91"/>
        <v>92.33301680967844</v>
      </c>
      <c r="O200" s="357">
        <f t="shared" si="91"/>
        <v>93.248117412134491</v>
      </c>
      <c r="P200" s="357">
        <f t="shared" si="91"/>
        <v>93.958449446817951</v>
      </c>
      <c r="Q200" s="357">
        <f t="shared" si="91"/>
        <v>94.444341818828775</v>
      </c>
      <c r="R200" s="357">
        <f t="shared" si="91"/>
        <v>94.699351514555715</v>
      </c>
      <c r="S200" s="357">
        <f t="shared" si="91"/>
        <v>94.894569371835061</v>
      </c>
      <c r="T200" s="357">
        <f t="shared" si="91"/>
        <v>95.037053182486034</v>
      </c>
      <c r="U200" s="357">
        <f t="shared" si="91"/>
        <v>95.136883881299894</v>
      </c>
      <c r="V200" s="357">
        <f t="shared" si="91"/>
        <v>95.203866300384945</v>
      </c>
      <c r="W200" s="357">
        <f t="shared" si="91"/>
        <v>95.244930182671212</v>
      </c>
      <c r="X200" s="357">
        <f t="shared" si="91"/>
        <v>94.56255263283515</v>
      </c>
      <c r="Y200" s="357">
        <f t="shared" si="91"/>
        <v>93.837377610496404</v>
      </c>
      <c r="Z200" s="357">
        <f t="shared" si="91"/>
        <v>93.092469417466731</v>
      </c>
      <c r="AA200" s="357">
        <f t="shared" si="91"/>
        <v>92.291779096266964</v>
      </c>
      <c r="AB200" s="357">
        <f t="shared" si="91"/>
        <v>91.427591529281614</v>
      </c>
      <c r="AC200" s="357">
        <f t="shared" si="91"/>
        <v>90.492703017812502</v>
      </c>
      <c r="AD200" s="357">
        <f t="shared" si="91"/>
        <v>89.479728255062682</v>
      </c>
      <c r="AE200" s="357">
        <f t="shared" si="91"/>
        <v>88.383800824952687</v>
      </c>
      <c r="AF200" s="357">
        <f t="shared" si="91"/>
        <v>87.136519605900787</v>
      </c>
      <c r="AG200" s="358">
        <f t="shared" si="91"/>
        <v>85.68788637678891</v>
      </c>
      <c r="AI200" s="230" t="s">
        <v>1416</v>
      </c>
      <c r="AJ200" s="325"/>
    </row>
  </sheetData>
  <mergeCells count="2">
    <mergeCell ref="BD70:BE70"/>
    <mergeCell ref="AI170:AI178"/>
  </mergeCells>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2399-A3CA-483C-BA0E-B2BC68C205E5}">
  <sheetPr>
    <tabColor theme="4"/>
  </sheetPr>
  <dimension ref="A1:BL226"/>
  <sheetViews>
    <sheetView topLeftCell="A78" zoomScale="70" zoomScaleNormal="70" workbookViewId="0">
      <selection activeCell="A20" sqref="A20"/>
    </sheetView>
  </sheetViews>
  <sheetFormatPr baseColWidth="10" defaultColWidth="8.83203125" defaultRowHeight="15" outlineLevelRow="2" outlineLevelCol="1"/>
  <cols>
    <col min="1" max="1" width="56.66406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1463</v>
      </c>
      <c r="B21" s="54" t="s">
        <v>462</v>
      </c>
      <c r="C21" s="110">
        <f>'Overall recycling rates'!D76</f>
        <v>0.22178989519762488</v>
      </c>
      <c r="D21" s="110">
        <f>C21</f>
        <v>0.22178989519762488</v>
      </c>
      <c r="E21" s="110">
        <f t="shared" ref="E21:AF22" si="10">D21</f>
        <v>0.22178989519762488</v>
      </c>
      <c r="F21" s="110">
        <f t="shared" si="10"/>
        <v>0.22178989519762488</v>
      </c>
      <c r="G21" s="110">
        <f t="shared" si="10"/>
        <v>0.22178989519762488</v>
      </c>
      <c r="H21" s="110">
        <f t="shared" si="10"/>
        <v>0.22178989519762488</v>
      </c>
      <c r="I21" s="110">
        <f t="shared" si="10"/>
        <v>0.22178989519762488</v>
      </c>
      <c r="J21" s="110">
        <f t="shared" si="10"/>
        <v>0.22178989519762488</v>
      </c>
      <c r="K21" s="110">
        <f t="shared" si="10"/>
        <v>0.22178989519762488</v>
      </c>
      <c r="L21" s="110">
        <f t="shared" si="10"/>
        <v>0.22178989519762488</v>
      </c>
      <c r="M21" s="110">
        <f t="shared" si="10"/>
        <v>0.22178989519762488</v>
      </c>
      <c r="N21" s="110">
        <f t="shared" si="10"/>
        <v>0.22178989519762488</v>
      </c>
      <c r="O21" s="110">
        <f t="shared" si="10"/>
        <v>0.22178989519762488</v>
      </c>
      <c r="P21" s="110">
        <f t="shared" si="10"/>
        <v>0.22178989519762488</v>
      </c>
      <c r="Q21" s="110">
        <f t="shared" si="10"/>
        <v>0.22178989519762488</v>
      </c>
      <c r="R21" s="110">
        <f t="shared" si="10"/>
        <v>0.22178989519762488</v>
      </c>
      <c r="S21" s="110">
        <f t="shared" si="10"/>
        <v>0.22178989519762488</v>
      </c>
      <c r="T21" s="110">
        <f t="shared" si="10"/>
        <v>0.22178989519762488</v>
      </c>
      <c r="U21" s="110">
        <f t="shared" si="10"/>
        <v>0.22178989519762488</v>
      </c>
      <c r="V21" s="110">
        <f t="shared" si="10"/>
        <v>0.22178989519762488</v>
      </c>
      <c r="W21" s="110">
        <f t="shared" si="10"/>
        <v>0.22178989519762488</v>
      </c>
      <c r="X21" s="110">
        <f t="shared" si="10"/>
        <v>0.22178989519762488</v>
      </c>
      <c r="Y21" s="110">
        <f t="shared" si="10"/>
        <v>0.22178989519762488</v>
      </c>
      <c r="Z21" s="110">
        <f t="shared" si="10"/>
        <v>0.22178989519762488</v>
      </c>
      <c r="AA21" s="110">
        <f t="shared" si="10"/>
        <v>0.22178989519762488</v>
      </c>
      <c r="AB21" s="110">
        <f t="shared" si="10"/>
        <v>0.22178989519762488</v>
      </c>
      <c r="AC21" s="110">
        <f t="shared" si="10"/>
        <v>0.22178989519762488</v>
      </c>
      <c r="AD21" s="110">
        <f t="shared" si="10"/>
        <v>0.22178989519762488</v>
      </c>
      <c r="AE21" s="110">
        <f t="shared" si="10"/>
        <v>0.22178989519762488</v>
      </c>
      <c r="AF21" s="110">
        <f t="shared" si="10"/>
        <v>0.22178989519762488</v>
      </c>
      <c r="AG21" s="110">
        <f>AF21</f>
        <v>0.22178989519762488</v>
      </c>
      <c r="AI21" s="54" t="s">
        <v>1263</v>
      </c>
      <c r="AJ21" s="211"/>
      <c r="AM21" s="115"/>
      <c r="AN21" s="115"/>
      <c r="AO21" s="115"/>
      <c r="AP21" s="115"/>
      <c r="AQ21" s="115"/>
    </row>
    <row r="22" spans="1:64" outlineLevel="1">
      <c r="A22" t="s">
        <v>1464</v>
      </c>
      <c r="B22" s="54" t="s">
        <v>462</v>
      </c>
      <c r="C22" s="110">
        <f>'Overall recycling rates'!D78</f>
        <v>0.56901109754749091</v>
      </c>
      <c r="D22" s="110">
        <f t="shared" ref="D22:S25" si="11">C22</f>
        <v>0.56901109754749091</v>
      </c>
      <c r="E22" s="110">
        <f t="shared" si="11"/>
        <v>0.56901109754749091</v>
      </c>
      <c r="F22" s="110">
        <f t="shared" si="11"/>
        <v>0.56901109754749091</v>
      </c>
      <c r="G22" s="110">
        <f t="shared" si="11"/>
        <v>0.56901109754749091</v>
      </c>
      <c r="H22" s="110">
        <f t="shared" si="11"/>
        <v>0.56901109754749091</v>
      </c>
      <c r="I22" s="110">
        <f t="shared" si="11"/>
        <v>0.56901109754749091</v>
      </c>
      <c r="J22" s="110">
        <f t="shared" si="11"/>
        <v>0.56901109754749091</v>
      </c>
      <c r="K22" s="110">
        <f t="shared" si="11"/>
        <v>0.56901109754749091</v>
      </c>
      <c r="L22" s="110">
        <f t="shared" si="11"/>
        <v>0.56901109754749091</v>
      </c>
      <c r="M22" s="110">
        <f t="shared" si="11"/>
        <v>0.56901109754749091</v>
      </c>
      <c r="N22" s="110">
        <f t="shared" si="11"/>
        <v>0.56901109754749091</v>
      </c>
      <c r="O22" s="110">
        <f t="shared" si="11"/>
        <v>0.56901109754749091</v>
      </c>
      <c r="P22" s="110">
        <f t="shared" si="11"/>
        <v>0.56901109754749091</v>
      </c>
      <c r="Q22" s="110">
        <f t="shared" si="11"/>
        <v>0.56901109754749091</v>
      </c>
      <c r="R22" s="110">
        <f t="shared" si="11"/>
        <v>0.56901109754749091</v>
      </c>
      <c r="S22" s="110">
        <f t="shared" si="11"/>
        <v>0.56901109754749091</v>
      </c>
      <c r="T22" s="110">
        <f t="shared" si="10"/>
        <v>0.56901109754749091</v>
      </c>
      <c r="U22" s="110">
        <f t="shared" si="10"/>
        <v>0.56901109754749091</v>
      </c>
      <c r="V22" s="110">
        <f t="shared" si="10"/>
        <v>0.56901109754749091</v>
      </c>
      <c r="W22" s="110">
        <f t="shared" si="10"/>
        <v>0.56901109754749091</v>
      </c>
      <c r="X22" s="110">
        <f t="shared" si="10"/>
        <v>0.56901109754749091</v>
      </c>
      <c r="Y22" s="110">
        <f t="shared" si="10"/>
        <v>0.56901109754749091</v>
      </c>
      <c r="Z22" s="110">
        <f t="shared" si="10"/>
        <v>0.56901109754749091</v>
      </c>
      <c r="AA22" s="110">
        <f t="shared" si="10"/>
        <v>0.56901109754749091</v>
      </c>
      <c r="AB22" s="110">
        <f t="shared" si="10"/>
        <v>0.56901109754749091</v>
      </c>
      <c r="AC22" s="110">
        <f t="shared" si="10"/>
        <v>0.56901109754749091</v>
      </c>
      <c r="AD22" s="110">
        <f t="shared" si="10"/>
        <v>0.56901109754749091</v>
      </c>
      <c r="AE22" s="110">
        <f t="shared" si="10"/>
        <v>0.56901109754749091</v>
      </c>
      <c r="AF22" s="110">
        <f t="shared" si="10"/>
        <v>0.56901109754749091</v>
      </c>
      <c r="AG22" s="110">
        <f t="shared" ref="T22:AG25" si="12">AF22</f>
        <v>0.56901109754749091</v>
      </c>
      <c r="AI22" s="54" t="s">
        <v>1263</v>
      </c>
      <c r="AJ22" s="211"/>
      <c r="AM22" s="120"/>
      <c r="AN22" s="115"/>
      <c r="AO22" s="116"/>
      <c r="AP22" s="117"/>
      <c r="AQ22" s="116"/>
    </row>
    <row r="23" spans="1:64" outlineLevel="1">
      <c r="A23" t="s">
        <v>1465</v>
      </c>
      <c r="B23" s="54" t="s">
        <v>462</v>
      </c>
      <c r="C23" s="110">
        <f>'Overall recycling rates'!D77</f>
        <v>0.18333362189931796</v>
      </c>
      <c r="D23" s="110">
        <f t="shared" si="11"/>
        <v>0.18333362189931796</v>
      </c>
      <c r="E23" s="110">
        <f t="shared" si="11"/>
        <v>0.18333362189931796</v>
      </c>
      <c r="F23" s="110">
        <f t="shared" si="11"/>
        <v>0.18333362189931796</v>
      </c>
      <c r="G23" s="110">
        <f t="shared" si="11"/>
        <v>0.18333362189931796</v>
      </c>
      <c r="H23" s="110">
        <f t="shared" si="11"/>
        <v>0.18333362189931796</v>
      </c>
      <c r="I23" s="110">
        <f t="shared" si="11"/>
        <v>0.18333362189931796</v>
      </c>
      <c r="J23" s="110">
        <f t="shared" si="11"/>
        <v>0.18333362189931796</v>
      </c>
      <c r="K23" s="110">
        <f t="shared" si="11"/>
        <v>0.18333362189931796</v>
      </c>
      <c r="L23" s="110">
        <f t="shared" si="11"/>
        <v>0.18333362189931796</v>
      </c>
      <c r="M23" s="110">
        <f t="shared" si="11"/>
        <v>0.18333362189931796</v>
      </c>
      <c r="N23" s="110">
        <f t="shared" si="11"/>
        <v>0.18333362189931796</v>
      </c>
      <c r="O23" s="110">
        <f t="shared" si="11"/>
        <v>0.18333362189931796</v>
      </c>
      <c r="P23" s="110">
        <f t="shared" si="11"/>
        <v>0.18333362189931796</v>
      </c>
      <c r="Q23" s="110">
        <f t="shared" si="11"/>
        <v>0.18333362189931796</v>
      </c>
      <c r="R23" s="110">
        <f t="shared" si="11"/>
        <v>0.18333362189931796</v>
      </c>
      <c r="S23" s="110">
        <f t="shared" si="11"/>
        <v>0.18333362189931796</v>
      </c>
      <c r="T23" s="110">
        <f t="shared" si="12"/>
        <v>0.18333362189931796</v>
      </c>
      <c r="U23" s="110">
        <f t="shared" si="12"/>
        <v>0.18333362189931796</v>
      </c>
      <c r="V23" s="110">
        <f t="shared" si="12"/>
        <v>0.18333362189931796</v>
      </c>
      <c r="W23" s="110">
        <f t="shared" si="12"/>
        <v>0.18333362189931796</v>
      </c>
      <c r="X23" s="110">
        <f t="shared" si="12"/>
        <v>0.18333362189931796</v>
      </c>
      <c r="Y23" s="110">
        <f t="shared" si="12"/>
        <v>0.18333362189931796</v>
      </c>
      <c r="Z23" s="110">
        <f t="shared" si="12"/>
        <v>0.18333362189931796</v>
      </c>
      <c r="AA23" s="110">
        <f t="shared" si="12"/>
        <v>0.18333362189931796</v>
      </c>
      <c r="AB23" s="110">
        <f t="shared" si="12"/>
        <v>0.18333362189931796</v>
      </c>
      <c r="AC23" s="110">
        <f t="shared" si="12"/>
        <v>0.18333362189931796</v>
      </c>
      <c r="AD23" s="110">
        <f t="shared" si="12"/>
        <v>0.18333362189931796</v>
      </c>
      <c r="AE23" s="110">
        <f t="shared" si="12"/>
        <v>0.18333362189931796</v>
      </c>
      <c r="AF23" s="110">
        <f t="shared" si="12"/>
        <v>0.18333362189931796</v>
      </c>
      <c r="AG23" s="110">
        <f t="shared" si="12"/>
        <v>0.18333362189931796</v>
      </c>
      <c r="AI23" s="54" t="s">
        <v>1263</v>
      </c>
      <c r="AJ23" s="211"/>
      <c r="AM23" s="120"/>
      <c r="AN23" s="115"/>
      <c r="AO23" s="116"/>
      <c r="AP23" s="117"/>
      <c r="AQ23" s="116"/>
    </row>
    <row r="24" spans="1:64" outlineLevel="1">
      <c r="A24" t="s">
        <v>1466</v>
      </c>
      <c r="B24" s="54" t="s">
        <v>462</v>
      </c>
      <c r="C24" s="110">
        <f>'Overall recycling rates'!D79</f>
        <v>1.9541639980703622E-2</v>
      </c>
      <c r="D24" s="110">
        <f t="shared" si="11"/>
        <v>1.9541639980703622E-2</v>
      </c>
      <c r="E24" s="110">
        <f t="shared" si="11"/>
        <v>1.9541639980703622E-2</v>
      </c>
      <c r="F24" s="110">
        <f t="shared" si="11"/>
        <v>1.9541639980703622E-2</v>
      </c>
      <c r="G24" s="110">
        <f t="shared" si="11"/>
        <v>1.9541639980703622E-2</v>
      </c>
      <c r="H24" s="110">
        <f t="shared" si="11"/>
        <v>1.9541639980703622E-2</v>
      </c>
      <c r="I24" s="110">
        <f t="shared" si="11"/>
        <v>1.9541639980703622E-2</v>
      </c>
      <c r="J24" s="110">
        <f t="shared" si="11"/>
        <v>1.9541639980703622E-2</v>
      </c>
      <c r="K24" s="110">
        <f t="shared" si="11"/>
        <v>1.9541639980703622E-2</v>
      </c>
      <c r="L24" s="110">
        <f t="shared" si="11"/>
        <v>1.9541639980703622E-2</v>
      </c>
      <c r="M24" s="110">
        <f t="shared" si="11"/>
        <v>1.9541639980703622E-2</v>
      </c>
      <c r="N24" s="110">
        <f t="shared" si="11"/>
        <v>1.9541639980703622E-2</v>
      </c>
      <c r="O24" s="110">
        <f t="shared" si="11"/>
        <v>1.9541639980703622E-2</v>
      </c>
      <c r="P24" s="110">
        <f t="shared" si="11"/>
        <v>1.9541639980703622E-2</v>
      </c>
      <c r="Q24" s="110">
        <f t="shared" si="11"/>
        <v>1.9541639980703622E-2</v>
      </c>
      <c r="R24" s="110">
        <f t="shared" si="11"/>
        <v>1.9541639980703622E-2</v>
      </c>
      <c r="S24" s="110">
        <f t="shared" si="11"/>
        <v>1.9541639980703622E-2</v>
      </c>
      <c r="T24" s="110">
        <f t="shared" si="12"/>
        <v>1.9541639980703622E-2</v>
      </c>
      <c r="U24" s="110">
        <f t="shared" si="12"/>
        <v>1.9541639980703622E-2</v>
      </c>
      <c r="V24" s="110">
        <f t="shared" si="12"/>
        <v>1.9541639980703622E-2</v>
      </c>
      <c r="W24" s="110">
        <f t="shared" si="12"/>
        <v>1.9541639980703622E-2</v>
      </c>
      <c r="X24" s="110">
        <f t="shared" si="12"/>
        <v>1.9541639980703622E-2</v>
      </c>
      <c r="Y24" s="110">
        <f t="shared" si="12"/>
        <v>1.9541639980703622E-2</v>
      </c>
      <c r="Z24" s="110">
        <f t="shared" si="12"/>
        <v>1.9541639980703622E-2</v>
      </c>
      <c r="AA24" s="110">
        <f t="shared" si="12"/>
        <v>1.9541639980703622E-2</v>
      </c>
      <c r="AB24" s="110">
        <f t="shared" si="12"/>
        <v>1.9541639980703622E-2</v>
      </c>
      <c r="AC24" s="110">
        <f t="shared" si="12"/>
        <v>1.9541639980703622E-2</v>
      </c>
      <c r="AD24" s="110">
        <f t="shared" si="12"/>
        <v>1.9541639980703622E-2</v>
      </c>
      <c r="AE24" s="110">
        <f t="shared" si="12"/>
        <v>1.9541639980703622E-2</v>
      </c>
      <c r="AF24" s="110">
        <f t="shared" si="12"/>
        <v>1.9541639980703622E-2</v>
      </c>
      <c r="AG24" s="110">
        <f t="shared" si="12"/>
        <v>1.9541639980703622E-2</v>
      </c>
      <c r="AI24" s="54" t="s">
        <v>1467</v>
      </c>
      <c r="AJ24" s="211"/>
      <c r="AM24" s="120"/>
      <c r="AN24" s="115"/>
      <c r="AO24" s="116"/>
      <c r="AP24" s="117"/>
      <c r="AQ24" s="116"/>
    </row>
    <row r="25" spans="1:64" outlineLevel="1">
      <c r="A25" t="s">
        <v>1468</v>
      </c>
      <c r="B25" s="54" t="s">
        <v>462</v>
      </c>
      <c r="C25" s="110">
        <f>'Overall recycling rates'!D80</f>
        <v>0.33739166064714576</v>
      </c>
      <c r="D25" s="110">
        <f>C25</f>
        <v>0.33739166064714576</v>
      </c>
      <c r="E25" s="110">
        <f t="shared" si="11"/>
        <v>0.33739166064714576</v>
      </c>
      <c r="F25" s="110">
        <f t="shared" si="11"/>
        <v>0.33739166064714576</v>
      </c>
      <c r="G25" s="110">
        <f t="shared" si="11"/>
        <v>0.33739166064714576</v>
      </c>
      <c r="H25" s="110">
        <f t="shared" si="11"/>
        <v>0.33739166064714576</v>
      </c>
      <c r="I25" s="110">
        <f t="shared" si="11"/>
        <v>0.33739166064714576</v>
      </c>
      <c r="J25" s="110">
        <f t="shared" si="11"/>
        <v>0.33739166064714576</v>
      </c>
      <c r="K25" s="110">
        <f t="shared" si="11"/>
        <v>0.33739166064714576</v>
      </c>
      <c r="L25" s="110">
        <f t="shared" si="11"/>
        <v>0.33739166064714576</v>
      </c>
      <c r="M25" s="110">
        <f t="shared" si="11"/>
        <v>0.33739166064714576</v>
      </c>
      <c r="N25" s="110">
        <f t="shared" si="11"/>
        <v>0.33739166064714576</v>
      </c>
      <c r="O25" s="110">
        <f t="shared" si="11"/>
        <v>0.33739166064714576</v>
      </c>
      <c r="P25" s="110">
        <f t="shared" si="11"/>
        <v>0.33739166064714576</v>
      </c>
      <c r="Q25" s="110">
        <f t="shared" si="11"/>
        <v>0.33739166064714576</v>
      </c>
      <c r="R25" s="110">
        <f t="shared" si="11"/>
        <v>0.33739166064714576</v>
      </c>
      <c r="S25" s="110">
        <f t="shared" si="11"/>
        <v>0.33739166064714576</v>
      </c>
      <c r="T25" s="110">
        <f t="shared" si="12"/>
        <v>0.33739166064714576</v>
      </c>
      <c r="U25" s="110">
        <f t="shared" si="12"/>
        <v>0.33739166064714576</v>
      </c>
      <c r="V25" s="110">
        <f t="shared" si="12"/>
        <v>0.33739166064714576</v>
      </c>
      <c r="W25" s="110">
        <f t="shared" si="12"/>
        <v>0.33739166064714576</v>
      </c>
      <c r="X25" s="110">
        <f t="shared" si="12"/>
        <v>0.33739166064714576</v>
      </c>
      <c r="Y25" s="110">
        <f t="shared" si="12"/>
        <v>0.33739166064714576</v>
      </c>
      <c r="Z25" s="110">
        <f t="shared" si="12"/>
        <v>0.33739166064714576</v>
      </c>
      <c r="AA25" s="110">
        <f t="shared" si="12"/>
        <v>0.33739166064714576</v>
      </c>
      <c r="AB25" s="110">
        <f t="shared" si="12"/>
        <v>0.33739166064714576</v>
      </c>
      <c r="AC25" s="110">
        <f t="shared" si="12"/>
        <v>0.33739166064714576</v>
      </c>
      <c r="AD25" s="110">
        <f t="shared" si="12"/>
        <v>0.33739166064714576</v>
      </c>
      <c r="AE25" s="110">
        <f t="shared" si="12"/>
        <v>0.33739166064714576</v>
      </c>
      <c r="AF25" s="110">
        <f t="shared" si="12"/>
        <v>0.33739166064714576</v>
      </c>
      <c r="AG25" s="110">
        <f t="shared" si="12"/>
        <v>0.33739166064714576</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1469</v>
      </c>
      <c r="B27" s="54" t="s">
        <v>1470</v>
      </c>
      <c r="C27" s="204">
        <f>C14*C21</f>
        <v>42.585119205697637</v>
      </c>
      <c r="D27" s="204">
        <f t="shared" ref="D27:AG27" si="13">D14*D21</f>
        <v>44.012636263047483</v>
      </c>
      <c r="E27" s="204">
        <f t="shared" si="13"/>
        <v>45.36909701335091</v>
      </c>
      <c r="F27" s="204">
        <f t="shared" si="13"/>
        <v>46.645191207078334</v>
      </c>
      <c r="G27" s="204">
        <f t="shared" si="13"/>
        <v>47.83198116362081</v>
      </c>
      <c r="H27" s="204">
        <f t="shared" si="13"/>
        <v>48.921006043844443</v>
      </c>
      <c r="I27" s="204">
        <f t="shared" si="13"/>
        <v>50.012048902373749</v>
      </c>
      <c r="J27" s="204">
        <f t="shared" si="13"/>
        <v>51.104121901012896</v>
      </c>
      <c r="K27" s="204">
        <f t="shared" si="13"/>
        <v>52.196212122325981</v>
      </c>
      <c r="L27" s="204">
        <f t="shared" si="13"/>
        <v>53.287282886908656</v>
      </c>
      <c r="M27" s="204">
        <f t="shared" si="13"/>
        <v>54.376275159687594</v>
      </c>
      <c r="N27" s="204">
        <f t="shared" si="13"/>
        <v>55.382754376308014</v>
      </c>
      <c r="O27" s="204">
        <f t="shared" si="13"/>
        <v>56.301138422088286</v>
      </c>
      <c r="P27" s="204">
        <f t="shared" si="13"/>
        <v>57.126239456611934</v>
      </c>
      <c r="Q27" s="204">
        <f t="shared" si="13"/>
        <v>57.853312130622385</v>
      </c>
      <c r="R27" s="204">
        <f t="shared" si="13"/>
        <v>58.478098540198893</v>
      </c>
      <c r="S27" s="204">
        <f t="shared" si="13"/>
        <v>59.103162210000427</v>
      </c>
      <c r="T27" s="204">
        <f t="shared" si="13"/>
        <v>59.728363877389825</v>
      </c>
      <c r="U27" s="204">
        <f t="shared" si="13"/>
        <v>60.353562607814325</v>
      </c>
      <c r="V27" s="204">
        <f t="shared" si="13"/>
        <v>60.978615839267896</v>
      </c>
      <c r="W27" s="204">
        <f t="shared" si="13"/>
        <v>61.603379428230369</v>
      </c>
      <c r="X27" s="204">
        <f t="shared" si="13"/>
        <v>62.22839309866503</v>
      </c>
      <c r="Y27" s="204">
        <f t="shared" si="13"/>
        <v>62.853531369168849</v>
      </c>
      <c r="Z27" s="204">
        <f t="shared" si="13"/>
        <v>63.478667340269851</v>
      </c>
      <c r="AA27" s="204">
        <f t="shared" si="13"/>
        <v>64.103672730685716</v>
      </c>
      <c r="AB27" s="204">
        <f t="shared" si="13"/>
        <v>64.728417914711073</v>
      </c>
      <c r="AC27" s="204">
        <f t="shared" si="13"/>
        <v>65.35338982131735</v>
      </c>
      <c r="AD27" s="204">
        <f t="shared" si="13"/>
        <v>65.978474789108787</v>
      </c>
      <c r="AE27" s="204">
        <f t="shared" si="13"/>
        <v>66.603557943280975</v>
      </c>
      <c r="AF27" s="204">
        <f t="shared" si="13"/>
        <v>67.228523225485176</v>
      </c>
      <c r="AG27" s="204">
        <f t="shared" si="13"/>
        <v>67.853253424567384</v>
      </c>
      <c r="AM27" s="120"/>
      <c r="AN27" s="115"/>
      <c r="AO27" s="115"/>
      <c r="AP27" s="115"/>
      <c r="AQ27" s="115"/>
      <c r="BD27" s="205"/>
      <c r="BE27" s="205"/>
      <c r="BF27" s="205"/>
      <c r="BG27" s="205"/>
      <c r="BH27" s="205"/>
      <c r="BI27" s="205"/>
      <c r="BJ27" s="205"/>
      <c r="BK27" s="205"/>
      <c r="BL27" s="205"/>
    </row>
    <row r="28" spans="1:64" outlineLevel="1">
      <c r="A28" t="s">
        <v>1471</v>
      </c>
      <c r="B28" s="54" t="s">
        <v>1470</v>
      </c>
      <c r="C28" s="204">
        <f t="shared" ref="C28:AG31" si="14">C15*C22</f>
        <v>10.312870698085007</v>
      </c>
      <c r="D28" s="204">
        <f t="shared" si="14"/>
        <v>10.658573589290958</v>
      </c>
      <c r="E28" s="204">
        <f t="shared" si="14"/>
        <v>10.98706872059107</v>
      </c>
      <c r="F28" s="204">
        <f t="shared" si="14"/>
        <v>11.296101421777623</v>
      </c>
      <c r="G28" s="204">
        <f t="shared" si="14"/>
        <v>11.583507247941681</v>
      </c>
      <c r="H28" s="204">
        <f t="shared" si="14"/>
        <v>11.847237231236907</v>
      </c>
      <c r="I28" s="204">
        <f t="shared" si="14"/>
        <v>12.111455909872808</v>
      </c>
      <c r="J28" s="204">
        <f t="shared" si="14"/>
        <v>12.375924058322388</v>
      </c>
      <c r="K28" s="204">
        <f t="shared" si="14"/>
        <v>12.640396377600009</v>
      </c>
      <c r="L28" s="204">
        <f t="shared" si="14"/>
        <v>12.904621814266076</v>
      </c>
      <c r="M28" s="204">
        <f t="shared" si="14"/>
        <v>13.168343900991626</v>
      </c>
      <c r="N28" s="204">
        <f t="shared" si="14"/>
        <v>13.412083738167601</v>
      </c>
      <c r="O28" s="204">
        <f t="shared" si="14"/>
        <v>13.634489500837134</v>
      </c>
      <c r="P28" s="204">
        <f t="shared" si="14"/>
        <v>13.834304845741936</v>
      </c>
      <c r="Q28" s="204">
        <f t="shared" si="14"/>
        <v>14.010380588044368</v>
      </c>
      <c r="R28" s="204">
        <f t="shared" si="14"/>
        <v>14.161685587914395</v>
      </c>
      <c r="S28" s="204">
        <f t="shared" si="14"/>
        <v>14.313057732103935</v>
      </c>
      <c r="T28" s="204">
        <f t="shared" si="14"/>
        <v>14.464463295274262</v>
      </c>
      <c r="U28" s="204">
        <f t="shared" si="14"/>
        <v>14.615868147197563</v>
      </c>
      <c r="V28" s="204">
        <f t="shared" si="14"/>
        <v>14.767237763524442</v>
      </c>
      <c r="W28" s="204">
        <f t="shared" si="14"/>
        <v>14.918537236909021</v>
      </c>
      <c r="X28" s="204">
        <f t="shared" si="14"/>
        <v>15.069897272713868</v>
      </c>
      <c r="Y28" s="204">
        <f t="shared" si="14"/>
        <v>15.221287483012208</v>
      </c>
      <c r="Z28" s="204">
        <f t="shared" si="14"/>
        <v>15.372677136462416</v>
      </c>
      <c r="AA28" s="204">
        <f t="shared" si="14"/>
        <v>15.524035167088817</v>
      </c>
      <c r="AB28" s="204">
        <f t="shared" si="14"/>
        <v>15.675330183335779</v>
      </c>
      <c r="AC28" s="204">
        <f t="shared" si="14"/>
        <v>15.826680105162559</v>
      </c>
      <c r="AD28" s="204">
        <f t="shared" si="14"/>
        <v>15.978057407102508</v>
      </c>
      <c r="AE28" s="204">
        <f t="shared" si="14"/>
        <v>16.129434269836906</v>
      </c>
      <c r="AF28" s="204">
        <f t="shared" si="14"/>
        <v>16.280782587427193</v>
      </c>
      <c r="AG28" s="204">
        <f t="shared" si="14"/>
        <v>16.432073974759078</v>
      </c>
      <c r="AM28" s="206"/>
      <c r="BD28" s="205"/>
      <c r="BE28" s="205"/>
      <c r="BF28" s="205"/>
      <c r="BG28" s="205"/>
      <c r="BH28" s="205"/>
      <c r="BI28" s="205"/>
      <c r="BJ28" s="205"/>
      <c r="BK28" s="205"/>
      <c r="BL28" s="205"/>
    </row>
    <row r="29" spans="1:64" outlineLevel="1">
      <c r="A29" t="s">
        <v>1472</v>
      </c>
      <c r="B29" s="54" t="s">
        <v>1470</v>
      </c>
      <c r="C29" s="204">
        <f t="shared" si="14"/>
        <v>2.6141114211437237</v>
      </c>
      <c r="D29" s="204">
        <f t="shared" si="14"/>
        <v>2.7017403561590436</v>
      </c>
      <c r="E29" s="204">
        <f t="shared" si="14"/>
        <v>2.7850074599230017</v>
      </c>
      <c r="F29" s="204">
        <f t="shared" si="14"/>
        <v>2.8633412175477018</v>
      </c>
      <c r="G29" s="204">
        <f t="shared" si="14"/>
        <v>2.9361929844973473</v>
      </c>
      <c r="H29" s="204">
        <f t="shared" si="14"/>
        <v>3.0030433874174678</v>
      </c>
      <c r="I29" s="204">
        <f t="shared" si="14"/>
        <v>3.0700176650674211</v>
      </c>
      <c r="J29" s="204">
        <f t="shared" si="14"/>
        <v>3.137055178445646</v>
      </c>
      <c r="K29" s="204">
        <f t="shared" si="14"/>
        <v>3.2040937490473684</v>
      </c>
      <c r="L29" s="204">
        <f t="shared" si="14"/>
        <v>3.2710697397260557</v>
      </c>
      <c r="M29" s="204">
        <f t="shared" si="14"/>
        <v>3.3379181410198999</v>
      </c>
      <c r="N29" s="204">
        <f t="shared" si="14"/>
        <v>3.3997014320940089</v>
      </c>
      <c r="O29" s="204">
        <f t="shared" si="14"/>
        <v>3.4560769517085976</v>
      </c>
      <c r="P29" s="204">
        <f t="shared" si="14"/>
        <v>3.5067262413707287</v>
      </c>
      <c r="Q29" s="204">
        <f t="shared" si="14"/>
        <v>3.5513580051554348</v>
      </c>
      <c r="R29" s="204">
        <f t="shared" si="14"/>
        <v>3.5897108692430097</v>
      </c>
      <c r="S29" s="204">
        <f t="shared" si="14"/>
        <v>3.6280807531049661</v>
      </c>
      <c r="T29" s="204">
        <f t="shared" si="14"/>
        <v>3.6664591080262339</v>
      </c>
      <c r="U29" s="204">
        <f t="shared" si="14"/>
        <v>3.7048372826602627</v>
      </c>
      <c r="V29" s="204">
        <f t="shared" si="14"/>
        <v>3.7432065257583771</v>
      </c>
      <c r="W29" s="204">
        <f t="shared" si="14"/>
        <v>3.7815579889897641</v>
      </c>
      <c r="X29" s="204">
        <f t="shared" si="14"/>
        <v>3.8199248036125488</v>
      </c>
      <c r="Y29" s="204">
        <f t="shared" si="14"/>
        <v>3.8582992668804459</v>
      </c>
      <c r="Z29" s="204">
        <f t="shared" si="14"/>
        <v>3.8966735889982118</v>
      </c>
      <c r="AA29" s="204">
        <f t="shared" si="14"/>
        <v>3.9350398953474</v>
      </c>
      <c r="AB29" s="204">
        <f t="shared" si="14"/>
        <v>3.9733902287814025</v>
      </c>
      <c r="AC29" s="204">
        <f t="shared" si="14"/>
        <v>4.0117544797081646</v>
      </c>
      <c r="AD29" s="204">
        <f t="shared" si="14"/>
        <v>4.050125670959174</v>
      </c>
      <c r="AE29" s="204">
        <f t="shared" si="14"/>
        <v>4.0884967508801484</v>
      </c>
      <c r="AF29" s="204">
        <f t="shared" si="14"/>
        <v>4.1268605951642749</v>
      </c>
      <c r="AG29" s="204">
        <f t="shared" si="14"/>
        <v>4.1652100087391384</v>
      </c>
      <c r="BD29" s="205"/>
      <c r="BE29" s="205"/>
      <c r="BF29" s="205"/>
      <c r="BG29" s="205"/>
      <c r="BH29" s="205"/>
      <c r="BI29" s="205"/>
      <c r="BJ29" s="205"/>
      <c r="BK29" s="205"/>
      <c r="BL29" s="205"/>
    </row>
    <row r="30" spans="1:64" outlineLevel="1">
      <c r="A30" t="s">
        <v>1473</v>
      </c>
      <c r="B30" s="54" t="s">
        <v>1470</v>
      </c>
      <c r="C30" s="204">
        <f t="shared" si="14"/>
        <v>0.71420704776119814</v>
      </c>
      <c r="D30" s="204">
        <f t="shared" si="14"/>
        <v>0.73814833904264143</v>
      </c>
      <c r="E30" s="204">
        <f t="shared" si="14"/>
        <v>0.76089792495312358</v>
      </c>
      <c r="F30" s="204">
        <f t="shared" si="14"/>
        <v>0.78229966067129764</v>
      </c>
      <c r="G30" s="204">
        <f t="shared" si="14"/>
        <v>0.80220364983428749</v>
      </c>
      <c r="H30" s="204">
        <f t="shared" si="14"/>
        <v>0.82046799332211673</v>
      </c>
      <c r="I30" s="204">
        <f t="shared" si="14"/>
        <v>0.83876618089339616</v>
      </c>
      <c r="J30" s="204">
        <f t="shared" si="14"/>
        <v>0.85708164523506758</v>
      </c>
      <c r="K30" s="204">
        <f t="shared" si="14"/>
        <v>0.87539739842306241</v>
      </c>
      <c r="L30" s="204">
        <f t="shared" si="14"/>
        <v>0.89369605401463548</v>
      </c>
      <c r="M30" s="204">
        <f t="shared" si="14"/>
        <v>0.9119598506338108</v>
      </c>
      <c r="N30" s="204">
        <f t="shared" si="14"/>
        <v>0.92883979751063672</v>
      </c>
      <c r="O30" s="204">
        <f t="shared" si="14"/>
        <v>0.94424227542503369</v>
      </c>
      <c r="P30" s="204">
        <f t="shared" si="14"/>
        <v>0.95808027764185033</v>
      </c>
      <c r="Q30" s="204">
        <f t="shared" si="14"/>
        <v>0.9702742185700084</v>
      </c>
      <c r="R30" s="204">
        <f t="shared" si="14"/>
        <v>0.98075268770166812</v>
      </c>
      <c r="S30" s="204">
        <f t="shared" si="14"/>
        <v>0.99123580684277879</v>
      </c>
      <c r="T30" s="204">
        <f t="shared" si="14"/>
        <v>1.0017212403803659</v>
      </c>
      <c r="U30" s="204">
        <f t="shared" si="14"/>
        <v>1.012206624661286</v>
      </c>
      <c r="V30" s="204">
        <f t="shared" si="14"/>
        <v>1.0226895687379185</v>
      </c>
      <c r="W30" s="204">
        <f t="shared" si="14"/>
        <v>1.0331676551386224</v>
      </c>
      <c r="X30" s="204">
        <f t="shared" si="14"/>
        <v>1.0436499357262461</v>
      </c>
      <c r="Y30" s="204">
        <f t="shared" si="14"/>
        <v>1.0541343060167803</v>
      </c>
      <c r="Z30" s="204">
        <f t="shared" si="14"/>
        <v>1.0646186377433811</v>
      </c>
      <c r="AA30" s="204">
        <f t="shared" si="14"/>
        <v>1.0751007794644738</v>
      </c>
      <c r="AB30" s="204">
        <f t="shared" si="14"/>
        <v>1.0855785571907852</v>
      </c>
      <c r="AC30" s="204">
        <f t="shared" si="14"/>
        <v>1.0960601373454615</v>
      </c>
      <c r="AD30" s="204">
        <f t="shared" si="14"/>
        <v>1.1065436136811693</v>
      </c>
      <c r="AE30" s="204">
        <f t="shared" si="14"/>
        <v>1.117027059600157</v>
      </c>
      <c r="AF30" s="204">
        <f t="shared" si="14"/>
        <v>1.1275085286551172</v>
      </c>
      <c r="AG30" s="204">
        <f t="shared" si="14"/>
        <v>1.1379860550647196</v>
      </c>
      <c r="BD30" s="205"/>
      <c r="BE30" s="205"/>
      <c r="BF30" s="205"/>
      <c r="BG30" s="205"/>
      <c r="BH30" s="205"/>
      <c r="BI30" s="205"/>
      <c r="BJ30" s="205"/>
      <c r="BK30" s="205"/>
      <c r="BL30" s="205"/>
    </row>
    <row r="31" spans="1:64" outlineLevel="1">
      <c r="A31" s="181" t="s">
        <v>1474</v>
      </c>
      <c r="B31" s="176" t="s">
        <v>1470</v>
      </c>
      <c r="C31" s="204">
        <f t="shared" si="14"/>
        <v>34.906310177860561</v>
      </c>
      <c r="D31" s="204">
        <f t="shared" si="14"/>
        <v>36.076422041287579</v>
      </c>
      <c r="E31" s="204">
        <f t="shared" si="14"/>
        <v>37.188290237909875</v>
      </c>
      <c r="F31" s="204">
        <f t="shared" si="14"/>
        <v>38.234283311858043</v>
      </c>
      <c r="G31" s="204">
        <f t="shared" si="14"/>
        <v>39.207075195777406</v>
      </c>
      <c r="H31" s="204">
        <f t="shared" si="14"/>
        <v>40.099730681297501</v>
      </c>
      <c r="I31" s="204">
        <f t="shared" si="14"/>
        <v>40.99404026989361</v>
      </c>
      <c r="J31" s="204">
        <f t="shared" si="14"/>
        <v>41.889194247113522</v>
      </c>
      <c r="K31" s="204">
        <f t="shared" si="14"/>
        <v>42.784362341471294</v>
      </c>
      <c r="L31" s="204">
        <f t="shared" si="14"/>
        <v>43.678694804192759</v>
      </c>
      <c r="M31" s="204">
        <f t="shared" si="14"/>
        <v>44.571323561935642</v>
      </c>
      <c r="N31" s="204">
        <f t="shared" si="14"/>
        <v>45.396317747186671</v>
      </c>
      <c r="O31" s="204">
        <f t="shared" si="14"/>
        <v>46.149101793875829</v>
      </c>
      <c r="P31" s="204">
        <f t="shared" si="14"/>
        <v>46.825423315955838</v>
      </c>
      <c r="Q31" s="204">
        <f t="shared" si="14"/>
        <v>47.421392629984659</v>
      </c>
      <c r="R31" s="204">
        <f t="shared" si="14"/>
        <v>47.933519603311801</v>
      </c>
      <c r="S31" s="204">
        <f t="shared" si="14"/>
        <v>48.445873842209522</v>
      </c>
      <c r="T31" s="204">
        <f t="shared" si="14"/>
        <v>48.958341195422662</v>
      </c>
      <c r="U31" s="204">
        <f t="shared" si="14"/>
        <v>49.470806141254776</v>
      </c>
      <c r="V31" s="204">
        <f t="shared" si="14"/>
        <v>49.98315182401322</v>
      </c>
      <c r="W31" s="204">
        <f t="shared" si="14"/>
        <v>50.495260091664598</v>
      </c>
      <c r="X31" s="204">
        <f t="shared" si="14"/>
        <v>51.007573346917297</v>
      </c>
      <c r="Y31" s="204">
        <f t="shared" si="14"/>
        <v>51.519988734763345</v>
      </c>
      <c r="Z31" s="204">
        <f t="shared" si="14"/>
        <v>52.032402237827348</v>
      </c>
      <c r="AA31" s="204">
        <f t="shared" si="14"/>
        <v>52.544708706087079</v>
      </c>
      <c r="AB31" s="204">
        <f t="shared" si="14"/>
        <v>53.056801887519249</v>
      </c>
      <c r="AC31" s="204">
        <f t="shared" si="14"/>
        <v>53.569080909660144</v>
      </c>
      <c r="AD31" s="204">
        <f t="shared" si="14"/>
        <v>54.081452606164085</v>
      </c>
      <c r="AE31" s="204">
        <f t="shared" si="14"/>
        <v>54.593822816074649</v>
      </c>
      <c r="AF31" s="204">
        <f t="shared" si="14"/>
        <v>55.106096408303912</v>
      </c>
      <c r="AG31" s="204">
        <f t="shared" si="14"/>
        <v>55.61817730682872</v>
      </c>
      <c r="AL31" s="108"/>
      <c r="AM31" s="207"/>
      <c r="AN31" s="207"/>
      <c r="AO31" s="207"/>
    </row>
    <row r="32" spans="1:64" s="1" customFormat="1" ht="16" thickBot="1">
      <c r="A32" s="200" t="s">
        <v>1475</v>
      </c>
      <c r="B32" s="219" t="s">
        <v>1470</v>
      </c>
      <c r="C32" s="216">
        <f>SUM(C27:C31)</f>
        <v>91.132618550548131</v>
      </c>
      <c r="D32" s="216">
        <f t="shared" ref="D32:AG32" si="15">SUM(D27:D31)</f>
        <v>94.187520588827709</v>
      </c>
      <c r="E32" s="216">
        <f t="shared" si="15"/>
        <v>97.090361356727982</v>
      </c>
      <c r="F32" s="216">
        <f t="shared" si="15"/>
        <v>99.821216818932996</v>
      </c>
      <c r="G32" s="216">
        <f t="shared" si="15"/>
        <v>102.36096024167153</v>
      </c>
      <c r="H32" s="216">
        <f t="shared" si="15"/>
        <v>104.69148533711844</v>
      </c>
      <c r="I32" s="216">
        <f t="shared" si="15"/>
        <v>107.02632892810098</v>
      </c>
      <c r="J32" s="216">
        <f t="shared" si="15"/>
        <v>109.36337703012953</v>
      </c>
      <c r="K32" s="216">
        <f t="shared" si="15"/>
        <v>111.70046198886772</v>
      </c>
      <c r="L32" s="216">
        <f t="shared" si="15"/>
        <v>114.03536529910819</v>
      </c>
      <c r="M32" s="216">
        <f t="shared" si="15"/>
        <v>116.36582061426857</v>
      </c>
      <c r="N32" s="216">
        <f t="shared" si="15"/>
        <v>118.51969709126692</v>
      </c>
      <c r="O32" s="216">
        <f t="shared" si="15"/>
        <v>120.48504894393488</v>
      </c>
      <c r="P32" s="216">
        <f t="shared" si="15"/>
        <v>122.25077413732228</v>
      </c>
      <c r="Q32" s="216">
        <f t="shared" si="15"/>
        <v>123.80671757237687</v>
      </c>
      <c r="R32" s="216">
        <f t="shared" si="15"/>
        <v>125.14376728836976</v>
      </c>
      <c r="S32" s="216">
        <f t="shared" si="15"/>
        <v>126.48141034426163</v>
      </c>
      <c r="T32" s="216">
        <f t="shared" si="15"/>
        <v>127.81934871649334</v>
      </c>
      <c r="U32" s="216">
        <f t="shared" si="15"/>
        <v>129.15728080358821</v>
      </c>
      <c r="V32" s="216">
        <f t="shared" si="15"/>
        <v>130.49490152130187</v>
      </c>
      <c r="W32" s="216">
        <f t="shared" si="15"/>
        <v>131.83190240093236</v>
      </c>
      <c r="X32" s="216">
        <f t="shared" si="15"/>
        <v>133.16943845763501</v>
      </c>
      <c r="Y32" s="216">
        <f t="shared" si="15"/>
        <v>134.50724115984161</v>
      </c>
      <c r="Z32" s="216">
        <f t="shared" si="15"/>
        <v>135.8450389413012</v>
      </c>
      <c r="AA32" s="216">
        <f t="shared" si="15"/>
        <v>137.18255727867347</v>
      </c>
      <c r="AB32" s="216">
        <f t="shared" si="15"/>
        <v>138.51951877153829</v>
      </c>
      <c r="AC32" s="216">
        <f t="shared" si="15"/>
        <v>139.85696545319368</v>
      </c>
      <c r="AD32" s="216">
        <f t="shared" si="15"/>
        <v>141.19465408701572</v>
      </c>
      <c r="AE32" s="216">
        <f t="shared" si="15"/>
        <v>142.53233883967283</v>
      </c>
      <c r="AF32" s="216">
        <f t="shared" si="15"/>
        <v>143.86977134503567</v>
      </c>
      <c r="AG32" s="216">
        <f t="shared" si="15"/>
        <v>145.20670076995904</v>
      </c>
      <c r="AJ32" s="162"/>
      <c r="AL32" s="221"/>
      <c r="AM32" s="124"/>
      <c r="AN32" s="124"/>
      <c r="AO32" s="124"/>
    </row>
    <row r="33" spans="1:64" ht="16" outlineLevel="1" thickTop="1">
      <c r="AL33" s="108"/>
      <c r="AM33" s="2"/>
      <c r="AN33" s="2"/>
      <c r="AO33" s="2"/>
    </row>
    <row r="34" spans="1:64" outlineLevel="1">
      <c r="A34" t="s">
        <v>1476</v>
      </c>
      <c r="B34" s="176" t="s">
        <v>1470</v>
      </c>
      <c r="C34" s="107">
        <f>C32</f>
        <v>91.132618550548131</v>
      </c>
      <c r="D34" s="107">
        <f t="shared" ref="D34:AG34" si="16">D32</f>
        <v>94.187520588827709</v>
      </c>
      <c r="E34" s="107">
        <f t="shared" si="16"/>
        <v>97.090361356727982</v>
      </c>
      <c r="F34" s="107">
        <f t="shared" si="16"/>
        <v>99.821216818932996</v>
      </c>
      <c r="G34" s="107">
        <f t="shared" si="16"/>
        <v>102.36096024167153</v>
      </c>
      <c r="H34" s="107">
        <f t="shared" si="16"/>
        <v>104.69148533711844</v>
      </c>
      <c r="I34" s="107">
        <f t="shared" si="16"/>
        <v>107.02632892810098</v>
      </c>
      <c r="J34" s="107">
        <f t="shared" si="16"/>
        <v>109.36337703012953</v>
      </c>
      <c r="K34" s="107">
        <f t="shared" si="16"/>
        <v>111.70046198886772</v>
      </c>
      <c r="L34" s="107">
        <f t="shared" si="16"/>
        <v>114.03536529910819</v>
      </c>
      <c r="M34" s="107">
        <f t="shared" si="16"/>
        <v>116.36582061426857</v>
      </c>
      <c r="N34" s="107">
        <f t="shared" si="16"/>
        <v>118.51969709126692</v>
      </c>
      <c r="O34" s="107">
        <f t="shared" si="16"/>
        <v>120.48504894393488</v>
      </c>
      <c r="P34" s="107">
        <f t="shared" si="16"/>
        <v>122.25077413732228</v>
      </c>
      <c r="Q34" s="107">
        <f t="shared" si="16"/>
        <v>123.80671757237687</v>
      </c>
      <c r="R34" s="107">
        <f t="shared" si="16"/>
        <v>125.14376728836976</v>
      </c>
      <c r="S34" s="107">
        <f t="shared" si="16"/>
        <v>126.48141034426163</v>
      </c>
      <c r="T34" s="107">
        <f t="shared" si="16"/>
        <v>127.81934871649334</v>
      </c>
      <c r="U34" s="107">
        <f t="shared" si="16"/>
        <v>129.15728080358821</v>
      </c>
      <c r="V34" s="107">
        <f t="shared" si="16"/>
        <v>130.49490152130187</v>
      </c>
      <c r="W34" s="107">
        <f t="shared" si="16"/>
        <v>131.83190240093236</v>
      </c>
      <c r="X34" s="107">
        <f t="shared" si="16"/>
        <v>133.16943845763501</v>
      </c>
      <c r="Y34" s="107">
        <f t="shared" si="16"/>
        <v>134.50724115984161</v>
      </c>
      <c r="Z34" s="107">
        <f t="shared" si="16"/>
        <v>135.8450389413012</v>
      </c>
      <c r="AA34" s="107">
        <f t="shared" si="16"/>
        <v>137.18255727867347</v>
      </c>
      <c r="AB34" s="107">
        <f t="shared" si="16"/>
        <v>138.51951877153829</v>
      </c>
      <c r="AC34" s="107">
        <f t="shared" si="16"/>
        <v>139.85696545319368</v>
      </c>
      <c r="AD34" s="107">
        <f t="shared" si="16"/>
        <v>141.19465408701572</v>
      </c>
      <c r="AE34" s="107">
        <f t="shared" si="16"/>
        <v>142.53233883967283</v>
      </c>
      <c r="AF34" s="107">
        <f t="shared" si="16"/>
        <v>143.86977134503567</v>
      </c>
      <c r="AG34" s="107">
        <f t="shared" si="16"/>
        <v>145.20670076995904</v>
      </c>
      <c r="AL34" s="108"/>
      <c r="AM34" s="2"/>
      <c r="AN34" s="2"/>
      <c r="AO34" s="2"/>
    </row>
    <row r="35" spans="1:64" outlineLevel="1">
      <c r="A35" t="s">
        <v>1477</v>
      </c>
      <c r="B35" s="176" t="s">
        <v>1470</v>
      </c>
      <c r="C35" s="107">
        <f>'Yearly Demand - Eth&amp;Prop'!N3*SUM('Demand Breakdown - Propylene'!$C$25:$C$26)</f>
        <v>109.00384615384617</v>
      </c>
      <c r="D35" s="107">
        <f>'Yearly Demand - Eth&amp;Prop'!O3*SUM('Demand Breakdown - Propylene'!$C$25:$C$26)</f>
        <v>111.70158302759353</v>
      </c>
      <c r="E35" s="107">
        <f>'Yearly Demand - Eth&amp;Prop'!P3*SUM('Demand Breakdown - Propylene'!$C$25:$C$26)</f>
        <v>114.46608620818942</v>
      </c>
      <c r="F35" s="107">
        <f>'Yearly Demand - Eth&amp;Prop'!Q3*SUM('Demand Breakdown - Propylene'!$C$25:$C$26)</f>
        <v>117.29900809538177</v>
      </c>
      <c r="G35" s="107">
        <f>'Yearly Demand - Eth&amp;Prop'!R3*SUM('Demand Breakdown - Propylene'!$C$25:$C$26)</f>
        <v>120.20204198417025</v>
      </c>
      <c r="H35" s="107">
        <f>'Yearly Demand - Eth&amp;Prop'!S3*SUM('Demand Breakdown - Propylene'!$C$25:$C$26)</f>
        <v>123.1769230769231</v>
      </c>
      <c r="I35" s="107">
        <f>'Yearly Demand - Eth&amp;Prop'!T3*SUM('Demand Breakdown - Propylene'!$C$25:$C$26)</f>
        <v>125.8894145402989</v>
      </c>
      <c r="J35" s="107">
        <f>'Yearly Demand - Eth&amp;Prop'!U3*SUM('Demand Breakdown - Propylene'!$C$25:$C$26)</f>
        <v>128.66163805213878</v>
      </c>
      <c r="K35" s="107">
        <f>'Yearly Demand - Eth&amp;Prop'!V3*SUM('Demand Breakdown - Propylene'!$C$25:$C$26)</f>
        <v>131.49490897791463</v>
      </c>
      <c r="L35" s="107">
        <f>'Yearly Demand - Eth&amp;Prop'!W3*SUM('Demand Breakdown - Propylene'!$C$25:$C$26)</f>
        <v>134.39057164889425</v>
      </c>
      <c r="M35" s="107">
        <f>'Yearly Demand - Eth&amp;Prop'!X3*SUM('Demand Breakdown - Propylene'!$C$25:$C$26)</f>
        <v>137.35000000000002</v>
      </c>
      <c r="N35" s="107">
        <f>'Yearly Demand - Eth&amp;Prop'!Y3*SUM('Demand Breakdown - Propylene'!$C$25:$C$26)</f>
        <v>138.98558001074665</v>
      </c>
      <c r="O35" s="107">
        <f>'Yearly Demand - Eth&amp;Prop'!Z3*SUM('Demand Breakdown - Propylene'!$C$25:$C$26)</f>
        <v>140.64063670130074</v>
      </c>
      <c r="P35" s="107">
        <f>'Yearly Demand - Eth&amp;Prop'!AA3*SUM('Demand Breakdown - Propylene'!$C$25:$C$26)</f>
        <v>142.31540200226416</v>
      </c>
      <c r="Q35" s="107">
        <f>'Yearly Demand - Eth&amp;Prop'!AB3*SUM('Demand Breakdown - Propylene'!$C$25:$C$26)</f>
        <v>144.01011060609576</v>
      </c>
      <c r="R35" s="107">
        <f>'Yearly Demand - Eth&amp;Prop'!AC3*SUM('Demand Breakdown - Propylene'!$C$25:$C$26)</f>
        <v>145.72500000000002</v>
      </c>
      <c r="S35" s="107">
        <f>'Yearly Demand - Eth&amp;Prop'!AD3*SUM('Demand Breakdown - Propylene'!$C$25:$C$26)</f>
        <v>147.3627708513832</v>
      </c>
      <c r="T35" s="107">
        <f>'Yearly Demand - Eth&amp;Prop'!AE3*SUM('Demand Breakdown - Propylene'!$C$25:$C$26)</f>
        <v>149.01894824496327</v>
      </c>
      <c r="U35" s="107">
        <f>'Yearly Demand - Eth&amp;Prop'!AF3*SUM('Demand Breakdown - Propylene'!$C$25:$C$26)</f>
        <v>150.69373904777251</v>
      </c>
      <c r="V35" s="107">
        <f>'Yearly Demand - Eth&amp;Prop'!AG3*SUM('Demand Breakdown - Propylene'!$C$25:$C$26)</f>
        <v>152.38735245177583</v>
      </c>
      <c r="W35" s="107">
        <f>'Yearly Demand - Eth&amp;Prop'!AH3*SUM('Demand Breakdown - Propylene'!$C$25:$C$26)</f>
        <v>154.10000000000002</v>
      </c>
      <c r="X35" s="107">
        <f>'Yearly Demand - Eth&amp;Prop'!AI3*SUM('Demand Breakdown - Propylene'!$C$25:$C$26)</f>
        <v>155.73973095441411</v>
      </c>
      <c r="Y35" s="107">
        <f>'Yearly Demand - Eth&amp;Prop'!AJ3*SUM('Demand Breakdown - Propylene'!$C$25:$C$26)</f>
        <v>157.39690978425233</v>
      </c>
      <c r="Z35" s="107">
        <f>'Yearly Demand - Eth&amp;Prop'!AK3*SUM('Demand Breakdown - Propylene'!$C$25:$C$26)</f>
        <v>159.07172214701907</v>
      </c>
      <c r="AA35" s="107">
        <f>'Yearly Demand - Eth&amp;Prop'!AL3*SUM('Demand Breakdown - Propylene'!$C$25:$C$26)</f>
        <v>160.76435567574342</v>
      </c>
      <c r="AB35" s="107">
        <f>'Yearly Demand - Eth&amp;Prop'!AM3*SUM('Demand Breakdown - Propylene'!$C$25:$C$26)</f>
        <v>162.47500000000002</v>
      </c>
      <c r="AC35" s="107">
        <f>'Yearly Demand - Eth&amp;Prop'!AN3*SUM('Demand Breakdown - Propylene'!$C$25:$C$26)</f>
        <v>164.11649495327521</v>
      </c>
      <c r="AD35" s="107">
        <f>'Yearly Demand - Eth&amp;Prop'!AO3*SUM('Demand Breakdown - Propylene'!$C$25:$C$26)</f>
        <v>165.77457403137964</v>
      </c>
      <c r="AE35" s="107">
        <f>'Yearly Demand - Eth&amp;Prop'!AP3*SUM('Demand Breakdown - Propylene'!$C$25:$C$26)</f>
        <v>167.44940478475004</v>
      </c>
      <c r="AF35" s="107">
        <f>'Yearly Demand - Eth&amp;Prop'!AQ3*SUM('Demand Breakdown - Propylene'!$C$25:$C$26)</f>
        <v>169.14115645659555</v>
      </c>
      <c r="AG35" s="107">
        <f>'Yearly Demand - Eth&amp;Prop'!AR3*SUM('Demand Breakdown - Propylene'!$C$25:$C$26)</f>
        <v>170.85000000000005</v>
      </c>
      <c r="AL35" s="108"/>
      <c r="AM35" s="2"/>
      <c r="AN35" s="2"/>
      <c r="AO35" s="2"/>
    </row>
    <row r="36" spans="1:64" outlineLevel="1">
      <c r="A36" t="s">
        <v>1478</v>
      </c>
      <c r="B36" s="176" t="s">
        <v>1470</v>
      </c>
      <c r="C36" s="107">
        <f>C35-C34</f>
        <v>17.871227603298038</v>
      </c>
      <c r="D36" s="107">
        <f t="shared" ref="D36:AG36" si="17">D35-D34</f>
        <v>17.514062438765819</v>
      </c>
      <c r="E36" s="107">
        <f t="shared" si="17"/>
        <v>17.375724851461442</v>
      </c>
      <c r="F36" s="107">
        <f t="shared" si="17"/>
        <v>17.47779127644877</v>
      </c>
      <c r="G36" s="107">
        <f t="shared" si="17"/>
        <v>17.841081742498716</v>
      </c>
      <c r="H36" s="107">
        <f t="shared" si="17"/>
        <v>18.485437739804667</v>
      </c>
      <c r="I36" s="107">
        <f t="shared" si="17"/>
        <v>18.863085612197921</v>
      </c>
      <c r="J36" s="107">
        <f t="shared" si="17"/>
        <v>19.298261022009257</v>
      </c>
      <c r="K36" s="107">
        <f t="shared" si="17"/>
        <v>19.794446989046918</v>
      </c>
      <c r="L36" s="107">
        <f t="shared" si="17"/>
        <v>20.355206349786059</v>
      </c>
      <c r="M36" s="107">
        <f t="shared" si="17"/>
        <v>20.984179385731451</v>
      </c>
      <c r="N36" s="107">
        <f t="shared" si="17"/>
        <v>20.465882919479725</v>
      </c>
      <c r="O36" s="107">
        <f t="shared" si="17"/>
        <v>20.155587757365851</v>
      </c>
      <c r="P36" s="107">
        <f t="shared" si="17"/>
        <v>20.064627864941883</v>
      </c>
      <c r="Q36" s="107">
        <f t="shared" si="17"/>
        <v>20.203393033718896</v>
      </c>
      <c r="R36" s="107">
        <f t="shared" si="17"/>
        <v>20.581232711630264</v>
      </c>
      <c r="S36" s="107">
        <f t="shared" si="17"/>
        <v>20.88136050712157</v>
      </c>
      <c r="T36" s="107">
        <f t="shared" si="17"/>
        <v>21.199599528469932</v>
      </c>
      <c r="U36" s="107">
        <f t="shared" si="17"/>
        <v>21.536458244184303</v>
      </c>
      <c r="V36" s="107">
        <f t="shared" si="17"/>
        <v>21.892450930473956</v>
      </c>
      <c r="W36" s="107">
        <f t="shared" si="17"/>
        <v>22.268097599067659</v>
      </c>
      <c r="X36" s="107">
        <f t="shared" si="17"/>
        <v>22.570292496779103</v>
      </c>
      <c r="Y36" s="107">
        <f t="shared" si="17"/>
        <v>22.889668624410717</v>
      </c>
      <c r="Z36" s="107">
        <f t="shared" si="17"/>
        <v>23.226683205717876</v>
      </c>
      <c r="AA36" s="107">
        <f t="shared" si="17"/>
        <v>23.581798397069946</v>
      </c>
      <c r="AB36" s="107">
        <f t="shared" si="17"/>
        <v>23.955481228461736</v>
      </c>
      <c r="AC36" s="107">
        <f t="shared" si="17"/>
        <v>24.259529500081527</v>
      </c>
      <c r="AD36" s="107">
        <f t="shared" si="17"/>
        <v>24.579919944363922</v>
      </c>
      <c r="AE36" s="107">
        <f t="shared" si="17"/>
        <v>24.917065945077212</v>
      </c>
      <c r="AF36" s="107">
        <f t="shared" si="17"/>
        <v>25.27138511155988</v>
      </c>
      <c r="AG36" s="107">
        <f t="shared" si="17"/>
        <v>25.643299230041009</v>
      </c>
      <c r="AL36" s="108"/>
      <c r="AM36" s="2"/>
      <c r="AN36" s="2"/>
      <c r="AO36" s="2"/>
    </row>
    <row r="37" spans="1:64" outlineLevel="1">
      <c r="A37" t="s">
        <v>1292</v>
      </c>
      <c r="B37" s="54" t="s">
        <v>462</v>
      </c>
      <c r="C37" s="2">
        <f>C34/C35</f>
        <v>0.83604956858059032</v>
      </c>
      <c r="D37" s="2">
        <f t="shared" ref="D37:AG37" si="18">D34/D35</f>
        <v>0.84320667653886927</v>
      </c>
      <c r="E37" s="2">
        <f t="shared" si="18"/>
        <v>0.84820198342539033</v>
      </c>
      <c r="F37" s="2">
        <f t="shared" si="18"/>
        <v>0.85099796187332899</v>
      </c>
      <c r="G37" s="2">
        <f t="shared" si="18"/>
        <v>0.85157422080360112</v>
      </c>
      <c r="H37" s="2">
        <f t="shared" si="18"/>
        <v>0.84992775206553384</v>
      </c>
      <c r="I37" s="2">
        <f t="shared" si="18"/>
        <v>0.85016146368557788</v>
      </c>
      <c r="J37" s="2">
        <f t="shared" si="18"/>
        <v>0.85000765329764538</v>
      </c>
      <c r="K37" s="2">
        <f t="shared" si="18"/>
        <v>0.84946605809376607</v>
      </c>
      <c r="L37" s="2">
        <f t="shared" si="18"/>
        <v>0.84853694645361277</v>
      </c>
      <c r="M37" s="2">
        <f t="shared" si="18"/>
        <v>0.84722111841476921</v>
      </c>
      <c r="N37" s="2">
        <f t="shared" si="18"/>
        <v>0.8527481561907555</v>
      </c>
      <c r="O37" s="2">
        <f t="shared" si="18"/>
        <v>0.85668731150461697</v>
      </c>
      <c r="P37" s="2">
        <f t="shared" si="18"/>
        <v>0.85901295585264437</v>
      </c>
      <c r="Q37" s="2">
        <f t="shared" si="18"/>
        <v>0.85970850971026391</v>
      </c>
      <c r="R37" s="2">
        <f t="shared" si="18"/>
        <v>0.85876663090320626</v>
      </c>
      <c r="S37" s="2">
        <f t="shared" si="18"/>
        <v>0.85829962081684374</v>
      </c>
      <c r="T37" s="2">
        <f t="shared" si="18"/>
        <v>0.85773889979668094</v>
      </c>
      <c r="U37" s="2">
        <f t="shared" si="18"/>
        <v>0.85708458506456675</v>
      </c>
      <c r="V37" s="2">
        <f t="shared" si="18"/>
        <v>0.85633682468889938</v>
      </c>
      <c r="W37" s="2">
        <f t="shared" si="18"/>
        <v>0.85549579754011906</v>
      </c>
      <c r="X37" s="2">
        <f t="shared" si="18"/>
        <v>0.85507684931479977</v>
      </c>
      <c r="Y37" s="2">
        <f t="shared" si="18"/>
        <v>0.85457358307868858</v>
      </c>
      <c r="Z37" s="2">
        <f t="shared" si="18"/>
        <v>0.85398609575464934</v>
      </c>
      <c r="AA37" s="2">
        <f t="shared" si="18"/>
        <v>0.85331450931428054</v>
      </c>
      <c r="AB37" s="2">
        <f t="shared" si="18"/>
        <v>0.85255897074342679</v>
      </c>
      <c r="AC37" s="2">
        <f t="shared" si="18"/>
        <v>0.85218104062612143</v>
      </c>
      <c r="AD37" s="2">
        <f t="shared" si="18"/>
        <v>0.85172683996937215</v>
      </c>
      <c r="AE37" s="2">
        <f t="shared" si="18"/>
        <v>0.85119644959558283</v>
      </c>
      <c r="AF37" s="2">
        <f t="shared" si="18"/>
        <v>0.85058997088006227</v>
      </c>
      <c r="AG37" s="2">
        <f t="shared" si="18"/>
        <v>0.84990752572407957</v>
      </c>
      <c r="AI37" s="208"/>
      <c r="AL37" s="108"/>
      <c r="AM37" s="2"/>
      <c r="AN37" s="2"/>
      <c r="AO37" s="2"/>
    </row>
    <row r="38" spans="1:64" outlineLevel="1">
      <c r="AL38" s="108"/>
      <c r="AM38" s="2"/>
      <c r="AN38" s="2"/>
      <c r="AO38" s="2"/>
    </row>
    <row r="39" spans="1:64" outlineLevel="1">
      <c r="A39" t="s">
        <v>1479</v>
      </c>
      <c r="B39" s="54" t="s">
        <v>462</v>
      </c>
      <c r="C39" s="23">
        <f>'Yearly HC Propylene'!D21/'Yearly HC Propylene'!D14</f>
        <v>1</v>
      </c>
      <c r="D39" s="23">
        <f>'Yearly HC Propylene'!E21/'Yearly HC Propylene'!E14</f>
        <v>1</v>
      </c>
      <c r="E39" s="23">
        <f>'Yearly HC Propylene'!F21/'Yearly HC Propylene'!F14</f>
        <v>1</v>
      </c>
      <c r="F39" s="23">
        <f>'Yearly HC Propylene'!G21/'Yearly HC Propylene'!G14</f>
        <v>1</v>
      </c>
      <c r="G39" s="23">
        <f>'Yearly HC Propylene'!H21/'Yearly HC Propylene'!H14</f>
        <v>1</v>
      </c>
      <c r="H39" s="23">
        <f>'Yearly HC Propylene'!I21/'Yearly HC Propylene'!I14</f>
        <v>1</v>
      </c>
      <c r="I39" s="23">
        <f>'Yearly HC Propylene'!J21/'Yearly HC Propylene'!J14</f>
        <v>1</v>
      </c>
      <c r="J39" s="23">
        <f>'Yearly HC Propylene'!K21/'Yearly HC Propylene'!K14</f>
        <v>1</v>
      </c>
      <c r="K39" s="23">
        <f>'Yearly HC Propylene'!L21/'Yearly HC Propylene'!L14</f>
        <v>1</v>
      </c>
      <c r="L39" s="23">
        <f>'Yearly HC Propylene'!M21/'Yearly HC Propylene'!M14</f>
        <v>1</v>
      </c>
      <c r="M39" s="23">
        <f>'Yearly HC Propylene'!N21/'Yearly HC Propylene'!N14</f>
        <v>1</v>
      </c>
      <c r="N39" s="23">
        <f>'Yearly HC Propylene'!O21/'Yearly HC Propylene'!O14</f>
        <v>1</v>
      </c>
      <c r="O39" s="23">
        <f>'Yearly HC Propylene'!P21/'Yearly HC Propylene'!P14</f>
        <v>1</v>
      </c>
      <c r="P39" s="23">
        <f>'Yearly HC Propylene'!Q21/'Yearly HC Propylene'!Q14</f>
        <v>1</v>
      </c>
      <c r="Q39" s="23">
        <f>'Yearly HC Propylene'!R21/'Yearly HC Propylene'!R14</f>
        <v>1</v>
      </c>
      <c r="R39" s="23">
        <f>'Yearly HC Propylene'!S21/'Yearly HC Propylene'!S14</f>
        <v>1</v>
      </c>
      <c r="S39" s="23">
        <f>'Yearly HC Propylene'!T21/'Yearly HC Propylene'!T14</f>
        <v>1</v>
      </c>
      <c r="T39" s="23">
        <f>'Yearly HC Propylene'!U21/'Yearly HC Propylene'!U14</f>
        <v>1</v>
      </c>
      <c r="U39" s="23">
        <f>'Yearly HC Propylene'!V21/'Yearly HC Propylene'!V14</f>
        <v>1</v>
      </c>
      <c r="V39" s="23">
        <f>'Yearly HC Propylene'!W21/'Yearly HC Propylene'!W14</f>
        <v>1</v>
      </c>
      <c r="W39" s="23">
        <f>'Yearly HC Propylene'!X21/'Yearly HC Propylene'!X14</f>
        <v>1</v>
      </c>
      <c r="X39" s="23">
        <f>'Yearly HC Propylene'!Y21/'Yearly HC Propylene'!Y14</f>
        <v>1</v>
      </c>
      <c r="Y39" s="23">
        <f>'Yearly HC Propylene'!Z21/'Yearly HC Propylene'!Z14</f>
        <v>1</v>
      </c>
      <c r="Z39" s="23">
        <f>'Yearly HC Propylene'!AA21/'Yearly HC Propylene'!AA14</f>
        <v>1</v>
      </c>
      <c r="AA39" s="23">
        <f>'Yearly HC Propylene'!AB21/'Yearly HC Propylene'!AB14</f>
        <v>1</v>
      </c>
      <c r="AB39" s="23">
        <f>'Yearly HC Propylene'!AC21/'Yearly HC Propylene'!AC14</f>
        <v>1</v>
      </c>
      <c r="AC39" s="23">
        <f>'Yearly HC Propylene'!AD21/'Yearly HC Propylene'!AD14</f>
        <v>1</v>
      </c>
      <c r="AD39" s="23">
        <f>'Yearly HC Propylene'!AE21/'Yearly HC Propylene'!AE14</f>
        <v>1</v>
      </c>
      <c r="AE39" s="23">
        <f>'Yearly HC Propylene'!AF21/'Yearly HC Propylene'!AF14</f>
        <v>1</v>
      </c>
      <c r="AF39" s="23">
        <f>'Yearly HC Propylene'!AG21/'Yearly HC Propylene'!AG14</f>
        <v>1</v>
      </c>
      <c r="AG39" s="23">
        <f>'Yearly HC Propylene'!AH21/'Yearly HC Propylene'!AH14</f>
        <v>1</v>
      </c>
      <c r="AL39" s="108"/>
      <c r="AM39" s="2"/>
      <c r="AN39" s="2"/>
      <c r="AO39" s="2"/>
      <c r="BC39" s="1"/>
      <c r="BD39" s="122"/>
      <c r="BE39" s="122"/>
      <c r="BF39" s="122"/>
      <c r="BG39" s="122"/>
      <c r="BH39" s="122"/>
      <c r="BI39" s="122"/>
      <c r="BJ39" s="122"/>
      <c r="BK39" s="122"/>
    </row>
    <row r="40" spans="1:64" outlineLevel="1">
      <c r="A40" t="s">
        <v>1480</v>
      </c>
      <c r="B40" s="54" t="s">
        <v>462</v>
      </c>
      <c r="C40" s="23">
        <f>'Yearly HC Propylene'!D13/'Yearly HC Propylene'!D6</f>
        <v>1</v>
      </c>
      <c r="D40" s="23">
        <f>'Yearly HC Propylene'!E13/'Yearly HC Propylene'!E6</f>
        <v>1.002</v>
      </c>
      <c r="E40" s="23">
        <f>'Yearly HC Propylene'!F13/'Yearly HC Propylene'!F6</f>
        <v>1.004</v>
      </c>
      <c r="F40" s="23">
        <f>'Yearly HC Propylene'!G13/'Yearly HC Propylene'!G6</f>
        <v>1.006</v>
      </c>
      <c r="G40" s="23">
        <f>'Yearly HC Propylene'!H13/'Yearly HC Propylene'!H6</f>
        <v>1.008</v>
      </c>
      <c r="H40" s="23">
        <f>'Yearly HC Propylene'!I13/'Yearly HC Propylene'!I6</f>
        <v>1.01</v>
      </c>
      <c r="I40" s="23">
        <f>'Yearly HC Propylene'!J13/'Yearly HC Propylene'!J6</f>
        <v>1.012</v>
      </c>
      <c r="J40" s="23">
        <f>'Yearly HC Propylene'!K13/'Yearly HC Propylene'!K6</f>
        <v>1.014</v>
      </c>
      <c r="K40" s="23">
        <f>'Yearly HC Propylene'!L13/'Yearly HC Propylene'!L6</f>
        <v>1.016</v>
      </c>
      <c r="L40" s="23">
        <f>'Yearly HC Propylene'!M13/'Yearly HC Propylene'!M6</f>
        <v>1.018</v>
      </c>
      <c r="M40" s="23">
        <f>'Yearly HC Propylene'!N13/'Yearly HC Propylene'!N6</f>
        <v>1.02</v>
      </c>
      <c r="N40" s="23">
        <f>'Yearly HC Propylene'!O13/'Yearly HC Propylene'!O6</f>
        <v>1.0249999999999999</v>
      </c>
      <c r="O40" s="23">
        <f>'Yearly HC Propylene'!P13/'Yearly HC Propylene'!P6</f>
        <v>1.03</v>
      </c>
      <c r="P40" s="23">
        <f>'Yearly HC Propylene'!Q13/'Yearly HC Propylene'!Q6</f>
        <v>1.0349999999999999</v>
      </c>
      <c r="Q40" s="23">
        <f>'Yearly HC Propylene'!R13/'Yearly HC Propylene'!R6</f>
        <v>1.04</v>
      </c>
      <c r="R40" s="23">
        <f>'Yearly HC Propylene'!S13/'Yearly HC Propylene'!S6</f>
        <v>1.0449999999999999</v>
      </c>
      <c r="S40" s="23">
        <f>'Yearly HC Propylene'!T13/'Yearly HC Propylene'!T6</f>
        <v>1.05</v>
      </c>
      <c r="T40" s="23">
        <f>'Yearly HC Propylene'!U13/'Yearly HC Propylene'!U6</f>
        <v>1.0549999999999999</v>
      </c>
      <c r="U40" s="23">
        <f>'Yearly HC Propylene'!V13/'Yearly HC Propylene'!V6</f>
        <v>1.06</v>
      </c>
      <c r="V40" s="23">
        <f>'Yearly HC Propylene'!W13/'Yearly HC Propylene'!W6</f>
        <v>1.0649999999999999</v>
      </c>
      <c r="W40" s="23">
        <f>'Yearly HC Propylene'!X13/'Yearly HC Propylene'!X6</f>
        <v>1.07</v>
      </c>
      <c r="X40" s="23">
        <f>'Yearly HC Propylene'!Y13/'Yearly HC Propylene'!Y6</f>
        <v>1.073</v>
      </c>
      <c r="Y40" s="23">
        <f>'Yearly HC Propylene'!Z13/'Yearly HC Propylene'!Z6</f>
        <v>1.0760000000000001</v>
      </c>
      <c r="Z40" s="23">
        <f>'Yearly HC Propylene'!AA13/'Yearly HC Propylene'!AA6</f>
        <v>1.079</v>
      </c>
      <c r="AA40" s="23">
        <f>'Yearly HC Propylene'!AB13/'Yearly HC Propylene'!AB6</f>
        <v>1.0820000000000001</v>
      </c>
      <c r="AB40" s="23">
        <f>'Yearly HC Propylene'!AC13/'Yearly HC Propylene'!AC6</f>
        <v>1.085</v>
      </c>
      <c r="AC40" s="23">
        <f>'Yearly HC Propylene'!AD13/'Yearly HC Propylene'!AD6</f>
        <v>1.0880000000000001</v>
      </c>
      <c r="AD40" s="23">
        <f>'Yearly HC Propylene'!AE13/'Yearly HC Propylene'!AE6</f>
        <v>1.091</v>
      </c>
      <c r="AE40" s="23">
        <f>'Yearly HC Propylene'!AF13/'Yearly HC Propylene'!AF6</f>
        <v>1.0940000000000001</v>
      </c>
      <c r="AF40" s="23">
        <f>'Yearly HC Propylene'!AG13/'Yearly HC Propylene'!AG6</f>
        <v>1.097</v>
      </c>
      <c r="AG40" s="23">
        <f>'Yearly HC Propylene'!AH13/'Yearly HC Propylene'!AH6</f>
        <v>1.0999999999999999</v>
      </c>
      <c r="AL40" s="108"/>
      <c r="AM40" s="2"/>
      <c r="AN40" s="2"/>
      <c r="AO40" s="2"/>
      <c r="BL40" s="1"/>
    </row>
    <row r="41" spans="1:64" outlineLevel="1">
      <c r="A41" t="s">
        <v>1481</v>
      </c>
      <c r="B41" s="54" t="s">
        <v>462</v>
      </c>
      <c r="C41" s="23">
        <f>'Yearly HC Propylene'!D25/'Yearly HC Propylene'!D22</f>
        <v>1</v>
      </c>
      <c r="D41" s="23">
        <f>'Yearly HC Propylene'!E25/'Yearly HC Propylene'!E22</f>
        <v>1</v>
      </c>
      <c r="E41" s="23">
        <f>'Yearly HC Propylene'!F25/'Yearly HC Propylene'!F22</f>
        <v>1</v>
      </c>
      <c r="F41" s="23">
        <f>'Yearly HC Propylene'!G25/'Yearly HC Propylene'!G22</f>
        <v>1</v>
      </c>
      <c r="G41" s="23">
        <f>'Yearly HC Propylene'!H25/'Yearly HC Propylene'!H22</f>
        <v>1</v>
      </c>
      <c r="H41" s="23">
        <f>'Yearly HC Propylene'!I25/'Yearly HC Propylene'!I22</f>
        <v>1</v>
      </c>
      <c r="I41" s="23">
        <f>'Yearly HC Propylene'!J25/'Yearly HC Propylene'!J22</f>
        <v>1</v>
      </c>
      <c r="J41" s="23">
        <f>'Yearly HC Propylene'!K25/'Yearly HC Propylene'!K22</f>
        <v>1</v>
      </c>
      <c r="K41" s="23">
        <f>'Yearly HC Propylene'!L25/'Yearly HC Propylene'!L22</f>
        <v>1</v>
      </c>
      <c r="L41" s="23">
        <f>'Yearly HC Propylene'!M25/'Yearly HC Propylene'!M22</f>
        <v>1</v>
      </c>
      <c r="M41" s="23">
        <f>'Yearly HC Propylene'!N25/'Yearly HC Propylene'!N22</f>
        <v>1</v>
      </c>
      <c r="N41" s="23">
        <f>'Yearly HC Propylene'!O25/'Yearly HC Propylene'!O22</f>
        <v>1</v>
      </c>
      <c r="O41" s="23">
        <f>'Yearly HC Propylene'!P25/'Yearly HC Propylene'!P22</f>
        <v>1</v>
      </c>
      <c r="P41" s="23">
        <f>'Yearly HC Propylene'!Q25/'Yearly HC Propylene'!Q22</f>
        <v>1</v>
      </c>
      <c r="Q41" s="23">
        <f>'Yearly HC Propylene'!R25/'Yearly HC Propylene'!R22</f>
        <v>1</v>
      </c>
      <c r="R41" s="23">
        <f>'Yearly HC Propylene'!S25/'Yearly HC Propylene'!S22</f>
        <v>1</v>
      </c>
      <c r="S41" s="23">
        <f>'Yearly HC Propylene'!T25/'Yearly HC Propylene'!T22</f>
        <v>1</v>
      </c>
      <c r="T41" s="23">
        <f>'Yearly HC Propylene'!U25/'Yearly HC Propylene'!U22</f>
        <v>1</v>
      </c>
      <c r="U41" s="23">
        <f>'Yearly HC Propylene'!V25/'Yearly HC Propylene'!V22</f>
        <v>1</v>
      </c>
      <c r="V41" s="23">
        <f>'Yearly HC Propylene'!W25/'Yearly HC Propylene'!W22</f>
        <v>1</v>
      </c>
      <c r="W41" s="23">
        <f>'Yearly HC Propylene'!X25/'Yearly HC Propylene'!X22</f>
        <v>1</v>
      </c>
      <c r="X41" s="23">
        <f>'Yearly HC Propylene'!Y25/'Yearly HC Propylene'!Y22</f>
        <v>1</v>
      </c>
      <c r="Y41" s="23">
        <f>'Yearly HC Propylene'!Z25/'Yearly HC Propylene'!Z22</f>
        <v>1</v>
      </c>
      <c r="Z41" s="23">
        <f>'Yearly HC Propylene'!AA25/'Yearly HC Propylene'!AA22</f>
        <v>1</v>
      </c>
      <c r="AA41" s="23">
        <f>'Yearly HC Propylene'!AB25/'Yearly HC Propylene'!AB22</f>
        <v>1</v>
      </c>
      <c r="AB41" s="23">
        <f>'Yearly HC Propylene'!AC25/'Yearly HC Propylene'!AC22</f>
        <v>1</v>
      </c>
      <c r="AC41" s="23">
        <f>'Yearly HC Propylene'!AD25/'Yearly HC Propylene'!AD22</f>
        <v>1</v>
      </c>
      <c r="AD41" s="23">
        <f>'Yearly HC Propylene'!AE25/'Yearly HC Propylene'!AE22</f>
        <v>1</v>
      </c>
      <c r="AE41" s="23">
        <f>'Yearly HC Propylene'!AF25/'Yearly HC Propylene'!AF22</f>
        <v>1</v>
      </c>
      <c r="AF41" s="23">
        <f>'Yearly HC Propylene'!AG25/'Yearly HC Propylene'!AG22</f>
        <v>1</v>
      </c>
      <c r="AG41" s="23">
        <f>'Yearly HC Propylene'!AH25/'Yearly HC Propylene'!AH22</f>
        <v>1</v>
      </c>
      <c r="AL41" s="108"/>
      <c r="AM41" s="2"/>
      <c r="AN41" s="2"/>
      <c r="AO41" s="2"/>
      <c r="BD41" s="41"/>
      <c r="BE41" s="41"/>
      <c r="BF41" s="41"/>
      <c r="BG41" s="41"/>
      <c r="BH41" s="41"/>
      <c r="BI41" s="41"/>
      <c r="BJ41" s="41"/>
      <c r="BK41" s="41"/>
      <c r="BL41" s="118"/>
    </row>
    <row r="42" spans="1:64" outlineLevel="1">
      <c r="A42" t="s">
        <v>1482</v>
      </c>
      <c r="B42" s="54" t="s">
        <v>462</v>
      </c>
      <c r="C42" s="23" t="s">
        <v>1483</v>
      </c>
      <c r="D42" s="23" t="s">
        <v>1483</v>
      </c>
      <c r="E42" s="23" t="s">
        <v>1483</v>
      </c>
      <c r="F42" s="23" t="s">
        <v>1483</v>
      </c>
      <c r="G42" s="23" t="s">
        <v>1483</v>
      </c>
      <c r="H42" s="23" t="s">
        <v>1483</v>
      </c>
      <c r="I42" s="23" t="s">
        <v>1483</v>
      </c>
      <c r="J42" s="23" t="s">
        <v>1483</v>
      </c>
      <c r="K42" s="23" t="s">
        <v>1483</v>
      </c>
      <c r="L42" s="23" t="s">
        <v>1483</v>
      </c>
      <c r="M42" s="23" t="s">
        <v>1483</v>
      </c>
      <c r="N42" s="23" t="s">
        <v>1483</v>
      </c>
      <c r="O42" s="23" t="s">
        <v>1483</v>
      </c>
      <c r="P42" s="23" t="s">
        <v>1483</v>
      </c>
      <c r="Q42" s="23" t="s">
        <v>1483</v>
      </c>
      <c r="R42" s="23" t="s">
        <v>1483</v>
      </c>
      <c r="S42" s="23" t="s">
        <v>1483</v>
      </c>
      <c r="T42" s="23" t="s">
        <v>1483</v>
      </c>
      <c r="U42" s="23" t="s">
        <v>1483</v>
      </c>
      <c r="V42" s="23" t="s">
        <v>1483</v>
      </c>
      <c r="W42" s="23" t="s">
        <v>1483</v>
      </c>
      <c r="X42" s="23" t="s">
        <v>1483</v>
      </c>
      <c r="Y42" s="23" t="s">
        <v>1483</v>
      </c>
      <c r="Z42" s="23" t="s">
        <v>1483</v>
      </c>
      <c r="AA42" s="23" t="s">
        <v>1483</v>
      </c>
      <c r="AB42" s="23" t="s">
        <v>1483</v>
      </c>
      <c r="AC42" s="23" t="s">
        <v>1483</v>
      </c>
      <c r="AD42" s="23" t="s">
        <v>1483</v>
      </c>
      <c r="AE42" s="23" t="s">
        <v>1483</v>
      </c>
      <c r="AF42" s="23" t="s">
        <v>1483</v>
      </c>
      <c r="AG42" s="23" t="s">
        <v>1483</v>
      </c>
      <c r="AL42" s="108"/>
      <c r="AM42" s="2"/>
      <c r="AN42" s="2"/>
      <c r="AO42" s="2"/>
      <c r="BD42" s="41"/>
      <c r="BE42" s="41"/>
      <c r="BF42" s="41"/>
      <c r="BG42" s="41"/>
      <c r="BH42" s="41"/>
      <c r="BI42" s="41"/>
      <c r="BJ42" s="41"/>
      <c r="BK42" s="41"/>
      <c r="BL42" s="118"/>
    </row>
    <row r="43" spans="1:64" outlineLevel="1">
      <c r="A43" t="s">
        <v>1484</v>
      </c>
      <c r="B43" s="176" t="s">
        <v>462</v>
      </c>
      <c r="C43" s="110">
        <f>'Yearly HC Propylene'!D35/'Yearly HC Propylene'!D32</f>
        <v>1</v>
      </c>
      <c r="D43" s="110">
        <f>'Yearly HC Propylene'!E35/'Yearly HC Propylene'!E32</f>
        <v>1</v>
      </c>
      <c r="E43" s="110">
        <f>'Yearly HC Propylene'!F35/'Yearly HC Propylene'!F32</f>
        <v>1</v>
      </c>
      <c r="F43" s="110">
        <f>'Yearly HC Propylene'!G35/'Yearly HC Propylene'!G32</f>
        <v>1</v>
      </c>
      <c r="G43" s="110">
        <f>'Yearly HC Propylene'!H35/'Yearly HC Propylene'!H32</f>
        <v>1</v>
      </c>
      <c r="H43" s="110">
        <f>'Yearly HC Propylene'!I35/'Yearly HC Propylene'!I32</f>
        <v>1</v>
      </c>
      <c r="I43" s="110">
        <f>'Yearly HC Propylene'!J35/'Yearly HC Propylene'!J32</f>
        <v>1</v>
      </c>
      <c r="J43" s="110">
        <f>'Yearly HC Propylene'!K35/'Yearly HC Propylene'!K32</f>
        <v>1</v>
      </c>
      <c r="K43" s="110">
        <f>'Yearly HC Propylene'!L35/'Yearly HC Propylene'!L32</f>
        <v>1</v>
      </c>
      <c r="L43" s="110">
        <f>'Yearly HC Propylene'!M35/'Yearly HC Propylene'!M32</f>
        <v>1</v>
      </c>
      <c r="M43" s="110">
        <f>'Yearly HC Propylene'!N35/'Yearly HC Propylene'!N32</f>
        <v>1</v>
      </c>
      <c r="N43" s="110">
        <f>'Yearly HC Propylene'!O35/'Yearly HC Propylene'!O32</f>
        <v>1</v>
      </c>
      <c r="O43" s="110">
        <f>'Yearly HC Propylene'!P35/'Yearly HC Propylene'!P32</f>
        <v>1</v>
      </c>
      <c r="P43" s="110">
        <f>'Yearly HC Propylene'!Q35/'Yearly HC Propylene'!Q32</f>
        <v>1</v>
      </c>
      <c r="Q43" s="110">
        <f>'Yearly HC Propylene'!R35/'Yearly HC Propylene'!R32</f>
        <v>1</v>
      </c>
      <c r="R43" s="110">
        <f>'Yearly HC Propylene'!S35/'Yearly HC Propylene'!S32</f>
        <v>1</v>
      </c>
      <c r="S43" s="110">
        <f>'Yearly HC Propylene'!T35/'Yearly HC Propylene'!T32</f>
        <v>1</v>
      </c>
      <c r="T43" s="110">
        <f>'Yearly HC Propylene'!U35/'Yearly HC Propylene'!U32</f>
        <v>1</v>
      </c>
      <c r="U43" s="110">
        <f>'Yearly HC Propylene'!V35/'Yearly HC Propylene'!V32</f>
        <v>1</v>
      </c>
      <c r="V43" s="110">
        <f>'Yearly HC Propylene'!W35/'Yearly HC Propylene'!W32</f>
        <v>1</v>
      </c>
      <c r="W43" s="110">
        <f>'Yearly HC Propylene'!X35/'Yearly HC Propylene'!X32</f>
        <v>1</v>
      </c>
      <c r="X43" s="110">
        <f>'Yearly HC Propylene'!Y35/'Yearly HC Propylene'!Y32</f>
        <v>1</v>
      </c>
      <c r="Y43" s="110">
        <f>'Yearly HC Propylene'!Z35/'Yearly HC Propylene'!Z32</f>
        <v>1</v>
      </c>
      <c r="Z43" s="110">
        <f>'Yearly HC Propylene'!AA35/'Yearly HC Propylene'!AA32</f>
        <v>1</v>
      </c>
      <c r="AA43" s="110">
        <f>'Yearly HC Propylene'!AB35/'Yearly HC Propylene'!AB32</f>
        <v>1</v>
      </c>
      <c r="AB43" s="110">
        <f>'Yearly HC Propylene'!AC35/'Yearly HC Propylene'!AC32</f>
        <v>1</v>
      </c>
      <c r="AC43" s="110">
        <f>'Yearly HC Propylene'!AD35/'Yearly HC Propylene'!AD32</f>
        <v>1</v>
      </c>
      <c r="AD43" s="110">
        <f>'Yearly HC Propylene'!AE35/'Yearly HC Propylene'!AE32</f>
        <v>1</v>
      </c>
      <c r="AE43" s="110">
        <f>'Yearly HC Propylene'!AF35/'Yearly HC Propylene'!AF32</f>
        <v>1</v>
      </c>
      <c r="AF43" s="110">
        <f>'Yearly HC Propylene'!AG35/'Yearly HC Propylene'!AG32</f>
        <v>1</v>
      </c>
      <c r="AG43" s="110">
        <f>'Yearly HC Propylene'!AH35/'Yearly HC Propylene'!AH32</f>
        <v>1</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1485</v>
      </c>
      <c r="B45" s="54" t="s">
        <v>1470</v>
      </c>
      <c r="C45" s="107">
        <f>C27*C39</f>
        <v>42.585119205697637</v>
      </c>
      <c r="D45" s="107">
        <f t="shared" ref="D45:AF45" si="19">D27*D39</f>
        <v>44.012636263047483</v>
      </c>
      <c r="E45" s="107">
        <f t="shared" si="19"/>
        <v>45.36909701335091</v>
      </c>
      <c r="F45" s="107">
        <f t="shared" si="19"/>
        <v>46.645191207078334</v>
      </c>
      <c r="G45" s="107">
        <f t="shared" si="19"/>
        <v>47.83198116362081</v>
      </c>
      <c r="H45" s="107">
        <f t="shared" si="19"/>
        <v>48.921006043844443</v>
      </c>
      <c r="I45" s="107">
        <f t="shared" si="19"/>
        <v>50.012048902373749</v>
      </c>
      <c r="J45" s="107">
        <f t="shared" si="19"/>
        <v>51.104121901012896</v>
      </c>
      <c r="K45" s="107">
        <f t="shared" si="19"/>
        <v>52.196212122325981</v>
      </c>
      <c r="L45" s="107">
        <f t="shared" si="19"/>
        <v>53.287282886908656</v>
      </c>
      <c r="M45" s="107">
        <f t="shared" si="19"/>
        <v>54.376275159687594</v>
      </c>
      <c r="N45" s="107">
        <f t="shared" si="19"/>
        <v>55.382754376308014</v>
      </c>
      <c r="O45" s="107">
        <f t="shared" si="19"/>
        <v>56.301138422088286</v>
      </c>
      <c r="P45" s="107">
        <f t="shared" si="19"/>
        <v>57.126239456611934</v>
      </c>
      <c r="Q45" s="107">
        <f t="shared" si="19"/>
        <v>57.853312130622385</v>
      </c>
      <c r="R45" s="107">
        <f t="shared" si="19"/>
        <v>58.478098540198893</v>
      </c>
      <c r="S45" s="107">
        <f t="shared" si="19"/>
        <v>59.103162210000427</v>
      </c>
      <c r="T45" s="107">
        <f t="shared" si="19"/>
        <v>59.728363877389825</v>
      </c>
      <c r="U45" s="107">
        <f t="shared" si="19"/>
        <v>60.353562607814325</v>
      </c>
      <c r="V45" s="107">
        <f t="shared" si="19"/>
        <v>60.978615839267896</v>
      </c>
      <c r="W45" s="107">
        <f t="shared" si="19"/>
        <v>61.603379428230369</v>
      </c>
      <c r="X45" s="107">
        <f t="shared" si="19"/>
        <v>62.22839309866503</v>
      </c>
      <c r="Y45" s="107">
        <f t="shared" si="19"/>
        <v>62.853531369168849</v>
      </c>
      <c r="Z45" s="107">
        <f t="shared" si="19"/>
        <v>63.478667340269851</v>
      </c>
      <c r="AA45" s="107">
        <f t="shared" si="19"/>
        <v>64.103672730685716</v>
      </c>
      <c r="AB45" s="107">
        <f t="shared" si="19"/>
        <v>64.728417914711073</v>
      </c>
      <c r="AC45" s="107">
        <f t="shared" si="19"/>
        <v>65.35338982131735</v>
      </c>
      <c r="AD45" s="107">
        <f t="shared" si="19"/>
        <v>65.978474789108787</v>
      </c>
      <c r="AE45" s="107">
        <f t="shared" si="19"/>
        <v>66.603557943280975</v>
      </c>
      <c r="AF45" s="107">
        <f t="shared" si="19"/>
        <v>67.228523225485176</v>
      </c>
      <c r="AG45" s="107">
        <f>AG27*AG39</f>
        <v>67.853253424567384</v>
      </c>
      <c r="AI45" s="210" t="s">
        <v>1301</v>
      </c>
      <c r="AJ45" s="211" t="s">
        <v>1302</v>
      </c>
      <c r="BD45" s="41"/>
      <c r="BE45" s="41"/>
      <c r="BF45" s="41"/>
      <c r="BG45" s="41"/>
      <c r="BH45" s="41"/>
      <c r="BI45" s="41"/>
      <c r="BJ45" s="41"/>
      <c r="BK45" s="41"/>
      <c r="BL45" s="118"/>
    </row>
    <row r="46" spans="1:64" outlineLevel="1">
      <c r="A46" t="s">
        <v>1486</v>
      </c>
      <c r="B46" s="54" t="s">
        <v>1470</v>
      </c>
      <c r="C46" s="107">
        <f>C28*$C$40</f>
        <v>10.312870698085007</v>
      </c>
      <c r="D46" s="107">
        <f t="shared" ref="D46:O46" si="20">D28*$C$40</f>
        <v>10.658573589290958</v>
      </c>
      <c r="E46" s="107">
        <f t="shared" si="20"/>
        <v>10.98706872059107</v>
      </c>
      <c r="F46" s="107">
        <f t="shared" si="20"/>
        <v>11.296101421777623</v>
      </c>
      <c r="G46" s="107">
        <f t="shared" si="20"/>
        <v>11.583507247941681</v>
      </c>
      <c r="H46" s="107">
        <f t="shared" si="20"/>
        <v>11.847237231236907</v>
      </c>
      <c r="I46" s="107">
        <f t="shared" si="20"/>
        <v>12.111455909872808</v>
      </c>
      <c r="J46" s="107">
        <f t="shared" si="20"/>
        <v>12.375924058322388</v>
      </c>
      <c r="K46" s="107">
        <f t="shared" si="20"/>
        <v>12.640396377600009</v>
      </c>
      <c r="L46" s="107">
        <f t="shared" si="20"/>
        <v>12.904621814266076</v>
      </c>
      <c r="M46" s="107">
        <f t="shared" si="20"/>
        <v>13.168343900991626</v>
      </c>
      <c r="N46" s="107">
        <f t="shared" si="20"/>
        <v>13.412083738167601</v>
      </c>
      <c r="O46" s="107">
        <f t="shared" si="20"/>
        <v>13.634489500837134</v>
      </c>
      <c r="P46" s="107">
        <f>D40*P28</f>
        <v>13.86197345543342</v>
      </c>
      <c r="Q46" s="107">
        <f t="shared" ref="Q46:AF46" si="21">E40*Q28</f>
        <v>14.066422110396546</v>
      </c>
      <c r="R46" s="107">
        <f t="shared" si="21"/>
        <v>14.246655701441881</v>
      </c>
      <c r="S46" s="107">
        <f t="shared" si="21"/>
        <v>14.427562193960767</v>
      </c>
      <c r="T46" s="107">
        <f t="shared" si="21"/>
        <v>14.609107928227004</v>
      </c>
      <c r="U46" s="107">
        <f t="shared" si="21"/>
        <v>14.791258564963934</v>
      </c>
      <c r="V46" s="107">
        <f t="shared" si="21"/>
        <v>14.973979092213783</v>
      </c>
      <c r="W46" s="107">
        <f t="shared" si="21"/>
        <v>15.157233832699566</v>
      </c>
      <c r="X46" s="107">
        <f t="shared" si="21"/>
        <v>15.341155423622718</v>
      </c>
      <c r="Y46" s="107">
        <f t="shared" si="21"/>
        <v>15.525713232672453</v>
      </c>
      <c r="Z46" s="107">
        <f t="shared" si="21"/>
        <v>15.756994064873975</v>
      </c>
      <c r="AA46" s="107">
        <f t="shared" si="21"/>
        <v>15.989756222101482</v>
      </c>
      <c r="AB46" s="107">
        <f t="shared" si="21"/>
        <v>16.22396673975253</v>
      </c>
      <c r="AC46" s="107">
        <f t="shared" si="21"/>
        <v>16.459747309369064</v>
      </c>
      <c r="AD46" s="107">
        <f t="shared" si="21"/>
        <v>16.697069990422118</v>
      </c>
      <c r="AE46" s="107">
        <f t="shared" si="21"/>
        <v>16.935905983328752</v>
      </c>
      <c r="AF46" s="107">
        <f t="shared" si="21"/>
        <v>17.176225629735686</v>
      </c>
      <c r="AG46" s="107">
        <f>U40*AG28</f>
        <v>17.417998413244625</v>
      </c>
      <c r="AI46" s="210" t="s">
        <v>1304</v>
      </c>
      <c r="AJ46" s="211" t="s">
        <v>1302</v>
      </c>
      <c r="BD46" s="41"/>
      <c r="BE46" s="41"/>
      <c r="BF46" s="41"/>
      <c r="BG46" s="41"/>
      <c r="BH46" s="41"/>
      <c r="BI46" s="41"/>
      <c r="BJ46" s="41"/>
      <c r="BK46" s="41"/>
      <c r="BL46" s="118"/>
    </row>
    <row r="47" spans="1:64" outlineLevel="1">
      <c r="A47" t="s">
        <v>1487</v>
      </c>
      <c r="B47" s="54" t="s">
        <v>1470</v>
      </c>
      <c r="C47" s="107">
        <f>C29</f>
        <v>2.6141114211437237</v>
      </c>
      <c r="D47" s="107">
        <f t="shared" ref="D47:AG47" si="22">D29</f>
        <v>2.7017403561590436</v>
      </c>
      <c r="E47" s="107">
        <f t="shared" si="22"/>
        <v>2.7850074599230017</v>
      </c>
      <c r="F47" s="107">
        <f t="shared" si="22"/>
        <v>2.8633412175477018</v>
      </c>
      <c r="G47" s="107">
        <f t="shared" si="22"/>
        <v>2.9361929844973473</v>
      </c>
      <c r="H47" s="107">
        <f t="shared" si="22"/>
        <v>3.0030433874174678</v>
      </c>
      <c r="I47" s="107">
        <f t="shared" si="22"/>
        <v>3.0700176650674211</v>
      </c>
      <c r="J47" s="107">
        <f t="shared" si="22"/>
        <v>3.137055178445646</v>
      </c>
      <c r="K47" s="107">
        <f t="shared" si="22"/>
        <v>3.2040937490473684</v>
      </c>
      <c r="L47" s="107">
        <f t="shared" si="22"/>
        <v>3.2710697397260557</v>
      </c>
      <c r="M47" s="107">
        <f t="shared" si="22"/>
        <v>3.3379181410198999</v>
      </c>
      <c r="N47" s="107">
        <f t="shared" si="22"/>
        <v>3.3997014320940089</v>
      </c>
      <c r="O47" s="107">
        <f t="shared" si="22"/>
        <v>3.4560769517085976</v>
      </c>
      <c r="P47" s="107">
        <f t="shared" si="22"/>
        <v>3.5067262413707287</v>
      </c>
      <c r="Q47" s="107">
        <f t="shared" si="22"/>
        <v>3.5513580051554348</v>
      </c>
      <c r="R47" s="107">
        <f t="shared" si="22"/>
        <v>3.5897108692430097</v>
      </c>
      <c r="S47" s="107">
        <f t="shared" si="22"/>
        <v>3.6280807531049661</v>
      </c>
      <c r="T47" s="107">
        <f t="shared" si="22"/>
        <v>3.6664591080262339</v>
      </c>
      <c r="U47" s="107">
        <f t="shared" si="22"/>
        <v>3.7048372826602627</v>
      </c>
      <c r="V47" s="107">
        <f t="shared" si="22"/>
        <v>3.7432065257583771</v>
      </c>
      <c r="W47" s="107">
        <f t="shared" si="22"/>
        <v>3.7815579889897641</v>
      </c>
      <c r="X47" s="107">
        <f t="shared" si="22"/>
        <v>3.8199248036125488</v>
      </c>
      <c r="Y47" s="107">
        <f t="shared" si="22"/>
        <v>3.8582992668804459</v>
      </c>
      <c r="Z47" s="107">
        <f t="shared" si="22"/>
        <v>3.8966735889982118</v>
      </c>
      <c r="AA47" s="107">
        <f t="shared" si="22"/>
        <v>3.9350398953474</v>
      </c>
      <c r="AB47" s="107">
        <f t="shared" si="22"/>
        <v>3.9733902287814025</v>
      </c>
      <c r="AC47" s="107">
        <f t="shared" si="22"/>
        <v>4.0117544797081646</v>
      </c>
      <c r="AD47" s="107">
        <f t="shared" si="22"/>
        <v>4.050125670959174</v>
      </c>
      <c r="AE47" s="107">
        <f t="shared" si="22"/>
        <v>4.0884967508801484</v>
      </c>
      <c r="AF47" s="107">
        <f t="shared" si="22"/>
        <v>4.1268605951642749</v>
      </c>
      <c r="AG47" s="107">
        <f t="shared" si="22"/>
        <v>4.1652100087391384</v>
      </c>
      <c r="AI47" s="210" t="s">
        <v>1306</v>
      </c>
      <c r="AJ47" s="211" t="s">
        <v>1302</v>
      </c>
      <c r="BD47" s="41"/>
      <c r="BE47" s="41"/>
      <c r="BF47" s="41"/>
      <c r="BG47" s="41"/>
      <c r="BH47" s="41"/>
      <c r="BI47" s="41"/>
      <c r="BJ47" s="41"/>
      <c r="BK47" s="41"/>
      <c r="BL47" s="118"/>
    </row>
    <row r="48" spans="1:64" outlineLevel="1">
      <c r="A48" t="s">
        <v>1488</v>
      </c>
      <c r="B48" s="54" t="s">
        <v>1470</v>
      </c>
      <c r="C48" s="84">
        <v>0</v>
      </c>
      <c r="D48" s="84">
        <v>0</v>
      </c>
      <c r="E48" s="84">
        <v>0</v>
      </c>
      <c r="F48" s="84">
        <v>0</v>
      </c>
      <c r="G48" s="84">
        <v>0</v>
      </c>
      <c r="H48" s="84">
        <v>0</v>
      </c>
      <c r="I48" s="84">
        <v>0</v>
      </c>
      <c r="J48" s="84">
        <v>0</v>
      </c>
      <c r="K48" s="84">
        <v>0</v>
      </c>
      <c r="L48" s="84">
        <v>0</v>
      </c>
      <c r="M48" s="84">
        <v>0</v>
      </c>
      <c r="N48" s="84">
        <v>0</v>
      </c>
      <c r="O48" s="84">
        <v>0</v>
      </c>
      <c r="P48" s="84">
        <v>0</v>
      </c>
      <c r="Q48" s="84">
        <v>0</v>
      </c>
      <c r="R48" s="84">
        <v>0</v>
      </c>
      <c r="S48" s="84">
        <v>0</v>
      </c>
      <c r="T48" s="84">
        <v>0</v>
      </c>
      <c r="U48" s="84">
        <v>0</v>
      </c>
      <c r="V48" s="84">
        <v>0</v>
      </c>
      <c r="W48" s="84">
        <v>0</v>
      </c>
      <c r="X48" s="84">
        <v>0</v>
      </c>
      <c r="Y48" s="84">
        <v>0</v>
      </c>
      <c r="Z48" s="84">
        <v>0</v>
      </c>
      <c r="AA48" s="84">
        <v>0</v>
      </c>
      <c r="AB48" s="84">
        <v>0</v>
      </c>
      <c r="AC48" s="84">
        <v>0</v>
      </c>
      <c r="AD48" s="84">
        <v>0</v>
      </c>
      <c r="AE48" s="84">
        <v>0</v>
      </c>
      <c r="AF48" s="84">
        <v>0</v>
      </c>
      <c r="AG48" s="84">
        <v>0</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1489</v>
      </c>
      <c r="B49" s="176" t="s">
        <v>1470</v>
      </c>
      <c r="C49" s="107">
        <f>(C31+C30)*$C$43</f>
        <v>35.620517225621761</v>
      </c>
      <c r="D49" s="107">
        <f t="shared" ref="D49:H49" si="23">(D31+D30)*$C$43</f>
        <v>36.814570380330217</v>
      </c>
      <c r="E49" s="107">
        <f t="shared" si="23"/>
        <v>37.949188162862995</v>
      </c>
      <c r="F49" s="107">
        <f t="shared" si="23"/>
        <v>39.016582972529342</v>
      </c>
      <c r="G49" s="107">
        <f t="shared" si="23"/>
        <v>40.009278845611696</v>
      </c>
      <c r="H49" s="107">
        <f t="shared" si="23"/>
        <v>40.92019867461962</v>
      </c>
      <c r="I49" s="107">
        <f>(I31+I30)*D43</f>
        <v>41.832806450787004</v>
      </c>
      <c r="J49" s="107">
        <f t="shared" ref="J49:AG49" si="24">(J31+J30)*E43</f>
        <v>42.746275892348592</v>
      </c>
      <c r="K49" s="107">
        <f t="shared" si="24"/>
        <v>43.659759739894355</v>
      </c>
      <c r="L49" s="107">
        <f t="shared" si="24"/>
        <v>44.572390858207392</v>
      </c>
      <c r="M49" s="107">
        <f t="shared" si="24"/>
        <v>45.483283412569456</v>
      </c>
      <c r="N49" s="107">
        <f t="shared" si="24"/>
        <v>46.325157544697305</v>
      </c>
      <c r="O49" s="107">
        <f t="shared" si="24"/>
        <v>47.093344069300862</v>
      </c>
      <c r="P49" s="107">
        <f t="shared" si="24"/>
        <v>47.783503593597686</v>
      </c>
      <c r="Q49" s="107">
        <f t="shared" si="24"/>
        <v>48.391666848554671</v>
      </c>
      <c r="R49" s="107">
        <f t="shared" si="24"/>
        <v>48.914272291013468</v>
      </c>
      <c r="S49" s="107">
        <f t="shared" si="24"/>
        <v>49.437109649052303</v>
      </c>
      <c r="T49" s="107">
        <f t="shared" si="24"/>
        <v>49.960062435803025</v>
      </c>
      <c r="U49" s="107">
        <f t="shared" si="24"/>
        <v>50.483012765916065</v>
      </c>
      <c r="V49" s="107">
        <f t="shared" si="24"/>
        <v>51.005841392751137</v>
      </c>
      <c r="W49" s="107">
        <f t="shared" si="24"/>
        <v>51.528427746803217</v>
      </c>
      <c r="X49" s="107">
        <f t="shared" si="24"/>
        <v>52.051223282643541</v>
      </c>
      <c r="Y49" s="107">
        <f t="shared" si="24"/>
        <v>52.574123040780123</v>
      </c>
      <c r="Z49" s="107">
        <f t="shared" si="24"/>
        <v>53.097020875570728</v>
      </c>
      <c r="AA49" s="107">
        <f t="shared" si="24"/>
        <v>53.619809485551549</v>
      </c>
      <c r="AB49" s="107">
        <f t="shared" si="24"/>
        <v>54.142380444710035</v>
      </c>
      <c r="AC49" s="107">
        <f t="shared" si="24"/>
        <v>54.665141047005605</v>
      </c>
      <c r="AD49" s="107">
        <f t="shared" si="24"/>
        <v>55.187996219845253</v>
      </c>
      <c r="AE49" s="107">
        <f t="shared" si="24"/>
        <v>55.710849875674803</v>
      </c>
      <c r="AF49" s="107">
        <f t="shared" si="24"/>
        <v>56.233604936959033</v>
      </c>
      <c r="AG49" s="107">
        <f t="shared" si="24"/>
        <v>56.756163361893442</v>
      </c>
      <c r="AI49" s="210" t="s">
        <v>1308</v>
      </c>
      <c r="AJ49" s="211" t="s">
        <v>1302</v>
      </c>
      <c r="AL49" s="108"/>
      <c r="AM49" s="2"/>
      <c r="AN49" s="2"/>
      <c r="AO49" s="2"/>
    </row>
    <row r="50" spans="1:63" s="1" customFormat="1" ht="16" thickBot="1">
      <c r="A50" s="200" t="s">
        <v>1490</v>
      </c>
      <c r="B50" s="215" t="s">
        <v>1470</v>
      </c>
      <c r="C50" s="216">
        <f>SUM(C45:C49)</f>
        <v>91.132618550548131</v>
      </c>
      <c r="D50" s="216">
        <f t="shared" ref="D50:AF50" si="25">SUM(D45:D49)</f>
        <v>94.187520588827709</v>
      </c>
      <c r="E50" s="216">
        <f t="shared" si="25"/>
        <v>97.090361356727982</v>
      </c>
      <c r="F50" s="216">
        <f t="shared" si="25"/>
        <v>99.821216818932996</v>
      </c>
      <c r="G50" s="216">
        <f t="shared" si="25"/>
        <v>102.36096024167153</v>
      </c>
      <c r="H50" s="216">
        <f t="shared" si="25"/>
        <v>104.69148533711844</v>
      </c>
      <c r="I50" s="216">
        <f t="shared" si="25"/>
        <v>107.02632892810098</v>
      </c>
      <c r="J50" s="216">
        <f t="shared" si="25"/>
        <v>109.36337703012953</v>
      </c>
      <c r="K50" s="216">
        <f t="shared" si="25"/>
        <v>111.70046198886772</v>
      </c>
      <c r="L50" s="216">
        <f t="shared" si="25"/>
        <v>114.03536529910818</v>
      </c>
      <c r="M50" s="216">
        <f t="shared" si="25"/>
        <v>116.36582061426859</v>
      </c>
      <c r="N50" s="216">
        <f t="shared" si="25"/>
        <v>118.51969709126692</v>
      </c>
      <c r="O50" s="216">
        <f t="shared" si="25"/>
        <v>120.48504894393488</v>
      </c>
      <c r="P50" s="216">
        <f t="shared" si="25"/>
        <v>122.27844274701377</v>
      </c>
      <c r="Q50" s="216">
        <f t="shared" si="25"/>
        <v>123.86275909472903</v>
      </c>
      <c r="R50" s="216">
        <f t="shared" si="25"/>
        <v>125.22873740189723</v>
      </c>
      <c r="S50" s="216">
        <f t="shared" si="25"/>
        <v>126.59591480611846</v>
      </c>
      <c r="T50" s="216">
        <f t="shared" si="25"/>
        <v>127.96399334944608</v>
      </c>
      <c r="U50" s="216">
        <f t="shared" si="25"/>
        <v>129.33267122135459</v>
      </c>
      <c r="V50" s="216">
        <f t="shared" si="25"/>
        <v>130.7016428499912</v>
      </c>
      <c r="W50" s="216">
        <f t="shared" si="25"/>
        <v>132.07059899672291</v>
      </c>
      <c r="X50" s="216">
        <f t="shared" si="25"/>
        <v>133.44069660854385</v>
      </c>
      <c r="Y50" s="216">
        <f t="shared" si="25"/>
        <v>134.81166690950187</v>
      </c>
      <c r="Z50" s="216">
        <f t="shared" si="25"/>
        <v>136.22935586971278</v>
      </c>
      <c r="AA50" s="216">
        <f t="shared" si="25"/>
        <v>137.64827833368614</v>
      </c>
      <c r="AB50" s="216">
        <f t="shared" si="25"/>
        <v>139.06815532795503</v>
      </c>
      <c r="AC50" s="216">
        <f t="shared" si="25"/>
        <v>140.49003265740018</v>
      </c>
      <c r="AD50" s="216">
        <f t="shared" si="25"/>
        <v>141.91366667033535</v>
      </c>
      <c r="AE50" s="216">
        <f t="shared" si="25"/>
        <v>143.33881055316468</v>
      </c>
      <c r="AF50" s="216">
        <f t="shared" si="25"/>
        <v>144.76521438734417</v>
      </c>
      <c r="AG50" s="216">
        <f>SUM(AG45:AG49)</f>
        <v>146.19262520844458</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26">D55</f>
        <v>0.14849999999999999</v>
      </c>
      <c r="E52" s="222">
        <f t="shared" si="26"/>
        <v>0.155</v>
      </c>
      <c r="F52" s="222">
        <f t="shared" si="26"/>
        <v>0.16149999999999998</v>
      </c>
      <c r="G52" s="222">
        <f t="shared" si="26"/>
        <v>0.16800000000000001</v>
      </c>
      <c r="H52" s="222">
        <f t="shared" si="26"/>
        <v>0.17449999999999999</v>
      </c>
      <c r="I52" s="222">
        <f t="shared" si="26"/>
        <v>0.18099999999999999</v>
      </c>
      <c r="J52" s="222">
        <f t="shared" si="26"/>
        <v>0.1875</v>
      </c>
      <c r="K52" s="222">
        <f t="shared" si="26"/>
        <v>0.19400000000000001</v>
      </c>
      <c r="L52" s="222">
        <f t="shared" si="26"/>
        <v>0.20050000000000001</v>
      </c>
      <c r="M52" s="222">
        <f t="shared" si="26"/>
        <v>0.20700000000000002</v>
      </c>
      <c r="N52" s="222">
        <f t="shared" si="26"/>
        <v>0.22070000000000001</v>
      </c>
      <c r="O52" s="222">
        <f t="shared" si="26"/>
        <v>0.2344</v>
      </c>
      <c r="P52" s="222">
        <f t="shared" si="26"/>
        <v>0.24809999999999999</v>
      </c>
      <c r="Q52" s="222">
        <f t="shared" si="26"/>
        <v>0.26179999999999998</v>
      </c>
      <c r="R52" s="222">
        <f t="shared" si="26"/>
        <v>0.27549999999999997</v>
      </c>
      <c r="S52" s="222">
        <f t="shared" si="26"/>
        <v>0.28920000000000001</v>
      </c>
      <c r="T52" s="222">
        <f t="shared" si="26"/>
        <v>0.3029</v>
      </c>
      <c r="U52" s="222">
        <f t="shared" si="26"/>
        <v>0.31659999999999999</v>
      </c>
      <c r="V52" s="222">
        <f t="shared" si="26"/>
        <v>0.33030000000000004</v>
      </c>
      <c r="W52" s="222">
        <f t="shared" si="26"/>
        <v>0.34399999999999997</v>
      </c>
      <c r="X52" s="222">
        <f t="shared" si="26"/>
        <v>0.36692262658227848</v>
      </c>
      <c r="Y52" s="222">
        <f t="shared" si="26"/>
        <v>0.38984525316455698</v>
      </c>
      <c r="Z52" s="222">
        <f t="shared" si="26"/>
        <v>0.41276787974683543</v>
      </c>
      <c r="AA52" s="222">
        <f t="shared" si="26"/>
        <v>0.43569050632911388</v>
      </c>
      <c r="AB52" s="222">
        <f t="shared" si="26"/>
        <v>0.45861313291139238</v>
      </c>
      <c r="AC52" s="222">
        <f t="shared" si="26"/>
        <v>0.48153575949367089</v>
      </c>
      <c r="AD52" s="222">
        <f t="shared" si="26"/>
        <v>0.50445838607594939</v>
      </c>
      <c r="AE52" s="222">
        <f t="shared" si="26"/>
        <v>0.5273810126582279</v>
      </c>
      <c r="AF52" s="222">
        <f t="shared" si="26"/>
        <v>0.55030363924050629</v>
      </c>
      <c r="AG52" s="222">
        <f t="shared" si="26"/>
        <v>0.5732262658227848</v>
      </c>
      <c r="AJ52" s="231" t="s">
        <v>1491</v>
      </c>
      <c r="AL52" s="217"/>
      <c r="AM52" s="218"/>
      <c r="AN52" s="218"/>
      <c r="AO52" s="218"/>
    </row>
    <row r="53" spans="1:63" ht="16" outlineLevel="1" thickTop="1">
      <c r="A53" t="s">
        <v>1313</v>
      </c>
      <c r="B53" s="54" t="s">
        <v>462</v>
      </c>
      <c r="C53" s="113">
        <v>4.7E-2</v>
      </c>
      <c r="D53" s="110">
        <f>$C53+($M53-$C53)/10*(D$1-$C$1)</f>
        <v>5.0200000000000002E-2</v>
      </c>
      <c r="E53" s="110">
        <f t="shared" ref="E53:L54" si="27">$C53+($M53-$C53)/10*(E$1-$C$1)</f>
        <v>5.3400000000000003E-2</v>
      </c>
      <c r="F53" s="110">
        <f t="shared" si="27"/>
        <v>5.6599999999999998E-2</v>
      </c>
      <c r="G53" s="110">
        <f t="shared" si="27"/>
        <v>5.9799999999999999E-2</v>
      </c>
      <c r="H53" s="110">
        <f t="shared" si="27"/>
        <v>6.3E-2</v>
      </c>
      <c r="I53" s="110">
        <f t="shared" si="27"/>
        <v>6.6200000000000009E-2</v>
      </c>
      <c r="J53" s="110">
        <f t="shared" si="27"/>
        <v>6.9400000000000003E-2</v>
      </c>
      <c r="K53" s="110">
        <f t="shared" si="27"/>
        <v>7.2599999999999998E-2</v>
      </c>
      <c r="L53" s="110">
        <f t="shared" si="27"/>
        <v>7.5800000000000006E-2</v>
      </c>
      <c r="M53" s="113">
        <v>7.9000000000000001E-2</v>
      </c>
      <c r="N53" s="110">
        <f>$M53+($W53-$M53)/10*(N$1-$M$1)</f>
        <v>8.5100000000000009E-2</v>
      </c>
      <c r="O53" s="110">
        <f t="shared" ref="O53:U54" si="28">$M53+($W53-$M53)/10*(O$1-$M$1)</f>
        <v>9.1200000000000003E-2</v>
      </c>
      <c r="P53" s="110">
        <f t="shared" si="28"/>
        <v>9.7299999999999998E-2</v>
      </c>
      <c r="Q53" s="110">
        <f t="shared" si="28"/>
        <v>0.10340000000000001</v>
      </c>
      <c r="R53" s="110">
        <f t="shared" si="28"/>
        <v>0.10950000000000001</v>
      </c>
      <c r="S53" s="110">
        <f t="shared" si="28"/>
        <v>0.11560000000000001</v>
      </c>
      <c r="T53" s="110">
        <f t="shared" si="28"/>
        <v>0.1217</v>
      </c>
      <c r="U53" s="110">
        <f t="shared" si="28"/>
        <v>0.12780000000000002</v>
      </c>
      <c r="V53" s="110">
        <f>$M53+($W53-$M53)/10*(V$1-$M$1)</f>
        <v>0.13390000000000002</v>
      </c>
      <c r="W53" s="113">
        <v>0.14000000000000001</v>
      </c>
      <c r="X53" s="110">
        <f>$W53+($AG53-$W53)/10*(X$1-$W$1)</f>
        <v>0.15081012658227849</v>
      </c>
      <c r="Y53" s="110">
        <f t="shared" ref="Y53:AF54" si="29">$W53+($AG53-$W53)/10*(Y$1-$W$1)</f>
        <v>0.16162025316455697</v>
      </c>
      <c r="Z53" s="110">
        <f t="shared" si="29"/>
        <v>0.17243037974683545</v>
      </c>
      <c r="AA53" s="110">
        <f t="shared" si="29"/>
        <v>0.18324050632911396</v>
      </c>
      <c r="AB53" s="110">
        <f t="shared" si="29"/>
        <v>0.19405063291139243</v>
      </c>
      <c r="AC53" s="110">
        <f t="shared" si="29"/>
        <v>0.20486075949367091</v>
      </c>
      <c r="AD53" s="110">
        <f t="shared" si="29"/>
        <v>0.21567088607594942</v>
      </c>
      <c r="AE53" s="110">
        <f t="shared" si="29"/>
        <v>0.2264810126582279</v>
      </c>
      <c r="AF53" s="110">
        <f t="shared" si="29"/>
        <v>0.23729113924050638</v>
      </c>
      <c r="AG53" s="110">
        <f>(W53/M53)*W53</f>
        <v>0.24810126582278486</v>
      </c>
      <c r="AI53" s="133"/>
      <c r="AJ53" s="211" t="s">
        <v>1431</v>
      </c>
      <c r="AL53" s="108"/>
      <c r="AM53" s="2"/>
      <c r="AN53" s="2"/>
      <c r="AO53" s="2"/>
      <c r="AV53" s="41"/>
    </row>
    <row r="54" spans="1:63" outlineLevel="1">
      <c r="A54" t="s">
        <v>1315</v>
      </c>
      <c r="B54" s="54" t="s">
        <v>462</v>
      </c>
      <c r="C54" s="113">
        <v>9.5000000000000001E-2</v>
      </c>
      <c r="D54" s="110">
        <f>$C54+($M54-$C54)/10*(D$1-$C$1)</f>
        <v>9.8299999999999998E-2</v>
      </c>
      <c r="E54" s="110">
        <f t="shared" si="27"/>
        <v>0.1016</v>
      </c>
      <c r="F54" s="110">
        <f t="shared" si="27"/>
        <v>0.10489999999999999</v>
      </c>
      <c r="G54" s="110">
        <f t="shared" si="27"/>
        <v>0.1082</v>
      </c>
      <c r="H54" s="110">
        <f t="shared" si="27"/>
        <v>0.1115</v>
      </c>
      <c r="I54" s="110">
        <f t="shared" si="27"/>
        <v>0.1148</v>
      </c>
      <c r="J54" s="110">
        <f t="shared" si="27"/>
        <v>0.1181</v>
      </c>
      <c r="K54" s="110">
        <f t="shared" si="27"/>
        <v>0.12140000000000001</v>
      </c>
      <c r="L54" s="110">
        <f t="shared" si="27"/>
        <v>0.12470000000000001</v>
      </c>
      <c r="M54" s="113">
        <v>0.128</v>
      </c>
      <c r="N54" s="110">
        <f>$M54+($W54-$M54)/10*(N$1-$M$1)</f>
        <v>0.1356</v>
      </c>
      <c r="O54" s="110">
        <f t="shared" si="28"/>
        <v>0.14319999999999999</v>
      </c>
      <c r="P54" s="110">
        <f t="shared" si="28"/>
        <v>0.15079999999999999</v>
      </c>
      <c r="Q54" s="110">
        <f t="shared" si="28"/>
        <v>0.15839999999999999</v>
      </c>
      <c r="R54" s="110">
        <f t="shared" si="28"/>
        <v>0.16599999999999998</v>
      </c>
      <c r="S54" s="110">
        <f t="shared" si="28"/>
        <v>0.17359999999999998</v>
      </c>
      <c r="T54" s="110">
        <f t="shared" si="28"/>
        <v>0.1812</v>
      </c>
      <c r="U54" s="110">
        <f t="shared" si="28"/>
        <v>0.1888</v>
      </c>
      <c r="V54" s="110">
        <f>$M54+($W54-$M54)/10*(V$1-$M$1)</f>
        <v>0.19639999999999999</v>
      </c>
      <c r="W54" s="113">
        <v>0.20399999999999999</v>
      </c>
      <c r="X54" s="110">
        <f>$W54+($AG54-$W54)/10*(X$1-$W$1)</f>
        <v>0.21611249999999999</v>
      </c>
      <c r="Y54" s="110">
        <f t="shared" si="29"/>
        <v>0.22822499999999998</v>
      </c>
      <c r="Z54" s="110">
        <f t="shared" si="29"/>
        <v>0.24033749999999998</v>
      </c>
      <c r="AA54" s="110">
        <f t="shared" si="29"/>
        <v>0.25244999999999995</v>
      </c>
      <c r="AB54" s="110">
        <f t="shared" si="29"/>
        <v>0.26456249999999998</v>
      </c>
      <c r="AC54" s="110">
        <f t="shared" si="29"/>
        <v>0.27667499999999995</v>
      </c>
      <c r="AD54" s="110">
        <f t="shared" si="29"/>
        <v>0.28878749999999997</v>
      </c>
      <c r="AE54" s="110">
        <f t="shared" si="29"/>
        <v>0.30089999999999995</v>
      </c>
      <c r="AF54" s="110">
        <f t="shared" si="29"/>
        <v>0.31301249999999992</v>
      </c>
      <c r="AG54" s="110">
        <f>(W54/M54)*W54</f>
        <v>0.32512499999999994</v>
      </c>
      <c r="AI54" s="133"/>
      <c r="AJ54" s="211" t="s">
        <v>1431</v>
      </c>
      <c r="AL54" s="108"/>
      <c r="AM54" s="2"/>
      <c r="AN54" s="2"/>
      <c r="AO54" s="2"/>
      <c r="AV54" s="41"/>
    </row>
    <row r="55" spans="1:63" outlineLevel="1">
      <c r="A55" t="s">
        <v>1316</v>
      </c>
      <c r="B55" s="176" t="s">
        <v>462</v>
      </c>
      <c r="C55" s="110">
        <f t="shared" ref="C55:AG55" si="30">C53+C54</f>
        <v>0.14200000000000002</v>
      </c>
      <c r="D55" s="110">
        <f t="shared" si="30"/>
        <v>0.14849999999999999</v>
      </c>
      <c r="E55" s="110">
        <f t="shared" si="30"/>
        <v>0.155</v>
      </c>
      <c r="F55" s="110">
        <f t="shared" si="30"/>
        <v>0.16149999999999998</v>
      </c>
      <c r="G55" s="110">
        <f t="shared" si="30"/>
        <v>0.16800000000000001</v>
      </c>
      <c r="H55" s="110">
        <f t="shared" si="30"/>
        <v>0.17449999999999999</v>
      </c>
      <c r="I55" s="110">
        <f t="shared" si="30"/>
        <v>0.18099999999999999</v>
      </c>
      <c r="J55" s="110">
        <f t="shared" si="30"/>
        <v>0.1875</v>
      </c>
      <c r="K55" s="110">
        <f t="shared" si="30"/>
        <v>0.19400000000000001</v>
      </c>
      <c r="L55" s="110">
        <f t="shared" si="30"/>
        <v>0.20050000000000001</v>
      </c>
      <c r="M55" s="110">
        <f t="shared" si="30"/>
        <v>0.20700000000000002</v>
      </c>
      <c r="N55" s="110">
        <f t="shared" si="30"/>
        <v>0.22070000000000001</v>
      </c>
      <c r="O55" s="110">
        <f t="shared" si="30"/>
        <v>0.2344</v>
      </c>
      <c r="P55" s="110">
        <f t="shared" si="30"/>
        <v>0.24809999999999999</v>
      </c>
      <c r="Q55" s="110">
        <f t="shared" si="30"/>
        <v>0.26179999999999998</v>
      </c>
      <c r="R55" s="110">
        <f t="shared" si="30"/>
        <v>0.27549999999999997</v>
      </c>
      <c r="S55" s="110">
        <f t="shared" si="30"/>
        <v>0.28920000000000001</v>
      </c>
      <c r="T55" s="110">
        <f t="shared" si="30"/>
        <v>0.3029</v>
      </c>
      <c r="U55" s="110">
        <f t="shared" si="30"/>
        <v>0.31659999999999999</v>
      </c>
      <c r="V55" s="110">
        <f t="shared" si="30"/>
        <v>0.33030000000000004</v>
      </c>
      <c r="W55" s="110">
        <f t="shared" si="30"/>
        <v>0.34399999999999997</v>
      </c>
      <c r="X55" s="110">
        <f t="shared" si="30"/>
        <v>0.36692262658227848</v>
      </c>
      <c r="Y55" s="110">
        <f t="shared" si="30"/>
        <v>0.38984525316455698</v>
      </c>
      <c r="Z55" s="110">
        <f t="shared" si="30"/>
        <v>0.41276787974683543</v>
      </c>
      <c r="AA55" s="110">
        <f t="shared" si="30"/>
        <v>0.43569050632911388</v>
      </c>
      <c r="AB55" s="110">
        <f t="shared" si="30"/>
        <v>0.45861313291139238</v>
      </c>
      <c r="AC55" s="110">
        <f t="shared" si="30"/>
        <v>0.48153575949367089</v>
      </c>
      <c r="AD55" s="110">
        <f t="shared" si="30"/>
        <v>0.50445838607594939</v>
      </c>
      <c r="AE55" s="110">
        <f t="shared" si="30"/>
        <v>0.5273810126582279</v>
      </c>
      <c r="AF55" s="110">
        <f t="shared" si="30"/>
        <v>0.55030363924050629</v>
      </c>
      <c r="AG55" s="110">
        <f t="shared" si="30"/>
        <v>0.5732262658227848</v>
      </c>
      <c r="AI55" s="133"/>
      <c r="AJ55" s="211"/>
      <c r="AL55" s="108"/>
      <c r="AM55" s="2"/>
      <c r="AN55" s="2"/>
      <c r="AO55" s="2"/>
    </row>
    <row r="56" spans="1:63" outlineLevel="1">
      <c r="C56" s="113"/>
      <c r="D56" s="110"/>
      <c r="E56" s="110"/>
      <c r="F56" s="110"/>
      <c r="G56" s="110"/>
      <c r="H56" s="110"/>
      <c r="I56" s="110"/>
      <c r="J56" s="110"/>
      <c r="K56" s="110"/>
      <c r="L56" s="110"/>
      <c r="M56" s="113"/>
      <c r="N56" s="110"/>
      <c r="O56" s="110"/>
      <c r="P56" s="110"/>
      <c r="Q56" s="110"/>
      <c r="R56" s="110"/>
      <c r="S56" s="110"/>
      <c r="T56" s="110"/>
      <c r="U56" s="110"/>
      <c r="V56" s="110"/>
      <c r="W56" s="113"/>
      <c r="X56" s="110"/>
      <c r="Y56" s="110"/>
      <c r="Z56" s="110"/>
      <c r="AA56" s="110"/>
      <c r="AB56" s="110"/>
      <c r="AC56" s="110"/>
      <c r="AD56" s="110"/>
      <c r="AE56" s="110"/>
      <c r="AF56" s="110"/>
      <c r="AG56" s="113"/>
      <c r="AI56" s="133"/>
      <c r="AJ56" s="211"/>
      <c r="AL56" s="108"/>
      <c r="AM56" s="2"/>
      <c r="AN56" s="2"/>
      <c r="AO56" s="2"/>
      <c r="AV56" s="41"/>
    </row>
    <row r="57" spans="1:63" outlineLevel="1">
      <c r="A57" t="s">
        <v>1445</v>
      </c>
      <c r="B57" s="54" t="s">
        <v>462</v>
      </c>
      <c r="C57" s="106">
        <v>0.2</v>
      </c>
      <c r="D57" s="110">
        <f>C57</f>
        <v>0.2</v>
      </c>
      <c r="E57" s="110">
        <f t="shared" ref="E57:AG57" si="31">D57</f>
        <v>0.2</v>
      </c>
      <c r="F57" s="110">
        <f t="shared" si="31"/>
        <v>0.2</v>
      </c>
      <c r="G57" s="110">
        <f t="shared" si="31"/>
        <v>0.2</v>
      </c>
      <c r="H57" s="110">
        <f t="shared" si="31"/>
        <v>0.2</v>
      </c>
      <c r="I57" s="110">
        <f t="shared" si="31"/>
        <v>0.2</v>
      </c>
      <c r="J57" s="110">
        <f t="shared" si="31"/>
        <v>0.2</v>
      </c>
      <c r="K57" s="110">
        <f t="shared" si="31"/>
        <v>0.2</v>
      </c>
      <c r="L57" s="110">
        <f t="shared" si="31"/>
        <v>0.2</v>
      </c>
      <c r="M57" s="110">
        <f t="shared" si="31"/>
        <v>0.2</v>
      </c>
      <c r="N57" s="110">
        <f t="shared" si="31"/>
        <v>0.2</v>
      </c>
      <c r="O57" s="110">
        <f t="shared" si="31"/>
        <v>0.2</v>
      </c>
      <c r="P57" s="110">
        <f t="shared" si="31"/>
        <v>0.2</v>
      </c>
      <c r="Q57" s="110">
        <f t="shared" si="31"/>
        <v>0.2</v>
      </c>
      <c r="R57" s="110">
        <f t="shared" si="31"/>
        <v>0.2</v>
      </c>
      <c r="S57" s="110">
        <f t="shared" si="31"/>
        <v>0.2</v>
      </c>
      <c r="T57" s="110">
        <f t="shared" si="31"/>
        <v>0.2</v>
      </c>
      <c r="U57" s="110">
        <f t="shared" si="31"/>
        <v>0.2</v>
      </c>
      <c r="V57" s="110">
        <f t="shared" si="31"/>
        <v>0.2</v>
      </c>
      <c r="W57" s="110">
        <f t="shared" si="31"/>
        <v>0.2</v>
      </c>
      <c r="X57" s="110">
        <f t="shared" si="31"/>
        <v>0.2</v>
      </c>
      <c r="Y57" s="110">
        <f t="shared" si="31"/>
        <v>0.2</v>
      </c>
      <c r="Z57" s="110">
        <f t="shared" si="31"/>
        <v>0.2</v>
      </c>
      <c r="AA57" s="110">
        <f t="shared" si="31"/>
        <v>0.2</v>
      </c>
      <c r="AB57" s="110">
        <f t="shared" si="31"/>
        <v>0.2</v>
      </c>
      <c r="AC57" s="110">
        <f t="shared" si="31"/>
        <v>0.2</v>
      </c>
      <c r="AD57" s="110">
        <f t="shared" si="31"/>
        <v>0.2</v>
      </c>
      <c r="AE57" s="110">
        <f t="shared" si="31"/>
        <v>0.2</v>
      </c>
      <c r="AF57" s="110">
        <f t="shared" si="31"/>
        <v>0.2</v>
      </c>
      <c r="AG57" s="110">
        <f t="shared" si="31"/>
        <v>0.2</v>
      </c>
      <c r="AI57" s="112" t="s">
        <v>1518</v>
      </c>
      <c r="AJ57" s="211"/>
      <c r="AL57" s="108"/>
      <c r="AM57" s="2"/>
      <c r="AN57" s="2"/>
      <c r="AO57" s="2"/>
      <c r="BC57" s="1"/>
      <c r="BD57" s="2"/>
      <c r="BE57" s="2"/>
      <c r="BF57" s="2"/>
      <c r="BG57" s="2"/>
      <c r="BH57" s="2"/>
      <c r="BI57" s="2"/>
      <c r="BJ57" s="2"/>
      <c r="BK57" s="2"/>
    </row>
    <row r="58" spans="1:63" ht="16" outlineLevel="1">
      <c r="A58" t="s">
        <v>1441</v>
      </c>
      <c r="B58" s="54" t="s">
        <v>462</v>
      </c>
      <c r="C58" s="110">
        <f>1-C57</f>
        <v>0.8</v>
      </c>
      <c r="D58" s="110">
        <f t="shared" ref="D58:AG58" si="32">1-D57</f>
        <v>0.8</v>
      </c>
      <c r="E58" s="110">
        <f t="shared" si="32"/>
        <v>0.8</v>
      </c>
      <c r="F58" s="110">
        <f t="shared" si="32"/>
        <v>0.8</v>
      </c>
      <c r="G58" s="110">
        <f t="shared" si="32"/>
        <v>0.8</v>
      </c>
      <c r="H58" s="110">
        <f t="shared" si="32"/>
        <v>0.8</v>
      </c>
      <c r="I58" s="110">
        <f t="shared" si="32"/>
        <v>0.8</v>
      </c>
      <c r="J58" s="110">
        <f t="shared" si="32"/>
        <v>0.8</v>
      </c>
      <c r="K58" s="110">
        <f t="shared" si="32"/>
        <v>0.8</v>
      </c>
      <c r="L58" s="110">
        <f t="shared" si="32"/>
        <v>0.8</v>
      </c>
      <c r="M58" s="110">
        <f t="shared" si="32"/>
        <v>0.8</v>
      </c>
      <c r="N58" s="110">
        <f t="shared" si="32"/>
        <v>0.8</v>
      </c>
      <c r="O58" s="110">
        <f t="shared" si="32"/>
        <v>0.8</v>
      </c>
      <c r="P58" s="110">
        <f t="shared" si="32"/>
        <v>0.8</v>
      </c>
      <c r="Q58" s="110">
        <f t="shared" si="32"/>
        <v>0.8</v>
      </c>
      <c r="R58" s="110">
        <f t="shared" si="32"/>
        <v>0.8</v>
      </c>
      <c r="S58" s="110">
        <f t="shared" si="32"/>
        <v>0.8</v>
      </c>
      <c r="T58" s="110">
        <f t="shared" si="32"/>
        <v>0.8</v>
      </c>
      <c r="U58" s="110">
        <f t="shared" si="32"/>
        <v>0.8</v>
      </c>
      <c r="V58" s="110">
        <f t="shared" si="32"/>
        <v>0.8</v>
      </c>
      <c r="W58" s="110">
        <f t="shared" si="32"/>
        <v>0.8</v>
      </c>
      <c r="X58" s="110">
        <f t="shared" si="32"/>
        <v>0.8</v>
      </c>
      <c r="Y58" s="110">
        <f t="shared" si="32"/>
        <v>0.8</v>
      </c>
      <c r="Z58" s="110">
        <f t="shared" si="32"/>
        <v>0.8</v>
      </c>
      <c r="AA58" s="110">
        <f t="shared" si="32"/>
        <v>0.8</v>
      </c>
      <c r="AB58" s="110">
        <f t="shared" si="32"/>
        <v>0.8</v>
      </c>
      <c r="AC58" s="110">
        <f t="shared" si="32"/>
        <v>0.8</v>
      </c>
      <c r="AD58" s="110">
        <f t="shared" si="32"/>
        <v>0.8</v>
      </c>
      <c r="AE58" s="110">
        <f t="shared" si="32"/>
        <v>0.8</v>
      </c>
      <c r="AF58" s="110">
        <f t="shared" si="32"/>
        <v>0.8</v>
      </c>
      <c r="AG58" s="110">
        <f t="shared" si="32"/>
        <v>0.8</v>
      </c>
      <c r="AI58" s="133" t="s">
        <v>1519</v>
      </c>
      <c r="AJ58" s="211"/>
      <c r="AL58" s="108"/>
      <c r="AM58" s="2"/>
      <c r="AN58" s="2"/>
      <c r="AO58" s="2"/>
      <c r="BC58" s="1"/>
      <c r="BD58" s="2"/>
      <c r="BE58" s="2"/>
      <c r="BF58" s="2"/>
      <c r="BG58" s="2"/>
      <c r="BH58" s="2"/>
      <c r="BI58" s="2"/>
      <c r="BJ58" s="2"/>
      <c r="BK58" s="2"/>
    </row>
    <row r="59" spans="1:63" outlineLevel="1">
      <c r="A59" t="s">
        <v>1318</v>
      </c>
      <c r="B59" s="54" t="s">
        <v>462</v>
      </c>
      <c r="C59" s="110">
        <f>C57*C54</f>
        <v>1.9000000000000003E-2</v>
      </c>
      <c r="D59" s="110">
        <f t="shared" ref="D59:AG59" si="33">D57*D54</f>
        <v>1.966E-2</v>
      </c>
      <c r="E59" s="110">
        <f t="shared" si="33"/>
        <v>2.0320000000000001E-2</v>
      </c>
      <c r="F59" s="110">
        <f t="shared" si="33"/>
        <v>2.0979999999999999E-2</v>
      </c>
      <c r="G59" s="110">
        <f t="shared" si="33"/>
        <v>2.1640000000000003E-2</v>
      </c>
      <c r="H59" s="110">
        <f t="shared" si="33"/>
        <v>2.23E-2</v>
      </c>
      <c r="I59" s="110">
        <f t="shared" si="33"/>
        <v>2.2960000000000001E-2</v>
      </c>
      <c r="J59" s="110">
        <f t="shared" si="33"/>
        <v>2.3620000000000002E-2</v>
      </c>
      <c r="K59" s="110">
        <f t="shared" si="33"/>
        <v>2.4280000000000003E-2</v>
      </c>
      <c r="L59" s="110">
        <f t="shared" si="33"/>
        <v>2.4940000000000004E-2</v>
      </c>
      <c r="M59" s="110">
        <f t="shared" si="33"/>
        <v>2.5600000000000001E-2</v>
      </c>
      <c r="N59" s="110">
        <f t="shared" si="33"/>
        <v>2.7120000000000002E-2</v>
      </c>
      <c r="O59" s="110">
        <f t="shared" si="33"/>
        <v>2.8639999999999999E-2</v>
      </c>
      <c r="P59" s="110">
        <f t="shared" si="33"/>
        <v>3.0159999999999999E-2</v>
      </c>
      <c r="Q59" s="110">
        <f t="shared" si="33"/>
        <v>3.168E-2</v>
      </c>
      <c r="R59" s="110">
        <f t="shared" si="33"/>
        <v>3.32E-2</v>
      </c>
      <c r="S59" s="110">
        <f t="shared" si="33"/>
        <v>3.4719999999999994E-2</v>
      </c>
      <c r="T59" s="110">
        <f t="shared" si="33"/>
        <v>3.6240000000000001E-2</v>
      </c>
      <c r="U59" s="110">
        <f t="shared" si="33"/>
        <v>3.7760000000000002E-2</v>
      </c>
      <c r="V59" s="110">
        <f t="shared" si="33"/>
        <v>3.9280000000000002E-2</v>
      </c>
      <c r="W59" s="110">
        <f t="shared" si="33"/>
        <v>4.0800000000000003E-2</v>
      </c>
      <c r="X59" s="110">
        <f t="shared" si="33"/>
        <v>4.3222499999999997E-2</v>
      </c>
      <c r="Y59" s="110">
        <f t="shared" si="33"/>
        <v>4.5644999999999998E-2</v>
      </c>
      <c r="Z59" s="110">
        <f t="shared" si="33"/>
        <v>4.8067499999999999E-2</v>
      </c>
      <c r="AA59" s="110">
        <f t="shared" si="33"/>
        <v>5.0489999999999993E-2</v>
      </c>
      <c r="AB59" s="110">
        <f t="shared" si="33"/>
        <v>5.2912500000000001E-2</v>
      </c>
      <c r="AC59" s="110">
        <f t="shared" si="33"/>
        <v>5.5334999999999995E-2</v>
      </c>
      <c r="AD59" s="110">
        <f t="shared" si="33"/>
        <v>5.7757499999999996E-2</v>
      </c>
      <c r="AE59" s="110">
        <f t="shared" si="33"/>
        <v>6.017999999999999E-2</v>
      </c>
      <c r="AF59" s="110">
        <f t="shared" si="33"/>
        <v>6.2602499999999991E-2</v>
      </c>
      <c r="AG59" s="110">
        <f t="shared" si="33"/>
        <v>6.5024999999999986E-2</v>
      </c>
      <c r="AI59" s="112"/>
      <c r="AJ59" s="211"/>
      <c r="AL59" s="108"/>
      <c r="AM59" s="2"/>
      <c r="AN59" s="2"/>
      <c r="AO59" s="2"/>
      <c r="BC59" s="1"/>
      <c r="BD59" s="2"/>
      <c r="BE59" s="2"/>
      <c r="BF59" s="2"/>
      <c r="BG59" s="2"/>
      <c r="BH59" s="2"/>
      <c r="BI59" s="2"/>
      <c r="BJ59" s="2"/>
      <c r="BK59" s="2"/>
    </row>
    <row r="60" spans="1:63" outlineLevel="1">
      <c r="A60" t="s">
        <v>1319</v>
      </c>
      <c r="B60" s="54" t="s">
        <v>462</v>
      </c>
      <c r="C60" s="110">
        <f>C58*C54</f>
        <v>7.6000000000000012E-2</v>
      </c>
      <c r="D60" s="110">
        <f t="shared" ref="D60:AG60" si="34">D58*D54</f>
        <v>7.8640000000000002E-2</v>
      </c>
      <c r="E60" s="110">
        <f t="shared" si="34"/>
        <v>8.1280000000000005E-2</v>
      </c>
      <c r="F60" s="110">
        <f t="shared" si="34"/>
        <v>8.3919999999999995E-2</v>
      </c>
      <c r="G60" s="110">
        <f t="shared" si="34"/>
        <v>8.6560000000000012E-2</v>
      </c>
      <c r="H60" s="110">
        <f t="shared" si="34"/>
        <v>8.9200000000000002E-2</v>
      </c>
      <c r="I60" s="110">
        <f t="shared" si="34"/>
        <v>9.1840000000000005E-2</v>
      </c>
      <c r="J60" s="110">
        <f t="shared" si="34"/>
        <v>9.4480000000000008E-2</v>
      </c>
      <c r="K60" s="110">
        <f t="shared" si="34"/>
        <v>9.7120000000000012E-2</v>
      </c>
      <c r="L60" s="110">
        <f t="shared" si="34"/>
        <v>9.9760000000000015E-2</v>
      </c>
      <c r="M60" s="110">
        <f t="shared" si="34"/>
        <v>0.1024</v>
      </c>
      <c r="N60" s="110">
        <f t="shared" si="34"/>
        <v>0.10848000000000001</v>
      </c>
      <c r="O60" s="110">
        <f t="shared" si="34"/>
        <v>0.11456</v>
      </c>
      <c r="P60" s="110">
        <f t="shared" si="34"/>
        <v>0.12064</v>
      </c>
      <c r="Q60" s="110">
        <f t="shared" si="34"/>
        <v>0.12672</v>
      </c>
      <c r="R60" s="110">
        <f t="shared" si="34"/>
        <v>0.1328</v>
      </c>
      <c r="S60" s="110">
        <f t="shared" si="34"/>
        <v>0.13887999999999998</v>
      </c>
      <c r="T60" s="110">
        <f t="shared" si="34"/>
        <v>0.14496000000000001</v>
      </c>
      <c r="U60" s="110">
        <f t="shared" si="34"/>
        <v>0.15104000000000001</v>
      </c>
      <c r="V60" s="110">
        <f t="shared" si="34"/>
        <v>0.15712000000000001</v>
      </c>
      <c r="W60" s="110">
        <f t="shared" si="34"/>
        <v>0.16320000000000001</v>
      </c>
      <c r="X60" s="110">
        <f t="shared" si="34"/>
        <v>0.17288999999999999</v>
      </c>
      <c r="Y60" s="110">
        <f t="shared" si="34"/>
        <v>0.18257999999999999</v>
      </c>
      <c r="Z60" s="110">
        <f t="shared" si="34"/>
        <v>0.19227</v>
      </c>
      <c r="AA60" s="110">
        <f t="shared" si="34"/>
        <v>0.20195999999999997</v>
      </c>
      <c r="AB60" s="110">
        <f t="shared" si="34"/>
        <v>0.21165</v>
      </c>
      <c r="AC60" s="110">
        <f t="shared" si="34"/>
        <v>0.22133999999999998</v>
      </c>
      <c r="AD60" s="110">
        <f t="shared" si="34"/>
        <v>0.23102999999999999</v>
      </c>
      <c r="AE60" s="110">
        <f t="shared" si="34"/>
        <v>0.24071999999999996</v>
      </c>
      <c r="AF60" s="110">
        <f t="shared" si="34"/>
        <v>0.25040999999999997</v>
      </c>
      <c r="AG60" s="110">
        <f t="shared" si="34"/>
        <v>0.26009999999999994</v>
      </c>
      <c r="AI60" s="133"/>
      <c r="AJ60" s="211"/>
      <c r="AL60" s="108"/>
      <c r="AM60" s="2"/>
      <c r="AN60" s="2"/>
      <c r="AO60" s="2"/>
      <c r="BC60" s="1"/>
      <c r="BD60" s="2"/>
      <c r="BE60" s="2"/>
      <c r="BF60" s="2"/>
      <c r="BG60" s="2"/>
      <c r="BH60" s="2"/>
      <c r="BI60" s="2"/>
      <c r="BJ60" s="2"/>
      <c r="BK60" s="2"/>
    </row>
    <row r="61" spans="1:63" outlineLevel="1">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I61" s="133"/>
      <c r="AJ61" s="211"/>
      <c r="AL61" s="108"/>
      <c r="AM61" s="2"/>
      <c r="AN61" s="2"/>
      <c r="AO61" s="2"/>
      <c r="BC61" s="1"/>
      <c r="BD61" s="2"/>
      <c r="BE61" s="2"/>
      <c r="BF61" s="2"/>
      <c r="BG61" s="2"/>
      <c r="BH61" s="2"/>
      <c r="BI61" s="2"/>
      <c r="BJ61" s="2"/>
      <c r="BK61" s="2"/>
    </row>
    <row r="62" spans="1:63" outlineLevel="1">
      <c r="A62" t="s">
        <v>1520</v>
      </c>
      <c r="C62" s="230">
        <f>'Overall recycling rates'!D84</f>
        <v>0.45087716873167477</v>
      </c>
      <c r="D62" s="230">
        <f t="shared" ref="D62:AF62" si="35">C62-($C$62-$AG$62)/($AG$1-$C$1)</f>
        <v>0.46251459644061893</v>
      </c>
      <c r="E62" s="230">
        <f t="shared" si="35"/>
        <v>0.47415202414956309</v>
      </c>
      <c r="F62" s="230">
        <f t="shared" si="35"/>
        <v>0.48578945185850725</v>
      </c>
      <c r="G62" s="230">
        <f t="shared" si="35"/>
        <v>0.49742687956745141</v>
      </c>
      <c r="H62" s="230">
        <f t="shared" si="35"/>
        <v>0.50906430727639562</v>
      </c>
      <c r="I62" s="230">
        <f t="shared" si="35"/>
        <v>0.52070173498533978</v>
      </c>
      <c r="J62" s="230">
        <f t="shared" si="35"/>
        <v>0.53233916269428394</v>
      </c>
      <c r="K62" s="230">
        <f t="shared" si="35"/>
        <v>0.5439765904032281</v>
      </c>
      <c r="L62" s="230">
        <f t="shared" si="35"/>
        <v>0.55561401811217226</v>
      </c>
      <c r="M62" s="230">
        <f t="shared" si="35"/>
        <v>0.56725144582111642</v>
      </c>
      <c r="N62" s="230">
        <f t="shared" si="35"/>
        <v>0.57888887353006058</v>
      </c>
      <c r="O62" s="230">
        <f t="shared" si="35"/>
        <v>0.59052630123900474</v>
      </c>
      <c r="P62" s="230">
        <f t="shared" si="35"/>
        <v>0.6021637289479489</v>
      </c>
      <c r="Q62" s="230">
        <f t="shared" si="35"/>
        <v>0.61380115665689305</v>
      </c>
      <c r="R62" s="230">
        <f t="shared" si="35"/>
        <v>0.62543858436583721</v>
      </c>
      <c r="S62" s="230">
        <f t="shared" si="35"/>
        <v>0.63707601207478137</v>
      </c>
      <c r="T62" s="230">
        <f t="shared" si="35"/>
        <v>0.64871343978372553</v>
      </c>
      <c r="U62" s="230">
        <f t="shared" si="35"/>
        <v>0.66035086749266969</v>
      </c>
      <c r="V62" s="230">
        <f t="shared" si="35"/>
        <v>0.67198829520161385</v>
      </c>
      <c r="W62" s="230">
        <f t="shared" si="35"/>
        <v>0.68362572291055801</v>
      </c>
      <c r="X62" s="230">
        <f t="shared" si="35"/>
        <v>0.69526315061950217</v>
      </c>
      <c r="Y62" s="230">
        <f t="shared" si="35"/>
        <v>0.70690057832844633</v>
      </c>
      <c r="Z62" s="230">
        <f t="shared" si="35"/>
        <v>0.71853800603739049</v>
      </c>
      <c r="AA62" s="230">
        <f t="shared" si="35"/>
        <v>0.73017543374633465</v>
      </c>
      <c r="AB62" s="230">
        <f t="shared" si="35"/>
        <v>0.7418128614552788</v>
      </c>
      <c r="AC62" s="230">
        <f t="shared" si="35"/>
        <v>0.75345028916422296</v>
      </c>
      <c r="AD62" s="230">
        <f t="shared" si="35"/>
        <v>0.76508771687316712</v>
      </c>
      <c r="AE62" s="230">
        <f t="shared" si="35"/>
        <v>0.77672514458211128</v>
      </c>
      <c r="AF62" s="230">
        <f t="shared" si="35"/>
        <v>0.78836257229105544</v>
      </c>
      <c r="AG62" s="230">
        <f>'Overall recycling rates'!D93</f>
        <v>0.8</v>
      </c>
      <c r="AI62" s="133"/>
      <c r="AJ62" s="211"/>
      <c r="AL62" s="108"/>
      <c r="AM62" s="2"/>
      <c r="AN62" s="2"/>
      <c r="AO62" s="2"/>
      <c r="BC62" s="1"/>
      <c r="BD62" s="2"/>
      <c r="BE62" s="2"/>
      <c r="BF62" s="2"/>
      <c r="BG62" s="2"/>
      <c r="BH62" s="2"/>
      <c r="BI62" s="2"/>
      <c r="BJ62" s="2"/>
      <c r="BK62" s="2"/>
    </row>
    <row r="63" spans="1:63" outlineLevel="1">
      <c r="A63" t="s">
        <v>1492</v>
      </c>
      <c r="B63" s="54" t="s">
        <v>462</v>
      </c>
      <c r="C63" s="110">
        <f t="shared" ref="C63:AG63" si="36">C53*C$62</f>
        <v>2.1191226930388714E-2</v>
      </c>
      <c r="D63" s="110">
        <f t="shared" si="36"/>
        <v>2.321823274131907E-2</v>
      </c>
      <c r="E63" s="110">
        <f t="shared" si="36"/>
        <v>2.5319718089586669E-2</v>
      </c>
      <c r="F63" s="110">
        <f t="shared" si="36"/>
        <v>2.7495682975191508E-2</v>
      </c>
      <c r="G63" s="110">
        <f t="shared" si="36"/>
        <v>2.9746127398133593E-2</v>
      </c>
      <c r="H63" s="110">
        <f t="shared" si="36"/>
        <v>3.2071051358412928E-2</v>
      </c>
      <c r="I63" s="110">
        <f t="shared" si="36"/>
        <v>3.4470454856029495E-2</v>
      </c>
      <c r="J63" s="110">
        <f t="shared" si="36"/>
        <v>3.6944337890983309E-2</v>
      </c>
      <c r="K63" s="110">
        <f t="shared" si="36"/>
        <v>3.9492700463274362E-2</v>
      </c>
      <c r="L63" s="110">
        <f t="shared" si="36"/>
        <v>4.2115542572902662E-2</v>
      </c>
      <c r="M63" s="110">
        <f t="shared" si="36"/>
        <v>4.4812864219868201E-2</v>
      </c>
      <c r="N63" s="110">
        <f t="shared" si="36"/>
        <v>4.9263443137408158E-2</v>
      </c>
      <c r="O63" s="110">
        <f t="shared" si="36"/>
        <v>5.3855998672997236E-2</v>
      </c>
      <c r="P63" s="110">
        <f t="shared" si="36"/>
        <v>5.8590530826635429E-2</v>
      </c>
      <c r="Q63" s="110">
        <f t="shared" si="36"/>
        <v>6.3467039598322741E-2</v>
      </c>
      <c r="R63" s="110">
        <f t="shared" si="36"/>
        <v>6.8485524988059182E-2</v>
      </c>
      <c r="S63" s="110">
        <f t="shared" si="36"/>
        <v>7.3645986995844737E-2</v>
      </c>
      <c r="T63" s="110">
        <f t="shared" si="36"/>
        <v>7.8948425621679405E-2</v>
      </c>
      <c r="U63" s="110">
        <f t="shared" si="36"/>
        <v>8.4392840865563201E-2</v>
      </c>
      <c r="V63" s="110">
        <f t="shared" si="36"/>
        <v>8.9979232727496111E-2</v>
      </c>
      <c r="W63" s="110">
        <f t="shared" si="36"/>
        <v>9.5707601207478135E-2</v>
      </c>
      <c r="X63" s="110">
        <f t="shared" si="36"/>
        <v>0.10485272375292087</v>
      </c>
      <c r="Y63" s="110">
        <f t="shared" si="36"/>
        <v>0.11424945043161523</v>
      </c>
      <c r="Z63" s="110">
        <f t="shared" si="36"/>
        <v>0.12389778124356118</v>
      </c>
      <c r="AA63" s="110">
        <f t="shared" si="36"/>
        <v>0.13379771618875877</v>
      </c>
      <c r="AB63" s="110">
        <f t="shared" si="36"/>
        <v>0.14394925526720792</v>
      </c>
      <c r="AC63" s="110">
        <f t="shared" si="36"/>
        <v>0.15435239847890869</v>
      </c>
      <c r="AD63" s="110">
        <f t="shared" si="36"/>
        <v>0.16500714582386108</v>
      </c>
      <c r="AE63" s="110">
        <f t="shared" si="36"/>
        <v>0.17591349730206504</v>
      </c>
      <c r="AF63" s="110">
        <f t="shared" si="36"/>
        <v>0.18707145291352062</v>
      </c>
      <c r="AG63" s="110">
        <f t="shared" si="36"/>
        <v>0.1984810126582279</v>
      </c>
      <c r="AI63" s="133"/>
      <c r="AJ63" s="211"/>
      <c r="AL63" s="108"/>
      <c r="AM63" s="2"/>
      <c r="AN63" s="2"/>
      <c r="AO63" s="2"/>
      <c r="AV63" s="41"/>
    </row>
    <row r="64" spans="1:63" outlineLevel="1">
      <c r="A64" t="s">
        <v>1493</v>
      </c>
      <c r="B64" s="54" t="s">
        <v>462</v>
      </c>
      <c r="C64" s="110">
        <f t="shared" ref="C64:AG64" si="37">C54*C$62</f>
        <v>4.2833331029509106E-2</v>
      </c>
      <c r="D64" s="110">
        <f t="shared" si="37"/>
        <v>4.5465184830112838E-2</v>
      </c>
      <c r="E64" s="110">
        <f t="shared" si="37"/>
        <v>4.8173845653595608E-2</v>
      </c>
      <c r="F64" s="110">
        <f t="shared" si="37"/>
        <v>5.0959313499957408E-2</v>
      </c>
      <c r="G64" s="110">
        <f t="shared" si="37"/>
        <v>5.3821588369198245E-2</v>
      </c>
      <c r="H64" s="110">
        <f t="shared" si="37"/>
        <v>5.6760670261318112E-2</v>
      </c>
      <c r="I64" s="110">
        <f t="shared" si="37"/>
        <v>5.977655917631701E-2</v>
      </c>
      <c r="J64" s="110">
        <f t="shared" si="37"/>
        <v>6.286925511419493E-2</v>
      </c>
      <c r="K64" s="110">
        <f t="shared" si="37"/>
        <v>6.6038758074951895E-2</v>
      </c>
      <c r="L64" s="110">
        <f t="shared" si="37"/>
        <v>6.928506805858789E-2</v>
      </c>
      <c r="M64" s="110">
        <f t="shared" si="37"/>
        <v>7.2608185065102901E-2</v>
      </c>
      <c r="N64" s="110">
        <f t="shared" si="37"/>
        <v>7.8497331250676219E-2</v>
      </c>
      <c r="O64" s="110">
        <f t="shared" si="37"/>
        <v>8.4563366337425477E-2</v>
      </c>
      <c r="P64" s="110">
        <f t="shared" si="37"/>
        <v>9.0806290325350689E-2</v>
      </c>
      <c r="Q64" s="110">
        <f t="shared" si="37"/>
        <v>9.7226103214451853E-2</v>
      </c>
      <c r="R64" s="110">
        <f t="shared" si="37"/>
        <v>0.10382280500472897</v>
      </c>
      <c r="S64" s="110">
        <f t="shared" si="37"/>
        <v>0.11059639569618203</v>
      </c>
      <c r="T64" s="110">
        <f t="shared" si="37"/>
        <v>0.11754687528881107</v>
      </c>
      <c r="U64" s="110">
        <f t="shared" si="37"/>
        <v>0.12467424378261603</v>
      </c>
      <c r="V64" s="110">
        <f t="shared" si="37"/>
        <v>0.13197850117759696</v>
      </c>
      <c r="W64" s="110">
        <f t="shared" si="37"/>
        <v>0.13945964747375383</v>
      </c>
      <c r="X64" s="110">
        <f t="shared" si="37"/>
        <v>0.15025505763825714</v>
      </c>
      <c r="Y64" s="110">
        <f t="shared" si="37"/>
        <v>0.16133238448900966</v>
      </c>
      <c r="Z64" s="110">
        <f t="shared" si="37"/>
        <v>0.17269162802601132</v>
      </c>
      <c r="AA64" s="110">
        <f t="shared" si="37"/>
        <v>0.18433278824926214</v>
      </c>
      <c r="AB64" s="110">
        <f t="shared" si="37"/>
        <v>0.19625586515876217</v>
      </c>
      <c r="AC64" s="110">
        <f t="shared" si="37"/>
        <v>0.20846085875451134</v>
      </c>
      <c r="AD64" s="110">
        <f t="shared" si="37"/>
        <v>0.22094776903650973</v>
      </c>
      <c r="AE64" s="110">
        <f t="shared" si="37"/>
        <v>0.23371659600475725</v>
      </c>
      <c r="AF64" s="110">
        <f t="shared" si="37"/>
        <v>0.24676733965925393</v>
      </c>
      <c r="AG64" s="110">
        <f t="shared" si="37"/>
        <v>0.26009999999999994</v>
      </c>
      <c r="AI64" s="133"/>
      <c r="AJ64" s="211"/>
      <c r="AL64" s="108"/>
      <c r="AM64" s="2"/>
      <c r="AN64" s="2"/>
      <c r="AO64" s="2"/>
      <c r="AV64" s="41"/>
    </row>
    <row r="65" spans="1:63" outlineLevel="1">
      <c r="A65" t="s">
        <v>1494</v>
      </c>
      <c r="B65" s="176" t="s">
        <v>462</v>
      </c>
      <c r="C65" s="110">
        <f>SUM(C63:C64)</f>
        <v>6.4024557959897824E-2</v>
      </c>
      <c r="D65" s="110">
        <f t="shared" ref="D65:AG65" si="38">SUM(D63:D64)</f>
        <v>6.8683417571431912E-2</v>
      </c>
      <c r="E65" s="110">
        <f t="shared" si="38"/>
        <v>7.3493563743182277E-2</v>
      </c>
      <c r="F65" s="110">
        <f t="shared" si="38"/>
        <v>7.8454996475148919E-2</v>
      </c>
      <c r="G65" s="110">
        <f t="shared" si="38"/>
        <v>8.3567715767331838E-2</v>
      </c>
      <c r="H65" s="110">
        <f t="shared" si="38"/>
        <v>8.8831721619731047E-2</v>
      </c>
      <c r="I65" s="110">
        <f t="shared" si="38"/>
        <v>9.4247014032346504E-2</v>
      </c>
      <c r="J65" s="110">
        <f t="shared" si="38"/>
        <v>9.9813593005178239E-2</v>
      </c>
      <c r="K65" s="110">
        <f t="shared" si="38"/>
        <v>0.10553145853822626</v>
      </c>
      <c r="L65" s="110">
        <f t="shared" si="38"/>
        <v>0.11140061063149055</v>
      </c>
      <c r="M65" s="110">
        <f t="shared" si="38"/>
        <v>0.1174210492849711</v>
      </c>
      <c r="N65" s="110">
        <f t="shared" si="38"/>
        <v>0.12776077438808436</v>
      </c>
      <c r="O65" s="110">
        <f t="shared" si="38"/>
        <v>0.13841936501042271</v>
      </c>
      <c r="P65" s="110">
        <f t="shared" si="38"/>
        <v>0.1493968211519861</v>
      </c>
      <c r="Q65" s="110">
        <f t="shared" si="38"/>
        <v>0.16069314281277458</v>
      </c>
      <c r="R65" s="110">
        <f t="shared" si="38"/>
        <v>0.17230832999278817</v>
      </c>
      <c r="S65" s="110">
        <f t="shared" si="38"/>
        <v>0.18424238269202675</v>
      </c>
      <c r="T65" s="110">
        <f t="shared" si="38"/>
        <v>0.19649530091049047</v>
      </c>
      <c r="U65" s="110">
        <f t="shared" si="38"/>
        <v>0.20906708464817925</v>
      </c>
      <c r="V65" s="110">
        <f t="shared" si="38"/>
        <v>0.22195773390509307</v>
      </c>
      <c r="W65" s="110">
        <f t="shared" si="38"/>
        <v>0.23516724868123196</v>
      </c>
      <c r="X65" s="110">
        <f t="shared" si="38"/>
        <v>0.25510778139117801</v>
      </c>
      <c r="Y65" s="110">
        <f t="shared" si="38"/>
        <v>0.27558183492062488</v>
      </c>
      <c r="Z65" s="110">
        <f t="shared" si="38"/>
        <v>0.2965894092695725</v>
      </c>
      <c r="AA65" s="110">
        <f t="shared" si="38"/>
        <v>0.31813050443802093</v>
      </c>
      <c r="AB65" s="110">
        <f t="shared" si="38"/>
        <v>0.34020512042597006</v>
      </c>
      <c r="AC65" s="110">
        <f t="shared" si="38"/>
        <v>0.36281325723342006</v>
      </c>
      <c r="AD65" s="110">
        <f t="shared" si="38"/>
        <v>0.38595491486037081</v>
      </c>
      <c r="AE65" s="110">
        <f t="shared" si="38"/>
        <v>0.40963009330682232</v>
      </c>
      <c r="AF65" s="110">
        <f t="shared" si="38"/>
        <v>0.43383879257277458</v>
      </c>
      <c r="AG65" s="110">
        <f t="shared" si="38"/>
        <v>0.45858101265822782</v>
      </c>
      <c r="AI65" s="133"/>
      <c r="AJ65" s="211"/>
      <c r="AL65" s="108"/>
      <c r="AM65" s="2"/>
      <c r="AN65" s="2"/>
      <c r="AO65" s="2"/>
    </row>
    <row r="66" spans="1:63" outlineLevel="1">
      <c r="A66" t="s">
        <v>1495</v>
      </c>
      <c r="B66" s="54" t="s">
        <v>462</v>
      </c>
      <c r="C66" s="110">
        <f>C62*C59</f>
        <v>8.5666662059018222E-3</v>
      </c>
      <c r="D66" s="110">
        <f t="shared" ref="D66:AG66" si="39">D62*D59</f>
        <v>9.093036966022568E-3</v>
      </c>
      <c r="E66" s="110">
        <f t="shared" si="39"/>
        <v>9.6347691307191227E-3</v>
      </c>
      <c r="F66" s="110">
        <f t="shared" si="39"/>
        <v>1.0191862699991481E-2</v>
      </c>
      <c r="G66" s="110">
        <f t="shared" si="39"/>
        <v>1.076431767383965E-2</v>
      </c>
      <c r="H66" s="110">
        <f t="shared" si="39"/>
        <v>1.1352134052263622E-2</v>
      </c>
      <c r="I66" s="110">
        <f t="shared" si="39"/>
        <v>1.1955311835263402E-2</v>
      </c>
      <c r="J66" s="110">
        <f t="shared" si="39"/>
        <v>1.2573851022838988E-2</v>
      </c>
      <c r="K66" s="110">
        <f t="shared" si="39"/>
        <v>1.320775161499038E-2</v>
      </c>
      <c r="L66" s="110">
        <f t="shared" si="39"/>
        <v>1.3857013611717579E-2</v>
      </c>
      <c r="M66" s="110">
        <f t="shared" si="39"/>
        <v>1.4521637013020582E-2</v>
      </c>
      <c r="N66" s="110">
        <f t="shared" si="39"/>
        <v>1.5699466250135245E-2</v>
      </c>
      <c r="O66" s="110">
        <f t="shared" si="39"/>
        <v>1.6912673267485096E-2</v>
      </c>
      <c r="P66" s="110">
        <f t="shared" si="39"/>
        <v>1.816125806507014E-2</v>
      </c>
      <c r="Q66" s="110">
        <f t="shared" si="39"/>
        <v>1.9445220642890372E-2</v>
      </c>
      <c r="R66" s="110">
        <f t="shared" si="39"/>
        <v>2.0764561000945796E-2</v>
      </c>
      <c r="S66" s="110">
        <f t="shared" si="39"/>
        <v>2.2119279139236406E-2</v>
      </c>
      <c r="T66" s="110">
        <f t="shared" si="39"/>
        <v>2.3509375057762214E-2</v>
      </c>
      <c r="U66" s="110">
        <f t="shared" si="39"/>
        <v>2.4934848756523208E-2</v>
      </c>
      <c r="V66" s="110">
        <f t="shared" si="39"/>
        <v>2.6395700235519393E-2</v>
      </c>
      <c r="W66" s="110">
        <f t="shared" si="39"/>
        <v>2.7891929494750767E-2</v>
      </c>
      <c r="X66" s="110">
        <f t="shared" si="39"/>
        <v>3.0051011527651432E-2</v>
      </c>
      <c r="Y66" s="110">
        <f t="shared" si="39"/>
        <v>3.2266476897801932E-2</v>
      </c>
      <c r="Z66" s="110">
        <f t="shared" si="39"/>
        <v>3.4538325605202265E-2</v>
      </c>
      <c r="AA66" s="110">
        <f t="shared" si="39"/>
        <v>3.686655764985243E-2</v>
      </c>
      <c r="AB66" s="110">
        <f t="shared" si="39"/>
        <v>3.9251173031752441E-2</v>
      </c>
      <c r="AC66" s="110">
        <f t="shared" si="39"/>
        <v>4.1692171750902271E-2</v>
      </c>
      <c r="AD66" s="110">
        <f t="shared" si="39"/>
        <v>4.4189553807301947E-2</v>
      </c>
      <c r="AE66" s="110">
        <f t="shared" si="39"/>
        <v>4.6743319200951448E-2</v>
      </c>
      <c r="AF66" s="110">
        <f t="shared" si="39"/>
        <v>4.9353467931850789E-2</v>
      </c>
      <c r="AG66" s="110">
        <f t="shared" si="39"/>
        <v>5.201999999999999E-2</v>
      </c>
      <c r="AI66" s="133"/>
      <c r="AJ66" s="211"/>
      <c r="AL66" s="108"/>
      <c r="AM66" s="2"/>
      <c r="AN66" s="2"/>
      <c r="AO66" s="2"/>
      <c r="BC66" s="1"/>
      <c r="BD66" s="2"/>
      <c r="BE66" s="2"/>
      <c r="BF66" s="2"/>
      <c r="BG66" s="2"/>
      <c r="BH66" s="2"/>
      <c r="BI66" s="2"/>
      <c r="BJ66" s="2"/>
      <c r="BK66" s="2"/>
    </row>
    <row r="67" spans="1:63" outlineLevel="1">
      <c r="A67" t="s">
        <v>1496</v>
      </c>
      <c r="B67" s="54" t="s">
        <v>462</v>
      </c>
      <c r="C67" s="110">
        <f>C62*C60</f>
        <v>3.4266664823607289E-2</v>
      </c>
      <c r="D67" s="110">
        <f t="shared" ref="D67:AG67" si="40">D62*D60</f>
        <v>3.6372147864090272E-2</v>
      </c>
      <c r="E67" s="110">
        <f t="shared" si="40"/>
        <v>3.8539076522876491E-2</v>
      </c>
      <c r="F67" s="110">
        <f t="shared" si="40"/>
        <v>4.0767450799965924E-2</v>
      </c>
      <c r="G67" s="110">
        <f t="shared" si="40"/>
        <v>4.3057270695358599E-2</v>
      </c>
      <c r="H67" s="110">
        <f t="shared" si="40"/>
        <v>4.5408536209054488E-2</v>
      </c>
      <c r="I67" s="110">
        <f t="shared" si="40"/>
        <v>4.7821247341053606E-2</v>
      </c>
      <c r="J67" s="110">
        <f t="shared" si="40"/>
        <v>5.0295404091355952E-2</v>
      </c>
      <c r="K67" s="110">
        <f t="shared" si="40"/>
        <v>5.283100645996152E-2</v>
      </c>
      <c r="L67" s="110">
        <f t="shared" si="40"/>
        <v>5.5428054446870316E-2</v>
      </c>
      <c r="M67" s="110">
        <f t="shared" si="40"/>
        <v>5.8086548052082326E-2</v>
      </c>
      <c r="N67" s="110">
        <f t="shared" si="40"/>
        <v>6.2797865000540978E-2</v>
      </c>
      <c r="O67" s="110">
        <f t="shared" si="40"/>
        <v>6.7650693069940385E-2</v>
      </c>
      <c r="P67" s="110">
        <f t="shared" si="40"/>
        <v>7.2645032260280559E-2</v>
      </c>
      <c r="Q67" s="110">
        <f t="shared" si="40"/>
        <v>7.7780882571561488E-2</v>
      </c>
      <c r="R67" s="110">
        <f t="shared" si="40"/>
        <v>8.3058244003783185E-2</v>
      </c>
      <c r="S67" s="110">
        <f t="shared" si="40"/>
        <v>8.8477116556945623E-2</v>
      </c>
      <c r="T67" s="110">
        <f t="shared" si="40"/>
        <v>9.4037500231048857E-2</v>
      </c>
      <c r="U67" s="110">
        <f t="shared" si="40"/>
        <v>9.9739395026092831E-2</v>
      </c>
      <c r="V67" s="110">
        <f t="shared" si="40"/>
        <v>0.10558280094207757</v>
      </c>
      <c r="W67" s="110">
        <f t="shared" si="40"/>
        <v>0.11156771797900307</v>
      </c>
      <c r="X67" s="110">
        <f t="shared" si="40"/>
        <v>0.12020404611060573</v>
      </c>
      <c r="Y67" s="110">
        <f t="shared" si="40"/>
        <v>0.12906590759120773</v>
      </c>
      <c r="Z67" s="110">
        <f t="shared" si="40"/>
        <v>0.13815330242080906</v>
      </c>
      <c r="AA67" s="110">
        <f t="shared" si="40"/>
        <v>0.14746623059940972</v>
      </c>
      <c r="AB67" s="110">
        <f t="shared" si="40"/>
        <v>0.15700469212700977</v>
      </c>
      <c r="AC67" s="110">
        <f t="shared" si="40"/>
        <v>0.16676868700360908</v>
      </c>
      <c r="AD67" s="110">
        <f t="shared" si="40"/>
        <v>0.17675821522920779</v>
      </c>
      <c r="AE67" s="110">
        <f t="shared" si="40"/>
        <v>0.18697327680380579</v>
      </c>
      <c r="AF67" s="110">
        <f t="shared" si="40"/>
        <v>0.19741387172740316</v>
      </c>
      <c r="AG67" s="110">
        <f t="shared" si="40"/>
        <v>0.20807999999999996</v>
      </c>
      <c r="AI67" s="133"/>
      <c r="AJ67" s="211"/>
      <c r="AL67" s="108"/>
      <c r="AM67" s="2"/>
      <c r="AN67" s="2"/>
      <c r="AO67" s="2"/>
      <c r="BC67" s="1"/>
      <c r="BD67" s="2"/>
      <c r="BE67" s="2"/>
      <c r="BF67" s="2"/>
      <c r="BG67" s="2"/>
      <c r="BH67" s="2"/>
      <c r="BI67" s="2"/>
      <c r="BJ67" s="2"/>
      <c r="BK67" s="2"/>
    </row>
    <row r="68" spans="1:63" outlineLevel="1">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I68" s="134"/>
      <c r="AJ68" s="211"/>
      <c r="AL68" s="108"/>
      <c r="AM68" s="132"/>
      <c r="AN68" s="2"/>
      <c r="AO68" s="2"/>
    </row>
    <row r="69" spans="1:63" s="200" customFormat="1" ht="16" thickBot="1">
      <c r="A69" s="200" t="s">
        <v>1330</v>
      </c>
      <c r="B69" s="215"/>
      <c r="C69" s="222">
        <f>C70</f>
        <v>2.5000000000000001E-2</v>
      </c>
      <c r="D69" s="222">
        <f t="shared" ref="D69:AG69" si="41">D70</f>
        <v>3.1255416735465176E-2</v>
      </c>
      <c r="E69" s="222">
        <f t="shared" si="41"/>
        <v>3.7510833470930344E-2</v>
      </c>
      <c r="F69" s="222">
        <f t="shared" si="41"/>
        <v>4.3766250206395518E-2</v>
      </c>
      <c r="G69" s="222">
        <f t="shared" si="41"/>
        <v>5.0021666941860693E-2</v>
      </c>
      <c r="H69" s="222">
        <f t="shared" si="41"/>
        <v>5.6277083677325861E-2</v>
      </c>
      <c r="I69" s="222">
        <f t="shared" si="41"/>
        <v>6.2532500412791042E-2</v>
      </c>
      <c r="J69" s="222">
        <f t="shared" si="41"/>
        <v>6.8787917148256203E-2</v>
      </c>
      <c r="K69" s="222">
        <f t="shared" si="41"/>
        <v>7.5043333883721378E-2</v>
      </c>
      <c r="L69" s="222">
        <f t="shared" si="41"/>
        <v>8.1298750619186552E-2</v>
      </c>
      <c r="M69" s="222">
        <f t="shared" si="41"/>
        <v>8.7554167354651713E-2</v>
      </c>
      <c r="N69" s="222">
        <f t="shared" si="41"/>
        <v>0.10073866108940137</v>
      </c>
      <c r="O69" s="222">
        <f t="shared" si="41"/>
        <v>0.11392315482415102</v>
      </c>
      <c r="P69" s="222">
        <f t="shared" si="41"/>
        <v>0.12710764855890069</v>
      </c>
      <c r="Q69" s="222">
        <f t="shared" si="41"/>
        <v>0.14029214229365033</v>
      </c>
      <c r="R69" s="222">
        <f t="shared" si="41"/>
        <v>0.1534766360284</v>
      </c>
      <c r="S69" s="222">
        <f t="shared" si="41"/>
        <v>0.16666112976314967</v>
      </c>
      <c r="T69" s="222">
        <f t="shared" si="41"/>
        <v>0.17984562349789934</v>
      </c>
      <c r="U69" s="222">
        <f t="shared" si="41"/>
        <v>0.19303011723264898</v>
      </c>
      <c r="V69" s="222">
        <f t="shared" si="41"/>
        <v>0.20621461096739863</v>
      </c>
      <c r="W69" s="222">
        <f t="shared" si="41"/>
        <v>0.2193991047021483</v>
      </c>
      <c r="X69" s="222">
        <f t="shared" si="41"/>
        <v>0.24145919423193346</v>
      </c>
      <c r="Y69" s="222">
        <f t="shared" si="41"/>
        <v>0.26351928376171863</v>
      </c>
      <c r="Z69" s="222">
        <f t="shared" si="41"/>
        <v>0.28557937329150385</v>
      </c>
      <c r="AA69" s="222">
        <f t="shared" si="41"/>
        <v>0.30763946282128896</v>
      </c>
      <c r="AB69" s="222">
        <f t="shared" si="41"/>
        <v>0.32969955235107418</v>
      </c>
      <c r="AC69" s="222">
        <f t="shared" si="41"/>
        <v>0.35175964188085934</v>
      </c>
      <c r="AD69" s="222">
        <f t="shared" si="41"/>
        <v>0.37381973141064451</v>
      </c>
      <c r="AE69" s="222">
        <f t="shared" si="41"/>
        <v>0.39587982094042967</v>
      </c>
      <c r="AF69" s="222">
        <f t="shared" si="41"/>
        <v>0.41793991047021484</v>
      </c>
      <c r="AG69" s="222">
        <f t="shared" si="41"/>
        <v>0.44</v>
      </c>
      <c r="AJ69" s="231" t="s">
        <v>1491</v>
      </c>
      <c r="AL69" s="217"/>
      <c r="AM69" s="218"/>
      <c r="AN69" s="218"/>
      <c r="AO69" s="218"/>
    </row>
    <row r="70" spans="1:63" ht="16" outlineLevel="1" thickTop="1">
      <c r="A70" t="s">
        <v>1332</v>
      </c>
      <c r="B70" s="54" t="s">
        <v>462</v>
      </c>
      <c r="C70" s="214">
        <v>2.5000000000000001E-2</v>
      </c>
      <c r="D70" s="110">
        <f>$C70+($M70-$C70)/10*(D$1-$C$1)</f>
        <v>3.1255416735465176E-2</v>
      </c>
      <c r="E70" s="110">
        <f t="shared" ref="E70:L70" si="42">$C70+($M70-$C70)/10*(E$1-$C$1)</f>
        <v>3.7510833470930344E-2</v>
      </c>
      <c r="F70" s="110">
        <f t="shared" si="42"/>
        <v>4.3766250206395518E-2</v>
      </c>
      <c r="G70" s="110">
        <f t="shared" si="42"/>
        <v>5.0021666941860693E-2</v>
      </c>
      <c r="H70" s="110">
        <f t="shared" si="42"/>
        <v>5.6277083677325861E-2</v>
      </c>
      <c r="I70" s="110">
        <f t="shared" si="42"/>
        <v>6.2532500412791042E-2</v>
      </c>
      <c r="J70" s="110">
        <f t="shared" si="42"/>
        <v>6.8787917148256203E-2</v>
      </c>
      <c r="K70" s="110">
        <f t="shared" si="42"/>
        <v>7.5043333883721378E-2</v>
      </c>
      <c r="L70" s="110">
        <f t="shared" si="42"/>
        <v>8.1298750619186552E-2</v>
      </c>
      <c r="M70" s="121">
        <f>(M$55-$C$55)/($AG$55-$C$55)*($AG70-$C70)+$C70</f>
        <v>8.7554167354651713E-2</v>
      </c>
      <c r="N70" s="121">
        <f>$M70+($W70-$M70)/10*(N$1-$M$1)</f>
        <v>0.10073866108940137</v>
      </c>
      <c r="O70" s="121">
        <f t="shared" ref="O70:U70" si="43">$M70+($W70-$M70)/10*(O$1-$M$1)</f>
        <v>0.11392315482415102</v>
      </c>
      <c r="P70" s="121">
        <f t="shared" si="43"/>
        <v>0.12710764855890069</v>
      </c>
      <c r="Q70" s="121">
        <f t="shared" si="43"/>
        <v>0.14029214229365033</v>
      </c>
      <c r="R70" s="121">
        <f t="shared" si="43"/>
        <v>0.1534766360284</v>
      </c>
      <c r="S70" s="121">
        <f t="shared" si="43"/>
        <v>0.16666112976314967</v>
      </c>
      <c r="T70" s="121">
        <f t="shared" si="43"/>
        <v>0.17984562349789934</v>
      </c>
      <c r="U70" s="121">
        <f t="shared" si="43"/>
        <v>0.19303011723264898</v>
      </c>
      <c r="V70" s="121">
        <f>$M70+($W70-$M70)/10*(V$1-$M$1)</f>
        <v>0.20621461096739863</v>
      </c>
      <c r="W70" s="121">
        <f>(W$55-$C$55)/($AG$55-$C$55)*($AG70-$C70)+$C70</f>
        <v>0.2193991047021483</v>
      </c>
      <c r="X70" s="110">
        <f>$W70+($AG70-$W70)/10*(X$1-$W$1)</f>
        <v>0.24145919423193346</v>
      </c>
      <c r="Y70" s="110">
        <f t="shared" ref="Y70:AF70" si="44">$W70+($AG70-$W70)/10*(Y$1-$W$1)</f>
        <v>0.26351928376171863</v>
      </c>
      <c r="Z70" s="110">
        <f t="shared" si="44"/>
        <v>0.28557937329150385</v>
      </c>
      <c r="AA70" s="110">
        <f t="shared" si="44"/>
        <v>0.30763946282128896</v>
      </c>
      <c r="AB70" s="110">
        <f t="shared" si="44"/>
        <v>0.32969955235107418</v>
      </c>
      <c r="AC70" s="110">
        <f t="shared" si="44"/>
        <v>0.35175964188085934</v>
      </c>
      <c r="AD70" s="110">
        <f t="shared" si="44"/>
        <v>0.37381973141064451</v>
      </c>
      <c r="AE70" s="110">
        <f t="shared" si="44"/>
        <v>0.39587982094042967</v>
      </c>
      <c r="AF70" s="110">
        <f t="shared" si="44"/>
        <v>0.41793991047021484</v>
      </c>
      <c r="AG70" s="214">
        <v>0.44</v>
      </c>
      <c r="AJ70" s="211" t="s">
        <v>1436</v>
      </c>
    </row>
    <row r="71" spans="1:63" outlineLevel="1">
      <c r="A71" t="s">
        <v>1437</v>
      </c>
      <c r="B71" s="54" t="s">
        <v>462</v>
      </c>
      <c r="C71" s="214">
        <v>0.08</v>
      </c>
      <c r="D71" s="110">
        <f t="shared" ref="D71:AF71" si="45">C71-($C$71-$AG$71)/($AG$1-$C$1)</f>
        <v>0.10400000000000001</v>
      </c>
      <c r="E71" s="110">
        <f t="shared" si="45"/>
        <v>0.128</v>
      </c>
      <c r="F71" s="110">
        <f t="shared" si="45"/>
        <v>0.152</v>
      </c>
      <c r="G71" s="110">
        <f t="shared" si="45"/>
        <v>0.17599999999999999</v>
      </c>
      <c r="H71" s="110">
        <f t="shared" si="45"/>
        <v>0.19999999999999998</v>
      </c>
      <c r="I71" s="110">
        <f t="shared" si="45"/>
        <v>0.22399999999999998</v>
      </c>
      <c r="J71" s="110">
        <f t="shared" si="45"/>
        <v>0.24799999999999997</v>
      </c>
      <c r="K71" s="110">
        <f t="shared" si="45"/>
        <v>0.27199999999999996</v>
      </c>
      <c r="L71" s="110">
        <f t="shared" si="45"/>
        <v>0.29599999999999999</v>
      </c>
      <c r="M71" s="110">
        <f t="shared" si="45"/>
        <v>0.32</v>
      </c>
      <c r="N71" s="110">
        <f t="shared" si="45"/>
        <v>0.34400000000000003</v>
      </c>
      <c r="O71" s="110">
        <f t="shared" si="45"/>
        <v>0.36800000000000005</v>
      </c>
      <c r="P71" s="110">
        <f t="shared" si="45"/>
        <v>0.39200000000000007</v>
      </c>
      <c r="Q71" s="110">
        <f t="shared" si="45"/>
        <v>0.41600000000000009</v>
      </c>
      <c r="R71" s="110">
        <f t="shared" si="45"/>
        <v>0.44000000000000011</v>
      </c>
      <c r="S71" s="110">
        <f t="shared" si="45"/>
        <v>0.46400000000000013</v>
      </c>
      <c r="T71" s="110">
        <f t="shared" si="45"/>
        <v>0.48800000000000016</v>
      </c>
      <c r="U71" s="110">
        <f t="shared" si="45"/>
        <v>0.51200000000000012</v>
      </c>
      <c r="V71" s="110">
        <f t="shared" si="45"/>
        <v>0.53600000000000014</v>
      </c>
      <c r="W71" s="110">
        <f t="shared" si="45"/>
        <v>0.56000000000000016</v>
      </c>
      <c r="X71" s="110">
        <f t="shared" si="45"/>
        <v>0.58400000000000019</v>
      </c>
      <c r="Y71" s="110">
        <f t="shared" si="45"/>
        <v>0.60800000000000021</v>
      </c>
      <c r="Z71" s="110">
        <f t="shared" si="45"/>
        <v>0.63200000000000023</v>
      </c>
      <c r="AA71" s="110">
        <f t="shared" si="45"/>
        <v>0.65600000000000025</v>
      </c>
      <c r="AB71" s="110">
        <f t="shared" si="45"/>
        <v>0.68000000000000027</v>
      </c>
      <c r="AC71" s="110">
        <f t="shared" si="45"/>
        <v>0.70400000000000029</v>
      </c>
      <c r="AD71" s="110">
        <f t="shared" si="45"/>
        <v>0.72800000000000031</v>
      </c>
      <c r="AE71" s="110">
        <f t="shared" si="45"/>
        <v>0.75200000000000033</v>
      </c>
      <c r="AF71" s="110">
        <f t="shared" si="45"/>
        <v>0.77600000000000036</v>
      </c>
      <c r="AG71" s="214">
        <v>0.8</v>
      </c>
      <c r="AI71" s="134"/>
      <c r="AJ71" s="211" t="s">
        <v>1438</v>
      </c>
      <c r="AL71" s="54" t="s">
        <v>1521</v>
      </c>
    </row>
    <row r="72" spans="1:63" outlineLevel="1">
      <c r="A72" t="s">
        <v>1440</v>
      </c>
      <c r="B72" s="176" t="s">
        <v>462</v>
      </c>
      <c r="C72" s="110">
        <f>1-C71</f>
        <v>0.92</v>
      </c>
      <c r="D72" s="110">
        <f t="shared" ref="D72:AG72" si="46">1-D71</f>
        <v>0.89600000000000002</v>
      </c>
      <c r="E72" s="110">
        <f t="shared" si="46"/>
        <v>0.872</v>
      </c>
      <c r="F72" s="110">
        <f t="shared" si="46"/>
        <v>0.84799999999999998</v>
      </c>
      <c r="G72" s="110">
        <f t="shared" si="46"/>
        <v>0.82400000000000007</v>
      </c>
      <c r="H72" s="110">
        <f t="shared" si="46"/>
        <v>0.8</v>
      </c>
      <c r="I72" s="110">
        <f t="shared" si="46"/>
        <v>0.77600000000000002</v>
      </c>
      <c r="J72" s="110">
        <f t="shared" si="46"/>
        <v>0.752</v>
      </c>
      <c r="K72" s="110">
        <f t="shared" si="46"/>
        <v>0.72799999999999998</v>
      </c>
      <c r="L72" s="110">
        <f t="shared" si="46"/>
        <v>0.70399999999999996</v>
      </c>
      <c r="M72" s="110">
        <f t="shared" si="46"/>
        <v>0.67999999999999994</v>
      </c>
      <c r="N72" s="110">
        <f t="shared" si="46"/>
        <v>0.65599999999999992</v>
      </c>
      <c r="O72" s="110">
        <f t="shared" si="46"/>
        <v>0.6319999999999999</v>
      </c>
      <c r="P72" s="110">
        <f t="shared" si="46"/>
        <v>0.60799999999999987</v>
      </c>
      <c r="Q72" s="110">
        <f t="shared" si="46"/>
        <v>0.58399999999999985</v>
      </c>
      <c r="R72" s="110">
        <f t="shared" si="46"/>
        <v>0.55999999999999983</v>
      </c>
      <c r="S72" s="110">
        <f t="shared" si="46"/>
        <v>0.53599999999999981</v>
      </c>
      <c r="T72" s="110">
        <f t="shared" si="46"/>
        <v>0.51199999999999979</v>
      </c>
      <c r="U72" s="110">
        <f t="shared" si="46"/>
        <v>0.48799999999999988</v>
      </c>
      <c r="V72" s="110">
        <f t="shared" si="46"/>
        <v>0.46399999999999986</v>
      </c>
      <c r="W72" s="110">
        <f t="shared" si="46"/>
        <v>0.43999999999999984</v>
      </c>
      <c r="X72" s="110">
        <f t="shared" si="46"/>
        <v>0.41599999999999981</v>
      </c>
      <c r="Y72" s="110">
        <f t="shared" si="46"/>
        <v>0.39199999999999979</v>
      </c>
      <c r="Z72" s="110">
        <f t="shared" si="46"/>
        <v>0.36799999999999977</v>
      </c>
      <c r="AA72" s="110">
        <f t="shared" si="46"/>
        <v>0.34399999999999975</v>
      </c>
      <c r="AB72" s="110">
        <f t="shared" si="46"/>
        <v>0.31999999999999973</v>
      </c>
      <c r="AC72" s="110">
        <f t="shared" si="46"/>
        <v>0.29599999999999971</v>
      </c>
      <c r="AD72" s="110">
        <f t="shared" si="46"/>
        <v>0.27199999999999969</v>
      </c>
      <c r="AE72" s="110">
        <f t="shared" si="46"/>
        <v>0.24799999999999967</v>
      </c>
      <c r="AF72" s="110">
        <f t="shared" si="46"/>
        <v>0.22399999999999964</v>
      </c>
      <c r="AG72" s="110">
        <f t="shared" si="46"/>
        <v>0.19999999999999996</v>
      </c>
      <c r="AI72" s="134"/>
      <c r="AJ72" s="211"/>
      <c r="BD72" s="760"/>
      <c r="BE72" s="760"/>
    </row>
    <row r="73" spans="1:63" outlineLevel="1">
      <c r="A73" t="s">
        <v>1333</v>
      </c>
      <c r="B73" s="54" t="s">
        <v>462</v>
      </c>
      <c r="C73" s="110">
        <f>C70*C71</f>
        <v>2E-3</v>
      </c>
      <c r="D73" s="110">
        <f t="shared" ref="D73:AG73" si="47">D70*D71</f>
        <v>3.2505633404883785E-3</v>
      </c>
      <c r="E73" s="110">
        <f t="shared" si="47"/>
        <v>4.8013866842790843E-3</v>
      </c>
      <c r="F73" s="110">
        <f t="shared" si="47"/>
        <v>6.652470031372119E-3</v>
      </c>
      <c r="G73" s="110">
        <f t="shared" si="47"/>
        <v>8.8038133817674811E-3</v>
      </c>
      <c r="H73" s="110">
        <f t="shared" si="47"/>
        <v>1.125541673546517E-2</v>
      </c>
      <c r="I73" s="110">
        <f t="shared" si="47"/>
        <v>1.4007280092465192E-2</v>
      </c>
      <c r="J73" s="110">
        <f t="shared" si="47"/>
        <v>1.7059403452767536E-2</v>
      </c>
      <c r="K73" s="110">
        <f t="shared" si="47"/>
        <v>2.0411786816372211E-2</v>
      </c>
      <c r="L73" s="110">
        <f t="shared" si="47"/>
        <v>2.4064430183279219E-2</v>
      </c>
      <c r="M73" s="110">
        <f t="shared" si="47"/>
        <v>2.8017333553488549E-2</v>
      </c>
      <c r="N73" s="110">
        <f t="shared" si="47"/>
        <v>3.4654099414754072E-2</v>
      </c>
      <c r="O73" s="110">
        <f t="shared" si="47"/>
        <v>4.1923720975287584E-2</v>
      </c>
      <c r="P73" s="110">
        <f t="shared" si="47"/>
        <v>4.9826198235089082E-2</v>
      </c>
      <c r="Q73" s="110">
        <f t="shared" si="47"/>
        <v>5.8361531194158552E-2</v>
      </c>
      <c r="R73" s="110">
        <f t="shared" si="47"/>
        <v>6.752971985249602E-2</v>
      </c>
      <c r="S73" s="110">
        <f t="shared" si="47"/>
        <v>7.7330764210101474E-2</v>
      </c>
      <c r="T73" s="110">
        <f t="shared" si="47"/>
        <v>8.7764664266974907E-2</v>
      </c>
      <c r="U73" s="110">
        <f t="shared" si="47"/>
        <v>9.8831420023116304E-2</v>
      </c>
      <c r="V73" s="110">
        <f t="shared" si="47"/>
        <v>0.11053103147852569</v>
      </c>
      <c r="W73" s="110">
        <f t="shared" si="47"/>
        <v>0.12286349863320307</v>
      </c>
      <c r="X73" s="110">
        <f t="shared" si="47"/>
        <v>0.14101216943144917</v>
      </c>
      <c r="Y73" s="110">
        <f t="shared" si="47"/>
        <v>0.16021972452712499</v>
      </c>
      <c r="Z73" s="110">
        <f t="shared" si="47"/>
        <v>0.18048616392023051</v>
      </c>
      <c r="AA73" s="110">
        <f t="shared" si="47"/>
        <v>0.20181148761076564</v>
      </c>
      <c r="AB73" s="110">
        <f t="shared" si="47"/>
        <v>0.22419569559873054</v>
      </c>
      <c r="AC73" s="110">
        <f t="shared" si="47"/>
        <v>0.24763878788412508</v>
      </c>
      <c r="AD73" s="110">
        <f t="shared" si="47"/>
        <v>0.27214076446694929</v>
      </c>
      <c r="AE73" s="110">
        <f t="shared" si="47"/>
        <v>0.29770162534720324</v>
      </c>
      <c r="AF73" s="110">
        <f t="shared" si="47"/>
        <v>0.32432137052488685</v>
      </c>
      <c r="AG73" s="110">
        <f t="shared" si="47"/>
        <v>0.35200000000000004</v>
      </c>
      <c r="AI73" s="134"/>
      <c r="AJ73" s="211"/>
      <c r="BD73" s="203"/>
      <c r="BE73" s="203"/>
    </row>
    <row r="74" spans="1:63" outlineLevel="1">
      <c r="A74" t="s">
        <v>1334</v>
      </c>
      <c r="B74" s="54" t="s">
        <v>462</v>
      </c>
      <c r="C74" s="110">
        <f>C70*C72</f>
        <v>2.3000000000000003E-2</v>
      </c>
      <c r="D74" s="110">
        <f t="shared" ref="D74:AG74" si="48">D70*D72</f>
        <v>2.8004853394976797E-2</v>
      </c>
      <c r="E74" s="110">
        <f t="shared" si="48"/>
        <v>3.2709446786651261E-2</v>
      </c>
      <c r="F74" s="110">
        <f t="shared" si="48"/>
        <v>3.7113780175023398E-2</v>
      </c>
      <c r="G74" s="110">
        <f t="shared" si="48"/>
        <v>4.1217853560093214E-2</v>
      </c>
      <c r="H74" s="110">
        <f t="shared" si="48"/>
        <v>4.5021666941860689E-2</v>
      </c>
      <c r="I74" s="110">
        <f t="shared" si="48"/>
        <v>4.852522032032585E-2</v>
      </c>
      <c r="J74" s="110">
        <f t="shared" si="48"/>
        <v>5.1728513695488663E-2</v>
      </c>
      <c r="K74" s="110">
        <f t="shared" si="48"/>
        <v>5.4631547067349163E-2</v>
      </c>
      <c r="L74" s="110">
        <f t="shared" si="48"/>
        <v>5.7234320435907329E-2</v>
      </c>
      <c r="M74" s="110">
        <f t="shared" si="48"/>
        <v>5.9536833801163161E-2</v>
      </c>
      <c r="N74" s="110">
        <f t="shared" si="48"/>
        <v>6.6084561674647282E-2</v>
      </c>
      <c r="O74" s="110">
        <f t="shared" si="48"/>
        <v>7.1999433848863439E-2</v>
      </c>
      <c r="P74" s="110">
        <f t="shared" si="48"/>
        <v>7.7281450323811604E-2</v>
      </c>
      <c r="Q74" s="110">
        <f t="shared" si="48"/>
        <v>8.1930611099491776E-2</v>
      </c>
      <c r="R74" s="110">
        <f t="shared" si="48"/>
        <v>8.594691617590397E-2</v>
      </c>
      <c r="S74" s="110">
        <f t="shared" si="48"/>
        <v>8.9330365553048199E-2</v>
      </c>
      <c r="T74" s="110">
        <f t="shared" si="48"/>
        <v>9.2080959230924422E-2</v>
      </c>
      <c r="U74" s="110">
        <f t="shared" si="48"/>
        <v>9.4198697209532681E-2</v>
      </c>
      <c r="V74" s="110">
        <f t="shared" si="48"/>
        <v>9.5683579488872933E-2</v>
      </c>
      <c r="W74" s="110">
        <f t="shared" si="48"/>
        <v>9.6535606068945221E-2</v>
      </c>
      <c r="X74" s="110">
        <f t="shared" si="48"/>
        <v>0.10044702480048427</v>
      </c>
      <c r="Y74" s="110">
        <f t="shared" si="48"/>
        <v>0.10329955923459365</v>
      </c>
      <c r="Z74" s="110">
        <f t="shared" si="48"/>
        <v>0.10509320937127335</v>
      </c>
      <c r="AA74" s="110">
        <f t="shared" si="48"/>
        <v>0.10582797521052333</v>
      </c>
      <c r="AB74" s="110">
        <f t="shared" si="48"/>
        <v>0.10550385675234365</v>
      </c>
      <c r="AC74" s="110">
        <f t="shared" si="48"/>
        <v>0.10412085399673426</v>
      </c>
      <c r="AD74" s="110">
        <f t="shared" si="48"/>
        <v>0.10167896694369519</v>
      </c>
      <c r="AE74" s="110">
        <f t="shared" si="48"/>
        <v>9.8178195593226422E-2</v>
      </c>
      <c r="AF74" s="110">
        <f t="shared" si="48"/>
        <v>9.3618539945327969E-2</v>
      </c>
      <c r="AG74" s="110">
        <f t="shared" si="48"/>
        <v>8.7999999999999981E-2</v>
      </c>
      <c r="AI74" s="134"/>
      <c r="AJ74" s="211"/>
      <c r="BD74" s="203"/>
      <c r="BE74" s="203"/>
    </row>
    <row r="75" spans="1:63" outlineLevel="1">
      <c r="B75" s="176"/>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I75" s="134"/>
      <c r="AJ75" s="211"/>
      <c r="BD75" s="203"/>
      <c r="BE75" s="203"/>
    </row>
    <row r="76" spans="1:63" ht="16" outlineLevel="1">
      <c r="A76" t="s">
        <v>1441</v>
      </c>
      <c r="B76" s="54" t="s">
        <v>462</v>
      </c>
      <c r="C76" s="214">
        <v>0.52</v>
      </c>
      <c r="D76" s="110">
        <f>C76</f>
        <v>0.52</v>
      </c>
      <c r="E76" s="110">
        <f t="shared" ref="E76:AG78" si="49">D76</f>
        <v>0.52</v>
      </c>
      <c r="F76" s="110">
        <f t="shared" si="49"/>
        <v>0.52</v>
      </c>
      <c r="G76" s="110">
        <f t="shared" si="49"/>
        <v>0.52</v>
      </c>
      <c r="H76" s="110">
        <f t="shared" si="49"/>
        <v>0.52</v>
      </c>
      <c r="I76" s="110">
        <f t="shared" si="49"/>
        <v>0.52</v>
      </c>
      <c r="J76" s="110">
        <f t="shared" si="49"/>
        <v>0.52</v>
      </c>
      <c r="K76" s="110">
        <f t="shared" si="49"/>
        <v>0.52</v>
      </c>
      <c r="L76" s="110">
        <f t="shared" si="49"/>
        <v>0.52</v>
      </c>
      <c r="M76" s="110">
        <f t="shared" si="49"/>
        <v>0.52</v>
      </c>
      <c r="N76" s="110">
        <f t="shared" si="49"/>
        <v>0.52</v>
      </c>
      <c r="O76" s="110">
        <f t="shared" si="49"/>
        <v>0.52</v>
      </c>
      <c r="P76" s="110">
        <f t="shared" si="49"/>
        <v>0.52</v>
      </c>
      <c r="Q76" s="110">
        <f t="shared" si="49"/>
        <v>0.52</v>
      </c>
      <c r="R76" s="110">
        <f t="shared" si="49"/>
        <v>0.52</v>
      </c>
      <c r="S76" s="110">
        <f t="shared" si="49"/>
        <v>0.52</v>
      </c>
      <c r="T76" s="110">
        <f t="shared" si="49"/>
        <v>0.52</v>
      </c>
      <c r="U76" s="110">
        <f t="shared" si="49"/>
        <v>0.52</v>
      </c>
      <c r="V76" s="110">
        <f t="shared" si="49"/>
        <v>0.52</v>
      </c>
      <c r="W76" s="110">
        <f t="shared" si="49"/>
        <v>0.52</v>
      </c>
      <c r="X76" s="110">
        <f t="shared" si="49"/>
        <v>0.52</v>
      </c>
      <c r="Y76" s="110">
        <f t="shared" si="49"/>
        <v>0.52</v>
      </c>
      <c r="Z76" s="110">
        <f t="shared" si="49"/>
        <v>0.52</v>
      </c>
      <c r="AA76" s="110">
        <f t="shared" si="49"/>
        <v>0.52</v>
      </c>
      <c r="AB76" s="110">
        <f t="shared" si="49"/>
        <v>0.52</v>
      </c>
      <c r="AC76" s="110">
        <f t="shared" si="49"/>
        <v>0.52</v>
      </c>
      <c r="AD76" s="110">
        <f t="shared" si="49"/>
        <v>0.52</v>
      </c>
      <c r="AE76" s="110">
        <f t="shared" si="49"/>
        <v>0.52</v>
      </c>
      <c r="AF76" s="110">
        <f t="shared" si="49"/>
        <v>0.52</v>
      </c>
      <c r="AG76" s="110">
        <f t="shared" si="49"/>
        <v>0.52</v>
      </c>
      <c r="AI76" s="133" t="s">
        <v>1442</v>
      </c>
      <c r="AJ76" s="232" t="s">
        <v>1443</v>
      </c>
      <c r="BD76" s="203"/>
      <c r="BE76" s="203"/>
    </row>
    <row r="77" spans="1:63" ht="16" outlineLevel="1">
      <c r="A77" t="s">
        <v>1444</v>
      </c>
      <c r="B77" s="54" t="s">
        <v>462</v>
      </c>
      <c r="C77" s="214">
        <v>0.12</v>
      </c>
      <c r="D77" s="110">
        <f t="shared" ref="D77:S78" si="50">C77</f>
        <v>0.12</v>
      </c>
      <c r="E77" s="110">
        <f t="shared" si="50"/>
        <v>0.12</v>
      </c>
      <c r="F77" s="110">
        <f t="shared" si="50"/>
        <v>0.12</v>
      </c>
      <c r="G77" s="110">
        <f t="shared" si="50"/>
        <v>0.12</v>
      </c>
      <c r="H77" s="110">
        <f t="shared" si="50"/>
        <v>0.12</v>
      </c>
      <c r="I77" s="110">
        <f t="shared" si="50"/>
        <v>0.12</v>
      </c>
      <c r="J77" s="110">
        <f t="shared" si="50"/>
        <v>0.12</v>
      </c>
      <c r="K77" s="110">
        <f t="shared" si="50"/>
        <v>0.12</v>
      </c>
      <c r="L77" s="110">
        <f t="shared" si="50"/>
        <v>0.12</v>
      </c>
      <c r="M77" s="110">
        <f t="shared" si="50"/>
        <v>0.12</v>
      </c>
      <c r="N77" s="110">
        <f t="shared" si="50"/>
        <v>0.12</v>
      </c>
      <c r="O77" s="110">
        <f t="shared" si="50"/>
        <v>0.12</v>
      </c>
      <c r="P77" s="110">
        <f t="shared" si="50"/>
        <v>0.12</v>
      </c>
      <c r="Q77" s="110">
        <f t="shared" si="50"/>
        <v>0.12</v>
      </c>
      <c r="R77" s="110">
        <f t="shared" si="50"/>
        <v>0.12</v>
      </c>
      <c r="S77" s="110">
        <f t="shared" si="50"/>
        <v>0.12</v>
      </c>
      <c r="T77" s="110">
        <f t="shared" si="49"/>
        <v>0.12</v>
      </c>
      <c r="U77" s="110">
        <f t="shared" si="49"/>
        <v>0.12</v>
      </c>
      <c r="V77" s="110">
        <f t="shared" si="49"/>
        <v>0.12</v>
      </c>
      <c r="W77" s="110">
        <f t="shared" si="49"/>
        <v>0.12</v>
      </c>
      <c r="X77" s="110">
        <f t="shared" si="49"/>
        <v>0.12</v>
      </c>
      <c r="Y77" s="110">
        <f t="shared" si="49"/>
        <v>0.12</v>
      </c>
      <c r="Z77" s="110">
        <f t="shared" si="49"/>
        <v>0.12</v>
      </c>
      <c r="AA77" s="110">
        <f t="shared" si="49"/>
        <v>0.12</v>
      </c>
      <c r="AB77" s="110">
        <f t="shared" si="49"/>
        <v>0.12</v>
      </c>
      <c r="AC77" s="110">
        <f t="shared" si="49"/>
        <v>0.12</v>
      </c>
      <c r="AD77" s="110">
        <f t="shared" si="49"/>
        <v>0.12</v>
      </c>
      <c r="AE77" s="110">
        <f t="shared" si="49"/>
        <v>0.12</v>
      </c>
      <c r="AF77" s="110">
        <f t="shared" si="49"/>
        <v>0.12</v>
      </c>
      <c r="AG77" s="110">
        <f t="shared" si="49"/>
        <v>0.12</v>
      </c>
      <c r="AI77" s="133" t="s">
        <v>1442</v>
      </c>
      <c r="AJ77" s="232" t="s">
        <v>1443</v>
      </c>
      <c r="AL77" s="1"/>
      <c r="BC77" s="1"/>
      <c r="BD77" s="762"/>
      <c r="BE77" s="760"/>
      <c r="BF77" s="6"/>
      <c r="BG77" s="6"/>
      <c r="BH77" s="6"/>
      <c r="BI77" s="6"/>
      <c r="BJ77" s="6"/>
    </row>
    <row r="78" spans="1:63" outlineLevel="1">
      <c r="A78" t="s">
        <v>1445</v>
      </c>
      <c r="B78" s="54" t="s">
        <v>462</v>
      </c>
      <c r="C78" s="121">
        <f>1-C76-C77</f>
        <v>0.36</v>
      </c>
      <c r="D78" s="110">
        <f t="shared" si="50"/>
        <v>0.36</v>
      </c>
      <c r="E78" s="110">
        <f t="shared" si="49"/>
        <v>0.36</v>
      </c>
      <c r="F78" s="110">
        <f t="shared" si="49"/>
        <v>0.36</v>
      </c>
      <c r="G78" s="110">
        <f t="shared" si="49"/>
        <v>0.36</v>
      </c>
      <c r="H78" s="110">
        <f t="shared" si="49"/>
        <v>0.36</v>
      </c>
      <c r="I78" s="110">
        <f t="shared" si="49"/>
        <v>0.36</v>
      </c>
      <c r="J78" s="110">
        <f t="shared" si="49"/>
        <v>0.36</v>
      </c>
      <c r="K78" s="110">
        <f t="shared" si="49"/>
        <v>0.36</v>
      </c>
      <c r="L78" s="110">
        <f t="shared" si="49"/>
        <v>0.36</v>
      </c>
      <c r="M78" s="110">
        <f t="shared" si="49"/>
        <v>0.36</v>
      </c>
      <c r="N78" s="110">
        <f t="shared" si="49"/>
        <v>0.36</v>
      </c>
      <c r="O78" s="110">
        <f t="shared" si="49"/>
        <v>0.36</v>
      </c>
      <c r="P78" s="110">
        <f t="shared" si="49"/>
        <v>0.36</v>
      </c>
      <c r="Q78" s="110">
        <f t="shared" si="49"/>
        <v>0.36</v>
      </c>
      <c r="R78" s="110">
        <f t="shared" si="49"/>
        <v>0.36</v>
      </c>
      <c r="S78" s="110">
        <f t="shared" si="49"/>
        <v>0.36</v>
      </c>
      <c r="T78" s="110">
        <f t="shared" si="49"/>
        <v>0.36</v>
      </c>
      <c r="U78" s="110">
        <f t="shared" si="49"/>
        <v>0.36</v>
      </c>
      <c r="V78" s="110">
        <f t="shared" si="49"/>
        <v>0.36</v>
      </c>
      <c r="W78" s="110">
        <f t="shared" si="49"/>
        <v>0.36</v>
      </c>
      <c r="X78" s="110">
        <f t="shared" si="49"/>
        <v>0.36</v>
      </c>
      <c r="Y78" s="110">
        <f t="shared" si="49"/>
        <v>0.36</v>
      </c>
      <c r="Z78" s="110">
        <f t="shared" si="49"/>
        <v>0.36</v>
      </c>
      <c r="AA78" s="110">
        <f t="shared" si="49"/>
        <v>0.36</v>
      </c>
      <c r="AB78" s="110">
        <f t="shared" si="49"/>
        <v>0.36</v>
      </c>
      <c r="AC78" s="110">
        <f t="shared" si="49"/>
        <v>0.36</v>
      </c>
      <c r="AD78" s="110">
        <f t="shared" si="49"/>
        <v>0.36</v>
      </c>
      <c r="AE78" s="110">
        <f t="shared" si="49"/>
        <v>0.36</v>
      </c>
      <c r="AF78" s="110">
        <f t="shared" si="49"/>
        <v>0.36</v>
      </c>
      <c r="AG78" s="110">
        <f t="shared" si="49"/>
        <v>0.36</v>
      </c>
      <c r="AI78" s="133"/>
      <c r="AJ78" s="223"/>
      <c r="BC78" s="1"/>
      <c r="BD78" s="41"/>
      <c r="BF78" s="6"/>
      <c r="BG78" s="6"/>
      <c r="BH78" s="6"/>
      <c r="BI78" s="6"/>
      <c r="BJ78" s="6"/>
    </row>
    <row r="79" spans="1:63" outlineLevel="1">
      <c r="A79" t="s">
        <v>1268</v>
      </c>
      <c r="B79" s="54" t="s">
        <v>462</v>
      </c>
      <c r="C79" s="110">
        <f>SUM(C76:C78)</f>
        <v>1</v>
      </c>
      <c r="D79" s="110">
        <f t="shared" ref="D79:AG79" si="51">SUM(D76:D78)</f>
        <v>1</v>
      </c>
      <c r="E79" s="110">
        <f t="shared" si="51"/>
        <v>1</v>
      </c>
      <c r="F79" s="110">
        <f t="shared" si="51"/>
        <v>1</v>
      </c>
      <c r="G79" s="110">
        <f t="shared" si="51"/>
        <v>1</v>
      </c>
      <c r="H79" s="110">
        <f t="shared" si="51"/>
        <v>1</v>
      </c>
      <c r="I79" s="110">
        <f t="shared" si="51"/>
        <v>1</v>
      </c>
      <c r="J79" s="110">
        <f t="shared" si="51"/>
        <v>1</v>
      </c>
      <c r="K79" s="110">
        <f t="shared" si="51"/>
        <v>1</v>
      </c>
      <c r="L79" s="110">
        <f t="shared" si="51"/>
        <v>1</v>
      </c>
      <c r="M79" s="110">
        <f t="shared" si="51"/>
        <v>1</v>
      </c>
      <c r="N79" s="110">
        <f t="shared" si="51"/>
        <v>1</v>
      </c>
      <c r="O79" s="110">
        <f t="shared" si="51"/>
        <v>1</v>
      </c>
      <c r="P79" s="110">
        <f t="shared" si="51"/>
        <v>1</v>
      </c>
      <c r="Q79" s="110">
        <f t="shared" si="51"/>
        <v>1</v>
      </c>
      <c r="R79" s="110">
        <f t="shared" si="51"/>
        <v>1</v>
      </c>
      <c r="S79" s="110">
        <f t="shared" si="51"/>
        <v>1</v>
      </c>
      <c r="T79" s="110">
        <f t="shared" si="51"/>
        <v>1</v>
      </c>
      <c r="U79" s="110">
        <f t="shared" si="51"/>
        <v>1</v>
      </c>
      <c r="V79" s="110">
        <f t="shared" si="51"/>
        <v>1</v>
      </c>
      <c r="W79" s="110">
        <f t="shared" si="51"/>
        <v>1</v>
      </c>
      <c r="X79" s="110">
        <f t="shared" si="51"/>
        <v>1</v>
      </c>
      <c r="Y79" s="110">
        <f t="shared" si="51"/>
        <v>1</v>
      </c>
      <c r="Z79" s="110">
        <f t="shared" si="51"/>
        <v>1</v>
      </c>
      <c r="AA79" s="110">
        <f t="shared" si="51"/>
        <v>1</v>
      </c>
      <c r="AB79" s="110">
        <f t="shared" si="51"/>
        <v>1</v>
      </c>
      <c r="AC79" s="110">
        <f t="shared" si="51"/>
        <v>1</v>
      </c>
      <c r="AD79" s="110">
        <f t="shared" si="51"/>
        <v>1</v>
      </c>
      <c r="AE79" s="110">
        <f t="shared" si="51"/>
        <v>1</v>
      </c>
      <c r="AF79" s="110">
        <f t="shared" si="51"/>
        <v>1</v>
      </c>
      <c r="AG79" s="110">
        <f t="shared" si="51"/>
        <v>1</v>
      </c>
      <c r="AI79" s="133"/>
      <c r="AJ79" s="211"/>
      <c r="BC79" s="1"/>
      <c r="BD79" s="41"/>
      <c r="BF79" s="6"/>
      <c r="BG79" s="6"/>
      <c r="BH79" s="6"/>
      <c r="BI79" s="6"/>
      <c r="BJ79" s="6"/>
    </row>
    <row r="80" spans="1:63" outlineLevel="1">
      <c r="C80" s="214"/>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I80" s="133"/>
      <c r="AJ80" s="211"/>
      <c r="BC80" s="1"/>
      <c r="BD80" s="41"/>
      <c r="BF80" s="6"/>
      <c r="BG80" s="6"/>
      <c r="BH80" s="6"/>
      <c r="BI80" s="6"/>
      <c r="BJ80" s="6"/>
    </row>
    <row r="81" spans="1:63" outlineLevel="1">
      <c r="A81" t="s">
        <v>1335</v>
      </c>
      <c r="B81" s="54" t="s">
        <v>462</v>
      </c>
      <c r="C81" s="110">
        <f>C76*C74</f>
        <v>1.1960000000000002E-2</v>
      </c>
      <c r="D81" s="110">
        <f t="shared" ref="D81:AG81" si="52">D76*D74</f>
        <v>1.4562523765387934E-2</v>
      </c>
      <c r="E81" s="110">
        <f t="shared" si="52"/>
        <v>1.7008912329058656E-2</v>
      </c>
      <c r="F81" s="110">
        <f t="shared" si="52"/>
        <v>1.9299165691012168E-2</v>
      </c>
      <c r="G81" s="110">
        <f t="shared" si="52"/>
        <v>2.1433283851248472E-2</v>
      </c>
      <c r="H81" s="110">
        <f t="shared" si="52"/>
        <v>2.3411266809767559E-2</v>
      </c>
      <c r="I81" s="110">
        <f t="shared" si="52"/>
        <v>2.5233114566569442E-2</v>
      </c>
      <c r="J81" s="110">
        <f t="shared" si="52"/>
        <v>2.6898827121654107E-2</v>
      </c>
      <c r="K81" s="110">
        <f t="shared" si="52"/>
        <v>2.8408404475021565E-2</v>
      </c>
      <c r="L81" s="110">
        <f t="shared" si="52"/>
        <v>2.9761846626671813E-2</v>
      </c>
      <c r="M81" s="110">
        <f t="shared" si="52"/>
        <v>3.0959153576604843E-2</v>
      </c>
      <c r="N81" s="110">
        <f t="shared" si="52"/>
        <v>3.4363972070816588E-2</v>
      </c>
      <c r="O81" s="110">
        <f t="shared" si="52"/>
        <v>3.7439705601408989E-2</v>
      </c>
      <c r="P81" s="110">
        <f t="shared" si="52"/>
        <v>4.0186354168382038E-2</v>
      </c>
      <c r="Q81" s="110">
        <f t="shared" si="52"/>
        <v>4.2603917771735722E-2</v>
      </c>
      <c r="R81" s="110">
        <f t="shared" si="52"/>
        <v>4.4692396411470069E-2</v>
      </c>
      <c r="S81" s="110">
        <f t="shared" si="52"/>
        <v>4.6451790087585064E-2</v>
      </c>
      <c r="T81" s="110">
        <f t="shared" si="52"/>
        <v>4.7882098800080701E-2</v>
      </c>
      <c r="U81" s="110">
        <f t="shared" si="52"/>
        <v>4.8983322548956994E-2</v>
      </c>
      <c r="V81" s="110">
        <f t="shared" si="52"/>
        <v>4.9755461334213928E-2</v>
      </c>
      <c r="W81" s="110">
        <f t="shared" si="52"/>
        <v>5.0198515155851518E-2</v>
      </c>
      <c r="X81" s="110">
        <f t="shared" si="52"/>
        <v>5.2232452896251821E-2</v>
      </c>
      <c r="Y81" s="110">
        <f t="shared" si="52"/>
        <v>5.3715770801988701E-2</v>
      </c>
      <c r="Z81" s="110">
        <f t="shared" si="52"/>
        <v>5.4648468873062142E-2</v>
      </c>
      <c r="AA81" s="110">
        <f t="shared" si="52"/>
        <v>5.5030547109472132E-2</v>
      </c>
      <c r="AB81" s="110">
        <f t="shared" si="52"/>
        <v>5.4862005511218705E-2</v>
      </c>
      <c r="AC81" s="110">
        <f t="shared" si="52"/>
        <v>5.4142844078301819E-2</v>
      </c>
      <c r="AD81" s="110">
        <f t="shared" si="52"/>
        <v>5.2873062810721502E-2</v>
      </c>
      <c r="AE81" s="110">
        <f t="shared" si="52"/>
        <v>5.1052661708477741E-2</v>
      </c>
      <c r="AF81" s="110">
        <f t="shared" si="52"/>
        <v>4.8681640771570549E-2</v>
      </c>
      <c r="AG81" s="110">
        <f t="shared" si="52"/>
        <v>4.5759999999999995E-2</v>
      </c>
      <c r="AI81" s="133"/>
      <c r="AJ81" s="211"/>
      <c r="BD81" s="203"/>
      <c r="BE81" s="203"/>
    </row>
    <row r="82" spans="1:63" outlineLevel="1">
      <c r="A82" t="s">
        <v>1336</v>
      </c>
      <c r="B82" s="54" t="s">
        <v>462</v>
      </c>
      <c r="C82" s="110">
        <f>C74*C77</f>
        <v>2.7600000000000003E-3</v>
      </c>
      <c r="D82" s="110">
        <f t="shared" ref="D82:AG82" si="53">D74*D77</f>
        <v>3.3605824073972158E-3</v>
      </c>
      <c r="E82" s="110">
        <f t="shared" si="53"/>
        <v>3.9251336143981512E-3</v>
      </c>
      <c r="F82" s="110">
        <f t="shared" si="53"/>
        <v>4.4536536210028075E-3</v>
      </c>
      <c r="G82" s="110">
        <f t="shared" si="53"/>
        <v>4.9461424272111854E-3</v>
      </c>
      <c r="H82" s="110">
        <f t="shared" si="53"/>
        <v>5.4026000330232825E-3</v>
      </c>
      <c r="I82" s="110">
        <f t="shared" si="53"/>
        <v>5.8230264384391021E-3</v>
      </c>
      <c r="J82" s="110">
        <f t="shared" si="53"/>
        <v>6.2074216434586391E-3</v>
      </c>
      <c r="K82" s="110">
        <f t="shared" si="53"/>
        <v>6.5557856480818995E-3</v>
      </c>
      <c r="L82" s="110">
        <f t="shared" si="53"/>
        <v>6.868118452308879E-3</v>
      </c>
      <c r="M82" s="110">
        <f t="shared" si="53"/>
        <v>7.1444200561395794E-3</v>
      </c>
      <c r="N82" s="110">
        <f t="shared" si="53"/>
        <v>7.9301474009576736E-3</v>
      </c>
      <c r="O82" s="110">
        <f t="shared" si="53"/>
        <v>8.6399320618636127E-3</v>
      </c>
      <c r="P82" s="110">
        <f t="shared" si="53"/>
        <v>9.2737740388573915E-3</v>
      </c>
      <c r="Q82" s="110">
        <f t="shared" si="53"/>
        <v>9.8316733319390136E-3</v>
      </c>
      <c r="R82" s="110">
        <f t="shared" si="53"/>
        <v>1.0313629941108475E-2</v>
      </c>
      <c r="S82" s="110">
        <f t="shared" si="53"/>
        <v>1.0719643866365784E-2</v>
      </c>
      <c r="T82" s="110">
        <f t="shared" si="53"/>
        <v>1.104971510771093E-2</v>
      </c>
      <c r="U82" s="110">
        <f t="shared" si="53"/>
        <v>1.1303843665143922E-2</v>
      </c>
      <c r="V82" s="110">
        <f t="shared" si="53"/>
        <v>1.1482029538664751E-2</v>
      </c>
      <c r="W82" s="110">
        <f t="shared" si="53"/>
        <v>1.1584272728273426E-2</v>
      </c>
      <c r="X82" s="110">
        <f t="shared" si="53"/>
        <v>1.2053642976058113E-2</v>
      </c>
      <c r="Y82" s="110">
        <f t="shared" si="53"/>
        <v>1.2395947108151237E-2</v>
      </c>
      <c r="Z82" s="110">
        <f t="shared" si="53"/>
        <v>1.2611185124552803E-2</v>
      </c>
      <c r="AA82" s="110">
        <f t="shared" si="53"/>
        <v>1.2699357025262798E-2</v>
      </c>
      <c r="AB82" s="110">
        <f t="shared" si="53"/>
        <v>1.2660462810281237E-2</v>
      </c>
      <c r="AC82" s="110">
        <f t="shared" si="53"/>
        <v>1.2494502479608111E-2</v>
      </c>
      <c r="AD82" s="110">
        <f t="shared" si="53"/>
        <v>1.2201476033243421E-2</v>
      </c>
      <c r="AE82" s="110">
        <f t="shared" si="53"/>
        <v>1.178138347118717E-2</v>
      </c>
      <c r="AF82" s="110">
        <f t="shared" si="53"/>
        <v>1.1234224793439355E-2</v>
      </c>
      <c r="AG82" s="110">
        <f t="shared" si="53"/>
        <v>1.0559999999999996E-2</v>
      </c>
      <c r="AI82" s="133"/>
      <c r="AJ82" s="211"/>
      <c r="AL82" s="1"/>
      <c r="BC82" s="1"/>
      <c r="BD82" s="762"/>
      <c r="BE82" s="760"/>
      <c r="BF82" s="6"/>
      <c r="BG82" s="6"/>
      <c r="BH82" s="6"/>
      <c r="BI82" s="6"/>
      <c r="BJ82" s="6"/>
    </row>
    <row r="83" spans="1:63" outlineLevel="1">
      <c r="A83" t="s">
        <v>1337</v>
      </c>
      <c r="B83" s="54" t="s">
        <v>462</v>
      </c>
      <c r="C83" s="110">
        <f>C74*C78</f>
        <v>8.2800000000000009E-3</v>
      </c>
      <c r="D83" s="110">
        <f t="shared" ref="D83:AG83" si="54">D74*D78</f>
        <v>1.0081747222191647E-2</v>
      </c>
      <c r="E83" s="110">
        <f t="shared" si="54"/>
        <v>1.1775400843194454E-2</v>
      </c>
      <c r="F83" s="110">
        <f t="shared" si="54"/>
        <v>1.3360960863008423E-2</v>
      </c>
      <c r="G83" s="110">
        <f t="shared" si="54"/>
        <v>1.4838427281633556E-2</v>
      </c>
      <c r="H83" s="110">
        <f t="shared" si="54"/>
        <v>1.6207800099069847E-2</v>
      </c>
      <c r="I83" s="110">
        <f t="shared" si="54"/>
        <v>1.7469079315317305E-2</v>
      </c>
      <c r="J83" s="110">
        <f t="shared" si="54"/>
        <v>1.8622264930375918E-2</v>
      </c>
      <c r="K83" s="110">
        <f t="shared" si="54"/>
        <v>1.9667356944245699E-2</v>
      </c>
      <c r="L83" s="110">
        <f t="shared" si="54"/>
        <v>2.0604355356926639E-2</v>
      </c>
      <c r="M83" s="110">
        <f t="shared" si="54"/>
        <v>2.1433260168418736E-2</v>
      </c>
      <c r="N83" s="110">
        <f t="shared" si="54"/>
        <v>2.3790442202873022E-2</v>
      </c>
      <c r="O83" s="110">
        <f t="shared" si="54"/>
        <v>2.5919796185590836E-2</v>
      </c>
      <c r="P83" s="110">
        <f t="shared" si="54"/>
        <v>2.7821322116572178E-2</v>
      </c>
      <c r="Q83" s="110">
        <f t="shared" si="54"/>
        <v>2.9495019995817037E-2</v>
      </c>
      <c r="R83" s="110">
        <f t="shared" si="54"/>
        <v>3.0940889823325428E-2</v>
      </c>
      <c r="S83" s="110">
        <f t="shared" si="54"/>
        <v>3.215893159909735E-2</v>
      </c>
      <c r="T83" s="110">
        <f t="shared" si="54"/>
        <v>3.3149145323132789E-2</v>
      </c>
      <c r="U83" s="110">
        <f t="shared" si="54"/>
        <v>3.3911530995431767E-2</v>
      </c>
      <c r="V83" s="110">
        <f t="shared" si="54"/>
        <v>3.4446088615994255E-2</v>
      </c>
      <c r="W83" s="110">
        <f t="shared" si="54"/>
        <v>3.4752818184820275E-2</v>
      </c>
      <c r="X83" s="110">
        <f t="shared" si="54"/>
        <v>3.6160928928174338E-2</v>
      </c>
      <c r="Y83" s="110">
        <f t="shared" si="54"/>
        <v>3.7187841324453713E-2</v>
      </c>
      <c r="Z83" s="110">
        <f t="shared" si="54"/>
        <v>3.7833555373658408E-2</v>
      </c>
      <c r="AA83" s="110">
        <f t="shared" si="54"/>
        <v>3.8098071075788394E-2</v>
      </c>
      <c r="AB83" s="110">
        <f t="shared" si="54"/>
        <v>3.7981388430843713E-2</v>
      </c>
      <c r="AC83" s="110">
        <f t="shared" si="54"/>
        <v>3.748350743882433E-2</v>
      </c>
      <c r="AD83" s="110">
        <f t="shared" si="54"/>
        <v>3.6604428099730267E-2</v>
      </c>
      <c r="AE83" s="110">
        <f t="shared" si="54"/>
        <v>3.5344150413561509E-2</v>
      </c>
      <c r="AF83" s="110">
        <f t="shared" si="54"/>
        <v>3.3702674380318071E-2</v>
      </c>
      <c r="AG83" s="110">
        <f t="shared" si="54"/>
        <v>3.1679999999999993E-2</v>
      </c>
      <c r="AI83" s="134"/>
      <c r="AJ83" s="211"/>
      <c r="BC83" s="1"/>
      <c r="BD83" s="41"/>
      <c r="BF83" s="6"/>
      <c r="BG83" s="6"/>
      <c r="BH83" s="6"/>
      <c r="BI83" s="6"/>
      <c r="BJ83" s="6"/>
    </row>
    <row r="84" spans="1:63" outlineLevel="1">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I84" s="134"/>
      <c r="AJ84" s="211"/>
      <c r="BC84" s="1"/>
      <c r="BD84" s="41"/>
      <c r="BF84" s="6"/>
      <c r="BG84" s="6"/>
      <c r="BH84" s="6"/>
      <c r="BI84" s="6"/>
      <c r="BJ84" s="6"/>
    </row>
    <row r="85" spans="1:63" outlineLevel="1">
      <c r="A85" t="s">
        <v>1520</v>
      </c>
      <c r="C85" s="230">
        <f>'Overall recycling rates'!D86</f>
        <v>1.1625854455231439</v>
      </c>
      <c r="D85" s="230">
        <f>C85-($C$85-$AG$85)/($AG$1-$C$1)</f>
        <v>1.1604992640057057</v>
      </c>
      <c r="E85" s="230">
        <f t="shared" ref="E85:AF85" si="55">D85-($C$85-$AG$85)/($AG$1-$C$1)</f>
        <v>1.1584130824882675</v>
      </c>
      <c r="F85" s="230">
        <f t="shared" si="55"/>
        <v>1.1563269009708292</v>
      </c>
      <c r="G85" s="230">
        <f t="shared" si="55"/>
        <v>1.154240719453391</v>
      </c>
      <c r="H85" s="230">
        <f t="shared" si="55"/>
        <v>1.1521545379359528</v>
      </c>
      <c r="I85" s="230">
        <f t="shared" si="55"/>
        <v>1.1500683564185146</v>
      </c>
      <c r="J85" s="230">
        <f t="shared" si="55"/>
        <v>1.1479821749010763</v>
      </c>
      <c r="K85" s="230">
        <f t="shared" si="55"/>
        <v>1.1458959933836381</v>
      </c>
      <c r="L85" s="230">
        <f t="shared" si="55"/>
        <v>1.1438098118661999</v>
      </c>
      <c r="M85" s="230">
        <f t="shared" si="55"/>
        <v>1.1417236303487617</v>
      </c>
      <c r="N85" s="230">
        <f t="shared" si="55"/>
        <v>1.1396374488313235</v>
      </c>
      <c r="O85" s="230">
        <f t="shared" si="55"/>
        <v>1.1375512673138852</v>
      </c>
      <c r="P85" s="230">
        <f t="shared" si="55"/>
        <v>1.135465085796447</v>
      </c>
      <c r="Q85" s="230">
        <f t="shared" si="55"/>
        <v>1.1333789042790088</v>
      </c>
      <c r="R85" s="230">
        <f t="shared" si="55"/>
        <v>1.1312927227615706</v>
      </c>
      <c r="S85" s="230">
        <f t="shared" si="55"/>
        <v>1.1292065412441323</v>
      </c>
      <c r="T85" s="230">
        <f t="shared" si="55"/>
        <v>1.1271203597266941</v>
      </c>
      <c r="U85" s="230">
        <f t="shared" si="55"/>
        <v>1.1250341782092559</v>
      </c>
      <c r="V85" s="230">
        <f t="shared" si="55"/>
        <v>1.1229479966918177</v>
      </c>
      <c r="W85" s="230">
        <f t="shared" si="55"/>
        <v>1.1208618151743794</v>
      </c>
      <c r="X85" s="230">
        <f t="shared" si="55"/>
        <v>1.1187756336569412</v>
      </c>
      <c r="Y85" s="230">
        <f t="shared" si="55"/>
        <v>1.116689452139503</v>
      </c>
      <c r="Z85" s="230">
        <f t="shared" si="55"/>
        <v>1.1146032706220648</v>
      </c>
      <c r="AA85" s="230">
        <f t="shared" si="55"/>
        <v>1.1125170891046265</v>
      </c>
      <c r="AB85" s="230">
        <f t="shared" si="55"/>
        <v>1.1104309075871883</v>
      </c>
      <c r="AC85" s="230">
        <f t="shared" si="55"/>
        <v>1.1083447260697501</v>
      </c>
      <c r="AD85" s="230">
        <f t="shared" si="55"/>
        <v>1.1062585445523119</v>
      </c>
      <c r="AE85" s="230">
        <f t="shared" si="55"/>
        <v>1.1041723630348736</v>
      </c>
      <c r="AF85" s="230">
        <f t="shared" si="55"/>
        <v>1.1020861815174354</v>
      </c>
      <c r="AG85" s="230">
        <f>'Overall recycling rates'!D95</f>
        <v>1.1000000000000001</v>
      </c>
      <c r="AI85" s="133"/>
      <c r="AJ85" s="211"/>
      <c r="AL85" s="108"/>
      <c r="AM85" s="2"/>
      <c r="AN85" s="2"/>
      <c r="AO85" s="2"/>
      <c r="BC85" s="1"/>
      <c r="BD85" s="2"/>
      <c r="BE85" s="2"/>
      <c r="BF85" s="2"/>
      <c r="BG85" s="2"/>
      <c r="BH85" s="2"/>
      <c r="BI85" s="2"/>
      <c r="BJ85" s="2"/>
      <c r="BK85" s="2"/>
    </row>
    <row r="86" spans="1:63" outlineLevel="1">
      <c r="A86" t="s">
        <v>1522</v>
      </c>
      <c r="B86" s="54" t="s">
        <v>462</v>
      </c>
      <c r="C86" s="110">
        <f>C70*C$85</f>
        <v>2.9064636138078598E-2</v>
      </c>
      <c r="D86" s="110">
        <f t="shared" ref="D86:AG86" si="56">D70*D$85</f>
        <v>3.627188811769895E-2</v>
      </c>
      <c r="E86" s="110">
        <f t="shared" si="56"/>
        <v>4.3453040227764493E-2</v>
      </c>
      <c r="F86" s="110">
        <f t="shared" si="56"/>
        <v>5.0608092468275245E-2</v>
      </c>
      <c r="G86" s="110">
        <f t="shared" si="56"/>
        <v>5.7737044839231193E-2</v>
      </c>
      <c r="H86" s="110">
        <f t="shared" si="56"/>
        <v>6.4839897340632321E-2</v>
      </c>
      <c r="I86" s="110">
        <f t="shared" si="56"/>
        <v>7.191664997247868E-2</v>
      </c>
      <c r="J86" s="110">
        <f t="shared" si="56"/>
        <v>7.8967302734770206E-2</v>
      </c>
      <c r="K86" s="110">
        <f t="shared" si="56"/>
        <v>8.5991855627506941E-2</v>
      </c>
      <c r="L86" s="110">
        <f t="shared" si="56"/>
        <v>9.2990308650688872E-2</v>
      </c>
      <c r="M86" s="110">
        <f t="shared" si="56"/>
        <v>9.9962661804315983E-2</v>
      </c>
      <c r="N86" s="110">
        <f t="shared" si="56"/>
        <v>0.11480555072260869</v>
      </c>
      <c r="O86" s="110">
        <f t="shared" si="56"/>
        <v>0.12959342914660896</v>
      </c>
      <c r="P86" s="110">
        <f t="shared" si="56"/>
        <v>0.14432629707631681</v>
      </c>
      <c r="Q86" s="110">
        <f t="shared" si="56"/>
        <v>0.15900415451173219</v>
      </c>
      <c r="R86" s="110">
        <f t="shared" si="56"/>
        <v>0.1736270014528552</v>
      </c>
      <c r="S86" s="110">
        <f t="shared" si="56"/>
        <v>0.18819483789968577</v>
      </c>
      <c r="T86" s="110">
        <f t="shared" si="56"/>
        <v>0.20270766385222388</v>
      </c>
      <c r="U86" s="110">
        <f t="shared" si="56"/>
        <v>0.21716547931046956</v>
      </c>
      <c r="V86" s="110">
        <f t="shared" si="56"/>
        <v>0.23156828427442283</v>
      </c>
      <c r="W86" s="110">
        <f t="shared" si="56"/>
        <v>0.24591607874408367</v>
      </c>
      <c r="X86" s="110">
        <f t="shared" si="56"/>
        <v>0.27013866302912581</v>
      </c>
      <c r="Y86" s="110">
        <f t="shared" si="56"/>
        <v>0.29426920461206779</v>
      </c>
      <c r="Z86" s="110">
        <f t="shared" si="56"/>
        <v>0.31830770349290971</v>
      </c>
      <c r="AA86" s="110">
        <f t="shared" si="56"/>
        <v>0.34225415967165135</v>
      </c>
      <c r="AB86" s="110">
        <f t="shared" si="56"/>
        <v>0.36610857314829298</v>
      </c>
      <c r="AC86" s="110">
        <f t="shared" si="56"/>
        <v>0.38987094392283445</v>
      </c>
      <c r="AD86" s="110">
        <f t="shared" si="56"/>
        <v>0.41354127199527574</v>
      </c>
      <c r="AE86" s="110">
        <f t="shared" si="56"/>
        <v>0.43711955736561686</v>
      </c>
      <c r="AF86" s="110">
        <f t="shared" si="56"/>
        <v>0.46060580003385793</v>
      </c>
      <c r="AG86" s="110">
        <f t="shared" si="56"/>
        <v>0.48400000000000004</v>
      </c>
      <c r="AI86" s="133"/>
      <c r="AJ86" s="211"/>
      <c r="AL86" s="108"/>
      <c r="AM86" s="2"/>
      <c r="AN86" s="2"/>
      <c r="AO86" s="2"/>
      <c r="AV86" s="41"/>
    </row>
    <row r="87" spans="1:63" outlineLevel="1">
      <c r="A87" t="s">
        <v>1523</v>
      </c>
      <c r="B87" s="54" t="s">
        <v>462</v>
      </c>
      <c r="C87" s="110">
        <f>C73*C$85</f>
        <v>2.3251708910462881E-3</v>
      </c>
      <c r="D87" s="110">
        <f t="shared" ref="D87:AG87" si="57">D73*D$85</f>
        <v>3.7722763642406912E-3</v>
      </c>
      <c r="E87" s="110">
        <f t="shared" si="57"/>
        <v>5.5619891491538558E-3</v>
      </c>
      <c r="F87" s="110">
        <f t="shared" si="57"/>
        <v>7.6924300551778372E-3</v>
      </c>
      <c r="G87" s="110">
        <f t="shared" si="57"/>
        <v>1.0161719891704689E-2</v>
      </c>
      <c r="H87" s="110">
        <f t="shared" si="57"/>
        <v>1.2967979468126464E-2</v>
      </c>
      <c r="I87" s="110">
        <f t="shared" si="57"/>
        <v>1.6109329593835223E-2</v>
      </c>
      <c r="J87" s="110">
        <f t="shared" si="57"/>
        <v>1.9583891078223007E-2</v>
      </c>
      <c r="K87" s="110">
        <f t="shared" si="57"/>
        <v>2.3389784730681883E-2</v>
      </c>
      <c r="L87" s="110">
        <f t="shared" si="57"/>
        <v>2.7525131360603906E-2</v>
      </c>
      <c r="M87" s="110">
        <f t="shared" si="57"/>
        <v>3.1988051777381114E-2</v>
      </c>
      <c r="N87" s="110">
        <f t="shared" si="57"/>
        <v>3.9493109448577389E-2</v>
      </c>
      <c r="O87" s="110">
        <f t="shared" si="57"/>
        <v>4.7690381925952104E-2</v>
      </c>
      <c r="P87" s="110">
        <f t="shared" si="57"/>
        <v>5.6575908453916204E-2</v>
      </c>
      <c r="Q87" s="110">
        <f t="shared" si="57"/>
        <v>6.6145728276880617E-2</v>
      </c>
      <c r="R87" s="110">
        <f t="shared" si="57"/>
        <v>7.6395880639256314E-2</v>
      </c>
      <c r="S87" s="110">
        <f t="shared" si="57"/>
        <v>8.7322404785454222E-2</v>
      </c>
      <c r="T87" s="110">
        <f t="shared" si="57"/>
        <v>9.8921339959885293E-2</v>
      </c>
      <c r="U87" s="110">
        <f t="shared" si="57"/>
        <v>0.11118872540696045</v>
      </c>
      <c r="V87" s="110">
        <f t="shared" si="57"/>
        <v>0.12412060037109067</v>
      </c>
      <c r="W87" s="110">
        <f t="shared" si="57"/>
        <v>0.13771300409668688</v>
      </c>
      <c r="X87" s="110">
        <f t="shared" si="57"/>
        <v>0.1577609792090095</v>
      </c>
      <c r="Y87" s="110">
        <f t="shared" si="57"/>
        <v>0.1789156764041373</v>
      </c>
      <c r="Z87" s="110">
        <f t="shared" si="57"/>
        <v>0.20117046860751903</v>
      </c>
      <c r="AA87" s="110">
        <f t="shared" si="57"/>
        <v>0.22451872874460341</v>
      </c>
      <c r="AB87" s="110">
        <f t="shared" si="57"/>
        <v>0.24895382974083935</v>
      </c>
      <c r="AC87" s="110">
        <f t="shared" si="57"/>
        <v>0.27446914452167553</v>
      </c>
      <c r="AD87" s="110">
        <f t="shared" si="57"/>
        <v>0.30105804601256081</v>
      </c>
      <c r="AE87" s="110">
        <f t="shared" si="57"/>
        <v>0.32871390713894405</v>
      </c>
      <c r="AF87" s="110">
        <f t="shared" si="57"/>
        <v>0.35743010082627391</v>
      </c>
      <c r="AG87" s="110">
        <f t="shared" si="57"/>
        <v>0.38720000000000004</v>
      </c>
      <c r="AI87" s="133"/>
      <c r="AJ87" s="211"/>
      <c r="AL87" s="108"/>
      <c r="AM87" s="2"/>
      <c r="AN87" s="2"/>
      <c r="AO87" s="2"/>
      <c r="AV87" s="41"/>
    </row>
    <row r="88" spans="1:63" outlineLevel="1">
      <c r="A88" t="s">
        <v>1524</v>
      </c>
      <c r="B88" s="176" t="s">
        <v>462</v>
      </c>
      <c r="C88" s="110">
        <f>C74*C$85</f>
        <v>2.6739465247032315E-2</v>
      </c>
      <c r="D88" s="110">
        <f t="shared" ref="D88:AG88" si="58">D74*D$85</f>
        <v>3.2499611753458259E-2</v>
      </c>
      <c r="E88" s="110">
        <f t="shared" si="58"/>
        <v>3.7891051078610641E-2</v>
      </c>
      <c r="F88" s="110">
        <f t="shared" si="58"/>
        <v>4.2915662413097404E-2</v>
      </c>
      <c r="G88" s="110">
        <f t="shared" si="58"/>
        <v>4.7575324947526504E-2</v>
      </c>
      <c r="H88" s="110">
        <f t="shared" si="58"/>
        <v>5.1871917872505863E-2</v>
      </c>
      <c r="I88" s="110">
        <f t="shared" si="58"/>
        <v>5.5807320378643457E-2</v>
      </c>
      <c r="J88" s="110">
        <f t="shared" si="58"/>
        <v>5.9383411656547189E-2</v>
      </c>
      <c r="K88" s="110">
        <f t="shared" si="58"/>
        <v>6.2602070896825054E-2</v>
      </c>
      <c r="L88" s="110">
        <f t="shared" si="58"/>
        <v>6.5465177290084969E-2</v>
      </c>
      <c r="M88" s="110">
        <f t="shared" si="58"/>
        <v>6.7974610026934862E-2</v>
      </c>
      <c r="N88" s="110">
        <f t="shared" si="58"/>
        <v>7.5312441274031278E-2</v>
      </c>
      <c r="O88" s="110">
        <f t="shared" si="58"/>
        <v>8.1903047220656847E-2</v>
      </c>
      <c r="P88" s="110">
        <f t="shared" si="58"/>
        <v>8.7750388622400602E-2</v>
      </c>
      <c r="Q88" s="110">
        <f t="shared" si="58"/>
        <v>9.285842623485159E-2</v>
      </c>
      <c r="R88" s="110">
        <f t="shared" si="58"/>
        <v>9.7231120813598873E-2</v>
      </c>
      <c r="S88" s="110">
        <f t="shared" si="58"/>
        <v>0.10087243311423154</v>
      </c>
      <c r="T88" s="110">
        <f t="shared" si="58"/>
        <v>0.10378632389233859</v>
      </c>
      <c r="U88" s="110">
        <f t="shared" si="58"/>
        <v>0.10597675390350912</v>
      </c>
      <c r="V88" s="110">
        <f t="shared" si="58"/>
        <v>0.10744768390333216</v>
      </c>
      <c r="W88" s="110">
        <f t="shared" si="58"/>
        <v>0.10820307464739679</v>
      </c>
      <c r="X88" s="110">
        <f t="shared" si="58"/>
        <v>0.11237768382011629</v>
      </c>
      <c r="Y88" s="110">
        <f t="shared" si="58"/>
        <v>0.11535352820793052</v>
      </c>
      <c r="Z88" s="110">
        <f t="shared" si="58"/>
        <v>0.11713723488539071</v>
      </c>
      <c r="AA88" s="110">
        <f t="shared" si="58"/>
        <v>0.11773543092704798</v>
      </c>
      <c r="AB88" s="110">
        <f t="shared" si="58"/>
        <v>0.11715474340745367</v>
      </c>
      <c r="AC88" s="110">
        <f t="shared" si="58"/>
        <v>0.11540179940115888</v>
      </c>
      <c r="AD88" s="110">
        <f t="shared" si="58"/>
        <v>0.11248322598271487</v>
      </c>
      <c r="AE88" s="110">
        <f t="shared" si="58"/>
        <v>0.10840565022667284</v>
      </c>
      <c r="AF88" s="110">
        <f t="shared" si="58"/>
        <v>0.103175699207584</v>
      </c>
      <c r="AG88" s="110">
        <f t="shared" si="58"/>
        <v>9.6799999999999983E-2</v>
      </c>
      <c r="AI88" s="133"/>
      <c r="AJ88" s="211"/>
      <c r="AL88" s="108"/>
      <c r="AM88" s="2"/>
      <c r="AN88" s="2"/>
      <c r="AO88" s="2"/>
    </row>
    <row r="89" spans="1:63" outlineLevel="1">
      <c r="A89" t="s">
        <v>1500</v>
      </c>
      <c r="B89" s="54" t="s">
        <v>462</v>
      </c>
      <c r="C89" s="110">
        <f>C81*C$85</f>
        <v>1.3904521928456804E-2</v>
      </c>
      <c r="D89" s="110">
        <f t="shared" ref="D89:AG89" si="59">D81*D$85</f>
        <v>1.6899798111798297E-2</v>
      </c>
      <c r="E89" s="110">
        <f t="shared" si="59"/>
        <v>1.9703346560877535E-2</v>
      </c>
      <c r="F89" s="110">
        <f t="shared" si="59"/>
        <v>2.2316144454810651E-2</v>
      </c>
      <c r="G89" s="110">
        <f t="shared" si="59"/>
        <v>2.4739168972713783E-2</v>
      </c>
      <c r="H89" s="110">
        <f t="shared" si="59"/>
        <v>2.6973397293703048E-2</v>
      </c>
      <c r="I89" s="110">
        <f t="shared" si="59"/>
        <v>2.9019806596894595E-2</v>
      </c>
      <c r="J89" s="110">
        <f t="shared" si="59"/>
        <v>3.0879374061404542E-2</v>
      </c>
      <c r="K89" s="110">
        <f t="shared" si="59"/>
        <v>3.2553076866349027E-2</v>
      </c>
      <c r="L89" s="110">
        <f t="shared" si="59"/>
        <v>3.4041892190844185E-2</v>
      </c>
      <c r="M89" s="110">
        <f t="shared" si="59"/>
        <v>3.5346797214006132E-2</v>
      </c>
      <c r="N89" s="110">
        <f t="shared" si="59"/>
        <v>3.9162469462496269E-2</v>
      </c>
      <c r="O89" s="110">
        <f t="shared" si="59"/>
        <v>4.2589584554741565E-2</v>
      </c>
      <c r="P89" s="110">
        <f t="shared" si="59"/>
        <v>4.5630202083648319E-2</v>
      </c>
      <c r="Q89" s="110">
        <f t="shared" si="59"/>
        <v>4.8286381642122823E-2</v>
      </c>
      <c r="R89" s="110">
        <f t="shared" si="59"/>
        <v>5.0560182823071419E-2</v>
      </c>
      <c r="S89" s="110">
        <f t="shared" si="59"/>
        <v>5.2453665219400404E-2</v>
      </c>
      <c r="T89" s="110">
        <f t="shared" si="59"/>
        <v>5.3968888424016065E-2</v>
      </c>
      <c r="U89" s="110">
        <f t="shared" si="59"/>
        <v>5.5107912029824742E-2</v>
      </c>
      <c r="V89" s="110">
        <f t="shared" si="59"/>
        <v>5.5872795629732727E-2</v>
      </c>
      <c r="W89" s="110">
        <f t="shared" si="59"/>
        <v>5.6265598816646327E-2</v>
      </c>
      <c r="X89" s="110">
        <f t="shared" si="59"/>
        <v>5.8436395586460466E-2</v>
      </c>
      <c r="Y89" s="110">
        <f t="shared" si="59"/>
        <v>5.9983834668123875E-2</v>
      </c>
      <c r="Z89" s="110">
        <f t="shared" si="59"/>
        <v>6.0911362140403165E-2</v>
      </c>
      <c r="AA89" s="110">
        <f t="shared" si="59"/>
        <v>6.1222424082064957E-2</v>
      </c>
      <c r="AB89" s="110">
        <f t="shared" si="59"/>
        <v>6.0920466571875914E-2</v>
      </c>
      <c r="AC89" s="110">
        <f t="shared" si="59"/>
        <v>6.0008935688602619E-2</v>
      </c>
      <c r="AD89" s="110">
        <f t="shared" si="59"/>
        <v>5.8491277511011734E-2</v>
      </c>
      <c r="AE89" s="110">
        <f t="shared" si="59"/>
        <v>5.6370938117869876E-2</v>
      </c>
      <c r="AF89" s="110">
        <f t="shared" si="59"/>
        <v>5.3651363587943687E-2</v>
      </c>
      <c r="AG89" s="110">
        <f t="shared" si="59"/>
        <v>5.0335999999999999E-2</v>
      </c>
      <c r="AI89" s="133"/>
      <c r="AJ89" s="211"/>
      <c r="AL89" s="108"/>
      <c r="AM89" s="2"/>
      <c r="AN89" s="2"/>
      <c r="AO89" s="2"/>
      <c r="BC89" s="1"/>
      <c r="BD89" s="2"/>
      <c r="BE89" s="2"/>
      <c r="BF89" s="2"/>
      <c r="BG89" s="2"/>
      <c r="BH89" s="2"/>
      <c r="BI89" s="2"/>
      <c r="BJ89" s="2"/>
      <c r="BK89" s="2"/>
    </row>
    <row r="90" spans="1:63" outlineLevel="1">
      <c r="A90" t="s">
        <v>1501</v>
      </c>
      <c r="B90" s="54" t="s">
        <v>462</v>
      </c>
      <c r="C90" s="110">
        <f>C82*C$85</f>
        <v>3.2087358296438774E-3</v>
      </c>
      <c r="D90" s="110">
        <f t="shared" ref="D90:AG90" si="60">D82*D$85</f>
        <v>3.8999534104149913E-3</v>
      </c>
      <c r="E90" s="110">
        <f t="shared" si="60"/>
        <v>4.5469261294332772E-3</v>
      </c>
      <c r="F90" s="110">
        <f t="shared" si="60"/>
        <v>5.1498794895716883E-3</v>
      </c>
      <c r="G90" s="110">
        <f t="shared" si="60"/>
        <v>5.7090389937031801E-3</v>
      </c>
      <c r="H90" s="110">
        <f t="shared" si="60"/>
        <v>6.2246301447007029E-3</v>
      </c>
      <c r="I90" s="110">
        <f t="shared" si="60"/>
        <v>6.6968784454372147E-3</v>
      </c>
      <c r="J90" s="110">
        <f t="shared" si="60"/>
        <v>7.1260093987856625E-3</v>
      </c>
      <c r="K90" s="110">
        <f t="shared" si="60"/>
        <v>7.5122485076190059E-3</v>
      </c>
      <c r="L90" s="110">
        <f t="shared" si="60"/>
        <v>7.8558212748101944E-3</v>
      </c>
      <c r="M90" s="110">
        <f t="shared" si="60"/>
        <v>8.1569532032321843E-3</v>
      </c>
      <c r="N90" s="110">
        <f t="shared" si="60"/>
        <v>9.0374929528837539E-3</v>
      </c>
      <c r="O90" s="110">
        <f t="shared" si="60"/>
        <v>9.8283656664788221E-3</v>
      </c>
      <c r="P90" s="110">
        <f t="shared" si="60"/>
        <v>1.0530046634688071E-2</v>
      </c>
      <c r="Q90" s="110">
        <f t="shared" si="60"/>
        <v>1.114301114818219E-2</v>
      </c>
      <c r="R90" s="110">
        <f t="shared" si="60"/>
        <v>1.1667734497631864E-2</v>
      </c>
      <c r="S90" s="110">
        <f t="shared" si="60"/>
        <v>1.2104691973707785E-2</v>
      </c>
      <c r="T90" s="110">
        <f t="shared" si="60"/>
        <v>1.245435886708063E-2</v>
      </c>
      <c r="U90" s="110">
        <f t="shared" si="60"/>
        <v>1.2717210468421095E-2</v>
      </c>
      <c r="V90" s="110">
        <f t="shared" si="60"/>
        <v>1.2893722068399859E-2</v>
      </c>
      <c r="W90" s="110">
        <f t="shared" si="60"/>
        <v>1.2984368957687613E-2</v>
      </c>
      <c r="X90" s="110">
        <f t="shared" si="60"/>
        <v>1.3485322058413953E-2</v>
      </c>
      <c r="Y90" s="110">
        <f t="shared" si="60"/>
        <v>1.3842423384951662E-2</v>
      </c>
      <c r="Z90" s="110">
        <f t="shared" si="60"/>
        <v>1.4056468186246885E-2</v>
      </c>
      <c r="AA90" s="110">
        <f t="shared" si="60"/>
        <v>1.4128251711245758E-2</v>
      </c>
      <c r="AB90" s="110">
        <f t="shared" si="60"/>
        <v>1.4058569208894438E-2</v>
      </c>
      <c r="AC90" s="110">
        <f t="shared" si="60"/>
        <v>1.3848215928139066E-2</v>
      </c>
      <c r="AD90" s="110">
        <f t="shared" si="60"/>
        <v>1.3497987117925783E-2</v>
      </c>
      <c r="AE90" s="110">
        <f t="shared" si="60"/>
        <v>1.3008678027200741E-2</v>
      </c>
      <c r="AF90" s="110">
        <f t="shared" si="60"/>
        <v>1.2381083904910078E-2</v>
      </c>
      <c r="AG90" s="110">
        <f t="shared" si="60"/>
        <v>1.1615999999999998E-2</v>
      </c>
      <c r="AI90" s="133"/>
      <c r="AJ90" s="211"/>
      <c r="AL90" s="108"/>
      <c r="AM90" s="2"/>
      <c r="AN90" s="2"/>
      <c r="AO90" s="2"/>
      <c r="BC90" s="1"/>
      <c r="BD90" s="2"/>
      <c r="BE90" s="2"/>
      <c r="BF90" s="2"/>
      <c r="BG90" s="2"/>
      <c r="BH90" s="2"/>
      <c r="BI90" s="2"/>
      <c r="BJ90" s="2"/>
      <c r="BK90" s="2"/>
    </row>
    <row r="91" spans="1:63" outlineLevel="1">
      <c r="A91" t="s">
        <v>1502</v>
      </c>
      <c r="B91" s="54" t="s">
        <v>462</v>
      </c>
      <c r="C91" s="110">
        <f>C83*C$85</f>
        <v>9.6262074889316325E-3</v>
      </c>
      <c r="D91" s="110">
        <f t="shared" ref="D91:AG91" si="61">D83*D$85</f>
        <v>1.1699860231244974E-2</v>
      </c>
      <c r="E91" s="110">
        <f t="shared" si="61"/>
        <v>1.3640778388299831E-2</v>
      </c>
      <c r="F91" s="110">
        <f t="shared" si="61"/>
        <v>1.5449638468715067E-2</v>
      </c>
      <c r="G91" s="110">
        <f t="shared" si="61"/>
        <v>1.7127116981109542E-2</v>
      </c>
      <c r="H91" s="110">
        <f t="shared" si="61"/>
        <v>1.867389043410211E-2</v>
      </c>
      <c r="I91" s="110">
        <f t="shared" si="61"/>
        <v>2.0090635336311644E-2</v>
      </c>
      <c r="J91" s="110">
        <f t="shared" si="61"/>
        <v>2.1378028196356987E-2</v>
      </c>
      <c r="K91" s="110">
        <f t="shared" si="61"/>
        <v>2.2536745522857018E-2</v>
      </c>
      <c r="L91" s="110">
        <f t="shared" si="61"/>
        <v>2.3567463824430587E-2</v>
      </c>
      <c r="M91" s="110">
        <f t="shared" si="61"/>
        <v>2.4470859609696551E-2</v>
      </c>
      <c r="N91" s="110">
        <f t="shared" si="61"/>
        <v>2.7112478858651264E-2</v>
      </c>
      <c r="O91" s="110">
        <f t="shared" si="61"/>
        <v>2.9485096999436463E-2</v>
      </c>
      <c r="P91" s="110">
        <f t="shared" si="61"/>
        <v>3.1590139904064216E-2</v>
      </c>
      <c r="Q91" s="110">
        <f t="shared" si="61"/>
        <v>3.342903344454657E-2</v>
      </c>
      <c r="R91" s="110">
        <f t="shared" si="61"/>
        <v>3.5003203492895596E-2</v>
      </c>
      <c r="S91" s="110">
        <f t="shared" si="61"/>
        <v>3.6314075921123352E-2</v>
      </c>
      <c r="T91" s="110">
        <f t="shared" si="61"/>
        <v>3.7363076601241892E-2</v>
      </c>
      <c r="U91" s="110">
        <f t="shared" si="61"/>
        <v>3.8151631405263287E-2</v>
      </c>
      <c r="V91" s="110">
        <f t="shared" si="61"/>
        <v>3.8681166205199576E-2</v>
      </c>
      <c r="W91" s="110">
        <f t="shared" si="61"/>
        <v>3.8953106873062839E-2</v>
      </c>
      <c r="X91" s="110">
        <f t="shared" si="61"/>
        <v>4.0455966175241859E-2</v>
      </c>
      <c r="Y91" s="110">
        <f t="shared" si="61"/>
        <v>4.1527270154854988E-2</v>
      </c>
      <c r="Z91" s="110">
        <f t="shared" si="61"/>
        <v>4.2169404558740652E-2</v>
      </c>
      <c r="AA91" s="110">
        <f t="shared" si="61"/>
        <v>4.2384755133737274E-2</v>
      </c>
      <c r="AB91" s="110">
        <f t="shared" si="61"/>
        <v>4.2175707626683316E-2</v>
      </c>
      <c r="AC91" s="110">
        <f t="shared" si="61"/>
        <v>4.1544647784417195E-2</v>
      </c>
      <c r="AD91" s="110">
        <f t="shared" si="61"/>
        <v>4.049396135377735E-2</v>
      </c>
      <c r="AE91" s="110">
        <f t="shared" si="61"/>
        <v>3.9026034081602219E-2</v>
      </c>
      <c r="AF91" s="110">
        <f t="shared" si="61"/>
        <v>3.7143251714730242E-2</v>
      </c>
      <c r="AG91" s="110">
        <f t="shared" si="61"/>
        <v>3.4847999999999997E-2</v>
      </c>
      <c r="AI91" s="133"/>
      <c r="AJ91" s="211"/>
      <c r="AL91" s="108"/>
      <c r="AM91" s="2"/>
      <c r="AN91" s="2"/>
      <c r="AO91" s="2"/>
      <c r="BC91" s="1"/>
      <c r="BD91" s="2"/>
      <c r="BE91" s="2"/>
      <c r="BF91" s="2"/>
      <c r="BG91" s="2"/>
      <c r="BH91" s="2"/>
      <c r="BI91" s="2"/>
      <c r="BJ91" s="2"/>
      <c r="BK91" s="2"/>
    </row>
    <row r="92" spans="1:63" outlineLevel="1">
      <c r="C92" s="110"/>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J92" s="211"/>
      <c r="AM92" s="123"/>
      <c r="AN92" s="123"/>
    </row>
    <row r="93" spans="1:63" s="200" customFormat="1" ht="16" thickBot="1">
      <c r="A93" s="200" t="s">
        <v>1339</v>
      </c>
      <c r="B93" s="215"/>
      <c r="C93" s="224">
        <f>C94</f>
        <v>0.13</v>
      </c>
      <c r="D93" s="224">
        <f t="shared" ref="D93:AG93" si="62">D94</f>
        <v>0.13557711853523402</v>
      </c>
      <c r="E93" s="224">
        <f t="shared" si="62"/>
        <v>0.14115423707046801</v>
      </c>
      <c r="F93" s="224">
        <f t="shared" si="62"/>
        <v>0.14673135560570202</v>
      </c>
      <c r="G93" s="224">
        <f t="shared" si="62"/>
        <v>0.15230847414093604</v>
      </c>
      <c r="H93" s="224">
        <f t="shared" si="62"/>
        <v>0.15788559267617003</v>
      </c>
      <c r="I93" s="224">
        <f t="shared" si="62"/>
        <v>0.16346271121140404</v>
      </c>
      <c r="J93" s="224">
        <f t="shared" si="62"/>
        <v>0.16903982974663806</v>
      </c>
      <c r="K93" s="224">
        <f t="shared" si="62"/>
        <v>0.17461694828187208</v>
      </c>
      <c r="L93" s="224">
        <f t="shared" si="62"/>
        <v>0.18019406681710606</v>
      </c>
      <c r="M93" s="224">
        <f t="shared" si="62"/>
        <v>0.18577118535234008</v>
      </c>
      <c r="N93" s="224">
        <f t="shared" si="62"/>
        <v>0.19752603518814099</v>
      </c>
      <c r="O93" s="224">
        <f t="shared" si="62"/>
        <v>0.20928088502394188</v>
      </c>
      <c r="P93" s="224">
        <f t="shared" si="62"/>
        <v>0.22103573485974279</v>
      </c>
      <c r="Q93" s="224">
        <f t="shared" si="62"/>
        <v>0.2327905846955437</v>
      </c>
      <c r="R93" s="224">
        <f t="shared" si="62"/>
        <v>0.24454543453134459</v>
      </c>
      <c r="S93" s="224">
        <f t="shared" si="62"/>
        <v>0.25630028436714547</v>
      </c>
      <c r="T93" s="224">
        <f t="shared" si="62"/>
        <v>0.26805513420294641</v>
      </c>
      <c r="U93" s="224">
        <f t="shared" si="62"/>
        <v>0.27980998403874729</v>
      </c>
      <c r="V93" s="224">
        <f t="shared" si="62"/>
        <v>0.29156483387454823</v>
      </c>
      <c r="W93" s="224">
        <f t="shared" si="62"/>
        <v>0.30331968371034912</v>
      </c>
      <c r="X93" s="224">
        <f t="shared" si="62"/>
        <v>0.3229877153393142</v>
      </c>
      <c r="Y93" s="224">
        <f t="shared" si="62"/>
        <v>0.34265574696827927</v>
      </c>
      <c r="Z93" s="224">
        <f t="shared" si="62"/>
        <v>0.36232377859724441</v>
      </c>
      <c r="AA93" s="224">
        <f t="shared" si="62"/>
        <v>0.38199181022620948</v>
      </c>
      <c r="AB93" s="224">
        <f t="shared" si="62"/>
        <v>0.40165984185517456</v>
      </c>
      <c r="AC93" s="224">
        <f t="shared" si="62"/>
        <v>0.42132787348413964</v>
      </c>
      <c r="AD93" s="224">
        <f t="shared" si="62"/>
        <v>0.44099590511310471</v>
      </c>
      <c r="AE93" s="224">
        <f t="shared" si="62"/>
        <v>0.46066393674206985</v>
      </c>
      <c r="AF93" s="224">
        <f t="shared" si="62"/>
        <v>0.48033196837103487</v>
      </c>
      <c r="AG93" s="224">
        <f t="shared" si="62"/>
        <v>0.5</v>
      </c>
      <c r="AJ93" s="231" t="s">
        <v>1483</v>
      </c>
      <c r="AL93" s="217"/>
      <c r="AM93" s="225"/>
      <c r="AN93" s="225"/>
      <c r="AO93" s="225"/>
    </row>
    <row r="94" spans="1:63" ht="16" outlineLevel="1" thickTop="1">
      <c r="A94" t="s">
        <v>1341</v>
      </c>
      <c r="B94" s="54" t="s">
        <v>462</v>
      </c>
      <c r="C94" s="214">
        <v>0.13</v>
      </c>
      <c r="D94" s="110">
        <f>$C94+($M94-$C94)/10*(D$1-$C$1)</f>
        <v>0.13557711853523402</v>
      </c>
      <c r="E94" s="110">
        <f t="shared" ref="E94:L94" si="63">$C94+($M94-$C94)/10*(E$1-$C$1)</f>
        <v>0.14115423707046801</v>
      </c>
      <c r="F94" s="110">
        <f t="shared" si="63"/>
        <v>0.14673135560570202</v>
      </c>
      <c r="G94" s="110">
        <f t="shared" si="63"/>
        <v>0.15230847414093604</v>
      </c>
      <c r="H94" s="110">
        <f t="shared" si="63"/>
        <v>0.15788559267617003</v>
      </c>
      <c r="I94" s="110">
        <f t="shared" si="63"/>
        <v>0.16346271121140404</v>
      </c>
      <c r="J94" s="110">
        <f t="shared" si="63"/>
        <v>0.16903982974663806</v>
      </c>
      <c r="K94" s="110">
        <f t="shared" si="63"/>
        <v>0.17461694828187208</v>
      </c>
      <c r="L94" s="110">
        <f t="shared" si="63"/>
        <v>0.18019406681710606</v>
      </c>
      <c r="M94" s="121">
        <f>(M$55-$C$55)/($AG$55-$C$55)*($AG94-$C94)+$C94</f>
        <v>0.18577118535234008</v>
      </c>
      <c r="N94" s="121">
        <f>$M94+($W94-$M94)/10*(N$1-$M$1)</f>
        <v>0.19752603518814099</v>
      </c>
      <c r="O94" s="121">
        <f t="shared" ref="O94:U94" si="64">$M94+($W94-$M94)/10*(O$1-$M$1)</f>
        <v>0.20928088502394188</v>
      </c>
      <c r="P94" s="121">
        <f t="shared" si="64"/>
        <v>0.22103573485974279</v>
      </c>
      <c r="Q94" s="121">
        <f t="shared" si="64"/>
        <v>0.2327905846955437</v>
      </c>
      <c r="R94" s="121">
        <f t="shared" si="64"/>
        <v>0.24454543453134459</v>
      </c>
      <c r="S94" s="121">
        <f t="shared" si="64"/>
        <v>0.25630028436714547</v>
      </c>
      <c r="T94" s="121">
        <f t="shared" si="64"/>
        <v>0.26805513420294641</v>
      </c>
      <c r="U94" s="121">
        <f t="shared" si="64"/>
        <v>0.27980998403874729</v>
      </c>
      <c r="V94" s="121">
        <f>$M94+($W94-$M94)/10*(V$1-$M$1)</f>
        <v>0.29156483387454823</v>
      </c>
      <c r="W94" s="121">
        <f>(W$55-$C$55)/($AG$55-$C$55)*($AG94-$C94)+$C94</f>
        <v>0.30331968371034912</v>
      </c>
      <c r="X94" s="110">
        <f>$W94+($AG94-$W94)/10*(X$1-$W$1)</f>
        <v>0.3229877153393142</v>
      </c>
      <c r="Y94" s="110">
        <f t="shared" ref="Y94:AF94" si="65">$W94+($AG94-$W94)/10*(Y$1-$W$1)</f>
        <v>0.34265574696827927</v>
      </c>
      <c r="Z94" s="110">
        <f t="shared" si="65"/>
        <v>0.36232377859724441</v>
      </c>
      <c r="AA94" s="110">
        <f t="shared" si="65"/>
        <v>0.38199181022620948</v>
      </c>
      <c r="AB94" s="110">
        <f t="shared" si="65"/>
        <v>0.40165984185517456</v>
      </c>
      <c r="AC94" s="110">
        <f t="shared" si="65"/>
        <v>0.42132787348413964</v>
      </c>
      <c r="AD94" s="110">
        <f t="shared" si="65"/>
        <v>0.44099590511310471</v>
      </c>
      <c r="AE94" s="110">
        <f t="shared" si="65"/>
        <v>0.46066393674206985</v>
      </c>
      <c r="AF94" s="110">
        <f t="shared" si="65"/>
        <v>0.48033196837103487</v>
      </c>
      <c r="AG94" s="214">
        <v>0.5</v>
      </c>
      <c r="AJ94" s="211" t="s">
        <v>1342</v>
      </c>
    </row>
    <row r="95" spans="1:63" outlineLevel="1">
      <c r="A95" t="s">
        <v>1453</v>
      </c>
      <c r="B95" s="54" t="s">
        <v>462</v>
      </c>
      <c r="C95" s="214">
        <v>0.05</v>
      </c>
      <c r="D95" s="110">
        <f t="shared" ref="D95:AF95" si="66">C95-($C$95-$AG$95)/($AG$1-$C$1)</f>
        <v>6.1666666666666668E-2</v>
      </c>
      <c r="E95" s="110">
        <f t="shared" si="66"/>
        <v>7.3333333333333334E-2</v>
      </c>
      <c r="F95" s="110">
        <f t="shared" si="66"/>
        <v>8.5000000000000006E-2</v>
      </c>
      <c r="G95" s="110">
        <f t="shared" si="66"/>
        <v>9.6666666666666679E-2</v>
      </c>
      <c r="H95" s="110">
        <f t="shared" si="66"/>
        <v>0.10833333333333335</v>
      </c>
      <c r="I95" s="110">
        <f t="shared" si="66"/>
        <v>0.12000000000000002</v>
      </c>
      <c r="J95" s="110">
        <f t="shared" si="66"/>
        <v>0.13166666666666668</v>
      </c>
      <c r="K95" s="110">
        <f t="shared" si="66"/>
        <v>0.14333333333333334</v>
      </c>
      <c r="L95" s="110">
        <f t="shared" si="66"/>
        <v>0.155</v>
      </c>
      <c r="M95" s="110">
        <f t="shared" si="66"/>
        <v>0.16666666666666666</v>
      </c>
      <c r="N95" s="110">
        <f t="shared" si="66"/>
        <v>0.17833333333333332</v>
      </c>
      <c r="O95" s="110">
        <f t="shared" si="66"/>
        <v>0.18999999999999997</v>
      </c>
      <c r="P95" s="110">
        <f t="shared" si="66"/>
        <v>0.20166666666666663</v>
      </c>
      <c r="Q95" s="110">
        <f t="shared" si="66"/>
        <v>0.21333333333333329</v>
      </c>
      <c r="R95" s="110">
        <f t="shared" si="66"/>
        <v>0.22499999999999995</v>
      </c>
      <c r="S95" s="110">
        <f t="shared" si="66"/>
        <v>0.23666666666666661</v>
      </c>
      <c r="T95" s="110">
        <f t="shared" si="66"/>
        <v>0.24833333333333327</v>
      </c>
      <c r="U95" s="110">
        <f t="shared" si="66"/>
        <v>0.25999999999999995</v>
      </c>
      <c r="V95" s="110">
        <f t="shared" si="66"/>
        <v>0.27166666666666661</v>
      </c>
      <c r="W95" s="110">
        <f t="shared" si="66"/>
        <v>0.28333333333333327</v>
      </c>
      <c r="X95" s="110">
        <f t="shared" si="66"/>
        <v>0.29499999999999993</v>
      </c>
      <c r="Y95" s="110">
        <f t="shared" si="66"/>
        <v>0.30666666666666659</v>
      </c>
      <c r="Z95" s="110">
        <f t="shared" si="66"/>
        <v>0.31833333333333325</v>
      </c>
      <c r="AA95" s="110">
        <f t="shared" si="66"/>
        <v>0.3299999999999999</v>
      </c>
      <c r="AB95" s="110">
        <f t="shared" si="66"/>
        <v>0.34166666666666656</v>
      </c>
      <c r="AC95" s="110">
        <f t="shared" si="66"/>
        <v>0.35333333333333322</v>
      </c>
      <c r="AD95" s="110">
        <f t="shared" si="66"/>
        <v>0.36499999999999988</v>
      </c>
      <c r="AE95" s="110">
        <f t="shared" si="66"/>
        <v>0.37666666666666654</v>
      </c>
      <c r="AF95" s="110">
        <f t="shared" si="66"/>
        <v>0.3883333333333332</v>
      </c>
      <c r="AG95" s="214">
        <v>0.4</v>
      </c>
      <c r="AI95" s="135"/>
      <c r="AJ95" s="211" t="s">
        <v>1525</v>
      </c>
      <c r="AM95" s="123"/>
      <c r="AN95" s="123"/>
    </row>
    <row r="96" spans="1:63" ht="14.5" customHeight="1" outlineLevel="1">
      <c r="A96" t="s">
        <v>1455</v>
      </c>
      <c r="B96" s="176" t="s">
        <v>462</v>
      </c>
      <c r="C96" s="110">
        <f>1-C95</f>
        <v>0.95</v>
      </c>
      <c r="D96" s="110">
        <f t="shared" ref="D96:AG96" si="67">1-D95</f>
        <v>0.93833333333333335</v>
      </c>
      <c r="E96" s="110">
        <f t="shared" si="67"/>
        <v>0.92666666666666664</v>
      </c>
      <c r="F96" s="110">
        <f t="shared" si="67"/>
        <v>0.91500000000000004</v>
      </c>
      <c r="G96" s="110">
        <f t="shared" si="67"/>
        <v>0.90333333333333332</v>
      </c>
      <c r="H96" s="110">
        <f t="shared" si="67"/>
        <v>0.89166666666666661</v>
      </c>
      <c r="I96" s="110">
        <f t="shared" si="67"/>
        <v>0.88</v>
      </c>
      <c r="J96" s="110">
        <f t="shared" si="67"/>
        <v>0.86833333333333329</v>
      </c>
      <c r="K96" s="110">
        <f t="shared" si="67"/>
        <v>0.85666666666666669</v>
      </c>
      <c r="L96" s="110">
        <f t="shared" si="67"/>
        <v>0.84499999999999997</v>
      </c>
      <c r="M96" s="110">
        <f t="shared" si="67"/>
        <v>0.83333333333333337</v>
      </c>
      <c r="N96" s="110">
        <f t="shared" si="67"/>
        <v>0.82166666666666666</v>
      </c>
      <c r="O96" s="110">
        <f t="shared" si="67"/>
        <v>0.81</v>
      </c>
      <c r="P96" s="110">
        <f t="shared" si="67"/>
        <v>0.79833333333333334</v>
      </c>
      <c r="Q96" s="110">
        <f t="shared" si="67"/>
        <v>0.78666666666666674</v>
      </c>
      <c r="R96" s="110">
        <f t="shared" si="67"/>
        <v>0.77500000000000002</v>
      </c>
      <c r="S96" s="110">
        <f t="shared" si="67"/>
        <v>0.76333333333333342</v>
      </c>
      <c r="T96" s="110">
        <f t="shared" si="67"/>
        <v>0.75166666666666671</v>
      </c>
      <c r="U96" s="110">
        <f t="shared" si="67"/>
        <v>0.74</v>
      </c>
      <c r="V96" s="110">
        <f t="shared" si="67"/>
        <v>0.72833333333333339</v>
      </c>
      <c r="W96" s="110">
        <f t="shared" si="67"/>
        <v>0.71666666666666679</v>
      </c>
      <c r="X96" s="110">
        <f t="shared" si="67"/>
        <v>0.70500000000000007</v>
      </c>
      <c r="Y96" s="110">
        <f t="shared" si="67"/>
        <v>0.69333333333333336</v>
      </c>
      <c r="Z96" s="110">
        <f t="shared" si="67"/>
        <v>0.68166666666666675</v>
      </c>
      <c r="AA96" s="110">
        <f t="shared" si="67"/>
        <v>0.67000000000000015</v>
      </c>
      <c r="AB96" s="110">
        <f t="shared" si="67"/>
        <v>0.65833333333333344</v>
      </c>
      <c r="AC96" s="110">
        <f t="shared" si="67"/>
        <v>0.64666666666666672</v>
      </c>
      <c r="AD96" s="110">
        <f t="shared" si="67"/>
        <v>0.63500000000000012</v>
      </c>
      <c r="AE96" s="110">
        <f t="shared" si="67"/>
        <v>0.62333333333333352</v>
      </c>
      <c r="AF96" s="110">
        <f t="shared" si="67"/>
        <v>0.6116666666666668</v>
      </c>
      <c r="AG96" s="110">
        <f t="shared" si="67"/>
        <v>0.6</v>
      </c>
      <c r="AI96" s="135" t="s">
        <v>1456</v>
      </c>
      <c r="AJ96" s="211"/>
    </row>
    <row r="97" spans="1:63" outlineLevel="1">
      <c r="A97" t="s">
        <v>1343</v>
      </c>
      <c r="B97" s="54" t="s">
        <v>462</v>
      </c>
      <c r="C97" s="110">
        <f>C94*C95</f>
        <v>6.5000000000000006E-3</v>
      </c>
      <c r="D97" s="110">
        <f t="shared" ref="D97:AG97" si="68">D94*D95</f>
        <v>8.3605889763394316E-3</v>
      </c>
      <c r="E97" s="110">
        <f t="shared" si="68"/>
        <v>1.0351310718500987E-2</v>
      </c>
      <c r="F97" s="110">
        <f t="shared" si="68"/>
        <v>1.2472165226484673E-2</v>
      </c>
      <c r="G97" s="110">
        <f t="shared" si="68"/>
        <v>1.4723152500290486E-2</v>
      </c>
      <c r="H97" s="110">
        <f t="shared" si="68"/>
        <v>1.7104272539918423E-2</v>
      </c>
      <c r="I97" s="110">
        <f t="shared" si="68"/>
        <v>1.9615525345368489E-2</v>
      </c>
      <c r="J97" s="110">
        <f t="shared" si="68"/>
        <v>2.2256910916640681E-2</v>
      </c>
      <c r="K97" s="110">
        <f t="shared" si="68"/>
        <v>2.5028429253735E-2</v>
      </c>
      <c r="L97" s="110">
        <f t="shared" si="68"/>
        <v>2.7930080356651441E-2</v>
      </c>
      <c r="M97" s="110">
        <f t="shared" si="68"/>
        <v>3.0961864225390011E-2</v>
      </c>
      <c r="N97" s="110">
        <f t="shared" si="68"/>
        <v>3.5225476275218472E-2</v>
      </c>
      <c r="O97" s="110">
        <f t="shared" si="68"/>
        <v>3.976336815454895E-2</v>
      </c>
      <c r="P97" s="110">
        <f t="shared" si="68"/>
        <v>4.4575539863381454E-2</v>
      </c>
      <c r="Q97" s="110">
        <f t="shared" si="68"/>
        <v>4.9661991401715982E-2</v>
      </c>
      <c r="R97" s="110">
        <f t="shared" si="68"/>
        <v>5.5022722769552522E-2</v>
      </c>
      <c r="S97" s="110">
        <f t="shared" si="68"/>
        <v>6.0657733966891079E-2</v>
      </c>
      <c r="T97" s="110">
        <f t="shared" si="68"/>
        <v>6.6567024993731669E-2</v>
      </c>
      <c r="U97" s="110">
        <f t="shared" si="68"/>
        <v>7.275059585007429E-2</v>
      </c>
      <c r="V97" s="110">
        <f t="shared" si="68"/>
        <v>7.9208446535918922E-2</v>
      </c>
      <c r="W97" s="110">
        <f t="shared" si="68"/>
        <v>8.5940577051265565E-2</v>
      </c>
      <c r="X97" s="110">
        <f t="shared" si="68"/>
        <v>9.5281376025097661E-2</v>
      </c>
      <c r="Y97" s="110">
        <f t="shared" si="68"/>
        <v>0.10508109573693895</v>
      </c>
      <c r="Z97" s="110">
        <f t="shared" si="68"/>
        <v>0.11533973618678944</v>
      </c>
      <c r="AA97" s="110">
        <f t="shared" si="68"/>
        <v>0.1260572973746491</v>
      </c>
      <c r="AB97" s="110">
        <f t="shared" si="68"/>
        <v>0.13723377930051794</v>
      </c>
      <c r="AC97" s="110">
        <f t="shared" si="68"/>
        <v>0.14886918196439597</v>
      </c>
      <c r="AD97" s="110">
        <f t="shared" si="68"/>
        <v>0.16096350536628318</v>
      </c>
      <c r="AE97" s="110">
        <f t="shared" si="68"/>
        <v>0.1735167495061796</v>
      </c>
      <c r="AF97" s="110">
        <f t="shared" si="68"/>
        <v>0.18652891438408514</v>
      </c>
      <c r="AG97" s="110">
        <f t="shared" si="68"/>
        <v>0.2</v>
      </c>
      <c r="AI97" s="134"/>
      <c r="AJ97" s="211"/>
      <c r="BD97" s="203"/>
      <c r="BE97" s="203"/>
    </row>
    <row r="98" spans="1:63" outlineLevel="1">
      <c r="A98" t="s">
        <v>1344</v>
      </c>
      <c r="B98" s="54" t="s">
        <v>462</v>
      </c>
      <c r="C98" s="110">
        <f>C94*C96</f>
        <v>0.1235</v>
      </c>
      <c r="D98" s="110">
        <f t="shared" ref="D98:AG98" si="69">D94*D96</f>
        <v>0.12721652955889459</v>
      </c>
      <c r="E98" s="110">
        <f t="shared" si="69"/>
        <v>0.13080292635196702</v>
      </c>
      <c r="F98" s="110">
        <f t="shared" si="69"/>
        <v>0.13425919037921735</v>
      </c>
      <c r="G98" s="110">
        <f t="shared" si="69"/>
        <v>0.13758532164064555</v>
      </c>
      <c r="H98" s="110">
        <f t="shared" si="69"/>
        <v>0.14078132013625161</v>
      </c>
      <c r="I98" s="110">
        <f t="shared" si="69"/>
        <v>0.14384718586603557</v>
      </c>
      <c r="J98" s="110">
        <f t="shared" si="69"/>
        <v>0.14678291882999736</v>
      </c>
      <c r="K98" s="110">
        <f t="shared" si="69"/>
        <v>0.14958851902813708</v>
      </c>
      <c r="L98" s="110">
        <f t="shared" si="69"/>
        <v>0.15226398646045461</v>
      </c>
      <c r="M98" s="110">
        <f t="shared" si="69"/>
        <v>0.15480932112695006</v>
      </c>
      <c r="N98" s="110">
        <f t="shared" si="69"/>
        <v>0.1623005589129225</v>
      </c>
      <c r="O98" s="110">
        <f t="shared" si="69"/>
        <v>0.16951751686939293</v>
      </c>
      <c r="P98" s="110">
        <f t="shared" si="69"/>
        <v>0.17646019499636131</v>
      </c>
      <c r="Q98" s="110">
        <f t="shared" si="69"/>
        <v>0.18312859329382772</v>
      </c>
      <c r="R98" s="110">
        <f t="shared" si="69"/>
        <v>0.18952271176179206</v>
      </c>
      <c r="S98" s="110">
        <f t="shared" si="69"/>
        <v>0.19564255040025438</v>
      </c>
      <c r="T98" s="110">
        <f t="shared" si="69"/>
        <v>0.20148810920921473</v>
      </c>
      <c r="U98" s="110">
        <f t="shared" si="69"/>
        <v>0.207059388188673</v>
      </c>
      <c r="V98" s="110">
        <f t="shared" si="69"/>
        <v>0.21235638733862933</v>
      </c>
      <c r="W98" s="110">
        <f t="shared" si="69"/>
        <v>0.21737910665908358</v>
      </c>
      <c r="X98" s="110">
        <f t="shared" si="69"/>
        <v>0.22770633931421652</v>
      </c>
      <c r="Y98" s="110">
        <f t="shared" si="69"/>
        <v>0.23757465123134031</v>
      </c>
      <c r="Z98" s="110">
        <f t="shared" si="69"/>
        <v>0.24698404241045496</v>
      </c>
      <c r="AA98" s="110">
        <f t="shared" si="69"/>
        <v>0.25593451285156044</v>
      </c>
      <c r="AB98" s="110">
        <f t="shared" si="69"/>
        <v>0.26442606255465662</v>
      </c>
      <c r="AC98" s="110">
        <f t="shared" si="69"/>
        <v>0.27245869151974367</v>
      </c>
      <c r="AD98" s="110">
        <f t="shared" si="69"/>
        <v>0.28003239974682154</v>
      </c>
      <c r="AE98" s="110">
        <f t="shared" si="69"/>
        <v>0.28714718723589028</v>
      </c>
      <c r="AF98" s="110">
        <f t="shared" si="69"/>
        <v>0.29380305398694972</v>
      </c>
      <c r="AG98" s="110">
        <f t="shared" si="69"/>
        <v>0.3</v>
      </c>
      <c r="AI98" s="134"/>
      <c r="AJ98" s="211"/>
      <c r="BD98" s="203"/>
      <c r="BE98" s="203"/>
    </row>
    <row r="99" spans="1:63" outlineLevel="1">
      <c r="C99" s="110"/>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J99" s="211"/>
    </row>
    <row r="100" spans="1:63" outlineLevel="1">
      <c r="A100" t="s">
        <v>1441</v>
      </c>
      <c r="B100" s="54" t="s">
        <v>462</v>
      </c>
      <c r="C100" s="106">
        <v>0.5</v>
      </c>
      <c r="D100" s="110">
        <f>C100</f>
        <v>0.5</v>
      </c>
      <c r="E100" s="110">
        <f t="shared" ref="E100:AG100" si="70">D100</f>
        <v>0.5</v>
      </c>
      <c r="F100" s="110">
        <f t="shared" si="70"/>
        <v>0.5</v>
      </c>
      <c r="G100" s="110">
        <f t="shared" si="70"/>
        <v>0.5</v>
      </c>
      <c r="H100" s="110">
        <f t="shared" si="70"/>
        <v>0.5</v>
      </c>
      <c r="I100" s="110">
        <f t="shared" si="70"/>
        <v>0.5</v>
      </c>
      <c r="J100" s="110">
        <f t="shared" si="70"/>
        <v>0.5</v>
      </c>
      <c r="K100" s="110">
        <f t="shared" si="70"/>
        <v>0.5</v>
      </c>
      <c r="L100" s="110">
        <f t="shared" si="70"/>
        <v>0.5</v>
      </c>
      <c r="M100" s="110">
        <f t="shared" si="70"/>
        <v>0.5</v>
      </c>
      <c r="N100" s="110">
        <f t="shared" si="70"/>
        <v>0.5</v>
      </c>
      <c r="O100" s="110">
        <f t="shared" si="70"/>
        <v>0.5</v>
      </c>
      <c r="P100" s="110">
        <f t="shared" si="70"/>
        <v>0.5</v>
      </c>
      <c r="Q100" s="110">
        <f t="shared" si="70"/>
        <v>0.5</v>
      </c>
      <c r="R100" s="110">
        <f t="shared" si="70"/>
        <v>0.5</v>
      </c>
      <c r="S100" s="110">
        <f t="shared" si="70"/>
        <v>0.5</v>
      </c>
      <c r="T100" s="110">
        <f t="shared" si="70"/>
        <v>0.5</v>
      </c>
      <c r="U100" s="110">
        <f t="shared" si="70"/>
        <v>0.5</v>
      </c>
      <c r="V100" s="110">
        <f t="shared" si="70"/>
        <v>0.5</v>
      </c>
      <c r="W100" s="110">
        <f t="shared" si="70"/>
        <v>0.5</v>
      </c>
      <c r="X100" s="110">
        <f t="shared" si="70"/>
        <v>0.5</v>
      </c>
      <c r="Y100" s="110">
        <f t="shared" si="70"/>
        <v>0.5</v>
      </c>
      <c r="Z100" s="110">
        <f t="shared" si="70"/>
        <v>0.5</v>
      </c>
      <c r="AA100" s="110">
        <f t="shared" si="70"/>
        <v>0.5</v>
      </c>
      <c r="AB100" s="110">
        <f t="shared" si="70"/>
        <v>0.5</v>
      </c>
      <c r="AC100" s="110">
        <f t="shared" si="70"/>
        <v>0.5</v>
      </c>
      <c r="AD100" s="110">
        <f t="shared" si="70"/>
        <v>0.5</v>
      </c>
      <c r="AE100" s="110">
        <f t="shared" si="70"/>
        <v>0.5</v>
      </c>
      <c r="AF100" s="110">
        <f t="shared" si="70"/>
        <v>0.5</v>
      </c>
      <c r="AG100" s="110">
        <f t="shared" si="70"/>
        <v>0.5</v>
      </c>
      <c r="AI100" s="54"/>
      <c r="AJ100" s="211" t="s">
        <v>1457</v>
      </c>
    </row>
    <row r="101" spans="1:63" outlineLevel="1">
      <c r="A101" t="s">
        <v>1445</v>
      </c>
      <c r="B101" s="54" t="s">
        <v>462</v>
      </c>
      <c r="C101" s="121">
        <f>1-C100</f>
        <v>0.5</v>
      </c>
      <c r="D101" s="110">
        <f t="shared" ref="D101:AG101" si="71">C101</f>
        <v>0.5</v>
      </c>
      <c r="E101" s="110">
        <f t="shared" si="71"/>
        <v>0.5</v>
      </c>
      <c r="F101" s="110">
        <f t="shared" si="71"/>
        <v>0.5</v>
      </c>
      <c r="G101" s="110">
        <f t="shared" si="71"/>
        <v>0.5</v>
      </c>
      <c r="H101" s="110">
        <f t="shared" si="71"/>
        <v>0.5</v>
      </c>
      <c r="I101" s="110">
        <f t="shared" si="71"/>
        <v>0.5</v>
      </c>
      <c r="J101" s="110">
        <f t="shared" si="71"/>
        <v>0.5</v>
      </c>
      <c r="K101" s="110">
        <f t="shared" si="71"/>
        <v>0.5</v>
      </c>
      <c r="L101" s="110">
        <f t="shared" si="71"/>
        <v>0.5</v>
      </c>
      <c r="M101" s="110">
        <f t="shared" si="71"/>
        <v>0.5</v>
      </c>
      <c r="N101" s="110">
        <f t="shared" si="71"/>
        <v>0.5</v>
      </c>
      <c r="O101" s="110">
        <f t="shared" si="71"/>
        <v>0.5</v>
      </c>
      <c r="P101" s="110">
        <f t="shared" si="71"/>
        <v>0.5</v>
      </c>
      <c r="Q101" s="110">
        <f t="shared" si="71"/>
        <v>0.5</v>
      </c>
      <c r="R101" s="110">
        <f t="shared" si="71"/>
        <v>0.5</v>
      </c>
      <c r="S101" s="110">
        <f t="shared" si="71"/>
        <v>0.5</v>
      </c>
      <c r="T101" s="110">
        <f t="shared" si="71"/>
        <v>0.5</v>
      </c>
      <c r="U101" s="110">
        <f t="shared" si="71"/>
        <v>0.5</v>
      </c>
      <c r="V101" s="110">
        <f t="shared" si="71"/>
        <v>0.5</v>
      </c>
      <c r="W101" s="110">
        <f t="shared" si="71"/>
        <v>0.5</v>
      </c>
      <c r="X101" s="110">
        <f t="shared" si="71"/>
        <v>0.5</v>
      </c>
      <c r="Y101" s="110">
        <f t="shared" si="71"/>
        <v>0.5</v>
      </c>
      <c r="Z101" s="110">
        <f t="shared" si="71"/>
        <v>0.5</v>
      </c>
      <c r="AA101" s="110">
        <f t="shared" si="71"/>
        <v>0.5</v>
      </c>
      <c r="AB101" s="110">
        <f t="shared" si="71"/>
        <v>0.5</v>
      </c>
      <c r="AC101" s="110">
        <f t="shared" si="71"/>
        <v>0.5</v>
      </c>
      <c r="AD101" s="110">
        <f t="shared" si="71"/>
        <v>0.5</v>
      </c>
      <c r="AE101" s="110">
        <f t="shared" si="71"/>
        <v>0.5</v>
      </c>
      <c r="AF101" s="110">
        <f t="shared" si="71"/>
        <v>0.5</v>
      </c>
      <c r="AG101" s="110">
        <f t="shared" si="71"/>
        <v>0.5</v>
      </c>
      <c r="AJ101" s="223"/>
    </row>
    <row r="102" spans="1:63" outlineLevel="1">
      <c r="A102" t="s">
        <v>1268</v>
      </c>
      <c r="B102" s="54" t="s">
        <v>462</v>
      </c>
      <c r="C102" s="110">
        <f t="shared" ref="C102:AG102" si="72">SUM(C100:C101)</f>
        <v>1</v>
      </c>
      <c r="D102" s="110">
        <f t="shared" si="72"/>
        <v>1</v>
      </c>
      <c r="E102" s="110">
        <f t="shared" si="72"/>
        <v>1</v>
      </c>
      <c r="F102" s="110">
        <f t="shared" si="72"/>
        <v>1</v>
      </c>
      <c r="G102" s="110">
        <f t="shared" si="72"/>
        <v>1</v>
      </c>
      <c r="H102" s="110">
        <f t="shared" si="72"/>
        <v>1</v>
      </c>
      <c r="I102" s="110">
        <f t="shared" si="72"/>
        <v>1</v>
      </c>
      <c r="J102" s="110">
        <f t="shared" si="72"/>
        <v>1</v>
      </c>
      <c r="K102" s="110">
        <f t="shared" si="72"/>
        <v>1</v>
      </c>
      <c r="L102" s="110">
        <f t="shared" si="72"/>
        <v>1</v>
      </c>
      <c r="M102" s="110">
        <f t="shared" si="72"/>
        <v>1</v>
      </c>
      <c r="N102" s="110">
        <f t="shared" si="72"/>
        <v>1</v>
      </c>
      <c r="O102" s="110">
        <f t="shared" si="72"/>
        <v>1</v>
      </c>
      <c r="P102" s="110">
        <f t="shared" si="72"/>
        <v>1</v>
      </c>
      <c r="Q102" s="110">
        <f t="shared" si="72"/>
        <v>1</v>
      </c>
      <c r="R102" s="110">
        <f t="shared" si="72"/>
        <v>1</v>
      </c>
      <c r="S102" s="110">
        <f t="shared" si="72"/>
        <v>1</v>
      </c>
      <c r="T102" s="110">
        <f t="shared" si="72"/>
        <v>1</v>
      </c>
      <c r="U102" s="110">
        <f t="shared" si="72"/>
        <v>1</v>
      </c>
      <c r="V102" s="110">
        <f t="shared" si="72"/>
        <v>1</v>
      </c>
      <c r="W102" s="110">
        <f t="shared" si="72"/>
        <v>1</v>
      </c>
      <c r="X102" s="110">
        <f t="shared" si="72"/>
        <v>1</v>
      </c>
      <c r="Y102" s="110">
        <f t="shared" si="72"/>
        <v>1</v>
      </c>
      <c r="Z102" s="110">
        <f t="shared" si="72"/>
        <v>1</v>
      </c>
      <c r="AA102" s="110">
        <f t="shared" si="72"/>
        <v>1</v>
      </c>
      <c r="AB102" s="110">
        <f t="shared" si="72"/>
        <v>1</v>
      </c>
      <c r="AC102" s="110">
        <f t="shared" si="72"/>
        <v>1</v>
      </c>
      <c r="AD102" s="110">
        <f t="shared" si="72"/>
        <v>1</v>
      </c>
      <c r="AE102" s="110">
        <f t="shared" si="72"/>
        <v>1</v>
      </c>
      <c r="AF102" s="110">
        <f t="shared" si="72"/>
        <v>1</v>
      </c>
      <c r="AG102" s="110">
        <f t="shared" si="72"/>
        <v>1</v>
      </c>
      <c r="AH102" s="131"/>
      <c r="AI102" s="54"/>
      <c r="AJ102" s="223"/>
    </row>
    <row r="103" spans="1:63" outlineLevel="1">
      <c r="C103" s="214"/>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31"/>
      <c r="AI103" s="131"/>
      <c r="AJ103" s="223"/>
    </row>
    <row r="104" spans="1:63" outlineLevel="1">
      <c r="A104" t="s">
        <v>1345</v>
      </c>
      <c r="B104" s="54" t="s">
        <v>462</v>
      </c>
      <c r="C104" s="110">
        <f>C100*C98</f>
        <v>6.1749999999999999E-2</v>
      </c>
      <c r="D104" s="110">
        <f t="shared" ref="D104:AG104" si="73">D100*D98</f>
        <v>6.3608264779447296E-2</v>
      </c>
      <c r="E104" s="110">
        <f t="shared" si="73"/>
        <v>6.5401463175983512E-2</v>
      </c>
      <c r="F104" s="110">
        <f t="shared" si="73"/>
        <v>6.7129595189608676E-2</v>
      </c>
      <c r="G104" s="110">
        <f t="shared" si="73"/>
        <v>6.8792660820322774E-2</v>
      </c>
      <c r="H104" s="110">
        <f t="shared" si="73"/>
        <v>7.0390660068125804E-2</v>
      </c>
      <c r="I104" s="110">
        <f t="shared" si="73"/>
        <v>7.1923592933017783E-2</v>
      </c>
      <c r="J104" s="110">
        <f t="shared" si="73"/>
        <v>7.339145941499868E-2</v>
      </c>
      <c r="K104" s="110">
        <f t="shared" si="73"/>
        <v>7.479425951406854E-2</v>
      </c>
      <c r="L104" s="110">
        <f t="shared" si="73"/>
        <v>7.6131993230227304E-2</v>
      </c>
      <c r="M104" s="110">
        <f t="shared" si="73"/>
        <v>7.7404660563475031E-2</v>
      </c>
      <c r="N104" s="110">
        <f t="shared" si="73"/>
        <v>8.115027945646125E-2</v>
      </c>
      <c r="O104" s="110">
        <f t="shared" si="73"/>
        <v>8.4758758434696463E-2</v>
      </c>
      <c r="P104" s="110">
        <f t="shared" si="73"/>
        <v>8.8230097498180657E-2</v>
      </c>
      <c r="Q104" s="110">
        <f t="shared" si="73"/>
        <v>9.1564296646913859E-2</v>
      </c>
      <c r="R104" s="110">
        <f t="shared" si="73"/>
        <v>9.4761355880896028E-2</v>
      </c>
      <c r="S104" s="110">
        <f t="shared" si="73"/>
        <v>9.7821275200127192E-2</v>
      </c>
      <c r="T104" s="110">
        <f t="shared" si="73"/>
        <v>0.10074405460460736</v>
      </c>
      <c r="U104" s="110">
        <f t="shared" si="73"/>
        <v>0.1035296940943365</v>
      </c>
      <c r="V104" s="110">
        <f t="shared" si="73"/>
        <v>0.10617819366931466</v>
      </c>
      <c r="W104" s="110">
        <f t="shared" si="73"/>
        <v>0.10868955332954179</v>
      </c>
      <c r="X104" s="110">
        <f t="shared" si="73"/>
        <v>0.11385316965710826</v>
      </c>
      <c r="Y104" s="110">
        <f t="shared" si="73"/>
        <v>0.11878732561567015</v>
      </c>
      <c r="Z104" s="110">
        <f t="shared" si="73"/>
        <v>0.12349202120522748</v>
      </c>
      <c r="AA104" s="110">
        <f t="shared" si="73"/>
        <v>0.12796725642578022</v>
      </c>
      <c r="AB104" s="110">
        <f t="shared" si="73"/>
        <v>0.13221303127732831</v>
      </c>
      <c r="AC104" s="110">
        <f t="shared" si="73"/>
        <v>0.13622934575987183</v>
      </c>
      <c r="AD104" s="110">
        <f t="shared" si="73"/>
        <v>0.14001619987341077</v>
      </c>
      <c r="AE104" s="110">
        <f t="shared" si="73"/>
        <v>0.14357359361794514</v>
      </c>
      <c r="AF104" s="110">
        <f t="shared" si="73"/>
        <v>0.14690152699347486</v>
      </c>
      <c r="AG104" s="110">
        <f t="shared" si="73"/>
        <v>0.15</v>
      </c>
      <c r="AH104" s="131"/>
      <c r="AI104" s="131"/>
      <c r="AJ104" s="211"/>
    </row>
    <row r="105" spans="1:63" outlineLevel="1">
      <c r="A105" t="s">
        <v>1346</v>
      </c>
      <c r="B105" s="54" t="s">
        <v>462</v>
      </c>
      <c r="C105" s="110">
        <f>C98*C101</f>
        <v>6.1749999999999999E-2</v>
      </c>
      <c r="D105" s="110">
        <f t="shared" ref="D105:AG105" si="74">D98*D101</f>
        <v>6.3608264779447296E-2</v>
      </c>
      <c r="E105" s="110">
        <f t="shared" si="74"/>
        <v>6.5401463175983512E-2</v>
      </c>
      <c r="F105" s="110">
        <f t="shared" si="74"/>
        <v>6.7129595189608676E-2</v>
      </c>
      <c r="G105" s="110">
        <f t="shared" si="74"/>
        <v>6.8792660820322774E-2</v>
      </c>
      <c r="H105" s="110">
        <f t="shared" si="74"/>
        <v>7.0390660068125804E-2</v>
      </c>
      <c r="I105" s="110">
        <f t="shared" si="74"/>
        <v>7.1923592933017783E-2</v>
      </c>
      <c r="J105" s="110">
        <f t="shared" si="74"/>
        <v>7.339145941499868E-2</v>
      </c>
      <c r="K105" s="110">
        <f t="shared" si="74"/>
        <v>7.479425951406854E-2</v>
      </c>
      <c r="L105" s="110">
        <f t="shared" si="74"/>
        <v>7.6131993230227304E-2</v>
      </c>
      <c r="M105" s="110">
        <f t="shared" si="74"/>
        <v>7.7404660563475031E-2</v>
      </c>
      <c r="N105" s="110">
        <f t="shared" si="74"/>
        <v>8.115027945646125E-2</v>
      </c>
      <c r="O105" s="110">
        <f t="shared" si="74"/>
        <v>8.4758758434696463E-2</v>
      </c>
      <c r="P105" s="110">
        <f t="shared" si="74"/>
        <v>8.8230097498180657E-2</v>
      </c>
      <c r="Q105" s="110">
        <f t="shared" si="74"/>
        <v>9.1564296646913859E-2</v>
      </c>
      <c r="R105" s="110">
        <f t="shared" si="74"/>
        <v>9.4761355880896028E-2</v>
      </c>
      <c r="S105" s="110">
        <f t="shared" si="74"/>
        <v>9.7821275200127192E-2</v>
      </c>
      <c r="T105" s="110">
        <f t="shared" si="74"/>
        <v>0.10074405460460736</v>
      </c>
      <c r="U105" s="110">
        <f t="shared" si="74"/>
        <v>0.1035296940943365</v>
      </c>
      <c r="V105" s="110">
        <f t="shared" si="74"/>
        <v>0.10617819366931466</v>
      </c>
      <c r="W105" s="110">
        <f t="shared" si="74"/>
        <v>0.10868955332954179</v>
      </c>
      <c r="X105" s="110">
        <f t="shared" si="74"/>
        <v>0.11385316965710826</v>
      </c>
      <c r="Y105" s="110">
        <f t="shared" si="74"/>
        <v>0.11878732561567015</v>
      </c>
      <c r="Z105" s="110">
        <f t="shared" si="74"/>
        <v>0.12349202120522748</v>
      </c>
      <c r="AA105" s="110">
        <f t="shared" si="74"/>
        <v>0.12796725642578022</v>
      </c>
      <c r="AB105" s="110">
        <f t="shared" si="74"/>
        <v>0.13221303127732831</v>
      </c>
      <c r="AC105" s="110">
        <f t="shared" si="74"/>
        <v>0.13622934575987183</v>
      </c>
      <c r="AD105" s="110">
        <f t="shared" si="74"/>
        <v>0.14001619987341077</v>
      </c>
      <c r="AE105" s="110">
        <f t="shared" si="74"/>
        <v>0.14357359361794514</v>
      </c>
      <c r="AF105" s="110">
        <f t="shared" si="74"/>
        <v>0.14690152699347486</v>
      </c>
      <c r="AG105" s="110">
        <f t="shared" si="74"/>
        <v>0.15</v>
      </c>
      <c r="AJ105" s="211"/>
    </row>
    <row r="106" spans="1:63" outlineLevel="1">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J106" s="211"/>
    </row>
    <row r="107" spans="1:63" s="200" customFormat="1" ht="16" thickBot="1">
      <c r="A107" s="200" t="s">
        <v>1347</v>
      </c>
      <c r="B107" s="215"/>
      <c r="C107" s="224">
        <f>C108</f>
        <v>1.6E-2</v>
      </c>
      <c r="D107" s="224">
        <f t="shared" ref="D107:AG107" si="75">D108</f>
        <v>2.329547397581962E-2</v>
      </c>
      <c r="E107" s="224">
        <f t="shared" si="75"/>
        <v>3.059094795163924E-2</v>
      </c>
      <c r="F107" s="224">
        <f t="shared" si="75"/>
        <v>3.7886421927458863E-2</v>
      </c>
      <c r="G107" s="224">
        <f t="shared" si="75"/>
        <v>4.5181895903278479E-2</v>
      </c>
      <c r="H107" s="224">
        <f t="shared" si="75"/>
        <v>5.2477369879098103E-2</v>
      </c>
      <c r="I107" s="224">
        <f t="shared" si="75"/>
        <v>5.9772843854917726E-2</v>
      </c>
      <c r="J107" s="224">
        <f t="shared" si="75"/>
        <v>6.7068317830737342E-2</v>
      </c>
      <c r="K107" s="224">
        <f t="shared" si="75"/>
        <v>7.4363791806556973E-2</v>
      </c>
      <c r="L107" s="224">
        <f t="shared" si="75"/>
        <v>8.1659265782376589E-2</v>
      </c>
      <c r="M107" s="224">
        <f t="shared" si="75"/>
        <v>8.8954739758196205E-2</v>
      </c>
      <c r="N107" s="224">
        <f t="shared" si="75"/>
        <v>0.10433135413800063</v>
      </c>
      <c r="O107" s="224">
        <f t="shared" si="75"/>
        <v>0.11970796851780505</v>
      </c>
      <c r="P107" s="224">
        <f t="shared" si="75"/>
        <v>0.1350845828976095</v>
      </c>
      <c r="Q107" s="224">
        <f t="shared" si="75"/>
        <v>0.15046119727741392</v>
      </c>
      <c r="R107" s="224">
        <f t="shared" si="75"/>
        <v>0.16583781165721834</v>
      </c>
      <c r="S107" s="224">
        <f t="shared" si="75"/>
        <v>0.18121442603702276</v>
      </c>
      <c r="T107" s="224">
        <f t="shared" si="75"/>
        <v>0.19659104041682718</v>
      </c>
      <c r="U107" s="224">
        <f t="shared" si="75"/>
        <v>0.2119676547966316</v>
      </c>
      <c r="V107" s="224">
        <f t="shared" si="75"/>
        <v>0.22734426917643602</v>
      </c>
      <c r="W107" s="224">
        <f t="shared" si="75"/>
        <v>0.24272088355624044</v>
      </c>
      <c r="X107" s="224">
        <f t="shared" si="75"/>
        <v>0.26844879520061637</v>
      </c>
      <c r="Y107" s="224">
        <f t="shared" si="75"/>
        <v>0.29417670684499236</v>
      </c>
      <c r="Z107" s="224">
        <f t="shared" si="75"/>
        <v>0.3199046184893683</v>
      </c>
      <c r="AA107" s="224">
        <f t="shared" si="75"/>
        <v>0.34563253013374429</v>
      </c>
      <c r="AB107" s="224">
        <f t="shared" si="75"/>
        <v>0.37136044177812022</v>
      </c>
      <c r="AC107" s="224">
        <f t="shared" si="75"/>
        <v>0.39708835342249615</v>
      </c>
      <c r="AD107" s="224">
        <f t="shared" si="75"/>
        <v>0.42281626506687209</v>
      </c>
      <c r="AE107" s="224">
        <f t="shared" si="75"/>
        <v>0.44854417671124808</v>
      </c>
      <c r="AF107" s="224">
        <f t="shared" si="75"/>
        <v>0.47427208835562407</v>
      </c>
      <c r="AG107" s="224">
        <f t="shared" si="75"/>
        <v>0.5</v>
      </c>
      <c r="AJ107" s="231" t="s">
        <v>1491</v>
      </c>
      <c r="AL107" s="217"/>
      <c r="AM107" s="225"/>
      <c r="AN107" s="225"/>
      <c r="AO107" s="225"/>
    </row>
    <row r="108" spans="1:63" ht="16" outlineLevel="1" thickTop="1">
      <c r="A108" t="s">
        <v>1348</v>
      </c>
      <c r="B108" s="54" t="s">
        <v>462</v>
      </c>
      <c r="C108" s="113">
        <v>1.6E-2</v>
      </c>
      <c r="D108" s="110">
        <f>$C108+($M108-$C108)/10*(D$1-$C$1)</f>
        <v>2.329547397581962E-2</v>
      </c>
      <c r="E108" s="110">
        <f t="shared" ref="E108:L108" si="76">$C108+($M108-$C108)/10*(E$1-$C$1)</f>
        <v>3.059094795163924E-2</v>
      </c>
      <c r="F108" s="110">
        <f t="shared" si="76"/>
        <v>3.7886421927458863E-2</v>
      </c>
      <c r="G108" s="110">
        <f t="shared" si="76"/>
        <v>4.5181895903278479E-2</v>
      </c>
      <c r="H108" s="110">
        <f t="shared" si="76"/>
        <v>5.2477369879098103E-2</v>
      </c>
      <c r="I108" s="110">
        <f t="shared" si="76"/>
        <v>5.9772843854917726E-2</v>
      </c>
      <c r="J108" s="110">
        <f t="shared" si="76"/>
        <v>6.7068317830737342E-2</v>
      </c>
      <c r="K108" s="110">
        <f t="shared" si="76"/>
        <v>7.4363791806556973E-2</v>
      </c>
      <c r="L108" s="110">
        <f t="shared" si="76"/>
        <v>8.1659265782376589E-2</v>
      </c>
      <c r="M108" s="121">
        <f>(M$55-$C$55)/($AG$55-$C$55)*($AG108-$C108)+$C108</f>
        <v>8.8954739758196205E-2</v>
      </c>
      <c r="N108" s="121">
        <f>$M108+($W108-$M108)/10*(N$1-$M$1)</f>
        <v>0.10433135413800063</v>
      </c>
      <c r="O108" s="121">
        <f t="shared" ref="O108:U108" si="77">$M108+($W108-$M108)/10*(O$1-$M$1)</f>
        <v>0.11970796851780505</v>
      </c>
      <c r="P108" s="121">
        <f t="shared" si="77"/>
        <v>0.1350845828976095</v>
      </c>
      <c r="Q108" s="121">
        <f t="shared" si="77"/>
        <v>0.15046119727741392</v>
      </c>
      <c r="R108" s="121">
        <f t="shared" si="77"/>
        <v>0.16583781165721834</v>
      </c>
      <c r="S108" s="121">
        <f t="shared" si="77"/>
        <v>0.18121442603702276</v>
      </c>
      <c r="T108" s="121">
        <f t="shared" si="77"/>
        <v>0.19659104041682718</v>
      </c>
      <c r="U108" s="121">
        <f t="shared" si="77"/>
        <v>0.2119676547966316</v>
      </c>
      <c r="V108" s="121">
        <f>$M108+($W108-$M108)/10*(V$1-$M$1)</f>
        <v>0.22734426917643602</v>
      </c>
      <c r="W108" s="121">
        <f>(W$55-$C$55)/($AG$55-$C$55)*($AG108-$C108)+$C108</f>
        <v>0.24272088355624044</v>
      </c>
      <c r="X108" s="23">
        <f t="shared" ref="X108:AF108" si="78">$W108+($AG108-$W108)/10*(X$1-$W$1)</f>
        <v>0.26844879520061637</v>
      </c>
      <c r="Y108" s="23">
        <f t="shared" si="78"/>
        <v>0.29417670684499236</v>
      </c>
      <c r="Z108" s="23">
        <f t="shared" si="78"/>
        <v>0.3199046184893683</v>
      </c>
      <c r="AA108" s="23">
        <f t="shared" si="78"/>
        <v>0.34563253013374429</v>
      </c>
      <c r="AB108" s="23">
        <f t="shared" si="78"/>
        <v>0.37136044177812022</v>
      </c>
      <c r="AC108" s="23">
        <f t="shared" si="78"/>
        <v>0.39708835342249615</v>
      </c>
      <c r="AD108" s="23">
        <f t="shared" si="78"/>
        <v>0.42281626506687209</v>
      </c>
      <c r="AE108" s="23">
        <f t="shared" si="78"/>
        <v>0.44854417671124808</v>
      </c>
      <c r="AF108" s="23">
        <f t="shared" si="78"/>
        <v>0.47427208835562407</v>
      </c>
      <c r="AG108" s="106">
        <v>0.5</v>
      </c>
      <c r="AJ108" s="211" t="s">
        <v>1349</v>
      </c>
    </row>
    <row r="109" spans="1:63" outlineLevel="1">
      <c r="C109" s="113"/>
      <c r="D109" s="110"/>
      <c r="E109" s="110"/>
      <c r="F109" s="110"/>
      <c r="G109" s="110"/>
      <c r="H109" s="110"/>
      <c r="I109" s="110"/>
      <c r="J109" s="110"/>
      <c r="K109" s="110"/>
      <c r="L109" s="110"/>
      <c r="M109" s="121"/>
      <c r="N109" s="121"/>
      <c r="O109" s="121"/>
      <c r="P109" s="121"/>
      <c r="Q109" s="121"/>
      <c r="R109" s="121"/>
      <c r="S109" s="121"/>
      <c r="T109" s="121"/>
      <c r="U109" s="121"/>
      <c r="V109" s="121"/>
      <c r="W109" s="121"/>
      <c r="X109" s="23"/>
      <c r="Y109" s="23"/>
      <c r="Z109" s="23"/>
      <c r="AA109" s="23"/>
      <c r="AB109" s="23"/>
      <c r="AC109" s="23"/>
      <c r="AD109" s="23"/>
      <c r="AE109" s="23"/>
      <c r="AF109" s="23"/>
      <c r="AG109" s="106"/>
      <c r="AJ109" s="211"/>
    </row>
    <row r="110" spans="1:63" outlineLevel="1">
      <c r="A110" t="s">
        <v>1520</v>
      </c>
      <c r="C110" s="230">
        <f>'Overall recycling rates'!D85</f>
        <v>0.36739754083989457</v>
      </c>
      <c r="D110" s="230">
        <f t="shared" ref="D110:AF110" si="79">C110-($C$110-$AG$110)/($AG$1-$C$1)</f>
        <v>0.38181762281189807</v>
      </c>
      <c r="E110" s="230">
        <f t="shared" si="79"/>
        <v>0.39623770478390158</v>
      </c>
      <c r="F110" s="230">
        <f t="shared" si="79"/>
        <v>0.41065778675590509</v>
      </c>
      <c r="G110" s="230">
        <f t="shared" si="79"/>
        <v>0.42507786872790859</v>
      </c>
      <c r="H110" s="230">
        <f t="shared" si="79"/>
        <v>0.4394979506999121</v>
      </c>
      <c r="I110" s="230">
        <f t="shared" si="79"/>
        <v>0.45391803267191561</v>
      </c>
      <c r="J110" s="230">
        <f t="shared" si="79"/>
        <v>0.46833811464391911</v>
      </c>
      <c r="K110" s="230">
        <f t="shared" si="79"/>
        <v>0.48275819661592262</v>
      </c>
      <c r="L110" s="230">
        <f t="shared" si="79"/>
        <v>0.49717827858792613</v>
      </c>
      <c r="M110" s="230">
        <f t="shared" si="79"/>
        <v>0.51159836055992969</v>
      </c>
      <c r="N110" s="230">
        <f t="shared" si="79"/>
        <v>0.52601844253193319</v>
      </c>
      <c r="O110" s="230">
        <f t="shared" si="79"/>
        <v>0.5404385245039367</v>
      </c>
      <c r="P110" s="230">
        <f t="shared" si="79"/>
        <v>0.55485860647594021</v>
      </c>
      <c r="Q110" s="230">
        <f t="shared" si="79"/>
        <v>0.56927868844794371</v>
      </c>
      <c r="R110" s="230">
        <f t="shared" si="79"/>
        <v>0.58369877041994722</v>
      </c>
      <c r="S110" s="230">
        <f t="shared" si="79"/>
        <v>0.59811885239195073</v>
      </c>
      <c r="T110" s="230">
        <f t="shared" si="79"/>
        <v>0.61253893436395423</v>
      </c>
      <c r="U110" s="230">
        <f t="shared" si="79"/>
        <v>0.62695901633595774</v>
      </c>
      <c r="V110" s="230">
        <f t="shared" si="79"/>
        <v>0.64137909830796125</v>
      </c>
      <c r="W110" s="230">
        <f t="shared" si="79"/>
        <v>0.65579918027996476</v>
      </c>
      <c r="X110" s="230">
        <f t="shared" si="79"/>
        <v>0.67021926225196826</v>
      </c>
      <c r="Y110" s="230">
        <f t="shared" si="79"/>
        <v>0.68463934422397177</v>
      </c>
      <c r="Z110" s="230">
        <f t="shared" si="79"/>
        <v>0.69905942619597528</v>
      </c>
      <c r="AA110" s="230">
        <f t="shared" si="79"/>
        <v>0.71347950816797878</v>
      </c>
      <c r="AB110" s="230">
        <f t="shared" si="79"/>
        <v>0.72789959013998229</v>
      </c>
      <c r="AC110" s="230">
        <f t="shared" si="79"/>
        <v>0.7423196721119858</v>
      </c>
      <c r="AD110" s="230">
        <f t="shared" si="79"/>
        <v>0.7567397540839893</v>
      </c>
      <c r="AE110" s="230">
        <f t="shared" si="79"/>
        <v>0.77115983605599281</v>
      </c>
      <c r="AF110" s="230">
        <f t="shared" si="79"/>
        <v>0.78557991802799632</v>
      </c>
      <c r="AG110" s="230">
        <f>'Overall recycling rates'!D94</f>
        <v>0.8</v>
      </c>
      <c r="AI110" s="133"/>
      <c r="AJ110" s="211" t="s">
        <v>1526</v>
      </c>
      <c r="AL110" s="108"/>
      <c r="AM110" s="2"/>
      <c r="AN110" s="2"/>
      <c r="AO110" s="2"/>
      <c r="BC110" s="1"/>
      <c r="BD110" s="2"/>
      <c r="BE110" s="2"/>
      <c r="BF110" s="2"/>
      <c r="BG110" s="2"/>
      <c r="BH110" s="2"/>
      <c r="BI110" s="2"/>
      <c r="BJ110" s="2"/>
      <c r="BK110" s="2"/>
    </row>
    <row r="111" spans="1:63" outlineLevel="1">
      <c r="A111" t="s">
        <v>1503</v>
      </c>
      <c r="B111" s="54" t="s">
        <v>462</v>
      </c>
      <c r="C111" s="110">
        <f>C108*C110</f>
        <v>5.878360653438313E-3</v>
      </c>
      <c r="D111" s="110">
        <f t="shared" ref="D111:AG111" si="80">D108*D110</f>
        <v>8.8946224957238834E-3</v>
      </c>
      <c r="E111" s="110">
        <f t="shared" si="80"/>
        <v>1.2121287003521327E-2</v>
      </c>
      <c r="F111" s="110">
        <f t="shared" si="80"/>
        <v>1.5558354176830649E-2</v>
      </c>
      <c r="G111" s="110">
        <f t="shared" si="80"/>
        <v>1.9205824015651841E-2</v>
      </c>
      <c r="H111" s="110">
        <f t="shared" si="80"/>
        <v>2.3063696519984911E-2</v>
      </c>
      <c r="I111" s="110">
        <f t="shared" si="80"/>
        <v>2.7131971689829854E-2</v>
      </c>
      <c r="J111" s="110">
        <f t="shared" si="80"/>
        <v>3.1410649525186671E-2</v>
      </c>
      <c r="K111" s="110">
        <f t="shared" si="80"/>
        <v>3.5899730026055364E-2</v>
      </c>
      <c r="L111" s="110">
        <f t="shared" si="80"/>
        <v>4.059921319243593E-2</v>
      </c>
      <c r="M111" s="110">
        <f t="shared" si="80"/>
        <v>4.5509099024328377E-2</v>
      </c>
      <c r="N111" s="110">
        <f t="shared" si="80"/>
        <v>5.4880216410918656E-2</v>
      </c>
      <c r="O111" s="110">
        <f t="shared" si="80"/>
        <v>6.4694797877126273E-2</v>
      </c>
      <c r="P111" s="110">
        <f t="shared" si="80"/>
        <v>7.4952843422951235E-2</v>
      </c>
      <c r="Q111" s="110">
        <f t="shared" si="80"/>
        <v>8.5654353048393514E-2</v>
      </c>
      <c r="R111" s="110">
        <f t="shared" si="80"/>
        <v>9.6799326753453138E-2</v>
      </c>
      <c r="S111" s="110">
        <f t="shared" si="80"/>
        <v>0.10838776453813009</v>
      </c>
      <c r="T111" s="110">
        <f t="shared" si="80"/>
        <v>0.12041966640242438</v>
      </c>
      <c r="U111" s="110">
        <f t="shared" si="80"/>
        <v>0.13289503234633601</v>
      </c>
      <c r="V111" s="110">
        <f t="shared" si="80"/>
        <v>0.14581386236986496</v>
      </c>
      <c r="W111" s="110">
        <f t="shared" si="80"/>
        <v>0.15917615647301125</v>
      </c>
      <c r="X111" s="110">
        <f t="shared" si="80"/>
        <v>0.17991955347178681</v>
      </c>
      <c r="Y111" s="110">
        <f t="shared" si="80"/>
        <v>0.20140494766032316</v>
      </c>
      <c r="Z111" s="110">
        <f t="shared" si="80"/>
        <v>0.22363233903862018</v>
      </c>
      <c r="AA111" s="110">
        <f t="shared" si="80"/>
        <v>0.24660172760667798</v>
      </c>
      <c r="AB111" s="110">
        <f t="shared" si="80"/>
        <v>0.27031311336449648</v>
      </c>
      <c r="AC111" s="110">
        <f t="shared" si="80"/>
        <v>0.29476649631207569</v>
      </c>
      <c r="AD111" s="110">
        <f t="shared" si="80"/>
        <v>0.31996187644941559</v>
      </c>
      <c r="AE111" s="110">
        <f t="shared" si="80"/>
        <v>0.34589925377651631</v>
      </c>
      <c r="AF111" s="110">
        <f t="shared" si="80"/>
        <v>0.37257862829337779</v>
      </c>
      <c r="AG111" s="110">
        <f t="shared" si="80"/>
        <v>0.4</v>
      </c>
      <c r="AJ111" s="211" t="s">
        <v>1349</v>
      </c>
    </row>
    <row r="112" spans="1:63" outlineLevel="1">
      <c r="AJ112" s="211"/>
    </row>
    <row r="113" spans="1:41" s="200" customFormat="1" ht="16" thickBot="1">
      <c r="A113" s="200" t="s">
        <v>1351</v>
      </c>
      <c r="B113" s="215"/>
      <c r="C113" s="224">
        <f>C114</f>
        <v>0.05</v>
      </c>
      <c r="D113" s="224">
        <f t="shared" ref="D113:AG113" si="81">D114</f>
        <v>5.2260994000770548E-2</v>
      </c>
      <c r="E113" s="224">
        <f t="shared" si="81"/>
        <v>5.4521988001541094E-2</v>
      </c>
      <c r="F113" s="224">
        <f t="shared" si="81"/>
        <v>5.6782982002311633E-2</v>
      </c>
      <c r="G113" s="224">
        <f t="shared" si="81"/>
        <v>5.9043976003082178E-2</v>
      </c>
      <c r="H113" s="224">
        <f t="shared" si="81"/>
        <v>6.1304970003852724E-2</v>
      </c>
      <c r="I113" s="224">
        <f t="shared" si="81"/>
        <v>6.3565964004623277E-2</v>
      </c>
      <c r="J113" s="224">
        <f t="shared" si="81"/>
        <v>6.5826958005393815E-2</v>
      </c>
      <c r="K113" s="224">
        <f t="shared" si="81"/>
        <v>6.8087952006164354E-2</v>
      </c>
      <c r="L113" s="224">
        <f t="shared" si="81"/>
        <v>7.0348946006934907E-2</v>
      </c>
      <c r="M113" s="224">
        <f t="shared" si="81"/>
        <v>7.2609940007705445E-2</v>
      </c>
      <c r="N113" s="224">
        <f t="shared" si="81"/>
        <v>7.7375419670867973E-2</v>
      </c>
      <c r="O113" s="224">
        <f t="shared" si="81"/>
        <v>8.2140899334030501E-2</v>
      </c>
      <c r="P113" s="224">
        <f t="shared" si="81"/>
        <v>8.6906378997193029E-2</v>
      </c>
      <c r="Q113" s="224">
        <f t="shared" si="81"/>
        <v>9.1671858660355557E-2</v>
      </c>
      <c r="R113" s="224">
        <f t="shared" si="81"/>
        <v>9.6437338323518085E-2</v>
      </c>
      <c r="S113" s="224">
        <f t="shared" si="81"/>
        <v>0.10120281798668061</v>
      </c>
      <c r="T113" s="224">
        <f t="shared" si="81"/>
        <v>0.10596829764984314</v>
      </c>
      <c r="U113" s="224">
        <f t="shared" si="81"/>
        <v>0.11073377731300567</v>
      </c>
      <c r="V113" s="224">
        <f t="shared" si="81"/>
        <v>0.1154992569761682</v>
      </c>
      <c r="W113" s="224">
        <f t="shared" si="81"/>
        <v>0.12026473663933072</v>
      </c>
      <c r="X113" s="224">
        <f t="shared" si="81"/>
        <v>0.12823826297539764</v>
      </c>
      <c r="Y113" s="224">
        <f t="shared" si="81"/>
        <v>0.13621178931146458</v>
      </c>
      <c r="Z113" s="224">
        <f t="shared" si="81"/>
        <v>0.14418531564753151</v>
      </c>
      <c r="AA113" s="224">
        <f t="shared" si="81"/>
        <v>0.15215884198359844</v>
      </c>
      <c r="AB113" s="224">
        <f t="shared" si="81"/>
        <v>0.16013236831966537</v>
      </c>
      <c r="AC113" s="224">
        <f t="shared" si="81"/>
        <v>0.16810589465573231</v>
      </c>
      <c r="AD113" s="224">
        <f t="shared" si="81"/>
        <v>0.17607942099179924</v>
      </c>
      <c r="AE113" s="224">
        <f t="shared" si="81"/>
        <v>0.18405294732786615</v>
      </c>
      <c r="AF113" s="224">
        <f t="shared" si="81"/>
        <v>0.19202647366393311</v>
      </c>
      <c r="AG113" s="224">
        <f t="shared" si="81"/>
        <v>0.2</v>
      </c>
      <c r="AJ113" s="231" t="s">
        <v>1331</v>
      </c>
      <c r="AL113" s="217"/>
      <c r="AM113" s="225"/>
      <c r="AN113" s="225"/>
      <c r="AO113" s="225"/>
    </row>
    <row r="114" spans="1:41" ht="16" outlineLevel="2" thickTop="1">
      <c r="A114" t="s">
        <v>1352</v>
      </c>
      <c r="B114" s="54" t="s">
        <v>462</v>
      </c>
      <c r="C114" s="113">
        <v>0.05</v>
      </c>
      <c r="D114" s="110">
        <f>$C114+($M114-$C114)/10*(D$1-$C$1)</f>
        <v>5.2260994000770548E-2</v>
      </c>
      <c r="E114" s="110">
        <f t="shared" ref="E114:L114" si="82">$C114+($M114-$C114)/10*(E$1-$C$1)</f>
        <v>5.4521988001541094E-2</v>
      </c>
      <c r="F114" s="110">
        <f t="shared" si="82"/>
        <v>5.6782982002311633E-2</v>
      </c>
      <c r="G114" s="110">
        <f t="shared" si="82"/>
        <v>5.9043976003082178E-2</v>
      </c>
      <c r="H114" s="110">
        <f t="shared" si="82"/>
        <v>6.1304970003852724E-2</v>
      </c>
      <c r="I114" s="110">
        <f t="shared" si="82"/>
        <v>6.3565964004623277E-2</v>
      </c>
      <c r="J114" s="110">
        <f t="shared" si="82"/>
        <v>6.5826958005393815E-2</v>
      </c>
      <c r="K114" s="110">
        <f t="shared" si="82"/>
        <v>6.8087952006164354E-2</v>
      </c>
      <c r="L114" s="110">
        <f t="shared" si="82"/>
        <v>7.0348946006934907E-2</v>
      </c>
      <c r="M114" s="121">
        <f>(M$55-$C$55)/($AG$55-$C$55)*($AG114-$C114)+$C114</f>
        <v>7.2609940007705445E-2</v>
      </c>
      <c r="N114" s="121">
        <f>$M114+($W114-$M114)/10*(N$1-$M$1)</f>
        <v>7.7375419670867973E-2</v>
      </c>
      <c r="O114" s="121">
        <f t="shared" ref="O114:U114" si="83">$M114+($W114-$M114)/10*(O$1-$M$1)</f>
        <v>8.2140899334030501E-2</v>
      </c>
      <c r="P114" s="121">
        <f t="shared" si="83"/>
        <v>8.6906378997193029E-2</v>
      </c>
      <c r="Q114" s="121">
        <f t="shared" si="83"/>
        <v>9.1671858660355557E-2</v>
      </c>
      <c r="R114" s="121">
        <f t="shared" si="83"/>
        <v>9.6437338323518085E-2</v>
      </c>
      <c r="S114" s="121">
        <f t="shared" si="83"/>
        <v>0.10120281798668061</v>
      </c>
      <c r="T114" s="121">
        <f t="shared" si="83"/>
        <v>0.10596829764984314</v>
      </c>
      <c r="U114" s="121">
        <f t="shared" si="83"/>
        <v>0.11073377731300567</v>
      </c>
      <c r="V114" s="121">
        <f>$M114+($W114-$M114)/10*(V$1-$M$1)</f>
        <v>0.1154992569761682</v>
      </c>
      <c r="W114" s="121">
        <f>(W$55-$C$55)/($AG$55-$C$55)*($AG114-$C114)+$C114</f>
        <v>0.12026473663933072</v>
      </c>
      <c r="X114" s="23">
        <f t="shared" ref="X114:AF114" si="84">$W114+($AG114-$W114)/10*(X$1-$W$1)</f>
        <v>0.12823826297539764</v>
      </c>
      <c r="Y114" s="23">
        <f t="shared" si="84"/>
        <v>0.13621178931146458</v>
      </c>
      <c r="Z114" s="23">
        <f t="shared" si="84"/>
        <v>0.14418531564753151</v>
      </c>
      <c r="AA114" s="23">
        <f t="shared" si="84"/>
        <v>0.15215884198359844</v>
      </c>
      <c r="AB114" s="23">
        <f t="shared" si="84"/>
        <v>0.16013236831966537</v>
      </c>
      <c r="AC114" s="23">
        <f t="shared" si="84"/>
        <v>0.16810589465573231</v>
      </c>
      <c r="AD114" s="23">
        <f t="shared" si="84"/>
        <v>0.17607942099179924</v>
      </c>
      <c r="AE114" s="23">
        <f t="shared" si="84"/>
        <v>0.18405294732786615</v>
      </c>
      <c r="AF114" s="23">
        <f t="shared" si="84"/>
        <v>0.19202647366393311</v>
      </c>
      <c r="AG114" s="106">
        <v>0.2</v>
      </c>
      <c r="AJ114" s="211" t="s">
        <v>1353</v>
      </c>
    </row>
    <row r="115" spans="1:41" outlineLevel="2">
      <c r="C115" s="113"/>
      <c r="D115" s="110"/>
      <c r="E115" s="110"/>
      <c r="F115" s="110"/>
      <c r="G115" s="110"/>
      <c r="H115" s="110"/>
      <c r="I115" s="110"/>
      <c r="J115" s="110"/>
      <c r="K115" s="110"/>
      <c r="L115" s="110"/>
      <c r="M115" s="121"/>
      <c r="N115" s="121"/>
      <c r="O115" s="121"/>
      <c r="P115" s="121"/>
      <c r="Q115" s="121"/>
      <c r="R115" s="121"/>
      <c r="S115" s="121"/>
      <c r="T115" s="121"/>
      <c r="U115" s="121"/>
      <c r="V115" s="121"/>
      <c r="W115" s="121"/>
      <c r="X115" s="23"/>
      <c r="Y115" s="23"/>
      <c r="Z115" s="23"/>
      <c r="AA115" s="23"/>
      <c r="AB115" s="23"/>
      <c r="AC115" s="23"/>
      <c r="AD115" s="23"/>
      <c r="AE115" s="23"/>
      <c r="AF115" s="23"/>
      <c r="AG115" s="106"/>
      <c r="AJ115" s="211"/>
    </row>
    <row r="116" spans="1:41" outlineLevel="2">
      <c r="C116" s="113"/>
      <c r="D116" s="110"/>
      <c r="E116" s="110"/>
      <c r="F116" s="110"/>
      <c r="G116" s="110"/>
      <c r="H116" s="110"/>
      <c r="I116" s="110"/>
      <c r="J116" s="110"/>
      <c r="K116" s="110"/>
      <c r="L116" s="110"/>
      <c r="M116" s="121"/>
      <c r="N116" s="121"/>
      <c r="O116" s="121"/>
      <c r="P116" s="121"/>
      <c r="Q116" s="121"/>
      <c r="R116" s="121"/>
      <c r="S116" s="121"/>
      <c r="T116" s="121"/>
      <c r="U116" s="121"/>
      <c r="V116" s="121"/>
      <c r="W116" s="121"/>
      <c r="X116" s="23"/>
      <c r="Y116" s="23"/>
      <c r="Z116" s="23"/>
      <c r="AA116" s="23"/>
      <c r="AB116" s="23"/>
      <c r="AC116" s="23"/>
      <c r="AD116" s="23"/>
      <c r="AE116" s="23"/>
      <c r="AF116" s="23"/>
      <c r="AG116" s="106"/>
      <c r="AJ116" s="211"/>
    </row>
    <row r="117" spans="1:41" s="200" customFormat="1" ht="16" thickBot="1">
      <c r="A117" s="227" t="s">
        <v>1504</v>
      </c>
      <c r="B117" s="228"/>
      <c r="C117" s="229">
        <f t="shared" ref="C117:AG117" si="85">(C45*C65+C46*C69+C48*C93+C47*C111+C49*C113)/C50</f>
        <v>5.2458799355333138E-2</v>
      </c>
      <c r="D117" s="229">
        <f t="shared" si="85"/>
        <v>5.6313972417906338E-2</v>
      </c>
      <c r="E117" s="229">
        <f t="shared" si="85"/>
        <v>6.0245875111682938E-2</v>
      </c>
      <c r="F117" s="229">
        <f t="shared" si="85"/>
        <v>6.4254507436662944E-2</v>
      </c>
      <c r="G117" s="229">
        <f t="shared" si="85"/>
        <v>6.833986939284635E-2</v>
      </c>
      <c r="H117" s="229">
        <f t="shared" si="85"/>
        <v>7.2501960980233163E-2</v>
      </c>
      <c r="I117" s="229">
        <f t="shared" si="85"/>
        <v>7.6740782198823368E-2</v>
      </c>
      <c r="J117" s="229">
        <f t="shared" si="85"/>
        <v>8.1056333048616952E-2</v>
      </c>
      <c r="K117" s="229">
        <f t="shared" si="85"/>
        <v>8.544861352961397E-2</v>
      </c>
      <c r="L117" s="229">
        <f t="shared" si="85"/>
        <v>8.9917623641814381E-2</v>
      </c>
      <c r="M117" s="229">
        <f t="shared" si="85"/>
        <v>9.4463363385218158E-2</v>
      </c>
      <c r="N117" s="229">
        <f t="shared" si="85"/>
        <v>0.10291845238464394</v>
      </c>
      <c r="O117" s="229">
        <f t="shared" si="85"/>
        <v>0.11153526383752915</v>
      </c>
      <c r="P117" s="229">
        <f t="shared" si="85"/>
        <v>0.12031533502552612</v>
      </c>
      <c r="Q117" s="229">
        <f t="shared" si="85"/>
        <v>0.12925904827037146</v>
      </c>
      <c r="R117" s="229">
        <f t="shared" si="85"/>
        <v>0.13836629253777349</v>
      </c>
      <c r="S117" s="229">
        <f t="shared" si="85"/>
        <v>0.14763695689386971</v>
      </c>
      <c r="T117" s="229">
        <f t="shared" si="85"/>
        <v>0.15707093050511345</v>
      </c>
      <c r="U117" s="229">
        <f t="shared" si="85"/>
        <v>0.16666810263816004</v>
      </c>
      <c r="V117" s="229">
        <f t="shared" si="85"/>
        <v>0.17642836265975403</v>
      </c>
      <c r="W117" s="229">
        <f t="shared" si="85"/>
        <v>0.18635160003661605</v>
      </c>
      <c r="X117" s="229">
        <f t="shared" si="85"/>
        <v>0.20189828619990055</v>
      </c>
      <c r="Y117" s="229">
        <f t="shared" si="85"/>
        <v>0.21771789447120352</v>
      </c>
      <c r="Z117" s="229">
        <f t="shared" si="85"/>
        <v>0.23382776552364518</v>
      </c>
      <c r="AA117" s="229">
        <f t="shared" si="85"/>
        <v>0.25021402322633585</v>
      </c>
      <c r="AB117" s="229">
        <f t="shared" si="85"/>
        <v>0.26687620027761394</v>
      </c>
      <c r="AC117" s="229">
        <f t="shared" si="85"/>
        <v>0.28381383042868086</v>
      </c>
      <c r="AD117" s="229">
        <f t="shared" si="85"/>
        <v>0.30102644848063659</v>
      </c>
      <c r="AE117" s="229">
        <f t="shared" si="85"/>
        <v>0.31851359028152665</v>
      </c>
      <c r="AF117" s="229">
        <f t="shared" si="85"/>
        <v>0.336274792723398</v>
      </c>
      <c r="AG117" s="229">
        <f t="shared" si="85"/>
        <v>0.35430959373936644</v>
      </c>
      <c r="AJ117" s="231" t="s">
        <v>1527</v>
      </c>
      <c r="AL117" s="217"/>
      <c r="AM117" s="225"/>
      <c r="AN117" s="225"/>
      <c r="AO117" s="225"/>
    </row>
    <row r="118" spans="1:41" s="200" customFormat="1" ht="17" thickTop="1" thickBot="1">
      <c r="A118" s="227" t="s">
        <v>1356</v>
      </c>
      <c r="B118" s="228"/>
      <c r="C118" s="229">
        <f t="shared" ref="C118:AG118" si="86">(C14*C52+C69*C15+C17*C93+C107*C16+C113*C18)/C19</f>
        <v>0.10392620862112158</v>
      </c>
      <c r="D118" s="229">
        <f t="shared" si="86"/>
        <v>0.10914907209487128</v>
      </c>
      <c r="E118" s="229">
        <f t="shared" si="86"/>
        <v>0.11437193556862101</v>
      </c>
      <c r="F118" s="229">
        <f t="shared" si="86"/>
        <v>0.11959479904237068</v>
      </c>
      <c r="G118" s="229">
        <f t="shared" si="86"/>
        <v>0.12481766251612042</v>
      </c>
      <c r="H118" s="229">
        <f t="shared" si="86"/>
        <v>0.13004052598987015</v>
      </c>
      <c r="I118" s="229">
        <f t="shared" si="86"/>
        <v>0.13526338946361988</v>
      </c>
      <c r="J118" s="229">
        <f t="shared" si="86"/>
        <v>0.14048625293736958</v>
      </c>
      <c r="K118" s="229">
        <f t="shared" si="86"/>
        <v>0.1457091164111193</v>
      </c>
      <c r="L118" s="229">
        <f t="shared" si="86"/>
        <v>0.15093197988486898</v>
      </c>
      <c r="M118" s="229">
        <f t="shared" si="86"/>
        <v>0.15615484335861871</v>
      </c>
      <c r="N118" s="229">
        <f t="shared" si="86"/>
        <v>0.16716303252636805</v>
      </c>
      <c r="O118" s="229">
        <f t="shared" si="86"/>
        <v>0.17817122169411745</v>
      </c>
      <c r="P118" s="229">
        <f t="shared" si="86"/>
        <v>0.18917941086186682</v>
      </c>
      <c r="Q118" s="229">
        <f t="shared" si="86"/>
        <v>0.20018760002961619</v>
      </c>
      <c r="R118" s="229">
        <f t="shared" si="86"/>
        <v>0.21119578919736562</v>
      </c>
      <c r="S118" s="229">
        <f t="shared" si="86"/>
        <v>0.22220397836511507</v>
      </c>
      <c r="T118" s="229">
        <f t="shared" si="86"/>
        <v>0.23321216753286442</v>
      </c>
      <c r="U118" s="229">
        <f t="shared" si="86"/>
        <v>0.24422035670061382</v>
      </c>
      <c r="V118" s="229">
        <f t="shared" si="86"/>
        <v>0.25522854586836319</v>
      </c>
      <c r="W118" s="229">
        <f t="shared" si="86"/>
        <v>0.26623673503611256</v>
      </c>
      <c r="X118" s="229">
        <f t="shared" si="86"/>
        <v>0.28465546566672584</v>
      </c>
      <c r="Y118" s="229">
        <f t="shared" si="86"/>
        <v>0.30307419629733917</v>
      </c>
      <c r="Z118" s="229">
        <f t="shared" si="86"/>
        <v>0.32149292692795245</v>
      </c>
      <c r="AA118" s="229">
        <f t="shared" si="86"/>
        <v>0.33991165755856578</v>
      </c>
      <c r="AB118" s="229">
        <f t="shared" si="86"/>
        <v>0.35833038818917906</v>
      </c>
      <c r="AC118" s="229">
        <f t="shared" si="86"/>
        <v>0.37674911881979239</v>
      </c>
      <c r="AD118" s="229">
        <f t="shared" si="86"/>
        <v>0.39516784945040562</v>
      </c>
      <c r="AE118" s="229">
        <f t="shared" si="86"/>
        <v>0.4135865800810189</v>
      </c>
      <c r="AF118" s="229">
        <f t="shared" si="86"/>
        <v>0.43200531071163223</v>
      </c>
      <c r="AG118" s="229">
        <f t="shared" si="86"/>
        <v>0.45042404134224556</v>
      </c>
      <c r="AJ118" s="226" t="s">
        <v>1357</v>
      </c>
      <c r="AL118" s="217"/>
      <c r="AM118" s="225"/>
      <c r="AN118" s="225"/>
      <c r="AO118" s="225"/>
    </row>
    <row r="119" spans="1:41" ht="16" thickTop="1">
      <c r="B119" s="130"/>
      <c r="C119" s="113"/>
      <c r="D119" s="23"/>
      <c r="E119" s="23"/>
      <c r="F119" s="23"/>
      <c r="G119" s="23"/>
      <c r="H119" s="23"/>
      <c r="I119" s="23"/>
      <c r="J119" s="23"/>
      <c r="K119" s="23"/>
      <c r="L119" s="23"/>
      <c r="M119" s="126"/>
      <c r="N119" s="110"/>
      <c r="O119" s="110"/>
      <c r="P119" s="110"/>
      <c r="Q119" s="110"/>
      <c r="R119" s="110"/>
      <c r="S119" s="110"/>
      <c r="T119" s="110"/>
      <c r="U119" s="110"/>
      <c r="V119" s="110"/>
      <c r="W119" s="126"/>
      <c r="X119" s="110"/>
      <c r="Y119" s="110"/>
      <c r="Z119" s="110"/>
      <c r="AA119" s="110"/>
      <c r="AB119" s="110"/>
      <c r="AC119" s="110"/>
      <c r="AD119" s="110"/>
      <c r="AE119" s="110"/>
      <c r="AF119" s="110"/>
      <c r="AG119" s="113"/>
    </row>
    <row r="120" spans="1:41" s="58" customFormat="1">
      <c r="A120" s="58" t="s">
        <v>1361</v>
      </c>
      <c r="B120" s="303"/>
      <c r="C120" s="304"/>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c r="Z120" s="304"/>
      <c r="AA120" s="304"/>
      <c r="AB120" s="304"/>
      <c r="AC120" s="304"/>
      <c r="AD120" s="304"/>
      <c r="AE120" s="304"/>
      <c r="AF120" s="304"/>
      <c r="AG120" s="304"/>
      <c r="AI120" s="305"/>
      <c r="AJ120" s="306"/>
    </row>
    <row r="121" spans="1:41" s="190" customFormat="1" outlineLevel="1">
      <c r="A121" s="344" t="s">
        <v>1362</v>
      </c>
      <c r="B121" s="318" t="s">
        <v>462</v>
      </c>
      <c r="C121" s="319">
        <v>0.84</v>
      </c>
      <c r="D121" s="320">
        <f>-($C121-$AG121)/30+C121</f>
        <v>0.83566666666666667</v>
      </c>
      <c r="E121" s="320">
        <f t="shared" ref="E121:AF121" si="87">-($C121-$AG121)/30+D121</f>
        <v>0.83133333333333337</v>
      </c>
      <c r="F121" s="320">
        <f t="shared" si="87"/>
        <v>0.82700000000000007</v>
      </c>
      <c r="G121" s="320">
        <f t="shared" si="87"/>
        <v>0.82266666666666677</v>
      </c>
      <c r="H121" s="320">
        <f t="shared" si="87"/>
        <v>0.81833333333333347</v>
      </c>
      <c r="I121" s="320">
        <f t="shared" si="87"/>
        <v>0.81400000000000017</v>
      </c>
      <c r="J121" s="320">
        <f t="shared" si="87"/>
        <v>0.80966666666666687</v>
      </c>
      <c r="K121" s="320">
        <f t="shared" si="87"/>
        <v>0.80533333333333357</v>
      </c>
      <c r="L121" s="320">
        <f t="shared" si="87"/>
        <v>0.80100000000000027</v>
      </c>
      <c r="M121" s="320">
        <f t="shared" si="87"/>
        <v>0.79666666666666697</v>
      </c>
      <c r="N121" s="320">
        <f t="shared" si="87"/>
        <v>0.79233333333333367</v>
      </c>
      <c r="O121" s="320">
        <f t="shared" si="87"/>
        <v>0.78800000000000037</v>
      </c>
      <c r="P121" s="320">
        <f t="shared" si="87"/>
        <v>0.78366666666666707</v>
      </c>
      <c r="Q121" s="320">
        <f t="shared" si="87"/>
        <v>0.77933333333333377</v>
      </c>
      <c r="R121" s="320">
        <f t="shared" si="87"/>
        <v>0.77500000000000047</v>
      </c>
      <c r="S121" s="320">
        <f t="shared" si="87"/>
        <v>0.77066666666666717</v>
      </c>
      <c r="T121" s="320">
        <f t="shared" si="87"/>
        <v>0.76633333333333387</v>
      </c>
      <c r="U121" s="320">
        <f t="shared" si="87"/>
        <v>0.76200000000000057</v>
      </c>
      <c r="V121" s="320">
        <f t="shared" si="87"/>
        <v>0.75766666666666727</v>
      </c>
      <c r="W121" s="320">
        <f t="shared" si="87"/>
        <v>0.75333333333333397</v>
      </c>
      <c r="X121" s="320">
        <f t="shared" si="87"/>
        <v>0.74900000000000067</v>
      </c>
      <c r="Y121" s="320">
        <f t="shared" si="87"/>
        <v>0.74466666666666737</v>
      </c>
      <c r="Z121" s="320">
        <f t="shared" si="87"/>
        <v>0.74033333333333406</v>
      </c>
      <c r="AA121" s="320">
        <f t="shared" si="87"/>
        <v>0.73600000000000076</v>
      </c>
      <c r="AB121" s="320">
        <f t="shared" si="87"/>
        <v>0.73166666666666746</v>
      </c>
      <c r="AC121" s="320">
        <f t="shared" si="87"/>
        <v>0.72733333333333416</v>
      </c>
      <c r="AD121" s="320">
        <f t="shared" si="87"/>
        <v>0.72300000000000086</v>
      </c>
      <c r="AE121" s="320">
        <f t="shared" si="87"/>
        <v>0.71866666666666756</v>
      </c>
      <c r="AF121" s="320">
        <f t="shared" si="87"/>
        <v>0.71433333333333426</v>
      </c>
      <c r="AG121" s="319">
        <v>0.71</v>
      </c>
      <c r="AI121" s="321"/>
      <c r="AJ121" s="322" t="s">
        <v>1363</v>
      </c>
    </row>
    <row r="122" spans="1:41" outlineLevel="1">
      <c r="A122" s="3" t="s">
        <v>90</v>
      </c>
      <c r="B122" s="302" t="s">
        <v>462</v>
      </c>
      <c r="C122" s="296">
        <v>0.16</v>
      </c>
      <c r="D122" s="317">
        <f t="shared" ref="D122:AF127" si="88">-($C122-$AG122)/30+C122</f>
        <v>0.16206666666666666</v>
      </c>
      <c r="E122" s="317">
        <f t="shared" si="88"/>
        <v>0.16413333333333333</v>
      </c>
      <c r="F122" s="317">
        <f t="shared" si="88"/>
        <v>0.16619999999999999</v>
      </c>
      <c r="G122" s="317">
        <f t="shared" si="88"/>
        <v>0.16826666666666665</v>
      </c>
      <c r="H122" s="317">
        <f t="shared" si="88"/>
        <v>0.17033333333333331</v>
      </c>
      <c r="I122" s="317">
        <f t="shared" si="88"/>
        <v>0.17239999999999997</v>
      </c>
      <c r="J122" s="317">
        <f t="shared" si="88"/>
        <v>0.17446666666666663</v>
      </c>
      <c r="K122" s="317">
        <f t="shared" si="88"/>
        <v>0.17653333333333329</v>
      </c>
      <c r="L122" s="317">
        <f t="shared" si="88"/>
        <v>0.17859999999999995</v>
      </c>
      <c r="M122" s="317">
        <f t="shared" si="88"/>
        <v>0.18066666666666661</v>
      </c>
      <c r="N122" s="317">
        <f t="shared" si="88"/>
        <v>0.18273333333333328</v>
      </c>
      <c r="O122" s="317">
        <f t="shared" si="88"/>
        <v>0.18479999999999994</v>
      </c>
      <c r="P122" s="317">
        <f t="shared" si="88"/>
        <v>0.1868666666666666</v>
      </c>
      <c r="Q122" s="317">
        <f t="shared" si="88"/>
        <v>0.18893333333333326</v>
      </c>
      <c r="R122" s="317">
        <f t="shared" si="88"/>
        <v>0.19099999999999992</v>
      </c>
      <c r="S122" s="317">
        <f t="shared" si="88"/>
        <v>0.19306666666666658</v>
      </c>
      <c r="T122" s="317">
        <f t="shared" si="88"/>
        <v>0.19513333333333324</v>
      </c>
      <c r="U122" s="317">
        <f t="shared" si="88"/>
        <v>0.1971999999999999</v>
      </c>
      <c r="V122" s="317">
        <f t="shared" si="88"/>
        <v>0.19926666666666656</v>
      </c>
      <c r="W122" s="317">
        <f t="shared" si="88"/>
        <v>0.20133333333333323</v>
      </c>
      <c r="X122" s="317">
        <f t="shared" si="88"/>
        <v>0.20339999999999989</v>
      </c>
      <c r="Y122" s="317">
        <f t="shared" si="88"/>
        <v>0.20546666666666655</v>
      </c>
      <c r="Z122" s="317">
        <f t="shared" si="88"/>
        <v>0.20753333333333321</v>
      </c>
      <c r="AA122" s="317">
        <f t="shared" si="88"/>
        <v>0.20959999999999987</v>
      </c>
      <c r="AB122" s="317">
        <f t="shared" si="88"/>
        <v>0.21166666666666653</v>
      </c>
      <c r="AC122" s="317">
        <f t="shared" si="88"/>
        <v>0.21373333333333319</v>
      </c>
      <c r="AD122" s="317">
        <f t="shared" si="88"/>
        <v>0.21579999999999985</v>
      </c>
      <c r="AE122" s="317">
        <f t="shared" si="88"/>
        <v>0.21786666666666651</v>
      </c>
      <c r="AF122" s="317">
        <f t="shared" si="88"/>
        <v>0.21993333333333318</v>
      </c>
      <c r="AG122" s="296">
        <v>0.222</v>
      </c>
      <c r="AI122" s="214"/>
      <c r="AJ122" s="211" t="s">
        <v>1363</v>
      </c>
    </row>
    <row r="123" spans="1:41" outlineLevel="1">
      <c r="A123" s="3" t="s">
        <v>33</v>
      </c>
      <c r="B123" s="302" t="s">
        <v>462</v>
      </c>
      <c r="C123" s="296">
        <v>0.37</v>
      </c>
      <c r="D123" s="317">
        <f t="shared" si="88"/>
        <v>0.36270000000000002</v>
      </c>
      <c r="E123" s="317">
        <f t="shared" si="88"/>
        <v>0.35540000000000005</v>
      </c>
      <c r="F123" s="317">
        <f t="shared" si="88"/>
        <v>0.34810000000000008</v>
      </c>
      <c r="G123" s="317">
        <f t="shared" si="88"/>
        <v>0.3408000000000001</v>
      </c>
      <c r="H123" s="317">
        <f t="shared" si="88"/>
        <v>0.33350000000000013</v>
      </c>
      <c r="I123" s="317">
        <f t="shared" si="88"/>
        <v>0.32620000000000016</v>
      </c>
      <c r="J123" s="317">
        <f t="shared" si="88"/>
        <v>0.31890000000000018</v>
      </c>
      <c r="K123" s="317">
        <f t="shared" si="88"/>
        <v>0.31160000000000021</v>
      </c>
      <c r="L123" s="317">
        <f t="shared" si="88"/>
        <v>0.30430000000000024</v>
      </c>
      <c r="M123" s="317">
        <f t="shared" si="88"/>
        <v>0.29700000000000026</v>
      </c>
      <c r="N123" s="317">
        <f t="shared" si="88"/>
        <v>0.28970000000000029</v>
      </c>
      <c r="O123" s="317">
        <f t="shared" si="88"/>
        <v>0.28240000000000032</v>
      </c>
      <c r="P123" s="317">
        <f t="shared" si="88"/>
        <v>0.27510000000000034</v>
      </c>
      <c r="Q123" s="317">
        <f t="shared" si="88"/>
        <v>0.26780000000000037</v>
      </c>
      <c r="R123" s="317">
        <f t="shared" si="88"/>
        <v>0.2605000000000004</v>
      </c>
      <c r="S123" s="317">
        <f t="shared" si="88"/>
        <v>0.25320000000000042</v>
      </c>
      <c r="T123" s="317">
        <f t="shared" si="88"/>
        <v>0.24590000000000042</v>
      </c>
      <c r="U123" s="317">
        <f t="shared" si="88"/>
        <v>0.23860000000000042</v>
      </c>
      <c r="V123" s="317">
        <f t="shared" si="88"/>
        <v>0.23130000000000042</v>
      </c>
      <c r="W123" s="317">
        <f t="shared" si="88"/>
        <v>0.22400000000000042</v>
      </c>
      <c r="X123" s="317">
        <f t="shared" si="88"/>
        <v>0.21670000000000042</v>
      </c>
      <c r="Y123" s="317">
        <f t="shared" si="88"/>
        <v>0.20940000000000042</v>
      </c>
      <c r="Z123" s="317">
        <f t="shared" si="88"/>
        <v>0.20210000000000042</v>
      </c>
      <c r="AA123" s="317">
        <f t="shared" si="88"/>
        <v>0.19480000000000042</v>
      </c>
      <c r="AB123" s="317">
        <f t="shared" si="88"/>
        <v>0.18750000000000042</v>
      </c>
      <c r="AC123" s="317">
        <f t="shared" si="88"/>
        <v>0.18020000000000042</v>
      </c>
      <c r="AD123" s="317">
        <f t="shared" si="88"/>
        <v>0.17290000000000041</v>
      </c>
      <c r="AE123" s="317">
        <f t="shared" si="88"/>
        <v>0.16560000000000041</v>
      </c>
      <c r="AF123" s="317">
        <f t="shared" si="88"/>
        <v>0.15830000000000041</v>
      </c>
      <c r="AG123" s="296">
        <v>0.151</v>
      </c>
      <c r="AI123" s="214"/>
      <c r="AJ123" s="211" t="s">
        <v>1363</v>
      </c>
    </row>
    <row r="124" spans="1:41" outlineLevel="1">
      <c r="A124" s="3" t="s">
        <v>451</v>
      </c>
      <c r="B124" s="302" t="s">
        <v>462</v>
      </c>
      <c r="C124" s="296">
        <v>0.08</v>
      </c>
      <c r="D124" s="317">
        <f t="shared" si="88"/>
        <v>8.0100000000000005E-2</v>
      </c>
      <c r="E124" s="317">
        <f t="shared" si="88"/>
        <v>8.0200000000000007E-2</v>
      </c>
      <c r="F124" s="317">
        <f t="shared" si="88"/>
        <v>8.030000000000001E-2</v>
      </c>
      <c r="G124" s="317">
        <f t="shared" si="88"/>
        <v>8.0400000000000013E-2</v>
      </c>
      <c r="H124" s="317">
        <f t="shared" si="88"/>
        <v>8.0500000000000016E-2</v>
      </c>
      <c r="I124" s="317">
        <f t="shared" si="88"/>
        <v>8.0600000000000019E-2</v>
      </c>
      <c r="J124" s="317">
        <f t="shared" si="88"/>
        <v>8.0700000000000022E-2</v>
      </c>
      <c r="K124" s="317">
        <f t="shared" si="88"/>
        <v>8.0800000000000025E-2</v>
      </c>
      <c r="L124" s="317">
        <f t="shared" si="88"/>
        <v>8.0900000000000027E-2</v>
      </c>
      <c r="M124" s="317">
        <f t="shared" si="88"/>
        <v>8.100000000000003E-2</v>
      </c>
      <c r="N124" s="317">
        <f t="shared" si="88"/>
        <v>8.1100000000000033E-2</v>
      </c>
      <c r="O124" s="317">
        <f t="shared" si="88"/>
        <v>8.1200000000000036E-2</v>
      </c>
      <c r="P124" s="317">
        <f t="shared" si="88"/>
        <v>8.1300000000000039E-2</v>
      </c>
      <c r="Q124" s="317">
        <f t="shared" si="88"/>
        <v>8.1400000000000042E-2</v>
      </c>
      <c r="R124" s="317">
        <f t="shared" si="88"/>
        <v>8.1500000000000045E-2</v>
      </c>
      <c r="S124" s="317">
        <f t="shared" si="88"/>
        <v>8.1600000000000047E-2</v>
      </c>
      <c r="T124" s="317">
        <f t="shared" si="88"/>
        <v>8.170000000000005E-2</v>
      </c>
      <c r="U124" s="317">
        <f t="shared" si="88"/>
        <v>8.1800000000000053E-2</v>
      </c>
      <c r="V124" s="317">
        <f t="shared" si="88"/>
        <v>8.1900000000000056E-2</v>
      </c>
      <c r="W124" s="317">
        <f t="shared" si="88"/>
        <v>8.2000000000000059E-2</v>
      </c>
      <c r="X124" s="317">
        <f t="shared" si="88"/>
        <v>8.2100000000000062E-2</v>
      </c>
      <c r="Y124" s="317">
        <f t="shared" si="88"/>
        <v>8.2200000000000065E-2</v>
      </c>
      <c r="Z124" s="317">
        <f t="shared" si="88"/>
        <v>8.2300000000000068E-2</v>
      </c>
      <c r="AA124" s="317">
        <f t="shared" si="88"/>
        <v>8.240000000000007E-2</v>
      </c>
      <c r="AB124" s="317">
        <f t="shared" si="88"/>
        <v>8.2500000000000073E-2</v>
      </c>
      <c r="AC124" s="317">
        <f t="shared" si="88"/>
        <v>8.2600000000000076E-2</v>
      </c>
      <c r="AD124" s="317">
        <f t="shared" si="88"/>
        <v>8.2700000000000079E-2</v>
      </c>
      <c r="AE124" s="317">
        <f t="shared" si="88"/>
        <v>8.2800000000000082E-2</v>
      </c>
      <c r="AF124" s="317">
        <f t="shared" si="88"/>
        <v>8.2900000000000085E-2</v>
      </c>
      <c r="AG124" s="296">
        <v>8.3000000000000004E-2</v>
      </c>
      <c r="AI124" s="214"/>
      <c r="AJ124" s="211" t="s">
        <v>1363</v>
      </c>
    </row>
    <row r="125" spans="1:41" outlineLevel="1">
      <c r="A125" s="3" t="s">
        <v>452</v>
      </c>
      <c r="B125" s="302" t="s">
        <v>462</v>
      </c>
      <c r="C125" s="296">
        <v>0.27</v>
      </c>
      <c r="D125" s="317">
        <f t="shared" si="88"/>
        <v>0.27313333333333334</v>
      </c>
      <c r="E125" s="317">
        <f t="shared" si="88"/>
        <v>0.27626666666666666</v>
      </c>
      <c r="F125" s="317">
        <f t="shared" si="88"/>
        <v>0.27939999999999998</v>
      </c>
      <c r="G125" s="317">
        <f t="shared" si="88"/>
        <v>0.2825333333333333</v>
      </c>
      <c r="H125" s="317">
        <f t="shared" si="88"/>
        <v>0.28566666666666662</v>
      </c>
      <c r="I125" s="317">
        <f t="shared" si="88"/>
        <v>0.28879999999999995</v>
      </c>
      <c r="J125" s="317">
        <f t="shared" si="88"/>
        <v>0.29193333333333327</v>
      </c>
      <c r="K125" s="317">
        <f t="shared" si="88"/>
        <v>0.29506666666666659</v>
      </c>
      <c r="L125" s="317">
        <f t="shared" si="88"/>
        <v>0.29819999999999991</v>
      </c>
      <c r="M125" s="317">
        <f t="shared" si="88"/>
        <v>0.30133333333333323</v>
      </c>
      <c r="N125" s="317">
        <f t="shared" si="88"/>
        <v>0.30446666666666655</v>
      </c>
      <c r="O125" s="317">
        <f t="shared" si="88"/>
        <v>0.30759999999999987</v>
      </c>
      <c r="P125" s="317">
        <f t="shared" si="88"/>
        <v>0.31073333333333319</v>
      </c>
      <c r="Q125" s="317">
        <f t="shared" si="88"/>
        <v>0.31386666666666652</v>
      </c>
      <c r="R125" s="317">
        <f t="shared" si="88"/>
        <v>0.31699999999999984</v>
      </c>
      <c r="S125" s="317">
        <f t="shared" si="88"/>
        <v>0.32013333333333316</v>
      </c>
      <c r="T125" s="317">
        <f t="shared" si="88"/>
        <v>0.32326666666666648</v>
      </c>
      <c r="U125" s="317">
        <f t="shared" si="88"/>
        <v>0.3263999999999998</v>
      </c>
      <c r="V125" s="317">
        <f t="shared" si="88"/>
        <v>0.32953333333333312</v>
      </c>
      <c r="W125" s="317">
        <f t="shared" si="88"/>
        <v>0.33266666666666644</v>
      </c>
      <c r="X125" s="317">
        <f t="shared" si="88"/>
        <v>0.33579999999999977</v>
      </c>
      <c r="Y125" s="317">
        <f t="shared" si="88"/>
        <v>0.33893333333333309</v>
      </c>
      <c r="Z125" s="317">
        <f t="shared" si="88"/>
        <v>0.34206666666666641</v>
      </c>
      <c r="AA125" s="317">
        <f t="shared" si="88"/>
        <v>0.34519999999999973</v>
      </c>
      <c r="AB125" s="317">
        <f t="shared" si="88"/>
        <v>0.34833333333333305</v>
      </c>
      <c r="AC125" s="317">
        <f t="shared" si="88"/>
        <v>0.35146666666666637</v>
      </c>
      <c r="AD125" s="317">
        <f t="shared" si="88"/>
        <v>0.35459999999999969</v>
      </c>
      <c r="AE125" s="317">
        <f t="shared" si="88"/>
        <v>0.35773333333333301</v>
      </c>
      <c r="AF125" s="317">
        <f t="shared" si="88"/>
        <v>0.36086666666666634</v>
      </c>
      <c r="AG125" s="296">
        <v>0.36399999999999999</v>
      </c>
      <c r="AI125" s="214"/>
      <c r="AJ125" s="211" t="s">
        <v>1363</v>
      </c>
    </row>
    <row r="126" spans="1:41" outlineLevel="1">
      <c r="A126" s="3" t="s">
        <v>1364</v>
      </c>
      <c r="B126" s="302" t="s">
        <v>462</v>
      </c>
      <c r="C126" s="296">
        <v>7.0000000000000007E-2</v>
      </c>
      <c r="D126" s="317">
        <f t="shared" si="88"/>
        <v>7.1266666666666673E-2</v>
      </c>
      <c r="E126" s="317">
        <f t="shared" si="88"/>
        <v>7.2533333333333339E-2</v>
      </c>
      <c r="F126" s="317">
        <f t="shared" si="88"/>
        <v>7.3800000000000004E-2</v>
      </c>
      <c r="G126" s="317">
        <f t="shared" si="88"/>
        <v>7.506666666666667E-2</v>
      </c>
      <c r="H126" s="317">
        <f t="shared" si="88"/>
        <v>7.6333333333333336E-2</v>
      </c>
      <c r="I126" s="317">
        <f t="shared" si="88"/>
        <v>7.7600000000000002E-2</v>
      </c>
      <c r="J126" s="317">
        <f t="shared" si="88"/>
        <v>7.8866666666666668E-2</v>
      </c>
      <c r="K126" s="317">
        <f t="shared" si="88"/>
        <v>8.0133333333333334E-2</v>
      </c>
      <c r="L126" s="317">
        <f t="shared" si="88"/>
        <v>8.14E-2</v>
      </c>
      <c r="M126" s="317">
        <f t="shared" si="88"/>
        <v>8.2666666666666666E-2</v>
      </c>
      <c r="N126" s="317">
        <f t="shared" si="88"/>
        <v>8.3933333333333332E-2</v>
      </c>
      <c r="O126" s="317">
        <f t="shared" si="88"/>
        <v>8.5199999999999998E-2</v>
      </c>
      <c r="P126" s="317">
        <f t="shared" si="88"/>
        <v>8.6466666666666664E-2</v>
      </c>
      <c r="Q126" s="317">
        <f t="shared" si="88"/>
        <v>8.773333333333333E-2</v>
      </c>
      <c r="R126" s="317">
        <f t="shared" si="88"/>
        <v>8.8999999999999996E-2</v>
      </c>
      <c r="S126" s="317">
        <f t="shared" si="88"/>
        <v>9.0266666666666662E-2</v>
      </c>
      <c r="T126" s="317">
        <f t="shared" si="88"/>
        <v>9.1533333333333328E-2</v>
      </c>
      <c r="U126" s="317">
        <f t="shared" si="88"/>
        <v>9.2799999999999994E-2</v>
      </c>
      <c r="V126" s="317">
        <f t="shared" si="88"/>
        <v>9.406666666666666E-2</v>
      </c>
      <c r="W126" s="317">
        <f t="shared" si="88"/>
        <v>9.5333333333333325E-2</v>
      </c>
      <c r="X126" s="317">
        <f t="shared" si="88"/>
        <v>9.6599999999999991E-2</v>
      </c>
      <c r="Y126" s="317">
        <f t="shared" si="88"/>
        <v>9.7866666666666657E-2</v>
      </c>
      <c r="Z126" s="317">
        <f t="shared" si="88"/>
        <v>9.9133333333333323E-2</v>
      </c>
      <c r="AA126" s="317">
        <f t="shared" si="88"/>
        <v>0.10039999999999999</v>
      </c>
      <c r="AB126" s="317">
        <f t="shared" si="88"/>
        <v>0.10166666666666666</v>
      </c>
      <c r="AC126" s="317">
        <f t="shared" si="88"/>
        <v>0.10293333333333332</v>
      </c>
      <c r="AD126" s="317">
        <f t="shared" si="88"/>
        <v>0.10419999999999999</v>
      </c>
      <c r="AE126" s="317">
        <f t="shared" si="88"/>
        <v>0.10546666666666665</v>
      </c>
      <c r="AF126" s="317">
        <f t="shared" si="88"/>
        <v>0.10673333333333332</v>
      </c>
      <c r="AG126" s="296">
        <v>0.108</v>
      </c>
      <c r="AI126" s="214"/>
      <c r="AJ126" s="211" t="s">
        <v>1363</v>
      </c>
    </row>
    <row r="127" spans="1:41" outlineLevel="1">
      <c r="A127" s="3" t="s">
        <v>1365</v>
      </c>
      <c r="B127" s="302" t="s">
        <v>462</v>
      </c>
      <c r="C127" s="296">
        <v>0.05</v>
      </c>
      <c r="D127" s="317">
        <f t="shared" si="88"/>
        <v>5.0733333333333339E-2</v>
      </c>
      <c r="E127" s="317">
        <f t="shared" si="88"/>
        <v>5.1466666666666674E-2</v>
      </c>
      <c r="F127" s="317">
        <f t="shared" si="88"/>
        <v>5.220000000000001E-2</v>
      </c>
      <c r="G127" s="317">
        <f t="shared" si="88"/>
        <v>5.2933333333333346E-2</v>
      </c>
      <c r="H127" s="317">
        <f t="shared" si="88"/>
        <v>5.3666666666666682E-2</v>
      </c>
      <c r="I127" s="317">
        <f t="shared" si="88"/>
        <v>5.4400000000000018E-2</v>
      </c>
      <c r="J127" s="317">
        <f t="shared" si="88"/>
        <v>5.5133333333333354E-2</v>
      </c>
      <c r="K127" s="317">
        <f t="shared" si="88"/>
        <v>5.5866666666666689E-2</v>
      </c>
      <c r="L127" s="317">
        <f t="shared" si="88"/>
        <v>5.6600000000000025E-2</v>
      </c>
      <c r="M127" s="317">
        <f t="shared" si="88"/>
        <v>5.7333333333333361E-2</v>
      </c>
      <c r="N127" s="317">
        <f t="shared" si="88"/>
        <v>5.8066666666666697E-2</v>
      </c>
      <c r="O127" s="317">
        <f t="shared" si="88"/>
        <v>5.8800000000000033E-2</v>
      </c>
      <c r="P127" s="317">
        <f t="shared" si="88"/>
        <v>5.9533333333333369E-2</v>
      </c>
      <c r="Q127" s="317">
        <f t="shared" si="88"/>
        <v>6.0266666666666704E-2</v>
      </c>
      <c r="R127" s="317">
        <f t="shared" si="88"/>
        <v>6.100000000000004E-2</v>
      </c>
      <c r="S127" s="317">
        <f t="shared" si="88"/>
        <v>6.1733333333333376E-2</v>
      </c>
      <c r="T127" s="317">
        <f t="shared" si="88"/>
        <v>6.2466666666666712E-2</v>
      </c>
      <c r="U127" s="317">
        <f t="shared" si="88"/>
        <v>6.3200000000000048E-2</v>
      </c>
      <c r="V127" s="317">
        <f t="shared" si="88"/>
        <v>6.3933333333333384E-2</v>
      </c>
      <c r="W127" s="317">
        <f t="shared" si="88"/>
        <v>6.4666666666666719E-2</v>
      </c>
      <c r="X127" s="317">
        <f t="shared" si="88"/>
        <v>6.5400000000000055E-2</v>
      </c>
      <c r="Y127" s="317">
        <f t="shared" si="88"/>
        <v>6.6133333333333391E-2</v>
      </c>
      <c r="Z127" s="317">
        <f t="shared" si="88"/>
        <v>6.6866666666666727E-2</v>
      </c>
      <c r="AA127" s="317">
        <f t="shared" si="88"/>
        <v>6.7600000000000063E-2</v>
      </c>
      <c r="AB127" s="317">
        <f t="shared" si="88"/>
        <v>6.8333333333333399E-2</v>
      </c>
      <c r="AC127" s="317">
        <f t="shared" si="88"/>
        <v>6.9066666666666734E-2</v>
      </c>
      <c r="AD127" s="317">
        <f t="shared" si="88"/>
        <v>6.980000000000007E-2</v>
      </c>
      <c r="AE127" s="317">
        <f t="shared" si="88"/>
        <v>7.0533333333333406E-2</v>
      </c>
      <c r="AF127" s="317">
        <f t="shared" si="88"/>
        <v>7.1266666666666742E-2</v>
      </c>
      <c r="AG127" s="296">
        <v>7.1999999999999995E-2</v>
      </c>
      <c r="AI127" s="214"/>
      <c r="AJ127" s="211" t="s">
        <v>1363</v>
      </c>
    </row>
    <row r="128" spans="1:41" s="58" customFormat="1" outlineLevel="1">
      <c r="A128" s="306" t="s">
        <v>1366</v>
      </c>
      <c r="B128" s="303"/>
      <c r="C128" s="304"/>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c r="Z128" s="304"/>
      <c r="AA128" s="304"/>
      <c r="AB128" s="304"/>
      <c r="AC128" s="304"/>
      <c r="AD128" s="304"/>
      <c r="AE128" s="304"/>
      <c r="AF128" s="304"/>
      <c r="AG128" s="304"/>
      <c r="AI128" s="305"/>
      <c r="AJ128" s="306"/>
    </row>
    <row r="129" spans="1:36" s="58" customFormat="1" outlineLevel="1">
      <c r="A129" s="307" t="s">
        <v>1367</v>
      </c>
      <c r="B129" s="308" t="s">
        <v>462</v>
      </c>
      <c r="C129" s="337">
        <v>0.84</v>
      </c>
      <c r="D129" s="338">
        <f>-($C129-$AG129)/30+C129</f>
        <v>0.84399999999999997</v>
      </c>
      <c r="E129" s="338">
        <f t="shared" ref="E129:AF130" si="89">-($C129-$AG129)/30+D129</f>
        <v>0.84799999999999998</v>
      </c>
      <c r="F129" s="338">
        <f t="shared" si="89"/>
        <v>0.85199999999999998</v>
      </c>
      <c r="G129" s="338">
        <f t="shared" si="89"/>
        <v>0.85599999999999998</v>
      </c>
      <c r="H129" s="338">
        <f t="shared" si="89"/>
        <v>0.86</v>
      </c>
      <c r="I129" s="338">
        <f t="shared" si="89"/>
        <v>0.86399999999999999</v>
      </c>
      <c r="J129" s="338">
        <f t="shared" si="89"/>
        <v>0.86799999999999999</v>
      </c>
      <c r="K129" s="338">
        <f t="shared" si="89"/>
        <v>0.872</v>
      </c>
      <c r="L129" s="338">
        <f t="shared" si="89"/>
        <v>0.876</v>
      </c>
      <c r="M129" s="338">
        <f t="shared" si="89"/>
        <v>0.88</v>
      </c>
      <c r="N129" s="338">
        <f t="shared" si="89"/>
        <v>0.88400000000000001</v>
      </c>
      <c r="O129" s="338">
        <f t="shared" si="89"/>
        <v>0.88800000000000001</v>
      </c>
      <c r="P129" s="338">
        <f t="shared" si="89"/>
        <v>0.89200000000000002</v>
      </c>
      <c r="Q129" s="338">
        <f t="shared" si="89"/>
        <v>0.89600000000000002</v>
      </c>
      <c r="R129" s="338">
        <f t="shared" si="89"/>
        <v>0.9</v>
      </c>
      <c r="S129" s="338">
        <f t="shared" si="89"/>
        <v>0.90400000000000003</v>
      </c>
      <c r="T129" s="338">
        <f t="shared" si="89"/>
        <v>0.90800000000000003</v>
      </c>
      <c r="U129" s="338">
        <f t="shared" si="89"/>
        <v>0.91200000000000003</v>
      </c>
      <c r="V129" s="338">
        <f t="shared" si="89"/>
        <v>0.91600000000000004</v>
      </c>
      <c r="W129" s="338">
        <f t="shared" si="89"/>
        <v>0.92</v>
      </c>
      <c r="X129" s="338">
        <f t="shared" si="89"/>
        <v>0.92400000000000004</v>
      </c>
      <c r="Y129" s="338">
        <f t="shared" si="89"/>
        <v>0.92800000000000005</v>
      </c>
      <c r="Z129" s="338">
        <f t="shared" si="89"/>
        <v>0.93200000000000005</v>
      </c>
      <c r="AA129" s="338">
        <f t="shared" si="89"/>
        <v>0.93600000000000005</v>
      </c>
      <c r="AB129" s="338">
        <f t="shared" si="89"/>
        <v>0.94000000000000006</v>
      </c>
      <c r="AC129" s="338">
        <f t="shared" si="89"/>
        <v>0.94400000000000006</v>
      </c>
      <c r="AD129" s="338">
        <f t="shared" si="89"/>
        <v>0.94800000000000006</v>
      </c>
      <c r="AE129" s="338">
        <f t="shared" si="89"/>
        <v>0.95200000000000007</v>
      </c>
      <c r="AF129" s="338">
        <f t="shared" si="89"/>
        <v>0.95600000000000007</v>
      </c>
      <c r="AG129" s="337">
        <v>0.96</v>
      </c>
      <c r="AI129" s="305"/>
      <c r="AJ129" s="339" t="s">
        <v>1363</v>
      </c>
    </row>
    <row r="130" spans="1:36" s="58" customFormat="1" outlineLevel="1">
      <c r="A130" s="307" t="s">
        <v>1368</v>
      </c>
      <c r="B130" s="308" t="s">
        <v>462</v>
      </c>
      <c r="C130" s="337">
        <v>0.22</v>
      </c>
      <c r="D130" s="338">
        <f>-($C130-$AG130)/30+C130</f>
        <v>0.22666666666666666</v>
      </c>
      <c r="E130" s="338">
        <f t="shared" si="89"/>
        <v>0.23333333333333331</v>
      </c>
      <c r="F130" s="338">
        <f t="shared" si="89"/>
        <v>0.23999999999999996</v>
      </c>
      <c r="G130" s="338">
        <f t="shared" si="89"/>
        <v>0.24666666666666662</v>
      </c>
      <c r="H130" s="338">
        <f t="shared" si="89"/>
        <v>0.2533333333333333</v>
      </c>
      <c r="I130" s="338">
        <f t="shared" si="89"/>
        <v>0.25999999999999995</v>
      </c>
      <c r="J130" s="338">
        <f t="shared" si="89"/>
        <v>0.26666666666666661</v>
      </c>
      <c r="K130" s="338">
        <f t="shared" si="89"/>
        <v>0.27333333333333326</v>
      </c>
      <c r="L130" s="338">
        <f t="shared" si="89"/>
        <v>0.27999999999999992</v>
      </c>
      <c r="M130" s="338">
        <f t="shared" si="89"/>
        <v>0.28666666666666657</v>
      </c>
      <c r="N130" s="338">
        <f t="shared" si="89"/>
        <v>0.29333333333333322</v>
      </c>
      <c r="O130" s="338">
        <f t="shared" si="89"/>
        <v>0.29999999999999988</v>
      </c>
      <c r="P130" s="338">
        <f t="shared" si="89"/>
        <v>0.30666666666666653</v>
      </c>
      <c r="Q130" s="338">
        <f t="shared" si="89"/>
        <v>0.31333333333333319</v>
      </c>
      <c r="R130" s="338">
        <f t="shared" si="89"/>
        <v>0.31999999999999984</v>
      </c>
      <c r="S130" s="338">
        <f t="shared" si="89"/>
        <v>0.32666666666666649</v>
      </c>
      <c r="T130" s="338">
        <f t="shared" si="89"/>
        <v>0.33333333333333315</v>
      </c>
      <c r="U130" s="338">
        <f t="shared" si="89"/>
        <v>0.3399999999999998</v>
      </c>
      <c r="V130" s="338">
        <f t="shared" si="89"/>
        <v>0.34666666666666646</v>
      </c>
      <c r="W130" s="338">
        <f t="shared" si="89"/>
        <v>0.35333333333333311</v>
      </c>
      <c r="X130" s="338">
        <f t="shared" si="89"/>
        <v>0.35999999999999976</v>
      </c>
      <c r="Y130" s="338">
        <f t="shared" si="89"/>
        <v>0.36666666666666642</v>
      </c>
      <c r="Z130" s="338">
        <f t="shared" si="89"/>
        <v>0.37333333333333307</v>
      </c>
      <c r="AA130" s="338">
        <f t="shared" si="89"/>
        <v>0.37999999999999973</v>
      </c>
      <c r="AB130" s="338">
        <f t="shared" si="89"/>
        <v>0.38666666666666638</v>
      </c>
      <c r="AC130" s="338">
        <f t="shared" si="89"/>
        <v>0.39333333333333304</v>
      </c>
      <c r="AD130" s="338">
        <f t="shared" si="89"/>
        <v>0.39999999999999969</v>
      </c>
      <c r="AE130" s="338">
        <f t="shared" si="89"/>
        <v>0.40666666666666634</v>
      </c>
      <c r="AF130" s="338">
        <f t="shared" si="89"/>
        <v>0.413333333333333</v>
      </c>
      <c r="AG130" s="337">
        <v>0.42</v>
      </c>
      <c r="AI130" s="305"/>
      <c r="AJ130" s="339" t="s">
        <v>1363</v>
      </c>
    </row>
    <row r="131" spans="1:36" s="62" customFormat="1" outlineLevel="1">
      <c r="A131" s="311" t="s">
        <v>1369</v>
      </c>
      <c r="B131" s="312" t="s">
        <v>462</v>
      </c>
      <c r="C131" s="340">
        <f>1-C130</f>
        <v>0.78</v>
      </c>
      <c r="D131" s="340">
        <f t="shared" ref="D131:AG131" si="90">1-D130</f>
        <v>0.77333333333333332</v>
      </c>
      <c r="E131" s="340">
        <f t="shared" si="90"/>
        <v>0.76666666666666672</v>
      </c>
      <c r="F131" s="340">
        <f t="shared" si="90"/>
        <v>0.76</v>
      </c>
      <c r="G131" s="340">
        <f t="shared" si="90"/>
        <v>0.75333333333333341</v>
      </c>
      <c r="H131" s="340">
        <f t="shared" si="90"/>
        <v>0.7466666666666667</v>
      </c>
      <c r="I131" s="340">
        <f t="shared" si="90"/>
        <v>0.74</v>
      </c>
      <c r="J131" s="340">
        <f t="shared" si="90"/>
        <v>0.73333333333333339</v>
      </c>
      <c r="K131" s="340">
        <f t="shared" si="90"/>
        <v>0.72666666666666679</v>
      </c>
      <c r="L131" s="340">
        <f t="shared" si="90"/>
        <v>0.72000000000000008</v>
      </c>
      <c r="M131" s="340">
        <f t="shared" si="90"/>
        <v>0.71333333333333337</v>
      </c>
      <c r="N131" s="340">
        <f t="shared" si="90"/>
        <v>0.70666666666666678</v>
      </c>
      <c r="O131" s="340">
        <f t="shared" si="90"/>
        <v>0.70000000000000018</v>
      </c>
      <c r="P131" s="340">
        <f t="shared" si="90"/>
        <v>0.69333333333333347</v>
      </c>
      <c r="Q131" s="340">
        <f t="shared" si="90"/>
        <v>0.68666666666666676</v>
      </c>
      <c r="R131" s="340">
        <f t="shared" si="90"/>
        <v>0.68000000000000016</v>
      </c>
      <c r="S131" s="340">
        <f t="shared" si="90"/>
        <v>0.67333333333333356</v>
      </c>
      <c r="T131" s="340">
        <f t="shared" si="90"/>
        <v>0.66666666666666685</v>
      </c>
      <c r="U131" s="340">
        <f t="shared" si="90"/>
        <v>0.66000000000000014</v>
      </c>
      <c r="V131" s="340">
        <f t="shared" si="90"/>
        <v>0.65333333333333354</v>
      </c>
      <c r="W131" s="340">
        <f t="shared" si="90"/>
        <v>0.64666666666666694</v>
      </c>
      <c r="X131" s="340">
        <f t="shared" si="90"/>
        <v>0.64000000000000024</v>
      </c>
      <c r="Y131" s="340">
        <f t="shared" si="90"/>
        <v>0.63333333333333353</v>
      </c>
      <c r="Z131" s="340">
        <f t="shared" si="90"/>
        <v>0.62666666666666693</v>
      </c>
      <c r="AA131" s="340">
        <f t="shared" si="90"/>
        <v>0.62000000000000033</v>
      </c>
      <c r="AB131" s="340">
        <f t="shared" si="90"/>
        <v>0.61333333333333362</v>
      </c>
      <c r="AC131" s="340">
        <f t="shared" si="90"/>
        <v>0.60666666666666691</v>
      </c>
      <c r="AD131" s="340">
        <f t="shared" si="90"/>
        <v>0.60000000000000031</v>
      </c>
      <c r="AE131" s="340">
        <f t="shared" si="90"/>
        <v>0.59333333333333371</v>
      </c>
      <c r="AF131" s="340">
        <f t="shared" si="90"/>
        <v>0.586666666666667</v>
      </c>
      <c r="AG131" s="340">
        <f t="shared" si="90"/>
        <v>0.58000000000000007</v>
      </c>
      <c r="AI131" s="342"/>
      <c r="AJ131" s="341" t="s">
        <v>1363</v>
      </c>
    </row>
    <row r="132" spans="1:36" s="1" customFormat="1" outlineLevel="1">
      <c r="A132" t="s">
        <v>1370</v>
      </c>
      <c r="B132" s="302" t="s">
        <v>462</v>
      </c>
      <c r="C132" s="296">
        <v>0.95</v>
      </c>
      <c r="D132" s="317">
        <f t="shared" ref="D132:S147" si="91">-($C132-$AG132)/30+C132</f>
        <v>0.94499999999999995</v>
      </c>
      <c r="E132" s="317">
        <f t="shared" si="91"/>
        <v>0.94</v>
      </c>
      <c r="F132" s="317">
        <f t="shared" si="91"/>
        <v>0.93499999999999994</v>
      </c>
      <c r="G132" s="317">
        <f t="shared" si="91"/>
        <v>0.92999999999999994</v>
      </c>
      <c r="H132" s="317">
        <f t="shared" si="91"/>
        <v>0.92499999999999993</v>
      </c>
      <c r="I132" s="317">
        <f t="shared" si="91"/>
        <v>0.91999999999999993</v>
      </c>
      <c r="J132" s="317">
        <f t="shared" si="91"/>
        <v>0.91499999999999992</v>
      </c>
      <c r="K132" s="317">
        <f t="shared" si="91"/>
        <v>0.90999999999999992</v>
      </c>
      <c r="L132" s="317">
        <f t="shared" si="91"/>
        <v>0.90499999999999992</v>
      </c>
      <c r="M132" s="317">
        <f t="shared" si="91"/>
        <v>0.89999999999999991</v>
      </c>
      <c r="N132" s="317">
        <f t="shared" si="91"/>
        <v>0.89499999999999991</v>
      </c>
      <c r="O132" s="317">
        <f t="shared" si="91"/>
        <v>0.8899999999999999</v>
      </c>
      <c r="P132" s="317">
        <f t="shared" si="91"/>
        <v>0.8849999999999999</v>
      </c>
      <c r="Q132" s="317">
        <f t="shared" si="91"/>
        <v>0.87999999999999989</v>
      </c>
      <c r="R132" s="317">
        <f t="shared" si="91"/>
        <v>0.87499999999999989</v>
      </c>
      <c r="S132" s="317">
        <f t="shared" si="91"/>
        <v>0.86999999999999988</v>
      </c>
      <c r="T132" s="317">
        <f t="shared" ref="T132:AF146" si="92">-($C132-$AG132)/30+S132</f>
        <v>0.86499999999999988</v>
      </c>
      <c r="U132" s="317">
        <f t="shared" si="92"/>
        <v>0.85999999999999988</v>
      </c>
      <c r="V132" s="317">
        <f t="shared" si="92"/>
        <v>0.85499999999999987</v>
      </c>
      <c r="W132" s="317">
        <f t="shared" si="92"/>
        <v>0.84999999999999987</v>
      </c>
      <c r="X132" s="317">
        <f t="shared" si="92"/>
        <v>0.84499999999999986</v>
      </c>
      <c r="Y132" s="317">
        <f t="shared" si="92"/>
        <v>0.83999999999999986</v>
      </c>
      <c r="Z132" s="317">
        <f t="shared" si="92"/>
        <v>0.83499999999999985</v>
      </c>
      <c r="AA132" s="317">
        <f t="shared" si="92"/>
        <v>0.82999999999999985</v>
      </c>
      <c r="AB132" s="317">
        <f t="shared" si="92"/>
        <v>0.82499999999999984</v>
      </c>
      <c r="AC132" s="317">
        <f t="shared" si="92"/>
        <v>0.81999999999999984</v>
      </c>
      <c r="AD132" s="317">
        <f t="shared" si="92"/>
        <v>0.81499999999999984</v>
      </c>
      <c r="AE132" s="317">
        <f t="shared" si="92"/>
        <v>0.80999999999999983</v>
      </c>
      <c r="AF132" s="317">
        <f t="shared" si="92"/>
        <v>0.80499999999999983</v>
      </c>
      <c r="AG132" s="296">
        <v>0.8</v>
      </c>
      <c r="AI132" s="316"/>
      <c r="AJ132" s="211" t="s">
        <v>1363</v>
      </c>
    </row>
    <row r="133" spans="1:36" s="1" customFormat="1" outlineLevel="1">
      <c r="A133" t="s">
        <v>1371</v>
      </c>
      <c r="B133" s="302" t="s">
        <v>462</v>
      </c>
      <c r="C133" s="296">
        <v>0.05</v>
      </c>
      <c r="D133" s="317">
        <f t="shared" si="91"/>
        <v>5.5000000000000007E-2</v>
      </c>
      <c r="E133" s="317">
        <f t="shared" si="91"/>
        <v>6.0000000000000012E-2</v>
      </c>
      <c r="F133" s="317">
        <f t="shared" si="91"/>
        <v>6.5000000000000016E-2</v>
      </c>
      <c r="G133" s="317">
        <f t="shared" si="91"/>
        <v>7.0000000000000021E-2</v>
      </c>
      <c r="H133" s="317">
        <f t="shared" si="91"/>
        <v>7.5000000000000025E-2</v>
      </c>
      <c r="I133" s="317">
        <f t="shared" si="91"/>
        <v>8.0000000000000029E-2</v>
      </c>
      <c r="J133" s="317">
        <f t="shared" si="91"/>
        <v>8.5000000000000034E-2</v>
      </c>
      <c r="K133" s="317">
        <f t="shared" si="91"/>
        <v>9.0000000000000038E-2</v>
      </c>
      <c r="L133" s="317">
        <f t="shared" si="91"/>
        <v>9.5000000000000043E-2</v>
      </c>
      <c r="M133" s="317">
        <f t="shared" si="91"/>
        <v>0.10000000000000005</v>
      </c>
      <c r="N133" s="317">
        <f t="shared" si="91"/>
        <v>0.10500000000000005</v>
      </c>
      <c r="O133" s="317">
        <f t="shared" si="91"/>
        <v>0.11000000000000006</v>
      </c>
      <c r="P133" s="317">
        <f t="shared" si="91"/>
        <v>0.11500000000000006</v>
      </c>
      <c r="Q133" s="317">
        <f t="shared" si="91"/>
        <v>0.12000000000000006</v>
      </c>
      <c r="R133" s="317">
        <f t="shared" si="91"/>
        <v>0.12500000000000006</v>
      </c>
      <c r="S133" s="317">
        <f t="shared" si="91"/>
        <v>0.13000000000000006</v>
      </c>
      <c r="T133" s="317">
        <f t="shared" si="92"/>
        <v>0.13500000000000006</v>
      </c>
      <c r="U133" s="317">
        <f t="shared" si="92"/>
        <v>0.14000000000000007</v>
      </c>
      <c r="V133" s="317">
        <f t="shared" si="92"/>
        <v>0.14500000000000007</v>
      </c>
      <c r="W133" s="317">
        <f t="shared" si="92"/>
        <v>0.15000000000000008</v>
      </c>
      <c r="X133" s="317">
        <f t="shared" si="92"/>
        <v>0.15500000000000008</v>
      </c>
      <c r="Y133" s="317">
        <f t="shared" si="92"/>
        <v>0.16000000000000009</v>
      </c>
      <c r="Z133" s="317">
        <f t="shared" si="92"/>
        <v>0.16500000000000009</v>
      </c>
      <c r="AA133" s="317">
        <f t="shared" si="92"/>
        <v>0.1700000000000001</v>
      </c>
      <c r="AB133" s="317">
        <f t="shared" si="92"/>
        <v>0.1750000000000001</v>
      </c>
      <c r="AC133" s="317">
        <f t="shared" si="92"/>
        <v>0.1800000000000001</v>
      </c>
      <c r="AD133" s="317">
        <f t="shared" si="92"/>
        <v>0.18500000000000011</v>
      </c>
      <c r="AE133" s="317">
        <f t="shared" si="92"/>
        <v>0.19000000000000011</v>
      </c>
      <c r="AF133" s="317">
        <f t="shared" si="92"/>
        <v>0.19500000000000012</v>
      </c>
      <c r="AG133" s="296">
        <v>0.2</v>
      </c>
      <c r="AI133" s="435" t="s">
        <v>1506</v>
      </c>
      <c r="AJ133" s="211" t="s">
        <v>1363</v>
      </c>
    </row>
    <row r="134" spans="1:36" s="1" customFormat="1" outlineLevel="1">
      <c r="A134" t="s">
        <v>1372</v>
      </c>
      <c r="B134" s="302" t="s">
        <v>462</v>
      </c>
      <c r="C134" s="296">
        <v>0.15</v>
      </c>
      <c r="D134" s="317">
        <f t="shared" si="91"/>
        <v>0.15633333333333332</v>
      </c>
      <c r="E134" s="317">
        <f t="shared" si="91"/>
        <v>0.16266666666666665</v>
      </c>
      <c r="F134" s="317">
        <f t="shared" si="91"/>
        <v>0.16899999999999998</v>
      </c>
      <c r="G134" s="317">
        <f t="shared" si="91"/>
        <v>0.17533333333333331</v>
      </c>
      <c r="H134" s="317">
        <f t="shared" si="91"/>
        <v>0.18166666666666664</v>
      </c>
      <c r="I134" s="317">
        <f t="shared" si="91"/>
        <v>0.18799999999999997</v>
      </c>
      <c r="J134" s="317">
        <f t="shared" si="91"/>
        <v>0.1943333333333333</v>
      </c>
      <c r="K134" s="317">
        <f t="shared" si="91"/>
        <v>0.20066666666666663</v>
      </c>
      <c r="L134" s="317">
        <f t="shared" si="91"/>
        <v>0.20699999999999996</v>
      </c>
      <c r="M134" s="317">
        <f t="shared" si="91"/>
        <v>0.21333333333333329</v>
      </c>
      <c r="N134" s="317">
        <f t="shared" si="91"/>
        <v>0.21966666666666662</v>
      </c>
      <c r="O134" s="317">
        <f t="shared" si="91"/>
        <v>0.22599999999999995</v>
      </c>
      <c r="P134" s="317">
        <f t="shared" si="91"/>
        <v>0.23233333333333328</v>
      </c>
      <c r="Q134" s="317">
        <f t="shared" si="91"/>
        <v>0.23866666666666661</v>
      </c>
      <c r="R134" s="317">
        <f t="shared" si="91"/>
        <v>0.24499999999999994</v>
      </c>
      <c r="S134" s="317">
        <f t="shared" si="91"/>
        <v>0.2513333333333333</v>
      </c>
      <c r="T134" s="317">
        <f t="shared" si="92"/>
        <v>0.25766666666666665</v>
      </c>
      <c r="U134" s="317">
        <f t="shared" si="92"/>
        <v>0.26400000000000001</v>
      </c>
      <c r="V134" s="317">
        <f t="shared" si="92"/>
        <v>0.27033333333333337</v>
      </c>
      <c r="W134" s="317">
        <f t="shared" si="92"/>
        <v>0.27666666666666673</v>
      </c>
      <c r="X134" s="317">
        <f t="shared" si="92"/>
        <v>0.28300000000000008</v>
      </c>
      <c r="Y134" s="317">
        <f t="shared" si="92"/>
        <v>0.28933333333333344</v>
      </c>
      <c r="Z134" s="317">
        <f t="shared" si="92"/>
        <v>0.2956666666666668</v>
      </c>
      <c r="AA134" s="317">
        <f t="shared" si="92"/>
        <v>0.30200000000000016</v>
      </c>
      <c r="AB134" s="317">
        <f t="shared" si="92"/>
        <v>0.30833333333333351</v>
      </c>
      <c r="AC134" s="317">
        <f t="shared" si="92"/>
        <v>0.31466666666666687</v>
      </c>
      <c r="AD134" s="317">
        <f t="shared" si="92"/>
        <v>0.32100000000000023</v>
      </c>
      <c r="AE134" s="317">
        <f t="shared" si="92"/>
        <v>0.32733333333333359</v>
      </c>
      <c r="AF134" s="317">
        <f t="shared" si="92"/>
        <v>0.33366666666666694</v>
      </c>
      <c r="AG134" s="296">
        <v>0.34</v>
      </c>
      <c r="AI134" s="316"/>
      <c r="AJ134" s="211" t="s">
        <v>1363</v>
      </c>
    </row>
    <row r="135" spans="1:36" s="1" customFormat="1" outlineLevel="1">
      <c r="A135" t="s">
        <v>1373</v>
      </c>
      <c r="B135" s="302" t="s">
        <v>462</v>
      </c>
      <c r="C135" s="296">
        <v>0.85</v>
      </c>
      <c r="D135" s="317">
        <f t="shared" si="91"/>
        <v>0.84366666666666668</v>
      </c>
      <c r="E135" s="317">
        <f t="shared" si="91"/>
        <v>0.83733333333333337</v>
      </c>
      <c r="F135" s="317">
        <f t="shared" si="91"/>
        <v>0.83100000000000007</v>
      </c>
      <c r="G135" s="317">
        <f t="shared" si="91"/>
        <v>0.82466666666666677</v>
      </c>
      <c r="H135" s="317">
        <f t="shared" si="91"/>
        <v>0.81833333333333347</v>
      </c>
      <c r="I135" s="317">
        <f t="shared" si="91"/>
        <v>0.81200000000000017</v>
      </c>
      <c r="J135" s="317">
        <f t="shared" si="91"/>
        <v>0.80566666666666686</v>
      </c>
      <c r="K135" s="317">
        <f t="shared" si="91"/>
        <v>0.79933333333333356</v>
      </c>
      <c r="L135" s="317">
        <f t="shared" si="91"/>
        <v>0.79300000000000026</v>
      </c>
      <c r="M135" s="317">
        <f t="shared" si="91"/>
        <v>0.78666666666666696</v>
      </c>
      <c r="N135" s="317">
        <f t="shared" si="91"/>
        <v>0.78033333333333366</v>
      </c>
      <c r="O135" s="317">
        <f t="shared" si="91"/>
        <v>0.77400000000000035</v>
      </c>
      <c r="P135" s="317">
        <f t="shared" si="91"/>
        <v>0.76766666666666705</v>
      </c>
      <c r="Q135" s="317">
        <f t="shared" si="91"/>
        <v>0.76133333333333375</v>
      </c>
      <c r="R135" s="317">
        <f t="shared" si="91"/>
        <v>0.75500000000000045</v>
      </c>
      <c r="S135" s="317">
        <f t="shared" si="91"/>
        <v>0.74866666666666715</v>
      </c>
      <c r="T135" s="317">
        <f t="shared" si="92"/>
        <v>0.74233333333333384</v>
      </c>
      <c r="U135" s="317">
        <f t="shared" si="92"/>
        <v>0.73600000000000054</v>
      </c>
      <c r="V135" s="317">
        <f t="shared" si="92"/>
        <v>0.72966666666666724</v>
      </c>
      <c r="W135" s="317">
        <f t="shared" si="92"/>
        <v>0.72333333333333394</v>
      </c>
      <c r="X135" s="317">
        <f t="shared" si="92"/>
        <v>0.71700000000000064</v>
      </c>
      <c r="Y135" s="317">
        <f t="shared" si="92"/>
        <v>0.71066666666666733</v>
      </c>
      <c r="Z135" s="317">
        <f t="shared" si="92"/>
        <v>0.70433333333333403</v>
      </c>
      <c r="AA135" s="317">
        <f t="shared" si="92"/>
        <v>0.69800000000000073</v>
      </c>
      <c r="AB135" s="317">
        <f t="shared" si="92"/>
        <v>0.69166666666666743</v>
      </c>
      <c r="AC135" s="317">
        <f t="shared" si="92"/>
        <v>0.68533333333333413</v>
      </c>
      <c r="AD135" s="317">
        <f t="shared" si="92"/>
        <v>0.67900000000000083</v>
      </c>
      <c r="AE135" s="317">
        <f t="shared" si="92"/>
        <v>0.67266666666666752</v>
      </c>
      <c r="AF135" s="317">
        <f t="shared" si="92"/>
        <v>0.66633333333333422</v>
      </c>
      <c r="AG135" s="296">
        <v>0.66</v>
      </c>
      <c r="AI135" s="316"/>
      <c r="AJ135" s="211" t="s">
        <v>1363</v>
      </c>
    </row>
    <row r="136" spans="1:36" s="1" customFormat="1" outlineLevel="1">
      <c r="A136" t="s">
        <v>1374</v>
      </c>
      <c r="B136" s="302" t="s">
        <v>462</v>
      </c>
      <c r="C136" s="296">
        <v>0</v>
      </c>
      <c r="D136" s="317">
        <f t="shared" si="91"/>
        <v>0</v>
      </c>
      <c r="E136" s="317">
        <f t="shared" si="91"/>
        <v>0</v>
      </c>
      <c r="F136" s="317">
        <f t="shared" si="91"/>
        <v>0</v>
      </c>
      <c r="G136" s="317">
        <f t="shared" si="91"/>
        <v>0</v>
      </c>
      <c r="H136" s="317">
        <f t="shared" si="91"/>
        <v>0</v>
      </c>
      <c r="I136" s="317">
        <f t="shared" si="91"/>
        <v>0</v>
      </c>
      <c r="J136" s="317">
        <f t="shared" si="91"/>
        <v>0</v>
      </c>
      <c r="K136" s="317">
        <f t="shared" si="91"/>
        <v>0</v>
      </c>
      <c r="L136" s="317">
        <f t="shared" si="91"/>
        <v>0</v>
      </c>
      <c r="M136" s="317">
        <f t="shared" si="91"/>
        <v>0</v>
      </c>
      <c r="N136" s="317">
        <f t="shared" si="91"/>
        <v>0</v>
      </c>
      <c r="O136" s="317">
        <f t="shared" si="91"/>
        <v>0</v>
      </c>
      <c r="P136" s="317">
        <f t="shared" si="91"/>
        <v>0</v>
      </c>
      <c r="Q136" s="317">
        <f t="shared" si="91"/>
        <v>0</v>
      </c>
      <c r="R136" s="317">
        <f t="shared" si="91"/>
        <v>0</v>
      </c>
      <c r="S136" s="317">
        <f t="shared" si="91"/>
        <v>0</v>
      </c>
      <c r="T136" s="317">
        <f t="shared" si="92"/>
        <v>0</v>
      </c>
      <c r="U136" s="317">
        <f t="shared" si="92"/>
        <v>0</v>
      </c>
      <c r="V136" s="317">
        <f t="shared" si="92"/>
        <v>0</v>
      </c>
      <c r="W136" s="317">
        <f t="shared" si="92"/>
        <v>0</v>
      </c>
      <c r="X136" s="317">
        <f t="shared" si="92"/>
        <v>0</v>
      </c>
      <c r="Y136" s="317">
        <f t="shared" si="92"/>
        <v>0</v>
      </c>
      <c r="Z136" s="317">
        <f t="shared" si="92"/>
        <v>0</v>
      </c>
      <c r="AA136" s="317">
        <f t="shared" si="92"/>
        <v>0</v>
      </c>
      <c r="AB136" s="317">
        <f t="shared" si="92"/>
        <v>0</v>
      </c>
      <c r="AC136" s="317">
        <f t="shared" si="92"/>
        <v>0</v>
      </c>
      <c r="AD136" s="317">
        <f t="shared" si="92"/>
        <v>0</v>
      </c>
      <c r="AE136" s="317">
        <f t="shared" si="92"/>
        <v>0</v>
      </c>
      <c r="AF136" s="317">
        <f t="shared" si="92"/>
        <v>0</v>
      </c>
      <c r="AG136" s="296">
        <v>0</v>
      </c>
      <c r="AI136" s="316"/>
      <c r="AJ136" s="211" t="s">
        <v>1363</v>
      </c>
    </row>
    <row r="137" spans="1:36" s="1" customFormat="1" outlineLevel="1">
      <c r="A137" t="s">
        <v>1375</v>
      </c>
      <c r="B137" s="302" t="s">
        <v>462</v>
      </c>
      <c r="C137" s="296">
        <v>1</v>
      </c>
      <c r="D137" s="317">
        <f t="shared" si="91"/>
        <v>1</v>
      </c>
      <c r="E137" s="317">
        <f t="shared" si="91"/>
        <v>1</v>
      </c>
      <c r="F137" s="317">
        <f t="shared" si="91"/>
        <v>1</v>
      </c>
      <c r="G137" s="317">
        <f t="shared" si="91"/>
        <v>1</v>
      </c>
      <c r="H137" s="317">
        <f t="shared" si="91"/>
        <v>1</v>
      </c>
      <c r="I137" s="317">
        <f t="shared" si="91"/>
        <v>1</v>
      </c>
      <c r="J137" s="317">
        <f t="shared" si="91"/>
        <v>1</v>
      </c>
      <c r="K137" s="317">
        <f t="shared" si="91"/>
        <v>1</v>
      </c>
      <c r="L137" s="317">
        <f t="shared" si="91"/>
        <v>1</v>
      </c>
      <c r="M137" s="317">
        <f t="shared" si="91"/>
        <v>1</v>
      </c>
      <c r="N137" s="317">
        <f t="shared" si="91"/>
        <v>1</v>
      </c>
      <c r="O137" s="317">
        <f t="shared" si="91"/>
        <v>1</v>
      </c>
      <c r="P137" s="317">
        <f t="shared" si="91"/>
        <v>1</v>
      </c>
      <c r="Q137" s="317">
        <f t="shared" si="91"/>
        <v>1</v>
      </c>
      <c r="R137" s="317">
        <f t="shared" si="91"/>
        <v>1</v>
      </c>
      <c r="S137" s="317">
        <f t="shared" si="91"/>
        <v>1</v>
      </c>
      <c r="T137" s="317">
        <f t="shared" si="92"/>
        <v>1</v>
      </c>
      <c r="U137" s="317">
        <f t="shared" si="92"/>
        <v>1</v>
      </c>
      <c r="V137" s="317">
        <f t="shared" si="92"/>
        <v>1</v>
      </c>
      <c r="W137" s="317">
        <f t="shared" si="92"/>
        <v>1</v>
      </c>
      <c r="X137" s="317">
        <f t="shared" si="92"/>
        <v>1</v>
      </c>
      <c r="Y137" s="317">
        <f t="shared" si="92"/>
        <v>1</v>
      </c>
      <c r="Z137" s="317">
        <f t="shared" si="92"/>
        <v>1</v>
      </c>
      <c r="AA137" s="317">
        <f t="shared" si="92"/>
        <v>1</v>
      </c>
      <c r="AB137" s="317">
        <f t="shared" si="92"/>
        <v>1</v>
      </c>
      <c r="AC137" s="317">
        <f t="shared" si="92"/>
        <v>1</v>
      </c>
      <c r="AD137" s="317">
        <f t="shared" si="92"/>
        <v>1</v>
      </c>
      <c r="AE137" s="317">
        <f t="shared" si="92"/>
        <v>1</v>
      </c>
      <c r="AF137" s="317">
        <f t="shared" si="92"/>
        <v>1</v>
      </c>
      <c r="AG137" s="296">
        <v>1</v>
      </c>
      <c r="AI137" s="316"/>
      <c r="AJ137" s="211" t="s">
        <v>1363</v>
      </c>
    </row>
    <row r="138" spans="1:36" s="1" customFormat="1" outlineLevel="1">
      <c r="A138" t="s">
        <v>1376</v>
      </c>
      <c r="B138" s="302" t="s">
        <v>462</v>
      </c>
      <c r="C138" s="296">
        <v>0.8</v>
      </c>
      <c r="D138" s="317">
        <f t="shared" si="91"/>
        <v>0.80333333333333334</v>
      </c>
      <c r="E138" s="317">
        <f t="shared" si="91"/>
        <v>0.80666666666666664</v>
      </c>
      <c r="F138" s="317">
        <f t="shared" si="91"/>
        <v>0.80999999999999994</v>
      </c>
      <c r="G138" s="317">
        <f t="shared" si="91"/>
        <v>0.81333333333333324</v>
      </c>
      <c r="H138" s="317">
        <f t="shared" si="91"/>
        <v>0.81666666666666654</v>
      </c>
      <c r="I138" s="317">
        <f t="shared" si="91"/>
        <v>0.81999999999999984</v>
      </c>
      <c r="J138" s="317">
        <f t="shared" si="91"/>
        <v>0.82333333333333314</v>
      </c>
      <c r="K138" s="317">
        <f t="shared" si="91"/>
        <v>0.82666666666666644</v>
      </c>
      <c r="L138" s="317">
        <f t="shared" si="91"/>
        <v>0.82999999999999974</v>
      </c>
      <c r="M138" s="317">
        <f t="shared" si="91"/>
        <v>0.83333333333333304</v>
      </c>
      <c r="N138" s="317">
        <f t="shared" si="91"/>
        <v>0.83666666666666634</v>
      </c>
      <c r="O138" s="317">
        <f t="shared" si="91"/>
        <v>0.83999999999999964</v>
      </c>
      <c r="P138" s="317">
        <f t="shared" si="91"/>
        <v>0.84333333333333294</v>
      </c>
      <c r="Q138" s="317">
        <f t="shared" si="91"/>
        <v>0.84666666666666623</v>
      </c>
      <c r="R138" s="317">
        <f t="shared" si="91"/>
        <v>0.84999999999999953</v>
      </c>
      <c r="S138" s="317">
        <f t="shared" si="91"/>
        <v>0.85333333333333283</v>
      </c>
      <c r="T138" s="317">
        <f t="shared" si="92"/>
        <v>0.85666666666666613</v>
      </c>
      <c r="U138" s="317">
        <f t="shared" si="92"/>
        <v>0.85999999999999943</v>
      </c>
      <c r="V138" s="317">
        <f t="shared" si="92"/>
        <v>0.86333333333333273</v>
      </c>
      <c r="W138" s="317">
        <f t="shared" si="92"/>
        <v>0.86666666666666603</v>
      </c>
      <c r="X138" s="317">
        <f t="shared" si="92"/>
        <v>0.86999999999999933</v>
      </c>
      <c r="Y138" s="317">
        <f t="shared" si="92"/>
        <v>0.87333333333333263</v>
      </c>
      <c r="Z138" s="317">
        <f t="shared" si="92"/>
        <v>0.87666666666666593</v>
      </c>
      <c r="AA138" s="317">
        <f t="shared" si="92"/>
        <v>0.87999999999999923</v>
      </c>
      <c r="AB138" s="317">
        <f t="shared" si="92"/>
        <v>0.88333333333333253</v>
      </c>
      <c r="AC138" s="317">
        <f t="shared" si="92"/>
        <v>0.88666666666666583</v>
      </c>
      <c r="AD138" s="317">
        <f t="shared" si="92"/>
        <v>0.88999999999999913</v>
      </c>
      <c r="AE138" s="317">
        <f t="shared" si="92"/>
        <v>0.89333333333333242</v>
      </c>
      <c r="AF138" s="317">
        <f t="shared" si="92"/>
        <v>0.89666666666666572</v>
      </c>
      <c r="AG138" s="296">
        <v>0.9</v>
      </c>
      <c r="AI138" s="316"/>
      <c r="AJ138" s="211" t="s">
        <v>1363</v>
      </c>
    </row>
    <row r="139" spans="1:36" s="1" customFormat="1" outlineLevel="1">
      <c r="A139" t="s">
        <v>1377</v>
      </c>
      <c r="B139" s="302" t="s">
        <v>462</v>
      </c>
      <c r="C139" s="296">
        <v>0.2</v>
      </c>
      <c r="D139" s="317">
        <f t="shared" si="91"/>
        <v>0.19666666666666668</v>
      </c>
      <c r="E139" s="317">
        <f t="shared" si="91"/>
        <v>0.19333333333333336</v>
      </c>
      <c r="F139" s="317">
        <f t="shared" si="91"/>
        <v>0.19000000000000003</v>
      </c>
      <c r="G139" s="317">
        <f t="shared" si="91"/>
        <v>0.1866666666666667</v>
      </c>
      <c r="H139" s="317">
        <f t="shared" si="91"/>
        <v>0.18333333333333338</v>
      </c>
      <c r="I139" s="317">
        <f t="shared" si="91"/>
        <v>0.18000000000000005</v>
      </c>
      <c r="J139" s="317">
        <f t="shared" si="91"/>
        <v>0.17666666666666672</v>
      </c>
      <c r="K139" s="317">
        <f t="shared" si="91"/>
        <v>0.17333333333333339</v>
      </c>
      <c r="L139" s="317">
        <f t="shared" si="91"/>
        <v>0.17000000000000007</v>
      </c>
      <c r="M139" s="317">
        <f t="shared" si="91"/>
        <v>0.16666666666666674</v>
      </c>
      <c r="N139" s="317">
        <f t="shared" si="91"/>
        <v>0.16333333333333341</v>
      </c>
      <c r="O139" s="317">
        <f t="shared" si="91"/>
        <v>0.16000000000000009</v>
      </c>
      <c r="P139" s="317">
        <f t="shared" si="91"/>
        <v>0.15666666666666676</v>
      </c>
      <c r="Q139" s="317">
        <f t="shared" si="91"/>
        <v>0.15333333333333343</v>
      </c>
      <c r="R139" s="317">
        <f t="shared" si="91"/>
        <v>0.15000000000000011</v>
      </c>
      <c r="S139" s="317">
        <f t="shared" si="91"/>
        <v>0.14666666666666678</v>
      </c>
      <c r="T139" s="317">
        <f t="shared" si="92"/>
        <v>0.14333333333333345</v>
      </c>
      <c r="U139" s="317">
        <f t="shared" si="92"/>
        <v>0.14000000000000012</v>
      </c>
      <c r="V139" s="317">
        <f t="shared" si="92"/>
        <v>0.1366666666666668</v>
      </c>
      <c r="W139" s="317">
        <f t="shared" si="92"/>
        <v>0.13333333333333347</v>
      </c>
      <c r="X139" s="317">
        <f t="shared" si="92"/>
        <v>0.13000000000000014</v>
      </c>
      <c r="Y139" s="317">
        <f t="shared" si="92"/>
        <v>0.12666666666666682</v>
      </c>
      <c r="Z139" s="317">
        <f t="shared" si="92"/>
        <v>0.12333333333333349</v>
      </c>
      <c r="AA139" s="317">
        <f t="shared" si="92"/>
        <v>0.12000000000000016</v>
      </c>
      <c r="AB139" s="317">
        <f t="shared" si="92"/>
        <v>0.11666666666666684</v>
      </c>
      <c r="AC139" s="317">
        <f t="shared" si="92"/>
        <v>0.11333333333333351</v>
      </c>
      <c r="AD139" s="317">
        <f t="shared" si="92"/>
        <v>0.11000000000000018</v>
      </c>
      <c r="AE139" s="317">
        <f t="shared" si="92"/>
        <v>0.10666666666666685</v>
      </c>
      <c r="AF139" s="317">
        <f t="shared" si="92"/>
        <v>0.10333333333333353</v>
      </c>
      <c r="AG139" s="296">
        <v>0.1</v>
      </c>
      <c r="AI139" s="316"/>
      <c r="AJ139" s="211" t="s">
        <v>1363</v>
      </c>
    </row>
    <row r="140" spans="1:36" s="1" customFormat="1" outlineLevel="1">
      <c r="A140" t="s">
        <v>1378</v>
      </c>
      <c r="B140" s="302" t="s">
        <v>462</v>
      </c>
      <c r="C140" s="296">
        <v>0.95</v>
      </c>
      <c r="D140" s="317">
        <f t="shared" si="91"/>
        <v>0.94866666666666666</v>
      </c>
      <c r="E140" s="317">
        <f t="shared" si="91"/>
        <v>0.94733333333333336</v>
      </c>
      <c r="F140" s="317">
        <f t="shared" si="91"/>
        <v>0.94600000000000006</v>
      </c>
      <c r="G140" s="317">
        <f t="shared" si="91"/>
        <v>0.94466666666666677</v>
      </c>
      <c r="H140" s="317">
        <f t="shared" si="91"/>
        <v>0.94333333333333347</v>
      </c>
      <c r="I140" s="317">
        <f t="shared" si="91"/>
        <v>0.94200000000000017</v>
      </c>
      <c r="J140" s="317">
        <f t="shared" si="91"/>
        <v>0.94066666666666687</v>
      </c>
      <c r="K140" s="317">
        <f t="shared" si="91"/>
        <v>0.93933333333333358</v>
      </c>
      <c r="L140" s="317">
        <f t="shared" si="91"/>
        <v>0.93800000000000028</v>
      </c>
      <c r="M140" s="317">
        <f t="shared" si="91"/>
        <v>0.93666666666666698</v>
      </c>
      <c r="N140" s="317">
        <f t="shared" si="91"/>
        <v>0.93533333333333368</v>
      </c>
      <c r="O140" s="317">
        <f t="shared" si="91"/>
        <v>0.93400000000000039</v>
      </c>
      <c r="P140" s="317">
        <f t="shared" si="91"/>
        <v>0.93266666666666709</v>
      </c>
      <c r="Q140" s="317">
        <f t="shared" si="91"/>
        <v>0.93133333333333379</v>
      </c>
      <c r="R140" s="317">
        <f t="shared" si="91"/>
        <v>0.93000000000000049</v>
      </c>
      <c r="S140" s="317">
        <f t="shared" si="91"/>
        <v>0.9286666666666672</v>
      </c>
      <c r="T140" s="317">
        <f t="shared" si="92"/>
        <v>0.9273333333333339</v>
      </c>
      <c r="U140" s="317">
        <f t="shared" si="92"/>
        <v>0.9260000000000006</v>
      </c>
      <c r="V140" s="317">
        <f t="shared" si="92"/>
        <v>0.9246666666666673</v>
      </c>
      <c r="W140" s="317">
        <f t="shared" si="92"/>
        <v>0.92333333333333401</v>
      </c>
      <c r="X140" s="317">
        <f t="shared" si="92"/>
        <v>0.92200000000000071</v>
      </c>
      <c r="Y140" s="317">
        <f t="shared" si="92"/>
        <v>0.92066666666666741</v>
      </c>
      <c r="Z140" s="317">
        <f t="shared" si="92"/>
        <v>0.91933333333333411</v>
      </c>
      <c r="AA140" s="317">
        <f t="shared" si="92"/>
        <v>0.91800000000000082</v>
      </c>
      <c r="AB140" s="317">
        <f t="shared" si="92"/>
        <v>0.91666666666666752</v>
      </c>
      <c r="AC140" s="317">
        <f t="shared" si="92"/>
        <v>0.91533333333333422</v>
      </c>
      <c r="AD140" s="317">
        <f t="shared" si="92"/>
        <v>0.91400000000000092</v>
      </c>
      <c r="AE140" s="317">
        <f t="shared" si="92"/>
        <v>0.91266666666666763</v>
      </c>
      <c r="AF140" s="317">
        <f t="shared" si="92"/>
        <v>0.91133333333333433</v>
      </c>
      <c r="AG140" s="296">
        <v>0.91</v>
      </c>
      <c r="AI140" s="316"/>
      <c r="AJ140" s="211" t="s">
        <v>1363</v>
      </c>
    </row>
    <row r="141" spans="1:36" s="1" customFormat="1" outlineLevel="1">
      <c r="A141" t="s">
        <v>1379</v>
      </c>
      <c r="B141" s="302" t="s">
        <v>462</v>
      </c>
      <c r="C141" s="296">
        <v>0.05</v>
      </c>
      <c r="D141" s="317">
        <f t="shared" si="91"/>
        <v>5.1333333333333335E-2</v>
      </c>
      <c r="E141" s="317">
        <f t="shared" si="91"/>
        <v>5.2666666666666667E-2</v>
      </c>
      <c r="F141" s="317">
        <f t="shared" si="91"/>
        <v>5.3999999999999999E-2</v>
      </c>
      <c r="G141" s="317">
        <f t="shared" si="91"/>
        <v>5.5333333333333332E-2</v>
      </c>
      <c r="H141" s="317">
        <f t="shared" si="91"/>
        <v>5.6666666666666664E-2</v>
      </c>
      <c r="I141" s="317">
        <f t="shared" si="91"/>
        <v>5.7999999999999996E-2</v>
      </c>
      <c r="J141" s="317">
        <f t="shared" si="91"/>
        <v>5.9333333333333328E-2</v>
      </c>
      <c r="K141" s="317">
        <f t="shared" si="91"/>
        <v>6.066666666666666E-2</v>
      </c>
      <c r="L141" s="317">
        <f t="shared" si="91"/>
        <v>6.1999999999999993E-2</v>
      </c>
      <c r="M141" s="317">
        <f t="shared" si="91"/>
        <v>6.3333333333333325E-2</v>
      </c>
      <c r="N141" s="317">
        <f t="shared" si="91"/>
        <v>6.4666666666666664E-2</v>
      </c>
      <c r="O141" s="317">
        <f t="shared" si="91"/>
        <v>6.6000000000000003E-2</v>
      </c>
      <c r="P141" s="317">
        <f t="shared" si="91"/>
        <v>6.7333333333333342E-2</v>
      </c>
      <c r="Q141" s="317">
        <f t="shared" si="91"/>
        <v>6.8666666666666681E-2</v>
      </c>
      <c r="R141" s="317">
        <f t="shared" si="91"/>
        <v>7.0000000000000021E-2</v>
      </c>
      <c r="S141" s="317">
        <f t="shared" si="91"/>
        <v>7.133333333333336E-2</v>
      </c>
      <c r="T141" s="317">
        <f t="shared" si="92"/>
        <v>7.2666666666666699E-2</v>
      </c>
      <c r="U141" s="317">
        <f t="shared" si="92"/>
        <v>7.4000000000000038E-2</v>
      </c>
      <c r="V141" s="317">
        <f t="shared" si="92"/>
        <v>7.5333333333333377E-2</v>
      </c>
      <c r="W141" s="317">
        <f t="shared" si="92"/>
        <v>7.6666666666666716E-2</v>
      </c>
      <c r="X141" s="317">
        <f t="shared" si="92"/>
        <v>7.8000000000000055E-2</v>
      </c>
      <c r="Y141" s="317">
        <f t="shared" si="92"/>
        <v>7.9333333333333395E-2</v>
      </c>
      <c r="Z141" s="317">
        <f t="shared" si="92"/>
        <v>8.0666666666666734E-2</v>
      </c>
      <c r="AA141" s="317">
        <f t="shared" si="92"/>
        <v>8.2000000000000073E-2</v>
      </c>
      <c r="AB141" s="317">
        <f t="shared" si="92"/>
        <v>8.3333333333333412E-2</v>
      </c>
      <c r="AC141" s="317">
        <f t="shared" si="92"/>
        <v>8.4666666666666751E-2</v>
      </c>
      <c r="AD141" s="317">
        <f t="shared" si="92"/>
        <v>8.600000000000009E-2</v>
      </c>
      <c r="AE141" s="317">
        <f t="shared" si="92"/>
        <v>8.7333333333333429E-2</v>
      </c>
      <c r="AF141" s="317">
        <f t="shared" si="92"/>
        <v>8.8666666666666769E-2</v>
      </c>
      <c r="AG141" s="296">
        <v>0.09</v>
      </c>
      <c r="AI141" s="316"/>
      <c r="AJ141" s="211" t="s">
        <v>1363</v>
      </c>
    </row>
    <row r="142" spans="1:36" s="1" customFormat="1" outlineLevel="1">
      <c r="A142" t="s">
        <v>1380</v>
      </c>
      <c r="B142" s="302"/>
      <c r="C142" s="296">
        <v>0.27</v>
      </c>
      <c r="D142" s="317">
        <f t="shared" si="91"/>
        <v>0.26600000000000001</v>
      </c>
      <c r="E142" s="317">
        <f t="shared" si="91"/>
        <v>0.26200000000000001</v>
      </c>
      <c r="F142" s="317">
        <f t="shared" si="91"/>
        <v>0.25800000000000001</v>
      </c>
      <c r="G142" s="317">
        <f t="shared" si="91"/>
        <v>0.254</v>
      </c>
      <c r="H142" s="317">
        <f t="shared" si="91"/>
        <v>0.25</v>
      </c>
      <c r="I142" s="317">
        <f t="shared" si="91"/>
        <v>0.246</v>
      </c>
      <c r="J142" s="317">
        <f t="shared" si="91"/>
        <v>0.24199999999999999</v>
      </c>
      <c r="K142" s="317">
        <f t="shared" si="91"/>
        <v>0.23799999999999999</v>
      </c>
      <c r="L142" s="317">
        <f t="shared" si="91"/>
        <v>0.23399999999999999</v>
      </c>
      <c r="M142" s="317">
        <f t="shared" si="91"/>
        <v>0.22999999999999998</v>
      </c>
      <c r="N142" s="317">
        <f t="shared" si="91"/>
        <v>0.22599999999999998</v>
      </c>
      <c r="O142" s="317">
        <f t="shared" si="91"/>
        <v>0.22199999999999998</v>
      </c>
      <c r="P142" s="317">
        <f t="shared" si="91"/>
        <v>0.21799999999999997</v>
      </c>
      <c r="Q142" s="317">
        <f t="shared" si="91"/>
        <v>0.21399999999999997</v>
      </c>
      <c r="R142" s="317">
        <f t="shared" si="91"/>
        <v>0.20999999999999996</v>
      </c>
      <c r="S142" s="317">
        <f t="shared" si="91"/>
        <v>0.20599999999999996</v>
      </c>
      <c r="T142" s="317">
        <f t="shared" si="92"/>
        <v>0.20199999999999996</v>
      </c>
      <c r="U142" s="317">
        <f t="shared" si="92"/>
        <v>0.19799999999999995</v>
      </c>
      <c r="V142" s="317">
        <f t="shared" si="92"/>
        <v>0.19399999999999995</v>
      </c>
      <c r="W142" s="317">
        <f t="shared" si="92"/>
        <v>0.18999999999999995</v>
      </c>
      <c r="X142" s="317">
        <f t="shared" si="92"/>
        <v>0.18599999999999994</v>
      </c>
      <c r="Y142" s="317">
        <f t="shared" si="92"/>
        <v>0.18199999999999994</v>
      </c>
      <c r="Z142" s="317">
        <f t="shared" si="92"/>
        <v>0.17799999999999994</v>
      </c>
      <c r="AA142" s="317">
        <f t="shared" si="92"/>
        <v>0.17399999999999993</v>
      </c>
      <c r="AB142" s="317">
        <f t="shared" si="92"/>
        <v>0.16999999999999993</v>
      </c>
      <c r="AC142" s="317">
        <f t="shared" si="92"/>
        <v>0.16599999999999993</v>
      </c>
      <c r="AD142" s="317">
        <f t="shared" si="92"/>
        <v>0.16199999999999992</v>
      </c>
      <c r="AE142" s="317">
        <f t="shared" si="92"/>
        <v>0.15799999999999992</v>
      </c>
      <c r="AF142" s="317">
        <f t="shared" si="92"/>
        <v>0.15399999999999991</v>
      </c>
      <c r="AG142" s="296">
        <v>0.15</v>
      </c>
      <c r="AI142" s="316"/>
      <c r="AJ142" s="211"/>
    </row>
    <row r="143" spans="1:36" s="67" customFormat="1" outlineLevel="1">
      <c r="A143" s="345" t="s">
        <v>1381</v>
      </c>
      <c r="B143" s="308" t="s">
        <v>462</v>
      </c>
      <c r="C143" s="337">
        <v>0.16</v>
      </c>
      <c r="D143" s="338">
        <f t="shared" si="91"/>
        <v>0.16533333333333333</v>
      </c>
      <c r="E143" s="338">
        <f t="shared" si="91"/>
        <v>0.17066666666666666</v>
      </c>
      <c r="F143" s="338">
        <f t="shared" si="91"/>
        <v>0.17599999999999999</v>
      </c>
      <c r="G143" s="338">
        <f t="shared" si="91"/>
        <v>0.18133333333333332</v>
      </c>
      <c r="H143" s="338">
        <f t="shared" si="91"/>
        <v>0.18666666666666665</v>
      </c>
      <c r="I143" s="338">
        <f t="shared" si="91"/>
        <v>0.19199999999999998</v>
      </c>
      <c r="J143" s="338">
        <f t="shared" si="91"/>
        <v>0.19733333333333331</v>
      </c>
      <c r="K143" s="338">
        <f t="shared" si="91"/>
        <v>0.20266666666666663</v>
      </c>
      <c r="L143" s="338">
        <f t="shared" si="91"/>
        <v>0.20799999999999996</v>
      </c>
      <c r="M143" s="338">
        <f t="shared" si="91"/>
        <v>0.21333333333333329</v>
      </c>
      <c r="N143" s="338">
        <f t="shared" si="91"/>
        <v>0.21866666666666662</v>
      </c>
      <c r="O143" s="338">
        <f t="shared" si="91"/>
        <v>0.22399999999999995</v>
      </c>
      <c r="P143" s="338">
        <f t="shared" si="91"/>
        <v>0.22933333333333328</v>
      </c>
      <c r="Q143" s="338">
        <f t="shared" si="91"/>
        <v>0.23466666666666661</v>
      </c>
      <c r="R143" s="338">
        <f t="shared" si="91"/>
        <v>0.23999999999999994</v>
      </c>
      <c r="S143" s="338">
        <f t="shared" si="91"/>
        <v>0.24533333333333326</v>
      </c>
      <c r="T143" s="338">
        <f t="shared" si="92"/>
        <v>0.25066666666666659</v>
      </c>
      <c r="U143" s="338">
        <f t="shared" si="92"/>
        <v>0.25599999999999995</v>
      </c>
      <c r="V143" s="338">
        <f t="shared" si="92"/>
        <v>0.26133333333333331</v>
      </c>
      <c r="W143" s="338">
        <f t="shared" si="92"/>
        <v>0.26666666666666666</v>
      </c>
      <c r="X143" s="338">
        <f t="shared" si="92"/>
        <v>0.27200000000000002</v>
      </c>
      <c r="Y143" s="338">
        <f t="shared" si="92"/>
        <v>0.27733333333333338</v>
      </c>
      <c r="Z143" s="338">
        <f t="shared" si="92"/>
        <v>0.28266666666666673</v>
      </c>
      <c r="AA143" s="338">
        <f t="shared" si="92"/>
        <v>0.28800000000000009</v>
      </c>
      <c r="AB143" s="338">
        <f t="shared" si="92"/>
        <v>0.29333333333333345</v>
      </c>
      <c r="AC143" s="338">
        <f t="shared" si="92"/>
        <v>0.2986666666666668</v>
      </c>
      <c r="AD143" s="338">
        <f t="shared" si="92"/>
        <v>0.30400000000000016</v>
      </c>
      <c r="AE143" s="338">
        <f t="shared" si="92"/>
        <v>0.30933333333333352</v>
      </c>
      <c r="AF143" s="338">
        <f t="shared" si="92"/>
        <v>0.31466666666666687</v>
      </c>
      <c r="AG143" s="337">
        <v>0.32</v>
      </c>
      <c r="AI143" s="337"/>
      <c r="AJ143" s="339" t="s">
        <v>1363</v>
      </c>
    </row>
    <row r="144" spans="1:36" outlineLevel="1">
      <c r="A144" s="346" t="s">
        <v>1382</v>
      </c>
      <c r="B144" s="302" t="s">
        <v>462</v>
      </c>
      <c r="C144" s="296">
        <v>0.37</v>
      </c>
      <c r="D144" s="317">
        <f t="shared" si="91"/>
        <v>0.37166666666666665</v>
      </c>
      <c r="E144" s="317">
        <f t="shared" si="91"/>
        <v>0.37333333333333329</v>
      </c>
      <c r="F144" s="317">
        <f t="shared" si="91"/>
        <v>0.37499999999999994</v>
      </c>
      <c r="G144" s="317">
        <f t="shared" si="91"/>
        <v>0.37666666666666659</v>
      </c>
      <c r="H144" s="317">
        <f t="shared" si="91"/>
        <v>0.37833333333333324</v>
      </c>
      <c r="I144" s="317">
        <f t="shared" si="91"/>
        <v>0.37999999999999989</v>
      </c>
      <c r="J144" s="317">
        <f t="shared" si="91"/>
        <v>0.38166666666666654</v>
      </c>
      <c r="K144" s="317">
        <f t="shared" si="91"/>
        <v>0.38333333333333319</v>
      </c>
      <c r="L144" s="317">
        <f t="shared" si="91"/>
        <v>0.38499999999999984</v>
      </c>
      <c r="M144" s="317">
        <f t="shared" si="91"/>
        <v>0.38666666666666649</v>
      </c>
      <c r="N144" s="317">
        <f t="shared" si="91"/>
        <v>0.38833333333333314</v>
      </c>
      <c r="O144" s="317">
        <f t="shared" si="91"/>
        <v>0.38999999999999979</v>
      </c>
      <c r="P144" s="317">
        <f t="shared" si="91"/>
        <v>0.39166666666666644</v>
      </c>
      <c r="Q144" s="317">
        <f t="shared" si="91"/>
        <v>0.39333333333333309</v>
      </c>
      <c r="R144" s="317">
        <f t="shared" si="91"/>
        <v>0.39499999999999974</v>
      </c>
      <c r="S144" s="317">
        <f t="shared" si="91"/>
        <v>0.39666666666666639</v>
      </c>
      <c r="T144" s="317">
        <f t="shared" si="92"/>
        <v>0.39833333333333304</v>
      </c>
      <c r="U144" s="317">
        <f t="shared" si="92"/>
        <v>0.39999999999999969</v>
      </c>
      <c r="V144" s="317">
        <f t="shared" si="92"/>
        <v>0.40166666666666634</v>
      </c>
      <c r="W144" s="317">
        <f t="shared" si="92"/>
        <v>0.40333333333333299</v>
      </c>
      <c r="X144" s="317">
        <f t="shared" si="92"/>
        <v>0.40499999999999964</v>
      </c>
      <c r="Y144" s="317">
        <f t="shared" si="92"/>
        <v>0.40666666666666629</v>
      </c>
      <c r="Z144" s="317">
        <f t="shared" si="92"/>
        <v>0.40833333333333294</v>
      </c>
      <c r="AA144" s="317">
        <f t="shared" si="92"/>
        <v>0.40999999999999959</v>
      </c>
      <c r="AB144" s="317">
        <f t="shared" si="92"/>
        <v>0.41166666666666624</v>
      </c>
      <c r="AC144" s="317">
        <f t="shared" si="92"/>
        <v>0.41333333333333289</v>
      </c>
      <c r="AD144" s="317">
        <f t="shared" si="92"/>
        <v>0.41499999999999954</v>
      </c>
      <c r="AE144" s="317">
        <f t="shared" si="92"/>
        <v>0.41666666666666619</v>
      </c>
      <c r="AF144" s="317">
        <f t="shared" si="92"/>
        <v>0.41833333333333284</v>
      </c>
      <c r="AG144" s="296">
        <v>0.42</v>
      </c>
      <c r="AI144" s="296"/>
      <c r="AJ144" s="211" t="s">
        <v>1363</v>
      </c>
    </row>
    <row r="145" spans="1:36" outlineLevel="1">
      <c r="A145" s="346" t="s">
        <v>1383</v>
      </c>
      <c r="B145" s="302" t="s">
        <v>462</v>
      </c>
      <c r="C145" s="296">
        <v>0.08</v>
      </c>
      <c r="D145" s="317">
        <f t="shared" si="91"/>
        <v>7.7666666666666662E-2</v>
      </c>
      <c r="E145" s="317">
        <f t="shared" si="91"/>
        <v>7.5333333333333322E-2</v>
      </c>
      <c r="F145" s="317">
        <f t="shared" si="91"/>
        <v>7.2999999999999982E-2</v>
      </c>
      <c r="G145" s="317">
        <f t="shared" si="91"/>
        <v>7.0666666666666642E-2</v>
      </c>
      <c r="H145" s="317">
        <f t="shared" si="91"/>
        <v>6.8333333333333302E-2</v>
      </c>
      <c r="I145" s="317">
        <f t="shared" si="91"/>
        <v>6.5999999999999961E-2</v>
      </c>
      <c r="J145" s="317">
        <f t="shared" si="91"/>
        <v>6.3666666666666621E-2</v>
      </c>
      <c r="K145" s="317">
        <f t="shared" si="91"/>
        <v>6.1333333333333288E-2</v>
      </c>
      <c r="L145" s="317">
        <f t="shared" si="91"/>
        <v>5.8999999999999955E-2</v>
      </c>
      <c r="M145" s="317">
        <f t="shared" si="91"/>
        <v>5.6666666666666622E-2</v>
      </c>
      <c r="N145" s="317">
        <f t="shared" si="91"/>
        <v>5.4333333333333289E-2</v>
      </c>
      <c r="O145" s="317">
        <f t="shared" si="91"/>
        <v>5.1999999999999956E-2</v>
      </c>
      <c r="P145" s="317">
        <f t="shared" si="91"/>
        <v>4.9666666666666623E-2</v>
      </c>
      <c r="Q145" s="317">
        <f t="shared" si="91"/>
        <v>4.733333333333329E-2</v>
      </c>
      <c r="R145" s="317">
        <f t="shared" si="91"/>
        <v>4.4999999999999957E-2</v>
      </c>
      <c r="S145" s="317">
        <f t="shared" si="91"/>
        <v>4.2666666666666624E-2</v>
      </c>
      <c r="T145" s="317">
        <f t="shared" si="92"/>
        <v>4.0333333333333291E-2</v>
      </c>
      <c r="U145" s="317">
        <f t="shared" si="92"/>
        <v>3.7999999999999957E-2</v>
      </c>
      <c r="V145" s="317">
        <f t="shared" si="92"/>
        <v>3.5666666666666624E-2</v>
      </c>
      <c r="W145" s="317">
        <f t="shared" si="92"/>
        <v>3.3333333333333291E-2</v>
      </c>
      <c r="X145" s="317">
        <f t="shared" si="92"/>
        <v>3.0999999999999958E-2</v>
      </c>
      <c r="Y145" s="317">
        <f t="shared" si="92"/>
        <v>2.8666666666666625E-2</v>
      </c>
      <c r="Z145" s="317">
        <f t="shared" si="92"/>
        <v>2.6333333333333292E-2</v>
      </c>
      <c r="AA145" s="317">
        <f t="shared" si="92"/>
        <v>2.3999999999999959E-2</v>
      </c>
      <c r="AB145" s="317">
        <f t="shared" si="92"/>
        <v>2.1666666666666626E-2</v>
      </c>
      <c r="AC145" s="317">
        <f t="shared" si="92"/>
        <v>1.9333333333333293E-2</v>
      </c>
      <c r="AD145" s="317">
        <f t="shared" si="92"/>
        <v>1.699999999999996E-2</v>
      </c>
      <c r="AE145" s="317">
        <f t="shared" si="92"/>
        <v>1.4666666666666626E-2</v>
      </c>
      <c r="AF145" s="317">
        <f t="shared" si="92"/>
        <v>1.2333333333333293E-2</v>
      </c>
      <c r="AG145" s="296">
        <v>0.01</v>
      </c>
      <c r="AI145" s="296"/>
      <c r="AJ145" s="211" t="s">
        <v>1363</v>
      </c>
    </row>
    <row r="146" spans="1:36" outlineLevel="1">
      <c r="A146" s="346" t="s">
        <v>1384</v>
      </c>
      <c r="B146" s="302" t="s">
        <v>462</v>
      </c>
      <c r="C146" s="296">
        <v>0.27</v>
      </c>
      <c r="D146" s="317">
        <f t="shared" si="91"/>
        <v>0.26633333333333337</v>
      </c>
      <c r="E146" s="317">
        <f t="shared" si="91"/>
        <v>0.26266666666666671</v>
      </c>
      <c r="F146" s="317">
        <f t="shared" si="91"/>
        <v>0.25900000000000006</v>
      </c>
      <c r="G146" s="317">
        <f t="shared" si="91"/>
        <v>0.25533333333333341</v>
      </c>
      <c r="H146" s="317">
        <f t="shared" si="91"/>
        <v>0.25166666666666676</v>
      </c>
      <c r="I146" s="317">
        <f t="shared" si="91"/>
        <v>0.24800000000000008</v>
      </c>
      <c r="J146" s="317">
        <f t="shared" si="91"/>
        <v>0.2443333333333334</v>
      </c>
      <c r="K146" s="317">
        <f t="shared" si="91"/>
        <v>0.24066666666666672</v>
      </c>
      <c r="L146" s="317">
        <f t="shared" si="91"/>
        <v>0.23700000000000004</v>
      </c>
      <c r="M146" s="317">
        <f t="shared" si="91"/>
        <v>0.23333333333333336</v>
      </c>
      <c r="N146" s="317">
        <f t="shared" si="91"/>
        <v>0.22966666666666669</v>
      </c>
      <c r="O146" s="317">
        <f t="shared" si="91"/>
        <v>0.22600000000000001</v>
      </c>
      <c r="P146" s="317">
        <f t="shared" si="91"/>
        <v>0.22233333333333333</v>
      </c>
      <c r="Q146" s="317">
        <f t="shared" si="91"/>
        <v>0.21866666666666665</v>
      </c>
      <c r="R146" s="317">
        <f t="shared" si="91"/>
        <v>0.21499999999999997</v>
      </c>
      <c r="S146" s="317">
        <f t="shared" si="91"/>
        <v>0.21133333333333329</v>
      </c>
      <c r="T146" s="317">
        <f t="shared" si="92"/>
        <v>0.20766666666666661</v>
      </c>
      <c r="U146" s="317">
        <f t="shared" si="92"/>
        <v>0.20399999999999993</v>
      </c>
      <c r="V146" s="317">
        <f t="shared" si="92"/>
        <v>0.20033333333333325</v>
      </c>
      <c r="W146" s="317">
        <f t="shared" si="92"/>
        <v>0.19666666666666657</v>
      </c>
      <c r="X146" s="317">
        <f t="shared" si="92"/>
        <v>0.19299999999999989</v>
      </c>
      <c r="Y146" s="317">
        <f t="shared" si="92"/>
        <v>0.18933333333333321</v>
      </c>
      <c r="Z146" s="317">
        <f t="shared" si="92"/>
        <v>0.18566666666666654</v>
      </c>
      <c r="AA146" s="317">
        <f t="shared" si="92"/>
        <v>0.18199999999999986</v>
      </c>
      <c r="AB146" s="317">
        <f t="shared" si="92"/>
        <v>0.17833333333333318</v>
      </c>
      <c r="AC146" s="317">
        <f t="shared" si="92"/>
        <v>0.1746666666666665</v>
      </c>
      <c r="AD146" s="317">
        <f t="shared" si="92"/>
        <v>0.17099999999999982</v>
      </c>
      <c r="AE146" s="317">
        <f t="shared" si="92"/>
        <v>0.16733333333333314</v>
      </c>
      <c r="AF146" s="317">
        <f t="shared" si="92"/>
        <v>0.16366666666666646</v>
      </c>
      <c r="AG146" s="296">
        <v>0.16</v>
      </c>
      <c r="AI146" s="296"/>
      <c r="AJ146" s="211" t="s">
        <v>1363</v>
      </c>
    </row>
    <row r="147" spans="1:36" outlineLevel="1">
      <c r="A147" s="346" t="s">
        <v>1385</v>
      </c>
      <c r="B147" s="302" t="s">
        <v>462</v>
      </c>
      <c r="C147" s="296">
        <v>7.0000000000000007E-2</v>
      </c>
      <c r="D147" s="317">
        <f t="shared" si="91"/>
        <v>6.9666666666666668E-2</v>
      </c>
      <c r="E147" s="317">
        <f t="shared" si="91"/>
        <v>6.933333333333333E-2</v>
      </c>
      <c r="F147" s="317">
        <f t="shared" si="91"/>
        <v>6.8999999999999992E-2</v>
      </c>
      <c r="G147" s="317">
        <f t="shared" si="91"/>
        <v>6.8666666666666654E-2</v>
      </c>
      <c r="H147" s="317">
        <f t="shared" si="91"/>
        <v>6.8333333333333315E-2</v>
      </c>
      <c r="I147" s="317">
        <f t="shared" si="91"/>
        <v>6.7999999999999977E-2</v>
      </c>
      <c r="J147" s="317">
        <f t="shared" si="91"/>
        <v>6.7666666666666639E-2</v>
      </c>
      <c r="K147" s="317">
        <f t="shared" si="91"/>
        <v>6.7333333333333301E-2</v>
      </c>
      <c r="L147" s="317">
        <f t="shared" si="91"/>
        <v>6.6999999999999962E-2</v>
      </c>
      <c r="M147" s="317">
        <f t="shared" si="91"/>
        <v>6.6666666666666624E-2</v>
      </c>
      <c r="N147" s="317">
        <f t="shared" si="91"/>
        <v>6.6333333333333286E-2</v>
      </c>
      <c r="O147" s="317">
        <f t="shared" si="91"/>
        <v>6.5999999999999948E-2</v>
      </c>
      <c r="P147" s="317">
        <f t="shared" si="91"/>
        <v>6.5666666666666609E-2</v>
      </c>
      <c r="Q147" s="317">
        <f t="shared" si="91"/>
        <v>6.5333333333333271E-2</v>
      </c>
      <c r="R147" s="317">
        <f t="shared" si="91"/>
        <v>6.4999999999999933E-2</v>
      </c>
      <c r="S147" s="317">
        <f t="shared" ref="S147:AF147" si="93">-($C147-$AG147)/30+R147</f>
        <v>6.4666666666666595E-2</v>
      </c>
      <c r="T147" s="317">
        <f t="shared" si="93"/>
        <v>6.4333333333333256E-2</v>
      </c>
      <c r="U147" s="317">
        <f t="shared" si="93"/>
        <v>6.3999999999999918E-2</v>
      </c>
      <c r="V147" s="317">
        <f t="shared" si="93"/>
        <v>6.366666666666658E-2</v>
      </c>
      <c r="W147" s="317">
        <f t="shared" si="93"/>
        <v>6.3333333333333242E-2</v>
      </c>
      <c r="X147" s="317">
        <f t="shared" si="93"/>
        <v>6.2999999999999903E-2</v>
      </c>
      <c r="Y147" s="317">
        <f t="shared" si="93"/>
        <v>6.2666666666666565E-2</v>
      </c>
      <c r="Z147" s="317">
        <f t="shared" si="93"/>
        <v>6.2333333333333234E-2</v>
      </c>
      <c r="AA147" s="317">
        <f t="shared" si="93"/>
        <v>6.1999999999999902E-2</v>
      </c>
      <c r="AB147" s="317">
        <f t="shared" si="93"/>
        <v>6.1666666666666571E-2</v>
      </c>
      <c r="AC147" s="317">
        <f t="shared" si="93"/>
        <v>6.133333333333324E-2</v>
      </c>
      <c r="AD147" s="317">
        <f t="shared" si="93"/>
        <v>6.0999999999999908E-2</v>
      </c>
      <c r="AE147" s="317">
        <f t="shared" si="93"/>
        <v>6.0666666666666577E-2</v>
      </c>
      <c r="AF147" s="317">
        <f t="shared" si="93"/>
        <v>6.0333333333333246E-2</v>
      </c>
      <c r="AG147" s="296">
        <v>0.06</v>
      </c>
      <c r="AI147" s="296"/>
      <c r="AJ147" s="211" t="s">
        <v>1363</v>
      </c>
    </row>
    <row r="148" spans="1:36" s="68" customFormat="1" outlineLevel="1">
      <c r="A148" s="347" t="s">
        <v>1386</v>
      </c>
      <c r="B148" s="312" t="s">
        <v>462</v>
      </c>
      <c r="C148" s="314">
        <v>0.05</v>
      </c>
      <c r="D148" s="340">
        <f t="shared" ref="D148:AF148" si="94">-($C148-$AG148)/30+C148</f>
        <v>4.9333333333333333E-2</v>
      </c>
      <c r="E148" s="340">
        <f t="shared" si="94"/>
        <v>4.8666666666666664E-2</v>
      </c>
      <c r="F148" s="340">
        <f t="shared" si="94"/>
        <v>4.7999999999999994E-2</v>
      </c>
      <c r="G148" s="340">
        <f t="shared" si="94"/>
        <v>4.7333333333333324E-2</v>
      </c>
      <c r="H148" s="340">
        <f t="shared" si="94"/>
        <v>4.6666666666666655E-2</v>
      </c>
      <c r="I148" s="340">
        <f t="shared" si="94"/>
        <v>4.5999999999999985E-2</v>
      </c>
      <c r="J148" s="340">
        <f t="shared" si="94"/>
        <v>4.5333333333333316E-2</v>
      </c>
      <c r="K148" s="340">
        <f t="shared" si="94"/>
        <v>4.4666666666666646E-2</v>
      </c>
      <c r="L148" s="340">
        <f t="shared" si="94"/>
        <v>4.3999999999999977E-2</v>
      </c>
      <c r="M148" s="340">
        <f t="shared" si="94"/>
        <v>4.3333333333333307E-2</v>
      </c>
      <c r="N148" s="340">
        <f t="shared" si="94"/>
        <v>4.2666666666666637E-2</v>
      </c>
      <c r="O148" s="340">
        <f t="shared" si="94"/>
        <v>4.1999999999999968E-2</v>
      </c>
      <c r="P148" s="340">
        <f t="shared" si="94"/>
        <v>4.1333333333333298E-2</v>
      </c>
      <c r="Q148" s="340">
        <f t="shared" si="94"/>
        <v>4.0666666666666629E-2</v>
      </c>
      <c r="R148" s="340">
        <f t="shared" si="94"/>
        <v>3.9999999999999959E-2</v>
      </c>
      <c r="S148" s="340">
        <f t="shared" si="94"/>
        <v>3.933333333333329E-2</v>
      </c>
      <c r="T148" s="340">
        <f t="shared" si="94"/>
        <v>3.866666666666662E-2</v>
      </c>
      <c r="U148" s="340">
        <f t="shared" si="94"/>
        <v>3.799999999999995E-2</v>
      </c>
      <c r="V148" s="340">
        <f t="shared" si="94"/>
        <v>3.7333333333333281E-2</v>
      </c>
      <c r="W148" s="340">
        <f t="shared" si="94"/>
        <v>3.6666666666666611E-2</v>
      </c>
      <c r="X148" s="340">
        <f t="shared" si="94"/>
        <v>3.5999999999999942E-2</v>
      </c>
      <c r="Y148" s="340">
        <f t="shared" si="94"/>
        <v>3.5333333333333272E-2</v>
      </c>
      <c r="Z148" s="340">
        <f t="shared" si="94"/>
        <v>3.4666666666666603E-2</v>
      </c>
      <c r="AA148" s="340">
        <f t="shared" si="94"/>
        <v>3.3999999999999933E-2</v>
      </c>
      <c r="AB148" s="340">
        <f t="shared" si="94"/>
        <v>3.3333333333333263E-2</v>
      </c>
      <c r="AC148" s="340">
        <f t="shared" si="94"/>
        <v>3.2666666666666594E-2</v>
      </c>
      <c r="AD148" s="340">
        <f t="shared" si="94"/>
        <v>3.1999999999999924E-2</v>
      </c>
      <c r="AE148" s="340">
        <f t="shared" si="94"/>
        <v>3.1333333333333255E-2</v>
      </c>
      <c r="AF148" s="340">
        <f t="shared" si="94"/>
        <v>3.0666666666666589E-2</v>
      </c>
      <c r="AG148" s="314">
        <v>0.03</v>
      </c>
      <c r="AI148" s="314"/>
      <c r="AJ148" s="341" t="s">
        <v>1363</v>
      </c>
    </row>
    <row r="149" spans="1:36" s="58" customFormat="1" outlineLevel="1">
      <c r="A149" s="58" t="s">
        <v>1361</v>
      </c>
      <c r="B149" s="303"/>
      <c r="C149" s="304">
        <f>C32</f>
        <v>91.132618550548131</v>
      </c>
      <c r="D149" s="304">
        <f t="shared" ref="D149:AG149" si="95">D32</f>
        <v>94.187520588827709</v>
      </c>
      <c r="E149" s="304">
        <f t="shared" si="95"/>
        <v>97.090361356727982</v>
      </c>
      <c r="F149" s="304">
        <f t="shared" si="95"/>
        <v>99.821216818932996</v>
      </c>
      <c r="G149" s="304">
        <f t="shared" si="95"/>
        <v>102.36096024167153</v>
      </c>
      <c r="H149" s="304">
        <f t="shared" si="95"/>
        <v>104.69148533711844</v>
      </c>
      <c r="I149" s="304">
        <f t="shared" si="95"/>
        <v>107.02632892810098</v>
      </c>
      <c r="J149" s="304">
        <f t="shared" si="95"/>
        <v>109.36337703012953</v>
      </c>
      <c r="K149" s="304">
        <f t="shared" si="95"/>
        <v>111.70046198886772</v>
      </c>
      <c r="L149" s="304">
        <f t="shared" si="95"/>
        <v>114.03536529910819</v>
      </c>
      <c r="M149" s="304">
        <f t="shared" si="95"/>
        <v>116.36582061426857</v>
      </c>
      <c r="N149" s="304">
        <f t="shared" si="95"/>
        <v>118.51969709126692</v>
      </c>
      <c r="O149" s="304">
        <f t="shared" si="95"/>
        <v>120.48504894393488</v>
      </c>
      <c r="P149" s="304">
        <f t="shared" si="95"/>
        <v>122.25077413732228</v>
      </c>
      <c r="Q149" s="304">
        <f t="shared" si="95"/>
        <v>123.80671757237687</v>
      </c>
      <c r="R149" s="304">
        <f t="shared" si="95"/>
        <v>125.14376728836976</v>
      </c>
      <c r="S149" s="304">
        <f t="shared" si="95"/>
        <v>126.48141034426163</v>
      </c>
      <c r="T149" s="304">
        <f t="shared" si="95"/>
        <v>127.81934871649334</v>
      </c>
      <c r="U149" s="304">
        <f t="shared" si="95"/>
        <v>129.15728080358821</v>
      </c>
      <c r="V149" s="304">
        <f t="shared" si="95"/>
        <v>130.49490152130187</v>
      </c>
      <c r="W149" s="304">
        <f t="shared" si="95"/>
        <v>131.83190240093236</v>
      </c>
      <c r="X149" s="304">
        <f t="shared" si="95"/>
        <v>133.16943845763501</v>
      </c>
      <c r="Y149" s="304">
        <f t="shared" si="95"/>
        <v>134.50724115984161</v>
      </c>
      <c r="Z149" s="304">
        <f t="shared" si="95"/>
        <v>135.8450389413012</v>
      </c>
      <c r="AA149" s="304">
        <f t="shared" si="95"/>
        <v>137.18255727867347</v>
      </c>
      <c r="AB149" s="304">
        <f t="shared" si="95"/>
        <v>138.51951877153829</v>
      </c>
      <c r="AC149" s="304">
        <f t="shared" si="95"/>
        <v>139.85696545319368</v>
      </c>
      <c r="AD149" s="304">
        <f t="shared" si="95"/>
        <v>141.19465408701572</v>
      </c>
      <c r="AE149" s="304">
        <f t="shared" si="95"/>
        <v>142.53233883967283</v>
      </c>
      <c r="AF149" s="304">
        <f t="shared" si="95"/>
        <v>143.86977134503567</v>
      </c>
      <c r="AG149" s="304">
        <f t="shared" si="95"/>
        <v>145.20670076995904</v>
      </c>
      <c r="AI149" s="305"/>
      <c r="AJ149" s="306"/>
    </row>
    <row r="150" spans="1:36" s="58" customFormat="1" outlineLevel="1">
      <c r="A150" s="307" t="s">
        <v>3</v>
      </c>
      <c r="B150" s="308" t="s">
        <v>704</v>
      </c>
      <c r="C150" s="309">
        <v>0</v>
      </c>
      <c r="D150" s="309">
        <v>0</v>
      </c>
      <c r="E150" s="309">
        <v>0</v>
      </c>
      <c r="F150" s="309">
        <v>0</v>
      </c>
      <c r="G150" s="309">
        <v>0</v>
      </c>
      <c r="H150" s="309">
        <v>0</v>
      </c>
      <c r="I150" s="309">
        <v>0</v>
      </c>
      <c r="J150" s="309">
        <v>0</v>
      </c>
      <c r="K150" s="309">
        <v>0</v>
      </c>
      <c r="L150" s="309">
        <v>0</v>
      </c>
      <c r="M150" s="309">
        <v>0</v>
      </c>
      <c r="N150" s="309">
        <v>0</v>
      </c>
      <c r="O150" s="309">
        <v>0</v>
      </c>
      <c r="P150" s="309">
        <v>0</v>
      </c>
      <c r="Q150" s="309">
        <v>0</v>
      </c>
      <c r="R150" s="309">
        <v>0</v>
      </c>
      <c r="S150" s="309">
        <v>0</v>
      </c>
      <c r="T150" s="309">
        <v>0</v>
      </c>
      <c r="U150" s="309">
        <v>0</v>
      </c>
      <c r="V150" s="309">
        <v>0</v>
      </c>
      <c r="W150" s="309">
        <v>0</v>
      </c>
      <c r="X150" s="309">
        <v>0</v>
      </c>
      <c r="Y150" s="309">
        <v>0</v>
      </c>
      <c r="Z150" s="309">
        <v>0</v>
      </c>
      <c r="AA150" s="309">
        <v>0</v>
      </c>
      <c r="AB150" s="309">
        <v>0</v>
      </c>
      <c r="AC150" s="309">
        <v>0</v>
      </c>
      <c r="AD150" s="309">
        <v>0</v>
      </c>
      <c r="AE150" s="309">
        <v>0</v>
      </c>
      <c r="AF150" s="309">
        <v>0</v>
      </c>
      <c r="AG150" s="309">
        <v>0</v>
      </c>
      <c r="AI150" s="305"/>
      <c r="AJ150" s="306"/>
    </row>
    <row r="151" spans="1:36" outlineLevel="1">
      <c r="A151" s="310" t="s">
        <v>51</v>
      </c>
      <c r="B151" s="302" t="s">
        <v>704</v>
      </c>
      <c r="C151" s="249">
        <f>C217</f>
        <v>4.8226258181960828</v>
      </c>
      <c r="D151" s="249">
        <f t="shared" ref="D151:AG151" si="96">D217</f>
        <v>4.903163669359957</v>
      </c>
      <c r="E151" s="249">
        <f t="shared" si="96"/>
        <v>4.9850465026382675</v>
      </c>
      <c r="F151" s="249">
        <f t="shared" si="96"/>
        <v>5.0682967792323259</v>
      </c>
      <c r="G151" s="249">
        <f t="shared" si="96"/>
        <v>5.1529373354455057</v>
      </c>
      <c r="H151" s="249">
        <f t="shared" si="96"/>
        <v>5.2389913889474453</v>
      </c>
      <c r="I151" s="249">
        <f t="shared" si="96"/>
        <v>5.3264825451428672</v>
      </c>
      <c r="J151" s="249">
        <f t="shared" si="96"/>
        <v>5.415434803646753</v>
      </c>
      <c r="K151" s="249">
        <f t="shared" si="96"/>
        <v>5.5058725648676532</v>
      </c>
      <c r="L151" s="249">
        <f t="shared" si="96"/>
        <v>5.5978206367009431</v>
      </c>
      <c r="M151" s="249">
        <f t="shared" si="96"/>
        <v>5.6913042413338486</v>
      </c>
      <c r="N151" s="249">
        <f t="shared" si="96"/>
        <v>5.7863490221641234</v>
      </c>
      <c r="O151" s="249">
        <f t="shared" si="96"/>
        <v>5.8829810508342639</v>
      </c>
      <c r="P151" s="249">
        <f t="shared" si="96"/>
        <v>5.9812268343831958</v>
      </c>
      <c r="Q151" s="249">
        <f t="shared" si="96"/>
        <v>6.0811133225173952</v>
      </c>
      <c r="R151" s="249">
        <f t="shared" si="96"/>
        <v>6.1826679150034352</v>
      </c>
      <c r="S151" s="249">
        <f t="shared" si="96"/>
        <v>6.2859184691839918</v>
      </c>
      <c r="T151" s="249">
        <f t="shared" si="96"/>
        <v>6.3908933076193639</v>
      </c>
      <c r="U151" s="249">
        <f t="shared" si="96"/>
        <v>6.4976212258566068</v>
      </c>
      <c r="V151" s="249">
        <f t="shared" si="96"/>
        <v>6.606131500328412</v>
      </c>
      <c r="W151" s="249">
        <f t="shared" si="96"/>
        <v>6.7164538963838964</v>
      </c>
      <c r="X151" s="249">
        <f t="shared" si="96"/>
        <v>6.8286186764535071</v>
      </c>
      <c r="Y151" s="249">
        <f t="shared" si="96"/>
        <v>6.9426566083502799</v>
      </c>
      <c r="Z151" s="249">
        <f t="shared" si="96"/>
        <v>7.0585989737097288</v>
      </c>
      <c r="AA151" s="249">
        <f t="shared" si="96"/>
        <v>7.1764775765706812</v>
      </c>
      <c r="AB151" s="249">
        <f t="shared" si="96"/>
        <v>7.2963247520994114</v>
      </c>
      <c r="AC151" s="249">
        <f t="shared" si="96"/>
        <v>7.418173375459471</v>
      </c>
      <c r="AD151" s="249">
        <f t="shared" si="96"/>
        <v>7.5420568708296436</v>
      </c>
      <c r="AE151" s="249">
        <f t="shared" si="96"/>
        <v>7.6680092205724986</v>
      </c>
      <c r="AF151" s="249">
        <f t="shared" si="96"/>
        <v>7.7960649745560584</v>
      </c>
      <c r="AG151" s="249">
        <f t="shared" si="96"/>
        <v>7.9262592596311441</v>
      </c>
      <c r="AI151" s="296"/>
    </row>
    <row r="152" spans="1:36" s="68" customFormat="1" outlineLevel="1">
      <c r="A152" s="311" t="s">
        <v>1387</v>
      </c>
      <c r="B152" s="312" t="s">
        <v>704</v>
      </c>
      <c r="C152" s="313">
        <f>C149-C150-C151</f>
        <v>86.309992732352043</v>
      </c>
      <c r="D152" s="313">
        <f t="shared" ref="D152:AF152" si="97">D149-D150-D151</f>
        <v>89.284356919467754</v>
      </c>
      <c r="E152" s="313">
        <f t="shared" si="97"/>
        <v>92.105314854089713</v>
      </c>
      <c r="F152" s="313">
        <f t="shared" si="97"/>
        <v>94.752920039700669</v>
      </c>
      <c r="G152" s="313">
        <f t="shared" si="97"/>
        <v>97.208022906226034</v>
      </c>
      <c r="H152" s="313">
        <f t="shared" si="97"/>
        <v>99.452493948170996</v>
      </c>
      <c r="I152" s="313">
        <f t="shared" si="97"/>
        <v>101.69984638295811</v>
      </c>
      <c r="J152" s="313">
        <f t="shared" si="97"/>
        <v>103.94794222648278</v>
      </c>
      <c r="K152" s="313">
        <f t="shared" si="97"/>
        <v>106.19458942400006</v>
      </c>
      <c r="L152" s="313">
        <f t="shared" si="97"/>
        <v>108.43754466240725</v>
      </c>
      <c r="M152" s="313">
        <f t="shared" si="97"/>
        <v>110.67451637293472</v>
      </c>
      <c r="N152" s="313">
        <f t="shared" si="97"/>
        <v>112.7333480691028</v>
      </c>
      <c r="O152" s="313">
        <f t="shared" si="97"/>
        <v>114.60206789310062</v>
      </c>
      <c r="P152" s="313">
        <f t="shared" si="97"/>
        <v>116.26954730293909</v>
      </c>
      <c r="Q152" s="313">
        <f t="shared" si="97"/>
        <v>117.72560424985947</v>
      </c>
      <c r="R152" s="313">
        <f t="shared" si="97"/>
        <v>118.96109937336632</v>
      </c>
      <c r="S152" s="313">
        <f t="shared" si="97"/>
        <v>120.19549187507764</v>
      </c>
      <c r="T152" s="313">
        <f t="shared" si="97"/>
        <v>121.42845540887397</v>
      </c>
      <c r="U152" s="313">
        <f t="shared" si="97"/>
        <v>122.6596595777316</v>
      </c>
      <c r="V152" s="313">
        <f t="shared" si="97"/>
        <v>123.88877002097345</v>
      </c>
      <c r="W152" s="313">
        <f t="shared" si="97"/>
        <v>125.11544850454847</v>
      </c>
      <c r="X152" s="313">
        <f t="shared" si="97"/>
        <v>126.34081978118151</v>
      </c>
      <c r="Y152" s="313">
        <f t="shared" si="97"/>
        <v>127.56458455149134</v>
      </c>
      <c r="Z152" s="313">
        <f t="shared" si="97"/>
        <v>128.78643996759146</v>
      </c>
      <c r="AA152" s="313">
        <f t="shared" si="97"/>
        <v>130.0060797021028</v>
      </c>
      <c r="AB152" s="313">
        <f t="shared" si="97"/>
        <v>131.22319401943886</v>
      </c>
      <c r="AC152" s="313">
        <f t="shared" si="97"/>
        <v>132.43879207773421</v>
      </c>
      <c r="AD152" s="313">
        <f t="shared" si="97"/>
        <v>133.65259721618608</v>
      </c>
      <c r="AE152" s="313">
        <f t="shared" si="97"/>
        <v>134.86432961910035</v>
      </c>
      <c r="AF152" s="313">
        <f t="shared" si="97"/>
        <v>136.07370637047961</v>
      </c>
      <c r="AG152" s="313">
        <f>AG149-AG150-AG151</f>
        <v>137.2804415103279</v>
      </c>
      <c r="AI152" s="314"/>
      <c r="AJ152" s="315"/>
    </row>
    <row r="153" spans="1:36" outlineLevel="1">
      <c r="A153" s="112" t="s">
        <v>90</v>
      </c>
      <c r="B153" s="302" t="s">
        <v>704</v>
      </c>
      <c r="C153" s="230">
        <f>C122*C$152</f>
        <v>13.809598837176328</v>
      </c>
      <c r="D153" s="230">
        <f t="shared" ref="D153:AG158" si="98">D122*D$152</f>
        <v>14.470018111415074</v>
      </c>
      <c r="E153" s="230">
        <f t="shared" si="98"/>
        <v>15.117552344717923</v>
      </c>
      <c r="F153" s="230">
        <f t="shared" si="98"/>
        <v>15.747935310598249</v>
      </c>
      <c r="G153" s="230">
        <f t="shared" si="98"/>
        <v>16.356869987687631</v>
      </c>
      <c r="H153" s="230">
        <f t="shared" si="98"/>
        <v>16.940074802505123</v>
      </c>
      <c r="I153" s="230">
        <f t="shared" si="98"/>
        <v>17.533053516421976</v>
      </c>
      <c r="J153" s="230">
        <f t="shared" si="98"/>
        <v>18.135450987113693</v>
      </c>
      <c r="K153" s="230">
        <f t="shared" si="98"/>
        <v>18.746884852983474</v>
      </c>
      <c r="L153" s="230">
        <f t="shared" si="98"/>
        <v>19.366945476705929</v>
      </c>
      <c r="M153" s="230">
        <f t="shared" si="98"/>
        <v>19.995195958043535</v>
      </c>
      <c r="N153" s="230">
        <f t="shared" si="98"/>
        <v>20.600140470494047</v>
      </c>
      <c r="O153" s="230">
        <f t="shared" si="98"/>
        <v>21.178462146644989</v>
      </c>
      <c r="P153" s="230">
        <f t="shared" si="98"/>
        <v>21.726902739342542</v>
      </c>
      <c r="Q153" s="230">
        <f t="shared" si="98"/>
        <v>22.242290829606773</v>
      </c>
      <c r="R153" s="230">
        <f t="shared" si="98"/>
        <v>22.721569980312957</v>
      </c>
      <c r="S153" s="230">
        <f t="shared" si="98"/>
        <v>23.205742964681644</v>
      </c>
      <c r="T153" s="230">
        <f t="shared" si="98"/>
        <v>23.694739265451595</v>
      </c>
      <c r="U153" s="230">
        <f t="shared" si="98"/>
        <v>24.188484868728661</v>
      </c>
      <c r="V153" s="230">
        <f t="shared" si="98"/>
        <v>24.68690223951263</v>
      </c>
      <c r="W153" s="230">
        <f t="shared" si="98"/>
        <v>25.189910298915745</v>
      </c>
      <c r="X153" s="230">
        <f t="shared" si="98"/>
        <v>25.697722743492303</v>
      </c>
      <c r="Y153" s="230">
        <f t="shared" si="98"/>
        <v>26.210269972513071</v>
      </c>
      <c r="Z153" s="230">
        <f t="shared" si="98"/>
        <v>26.727479174607467</v>
      </c>
      <c r="AA153" s="230">
        <f t="shared" si="98"/>
        <v>27.249274305560728</v>
      </c>
      <c r="AB153" s="230">
        <f t="shared" si="98"/>
        <v>27.775576067447876</v>
      </c>
      <c r="AC153" s="230">
        <f t="shared" si="98"/>
        <v>28.306584493414373</v>
      </c>
      <c r="AD153" s="230">
        <f t="shared" si="98"/>
        <v>28.842230479252937</v>
      </c>
      <c r="AE153" s="230">
        <f t="shared" si="98"/>
        <v>29.382441946347974</v>
      </c>
      <c r="AF153" s="230">
        <f t="shared" si="98"/>
        <v>29.927143821080794</v>
      </c>
      <c r="AG153" s="230">
        <f t="shared" si="98"/>
        <v>30.476258015292796</v>
      </c>
      <c r="AI153" s="214"/>
    </row>
    <row r="154" spans="1:36" outlineLevel="1">
      <c r="A154" s="112" t="s">
        <v>33</v>
      </c>
      <c r="B154" s="302" t="s">
        <v>704</v>
      </c>
      <c r="C154" s="230">
        <f t="shared" ref="C154:R158" si="99">C123*C$152</f>
        <v>31.934697310970254</v>
      </c>
      <c r="D154" s="230">
        <f t="shared" si="99"/>
        <v>32.383436254690956</v>
      </c>
      <c r="E154" s="230">
        <f t="shared" si="99"/>
        <v>32.734228899143488</v>
      </c>
      <c r="F154" s="230">
        <f t="shared" si="99"/>
        <v>32.98349146581981</v>
      </c>
      <c r="G154" s="230">
        <f t="shared" si="99"/>
        <v>33.128494206441843</v>
      </c>
      <c r="H154" s="230">
        <f t="shared" si="99"/>
        <v>33.16740673171504</v>
      </c>
      <c r="I154" s="230">
        <f t="shared" si="99"/>
        <v>33.174489890120952</v>
      </c>
      <c r="J154" s="230">
        <f t="shared" si="99"/>
        <v>33.14899877602538</v>
      </c>
      <c r="K154" s="230">
        <f t="shared" si="99"/>
        <v>33.090234064518441</v>
      </c>
      <c r="L154" s="230">
        <f t="shared" si="99"/>
        <v>32.997544840770551</v>
      </c>
      <c r="M154" s="230">
        <f t="shared" si="99"/>
        <v>32.87033136276164</v>
      </c>
      <c r="N154" s="230">
        <f t="shared" si="99"/>
        <v>32.658850935619114</v>
      </c>
      <c r="O154" s="230">
        <f t="shared" si="99"/>
        <v>32.363623973011656</v>
      </c>
      <c r="P154" s="230">
        <f t="shared" si="99"/>
        <v>31.985752463038583</v>
      </c>
      <c r="Q154" s="230">
        <f t="shared" si="99"/>
        <v>31.526916818112412</v>
      </c>
      <c r="R154" s="230">
        <f t="shared" si="99"/>
        <v>30.989366386761976</v>
      </c>
      <c r="S154" s="230">
        <f t="shared" si="98"/>
        <v>30.433498542769708</v>
      </c>
      <c r="T154" s="230">
        <f t="shared" si="98"/>
        <v>29.859257185042161</v>
      </c>
      <c r="U154" s="230">
        <f t="shared" si="98"/>
        <v>29.266594775246812</v>
      </c>
      <c r="V154" s="230">
        <f t="shared" si="98"/>
        <v>28.655472505851211</v>
      </c>
      <c r="W154" s="230">
        <f t="shared" si="98"/>
        <v>28.025860465018908</v>
      </c>
      <c r="X154" s="230">
        <f t="shared" si="98"/>
        <v>27.378055646582087</v>
      </c>
      <c r="Y154" s="230">
        <f t="shared" si="98"/>
        <v>26.712024005082338</v>
      </c>
      <c r="Z154" s="230">
        <f t="shared" si="98"/>
        <v>26.027739517450289</v>
      </c>
      <c r="AA154" s="230">
        <f t="shared" si="98"/>
        <v>25.32518432596968</v>
      </c>
      <c r="AB154" s="230">
        <f t="shared" si="98"/>
        <v>24.604348878644842</v>
      </c>
      <c r="AC154" s="230">
        <f t="shared" si="98"/>
        <v>23.86547033240776</v>
      </c>
      <c r="AD154" s="230">
        <f t="shared" si="98"/>
        <v>23.108534058678629</v>
      </c>
      <c r="AE154" s="230">
        <f t="shared" si="98"/>
        <v>22.333532984923075</v>
      </c>
      <c r="AF154" s="230">
        <f t="shared" si="98"/>
        <v>21.54046771844698</v>
      </c>
      <c r="AG154" s="230">
        <f t="shared" si="98"/>
        <v>20.729346668059513</v>
      </c>
      <c r="AI154" s="214"/>
    </row>
    <row r="155" spans="1:36" outlineLevel="1">
      <c r="A155" s="112" t="s">
        <v>451</v>
      </c>
      <c r="B155" s="302" t="s">
        <v>704</v>
      </c>
      <c r="C155" s="230">
        <f t="shared" si="99"/>
        <v>6.9047994185881638</v>
      </c>
      <c r="D155" s="230">
        <f t="shared" si="98"/>
        <v>7.1516769892493679</v>
      </c>
      <c r="E155" s="230">
        <f t="shared" si="98"/>
        <v>7.386846251297996</v>
      </c>
      <c r="F155" s="230">
        <f t="shared" si="98"/>
        <v>7.6086594791879643</v>
      </c>
      <c r="G155" s="230">
        <f t="shared" si="98"/>
        <v>7.8155250416605746</v>
      </c>
      <c r="H155" s="230">
        <f t="shared" si="98"/>
        <v>8.0059257628277667</v>
      </c>
      <c r="I155" s="230">
        <f t="shared" si="98"/>
        <v>8.1970076184664258</v>
      </c>
      <c r="J155" s="230">
        <f t="shared" si="98"/>
        <v>8.3885989376771626</v>
      </c>
      <c r="K155" s="230">
        <f t="shared" si="98"/>
        <v>8.580522825459207</v>
      </c>
      <c r="L155" s="230">
        <f t="shared" si="98"/>
        <v>8.7725973631887495</v>
      </c>
      <c r="M155" s="230">
        <f t="shared" si="98"/>
        <v>8.964635826207715</v>
      </c>
      <c r="N155" s="230">
        <f t="shared" si="98"/>
        <v>9.1426745284042408</v>
      </c>
      <c r="O155" s="230">
        <f t="shared" si="98"/>
        <v>9.3056879129197743</v>
      </c>
      <c r="P155" s="230">
        <f t="shared" si="98"/>
        <v>9.4527141957289516</v>
      </c>
      <c r="Q155" s="230">
        <f t="shared" si="98"/>
        <v>9.5828641859385666</v>
      </c>
      <c r="R155" s="230">
        <f t="shared" si="98"/>
        <v>9.6953295989293604</v>
      </c>
      <c r="S155" s="230">
        <f t="shared" si="98"/>
        <v>9.8079521370063407</v>
      </c>
      <c r="T155" s="230">
        <f t="shared" si="98"/>
        <v>9.9207048069050092</v>
      </c>
      <c r="U155" s="230">
        <f t="shared" si="98"/>
        <v>10.033560153458451</v>
      </c>
      <c r="V155" s="230">
        <f t="shared" si="98"/>
        <v>10.146490264717732</v>
      </c>
      <c r="W155" s="230">
        <f t="shared" si="98"/>
        <v>10.259466777372982</v>
      </c>
      <c r="X155" s="230">
        <f t="shared" si="98"/>
        <v>10.372581304035009</v>
      </c>
      <c r="Y155" s="230">
        <f t="shared" si="98"/>
        <v>10.485808850132596</v>
      </c>
      <c r="Z155" s="230">
        <f t="shared" si="98"/>
        <v>10.599124009332787</v>
      </c>
      <c r="AA155" s="230">
        <f t="shared" si="98"/>
        <v>10.712500967453279</v>
      </c>
      <c r="AB155" s="230">
        <f t="shared" si="98"/>
        <v>10.825913506603715</v>
      </c>
      <c r="AC155" s="230">
        <f t="shared" si="98"/>
        <v>10.939444225620855</v>
      </c>
      <c r="AD155" s="230">
        <f t="shared" si="98"/>
        <v>11.053069789778599</v>
      </c>
      <c r="AE155" s="230">
        <f t="shared" si="98"/>
        <v>11.16676649246152</v>
      </c>
      <c r="AF155" s="230">
        <f t="shared" si="98"/>
        <v>11.280510258112772</v>
      </c>
      <c r="AG155" s="230">
        <f t="shared" si="98"/>
        <v>11.394276645357216</v>
      </c>
      <c r="AI155" s="214"/>
    </row>
    <row r="156" spans="1:36" outlineLevel="1">
      <c r="A156" s="112" t="s">
        <v>452</v>
      </c>
      <c r="B156" s="302" t="s">
        <v>704</v>
      </c>
      <c r="C156" s="230">
        <f t="shared" si="99"/>
        <v>23.303698037735053</v>
      </c>
      <c r="D156" s="230">
        <f t="shared" si="98"/>
        <v>24.386534019937294</v>
      </c>
      <c r="E156" s="230">
        <f t="shared" si="98"/>
        <v>25.445628317023186</v>
      </c>
      <c r="F156" s="230">
        <f t="shared" si="98"/>
        <v>26.473965859092367</v>
      </c>
      <c r="G156" s="230">
        <f t="shared" si="98"/>
        <v>27.464506738439059</v>
      </c>
      <c r="H156" s="230">
        <f t="shared" si="98"/>
        <v>28.410262437860844</v>
      </c>
      <c r="I156" s="230">
        <f t="shared" si="98"/>
        <v>29.370915635398298</v>
      </c>
      <c r="J156" s="230">
        <f t="shared" si="98"/>
        <v>30.345869267317866</v>
      </c>
      <c r="K156" s="230">
        <f t="shared" si="98"/>
        <v>31.334483519374942</v>
      </c>
      <c r="L156" s="230">
        <f t="shared" si="98"/>
        <v>32.336075818329832</v>
      </c>
      <c r="M156" s="230">
        <f t="shared" si="98"/>
        <v>33.349920933710983</v>
      </c>
      <c r="N156" s="230">
        <f t="shared" si="98"/>
        <v>34.323546708772824</v>
      </c>
      <c r="O156" s="230">
        <f t="shared" si="98"/>
        <v>35.25159608391774</v>
      </c>
      <c r="P156" s="230">
        <f t="shared" si="98"/>
        <v>36.12882399859992</v>
      </c>
      <c r="Q156" s="230">
        <f t="shared" si="98"/>
        <v>36.950142987222542</v>
      </c>
      <c r="R156" s="230">
        <f t="shared" si="98"/>
        <v>37.710668501357105</v>
      </c>
      <c r="S156" s="230">
        <f t="shared" si="98"/>
        <v>38.478583465608168</v>
      </c>
      <c r="T156" s="230">
        <f t="shared" si="98"/>
        <v>39.253772018508634</v>
      </c>
      <c r="U156" s="230">
        <f t="shared" si="98"/>
        <v>40.036112886171573</v>
      </c>
      <c r="V156" s="230">
        <f t="shared" si="98"/>
        <v>40.825479347578096</v>
      </c>
      <c r="W156" s="230">
        <f t="shared" si="98"/>
        <v>41.621739202513098</v>
      </c>
      <c r="X156" s="230">
        <f t="shared" si="98"/>
        <v>42.425247282520722</v>
      </c>
      <c r="Y156" s="230">
        <f t="shared" si="98"/>
        <v>43.235889857318767</v>
      </c>
      <c r="Z156" s="230">
        <f t="shared" si="98"/>
        <v>44.053548231580756</v>
      </c>
      <c r="AA156" s="230">
        <f t="shared" si="98"/>
        <v>44.878098713165848</v>
      </c>
      <c r="AB156" s="230">
        <f t="shared" si="98"/>
        <v>45.709412583437832</v>
      </c>
      <c r="AC156" s="230">
        <f t="shared" si="98"/>
        <v>46.547820788920944</v>
      </c>
      <c r="AD156" s="230">
        <f t="shared" si="98"/>
        <v>47.393210972859542</v>
      </c>
      <c r="AE156" s="230">
        <f t="shared" si="98"/>
        <v>48.245466182406119</v>
      </c>
      <c r="AF156" s="230">
        <f t="shared" si="98"/>
        <v>49.104464838893698</v>
      </c>
      <c r="AG156" s="230">
        <f t="shared" si="98"/>
        <v>49.970080709759358</v>
      </c>
      <c r="AI156" s="214"/>
    </row>
    <row r="157" spans="1:36" outlineLevel="1">
      <c r="A157" s="112" t="s">
        <v>1364</v>
      </c>
      <c r="B157" s="302" t="s">
        <v>704</v>
      </c>
      <c r="C157" s="230">
        <f t="shared" si="99"/>
        <v>6.0416994912646436</v>
      </c>
      <c r="D157" s="230">
        <f t="shared" si="98"/>
        <v>6.3629985031274021</v>
      </c>
      <c r="E157" s="230">
        <f t="shared" si="98"/>
        <v>6.6807055040833072</v>
      </c>
      <c r="F157" s="230">
        <f t="shared" si="98"/>
        <v>6.9927654989299102</v>
      </c>
      <c r="G157" s="230">
        <f t="shared" si="98"/>
        <v>7.2970822528273684</v>
      </c>
      <c r="H157" s="230">
        <f t="shared" si="98"/>
        <v>7.5915403713770528</v>
      </c>
      <c r="I157" s="230">
        <f t="shared" si="98"/>
        <v>7.8919080793175498</v>
      </c>
      <c r="J157" s="230">
        <f t="shared" si="98"/>
        <v>8.1980277102619414</v>
      </c>
      <c r="K157" s="230">
        <f t="shared" si="98"/>
        <v>8.509726432509872</v>
      </c>
      <c r="L157" s="230">
        <f t="shared" si="98"/>
        <v>8.8268161355199499</v>
      </c>
      <c r="M157" s="230">
        <f t="shared" si="98"/>
        <v>9.1490933534959371</v>
      </c>
      <c r="N157" s="230">
        <f t="shared" si="98"/>
        <v>9.4620856812666947</v>
      </c>
      <c r="O157" s="230">
        <f t="shared" si="98"/>
        <v>9.764096184492173</v>
      </c>
      <c r="P157" s="230">
        <f t="shared" si="98"/>
        <v>10.053440190127466</v>
      </c>
      <c r="Q157" s="230">
        <f t="shared" si="98"/>
        <v>10.328459679521004</v>
      </c>
      <c r="R157" s="230">
        <f t="shared" si="98"/>
        <v>10.587537844229603</v>
      </c>
      <c r="S157" s="230">
        <f t="shared" si="98"/>
        <v>10.849646399923675</v>
      </c>
      <c r="T157" s="230">
        <f t="shared" si="98"/>
        <v>11.114751285092263</v>
      </c>
      <c r="U157" s="230">
        <f t="shared" si="98"/>
        <v>11.382816408813492</v>
      </c>
      <c r="V157" s="230">
        <f t="shared" si="98"/>
        <v>11.653803633306236</v>
      </c>
      <c r="W157" s="230">
        <f t="shared" si="98"/>
        <v>11.927672757433619</v>
      </c>
      <c r="X157" s="230">
        <f t="shared" si="98"/>
        <v>12.204523190862133</v>
      </c>
      <c r="Y157" s="230">
        <f t="shared" si="98"/>
        <v>12.484320674772617</v>
      </c>
      <c r="Z157" s="230">
        <f t="shared" si="98"/>
        <v>12.767029082120565</v>
      </c>
      <c r="AA157" s="230">
        <f t="shared" si="98"/>
        <v>13.052610402091119</v>
      </c>
      <c r="AB157" s="230">
        <f t="shared" si="98"/>
        <v>13.341024725309616</v>
      </c>
      <c r="AC157" s="230">
        <f t="shared" si="98"/>
        <v>13.632366331201439</v>
      </c>
      <c r="AD157" s="230">
        <f t="shared" si="98"/>
        <v>13.926600629926588</v>
      </c>
      <c r="AE157" s="230">
        <f t="shared" si="98"/>
        <v>14.223691297161114</v>
      </c>
      <c r="AF157" s="230">
        <f t="shared" si="98"/>
        <v>14.523600259942523</v>
      </c>
      <c r="AG157" s="230">
        <f t="shared" si="98"/>
        <v>14.826287683115414</v>
      </c>
      <c r="AI157" s="214"/>
    </row>
    <row r="158" spans="1:36" outlineLevel="1">
      <c r="A158" s="112" t="s">
        <v>1365</v>
      </c>
      <c r="B158" s="302" t="s">
        <v>704</v>
      </c>
      <c r="C158" s="230">
        <f t="shared" si="99"/>
        <v>4.3154996366176022</v>
      </c>
      <c r="D158" s="230">
        <f t="shared" si="98"/>
        <v>4.5296930410476648</v>
      </c>
      <c r="E158" s="230">
        <f t="shared" si="98"/>
        <v>4.7403535378238182</v>
      </c>
      <c r="F158" s="230">
        <f t="shared" si="98"/>
        <v>4.9461024260723763</v>
      </c>
      <c r="G158" s="230">
        <f t="shared" si="98"/>
        <v>5.145544679169566</v>
      </c>
      <c r="H158" s="230">
        <f t="shared" si="98"/>
        <v>5.3372838418851787</v>
      </c>
      <c r="I158" s="230">
        <f t="shared" si="98"/>
        <v>5.5324716432329231</v>
      </c>
      <c r="J158" s="230">
        <f t="shared" si="98"/>
        <v>5.7309965480867531</v>
      </c>
      <c r="K158" s="230">
        <f t="shared" si="98"/>
        <v>5.9327377291541392</v>
      </c>
      <c r="L158" s="230">
        <f t="shared" si="98"/>
        <v>6.1375650278922533</v>
      </c>
      <c r="M158" s="230">
        <f t="shared" si="98"/>
        <v>6.345338938714927</v>
      </c>
      <c r="N158" s="230">
        <f t="shared" si="98"/>
        <v>6.5460497445459058</v>
      </c>
      <c r="O158" s="230">
        <f t="shared" si="98"/>
        <v>6.7386015921143203</v>
      </c>
      <c r="P158" s="230">
        <f t="shared" si="98"/>
        <v>6.9219137161016446</v>
      </c>
      <c r="Q158" s="230">
        <f t="shared" si="98"/>
        <v>7.0949297494582018</v>
      </c>
      <c r="R158" s="230">
        <f t="shared" si="98"/>
        <v>7.2566270617753501</v>
      </c>
      <c r="S158" s="230">
        <f t="shared" si="98"/>
        <v>7.4200683650881309</v>
      </c>
      <c r="T158" s="230">
        <f t="shared" si="98"/>
        <v>7.5852308478743327</v>
      </c>
      <c r="U158" s="230">
        <f t="shared" si="98"/>
        <v>7.7520904853126433</v>
      </c>
      <c r="V158" s="230">
        <f t="shared" si="98"/>
        <v>7.9206220300075758</v>
      </c>
      <c r="W158" s="230">
        <f t="shared" si="98"/>
        <v>8.0907990032941406</v>
      </c>
      <c r="X158" s="230">
        <f t="shared" si="98"/>
        <v>8.2626896136892771</v>
      </c>
      <c r="Y158" s="230">
        <f t="shared" si="98"/>
        <v>8.4362711916719686</v>
      </c>
      <c r="Z158" s="230">
        <f t="shared" si="98"/>
        <v>8.6115199524996235</v>
      </c>
      <c r="AA158" s="230">
        <f t="shared" si="98"/>
        <v>8.7884109878621572</v>
      </c>
      <c r="AB158" s="230">
        <f t="shared" si="98"/>
        <v>8.9669182579949975</v>
      </c>
      <c r="AC158" s="230">
        <f t="shared" si="98"/>
        <v>9.1471059061688518</v>
      </c>
      <c r="AD158" s="230">
        <f t="shared" si="98"/>
        <v>9.3289512856897971</v>
      </c>
      <c r="AE158" s="230">
        <f t="shared" si="98"/>
        <v>9.512430715800555</v>
      </c>
      <c r="AF158" s="230">
        <f t="shared" si="98"/>
        <v>9.6975194740028581</v>
      </c>
      <c r="AG158" s="230">
        <f t="shared" si="98"/>
        <v>9.8841917887436086</v>
      </c>
      <c r="AI158" s="214"/>
    </row>
    <row r="159" spans="1:36" s="58" customFormat="1">
      <c r="A159" s="58" t="s">
        <v>1366</v>
      </c>
      <c r="B159" s="303"/>
      <c r="C159" s="304">
        <f>C50</f>
        <v>91.132618550548131</v>
      </c>
      <c r="D159" s="304">
        <f t="shared" ref="D159:AG159" si="100">D50</f>
        <v>94.187520588827709</v>
      </c>
      <c r="E159" s="304">
        <f t="shared" si="100"/>
        <v>97.090361356727982</v>
      </c>
      <c r="F159" s="304">
        <f t="shared" si="100"/>
        <v>99.821216818932996</v>
      </c>
      <c r="G159" s="304">
        <f t="shared" si="100"/>
        <v>102.36096024167153</v>
      </c>
      <c r="H159" s="304">
        <f t="shared" si="100"/>
        <v>104.69148533711844</v>
      </c>
      <c r="I159" s="304">
        <f t="shared" si="100"/>
        <v>107.02632892810098</v>
      </c>
      <c r="J159" s="304">
        <f t="shared" si="100"/>
        <v>109.36337703012953</v>
      </c>
      <c r="K159" s="304">
        <f t="shared" si="100"/>
        <v>111.70046198886772</v>
      </c>
      <c r="L159" s="304">
        <f t="shared" si="100"/>
        <v>114.03536529910818</v>
      </c>
      <c r="M159" s="304">
        <f t="shared" si="100"/>
        <v>116.36582061426859</v>
      </c>
      <c r="N159" s="304">
        <f t="shared" si="100"/>
        <v>118.51969709126692</v>
      </c>
      <c r="O159" s="304">
        <f t="shared" si="100"/>
        <v>120.48504894393488</v>
      </c>
      <c r="P159" s="304">
        <f t="shared" si="100"/>
        <v>122.27844274701377</v>
      </c>
      <c r="Q159" s="304">
        <f t="shared" si="100"/>
        <v>123.86275909472903</v>
      </c>
      <c r="R159" s="304">
        <f t="shared" si="100"/>
        <v>125.22873740189723</v>
      </c>
      <c r="S159" s="304">
        <f t="shared" si="100"/>
        <v>126.59591480611846</v>
      </c>
      <c r="T159" s="304">
        <f t="shared" si="100"/>
        <v>127.96399334944608</v>
      </c>
      <c r="U159" s="304">
        <f t="shared" si="100"/>
        <v>129.33267122135459</v>
      </c>
      <c r="V159" s="304">
        <f t="shared" si="100"/>
        <v>130.7016428499912</v>
      </c>
      <c r="W159" s="304">
        <f t="shared" si="100"/>
        <v>132.07059899672291</v>
      </c>
      <c r="X159" s="304">
        <f t="shared" si="100"/>
        <v>133.44069660854385</v>
      </c>
      <c r="Y159" s="304">
        <f t="shared" si="100"/>
        <v>134.81166690950187</v>
      </c>
      <c r="Z159" s="304">
        <f t="shared" si="100"/>
        <v>136.22935586971278</v>
      </c>
      <c r="AA159" s="304">
        <f t="shared" si="100"/>
        <v>137.64827833368614</v>
      </c>
      <c r="AB159" s="304">
        <f t="shared" si="100"/>
        <v>139.06815532795503</v>
      </c>
      <c r="AC159" s="304">
        <f t="shared" si="100"/>
        <v>140.49003265740018</v>
      </c>
      <c r="AD159" s="304">
        <f t="shared" si="100"/>
        <v>141.91366667033535</v>
      </c>
      <c r="AE159" s="304">
        <f t="shared" si="100"/>
        <v>143.33881055316468</v>
      </c>
      <c r="AF159" s="304">
        <f t="shared" si="100"/>
        <v>144.76521438734417</v>
      </c>
      <c r="AG159" s="304">
        <f t="shared" si="100"/>
        <v>146.19262520844458</v>
      </c>
      <c r="AI159" s="305"/>
      <c r="AJ159" s="306"/>
    </row>
    <row r="160" spans="1:36" s="58" customFormat="1">
      <c r="A160" s="307" t="s">
        <v>3</v>
      </c>
      <c r="B160" s="308" t="s">
        <v>704</v>
      </c>
      <c r="C160" s="309">
        <f>C159-C149</f>
        <v>0</v>
      </c>
      <c r="D160" s="309">
        <f t="shared" ref="D160:AG160" si="101">D159-D149</f>
        <v>0</v>
      </c>
      <c r="E160" s="309">
        <f t="shared" si="101"/>
        <v>0</v>
      </c>
      <c r="F160" s="309">
        <f t="shared" si="101"/>
        <v>0</v>
      </c>
      <c r="G160" s="309">
        <f t="shared" si="101"/>
        <v>0</v>
      </c>
      <c r="H160" s="309">
        <f t="shared" si="101"/>
        <v>0</v>
      </c>
      <c r="I160" s="309">
        <f t="shared" si="101"/>
        <v>0</v>
      </c>
      <c r="J160" s="309">
        <f t="shared" si="101"/>
        <v>0</v>
      </c>
      <c r="K160" s="309">
        <f t="shared" si="101"/>
        <v>0</v>
      </c>
      <c r="L160" s="309">
        <f t="shared" si="101"/>
        <v>0</v>
      </c>
      <c r="M160" s="309">
        <f t="shared" si="101"/>
        <v>0</v>
      </c>
      <c r="N160" s="309">
        <f t="shared" si="101"/>
        <v>0</v>
      </c>
      <c r="O160" s="309">
        <f t="shared" si="101"/>
        <v>0</v>
      </c>
      <c r="P160" s="309">
        <f t="shared" si="101"/>
        <v>2.7668609691488655E-2</v>
      </c>
      <c r="Q160" s="309">
        <f t="shared" si="101"/>
        <v>5.60415223521602E-2</v>
      </c>
      <c r="R160" s="309">
        <f t="shared" si="101"/>
        <v>8.4970113527475633E-2</v>
      </c>
      <c r="S160" s="309">
        <f t="shared" si="101"/>
        <v>0.11450446185682495</v>
      </c>
      <c r="T160" s="309">
        <f t="shared" si="101"/>
        <v>0.14464463295274754</v>
      </c>
      <c r="U160" s="309">
        <f t="shared" si="101"/>
        <v>0.17539041776637987</v>
      </c>
      <c r="V160" s="309">
        <f t="shared" si="101"/>
        <v>0.2067413286893327</v>
      </c>
      <c r="W160" s="309">
        <f t="shared" si="101"/>
        <v>0.23869659579054314</v>
      </c>
      <c r="X160" s="309">
        <f t="shared" si="101"/>
        <v>0.2712581509088352</v>
      </c>
      <c r="Y160" s="309">
        <f t="shared" si="101"/>
        <v>0.30442574966025404</v>
      </c>
      <c r="Z160" s="309">
        <f t="shared" si="101"/>
        <v>0.38431692841157883</v>
      </c>
      <c r="AA160" s="309">
        <f t="shared" si="101"/>
        <v>0.46572105501266492</v>
      </c>
      <c r="AB160" s="309">
        <f t="shared" si="101"/>
        <v>0.54863655641673859</v>
      </c>
      <c r="AC160" s="309">
        <f t="shared" si="101"/>
        <v>0.63306720420649754</v>
      </c>
      <c r="AD160" s="309">
        <f t="shared" si="101"/>
        <v>0.71901258331962481</v>
      </c>
      <c r="AE160" s="309">
        <f t="shared" si="101"/>
        <v>0.80647171349184532</v>
      </c>
      <c r="AF160" s="309">
        <f t="shared" si="101"/>
        <v>0.89544304230850003</v>
      </c>
      <c r="AG160" s="309">
        <f t="shared" si="101"/>
        <v>0.98592443848554012</v>
      </c>
      <c r="AI160" s="305"/>
      <c r="AJ160" s="306"/>
    </row>
    <row r="161" spans="1:36">
      <c r="A161" s="310" t="s">
        <v>51</v>
      </c>
      <c r="B161" s="302" t="s">
        <v>704</v>
      </c>
      <c r="C161" s="249">
        <f>C216</f>
        <v>4.8226258181960828</v>
      </c>
      <c r="D161" s="249">
        <f t="shared" ref="D161:AG161" si="102">D216</f>
        <v>5.357541865936339</v>
      </c>
      <c r="E161" s="249">
        <f t="shared" si="102"/>
        <v>5.9145812188348987</v>
      </c>
      <c r="F161" s="249">
        <f t="shared" si="102"/>
        <v>6.4912492625308715</v>
      </c>
      <c r="G161" s="249">
        <f t="shared" si="102"/>
        <v>7.0847057896369705</v>
      </c>
      <c r="H161" s="249">
        <f t="shared" si="102"/>
        <v>7.6917836697104818</v>
      </c>
      <c r="I161" s="249">
        <f t="shared" si="102"/>
        <v>8.3269399114548346</v>
      </c>
      <c r="J161" s="249">
        <f t="shared" si="102"/>
        <v>8.9905736148547231</v>
      </c>
      <c r="K161" s="249">
        <f t="shared" si="102"/>
        <v>9.6830432621563141</v>
      </c>
      <c r="L161" s="249">
        <f t="shared" si="102"/>
        <v>10.404664193638112</v>
      </c>
      <c r="M161" s="249">
        <f t="shared" si="102"/>
        <v>11.155706120511489</v>
      </c>
      <c r="N161" s="249">
        <f t="shared" si="102"/>
        <v>12.386530103426116</v>
      </c>
      <c r="O161" s="249">
        <f t="shared" si="102"/>
        <v>13.651987913164181</v>
      </c>
      <c r="P161" s="249">
        <f t="shared" si="102"/>
        <v>14.950656254193436</v>
      </c>
      <c r="Q161" s="249">
        <f t="shared" si="102"/>
        <v>16.273593419121404</v>
      </c>
      <c r="R161" s="249">
        <f t="shared" si="102"/>
        <v>17.614511431947378</v>
      </c>
      <c r="S161" s="249">
        <f t="shared" si="102"/>
        <v>19.00091453057739</v>
      </c>
      <c r="T161" s="249">
        <f t="shared" si="102"/>
        <v>20.433417521543454</v>
      </c>
      <c r="U161" s="249">
        <f t="shared" si="102"/>
        <v>21.912623302640206</v>
      </c>
      <c r="V161" s="249">
        <f t="shared" si="102"/>
        <v>23.439122218974095</v>
      </c>
      <c r="W161" s="249">
        <f t="shared" si="102"/>
        <v>25.013491416922847</v>
      </c>
      <c r="X161" s="249">
        <f t="shared" si="102"/>
        <v>27.38142414287055</v>
      </c>
      <c r="Y161" s="249">
        <f t="shared" si="102"/>
        <v>29.828326722739863</v>
      </c>
      <c r="Z161" s="249">
        <f t="shared" si="102"/>
        <v>32.369905986477207</v>
      </c>
      <c r="AA161" s="249">
        <f t="shared" si="102"/>
        <v>34.99501007638932</v>
      </c>
      <c r="AB161" s="249">
        <f t="shared" si="102"/>
        <v>37.704679615982684</v>
      </c>
      <c r="AC161" s="249">
        <f t="shared" si="102"/>
        <v>40.500316706789164</v>
      </c>
      <c r="AD161" s="249">
        <f t="shared" si="102"/>
        <v>43.383000411904916</v>
      </c>
      <c r="AE161" s="249">
        <f t="shared" si="102"/>
        <v>46.35379147484629</v>
      </c>
      <c r="AF161" s="249">
        <f t="shared" si="102"/>
        <v>49.413731407500961</v>
      </c>
      <c r="AG161" s="249">
        <f t="shared" si="102"/>
        <v>52.563841575478222</v>
      </c>
      <c r="AI161" s="296"/>
    </row>
    <row r="162" spans="1:36" s="68" customFormat="1">
      <c r="A162" s="311" t="s">
        <v>1387</v>
      </c>
      <c r="B162" s="312" t="s">
        <v>704</v>
      </c>
      <c r="C162" s="313">
        <f>C159-C161</f>
        <v>86.309992732352043</v>
      </c>
      <c r="D162" s="313">
        <f t="shared" ref="D162:AG162" si="103">D159-D161</f>
        <v>88.829978722891369</v>
      </c>
      <c r="E162" s="313">
        <f t="shared" si="103"/>
        <v>91.175780137893085</v>
      </c>
      <c r="F162" s="313">
        <f t="shared" si="103"/>
        <v>93.329967556402124</v>
      </c>
      <c r="G162" s="313">
        <f t="shared" si="103"/>
        <v>95.276254452034564</v>
      </c>
      <c r="H162" s="313">
        <f t="shared" si="103"/>
        <v>96.999701667407948</v>
      </c>
      <c r="I162" s="313">
        <f t="shared" si="103"/>
        <v>98.699389016646151</v>
      </c>
      <c r="J162" s="313">
        <f t="shared" si="103"/>
        <v>100.3728034152748</v>
      </c>
      <c r="K162" s="313">
        <f t="shared" si="103"/>
        <v>102.0174187267114</v>
      </c>
      <c r="L162" s="313">
        <f t="shared" si="103"/>
        <v>103.63070110547007</v>
      </c>
      <c r="M162" s="313">
        <f t="shared" si="103"/>
        <v>105.21011449375709</v>
      </c>
      <c r="N162" s="313">
        <f t="shared" si="103"/>
        <v>106.13316698784081</v>
      </c>
      <c r="O162" s="313">
        <f t="shared" si="103"/>
        <v>106.83306103077071</v>
      </c>
      <c r="P162" s="313">
        <f t="shared" si="103"/>
        <v>107.32778649282034</v>
      </c>
      <c r="Q162" s="313">
        <f t="shared" si="103"/>
        <v>107.58916567560763</v>
      </c>
      <c r="R162" s="313">
        <f t="shared" si="103"/>
        <v>107.61422596994986</v>
      </c>
      <c r="S162" s="313">
        <f t="shared" si="103"/>
        <v>107.59500027554107</v>
      </c>
      <c r="T162" s="313">
        <f t="shared" si="103"/>
        <v>107.53057582790262</v>
      </c>
      <c r="U162" s="313">
        <f t="shared" si="103"/>
        <v>107.42004791871437</v>
      </c>
      <c r="V162" s="313">
        <f t="shared" si="103"/>
        <v>107.26252063101711</v>
      </c>
      <c r="W162" s="313">
        <f t="shared" si="103"/>
        <v>107.05710757980006</v>
      </c>
      <c r="X162" s="313">
        <f t="shared" si="103"/>
        <v>106.0592724656733</v>
      </c>
      <c r="Y162" s="313">
        <f t="shared" si="103"/>
        <v>104.98334018676201</v>
      </c>
      <c r="Z162" s="313">
        <f t="shared" si="103"/>
        <v>103.85944988323557</v>
      </c>
      <c r="AA162" s="313">
        <f t="shared" si="103"/>
        <v>102.65326825729682</v>
      </c>
      <c r="AB162" s="313">
        <f t="shared" si="103"/>
        <v>101.36347571197234</v>
      </c>
      <c r="AC162" s="313">
        <f t="shared" si="103"/>
        <v>99.989715950611014</v>
      </c>
      <c r="AD162" s="313">
        <f t="shared" si="103"/>
        <v>98.530666258430429</v>
      </c>
      <c r="AE162" s="313">
        <f t="shared" si="103"/>
        <v>96.985019078318388</v>
      </c>
      <c r="AF162" s="313">
        <f t="shared" si="103"/>
        <v>95.351482979843212</v>
      </c>
      <c r="AG162" s="313">
        <f t="shared" si="103"/>
        <v>93.628783632966361</v>
      </c>
      <c r="AI162" s="314"/>
      <c r="AJ162" s="315"/>
    </row>
    <row r="163" spans="1:36" s="58" customFormat="1" outlineLevel="1">
      <c r="A163" s="307" t="s">
        <v>1367</v>
      </c>
      <c r="B163" s="308" t="s">
        <v>462</v>
      </c>
      <c r="C163" s="309">
        <f>C159*C129</f>
        <v>76.551399582460434</v>
      </c>
      <c r="D163" s="309">
        <f t="shared" ref="D163:AG163" si="104">D159*D129</f>
        <v>79.494267376970583</v>
      </c>
      <c r="E163" s="309">
        <f t="shared" si="104"/>
        <v>82.332626430505329</v>
      </c>
      <c r="F163" s="309">
        <f t="shared" si="104"/>
        <v>85.04767672973091</v>
      </c>
      <c r="G163" s="309">
        <f t="shared" si="104"/>
        <v>87.620981966870829</v>
      </c>
      <c r="H163" s="309">
        <f t="shared" si="104"/>
        <v>90.034677389921853</v>
      </c>
      <c r="I163" s="309">
        <f t="shared" si="104"/>
        <v>92.470748193879245</v>
      </c>
      <c r="J163" s="309">
        <f t="shared" si="104"/>
        <v>94.927411262152432</v>
      </c>
      <c r="K163" s="309">
        <f t="shared" si="104"/>
        <v>97.402802854292645</v>
      </c>
      <c r="L163" s="309">
        <f t="shared" si="104"/>
        <v>99.894980002018769</v>
      </c>
      <c r="M163" s="309">
        <f t="shared" si="104"/>
        <v>102.40192214055635</v>
      </c>
      <c r="N163" s="309">
        <f t="shared" si="104"/>
        <v>104.77141222867996</v>
      </c>
      <c r="O163" s="309">
        <f t="shared" si="104"/>
        <v>106.99072346221418</v>
      </c>
      <c r="P163" s="309">
        <f t="shared" si="104"/>
        <v>109.07237093033629</v>
      </c>
      <c r="Q163" s="309">
        <f t="shared" si="104"/>
        <v>110.98103214887722</v>
      </c>
      <c r="R163" s="309">
        <f t="shared" si="104"/>
        <v>112.70586366170751</v>
      </c>
      <c r="S163" s="309">
        <f t="shared" si="104"/>
        <v>114.44270698473109</v>
      </c>
      <c r="T163" s="309">
        <f t="shared" si="104"/>
        <v>116.19130596129705</v>
      </c>
      <c r="U163" s="309">
        <f t="shared" si="104"/>
        <v>117.95139615387539</v>
      </c>
      <c r="V163" s="309">
        <f t="shared" si="104"/>
        <v>119.72270485059195</v>
      </c>
      <c r="W163" s="309">
        <f t="shared" si="104"/>
        <v>121.50495107698508</v>
      </c>
      <c r="X163" s="309">
        <f t="shared" si="104"/>
        <v>123.29920366629452</v>
      </c>
      <c r="Y163" s="309">
        <f t="shared" si="104"/>
        <v>125.10522689201774</v>
      </c>
      <c r="Z163" s="309">
        <f t="shared" si="104"/>
        <v>126.96575967057231</v>
      </c>
      <c r="AA163" s="309">
        <f t="shared" si="104"/>
        <v>128.83878852033024</v>
      </c>
      <c r="AB163" s="309">
        <f t="shared" si="104"/>
        <v>130.72406600827773</v>
      </c>
      <c r="AC163" s="309">
        <f t="shared" si="104"/>
        <v>132.62259082858577</v>
      </c>
      <c r="AD163" s="309">
        <f t="shared" si="104"/>
        <v>134.5341560034779</v>
      </c>
      <c r="AE163" s="309">
        <f t="shared" si="104"/>
        <v>136.45854764661277</v>
      </c>
      <c r="AF163" s="309">
        <f t="shared" si="104"/>
        <v>138.39554495430104</v>
      </c>
      <c r="AG163" s="309">
        <f t="shared" si="104"/>
        <v>140.3449202001068</v>
      </c>
      <c r="AI163" s="305"/>
      <c r="AJ163" s="339" t="s">
        <v>1363</v>
      </c>
    </row>
    <row r="164" spans="1:36" s="58" customFormat="1" outlineLevel="1">
      <c r="A164" s="307" t="s">
        <v>1368</v>
      </c>
      <c r="B164" s="308" t="s">
        <v>462</v>
      </c>
      <c r="C164" s="309">
        <f>C163*C130</f>
        <v>16.841307908141296</v>
      </c>
      <c r="D164" s="309">
        <f t="shared" ref="D164:AG164" si="105">D163*D130</f>
        <v>18.018700605446664</v>
      </c>
      <c r="E164" s="309">
        <f t="shared" si="105"/>
        <v>19.210946167117907</v>
      </c>
      <c r="F164" s="309">
        <f t="shared" si="105"/>
        <v>20.411442415135415</v>
      </c>
      <c r="G164" s="309">
        <f t="shared" si="105"/>
        <v>21.613175551828135</v>
      </c>
      <c r="H164" s="309">
        <f t="shared" si="105"/>
        <v>22.8087849387802</v>
      </c>
      <c r="I164" s="309">
        <f t="shared" si="105"/>
        <v>24.0423945304086</v>
      </c>
      <c r="J164" s="309">
        <f t="shared" si="105"/>
        <v>25.313976336573976</v>
      </c>
      <c r="K164" s="309">
        <f t="shared" si="105"/>
        <v>26.623432780173317</v>
      </c>
      <c r="L164" s="309">
        <f t="shared" si="105"/>
        <v>27.970594400565247</v>
      </c>
      <c r="M164" s="309">
        <f t="shared" si="105"/>
        <v>29.35521768029281</v>
      </c>
      <c r="N164" s="309">
        <f t="shared" si="105"/>
        <v>30.732947587079444</v>
      </c>
      <c r="O164" s="309">
        <f t="shared" si="105"/>
        <v>32.09721703866424</v>
      </c>
      <c r="P164" s="309">
        <f t="shared" si="105"/>
        <v>33.44886041863645</v>
      </c>
      <c r="Q164" s="309">
        <f t="shared" si="105"/>
        <v>34.774056739981511</v>
      </c>
      <c r="R164" s="309">
        <f t="shared" si="105"/>
        <v>36.065876371746384</v>
      </c>
      <c r="S164" s="309">
        <f t="shared" si="105"/>
        <v>37.384617615012139</v>
      </c>
      <c r="T164" s="309">
        <f t="shared" si="105"/>
        <v>38.730435320432328</v>
      </c>
      <c r="U164" s="309">
        <f t="shared" si="105"/>
        <v>40.103474692317612</v>
      </c>
      <c r="V164" s="309">
        <f t="shared" si="105"/>
        <v>41.503871014871855</v>
      </c>
      <c r="W164" s="309">
        <f t="shared" si="105"/>
        <v>42.931749380534704</v>
      </c>
      <c r="X164" s="309">
        <f t="shared" si="105"/>
        <v>44.387713319865995</v>
      </c>
      <c r="Y164" s="309">
        <f t="shared" si="105"/>
        <v>45.871916527073139</v>
      </c>
      <c r="Z164" s="309">
        <f t="shared" si="105"/>
        <v>47.400550277013629</v>
      </c>
      <c r="AA164" s="309">
        <f t="shared" si="105"/>
        <v>48.958739637725458</v>
      </c>
      <c r="AB164" s="309">
        <f t="shared" si="105"/>
        <v>50.546638856534017</v>
      </c>
      <c r="AC164" s="309">
        <f t="shared" si="105"/>
        <v>52.164885725910366</v>
      </c>
      <c r="AD164" s="309">
        <f t="shared" si="105"/>
        <v>53.81366240139112</v>
      </c>
      <c r="AE164" s="309">
        <f t="shared" si="105"/>
        <v>55.493142709622482</v>
      </c>
      <c r="AF164" s="309">
        <f t="shared" si="105"/>
        <v>57.203491914444385</v>
      </c>
      <c r="AG164" s="309">
        <f t="shared" si="105"/>
        <v>58.944866484044852</v>
      </c>
      <c r="AI164" s="305"/>
      <c r="AJ164" s="339" t="s">
        <v>1363</v>
      </c>
    </row>
    <row r="165" spans="1:36" s="62" customFormat="1" outlineLevel="1">
      <c r="A165" s="311" t="s">
        <v>1369</v>
      </c>
      <c r="B165" s="312" t="s">
        <v>462</v>
      </c>
      <c r="C165" s="313">
        <f>C163*C131</f>
        <v>59.710091674319138</v>
      </c>
      <c r="D165" s="313">
        <f t="shared" ref="D165:AG165" si="106">D163*D131</f>
        <v>61.475566771523916</v>
      </c>
      <c r="E165" s="313">
        <f t="shared" si="106"/>
        <v>63.121680263387425</v>
      </c>
      <c r="F165" s="313">
        <f t="shared" si="106"/>
        <v>64.636234314595498</v>
      </c>
      <c r="G165" s="313">
        <f t="shared" si="106"/>
        <v>66.007806415042694</v>
      </c>
      <c r="H165" s="313">
        <f t="shared" si="106"/>
        <v>67.225892451141647</v>
      </c>
      <c r="I165" s="313">
        <f t="shared" si="106"/>
        <v>68.428353663470645</v>
      </c>
      <c r="J165" s="313">
        <f t="shared" si="106"/>
        <v>69.61343492557846</v>
      </c>
      <c r="K165" s="313">
        <f t="shared" si="106"/>
        <v>70.779370074119328</v>
      </c>
      <c r="L165" s="313">
        <f t="shared" si="106"/>
        <v>71.924385601453523</v>
      </c>
      <c r="M165" s="313">
        <f t="shared" si="106"/>
        <v>73.046704460263541</v>
      </c>
      <c r="N165" s="313">
        <f t="shared" si="106"/>
        <v>74.038464641600513</v>
      </c>
      <c r="O165" s="313">
        <f t="shared" si="106"/>
        <v>74.893506423549937</v>
      </c>
      <c r="P165" s="313">
        <f t="shared" si="106"/>
        <v>75.623510511699848</v>
      </c>
      <c r="Q165" s="313">
        <f t="shared" si="106"/>
        <v>76.206975408895701</v>
      </c>
      <c r="R165" s="313">
        <f t="shared" si="106"/>
        <v>76.639987289961127</v>
      </c>
      <c r="S165" s="313">
        <f t="shared" si="106"/>
        <v>77.058089369718957</v>
      </c>
      <c r="T165" s="313">
        <f t="shared" si="106"/>
        <v>77.460870640864727</v>
      </c>
      <c r="U165" s="313">
        <f t="shared" si="106"/>
        <v>77.847921461557775</v>
      </c>
      <c r="V165" s="313">
        <f t="shared" si="106"/>
        <v>78.218833835720105</v>
      </c>
      <c r="W165" s="313">
        <f t="shared" si="106"/>
        <v>78.573201696450383</v>
      </c>
      <c r="X165" s="313">
        <f t="shared" si="106"/>
        <v>78.911490346428522</v>
      </c>
      <c r="Y165" s="313">
        <f t="shared" si="106"/>
        <v>79.233310364944586</v>
      </c>
      <c r="Z165" s="313">
        <f t="shared" si="106"/>
        <v>79.565209393558675</v>
      </c>
      <c r="AA165" s="313">
        <f t="shared" si="106"/>
        <v>79.880048882604797</v>
      </c>
      <c r="AB165" s="313">
        <f t="shared" si="106"/>
        <v>80.177427151743714</v>
      </c>
      <c r="AC165" s="313">
        <f t="shared" si="106"/>
        <v>80.457705102675405</v>
      </c>
      <c r="AD165" s="313">
        <f t="shared" si="106"/>
        <v>80.72049360208679</v>
      </c>
      <c r="AE165" s="313">
        <f t="shared" si="106"/>
        <v>80.965404936990296</v>
      </c>
      <c r="AF165" s="313">
        <f t="shared" si="106"/>
        <v>81.19205303985666</v>
      </c>
      <c r="AG165" s="313">
        <f t="shared" si="106"/>
        <v>81.400053716061947</v>
      </c>
      <c r="AI165" s="342"/>
      <c r="AJ165" s="341" t="s">
        <v>1363</v>
      </c>
    </row>
    <row r="166" spans="1:36" s="1" customFormat="1" outlineLevel="1">
      <c r="A166" t="s">
        <v>1370</v>
      </c>
      <c r="B166" s="302" t="s">
        <v>704</v>
      </c>
      <c r="C166" s="249">
        <f>C132*C163</f>
        <v>72.723829603337407</v>
      </c>
      <c r="D166" s="249">
        <f t="shared" ref="D166:AG166" si="107">D132*D163</f>
        <v>75.122082671237195</v>
      </c>
      <c r="E166" s="249">
        <f t="shared" si="107"/>
        <v>77.392668844675001</v>
      </c>
      <c r="F166" s="249">
        <f t="shared" si="107"/>
        <v>79.519577742298395</v>
      </c>
      <c r="G166" s="249">
        <f t="shared" si="107"/>
        <v>81.487513229189872</v>
      </c>
      <c r="H166" s="249">
        <f t="shared" si="107"/>
        <v>83.282076585677714</v>
      </c>
      <c r="I166" s="249">
        <f t="shared" si="107"/>
        <v>85.073088338368905</v>
      </c>
      <c r="J166" s="249">
        <f t="shared" si="107"/>
        <v>86.858581304869475</v>
      </c>
      <c r="K166" s="249">
        <f t="shared" si="107"/>
        <v>88.636550597406298</v>
      </c>
      <c r="L166" s="249">
        <f t="shared" si="107"/>
        <v>90.404956901826978</v>
      </c>
      <c r="M166" s="249">
        <f t="shared" si="107"/>
        <v>92.161729926500712</v>
      </c>
      <c r="N166" s="249">
        <f t="shared" si="107"/>
        <v>93.770413944668562</v>
      </c>
      <c r="O166" s="249">
        <f t="shared" si="107"/>
        <v>95.221743881370614</v>
      </c>
      <c r="P166" s="249">
        <f t="shared" si="107"/>
        <v>96.529048273347613</v>
      </c>
      <c r="Q166" s="249">
        <f t="shared" si="107"/>
        <v>97.663308291011944</v>
      </c>
      <c r="R166" s="249">
        <f t="shared" si="107"/>
        <v>98.617630703994053</v>
      </c>
      <c r="S166" s="249">
        <f t="shared" si="107"/>
        <v>99.565155076716039</v>
      </c>
      <c r="T166" s="249">
        <f t="shared" si="107"/>
        <v>100.50547965652193</v>
      </c>
      <c r="U166" s="249">
        <f t="shared" si="107"/>
        <v>101.43820069233283</v>
      </c>
      <c r="V166" s="249">
        <f t="shared" si="107"/>
        <v>102.36291264725611</v>
      </c>
      <c r="W166" s="249">
        <f t="shared" si="107"/>
        <v>103.2792084154373</v>
      </c>
      <c r="X166" s="249">
        <f t="shared" si="107"/>
        <v>104.18782709801884</v>
      </c>
      <c r="Y166" s="249">
        <f t="shared" si="107"/>
        <v>105.08839058929489</v>
      </c>
      <c r="Z166" s="249">
        <f t="shared" si="107"/>
        <v>106.01640932492786</v>
      </c>
      <c r="AA166" s="249">
        <f t="shared" si="107"/>
        <v>106.93619447187407</v>
      </c>
      <c r="AB166" s="249">
        <f t="shared" si="107"/>
        <v>107.84735445682911</v>
      </c>
      <c r="AC166" s="249">
        <f t="shared" si="107"/>
        <v>108.75052447944032</v>
      </c>
      <c r="AD166" s="249">
        <f t="shared" si="107"/>
        <v>109.64533714283446</v>
      </c>
      <c r="AE166" s="249">
        <f t="shared" si="107"/>
        <v>110.53142359375632</v>
      </c>
      <c r="AF166" s="249">
        <f t="shared" si="107"/>
        <v>111.40841368821232</v>
      </c>
      <c r="AG166" s="249">
        <f t="shared" si="107"/>
        <v>112.27593616008545</v>
      </c>
      <c r="AI166" s="316"/>
      <c r="AJ166" s="211" t="s">
        <v>1363</v>
      </c>
    </row>
    <row r="167" spans="1:36" s="1" customFormat="1" outlineLevel="1">
      <c r="A167" t="s">
        <v>1371</v>
      </c>
      <c r="B167" s="302" t="s">
        <v>704</v>
      </c>
      <c r="C167" s="249">
        <f>C133*C163</f>
        <v>3.8275699791230218</v>
      </c>
      <c r="D167" s="249">
        <f t="shared" ref="D167:AG167" si="108">D133*D163</f>
        <v>4.3721847057333827</v>
      </c>
      <c r="E167" s="249">
        <f t="shared" si="108"/>
        <v>4.9399575858303209</v>
      </c>
      <c r="F167" s="249">
        <f t="shared" si="108"/>
        <v>5.5280989874325108</v>
      </c>
      <c r="G167" s="249">
        <f t="shared" si="108"/>
        <v>6.1334687376809596</v>
      </c>
      <c r="H167" s="249">
        <f t="shared" si="108"/>
        <v>6.7526008042441417</v>
      </c>
      <c r="I167" s="249">
        <f t="shared" si="108"/>
        <v>7.3976598555103426</v>
      </c>
      <c r="J167" s="249">
        <f t="shared" si="108"/>
        <v>8.0688299572829596</v>
      </c>
      <c r="K167" s="249">
        <f t="shared" si="108"/>
        <v>8.7662522568863412</v>
      </c>
      <c r="L167" s="249">
        <f t="shared" si="108"/>
        <v>9.4900231001917881</v>
      </c>
      <c r="M167" s="249">
        <f t="shared" si="108"/>
        <v>10.240192214055639</v>
      </c>
      <c r="N167" s="249">
        <f t="shared" si="108"/>
        <v>11.000998284011402</v>
      </c>
      <c r="O167" s="249">
        <f t="shared" si="108"/>
        <v>11.768979580843565</v>
      </c>
      <c r="P167" s="249">
        <f t="shared" si="108"/>
        <v>12.54332265698868</v>
      </c>
      <c r="Q167" s="249">
        <f t="shared" si="108"/>
        <v>13.317723857865273</v>
      </c>
      <c r="R167" s="249">
        <f t="shared" si="108"/>
        <v>14.088232957713446</v>
      </c>
      <c r="S167" s="249">
        <f t="shared" si="108"/>
        <v>14.877551908015048</v>
      </c>
      <c r="T167" s="249">
        <f t="shared" si="108"/>
        <v>15.685826304775109</v>
      </c>
      <c r="U167" s="249">
        <f t="shared" si="108"/>
        <v>16.513195461542562</v>
      </c>
      <c r="V167" s="249">
        <f t="shared" si="108"/>
        <v>17.359792203335843</v>
      </c>
      <c r="W167" s="249">
        <f t="shared" si="108"/>
        <v>18.22574266154777</v>
      </c>
      <c r="X167" s="249">
        <f t="shared" si="108"/>
        <v>19.111376568275659</v>
      </c>
      <c r="Y167" s="249">
        <f t="shared" si="108"/>
        <v>20.016836302722851</v>
      </c>
      <c r="Z167" s="249">
        <f t="shared" si="108"/>
        <v>20.949350345644444</v>
      </c>
      <c r="AA167" s="249">
        <f t="shared" si="108"/>
        <v>21.902594048456152</v>
      </c>
      <c r="AB167" s="249">
        <f t="shared" si="108"/>
        <v>22.876711551448615</v>
      </c>
      <c r="AC167" s="249">
        <f t="shared" si="108"/>
        <v>23.872066349145452</v>
      </c>
      <c r="AD167" s="249">
        <f t="shared" si="108"/>
        <v>24.888818860643426</v>
      </c>
      <c r="AE167" s="249">
        <f t="shared" si="108"/>
        <v>25.927124052856442</v>
      </c>
      <c r="AF167" s="249">
        <f t="shared" si="108"/>
        <v>26.987131266088721</v>
      </c>
      <c r="AG167" s="249">
        <f t="shared" si="108"/>
        <v>28.068984040021363</v>
      </c>
      <c r="AI167" s="316"/>
      <c r="AJ167" s="211" t="s">
        <v>1363</v>
      </c>
    </row>
    <row r="168" spans="1:36" s="1" customFormat="1" outlineLevel="1">
      <c r="A168" t="s">
        <v>1372</v>
      </c>
      <c r="B168" s="302" t="s">
        <v>704</v>
      </c>
      <c r="C168" s="249">
        <f>C166*C134</f>
        <v>10.90857444050061</v>
      </c>
      <c r="D168" s="249">
        <f t="shared" ref="D168:AG168" si="109">D166*D134</f>
        <v>11.744085590936747</v>
      </c>
      <c r="E168" s="249">
        <f t="shared" si="109"/>
        <v>12.589207465400467</v>
      </c>
      <c r="F168" s="249">
        <f t="shared" si="109"/>
        <v>13.438808638448428</v>
      </c>
      <c r="G168" s="249">
        <f t="shared" si="109"/>
        <v>14.287477319517956</v>
      </c>
      <c r="H168" s="249">
        <f t="shared" si="109"/>
        <v>15.129577246398116</v>
      </c>
      <c r="I168" s="249">
        <f t="shared" si="109"/>
        <v>15.993740607613352</v>
      </c>
      <c r="J168" s="249">
        <f t="shared" si="109"/>
        <v>16.879517633579631</v>
      </c>
      <c r="K168" s="249">
        <f t="shared" si="109"/>
        <v>17.786401153212861</v>
      </c>
      <c r="L168" s="249">
        <f t="shared" si="109"/>
        <v>18.713826078678181</v>
      </c>
      <c r="M168" s="249">
        <f t="shared" si="109"/>
        <v>19.661169050986814</v>
      </c>
      <c r="N168" s="249">
        <f t="shared" si="109"/>
        <v>20.598234263178856</v>
      </c>
      <c r="O168" s="249">
        <f t="shared" si="109"/>
        <v>21.520114117189753</v>
      </c>
      <c r="P168" s="249">
        <f t="shared" si="109"/>
        <v>22.426915548841091</v>
      </c>
      <c r="Q168" s="249">
        <f t="shared" si="109"/>
        <v>23.308976245454843</v>
      </c>
      <c r="R168" s="249">
        <f t="shared" si="109"/>
        <v>24.161319522478536</v>
      </c>
      <c r="S168" s="249">
        <f t="shared" si="109"/>
        <v>25.024042309281295</v>
      </c>
      <c r="T168" s="249">
        <f t="shared" si="109"/>
        <v>25.896911924830484</v>
      </c>
      <c r="U168" s="249">
        <f t="shared" si="109"/>
        <v>26.779684982775869</v>
      </c>
      <c r="V168" s="249">
        <f t="shared" si="109"/>
        <v>27.672107385641571</v>
      </c>
      <c r="W168" s="249">
        <f t="shared" si="109"/>
        <v>28.573914328270991</v>
      </c>
      <c r="X168" s="249">
        <f t="shared" si="109"/>
        <v>29.485155068739342</v>
      </c>
      <c r="Y168" s="249">
        <f t="shared" si="109"/>
        <v>30.405574343835998</v>
      </c>
      <c r="Z168" s="249">
        <f t="shared" si="109"/>
        <v>31.345518357070354</v>
      </c>
      <c r="AA168" s="249">
        <f t="shared" si="109"/>
        <v>32.294730730505989</v>
      </c>
      <c r="AB168" s="249">
        <f t="shared" si="109"/>
        <v>33.252934290855663</v>
      </c>
      <c r="AC168" s="249">
        <f t="shared" si="109"/>
        <v>34.220165036197244</v>
      </c>
      <c r="AD168" s="249">
        <f t="shared" si="109"/>
        <v>35.196153222849887</v>
      </c>
      <c r="AE168" s="249">
        <f t="shared" si="109"/>
        <v>36.180619323022931</v>
      </c>
      <c r="AF168" s="249">
        <f t="shared" si="109"/>
        <v>37.173274033966877</v>
      </c>
      <c r="AG168" s="249">
        <f t="shared" si="109"/>
        <v>38.173818294429054</v>
      </c>
      <c r="AI168" s="316"/>
      <c r="AJ168" s="211" t="s">
        <v>1363</v>
      </c>
    </row>
    <row r="169" spans="1:36" s="1" customFormat="1" outlineLevel="1">
      <c r="A169" t="s">
        <v>1373</v>
      </c>
      <c r="B169" s="302" t="s">
        <v>704</v>
      </c>
      <c r="C169" s="249">
        <f>C166*C135</f>
        <v>61.815255162836792</v>
      </c>
      <c r="D169" s="249">
        <f t="shared" ref="D169:AG169" si="110">D166*D135</f>
        <v>63.377997080300446</v>
      </c>
      <c r="E169" s="249">
        <f t="shared" si="110"/>
        <v>64.803461379274538</v>
      </c>
      <c r="F169" s="249">
        <f t="shared" si="110"/>
        <v>66.080769103849974</v>
      </c>
      <c r="G169" s="249">
        <f t="shared" si="110"/>
        <v>67.200035909671925</v>
      </c>
      <c r="H169" s="249">
        <f t="shared" si="110"/>
        <v>68.152499339279601</v>
      </c>
      <c r="I169" s="249">
        <f t="shared" si="110"/>
        <v>69.079347730755558</v>
      </c>
      <c r="J169" s="249">
        <f t="shared" si="110"/>
        <v>69.97906367128985</v>
      </c>
      <c r="K169" s="249">
        <f t="shared" si="110"/>
        <v>70.850149444193448</v>
      </c>
      <c r="L169" s="249">
        <f t="shared" si="110"/>
        <v>71.691130823148811</v>
      </c>
      <c r="M169" s="249">
        <f t="shared" si="110"/>
        <v>72.500560875513926</v>
      </c>
      <c r="N169" s="249">
        <f t="shared" si="110"/>
        <v>73.172179681489737</v>
      </c>
      <c r="O169" s="249">
        <f t="shared" si="110"/>
        <v>73.701629764180893</v>
      </c>
      <c r="P169" s="249">
        <f t="shared" si="110"/>
        <v>74.102132724506561</v>
      </c>
      <c r="Q169" s="249">
        <f t="shared" si="110"/>
        <v>74.354332045557129</v>
      </c>
      <c r="R169" s="249">
        <f t="shared" si="110"/>
        <v>74.456311181515559</v>
      </c>
      <c r="S169" s="249">
        <f t="shared" si="110"/>
        <v>74.541112767434782</v>
      </c>
      <c r="T169" s="249">
        <f t="shared" si="110"/>
        <v>74.608567731691494</v>
      </c>
      <c r="U169" s="249">
        <f t="shared" si="110"/>
        <v>74.658515709557022</v>
      </c>
      <c r="V169" s="249">
        <f t="shared" si="110"/>
        <v>74.690805261614599</v>
      </c>
      <c r="W169" s="249">
        <f t="shared" si="110"/>
        <v>74.705294087166379</v>
      </c>
      <c r="X169" s="249">
        <f t="shared" si="110"/>
        <v>74.702672029279583</v>
      </c>
      <c r="Y169" s="249">
        <f t="shared" si="110"/>
        <v>74.682816245458966</v>
      </c>
      <c r="Z169" s="249">
        <f t="shared" si="110"/>
        <v>74.670890967857602</v>
      </c>
      <c r="AA169" s="249">
        <f t="shared" si="110"/>
        <v>74.641463741368185</v>
      </c>
      <c r="AB169" s="249">
        <f t="shared" si="110"/>
        <v>74.594420165973546</v>
      </c>
      <c r="AC169" s="249">
        <f t="shared" si="110"/>
        <v>74.530359443243185</v>
      </c>
      <c r="AD169" s="249">
        <f t="shared" si="110"/>
        <v>74.449183919984691</v>
      </c>
      <c r="AE169" s="249">
        <f t="shared" si="110"/>
        <v>74.350804270733505</v>
      </c>
      <c r="AF169" s="249">
        <f t="shared" si="110"/>
        <v>74.235139654245572</v>
      </c>
      <c r="AG169" s="249">
        <f t="shared" si="110"/>
        <v>74.102117865656396</v>
      </c>
      <c r="AI169" s="316"/>
      <c r="AJ169" s="211" t="s">
        <v>1363</v>
      </c>
    </row>
    <row r="170" spans="1:36" s="1" customFormat="1" outlineLevel="1">
      <c r="A170" t="s">
        <v>1374</v>
      </c>
      <c r="B170" s="302" t="s">
        <v>704</v>
      </c>
      <c r="C170" s="249">
        <f>C136*C169</f>
        <v>0</v>
      </c>
      <c r="D170" s="249">
        <f t="shared" ref="D170:AG170" si="111">D136*D169</f>
        <v>0</v>
      </c>
      <c r="E170" s="249">
        <f t="shared" si="111"/>
        <v>0</v>
      </c>
      <c r="F170" s="249">
        <f t="shared" si="111"/>
        <v>0</v>
      </c>
      <c r="G170" s="249">
        <f t="shared" si="111"/>
        <v>0</v>
      </c>
      <c r="H170" s="249">
        <f t="shared" si="111"/>
        <v>0</v>
      </c>
      <c r="I170" s="249">
        <f t="shared" si="111"/>
        <v>0</v>
      </c>
      <c r="J170" s="249">
        <f t="shared" si="111"/>
        <v>0</v>
      </c>
      <c r="K170" s="249">
        <f t="shared" si="111"/>
        <v>0</v>
      </c>
      <c r="L170" s="249">
        <f t="shared" si="111"/>
        <v>0</v>
      </c>
      <c r="M170" s="249">
        <f t="shared" si="111"/>
        <v>0</v>
      </c>
      <c r="N170" s="249">
        <f t="shared" si="111"/>
        <v>0</v>
      </c>
      <c r="O170" s="249">
        <f t="shared" si="111"/>
        <v>0</v>
      </c>
      <c r="P170" s="249">
        <f t="shared" si="111"/>
        <v>0</v>
      </c>
      <c r="Q170" s="249">
        <f t="shared" si="111"/>
        <v>0</v>
      </c>
      <c r="R170" s="249">
        <f t="shared" si="111"/>
        <v>0</v>
      </c>
      <c r="S170" s="249">
        <f t="shared" si="111"/>
        <v>0</v>
      </c>
      <c r="T170" s="249">
        <f t="shared" si="111"/>
        <v>0</v>
      </c>
      <c r="U170" s="249">
        <f t="shared" si="111"/>
        <v>0</v>
      </c>
      <c r="V170" s="249">
        <f t="shared" si="111"/>
        <v>0</v>
      </c>
      <c r="W170" s="249">
        <f t="shared" si="111"/>
        <v>0</v>
      </c>
      <c r="X170" s="249">
        <f t="shared" si="111"/>
        <v>0</v>
      </c>
      <c r="Y170" s="249">
        <f t="shared" si="111"/>
        <v>0</v>
      </c>
      <c r="Z170" s="249">
        <f t="shared" si="111"/>
        <v>0</v>
      </c>
      <c r="AA170" s="249">
        <f t="shared" si="111"/>
        <v>0</v>
      </c>
      <c r="AB170" s="249">
        <f t="shared" si="111"/>
        <v>0</v>
      </c>
      <c r="AC170" s="249">
        <f t="shared" si="111"/>
        <v>0</v>
      </c>
      <c r="AD170" s="249">
        <f t="shared" si="111"/>
        <v>0</v>
      </c>
      <c r="AE170" s="249">
        <f t="shared" si="111"/>
        <v>0</v>
      </c>
      <c r="AF170" s="249">
        <f t="shared" si="111"/>
        <v>0</v>
      </c>
      <c r="AG170" s="249">
        <f t="shared" si="111"/>
        <v>0</v>
      </c>
      <c r="AI170" s="316"/>
      <c r="AJ170" s="211" t="s">
        <v>1363</v>
      </c>
    </row>
    <row r="171" spans="1:36" s="1" customFormat="1" outlineLevel="1">
      <c r="A171" t="s">
        <v>1388</v>
      </c>
      <c r="B171" s="302" t="s">
        <v>704</v>
      </c>
      <c r="C171" s="249">
        <f>C137*C169</f>
        <v>61.815255162836792</v>
      </c>
      <c r="D171" s="249">
        <f t="shared" ref="D171:AG171" si="112">D137*D169</f>
        <v>63.377997080300446</v>
      </c>
      <c r="E171" s="249">
        <f t="shared" si="112"/>
        <v>64.803461379274538</v>
      </c>
      <c r="F171" s="249">
        <f t="shared" si="112"/>
        <v>66.080769103849974</v>
      </c>
      <c r="G171" s="249">
        <f t="shared" si="112"/>
        <v>67.200035909671925</v>
      </c>
      <c r="H171" s="249">
        <f t="shared" si="112"/>
        <v>68.152499339279601</v>
      </c>
      <c r="I171" s="249">
        <f t="shared" si="112"/>
        <v>69.079347730755558</v>
      </c>
      <c r="J171" s="249">
        <f t="shared" si="112"/>
        <v>69.97906367128985</v>
      </c>
      <c r="K171" s="249">
        <f t="shared" si="112"/>
        <v>70.850149444193448</v>
      </c>
      <c r="L171" s="249">
        <f t="shared" si="112"/>
        <v>71.691130823148811</v>
      </c>
      <c r="M171" s="249">
        <f t="shared" si="112"/>
        <v>72.500560875513926</v>
      </c>
      <c r="N171" s="249">
        <f t="shared" si="112"/>
        <v>73.172179681489737</v>
      </c>
      <c r="O171" s="249">
        <f t="shared" si="112"/>
        <v>73.701629764180893</v>
      </c>
      <c r="P171" s="249">
        <f t="shared" si="112"/>
        <v>74.102132724506561</v>
      </c>
      <c r="Q171" s="249">
        <f t="shared" si="112"/>
        <v>74.354332045557129</v>
      </c>
      <c r="R171" s="249">
        <f t="shared" si="112"/>
        <v>74.456311181515559</v>
      </c>
      <c r="S171" s="249">
        <f t="shared" si="112"/>
        <v>74.541112767434782</v>
      </c>
      <c r="T171" s="249">
        <f t="shared" si="112"/>
        <v>74.608567731691494</v>
      </c>
      <c r="U171" s="249">
        <f t="shared" si="112"/>
        <v>74.658515709557022</v>
      </c>
      <c r="V171" s="249">
        <f t="shared" si="112"/>
        <v>74.690805261614599</v>
      </c>
      <c r="W171" s="249">
        <f t="shared" si="112"/>
        <v>74.705294087166379</v>
      </c>
      <c r="X171" s="249">
        <f t="shared" si="112"/>
        <v>74.702672029279583</v>
      </c>
      <c r="Y171" s="249">
        <f t="shared" si="112"/>
        <v>74.682816245458966</v>
      </c>
      <c r="Z171" s="249">
        <f t="shared" si="112"/>
        <v>74.670890967857602</v>
      </c>
      <c r="AA171" s="249">
        <f t="shared" si="112"/>
        <v>74.641463741368185</v>
      </c>
      <c r="AB171" s="249">
        <f t="shared" si="112"/>
        <v>74.594420165973546</v>
      </c>
      <c r="AC171" s="249">
        <f t="shared" si="112"/>
        <v>74.530359443243185</v>
      </c>
      <c r="AD171" s="249">
        <f t="shared" si="112"/>
        <v>74.449183919984691</v>
      </c>
      <c r="AE171" s="249">
        <f t="shared" si="112"/>
        <v>74.350804270733505</v>
      </c>
      <c r="AF171" s="249">
        <f t="shared" si="112"/>
        <v>74.235139654245572</v>
      </c>
      <c r="AG171" s="249">
        <f t="shared" si="112"/>
        <v>74.102117865656396</v>
      </c>
      <c r="AI171" s="316"/>
      <c r="AJ171" s="211" t="s">
        <v>1363</v>
      </c>
    </row>
    <row r="172" spans="1:36" s="1" customFormat="1" outlineLevel="1">
      <c r="A172" t="s">
        <v>1376</v>
      </c>
      <c r="B172" s="302" t="s">
        <v>704</v>
      </c>
      <c r="C172" s="249">
        <f>C138*(C170+C168)</f>
        <v>8.7268595524004891</v>
      </c>
      <c r="D172" s="249">
        <f t="shared" ref="D172:AG172" si="113">D138*(D170+D168)</f>
        <v>9.4344154247191874</v>
      </c>
      <c r="E172" s="249">
        <f t="shared" si="113"/>
        <v>10.155294022089709</v>
      </c>
      <c r="F172" s="249">
        <f t="shared" si="113"/>
        <v>10.885434997143227</v>
      </c>
      <c r="G172" s="249">
        <f t="shared" si="113"/>
        <v>11.620481553207936</v>
      </c>
      <c r="H172" s="249">
        <f t="shared" si="113"/>
        <v>12.355821417891793</v>
      </c>
      <c r="I172" s="249">
        <f t="shared" si="113"/>
        <v>13.114867298242947</v>
      </c>
      <c r="J172" s="249">
        <f t="shared" si="113"/>
        <v>13.897469518313892</v>
      </c>
      <c r="K172" s="249">
        <f t="shared" si="113"/>
        <v>14.703424953322628</v>
      </c>
      <c r="L172" s="249">
        <f t="shared" si="113"/>
        <v>15.532475645302886</v>
      </c>
      <c r="M172" s="249">
        <f t="shared" si="113"/>
        <v>16.384307542489005</v>
      </c>
      <c r="N172" s="249">
        <f t="shared" si="113"/>
        <v>17.233856000192969</v>
      </c>
      <c r="O172" s="249">
        <f t="shared" si="113"/>
        <v>18.076895858439386</v>
      </c>
      <c r="P172" s="249">
        <f t="shared" si="113"/>
        <v>18.91336544618931</v>
      </c>
      <c r="Q172" s="249">
        <f t="shared" si="113"/>
        <v>19.734933221151756</v>
      </c>
      <c r="R172" s="249">
        <f t="shared" si="113"/>
        <v>20.537121594106743</v>
      </c>
      <c r="S172" s="249">
        <f t="shared" si="113"/>
        <v>21.353849437253359</v>
      </c>
      <c r="T172" s="249">
        <f t="shared" si="113"/>
        <v>22.185021215604767</v>
      </c>
      <c r="U172" s="249">
        <f t="shared" si="113"/>
        <v>23.030529085187233</v>
      </c>
      <c r="V172" s="249">
        <f t="shared" si="113"/>
        <v>23.890252709603871</v>
      </c>
      <c r="W172" s="249">
        <f t="shared" si="113"/>
        <v>24.764059084501508</v>
      </c>
      <c r="X172" s="249">
        <f t="shared" si="113"/>
        <v>25.652084909803207</v>
      </c>
      <c r="Y172" s="249">
        <f t="shared" si="113"/>
        <v>26.554201593616749</v>
      </c>
      <c r="Z172" s="249">
        <f t="shared" si="113"/>
        <v>27.479571093031655</v>
      </c>
      <c r="AA172" s="249">
        <f t="shared" si="113"/>
        <v>28.419363042845244</v>
      </c>
      <c r="AB172" s="249">
        <f t="shared" si="113"/>
        <v>29.37342529025581</v>
      </c>
      <c r="AC172" s="249">
        <f t="shared" si="113"/>
        <v>30.341879665428195</v>
      </c>
      <c r="AD172" s="249">
        <f t="shared" si="113"/>
        <v>31.32457636833637</v>
      </c>
      <c r="AE172" s="249">
        <f t="shared" si="113"/>
        <v>32.321353261900455</v>
      </c>
      <c r="AF172" s="249">
        <f t="shared" si="113"/>
        <v>33.332035717123595</v>
      </c>
      <c r="AG172" s="249">
        <f t="shared" si="113"/>
        <v>34.356436464986153</v>
      </c>
      <c r="AH172" s="249"/>
      <c r="AI172" s="316"/>
      <c r="AJ172" s="211" t="s">
        <v>1363</v>
      </c>
    </row>
    <row r="173" spans="1:36" s="1" customFormat="1" outlineLevel="1">
      <c r="A173" t="s">
        <v>1377</v>
      </c>
      <c r="B173" s="302" t="s">
        <v>704</v>
      </c>
      <c r="C173" s="249">
        <f>C139*(C170+C168)</f>
        <v>2.1817148881001223</v>
      </c>
      <c r="D173" s="249">
        <f t="shared" ref="D173:AG173" si="114">D139*(D170+D168)</f>
        <v>2.3096701662175603</v>
      </c>
      <c r="E173" s="249">
        <f t="shared" si="114"/>
        <v>2.433913443310757</v>
      </c>
      <c r="F173" s="249">
        <f t="shared" si="114"/>
        <v>2.5533736413052019</v>
      </c>
      <c r="G173" s="249">
        <f t="shared" si="114"/>
        <v>2.666995766310019</v>
      </c>
      <c r="H173" s="249">
        <f t="shared" si="114"/>
        <v>2.7737558285063217</v>
      </c>
      <c r="I173" s="249">
        <f t="shared" si="114"/>
        <v>2.8788733093704044</v>
      </c>
      <c r="J173" s="249">
        <f t="shared" si="114"/>
        <v>2.9820481152657359</v>
      </c>
      <c r="K173" s="249">
        <f t="shared" si="114"/>
        <v>3.0829761998902301</v>
      </c>
      <c r="L173" s="249">
        <f t="shared" si="114"/>
        <v>3.1813504333752922</v>
      </c>
      <c r="M173" s="249">
        <f t="shared" si="114"/>
        <v>3.2768615084978037</v>
      </c>
      <c r="N173" s="249">
        <f t="shared" si="114"/>
        <v>3.3643782629858814</v>
      </c>
      <c r="O173" s="249">
        <f t="shared" si="114"/>
        <v>3.4432182587503624</v>
      </c>
      <c r="P173" s="249">
        <f t="shared" si="114"/>
        <v>3.5135501026517728</v>
      </c>
      <c r="Q173" s="249">
        <f t="shared" si="114"/>
        <v>3.5740430243030783</v>
      </c>
      <c r="R173" s="249">
        <f t="shared" si="114"/>
        <v>3.6241979283717831</v>
      </c>
      <c r="S173" s="249">
        <f t="shared" si="114"/>
        <v>3.670192872027926</v>
      </c>
      <c r="T173" s="249">
        <f t="shared" si="114"/>
        <v>3.7118907092257056</v>
      </c>
      <c r="U173" s="249">
        <f t="shared" si="114"/>
        <v>3.7491558975886252</v>
      </c>
      <c r="V173" s="249">
        <f t="shared" si="114"/>
        <v>3.781854676037685</v>
      </c>
      <c r="W173" s="249">
        <f t="shared" si="114"/>
        <v>3.8098552437694693</v>
      </c>
      <c r="X173" s="249">
        <f t="shared" si="114"/>
        <v>3.8330701589361187</v>
      </c>
      <c r="Y173" s="249">
        <f t="shared" si="114"/>
        <v>3.8513727502192308</v>
      </c>
      <c r="Z173" s="249">
        <f t="shared" si="114"/>
        <v>3.8659472640386818</v>
      </c>
      <c r="AA173" s="249">
        <f t="shared" si="114"/>
        <v>3.8753676876607241</v>
      </c>
      <c r="AB173" s="249">
        <f t="shared" si="114"/>
        <v>3.8795090005998327</v>
      </c>
      <c r="AC173" s="249">
        <f t="shared" si="114"/>
        <v>3.878285370769027</v>
      </c>
      <c r="AD173" s="249">
        <f t="shared" si="114"/>
        <v>3.8715768545134939</v>
      </c>
      <c r="AE173" s="249">
        <f t="shared" si="114"/>
        <v>3.8592660611224527</v>
      </c>
      <c r="AF173" s="249">
        <f t="shared" si="114"/>
        <v>3.8412383168432509</v>
      </c>
      <c r="AG173" s="249">
        <f t="shared" si="114"/>
        <v>3.8173818294429056</v>
      </c>
      <c r="AI173" s="316"/>
      <c r="AJ173" s="211" t="s">
        <v>1363</v>
      </c>
    </row>
    <row r="174" spans="1:36" s="1" customFormat="1" outlineLevel="1">
      <c r="A174" t="s">
        <v>1378</v>
      </c>
      <c r="B174" s="302" t="s">
        <v>704</v>
      </c>
      <c r="C174" s="249">
        <f>C167*C140</f>
        <v>3.6361914801668704</v>
      </c>
      <c r="D174" s="249">
        <f t="shared" ref="D174:AG174" si="115">D167*D140</f>
        <v>4.1477458908390687</v>
      </c>
      <c r="E174" s="249">
        <f t="shared" si="115"/>
        <v>4.6797864863099239</v>
      </c>
      <c r="F174" s="249">
        <f t="shared" si="115"/>
        <v>5.2295816421111558</v>
      </c>
      <c r="G174" s="249">
        <f t="shared" si="115"/>
        <v>5.7940834675292807</v>
      </c>
      <c r="H174" s="249">
        <f t="shared" si="115"/>
        <v>6.3699534253369743</v>
      </c>
      <c r="I174" s="249">
        <f t="shared" si="115"/>
        <v>6.9685955838907443</v>
      </c>
      <c r="J174" s="249">
        <f t="shared" si="115"/>
        <v>7.5900793798175057</v>
      </c>
      <c r="K174" s="249">
        <f t="shared" si="115"/>
        <v>8.2344329533019049</v>
      </c>
      <c r="L174" s="249">
        <f t="shared" si="115"/>
        <v>8.9016416679799004</v>
      </c>
      <c r="M174" s="249">
        <f t="shared" si="115"/>
        <v>9.5916467071654523</v>
      </c>
      <c r="N174" s="249">
        <f t="shared" si="115"/>
        <v>10.289600394978669</v>
      </c>
      <c r="O174" s="249">
        <f t="shared" si="115"/>
        <v>10.992226928507895</v>
      </c>
      <c r="P174" s="249">
        <f t="shared" si="115"/>
        <v>11.698738931418115</v>
      </c>
      <c r="Q174" s="249">
        <f t="shared" si="115"/>
        <v>12.40324015295853</v>
      </c>
      <c r="R174" s="249">
        <f t="shared" si="115"/>
        <v>13.102056650673513</v>
      </c>
      <c r="S174" s="249">
        <f t="shared" si="115"/>
        <v>13.81628653857665</v>
      </c>
      <c r="T174" s="249">
        <f t="shared" si="115"/>
        <v>14.545989593294793</v>
      </c>
      <c r="U174" s="249">
        <f t="shared" si="115"/>
        <v>15.291218997388423</v>
      </c>
      <c r="V174" s="249">
        <f t="shared" si="115"/>
        <v>16.052021190684552</v>
      </c>
      <c r="W174" s="249">
        <f t="shared" si="115"/>
        <v>16.828435724162453</v>
      </c>
      <c r="X174" s="249">
        <f t="shared" si="115"/>
        <v>17.62068919595017</v>
      </c>
      <c r="Y174" s="249">
        <f t="shared" si="115"/>
        <v>18.428833956040187</v>
      </c>
      <c r="Z174" s="249">
        <f t="shared" si="115"/>
        <v>19.25943608442914</v>
      </c>
      <c r="AA174" s="249">
        <f t="shared" si="115"/>
        <v>20.106581336482765</v>
      </c>
      <c r="AB174" s="249">
        <f t="shared" si="115"/>
        <v>20.970318922161251</v>
      </c>
      <c r="AC174" s="249">
        <f t="shared" si="115"/>
        <v>21.850898064917825</v>
      </c>
      <c r="AD174" s="249">
        <f t="shared" si="115"/>
        <v>22.748380438628114</v>
      </c>
      <c r="AE174" s="249">
        <f t="shared" si="115"/>
        <v>23.66282188557367</v>
      </c>
      <c r="AF174" s="249">
        <f t="shared" si="115"/>
        <v>24.59427229382888</v>
      </c>
      <c r="AG174" s="249">
        <f t="shared" si="115"/>
        <v>25.54277547641944</v>
      </c>
      <c r="AI174" s="316"/>
      <c r="AJ174" s="211" t="s">
        <v>1363</v>
      </c>
    </row>
    <row r="175" spans="1:36" s="1" customFormat="1" outlineLevel="1">
      <c r="A175" t="s">
        <v>1389</v>
      </c>
      <c r="B175" s="302" t="s">
        <v>704</v>
      </c>
      <c r="C175" s="249">
        <f>C167*C141</f>
        <v>0.19137849895615111</v>
      </c>
      <c r="D175" s="249">
        <f t="shared" ref="D175:AG175" si="116">D167*D141</f>
        <v>0.22443881489431367</v>
      </c>
      <c r="E175" s="249">
        <f t="shared" si="116"/>
        <v>0.26017109952039691</v>
      </c>
      <c r="F175" s="249">
        <f t="shared" si="116"/>
        <v>0.2985173453213556</v>
      </c>
      <c r="G175" s="249">
        <f t="shared" si="116"/>
        <v>0.33938527015167974</v>
      </c>
      <c r="H175" s="249">
        <f t="shared" si="116"/>
        <v>0.38264737890716799</v>
      </c>
      <c r="I175" s="249">
        <f t="shared" si="116"/>
        <v>0.42906427161959981</v>
      </c>
      <c r="J175" s="249">
        <f t="shared" si="116"/>
        <v>0.47875057746545557</v>
      </c>
      <c r="K175" s="249">
        <f t="shared" si="116"/>
        <v>0.53181930358443796</v>
      </c>
      <c r="L175" s="249">
        <f t="shared" si="116"/>
        <v>0.58838143221189076</v>
      </c>
      <c r="M175" s="249">
        <f t="shared" si="116"/>
        <v>0.64854550689019042</v>
      </c>
      <c r="N175" s="249">
        <f t="shared" si="116"/>
        <v>0.71139788903273726</v>
      </c>
      <c r="O175" s="249">
        <f t="shared" si="116"/>
        <v>0.77675265233567536</v>
      </c>
      <c r="P175" s="249">
        <f t="shared" si="116"/>
        <v>0.84458372557057126</v>
      </c>
      <c r="Q175" s="249">
        <f t="shared" si="116"/>
        <v>0.91448370490674891</v>
      </c>
      <c r="R175" s="249">
        <f t="shared" si="116"/>
        <v>0.98617630703994152</v>
      </c>
      <c r="S175" s="249">
        <f t="shared" si="116"/>
        <v>1.0612653694384071</v>
      </c>
      <c r="T175" s="249">
        <f t="shared" si="116"/>
        <v>1.1398367114803252</v>
      </c>
      <c r="U175" s="249">
        <f t="shared" si="116"/>
        <v>1.2219764641541502</v>
      </c>
      <c r="V175" s="249">
        <f t="shared" si="116"/>
        <v>1.3077710126513009</v>
      </c>
      <c r="W175" s="249">
        <f t="shared" si="116"/>
        <v>1.39730693738533</v>
      </c>
      <c r="X175" s="249">
        <f t="shared" si="116"/>
        <v>1.4906873723255025</v>
      </c>
      <c r="Y175" s="249">
        <f t="shared" si="116"/>
        <v>1.5880023466826807</v>
      </c>
      <c r="Z175" s="249">
        <f t="shared" si="116"/>
        <v>1.68991426121532</v>
      </c>
      <c r="AA175" s="249">
        <f t="shared" si="116"/>
        <v>1.796012711973406</v>
      </c>
      <c r="AB175" s="249">
        <f t="shared" si="116"/>
        <v>1.9063926292873863</v>
      </c>
      <c r="AC175" s="249">
        <f t="shared" si="116"/>
        <v>2.0211682842276502</v>
      </c>
      <c r="AD175" s="249">
        <f t="shared" si="116"/>
        <v>2.140438422015337</v>
      </c>
      <c r="AE175" s="249">
        <f t="shared" si="116"/>
        <v>2.2643021672827985</v>
      </c>
      <c r="AF175" s="249">
        <f t="shared" si="116"/>
        <v>2.3928589722598694</v>
      </c>
      <c r="AG175" s="249">
        <f t="shared" si="116"/>
        <v>2.5262085636019225</v>
      </c>
      <c r="AI175" s="316"/>
      <c r="AJ175" s="211" t="s">
        <v>1363</v>
      </c>
    </row>
    <row r="176" spans="1:36" s="1" customFormat="1" outlineLevel="1">
      <c r="A176" t="s">
        <v>1380</v>
      </c>
      <c r="B176" s="302" t="s">
        <v>704</v>
      </c>
      <c r="C176" s="249">
        <f t="shared" ref="C176:AG176" si="117">C172*C142</f>
        <v>2.3562520791481321</v>
      </c>
      <c r="D176" s="249">
        <f t="shared" si="117"/>
        <v>2.5095545029753041</v>
      </c>
      <c r="E176" s="249">
        <f t="shared" si="117"/>
        <v>2.6606870337875037</v>
      </c>
      <c r="F176" s="249">
        <f t="shared" si="117"/>
        <v>2.8084422292629525</v>
      </c>
      <c r="G176" s="249">
        <f t="shared" si="117"/>
        <v>2.9516023145148158</v>
      </c>
      <c r="H176" s="249">
        <f t="shared" si="117"/>
        <v>3.0889553544729482</v>
      </c>
      <c r="I176" s="249">
        <f t="shared" si="117"/>
        <v>3.2262573553677649</v>
      </c>
      <c r="J176" s="249">
        <f t="shared" si="117"/>
        <v>3.363187623431962</v>
      </c>
      <c r="K176" s="249">
        <f t="shared" si="117"/>
        <v>3.4994151388907855</v>
      </c>
      <c r="L176" s="249">
        <f t="shared" si="117"/>
        <v>3.634599301000875</v>
      </c>
      <c r="M176" s="249">
        <f t="shared" si="117"/>
        <v>3.7683907347724706</v>
      </c>
      <c r="N176" s="249">
        <f t="shared" si="117"/>
        <v>3.8948514560436105</v>
      </c>
      <c r="O176" s="249">
        <f t="shared" si="117"/>
        <v>4.0130708805735429</v>
      </c>
      <c r="P176" s="249">
        <f t="shared" si="117"/>
        <v>4.1231136672692692</v>
      </c>
      <c r="Q176" s="249">
        <f t="shared" si="117"/>
        <v>4.223275709326475</v>
      </c>
      <c r="R176" s="249">
        <f t="shared" si="117"/>
        <v>4.3127955347624152</v>
      </c>
      <c r="S176" s="249">
        <f t="shared" si="117"/>
        <v>4.398892984074191</v>
      </c>
      <c r="T176" s="249">
        <f t="shared" si="117"/>
        <v>4.4813742855521621</v>
      </c>
      <c r="U176" s="249">
        <f t="shared" si="117"/>
        <v>4.5600447588670709</v>
      </c>
      <c r="V176" s="249">
        <f t="shared" si="117"/>
        <v>4.6347090256631498</v>
      </c>
      <c r="W176" s="249">
        <f t="shared" si="117"/>
        <v>4.7051712260552847</v>
      </c>
      <c r="X176" s="249">
        <f t="shared" si="117"/>
        <v>4.7712877932233955</v>
      </c>
      <c r="Y176" s="249">
        <f t="shared" si="117"/>
        <v>4.8328646900382468</v>
      </c>
      <c r="Z176" s="249">
        <f t="shared" si="117"/>
        <v>4.8913636545596333</v>
      </c>
      <c r="AA176" s="249">
        <f t="shared" si="117"/>
        <v>4.9449691694550708</v>
      </c>
      <c r="AB176" s="249">
        <f t="shared" si="117"/>
        <v>4.9934822993434853</v>
      </c>
      <c r="AC176" s="249">
        <f t="shared" si="117"/>
        <v>5.0367520244610784</v>
      </c>
      <c r="AD176" s="249">
        <f t="shared" si="117"/>
        <v>5.0745813716704893</v>
      </c>
      <c r="AE176" s="249">
        <f t="shared" si="117"/>
        <v>5.1067738153802695</v>
      </c>
      <c r="AF176" s="249">
        <f t="shared" si="117"/>
        <v>5.1331335004370304</v>
      </c>
      <c r="AG176" s="249">
        <f t="shared" si="117"/>
        <v>5.153465469747923</v>
      </c>
      <c r="AI176" s="316"/>
      <c r="AJ176" s="211"/>
    </row>
    <row r="177" spans="1:36" s="67" customFormat="1">
      <c r="A177" s="345" t="s">
        <v>1381</v>
      </c>
      <c r="B177" s="308" t="s">
        <v>704</v>
      </c>
      <c r="C177" s="309">
        <f>C143*C$162</f>
        <v>13.809598837176328</v>
      </c>
      <c r="D177" s="309">
        <f t="shared" ref="D177:AF177" si="118">D143*D$162</f>
        <v>14.686556482184706</v>
      </c>
      <c r="E177" s="309">
        <f t="shared" si="118"/>
        <v>15.560666476867086</v>
      </c>
      <c r="F177" s="309">
        <f t="shared" si="118"/>
        <v>16.426074289926774</v>
      </c>
      <c r="G177" s="309">
        <f t="shared" si="118"/>
        <v>17.276760807302267</v>
      </c>
      <c r="H177" s="309">
        <f t="shared" si="118"/>
        <v>18.106610977916148</v>
      </c>
      <c r="I177" s="309">
        <f t="shared" si="118"/>
        <v>18.950282691196058</v>
      </c>
      <c r="J177" s="309">
        <f t="shared" si="118"/>
        <v>19.806899873947557</v>
      </c>
      <c r="K177" s="309">
        <f t="shared" si="118"/>
        <v>20.675530195280174</v>
      </c>
      <c r="L177" s="309">
        <f t="shared" si="118"/>
        <v>21.55518582993777</v>
      </c>
      <c r="M177" s="309">
        <f t="shared" si="118"/>
        <v>22.44482442533484</v>
      </c>
      <c r="N177" s="309">
        <f t="shared" si="118"/>
        <v>23.207785848007852</v>
      </c>
      <c r="O177" s="309">
        <f t="shared" si="118"/>
        <v>23.930605670892632</v>
      </c>
      <c r="P177" s="309">
        <f t="shared" si="118"/>
        <v>24.613839035686791</v>
      </c>
      <c r="Q177" s="309">
        <f t="shared" si="118"/>
        <v>25.247590878542585</v>
      </c>
      <c r="R177" s="309">
        <f t="shared" si="118"/>
        <v>25.827414232787959</v>
      </c>
      <c r="S177" s="309">
        <f t="shared" si="118"/>
        <v>26.3966400675994</v>
      </c>
      <c r="T177" s="309">
        <f t="shared" si="118"/>
        <v>26.954331007527582</v>
      </c>
      <c r="U177" s="309">
        <f t="shared" si="118"/>
        <v>27.499532267190876</v>
      </c>
      <c r="V177" s="309">
        <f t="shared" si="118"/>
        <v>28.031272058239136</v>
      </c>
      <c r="W177" s="309">
        <f t="shared" si="118"/>
        <v>28.548562021280016</v>
      </c>
      <c r="X177" s="309">
        <f t="shared" si="118"/>
        <v>28.848122110663141</v>
      </c>
      <c r="Y177" s="309">
        <f t="shared" si="118"/>
        <v>29.115379678462002</v>
      </c>
      <c r="Z177" s="309">
        <f t="shared" si="118"/>
        <v>29.357604500327927</v>
      </c>
      <c r="AA177" s="309">
        <f t="shared" si="118"/>
        <v>29.564141258101493</v>
      </c>
      <c r="AB177" s="309">
        <f t="shared" si="118"/>
        <v>29.733286208845232</v>
      </c>
      <c r="AC177" s="309">
        <f t="shared" si="118"/>
        <v>29.863595163915836</v>
      </c>
      <c r="AD177" s="309">
        <f t="shared" si="118"/>
        <v>29.953322542562866</v>
      </c>
      <c r="AE177" s="309">
        <f t="shared" si="118"/>
        <v>30.000699234893172</v>
      </c>
      <c r="AF177" s="309">
        <f t="shared" si="118"/>
        <v>30.003933310990682</v>
      </c>
      <c r="AG177" s="309">
        <f>AG143*AG$162</f>
        <v>29.961210762549236</v>
      </c>
      <c r="AI177" s="337"/>
      <c r="AJ177" s="348"/>
    </row>
    <row r="178" spans="1:36">
      <c r="A178" s="346" t="s">
        <v>1382</v>
      </c>
      <c r="B178" s="302" t="s">
        <v>704</v>
      </c>
      <c r="C178" s="249">
        <f t="shared" ref="C178:AG178" si="119">C144*C$162</f>
        <v>31.934697310970254</v>
      </c>
      <c r="D178" s="249">
        <f t="shared" si="119"/>
        <v>33.015142092007956</v>
      </c>
      <c r="E178" s="249">
        <f t="shared" si="119"/>
        <v>34.03895791814675</v>
      </c>
      <c r="F178" s="249">
        <f t="shared" si="119"/>
        <v>34.998737833650793</v>
      </c>
      <c r="G178" s="249">
        <f t="shared" si="119"/>
        <v>35.887389176933013</v>
      </c>
      <c r="H178" s="249">
        <f t="shared" si="119"/>
        <v>36.698220464169331</v>
      </c>
      <c r="I178" s="249">
        <f t="shared" si="119"/>
        <v>37.505767826325524</v>
      </c>
      <c r="J178" s="249">
        <f t="shared" si="119"/>
        <v>38.308953303496537</v>
      </c>
      <c r="K178" s="249">
        <f t="shared" si="119"/>
        <v>39.106677178572689</v>
      </c>
      <c r="L178" s="249">
        <f t="shared" si="119"/>
        <v>39.897819925605958</v>
      </c>
      <c r="M178" s="249">
        <f t="shared" si="119"/>
        <v>40.681244270919386</v>
      </c>
      <c r="N178" s="249">
        <f t="shared" si="119"/>
        <v>41.215046513611497</v>
      </c>
      <c r="O178" s="249">
        <f t="shared" si="119"/>
        <v>41.664893802000556</v>
      </c>
      <c r="P178" s="249">
        <f t="shared" si="119"/>
        <v>42.036716376354605</v>
      </c>
      <c r="Q178" s="249">
        <f t="shared" si="119"/>
        <v>42.318405165738973</v>
      </c>
      <c r="R178" s="249">
        <f t="shared" si="119"/>
        <v>42.507619258130163</v>
      </c>
      <c r="S178" s="249">
        <f t="shared" si="119"/>
        <v>42.679350109297928</v>
      </c>
      <c r="T178" s="249">
        <f t="shared" si="119"/>
        <v>42.833012704781183</v>
      </c>
      <c r="U178" s="249">
        <f t="shared" si="119"/>
        <v>42.968019167485714</v>
      </c>
      <c r="V178" s="249">
        <f t="shared" si="119"/>
        <v>43.083779120125172</v>
      </c>
      <c r="W178" s="249">
        <f t="shared" si="119"/>
        <v>43.17970005718599</v>
      </c>
      <c r="X178" s="249">
        <f t="shared" si="119"/>
        <v>42.954005348597647</v>
      </c>
      <c r="Y178" s="249">
        <f t="shared" si="119"/>
        <v>42.693225009283175</v>
      </c>
      <c r="Z178" s="249">
        <f t="shared" si="119"/>
        <v>42.409275368987814</v>
      </c>
      <c r="AA178" s="249">
        <f t="shared" si="119"/>
        <v>42.087839985491655</v>
      </c>
      <c r="AB178" s="249">
        <f t="shared" si="119"/>
        <v>41.727964168095234</v>
      </c>
      <c r="AC178" s="249">
        <f t="shared" si="119"/>
        <v>41.329082592919171</v>
      </c>
      <c r="AD178" s="249">
        <f t="shared" si="119"/>
        <v>40.890226497248584</v>
      </c>
      <c r="AE178" s="249">
        <f t="shared" si="119"/>
        <v>40.410424615965951</v>
      </c>
      <c r="AF178" s="249">
        <f t="shared" si="119"/>
        <v>39.888703713234364</v>
      </c>
      <c r="AG178" s="249">
        <f t="shared" si="119"/>
        <v>39.324089125845873</v>
      </c>
      <c r="AI178" s="296"/>
    </row>
    <row r="179" spans="1:36">
      <c r="A179" s="346" t="s">
        <v>1383</v>
      </c>
      <c r="B179" s="302" t="s">
        <v>704</v>
      </c>
      <c r="C179" s="249">
        <f t="shared" ref="C179:AG179" si="120">C145*C$162</f>
        <v>6.9047994185881638</v>
      </c>
      <c r="D179" s="249">
        <f t="shared" si="120"/>
        <v>6.8991283474778955</v>
      </c>
      <c r="E179" s="249">
        <f t="shared" si="120"/>
        <v>6.868575437054611</v>
      </c>
      <c r="F179" s="249">
        <f t="shared" si="120"/>
        <v>6.8130876316173534</v>
      </c>
      <c r="G179" s="249">
        <f t="shared" si="120"/>
        <v>6.7328553146104397</v>
      </c>
      <c r="H179" s="249">
        <f t="shared" si="120"/>
        <v>6.6283129472728737</v>
      </c>
      <c r="I179" s="249">
        <f t="shared" si="120"/>
        <v>6.5141596750986421</v>
      </c>
      <c r="J179" s="249">
        <f t="shared" si="120"/>
        <v>6.3904018174391579</v>
      </c>
      <c r="K179" s="249">
        <f t="shared" si="120"/>
        <v>6.2570683485716279</v>
      </c>
      <c r="L179" s="249">
        <f t="shared" si="120"/>
        <v>6.1142113652227295</v>
      </c>
      <c r="M179" s="249">
        <f t="shared" si="120"/>
        <v>5.9619064879795634</v>
      </c>
      <c r="N179" s="249">
        <f t="shared" si="120"/>
        <v>5.766568739672679</v>
      </c>
      <c r="O179" s="249">
        <f t="shared" si="120"/>
        <v>5.555319173600072</v>
      </c>
      <c r="P179" s="249">
        <f t="shared" si="120"/>
        <v>5.3306133958100723</v>
      </c>
      <c r="Q179" s="249">
        <f t="shared" si="120"/>
        <v>5.0925538419787566</v>
      </c>
      <c r="R179" s="249">
        <f t="shared" si="120"/>
        <v>4.8426401686477387</v>
      </c>
      <c r="S179" s="249">
        <f t="shared" si="120"/>
        <v>4.5907200117564146</v>
      </c>
      <c r="T179" s="249">
        <f t="shared" si="120"/>
        <v>4.3370665583920678</v>
      </c>
      <c r="U179" s="249">
        <f t="shared" si="120"/>
        <v>4.0819618209111415</v>
      </c>
      <c r="V179" s="249">
        <f t="shared" si="120"/>
        <v>3.8256965691729392</v>
      </c>
      <c r="W179" s="249">
        <f t="shared" si="120"/>
        <v>3.5685702526599976</v>
      </c>
      <c r="X179" s="249">
        <f t="shared" si="120"/>
        <v>3.2878374464358679</v>
      </c>
      <c r="Y179" s="249">
        <f t="shared" si="120"/>
        <v>3.009522418687173</v>
      </c>
      <c r="Z179" s="249">
        <f t="shared" si="120"/>
        <v>2.7349655135918658</v>
      </c>
      <c r="AA179" s="249">
        <f t="shared" si="120"/>
        <v>2.4636784381751196</v>
      </c>
      <c r="AB179" s="249">
        <f t="shared" si="120"/>
        <v>2.1962086404260632</v>
      </c>
      <c r="AC179" s="249">
        <f t="shared" si="120"/>
        <v>1.9331345083784754</v>
      </c>
      <c r="AD179" s="249">
        <f t="shared" si="120"/>
        <v>1.6750213263933134</v>
      </c>
      <c r="AE179" s="249">
        <f t="shared" si="120"/>
        <v>1.4224469464819991</v>
      </c>
      <c r="AF179" s="249">
        <f t="shared" si="120"/>
        <v>1.1760016234180626</v>
      </c>
      <c r="AG179" s="249">
        <f t="shared" si="120"/>
        <v>0.93628783632966361</v>
      </c>
      <c r="AI179" s="296"/>
    </row>
    <row r="180" spans="1:36">
      <c r="A180" s="346" t="s">
        <v>1384</v>
      </c>
      <c r="B180" s="302" t="s">
        <v>704</v>
      </c>
      <c r="C180" s="249">
        <f t="shared" ref="C180:AG180" si="121">C146*C$162</f>
        <v>23.303698037735053</v>
      </c>
      <c r="D180" s="249">
        <f t="shared" si="121"/>
        <v>23.658384333196736</v>
      </c>
      <c r="E180" s="249">
        <f t="shared" si="121"/>
        <v>23.948838249553255</v>
      </c>
      <c r="F180" s="249">
        <f t="shared" si="121"/>
        <v>24.172461597108157</v>
      </c>
      <c r="G180" s="249">
        <f t="shared" si="121"/>
        <v>24.327203636752834</v>
      </c>
      <c r="H180" s="249">
        <f t="shared" si="121"/>
        <v>24.411591586297675</v>
      </c>
      <c r="I180" s="249">
        <f t="shared" si="121"/>
        <v>24.477448476128252</v>
      </c>
      <c r="J180" s="249">
        <f t="shared" si="121"/>
        <v>24.524421634465483</v>
      </c>
      <c r="K180" s="249">
        <f t="shared" si="121"/>
        <v>24.552192106895216</v>
      </c>
      <c r="L180" s="249">
        <f t="shared" si="121"/>
        <v>24.560476161996409</v>
      </c>
      <c r="M180" s="249">
        <f t="shared" si="121"/>
        <v>24.54902671520999</v>
      </c>
      <c r="N180" s="249">
        <f t="shared" si="121"/>
        <v>24.375250684874107</v>
      </c>
      <c r="O180" s="249">
        <f t="shared" si="121"/>
        <v>24.144271792954182</v>
      </c>
      <c r="P180" s="249">
        <f t="shared" si="121"/>
        <v>23.862544530237056</v>
      </c>
      <c r="Q180" s="249">
        <f t="shared" si="121"/>
        <v>23.526164227732867</v>
      </c>
      <c r="R180" s="249">
        <f t="shared" si="121"/>
        <v>23.137058583539215</v>
      </c>
      <c r="S180" s="249">
        <f t="shared" si="121"/>
        <v>22.738410058231008</v>
      </c>
      <c r="T180" s="249">
        <f t="shared" si="121"/>
        <v>22.330516246927772</v>
      </c>
      <c r="U180" s="249">
        <f t="shared" si="121"/>
        <v>21.913689775417726</v>
      </c>
      <c r="V180" s="249">
        <f t="shared" si="121"/>
        <v>21.488258299747084</v>
      </c>
      <c r="W180" s="249">
        <f t="shared" si="121"/>
        <v>21.054564490694002</v>
      </c>
      <c r="X180" s="249">
        <f t="shared" si="121"/>
        <v>20.469439585874937</v>
      </c>
      <c r="Y180" s="249">
        <f t="shared" si="121"/>
        <v>19.876845742026926</v>
      </c>
      <c r="Z180" s="249">
        <f t="shared" si="121"/>
        <v>19.283237861654058</v>
      </c>
      <c r="AA180" s="249">
        <f t="shared" si="121"/>
        <v>18.682894822828004</v>
      </c>
      <c r="AB180" s="249">
        <f t="shared" si="121"/>
        <v>18.076486501968386</v>
      </c>
      <c r="AC180" s="249">
        <f t="shared" si="121"/>
        <v>17.46487038604004</v>
      </c>
      <c r="AD180" s="249">
        <f t="shared" si="121"/>
        <v>16.848743930191585</v>
      </c>
      <c r="AE180" s="249">
        <f t="shared" si="121"/>
        <v>16.228826525771925</v>
      </c>
      <c r="AF180" s="249">
        <f t="shared" si="121"/>
        <v>15.605859381034319</v>
      </c>
      <c r="AG180" s="249">
        <f t="shared" si="121"/>
        <v>14.980605381274618</v>
      </c>
      <c r="AI180" s="296"/>
    </row>
    <row r="181" spans="1:36">
      <c r="A181" s="346" t="s">
        <v>1385</v>
      </c>
      <c r="B181" s="302" t="s">
        <v>704</v>
      </c>
      <c r="C181" s="249">
        <f t="shared" ref="C181:AG181" si="122">C147*C$162</f>
        <v>6.0416994912646436</v>
      </c>
      <c r="D181" s="249">
        <f t="shared" si="122"/>
        <v>6.1884885176947657</v>
      </c>
      <c r="E181" s="249">
        <f t="shared" si="122"/>
        <v>6.3215207562272537</v>
      </c>
      <c r="F181" s="249">
        <f t="shared" si="122"/>
        <v>6.4397677613917459</v>
      </c>
      <c r="G181" s="249">
        <f t="shared" si="122"/>
        <v>6.5423028057063721</v>
      </c>
      <c r="H181" s="249">
        <f t="shared" si="122"/>
        <v>6.6283129472728746</v>
      </c>
      <c r="I181" s="249">
        <f t="shared" si="122"/>
        <v>6.7115584531319357</v>
      </c>
      <c r="J181" s="249">
        <f t="shared" si="122"/>
        <v>6.7918930311002592</v>
      </c>
      <c r="K181" s="249">
        <f t="shared" si="122"/>
        <v>6.8691728609318972</v>
      </c>
      <c r="L181" s="249">
        <f t="shared" si="122"/>
        <v>6.9432569740664905</v>
      </c>
      <c r="M181" s="249">
        <f t="shared" si="122"/>
        <v>7.014007632917135</v>
      </c>
      <c r="N181" s="249">
        <f t="shared" si="122"/>
        <v>7.0401667435267683</v>
      </c>
      <c r="O181" s="249">
        <f t="shared" si="122"/>
        <v>7.0509820280308615</v>
      </c>
      <c r="P181" s="249">
        <f t="shared" si="122"/>
        <v>7.0478579796951957</v>
      </c>
      <c r="Q181" s="249">
        <f t="shared" si="122"/>
        <v>7.0291588241396923</v>
      </c>
      <c r="R181" s="249">
        <f t="shared" si="122"/>
        <v>6.9949246880467335</v>
      </c>
      <c r="S181" s="249">
        <f t="shared" si="122"/>
        <v>6.9578100178183142</v>
      </c>
      <c r="T181" s="249">
        <f t="shared" si="122"/>
        <v>6.9178003782617274</v>
      </c>
      <c r="U181" s="249">
        <f t="shared" si="122"/>
        <v>6.874883066797711</v>
      </c>
      <c r="V181" s="249">
        <f t="shared" si="122"/>
        <v>6.8290471468414138</v>
      </c>
      <c r="W181" s="249">
        <f t="shared" si="122"/>
        <v>6.7802834800539937</v>
      </c>
      <c r="X181" s="249">
        <f t="shared" si="122"/>
        <v>6.6817341653374074</v>
      </c>
      <c r="Y181" s="249">
        <f t="shared" si="122"/>
        <v>6.5789559850370747</v>
      </c>
      <c r="Z181" s="249">
        <f t="shared" si="122"/>
        <v>6.4739057093883403</v>
      </c>
      <c r="AA181" s="249">
        <f t="shared" si="122"/>
        <v>6.3645026319523925</v>
      </c>
      <c r="AB181" s="249">
        <f t="shared" si="122"/>
        <v>6.2507476689049515</v>
      </c>
      <c r="AC181" s="249">
        <f t="shared" si="122"/>
        <v>6.1327025783041327</v>
      </c>
      <c r="AD181" s="249">
        <f t="shared" si="122"/>
        <v>6.0103706417642471</v>
      </c>
      <c r="AE181" s="249">
        <f t="shared" si="122"/>
        <v>5.8837578240846398</v>
      </c>
      <c r="AF181" s="249">
        <f t="shared" si="122"/>
        <v>5.7528728064505321</v>
      </c>
      <c r="AG181" s="249">
        <f t="shared" si="122"/>
        <v>5.6177270179779812</v>
      </c>
      <c r="AI181" s="296"/>
    </row>
    <row r="182" spans="1:36" s="68" customFormat="1">
      <c r="A182" s="347" t="s">
        <v>1386</v>
      </c>
      <c r="B182" s="312" t="s">
        <v>704</v>
      </c>
      <c r="C182" s="313">
        <f t="shared" ref="C182:AG182" si="123">C148*C$162</f>
        <v>4.3154996366176022</v>
      </c>
      <c r="D182" s="313">
        <f t="shared" si="123"/>
        <v>4.3822789503293071</v>
      </c>
      <c r="E182" s="313">
        <f t="shared" si="123"/>
        <v>4.4372213000441301</v>
      </c>
      <c r="F182" s="313">
        <f t="shared" si="123"/>
        <v>4.479838442707301</v>
      </c>
      <c r="G182" s="313">
        <f t="shared" si="123"/>
        <v>4.5097427107296353</v>
      </c>
      <c r="H182" s="313">
        <f t="shared" si="123"/>
        <v>4.5266527444790361</v>
      </c>
      <c r="I182" s="313">
        <f t="shared" si="123"/>
        <v>4.5401718947657219</v>
      </c>
      <c r="J182" s="313">
        <f t="shared" si="123"/>
        <v>4.550233754825789</v>
      </c>
      <c r="K182" s="313">
        <f t="shared" si="123"/>
        <v>4.5567780364597734</v>
      </c>
      <c r="L182" s="313">
        <f t="shared" si="123"/>
        <v>4.5597508486406806</v>
      </c>
      <c r="M182" s="313">
        <f t="shared" si="123"/>
        <v>4.5591049613961374</v>
      </c>
      <c r="N182" s="313">
        <f t="shared" si="123"/>
        <v>4.528348458147871</v>
      </c>
      <c r="O182" s="313">
        <f t="shared" si="123"/>
        <v>4.4869885632923667</v>
      </c>
      <c r="P182" s="313">
        <f t="shared" si="123"/>
        <v>4.4362151750365699</v>
      </c>
      <c r="Q182" s="313">
        <f t="shared" si="123"/>
        <v>4.3752927374747062</v>
      </c>
      <c r="R182" s="313">
        <f t="shared" si="123"/>
        <v>4.3045690387979896</v>
      </c>
      <c r="S182" s="313">
        <f t="shared" si="123"/>
        <v>4.2320700108379441</v>
      </c>
      <c r="T182" s="313">
        <f t="shared" si="123"/>
        <v>4.1578489320122296</v>
      </c>
      <c r="U182" s="313">
        <f t="shared" si="123"/>
        <v>4.0819618209111406</v>
      </c>
      <c r="V182" s="313">
        <f t="shared" si="123"/>
        <v>4.0044674368913</v>
      </c>
      <c r="W182" s="313">
        <f t="shared" si="123"/>
        <v>3.9254272779259964</v>
      </c>
      <c r="X182" s="313">
        <f t="shared" si="123"/>
        <v>3.8181338087642329</v>
      </c>
      <c r="Y182" s="313">
        <f t="shared" si="123"/>
        <v>3.7094113532655846</v>
      </c>
      <c r="Z182" s="313">
        <f t="shared" si="123"/>
        <v>3.600460929285493</v>
      </c>
      <c r="AA182" s="313">
        <f t="shared" si="123"/>
        <v>3.4902111207480848</v>
      </c>
      <c r="AB182" s="313">
        <f t="shared" si="123"/>
        <v>3.3787825237324043</v>
      </c>
      <c r="AC182" s="313">
        <f t="shared" si="123"/>
        <v>3.2663307210532859</v>
      </c>
      <c r="AD182" s="313">
        <f t="shared" si="123"/>
        <v>3.1529813202697663</v>
      </c>
      <c r="AE182" s="313">
        <f t="shared" si="123"/>
        <v>3.0388639311206354</v>
      </c>
      <c r="AF182" s="313">
        <f t="shared" si="123"/>
        <v>2.9241121447151843</v>
      </c>
      <c r="AG182" s="313">
        <f t="shared" si="123"/>
        <v>2.8088635089889906</v>
      </c>
      <c r="AI182" s="314"/>
      <c r="AJ182" s="315"/>
    </row>
    <row r="183" spans="1:36" s="181" customFormat="1">
      <c r="B183" s="176"/>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323"/>
    </row>
    <row r="184" spans="1:36" s="181" customFormat="1">
      <c r="A184" s="181" t="s">
        <v>1507</v>
      </c>
      <c r="B184" s="350" t="s">
        <v>704</v>
      </c>
      <c r="C184" s="230">
        <f>C216</f>
        <v>4.8226258181960828</v>
      </c>
      <c r="D184" s="230">
        <f t="shared" ref="D184:AG184" si="124">D216</f>
        <v>5.357541865936339</v>
      </c>
      <c r="E184" s="230">
        <f t="shared" si="124"/>
        <v>5.9145812188348987</v>
      </c>
      <c r="F184" s="230">
        <f t="shared" si="124"/>
        <v>6.4912492625308715</v>
      </c>
      <c r="G184" s="230">
        <f t="shared" si="124"/>
        <v>7.0847057896369705</v>
      </c>
      <c r="H184" s="230">
        <f t="shared" si="124"/>
        <v>7.6917836697104818</v>
      </c>
      <c r="I184" s="230">
        <f t="shared" si="124"/>
        <v>8.3269399114548346</v>
      </c>
      <c r="J184" s="230">
        <f t="shared" si="124"/>
        <v>8.9905736148547231</v>
      </c>
      <c r="K184" s="230">
        <f t="shared" si="124"/>
        <v>9.6830432621563141</v>
      </c>
      <c r="L184" s="230">
        <f t="shared" si="124"/>
        <v>10.404664193638112</v>
      </c>
      <c r="M184" s="230">
        <f t="shared" si="124"/>
        <v>11.155706120511489</v>
      </c>
      <c r="N184" s="230">
        <f t="shared" si="124"/>
        <v>12.386530103426116</v>
      </c>
      <c r="O184" s="230">
        <f t="shared" si="124"/>
        <v>13.651987913164181</v>
      </c>
      <c r="P184" s="230">
        <f t="shared" si="124"/>
        <v>14.950656254193436</v>
      </c>
      <c r="Q184" s="230">
        <f t="shared" si="124"/>
        <v>16.273593419121404</v>
      </c>
      <c r="R184" s="230">
        <f t="shared" si="124"/>
        <v>17.614511431947378</v>
      </c>
      <c r="S184" s="230">
        <f t="shared" si="124"/>
        <v>19.00091453057739</v>
      </c>
      <c r="T184" s="230">
        <f t="shared" si="124"/>
        <v>20.433417521543454</v>
      </c>
      <c r="U184" s="230">
        <f t="shared" si="124"/>
        <v>21.912623302640206</v>
      </c>
      <c r="V184" s="230">
        <f t="shared" si="124"/>
        <v>23.439122218974095</v>
      </c>
      <c r="W184" s="230">
        <f t="shared" si="124"/>
        <v>25.013491416922847</v>
      </c>
      <c r="X184" s="230">
        <f t="shared" si="124"/>
        <v>27.38142414287055</v>
      </c>
      <c r="Y184" s="230">
        <f t="shared" si="124"/>
        <v>29.828326722739863</v>
      </c>
      <c r="Z184" s="230">
        <f t="shared" si="124"/>
        <v>32.369905986477207</v>
      </c>
      <c r="AA184" s="230">
        <f t="shared" si="124"/>
        <v>34.99501007638932</v>
      </c>
      <c r="AB184" s="230">
        <f t="shared" si="124"/>
        <v>37.704679615982684</v>
      </c>
      <c r="AC184" s="230">
        <f t="shared" si="124"/>
        <v>40.500316706789164</v>
      </c>
      <c r="AD184" s="230">
        <f t="shared" si="124"/>
        <v>43.383000411904916</v>
      </c>
      <c r="AE184" s="230">
        <f t="shared" si="124"/>
        <v>46.35379147484629</v>
      </c>
      <c r="AF184" s="230">
        <f t="shared" si="124"/>
        <v>49.413731407500961</v>
      </c>
      <c r="AG184" s="230">
        <f t="shared" si="124"/>
        <v>52.563841575478222</v>
      </c>
      <c r="AI184" s="763" t="s">
        <v>1391</v>
      </c>
      <c r="AJ184" s="323"/>
    </row>
    <row r="185" spans="1:36" s="181" customFormat="1">
      <c r="A185" s="181" t="s">
        <v>1508</v>
      </c>
      <c r="B185" s="349" t="s">
        <v>704</v>
      </c>
      <c r="C185" s="249">
        <f>C184/(1-C142)</f>
        <v>6.6063367372549084</v>
      </c>
      <c r="D185" s="249">
        <f t="shared" ref="D185:AG185" si="125">D184/(1-D142)</f>
        <v>7.2991033595862929</v>
      </c>
      <c r="E185" s="249">
        <f t="shared" si="125"/>
        <v>8.0143376948982361</v>
      </c>
      <c r="F185" s="249">
        <f t="shared" si="125"/>
        <v>8.748314369987698</v>
      </c>
      <c r="G185" s="249">
        <f t="shared" si="125"/>
        <v>9.4969246509878964</v>
      </c>
      <c r="H185" s="249">
        <f t="shared" si="125"/>
        <v>10.255711559613976</v>
      </c>
      <c r="I185" s="249">
        <f t="shared" si="125"/>
        <v>11.043686885218614</v>
      </c>
      <c r="J185" s="249">
        <f t="shared" si="125"/>
        <v>11.860915059175097</v>
      </c>
      <c r="K185" s="249">
        <f t="shared" si="125"/>
        <v>12.707405855848181</v>
      </c>
      <c r="L185" s="249">
        <f t="shared" si="125"/>
        <v>13.583112524331739</v>
      </c>
      <c r="M185" s="249">
        <f t="shared" si="125"/>
        <v>14.487930026638297</v>
      </c>
      <c r="N185" s="249">
        <f t="shared" si="125"/>
        <v>16.003268867475601</v>
      </c>
      <c r="O185" s="249">
        <f t="shared" si="125"/>
        <v>17.547542304838277</v>
      </c>
      <c r="P185" s="249">
        <f t="shared" si="125"/>
        <v>19.118486258559383</v>
      </c>
      <c r="Q185" s="249">
        <f t="shared" si="125"/>
        <v>20.704317327126468</v>
      </c>
      <c r="R185" s="249">
        <f t="shared" si="125"/>
        <v>22.296849913857439</v>
      </c>
      <c r="S185" s="249">
        <f t="shared" si="125"/>
        <v>23.930622834480339</v>
      </c>
      <c r="T185" s="249">
        <f t="shared" si="125"/>
        <v>25.605786367848939</v>
      </c>
      <c r="U185" s="249">
        <f t="shared" si="125"/>
        <v>27.322472945935417</v>
      </c>
      <c r="V185" s="249">
        <f t="shared" si="125"/>
        <v>29.080796797734607</v>
      </c>
      <c r="W185" s="249">
        <f t="shared" si="125"/>
        <v>30.880853601139314</v>
      </c>
      <c r="X185" s="249">
        <f t="shared" si="125"/>
        <v>33.638113197629664</v>
      </c>
      <c r="Y185" s="249">
        <f t="shared" si="125"/>
        <v>36.464947093814011</v>
      </c>
      <c r="Z185" s="249">
        <f t="shared" si="125"/>
        <v>39.379447672113386</v>
      </c>
      <c r="AA185" s="249">
        <f t="shared" si="125"/>
        <v>42.366840286185614</v>
      </c>
      <c r="AB185" s="249">
        <f t="shared" si="125"/>
        <v>45.427324838533352</v>
      </c>
      <c r="AC185" s="249">
        <f t="shared" si="125"/>
        <v>48.561530823488205</v>
      </c>
      <c r="AD185" s="249">
        <f t="shared" si="125"/>
        <v>51.769690229003473</v>
      </c>
      <c r="AE185" s="249">
        <f t="shared" si="125"/>
        <v>55.052008877489648</v>
      </c>
      <c r="AF185" s="249">
        <f t="shared" si="125"/>
        <v>58.408665966313187</v>
      </c>
      <c r="AG185" s="249">
        <f t="shared" si="125"/>
        <v>61.839813618209675</v>
      </c>
      <c r="AI185" s="763"/>
      <c r="AJ185" s="323"/>
    </row>
    <row r="186" spans="1:36" s="181" customFormat="1">
      <c r="A186" s="181" t="s">
        <v>1509</v>
      </c>
      <c r="B186" s="349" t="s">
        <v>704</v>
      </c>
      <c r="C186" s="249">
        <f>C174</f>
        <v>3.6361914801668704</v>
      </c>
      <c r="D186" s="249">
        <f t="shared" ref="D186:AG186" si="126">D174</f>
        <v>4.1477458908390687</v>
      </c>
      <c r="E186" s="249">
        <f t="shared" si="126"/>
        <v>4.6797864863099239</v>
      </c>
      <c r="F186" s="249">
        <f t="shared" si="126"/>
        <v>5.2295816421111558</v>
      </c>
      <c r="G186" s="249">
        <f t="shared" si="126"/>
        <v>5.7940834675292807</v>
      </c>
      <c r="H186" s="249">
        <f t="shared" si="126"/>
        <v>6.3699534253369743</v>
      </c>
      <c r="I186" s="249">
        <f t="shared" si="126"/>
        <v>6.9685955838907443</v>
      </c>
      <c r="J186" s="249">
        <f t="shared" si="126"/>
        <v>7.5900793798175057</v>
      </c>
      <c r="K186" s="249">
        <f t="shared" si="126"/>
        <v>8.2344329533019049</v>
      </c>
      <c r="L186" s="249">
        <f t="shared" si="126"/>
        <v>8.9016416679799004</v>
      </c>
      <c r="M186" s="249">
        <f t="shared" si="126"/>
        <v>9.5916467071654523</v>
      </c>
      <c r="N186" s="249">
        <f t="shared" si="126"/>
        <v>10.289600394978669</v>
      </c>
      <c r="O186" s="249">
        <f t="shared" si="126"/>
        <v>10.992226928507895</v>
      </c>
      <c r="P186" s="249">
        <f t="shared" si="126"/>
        <v>11.698738931418115</v>
      </c>
      <c r="Q186" s="249">
        <f t="shared" si="126"/>
        <v>12.40324015295853</v>
      </c>
      <c r="R186" s="249">
        <f t="shared" si="126"/>
        <v>13.102056650673513</v>
      </c>
      <c r="S186" s="249">
        <f t="shared" si="126"/>
        <v>13.81628653857665</v>
      </c>
      <c r="T186" s="249">
        <f t="shared" si="126"/>
        <v>14.545989593294793</v>
      </c>
      <c r="U186" s="249">
        <f t="shared" si="126"/>
        <v>15.291218997388423</v>
      </c>
      <c r="V186" s="249">
        <f t="shared" si="126"/>
        <v>16.052021190684552</v>
      </c>
      <c r="W186" s="249">
        <f t="shared" si="126"/>
        <v>16.828435724162453</v>
      </c>
      <c r="X186" s="249">
        <f t="shared" si="126"/>
        <v>17.62068919595017</v>
      </c>
      <c r="Y186" s="249">
        <f t="shared" si="126"/>
        <v>18.428833956040187</v>
      </c>
      <c r="Z186" s="249">
        <f t="shared" si="126"/>
        <v>19.25943608442914</v>
      </c>
      <c r="AA186" s="249">
        <f t="shared" si="126"/>
        <v>20.106581336482765</v>
      </c>
      <c r="AB186" s="249">
        <f t="shared" si="126"/>
        <v>20.970318922161251</v>
      </c>
      <c r="AC186" s="249">
        <f t="shared" si="126"/>
        <v>21.850898064917825</v>
      </c>
      <c r="AD186" s="249">
        <f t="shared" si="126"/>
        <v>22.748380438628114</v>
      </c>
      <c r="AE186" s="249">
        <f t="shared" si="126"/>
        <v>23.66282188557367</v>
      </c>
      <c r="AF186" s="249">
        <f t="shared" si="126"/>
        <v>24.59427229382888</v>
      </c>
      <c r="AG186" s="249">
        <f t="shared" si="126"/>
        <v>25.54277547641944</v>
      </c>
      <c r="AI186" s="763"/>
      <c r="AJ186" s="323"/>
    </row>
    <row r="187" spans="1:36" s="181" customFormat="1">
      <c r="A187" s="181" t="s">
        <v>1510</v>
      </c>
      <c r="B187" s="349" t="s">
        <v>704</v>
      </c>
      <c r="C187" s="249">
        <f>C185-C186</f>
        <v>2.970145257088038</v>
      </c>
      <c r="D187" s="249">
        <f t="shared" ref="D187:AG187" si="127">D185-D186</f>
        <v>3.1513574687472241</v>
      </c>
      <c r="E187" s="249">
        <f t="shared" si="127"/>
        <v>3.3345512085883122</v>
      </c>
      <c r="F187" s="249">
        <f t="shared" si="127"/>
        <v>3.5187327278765421</v>
      </c>
      <c r="G187" s="249">
        <f t="shared" si="127"/>
        <v>3.7028411834586157</v>
      </c>
      <c r="H187" s="249">
        <f t="shared" si="127"/>
        <v>3.885758134277002</v>
      </c>
      <c r="I187" s="249">
        <f t="shared" si="127"/>
        <v>4.0750913013278698</v>
      </c>
      <c r="J187" s="249">
        <f t="shared" si="127"/>
        <v>4.2708356793575915</v>
      </c>
      <c r="K187" s="249">
        <f t="shared" si="127"/>
        <v>4.4729729025462763</v>
      </c>
      <c r="L187" s="249">
        <f t="shared" si="127"/>
        <v>4.6814708563518383</v>
      </c>
      <c r="M187" s="249">
        <f t="shared" si="127"/>
        <v>4.896283319472845</v>
      </c>
      <c r="N187" s="249">
        <f t="shared" si="127"/>
        <v>5.7136684724969324</v>
      </c>
      <c r="O187" s="249">
        <f t="shared" si="127"/>
        <v>6.5553153763303822</v>
      </c>
      <c r="P187" s="249">
        <f t="shared" si="127"/>
        <v>7.4197473271412679</v>
      </c>
      <c r="Q187" s="249">
        <f t="shared" si="127"/>
        <v>8.3010771741679381</v>
      </c>
      <c r="R187" s="249">
        <f t="shared" si="127"/>
        <v>9.1947932631839269</v>
      </c>
      <c r="S187" s="249">
        <f t="shared" si="127"/>
        <v>10.114336295903689</v>
      </c>
      <c r="T187" s="249">
        <f t="shared" si="127"/>
        <v>11.059796774554146</v>
      </c>
      <c r="U187" s="249">
        <f t="shared" si="127"/>
        <v>12.031253948546993</v>
      </c>
      <c r="V187" s="249">
        <f t="shared" si="127"/>
        <v>13.028775607050054</v>
      </c>
      <c r="W187" s="249">
        <f t="shared" si="127"/>
        <v>14.052417876976861</v>
      </c>
      <c r="X187" s="249">
        <f t="shared" si="127"/>
        <v>16.017424001679494</v>
      </c>
      <c r="Y187" s="249">
        <f t="shared" si="127"/>
        <v>18.036113137773825</v>
      </c>
      <c r="Z187" s="249">
        <f t="shared" si="127"/>
        <v>20.120011587684246</v>
      </c>
      <c r="AA187" s="249">
        <f t="shared" si="127"/>
        <v>22.260258949702848</v>
      </c>
      <c r="AB187" s="249">
        <f t="shared" si="127"/>
        <v>24.457005916372101</v>
      </c>
      <c r="AC187" s="249">
        <f t="shared" si="127"/>
        <v>26.71063275857038</v>
      </c>
      <c r="AD187" s="249">
        <f t="shared" si="127"/>
        <v>29.021309790375359</v>
      </c>
      <c r="AE187" s="249">
        <f t="shared" si="127"/>
        <v>31.389186991915977</v>
      </c>
      <c r="AF187" s="249">
        <f t="shared" si="127"/>
        <v>33.814393672484307</v>
      </c>
      <c r="AG187" s="249">
        <f t="shared" si="127"/>
        <v>36.297038141790239</v>
      </c>
      <c r="AI187" s="763"/>
      <c r="AJ187" s="323"/>
    </row>
    <row r="188" spans="1:36" s="181" customFormat="1">
      <c r="A188" s="181" t="s">
        <v>1511</v>
      </c>
      <c r="B188" s="349" t="s">
        <v>704</v>
      </c>
      <c r="C188" s="249">
        <f>(C187)/(1-C139)</f>
        <v>3.7126815713600472</v>
      </c>
      <c r="D188" s="249">
        <f t="shared" ref="D188:AG188" si="128">(D185-D174)/(1-D139)</f>
        <v>3.9228516208471671</v>
      </c>
      <c r="E188" s="249">
        <f t="shared" si="128"/>
        <v>4.1337411676714613</v>
      </c>
      <c r="F188" s="249">
        <f t="shared" si="128"/>
        <v>4.3441144788599289</v>
      </c>
      <c r="G188" s="249">
        <f t="shared" si="128"/>
        <v>4.5526735862196102</v>
      </c>
      <c r="H188" s="249">
        <f t="shared" si="128"/>
        <v>4.7580711848289825</v>
      </c>
      <c r="I188" s="249">
        <f t="shared" si="128"/>
        <v>4.9696235382047194</v>
      </c>
      <c r="J188" s="249">
        <f t="shared" si="128"/>
        <v>5.1872498129849296</v>
      </c>
      <c r="K188" s="249">
        <f t="shared" si="128"/>
        <v>5.4108543175963018</v>
      </c>
      <c r="L188" s="249">
        <f t="shared" si="128"/>
        <v>5.6403263329540225</v>
      </c>
      <c r="M188" s="249">
        <f t="shared" si="128"/>
        <v>5.8755399833674149</v>
      </c>
      <c r="N188" s="249">
        <f t="shared" si="128"/>
        <v>6.8290858237015142</v>
      </c>
      <c r="O188" s="249">
        <f t="shared" si="128"/>
        <v>7.8039468765837894</v>
      </c>
      <c r="P188" s="249">
        <f t="shared" si="128"/>
        <v>8.798119360246563</v>
      </c>
      <c r="Q188" s="249">
        <f t="shared" si="128"/>
        <v>9.8044218592534715</v>
      </c>
      <c r="R188" s="249">
        <f t="shared" si="128"/>
        <v>10.817403839039915</v>
      </c>
      <c r="S188" s="249">
        <f t="shared" si="128"/>
        <v>11.852737846762135</v>
      </c>
      <c r="T188" s="249">
        <f t="shared" si="128"/>
        <v>12.910268608428964</v>
      </c>
      <c r="U188" s="249">
        <f t="shared" si="128"/>
        <v>13.989830172729064</v>
      </c>
      <c r="V188" s="249">
        <f t="shared" si="128"/>
        <v>15.091245876891957</v>
      </c>
      <c r="W188" s="249">
        <f t="shared" si="128"/>
        <v>16.214328319588688</v>
      </c>
      <c r="X188" s="249">
        <f t="shared" si="128"/>
        <v>18.410832185838501</v>
      </c>
      <c r="Y188" s="249">
        <f t="shared" si="128"/>
        <v>20.652037944015834</v>
      </c>
      <c r="Z188" s="249">
        <f t="shared" si="128"/>
        <v>22.950583560096103</v>
      </c>
      <c r="AA188" s="249">
        <f t="shared" si="128"/>
        <v>25.295748806480514</v>
      </c>
      <c r="AB188" s="249">
        <f t="shared" si="128"/>
        <v>27.687176509100496</v>
      </c>
      <c r="AC188" s="249">
        <f t="shared" si="128"/>
        <v>30.124773787861336</v>
      </c>
      <c r="AD188" s="249">
        <f t="shared" si="128"/>
        <v>32.608213247612767</v>
      </c>
      <c r="AE188" s="249">
        <f t="shared" si="128"/>
        <v>35.137149617816405</v>
      </c>
      <c r="AF188" s="249">
        <f t="shared" si="128"/>
        <v>37.711219709090315</v>
      </c>
      <c r="AG188" s="249">
        <f t="shared" si="128"/>
        <v>40.33004237976693</v>
      </c>
      <c r="AI188" s="763"/>
      <c r="AJ188" s="323"/>
    </row>
    <row r="189" spans="1:36" s="181" customFormat="1">
      <c r="A189" s="181" t="s">
        <v>1512</v>
      </c>
      <c r="B189" s="349" t="s">
        <v>704</v>
      </c>
      <c r="C189" s="249">
        <f>IF(C168&gt;C188,C188,C168)</f>
        <v>3.7126815713600472</v>
      </c>
      <c r="D189" s="249">
        <f t="shared" ref="D189:AG189" si="129">IF(D168&gt;D188,D188,D168)</f>
        <v>3.9228516208471671</v>
      </c>
      <c r="E189" s="249">
        <f t="shared" si="129"/>
        <v>4.1337411676714613</v>
      </c>
      <c r="F189" s="249">
        <f t="shared" si="129"/>
        <v>4.3441144788599289</v>
      </c>
      <c r="G189" s="249">
        <f t="shared" si="129"/>
        <v>4.5526735862196102</v>
      </c>
      <c r="H189" s="249">
        <f t="shared" si="129"/>
        <v>4.7580711848289825</v>
      </c>
      <c r="I189" s="249">
        <f t="shared" si="129"/>
        <v>4.9696235382047194</v>
      </c>
      <c r="J189" s="249">
        <f t="shared" si="129"/>
        <v>5.1872498129849296</v>
      </c>
      <c r="K189" s="249">
        <f t="shared" si="129"/>
        <v>5.4108543175963018</v>
      </c>
      <c r="L189" s="249">
        <f t="shared" si="129"/>
        <v>5.6403263329540225</v>
      </c>
      <c r="M189" s="249">
        <f t="shared" si="129"/>
        <v>5.8755399833674149</v>
      </c>
      <c r="N189" s="249">
        <f t="shared" si="129"/>
        <v>6.8290858237015142</v>
      </c>
      <c r="O189" s="249">
        <f t="shared" si="129"/>
        <v>7.8039468765837894</v>
      </c>
      <c r="P189" s="249">
        <f t="shared" si="129"/>
        <v>8.798119360246563</v>
      </c>
      <c r="Q189" s="249">
        <f t="shared" si="129"/>
        <v>9.8044218592534715</v>
      </c>
      <c r="R189" s="249">
        <f t="shared" si="129"/>
        <v>10.817403839039915</v>
      </c>
      <c r="S189" s="249">
        <f t="shared" si="129"/>
        <v>11.852737846762135</v>
      </c>
      <c r="T189" s="249">
        <f t="shared" si="129"/>
        <v>12.910268608428964</v>
      </c>
      <c r="U189" s="249">
        <f t="shared" si="129"/>
        <v>13.989830172729064</v>
      </c>
      <c r="V189" s="249">
        <f t="shared" si="129"/>
        <v>15.091245876891957</v>
      </c>
      <c r="W189" s="249">
        <f t="shared" si="129"/>
        <v>16.214328319588688</v>
      </c>
      <c r="X189" s="249">
        <f t="shared" si="129"/>
        <v>18.410832185838501</v>
      </c>
      <c r="Y189" s="249">
        <f t="shared" si="129"/>
        <v>20.652037944015834</v>
      </c>
      <c r="Z189" s="249">
        <f t="shared" si="129"/>
        <v>22.950583560096103</v>
      </c>
      <c r="AA189" s="249">
        <f t="shared" si="129"/>
        <v>25.295748806480514</v>
      </c>
      <c r="AB189" s="249">
        <f t="shared" si="129"/>
        <v>27.687176509100496</v>
      </c>
      <c r="AC189" s="249">
        <f t="shared" si="129"/>
        <v>30.124773787861336</v>
      </c>
      <c r="AD189" s="249">
        <f t="shared" si="129"/>
        <v>32.608213247612767</v>
      </c>
      <c r="AE189" s="249">
        <f t="shared" si="129"/>
        <v>35.137149617816405</v>
      </c>
      <c r="AF189" s="249">
        <f t="shared" si="129"/>
        <v>37.173274033966877</v>
      </c>
      <c r="AG189" s="249">
        <f t="shared" si="129"/>
        <v>38.173818294429054</v>
      </c>
      <c r="AI189" s="763"/>
      <c r="AJ189" s="323"/>
    </row>
    <row r="190" spans="1:36" s="181" customFormat="1">
      <c r="A190" s="181" t="s">
        <v>1513</v>
      </c>
      <c r="B190" s="349" t="s">
        <v>704</v>
      </c>
      <c r="C190" s="249">
        <f>IF(C188-C189&lt;0,0,C188-C189)</f>
        <v>0</v>
      </c>
      <c r="D190" s="249">
        <f t="shared" ref="D190:AG190" si="130">IF(D188-D189&lt;0,0,D188-D189)</f>
        <v>0</v>
      </c>
      <c r="E190" s="249">
        <f t="shared" si="130"/>
        <v>0</v>
      </c>
      <c r="F190" s="249">
        <f t="shared" si="130"/>
        <v>0</v>
      </c>
      <c r="G190" s="249">
        <f t="shared" si="130"/>
        <v>0</v>
      </c>
      <c r="H190" s="249">
        <f t="shared" si="130"/>
        <v>0</v>
      </c>
      <c r="I190" s="249">
        <f t="shared" si="130"/>
        <v>0</v>
      </c>
      <c r="J190" s="249">
        <f t="shared" si="130"/>
        <v>0</v>
      </c>
      <c r="K190" s="249">
        <f t="shared" si="130"/>
        <v>0</v>
      </c>
      <c r="L190" s="249">
        <f t="shared" si="130"/>
        <v>0</v>
      </c>
      <c r="M190" s="249">
        <f t="shared" si="130"/>
        <v>0</v>
      </c>
      <c r="N190" s="249">
        <f t="shared" si="130"/>
        <v>0</v>
      </c>
      <c r="O190" s="249">
        <f t="shared" si="130"/>
        <v>0</v>
      </c>
      <c r="P190" s="249">
        <f t="shared" si="130"/>
        <v>0</v>
      </c>
      <c r="Q190" s="249">
        <f t="shared" si="130"/>
        <v>0</v>
      </c>
      <c r="R190" s="249">
        <f t="shared" si="130"/>
        <v>0</v>
      </c>
      <c r="S190" s="249">
        <f t="shared" si="130"/>
        <v>0</v>
      </c>
      <c r="T190" s="249">
        <f t="shared" si="130"/>
        <v>0</v>
      </c>
      <c r="U190" s="249">
        <f t="shared" si="130"/>
        <v>0</v>
      </c>
      <c r="V190" s="249">
        <f t="shared" si="130"/>
        <v>0</v>
      </c>
      <c r="W190" s="249">
        <f t="shared" si="130"/>
        <v>0</v>
      </c>
      <c r="X190" s="249">
        <f t="shared" si="130"/>
        <v>0</v>
      </c>
      <c r="Y190" s="249">
        <f t="shared" si="130"/>
        <v>0</v>
      </c>
      <c r="Z190" s="249">
        <f t="shared" si="130"/>
        <v>0</v>
      </c>
      <c r="AA190" s="249">
        <f t="shared" si="130"/>
        <v>0</v>
      </c>
      <c r="AB190" s="249">
        <f t="shared" si="130"/>
        <v>0</v>
      </c>
      <c r="AC190" s="249">
        <f t="shared" si="130"/>
        <v>0</v>
      </c>
      <c r="AD190" s="249">
        <f t="shared" si="130"/>
        <v>0</v>
      </c>
      <c r="AE190" s="249">
        <f t="shared" si="130"/>
        <v>0</v>
      </c>
      <c r="AF190" s="249">
        <f t="shared" si="130"/>
        <v>0.5379456751234386</v>
      </c>
      <c r="AG190" s="249">
        <f t="shared" si="130"/>
        <v>2.1562240853378754</v>
      </c>
      <c r="AI190" s="763"/>
      <c r="AJ190" s="323"/>
    </row>
    <row r="191" spans="1:36" s="181" customFormat="1">
      <c r="A191" s="181" t="s">
        <v>1514</v>
      </c>
      <c r="B191" s="349" t="s">
        <v>704</v>
      </c>
      <c r="C191" s="249">
        <f>C185*C142+C139*C188+C175+IF(C168&gt;C188,C168-C188,0)</f>
        <v>9.9135186014275476</v>
      </c>
      <c r="D191" s="249">
        <f t="shared" ref="D191:AG191" si="131">D185*D142+D139*D188+D175+IF(D168&gt;D188,D168-D188,0)</f>
        <v>10.75872843073379</v>
      </c>
      <c r="E191" s="249">
        <f t="shared" si="131"/>
        <v>11.614583832395891</v>
      </c>
      <c r="F191" s="249">
        <f t="shared" si="131"/>
        <v>12.475658363350068</v>
      </c>
      <c r="G191" s="249">
        <f t="shared" si="131"/>
        <v>13.336240267561946</v>
      </c>
      <c r="H191" s="249">
        <f t="shared" si="131"/>
        <v>14.190394380931775</v>
      </c>
      <c r="I191" s="249">
        <f t="shared" si="131"/>
        <v>15.06446055166886</v>
      </c>
      <c r="J191" s="249">
        <f t="shared" si="131"/>
        <v>15.957773976007868</v>
      </c>
      <c r="K191" s="249">
        <f t="shared" si="131"/>
        <v>16.86961014794289</v>
      </c>
      <c r="L191" s="249">
        <f t="shared" si="131"/>
        <v>17.799184985231861</v>
      </c>
      <c r="M191" s="249">
        <f t="shared" si="131"/>
        <v>18.745655144530968</v>
      </c>
      <c r="N191" s="249">
        <f t="shared" si="131"/>
        <v>19.212702443764144</v>
      </c>
      <c r="O191" s="249">
        <f t="shared" si="131"/>
        <v>19.637105784869142</v>
      </c>
      <c r="P191" s="249">
        <f t="shared" si="131"/>
        <v>20.01958195163634</v>
      </c>
      <c r="Q191" s="249">
        <f t="shared" si="131"/>
        <v>20.353106684198718</v>
      </c>
      <c r="R191" s="249">
        <f t="shared" si="131"/>
        <v>20.635041048244613</v>
      </c>
      <c r="S191" s="249">
        <f t="shared" si="131"/>
        <v>20.900679686718966</v>
      </c>
      <c r="T191" s="249">
        <f t="shared" si="131"/>
        <v>21.149320708062149</v>
      </c>
      <c r="U191" s="249">
        <f t="shared" si="131"/>
        <v>21.380257141678236</v>
      </c>
      <c r="V191" s="249">
        <f t="shared" si="131"/>
        <v>21.592777370003329</v>
      </c>
      <c r="W191" s="249">
        <f t="shared" si="131"/>
        <v>21.786165572895928</v>
      </c>
      <c r="X191" s="249">
        <f t="shared" si="131"/>
        <v>21.215107494144469</v>
      </c>
      <c r="Y191" s="249">
        <f t="shared" si="131"/>
        <v>20.594083923818999</v>
      </c>
      <c r="Z191" s="249">
        <f t="shared" si="131"/>
        <v>19.924962716237609</v>
      </c>
      <c r="AA191" s="249">
        <f t="shared" si="131"/>
        <v>19.202314702572842</v>
      </c>
      <c r="AB191" s="249">
        <f t="shared" si="131"/>
        <v>18.424966226321615</v>
      </c>
      <c r="AC191" s="249">
        <f t="shared" si="131"/>
        <v>17.59191467855355</v>
      </c>
      <c r="AD191" s="249">
        <f t="shared" si="131"/>
        <v>16.701971671588424</v>
      </c>
      <c r="AE191" s="249">
        <f t="shared" si="131"/>
        <v>15.753951901033107</v>
      </c>
      <c r="AF191" s="249">
        <f t="shared" si="131"/>
        <v>15.284619567678101</v>
      </c>
      <c r="AG191" s="249">
        <f t="shared" si="131"/>
        <v>15.835184844310067</v>
      </c>
      <c r="AI191" s="763"/>
      <c r="AJ191" s="323"/>
    </row>
    <row r="192" spans="1:36" s="181" customFormat="1">
      <c r="A192" s="181" t="s">
        <v>1515</v>
      </c>
      <c r="B192" s="349" t="s">
        <v>704</v>
      </c>
      <c r="C192" s="249">
        <f>C171-C190</f>
        <v>61.815255162836792</v>
      </c>
      <c r="D192" s="249">
        <f t="shared" ref="D192:AF192" si="132">D171-D190</f>
        <v>63.377997080300446</v>
      </c>
      <c r="E192" s="249">
        <f t="shared" si="132"/>
        <v>64.803461379274538</v>
      </c>
      <c r="F192" s="249">
        <f t="shared" si="132"/>
        <v>66.080769103849974</v>
      </c>
      <c r="G192" s="249">
        <f t="shared" si="132"/>
        <v>67.200035909671925</v>
      </c>
      <c r="H192" s="249">
        <f t="shared" si="132"/>
        <v>68.152499339279601</v>
      </c>
      <c r="I192" s="249">
        <f t="shared" si="132"/>
        <v>69.079347730755558</v>
      </c>
      <c r="J192" s="249">
        <f t="shared" si="132"/>
        <v>69.97906367128985</v>
      </c>
      <c r="K192" s="249">
        <f t="shared" si="132"/>
        <v>70.850149444193448</v>
      </c>
      <c r="L192" s="249">
        <f t="shared" si="132"/>
        <v>71.691130823148811</v>
      </c>
      <c r="M192" s="249">
        <f t="shared" si="132"/>
        <v>72.500560875513926</v>
      </c>
      <c r="N192" s="249">
        <f t="shared" si="132"/>
        <v>73.172179681489737</v>
      </c>
      <c r="O192" s="249">
        <f t="shared" si="132"/>
        <v>73.701629764180893</v>
      </c>
      <c r="P192" s="249">
        <f t="shared" si="132"/>
        <v>74.102132724506561</v>
      </c>
      <c r="Q192" s="249">
        <f t="shared" si="132"/>
        <v>74.354332045557129</v>
      </c>
      <c r="R192" s="249">
        <f t="shared" si="132"/>
        <v>74.456311181515559</v>
      </c>
      <c r="S192" s="249">
        <f t="shared" si="132"/>
        <v>74.541112767434782</v>
      </c>
      <c r="T192" s="249">
        <f t="shared" si="132"/>
        <v>74.608567731691494</v>
      </c>
      <c r="U192" s="249">
        <f t="shared" si="132"/>
        <v>74.658515709557022</v>
      </c>
      <c r="V192" s="249">
        <f t="shared" si="132"/>
        <v>74.690805261614599</v>
      </c>
      <c r="W192" s="249">
        <f t="shared" si="132"/>
        <v>74.705294087166379</v>
      </c>
      <c r="X192" s="249">
        <f t="shared" si="132"/>
        <v>74.702672029279583</v>
      </c>
      <c r="Y192" s="249">
        <f t="shared" si="132"/>
        <v>74.682816245458966</v>
      </c>
      <c r="Z192" s="249">
        <f t="shared" si="132"/>
        <v>74.670890967857602</v>
      </c>
      <c r="AA192" s="249">
        <f t="shared" si="132"/>
        <v>74.641463741368185</v>
      </c>
      <c r="AB192" s="249">
        <f t="shared" si="132"/>
        <v>74.594420165973546</v>
      </c>
      <c r="AC192" s="249">
        <f t="shared" si="132"/>
        <v>74.530359443243185</v>
      </c>
      <c r="AD192" s="249">
        <f t="shared" si="132"/>
        <v>74.449183919984691</v>
      </c>
      <c r="AE192" s="249">
        <f t="shared" si="132"/>
        <v>74.350804270733505</v>
      </c>
      <c r="AF192" s="249">
        <f t="shared" si="132"/>
        <v>73.697193979122133</v>
      </c>
      <c r="AG192" s="249">
        <f>AG171-AG190</f>
        <v>71.945893780318528</v>
      </c>
      <c r="AI192" s="763"/>
      <c r="AJ192" s="323"/>
    </row>
    <row r="193" spans="1:37" s="181" customFormat="1">
      <c r="B193" s="350"/>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c r="AA193" s="327"/>
      <c r="AB193" s="327"/>
      <c r="AC193" s="327"/>
      <c r="AD193" s="327"/>
      <c r="AE193" s="327"/>
      <c r="AF193" s="327"/>
      <c r="AG193" s="327"/>
      <c r="AJ193" s="323"/>
    </row>
    <row r="194" spans="1:37" s="181" customFormat="1">
      <c r="A194" s="181" t="s">
        <v>1400</v>
      </c>
      <c r="B194" s="350" t="s">
        <v>462</v>
      </c>
      <c r="C194" s="296">
        <v>0.8</v>
      </c>
      <c r="D194" s="317">
        <f>C194</f>
        <v>0.8</v>
      </c>
      <c r="E194" s="317">
        <f t="shared" ref="E194:AG194" si="133">D194</f>
        <v>0.8</v>
      </c>
      <c r="F194" s="317">
        <f t="shared" si="133"/>
        <v>0.8</v>
      </c>
      <c r="G194" s="317">
        <f t="shared" si="133"/>
        <v>0.8</v>
      </c>
      <c r="H194" s="317">
        <f t="shared" si="133"/>
        <v>0.8</v>
      </c>
      <c r="I194" s="317">
        <f t="shared" si="133"/>
        <v>0.8</v>
      </c>
      <c r="J194" s="317">
        <f t="shared" si="133"/>
        <v>0.8</v>
      </c>
      <c r="K194" s="317">
        <f t="shared" si="133"/>
        <v>0.8</v>
      </c>
      <c r="L194" s="317">
        <f t="shared" si="133"/>
        <v>0.8</v>
      </c>
      <c r="M194" s="317">
        <f t="shared" si="133"/>
        <v>0.8</v>
      </c>
      <c r="N194" s="317">
        <f t="shared" si="133"/>
        <v>0.8</v>
      </c>
      <c r="O194" s="317">
        <f t="shared" si="133"/>
        <v>0.8</v>
      </c>
      <c r="P194" s="317">
        <f t="shared" si="133"/>
        <v>0.8</v>
      </c>
      <c r="Q194" s="317">
        <f t="shared" si="133"/>
        <v>0.8</v>
      </c>
      <c r="R194" s="317">
        <f t="shared" si="133"/>
        <v>0.8</v>
      </c>
      <c r="S194" s="317">
        <f t="shared" si="133"/>
        <v>0.8</v>
      </c>
      <c r="T194" s="317">
        <f t="shared" si="133"/>
        <v>0.8</v>
      </c>
      <c r="U194" s="317">
        <f t="shared" si="133"/>
        <v>0.8</v>
      </c>
      <c r="V194" s="317">
        <f t="shared" si="133"/>
        <v>0.8</v>
      </c>
      <c r="W194" s="317">
        <f t="shared" si="133"/>
        <v>0.8</v>
      </c>
      <c r="X194" s="317">
        <f t="shared" si="133"/>
        <v>0.8</v>
      </c>
      <c r="Y194" s="317">
        <f t="shared" si="133"/>
        <v>0.8</v>
      </c>
      <c r="Z194" s="317">
        <f t="shared" si="133"/>
        <v>0.8</v>
      </c>
      <c r="AA194" s="317">
        <f t="shared" si="133"/>
        <v>0.8</v>
      </c>
      <c r="AB194" s="317">
        <f t="shared" si="133"/>
        <v>0.8</v>
      </c>
      <c r="AC194" s="317">
        <f t="shared" si="133"/>
        <v>0.8</v>
      </c>
      <c r="AD194" s="317">
        <f t="shared" si="133"/>
        <v>0.8</v>
      </c>
      <c r="AE194" s="317">
        <f t="shared" si="133"/>
        <v>0.8</v>
      </c>
      <c r="AF194" s="317">
        <f t="shared" si="133"/>
        <v>0.8</v>
      </c>
      <c r="AG194" s="317">
        <f t="shared" si="133"/>
        <v>0.8</v>
      </c>
      <c r="AJ194" s="323" t="s">
        <v>1401</v>
      </c>
    </row>
    <row r="195" spans="1:37" s="181" customFormat="1">
      <c r="B195" s="350"/>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7"/>
      <c r="Y195" s="327"/>
      <c r="Z195" s="327"/>
      <c r="AA195" s="327"/>
      <c r="AB195" s="327"/>
      <c r="AC195" s="327"/>
      <c r="AD195" s="327"/>
      <c r="AE195" s="327"/>
      <c r="AF195" s="327"/>
      <c r="AG195" s="327"/>
      <c r="AJ195" s="323"/>
    </row>
    <row r="196" spans="1:37" s="181" customFormat="1">
      <c r="A196" s="181" t="s">
        <v>1402</v>
      </c>
      <c r="B196" s="350" t="s">
        <v>704</v>
      </c>
      <c r="C196" s="327">
        <f>C130*C191*C194</f>
        <v>1.7447792738512484</v>
      </c>
      <c r="D196" s="327">
        <f t="shared" ref="D196:AG196" si="134">D130*D191*D194</f>
        <v>1.9509160887730606</v>
      </c>
      <c r="E196" s="327">
        <f t="shared" si="134"/>
        <v>2.1680556487138993</v>
      </c>
      <c r="F196" s="327">
        <f t="shared" si="134"/>
        <v>2.3953264057632127</v>
      </c>
      <c r="G196" s="327">
        <f t="shared" si="134"/>
        <v>2.6316847461322239</v>
      </c>
      <c r="H196" s="327">
        <f t="shared" si="134"/>
        <v>2.8759199278688392</v>
      </c>
      <c r="I196" s="327">
        <f t="shared" si="134"/>
        <v>3.1334077947471224</v>
      </c>
      <c r="J196" s="327">
        <f t="shared" si="134"/>
        <v>3.404325114881678</v>
      </c>
      <c r="K196" s="327">
        <f t="shared" si="134"/>
        <v>3.6888214190168442</v>
      </c>
      <c r="L196" s="327">
        <f t="shared" si="134"/>
        <v>3.9870174366919358</v>
      </c>
      <c r="M196" s="327">
        <f t="shared" si="134"/>
        <v>4.2990035798124344</v>
      </c>
      <c r="N196" s="327">
        <f t="shared" si="134"/>
        <v>4.5085808401366512</v>
      </c>
      <c r="O196" s="327">
        <f t="shared" si="134"/>
        <v>4.7129053883685925</v>
      </c>
      <c r="P196" s="327">
        <f t="shared" si="134"/>
        <v>4.9114707721347806</v>
      </c>
      <c r="Q196" s="327">
        <f t="shared" si="134"/>
        <v>5.1018454088391429</v>
      </c>
      <c r="R196" s="327">
        <f t="shared" si="134"/>
        <v>5.2825705083506191</v>
      </c>
      <c r="S196" s="327">
        <f t="shared" si="134"/>
        <v>5.4620442914625542</v>
      </c>
      <c r="T196" s="327">
        <f t="shared" si="134"/>
        <v>5.6398188554832371</v>
      </c>
      <c r="U196" s="327">
        <f t="shared" si="134"/>
        <v>5.8154299425364773</v>
      </c>
      <c r="V196" s="327">
        <f t="shared" si="134"/>
        <v>5.9883969239475867</v>
      </c>
      <c r="W196" s="327">
        <f t="shared" si="134"/>
        <v>6.158222801938579</v>
      </c>
      <c r="X196" s="327">
        <f t="shared" si="134"/>
        <v>6.109950958313604</v>
      </c>
      <c r="Y196" s="327">
        <f t="shared" si="134"/>
        <v>6.0409312843202363</v>
      </c>
      <c r="Z196" s="327">
        <f t="shared" si="134"/>
        <v>5.9509221979162952</v>
      </c>
      <c r="AA196" s="327">
        <f t="shared" si="134"/>
        <v>5.8375036695821407</v>
      </c>
      <c r="AB196" s="327">
        <f t="shared" si="134"/>
        <v>5.6994562193421494</v>
      </c>
      <c r="AC196" s="327">
        <f t="shared" si="134"/>
        <v>5.5355891521848468</v>
      </c>
      <c r="AD196" s="327">
        <f t="shared" si="134"/>
        <v>5.3446309349082917</v>
      </c>
      <c r="AE196" s="327">
        <f t="shared" si="134"/>
        <v>5.1252856851361006</v>
      </c>
      <c r="AF196" s="327">
        <f t="shared" si="134"/>
        <v>5.0541142037122215</v>
      </c>
      <c r="AG196" s="327">
        <f t="shared" si="134"/>
        <v>5.320622107688183</v>
      </c>
      <c r="AJ196" s="323"/>
    </row>
    <row r="197" spans="1:37" s="181" customFormat="1">
      <c r="A197" s="181" t="s">
        <v>1403</v>
      </c>
      <c r="B197" s="350" t="s">
        <v>704</v>
      </c>
      <c r="C197" s="327">
        <f>C191*C194-C196</f>
        <v>6.1860356072907896</v>
      </c>
      <c r="D197" s="327">
        <f t="shared" ref="D197:AG197" si="135">D191*D194-D196</f>
        <v>6.6560666558139721</v>
      </c>
      <c r="E197" s="327">
        <f t="shared" si="135"/>
        <v>7.1236114172028131</v>
      </c>
      <c r="F197" s="327">
        <f t="shared" si="135"/>
        <v>7.5852002849168425</v>
      </c>
      <c r="G197" s="327">
        <f t="shared" si="135"/>
        <v>8.0373074679173335</v>
      </c>
      <c r="H197" s="327">
        <f t="shared" si="135"/>
        <v>8.4763955768765804</v>
      </c>
      <c r="I197" s="327">
        <f t="shared" si="135"/>
        <v>8.9181606465879675</v>
      </c>
      <c r="J197" s="327">
        <f t="shared" si="135"/>
        <v>9.3618940659246181</v>
      </c>
      <c r="K197" s="327">
        <f t="shared" si="135"/>
        <v>9.8068666993374691</v>
      </c>
      <c r="L197" s="327">
        <f t="shared" si="135"/>
        <v>10.252330551493554</v>
      </c>
      <c r="M197" s="327">
        <f t="shared" si="135"/>
        <v>10.697520535812341</v>
      </c>
      <c r="N197" s="327">
        <f t="shared" si="135"/>
        <v>10.861581114874664</v>
      </c>
      <c r="O197" s="327">
        <f t="shared" si="135"/>
        <v>10.99677923952672</v>
      </c>
      <c r="P197" s="327">
        <f t="shared" si="135"/>
        <v>11.104194789174294</v>
      </c>
      <c r="Q197" s="327">
        <f t="shared" si="135"/>
        <v>11.180639938519832</v>
      </c>
      <c r="R197" s="327">
        <f t="shared" si="135"/>
        <v>11.225462330245072</v>
      </c>
      <c r="S197" s="327">
        <f t="shared" si="135"/>
        <v>11.25849945791262</v>
      </c>
      <c r="T197" s="327">
        <f t="shared" si="135"/>
        <v>11.279637710966483</v>
      </c>
      <c r="U197" s="327">
        <f t="shared" si="135"/>
        <v>11.288775770806113</v>
      </c>
      <c r="V197" s="327">
        <f t="shared" si="135"/>
        <v>11.285824972055078</v>
      </c>
      <c r="W197" s="327">
        <f t="shared" si="135"/>
        <v>11.270709656378166</v>
      </c>
      <c r="X197" s="327">
        <f t="shared" si="135"/>
        <v>10.862135037001973</v>
      </c>
      <c r="Y197" s="327">
        <f t="shared" si="135"/>
        <v>10.434335854734964</v>
      </c>
      <c r="Z197" s="327">
        <f t="shared" si="135"/>
        <v>9.9890479750737917</v>
      </c>
      <c r="AA197" s="327">
        <f t="shared" si="135"/>
        <v>9.5243480924761332</v>
      </c>
      <c r="AB197" s="327">
        <f t="shared" si="135"/>
        <v>9.0405167617151427</v>
      </c>
      <c r="AC197" s="327">
        <f t="shared" si="135"/>
        <v>8.5379425906579947</v>
      </c>
      <c r="AD197" s="327">
        <f t="shared" si="135"/>
        <v>8.0169464023624482</v>
      </c>
      <c r="AE197" s="327">
        <f t="shared" si="135"/>
        <v>7.4778758356903854</v>
      </c>
      <c r="AF197" s="327">
        <f t="shared" si="135"/>
        <v>7.1735814504302597</v>
      </c>
      <c r="AG197" s="327">
        <f t="shared" si="135"/>
        <v>7.3475257677598718</v>
      </c>
      <c r="AJ197" s="323"/>
    </row>
    <row r="198" spans="1:37" s="181" customFormat="1">
      <c r="B198" s="176"/>
      <c r="C198" s="327"/>
      <c r="D198" s="327"/>
      <c r="E198" s="327"/>
      <c r="F198" s="327"/>
      <c r="G198" s="327"/>
      <c r="H198" s="327"/>
      <c r="I198" s="327"/>
      <c r="J198" s="327"/>
      <c r="K198" s="327"/>
      <c r="L198" s="327"/>
      <c r="M198" s="327"/>
      <c r="N198" s="327"/>
      <c r="O198" s="327"/>
      <c r="P198" s="327"/>
      <c r="Q198" s="327"/>
      <c r="R198" s="327"/>
      <c r="S198" s="327"/>
      <c r="T198" s="327"/>
      <c r="U198" s="327"/>
      <c r="V198" s="327"/>
      <c r="W198" s="327"/>
      <c r="X198" s="327"/>
      <c r="Y198" s="327"/>
      <c r="Z198" s="327"/>
      <c r="AA198" s="327"/>
      <c r="AB198" s="327"/>
      <c r="AC198" s="327"/>
      <c r="AD198" s="327"/>
      <c r="AE198" s="327"/>
      <c r="AF198" s="327"/>
      <c r="AG198" s="327"/>
      <c r="AJ198" s="323"/>
    </row>
    <row r="199" spans="1:37" s="181" customFormat="1">
      <c r="B199" s="210" t="s">
        <v>492</v>
      </c>
      <c r="C199" s="331">
        <v>0</v>
      </c>
      <c r="D199" s="331">
        <f>C199+1</f>
        <v>1</v>
      </c>
      <c r="E199" s="331">
        <f t="shared" ref="E199:AG199" si="136">D199+1</f>
        <v>2</v>
      </c>
      <c r="F199" s="331">
        <f t="shared" si="136"/>
        <v>3</v>
      </c>
      <c r="G199" s="331">
        <f t="shared" si="136"/>
        <v>4</v>
      </c>
      <c r="H199" s="331">
        <f t="shared" si="136"/>
        <v>5</v>
      </c>
      <c r="I199" s="331">
        <f t="shared" si="136"/>
        <v>6</v>
      </c>
      <c r="J199" s="331">
        <f t="shared" si="136"/>
        <v>7</v>
      </c>
      <c r="K199" s="331">
        <f t="shared" si="136"/>
        <v>8</v>
      </c>
      <c r="L199" s="331">
        <f t="shared" si="136"/>
        <v>9</v>
      </c>
      <c r="M199" s="331">
        <f t="shared" si="136"/>
        <v>10</v>
      </c>
      <c r="N199" s="331">
        <f t="shared" si="136"/>
        <v>11</v>
      </c>
      <c r="O199" s="331">
        <f t="shared" si="136"/>
        <v>12</v>
      </c>
      <c r="P199" s="331">
        <f t="shared" si="136"/>
        <v>13</v>
      </c>
      <c r="Q199" s="331">
        <f t="shared" si="136"/>
        <v>14</v>
      </c>
      <c r="R199" s="331">
        <f t="shared" si="136"/>
        <v>15</v>
      </c>
      <c r="S199" s="331">
        <f t="shared" si="136"/>
        <v>16</v>
      </c>
      <c r="T199" s="331">
        <f t="shared" si="136"/>
        <v>17</v>
      </c>
      <c r="U199" s="331">
        <f t="shared" si="136"/>
        <v>18</v>
      </c>
      <c r="V199" s="331">
        <f t="shared" si="136"/>
        <v>19</v>
      </c>
      <c r="W199" s="331">
        <f t="shared" si="136"/>
        <v>20</v>
      </c>
      <c r="X199" s="331">
        <f t="shared" si="136"/>
        <v>21</v>
      </c>
      <c r="Y199" s="331">
        <f t="shared" si="136"/>
        <v>22</v>
      </c>
      <c r="Z199" s="331">
        <f t="shared" si="136"/>
        <v>23</v>
      </c>
      <c r="AA199" s="331">
        <f t="shared" si="136"/>
        <v>24</v>
      </c>
      <c r="AB199" s="331">
        <f t="shared" si="136"/>
        <v>25</v>
      </c>
      <c r="AC199" s="331">
        <f t="shared" si="136"/>
        <v>26</v>
      </c>
      <c r="AD199" s="331">
        <f t="shared" si="136"/>
        <v>27</v>
      </c>
      <c r="AE199" s="331">
        <f t="shared" si="136"/>
        <v>28</v>
      </c>
      <c r="AF199" s="331">
        <f t="shared" si="136"/>
        <v>29</v>
      </c>
      <c r="AG199" s="331">
        <f t="shared" si="136"/>
        <v>30</v>
      </c>
      <c r="AJ199" s="323" t="s">
        <v>493</v>
      </c>
      <c r="AK199" s="181">
        <f>'Ethylene Recycling HC'!AK306</f>
        <v>1.9</v>
      </c>
    </row>
    <row r="200" spans="1:37" s="181" customFormat="1">
      <c r="A200" s="181" t="s">
        <v>1404</v>
      </c>
      <c r="B200" s="176"/>
      <c r="C200" s="333">
        <f>$AK$201/((1+EXP(-$AK$200*(C199-$AK$202)))^$AK$199)</f>
        <v>4.6088632748610021E-5</v>
      </c>
      <c r="D200" s="333">
        <f t="shared" ref="D200:AG200" si="137">$AK$201/((1+EXP(-$AK$200*(D199-$AK$202)))^$AK$199)</f>
        <v>8.924759460408035E-5</v>
      </c>
      <c r="E200" s="333">
        <f t="shared" si="137"/>
        <v>1.7252431976790472E-4</v>
      </c>
      <c r="F200" s="333">
        <f t="shared" si="137"/>
        <v>3.3269643715580369E-4</v>
      </c>
      <c r="G200" s="333">
        <f t="shared" si="137"/>
        <v>6.393827369910735E-4</v>
      </c>
      <c r="H200" s="333">
        <f t="shared" si="137"/>
        <v>1.2229053771654547E-3</v>
      </c>
      <c r="I200" s="333">
        <f t="shared" si="137"/>
        <v>2.3234018804222717E-3</v>
      </c>
      <c r="J200" s="333">
        <f t="shared" si="137"/>
        <v>4.3736281679830789E-3</v>
      </c>
      <c r="K200" s="333">
        <f t="shared" si="137"/>
        <v>8.1294184230466908E-3</v>
      </c>
      <c r="L200" s="333">
        <f t="shared" si="137"/>
        <v>1.4853985082038716E-2</v>
      </c>
      <c r="M200" s="333">
        <f t="shared" si="137"/>
        <v>2.6531412096832362E-2</v>
      </c>
      <c r="N200" s="333">
        <f t="shared" si="137"/>
        <v>4.6014759335105015E-2</v>
      </c>
      <c r="O200" s="333">
        <f t="shared" si="137"/>
        <v>7.6910635328419796E-2</v>
      </c>
      <c r="P200" s="333">
        <f t="shared" si="137"/>
        <v>0.12294065829885638</v>
      </c>
      <c r="Q200" s="333">
        <f t="shared" si="137"/>
        <v>0.18666754187878853</v>
      </c>
      <c r="R200" s="333">
        <f t="shared" si="137"/>
        <v>0.26794336563407328</v>
      </c>
      <c r="S200" s="333">
        <f t="shared" si="137"/>
        <v>0.36297326582455031</v>
      </c>
      <c r="T200" s="333">
        <f t="shared" si="137"/>
        <v>0.46484396312424381</v>
      </c>
      <c r="U200" s="333">
        <f t="shared" si="137"/>
        <v>0.56546260593861253</v>
      </c>
      <c r="V200" s="333">
        <f t="shared" si="137"/>
        <v>0.6578403022607352</v>
      </c>
      <c r="W200" s="333">
        <f t="shared" si="137"/>
        <v>0.73754668886795227</v>
      </c>
      <c r="X200" s="333">
        <f t="shared" si="137"/>
        <v>0.80293052021410605</v>
      </c>
      <c r="Y200" s="333">
        <f t="shared" si="137"/>
        <v>0.85447682949112158</v>
      </c>
      <c r="Z200" s="333">
        <f t="shared" si="137"/>
        <v>0.89389910336617451</v>
      </c>
      <c r="AA200" s="333">
        <f t="shared" si="137"/>
        <v>0.92337223319290385</v>
      </c>
      <c r="AB200" s="333">
        <f t="shared" si="137"/>
        <v>0.94504210708611314</v>
      </c>
      <c r="AC200" s="333">
        <f t="shared" si="137"/>
        <v>0.96078240575184182</v>
      </c>
      <c r="AD200" s="333">
        <f t="shared" si="137"/>
        <v>0.97211605463477313</v>
      </c>
      <c r="AE200" s="333">
        <f t="shared" si="137"/>
        <v>0.98022577885232642</v>
      </c>
      <c r="AF200" s="333">
        <f t="shared" si="137"/>
        <v>0.98600279580400285</v>
      </c>
      <c r="AG200" s="333">
        <f t="shared" si="137"/>
        <v>0.9901050637460882</v>
      </c>
      <c r="AI200" s="176" t="s">
        <v>494</v>
      </c>
      <c r="AJ200" s="323" t="s">
        <v>495</v>
      </c>
      <c r="AK200" s="181">
        <f>'Ethylene Recycling HC'!AK307</f>
        <v>0.35</v>
      </c>
    </row>
    <row r="201" spans="1:37" s="181" customFormat="1">
      <c r="B201" s="176"/>
      <c r="C201" s="329">
        <v>0</v>
      </c>
      <c r="D201" s="329">
        <v>0</v>
      </c>
      <c r="E201" s="329">
        <v>0</v>
      </c>
      <c r="F201" s="329">
        <v>0</v>
      </c>
      <c r="G201" s="329">
        <v>0</v>
      </c>
      <c r="H201" s="329">
        <v>0</v>
      </c>
      <c r="I201" s="329">
        <v>0</v>
      </c>
      <c r="J201" s="329">
        <v>0</v>
      </c>
      <c r="K201" s="329">
        <v>0</v>
      </c>
      <c r="L201" s="329">
        <v>0</v>
      </c>
      <c r="M201" s="329">
        <f>C200</f>
        <v>4.6088632748610021E-5</v>
      </c>
      <c r="N201" s="329">
        <v>0</v>
      </c>
      <c r="O201" s="329">
        <v>0</v>
      </c>
      <c r="P201" s="329">
        <v>0</v>
      </c>
      <c r="Q201" s="329">
        <v>0</v>
      </c>
      <c r="R201" s="329">
        <f t="shared" ref="R201:AG201" si="138">C200</f>
        <v>4.6088632748610021E-5</v>
      </c>
      <c r="S201" s="329">
        <f t="shared" si="138"/>
        <v>8.924759460408035E-5</v>
      </c>
      <c r="T201" s="329">
        <f t="shared" si="138"/>
        <v>1.7252431976790472E-4</v>
      </c>
      <c r="U201" s="329">
        <f t="shared" si="138"/>
        <v>3.3269643715580369E-4</v>
      </c>
      <c r="V201" s="329">
        <f t="shared" si="138"/>
        <v>6.393827369910735E-4</v>
      </c>
      <c r="W201" s="329">
        <f t="shared" si="138"/>
        <v>1.2229053771654547E-3</v>
      </c>
      <c r="X201" s="329">
        <f t="shared" si="138"/>
        <v>2.3234018804222717E-3</v>
      </c>
      <c r="Y201" s="329">
        <f t="shared" si="138"/>
        <v>4.3736281679830789E-3</v>
      </c>
      <c r="Z201" s="329">
        <f t="shared" si="138"/>
        <v>8.1294184230466908E-3</v>
      </c>
      <c r="AA201" s="329">
        <f t="shared" si="138"/>
        <v>1.4853985082038716E-2</v>
      </c>
      <c r="AB201" s="329">
        <f t="shared" si="138"/>
        <v>2.6531412096832362E-2</v>
      </c>
      <c r="AC201" s="329">
        <f t="shared" si="138"/>
        <v>4.6014759335105015E-2</v>
      </c>
      <c r="AD201" s="329">
        <f t="shared" si="138"/>
        <v>7.6910635328419796E-2</v>
      </c>
      <c r="AE201" s="329">
        <f t="shared" si="138"/>
        <v>0.12294065829885638</v>
      </c>
      <c r="AF201" s="329">
        <f t="shared" si="138"/>
        <v>0.18666754187878853</v>
      </c>
      <c r="AG201" s="329">
        <f t="shared" si="138"/>
        <v>0.26794336563407328</v>
      </c>
      <c r="AI201" s="176" t="s">
        <v>496</v>
      </c>
      <c r="AJ201" s="323" t="s">
        <v>497</v>
      </c>
      <c r="AK201" s="181">
        <f>'Ethylene Recycling HC'!AK308</f>
        <v>1</v>
      </c>
    </row>
    <row r="202" spans="1:37" s="181" customFormat="1">
      <c r="B202" s="176"/>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7"/>
      <c r="Y202" s="327"/>
      <c r="Z202" s="327"/>
      <c r="AA202" s="327"/>
      <c r="AB202" s="327"/>
      <c r="AC202" s="327"/>
      <c r="AD202" s="327"/>
      <c r="AE202" s="327"/>
      <c r="AF202" s="327"/>
      <c r="AG202" s="327"/>
      <c r="AJ202" s="323" t="s">
        <v>498</v>
      </c>
      <c r="AK202" s="181">
        <f>'Ethylene Recycling HC'!AK309</f>
        <v>15</v>
      </c>
    </row>
    <row r="203" spans="1:37" s="181" customFormat="1">
      <c r="A203" s="181" t="s">
        <v>1460</v>
      </c>
      <c r="B203" s="176" t="s">
        <v>462</v>
      </c>
      <c r="C203" s="328">
        <v>0</v>
      </c>
      <c r="D203" s="328">
        <f>C203</f>
        <v>0</v>
      </c>
      <c r="E203" s="328">
        <f t="shared" ref="E203:AG203" si="139">D203</f>
        <v>0</v>
      </c>
      <c r="F203" s="328">
        <f t="shared" si="139"/>
        <v>0</v>
      </c>
      <c r="G203" s="328">
        <f t="shared" si="139"/>
        <v>0</v>
      </c>
      <c r="H203" s="328">
        <f t="shared" si="139"/>
        <v>0</v>
      </c>
      <c r="I203" s="328">
        <f t="shared" si="139"/>
        <v>0</v>
      </c>
      <c r="J203" s="328">
        <f t="shared" si="139"/>
        <v>0</v>
      </c>
      <c r="K203" s="328">
        <f t="shared" si="139"/>
        <v>0</v>
      </c>
      <c r="L203" s="328">
        <f t="shared" si="139"/>
        <v>0</v>
      </c>
      <c r="M203" s="328">
        <f t="shared" si="139"/>
        <v>0</v>
      </c>
      <c r="N203" s="328">
        <f t="shared" si="139"/>
        <v>0</v>
      </c>
      <c r="O203" s="328">
        <f t="shared" si="139"/>
        <v>0</v>
      </c>
      <c r="P203" s="328">
        <f t="shared" si="139"/>
        <v>0</v>
      </c>
      <c r="Q203" s="328">
        <f t="shared" si="139"/>
        <v>0</v>
      </c>
      <c r="R203" s="328">
        <f t="shared" si="139"/>
        <v>0</v>
      </c>
      <c r="S203" s="328">
        <f t="shared" si="139"/>
        <v>0</v>
      </c>
      <c r="T203" s="328">
        <f t="shared" si="139"/>
        <v>0</v>
      </c>
      <c r="U203" s="328">
        <f t="shared" si="139"/>
        <v>0</v>
      </c>
      <c r="V203" s="328">
        <f t="shared" si="139"/>
        <v>0</v>
      </c>
      <c r="W203" s="328">
        <f t="shared" si="139"/>
        <v>0</v>
      </c>
      <c r="X203" s="328">
        <f t="shared" si="139"/>
        <v>0</v>
      </c>
      <c r="Y203" s="328">
        <f t="shared" si="139"/>
        <v>0</v>
      </c>
      <c r="Z203" s="328">
        <f t="shared" si="139"/>
        <v>0</v>
      </c>
      <c r="AA203" s="328">
        <f t="shared" si="139"/>
        <v>0</v>
      </c>
      <c r="AB203" s="328">
        <f t="shared" si="139"/>
        <v>0</v>
      </c>
      <c r="AC203" s="328">
        <f t="shared" si="139"/>
        <v>0</v>
      </c>
      <c r="AD203" s="328">
        <f t="shared" si="139"/>
        <v>0</v>
      </c>
      <c r="AE203" s="328">
        <f t="shared" si="139"/>
        <v>0</v>
      </c>
      <c r="AF203" s="328">
        <f t="shared" si="139"/>
        <v>0</v>
      </c>
      <c r="AG203" s="328">
        <f t="shared" si="139"/>
        <v>0</v>
      </c>
      <c r="AI203" s="176" t="s">
        <v>1516</v>
      </c>
      <c r="AJ203" s="323"/>
    </row>
    <row r="204" spans="1:37" s="300" customFormat="1" ht="16" thickBot="1">
      <c r="A204" s="334" t="s">
        <v>1407</v>
      </c>
      <c r="B204" s="335" t="s">
        <v>704</v>
      </c>
      <c r="C204" s="336">
        <f>C203*(C196*C200+C197*C201)</f>
        <v>0</v>
      </c>
      <c r="D204" s="336">
        <f t="shared" ref="D204:AG204" si="140">D203*(D196*D200+D197*D201)</f>
        <v>0</v>
      </c>
      <c r="E204" s="336">
        <f t="shared" si="140"/>
        <v>0</v>
      </c>
      <c r="F204" s="336">
        <f t="shared" si="140"/>
        <v>0</v>
      </c>
      <c r="G204" s="336">
        <f t="shared" si="140"/>
        <v>0</v>
      </c>
      <c r="H204" s="336">
        <f t="shared" si="140"/>
        <v>0</v>
      </c>
      <c r="I204" s="336">
        <f t="shared" si="140"/>
        <v>0</v>
      </c>
      <c r="J204" s="336">
        <f t="shared" si="140"/>
        <v>0</v>
      </c>
      <c r="K204" s="336">
        <f t="shared" si="140"/>
        <v>0</v>
      </c>
      <c r="L204" s="336">
        <f t="shared" si="140"/>
        <v>0</v>
      </c>
      <c r="M204" s="336">
        <f t="shared" si="140"/>
        <v>0</v>
      </c>
      <c r="N204" s="336">
        <f t="shared" si="140"/>
        <v>0</v>
      </c>
      <c r="O204" s="336">
        <f t="shared" si="140"/>
        <v>0</v>
      </c>
      <c r="P204" s="336">
        <f t="shared" si="140"/>
        <v>0</v>
      </c>
      <c r="Q204" s="336">
        <f t="shared" si="140"/>
        <v>0</v>
      </c>
      <c r="R204" s="336">
        <f t="shared" si="140"/>
        <v>0</v>
      </c>
      <c r="S204" s="336">
        <f t="shared" si="140"/>
        <v>0</v>
      </c>
      <c r="T204" s="336">
        <f t="shared" si="140"/>
        <v>0</v>
      </c>
      <c r="U204" s="336">
        <f t="shared" si="140"/>
        <v>0</v>
      </c>
      <c r="V204" s="336">
        <f t="shared" si="140"/>
        <v>0</v>
      </c>
      <c r="W204" s="336">
        <f t="shared" si="140"/>
        <v>0</v>
      </c>
      <c r="X204" s="336">
        <f t="shared" si="140"/>
        <v>0</v>
      </c>
      <c r="Y204" s="336">
        <f t="shared" si="140"/>
        <v>0</v>
      </c>
      <c r="Z204" s="336">
        <f t="shared" si="140"/>
        <v>0</v>
      </c>
      <c r="AA204" s="336">
        <f t="shared" si="140"/>
        <v>0</v>
      </c>
      <c r="AB204" s="336">
        <f t="shared" si="140"/>
        <v>0</v>
      </c>
      <c r="AC204" s="336">
        <f t="shared" si="140"/>
        <v>0</v>
      </c>
      <c r="AD204" s="336">
        <f t="shared" si="140"/>
        <v>0</v>
      </c>
      <c r="AE204" s="336">
        <f t="shared" si="140"/>
        <v>0</v>
      </c>
      <c r="AF204" s="336">
        <f t="shared" si="140"/>
        <v>0</v>
      </c>
      <c r="AG204" s="336">
        <f t="shared" si="140"/>
        <v>0</v>
      </c>
      <c r="AJ204" s="326"/>
    </row>
    <row r="205" spans="1:37" s="230" customFormat="1">
      <c r="A205" s="325" t="s">
        <v>1408</v>
      </c>
      <c r="B205" s="324" t="s">
        <v>462</v>
      </c>
      <c r="C205" s="330">
        <v>0.5</v>
      </c>
      <c r="D205" s="330">
        <v>0.5</v>
      </c>
      <c r="E205" s="330">
        <v>0.5</v>
      </c>
      <c r="F205" s="330">
        <v>0.5</v>
      </c>
      <c r="G205" s="330">
        <v>0.5</v>
      </c>
      <c r="H205" s="330">
        <v>0.5</v>
      </c>
      <c r="I205" s="330">
        <v>0.5</v>
      </c>
      <c r="J205" s="330">
        <v>0.5</v>
      </c>
      <c r="K205" s="330">
        <v>0.5</v>
      </c>
      <c r="L205" s="330">
        <v>0.5</v>
      </c>
      <c r="M205" s="330">
        <v>0.5</v>
      </c>
      <c r="N205" s="330">
        <v>0.5</v>
      </c>
      <c r="O205" s="330">
        <v>0.5</v>
      </c>
      <c r="P205" s="330">
        <v>0.5</v>
      </c>
      <c r="Q205" s="330">
        <v>0.5</v>
      </c>
      <c r="R205" s="330">
        <v>0.5</v>
      </c>
      <c r="S205" s="330">
        <v>0.5</v>
      </c>
      <c r="T205" s="330">
        <v>0.5</v>
      </c>
      <c r="U205" s="330">
        <v>0.5</v>
      </c>
      <c r="V205" s="330">
        <v>0.5</v>
      </c>
      <c r="W205" s="330">
        <v>0.5</v>
      </c>
      <c r="X205" s="330">
        <v>0.5</v>
      </c>
      <c r="Y205" s="330">
        <v>0.5</v>
      </c>
      <c r="Z205" s="330">
        <v>0.5</v>
      </c>
      <c r="AA205" s="330">
        <v>0.5</v>
      </c>
      <c r="AB205" s="330">
        <v>0.5</v>
      </c>
      <c r="AC205" s="330">
        <v>0.5</v>
      </c>
      <c r="AD205" s="330">
        <v>0.5</v>
      </c>
      <c r="AE205" s="330">
        <v>0.5</v>
      </c>
      <c r="AF205" s="330">
        <v>0.5</v>
      </c>
      <c r="AG205" s="330">
        <v>0.5</v>
      </c>
      <c r="AJ205" s="230" t="s">
        <v>1410</v>
      </c>
    </row>
    <row r="206" spans="1:37" s="230" customFormat="1" ht="16" thickBot="1">
      <c r="A206" s="301" t="s">
        <v>1411</v>
      </c>
      <c r="B206" s="335" t="s">
        <v>704</v>
      </c>
      <c r="C206" s="336">
        <f>C205*(C196*C200+C197*C201)</f>
        <v>4.0207245589958333E-5</v>
      </c>
      <c r="D206" s="336">
        <f t="shared" ref="D206:AG206" si="141">D205*(D196*D200+D197*D201)</f>
        <v>8.7057284098698075E-5</v>
      </c>
      <c r="E206" s="336">
        <f t="shared" si="141"/>
        <v>1.8702116300666442E-4</v>
      </c>
      <c r="F206" s="336">
        <f t="shared" si="141"/>
        <v>3.984582805113189E-4</v>
      </c>
      <c r="G206" s="336">
        <f t="shared" si="141"/>
        <v>8.4132689793983988E-4</v>
      </c>
      <c r="H206" s="336">
        <f t="shared" si="141"/>
        <v>1.7584889720440452E-3</v>
      </c>
      <c r="I206" s="336">
        <f t="shared" si="141"/>
        <v>3.6400827812226337E-3</v>
      </c>
      <c r="J206" s="336">
        <f t="shared" si="141"/>
        <v>7.4446261077093694E-3</v>
      </c>
      <c r="K206" s="336">
        <f t="shared" si="141"/>
        <v>1.4993986401542385E-2</v>
      </c>
      <c r="L206" s="336">
        <f t="shared" si="141"/>
        <v>2.9611548763225127E-2</v>
      </c>
      <c r="M206" s="336">
        <f t="shared" si="141"/>
        <v>5.7275834838528515E-2</v>
      </c>
      <c r="N206" s="336">
        <f t="shared" si="141"/>
        <v>0.10373063115087679</v>
      </c>
      <c r="O206" s="336">
        <f t="shared" si="141"/>
        <v>0.18123627383108074</v>
      </c>
      <c r="P206" s="336">
        <f t="shared" si="141"/>
        <v>0.30190972497092117</v>
      </c>
      <c r="Q206" s="336">
        <f t="shared" si="141"/>
        <v>0.47617447075679287</v>
      </c>
      <c r="R206" s="336">
        <f t="shared" si="141"/>
        <v>0.70797354370876719</v>
      </c>
      <c r="S206" s="336">
        <f t="shared" si="141"/>
        <v>0.99179042427298758</v>
      </c>
      <c r="T206" s="336">
        <f t="shared" si="141"/>
        <v>1.3117908799544888</v>
      </c>
      <c r="U206" s="336">
        <f t="shared" si="141"/>
        <v>1.646081952719455</v>
      </c>
      <c r="V206" s="336">
        <f t="shared" si="141"/>
        <v>1.9733124020833861</v>
      </c>
      <c r="W206" s="336">
        <f t="shared" si="141"/>
        <v>2.2778799241620891</v>
      </c>
      <c r="X206" s="336">
        <f t="shared" si="141"/>
        <v>2.4655516032058942</v>
      </c>
      <c r="Y206" s="336">
        <f t="shared" si="141"/>
        <v>2.6037358581040744</v>
      </c>
      <c r="Z206" s="336">
        <f t="shared" si="141"/>
        <v>2.7003645837782515</v>
      </c>
      <c r="AA206" s="336">
        <f t="shared" si="141"/>
        <v>2.7658316620678085</v>
      </c>
      <c r="AB206" s="336">
        <f t="shared" si="141"/>
        <v>2.8130418952727707</v>
      </c>
      <c r="AC206" s="336">
        <f t="shared" si="141"/>
        <v>2.8556840182080134</v>
      </c>
      <c r="AD206" s="336">
        <f t="shared" si="141"/>
        <v>2.9060949895607964</v>
      </c>
      <c r="AE206" s="336">
        <f t="shared" si="141"/>
        <v>2.9716360652350504</v>
      </c>
      <c r="AF206" s="336">
        <f t="shared" si="141"/>
        <v>3.1612227754960314</v>
      </c>
      <c r="AG206" s="336">
        <f t="shared" si="141"/>
        <v>3.6183478371990563</v>
      </c>
      <c r="AJ206" s="325"/>
    </row>
    <row r="207" spans="1:37" s="230" customFormat="1">
      <c r="A207" s="326"/>
      <c r="B207" s="324"/>
      <c r="AJ207" s="325"/>
    </row>
    <row r="208" spans="1:37" s="230" customFormat="1">
      <c r="A208" s="326" t="s">
        <v>1412</v>
      </c>
      <c r="B208" s="324" t="s">
        <v>704</v>
      </c>
      <c r="C208" s="230">
        <f>SUM(C177:C178)-SUM(C204,C206)</f>
        <v>45.744255940900992</v>
      </c>
      <c r="D208" s="230">
        <f t="shared" ref="D208:AG208" si="142">SUM(D177:D178)-SUM(D204,D206)</f>
        <v>47.701611516908564</v>
      </c>
      <c r="E208" s="230">
        <f t="shared" si="142"/>
        <v>49.599437373850826</v>
      </c>
      <c r="F208" s="230">
        <f t="shared" si="142"/>
        <v>51.424413665297052</v>
      </c>
      <c r="G208" s="230">
        <f t="shared" si="142"/>
        <v>53.163308657337339</v>
      </c>
      <c r="H208" s="230">
        <f t="shared" si="142"/>
        <v>54.803072953113436</v>
      </c>
      <c r="I208" s="230">
        <f t="shared" si="142"/>
        <v>56.452410434740358</v>
      </c>
      <c r="J208" s="230">
        <f t="shared" si="142"/>
        <v>58.108408551336382</v>
      </c>
      <c r="K208" s="230">
        <f t="shared" si="142"/>
        <v>59.767213387451321</v>
      </c>
      <c r="L208" s="230">
        <f t="shared" si="142"/>
        <v>61.4233942067805</v>
      </c>
      <c r="M208" s="230">
        <f t="shared" si="142"/>
        <v>63.068792861415695</v>
      </c>
      <c r="N208" s="230">
        <f t="shared" si="142"/>
        <v>64.319101730468475</v>
      </c>
      <c r="O208" s="230">
        <f t="shared" si="142"/>
        <v>65.414263199062106</v>
      </c>
      <c r="P208" s="230">
        <f t="shared" si="142"/>
        <v>66.348645687070473</v>
      </c>
      <c r="Q208" s="230">
        <f t="shared" si="142"/>
        <v>67.089821573524773</v>
      </c>
      <c r="R208" s="230">
        <f t="shared" si="142"/>
        <v>67.627059947209361</v>
      </c>
      <c r="S208" s="230">
        <f t="shared" si="142"/>
        <v>68.084199752624343</v>
      </c>
      <c r="T208" s="230">
        <f t="shared" si="142"/>
        <v>68.475552832354282</v>
      </c>
      <c r="U208" s="230">
        <f t="shared" si="142"/>
        <v>68.821469481957138</v>
      </c>
      <c r="V208" s="230">
        <f t="shared" si="142"/>
        <v>69.141738776280931</v>
      </c>
      <c r="W208" s="230">
        <f t="shared" si="142"/>
        <v>69.450382154303909</v>
      </c>
      <c r="X208" s="230">
        <f t="shared" si="142"/>
        <v>69.336575856054893</v>
      </c>
      <c r="Y208" s="230">
        <f t="shared" si="142"/>
        <v>69.2048688296411</v>
      </c>
      <c r="Z208" s="230">
        <f t="shared" si="142"/>
        <v>69.066515285537491</v>
      </c>
      <c r="AA208" s="230">
        <f t="shared" si="142"/>
        <v>68.886149581525345</v>
      </c>
      <c r="AB208" s="230">
        <f t="shared" si="142"/>
        <v>68.648208481667695</v>
      </c>
      <c r="AC208" s="230">
        <f t="shared" si="142"/>
        <v>68.336993738627001</v>
      </c>
      <c r="AD208" s="230">
        <f t="shared" si="142"/>
        <v>67.937454050250651</v>
      </c>
      <c r="AE208" s="230">
        <f t="shared" si="142"/>
        <v>67.439487785624081</v>
      </c>
      <c r="AF208" s="230">
        <f t="shared" si="142"/>
        <v>66.731414248729024</v>
      </c>
      <c r="AG208" s="230">
        <f t="shared" si="142"/>
        <v>65.666952051196063</v>
      </c>
      <c r="AJ208" s="325"/>
    </row>
    <row r="209" spans="1:36" s="230" customFormat="1">
      <c r="A209" s="326"/>
      <c r="B209" s="324"/>
      <c r="AJ209" s="325"/>
    </row>
    <row r="210" spans="1:36" s="230" customFormat="1">
      <c r="A210" s="325" t="s">
        <v>1413</v>
      </c>
      <c r="B210" s="324" t="s">
        <v>704</v>
      </c>
      <c r="C210" s="327">
        <f>C130*C129*C50</f>
        <v>16.841307908141292</v>
      </c>
      <c r="D210" s="327">
        <f t="shared" ref="D210:AG210" si="143">D130*D129*D50</f>
        <v>18.018700605446664</v>
      </c>
      <c r="E210" s="327">
        <f t="shared" si="143"/>
        <v>19.210946167117907</v>
      </c>
      <c r="F210" s="327">
        <f t="shared" si="143"/>
        <v>20.411442415135415</v>
      </c>
      <c r="G210" s="327">
        <f t="shared" si="143"/>
        <v>21.613175551828135</v>
      </c>
      <c r="H210" s="327">
        <f t="shared" si="143"/>
        <v>22.8087849387802</v>
      </c>
      <c r="I210" s="327">
        <f t="shared" si="143"/>
        <v>24.0423945304086</v>
      </c>
      <c r="J210" s="327">
        <f t="shared" si="143"/>
        <v>25.313976336573976</v>
      </c>
      <c r="K210" s="327">
        <f t="shared" si="143"/>
        <v>26.623432780173317</v>
      </c>
      <c r="L210" s="327">
        <f t="shared" si="143"/>
        <v>27.970594400565243</v>
      </c>
      <c r="M210" s="327">
        <f t="shared" si="143"/>
        <v>29.355217680292814</v>
      </c>
      <c r="N210" s="327">
        <f t="shared" si="143"/>
        <v>30.732947587079444</v>
      </c>
      <c r="O210" s="327">
        <f t="shared" si="143"/>
        <v>32.09721703866424</v>
      </c>
      <c r="P210" s="327">
        <f t="shared" si="143"/>
        <v>33.448860418636443</v>
      </c>
      <c r="Q210" s="327">
        <f t="shared" si="143"/>
        <v>34.774056739981511</v>
      </c>
      <c r="R210" s="327">
        <f t="shared" si="143"/>
        <v>36.065876371746384</v>
      </c>
      <c r="S210" s="327">
        <f t="shared" si="143"/>
        <v>37.384617615012132</v>
      </c>
      <c r="T210" s="327">
        <f t="shared" si="143"/>
        <v>38.730435320432328</v>
      </c>
      <c r="U210" s="327">
        <f t="shared" si="143"/>
        <v>40.103474692317612</v>
      </c>
      <c r="V210" s="327">
        <f t="shared" si="143"/>
        <v>41.503871014871848</v>
      </c>
      <c r="W210" s="327">
        <f t="shared" si="143"/>
        <v>42.931749380534697</v>
      </c>
      <c r="X210" s="327">
        <f t="shared" si="143"/>
        <v>44.387713319866002</v>
      </c>
      <c r="Y210" s="327">
        <f t="shared" si="143"/>
        <v>45.871916527073139</v>
      </c>
      <c r="Z210" s="327">
        <f t="shared" si="143"/>
        <v>47.400550277013636</v>
      </c>
      <c r="AA210" s="327">
        <f t="shared" si="143"/>
        <v>48.958739637725451</v>
      </c>
      <c r="AB210" s="327">
        <f t="shared" si="143"/>
        <v>50.546638856534024</v>
      </c>
      <c r="AC210" s="327">
        <f t="shared" si="143"/>
        <v>52.164885725910366</v>
      </c>
      <c r="AD210" s="327">
        <f t="shared" si="143"/>
        <v>53.81366240139112</v>
      </c>
      <c r="AE210" s="327">
        <f t="shared" si="143"/>
        <v>55.493142709622482</v>
      </c>
      <c r="AF210" s="327">
        <f t="shared" si="143"/>
        <v>57.203491914444385</v>
      </c>
      <c r="AG210" s="327">
        <f t="shared" si="143"/>
        <v>58.944866484044844</v>
      </c>
      <c r="AJ210" s="325"/>
    </row>
    <row r="211" spans="1:36" s="230" customFormat="1">
      <c r="A211" s="230" t="s">
        <v>1414</v>
      </c>
      <c r="B211" s="324" t="s">
        <v>704</v>
      </c>
      <c r="C211" s="327">
        <f>C131*C129*C50</f>
        <v>59.710091674319138</v>
      </c>
      <c r="D211" s="327">
        <f t="shared" ref="D211:AG211" si="144">D131*D129*D50</f>
        <v>61.475566771523923</v>
      </c>
      <c r="E211" s="327">
        <f t="shared" si="144"/>
        <v>63.121680263387418</v>
      </c>
      <c r="F211" s="327">
        <f t="shared" si="144"/>
        <v>64.636234314595498</v>
      </c>
      <c r="G211" s="327">
        <f t="shared" si="144"/>
        <v>66.007806415042694</v>
      </c>
      <c r="H211" s="327">
        <f t="shared" si="144"/>
        <v>67.225892451141647</v>
      </c>
      <c r="I211" s="327">
        <f t="shared" si="144"/>
        <v>68.428353663470645</v>
      </c>
      <c r="J211" s="327">
        <f t="shared" si="144"/>
        <v>69.61343492557846</v>
      </c>
      <c r="K211" s="327">
        <f t="shared" si="144"/>
        <v>70.779370074119328</v>
      </c>
      <c r="L211" s="327">
        <f t="shared" si="144"/>
        <v>71.924385601453523</v>
      </c>
      <c r="M211" s="327">
        <f t="shared" si="144"/>
        <v>73.046704460263541</v>
      </c>
      <c r="N211" s="327">
        <f t="shared" si="144"/>
        <v>74.038464641600513</v>
      </c>
      <c r="O211" s="327">
        <f t="shared" si="144"/>
        <v>74.893506423549937</v>
      </c>
      <c r="P211" s="327">
        <f t="shared" si="144"/>
        <v>75.623510511699834</v>
      </c>
      <c r="Q211" s="327">
        <f t="shared" si="144"/>
        <v>76.206975408895701</v>
      </c>
      <c r="R211" s="327">
        <f t="shared" si="144"/>
        <v>76.639987289961127</v>
      </c>
      <c r="S211" s="327">
        <f t="shared" si="144"/>
        <v>77.058089369718957</v>
      </c>
      <c r="T211" s="327">
        <f t="shared" si="144"/>
        <v>77.460870640864712</v>
      </c>
      <c r="U211" s="327">
        <f t="shared" si="144"/>
        <v>77.847921461557775</v>
      </c>
      <c r="V211" s="327">
        <f t="shared" si="144"/>
        <v>78.218833835720091</v>
      </c>
      <c r="W211" s="327">
        <f t="shared" si="144"/>
        <v>78.573201696450383</v>
      </c>
      <c r="X211" s="327">
        <f t="shared" si="144"/>
        <v>78.911490346428522</v>
      </c>
      <c r="Y211" s="327">
        <f t="shared" si="144"/>
        <v>79.2333103649446</v>
      </c>
      <c r="Z211" s="327">
        <f t="shared" si="144"/>
        <v>79.565209393558689</v>
      </c>
      <c r="AA211" s="327">
        <f t="shared" si="144"/>
        <v>79.880048882604797</v>
      </c>
      <c r="AB211" s="327">
        <f t="shared" si="144"/>
        <v>80.177427151743714</v>
      </c>
      <c r="AC211" s="327">
        <f t="shared" si="144"/>
        <v>80.457705102675405</v>
      </c>
      <c r="AD211" s="327">
        <f t="shared" si="144"/>
        <v>80.72049360208679</v>
      </c>
      <c r="AE211" s="327">
        <f t="shared" si="144"/>
        <v>80.965404936990311</v>
      </c>
      <c r="AF211" s="327">
        <f t="shared" si="144"/>
        <v>81.192053039856646</v>
      </c>
      <c r="AG211" s="327">
        <f t="shared" si="144"/>
        <v>81.400053716061947</v>
      </c>
      <c r="AJ211" s="325"/>
    </row>
    <row r="212" spans="1:36" s="230" customFormat="1">
      <c r="B212" s="324"/>
      <c r="C212" s="317"/>
      <c r="D212" s="317"/>
      <c r="E212" s="317"/>
      <c r="F212" s="317"/>
      <c r="G212" s="317"/>
      <c r="H212" s="317"/>
      <c r="I212" s="317"/>
      <c r="J212" s="317"/>
      <c r="K212" s="317"/>
      <c r="L212" s="317"/>
      <c r="M212" s="317"/>
      <c r="N212" s="317"/>
      <c r="O212" s="317"/>
      <c r="P212" s="317"/>
      <c r="Q212" s="317"/>
      <c r="R212" s="317"/>
      <c r="S212" s="317"/>
      <c r="T212" s="317"/>
      <c r="U212" s="317"/>
      <c r="V212" s="317"/>
      <c r="W212" s="317"/>
      <c r="X212" s="317"/>
      <c r="Y212" s="317"/>
      <c r="Z212" s="317"/>
      <c r="AA212" s="317"/>
      <c r="AB212" s="317"/>
      <c r="AC212" s="317"/>
      <c r="AD212" s="317"/>
      <c r="AE212" s="317"/>
      <c r="AF212" s="317"/>
      <c r="AG212" s="317"/>
      <c r="AJ212" s="325"/>
    </row>
    <row r="213" spans="1:36" s="230" customFormat="1">
      <c r="A213" s="351" t="s">
        <v>233</v>
      </c>
      <c r="B213" s="352" t="s">
        <v>704</v>
      </c>
      <c r="C213" s="304">
        <f>C191-C204-C206</f>
        <v>9.9134783941819578</v>
      </c>
      <c r="D213" s="353">
        <f t="shared" ref="D213:AG213" si="145">D191-D204-D206</f>
        <v>10.758641373449692</v>
      </c>
      <c r="E213" s="353">
        <f t="shared" si="145"/>
        <v>11.614396811232885</v>
      </c>
      <c r="F213" s="353">
        <f t="shared" si="145"/>
        <v>12.475259905069557</v>
      </c>
      <c r="G213" s="353">
        <f t="shared" si="145"/>
        <v>13.335398940664007</v>
      </c>
      <c r="H213" s="353">
        <f t="shared" si="145"/>
        <v>14.188635891959731</v>
      </c>
      <c r="I213" s="353">
        <f t="shared" si="145"/>
        <v>15.060820468887638</v>
      </c>
      <c r="J213" s="353">
        <f t="shared" si="145"/>
        <v>15.950329349900159</v>
      </c>
      <c r="K213" s="353">
        <f t="shared" si="145"/>
        <v>16.854616161541347</v>
      </c>
      <c r="L213" s="353">
        <f t="shared" si="145"/>
        <v>17.769573436468637</v>
      </c>
      <c r="M213" s="353">
        <f t="shared" si="145"/>
        <v>18.68837930969244</v>
      </c>
      <c r="N213" s="353">
        <f t="shared" si="145"/>
        <v>19.108971812613266</v>
      </c>
      <c r="O213" s="353">
        <f t="shared" si="145"/>
        <v>19.45586951103806</v>
      </c>
      <c r="P213" s="353">
        <f t="shared" si="145"/>
        <v>19.717672226665417</v>
      </c>
      <c r="Q213" s="353">
        <f t="shared" si="145"/>
        <v>19.876932213441926</v>
      </c>
      <c r="R213" s="353">
        <f t="shared" si="145"/>
        <v>19.927067504535845</v>
      </c>
      <c r="S213" s="353">
        <f t="shared" si="145"/>
        <v>19.908889262445978</v>
      </c>
      <c r="T213" s="353">
        <f t="shared" si="145"/>
        <v>19.837529828107659</v>
      </c>
      <c r="U213" s="353">
        <f t="shared" si="145"/>
        <v>19.73417518895878</v>
      </c>
      <c r="V213" s="353">
        <f t="shared" si="145"/>
        <v>19.619464967919942</v>
      </c>
      <c r="W213" s="353">
        <f t="shared" si="145"/>
        <v>19.508285648733839</v>
      </c>
      <c r="X213" s="353">
        <f t="shared" si="145"/>
        <v>18.749555890938574</v>
      </c>
      <c r="Y213" s="353">
        <f t="shared" si="145"/>
        <v>17.990348065714926</v>
      </c>
      <c r="Z213" s="353">
        <f t="shared" si="145"/>
        <v>17.224598132459356</v>
      </c>
      <c r="AA213" s="353">
        <f t="shared" si="145"/>
        <v>16.436483040505035</v>
      </c>
      <c r="AB213" s="353">
        <f t="shared" si="145"/>
        <v>15.611924331048844</v>
      </c>
      <c r="AC213" s="353">
        <f t="shared" si="145"/>
        <v>14.736230660345537</v>
      </c>
      <c r="AD213" s="353">
        <f t="shared" si="145"/>
        <v>13.795876682027629</v>
      </c>
      <c r="AE213" s="353">
        <f t="shared" si="145"/>
        <v>12.782315835798055</v>
      </c>
      <c r="AF213" s="353">
        <f t="shared" si="145"/>
        <v>12.123396792182071</v>
      </c>
      <c r="AG213" s="354">
        <f t="shared" si="145"/>
        <v>12.21683700711101</v>
      </c>
      <c r="AI213" s="230" t="s">
        <v>1415</v>
      </c>
      <c r="AJ213" s="325"/>
    </row>
    <row r="214" spans="1:36" s="230" customFormat="1">
      <c r="A214" s="355" t="s">
        <v>234</v>
      </c>
      <c r="B214" s="356" t="s">
        <v>704</v>
      </c>
      <c r="C214" s="357">
        <f>C192+C213</f>
        <v>71.728733557018757</v>
      </c>
      <c r="D214" s="357">
        <f t="shared" ref="D214:AG214" si="146">D192+D213</f>
        <v>74.136638453750138</v>
      </c>
      <c r="E214" s="357">
        <f t="shared" si="146"/>
        <v>76.417858190507417</v>
      </c>
      <c r="F214" s="357">
        <f t="shared" si="146"/>
        <v>78.556029008919523</v>
      </c>
      <c r="G214" s="357">
        <f t="shared" si="146"/>
        <v>80.535434850335932</v>
      </c>
      <c r="H214" s="357">
        <f t="shared" si="146"/>
        <v>82.341135231239335</v>
      </c>
      <c r="I214" s="357">
        <f t="shared" si="146"/>
        <v>84.140168199643199</v>
      </c>
      <c r="J214" s="357">
        <f t="shared" si="146"/>
        <v>85.929393021190009</v>
      </c>
      <c r="K214" s="357">
        <f t="shared" si="146"/>
        <v>87.704765605734792</v>
      </c>
      <c r="L214" s="357">
        <f t="shared" si="146"/>
        <v>89.460704259617444</v>
      </c>
      <c r="M214" s="357">
        <f t="shared" si="146"/>
        <v>91.188940185206363</v>
      </c>
      <c r="N214" s="357">
        <f t="shared" si="146"/>
        <v>92.281151494103</v>
      </c>
      <c r="O214" s="357">
        <f t="shared" si="146"/>
        <v>93.157499275218953</v>
      </c>
      <c r="P214" s="357">
        <f t="shared" si="146"/>
        <v>93.819804951171974</v>
      </c>
      <c r="Q214" s="357">
        <f t="shared" si="146"/>
        <v>94.231264258999062</v>
      </c>
      <c r="R214" s="357">
        <f t="shared" si="146"/>
        <v>94.383378686051401</v>
      </c>
      <c r="S214" s="357">
        <f t="shared" si="146"/>
        <v>94.450002029880764</v>
      </c>
      <c r="T214" s="357">
        <f t="shared" si="146"/>
        <v>94.446097559799156</v>
      </c>
      <c r="U214" s="357">
        <f t="shared" si="146"/>
        <v>94.392690898515809</v>
      </c>
      <c r="V214" s="357">
        <f t="shared" si="146"/>
        <v>94.310270229534538</v>
      </c>
      <c r="W214" s="357">
        <f t="shared" si="146"/>
        <v>94.213579735900225</v>
      </c>
      <c r="X214" s="357">
        <f t="shared" si="146"/>
        <v>93.452227920218149</v>
      </c>
      <c r="Y214" s="357">
        <f t="shared" si="146"/>
        <v>92.673164311173892</v>
      </c>
      <c r="Z214" s="357">
        <f t="shared" si="146"/>
        <v>91.895489100316951</v>
      </c>
      <c r="AA214" s="357">
        <f t="shared" si="146"/>
        <v>91.077946781873223</v>
      </c>
      <c r="AB214" s="357">
        <f t="shared" si="146"/>
        <v>90.206344497022386</v>
      </c>
      <c r="AC214" s="357">
        <f t="shared" si="146"/>
        <v>89.266590103588726</v>
      </c>
      <c r="AD214" s="357">
        <f t="shared" si="146"/>
        <v>88.245060602012316</v>
      </c>
      <c r="AE214" s="357">
        <f t="shared" si="146"/>
        <v>87.133120106531564</v>
      </c>
      <c r="AF214" s="357">
        <f t="shared" si="146"/>
        <v>85.820590771304211</v>
      </c>
      <c r="AG214" s="358">
        <f t="shared" si="146"/>
        <v>84.162730787429538</v>
      </c>
      <c r="AI214" s="230" t="s">
        <v>1416</v>
      </c>
      <c r="AJ214" s="325"/>
    </row>
    <row r="215" spans="1:36" s="230" customFormat="1">
      <c r="A215" s="433"/>
      <c r="B215" s="434"/>
      <c r="C215" s="433"/>
      <c r="D215" s="433"/>
      <c r="E215" s="433"/>
      <c r="F215" s="433"/>
      <c r="G215" s="433"/>
      <c r="H215" s="433"/>
      <c r="I215" s="433"/>
      <c r="J215" s="433"/>
      <c r="K215" s="433"/>
      <c r="L215" s="433"/>
      <c r="M215" s="433"/>
      <c r="N215" s="433"/>
      <c r="O215" s="433"/>
      <c r="P215" s="433"/>
      <c r="Q215" s="433"/>
      <c r="R215" s="433"/>
      <c r="S215" s="433"/>
      <c r="T215" s="433"/>
      <c r="U215" s="433"/>
      <c r="V215" s="433"/>
      <c r="W215" s="433"/>
      <c r="X215" s="433"/>
      <c r="Y215" s="433"/>
      <c r="Z215" s="433"/>
      <c r="AA215" s="433"/>
      <c r="AB215" s="433"/>
      <c r="AC215" s="433"/>
      <c r="AD215" s="433"/>
      <c r="AE215" s="433"/>
      <c r="AF215" s="433"/>
      <c r="AG215" s="433"/>
      <c r="AJ215" s="325"/>
    </row>
    <row r="216" spans="1:36">
      <c r="A216" t="s">
        <v>1505</v>
      </c>
      <c r="B216" s="130"/>
      <c r="C216" s="230">
        <f>(C45*C65+C46*C86+C47*C111+C48*C94+C49*C114)</f>
        <v>4.8226258181960828</v>
      </c>
      <c r="D216" s="230">
        <f t="shared" ref="D216:AG216" si="147">(D45*D65+D46*D86+D47*D111+D48*D94+D49*D114)</f>
        <v>5.357541865936339</v>
      </c>
      <c r="E216" s="230">
        <f t="shared" si="147"/>
        <v>5.9145812188348987</v>
      </c>
      <c r="F216" s="230">
        <f t="shared" si="147"/>
        <v>6.4912492625308715</v>
      </c>
      <c r="G216" s="230">
        <f t="shared" si="147"/>
        <v>7.0847057896369705</v>
      </c>
      <c r="H216" s="230">
        <f t="shared" si="147"/>
        <v>7.6917836697104818</v>
      </c>
      <c r="I216" s="230">
        <f t="shared" si="147"/>
        <v>8.3269399114548346</v>
      </c>
      <c r="J216" s="230">
        <f t="shared" si="147"/>
        <v>8.9905736148547231</v>
      </c>
      <c r="K216" s="230">
        <f t="shared" si="147"/>
        <v>9.6830432621563141</v>
      </c>
      <c r="L216" s="230">
        <f t="shared" si="147"/>
        <v>10.404664193638112</v>
      </c>
      <c r="M216" s="230">
        <f t="shared" si="147"/>
        <v>11.155706120511489</v>
      </c>
      <c r="N216" s="230">
        <f t="shared" si="147"/>
        <v>12.386530103426116</v>
      </c>
      <c r="O216" s="230">
        <f t="shared" si="147"/>
        <v>13.651987913164181</v>
      </c>
      <c r="P216" s="230">
        <f t="shared" si="147"/>
        <v>14.950656254193436</v>
      </c>
      <c r="Q216" s="230">
        <f t="shared" si="147"/>
        <v>16.273593419121404</v>
      </c>
      <c r="R216" s="230">
        <f t="shared" si="147"/>
        <v>17.614511431947378</v>
      </c>
      <c r="S216" s="230">
        <f t="shared" si="147"/>
        <v>19.00091453057739</v>
      </c>
      <c r="T216" s="230">
        <f t="shared" si="147"/>
        <v>20.433417521543454</v>
      </c>
      <c r="U216" s="230">
        <f t="shared" si="147"/>
        <v>21.912623302640206</v>
      </c>
      <c r="V216" s="230">
        <f t="shared" si="147"/>
        <v>23.439122218974095</v>
      </c>
      <c r="W216" s="230">
        <f t="shared" si="147"/>
        <v>25.013491416922847</v>
      </c>
      <c r="X216" s="230">
        <f t="shared" si="147"/>
        <v>27.38142414287055</v>
      </c>
      <c r="Y216" s="230">
        <f t="shared" si="147"/>
        <v>29.828326722739863</v>
      </c>
      <c r="Z216" s="230">
        <f t="shared" si="147"/>
        <v>32.369905986477207</v>
      </c>
      <c r="AA216" s="230">
        <f t="shared" si="147"/>
        <v>34.99501007638932</v>
      </c>
      <c r="AB216" s="230">
        <f t="shared" si="147"/>
        <v>37.704679615982684</v>
      </c>
      <c r="AC216" s="230">
        <f t="shared" si="147"/>
        <v>40.500316706789164</v>
      </c>
      <c r="AD216" s="230">
        <f t="shared" si="147"/>
        <v>43.383000411904916</v>
      </c>
      <c r="AE216" s="230">
        <f t="shared" si="147"/>
        <v>46.35379147484629</v>
      </c>
      <c r="AF216" s="230">
        <f t="shared" si="147"/>
        <v>49.413731407500961</v>
      </c>
      <c r="AG216" s="230">
        <f t="shared" si="147"/>
        <v>52.563841575478222</v>
      </c>
      <c r="AI216" s="23">
        <f>(AG216/C216)^(1/30)-1</f>
        <v>8.2879463934363296E-2</v>
      </c>
    </row>
    <row r="217" spans="1:36">
      <c r="A217" t="s">
        <v>1359</v>
      </c>
      <c r="B217" s="130"/>
      <c r="C217" s="230">
        <f>C216</f>
        <v>4.8226258181960828</v>
      </c>
      <c r="D217" s="230">
        <f>C217*(1+$AI$217)</f>
        <v>4.903163669359957</v>
      </c>
      <c r="E217" s="230">
        <f t="shared" ref="E217:AG217" si="148">D217*(1+$AI$217)</f>
        <v>4.9850465026382675</v>
      </c>
      <c r="F217" s="230">
        <f t="shared" si="148"/>
        <v>5.0682967792323259</v>
      </c>
      <c r="G217" s="230">
        <f t="shared" si="148"/>
        <v>5.1529373354455057</v>
      </c>
      <c r="H217" s="230">
        <f t="shared" si="148"/>
        <v>5.2389913889474453</v>
      </c>
      <c r="I217" s="230">
        <f t="shared" si="148"/>
        <v>5.3264825451428672</v>
      </c>
      <c r="J217" s="230">
        <f t="shared" si="148"/>
        <v>5.415434803646753</v>
      </c>
      <c r="K217" s="230">
        <f t="shared" si="148"/>
        <v>5.5058725648676532</v>
      </c>
      <c r="L217" s="230">
        <f t="shared" si="148"/>
        <v>5.5978206367009431</v>
      </c>
      <c r="M217" s="230">
        <f t="shared" si="148"/>
        <v>5.6913042413338486</v>
      </c>
      <c r="N217" s="230">
        <f t="shared" si="148"/>
        <v>5.7863490221641234</v>
      </c>
      <c r="O217" s="230">
        <f t="shared" si="148"/>
        <v>5.8829810508342639</v>
      </c>
      <c r="P217" s="230">
        <f t="shared" si="148"/>
        <v>5.9812268343831958</v>
      </c>
      <c r="Q217" s="230">
        <f t="shared" si="148"/>
        <v>6.0811133225173952</v>
      </c>
      <c r="R217" s="230">
        <f t="shared" si="148"/>
        <v>6.1826679150034352</v>
      </c>
      <c r="S217" s="230">
        <f t="shared" si="148"/>
        <v>6.2859184691839918</v>
      </c>
      <c r="T217" s="230">
        <f t="shared" si="148"/>
        <v>6.3908933076193639</v>
      </c>
      <c r="U217" s="230">
        <f t="shared" si="148"/>
        <v>6.4976212258566068</v>
      </c>
      <c r="V217" s="230">
        <f t="shared" si="148"/>
        <v>6.606131500328412</v>
      </c>
      <c r="W217" s="230">
        <f t="shared" si="148"/>
        <v>6.7164538963838964</v>
      </c>
      <c r="X217" s="230">
        <f t="shared" si="148"/>
        <v>6.8286186764535071</v>
      </c>
      <c r="Y217" s="230">
        <f t="shared" si="148"/>
        <v>6.9426566083502799</v>
      </c>
      <c r="Z217" s="230">
        <f t="shared" si="148"/>
        <v>7.0585989737097288</v>
      </c>
      <c r="AA217" s="230">
        <f t="shared" si="148"/>
        <v>7.1764775765706812</v>
      </c>
      <c r="AB217" s="230">
        <f t="shared" si="148"/>
        <v>7.2963247520994114</v>
      </c>
      <c r="AC217" s="230">
        <f t="shared" si="148"/>
        <v>7.418173375459471</v>
      </c>
      <c r="AD217" s="230">
        <f t="shared" si="148"/>
        <v>7.5420568708296436</v>
      </c>
      <c r="AE217" s="230">
        <f t="shared" si="148"/>
        <v>7.6680092205724986</v>
      </c>
      <c r="AF217" s="230">
        <f t="shared" si="148"/>
        <v>7.7960649745560584</v>
      </c>
      <c r="AG217" s="230">
        <f t="shared" si="148"/>
        <v>7.9262592596311441</v>
      </c>
      <c r="AI217" s="214">
        <v>1.67E-2</v>
      </c>
      <c r="AJ217" s="3" t="s">
        <v>1360</v>
      </c>
    </row>
    <row r="218" spans="1:36">
      <c r="B218" s="130"/>
      <c r="C218" s="113"/>
      <c r="D218" s="23"/>
      <c r="E218" s="23"/>
      <c r="F218" s="23"/>
      <c r="G218" s="23"/>
      <c r="H218" s="23"/>
      <c r="I218" s="23"/>
      <c r="J218" s="23"/>
      <c r="K218" s="23"/>
      <c r="L218" s="23"/>
      <c r="M218" s="126"/>
      <c r="N218" s="110"/>
      <c r="O218" s="110"/>
      <c r="P218" s="110"/>
      <c r="Q218" s="110"/>
      <c r="R218" s="110"/>
      <c r="S218" s="110"/>
      <c r="T218" s="110"/>
      <c r="U218" s="110"/>
      <c r="V218" s="110"/>
      <c r="W218" s="126"/>
      <c r="X218" s="110"/>
      <c r="Y218" s="110"/>
      <c r="Z218" s="110"/>
      <c r="AA218" s="110"/>
      <c r="AB218" s="110"/>
      <c r="AC218" s="110"/>
      <c r="AD218" s="110"/>
      <c r="AE218" s="110"/>
      <c r="AF218" s="110"/>
      <c r="AG218" s="113"/>
    </row>
    <row r="219" spans="1:36">
      <c r="B219" s="51"/>
    </row>
    <row r="220" spans="1:36">
      <c r="B220" s="51"/>
      <c r="C220" s="107" t="s">
        <v>1528</v>
      </c>
      <c r="AG220" s="107" t="s">
        <v>1528</v>
      </c>
    </row>
    <row r="221" spans="1:36">
      <c r="A221" s="112"/>
      <c r="B221"/>
      <c r="C221" s="2">
        <f>(C63*C45+C90*C46)/(C63*C45+C90*C46+'Yearly HC Propylene'!D46)</f>
        <v>1.9579744014429752E-2</v>
      </c>
      <c r="W221" s="107" t="s">
        <v>309</v>
      </c>
      <c r="AG221" s="2">
        <f>(AG63*AG45+AG90*AG46)/(AG63*AG45+AG90*AG46+'Yearly HC Propylene'!AH46)</f>
        <v>0.189797112122607</v>
      </c>
    </row>
    <row r="222" spans="1:36">
      <c r="C222" s="2" t="e">
        <f>(C111*C47+C45*C67+C46*C89+C104*C48)/(C111*C47+C45*C67+C46*C89+C104*C48+'Yearly HC Propylene'!D110)</f>
        <v>#VALUE!</v>
      </c>
      <c r="W222" s="107" t="s">
        <v>811</v>
      </c>
      <c r="AG222" s="2">
        <f>(AG111*AG47+AG45*AG67+AG46*AG89+AG104*AG48)/(AG111*AG47+AG45*AG67+AG46*AG89+AG104*AG48+'Yearly HC Propylene'!AH110)</f>
        <v>1</v>
      </c>
      <c r="AH222" s="245">
        <f>AG111*AG52+AG50*AG75+AG51*AG89+AG104*AG53</f>
        <v>0.26650569620253167</v>
      </c>
    </row>
    <row r="223" spans="1:36">
      <c r="C223" s="2">
        <f>(C87*C46)/(C87*C46+'Yearly HC Propylene'!D120)</f>
        <v>1.1870743613630443E-5</v>
      </c>
      <c r="W223" s="107" t="s">
        <v>1462</v>
      </c>
      <c r="AG223" s="2">
        <f>(AG87*AG46)/(AG87*AG46+'Yearly HC Propylene'!AH120)</f>
        <v>3.2790897501887269E-3</v>
      </c>
    </row>
    <row r="224" spans="1:36">
      <c r="C224" s="2">
        <v>0</v>
      </c>
      <c r="W224" s="107" t="s">
        <v>320</v>
      </c>
      <c r="AG224" s="2">
        <v>0</v>
      </c>
    </row>
    <row r="225" spans="3:33">
      <c r="C225" s="2">
        <f>(C66*C45+C114*C49+C91*C46+C105*C48)/(C66*C45+C114*C49+C91*C46+C105*C48+'Yearly HC Propylene'!D144)</f>
        <v>1</v>
      </c>
      <c r="W225" s="107" t="s">
        <v>248</v>
      </c>
      <c r="AG225" s="2">
        <f>(AG66*AG45+AG114*AG49+AG91*AG46+AG105*AG48)/(AG66*AG45+AG114*AG49+AG91*AG46+AG105*AG48+'Yearly HC Propylene'!AH144)</f>
        <v>1</v>
      </c>
    </row>
    <row r="226" spans="3:33">
      <c r="C226" s="2">
        <f>C216/('Yearly HC Propylene'!D68+C216)</f>
        <v>4.1308807989993312E-2</v>
      </c>
      <c r="AG226" s="2">
        <f>AG216/('Yearly HC Propylene'!AH68+AG216)</f>
        <v>0.3133524159793718</v>
      </c>
    </row>
  </sheetData>
  <mergeCells count="4">
    <mergeCell ref="BD72:BE72"/>
    <mergeCell ref="BD77:BE77"/>
    <mergeCell ref="BD82:BE82"/>
    <mergeCell ref="AI184:AI192"/>
  </mergeCells>
  <hyperlinks>
    <hyperlink ref="AJ76" r:id="rId1" xr:uid="{5643A94E-3FEB-4642-A955-E7E7C583E415}"/>
    <hyperlink ref="AJ77" r:id="rId2" xr:uid="{3E71DC36-B15E-40E9-8EC0-B1624633191C}"/>
  </hyperlinks>
  <pageMargins left="0.7" right="0.7" top="0.75" bottom="0.75" header="0.3" footer="0.3"/>
  <pageSetup orientation="portrait" r:id="rId3"/>
  <drawing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D0B1-24AB-4236-9352-14534FA37B8C}">
  <sheetPr>
    <tabColor theme="4"/>
  </sheetPr>
  <dimension ref="A1:BL349"/>
  <sheetViews>
    <sheetView zoomScale="70" zoomScaleNormal="70" workbookViewId="0">
      <pane xSplit="2" ySplit="6" topLeftCell="C264" activePane="bottomRight" state="frozen"/>
      <selection pane="topRight" activeCell="C1" sqref="C1"/>
      <selection pane="bottomLeft" activeCell="A4" sqref="A4"/>
      <selection pane="bottomRight" activeCell="W42" sqref="W42"/>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1529</v>
      </c>
      <c r="B21" s="54" t="s">
        <v>462</v>
      </c>
      <c r="C21" s="159">
        <f>'Overall recycling rates'!E76</f>
        <v>1.1134731521823905E-2</v>
      </c>
      <c r="D21" s="159">
        <f>C21</f>
        <v>1.1134731521823905E-2</v>
      </c>
      <c r="E21" s="159">
        <f t="shared" ref="E21:AF22" si="10">D21</f>
        <v>1.1134731521823905E-2</v>
      </c>
      <c r="F21" s="159">
        <f t="shared" si="10"/>
        <v>1.1134731521823905E-2</v>
      </c>
      <c r="G21" s="159">
        <f t="shared" si="10"/>
        <v>1.1134731521823905E-2</v>
      </c>
      <c r="H21" s="159">
        <f t="shared" si="10"/>
        <v>1.1134731521823905E-2</v>
      </c>
      <c r="I21" s="159">
        <f t="shared" si="10"/>
        <v>1.1134731521823905E-2</v>
      </c>
      <c r="J21" s="159">
        <f t="shared" si="10"/>
        <v>1.1134731521823905E-2</v>
      </c>
      <c r="K21" s="159">
        <f t="shared" si="10"/>
        <v>1.1134731521823905E-2</v>
      </c>
      <c r="L21" s="159">
        <f t="shared" si="10"/>
        <v>1.1134731521823905E-2</v>
      </c>
      <c r="M21" s="159">
        <f t="shared" si="10"/>
        <v>1.1134731521823905E-2</v>
      </c>
      <c r="N21" s="159">
        <f t="shared" si="10"/>
        <v>1.1134731521823905E-2</v>
      </c>
      <c r="O21" s="159">
        <f t="shared" si="10"/>
        <v>1.1134731521823905E-2</v>
      </c>
      <c r="P21" s="159">
        <f t="shared" si="10"/>
        <v>1.1134731521823905E-2</v>
      </c>
      <c r="Q21" s="159">
        <f t="shared" si="10"/>
        <v>1.1134731521823905E-2</v>
      </c>
      <c r="R21" s="159">
        <f t="shared" si="10"/>
        <v>1.1134731521823905E-2</v>
      </c>
      <c r="S21" s="159">
        <f t="shared" si="10"/>
        <v>1.1134731521823905E-2</v>
      </c>
      <c r="T21" s="159">
        <f t="shared" si="10"/>
        <v>1.1134731521823905E-2</v>
      </c>
      <c r="U21" s="159">
        <f t="shared" si="10"/>
        <v>1.1134731521823905E-2</v>
      </c>
      <c r="V21" s="159">
        <f t="shared" si="10"/>
        <v>1.1134731521823905E-2</v>
      </c>
      <c r="W21" s="159">
        <f t="shared" si="10"/>
        <v>1.1134731521823905E-2</v>
      </c>
      <c r="X21" s="159">
        <f t="shared" si="10"/>
        <v>1.1134731521823905E-2</v>
      </c>
      <c r="Y21" s="159">
        <f t="shared" si="10"/>
        <v>1.1134731521823905E-2</v>
      </c>
      <c r="Z21" s="159">
        <f t="shared" si="10"/>
        <v>1.1134731521823905E-2</v>
      </c>
      <c r="AA21" s="159">
        <f t="shared" si="10"/>
        <v>1.1134731521823905E-2</v>
      </c>
      <c r="AB21" s="159">
        <f t="shared" si="10"/>
        <v>1.1134731521823905E-2</v>
      </c>
      <c r="AC21" s="159">
        <f t="shared" si="10"/>
        <v>1.1134731521823905E-2</v>
      </c>
      <c r="AD21" s="159">
        <f t="shared" si="10"/>
        <v>1.1134731521823905E-2</v>
      </c>
      <c r="AE21" s="159">
        <f t="shared" si="10"/>
        <v>1.1134731521823905E-2</v>
      </c>
      <c r="AF21" s="159">
        <f t="shared" si="10"/>
        <v>1.1134731521823905E-2</v>
      </c>
      <c r="AG21" s="159">
        <f>AF21</f>
        <v>1.1134731521823905E-2</v>
      </c>
      <c r="AI21" s="54" t="s">
        <v>1263</v>
      </c>
      <c r="AJ21" s="211"/>
      <c r="AM21" s="115"/>
      <c r="AN21" s="115"/>
      <c r="AO21" s="115"/>
      <c r="AP21" s="115"/>
      <c r="AQ21" s="115"/>
    </row>
    <row r="22" spans="1:64" outlineLevel="1">
      <c r="A22" t="s">
        <v>1530</v>
      </c>
      <c r="B22" s="54" t="s">
        <v>462</v>
      </c>
      <c r="C22" s="159">
        <f>'Overall recycling rates'!E78</f>
        <v>3.2359877891023306E-2</v>
      </c>
      <c r="D22" s="159">
        <f t="shared" ref="D22:S25" si="11">C22</f>
        <v>3.2359877891023306E-2</v>
      </c>
      <c r="E22" s="159">
        <f t="shared" si="11"/>
        <v>3.2359877891023306E-2</v>
      </c>
      <c r="F22" s="159">
        <f t="shared" si="11"/>
        <v>3.2359877891023306E-2</v>
      </c>
      <c r="G22" s="159">
        <f t="shared" si="11"/>
        <v>3.2359877891023306E-2</v>
      </c>
      <c r="H22" s="159">
        <f t="shared" si="11"/>
        <v>3.2359877891023306E-2</v>
      </c>
      <c r="I22" s="159">
        <f t="shared" si="11"/>
        <v>3.2359877891023306E-2</v>
      </c>
      <c r="J22" s="159">
        <f t="shared" si="11"/>
        <v>3.2359877891023306E-2</v>
      </c>
      <c r="K22" s="159">
        <f t="shared" si="11"/>
        <v>3.2359877891023306E-2</v>
      </c>
      <c r="L22" s="159">
        <f t="shared" si="11"/>
        <v>3.2359877891023306E-2</v>
      </c>
      <c r="M22" s="159">
        <f t="shared" si="11"/>
        <v>3.2359877891023306E-2</v>
      </c>
      <c r="N22" s="159">
        <f t="shared" si="11"/>
        <v>3.2359877891023306E-2</v>
      </c>
      <c r="O22" s="159">
        <f t="shared" si="11"/>
        <v>3.2359877891023306E-2</v>
      </c>
      <c r="P22" s="159">
        <f t="shared" si="11"/>
        <v>3.2359877891023306E-2</v>
      </c>
      <c r="Q22" s="159">
        <f t="shared" si="11"/>
        <v>3.2359877891023306E-2</v>
      </c>
      <c r="R22" s="159">
        <f t="shared" si="11"/>
        <v>3.2359877891023306E-2</v>
      </c>
      <c r="S22" s="159">
        <f t="shared" si="11"/>
        <v>3.2359877891023306E-2</v>
      </c>
      <c r="T22" s="159">
        <f t="shared" si="10"/>
        <v>3.2359877891023306E-2</v>
      </c>
      <c r="U22" s="159">
        <f t="shared" si="10"/>
        <v>3.2359877891023306E-2</v>
      </c>
      <c r="V22" s="159">
        <f t="shared" si="10"/>
        <v>3.2359877891023306E-2</v>
      </c>
      <c r="W22" s="159">
        <f t="shared" si="10"/>
        <v>3.2359877891023306E-2</v>
      </c>
      <c r="X22" s="159">
        <f t="shared" si="10"/>
        <v>3.2359877891023306E-2</v>
      </c>
      <c r="Y22" s="159">
        <f t="shared" si="10"/>
        <v>3.2359877891023306E-2</v>
      </c>
      <c r="Z22" s="159">
        <f t="shared" si="10"/>
        <v>3.2359877891023306E-2</v>
      </c>
      <c r="AA22" s="159">
        <f t="shared" si="10"/>
        <v>3.2359877891023306E-2</v>
      </c>
      <c r="AB22" s="159">
        <f t="shared" si="10"/>
        <v>3.2359877891023306E-2</v>
      </c>
      <c r="AC22" s="159">
        <f t="shared" si="10"/>
        <v>3.2359877891023306E-2</v>
      </c>
      <c r="AD22" s="159">
        <f t="shared" si="10"/>
        <v>3.2359877891023306E-2</v>
      </c>
      <c r="AE22" s="159">
        <f t="shared" si="10"/>
        <v>3.2359877891023306E-2</v>
      </c>
      <c r="AF22" s="159">
        <f t="shared" si="10"/>
        <v>3.2359877891023306E-2</v>
      </c>
      <c r="AG22" s="159">
        <f t="shared" ref="T22:AG25" si="12">AF22</f>
        <v>3.2359877891023306E-2</v>
      </c>
      <c r="AI22" s="54" t="s">
        <v>1263</v>
      </c>
      <c r="AJ22" s="211"/>
      <c r="AM22" s="120"/>
      <c r="AN22" s="115"/>
      <c r="AO22" s="116"/>
      <c r="AP22" s="117"/>
      <c r="AQ22" s="116"/>
    </row>
    <row r="23" spans="1:64" outlineLevel="1">
      <c r="A23" t="s">
        <v>1531</v>
      </c>
      <c r="B23" s="54" t="s">
        <v>462</v>
      </c>
      <c r="C23" s="159">
        <f>'Overall recycling rates'!E77</f>
        <v>1.9137757510057262E-2</v>
      </c>
      <c r="D23" s="159">
        <f t="shared" si="11"/>
        <v>1.9137757510057262E-2</v>
      </c>
      <c r="E23" s="159">
        <f t="shared" si="11"/>
        <v>1.9137757510057262E-2</v>
      </c>
      <c r="F23" s="159">
        <f t="shared" si="11"/>
        <v>1.9137757510057262E-2</v>
      </c>
      <c r="G23" s="159">
        <f t="shared" si="11"/>
        <v>1.9137757510057262E-2</v>
      </c>
      <c r="H23" s="159">
        <f t="shared" si="11"/>
        <v>1.9137757510057262E-2</v>
      </c>
      <c r="I23" s="159">
        <f t="shared" si="11"/>
        <v>1.9137757510057262E-2</v>
      </c>
      <c r="J23" s="159">
        <f t="shared" si="11"/>
        <v>1.9137757510057262E-2</v>
      </c>
      <c r="K23" s="159">
        <f t="shared" si="11"/>
        <v>1.9137757510057262E-2</v>
      </c>
      <c r="L23" s="159">
        <f t="shared" si="11"/>
        <v>1.9137757510057262E-2</v>
      </c>
      <c r="M23" s="159">
        <f t="shared" si="11"/>
        <v>1.9137757510057262E-2</v>
      </c>
      <c r="N23" s="159">
        <f t="shared" si="11"/>
        <v>1.9137757510057262E-2</v>
      </c>
      <c r="O23" s="159">
        <f t="shared" si="11"/>
        <v>1.9137757510057262E-2</v>
      </c>
      <c r="P23" s="159">
        <f t="shared" si="11"/>
        <v>1.9137757510057262E-2</v>
      </c>
      <c r="Q23" s="159">
        <f t="shared" si="11"/>
        <v>1.9137757510057262E-2</v>
      </c>
      <c r="R23" s="159">
        <f t="shared" si="11"/>
        <v>1.9137757510057262E-2</v>
      </c>
      <c r="S23" s="159">
        <f t="shared" si="11"/>
        <v>1.9137757510057262E-2</v>
      </c>
      <c r="T23" s="159">
        <f t="shared" si="12"/>
        <v>1.9137757510057262E-2</v>
      </c>
      <c r="U23" s="159">
        <f t="shared" si="12"/>
        <v>1.9137757510057262E-2</v>
      </c>
      <c r="V23" s="159">
        <f t="shared" si="12"/>
        <v>1.9137757510057262E-2</v>
      </c>
      <c r="W23" s="159">
        <f t="shared" si="12"/>
        <v>1.9137757510057262E-2</v>
      </c>
      <c r="X23" s="159">
        <f t="shared" si="12"/>
        <v>1.9137757510057262E-2</v>
      </c>
      <c r="Y23" s="159">
        <f t="shared" si="12"/>
        <v>1.9137757510057262E-2</v>
      </c>
      <c r="Z23" s="159">
        <f t="shared" si="12"/>
        <v>1.9137757510057262E-2</v>
      </c>
      <c r="AA23" s="159">
        <f t="shared" si="12"/>
        <v>1.9137757510057262E-2</v>
      </c>
      <c r="AB23" s="159">
        <f t="shared" si="12"/>
        <v>1.9137757510057262E-2</v>
      </c>
      <c r="AC23" s="159">
        <f t="shared" si="12"/>
        <v>1.9137757510057262E-2</v>
      </c>
      <c r="AD23" s="159">
        <f t="shared" si="12"/>
        <v>1.9137757510057262E-2</v>
      </c>
      <c r="AE23" s="159">
        <f t="shared" si="12"/>
        <v>1.9137757510057262E-2</v>
      </c>
      <c r="AF23" s="159">
        <f t="shared" si="12"/>
        <v>1.9137757510057262E-2</v>
      </c>
      <c r="AG23" s="159">
        <f t="shared" si="12"/>
        <v>1.9137757510057262E-2</v>
      </c>
      <c r="AI23" s="54" t="s">
        <v>1263</v>
      </c>
      <c r="AJ23" s="211"/>
      <c r="AM23" s="120"/>
      <c r="AN23" s="115"/>
      <c r="AO23" s="116"/>
      <c r="AP23" s="117"/>
      <c r="AQ23" s="116"/>
    </row>
    <row r="24" spans="1:64" outlineLevel="1">
      <c r="A24" t="s">
        <v>1532</v>
      </c>
      <c r="B24" s="54" t="s">
        <v>462</v>
      </c>
      <c r="C24" s="159">
        <f>'Overall recycling rates'!E79</f>
        <v>9.1850242717443825E-2</v>
      </c>
      <c r="D24" s="159">
        <f t="shared" si="11"/>
        <v>9.1850242717443825E-2</v>
      </c>
      <c r="E24" s="159">
        <f t="shared" si="11"/>
        <v>9.1850242717443825E-2</v>
      </c>
      <c r="F24" s="159">
        <f t="shared" si="11"/>
        <v>9.1850242717443825E-2</v>
      </c>
      <c r="G24" s="159">
        <f t="shared" si="11"/>
        <v>9.1850242717443825E-2</v>
      </c>
      <c r="H24" s="159">
        <f t="shared" si="11"/>
        <v>9.1850242717443825E-2</v>
      </c>
      <c r="I24" s="159">
        <f t="shared" si="11"/>
        <v>9.1850242717443825E-2</v>
      </c>
      <c r="J24" s="159">
        <f t="shared" si="11"/>
        <v>9.1850242717443825E-2</v>
      </c>
      <c r="K24" s="159">
        <f t="shared" si="11"/>
        <v>9.1850242717443825E-2</v>
      </c>
      <c r="L24" s="159">
        <f t="shared" si="11"/>
        <v>9.1850242717443825E-2</v>
      </c>
      <c r="M24" s="159">
        <f t="shared" si="11"/>
        <v>9.1850242717443825E-2</v>
      </c>
      <c r="N24" s="159">
        <f t="shared" si="11"/>
        <v>9.1850242717443825E-2</v>
      </c>
      <c r="O24" s="159">
        <f t="shared" si="11"/>
        <v>9.1850242717443825E-2</v>
      </c>
      <c r="P24" s="159">
        <f t="shared" si="11"/>
        <v>9.1850242717443825E-2</v>
      </c>
      <c r="Q24" s="159">
        <f t="shared" si="11"/>
        <v>9.1850242717443825E-2</v>
      </c>
      <c r="R24" s="159">
        <f t="shared" si="11"/>
        <v>9.1850242717443825E-2</v>
      </c>
      <c r="S24" s="159">
        <f t="shared" si="11"/>
        <v>9.1850242717443825E-2</v>
      </c>
      <c r="T24" s="159">
        <f t="shared" si="12"/>
        <v>9.1850242717443825E-2</v>
      </c>
      <c r="U24" s="159">
        <f t="shared" si="12"/>
        <v>9.1850242717443825E-2</v>
      </c>
      <c r="V24" s="159">
        <f t="shared" si="12"/>
        <v>9.1850242717443825E-2</v>
      </c>
      <c r="W24" s="159">
        <f t="shared" si="12"/>
        <v>9.1850242717443825E-2</v>
      </c>
      <c r="X24" s="159">
        <f t="shared" si="12"/>
        <v>9.1850242717443825E-2</v>
      </c>
      <c r="Y24" s="159">
        <f t="shared" si="12"/>
        <v>9.1850242717443825E-2</v>
      </c>
      <c r="Z24" s="159">
        <f t="shared" si="12"/>
        <v>9.1850242717443825E-2</v>
      </c>
      <c r="AA24" s="159">
        <f t="shared" si="12"/>
        <v>9.1850242717443825E-2</v>
      </c>
      <c r="AB24" s="159">
        <f t="shared" si="12"/>
        <v>9.1850242717443825E-2</v>
      </c>
      <c r="AC24" s="159">
        <f t="shared" si="12"/>
        <v>9.1850242717443825E-2</v>
      </c>
      <c r="AD24" s="159">
        <f t="shared" si="12"/>
        <v>9.1850242717443825E-2</v>
      </c>
      <c r="AE24" s="159">
        <f t="shared" si="12"/>
        <v>9.1850242717443825E-2</v>
      </c>
      <c r="AF24" s="159">
        <f t="shared" si="12"/>
        <v>9.1850242717443825E-2</v>
      </c>
      <c r="AG24" s="159">
        <f t="shared" si="12"/>
        <v>9.1850242717443825E-2</v>
      </c>
      <c r="AI24" s="54" t="s">
        <v>1263</v>
      </c>
      <c r="AJ24" s="211"/>
      <c r="AM24" s="120"/>
      <c r="AN24" s="115"/>
      <c r="AO24" s="477"/>
      <c r="AP24" s="478"/>
      <c r="AQ24" s="477"/>
    </row>
    <row r="25" spans="1:64" outlineLevel="1">
      <c r="A25" t="s">
        <v>1533</v>
      </c>
      <c r="B25" s="54" t="s">
        <v>462</v>
      </c>
      <c r="C25" s="159">
        <f>'Overall recycling rates'!E80</f>
        <v>6.1083152357585872E-2</v>
      </c>
      <c r="D25" s="159">
        <f>C25</f>
        <v>6.1083152357585872E-2</v>
      </c>
      <c r="E25" s="159">
        <f t="shared" si="11"/>
        <v>6.1083152357585872E-2</v>
      </c>
      <c r="F25" s="159">
        <f t="shared" si="11"/>
        <v>6.1083152357585872E-2</v>
      </c>
      <c r="G25" s="159">
        <f t="shared" si="11"/>
        <v>6.1083152357585872E-2</v>
      </c>
      <c r="H25" s="159">
        <f t="shared" si="11"/>
        <v>6.1083152357585872E-2</v>
      </c>
      <c r="I25" s="159">
        <f t="shared" si="11"/>
        <v>6.1083152357585872E-2</v>
      </c>
      <c r="J25" s="159">
        <f t="shared" si="11"/>
        <v>6.1083152357585872E-2</v>
      </c>
      <c r="K25" s="159">
        <f t="shared" si="11"/>
        <v>6.1083152357585872E-2</v>
      </c>
      <c r="L25" s="159">
        <f t="shared" si="11"/>
        <v>6.1083152357585872E-2</v>
      </c>
      <c r="M25" s="159">
        <f t="shared" si="11"/>
        <v>6.1083152357585872E-2</v>
      </c>
      <c r="N25" s="159">
        <f t="shared" si="11"/>
        <v>6.1083152357585872E-2</v>
      </c>
      <c r="O25" s="159">
        <f t="shared" si="11"/>
        <v>6.1083152357585872E-2</v>
      </c>
      <c r="P25" s="159">
        <f t="shared" si="11"/>
        <v>6.1083152357585872E-2</v>
      </c>
      <c r="Q25" s="159">
        <f t="shared" si="11"/>
        <v>6.1083152357585872E-2</v>
      </c>
      <c r="R25" s="159">
        <f t="shared" si="11"/>
        <v>6.1083152357585872E-2</v>
      </c>
      <c r="S25" s="159">
        <f t="shared" si="11"/>
        <v>6.1083152357585872E-2</v>
      </c>
      <c r="T25" s="159">
        <f t="shared" si="12"/>
        <v>6.1083152357585872E-2</v>
      </c>
      <c r="U25" s="159">
        <f t="shared" si="12"/>
        <v>6.1083152357585872E-2</v>
      </c>
      <c r="V25" s="159">
        <f t="shared" si="12"/>
        <v>6.1083152357585872E-2</v>
      </c>
      <c r="W25" s="159">
        <f t="shared" si="12"/>
        <v>6.1083152357585872E-2</v>
      </c>
      <c r="X25" s="159">
        <f t="shared" si="12"/>
        <v>6.1083152357585872E-2</v>
      </c>
      <c r="Y25" s="159">
        <f t="shared" si="12"/>
        <v>6.1083152357585872E-2</v>
      </c>
      <c r="Z25" s="159">
        <f t="shared" si="12"/>
        <v>6.1083152357585872E-2</v>
      </c>
      <c r="AA25" s="159">
        <f t="shared" si="12"/>
        <v>6.1083152357585872E-2</v>
      </c>
      <c r="AB25" s="159">
        <f t="shared" si="12"/>
        <v>6.1083152357585872E-2</v>
      </c>
      <c r="AC25" s="159">
        <f t="shared" si="12"/>
        <v>6.1083152357585872E-2</v>
      </c>
      <c r="AD25" s="159">
        <f t="shared" si="12"/>
        <v>6.1083152357585872E-2</v>
      </c>
      <c r="AE25" s="159">
        <f t="shared" si="12"/>
        <v>6.1083152357585872E-2</v>
      </c>
      <c r="AF25" s="159">
        <f t="shared" si="12"/>
        <v>6.1083152357585872E-2</v>
      </c>
      <c r="AG25" s="159">
        <f t="shared" si="12"/>
        <v>6.1083152357585872E-2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1534</v>
      </c>
      <c r="B27" s="54" t="s">
        <v>1535</v>
      </c>
      <c r="C27" s="204">
        <f>C14*C21</f>
        <v>2.137941716225618</v>
      </c>
      <c r="D27" s="204">
        <f t="shared" ref="D27:AG27" si="13">D14*D21</f>
        <v>2.2096087286575932</v>
      </c>
      <c r="E27" s="204">
        <f t="shared" si="13"/>
        <v>2.2777084329343018</v>
      </c>
      <c r="F27" s="204">
        <f t="shared" si="13"/>
        <v>2.3417734176399954</v>
      </c>
      <c r="G27" s="204">
        <f t="shared" si="13"/>
        <v>2.4013549757949453</v>
      </c>
      <c r="H27" s="204">
        <f t="shared" si="13"/>
        <v>2.4560283397508269</v>
      </c>
      <c r="I27" s="204">
        <f t="shared" si="13"/>
        <v>2.5108030142133506</v>
      </c>
      <c r="J27" s="204">
        <f t="shared" si="13"/>
        <v>2.5656294057910416</v>
      </c>
      <c r="K27" s="204">
        <f t="shared" si="13"/>
        <v>2.6204566620152048</v>
      </c>
      <c r="L27" s="204">
        <f t="shared" si="13"/>
        <v>2.6752327374721778</v>
      </c>
      <c r="M27" s="204">
        <f>M14*M21</f>
        <v>2.7299044644051373</v>
      </c>
      <c r="N27" s="204">
        <f t="shared" si="13"/>
        <v>2.7804337089831113</v>
      </c>
      <c r="O27" s="204">
        <f t="shared" si="13"/>
        <v>2.8265402269314515</v>
      </c>
      <c r="P27" s="204">
        <f t="shared" si="13"/>
        <v>2.867963568105826</v>
      </c>
      <c r="Q27" s="204">
        <f t="shared" si="13"/>
        <v>2.9044654971713828</v>
      </c>
      <c r="R27" s="204">
        <f t="shared" si="13"/>
        <v>2.935832250480499</v>
      </c>
      <c r="S27" s="204">
        <f t="shared" si="13"/>
        <v>2.9672129233514815</v>
      </c>
      <c r="T27" s="204">
        <f t="shared" si="13"/>
        <v>2.9986005242481526</v>
      </c>
      <c r="U27" s="204">
        <f t="shared" si="13"/>
        <v>3.0299879776975489</v>
      </c>
      <c r="V27" s="204">
        <f t="shared" si="13"/>
        <v>3.0613681265221042</v>
      </c>
      <c r="W27" s="204">
        <f t="shared" si="13"/>
        <v>3.092733734145976</v>
      </c>
      <c r="X27" s="204">
        <f t="shared" si="13"/>
        <v>3.1241118968506316</v>
      </c>
      <c r="Y27" s="204">
        <f t="shared" si="13"/>
        <v>3.1554963149724538</v>
      </c>
      <c r="Z27" s="204">
        <f t="shared" si="13"/>
        <v>3.1868806176551439</v>
      </c>
      <c r="AA27" s="204">
        <f t="shared" si="13"/>
        <v>3.2182583646700484</v>
      </c>
      <c r="AB27" s="204">
        <f t="shared" si="13"/>
        <v>3.2496230482931523</v>
      </c>
      <c r="AC27" s="204">
        <f t="shared" si="13"/>
        <v>3.2809991142881461</v>
      </c>
      <c r="AD27" s="204">
        <f t="shared" si="13"/>
        <v>3.3123808564026085</v>
      </c>
      <c r="AE27" s="204">
        <f t="shared" si="13"/>
        <v>3.3437625074661987</v>
      </c>
      <c r="AF27" s="204">
        <f t="shared" si="13"/>
        <v>3.3751382408899606</v>
      </c>
      <c r="AG27" s="204">
        <f t="shared" si="13"/>
        <v>3.4065021722095441</v>
      </c>
      <c r="AI27" s="245"/>
      <c r="AM27" s="120"/>
      <c r="AN27" s="115"/>
      <c r="AO27" s="115"/>
      <c r="AP27" s="115"/>
      <c r="AQ27" s="115"/>
      <c r="BD27" s="205"/>
      <c r="BE27" s="205"/>
      <c r="BF27" s="205"/>
      <c r="BG27" s="205"/>
      <c r="BH27" s="205"/>
      <c r="BI27" s="205"/>
      <c r="BJ27" s="205"/>
      <c r="BK27" s="205"/>
      <c r="BL27" s="205"/>
    </row>
    <row r="28" spans="1:64" outlineLevel="1">
      <c r="A28" t="s">
        <v>1536</v>
      </c>
      <c r="B28" s="54" t="s">
        <v>1535</v>
      </c>
      <c r="C28" s="204">
        <f t="shared" ref="C28:AG31" si="14">C15*C22</f>
        <v>0.58649688544622769</v>
      </c>
      <c r="D28" s="204">
        <f t="shared" si="14"/>
        <v>0.60615714056992442</v>
      </c>
      <c r="E28" s="204">
        <f t="shared" si="14"/>
        <v>0.62483878383221614</v>
      </c>
      <c r="F28" s="204">
        <f t="shared" si="14"/>
        <v>0.64241359127943864</v>
      </c>
      <c r="G28" s="204">
        <f t="shared" si="14"/>
        <v>0.65875847010504252</v>
      </c>
      <c r="H28" s="204">
        <f t="shared" si="14"/>
        <v>0.67375689472702072</v>
      </c>
      <c r="I28" s="204">
        <f t="shared" si="14"/>
        <v>0.68878311163919914</v>
      </c>
      <c r="J28" s="204">
        <f t="shared" si="14"/>
        <v>0.70382351599472071</v>
      </c>
      <c r="K28" s="204">
        <f t="shared" si="14"/>
        <v>0.71886415754682209</v>
      </c>
      <c r="L28" s="204">
        <f t="shared" si="14"/>
        <v>0.73389075879075039</v>
      </c>
      <c r="M28" s="204">
        <f t="shared" si="14"/>
        <v>0.74888873433180292</v>
      </c>
      <c r="N28" s="204">
        <f t="shared" si="14"/>
        <v>0.76275031172842678</v>
      </c>
      <c r="O28" s="204">
        <f t="shared" si="14"/>
        <v>0.7753986121803268</v>
      </c>
      <c r="P28" s="204">
        <f t="shared" si="14"/>
        <v>0.78676218696778055</v>
      </c>
      <c r="Q28" s="204">
        <f t="shared" si="14"/>
        <v>0.7967756815112722</v>
      </c>
      <c r="R28" s="204">
        <f t="shared" si="14"/>
        <v>0.80538045449583906</v>
      </c>
      <c r="S28" s="204">
        <f t="shared" si="14"/>
        <v>0.81398904600343625</v>
      </c>
      <c r="T28" s="204">
        <f t="shared" si="14"/>
        <v>0.82259953806120234</v>
      </c>
      <c r="U28" s="204">
        <f t="shared" si="14"/>
        <v>0.83120998967007897</v>
      </c>
      <c r="V28" s="204">
        <f t="shared" si="14"/>
        <v>0.83981843741716355</v>
      </c>
      <c r="W28" s="204">
        <f t="shared" si="14"/>
        <v>0.8484228961083975</v>
      </c>
      <c r="X28" s="204">
        <f t="shared" si="14"/>
        <v>0.85703079900754442</v>
      </c>
      <c r="Y28" s="204">
        <f t="shared" si="14"/>
        <v>0.8656404179416316</v>
      </c>
      <c r="Z28" s="204">
        <f t="shared" si="14"/>
        <v>0.87425000520755336</v>
      </c>
      <c r="AA28" s="204">
        <f t="shared" si="14"/>
        <v>0.88285779407143816</v>
      </c>
      <c r="AB28" s="204">
        <f t="shared" si="14"/>
        <v>0.89146199928355774</v>
      </c>
      <c r="AC28" s="204">
        <f t="shared" si="14"/>
        <v>0.90006932699691888</v>
      </c>
      <c r="AD28" s="204">
        <f t="shared" si="14"/>
        <v>0.90867821182774677</v>
      </c>
      <c r="AE28" s="204">
        <f t="shared" si="14"/>
        <v>0.91728707168078771</v>
      </c>
      <c r="AF28" s="204">
        <f t="shared" si="14"/>
        <v>0.92589430816060814</v>
      </c>
      <c r="AG28" s="204">
        <f t="shared" si="14"/>
        <v>0.93449830699494496</v>
      </c>
      <c r="AM28" s="206"/>
      <c r="BD28" s="205"/>
      <c r="BE28" s="205"/>
      <c r="BF28" s="205"/>
      <c r="BG28" s="205"/>
      <c r="BH28" s="205"/>
      <c r="BI28" s="205"/>
      <c r="BJ28" s="205"/>
      <c r="BK28" s="205"/>
      <c r="BL28" s="205"/>
    </row>
    <row r="29" spans="1:64" outlineLevel="1">
      <c r="A29" t="s">
        <v>1537</v>
      </c>
      <c r="B29" s="54" t="s">
        <v>1535</v>
      </c>
      <c r="C29" s="204">
        <f t="shared" si="14"/>
        <v>0.27288082766179111</v>
      </c>
      <c r="D29" s="204">
        <f t="shared" si="14"/>
        <v>0.28202820222306357</v>
      </c>
      <c r="E29" s="204">
        <f t="shared" si="14"/>
        <v>0.29072025567125509</v>
      </c>
      <c r="F29" s="204">
        <f t="shared" si="14"/>
        <v>0.29889732893660731</v>
      </c>
      <c r="G29" s="204">
        <f t="shared" si="14"/>
        <v>0.30650215033061867</v>
      </c>
      <c r="H29" s="204">
        <f t="shared" si="14"/>
        <v>0.31348050371327035</v>
      </c>
      <c r="I29" s="204">
        <f t="shared" si="14"/>
        <v>0.32047178808215687</v>
      </c>
      <c r="J29" s="204">
        <f t="shared" si="14"/>
        <v>0.32746967347720052</v>
      </c>
      <c r="K29" s="204">
        <f t="shared" si="14"/>
        <v>0.33446766923327187</v>
      </c>
      <c r="L29" s="204">
        <f t="shared" si="14"/>
        <v>0.34145913242112341</v>
      </c>
      <c r="M29" s="204">
        <f t="shared" si="14"/>
        <v>0.34843727685880416</v>
      </c>
      <c r="N29" s="204">
        <f t="shared" si="14"/>
        <v>0.3548866865770004</v>
      </c>
      <c r="O29" s="204">
        <f t="shared" si="14"/>
        <v>0.36077159198993103</v>
      </c>
      <c r="P29" s="204">
        <f t="shared" si="14"/>
        <v>0.36605874997856686</v>
      </c>
      <c r="Q29" s="204">
        <f t="shared" si="14"/>
        <v>0.37071775285926561</v>
      </c>
      <c r="R29" s="204">
        <f t="shared" si="14"/>
        <v>0.37472131644525791</v>
      </c>
      <c r="S29" s="204">
        <f t="shared" si="14"/>
        <v>0.37872665668471733</v>
      </c>
      <c r="T29" s="204">
        <f t="shared" si="14"/>
        <v>0.38273288119776105</v>
      </c>
      <c r="U29" s="204">
        <f t="shared" si="14"/>
        <v>0.38673908689105191</v>
      </c>
      <c r="V29" s="204">
        <f t="shared" si="14"/>
        <v>0.3907443602427092</v>
      </c>
      <c r="W29" s="204">
        <f t="shared" si="14"/>
        <v>0.39474777759668062</v>
      </c>
      <c r="X29" s="204">
        <f t="shared" si="14"/>
        <v>0.39875279744561698</v>
      </c>
      <c r="Y29" s="204">
        <f t="shared" si="14"/>
        <v>0.40275861571829003</v>
      </c>
      <c r="Z29" s="204">
        <f t="shared" si="14"/>
        <v>0.40676441925663909</v>
      </c>
      <c r="AA29" s="204">
        <f t="shared" si="14"/>
        <v>0.41076938604811258</v>
      </c>
      <c r="AB29" s="204">
        <f t="shared" si="14"/>
        <v>0.4147726854652421</v>
      </c>
      <c r="AC29" s="204">
        <f t="shared" si="14"/>
        <v>0.41877743769609355</v>
      </c>
      <c r="AD29" s="204">
        <f t="shared" si="14"/>
        <v>0.4227829144107636</v>
      </c>
      <c r="AE29" s="204">
        <f t="shared" si="14"/>
        <v>0.42678837950395809</v>
      </c>
      <c r="AF29" s="204">
        <f t="shared" si="14"/>
        <v>0.43079308928635907</v>
      </c>
      <c r="AG29" s="204">
        <f t="shared" si="14"/>
        <v>0.43479629268159714</v>
      </c>
      <c r="BD29" s="205"/>
      <c r="BE29" s="205"/>
      <c r="BF29" s="205"/>
      <c r="BG29" s="205"/>
      <c r="BH29" s="205"/>
      <c r="BI29" s="205"/>
      <c r="BJ29" s="205"/>
      <c r="BK29" s="205"/>
      <c r="BL29" s="205"/>
    </row>
    <row r="30" spans="1:64" outlineLevel="1">
      <c r="A30" t="s">
        <v>1538</v>
      </c>
      <c r="B30" s="54" t="s">
        <v>1535</v>
      </c>
      <c r="C30" s="204">
        <f t="shared" si="14"/>
        <v>3.3569388624573886</v>
      </c>
      <c r="D30" s="204">
        <f t="shared" si="14"/>
        <v>3.4694684872657979</v>
      </c>
      <c r="E30" s="204">
        <f t="shared" si="14"/>
        <v>3.5763968202850558</v>
      </c>
      <c r="F30" s="204">
        <f t="shared" si="14"/>
        <v>3.6769899446200638</v>
      </c>
      <c r="G30" s="204">
        <f t="shared" si="14"/>
        <v>3.7705433125805432</v>
      </c>
      <c r="H30" s="204">
        <f t="shared" si="14"/>
        <v>3.8563899653736766</v>
      </c>
      <c r="I30" s="204">
        <f t="shared" si="14"/>
        <v>3.9423956932128412</v>
      </c>
      <c r="J30" s="204">
        <f t="shared" si="14"/>
        <v>4.0284826258820736</v>
      </c>
      <c r="K30" s="204">
        <f t="shared" si="14"/>
        <v>4.1145709161960546</v>
      </c>
      <c r="L30" s="204">
        <f t="shared" si="14"/>
        <v>4.2005788438392075</v>
      </c>
      <c r="M30" s="204">
        <f t="shared" si="14"/>
        <v>4.2864229262227624</v>
      </c>
      <c r="N30" s="204">
        <f t="shared" si="14"/>
        <v>4.3657625936828621</v>
      </c>
      <c r="O30" s="204">
        <f t="shared" si="14"/>
        <v>4.4381578141599762</v>
      </c>
      <c r="P30" s="204">
        <f t="shared" si="14"/>
        <v>4.5031996358082207</v>
      </c>
      <c r="Q30" s="204">
        <f t="shared" si="14"/>
        <v>4.5605139878809968</v>
      </c>
      <c r="R30" s="204">
        <f t="shared" si="14"/>
        <v>4.6097652244200269</v>
      </c>
      <c r="S30" s="204">
        <f t="shared" si="14"/>
        <v>4.6590383170825511</v>
      </c>
      <c r="T30" s="204">
        <f t="shared" si="14"/>
        <v>4.7083222879455908</v>
      </c>
      <c r="U30" s="204">
        <f t="shared" si="14"/>
        <v>4.7576060272908638</v>
      </c>
      <c r="V30" s="204">
        <f t="shared" si="14"/>
        <v>4.8068782971097157</v>
      </c>
      <c r="W30" s="204">
        <f t="shared" si="14"/>
        <v>4.8561277347244367</v>
      </c>
      <c r="X30" s="204">
        <f t="shared" si="14"/>
        <v>4.905396885990978</v>
      </c>
      <c r="Y30" s="204">
        <f t="shared" si="14"/>
        <v>4.9546758593461337</v>
      </c>
      <c r="Z30" s="204">
        <f t="shared" si="14"/>
        <v>5.0039546514418518</v>
      </c>
      <c r="AA30" s="204">
        <f t="shared" si="14"/>
        <v>5.0532231500034728</v>
      </c>
      <c r="AB30" s="204">
        <f t="shared" si="14"/>
        <v>5.1024711367769191</v>
      </c>
      <c r="AC30" s="204">
        <f t="shared" si="14"/>
        <v>5.1517369958460666</v>
      </c>
      <c r="AD30" s="204">
        <f t="shared" si="14"/>
        <v>5.2010117674060865</v>
      </c>
      <c r="AE30" s="204">
        <f t="shared" si="14"/>
        <v>5.2502863960004644</v>
      </c>
      <c r="AF30" s="204">
        <f t="shared" si="14"/>
        <v>5.2995517328751651</v>
      </c>
      <c r="AG30" s="204">
        <f t="shared" si="14"/>
        <v>5.3487985384017573</v>
      </c>
      <c r="BD30" s="205"/>
      <c r="BE30" s="205"/>
      <c r="BF30" s="205"/>
      <c r="BG30" s="205"/>
      <c r="BH30" s="205"/>
      <c r="BI30" s="205"/>
      <c r="BJ30" s="205"/>
      <c r="BK30" s="205"/>
      <c r="BL30" s="205"/>
    </row>
    <row r="31" spans="1:64" outlineLevel="1">
      <c r="A31" s="181" t="s">
        <v>1539</v>
      </c>
      <c r="B31" s="176" t="s">
        <v>1535</v>
      </c>
      <c r="C31" s="204">
        <f t="shared" si="14"/>
        <v>6.3196211155477018</v>
      </c>
      <c r="D31" s="204">
        <f t="shared" si="14"/>
        <v>6.5314642923827124</v>
      </c>
      <c r="E31" s="204">
        <f t="shared" si="14"/>
        <v>6.7327627308964706</v>
      </c>
      <c r="F31" s="204">
        <f t="shared" si="14"/>
        <v>6.9221347923706755</v>
      </c>
      <c r="G31" s="204">
        <f t="shared" si="14"/>
        <v>7.0982541272223267</v>
      </c>
      <c r="H31" s="204">
        <f t="shared" si="14"/>
        <v>7.25986514902492</v>
      </c>
      <c r="I31" s="204">
        <f t="shared" si="14"/>
        <v>7.4217756383069799</v>
      </c>
      <c r="J31" s="204">
        <f t="shared" si="14"/>
        <v>7.5838390001255389</v>
      </c>
      <c r="K31" s="204">
        <f t="shared" si="14"/>
        <v>7.7459049177846335</v>
      </c>
      <c r="L31" s="204">
        <f t="shared" si="14"/>
        <v>7.9078195483180842</v>
      </c>
      <c r="M31" s="204">
        <f t="shared" si="14"/>
        <v>8.0694257311839817</v>
      </c>
      <c r="N31" s="204">
        <f t="shared" si="14"/>
        <v>8.2187869970052905</v>
      </c>
      <c r="O31" s="204">
        <f t="shared" si="14"/>
        <v>8.355074961349386</v>
      </c>
      <c r="P31" s="204">
        <f t="shared" si="14"/>
        <v>8.477519749986687</v>
      </c>
      <c r="Q31" s="204">
        <f t="shared" si="14"/>
        <v>8.5854171542658655</v>
      </c>
      <c r="R31" s="204">
        <f t="shared" si="14"/>
        <v>8.6781353023023904</v>
      </c>
      <c r="S31" s="204">
        <f t="shared" si="14"/>
        <v>8.7708945956874604</v>
      </c>
      <c r="T31" s="204">
        <f t="shared" si="14"/>
        <v>8.8636743678803036</v>
      </c>
      <c r="U31" s="204">
        <f t="shared" si="14"/>
        <v>8.9564537042282826</v>
      </c>
      <c r="V31" s="204">
        <f t="shared" si="14"/>
        <v>9.0492114485651083</v>
      </c>
      <c r="W31" s="204">
        <f t="shared" si="14"/>
        <v>9.1419262100281777</v>
      </c>
      <c r="X31" s="204">
        <f t="shared" si="14"/>
        <v>9.2346780835196203</v>
      </c>
      <c r="Y31" s="204">
        <f t="shared" si="14"/>
        <v>9.3274484476303847</v>
      </c>
      <c r="Z31" s="204">
        <f t="shared" si="14"/>
        <v>9.420218470510342</v>
      </c>
      <c r="AA31" s="204">
        <f t="shared" si="14"/>
        <v>9.5129691152490494</v>
      </c>
      <c r="AB31" s="204">
        <f t="shared" si="14"/>
        <v>9.6056811454240218</v>
      </c>
      <c r="AC31" s="204">
        <f t="shared" si="14"/>
        <v>9.6984268211737046</v>
      </c>
      <c r="AD31" s="204">
        <f t="shared" si="14"/>
        <v>9.7911892751751886</v>
      </c>
      <c r="AE31" s="204">
        <f t="shared" si="14"/>
        <v>9.883951460036025</v>
      </c>
      <c r="AF31" s="204">
        <f t="shared" si="14"/>
        <v>9.9766961527260829</v>
      </c>
      <c r="AG31" s="204">
        <f t="shared" si="14"/>
        <v>10.06940595913921</v>
      </c>
      <c r="AL31" s="108"/>
      <c r="AM31" s="207"/>
      <c r="AN31" s="207"/>
      <c r="AO31" s="207"/>
    </row>
    <row r="32" spans="1:64" s="1" customFormat="1" ht="16" thickBot="1">
      <c r="A32" s="200" t="s">
        <v>1540</v>
      </c>
      <c r="B32" s="219" t="s">
        <v>1535</v>
      </c>
      <c r="C32" s="216">
        <f>SUM(C27:C31)</f>
        <v>12.673879407338728</v>
      </c>
      <c r="D32" s="216">
        <f t="shared" ref="D32:AG32" si="15">SUM(D27:D31)</f>
        <v>13.098726851099091</v>
      </c>
      <c r="E32" s="216">
        <f t="shared" si="15"/>
        <v>13.502427023619299</v>
      </c>
      <c r="F32" s="216">
        <f t="shared" si="15"/>
        <v>13.882209074846781</v>
      </c>
      <c r="G32" s="216">
        <f t="shared" si="15"/>
        <v>14.235413036033478</v>
      </c>
      <c r="H32" s="216">
        <f t="shared" si="15"/>
        <v>14.559520852589715</v>
      </c>
      <c r="I32" s="216">
        <f t="shared" si="15"/>
        <v>14.884229245454527</v>
      </c>
      <c r="J32" s="216">
        <f t="shared" si="15"/>
        <v>15.209244221270575</v>
      </c>
      <c r="K32" s="216">
        <f t="shared" si="15"/>
        <v>15.534264322775988</v>
      </c>
      <c r="L32" s="216">
        <f t="shared" si="15"/>
        <v>15.858981020841343</v>
      </c>
      <c r="M32" s="216">
        <f t="shared" si="15"/>
        <v>16.183079133002487</v>
      </c>
      <c r="N32" s="216">
        <f t="shared" si="15"/>
        <v>16.482620297976691</v>
      </c>
      <c r="O32" s="216">
        <f t="shared" si="15"/>
        <v>16.755943206611072</v>
      </c>
      <c r="P32" s="216">
        <f t="shared" si="15"/>
        <v>17.001503890847083</v>
      </c>
      <c r="Q32" s="216">
        <f t="shared" si="15"/>
        <v>17.217890073688782</v>
      </c>
      <c r="R32" s="216">
        <f t="shared" si="15"/>
        <v>17.403834548144012</v>
      </c>
      <c r="S32" s="216">
        <f t="shared" si="15"/>
        <v>17.589861538809647</v>
      </c>
      <c r="T32" s="216">
        <f t="shared" si="15"/>
        <v>17.775929599333011</v>
      </c>
      <c r="U32" s="216">
        <f t="shared" si="15"/>
        <v>17.961996785777828</v>
      </c>
      <c r="V32" s="216">
        <f t="shared" si="15"/>
        <v>18.148020669856798</v>
      </c>
      <c r="W32" s="216">
        <f t="shared" si="15"/>
        <v>18.33395835260367</v>
      </c>
      <c r="X32" s="216">
        <f t="shared" si="15"/>
        <v>18.519970462814392</v>
      </c>
      <c r="Y32" s="216">
        <f t="shared" si="15"/>
        <v>18.706019655608895</v>
      </c>
      <c r="Z32" s="216">
        <f t="shared" si="15"/>
        <v>18.892068164071532</v>
      </c>
      <c r="AA32" s="216">
        <f t="shared" si="15"/>
        <v>19.078077810042121</v>
      </c>
      <c r="AB32" s="216">
        <f t="shared" si="15"/>
        <v>19.264010015242892</v>
      </c>
      <c r="AC32" s="216">
        <f t="shared" si="15"/>
        <v>19.450009696000929</v>
      </c>
      <c r="AD32" s="216">
        <f t="shared" si="15"/>
        <v>19.636043025222392</v>
      </c>
      <c r="AE32" s="216">
        <f t="shared" si="15"/>
        <v>19.822075814687434</v>
      </c>
      <c r="AF32" s="216">
        <f t="shared" si="15"/>
        <v>20.008073523938176</v>
      </c>
      <c r="AG32" s="216">
        <f t="shared" si="15"/>
        <v>20.194001269427055</v>
      </c>
      <c r="AJ32" s="162"/>
      <c r="AL32" s="221"/>
      <c r="AM32" s="124"/>
      <c r="AN32" s="124"/>
      <c r="AO32" s="124"/>
    </row>
    <row r="33" spans="1:64" ht="16" outlineLevel="1" thickTop="1">
      <c r="AL33" s="108"/>
      <c r="AM33" s="2"/>
      <c r="AN33" s="2"/>
      <c r="AO33" s="2"/>
    </row>
    <row r="34" spans="1:64" outlineLevel="1">
      <c r="A34" t="s">
        <v>1541</v>
      </c>
      <c r="B34" s="176" t="s">
        <v>1535</v>
      </c>
      <c r="C34" s="107">
        <f>C32</f>
        <v>12.673879407338728</v>
      </c>
      <c r="D34" s="107">
        <f t="shared" ref="D34:AG34" si="16">D32</f>
        <v>13.098726851099091</v>
      </c>
      <c r="E34" s="107">
        <f t="shared" si="16"/>
        <v>13.502427023619299</v>
      </c>
      <c r="F34" s="107">
        <f t="shared" si="16"/>
        <v>13.882209074846781</v>
      </c>
      <c r="G34" s="107">
        <f t="shared" si="16"/>
        <v>14.235413036033478</v>
      </c>
      <c r="H34" s="107">
        <f t="shared" si="16"/>
        <v>14.559520852589715</v>
      </c>
      <c r="I34" s="107">
        <f t="shared" si="16"/>
        <v>14.884229245454527</v>
      </c>
      <c r="J34" s="107">
        <f t="shared" si="16"/>
        <v>15.209244221270575</v>
      </c>
      <c r="K34" s="107">
        <f t="shared" si="16"/>
        <v>15.534264322775988</v>
      </c>
      <c r="L34" s="107">
        <f t="shared" si="16"/>
        <v>15.858981020841343</v>
      </c>
      <c r="M34" s="107">
        <f t="shared" si="16"/>
        <v>16.183079133002487</v>
      </c>
      <c r="N34" s="107">
        <f t="shared" si="16"/>
        <v>16.482620297976691</v>
      </c>
      <c r="O34" s="107">
        <f t="shared" si="16"/>
        <v>16.755943206611072</v>
      </c>
      <c r="P34" s="107">
        <f t="shared" si="16"/>
        <v>17.001503890847083</v>
      </c>
      <c r="Q34" s="107">
        <f t="shared" si="16"/>
        <v>17.217890073688782</v>
      </c>
      <c r="R34" s="107">
        <f t="shared" si="16"/>
        <v>17.403834548144012</v>
      </c>
      <c r="S34" s="107">
        <f t="shared" si="16"/>
        <v>17.589861538809647</v>
      </c>
      <c r="T34" s="107">
        <f t="shared" si="16"/>
        <v>17.775929599333011</v>
      </c>
      <c r="U34" s="107">
        <f t="shared" si="16"/>
        <v>17.961996785777828</v>
      </c>
      <c r="V34" s="107">
        <f t="shared" si="16"/>
        <v>18.148020669856798</v>
      </c>
      <c r="W34" s="107">
        <f t="shared" si="16"/>
        <v>18.33395835260367</v>
      </c>
      <c r="X34" s="107">
        <f t="shared" si="16"/>
        <v>18.519970462814392</v>
      </c>
      <c r="Y34" s="107">
        <f t="shared" si="16"/>
        <v>18.706019655608895</v>
      </c>
      <c r="Z34" s="107">
        <f t="shared" si="16"/>
        <v>18.892068164071532</v>
      </c>
      <c r="AA34" s="107">
        <f t="shared" si="16"/>
        <v>19.078077810042121</v>
      </c>
      <c r="AB34" s="107">
        <f t="shared" si="16"/>
        <v>19.264010015242892</v>
      </c>
      <c r="AC34" s="107">
        <f t="shared" si="16"/>
        <v>19.450009696000929</v>
      </c>
      <c r="AD34" s="107">
        <f t="shared" si="16"/>
        <v>19.636043025222392</v>
      </c>
      <c r="AE34" s="107">
        <f t="shared" si="16"/>
        <v>19.822075814687434</v>
      </c>
      <c r="AF34" s="107">
        <f t="shared" si="16"/>
        <v>20.008073523938176</v>
      </c>
      <c r="AG34" s="107">
        <f t="shared" si="16"/>
        <v>20.194001269427055</v>
      </c>
      <c r="AL34" s="108"/>
      <c r="AM34" s="2"/>
      <c r="AN34" s="2"/>
      <c r="AO34" s="2"/>
    </row>
    <row r="35" spans="1:64" outlineLevel="1">
      <c r="AL35" s="108"/>
      <c r="AM35" s="2"/>
      <c r="AN35" s="2"/>
      <c r="AO35" s="2"/>
    </row>
    <row r="36" spans="1:64" outlineLevel="1">
      <c r="A36" t="s">
        <v>1542</v>
      </c>
      <c r="B36" s="54" t="s">
        <v>462</v>
      </c>
      <c r="C36" s="205">
        <f>'Yearly Methanol'!AJ36/'Yearly Methanol'!AJ29</f>
        <v>1</v>
      </c>
      <c r="D36" s="205">
        <f>'Yearly Methanol'!AK36/'Yearly Methanol'!AK29</f>
        <v>1</v>
      </c>
      <c r="E36" s="205">
        <f>'Yearly Methanol'!AL36/'Yearly Methanol'!AL29</f>
        <v>1</v>
      </c>
      <c r="F36" s="205">
        <f>'Yearly Methanol'!AM36/'Yearly Methanol'!AM29</f>
        <v>1</v>
      </c>
      <c r="G36" s="205">
        <f>'Yearly Methanol'!AN36/'Yearly Methanol'!AN29</f>
        <v>1</v>
      </c>
      <c r="H36" s="205">
        <f>'Yearly Methanol'!AO36/'Yearly Methanol'!AO29</f>
        <v>1</v>
      </c>
      <c r="I36" s="205">
        <f>'Yearly Methanol'!AP36/'Yearly Methanol'!AP29</f>
        <v>1</v>
      </c>
      <c r="J36" s="205">
        <f>'Yearly Methanol'!AQ36/'Yearly Methanol'!AQ29</f>
        <v>1</v>
      </c>
      <c r="K36" s="205">
        <f>'Yearly Methanol'!AR36/'Yearly Methanol'!AR29</f>
        <v>1</v>
      </c>
      <c r="L36" s="205">
        <f>'Yearly Methanol'!AS36/'Yearly Methanol'!AS29</f>
        <v>1</v>
      </c>
      <c r="M36" s="205">
        <f>'Yearly Methanol'!AT36/'Yearly Methanol'!AT29</f>
        <v>1</v>
      </c>
      <c r="N36" s="205">
        <f>'Yearly Methanol'!AU36/'Yearly Methanol'!AU29</f>
        <v>1</v>
      </c>
      <c r="O36" s="205">
        <f>'Yearly Methanol'!AV36/'Yearly Methanol'!AV29</f>
        <v>1</v>
      </c>
      <c r="P36" s="205">
        <f>'Yearly Methanol'!AW36/'Yearly Methanol'!AW29</f>
        <v>1</v>
      </c>
      <c r="Q36" s="205">
        <f>'Yearly Methanol'!AX36/'Yearly Methanol'!AX29</f>
        <v>1</v>
      </c>
      <c r="R36" s="205">
        <f>'Yearly Methanol'!AY36/'Yearly Methanol'!AY29</f>
        <v>1</v>
      </c>
      <c r="S36" s="205">
        <f>'Yearly Methanol'!AZ36/'Yearly Methanol'!AZ29</f>
        <v>1</v>
      </c>
      <c r="T36" s="205">
        <f>'Yearly Methanol'!BA36/'Yearly Methanol'!BA29</f>
        <v>1</v>
      </c>
      <c r="U36" s="205">
        <f>'Yearly Methanol'!BB36/'Yearly Methanol'!BB29</f>
        <v>1</v>
      </c>
      <c r="V36" s="205">
        <f>'Yearly Methanol'!BC36/'Yearly Methanol'!BC29</f>
        <v>1</v>
      </c>
      <c r="W36" s="205">
        <f>'Yearly Methanol'!BD36/'Yearly Methanol'!BD29</f>
        <v>1</v>
      </c>
      <c r="X36" s="205">
        <f>'Yearly Methanol'!BE36/'Yearly Methanol'!BE29</f>
        <v>1</v>
      </c>
      <c r="Y36" s="205">
        <f>'Yearly Methanol'!BF36/'Yearly Methanol'!BF29</f>
        <v>1</v>
      </c>
      <c r="Z36" s="205">
        <f>'Yearly Methanol'!BG36/'Yearly Methanol'!BG29</f>
        <v>1</v>
      </c>
      <c r="AA36" s="205">
        <f>'Yearly Methanol'!BH36/'Yearly Methanol'!BH29</f>
        <v>1</v>
      </c>
      <c r="AB36" s="205">
        <f>'Yearly Methanol'!BI36/'Yearly Methanol'!BI29</f>
        <v>1</v>
      </c>
      <c r="AC36" s="205">
        <f>'Yearly Methanol'!BJ36/'Yearly Methanol'!BJ29</f>
        <v>1</v>
      </c>
      <c r="AD36" s="205">
        <f>'Yearly Methanol'!BK36/'Yearly Methanol'!BK29</f>
        <v>1</v>
      </c>
      <c r="AE36" s="205">
        <f>'Yearly Methanol'!BL36/'Yearly Methanol'!BL29</f>
        <v>1</v>
      </c>
      <c r="AF36" s="205">
        <f>'Yearly Methanol'!BM36/'Yearly Methanol'!BM29</f>
        <v>1</v>
      </c>
      <c r="AG36" s="205">
        <f>'Yearly Methanol'!BN36/'Yearly Methanol'!BN29</f>
        <v>1</v>
      </c>
      <c r="AL36" s="108"/>
      <c r="AM36" s="207"/>
      <c r="AN36" s="207"/>
      <c r="AO36" s="207"/>
      <c r="BC36" s="1"/>
      <c r="BD36" s="578"/>
      <c r="BE36" s="578"/>
      <c r="BF36" s="578"/>
      <c r="BG36" s="578"/>
      <c r="BH36" s="578"/>
      <c r="BI36" s="578"/>
      <c r="BJ36" s="578"/>
      <c r="BK36" s="578"/>
    </row>
    <row r="37" spans="1:64" outlineLevel="1">
      <c r="A37" t="s">
        <v>1543</v>
      </c>
      <c r="B37" s="54" t="s">
        <v>462</v>
      </c>
      <c r="C37" s="205">
        <f>'Yearly Methanol'!AJ25/'Yearly Methanol'!AJ18</f>
        <v>1</v>
      </c>
      <c r="D37" s="205">
        <f>'Yearly Methanol'!AK25/'Yearly Methanol'!AK18</f>
        <v>1.002</v>
      </c>
      <c r="E37" s="205">
        <f>'Yearly Methanol'!AL25/'Yearly Methanol'!AL18</f>
        <v>1.004</v>
      </c>
      <c r="F37" s="205">
        <f>'Yearly Methanol'!AM25/'Yearly Methanol'!AM18</f>
        <v>1.006</v>
      </c>
      <c r="G37" s="205">
        <f>'Yearly Methanol'!AN25/'Yearly Methanol'!AN18</f>
        <v>1.008</v>
      </c>
      <c r="H37" s="205">
        <f>'Yearly Methanol'!AO25/'Yearly Methanol'!AO18</f>
        <v>1.01</v>
      </c>
      <c r="I37" s="205">
        <f>'Yearly Methanol'!AP25/'Yearly Methanol'!AP18</f>
        <v>1.012</v>
      </c>
      <c r="J37" s="205">
        <f>'Yearly Methanol'!AQ25/'Yearly Methanol'!AQ18</f>
        <v>1.014</v>
      </c>
      <c r="K37" s="205">
        <f>'Yearly Methanol'!AR25/'Yearly Methanol'!AR18</f>
        <v>1.016</v>
      </c>
      <c r="L37" s="205">
        <f>'Yearly Methanol'!AS25/'Yearly Methanol'!AS18</f>
        <v>1.018</v>
      </c>
      <c r="M37" s="205">
        <f>'Yearly Methanol'!AT25/'Yearly Methanol'!AT18</f>
        <v>1.02</v>
      </c>
      <c r="N37" s="205">
        <f>'Yearly Methanol'!AU25/'Yearly Methanol'!AU18</f>
        <v>1.0250000000000001</v>
      </c>
      <c r="O37" s="205">
        <f>'Yearly Methanol'!AV25/'Yearly Methanol'!AV18</f>
        <v>1.03</v>
      </c>
      <c r="P37" s="205">
        <f>'Yearly Methanol'!AW25/'Yearly Methanol'!AW18</f>
        <v>1.0349999999999999</v>
      </c>
      <c r="Q37" s="205">
        <f>'Yearly Methanol'!AX25/'Yearly Methanol'!AX18</f>
        <v>1.04</v>
      </c>
      <c r="R37" s="205">
        <f>'Yearly Methanol'!AY25/'Yearly Methanol'!AY18</f>
        <v>1.0449999999999999</v>
      </c>
      <c r="S37" s="205">
        <f>'Yearly Methanol'!AZ25/'Yearly Methanol'!AZ18</f>
        <v>1.05</v>
      </c>
      <c r="T37" s="205">
        <f>'Yearly Methanol'!BA25/'Yearly Methanol'!BA18</f>
        <v>1.0549999999999999</v>
      </c>
      <c r="U37" s="205">
        <f>'Yearly Methanol'!BB25/'Yearly Methanol'!BB18</f>
        <v>1.06</v>
      </c>
      <c r="V37" s="205">
        <f>'Yearly Methanol'!BC25/'Yearly Methanol'!BC18</f>
        <v>1.0650000000000002</v>
      </c>
      <c r="W37" s="205">
        <f>'Yearly Methanol'!BD25/'Yearly Methanol'!BD18</f>
        <v>1.07</v>
      </c>
      <c r="X37" s="205">
        <f>'Yearly Methanol'!BE25/'Yearly Methanol'!BE18</f>
        <v>1.073</v>
      </c>
      <c r="Y37" s="205">
        <f>'Yearly Methanol'!BF25/'Yearly Methanol'!BF18</f>
        <v>1.0760000000000001</v>
      </c>
      <c r="Z37" s="205">
        <f>'Yearly Methanol'!BG25/'Yearly Methanol'!BG18</f>
        <v>1.079</v>
      </c>
      <c r="AA37" s="205">
        <f>'Yearly Methanol'!BH25/'Yearly Methanol'!BH18</f>
        <v>1.0820000000000001</v>
      </c>
      <c r="AB37" s="205">
        <f>'Yearly Methanol'!BI25/'Yearly Methanol'!BI18</f>
        <v>1.085</v>
      </c>
      <c r="AC37" s="205">
        <f>'Yearly Methanol'!BJ25/'Yearly Methanol'!BJ18</f>
        <v>1.0879999999999999</v>
      </c>
      <c r="AD37" s="205">
        <f>'Yearly Methanol'!BK25/'Yearly Methanol'!BK18</f>
        <v>1.091</v>
      </c>
      <c r="AE37" s="205">
        <f>'Yearly Methanol'!BL25/'Yearly Methanol'!BL18</f>
        <v>1.0940000000000001</v>
      </c>
      <c r="AF37" s="205">
        <f>'Yearly Methanol'!BM25/'Yearly Methanol'!BM18</f>
        <v>1.097</v>
      </c>
      <c r="AG37" s="205">
        <f>'Yearly Methanol'!BN25/'Yearly Methanol'!BN18</f>
        <v>1.1000000000000001</v>
      </c>
      <c r="AL37" s="108"/>
      <c r="AM37" s="207"/>
      <c r="AN37" s="207"/>
      <c r="AO37" s="207"/>
      <c r="BL37" s="1"/>
    </row>
    <row r="38" spans="1:64" outlineLevel="1">
      <c r="A38" t="s">
        <v>1544</v>
      </c>
      <c r="B38" s="54" t="s">
        <v>462</v>
      </c>
      <c r="C38" s="205">
        <f>'Yearly Methanol'!AJ43/'Yearly Methanol'!AJ40</f>
        <v>1</v>
      </c>
      <c r="D38" s="205">
        <f>'Yearly Methanol'!AK43/'Yearly Methanol'!AK40</f>
        <v>1</v>
      </c>
      <c r="E38" s="205">
        <f>'Yearly Methanol'!AL43/'Yearly Methanol'!AL40</f>
        <v>1</v>
      </c>
      <c r="F38" s="205">
        <f>'Yearly Methanol'!AM43/'Yearly Methanol'!AM40</f>
        <v>1</v>
      </c>
      <c r="G38" s="205">
        <f>'Yearly Methanol'!AN43/'Yearly Methanol'!AN40</f>
        <v>1</v>
      </c>
      <c r="H38" s="205">
        <f>'Yearly Methanol'!AO43/'Yearly Methanol'!AO40</f>
        <v>1</v>
      </c>
      <c r="I38" s="205">
        <f>'Yearly Methanol'!AP43/'Yearly Methanol'!AP40</f>
        <v>1</v>
      </c>
      <c r="J38" s="205">
        <f>'Yearly Methanol'!AQ43/'Yearly Methanol'!AQ40</f>
        <v>1</v>
      </c>
      <c r="K38" s="205">
        <f>'Yearly Methanol'!AR43/'Yearly Methanol'!AR40</f>
        <v>1</v>
      </c>
      <c r="L38" s="205">
        <f>'Yearly Methanol'!AS43/'Yearly Methanol'!AS40</f>
        <v>1</v>
      </c>
      <c r="M38" s="205">
        <f>'Yearly Methanol'!AT43/'Yearly Methanol'!AT40</f>
        <v>1</v>
      </c>
      <c r="N38" s="205">
        <f>'Yearly Methanol'!AU43/'Yearly Methanol'!AU40</f>
        <v>1</v>
      </c>
      <c r="O38" s="205">
        <f>'Yearly Methanol'!AV43/'Yearly Methanol'!AV40</f>
        <v>1</v>
      </c>
      <c r="P38" s="205">
        <f>'Yearly Methanol'!AW43/'Yearly Methanol'!AW40</f>
        <v>1</v>
      </c>
      <c r="Q38" s="205">
        <f>'Yearly Methanol'!AX43/'Yearly Methanol'!AX40</f>
        <v>1</v>
      </c>
      <c r="R38" s="205">
        <f>'Yearly Methanol'!AY43/'Yearly Methanol'!AY40</f>
        <v>1</v>
      </c>
      <c r="S38" s="205">
        <f>'Yearly Methanol'!AZ43/'Yearly Methanol'!AZ40</f>
        <v>1</v>
      </c>
      <c r="T38" s="205">
        <f>'Yearly Methanol'!BA43/'Yearly Methanol'!BA40</f>
        <v>1</v>
      </c>
      <c r="U38" s="205">
        <f>'Yearly Methanol'!BB43/'Yearly Methanol'!BB40</f>
        <v>1</v>
      </c>
      <c r="V38" s="205">
        <f>'Yearly Methanol'!BC43/'Yearly Methanol'!BC40</f>
        <v>1</v>
      </c>
      <c r="W38" s="205">
        <f>'Yearly Methanol'!BD43/'Yearly Methanol'!BD40</f>
        <v>1</v>
      </c>
      <c r="X38" s="205">
        <f>'Yearly Methanol'!BE43/'Yearly Methanol'!BE40</f>
        <v>1</v>
      </c>
      <c r="Y38" s="205">
        <f>'Yearly Methanol'!BF43/'Yearly Methanol'!BF40</f>
        <v>1</v>
      </c>
      <c r="Z38" s="205">
        <f>'Yearly Methanol'!BG43/'Yearly Methanol'!BG40</f>
        <v>1</v>
      </c>
      <c r="AA38" s="205">
        <f>'Yearly Methanol'!BH43/'Yearly Methanol'!BH40</f>
        <v>1</v>
      </c>
      <c r="AB38" s="205">
        <f>'Yearly Methanol'!BI43/'Yearly Methanol'!BI40</f>
        <v>1</v>
      </c>
      <c r="AC38" s="205">
        <f>'Yearly Methanol'!BJ43/'Yearly Methanol'!BJ40</f>
        <v>1</v>
      </c>
      <c r="AD38" s="205">
        <f>'Yearly Methanol'!BK43/'Yearly Methanol'!BK40</f>
        <v>1</v>
      </c>
      <c r="AE38" s="205">
        <f>'Yearly Methanol'!BL43/'Yearly Methanol'!BL40</f>
        <v>1</v>
      </c>
      <c r="AF38" s="205">
        <f>'Yearly Methanol'!BM43/'Yearly Methanol'!BM40</f>
        <v>1</v>
      </c>
      <c r="AG38" s="205">
        <f>'Yearly Methanol'!BN43/'Yearly Methanol'!BN40</f>
        <v>1</v>
      </c>
      <c r="AL38" s="108"/>
      <c r="AM38" s="207"/>
      <c r="AN38" s="207"/>
      <c r="AO38" s="207"/>
      <c r="BD38" s="41"/>
      <c r="BE38" s="41"/>
      <c r="BF38" s="41"/>
      <c r="BG38" s="41"/>
      <c r="BH38" s="41"/>
      <c r="BI38" s="41"/>
      <c r="BJ38" s="41"/>
      <c r="BK38" s="41"/>
      <c r="BL38" s="118"/>
    </row>
    <row r="39" spans="1:64" outlineLevel="1">
      <c r="A39" t="s">
        <v>1545</v>
      </c>
      <c r="B39" s="54" t="s">
        <v>462</v>
      </c>
      <c r="C39" s="205">
        <f>'Yearly Methanol'!AJ52/'Yearly Methanol'!AJ47</f>
        <v>1</v>
      </c>
      <c r="D39" s="205">
        <f>'Yearly Methanol'!AK52/'Yearly Methanol'!AK47</f>
        <v>1</v>
      </c>
      <c r="E39" s="205">
        <f>'Yearly Methanol'!AL52/'Yearly Methanol'!AL47</f>
        <v>1</v>
      </c>
      <c r="F39" s="205">
        <f>'Yearly Methanol'!AM52/'Yearly Methanol'!AM47</f>
        <v>1</v>
      </c>
      <c r="G39" s="205">
        <f>'Yearly Methanol'!AN52/'Yearly Methanol'!AN47</f>
        <v>1</v>
      </c>
      <c r="H39" s="205">
        <f>'Yearly Methanol'!AO52/'Yearly Methanol'!AO47</f>
        <v>1</v>
      </c>
      <c r="I39" s="205">
        <f>'Yearly Methanol'!AP52/'Yearly Methanol'!AP47</f>
        <v>1</v>
      </c>
      <c r="J39" s="205">
        <f>'Yearly Methanol'!AQ52/'Yearly Methanol'!AQ47</f>
        <v>1</v>
      </c>
      <c r="K39" s="205">
        <f>'Yearly Methanol'!AR52/'Yearly Methanol'!AR47</f>
        <v>1</v>
      </c>
      <c r="L39" s="205">
        <f>'Yearly Methanol'!AS52/'Yearly Methanol'!AS47</f>
        <v>1</v>
      </c>
      <c r="M39" s="205">
        <f>'Yearly Methanol'!AT52/'Yearly Methanol'!AT47</f>
        <v>1</v>
      </c>
      <c r="N39" s="205">
        <f>'Yearly Methanol'!AU52/'Yearly Methanol'!AU47</f>
        <v>1</v>
      </c>
      <c r="O39" s="205">
        <f>'Yearly Methanol'!AV52/'Yearly Methanol'!AV47</f>
        <v>1</v>
      </c>
      <c r="P39" s="205">
        <f>'Yearly Methanol'!AW52/'Yearly Methanol'!AW47</f>
        <v>1</v>
      </c>
      <c r="Q39" s="205">
        <f>'Yearly Methanol'!AX52/'Yearly Methanol'!AX47</f>
        <v>1</v>
      </c>
      <c r="R39" s="205">
        <f>'Yearly Methanol'!AY52/'Yearly Methanol'!AY47</f>
        <v>1</v>
      </c>
      <c r="S39" s="205">
        <f>'Yearly Methanol'!AZ52/'Yearly Methanol'!AZ47</f>
        <v>1</v>
      </c>
      <c r="T39" s="205">
        <f>'Yearly Methanol'!BA52/'Yearly Methanol'!BA47</f>
        <v>1</v>
      </c>
      <c r="U39" s="205">
        <f>'Yearly Methanol'!BB52/'Yearly Methanol'!BB47</f>
        <v>1</v>
      </c>
      <c r="V39" s="205">
        <f>'Yearly Methanol'!BC52/'Yearly Methanol'!BC47</f>
        <v>1</v>
      </c>
      <c r="W39" s="205">
        <f>'Yearly Methanol'!BD52/'Yearly Methanol'!BD47</f>
        <v>1</v>
      </c>
      <c r="X39" s="205">
        <f>'Yearly Methanol'!BE52/'Yearly Methanol'!BE47</f>
        <v>1</v>
      </c>
      <c r="Y39" s="205">
        <f>'Yearly Methanol'!BF52/'Yearly Methanol'!BF47</f>
        <v>1</v>
      </c>
      <c r="Z39" s="205">
        <f>'Yearly Methanol'!BG52/'Yearly Methanol'!BG47</f>
        <v>1</v>
      </c>
      <c r="AA39" s="205">
        <f>'Yearly Methanol'!BH52/'Yearly Methanol'!BH47</f>
        <v>1</v>
      </c>
      <c r="AB39" s="205">
        <f>'Yearly Methanol'!BI52/'Yearly Methanol'!BI47</f>
        <v>1</v>
      </c>
      <c r="AC39" s="205">
        <f>'Yearly Methanol'!BJ52/'Yearly Methanol'!BJ47</f>
        <v>1</v>
      </c>
      <c r="AD39" s="205">
        <f>'Yearly Methanol'!BK52/'Yearly Methanol'!BK47</f>
        <v>1</v>
      </c>
      <c r="AE39" s="205">
        <f>'Yearly Methanol'!BL52/'Yearly Methanol'!BL47</f>
        <v>1</v>
      </c>
      <c r="AF39" s="205">
        <f>'Yearly Methanol'!BM52/'Yearly Methanol'!BM47</f>
        <v>1</v>
      </c>
      <c r="AG39" s="205">
        <f>'Yearly Methanol'!BN52/'Yearly Methanol'!BN47</f>
        <v>1</v>
      </c>
      <c r="AL39" s="108"/>
      <c r="AM39" s="207"/>
      <c r="AN39" s="207"/>
      <c r="AO39" s="207"/>
      <c r="BD39" s="41"/>
      <c r="BE39" s="41"/>
      <c r="BF39" s="41"/>
      <c r="BG39" s="41"/>
      <c r="BH39" s="41"/>
      <c r="BI39" s="41"/>
      <c r="BJ39" s="41"/>
      <c r="BK39" s="41"/>
      <c r="BL39" s="118"/>
    </row>
    <row r="40" spans="1:64" outlineLevel="1">
      <c r="A40" t="s">
        <v>1546</v>
      </c>
      <c r="B40" s="176" t="s">
        <v>462</v>
      </c>
      <c r="C40" s="159">
        <f>'Yearly Methanol'!AJ59/'Yearly Methanol'!AJ56</f>
        <v>1</v>
      </c>
      <c r="D40" s="159">
        <f>'Yearly Methanol'!AK59/'Yearly Methanol'!AK56</f>
        <v>1</v>
      </c>
      <c r="E40" s="159">
        <f>'Yearly Methanol'!AL59/'Yearly Methanol'!AL56</f>
        <v>1</v>
      </c>
      <c r="F40" s="159">
        <f>'Yearly Methanol'!AM59/'Yearly Methanol'!AM56</f>
        <v>1</v>
      </c>
      <c r="G40" s="159">
        <f>'Yearly Methanol'!AN59/'Yearly Methanol'!AN56</f>
        <v>1</v>
      </c>
      <c r="H40" s="159">
        <f>'Yearly Methanol'!AO59/'Yearly Methanol'!AO56</f>
        <v>1</v>
      </c>
      <c r="I40" s="159">
        <f>'Yearly Methanol'!AP59/'Yearly Methanol'!AP56</f>
        <v>1</v>
      </c>
      <c r="J40" s="159">
        <f>'Yearly Methanol'!AQ59/'Yearly Methanol'!AQ56</f>
        <v>1</v>
      </c>
      <c r="K40" s="159">
        <f>'Yearly Methanol'!AR59/'Yearly Methanol'!AR56</f>
        <v>1</v>
      </c>
      <c r="L40" s="159">
        <f>'Yearly Methanol'!AS59/'Yearly Methanol'!AS56</f>
        <v>1</v>
      </c>
      <c r="M40" s="159">
        <f>'Yearly Methanol'!AT59/'Yearly Methanol'!AT56</f>
        <v>1</v>
      </c>
      <c r="N40" s="159">
        <f>'Yearly Methanol'!AU59/'Yearly Methanol'!AU56</f>
        <v>1</v>
      </c>
      <c r="O40" s="159">
        <f>'Yearly Methanol'!AV59/'Yearly Methanol'!AV56</f>
        <v>1</v>
      </c>
      <c r="P40" s="159">
        <f>'Yearly Methanol'!AW59/'Yearly Methanol'!AW56</f>
        <v>1</v>
      </c>
      <c r="Q40" s="159">
        <f>'Yearly Methanol'!AX59/'Yearly Methanol'!AX56</f>
        <v>1</v>
      </c>
      <c r="R40" s="159">
        <f>'Yearly Methanol'!AY59/'Yearly Methanol'!AY56</f>
        <v>1</v>
      </c>
      <c r="S40" s="159">
        <f>'Yearly Methanol'!AZ59/'Yearly Methanol'!AZ56</f>
        <v>1</v>
      </c>
      <c r="T40" s="159">
        <f>'Yearly Methanol'!BA59/'Yearly Methanol'!BA56</f>
        <v>1</v>
      </c>
      <c r="U40" s="159">
        <f>'Yearly Methanol'!BB59/'Yearly Methanol'!BB56</f>
        <v>1</v>
      </c>
      <c r="V40" s="159">
        <f>'Yearly Methanol'!BC59/'Yearly Methanol'!BC56</f>
        <v>1</v>
      </c>
      <c r="W40" s="159">
        <f>'Yearly Methanol'!BD59/'Yearly Methanol'!BD56</f>
        <v>1</v>
      </c>
      <c r="X40" s="159">
        <f>'Yearly Methanol'!BE59/'Yearly Methanol'!BE56</f>
        <v>1</v>
      </c>
      <c r="Y40" s="159">
        <f>'Yearly Methanol'!BF59/'Yearly Methanol'!BF56</f>
        <v>1</v>
      </c>
      <c r="Z40" s="159">
        <f>'Yearly Methanol'!BG59/'Yearly Methanol'!BG56</f>
        <v>1</v>
      </c>
      <c r="AA40" s="159">
        <f>'Yearly Methanol'!BH59/'Yearly Methanol'!BH56</f>
        <v>1</v>
      </c>
      <c r="AB40" s="159">
        <f>'Yearly Methanol'!BI59/'Yearly Methanol'!BI56</f>
        <v>1</v>
      </c>
      <c r="AC40" s="159">
        <f>'Yearly Methanol'!BJ59/'Yearly Methanol'!BJ56</f>
        <v>1</v>
      </c>
      <c r="AD40" s="159">
        <f>'Yearly Methanol'!BK59/'Yearly Methanol'!BK56</f>
        <v>1</v>
      </c>
      <c r="AE40" s="159">
        <f>'Yearly Methanol'!BL59/'Yearly Methanol'!BL56</f>
        <v>1</v>
      </c>
      <c r="AF40" s="159">
        <f>'Yearly Methanol'!BM59/'Yearly Methanol'!BM56</f>
        <v>1</v>
      </c>
      <c r="AG40" s="159">
        <f>'Yearly Methanol'!BN59/'Yearly Methanol'!BN56</f>
        <v>1</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1547</v>
      </c>
      <c r="B42" s="54" t="s">
        <v>1535</v>
      </c>
      <c r="C42" s="107">
        <f>C27*C36</f>
        <v>2.137941716225618</v>
      </c>
      <c r="D42" s="107">
        <f t="shared" ref="D42:AF42" si="17">D27*D36</f>
        <v>2.2096087286575932</v>
      </c>
      <c r="E42" s="107">
        <f t="shared" si="17"/>
        <v>2.2777084329343018</v>
      </c>
      <c r="F42" s="107">
        <f t="shared" si="17"/>
        <v>2.3417734176399954</v>
      </c>
      <c r="G42" s="107">
        <f t="shared" si="17"/>
        <v>2.4013549757949453</v>
      </c>
      <c r="H42" s="107">
        <f t="shared" si="17"/>
        <v>2.4560283397508269</v>
      </c>
      <c r="I42" s="107">
        <f t="shared" si="17"/>
        <v>2.5108030142133506</v>
      </c>
      <c r="J42" s="107">
        <f t="shared" si="17"/>
        <v>2.5656294057910416</v>
      </c>
      <c r="K42" s="107">
        <f t="shared" si="17"/>
        <v>2.6204566620152048</v>
      </c>
      <c r="L42" s="107">
        <f t="shared" si="17"/>
        <v>2.6752327374721778</v>
      </c>
      <c r="M42" s="107">
        <f t="shared" si="17"/>
        <v>2.7299044644051373</v>
      </c>
      <c r="N42" s="107">
        <f t="shared" si="17"/>
        <v>2.7804337089831113</v>
      </c>
      <c r="O42" s="107">
        <f t="shared" si="17"/>
        <v>2.8265402269314515</v>
      </c>
      <c r="P42" s="107">
        <f t="shared" si="17"/>
        <v>2.867963568105826</v>
      </c>
      <c r="Q42" s="107">
        <f t="shared" si="17"/>
        <v>2.9044654971713828</v>
      </c>
      <c r="R42" s="107">
        <f t="shared" si="17"/>
        <v>2.935832250480499</v>
      </c>
      <c r="S42" s="107">
        <f t="shared" si="17"/>
        <v>2.9672129233514815</v>
      </c>
      <c r="T42" s="107">
        <f t="shared" si="17"/>
        <v>2.9986005242481526</v>
      </c>
      <c r="U42" s="107">
        <f t="shared" si="17"/>
        <v>3.0299879776975489</v>
      </c>
      <c r="V42" s="107">
        <f t="shared" si="17"/>
        <v>3.0613681265221042</v>
      </c>
      <c r="W42" s="107">
        <f t="shared" si="17"/>
        <v>3.092733734145976</v>
      </c>
      <c r="X42" s="107">
        <f t="shared" si="17"/>
        <v>3.1241118968506316</v>
      </c>
      <c r="Y42" s="107">
        <f t="shared" si="17"/>
        <v>3.1554963149724538</v>
      </c>
      <c r="Z42" s="107">
        <f t="shared" si="17"/>
        <v>3.1868806176551439</v>
      </c>
      <c r="AA42" s="107">
        <f t="shared" si="17"/>
        <v>3.2182583646700484</v>
      </c>
      <c r="AB42" s="107">
        <f t="shared" si="17"/>
        <v>3.2496230482931523</v>
      </c>
      <c r="AC42" s="107">
        <f t="shared" si="17"/>
        <v>3.2809991142881461</v>
      </c>
      <c r="AD42" s="107">
        <f t="shared" si="17"/>
        <v>3.3123808564026085</v>
      </c>
      <c r="AE42" s="107">
        <f t="shared" si="17"/>
        <v>3.3437625074661987</v>
      </c>
      <c r="AF42" s="107">
        <f t="shared" si="17"/>
        <v>3.3751382408899606</v>
      </c>
      <c r="AG42" s="107">
        <f>AG27*AG36</f>
        <v>3.4065021722095441</v>
      </c>
      <c r="AI42" s="210" t="s">
        <v>1301</v>
      </c>
      <c r="AJ42" s="211" t="s">
        <v>1302</v>
      </c>
      <c r="BD42" s="41"/>
      <c r="BE42" s="41"/>
      <c r="BF42" s="41"/>
      <c r="BG42" s="41"/>
      <c r="BH42" s="41"/>
      <c r="BI42" s="41"/>
      <c r="BJ42" s="41"/>
      <c r="BK42" s="41"/>
      <c r="BL42" s="118"/>
    </row>
    <row r="43" spans="1:64" outlineLevel="1">
      <c r="A43" t="s">
        <v>1548</v>
      </c>
      <c r="B43" s="54" t="s">
        <v>1535</v>
      </c>
      <c r="C43" s="107">
        <f t="shared" ref="C43:O43" si="18">C28*$C$37</f>
        <v>0.58649688544622769</v>
      </c>
      <c r="D43" s="107">
        <f t="shared" si="18"/>
        <v>0.60615714056992442</v>
      </c>
      <c r="E43" s="107">
        <f t="shared" si="18"/>
        <v>0.62483878383221614</v>
      </c>
      <c r="F43" s="107">
        <f t="shared" si="18"/>
        <v>0.64241359127943864</v>
      </c>
      <c r="G43" s="107">
        <f t="shared" si="18"/>
        <v>0.65875847010504252</v>
      </c>
      <c r="H43" s="107">
        <f t="shared" si="18"/>
        <v>0.67375689472702072</v>
      </c>
      <c r="I43" s="107">
        <f t="shared" si="18"/>
        <v>0.68878311163919914</v>
      </c>
      <c r="J43" s="107">
        <f t="shared" si="18"/>
        <v>0.70382351599472071</v>
      </c>
      <c r="K43" s="107">
        <f t="shared" si="18"/>
        <v>0.71886415754682209</v>
      </c>
      <c r="L43" s="107">
        <f t="shared" si="18"/>
        <v>0.73389075879075039</v>
      </c>
      <c r="M43" s="107">
        <f t="shared" si="18"/>
        <v>0.74888873433180292</v>
      </c>
      <c r="N43" s="107">
        <f t="shared" si="18"/>
        <v>0.76275031172842678</v>
      </c>
      <c r="O43" s="107">
        <f t="shared" si="18"/>
        <v>0.7753986121803268</v>
      </c>
      <c r="P43" s="107">
        <f t="shared" ref="P43:AG43" si="19">D37*P28</f>
        <v>0.78833571134171609</v>
      </c>
      <c r="Q43" s="107">
        <f t="shared" si="19"/>
        <v>0.79996278423731726</v>
      </c>
      <c r="R43" s="107">
        <f t="shared" si="19"/>
        <v>0.81021273722281406</v>
      </c>
      <c r="S43" s="107">
        <f t="shared" si="19"/>
        <v>0.82050095837146375</v>
      </c>
      <c r="T43" s="107">
        <f t="shared" si="19"/>
        <v>0.83082553344181442</v>
      </c>
      <c r="U43" s="107">
        <f t="shared" si="19"/>
        <v>0.8411845095461199</v>
      </c>
      <c r="V43" s="107">
        <f t="shared" si="19"/>
        <v>0.85157589554100388</v>
      </c>
      <c r="W43" s="107">
        <f t="shared" si="19"/>
        <v>0.86199766244613185</v>
      </c>
      <c r="X43" s="107">
        <f t="shared" si="19"/>
        <v>0.87245735338968022</v>
      </c>
      <c r="Y43" s="107">
        <f t="shared" si="19"/>
        <v>0.88295322630046424</v>
      </c>
      <c r="Z43" s="107">
        <f t="shared" si="19"/>
        <v>0.89610625533774235</v>
      </c>
      <c r="AA43" s="107">
        <f t="shared" si="19"/>
        <v>0.9093435278935813</v>
      </c>
      <c r="AB43" s="107">
        <f t="shared" si="19"/>
        <v>0.92266316925848224</v>
      </c>
      <c r="AC43" s="107">
        <f t="shared" si="19"/>
        <v>0.93607210007679564</v>
      </c>
      <c r="AD43" s="107">
        <f t="shared" si="19"/>
        <v>0.94956873135999531</v>
      </c>
      <c r="AE43" s="107">
        <f t="shared" si="19"/>
        <v>0.96315142526482711</v>
      </c>
      <c r="AF43" s="107">
        <f t="shared" si="19"/>
        <v>0.97681849510944152</v>
      </c>
      <c r="AG43" s="107">
        <f t="shared" si="19"/>
        <v>0.99056820541464174</v>
      </c>
      <c r="AI43" s="210" t="s">
        <v>1304</v>
      </c>
      <c r="AJ43" s="211" t="s">
        <v>1302</v>
      </c>
      <c r="BD43" s="41"/>
      <c r="BE43" s="41"/>
      <c r="BF43" s="41"/>
      <c r="BG43" s="41"/>
      <c r="BH43" s="41"/>
      <c r="BI43" s="41"/>
      <c r="BJ43" s="41"/>
      <c r="BK43" s="41"/>
      <c r="BL43" s="118"/>
    </row>
    <row r="44" spans="1:64" outlineLevel="1">
      <c r="A44" t="s">
        <v>1549</v>
      </c>
      <c r="B44" s="54" t="s">
        <v>1535</v>
      </c>
      <c r="C44" s="107">
        <f t="shared" ref="C44:AG44" si="20">C29</f>
        <v>0.27288082766179111</v>
      </c>
      <c r="D44" s="107">
        <f t="shared" si="20"/>
        <v>0.28202820222306357</v>
      </c>
      <c r="E44" s="107">
        <f t="shared" si="20"/>
        <v>0.29072025567125509</v>
      </c>
      <c r="F44" s="107">
        <f t="shared" si="20"/>
        <v>0.29889732893660731</v>
      </c>
      <c r="G44" s="107">
        <f t="shared" si="20"/>
        <v>0.30650215033061867</v>
      </c>
      <c r="H44" s="107">
        <f t="shared" si="20"/>
        <v>0.31348050371327035</v>
      </c>
      <c r="I44" s="107">
        <f t="shared" si="20"/>
        <v>0.32047178808215687</v>
      </c>
      <c r="J44" s="107">
        <f t="shared" si="20"/>
        <v>0.32746967347720052</v>
      </c>
      <c r="K44" s="107">
        <f t="shared" si="20"/>
        <v>0.33446766923327187</v>
      </c>
      <c r="L44" s="107">
        <f t="shared" si="20"/>
        <v>0.34145913242112341</v>
      </c>
      <c r="M44" s="107">
        <f t="shared" si="20"/>
        <v>0.34843727685880416</v>
      </c>
      <c r="N44" s="107">
        <f t="shared" si="20"/>
        <v>0.3548866865770004</v>
      </c>
      <c r="O44" s="107">
        <f t="shared" si="20"/>
        <v>0.36077159198993103</v>
      </c>
      <c r="P44" s="107">
        <f t="shared" si="20"/>
        <v>0.36605874997856686</v>
      </c>
      <c r="Q44" s="107">
        <f t="shared" si="20"/>
        <v>0.37071775285926561</v>
      </c>
      <c r="R44" s="107">
        <f t="shared" si="20"/>
        <v>0.37472131644525791</v>
      </c>
      <c r="S44" s="107">
        <f t="shared" si="20"/>
        <v>0.37872665668471733</v>
      </c>
      <c r="T44" s="107">
        <f t="shared" si="20"/>
        <v>0.38273288119776105</v>
      </c>
      <c r="U44" s="107">
        <f t="shared" si="20"/>
        <v>0.38673908689105191</v>
      </c>
      <c r="V44" s="107">
        <f t="shared" si="20"/>
        <v>0.3907443602427092</v>
      </c>
      <c r="W44" s="107">
        <f t="shared" si="20"/>
        <v>0.39474777759668062</v>
      </c>
      <c r="X44" s="107">
        <f t="shared" si="20"/>
        <v>0.39875279744561698</v>
      </c>
      <c r="Y44" s="107">
        <f t="shared" si="20"/>
        <v>0.40275861571829003</v>
      </c>
      <c r="Z44" s="107">
        <f t="shared" si="20"/>
        <v>0.40676441925663909</v>
      </c>
      <c r="AA44" s="107">
        <f t="shared" si="20"/>
        <v>0.41076938604811258</v>
      </c>
      <c r="AB44" s="107">
        <f t="shared" si="20"/>
        <v>0.4147726854652421</v>
      </c>
      <c r="AC44" s="107">
        <f t="shared" si="20"/>
        <v>0.41877743769609355</v>
      </c>
      <c r="AD44" s="107">
        <f t="shared" si="20"/>
        <v>0.4227829144107636</v>
      </c>
      <c r="AE44" s="107">
        <f t="shared" si="20"/>
        <v>0.42678837950395809</v>
      </c>
      <c r="AF44" s="107">
        <f t="shared" si="20"/>
        <v>0.43079308928635907</v>
      </c>
      <c r="AG44" s="107">
        <f t="shared" si="20"/>
        <v>0.43479629268159714</v>
      </c>
      <c r="AI44" s="210" t="s">
        <v>1306</v>
      </c>
      <c r="AJ44" s="211" t="s">
        <v>1302</v>
      </c>
      <c r="BD44" s="41"/>
      <c r="BE44" s="41"/>
      <c r="BF44" s="41"/>
      <c r="BG44" s="41"/>
      <c r="BH44" s="41"/>
      <c r="BI44" s="41"/>
      <c r="BJ44" s="41"/>
      <c r="BK44" s="41"/>
      <c r="BL44" s="118"/>
    </row>
    <row r="45" spans="1:64" outlineLevel="1">
      <c r="A45" t="s">
        <v>1550</v>
      </c>
      <c r="B45" s="54" t="s">
        <v>1535</v>
      </c>
      <c r="C45" s="262">
        <f t="shared" ref="C45:H45" si="21">C30*$C$39</f>
        <v>3.3569388624573886</v>
      </c>
      <c r="D45" s="262">
        <f t="shared" si="21"/>
        <v>3.4694684872657979</v>
      </c>
      <c r="E45" s="262">
        <f t="shared" si="21"/>
        <v>3.5763968202850558</v>
      </c>
      <c r="F45" s="262">
        <f t="shared" si="21"/>
        <v>3.6769899446200638</v>
      </c>
      <c r="G45" s="262">
        <f t="shared" si="21"/>
        <v>3.7705433125805432</v>
      </c>
      <c r="H45" s="262">
        <f t="shared" si="21"/>
        <v>3.8563899653736766</v>
      </c>
      <c r="I45" s="262">
        <f t="shared" ref="I45:AG46" si="22">I30*D39</f>
        <v>3.9423956932128412</v>
      </c>
      <c r="J45" s="262">
        <f t="shared" si="22"/>
        <v>4.0284826258820736</v>
      </c>
      <c r="K45" s="262">
        <f t="shared" si="22"/>
        <v>4.1145709161960546</v>
      </c>
      <c r="L45" s="262">
        <f t="shared" si="22"/>
        <v>4.2005788438392075</v>
      </c>
      <c r="M45" s="262">
        <f t="shared" si="22"/>
        <v>4.2864229262227624</v>
      </c>
      <c r="N45" s="262">
        <f t="shared" si="22"/>
        <v>4.3657625936828621</v>
      </c>
      <c r="O45" s="262">
        <f t="shared" si="22"/>
        <v>4.4381578141599762</v>
      </c>
      <c r="P45" s="262">
        <f t="shared" si="22"/>
        <v>4.5031996358082207</v>
      </c>
      <c r="Q45" s="262">
        <f t="shared" si="22"/>
        <v>4.5605139878809968</v>
      </c>
      <c r="R45" s="262">
        <f t="shared" si="22"/>
        <v>4.6097652244200269</v>
      </c>
      <c r="S45" s="262">
        <f t="shared" si="22"/>
        <v>4.6590383170825511</v>
      </c>
      <c r="T45" s="262">
        <f t="shared" si="22"/>
        <v>4.7083222879455908</v>
      </c>
      <c r="U45" s="262">
        <f t="shared" si="22"/>
        <v>4.7576060272908638</v>
      </c>
      <c r="V45" s="262">
        <f t="shared" si="22"/>
        <v>4.8068782971097157</v>
      </c>
      <c r="W45" s="262">
        <f t="shared" si="22"/>
        <v>4.8561277347244367</v>
      </c>
      <c r="X45" s="262">
        <f t="shared" si="22"/>
        <v>4.905396885990978</v>
      </c>
      <c r="Y45" s="262">
        <f t="shared" si="22"/>
        <v>4.9546758593461337</v>
      </c>
      <c r="Z45" s="262">
        <f t="shared" si="22"/>
        <v>5.0039546514418518</v>
      </c>
      <c r="AA45" s="262">
        <f t="shared" si="22"/>
        <v>5.0532231500034728</v>
      </c>
      <c r="AB45" s="262">
        <f t="shared" si="22"/>
        <v>5.1024711367769191</v>
      </c>
      <c r="AC45" s="262">
        <f t="shared" si="22"/>
        <v>5.1517369958460666</v>
      </c>
      <c r="AD45" s="262">
        <f t="shared" si="22"/>
        <v>5.2010117674060865</v>
      </c>
      <c r="AE45" s="262">
        <f t="shared" si="22"/>
        <v>5.2502863960004644</v>
      </c>
      <c r="AF45" s="262">
        <f t="shared" si="22"/>
        <v>5.2995517328751651</v>
      </c>
      <c r="AG45" s="262">
        <f t="shared" si="22"/>
        <v>5.3487985384017573</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1551</v>
      </c>
      <c r="B46" s="176" t="s">
        <v>1535</v>
      </c>
      <c r="C46" s="107">
        <f t="shared" ref="C46:H46" si="23">C31*$C$40</f>
        <v>6.3196211155477018</v>
      </c>
      <c r="D46" s="107">
        <f t="shared" si="23"/>
        <v>6.5314642923827124</v>
      </c>
      <c r="E46" s="107">
        <f t="shared" si="23"/>
        <v>6.7327627308964706</v>
      </c>
      <c r="F46" s="107">
        <f t="shared" si="23"/>
        <v>6.9221347923706755</v>
      </c>
      <c r="G46" s="107">
        <f t="shared" si="23"/>
        <v>7.0982541272223267</v>
      </c>
      <c r="H46" s="107">
        <f t="shared" si="23"/>
        <v>7.25986514902492</v>
      </c>
      <c r="I46" s="107">
        <f t="shared" si="22"/>
        <v>7.4217756383069799</v>
      </c>
      <c r="J46" s="107">
        <f t="shared" si="22"/>
        <v>7.5838390001255389</v>
      </c>
      <c r="K46" s="107">
        <f t="shared" si="22"/>
        <v>7.7459049177846335</v>
      </c>
      <c r="L46" s="107">
        <f t="shared" si="22"/>
        <v>7.9078195483180842</v>
      </c>
      <c r="M46" s="107">
        <f t="shared" si="22"/>
        <v>8.0694257311839817</v>
      </c>
      <c r="N46" s="107">
        <f t="shared" si="22"/>
        <v>8.2187869970052905</v>
      </c>
      <c r="O46" s="107">
        <f t="shared" si="22"/>
        <v>8.355074961349386</v>
      </c>
      <c r="P46" s="107">
        <f t="shared" si="22"/>
        <v>8.477519749986687</v>
      </c>
      <c r="Q46" s="107">
        <f t="shared" si="22"/>
        <v>8.5854171542658655</v>
      </c>
      <c r="R46" s="107">
        <f t="shared" si="22"/>
        <v>8.6781353023023904</v>
      </c>
      <c r="S46" s="107">
        <f t="shared" si="22"/>
        <v>8.7708945956874604</v>
      </c>
      <c r="T46" s="107">
        <f t="shared" si="22"/>
        <v>8.8636743678803036</v>
      </c>
      <c r="U46" s="107">
        <f t="shared" si="22"/>
        <v>8.9564537042282826</v>
      </c>
      <c r="V46" s="107">
        <f t="shared" si="22"/>
        <v>9.0492114485651083</v>
      </c>
      <c r="W46" s="107">
        <f t="shared" si="22"/>
        <v>9.1419262100281777</v>
      </c>
      <c r="X46" s="107">
        <f t="shared" si="22"/>
        <v>9.2346780835196203</v>
      </c>
      <c r="Y46" s="107">
        <f t="shared" si="22"/>
        <v>9.3274484476303847</v>
      </c>
      <c r="Z46" s="107">
        <f t="shared" si="22"/>
        <v>9.420218470510342</v>
      </c>
      <c r="AA46" s="107">
        <f t="shared" si="22"/>
        <v>9.5129691152490494</v>
      </c>
      <c r="AB46" s="107">
        <f t="shared" si="22"/>
        <v>9.6056811454240218</v>
      </c>
      <c r="AC46" s="107">
        <f t="shared" si="22"/>
        <v>9.6984268211737046</v>
      </c>
      <c r="AD46" s="107">
        <f t="shared" si="22"/>
        <v>9.7911892751751886</v>
      </c>
      <c r="AE46" s="107">
        <f t="shared" si="22"/>
        <v>9.883951460036025</v>
      </c>
      <c r="AF46" s="107">
        <f t="shared" si="22"/>
        <v>9.9766961527260829</v>
      </c>
      <c r="AG46" s="107">
        <f t="shared" si="22"/>
        <v>10.06940595913921</v>
      </c>
      <c r="AI46" s="210" t="s">
        <v>1308</v>
      </c>
      <c r="AJ46" s="211" t="s">
        <v>1302</v>
      </c>
      <c r="AL46" s="108"/>
      <c r="AM46" s="2"/>
      <c r="AN46" s="2"/>
      <c r="AO46" s="2"/>
    </row>
    <row r="47" spans="1:64" s="1" customFormat="1" ht="16" thickBot="1">
      <c r="A47" s="200" t="s">
        <v>1552</v>
      </c>
      <c r="B47" s="215" t="s">
        <v>1535</v>
      </c>
      <c r="C47" s="216">
        <f>SUM(C42:C46)</f>
        <v>12.673879407338728</v>
      </c>
      <c r="D47" s="216">
        <f t="shared" ref="D47:AF47" si="24">SUM(D42:D46)</f>
        <v>13.098726851099091</v>
      </c>
      <c r="E47" s="216">
        <f t="shared" si="24"/>
        <v>13.502427023619299</v>
      </c>
      <c r="F47" s="216">
        <f t="shared" si="24"/>
        <v>13.882209074846781</v>
      </c>
      <c r="G47" s="216">
        <f t="shared" si="24"/>
        <v>14.235413036033478</v>
      </c>
      <c r="H47" s="216">
        <f t="shared" si="24"/>
        <v>14.559520852589715</v>
      </c>
      <c r="I47" s="216">
        <f t="shared" si="24"/>
        <v>14.884229245454527</v>
      </c>
      <c r="J47" s="216">
        <f t="shared" si="24"/>
        <v>15.209244221270575</v>
      </c>
      <c r="K47" s="216">
        <f t="shared" si="24"/>
        <v>15.534264322775988</v>
      </c>
      <c r="L47" s="216">
        <f t="shared" si="24"/>
        <v>15.858981020841343</v>
      </c>
      <c r="M47" s="216">
        <f t="shared" si="24"/>
        <v>16.183079133002487</v>
      </c>
      <c r="N47" s="216">
        <f t="shared" si="24"/>
        <v>16.482620297976691</v>
      </c>
      <c r="O47" s="216">
        <f t="shared" si="24"/>
        <v>16.755943206611072</v>
      </c>
      <c r="P47" s="216">
        <f t="shared" si="24"/>
        <v>17.003077415221018</v>
      </c>
      <c r="Q47" s="216">
        <f t="shared" si="24"/>
        <v>17.221077176414827</v>
      </c>
      <c r="R47" s="216">
        <f t="shared" si="24"/>
        <v>17.408666830870988</v>
      </c>
      <c r="S47" s="216">
        <f t="shared" si="24"/>
        <v>17.596373451177676</v>
      </c>
      <c r="T47" s="216">
        <f t="shared" si="24"/>
        <v>17.784155594713624</v>
      </c>
      <c r="U47" s="216">
        <f t="shared" si="24"/>
        <v>17.971971305653867</v>
      </c>
      <c r="V47" s="216">
        <f t="shared" si="24"/>
        <v>18.159778127980644</v>
      </c>
      <c r="W47" s="216">
        <f t="shared" si="24"/>
        <v>18.347533118941403</v>
      </c>
      <c r="X47" s="216">
        <f t="shared" si="24"/>
        <v>18.53539701719653</v>
      </c>
      <c r="Y47" s="216">
        <f t="shared" si="24"/>
        <v>18.723332463967726</v>
      </c>
      <c r="Z47" s="216">
        <f t="shared" si="24"/>
        <v>18.91392441420172</v>
      </c>
      <c r="AA47" s="216">
        <f t="shared" si="24"/>
        <v>19.104563543864266</v>
      </c>
      <c r="AB47" s="216">
        <f t="shared" si="24"/>
        <v>19.295211185217816</v>
      </c>
      <c r="AC47" s="216">
        <f t="shared" si="24"/>
        <v>19.486012469080805</v>
      </c>
      <c r="AD47" s="216">
        <f t="shared" si="24"/>
        <v>19.676933544754643</v>
      </c>
      <c r="AE47" s="216">
        <f t="shared" si="24"/>
        <v>19.867940168271474</v>
      </c>
      <c r="AF47" s="216">
        <f t="shared" si="24"/>
        <v>20.058997710887009</v>
      </c>
      <c r="AG47" s="216">
        <f>SUM(AG42:AG46)</f>
        <v>20.250071167846748</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1553</v>
      </c>
      <c r="C63" s="382">
        <f>'Overall recycling rates'!E84</f>
        <v>1.4092948968207217</v>
      </c>
      <c r="D63" s="382">
        <f>C63-($C63-$AG63)/($AG$1-$C$1)</f>
        <v>1.3989850669266977</v>
      </c>
      <c r="E63" s="382">
        <f t="shared" ref="E63:AF63" si="30">D63-($C63-$AG63)/($AG$1-$C$1)</f>
        <v>1.3886752370326736</v>
      </c>
      <c r="F63" s="382">
        <f t="shared" si="30"/>
        <v>1.3783654071386495</v>
      </c>
      <c r="G63" s="382">
        <f t="shared" si="30"/>
        <v>1.3680555772446255</v>
      </c>
      <c r="H63" s="382">
        <f t="shared" si="30"/>
        <v>1.3577457473506014</v>
      </c>
      <c r="I63" s="382">
        <f t="shared" si="30"/>
        <v>1.3474359174565773</v>
      </c>
      <c r="J63" s="382">
        <f t="shared" si="30"/>
        <v>1.3371260875625532</v>
      </c>
      <c r="K63" s="382">
        <f t="shared" si="30"/>
        <v>1.3268162576685292</v>
      </c>
      <c r="L63" s="382">
        <f t="shared" si="30"/>
        <v>1.3165064277745051</v>
      </c>
      <c r="M63" s="382">
        <f t="shared" si="30"/>
        <v>1.306196597880481</v>
      </c>
      <c r="N63" s="382">
        <f t="shared" si="30"/>
        <v>1.295886767986457</v>
      </c>
      <c r="O63" s="382">
        <f t="shared" si="30"/>
        <v>1.2855769380924329</v>
      </c>
      <c r="P63" s="382">
        <f t="shared" si="30"/>
        <v>1.2752671081984088</v>
      </c>
      <c r="Q63" s="382">
        <f t="shared" si="30"/>
        <v>1.2649572783043848</v>
      </c>
      <c r="R63" s="382">
        <f t="shared" si="30"/>
        <v>1.2546474484103607</v>
      </c>
      <c r="S63" s="382">
        <f t="shared" si="30"/>
        <v>1.2443376185163366</v>
      </c>
      <c r="T63" s="382">
        <f t="shared" si="30"/>
        <v>1.2340277886223125</v>
      </c>
      <c r="U63" s="382">
        <f t="shared" si="30"/>
        <v>1.2237179587282885</v>
      </c>
      <c r="V63" s="382">
        <f t="shared" si="30"/>
        <v>1.2134081288342644</v>
      </c>
      <c r="W63" s="382">
        <f t="shared" si="30"/>
        <v>1.2030982989402403</v>
      </c>
      <c r="X63" s="382">
        <f t="shared" si="30"/>
        <v>1.1927884690462163</v>
      </c>
      <c r="Y63" s="382">
        <f t="shared" si="30"/>
        <v>1.1824786391521922</v>
      </c>
      <c r="Z63" s="382">
        <f t="shared" si="30"/>
        <v>1.1721688092581681</v>
      </c>
      <c r="AA63" s="382">
        <f t="shared" si="30"/>
        <v>1.1618589793641441</v>
      </c>
      <c r="AB63" s="382">
        <f t="shared" si="30"/>
        <v>1.15154914947012</v>
      </c>
      <c r="AC63" s="382">
        <f t="shared" si="30"/>
        <v>1.1412393195760959</v>
      </c>
      <c r="AD63" s="382">
        <f t="shared" si="30"/>
        <v>1.1309294896820719</v>
      </c>
      <c r="AE63" s="382">
        <f t="shared" si="30"/>
        <v>1.1206196597880478</v>
      </c>
      <c r="AF63" s="382">
        <f t="shared" si="30"/>
        <v>1.1103098298940237</v>
      </c>
      <c r="AG63" s="382">
        <f>'Overall recycling rates'!E93</f>
        <v>1.1000000000000001</v>
      </c>
      <c r="AI63" s="133"/>
      <c r="AJ63" s="211"/>
      <c r="AL63" s="108"/>
      <c r="AM63" s="2"/>
      <c r="AN63" s="2"/>
      <c r="AO63" s="2"/>
      <c r="BC63" s="1"/>
      <c r="BD63" s="2"/>
      <c r="BE63" s="2"/>
      <c r="BF63" s="2"/>
      <c r="BG63" s="2"/>
      <c r="BH63" s="2"/>
      <c r="BI63" s="2"/>
      <c r="BJ63" s="2"/>
      <c r="BK63" s="2"/>
    </row>
    <row r="64" spans="1:63" outlineLevel="1">
      <c r="A64" t="s">
        <v>1554</v>
      </c>
      <c r="B64" s="54" t="s">
        <v>462</v>
      </c>
      <c r="C64" s="110">
        <f>C50*C$63</f>
        <v>6.6236860150573923E-2</v>
      </c>
      <c r="D64" s="110">
        <f t="shared" ref="D64:AG65" si="31">D50*D$63</f>
        <v>7.0229050359720227E-2</v>
      </c>
      <c r="E64" s="110">
        <f t="shared" si="31"/>
        <v>7.4155257657544771E-2</v>
      </c>
      <c r="F64" s="110">
        <f t="shared" si="31"/>
        <v>7.8015482044047554E-2</v>
      </c>
      <c r="G64" s="110">
        <f t="shared" si="31"/>
        <v>8.1809723519228605E-2</v>
      </c>
      <c r="H64" s="110">
        <f t="shared" si="31"/>
        <v>8.5537982083087882E-2</v>
      </c>
      <c r="I64" s="110">
        <f t="shared" si="31"/>
        <v>8.9200257735625427E-2</v>
      </c>
      <c r="J64" s="110">
        <f t="shared" si="31"/>
        <v>9.2796550476841197E-2</v>
      </c>
      <c r="K64" s="110">
        <f t="shared" si="31"/>
        <v>9.6326860306735221E-2</v>
      </c>
      <c r="L64" s="110">
        <f t="shared" si="31"/>
        <v>9.9791187225307498E-2</v>
      </c>
      <c r="M64" s="110">
        <f t="shared" si="31"/>
        <v>0.103189531232558</v>
      </c>
      <c r="N64" s="110">
        <f t="shared" si="31"/>
        <v>0.1102799639556475</v>
      </c>
      <c r="O64" s="110">
        <f t="shared" si="31"/>
        <v>0.11724461675402989</v>
      </c>
      <c r="P64" s="110">
        <f t="shared" si="31"/>
        <v>0.12408348962770517</v>
      </c>
      <c r="Q64" s="110">
        <f t="shared" si="31"/>
        <v>0.1307965825766734</v>
      </c>
      <c r="R64" s="110">
        <f t="shared" si="31"/>
        <v>0.1373838956009345</v>
      </c>
      <c r="S64" s="110">
        <f t="shared" si="31"/>
        <v>0.14384542870048853</v>
      </c>
      <c r="T64" s="110">
        <f t="shared" si="31"/>
        <v>0.15018118187533544</v>
      </c>
      <c r="U64" s="110">
        <f t="shared" si="31"/>
        <v>0.1563911551254753</v>
      </c>
      <c r="V64" s="110">
        <f t="shared" si="31"/>
        <v>0.16247534845090802</v>
      </c>
      <c r="W64" s="110">
        <f t="shared" si="31"/>
        <v>0.16843376185163367</v>
      </c>
      <c r="X64" s="110">
        <f t="shared" si="31"/>
        <v>0.17988458000274204</v>
      </c>
      <c r="Y64" s="110">
        <f t="shared" si="31"/>
        <v>0.19111249702145811</v>
      </c>
      <c r="Z64" s="110">
        <f t="shared" si="31"/>
        <v>0.20211751290778185</v>
      </c>
      <c r="AA64" s="110">
        <f t="shared" si="31"/>
        <v>0.21289962766171333</v>
      </c>
      <c r="AB64" s="110">
        <f t="shared" si="31"/>
        <v>0.22345884128325244</v>
      </c>
      <c r="AC64" s="110">
        <f t="shared" si="31"/>
        <v>0.23379515377239923</v>
      </c>
      <c r="AD64" s="110">
        <f t="shared" si="31"/>
        <v>0.24390856512915374</v>
      </c>
      <c r="AE64" s="110">
        <f t="shared" si="31"/>
        <v>0.25379907535351587</v>
      </c>
      <c r="AF64" s="110">
        <f t="shared" si="31"/>
        <v>0.26346668444548571</v>
      </c>
      <c r="AG64" s="110">
        <f t="shared" si="31"/>
        <v>0.27291139240506335</v>
      </c>
      <c r="AI64" s="133"/>
      <c r="AJ64" s="211"/>
      <c r="AL64" s="108"/>
      <c r="AM64" s="2"/>
      <c r="AN64" s="2"/>
      <c r="AO64" s="2"/>
      <c r="AV64" s="41"/>
    </row>
    <row r="65" spans="1:63" outlineLevel="1">
      <c r="A65" t="s">
        <v>1555</v>
      </c>
      <c r="B65" s="54" t="s">
        <v>462</v>
      </c>
      <c r="C65" s="110">
        <f>C51*C$63</f>
        <v>0.13388301519796855</v>
      </c>
      <c r="D65" s="110">
        <f t="shared" si="31"/>
        <v>0.13752023207889438</v>
      </c>
      <c r="E65" s="110">
        <f t="shared" si="31"/>
        <v>0.14108940408251963</v>
      </c>
      <c r="F65" s="110">
        <f t="shared" si="31"/>
        <v>0.14459053120884433</v>
      </c>
      <c r="G65" s="110">
        <f t="shared" si="31"/>
        <v>0.14802361345786849</v>
      </c>
      <c r="H65" s="110">
        <f t="shared" si="31"/>
        <v>0.15138865082959205</v>
      </c>
      <c r="I65" s="110">
        <f t="shared" si="31"/>
        <v>0.15468564332401508</v>
      </c>
      <c r="J65" s="110">
        <f t="shared" si="31"/>
        <v>0.15791459094113752</v>
      </c>
      <c r="K65" s="110">
        <f t="shared" si="31"/>
        <v>0.16107549368095944</v>
      </c>
      <c r="L65" s="110">
        <f t="shared" si="31"/>
        <v>0.16416835154348081</v>
      </c>
      <c r="M65" s="110">
        <f t="shared" si="31"/>
        <v>0.16719316452870159</v>
      </c>
      <c r="N65" s="110">
        <f t="shared" si="31"/>
        <v>0.17572224573896356</v>
      </c>
      <c r="O65" s="110">
        <f t="shared" si="31"/>
        <v>0.18409461753483639</v>
      </c>
      <c r="P65" s="110">
        <f t="shared" si="31"/>
        <v>0.19231027991632005</v>
      </c>
      <c r="Q65" s="110">
        <f t="shared" si="31"/>
        <v>0.20036923288341452</v>
      </c>
      <c r="R65" s="110">
        <f t="shared" si="31"/>
        <v>0.20827147643611985</v>
      </c>
      <c r="S65" s="110">
        <f t="shared" si="31"/>
        <v>0.21601701057443601</v>
      </c>
      <c r="T65" s="110">
        <f t="shared" si="31"/>
        <v>0.22360583529836303</v>
      </c>
      <c r="U65" s="110">
        <f t="shared" si="31"/>
        <v>0.23103795060790086</v>
      </c>
      <c r="V65" s="110">
        <f t="shared" si="31"/>
        <v>0.23831335650304952</v>
      </c>
      <c r="W65" s="110">
        <f t="shared" si="31"/>
        <v>0.24543205298380902</v>
      </c>
      <c r="X65" s="110">
        <f t="shared" si="31"/>
        <v>0.2577764980167504</v>
      </c>
      <c r="Y65" s="110">
        <f t="shared" si="31"/>
        <v>0.26987118742050903</v>
      </c>
      <c r="Z65" s="110">
        <f t="shared" si="31"/>
        <v>0.28171612119508493</v>
      </c>
      <c r="AA65" s="110">
        <f t="shared" si="31"/>
        <v>0.29331129934047812</v>
      </c>
      <c r="AB65" s="110">
        <f t="shared" si="31"/>
        <v>0.30465672185668857</v>
      </c>
      <c r="AC65" s="110">
        <f t="shared" si="31"/>
        <v>0.31575238874371631</v>
      </c>
      <c r="AD65" s="110">
        <f t="shared" si="31"/>
        <v>0.32659830000156131</v>
      </c>
      <c r="AE65" s="110">
        <f t="shared" si="31"/>
        <v>0.33719445563022354</v>
      </c>
      <c r="AF65" s="110">
        <f t="shared" si="31"/>
        <v>0.34754085562970299</v>
      </c>
      <c r="AG65" s="110">
        <f t="shared" si="31"/>
        <v>0.35763749999999994</v>
      </c>
      <c r="AH65" s="245"/>
      <c r="AI65" s="133"/>
      <c r="AJ65" s="211"/>
      <c r="AL65" s="108"/>
      <c r="AM65" s="2"/>
      <c r="AN65" s="2"/>
      <c r="AO65" s="2"/>
      <c r="AV65" s="41"/>
    </row>
    <row r="66" spans="1:63" outlineLevel="1">
      <c r="A66" t="s">
        <v>1556</v>
      </c>
      <c r="B66" s="176" t="s">
        <v>462</v>
      </c>
      <c r="C66" s="110">
        <f>SUM(C64:C65)</f>
        <v>0.20011987534854248</v>
      </c>
      <c r="D66" s="110">
        <f t="shared" ref="D66:AG66" si="32">SUM(D64:D65)</f>
        <v>0.20774928243861462</v>
      </c>
      <c r="E66" s="110">
        <f t="shared" si="32"/>
        <v>0.2152446617400644</v>
      </c>
      <c r="F66" s="110">
        <f t="shared" si="32"/>
        <v>0.22260601325289187</v>
      </c>
      <c r="G66" s="110">
        <f t="shared" si="32"/>
        <v>0.2298333369770971</v>
      </c>
      <c r="H66" s="110">
        <f t="shared" si="32"/>
        <v>0.23692663291267993</v>
      </c>
      <c r="I66" s="110">
        <f t="shared" si="32"/>
        <v>0.2438859010596405</v>
      </c>
      <c r="J66" s="110">
        <f t="shared" si="32"/>
        <v>0.25071114141797873</v>
      </c>
      <c r="K66" s="110">
        <f t="shared" si="32"/>
        <v>0.25740235398769468</v>
      </c>
      <c r="L66" s="110">
        <f t="shared" si="32"/>
        <v>0.2639595387687883</v>
      </c>
      <c r="M66" s="110">
        <f t="shared" si="32"/>
        <v>0.27038269576125962</v>
      </c>
      <c r="N66" s="110">
        <f t="shared" si="32"/>
        <v>0.28600220969461104</v>
      </c>
      <c r="O66" s="110">
        <f t="shared" si="32"/>
        <v>0.30133923428886628</v>
      </c>
      <c r="P66" s="110">
        <f t="shared" si="32"/>
        <v>0.31639376954402521</v>
      </c>
      <c r="Q66" s="110">
        <f t="shared" si="32"/>
        <v>0.33116581546008794</v>
      </c>
      <c r="R66" s="110">
        <f t="shared" si="32"/>
        <v>0.34565537203705432</v>
      </c>
      <c r="S66" s="110">
        <f t="shared" si="32"/>
        <v>0.35986243927492456</v>
      </c>
      <c r="T66" s="110">
        <f t="shared" si="32"/>
        <v>0.37378701717369844</v>
      </c>
      <c r="U66" s="110">
        <f t="shared" si="32"/>
        <v>0.38742910573337619</v>
      </c>
      <c r="V66" s="110">
        <f t="shared" si="32"/>
        <v>0.40078870495395758</v>
      </c>
      <c r="W66" s="110">
        <f t="shared" si="32"/>
        <v>0.41386581483544271</v>
      </c>
      <c r="X66" s="110">
        <f t="shared" si="32"/>
        <v>0.43766107801949244</v>
      </c>
      <c r="Y66" s="110">
        <f t="shared" si="32"/>
        <v>0.46098368444196713</v>
      </c>
      <c r="Z66" s="110">
        <f t="shared" si="32"/>
        <v>0.48383363410286678</v>
      </c>
      <c r="AA66" s="110">
        <f t="shared" si="32"/>
        <v>0.5062109270021915</v>
      </c>
      <c r="AB66" s="110">
        <f t="shared" si="32"/>
        <v>0.52811556313994101</v>
      </c>
      <c r="AC66" s="110">
        <f t="shared" si="32"/>
        <v>0.54954754251611559</v>
      </c>
      <c r="AD66" s="110">
        <f t="shared" si="32"/>
        <v>0.57050686513071502</v>
      </c>
      <c r="AE66" s="110">
        <f t="shared" si="32"/>
        <v>0.59099353098373941</v>
      </c>
      <c r="AF66" s="110">
        <f t="shared" si="32"/>
        <v>0.61100754007518865</v>
      </c>
      <c r="AG66" s="110">
        <f t="shared" si="32"/>
        <v>0.63054889240506329</v>
      </c>
      <c r="AI66" s="133"/>
      <c r="AJ66" s="211"/>
      <c r="AL66" s="108"/>
      <c r="AM66" s="2"/>
      <c r="AN66" s="2"/>
      <c r="AO66" s="2"/>
    </row>
    <row r="67" spans="1:63" outlineLevel="1">
      <c r="A67" t="s">
        <v>1557</v>
      </c>
      <c r="B67" s="54" t="s">
        <v>462</v>
      </c>
      <c r="C67" s="110">
        <f>C$63*C58</f>
        <v>1.5396459740277672E-2</v>
      </c>
      <c r="D67" s="110">
        <f t="shared" ref="D67:AG70" si="33">D$63*D58</f>
        <v>1.5516779794044113E-2</v>
      </c>
      <c r="E67" s="110">
        <f t="shared" si="33"/>
        <v>1.5613808473760924E-2</v>
      </c>
      <c r="F67" s="110">
        <f t="shared" si="33"/>
        <v>1.5687988066708482E-2</v>
      </c>
      <c r="G67" s="110">
        <f t="shared" si="33"/>
        <v>1.5739760860167162E-2</v>
      </c>
      <c r="H67" s="110">
        <f t="shared" si="33"/>
        <v>1.576956914141733E-2</v>
      </c>
      <c r="I67" s="110">
        <f t="shared" si="33"/>
        <v>1.5777855197739367E-2</v>
      </c>
      <c r="J67" s="110">
        <f t="shared" si="33"/>
        <v>1.5765061316413642E-2</v>
      </c>
      <c r="K67" s="110">
        <f t="shared" si="33"/>
        <v>1.5731629784720539E-2</v>
      </c>
      <c r="L67" s="110">
        <f t="shared" si="33"/>
        <v>1.5678002889940416E-2</v>
      </c>
      <c r="M67" s="110">
        <f t="shared" si="33"/>
        <v>1.5604622919353659E-2</v>
      </c>
      <c r="N67" s="110">
        <f t="shared" si="33"/>
        <v>1.6019939077902744E-2</v>
      </c>
      <c r="O67" s="110">
        <f t="shared" si="33"/>
        <v>1.6384349177288725E-2</v>
      </c>
      <c r="P67" s="110">
        <f t="shared" si="33"/>
        <v>1.6698871818520953E-2</v>
      </c>
      <c r="Q67" s="110">
        <f t="shared" si="33"/>
        <v>1.696452560260877E-2</v>
      </c>
      <c r="R67" s="110">
        <f t="shared" si="33"/>
        <v>1.7182329130561523E-2</v>
      </c>
      <c r="S67" s="110">
        <f t="shared" si="33"/>
        <v>1.7353301003388555E-2</v>
      </c>
      <c r="T67" s="110">
        <f t="shared" si="33"/>
        <v>1.7478459822099217E-2</v>
      </c>
      <c r="U67" s="110">
        <f t="shared" si="33"/>
        <v>1.7558824187702847E-2</v>
      </c>
      <c r="V67" s="110">
        <f t="shared" si="33"/>
        <v>1.7595412701208797E-2</v>
      </c>
      <c r="W67" s="110">
        <f t="shared" si="33"/>
        <v>1.7589243963626409E-2</v>
      </c>
      <c r="X67" s="110">
        <f t="shared" si="33"/>
        <v>1.7915416355261071E-2</v>
      </c>
      <c r="Y67" s="110">
        <f t="shared" si="33"/>
        <v>1.8171279850828836E-2</v>
      </c>
      <c r="Z67" s="110">
        <f t="shared" si="33"/>
        <v>1.8358457845688351E-2</v>
      </c>
      <c r="AA67" s="110">
        <f t="shared" si="33"/>
        <v>1.8478573735198255E-2</v>
      </c>
      <c r="AB67" s="110">
        <f t="shared" si="33"/>
        <v>1.8533250914717199E-2</v>
      </c>
      <c r="AC67" s="110">
        <f t="shared" si="33"/>
        <v>1.8524112779603821E-2</v>
      </c>
      <c r="AD67" s="110">
        <f t="shared" si="33"/>
        <v>1.8452782725216769E-2</v>
      </c>
      <c r="AE67" s="110">
        <f t="shared" si="33"/>
        <v>1.8320884146914688E-2</v>
      </c>
      <c r="AF67" s="110">
        <f t="shared" si="33"/>
        <v>1.8130040440056224E-2</v>
      </c>
      <c r="AG67" s="110">
        <f t="shared" si="33"/>
        <v>1.7881874999999998E-2</v>
      </c>
      <c r="AI67" s="133"/>
      <c r="AJ67" s="211"/>
      <c r="AL67" s="108"/>
      <c r="AM67" s="2"/>
      <c r="AN67" s="2"/>
      <c r="AO67" s="2"/>
    </row>
    <row r="68" spans="1:63" outlineLevel="1">
      <c r="A68" t="s">
        <v>1558</v>
      </c>
      <c r="B68" s="54" t="s">
        <v>462</v>
      </c>
      <c r="C68" s="110">
        <f t="shared" ref="C68:R70" si="34">C$63*C59</f>
        <v>1.8464652836765245E-2</v>
      </c>
      <c r="D68" s="110">
        <f t="shared" si="34"/>
        <v>1.8966284405930386E-2</v>
      </c>
      <c r="E68" s="110">
        <f t="shared" si="34"/>
        <v>1.9458531475987723E-2</v>
      </c>
      <c r="F68" s="110">
        <f t="shared" si="34"/>
        <v>1.9941394046937257E-2</v>
      </c>
      <c r="G68" s="110">
        <f t="shared" si="34"/>
        <v>2.0414872118778998E-2</v>
      </c>
      <c r="H68" s="110">
        <f t="shared" si="34"/>
        <v>2.087896569151293E-2</v>
      </c>
      <c r="I68" s="110">
        <f t="shared" si="34"/>
        <v>2.1333674765139064E-2</v>
      </c>
      <c r="J68" s="110">
        <f t="shared" si="34"/>
        <v>2.1778999339657396E-2</v>
      </c>
      <c r="K68" s="110">
        <f t="shared" si="34"/>
        <v>2.2214939415067927E-2</v>
      </c>
      <c r="L68" s="110">
        <f t="shared" si="34"/>
        <v>2.2641494991370657E-2</v>
      </c>
      <c r="M68" s="110">
        <f t="shared" si="34"/>
        <v>2.3058666068565582E-2</v>
      </c>
      <c r="N68" s="110">
        <f t="shared" si="34"/>
        <v>2.4234965566535469E-2</v>
      </c>
      <c r="O68" s="110">
        <f t="shared" si="34"/>
        <v>2.5389652278681327E-2</v>
      </c>
      <c r="P68" s="110">
        <f t="shared" si="34"/>
        <v>2.652272620500316E-2</v>
      </c>
      <c r="Q68" s="110">
        <f t="shared" si="34"/>
        <v>2.7634187345500959E-2</v>
      </c>
      <c r="R68" s="110">
        <f t="shared" si="34"/>
        <v>2.872403570017474E-2</v>
      </c>
      <c r="S68" s="110">
        <f t="shared" si="33"/>
        <v>2.9792271269024489E-2</v>
      </c>
      <c r="T68" s="110">
        <f t="shared" si="33"/>
        <v>3.083889405205021E-2</v>
      </c>
      <c r="U68" s="110">
        <f t="shared" si="33"/>
        <v>3.1863904049251907E-2</v>
      </c>
      <c r="V68" s="110">
        <f t="shared" si="33"/>
        <v>3.2867301260629575E-2</v>
      </c>
      <c r="W68" s="110">
        <f t="shared" si="33"/>
        <v>3.3849085686183208E-2</v>
      </c>
      <c r="X68" s="110">
        <f t="shared" si="33"/>
        <v>3.5551586124037492E-2</v>
      </c>
      <c r="Y68" s="110">
        <f t="shared" si="33"/>
        <v>3.7219641184484745E-2</v>
      </c>
      <c r="Z68" s="110">
        <f t="shared" si="33"/>
        <v>3.885325086752494E-2</v>
      </c>
      <c r="AA68" s="110">
        <f t="shared" si="33"/>
        <v>4.0452415173158091E-2</v>
      </c>
      <c r="AB68" s="110">
        <f t="shared" si="33"/>
        <v>4.2017134101384211E-2</v>
      </c>
      <c r="AC68" s="110">
        <f t="shared" si="33"/>
        <v>4.3547407652203274E-2</v>
      </c>
      <c r="AD68" s="110">
        <f t="shared" si="33"/>
        <v>4.5043235825615299E-2</v>
      </c>
      <c r="AE68" s="110">
        <f t="shared" si="33"/>
        <v>4.6504618621620274E-2</v>
      </c>
      <c r="AF68" s="110">
        <f t="shared" si="33"/>
        <v>4.7931556040218204E-2</v>
      </c>
      <c r="AG68" s="110">
        <f t="shared" si="33"/>
        <v>4.9324048081409118E-2</v>
      </c>
      <c r="AI68" s="133"/>
      <c r="AJ68" s="211"/>
      <c r="AL68" s="108"/>
      <c r="AM68" s="2"/>
      <c r="AN68" s="2"/>
      <c r="AO68" s="2"/>
      <c r="BC68" s="1"/>
      <c r="BD68" s="2"/>
      <c r="BE68" s="2"/>
      <c r="BF68" s="2"/>
      <c r="BG68" s="2"/>
      <c r="BH68" s="2"/>
      <c r="BI68" s="2"/>
      <c r="BJ68" s="2"/>
      <c r="BK68" s="2"/>
    </row>
    <row r="69" spans="1:63" outlineLevel="1">
      <c r="A69" t="s">
        <v>1559</v>
      </c>
      <c r="C69" s="110">
        <f t="shared" si="34"/>
        <v>1.4533096962014838E-2</v>
      </c>
      <c r="D69" s="110">
        <f t="shared" si="33"/>
        <v>1.4927919453308522E-2</v>
      </c>
      <c r="E69" s="110">
        <f t="shared" si="33"/>
        <v>1.5315355624551712E-2</v>
      </c>
      <c r="F69" s="110">
        <f t="shared" si="33"/>
        <v>1.5695405475744405E-2</v>
      </c>
      <c r="G69" s="110">
        <f t="shared" si="33"/>
        <v>1.6068069006886607E-2</v>
      </c>
      <c r="H69" s="110">
        <f t="shared" si="33"/>
        <v>1.643334621797831E-2</v>
      </c>
      <c r="I69" s="110">
        <f t="shared" si="33"/>
        <v>1.6791237109019523E-2</v>
      </c>
      <c r="J69" s="110">
        <f t="shared" si="33"/>
        <v>1.7141741680010238E-2</v>
      </c>
      <c r="K69" s="110">
        <f t="shared" si="33"/>
        <v>1.7484859930950461E-2</v>
      </c>
      <c r="L69" s="110">
        <f t="shared" si="33"/>
        <v>1.782059186184019E-2</v>
      </c>
      <c r="M69" s="110">
        <f t="shared" si="33"/>
        <v>1.814893747267942E-2</v>
      </c>
      <c r="N69" s="110">
        <f t="shared" si="33"/>
        <v>1.9074775332264145E-2</v>
      </c>
      <c r="O69" s="110">
        <f t="shared" si="33"/>
        <v>1.9983602272944698E-2</v>
      </c>
      <c r="P69" s="110">
        <f t="shared" si="33"/>
        <v>2.0875418294721084E-2</v>
      </c>
      <c r="Q69" s="110">
        <f t="shared" si="33"/>
        <v>2.1750223397593301E-2</v>
      </c>
      <c r="R69" s="110">
        <f t="shared" si="33"/>
        <v>2.2608017581561349E-2</v>
      </c>
      <c r="S69" s="110">
        <f t="shared" si="33"/>
        <v>2.3448800846625227E-2</v>
      </c>
      <c r="T69" s="110">
        <f t="shared" si="33"/>
        <v>2.4272573192784936E-2</v>
      </c>
      <c r="U69" s="110">
        <f t="shared" si="33"/>
        <v>2.5079334620040476E-2</v>
      </c>
      <c r="V69" s="110">
        <f t="shared" si="33"/>
        <v>2.5869085128391849E-2</v>
      </c>
      <c r="W69" s="110">
        <f t="shared" si="33"/>
        <v>2.6641824717839047E-2</v>
      </c>
      <c r="X69" s="110">
        <f t="shared" si="33"/>
        <v>2.7981823046534605E-2</v>
      </c>
      <c r="Y69" s="110">
        <f t="shared" si="33"/>
        <v>2.929471022322664E-2</v>
      </c>
      <c r="Z69" s="110">
        <f t="shared" si="33"/>
        <v>3.0580486247915154E-2</v>
      </c>
      <c r="AA69" s="110">
        <f t="shared" si="33"/>
        <v>3.1839151120600144E-2</v>
      </c>
      <c r="AB69" s="110">
        <f t="shared" si="33"/>
        <v>3.3070704841281627E-2</v>
      </c>
      <c r="AC69" s="110">
        <f t="shared" si="33"/>
        <v>3.4275147409959579E-2</v>
      </c>
      <c r="AD69" s="110">
        <f t="shared" si="33"/>
        <v>3.5452478826634021E-2</v>
      </c>
      <c r="AE69" s="110">
        <f t="shared" si="33"/>
        <v>3.6602699091304938E-2</v>
      </c>
      <c r="AF69" s="110">
        <f t="shared" si="33"/>
        <v>3.7725808203972332E-2</v>
      </c>
      <c r="AG69" s="110">
        <f t="shared" si="33"/>
        <v>3.8821806164636229E-2</v>
      </c>
      <c r="AI69" s="133"/>
      <c r="AJ69" s="211"/>
      <c r="AL69" s="108"/>
      <c r="AM69" s="2"/>
      <c r="AN69" s="2"/>
      <c r="AO69" s="2"/>
      <c r="BC69" s="1"/>
      <c r="BD69" s="2"/>
      <c r="BE69" s="2"/>
      <c r="BF69" s="2"/>
      <c r="BG69" s="2"/>
      <c r="BH69" s="2"/>
      <c r="BI69" s="2"/>
      <c r="BJ69" s="2"/>
      <c r="BK69" s="2"/>
    </row>
    <row r="70" spans="1:63" outlineLevel="1">
      <c r="A70" t="s">
        <v>1560</v>
      </c>
      <c r="B70" s="54" t="s">
        <v>462</v>
      </c>
      <c r="C70" s="110">
        <f t="shared" si="34"/>
        <v>8.5488805658910802E-2</v>
      </c>
      <c r="D70" s="110">
        <f t="shared" si="33"/>
        <v>8.8109248425611367E-2</v>
      </c>
      <c r="E70" s="110">
        <f t="shared" si="33"/>
        <v>9.0701708508219264E-2</v>
      </c>
      <c r="F70" s="110">
        <f t="shared" si="33"/>
        <v>9.3265743619454181E-2</v>
      </c>
      <c r="G70" s="110">
        <f t="shared" si="33"/>
        <v>9.5800911472035719E-2</v>
      </c>
      <c r="H70" s="110">
        <f t="shared" si="33"/>
        <v>9.8306769778683481E-2</v>
      </c>
      <c r="I70" s="110">
        <f t="shared" si="33"/>
        <v>0.10078287625211711</v>
      </c>
      <c r="J70" s="110">
        <f t="shared" si="33"/>
        <v>0.10322878860505626</v>
      </c>
      <c r="K70" s="110">
        <f t="shared" si="33"/>
        <v>0.10564406455022053</v>
      </c>
      <c r="L70" s="110">
        <f t="shared" si="33"/>
        <v>0.10802826180032954</v>
      </c>
      <c r="M70" s="110">
        <f t="shared" si="33"/>
        <v>0.11038093806810291</v>
      </c>
      <c r="N70" s="110">
        <f t="shared" si="33"/>
        <v>0.11639256576226122</v>
      </c>
      <c r="O70" s="110">
        <f t="shared" si="33"/>
        <v>0.12233701380592163</v>
      </c>
      <c r="P70" s="110">
        <f t="shared" si="33"/>
        <v>0.12821326359807483</v>
      </c>
      <c r="Q70" s="110">
        <f t="shared" si="33"/>
        <v>0.1340202965377115</v>
      </c>
      <c r="R70" s="110">
        <f t="shared" si="33"/>
        <v>0.13975709402382222</v>
      </c>
      <c r="S70" s="110">
        <f t="shared" si="33"/>
        <v>0.14542263745539774</v>
      </c>
      <c r="T70" s="110">
        <f t="shared" si="33"/>
        <v>0.15101590823142869</v>
      </c>
      <c r="U70" s="110">
        <f t="shared" si="33"/>
        <v>0.15653588775090563</v>
      </c>
      <c r="V70" s="110">
        <f t="shared" si="33"/>
        <v>0.1619815574128193</v>
      </c>
      <c r="W70" s="110">
        <f t="shared" si="33"/>
        <v>0.16735189861616034</v>
      </c>
      <c r="X70" s="110">
        <f t="shared" si="33"/>
        <v>0.17632767249091721</v>
      </c>
      <c r="Y70" s="110">
        <f t="shared" si="33"/>
        <v>0.18518555616196883</v>
      </c>
      <c r="Z70" s="110">
        <f t="shared" si="33"/>
        <v>0.19392392623395652</v>
      </c>
      <c r="AA70" s="110">
        <f t="shared" si="33"/>
        <v>0.20254115931152164</v>
      </c>
      <c r="AB70" s="110">
        <f t="shared" si="33"/>
        <v>0.21103563199930558</v>
      </c>
      <c r="AC70" s="110">
        <f t="shared" si="33"/>
        <v>0.2194057209019496</v>
      </c>
      <c r="AD70" s="110">
        <f t="shared" si="33"/>
        <v>0.22764980262409518</v>
      </c>
      <c r="AE70" s="110">
        <f t="shared" si="33"/>
        <v>0.2357662537703836</v>
      </c>
      <c r="AF70" s="110">
        <f t="shared" si="33"/>
        <v>0.24375345094545625</v>
      </c>
      <c r="AG70" s="110">
        <f t="shared" si="33"/>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0.14161054646771426</v>
      </c>
      <c r="D72" s="300">
        <f t="shared" ref="D72:AG72" si="35">D42*D64</f>
        <v>0.15517872268017149</v>
      </c>
      <c r="E72" s="300">
        <f t="shared" si="35"/>
        <v>0.16890405571300568</v>
      </c>
      <c r="F72" s="300">
        <f t="shared" si="35"/>
        <v>0.18269458201512093</v>
      </c>
      <c r="G72" s="300">
        <f t="shared" si="35"/>
        <v>0.19645418664130837</v>
      </c>
      <c r="H72" s="300">
        <f t="shared" si="35"/>
        <v>0.21008370812116231</v>
      </c>
      <c r="I72" s="300">
        <f t="shared" si="35"/>
        <v>0.22396427599121607</v>
      </c>
      <c r="J72" s="300">
        <f t="shared" si="35"/>
        <v>0.23808155865935648</v>
      </c>
      <c r="K72" s="300">
        <f t="shared" si="35"/>
        <v>0.25242036282179231</v>
      </c>
      <c r="L72" s="300">
        <f t="shared" si="35"/>
        <v>0.26696465097635802</v>
      </c>
      <c r="M72" s="300">
        <f t="shared" si="35"/>
        <v>0.28169756199163343</v>
      </c>
      <c r="N72" s="300">
        <f t="shared" si="35"/>
        <v>0.30662612920772481</v>
      </c>
      <c r="O72" s="300">
        <f t="shared" si="35"/>
        <v>0.33139662564642669</v>
      </c>
      <c r="P72" s="300">
        <f t="shared" si="35"/>
        <v>0.35586692765569555</v>
      </c>
      <c r="Q72" s="300">
        <f t="shared" si="35"/>
        <v>0.37989416124187553</v>
      </c>
      <c r="R72" s="300">
        <f t="shared" si="35"/>
        <v>0.40333607140186944</v>
      </c>
      <c r="S72" s="300">
        <f t="shared" si="35"/>
        <v>0.42682001500512368</v>
      </c>
      <c r="T72" s="300">
        <f t="shared" si="35"/>
        <v>0.45033337070358798</v>
      </c>
      <c r="U72" s="300">
        <f t="shared" si="35"/>
        <v>0.47386331984842256</v>
      </c>
      <c r="V72" s="300">
        <f t="shared" si="35"/>
        <v>0.49739685309318238</v>
      </c>
      <c r="W72" s="300">
        <f t="shared" si="35"/>
        <v>0.52092077724765706</v>
      </c>
      <c r="X72" s="300">
        <f t="shared" si="35"/>
        <v>0.56197955644654563</v>
      </c>
      <c r="Y72" s="300">
        <f t="shared" si="35"/>
        <v>0.60305478009639513</v>
      </c>
      <c r="Z72" s="300">
        <f t="shared" si="35"/>
        <v>0.64412438437447328</v>
      </c>
      <c r="AA72" s="300">
        <f t="shared" si="35"/>
        <v>0.68516600755744772</v>
      </c>
      <c r="AB72" s="300">
        <f t="shared" si="35"/>
        <v>0.72615700097893854</v>
      </c>
      <c r="AC72" s="300">
        <f t="shared" si="35"/>
        <v>0.76708169245210278</v>
      </c>
      <c r="AD72" s="300">
        <f t="shared" si="35"/>
        <v>0.80791806184643766</v>
      </c>
      <c r="AE72" s="300">
        <f t="shared" si="35"/>
        <v>0.84864383259667497</v>
      </c>
      <c r="AF72" s="300">
        <f t="shared" si="35"/>
        <v>0.88923648187244697</v>
      </c>
      <c r="AG72" s="300">
        <f t="shared" si="35"/>
        <v>0.92967325104857956</v>
      </c>
      <c r="AH72" s="245"/>
      <c r="AI72" s="423"/>
      <c r="AJ72" s="424"/>
      <c r="AL72" s="221"/>
      <c r="AM72" s="124"/>
      <c r="AN72" s="124"/>
      <c r="AO72" s="124"/>
      <c r="BD72" s="124"/>
      <c r="BE72" s="124"/>
      <c r="BF72" s="124"/>
      <c r="BG72" s="124"/>
      <c r="BH72" s="124"/>
      <c r="BI72" s="124"/>
      <c r="BJ72" s="124"/>
      <c r="BK72" s="124"/>
    </row>
    <row r="73" spans="1:63" outlineLevel="1">
      <c r="A73" s="4" t="s">
        <v>474</v>
      </c>
      <c r="C73" s="230">
        <f>C$72*'Methanol recycling rates'!E33</f>
        <v>0.14161054646771426</v>
      </c>
      <c r="D73" s="230">
        <f>D$72*'Methanol recycling rates'!F33</f>
        <v>0.15338912046662023</v>
      </c>
      <c r="E73" s="230">
        <f>E$72*'Methanol recycling rates'!G33</f>
        <v>0.16500827584368979</v>
      </c>
      <c r="F73" s="230">
        <f>F$72*'Methanol recycling rates'!H33</f>
        <v>0.17637379351916313</v>
      </c>
      <c r="G73" s="230">
        <f>G$72*'Methanol recycling rates'!I33</f>
        <v>0.18739173681049473</v>
      </c>
      <c r="H73" s="230">
        <f>H$72*'Methanol recycling rates'!J33</f>
        <v>0.19796973197188153</v>
      </c>
      <c r="I73" s="230">
        <f>I$72*'Methanol recycling rates'!K33</f>
        <v>0.20846703678930445</v>
      </c>
      <c r="J73" s="230">
        <f>J$72*'Methanol recycling rates'!L33</f>
        <v>0.21886179103164716</v>
      </c>
      <c r="K73" s="230">
        <f>K$72*'Methanol recycling rates'!M33</f>
        <v>0.22913201337546629</v>
      </c>
      <c r="L73" s="230">
        <f>L$72*'Methanol recycling rates'!N33</f>
        <v>0.23925566678909149</v>
      </c>
      <c r="M73" s="230">
        <f>M$72*'Methanol recycling rates'!O33</f>
        <v>0.24921072540829303</v>
      </c>
      <c r="N73" s="230">
        <f>N$72*'Methanol recycling rates'!P33</f>
        <v>0.26772822689909792</v>
      </c>
      <c r="O73" s="230">
        <f>O$72*'Methanol recycling rates'!Q33</f>
        <v>0.28553455451370324</v>
      </c>
      <c r="P73" s="230">
        <f>P$72*'Methanol recycling rates'!R33</f>
        <v>0.30251436104078755</v>
      </c>
      <c r="Q73" s="230">
        <f>Q$72*'Methanol recycling rates'!S33</f>
        <v>0.31855822625130176</v>
      </c>
      <c r="R73" s="230">
        <f>R$72*'Methanol recycling rates'!T33</f>
        <v>0.3335638326194752</v>
      </c>
      <c r="S73" s="230">
        <f>S$72*'Methanol recycling rates'!U33</f>
        <v>0.34806302766062025</v>
      </c>
      <c r="T73" s="230">
        <f>T$72*'Methanol recycling rates'!V33</f>
        <v>0.36204421022352107</v>
      </c>
      <c r="U73" s="230">
        <f>U$72*'Methanol recycling rates'!W33</f>
        <v>0.37549620503689379</v>
      </c>
      <c r="V73" s="230">
        <f>V$72*'Methanol recycling rates'!X33</f>
        <v>0.38840827924257437</v>
      </c>
      <c r="W73" s="230">
        <f>W$72*'Methanol recycling rates'!Y33</f>
        <v>0.40077015866463989</v>
      </c>
      <c r="X73" s="230">
        <f>X$72*'Methanol recycling rates'!Z33</f>
        <v>0.42587766917001146</v>
      </c>
      <c r="Y73" s="230">
        <f>Y$72*'Methanol recycling rates'!AA33</f>
        <v>0.45005042926986361</v>
      </c>
      <c r="Z73" s="230">
        <f>Z$72*'Methanol recycling rates'!AB33</f>
        <v>0.47327165858900339</v>
      </c>
      <c r="AA73" s="230">
        <f>AA$72*'Methanol recycling rates'!AC33</f>
        <v>0.49552537911091826</v>
      </c>
      <c r="AB73" s="230">
        <f>AB$72*'Methanol recycling rates'!AD33</f>
        <v>0.51679644015385084</v>
      </c>
      <c r="AC73" s="230">
        <f>AC$72*'Methanol recycling rates'!AE33</f>
        <v>0.53707562043395096</v>
      </c>
      <c r="AD73" s="230">
        <f>AD$72*'Methanol recycling rates'!AF33</f>
        <v>0.55635005029393658</v>
      </c>
      <c r="AE73" s="230">
        <f>AE$72*'Methanol recycling rates'!AG33</f>
        <v>0.57460770223793678</v>
      </c>
      <c r="AF73" s="230">
        <f>AF$72*'Methanol recycling rates'!AH33</f>
        <v>0.59183741248668187</v>
      </c>
      <c r="AG73" s="230">
        <f>AG$72*'Methanol recycling rates'!AI33</f>
        <v>0.60802890202561877</v>
      </c>
      <c r="AH73" s="245"/>
      <c r="AI73" s="133"/>
      <c r="AJ73" s="211"/>
      <c r="AL73" s="108"/>
      <c r="AM73" s="2"/>
      <c r="AN73" s="2"/>
      <c r="AO73" s="2"/>
      <c r="BC73" s="1"/>
      <c r="BD73" s="2"/>
      <c r="BE73" s="2"/>
      <c r="BF73" s="2"/>
      <c r="BG73" s="2"/>
      <c r="BH73" s="2"/>
      <c r="BI73" s="2"/>
      <c r="BJ73" s="2"/>
      <c r="BK73" s="2"/>
    </row>
    <row r="74" spans="1:63" outlineLevel="1">
      <c r="A74" s="4" t="s">
        <v>745</v>
      </c>
      <c r="C74" s="230">
        <f>C$72*'Methanol recycling rates'!E34</f>
        <v>0</v>
      </c>
      <c r="D74" s="230">
        <f>D$72*'Methanol recycling rates'!F34</f>
        <v>1.059593726617561E-3</v>
      </c>
      <c r="E74" s="230">
        <f>E$72*'Methanol recycling rates'!G34</f>
        <v>2.3066265109376659E-3</v>
      </c>
      <c r="F74" s="230">
        <f>F$72*'Methanol recycling rates'!H34</f>
        <v>3.742433813994305E-3</v>
      </c>
      <c r="G74" s="230">
        <f>G$72*'Methanol recycling rates'!I34</f>
        <v>5.3657259226682465E-3</v>
      </c>
      <c r="H74" s="230">
        <f>H$72*'Methanol recycling rates'!J34</f>
        <v>7.1724839380374102E-3</v>
      </c>
      <c r="I74" s="230">
        <f>I$72*'Methanol recycling rates'!K34</f>
        <v>9.1756577600851652E-3</v>
      </c>
      <c r="J74" s="230">
        <f>J$72*'Methanol recycling rates'!L34</f>
        <v>1.1379704970835781E-2</v>
      </c>
      <c r="K74" s="230">
        <f>K$72*'Methanol recycling rates'!M34</f>
        <v>1.3788644643905204E-2</v>
      </c>
      <c r="L74" s="230">
        <f>L$72*'Methanol recycling rates'!N34</f>
        <v>1.6406029000998263E-2</v>
      </c>
      <c r="M74" s="230">
        <f>M$72*'Methanol recycling rates'!O34</f>
        <v>1.9234915994571215E-2</v>
      </c>
      <c r="N74" s="230">
        <f>N$72*'Methanol recycling rates'!P34</f>
        <v>2.3030801455601265E-2</v>
      </c>
      <c r="O74" s="230">
        <f>O$72*'Methanol recycling rates'!Q34</f>
        <v>2.715417006860445E-2</v>
      </c>
      <c r="P74" s="230">
        <f>P$72*'Methanol recycling rates'!R34</f>
        <v>3.1589167948066182E-2</v>
      </c>
      <c r="Q74" s="230">
        <f>Q$72*'Methanol recycling rates'!S34</f>
        <v>3.6315987675980085E-2</v>
      </c>
      <c r="R74" s="230">
        <f>R$72*'Methanol recycling rates'!T34</f>
        <v>4.1310982935800614E-2</v>
      </c>
      <c r="S74" s="230">
        <f>S$72*'Methanol recycling rates'!U34</f>
        <v>4.6630703228700381E-2</v>
      </c>
      <c r="T74" s="230">
        <f>T$72*'Methanol recycling rates'!V34</f>
        <v>5.2274544513089896E-2</v>
      </c>
      <c r="U74" s="230">
        <f>U$72*'Methanol recycling rates'!W34</f>
        <v>5.8241533772431978E-2</v>
      </c>
      <c r="V74" s="230">
        <f>V$72*'Methanol recycling rates'!X34</f>
        <v>6.4530323135851775E-2</v>
      </c>
      <c r="W74" s="230">
        <f>W$72*'Methanol recycling rates'!Y34</f>
        <v>7.1139184303505076E-2</v>
      </c>
      <c r="X74" s="230">
        <f>X$72*'Methanol recycling rates'!Z34</f>
        <v>8.0583665379387187E-2</v>
      </c>
      <c r="Y74" s="230">
        <f>Y$72*'Methanol recycling rates'!AA34</f>
        <v>9.0591333120487755E-2</v>
      </c>
      <c r="Z74" s="230">
        <f>Z$72*'Methanol recycling rates'!AB34</f>
        <v>0.10115905928533209</v>
      </c>
      <c r="AA74" s="230">
        <f>AA$72*'Methanol recycling rates'!AC34</f>
        <v>0.11228306418721236</v>
      </c>
      <c r="AB74" s="230">
        <f>AB$72*'Methanol recycling rates'!AD34</f>
        <v>0.12395890839405362</v>
      </c>
      <c r="AC74" s="230">
        <f>AC$72*'Methanol recycling rates'!AE34</f>
        <v>0.13618277243341079</v>
      </c>
      <c r="AD74" s="230">
        <f>AD$72*'Methanol recycling rates'!AF34</f>
        <v>0.14894923846217509</v>
      </c>
      <c r="AE74" s="230">
        <f>AE$72*'Methanol recycling rates'!AG34</f>
        <v>0.16225223817670065</v>
      </c>
      <c r="AF74" s="230">
        <f>AF$72*'Methanol recycling rates'!AH34</f>
        <v>0.17608504607162512</v>
      </c>
      <c r="AG74" s="230">
        <f>AG$72*'Methanol recycling rates'!AI34</f>
        <v>0.19044027317691653</v>
      </c>
      <c r="AH74" s="245"/>
      <c r="AI74" s="133"/>
      <c r="AJ74" s="211"/>
      <c r="AL74" s="108"/>
      <c r="AM74" s="2"/>
      <c r="AN74" s="2"/>
      <c r="AO74" s="2"/>
      <c r="BC74" s="1"/>
      <c r="BD74" s="2"/>
      <c r="BE74" s="2"/>
      <c r="BF74" s="2"/>
      <c r="BG74" s="2"/>
      <c r="BH74" s="2"/>
      <c r="BI74" s="2"/>
      <c r="BJ74" s="2"/>
      <c r="BK74" s="2"/>
    </row>
    <row r="75" spans="1:63" outlineLevel="1">
      <c r="A75" s="4" t="s">
        <v>1561</v>
      </c>
      <c r="C75" s="230">
        <f>C$72*'Methanol recycling rates'!E35</f>
        <v>0</v>
      </c>
      <c r="D75" s="230">
        <f>D$72*'Methanol recycling rates'!F35</f>
        <v>7.3000848693370915E-4</v>
      </c>
      <c r="E75" s="230">
        <f>E$72*'Methanol recycling rates'!G35</f>
        <v>1.589153358378216E-3</v>
      </c>
      <c r="F75" s="230">
        <f>F$72*'Methanol recycling rates'!H35</f>
        <v>2.5783546819634928E-3</v>
      </c>
      <c r="G75" s="230">
        <f>G$72*'Methanol recycling rates'!I35</f>
        <v>3.6967239081454085E-3</v>
      </c>
      <c r="H75" s="230">
        <f>H$72*'Methanol recycling rates'!J35</f>
        <v>4.9414922112433774E-3</v>
      </c>
      <c r="I75" s="230">
        <f>I$72*'Methanol recycling rates'!K35</f>
        <v>6.3215814418264649E-3</v>
      </c>
      <c r="J75" s="230">
        <f>J$72*'Methanol recycling rates'!L35</f>
        <v>7.840062656873566E-3</v>
      </c>
      <c r="K75" s="230">
        <f>K$72*'Methanol recycling rates'!M35</f>
        <v>9.4997048024208341E-3</v>
      </c>
      <c r="L75" s="230">
        <f>L$72*'Methanol recycling rates'!N35</f>
        <v>1.1302955186268284E-2</v>
      </c>
      <c r="M75" s="230">
        <f>M$72*'Methanol recycling rates'!O35</f>
        <v>1.32519205887692E-2</v>
      </c>
      <c r="N75" s="230">
        <f>N$72*'Methanol recycling rates'!P35</f>
        <v>1.5867100853025673E-2</v>
      </c>
      <c r="O75" s="230">
        <f>O$72*'Methanol recycling rates'!Q35</f>
        <v>1.8707901064119067E-2</v>
      </c>
      <c r="P75" s="230">
        <f>P$72*'Methanol recycling rates'!R35</f>
        <v>2.1763398666841863E-2</v>
      </c>
      <c r="Q75" s="230">
        <f>Q$72*'Methanol recycling rates'!S35</f>
        <v>2.5019947314593782E-2</v>
      </c>
      <c r="R75" s="230">
        <f>R$72*'Methanol recycling rates'!T35</f>
        <v>2.8461255846593734E-2</v>
      </c>
      <c r="S75" s="230">
        <f>S$72*'Methanol recycling rates'!U35</f>
        <v>3.212628411580315E-2</v>
      </c>
      <c r="T75" s="230">
        <f>T$72*'Methanol recycling rates'!V35</f>
        <v>3.6014615966977123E-2</v>
      </c>
      <c r="U75" s="230">
        <f>U$72*'Methanol recycling rates'!W35</f>
        <v>4.0125581039096886E-2</v>
      </c>
      <c r="V75" s="230">
        <f>V$72*'Methanol recycling rates'!X35</f>
        <v>4.4458250714756335E-2</v>
      </c>
      <c r="W75" s="230">
        <f>W$72*'Methanol recycling rates'!Y35</f>
        <v>4.9011434279512232E-2</v>
      </c>
      <c r="X75" s="230">
        <f>X$72*'Methanol recycling rates'!Z35</f>
        <v>5.551822189714712E-2</v>
      </c>
      <c r="Y75" s="230">
        <f>Y$72*'Methanol recycling rates'!AA35</f>
        <v>6.241301770604394E-2</v>
      </c>
      <c r="Z75" s="230">
        <f>Z$72*'Methanol recycling rates'!AB35</f>
        <v>6.9693666500138016E-2</v>
      </c>
      <c r="AA75" s="230">
        <f>AA$72*'Methanol recycling rates'!AC35</f>
        <v>7.7357564259317335E-2</v>
      </c>
      <c r="AB75" s="230">
        <f>AB$72*'Methanol recycling rates'!AD35</f>
        <v>8.5401652431034369E-2</v>
      </c>
      <c r="AC75" s="230">
        <f>AC$72*'Methanol recycling rates'!AE35</f>
        <v>9.3823299584741324E-2</v>
      </c>
      <c r="AD75" s="230">
        <f>AD$72*'Methanol recycling rates'!AF35</f>
        <v>0.1026187730903263</v>
      </c>
      <c r="AE75" s="230">
        <f>AE$72*'Methanol recycling rates'!AG35</f>
        <v>0.11178389218203783</v>
      </c>
      <c r="AF75" s="230">
        <f>AF$72*'Methanol recycling rates'!AH35</f>
        <v>0.12131402331414028</v>
      </c>
      <c r="AG75" s="230">
        <f>AG$72*'Methanol recycling rates'!AI35</f>
        <v>0.13120407584604418</v>
      </c>
      <c r="AH75" s="245"/>
      <c r="AI75" s="133"/>
      <c r="AJ75" s="211"/>
      <c r="AL75" s="108"/>
      <c r="AM75" s="2"/>
      <c r="AN75" s="2"/>
      <c r="AO75" s="2"/>
      <c r="BC75" s="1"/>
      <c r="BD75" s="2"/>
      <c r="BE75" s="2"/>
      <c r="BF75" s="2"/>
      <c r="BG75" s="2"/>
      <c r="BH75" s="2"/>
      <c r="BI75" s="2"/>
      <c r="BJ75" s="2"/>
      <c r="BK75" s="2"/>
    </row>
    <row r="76" spans="1:63" s="1" customFormat="1" outlineLevel="1">
      <c r="A76" s="1" t="s">
        <v>1562</v>
      </c>
      <c r="B76" s="65"/>
      <c r="C76" s="300">
        <f>C72-$C72</f>
        <v>0</v>
      </c>
      <c r="D76" s="300">
        <f t="shared" ref="D76:AG79" si="36">D72-$C72</f>
        <v>1.3568176212457234E-2</v>
      </c>
      <c r="E76" s="300">
        <f t="shared" si="36"/>
        <v>2.729350924529142E-2</v>
      </c>
      <c r="F76" s="300">
        <f t="shared" si="36"/>
        <v>4.1084035547406667E-2</v>
      </c>
      <c r="G76" s="300">
        <f t="shared" si="36"/>
        <v>5.484364017359411E-2</v>
      </c>
      <c r="H76" s="300">
        <f t="shared" si="36"/>
        <v>6.847316165344805E-2</v>
      </c>
      <c r="I76" s="300">
        <f t="shared" si="36"/>
        <v>8.2353729523501812E-2</v>
      </c>
      <c r="J76" s="300">
        <f t="shared" si="36"/>
        <v>9.6471012191642225E-2</v>
      </c>
      <c r="K76" s="300">
        <f t="shared" si="36"/>
        <v>0.11080981635407805</v>
      </c>
      <c r="L76" s="300">
        <f t="shared" si="36"/>
        <v>0.12535410450864376</v>
      </c>
      <c r="M76" s="300">
        <f t="shared" si="36"/>
        <v>0.14008701552391917</v>
      </c>
      <c r="N76" s="300">
        <f t="shared" si="36"/>
        <v>0.16501558274001055</v>
      </c>
      <c r="O76" s="300">
        <f t="shared" si="36"/>
        <v>0.18978607917871243</v>
      </c>
      <c r="P76" s="300">
        <f t="shared" si="36"/>
        <v>0.21425638118798129</v>
      </c>
      <c r="Q76" s="300">
        <f t="shared" si="36"/>
        <v>0.23828361477416127</v>
      </c>
      <c r="R76" s="300">
        <f t="shared" si="36"/>
        <v>0.26172552493415518</v>
      </c>
      <c r="S76" s="300">
        <f t="shared" si="36"/>
        <v>0.28520946853740942</v>
      </c>
      <c r="T76" s="300">
        <f t="shared" si="36"/>
        <v>0.30872282423587372</v>
      </c>
      <c r="U76" s="300">
        <f t="shared" si="36"/>
        <v>0.3322527733807083</v>
      </c>
      <c r="V76" s="300">
        <f t="shared" si="36"/>
        <v>0.35578630662546812</v>
      </c>
      <c r="W76" s="300">
        <f t="shared" si="36"/>
        <v>0.3793102307799428</v>
      </c>
      <c r="X76" s="300">
        <f t="shared" si="36"/>
        <v>0.42036900997883136</v>
      </c>
      <c r="Y76" s="300">
        <f t="shared" si="36"/>
        <v>0.46144423362868087</v>
      </c>
      <c r="Z76" s="300">
        <f t="shared" si="36"/>
        <v>0.50251383790675908</v>
      </c>
      <c r="AA76" s="300">
        <f t="shared" si="36"/>
        <v>0.54355546108973352</v>
      </c>
      <c r="AB76" s="300">
        <f t="shared" si="36"/>
        <v>0.58454645451122422</v>
      </c>
      <c r="AC76" s="300">
        <f t="shared" si="36"/>
        <v>0.62547114598438847</v>
      </c>
      <c r="AD76" s="300">
        <f t="shared" si="36"/>
        <v>0.66630751537872346</v>
      </c>
      <c r="AE76" s="300">
        <f t="shared" si="36"/>
        <v>0.70703328612896077</v>
      </c>
      <c r="AF76" s="300">
        <f t="shared" si="36"/>
        <v>0.74762593540473277</v>
      </c>
      <c r="AG76" s="300">
        <f t="shared" si="36"/>
        <v>0.78806270458086525</v>
      </c>
      <c r="AH76" s="245"/>
      <c r="AI76" s="423"/>
      <c r="AJ76" s="424"/>
      <c r="AL76" s="221"/>
      <c r="AM76" s="124"/>
      <c r="AN76" s="124"/>
      <c r="AO76" s="124"/>
      <c r="BD76" s="124"/>
      <c r="BE76" s="124"/>
      <c r="BF76" s="124"/>
      <c r="BG76" s="124"/>
      <c r="BH76" s="124"/>
      <c r="BI76" s="124"/>
      <c r="BJ76" s="124"/>
      <c r="BK76" s="124"/>
    </row>
    <row r="77" spans="1:63" outlineLevel="1">
      <c r="A77" s="4" t="s">
        <v>474</v>
      </c>
      <c r="C77" s="230">
        <f t="shared" ref="C77:R79" si="37">C73-$C73</f>
        <v>0</v>
      </c>
      <c r="D77" s="230">
        <f t="shared" si="37"/>
        <v>1.1778573998905972E-2</v>
      </c>
      <c r="E77" s="230">
        <f t="shared" si="37"/>
        <v>2.3397729375975534E-2</v>
      </c>
      <c r="F77" s="230">
        <f t="shared" si="37"/>
        <v>3.476324705144887E-2</v>
      </c>
      <c r="G77" s="230">
        <f t="shared" si="37"/>
        <v>4.578119034278047E-2</v>
      </c>
      <c r="H77" s="230">
        <f t="shared" si="37"/>
        <v>5.635918550416727E-2</v>
      </c>
      <c r="I77" s="230">
        <f t="shared" si="37"/>
        <v>6.685649032159019E-2</v>
      </c>
      <c r="J77" s="230">
        <f t="shared" si="37"/>
        <v>7.7251244563932897E-2</v>
      </c>
      <c r="K77" s="230">
        <f t="shared" si="37"/>
        <v>8.7521466907752032E-2</v>
      </c>
      <c r="L77" s="230">
        <f t="shared" si="37"/>
        <v>9.7645120321377232E-2</v>
      </c>
      <c r="M77" s="230">
        <f t="shared" si="37"/>
        <v>0.10760017894057877</v>
      </c>
      <c r="N77" s="230">
        <f t="shared" si="37"/>
        <v>0.12611768043138366</v>
      </c>
      <c r="O77" s="230">
        <f t="shared" si="37"/>
        <v>0.14392400804598898</v>
      </c>
      <c r="P77" s="230">
        <f t="shared" si="37"/>
        <v>0.16090381457307329</v>
      </c>
      <c r="Q77" s="230">
        <f t="shared" si="37"/>
        <v>0.1769476797835875</v>
      </c>
      <c r="R77" s="230">
        <f t="shared" si="37"/>
        <v>0.19195328615176094</v>
      </c>
      <c r="S77" s="230">
        <f t="shared" si="36"/>
        <v>0.20645248119290599</v>
      </c>
      <c r="T77" s="230">
        <f t="shared" si="36"/>
        <v>0.22043366375580681</v>
      </c>
      <c r="U77" s="230">
        <f t="shared" si="36"/>
        <v>0.23388565856917953</v>
      </c>
      <c r="V77" s="230">
        <f t="shared" si="36"/>
        <v>0.24679773277486011</v>
      </c>
      <c r="W77" s="230">
        <f t="shared" si="36"/>
        <v>0.25915961219692563</v>
      </c>
      <c r="X77" s="230">
        <f t="shared" si="36"/>
        <v>0.2842671227022972</v>
      </c>
      <c r="Y77" s="230">
        <f t="shared" si="36"/>
        <v>0.30843988280214935</v>
      </c>
      <c r="Z77" s="230">
        <f t="shared" si="36"/>
        <v>0.33166111212128913</v>
      </c>
      <c r="AA77" s="230">
        <f t="shared" si="36"/>
        <v>0.353914832643204</v>
      </c>
      <c r="AB77" s="230">
        <f t="shared" si="36"/>
        <v>0.37518589368613658</v>
      </c>
      <c r="AC77" s="230">
        <f t="shared" si="36"/>
        <v>0.3954650739662367</v>
      </c>
      <c r="AD77" s="230">
        <f t="shared" si="36"/>
        <v>0.41473950382622232</v>
      </c>
      <c r="AE77" s="230">
        <f t="shared" si="36"/>
        <v>0.43299715577022252</v>
      </c>
      <c r="AF77" s="230">
        <f t="shared" si="36"/>
        <v>0.45022686601896761</v>
      </c>
      <c r="AG77" s="230">
        <f>AG73-$C73</f>
        <v>0.46641835555790451</v>
      </c>
      <c r="AH77" s="245"/>
      <c r="AI77" s="133"/>
      <c r="AJ77" s="211"/>
      <c r="AL77" s="108"/>
      <c r="AM77" s="2"/>
      <c r="AN77" s="2"/>
      <c r="AO77" s="2"/>
      <c r="BC77" s="1"/>
      <c r="BD77" s="2"/>
      <c r="BE77" s="2"/>
      <c r="BF77" s="2"/>
      <c r="BG77" s="2"/>
      <c r="BH77" s="2"/>
      <c r="BI77" s="2"/>
      <c r="BJ77" s="2"/>
      <c r="BK77" s="2"/>
    </row>
    <row r="78" spans="1:63" outlineLevel="1">
      <c r="A78" s="4" t="s">
        <v>745</v>
      </c>
      <c r="C78" s="230">
        <f t="shared" si="37"/>
        <v>0</v>
      </c>
      <c r="D78" s="230">
        <f t="shared" si="36"/>
        <v>1.059593726617561E-3</v>
      </c>
      <c r="E78" s="230">
        <f t="shared" si="36"/>
        <v>2.3066265109376659E-3</v>
      </c>
      <c r="F78" s="230">
        <f t="shared" si="36"/>
        <v>3.742433813994305E-3</v>
      </c>
      <c r="G78" s="230">
        <f t="shared" si="36"/>
        <v>5.3657259226682465E-3</v>
      </c>
      <c r="H78" s="230">
        <f t="shared" si="36"/>
        <v>7.1724839380374102E-3</v>
      </c>
      <c r="I78" s="230">
        <f t="shared" si="36"/>
        <v>9.1756577600851652E-3</v>
      </c>
      <c r="J78" s="230">
        <f t="shared" si="36"/>
        <v>1.1379704970835781E-2</v>
      </c>
      <c r="K78" s="230">
        <f t="shared" si="36"/>
        <v>1.3788644643905204E-2</v>
      </c>
      <c r="L78" s="230">
        <f t="shared" si="36"/>
        <v>1.6406029000998263E-2</v>
      </c>
      <c r="M78" s="230">
        <f t="shared" si="36"/>
        <v>1.9234915994571215E-2</v>
      </c>
      <c r="N78" s="230">
        <f t="shared" si="36"/>
        <v>2.3030801455601265E-2</v>
      </c>
      <c r="O78" s="230">
        <f t="shared" si="36"/>
        <v>2.715417006860445E-2</v>
      </c>
      <c r="P78" s="230">
        <f t="shared" si="36"/>
        <v>3.1589167948066182E-2</v>
      </c>
      <c r="Q78" s="230">
        <f t="shared" si="36"/>
        <v>3.6315987675980085E-2</v>
      </c>
      <c r="R78" s="230">
        <f t="shared" si="36"/>
        <v>4.1310982935800614E-2</v>
      </c>
      <c r="S78" s="230">
        <f t="shared" si="36"/>
        <v>4.6630703228700381E-2</v>
      </c>
      <c r="T78" s="230">
        <f t="shared" si="36"/>
        <v>5.2274544513089896E-2</v>
      </c>
      <c r="U78" s="230">
        <f t="shared" si="36"/>
        <v>5.8241533772431978E-2</v>
      </c>
      <c r="V78" s="230">
        <f t="shared" si="36"/>
        <v>6.4530323135851775E-2</v>
      </c>
      <c r="W78" s="230">
        <f t="shared" si="36"/>
        <v>7.1139184303505076E-2</v>
      </c>
      <c r="X78" s="230">
        <f t="shared" si="36"/>
        <v>8.0583665379387187E-2</v>
      </c>
      <c r="Y78" s="230">
        <f t="shared" si="36"/>
        <v>9.0591333120487755E-2</v>
      </c>
      <c r="Z78" s="230">
        <f t="shared" si="36"/>
        <v>0.10115905928533209</v>
      </c>
      <c r="AA78" s="230">
        <f t="shared" si="36"/>
        <v>0.11228306418721236</v>
      </c>
      <c r="AB78" s="230">
        <f t="shared" si="36"/>
        <v>0.12395890839405362</v>
      </c>
      <c r="AC78" s="230">
        <f t="shared" si="36"/>
        <v>0.13618277243341079</v>
      </c>
      <c r="AD78" s="230">
        <f t="shared" si="36"/>
        <v>0.14894923846217509</v>
      </c>
      <c r="AE78" s="230">
        <f t="shared" si="36"/>
        <v>0.16225223817670065</v>
      </c>
      <c r="AF78" s="230">
        <f t="shared" si="36"/>
        <v>0.17608504607162512</v>
      </c>
      <c r="AG78" s="230">
        <f t="shared" si="36"/>
        <v>0.19044027317691653</v>
      </c>
      <c r="AH78" s="245"/>
      <c r="AI78" s="133"/>
      <c r="AJ78" s="211"/>
      <c r="AL78" s="108"/>
      <c r="AM78" s="2"/>
      <c r="AN78" s="2"/>
      <c r="AO78" s="2"/>
      <c r="BC78" s="1"/>
      <c r="BD78" s="2"/>
      <c r="BE78" s="2"/>
      <c r="BF78" s="2"/>
      <c r="BG78" s="2"/>
      <c r="BH78" s="2"/>
      <c r="BI78" s="2"/>
      <c r="BJ78" s="2"/>
      <c r="BK78" s="2"/>
    </row>
    <row r="79" spans="1:63" outlineLevel="1">
      <c r="A79" s="4" t="s">
        <v>1561</v>
      </c>
      <c r="C79" s="230">
        <f t="shared" si="37"/>
        <v>0</v>
      </c>
      <c r="D79" s="230">
        <f t="shared" si="36"/>
        <v>7.3000848693370915E-4</v>
      </c>
      <c r="E79" s="230">
        <f t="shared" si="36"/>
        <v>1.589153358378216E-3</v>
      </c>
      <c r="F79" s="230">
        <f t="shared" si="36"/>
        <v>2.5783546819634928E-3</v>
      </c>
      <c r="G79" s="230">
        <f t="shared" si="36"/>
        <v>3.6967239081454085E-3</v>
      </c>
      <c r="H79" s="230">
        <f t="shared" si="36"/>
        <v>4.9414922112433774E-3</v>
      </c>
      <c r="I79" s="230">
        <f t="shared" si="36"/>
        <v>6.3215814418264649E-3</v>
      </c>
      <c r="J79" s="230">
        <f t="shared" si="36"/>
        <v>7.840062656873566E-3</v>
      </c>
      <c r="K79" s="230">
        <f t="shared" si="36"/>
        <v>9.4997048024208341E-3</v>
      </c>
      <c r="L79" s="230">
        <f t="shared" si="36"/>
        <v>1.1302955186268284E-2</v>
      </c>
      <c r="M79" s="230">
        <f t="shared" si="36"/>
        <v>1.32519205887692E-2</v>
      </c>
      <c r="N79" s="230">
        <f t="shared" si="36"/>
        <v>1.5867100853025673E-2</v>
      </c>
      <c r="O79" s="230">
        <f t="shared" si="36"/>
        <v>1.8707901064119067E-2</v>
      </c>
      <c r="P79" s="230">
        <f t="shared" si="36"/>
        <v>2.1763398666841863E-2</v>
      </c>
      <c r="Q79" s="230">
        <f t="shared" si="36"/>
        <v>2.5019947314593782E-2</v>
      </c>
      <c r="R79" s="230">
        <f t="shared" si="36"/>
        <v>2.8461255846593734E-2</v>
      </c>
      <c r="S79" s="230">
        <f t="shared" si="36"/>
        <v>3.212628411580315E-2</v>
      </c>
      <c r="T79" s="230">
        <f t="shared" si="36"/>
        <v>3.6014615966977123E-2</v>
      </c>
      <c r="U79" s="230">
        <f t="shared" si="36"/>
        <v>4.0125581039096886E-2</v>
      </c>
      <c r="V79" s="230">
        <f t="shared" si="36"/>
        <v>4.4458250714756335E-2</v>
      </c>
      <c r="W79" s="230">
        <f t="shared" si="36"/>
        <v>4.9011434279512232E-2</v>
      </c>
      <c r="X79" s="230">
        <f t="shared" si="36"/>
        <v>5.551822189714712E-2</v>
      </c>
      <c r="Y79" s="230">
        <f t="shared" si="36"/>
        <v>6.241301770604394E-2</v>
      </c>
      <c r="Z79" s="230">
        <f t="shared" si="36"/>
        <v>6.9693666500138016E-2</v>
      </c>
      <c r="AA79" s="230">
        <f t="shared" si="36"/>
        <v>7.7357564259317335E-2</v>
      </c>
      <c r="AB79" s="230">
        <f t="shared" si="36"/>
        <v>8.5401652431034369E-2</v>
      </c>
      <c r="AC79" s="230">
        <f t="shared" si="36"/>
        <v>9.3823299584741324E-2</v>
      </c>
      <c r="AD79" s="230">
        <f t="shared" si="36"/>
        <v>0.1026187730903263</v>
      </c>
      <c r="AE79" s="230">
        <f t="shared" si="36"/>
        <v>0.11178389218203783</v>
      </c>
      <c r="AF79" s="230">
        <f t="shared" si="36"/>
        <v>0.12131402331414028</v>
      </c>
      <c r="AG79" s="230">
        <f t="shared" si="36"/>
        <v>0.13120407584604418</v>
      </c>
      <c r="AH79" s="245"/>
      <c r="AI79" s="133"/>
      <c r="AJ79" s="211"/>
      <c r="AL79" s="108"/>
      <c r="AM79" s="2"/>
      <c r="AN79" s="2"/>
      <c r="AO79" s="2"/>
      <c r="BC79" s="1"/>
      <c r="BD79" s="2"/>
      <c r="BE79" s="2"/>
      <c r="BF79" s="2"/>
      <c r="BG79" s="2"/>
      <c r="BH79" s="2"/>
      <c r="BI79" s="2"/>
      <c r="BJ79" s="2"/>
      <c r="BK79" s="2"/>
    </row>
    <row r="80" spans="1:63" s="1" customFormat="1" outlineLevel="1">
      <c r="A80" s="1" t="s">
        <v>1563</v>
      </c>
      <c r="B80" s="65"/>
      <c r="C80" s="300">
        <f>C42*C67</f>
        <v>3.2916733560927877E-2</v>
      </c>
      <c r="D80" s="300">
        <f t="shared" ref="D80:AG80" si="38">D42*D67</f>
        <v>3.4286012073577642E-2</v>
      </c>
      <c r="E80" s="300">
        <f t="shared" si="38"/>
        <v>3.5563703230906317E-2</v>
      </c>
      <c r="F80" s="300">
        <f t="shared" si="38"/>
        <v>3.6737713430871385E-2</v>
      </c>
      <c r="G80" s="300">
        <f t="shared" si="38"/>
        <v>3.7796753059384944E-2</v>
      </c>
      <c r="H80" s="300">
        <f t="shared" si="38"/>
        <v>3.8730508716981076E-2</v>
      </c>
      <c r="I80" s="300">
        <f t="shared" si="38"/>
        <v>3.9615086388305784E-2</v>
      </c>
      <c r="J80" s="300">
        <f t="shared" si="38"/>
        <v>4.0447304897489669E-2</v>
      </c>
      <c r="K80" s="300">
        <f t="shared" si="38"/>
        <v>4.1224054073727756E-2</v>
      </c>
      <c r="L80" s="300">
        <f t="shared" si="38"/>
        <v>4.1942306589352017E-2</v>
      </c>
      <c r="M80" s="300">
        <f t="shared" si="38"/>
        <v>4.2599129772902283E-2</v>
      </c>
      <c r="N80" s="300">
        <f t="shared" si="38"/>
        <v>4.4542378628056607E-2</v>
      </c>
      <c r="O80" s="300">
        <f t="shared" si="38"/>
        <v>4.6311022041697812E-2</v>
      </c>
      <c r="P80" s="300">
        <f t="shared" si="38"/>
        <v>4.7891756003987172E-2</v>
      </c>
      <c r="Q80" s="300">
        <f t="shared" si="38"/>
        <v>4.9272879288657735E-2</v>
      </c>
      <c r="R80" s="300">
        <f t="shared" si="38"/>
        <v>5.0444435999873069E-2</v>
      </c>
      <c r="S80" s="300">
        <f t="shared" si="38"/>
        <v>5.1490939000062748E-2</v>
      </c>
      <c r="T80" s="300">
        <f t="shared" si="38"/>
        <v>5.2410918785596984E-2</v>
      </c>
      <c r="U80" s="300">
        <f t="shared" si="38"/>
        <v>5.3203026191244555E-2</v>
      </c>
      <c r="V80" s="300">
        <f t="shared" si="38"/>
        <v>5.3866035616482816E-2</v>
      </c>
      <c r="W80" s="300">
        <f t="shared" si="38"/>
        <v>5.4398848164430871E-2</v>
      </c>
      <c r="X80" s="300">
        <f t="shared" si="38"/>
        <v>5.5969765372503491E-2</v>
      </c>
      <c r="Y80" s="300">
        <f t="shared" si="38"/>
        <v>5.7339406607623593E-2</v>
      </c>
      <c r="Z80" s="300">
        <f t="shared" si="38"/>
        <v>5.8506213478463215E-2</v>
      </c>
      <c r="AA80" s="300">
        <f t="shared" si="38"/>
        <v>5.9468824490474047E-2</v>
      </c>
      <c r="AB80" s="300">
        <f t="shared" si="38"/>
        <v>6.0226079332265155E-2</v>
      </c>
      <c r="AC80" s="300">
        <f t="shared" si="38"/>
        <v>6.0777597622853868E-2</v>
      </c>
      <c r="AD80" s="300">
        <f t="shared" si="38"/>
        <v>6.112264424636478E-2</v>
      </c>
      <c r="AE80" s="300">
        <f t="shared" si="38"/>
        <v>6.1260685514085186E-2</v>
      </c>
      <c r="AF80" s="300">
        <f t="shared" si="38"/>
        <v>6.119139279811521E-2</v>
      </c>
      <c r="AG80" s="300">
        <f t="shared" si="38"/>
        <v>6.0914646030679538E-2</v>
      </c>
      <c r="AH80" s="245"/>
      <c r="AI80" s="423"/>
      <c r="AJ80" s="424"/>
      <c r="AL80" s="221"/>
      <c r="AM80" s="124"/>
      <c r="AN80" s="124"/>
      <c r="AO80" s="124"/>
      <c r="BD80" s="124"/>
      <c r="BE80" s="124"/>
      <c r="BF80" s="124"/>
      <c r="BG80" s="124"/>
      <c r="BH80" s="124"/>
      <c r="BI80" s="124"/>
      <c r="BJ80" s="124"/>
      <c r="BK80" s="124"/>
    </row>
    <row r="81" spans="1:63" outlineLevel="1">
      <c r="A81" s="4" t="s">
        <v>474</v>
      </c>
      <c r="C81" s="230">
        <f>C$80*'Methanol recycling rates'!E36</f>
        <v>3.2916733560927877E-2</v>
      </c>
      <c r="D81" s="230">
        <f>D$80*'Methanol recycling rates'!F36</f>
        <v>3.3890607845208129E-2</v>
      </c>
      <c r="E81" s="230">
        <f>E$80*'Methanol recycling rates'!G36</f>
        <v>3.4743424768435859E-2</v>
      </c>
      <c r="F81" s="230">
        <f>F$80*'Methanol recycling rates'!H36</f>
        <v>3.5466677837695304E-2</v>
      </c>
      <c r="G81" s="230">
        <f>G$80*'Methanol recycling rates'!I36</f>
        <v>3.6053185338969132E-2</v>
      </c>
      <c r="H81" s="230">
        <f>H$80*'Methanol recycling rates'!J36</f>
        <v>3.6497206272717152E-2</v>
      </c>
      <c r="I81" s="230">
        <f>I$80*'Methanol recycling rates'!K36</f>
        <v>3.6873914980290488E-2</v>
      </c>
      <c r="J81" s="230">
        <f>J$80*'Methanol recycling rates'!L36</f>
        <v>3.7182088533507712E-2</v>
      </c>
      <c r="K81" s="230">
        <f>K$80*'Methanol recycling rates'!M36</f>
        <v>3.7420715206249004E-2</v>
      </c>
      <c r="L81" s="230">
        <f>L$80*'Methanol recycling rates'!N36</f>
        <v>3.7589000989485317E-2</v>
      </c>
      <c r="M81" s="230">
        <f>M$80*'Methanol recycling rates'!O36</f>
        <v>3.7686375265052162E-2</v>
      </c>
      <c r="N81" s="230">
        <f>N$80*'Methanol recycling rates'!P36</f>
        <v>3.8891832482674922E-2</v>
      </c>
      <c r="O81" s="230">
        <f>O$80*'Methanol recycling rates'!Q36</f>
        <v>3.9902026829502987E-2</v>
      </c>
      <c r="P81" s="230">
        <f>P$80*'Methanol recycling rates'!R36</f>
        <v>4.0711689794013947E-2</v>
      </c>
      <c r="Q81" s="230">
        <f>Q$80*'Methanol recycling rates'!S36</f>
        <v>4.1317510585522306E-2</v>
      </c>
      <c r="R81" s="230">
        <f>R$80*'Methanol recycling rates'!T36</f>
        <v>4.1718161601470634E-2</v>
      </c>
      <c r="S81" s="230">
        <f>S$80*'Methanol recycling rates'!U36</f>
        <v>4.1989811853680309E-2</v>
      </c>
      <c r="T81" s="230">
        <f>T$80*'Methanol recycling rates'!V36</f>
        <v>4.2135606493417216E-2</v>
      </c>
      <c r="U81" s="230">
        <f>U$80*'Methanol recycling rates'!W36</f>
        <v>4.2158853818187757E-2</v>
      </c>
      <c r="V81" s="230">
        <f>V$80*'Methanol recycling rates'!X36</f>
        <v>4.2063020852079622E-2</v>
      </c>
      <c r="W81" s="230">
        <f>W$80*'Methanol recycling rates'!Y36</f>
        <v>4.1851728635634244E-2</v>
      </c>
      <c r="X81" s="230">
        <f>X$80*'Methanol recycling rates'!Z36</f>
        <v>4.2414840446427279E-2</v>
      </c>
      <c r="Y81" s="230">
        <f>Y$80*'Methanol recycling rates'!AA36</f>
        <v>4.2791509842133015E-2</v>
      </c>
      <c r="Z81" s="230">
        <f>Z$80*'Methanol recycling rates'!AB36</f>
        <v>4.2987555451117494E-2</v>
      </c>
      <c r="AA81" s="230">
        <f>AA$80*'Methanol recycling rates'!AC36</f>
        <v>4.3009010190062653E-2</v>
      </c>
      <c r="AB81" s="230">
        <f>AB$80*'Methanol recycling rates'!AD36</f>
        <v>4.2862112960941869E-2</v>
      </c>
      <c r="AC81" s="230">
        <f>AC$80*'Methanol recycling rates'!AE36</f>
        <v>4.2553702262705828E-2</v>
      </c>
      <c r="AD81" s="230">
        <f>AD$80*'Methanol recycling rates'!AF36</f>
        <v>4.2090389863108341E-2</v>
      </c>
      <c r="AE81" s="230">
        <f>AE$80*'Methanol recycling rates'!AG36</f>
        <v>4.1478957825053626E-2</v>
      </c>
      <c r="AF81" s="230">
        <f>AF$80*'Methanol recycling rates'!AH36</f>
        <v>4.0726349310179849E-2</v>
      </c>
      <c r="AG81" s="230">
        <f>AG$80*'Methanol recycling rates'!AI36</f>
        <v>3.9839659043151177E-2</v>
      </c>
      <c r="AH81" s="245"/>
      <c r="AI81" s="133"/>
      <c r="AJ81" s="211"/>
      <c r="AL81" s="108"/>
      <c r="AM81" s="2"/>
      <c r="AN81" s="2"/>
      <c r="AO81" s="2"/>
      <c r="BC81" s="1"/>
      <c r="BD81" s="2"/>
      <c r="BE81" s="2"/>
      <c r="BF81" s="2"/>
      <c r="BG81" s="2"/>
      <c r="BH81" s="2"/>
      <c r="BI81" s="2"/>
      <c r="BJ81" s="2"/>
      <c r="BK81" s="2"/>
    </row>
    <row r="82" spans="1:63" outlineLevel="1">
      <c r="A82" s="4" t="s">
        <v>745</v>
      </c>
      <c r="C82" s="230">
        <f>C$80*'Methanol recycling rates'!E37</f>
        <v>0</v>
      </c>
      <c r="D82" s="230">
        <f>D$80*'Methanol recycling rates'!F37</f>
        <v>2.3411227181430408E-4</v>
      </c>
      <c r="E82" s="230">
        <f>E$80*'Methanol recycling rates'!G37</f>
        <v>4.8567324421690326E-4</v>
      </c>
      <c r="F82" s="230">
        <f>F$80*'Methanol recycling rates'!H37</f>
        <v>7.5255904951328234E-4</v>
      </c>
      <c r="G82" s="230">
        <f>G$80*'Methanol recycling rates'!I37</f>
        <v>1.0323374683468718E-3</v>
      </c>
      <c r="H82" s="230">
        <f>H$80*'Methanol recycling rates'!J37</f>
        <v>1.3223012587170804E-3</v>
      </c>
      <c r="I82" s="230">
        <f>I$80*'Methanol recycling rates'!K37</f>
        <v>1.6230020311344586E-3</v>
      </c>
      <c r="J82" s="230">
        <f>J$80*'Methanol recycling rates'!L37</f>
        <v>1.9332803396899505E-3</v>
      </c>
      <c r="K82" s="230">
        <f>K$80*'Methanol recycling rates'!M37</f>
        <v>2.2518937301626079E-3</v>
      </c>
      <c r="L82" s="230">
        <f>L$80*'Methanol recycling rates'!N37</f>
        <v>2.5775198917050912E-3</v>
      </c>
      <c r="M82" s="230">
        <f>M$80*'Methanol recycling rates'!O37</f>
        <v>2.9087602918194564E-3</v>
      </c>
      <c r="N82" s="230">
        <f>N$80*'Methanol recycling rates'!P37</f>
        <v>3.3455944579596666E-3</v>
      </c>
      <c r="O82" s="230">
        <f>O$80*'Methanol recycling rates'!Q37</f>
        <v>3.7946595446413569E-3</v>
      </c>
      <c r="P82" s="230">
        <f>P$80*'Methanol recycling rates'!R37</f>
        <v>4.2511978668651786E-3</v>
      </c>
      <c r="Q82" s="230">
        <f>Q$80*'Methanol recycling rates'!S37</f>
        <v>4.7102415871763201E-3</v>
      </c>
      <c r="R82" s="230">
        <f>R$80*'Methanol recycling rates'!T37</f>
        <v>5.1666820365305509E-3</v>
      </c>
      <c r="S82" s="230">
        <f>S$80*'Methanol recycling rates'!U37</f>
        <v>5.6254594701942865E-3</v>
      </c>
      <c r="T82" s="230">
        <f>T$80*'Methanol recycling rates'!V37</f>
        <v>6.0838416277015205E-3</v>
      </c>
      <c r="U82" s="230">
        <f>U$80*'Methanol recycling rates'!W37</f>
        <v>6.5390709027745141E-3</v>
      </c>
      <c r="V82" s="230">
        <f>V$80*'Methanol recycling rates'!X37</f>
        <v>6.9883688703751088E-3</v>
      </c>
      <c r="W82" s="230">
        <f>W$80*'Methanol recycling rates'!Y37</f>
        <v>7.4289409340031129E-3</v>
      </c>
      <c r="X82" s="230">
        <f>X$80*'Methanol recycling rates'!Z37</f>
        <v>8.0256457595350959E-3</v>
      </c>
      <c r="Y82" s="230">
        <f>Y$80*'Methanol recycling rates'!AA37</f>
        <v>8.6135678819957602E-3</v>
      </c>
      <c r="Z82" s="230">
        <f>Z$80*'Methanol recycling rates'!AB37</f>
        <v>9.188339490633796E-3</v>
      </c>
      <c r="AA82" s="230">
        <f>AA$80*'Methanol recycling rates'!AC37</f>
        <v>9.7455824774583585E-3</v>
      </c>
      <c r="AB82" s="230">
        <f>AB$80*'Methanol recycling rates'!AD37</f>
        <v>1.0280915891214817E-2</v>
      </c>
      <c r="AC82" s="230">
        <f>AC$80*'Methanol recycling rates'!AE37</f>
        <v>1.0790065553075798E-2</v>
      </c>
      <c r="AD82" s="230">
        <f>AD$80*'Methanol recycling rates'!AF37</f>
        <v>1.1268681495353086E-2</v>
      </c>
      <c r="AE82" s="230">
        <f>AE$80*'Methanol recycling rates'!AG37</f>
        <v>1.1712432183105515E-2</v>
      </c>
      <c r="AF82" s="230">
        <f>AF$80*'Methanol recycling rates'!AH37</f>
        <v>1.2117012110608151E-2</v>
      </c>
      <c r="AG82" s="230">
        <f>AG$80*'Methanol recycling rates'!AI37</f>
        <v>1.2478149519170798E-2</v>
      </c>
      <c r="AH82" s="245"/>
      <c r="AI82" s="133"/>
      <c r="AJ82" s="211"/>
      <c r="AL82" s="108"/>
      <c r="AM82" s="2"/>
      <c r="AN82" s="2"/>
      <c r="AO82" s="2"/>
      <c r="BC82" s="1"/>
      <c r="BD82" s="2"/>
      <c r="BE82" s="2"/>
      <c r="BF82" s="2"/>
      <c r="BG82" s="2"/>
      <c r="BH82" s="2"/>
      <c r="BI82" s="2"/>
      <c r="BJ82" s="2"/>
      <c r="BK82" s="2"/>
    </row>
    <row r="83" spans="1:63" outlineLevel="1">
      <c r="A83" s="4" t="s">
        <v>1561</v>
      </c>
      <c r="C83" s="230">
        <f>C$80*'Methanol recycling rates'!E38</f>
        <v>0</v>
      </c>
      <c r="D83" s="230">
        <f>D$80*'Methanol recycling rates'!F38</f>
        <v>1.6129195655521062E-4</v>
      </c>
      <c r="E83" s="230">
        <f>E$80*'Methanol recycling rates'!G38</f>
        <v>3.3460521825355566E-4</v>
      </c>
      <c r="F83" s="230">
        <f>F$80*'Methanol recycling rates'!H38</f>
        <v>5.1847654366280263E-4</v>
      </c>
      <c r="G83" s="230">
        <f>G$80*'Methanol recycling rates'!I38</f>
        <v>7.1123025206894046E-4</v>
      </c>
      <c r="H83" s="230">
        <f>H$80*'Methanol recycling rates'!J38</f>
        <v>9.1100118554684258E-4</v>
      </c>
      <c r="I83" s="230">
        <f>I$80*'Methanol recycling rates'!K38</f>
        <v>1.1181693768808378E-3</v>
      </c>
      <c r="J83" s="230">
        <f>J$80*'Methanol recycling rates'!L38</f>
        <v>1.3319360242920091E-3</v>
      </c>
      <c r="K83" s="230">
        <f>K$80*'Methanol recycling rates'!M38</f>
        <v>1.5514451373161489E-3</v>
      </c>
      <c r="L83" s="230">
        <f>L$80*'Methanol recycling rates'!N38</f>
        <v>1.7757857081616168E-3</v>
      </c>
      <c r="M83" s="230">
        <f>M$80*'Methanol recycling rates'!O38</f>
        <v>2.003994216030671E-3</v>
      </c>
      <c r="N83" s="230">
        <f>N$80*'Methanol recycling rates'!P38</f>
        <v>2.3049516874220259E-3</v>
      </c>
      <c r="O83" s="230">
        <f>O$80*'Methanol recycling rates'!Q38</f>
        <v>2.6143356675534754E-3</v>
      </c>
      <c r="P83" s="230">
        <f>P$80*'Methanol recycling rates'!R38</f>
        <v>2.9288683431080527E-3</v>
      </c>
      <c r="Q83" s="230">
        <f>Q$80*'Methanol recycling rates'!S38</f>
        <v>3.2451271159591177E-3</v>
      </c>
      <c r="R83" s="230">
        <f>R$80*'Methanol recycling rates'!T38</f>
        <v>3.559592361871893E-3</v>
      </c>
      <c r="S83" s="230">
        <f>S$80*'Methanol recycling rates'!U38</f>
        <v>3.8756676761881634E-3</v>
      </c>
      <c r="T83" s="230">
        <f>T$80*'Methanol recycling rates'!V38</f>
        <v>4.1914706644782598E-3</v>
      </c>
      <c r="U83" s="230">
        <f>U$80*'Methanol recycling rates'!W38</f>
        <v>4.5051014702822941E-3</v>
      </c>
      <c r="V83" s="230">
        <f>V$80*'Methanol recycling rates'!X38</f>
        <v>4.8146458940280974E-3</v>
      </c>
      <c r="W83" s="230">
        <f>W$80*'Methanol recycling rates'!Y38</f>
        <v>5.1181785947935331E-3</v>
      </c>
      <c r="X83" s="230">
        <f>X$80*'Methanol recycling rates'!Z38</f>
        <v>5.5292791665411305E-3</v>
      </c>
      <c r="Y83" s="230">
        <f>Y$80*'Methanol recycling rates'!AA38</f>
        <v>5.9343288834948354E-3</v>
      </c>
      <c r="Z83" s="230">
        <f>Z$80*'Methanol recycling rates'!AB38</f>
        <v>6.3303185367119394E-3</v>
      </c>
      <c r="AA83" s="230">
        <f>AA$80*'Methanol recycling rates'!AC38</f>
        <v>6.7142318229530566E-3</v>
      </c>
      <c r="AB83" s="230">
        <f>AB$80*'Methanol recycling rates'!AD38</f>
        <v>7.083050480108489E-3</v>
      </c>
      <c r="AC83" s="230">
        <f>AC$80*'Methanol recycling rates'!AE38</f>
        <v>7.4338298070722635E-3</v>
      </c>
      <c r="AD83" s="230">
        <f>AD$80*'Methanol recycling rates'!AF38</f>
        <v>7.7635728879033748E-3</v>
      </c>
      <c r="AE83" s="230">
        <f>AE$80*'Methanol recycling rates'!AG38</f>
        <v>8.069295505926069E-3</v>
      </c>
      <c r="AF83" s="230">
        <f>AF$80*'Methanol recycling rates'!AH38</f>
        <v>8.3480313773272308E-3</v>
      </c>
      <c r="AG83" s="230">
        <f>AG$80*'Methanol recycling rates'!AI38</f>
        <v>8.5968374683575589E-3</v>
      </c>
      <c r="AH83" s="245"/>
      <c r="AI83" s="133"/>
      <c r="AJ83" s="211"/>
      <c r="AL83" s="108"/>
      <c r="AM83" s="2"/>
      <c r="AN83" s="2"/>
      <c r="AO83" s="2"/>
      <c r="BC83" s="1"/>
      <c r="BD83" s="2"/>
      <c r="BE83" s="2"/>
      <c r="BF83" s="2"/>
      <c r="BG83" s="2"/>
      <c r="BH83" s="2"/>
      <c r="BI83" s="2"/>
      <c r="BJ83" s="2"/>
      <c r="BK83" s="2"/>
    </row>
    <row r="84" spans="1:63" s="1" customFormat="1" outlineLevel="1">
      <c r="A84" s="1" t="s">
        <v>1564</v>
      </c>
      <c r="B84" s="65"/>
      <c r="C84" s="300">
        <f>C80-$C80</f>
        <v>0</v>
      </c>
      <c r="D84" s="300">
        <f t="shared" ref="D84:AG84" si="39">D80-$C80</f>
        <v>1.3692785126497645E-3</v>
      </c>
      <c r="E84" s="300">
        <f t="shared" si="39"/>
        <v>2.6469696699784398E-3</v>
      </c>
      <c r="F84" s="300">
        <f t="shared" si="39"/>
        <v>3.8209798699435082E-3</v>
      </c>
      <c r="G84" s="300">
        <f t="shared" si="39"/>
        <v>4.8800194984570666E-3</v>
      </c>
      <c r="H84" s="300">
        <f t="shared" si="39"/>
        <v>5.8137751560531983E-3</v>
      </c>
      <c r="I84" s="300">
        <f t="shared" si="39"/>
        <v>6.6983528273779069E-3</v>
      </c>
      <c r="J84" s="300">
        <f t="shared" si="39"/>
        <v>7.5305713365617921E-3</v>
      </c>
      <c r="K84" s="300">
        <f t="shared" si="39"/>
        <v>8.3073205127998789E-3</v>
      </c>
      <c r="L84" s="300">
        <f t="shared" si="39"/>
        <v>9.0255730284241401E-3</v>
      </c>
      <c r="M84" s="300">
        <f t="shared" si="39"/>
        <v>9.6823962119744061E-3</v>
      </c>
      <c r="N84" s="300">
        <f t="shared" si="39"/>
        <v>1.162564506712873E-2</v>
      </c>
      <c r="O84" s="300">
        <f t="shared" si="39"/>
        <v>1.3394288480769935E-2</v>
      </c>
      <c r="P84" s="300">
        <f t="shared" si="39"/>
        <v>1.4975022443059295E-2</v>
      </c>
      <c r="Q84" s="300">
        <f t="shared" si="39"/>
        <v>1.6356145727729858E-2</v>
      </c>
      <c r="R84" s="300">
        <f t="shared" si="39"/>
        <v>1.7527702438945192E-2</v>
      </c>
      <c r="S84" s="300">
        <f t="shared" si="39"/>
        <v>1.8574205439134871E-2</v>
      </c>
      <c r="T84" s="300">
        <f t="shared" si="39"/>
        <v>1.9494185224669107E-2</v>
      </c>
      <c r="U84" s="300">
        <f t="shared" si="39"/>
        <v>2.0286292630316678E-2</v>
      </c>
      <c r="V84" s="300">
        <f t="shared" si="39"/>
        <v>2.0949302055554939E-2</v>
      </c>
      <c r="W84" s="300">
        <f t="shared" si="39"/>
        <v>2.1482114603502994E-2</v>
      </c>
      <c r="X84" s="300">
        <f t="shared" si="39"/>
        <v>2.3053031811575614E-2</v>
      </c>
      <c r="Y84" s="300">
        <f t="shared" si="39"/>
        <v>2.4422673046695716E-2</v>
      </c>
      <c r="Z84" s="300">
        <f t="shared" si="39"/>
        <v>2.5589479917535338E-2</v>
      </c>
      <c r="AA84" s="300">
        <f t="shared" si="39"/>
        <v>2.655209092954617E-2</v>
      </c>
      <c r="AB84" s="300">
        <f t="shared" si="39"/>
        <v>2.7309345771337278E-2</v>
      </c>
      <c r="AC84" s="300">
        <f t="shared" si="39"/>
        <v>2.7860864061925991E-2</v>
      </c>
      <c r="AD84" s="300">
        <f t="shared" si="39"/>
        <v>2.8205910685436902E-2</v>
      </c>
      <c r="AE84" s="300">
        <f t="shared" si="39"/>
        <v>2.8343951953157309E-2</v>
      </c>
      <c r="AF84" s="300">
        <f t="shared" si="39"/>
        <v>2.8274659237187333E-2</v>
      </c>
      <c r="AG84" s="300">
        <f t="shared" si="39"/>
        <v>2.7997912469751661E-2</v>
      </c>
      <c r="AH84" s="245"/>
      <c r="AI84" s="423"/>
      <c r="AJ84" s="424"/>
      <c r="AL84" s="221"/>
      <c r="AM84" s="124"/>
      <c r="AN84" s="124"/>
      <c r="AO84" s="124"/>
      <c r="BD84" s="124"/>
      <c r="BE84" s="124"/>
      <c r="BF84" s="124"/>
      <c r="BG84" s="124"/>
      <c r="BH84" s="124"/>
      <c r="BI84" s="124"/>
      <c r="BJ84" s="124"/>
      <c r="BK84" s="124"/>
    </row>
    <row r="85" spans="1:63" outlineLevel="1">
      <c r="A85" s="4" t="s">
        <v>474</v>
      </c>
      <c r="C85" s="230">
        <f t="shared" ref="C85:AF87" si="40">C81-$C81</f>
        <v>0</v>
      </c>
      <c r="D85" s="230">
        <f t="shared" si="40"/>
        <v>9.7387428428025169E-4</v>
      </c>
      <c r="E85" s="230">
        <f t="shared" si="40"/>
        <v>1.8266912075079814E-3</v>
      </c>
      <c r="F85" s="230">
        <f t="shared" si="40"/>
        <v>2.5499442767674269E-3</v>
      </c>
      <c r="G85" s="230">
        <f t="shared" si="40"/>
        <v>3.1364517780412549E-3</v>
      </c>
      <c r="H85" s="230">
        <f t="shared" si="40"/>
        <v>3.5804727117892746E-3</v>
      </c>
      <c r="I85" s="230">
        <f t="shared" si="40"/>
        <v>3.9571814193626112E-3</v>
      </c>
      <c r="J85" s="230">
        <f t="shared" si="40"/>
        <v>4.2653549725798351E-3</v>
      </c>
      <c r="K85" s="230">
        <f t="shared" si="40"/>
        <v>4.503981645321127E-3</v>
      </c>
      <c r="L85" s="230">
        <f t="shared" si="40"/>
        <v>4.6722674285574403E-3</v>
      </c>
      <c r="M85" s="230">
        <f t="shared" si="40"/>
        <v>4.7696417041242847E-3</v>
      </c>
      <c r="N85" s="230">
        <f t="shared" si="40"/>
        <v>5.9750989217470449E-3</v>
      </c>
      <c r="O85" s="230">
        <f t="shared" si="40"/>
        <v>6.9852932685751101E-3</v>
      </c>
      <c r="P85" s="230">
        <f t="shared" si="40"/>
        <v>7.79495623308607E-3</v>
      </c>
      <c r="Q85" s="230">
        <f t="shared" si="40"/>
        <v>8.4007770245944288E-3</v>
      </c>
      <c r="R85" s="230">
        <f t="shared" si="40"/>
        <v>8.8014280405427567E-3</v>
      </c>
      <c r="S85" s="230">
        <f t="shared" si="40"/>
        <v>9.0730782927524317E-3</v>
      </c>
      <c r="T85" s="230">
        <f t="shared" si="40"/>
        <v>9.2188729324893387E-3</v>
      </c>
      <c r="U85" s="230">
        <f t="shared" si="40"/>
        <v>9.2421202572598796E-3</v>
      </c>
      <c r="V85" s="230">
        <f t="shared" si="40"/>
        <v>9.1462872911517445E-3</v>
      </c>
      <c r="W85" s="230">
        <f t="shared" si="40"/>
        <v>8.9349950747063672E-3</v>
      </c>
      <c r="X85" s="230">
        <f t="shared" si="40"/>
        <v>9.4981068854994022E-3</v>
      </c>
      <c r="Y85" s="230">
        <f t="shared" si="40"/>
        <v>9.8747762812051373E-3</v>
      </c>
      <c r="Z85" s="230">
        <f t="shared" si="40"/>
        <v>1.0070821890189617E-2</v>
      </c>
      <c r="AA85" s="230">
        <f t="shared" si="40"/>
        <v>1.0092276629134776E-2</v>
      </c>
      <c r="AB85" s="230">
        <f t="shared" si="40"/>
        <v>9.9453794000139914E-3</v>
      </c>
      <c r="AC85" s="230">
        <f t="shared" si="40"/>
        <v>9.636968701777951E-3</v>
      </c>
      <c r="AD85" s="230">
        <f t="shared" si="40"/>
        <v>9.1736563021804635E-3</v>
      </c>
      <c r="AE85" s="230">
        <f t="shared" si="40"/>
        <v>8.5622242641257493E-3</v>
      </c>
      <c r="AF85" s="230">
        <f t="shared" si="40"/>
        <v>7.8096157492519719E-3</v>
      </c>
      <c r="AG85" s="230">
        <f>AG81-$C81</f>
        <v>6.9229254822232994E-3</v>
      </c>
      <c r="AH85" s="245"/>
      <c r="AI85" s="133"/>
      <c r="AJ85" s="211"/>
      <c r="AL85" s="108"/>
      <c r="AM85" s="2"/>
      <c r="AN85" s="2"/>
      <c r="AO85" s="2"/>
      <c r="BC85" s="1"/>
      <c r="BD85" s="2"/>
      <c r="BE85" s="2"/>
      <c r="BF85" s="2"/>
      <c r="BG85" s="2"/>
      <c r="BH85" s="2"/>
      <c r="BI85" s="2"/>
      <c r="BJ85" s="2"/>
      <c r="BK85" s="2"/>
    </row>
    <row r="86" spans="1:63" outlineLevel="1">
      <c r="A86" s="4" t="s">
        <v>745</v>
      </c>
      <c r="C86" s="230">
        <f t="shared" si="40"/>
        <v>0</v>
      </c>
      <c r="D86" s="230">
        <f t="shared" si="40"/>
        <v>2.3411227181430408E-4</v>
      </c>
      <c r="E86" s="230">
        <f t="shared" si="40"/>
        <v>4.8567324421690326E-4</v>
      </c>
      <c r="F86" s="230">
        <f t="shared" si="40"/>
        <v>7.5255904951328234E-4</v>
      </c>
      <c r="G86" s="230">
        <f t="shared" si="40"/>
        <v>1.0323374683468718E-3</v>
      </c>
      <c r="H86" s="230">
        <f t="shared" si="40"/>
        <v>1.3223012587170804E-3</v>
      </c>
      <c r="I86" s="230">
        <f t="shared" si="40"/>
        <v>1.6230020311344586E-3</v>
      </c>
      <c r="J86" s="230">
        <f t="shared" si="40"/>
        <v>1.9332803396899505E-3</v>
      </c>
      <c r="K86" s="230">
        <f t="shared" si="40"/>
        <v>2.2518937301626079E-3</v>
      </c>
      <c r="L86" s="230">
        <f t="shared" si="40"/>
        <v>2.5775198917050912E-3</v>
      </c>
      <c r="M86" s="230">
        <f t="shared" si="40"/>
        <v>2.9087602918194564E-3</v>
      </c>
      <c r="N86" s="230">
        <f t="shared" si="40"/>
        <v>3.3455944579596666E-3</v>
      </c>
      <c r="O86" s="230">
        <f t="shared" si="40"/>
        <v>3.7946595446413569E-3</v>
      </c>
      <c r="P86" s="230">
        <f t="shared" si="40"/>
        <v>4.2511978668651786E-3</v>
      </c>
      <c r="Q86" s="230">
        <f t="shared" si="40"/>
        <v>4.7102415871763201E-3</v>
      </c>
      <c r="R86" s="230">
        <f t="shared" si="40"/>
        <v>5.1666820365305509E-3</v>
      </c>
      <c r="S86" s="230">
        <f t="shared" si="40"/>
        <v>5.6254594701942865E-3</v>
      </c>
      <c r="T86" s="230">
        <f t="shared" si="40"/>
        <v>6.0838416277015205E-3</v>
      </c>
      <c r="U86" s="230">
        <f t="shared" si="40"/>
        <v>6.5390709027745141E-3</v>
      </c>
      <c r="V86" s="230">
        <f t="shared" si="40"/>
        <v>6.9883688703751088E-3</v>
      </c>
      <c r="W86" s="230">
        <f t="shared" si="40"/>
        <v>7.4289409340031129E-3</v>
      </c>
      <c r="X86" s="230">
        <f t="shared" si="40"/>
        <v>8.0256457595350959E-3</v>
      </c>
      <c r="Y86" s="230">
        <f t="shared" si="40"/>
        <v>8.6135678819957602E-3</v>
      </c>
      <c r="Z86" s="230">
        <f t="shared" si="40"/>
        <v>9.188339490633796E-3</v>
      </c>
      <c r="AA86" s="230">
        <f t="shared" si="40"/>
        <v>9.7455824774583585E-3</v>
      </c>
      <c r="AB86" s="230">
        <f t="shared" si="40"/>
        <v>1.0280915891214817E-2</v>
      </c>
      <c r="AC86" s="230">
        <f t="shared" si="40"/>
        <v>1.0790065553075798E-2</v>
      </c>
      <c r="AD86" s="230">
        <f t="shared" si="40"/>
        <v>1.1268681495353086E-2</v>
      </c>
      <c r="AE86" s="230">
        <f t="shared" si="40"/>
        <v>1.1712432183105515E-2</v>
      </c>
      <c r="AF86" s="230">
        <f t="shared" si="40"/>
        <v>1.2117012110608151E-2</v>
      </c>
      <c r="AG86" s="230">
        <f t="shared" ref="AG86:AG87" si="41">AG82-$C82</f>
        <v>1.2478149519170798E-2</v>
      </c>
      <c r="AH86" s="245"/>
      <c r="AI86" s="133"/>
      <c r="AJ86" s="211"/>
      <c r="AL86" s="108"/>
      <c r="AM86" s="2"/>
      <c r="AN86" s="2"/>
      <c r="AO86" s="2"/>
      <c r="BC86" s="1"/>
      <c r="BD86" s="2"/>
      <c r="BE86" s="2"/>
      <c r="BF86" s="2"/>
      <c r="BG86" s="2"/>
      <c r="BH86" s="2"/>
      <c r="BI86" s="2"/>
      <c r="BJ86" s="2"/>
      <c r="BK86" s="2"/>
    </row>
    <row r="87" spans="1:63" outlineLevel="1">
      <c r="A87" s="4" t="s">
        <v>1561</v>
      </c>
      <c r="C87" s="230">
        <f t="shared" si="40"/>
        <v>0</v>
      </c>
      <c r="D87" s="230">
        <f t="shared" si="40"/>
        <v>1.6129195655521062E-4</v>
      </c>
      <c r="E87" s="230">
        <f t="shared" si="40"/>
        <v>3.3460521825355566E-4</v>
      </c>
      <c r="F87" s="230">
        <f t="shared" si="40"/>
        <v>5.1847654366280263E-4</v>
      </c>
      <c r="G87" s="230">
        <f t="shared" si="40"/>
        <v>7.1123025206894046E-4</v>
      </c>
      <c r="H87" s="230">
        <f t="shared" si="40"/>
        <v>9.1100118554684258E-4</v>
      </c>
      <c r="I87" s="230">
        <f t="shared" si="40"/>
        <v>1.1181693768808378E-3</v>
      </c>
      <c r="J87" s="230">
        <f t="shared" si="40"/>
        <v>1.3319360242920091E-3</v>
      </c>
      <c r="K87" s="230">
        <f t="shared" si="40"/>
        <v>1.5514451373161489E-3</v>
      </c>
      <c r="L87" s="230">
        <f t="shared" si="40"/>
        <v>1.7757857081616168E-3</v>
      </c>
      <c r="M87" s="230">
        <f t="shared" si="40"/>
        <v>2.003994216030671E-3</v>
      </c>
      <c r="N87" s="230">
        <f t="shared" si="40"/>
        <v>2.3049516874220259E-3</v>
      </c>
      <c r="O87" s="230">
        <f t="shared" si="40"/>
        <v>2.6143356675534754E-3</v>
      </c>
      <c r="P87" s="230">
        <f t="shared" si="40"/>
        <v>2.9288683431080527E-3</v>
      </c>
      <c r="Q87" s="230">
        <f t="shared" si="40"/>
        <v>3.2451271159591177E-3</v>
      </c>
      <c r="R87" s="230">
        <f t="shared" si="40"/>
        <v>3.559592361871893E-3</v>
      </c>
      <c r="S87" s="230">
        <f t="shared" si="40"/>
        <v>3.8756676761881634E-3</v>
      </c>
      <c r="T87" s="230">
        <f t="shared" si="40"/>
        <v>4.1914706644782598E-3</v>
      </c>
      <c r="U87" s="230">
        <f t="shared" si="40"/>
        <v>4.5051014702822941E-3</v>
      </c>
      <c r="V87" s="230">
        <f t="shared" si="40"/>
        <v>4.8146458940280974E-3</v>
      </c>
      <c r="W87" s="230">
        <f t="shared" si="40"/>
        <v>5.1181785947935331E-3</v>
      </c>
      <c r="X87" s="230">
        <f t="shared" si="40"/>
        <v>5.5292791665411305E-3</v>
      </c>
      <c r="Y87" s="230">
        <f t="shared" si="40"/>
        <v>5.9343288834948354E-3</v>
      </c>
      <c r="Z87" s="230">
        <f t="shared" si="40"/>
        <v>6.3303185367119394E-3</v>
      </c>
      <c r="AA87" s="230">
        <f t="shared" si="40"/>
        <v>6.7142318229530566E-3</v>
      </c>
      <c r="AB87" s="230">
        <f t="shared" si="40"/>
        <v>7.083050480108489E-3</v>
      </c>
      <c r="AC87" s="230">
        <f t="shared" si="40"/>
        <v>7.4338298070722635E-3</v>
      </c>
      <c r="AD87" s="230">
        <f t="shared" si="40"/>
        <v>7.7635728879033748E-3</v>
      </c>
      <c r="AE87" s="230">
        <f t="shared" si="40"/>
        <v>8.069295505926069E-3</v>
      </c>
      <c r="AF87" s="230">
        <f t="shared" si="40"/>
        <v>8.3480313773272308E-3</v>
      </c>
      <c r="AG87" s="230">
        <f t="shared" si="41"/>
        <v>8.5968374683575589E-3</v>
      </c>
      <c r="AH87" s="245"/>
      <c r="AI87" s="133"/>
      <c r="AJ87" s="211"/>
      <c r="AL87" s="108"/>
      <c r="AM87" s="2"/>
      <c r="AN87" s="2"/>
      <c r="AO87" s="2"/>
      <c r="BC87" s="1"/>
      <c r="BD87" s="2"/>
      <c r="BE87" s="2"/>
      <c r="BF87" s="2"/>
      <c r="BG87" s="2"/>
      <c r="BH87" s="2"/>
      <c r="BI87" s="2"/>
      <c r="BJ87" s="2"/>
      <c r="BK87" s="2"/>
    </row>
    <row r="88" spans="1:63" s="1" customFormat="1" outlineLevel="1">
      <c r="A88" s="1" t="s">
        <v>1565</v>
      </c>
      <c r="B88" s="65"/>
      <c r="C88" s="300">
        <f>C50*C69</f>
        <v>6.8305555721469736E-4</v>
      </c>
      <c r="D88" s="300">
        <f t="shared" ref="D88:AG88" si="42">D50*D69</f>
        <v>7.4938155655608781E-4</v>
      </c>
      <c r="E88" s="300">
        <f t="shared" si="42"/>
        <v>8.1783999035106147E-4</v>
      </c>
      <c r="F88" s="300">
        <f t="shared" si="42"/>
        <v>8.8835994992713329E-4</v>
      </c>
      <c r="G88" s="300">
        <f t="shared" si="42"/>
        <v>9.608705266118191E-4</v>
      </c>
      <c r="H88" s="300">
        <f t="shared" si="42"/>
        <v>1.0353008117326336E-3</v>
      </c>
      <c r="I88" s="300">
        <f t="shared" si="42"/>
        <v>1.1115798966170925E-3</v>
      </c>
      <c r="J88" s="300">
        <f t="shared" si="42"/>
        <v>1.1896368725927105E-3</v>
      </c>
      <c r="K88" s="300">
        <f t="shared" si="42"/>
        <v>1.2694008309870033E-3</v>
      </c>
      <c r="L88" s="300">
        <f t="shared" si="42"/>
        <v>1.3508008631274865E-3</v>
      </c>
      <c r="M88" s="300">
        <f t="shared" si="42"/>
        <v>1.4337660603416743E-3</v>
      </c>
      <c r="N88" s="300">
        <f t="shared" si="42"/>
        <v>1.623263380775679E-3</v>
      </c>
      <c r="O88" s="300">
        <f t="shared" si="42"/>
        <v>1.8225045272925566E-3</v>
      </c>
      <c r="P88" s="300">
        <f t="shared" si="42"/>
        <v>2.0311782000763615E-3</v>
      </c>
      <c r="Q88" s="300">
        <f t="shared" si="42"/>
        <v>2.2489730993111474E-3</v>
      </c>
      <c r="R88" s="300">
        <f t="shared" si="42"/>
        <v>2.4755779251809679E-3</v>
      </c>
      <c r="S88" s="300">
        <f t="shared" si="42"/>
        <v>2.7106813778698764E-3</v>
      </c>
      <c r="T88" s="300">
        <f t="shared" si="42"/>
        <v>2.9539721575619266E-3</v>
      </c>
      <c r="U88" s="300">
        <f t="shared" si="42"/>
        <v>3.2051389644411734E-3</v>
      </c>
      <c r="V88" s="300">
        <f t="shared" si="42"/>
        <v>3.4638704986916691E-3</v>
      </c>
      <c r="W88" s="300">
        <f t="shared" si="42"/>
        <v>3.7298554604974668E-3</v>
      </c>
      <c r="X88" s="300">
        <f t="shared" si="42"/>
        <v>4.2199422756508016E-3</v>
      </c>
      <c r="Y88" s="300">
        <f t="shared" si="42"/>
        <v>4.7346184826602246E-3</v>
      </c>
      <c r="Z88" s="300">
        <f t="shared" si="42"/>
        <v>5.2730048565708893E-3</v>
      </c>
      <c r="AA88" s="300">
        <f t="shared" si="42"/>
        <v>5.8342221724279461E-3</v>
      </c>
      <c r="AB88" s="300">
        <f t="shared" si="42"/>
        <v>6.4173912052765498E-3</v>
      </c>
      <c r="AC88" s="300">
        <f t="shared" si="42"/>
        <v>7.0216327301618467E-3</v>
      </c>
      <c r="AD88" s="300">
        <f t="shared" si="42"/>
        <v>7.6460675221289949E-3</v>
      </c>
      <c r="AE88" s="300">
        <f t="shared" si="42"/>
        <v>8.2898163562231397E-3</v>
      </c>
      <c r="AF88" s="300">
        <f t="shared" si="42"/>
        <v>8.952000007489436E-3</v>
      </c>
      <c r="AG88" s="300">
        <f t="shared" si="42"/>
        <v>9.6317392509730412E-3</v>
      </c>
      <c r="AH88" s="245"/>
      <c r="AI88" s="423"/>
      <c r="AJ88" s="424"/>
      <c r="AL88" s="221"/>
      <c r="AM88" s="124"/>
      <c r="AN88" s="124"/>
      <c r="AO88" s="124"/>
      <c r="BD88" s="124"/>
      <c r="BE88" s="124"/>
      <c r="BF88" s="124"/>
      <c r="BG88" s="124"/>
      <c r="BH88" s="124"/>
      <c r="BI88" s="124"/>
      <c r="BJ88" s="124"/>
      <c r="BK88" s="124"/>
    </row>
    <row r="89" spans="1:63" outlineLevel="1">
      <c r="A89" s="4" t="s">
        <v>474</v>
      </c>
      <c r="C89" s="230">
        <f>C$88*'Methanol recycling rates'!E44</f>
        <v>0</v>
      </c>
      <c r="D89" s="230">
        <f>D$88*'Methanol recycling rates'!F44</f>
        <v>1.2489692609268131E-5</v>
      </c>
      <c r="E89" s="230">
        <f>E$88*'Methanol recycling rates'!G44</f>
        <v>2.7261333011702048E-5</v>
      </c>
      <c r="F89" s="230">
        <f>F$88*'Methanol recycling rates'!H44</f>
        <v>4.4417997496356664E-5</v>
      </c>
      <c r="G89" s="230">
        <f>G$88*'Methanol recycling rates'!I44</f>
        <v>6.4058035107454611E-5</v>
      </c>
      <c r="H89" s="230">
        <f>H$88*'Methanol recycling rates'!J44</f>
        <v>8.6275067644386128E-5</v>
      </c>
      <c r="I89" s="230">
        <f>I$88*'Methanol recycling rates'!K44</f>
        <v>1.1115798966170925E-4</v>
      </c>
      <c r="J89" s="230">
        <f>J$88*'Methanol recycling rates'!L44</f>
        <v>1.3879096846914954E-4</v>
      </c>
      <c r="K89" s="230">
        <f>K$88*'Methanol recycling rates'!M44</f>
        <v>1.6925344413160043E-4</v>
      </c>
      <c r="L89" s="230">
        <f>L$88*'Methanol recycling rates'!N44</f>
        <v>2.0262012946912296E-4</v>
      </c>
      <c r="M89" s="230">
        <f>M$88*'Methanol recycling rates'!O44</f>
        <v>2.3896101005694572E-4</v>
      </c>
      <c r="N89" s="230">
        <f>N$88*'Methanol recycling rates'!P44</f>
        <v>2.9759828647554114E-4</v>
      </c>
      <c r="O89" s="230">
        <f>O$88*'Methanol recycling rates'!Q44</f>
        <v>3.6450090545851131E-4</v>
      </c>
      <c r="P89" s="230">
        <f>P$88*'Methanol recycling rates'!R44</f>
        <v>4.4008861001654497E-4</v>
      </c>
      <c r="Q89" s="230">
        <f>Q$88*'Methanol recycling rates'!S44</f>
        <v>5.2476038983926773E-4</v>
      </c>
      <c r="R89" s="230">
        <f>R$88*'Methanol recycling rates'!T44</f>
        <v>6.1889448129524187E-4</v>
      </c>
      <c r="S89" s="230">
        <f>S$88*'Methanol recycling rates'!U44</f>
        <v>7.2284836743196702E-4</v>
      </c>
      <c r="T89" s="230">
        <f>T$88*'Methanol recycling rates'!V44</f>
        <v>8.369587779758792E-4</v>
      </c>
      <c r="U89" s="230">
        <f>U$88*'Methanol recycling rates'!W44</f>
        <v>9.6154168933235194E-4</v>
      </c>
      <c r="V89" s="230">
        <f>V$88*'Methanol recycling rates'!X44</f>
        <v>1.0968923245856953E-3</v>
      </c>
      <c r="W89" s="230">
        <f>W$88*'Methanol recycling rates'!Y44</f>
        <v>1.2432851534991555E-3</v>
      </c>
      <c r="X89" s="230">
        <f>X$88*'Methanol recycling rates'!Z44</f>
        <v>1.4769797964777804E-3</v>
      </c>
      <c r="Y89" s="230">
        <f>Y$88*'Methanol recycling rates'!AA44</f>
        <v>1.7360267769754155E-3</v>
      </c>
      <c r="Z89" s="230">
        <f>Z$88*'Methanol recycling rates'!AB44</f>
        <v>2.0213185283521739E-3</v>
      </c>
      <c r="AA89" s="230">
        <f>AA$88*'Methanol recycling rates'!AC44</f>
        <v>2.3336888689711784E-3</v>
      </c>
      <c r="AB89" s="230">
        <f>AB$88*'Methanol recycling rates'!AD44</f>
        <v>2.6739130021985621E-3</v>
      </c>
      <c r="AC89" s="230">
        <f>AC$88*'Methanol recycling rates'!AE44</f>
        <v>3.0427075164034664E-3</v>
      </c>
      <c r="AD89" s="230">
        <f>AD$88*'Methanol recycling rates'!AF44</f>
        <v>3.4407303849580476E-3</v>
      </c>
      <c r="AE89" s="230">
        <f>AE$88*'Methanol recycling rates'!AG44</f>
        <v>3.868580966237465E-3</v>
      </c>
      <c r="AF89" s="230">
        <f>AF$88*'Methanol recycling rates'!AH44</f>
        <v>4.3268000036198939E-3</v>
      </c>
      <c r="AG89" s="230">
        <f>AG$88*'Methanol recycling rates'!AI44</f>
        <v>4.8158696254865206E-3</v>
      </c>
      <c r="AH89" s="245"/>
      <c r="AI89" s="133"/>
      <c r="AJ89" s="211"/>
      <c r="AL89" s="108"/>
      <c r="AM89" s="2"/>
      <c r="AN89" s="2"/>
      <c r="AO89" s="2"/>
      <c r="BC89" s="1"/>
      <c r="BD89" s="2"/>
      <c r="BE89" s="2"/>
      <c r="BF89" s="2"/>
      <c r="BG89" s="2"/>
      <c r="BH89" s="2"/>
      <c r="BI89" s="2"/>
      <c r="BJ89" s="2"/>
      <c r="BK89" s="2"/>
    </row>
    <row r="90" spans="1:63" outlineLevel="1">
      <c r="A90" s="4" t="s">
        <v>745</v>
      </c>
      <c r="C90" s="230">
        <f>C$88*'Methanol recycling rates'!E45</f>
        <v>6.8305555721469736E-4</v>
      </c>
      <c r="D90" s="230">
        <f>D$88*'Methanol recycling rates'!F45</f>
        <v>7.4073929639796479E-4</v>
      </c>
      <c r="E90" s="230">
        <f>E$88*'Methanol recycling rates'!G45</f>
        <v>7.9897647308807237E-4</v>
      </c>
      <c r="F90" s="230">
        <f>F$88*'Methanol recycling rates'!H45</f>
        <v>8.5762485483107667E-4</v>
      </c>
      <c r="G90" s="230">
        <f>G$88*'Methanol recycling rates'!I45</f>
        <v>9.1654548019666623E-4</v>
      </c>
      <c r="H90" s="230">
        <f>H$88*'Methanol recycling rates'!J45</f>
        <v>9.7560265877815995E-4</v>
      </c>
      <c r="I90" s="230">
        <f>I$88*'Methanol recycling rates'!K45</f>
        <v>1.0346639711925089E-3</v>
      </c>
      <c r="J90" s="230">
        <f>J$88*'Methanol recycling rates'!L45</f>
        <v>1.093600269080294E-3</v>
      </c>
      <c r="K90" s="230">
        <f>K$88*'Methanol recycling rates'!M45</f>
        <v>1.1522856751057292E-3</v>
      </c>
      <c r="L90" s="230">
        <f>L$88*'Methanol recycling rates'!N45</f>
        <v>1.210597582956659E-3</v>
      </c>
      <c r="M90" s="230">
        <f>M$88*'Methanol recycling rates'!O45</f>
        <v>1.2684166573445582E-3</v>
      </c>
      <c r="N90" s="230">
        <f>N$88*'Methanol recycling rates'!P45</f>
        <v>1.4173398328714874E-3</v>
      </c>
      <c r="O90" s="230">
        <f>O$88*'Methanol recycling rates'!Q45</f>
        <v>1.5702876192073821E-3</v>
      </c>
      <c r="P90" s="230">
        <f>P$88*'Methanol recycling rates'!R45</f>
        <v>1.7266582747767266E-3</v>
      </c>
      <c r="Q90" s="230">
        <f>Q$88*'Methanol recycling rates'!S45</f>
        <v>1.8858644182933556E-3</v>
      </c>
      <c r="R90" s="230">
        <f>R$88*'Methanol recycling rates'!T45</f>
        <v>2.0473330287604538E-3</v>
      </c>
      <c r="S90" s="230">
        <f>S$88*'Methanol recycling rates'!U45</f>
        <v>2.2105054454705573E-3</v>
      </c>
      <c r="T90" s="230">
        <f>T$88*'Methanol recycling rates'!V45</f>
        <v>2.3748373680055538E-3</v>
      </c>
      <c r="U90" s="230">
        <f>U$88*'Methanol recycling rates'!W45</f>
        <v>2.5397988562366812E-3</v>
      </c>
      <c r="V90" s="230">
        <f>V$88*'Methanol recycling rates'!X45</f>
        <v>2.7048743303245281E-3</v>
      </c>
      <c r="W90" s="230">
        <f>W$88*'Methanol recycling rates'!Y45</f>
        <v>2.8695625707190323E-3</v>
      </c>
      <c r="X90" s="230">
        <f>X$88*'Methanol recycling rates'!Z45</f>
        <v>3.1979440528938558E-3</v>
      </c>
      <c r="Y90" s="230">
        <f>Y$88*'Methanol recycling rates'!AA45</f>
        <v>3.5333723417459101E-3</v>
      </c>
      <c r="Z90" s="230">
        <f>Z$88*'Methanol recycling rates'!AB45</f>
        <v>3.8743506918165883E-3</v>
      </c>
      <c r="AA90" s="230">
        <f>AA$88*'Methanol recycling rates'!AC45</f>
        <v>4.219422916375907E-3</v>
      </c>
      <c r="AB90" s="230">
        <f>AB$88*'Methanol recycling rates'!AD45</f>
        <v>4.5671733874225115E-3</v>
      </c>
      <c r="AC90" s="230">
        <f>AC$88*'Methanol recycling rates'!AE45</f>
        <v>4.9162270356836657E-3</v>
      </c>
      <c r="AD90" s="230">
        <f>AD$88*'Methanol recycling rates'!AF45</f>
        <v>5.2652493506152673E-3</v>
      </c>
      <c r="AE90" s="230">
        <f>AE$88*'Methanol recycling rates'!AG45</f>
        <v>5.6129463804018313E-3</v>
      </c>
      <c r="AF90" s="230">
        <f>AF$88*'Methanol recycling rates'!AH45</f>
        <v>5.9580647319565031E-3</v>
      </c>
      <c r="AG90" s="230">
        <f>AG$88*'Methanol recycling rates'!AI45</f>
        <v>6.2993915709210523E-3</v>
      </c>
      <c r="AH90" s="245"/>
      <c r="AI90" s="133"/>
      <c r="AJ90" s="211"/>
      <c r="AL90" s="108"/>
      <c r="AM90" s="2"/>
      <c r="AN90" s="2"/>
      <c r="AO90" s="2"/>
      <c r="BC90" s="1"/>
      <c r="BD90" s="2"/>
      <c r="BE90" s="2"/>
      <c r="BF90" s="2"/>
      <c r="BG90" s="2"/>
      <c r="BH90" s="2"/>
      <c r="BI90" s="2"/>
      <c r="BJ90" s="2"/>
      <c r="BK90" s="2"/>
    </row>
    <row r="91" spans="1:63" outlineLevel="1">
      <c r="A91" s="4" t="s">
        <v>1561</v>
      </c>
      <c r="C91" s="230">
        <f>C$88*'Methanol recycling rates'!E46</f>
        <v>0</v>
      </c>
      <c r="D91" s="230">
        <f>D$88*'Methanol recycling rates'!F46</f>
        <v>5.1169386012171037E-6</v>
      </c>
      <c r="E91" s="230">
        <f>E$88*'Methanol recycling rates'!G46</f>
        <v>1.1168775050932693E-5</v>
      </c>
      <c r="F91" s="230">
        <f>F$88*'Methanol recycling rates'!H46</f>
        <v>1.8197738974713682E-5</v>
      </c>
      <c r="G91" s="230">
        <f>G$88*'Methanol recycling rates'!I46</f>
        <v>2.6244123279400883E-5</v>
      </c>
      <c r="H91" s="230">
        <f>H$88*'Methanol recycling rates'!J46</f>
        <v>3.5346284153108958E-5</v>
      </c>
      <c r="I91" s="230">
        <f>I$88*'Methanol recycling rates'!K46</f>
        <v>4.5540641065226471E-5</v>
      </c>
      <c r="J91" s="230">
        <f>J$88*'Methanol recycling rates'!L46</f>
        <v>5.686167676641584E-5</v>
      </c>
      <c r="K91" s="230">
        <f>K$88*'Methanol recycling rates'!M46</f>
        <v>6.934193728861338E-5</v>
      </c>
      <c r="L91" s="230">
        <f>L$88*'Methanol recycling rates'!N46</f>
        <v>8.3012031945029301E-5</v>
      </c>
      <c r="M91" s="230">
        <f>M$88*'Methanol recycling rates'!O46</f>
        <v>9.7900633330147611E-5</v>
      </c>
      <c r="N91" s="230">
        <f>N$88*'Methanol recycling rates'!P46</f>
        <v>1.2192391016835398E-4</v>
      </c>
      <c r="O91" s="230">
        <f>O$88*'Methanol recycling rates'!Q46</f>
        <v>1.4933343931420703E-4</v>
      </c>
      <c r="P91" s="230">
        <f>P$88*'Methanol recycling rates'!R46</f>
        <v>1.8030118650627029E-4</v>
      </c>
      <c r="Q91" s="230">
        <f>Q$88*'Methanol recycling rates'!S46</f>
        <v>2.1499061499445735E-4</v>
      </c>
      <c r="R91" s="230">
        <f>R$88*'Methanol recycling rates'!T46</f>
        <v>2.5355668554003191E-4</v>
      </c>
      <c r="S91" s="230">
        <f>S$88*'Methanol recycling rates'!U46</f>
        <v>2.9614585641560764E-4</v>
      </c>
      <c r="T91" s="230">
        <f>T$88*'Methanol recycling rates'!V46</f>
        <v>3.4289608340514843E-4</v>
      </c>
      <c r="U91" s="230">
        <f>U$88*'Methanol recycling rates'!W46</f>
        <v>3.9393681980396837E-4</v>
      </c>
      <c r="V91" s="230">
        <f>V$88*'Methanol recycling rates'!X46</f>
        <v>4.4938901641873135E-4</v>
      </c>
      <c r="W91" s="230">
        <f>W$88*'Methanol recycling rates'!Y46</f>
        <v>5.0936512156745143E-4</v>
      </c>
      <c r="X91" s="230">
        <f>X$88*'Methanol recycling rates'!Z46</f>
        <v>6.0510816160573198E-4</v>
      </c>
      <c r="Y91" s="230">
        <f>Y$88*'Methanol recycling rates'!AA46</f>
        <v>7.1123787476243998E-4</v>
      </c>
      <c r="Z91" s="230">
        <f>Z$88*'Methanol recycling rates'!AB46</f>
        <v>8.2811988466437224E-4</v>
      </c>
      <c r="AA91" s="230">
        <f>AA$88*'Methanol recycling rates'!AC46</f>
        <v>9.5609580078921111E-4</v>
      </c>
      <c r="AB91" s="230">
        <f>AB$88*'Methanol recycling rates'!AD46</f>
        <v>1.0954832184655254E-3</v>
      </c>
      <c r="AC91" s="230">
        <f>AC$88*'Methanol recycling rates'!AE46</f>
        <v>1.2465757188727682E-3</v>
      </c>
      <c r="AD91" s="230">
        <f>AD$88*'Methanol recycling rates'!AF46</f>
        <v>1.4096428690412814E-3</v>
      </c>
      <c r="AE91" s="230">
        <f>AE$88*'Methanol recycling rates'!AG46</f>
        <v>1.5849302218522898E-3</v>
      </c>
      <c r="AF91" s="230">
        <f>AF$88*'Methanol recycling rates'!AH46</f>
        <v>1.7726593160379061E-3</v>
      </c>
      <c r="AG91" s="230">
        <f>AG$88*'Methanol recycling rates'!AI46</f>
        <v>1.9730276761811302E-3</v>
      </c>
      <c r="AH91" s="245"/>
      <c r="AI91" s="133"/>
      <c r="AJ91" s="211"/>
      <c r="AL91" s="108"/>
      <c r="AM91" s="2"/>
      <c r="AN91" s="2"/>
      <c r="AO91" s="2"/>
      <c r="BC91" s="1"/>
      <c r="BD91" s="2"/>
      <c r="BE91" s="2"/>
      <c r="BF91" s="2"/>
      <c r="BG91" s="2"/>
      <c r="BH91" s="2"/>
      <c r="BI91" s="2"/>
      <c r="BJ91" s="2"/>
      <c r="BK91" s="2"/>
    </row>
    <row r="92" spans="1:63" s="1" customFormat="1" outlineLevel="1">
      <c r="A92" s="1" t="s">
        <v>1566</v>
      </c>
      <c r="B92" s="65"/>
      <c r="C92" s="300">
        <f>C88-$C88</f>
        <v>0</v>
      </c>
      <c r="D92" s="300">
        <f t="shared" ref="D92:AG92" si="43">D88-$C88</f>
        <v>6.6325999341390455E-5</v>
      </c>
      <c r="E92" s="300">
        <f t="shared" si="43"/>
        <v>1.3478443313636411E-4</v>
      </c>
      <c r="F92" s="300">
        <f t="shared" si="43"/>
        <v>2.0530439271243593E-4</v>
      </c>
      <c r="G92" s="300">
        <f t="shared" si="43"/>
        <v>2.7781496939712175E-4</v>
      </c>
      <c r="H92" s="300">
        <f t="shared" si="43"/>
        <v>3.5224525451793629E-4</v>
      </c>
      <c r="I92" s="300">
        <f t="shared" si="43"/>
        <v>4.2852433940239519E-4</v>
      </c>
      <c r="J92" s="300">
        <f t="shared" si="43"/>
        <v>5.0658131537801318E-4</v>
      </c>
      <c r="K92" s="300">
        <f t="shared" si="43"/>
        <v>5.8634527377230598E-4</v>
      </c>
      <c r="L92" s="300">
        <f t="shared" si="43"/>
        <v>6.677453059127891E-4</v>
      </c>
      <c r="M92" s="300">
        <f t="shared" si="43"/>
        <v>7.5071050312697696E-4</v>
      </c>
      <c r="N92" s="300">
        <f t="shared" si="43"/>
        <v>9.4020782356098165E-4</v>
      </c>
      <c r="O92" s="300">
        <f t="shared" si="43"/>
        <v>1.1394489700778591E-3</v>
      </c>
      <c r="P92" s="300">
        <f t="shared" si="43"/>
        <v>1.3481226428616643E-3</v>
      </c>
      <c r="Q92" s="300">
        <f t="shared" si="43"/>
        <v>1.5659175420964502E-3</v>
      </c>
      <c r="R92" s="300">
        <f t="shared" si="43"/>
        <v>1.7925223679662707E-3</v>
      </c>
      <c r="S92" s="300">
        <f t="shared" si="43"/>
        <v>2.0276258206551791E-3</v>
      </c>
      <c r="T92" s="300">
        <f t="shared" si="43"/>
        <v>2.2709166003472294E-3</v>
      </c>
      <c r="U92" s="300">
        <f t="shared" si="43"/>
        <v>2.5220834072264761E-3</v>
      </c>
      <c r="V92" s="300">
        <f t="shared" si="43"/>
        <v>2.7808149414769718E-3</v>
      </c>
      <c r="W92" s="300">
        <f t="shared" si="43"/>
        <v>3.0467999032827695E-3</v>
      </c>
      <c r="X92" s="300">
        <f t="shared" si="43"/>
        <v>3.5368867184361044E-3</v>
      </c>
      <c r="Y92" s="300">
        <f t="shared" si="43"/>
        <v>4.0515629254455274E-3</v>
      </c>
      <c r="Z92" s="300">
        <f t="shared" si="43"/>
        <v>4.589949299356192E-3</v>
      </c>
      <c r="AA92" s="300">
        <f t="shared" si="43"/>
        <v>5.1511666152132488E-3</v>
      </c>
      <c r="AB92" s="300">
        <f t="shared" si="43"/>
        <v>5.7343356480618526E-3</v>
      </c>
      <c r="AC92" s="300">
        <f t="shared" si="43"/>
        <v>6.3385771729471494E-3</v>
      </c>
      <c r="AD92" s="300">
        <f t="shared" si="43"/>
        <v>6.9630119649142976E-3</v>
      </c>
      <c r="AE92" s="300">
        <f t="shared" si="43"/>
        <v>7.6067607990084425E-3</v>
      </c>
      <c r="AF92" s="300">
        <f t="shared" si="43"/>
        <v>8.2689444502747379E-3</v>
      </c>
      <c r="AG92" s="300">
        <f t="shared" si="43"/>
        <v>8.9486836937583431E-3</v>
      </c>
      <c r="AH92" s="245"/>
      <c r="AI92" s="423"/>
      <c r="AJ92" s="424"/>
      <c r="AL92" s="221"/>
      <c r="AM92" s="124"/>
      <c r="AN92" s="124"/>
      <c r="AO92" s="124"/>
      <c r="BD92" s="124"/>
      <c r="BE92" s="124"/>
      <c r="BF92" s="124"/>
      <c r="BG92" s="124"/>
      <c r="BH92" s="124"/>
      <c r="BI92" s="124"/>
      <c r="BJ92" s="124"/>
      <c r="BK92" s="124"/>
    </row>
    <row r="93" spans="1:63" outlineLevel="1">
      <c r="A93" s="4" t="s">
        <v>474</v>
      </c>
      <c r="C93" s="230">
        <f t="shared" ref="C93:AF95" si="44">C89-$C89</f>
        <v>0</v>
      </c>
      <c r="D93" s="230">
        <f t="shared" si="44"/>
        <v>1.2489692609268131E-5</v>
      </c>
      <c r="E93" s="230">
        <f t="shared" si="44"/>
        <v>2.7261333011702048E-5</v>
      </c>
      <c r="F93" s="230">
        <f t="shared" si="44"/>
        <v>4.4417997496356664E-5</v>
      </c>
      <c r="G93" s="230">
        <f t="shared" si="44"/>
        <v>6.4058035107454611E-5</v>
      </c>
      <c r="H93" s="230">
        <f t="shared" si="44"/>
        <v>8.6275067644386128E-5</v>
      </c>
      <c r="I93" s="230">
        <f t="shared" si="44"/>
        <v>1.1115798966170925E-4</v>
      </c>
      <c r="J93" s="230">
        <f t="shared" si="44"/>
        <v>1.3879096846914954E-4</v>
      </c>
      <c r="K93" s="230">
        <f t="shared" si="44"/>
        <v>1.6925344413160043E-4</v>
      </c>
      <c r="L93" s="230">
        <f t="shared" si="44"/>
        <v>2.0262012946912296E-4</v>
      </c>
      <c r="M93" s="230">
        <f t="shared" si="44"/>
        <v>2.3896101005694572E-4</v>
      </c>
      <c r="N93" s="230">
        <f t="shared" si="44"/>
        <v>2.9759828647554114E-4</v>
      </c>
      <c r="O93" s="230">
        <f t="shared" si="44"/>
        <v>3.6450090545851131E-4</v>
      </c>
      <c r="P93" s="230">
        <f t="shared" si="44"/>
        <v>4.4008861001654497E-4</v>
      </c>
      <c r="Q93" s="230">
        <f t="shared" si="44"/>
        <v>5.2476038983926773E-4</v>
      </c>
      <c r="R93" s="230">
        <f t="shared" si="44"/>
        <v>6.1889448129524187E-4</v>
      </c>
      <c r="S93" s="230">
        <f t="shared" si="44"/>
        <v>7.2284836743196702E-4</v>
      </c>
      <c r="T93" s="230">
        <f t="shared" si="44"/>
        <v>8.369587779758792E-4</v>
      </c>
      <c r="U93" s="230">
        <f t="shared" si="44"/>
        <v>9.6154168933235194E-4</v>
      </c>
      <c r="V93" s="230">
        <f t="shared" si="44"/>
        <v>1.0968923245856953E-3</v>
      </c>
      <c r="W93" s="230">
        <f t="shared" si="44"/>
        <v>1.2432851534991555E-3</v>
      </c>
      <c r="X93" s="230">
        <f t="shared" si="44"/>
        <v>1.4769797964777804E-3</v>
      </c>
      <c r="Y93" s="230">
        <f t="shared" si="44"/>
        <v>1.7360267769754155E-3</v>
      </c>
      <c r="Z93" s="230">
        <f t="shared" si="44"/>
        <v>2.0213185283521739E-3</v>
      </c>
      <c r="AA93" s="230">
        <f t="shared" si="44"/>
        <v>2.3336888689711784E-3</v>
      </c>
      <c r="AB93" s="230">
        <f t="shared" si="44"/>
        <v>2.6739130021985621E-3</v>
      </c>
      <c r="AC93" s="230">
        <f t="shared" si="44"/>
        <v>3.0427075164034664E-3</v>
      </c>
      <c r="AD93" s="230">
        <f t="shared" si="44"/>
        <v>3.4407303849580476E-3</v>
      </c>
      <c r="AE93" s="230">
        <f t="shared" si="44"/>
        <v>3.868580966237465E-3</v>
      </c>
      <c r="AF93" s="230">
        <f t="shared" si="44"/>
        <v>4.3268000036198939E-3</v>
      </c>
      <c r="AG93" s="230">
        <f>AG89-$C89</f>
        <v>4.8158696254865206E-3</v>
      </c>
      <c r="AH93" s="245"/>
      <c r="AI93" s="133"/>
      <c r="AJ93" s="211"/>
      <c r="AL93" s="108"/>
      <c r="AM93" s="2"/>
      <c r="AN93" s="2"/>
      <c r="AO93" s="2"/>
      <c r="BC93" s="1"/>
      <c r="BD93" s="2"/>
      <c r="BE93" s="2"/>
      <c r="BF93" s="2"/>
      <c r="BG93" s="2"/>
      <c r="BH93" s="2"/>
      <c r="BI93" s="2"/>
      <c r="BJ93" s="2"/>
      <c r="BK93" s="2"/>
    </row>
    <row r="94" spans="1:63" outlineLevel="1">
      <c r="A94" s="4" t="s">
        <v>745</v>
      </c>
      <c r="C94" s="230">
        <f t="shared" si="44"/>
        <v>0</v>
      </c>
      <c r="D94" s="230">
        <f t="shared" si="44"/>
        <v>5.7683739183267435E-5</v>
      </c>
      <c r="E94" s="230">
        <f t="shared" si="44"/>
        <v>1.1592091587337501E-4</v>
      </c>
      <c r="F94" s="230">
        <f t="shared" si="44"/>
        <v>1.7456929761637931E-4</v>
      </c>
      <c r="G94" s="230">
        <f t="shared" si="44"/>
        <v>2.3348992298196888E-4</v>
      </c>
      <c r="H94" s="230">
        <f t="shared" si="44"/>
        <v>2.925471015634626E-4</v>
      </c>
      <c r="I94" s="230">
        <f t="shared" si="44"/>
        <v>3.5160841397781156E-4</v>
      </c>
      <c r="J94" s="230">
        <f t="shared" si="44"/>
        <v>4.1054471186559663E-4</v>
      </c>
      <c r="K94" s="230">
        <f t="shared" si="44"/>
        <v>4.6923011789103185E-4</v>
      </c>
      <c r="L94" s="230">
        <f t="shared" si="44"/>
        <v>5.2754202574196161E-4</v>
      </c>
      <c r="M94" s="230">
        <f t="shared" si="44"/>
        <v>5.8536110012986085E-4</v>
      </c>
      <c r="N94" s="230">
        <f t="shared" si="44"/>
        <v>7.3428427565679002E-4</v>
      </c>
      <c r="O94" s="230">
        <f t="shared" si="44"/>
        <v>8.872320619926847E-4</v>
      </c>
      <c r="P94" s="230">
        <f t="shared" si="44"/>
        <v>1.0436027175620291E-3</v>
      </c>
      <c r="Q94" s="230">
        <f t="shared" si="44"/>
        <v>1.2028088610786581E-3</v>
      </c>
      <c r="R94" s="230">
        <f t="shared" si="44"/>
        <v>1.3642774715457565E-3</v>
      </c>
      <c r="S94" s="230">
        <f t="shared" si="44"/>
        <v>1.5274498882558601E-3</v>
      </c>
      <c r="T94" s="230">
        <f t="shared" si="44"/>
        <v>1.6917818107908566E-3</v>
      </c>
      <c r="U94" s="230">
        <f t="shared" si="44"/>
        <v>1.8567432990219839E-3</v>
      </c>
      <c r="V94" s="230">
        <f t="shared" si="44"/>
        <v>2.0218187731098308E-3</v>
      </c>
      <c r="W94" s="230">
        <f t="shared" si="44"/>
        <v>2.1865070135043351E-3</v>
      </c>
      <c r="X94" s="230">
        <f t="shared" si="44"/>
        <v>2.5148884956791586E-3</v>
      </c>
      <c r="Y94" s="230">
        <f t="shared" si="44"/>
        <v>2.8503167845312129E-3</v>
      </c>
      <c r="Z94" s="230">
        <f t="shared" si="44"/>
        <v>3.1912951346018911E-3</v>
      </c>
      <c r="AA94" s="230">
        <f t="shared" si="44"/>
        <v>3.5363673591612098E-3</v>
      </c>
      <c r="AB94" s="230">
        <f t="shared" si="44"/>
        <v>3.8841178302078143E-3</v>
      </c>
      <c r="AC94" s="230">
        <f t="shared" si="44"/>
        <v>4.2331714784689684E-3</v>
      </c>
      <c r="AD94" s="230">
        <f t="shared" si="44"/>
        <v>4.5821937934005701E-3</v>
      </c>
      <c r="AE94" s="230">
        <f t="shared" si="44"/>
        <v>4.929890823187134E-3</v>
      </c>
      <c r="AF94" s="230">
        <f t="shared" si="44"/>
        <v>5.2750091747418059E-3</v>
      </c>
      <c r="AG94" s="230">
        <f t="shared" ref="AG94:AG95" si="45">AG90-$C90</f>
        <v>5.616336013706355E-3</v>
      </c>
      <c r="AH94" s="245"/>
      <c r="AI94" s="133"/>
      <c r="AJ94" s="211"/>
      <c r="AL94" s="108"/>
      <c r="AM94" s="2"/>
      <c r="AN94" s="2"/>
      <c r="AO94" s="2"/>
      <c r="BC94" s="1"/>
      <c r="BD94" s="2"/>
      <c r="BE94" s="2"/>
      <c r="BF94" s="2"/>
      <c r="BG94" s="2"/>
      <c r="BH94" s="2"/>
      <c r="BI94" s="2"/>
      <c r="BJ94" s="2"/>
      <c r="BK94" s="2"/>
    </row>
    <row r="95" spans="1:63" outlineLevel="1">
      <c r="A95" s="4" t="s">
        <v>1561</v>
      </c>
      <c r="C95" s="230">
        <f t="shared" si="44"/>
        <v>0</v>
      </c>
      <c r="D95" s="230">
        <f t="shared" si="44"/>
        <v>5.1169386012171037E-6</v>
      </c>
      <c r="E95" s="230">
        <f t="shared" si="44"/>
        <v>1.1168775050932693E-5</v>
      </c>
      <c r="F95" s="230">
        <f t="shared" si="44"/>
        <v>1.8197738974713682E-5</v>
      </c>
      <c r="G95" s="230">
        <f t="shared" si="44"/>
        <v>2.6244123279400883E-5</v>
      </c>
      <c r="H95" s="230">
        <f t="shared" si="44"/>
        <v>3.5346284153108958E-5</v>
      </c>
      <c r="I95" s="230">
        <f t="shared" si="44"/>
        <v>4.5540641065226471E-5</v>
      </c>
      <c r="J95" s="230">
        <f t="shared" si="44"/>
        <v>5.686167676641584E-5</v>
      </c>
      <c r="K95" s="230">
        <f t="shared" si="44"/>
        <v>6.934193728861338E-5</v>
      </c>
      <c r="L95" s="230">
        <f t="shared" si="44"/>
        <v>8.3012031945029301E-5</v>
      </c>
      <c r="M95" s="230">
        <f t="shared" si="44"/>
        <v>9.7900633330147611E-5</v>
      </c>
      <c r="N95" s="230">
        <f t="shared" si="44"/>
        <v>1.2192391016835398E-4</v>
      </c>
      <c r="O95" s="230">
        <f t="shared" si="44"/>
        <v>1.4933343931420703E-4</v>
      </c>
      <c r="P95" s="230">
        <f t="shared" si="44"/>
        <v>1.8030118650627029E-4</v>
      </c>
      <c r="Q95" s="230">
        <f t="shared" si="44"/>
        <v>2.1499061499445735E-4</v>
      </c>
      <c r="R95" s="230">
        <f t="shared" si="44"/>
        <v>2.5355668554003191E-4</v>
      </c>
      <c r="S95" s="230">
        <f t="shared" si="44"/>
        <v>2.9614585641560764E-4</v>
      </c>
      <c r="T95" s="230">
        <f t="shared" si="44"/>
        <v>3.4289608340514843E-4</v>
      </c>
      <c r="U95" s="230">
        <f t="shared" si="44"/>
        <v>3.9393681980396837E-4</v>
      </c>
      <c r="V95" s="230">
        <f t="shared" si="44"/>
        <v>4.4938901641873135E-4</v>
      </c>
      <c r="W95" s="230">
        <f t="shared" si="44"/>
        <v>5.0936512156745143E-4</v>
      </c>
      <c r="X95" s="230">
        <f t="shared" si="44"/>
        <v>6.0510816160573198E-4</v>
      </c>
      <c r="Y95" s="230">
        <f t="shared" si="44"/>
        <v>7.1123787476243998E-4</v>
      </c>
      <c r="Z95" s="230">
        <f t="shared" si="44"/>
        <v>8.2811988466437224E-4</v>
      </c>
      <c r="AA95" s="230">
        <f t="shared" si="44"/>
        <v>9.5609580078921111E-4</v>
      </c>
      <c r="AB95" s="230">
        <f t="shared" si="44"/>
        <v>1.0954832184655254E-3</v>
      </c>
      <c r="AC95" s="230">
        <f t="shared" si="44"/>
        <v>1.2465757188727682E-3</v>
      </c>
      <c r="AD95" s="230">
        <f t="shared" si="44"/>
        <v>1.4096428690412814E-3</v>
      </c>
      <c r="AE95" s="230">
        <f t="shared" si="44"/>
        <v>1.5849302218522898E-3</v>
      </c>
      <c r="AF95" s="230">
        <f t="shared" si="44"/>
        <v>1.7726593160379061E-3</v>
      </c>
      <c r="AG95" s="230">
        <f t="shared" si="45"/>
        <v>1.9730276761811302E-3</v>
      </c>
      <c r="AH95" s="245"/>
      <c r="AI95" s="133"/>
      <c r="AJ95" s="211"/>
      <c r="AL95" s="108"/>
      <c r="AM95" s="2"/>
      <c r="AN95" s="2"/>
      <c r="AO95" s="2"/>
      <c r="BC95" s="1"/>
      <c r="BD95" s="2"/>
      <c r="BE95" s="2"/>
      <c r="BF95" s="2"/>
      <c r="BG95" s="2"/>
      <c r="BH95" s="2"/>
      <c r="BI95" s="2"/>
      <c r="BJ95" s="2"/>
      <c r="BK95" s="2"/>
    </row>
    <row r="96" spans="1:63" s="1" customFormat="1" outlineLevel="1">
      <c r="A96" s="1" t="s">
        <v>1567</v>
      </c>
      <c r="B96" s="65"/>
      <c r="C96" s="300">
        <f>C42*C68</f>
        <v>3.9476351575344112E-2</v>
      </c>
      <c r="D96" s="300">
        <f t="shared" ref="D96:AG96" si="46">D42*D68</f>
        <v>4.1908067573546176E-2</v>
      </c>
      <c r="E96" s="300">
        <f t="shared" si="46"/>
        <v>4.4320861235374785E-2</v>
      </c>
      <c r="F96" s="300">
        <f t="shared" si="46"/>
        <v>4.6698226489802118E-2</v>
      </c>
      <c r="G96" s="300">
        <f t="shared" si="46"/>
        <v>4.9023354742647442E-2</v>
      </c>
      <c r="H96" s="300">
        <f t="shared" si="46"/>
        <v>5.1279331443040976E-2</v>
      </c>
      <c r="I96" s="300">
        <f t="shared" si="46"/>
        <v>5.3564654904558452E-2</v>
      </c>
      <c r="J96" s="300">
        <f t="shared" si="46"/>
        <v>5.587684113452869E-2</v>
      </c>
      <c r="K96" s="300">
        <f t="shared" si="46"/>
        <v>5.8213285986478909E-2</v>
      </c>
      <c r="L96" s="300">
        <f t="shared" si="46"/>
        <v>6.057126862622713E-2</v>
      </c>
      <c r="M96" s="300">
        <f t="shared" si="46"/>
        <v>6.2947955443804438E-2</v>
      </c>
      <c r="N96" s="300">
        <f t="shared" si="46"/>
        <v>6.7383715197240207E-2</v>
      </c>
      <c r="O96" s="300">
        <f t="shared" si="46"/>
        <v>7.1764873513494559E-2</v>
      </c>
      <c r="P96" s="300">
        <f t="shared" si="46"/>
        <v>7.6066212482794757E-2</v>
      </c>
      <c r="Q96" s="300">
        <f t="shared" si="46"/>
        <v>8.0262543687377577E-2</v>
      </c>
      <c r="R96" s="300">
        <f t="shared" si="46"/>
        <v>8.4328950372526204E-2</v>
      </c>
      <c r="S96" s="300">
        <f t="shared" si="46"/>
        <v>8.8400012325442506E-2</v>
      </c>
      <c r="T96" s="300">
        <f t="shared" si="46"/>
        <v>9.2473523871710997E-2</v>
      </c>
      <c r="U96" s="300">
        <f t="shared" si="46"/>
        <v>9.6547246191741529E-2</v>
      </c>
      <c r="V96" s="300">
        <f t="shared" si="46"/>
        <v>0.10061890848409116</v>
      </c>
      <c r="W96" s="300">
        <f t="shared" si="46"/>
        <v>0.1046862091716565</v>
      </c>
      <c r="X96" s="300">
        <f t="shared" si="46"/>
        <v>0.11106713316201536</v>
      </c>
      <c r="Y96" s="300">
        <f t="shared" si="46"/>
        <v>0.11744644060223859</v>
      </c>
      <c r="Z96" s="300">
        <f t="shared" si="46"/>
        <v>0.12382067212260814</v>
      </c>
      <c r="AA96" s="300">
        <f t="shared" si="46"/>
        <v>0.13018632350212161</v>
      </c>
      <c r="AB96" s="300">
        <f t="shared" si="46"/>
        <v>0.13653984739908231</v>
      </c>
      <c r="AC96" s="300">
        <f t="shared" si="46"/>
        <v>0.14287900593642378</v>
      </c>
      <c r="AD96" s="300">
        <f t="shared" si="46"/>
        <v>0.14920035205919627</v>
      </c>
      <c r="AE96" s="300">
        <f t="shared" si="46"/>
        <v>0.15550040017098829</v>
      </c>
      <c r="AF96" s="300">
        <f t="shared" si="46"/>
        <v>0.16177562773670062</v>
      </c>
      <c r="AG96" s="300">
        <f t="shared" si="46"/>
        <v>0.16802247693148817</v>
      </c>
      <c r="AH96" s="245"/>
      <c r="AI96" s="423"/>
      <c r="AJ96" s="424"/>
      <c r="AL96" s="221"/>
      <c r="AM96" s="124"/>
      <c r="AN96" s="124"/>
      <c r="AO96" s="124"/>
      <c r="BD96" s="124"/>
      <c r="BE96" s="124"/>
      <c r="BF96" s="124"/>
      <c r="BG96" s="124"/>
      <c r="BH96" s="124"/>
      <c r="BI96" s="124"/>
      <c r="BJ96" s="124"/>
      <c r="BK96" s="124"/>
    </row>
    <row r="97" spans="1:63" outlineLevel="1">
      <c r="A97" s="4" t="s">
        <v>474</v>
      </c>
      <c r="C97" s="230">
        <f>C$96*'Methanol recycling rates'!E45</f>
        <v>3.9476351575344112E-2</v>
      </c>
      <c r="D97" s="230">
        <f>D$96*'Methanol recycling rates'!F45</f>
        <v>4.1424761813581588E-2</v>
      </c>
      <c r="E97" s="230">
        <f>E$96*'Methanol recycling rates'!G45</f>
        <v>4.3298598517865508E-2</v>
      </c>
      <c r="F97" s="230">
        <f>F$96*'Methanol recycling rates'!H45</f>
        <v>4.508258135395489E-2</v>
      </c>
      <c r="G97" s="230">
        <f>G$96*'Methanol recycling rates'!I45</f>
        <v>4.6761902846462679E-2</v>
      </c>
      <c r="H97" s="230">
        <f>H$96*'Methanol recycling rates'!J45</f>
        <v>4.8322431055059456E-2</v>
      </c>
      <c r="I97" s="230">
        <f>I$96*'Methanol recycling rates'!K45</f>
        <v>4.9858241164465605E-2</v>
      </c>
      <c r="J97" s="230">
        <f>J$96*'Methanol recycling rates'!L45</f>
        <v>5.1366034382323879E-2</v>
      </c>
      <c r="K97" s="230">
        <f>K$96*'Methanol recycling rates'!M45</f>
        <v>5.2842517434699483E-2</v>
      </c>
      <c r="L97" s="230">
        <f>L$96*'Methanol recycling rates'!N45</f>
        <v>5.4284412600799879E-2</v>
      </c>
      <c r="M97" s="230">
        <f>M$96*'Methanol recycling rates'!O45</f>
        <v>5.5688467902272207E-2</v>
      </c>
      <c r="N97" s="230">
        <f>N$96*'Methanol recycling rates'!P45</f>
        <v>5.8835568378483853E-2</v>
      </c>
      <c r="O97" s="230">
        <f>O$96*'Methanol recycling rates'!Q45</f>
        <v>6.1833312721387028E-2</v>
      </c>
      <c r="P97" s="230">
        <f>P$96*'Methanol recycling rates'!R45</f>
        <v>6.4662152837897044E-2</v>
      </c>
      <c r="Q97" s="230">
        <f>Q$96*'Methanol recycling rates'!S45</f>
        <v>6.7303728669810992E-2</v>
      </c>
      <c r="R97" s="230">
        <f>R$96*'Methanol recycling rates'!T45</f>
        <v>6.9741066771611793E-2</v>
      </c>
      <c r="S97" s="230">
        <f>S$96*'Methanol recycling rates'!U45</f>
        <v>7.2088409290881797E-2</v>
      </c>
      <c r="T97" s="230">
        <f>T$96*'Methanol recycling rates'!V45</f>
        <v>7.4343821921107264E-2</v>
      </c>
      <c r="U97" s="230">
        <f>U$96*'Methanol recycling rates'!W45</f>
        <v>7.6505445839019873E-2</v>
      </c>
      <c r="V97" s="230">
        <f>V$96*'Methanol recycling rates'!X45</f>
        <v>7.8571500524251284E-2</v>
      </c>
      <c r="W97" s="230">
        <f>W$96*'Methanol recycling rates'!Y45</f>
        <v>8.054028653147402E-2</v>
      </c>
      <c r="X97" s="230">
        <f>X$96*'Methanol recycling rates'!Z45</f>
        <v>8.4168563161840862E-2</v>
      </c>
      <c r="Y97" s="230">
        <f>Y$96*'Methanol recycling rates'!AA45</f>
        <v>8.7648457078486522E-2</v>
      </c>
      <c r="Z97" s="230">
        <f>Z$96*'Methanol recycling rates'!AB45</f>
        <v>9.0977482431410781E-2</v>
      </c>
      <c r="AA97" s="230">
        <f>AA$96*'Methanol recycling rates'!AC45</f>
        <v>9.4153280514338078E-2</v>
      </c>
      <c r="AB97" s="230">
        <f>AB$96*'Methanol recycling rates'!AD45</f>
        <v>9.7173623582598193E-2</v>
      </c>
      <c r="AC97" s="230">
        <f>AC$96*'Methanol recycling rates'!AE45</f>
        <v>0.10003736435814164</v>
      </c>
      <c r="AD97" s="230">
        <f>AD$96*'Methanol recycling rates'!AF45</f>
        <v>0.10274262613005461</v>
      </c>
      <c r="AE97" s="230">
        <f>AE$96*'Methanol recycling rates'!AG45</f>
        <v>0.10528766510437414</v>
      </c>
      <c r="AF97" s="230">
        <f>AF$96*'Methanol recycling rates'!AH45</f>
        <v>0.10767087369322678</v>
      </c>
      <c r="AG97" s="230">
        <f>AG$96*'Methanol recycling rates'!AI45</f>
        <v>0.109890783723258</v>
      </c>
      <c r="AH97" s="245"/>
      <c r="AI97" s="133"/>
      <c r="AJ97" s="211"/>
      <c r="AL97" s="108"/>
      <c r="AM97" s="2"/>
      <c r="AN97" s="2"/>
      <c r="AO97" s="2"/>
      <c r="BC97" s="1"/>
      <c r="BD97" s="2"/>
      <c r="BE97" s="2"/>
      <c r="BF97" s="2"/>
      <c r="BG97" s="2"/>
      <c r="BH97" s="2"/>
      <c r="BI97" s="2"/>
      <c r="BJ97" s="2"/>
      <c r="BK97" s="2"/>
    </row>
    <row r="98" spans="1:63" outlineLevel="1">
      <c r="A98" s="4" t="s">
        <v>745</v>
      </c>
      <c r="C98" s="230">
        <f>C$96*'Methanol recycling rates'!E46</f>
        <v>0</v>
      </c>
      <c r="D98" s="230">
        <f>D$96*'Methanol recycling rates'!F46</f>
        <v>2.8615730770716307E-4</v>
      </c>
      <c r="E98" s="230">
        <f>E$96*'Methanol recycling rates'!G46</f>
        <v>6.052647645525608E-4</v>
      </c>
      <c r="F98" s="230">
        <f>F$96*'Methanol recycling rates'!H46</f>
        <v>9.5659663215702485E-4</v>
      </c>
      <c r="G98" s="230">
        <f>G$96*'Methanol recycling rates'!I46</f>
        <v>1.3389680813423507E-3</v>
      </c>
      <c r="H98" s="230">
        <f>H$96*'Methanol recycling rates'!J46</f>
        <v>1.7507315746558769E-3</v>
      </c>
      <c r="I98" s="230">
        <f>I$96*'Methanol recycling rates'!K46</f>
        <v>2.1945059731783832E-3</v>
      </c>
      <c r="J98" s="230">
        <f>J$96*'Methanol recycling rates'!L46</f>
        <v>2.670773706261639E-3</v>
      </c>
      <c r="K98" s="230">
        <f>K$96*'Methanol recycling rates'!M46</f>
        <v>3.1799427948222803E-3</v>
      </c>
      <c r="L98" s="230">
        <f>L$96*'Methanol recycling rates'!N46</f>
        <v>3.7223429621667109E-3</v>
      </c>
      <c r="M98" s="230">
        <f>M$96*'Methanol recycling rates'!O46</f>
        <v>4.2982219172615762E-3</v>
      </c>
      <c r="N98" s="230">
        <f>N$96*'Methanol recycling rates'!P46</f>
        <v>5.0612156571858257E-3</v>
      </c>
      <c r="O98" s="230">
        <f>O$96*'Methanol recycling rates'!Q46</f>
        <v>5.8803120778195238E-3</v>
      </c>
      <c r="P98" s="230">
        <f>P$96*'Methanol recycling rates'!R46</f>
        <v>6.7521541749366734E-3</v>
      </c>
      <c r="Q98" s="230">
        <f>Q$96*'Methanol recycling rates'!S46</f>
        <v>7.67269899033215E-3</v>
      </c>
      <c r="R98" s="230">
        <f>R$96*'Methanol recycling rates'!T46</f>
        <v>8.637243422650296E-3</v>
      </c>
      <c r="S98" s="230">
        <f>S$96*'Methanol recycling rates'!U46</f>
        <v>9.6578290502887555E-3</v>
      </c>
      <c r="T98" s="230">
        <f>T$96*'Methanol recycling rates'!V46</f>
        <v>1.0734295200823151E-2</v>
      </c>
      <c r="U98" s="230">
        <f>U$96*'Methanol recycling rates'!W46</f>
        <v>1.1866416884747061E-2</v>
      </c>
      <c r="V98" s="230">
        <f>V$96*'Methanol recycling rates'!X46</f>
        <v>1.3053903814784905E-2</v>
      </c>
      <c r="W98" s="230">
        <f>W$96*'Methanol recycling rates'!Y46</f>
        <v>1.4296399478719872E-2</v>
      </c>
      <c r="X98" s="230">
        <f>X$96*'Methanol recycling rates'!Z46</f>
        <v>1.5926196230284063E-2</v>
      </c>
      <c r="Y98" s="230">
        <f>Y$96*'Methanol recycling rates'!AA46</f>
        <v>1.7642890787984943E-2</v>
      </c>
      <c r="Z98" s="230">
        <f>Z$96*'Methanol recycling rates'!AB46</f>
        <v>1.944590674697794E-2</v>
      </c>
      <c r="AA98" s="230">
        <f>AA$96*'Methanol recycling rates'!AC46</f>
        <v>2.1334565867032293E-2</v>
      </c>
      <c r="AB98" s="230">
        <f>AB$96*'Methanol recycling rates'!AD46</f>
        <v>2.3308086836680939E-2</v>
      </c>
      <c r="AC98" s="230">
        <f>AC$96*'Methanol recycling rates'!AE46</f>
        <v>2.5365823930372192E-2</v>
      </c>
      <c r="AD98" s="230">
        <f>AD$96*'Methanol recycling rates'!AF46</f>
        <v>2.7506847373502234E-2</v>
      </c>
      <c r="AE98" s="230">
        <f>AE$96*'Methanol recycling rates'!AG46</f>
        <v>2.9730125873790869E-2</v>
      </c>
      <c r="AF98" s="230">
        <f>AF$96*'Methanol recycling rates'!AH46</f>
        <v>3.2034525622813018E-2</v>
      </c>
      <c r="AG98" s="230">
        <f>AG$96*'Methanol recycling rates'!AI46</f>
        <v>3.4418809372652057E-2</v>
      </c>
      <c r="AH98" s="245"/>
      <c r="AI98" s="133"/>
      <c r="AJ98" s="211"/>
      <c r="AL98" s="108"/>
      <c r="AM98" s="2"/>
      <c r="AN98" s="2"/>
      <c r="AO98" s="2"/>
      <c r="BC98" s="1"/>
      <c r="BD98" s="2"/>
      <c r="BE98" s="2"/>
      <c r="BF98" s="2"/>
      <c r="BG98" s="2"/>
      <c r="BH98" s="2"/>
      <c r="BI98" s="2"/>
      <c r="BJ98" s="2"/>
      <c r="BK98" s="2"/>
    </row>
    <row r="99" spans="1:63" outlineLevel="1">
      <c r="A99" s="4" t="s">
        <v>1561</v>
      </c>
      <c r="C99" s="230">
        <f>C$96*'Methanol recycling rates'!E47</f>
        <v>0</v>
      </c>
      <c r="D99" s="230">
        <f>D$96*'Methanol recycling rates'!F47</f>
        <v>1.9714845225742565E-4</v>
      </c>
      <c r="E99" s="230">
        <f>E$96*'Methanol recycling rates'!G47</f>
        <v>4.169979529567175E-4</v>
      </c>
      <c r="F99" s="230">
        <f>F$96*'Methanol recycling rates'!H47</f>
        <v>6.5904850369020507E-4</v>
      </c>
      <c r="G99" s="230">
        <f>G$96*'Methanol recycling rates'!I47</f>
        <v>9.2248381484241727E-4</v>
      </c>
      <c r="H99" s="230">
        <f>H$96*'Methanol recycling rates'!J47</f>
        <v>1.2061688133256502E-3</v>
      </c>
      <c r="I99" s="230">
        <f>I$96*'Methanol recycling rates'!K47</f>
        <v>1.5119077669144706E-3</v>
      </c>
      <c r="J99" s="230">
        <f>J$96*'Methanol recycling rates'!L47</f>
        <v>1.8400330459431781E-3</v>
      </c>
      <c r="K99" s="230">
        <f>K$96*'Methanol recycling rates'!M47</f>
        <v>2.1908257569571484E-3</v>
      </c>
      <c r="L99" s="230">
        <f>L$96*'Methanol recycling rates'!N47</f>
        <v>2.5645130632605492E-3</v>
      </c>
      <c r="M99" s="230">
        <f>M$96*'Methanol recycling rates'!O47</f>
        <v>2.9612656242706636E-3</v>
      </c>
      <c r="N99" s="230">
        <f>N$96*'Methanol recycling rates'!P47</f>
        <v>3.486931161570536E-3</v>
      </c>
      <c r="O99" s="230">
        <f>O$96*'Methanol recycling rates'!Q47</f>
        <v>4.0512487142880223E-3</v>
      </c>
      <c r="P99" s="230">
        <f>P$96*'Methanol recycling rates'!R47</f>
        <v>4.6519054699610549E-3</v>
      </c>
      <c r="Q99" s="230">
        <f>Q$96*'Methanol recycling rates'!S47</f>
        <v>5.2861160272344556E-3</v>
      </c>
      <c r="R99" s="230">
        <f>R$96*'Methanol recycling rates'!T47</f>
        <v>5.9506401782641301E-3</v>
      </c>
      <c r="S99" s="230">
        <f>S$96*'Methanol recycling rates'!U47</f>
        <v>6.6537739842719755E-3</v>
      </c>
      <c r="T99" s="230">
        <f>T$96*'Methanol recycling rates'!V47</f>
        <v>7.3954067497805981E-3</v>
      </c>
      <c r="U99" s="230">
        <f>U$96*'Methanol recycling rates'!W47</f>
        <v>8.1753834679746187E-3</v>
      </c>
      <c r="V99" s="230">
        <f>V$96*'Methanol recycling rates'!X47</f>
        <v>8.9935041450549986E-3</v>
      </c>
      <c r="W99" s="230">
        <f>W$96*'Methanol recycling rates'!Y47</f>
        <v>9.8495231614626286E-3</v>
      </c>
      <c r="X99" s="230">
        <f>X$96*'Methanol recycling rates'!Z47</f>
        <v>1.0972373769890466E-2</v>
      </c>
      <c r="Y99" s="230">
        <f>Y$96*'Methanol recycling rates'!AA47</f>
        <v>1.215509273576716E-2</v>
      </c>
      <c r="Z99" s="230">
        <f>Z$96*'Methanol recycling rates'!AB47</f>
        <v>1.3397282944219454E-2</v>
      </c>
      <c r="AA99" s="230">
        <f>AA$96*'Methanol recycling rates'!AC47</f>
        <v>1.4698477120751284E-2</v>
      </c>
      <c r="AB99" s="230">
        <f>AB$96*'Methanol recycling rates'!AD47</f>
        <v>1.6058136979803225E-2</v>
      </c>
      <c r="AC99" s="230">
        <f>AC$96*'Methanol recycling rates'!AE47</f>
        <v>1.7475817647909991E-2</v>
      </c>
      <c r="AD99" s="230">
        <f>AD$96*'Methanol recycling rates'!AF47</f>
        <v>1.8950878555639473E-2</v>
      </c>
      <c r="AE99" s="230">
        <f>AE$96*'Methanol recycling rates'!AG47</f>
        <v>2.0482609192823343E-2</v>
      </c>
      <c r="AF99" s="230">
        <f>AF$96*'Methanol recycling rates'!AH47</f>
        <v>2.2070228420660885E-2</v>
      </c>
      <c r="AG99" s="230">
        <f>AG$96*'Methanol recycling rates'!AI47</f>
        <v>2.3712883835578076E-2</v>
      </c>
      <c r="AH99" s="245"/>
      <c r="AI99" s="133"/>
      <c r="AJ99" s="211"/>
      <c r="AL99" s="108"/>
      <c r="AM99" s="2"/>
      <c r="AN99" s="2"/>
      <c r="AO99" s="2"/>
      <c r="BC99" s="1"/>
      <c r="BD99" s="2"/>
      <c r="BE99" s="2"/>
      <c r="BF99" s="2"/>
      <c r="BG99" s="2"/>
      <c r="BH99" s="2"/>
      <c r="BI99" s="2"/>
      <c r="BJ99" s="2"/>
      <c r="BK99" s="2"/>
    </row>
    <row r="100" spans="1:63" s="1" customFormat="1" outlineLevel="1">
      <c r="A100" s="1" t="s">
        <v>1568</v>
      </c>
      <c r="B100" s="65"/>
      <c r="C100" s="300">
        <f>C96-$C96</f>
        <v>0</v>
      </c>
      <c r="D100" s="300">
        <f t="shared" ref="D100:AG100" si="47">D96-$C96</f>
        <v>2.4317159982020636E-3</v>
      </c>
      <c r="E100" s="300">
        <f t="shared" si="47"/>
        <v>4.8445096600306728E-3</v>
      </c>
      <c r="F100" s="300">
        <f t="shared" si="47"/>
        <v>7.2218749144580055E-3</v>
      </c>
      <c r="G100" s="300">
        <f t="shared" si="47"/>
        <v>9.5470031673033293E-3</v>
      </c>
      <c r="H100" s="300">
        <f t="shared" si="47"/>
        <v>1.1802979867696864E-2</v>
      </c>
      <c r="I100" s="300">
        <f t="shared" si="47"/>
        <v>1.408830332921434E-2</v>
      </c>
      <c r="J100" s="300">
        <f t="shared" si="47"/>
        <v>1.6400489559184578E-2</v>
      </c>
      <c r="K100" s="300">
        <f t="shared" si="47"/>
        <v>1.8736934411134797E-2</v>
      </c>
      <c r="L100" s="300">
        <f t="shared" si="47"/>
        <v>2.1094917050883018E-2</v>
      </c>
      <c r="M100" s="300">
        <f t="shared" si="47"/>
        <v>2.3471603868460325E-2</v>
      </c>
      <c r="N100" s="300">
        <f t="shared" si="47"/>
        <v>2.7907363621896095E-2</v>
      </c>
      <c r="O100" s="300">
        <f t="shared" si="47"/>
        <v>3.2288521938150447E-2</v>
      </c>
      <c r="P100" s="300">
        <f t="shared" si="47"/>
        <v>3.6589860907450644E-2</v>
      </c>
      <c r="Q100" s="300">
        <f t="shared" si="47"/>
        <v>4.0786192112033465E-2</v>
      </c>
      <c r="R100" s="300">
        <f t="shared" si="47"/>
        <v>4.4852598797182092E-2</v>
      </c>
      <c r="S100" s="300">
        <f t="shared" si="47"/>
        <v>4.8923660750098394E-2</v>
      </c>
      <c r="T100" s="300">
        <f t="shared" si="47"/>
        <v>5.2997172296366885E-2</v>
      </c>
      <c r="U100" s="300">
        <f t="shared" si="47"/>
        <v>5.7070894616397416E-2</v>
      </c>
      <c r="V100" s="300">
        <f t="shared" si="47"/>
        <v>6.1142556908747051E-2</v>
      </c>
      <c r="W100" s="300">
        <f t="shared" si="47"/>
        <v>6.5209857596312384E-2</v>
      </c>
      <c r="X100" s="300">
        <f t="shared" si="47"/>
        <v>7.1590781586671245E-2</v>
      </c>
      <c r="Y100" s="300">
        <f t="shared" si="47"/>
        <v>7.7970089026894479E-2</v>
      </c>
      <c r="Z100" s="300">
        <f t="shared" si="47"/>
        <v>8.4344320547264026E-2</v>
      </c>
      <c r="AA100" s="300">
        <f t="shared" si="47"/>
        <v>9.0709971926777502E-2</v>
      </c>
      <c r="AB100" s="300">
        <f t="shared" si="47"/>
        <v>9.7063495823738202E-2</v>
      </c>
      <c r="AC100" s="300">
        <f t="shared" si="47"/>
        <v>0.10340265436107966</v>
      </c>
      <c r="AD100" s="300">
        <f t="shared" si="47"/>
        <v>0.10972400048385215</v>
      </c>
      <c r="AE100" s="300">
        <f t="shared" si="47"/>
        <v>0.11602404859564418</v>
      </c>
      <c r="AF100" s="300">
        <f t="shared" si="47"/>
        <v>0.12229927616135651</v>
      </c>
      <c r="AG100" s="300">
        <f t="shared" si="47"/>
        <v>0.12854612535614407</v>
      </c>
      <c r="AH100" s="245"/>
      <c r="AI100" s="423"/>
      <c r="AJ100" s="424"/>
      <c r="AL100" s="221"/>
      <c r="AM100" s="124"/>
      <c r="AN100" s="124"/>
      <c r="AO100" s="124"/>
      <c r="BD100" s="124"/>
      <c r="BE100" s="124"/>
      <c r="BF100" s="124"/>
      <c r="BG100" s="124"/>
      <c r="BH100" s="124"/>
      <c r="BI100" s="124"/>
      <c r="BJ100" s="124"/>
      <c r="BK100" s="124"/>
    </row>
    <row r="101" spans="1:63" outlineLevel="1">
      <c r="A101" s="4" t="s">
        <v>474</v>
      </c>
      <c r="C101" s="230">
        <f t="shared" ref="C101:AF103" si="48">C97-$C97</f>
        <v>0</v>
      </c>
      <c r="D101" s="230">
        <f t="shared" si="48"/>
        <v>1.948410238237476E-3</v>
      </c>
      <c r="E101" s="230">
        <f t="shared" si="48"/>
        <v>3.8222469425213956E-3</v>
      </c>
      <c r="F101" s="230">
        <f t="shared" si="48"/>
        <v>5.6062297786107773E-3</v>
      </c>
      <c r="G101" s="230">
        <f t="shared" si="48"/>
        <v>7.2855512711185663E-3</v>
      </c>
      <c r="H101" s="230">
        <f t="shared" si="48"/>
        <v>8.8460794797153436E-3</v>
      </c>
      <c r="I101" s="230">
        <f t="shared" si="48"/>
        <v>1.0381889589121493E-2</v>
      </c>
      <c r="J101" s="230">
        <f t="shared" si="48"/>
        <v>1.1889682806979766E-2</v>
      </c>
      <c r="K101" s="230">
        <f t="shared" si="48"/>
        <v>1.3366165859355371E-2</v>
      </c>
      <c r="L101" s="230">
        <f t="shared" si="48"/>
        <v>1.4808061025455767E-2</v>
      </c>
      <c r="M101" s="230">
        <f t="shared" si="48"/>
        <v>1.6212116326928094E-2</v>
      </c>
      <c r="N101" s="230">
        <f t="shared" si="48"/>
        <v>1.9359216803139741E-2</v>
      </c>
      <c r="O101" s="230">
        <f t="shared" si="48"/>
        <v>2.2356961146042915E-2</v>
      </c>
      <c r="P101" s="230">
        <f t="shared" si="48"/>
        <v>2.5185801262552932E-2</v>
      </c>
      <c r="Q101" s="230">
        <f t="shared" si="48"/>
        <v>2.7827377094466879E-2</v>
      </c>
      <c r="R101" s="230">
        <f t="shared" si="48"/>
        <v>3.026471519626768E-2</v>
      </c>
      <c r="S101" s="230">
        <f t="shared" si="48"/>
        <v>3.2612057715537685E-2</v>
      </c>
      <c r="T101" s="230">
        <f t="shared" si="48"/>
        <v>3.4867470345763152E-2</v>
      </c>
      <c r="U101" s="230">
        <f t="shared" si="48"/>
        <v>3.702909426367576E-2</v>
      </c>
      <c r="V101" s="230">
        <f t="shared" si="48"/>
        <v>3.9095148948907171E-2</v>
      </c>
      <c r="W101" s="230">
        <f t="shared" si="48"/>
        <v>4.1063934956129908E-2</v>
      </c>
      <c r="X101" s="230">
        <f t="shared" si="48"/>
        <v>4.469221158649675E-2</v>
      </c>
      <c r="Y101" s="230">
        <f t="shared" si="48"/>
        <v>4.8172105503142409E-2</v>
      </c>
      <c r="Z101" s="230">
        <f t="shared" si="48"/>
        <v>5.1501130856066668E-2</v>
      </c>
      <c r="AA101" s="230">
        <f t="shared" si="48"/>
        <v>5.4676928938993966E-2</v>
      </c>
      <c r="AB101" s="230">
        <f t="shared" si="48"/>
        <v>5.769727200725408E-2</v>
      </c>
      <c r="AC101" s="230">
        <f t="shared" si="48"/>
        <v>6.0561012782797533E-2</v>
      </c>
      <c r="AD101" s="230">
        <f t="shared" si="48"/>
        <v>6.3266274554710497E-2</v>
      </c>
      <c r="AE101" s="230">
        <f t="shared" si="48"/>
        <v>6.5811313529030024E-2</v>
      </c>
      <c r="AF101" s="230">
        <f t="shared" si="48"/>
        <v>6.8194522117882669E-2</v>
      </c>
      <c r="AG101" s="230">
        <f>AG97-$C97</f>
        <v>7.0414432147913888E-2</v>
      </c>
      <c r="AH101" s="245"/>
      <c r="AI101" s="133"/>
      <c r="AJ101" s="211"/>
      <c r="AL101" s="108"/>
      <c r="AM101" s="2"/>
      <c r="AN101" s="2"/>
      <c r="AO101" s="2"/>
      <c r="BC101" s="1"/>
      <c r="BD101" s="2"/>
      <c r="BE101" s="2"/>
      <c r="BF101" s="2"/>
      <c r="BG101" s="2"/>
      <c r="BH101" s="2"/>
      <c r="BI101" s="2"/>
      <c r="BJ101" s="2"/>
      <c r="BK101" s="2"/>
    </row>
    <row r="102" spans="1:63" outlineLevel="1">
      <c r="A102" s="4" t="s">
        <v>745</v>
      </c>
      <c r="C102" s="230">
        <f t="shared" si="48"/>
        <v>0</v>
      </c>
      <c r="D102" s="230">
        <f t="shared" si="48"/>
        <v>2.8615730770716307E-4</v>
      </c>
      <c r="E102" s="230">
        <f t="shared" si="48"/>
        <v>6.052647645525608E-4</v>
      </c>
      <c r="F102" s="230">
        <f t="shared" si="48"/>
        <v>9.5659663215702485E-4</v>
      </c>
      <c r="G102" s="230">
        <f t="shared" si="48"/>
        <v>1.3389680813423507E-3</v>
      </c>
      <c r="H102" s="230">
        <f t="shared" si="48"/>
        <v>1.7507315746558769E-3</v>
      </c>
      <c r="I102" s="230">
        <f t="shared" si="48"/>
        <v>2.1945059731783832E-3</v>
      </c>
      <c r="J102" s="230">
        <f t="shared" si="48"/>
        <v>2.670773706261639E-3</v>
      </c>
      <c r="K102" s="230">
        <f t="shared" si="48"/>
        <v>3.1799427948222803E-3</v>
      </c>
      <c r="L102" s="230">
        <f t="shared" si="48"/>
        <v>3.7223429621667109E-3</v>
      </c>
      <c r="M102" s="230">
        <f t="shared" si="48"/>
        <v>4.2982219172615762E-3</v>
      </c>
      <c r="N102" s="230">
        <f t="shared" si="48"/>
        <v>5.0612156571858257E-3</v>
      </c>
      <c r="O102" s="230">
        <f t="shared" si="48"/>
        <v>5.8803120778195238E-3</v>
      </c>
      <c r="P102" s="230">
        <f t="shared" si="48"/>
        <v>6.7521541749366734E-3</v>
      </c>
      <c r="Q102" s="230">
        <f t="shared" si="48"/>
        <v>7.67269899033215E-3</v>
      </c>
      <c r="R102" s="230">
        <f t="shared" si="48"/>
        <v>8.637243422650296E-3</v>
      </c>
      <c r="S102" s="230">
        <f t="shared" si="48"/>
        <v>9.6578290502887555E-3</v>
      </c>
      <c r="T102" s="230">
        <f t="shared" si="48"/>
        <v>1.0734295200823151E-2</v>
      </c>
      <c r="U102" s="230">
        <f t="shared" si="48"/>
        <v>1.1866416884747061E-2</v>
      </c>
      <c r="V102" s="230">
        <f t="shared" si="48"/>
        <v>1.3053903814784905E-2</v>
      </c>
      <c r="W102" s="230">
        <f t="shared" si="48"/>
        <v>1.4296399478719872E-2</v>
      </c>
      <c r="X102" s="230">
        <f t="shared" si="48"/>
        <v>1.5926196230284063E-2</v>
      </c>
      <c r="Y102" s="230">
        <f t="shared" si="48"/>
        <v>1.7642890787984943E-2</v>
      </c>
      <c r="Z102" s="230">
        <f t="shared" si="48"/>
        <v>1.944590674697794E-2</v>
      </c>
      <c r="AA102" s="230">
        <f t="shared" si="48"/>
        <v>2.1334565867032293E-2</v>
      </c>
      <c r="AB102" s="230">
        <f t="shared" si="48"/>
        <v>2.3308086836680939E-2</v>
      </c>
      <c r="AC102" s="230">
        <f t="shared" si="48"/>
        <v>2.5365823930372192E-2</v>
      </c>
      <c r="AD102" s="230">
        <f t="shared" si="48"/>
        <v>2.7506847373502234E-2</v>
      </c>
      <c r="AE102" s="230">
        <f t="shared" si="48"/>
        <v>2.9730125873790869E-2</v>
      </c>
      <c r="AF102" s="230">
        <f t="shared" si="48"/>
        <v>3.2034525622813018E-2</v>
      </c>
      <c r="AG102" s="230">
        <f t="shared" ref="AG102:AG103" si="49">AG98-$C98</f>
        <v>3.4418809372652057E-2</v>
      </c>
      <c r="AH102" s="245"/>
      <c r="AI102" s="133"/>
      <c r="AJ102" s="211"/>
      <c r="AL102" s="108"/>
      <c r="AM102" s="2"/>
      <c r="AN102" s="2"/>
      <c r="AO102" s="2"/>
      <c r="BC102" s="1"/>
      <c r="BD102" s="2"/>
      <c r="BE102" s="2"/>
      <c r="BF102" s="2"/>
      <c r="BG102" s="2"/>
      <c r="BH102" s="2"/>
      <c r="BI102" s="2"/>
      <c r="BJ102" s="2"/>
      <c r="BK102" s="2"/>
    </row>
    <row r="103" spans="1:63" outlineLevel="1">
      <c r="A103" s="4" t="s">
        <v>1561</v>
      </c>
      <c r="C103" s="230">
        <f t="shared" si="48"/>
        <v>0</v>
      </c>
      <c r="D103" s="230">
        <f t="shared" si="48"/>
        <v>1.9714845225742565E-4</v>
      </c>
      <c r="E103" s="230">
        <f t="shared" si="48"/>
        <v>4.169979529567175E-4</v>
      </c>
      <c r="F103" s="230">
        <f t="shared" si="48"/>
        <v>6.5904850369020507E-4</v>
      </c>
      <c r="G103" s="230">
        <f t="shared" si="48"/>
        <v>9.2248381484241727E-4</v>
      </c>
      <c r="H103" s="230">
        <f t="shared" si="48"/>
        <v>1.2061688133256502E-3</v>
      </c>
      <c r="I103" s="230">
        <f t="shared" si="48"/>
        <v>1.5119077669144706E-3</v>
      </c>
      <c r="J103" s="230">
        <f t="shared" si="48"/>
        <v>1.8400330459431781E-3</v>
      </c>
      <c r="K103" s="230">
        <f t="shared" si="48"/>
        <v>2.1908257569571484E-3</v>
      </c>
      <c r="L103" s="230">
        <f t="shared" si="48"/>
        <v>2.5645130632605492E-3</v>
      </c>
      <c r="M103" s="230">
        <f t="shared" si="48"/>
        <v>2.9612656242706636E-3</v>
      </c>
      <c r="N103" s="230">
        <f t="shared" si="48"/>
        <v>3.486931161570536E-3</v>
      </c>
      <c r="O103" s="230">
        <f t="shared" si="48"/>
        <v>4.0512487142880223E-3</v>
      </c>
      <c r="P103" s="230">
        <f t="shared" si="48"/>
        <v>4.6519054699610549E-3</v>
      </c>
      <c r="Q103" s="230">
        <f t="shared" si="48"/>
        <v>5.2861160272344556E-3</v>
      </c>
      <c r="R103" s="230">
        <f t="shared" si="48"/>
        <v>5.9506401782641301E-3</v>
      </c>
      <c r="S103" s="230">
        <f t="shared" si="48"/>
        <v>6.6537739842719755E-3</v>
      </c>
      <c r="T103" s="230">
        <f t="shared" si="48"/>
        <v>7.3954067497805981E-3</v>
      </c>
      <c r="U103" s="230">
        <f t="shared" si="48"/>
        <v>8.1753834679746187E-3</v>
      </c>
      <c r="V103" s="230">
        <f t="shared" si="48"/>
        <v>8.9935041450549986E-3</v>
      </c>
      <c r="W103" s="230">
        <f t="shared" si="48"/>
        <v>9.8495231614626286E-3</v>
      </c>
      <c r="X103" s="230">
        <f t="shared" si="48"/>
        <v>1.0972373769890466E-2</v>
      </c>
      <c r="Y103" s="230">
        <f t="shared" si="48"/>
        <v>1.215509273576716E-2</v>
      </c>
      <c r="Z103" s="230">
        <f t="shared" si="48"/>
        <v>1.3397282944219454E-2</v>
      </c>
      <c r="AA103" s="230">
        <f t="shared" si="48"/>
        <v>1.4698477120751284E-2</v>
      </c>
      <c r="AB103" s="230">
        <f t="shared" si="48"/>
        <v>1.6058136979803225E-2</v>
      </c>
      <c r="AC103" s="230">
        <f t="shared" si="48"/>
        <v>1.7475817647909991E-2</v>
      </c>
      <c r="AD103" s="230">
        <f t="shared" si="48"/>
        <v>1.8950878555639473E-2</v>
      </c>
      <c r="AE103" s="230">
        <f t="shared" si="48"/>
        <v>2.0482609192823343E-2</v>
      </c>
      <c r="AF103" s="230">
        <f t="shared" si="48"/>
        <v>2.2070228420660885E-2</v>
      </c>
      <c r="AG103" s="230">
        <f t="shared" si="49"/>
        <v>2.3712883835578076E-2</v>
      </c>
      <c r="AH103" s="245"/>
      <c r="AI103" s="133"/>
      <c r="AJ103" s="211"/>
      <c r="AL103" s="108"/>
      <c r="AM103" s="2"/>
      <c r="AN103" s="2"/>
      <c r="AO103" s="2"/>
      <c r="BC103" s="1"/>
      <c r="BD103" s="2"/>
      <c r="BE103" s="2"/>
      <c r="BF103" s="2"/>
      <c r="BG103" s="2"/>
      <c r="BH103" s="2"/>
      <c r="BI103" s="2"/>
      <c r="BJ103" s="2"/>
      <c r="BK103" s="2"/>
    </row>
    <row r="104" spans="1:63" s="1" customFormat="1" outlineLevel="1">
      <c r="A104" s="1" t="s">
        <v>1569</v>
      </c>
      <c r="B104" s="65"/>
      <c r="C104" s="300">
        <f>C42*C70</f>
        <v>0.18277008388849009</v>
      </c>
      <c r="D104" s="300">
        <f t="shared" ref="D104:AG104" si="50">D42*D70</f>
        <v>0.19468696439669117</v>
      </c>
      <c r="E104" s="300">
        <f t="shared" si="50"/>
        <v>0.20659204635071993</v>
      </c>
      <c r="F104" s="300">
        <f t="shared" si="50"/>
        <v>0.21840723918446481</v>
      </c>
      <c r="G104" s="300">
        <f t="shared" si="50"/>
        <v>0.23005199544906402</v>
      </c>
      <c r="H104" s="300">
        <f t="shared" si="50"/>
        <v>0.24144421256580675</v>
      </c>
      <c r="I104" s="300">
        <f t="shared" si="50"/>
        <v>0.25304594947490677</v>
      </c>
      <c r="J104" s="300">
        <f t="shared" si="50"/>
        <v>0.26484681556931955</v>
      </c>
      <c r="K104" s="300">
        <f t="shared" si="50"/>
        <v>0.27683569275298969</v>
      </c>
      <c r="L104" s="300">
        <f t="shared" si="50"/>
        <v>0.28900074254045671</v>
      </c>
      <c r="M104" s="300">
        <f t="shared" si="50"/>
        <v>0.30132941561734111</v>
      </c>
      <c r="N104" s="300">
        <f t="shared" si="50"/>
        <v>0.32362181332042467</v>
      </c>
      <c r="O104" s="300">
        <f t="shared" si="50"/>
        <v>0.34579049076510582</v>
      </c>
      <c r="P104" s="300">
        <f t="shared" si="50"/>
        <v>0.36771096894722749</v>
      </c>
      <c r="Q104" s="300">
        <f t="shared" si="50"/>
        <v>0.38925732721446038</v>
      </c>
      <c r="R104" s="300">
        <f t="shared" si="50"/>
        <v>0.41030338386857268</v>
      </c>
      <c r="S104" s="300">
        <f t="shared" si="50"/>
        <v>0.43149992920551339</v>
      </c>
      <c r="T104" s="300">
        <f t="shared" si="50"/>
        <v>0.45283638159257295</v>
      </c>
      <c r="U104" s="300">
        <f t="shared" si="50"/>
        <v>0.47430185796345709</v>
      </c>
      <c r="V104" s="300">
        <f t="shared" si="50"/>
        <v>0.49588517694801532</v>
      </c>
      <c r="W104" s="300">
        <f t="shared" si="50"/>
        <v>0.51757486232357641</v>
      </c>
      <c r="X104" s="300">
        <f t="shared" si="50"/>
        <v>0.55086737937285635</v>
      </c>
      <c r="Y104" s="300">
        <f t="shared" si="50"/>
        <v>0.58435234005521697</v>
      </c>
      <c r="Z104" s="300">
        <f t="shared" si="50"/>
        <v>0.61801240181458195</v>
      </c>
      <c r="AA104" s="300">
        <f t="shared" si="50"/>
        <v>0.6518297801442734</v>
      </c>
      <c r="AB104" s="300">
        <f t="shared" si="50"/>
        <v>0.68578625375605529</v>
      </c>
      <c r="AC104" s="300">
        <f t="shared" si="50"/>
        <v>0.71986997594904878</v>
      </c>
      <c r="AD104" s="300">
        <f t="shared" si="50"/>
        <v>0.7540628481758852</v>
      </c>
      <c r="AE104" s="300">
        <f t="shared" si="50"/>
        <v>0.78834635988317003</v>
      </c>
      <c r="AF104" s="300">
        <f t="shared" si="50"/>
        <v>0.82270159363490447</v>
      </c>
      <c r="AG104" s="300">
        <f t="shared" si="50"/>
        <v>0.85710923062249167</v>
      </c>
      <c r="AH104" s="245"/>
      <c r="AI104" s="423"/>
      <c r="AJ104" s="424"/>
      <c r="AL104" s="221"/>
      <c r="AM104" s="124"/>
      <c r="AN104" s="124"/>
      <c r="AO104" s="124"/>
      <c r="BD104" s="124"/>
      <c r="BE104" s="124"/>
      <c r="BF104" s="124"/>
      <c r="BG104" s="124"/>
      <c r="BH104" s="124"/>
      <c r="BI104" s="124"/>
      <c r="BJ104" s="124"/>
      <c r="BK104" s="124"/>
    </row>
    <row r="105" spans="1:63" outlineLevel="1">
      <c r="A105" s="4" t="s">
        <v>474</v>
      </c>
      <c r="C105" s="230">
        <f>C$104*'Methanol recycling rates'!E42</f>
        <v>0.18277008388849009</v>
      </c>
      <c r="D105" s="230">
        <f>D$104*'Methanol recycling rates'!F42</f>
        <v>0.18819739891680146</v>
      </c>
      <c r="E105" s="230">
        <f>E$104*'Methanol recycling rates'!G42</f>
        <v>0.19281924326067193</v>
      </c>
      <c r="F105" s="230">
        <f>F$104*'Methanol recycling rates'!H42</f>
        <v>0.19656651526601834</v>
      </c>
      <c r="G105" s="230">
        <f>G$104*'Methanol recycling rates'!I42</f>
        <v>0.1993783960558555</v>
      </c>
      <c r="H105" s="230">
        <f>H$104*'Methanol recycling rates'!J42</f>
        <v>0.20120351047150564</v>
      </c>
      <c r="I105" s="230">
        <f>I$104*'Methanol recycling rates'!K42</f>
        <v>0.20243675957992543</v>
      </c>
      <c r="J105" s="230">
        <f>J$104*'Methanol recycling rates'!L42</f>
        <v>0.20304922526981167</v>
      </c>
      <c r="K105" s="230">
        <f>K$104*'Methanol recycling rates'!M42</f>
        <v>0.20301284135219247</v>
      </c>
      <c r="L105" s="230">
        <f>L$104*'Methanol recycling rates'!N42</f>
        <v>0.20230051977831973</v>
      </c>
      <c r="M105" s="230">
        <f>M$104*'Methanol recycling rates'!O42</f>
        <v>0.20088627707822743</v>
      </c>
      <c r="N105" s="230">
        <f>N$104*'Methanol recycling rates'!P42</f>
        <v>0.20496048176960233</v>
      </c>
      <c r="O105" s="230">
        <f>O$104*'Methanol recycling rates'!Q42</f>
        <v>0.20747429445906351</v>
      </c>
      <c r="P105" s="230">
        <f>P$104*'Methanol recycling rates'!R42</f>
        <v>0.20836954907009561</v>
      </c>
      <c r="Q105" s="230">
        <f>Q$104*'Methanol recycling rates'!S42</f>
        <v>0.20760390784771224</v>
      </c>
      <c r="R105" s="230">
        <f>R$104*'Methanol recycling rates'!T42</f>
        <v>0.2051516919342864</v>
      </c>
      <c r="S105" s="230">
        <f>S$104*'Methanol recycling rates'!U42</f>
        <v>0.20136663362923962</v>
      </c>
      <c r="T105" s="230">
        <f>T$104*'Methanol recycling rates'!V42</f>
        <v>0.19622909869011501</v>
      </c>
      <c r="U105" s="230">
        <f>U$104*'Methanol recycling rates'!W42</f>
        <v>0.1897207431853829</v>
      </c>
      <c r="V105" s="230">
        <f>V$104*'Methanol recycling rates'!X42</f>
        <v>0.18182456488093901</v>
      </c>
      <c r="W105" s="230">
        <f>W$104*'Methanol recycling rates'!Y42</f>
        <v>0.17252495410785887</v>
      </c>
      <c r="X105" s="230">
        <f>X$104*'Methanol recycling rates'!Z42</f>
        <v>0.16526021381185699</v>
      </c>
      <c r="Y105" s="230">
        <f>Y$104*'Methanol recycling rates'!AA42</f>
        <v>0.15582729068139128</v>
      </c>
      <c r="Z105" s="230">
        <f>Z$104*'Methanol recycling rates'!AB42</f>
        <v>0.14420289375673589</v>
      </c>
      <c r="AA105" s="230">
        <f>AA$104*'Methanol recycling rates'!AC42</f>
        <v>0.13036595602885478</v>
      </c>
      <c r="AB105" s="230">
        <f>AB$104*'Methanol recycling rates'!AD42</f>
        <v>0.11429770895934267</v>
      </c>
      <c r="AC105" s="230">
        <f>AC$104*'Methanol recycling rates'!AE42</f>
        <v>9.5982663459873316E-2</v>
      </c>
      <c r="AD105" s="230">
        <f>AD$104*'Methanol recycling rates'!AF42</f>
        <v>7.5406284817588667E-2</v>
      </c>
      <c r="AE105" s="230">
        <f>AE$104*'Methanol recycling rates'!AG42</f>
        <v>5.2556423992211498E-2</v>
      </c>
      <c r="AF105" s="230">
        <f>AF$104*'Methanol recycling rates'!AH42</f>
        <v>2.7423386454496986E-2</v>
      </c>
      <c r="AG105" s="230">
        <f>AG$104*'Methanol recycling rates'!AI42</f>
        <v>0</v>
      </c>
      <c r="AH105" s="245"/>
      <c r="AI105" s="133"/>
      <c r="AJ105" s="211"/>
      <c r="AL105" s="108"/>
      <c r="AM105" s="2"/>
      <c r="AN105" s="2"/>
      <c r="AO105" s="2"/>
      <c r="BC105" s="1"/>
      <c r="BD105" s="2"/>
      <c r="BE105" s="2"/>
      <c r="BF105" s="2"/>
      <c r="BG105" s="2"/>
      <c r="BH105" s="2"/>
      <c r="BI105" s="2"/>
      <c r="BJ105" s="2"/>
      <c r="BK105" s="2"/>
    </row>
    <row r="106" spans="1:63" outlineLevel="1">
      <c r="A106" s="4" t="s">
        <v>745</v>
      </c>
      <c r="C106" s="230">
        <f>C$104*'Methanol recycling rates'!E43</f>
        <v>0</v>
      </c>
      <c r="D106" s="230">
        <f>D$104*'Methanol recycling rates'!F43</f>
        <v>3.2447827399448527E-3</v>
      </c>
      <c r="E106" s="230">
        <f>E$104*'Methanol recycling rates'!G43</f>
        <v>6.8864015450239976E-3</v>
      </c>
      <c r="F106" s="230">
        <f>F$104*'Methanol recycling rates'!H43</f>
        <v>1.0920361959223241E-2</v>
      </c>
      <c r="G106" s="230">
        <f>G$104*'Methanol recycling rates'!I43</f>
        <v>1.5336799696604267E-2</v>
      </c>
      <c r="H106" s="230">
        <f>H$104*'Methanol recycling rates'!J43</f>
        <v>2.0120351047150563E-2</v>
      </c>
      <c r="I106" s="230">
        <f>I$104*'Methanol recycling rates'!K43</f>
        <v>2.5304594947490676E-2</v>
      </c>
      <c r="J106" s="230">
        <f>J$104*'Methanol recycling rates'!L43</f>
        <v>3.0898795149753945E-2</v>
      </c>
      <c r="K106" s="230">
        <f>K$104*'Methanol recycling rates'!M43</f>
        <v>3.6911425700398626E-2</v>
      </c>
      <c r="L106" s="230">
        <f>L$104*'Methanol recycling rates'!N43</f>
        <v>4.3350111381068507E-2</v>
      </c>
      <c r="M106" s="230">
        <f>M$104*'Methanol recycling rates'!O43</f>
        <v>5.022156926955685E-2</v>
      </c>
      <c r="N106" s="230">
        <f>N$104*'Methanol recycling rates'!P43</f>
        <v>5.9330665775411184E-2</v>
      </c>
      <c r="O106" s="230">
        <f>O$104*'Methanol recycling rates'!Q43</f>
        <v>6.9158098153021152E-2</v>
      </c>
      <c r="P106" s="230">
        <f>P$104*'Methanol recycling rates'!R43</f>
        <v>7.9670709938565953E-2</v>
      </c>
      <c r="Q106" s="230">
        <f>Q$104*'Methanol recycling rates'!S43</f>
        <v>9.0826709683374085E-2</v>
      </c>
      <c r="R106" s="230">
        <f>R$104*'Methanol recycling rates'!T43</f>
        <v>0.10257584596714316</v>
      </c>
      <c r="S106" s="230">
        <f>S$104*'Methanol recycling rates'!U43</f>
        <v>0.1150666477881369</v>
      </c>
      <c r="T106" s="230">
        <f>T$104*'Methanol recycling rates'!V43</f>
        <v>0.12830364145122899</v>
      </c>
      <c r="U106" s="230">
        <f>U$104*'Methanol recycling rates'!W43</f>
        <v>0.14229055738903712</v>
      </c>
      <c r="V106" s="230">
        <f>V$104*'Methanol recycling rates'!X43</f>
        <v>0.15703030603353818</v>
      </c>
      <c r="W106" s="230">
        <f>W$104*'Methanol recycling rates'!Y43</f>
        <v>0.17252495410785879</v>
      </c>
      <c r="X106" s="230">
        <f>X$104*'Methanol recycling rates'!Z43</f>
        <v>0.19280358278049972</v>
      </c>
      <c r="Y106" s="230">
        <f>Y$104*'Methanol recycling rates'!AA43</f>
        <v>0.21426252468691287</v>
      </c>
      <c r="Z106" s="230">
        <f>Z$104*'Methanol recycling rates'!AB43</f>
        <v>0.23690475402892305</v>
      </c>
      <c r="AA106" s="230">
        <f>AA$104*'Methanol recycling rates'!AC43</f>
        <v>0.26073191205770935</v>
      </c>
      <c r="AB106" s="230">
        <f>AB$104*'Methanol recycling rates'!AD43</f>
        <v>0.28574427239835637</v>
      </c>
      <c r="AC106" s="230">
        <f>AC$104*'Methanol recycling rates'!AE43</f>
        <v>0.31194365624458775</v>
      </c>
      <c r="AD106" s="230">
        <f>AD$104*'Methanol recycling rates'!AF43</f>
        <v>0.3393282816791483</v>
      </c>
      <c r="AE106" s="230">
        <f>AE$104*'Methanol recycling rates'!AG43</f>
        <v>0.36789496794547932</v>
      </c>
      <c r="AF106" s="230">
        <f>AF$104*'Methanol recycling rates'!AH43</f>
        <v>0.39763910359020377</v>
      </c>
      <c r="AG106" s="230">
        <f>AG$104*'Methanol recycling rates'!AI43</f>
        <v>0.42855461531124583</v>
      </c>
      <c r="AH106" s="245"/>
      <c r="AI106" s="133"/>
      <c r="AJ106" s="211"/>
      <c r="AL106" s="108"/>
      <c r="AM106" s="2"/>
      <c r="AN106" s="2"/>
      <c r="AO106" s="2"/>
      <c r="BC106" s="1"/>
      <c r="BD106" s="2"/>
      <c r="BE106" s="2"/>
      <c r="BF106" s="2"/>
      <c r="BG106" s="2"/>
      <c r="BH106" s="2"/>
      <c r="BI106" s="2"/>
      <c r="BJ106" s="2"/>
      <c r="BK106" s="2"/>
    </row>
    <row r="107" spans="1:63" outlineLevel="1">
      <c r="A107" s="4" t="s">
        <v>1561</v>
      </c>
      <c r="C107" s="230">
        <f>C$104*'Methanol recycling rates'!E44</f>
        <v>0</v>
      </c>
      <c r="D107" s="230">
        <f>D$104*'Methanol recycling rates'!F44</f>
        <v>3.2447827399448527E-3</v>
      </c>
      <c r="E107" s="230">
        <f>E$104*'Methanol recycling rates'!G44</f>
        <v>6.8864015450239976E-3</v>
      </c>
      <c r="F107" s="230">
        <f>F$104*'Methanol recycling rates'!H44</f>
        <v>1.0920361959223241E-2</v>
      </c>
      <c r="G107" s="230">
        <f>G$104*'Methanol recycling rates'!I44</f>
        <v>1.5336799696604267E-2</v>
      </c>
      <c r="H107" s="230">
        <f>H$104*'Methanol recycling rates'!J44</f>
        <v>2.0120351047150563E-2</v>
      </c>
      <c r="I107" s="230">
        <f>I$104*'Methanol recycling rates'!K44</f>
        <v>2.5304594947490676E-2</v>
      </c>
      <c r="J107" s="230">
        <f>J$104*'Methanol recycling rates'!L44</f>
        <v>3.0898795149753945E-2</v>
      </c>
      <c r="K107" s="230">
        <f>K$104*'Methanol recycling rates'!M44</f>
        <v>3.6911425700398626E-2</v>
      </c>
      <c r="L107" s="230">
        <f>L$104*'Methanol recycling rates'!N44</f>
        <v>4.3350111381068507E-2</v>
      </c>
      <c r="M107" s="230">
        <f>M$104*'Methanol recycling rates'!O44</f>
        <v>5.022156926955685E-2</v>
      </c>
      <c r="N107" s="230">
        <f>N$104*'Methanol recycling rates'!P44</f>
        <v>5.9330665775411184E-2</v>
      </c>
      <c r="O107" s="230">
        <f>O$104*'Methanol recycling rates'!Q44</f>
        <v>6.9158098153021152E-2</v>
      </c>
      <c r="P107" s="230">
        <f>P$104*'Methanol recycling rates'!R44</f>
        <v>7.9670709938565953E-2</v>
      </c>
      <c r="Q107" s="230">
        <f>Q$104*'Methanol recycling rates'!S44</f>
        <v>9.0826709683374085E-2</v>
      </c>
      <c r="R107" s="230">
        <f>R$104*'Methanol recycling rates'!T44</f>
        <v>0.10257584596714316</v>
      </c>
      <c r="S107" s="230">
        <f>S$104*'Methanol recycling rates'!U44</f>
        <v>0.1150666477881369</v>
      </c>
      <c r="T107" s="230">
        <f>T$104*'Methanol recycling rates'!V44</f>
        <v>0.12830364145122899</v>
      </c>
      <c r="U107" s="230">
        <f>U$104*'Methanol recycling rates'!W44</f>
        <v>0.14229055738903712</v>
      </c>
      <c r="V107" s="230">
        <f>V$104*'Methanol recycling rates'!X44</f>
        <v>0.15703030603353818</v>
      </c>
      <c r="W107" s="230">
        <f>W$104*'Methanol recycling rates'!Y44</f>
        <v>0.17252495410785879</v>
      </c>
      <c r="X107" s="230">
        <f>X$104*'Methanol recycling rates'!Z44</f>
        <v>0.19280358278049972</v>
      </c>
      <c r="Y107" s="230">
        <f>Y$104*'Methanol recycling rates'!AA44</f>
        <v>0.21426252468691287</v>
      </c>
      <c r="Z107" s="230">
        <f>Z$104*'Methanol recycling rates'!AB44</f>
        <v>0.23690475402892305</v>
      </c>
      <c r="AA107" s="230">
        <f>AA$104*'Methanol recycling rates'!AC44</f>
        <v>0.26073191205770935</v>
      </c>
      <c r="AB107" s="230">
        <f>AB$104*'Methanol recycling rates'!AD44</f>
        <v>0.28574427239835637</v>
      </c>
      <c r="AC107" s="230">
        <f>AC$104*'Methanol recycling rates'!AE44</f>
        <v>0.31194365624458775</v>
      </c>
      <c r="AD107" s="230">
        <f>AD$104*'Methanol recycling rates'!AF44</f>
        <v>0.3393282816791483</v>
      </c>
      <c r="AE107" s="230">
        <f>AE$104*'Methanol recycling rates'!AG44</f>
        <v>0.36789496794547932</v>
      </c>
      <c r="AF107" s="230">
        <f>AF$104*'Methanol recycling rates'!AH44</f>
        <v>0.39763910359020377</v>
      </c>
      <c r="AG107" s="230">
        <f>AG$104*'Methanol recycling rates'!AI44</f>
        <v>0.42855461531124583</v>
      </c>
      <c r="AH107" s="245"/>
      <c r="AI107" s="133"/>
      <c r="AJ107" s="211"/>
      <c r="AL107" s="108"/>
      <c r="AM107" s="2"/>
      <c r="AN107" s="2"/>
      <c r="AO107" s="2"/>
      <c r="BC107" s="1"/>
      <c r="BD107" s="2"/>
      <c r="BE107" s="2"/>
      <c r="BF107" s="2"/>
      <c r="BG107" s="2"/>
      <c r="BH107" s="2"/>
      <c r="BI107" s="2"/>
      <c r="BJ107" s="2"/>
      <c r="BK107" s="2"/>
    </row>
    <row r="108" spans="1:63" s="1" customFormat="1" outlineLevel="1">
      <c r="A108" s="1" t="s">
        <v>1570</v>
      </c>
      <c r="B108" s="65"/>
      <c r="C108" s="300">
        <f>C104-$C104</f>
        <v>0</v>
      </c>
      <c r="D108" s="300">
        <f t="shared" ref="D108:AG108" si="51">D104-$C104</f>
        <v>1.1916880508201083E-2</v>
      </c>
      <c r="E108" s="300">
        <f t="shared" si="51"/>
        <v>2.382196246222984E-2</v>
      </c>
      <c r="F108" s="300">
        <f t="shared" si="51"/>
        <v>3.5637155295974721E-2</v>
      </c>
      <c r="G108" s="300">
        <f t="shared" si="51"/>
        <v>4.728191156057393E-2</v>
      </c>
      <c r="H108" s="300">
        <f t="shared" si="51"/>
        <v>5.8674128677316667E-2</v>
      </c>
      <c r="I108" s="300">
        <f t="shared" si="51"/>
        <v>7.0275865586416686E-2</v>
      </c>
      <c r="J108" s="300">
        <f t="shared" si="51"/>
        <v>8.2076731680829462E-2</v>
      </c>
      <c r="K108" s="300">
        <f t="shared" si="51"/>
        <v>9.4065608864499606E-2</v>
      </c>
      <c r="L108" s="300">
        <f t="shared" si="51"/>
        <v>0.10623065865196663</v>
      </c>
      <c r="M108" s="300">
        <f t="shared" si="51"/>
        <v>0.11855933172885103</v>
      </c>
      <c r="N108" s="300">
        <f t="shared" si="51"/>
        <v>0.14085172943193458</v>
      </c>
      <c r="O108" s="300">
        <f t="shared" si="51"/>
        <v>0.16302040687661573</v>
      </c>
      <c r="P108" s="300">
        <f t="shared" si="51"/>
        <v>0.1849408850587374</v>
      </c>
      <c r="Q108" s="300">
        <f t="shared" si="51"/>
        <v>0.20648724332597029</v>
      </c>
      <c r="R108" s="300">
        <f t="shared" si="51"/>
        <v>0.22753329998008259</v>
      </c>
      <c r="S108" s="300">
        <f t="shared" si="51"/>
        <v>0.2487298453170233</v>
      </c>
      <c r="T108" s="300">
        <f t="shared" si="51"/>
        <v>0.27006629770408286</v>
      </c>
      <c r="U108" s="300">
        <f t="shared" si="51"/>
        <v>0.291531774074967</v>
      </c>
      <c r="V108" s="300">
        <f t="shared" si="51"/>
        <v>0.31311509305952523</v>
      </c>
      <c r="W108" s="300">
        <f t="shared" si="51"/>
        <v>0.33480477843508633</v>
      </c>
      <c r="X108" s="300">
        <f t="shared" si="51"/>
        <v>0.36809729548436626</v>
      </c>
      <c r="Y108" s="300">
        <f t="shared" si="51"/>
        <v>0.40158225616672688</v>
      </c>
      <c r="Z108" s="300">
        <f t="shared" si="51"/>
        <v>0.43524231792609186</v>
      </c>
      <c r="AA108" s="300">
        <f t="shared" si="51"/>
        <v>0.46905969625578331</v>
      </c>
      <c r="AB108" s="300">
        <f t="shared" si="51"/>
        <v>0.50301616986756525</v>
      </c>
      <c r="AC108" s="300">
        <f t="shared" si="51"/>
        <v>0.53709989206055875</v>
      </c>
      <c r="AD108" s="300">
        <f t="shared" si="51"/>
        <v>0.57129276428739506</v>
      </c>
      <c r="AE108" s="300">
        <f t="shared" si="51"/>
        <v>0.60557627599467989</v>
      </c>
      <c r="AF108" s="300">
        <f t="shared" si="51"/>
        <v>0.63993150974641444</v>
      </c>
      <c r="AG108" s="300">
        <f t="shared" si="51"/>
        <v>0.67433914673400164</v>
      </c>
      <c r="AH108" s="245"/>
      <c r="AI108" s="423"/>
      <c r="AJ108" s="424"/>
      <c r="AL108" s="221"/>
      <c r="AM108" s="124"/>
      <c r="AN108" s="124"/>
      <c r="AO108" s="124"/>
      <c r="BD108" s="124"/>
      <c r="BE108" s="124"/>
      <c r="BF108" s="124"/>
      <c r="BG108" s="124"/>
      <c r="BH108" s="124"/>
      <c r="BI108" s="124"/>
      <c r="BJ108" s="124"/>
      <c r="BK108" s="124"/>
    </row>
    <row r="109" spans="1:63" outlineLevel="1">
      <c r="A109" s="4" t="s">
        <v>474</v>
      </c>
      <c r="C109" s="230">
        <f t="shared" ref="C109:AF111" si="52">C105-$C105</f>
        <v>0</v>
      </c>
      <c r="D109" s="230">
        <f t="shared" si="52"/>
        <v>5.4273150283113691E-3</v>
      </c>
      <c r="E109" s="230">
        <f t="shared" si="52"/>
        <v>1.0049159372181843E-2</v>
      </c>
      <c r="F109" s="230">
        <f t="shared" si="52"/>
        <v>1.3796431377528257E-2</v>
      </c>
      <c r="G109" s="230">
        <f t="shared" si="52"/>
        <v>1.6608312167365413E-2</v>
      </c>
      <c r="H109" s="230">
        <f t="shared" si="52"/>
        <v>1.8433426583015555E-2</v>
      </c>
      <c r="I109" s="230">
        <f t="shared" si="52"/>
        <v>1.9666675691435348E-2</v>
      </c>
      <c r="J109" s="230">
        <f t="shared" si="52"/>
        <v>2.0279141381321586E-2</v>
      </c>
      <c r="K109" s="230">
        <f t="shared" si="52"/>
        <v>2.0242757463702382E-2</v>
      </c>
      <c r="L109" s="230">
        <f t="shared" si="52"/>
        <v>1.9530435889829639E-2</v>
      </c>
      <c r="M109" s="230">
        <f t="shared" si="52"/>
        <v>1.811619318973734E-2</v>
      </c>
      <c r="N109" s="230">
        <f t="shared" si="52"/>
        <v>2.2190397881112239E-2</v>
      </c>
      <c r="O109" s="230">
        <f t="shared" si="52"/>
        <v>2.4704210570573426E-2</v>
      </c>
      <c r="P109" s="230">
        <f t="shared" si="52"/>
        <v>2.5599465181605524E-2</v>
      </c>
      <c r="Q109" s="230">
        <f t="shared" si="52"/>
        <v>2.4833823959222151E-2</v>
      </c>
      <c r="R109" s="230">
        <f t="shared" si="52"/>
        <v>2.2381608045796308E-2</v>
      </c>
      <c r="S109" s="230">
        <f t="shared" si="52"/>
        <v>1.8596549740749535E-2</v>
      </c>
      <c r="T109" s="230">
        <f t="shared" si="52"/>
        <v>1.3459014801624924E-2</v>
      </c>
      <c r="U109" s="230">
        <f t="shared" si="52"/>
        <v>6.9506592968928138E-3</v>
      </c>
      <c r="V109" s="230">
        <f t="shared" si="52"/>
        <v>-9.4551900755107665E-4</v>
      </c>
      <c r="W109" s="230">
        <f t="shared" si="52"/>
        <v>-1.0245129780631218E-2</v>
      </c>
      <c r="X109" s="230">
        <f t="shared" si="52"/>
        <v>-1.7509870076633099E-2</v>
      </c>
      <c r="Y109" s="230">
        <f t="shared" si="52"/>
        <v>-2.6942793207098803E-2</v>
      </c>
      <c r="Z109" s="230">
        <f t="shared" si="52"/>
        <v>-3.8567190131754192E-2</v>
      </c>
      <c r="AA109" s="230">
        <f t="shared" si="52"/>
        <v>-5.2404127859635302E-2</v>
      </c>
      <c r="AB109" s="230">
        <f t="shared" si="52"/>
        <v>-6.8472374929147414E-2</v>
      </c>
      <c r="AC109" s="230">
        <f t="shared" si="52"/>
        <v>-8.6787420428616771E-2</v>
      </c>
      <c r="AD109" s="230">
        <f t="shared" si="52"/>
        <v>-0.10736379907090142</v>
      </c>
      <c r="AE109" s="230">
        <f t="shared" si="52"/>
        <v>-0.13021365989627859</v>
      </c>
      <c r="AF109" s="230">
        <f t="shared" si="52"/>
        <v>-0.1553466974339931</v>
      </c>
      <c r="AG109" s="230">
        <f>AG105-$C105</f>
        <v>-0.18277008388849009</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si="52"/>
        <v>0</v>
      </c>
      <c r="D110" s="230">
        <f t="shared" si="52"/>
        <v>3.2447827399448527E-3</v>
      </c>
      <c r="E110" s="230">
        <f t="shared" si="52"/>
        <v>6.8864015450239976E-3</v>
      </c>
      <c r="F110" s="230">
        <f t="shared" si="52"/>
        <v>1.0920361959223241E-2</v>
      </c>
      <c r="G110" s="230">
        <f t="shared" si="52"/>
        <v>1.5336799696604267E-2</v>
      </c>
      <c r="H110" s="230">
        <f t="shared" si="52"/>
        <v>2.0120351047150563E-2</v>
      </c>
      <c r="I110" s="230">
        <f t="shared" si="52"/>
        <v>2.5304594947490676E-2</v>
      </c>
      <c r="J110" s="230">
        <f t="shared" si="52"/>
        <v>3.0898795149753945E-2</v>
      </c>
      <c r="K110" s="230">
        <f t="shared" si="52"/>
        <v>3.6911425700398626E-2</v>
      </c>
      <c r="L110" s="230">
        <f t="shared" si="52"/>
        <v>4.3350111381068507E-2</v>
      </c>
      <c r="M110" s="230">
        <f t="shared" si="52"/>
        <v>5.022156926955685E-2</v>
      </c>
      <c r="N110" s="230">
        <f t="shared" si="52"/>
        <v>5.9330665775411184E-2</v>
      </c>
      <c r="O110" s="230">
        <f t="shared" si="52"/>
        <v>6.9158098153021152E-2</v>
      </c>
      <c r="P110" s="230">
        <f t="shared" si="52"/>
        <v>7.9670709938565953E-2</v>
      </c>
      <c r="Q110" s="230">
        <f t="shared" si="52"/>
        <v>9.0826709683374085E-2</v>
      </c>
      <c r="R110" s="230">
        <f t="shared" si="52"/>
        <v>0.10257584596714316</v>
      </c>
      <c r="S110" s="230">
        <f t="shared" si="52"/>
        <v>0.1150666477881369</v>
      </c>
      <c r="T110" s="230">
        <f t="shared" si="52"/>
        <v>0.12830364145122899</v>
      </c>
      <c r="U110" s="230">
        <f t="shared" si="52"/>
        <v>0.14229055738903712</v>
      </c>
      <c r="V110" s="230">
        <f t="shared" si="52"/>
        <v>0.15703030603353818</v>
      </c>
      <c r="W110" s="230">
        <f t="shared" si="52"/>
        <v>0.17252495410785879</v>
      </c>
      <c r="X110" s="230">
        <f t="shared" si="52"/>
        <v>0.19280358278049972</v>
      </c>
      <c r="Y110" s="230">
        <f t="shared" si="52"/>
        <v>0.21426252468691287</v>
      </c>
      <c r="Z110" s="230">
        <f t="shared" si="52"/>
        <v>0.23690475402892305</v>
      </c>
      <c r="AA110" s="230">
        <f t="shared" si="52"/>
        <v>0.26073191205770935</v>
      </c>
      <c r="AB110" s="230">
        <f t="shared" si="52"/>
        <v>0.28574427239835637</v>
      </c>
      <c r="AC110" s="230">
        <f t="shared" si="52"/>
        <v>0.31194365624458775</v>
      </c>
      <c r="AD110" s="230">
        <f t="shared" si="52"/>
        <v>0.3393282816791483</v>
      </c>
      <c r="AE110" s="230">
        <f t="shared" si="52"/>
        <v>0.36789496794547932</v>
      </c>
      <c r="AF110" s="230">
        <f t="shared" si="52"/>
        <v>0.39763910359020377</v>
      </c>
      <c r="AG110" s="230">
        <f t="shared" ref="AG110:AG111" si="53">AG106-$C106</f>
        <v>0.42855461531124583</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si="52"/>
        <v>0</v>
      </c>
      <c r="D111" s="230">
        <f t="shared" si="52"/>
        <v>3.2447827399448527E-3</v>
      </c>
      <c r="E111" s="230">
        <f t="shared" si="52"/>
        <v>6.8864015450239976E-3</v>
      </c>
      <c r="F111" s="230">
        <f t="shared" si="52"/>
        <v>1.0920361959223241E-2</v>
      </c>
      <c r="G111" s="230">
        <f t="shared" si="52"/>
        <v>1.5336799696604267E-2</v>
      </c>
      <c r="H111" s="230">
        <f t="shared" si="52"/>
        <v>2.0120351047150563E-2</v>
      </c>
      <c r="I111" s="230">
        <f t="shared" si="52"/>
        <v>2.5304594947490676E-2</v>
      </c>
      <c r="J111" s="230">
        <f t="shared" si="52"/>
        <v>3.0898795149753945E-2</v>
      </c>
      <c r="K111" s="230">
        <f t="shared" si="52"/>
        <v>3.6911425700398626E-2</v>
      </c>
      <c r="L111" s="230">
        <f t="shared" si="52"/>
        <v>4.3350111381068507E-2</v>
      </c>
      <c r="M111" s="230">
        <f t="shared" si="52"/>
        <v>5.022156926955685E-2</v>
      </c>
      <c r="N111" s="230">
        <f t="shared" si="52"/>
        <v>5.9330665775411184E-2</v>
      </c>
      <c r="O111" s="230">
        <f t="shared" si="52"/>
        <v>6.9158098153021152E-2</v>
      </c>
      <c r="P111" s="230">
        <f t="shared" si="52"/>
        <v>7.9670709938565953E-2</v>
      </c>
      <c r="Q111" s="230">
        <f t="shared" si="52"/>
        <v>9.0826709683374085E-2</v>
      </c>
      <c r="R111" s="230">
        <f t="shared" si="52"/>
        <v>0.10257584596714316</v>
      </c>
      <c r="S111" s="230">
        <f t="shared" si="52"/>
        <v>0.1150666477881369</v>
      </c>
      <c r="T111" s="230">
        <f t="shared" si="52"/>
        <v>0.12830364145122899</v>
      </c>
      <c r="U111" s="230">
        <f t="shared" si="52"/>
        <v>0.14229055738903712</v>
      </c>
      <c r="V111" s="230">
        <f t="shared" si="52"/>
        <v>0.15703030603353818</v>
      </c>
      <c r="W111" s="230">
        <f t="shared" si="52"/>
        <v>0.17252495410785879</v>
      </c>
      <c r="X111" s="230">
        <f t="shared" si="52"/>
        <v>0.19280358278049972</v>
      </c>
      <c r="Y111" s="230">
        <f t="shared" si="52"/>
        <v>0.21426252468691287</v>
      </c>
      <c r="Z111" s="230">
        <f t="shared" si="52"/>
        <v>0.23690475402892305</v>
      </c>
      <c r="AA111" s="230">
        <f t="shared" si="52"/>
        <v>0.26073191205770935</v>
      </c>
      <c r="AB111" s="230">
        <f t="shared" si="52"/>
        <v>0.28574427239835637</v>
      </c>
      <c r="AC111" s="230">
        <f t="shared" si="52"/>
        <v>0.31194365624458775</v>
      </c>
      <c r="AD111" s="230">
        <f t="shared" si="52"/>
        <v>0.3393282816791483</v>
      </c>
      <c r="AE111" s="230">
        <f t="shared" si="52"/>
        <v>0.36789496794547932</v>
      </c>
      <c r="AF111" s="230">
        <f t="shared" si="52"/>
        <v>0.39763910359020377</v>
      </c>
      <c r="AG111" s="230">
        <f t="shared" si="53"/>
        <v>0.42855461531124583</v>
      </c>
      <c r="AH111" s="245"/>
      <c r="AI111" s="133"/>
      <c r="AJ111" s="211"/>
      <c r="AL111" s="108"/>
      <c r="AM111" s="2"/>
      <c r="AN111" s="2"/>
      <c r="AO111" s="2"/>
      <c r="BC111" s="1"/>
      <c r="BD111" s="2"/>
      <c r="BE111" s="2"/>
      <c r="BF111" s="2"/>
      <c r="BG111" s="2"/>
      <c r="BH111" s="2"/>
      <c r="BI111" s="2"/>
      <c r="BJ111" s="2"/>
      <c r="BK111" s="2"/>
    </row>
    <row r="112" spans="1:63" outlineLevel="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I112" s="134"/>
      <c r="AJ112" s="211"/>
      <c r="AL112" s="108"/>
      <c r="AM112" s="132"/>
      <c r="AN112" s="2"/>
      <c r="AO112" s="2"/>
    </row>
    <row r="113" spans="1:62" s="200" customFormat="1" ht="16" thickBot="1">
      <c r="A113" s="200" t="s">
        <v>1330</v>
      </c>
      <c r="B113" s="215"/>
      <c r="C113" s="222">
        <f>C114</f>
        <v>2.5000000000000001E-2</v>
      </c>
      <c r="D113" s="222">
        <f t="shared" ref="D113:AG113" si="54">D114</f>
        <v>3.1255416735465176E-2</v>
      </c>
      <c r="E113" s="222">
        <f t="shared" si="54"/>
        <v>3.7510833470930344E-2</v>
      </c>
      <c r="F113" s="222">
        <f t="shared" si="54"/>
        <v>4.3766250206395518E-2</v>
      </c>
      <c r="G113" s="222">
        <f t="shared" si="54"/>
        <v>5.0021666941860693E-2</v>
      </c>
      <c r="H113" s="222">
        <f t="shared" si="54"/>
        <v>5.6277083677325861E-2</v>
      </c>
      <c r="I113" s="222">
        <f t="shared" si="54"/>
        <v>6.2532500412791042E-2</v>
      </c>
      <c r="J113" s="222">
        <f t="shared" si="54"/>
        <v>6.8787917148256203E-2</v>
      </c>
      <c r="K113" s="222">
        <f t="shared" si="54"/>
        <v>7.5043333883721378E-2</v>
      </c>
      <c r="L113" s="222">
        <f t="shared" si="54"/>
        <v>8.1298750619186552E-2</v>
      </c>
      <c r="M113" s="222">
        <f t="shared" si="54"/>
        <v>8.7554167354651713E-2</v>
      </c>
      <c r="N113" s="222">
        <f t="shared" si="54"/>
        <v>0.10073866108940137</v>
      </c>
      <c r="O113" s="222">
        <f t="shared" si="54"/>
        <v>0.11392315482415102</v>
      </c>
      <c r="P113" s="222">
        <f t="shared" si="54"/>
        <v>0.12710764855890069</v>
      </c>
      <c r="Q113" s="222">
        <f t="shared" si="54"/>
        <v>0.14029214229365033</v>
      </c>
      <c r="R113" s="222">
        <f t="shared" si="54"/>
        <v>0.1534766360284</v>
      </c>
      <c r="S113" s="222">
        <f t="shared" si="54"/>
        <v>0.16666112976314967</v>
      </c>
      <c r="T113" s="222">
        <f t="shared" si="54"/>
        <v>0.17984562349789934</v>
      </c>
      <c r="U113" s="222">
        <f t="shared" si="54"/>
        <v>0.19303011723264898</v>
      </c>
      <c r="V113" s="222">
        <f t="shared" si="54"/>
        <v>0.20621461096739863</v>
      </c>
      <c r="W113" s="222">
        <f t="shared" si="54"/>
        <v>0.2193991047021483</v>
      </c>
      <c r="X113" s="222">
        <f t="shared" si="54"/>
        <v>0.24145919423193346</v>
      </c>
      <c r="Y113" s="222">
        <f t="shared" si="54"/>
        <v>0.26351928376171863</v>
      </c>
      <c r="Z113" s="222">
        <f t="shared" si="54"/>
        <v>0.28557937329150385</v>
      </c>
      <c r="AA113" s="222">
        <f t="shared" si="54"/>
        <v>0.30763946282128896</v>
      </c>
      <c r="AB113" s="222">
        <f t="shared" si="54"/>
        <v>0.32969955235107418</v>
      </c>
      <c r="AC113" s="222">
        <f t="shared" si="54"/>
        <v>0.35175964188085934</v>
      </c>
      <c r="AD113" s="222">
        <f t="shared" si="54"/>
        <v>0.37381973141064451</v>
      </c>
      <c r="AE113" s="222">
        <f t="shared" si="54"/>
        <v>0.39587982094042967</v>
      </c>
      <c r="AF113" s="222">
        <f t="shared" si="54"/>
        <v>0.41793991047021484</v>
      </c>
      <c r="AG113" s="222">
        <f t="shared" si="54"/>
        <v>0.44</v>
      </c>
      <c r="AJ113" s="231" t="s">
        <v>1331</v>
      </c>
      <c r="AL113" s="217"/>
      <c r="AM113" s="218"/>
      <c r="AN113" s="218"/>
      <c r="AO113" s="218"/>
    </row>
    <row r="114" spans="1:62" ht="16" outlineLevel="1" thickTop="1">
      <c r="A114" t="s">
        <v>1332</v>
      </c>
      <c r="B114" s="54" t="s">
        <v>462</v>
      </c>
      <c r="C114" s="214">
        <v>2.5000000000000001E-2</v>
      </c>
      <c r="D114" s="110">
        <f>$C114+($M114-$C114)/10*(D$1-$C$1)</f>
        <v>3.1255416735465176E-2</v>
      </c>
      <c r="E114" s="110">
        <f t="shared" ref="E114:L114" si="55">$C114+($M114-$C114)/10*(E$1-$C$1)</f>
        <v>3.7510833470930344E-2</v>
      </c>
      <c r="F114" s="110">
        <f t="shared" si="55"/>
        <v>4.3766250206395518E-2</v>
      </c>
      <c r="G114" s="110">
        <f t="shared" si="55"/>
        <v>5.0021666941860693E-2</v>
      </c>
      <c r="H114" s="110">
        <f t="shared" si="55"/>
        <v>5.6277083677325861E-2</v>
      </c>
      <c r="I114" s="110">
        <f t="shared" si="55"/>
        <v>6.2532500412791042E-2</v>
      </c>
      <c r="J114" s="110">
        <f t="shared" si="55"/>
        <v>6.8787917148256203E-2</v>
      </c>
      <c r="K114" s="110">
        <f t="shared" si="55"/>
        <v>7.5043333883721378E-2</v>
      </c>
      <c r="L114" s="110">
        <f t="shared" si="55"/>
        <v>8.1298750619186552E-2</v>
      </c>
      <c r="M114" s="121">
        <f>(M$52-$C$52)/($AG$52-$C$52)*($AG114-$C114)+$C114</f>
        <v>8.7554167354651713E-2</v>
      </c>
      <c r="N114" s="121">
        <f>$M114+($W114-$M114)/10*(N$1-$M$1)</f>
        <v>0.10073866108940137</v>
      </c>
      <c r="O114" s="121">
        <f t="shared" ref="O114:U114" si="56">$M114+($W114-$M114)/10*(O$1-$M$1)</f>
        <v>0.11392315482415102</v>
      </c>
      <c r="P114" s="121">
        <f t="shared" si="56"/>
        <v>0.12710764855890069</v>
      </c>
      <c r="Q114" s="121">
        <f t="shared" si="56"/>
        <v>0.14029214229365033</v>
      </c>
      <c r="R114" s="121">
        <f t="shared" si="56"/>
        <v>0.1534766360284</v>
      </c>
      <c r="S114" s="121">
        <f t="shared" si="56"/>
        <v>0.16666112976314967</v>
      </c>
      <c r="T114" s="121">
        <f t="shared" si="56"/>
        <v>0.17984562349789934</v>
      </c>
      <c r="U114" s="121">
        <f t="shared" si="56"/>
        <v>0.19303011723264898</v>
      </c>
      <c r="V114" s="121">
        <f>$M114+($W114-$M114)/10*(V$1-$M$1)</f>
        <v>0.20621461096739863</v>
      </c>
      <c r="W114" s="121">
        <f>(W$52-$C$52)/($AG$52-$C$52)*($AG114-$C114)+$C114</f>
        <v>0.2193991047021483</v>
      </c>
      <c r="X114" s="110">
        <f>$W114+($AG114-$W114)/10*(X$1-$W$1)</f>
        <v>0.24145919423193346</v>
      </c>
      <c r="Y114" s="110">
        <f t="shared" ref="Y114:AF114" si="57">$W114+($AG114-$W114)/10*(Y$1-$W$1)</f>
        <v>0.26351928376171863</v>
      </c>
      <c r="Z114" s="110">
        <f t="shared" si="57"/>
        <v>0.28557937329150385</v>
      </c>
      <c r="AA114" s="110">
        <f t="shared" si="57"/>
        <v>0.30763946282128896</v>
      </c>
      <c r="AB114" s="110">
        <f t="shared" si="57"/>
        <v>0.32969955235107418</v>
      </c>
      <c r="AC114" s="110">
        <f t="shared" si="57"/>
        <v>0.35175964188085934</v>
      </c>
      <c r="AD114" s="110">
        <f t="shared" si="57"/>
        <v>0.37381973141064451</v>
      </c>
      <c r="AE114" s="110">
        <f t="shared" si="57"/>
        <v>0.39587982094042967</v>
      </c>
      <c r="AF114" s="110">
        <f t="shared" si="57"/>
        <v>0.41793991047021484</v>
      </c>
      <c r="AG114" s="214">
        <v>0.44</v>
      </c>
      <c r="AJ114" s="211" t="s">
        <v>1436</v>
      </c>
    </row>
    <row r="115" spans="1:62" outlineLevel="1">
      <c r="A115" t="s">
        <v>1437</v>
      </c>
      <c r="B115" s="54" t="s">
        <v>462</v>
      </c>
      <c r="C115" s="214">
        <v>0.08</v>
      </c>
      <c r="D115" s="110">
        <f t="shared" ref="D115:AF115" si="58">C115-($C$115-$AG$115)/($AG$1-$C$1)</f>
        <v>0.10400000000000001</v>
      </c>
      <c r="E115" s="110">
        <f t="shared" si="58"/>
        <v>0.128</v>
      </c>
      <c r="F115" s="110">
        <f t="shared" si="58"/>
        <v>0.152</v>
      </c>
      <c r="G115" s="110">
        <f t="shared" si="58"/>
        <v>0.17599999999999999</v>
      </c>
      <c r="H115" s="110">
        <f t="shared" si="58"/>
        <v>0.19999999999999998</v>
      </c>
      <c r="I115" s="110">
        <f t="shared" si="58"/>
        <v>0.22399999999999998</v>
      </c>
      <c r="J115" s="110">
        <f t="shared" si="58"/>
        <v>0.24799999999999997</v>
      </c>
      <c r="K115" s="110">
        <f t="shared" si="58"/>
        <v>0.27199999999999996</v>
      </c>
      <c r="L115" s="110">
        <f t="shared" si="58"/>
        <v>0.29599999999999999</v>
      </c>
      <c r="M115" s="110">
        <f t="shared" si="58"/>
        <v>0.32</v>
      </c>
      <c r="N115" s="110">
        <f t="shared" si="58"/>
        <v>0.34400000000000003</v>
      </c>
      <c r="O115" s="110">
        <f t="shared" si="58"/>
        <v>0.36800000000000005</v>
      </c>
      <c r="P115" s="110">
        <f t="shared" si="58"/>
        <v>0.39200000000000007</v>
      </c>
      <c r="Q115" s="110">
        <f t="shared" si="58"/>
        <v>0.41600000000000009</v>
      </c>
      <c r="R115" s="110">
        <f t="shared" si="58"/>
        <v>0.44000000000000011</v>
      </c>
      <c r="S115" s="110">
        <f t="shared" si="58"/>
        <v>0.46400000000000013</v>
      </c>
      <c r="T115" s="110">
        <f t="shared" si="58"/>
        <v>0.48800000000000016</v>
      </c>
      <c r="U115" s="110">
        <f t="shared" si="58"/>
        <v>0.51200000000000012</v>
      </c>
      <c r="V115" s="110">
        <f t="shared" si="58"/>
        <v>0.53600000000000014</v>
      </c>
      <c r="W115" s="110">
        <f t="shared" si="58"/>
        <v>0.56000000000000016</v>
      </c>
      <c r="X115" s="110">
        <f t="shared" si="58"/>
        <v>0.58400000000000019</v>
      </c>
      <c r="Y115" s="110">
        <f t="shared" si="58"/>
        <v>0.60800000000000021</v>
      </c>
      <c r="Z115" s="110">
        <f t="shared" si="58"/>
        <v>0.63200000000000023</v>
      </c>
      <c r="AA115" s="110">
        <f t="shared" si="58"/>
        <v>0.65600000000000025</v>
      </c>
      <c r="AB115" s="110">
        <f t="shared" si="58"/>
        <v>0.68000000000000027</v>
      </c>
      <c r="AC115" s="110">
        <f t="shared" si="58"/>
        <v>0.70400000000000029</v>
      </c>
      <c r="AD115" s="110">
        <f t="shared" si="58"/>
        <v>0.72800000000000031</v>
      </c>
      <c r="AE115" s="110">
        <f t="shared" si="58"/>
        <v>0.75200000000000033</v>
      </c>
      <c r="AF115" s="110">
        <f t="shared" si="58"/>
        <v>0.77600000000000036</v>
      </c>
      <c r="AG115" s="214">
        <v>0.8</v>
      </c>
      <c r="AI115" s="134"/>
      <c r="AJ115" s="211" t="s">
        <v>1438</v>
      </c>
      <c r="AL115" s="54" t="s">
        <v>1439</v>
      </c>
    </row>
    <row r="116" spans="1:62" outlineLevel="1">
      <c r="A116" t="s">
        <v>1440</v>
      </c>
      <c r="B116" s="176" t="s">
        <v>462</v>
      </c>
      <c r="C116" s="110">
        <f>1-C115</f>
        <v>0.92</v>
      </c>
      <c r="D116" s="110">
        <f t="shared" ref="D116:AG116" si="59">1-D115</f>
        <v>0.89600000000000002</v>
      </c>
      <c r="E116" s="110">
        <f t="shared" si="59"/>
        <v>0.872</v>
      </c>
      <c r="F116" s="110">
        <f t="shared" si="59"/>
        <v>0.84799999999999998</v>
      </c>
      <c r="G116" s="110">
        <f t="shared" si="59"/>
        <v>0.82400000000000007</v>
      </c>
      <c r="H116" s="110">
        <f t="shared" si="59"/>
        <v>0.8</v>
      </c>
      <c r="I116" s="110">
        <f t="shared" si="59"/>
        <v>0.77600000000000002</v>
      </c>
      <c r="J116" s="110">
        <f t="shared" si="59"/>
        <v>0.752</v>
      </c>
      <c r="K116" s="110">
        <f t="shared" si="59"/>
        <v>0.72799999999999998</v>
      </c>
      <c r="L116" s="110">
        <f t="shared" si="59"/>
        <v>0.70399999999999996</v>
      </c>
      <c r="M116" s="110">
        <f t="shared" si="59"/>
        <v>0.67999999999999994</v>
      </c>
      <c r="N116" s="110">
        <f t="shared" si="59"/>
        <v>0.65599999999999992</v>
      </c>
      <c r="O116" s="110">
        <f t="shared" si="59"/>
        <v>0.6319999999999999</v>
      </c>
      <c r="P116" s="110">
        <f t="shared" si="59"/>
        <v>0.60799999999999987</v>
      </c>
      <c r="Q116" s="110">
        <f t="shared" si="59"/>
        <v>0.58399999999999985</v>
      </c>
      <c r="R116" s="110">
        <f t="shared" si="59"/>
        <v>0.55999999999999983</v>
      </c>
      <c r="S116" s="110">
        <f t="shared" si="59"/>
        <v>0.53599999999999981</v>
      </c>
      <c r="T116" s="110">
        <f t="shared" si="59"/>
        <v>0.51199999999999979</v>
      </c>
      <c r="U116" s="110">
        <f t="shared" si="59"/>
        <v>0.48799999999999988</v>
      </c>
      <c r="V116" s="110">
        <f t="shared" si="59"/>
        <v>0.46399999999999986</v>
      </c>
      <c r="W116" s="110">
        <f t="shared" si="59"/>
        <v>0.43999999999999984</v>
      </c>
      <c r="X116" s="110">
        <f t="shared" si="59"/>
        <v>0.41599999999999981</v>
      </c>
      <c r="Y116" s="110">
        <f t="shared" si="59"/>
        <v>0.39199999999999979</v>
      </c>
      <c r="Z116" s="110">
        <f t="shared" si="59"/>
        <v>0.36799999999999977</v>
      </c>
      <c r="AA116" s="110">
        <f t="shared" si="59"/>
        <v>0.34399999999999975</v>
      </c>
      <c r="AB116" s="110">
        <f t="shared" si="59"/>
        <v>0.31999999999999973</v>
      </c>
      <c r="AC116" s="110">
        <f t="shared" si="59"/>
        <v>0.29599999999999971</v>
      </c>
      <c r="AD116" s="110">
        <f t="shared" si="59"/>
        <v>0.27199999999999969</v>
      </c>
      <c r="AE116" s="110">
        <f t="shared" si="59"/>
        <v>0.24799999999999967</v>
      </c>
      <c r="AF116" s="110">
        <f t="shared" si="59"/>
        <v>0.22399999999999964</v>
      </c>
      <c r="AG116" s="110">
        <f t="shared" si="59"/>
        <v>0.19999999999999996</v>
      </c>
      <c r="AI116" s="134"/>
      <c r="AJ116" s="211"/>
      <c r="BD116" s="760"/>
      <c r="BE116" s="760"/>
    </row>
    <row r="117" spans="1:62" outlineLevel="1">
      <c r="A117" t="s">
        <v>1333</v>
      </c>
      <c r="B117" s="54" t="s">
        <v>462</v>
      </c>
      <c r="C117" s="110">
        <f>C114*C115</f>
        <v>2E-3</v>
      </c>
      <c r="D117" s="110">
        <f t="shared" ref="D117:AG117" si="60">D114*D115</f>
        <v>3.2505633404883785E-3</v>
      </c>
      <c r="E117" s="110">
        <f t="shared" si="60"/>
        <v>4.8013866842790843E-3</v>
      </c>
      <c r="F117" s="110">
        <f t="shared" si="60"/>
        <v>6.652470031372119E-3</v>
      </c>
      <c r="G117" s="110">
        <f t="shared" si="60"/>
        <v>8.8038133817674811E-3</v>
      </c>
      <c r="H117" s="110">
        <f t="shared" si="60"/>
        <v>1.125541673546517E-2</v>
      </c>
      <c r="I117" s="110">
        <f t="shared" si="60"/>
        <v>1.4007280092465192E-2</v>
      </c>
      <c r="J117" s="110">
        <f t="shared" si="60"/>
        <v>1.7059403452767536E-2</v>
      </c>
      <c r="K117" s="110">
        <f t="shared" si="60"/>
        <v>2.0411786816372211E-2</v>
      </c>
      <c r="L117" s="110">
        <f t="shared" si="60"/>
        <v>2.4064430183279219E-2</v>
      </c>
      <c r="M117" s="110">
        <f t="shared" si="60"/>
        <v>2.8017333553488549E-2</v>
      </c>
      <c r="N117" s="110">
        <f t="shared" si="60"/>
        <v>3.4654099414754072E-2</v>
      </c>
      <c r="O117" s="110">
        <f t="shared" si="60"/>
        <v>4.1923720975287584E-2</v>
      </c>
      <c r="P117" s="110">
        <f t="shared" si="60"/>
        <v>4.9826198235089082E-2</v>
      </c>
      <c r="Q117" s="110">
        <f t="shared" si="60"/>
        <v>5.8361531194158552E-2</v>
      </c>
      <c r="R117" s="110">
        <f t="shared" si="60"/>
        <v>6.752971985249602E-2</v>
      </c>
      <c r="S117" s="110">
        <f t="shared" si="60"/>
        <v>7.7330764210101474E-2</v>
      </c>
      <c r="T117" s="110">
        <f t="shared" si="60"/>
        <v>8.7764664266974907E-2</v>
      </c>
      <c r="U117" s="110">
        <f t="shared" si="60"/>
        <v>9.8831420023116304E-2</v>
      </c>
      <c r="V117" s="110">
        <f t="shared" si="60"/>
        <v>0.11053103147852569</v>
      </c>
      <c r="W117" s="110">
        <f t="shared" si="60"/>
        <v>0.12286349863320307</v>
      </c>
      <c r="X117" s="110">
        <f t="shared" si="60"/>
        <v>0.14101216943144917</v>
      </c>
      <c r="Y117" s="110">
        <f t="shared" si="60"/>
        <v>0.16021972452712499</v>
      </c>
      <c r="Z117" s="110">
        <f t="shared" si="60"/>
        <v>0.18048616392023051</v>
      </c>
      <c r="AA117" s="110">
        <f t="shared" si="60"/>
        <v>0.20181148761076564</v>
      </c>
      <c r="AB117" s="110">
        <f t="shared" si="60"/>
        <v>0.22419569559873054</v>
      </c>
      <c r="AC117" s="110">
        <f t="shared" si="60"/>
        <v>0.24763878788412508</v>
      </c>
      <c r="AD117" s="110">
        <f t="shared" si="60"/>
        <v>0.27214076446694929</v>
      </c>
      <c r="AE117" s="110">
        <f t="shared" si="60"/>
        <v>0.29770162534720324</v>
      </c>
      <c r="AF117" s="110">
        <f t="shared" si="60"/>
        <v>0.32432137052488685</v>
      </c>
      <c r="AG117" s="110">
        <f t="shared" si="60"/>
        <v>0.35200000000000004</v>
      </c>
      <c r="AI117" s="134"/>
      <c r="AJ117" s="211"/>
      <c r="BD117" s="203"/>
      <c r="BE117" s="203"/>
    </row>
    <row r="118" spans="1:62" outlineLevel="1">
      <c r="A118" t="s">
        <v>1334</v>
      </c>
      <c r="B118" s="54" t="s">
        <v>462</v>
      </c>
      <c r="C118" s="110">
        <f>C114*C116</f>
        <v>2.3000000000000003E-2</v>
      </c>
      <c r="D118" s="110">
        <f t="shared" ref="D118:AG118" si="61">D114*D116</f>
        <v>2.8004853394976797E-2</v>
      </c>
      <c r="E118" s="110">
        <f t="shared" si="61"/>
        <v>3.2709446786651261E-2</v>
      </c>
      <c r="F118" s="110">
        <f t="shared" si="61"/>
        <v>3.7113780175023398E-2</v>
      </c>
      <c r="G118" s="110">
        <f t="shared" si="61"/>
        <v>4.1217853560093214E-2</v>
      </c>
      <c r="H118" s="110">
        <f t="shared" si="61"/>
        <v>4.5021666941860689E-2</v>
      </c>
      <c r="I118" s="110">
        <f t="shared" si="61"/>
        <v>4.852522032032585E-2</v>
      </c>
      <c r="J118" s="110">
        <f t="shared" si="61"/>
        <v>5.1728513695488663E-2</v>
      </c>
      <c r="K118" s="110">
        <f t="shared" si="61"/>
        <v>5.4631547067349163E-2</v>
      </c>
      <c r="L118" s="110">
        <f t="shared" si="61"/>
        <v>5.7234320435907329E-2</v>
      </c>
      <c r="M118" s="110">
        <f t="shared" si="61"/>
        <v>5.9536833801163161E-2</v>
      </c>
      <c r="N118" s="110">
        <f t="shared" si="61"/>
        <v>6.6084561674647282E-2</v>
      </c>
      <c r="O118" s="110">
        <f t="shared" si="61"/>
        <v>7.1999433848863439E-2</v>
      </c>
      <c r="P118" s="110">
        <f t="shared" si="61"/>
        <v>7.7281450323811604E-2</v>
      </c>
      <c r="Q118" s="110">
        <f t="shared" si="61"/>
        <v>8.1930611099491776E-2</v>
      </c>
      <c r="R118" s="110">
        <f t="shared" si="61"/>
        <v>8.594691617590397E-2</v>
      </c>
      <c r="S118" s="110">
        <f t="shared" si="61"/>
        <v>8.9330365553048199E-2</v>
      </c>
      <c r="T118" s="110">
        <f t="shared" si="61"/>
        <v>9.2080959230924422E-2</v>
      </c>
      <c r="U118" s="110">
        <f t="shared" si="61"/>
        <v>9.4198697209532681E-2</v>
      </c>
      <c r="V118" s="110">
        <f t="shared" si="61"/>
        <v>9.5683579488872933E-2</v>
      </c>
      <c r="W118" s="110">
        <f t="shared" si="61"/>
        <v>9.6535606068945221E-2</v>
      </c>
      <c r="X118" s="110">
        <f t="shared" si="61"/>
        <v>0.10044702480048427</v>
      </c>
      <c r="Y118" s="110">
        <f t="shared" si="61"/>
        <v>0.10329955923459365</v>
      </c>
      <c r="Z118" s="110">
        <f t="shared" si="61"/>
        <v>0.10509320937127335</v>
      </c>
      <c r="AA118" s="110">
        <f t="shared" si="61"/>
        <v>0.10582797521052333</v>
      </c>
      <c r="AB118" s="110">
        <f t="shared" si="61"/>
        <v>0.10550385675234365</v>
      </c>
      <c r="AC118" s="110">
        <f t="shared" si="61"/>
        <v>0.10412085399673426</v>
      </c>
      <c r="AD118" s="110">
        <f t="shared" si="61"/>
        <v>0.10167896694369519</v>
      </c>
      <c r="AE118" s="110">
        <f t="shared" si="61"/>
        <v>9.8178195593226422E-2</v>
      </c>
      <c r="AF118" s="110">
        <f t="shared" si="61"/>
        <v>9.3618539945327969E-2</v>
      </c>
      <c r="AG118" s="110">
        <f t="shared" si="61"/>
        <v>8.7999999999999981E-2</v>
      </c>
      <c r="AI118" s="134"/>
      <c r="AJ118" s="211"/>
      <c r="BD118" s="203"/>
      <c r="BE118" s="203"/>
    </row>
    <row r="119" spans="1:62" outlineLevel="1">
      <c r="B119" s="176"/>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I119" s="134"/>
      <c r="AJ119" s="211"/>
      <c r="BD119" s="203"/>
      <c r="BE119" s="203"/>
    </row>
    <row r="120" spans="1:62" ht="16" outlineLevel="1">
      <c r="A120" t="s">
        <v>1441</v>
      </c>
      <c r="B120" s="54" t="s">
        <v>462</v>
      </c>
      <c r="C120" s="214">
        <v>0.52</v>
      </c>
      <c r="D120" s="110">
        <f>C120</f>
        <v>0.52</v>
      </c>
      <c r="E120" s="110">
        <f t="shared" ref="E120:T120" si="62">D120</f>
        <v>0.52</v>
      </c>
      <c r="F120" s="110">
        <f t="shared" si="62"/>
        <v>0.52</v>
      </c>
      <c r="G120" s="110">
        <f t="shared" si="62"/>
        <v>0.52</v>
      </c>
      <c r="H120" s="110">
        <f t="shared" si="62"/>
        <v>0.52</v>
      </c>
      <c r="I120" s="110">
        <f t="shared" si="62"/>
        <v>0.52</v>
      </c>
      <c r="J120" s="110">
        <f t="shared" si="62"/>
        <v>0.52</v>
      </c>
      <c r="K120" s="110">
        <f t="shared" si="62"/>
        <v>0.52</v>
      </c>
      <c r="L120" s="110">
        <f t="shared" si="62"/>
        <v>0.52</v>
      </c>
      <c r="M120" s="110">
        <f t="shared" si="62"/>
        <v>0.52</v>
      </c>
      <c r="N120" s="110">
        <f t="shared" si="62"/>
        <v>0.52</v>
      </c>
      <c r="O120" s="110">
        <f t="shared" si="62"/>
        <v>0.52</v>
      </c>
      <c r="P120" s="110">
        <f t="shared" si="62"/>
        <v>0.52</v>
      </c>
      <c r="Q120" s="110">
        <f t="shared" si="62"/>
        <v>0.52</v>
      </c>
      <c r="R120" s="110">
        <f t="shared" si="62"/>
        <v>0.52</v>
      </c>
      <c r="S120" s="110">
        <f t="shared" si="62"/>
        <v>0.52</v>
      </c>
      <c r="T120" s="110">
        <f t="shared" si="62"/>
        <v>0.52</v>
      </c>
      <c r="U120" s="110">
        <f t="shared" ref="T120:AG122" si="63">T120</f>
        <v>0.52</v>
      </c>
      <c r="V120" s="110">
        <f t="shared" si="63"/>
        <v>0.52</v>
      </c>
      <c r="W120" s="110">
        <f t="shared" si="63"/>
        <v>0.52</v>
      </c>
      <c r="X120" s="110">
        <f t="shared" si="63"/>
        <v>0.52</v>
      </c>
      <c r="Y120" s="110">
        <f t="shared" si="63"/>
        <v>0.52</v>
      </c>
      <c r="Z120" s="110">
        <f t="shared" si="63"/>
        <v>0.52</v>
      </c>
      <c r="AA120" s="110">
        <f t="shared" si="63"/>
        <v>0.52</v>
      </c>
      <c r="AB120" s="110">
        <f t="shared" si="63"/>
        <v>0.52</v>
      </c>
      <c r="AC120" s="110">
        <f t="shared" si="63"/>
        <v>0.52</v>
      </c>
      <c r="AD120" s="110">
        <f t="shared" si="63"/>
        <v>0.52</v>
      </c>
      <c r="AE120" s="110">
        <f t="shared" si="63"/>
        <v>0.52</v>
      </c>
      <c r="AF120" s="110">
        <f t="shared" si="63"/>
        <v>0.52</v>
      </c>
      <c r="AG120" s="110">
        <f t="shared" si="63"/>
        <v>0.52</v>
      </c>
      <c r="AI120" s="133" t="s">
        <v>1442</v>
      </c>
      <c r="AJ120" s="232" t="s">
        <v>1443</v>
      </c>
      <c r="BD120" s="203"/>
      <c r="BE120" s="203"/>
    </row>
    <row r="121" spans="1:62" ht="16" outlineLevel="1">
      <c r="A121" t="s">
        <v>1444</v>
      </c>
      <c r="B121" s="54" t="s">
        <v>462</v>
      </c>
      <c r="C121" s="214">
        <v>0.12</v>
      </c>
      <c r="D121" s="110">
        <f t="shared" ref="D121:S122" si="64">C121</f>
        <v>0.12</v>
      </c>
      <c r="E121" s="110">
        <f t="shared" si="64"/>
        <v>0.12</v>
      </c>
      <c r="F121" s="110">
        <f t="shared" si="64"/>
        <v>0.12</v>
      </c>
      <c r="G121" s="110">
        <f t="shared" si="64"/>
        <v>0.12</v>
      </c>
      <c r="H121" s="110">
        <f t="shared" si="64"/>
        <v>0.12</v>
      </c>
      <c r="I121" s="110">
        <f t="shared" si="64"/>
        <v>0.12</v>
      </c>
      <c r="J121" s="110">
        <f t="shared" si="64"/>
        <v>0.12</v>
      </c>
      <c r="K121" s="110">
        <f t="shared" si="64"/>
        <v>0.12</v>
      </c>
      <c r="L121" s="110">
        <f t="shared" si="64"/>
        <v>0.12</v>
      </c>
      <c r="M121" s="110">
        <f t="shared" si="64"/>
        <v>0.12</v>
      </c>
      <c r="N121" s="110">
        <f t="shared" si="64"/>
        <v>0.12</v>
      </c>
      <c r="O121" s="110">
        <f t="shared" si="64"/>
        <v>0.12</v>
      </c>
      <c r="P121" s="110">
        <f t="shared" si="64"/>
        <v>0.12</v>
      </c>
      <c r="Q121" s="110">
        <f t="shared" si="64"/>
        <v>0.12</v>
      </c>
      <c r="R121" s="110">
        <f t="shared" si="64"/>
        <v>0.12</v>
      </c>
      <c r="S121" s="110">
        <f t="shared" si="64"/>
        <v>0.12</v>
      </c>
      <c r="T121" s="110">
        <f t="shared" si="63"/>
        <v>0.12</v>
      </c>
      <c r="U121" s="110">
        <f t="shared" si="63"/>
        <v>0.12</v>
      </c>
      <c r="V121" s="110">
        <f t="shared" si="63"/>
        <v>0.12</v>
      </c>
      <c r="W121" s="110">
        <f t="shared" si="63"/>
        <v>0.12</v>
      </c>
      <c r="X121" s="110">
        <f t="shared" si="63"/>
        <v>0.12</v>
      </c>
      <c r="Y121" s="110">
        <f t="shared" si="63"/>
        <v>0.12</v>
      </c>
      <c r="Z121" s="110">
        <f t="shared" si="63"/>
        <v>0.12</v>
      </c>
      <c r="AA121" s="110">
        <f t="shared" si="63"/>
        <v>0.12</v>
      </c>
      <c r="AB121" s="110">
        <f t="shared" si="63"/>
        <v>0.12</v>
      </c>
      <c r="AC121" s="110">
        <f t="shared" si="63"/>
        <v>0.12</v>
      </c>
      <c r="AD121" s="110">
        <f t="shared" si="63"/>
        <v>0.12</v>
      </c>
      <c r="AE121" s="110">
        <f t="shared" si="63"/>
        <v>0.12</v>
      </c>
      <c r="AF121" s="110">
        <f t="shared" si="63"/>
        <v>0.12</v>
      </c>
      <c r="AG121" s="110">
        <f t="shared" si="63"/>
        <v>0.12</v>
      </c>
      <c r="AI121" s="133" t="s">
        <v>1442</v>
      </c>
      <c r="AJ121" s="232" t="s">
        <v>1443</v>
      </c>
      <c r="AL121" s="1"/>
      <c r="BC121" s="1"/>
      <c r="BD121" s="762"/>
      <c r="BE121" s="760"/>
      <c r="BF121" s="6"/>
      <c r="BG121" s="6"/>
      <c r="BH121" s="6"/>
      <c r="BI121" s="6"/>
      <c r="BJ121" s="6"/>
    </row>
    <row r="122" spans="1:62" outlineLevel="1">
      <c r="A122" t="s">
        <v>1445</v>
      </c>
      <c r="B122" s="54" t="s">
        <v>462</v>
      </c>
      <c r="C122" s="121">
        <f>1-C120-C121</f>
        <v>0.36</v>
      </c>
      <c r="D122" s="110">
        <f t="shared" si="64"/>
        <v>0.36</v>
      </c>
      <c r="E122" s="110">
        <f t="shared" si="64"/>
        <v>0.36</v>
      </c>
      <c r="F122" s="110">
        <f t="shared" si="64"/>
        <v>0.36</v>
      </c>
      <c r="G122" s="110">
        <f t="shared" si="64"/>
        <v>0.36</v>
      </c>
      <c r="H122" s="110">
        <f t="shared" si="64"/>
        <v>0.36</v>
      </c>
      <c r="I122" s="110">
        <f t="shared" si="64"/>
        <v>0.36</v>
      </c>
      <c r="J122" s="110">
        <f t="shared" si="64"/>
        <v>0.36</v>
      </c>
      <c r="K122" s="110">
        <f t="shared" si="64"/>
        <v>0.36</v>
      </c>
      <c r="L122" s="110">
        <f t="shared" si="64"/>
        <v>0.36</v>
      </c>
      <c r="M122" s="110">
        <f t="shared" si="64"/>
        <v>0.36</v>
      </c>
      <c r="N122" s="110">
        <f t="shared" si="64"/>
        <v>0.36</v>
      </c>
      <c r="O122" s="110">
        <f t="shared" si="64"/>
        <v>0.36</v>
      </c>
      <c r="P122" s="110">
        <f t="shared" si="64"/>
        <v>0.36</v>
      </c>
      <c r="Q122" s="110">
        <f t="shared" si="64"/>
        <v>0.36</v>
      </c>
      <c r="R122" s="110">
        <f t="shared" si="64"/>
        <v>0.36</v>
      </c>
      <c r="S122" s="110">
        <f t="shared" si="64"/>
        <v>0.36</v>
      </c>
      <c r="T122" s="110">
        <f t="shared" si="63"/>
        <v>0.36</v>
      </c>
      <c r="U122" s="110">
        <f t="shared" si="63"/>
        <v>0.36</v>
      </c>
      <c r="V122" s="110">
        <f t="shared" si="63"/>
        <v>0.36</v>
      </c>
      <c r="W122" s="110">
        <f t="shared" si="63"/>
        <v>0.36</v>
      </c>
      <c r="X122" s="110">
        <f t="shared" si="63"/>
        <v>0.36</v>
      </c>
      <c r="Y122" s="110">
        <f t="shared" si="63"/>
        <v>0.36</v>
      </c>
      <c r="Z122" s="110">
        <f t="shared" si="63"/>
        <v>0.36</v>
      </c>
      <c r="AA122" s="110">
        <f t="shared" si="63"/>
        <v>0.36</v>
      </c>
      <c r="AB122" s="110">
        <f t="shared" si="63"/>
        <v>0.36</v>
      </c>
      <c r="AC122" s="110">
        <f t="shared" si="63"/>
        <v>0.36</v>
      </c>
      <c r="AD122" s="110">
        <f t="shared" si="63"/>
        <v>0.36</v>
      </c>
      <c r="AE122" s="110">
        <f t="shared" si="63"/>
        <v>0.36</v>
      </c>
      <c r="AF122" s="110">
        <f t="shared" si="63"/>
        <v>0.36</v>
      </c>
      <c r="AG122" s="110">
        <f t="shared" si="63"/>
        <v>0.36</v>
      </c>
      <c r="AI122" s="133"/>
      <c r="AJ122" s="223"/>
      <c r="BC122" s="1"/>
      <c r="BD122" s="41"/>
      <c r="BF122" s="6"/>
      <c r="BG122" s="6"/>
      <c r="BH122" s="6"/>
      <c r="BI122" s="6"/>
      <c r="BJ122" s="6"/>
    </row>
    <row r="123" spans="1:62" outlineLevel="1">
      <c r="A123" t="s">
        <v>1268</v>
      </c>
      <c r="B123" s="54" t="s">
        <v>462</v>
      </c>
      <c r="C123" s="110">
        <f>SUM(C120:C122)</f>
        <v>1</v>
      </c>
      <c r="D123" s="110">
        <f t="shared" ref="D123:AG123" si="65">SUM(D120:D122)</f>
        <v>1</v>
      </c>
      <c r="E123" s="110">
        <f t="shared" si="65"/>
        <v>1</v>
      </c>
      <c r="F123" s="110">
        <f t="shared" si="65"/>
        <v>1</v>
      </c>
      <c r="G123" s="110">
        <f t="shared" si="65"/>
        <v>1</v>
      </c>
      <c r="H123" s="110">
        <f t="shared" si="65"/>
        <v>1</v>
      </c>
      <c r="I123" s="110">
        <f t="shared" si="65"/>
        <v>1</v>
      </c>
      <c r="J123" s="110">
        <f t="shared" si="65"/>
        <v>1</v>
      </c>
      <c r="K123" s="110">
        <f t="shared" si="65"/>
        <v>1</v>
      </c>
      <c r="L123" s="110">
        <f t="shared" si="65"/>
        <v>1</v>
      </c>
      <c r="M123" s="110">
        <f t="shared" si="65"/>
        <v>1</v>
      </c>
      <c r="N123" s="110">
        <f t="shared" si="65"/>
        <v>1</v>
      </c>
      <c r="O123" s="110">
        <f t="shared" si="65"/>
        <v>1</v>
      </c>
      <c r="P123" s="110">
        <f t="shared" si="65"/>
        <v>1</v>
      </c>
      <c r="Q123" s="110">
        <f t="shared" si="65"/>
        <v>1</v>
      </c>
      <c r="R123" s="110">
        <f t="shared" si="65"/>
        <v>1</v>
      </c>
      <c r="S123" s="110">
        <f t="shared" si="65"/>
        <v>1</v>
      </c>
      <c r="T123" s="110">
        <f t="shared" si="65"/>
        <v>1</v>
      </c>
      <c r="U123" s="110">
        <f t="shared" si="65"/>
        <v>1</v>
      </c>
      <c r="V123" s="110">
        <f t="shared" si="65"/>
        <v>1</v>
      </c>
      <c r="W123" s="110">
        <f t="shared" si="65"/>
        <v>1</v>
      </c>
      <c r="X123" s="110">
        <f t="shared" si="65"/>
        <v>1</v>
      </c>
      <c r="Y123" s="110">
        <f t="shared" si="65"/>
        <v>1</v>
      </c>
      <c r="Z123" s="110">
        <f t="shared" si="65"/>
        <v>1</v>
      </c>
      <c r="AA123" s="110">
        <f t="shared" si="65"/>
        <v>1</v>
      </c>
      <c r="AB123" s="110">
        <f t="shared" si="65"/>
        <v>1</v>
      </c>
      <c r="AC123" s="110">
        <f t="shared" si="65"/>
        <v>1</v>
      </c>
      <c r="AD123" s="110">
        <f t="shared" si="65"/>
        <v>1</v>
      </c>
      <c r="AE123" s="110">
        <f t="shared" si="65"/>
        <v>1</v>
      </c>
      <c r="AF123" s="110">
        <f t="shared" si="65"/>
        <v>1</v>
      </c>
      <c r="AG123" s="110">
        <f t="shared" si="65"/>
        <v>1</v>
      </c>
      <c r="AI123" s="133"/>
      <c r="AJ123" s="211"/>
      <c r="BC123" s="1"/>
      <c r="BD123" s="41"/>
      <c r="BF123" s="6"/>
      <c r="BG123" s="6"/>
      <c r="BH123" s="6"/>
      <c r="BI123" s="6"/>
      <c r="BJ123" s="6"/>
    </row>
    <row r="124" spans="1:62" outlineLevel="1">
      <c r="C124" s="214"/>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I124" s="133"/>
      <c r="AJ124" s="211"/>
      <c r="BC124" s="1"/>
      <c r="BD124" s="41"/>
      <c r="BF124" s="6"/>
      <c r="BG124" s="6"/>
      <c r="BH124" s="6"/>
      <c r="BI124" s="6"/>
      <c r="BJ124" s="6"/>
    </row>
    <row r="125" spans="1:62" outlineLevel="1">
      <c r="A125" t="s">
        <v>1335</v>
      </c>
      <c r="B125" s="54" t="s">
        <v>462</v>
      </c>
      <c r="C125" s="110">
        <f>C120*C118</f>
        <v>1.1960000000000002E-2</v>
      </c>
      <c r="D125" s="110">
        <f t="shared" ref="D125:AG125" si="66">D120*D118</f>
        <v>1.4562523765387934E-2</v>
      </c>
      <c r="E125" s="110">
        <f t="shared" si="66"/>
        <v>1.7008912329058656E-2</v>
      </c>
      <c r="F125" s="110">
        <f t="shared" si="66"/>
        <v>1.9299165691012168E-2</v>
      </c>
      <c r="G125" s="110">
        <f t="shared" si="66"/>
        <v>2.1433283851248472E-2</v>
      </c>
      <c r="H125" s="110">
        <f t="shared" si="66"/>
        <v>2.3411266809767559E-2</v>
      </c>
      <c r="I125" s="110">
        <f t="shared" si="66"/>
        <v>2.5233114566569442E-2</v>
      </c>
      <c r="J125" s="110">
        <f t="shared" si="66"/>
        <v>2.6898827121654107E-2</v>
      </c>
      <c r="K125" s="110">
        <f t="shared" si="66"/>
        <v>2.8408404475021565E-2</v>
      </c>
      <c r="L125" s="110">
        <f t="shared" si="66"/>
        <v>2.9761846626671813E-2</v>
      </c>
      <c r="M125" s="110">
        <f t="shared" si="66"/>
        <v>3.0959153576604843E-2</v>
      </c>
      <c r="N125" s="110">
        <f t="shared" si="66"/>
        <v>3.4363972070816588E-2</v>
      </c>
      <c r="O125" s="110">
        <f t="shared" si="66"/>
        <v>3.7439705601408989E-2</v>
      </c>
      <c r="P125" s="110">
        <f t="shared" si="66"/>
        <v>4.0186354168382038E-2</v>
      </c>
      <c r="Q125" s="110">
        <f t="shared" si="66"/>
        <v>4.2603917771735722E-2</v>
      </c>
      <c r="R125" s="110">
        <f t="shared" si="66"/>
        <v>4.4692396411470069E-2</v>
      </c>
      <c r="S125" s="110">
        <f t="shared" si="66"/>
        <v>4.6451790087585064E-2</v>
      </c>
      <c r="T125" s="110">
        <f t="shared" si="66"/>
        <v>4.7882098800080701E-2</v>
      </c>
      <c r="U125" s="110">
        <f t="shared" si="66"/>
        <v>4.8983322548956994E-2</v>
      </c>
      <c r="V125" s="110">
        <f t="shared" si="66"/>
        <v>4.9755461334213928E-2</v>
      </c>
      <c r="W125" s="110">
        <f t="shared" si="66"/>
        <v>5.0198515155851518E-2</v>
      </c>
      <c r="X125" s="110">
        <f t="shared" si="66"/>
        <v>5.2232452896251821E-2</v>
      </c>
      <c r="Y125" s="110">
        <f t="shared" si="66"/>
        <v>5.3715770801988701E-2</v>
      </c>
      <c r="Z125" s="110">
        <f t="shared" si="66"/>
        <v>5.4648468873062142E-2</v>
      </c>
      <c r="AA125" s="110">
        <f t="shared" si="66"/>
        <v>5.5030547109472132E-2</v>
      </c>
      <c r="AB125" s="110">
        <f t="shared" si="66"/>
        <v>5.4862005511218705E-2</v>
      </c>
      <c r="AC125" s="110">
        <f t="shared" si="66"/>
        <v>5.4142844078301819E-2</v>
      </c>
      <c r="AD125" s="110">
        <f t="shared" si="66"/>
        <v>5.2873062810721502E-2</v>
      </c>
      <c r="AE125" s="110">
        <f t="shared" si="66"/>
        <v>5.1052661708477741E-2</v>
      </c>
      <c r="AF125" s="110">
        <f t="shared" si="66"/>
        <v>4.8681640771570549E-2</v>
      </c>
      <c r="AG125" s="110">
        <f t="shared" si="66"/>
        <v>4.5759999999999995E-2</v>
      </c>
      <c r="AI125" s="133"/>
      <c r="AJ125" s="211"/>
      <c r="BD125" s="203"/>
      <c r="BE125" s="203"/>
    </row>
    <row r="126" spans="1:62" outlineLevel="1">
      <c r="A126" t="s">
        <v>1336</v>
      </c>
      <c r="B126" s="54" t="s">
        <v>462</v>
      </c>
      <c r="C126" s="110">
        <f>C118*C121</f>
        <v>2.7600000000000003E-3</v>
      </c>
      <c r="D126" s="110">
        <f t="shared" ref="D126:AG126" si="67">D118*D121</f>
        <v>3.3605824073972158E-3</v>
      </c>
      <c r="E126" s="110">
        <f t="shared" si="67"/>
        <v>3.9251336143981512E-3</v>
      </c>
      <c r="F126" s="110">
        <f t="shared" si="67"/>
        <v>4.4536536210028075E-3</v>
      </c>
      <c r="G126" s="110">
        <f t="shared" si="67"/>
        <v>4.9461424272111854E-3</v>
      </c>
      <c r="H126" s="110">
        <f t="shared" si="67"/>
        <v>5.4026000330232825E-3</v>
      </c>
      <c r="I126" s="110">
        <f t="shared" si="67"/>
        <v>5.8230264384391021E-3</v>
      </c>
      <c r="J126" s="110">
        <f t="shared" si="67"/>
        <v>6.2074216434586391E-3</v>
      </c>
      <c r="K126" s="110">
        <f t="shared" si="67"/>
        <v>6.5557856480818995E-3</v>
      </c>
      <c r="L126" s="110">
        <f t="shared" si="67"/>
        <v>6.868118452308879E-3</v>
      </c>
      <c r="M126" s="110">
        <f t="shared" si="67"/>
        <v>7.1444200561395794E-3</v>
      </c>
      <c r="N126" s="110">
        <f t="shared" si="67"/>
        <v>7.9301474009576736E-3</v>
      </c>
      <c r="O126" s="110">
        <f t="shared" si="67"/>
        <v>8.6399320618636127E-3</v>
      </c>
      <c r="P126" s="110">
        <f t="shared" si="67"/>
        <v>9.2737740388573915E-3</v>
      </c>
      <c r="Q126" s="110">
        <f t="shared" si="67"/>
        <v>9.8316733319390136E-3</v>
      </c>
      <c r="R126" s="110">
        <f t="shared" si="67"/>
        <v>1.0313629941108475E-2</v>
      </c>
      <c r="S126" s="110">
        <f t="shared" si="67"/>
        <v>1.0719643866365784E-2</v>
      </c>
      <c r="T126" s="110">
        <f t="shared" si="67"/>
        <v>1.104971510771093E-2</v>
      </c>
      <c r="U126" s="110">
        <f t="shared" si="67"/>
        <v>1.1303843665143922E-2</v>
      </c>
      <c r="V126" s="110">
        <f t="shared" si="67"/>
        <v>1.1482029538664751E-2</v>
      </c>
      <c r="W126" s="110">
        <f t="shared" si="67"/>
        <v>1.1584272728273426E-2</v>
      </c>
      <c r="X126" s="110">
        <f t="shared" si="67"/>
        <v>1.2053642976058113E-2</v>
      </c>
      <c r="Y126" s="110">
        <f t="shared" si="67"/>
        <v>1.2395947108151237E-2</v>
      </c>
      <c r="Z126" s="110">
        <f t="shared" si="67"/>
        <v>1.2611185124552803E-2</v>
      </c>
      <c r="AA126" s="110">
        <f t="shared" si="67"/>
        <v>1.2699357025262798E-2</v>
      </c>
      <c r="AB126" s="110">
        <f t="shared" si="67"/>
        <v>1.2660462810281237E-2</v>
      </c>
      <c r="AC126" s="110">
        <f t="shared" si="67"/>
        <v>1.2494502479608111E-2</v>
      </c>
      <c r="AD126" s="110">
        <f t="shared" si="67"/>
        <v>1.2201476033243421E-2</v>
      </c>
      <c r="AE126" s="110">
        <f t="shared" si="67"/>
        <v>1.178138347118717E-2</v>
      </c>
      <c r="AF126" s="110">
        <f t="shared" si="67"/>
        <v>1.1234224793439355E-2</v>
      </c>
      <c r="AG126" s="110">
        <f t="shared" si="67"/>
        <v>1.0559999999999996E-2</v>
      </c>
      <c r="AI126" s="133"/>
      <c r="AJ126" s="211"/>
      <c r="AL126" s="1"/>
      <c r="BC126" s="1"/>
      <c r="BD126" s="762"/>
      <c r="BE126" s="760"/>
      <c r="BF126" s="6"/>
      <c r="BG126" s="6"/>
      <c r="BH126" s="6"/>
      <c r="BI126" s="6"/>
      <c r="BJ126" s="6"/>
    </row>
    <row r="127" spans="1:62" outlineLevel="1">
      <c r="A127" t="s">
        <v>1337</v>
      </c>
      <c r="B127" s="54" t="s">
        <v>462</v>
      </c>
      <c r="C127" s="110">
        <f>C118*C122</f>
        <v>8.2800000000000009E-3</v>
      </c>
      <c r="D127" s="110">
        <f t="shared" ref="D127:AG127" si="68">D118*D122</f>
        <v>1.0081747222191647E-2</v>
      </c>
      <c r="E127" s="110">
        <f t="shared" si="68"/>
        <v>1.1775400843194454E-2</v>
      </c>
      <c r="F127" s="110">
        <f t="shared" si="68"/>
        <v>1.3360960863008423E-2</v>
      </c>
      <c r="G127" s="110">
        <f t="shared" si="68"/>
        <v>1.4838427281633556E-2</v>
      </c>
      <c r="H127" s="110">
        <f t="shared" si="68"/>
        <v>1.6207800099069847E-2</v>
      </c>
      <c r="I127" s="110">
        <f t="shared" si="68"/>
        <v>1.7469079315317305E-2</v>
      </c>
      <c r="J127" s="110">
        <f t="shared" si="68"/>
        <v>1.8622264930375918E-2</v>
      </c>
      <c r="K127" s="110">
        <f t="shared" si="68"/>
        <v>1.9667356944245699E-2</v>
      </c>
      <c r="L127" s="110">
        <f t="shared" si="68"/>
        <v>2.0604355356926639E-2</v>
      </c>
      <c r="M127" s="110">
        <f t="shared" si="68"/>
        <v>2.1433260168418736E-2</v>
      </c>
      <c r="N127" s="110">
        <f t="shared" si="68"/>
        <v>2.3790442202873022E-2</v>
      </c>
      <c r="O127" s="110">
        <f t="shared" si="68"/>
        <v>2.5919796185590836E-2</v>
      </c>
      <c r="P127" s="110">
        <f t="shared" si="68"/>
        <v>2.7821322116572178E-2</v>
      </c>
      <c r="Q127" s="110">
        <f t="shared" si="68"/>
        <v>2.9495019995817037E-2</v>
      </c>
      <c r="R127" s="110">
        <f t="shared" si="68"/>
        <v>3.0940889823325428E-2</v>
      </c>
      <c r="S127" s="110">
        <f t="shared" si="68"/>
        <v>3.215893159909735E-2</v>
      </c>
      <c r="T127" s="110">
        <f t="shared" si="68"/>
        <v>3.3149145323132789E-2</v>
      </c>
      <c r="U127" s="110">
        <f t="shared" si="68"/>
        <v>3.3911530995431767E-2</v>
      </c>
      <c r="V127" s="110">
        <f t="shared" si="68"/>
        <v>3.4446088615994255E-2</v>
      </c>
      <c r="W127" s="110">
        <f t="shared" si="68"/>
        <v>3.4752818184820275E-2</v>
      </c>
      <c r="X127" s="110">
        <f t="shared" si="68"/>
        <v>3.6160928928174338E-2</v>
      </c>
      <c r="Y127" s="110">
        <f t="shared" si="68"/>
        <v>3.7187841324453713E-2</v>
      </c>
      <c r="Z127" s="110">
        <f t="shared" si="68"/>
        <v>3.7833555373658408E-2</v>
      </c>
      <c r="AA127" s="110">
        <f t="shared" si="68"/>
        <v>3.8098071075788394E-2</v>
      </c>
      <c r="AB127" s="110">
        <f t="shared" si="68"/>
        <v>3.7981388430843713E-2</v>
      </c>
      <c r="AC127" s="110">
        <f t="shared" si="68"/>
        <v>3.748350743882433E-2</v>
      </c>
      <c r="AD127" s="110">
        <f t="shared" si="68"/>
        <v>3.6604428099730267E-2</v>
      </c>
      <c r="AE127" s="110">
        <f t="shared" si="68"/>
        <v>3.5344150413561509E-2</v>
      </c>
      <c r="AF127" s="110">
        <f t="shared" si="68"/>
        <v>3.3702674380318071E-2</v>
      </c>
      <c r="AG127" s="110">
        <f t="shared" si="68"/>
        <v>3.1679999999999993E-2</v>
      </c>
      <c r="AI127" s="134"/>
      <c r="AJ127" s="211"/>
      <c r="BC127" s="1"/>
      <c r="BD127" s="41"/>
      <c r="BF127" s="6"/>
      <c r="BG127" s="6"/>
      <c r="BH127" s="6"/>
      <c r="BI127" s="6"/>
      <c r="BJ127" s="6"/>
    </row>
    <row r="128" spans="1:62" outlineLevel="1">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I128" s="134"/>
      <c r="AJ128" s="211"/>
      <c r="BC128" s="1"/>
      <c r="BD128" s="41"/>
      <c r="BF128" s="6"/>
      <c r="BG128" s="6"/>
      <c r="BH128" s="6"/>
      <c r="BI128" s="6"/>
      <c r="BJ128" s="6"/>
    </row>
    <row r="129" spans="1:63" outlineLevel="1">
      <c r="A129" t="s">
        <v>1553</v>
      </c>
      <c r="C129" s="230">
        <f>'Overall recycling rates'!E86</f>
        <v>0.57160689689087107</v>
      </c>
      <c r="D129" s="230">
        <f>C129-($C129-$AG129)/($AG$1-$C$1)</f>
        <v>0.58255333366117534</v>
      </c>
      <c r="E129" s="230">
        <f t="shared" ref="E129:AF129" si="69">D129-($C129-$AG129)/($AG$1-$C$1)</f>
        <v>0.59349977043147961</v>
      </c>
      <c r="F129" s="230">
        <f t="shared" si="69"/>
        <v>0.60444620720178388</v>
      </c>
      <c r="G129" s="230">
        <f t="shared" si="69"/>
        <v>0.61539264397208815</v>
      </c>
      <c r="H129" s="230">
        <f t="shared" si="69"/>
        <v>0.62633908074239242</v>
      </c>
      <c r="I129" s="230">
        <f t="shared" si="69"/>
        <v>0.63728551751269669</v>
      </c>
      <c r="J129" s="230">
        <f t="shared" si="69"/>
        <v>0.64823195428300096</v>
      </c>
      <c r="K129" s="230">
        <f t="shared" si="69"/>
        <v>0.65917839105330522</v>
      </c>
      <c r="L129" s="230">
        <f t="shared" si="69"/>
        <v>0.67012482782360949</v>
      </c>
      <c r="M129" s="230">
        <f t="shared" si="69"/>
        <v>0.68107126459391376</v>
      </c>
      <c r="N129" s="230">
        <f t="shared" si="69"/>
        <v>0.69201770136421803</v>
      </c>
      <c r="O129" s="230">
        <f t="shared" si="69"/>
        <v>0.7029641381345223</v>
      </c>
      <c r="P129" s="230">
        <f t="shared" si="69"/>
        <v>0.71391057490482657</v>
      </c>
      <c r="Q129" s="230">
        <f t="shared" si="69"/>
        <v>0.72485701167513084</v>
      </c>
      <c r="R129" s="230">
        <f t="shared" si="69"/>
        <v>0.7358034484454351</v>
      </c>
      <c r="S129" s="230">
        <f t="shared" si="69"/>
        <v>0.74674988521573937</v>
      </c>
      <c r="T129" s="230">
        <f t="shared" si="69"/>
        <v>0.75769632198604364</v>
      </c>
      <c r="U129" s="230">
        <f t="shared" si="69"/>
        <v>0.76864275875634791</v>
      </c>
      <c r="V129" s="230">
        <f t="shared" si="69"/>
        <v>0.77958919552665218</v>
      </c>
      <c r="W129" s="230">
        <f t="shared" si="69"/>
        <v>0.79053563229695645</v>
      </c>
      <c r="X129" s="230">
        <f t="shared" si="69"/>
        <v>0.80148206906726072</v>
      </c>
      <c r="Y129" s="230">
        <f t="shared" si="69"/>
        <v>0.81242850583756498</v>
      </c>
      <c r="Z129" s="230">
        <f t="shared" si="69"/>
        <v>0.82337494260786925</v>
      </c>
      <c r="AA129" s="230">
        <f t="shared" si="69"/>
        <v>0.83432137937817352</v>
      </c>
      <c r="AB129" s="230">
        <f t="shared" si="69"/>
        <v>0.84526781614847779</v>
      </c>
      <c r="AC129" s="230">
        <f t="shared" si="69"/>
        <v>0.85621425291878206</v>
      </c>
      <c r="AD129" s="230">
        <f t="shared" si="69"/>
        <v>0.86716068968908633</v>
      </c>
      <c r="AE129" s="230">
        <f t="shared" si="69"/>
        <v>0.8781071264593906</v>
      </c>
      <c r="AF129" s="230">
        <f t="shared" si="69"/>
        <v>0.88905356322969487</v>
      </c>
      <c r="AG129" s="230">
        <f>'Overall recycling rates'!E95</f>
        <v>0.9</v>
      </c>
      <c r="AI129" s="133"/>
      <c r="AJ129" s="211" t="s">
        <v>1571</v>
      </c>
      <c r="AL129" s="108"/>
      <c r="AM129" s="207"/>
      <c r="AN129" s="207"/>
      <c r="AO129" s="207"/>
      <c r="BC129" s="1"/>
      <c r="BD129" s="207"/>
      <c r="BE129" s="207"/>
      <c r="BF129" s="207"/>
      <c r="BG129" s="207"/>
      <c r="BH129" s="207"/>
      <c r="BI129" s="207"/>
      <c r="BJ129" s="207"/>
      <c r="BK129" s="207"/>
    </row>
    <row r="130" spans="1:63" outlineLevel="1">
      <c r="A130" t="s">
        <v>1572</v>
      </c>
      <c r="B130" s="54" t="s">
        <v>462</v>
      </c>
      <c r="C130" s="110">
        <f>C117*C$129</f>
        <v>1.1432137937817421E-3</v>
      </c>
      <c r="D130" s="110">
        <f t="shared" ref="D130:AG131" si="70">D117*D$129</f>
        <v>1.8936265102783112E-3</v>
      </c>
      <c r="E130" s="110">
        <f t="shared" si="70"/>
        <v>2.8496218948723998E-3</v>
      </c>
      <c r="F130" s="110">
        <f t="shared" si="70"/>
        <v>4.0210602789864094E-3</v>
      </c>
      <c r="G130" s="110">
        <f t="shared" si="70"/>
        <v>5.4178019940427412E-3</v>
      </c>
      <c r="H130" s="110">
        <f t="shared" si="70"/>
        <v>7.0497073714637943E-3</v>
      </c>
      <c r="I130" s="110">
        <f t="shared" si="70"/>
        <v>8.9266367426719742E-3</v>
      </c>
      <c r="J130" s="110">
        <f t="shared" si="70"/>
        <v>1.1058450439089674E-2</v>
      </c>
      <c r="K130" s="110">
        <f t="shared" si="70"/>
        <v>1.3455008792139301E-2</v>
      </c>
      <c r="L130" s="110">
        <f t="shared" si="70"/>
        <v>1.6126172133243258E-2</v>
      </c>
      <c r="M130" s="110">
        <f t="shared" si="70"/>
        <v>1.9081800793823937E-2</v>
      </c>
      <c r="N130" s="110">
        <f t="shared" si="70"/>
        <v>2.3981250219845207E-2</v>
      </c>
      <c r="O130" s="110">
        <f t="shared" si="70"/>
        <v>2.9470872382785233E-2</v>
      </c>
      <c r="P130" s="110">
        <f t="shared" si="70"/>
        <v>3.5571449827334303E-2</v>
      </c>
      <c r="Q130" s="110">
        <f t="shared" si="70"/>
        <v>4.2303765098182698E-2</v>
      </c>
      <c r="R130" s="110">
        <f t="shared" si="70"/>
        <v>4.9688600740020732E-2</v>
      </c>
      <c r="S130" s="110">
        <f t="shared" si="70"/>
        <v>5.774673929753868E-2</v>
      </c>
      <c r="T130" s="110">
        <f t="shared" si="70"/>
        <v>6.6498963315426832E-2</v>
      </c>
      <c r="U130" s="110">
        <f t="shared" si="70"/>
        <v>7.5966055338375471E-2</v>
      </c>
      <c r="V130" s="110">
        <f t="shared" si="70"/>
        <v>8.6168797911074915E-2</v>
      </c>
      <c r="W130" s="110">
        <f t="shared" si="70"/>
        <v>9.712797357821544E-2</v>
      </c>
      <c r="X130" s="110">
        <f t="shared" si="70"/>
        <v>0.11301872531958101</v>
      </c>
      <c r="Y130" s="110">
        <f t="shared" si="70"/>
        <v>0.13016707140327841</v>
      </c>
      <c r="Z130" s="110">
        <f t="shared" si="70"/>
        <v>0.14860778485933426</v>
      </c>
      <c r="AA130" s="110">
        <f t="shared" si="70"/>
        <v>0.16837563871777517</v>
      </c>
      <c r="AB130" s="110">
        <f t="shared" si="70"/>
        <v>0.18950540600862786</v>
      </c>
      <c r="AC130" s="110">
        <f t="shared" si="70"/>
        <v>0.21203185976191888</v>
      </c>
      <c r="AD130" s="110">
        <f t="shared" si="70"/>
        <v>0.23598977300767496</v>
      </c>
      <c r="AE130" s="110">
        <f t="shared" si="70"/>
        <v>0.26141391877592274</v>
      </c>
      <c r="AF130" s="110">
        <f t="shared" si="70"/>
        <v>0.2883390700966888</v>
      </c>
      <c r="AG130" s="110">
        <f t="shared" si="70"/>
        <v>0.31680000000000003</v>
      </c>
      <c r="AI130" s="133"/>
      <c r="AJ130"/>
      <c r="AL130" s="108"/>
      <c r="AM130" s="2"/>
      <c r="AN130" s="2"/>
      <c r="AO130" s="2"/>
      <c r="AV130" s="41"/>
    </row>
    <row r="131" spans="1:63" outlineLevel="1">
      <c r="A131" t="s">
        <v>1573</v>
      </c>
      <c r="B131" s="54" t="s">
        <v>462</v>
      </c>
      <c r="C131" s="110">
        <f>C118*C$129</f>
        <v>1.3146958628490036E-2</v>
      </c>
      <c r="D131" s="110">
        <f t="shared" si="70"/>
        <v>1.6314320703936219E-2</v>
      </c>
      <c r="E131" s="110">
        <f t="shared" si="70"/>
        <v>1.9413049158818221E-2</v>
      </c>
      <c r="F131" s="110">
        <f t="shared" si="70"/>
        <v>2.2433283661713651E-2</v>
      </c>
      <c r="G131" s="110">
        <f t="shared" si="70"/>
        <v>2.5365163881200109E-2</v>
      </c>
      <c r="H131" s="110">
        <f t="shared" si="70"/>
        <v>2.8198829485855181E-2</v>
      </c>
      <c r="I131" s="110">
        <f t="shared" si="70"/>
        <v>3.0924420144256486E-2</v>
      </c>
      <c r="J131" s="110">
        <f t="shared" si="70"/>
        <v>3.3532075524981594E-2</v>
      </c>
      <c r="K131" s="110">
        <f t="shared" si="70"/>
        <v>3.6011935296608136E-2</v>
      </c>
      <c r="L131" s="110">
        <f t="shared" si="70"/>
        <v>3.8354139127713696E-2</v>
      </c>
      <c r="M131" s="110">
        <f t="shared" si="70"/>
        <v>4.0548826686875865E-2</v>
      </c>
      <c r="N131" s="110">
        <f t="shared" si="70"/>
        <v>4.5731686465751313E-2</v>
      </c>
      <c r="O131" s="110">
        <f t="shared" si="70"/>
        <v>5.0613019961739843E-2</v>
      </c>
      <c r="P131" s="110">
        <f t="shared" si="70"/>
        <v>5.5172044630151136E-2</v>
      </c>
      <c r="Q131" s="110">
        <f t="shared" si="70"/>
        <v>5.9387977926294917E-2</v>
      </c>
      <c r="R131" s="110">
        <f t="shared" si="70"/>
        <v>6.324003730548089E-2</v>
      </c>
      <c r="S131" s="110">
        <f t="shared" si="70"/>
        <v>6.6707440223018777E-2</v>
      </c>
      <c r="T131" s="110">
        <f t="shared" si="70"/>
        <v>6.9769404134218269E-2</v>
      </c>
      <c r="U131" s="110">
        <f t="shared" si="70"/>
        <v>7.2405146494389089E-2</v>
      </c>
      <c r="V131" s="110">
        <f t="shared" si="70"/>
        <v>7.4593884758840934E-2</v>
      </c>
      <c r="W131" s="110">
        <f t="shared" si="70"/>
        <v>7.6314836382883514E-2</v>
      </c>
      <c r="X131" s="110">
        <f t="shared" si="70"/>
        <v>8.0506489268742584E-2</v>
      </c>
      <c r="Y131" s="110">
        <f t="shared" si="70"/>
        <v>8.3923506562639957E-2</v>
      </c>
      <c r="Z131" s="110">
        <f t="shared" si="70"/>
        <v>8.6531115234548983E-2</v>
      </c>
      <c r="AA131" s="110">
        <f t="shared" si="70"/>
        <v>8.829454225444297E-2</v>
      </c>
      <c r="AB131" s="110">
        <f t="shared" si="70"/>
        <v>8.9179014592295353E-2</v>
      </c>
      <c r="AC131" s="110">
        <f t="shared" si="70"/>
        <v>8.9149759218079411E-2</v>
      </c>
      <c r="AD131" s="110">
        <f t="shared" si="70"/>
        <v>8.8172003101768523E-2</v>
      </c>
      <c r="AE131" s="110">
        <f t="shared" si="70"/>
        <v>8.6210973213336053E-2</v>
      </c>
      <c r="AF131" s="110">
        <f t="shared" si="70"/>
        <v>8.3231896522755353E-2</v>
      </c>
      <c r="AG131" s="110">
        <f t="shared" si="70"/>
        <v>7.9199999999999979E-2</v>
      </c>
      <c r="AH131" s="245"/>
      <c r="AI131" s="133"/>
      <c r="AJ131" s="211"/>
      <c r="AL131" s="108"/>
      <c r="AM131" s="2"/>
      <c r="AN131" s="2"/>
      <c r="AO131" s="2"/>
      <c r="AV131" s="41"/>
    </row>
    <row r="132" spans="1:63" outlineLevel="1">
      <c r="A132" t="s">
        <v>1574</v>
      </c>
      <c r="B132" s="176" t="s">
        <v>462</v>
      </c>
      <c r="C132" s="110">
        <f>SUM(C130:C131)</f>
        <v>1.4290172422271779E-2</v>
      </c>
      <c r="D132" s="110">
        <f t="shared" ref="D132:AG132" si="71">SUM(D130:D131)</f>
        <v>1.820794721421453E-2</v>
      </c>
      <c r="E132" s="110">
        <f t="shared" si="71"/>
        <v>2.2262671053690619E-2</v>
      </c>
      <c r="F132" s="110">
        <f t="shared" si="71"/>
        <v>2.6454343940700061E-2</v>
      </c>
      <c r="G132" s="110">
        <f t="shared" si="71"/>
        <v>3.0782965875242849E-2</v>
      </c>
      <c r="H132" s="110">
        <f t="shared" si="71"/>
        <v>3.5248536857318977E-2</v>
      </c>
      <c r="I132" s="110">
        <f t="shared" si="71"/>
        <v>3.9851056886928457E-2</v>
      </c>
      <c r="J132" s="110">
        <f t="shared" si="71"/>
        <v>4.4590525964071266E-2</v>
      </c>
      <c r="K132" s="110">
        <f t="shared" si="71"/>
        <v>4.9466944088747439E-2</v>
      </c>
      <c r="L132" s="110">
        <f t="shared" si="71"/>
        <v>5.4480311260956954E-2</v>
      </c>
      <c r="M132" s="110">
        <f t="shared" si="71"/>
        <v>5.9630627480699805E-2</v>
      </c>
      <c r="N132" s="110">
        <f t="shared" si="71"/>
        <v>6.9712936685596527E-2</v>
      </c>
      <c r="O132" s="110">
        <f t="shared" si="71"/>
        <v>8.0083892344525079E-2</v>
      </c>
      <c r="P132" s="110">
        <f t="shared" si="71"/>
        <v>9.0743494457485446E-2</v>
      </c>
      <c r="Q132" s="110">
        <f t="shared" si="71"/>
        <v>0.10169174302447762</v>
      </c>
      <c r="R132" s="110">
        <f t="shared" si="71"/>
        <v>0.11292863804550163</v>
      </c>
      <c r="S132" s="110">
        <f t="shared" si="71"/>
        <v>0.12445417952055746</v>
      </c>
      <c r="T132" s="110">
        <f t="shared" si="71"/>
        <v>0.1362683674496451</v>
      </c>
      <c r="U132" s="110">
        <f t="shared" si="71"/>
        <v>0.14837120183276456</v>
      </c>
      <c r="V132" s="110">
        <f t="shared" si="71"/>
        <v>0.16076268266991584</v>
      </c>
      <c r="W132" s="110">
        <f t="shared" si="71"/>
        <v>0.17344280996109895</v>
      </c>
      <c r="X132" s="110">
        <f t="shared" si="71"/>
        <v>0.19352521458832361</v>
      </c>
      <c r="Y132" s="110">
        <f t="shared" si="71"/>
        <v>0.21409057796591835</v>
      </c>
      <c r="Z132" s="110">
        <f t="shared" si="71"/>
        <v>0.23513890009388325</v>
      </c>
      <c r="AA132" s="110">
        <f t="shared" si="71"/>
        <v>0.25667018097221816</v>
      </c>
      <c r="AB132" s="110">
        <f t="shared" si="71"/>
        <v>0.27868442060092324</v>
      </c>
      <c r="AC132" s="110">
        <f t="shared" si="71"/>
        <v>0.30118161897999829</v>
      </c>
      <c r="AD132" s="110">
        <f t="shared" si="71"/>
        <v>0.32416177610944347</v>
      </c>
      <c r="AE132" s="110">
        <f t="shared" si="71"/>
        <v>0.34762489198925878</v>
      </c>
      <c r="AF132" s="110">
        <f t="shared" si="71"/>
        <v>0.37157096661944417</v>
      </c>
      <c r="AG132" s="110">
        <f t="shared" si="71"/>
        <v>0.39600000000000002</v>
      </c>
      <c r="AI132" s="133"/>
      <c r="AJ132" s="211"/>
      <c r="AL132" s="108"/>
      <c r="AM132" s="2"/>
      <c r="AN132" s="2"/>
      <c r="AO132" s="2"/>
    </row>
    <row r="133" spans="1:63" outlineLevel="1">
      <c r="A133" t="s">
        <v>1575</v>
      </c>
      <c r="B133" s="54" t="s">
        <v>462</v>
      </c>
      <c r="C133" s="110">
        <f>C120*C131</f>
        <v>6.8364184868148188E-3</v>
      </c>
      <c r="D133" s="110">
        <f t="shared" ref="D133:AG133" si="72">D120*D131</f>
        <v>8.483446766046834E-3</v>
      </c>
      <c r="E133" s="110">
        <f t="shared" si="72"/>
        <v>1.0094785562585475E-2</v>
      </c>
      <c r="F133" s="110">
        <f t="shared" si="72"/>
        <v>1.1665307504091098E-2</v>
      </c>
      <c r="G133" s="110">
        <f t="shared" si="72"/>
        <v>1.3189885218224057E-2</v>
      </c>
      <c r="H133" s="110">
        <f t="shared" si="72"/>
        <v>1.4663391332644694E-2</v>
      </c>
      <c r="I133" s="110">
        <f t="shared" si="72"/>
        <v>1.6080698475013373E-2</v>
      </c>
      <c r="J133" s="110">
        <f t="shared" si="72"/>
        <v>1.7436679272990429E-2</v>
      </c>
      <c r="K133" s="110">
        <f t="shared" si="72"/>
        <v>1.8726206354236233E-2</v>
      </c>
      <c r="L133" s="110">
        <f t="shared" si="72"/>
        <v>1.9944152346411122E-2</v>
      </c>
      <c r="M133" s="110">
        <f t="shared" si="72"/>
        <v>2.108538987717545E-2</v>
      </c>
      <c r="N133" s="110">
        <f t="shared" si="72"/>
        <v>2.3780476962190683E-2</v>
      </c>
      <c r="O133" s="110">
        <f t="shared" si="72"/>
        <v>2.631877038010472E-2</v>
      </c>
      <c r="P133" s="110">
        <f t="shared" si="72"/>
        <v>2.8689463207678591E-2</v>
      </c>
      <c r="Q133" s="110">
        <f t="shared" si="72"/>
        <v>3.0881748521673358E-2</v>
      </c>
      <c r="R133" s="110">
        <f t="shared" si="72"/>
        <v>3.2884819398850067E-2</v>
      </c>
      <c r="S133" s="110">
        <f t="shared" si="72"/>
        <v>3.4687868915969762E-2</v>
      </c>
      <c r="T133" s="110">
        <f t="shared" si="72"/>
        <v>3.6280090149793498E-2</v>
      </c>
      <c r="U133" s="110">
        <f t="shared" si="72"/>
        <v>3.7650676177082329E-2</v>
      </c>
      <c r="V133" s="110">
        <f t="shared" si="72"/>
        <v>3.8788820074597288E-2</v>
      </c>
      <c r="W133" s="110">
        <f t="shared" si="72"/>
        <v>3.968371491909943E-2</v>
      </c>
      <c r="X133" s="110">
        <f t="shared" si="72"/>
        <v>4.1863374419746142E-2</v>
      </c>
      <c r="Y133" s="110">
        <f t="shared" si="72"/>
        <v>4.364022341257278E-2</v>
      </c>
      <c r="Z133" s="110">
        <f t="shared" si="72"/>
        <v>4.4996179921965473E-2</v>
      </c>
      <c r="AA133" s="110">
        <f t="shared" si="72"/>
        <v>4.5913161972310344E-2</v>
      </c>
      <c r="AB133" s="110">
        <f t="shared" si="72"/>
        <v>4.6373087587993585E-2</v>
      </c>
      <c r="AC133" s="110">
        <f t="shared" si="72"/>
        <v>4.6357874793401296E-2</v>
      </c>
      <c r="AD133" s="110">
        <f t="shared" si="72"/>
        <v>4.5849441612919636E-2</v>
      </c>
      <c r="AE133" s="110">
        <f t="shared" si="72"/>
        <v>4.4829706070934748E-2</v>
      </c>
      <c r="AF133" s="110">
        <f t="shared" si="72"/>
        <v>4.3280586191832782E-2</v>
      </c>
      <c r="AG133" s="110">
        <f t="shared" si="72"/>
        <v>4.1183999999999991E-2</v>
      </c>
      <c r="AI133" s="133"/>
      <c r="AJ133" s="211"/>
      <c r="BD133" s="203"/>
      <c r="BE133" s="203"/>
    </row>
    <row r="134" spans="1:63" outlineLevel="1">
      <c r="A134" t="s">
        <v>1576</v>
      </c>
      <c r="B134" s="54" t="s">
        <v>462</v>
      </c>
      <c r="C134" s="110">
        <f>C121*C131</f>
        <v>1.5776350354188044E-3</v>
      </c>
      <c r="D134" s="110">
        <f t="shared" ref="D134:AG134" si="73">D121*D131</f>
        <v>1.9577184844723461E-3</v>
      </c>
      <c r="E134" s="110">
        <f t="shared" si="73"/>
        <v>2.3295658990581864E-3</v>
      </c>
      <c r="F134" s="110">
        <f t="shared" si="73"/>
        <v>2.6919940394056381E-3</v>
      </c>
      <c r="G134" s="110">
        <f t="shared" si="73"/>
        <v>3.043819665744013E-3</v>
      </c>
      <c r="H134" s="110">
        <f t="shared" si="73"/>
        <v>3.3838595383026216E-3</v>
      </c>
      <c r="I134" s="110">
        <f t="shared" si="73"/>
        <v>3.7109304173107783E-3</v>
      </c>
      <c r="J134" s="110">
        <f t="shared" si="73"/>
        <v>4.0238490629977914E-3</v>
      </c>
      <c r="K134" s="110">
        <f t="shared" si="73"/>
        <v>4.3214322355929757E-3</v>
      </c>
      <c r="L134" s="110">
        <f t="shared" si="73"/>
        <v>4.6024966953256436E-3</v>
      </c>
      <c r="M134" s="110">
        <f t="shared" si="73"/>
        <v>4.8658592024251037E-3</v>
      </c>
      <c r="N134" s="110">
        <f t="shared" si="73"/>
        <v>5.4878023758901575E-3</v>
      </c>
      <c r="O134" s="110">
        <f t="shared" si="73"/>
        <v>6.0735623954087806E-3</v>
      </c>
      <c r="P134" s="110">
        <f t="shared" si="73"/>
        <v>6.6206453556181362E-3</v>
      </c>
      <c r="Q134" s="110">
        <f t="shared" si="73"/>
        <v>7.1265573511553899E-3</v>
      </c>
      <c r="R134" s="110">
        <f t="shared" si="73"/>
        <v>7.5888044766577066E-3</v>
      </c>
      <c r="S134" s="110">
        <f t="shared" si="73"/>
        <v>8.0048928267622537E-3</v>
      </c>
      <c r="T134" s="110">
        <f t="shared" si="73"/>
        <v>8.3723284961061926E-3</v>
      </c>
      <c r="U134" s="110">
        <f t="shared" si="73"/>
        <v>8.68861757932669E-3</v>
      </c>
      <c r="V134" s="110">
        <f t="shared" si="73"/>
        <v>8.9512661710609114E-3</v>
      </c>
      <c r="W134" s="110">
        <f t="shared" si="73"/>
        <v>9.1577803659460208E-3</v>
      </c>
      <c r="X134" s="110">
        <f t="shared" si="73"/>
        <v>9.6607787122491105E-3</v>
      </c>
      <c r="Y134" s="110">
        <f t="shared" si="73"/>
        <v>1.0070820787516794E-2</v>
      </c>
      <c r="Z134" s="110">
        <f t="shared" si="73"/>
        <v>1.0383733828145877E-2</v>
      </c>
      <c r="AA134" s="110">
        <f t="shared" si="73"/>
        <v>1.0595345070533157E-2</v>
      </c>
      <c r="AB134" s="110">
        <f t="shared" si="73"/>
        <v>1.0701481751075442E-2</v>
      </c>
      <c r="AC134" s="110">
        <f t="shared" si="73"/>
        <v>1.0697971106169529E-2</v>
      </c>
      <c r="AD134" s="110">
        <f t="shared" si="73"/>
        <v>1.0580640372212222E-2</v>
      </c>
      <c r="AE134" s="110">
        <f t="shared" si="73"/>
        <v>1.0345316785600326E-2</v>
      </c>
      <c r="AF134" s="110">
        <f t="shared" si="73"/>
        <v>9.9878275827306427E-3</v>
      </c>
      <c r="AG134" s="110">
        <f t="shared" si="73"/>
        <v>9.5039999999999968E-3</v>
      </c>
      <c r="AI134" s="133"/>
      <c r="AJ134" s="211"/>
      <c r="AL134" s="1"/>
      <c r="BC134" s="1"/>
      <c r="BD134" s="762"/>
      <c r="BE134" s="760"/>
      <c r="BF134" s="6"/>
      <c r="BG134" s="6"/>
      <c r="BH134" s="6"/>
      <c r="BI134" s="6"/>
      <c r="BJ134" s="6"/>
    </row>
    <row r="135" spans="1:63" outlineLevel="1">
      <c r="A135" t="s">
        <v>1577</v>
      </c>
      <c r="B135" s="54" t="s">
        <v>462</v>
      </c>
      <c r="C135" s="110">
        <f>C122*C131</f>
        <v>4.7329051062564133E-3</v>
      </c>
      <c r="D135" s="110">
        <f t="shared" ref="D135:AG135" si="74">D122*D131</f>
        <v>5.8731554534170389E-3</v>
      </c>
      <c r="E135" s="110">
        <f t="shared" si="74"/>
        <v>6.9886976971745588E-3</v>
      </c>
      <c r="F135" s="110">
        <f t="shared" si="74"/>
        <v>8.0759821182169143E-3</v>
      </c>
      <c r="G135" s="110">
        <f t="shared" si="74"/>
        <v>9.1314589972320385E-3</v>
      </c>
      <c r="H135" s="110">
        <f t="shared" si="74"/>
        <v>1.0151578614907864E-2</v>
      </c>
      <c r="I135" s="110">
        <f t="shared" si="74"/>
        <v>1.1132791251932334E-2</v>
      </c>
      <c r="J135" s="110">
        <f t="shared" si="74"/>
        <v>1.2071547188993373E-2</v>
      </c>
      <c r="K135" s="110">
        <f t="shared" si="74"/>
        <v>1.2964296706778929E-2</v>
      </c>
      <c r="L135" s="110">
        <f t="shared" si="74"/>
        <v>1.3807490085976931E-2</v>
      </c>
      <c r="M135" s="110">
        <f t="shared" si="74"/>
        <v>1.459757760727531E-2</v>
      </c>
      <c r="N135" s="110">
        <f t="shared" si="74"/>
        <v>1.6463407127670471E-2</v>
      </c>
      <c r="O135" s="110">
        <f t="shared" si="74"/>
        <v>1.8220687186226343E-2</v>
      </c>
      <c r="P135" s="110">
        <f t="shared" si="74"/>
        <v>1.9861936066854408E-2</v>
      </c>
      <c r="Q135" s="110">
        <f t="shared" si="74"/>
        <v>2.1379672053466168E-2</v>
      </c>
      <c r="R135" s="110">
        <f t="shared" si="74"/>
        <v>2.2766413429973119E-2</v>
      </c>
      <c r="S135" s="110">
        <f t="shared" si="74"/>
        <v>2.4014678480286759E-2</v>
      </c>
      <c r="T135" s="110">
        <f t="shared" si="74"/>
        <v>2.5116985488318574E-2</v>
      </c>
      <c r="U135" s="110">
        <f t="shared" si="74"/>
        <v>2.606585273798007E-2</v>
      </c>
      <c r="V135" s="110">
        <f t="shared" si="74"/>
        <v>2.6853798513182734E-2</v>
      </c>
      <c r="W135" s="110">
        <f t="shared" si="74"/>
        <v>2.7473341097838062E-2</v>
      </c>
      <c r="X135" s="110">
        <f t="shared" si="74"/>
        <v>2.898233613674733E-2</v>
      </c>
      <c r="Y135" s="110">
        <f t="shared" si="74"/>
        <v>3.0212462362550385E-2</v>
      </c>
      <c r="Z135" s="110">
        <f t="shared" si="74"/>
        <v>3.1151201484437632E-2</v>
      </c>
      <c r="AA135" s="110">
        <f t="shared" si="74"/>
        <v>3.1786035211599471E-2</v>
      </c>
      <c r="AB135" s="110">
        <f t="shared" si="74"/>
        <v>3.2104445253226324E-2</v>
      </c>
      <c r="AC135" s="110">
        <f t="shared" si="74"/>
        <v>3.2093913318508589E-2</v>
      </c>
      <c r="AD135" s="110">
        <f t="shared" si="74"/>
        <v>3.1741921116636665E-2</v>
      </c>
      <c r="AE135" s="110">
        <f t="shared" si="74"/>
        <v>3.1035950356800977E-2</v>
      </c>
      <c r="AF135" s="110">
        <f t="shared" si="74"/>
        <v>2.9963482748191925E-2</v>
      </c>
      <c r="AG135" s="110">
        <f t="shared" si="74"/>
        <v>2.8511999999999992E-2</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C43*C130</f>
        <v>6.7049132945215778E-4</v>
      </c>
      <c r="D137" s="300">
        <f t="shared" ref="D137:AG137" si="75">D43*D130</f>
        <v>1.1478352307777058E-3</v>
      </c>
      <c r="E137" s="300">
        <f t="shared" si="75"/>
        <v>1.7805542791737255E-3</v>
      </c>
      <c r="F137" s="300">
        <f t="shared" si="75"/>
        <v>2.5831837745747608E-3</v>
      </c>
      <c r="G137" s="300">
        <f t="shared" si="75"/>
        <v>3.569022952927645E-3</v>
      </c>
      <c r="H137" s="300">
        <f t="shared" si="75"/>
        <v>4.7497889473316337E-3</v>
      </c>
      <c r="I137" s="300">
        <f t="shared" si="75"/>
        <v>6.1485166320904075E-3</v>
      </c>
      <c r="J137" s="300">
        <f t="shared" si="75"/>
        <v>7.7831974694934566E-3</v>
      </c>
      <c r="K137" s="300">
        <f t="shared" si="75"/>
        <v>9.6723235601463026E-3</v>
      </c>
      <c r="L137" s="300">
        <f t="shared" si="75"/>
        <v>1.1834848703256148E-2</v>
      </c>
      <c r="M137" s="300">
        <f t="shared" si="75"/>
        <v>1.4290145645258399E-2</v>
      </c>
      <c r="N137" s="300">
        <f t="shared" si="75"/>
        <v>1.8291706080824335E-2</v>
      </c>
      <c r="O137" s="300">
        <f t="shared" si="75"/>
        <v>2.2851673545355191E-2</v>
      </c>
      <c r="P137" s="300">
        <f t="shared" si="75"/>
        <v>2.8042244203087752E-2</v>
      </c>
      <c r="Q137" s="300">
        <f t="shared" si="75"/>
        <v>3.3841437711663681E-2</v>
      </c>
      <c r="R137" s="300">
        <f t="shared" si="75"/>
        <v>4.0258337214343742E-2</v>
      </c>
      <c r="S137" s="300">
        <f t="shared" si="75"/>
        <v>4.7381254936457555E-2</v>
      </c>
      <c r="T137" s="300">
        <f t="shared" si="75"/>
        <v>5.5249036669867142E-2</v>
      </c>
      <c r="U137" s="300">
        <f t="shared" si="75"/>
        <v>6.3901469001964778E-2</v>
      </c>
      <c r="V137" s="300">
        <f t="shared" si="75"/>
        <v>7.3379271248815409E-2</v>
      </c>
      <c r="W137" s="300">
        <f t="shared" si="75"/>
        <v>8.3724086182551366E-2</v>
      </c>
      <c r="X137" s="300">
        <f t="shared" si="75"/>
        <v>9.860401797579689E-2</v>
      </c>
      <c r="Y137" s="300">
        <f t="shared" si="75"/>
        <v>0.11493143565360757</v>
      </c>
      <c r="Z137" s="300">
        <f t="shared" si="75"/>
        <v>0.13316836560433487</v>
      </c>
      <c r="AA137" s="300">
        <f t="shared" si="75"/>
        <v>0.15311129732295675</v>
      </c>
      <c r="AB137" s="300">
        <f t="shared" si="75"/>
        <v>0.17484965849953601</v>
      </c>
      <c r="AC137" s="300">
        <f t="shared" si="75"/>
        <v>0.19847710825052803</v>
      </c>
      <c r="AD137" s="300">
        <f t="shared" si="75"/>
        <v>0.22408850936883118</v>
      </c>
      <c r="AE137" s="300">
        <f t="shared" si="75"/>
        <v>0.25178118845309372</v>
      </c>
      <c r="AF137" s="300">
        <f t="shared" si="75"/>
        <v>0.28165493653310331</v>
      </c>
      <c r="AG137" s="300">
        <f t="shared" si="75"/>
        <v>0.31381200747535853</v>
      </c>
      <c r="AH137" s="245"/>
      <c r="AI137" s="423"/>
      <c r="AJ137" s="424"/>
      <c r="AL137" s="221"/>
      <c r="AM137" s="124"/>
      <c r="AN137" s="124"/>
      <c r="AO137" s="124"/>
      <c r="BD137" s="124"/>
      <c r="BE137" s="124"/>
      <c r="BF137" s="124"/>
      <c r="BG137" s="124"/>
      <c r="BH137" s="124"/>
      <c r="BI137" s="124"/>
      <c r="BJ137" s="124"/>
      <c r="BK137" s="124"/>
    </row>
    <row r="138" spans="1:63" outlineLevel="1">
      <c r="A138" s="4" t="s">
        <v>474</v>
      </c>
      <c r="C138" s="230">
        <f>C$137*'Methanol recycling rates'!E48</f>
        <v>0</v>
      </c>
      <c r="D138" s="230">
        <f>D$137*'Methanol recycling rates'!F48</f>
        <v>0</v>
      </c>
      <c r="E138" s="230">
        <f>E$137*'Methanol recycling rates'!G48</f>
        <v>0</v>
      </c>
      <c r="F138" s="230">
        <f>F$137*'Methanol recycling rates'!H48</f>
        <v>0</v>
      </c>
      <c r="G138" s="230">
        <f>G$137*'Methanol recycling rates'!I48</f>
        <v>0</v>
      </c>
      <c r="H138" s="230">
        <f>H$137*'Methanol recycling rates'!J48</f>
        <v>0</v>
      </c>
      <c r="I138" s="230">
        <f>I$137*'Methanol recycling rates'!K48</f>
        <v>0</v>
      </c>
      <c r="J138" s="230">
        <f>J$137*'Methanol recycling rates'!L48</f>
        <v>0</v>
      </c>
      <c r="K138" s="230">
        <f>K$137*'Methanol recycling rates'!M48</f>
        <v>0</v>
      </c>
      <c r="L138" s="230">
        <f>L$137*'Methanol recycling rates'!N48</f>
        <v>0</v>
      </c>
      <c r="M138" s="230">
        <f>M$137*'Methanol recycling rates'!O48</f>
        <v>0</v>
      </c>
      <c r="N138" s="230">
        <f>N$137*'Methanol recycling rates'!P48</f>
        <v>0</v>
      </c>
      <c r="O138" s="230">
        <f>O$137*'Methanol recycling rates'!Q48</f>
        <v>0</v>
      </c>
      <c r="P138" s="230">
        <f>P$137*'Methanol recycling rates'!R48</f>
        <v>0</v>
      </c>
      <c r="Q138" s="230">
        <f>Q$137*'Methanol recycling rates'!S48</f>
        <v>0</v>
      </c>
      <c r="R138" s="230">
        <f>R$137*'Methanol recycling rates'!T48</f>
        <v>0</v>
      </c>
      <c r="S138" s="230">
        <f>S$137*'Methanol recycling rates'!U48</f>
        <v>0</v>
      </c>
      <c r="T138" s="230">
        <f>T$137*'Methanol recycling rates'!V48</f>
        <v>0</v>
      </c>
      <c r="U138" s="230">
        <f>U$137*'Methanol recycling rates'!W48</f>
        <v>0</v>
      </c>
      <c r="V138" s="230">
        <f>V$137*'Methanol recycling rates'!X48</f>
        <v>0</v>
      </c>
      <c r="W138" s="230">
        <f>W$137*'Methanol recycling rates'!Y48</f>
        <v>0</v>
      </c>
      <c r="X138" s="230">
        <f>X$137*'Methanol recycling rates'!Z48</f>
        <v>0</v>
      </c>
      <c r="Y138" s="230">
        <f>Y$137*'Methanol recycling rates'!AA48</f>
        <v>0</v>
      </c>
      <c r="Z138" s="230">
        <f>Z$137*'Methanol recycling rates'!AB48</f>
        <v>0</v>
      </c>
      <c r="AA138" s="230">
        <f>AA$137*'Methanol recycling rates'!AC48</f>
        <v>0</v>
      </c>
      <c r="AB138" s="230">
        <f>AB$137*'Methanol recycling rates'!AD48</f>
        <v>0</v>
      </c>
      <c r="AC138" s="230">
        <f>AC$137*'Methanol recycling rates'!AE48</f>
        <v>0</v>
      </c>
      <c r="AD138" s="230">
        <f>AD$137*'Methanol recycling rates'!AF48</f>
        <v>0</v>
      </c>
      <c r="AE138" s="230">
        <f>AE$137*'Methanol recycling rates'!AG48</f>
        <v>0</v>
      </c>
      <c r="AF138" s="230">
        <f>AF$137*'Methanol recycling rates'!AH48</f>
        <v>0</v>
      </c>
      <c r="AG138" s="230">
        <f>AG$137*'Methanol recycling rates'!AI48</f>
        <v>0</v>
      </c>
      <c r="AH138" s="245"/>
      <c r="AI138" s="133"/>
      <c r="AJ138" s="211"/>
      <c r="AL138" s="108"/>
      <c r="AM138" s="2"/>
      <c r="AN138" s="2"/>
      <c r="AO138" s="2"/>
      <c r="BC138" s="1"/>
      <c r="BD138" s="2"/>
      <c r="BE138" s="2"/>
      <c r="BF138" s="2"/>
      <c r="BG138" s="2"/>
      <c r="BH138" s="2"/>
      <c r="BI138" s="2"/>
      <c r="BJ138" s="2"/>
      <c r="BK138" s="2"/>
    </row>
    <row r="139" spans="1:63" outlineLevel="1">
      <c r="A139" s="4" t="s">
        <v>745</v>
      </c>
      <c r="C139" s="230">
        <f>C$137*'Methanol recycling rates'!E49</f>
        <v>0</v>
      </c>
      <c r="D139" s="230">
        <f>D$137*'Methanol recycling rates'!F49</f>
        <v>4.4601425719494335E-6</v>
      </c>
      <c r="E139" s="230">
        <f>E$137*'Methanol recycling rates'!G49</f>
        <v>1.383739709196547E-5</v>
      </c>
      <c r="F139" s="230">
        <f>F$137*'Methanol recycling rates'!H49</f>
        <v>3.0112426283545198E-5</v>
      </c>
      <c r="G139" s="230">
        <f>G$137*'Methanol recycling rates'!I49</f>
        <v>5.547260019831218E-5</v>
      </c>
      <c r="H139" s="230">
        <f>H$137*'Methanol recycling rates'!J49</f>
        <v>9.2281258336247311E-5</v>
      </c>
      <c r="I139" s="230">
        <f>I$137*'Methanol recycling rates'!K49</f>
        <v>1.4334772125723229E-4</v>
      </c>
      <c r="J139" s="230">
        <f>J$137*'Methanol recycling rates'!L49</f>
        <v>2.117021556241971E-4</v>
      </c>
      <c r="K139" s="230">
        <f>K$137*'Methanol recycling rates'!M49</f>
        <v>3.0066992839067287E-4</v>
      </c>
      <c r="L139" s="230">
        <f>L$137*'Methanol recycling rates'!N49</f>
        <v>4.1387997167841137E-4</v>
      </c>
      <c r="M139" s="230">
        <f>M$137*'Methanol recycling rates'!O49</f>
        <v>5.5527209169726349E-4</v>
      </c>
      <c r="N139" s="230">
        <f>N$137*'Methanol recycling rates'!P49</f>
        <v>7.8183676802056441E-4</v>
      </c>
      <c r="O139" s="230">
        <f>O$137*'Methanol recycling rates'!Q49</f>
        <v>1.0655367873753775E-3</v>
      </c>
      <c r="P139" s="230">
        <f>P$137*'Methanol recycling rates'!R49</f>
        <v>1.4165284788130068E-3</v>
      </c>
      <c r="Q139" s="230">
        <f>Q$137*'Methanol recycling rates'!S49</f>
        <v>1.8409671195063384E-3</v>
      </c>
      <c r="R139" s="230">
        <f>R$137*'Methanol recycling rates'!T49</f>
        <v>2.3464769010958053E-3</v>
      </c>
      <c r="S139" s="230">
        <f>S$137*'Methanol recycling rates'!U49</f>
        <v>2.945748958917048E-3</v>
      </c>
      <c r="T139" s="230">
        <f>T$137*'Methanol recycling rates'!V49</f>
        <v>3.6495794486458531E-3</v>
      </c>
      <c r="U139" s="230">
        <f>U$137*'Methanol recycling rates'!W49</f>
        <v>4.4694340998994745E-3</v>
      </c>
      <c r="V139" s="230">
        <f>V$137*'Methanol recycling rates'!X49</f>
        <v>5.4174658989171029E-3</v>
      </c>
      <c r="W139" s="230">
        <f>W$137*'Methanol recycling rates'!Y49</f>
        <v>6.5065324894645745E-3</v>
      </c>
      <c r="X139" s="230">
        <f>X$137*'Methanol recycling rates'!Z49</f>
        <v>8.0460568707792918E-3</v>
      </c>
      <c r="Y139" s="230">
        <f>Y$137*'Methanol recycling rates'!AA49</f>
        <v>9.824958021775786E-3</v>
      </c>
      <c r="Z139" s="230">
        <f>Z$137*'Methanol recycling rates'!AB49</f>
        <v>1.1901401226487078E-2</v>
      </c>
      <c r="AA139" s="230">
        <f>AA$137*'Methanol recycling rates'!AC49</f>
        <v>1.4278667121388172E-2</v>
      </c>
      <c r="AB139" s="230">
        <f>AB$137*'Methanol recycling rates'!AD49</f>
        <v>1.6985329964044941E-2</v>
      </c>
      <c r="AC139" s="230">
        <f>AC$137*'Methanol recycling rates'!AE49</f>
        <v>2.0051781461796658E-2</v>
      </c>
      <c r="AD139" s="230">
        <f>AD$137*'Methanol recycling rates'!AF49</f>
        <v>2.3509995329009624E-2</v>
      </c>
      <c r="AE139" s="230">
        <f>AE$137*'Methanol recycling rates'!AG49</f>
        <v>2.7393687774241268E-2</v>
      </c>
      <c r="AF139" s="230">
        <f>AF$137*'Methanol recycling rates'!AH49</f>
        <v>3.173836543875392E-2</v>
      </c>
      <c r="AG139" s="230">
        <f>AG$137*'Methanol recycling rates'!AI49</f>
        <v>3.6581373090842723E-2</v>
      </c>
      <c r="AH139" s="245"/>
      <c r="AI139" s="133"/>
      <c r="AJ139" s="211"/>
      <c r="AL139" s="108"/>
      <c r="AM139" s="2"/>
      <c r="AN139" s="2"/>
      <c r="AO139" s="2"/>
      <c r="BC139" s="1"/>
      <c r="BD139" s="2"/>
      <c r="BE139" s="2"/>
      <c r="BF139" s="2"/>
      <c r="BG139" s="2"/>
      <c r="BH139" s="2"/>
      <c r="BI139" s="2"/>
      <c r="BJ139" s="2"/>
      <c r="BK139" s="2"/>
    </row>
    <row r="140" spans="1:63" outlineLevel="1">
      <c r="A140" s="4" t="s">
        <v>1561</v>
      </c>
      <c r="C140" s="230">
        <f>C$137*'Methanol recycling rates'!E50</f>
        <v>6.7049132945215778E-4</v>
      </c>
      <c r="D140" s="230">
        <f>D$137*'Methanol recycling rates'!F50</f>
        <v>1.1433750882057564E-3</v>
      </c>
      <c r="E140" s="230">
        <f>E$137*'Methanol recycling rates'!G50</f>
        <v>1.7667168820817603E-3</v>
      </c>
      <c r="F140" s="230">
        <f>F$137*'Methanol recycling rates'!H50</f>
        <v>2.5530713482912158E-3</v>
      </c>
      <c r="G140" s="230">
        <f>G$137*'Methanol recycling rates'!I50</f>
        <v>3.5135503527293334E-3</v>
      </c>
      <c r="H140" s="230">
        <f>H$137*'Methanol recycling rates'!J50</f>
        <v>4.6575076889953876E-3</v>
      </c>
      <c r="I140" s="230">
        <f>I$137*'Methanol recycling rates'!K50</f>
        <v>6.0051689108331771E-3</v>
      </c>
      <c r="J140" s="230">
        <f>J$137*'Methanol recycling rates'!L50</f>
        <v>7.5714953138692623E-3</v>
      </c>
      <c r="K140" s="230">
        <f>K$137*'Methanol recycling rates'!M50</f>
        <v>9.3716536317556328E-3</v>
      </c>
      <c r="L140" s="230">
        <f>L$137*'Methanol recycling rates'!N50</f>
        <v>1.1420968731577741E-2</v>
      </c>
      <c r="M140" s="230">
        <f>M$137*'Methanol recycling rates'!O50</f>
        <v>1.3734873553561143E-2</v>
      </c>
      <c r="N140" s="230">
        <f>N$137*'Methanol recycling rates'!P50</f>
        <v>1.750986931280378E-2</v>
      </c>
      <c r="O140" s="230">
        <f>O$137*'Methanol recycling rates'!Q50</f>
        <v>2.1786136757979826E-2</v>
      </c>
      <c r="P140" s="230">
        <f>P$137*'Methanol recycling rates'!R50</f>
        <v>2.6625715724274763E-2</v>
      </c>
      <c r="Q140" s="230">
        <f>Q$137*'Methanol recycling rates'!S50</f>
        <v>3.2000470592157361E-2</v>
      </c>
      <c r="R140" s="230">
        <f>R$137*'Methanol recycling rates'!T50</f>
        <v>3.7911860313247961E-2</v>
      </c>
      <c r="S140" s="230">
        <f>S$137*'Methanol recycling rates'!U50</f>
        <v>4.4435505977540542E-2</v>
      </c>
      <c r="T140" s="230">
        <f>T$137*'Methanol recycling rates'!V50</f>
        <v>5.1599457221221327E-2</v>
      </c>
      <c r="U140" s="230">
        <f>U$137*'Methanol recycling rates'!W50</f>
        <v>5.9432034902065355E-2</v>
      </c>
      <c r="V140" s="230">
        <f>V$137*'Methanol recycling rates'!X50</f>
        <v>6.796180534989836E-2</v>
      </c>
      <c r="W140" s="230">
        <f>W$137*'Methanol recycling rates'!Y50</f>
        <v>7.721755369308686E-2</v>
      </c>
      <c r="X140" s="230">
        <f>X$137*'Methanol recycling rates'!Z50</f>
        <v>9.0557961105017681E-2</v>
      </c>
      <c r="Y140" s="230">
        <f>Y$137*'Methanol recycling rates'!AA50</f>
        <v>0.1051064776318319</v>
      </c>
      <c r="Z140" s="230">
        <f>Z$137*'Methanol recycling rates'!AB50</f>
        <v>0.12126696437784792</v>
      </c>
      <c r="AA140" s="230">
        <f>AA$137*'Methanol recycling rates'!AC50</f>
        <v>0.13883263020156875</v>
      </c>
      <c r="AB140" s="230">
        <f>AB$137*'Methanol recycling rates'!AD50</f>
        <v>0.15786432853549126</v>
      </c>
      <c r="AC140" s="230">
        <f>AC$137*'Methanol recycling rates'!AE50</f>
        <v>0.1784253267887316</v>
      </c>
      <c r="AD140" s="230">
        <f>AD$137*'Methanol recycling rates'!AF50</f>
        <v>0.20057851403982183</v>
      </c>
      <c r="AE140" s="230">
        <f>AE$137*'Methanol recycling rates'!AG50</f>
        <v>0.22438750067885274</v>
      </c>
      <c r="AF140" s="230">
        <f>AF$137*'Methanol recycling rates'!AH50</f>
        <v>0.24991657109434973</v>
      </c>
      <c r="AG140" s="230">
        <f>AG$137*'Methanol recycling rates'!AI50</f>
        <v>0.27723063438451584</v>
      </c>
      <c r="AH140" s="245"/>
      <c r="AI140" s="133"/>
      <c r="AJ140" s="211"/>
      <c r="AL140" s="108"/>
      <c r="AM140" s="2"/>
      <c r="AN140" s="2"/>
      <c r="AO140" s="2"/>
      <c r="BC140" s="1"/>
      <c r="BD140" s="2"/>
      <c r="BE140" s="2"/>
      <c r="BF140" s="2"/>
      <c r="BG140" s="2"/>
      <c r="BH140" s="2"/>
      <c r="BI140" s="2"/>
      <c r="BJ140" s="2"/>
      <c r="BK140" s="2"/>
    </row>
    <row r="141" spans="1:63" s="1" customFormat="1" outlineLevel="1">
      <c r="A141" s="1" t="s">
        <v>1562</v>
      </c>
      <c r="B141" s="65"/>
      <c r="C141" s="300">
        <f>C137-$C137</f>
        <v>0</v>
      </c>
      <c r="D141" s="300">
        <f t="shared" ref="D141:AG142" si="76">D137-$C137</f>
        <v>4.7734390132554802E-4</v>
      </c>
      <c r="E141" s="300">
        <f t="shared" si="76"/>
        <v>1.1100629497215676E-3</v>
      </c>
      <c r="F141" s="300">
        <f t="shared" si="76"/>
        <v>1.912692445122603E-3</v>
      </c>
      <c r="G141" s="300">
        <f t="shared" si="76"/>
        <v>2.8985316234754871E-3</v>
      </c>
      <c r="H141" s="300">
        <f t="shared" si="76"/>
        <v>4.0792976178794758E-3</v>
      </c>
      <c r="I141" s="300">
        <f t="shared" si="76"/>
        <v>5.4780253026382496E-3</v>
      </c>
      <c r="J141" s="300">
        <f t="shared" si="76"/>
        <v>7.1127061400412988E-3</v>
      </c>
      <c r="K141" s="300">
        <f t="shared" si="76"/>
        <v>9.0018322306941456E-3</v>
      </c>
      <c r="L141" s="300">
        <f t="shared" si="76"/>
        <v>1.1164357373803991E-2</v>
      </c>
      <c r="M141" s="300">
        <f t="shared" si="76"/>
        <v>1.3619654315806242E-2</v>
      </c>
      <c r="N141" s="300">
        <f t="shared" si="76"/>
        <v>1.7621214751372176E-2</v>
      </c>
      <c r="O141" s="300">
        <f t="shared" si="76"/>
        <v>2.2181182215903032E-2</v>
      </c>
      <c r="P141" s="300">
        <f t="shared" si="76"/>
        <v>2.7371752873635594E-2</v>
      </c>
      <c r="Q141" s="300">
        <f t="shared" si="76"/>
        <v>3.3170946382211526E-2</v>
      </c>
      <c r="R141" s="300">
        <f t="shared" si="76"/>
        <v>3.9587845884891587E-2</v>
      </c>
      <c r="S141" s="300">
        <f t="shared" si="76"/>
        <v>4.67107636070054E-2</v>
      </c>
      <c r="T141" s="300">
        <f t="shared" si="76"/>
        <v>5.4578545340414987E-2</v>
      </c>
      <c r="U141" s="300">
        <f t="shared" si="76"/>
        <v>6.3230977672512623E-2</v>
      </c>
      <c r="V141" s="300">
        <f t="shared" si="76"/>
        <v>7.2708779919363253E-2</v>
      </c>
      <c r="W141" s="300">
        <f t="shared" si="76"/>
        <v>8.3053594853099211E-2</v>
      </c>
      <c r="X141" s="300">
        <f t="shared" si="76"/>
        <v>9.7933526646344735E-2</v>
      </c>
      <c r="Y141" s="300">
        <f t="shared" si="76"/>
        <v>0.11426094432415541</v>
      </c>
      <c r="Z141" s="300">
        <f t="shared" si="76"/>
        <v>0.13249787427488272</v>
      </c>
      <c r="AA141" s="300">
        <f t="shared" si="76"/>
        <v>0.1524408059935046</v>
      </c>
      <c r="AB141" s="300">
        <f t="shared" si="76"/>
        <v>0.17417916717008386</v>
      </c>
      <c r="AC141" s="300">
        <f t="shared" si="76"/>
        <v>0.19780661692107587</v>
      </c>
      <c r="AD141" s="300">
        <f t="shared" si="76"/>
        <v>0.22341801803937902</v>
      </c>
      <c r="AE141" s="300">
        <f t="shared" si="76"/>
        <v>0.25111069712364154</v>
      </c>
      <c r="AF141" s="300">
        <f t="shared" si="76"/>
        <v>0.28098444520365112</v>
      </c>
      <c r="AG141" s="300">
        <f t="shared" si="76"/>
        <v>0.31314151614590635</v>
      </c>
      <c r="AH141" s="245"/>
      <c r="AI141" s="423"/>
      <c r="AJ141" s="424"/>
      <c r="AL141" s="221"/>
      <c r="AM141" s="124"/>
      <c r="AN141" s="124"/>
      <c r="AO141" s="124"/>
      <c r="BD141" s="124"/>
      <c r="BE141" s="124"/>
      <c r="BF141" s="124"/>
      <c r="BG141" s="124"/>
      <c r="BH141" s="124"/>
      <c r="BI141" s="124"/>
      <c r="BJ141" s="124"/>
      <c r="BK141" s="124"/>
    </row>
    <row r="142" spans="1:63" outlineLevel="1">
      <c r="A142" s="4" t="s">
        <v>474</v>
      </c>
      <c r="C142" s="230">
        <f>C138-$C138</f>
        <v>0</v>
      </c>
      <c r="D142" s="230">
        <f t="shared" si="76"/>
        <v>0</v>
      </c>
      <c r="E142" s="230">
        <f t="shared" si="76"/>
        <v>0</v>
      </c>
      <c r="F142" s="230">
        <f t="shared" si="76"/>
        <v>0</v>
      </c>
      <c r="G142" s="230">
        <f t="shared" si="76"/>
        <v>0</v>
      </c>
      <c r="H142" s="230">
        <f t="shared" si="76"/>
        <v>0</v>
      </c>
      <c r="I142" s="230">
        <f t="shared" si="76"/>
        <v>0</v>
      </c>
      <c r="J142" s="230">
        <f t="shared" si="76"/>
        <v>0</v>
      </c>
      <c r="K142" s="230">
        <f t="shared" si="76"/>
        <v>0</v>
      </c>
      <c r="L142" s="230">
        <f t="shared" si="76"/>
        <v>0</v>
      </c>
      <c r="M142" s="230">
        <f t="shared" si="76"/>
        <v>0</v>
      </c>
      <c r="N142" s="230">
        <f t="shared" si="76"/>
        <v>0</v>
      </c>
      <c r="O142" s="230">
        <f t="shared" si="76"/>
        <v>0</v>
      </c>
      <c r="P142" s="230">
        <f t="shared" si="76"/>
        <v>0</v>
      </c>
      <c r="Q142" s="230">
        <f t="shared" si="76"/>
        <v>0</v>
      </c>
      <c r="R142" s="230">
        <f t="shared" si="76"/>
        <v>0</v>
      </c>
      <c r="S142" s="230">
        <f t="shared" si="76"/>
        <v>0</v>
      </c>
      <c r="T142" s="230">
        <f t="shared" si="76"/>
        <v>0</v>
      </c>
      <c r="U142" s="230">
        <f t="shared" si="76"/>
        <v>0</v>
      </c>
      <c r="V142" s="230">
        <f t="shared" si="76"/>
        <v>0</v>
      </c>
      <c r="W142" s="230">
        <f t="shared" si="76"/>
        <v>0</v>
      </c>
      <c r="X142" s="230">
        <f t="shared" si="76"/>
        <v>0</v>
      </c>
      <c r="Y142" s="230">
        <f t="shared" si="76"/>
        <v>0</v>
      </c>
      <c r="Z142" s="230">
        <f t="shared" si="76"/>
        <v>0</v>
      </c>
      <c r="AA142" s="230">
        <f t="shared" si="76"/>
        <v>0</v>
      </c>
      <c r="AB142" s="230">
        <f t="shared" si="76"/>
        <v>0</v>
      </c>
      <c r="AC142" s="230">
        <f t="shared" si="76"/>
        <v>0</v>
      </c>
      <c r="AD142" s="230">
        <f t="shared" si="76"/>
        <v>0</v>
      </c>
      <c r="AE142" s="230">
        <f t="shared" si="76"/>
        <v>0</v>
      </c>
      <c r="AF142" s="230">
        <f t="shared" si="76"/>
        <v>0</v>
      </c>
      <c r="AG142" s="230">
        <f>AG138-$C138</f>
        <v>0</v>
      </c>
      <c r="AH142" s="245"/>
      <c r="AI142" s="133"/>
      <c r="AJ142" s="211"/>
      <c r="AL142" s="108"/>
      <c r="AM142" s="2"/>
      <c r="AN142" s="2"/>
      <c r="AO142" s="2"/>
      <c r="BC142" s="1"/>
      <c r="BD142" s="2"/>
      <c r="BE142" s="2"/>
      <c r="BF142" s="2"/>
      <c r="BG142" s="2"/>
      <c r="BH142" s="2"/>
      <c r="BI142" s="2"/>
      <c r="BJ142" s="2"/>
      <c r="BK142" s="2"/>
    </row>
    <row r="143" spans="1:63" outlineLevel="1">
      <c r="A143" s="4" t="s">
        <v>745</v>
      </c>
      <c r="C143" s="230">
        <f t="shared" ref="C143:AG144" si="77">C139-$C139</f>
        <v>0</v>
      </c>
      <c r="D143" s="230">
        <f t="shared" si="77"/>
        <v>4.4601425719494335E-6</v>
      </c>
      <c r="E143" s="230">
        <f t="shared" si="77"/>
        <v>1.383739709196547E-5</v>
      </c>
      <c r="F143" s="230">
        <f t="shared" si="77"/>
        <v>3.0112426283545198E-5</v>
      </c>
      <c r="G143" s="230">
        <f t="shared" si="77"/>
        <v>5.547260019831218E-5</v>
      </c>
      <c r="H143" s="230">
        <f t="shared" si="77"/>
        <v>9.2281258336247311E-5</v>
      </c>
      <c r="I143" s="230">
        <f t="shared" si="77"/>
        <v>1.4334772125723229E-4</v>
      </c>
      <c r="J143" s="230">
        <f t="shared" si="77"/>
        <v>2.117021556241971E-4</v>
      </c>
      <c r="K143" s="230">
        <f t="shared" si="77"/>
        <v>3.0066992839067287E-4</v>
      </c>
      <c r="L143" s="230">
        <f t="shared" si="77"/>
        <v>4.1387997167841137E-4</v>
      </c>
      <c r="M143" s="230">
        <f t="shared" si="77"/>
        <v>5.5527209169726349E-4</v>
      </c>
      <c r="N143" s="230">
        <f t="shared" si="77"/>
        <v>7.8183676802056441E-4</v>
      </c>
      <c r="O143" s="230">
        <f t="shared" si="77"/>
        <v>1.0655367873753775E-3</v>
      </c>
      <c r="P143" s="230">
        <f t="shared" si="77"/>
        <v>1.4165284788130068E-3</v>
      </c>
      <c r="Q143" s="230">
        <f t="shared" si="77"/>
        <v>1.8409671195063384E-3</v>
      </c>
      <c r="R143" s="230">
        <f t="shared" si="77"/>
        <v>2.3464769010958053E-3</v>
      </c>
      <c r="S143" s="230">
        <f t="shared" si="77"/>
        <v>2.945748958917048E-3</v>
      </c>
      <c r="T143" s="230">
        <f t="shared" si="77"/>
        <v>3.6495794486458531E-3</v>
      </c>
      <c r="U143" s="230">
        <f t="shared" si="77"/>
        <v>4.4694340998994745E-3</v>
      </c>
      <c r="V143" s="230">
        <f t="shared" si="77"/>
        <v>5.4174658989171029E-3</v>
      </c>
      <c r="W143" s="230">
        <f t="shared" si="77"/>
        <v>6.5065324894645745E-3</v>
      </c>
      <c r="X143" s="230">
        <f t="shared" si="77"/>
        <v>8.0460568707792918E-3</v>
      </c>
      <c r="Y143" s="230">
        <f t="shared" si="77"/>
        <v>9.824958021775786E-3</v>
      </c>
      <c r="Z143" s="230">
        <f t="shared" si="77"/>
        <v>1.1901401226487078E-2</v>
      </c>
      <c r="AA143" s="230">
        <f t="shared" si="77"/>
        <v>1.4278667121388172E-2</v>
      </c>
      <c r="AB143" s="230">
        <f t="shared" si="77"/>
        <v>1.6985329964044941E-2</v>
      </c>
      <c r="AC143" s="230">
        <f t="shared" si="77"/>
        <v>2.0051781461796658E-2</v>
      </c>
      <c r="AD143" s="230">
        <f t="shared" si="77"/>
        <v>2.3509995329009624E-2</v>
      </c>
      <c r="AE143" s="230">
        <f t="shared" si="77"/>
        <v>2.7393687774241268E-2</v>
      </c>
      <c r="AF143" s="230">
        <f t="shared" si="77"/>
        <v>3.173836543875392E-2</v>
      </c>
      <c r="AG143" s="230">
        <f t="shared" si="77"/>
        <v>3.6581373090842723E-2</v>
      </c>
      <c r="AH143" s="245"/>
      <c r="AI143" s="133"/>
      <c r="AJ143" s="211"/>
      <c r="AL143" s="108"/>
      <c r="AM143" s="2"/>
      <c r="AN143" s="2"/>
      <c r="AO143" s="2"/>
      <c r="BC143" s="1"/>
      <c r="BD143" s="2"/>
      <c r="BE143" s="2"/>
      <c r="BF143" s="2"/>
      <c r="BG143" s="2"/>
      <c r="BH143" s="2"/>
      <c r="BI143" s="2"/>
      <c r="BJ143" s="2"/>
      <c r="BK143" s="2"/>
    </row>
    <row r="144" spans="1:63" outlineLevel="1">
      <c r="A144" s="4" t="s">
        <v>1561</v>
      </c>
      <c r="C144" s="230">
        <f t="shared" si="77"/>
        <v>0</v>
      </c>
      <c r="D144" s="230">
        <f t="shared" si="77"/>
        <v>4.7288375875359858E-4</v>
      </c>
      <c r="E144" s="230">
        <f t="shared" si="77"/>
        <v>1.0962255526296024E-3</v>
      </c>
      <c r="F144" s="230">
        <f t="shared" si="77"/>
        <v>1.8825800188390579E-3</v>
      </c>
      <c r="G144" s="230">
        <f t="shared" si="77"/>
        <v>2.8430590232771755E-3</v>
      </c>
      <c r="H144" s="230">
        <f t="shared" si="77"/>
        <v>3.9870163595432297E-3</v>
      </c>
      <c r="I144" s="230">
        <f t="shared" si="77"/>
        <v>5.3346775813810192E-3</v>
      </c>
      <c r="J144" s="230">
        <f t="shared" si="77"/>
        <v>6.9010039844171044E-3</v>
      </c>
      <c r="K144" s="230">
        <f t="shared" si="77"/>
        <v>8.7011623023034758E-3</v>
      </c>
      <c r="L144" s="230">
        <f t="shared" si="77"/>
        <v>1.0750477402125584E-2</v>
      </c>
      <c r="M144" s="230">
        <f t="shared" si="77"/>
        <v>1.3064382224108986E-2</v>
      </c>
      <c r="N144" s="230">
        <f t="shared" si="77"/>
        <v>1.6839377983351621E-2</v>
      </c>
      <c r="O144" s="230">
        <f t="shared" si="77"/>
        <v>2.1115645428527667E-2</v>
      </c>
      <c r="P144" s="230">
        <f t="shared" si="77"/>
        <v>2.5955224394822604E-2</v>
      </c>
      <c r="Q144" s="230">
        <f t="shared" si="77"/>
        <v>3.1329979262705206E-2</v>
      </c>
      <c r="R144" s="230">
        <f t="shared" si="77"/>
        <v>3.7241368983795806E-2</v>
      </c>
      <c r="S144" s="230">
        <f t="shared" si="77"/>
        <v>4.3765014648088386E-2</v>
      </c>
      <c r="T144" s="230">
        <f t="shared" si="77"/>
        <v>5.0928965891769172E-2</v>
      </c>
      <c r="U144" s="230">
        <f t="shared" si="77"/>
        <v>5.8761543572613199E-2</v>
      </c>
      <c r="V144" s="230">
        <f t="shared" si="77"/>
        <v>6.7291314020446205E-2</v>
      </c>
      <c r="W144" s="230">
        <f t="shared" si="77"/>
        <v>7.6547062363634705E-2</v>
      </c>
      <c r="X144" s="230">
        <f t="shared" si="77"/>
        <v>8.9887469775565526E-2</v>
      </c>
      <c r="Y144" s="230">
        <f t="shared" si="77"/>
        <v>0.10443598630237974</v>
      </c>
      <c r="Z144" s="230">
        <f t="shared" si="77"/>
        <v>0.12059647304839577</v>
      </c>
      <c r="AA144" s="230">
        <f t="shared" si="77"/>
        <v>0.13816213887211659</v>
      </c>
      <c r="AB144" s="230">
        <f t="shared" si="77"/>
        <v>0.15719383720603911</v>
      </c>
      <c r="AC144" s="230">
        <f t="shared" si="77"/>
        <v>0.17775483545927945</v>
      </c>
      <c r="AD144" s="230">
        <f t="shared" si="77"/>
        <v>0.19990802271036967</v>
      </c>
      <c r="AE144" s="230">
        <f t="shared" si="77"/>
        <v>0.22371700934940059</v>
      </c>
      <c r="AF144" s="230">
        <f t="shared" si="77"/>
        <v>0.24924607976489757</v>
      </c>
      <c r="AG144" s="230">
        <f t="shared" si="77"/>
        <v>0.27656014305506366</v>
      </c>
      <c r="AH144" s="245"/>
      <c r="AI144" s="133"/>
      <c r="AJ144" s="211"/>
      <c r="AL144" s="108"/>
      <c r="AM144" s="2"/>
      <c r="AN144" s="2"/>
      <c r="AO144" s="2"/>
      <c r="BC144" s="1"/>
      <c r="BD144" s="2"/>
      <c r="BE144" s="2"/>
      <c r="BF144" s="2"/>
      <c r="BG144" s="2"/>
      <c r="BH144" s="2"/>
      <c r="BI144" s="2"/>
      <c r="BJ144" s="2"/>
      <c r="BK144" s="2"/>
    </row>
    <row r="145" spans="1:63" s="1" customFormat="1" outlineLevel="1">
      <c r="A145" s="1" t="s">
        <v>1569</v>
      </c>
      <c r="B145" s="65"/>
      <c r="C145" s="300">
        <f>C43*C133</f>
        <v>4.0095381501239038E-3</v>
      </c>
      <c r="D145" s="300">
        <f t="shared" ref="D145:AG145" si="78">D43*D133</f>
        <v>5.1423018338841216E-3</v>
      </c>
      <c r="E145" s="300">
        <f t="shared" si="78"/>
        <v>6.3076135339729215E-3</v>
      </c>
      <c r="F145" s="300">
        <f t="shared" si="78"/>
        <v>7.4939520870821478E-3</v>
      </c>
      <c r="G145" s="300">
        <f t="shared" si="78"/>
        <v>8.6889486072183938E-3</v>
      </c>
      <c r="H145" s="300">
        <f t="shared" si="78"/>
        <v>9.8795610104497993E-3</v>
      </c>
      <c r="I145" s="300">
        <f t="shared" si="78"/>
        <v>1.1076113532951435E-2</v>
      </c>
      <c r="J145" s="300">
        <f t="shared" si="78"/>
        <v>1.2272344913188394E-2</v>
      </c>
      <c r="K145" s="300">
        <f t="shared" si="78"/>
        <v>1.3461598554885976E-2</v>
      </c>
      <c r="L145" s="300">
        <f t="shared" si="78"/>
        <v>1.4636829098945982E-2</v>
      </c>
      <c r="M145" s="300">
        <f t="shared" si="78"/>
        <v>1.579061093801053E-2</v>
      </c>
      <c r="N145" s="300">
        <f t="shared" si="78"/>
        <v>1.8138566215961615E-2</v>
      </c>
      <c r="O145" s="300">
        <f t="shared" si="78"/>
        <v>2.0407538027025891E-2</v>
      </c>
      <c r="P145" s="300">
        <f t="shared" si="78"/>
        <v>2.2616928385837294E-2</v>
      </c>
      <c r="Q145" s="300">
        <f t="shared" si="78"/>
        <v>2.4704249529514475E-2</v>
      </c>
      <c r="R145" s="300">
        <f t="shared" si="78"/>
        <v>2.6643699538220208E-2</v>
      </c>
      <c r="S145" s="300">
        <f t="shared" si="78"/>
        <v>2.8461429689416898E-2</v>
      </c>
      <c r="T145" s="300">
        <f t="shared" si="78"/>
        <v>3.0142425252019298E-2</v>
      </c>
      <c r="U145" s="300">
        <f t="shared" si="78"/>
        <v>3.1671165574098777E-2</v>
      </c>
      <c r="V145" s="300">
        <f t="shared" si="78"/>
        <v>3.3031624192004054E-2</v>
      </c>
      <c r="W145" s="300">
        <f t="shared" si="78"/>
        <v>3.4207269497442398E-2</v>
      </c>
      <c r="X145" s="300">
        <f t="shared" si="78"/>
        <v>3.6524008850212959E-2</v>
      </c>
      <c r="Y145" s="300">
        <f t="shared" si="78"/>
        <v>3.8532276058604195E-2</v>
      </c>
      <c r="Z145" s="300">
        <f t="shared" si="78"/>
        <v>4.0321358294375789E-2</v>
      </c>
      <c r="AA145" s="300">
        <f t="shared" si="78"/>
        <v>4.1750836684650107E-2</v>
      </c>
      <c r="AB145" s="300">
        <f t="shared" si="78"/>
        <v>4.2786739962239348E-2</v>
      </c>
      <c r="AC145" s="300">
        <f t="shared" si="78"/>
        <v>4.3394313212956302E-2</v>
      </c>
      <c r="AD145" s="300">
        <f t="shared" si="78"/>
        <v>4.3537196105944274E-2</v>
      </c>
      <c r="AE145" s="300">
        <f t="shared" si="78"/>
        <v>4.3177795296424078E-2</v>
      </c>
      <c r="AF145" s="300">
        <f t="shared" si="78"/>
        <v>4.2277277071360572E-2</v>
      </c>
      <c r="AG145" s="300">
        <f t="shared" si="78"/>
        <v>4.0795560971796596E-2</v>
      </c>
      <c r="AH145" s="245"/>
      <c r="AI145" s="423"/>
      <c r="AJ145" s="424"/>
      <c r="AL145" s="221"/>
      <c r="AM145" s="124"/>
      <c r="AN145" s="124"/>
      <c r="AO145" s="124"/>
      <c r="BD145" s="124"/>
      <c r="BE145" s="124"/>
      <c r="BF145" s="124"/>
      <c r="BG145" s="124"/>
      <c r="BH145" s="124"/>
      <c r="BI145" s="124"/>
      <c r="BJ145" s="124"/>
      <c r="BK145" s="124"/>
    </row>
    <row r="146" spans="1:63" outlineLevel="1">
      <c r="A146" s="4" t="s">
        <v>474</v>
      </c>
      <c r="C146" s="230">
        <f>C$145*'Methanol recycling rates'!E51</f>
        <v>0</v>
      </c>
      <c r="D146" s="230">
        <f>D$145*'Methanol recycling rates'!F51</f>
        <v>0</v>
      </c>
      <c r="E146" s="230">
        <f>E$145*'Methanol recycling rates'!G51</f>
        <v>0</v>
      </c>
      <c r="F146" s="230">
        <f>F$145*'Methanol recycling rates'!H51</f>
        <v>0</v>
      </c>
      <c r="G146" s="230">
        <f>G$145*'Methanol recycling rates'!I51</f>
        <v>0</v>
      </c>
      <c r="H146" s="230">
        <f>H$145*'Methanol recycling rates'!J51</f>
        <v>0</v>
      </c>
      <c r="I146" s="230">
        <f>I$145*'Methanol recycling rates'!K51</f>
        <v>0</v>
      </c>
      <c r="J146" s="230">
        <f>J$145*'Methanol recycling rates'!L51</f>
        <v>0</v>
      </c>
      <c r="K146" s="230">
        <f>K$145*'Methanol recycling rates'!M51</f>
        <v>0</v>
      </c>
      <c r="L146" s="230">
        <f>L$145*'Methanol recycling rates'!N51</f>
        <v>0</v>
      </c>
      <c r="M146" s="230">
        <f>M$145*'Methanol recycling rates'!O51</f>
        <v>0</v>
      </c>
      <c r="N146" s="230">
        <f>N$145*'Methanol recycling rates'!P51</f>
        <v>0</v>
      </c>
      <c r="O146" s="230">
        <f>O$145*'Methanol recycling rates'!Q51</f>
        <v>0</v>
      </c>
      <c r="P146" s="230">
        <f>P$145*'Methanol recycling rates'!R51</f>
        <v>0</v>
      </c>
      <c r="Q146" s="230">
        <f>Q$145*'Methanol recycling rates'!S51</f>
        <v>0</v>
      </c>
      <c r="R146" s="230">
        <f>R$145*'Methanol recycling rates'!T51</f>
        <v>0</v>
      </c>
      <c r="S146" s="230">
        <f>S$145*'Methanol recycling rates'!U51</f>
        <v>0</v>
      </c>
      <c r="T146" s="230">
        <f>T$145*'Methanol recycling rates'!V51</f>
        <v>0</v>
      </c>
      <c r="U146" s="230">
        <f>U$145*'Methanol recycling rates'!W51</f>
        <v>0</v>
      </c>
      <c r="V146" s="230">
        <f>V$145*'Methanol recycling rates'!X51</f>
        <v>0</v>
      </c>
      <c r="W146" s="230">
        <f>W$145*'Methanol recycling rates'!Y51</f>
        <v>0</v>
      </c>
      <c r="X146" s="230">
        <f>X$145*'Methanol recycling rates'!Z51</f>
        <v>0</v>
      </c>
      <c r="Y146" s="230">
        <f>Y$145*'Methanol recycling rates'!AA51</f>
        <v>0</v>
      </c>
      <c r="Z146" s="230">
        <f>Z$145*'Methanol recycling rates'!AB51</f>
        <v>0</v>
      </c>
      <c r="AA146" s="230">
        <f>AA$145*'Methanol recycling rates'!AC51</f>
        <v>0</v>
      </c>
      <c r="AB146" s="230">
        <f>AB$145*'Methanol recycling rates'!AD51</f>
        <v>0</v>
      </c>
      <c r="AC146" s="230">
        <f>AC$145*'Methanol recycling rates'!AE51</f>
        <v>0</v>
      </c>
      <c r="AD146" s="230">
        <f>AD$145*'Methanol recycling rates'!AF51</f>
        <v>0</v>
      </c>
      <c r="AE146" s="230">
        <f>AE$145*'Methanol recycling rates'!AG51</f>
        <v>0</v>
      </c>
      <c r="AF146" s="230">
        <f>AF$145*'Methanol recycling rates'!AH51</f>
        <v>0</v>
      </c>
      <c r="AG146" s="230">
        <f>AG$145*'Methanol recycling rates'!AI51</f>
        <v>0</v>
      </c>
      <c r="AH146" s="245"/>
      <c r="AI146" s="133"/>
      <c r="AJ146" s="211"/>
      <c r="AL146" s="108"/>
      <c r="AM146" s="2"/>
      <c r="AN146" s="2"/>
      <c r="AO146" s="2"/>
      <c r="BC146" s="1"/>
      <c r="BD146" s="2"/>
      <c r="BE146" s="2"/>
      <c r="BF146" s="2"/>
      <c r="BG146" s="2"/>
      <c r="BH146" s="2"/>
      <c r="BI146" s="2"/>
      <c r="BJ146" s="2"/>
      <c r="BK146" s="2"/>
    </row>
    <row r="147" spans="1:63" outlineLevel="1">
      <c r="A147" s="4" t="s">
        <v>745</v>
      </c>
      <c r="C147" s="230">
        <f>C$145*'Methanol recycling rates'!E52</f>
        <v>0</v>
      </c>
      <c r="D147" s="230">
        <f>D$145*'Methanol recycling rates'!F52</f>
        <v>1.998143872233346E-5</v>
      </c>
      <c r="E147" s="230">
        <f>E$145*'Methanol recycling rates'!G52</f>
        <v>4.9018979198287664E-5</v>
      </c>
      <c r="F147" s="230">
        <f>F$145*'Methanol recycling rates'!H52</f>
        <v>8.7357733513105857E-5</v>
      </c>
      <c r="G147" s="230">
        <f>G$145*'Methanol recycling rates'!I52</f>
        <v>1.350505666646182E-4</v>
      </c>
      <c r="H147" s="230">
        <f>H$145*'Methanol recycling rates'!J52</f>
        <v>1.9194501733939441E-4</v>
      </c>
      <c r="I147" s="230">
        <f>I$145*'Methanol recycling rates'!K52</f>
        <v>2.5823068072195702E-4</v>
      </c>
      <c r="J147" s="230">
        <f>J$145*'Methanol recycling rates'!L52</f>
        <v>3.3380649570679855E-4</v>
      </c>
      <c r="K147" s="230">
        <f>K$145*'Methanol recycling rates'!M52</f>
        <v>4.1846179445431301E-4</v>
      </c>
      <c r="L147" s="230">
        <f>L$145*'Methanol recycling rates'!N52</f>
        <v>5.1186885145957034E-4</v>
      </c>
      <c r="M147" s="230">
        <f>M$145*'Methanol recycling rates'!O52</f>
        <v>6.1357566132547614E-4</v>
      </c>
      <c r="N147" s="230">
        <f>N$145*'Methanol recycling rates'!P52</f>
        <v>7.7529115786969442E-4</v>
      </c>
      <c r="O147" s="230">
        <f>O$145*'Methanol recycling rates'!Q52</f>
        <v>9.515706788126195E-4</v>
      </c>
      <c r="P147" s="230">
        <f>P$145*'Methanol recycling rates'!R52</f>
        <v>1.1424735812793879E-3</v>
      </c>
      <c r="Q147" s="230">
        <f>Q$145*'Methanol recycling rates'!S52</f>
        <v>1.3439059972396264E-3</v>
      </c>
      <c r="R147" s="230">
        <f>R$145*'Methanol recycling rates'!T52</f>
        <v>1.5529410763615865E-3</v>
      </c>
      <c r="S147" s="230">
        <f>S$145*'Methanol recycling rates'!U52</f>
        <v>1.7694809263563772E-3</v>
      </c>
      <c r="T147" s="230">
        <f>T$145*'Methanol recycling rates'!V52</f>
        <v>1.9911148205071132E-3</v>
      </c>
      <c r="U147" s="230">
        <f>U$145*'Methanol recycling rates'!W52</f>
        <v>2.2151632757626757E-3</v>
      </c>
      <c r="V147" s="230">
        <f>V$145*'Methanol recycling rates'!X52</f>
        <v>2.4386682315125333E-3</v>
      </c>
      <c r="W147" s="230">
        <f>W$145*'Methanol recycling rates'!Y52</f>
        <v>2.6583832742669532E-3</v>
      </c>
      <c r="X147" s="230">
        <f>X$145*'Methanol recycling rates'!Z52</f>
        <v>2.9803476409023546E-3</v>
      </c>
      <c r="Y147" s="230">
        <f>Y$145*'Methanol recycling rates'!AA52</f>
        <v>3.2939464525637741E-3</v>
      </c>
      <c r="Z147" s="230">
        <f>Z$145*'Methanol recycling rates'!AB52</f>
        <v>3.6035635106021605E-3</v>
      </c>
      <c r="AA147" s="230">
        <f>AA$145*'Methanol recycling rates'!AC52</f>
        <v>3.8935487418809652E-3</v>
      </c>
      <c r="AB147" s="230">
        <f>AB$145*'Methanol recycling rates'!AD52</f>
        <v>4.1564101559074633E-3</v>
      </c>
      <c r="AC147" s="230">
        <f>AC$145*'Methanol recycling rates'!AE52</f>
        <v>4.3840485832382639E-3</v>
      </c>
      <c r="AD147" s="230">
        <f>AD$145*'Methanol recycling rates'!AF52</f>
        <v>4.5676562353504343E-3</v>
      </c>
      <c r="AE147" s="230">
        <f>AE$145*'Methanol recycling rates'!AG52</f>
        <v>4.6977260310720045E-3</v>
      </c>
      <c r="AF147" s="230">
        <f>AF$145*'Methanol recycling rates'!AH52</f>
        <v>4.7640268122500625E-3</v>
      </c>
      <c r="AG147" s="230">
        <f>AG$145*'Methanol recycling rates'!AI52</f>
        <v>4.7555785018095521E-3</v>
      </c>
      <c r="AH147" s="245"/>
      <c r="AI147" s="133"/>
      <c r="AJ147" s="211"/>
      <c r="AL147" s="108"/>
      <c r="AM147" s="2"/>
      <c r="AN147" s="2"/>
      <c r="AO147" s="2"/>
      <c r="BC147" s="1"/>
      <c r="BD147" s="2"/>
      <c r="BE147" s="2"/>
      <c r="BF147" s="2"/>
      <c r="BG147" s="2"/>
      <c r="BH147" s="2"/>
      <c r="BI147" s="2"/>
      <c r="BJ147" s="2"/>
      <c r="BK147" s="2"/>
    </row>
    <row r="148" spans="1:63" outlineLevel="1">
      <c r="A148" s="4" t="s">
        <v>1561</v>
      </c>
      <c r="C148" s="230">
        <f>C$145*'Methanol recycling rates'!E53</f>
        <v>4.0095381501239038E-3</v>
      </c>
      <c r="D148" s="230">
        <f>D$145*'Methanol recycling rates'!F53</f>
        <v>5.1223203951617884E-3</v>
      </c>
      <c r="E148" s="230">
        <f>E$145*'Methanol recycling rates'!G53</f>
        <v>6.2585945547746344E-3</v>
      </c>
      <c r="F148" s="230">
        <f>F$145*'Methanol recycling rates'!H53</f>
        <v>7.4065943535690428E-3</v>
      </c>
      <c r="G148" s="230">
        <f>G$145*'Methanol recycling rates'!I53</f>
        <v>8.5538980405537764E-3</v>
      </c>
      <c r="H148" s="230">
        <f>H$145*'Methanol recycling rates'!J53</f>
        <v>9.6876159931104065E-3</v>
      </c>
      <c r="I148" s="230">
        <f>I$145*'Methanol recycling rates'!K53</f>
        <v>1.0817882852229481E-2</v>
      </c>
      <c r="J148" s="230">
        <f>J$145*'Methanol recycling rates'!L53</f>
        <v>1.19385384174816E-2</v>
      </c>
      <c r="K148" s="230">
        <f>K$145*'Methanol recycling rates'!M53</f>
        <v>1.3043136760431668E-2</v>
      </c>
      <c r="L148" s="230">
        <f>L$145*'Methanol recycling rates'!N53</f>
        <v>1.4124960247486417E-2</v>
      </c>
      <c r="M148" s="230">
        <f>M$145*'Methanol recycling rates'!O53</f>
        <v>1.517703527668506E-2</v>
      </c>
      <c r="N148" s="230">
        <f>N$145*'Methanol recycling rates'!P53</f>
        <v>1.7363275058091928E-2</v>
      </c>
      <c r="O148" s="230">
        <f>O$145*'Methanol recycling rates'!Q53</f>
        <v>1.9455967348213282E-2</v>
      </c>
      <c r="P148" s="230">
        <f>P$145*'Methanol recycling rates'!R53</f>
        <v>2.1474454804557921E-2</v>
      </c>
      <c r="Q148" s="230">
        <f>Q$145*'Methanol recycling rates'!S53</f>
        <v>2.3360343532274865E-2</v>
      </c>
      <c r="R148" s="230">
        <f>R$145*'Methanol recycling rates'!T53</f>
        <v>2.5090758461858639E-2</v>
      </c>
      <c r="S148" s="230">
        <f>S$145*'Methanol recycling rates'!U53</f>
        <v>2.6691948763060542E-2</v>
      </c>
      <c r="T148" s="230">
        <f>T$145*'Methanol recycling rates'!V53</f>
        <v>2.8151310431512207E-2</v>
      </c>
      <c r="U148" s="230">
        <f>U$145*'Methanol recycling rates'!W53</f>
        <v>2.9456002298336125E-2</v>
      </c>
      <c r="V148" s="230">
        <f>V$145*'Methanol recycling rates'!X53</f>
        <v>3.0592955960491549E-2</v>
      </c>
      <c r="W148" s="230">
        <f>W$145*'Methanol recycling rates'!Y53</f>
        <v>3.1548886223175476E-2</v>
      </c>
      <c r="X148" s="230">
        <f>X$145*'Methanol recycling rates'!Z53</f>
        <v>3.3543661209310641E-2</v>
      </c>
      <c r="Y148" s="230">
        <f>Y$145*'Methanol recycling rates'!AA53</f>
        <v>3.523832960604046E-2</v>
      </c>
      <c r="Z148" s="230">
        <f>Z$145*'Methanol recycling rates'!AB53</f>
        <v>3.6717794783773669E-2</v>
      </c>
      <c r="AA148" s="230">
        <f>AA$145*'Methanol recycling rates'!AC53</f>
        <v>3.7857287942769186E-2</v>
      </c>
      <c r="AB148" s="230">
        <f>AB$145*'Methanol recycling rates'!AD53</f>
        <v>3.863032980633193E-2</v>
      </c>
      <c r="AC148" s="230">
        <f>AC$145*'Methanol recycling rates'!AE53</f>
        <v>3.9010264629718086E-2</v>
      </c>
      <c r="AD148" s="230">
        <f>AD$145*'Methanol recycling rates'!AF53</f>
        <v>3.8969539870593893E-2</v>
      </c>
      <c r="AE148" s="230">
        <f>AE$145*'Methanol recycling rates'!AG53</f>
        <v>3.8480069265352128E-2</v>
      </c>
      <c r="AF148" s="230">
        <f>AF$145*'Methanol recycling rates'!AH53</f>
        <v>3.7513250259110564E-2</v>
      </c>
      <c r="AG148" s="230">
        <f>AG$145*'Methanol recycling rates'!AI53</f>
        <v>3.6039982469987047E-2</v>
      </c>
      <c r="AH148" s="245"/>
      <c r="AI148" s="133"/>
      <c r="AJ148" s="211"/>
      <c r="AL148" s="108"/>
      <c r="AM148" s="2"/>
      <c r="AN148" s="2"/>
      <c r="AO148" s="2"/>
      <c r="BC148" s="1"/>
      <c r="BD148" s="2"/>
      <c r="BE148" s="2"/>
      <c r="BF148" s="2"/>
      <c r="BG148" s="2"/>
      <c r="BH148" s="2"/>
      <c r="BI148" s="2"/>
      <c r="BJ148" s="2"/>
      <c r="BK148" s="2"/>
    </row>
    <row r="149" spans="1:63" s="1" customFormat="1" outlineLevel="1">
      <c r="A149" s="1" t="s">
        <v>1570</v>
      </c>
      <c r="B149" s="65"/>
      <c r="C149" s="300">
        <f>C145-$C145</f>
        <v>0</v>
      </c>
      <c r="D149" s="300">
        <f t="shared" ref="D149:AG152" si="79">D145-$C145</f>
        <v>1.1327636837602179E-3</v>
      </c>
      <c r="E149" s="300">
        <f t="shared" si="79"/>
        <v>2.2980753838490178E-3</v>
      </c>
      <c r="F149" s="300">
        <f t="shared" si="79"/>
        <v>3.4844139369582441E-3</v>
      </c>
      <c r="G149" s="300">
        <f t="shared" si="79"/>
        <v>4.67941045709449E-3</v>
      </c>
      <c r="H149" s="300">
        <f t="shared" si="79"/>
        <v>5.8700228603258955E-3</v>
      </c>
      <c r="I149" s="300">
        <f t="shared" si="79"/>
        <v>7.0665753828275312E-3</v>
      </c>
      <c r="J149" s="300">
        <f t="shared" si="79"/>
        <v>8.2628067630644911E-3</v>
      </c>
      <c r="K149" s="300">
        <f t="shared" si="79"/>
        <v>9.4520604047620728E-3</v>
      </c>
      <c r="L149" s="300">
        <f t="shared" si="79"/>
        <v>1.0627290948822078E-2</v>
      </c>
      <c r="M149" s="300">
        <f t="shared" si="79"/>
        <v>1.1781072787886628E-2</v>
      </c>
      <c r="N149" s="300">
        <f t="shared" si="79"/>
        <v>1.4129028065837712E-2</v>
      </c>
      <c r="O149" s="300">
        <f t="shared" si="79"/>
        <v>1.6397999876901988E-2</v>
      </c>
      <c r="P149" s="300">
        <f t="shared" si="79"/>
        <v>1.8607390235713391E-2</v>
      </c>
      <c r="Q149" s="300">
        <f t="shared" si="79"/>
        <v>2.0694711379390572E-2</v>
      </c>
      <c r="R149" s="300">
        <f t="shared" si="79"/>
        <v>2.2634161388096305E-2</v>
      </c>
      <c r="S149" s="300">
        <f t="shared" si="79"/>
        <v>2.4451891539292996E-2</v>
      </c>
      <c r="T149" s="300">
        <f t="shared" si="79"/>
        <v>2.6132887101895395E-2</v>
      </c>
      <c r="U149" s="300">
        <f t="shared" si="79"/>
        <v>2.7661627423974874E-2</v>
      </c>
      <c r="V149" s="300">
        <f t="shared" si="79"/>
        <v>2.9022086041880151E-2</v>
      </c>
      <c r="W149" s="300">
        <f t="shared" si="79"/>
        <v>3.0197731347318495E-2</v>
      </c>
      <c r="X149" s="300">
        <f t="shared" si="79"/>
        <v>3.2514470700089053E-2</v>
      </c>
      <c r="Y149" s="300">
        <f t="shared" si="79"/>
        <v>3.4522737908480289E-2</v>
      </c>
      <c r="Z149" s="300">
        <f t="shared" si="79"/>
        <v>3.6311820144251883E-2</v>
      </c>
      <c r="AA149" s="300">
        <f t="shared" si="79"/>
        <v>3.7741298534526201E-2</v>
      </c>
      <c r="AB149" s="300">
        <f t="shared" si="79"/>
        <v>3.8777201812115442E-2</v>
      </c>
      <c r="AC149" s="300">
        <f t="shared" si="79"/>
        <v>3.9384775062832396E-2</v>
      </c>
      <c r="AD149" s="300">
        <f t="shared" si="79"/>
        <v>3.9527657955820368E-2</v>
      </c>
      <c r="AE149" s="300">
        <f t="shared" si="79"/>
        <v>3.9168257146300171E-2</v>
      </c>
      <c r="AF149" s="300">
        <f t="shared" si="79"/>
        <v>3.8267738921236666E-2</v>
      </c>
      <c r="AG149" s="300">
        <f t="shared" si="79"/>
        <v>3.678602282167269E-2</v>
      </c>
      <c r="AH149" s="245"/>
      <c r="AI149" s="423"/>
      <c r="AJ149" s="424"/>
      <c r="AL149" s="221"/>
      <c r="AM149" s="124"/>
      <c r="AN149" s="124"/>
      <c r="AO149" s="124"/>
      <c r="BD149" s="124"/>
      <c r="BE149" s="124"/>
      <c r="BF149" s="124"/>
      <c r="BG149" s="124"/>
      <c r="BH149" s="124"/>
      <c r="BI149" s="124"/>
      <c r="BJ149" s="124"/>
      <c r="BK149" s="124"/>
    </row>
    <row r="150" spans="1:63" outlineLevel="1">
      <c r="A150" s="4" t="s">
        <v>474</v>
      </c>
      <c r="C150" s="230">
        <f t="shared" ref="C150:C152" si="80">C146-$C146</f>
        <v>0</v>
      </c>
      <c r="D150" s="230">
        <f t="shared" si="79"/>
        <v>0</v>
      </c>
      <c r="E150" s="230">
        <f t="shared" si="79"/>
        <v>0</v>
      </c>
      <c r="F150" s="230">
        <f t="shared" si="79"/>
        <v>0</v>
      </c>
      <c r="G150" s="230">
        <f t="shared" si="79"/>
        <v>0</v>
      </c>
      <c r="H150" s="230">
        <f t="shared" si="79"/>
        <v>0</v>
      </c>
      <c r="I150" s="230">
        <f t="shared" si="79"/>
        <v>0</v>
      </c>
      <c r="J150" s="230">
        <f t="shared" si="79"/>
        <v>0</v>
      </c>
      <c r="K150" s="230">
        <f t="shared" si="79"/>
        <v>0</v>
      </c>
      <c r="L150" s="230">
        <f t="shared" si="79"/>
        <v>0</v>
      </c>
      <c r="M150" s="230">
        <f t="shared" si="79"/>
        <v>0</v>
      </c>
      <c r="N150" s="230">
        <f t="shared" si="79"/>
        <v>0</v>
      </c>
      <c r="O150" s="230">
        <f t="shared" si="79"/>
        <v>0</v>
      </c>
      <c r="P150" s="230">
        <f t="shared" si="79"/>
        <v>0</v>
      </c>
      <c r="Q150" s="230">
        <f t="shared" si="79"/>
        <v>0</v>
      </c>
      <c r="R150" s="230">
        <f t="shared" si="79"/>
        <v>0</v>
      </c>
      <c r="S150" s="230">
        <f t="shared" si="79"/>
        <v>0</v>
      </c>
      <c r="T150" s="230">
        <f t="shared" si="79"/>
        <v>0</v>
      </c>
      <c r="U150" s="230">
        <f t="shared" si="79"/>
        <v>0</v>
      </c>
      <c r="V150" s="230">
        <f t="shared" si="79"/>
        <v>0</v>
      </c>
      <c r="W150" s="230">
        <f t="shared" si="79"/>
        <v>0</v>
      </c>
      <c r="X150" s="230">
        <f t="shared" si="79"/>
        <v>0</v>
      </c>
      <c r="Y150" s="230">
        <f t="shared" si="79"/>
        <v>0</v>
      </c>
      <c r="Z150" s="230">
        <f t="shared" si="79"/>
        <v>0</v>
      </c>
      <c r="AA150" s="230">
        <f t="shared" si="79"/>
        <v>0</v>
      </c>
      <c r="AB150" s="230">
        <f t="shared" si="79"/>
        <v>0</v>
      </c>
      <c r="AC150" s="230">
        <f t="shared" si="79"/>
        <v>0</v>
      </c>
      <c r="AD150" s="230">
        <f t="shared" si="79"/>
        <v>0</v>
      </c>
      <c r="AE150" s="230">
        <f t="shared" si="79"/>
        <v>0</v>
      </c>
      <c r="AF150" s="230">
        <f t="shared" si="79"/>
        <v>0</v>
      </c>
      <c r="AG150" s="230">
        <f t="shared" si="79"/>
        <v>0</v>
      </c>
      <c r="AH150" s="245"/>
      <c r="AI150" s="133"/>
      <c r="AJ150" s="211"/>
      <c r="AL150" s="108"/>
      <c r="AM150" s="2"/>
      <c r="AN150" s="2"/>
      <c r="AO150" s="2"/>
      <c r="BC150" s="1"/>
      <c r="BD150" s="2"/>
      <c r="BE150" s="2"/>
      <c r="BF150" s="2"/>
      <c r="BG150" s="2"/>
      <c r="BH150" s="2"/>
      <c r="BI150" s="2"/>
      <c r="BJ150" s="2"/>
      <c r="BK150" s="2"/>
    </row>
    <row r="151" spans="1:63" outlineLevel="1">
      <c r="A151" s="4" t="s">
        <v>745</v>
      </c>
      <c r="C151" s="230">
        <f t="shared" si="80"/>
        <v>0</v>
      </c>
      <c r="D151" s="230">
        <f t="shared" si="79"/>
        <v>1.998143872233346E-5</v>
      </c>
      <c r="E151" s="230">
        <f t="shared" si="79"/>
        <v>4.9018979198287664E-5</v>
      </c>
      <c r="F151" s="230">
        <f t="shared" si="79"/>
        <v>8.7357733513105857E-5</v>
      </c>
      <c r="G151" s="230">
        <f t="shared" si="79"/>
        <v>1.350505666646182E-4</v>
      </c>
      <c r="H151" s="230">
        <f t="shared" si="79"/>
        <v>1.9194501733939441E-4</v>
      </c>
      <c r="I151" s="230">
        <f t="shared" si="79"/>
        <v>2.5823068072195702E-4</v>
      </c>
      <c r="J151" s="230">
        <f t="shared" si="79"/>
        <v>3.3380649570679855E-4</v>
      </c>
      <c r="K151" s="230">
        <f t="shared" si="79"/>
        <v>4.1846179445431301E-4</v>
      </c>
      <c r="L151" s="230">
        <f t="shared" si="79"/>
        <v>5.1186885145957034E-4</v>
      </c>
      <c r="M151" s="230">
        <f t="shared" si="79"/>
        <v>6.1357566132547614E-4</v>
      </c>
      <c r="N151" s="230">
        <f t="shared" si="79"/>
        <v>7.7529115786969442E-4</v>
      </c>
      <c r="O151" s="230">
        <f t="shared" si="79"/>
        <v>9.515706788126195E-4</v>
      </c>
      <c r="P151" s="230">
        <f t="shared" si="79"/>
        <v>1.1424735812793879E-3</v>
      </c>
      <c r="Q151" s="230">
        <f t="shared" si="79"/>
        <v>1.3439059972396264E-3</v>
      </c>
      <c r="R151" s="230">
        <f t="shared" si="79"/>
        <v>1.5529410763615865E-3</v>
      </c>
      <c r="S151" s="230">
        <f t="shared" si="79"/>
        <v>1.7694809263563772E-3</v>
      </c>
      <c r="T151" s="230">
        <f t="shared" si="79"/>
        <v>1.9911148205071132E-3</v>
      </c>
      <c r="U151" s="230">
        <f t="shared" si="79"/>
        <v>2.2151632757626757E-3</v>
      </c>
      <c r="V151" s="230">
        <f t="shared" si="79"/>
        <v>2.4386682315125333E-3</v>
      </c>
      <c r="W151" s="230">
        <f t="shared" si="79"/>
        <v>2.6583832742669532E-3</v>
      </c>
      <c r="X151" s="230">
        <f t="shared" si="79"/>
        <v>2.9803476409023546E-3</v>
      </c>
      <c r="Y151" s="230">
        <f t="shared" si="79"/>
        <v>3.2939464525637741E-3</v>
      </c>
      <c r="Z151" s="230">
        <f t="shared" si="79"/>
        <v>3.6035635106021605E-3</v>
      </c>
      <c r="AA151" s="230">
        <f t="shared" si="79"/>
        <v>3.8935487418809652E-3</v>
      </c>
      <c r="AB151" s="230">
        <f t="shared" si="79"/>
        <v>4.1564101559074633E-3</v>
      </c>
      <c r="AC151" s="230">
        <f t="shared" si="79"/>
        <v>4.3840485832382639E-3</v>
      </c>
      <c r="AD151" s="230">
        <f t="shared" si="79"/>
        <v>4.5676562353504343E-3</v>
      </c>
      <c r="AE151" s="230">
        <f t="shared" si="79"/>
        <v>4.6977260310720045E-3</v>
      </c>
      <c r="AF151" s="230">
        <f t="shared" si="79"/>
        <v>4.7640268122500625E-3</v>
      </c>
      <c r="AG151" s="230">
        <f t="shared" si="79"/>
        <v>4.7555785018095521E-3</v>
      </c>
      <c r="AH151" s="245"/>
      <c r="AI151" s="133"/>
      <c r="AJ151" s="211"/>
      <c r="AL151" s="108"/>
      <c r="AM151" s="2"/>
      <c r="AN151" s="2"/>
      <c r="AO151" s="2"/>
      <c r="BC151" s="1"/>
      <c r="BD151" s="2"/>
      <c r="BE151" s="2"/>
      <c r="BF151" s="2"/>
      <c r="BG151" s="2"/>
      <c r="BH151" s="2"/>
      <c r="BI151" s="2"/>
      <c r="BJ151" s="2"/>
      <c r="BK151" s="2"/>
    </row>
    <row r="152" spans="1:63" outlineLevel="1">
      <c r="A152" s="4" t="s">
        <v>1561</v>
      </c>
      <c r="C152" s="230">
        <f t="shared" si="80"/>
        <v>0</v>
      </c>
      <c r="D152" s="230">
        <f t="shared" si="79"/>
        <v>1.1127822450378846E-3</v>
      </c>
      <c r="E152" s="230">
        <f t="shared" si="79"/>
        <v>2.2490564046507306E-3</v>
      </c>
      <c r="F152" s="230">
        <f t="shared" si="79"/>
        <v>3.3970562034451391E-3</v>
      </c>
      <c r="G152" s="230">
        <f t="shared" si="79"/>
        <v>4.5443598904298726E-3</v>
      </c>
      <c r="H152" s="230">
        <f t="shared" si="79"/>
        <v>5.6780778429865028E-3</v>
      </c>
      <c r="I152" s="230">
        <f t="shared" si="79"/>
        <v>6.8083447021055768E-3</v>
      </c>
      <c r="J152" s="230">
        <f t="shared" si="79"/>
        <v>7.929000267357697E-3</v>
      </c>
      <c r="K152" s="230">
        <f t="shared" si="79"/>
        <v>9.033598610307763E-3</v>
      </c>
      <c r="L152" s="230">
        <f t="shared" si="79"/>
        <v>1.0115422097362513E-2</v>
      </c>
      <c r="M152" s="230">
        <f t="shared" si="79"/>
        <v>1.1167497126561156E-2</v>
      </c>
      <c r="N152" s="230">
        <f t="shared" si="79"/>
        <v>1.3353736907968025E-2</v>
      </c>
      <c r="O152" s="230">
        <f t="shared" si="79"/>
        <v>1.5446429198089379E-2</v>
      </c>
      <c r="P152" s="230">
        <f t="shared" si="79"/>
        <v>1.7464916654434018E-2</v>
      </c>
      <c r="Q152" s="230">
        <f t="shared" si="79"/>
        <v>1.9350805382150962E-2</v>
      </c>
      <c r="R152" s="230">
        <f t="shared" si="79"/>
        <v>2.1081220311734736E-2</v>
      </c>
      <c r="S152" s="230">
        <f t="shared" si="79"/>
        <v>2.2682410612936639E-2</v>
      </c>
      <c r="T152" s="230">
        <f t="shared" si="79"/>
        <v>2.4141772281388304E-2</v>
      </c>
      <c r="U152" s="230">
        <f t="shared" si="79"/>
        <v>2.5446464148212222E-2</v>
      </c>
      <c r="V152" s="230">
        <f t="shared" si="79"/>
        <v>2.6583417810367646E-2</v>
      </c>
      <c r="W152" s="230">
        <f t="shared" si="79"/>
        <v>2.7539348073051573E-2</v>
      </c>
      <c r="X152" s="230">
        <f t="shared" si="79"/>
        <v>2.9534123059186738E-2</v>
      </c>
      <c r="Y152" s="230">
        <f t="shared" si="79"/>
        <v>3.1228791455916557E-2</v>
      </c>
      <c r="Z152" s="230">
        <f t="shared" si="79"/>
        <v>3.2708256633649763E-2</v>
      </c>
      <c r="AA152" s="230">
        <f t="shared" si="79"/>
        <v>3.3847749792645279E-2</v>
      </c>
      <c r="AB152" s="230">
        <f t="shared" si="79"/>
        <v>3.4620791656208023E-2</v>
      </c>
      <c r="AC152" s="230">
        <f t="shared" si="79"/>
        <v>3.500072647959418E-2</v>
      </c>
      <c r="AD152" s="230">
        <f t="shared" si="79"/>
        <v>3.4960001720469987E-2</v>
      </c>
      <c r="AE152" s="230">
        <f t="shared" si="79"/>
        <v>3.4470531115228221E-2</v>
      </c>
      <c r="AF152" s="230">
        <f t="shared" si="79"/>
        <v>3.3503712108986658E-2</v>
      </c>
      <c r="AG152" s="230">
        <f t="shared" si="79"/>
        <v>3.2030444319863141E-2</v>
      </c>
      <c r="AH152" s="245"/>
      <c r="AI152" s="133"/>
      <c r="AJ152" s="211"/>
      <c r="AL152" s="108"/>
      <c r="AM152" s="2"/>
      <c r="AN152" s="2"/>
      <c r="AO152" s="2"/>
      <c r="BC152" s="1"/>
      <c r="BD152" s="2"/>
      <c r="BE152" s="2"/>
      <c r="BF152" s="2"/>
      <c r="BG152" s="2"/>
      <c r="BH152" s="2"/>
      <c r="BI152" s="2"/>
      <c r="BJ152" s="2"/>
      <c r="BK152" s="2"/>
    </row>
    <row r="153" spans="1:63" s="1" customFormat="1" outlineLevel="1">
      <c r="A153" s="1" t="s">
        <v>1578</v>
      </c>
      <c r="B153" s="65"/>
      <c r="C153" s="300">
        <f>C43*C134</f>
        <v>9.2527803464397787E-4</v>
      </c>
      <c r="D153" s="300">
        <f t="shared" ref="D153:AG153" si="81">D43*D134</f>
        <v>1.1866850385886434E-3</v>
      </c>
      <c r="E153" s="300">
        <f t="shared" si="81"/>
        <v>1.4556031232245204E-3</v>
      </c>
      <c r="F153" s="300">
        <f t="shared" si="81"/>
        <v>1.7293735585574186E-3</v>
      </c>
      <c r="G153" s="300">
        <f t="shared" si="81"/>
        <v>2.0051419862811681E-3</v>
      </c>
      <c r="H153" s="300">
        <f t="shared" si="81"/>
        <v>2.2798986947191843E-3</v>
      </c>
      <c r="I153" s="300">
        <f t="shared" si="81"/>
        <v>2.5560261999118695E-3</v>
      </c>
      <c r="J153" s="300">
        <f t="shared" si="81"/>
        <v>2.832079595351168E-3</v>
      </c>
      <c r="K153" s="300">
        <f t="shared" si="81"/>
        <v>3.1065227434352244E-3</v>
      </c>
      <c r="L153" s="300">
        <f t="shared" si="81"/>
        <v>3.3777297920644577E-3</v>
      </c>
      <c r="M153" s="300">
        <f t="shared" si="81"/>
        <v>3.6439871395408919E-3</v>
      </c>
      <c r="N153" s="300">
        <f t="shared" si="81"/>
        <v>4.1858229729142184E-3</v>
      </c>
      <c r="O153" s="300">
        <f t="shared" si="81"/>
        <v>4.7094318523905896E-3</v>
      </c>
      <c r="P153" s="300">
        <f t="shared" si="81"/>
        <v>5.2192911659624521E-3</v>
      </c>
      <c r="Q153" s="300">
        <f t="shared" si="81"/>
        <v>5.7009806606571865E-3</v>
      </c>
      <c r="R153" s="300">
        <f t="shared" si="81"/>
        <v>6.1485460472815853E-3</v>
      </c>
      <c r="S153" s="300">
        <f t="shared" si="81"/>
        <v>6.5680222360192846E-3</v>
      </c>
      <c r="T153" s="300">
        <f t="shared" si="81"/>
        <v>6.9559442889275316E-3</v>
      </c>
      <c r="U153" s="300">
        <f t="shared" si="81"/>
        <v>7.3087305170997175E-3</v>
      </c>
      <c r="V153" s="300">
        <f t="shared" si="81"/>
        <v>7.6226825058470886E-3</v>
      </c>
      <c r="W153" s="300">
        <f t="shared" si="81"/>
        <v>7.8939852686405517E-3</v>
      </c>
      <c r="X153" s="300">
        <f t="shared" si="81"/>
        <v>8.4286174269722226E-3</v>
      </c>
      <c r="Y153" s="300">
        <f t="shared" si="81"/>
        <v>8.8920637058317355E-3</v>
      </c>
      <c r="Z153" s="300">
        <f t="shared" si="81"/>
        <v>9.3049288371636427E-3</v>
      </c>
      <c r="AA153" s="300">
        <f t="shared" si="81"/>
        <v>9.634808465688486E-3</v>
      </c>
      <c r="AB153" s="300">
        <f t="shared" si="81"/>
        <v>9.8738630682090791E-3</v>
      </c>
      <c r="AC153" s="300">
        <f t="shared" si="81"/>
        <v>1.0014072279912991E-2</v>
      </c>
      <c r="AD153" s="300">
        <f t="shared" si="81"/>
        <v>1.0047045255217909E-2</v>
      </c>
      <c r="AE153" s="300">
        <f t="shared" si="81"/>
        <v>9.9641066068670934E-3</v>
      </c>
      <c r="AF153" s="300">
        <f t="shared" si="81"/>
        <v>9.7562947087755179E-3</v>
      </c>
      <c r="AG153" s="300">
        <f t="shared" si="81"/>
        <v>9.4143602242607524E-3</v>
      </c>
      <c r="AH153" s="245"/>
      <c r="AI153" s="423"/>
      <c r="AJ153" s="424"/>
      <c r="AL153" s="221"/>
      <c r="AM153" s="124"/>
      <c r="AN153" s="124"/>
      <c r="AO153" s="124"/>
      <c r="BD153" s="124"/>
      <c r="BE153" s="124"/>
      <c r="BF153" s="124"/>
      <c r="BG153" s="124"/>
      <c r="BH153" s="124"/>
      <c r="BI153" s="124"/>
      <c r="BJ153" s="124"/>
      <c r="BK153" s="124"/>
    </row>
    <row r="154" spans="1:63" outlineLevel="1">
      <c r="A154" s="4" t="s">
        <v>474</v>
      </c>
      <c r="C154" s="230">
        <f>C$153*'Methanol recycling rates'!E54</f>
        <v>0</v>
      </c>
      <c r="D154" s="230">
        <f>D$153*'Methanol recycling rates'!F54</f>
        <v>0</v>
      </c>
      <c r="E154" s="230">
        <f>E$153*'Methanol recycling rates'!G54</f>
        <v>0</v>
      </c>
      <c r="F154" s="230">
        <f>F$153*'Methanol recycling rates'!H54</f>
        <v>0</v>
      </c>
      <c r="G154" s="230">
        <f>G$153*'Methanol recycling rates'!I54</f>
        <v>0</v>
      </c>
      <c r="H154" s="230">
        <f>H$153*'Methanol recycling rates'!J54</f>
        <v>0</v>
      </c>
      <c r="I154" s="230">
        <f>I$153*'Methanol recycling rates'!K54</f>
        <v>0</v>
      </c>
      <c r="J154" s="230">
        <f>J$153*'Methanol recycling rates'!L54</f>
        <v>0</v>
      </c>
      <c r="K154" s="230">
        <f>K$153*'Methanol recycling rates'!M54</f>
        <v>0</v>
      </c>
      <c r="L154" s="230">
        <f>L$153*'Methanol recycling rates'!N54</f>
        <v>0</v>
      </c>
      <c r="M154" s="230">
        <f>M$153*'Methanol recycling rates'!O54</f>
        <v>0</v>
      </c>
      <c r="N154" s="230">
        <f>N$153*'Methanol recycling rates'!P54</f>
        <v>0</v>
      </c>
      <c r="O154" s="230">
        <f>O$153*'Methanol recycling rates'!Q54</f>
        <v>0</v>
      </c>
      <c r="P154" s="230">
        <f>P$153*'Methanol recycling rates'!R54</f>
        <v>0</v>
      </c>
      <c r="Q154" s="230">
        <f>Q$153*'Methanol recycling rates'!S54</f>
        <v>0</v>
      </c>
      <c r="R154" s="230">
        <f>R$153*'Methanol recycling rates'!T54</f>
        <v>0</v>
      </c>
      <c r="S154" s="230">
        <f>S$153*'Methanol recycling rates'!U54</f>
        <v>0</v>
      </c>
      <c r="T154" s="230">
        <f>T$153*'Methanol recycling rates'!V54</f>
        <v>0</v>
      </c>
      <c r="U154" s="230">
        <f>U$153*'Methanol recycling rates'!W54</f>
        <v>0</v>
      </c>
      <c r="V154" s="230">
        <f>V$153*'Methanol recycling rates'!X54</f>
        <v>0</v>
      </c>
      <c r="W154" s="230">
        <f>W$153*'Methanol recycling rates'!Y54</f>
        <v>0</v>
      </c>
      <c r="X154" s="230">
        <f>X$153*'Methanol recycling rates'!Z54</f>
        <v>0</v>
      </c>
      <c r="Y154" s="230">
        <f>Y$153*'Methanol recycling rates'!AA54</f>
        <v>0</v>
      </c>
      <c r="Z154" s="230">
        <f>Z$153*'Methanol recycling rates'!AB54</f>
        <v>0</v>
      </c>
      <c r="AA154" s="230">
        <f>AA$153*'Methanol recycling rates'!AC54</f>
        <v>0</v>
      </c>
      <c r="AB154" s="230">
        <f>AB$153*'Methanol recycling rates'!AD54</f>
        <v>0</v>
      </c>
      <c r="AC154" s="230">
        <f>AC$153*'Methanol recycling rates'!AE54</f>
        <v>0</v>
      </c>
      <c r="AD154" s="230">
        <f>AD$153*'Methanol recycling rates'!AF54</f>
        <v>0</v>
      </c>
      <c r="AE154" s="230">
        <f>AE$153*'Methanol recycling rates'!AG54</f>
        <v>0</v>
      </c>
      <c r="AF154" s="230">
        <f>AF$153*'Methanol recycling rates'!AH54</f>
        <v>0</v>
      </c>
      <c r="AG154" s="230">
        <f>AG$153*'Methanol recycling rates'!AI54</f>
        <v>0</v>
      </c>
      <c r="AH154" s="245"/>
      <c r="AI154" s="133"/>
      <c r="AJ154" s="211"/>
      <c r="AL154" s="108"/>
      <c r="AM154" s="2"/>
      <c r="AN154" s="2"/>
      <c r="AO154" s="2"/>
      <c r="BC154" s="1"/>
      <c r="BD154" s="2"/>
      <c r="BE154" s="2"/>
      <c r="BF154" s="2"/>
      <c r="BG154" s="2"/>
      <c r="BH154" s="2"/>
      <c r="BI154" s="2"/>
      <c r="BJ154" s="2"/>
      <c r="BK154" s="2"/>
    </row>
    <row r="155" spans="1:63" outlineLevel="1">
      <c r="A155" s="4" t="s">
        <v>745</v>
      </c>
      <c r="C155" s="230">
        <f>C$153*'Methanol recycling rates'!E55</f>
        <v>0</v>
      </c>
      <c r="D155" s="230">
        <f>D$153*'Methanol recycling rates'!F55</f>
        <v>4.6111012436154136E-6</v>
      </c>
      <c r="E155" s="230">
        <f>E$153*'Methanol recycling rates'!G55</f>
        <v>1.1312072122681768E-5</v>
      </c>
      <c r="F155" s="230">
        <f>F$153*'Methanol recycling rates'!H55</f>
        <v>2.0159476964562889E-5</v>
      </c>
      <c r="G155" s="230">
        <f>G$153*'Methanol recycling rates'!I55</f>
        <v>3.1165515384142668E-5</v>
      </c>
      <c r="H155" s="230">
        <f>H$153*'Methanol recycling rates'!J55</f>
        <v>4.4295004001398708E-5</v>
      </c>
      <c r="I155" s="230">
        <f>I$153*'Methanol recycling rates'!K55</f>
        <v>5.9591695551220853E-5</v>
      </c>
      <c r="J155" s="230">
        <f>J$153*'Methanol recycling rates'!L55</f>
        <v>7.7032268240030438E-5</v>
      </c>
      <c r="K155" s="230">
        <f>K$153*'Methanol recycling rates'!M55</f>
        <v>9.6568106412533747E-5</v>
      </c>
      <c r="L155" s="230">
        <f>L$153*'Methanol recycling rates'!N55</f>
        <v>1.1812358110605471E-4</v>
      </c>
      <c r="M155" s="230">
        <f>M$153*'Methanol recycling rates'!O55</f>
        <v>1.4159438338280219E-4</v>
      </c>
      <c r="N155" s="230">
        <f>N$153*'Methanol recycling rates'!P55</f>
        <v>1.7891334412377562E-4</v>
      </c>
      <c r="O155" s="230">
        <f>O$153*'Methanol recycling rates'!Q55</f>
        <v>2.1959323357214293E-4</v>
      </c>
      <c r="P155" s="230">
        <f>P$153*'Methanol recycling rates'!R55</f>
        <v>2.6364774952601254E-4</v>
      </c>
      <c r="Q155" s="230">
        <f>Q$153*'Methanol recycling rates'!S55</f>
        <v>3.1013215320914455E-4</v>
      </c>
      <c r="R155" s="230">
        <f>R$153*'Methanol recycling rates'!T55</f>
        <v>3.5837101762190455E-4</v>
      </c>
      <c r="S155" s="230">
        <f>S$153*'Methanol recycling rates'!U55</f>
        <v>4.0834175223608706E-4</v>
      </c>
      <c r="T155" s="230">
        <f>T$153*'Methanol recycling rates'!V55</f>
        <v>4.5948803550164159E-4</v>
      </c>
      <c r="U155" s="230">
        <f>U$153*'Methanol recycling rates'!W55</f>
        <v>5.1119152517600211E-4</v>
      </c>
      <c r="V155" s="230">
        <f>V$153*'Methanol recycling rates'!X55</f>
        <v>5.6276959188750761E-4</v>
      </c>
      <c r="W155" s="230">
        <f>W$153*'Methanol recycling rates'!Y55</f>
        <v>6.1347306329237374E-4</v>
      </c>
      <c r="X155" s="230">
        <f>X$153*'Methanol recycling rates'!Z55</f>
        <v>6.8777253251592807E-4</v>
      </c>
      <c r="Y155" s="230">
        <f>Y$153*'Methanol recycling rates'!AA55</f>
        <v>7.6014148905317847E-4</v>
      </c>
      <c r="Z155" s="230">
        <f>Z$153*'Methanol recycling rates'!AB55</f>
        <v>8.3159157936972929E-4</v>
      </c>
      <c r="AA155" s="230">
        <f>AA$153*'Methanol recycling rates'!AC55</f>
        <v>8.985112481263766E-4</v>
      </c>
      <c r="AB155" s="230">
        <f>AB$153*'Methanol recycling rates'!AD55</f>
        <v>9.5917157444018366E-4</v>
      </c>
      <c r="AC155" s="230">
        <f>AC$153*'Methanol recycling rates'!AE55</f>
        <v>1.0117035192088299E-3</v>
      </c>
      <c r="AD155" s="230">
        <f>AD$153*'Methanol recycling rates'!AF55</f>
        <v>1.0540745158501002E-3</v>
      </c>
      <c r="AE155" s="230">
        <f>AE$153*'Methanol recycling rates'!AG55</f>
        <v>1.0840906225550778E-3</v>
      </c>
      <c r="AF155" s="230">
        <f>AF$153*'Methanol recycling rates'!AH55</f>
        <v>1.0993908028269377E-3</v>
      </c>
      <c r="AG155" s="230">
        <f>AG$153*'Methanol recycling rates'!AI55</f>
        <v>1.0974411927252813E-3</v>
      </c>
      <c r="AH155" s="245"/>
      <c r="AI155" s="133"/>
      <c r="AJ155" s="211"/>
      <c r="AL155" s="108"/>
      <c r="AM155" s="2"/>
      <c r="AN155" s="2"/>
      <c r="AO155" s="2"/>
      <c r="BC155" s="1"/>
      <c r="BD155" s="2"/>
      <c r="BE155" s="2"/>
      <c r="BF155" s="2"/>
      <c r="BG155" s="2"/>
      <c r="BH155" s="2"/>
      <c r="BI155" s="2"/>
      <c r="BJ155" s="2"/>
      <c r="BK155" s="2"/>
    </row>
    <row r="156" spans="1:63" outlineLevel="1">
      <c r="A156" s="4" t="s">
        <v>1561</v>
      </c>
      <c r="C156" s="230">
        <f>C$153*'Methanol recycling rates'!E56</f>
        <v>9.2527803464397787E-4</v>
      </c>
      <c r="D156" s="230">
        <f>D$153*'Methanol recycling rates'!F56</f>
        <v>1.182073937345028E-3</v>
      </c>
      <c r="E156" s="230">
        <f>E$153*'Methanol recycling rates'!G56</f>
        <v>1.4442910511018388E-3</v>
      </c>
      <c r="F156" s="230">
        <f>F$153*'Methanol recycling rates'!H56</f>
        <v>1.7092140815928559E-3</v>
      </c>
      <c r="G156" s="230">
        <f>G$153*'Methanol recycling rates'!I56</f>
        <v>1.9739764708970259E-3</v>
      </c>
      <c r="H156" s="230">
        <f>H$153*'Methanol recycling rates'!J56</f>
        <v>2.235603690717786E-3</v>
      </c>
      <c r="I156" s="230">
        <f>I$153*'Methanol recycling rates'!K56</f>
        <v>2.4964345043606492E-3</v>
      </c>
      <c r="J156" s="230">
        <f>J$153*'Methanol recycling rates'!L56</f>
        <v>2.7550473271111386E-3</v>
      </c>
      <c r="K156" s="230">
        <f>K$153*'Methanol recycling rates'!M56</f>
        <v>3.009954637022692E-3</v>
      </c>
      <c r="L156" s="230">
        <f>L$153*'Methanol recycling rates'!N56</f>
        <v>3.2596062109584044E-3</v>
      </c>
      <c r="M156" s="230">
        <f>M$153*'Methanol recycling rates'!O56</f>
        <v>3.5023927561580914E-3</v>
      </c>
      <c r="N156" s="230">
        <f>N$153*'Methanol recycling rates'!P56</f>
        <v>4.0069096287904445E-3</v>
      </c>
      <c r="O156" s="230">
        <f>O$153*'Methanol recycling rates'!Q56</f>
        <v>4.4898386188184491E-3</v>
      </c>
      <c r="P156" s="230">
        <f>P$153*'Methanol recycling rates'!R56</f>
        <v>4.9556434164364426E-3</v>
      </c>
      <c r="Q156" s="230">
        <f>Q$153*'Methanol recycling rates'!S56</f>
        <v>5.3908485074480456E-3</v>
      </c>
      <c r="R156" s="230">
        <f>R$153*'Methanol recycling rates'!T56</f>
        <v>5.7901750296596851E-3</v>
      </c>
      <c r="S156" s="230">
        <f>S$153*'Methanol recycling rates'!U56</f>
        <v>6.1596804837832017E-3</v>
      </c>
      <c r="T156" s="230">
        <f>T$153*'Methanol recycling rates'!V56</f>
        <v>6.4964562534258951E-3</v>
      </c>
      <c r="U156" s="230">
        <f>U$153*'Methanol recycling rates'!W56</f>
        <v>6.7975389919237208E-3</v>
      </c>
      <c r="V156" s="230">
        <f>V$153*'Methanol recycling rates'!X56</f>
        <v>7.0599129139595875E-3</v>
      </c>
      <c r="W156" s="230">
        <f>W$153*'Methanol recycling rates'!Y56</f>
        <v>7.2805122053481849E-3</v>
      </c>
      <c r="X156" s="230">
        <f>X$153*'Methanol recycling rates'!Z56</f>
        <v>7.7408448944563018E-3</v>
      </c>
      <c r="Y156" s="230">
        <f>Y$153*'Methanol recycling rates'!AA56</f>
        <v>8.1319222167785653E-3</v>
      </c>
      <c r="Z156" s="230">
        <f>Z$153*'Methanol recycling rates'!AB56</f>
        <v>8.4733372577939226E-3</v>
      </c>
      <c r="AA156" s="230">
        <f>AA$153*'Methanol recycling rates'!AC56</f>
        <v>8.7362972175621199E-3</v>
      </c>
      <c r="AB156" s="230">
        <f>AB$153*'Methanol recycling rates'!AD56</f>
        <v>8.9146914937689066E-3</v>
      </c>
      <c r="AC156" s="230">
        <f>AC$153*'Methanol recycling rates'!AE56</f>
        <v>9.0023687607041717E-3</v>
      </c>
      <c r="AD156" s="230">
        <f>AD$153*'Methanol recycling rates'!AF56</f>
        <v>8.9929707393678199E-3</v>
      </c>
      <c r="AE156" s="230">
        <f>AE$153*'Methanol recycling rates'!AG56</f>
        <v>8.8800159843120275E-3</v>
      </c>
      <c r="AF156" s="230">
        <f>AF$153*'Methanol recycling rates'!AH56</f>
        <v>8.6569039059485927E-3</v>
      </c>
      <c r="AG156" s="230">
        <f>AG$153*'Methanol recycling rates'!AI56</f>
        <v>8.3169190315354712E-3</v>
      </c>
      <c r="AH156" s="245"/>
      <c r="AI156" s="133"/>
      <c r="AJ156" s="211"/>
      <c r="AL156" s="108"/>
      <c r="AM156" s="2"/>
      <c r="AN156" s="2"/>
      <c r="AO156" s="2"/>
      <c r="BC156" s="1"/>
      <c r="BD156" s="2"/>
      <c r="BE156" s="2"/>
      <c r="BF156" s="2"/>
      <c r="BG156" s="2"/>
      <c r="BH156" s="2"/>
      <c r="BI156" s="2"/>
      <c r="BJ156" s="2"/>
      <c r="BK156" s="2"/>
    </row>
    <row r="157" spans="1:63" s="1" customFormat="1" outlineLevel="1">
      <c r="A157" s="1" t="s">
        <v>1579</v>
      </c>
      <c r="B157" s="65"/>
      <c r="C157" s="300">
        <f>C153-$C153</f>
        <v>0</v>
      </c>
      <c r="D157" s="300">
        <f t="shared" ref="D157:AG160" si="82">D153-$C153</f>
        <v>2.6140700394466552E-4</v>
      </c>
      <c r="E157" s="300">
        <f t="shared" si="82"/>
        <v>5.3032508858054253E-4</v>
      </c>
      <c r="F157" s="300">
        <f t="shared" si="82"/>
        <v>8.0409552391344074E-4</v>
      </c>
      <c r="G157" s="300">
        <f t="shared" si="82"/>
        <v>1.0798639516371902E-3</v>
      </c>
      <c r="H157" s="300">
        <f t="shared" si="82"/>
        <v>1.3546206600752065E-3</v>
      </c>
      <c r="I157" s="300">
        <f t="shared" si="82"/>
        <v>1.6307481652678916E-3</v>
      </c>
      <c r="J157" s="300">
        <f t="shared" si="82"/>
        <v>1.9068015607071902E-3</v>
      </c>
      <c r="K157" s="300">
        <f t="shared" si="82"/>
        <v>2.1812447087912468E-3</v>
      </c>
      <c r="L157" s="300">
        <f t="shared" si="82"/>
        <v>2.4524517574204801E-3</v>
      </c>
      <c r="M157" s="300">
        <f t="shared" si="82"/>
        <v>2.7187091048969138E-3</v>
      </c>
      <c r="N157" s="300">
        <f t="shared" si="82"/>
        <v>3.2605449382702408E-3</v>
      </c>
      <c r="O157" s="300">
        <f t="shared" si="82"/>
        <v>3.7841538177466119E-3</v>
      </c>
      <c r="P157" s="300">
        <f t="shared" si="82"/>
        <v>4.2940131313184745E-3</v>
      </c>
      <c r="Q157" s="300">
        <f t="shared" si="82"/>
        <v>4.7757026260132089E-3</v>
      </c>
      <c r="R157" s="300">
        <f t="shared" si="82"/>
        <v>5.2232680126376076E-3</v>
      </c>
      <c r="S157" s="300">
        <f t="shared" si="82"/>
        <v>5.6427442013753069E-3</v>
      </c>
      <c r="T157" s="300">
        <f t="shared" si="82"/>
        <v>6.0306662542835539E-3</v>
      </c>
      <c r="U157" s="300">
        <f t="shared" si="82"/>
        <v>6.3834524824557398E-3</v>
      </c>
      <c r="V157" s="300">
        <f t="shared" si="82"/>
        <v>6.6974044712031109E-3</v>
      </c>
      <c r="W157" s="300">
        <f t="shared" si="82"/>
        <v>6.9687072339965741E-3</v>
      </c>
      <c r="X157" s="300">
        <f t="shared" si="82"/>
        <v>7.5033393923282449E-3</v>
      </c>
      <c r="Y157" s="300">
        <f t="shared" si="82"/>
        <v>7.9667856711877569E-3</v>
      </c>
      <c r="Z157" s="300">
        <f t="shared" si="82"/>
        <v>8.3796508025196642E-3</v>
      </c>
      <c r="AA157" s="300">
        <f t="shared" si="82"/>
        <v>8.7095304310445074E-3</v>
      </c>
      <c r="AB157" s="300">
        <f t="shared" si="82"/>
        <v>8.9485850335651006E-3</v>
      </c>
      <c r="AC157" s="300">
        <f t="shared" si="82"/>
        <v>9.0887942452690124E-3</v>
      </c>
      <c r="AD157" s="300">
        <f t="shared" si="82"/>
        <v>9.12176722057393E-3</v>
      </c>
      <c r="AE157" s="300">
        <f t="shared" si="82"/>
        <v>9.0388285722231149E-3</v>
      </c>
      <c r="AF157" s="300">
        <f t="shared" si="82"/>
        <v>8.8310166741315393E-3</v>
      </c>
      <c r="AG157" s="300">
        <f t="shared" si="82"/>
        <v>8.4890821896167739E-3</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 t="shared" ref="C158:C160" si="83">C154-$C154</f>
        <v>0</v>
      </c>
      <c r="D158" s="230">
        <f t="shared" si="82"/>
        <v>0</v>
      </c>
      <c r="E158" s="230">
        <f t="shared" si="82"/>
        <v>0</v>
      </c>
      <c r="F158" s="230">
        <f t="shared" si="82"/>
        <v>0</v>
      </c>
      <c r="G158" s="230">
        <f t="shared" si="82"/>
        <v>0</v>
      </c>
      <c r="H158" s="230">
        <f t="shared" si="82"/>
        <v>0</v>
      </c>
      <c r="I158" s="230">
        <f t="shared" si="82"/>
        <v>0</v>
      </c>
      <c r="J158" s="230">
        <f t="shared" si="82"/>
        <v>0</v>
      </c>
      <c r="K158" s="230">
        <f t="shared" si="82"/>
        <v>0</v>
      </c>
      <c r="L158" s="230">
        <f t="shared" si="82"/>
        <v>0</v>
      </c>
      <c r="M158" s="230">
        <f t="shared" si="82"/>
        <v>0</v>
      </c>
      <c r="N158" s="230">
        <f t="shared" si="82"/>
        <v>0</v>
      </c>
      <c r="O158" s="230">
        <f t="shared" si="82"/>
        <v>0</v>
      </c>
      <c r="P158" s="230">
        <f t="shared" si="82"/>
        <v>0</v>
      </c>
      <c r="Q158" s="230">
        <f t="shared" si="82"/>
        <v>0</v>
      </c>
      <c r="R158" s="230">
        <f t="shared" si="82"/>
        <v>0</v>
      </c>
      <c r="S158" s="230">
        <f t="shared" si="82"/>
        <v>0</v>
      </c>
      <c r="T158" s="230">
        <f t="shared" si="82"/>
        <v>0</v>
      </c>
      <c r="U158" s="230">
        <f t="shared" si="82"/>
        <v>0</v>
      </c>
      <c r="V158" s="230">
        <f t="shared" si="82"/>
        <v>0</v>
      </c>
      <c r="W158" s="230">
        <f t="shared" si="82"/>
        <v>0</v>
      </c>
      <c r="X158" s="230">
        <f t="shared" si="82"/>
        <v>0</v>
      </c>
      <c r="Y158" s="230">
        <f t="shared" si="82"/>
        <v>0</v>
      </c>
      <c r="Z158" s="230">
        <f t="shared" si="82"/>
        <v>0</v>
      </c>
      <c r="AA158" s="230">
        <f t="shared" si="82"/>
        <v>0</v>
      </c>
      <c r="AB158" s="230">
        <f t="shared" si="82"/>
        <v>0</v>
      </c>
      <c r="AC158" s="230">
        <f t="shared" si="82"/>
        <v>0</v>
      </c>
      <c r="AD158" s="230">
        <f t="shared" si="82"/>
        <v>0</v>
      </c>
      <c r="AE158" s="230">
        <f t="shared" si="82"/>
        <v>0</v>
      </c>
      <c r="AF158" s="230">
        <f t="shared" si="82"/>
        <v>0</v>
      </c>
      <c r="AG158" s="230">
        <f t="shared" si="82"/>
        <v>0</v>
      </c>
      <c r="AH158" s="245"/>
      <c r="AI158" s="133"/>
      <c r="AJ158" s="211"/>
      <c r="AL158" s="108"/>
      <c r="AM158" s="2"/>
      <c r="AN158" s="2"/>
      <c r="AO158" s="2"/>
      <c r="BC158" s="1"/>
      <c r="BD158" s="2"/>
      <c r="BE158" s="2"/>
      <c r="BF158" s="2"/>
      <c r="BG158" s="2"/>
      <c r="BH158" s="2"/>
      <c r="BI158" s="2"/>
      <c r="BJ158" s="2"/>
      <c r="BK158" s="2"/>
    </row>
    <row r="159" spans="1:63" outlineLevel="1">
      <c r="A159" s="4" t="s">
        <v>745</v>
      </c>
      <c r="C159" s="230">
        <f t="shared" si="83"/>
        <v>0</v>
      </c>
      <c r="D159" s="230">
        <f t="shared" si="82"/>
        <v>4.6111012436154136E-6</v>
      </c>
      <c r="E159" s="230">
        <f t="shared" si="82"/>
        <v>1.1312072122681768E-5</v>
      </c>
      <c r="F159" s="230">
        <f t="shared" si="82"/>
        <v>2.0159476964562889E-5</v>
      </c>
      <c r="G159" s="230">
        <f t="shared" si="82"/>
        <v>3.1165515384142668E-5</v>
      </c>
      <c r="H159" s="230">
        <f t="shared" si="82"/>
        <v>4.4295004001398708E-5</v>
      </c>
      <c r="I159" s="230">
        <f t="shared" si="82"/>
        <v>5.9591695551220853E-5</v>
      </c>
      <c r="J159" s="230">
        <f t="shared" si="82"/>
        <v>7.7032268240030438E-5</v>
      </c>
      <c r="K159" s="230">
        <f t="shared" si="82"/>
        <v>9.6568106412533747E-5</v>
      </c>
      <c r="L159" s="230">
        <f t="shared" si="82"/>
        <v>1.1812358110605471E-4</v>
      </c>
      <c r="M159" s="230">
        <f t="shared" si="82"/>
        <v>1.4159438338280219E-4</v>
      </c>
      <c r="N159" s="230">
        <f t="shared" si="82"/>
        <v>1.7891334412377562E-4</v>
      </c>
      <c r="O159" s="230">
        <f t="shared" si="82"/>
        <v>2.1959323357214293E-4</v>
      </c>
      <c r="P159" s="230">
        <f t="shared" si="82"/>
        <v>2.6364774952601254E-4</v>
      </c>
      <c r="Q159" s="230">
        <f t="shared" si="82"/>
        <v>3.1013215320914455E-4</v>
      </c>
      <c r="R159" s="230">
        <f t="shared" si="82"/>
        <v>3.5837101762190455E-4</v>
      </c>
      <c r="S159" s="230">
        <f t="shared" si="82"/>
        <v>4.0834175223608706E-4</v>
      </c>
      <c r="T159" s="230">
        <f t="shared" si="82"/>
        <v>4.5948803550164159E-4</v>
      </c>
      <c r="U159" s="230">
        <f t="shared" si="82"/>
        <v>5.1119152517600211E-4</v>
      </c>
      <c r="V159" s="230">
        <f t="shared" si="82"/>
        <v>5.6276959188750761E-4</v>
      </c>
      <c r="W159" s="230">
        <f t="shared" si="82"/>
        <v>6.1347306329237374E-4</v>
      </c>
      <c r="X159" s="230">
        <f t="shared" si="82"/>
        <v>6.8777253251592807E-4</v>
      </c>
      <c r="Y159" s="230">
        <f t="shared" si="82"/>
        <v>7.6014148905317847E-4</v>
      </c>
      <c r="Z159" s="230">
        <f t="shared" si="82"/>
        <v>8.3159157936972929E-4</v>
      </c>
      <c r="AA159" s="230">
        <f t="shared" si="82"/>
        <v>8.985112481263766E-4</v>
      </c>
      <c r="AB159" s="230">
        <f t="shared" si="82"/>
        <v>9.5917157444018366E-4</v>
      </c>
      <c r="AC159" s="230">
        <f t="shared" si="82"/>
        <v>1.0117035192088299E-3</v>
      </c>
      <c r="AD159" s="230">
        <f t="shared" si="82"/>
        <v>1.0540745158501002E-3</v>
      </c>
      <c r="AE159" s="230">
        <f t="shared" si="82"/>
        <v>1.0840906225550778E-3</v>
      </c>
      <c r="AF159" s="230">
        <f t="shared" si="82"/>
        <v>1.0993908028269377E-3</v>
      </c>
      <c r="AG159" s="230">
        <f t="shared" si="82"/>
        <v>1.0974411927252813E-3</v>
      </c>
      <c r="AH159" s="245"/>
      <c r="AI159" s="133"/>
      <c r="AJ159" s="211"/>
      <c r="AL159" s="108"/>
      <c r="AM159" s="2"/>
      <c r="AN159" s="2"/>
      <c r="AO159" s="2"/>
      <c r="BC159" s="1"/>
      <c r="BD159" s="2"/>
      <c r="BE159" s="2"/>
      <c r="BF159" s="2"/>
      <c r="BG159" s="2"/>
      <c r="BH159" s="2"/>
      <c r="BI159" s="2"/>
      <c r="BJ159" s="2"/>
      <c r="BK159" s="2"/>
    </row>
    <row r="160" spans="1:63" outlineLevel="1">
      <c r="A160" s="4" t="s">
        <v>1561</v>
      </c>
      <c r="C160" s="230">
        <f t="shared" si="83"/>
        <v>0</v>
      </c>
      <c r="D160" s="230">
        <f t="shared" si="82"/>
        <v>2.5679590270105018E-4</v>
      </c>
      <c r="E160" s="230">
        <f t="shared" si="82"/>
        <v>5.1901301645786093E-4</v>
      </c>
      <c r="F160" s="230">
        <f t="shared" si="82"/>
        <v>7.83936046948878E-4</v>
      </c>
      <c r="G160" s="230">
        <f t="shared" si="82"/>
        <v>1.048698436253048E-3</v>
      </c>
      <c r="H160" s="230">
        <f t="shared" si="82"/>
        <v>1.3103256560738081E-3</v>
      </c>
      <c r="I160" s="230">
        <f t="shared" si="82"/>
        <v>1.5711564697166714E-3</v>
      </c>
      <c r="J160" s="230">
        <f t="shared" si="82"/>
        <v>1.8297692924671607E-3</v>
      </c>
      <c r="K160" s="230">
        <f t="shared" si="82"/>
        <v>2.0846766023787143E-3</v>
      </c>
      <c r="L160" s="230">
        <f t="shared" si="82"/>
        <v>2.3343281763144267E-3</v>
      </c>
      <c r="M160" s="230">
        <f t="shared" si="82"/>
        <v>2.5771147215141134E-3</v>
      </c>
      <c r="N160" s="230">
        <f t="shared" si="82"/>
        <v>3.0816315941464669E-3</v>
      </c>
      <c r="O160" s="230">
        <f t="shared" si="82"/>
        <v>3.5645605841744714E-3</v>
      </c>
      <c r="P160" s="230">
        <f t="shared" si="82"/>
        <v>4.030365381792465E-3</v>
      </c>
      <c r="Q160" s="230">
        <f t="shared" si="82"/>
        <v>4.4655704728040679E-3</v>
      </c>
      <c r="R160" s="230">
        <f t="shared" si="82"/>
        <v>4.8648969950157075E-3</v>
      </c>
      <c r="S160" s="230">
        <f t="shared" si="82"/>
        <v>5.2344024491392241E-3</v>
      </c>
      <c r="T160" s="230">
        <f t="shared" si="82"/>
        <v>5.5711782187819175E-3</v>
      </c>
      <c r="U160" s="230">
        <f t="shared" si="82"/>
        <v>5.8722609572797431E-3</v>
      </c>
      <c r="V160" s="230">
        <f t="shared" si="82"/>
        <v>6.1346348793156098E-3</v>
      </c>
      <c r="W160" s="230">
        <f t="shared" si="82"/>
        <v>6.3552341707042072E-3</v>
      </c>
      <c r="X160" s="230">
        <f t="shared" si="82"/>
        <v>6.8155668598123241E-3</v>
      </c>
      <c r="Y160" s="230">
        <f t="shared" si="82"/>
        <v>7.2066441821345877E-3</v>
      </c>
      <c r="Z160" s="230">
        <f t="shared" si="82"/>
        <v>7.5480592231499449E-3</v>
      </c>
      <c r="AA160" s="230">
        <f t="shared" si="82"/>
        <v>7.8110191829181422E-3</v>
      </c>
      <c r="AB160" s="230">
        <f t="shared" si="82"/>
        <v>7.9894134591249281E-3</v>
      </c>
      <c r="AC160" s="230">
        <f t="shared" si="82"/>
        <v>8.0770907260601932E-3</v>
      </c>
      <c r="AD160" s="230">
        <f t="shared" si="82"/>
        <v>8.0676927047238414E-3</v>
      </c>
      <c r="AE160" s="230">
        <f t="shared" si="82"/>
        <v>7.954737949668049E-3</v>
      </c>
      <c r="AF160" s="230">
        <f t="shared" si="82"/>
        <v>7.731625871304615E-3</v>
      </c>
      <c r="AG160" s="230">
        <f t="shared" si="82"/>
        <v>7.3916409968914935E-3</v>
      </c>
      <c r="AH160" s="245"/>
      <c r="AI160" s="133"/>
      <c r="AJ160" s="211"/>
      <c r="AL160" s="108"/>
      <c r="AM160" s="2"/>
      <c r="AN160" s="2"/>
      <c r="AO160" s="2"/>
      <c r="BC160" s="1"/>
      <c r="BD160" s="2"/>
      <c r="BE160" s="2"/>
      <c r="BF160" s="2"/>
      <c r="BG160" s="2"/>
      <c r="BH160" s="2"/>
      <c r="BI160" s="2"/>
      <c r="BJ160" s="2"/>
      <c r="BK160" s="2"/>
    </row>
    <row r="161" spans="1:63" s="1" customFormat="1" outlineLevel="1">
      <c r="A161" s="1" t="s">
        <v>1567</v>
      </c>
      <c r="B161" s="65"/>
      <c r="C161" s="300">
        <f>C43*C135</f>
        <v>2.7758341039319338E-3</v>
      </c>
      <c r="D161" s="300">
        <f t="shared" ref="D161:AG161" si="84">D43*D135</f>
        <v>3.5600551157659302E-3</v>
      </c>
      <c r="E161" s="300">
        <f t="shared" si="84"/>
        <v>4.366809369673561E-3</v>
      </c>
      <c r="F161" s="300">
        <f t="shared" si="84"/>
        <v>5.1881206756722561E-3</v>
      </c>
      <c r="G161" s="300">
        <f t="shared" si="84"/>
        <v>6.0154259588435033E-3</v>
      </c>
      <c r="H161" s="300">
        <f t="shared" si="84"/>
        <v>6.8396960841575526E-3</v>
      </c>
      <c r="I161" s="300">
        <f t="shared" si="84"/>
        <v>7.6680785997356084E-3</v>
      </c>
      <c r="J161" s="300">
        <f t="shared" si="84"/>
        <v>8.4962387860535032E-3</v>
      </c>
      <c r="K161" s="300">
        <f t="shared" si="84"/>
        <v>9.3195682303056741E-3</v>
      </c>
      <c r="L161" s="300">
        <f t="shared" si="84"/>
        <v>1.0133189376193372E-2</v>
      </c>
      <c r="M161" s="300">
        <f t="shared" si="84"/>
        <v>1.0931961418622675E-2</v>
      </c>
      <c r="N161" s="300">
        <f t="shared" si="84"/>
        <v>1.2557468918742655E-2</v>
      </c>
      <c r="O161" s="300">
        <f t="shared" si="84"/>
        <v>1.412829555717177E-2</v>
      </c>
      <c r="P161" s="300">
        <f t="shared" si="84"/>
        <v>1.5657873497887356E-2</v>
      </c>
      <c r="Q161" s="300">
        <f t="shared" si="84"/>
        <v>1.7102941981971556E-2</v>
      </c>
      <c r="R161" s="300">
        <f t="shared" si="84"/>
        <v>1.8445638141844755E-2</v>
      </c>
      <c r="S161" s="300">
        <f t="shared" si="84"/>
        <v>1.9704066708057851E-2</v>
      </c>
      <c r="T161" s="300">
        <f t="shared" si="84"/>
        <v>2.0867832866782593E-2</v>
      </c>
      <c r="U161" s="300">
        <f t="shared" si="84"/>
        <v>2.192619155129915E-2</v>
      </c>
      <c r="V161" s="300">
        <f t="shared" si="84"/>
        <v>2.2868047517541266E-2</v>
      </c>
      <c r="W161" s="300">
        <f t="shared" si="84"/>
        <v>2.3681955805921657E-2</v>
      </c>
      <c r="X161" s="300">
        <f t="shared" si="84"/>
        <v>2.5285852280916666E-2</v>
      </c>
      <c r="Y161" s="300">
        <f t="shared" si="84"/>
        <v>2.667619111749521E-2</v>
      </c>
      <c r="Z161" s="300">
        <f t="shared" si="84"/>
        <v>2.7914786511490926E-2</v>
      </c>
      <c r="AA161" s="300">
        <f t="shared" si="84"/>
        <v>2.8904425397065461E-2</v>
      </c>
      <c r="AB161" s="300">
        <f t="shared" si="84"/>
        <v>2.9621589204627236E-2</v>
      </c>
      <c r="AC161" s="300">
        <f t="shared" si="84"/>
        <v>3.0042216839738976E-2</v>
      </c>
      <c r="AD161" s="300">
        <f t="shared" si="84"/>
        <v>3.0141135765653724E-2</v>
      </c>
      <c r="AE161" s="300">
        <f t="shared" si="84"/>
        <v>2.9892319820601282E-2</v>
      </c>
      <c r="AF161" s="300">
        <f t="shared" si="84"/>
        <v>2.9268884126326548E-2</v>
      </c>
      <c r="AG161" s="300">
        <f t="shared" si="84"/>
        <v>2.8243080672782257E-2</v>
      </c>
      <c r="AH161" s="245"/>
      <c r="AI161" s="423"/>
      <c r="AJ161" s="424"/>
      <c r="AL161" s="221"/>
      <c r="AM161" s="124"/>
      <c r="AN161" s="124"/>
      <c r="AO161" s="124"/>
      <c r="BD161" s="124"/>
      <c r="BE161" s="124"/>
      <c r="BF161" s="124"/>
      <c r="BG161" s="124"/>
      <c r="BH161" s="124"/>
      <c r="BI161" s="124"/>
      <c r="BJ161" s="124"/>
      <c r="BK161" s="124"/>
    </row>
    <row r="162" spans="1:63" outlineLevel="1">
      <c r="A162" s="4" t="s">
        <v>474</v>
      </c>
      <c r="C162" s="230">
        <f>C$161*'Methanol recycling rates'!E57</f>
        <v>0</v>
      </c>
      <c r="D162" s="230">
        <f>D$161*'Methanol recycling rates'!F57</f>
        <v>0</v>
      </c>
      <c r="E162" s="230">
        <f>E$161*'Methanol recycling rates'!G57</f>
        <v>0</v>
      </c>
      <c r="F162" s="230">
        <f>F$161*'Methanol recycling rates'!H57</f>
        <v>0</v>
      </c>
      <c r="G162" s="230">
        <f>G$161*'Methanol recycling rates'!I57</f>
        <v>0</v>
      </c>
      <c r="H162" s="230">
        <f>H$161*'Methanol recycling rates'!J57</f>
        <v>0</v>
      </c>
      <c r="I162" s="230">
        <f>I$161*'Methanol recycling rates'!K57</f>
        <v>0</v>
      </c>
      <c r="J162" s="230">
        <f>J$161*'Methanol recycling rates'!L57</f>
        <v>0</v>
      </c>
      <c r="K162" s="230">
        <f>K$161*'Methanol recycling rates'!M57</f>
        <v>0</v>
      </c>
      <c r="L162" s="230">
        <f>L$161*'Methanol recycling rates'!N57</f>
        <v>0</v>
      </c>
      <c r="M162" s="230">
        <f>M$161*'Methanol recycling rates'!O57</f>
        <v>0</v>
      </c>
      <c r="N162" s="230">
        <f>N$161*'Methanol recycling rates'!P57</f>
        <v>0</v>
      </c>
      <c r="O162" s="230">
        <f>O$161*'Methanol recycling rates'!Q57</f>
        <v>0</v>
      </c>
      <c r="P162" s="230">
        <f>P$161*'Methanol recycling rates'!R57</f>
        <v>0</v>
      </c>
      <c r="Q162" s="230">
        <f>Q$161*'Methanol recycling rates'!S57</f>
        <v>0</v>
      </c>
      <c r="R162" s="230">
        <f>R$161*'Methanol recycling rates'!T57</f>
        <v>0</v>
      </c>
      <c r="S162" s="230">
        <f>S$161*'Methanol recycling rates'!U57</f>
        <v>0</v>
      </c>
      <c r="T162" s="230">
        <f>T$161*'Methanol recycling rates'!V57</f>
        <v>0</v>
      </c>
      <c r="U162" s="230">
        <f>U$161*'Methanol recycling rates'!W57</f>
        <v>0</v>
      </c>
      <c r="V162" s="230">
        <f>V$161*'Methanol recycling rates'!X57</f>
        <v>0</v>
      </c>
      <c r="W162" s="230">
        <f>W$161*'Methanol recycling rates'!Y57</f>
        <v>0</v>
      </c>
      <c r="X162" s="230">
        <f>X$161*'Methanol recycling rates'!Z57</f>
        <v>0</v>
      </c>
      <c r="Y162" s="230">
        <f>Y$161*'Methanol recycling rates'!AA57</f>
        <v>0</v>
      </c>
      <c r="Z162" s="230">
        <f>Z$161*'Methanol recycling rates'!AB57</f>
        <v>0</v>
      </c>
      <c r="AA162" s="230">
        <f>AA$161*'Methanol recycling rates'!AC57</f>
        <v>0</v>
      </c>
      <c r="AB162" s="230">
        <f>AB$161*'Methanol recycling rates'!AD57</f>
        <v>0</v>
      </c>
      <c r="AC162" s="230">
        <f>AC$161*'Methanol recycling rates'!AE57</f>
        <v>0</v>
      </c>
      <c r="AD162" s="230">
        <f>AD$161*'Methanol recycling rates'!AF57</f>
        <v>0</v>
      </c>
      <c r="AE162" s="230">
        <f>AE$161*'Methanol recycling rates'!AG57</f>
        <v>0</v>
      </c>
      <c r="AF162" s="230">
        <f>AF$161*'Methanol recycling rates'!AH57</f>
        <v>0</v>
      </c>
      <c r="AG162" s="230">
        <f>AG$161*'Methanol recycling rates'!AI57</f>
        <v>0</v>
      </c>
      <c r="AH162" s="245"/>
      <c r="AI162" s="133"/>
      <c r="AJ162" s="211"/>
      <c r="AL162" s="108"/>
      <c r="AM162" s="2"/>
      <c r="AN162" s="2"/>
      <c r="AO162" s="2"/>
      <c r="BC162" s="1"/>
      <c r="BD162" s="2"/>
      <c r="BE162" s="2"/>
      <c r="BF162" s="2"/>
      <c r="BG162" s="2"/>
      <c r="BH162" s="2"/>
      <c r="BI162" s="2"/>
      <c r="BJ162" s="2"/>
      <c r="BK162" s="2"/>
    </row>
    <row r="163" spans="1:63" outlineLevel="1">
      <c r="A163" s="4" t="s">
        <v>745</v>
      </c>
      <c r="C163" s="230">
        <f>C$161*'Methanol recycling rates'!E58</f>
        <v>0</v>
      </c>
      <c r="D163" s="230">
        <f>D$161*'Methanol recycling rates'!F58</f>
        <v>1.3833303730846241E-5</v>
      </c>
      <c r="E163" s="230">
        <f>E$161*'Methanol recycling rates'!G58</f>
        <v>3.3936216368045308E-5</v>
      </c>
      <c r="F163" s="230">
        <f>F$161*'Methanol recycling rates'!H58</f>
        <v>6.0478430893688663E-5</v>
      </c>
      <c r="G163" s="230">
        <f>G$161*'Methanol recycling rates'!I58</f>
        <v>9.3496546152427984E-5</v>
      </c>
      <c r="H163" s="230">
        <f>H$161*'Methanol recycling rates'!J58</f>
        <v>1.3288501200419613E-4</v>
      </c>
      <c r="I163" s="230">
        <f>I$161*'Methanol recycling rates'!K58</f>
        <v>1.7877508665366257E-4</v>
      </c>
      <c r="J163" s="230">
        <f>J$161*'Methanol recycling rates'!L58</f>
        <v>2.3109680472009131E-4</v>
      </c>
      <c r="K163" s="230">
        <f>K$161*'Methanol recycling rates'!M58</f>
        <v>2.8970431923760131E-4</v>
      </c>
      <c r="L163" s="230">
        <f>L$161*'Methanol recycling rates'!N58</f>
        <v>3.5437074331816408E-4</v>
      </c>
      <c r="M163" s="230">
        <f>M$161*'Methanol recycling rates'!O58</f>
        <v>4.247831501484066E-4</v>
      </c>
      <c r="N163" s="230">
        <f>N$161*'Methanol recycling rates'!P58</f>
        <v>5.3674003237132682E-4</v>
      </c>
      <c r="O163" s="230">
        <f>O$161*'Methanol recycling rates'!Q58</f>
        <v>6.5877970071642885E-4</v>
      </c>
      <c r="P163" s="230">
        <f>P$161*'Methanol recycling rates'!R58</f>
        <v>7.9094324857803761E-4</v>
      </c>
      <c r="Q163" s="230">
        <f>Q$161*'Methanol recycling rates'!S58</f>
        <v>9.3039645962743344E-4</v>
      </c>
      <c r="R163" s="230">
        <f>R$161*'Methanol recycling rates'!T58</f>
        <v>1.0751130528657135E-3</v>
      </c>
      <c r="S163" s="230">
        <f>S$161*'Methanol recycling rates'!U58</f>
        <v>1.225025256708261E-3</v>
      </c>
      <c r="T163" s="230">
        <f>T$161*'Methanol recycling rates'!V58</f>
        <v>1.3784641065049247E-3</v>
      </c>
      <c r="U163" s="230">
        <f>U$161*'Methanol recycling rates'!W58</f>
        <v>1.5335745755280061E-3</v>
      </c>
      <c r="V163" s="230">
        <f>V$161*'Methanol recycling rates'!X58</f>
        <v>1.6883087756625231E-3</v>
      </c>
      <c r="W163" s="230">
        <f>W$161*'Methanol recycling rates'!Y58</f>
        <v>1.8404191898771212E-3</v>
      </c>
      <c r="X163" s="230">
        <f>X$161*'Methanol recycling rates'!Z58</f>
        <v>2.0633175975477841E-3</v>
      </c>
      <c r="Y163" s="230">
        <f>Y$161*'Methanol recycling rates'!AA58</f>
        <v>2.280424467159536E-3</v>
      </c>
      <c r="Z163" s="230">
        <f>Z$161*'Methanol recycling rates'!AB58</f>
        <v>2.4947747381091874E-3</v>
      </c>
      <c r="AA163" s="230">
        <f>AA$161*'Methanol recycling rates'!AC58</f>
        <v>2.6955337443791299E-3</v>
      </c>
      <c r="AB163" s="230">
        <f>AB$161*'Methanol recycling rates'!AD58</f>
        <v>2.8775147233205509E-3</v>
      </c>
      <c r="AC163" s="230">
        <f>AC$161*'Methanol recycling rates'!AE58</f>
        <v>3.0351105576264903E-3</v>
      </c>
      <c r="AD163" s="230">
        <f>AD$161*'Methanol recycling rates'!AF58</f>
        <v>3.1622235475502998E-3</v>
      </c>
      <c r="AE163" s="230">
        <f>AE$161*'Methanol recycling rates'!AG58</f>
        <v>3.2522718676652337E-3</v>
      </c>
      <c r="AF163" s="230">
        <f>AF$161*'Methanol recycling rates'!AH58</f>
        <v>3.2981724084808124E-3</v>
      </c>
      <c r="AG163" s="230">
        <f>AG$161*'Methanol recycling rates'!AI58</f>
        <v>3.2923235781758438E-3</v>
      </c>
      <c r="AH163" s="245"/>
      <c r="AI163" s="133"/>
      <c r="AJ163" s="211"/>
      <c r="AL163" s="108"/>
      <c r="AM163" s="2"/>
      <c r="AN163" s="2"/>
      <c r="AO163" s="2"/>
      <c r="BC163" s="1"/>
      <c r="BD163" s="2"/>
      <c r="BE163" s="2"/>
      <c r="BF163" s="2"/>
      <c r="BG163" s="2"/>
      <c r="BH163" s="2"/>
      <c r="BI163" s="2"/>
      <c r="BJ163" s="2"/>
      <c r="BK163" s="2"/>
    </row>
    <row r="164" spans="1:63" outlineLevel="1">
      <c r="A164" s="4" t="s">
        <v>1561</v>
      </c>
      <c r="C164" s="230">
        <f>C$161*'Methanol recycling rates'!E59</f>
        <v>2.7758341039319338E-3</v>
      </c>
      <c r="D164" s="230">
        <f>D$161*'Methanol recycling rates'!F59</f>
        <v>3.5462218120350841E-3</v>
      </c>
      <c r="E164" s="230">
        <f>E$161*'Methanol recycling rates'!G59</f>
        <v>4.332873153305516E-3</v>
      </c>
      <c r="F164" s="230">
        <f>F$161*'Methanol recycling rates'!H59</f>
        <v>5.127642244778568E-3</v>
      </c>
      <c r="G164" s="230">
        <f>G$161*'Methanol recycling rates'!I59</f>
        <v>5.921929412691076E-3</v>
      </c>
      <c r="H164" s="230">
        <f>H$161*'Methanol recycling rates'!J59</f>
        <v>6.706811072153358E-3</v>
      </c>
      <c r="I164" s="230">
        <f>I$161*'Methanol recycling rates'!K59</f>
        <v>7.4893035130819477E-3</v>
      </c>
      <c r="J164" s="230">
        <f>J$161*'Methanol recycling rates'!L59</f>
        <v>8.265141981333414E-3</v>
      </c>
      <c r="K164" s="230">
        <f>K$161*'Methanol recycling rates'!M59</f>
        <v>9.029863911068076E-3</v>
      </c>
      <c r="L164" s="230">
        <f>L$161*'Methanol recycling rates'!N59</f>
        <v>9.7788186328752122E-3</v>
      </c>
      <c r="M164" s="230">
        <f>M$161*'Methanol recycling rates'!O59</f>
        <v>1.0507178268474273E-2</v>
      </c>
      <c r="N164" s="230">
        <f>N$161*'Methanol recycling rates'!P59</f>
        <v>1.2020728886371335E-2</v>
      </c>
      <c r="O164" s="230">
        <f>O$161*'Methanol recycling rates'!Q59</f>
        <v>1.3469515856455349E-2</v>
      </c>
      <c r="P164" s="230">
        <f>P$161*'Methanol recycling rates'!R59</f>
        <v>1.4866930249309327E-2</v>
      </c>
      <c r="Q164" s="230">
        <f>Q$161*'Methanol recycling rates'!S59</f>
        <v>1.6172545522344133E-2</v>
      </c>
      <c r="R164" s="230">
        <f>R$161*'Methanol recycling rates'!T59</f>
        <v>1.7370525088979055E-2</v>
      </c>
      <c r="S164" s="230">
        <f>S$161*'Methanol recycling rates'!U59</f>
        <v>1.8479041451349605E-2</v>
      </c>
      <c r="T164" s="230">
        <f>T$161*'Methanol recycling rates'!V59</f>
        <v>1.9489368760277685E-2</v>
      </c>
      <c r="U164" s="230">
        <f>U$161*'Methanol recycling rates'!W59</f>
        <v>2.0392616975771161E-2</v>
      </c>
      <c r="V164" s="230">
        <f>V$161*'Methanol recycling rates'!X59</f>
        <v>2.117973874187876E-2</v>
      </c>
      <c r="W164" s="230">
        <f>W$161*'Methanol recycling rates'!Y59</f>
        <v>2.1841536616044557E-2</v>
      </c>
      <c r="X164" s="230">
        <f>X$161*'Methanol recycling rates'!Z59</f>
        <v>2.3222534683368906E-2</v>
      </c>
      <c r="Y164" s="230">
        <f>Y$161*'Methanol recycling rates'!AA59</f>
        <v>2.4395766650335698E-2</v>
      </c>
      <c r="Z164" s="230">
        <f>Z$161*'Methanol recycling rates'!AB59</f>
        <v>2.5420011773381768E-2</v>
      </c>
      <c r="AA164" s="230">
        <f>AA$161*'Methanol recycling rates'!AC59</f>
        <v>2.6208891652686361E-2</v>
      </c>
      <c r="AB164" s="230">
        <f>AB$161*'Methanol recycling rates'!AD59</f>
        <v>2.6744074481306716E-2</v>
      </c>
      <c r="AC164" s="230">
        <f>AC$161*'Methanol recycling rates'!AE59</f>
        <v>2.700710628211252E-2</v>
      </c>
      <c r="AD164" s="230">
        <f>AD$161*'Methanol recycling rates'!AF59</f>
        <v>2.697891221810346E-2</v>
      </c>
      <c r="AE164" s="230">
        <f>AE$161*'Methanol recycling rates'!AG59</f>
        <v>2.6640047952936084E-2</v>
      </c>
      <c r="AF164" s="230">
        <f>AF$161*'Methanol recycling rates'!AH59</f>
        <v>2.5970711717845773E-2</v>
      </c>
      <c r="AG164" s="230">
        <f>AG$161*'Methanol recycling rates'!AI59</f>
        <v>2.4950757094606413E-2</v>
      </c>
      <c r="AH164" s="245"/>
      <c r="AI164" s="133"/>
      <c r="AJ164" s="211"/>
      <c r="AL164" s="108"/>
      <c r="AM164" s="2"/>
      <c r="AN164" s="2"/>
      <c r="AO164" s="2"/>
      <c r="BC164" s="1"/>
      <c r="BD164" s="2"/>
      <c r="BE164" s="2"/>
      <c r="BF164" s="2"/>
      <c r="BG164" s="2"/>
      <c r="BH164" s="2"/>
      <c r="BI164" s="2"/>
      <c r="BJ164" s="2"/>
      <c r="BK164" s="2"/>
    </row>
    <row r="165" spans="1:63" s="1" customFormat="1" outlineLevel="1">
      <c r="A165" s="1" t="s">
        <v>1568</v>
      </c>
      <c r="B165" s="65"/>
      <c r="C165" s="300">
        <f>C161-$C161</f>
        <v>0</v>
      </c>
      <c r="D165" s="300">
        <f t="shared" ref="D165:AG168" si="85">D161-$C161</f>
        <v>7.8422101183399633E-4</v>
      </c>
      <c r="E165" s="300">
        <f t="shared" si="85"/>
        <v>1.5909752657416272E-3</v>
      </c>
      <c r="F165" s="300">
        <f t="shared" si="85"/>
        <v>2.4122865717403222E-3</v>
      </c>
      <c r="G165" s="300">
        <f t="shared" si="85"/>
        <v>3.2395918549115695E-3</v>
      </c>
      <c r="H165" s="300">
        <f t="shared" si="85"/>
        <v>4.0638619802256188E-3</v>
      </c>
      <c r="I165" s="300">
        <f t="shared" si="85"/>
        <v>4.8922444958036746E-3</v>
      </c>
      <c r="J165" s="300">
        <f t="shared" si="85"/>
        <v>5.7204046821215694E-3</v>
      </c>
      <c r="K165" s="300">
        <f t="shared" si="85"/>
        <v>6.5437341263737403E-3</v>
      </c>
      <c r="L165" s="300">
        <f t="shared" si="85"/>
        <v>7.3573552722614385E-3</v>
      </c>
      <c r="M165" s="300">
        <f t="shared" si="85"/>
        <v>8.1561273146907413E-3</v>
      </c>
      <c r="N165" s="300">
        <f t="shared" si="85"/>
        <v>9.7816348148107215E-3</v>
      </c>
      <c r="O165" s="300">
        <f t="shared" si="85"/>
        <v>1.1352461453239836E-2</v>
      </c>
      <c r="P165" s="300">
        <f t="shared" si="85"/>
        <v>1.2882039393955422E-2</v>
      </c>
      <c r="Q165" s="300">
        <f t="shared" si="85"/>
        <v>1.4327107878039622E-2</v>
      </c>
      <c r="R165" s="300">
        <f t="shared" si="85"/>
        <v>1.5669804037912821E-2</v>
      </c>
      <c r="S165" s="300">
        <f t="shared" si="85"/>
        <v>1.6928232604125917E-2</v>
      </c>
      <c r="T165" s="300">
        <f t="shared" si="85"/>
        <v>1.8091998762850659E-2</v>
      </c>
      <c r="U165" s="300">
        <f t="shared" si="85"/>
        <v>1.9150357447367216E-2</v>
      </c>
      <c r="V165" s="300">
        <f t="shared" si="85"/>
        <v>2.0092213413609332E-2</v>
      </c>
      <c r="W165" s="300">
        <f t="shared" si="85"/>
        <v>2.0906121701989723E-2</v>
      </c>
      <c r="X165" s="300">
        <f t="shared" si="85"/>
        <v>2.2510018176984732E-2</v>
      </c>
      <c r="Y165" s="300">
        <f t="shared" si="85"/>
        <v>2.3900357013563276E-2</v>
      </c>
      <c r="Z165" s="300">
        <f t="shared" si="85"/>
        <v>2.5138952407558993E-2</v>
      </c>
      <c r="AA165" s="300">
        <f t="shared" si="85"/>
        <v>2.6128591293133527E-2</v>
      </c>
      <c r="AB165" s="300">
        <f t="shared" si="85"/>
        <v>2.6845755100695302E-2</v>
      </c>
      <c r="AC165" s="300">
        <f t="shared" si="85"/>
        <v>2.7266382735807042E-2</v>
      </c>
      <c r="AD165" s="300">
        <f t="shared" si="85"/>
        <v>2.736530166172179E-2</v>
      </c>
      <c r="AE165" s="300">
        <f t="shared" si="85"/>
        <v>2.7116485716669348E-2</v>
      </c>
      <c r="AF165" s="300">
        <f t="shared" si="85"/>
        <v>2.6493050022394615E-2</v>
      </c>
      <c r="AG165" s="300">
        <f t="shared" si="85"/>
        <v>2.5467246568850323E-2</v>
      </c>
      <c r="AH165" s="245"/>
      <c r="AI165" s="423"/>
      <c r="AJ165" s="424"/>
      <c r="AL165" s="221"/>
      <c r="AM165" s="124"/>
      <c r="AN165" s="124"/>
      <c r="AO165" s="124"/>
      <c r="BD165" s="124"/>
      <c r="BE165" s="124"/>
      <c r="BF165" s="124"/>
      <c r="BG165" s="124"/>
      <c r="BH165" s="124"/>
      <c r="BI165" s="124"/>
      <c r="BJ165" s="124"/>
      <c r="BK165" s="124"/>
    </row>
    <row r="166" spans="1:63" outlineLevel="1">
      <c r="A166" s="4" t="s">
        <v>474</v>
      </c>
      <c r="C166" s="230">
        <f t="shared" ref="C166:C168" si="86">C162-$C162</f>
        <v>0</v>
      </c>
      <c r="D166" s="230">
        <f t="shared" si="85"/>
        <v>0</v>
      </c>
      <c r="E166" s="230">
        <f t="shared" si="85"/>
        <v>0</v>
      </c>
      <c r="F166" s="230">
        <f t="shared" si="85"/>
        <v>0</v>
      </c>
      <c r="G166" s="230">
        <f t="shared" si="85"/>
        <v>0</v>
      </c>
      <c r="H166" s="230">
        <f t="shared" si="85"/>
        <v>0</v>
      </c>
      <c r="I166" s="230">
        <f t="shared" si="85"/>
        <v>0</v>
      </c>
      <c r="J166" s="230">
        <f t="shared" si="85"/>
        <v>0</v>
      </c>
      <c r="K166" s="230">
        <f t="shared" si="85"/>
        <v>0</v>
      </c>
      <c r="L166" s="230">
        <f t="shared" si="85"/>
        <v>0</v>
      </c>
      <c r="M166" s="230">
        <f t="shared" si="85"/>
        <v>0</v>
      </c>
      <c r="N166" s="230">
        <f t="shared" si="85"/>
        <v>0</v>
      </c>
      <c r="O166" s="230">
        <f t="shared" si="85"/>
        <v>0</v>
      </c>
      <c r="P166" s="230">
        <f t="shared" si="85"/>
        <v>0</v>
      </c>
      <c r="Q166" s="230">
        <f t="shared" si="85"/>
        <v>0</v>
      </c>
      <c r="R166" s="230">
        <f t="shared" si="85"/>
        <v>0</v>
      </c>
      <c r="S166" s="230">
        <f t="shared" si="85"/>
        <v>0</v>
      </c>
      <c r="T166" s="230">
        <f t="shared" si="85"/>
        <v>0</v>
      </c>
      <c r="U166" s="230">
        <f t="shared" si="85"/>
        <v>0</v>
      </c>
      <c r="V166" s="230">
        <f t="shared" si="85"/>
        <v>0</v>
      </c>
      <c r="W166" s="230">
        <f t="shared" si="85"/>
        <v>0</v>
      </c>
      <c r="X166" s="230">
        <f t="shared" si="85"/>
        <v>0</v>
      </c>
      <c r="Y166" s="230">
        <f t="shared" si="85"/>
        <v>0</v>
      </c>
      <c r="Z166" s="230">
        <f t="shared" si="85"/>
        <v>0</v>
      </c>
      <c r="AA166" s="230">
        <f t="shared" si="85"/>
        <v>0</v>
      </c>
      <c r="AB166" s="230">
        <f t="shared" si="85"/>
        <v>0</v>
      </c>
      <c r="AC166" s="230">
        <f t="shared" si="85"/>
        <v>0</v>
      </c>
      <c r="AD166" s="230">
        <f t="shared" si="85"/>
        <v>0</v>
      </c>
      <c r="AE166" s="230">
        <f t="shared" si="85"/>
        <v>0</v>
      </c>
      <c r="AF166" s="230">
        <f t="shared" si="85"/>
        <v>0</v>
      </c>
      <c r="AG166" s="230">
        <f t="shared" si="85"/>
        <v>0</v>
      </c>
      <c r="AH166" s="245"/>
      <c r="AI166" s="133"/>
      <c r="AJ166" s="211"/>
      <c r="AL166" s="108"/>
      <c r="AM166" s="2"/>
      <c r="AN166" s="2"/>
      <c r="AO166" s="2"/>
      <c r="BC166" s="1"/>
      <c r="BD166" s="2"/>
      <c r="BE166" s="2"/>
      <c r="BF166" s="2"/>
      <c r="BG166" s="2"/>
      <c r="BH166" s="2"/>
      <c r="BI166" s="2"/>
      <c r="BJ166" s="2"/>
      <c r="BK166" s="2"/>
    </row>
    <row r="167" spans="1:63" outlineLevel="1">
      <c r="A167" s="4" t="s">
        <v>745</v>
      </c>
      <c r="C167" s="230">
        <f t="shared" si="86"/>
        <v>0</v>
      </c>
      <c r="D167" s="230">
        <f t="shared" si="85"/>
        <v>1.3833303730846241E-5</v>
      </c>
      <c r="E167" s="230">
        <f t="shared" si="85"/>
        <v>3.3936216368045308E-5</v>
      </c>
      <c r="F167" s="230">
        <f t="shared" si="85"/>
        <v>6.0478430893688663E-5</v>
      </c>
      <c r="G167" s="230">
        <f t="shared" si="85"/>
        <v>9.3496546152427984E-5</v>
      </c>
      <c r="H167" s="230">
        <f t="shared" si="85"/>
        <v>1.3288501200419613E-4</v>
      </c>
      <c r="I167" s="230">
        <f t="shared" si="85"/>
        <v>1.7877508665366257E-4</v>
      </c>
      <c r="J167" s="230">
        <f t="shared" si="85"/>
        <v>2.3109680472009131E-4</v>
      </c>
      <c r="K167" s="230">
        <f t="shared" si="85"/>
        <v>2.8970431923760131E-4</v>
      </c>
      <c r="L167" s="230">
        <f t="shared" si="85"/>
        <v>3.5437074331816408E-4</v>
      </c>
      <c r="M167" s="230">
        <f t="shared" si="85"/>
        <v>4.247831501484066E-4</v>
      </c>
      <c r="N167" s="230">
        <f t="shared" si="85"/>
        <v>5.3674003237132682E-4</v>
      </c>
      <c r="O167" s="230">
        <f t="shared" si="85"/>
        <v>6.5877970071642885E-4</v>
      </c>
      <c r="P167" s="230">
        <f t="shared" si="85"/>
        <v>7.9094324857803761E-4</v>
      </c>
      <c r="Q167" s="230">
        <f t="shared" si="85"/>
        <v>9.3039645962743344E-4</v>
      </c>
      <c r="R167" s="230">
        <f t="shared" si="85"/>
        <v>1.0751130528657135E-3</v>
      </c>
      <c r="S167" s="230">
        <f t="shared" si="85"/>
        <v>1.225025256708261E-3</v>
      </c>
      <c r="T167" s="230">
        <f t="shared" si="85"/>
        <v>1.3784641065049247E-3</v>
      </c>
      <c r="U167" s="230">
        <f t="shared" si="85"/>
        <v>1.5335745755280061E-3</v>
      </c>
      <c r="V167" s="230">
        <f t="shared" si="85"/>
        <v>1.6883087756625231E-3</v>
      </c>
      <c r="W167" s="230">
        <f t="shared" si="85"/>
        <v>1.8404191898771212E-3</v>
      </c>
      <c r="X167" s="230">
        <f t="shared" si="85"/>
        <v>2.0633175975477841E-3</v>
      </c>
      <c r="Y167" s="230">
        <f t="shared" si="85"/>
        <v>2.280424467159536E-3</v>
      </c>
      <c r="Z167" s="230">
        <f t="shared" si="85"/>
        <v>2.4947747381091874E-3</v>
      </c>
      <c r="AA167" s="230">
        <f t="shared" si="85"/>
        <v>2.6955337443791299E-3</v>
      </c>
      <c r="AB167" s="230">
        <f t="shared" si="85"/>
        <v>2.8775147233205509E-3</v>
      </c>
      <c r="AC167" s="230">
        <f t="shared" si="85"/>
        <v>3.0351105576264903E-3</v>
      </c>
      <c r="AD167" s="230">
        <f t="shared" si="85"/>
        <v>3.1622235475502998E-3</v>
      </c>
      <c r="AE167" s="230">
        <f t="shared" si="85"/>
        <v>3.2522718676652337E-3</v>
      </c>
      <c r="AF167" s="230">
        <f t="shared" si="85"/>
        <v>3.2981724084808124E-3</v>
      </c>
      <c r="AG167" s="230">
        <f t="shared" si="85"/>
        <v>3.2923235781758438E-3</v>
      </c>
      <c r="AH167" s="245"/>
      <c r="AI167" s="133"/>
      <c r="AJ167" s="211"/>
      <c r="AL167" s="108"/>
      <c r="AM167" s="2"/>
      <c r="AN167" s="2"/>
      <c r="AO167" s="2"/>
      <c r="BC167" s="1"/>
      <c r="BD167" s="2"/>
      <c r="BE167" s="2"/>
      <c r="BF167" s="2"/>
      <c r="BG167" s="2"/>
      <c r="BH167" s="2"/>
      <c r="BI167" s="2"/>
      <c r="BJ167" s="2"/>
      <c r="BK167" s="2"/>
    </row>
    <row r="168" spans="1:63" outlineLevel="1">
      <c r="A168" s="4" t="s">
        <v>1561</v>
      </c>
      <c r="C168" s="230">
        <f t="shared" si="86"/>
        <v>0</v>
      </c>
      <c r="D168" s="230">
        <f t="shared" si="85"/>
        <v>7.7038770810315032E-4</v>
      </c>
      <c r="E168" s="230">
        <f t="shared" si="85"/>
        <v>1.5570390493735821E-3</v>
      </c>
      <c r="F168" s="230">
        <f t="shared" si="85"/>
        <v>2.3518081408466342E-3</v>
      </c>
      <c r="G168" s="230">
        <f t="shared" si="85"/>
        <v>3.1460953087591422E-3</v>
      </c>
      <c r="H168" s="230">
        <f t="shared" si="85"/>
        <v>3.9309769682214241E-3</v>
      </c>
      <c r="I168" s="230">
        <f t="shared" si="85"/>
        <v>4.7134694091500139E-3</v>
      </c>
      <c r="J168" s="230">
        <f t="shared" si="85"/>
        <v>5.4893078774014802E-3</v>
      </c>
      <c r="K168" s="230">
        <f t="shared" si="85"/>
        <v>6.2540298071361421E-3</v>
      </c>
      <c r="L168" s="230">
        <f t="shared" si="85"/>
        <v>7.0029845289432784E-3</v>
      </c>
      <c r="M168" s="230">
        <f t="shared" si="85"/>
        <v>7.7313441645423392E-3</v>
      </c>
      <c r="N168" s="230">
        <f t="shared" si="85"/>
        <v>9.2448947824394015E-3</v>
      </c>
      <c r="O168" s="230">
        <f t="shared" si="85"/>
        <v>1.0693681752523415E-2</v>
      </c>
      <c r="P168" s="230">
        <f t="shared" si="85"/>
        <v>1.2091096145377393E-2</v>
      </c>
      <c r="Q168" s="230">
        <f t="shared" si="85"/>
        <v>1.3396711418412199E-2</v>
      </c>
      <c r="R168" s="230">
        <f t="shared" si="85"/>
        <v>1.4594690985047121E-2</v>
      </c>
      <c r="S168" s="230">
        <f t="shared" si="85"/>
        <v>1.5703207347417671E-2</v>
      </c>
      <c r="T168" s="230">
        <f t="shared" si="85"/>
        <v>1.6713534656345751E-2</v>
      </c>
      <c r="U168" s="230">
        <f t="shared" si="85"/>
        <v>1.7616782871839227E-2</v>
      </c>
      <c r="V168" s="230">
        <f t="shared" si="85"/>
        <v>1.8403904637946826E-2</v>
      </c>
      <c r="W168" s="230">
        <f t="shared" si="85"/>
        <v>1.9065702512112623E-2</v>
      </c>
      <c r="X168" s="230">
        <f t="shared" si="85"/>
        <v>2.0446700579436972E-2</v>
      </c>
      <c r="Y168" s="230">
        <f t="shared" si="85"/>
        <v>2.1619932546403764E-2</v>
      </c>
      <c r="Z168" s="230">
        <f t="shared" si="85"/>
        <v>2.2644177669449834E-2</v>
      </c>
      <c r="AA168" s="230">
        <f t="shared" si="85"/>
        <v>2.3433057548754428E-2</v>
      </c>
      <c r="AB168" s="230">
        <f t="shared" si="85"/>
        <v>2.3968240377374782E-2</v>
      </c>
      <c r="AC168" s="230">
        <f t="shared" si="85"/>
        <v>2.4231272178180586E-2</v>
      </c>
      <c r="AD168" s="230">
        <f t="shared" si="85"/>
        <v>2.4203078114171526E-2</v>
      </c>
      <c r="AE168" s="230">
        <f t="shared" si="85"/>
        <v>2.386421384900415E-2</v>
      </c>
      <c r="AF168" s="230">
        <f t="shared" si="85"/>
        <v>2.3194877613913839E-2</v>
      </c>
      <c r="AG168" s="230">
        <f t="shared" si="85"/>
        <v>2.217492299067448E-2</v>
      </c>
      <c r="AH168" s="245"/>
      <c r="AI168" s="133"/>
      <c r="AJ168" s="211"/>
      <c r="AL168" s="108"/>
      <c r="AM168" s="2"/>
      <c r="AN168" s="2"/>
      <c r="AO168" s="2"/>
      <c r="BC168" s="1"/>
      <c r="BD168" s="2"/>
      <c r="BE168" s="2"/>
      <c r="BF168" s="2"/>
      <c r="BG168" s="2"/>
      <c r="BH168" s="2"/>
      <c r="BI168" s="2"/>
      <c r="BJ168" s="2"/>
      <c r="BK168" s="2"/>
    </row>
    <row r="169" spans="1:63" outlineLevel="1">
      <c r="C169" s="110"/>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J169" s="211"/>
      <c r="AM169" s="123"/>
      <c r="AN169" s="123"/>
    </row>
    <row r="170" spans="1:63" s="200" customFormat="1" ht="16" thickBot="1">
      <c r="A170" s="200" t="s">
        <v>1339</v>
      </c>
      <c r="B170" s="215"/>
      <c r="C170" s="224">
        <f>C171</f>
        <v>0.13</v>
      </c>
      <c r="D170" s="224">
        <f t="shared" ref="D170:AG170" si="87">D171</f>
        <v>0.13557711853523402</v>
      </c>
      <c r="E170" s="224">
        <f t="shared" si="87"/>
        <v>0.14115423707046801</v>
      </c>
      <c r="F170" s="224">
        <f t="shared" si="87"/>
        <v>0.14673135560570202</v>
      </c>
      <c r="G170" s="224">
        <f t="shared" si="87"/>
        <v>0.15230847414093604</v>
      </c>
      <c r="H170" s="224">
        <f t="shared" si="87"/>
        <v>0.15788559267617003</v>
      </c>
      <c r="I170" s="224">
        <f t="shared" si="87"/>
        <v>0.16346271121140404</v>
      </c>
      <c r="J170" s="224">
        <f t="shared" si="87"/>
        <v>0.16903982974663806</v>
      </c>
      <c r="K170" s="224">
        <f t="shared" si="87"/>
        <v>0.17461694828187208</v>
      </c>
      <c r="L170" s="224">
        <f t="shared" si="87"/>
        <v>0.18019406681710606</v>
      </c>
      <c r="M170" s="224">
        <f t="shared" si="87"/>
        <v>0.18577118535234008</v>
      </c>
      <c r="N170" s="224">
        <f t="shared" si="87"/>
        <v>0.19752603518814099</v>
      </c>
      <c r="O170" s="224">
        <f t="shared" si="87"/>
        <v>0.20928088502394188</v>
      </c>
      <c r="P170" s="224">
        <f t="shared" si="87"/>
        <v>0.22103573485974279</v>
      </c>
      <c r="Q170" s="224">
        <f t="shared" si="87"/>
        <v>0.2327905846955437</v>
      </c>
      <c r="R170" s="224">
        <f t="shared" si="87"/>
        <v>0.24454543453134459</v>
      </c>
      <c r="S170" s="224">
        <f t="shared" si="87"/>
        <v>0.25630028436714547</v>
      </c>
      <c r="T170" s="224">
        <f t="shared" si="87"/>
        <v>0.26805513420294641</v>
      </c>
      <c r="U170" s="224">
        <f t="shared" si="87"/>
        <v>0.27980998403874729</v>
      </c>
      <c r="V170" s="224">
        <f t="shared" si="87"/>
        <v>0.29156483387454823</v>
      </c>
      <c r="W170" s="224">
        <f t="shared" si="87"/>
        <v>0.30331968371034912</v>
      </c>
      <c r="X170" s="224">
        <f t="shared" si="87"/>
        <v>0.3229877153393142</v>
      </c>
      <c r="Y170" s="224">
        <f t="shared" si="87"/>
        <v>0.34265574696827927</v>
      </c>
      <c r="Z170" s="224">
        <f t="shared" si="87"/>
        <v>0.36232377859724441</v>
      </c>
      <c r="AA170" s="224">
        <f t="shared" si="87"/>
        <v>0.38199181022620948</v>
      </c>
      <c r="AB170" s="224">
        <f t="shared" si="87"/>
        <v>0.40165984185517456</v>
      </c>
      <c r="AC170" s="224">
        <f t="shared" si="87"/>
        <v>0.42132787348413964</v>
      </c>
      <c r="AD170" s="224">
        <f t="shared" si="87"/>
        <v>0.44099590511310471</v>
      </c>
      <c r="AE170" s="224">
        <f t="shared" si="87"/>
        <v>0.46066393674206985</v>
      </c>
      <c r="AF170" s="224">
        <f t="shared" si="87"/>
        <v>0.48033196837103487</v>
      </c>
      <c r="AG170" s="224">
        <f t="shared" si="87"/>
        <v>0.5</v>
      </c>
      <c r="AJ170" s="231" t="s">
        <v>1340</v>
      </c>
      <c r="AL170" s="217"/>
      <c r="AM170" s="225"/>
      <c r="AN170" s="225"/>
      <c r="AO170" s="225"/>
    </row>
    <row r="171" spans="1:63" ht="16" outlineLevel="1" thickTop="1">
      <c r="A171" t="s">
        <v>1341</v>
      </c>
      <c r="B171" s="54" t="s">
        <v>462</v>
      </c>
      <c r="C171" s="214">
        <v>0.13</v>
      </c>
      <c r="D171" s="110">
        <f>$C171+($M171-$C171)/10*(D$1-$C$1)</f>
        <v>0.13557711853523402</v>
      </c>
      <c r="E171" s="110">
        <f t="shared" ref="E171:L171" si="88">$C171+($M171-$C171)/10*(E$1-$C$1)</f>
        <v>0.14115423707046801</v>
      </c>
      <c r="F171" s="110">
        <f t="shared" si="88"/>
        <v>0.14673135560570202</v>
      </c>
      <c r="G171" s="110">
        <f t="shared" si="88"/>
        <v>0.15230847414093604</v>
      </c>
      <c r="H171" s="110">
        <f t="shared" si="88"/>
        <v>0.15788559267617003</v>
      </c>
      <c r="I171" s="110">
        <f t="shared" si="88"/>
        <v>0.16346271121140404</v>
      </c>
      <c r="J171" s="110">
        <f t="shared" si="88"/>
        <v>0.16903982974663806</v>
      </c>
      <c r="K171" s="110">
        <f t="shared" si="88"/>
        <v>0.17461694828187208</v>
      </c>
      <c r="L171" s="110">
        <f t="shared" si="88"/>
        <v>0.18019406681710606</v>
      </c>
      <c r="M171" s="121">
        <f>(M$52-$C$52)/($AG$52-$C$52)*($AG171-$C171)+$C171</f>
        <v>0.18577118535234008</v>
      </c>
      <c r="N171" s="121">
        <f>$M171+($W171-$M171)/10*(N$1-$M$1)</f>
        <v>0.19752603518814099</v>
      </c>
      <c r="O171" s="121">
        <f t="shared" ref="O171:U171" si="89">$M171+($W171-$M171)/10*(O$1-$M$1)</f>
        <v>0.20928088502394188</v>
      </c>
      <c r="P171" s="121">
        <f t="shared" si="89"/>
        <v>0.22103573485974279</v>
      </c>
      <c r="Q171" s="121">
        <f t="shared" si="89"/>
        <v>0.2327905846955437</v>
      </c>
      <c r="R171" s="121">
        <f t="shared" si="89"/>
        <v>0.24454543453134459</v>
      </c>
      <c r="S171" s="121">
        <f t="shared" si="89"/>
        <v>0.25630028436714547</v>
      </c>
      <c r="T171" s="121">
        <f t="shared" si="89"/>
        <v>0.26805513420294641</v>
      </c>
      <c r="U171" s="121">
        <f t="shared" si="89"/>
        <v>0.27980998403874729</v>
      </c>
      <c r="V171" s="121">
        <f>$M171+($W171-$M171)/10*(V$1-$M$1)</f>
        <v>0.29156483387454823</v>
      </c>
      <c r="W171" s="121">
        <f>(W$52-$C$52)/($AG$52-$C$52)*($AG171-$C171)+$C171</f>
        <v>0.30331968371034912</v>
      </c>
      <c r="X171" s="110">
        <f>$W171+($AG171-$W171)/10*(X$1-$W$1)</f>
        <v>0.3229877153393142</v>
      </c>
      <c r="Y171" s="110">
        <f t="shared" ref="Y171:AF171" si="90">$W171+($AG171-$W171)/10*(Y$1-$W$1)</f>
        <v>0.34265574696827927</v>
      </c>
      <c r="Z171" s="110">
        <f t="shared" si="90"/>
        <v>0.36232377859724441</v>
      </c>
      <c r="AA171" s="110">
        <f t="shared" si="90"/>
        <v>0.38199181022620948</v>
      </c>
      <c r="AB171" s="110">
        <f t="shared" si="90"/>
        <v>0.40165984185517456</v>
      </c>
      <c r="AC171" s="110">
        <f t="shared" si="90"/>
        <v>0.42132787348413964</v>
      </c>
      <c r="AD171" s="110">
        <f t="shared" si="90"/>
        <v>0.44099590511310471</v>
      </c>
      <c r="AE171" s="110">
        <f t="shared" si="90"/>
        <v>0.46066393674206985</v>
      </c>
      <c r="AF171" s="110">
        <f t="shared" si="90"/>
        <v>0.48033196837103487</v>
      </c>
      <c r="AG171" s="214">
        <v>0.5</v>
      </c>
      <c r="AJ171" s="211" t="s">
        <v>1342</v>
      </c>
    </row>
    <row r="172" spans="1:63" outlineLevel="1">
      <c r="A172" t="s">
        <v>1453</v>
      </c>
      <c r="B172" s="54" t="s">
        <v>462</v>
      </c>
      <c r="C172" s="214">
        <v>0.05</v>
      </c>
      <c r="D172" s="110">
        <f t="shared" ref="D172:AF172" si="91">C172-($C$172-$AG$172)/($AG$1-$C$1)</f>
        <v>5.8333333333333334E-2</v>
      </c>
      <c r="E172" s="110">
        <f t="shared" si="91"/>
        <v>6.6666666666666666E-2</v>
      </c>
      <c r="F172" s="110">
        <f t="shared" si="91"/>
        <v>7.4999999999999997E-2</v>
      </c>
      <c r="G172" s="110">
        <f t="shared" si="91"/>
        <v>8.3333333333333329E-2</v>
      </c>
      <c r="H172" s="110">
        <f t="shared" si="91"/>
        <v>9.166666666666666E-2</v>
      </c>
      <c r="I172" s="110">
        <f t="shared" si="91"/>
        <v>9.9999999999999992E-2</v>
      </c>
      <c r="J172" s="110">
        <f t="shared" si="91"/>
        <v>0.10833333333333332</v>
      </c>
      <c r="K172" s="110">
        <f t="shared" si="91"/>
        <v>0.11666666666666665</v>
      </c>
      <c r="L172" s="110">
        <f t="shared" si="91"/>
        <v>0.12499999999999999</v>
      </c>
      <c r="M172" s="110">
        <f t="shared" si="91"/>
        <v>0.13333333333333333</v>
      </c>
      <c r="N172" s="110">
        <f t="shared" si="91"/>
        <v>0.14166666666666666</v>
      </c>
      <c r="O172" s="110">
        <f t="shared" si="91"/>
        <v>0.15</v>
      </c>
      <c r="P172" s="110">
        <f t="shared" si="91"/>
        <v>0.15833333333333333</v>
      </c>
      <c r="Q172" s="110">
        <f t="shared" si="91"/>
        <v>0.16666666666666666</v>
      </c>
      <c r="R172" s="110">
        <f t="shared" si="91"/>
        <v>0.17499999999999999</v>
      </c>
      <c r="S172" s="110">
        <f t="shared" si="91"/>
        <v>0.18333333333333332</v>
      </c>
      <c r="T172" s="110">
        <f t="shared" si="91"/>
        <v>0.19166666666666665</v>
      </c>
      <c r="U172" s="110">
        <f t="shared" si="91"/>
        <v>0.19999999999999998</v>
      </c>
      <c r="V172" s="110">
        <f t="shared" si="91"/>
        <v>0.20833333333333331</v>
      </c>
      <c r="W172" s="110">
        <f t="shared" si="91"/>
        <v>0.21666666666666665</v>
      </c>
      <c r="X172" s="110">
        <f t="shared" si="91"/>
        <v>0.22499999999999998</v>
      </c>
      <c r="Y172" s="110">
        <f t="shared" si="91"/>
        <v>0.23333333333333331</v>
      </c>
      <c r="Z172" s="110">
        <f t="shared" si="91"/>
        <v>0.24166666666666664</v>
      </c>
      <c r="AA172" s="110">
        <f t="shared" si="91"/>
        <v>0.24999999999999997</v>
      </c>
      <c r="AB172" s="110">
        <f t="shared" si="91"/>
        <v>0.2583333333333333</v>
      </c>
      <c r="AC172" s="110">
        <f t="shared" si="91"/>
        <v>0.26666666666666666</v>
      </c>
      <c r="AD172" s="110">
        <f t="shared" si="91"/>
        <v>0.27500000000000002</v>
      </c>
      <c r="AE172" s="110">
        <f t="shared" si="91"/>
        <v>0.28333333333333338</v>
      </c>
      <c r="AF172" s="110">
        <f t="shared" si="91"/>
        <v>0.29166666666666674</v>
      </c>
      <c r="AG172" s="214">
        <v>0.3</v>
      </c>
      <c r="AI172" s="135"/>
      <c r="AJ172" s="211" t="s">
        <v>1454</v>
      </c>
      <c r="AM172" s="123"/>
      <c r="AN172" s="123"/>
    </row>
    <row r="173" spans="1:63" ht="14.5" customHeight="1" outlineLevel="1">
      <c r="A173" t="s">
        <v>1455</v>
      </c>
      <c r="B173" s="176" t="s">
        <v>462</v>
      </c>
      <c r="C173" s="110">
        <f>1-C172</f>
        <v>0.95</v>
      </c>
      <c r="D173" s="110">
        <f t="shared" ref="D173:AG173" si="92">1-D172</f>
        <v>0.94166666666666665</v>
      </c>
      <c r="E173" s="110">
        <f t="shared" si="92"/>
        <v>0.93333333333333335</v>
      </c>
      <c r="F173" s="110">
        <f t="shared" si="92"/>
        <v>0.92500000000000004</v>
      </c>
      <c r="G173" s="110">
        <f t="shared" si="92"/>
        <v>0.91666666666666663</v>
      </c>
      <c r="H173" s="110">
        <f t="shared" si="92"/>
        <v>0.90833333333333333</v>
      </c>
      <c r="I173" s="110">
        <f t="shared" si="92"/>
        <v>0.9</v>
      </c>
      <c r="J173" s="110">
        <f t="shared" si="92"/>
        <v>0.89166666666666672</v>
      </c>
      <c r="K173" s="110">
        <f t="shared" si="92"/>
        <v>0.8833333333333333</v>
      </c>
      <c r="L173" s="110">
        <f t="shared" si="92"/>
        <v>0.875</v>
      </c>
      <c r="M173" s="110">
        <f t="shared" si="92"/>
        <v>0.8666666666666667</v>
      </c>
      <c r="N173" s="110">
        <f t="shared" si="92"/>
        <v>0.85833333333333339</v>
      </c>
      <c r="O173" s="110">
        <f t="shared" si="92"/>
        <v>0.85</v>
      </c>
      <c r="P173" s="110">
        <f t="shared" si="92"/>
        <v>0.84166666666666667</v>
      </c>
      <c r="Q173" s="110">
        <f t="shared" si="92"/>
        <v>0.83333333333333337</v>
      </c>
      <c r="R173" s="110">
        <f t="shared" si="92"/>
        <v>0.82499999999999996</v>
      </c>
      <c r="S173" s="110">
        <f t="shared" si="92"/>
        <v>0.81666666666666665</v>
      </c>
      <c r="T173" s="110">
        <f t="shared" si="92"/>
        <v>0.80833333333333335</v>
      </c>
      <c r="U173" s="110">
        <f t="shared" si="92"/>
        <v>0.8</v>
      </c>
      <c r="V173" s="110">
        <f t="shared" si="92"/>
        <v>0.79166666666666674</v>
      </c>
      <c r="W173" s="110">
        <f t="shared" si="92"/>
        <v>0.78333333333333333</v>
      </c>
      <c r="X173" s="110">
        <f t="shared" si="92"/>
        <v>0.77500000000000002</v>
      </c>
      <c r="Y173" s="110">
        <f t="shared" si="92"/>
        <v>0.76666666666666672</v>
      </c>
      <c r="Z173" s="110">
        <f t="shared" si="92"/>
        <v>0.7583333333333333</v>
      </c>
      <c r="AA173" s="110">
        <f t="shared" si="92"/>
        <v>0.75</v>
      </c>
      <c r="AB173" s="110">
        <f t="shared" si="92"/>
        <v>0.7416666666666667</v>
      </c>
      <c r="AC173" s="110">
        <f t="shared" si="92"/>
        <v>0.73333333333333339</v>
      </c>
      <c r="AD173" s="110">
        <f t="shared" si="92"/>
        <v>0.72499999999999998</v>
      </c>
      <c r="AE173" s="110">
        <f t="shared" si="92"/>
        <v>0.71666666666666656</v>
      </c>
      <c r="AF173" s="110">
        <f t="shared" si="92"/>
        <v>0.70833333333333326</v>
      </c>
      <c r="AG173" s="110">
        <f t="shared" si="92"/>
        <v>0.7</v>
      </c>
      <c r="AI173" s="135" t="s">
        <v>1456</v>
      </c>
      <c r="AJ173" s="211"/>
    </row>
    <row r="174" spans="1:63" outlineLevel="1">
      <c r="A174" t="s">
        <v>1343</v>
      </c>
      <c r="B174" s="54" t="s">
        <v>462</v>
      </c>
      <c r="C174" s="110">
        <f>C171*C172</f>
        <v>6.5000000000000006E-3</v>
      </c>
      <c r="D174" s="110">
        <f t="shared" ref="D174:AG174" si="93">D171*D172</f>
        <v>7.9086652478886511E-3</v>
      </c>
      <c r="E174" s="110">
        <f t="shared" si="93"/>
        <v>9.4102824713645332E-3</v>
      </c>
      <c r="F174" s="110">
        <f t="shared" si="93"/>
        <v>1.1004851670427652E-2</v>
      </c>
      <c r="G174" s="110">
        <f t="shared" si="93"/>
        <v>1.2692372845078003E-2</v>
      </c>
      <c r="H174" s="110">
        <f t="shared" si="93"/>
        <v>1.4472845995315585E-2</v>
      </c>
      <c r="I174" s="110">
        <f t="shared" si="93"/>
        <v>1.6346271121140402E-2</v>
      </c>
      <c r="J174" s="110">
        <f t="shared" si="93"/>
        <v>1.8312648222552456E-2</v>
      </c>
      <c r="K174" s="110">
        <f t="shared" si="93"/>
        <v>2.037197729955174E-2</v>
      </c>
      <c r="L174" s="110">
        <f t="shared" si="93"/>
        <v>2.2524258352138254E-2</v>
      </c>
      <c r="M174" s="110">
        <f t="shared" si="93"/>
        <v>2.4769491380312009E-2</v>
      </c>
      <c r="N174" s="110">
        <f t="shared" si="93"/>
        <v>2.7982854984986639E-2</v>
      </c>
      <c r="O174" s="110">
        <f t="shared" si="93"/>
        <v>3.1392132753591283E-2</v>
      </c>
      <c r="P174" s="110">
        <f t="shared" si="93"/>
        <v>3.4997324686125937E-2</v>
      </c>
      <c r="Q174" s="110">
        <f t="shared" si="93"/>
        <v>3.8798430782590612E-2</v>
      </c>
      <c r="R174" s="110">
        <f t="shared" si="93"/>
        <v>4.2795451042985301E-2</v>
      </c>
      <c r="S174" s="110">
        <f t="shared" si="93"/>
        <v>4.6988385467309997E-2</v>
      </c>
      <c r="T174" s="110">
        <f t="shared" si="93"/>
        <v>5.1377234055564727E-2</v>
      </c>
      <c r="U174" s="110">
        <f t="shared" si="93"/>
        <v>5.5961996807749458E-2</v>
      </c>
      <c r="V174" s="110">
        <f t="shared" si="93"/>
        <v>6.0742673723864209E-2</v>
      </c>
      <c r="W174" s="110">
        <f t="shared" si="93"/>
        <v>6.5719264803908967E-2</v>
      </c>
      <c r="X174" s="110">
        <f t="shared" si="93"/>
        <v>7.2672235951345684E-2</v>
      </c>
      <c r="Y174" s="110">
        <f t="shared" si="93"/>
        <v>7.9953007625931827E-2</v>
      </c>
      <c r="Z174" s="110">
        <f t="shared" si="93"/>
        <v>8.7561579827667393E-2</v>
      </c>
      <c r="AA174" s="110">
        <f t="shared" si="93"/>
        <v>9.5497952556552357E-2</v>
      </c>
      <c r="AB174" s="110">
        <f t="shared" si="93"/>
        <v>0.10376212581258674</v>
      </c>
      <c r="AC174" s="110">
        <f t="shared" si="93"/>
        <v>0.11235409959577057</v>
      </c>
      <c r="AD174" s="110">
        <f t="shared" si="93"/>
        <v>0.12127387390610381</v>
      </c>
      <c r="AE174" s="110">
        <f t="shared" si="93"/>
        <v>0.13052144874358648</v>
      </c>
      <c r="AF174" s="110">
        <f t="shared" si="93"/>
        <v>0.14009682410821853</v>
      </c>
      <c r="AG174" s="110">
        <f t="shared" si="93"/>
        <v>0.15</v>
      </c>
      <c r="AI174" s="134"/>
      <c r="AJ174" s="211"/>
      <c r="BD174" s="203"/>
      <c r="BE174" s="203"/>
    </row>
    <row r="175" spans="1:63" outlineLevel="1">
      <c r="A175" t="s">
        <v>1344</v>
      </c>
      <c r="B175" s="54" t="s">
        <v>462</v>
      </c>
      <c r="C175" s="110">
        <f>C171*C173</f>
        <v>0.1235</v>
      </c>
      <c r="D175" s="110">
        <f t="shared" ref="D175:AG175" si="94">D171*D173</f>
        <v>0.12766845328734536</v>
      </c>
      <c r="E175" s="110">
        <f t="shared" si="94"/>
        <v>0.13174395459910349</v>
      </c>
      <c r="F175" s="110">
        <f t="shared" si="94"/>
        <v>0.13572650393527438</v>
      </c>
      <c r="G175" s="110">
        <f t="shared" si="94"/>
        <v>0.13961610129585802</v>
      </c>
      <c r="H175" s="110">
        <f t="shared" si="94"/>
        <v>0.14341274668085444</v>
      </c>
      <c r="I175" s="110">
        <f t="shared" si="94"/>
        <v>0.14711644009026364</v>
      </c>
      <c r="J175" s="110">
        <f t="shared" si="94"/>
        <v>0.15072718152408562</v>
      </c>
      <c r="K175" s="110">
        <f t="shared" si="94"/>
        <v>0.15424497098232032</v>
      </c>
      <c r="L175" s="110">
        <f t="shared" si="94"/>
        <v>0.15766980846496781</v>
      </c>
      <c r="M175" s="110">
        <f t="shared" si="94"/>
        <v>0.16100169397202807</v>
      </c>
      <c r="N175" s="110">
        <f t="shared" si="94"/>
        <v>0.16954318020315437</v>
      </c>
      <c r="O175" s="110">
        <f t="shared" si="94"/>
        <v>0.17788875227035059</v>
      </c>
      <c r="P175" s="110">
        <f t="shared" si="94"/>
        <v>0.18603841017361686</v>
      </c>
      <c r="Q175" s="110">
        <f t="shared" si="94"/>
        <v>0.1939921539129531</v>
      </c>
      <c r="R175" s="110">
        <f t="shared" si="94"/>
        <v>0.20174998348835926</v>
      </c>
      <c r="S175" s="110">
        <f t="shared" si="94"/>
        <v>0.20931189889983545</v>
      </c>
      <c r="T175" s="110">
        <f t="shared" si="94"/>
        <v>0.2166779001473817</v>
      </c>
      <c r="U175" s="110">
        <f t="shared" si="94"/>
        <v>0.22384798723099786</v>
      </c>
      <c r="V175" s="110">
        <f t="shared" si="94"/>
        <v>0.23082216015068405</v>
      </c>
      <c r="W175" s="110">
        <f t="shared" si="94"/>
        <v>0.23760041890644015</v>
      </c>
      <c r="X175" s="110">
        <f t="shared" si="94"/>
        <v>0.2503154793879685</v>
      </c>
      <c r="Y175" s="110">
        <f t="shared" si="94"/>
        <v>0.26270273934234745</v>
      </c>
      <c r="Z175" s="110">
        <f t="shared" si="94"/>
        <v>0.27476219876957697</v>
      </c>
      <c r="AA175" s="110">
        <f t="shared" si="94"/>
        <v>0.28649385766965713</v>
      </c>
      <c r="AB175" s="110">
        <f t="shared" si="94"/>
        <v>0.2978977160425878</v>
      </c>
      <c r="AC175" s="110">
        <f t="shared" si="94"/>
        <v>0.30897377388836911</v>
      </c>
      <c r="AD175" s="110">
        <f t="shared" si="94"/>
        <v>0.31972203120700093</v>
      </c>
      <c r="AE175" s="110">
        <f t="shared" si="94"/>
        <v>0.33014248799848334</v>
      </c>
      <c r="AF175" s="110">
        <f t="shared" si="94"/>
        <v>0.34023514426281631</v>
      </c>
      <c r="AG175" s="110">
        <f t="shared" si="94"/>
        <v>0.35</v>
      </c>
      <c r="AI175" s="134"/>
      <c r="AJ175" s="211"/>
      <c r="BD175" s="203"/>
      <c r="BE175" s="203"/>
    </row>
    <row r="176" spans="1:63" outlineLevel="1">
      <c r="C176" s="110"/>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J176" s="211"/>
    </row>
    <row r="177" spans="1:63" outlineLevel="1">
      <c r="A177" t="s">
        <v>1441</v>
      </c>
      <c r="B177" s="54" t="s">
        <v>462</v>
      </c>
      <c r="C177" s="106">
        <v>0.5</v>
      </c>
      <c r="D177" s="110">
        <f>C177</f>
        <v>0.5</v>
      </c>
      <c r="E177" s="110">
        <f t="shared" ref="E177:AG177" si="95">D177</f>
        <v>0.5</v>
      </c>
      <c r="F177" s="110">
        <f t="shared" si="95"/>
        <v>0.5</v>
      </c>
      <c r="G177" s="110">
        <f t="shared" si="95"/>
        <v>0.5</v>
      </c>
      <c r="H177" s="110">
        <f t="shared" si="95"/>
        <v>0.5</v>
      </c>
      <c r="I177" s="110">
        <f t="shared" si="95"/>
        <v>0.5</v>
      </c>
      <c r="J177" s="110">
        <f t="shared" si="95"/>
        <v>0.5</v>
      </c>
      <c r="K177" s="110">
        <f t="shared" si="95"/>
        <v>0.5</v>
      </c>
      <c r="L177" s="110">
        <f t="shared" si="95"/>
        <v>0.5</v>
      </c>
      <c r="M177" s="110">
        <f t="shared" si="95"/>
        <v>0.5</v>
      </c>
      <c r="N177" s="110">
        <f t="shared" si="95"/>
        <v>0.5</v>
      </c>
      <c r="O177" s="110">
        <f t="shared" si="95"/>
        <v>0.5</v>
      </c>
      <c r="P177" s="110">
        <f t="shared" si="95"/>
        <v>0.5</v>
      </c>
      <c r="Q177" s="110">
        <f t="shared" si="95"/>
        <v>0.5</v>
      </c>
      <c r="R177" s="110">
        <f t="shared" si="95"/>
        <v>0.5</v>
      </c>
      <c r="S177" s="110">
        <f t="shared" si="95"/>
        <v>0.5</v>
      </c>
      <c r="T177" s="110">
        <f t="shared" si="95"/>
        <v>0.5</v>
      </c>
      <c r="U177" s="110">
        <f t="shared" si="95"/>
        <v>0.5</v>
      </c>
      <c r="V177" s="110">
        <f t="shared" si="95"/>
        <v>0.5</v>
      </c>
      <c r="W177" s="110">
        <f t="shared" si="95"/>
        <v>0.5</v>
      </c>
      <c r="X177" s="110">
        <f t="shared" si="95"/>
        <v>0.5</v>
      </c>
      <c r="Y177" s="110">
        <f t="shared" si="95"/>
        <v>0.5</v>
      </c>
      <c r="Z177" s="110">
        <f t="shared" si="95"/>
        <v>0.5</v>
      </c>
      <c r="AA177" s="110">
        <f t="shared" si="95"/>
        <v>0.5</v>
      </c>
      <c r="AB177" s="110">
        <f t="shared" si="95"/>
        <v>0.5</v>
      </c>
      <c r="AC177" s="110">
        <f t="shared" si="95"/>
        <v>0.5</v>
      </c>
      <c r="AD177" s="110">
        <f t="shared" si="95"/>
        <v>0.5</v>
      </c>
      <c r="AE177" s="110">
        <f t="shared" si="95"/>
        <v>0.5</v>
      </c>
      <c r="AF177" s="110">
        <f t="shared" si="95"/>
        <v>0.5</v>
      </c>
      <c r="AG177" s="110">
        <f t="shared" si="95"/>
        <v>0.5</v>
      </c>
      <c r="AI177" s="54"/>
      <c r="AJ177" s="211" t="s">
        <v>1457</v>
      </c>
    </row>
    <row r="178" spans="1:63" outlineLevel="1">
      <c r="A178" t="s">
        <v>1445</v>
      </c>
      <c r="B178" s="54" t="s">
        <v>462</v>
      </c>
      <c r="C178" s="121">
        <f>1-C177</f>
        <v>0.5</v>
      </c>
      <c r="D178" s="110">
        <f t="shared" ref="D178:AG178" si="96">C178</f>
        <v>0.5</v>
      </c>
      <c r="E178" s="110">
        <f t="shared" si="96"/>
        <v>0.5</v>
      </c>
      <c r="F178" s="110">
        <f t="shared" si="96"/>
        <v>0.5</v>
      </c>
      <c r="G178" s="110">
        <f t="shared" si="96"/>
        <v>0.5</v>
      </c>
      <c r="H178" s="110">
        <f t="shared" si="96"/>
        <v>0.5</v>
      </c>
      <c r="I178" s="110">
        <f t="shared" si="96"/>
        <v>0.5</v>
      </c>
      <c r="J178" s="110">
        <f t="shared" si="96"/>
        <v>0.5</v>
      </c>
      <c r="K178" s="110">
        <f t="shared" si="96"/>
        <v>0.5</v>
      </c>
      <c r="L178" s="110">
        <f t="shared" si="96"/>
        <v>0.5</v>
      </c>
      <c r="M178" s="110">
        <f t="shared" si="96"/>
        <v>0.5</v>
      </c>
      <c r="N178" s="110">
        <f t="shared" si="96"/>
        <v>0.5</v>
      </c>
      <c r="O178" s="110">
        <f t="shared" si="96"/>
        <v>0.5</v>
      </c>
      <c r="P178" s="110">
        <f t="shared" si="96"/>
        <v>0.5</v>
      </c>
      <c r="Q178" s="110">
        <f t="shared" si="96"/>
        <v>0.5</v>
      </c>
      <c r="R178" s="110">
        <f t="shared" si="96"/>
        <v>0.5</v>
      </c>
      <c r="S178" s="110">
        <f t="shared" si="96"/>
        <v>0.5</v>
      </c>
      <c r="T178" s="110">
        <f t="shared" si="96"/>
        <v>0.5</v>
      </c>
      <c r="U178" s="110">
        <f t="shared" si="96"/>
        <v>0.5</v>
      </c>
      <c r="V178" s="110">
        <f t="shared" si="96"/>
        <v>0.5</v>
      </c>
      <c r="W178" s="110">
        <f t="shared" si="96"/>
        <v>0.5</v>
      </c>
      <c r="X178" s="110">
        <f t="shared" si="96"/>
        <v>0.5</v>
      </c>
      <c r="Y178" s="110">
        <f t="shared" si="96"/>
        <v>0.5</v>
      </c>
      <c r="Z178" s="110">
        <f t="shared" si="96"/>
        <v>0.5</v>
      </c>
      <c r="AA178" s="110">
        <f t="shared" si="96"/>
        <v>0.5</v>
      </c>
      <c r="AB178" s="110">
        <f t="shared" si="96"/>
        <v>0.5</v>
      </c>
      <c r="AC178" s="110">
        <f t="shared" si="96"/>
        <v>0.5</v>
      </c>
      <c r="AD178" s="110">
        <f t="shared" si="96"/>
        <v>0.5</v>
      </c>
      <c r="AE178" s="110">
        <f t="shared" si="96"/>
        <v>0.5</v>
      </c>
      <c r="AF178" s="110">
        <f t="shared" si="96"/>
        <v>0.5</v>
      </c>
      <c r="AG178" s="110">
        <f t="shared" si="96"/>
        <v>0.5</v>
      </c>
      <c r="AJ178" s="223"/>
    </row>
    <row r="179" spans="1:63" outlineLevel="1">
      <c r="A179" t="s">
        <v>1268</v>
      </c>
      <c r="B179" s="54" t="s">
        <v>462</v>
      </c>
      <c r="C179" s="110">
        <f t="shared" ref="C179:AG179" si="97">SUM(C177:C178)</f>
        <v>1</v>
      </c>
      <c r="D179" s="110">
        <f t="shared" si="97"/>
        <v>1</v>
      </c>
      <c r="E179" s="110">
        <f t="shared" si="97"/>
        <v>1</v>
      </c>
      <c r="F179" s="110">
        <f t="shared" si="97"/>
        <v>1</v>
      </c>
      <c r="G179" s="110">
        <f t="shared" si="97"/>
        <v>1</v>
      </c>
      <c r="H179" s="110">
        <f t="shared" si="97"/>
        <v>1</v>
      </c>
      <c r="I179" s="110">
        <f t="shared" si="97"/>
        <v>1</v>
      </c>
      <c r="J179" s="110">
        <f t="shared" si="97"/>
        <v>1</v>
      </c>
      <c r="K179" s="110">
        <f t="shared" si="97"/>
        <v>1</v>
      </c>
      <c r="L179" s="110">
        <f t="shared" si="97"/>
        <v>1</v>
      </c>
      <c r="M179" s="110">
        <f t="shared" si="97"/>
        <v>1</v>
      </c>
      <c r="N179" s="110">
        <f t="shared" si="97"/>
        <v>1</v>
      </c>
      <c r="O179" s="110">
        <f t="shared" si="97"/>
        <v>1</v>
      </c>
      <c r="P179" s="110">
        <f t="shared" si="97"/>
        <v>1</v>
      </c>
      <c r="Q179" s="110">
        <f t="shared" si="97"/>
        <v>1</v>
      </c>
      <c r="R179" s="110">
        <f t="shared" si="97"/>
        <v>1</v>
      </c>
      <c r="S179" s="110">
        <f t="shared" si="97"/>
        <v>1</v>
      </c>
      <c r="T179" s="110">
        <f t="shared" si="97"/>
        <v>1</v>
      </c>
      <c r="U179" s="110">
        <f t="shared" si="97"/>
        <v>1</v>
      </c>
      <c r="V179" s="110">
        <f t="shared" si="97"/>
        <v>1</v>
      </c>
      <c r="W179" s="110">
        <f t="shared" si="97"/>
        <v>1</v>
      </c>
      <c r="X179" s="110">
        <f t="shared" si="97"/>
        <v>1</v>
      </c>
      <c r="Y179" s="110">
        <f t="shared" si="97"/>
        <v>1</v>
      </c>
      <c r="Z179" s="110">
        <f t="shared" si="97"/>
        <v>1</v>
      </c>
      <c r="AA179" s="110">
        <f t="shared" si="97"/>
        <v>1</v>
      </c>
      <c r="AB179" s="110">
        <f t="shared" si="97"/>
        <v>1</v>
      </c>
      <c r="AC179" s="110">
        <f t="shared" si="97"/>
        <v>1</v>
      </c>
      <c r="AD179" s="110">
        <f t="shared" si="97"/>
        <v>1</v>
      </c>
      <c r="AE179" s="110">
        <f t="shared" si="97"/>
        <v>1</v>
      </c>
      <c r="AF179" s="110">
        <f t="shared" si="97"/>
        <v>1</v>
      </c>
      <c r="AG179" s="110">
        <f t="shared" si="97"/>
        <v>1</v>
      </c>
      <c r="AH179" s="131"/>
      <c r="AI179" s="54"/>
      <c r="AJ179" s="223"/>
    </row>
    <row r="180" spans="1:63" outlineLevel="1">
      <c r="C180" s="214"/>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31"/>
      <c r="AI180" s="131"/>
      <c r="AJ180" s="223"/>
    </row>
    <row r="181" spans="1:63" outlineLevel="1">
      <c r="A181" t="s">
        <v>1345</v>
      </c>
      <c r="B181" s="54" t="s">
        <v>462</v>
      </c>
      <c r="C181" s="110">
        <f>C177*C175</f>
        <v>6.1749999999999999E-2</v>
      </c>
      <c r="D181" s="110">
        <f t="shared" ref="D181:AG181" si="98">D177*D175</f>
        <v>6.3834226643672679E-2</v>
      </c>
      <c r="E181" s="110">
        <f t="shared" si="98"/>
        <v>6.5871977299551743E-2</v>
      </c>
      <c r="F181" s="110">
        <f t="shared" si="98"/>
        <v>6.7863251967637192E-2</v>
      </c>
      <c r="G181" s="110">
        <f t="shared" si="98"/>
        <v>6.9808050647929012E-2</v>
      </c>
      <c r="H181" s="110">
        <f t="shared" si="98"/>
        <v>7.1706373340427218E-2</v>
      </c>
      <c r="I181" s="110">
        <f t="shared" si="98"/>
        <v>7.3558220045131822E-2</v>
      </c>
      <c r="J181" s="110">
        <f t="shared" si="98"/>
        <v>7.5363590762042812E-2</v>
      </c>
      <c r="K181" s="110">
        <f t="shared" si="98"/>
        <v>7.7122485491160159E-2</v>
      </c>
      <c r="L181" s="110">
        <f t="shared" si="98"/>
        <v>7.8834904232483904E-2</v>
      </c>
      <c r="M181" s="110">
        <f t="shared" si="98"/>
        <v>8.0500846986014035E-2</v>
      </c>
      <c r="N181" s="110">
        <f t="shared" si="98"/>
        <v>8.4771590101577185E-2</v>
      </c>
      <c r="O181" s="110">
        <f t="shared" si="98"/>
        <v>8.8944376135175293E-2</v>
      </c>
      <c r="P181" s="110">
        <f t="shared" si="98"/>
        <v>9.3019205086808429E-2</v>
      </c>
      <c r="Q181" s="110">
        <f t="shared" si="98"/>
        <v>9.6996076956476551E-2</v>
      </c>
      <c r="R181" s="110">
        <f t="shared" si="98"/>
        <v>0.10087499174417963</v>
      </c>
      <c r="S181" s="110">
        <f t="shared" si="98"/>
        <v>0.10465594944991773</v>
      </c>
      <c r="T181" s="110">
        <f t="shared" si="98"/>
        <v>0.10833895007369085</v>
      </c>
      <c r="U181" s="110">
        <f t="shared" si="98"/>
        <v>0.11192399361549893</v>
      </c>
      <c r="V181" s="110">
        <f t="shared" si="98"/>
        <v>0.11541108007534202</v>
      </c>
      <c r="W181" s="110">
        <f t="shared" si="98"/>
        <v>0.11880020945322008</v>
      </c>
      <c r="X181" s="110">
        <f t="shared" si="98"/>
        <v>0.12515773969398425</v>
      </c>
      <c r="Y181" s="110">
        <f t="shared" si="98"/>
        <v>0.13135136967117372</v>
      </c>
      <c r="Z181" s="110">
        <f t="shared" si="98"/>
        <v>0.13738109938478849</v>
      </c>
      <c r="AA181" s="110">
        <f t="shared" si="98"/>
        <v>0.14324692883482856</v>
      </c>
      <c r="AB181" s="110">
        <f t="shared" si="98"/>
        <v>0.1489488580212939</v>
      </c>
      <c r="AC181" s="110">
        <f t="shared" si="98"/>
        <v>0.15448688694418455</v>
      </c>
      <c r="AD181" s="110">
        <f t="shared" si="98"/>
        <v>0.15986101560350047</v>
      </c>
      <c r="AE181" s="110">
        <f t="shared" si="98"/>
        <v>0.16507124399924167</v>
      </c>
      <c r="AF181" s="110">
        <f t="shared" si="98"/>
        <v>0.17011757213140816</v>
      </c>
      <c r="AG181" s="110">
        <f t="shared" si="98"/>
        <v>0.17499999999999999</v>
      </c>
      <c r="AH181" s="131"/>
      <c r="AI181" s="131"/>
      <c r="AJ181" s="211"/>
    </row>
    <row r="182" spans="1:63" outlineLevel="1">
      <c r="A182" t="s">
        <v>1346</v>
      </c>
      <c r="B182" s="54" t="s">
        <v>462</v>
      </c>
      <c r="C182" s="110">
        <f>C175*C178</f>
        <v>6.1749999999999999E-2</v>
      </c>
      <c r="D182" s="110">
        <f t="shared" ref="D182:AG182" si="99">D175*D178</f>
        <v>6.3834226643672679E-2</v>
      </c>
      <c r="E182" s="110">
        <f t="shared" si="99"/>
        <v>6.5871977299551743E-2</v>
      </c>
      <c r="F182" s="110">
        <f t="shared" si="99"/>
        <v>6.7863251967637192E-2</v>
      </c>
      <c r="G182" s="110">
        <f t="shared" si="99"/>
        <v>6.9808050647929012E-2</v>
      </c>
      <c r="H182" s="110">
        <f t="shared" si="99"/>
        <v>7.1706373340427218E-2</v>
      </c>
      <c r="I182" s="110">
        <f t="shared" si="99"/>
        <v>7.3558220045131822E-2</v>
      </c>
      <c r="J182" s="110">
        <f t="shared" si="99"/>
        <v>7.5363590762042812E-2</v>
      </c>
      <c r="K182" s="110">
        <f t="shared" si="99"/>
        <v>7.7122485491160159E-2</v>
      </c>
      <c r="L182" s="110">
        <f t="shared" si="99"/>
        <v>7.8834904232483904E-2</v>
      </c>
      <c r="M182" s="110">
        <f t="shared" si="99"/>
        <v>8.0500846986014035E-2</v>
      </c>
      <c r="N182" s="110">
        <f t="shared" si="99"/>
        <v>8.4771590101577185E-2</v>
      </c>
      <c r="O182" s="110">
        <f t="shared" si="99"/>
        <v>8.8944376135175293E-2</v>
      </c>
      <c r="P182" s="110">
        <f t="shared" si="99"/>
        <v>9.3019205086808429E-2</v>
      </c>
      <c r="Q182" s="110">
        <f t="shared" si="99"/>
        <v>9.6996076956476551E-2</v>
      </c>
      <c r="R182" s="110">
        <f t="shared" si="99"/>
        <v>0.10087499174417963</v>
      </c>
      <c r="S182" s="110">
        <f t="shared" si="99"/>
        <v>0.10465594944991773</v>
      </c>
      <c r="T182" s="110">
        <f t="shared" si="99"/>
        <v>0.10833895007369085</v>
      </c>
      <c r="U182" s="110">
        <f t="shared" si="99"/>
        <v>0.11192399361549893</v>
      </c>
      <c r="V182" s="110">
        <f t="shared" si="99"/>
        <v>0.11541108007534202</v>
      </c>
      <c r="W182" s="110">
        <f t="shared" si="99"/>
        <v>0.11880020945322008</v>
      </c>
      <c r="X182" s="110">
        <f t="shared" si="99"/>
        <v>0.12515773969398425</v>
      </c>
      <c r="Y182" s="110">
        <f t="shared" si="99"/>
        <v>0.13135136967117372</v>
      </c>
      <c r="Z182" s="110">
        <f t="shared" si="99"/>
        <v>0.13738109938478849</v>
      </c>
      <c r="AA182" s="110">
        <f t="shared" si="99"/>
        <v>0.14324692883482856</v>
      </c>
      <c r="AB182" s="110">
        <f t="shared" si="99"/>
        <v>0.1489488580212939</v>
      </c>
      <c r="AC182" s="110">
        <f t="shared" si="99"/>
        <v>0.15448688694418455</v>
      </c>
      <c r="AD182" s="110">
        <f t="shared" si="99"/>
        <v>0.15986101560350047</v>
      </c>
      <c r="AE182" s="110">
        <f t="shared" si="99"/>
        <v>0.16507124399924167</v>
      </c>
      <c r="AF182" s="110">
        <f t="shared" si="99"/>
        <v>0.17011757213140816</v>
      </c>
      <c r="AG182" s="110">
        <f t="shared" si="99"/>
        <v>0.17499999999999999</v>
      </c>
      <c r="AJ182" s="211"/>
    </row>
    <row r="183" spans="1:63" outlineLevel="1">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211"/>
    </row>
    <row r="184" spans="1:63" outlineLevel="1">
      <c r="A184" t="s">
        <v>1553</v>
      </c>
      <c r="C184" s="230">
        <f>'Overall recycling rates'!E87</f>
        <v>0.99999999999999978</v>
      </c>
      <c r="D184" s="230">
        <f>C184-($C184-$AG184)/($AG$1-$C$1)</f>
        <v>0.99999999999999978</v>
      </c>
      <c r="E184" s="230">
        <f t="shared" ref="E184:AF184" si="100">D184-($C184-$AG184)/($AG$1-$C$1)</f>
        <v>0.99999999999999978</v>
      </c>
      <c r="F184" s="230">
        <f t="shared" si="100"/>
        <v>0.99999999999999978</v>
      </c>
      <c r="G184" s="230">
        <f t="shared" si="100"/>
        <v>0.99999999999999978</v>
      </c>
      <c r="H184" s="230">
        <f t="shared" si="100"/>
        <v>0.99999999999999978</v>
      </c>
      <c r="I184" s="230">
        <f t="shared" si="100"/>
        <v>0.99999999999999978</v>
      </c>
      <c r="J184" s="230">
        <f t="shared" si="100"/>
        <v>0.99999999999999978</v>
      </c>
      <c r="K184" s="230">
        <f t="shared" si="100"/>
        <v>0.99999999999999978</v>
      </c>
      <c r="L184" s="230">
        <f t="shared" si="100"/>
        <v>0.99999999999999978</v>
      </c>
      <c r="M184" s="230">
        <f t="shared" si="100"/>
        <v>0.99999999999999978</v>
      </c>
      <c r="N184" s="230">
        <f t="shared" si="100"/>
        <v>0.99999999999999978</v>
      </c>
      <c r="O184" s="230">
        <f t="shared" si="100"/>
        <v>0.99999999999999978</v>
      </c>
      <c r="P184" s="230">
        <f t="shared" si="100"/>
        <v>0.99999999999999978</v>
      </c>
      <c r="Q184" s="230">
        <f t="shared" si="100"/>
        <v>0.99999999999999978</v>
      </c>
      <c r="R184" s="230">
        <f t="shared" si="100"/>
        <v>0.99999999999999978</v>
      </c>
      <c r="S184" s="230">
        <f t="shared" si="100"/>
        <v>0.99999999999999978</v>
      </c>
      <c r="T184" s="230">
        <f t="shared" si="100"/>
        <v>0.99999999999999978</v>
      </c>
      <c r="U184" s="230">
        <f t="shared" si="100"/>
        <v>0.99999999999999978</v>
      </c>
      <c r="V184" s="230">
        <f t="shared" si="100"/>
        <v>0.99999999999999978</v>
      </c>
      <c r="W184" s="230">
        <f t="shared" si="100"/>
        <v>0.99999999999999978</v>
      </c>
      <c r="X184" s="230">
        <f t="shared" si="100"/>
        <v>0.99999999999999978</v>
      </c>
      <c r="Y184" s="230">
        <f t="shared" si="100"/>
        <v>0.99999999999999978</v>
      </c>
      <c r="Z184" s="230">
        <f t="shared" si="100"/>
        <v>0.99999999999999978</v>
      </c>
      <c r="AA184" s="230">
        <f t="shared" si="100"/>
        <v>0.99999999999999978</v>
      </c>
      <c r="AB184" s="230">
        <f t="shared" si="100"/>
        <v>0.99999999999999978</v>
      </c>
      <c r="AC184" s="230">
        <f t="shared" si="100"/>
        <v>0.99999999999999978</v>
      </c>
      <c r="AD184" s="230">
        <f t="shared" si="100"/>
        <v>0.99999999999999978</v>
      </c>
      <c r="AE184" s="230">
        <f t="shared" si="100"/>
        <v>0.99999999999999978</v>
      </c>
      <c r="AF184" s="230">
        <f t="shared" si="100"/>
        <v>0.99999999999999978</v>
      </c>
      <c r="AG184" s="230">
        <f>'Overall recycling rates'!E96</f>
        <v>1</v>
      </c>
      <c r="AI184" s="133"/>
      <c r="AJ184" s="211" t="s">
        <v>1571</v>
      </c>
      <c r="AL184" s="108"/>
      <c r="AM184" s="207"/>
      <c r="AN184" s="207"/>
      <c r="AO184" s="207"/>
      <c r="BC184" s="1"/>
      <c r="BD184" s="207"/>
      <c r="BE184" s="207"/>
      <c r="BF184" s="207"/>
      <c r="BG184" s="207"/>
      <c r="BH184" s="207"/>
      <c r="BI184" s="207"/>
      <c r="BJ184" s="207"/>
      <c r="BK184" s="207"/>
    </row>
    <row r="185" spans="1:63" outlineLevel="1">
      <c r="A185" t="s">
        <v>1572</v>
      </c>
      <c r="B185" s="54" t="s">
        <v>462</v>
      </c>
      <c r="C185" s="110">
        <f t="shared" ref="C185:AG185" si="101">C174*C$184</f>
        <v>6.4999999999999988E-3</v>
      </c>
      <c r="D185" s="110">
        <f t="shared" si="101"/>
        <v>7.9086652478886493E-3</v>
      </c>
      <c r="E185" s="110">
        <f t="shared" si="101"/>
        <v>9.4102824713645315E-3</v>
      </c>
      <c r="F185" s="110">
        <f t="shared" si="101"/>
        <v>1.100485167042765E-2</v>
      </c>
      <c r="G185" s="110">
        <f t="shared" si="101"/>
        <v>1.2692372845077999E-2</v>
      </c>
      <c r="H185" s="110">
        <f t="shared" si="101"/>
        <v>1.4472845995315581E-2</v>
      </c>
      <c r="I185" s="110">
        <f t="shared" si="101"/>
        <v>1.6346271121140399E-2</v>
      </c>
      <c r="J185" s="110">
        <f t="shared" si="101"/>
        <v>1.8312648222552453E-2</v>
      </c>
      <c r="K185" s="110">
        <f t="shared" si="101"/>
        <v>2.0371977299551737E-2</v>
      </c>
      <c r="L185" s="110">
        <f t="shared" si="101"/>
        <v>2.2524258352138251E-2</v>
      </c>
      <c r="M185" s="110">
        <f t="shared" si="101"/>
        <v>2.4769491380312002E-2</v>
      </c>
      <c r="N185" s="110">
        <f t="shared" si="101"/>
        <v>2.7982854984986632E-2</v>
      </c>
      <c r="O185" s="110">
        <f t="shared" si="101"/>
        <v>3.1392132753591276E-2</v>
      </c>
      <c r="P185" s="110">
        <f t="shared" si="101"/>
        <v>3.499732468612593E-2</v>
      </c>
      <c r="Q185" s="110">
        <f t="shared" si="101"/>
        <v>3.8798430782590605E-2</v>
      </c>
      <c r="R185" s="110">
        <f t="shared" si="101"/>
        <v>4.2795451042985294E-2</v>
      </c>
      <c r="S185" s="110">
        <f t="shared" si="101"/>
        <v>4.6988385467309983E-2</v>
      </c>
      <c r="T185" s="110">
        <f t="shared" si="101"/>
        <v>5.1377234055564713E-2</v>
      </c>
      <c r="U185" s="110">
        <f t="shared" si="101"/>
        <v>5.5961996807749444E-2</v>
      </c>
      <c r="V185" s="110">
        <f t="shared" si="101"/>
        <v>6.0742673723864195E-2</v>
      </c>
      <c r="W185" s="110">
        <f t="shared" si="101"/>
        <v>6.5719264803908953E-2</v>
      </c>
      <c r="X185" s="110">
        <f t="shared" si="101"/>
        <v>7.2672235951345671E-2</v>
      </c>
      <c r="Y185" s="110">
        <f t="shared" si="101"/>
        <v>7.9953007625931813E-2</v>
      </c>
      <c r="Z185" s="110">
        <f t="shared" si="101"/>
        <v>8.756157982766738E-2</v>
      </c>
      <c r="AA185" s="110">
        <f t="shared" si="101"/>
        <v>9.5497952556552329E-2</v>
      </c>
      <c r="AB185" s="110">
        <f t="shared" si="101"/>
        <v>0.10376212581258672</v>
      </c>
      <c r="AC185" s="110">
        <f t="shared" si="101"/>
        <v>0.11235409959577054</v>
      </c>
      <c r="AD185" s="110">
        <f t="shared" si="101"/>
        <v>0.12127387390610378</v>
      </c>
      <c r="AE185" s="110">
        <f t="shared" si="101"/>
        <v>0.13052144874358645</v>
      </c>
      <c r="AF185" s="110">
        <f t="shared" si="101"/>
        <v>0.1400968241082185</v>
      </c>
      <c r="AG185" s="110">
        <f t="shared" si="101"/>
        <v>0.15</v>
      </c>
      <c r="AI185" s="133"/>
      <c r="AJ185"/>
      <c r="AL185" s="108"/>
      <c r="AM185" s="2"/>
      <c r="AN185" s="2"/>
      <c r="AO185" s="2"/>
      <c r="AV185" s="41"/>
    </row>
    <row r="186" spans="1:63" outlineLevel="1">
      <c r="A186" t="s">
        <v>1573</v>
      </c>
      <c r="B186" s="54" t="s">
        <v>462</v>
      </c>
      <c r="C186" s="110">
        <f t="shared" ref="C186:AG186" si="102">C175*C$184</f>
        <v>0.12349999999999997</v>
      </c>
      <c r="D186" s="110">
        <f t="shared" si="102"/>
        <v>0.12766845328734533</v>
      </c>
      <c r="E186" s="110">
        <f t="shared" si="102"/>
        <v>0.13174395459910346</v>
      </c>
      <c r="F186" s="110">
        <f t="shared" si="102"/>
        <v>0.13572650393527436</v>
      </c>
      <c r="G186" s="110">
        <f t="shared" si="102"/>
        <v>0.139616101295858</v>
      </c>
      <c r="H186" s="110">
        <f t="shared" si="102"/>
        <v>0.14341274668085441</v>
      </c>
      <c r="I186" s="110">
        <f t="shared" si="102"/>
        <v>0.14711644009026362</v>
      </c>
      <c r="J186" s="110">
        <f t="shared" si="102"/>
        <v>0.1507271815240856</v>
      </c>
      <c r="K186" s="110">
        <f t="shared" si="102"/>
        <v>0.15424497098232029</v>
      </c>
      <c r="L186" s="110">
        <f t="shared" si="102"/>
        <v>0.15766980846496778</v>
      </c>
      <c r="M186" s="110">
        <f t="shared" si="102"/>
        <v>0.16100169397202804</v>
      </c>
      <c r="N186" s="110">
        <f t="shared" si="102"/>
        <v>0.16954318020315434</v>
      </c>
      <c r="O186" s="110">
        <f t="shared" si="102"/>
        <v>0.17788875227035056</v>
      </c>
      <c r="P186" s="110">
        <f t="shared" si="102"/>
        <v>0.18603841017361683</v>
      </c>
      <c r="Q186" s="110">
        <f t="shared" si="102"/>
        <v>0.19399215391295305</v>
      </c>
      <c r="R186" s="110">
        <f t="shared" si="102"/>
        <v>0.20174998348835921</v>
      </c>
      <c r="S186" s="110">
        <f t="shared" si="102"/>
        <v>0.2093118988998354</v>
      </c>
      <c r="T186" s="110">
        <f t="shared" si="102"/>
        <v>0.21667790014738164</v>
      </c>
      <c r="U186" s="110">
        <f t="shared" si="102"/>
        <v>0.2238479872309978</v>
      </c>
      <c r="V186" s="110">
        <f t="shared" si="102"/>
        <v>0.23082216015068399</v>
      </c>
      <c r="W186" s="110">
        <f t="shared" si="102"/>
        <v>0.2376004189064401</v>
      </c>
      <c r="X186" s="110">
        <f t="shared" si="102"/>
        <v>0.25031547938796844</v>
      </c>
      <c r="Y186" s="110">
        <f t="shared" si="102"/>
        <v>0.26270273934234739</v>
      </c>
      <c r="Z186" s="110">
        <f t="shared" si="102"/>
        <v>0.27476219876957692</v>
      </c>
      <c r="AA186" s="110">
        <f t="shared" si="102"/>
        <v>0.28649385766965707</v>
      </c>
      <c r="AB186" s="110">
        <f t="shared" si="102"/>
        <v>0.29789771604258775</v>
      </c>
      <c r="AC186" s="110">
        <f t="shared" si="102"/>
        <v>0.30897377388836905</v>
      </c>
      <c r="AD186" s="110">
        <f t="shared" si="102"/>
        <v>0.31972203120700088</v>
      </c>
      <c r="AE186" s="110">
        <f t="shared" si="102"/>
        <v>0.33014248799848328</v>
      </c>
      <c r="AF186" s="110">
        <f t="shared" si="102"/>
        <v>0.34023514426281626</v>
      </c>
      <c r="AG186" s="110">
        <f t="shared" si="102"/>
        <v>0.35</v>
      </c>
      <c r="AH186" s="245"/>
      <c r="AI186" s="133"/>
      <c r="AJ186" s="211"/>
      <c r="AL186" s="108"/>
      <c r="AM186" s="2"/>
      <c r="AN186" s="2"/>
      <c r="AO186" s="2"/>
      <c r="AV186" s="41"/>
    </row>
    <row r="187" spans="1:63" outlineLevel="1">
      <c r="A187" t="s">
        <v>1574</v>
      </c>
      <c r="B187" s="176" t="s">
        <v>462</v>
      </c>
      <c r="C187" s="110">
        <f>SUM(C185:C186)</f>
        <v>0.12999999999999998</v>
      </c>
      <c r="D187" s="110">
        <f t="shared" ref="D187:AG187" si="103">SUM(D185:D186)</f>
        <v>0.13557711853523396</v>
      </c>
      <c r="E187" s="110">
        <f t="shared" si="103"/>
        <v>0.14115423707046798</v>
      </c>
      <c r="F187" s="110">
        <f t="shared" si="103"/>
        <v>0.146731355605702</v>
      </c>
      <c r="G187" s="110">
        <f t="shared" si="103"/>
        <v>0.15230847414093598</v>
      </c>
      <c r="H187" s="110">
        <f t="shared" si="103"/>
        <v>0.15788559267617</v>
      </c>
      <c r="I187" s="110">
        <f t="shared" si="103"/>
        <v>0.16346271121140402</v>
      </c>
      <c r="J187" s="110">
        <f t="shared" si="103"/>
        <v>0.16903982974663806</v>
      </c>
      <c r="K187" s="110">
        <f t="shared" si="103"/>
        <v>0.17461694828187202</v>
      </c>
      <c r="L187" s="110">
        <f t="shared" si="103"/>
        <v>0.18019406681710604</v>
      </c>
      <c r="M187" s="110">
        <f t="shared" si="103"/>
        <v>0.18577118535234005</v>
      </c>
      <c r="N187" s="110">
        <f t="shared" si="103"/>
        <v>0.19752603518814096</v>
      </c>
      <c r="O187" s="110">
        <f t="shared" si="103"/>
        <v>0.20928088502394182</v>
      </c>
      <c r="P187" s="110">
        <f t="shared" si="103"/>
        <v>0.22103573485974276</v>
      </c>
      <c r="Q187" s="110">
        <f t="shared" si="103"/>
        <v>0.23279058469554365</v>
      </c>
      <c r="R187" s="110">
        <f t="shared" si="103"/>
        <v>0.2445454345313445</v>
      </c>
      <c r="S187" s="110">
        <f t="shared" si="103"/>
        <v>0.25630028436714536</v>
      </c>
      <c r="T187" s="110">
        <f t="shared" si="103"/>
        <v>0.26805513420294635</v>
      </c>
      <c r="U187" s="110">
        <f t="shared" si="103"/>
        <v>0.27980998403874724</v>
      </c>
      <c r="V187" s="110">
        <f t="shared" si="103"/>
        <v>0.29156483387454818</v>
      </c>
      <c r="W187" s="110">
        <f t="shared" si="103"/>
        <v>0.30331968371034906</v>
      </c>
      <c r="X187" s="110">
        <f t="shared" si="103"/>
        <v>0.32298771533931414</v>
      </c>
      <c r="Y187" s="110">
        <f t="shared" si="103"/>
        <v>0.34265574696827922</v>
      </c>
      <c r="Z187" s="110">
        <f t="shared" si="103"/>
        <v>0.36232377859724429</v>
      </c>
      <c r="AA187" s="110">
        <f t="shared" si="103"/>
        <v>0.38199181022620943</v>
      </c>
      <c r="AB187" s="110">
        <f t="shared" si="103"/>
        <v>0.40165984185517445</v>
      </c>
      <c r="AC187" s="110">
        <f t="shared" si="103"/>
        <v>0.42132787348413958</v>
      </c>
      <c r="AD187" s="110">
        <f t="shared" si="103"/>
        <v>0.44099590511310466</v>
      </c>
      <c r="AE187" s="110">
        <f t="shared" si="103"/>
        <v>0.46066393674206974</v>
      </c>
      <c r="AF187" s="110">
        <f t="shared" si="103"/>
        <v>0.48033196837103476</v>
      </c>
      <c r="AG187" s="110">
        <f t="shared" si="103"/>
        <v>0.5</v>
      </c>
      <c r="AI187" s="133"/>
      <c r="AJ187" s="211"/>
      <c r="AL187" s="108"/>
      <c r="AM187" s="2"/>
      <c r="AN187" s="2"/>
      <c r="AO187" s="2"/>
    </row>
    <row r="188" spans="1:63" outlineLevel="1">
      <c r="A188" t="s">
        <v>1580</v>
      </c>
      <c r="B188" s="54" t="s">
        <v>462</v>
      </c>
      <c r="C188" s="110">
        <f>C177*C186</f>
        <v>6.1749999999999985E-2</v>
      </c>
      <c r="D188" s="110">
        <f t="shared" ref="D188:AG188" si="104">D174*D186</f>
        <v>1.0096870597653235E-3</v>
      </c>
      <c r="E188" s="110">
        <f t="shared" si="104"/>
        <v>1.2397478266721882E-3</v>
      </c>
      <c r="F188" s="110">
        <f t="shared" si="104"/>
        <v>1.4936500435534094E-3</v>
      </c>
      <c r="G188" s="110">
        <f t="shared" si="104"/>
        <v>1.7720596128232079E-3</v>
      </c>
      <c r="H188" s="110">
        <f t="shared" si="104"/>
        <v>2.0755905964772122E-3</v>
      </c>
      <c r="I188" s="110">
        <f t="shared" si="104"/>
        <v>2.4048052160924585E-3</v>
      </c>
      <c r="J188" s="110">
        <f t="shared" si="104"/>
        <v>2.7602138528273873E-3</v>
      </c>
      <c r="K188" s="110">
        <f t="shared" si="104"/>
        <v>3.1422750474218459E-3</v>
      </c>
      <c r="L188" s="110">
        <f t="shared" si="104"/>
        <v>3.5513955001970892E-3</v>
      </c>
      <c r="M188" s="110">
        <f t="shared" si="104"/>
        <v>3.9879300710557808E-3</v>
      </c>
      <c r="N188" s="110">
        <f t="shared" si="104"/>
        <v>4.7443022253183254E-3</v>
      </c>
      <c r="O188" s="110">
        <f t="shared" si="104"/>
        <v>5.5843073266415577E-3</v>
      </c>
      <c r="P188" s="110">
        <f t="shared" si="104"/>
        <v>6.5108466449367427E-3</v>
      </c>
      <c r="Q188" s="110">
        <f t="shared" si="104"/>
        <v>7.5265911559573738E-3</v>
      </c>
      <c r="R188" s="110">
        <f t="shared" si="104"/>
        <v>8.6339815412991693E-3</v>
      </c>
      <c r="S188" s="110">
        <f t="shared" si="104"/>
        <v>9.8352281884000851E-3</v>
      </c>
      <c r="T188" s="110">
        <f t="shared" si="104"/>
        <v>1.113231119054031E-2</v>
      </c>
      <c r="U188" s="110">
        <f t="shared" si="104"/>
        <v>1.2526980346842241E-2</v>
      </c>
      <c r="V188" s="110">
        <f t="shared" si="104"/>
        <v>1.4020755162270528E-2</v>
      </c>
      <c r="W188" s="110">
        <f t="shared" si="104"/>
        <v>1.5614924847632035E-2</v>
      </c>
      <c r="X188" s="110">
        <f t="shared" si="104"/>
        <v>1.8190985580356651E-2</v>
      </c>
      <c r="Y188" s="110">
        <f t="shared" si="104"/>
        <v>2.1003874121991881E-2</v>
      </c>
      <c r="Z188" s="110">
        <f t="shared" si="104"/>
        <v>2.4058612201187726E-2</v>
      </c>
      <c r="AA188" s="110">
        <f t="shared" si="104"/>
        <v>2.7359576827480574E-2</v>
      </c>
      <c r="AB188" s="110">
        <f t="shared" si="104"/>
        <v>3.091050029129323E-2</v>
      </c>
      <c r="AC188" s="110">
        <f t="shared" si="104"/>
        <v>3.4714470163934912E-2</v>
      </c>
      <c r="AD188" s="110">
        <f t="shared" si="104"/>
        <v>3.8773929297601213E-2</v>
      </c>
      <c r="AE188" s="110">
        <f t="shared" si="104"/>
        <v>4.3090675825374153E-2</v>
      </c>
      <c r="AF188" s="110">
        <f t="shared" si="104"/>
        <v>4.7665863161222122E-2</v>
      </c>
      <c r="AG188" s="110">
        <f t="shared" si="104"/>
        <v>5.2499999999999998E-2</v>
      </c>
      <c r="AI188" s="133"/>
      <c r="AJ188" s="211"/>
      <c r="BD188" s="203"/>
      <c r="BE188" s="203"/>
    </row>
    <row r="189" spans="1:63" outlineLevel="1">
      <c r="A189" t="s">
        <v>1581</v>
      </c>
      <c r="B189" s="54" t="s">
        <v>462</v>
      </c>
      <c r="C189" s="110">
        <f>C178*C186</f>
        <v>6.1749999999999985E-2</v>
      </c>
      <c r="D189" s="110">
        <f t="shared" ref="D189:AG189" si="105">D176*D186</f>
        <v>0</v>
      </c>
      <c r="E189" s="110">
        <f t="shared" si="105"/>
        <v>0</v>
      </c>
      <c r="F189" s="110">
        <f t="shared" si="105"/>
        <v>0</v>
      </c>
      <c r="G189" s="110">
        <f t="shared" si="105"/>
        <v>0</v>
      </c>
      <c r="H189" s="110">
        <f t="shared" si="105"/>
        <v>0</v>
      </c>
      <c r="I189" s="110">
        <f t="shared" si="105"/>
        <v>0</v>
      </c>
      <c r="J189" s="110">
        <f t="shared" si="105"/>
        <v>0</v>
      </c>
      <c r="K189" s="110">
        <f t="shared" si="105"/>
        <v>0</v>
      </c>
      <c r="L189" s="110">
        <f t="shared" si="105"/>
        <v>0</v>
      </c>
      <c r="M189" s="110">
        <f t="shared" si="105"/>
        <v>0</v>
      </c>
      <c r="N189" s="110">
        <f t="shared" si="105"/>
        <v>0</v>
      </c>
      <c r="O189" s="110">
        <f t="shared" si="105"/>
        <v>0</v>
      </c>
      <c r="P189" s="110">
        <f t="shared" si="105"/>
        <v>0</v>
      </c>
      <c r="Q189" s="110">
        <f t="shared" si="105"/>
        <v>0</v>
      </c>
      <c r="R189" s="110">
        <f t="shared" si="105"/>
        <v>0</v>
      </c>
      <c r="S189" s="110">
        <f t="shared" si="105"/>
        <v>0</v>
      </c>
      <c r="T189" s="110">
        <f t="shared" si="105"/>
        <v>0</v>
      </c>
      <c r="U189" s="110">
        <f t="shared" si="105"/>
        <v>0</v>
      </c>
      <c r="V189" s="110">
        <f t="shared" si="105"/>
        <v>0</v>
      </c>
      <c r="W189" s="110">
        <f t="shared" si="105"/>
        <v>0</v>
      </c>
      <c r="X189" s="110">
        <f t="shared" si="105"/>
        <v>0</v>
      </c>
      <c r="Y189" s="110">
        <f t="shared" si="105"/>
        <v>0</v>
      </c>
      <c r="Z189" s="110">
        <f t="shared" si="105"/>
        <v>0</v>
      </c>
      <c r="AA189" s="110">
        <f t="shared" si="105"/>
        <v>0</v>
      </c>
      <c r="AB189" s="110">
        <f t="shared" si="105"/>
        <v>0</v>
      </c>
      <c r="AC189" s="110">
        <f t="shared" si="105"/>
        <v>0</v>
      </c>
      <c r="AD189" s="110">
        <f t="shared" si="105"/>
        <v>0</v>
      </c>
      <c r="AE189" s="110">
        <f t="shared" si="105"/>
        <v>0</v>
      </c>
      <c r="AF189" s="110">
        <f t="shared" si="105"/>
        <v>0</v>
      </c>
      <c r="AG189" s="110">
        <f t="shared" si="105"/>
        <v>0</v>
      </c>
      <c r="AI189" s="134"/>
      <c r="AJ189" s="211"/>
      <c r="BC189" s="1"/>
      <c r="BD189" s="41"/>
      <c r="BF189" s="6"/>
      <c r="BG189" s="6"/>
      <c r="BH189" s="6"/>
      <c r="BI189" s="6"/>
      <c r="BJ189" s="6"/>
    </row>
    <row r="190" spans="1:63" outlineLevel="1">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I190" s="134"/>
      <c r="AJ190" s="211"/>
      <c r="BC190" s="1"/>
      <c r="BD190" s="41"/>
      <c r="BF190" s="6"/>
      <c r="BG190" s="6"/>
      <c r="BH190" s="6"/>
      <c r="BI190" s="6"/>
      <c r="BJ190" s="6"/>
    </row>
    <row r="191" spans="1:63" s="1" customFormat="1" outlineLevel="1">
      <c r="A191" s="1" t="s">
        <v>228</v>
      </c>
      <c r="B191" s="65"/>
      <c r="C191" s="300">
        <f>C185*C45</f>
        <v>2.1820102605973023E-2</v>
      </c>
      <c r="D191" s="300">
        <f t="shared" ref="D191:AG191" si="106">D185*D45</f>
        <v>2.7438864853883818E-2</v>
      </c>
      <c r="E191" s="300">
        <f t="shared" si="106"/>
        <v>3.3654904308572306E-2</v>
      </c>
      <c r="F191" s="300">
        <f t="shared" si="106"/>
        <v>4.046472893419778E-2</v>
      </c>
      <c r="G191" s="300">
        <f t="shared" si="106"/>
        <v>4.7857141551787732E-2</v>
      </c>
      <c r="H191" s="300">
        <f t="shared" si="106"/>
        <v>5.5812938066733611E-2</v>
      </c>
      <c r="I191" s="300">
        <f t="shared" si="106"/>
        <v>6.4443468868073353E-2</v>
      </c>
      <c r="J191" s="300">
        <f t="shared" si="106"/>
        <v>7.3772185198442794E-2</v>
      </c>
      <c r="K191" s="300">
        <f t="shared" si="106"/>
        <v>8.382194530214182E-2</v>
      </c>
      <c r="L191" s="300">
        <f t="shared" si="106"/>
        <v>9.4614923107160506E-2</v>
      </c>
      <c r="M191" s="300">
        <f t="shared" si="106"/>
        <v>0.10617251572344646</v>
      </c>
      <c r="N191" s="300">
        <f t="shared" si="106"/>
        <v>0.12216650155790665</v>
      </c>
      <c r="O191" s="300">
        <f t="shared" si="106"/>
        <v>0.13932323928349846</v>
      </c>
      <c r="P191" s="300">
        <f t="shared" si="106"/>
        <v>0.15759993978082434</v>
      </c>
      <c r="Q191" s="300">
        <f t="shared" si="106"/>
        <v>0.1769407862918371</v>
      </c>
      <c r="R191" s="300">
        <f t="shared" si="106"/>
        <v>0.19727698198132337</v>
      </c>
      <c r="S191" s="300">
        <f t="shared" si="106"/>
        <v>0.21892068835004211</v>
      </c>
      <c r="T191" s="300">
        <f t="shared" si="106"/>
        <v>0.24190057619681257</v>
      </c>
      <c r="U191" s="300">
        <f t="shared" si="106"/>
        <v>0.26624513331178085</v>
      </c>
      <c r="V191" s="300">
        <f t="shared" si="106"/>
        <v>0.29198264003165941</v>
      </c>
      <c r="W191" s="300">
        <f t="shared" si="106"/>
        <v>0.31914114451996178</v>
      </c>
      <c r="X191" s="300">
        <f t="shared" si="106"/>
        <v>0.35648615993373267</v>
      </c>
      <c r="Y191" s="300">
        <f t="shared" si="106"/>
        <v>0.39614123676632168</v>
      </c>
      <c r="Z191" s="300">
        <f t="shared" si="106"/>
        <v>0.43815417466625323</v>
      </c>
      <c r="AA191" s="300">
        <f t="shared" si="106"/>
        <v>0.48257246463670356</v>
      </c>
      <c r="AB191" s="300">
        <f t="shared" si="106"/>
        <v>0.52944325204933906</v>
      </c>
      <c r="AC191" s="300">
        <f t="shared" si="106"/>
        <v>0.57881877152250472</v>
      </c>
      <c r="AD191" s="300">
        <f t="shared" si="106"/>
        <v>0.6307468452645677</v>
      </c>
      <c r="AE191" s="300">
        <f t="shared" si="106"/>
        <v>0.68527498672472387</v>
      </c>
      <c r="AF191" s="300">
        <f t="shared" si="106"/>
        <v>0.74245036697301658</v>
      </c>
      <c r="AG191" s="300">
        <f t="shared" si="106"/>
        <v>0.80231978076026356</v>
      </c>
      <c r="AH191" s="245"/>
      <c r="AI191" s="423"/>
      <c r="AJ191" s="424"/>
      <c r="AL191" s="221"/>
      <c r="AM191" s="124"/>
      <c r="AN191" s="124"/>
      <c r="AO191" s="124"/>
      <c r="BD191" s="124"/>
      <c r="BE191" s="124"/>
      <c r="BF191" s="124"/>
      <c r="BG191" s="124"/>
      <c r="BH191" s="124"/>
      <c r="BI191" s="124"/>
      <c r="BJ191" s="124"/>
      <c r="BK191" s="124"/>
    </row>
    <row r="192" spans="1:63" outlineLevel="1">
      <c r="A192" s="4" t="s">
        <v>474</v>
      </c>
      <c r="C192" s="230">
        <f>C$191*'Methanol recycling rates'!E60</f>
        <v>7.8930651746296609E-3</v>
      </c>
      <c r="D192" s="230">
        <f>D$191*'Methanol recycling rates'!F60</f>
        <v>9.9255605035640185E-3</v>
      </c>
      <c r="E192" s="230">
        <f>E$191*'Methanol recycling rates'!G60</f>
        <v>1.2174111091520237E-2</v>
      </c>
      <c r="F192" s="230">
        <f>F$191*'Methanol recycling rates'!H60</f>
        <v>1.4637453751657238E-2</v>
      </c>
      <c r="G192" s="230">
        <f>G$191*'Methanol recycling rates'!I60</f>
        <v>1.7311538087650222E-2</v>
      </c>
      <c r="H192" s="230">
        <f>H$191*'Methanol recycling rates'!J60</f>
        <v>2.0189417332423788E-2</v>
      </c>
      <c r="I192" s="230">
        <f>I$191*'Methanol recycling rates'!K60</f>
        <v>2.3311370667692514E-2</v>
      </c>
      <c r="J192" s="230">
        <f>J$191*'Methanol recycling rates'!L60</f>
        <v>2.6685881196853913E-2</v>
      </c>
      <c r="K192" s="230">
        <f>K$191*'Methanol recycling rates'!M60</f>
        <v>3.0321217515857996E-2</v>
      </c>
      <c r="L192" s="230">
        <f>L$191*'Methanol recycling rates'!N60</f>
        <v>3.4225400680424053E-2</v>
      </c>
      <c r="M192" s="230">
        <f>M$191*'Methanol recycling rates'!O60</f>
        <v>3.8406170745052065E-2</v>
      </c>
      <c r="N192" s="230">
        <f>N$191*'Methanol recycling rates'!P60</f>
        <v>4.4191733483833158E-2</v>
      </c>
      <c r="O192" s="230">
        <f>O$191*'Methanol recycling rates'!Q60</f>
        <v>5.0397902698411191E-2</v>
      </c>
      <c r="P192" s="230">
        <f>P$191*'Methanol recycling rates'!R60</f>
        <v>5.7009200124807806E-2</v>
      </c>
      <c r="Q192" s="230">
        <f>Q$191*'Methanol recycling rates'!S60</f>
        <v>6.4005434963875132E-2</v>
      </c>
      <c r="R192" s="230">
        <f>R$191*'Methanol recycling rates'!T60</f>
        <v>7.1361721085884414E-2</v>
      </c>
      <c r="S192" s="230">
        <f>S$191*'Methanol recycling rates'!U60</f>
        <v>7.9190977807256563E-2</v>
      </c>
      <c r="T192" s="230">
        <f>T$191*'Methanol recycling rates'!V60</f>
        <v>8.7503576320454565E-2</v>
      </c>
      <c r="U192" s="230">
        <f>U$191*'Methanol recycling rates'!W60</f>
        <v>9.630982161754767E-2</v>
      </c>
      <c r="V192" s="230">
        <f>V$191*'Methanol recycling rates'!X60</f>
        <v>0.10561994364771909</v>
      </c>
      <c r="W192" s="230">
        <f>W$191*'Methanol recycling rates'!Y60</f>
        <v>0.11544408837529535</v>
      </c>
      <c r="X192" s="230">
        <f>X$191*'Methanol recycling rates'!Z60</f>
        <v>0.12895303679461917</v>
      </c>
      <c r="Y192" s="230">
        <f>Y$191*'Methanol recycling rates'!AA60</f>
        <v>0.14329761214317374</v>
      </c>
      <c r="Z192" s="230">
        <f>Z$191*'Methanol recycling rates'!AB60</f>
        <v>0.15849510516188453</v>
      </c>
      <c r="AA192" s="230">
        <f>AA$191*'Methanol recycling rates'!AC60</f>
        <v>0.17456269494427132</v>
      </c>
      <c r="AB192" s="230">
        <f>AB$191*'Methanol recycling rates'!AD60</f>
        <v>0.19151743555730916</v>
      </c>
      <c r="AC192" s="230">
        <f>AC$191*'Methanol recycling rates'!AE60</f>
        <v>0.20937822201970691</v>
      </c>
      <c r="AD192" s="230">
        <f>AD$191*'Methanol recycling rates'!AF60</f>
        <v>0.2281623532330441</v>
      </c>
      <c r="AE192" s="230">
        <f>AE$191*'Methanol recycling rates'!AG60</f>
        <v>0.24788701641032093</v>
      </c>
      <c r="AF192" s="230">
        <f>AF$191*'Methanol recycling rates'!AH60</f>
        <v>0.26856927491447996</v>
      </c>
      <c r="AG192" s="230">
        <f>AG$191*'Methanol recycling rates'!AI60</f>
        <v>0.29022605598113982</v>
      </c>
      <c r="AH192" s="245"/>
      <c r="AI192" s="133"/>
      <c r="AJ192" s="211"/>
      <c r="AL192" s="108"/>
      <c r="AM192" s="2"/>
      <c r="AN192" s="2"/>
      <c r="AO192" s="2"/>
      <c r="BC192" s="1"/>
      <c r="BD192" s="2"/>
      <c r="BE192" s="2"/>
      <c r="BF192" s="2"/>
      <c r="BG192" s="2"/>
      <c r="BH192" s="2"/>
      <c r="BI192" s="2"/>
      <c r="BJ192" s="2"/>
      <c r="BK192" s="2"/>
    </row>
    <row r="193" spans="1:63" outlineLevel="1">
      <c r="A193" s="4" t="s">
        <v>745</v>
      </c>
      <c r="C193" s="230">
        <f>C$191*'Methanol recycling rates'!E61</f>
        <v>0</v>
      </c>
      <c r="D193" s="230">
        <f>D$191*'Methanol recycling rates'!F61</f>
        <v>0</v>
      </c>
      <c r="E193" s="230">
        <f>E$191*'Methanol recycling rates'!G61</f>
        <v>0</v>
      </c>
      <c r="F193" s="230">
        <f>F$191*'Methanol recycling rates'!H61</f>
        <v>0</v>
      </c>
      <c r="G193" s="230">
        <f>G$191*'Methanol recycling rates'!I61</f>
        <v>0</v>
      </c>
      <c r="H193" s="230">
        <f>H$191*'Methanol recycling rates'!J61</f>
        <v>0</v>
      </c>
      <c r="I193" s="230">
        <f>I$191*'Methanol recycling rates'!K61</f>
        <v>0</v>
      </c>
      <c r="J193" s="230">
        <f>J$191*'Methanol recycling rates'!L61</f>
        <v>0</v>
      </c>
      <c r="K193" s="230">
        <f>K$191*'Methanol recycling rates'!M61</f>
        <v>0</v>
      </c>
      <c r="L193" s="230">
        <f>L$191*'Methanol recycling rates'!N61</f>
        <v>0</v>
      </c>
      <c r="M193" s="230">
        <f>M$191*'Methanol recycling rates'!O61</f>
        <v>0</v>
      </c>
      <c r="N193" s="230">
        <f>N$191*'Methanol recycling rates'!P61</f>
        <v>0</v>
      </c>
      <c r="O193" s="230">
        <f>O$191*'Methanol recycling rates'!Q61</f>
        <v>0</v>
      </c>
      <c r="P193" s="230">
        <f>P$191*'Methanol recycling rates'!R61</f>
        <v>0</v>
      </c>
      <c r="Q193" s="230">
        <f>Q$191*'Methanol recycling rates'!S61</f>
        <v>0</v>
      </c>
      <c r="R193" s="230">
        <f>R$191*'Methanol recycling rates'!T61</f>
        <v>0</v>
      </c>
      <c r="S193" s="230">
        <f>S$191*'Methanol recycling rates'!U61</f>
        <v>0</v>
      </c>
      <c r="T193" s="230">
        <f>T$191*'Methanol recycling rates'!V61</f>
        <v>0</v>
      </c>
      <c r="U193" s="230">
        <f>U$191*'Methanol recycling rates'!W61</f>
        <v>0</v>
      </c>
      <c r="V193" s="230">
        <f>V$191*'Methanol recycling rates'!X61</f>
        <v>0</v>
      </c>
      <c r="W193" s="230">
        <f>W$191*'Methanol recycling rates'!Y61</f>
        <v>0</v>
      </c>
      <c r="X193" s="230">
        <f>X$191*'Methanol recycling rates'!Z61</f>
        <v>0</v>
      </c>
      <c r="Y193" s="230">
        <f>Y$191*'Methanol recycling rates'!AA61</f>
        <v>0</v>
      </c>
      <c r="Z193" s="230">
        <f>Z$191*'Methanol recycling rates'!AB61</f>
        <v>0</v>
      </c>
      <c r="AA193" s="230">
        <f>AA$191*'Methanol recycling rates'!AC61</f>
        <v>0</v>
      </c>
      <c r="AB193" s="230">
        <f>AB$191*'Methanol recycling rates'!AD61</f>
        <v>0</v>
      </c>
      <c r="AC193" s="230">
        <f>AC$191*'Methanol recycling rates'!AE61</f>
        <v>0</v>
      </c>
      <c r="AD193" s="230">
        <f>AD$191*'Methanol recycling rates'!AF61</f>
        <v>0</v>
      </c>
      <c r="AE193" s="230">
        <f>AE$191*'Methanol recycling rates'!AG61</f>
        <v>0</v>
      </c>
      <c r="AF193" s="230">
        <f>AF$191*'Methanol recycling rates'!AH61</f>
        <v>0</v>
      </c>
      <c r="AG193" s="230">
        <f>AG$191*'Methanol recycling rates'!AI61</f>
        <v>0</v>
      </c>
      <c r="AH193" s="245"/>
      <c r="AI193" s="133"/>
      <c r="AJ193" s="211"/>
      <c r="AL193" s="108"/>
      <c r="AM193" s="2"/>
      <c r="AN193" s="2"/>
      <c r="AO193" s="2"/>
      <c r="BC193" s="1"/>
      <c r="BD193" s="2"/>
      <c r="BE193" s="2"/>
      <c r="BF193" s="2"/>
      <c r="BG193" s="2"/>
      <c r="BH193" s="2"/>
      <c r="BI193" s="2"/>
      <c r="BJ193" s="2"/>
      <c r="BK193" s="2"/>
    </row>
    <row r="194" spans="1:63" outlineLevel="1">
      <c r="A194" s="4" t="s">
        <v>1561</v>
      </c>
      <c r="C194" s="230">
        <f>C$191*'Methanol recycling rates'!E62</f>
        <v>1.3927037431343362E-2</v>
      </c>
      <c r="D194" s="230">
        <f>D$191*'Methanol recycling rates'!F62</f>
        <v>1.7513304350319801E-2</v>
      </c>
      <c r="E194" s="230">
        <f>E$191*'Methanol recycling rates'!G62</f>
        <v>2.1480793217052069E-2</v>
      </c>
      <c r="F194" s="230">
        <f>F$191*'Methanol recycling rates'!H62</f>
        <v>2.5827275182540542E-2</v>
      </c>
      <c r="G194" s="230">
        <f>G$191*'Methanol recycling rates'!I62</f>
        <v>3.0545603464137511E-2</v>
      </c>
      <c r="H194" s="230">
        <f>H$191*'Methanol recycling rates'!J62</f>
        <v>3.5623520734309827E-2</v>
      </c>
      <c r="I194" s="230">
        <f>I$191*'Methanol recycling rates'!K62</f>
        <v>4.1132098200380836E-2</v>
      </c>
      <c r="J194" s="230">
        <f>J$191*'Methanol recycling rates'!L62</f>
        <v>4.7086304001588877E-2</v>
      </c>
      <c r="K194" s="230">
        <f>K$191*'Methanol recycling rates'!M62</f>
        <v>5.3500727786283828E-2</v>
      </c>
      <c r="L194" s="230">
        <f>L$191*'Methanol recycling rates'!N62</f>
        <v>6.0389522426736453E-2</v>
      </c>
      <c r="M194" s="230">
        <f>M$191*'Methanol recycling rates'!O62</f>
        <v>6.7766344978394399E-2</v>
      </c>
      <c r="N194" s="230">
        <f>N$191*'Methanol recycling rates'!P62</f>
        <v>7.7974768074073483E-2</v>
      </c>
      <c r="O194" s="230">
        <f>O$191*'Methanol recycling rates'!Q62</f>
        <v>8.8925336585087278E-2</v>
      </c>
      <c r="P194" s="230">
        <f>P$191*'Methanol recycling rates'!R62</f>
        <v>0.10059073965601655</v>
      </c>
      <c r="Q194" s="230">
        <f>Q$191*'Methanol recycling rates'!S62</f>
        <v>0.11293535132796197</v>
      </c>
      <c r="R194" s="230">
        <f>R$191*'Methanol recycling rates'!T62</f>
        <v>0.12591526089543895</v>
      </c>
      <c r="S194" s="230">
        <f>S$191*'Methanol recycling rates'!U62</f>
        <v>0.13972971054278555</v>
      </c>
      <c r="T194" s="230">
        <f>T$191*'Methanol recycling rates'!V62</f>
        <v>0.15439699987635799</v>
      </c>
      <c r="U194" s="230">
        <f>U$191*'Methanol recycling rates'!W62</f>
        <v>0.16993531169423318</v>
      </c>
      <c r="V194" s="230">
        <f>V$191*'Methanol recycling rates'!X62</f>
        <v>0.18636269638394032</v>
      </c>
      <c r="W194" s="230">
        <f>W$191*'Methanol recycling rates'!Y62</f>
        <v>0.20369705614466643</v>
      </c>
      <c r="X194" s="230">
        <f>X$191*'Methanol recycling rates'!Z62</f>
        <v>0.2275331231391135</v>
      </c>
      <c r="Y194" s="230">
        <f>Y$191*'Methanol recycling rates'!AA62</f>
        <v>0.25284362462314797</v>
      </c>
      <c r="Z194" s="230">
        <f>Z$191*'Methanol recycling rates'!AB62</f>
        <v>0.2796590695043687</v>
      </c>
      <c r="AA194" s="230">
        <f>AA$191*'Methanol recycling rates'!AC62</f>
        <v>0.30800976969243221</v>
      </c>
      <c r="AB194" s="230">
        <f>AB$191*'Methanol recycling rates'!AD62</f>
        <v>0.33792581649202991</v>
      </c>
      <c r="AC194" s="230">
        <f>AC$191*'Methanol recycling rates'!AE62</f>
        <v>0.36944054950279781</v>
      </c>
      <c r="AD194" s="230">
        <f>AD$191*'Methanol recycling rates'!AF62</f>
        <v>0.40258449203152363</v>
      </c>
      <c r="AE194" s="230">
        <f>AE$191*'Methanol recycling rates'!AG62</f>
        <v>0.43738797031440296</v>
      </c>
      <c r="AF194" s="230">
        <f>AF$191*'Methanol recycling rates'!AH62</f>
        <v>0.47388109205853662</v>
      </c>
      <c r="AG194" s="230">
        <f>AG$191*'Methanol recycling rates'!AI62</f>
        <v>0.51209372477912374</v>
      </c>
      <c r="AH194" s="245"/>
      <c r="AI194" s="133"/>
      <c r="AJ194" s="211"/>
      <c r="AL194" s="108"/>
      <c r="AM194" s="2"/>
      <c r="AN194" s="2"/>
      <c r="AO194" s="2"/>
      <c r="BC194" s="1"/>
      <c r="BD194" s="2"/>
      <c r="BE194" s="2"/>
      <c r="BF194" s="2"/>
      <c r="BG194" s="2"/>
      <c r="BH194" s="2"/>
      <c r="BI194" s="2"/>
      <c r="BJ194" s="2"/>
      <c r="BK194" s="2"/>
    </row>
    <row r="195" spans="1:63" s="1" customFormat="1" outlineLevel="1">
      <c r="A195" s="1" t="s">
        <v>1562</v>
      </c>
      <c r="B195" s="65"/>
      <c r="C195" s="300">
        <f>C191-$C191</f>
        <v>0</v>
      </c>
      <c r="D195" s="300">
        <f t="shared" ref="D195:AG196" si="107">D191-$C191</f>
        <v>5.6187622479107954E-3</v>
      </c>
      <c r="E195" s="300">
        <f t="shared" si="107"/>
        <v>1.1834801702599283E-2</v>
      </c>
      <c r="F195" s="300">
        <f t="shared" si="107"/>
        <v>1.8644626328224757E-2</v>
      </c>
      <c r="G195" s="300">
        <f t="shared" si="107"/>
        <v>2.603703894581471E-2</v>
      </c>
      <c r="H195" s="300">
        <f t="shared" si="107"/>
        <v>3.3992835460760588E-2</v>
      </c>
      <c r="I195" s="300">
        <f t="shared" si="107"/>
        <v>4.262336626210033E-2</v>
      </c>
      <c r="J195" s="300">
        <f t="shared" si="107"/>
        <v>5.1952082592469771E-2</v>
      </c>
      <c r="K195" s="300">
        <f t="shared" si="107"/>
        <v>6.2001842696168798E-2</v>
      </c>
      <c r="L195" s="300">
        <f t="shared" si="107"/>
        <v>7.279482050118749E-2</v>
      </c>
      <c r="M195" s="300">
        <f t="shared" si="107"/>
        <v>8.4352413117473435E-2</v>
      </c>
      <c r="N195" s="300">
        <f t="shared" si="107"/>
        <v>0.10034639895193362</v>
      </c>
      <c r="O195" s="300">
        <f t="shared" si="107"/>
        <v>0.11750313667752543</v>
      </c>
      <c r="P195" s="300">
        <f t="shared" si="107"/>
        <v>0.13577983717485131</v>
      </c>
      <c r="Q195" s="300">
        <f t="shared" si="107"/>
        <v>0.15512068368586407</v>
      </c>
      <c r="R195" s="300">
        <f t="shared" si="107"/>
        <v>0.17545687937535034</v>
      </c>
      <c r="S195" s="300">
        <f t="shared" si="107"/>
        <v>0.19710058574406908</v>
      </c>
      <c r="T195" s="300">
        <f t="shared" si="107"/>
        <v>0.22008047359083954</v>
      </c>
      <c r="U195" s="300">
        <f t="shared" si="107"/>
        <v>0.24442503070580782</v>
      </c>
      <c r="V195" s="300">
        <f t="shared" si="107"/>
        <v>0.27016253742568641</v>
      </c>
      <c r="W195" s="300">
        <f t="shared" si="107"/>
        <v>0.29732104191398878</v>
      </c>
      <c r="X195" s="300">
        <f t="shared" si="107"/>
        <v>0.33466605732775967</v>
      </c>
      <c r="Y195" s="300">
        <f t="shared" si="107"/>
        <v>0.37432113416034868</v>
      </c>
      <c r="Z195" s="300">
        <f t="shared" si="107"/>
        <v>0.41633407206028022</v>
      </c>
      <c r="AA195" s="300">
        <f t="shared" si="107"/>
        <v>0.46075236203073056</v>
      </c>
      <c r="AB195" s="300">
        <f t="shared" si="107"/>
        <v>0.50762314944336606</v>
      </c>
      <c r="AC195" s="300">
        <f t="shared" si="107"/>
        <v>0.55699866891653171</v>
      </c>
      <c r="AD195" s="300">
        <f t="shared" si="107"/>
        <v>0.6089267426585947</v>
      </c>
      <c r="AE195" s="300">
        <f t="shared" si="107"/>
        <v>0.66345488411875086</v>
      </c>
      <c r="AF195" s="300">
        <f t="shared" si="107"/>
        <v>0.72063026436704358</v>
      </c>
      <c r="AG195" s="300">
        <f t="shared" si="107"/>
        <v>0.78049967815429055</v>
      </c>
      <c r="AH195" s="245"/>
      <c r="AI195" s="423"/>
      <c r="AJ195" s="424"/>
      <c r="AL195" s="221"/>
      <c r="AM195" s="124"/>
      <c r="AN195" s="124"/>
      <c r="AO195" s="124"/>
      <c r="BD195" s="124"/>
      <c r="BE195" s="124"/>
      <c r="BF195" s="124"/>
      <c r="BG195" s="124"/>
      <c r="BH195" s="124"/>
      <c r="BI195" s="124"/>
      <c r="BJ195" s="124"/>
      <c r="BK195" s="124"/>
    </row>
    <row r="196" spans="1:63" outlineLevel="1">
      <c r="A196" s="4" t="s">
        <v>474</v>
      </c>
      <c r="C196" s="230">
        <f>C192-$C192</f>
        <v>0</v>
      </c>
      <c r="D196" s="230">
        <f t="shared" si="107"/>
        <v>2.0324953289343577E-3</v>
      </c>
      <c r="E196" s="230">
        <f t="shared" si="107"/>
        <v>4.2810459168905763E-3</v>
      </c>
      <c r="F196" s="230">
        <f t="shared" si="107"/>
        <v>6.7443885770275772E-3</v>
      </c>
      <c r="G196" s="230">
        <f t="shared" si="107"/>
        <v>9.4184729130205608E-3</v>
      </c>
      <c r="H196" s="230">
        <f t="shared" si="107"/>
        <v>1.2296352157794127E-2</v>
      </c>
      <c r="I196" s="230">
        <f t="shared" si="107"/>
        <v>1.5418305493062853E-2</v>
      </c>
      <c r="J196" s="230">
        <f t="shared" si="107"/>
        <v>1.8792816022224254E-2</v>
      </c>
      <c r="K196" s="230">
        <f t="shared" si="107"/>
        <v>2.2428152341228337E-2</v>
      </c>
      <c r="L196" s="230">
        <f t="shared" si="107"/>
        <v>2.6332335505794391E-2</v>
      </c>
      <c r="M196" s="230">
        <f t="shared" si="107"/>
        <v>3.0513105570422402E-2</v>
      </c>
      <c r="N196" s="230">
        <f t="shared" si="107"/>
        <v>3.6298668309203495E-2</v>
      </c>
      <c r="O196" s="230">
        <f t="shared" si="107"/>
        <v>4.2504837523781529E-2</v>
      </c>
      <c r="P196" s="230">
        <f t="shared" si="107"/>
        <v>4.9116134950178143E-2</v>
      </c>
      <c r="Q196" s="230">
        <f t="shared" si="107"/>
        <v>5.611236978924547E-2</v>
      </c>
      <c r="R196" s="230">
        <f t="shared" si="107"/>
        <v>6.3468655911254751E-2</v>
      </c>
      <c r="S196" s="230">
        <f t="shared" si="107"/>
        <v>7.12979126326269E-2</v>
      </c>
      <c r="T196" s="230">
        <f t="shared" si="107"/>
        <v>7.9610511145824903E-2</v>
      </c>
      <c r="U196" s="230">
        <f t="shared" si="107"/>
        <v>8.8416756442918007E-2</v>
      </c>
      <c r="V196" s="230">
        <f t="shared" si="107"/>
        <v>9.7726878473089432E-2</v>
      </c>
      <c r="W196" s="230">
        <f t="shared" si="107"/>
        <v>0.10755102320066569</v>
      </c>
      <c r="X196" s="230">
        <f t="shared" si="107"/>
        <v>0.12105997161998951</v>
      </c>
      <c r="Y196" s="230">
        <f t="shared" si="107"/>
        <v>0.13540454696854409</v>
      </c>
      <c r="Z196" s="230">
        <f t="shared" si="107"/>
        <v>0.15060203998725488</v>
      </c>
      <c r="AA196" s="230">
        <f t="shared" si="107"/>
        <v>0.16666962976964167</v>
      </c>
      <c r="AB196" s="230">
        <f t="shared" si="107"/>
        <v>0.18362437038267951</v>
      </c>
      <c r="AC196" s="230">
        <f t="shared" si="107"/>
        <v>0.20148515684507726</v>
      </c>
      <c r="AD196" s="230">
        <f t="shared" si="107"/>
        <v>0.22026928805841445</v>
      </c>
      <c r="AE196" s="230">
        <f t="shared" si="107"/>
        <v>0.23999395123569128</v>
      </c>
      <c r="AF196" s="230">
        <f t="shared" si="107"/>
        <v>0.26067620973985028</v>
      </c>
      <c r="AG196" s="230">
        <f>AG192-$C192</f>
        <v>0.28233299080651014</v>
      </c>
      <c r="AH196" s="245"/>
      <c r="AI196" s="133"/>
      <c r="AJ196" s="211"/>
      <c r="AL196" s="108"/>
      <c r="AM196" s="2"/>
      <c r="AN196" s="2"/>
      <c r="AO196" s="2"/>
      <c r="BC196" s="1"/>
      <c r="BD196" s="2"/>
      <c r="BE196" s="2"/>
      <c r="BF196" s="2"/>
      <c r="BG196" s="2"/>
      <c r="BH196" s="2"/>
      <c r="BI196" s="2"/>
      <c r="BJ196" s="2"/>
      <c r="BK196" s="2"/>
    </row>
    <row r="197" spans="1:63" outlineLevel="1">
      <c r="A197" s="4" t="s">
        <v>745</v>
      </c>
      <c r="C197" s="230">
        <f t="shared" ref="C197:AG198" si="108">C193-$C193</f>
        <v>0</v>
      </c>
      <c r="D197" s="230">
        <f t="shared" si="108"/>
        <v>0</v>
      </c>
      <c r="E197" s="230">
        <f t="shared" si="108"/>
        <v>0</v>
      </c>
      <c r="F197" s="230">
        <f t="shared" si="108"/>
        <v>0</v>
      </c>
      <c r="G197" s="230">
        <f t="shared" si="108"/>
        <v>0</v>
      </c>
      <c r="H197" s="230">
        <f t="shared" si="108"/>
        <v>0</v>
      </c>
      <c r="I197" s="230">
        <f t="shared" si="108"/>
        <v>0</v>
      </c>
      <c r="J197" s="230">
        <f t="shared" si="108"/>
        <v>0</v>
      </c>
      <c r="K197" s="230">
        <f t="shared" si="108"/>
        <v>0</v>
      </c>
      <c r="L197" s="230">
        <f t="shared" si="108"/>
        <v>0</v>
      </c>
      <c r="M197" s="230">
        <f t="shared" si="108"/>
        <v>0</v>
      </c>
      <c r="N197" s="230">
        <f t="shared" si="108"/>
        <v>0</v>
      </c>
      <c r="O197" s="230">
        <f t="shared" si="108"/>
        <v>0</v>
      </c>
      <c r="P197" s="230">
        <f t="shared" si="108"/>
        <v>0</v>
      </c>
      <c r="Q197" s="230">
        <f t="shared" si="108"/>
        <v>0</v>
      </c>
      <c r="R197" s="230">
        <f t="shared" si="108"/>
        <v>0</v>
      </c>
      <c r="S197" s="230">
        <f t="shared" si="108"/>
        <v>0</v>
      </c>
      <c r="T197" s="230">
        <f t="shared" si="108"/>
        <v>0</v>
      </c>
      <c r="U197" s="230">
        <f t="shared" si="108"/>
        <v>0</v>
      </c>
      <c r="V197" s="230">
        <f t="shared" si="108"/>
        <v>0</v>
      </c>
      <c r="W197" s="230">
        <f t="shared" si="108"/>
        <v>0</v>
      </c>
      <c r="X197" s="230">
        <f t="shared" si="108"/>
        <v>0</v>
      </c>
      <c r="Y197" s="230">
        <f t="shared" si="108"/>
        <v>0</v>
      </c>
      <c r="Z197" s="230">
        <f t="shared" si="108"/>
        <v>0</v>
      </c>
      <c r="AA197" s="230">
        <f t="shared" si="108"/>
        <v>0</v>
      </c>
      <c r="AB197" s="230">
        <f t="shared" si="108"/>
        <v>0</v>
      </c>
      <c r="AC197" s="230">
        <f t="shared" si="108"/>
        <v>0</v>
      </c>
      <c r="AD197" s="230">
        <f t="shared" si="108"/>
        <v>0</v>
      </c>
      <c r="AE197" s="230">
        <f t="shared" si="108"/>
        <v>0</v>
      </c>
      <c r="AF197" s="230">
        <f t="shared" si="108"/>
        <v>0</v>
      </c>
      <c r="AG197" s="230">
        <f t="shared" si="108"/>
        <v>0</v>
      </c>
      <c r="AH197" s="245"/>
      <c r="AI197" s="133"/>
      <c r="AJ197" s="211"/>
      <c r="AL197" s="108"/>
      <c r="AM197" s="2"/>
      <c r="AN197" s="2"/>
      <c r="AO197" s="2"/>
      <c r="BC197" s="1"/>
      <c r="BD197" s="2"/>
      <c r="BE197" s="2"/>
      <c r="BF197" s="2"/>
      <c r="BG197" s="2"/>
      <c r="BH197" s="2"/>
      <c r="BI197" s="2"/>
      <c r="BJ197" s="2"/>
      <c r="BK197" s="2"/>
    </row>
    <row r="198" spans="1:63" outlineLevel="1">
      <c r="A198" s="4" t="s">
        <v>1561</v>
      </c>
      <c r="C198" s="230">
        <f t="shared" si="108"/>
        <v>0</v>
      </c>
      <c r="D198" s="230">
        <f t="shared" si="108"/>
        <v>3.5862669189764395E-3</v>
      </c>
      <c r="E198" s="230">
        <f t="shared" si="108"/>
        <v>7.553755785708707E-3</v>
      </c>
      <c r="F198" s="230">
        <f t="shared" si="108"/>
        <v>1.190023775119718E-2</v>
      </c>
      <c r="G198" s="230">
        <f t="shared" si="108"/>
        <v>1.6618566032794151E-2</v>
      </c>
      <c r="H198" s="230">
        <f t="shared" si="108"/>
        <v>2.1696483302966467E-2</v>
      </c>
      <c r="I198" s="230">
        <f t="shared" si="108"/>
        <v>2.7205060769037476E-2</v>
      </c>
      <c r="J198" s="230">
        <f t="shared" si="108"/>
        <v>3.3159266570245517E-2</v>
      </c>
      <c r="K198" s="230">
        <f t="shared" si="108"/>
        <v>3.9573690354940468E-2</v>
      </c>
      <c r="L198" s="230">
        <f t="shared" si="108"/>
        <v>4.6462484995393093E-2</v>
      </c>
      <c r="M198" s="230">
        <f t="shared" si="108"/>
        <v>5.3839307547051039E-2</v>
      </c>
      <c r="N198" s="230">
        <f t="shared" si="108"/>
        <v>6.4047730642730116E-2</v>
      </c>
      <c r="O198" s="230">
        <f t="shared" si="108"/>
        <v>7.4998299153743911E-2</v>
      </c>
      <c r="P198" s="230">
        <f t="shared" si="108"/>
        <v>8.6663702224673178E-2</v>
      </c>
      <c r="Q198" s="230">
        <f t="shared" si="108"/>
        <v>9.9008313896618599E-2</v>
      </c>
      <c r="R198" s="230">
        <f t="shared" si="108"/>
        <v>0.11198822346409558</v>
      </c>
      <c r="S198" s="230">
        <f t="shared" si="108"/>
        <v>0.12580267311144219</v>
      </c>
      <c r="T198" s="230">
        <f t="shared" si="108"/>
        <v>0.14046996244501464</v>
      </c>
      <c r="U198" s="230">
        <f t="shared" si="108"/>
        <v>0.15600827426288982</v>
      </c>
      <c r="V198" s="230">
        <f t="shared" si="108"/>
        <v>0.17243565895259697</v>
      </c>
      <c r="W198" s="230">
        <f t="shared" si="108"/>
        <v>0.18977001871332308</v>
      </c>
      <c r="X198" s="230">
        <f t="shared" si="108"/>
        <v>0.21360608570777015</v>
      </c>
      <c r="Y198" s="230">
        <f t="shared" si="108"/>
        <v>0.23891658719180461</v>
      </c>
      <c r="Z198" s="230">
        <f t="shared" si="108"/>
        <v>0.26573203207302531</v>
      </c>
      <c r="AA198" s="230">
        <f t="shared" si="108"/>
        <v>0.29408273226108883</v>
      </c>
      <c r="AB198" s="230">
        <f t="shared" si="108"/>
        <v>0.32399877906068653</v>
      </c>
      <c r="AC198" s="230">
        <f t="shared" si="108"/>
        <v>0.35551351207145443</v>
      </c>
      <c r="AD198" s="230">
        <f t="shared" si="108"/>
        <v>0.38865745460018025</v>
      </c>
      <c r="AE198" s="230">
        <f t="shared" si="108"/>
        <v>0.42346093288305958</v>
      </c>
      <c r="AF198" s="230">
        <f t="shared" si="108"/>
        <v>0.45995405462719324</v>
      </c>
      <c r="AG198" s="230">
        <f t="shared" si="108"/>
        <v>0.49816668734778036</v>
      </c>
      <c r="AH198" s="245"/>
      <c r="AI198" s="133"/>
      <c r="AJ198" s="211"/>
      <c r="AL198" s="108"/>
      <c r="AM198" s="2"/>
      <c r="AN198" s="2"/>
      <c r="AO198" s="2"/>
      <c r="BC198" s="1"/>
      <c r="BD198" s="2"/>
      <c r="BE198" s="2"/>
      <c r="BF198" s="2"/>
      <c r="BG198" s="2"/>
      <c r="BH198" s="2"/>
      <c r="BI198" s="2"/>
      <c r="BJ198" s="2"/>
      <c r="BK198" s="2"/>
    </row>
    <row r="199" spans="1:63" s="1" customFormat="1" outlineLevel="1">
      <c r="A199" s="1" t="s">
        <v>1569</v>
      </c>
      <c r="B199" s="65"/>
      <c r="C199" s="300">
        <f>C185*C45</f>
        <v>2.1820102605973023E-2</v>
      </c>
      <c r="D199" s="300">
        <f t="shared" ref="D199:AG199" si="109">D185*D45</f>
        <v>2.7438864853883818E-2</v>
      </c>
      <c r="E199" s="300">
        <f t="shared" si="109"/>
        <v>3.3654904308572306E-2</v>
      </c>
      <c r="F199" s="300">
        <f t="shared" si="109"/>
        <v>4.046472893419778E-2</v>
      </c>
      <c r="G199" s="300">
        <f t="shared" si="109"/>
        <v>4.7857141551787732E-2</v>
      </c>
      <c r="H199" s="300">
        <f t="shared" si="109"/>
        <v>5.5812938066733611E-2</v>
      </c>
      <c r="I199" s="300">
        <f t="shared" si="109"/>
        <v>6.4443468868073353E-2</v>
      </c>
      <c r="J199" s="300">
        <f t="shared" si="109"/>
        <v>7.3772185198442794E-2</v>
      </c>
      <c r="K199" s="300">
        <f t="shared" si="109"/>
        <v>8.382194530214182E-2</v>
      </c>
      <c r="L199" s="300">
        <f t="shared" si="109"/>
        <v>9.4614923107160506E-2</v>
      </c>
      <c r="M199" s="300">
        <f t="shared" si="109"/>
        <v>0.10617251572344646</v>
      </c>
      <c r="N199" s="300">
        <f t="shared" si="109"/>
        <v>0.12216650155790665</v>
      </c>
      <c r="O199" s="300">
        <f t="shared" si="109"/>
        <v>0.13932323928349846</v>
      </c>
      <c r="P199" s="300">
        <f t="shared" si="109"/>
        <v>0.15759993978082434</v>
      </c>
      <c r="Q199" s="300">
        <f t="shared" si="109"/>
        <v>0.1769407862918371</v>
      </c>
      <c r="R199" s="300">
        <f t="shared" si="109"/>
        <v>0.19727698198132337</v>
      </c>
      <c r="S199" s="300">
        <f t="shared" si="109"/>
        <v>0.21892068835004211</v>
      </c>
      <c r="T199" s="300">
        <f t="shared" si="109"/>
        <v>0.24190057619681257</v>
      </c>
      <c r="U199" s="300">
        <f t="shared" si="109"/>
        <v>0.26624513331178085</v>
      </c>
      <c r="V199" s="300">
        <f t="shared" si="109"/>
        <v>0.29198264003165941</v>
      </c>
      <c r="W199" s="300">
        <f t="shared" si="109"/>
        <v>0.31914114451996178</v>
      </c>
      <c r="X199" s="300">
        <f t="shared" si="109"/>
        <v>0.35648615993373267</v>
      </c>
      <c r="Y199" s="300">
        <f t="shared" si="109"/>
        <v>0.39614123676632168</v>
      </c>
      <c r="Z199" s="300">
        <f t="shared" si="109"/>
        <v>0.43815417466625323</v>
      </c>
      <c r="AA199" s="300">
        <f t="shared" si="109"/>
        <v>0.48257246463670356</v>
      </c>
      <c r="AB199" s="300">
        <f t="shared" si="109"/>
        <v>0.52944325204933906</v>
      </c>
      <c r="AC199" s="300">
        <f t="shared" si="109"/>
        <v>0.57881877152250472</v>
      </c>
      <c r="AD199" s="300">
        <f t="shared" si="109"/>
        <v>0.6307468452645677</v>
      </c>
      <c r="AE199" s="300">
        <f t="shared" si="109"/>
        <v>0.68527498672472387</v>
      </c>
      <c r="AF199" s="300">
        <f t="shared" si="109"/>
        <v>0.74245036697301658</v>
      </c>
      <c r="AG199" s="300">
        <f t="shared" si="109"/>
        <v>0.80231978076026356</v>
      </c>
      <c r="AH199" s="245"/>
      <c r="AI199" s="423"/>
      <c r="AJ199" s="424"/>
      <c r="AL199" s="221"/>
      <c r="AM199" s="124"/>
      <c r="AN199" s="124"/>
      <c r="AO199" s="124"/>
      <c r="BD199" s="124"/>
      <c r="BE199" s="124"/>
      <c r="BF199" s="124"/>
      <c r="BG199" s="124"/>
      <c r="BH199" s="124"/>
      <c r="BI199" s="124"/>
      <c r="BJ199" s="124"/>
      <c r="BK199" s="124"/>
    </row>
    <row r="200" spans="1:63" outlineLevel="1">
      <c r="A200" s="4" t="s">
        <v>474</v>
      </c>
      <c r="C200" s="230">
        <f>C$199*'Methanol recycling rates'!E63</f>
        <v>7.8930651746296609E-3</v>
      </c>
      <c r="D200" s="230">
        <f>D$199*'Methanol recycling rates'!F63</f>
        <v>9.9255605035640185E-3</v>
      </c>
      <c r="E200" s="230">
        <f>E$199*'Methanol recycling rates'!G63</f>
        <v>1.2174111091520237E-2</v>
      </c>
      <c r="F200" s="230">
        <f>F$199*'Methanol recycling rates'!H63</f>
        <v>1.4637453751657238E-2</v>
      </c>
      <c r="G200" s="230">
        <f>G$199*'Methanol recycling rates'!I63</f>
        <v>1.7311538087650222E-2</v>
      </c>
      <c r="H200" s="230">
        <f>H$199*'Methanol recycling rates'!J63</f>
        <v>2.0189417332423788E-2</v>
      </c>
      <c r="I200" s="230">
        <f>I$199*'Methanol recycling rates'!K63</f>
        <v>2.3311370667692514E-2</v>
      </c>
      <c r="J200" s="230">
        <f>J$199*'Methanol recycling rates'!L63</f>
        <v>2.6685881196853913E-2</v>
      </c>
      <c r="K200" s="230">
        <f>K$199*'Methanol recycling rates'!M63</f>
        <v>3.0321217515857996E-2</v>
      </c>
      <c r="L200" s="230">
        <f>L$199*'Methanol recycling rates'!N63</f>
        <v>3.4225400680424053E-2</v>
      </c>
      <c r="M200" s="230">
        <f>M$199*'Methanol recycling rates'!O63</f>
        <v>3.8406170745052065E-2</v>
      </c>
      <c r="N200" s="230">
        <f>N$199*'Methanol recycling rates'!P63</f>
        <v>4.4191733483833158E-2</v>
      </c>
      <c r="O200" s="230">
        <f>O$199*'Methanol recycling rates'!Q63</f>
        <v>5.0397902698411191E-2</v>
      </c>
      <c r="P200" s="230">
        <f>P$199*'Methanol recycling rates'!R63</f>
        <v>5.7009200124807806E-2</v>
      </c>
      <c r="Q200" s="230">
        <f>Q$199*'Methanol recycling rates'!S63</f>
        <v>6.4005434963875132E-2</v>
      </c>
      <c r="R200" s="230">
        <f>R$199*'Methanol recycling rates'!T63</f>
        <v>7.1361721085884414E-2</v>
      </c>
      <c r="S200" s="230">
        <f>S$199*'Methanol recycling rates'!U63</f>
        <v>7.9190977807256563E-2</v>
      </c>
      <c r="T200" s="230">
        <f>T$199*'Methanol recycling rates'!V63</f>
        <v>8.7503576320454565E-2</v>
      </c>
      <c r="U200" s="230">
        <f>U$199*'Methanol recycling rates'!W63</f>
        <v>9.630982161754767E-2</v>
      </c>
      <c r="V200" s="230">
        <f>V$199*'Methanol recycling rates'!X63</f>
        <v>0.10561994364771909</v>
      </c>
      <c r="W200" s="230">
        <f>W$199*'Methanol recycling rates'!Y63</f>
        <v>0.11544408837529535</v>
      </c>
      <c r="X200" s="230">
        <f>X$199*'Methanol recycling rates'!Z63</f>
        <v>0.12895303679461917</v>
      </c>
      <c r="Y200" s="230">
        <f>Y$199*'Methanol recycling rates'!AA63</f>
        <v>0.14329761214317374</v>
      </c>
      <c r="Z200" s="230">
        <f>Z$199*'Methanol recycling rates'!AB63</f>
        <v>0.15849510516188453</v>
      </c>
      <c r="AA200" s="230">
        <f>AA$199*'Methanol recycling rates'!AC63</f>
        <v>0.17456269494427132</v>
      </c>
      <c r="AB200" s="230">
        <f>AB$199*'Methanol recycling rates'!AD63</f>
        <v>0.19151743555730916</v>
      </c>
      <c r="AC200" s="230">
        <f>AC$199*'Methanol recycling rates'!AE63</f>
        <v>0.20937822201970691</v>
      </c>
      <c r="AD200" s="230">
        <f>AD$199*'Methanol recycling rates'!AF63</f>
        <v>0.2281623532330441</v>
      </c>
      <c r="AE200" s="230">
        <f>AE$199*'Methanol recycling rates'!AG63</f>
        <v>0.24788701641032093</v>
      </c>
      <c r="AF200" s="230">
        <f>AF$199*'Methanol recycling rates'!AH63</f>
        <v>0.26856927491447996</v>
      </c>
      <c r="AG200" s="230">
        <f>AG$199*'Methanol recycling rates'!AI63</f>
        <v>0.29022605598113982</v>
      </c>
      <c r="AH200" s="245"/>
      <c r="AI200" s="133"/>
      <c r="AJ200" s="211"/>
      <c r="AL200" s="108"/>
      <c r="AM200" s="2"/>
      <c r="AN200" s="2"/>
      <c r="AO200" s="2"/>
      <c r="BC200" s="1"/>
      <c r="BD200" s="2"/>
      <c r="BE200" s="2"/>
      <c r="BF200" s="2"/>
      <c r="BG200" s="2"/>
      <c r="BH200" s="2"/>
      <c r="BI200" s="2"/>
      <c r="BJ200" s="2"/>
      <c r="BK200" s="2"/>
    </row>
    <row r="201" spans="1:63" outlineLevel="1">
      <c r="A201" s="4" t="s">
        <v>745</v>
      </c>
      <c r="C201" s="230">
        <f>C$199*'Methanol recycling rates'!E64</f>
        <v>0</v>
      </c>
      <c r="D201" s="230">
        <f>D$199*'Methanol recycling rates'!F64</f>
        <v>0</v>
      </c>
      <c r="E201" s="230">
        <f>E$199*'Methanol recycling rates'!G64</f>
        <v>0</v>
      </c>
      <c r="F201" s="230">
        <f>F$199*'Methanol recycling rates'!H64</f>
        <v>0</v>
      </c>
      <c r="G201" s="230">
        <f>G$199*'Methanol recycling rates'!I64</f>
        <v>0</v>
      </c>
      <c r="H201" s="230">
        <f>H$199*'Methanol recycling rates'!J64</f>
        <v>0</v>
      </c>
      <c r="I201" s="230">
        <f>I$199*'Methanol recycling rates'!K64</f>
        <v>0</v>
      </c>
      <c r="J201" s="230">
        <f>J$199*'Methanol recycling rates'!L64</f>
        <v>0</v>
      </c>
      <c r="K201" s="230">
        <f>K$199*'Methanol recycling rates'!M64</f>
        <v>0</v>
      </c>
      <c r="L201" s="230">
        <f>L$199*'Methanol recycling rates'!N64</f>
        <v>0</v>
      </c>
      <c r="M201" s="230">
        <f>M$199*'Methanol recycling rates'!O64</f>
        <v>0</v>
      </c>
      <c r="N201" s="230">
        <f>N$199*'Methanol recycling rates'!P64</f>
        <v>0</v>
      </c>
      <c r="O201" s="230">
        <f>O$199*'Methanol recycling rates'!Q64</f>
        <v>0</v>
      </c>
      <c r="P201" s="230">
        <f>P$199*'Methanol recycling rates'!R64</f>
        <v>0</v>
      </c>
      <c r="Q201" s="230">
        <f>Q$199*'Methanol recycling rates'!S64</f>
        <v>0</v>
      </c>
      <c r="R201" s="230">
        <f>R$199*'Methanol recycling rates'!T64</f>
        <v>0</v>
      </c>
      <c r="S201" s="230">
        <f>S$199*'Methanol recycling rates'!U64</f>
        <v>0</v>
      </c>
      <c r="T201" s="230">
        <f>T$199*'Methanol recycling rates'!V64</f>
        <v>0</v>
      </c>
      <c r="U201" s="230">
        <f>U$199*'Methanol recycling rates'!W64</f>
        <v>0</v>
      </c>
      <c r="V201" s="230">
        <f>V$199*'Methanol recycling rates'!X64</f>
        <v>0</v>
      </c>
      <c r="W201" s="230">
        <f>W$199*'Methanol recycling rates'!Y64</f>
        <v>0</v>
      </c>
      <c r="X201" s="230">
        <f>X$199*'Methanol recycling rates'!Z64</f>
        <v>0</v>
      </c>
      <c r="Y201" s="230">
        <f>Y$199*'Methanol recycling rates'!AA64</f>
        <v>0</v>
      </c>
      <c r="Z201" s="230">
        <f>Z$199*'Methanol recycling rates'!AB64</f>
        <v>0</v>
      </c>
      <c r="AA201" s="230">
        <f>AA$199*'Methanol recycling rates'!AC64</f>
        <v>0</v>
      </c>
      <c r="AB201" s="230">
        <f>AB$199*'Methanol recycling rates'!AD64</f>
        <v>0</v>
      </c>
      <c r="AC201" s="230">
        <f>AC$199*'Methanol recycling rates'!AE64</f>
        <v>0</v>
      </c>
      <c r="AD201" s="230">
        <f>AD$199*'Methanol recycling rates'!AF64</f>
        <v>0</v>
      </c>
      <c r="AE201" s="230">
        <f>AE$199*'Methanol recycling rates'!AG64</f>
        <v>0</v>
      </c>
      <c r="AF201" s="230">
        <f>AF$199*'Methanol recycling rates'!AH64</f>
        <v>0</v>
      </c>
      <c r="AG201" s="230">
        <f>AG$199*'Methanol recycling rates'!AI64</f>
        <v>0</v>
      </c>
      <c r="AH201" s="245"/>
      <c r="AI201" s="133"/>
      <c r="AJ201" s="211"/>
      <c r="AL201" s="108"/>
      <c r="AM201" s="2"/>
      <c r="AN201" s="2"/>
      <c r="AO201" s="2"/>
      <c r="BC201" s="1"/>
      <c r="BD201" s="2"/>
      <c r="BE201" s="2"/>
      <c r="BF201" s="2"/>
      <c r="BG201" s="2"/>
      <c r="BH201" s="2"/>
      <c r="BI201" s="2"/>
      <c r="BJ201" s="2"/>
      <c r="BK201" s="2"/>
    </row>
    <row r="202" spans="1:63" outlineLevel="1">
      <c r="A202" s="4" t="s">
        <v>1561</v>
      </c>
      <c r="C202" s="230">
        <f>C$199*'Methanol recycling rates'!E65</f>
        <v>1.3927037431343362E-2</v>
      </c>
      <c r="D202" s="230">
        <f>D$199*'Methanol recycling rates'!F65</f>
        <v>1.7513304350319801E-2</v>
      </c>
      <c r="E202" s="230">
        <f>E$199*'Methanol recycling rates'!G65</f>
        <v>2.1480793217052069E-2</v>
      </c>
      <c r="F202" s="230">
        <f>F$199*'Methanol recycling rates'!H65</f>
        <v>2.5827275182540542E-2</v>
      </c>
      <c r="G202" s="230">
        <f>G$199*'Methanol recycling rates'!I65</f>
        <v>3.0545603464137511E-2</v>
      </c>
      <c r="H202" s="230">
        <f>H$199*'Methanol recycling rates'!J65</f>
        <v>3.5623520734309827E-2</v>
      </c>
      <c r="I202" s="230">
        <f>I$199*'Methanol recycling rates'!K65</f>
        <v>4.1132098200380836E-2</v>
      </c>
      <c r="J202" s="230">
        <f>J$199*'Methanol recycling rates'!L65</f>
        <v>4.7086304001588877E-2</v>
      </c>
      <c r="K202" s="230">
        <f>K$199*'Methanol recycling rates'!M65</f>
        <v>5.3500727786283828E-2</v>
      </c>
      <c r="L202" s="230">
        <f>L$199*'Methanol recycling rates'!N65</f>
        <v>6.0389522426736453E-2</v>
      </c>
      <c r="M202" s="230">
        <f>M$199*'Methanol recycling rates'!O65</f>
        <v>6.7766344978394399E-2</v>
      </c>
      <c r="N202" s="230">
        <f>N$199*'Methanol recycling rates'!P65</f>
        <v>7.7974768074073483E-2</v>
      </c>
      <c r="O202" s="230">
        <f>O$199*'Methanol recycling rates'!Q65</f>
        <v>8.8925336585087278E-2</v>
      </c>
      <c r="P202" s="230">
        <f>P$199*'Methanol recycling rates'!R65</f>
        <v>0.10059073965601655</v>
      </c>
      <c r="Q202" s="230">
        <f>Q$199*'Methanol recycling rates'!S65</f>
        <v>0.11293535132796197</v>
      </c>
      <c r="R202" s="230">
        <f>R$199*'Methanol recycling rates'!T65</f>
        <v>0.12591526089543895</v>
      </c>
      <c r="S202" s="230">
        <f>S$199*'Methanol recycling rates'!U65</f>
        <v>0.13972971054278555</v>
      </c>
      <c r="T202" s="230">
        <f>T$199*'Methanol recycling rates'!V65</f>
        <v>0.15439699987635799</v>
      </c>
      <c r="U202" s="230">
        <f>U$199*'Methanol recycling rates'!W65</f>
        <v>0.16993531169423318</v>
      </c>
      <c r="V202" s="230">
        <f>V$199*'Methanol recycling rates'!X65</f>
        <v>0.18636269638394032</v>
      </c>
      <c r="W202" s="230">
        <f>W$199*'Methanol recycling rates'!Y65</f>
        <v>0.20369705614466643</v>
      </c>
      <c r="X202" s="230">
        <f>X$199*'Methanol recycling rates'!Z65</f>
        <v>0.2275331231391135</v>
      </c>
      <c r="Y202" s="230">
        <f>Y$199*'Methanol recycling rates'!AA65</f>
        <v>0.25284362462314797</v>
      </c>
      <c r="Z202" s="230">
        <f>Z$199*'Methanol recycling rates'!AB65</f>
        <v>0.2796590695043687</v>
      </c>
      <c r="AA202" s="230">
        <f>AA$199*'Methanol recycling rates'!AC65</f>
        <v>0.30800976969243221</v>
      </c>
      <c r="AB202" s="230">
        <f>AB$199*'Methanol recycling rates'!AD65</f>
        <v>0.33792581649202991</v>
      </c>
      <c r="AC202" s="230">
        <f>AC$199*'Methanol recycling rates'!AE65</f>
        <v>0.36944054950279781</v>
      </c>
      <c r="AD202" s="230">
        <f>AD$199*'Methanol recycling rates'!AF65</f>
        <v>0.40258449203152363</v>
      </c>
      <c r="AE202" s="230">
        <f>AE$199*'Methanol recycling rates'!AG65</f>
        <v>0.43738797031440296</v>
      </c>
      <c r="AF202" s="230">
        <f>AF$199*'Methanol recycling rates'!AH65</f>
        <v>0.47388109205853662</v>
      </c>
      <c r="AG202" s="230">
        <f>AG$199*'Methanol recycling rates'!AI65</f>
        <v>0.51209372477912374</v>
      </c>
      <c r="AH202" s="245"/>
      <c r="AI202" s="133"/>
      <c r="AJ202" s="211"/>
      <c r="AL202" s="108"/>
      <c r="AM202" s="2"/>
      <c r="AN202" s="2"/>
      <c r="AO202" s="2"/>
      <c r="BC202" s="1"/>
      <c r="BD202" s="2"/>
      <c r="BE202" s="2"/>
      <c r="BF202" s="2"/>
      <c r="BG202" s="2"/>
      <c r="BH202" s="2"/>
      <c r="BI202" s="2"/>
      <c r="BJ202" s="2"/>
      <c r="BK202" s="2"/>
    </row>
    <row r="203" spans="1:63" s="1" customFormat="1" outlineLevel="1">
      <c r="A203" s="1" t="s">
        <v>1570</v>
      </c>
      <c r="B203" s="65"/>
      <c r="C203" s="300">
        <f>C199-$C199</f>
        <v>0</v>
      </c>
      <c r="D203" s="300">
        <f t="shared" ref="D203:AG206" si="110">D199-$C199</f>
        <v>5.6187622479107954E-3</v>
      </c>
      <c r="E203" s="300">
        <f t="shared" si="110"/>
        <v>1.1834801702599283E-2</v>
      </c>
      <c r="F203" s="300">
        <f t="shared" si="110"/>
        <v>1.8644626328224757E-2</v>
      </c>
      <c r="G203" s="300">
        <f t="shared" si="110"/>
        <v>2.603703894581471E-2</v>
      </c>
      <c r="H203" s="300">
        <f t="shared" si="110"/>
        <v>3.3992835460760588E-2</v>
      </c>
      <c r="I203" s="300">
        <f t="shared" si="110"/>
        <v>4.262336626210033E-2</v>
      </c>
      <c r="J203" s="300">
        <f t="shared" si="110"/>
        <v>5.1952082592469771E-2</v>
      </c>
      <c r="K203" s="300">
        <f t="shared" si="110"/>
        <v>6.2001842696168798E-2</v>
      </c>
      <c r="L203" s="300">
        <f t="shared" si="110"/>
        <v>7.279482050118749E-2</v>
      </c>
      <c r="M203" s="300">
        <f t="shared" si="110"/>
        <v>8.4352413117473435E-2</v>
      </c>
      <c r="N203" s="300">
        <f t="shared" si="110"/>
        <v>0.10034639895193362</v>
      </c>
      <c r="O203" s="300">
        <f t="shared" si="110"/>
        <v>0.11750313667752543</v>
      </c>
      <c r="P203" s="300">
        <f t="shared" si="110"/>
        <v>0.13577983717485131</v>
      </c>
      <c r="Q203" s="300">
        <f t="shared" si="110"/>
        <v>0.15512068368586407</v>
      </c>
      <c r="R203" s="300">
        <f t="shared" si="110"/>
        <v>0.17545687937535034</v>
      </c>
      <c r="S203" s="300">
        <f t="shared" si="110"/>
        <v>0.19710058574406908</v>
      </c>
      <c r="T203" s="300">
        <f t="shared" si="110"/>
        <v>0.22008047359083954</v>
      </c>
      <c r="U203" s="300">
        <f t="shared" si="110"/>
        <v>0.24442503070580782</v>
      </c>
      <c r="V203" s="300">
        <f t="shared" si="110"/>
        <v>0.27016253742568641</v>
      </c>
      <c r="W203" s="300">
        <f t="shared" si="110"/>
        <v>0.29732104191398878</v>
      </c>
      <c r="X203" s="300">
        <f t="shared" si="110"/>
        <v>0.33466605732775967</v>
      </c>
      <c r="Y203" s="300">
        <f t="shared" si="110"/>
        <v>0.37432113416034868</v>
      </c>
      <c r="Z203" s="300">
        <f t="shared" si="110"/>
        <v>0.41633407206028022</v>
      </c>
      <c r="AA203" s="300">
        <f t="shared" si="110"/>
        <v>0.46075236203073056</v>
      </c>
      <c r="AB203" s="300">
        <f t="shared" si="110"/>
        <v>0.50762314944336606</v>
      </c>
      <c r="AC203" s="300">
        <f t="shared" si="110"/>
        <v>0.55699866891653171</v>
      </c>
      <c r="AD203" s="300">
        <f t="shared" si="110"/>
        <v>0.6089267426585947</v>
      </c>
      <c r="AE203" s="300">
        <f t="shared" si="110"/>
        <v>0.66345488411875086</v>
      </c>
      <c r="AF203" s="300">
        <f t="shared" si="110"/>
        <v>0.72063026436704358</v>
      </c>
      <c r="AG203" s="300">
        <f t="shared" si="110"/>
        <v>0.78049967815429055</v>
      </c>
      <c r="AH203" s="245"/>
      <c r="AI203" s="423"/>
      <c r="AJ203" s="424"/>
      <c r="AL203" s="221"/>
      <c r="AM203" s="124"/>
      <c r="AN203" s="124"/>
      <c r="AO203" s="124"/>
      <c r="BD203" s="124"/>
      <c r="BE203" s="124"/>
      <c r="BF203" s="124"/>
      <c r="BG203" s="124"/>
      <c r="BH203" s="124"/>
      <c r="BI203" s="124"/>
      <c r="BJ203" s="124"/>
      <c r="BK203" s="124"/>
    </row>
    <row r="204" spans="1:63" outlineLevel="1">
      <c r="A204" s="4" t="s">
        <v>474</v>
      </c>
      <c r="C204" s="230">
        <f t="shared" ref="C204:C206" si="111">C200-$C200</f>
        <v>0</v>
      </c>
      <c r="D204" s="230">
        <f t="shared" si="110"/>
        <v>2.0324953289343577E-3</v>
      </c>
      <c r="E204" s="230">
        <f t="shared" si="110"/>
        <v>4.2810459168905763E-3</v>
      </c>
      <c r="F204" s="230">
        <f t="shared" si="110"/>
        <v>6.7443885770275772E-3</v>
      </c>
      <c r="G204" s="230">
        <f t="shared" si="110"/>
        <v>9.4184729130205608E-3</v>
      </c>
      <c r="H204" s="230">
        <f t="shared" si="110"/>
        <v>1.2296352157794127E-2</v>
      </c>
      <c r="I204" s="230">
        <f t="shared" si="110"/>
        <v>1.5418305493062853E-2</v>
      </c>
      <c r="J204" s="230">
        <f t="shared" si="110"/>
        <v>1.8792816022224254E-2</v>
      </c>
      <c r="K204" s="230">
        <f t="shared" si="110"/>
        <v>2.2428152341228337E-2</v>
      </c>
      <c r="L204" s="230">
        <f t="shared" si="110"/>
        <v>2.6332335505794391E-2</v>
      </c>
      <c r="M204" s="230">
        <f t="shared" si="110"/>
        <v>3.0513105570422402E-2</v>
      </c>
      <c r="N204" s="230">
        <f t="shared" si="110"/>
        <v>3.6298668309203495E-2</v>
      </c>
      <c r="O204" s="230">
        <f t="shared" si="110"/>
        <v>4.2504837523781529E-2</v>
      </c>
      <c r="P204" s="230">
        <f t="shared" si="110"/>
        <v>4.9116134950178143E-2</v>
      </c>
      <c r="Q204" s="230">
        <f t="shared" si="110"/>
        <v>5.611236978924547E-2</v>
      </c>
      <c r="R204" s="230">
        <f t="shared" si="110"/>
        <v>6.3468655911254751E-2</v>
      </c>
      <c r="S204" s="230">
        <f t="shared" si="110"/>
        <v>7.12979126326269E-2</v>
      </c>
      <c r="T204" s="230">
        <f t="shared" si="110"/>
        <v>7.9610511145824903E-2</v>
      </c>
      <c r="U204" s="230">
        <f t="shared" si="110"/>
        <v>8.8416756442918007E-2</v>
      </c>
      <c r="V204" s="230">
        <f t="shared" si="110"/>
        <v>9.7726878473089432E-2</v>
      </c>
      <c r="W204" s="230">
        <f t="shared" si="110"/>
        <v>0.10755102320066569</v>
      </c>
      <c r="X204" s="230">
        <f t="shared" si="110"/>
        <v>0.12105997161998951</v>
      </c>
      <c r="Y204" s="230">
        <f t="shared" si="110"/>
        <v>0.13540454696854409</v>
      </c>
      <c r="Z204" s="230">
        <f t="shared" si="110"/>
        <v>0.15060203998725488</v>
      </c>
      <c r="AA204" s="230">
        <f t="shared" si="110"/>
        <v>0.16666962976964167</v>
      </c>
      <c r="AB204" s="230">
        <f t="shared" si="110"/>
        <v>0.18362437038267951</v>
      </c>
      <c r="AC204" s="230">
        <f t="shared" si="110"/>
        <v>0.20148515684507726</v>
      </c>
      <c r="AD204" s="230">
        <f t="shared" si="110"/>
        <v>0.22026928805841445</v>
      </c>
      <c r="AE204" s="230">
        <f t="shared" si="110"/>
        <v>0.23999395123569128</v>
      </c>
      <c r="AF204" s="230">
        <f t="shared" si="110"/>
        <v>0.26067620973985028</v>
      </c>
      <c r="AG204" s="230">
        <f t="shared" si="110"/>
        <v>0.28233299080651014</v>
      </c>
      <c r="AH204" s="245"/>
      <c r="AI204" s="133"/>
      <c r="AJ204" s="211"/>
      <c r="AL204" s="108"/>
      <c r="AM204" s="2"/>
      <c r="AN204" s="2"/>
      <c r="AO204" s="2"/>
      <c r="BC204" s="1"/>
      <c r="BD204" s="2"/>
      <c r="BE204" s="2"/>
      <c r="BF204" s="2"/>
      <c r="BG204" s="2"/>
      <c r="BH204" s="2"/>
      <c r="BI204" s="2"/>
      <c r="BJ204" s="2"/>
      <c r="BK204" s="2"/>
    </row>
    <row r="205" spans="1:63" outlineLevel="1">
      <c r="A205" s="4" t="s">
        <v>745</v>
      </c>
      <c r="C205" s="230">
        <f t="shared" si="111"/>
        <v>0</v>
      </c>
      <c r="D205" s="230">
        <f t="shared" si="110"/>
        <v>0</v>
      </c>
      <c r="E205" s="230">
        <f t="shared" si="110"/>
        <v>0</v>
      </c>
      <c r="F205" s="230">
        <f t="shared" si="110"/>
        <v>0</v>
      </c>
      <c r="G205" s="230">
        <f t="shared" si="110"/>
        <v>0</v>
      </c>
      <c r="H205" s="230">
        <f t="shared" si="110"/>
        <v>0</v>
      </c>
      <c r="I205" s="230">
        <f t="shared" si="110"/>
        <v>0</v>
      </c>
      <c r="J205" s="230">
        <f t="shared" si="110"/>
        <v>0</v>
      </c>
      <c r="K205" s="230">
        <f t="shared" si="110"/>
        <v>0</v>
      </c>
      <c r="L205" s="230">
        <f t="shared" si="110"/>
        <v>0</v>
      </c>
      <c r="M205" s="230">
        <f t="shared" si="110"/>
        <v>0</v>
      </c>
      <c r="N205" s="230">
        <f t="shared" si="110"/>
        <v>0</v>
      </c>
      <c r="O205" s="230">
        <f t="shared" si="110"/>
        <v>0</v>
      </c>
      <c r="P205" s="230">
        <f t="shared" si="110"/>
        <v>0</v>
      </c>
      <c r="Q205" s="230">
        <f t="shared" si="110"/>
        <v>0</v>
      </c>
      <c r="R205" s="230">
        <f t="shared" si="110"/>
        <v>0</v>
      </c>
      <c r="S205" s="230">
        <f t="shared" si="110"/>
        <v>0</v>
      </c>
      <c r="T205" s="230">
        <f t="shared" si="110"/>
        <v>0</v>
      </c>
      <c r="U205" s="230">
        <f t="shared" si="110"/>
        <v>0</v>
      </c>
      <c r="V205" s="230">
        <f t="shared" si="110"/>
        <v>0</v>
      </c>
      <c r="W205" s="230">
        <f t="shared" si="110"/>
        <v>0</v>
      </c>
      <c r="X205" s="230">
        <f t="shared" si="110"/>
        <v>0</v>
      </c>
      <c r="Y205" s="230">
        <f t="shared" si="110"/>
        <v>0</v>
      </c>
      <c r="Z205" s="230">
        <f t="shared" si="110"/>
        <v>0</v>
      </c>
      <c r="AA205" s="230">
        <f t="shared" si="110"/>
        <v>0</v>
      </c>
      <c r="AB205" s="230">
        <f t="shared" si="110"/>
        <v>0</v>
      </c>
      <c r="AC205" s="230">
        <f t="shared" si="110"/>
        <v>0</v>
      </c>
      <c r="AD205" s="230">
        <f t="shared" si="110"/>
        <v>0</v>
      </c>
      <c r="AE205" s="230">
        <f t="shared" si="110"/>
        <v>0</v>
      </c>
      <c r="AF205" s="230">
        <f t="shared" si="110"/>
        <v>0</v>
      </c>
      <c r="AG205" s="230">
        <f t="shared" si="110"/>
        <v>0</v>
      </c>
      <c r="AH205" s="245"/>
      <c r="AI205" s="133"/>
      <c r="AJ205" s="211"/>
      <c r="AL205" s="108"/>
      <c r="AM205" s="2"/>
      <c r="AN205" s="2"/>
      <c r="AO205" s="2"/>
      <c r="BC205" s="1"/>
      <c r="BD205" s="2"/>
      <c r="BE205" s="2"/>
      <c r="BF205" s="2"/>
      <c r="BG205" s="2"/>
      <c r="BH205" s="2"/>
      <c r="BI205" s="2"/>
      <c r="BJ205" s="2"/>
      <c r="BK205" s="2"/>
    </row>
    <row r="206" spans="1:63" outlineLevel="1">
      <c r="A206" s="4" t="s">
        <v>1561</v>
      </c>
      <c r="C206" s="230">
        <f t="shared" si="111"/>
        <v>0</v>
      </c>
      <c r="D206" s="230">
        <f t="shared" si="110"/>
        <v>3.5862669189764395E-3</v>
      </c>
      <c r="E206" s="230">
        <f t="shared" si="110"/>
        <v>7.553755785708707E-3</v>
      </c>
      <c r="F206" s="230">
        <f t="shared" si="110"/>
        <v>1.190023775119718E-2</v>
      </c>
      <c r="G206" s="230">
        <f t="shared" si="110"/>
        <v>1.6618566032794151E-2</v>
      </c>
      <c r="H206" s="230">
        <f t="shared" si="110"/>
        <v>2.1696483302966467E-2</v>
      </c>
      <c r="I206" s="230">
        <f t="shared" si="110"/>
        <v>2.7205060769037476E-2</v>
      </c>
      <c r="J206" s="230">
        <f t="shared" si="110"/>
        <v>3.3159266570245517E-2</v>
      </c>
      <c r="K206" s="230">
        <f t="shared" si="110"/>
        <v>3.9573690354940468E-2</v>
      </c>
      <c r="L206" s="230">
        <f t="shared" si="110"/>
        <v>4.6462484995393093E-2</v>
      </c>
      <c r="M206" s="230">
        <f t="shared" si="110"/>
        <v>5.3839307547051039E-2</v>
      </c>
      <c r="N206" s="230">
        <f t="shared" si="110"/>
        <v>6.4047730642730116E-2</v>
      </c>
      <c r="O206" s="230">
        <f t="shared" si="110"/>
        <v>7.4998299153743911E-2</v>
      </c>
      <c r="P206" s="230">
        <f t="shared" si="110"/>
        <v>8.6663702224673178E-2</v>
      </c>
      <c r="Q206" s="230">
        <f t="shared" si="110"/>
        <v>9.9008313896618599E-2</v>
      </c>
      <c r="R206" s="230">
        <f t="shared" si="110"/>
        <v>0.11198822346409558</v>
      </c>
      <c r="S206" s="230">
        <f t="shared" si="110"/>
        <v>0.12580267311144219</v>
      </c>
      <c r="T206" s="230">
        <f t="shared" si="110"/>
        <v>0.14046996244501464</v>
      </c>
      <c r="U206" s="230">
        <f t="shared" si="110"/>
        <v>0.15600827426288982</v>
      </c>
      <c r="V206" s="230">
        <f t="shared" si="110"/>
        <v>0.17243565895259697</v>
      </c>
      <c r="W206" s="230">
        <f t="shared" si="110"/>
        <v>0.18977001871332308</v>
      </c>
      <c r="X206" s="230">
        <f t="shared" si="110"/>
        <v>0.21360608570777015</v>
      </c>
      <c r="Y206" s="230">
        <f t="shared" si="110"/>
        <v>0.23891658719180461</v>
      </c>
      <c r="Z206" s="230">
        <f t="shared" si="110"/>
        <v>0.26573203207302531</v>
      </c>
      <c r="AA206" s="230">
        <f t="shared" si="110"/>
        <v>0.29408273226108883</v>
      </c>
      <c r="AB206" s="230">
        <f t="shared" si="110"/>
        <v>0.32399877906068653</v>
      </c>
      <c r="AC206" s="230">
        <f t="shared" si="110"/>
        <v>0.35551351207145443</v>
      </c>
      <c r="AD206" s="230">
        <f t="shared" si="110"/>
        <v>0.38865745460018025</v>
      </c>
      <c r="AE206" s="230">
        <f t="shared" si="110"/>
        <v>0.42346093288305958</v>
      </c>
      <c r="AF206" s="230">
        <f t="shared" si="110"/>
        <v>0.45995405462719324</v>
      </c>
      <c r="AG206" s="230">
        <f t="shared" si="110"/>
        <v>0.49816668734778036</v>
      </c>
      <c r="AH206" s="245"/>
      <c r="AI206" s="133"/>
      <c r="AJ206" s="211"/>
      <c r="AL206" s="108"/>
      <c r="AM206" s="2"/>
      <c r="AN206" s="2"/>
      <c r="AO206" s="2"/>
      <c r="BC206" s="1"/>
      <c r="BD206" s="2"/>
      <c r="BE206" s="2"/>
      <c r="BF206" s="2"/>
      <c r="BG206" s="2"/>
      <c r="BH206" s="2"/>
      <c r="BI206" s="2"/>
      <c r="BJ206" s="2"/>
      <c r="BK206" s="2"/>
    </row>
    <row r="207" spans="1:63" s="1" customFormat="1" outlineLevel="1">
      <c r="A207" s="1" t="s">
        <v>1567</v>
      </c>
      <c r="B207" s="65"/>
      <c r="C207" s="300">
        <f>C185*C45</f>
        <v>2.1820102605973023E-2</v>
      </c>
      <c r="D207" s="300">
        <f t="shared" ref="D207:AG207" si="112">D185*D45</f>
        <v>2.7438864853883818E-2</v>
      </c>
      <c r="E207" s="300">
        <f t="shared" si="112"/>
        <v>3.3654904308572306E-2</v>
      </c>
      <c r="F207" s="300">
        <f t="shared" si="112"/>
        <v>4.046472893419778E-2</v>
      </c>
      <c r="G207" s="300">
        <f t="shared" si="112"/>
        <v>4.7857141551787732E-2</v>
      </c>
      <c r="H207" s="300">
        <f t="shared" si="112"/>
        <v>5.5812938066733611E-2</v>
      </c>
      <c r="I207" s="300">
        <f t="shared" si="112"/>
        <v>6.4443468868073353E-2</v>
      </c>
      <c r="J207" s="300">
        <f t="shared" si="112"/>
        <v>7.3772185198442794E-2</v>
      </c>
      <c r="K207" s="300">
        <f t="shared" si="112"/>
        <v>8.382194530214182E-2</v>
      </c>
      <c r="L207" s="300">
        <f t="shared" si="112"/>
        <v>9.4614923107160506E-2</v>
      </c>
      <c r="M207" s="300">
        <f t="shared" si="112"/>
        <v>0.10617251572344646</v>
      </c>
      <c r="N207" s="300">
        <f t="shared" si="112"/>
        <v>0.12216650155790665</v>
      </c>
      <c r="O207" s="300">
        <f t="shared" si="112"/>
        <v>0.13932323928349846</v>
      </c>
      <c r="P207" s="300">
        <f t="shared" si="112"/>
        <v>0.15759993978082434</v>
      </c>
      <c r="Q207" s="300">
        <f t="shared" si="112"/>
        <v>0.1769407862918371</v>
      </c>
      <c r="R207" s="300">
        <f t="shared" si="112"/>
        <v>0.19727698198132337</v>
      </c>
      <c r="S207" s="300">
        <f t="shared" si="112"/>
        <v>0.21892068835004211</v>
      </c>
      <c r="T207" s="300">
        <f t="shared" si="112"/>
        <v>0.24190057619681257</v>
      </c>
      <c r="U207" s="300">
        <f t="shared" si="112"/>
        <v>0.26624513331178085</v>
      </c>
      <c r="V207" s="300">
        <f t="shared" si="112"/>
        <v>0.29198264003165941</v>
      </c>
      <c r="W207" s="300">
        <f t="shared" si="112"/>
        <v>0.31914114451996178</v>
      </c>
      <c r="X207" s="300">
        <f t="shared" si="112"/>
        <v>0.35648615993373267</v>
      </c>
      <c r="Y207" s="300">
        <f t="shared" si="112"/>
        <v>0.39614123676632168</v>
      </c>
      <c r="Z207" s="300">
        <f t="shared" si="112"/>
        <v>0.43815417466625323</v>
      </c>
      <c r="AA207" s="300">
        <f t="shared" si="112"/>
        <v>0.48257246463670356</v>
      </c>
      <c r="AB207" s="300">
        <f t="shared" si="112"/>
        <v>0.52944325204933906</v>
      </c>
      <c r="AC207" s="300">
        <f t="shared" si="112"/>
        <v>0.57881877152250472</v>
      </c>
      <c r="AD207" s="300">
        <f t="shared" si="112"/>
        <v>0.6307468452645677</v>
      </c>
      <c r="AE207" s="300">
        <f t="shared" si="112"/>
        <v>0.68527498672472387</v>
      </c>
      <c r="AF207" s="300">
        <f t="shared" si="112"/>
        <v>0.74245036697301658</v>
      </c>
      <c r="AG207" s="300">
        <f t="shared" si="112"/>
        <v>0.80231978076026356</v>
      </c>
      <c r="AH207" s="245"/>
      <c r="AI207" s="423"/>
      <c r="AJ207" s="424"/>
      <c r="AL207" s="221"/>
      <c r="AM207" s="124"/>
      <c r="AN207" s="124"/>
      <c r="AO207" s="124"/>
      <c r="BD207" s="124"/>
      <c r="BE207" s="124"/>
      <c r="BF207" s="124"/>
      <c r="BG207" s="124"/>
      <c r="BH207" s="124"/>
      <c r="BI207" s="124"/>
      <c r="BJ207" s="124"/>
      <c r="BK207" s="124"/>
    </row>
    <row r="208" spans="1:63" outlineLevel="1">
      <c r="A208" s="4" t="s">
        <v>474</v>
      </c>
      <c r="C208" s="230">
        <f>C$207*'Methanol recycling rates'!E66</f>
        <v>7.8930651746296609E-3</v>
      </c>
      <c r="D208" s="230">
        <f>D$207*'Methanol recycling rates'!F66</f>
        <v>9.9255605035640185E-3</v>
      </c>
      <c r="E208" s="230">
        <f>E$207*'Methanol recycling rates'!G66</f>
        <v>1.2174111091520237E-2</v>
      </c>
      <c r="F208" s="230">
        <f>F$207*'Methanol recycling rates'!H66</f>
        <v>1.4637453751657238E-2</v>
      </c>
      <c r="G208" s="230">
        <f>G$207*'Methanol recycling rates'!I66</f>
        <v>1.7311538087650222E-2</v>
      </c>
      <c r="H208" s="230">
        <f>H$207*'Methanol recycling rates'!J66</f>
        <v>2.0189417332423788E-2</v>
      </c>
      <c r="I208" s="230">
        <f>I$207*'Methanol recycling rates'!K66</f>
        <v>2.3311370667692514E-2</v>
      </c>
      <c r="J208" s="230">
        <f>J$207*'Methanol recycling rates'!L66</f>
        <v>2.6685881196853913E-2</v>
      </c>
      <c r="K208" s="230">
        <f>K$207*'Methanol recycling rates'!M66</f>
        <v>3.0321217515857996E-2</v>
      </c>
      <c r="L208" s="230">
        <f>L$207*'Methanol recycling rates'!N66</f>
        <v>3.4225400680424053E-2</v>
      </c>
      <c r="M208" s="230">
        <f>M$207*'Methanol recycling rates'!O66</f>
        <v>3.8406170745052065E-2</v>
      </c>
      <c r="N208" s="230">
        <f>N$207*'Methanol recycling rates'!P66</f>
        <v>4.4191733483833158E-2</v>
      </c>
      <c r="O208" s="230">
        <f>O$207*'Methanol recycling rates'!Q66</f>
        <v>5.0397902698411191E-2</v>
      </c>
      <c r="P208" s="230">
        <f>P$207*'Methanol recycling rates'!R66</f>
        <v>5.7009200124807806E-2</v>
      </c>
      <c r="Q208" s="230">
        <f>Q$207*'Methanol recycling rates'!S66</f>
        <v>6.4005434963875132E-2</v>
      </c>
      <c r="R208" s="230">
        <f>R$207*'Methanol recycling rates'!T66</f>
        <v>7.1361721085884414E-2</v>
      </c>
      <c r="S208" s="230">
        <f>S$207*'Methanol recycling rates'!U66</f>
        <v>7.9190977807256563E-2</v>
      </c>
      <c r="T208" s="230">
        <f>T$207*'Methanol recycling rates'!V66</f>
        <v>8.7503576320454565E-2</v>
      </c>
      <c r="U208" s="230">
        <f>U$207*'Methanol recycling rates'!W66</f>
        <v>9.630982161754767E-2</v>
      </c>
      <c r="V208" s="230">
        <f>V$207*'Methanol recycling rates'!X66</f>
        <v>0.10561994364771909</v>
      </c>
      <c r="W208" s="230">
        <f>W$207*'Methanol recycling rates'!Y66</f>
        <v>0.11544408837529535</v>
      </c>
      <c r="X208" s="230">
        <f>X$207*'Methanol recycling rates'!Z66</f>
        <v>0.12895303679461917</v>
      </c>
      <c r="Y208" s="230">
        <f>Y$207*'Methanol recycling rates'!AA66</f>
        <v>0.14329761214317374</v>
      </c>
      <c r="Z208" s="230">
        <f>Z$207*'Methanol recycling rates'!AB66</f>
        <v>0.15849510516188453</v>
      </c>
      <c r="AA208" s="230">
        <f>AA$207*'Methanol recycling rates'!AC66</f>
        <v>0.17456269494427132</v>
      </c>
      <c r="AB208" s="230">
        <f>AB$207*'Methanol recycling rates'!AD66</f>
        <v>0.19151743555730916</v>
      </c>
      <c r="AC208" s="230">
        <f>AC$207*'Methanol recycling rates'!AE66</f>
        <v>0.20937822201970691</v>
      </c>
      <c r="AD208" s="230">
        <f>AD$207*'Methanol recycling rates'!AF66</f>
        <v>0.2281623532330441</v>
      </c>
      <c r="AE208" s="230">
        <f>AE$207*'Methanol recycling rates'!AG66</f>
        <v>0.24788701641032093</v>
      </c>
      <c r="AF208" s="230">
        <f>AF$207*'Methanol recycling rates'!AH66</f>
        <v>0.26856927491447996</v>
      </c>
      <c r="AG208" s="230">
        <f>AG$207*'Methanol recycling rates'!AI66</f>
        <v>0.29022605598113982</v>
      </c>
      <c r="AH208" s="245"/>
      <c r="AI208" s="133"/>
      <c r="AJ208" s="211"/>
      <c r="AL208" s="108"/>
      <c r="AM208" s="2"/>
      <c r="AN208" s="2"/>
      <c r="AO208" s="2"/>
      <c r="BC208" s="1"/>
      <c r="BD208" s="2"/>
      <c r="BE208" s="2"/>
      <c r="BF208" s="2"/>
      <c r="BG208" s="2"/>
      <c r="BH208" s="2"/>
      <c r="BI208" s="2"/>
      <c r="BJ208" s="2"/>
      <c r="BK208" s="2"/>
    </row>
    <row r="209" spans="1:63" outlineLevel="1">
      <c r="A209" s="4" t="s">
        <v>745</v>
      </c>
      <c r="C209" s="230">
        <f>C$207*'Methanol recycling rates'!E67</f>
        <v>0</v>
      </c>
      <c r="D209" s="230">
        <f>D$207*'Methanol recycling rates'!F67</f>
        <v>0</v>
      </c>
      <c r="E209" s="230">
        <f>E$207*'Methanol recycling rates'!G67</f>
        <v>0</v>
      </c>
      <c r="F209" s="230">
        <f>F$207*'Methanol recycling rates'!H67</f>
        <v>0</v>
      </c>
      <c r="G209" s="230">
        <f>G$207*'Methanol recycling rates'!I67</f>
        <v>0</v>
      </c>
      <c r="H209" s="230">
        <f>H$207*'Methanol recycling rates'!J67</f>
        <v>0</v>
      </c>
      <c r="I209" s="230">
        <f>I$207*'Methanol recycling rates'!K67</f>
        <v>0</v>
      </c>
      <c r="J209" s="230">
        <f>J$207*'Methanol recycling rates'!L67</f>
        <v>0</v>
      </c>
      <c r="K209" s="230">
        <f>K$207*'Methanol recycling rates'!M67</f>
        <v>0</v>
      </c>
      <c r="L209" s="230">
        <f>L$207*'Methanol recycling rates'!N67</f>
        <v>0</v>
      </c>
      <c r="M209" s="230">
        <f>M$207*'Methanol recycling rates'!O67</f>
        <v>0</v>
      </c>
      <c r="N209" s="230">
        <f>N$207*'Methanol recycling rates'!P67</f>
        <v>0</v>
      </c>
      <c r="O209" s="230">
        <f>O$207*'Methanol recycling rates'!Q67</f>
        <v>0</v>
      </c>
      <c r="P209" s="230">
        <f>P$207*'Methanol recycling rates'!R67</f>
        <v>0</v>
      </c>
      <c r="Q209" s="230">
        <f>Q$207*'Methanol recycling rates'!S67</f>
        <v>0</v>
      </c>
      <c r="R209" s="230">
        <f>R$207*'Methanol recycling rates'!T67</f>
        <v>0</v>
      </c>
      <c r="S209" s="230">
        <f>S$207*'Methanol recycling rates'!U67</f>
        <v>0</v>
      </c>
      <c r="T209" s="230">
        <f>T$207*'Methanol recycling rates'!V67</f>
        <v>0</v>
      </c>
      <c r="U209" s="230">
        <f>U$207*'Methanol recycling rates'!W67</f>
        <v>0</v>
      </c>
      <c r="V209" s="230">
        <f>V$207*'Methanol recycling rates'!X67</f>
        <v>0</v>
      </c>
      <c r="W209" s="230">
        <f>W$207*'Methanol recycling rates'!Y67</f>
        <v>0</v>
      </c>
      <c r="X209" s="230">
        <f>X$207*'Methanol recycling rates'!Z67</f>
        <v>0</v>
      </c>
      <c r="Y209" s="230">
        <f>Y$207*'Methanol recycling rates'!AA67</f>
        <v>0</v>
      </c>
      <c r="Z209" s="230">
        <f>Z$207*'Methanol recycling rates'!AB67</f>
        <v>0</v>
      </c>
      <c r="AA209" s="230">
        <f>AA$207*'Methanol recycling rates'!AC67</f>
        <v>0</v>
      </c>
      <c r="AB209" s="230">
        <f>AB$207*'Methanol recycling rates'!AD67</f>
        <v>0</v>
      </c>
      <c r="AC209" s="230">
        <f>AC$207*'Methanol recycling rates'!AE67</f>
        <v>0</v>
      </c>
      <c r="AD209" s="230">
        <f>AD$207*'Methanol recycling rates'!AF67</f>
        <v>0</v>
      </c>
      <c r="AE209" s="230">
        <f>AE$207*'Methanol recycling rates'!AG67</f>
        <v>0</v>
      </c>
      <c r="AF209" s="230">
        <f>AF$207*'Methanol recycling rates'!AH67</f>
        <v>0</v>
      </c>
      <c r="AG209" s="230">
        <f>AG$207*'Methanol recycling rates'!AI67</f>
        <v>0</v>
      </c>
      <c r="AH209" s="245"/>
      <c r="AI209" s="133"/>
      <c r="AJ209" s="211"/>
      <c r="AL209" s="108"/>
      <c r="AM209" s="2"/>
      <c r="AN209" s="2"/>
      <c r="AO209" s="2"/>
      <c r="BC209" s="1"/>
      <c r="BD209" s="2"/>
      <c r="BE209" s="2"/>
      <c r="BF209" s="2"/>
      <c r="BG209" s="2"/>
      <c r="BH209" s="2"/>
      <c r="BI209" s="2"/>
      <c r="BJ209" s="2"/>
      <c r="BK209" s="2"/>
    </row>
    <row r="210" spans="1:63" outlineLevel="1">
      <c r="A210" s="4" t="s">
        <v>1561</v>
      </c>
      <c r="C210" s="230">
        <f>C$207*'Methanol recycling rates'!E68</f>
        <v>1.3927037431343362E-2</v>
      </c>
      <c r="D210" s="230">
        <f>D$207*'Methanol recycling rates'!F68</f>
        <v>1.7513304350319801E-2</v>
      </c>
      <c r="E210" s="230">
        <f>E$207*'Methanol recycling rates'!G68</f>
        <v>2.1480793217052069E-2</v>
      </c>
      <c r="F210" s="230">
        <f>F$207*'Methanol recycling rates'!H68</f>
        <v>2.5827275182540542E-2</v>
      </c>
      <c r="G210" s="230">
        <f>G$207*'Methanol recycling rates'!I68</f>
        <v>3.0545603464137511E-2</v>
      </c>
      <c r="H210" s="230">
        <f>H$207*'Methanol recycling rates'!J68</f>
        <v>3.5623520734309827E-2</v>
      </c>
      <c r="I210" s="230">
        <f>I$207*'Methanol recycling rates'!K68</f>
        <v>4.1132098200380836E-2</v>
      </c>
      <c r="J210" s="230">
        <f>J$207*'Methanol recycling rates'!L68</f>
        <v>4.7086304001588877E-2</v>
      </c>
      <c r="K210" s="230">
        <f>K$207*'Methanol recycling rates'!M68</f>
        <v>5.3500727786283828E-2</v>
      </c>
      <c r="L210" s="230">
        <f>L$207*'Methanol recycling rates'!N68</f>
        <v>6.0389522426736453E-2</v>
      </c>
      <c r="M210" s="230">
        <f>M$207*'Methanol recycling rates'!O68</f>
        <v>6.7766344978394399E-2</v>
      </c>
      <c r="N210" s="230">
        <f>N$207*'Methanol recycling rates'!P68</f>
        <v>7.7974768074073483E-2</v>
      </c>
      <c r="O210" s="230">
        <f>O$207*'Methanol recycling rates'!Q68</f>
        <v>8.8925336585087278E-2</v>
      </c>
      <c r="P210" s="230">
        <f>P$207*'Methanol recycling rates'!R68</f>
        <v>0.10059073965601655</v>
      </c>
      <c r="Q210" s="230">
        <f>Q$207*'Methanol recycling rates'!S68</f>
        <v>0.11293535132796197</v>
      </c>
      <c r="R210" s="230">
        <f>R$207*'Methanol recycling rates'!T68</f>
        <v>0.12591526089543895</v>
      </c>
      <c r="S210" s="230">
        <f>S$207*'Methanol recycling rates'!U68</f>
        <v>0.13972971054278555</v>
      </c>
      <c r="T210" s="230">
        <f>T$207*'Methanol recycling rates'!V68</f>
        <v>0.15439699987635799</v>
      </c>
      <c r="U210" s="230">
        <f>U$207*'Methanol recycling rates'!W68</f>
        <v>0.16993531169423318</v>
      </c>
      <c r="V210" s="230">
        <f>V$207*'Methanol recycling rates'!X68</f>
        <v>0.18636269638394032</v>
      </c>
      <c r="W210" s="230">
        <f>W$207*'Methanol recycling rates'!Y68</f>
        <v>0.20369705614466643</v>
      </c>
      <c r="X210" s="230">
        <f>X$207*'Methanol recycling rates'!Z68</f>
        <v>0.2275331231391135</v>
      </c>
      <c r="Y210" s="230">
        <f>Y$207*'Methanol recycling rates'!AA68</f>
        <v>0.25284362462314797</v>
      </c>
      <c r="Z210" s="230">
        <f>Z$207*'Methanol recycling rates'!AB68</f>
        <v>0.2796590695043687</v>
      </c>
      <c r="AA210" s="230">
        <f>AA$207*'Methanol recycling rates'!AC68</f>
        <v>0.30800976969243221</v>
      </c>
      <c r="AB210" s="230">
        <f>AB$207*'Methanol recycling rates'!AD68</f>
        <v>0.33792581649202991</v>
      </c>
      <c r="AC210" s="230">
        <f>AC$207*'Methanol recycling rates'!AE68</f>
        <v>0.36944054950279781</v>
      </c>
      <c r="AD210" s="230">
        <f>AD$207*'Methanol recycling rates'!AF68</f>
        <v>0.40258449203152363</v>
      </c>
      <c r="AE210" s="230">
        <f>AE$207*'Methanol recycling rates'!AG68</f>
        <v>0.43738797031440296</v>
      </c>
      <c r="AF210" s="230">
        <f>AF$207*'Methanol recycling rates'!AH68</f>
        <v>0.47388109205853662</v>
      </c>
      <c r="AG210" s="230">
        <f>AG$207*'Methanol recycling rates'!AI68</f>
        <v>0.51209372477912374</v>
      </c>
      <c r="AH210" s="245"/>
      <c r="AI210" s="133"/>
      <c r="AJ210" s="211"/>
      <c r="AL210" s="108"/>
      <c r="AM210" s="2"/>
      <c r="AN210" s="2"/>
      <c r="AO210" s="2"/>
      <c r="BC210" s="1"/>
      <c r="BD210" s="2"/>
      <c r="BE210" s="2"/>
      <c r="BF210" s="2"/>
      <c r="BG210" s="2"/>
      <c r="BH210" s="2"/>
      <c r="BI210" s="2"/>
      <c r="BJ210" s="2"/>
      <c r="BK210" s="2"/>
    </row>
    <row r="211" spans="1:63" s="1" customFormat="1" outlineLevel="1">
      <c r="A211" s="1" t="s">
        <v>1568</v>
      </c>
      <c r="B211" s="65"/>
      <c r="C211" s="300">
        <f>C207-$C207</f>
        <v>0</v>
      </c>
      <c r="D211" s="300">
        <f t="shared" ref="D211:AG214" si="113">D207-$C207</f>
        <v>5.6187622479107954E-3</v>
      </c>
      <c r="E211" s="300">
        <f t="shared" si="113"/>
        <v>1.1834801702599283E-2</v>
      </c>
      <c r="F211" s="300">
        <f t="shared" si="113"/>
        <v>1.8644626328224757E-2</v>
      </c>
      <c r="G211" s="300">
        <f t="shared" si="113"/>
        <v>2.603703894581471E-2</v>
      </c>
      <c r="H211" s="300">
        <f t="shared" si="113"/>
        <v>3.3992835460760588E-2</v>
      </c>
      <c r="I211" s="300">
        <f t="shared" si="113"/>
        <v>4.262336626210033E-2</v>
      </c>
      <c r="J211" s="300">
        <f t="shared" si="113"/>
        <v>5.1952082592469771E-2</v>
      </c>
      <c r="K211" s="300">
        <f t="shared" si="113"/>
        <v>6.2001842696168798E-2</v>
      </c>
      <c r="L211" s="300">
        <f t="shared" si="113"/>
        <v>7.279482050118749E-2</v>
      </c>
      <c r="M211" s="300">
        <f t="shared" si="113"/>
        <v>8.4352413117473435E-2</v>
      </c>
      <c r="N211" s="300">
        <f t="shared" si="113"/>
        <v>0.10034639895193362</v>
      </c>
      <c r="O211" s="300">
        <f t="shared" si="113"/>
        <v>0.11750313667752543</v>
      </c>
      <c r="P211" s="300">
        <f t="shared" si="113"/>
        <v>0.13577983717485131</v>
      </c>
      <c r="Q211" s="300">
        <f t="shared" si="113"/>
        <v>0.15512068368586407</v>
      </c>
      <c r="R211" s="300">
        <f t="shared" si="113"/>
        <v>0.17545687937535034</v>
      </c>
      <c r="S211" s="300">
        <f t="shared" si="113"/>
        <v>0.19710058574406908</v>
      </c>
      <c r="T211" s="300">
        <f t="shared" si="113"/>
        <v>0.22008047359083954</v>
      </c>
      <c r="U211" s="300">
        <f t="shared" si="113"/>
        <v>0.24442503070580782</v>
      </c>
      <c r="V211" s="300">
        <f t="shared" si="113"/>
        <v>0.27016253742568641</v>
      </c>
      <c r="W211" s="300">
        <f t="shared" si="113"/>
        <v>0.29732104191398878</v>
      </c>
      <c r="X211" s="300">
        <f t="shared" si="113"/>
        <v>0.33466605732775967</v>
      </c>
      <c r="Y211" s="300">
        <f t="shared" si="113"/>
        <v>0.37432113416034868</v>
      </c>
      <c r="Z211" s="300">
        <f t="shared" si="113"/>
        <v>0.41633407206028022</v>
      </c>
      <c r="AA211" s="300">
        <f t="shared" si="113"/>
        <v>0.46075236203073056</v>
      </c>
      <c r="AB211" s="300">
        <f t="shared" si="113"/>
        <v>0.50762314944336606</v>
      </c>
      <c r="AC211" s="300">
        <f t="shared" si="113"/>
        <v>0.55699866891653171</v>
      </c>
      <c r="AD211" s="300">
        <f t="shared" si="113"/>
        <v>0.6089267426585947</v>
      </c>
      <c r="AE211" s="300">
        <f t="shared" si="113"/>
        <v>0.66345488411875086</v>
      </c>
      <c r="AF211" s="300">
        <f t="shared" si="113"/>
        <v>0.72063026436704358</v>
      </c>
      <c r="AG211" s="300">
        <f t="shared" si="113"/>
        <v>0.78049967815429055</v>
      </c>
      <c r="AH211" s="245"/>
      <c r="AI211" s="423"/>
      <c r="AJ211" s="424"/>
      <c r="AL211" s="221"/>
      <c r="AM211" s="124"/>
      <c r="AN211" s="124"/>
      <c r="AO211" s="124"/>
      <c r="BD211" s="124"/>
      <c r="BE211" s="124"/>
      <c r="BF211" s="124"/>
      <c r="BG211" s="124"/>
      <c r="BH211" s="124"/>
      <c r="BI211" s="124"/>
      <c r="BJ211" s="124"/>
      <c r="BK211" s="124"/>
    </row>
    <row r="212" spans="1:63" outlineLevel="1">
      <c r="A212" s="4" t="s">
        <v>474</v>
      </c>
      <c r="C212" s="230">
        <f t="shared" ref="C212:C214" si="114">C208-$C208</f>
        <v>0</v>
      </c>
      <c r="D212" s="230">
        <f t="shared" si="113"/>
        <v>2.0324953289343577E-3</v>
      </c>
      <c r="E212" s="230">
        <f t="shared" si="113"/>
        <v>4.2810459168905763E-3</v>
      </c>
      <c r="F212" s="230">
        <f t="shared" si="113"/>
        <v>6.7443885770275772E-3</v>
      </c>
      <c r="G212" s="230">
        <f t="shared" si="113"/>
        <v>9.4184729130205608E-3</v>
      </c>
      <c r="H212" s="230">
        <f t="shared" si="113"/>
        <v>1.2296352157794127E-2</v>
      </c>
      <c r="I212" s="230">
        <f t="shared" si="113"/>
        <v>1.5418305493062853E-2</v>
      </c>
      <c r="J212" s="230">
        <f t="shared" si="113"/>
        <v>1.8792816022224254E-2</v>
      </c>
      <c r="K212" s="230">
        <f t="shared" si="113"/>
        <v>2.2428152341228337E-2</v>
      </c>
      <c r="L212" s="230">
        <f t="shared" si="113"/>
        <v>2.6332335505794391E-2</v>
      </c>
      <c r="M212" s="230">
        <f t="shared" si="113"/>
        <v>3.0513105570422402E-2</v>
      </c>
      <c r="N212" s="230">
        <f t="shared" si="113"/>
        <v>3.6298668309203495E-2</v>
      </c>
      <c r="O212" s="230">
        <f t="shared" si="113"/>
        <v>4.2504837523781529E-2</v>
      </c>
      <c r="P212" s="230">
        <f t="shared" si="113"/>
        <v>4.9116134950178143E-2</v>
      </c>
      <c r="Q212" s="230">
        <f t="shared" si="113"/>
        <v>5.611236978924547E-2</v>
      </c>
      <c r="R212" s="230">
        <f t="shared" si="113"/>
        <v>6.3468655911254751E-2</v>
      </c>
      <c r="S212" s="230">
        <f t="shared" si="113"/>
        <v>7.12979126326269E-2</v>
      </c>
      <c r="T212" s="230">
        <f t="shared" si="113"/>
        <v>7.9610511145824903E-2</v>
      </c>
      <c r="U212" s="230">
        <f t="shared" si="113"/>
        <v>8.8416756442918007E-2</v>
      </c>
      <c r="V212" s="230">
        <f t="shared" si="113"/>
        <v>9.7726878473089432E-2</v>
      </c>
      <c r="W212" s="230">
        <f t="shared" si="113"/>
        <v>0.10755102320066569</v>
      </c>
      <c r="X212" s="230">
        <f t="shared" si="113"/>
        <v>0.12105997161998951</v>
      </c>
      <c r="Y212" s="230">
        <f t="shared" si="113"/>
        <v>0.13540454696854409</v>
      </c>
      <c r="Z212" s="230">
        <f t="shared" si="113"/>
        <v>0.15060203998725488</v>
      </c>
      <c r="AA212" s="230">
        <f t="shared" si="113"/>
        <v>0.16666962976964167</v>
      </c>
      <c r="AB212" s="230">
        <f t="shared" si="113"/>
        <v>0.18362437038267951</v>
      </c>
      <c r="AC212" s="230">
        <f t="shared" si="113"/>
        <v>0.20148515684507726</v>
      </c>
      <c r="AD212" s="230">
        <f t="shared" si="113"/>
        <v>0.22026928805841445</v>
      </c>
      <c r="AE212" s="230">
        <f t="shared" si="113"/>
        <v>0.23999395123569128</v>
      </c>
      <c r="AF212" s="230">
        <f t="shared" si="113"/>
        <v>0.26067620973985028</v>
      </c>
      <c r="AG212" s="230">
        <f t="shared" si="113"/>
        <v>0.28233299080651014</v>
      </c>
      <c r="AH212" s="245"/>
      <c r="AI212" s="133"/>
      <c r="AJ212" s="211"/>
      <c r="AL212" s="108"/>
      <c r="AM212" s="2"/>
      <c r="AN212" s="2"/>
      <c r="AO212" s="2"/>
      <c r="BC212" s="1"/>
      <c r="BD212" s="2"/>
      <c r="BE212" s="2"/>
      <c r="BF212" s="2"/>
      <c r="BG212" s="2"/>
      <c r="BH212" s="2"/>
      <c r="BI212" s="2"/>
      <c r="BJ212" s="2"/>
      <c r="BK212" s="2"/>
    </row>
    <row r="213" spans="1:63" outlineLevel="1">
      <c r="A213" s="4" t="s">
        <v>745</v>
      </c>
      <c r="C213" s="230">
        <f t="shared" si="114"/>
        <v>0</v>
      </c>
      <c r="D213" s="230">
        <f t="shared" si="113"/>
        <v>0</v>
      </c>
      <c r="E213" s="230">
        <f t="shared" si="113"/>
        <v>0</v>
      </c>
      <c r="F213" s="230">
        <f t="shared" si="113"/>
        <v>0</v>
      </c>
      <c r="G213" s="230">
        <f t="shared" si="113"/>
        <v>0</v>
      </c>
      <c r="H213" s="230">
        <f t="shared" si="113"/>
        <v>0</v>
      </c>
      <c r="I213" s="230">
        <f t="shared" si="113"/>
        <v>0</v>
      </c>
      <c r="J213" s="230">
        <f t="shared" si="113"/>
        <v>0</v>
      </c>
      <c r="K213" s="230">
        <f t="shared" si="113"/>
        <v>0</v>
      </c>
      <c r="L213" s="230">
        <f t="shared" si="113"/>
        <v>0</v>
      </c>
      <c r="M213" s="230">
        <f t="shared" si="113"/>
        <v>0</v>
      </c>
      <c r="N213" s="230">
        <f t="shared" si="113"/>
        <v>0</v>
      </c>
      <c r="O213" s="230">
        <f t="shared" si="113"/>
        <v>0</v>
      </c>
      <c r="P213" s="230">
        <f t="shared" si="113"/>
        <v>0</v>
      </c>
      <c r="Q213" s="230">
        <f t="shared" si="113"/>
        <v>0</v>
      </c>
      <c r="R213" s="230">
        <f t="shared" si="113"/>
        <v>0</v>
      </c>
      <c r="S213" s="230">
        <f t="shared" si="113"/>
        <v>0</v>
      </c>
      <c r="T213" s="230">
        <f t="shared" si="113"/>
        <v>0</v>
      </c>
      <c r="U213" s="230">
        <f t="shared" si="113"/>
        <v>0</v>
      </c>
      <c r="V213" s="230">
        <f t="shared" si="113"/>
        <v>0</v>
      </c>
      <c r="W213" s="230">
        <f t="shared" si="113"/>
        <v>0</v>
      </c>
      <c r="X213" s="230">
        <f t="shared" si="113"/>
        <v>0</v>
      </c>
      <c r="Y213" s="230">
        <f t="shared" si="113"/>
        <v>0</v>
      </c>
      <c r="Z213" s="230">
        <f t="shared" si="113"/>
        <v>0</v>
      </c>
      <c r="AA213" s="230">
        <f t="shared" si="113"/>
        <v>0</v>
      </c>
      <c r="AB213" s="230">
        <f t="shared" si="113"/>
        <v>0</v>
      </c>
      <c r="AC213" s="230">
        <f t="shared" si="113"/>
        <v>0</v>
      </c>
      <c r="AD213" s="230">
        <f t="shared" si="113"/>
        <v>0</v>
      </c>
      <c r="AE213" s="230">
        <f t="shared" si="113"/>
        <v>0</v>
      </c>
      <c r="AF213" s="230">
        <f t="shared" si="113"/>
        <v>0</v>
      </c>
      <c r="AG213" s="230">
        <f t="shared" si="113"/>
        <v>0</v>
      </c>
      <c r="AH213" s="245"/>
      <c r="AI213" s="133"/>
      <c r="AJ213" s="211"/>
      <c r="AL213" s="108"/>
      <c r="AM213" s="2"/>
      <c r="AN213" s="2"/>
      <c r="AO213" s="2"/>
      <c r="BC213" s="1"/>
      <c r="BD213" s="2"/>
      <c r="BE213" s="2"/>
      <c r="BF213" s="2"/>
      <c r="BG213" s="2"/>
      <c r="BH213" s="2"/>
      <c r="BI213" s="2"/>
      <c r="BJ213" s="2"/>
      <c r="BK213" s="2"/>
    </row>
    <row r="214" spans="1:63" outlineLevel="1">
      <c r="A214" s="4" t="s">
        <v>1561</v>
      </c>
      <c r="C214" s="230">
        <f t="shared" si="114"/>
        <v>0</v>
      </c>
      <c r="D214" s="230">
        <f t="shared" si="113"/>
        <v>3.5862669189764395E-3</v>
      </c>
      <c r="E214" s="230">
        <f t="shared" si="113"/>
        <v>7.553755785708707E-3</v>
      </c>
      <c r="F214" s="230">
        <f t="shared" si="113"/>
        <v>1.190023775119718E-2</v>
      </c>
      <c r="G214" s="230">
        <f t="shared" si="113"/>
        <v>1.6618566032794151E-2</v>
      </c>
      <c r="H214" s="230">
        <f t="shared" si="113"/>
        <v>2.1696483302966467E-2</v>
      </c>
      <c r="I214" s="230">
        <f t="shared" si="113"/>
        <v>2.7205060769037476E-2</v>
      </c>
      <c r="J214" s="230">
        <f t="shared" si="113"/>
        <v>3.3159266570245517E-2</v>
      </c>
      <c r="K214" s="230">
        <f t="shared" si="113"/>
        <v>3.9573690354940468E-2</v>
      </c>
      <c r="L214" s="230">
        <f t="shared" si="113"/>
        <v>4.6462484995393093E-2</v>
      </c>
      <c r="M214" s="230">
        <f t="shared" si="113"/>
        <v>5.3839307547051039E-2</v>
      </c>
      <c r="N214" s="230">
        <f t="shared" si="113"/>
        <v>6.4047730642730116E-2</v>
      </c>
      <c r="O214" s="230">
        <f t="shared" si="113"/>
        <v>7.4998299153743911E-2</v>
      </c>
      <c r="P214" s="230">
        <f t="shared" si="113"/>
        <v>8.6663702224673178E-2</v>
      </c>
      <c r="Q214" s="230">
        <f t="shared" si="113"/>
        <v>9.9008313896618599E-2</v>
      </c>
      <c r="R214" s="230">
        <f t="shared" si="113"/>
        <v>0.11198822346409558</v>
      </c>
      <c r="S214" s="230">
        <f t="shared" si="113"/>
        <v>0.12580267311144219</v>
      </c>
      <c r="T214" s="230">
        <f t="shared" si="113"/>
        <v>0.14046996244501464</v>
      </c>
      <c r="U214" s="230">
        <f t="shared" si="113"/>
        <v>0.15600827426288982</v>
      </c>
      <c r="V214" s="230">
        <f t="shared" si="113"/>
        <v>0.17243565895259697</v>
      </c>
      <c r="W214" s="230">
        <f t="shared" si="113"/>
        <v>0.18977001871332308</v>
      </c>
      <c r="X214" s="230">
        <f t="shared" si="113"/>
        <v>0.21360608570777015</v>
      </c>
      <c r="Y214" s="230">
        <f t="shared" si="113"/>
        <v>0.23891658719180461</v>
      </c>
      <c r="Z214" s="230">
        <f t="shared" si="113"/>
        <v>0.26573203207302531</v>
      </c>
      <c r="AA214" s="230">
        <f t="shared" si="113"/>
        <v>0.29408273226108883</v>
      </c>
      <c r="AB214" s="230">
        <f t="shared" si="113"/>
        <v>0.32399877906068653</v>
      </c>
      <c r="AC214" s="230">
        <f t="shared" si="113"/>
        <v>0.35551351207145443</v>
      </c>
      <c r="AD214" s="230">
        <f t="shared" si="113"/>
        <v>0.38865745460018025</v>
      </c>
      <c r="AE214" s="230">
        <f t="shared" si="113"/>
        <v>0.42346093288305958</v>
      </c>
      <c r="AF214" s="230">
        <f t="shared" si="113"/>
        <v>0.45995405462719324</v>
      </c>
      <c r="AG214" s="230">
        <f t="shared" si="113"/>
        <v>0.49816668734778036</v>
      </c>
      <c r="AH214" s="245"/>
      <c r="AI214" s="133"/>
      <c r="AJ214" s="211"/>
      <c r="AL214" s="108"/>
      <c r="AM214" s="2"/>
      <c r="AN214" s="2"/>
      <c r="AO214" s="2"/>
      <c r="BC214" s="1"/>
      <c r="BD214" s="2"/>
      <c r="BE214" s="2"/>
      <c r="BF214" s="2"/>
      <c r="BG214" s="2"/>
      <c r="BH214" s="2"/>
      <c r="BI214" s="2"/>
      <c r="BJ214" s="2"/>
      <c r="BK214" s="2"/>
    </row>
    <row r="215" spans="1:63" outlineLevel="1">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J215" s="211"/>
    </row>
    <row r="216" spans="1:63" s="200" customFormat="1" ht="16" thickBot="1">
      <c r="A216" s="200" t="s">
        <v>1347</v>
      </c>
      <c r="B216" s="215"/>
      <c r="C216" s="224">
        <f>C217</f>
        <v>1.6E-2</v>
      </c>
      <c r="D216" s="224">
        <f t="shared" ref="D216:AG216" si="115">D217</f>
        <v>2.329547397581962E-2</v>
      </c>
      <c r="E216" s="224">
        <f t="shared" si="115"/>
        <v>3.059094795163924E-2</v>
      </c>
      <c r="F216" s="224">
        <f t="shared" si="115"/>
        <v>3.7886421927458863E-2</v>
      </c>
      <c r="G216" s="224">
        <f t="shared" si="115"/>
        <v>4.5181895903278479E-2</v>
      </c>
      <c r="H216" s="224">
        <f t="shared" si="115"/>
        <v>5.2477369879098103E-2</v>
      </c>
      <c r="I216" s="224">
        <f t="shared" si="115"/>
        <v>5.9772843854917726E-2</v>
      </c>
      <c r="J216" s="224">
        <f t="shared" si="115"/>
        <v>6.7068317830737342E-2</v>
      </c>
      <c r="K216" s="224">
        <f t="shared" si="115"/>
        <v>7.4363791806556973E-2</v>
      </c>
      <c r="L216" s="224">
        <f t="shared" si="115"/>
        <v>8.1659265782376589E-2</v>
      </c>
      <c r="M216" s="224">
        <f t="shared" si="115"/>
        <v>8.8954739758196205E-2</v>
      </c>
      <c r="N216" s="224">
        <f t="shared" si="115"/>
        <v>0.10433135413800063</v>
      </c>
      <c r="O216" s="224">
        <f t="shared" si="115"/>
        <v>0.11970796851780505</v>
      </c>
      <c r="P216" s="224">
        <f t="shared" si="115"/>
        <v>0.1350845828976095</v>
      </c>
      <c r="Q216" s="224">
        <f t="shared" si="115"/>
        <v>0.15046119727741392</v>
      </c>
      <c r="R216" s="224">
        <f t="shared" si="115"/>
        <v>0.16583781165721834</v>
      </c>
      <c r="S216" s="224">
        <f t="shared" si="115"/>
        <v>0.18121442603702276</v>
      </c>
      <c r="T216" s="224">
        <f t="shared" si="115"/>
        <v>0.19659104041682718</v>
      </c>
      <c r="U216" s="224">
        <f t="shared" si="115"/>
        <v>0.2119676547966316</v>
      </c>
      <c r="V216" s="224">
        <f t="shared" si="115"/>
        <v>0.22734426917643602</v>
      </c>
      <c r="W216" s="224">
        <f t="shared" si="115"/>
        <v>0.24272088355624044</v>
      </c>
      <c r="X216" s="224">
        <f t="shared" si="115"/>
        <v>0.26844879520061637</v>
      </c>
      <c r="Y216" s="224">
        <f t="shared" si="115"/>
        <v>0.29417670684499236</v>
      </c>
      <c r="Z216" s="224">
        <f t="shared" si="115"/>
        <v>0.3199046184893683</v>
      </c>
      <c r="AA216" s="224">
        <f t="shared" si="115"/>
        <v>0.34563253013374429</v>
      </c>
      <c r="AB216" s="224">
        <f t="shared" si="115"/>
        <v>0.37136044177812022</v>
      </c>
      <c r="AC216" s="224">
        <f t="shared" si="115"/>
        <v>0.39708835342249615</v>
      </c>
      <c r="AD216" s="224">
        <f t="shared" si="115"/>
        <v>0.42281626506687209</v>
      </c>
      <c r="AE216" s="224">
        <f t="shared" si="115"/>
        <v>0.44854417671124808</v>
      </c>
      <c r="AF216" s="224">
        <f t="shared" si="115"/>
        <v>0.47427208835562407</v>
      </c>
      <c r="AG216" s="224">
        <f t="shared" si="115"/>
        <v>0.5</v>
      </c>
      <c r="AJ216" s="231" t="s">
        <v>1312</v>
      </c>
      <c r="AL216" s="217"/>
      <c r="AM216" s="225"/>
      <c r="AN216" s="225"/>
      <c r="AO216" s="225"/>
    </row>
    <row r="217" spans="1:63" ht="16" outlineLevel="1" thickTop="1">
      <c r="A217" t="s">
        <v>1348</v>
      </c>
      <c r="B217" s="54" t="s">
        <v>462</v>
      </c>
      <c r="C217" s="113">
        <v>1.6E-2</v>
      </c>
      <c r="D217" s="110">
        <f>$C217+($M217-$C217)/10*(D$1-$C$1)</f>
        <v>2.329547397581962E-2</v>
      </c>
      <c r="E217" s="110">
        <f t="shared" ref="E217:L217" si="116">$C217+($M217-$C217)/10*(E$1-$C$1)</f>
        <v>3.059094795163924E-2</v>
      </c>
      <c r="F217" s="110">
        <f t="shared" si="116"/>
        <v>3.7886421927458863E-2</v>
      </c>
      <c r="G217" s="110">
        <f t="shared" si="116"/>
        <v>4.5181895903278479E-2</v>
      </c>
      <c r="H217" s="110">
        <f t="shared" si="116"/>
        <v>5.2477369879098103E-2</v>
      </c>
      <c r="I217" s="110">
        <f t="shared" si="116"/>
        <v>5.9772843854917726E-2</v>
      </c>
      <c r="J217" s="110">
        <f t="shared" si="116"/>
        <v>6.7068317830737342E-2</v>
      </c>
      <c r="K217" s="110">
        <f t="shared" si="116"/>
        <v>7.4363791806556973E-2</v>
      </c>
      <c r="L217" s="110">
        <f t="shared" si="116"/>
        <v>8.1659265782376589E-2</v>
      </c>
      <c r="M217" s="121">
        <f>(M$52-$C$52)/($AG$52-$C$52)*($AG217-$C217)+$C217</f>
        <v>8.8954739758196205E-2</v>
      </c>
      <c r="N217" s="121">
        <f>$M217+($W217-$M217)/10*(N$1-$M$1)</f>
        <v>0.10433135413800063</v>
      </c>
      <c r="O217" s="121">
        <f t="shared" ref="O217:U217" si="117">$M217+($W217-$M217)/10*(O$1-$M$1)</f>
        <v>0.11970796851780505</v>
      </c>
      <c r="P217" s="121">
        <f t="shared" si="117"/>
        <v>0.1350845828976095</v>
      </c>
      <c r="Q217" s="121">
        <f t="shared" si="117"/>
        <v>0.15046119727741392</v>
      </c>
      <c r="R217" s="121">
        <f t="shared" si="117"/>
        <v>0.16583781165721834</v>
      </c>
      <c r="S217" s="121">
        <f t="shared" si="117"/>
        <v>0.18121442603702276</v>
      </c>
      <c r="T217" s="121">
        <f t="shared" si="117"/>
        <v>0.19659104041682718</v>
      </c>
      <c r="U217" s="121">
        <f t="shared" si="117"/>
        <v>0.2119676547966316</v>
      </c>
      <c r="V217" s="121">
        <f>$M217+($W217-$M217)/10*(V$1-$M$1)</f>
        <v>0.22734426917643602</v>
      </c>
      <c r="W217" s="121">
        <f>(W$52-$C$52)/($AG$52-$C$52)*($AG217-$C217)+$C217</f>
        <v>0.24272088355624044</v>
      </c>
      <c r="X217" s="23">
        <f t="shared" ref="X217:AF217" si="118">$W217+($AG217-$W217)/10*(X$1-$W$1)</f>
        <v>0.26844879520061637</v>
      </c>
      <c r="Y217" s="23">
        <f t="shared" si="118"/>
        <v>0.29417670684499236</v>
      </c>
      <c r="Z217" s="23">
        <f t="shared" si="118"/>
        <v>0.3199046184893683</v>
      </c>
      <c r="AA217" s="23">
        <f t="shared" si="118"/>
        <v>0.34563253013374429</v>
      </c>
      <c r="AB217" s="23">
        <f t="shared" si="118"/>
        <v>0.37136044177812022</v>
      </c>
      <c r="AC217" s="23">
        <f t="shared" si="118"/>
        <v>0.39708835342249615</v>
      </c>
      <c r="AD217" s="23">
        <f t="shared" si="118"/>
        <v>0.42281626506687209</v>
      </c>
      <c r="AE217" s="23">
        <f t="shared" si="118"/>
        <v>0.44854417671124808</v>
      </c>
      <c r="AF217" s="23">
        <f t="shared" si="118"/>
        <v>0.47427208835562407</v>
      </c>
      <c r="AG217" s="106">
        <v>0.5</v>
      </c>
      <c r="AJ217" s="211" t="s">
        <v>1349</v>
      </c>
    </row>
    <row r="218" spans="1:63" outlineLevel="1">
      <c r="C218" s="113"/>
      <c r="D218" s="110"/>
      <c r="E218" s="110"/>
      <c r="F218" s="110"/>
      <c r="G218" s="110"/>
      <c r="H218" s="110"/>
      <c r="I218" s="110"/>
      <c r="J218" s="110"/>
      <c r="K218" s="110"/>
      <c r="L218" s="110"/>
      <c r="M218" s="121"/>
      <c r="N218" s="121"/>
      <c r="O218" s="121"/>
      <c r="P218" s="121"/>
      <c r="Q218" s="121"/>
      <c r="R218" s="121"/>
      <c r="S218" s="121"/>
      <c r="T218" s="121"/>
      <c r="U218" s="121"/>
      <c r="V218" s="121"/>
      <c r="W218" s="121"/>
      <c r="X218" s="23"/>
      <c r="Y218" s="23"/>
      <c r="Z218" s="23"/>
      <c r="AA218" s="23"/>
      <c r="AB218" s="23"/>
      <c r="AC218" s="23"/>
      <c r="AD218" s="23"/>
      <c r="AE218" s="23"/>
      <c r="AF218" s="23"/>
      <c r="AG218" s="106"/>
      <c r="AJ218" s="211"/>
    </row>
    <row r="219" spans="1:63" outlineLevel="1">
      <c r="A219" t="s">
        <v>1553</v>
      </c>
      <c r="C219" s="504">
        <f>'Overall recycling rates'!E85</f>
        <v>0.29641108292007839</v>
      </c>
      <c r="D219" s="504">
        <f>C219-($C219-$AG219)/($AG$1-$C$1)</f>
        <v>0.31319738015607579</v>
      </c>
      <c r="E219" s="504">
        <f t="shared" ref="E219:AF219" si="119">D219-($C219-$AG219)/($AG$1-$C$1)</f>
        <v>0.32998367739207318</v>
      </c>
      <c r="F219" s="504">
        <f t="shared" si="119"/>
        <v>0.34676997462807058</v>
      </c>
      <c r="G219" s="504">
        <f t="shared" si="119"/>
        <v>0.36355627186406797</v>
      </c>
      <c r="H219" s="504">
        <f t="shared" si="119"/>
        <v>0.38034256910006536</v>
      </c>
      <c r="I219" s="504">
        <f t="shared" si="119"/>
        <v>0.39712886633606276</v>
      </c>
      <c r="J219" s="504">
        <f t="shared" si="119"/>
        <v>0.41391516357206015</v>
      </c>
      <c r="K219" s="504">
        <f t="shared" si="119"/>
        <v>0.43070146080805755</v>
      </c>
      <c r="L219" s="504">
        <f t="shared" si="119"/>
        <v>0.44748775804405494</v>
      </c>
      <c r="M219" s="504">
        <f t="shared" si="119"/>
        <v>0.46427405528005233</v>
      </c>
      <c r="N219" s="504">
        <f t="shared" si="119"/>
        <v>0.48106035251604973</v>
      </c>
      <c r="O219" s="504">
        <f t="shared" si="119"/>
        <v>0.49784664975204712</v>
      </c>
      <c r="P219" s="504">
        <f t="shared" si="119"/>
        <v>0.51463294698804452</v>
      </c>
      <c r="Q219" s="504">
        <f t="shared" si="119"/>
        <v>0.53141924422404185</v>
      </c>
      <c r="R219" s="504">
        <f t="shared" si="119"/>
        <v>0.54820554146003919</v>
      </c>
      <c r="S219" s="504">
        <f t="shared" si="119"/>
        <v>0.56499183869603653</v>
      </c>
      <c r="T219" s="504">
        <f t="shared" si="119"/>
        <v>0.58177813593203387</v>
      </c>
      <c r="U219" s="504">
        <f t="shared" si="119"/>
        <v>0.59856443316803121</v>
      </c>
      <c r="V219" s="504">
        <f t="shared" si="119"/>
        <v>0.61535073040402855</v>
      </c>
      <c r="W219" s="504">
        <f t="shared" si="119"/>
        <v>0.63213702764002588</v>
      </c>
      <c r="X219" s="504">
        <f t="shared" si="119"/>
        <v>0.64892332487602322</v>
      </c>
      <c r="Y219" s="504">
        <f t="shared" si="119"/>
        <v>0.66570962211202056</v>
      </c>
      <c r="Z219" s="504">
        <f t="shared" si="119"/>
        <v>0.6824959193480179</v>
      </c>
      <c r="AA219" s="504">
        <f t="shared" si="119"/>
        <v>0.69928221658401524</v>
      </c>
      <c r="AB219" s="504">
        <f t="shared" si="119"/>
        <v>0.71606851382001258</v>
      </c>
      <c r="AC219" s="504">
        <f t="shared" si="119"/>
        <v>0.73285481105600991</v>
      </c>
      <c r="AD219" s="504">
        <f t="shared" si="119"/>
        <v>0.74964110829200725</v>
      </c>
      <c r="AE219" s="504">
        <f t="shared" si="119"/>
        <v>0.76642740552800459</v>
      </c>
      <c r="AF219" s="504">
        <f t="shared" si="119"/>
        <v>0.78321370276400193</v>
      </c>
      <c r="AG219" s="504">
        <f>'Overall recycling rates'!E94</f>
        <v>0.8</v>
      </c>
      <c r="AI219" s="133"/>
      <c r="AJ219" s="211" t="s">
        <v>1582</v>
      </c>
      <c r="AL219" s="108"/>
      <c r="AM219" s="207"/>
      <c r="AN219" s="207"/>
      <c r="AO219" s="207"/>
      <c r="BC219" s="1"/>
      <c r="BD219" s="207"/>
      <c r="BE219" s="207"/>
      <c r="BF219" s="207"/>
      <c r="BG219" s="207"/>
      <c r="BH219" s="207"/>
      <c r="BI219" s="207"/>
      <c r="BJ219" s="207"/>
      <c r="BK219" s="207"/>
    </row>
    <row r="220" spans="1:63" outlineLevel="1">
      <c r="A220" t="s">
        <v>1583</v>
      </c>
      <c r="B220" s="54" t="s">
        <v>462</v>
      </c>
      <c r="C220" s="110">
        <f>C217*C219</f>
        <v>4.7425773267212546E-3</v>
      </c>
      <c r="D220" s="110">
        <f t="shared" ref="D220:AG220" si="120">D217*D219</f>
        <v>7.2960814187207476E-3</v>
      </c>
      <c r="E220" s="110">
        <f t="shared" si="120"/>
        <v>1.0094513499991424E-2</v>
      </c>
      <c r="F220" s="110">
        <f t="shared" si="120"/>
        <v>1.3137873570533287E-2</v>
      </c>
      <c r="G220" s="110">
        <f t="shared" si="120"/>
        <v>1.6426161630346329E-2</v>
      </c>
      <c r="H220" s="110">
        <f t="shared" si="120"/>
        <v>1.9959377679430557E-2</v>
      </c>
      <c r="I220" s="110">
        <f t="shared" si="120"/>
        <v>2.3737521717785971E-2</v>
      </c>
      <c r="J220" s="110">
        <f t="shared" si="120"/>
        <v>2.7760593745412565E-2</v>
      </c>
      <c r="K220" s="110">
        <f t="shared" si="120"/>
        <v>3.2028593762310348E-2</v>
      </c>
      <c r="L220" s="110">
        <f t="shared" si="120"/>
        <v>3.6541521768479308E-2</v>
      </c>
      <c r="M220" s="110">
        <f t="shared" si="120"/>
        <v>4.1299377763919454E-2</v>
      </c>
      <c r="N220" s="110">
        <f t="shared" si="120"/>
        <v>5.0189678000103405E-2</v>
      </c>
      <c r="O220" s="110">
        <f t="shared" si="120"/>
        <v>5.959621107521277E-2</v>
      </c>
      <c r="P220" s="110">
        <f t="shared" si="120"/>
        <v>6.9518976989247569E-2</v>
      </c>
      <c r="Q220" s="110">
        <f t="shared" si="120"/>
        <v>7.9957975742207768E-2</v>
      </c>
      <c r="R220" s="110">
        <f t="shared" si="120"/>
        <v>9.0913207334093374E-2</v>
      </c>
      <c r="S220" s="110">
        <f t="shared" si="120"/>
        <v>0.1023846717649044</v>
      </c>
      <c r="T220" s="110">
        <f t="shared" si="120"/>
        <v>0.11437236903464085</v>
      </c>
      <c r="U220" s="110">
        <f t="shared" si="120"/>
        <v>0.1268762991433027</v>
      </c>
      <c r="V220" s="110">
        <f t="shared" si="120"/>
        <v>0.13989646209088999</v>
      </c>
      <c r="W220" s="110">
        <f t="shared" si="120"/>
        <v>0.15343285787740266</v>
      </c>
      <c r="X220" s="110">
        <f t="shared" si="120"/>
        <v>0.17420268474054659</v>
      </c>
      <c r="Y220" s="110">
        <f t="shared" si="120"/>
        <v>0.19583626434793852</v>
      </c>
      <c r="Z220" s="110">
        <f t="shared" si="120"/>
        <v>0.21833359669957833</v>
      </c>
      <c r="AA220" s="110">
        <f t="shared" si="120"/>
        <v>0.24169468179546613</v>
      </c>
      <c r="AB220" s="110">
        <f t="shared" si="120"/>
        <v>0.26591951963560184</v>
      </c>
      <c r="AC220" s="110">
        <f t="shared" si="120"/>
        <v>0.29100811021998552</v>
      </c>
      <c r="AD220" s="110">
        <f t="shared" si="120"/>
        <v>0.31696045354861713</v>
      </c>
      <c r="AE220" s="110">
        <f t="shared" si="120"/>
        <v>0.34377654962149667</v>
      </c>
      <c r="AF220" s="110">
        <f t="shared" si="120"/>
        <v>0.37145639843862421</v>
      </c>
      <c r="AG220" s="110">
        <f t="shared" si="120"/>
        <v>0.4</v>
      </c>
      <c r="AJ220" s="211" t="s">
        <v>1349</v>
      </c>
    </row>
    <row r="221" spans="1:63" outlineLevel="1">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I221" s="134"/>
      <c r="AJ221" s="211"/>
      <c r="BC221" s="1"/>
      <c r="BD221" s="41"/>
      <c r="BF221" s="6"/>
      <c r="BG221" s="6"/>
      <c r="BH221" s="6"/>
      <c r="BI221" s="6"/>
      <c r="BJ221" s="6"/>
    </row>
    <row r="222" spans="1:63" s="1" customFormat="1" outlineLevel="1">
      <c r="A222" s="1" t="s">
        <v>228</v>
      </c>
      <c r="B222" s="65"/>
      <c r="C222" s="300">
        <f>C220*C44</f>
        <v>1.2941584261657406E-3</v>
      </c>
      <c r="D222" s="300">
        <f t="shared" ref="D222:AG222" si="121">D220*D44</f>
        <v>2.0577007257949116E-3</v>
      </c>
      <c r="E222" s="300">
        <f t="shared" si="121"/>
        <v>2.9346795455944428E-3</v>
      </c>
      <c r="F222" s="300">
        <f t="shared" si="121"/>
        <v>3.9268753181392474E-3</v>
      </c>
      <c r="G222" s="300">
        <f t="shared" si="121"/>
        <v>5.0346538613794505E-3</v>
      </c>
      <c r="H222" s="300">
        <f t="shared" si="121"/>
        <v>6.2568757687512964E-3</v>
      </c>
      <c r="I222" s="300">
        <f t="shared" si="121"/>
        <v>7.6072060295379017E-3</v>
      </c>
      <c r="J222" s="300">
        <f t="shared" si="121"/>
        <v>9.090752569343467E-3</v>
      </c>
      <c r="K222" s="300">
        <f t="shared" si="121"/>
        <v>1.0712529104499251E-2</v>
      </c>
      <c r="L222" s="300">
        <f t="shared" si="121"/>
        <v>1.247743632041254E-2</v>
      </c>
      <c r="M222" s="300">
        <f t="shared" si="121"/>
        <v>1.4390242724023143E-2</v>
      </c>
      <c r="N222" s="300">
        <f t="shared" si="121"/>
        <v>1.781164852582327E-2</v>
      </c>
      <c r="O222" s="300">
        <f t="shared" si="121"/>
        <v>2.1500619946172469E-2</v>
      </c>
      <c r="P222" s="300">
        <f t="shared" si="121"/>
        <v>2.544802981647272E-2</v>
      </c>
      <c r="Q222" s="300">
        <f t="shared" si="121"/>
        <v>2.9641841090326936E-2</v>
      </c>
      <c r="R222" s="300">
        <f t="shared" si="121"/>
        <v>3.4067116734492142E-2</v>
      </c>
      <c r="S222" s="300">
        <f t="shared" si="121"/>
        <v>3.8775804433284419E-2</v>
      </c>
      <c r="T222" s="300">
        <f t="shared" si="121"/>
        <v>4.3774066330041682E-2</v>
      </c>
      <c r="U222" s="300">
        <f t="shared" si="121"/>
        <v>4.9068024078796839E-2</v>
      </c>
      <c r="V222" s="300">
        <f t="shared" si="121"/>
        <v>5.466375357992323E-2</v>
      </c>
      <c r="W222" s="300">
        <f t="shared" si="121"/>
        <v>6.056727965741205E-2</v>
      </c>
      <c r="X222" s="300">
        <f t="shared" si="121"/>
        <v>6.9463807862829852E-2</v>
      </c>
      <c r="Y222" s="300">
        <f t="shared" si="121"/>
        <v>7.8874742736216835E-2</v>
      </c>
      <c r="Z222" s="300">
        <f t="shared" si="121"/>
        <v>8.8810338665717234E-2</v>
      </c>
      <c r="AA222" s="300">
        <f t="shared" si="121"/>
        <v>9.9280776052217551E-2</v>
      </c>
      <c r="AB222" s="300">
        <f t="shared" si="121"/>
        <v>0.11029615327688576</v>
      </c>
      <c r="AC222" s="300">
        <f t="shared" si="121"/>
        <v>0.12186763074670791</v>
      </c>
      <c r="AD222" s="300">
        <f t="shared" si="121"/>
        <v>0.13400546430424182</v>
      </c>
      <c r="AE222" s="300">
        <f t="shared" si="121"/>
        <v>0.14671983652442061</v>
      </c>
      <c r="AF222" s="300">
        <f t="shared" si="121"/>
        <v>0.1600208494185596</v>
      </c>
      <c r="AG222" s="300">
        <f t="shared" si="121"/>
        <v>0.17391851707263886</v>
      </c>
      <c r="AH222" s="245"/>
      <c r="AI222" s="423"/>
      <c r="AJ222" s="424"/>
      <c r="AL222" s="221"/>
      <c r="AM222" s="124"/>
      <c r="AN222" s="124"/>
      <c r="AO222" s="124"/>
      <c r="BD222" s="124"/>
      <c r="BE222" s="124"/>
      <c r="BF222" s="124"/>
      <c r="BG222" s="124"/>
      <c r="BH222" s="124"/>
      <c r="BI222" s="124"/>
      <c r="BJ222" s="124"/>
      <c r="BK222" s="124"/>
    </row>
    <row r="223" spans="1:63" outlineLevel="1">
      <c r="A223" s="4" t="s">
        <v>474</v>
      </c>
      <c r="C223" s="230">
        <f>C$222*'Methanol recycling rates'!E69</f>
        <v>0</v>
      </c>
      <c r="D223" s="230">
        <f>D$222*'Methanol recycling rates'!F69</f>
        <v>4.4859542912567576E-5</v>
      </c>
      <c r="E223" s="230">
        <f>E$222*'Methanol recycling rates'!G69</f>
        <v>1.2795678337467763E-4</v>
      </c>
      <c r="F223" s="230">
        <f>F$222*'Methanol recycling rates'!H69</f>
        <v>2.5682719013230416E-4</v>
      </c>
      <c r="G223" s="230">
        <f>G$222*'Methanol recycling rates'!I69</f>
        <v>4.3903813244217305E-4</v>
      </c>
      <c r="H223" s="230">
        <f>H$222*'Methanol recycling rates'!J69</f>
        <v>6.8202480450229978E-4</v>
      </c>
      <c r="I223" s="230">
        <f>I$222*'Methanol recycling rates'!K69</f>
        <v>9.9505952750724011E-4</v>
      </c>
      <c r="J223" s="230">
        <f>J$222*'Methanol recycling rates'!L69</f>
        <v>1.387300397554751E-3</v>
      </c>
      <c r="K223" s="230">
        <f>K$222*'Methanol recycling rates'!M69</f>
        <v>1.8683345077006501E-3</v>
      </c>
      <c r="L223" s="230">
        <f>L$222*'Methanol recycling rates'!N69</f>
        <v>2.4481639858212655E-3</v>
      </c>
      <c r="M223" s="230">
        <f>M$222*'Methanol recycling rates'!O69</f>
        <v>3.1371894994652381E-3</v>
      </c>
      <c r="N223" s="230">
        <f>N$222*'Methanol recycling rates'!P69</f>
        <v>4.271392051859127E-3</v>
      </c>
      <c r="O223" s="230">
        <f>O$222*'Methanol recycling rates'!Q69</f>
        <v>5.6247712081621444E-3</v>
      </c>
      <c r="P223" s="230">
        <f>P$222*'Methanol recycling rates'!R69</f>
        <v>7.2122396744393209E-3</v>
      </c>
      <c r="Q223" s="230">
        <f>Q$222*'Methanol recycling rates'!S69</f>
        <v>9.0470261103663841E-3</v>
      </c>
      <c r="R223" s="230">
        <f>R$222*'Methanol recycling rates'!T69</f>
        <v>1.1140361175224057E-2</v>
      </c>
      <c r="S223" s="230">
        <f>S$222*'Methanol recycling rates'!U69</f>
        <v>1.3525503227081983E-2</v>
      </c>
      <c r="T223" s="230">
        <f>T$222*'Methanol recycling rates'!V69</f>
        <v>1.622327187834148E-2</v>
      </c>
      <c r="U223" s="230">
        <f>U$222*'Methanol recycling rates'!W69</f>
        <v>1.9255008211678755E-2</v>
      </c>
      <c r="V223" s="230">
        <f>V$222*'Methanol recycling rates'!X69</f>
        <v>2.264256818596995E-2</v>
      </c>
      <c r="W223" s="230">
        <f>W$222*'Methanol recycling rates'!Y69</f>
        <v>2.6408315328163616E-2</v>
      </c>
      <c r="X223" s="230">
        <f>X$222*'Methanol recycling rates'!Z69</f>
        <v>3.1801713068975439E-2</v>
      </c>
      <c r="Y223" s="230">
        <f>Y$222*'Methanol recycling rates'!AA69</f>
        <v>3.7829732461592908E-2</v>
      </c>
      <c r="Z223" s="230">
        <f>Z$222*'Methanol recycling rates'!AB69</f>
        <v>4.4531158693669082E-2</v>
      </c>
      <c r="AA223" s="230">
        <f>AA$222*'Methanol recycling rates'!AC69</f>
        <v>5.1945632457162591E-2</v>
      </c>
      <c r="AB223" s="230">
        <f>AB$222*'Methanol recycling rates'!AD69</f>
        <v>6.011363750557297E-2</v>
      </c>
      <c r="AC223" s="230">
        <f>AC$222*'Methanol recycling rates'!AE69</f>
        <v>6.9077140182567984E-2</v>
      </c>
      <c r="AD223" s="230">
        <f>AD$222*'Methanol recycling rates'!AF69</f>
        <v>7.8878547609062488E-2</v>
      </c>
      <c r="AE223" s="230">
        <f>AE$222*'Methanol recycling rates'!AG69</f>
        <v>8.9561116524458126E-2</v>
      </c>
      <c r="AF223" s="230">
        <f>AF$222*'Methanol recycling rates'!AH69</f>
        <v>0.10116894068747725</v>
      </c>
      <c r="AG223" s="230">
        <f>AG$222*'Methanol recycling rates'!AI69</f>
        <v>0.11374693727966005</v>
      </c>
      <c r="AH223" s="245"/>
      <c r="AI223" s="133"/>
      <c r="AJ223" s="211"/>
      <c r="AL223" s="108"/>
      <c r="AM223" s="2"/>
      <c r="AN223" s="2"/>
      <c r="AO223" s="2"/>
      <c r="BC223" s="1"/>
      <c r="BD223" s="2"/>
      <c r="BE223" s="2"/>
      <c r="BF223" s="2"/>
      <c r="BG223" s="2"/>
      <c r="BH223" s="2"/>
      <c r="BI223" s="2"/>
      <c r="BJ223" s="2"/>
      <c r="BK223" s="2"/>
    </row>
    <row r="224" spans="1:63" outlineLevel="1">
      <c r="A224" s="4" t="s">
        <v>745</v>
      </c>
      <c r="C224" s="230">
        <f>C$222*'Methanol recycling rates'!E70</f>
        <v>8.2214406611183359E-4</v>
      </c>
      <c r="D224" s="230">
        <f>D$222*'Methanol recycling rates'!F70</f>
        <v>1.2776789925903272E-3</v>
      </c>
      <c r="E224" s="230">
        <f>E$222*'Methanol recycling rates'!G70</f>
        <v>1.780112087004004E-3</v>
      </c>
      <c r="F224" s="230">
        <f>F$222*'Methanol recycling rates'!H70</f>
        <v>2.3256151654423088E-3</v>
      </c>
      <c r="G224" s="230">
        <f>G$222*'Methanol recycling rates'!I70</f>
        <v>2.9094403829696136E-3</v>
      </c>
      <c r="H224" s="230">
        <f>H$222*'Methanol recycling rates'!J70</f>
        <v>3.5259706530592337E-3</v>
      </c>
      <c r="I224" s="230">
        <f>I$222*'Methanol recycling rates'!K70</f>
        <v>4.1777846734292433E-3</v>
      </c>
      <c r="J224" s="230">
        <f>J$222*'Methanol recycling rates'!L70</f>
        <v>4.8621002430774603E-3</v>
      </c>
      <c r="K224" s="230">
        <f>K$222*'Methanol recycling rates'!M70</f>
        <v>5.5757929807802647E-3</v>
      </c>
      <c r="L224" s="230">
        <f>L$222*'Methanol recycling rates'!N70</f>
        <v>6.3153935569695624E-3</v>
      </c>
      <c r="M224" s="230">
        <f>M$222*'Methanol recycling rates'!O70</f>
        <v>7.0770863856047216E-3</v>
      </c>
      <c r="N224" s="230">
        <f>N$222*'Methanol recycling rates'!P70</f>
        <v>8.5041718248119753E-3</v>
      </c>
      <c r="O224" s="230">
        <f>O$222*'Methanol recycling rates'!Q70</f>
        <v>9.9569899402808491E-3</v>
      </c>
      <c r="P224" s="230">
        <f>P$222*'Methanol recycling rates'!R70</f>
        <v>1.1419928132668598E-2</v>
      </c>
      <c r="Q224" s="230">
        <f>Q$222*'Methanol recycling rates'!S70</f>
        <v>1.2876633540570719E-2</v>
      </c>
      <c r="R224" s="230">
        <f>R$222*'Methanol recycling rates'!T70</f>
        <v>1.4310225943478881E-2</v>
      </c>
      <c r="S224" s="230">
        <f>S$222*'Methanol recycling rates'!U70</f>
        <v>1.5731818308835951E-2</v>
      </c>
      <c r="T224" s="230">
        <f>T$222*'Methanol recycling rates'!V70</f>
        <v>1.7131623471344514E-2</v>
      </c>
      <c r="U224" s="230">
        <f>U$222*'Methanol recycling rates'!W70</f>
        <v>1.8499485353771498E-2</v>
      </c>
      <c r="V224" s="230">
        <f>V$222*'Methanol recycling rates'!X70</f>
        <v>1.9824879962339725E-2</v>
      </c>
      <c r="W224" s="230">
        <f>W$222*'Methanol recycling rates'!Y70</f>
        <v>2.1096916814972323E-2</v>
      </c>
      <c r="X224" s="230">
        <f>X$222*'Methanol recycling rates'!Z70</f>
        <v>2.3199137595518581E-2</v>
      </c>
      <c r="Y224" s="230">
        <f>Y$222*'Methanol recycling rates'!AA70</f>
        <v>2.5210489721600376E-2</v>
      </c>
      <c r="Z224" s="230">
        <f>Z$222*'Methanol recycling rates'!AB70</f>
        <v>2.711196221147243E-2</v>
      </c>
      <c r="AA224" s="230">
        <f>AA$222*'Methanol recycling rates'!AC70</f>
        <v>2.8883934056531696E-2</v>
      </c>
      <c r="AB224" s="230">
        <f>AB$222*'Methanol recycling rates'!AD70</f>
        <v>3.0506177307346768E-2</v>
      </c>
      <c r="AC224" s="230">
        <f>AC$222*'Methanol recycling rates'!AE70</f>
        <v>3.1958162968274251E-2</v>
      </c>
      <c r="AD224" s="230">
        <f>AD$222*'Methanol recycling rates'!AF70</f>
        <v>3.321849731375117E-2</v>
      </c>
      <c r="AE224" s="230">
        <f>AE$222*'Methanol recycling rates'!AG70</f>
        <v>3.4265180922097065E-2</v>
      </c>
      <c r="AF224" s="230">
        <f>AF$222*'Methanol recycling rates'!AH70</f>
        <v>3.5075612332332494E-2</v>
      </c>
      <c r="AG224" s="230">
        <f>AG$222*'Methanol recycling rates'!AI70</f>
        <v>3.5626592315612229E-2</v>
      </c>
      <c r="AH224" s="245"/>
      <c r="AI224" s="133"/>
      <c r="AJ224" s="211"/>
      <c r="AL224" s="108"/>
      <c r="AM224" s="2"/>
      <c r="AN224" s="2"/>
      <c r="AO224" s="2"/>
      <c r="BC224" s="1"/>
      <c r="BD224" s="2"/>
      <c r="BE224" s="2"/>
      <c r="BF224" s="2"/>
      <c r="BG224" s="2"/>
      <c r="BH224" s="2"/>
      <c r="BI224" s="2"/>
      <c r="BJ224" s="2"/>
      <c r="BK224" s="2"/>
    </row>
    <row r="225" spans="1:63" outlineLevel="1">
      <c r="A225" s="4" t="s">
        <v>1561</v>
      </c>
      <c r="C225" s="230">
        <f>C$222*'Methanol recycling rates'!E71</f>
        <v>4.7201436005390703E-4</v>
      </c>
      <c r="D225" s="230">
        <f>D$222*'Methanol recycling rates'!F71</f>
        <v>7.3516219029201677E-4</v>
      </c>
      <c r="E225" s="230">
        <f>E$222*'Methanol recycling rates'!G71</f>
        <v>1.026610675215761E-3</v>
      </c>
      <c r="F225" s="230">
        <f>F$222*'Methanol recycling rates'!H71</f>
        <v>1.3444329625646339E-3</v>
      </c>
      <c r="G225" s="230">
        <f>G$222*'Methanol recycling rates'!I71</f>
        <v>1.6861753459676628E-3</v>
      </c>
      <c r="H225" s="230">
        <f>H$222*'Methanol recycling rates'!J71</f>
        <v>2.0488803111897613E-3</v>
      </c>
      <c r="I225" s="230">
        <f>I$222*'Methanol recycling rates'!K71</f>
        <v>2.4343618286014152E-3</v>
      </c>
      <c r="J225" s="230">
        <f>J$222*'Methanol recycling rates'!L71</f>
        <v>2.8413519287112518E-3</v>
      </c>
      <c r="K225" s="230">
        <f>K$222*'Methanol recycling rates'!M71</f>
        <v>3.2684016160183316E-3</v>
      </c>
      <c r="L225" s="230">
        <f>L$222*'Methanol recycling rates'!N71</f>
        <v>3.7138787776217061E-3</v>
      </c>
      <c r="M225" s="230">
        <f>M$222*'Methanol recycling rates'!O71</f>
        <v>4.1759668389531757E-3</v>
      </c>
      <c r="N225" s="230">
        <f>N$222*'Methanol recycling rates'!P71</f>
        <v>5.0360846491521597E-3</v>
      </c>
      <c r="O225" s="230">
        <f>O$222*'Methanol recycling rates'!Q71</f>
        <v>5.918858797729464E-3</v>
      </c>
      <c r="P225" s="230">
        <f>P$222*'Methanol recycling rates'!R71</f>
        <v>6.8158620093647891E-3</v>
      </c>
      <c r="Q225" s="230">
        <f>Q$222*'Methanol recycling rates'!S71</f>
        <v>7.7181814393898172E-3</v>
      </c>
      <c r="R225" s="230">
        <f>R$222*'Methanol recycling rates'!T71</f>
        <v>8.6165296157891882E-3</v>
      </c>
      <c r="S225" s="230">
        <f>S$222*'Methanol recycling rates'!U71</f>
        <v>9.5184828973664676E-3</v>
      </c>
      <c r="T225" s="230">
        <f>T$222*'Methanol recycling rates'!V71</f>
        <v>1.0419170980355668E-2</v>
      </c>
      <c r="U225" s="230">
        <f>U$222*'Methanol recycling rates'!W71</f>
        <v>1.1313530513346565E-2</v>
      </c>
      <c r="V225" s="230">
        <f>V$222*'Methanol recycling rates'!X71</f>
        <v>1.2196305431613532E-2</v>
      </c>
      <c r="W225" s="230">
        <f>W$222*'Methanol recycling rates'!Y71</f>
        <v>1.3062047514276091E-2</v>
      </c>
      <c r="X225" s="230">
        <f>X$222*'Methanol recycling rates'!Z71</f>
        <v>1.4462957198335812E-2</v>
      </c>
      <c r="Y225" s="230">
        <f>Y$222*'Methanol recycling rates'!AA71</f>
        <v>1.5834520553023528E-2</v>
      </c>
      <c r="Z225" s="230">
        <f>Z$222*'Methanol recycling rates'!AB71</f>
        <v>1.7167217760575691E-2</v>
      </c>
      <c r="AA225" s="230">
        <f>AA$222*'Methanol recycling rates'!AC71</f>
        <v>1.8451209538523236E-2</v>
      </c>
      <c r="AB225" s="230">
        <f>AB$222*'Methanol recycling rates'!AD71</f>
        <v>1.9676338463965989E-2</v>
      </c>
      <c r="AC225" s="230">
        <f>AC$222*'Methanol recycling rates'!AE71</f>
        <v>2.0832327595865643E-2</v>
      </c>
      <c r="AD225" s="230">
        <f>AD$222*'Methanol recycling rates'!AF71</f>
        <v>2.1908419381428134E-2</v>
      </c>
      <c r="AE225" s="230">
        <f>AE$222*'Methanol recycling rates'!AG71</f>
        <v>2.2893539077865385E-2</v>
      </c>
      <c r="AF225" s="230">
        <f>AF$222*'Methanol recycling rates'!AH71</f>
        <v>2.3776296398749803E-2</v>
      </c>
      <c r="AG225" s="230">
        <f>AG$222*'Methanol recycling rates'!AI71</f>
        <v>2.4544987477366553E-2</v>
      </c>
      <c r="AH225" s="245"/>
      <c r="AI225" s="133"/>
      <c r="AJ225" s="211"/>
      <c r="AL225" s="108"/>
      <c r="AM225" s="2"/>
      <c r="AN225" s="2"/>
      <c r="AO225" s="2"/>
      <c r="BC225" s="1"/>
      <c r="BD225" s="2"/>
      <c r="BE225" s="2"/>
      <c r="BF225" s="2"/>
      <c r="BG225" s="2"/>
      <c r="BH225" s="2"/>
      <c r="BI225" s="2"/>
      <c r="BJ225" s="2"/>
      <c r="BK225" s="2"/>
    </row>
    <row r="226" spans="1:63" s="1" customFormat="1" outlineLevel="1">
      <c r="A226" s="1" t="s">
        <v>1562</v>
      </c>
      <c r="B226" s="65"/>
      <c r="C226" s="300">
        <f>C222-$C222</f>
        <v>0</v>
      </c>
      <c r="D226" s="300">
        <f t="shared" ref="D226:AG227" si="122">D222-$C222</f>
        <v>7.6354229962917095E-4</v>
      </c>
      <c r="E226" s="300">
        <f t="shared" si="122"/>
        <v>1.6405211194287022E-3</v>
      </c>
      <c r="F226" s="300">
        <f t="shared" si="122"/>
        <v>2.6327168919735066E-3</v>
      </c>
      <c r="G226" s="300">
        <f t="shared" si="122"/>
        <v>3.7404954352137096E-3</v>
      </c>
      <c r="H226" s="300">
        <f t="shared" si="122"/>
        <v>4.9627173425855556E-3</v>
      </c>
      <c r="I226" s="300">
        <f t="shared" si="122"/>
        <v>6.3130476033721608E-3</v>
      </c>
      <c r="J226" s="300">
        <f t="shared" si="122"/>
        <v>7.7965941431777262E-3</v>
      </c>
      <c r="K226" s="300">
        <f t="shared" si="122"/>
        <v>9.4183706783335115E-3</v>
      </c>
      <c r="L226" s="300">
        <f t="shared" si="122"/>
        <v>1.11832778942468E-2</v>
      </c>
      <c r="M226" s="300">
        <f t="shared" si="122"/>
        <v>1.3096084297857403E-2</v>
      </c>
      <c r="N226" s="300">
        <f t="shared" si="122"/>
        <v>1.6517490099657528E-2</v>
      </c>
      <c r="O226" s="300">
        <f t="shared" si="122"/>
        <v>2.0206461520006727E-2</v>
      </c>
      <c r="P226" s="300">
        <f t="shared" si="122"/>
        <v>2.4153871390306978E-2</v>
      </c>
      <c r="Q226" s="300">
        <f t="shared" si="122"/>
        <v>2.8347682664161194E-2</v>
      </c>
      <c r="R226" s="300">
        <f t="shared" si="122"/>
        <v>3.2772958308326404E-2</v>
      </c>
      <c r="S226" s="300">
        <f t="shared" si="122"/>
        <v>3.7481646007118681E-2</v>
      </c>
      <c r="T226" s="300">
        <f t="shared" si="122"/>
        <v>4.2479907903875944E-2</v>
      </c>
      <c r="U226" s="300">
        <f t="shared" si="122"/>
        <v>4.7773865652631101E-2</v>
      </c>
      <c r="V226" s="300">
        <f t="shared" si="122"/>
        <v>5.3369595153757492E-2</v>
      </c>
      <c r="W226" s="300">
        <f t="shared" si="122"/>
        <v>5.9273121231246312E-2</v>
      </c>
      <c r="X226" s="300">
        <f t="shared" si="122"/>
        <v>6.8169649436664106E-2</v>
      </c>
      <c r="Y226" s="300">
        <f t="shared" si="122"/>
        <v>7.758058431005109E-2</v>
      </c>
      <c r="Z226" s="300">
        <f t="shared" si="122"/>
        <v>8.7516180239551489E-2</v>
      </c>
      <c r="AA226" s="300">
        <f t="shared" si="122"/>
        <v>9.7986617626051806E-2</v>
      </c>
      <c r="AB226" s="300">
        <f t="shared" si="122"/>
        <v>0.10900199485072001</v>
      </c>
      <c r="AC226" s="300">
        <f t="shared" si="122"/>
        <v>0.12057347232054216</v>
      </c>
      <c r="AD226" s="300">
        <f t="shared" si="122"/>
        <v>0.13271130587807609</v>
      </c>
      <c r="AE226" s="300">
        <f t="shared" si="122"/>
        <v>0.14542567809825488</v>
      </c>
      <c r="AF226" s="300">
        <f t="shared" si="122"/>
        <v>0.15872669099239387</v>
      </c>
      <c r="AG226" s="300">
        <f t="shared" si="122"/>
        <v>0.17262435864647313</v>
      </c>
      <c r="AH226" s="245"/>
      <c r="AI226" s="423"/>
      <c r="AJ226" s="424"/>
      <c r="AL226" s="221"/>
      <c r="AM226" s="124"/>
      <c r="AN226" s="124"/>
      <c r="AO226" s="124"/>
      <c r="BD226" s="124"/>
      <c r="BE226" s="124"/>
      <c r="BF226" s="124"/>
      <c r="BG226" s="124"/>
      <c r="BH226" s="124"/>
      <c r="BI226" s="124"/>
      <c r="BJ226" s="124"/>
      <c r="BK226" s="124"/>
    </row>
    <row r="227" spans="1:63" outlineLevel="1">
      <c r="A227" s="4" t="s">
        <v>474</v>
      </c>
      <c r="C227" s="230">
        <f>C223-$C223</f>
        <v>0</v>
      </c>
      <c r="D227" s="230">
        <f t="shared" si="122"/>
        <v>4.4859542912567576E-5</v>
      </c>
      <c r="E227" s="230">
        <f t="shared" si="122"/>
        <v>1.2795678337467763E-4</v>
      </c>
      <c r="F227" s="230">
        <f t="shared" si="122"/>
        <v>2.5682719013230416E-4</v>
      </c>
      <c r="G227" s="230">
        <f t="shared" si="122"/>
        <v>4.3903813244217305E-4</v>
      </c>
      <c r="H227" s="230">
        <f t="shared" si="122"/>
        <v>6.8202480450229978E-4</v>
      </c>
      <c r="I227" s="230">
        <f t="shared" si="122"/>
        <v>9.9505952750724011E-4</v>
      </c>
      <c r="J227" s="230">
        <f t="shared" si="122"/>
        <v>1.387300397554751E-3</v>
      </c>
      <c r="K227" s="230">
        <f t="shared" si="122"/>
        <v>1.8683345077006501E-3</v>
      </c>
      <c r="L227" s="230">
        <f t="shared" si="122"/>
        <v>2.4481639858212655E-3</v>
      </c>
      <c r="M227" s="230">
        <f t="shared" si="122"/>
        <v>3.1371894994652381E-3</v>
      </c>
      <c r="N227" s="230">
        <f t="shared" si="122"/>
        <v>4.271392051859127E-3</v>
      </c>
      <c r="O227" s="230">
        <f t="shared" si="122"/>
        <v>5.6247712081621444E-3</v>
      </c>
      <c r="P227" s="230">
        <f t="shared" si="122"/>
        <v>7.2122396744393209E-3</v>
      </c>
      <c r="Q227" s="230">
        <f t="shared" si="122"/>
        <v>9.0470261103663841E-3</v>
      </c>
      <c r="R227" s="230">
        <f t="shared" si="122"/>
        <v>1.1140361175224057E-2</v>
      </c>
      <c r="S227" s="230">
        <f t="shared" si="122"/>
        <v>1.3525503227081983E-2</v>
      </c>
      <c r="T227" s="230">
        <f t="shared" si="122"/>
        <v>1.622327187834148E-2</v>
      </c>
      <c r="U227" s="230">
        <f t="shared" si="122"/>
        <v>1.9255008211678755E-2</v>
      </c>
      <c r="V227" s="230">
        <f t="shared" si="122"/>
        <v>2.264256818596995E-2</v>
      </c>
      <c r="W227" s="230">
        <f t="shared" si="122"/>
        <v>2.6408315328163616E-2</v>
      </c>
      <c r="X227" s="230">
        <f t="shared" si="122"/>
        <v>3.1801713068975439E-2</v>
      </c>
      <c r="Y227" s="230">
        <f t="shared" si="122"/>
        <v>3.7829732461592908E-2</v>
      </c>
      <c r="Z227" s="230">
        <f t="shared" si="122"/>
        <v>4.4531158693669082E-2</v>
      </c>
      <c r="AA227" s="230">
        <f t="shared" si="122"/>
        <v>5.1945632457162591E-2</v>
      </c>
      <c r="AB227" s="230">
        <f t="shared" si="122"/>
        <v>6.011363750557297E-2</v>
      </c>
      <c r="AC227" s="230">
        <f t="shared" si="122"/>
        <v>6.9077140182567984E-2</v>
      </c>
      <c r="AD227" s="230">
        <f t="shared" si="122"/>
        <v>7.8878547609062488E-2</v>
      </c>
      <c r="AE227" s="230">
        <f t="shared" si="122"/>
        <v>8.9561116524458126E-2</v>
      </c>
      <c r="AF227" s="230">
        <f t="shared" si="122"/>
        <v>0.10116894068747725</v>
      </c>
      <c r="AG227" s="230">
        <f>AG223-$C223</f>
        <v>0.11374693727966005</v>
      </c>
      <c r="AH227" s="245"/>
      <c r="AI227" s="133"/>
      <c r="AJ227" s="211"/>
      <c r="AL227" s="108"/>
      <c r="AM227" s="2"/>
      <c r="AN227" s="2"/>
      <c r="AO227" s="2"/>
      <c r="BC227" s="1"/>
      <c r="BD227" s="2"/>
      <c r="BE227" s="2"/>
      <c r="BF227" s="2"/>
      <c r="BG227" s="2"/>
      <c r="BH227" s="2"/>
      <c r="BI227" s="2"/>
      <c r="BJ227" s="2"/>
      <c r="BK227" s="2"/>
    </row>
    <row r="228" spans="1:63" outlineLevel="1">
      <c r="A228" s="4" t="s">
        <v>745</v>
      </c>
      <c r="C228" s="230">
        <f t="shared" ref="C228:AG229" si="123">C224-$C224</f>
        <v>0</v>
      </c>
      <c r="D228" s="230">
        <f t="shared" si="123"/>
        <v>4.5553492647849359E-4</v>
      </c>
      <c r="E228" s="230">
        <f t="shared" si="123"/>
        <v>9.5796802089217039E-4</v>
      </c>
      <c r="F228" s="230">
        <f t="shared" si="123"/>
        <v>1.5034710993304752E-3</v>
      </c>
      <c r="G228" s="230">
        <f t="shared" si="123"/>
        <v>2.0872963168577802E-3</v>
      </c>
      <c r="H228" s="230">
        <f t="shared" si="123"/>
        <v>2.7038265869473999E-3</v>
      </c>
      <c r="I228" s="230">
        <f t="shared" si="123"/>
        <v>3.3556406073174099E-3</v>
      </c>
      <c r="J228" s="230">
        <f t="shared" si="123"/>
        <v>4.039956176965627E-3</v>
      </c>
      <c r="K228" s="230">
        <f t="shared" si="123"/>
        <v>4.7536489146684313E-3</v>
      </c>
      <c r="L228" s="230">
        <f t="shared" si="123"/>
        <v>5.493249490857729E-3</v>
      </c>
      <c r="M228" s="230">
        <f t="shared" si="123"/>
        <v>6.2549423194928882E-3</v>
      </c>
      <c r="N228" s="230">
        <f t="shared" si="123"/>
        <v>7.6820277587001419E-3</v>
      </c>
      <c r="O228" s="230">
        <f t="shared" si="123"/>
        <v>9.1348458741690158E-3</v>
      </c>
      <c r="P228" s="230">
        <f t="shared" si="123"/>
        <v>1.0597784066556764E-2</v>
      </c>
      <c r="Q228" s="230">
        <f t="shared" si="123"/>
        <v>1.2054489474458885E-2</v>
      </c>
      <c r="R228" s="230">
        <f t="shared" si="123"/>
        <v>1.3488081877367048E-2</v>
      </c>
      <c r="S228" s="230">
        <f t="shared" si="123"/>
        <v>1.4909674242724118E-2</v>
      </c>
      <c r="T228" s="230">
        <f t="shared" si="123"/>
        <v>1.6309479405232679E-2</v>
      </c>
      <c r="U228" s="230">
        <f t="shared" si="123"/>
        <v>1.7677341287659663E-2</v>
      </c>
      <c r="V228" s="230">
        <f t="shared" si="123"/>
        <v>1.900273589622789E-2</v>
      </c>
      <c r="W228" s="230">
        <f t="shared" si="123"/>
        <v>2.0274772748860487E-2</v>
      </c>
      <c r="X228" s="230">
        <f t="shared" si="123"/>
        <v>2.2376993529406745E-2</v>
      </c>
      <c r="Y228" s="230">
        <f t="shared" si="123"/>
        <v>2.4388345655488541E-2</v>
      </c>
      <c r="Z228" s="230">
        <f t="shared" si="123"/>
        <v>2.6289818145360595E-2</v>
      </c>
      <c r="AA228" s="230">
        <f t="shared" si="123"/>
        <v>2.8061789990419861E-2</v>
      </c>
      <c r="AB228" s="230">
        <f t="shared" si="123"/>
        <v>2.9684033241234933E-2</v>
      </c>
      <c r="AC228" s="230">
        <f t="shared" si="123"/>
        <v>3.1136018902162416E-2</v>
      </c>
      <c r="AD228" s="230">
        <f t="shared" si="123"/>
        <v>3.2396353247639335E-2</v>
      </c>
      <c r="AE228" s="230">
        <f t="shared" si="123"/>
        <v>3.344303685598523E-2</v>
      </c>
      <c r="AF228" s="230">
        <f t="shared" si="123"/>
        <v>3.4253468266220659E-2</v>
      </c>
      <c r="AG228" s="230">
        <f t="shared" si="123"/>
        <v>3.4804448249500394E-2</v>
      </c>
      <c r="AH228" s="245"/>
      <c r="AI228" s="133"/>
      <c r="AJ228" s="211"/>
      <c r="AL228" s="108"/>
      <c r="AM228" s="2"/>
      <c r="AN228" s="2"/>
      <c r="AO228" s="2"/>
      <c r="BC228" s="1"/>
      <c r="BD228" s="2"/>
      <c r="BE228" s="2"/>
      <c r="BF228" s="2"/>
      <c r="BG228" s="2"/>
      <c r="BH228" s="2"/>
      <c r="BI228" s="2"/>
      <c r="BJ228" s="2"/>
      <c r="BK228" s="2"/>
    </row>
    <row r="229" spans="1:63" outlineLevel="1">
      <c r="A229" s="4" t="s">
        <v>1561</v>
      </c>
      <c r="C229" s="230">
        <f t="shared" si="123"/>
        <v>0</v>
      </c>
      <c r="D229" s="230">
        <f t="shared" si="123"/>
        <v>2.6314783023810974E-4</v>
      </c>
      <c r="E229" s="230">
        <f t="shared" si="123"/>
        <v>5.5459631516185394E-4</v>
      </c>
      <c r="F229" s="230">
        <f t="shared" si="123"/>
        <v>8.7241860251072688E-4</v>
      </c>
      <c r="G229" s="230">
        <f t="shared" si="123"/>
        <v>1.2141609859137557E-3</v>
      </c>
      <c r="H229" s="230">
        <f t="shared" si="123"/>
        <v>1.5768659511358543E-3</v>
      </c>
      <c r="I229" s="230">
        <f t="shared" si="123"/>
        <v>1.9623474685475082E-3</v>
      </c>
      <c r="J229" s="230">
        <f t="shared" si="123"/>
        <v>2.3693375686573447E-3</v>
      </c>
      <c r="K229" s="230">
        <f t="shared" si="123"/>
        <v>2.7963872559644246E-3</v>
      </c>
      <c r="L229" s="230">
        <f t="shared" si="123"/>
        <v>3.241864417567799E-3</v>
      </c>
      <c r="M229" s="230">
        <f t="shared" si="123"/>
        <v>3.7039524788992687E-3</v>
      </c>
      <c r="N229" s="230">
        <f t="shared" si="123"/>
        <v>4.5640702890982522E-3</v>
      </c>
      <c r="O229" s="230">
        <f t="shared" si="123"/>
        <v>5.4468444376755566E-3</v>
      </c>
      <c r="P229" s="230">
        <f t="shared" si="123"/>
        <v>6.3438476493108825E-3</v>
      </c>
      <c r="Q229" s="230">
        <f t="shared" si="123"/>
        <v>7.2461670793359106E-3</v>
      </c>
      <c r="R229" s="230">
        <f t="shared" si="123"/>
        <v>8.1445152557352817E-3</v>
      </c>
      <c r="S229" s="230">
        <f t="shared" si="123"/>
        <v>9.046468537312561E-3</v>
      </c>
      <c r="T229" s="230">
        <f t="shared" si="123"/>
        <v>9.9471566203017617E-3</v>
      </c>
      <c r="U229" s="230">
        <f t="shared" si="123"/>
        <v>1.0841516153292659E-2</v>
      </c>
      <c r="V229" s="230">
        <f t="shared" si="123"/>
        <v>1.1724291071559626E-2</v>
      </c>
      <c r="W229" s="230">
        <f t="shared" si="123"/>
        <v>1.2590033154222184E-2</v>
      </c>
      <c r="X229" s="230">
        <f t="shared" si="123"/>
        <v>1.3990942838281905E-2</v>
      </c>
      <c r="Y229" s="230">
        <f t="shared" si="123"/>
        <v>1.5362506192969621E-2</v>
      </c>
      <c r="Z229" s="230">
        <f t="shared" si="123"/>
        <v>1.6695203400521785E-2</v>
      </c>
      <c r="AA229" s="230">
        <f t="shared" si="123"/>
        <v>1.7979195178469329E-2</v>
      </c>
      <c r="AB229" s="230">
        <f t="shared" si="123"/>
        <v>1.9204324103912082E-2</v>
      </c>
      <c r="AC229" s="230">
        <f t="shared" si="123"/>
        <v>2.0360313235811736E-2</v>
      </c>
      <c r="AD229" s="230">
        <f t="shared" si="123"/>
        <v>2.1436405021374227E-2</v>
      </c>
      <c r="AE229" s="230">
        <f t="shared" si="123"/>
        <v>2.2421524717811479E-2</v>
      </c>
      <c r="AF229" s="230">
        <f t="shared" si="123"/>
        <v>2.3304282038695896E-2</v>
      </c>
      <c r="AG229" s="230">
        <f t="shared" si="123"/>
        <v>2.4072973117312647E-2</v>
      </c>
      <c r="AH229" s="245"/>
      <c r="AI229" s="133"/>
      <c r="AJ229" s="211"/>
      <c r="AL229" s="108"/>
      <c r="AM229" s="2"/>
      <c r="AN229" s="2"/>
      <c r="AO229" s="2"/>
      <c r="BC229" s="1"/>
      <c r="BD229" s="2"/>
      <c r="BE229" s="2"/>
      <c r="BF229" s="2"/>
      <c r="BG229" s="2"/>
      <c r="BH229" s="2"/>
      <c r="BI229" s="2"/>
      <c r="BJ229" s="2"/>
      <c r="BK229" s="2"/>
    </row>
    <row r="230" spans="1:63" outlineLevel="1">
      <c r="AJ230" s="211"/>
    </row>
    <row r="231" spans="1:63" s="200" customFormat="1" ht="16" thickBot="1">
      <c r="A231" s="200" t="s">
        <v>1351</v>
      </c>
      <c r="B231" s="215"/>
      <c r="C231" s="224">
        <f>C232</f>
        <v>0.05</v>
      </c>
      <c r="D231" s="224">
        <f t="shared" ref="D231:AG231" si="124">D232</f>
        <v>5.2260994000770548E-2</v>
      </c>
      <c r="E231" s="224">
        <f t="shared" si="124"/>
        <v>5.4521988001541094E-2</v>
      </c>
      <c r="F231" s="224">
        <f t="shared" si="124"/>
        <v>5.6782982002311633E-2</v>
      </c>
      <c r="G231" s="224">
        <f t="shared" si="124"/>
        <v>5.9043976003082178E-2</v>
      </c>
      <c r="H231" s="224">
        <f t="shared" si="124"/>
        <v>6.1304970003852724E-2</v>
      </c>
      <c r="I231" s="224">
        <f t="shared" si="124"/>
        <v>6.3565964004623277E-2</v>
      </c>
      <c r="J231" s="224">
        <f t="shared" si="124"/>
        <v>6.5826958005393815E-2</v>
      </c>
      <c r="K231" s="224">
        <f t="shared" si="124"/>
        <v>6.8087952006164354E-2</v>
      </c>
      <c r="L231" s="224">
        <f t="shared" si="124"/>
        <v>7.0348946006934907E-2</v>
      </c>
      <c r="M231" s="224">
        <f t="shared" si="124"/>
        <v>7.2609940007705445E-2</v>
      </c>
      <c r="N231" s="224">
        <f t="shared" si="124"/>
        <v>7.7375419670867973E-2</v>
      </c>
      <c r="O231" s="224">
        <f t="shared" si="124"/>
        <v>8.2140899334030501E-2</v>
      </c>
      <c r="P231" s="224">
        <f t="shared" si="124"/>
        <v>8.6906378997193029E-2</v>
      </c>
      <c r="Q231" s="224">
        <f t="shared" si="124"/>
        <v>9.1671858660355557E-2</v>
      </c>
      <c r="R231" s="224">
        <f t="shared" si="124"/>
        <v>9.6437338323518085E-2</v>
      </c>
      <c r="S231" s="224">
        <f t="shared" si="124"/>
        <v>0.10120281798668061</v>
      </c>
      <c r="T231" s="224">
        <f t="shared" si="124"/>
        <v>0.10596829764984314</v>
      </c>
      <c r="U231" s="224">
        <f t="shared" si="124"/>
        <v>0.11073377731300567</v>
      </c>
      <c r="V231" s="224">
        <f t="shared" si="124"/>
        <v>0.1154992569761682</v>
      </c>
      <c r="W231" s="224">
        <f t="shared" si="124"/>
        <v>0.12026473663933072</v>
      </c>
      <c r="X231" s="224">
        <f t="shared" si="124"/>
        <v>0.12823826297539764</v>
      </c>
      <c r="Y231" s="224">
        <f t="shared" si="124"/>
        <v>0.13621178931146458</v>
      </c>
      <c r="Z231" s="224">
        <f t="shared" si="124"/>
        <v>0.14418531564753151</v>
      </c>
      <c r="AA231" s="224">
        <f t="shared" si="124"/>
        <v>0.15215884198359844</v>
      </c>
      <c r="AB231" s="224">
        <f t="shared" si="124"/>
        <v>0.16013236831966537</v>
      </c>
      <c r="AC231" s="224">
        <f t="shared" si="124"/>
        <v>0.16810589465573231</v>
      </c>
      <c r="AD231" s="224">
        <f t="shared" si="124"/>
        <v>0.17607942099179924</v>
      </c>
      <c r="AE231" s="224">
        <f t="shared" si="124"/>
        <v>0.18405294732786615</v>
      </c>
      <c r="AF231" s="224">
        <f t="shared" si="124"/>
        <v>0.19202647366393311</v>
      </c>
      <c r="AG231" s="224">
        <f t="shared" si="124"/>
        <v>0.2</v>
      </c>
      <c r="AJ231" s="231" t="s">
        <v>1331</v>
      </c>
      <c r="AL231" s="217"/>
      <c r="AM231" s="225"/>
      <c r="AN231" s="225"/>
      <c r="AO231" s="225"/>
    </row>
    <row r="232" spans="1:63" ht="16" outlineLevel="2" thickTop="1">
      <c r="A232" t="s">
        <v>1352</v>
      </c>
      <c r="B232" s="54" t="s">
        <v>462</v>
      </c>
      <c r="C232" s="113">
        <v>0.05</v>
      </c>
      <c r="D232" s="110">
        <f>$C232+($M232-$C232)/10*(D$1-$C$1)</f>
        <v>5.2260994000770548E-2</v>
      </c>
      <c r="E232" s="110">
        <f t="shared" ref="E232:L232" si="125">$C232+($M232-$C232)/10*(E$1-$C$1)</f>
        <v>5.4521988001541094E-2</v>
      </c>
      <c r="F232" s="110">
        <f t="shared" si="125"/>
        <v>5.6782982002311633E-2</v>
      </c>
      <c r="G232" s="110">
        <f t="shared" si="125"/>
        <v>5.9043976003082178E-2</v>
      </c>
      <c r="H232" s="110">
        <f t="shared" si="125"/>
        <v>6.1304970003852724E-2</v>
      </c>
      <c r="I232" s="110">
        <f t="shared" si="125"/>
        <v>6.3565964004623277E-2</v>
      </c>
      <c r="J232" s="110">
        <f t="shared" si="125"/>
        <v>6.5826958005393815E-2</v>
      </c>
      <c r="K232" s="110">
        <f t="shared" si="125"/>
        <v>6.8087952006164354E-2</v>
      </c>
      <c r="L232" s="110">
        <f t="shared" si="125"/>
        <v>7.0348946006934907E-2</v>
      </c>
      <c r="M232" s="121">
        <f>(M$52-$C$52)/($AG$52-$C$52)*($AG232-$C232)+$C232</f>
        <v>7.2609940007705445E-2</v>
      </c>
      <c r="N232" s="121">
        <f>$M232+($W232-$M232)/10*(N$1-$M$1)</f>
        <v>7.7375419670867973E-2</v>
      </c>
      <c r="O232" s="121">
        <f t="shared" ref="O232:U232" si="126">$M232+($W232-$M232)/10*(O$1-$M$1)</f>
        <v>8.2140899334030501E-2</v>
      </c>
      <c r="P232" s="121">
        <f t="shared" si="126"/>
        <v>8.6906378997193029E-2</v>
      </c>
      <c r="Q232" s="121">
        <f t="shared" si="126"/>
        <v>9.1671858660355557E-2</v>
      </c>
      <c r="R232" s="121">
        <f t="shared" si="126"/>
        <v>9.6437338323518085E-2</v>
      </c>
      <c r="S232" s="121">
        <f t="shared" si="126"/>
        <v>0.10120281798668061</v>
      </c>
      <c r="T232" s="121">
        <f t="shared" si="126"/>
        <v>0.10596829764984314</v>
      </c>
      <c r="U232" s="121">
        <f t="shared" si="126"/>
        <v>0.11073377731300567</v>
      </c>
      <c r="V232" s="121">
        <f>$M232+($W232-$M232)/10*(V$1-$M$1)</f>
        <v>0.1154992569761682</v>
      </c>
      <c r="W232" s="121">
        <f>(W$52-$C$52)/($AG$52-$C$52)*($AG232-$C232)+$C232</f>
        <v>0.12026473663933072</v>
      </c>
      <c r="X232" s="23">
        <f t="shared" ref="X232:AF232" si="127">$W232+($AG232-$W232)/10*(X$1-$W$1)</f>
        <v>0.12823826297539764</v>
      </c>
      <c r="Y232" s="23">
        <f t="shared" si="127"/>
        <v>0.13621178931146458</v>
      </c>
      <c r="Z232" s="23">
        <f t="shared" si="127"/>
        <v>0.14418531564753151</v>
      </c>
      <c r="AA232" s="23">
        <f t="shared" si="127"/>
        <v>0.15215884198359844</v>
      </c>
      <c r="AB232" s="23">
        <f t="shared" si="127"/>
        <v>0.16013236831966537</v>
      </c>
      <c r="AC232" s="23">
        <f t="shared" si="127"/>
        <v>0.16810589465573231</v>
      </c>
      <c r="AD232" s="23">
        <f t="shared" si="127"/>
        <v>0.17607942099179924</v>
      </c>
      <c r="AE232" s="23">
        <f t="shared" si="127"/>
        <v>0.18405294732786615</v>
      </c>
      <c r="AF232" s="23">
        <f t="shared" si="127"/>
        <v>0.19202647366393311</v>
      </c>
      <c r="AG232" s="106">
        <v>0.2</v>
      </c>
      <c r="AJ232" s="211" t="s">
        <v>1353</v>
      </c>
    </row>
    <row r="233" spans="1:63" outlineLevel="2">
      <c r="C233" s="113"/>
      <c r="D233" s="110"/>
      <c r="E233" s="110"/>
      <c r="F233" s="110"/>
      <c r="G233" s="110"/>
      <c r="H233" s="110"/>
      <c r="I233" s="110"/>
      <c r="J233" s="110"/>
      <c r="K233" s="110"/>
      <c r="L233" s="110"/>
      <c r="M233" s="121"/>
      <c r="N233" s="121"/>
      <c r="O233" s="121"/>
      <c r="P233" s="121"/>
      <c r="Q233" s="121"/>
      <c r="R233" s="121"/>
      <c r="S233" s="121"/>
      <c r="T233" s="121"/>
      <c r="U233" s="121"/>
      <c r="V233" s="121"/>
      <c r="W233" s="121"/>
      <c r="X233" s="23"/>
      <c r="Y233" s="23"/>
      <c r="Z233" s="23"/>
      <c r="AA233" s="23"/>
      <c r="AB233" s="23"/>
      <c r="AC233" s="23"/>
      <c r="AD233" s="23"/>
      <c r="AE233" s="23"/>
      <c r="AF233" s="23"/>
      <c r="AG233" s="106"/>
      <c r="AJ233" s="211"/>
    </row>
    <row r="234" spans="1:63" outlineLevel="1">
      <c r="A234" t="s">
        <v>1553</v>
      </c>
      <c r="C234" s="504">
        <f>'Overall recycling rates'!E88</f>
        <v>1.0000000000000004</v>
      </c>
      <c r="D234" s="504">
        <f>C234-($C234-$AG234)/($AG$1-$C$1)</f>
        <v>1.0000000000000004</v>
      </c>
      <c r="E234" s="504">
        <f t="shared" ref="E234:AF234" si="128">D234-($C234-$AG234)/($AG$1-$C$1)</f>
        <v>1.0000000000000004</v>
      </c>
      <c r="F234" s="504">
        <f t="shared" si="128"/>
        <v>1.0000000000000004</v>
      </c>
      <c r="G234" s="504">
        <f t="shared" si="128"/>
        <v>1.0000000000000004</v>
      </c>
      <c r="H234" s="504">
        <f t="shared" si="128"/>
        <v>1.0000000000000004</v>
      </c>
      <c r="I234" s="504">
        <f t="shared" si="128"/>
        <v>1.0000000000000004</v>
      </c>
      <c r="J234" s="504">
        <f t="shared" si="128"/>
        <v>1.0000000000000004</v>
      </c>
      <c r="K234" s="504">
        <f t="shared" si="128"/>
        <v>1.0000000000000004</v>
      </c>
      <c r="L234" s="504">
        <f t="shared" si="128"/>
        <v>1.0000000000000004</v>
      </c>
      <c r="M234" s="504">
        <f t="shared" si="128"/>
        <v>1.0000000000000004</v>
      </c>
      <c r="N234" s="504">
        <f t="shared" si="128"/>
        <v>1.0000000000000004</v>
      </c>
      <c r="O234" s="504">
        <f t="shared" si="128"/>
        <v>1.0000000000000004</v>
      </c>
      <c r="P234" s="504">
        <f t="shared" si="128"/>
        <v>1.0000000000000004</v>
      </c>
      <c r="Q234" s="504">
        <f t="shared" si="128"/>
        <v>1.0000000000000004</v>
      </c>
      <c r="R234" s="504">
        <f t="shared" si="128"/>
        <v>1.0000000000000004</v>
      </c>
      <c r="S234" s="504">
        <f t="shared" si="128"/>
        <v>1.0000000000000004</v>
      </c>
      <c r="T234" s="504">
        <f t="shared" si="128"/>
        <v>1.0000000000000004</v>
      </c>
      <c r="U234" s="504">
        <f t="shared" si="128"/>
        <v>1.0000000000000004</v>
      </c>
      <c r="V234" s="504">
        <f t="shared" si="128"/>
        <v>1.0000000000000004</v>
      </c>
      <c r="W234" s="504">
        <f t="shared" si="128"/>
        <v>1.0000000000000004</v>
      </c>
      <c r="X234" s="504">
        <f t="shared" si="128"/>
        <v>1.0000000000000004</v>
      </c>
      <c r="Y234" s="504">
        <f t="shared" si="128"/>
        <v>1.0000000000000004</v>
      </c>
      <c r="Z234" s="504">
        <f t="shared" si="128"/>
        <v>1.0000000000000004</v>
      </c>
      <c r="AA234" s="504">
        <f t="shared" si="128"/>
        <v>1.0000000000000004</v>
      </c>
      <c r="AB234" s="504">
        <f t="shared" si="128"/>
        <v>1.0000000000000004</v>
      </c>
      <c r="AC234" s="504">
        <f t="shared" si="128"/>
        <v>1.0000000000000004</v>
      </c>
      <c r="AD234" s="504">
        <f t="shared" si="128"/>
        <v>1.0000000000000004</v>
      </c>
      <c r="AE234" s="504">
        <f t="shared" si="128"/>
        <v>1.0000000000000004</v>
      </c>
      <c r="AF234" s="504">
        <f t="shared" si="128"/>
        <v>1.0000000000000004</v>
      </c>
      <c r="AG234" s="504">
        <f>'Overall recycling rates'!E97</f>
        <v>1</v>
      </c>
      <c r="AI234" s="133"/>
      <c r="AJ234" s="211" t="s">
        <v>1582</v>
      </c>
      <c r="AL234" s="108"/>
      <c r="AM234" s="207"/>
      <c r="AN234" s="207"/>
      <c r="AO234" s="207"/>
      <c r="BC234" s="1"/>
      <c r="BD234" s="207"/>
      <c r="BE234" s="207"/>
      <c r="BF234" s="207"/>
      <c r="BG234" s="207"/>
      <c r="BH234" s="207"/>
      <c r="BI234" s="207"/>
      <c r="BJ234" s="207"/>
      <c r="BK234" s="207"/>
    </row>
    <row r="235" spans="1:63" outlineLevel="1">
      <c r="A235" t="s">
        <v>1583</v>
      </c>
      <c r="B235" s="54" t="s">
        <v>462</v>
      </c>
      <c r="C235" s="110">
        <f>C232*C234</f>
        <v>5.0000000000000024E-2</v>
      </c>
      <c r="D235" s="110">
        <f t="shared" ref="D235:AG235" si="129">D232*D234</f>
        <v>5.2260994000770569E-2</v>
      </c>
      <c r="E235" s="110">
        <f t="shared" si="129"/>
        <v>5.4521988001541115E-2</v>
      </c>
      <c r="F235" s="110">
        <f t="shared" si="129"/>
        <v>5.678298200231166E-2</v>
      </c>
      <c r="G235" s="110">
        <f t="shared" si="129"/>
        <v>5.9043976003082206E-2</v>
      </c>
      <c r="H235" s="110">
        <f t="shared" si="129"/>
        <v>6.1304970003852752E-2</v>
      </c>
      <c r="I235" s="110">
        <f t="shared" si="129"/>
        <v>6.3565964004623304E-2</v>
      </c>
      <c r="J235" s="110">
        <f t="shared" si="129"/>
        <v>6.5826958005393843E-2</v>
      </c>
      <c r="K235" s="110">
        <f t="shared" si="129"/>
        <v>6.8087952006164382E-2</v>
      </c>
      <c r="L235" s="110">
        <f t="shared" si="129"/>
        <v>7.0348946006934934E-2</v>
      </c>
      <c r="M235" s="110">
        <f t="shared" si="129"/>
        <v>7.2609940007705473E-2</v>
      </c>
      <c r="N235" s="110">
        <f t="shared" si="129"/>
        <v>7.7375419670868001E-2</v>
      </c>
      <c r="O235" s="110">
        <f t="shared" si="129"/>
        <v>8.2140899334030543E-2</v>
      </c>
      <c r="P235" s="110">
        <f t="shared" si="129"/>
        <v>8.6906378997193071E-2</v>
      </c>
      <c r="Q235" s="110">
        <f t="shared" si="129"/>
        <v>9.1671858660355598E-2</v>
      </c>
      <c r="R235" s="110">
        <f t="shared" si="129"/>
        <v>9.6437338323518126E-2</v>
      </c>
      <c r="S235" s="110">
        <f t="shared" si="129"/>
        <v>0.10120281798668065</v>
      </c>
      <c r="T235" s="110">
        <f t="shared" si="129"/>
        <v>0.10596829764984318</v>
      </c>
      <c r="U235" s="110">
        <f t="shared" si="129"/>
        <v>0.11073377731300572</v>
      </c>
      <c r="V235" s="110">
        <f t="shared" si="129"/>
        <v>0.11549925697616825</v>
      </c>
      <c r="W235" s="110">
        <f t="shared" si="129"/>
        <v>0.12026473663933078</v>
      </c>
      <c r="X235" s="110">
        <f t="shared" si="129"/>
        <v>0.1282382629753977</v>
      </c>
      <c r="Y235" s="110">
        <f t="shared" si="129"/>
        <v>0.13621178931146463</v>
      </c>
      <c r="Z235" s="110">
        <f t="shared" si="129"/>
        <v>0.14418531564753156</v>
      </c>
      <c r="AA235" s="110">
        <f t="shared" si="129"/>
        <v>0.1521588419835985</v>
      </c>
      <c r="AB235" s="110">
        <f t="shared" si="129"/>
        <v>0.16013236831966546</v>
      </c>
      <c r="AC235" s="110">
        <f t="shared" si="129"/>
        <v>0.16810589465573239</v>
      </c>
      <c r="AD235" s="110">
        <f t="shared" si="129"/>
        <v>0.17607942099179932</v>
      </c>
      <c r="AE235" s="110">
        <f t="shared" si="129"/>
        <v>0.18405294732786623</v>
      </c>
      <c r="AF235" s="110">
        <f t="shared" si="129"/>
        <v>0.19202647366393319</v>
      </c>
      <c r="AG235" s="110">
        <f t="shared" si="129"/>
        <v>0.2</v>
      </c>
      <c r="AJ235" s="211" t="s">
        <v>1349</v>
      </c>
    </row>
    <row r="236" spans="1:63" outlineLevel="1">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J236" s="211"/>
    </row>
    <row r="237" spans="1:63" s="1" customFormat="1" outlineLevel="1">
      <c r="A237" s="1" t="s">
        <v>228</v>
      </c>
      <c r="B237" s="65"/>
      <c r="C237" s="300">
        <f>C235*C46</f>
        <v>0.31598105577738522</v>
      </c>
      <c r="D237" s="300">
        <f t="shared" ref="D237:AG237" si="130">D235*D46</f>
        <v>0.34134081620046014</v>
      </c>
      <c r="E237" s="300">
        <f t="shared" si="130"/>
        <v>0.36708360883116053</v>
      </c>
      <c r="F237" s="300">
        <f t="shared" si="130"/>
        <v>0.39305945533275943</v>
      </c>
      <c r="G237" s="300">
        <f t="shared" si="130"/>
        <v>0.41910914635149427</v>
      </c>
      <c r="H237" s="300">
        <f t="shared" si="130"/>
        <v>0.44506581519298871</v>
      </c>
      <c r="I237" s="300">
        <f t="shared" si="130"/>
        <v>0.47177232307501166</v>
      </c>
      <c r="J237" s="300">
        <f t="shared" si="130"/>
        <v>0.49922105138093187</v>
      </c>
      <c r="K237" s="300">
        <f t="shared" si="130"/>
        <v>0.52740280228643277</v>
      </c>
      <c r="L237" s="300">
        <f t="shared" si="130"/>
        <v>0.55630677043721355</v>
      </c>
      <c r="M237" s="300">
        <f t="shared" si="130"/>
        <v>0.58592051823790381</v>
      </c>
      <c r="N237" s="300">
        <f t="shared" si="130"/>
        <v>0.63593209307875731</v>
      </c>
      <c r="O237" s="300">
        <f t="shared" si="130"/>
        <v>0.68629337132847901</v>
      </c>
      <c r="P237" s="300">
        <f t="shared" si="130"/>
        <v>0.73675054434853249</v>
      </c>
      <c r="Q237" s="300">
        <f t="shared" si="130"/>
        <v>0.78704114790605284</v>
      </c>
      <c r="R237" s="300">
        <f t="shared" si="130"/>
        <v>0.83689627016540191</v>
      </c>
      <c r="S237" s="300">
        <f t="shared" si="130"/>
        <v>0.88763924934771909</v>
      </c>
      <c r="T237" s="300">
        <f t="shared" si="130"/>
        <v>0.93926848368682558</v>
      </c>
      <c r="U237" s="300">
        <f t="shared" si="130"/>
        <v>0.99178194999825986</v>
      </c>
      <c r="V237" s="300">
        <f t="shared" si="130"/>
        <v>1.0451771985295053</v>
      </c>
      <c r="W237" s="300">
        <f t="shared" si="130"/>
        <v>1.0994513480252341</v>
      </c>
      <c r="X237" s="300">
        <f t="shared" si="130"/>
        <v>1.1842390765675308</v>
      </c>
      <c r="Y237" s="300">
        <f t="shared" si="130"/>
        <v>1.2705084427621778</v>
      </c>
      <c r="Z237" s="300">
        <f t="shared" si="130"/>
        <v>1.3582571736392406</v>
      </c>
      <c r="AA237" s="300">
        <f t="shared" si="130"/>
        <v>1.4474823644020329</v>
      </c>
      <c r="AB237" s="300">
        <f t="shared" si="130"/>
        <v>1.5381804711403055</v>
      </c>
      <c r="AC237" s="300">
        <f t="shared" si="130"/>
        <v>1.6303627175265563</v>
      </c>
      <c r="AD237" s="300">
        <f t="shared" si="130"/>
        <v>1.7240269383939626</v>
      </c>
      <c r="AE237" s="300">
        <f t="shared" si="130"/>
        <v>1.8191703974651969</v>
      </c>
      <c r="AF237" s="300">
        <f t="shared" si="130"/>
        <v>1.9157897810245188</v>
      </c>
      <c r="AG237" s="300">
        <f t="shared" si="130"/>
        <v>2.0138811918278421</v>
      </c>
      <c r="AH237" s="245"/>
      <c r="AI237" s="423"/>
      <c r="AJ237" s="424"/>
      <c r="AL237" s="221"/>
      <c r="AM237" s="124"/>
      <c r="AN237" s="124"/>
      <c r="AO237" s="124"/>
      <c r="BD237" s="124"/>
      <c r="BE237" s="124"/>
      <c r="BF237" s="124"/>
      <c r="BG237" s="124"/>
      <c r="BH237" s="124"/>
      <c r="BI237" s="124"/>
      <c r="BJ237" s="124"/>
      <c r="BK237" s="124"/>
    </row>
    <row r="238" spans="1:63" outlineLevel="1">
      <c r="A238" s="4" t="s">
        <v>474</v>
      </c>
      <c r="C238" s="230">
        <f>C$237*'Methanol recycling rates'!E72</f>
        <v>0</v>
      </c>
      <c r="D238" s="230">
        <f>D$237*'Methanol recycling rates'!F72</f>
        <v>0</v>
      </c>
      <c r="E238" s="230">
        <f>E$237*'Methanol recycling rates'!G72</f>
        <v>0</v>
      </c>
      <c r="F238" s="230">
        <f>F$237*'Methanol recycling rates'!H72</f>
        <v>0</v>
      </c>
      <c r="G238" s="230">
        <f>G$237*'Methanol recycling rates'!I72</f>
        <v>0</v>
      </c>
      <c r="H238" s="230">
        <f>H$237*'Methanol recycling rates'!J72</f>
        <v>0</v>
      </c>
      <c r="I238" s="230">
        <f>I$237*'Methanol recycling rates'!K72</f>
        <v>0</v>
      </c>
      <c r="J238" s="230">
        <f>J$237*'Methanol recycling rates'!L72</f>
        <v>0</v>
      </c>
      <c r="K238" s="230">
        <f>K$237*'Methanol recycling rates'!M72</f>
        <v>0</v>
      </c>
      <c r="L238" s="230">
        <f>L$237*'Methanol recycling rates'!N72</f>
        <v>0</v>
      </c>
      <c r="M238" s="230">
        <f>M$237*'Methanol recycling rates'!O72</f>
        <v>0</v>
      </c>
      <c r="N238" s="230">
        <f>N$237*'Methanol recycling rates'!P72</f>
        <v>0</v>
      </c>
      <c r="O238" s="230">
        <f>O$237*'Methanol recycling rates'!Q72</f>
        <v>0</v>
      </c>
      <c r="P238" s="230">
        <f>P$237*'Methanol recycling rates'!R72</f>
        <v>0</v>
      </c>
      <c r="Q238" s="230">
        <f>Q$237*'Methanol recycling rates'!S72</f>
        <v>0</v>
      </c>
      <c r="R238" s="230">
        <f>R$237*'Methanol recycling rates'!T72</f>
        <v>0</v>
      </c>
      <c r="S238" s="230">
        <f>S$237*'Methanol recycling rates'!U72</f>
        <v>0</v>
      </c>
      <c r="T238" s="230">
        <f>T$237*'Methanol recycling rates'!V72</f>
        <v>0</v>
      </c>
      <c r="U238" s="230">
        <f>U$237*'Methanol recycling rates'!W72</f>
        <v>0</v>
      </c>
      <c r="V238" s="230">
        <f>V$237*'Methanol recycling rates'!X72</f>
        <v>0</v>
      </c>
      <c r="W238" s="230">
        <f>W$237*'Methanol recycling rates'!Y72</f>
        <v>0</v>
      </c>
      <c r="X238" s="230">
        <f>X$237*'Methanol recycling rates'!Z72</f>
        <v>0</v>
      </c>
      <c r="Y238" s="230">
        <f>Y$237*'Methanol recycling rates'!AA72</f>
        <v>0</v>
      </c>
      <c r="Z238" s="230">
        <f>Z$237*'Methanol recycling rates'!AB72</f>
        <v>0</v>
      </c>
      <c r="AA238" s="230">
        <f>AA$237*'Methanol recycling rates'!AC72</f>
        <v>0</v>
      </c>
      <c r="AB238" s="230">
        <f>AB$237*'Methanol recycling rates'!AD72</f>
        <v>0</v>
      </c>
      <c r="AC238" s="230">
        <f>AC$237*'Methanol recycling rates'!AE72</f>
        <v>0</v>
      </c>
      <c r="AD238" s="230">
        <f>AD$237*'Methanol recycling rates'!AF72</f>
        <v>0</v>
      </c>
      <c r="AE238" s="230">
        <f>AE$237*'Methanol recycling rates'!AG72</f>
        <v>0</v>
      </c>
      <c r="AF238" s="230">
        <f>AF$237*'Methanol recycling rates'!AH72</f>
        <v>0</v>
      </c>
      <c r="AG238" s="230">
        <f>AG$237*'Methanol recycling rates'!AI72</f>
        <v>0</v>
      </c>
      <c r="AH238" s="245"/>
      <c r="AI238" s="133"/>
      <c r="AJ238" s="211"/>
      <c r="AL238" s="108"/>
      <c r="AM238" s="2"/>
      <c r="AN238" s="2"/>
      <c r="AO238" s="2"/>
      <c r="BC238" s="1"/>
      <c r="BD238" s="2"/>
      <c r="BE238" s="2"/>
      <c r="BF238" s="2"/>
      <c r="BG238" s="2"/>
      <c r="BH238" s="2"/>
      <c r="BI238" s="2"/>
      <c r="BJ238" s="2"/>
      <c r="BK238" s="2"/>
    </row>
    <row r="239" spans="1:63" outlineLevel="1">
      <c r="A239" s="4" t="s">
        <v>745</v>
      </c>
      <c r="C239" s="230">
        <f>C$237*'Methanol recycling rates'!E73</f>
        <v>9.7552363181015914E-2</v>
      </c>
      <c r="D239" s="230">
        <f>D$237*'Methanol recycling rates'!F73</f>
        <v>0.10538164444247948</v>
      </c>
      <c r="E239" s="230">
        <f>E$237*'Methanol recycling rates'!G73</f>
        <v>0.11332917866988867</v>
      </c>
      <c r="F239" s="230">
        <f>F$237*'Methanol recycling rates'!H73</f>
        <v>0.1213486632735592</v>
      </c>
      <c r="G239" s="230">
        <f>G$237*'Methanol recycling rates'!I73</f>
        <v>0.12939094578559435</v>
      </c>
      <c r="H239" s="230">
        <f>H$237*'Methanol recycling rates'!J73</f>
        <v>0.13740450969867515</v>
      </c>
      <c r="I239" s="230">
        <f>I$237*'Methanol recycling rates'!K73</f>
        <v>0.14564957030774925</v>
      </c>
      <c r="J239" s="230">
        <f>J$237*'Methanol recycling rates'!L73</f>
        <v>0.15412377552859213</v>
      </c>
      <c r="K239" s="230">
        <f>K$237*'Methanol recycling rates'!M73</f>
        <v>0.16282428573053034</v>
      </c>
      <c r="L239" s="230">
        <f>L$237*'Methanol recycling rates'!N73</f>
        <v>0.17174776499254021</v>
      </c>
      <c r="M239" s="230">
        <f>M$237*'Methanol recycling rates'!O73</f>
        <v>0.18089037347423106</v>
      </c>
      <c r="N239" s="230">
        <f>N$237*'Methanol recycling rates'!P73</f>
        <v>0.19633037287586186</v>
      </c>
      <c r="O239" s="230">
        <f>O$237*'Methanol recycling rates'!Q73</f>
        <v>0.21187833569277914</v>
      </c>
      <c r="P239" s="230">
        <f>P$237*'Methanol recycling rates'!R73</f>
        <v>0.22745590396005971</v>
      </c>
      <c r="Q239" s="230">
        <f>Q$237*'Methanol recycling rates'!S73</f>
        <v>0.2429820474839679</v>
      </c>
      <c r="R239" s="230">
        <f>R$237*'Methanol recycling rates'!T73</f>
        <v>0.25837374551191672</v>
      </c>
      <c r="S239" s="230">
        <f>S$237*'Methanol recycling rates'!U73</f>
        <v>0.27403955029221211</v>
      </c>
      <c r="T239" s="230">
        <f>T$237*'Methanol recycling rates'!V73</f>
        <v>0.28997896731395484</v>
      </c>
      <c r="U239" s="230">
        <f>U$237*'Methanol recycling rates'!W73</f>
        <v>0.30619137196240376</v>
      </c>
      <c r="V239" s="230">
        <f>V$237*'Methanol recycling rates'!X73</f>
        <v>0.32267600792909407</v>
      </c>
      <c r="W239" s="230">
        <f>W$237*'Methanol recycling rates'!Y73</f>
        <v>0.33943198568833738</v>
      </c>
      <c r="X239" s="230">
        <f>X$237*'Methanol recycling rates'!Z73</f>
        <v>0.36560837549658831</v>
      </c>
      <c r="Y239" s="230">
        <f>Y$237*'Methanol recycling rates'!AA73</f>
        <v>0.39224218910200059</v>
      </c>
      <c r="Z239" s="230">
        <f>Z$237*'Methanol recycling rates'!AB73</f>
        <v>0.41933272477393407</v>
      </c>
      <c r="AA239" s="230">
        <f>AA$237*'Methanol recycling rates'!AC73</f>
        <v>0.44687908571881163</v>
      </c>
      <c r="AB239" s="230">
        <f>AB$237*'Methanol recycling rates'!AD73</f>
        <v>0.47488017783047282</v>
      </c>
      <c r="AC239" s="230">
        <f>AC$237*'Methanol recycling rates'!AE73</f>
        <v>0.50333946617669845</v>
      </c>
      <c r="AD239" s="230">
        <f>AD$237*'Methanol recycling rates'!AF73</f>
        <v>0.53225628230874356</v>
      </c>
      <c r="AE239" s="230">
        <f>AE$237*'Methanol recycling rates'!AG73</f>
        <v>0.56162978145976272</v>
      </c>
      <c r="AF239" s="230">
        <f>AF$237*'Methanol recycling rates'!AH73</f>
        <v>0.5914589405912053</v>
      </c>
      <c r="AG239" s="230">
        <f>AG$237*'Methanol recycling rates'!AI73</f>
        <v>0.62174255651267873</v>
      </c>
      <c r="AH239" s="245"/>
      <c r="AI239" s="133"/>
      <c r="AJ239" s="211"/>
      <c r="AL239" s="108"/>
      <c r="AM239" s="2"/>
      <c r="AN239" s="2"/>
      <c r="AO239" s="2"/>
      <c r="BC239" s="1"/>
      <c r="BD239" s="2"/>
      <c r="BE239" s="2"/>
      <c r="BF239" s="2"/>
      <c r="BG239" s="2"/>
      <c r="BH239" s="2"/>
      <c r="BI239" s="2"/>
      <c r="BJ239" s="2"/>
      <c r="BK239" s="2"/>
    </row>
    <row r="240" spans="1:63" outlineLevel="1">
      <c r="A240" s="4" t="s">
        <v>1561</v>
      </c>
      <c r="C240" s="230">
        <f>C$237*'Methanol recycling rates'!E74</f>
        <v>0.21842869259636932</v>
      </c>
      <c r="D240" s="230">
        <f>D$237*'Methanol recycling rates'!F74</f>
        <v>0.23595917175798065</v>
      </c>
      <c r="E240" s="230">
        <f>E$237*'Methanol recycling rates'!G74</f>
        <v>0.25375443016127186</v>
      </c>
      <c r="F240" s="230">
        <f>F$237*'Methanol recycling rates'!H74</f>
        <v>0.27171079205920023</v>
      </c>
      <c r="G240" s="230">
        <f>G$237*'Methanol recycling rates'!I74</f>
        <v>0.28971820056589992</v>
      </c>
      <c r="H240" s="230">
        <f>H$237*'Methanol recycling rates'!J74</f>
        <v>0.30766130549431353</v>
      </c>
      <c r="I240" s="230">
        <f>I$237*'Methanol recycling rates'!K74</f>
        <v>0.32612275276726238</v>
      </c>
      <c r="J240" s="230">
        <f>J$237*'Methanol recycling rates'!L74</f>
        <v>0.34509727585233974</v>
      </c>
      <c r="K240" s="230">
        <f>K$237*'Methanol recycling rates'!M74</f>
        <v>0.36457851655590245</v>
      </c>
      <c r="L240" s="230">
        <f>L$237*'Methanol recycling rates'!N74</f>
        <v>0.38455900544467331</v>
      </c>
      <c r="M240" s="230">
        <f>M$237*'Methanol recycling rates'!O74</f>
        <v>0.40503014476367277</v>
      </c>
      <c r="N240" s="230">
        <f>N$237*'Methanol recycling rates'!P74</f>
        <v>0.43960172020289545</v>
      </c>
      <c r="O240" s="230">
        <f>O$237*'Methanol recycling rates'!Q74</f>
        <v>0.47441503563569987</v>
      </c>
      <c r="P240" s="230">
        <f>P$237*'Methanol recycling rates'!R74</f>
        <v>0.50929464038847272</v>
      </c>
      <c r="Q240" s="230">
        <f>Q$237*'Methanol recycling rates'!S74</f>
        <v>0.54405910042208494</v>
      </c>
      <c r="R240" s="230">
        <f>R$237*'Methanol recycling rates'!T74</f>
        <v>0.57852252465348519</v>
      </c>
      <c r="S240" s="230">
        <f>S$237*'Methanol recycling rates'!U74</f>
        <v>0.61359969905550704</v>
      </c>
      <c r="T240" s="230">
        <f>T$237*'Methanol recycling rates'!V74</f>
        <v>0.6492895163728708</v>
      </c>
      <c r="U240" s="230">
        <f>U$237*'Methanol recycling rates'!W74</f>
        <v>0.6855905780358561</v>
      </c>
      <c r="V240" s="230">
        <f>V$237*'Methanol recycling rates'!X74</f>
        <v>0.72250119060041129</v>
      </c>
      <c r="W240" s="230">
        <f>W$237*'Methanol recycling rates'!Y74</f>
        <v>0.76001936233689671</v>
      </c>
      <c r="X240" s="230">
        <f>X$237*'Methanol recycling rates'!Z74</f>
        <v>0.81863070107094249</v>
      </c>
      <c r="Y240" s="230">
        <f>Y$237*'Methanol recycling rates'!AA74</f>
        <v>0.87826625366017719</v>
      </c>
      <c r="Z240" s="230">
        <f>Z$237*'Methanol recycling rates'!AB74</f>
        <v>0.93892444886530657</v>
      </c>
      <c r="AA240" s="230">
        <f>AA$237*'Methanol recycling rates'!AC74</f>
        <v>1.0006032786832213</v>
      </c>
      <c r="AB240" s="230">
        <f>AB$237*'Methanol recycling rates'!AD74</f>
        <v>1.0633002933098328</v>
      </c>
      <c r="AC240" s="230">
        <f>AC$237*'Methanol recycling rates'!AE74</f>
        <v>1.1270232513498577</v>
      </c>
      <c r="AD240" s="230">
        <f>AD$237*'Methanol recycling rates'!AF74</f>
        <v>1.191770656085219</v>
      </c>
      <c r="AE240" s="230">
        <f>AE$237*'Methanol recycling rates'!AG74</f>
        <v>1.2575406160054343</v>
      </c>
      <c r="AF240" s="230">
        <f>AF$237*'Methanol recycling rates'!AH74</f>
        <v>1.3243308404333136</v>
      </c>
      <c r="AG240" s="230">
        <f>AG$237*'Methanol recycling rates'!AI74</f>
        <v>1.3921386353151635</v>
      </c>
      <c r="AH240" s="245"/>
      <c r="AI240" s="133"/>
      <c r="AJ240" s="211"/>
      <c r="AL240" s="108"/>
      <c r="AM240" s="2"/>
      <c r="AN240" s="2"/>
      <c r="AO240" s="2"/>
      <c r="BC240" s="1"/>
      <c r="BD240" s="2"/>
      <c r="BE240" s="2"/>
      <c r="BF240" s="2"/>
      <c r="BG240" s="2"/>
      <c r="BH240" s="2"/>
      <c r="BI240" s="2"/>
      <c r="BJ240" s="2"/>
      <c r="BK240" s="2"/>
    </row>
    <row r="241" spans="1:63" s="1" customFormat="1" outlineLevel="1">
      <c r="A241" s="1" t="s">
        <v>1562</v>
      </c>
      <c r="B241" s="65"/>
      <c r="C241" s="300">
        <f>C237-$C237</f>
        <v>0</v>
      </c>
      <c r="D241" s="300">
        <f t="shared" ref="D241:AG242" si="131">D237-$C237</f>
        <v>2.5359760423074917E-2</v>
      </c>
      <c r="E241" s="300">
        <f t="shared" si="131"/>
        <v>5.1102553053775313E-2</v>
      </c>
      <c r="F241" s="300">
        <f t="shared" si="131"/>
        <v>7.7078399555374211E-2</v>
      </c>
      <c r="G241" s="300">
        <f t="shared" si="131"/>
        <v>0.10312809057410904</v>
      </c>
      <c r="H241" s="300">
        <f t="shared" si="131"/>
        <v>0.12908475941560349</v>
      </c>
      <c r="I241" s="300">
        <f t="shared" si="131"/>
        <v>0.15579126729762643</v>
      </c>
      <c r="J241" s="300">
        <f t="shared" si="131"/>
        <v>0.18323999560354665</v>
      </c>
      <c r="K241" s="300">
        <f t="shared" si="131"/>
        <v>0.21142174650904755</v>
      </c>
      <c r="L241" s="300">
        <f t="shared" si="131"/>
        <v>0.24032571465982833</v>
      </c>
      <c r="M241" s="300">
        <f t="shared" si="131"/>
        <v>0.26993946246051859</v>
      </c>
      <c r="N241" s="300">
        <f t="shared" si="131"/>
        <v>0.31995103730137209</v>
      </c>
      <c r="O241" s="300">
        <f t="shared" si="131"/>
        <v>0.37031231555109378</v>
      </c>
      <c r="P241" s="300">
        <f t="shared" si="131"/>
        <v>0.42076948857114727</v>
      </c>
      <c r="Q241" s="300">
        <f t="shared" si="131"/>
        <v>0.47106009212866762</v>
      </c>
      <c r="R241" s="300">
        <f t="shared" si="131"/>
        <v>0.52091521438801669</v>
      </c>
      <c r="S241" s="300">
        <f t="shared" si="131"/>
        <v>0.57165819357033387</v>
      </c>
      <c r="T241" s="300">
        <f t="shared" si="131"/>
        <v>0.62328742790944036</v>
      </c>
      <c r="U241" s="300">
        <f t="shared" si="131"/>
        <v>0.67580089422087464</v>
      </c>
      <c r="V241" s="300">
        <f t="shared" si="131"/>
        <v>0.72919614275212008</v>
      </c>
      <c r="W241" s="300">
        <f t="shared" si="131"/>
        <v>0.78347029224784892</v>
      </c>
      <c r="X241" s="300">
        <f t="shared" si="131"/>
        <v>0.86825802079014558</v>
      </c>
      <c r="Y241" s="300">
        <f t="shared" si="131"/>
        <v>0.95452738698479256</v>
      </c>
      <c r="Z241" s="300">
        <f t="shared" si="131"/>
        <v>1.0422761178618554</v>
      </c>
      <c r="AA241" s="300">
        <f t="shared" si="131"/>
        <v>1.1315013086246477</v>
      </c>
      <c r="AB241" s="300">
        <f t="shared" si="131"/>
        <v>1.2221994153629203</v>
      </c>
      <c r="AC241" s="300">
        <f t="shared" si="131"/>
        <v>1.314381661749171</v>
      </c>
      <c r="AD241" s="300">
        <f t="shared" si="131"/>
        <v>1.4080458826165774</v>
      </c>
      <c r="AE241" s="300">
        <f t="shared" si="131"/>
        <v>1.5031893416878117</v>
      </c>
      <c r="AF241" s="300">
        <f t="shared" si="131"/>
        <v>1.5998087252471336</v>
      </c>
      <c r="AG241" s="300">
        <f t="shared" si="131"/>
        <v>1.6979001360504569</v>
      </c>
      <c r="AH241" s="245"/>
      <c r="AI241" s="423"/>
      <c r="AJ241" s="424"/>
      <c r="AL241" s="221"/>
      <c r="AM241" s="124"/>
      <c r="AN241" s="124"/>
      <c r="AO241" s="124"/>
      <c r="BD241" s="124"/>
      <c r="BE241" s="124"/>
      <c r="BF241" s="124"/>
      <c r="BG241" s="124"/>
      <c r="BH241" s="124"/>
      <c r="BI241" s="124"/>
      <c r="BJ241" s="124"/>
      <c r="BK241" s="124"/>
    </row>
    <row r="242" spans="1:63" outlineLevel="1">
      <c r="A242" s="4" t="s">
        <v>474</v>
      </c>
      <c r="C242" s="230">
        <f>C238-$C238</f>
        <v>0</v>
      </c>
      <c r="D242" s="230">
        <f t="shared" si="131"/>
        <v>0</v>
      </c>
      <c r="E242" s="230">
        <f t="shared" si="131"/>
        <v>0</v>
      </c>
      <c r="F242" s="230">
        <f t="shared" si="131"/>
        <v>0</v>
      </c>
      <c r="G242" s="230">
        <f t="shared" si="131"/>
        <v>0</v>
      </c>
      <c r="H242" s="230">
        <f t="shared" si="131"/>
        <v>0</v>
      </c>
      <c r="I242" s="230">
        <f t="shared" si="131"/>
        <v>0</v>
      </c>
      <c r="J242" s="230">
        <f t="shared" si="131"/>
        <v>0</v>
      </c>
      <c r="K242" s="230">
        <f t="shared" si="131"/>
        <v>0</v>
      </c>
      <c r="L242" s="230">
        <f t="shared" si="131"/>
        <v>0</v>
      </c>
      <c r="M242" s="230">
        <f t="shared" si="131"/>
        <v>0</v>
      </c>
      <c r="N242" s="230">
        <f t="shared" si="131"/>
        <v>0</v>
      </c>
      <c r="O242" s="230">
        <f t="shared" si="131"/>
        <v>0</v>
      </c>
      <c r="P242" s="230">
        <f t="shared" si="131"/>
        <v>0</v>
      </c>
      <c r="Q242" s="230">
        <f t="shared" si="131"/>
        <v>0</v>
      </c>
      <c r="R242" s="230">
        <f t="shared" si="131"/>
        <v>0</v>
      </c>
      <c r="S242" s="230">
        <f t="shared" si="131"/>
        <v>0</v>
      </c>
      <c r="T242" s="230">
        <f t="shared" si="131"/>
        <v>0</v>
      </c>
      <c r="U242" s="230">
        <f t="shared" si="131"/>
        <v>0</v>
      </c>
      <c r="V242" s="230">
        <f t="shared" si="131"/>
        <v>0</v>
      </c>
      <c r="W242" s="230">
        <f t="shared" si="131"/>
        <v>0</v>
      </c>
      <c r="X242" s="230">
        <f t="shared" si="131"/>
        <v>0</v>
      </c>
      <c r="Y242" s="230">
        <f t="shared" si="131"/>
        <v>0</v>
      </c>
      <c r="Z242" s="230">
        <f t="shared" si="131"/>
        <v>0</v>
      </c>
      <c r="AA242" s="230">
        <f t="shared" si="131"/>
        <v>0</v>
      </c>
      <c r="AB242" s="230">
        <f t="shared" si="131"/>
        <v>0</v>
      </c>
      <c r="AC242" s="230">
        <f t="shared" si="131"/>
        <v>0</v>
      </c>
      <c r="AD242" s="230">
        <f t="shared" si="131"/>
        <v>0</v>
      </c>
      <c r="AE242" s="230">
        <f t="shared" si="131"/>
        <v>0</v>
      </c>
      <c r="AF242" s="230">
        <f t="shared" si="131"/>
        <v>0</v>
      </c>
      <c r="AG242" s="230">
        <f>AG238-$C238</f>
        <v>0</v>
      </c>
      <c r="AH242" s="245"/>
      <c r="AI242" s="133"/>
      <c r="AJ242" s="211"/>
      <c r="AL242" s="108"/>
      <c r="AM242" s="2"/>
      <c r="AN242" s="2"/>
      <c r="AO242" s="2"/>
      <c r="BC242" s="1"/>
      <c r="BD242" s="2"/>
      <c r="BE242" s="2"/>
      <c r="BF242" s="2"/>
      <c r="BG242" s="2"/>
      <c r="BH242" s="2"/>
      <c r="BI242" s="2"/>
      <c r="BJ242" s="2"/>
      <c r="BK242" s="2"/>
    </row>
    <row r="243" spans="1:63" outlineLevel="1">
      <c r="A243" s="4" t="s">
        <v>745</v>
      </c>
      <c r="C243" s="230">
        <f t="shared" ref="C243:AG244" si="132">C239-$C239</f>
        <v>0</v>
      </c>
      <c r="D243" s="230">
        <f t="shared" si="132"/>
        <v>7.8292812614635665E-3</v>
      </c>
      <c r="E243" s="230">
        <f t="shared" si="132"/>
        <v>1.5776815488872761E-2</v>
      </c>
      <c r="F243" s="230">
        <f t="shared" si="132"/>
        <v>2.3796300092543285E-2</v>
      </c>
      <c r="G243" s="230">
        <f t="shared" si="132"/>
        <v>3.1838582604578433E-2</v>
      </c>
      <c r="H243" s="230">
        <f t="shared" si="132"/>
        <v>3.985214651765924E-2</v>
      </c>
      <c r="I243" s="230">
        <f t="shared" si="132"/>
        <v>4.8097207126733335E-2</v>
      </c>
      <c r="J243" s="230">
        <f t="shared" si="132"/>
        <v>5.6571412347576219E-2</v>
      </c>
      <c r="K243" s="230">
        <f t="shared" si="132"/>
        <v>6.527192254951443E-2</v>
      </c>
      <c r="L243" s="230">
        <f t="shared" si="132"/>
        <v>7.41954018115243E-2</v>
      </c>
      <c r="M243" s="230">
        <f t="shared" si="132"/>
        <v>8.3338010293215151E-2</v>
      </c>
      <c r="N243" s="230">
        <f t="shared" si="132"/>
        <v>9.8778009694845945E-2</v>
      </c>
      <c r="O243" s="230">
        <f t="shared" si="132"/>
        <v>0.11432597251176323</v>
      </c>
      <c r="P243" s="230">
        <f t="shared" si="132"/>
        <v>0.12990354077904381</v>
      </c>
      <c r="Q243" s="230">
        <f t="shared" si="132"/>
        <v>0.145429684302952</v>
      </c>
      <c r="R243" s="230">
        <f t="shared" si="132"/>
        <v>0.16082138233090082</v>
      </c>
      <c r="S243" s="230">
        <f t="shared" si="132"/>
        <v>0.17648718711119621</v>
      </c>
      <c r="T243" s="230">
        <f t="shared" si="132"/>
        <v>0.19242660413293894</v>
      </c>
      <c r="U243" s="230">
        <f t="shared" si="132"/>
        <v>0.20863900878138786</v>
      </c>
      <c r="V243" s="230">
        <f t="shared" si="132"/>
        <v>0.22512364474807817</v>
      </c>
      <c r="W243" s="230">
        <f t="shared" si="132"/>
        <v>0.24187962250732148</v>
      </c>
      <c r="X243" s="230">
        <f t="shared" si="132"/>
        <v>0.26805601231557241</v>
      </c>
      <c r="Y243" s="230">
        <f t="shared" si="132"/>
        <v>0.29468982592098469</v>
      </c>
      <c r="Z243" s="230">
        <f t="shared" si="132"/>
        <v>0.32178036159291817</v>
      </c>
      <c r="AA243" s="230">
        <f t="shared" si="132"/>
        <v>0.34932672253779573</v>
      </c>
      <c r="AB243" s="230">
        <f t="shared" si="132"/>
        <v>0.37732781464945692</v>
      </c>
      <c r="AC243" s="230">
        <f t="shared" si="132"/>
        <v>0.40578710299568255</v>
      </c>
      <c r="AD243" s="230">
        <f t="shared" si="132"/>
        <v>0.43470391912772766</v>
      </c>
      <c r="AE243" s="230">
        <f t="shared" si="132"/>
        <v>0.46407741827874682</v>
      </c>
      <c r="AF243" s="230">
        <f t="shared" si="132"/>
        <v>0.4939065774101894</v>
      </c>
      <c r="AG243" s="230">
        <f t="shared" si="132"/>
        <v>0.52419019333166283</v>
      </c>
      <c r="AH243" s="245"/>
      <c r="AI243" s="133"/>
      <c r="AJ243" s="211"/>
      <c r="AL243" s="108"/>
      <c r="AM243" s="2"/>
      <c r="AN243" s="2"/>
      <c r="AO243" s="2"/>
      <c r="BC243" s="1"/>
      <c r="BD243" s="2"/>
      <c r="BE243" s="2"/>
      <c r="BF243" s="2"/>
      <c r="BG243" s="2"/>
      <c r="BH243" s="2"/>
      <c r="BI243" s="2"/>
      <c r="BJ243" s="2"/>
      <c r="BK243" s="2"/>
    </row>
    <row r="244" spans="1:63" outlineLevel="1">
      <c r="A244" s="4" t="s">
        <v>1561</v>
      </c>
      <c r="C244" s="230">
        <f t="shared" si="132"/>
        <v>0</v>
      </c>
      <c r="D244" s="230">
        <f t="shared" si="132"/>
        <v>1.7530479161611323E-2</v>
      </c>
      <c r="E244" s="230">
        <f t="shared" si="132"/>
        <v>3.5325737564902537E-2</v>
      </c>
      <c r="F244" s="230">
        <f t="shared" si="132"/>
        <v>5.3282099462830912E-2</v>
      </c>
      <c r="G244" s="230">
        <f t="shared" si="132"/>
        <v>7.1289507969530597E-2</v>
      </c>
      <c r="H244" s="230">
        <f t="shared" si="132"/>
        <v>8.9232612897944208E-2</v>
      </c>
      <c r="I244" s="230">
        <f t="shared" si="132"/>
        <v>0.10769406017089306</v>
      </c>
      <c r="J244" s="230">
        <f t="shared" si="132"/>
        <v>0.12666858325597041</v>
      </c>
      <c r="K244" s="230">
        <f t="shared" si="132"/>
        <v>0.14614982395953313</v>
      </c>
      <c r="L244" s="230">
        <f t="shared" si="132"/>
        <v>0.16613031284830398</v>
      </c>
      <c r="M244" s="230">
        <f t="shared" si="132"/>
        <v>0.18660145216730345</v>
      </c>
      <c r="N244" s="230">
        <f t="shared" si="132"/>
        <v>0.22117302760652613</v>
      </c>
      <c r="O244" s="230">
        <f t="shared" si="132"/>
        <v>0.25598634303933054</v>
      </c>
      <c r="P244" s="230">
        <f t="shared" si="132"/>
        <v>0.2908659477921034</v>
      </c>
      <c r="Q244" s="230">
        <f t="shared" si="132"/>
        <v>0.32563040782571562</v>
      </c>
      <c r="R244" s="230">
        <f t="shared" si="132"/>
        <v>0.36009383205711587</v>
      </c>
      <c r="S244" s="230">
        <f t="shared" si="132"/>
        <v>0.39517100645913772</v>
      </c>
      <c r="T244" s="230">
        <f t="shared" si="132"/>
        <v>0.43086082377650148</v>
      </c>
      <c r="U244" s="230">
        <f t="shared" si="132"/>
        <v>0.46716188543948678</v>
      </c>
      <c r="V244" s="230">
        <f t="shared" si="132"/>
        <v>0.50407249800404197</v>
      </c>
      <c r="W244" s="230">
        <f t="shared" si="132"/>
        <v>0.54159066974052739</v>
      </c>
      <c r="X244" s="230">
        <f t="shared" si="132"/>
        <v>0.60020200847457317</v>
      </c>
      <c r="Y244" s="230">
        <f t="shared" si="132"/>
        <v>0.65983756106380786</v>
      </c>
      <c r="Z244" s="230">
        <f t="shared" si="132"/>
        <v>0.72049575626893725</v>
      </c>
      <c r="AA244" s="230">
        <f t="shared" si="132"/>
        <v>0.78217458608685198</v>
      </c>
      <c r="AB244" s="230">
        <f t="shared" si="132"/>
        <v>0.84487160071346346</v>
      </c>
      <c r="AC244" s="230">
        <f t="shared" si="132"/>
        <v>0.90859455875348838</v>
      </c>
      <c r="AD244" s="230">
        <f t="shared" si="132"/>
        <v>0.97334196348884972</v>
      </c>
      <c r="AE244" s="230">
        <f t="shared" si="132"/>
        <v>1.0391119234090649</v>
      </c>
      <c r="AF244" s="230">
        <f t="shared" si="132"/>
        <v>1.1059021478369444</v>
      </c>
      <c r="AG244" s="230">
        <f t="shared" si="132"/>
        <v>1.1737099427187943</v>
      </c>
      <c r="AH244" s="245"/>
      <c r="AI244" s="133"/>
      <c r="AJ244" s="211"/>
      <c r="AL244" s="108"/>
      <c r="AM244" s="2"/>
      <c r="AN244" s="2"/>
      <c r="AO244" s="2"/>
      <c r="BC244" s="1"/>
      <c r="BD244" s="2"/>
      <c r="BE244" s="2"/>
      <c r="BF244" s="2"/>
      <c r="BG244" s="2"/>
      <c r="BH244" s="2"/>
      <c r="BI244" s="2"/>
      <c r="BJ244" s="2"/>
      <c r="BK244" s="2"/>
    </row>
    <row r="245" spans="1:63" outlineLevel="2">
      <c r="C245" s="113"/>
      <c r="D245" s="110"/>
      <c r="E245" s="110"/>
      <c r="F245" s="110"/>
      <c r="G245" s="110"/>
      <c r="H245" s="110"/>
      <c r="I245" s="110"/>
      <c r="J245" s="110"/>
      <c r="K245" s="110"/>
      <c r="L245" s="110"/>
      <c r="M245" s="121"/>
      <c r="N245" s="121"/>
      <c r="O245" s="121"/>
      <c r="P245" s="121"/>
      <c r="Q245" s="121"/>
      <c r="R245" s="121"/>
      <c r="S245" s="121"/>
      <c r="T245" s="121"/>
      <c r="U245" s="121"/>
      <c r="V245" s="121"/>
      <c r="W245" s="121"/>
      <c r="X245" s="23"/>
      <c r="Y245" s="23"/>
      <c r="Z245" s="23"/>
      <c r="AA245" s="23"/>
      <c r="AB245" s="23"/>
      <c r="AC245" s="23"/>
      <c r="AD245" s="23"/>
      <c r="AE245" s="23"/>
      <c r="AF245" s="23"/>
      <c r="AG245" s="106"/>
      <c r="AJ245" s="211"/>
    </row>
    <row r="246" spans="1:63" s="200" customFormat="1" ht="16" thickBot="1">
      <c r="A246" s="227" t="s">
        <v>1584</v>
      </c>
      <c r="B246" s="228"/>
      <c r="C246" s="229">
        <f>(C42*C66+C43*C132+C45*C187+C44*C220+C46*C235)/C47</f>
        <v>9.388625214515435E-2</v>
      </c>
      <c r="D246" s="229">
        <f t="shared" ref="D246:AG246" si="133">(D42*D66+D43*D132+D45*D187+D44*D220+D46*D235)/D47</f>
        <v>9.8014148774966905E-2</v>
      </c>
      <c r="E246" s="229">
        <f t="shared" si="133"/>
        <v>0.10213104741011053</v>
      </c>
      <c r="F246" s="229">
        <f t="shared" si="133"/>
        <v>0.10623694805058528</v>
      </c>
      <c r="G246" s="229">
        <f t="shared" si="133"/>
        <v>0.11033185069639113</v>
      </c>
      <c r="H246" s="229">
        <f t="shared" si="133"/>
        <v>0.11441575534752811</v>
      </c>
      <c r="I246" s="229">
        <f t="shared" si="133"/>
        <v>0.11848866200399619</v>
      </c>
      <c r="J246" s="229">
        <f t="shared" si="133"/>
        <v>0.12255057066579539</v>
      </c>
      <c r="K246" s="229">
        <f t="shared" si="133"/>
        <v>0.12660148133292565</v>
      </c>
      <c r="L246" s="229">
        <f t="shared" si="133"/>
        <v>0.13064139400538705</v>
      </c>
      <c r="M246" s="229">
        <f t="shared" si="133"/>
        <v>0.13467030868317958</v>
      </c>
      <c r="N246" s="229">
        <f t="shared" si="133"/>
        <v>0.14345287481170069</v>
      </c>
      <c r="O246" s="229">
        <f t="shared" si="133"/>
        <v>0.15221226055145817</v>
      </c>
      <c r="P246" s="229">
        <f t="shared" si="133"/>
        <v>0.16094196888835022</v>
      </c>
      <c r="Q246" s="229">
        <f t="shared" si="133"/>
        <v>0.16964891171144969</v>
      </c>
      <c r="R246" s="229">
        <f t="shared" si="133"/>
        <v>0.17833317546222197</v>
      </c>
      <c r="S246" s="229">
        <f t="shared" si="133"/>
        <v>0.18699484655014317</v>
      </c>
      <c r="T246" s="229">
        <f t="shared" si="133"/>
        <v>0.19563401135271463</v>
      </c>
      <c r="U246" s="229">
        <f t="shared" si="133"/>
        <v>0.20425075621547753</v>
      </c>
      <c r="V246" s="229">
        <f t="shared" si="133"/>
        <v>0.21284516745202819</v>
      </c>
      <c r="W246" s="229">
        <f t="shared" si="133"/>
        <v>0.22141733134403246</v>
      </c>
      <c r="X246" s="229">
        <f t="shared" si="133"/>
        <v>0.23599335318115783</v>
      </c>
      <c r="Y246" s="229">
        <f t="shared" si="133"/>
        <v>0.25053209070287974</v>
      </c>
      <c r="Z246" s="229">
        <f t="shared" si="133"/>
        <v>0.26502954277009766</v>
      </c>
      <c r="AA246" s="229">
        <f t="shared" si="133"/>
        <v>0.27949196037501189</v>
      </c>
      <c r="AB246" s="229">
        <f t="shared" si="133"/>
        <v>0.29391970249627825</v>
      </c>
      <c r="AC246" s="229">
        <f t="shared" si="133"/>
        <v>0.30831312778092435</v>
      </c>
      <c r="AD246" s="229">
        <f t="shared" si="133"/>
        <v>0.32267259454473207</v>
      </c>
      <c r="AE246" s="229">
        <f t="shared" si="133"/>
        <v>0.3369984607726203</v>
      </c>
      <c r="AF246" s="229">
        <f t="shared" si="133"/>
        <v>0.35129108411902688</v>
      </c>
      <c r="AG246" s="229">
        <f t="shared" si="133"/>
        <v>0.36555082190828914</v>
      </c>
      <c r="AJ246" s="479" t="s">
        <v>1585</v>
      </c>
      <c r="AL246" s="217"/>
      <c r="AM246" s="225"/>
      <c r="AN246" s="225"/>
      <c r="AO246" s="225"/>
    </row>
    <row r="247" spans="1:63" s="200" customFormat="1" ht="17" thickTop="1" thickBot="1">
      <c r="A247" s="227" t="s">
        <v>1356</v>
      </c>
      <c r="B247" s="228"/>
      <c r="C247" s="229">
        <f t="shared" ref="C247:AG247" si="134">(C14*C49+C113*C15+C17*C170+C216*C16+C231*C18)/C19</f>
        <v>0.10392620862112158</v>
      </c>
      <c r="D247" s="229">
        <f t="shared" si="134"/>
        <v>0.10914907209487128</v>
      </c>
      <c r="E247" s="229">
        <f t="shared" si="134"/>
        <v>0.11437193556862101</v>
      </c>
      <c r="F247" s="229">
        <f t="shared" si="134"/>
        <v>0.11959479904237068</v>
      </c>
      <c r="G247" s="229">
        <f t="shared" si="134"/>
        <v>0.12481766251612042</v>
      </c>
      <c r="H247" s="229">
        <f t="shared" si="134"/>
        <v>0.13004052598987015</v>
      </c>
      <c r="I247" s="229">
        <f t="shared" si="134"/>
        <v>0.13526338946361988</v>
      </c>
      <c r="J247" s="229">
        <f t="shared" si="134"/>
        <v>0.14048625293736958</v>
      </c>
      <c r="K247" s="229">
        <f t="shared" si="134"/>
        <v>0.1457091164111193</v>
      </c>
      <c r="L247" s="229">
        <f t="shared" si="134"/>
        <v>0.15093197988486898</v>
      </c>
      <c r="M247" s="229">
        <f t="shared" si="134"/>
        <v>0.15615484335861871</v>
      </c>
      <c r="N247" s="229">
        <f t="shared" si="134"/>
        <v>0.16716303252636805</v>
      </c>
      <c r="O247" s="229">
        <f t="shared" si="134"/>
        <v>0.17817122169411745</v>
      </c>
      <c r="P247" s="229">
        <f t="shared" si="134"/>
        <v>0.18917941086186682</v>
      </c>
      <c r="Q247" s="229">
        <f t="shared" si="134"/>
        <v>0.20018760002961619</v>
      </c>
      <c r="R247" s="229">
        <f t="shared" si="134"/>
        <v>0.21119578919736562</v>
      </c>
      <c r="S247" s="229">
        <f t="shared" si="134"/>
        <v>0.22220397836511507</v>
      </c>
      <c r="T247" s="229">
        <f t="shared" si="134"/>
        <v>0.23321216753286442</v>
      </c>
      <c r="U247" s="229">
        <f t="shared" si="134"/>
        <v>0.24422035670061382</v>
      </c>
      <c r="V247" s="229">
        <f t="shared" si="134"/>
        <v>0.25522854586836319</v>
      </c>
      <c r="W247" s="229">
        <f t="shared" si="134"/>
        <v>0.26623673503611256</v>
      </c>
      <c r="X247" s="229">
        <f t="shared" si="134"/>
        <v>0.28465546566672584</v>
      </c>
      <c r="Y247" s="229">
        <f t="shared" si="134"/>
        <v>0.30307419629733917</v>
      </c>
      <c r="Z247" s="229">
        <f t="shared" si="134"/>
        <v>0.32149292692795245</v>
      </c>
      <c r="AA247" s="229">
        <f t="shared" si="134"/>
        <v>0.33991165755856578</v>
      </c>
      <c r="AB247" s="229">
        <f t="shared" si="134"/>
        <v>0.35833038818917906</v>
      </c>
      <c r="AC247" s="229">
        <f t="shared" si="134"/>
        <v>0.37674911881979239</v>
      </c>
      <c r="AD247" s="229">
        <f t="shared" si="134"/>
        <v>0.39516784945040562</v>
      </c>
      <c r="AE247" s="229">
        <f t="shared" si="134"/>
        <v>0.4135865800810189</v>
      </c>
      <c r="AF247" s="229">
        <f t="shared" si="134"/>
        <v>0.43200531071163223</v>
      </c>
      <c r="AG247" s="229">
        <f t="shared" si="134"/>
        <v>0.45042404134224556</v>
      </c>
      <c r="AJ247" s="226" t="s">
        <v>1357</v>
      </c>
      <c r="AL247" s="217"/>
      <c r="AM247" s="225"/>
      <c r="AN247" s="225"/>
      <c r="AO247" s="225"/>
    </row>
    <row r="248" spans="1:63" ht="16" thickTop="1">
      <c r="B248" s="130"/>
      <c r="C248" s="113"/>
      <c r="D248" s="23"/>
      <c r="E248" s="23"/>
      <c r="F248" s="23"/>
      <c r="G248" s="23"/>
      <c r="H248" s="23"/>
      <c r="I248" s="23"/>
      <c r="J248" s="23"/>
      <c r="K248" s="23"/>
      <c r="L248" s="23"/>
      <c r="M248" s="126"/>
      <c r="N248" s="110"/>
      <c r="O248" s="110"/>
      <c r="P248" s="110"/>
      <c r="Q248" s="110"/>
      <c r="R248" s="110"/>
      <c r="S248" s="110"/>
      <c r="T248" s="110"/>
      <c r="U248" s="110"/>
      <c r="V248" s="110"/>
      <c r="W248" s="126"/>
      <c r="X248" s="110"/>
      <c r="Y248" s="110"/>
      <c r="Z248" s="110"/>
      <c r="AA248" s="110"/>
      <c r="AB248" s="110"/>
      <c r="AC248" s="110"/>
      <c r="AD248" s="110"/>
      <c r="AE248" s="110"/>
      <c r="AF248" s="110"/>
      <c r="AG248" s="113"/>
    </row>
    <row r="249" spans="1:63">
      <c r="A249" t="s">
        <v>1586</v>
      </c>
      <c r="B249" s="130"/>
      <c r="C249" s="230">
        <f>(C42*C66+C43*C132+C45*C187+C44*C220+C46*C235)</f>
        <v>1.1899030376946831</v>
      </c>
      <c r="D249" s="230">
        <f t="shared" ref="D249:AG249" si="135">(D42*D66+D43*D132+D45*D187+D44*D220+D46*D235)</f>
        <v>1.28386056234628</v>
      </c>
      <c r="E249" s="230">
        <f t="shared" si="135"/>
        <v>1.3790170145008203</v>
      </c>
      <c r="F249" s="230">
        <f t="shared" si="135"/>
        <v>1.4748035243118611</v>
      </c>
      <c r="G249" s="230">
        <f t="shared" si="135"/>
        <v>1.5706194656931056</v>
      </c>
      <c r="H249" s="230">
        <f t="shared" si="135"/>
        <v>1.6658385758471388</v>
      </c>
      <c r="I249" s="230">
        <f t="shared" si="135"/>
        <v>1.7636124082546567</v>
      </c>
      <c r="J249" s="230">
        <f t="shared" si="135"/>
        <v>1.8639015587121597</v>
      </c>
      <c r="K249" s="230">
        <f t="shared" si="135"/>
        <v>1.9666608746806569</v>
      </c>
      <c r="L249" s="230">
        <f t="shared" si="135"/>
        <v>2.0718393880676893</v>
      </c>
      <c r="M249" s="230">
        <f t="shared" si="135"/>
        <v>2.179380262285767</v>
      </c>
      <c r="N249" s="230">
        <f t="shared" si="135"/>
        <v>2.3644792661744471</v>
      </c>
      <c r="O249" s="230">
        <f t="shared" si="135"/>
        <v>2.55045999315012</v>
      </c>
      <c r="P249" s="230">
        <f t="shared" si="135"/>
        <v>2.7365087563667112</v>
      </c>
      <c r="Q249" s="230">
        <f t="shared" si="135"/>
        <v>2.9215370014776605</v>
      </c>
      <c r="R249" s="230">
        <f t="shared" si="135"/>
        <v>3.1045428365130796</v>
      </c>
      <c r="S249" s="230">
        <f t="shared" si="135"/>
        <v>3.290431153341983</v>
      </c>
      <c r="T249" s="230">
        <f t="shared" si="135"/>
        <v>3.4791856975146485</v>
      </c>
      <c r="U249" s="230">
        <f t="shared" si="135"/>
        <v>3.6707887298626654</v>
      </c>
      <c r="V249" s="230">
        <f t="shared" si="135"/>
        <v>3.8652210165417191</v>
      </c>
      <c r="W249" s="230">
        <f t="shared" si="135"/>
        <v>4.062461819942258</v>
      </c>
      <c r="X249" s="230">
        <f t="shared" si="135"/>
        <v>4.3742304946322399</v>
      </c>
      <c r="Y249" s="230">
        <f t="shared" si="135"/>
        <v>4.6907956271229354</v>
      </c>
      <c r="Z249" s="230">
        <f t="shared" si="135"/>
        <v>5.0127487394840688</v>
      </c>
      <c r="AA249" s="230">
        <f t="shared" si="135"/>
        <v>5.3395719169836084</v>
      </c>
      <c r="AB249" s="230">
        <f t="shared" si="135"/>
        <v>5.6712427311620814</v>
      </c>
      <c r="AC249" s="230">
        <f t="shared" si="135"/>
        <v>6.0077934523203957</v>
      </c>
      <c r="AD249" s="230">
        <f t="shared" si="135"/>
        <v>6.3492071995702526</v>
      </c>
      <c r="AE249" s="230">
        <f t="shared" si="135"/>
        <v>6.6954652554300012</v>
      </c>
      <c r="AF249" s="230">
        <f t="shared" si="135"/>
        <v>7.0465470521985756</v>
      </c>
      <c r="AG249" s="230">
        <f t="shared" si="135"/>
        <v>7.4024301591077277</v>
      </c>
      <c r="AI249" s="23">
        <f>(AG249/C249)^(1/30)-1</f>
        <v>6.2825807796765831E-2</v>
      </c>
    </row>
    <row r="250" spans="1:63">
      <c r="A250" t="s">
        <v>1587</v>
      </c>
      <c r="B250" s="130"/>
      <c r="C250" s="230">
        <f>C249</f>
        <v>1.1899030376946831</v>
      </c>
      <c r="D250" s="230">
        <f>C250*(1+$AI$250)</f>
        <v>1.2097744184241843</v>
      </c>
      <c r="E250" s="230">
        <f t="shared" ref="E250:AG250" si="136">D250*(1+$AI$250)</f>
        <v>1.2299776512118681</v>
      </c>
      <c r="F250" s="230">
        <f t="shared" si="136"/>
        <v>1.2505182779871062</v>
      </c>
      <c r="G250" s="230">
        <f t="shared" si="136"/>
        <v>1.2714019332294908</v>
      </c>
      <c r="H250" s="230">
        <f t="shared" si="136"/>
        <v>1.2926343455144231</v>
      </c>
      <c r="I250" s="230">
        <f t="shared" si="136"/>
        <v>1.3142213390845139</v>
      </c>
      <c r="J250" s="230">
        <f t="shared" si="136"/>
        <v>1.3361688354472252</v>
      </c>
      <c r="K250" s="230">
        <f t="shared" si="136"/>
        <v>1.3584828549991939</v>
      </c>
      <c r="L250" s="230">
        <f t="shared" si="136"/>
        <v>1.3811695186776802</v>
      </c>
      <c r="M250" s="230">
        <f>L250*(1+$AI$250)</f>
        <v>1.4042350496395974</v>
      </c>
      <c r="N250" s="230">
        <f t="shared" si="136"/>
        <v>1.4276857749685787</v>
      </c>
      <c r="O250" s="230">
        <f t="shared" si="136"/>
        <v>1.4515281274105538</v>
      </c>
      <c r="P250" s="230">
        <f t="shared" si="136"/>
        <v>1.47576864713831</v>
      </c>
      <c r="Q250" s="230">
        <f t="shared" si="136"/>
        <v>1.5004139835455197</v>
      </c>
      <c r="R250" s="230">
        <f t="shared" si="136"/>
        <v>1.5254708970707298</v>
      </c>
      <c r="S250" s="230">
        <f t="shared" si="136"/>
        <v>1.550946261051811</v>
      </c>
      <c r="T250" s="230">
        <f t="shared" si="136"/>
        <v>1.5768470636113761</v>
      </c>
      <c r="U250" s="230">
        <f t="shared" si="136"/>
        <v>1.6031804095736859</v>
      </c>
      <c r="V250" s="230">
        <f t="shared" si="136"/>
        <v>1.6299535224135664</v>
      </c>
      <c r="W250" s="230">
        <f t="shared" si="136"/>
        <v>1.6571737462378728</v>
      </c>
      <c r="X250" s="230">
        <f t="shared" si="136"/>
        <v>1.6848485478000452</v>
      </c>
      <c r="Y250" s="230">
        <f t="shared" si="136"/>
        <v>1.7129855185483058</v>
      </c>
      <c r="Z250" s="230">
        <f t="shared" si="136"/>
        <v>1.7415923767080623</v>
      </c>
      <c r="AA250" s="230">
        <f t="shared" si="136"/>
        <v>1.7706769693990869</v>
      </c>
      <c r="AB250" s="230">
        <f t="shared" si="136"/>
        <v>1.8002472747880516</v>
      </c>
      <c r="AC250" s="230">
        <f t="shared" si="136"/>
        <v>1.8303114042770119</v>
      </c>
      <c r="AD250" s="230">
        <f t="shared" si="136"/>
        <v>1.8608776047284379</v>
      </c>
      <c r="AE250" s="230">
        <f t="shared" si="136"/>
        <v>1.8919542607274027</v>
      </c>
      <c r="AF250" s="230">
        <f t="shared" si="136"/>
        <v>1.9235498968815501</v>
      </c>
      <c r="AG250" s="230">
        <f t="shared" si="136"/>
        <v>1.9556731801594718</v>
      </c>
      <c r="AI250" s="214">
        <v>1.67E-2</v>
      </c>
      <c r="AJ250" s="3" t="s">
        <v>1360</v>
      </c>
    </row>
    <row r="251" spans="1:63">
      <c r="B251" s="51"/>
    </row>
    <row r="252" spans="1:63" s="58" customFormat="1">
      <c r="A252" s="58" t="s">
        <v>1361</v>
      </c>
      <c r="B252" s="303"/>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c r="AA252" s="304"/>
      <c r="AB252" s="304"/>
      <c r="AC252" s="304"/>
      <c r="AD252" s="304"/>
      <c r="AE252" s="304"/>
      <c r="AF252" s="304"/>
      <c r="AG252" s="304"/>
      <c r="AI252" s="305"/>
      <c r="AJ252" s="306"/>
    </row>
    <row r="253" spans="1:63" s="190" customFormat="1" outlineLevel="1">
      <c r="A253" s="344" t="s">
        <v>1362</v>
      </c>
      <c r="B253" s="318" t="s">
        <v>462</v>
      </c>
      <c r="C253" s="319">
        <v>0.84</v>
      </c>
      <c r="D253" s="320">
        <f>-($C253-$AG253)/30+C253</f>
        <v>0.83566666666666667</v>
      </c>
      <c r="E253" s="320">
        <f t="shared" ref="E253:T253" si="137">-($C253-$AG253)/30+D253</f>
        <v>0.83133333333333337</v>
      </c>
      <c r="F253" s="320">
        <f t="shared" si="137"/>
        <v>0.82700000000000007</v>
      </c>
      <c r="G253" s="320">
        <f t="shared" si="137"/>
        <v>0.82266666666666677</v>
      </c>
      <c r="H253" s="320">
        <f t="shared" si="137"/>
        <v>0.81833333333333347</v>
      </c>
      <c r="I253" s="320">
        <f t="shared" si="137"/>
        <v>0.81400000000000017</v>
      </c>
      <c r="J253" s="320">
        <f t="shared" si="137"/>
        <v>0.80966666666666687</v>
      </c>
      <c r="K253" s="320">
        <f t="shared" si="137"/>
        <v>0.80533333333333357</v>
      </c>
      <c r="L253" s="320">
        <f t="shared" si="137"/>
        <v>0.80100000000000027</v>
      </c>
      <c r="M253" s="320">
        <f t="shared" si="137"/>
        <v>0.79666666666666697</v>
      </c>
      <c r="N253" s="320">
        <f t="shared" si="137"/>
        <v>0.79233333333333367</v>
      </c>
      <c r="O253" s="320">
        <f t="shared" si="137"/>
        <v>0.78800000000000037</v>
      </c>
      <c r="P253" s="320">
        <f t="shared" si="137"/>
        <v>0.78366666666666707</v>
      </c>
      <c r="Q253" s="320">
        <f t="shared" si="137"/>
        <v>0.77933333333333377</v>
      </c>
      <c r="R253" s="320">
        <f t="shared" si="137"/>
        <v>0.77500000000000047</v>
      </c>
      <c r="S253" s="320">
        <f t="shared" si="137"/>
        <v>0.77066666666666717</v>
      </c>
      <c r="T253" s="320">
        <f t="shared" si="137"/>
        <v>0.76633333333333387</v>
      </c>
      <c r="U253" s="320">
        <f t="shared" ref="T253:AF259" si="138">-($C253-$AG253)/30+T253</f>
        <v>0.76200000000000057</v>
      </c>
      <c r="V253" s="320">
        <f t="shared" si="138"/>
        <v>0.75766666666666727</v>
      </c>
      <c r="W253" s="320">
        <f t="shared" si="138"/>
        <v>0.75333333333333397</v>
      </c>
      <c r="X253" s="320">
        <f t="shared" si="138"/>
        <v>0.74900000000000067</v>
      </c>
      <c r="Y253" s="320">
        <f t="shared" si="138"/>
        <v>0.74466666666666737</v>
      </c>
      <c r="Z253" s="320">
        <f t="shared" si="138"/>
        <v>0.74033333333333406</v>
      </c>
      <c r="AA253" s="320">
        <f t="shared" si="138"/>
        <v>0.73600000000000076</v>
      </c>
      <c r="AB253" s="320">
        <f t="shared" si="138"/>
        <v>0.73166666666666746</v>
      </c>
      <c r="AC253" s="320">
        <f t="shared" si="138"/>
        <v>0.72733333333333416</v>
      </c>
      <c r="AD253" s="320">
        <f t="shared" si="138"/>
        <v>0.72300000000000086</v>
      </c>
      <c r="AE253" s="320">
        <f t="shared" si="138"/>
        <v>0.71866666666666756</v>
      </c>
      <c r="AF253" s="320">
        <f t="shared" si="138"/>
        <v>0.71433333333333426</v>
      </c>
      <c r="AG253" s="319">
        <v>0.71</v>
      </c>
      <c r="AI253" s="321"/>
      <c r="AJ253" s="322" t="s">
        <v>1363</v>
      </c>
    </row>
    <row r="254" spans="1:63" outlineLevel="1">
      <c r="A254" s="3" t="s">
        <v>90</v>
      </c>
      <c r="B254" s="302" t="s">
        <v>462</v>
      </c>
      <c r="C254" s="296">
        <v>0.16</v>
      </c>
      <c r="D254" s="317">
        <f t="shared" ref="D254:S259" si="139">-($C254-$AG254)/30+C254</f>
        <v>0.16206666666666666</v>
      </c>
      <c r="E254" s="317">
        <f t="shared" si="139"/>
        <v>0.16413333333333333</v>
      </c>
      <c r="F254" s="317">
        <f t="shared" si="139"/>
        <v>0.16619999999999999</v>
      </c>
      <c r="G254" s="317">
        <f t="shared" si="139"/>
        <v>0.16826666666666665</v>
      </c>
      <c r="H254" s="317">
        <f t="shared" si="139"/>
        <v>0.17033333333333331</v>
      </c>
      <c r="I254" s="317">
        <f t="shared" si="139"/>
        <v>0.17239999999999997</v>
      </c>
      <c r="J254" s="317">
        <f t="shared" si="139"/>
        <v>0.17446666666666663</v>
      </c>
      <c r="K254" s="317">
        <f t="shared" si="139"/>
        <v>0.17653333333333329</v>
      </c>
      <c r="L254" s="317">
        <f t="shared" si="139"/>
        <v>0.17859999999999995</v>
      </c>
      <c r="M254" s="317">
        <f t="shared" si="139"/>
        <v>0.18066666666666661</v>
      </c>
      <c r="N254" s="317">
        <f t="shared" si="139"/>
        <v>0.18273333333333328</v>
      </c>
      <c r="O254" s="317">
        <f t="shared" si="139"/>
        <v>0.18479999999999994</v>
      </c>
      <c r="P254" s="317">
        <f t="shared" si="139"/>
        <v>0.1868666666666666</v>
      </c>
      <c r="Q254" s="317">
        <f t="shared" si="139"/>
        <v>0.18893333333333326</v>
      </c>
      <c r="R254" s="317">
        <f t="shared" si="139"/>
        <v>0.19099999999999992</v>
      </c>
      <c r="S254" s="317">
        <f t="shared" si="139"/>
        <v>0.19306666666666658</v>
      </c>
      <c r="T254" s="317">
        <f t="shared" si="138"/>
        <v>0.19513333333333324</v>
      </c>
      <c r="U254" s="317">
        <f t="shared" si="138"/>
        <v>0.1971999999999999</v>
      </c>
      <c r="V254" s="317">
        <f t="shared" si="138"/>
        <v>0.19926666666666656</v>
      </c>
      <c r="W254" s="317">
        <f t="shared" si="138"/>
        <v>0.20133333333333323</v>
      </c>
      <c r="X254" s="317">
        <f t="shared" si="138"/>
        <v>0.20339999999999989</v>
      </c>
      <c r="Y254" s="317">
        <f t="shared" si="138"/>
        <v>0.20546666666666655</v>
      </c>
      <c r="Z254" s="317">
        <f t="shared" si="138"/>
        <v>0.20753333333333321</v>
      </c>
      <c r="AA254" s="317">
        <f t="shared" si="138"/>
        <v>0.20959999999999987</v>
      </c>
      <c r="AB254" s="317">
        <f t="shared" si="138"/>
        <v>0.21166666666666653</v>
      </c>
      <c r="AC254" s="317">
        <f t="shared" si="138"/>
        <v>0.21373333333333319</v>
      </c>
      <c r="AD254" s="317">
        <f t="shared" si="138"/>
        <v>0.21579999999999985</v>
      </c>
      <c r="AE254" s="317">
        <f t="shared" si="138"/>
        <v>0.21786666666666651</v>
      </c>
      <c r="AF254" s="317">
        <f t="shared" si="138"/>
        <v>0.21993333333333318</v>
      </c>
      <c r="AG254" s="296">
        <v>0.222</v>
      </c>
      <c r="AI254" s="214"/>
      <c r="AJ254" s="211" t="s">
        <v>1363</v>
      </c>
    </row>
    <row r="255" spans="1:63" outlineLevel="1">
      <c r="A255" s="3" t="s">
        <v>33</v>
      </c>
      <c r="B255" s="302" t="s">
        <v>462</v>
      </c>
      <c r="C255" s="296">
        <v>0.37</v>
      </c>
      <c r="D255" s="317">
        <f t="shared" si="139"/>
        <v>0.36270000000000002</v>
      </c>
      <c r="E255" s="317">
        <f t="shared" si="139"/>
        <v>0.35540000000000005</v>
      </c>
      <c r="F255" s="317">
        <f t="shared" si="139"/>
        <v>0.34810000000000008</v>
      </c>
      <c r="G255" s="317">
        <f t="shared" si="139"/>
        <v>0.3408000000000001</v>
      </c>
      <c r="H255" s="317">
        <f t="shared" si="139"/>
        <v>0.33350000000000013</v>
      </c>
      <c r="I255" s="317">
        <f t="shared" si="139"/>
        <v>0.32620000000000016</v>
      </c>
      <c r="J255" s="317">
        <f t="shared" si="139"/>
        <v>0.31890000000000018</v>
      </c>
      <c r="K255" s="317">
        <f t="shared" si="139"/>
        <v>0.31160000000000021</v>
      </c>
      <c r="L255" s="317">
        <f t="shared" si="139"/>
        <v>0.30430000000000024</v>
      </c>
      <c r="M255" s="317">
        <f t="shared" si="139"/>
        <v>0.29700000000000026</v>
      </c>
      <c r="N255" s="317">
        <f t="shared" si="139"/>
        <v>0.28970000000000029</v>
      </c>
      <c r="O255" s="317">
        <f t="shared" si="139"/>
        <v>0.28240000000000032</v>
      </c>
      <c r="P255" s="317">
        <f t="shared" si="139"/>
        <v>0.27510000000000034</v>
      </c>
      <c r="Q255" s="317">
        <f t="shared" si="139"/>
        <v>0.26780000000000037</v>
      </c>
      <c r="R255" s="317">
        <f t="shared" si="139"/>
        <v>0.2605000000000004</v>
      </c>
      <c r="S255" s="317">
        <f t="shared" si="139"/>
        <v>0.25320000000000042</v>
      </c>
      <c r="T255" s="317">
        <f t="shared" si="138"/>
        <v>0.24590000000000042</v>
      </c>
      <c r="U255" s="317">
        <f t="shared" si="138"/>
        <v>0.23860000000000042</v>
      </c>
      <c r="V255" s="317">
        <f t="shared" si="138"/>
        <v>0.23130000000000042</v>
      </c>
      <c r="W255" s="317">
        <f t="shared" si="138"/>
        <v>0.22400000000000042</v>
      </c>
      <c r="X255" s="317">
        <f t="shared" si="138"/>
        <v>0.21670000000000042</v>
      </c>
      <c r="Y255" s="317">
        <f t="shared" si="138"/>
        <v>0.20940000000000042</v>
      </c>
      <c r="Z255" s="317">
        <f t="shared" si="138"/>
        <v>0.20210000000000042</v>
      </c>
      <c r="AA255" s="317">
        <f t="shared" si="138"/>
        <v>0.19480000000000042</v>
      </c>
      <c r="AB255" s="317">
        <f t="shared" si="138"/>
        <v>0.18750000000000042</v>
      </c>
      <c r="AC255" s="317">
        <f t="shared" si="138"/>
        <v>0.18020000000000042</v>
      </c>
      <c r="AD255" s="317">
        <f t="shared" si="138"/>
        <v>0.17290000000000041</v>
      </c>
      <c r="AE255" s="317">
        <f t="shared" si="138"/>
        <v>0.16560000000000041</v>
      </c>
      <c r="AF255" s="317">
        <f t="shared" si="138"/>
        <v>0.15830000000000041</v>
      </c>
      <c r="AG255" s="296">
        <v>0.151</v>
      </c>
      <c r="AI255" s="214"/>
      <c r="AJ255" s="211" t="s">
        <v>1363</v>
      </c>
    </row>
    <row r="256" spans="1:63" outlineLevel="1">
      <c r="A256" s="3" t="s">
        <v>451</v>
      </c>
      <c r="B256" s="302" t="s">
        <v>462</v>
      </c>
      <c r="C256" s="296">
        <v>0.08</v>
      </c>
      <c r="D256" s="317">
        <f t="shared" si="139"/>
        <v>8.0100000000000005E-2</v>
      </c>
      <c r="E256" s="317">
        <f t="shared" si="139"/>
        <v>8.0200000000000007E-2</v>
      </c>
      <c r="F256" s="317">
        <f t="shared" si="139"/>
        <v>8.030000000000001E-2</v>
      </c>
      <c r="G256" s="317">
        <f t="shared" si="139"/>
        <v>8.0400000000000013E-2</v>
      </c>
      <c r="H256" s="317">
        <f t="shared" si="139"/>
        <v>8.0500000000000016E-2</v>
      </c>
      <c r="I256" s="317">
        <f t="shared" si="139"/>
        <v>8.0600000000000019E-2</v>
      </c>
      <c r="J256" s="317">
        <f t="shared" si="139"/>
        <v>8.0700000000000022E-2</v>
      </c>
      <c r="K256" s="317">
        <f t="shared" si="139"/>
        <v>8.0800000000000025E-2</v>
      </c>
      <c r="L256" s="317">
        <f t="shared" si="139"/>
        <v>8.0900000000000027E-2</v>
      </c>
      <c r="M256" s="317">
        <f t="shared" si="139"/>
        <v>8.100000000000003E-2</v>
      </c>
      <c r="N256" s="317">
        <f t="shared" si="139"/>
        <v>8.1100000000000033E-2</v>
      </c>
      <c r="O256" s="317">
        <f t="shared" si="139"/>
        <v>8.1200000000000036E-2</v>
      </c>
      <c r="P256" s="317">
        <f t="shared" si="139"/>
        <v>8.1300000000000039E-2</v>
      </c>
      <c r="Q256" s="317">
        <f t="shared" si="139"/>
        <v>8.1400000000000042E-2</v>
      </c>
      <c r="R256" s="317">
        <f t="shared" si="139"/>
        <v>8.1500000000000045E-2</v>
      </c>
      <c r="S256" s="317">
        <f t="shared" si="139"/>
        <v>8.1600000000000047E-2</v>
      </c>
      <c r="T256" s="317">
        <f t="shared" si="138"/>
        <v>8.170000000000005E-2</v>
      </c>
      <c r="U256" s="317">
        <f t="shared" si="138"/>
        <v>8.1800000000000053E-2</v>
      </c>
      <c r="V256" s="317">
        <f t="shared" si="138"/>
        <v>8.1900000000000056E-2</v>
      </c>
      <c r="W256" s="317">
        <f t="shared" si="138"/>
        <v>8.2000000000000059E-2</v>
      </c>
      <c r="X256" s="317">
        <f t="shared" si="138"/>
        <v>8.2100000000000062E-2</v>
      </c>
      <c r="Y256" s="317">
        <f t="shared" si="138"/>
        <v>8.2200000000000065E-2</v>
      </c>
      <c r="Z256" s="317">
        <f t="shared" si="138"/>
        <v>8.2300000000000068E-2</v>
      </c>
      <c r="AA256" s="317">
        <f t="shared" si="138"/>
        <v>8.240000000000007E-2</v>
      </c>
      <c r="AB256" s="317">
        <f t="shared" si="138"/>
        <v>8.2500000000000073E-2</v>
      </c>
      <c r="AC256" s="317">
        <f t="shared" si="138"/>
        <v>8.2600000000000076E-2</v>
      </c>
      <c r="AD256" s="317">
        <f t="shared" si="138"/>
        <v>8.2700000000000079E-2</v>
      </c>
      <c r="AE256" s="317">
        <f t="shared" si="138"/>
        <v>8.2800000000000082E-2</v>
      </c>
      <c r="AF256" s="317">
        <f t="shared" si="138"/>
        <v>8.2900000000000085E-2</v>
      </c>
      <c r="AG256" s="296">
        <v>8.3000000000000004E-2</v>
      </c>
      <c r="AI256" s="214"/>
      <c r="AJ256" s="211" t="s">
        <v>1363</v>
      </c>
    </row>
    <row r="257" spans="1:36" outlineLevel="1">
      <c r="A257" s="3" t="s">
        <v>452</v>
      </c>
      <c r="B257" s="302" t="s">
        <v>462</v>
      </c>
      <c r="C257" s="296">
        <v>0.27</v>
      </c>
      <c r="D257" s="317">
        <f t="shared" si="139"/>
        <v>0.27313333333333334</v>
      </c>
      <c r="E257" s="317">
        <f t="shared" si="139"/>
        <v>0.27626666666666666</v>
      </c>
      <c r="F257" s="317">
        <f t="shared" si="139"/>
        <v>0.27939999999999998</v>
      </c>
      <c r="G257" s="317">
        <f t="shared" si="139"/>
        <v>0.2825333333333333</v>
      </c>
      <c r="H257" s="317">
        <f t="shared" si="139"/>
        <v>0.28566666666666662</v>
      </c>
      <c r="I257" s="317">
        <f t="shared" si="139"/>
        <v>0.28879999999999995</v>
      </c>
      <c r="J257" s="317">
        <f t="shared" si="139"/>
        <v>0.29193333333333327</v>
      </c>
      <c r="K257" s="317">
        <f t="shared" si="139"/>
        <v>0.29506666666666659</v>
      </c>
      <c r="L257" s="317">
        <f t="shared" si="139"/>
        <v>0.29819999999999991</v>
      </c>
      <c r="M257" s="317">
        <f t="shared" si="139"/>
        <v>0.30133333333333323</v>
      </c>
      <c r="N257" s="317">
        <f t="shared" si="139"/>
        <v>0.30446666666666655</v>
      </c>
      <c r="O257" s="317">
        <f t="shared" si="139"/>
        <v>0.30759999999999987</v>
      </c>
      <c r="P257" s="317">
        <f t="shared" si="139"/>
        <v>0.31073333333333319</v>
      </c>
      <c r="Q257" s="317">
        <f t="shared" si="139"/>
        <v>0.31386666666666652</v>
      </c>
      <c r="R257" s="317">
        <f t="shared" si="139"/>
        <v>0.31699999999999984</v>
      </c>
      <c r="S257" s="317">
        <f t="shared" si="139"/>
        <v>0.32013333333333316</v>
      </c>
      <c r="T257" s="317">
        <f t="shared" si="138"/>
        <v>0.32326666666666648</v>
      </c>
      <c r="U257" s="317">
        <f t="shared" si="138"/>
        <v>0.3263999999999998</v>
      </c>
      <c r="V257" s="317">
        <f t="shared" si="138"/>
        <v>0.32953333333333312</v>
      </c>
      <c r="W257" s="317">
        <f t="shared" si="138"/>
        <v>0.33266666666666644</v>
      </c>
      <c r="X257" s="317">
        <f t="shared" si="138"/>
        <v>0.33579999999999977</v>
      </c>
      <c r="Y257" s="317">
        <f t="shared" si="138"/>
        <v>0.33893333333333309</v>
      </c>
      <c r="Z257" s="317">
        <f t="shared" si="138"/>
        <v>0.34206666666666641</v>
      </c>
      <c r="AA257" s="317">
        <f t="shared" si="138"/>
        <v>0.34519999999999973</v>
      </c>
      <c r="AB257" s="317">
        <f t="shared" si="138"/>
        <v>0.34833333333333305</v>
      </c>
      <c r="AC257" s="317">
        <f t="shared" si="138"/>
        <v>0.35146666666666637</v>
      </c>
      <c r="AD257" s="317">
        <f t="shared" si="138"/>
        <v>0.35459999999999969</v>
      </c>
      <c r="AE257" s="317">
        <f t="shared" si="138"/>
        <v>0.35773333333333301</v>
      </c>
      <c r="AF257" s="317">
        <f t="shared" si="138"/>
        <v>0.36086666666666634</v>
      </c>
      <c r="AG257" s="296">
        <v>0.36399999999999999</v>
      </c>
      <c r="AI257" s="214"/>
      <c r="AJ257" s="211" t="s">
        <v>1363</v>
      </c>
    </row>
    <row r="258" spans="1:36" outlineLevel="1">
      <c r="A258" s="3" t="s">
        <v>1364</v>
      </c>
      <c r="B258" s="302" t="s">
        <v>462</v>
      </c>
      <c r="C258" s="296">
        <v>7.0000000000000007E-2</v>
      </c>
      <c r="D258" s="317">
        <f t="shared" si="139"/>
        <v>7.1266666666666673E-2</v>
      </c>
      <c r="E258" s="317">
        <f t="shared" si="139"/>
        <v>7.2533333333333339E-2</v>
      </c>
      <c r="F258" s="317">
        <f t="shared" si="139"/>
        <v>7.3800000000000004E-2</v>
      </c>
      <c r="G258" s="317">
        <f t="shared" si="139"/>
        <v>7.506666666666667E-2</v>
      </c>
      <c r="H258" s="317">
        <f t="shared" si="139"/>
        <v>7.6333333333333336E-2</v>
      </c>
      <c r="I258" s="317">
        <f t="shared" si="139"/>
        <v>7.7600000000000002E-2</v>
      </c>
      <c r="J258" s="317">
        <f t="shared" si="139"/>
        <v>7.8866666666666668E-2</v>
      </c>
      <c r="K258" s="317">
        <f t="shared" si="139"/>
        <v>8.0133333333333334E-2</v>
      </c>
      <c r="L258" s="317">
        <f t="shared" si="139"/>
        <v>8.14E-2</v>
      </c>
      <c r="M258" s="317">
        <f t="shared" si="139"/>
        <v>8.2666666666666666E-2</v>
      </c>
      <c r="N258" s="317">
        <f t="shared" si="139"/>
        <v>8.3933333333333332E-2</v>
      </c>
      <c r="O258" s="317">
        <f t="shared" si="139"/>
        <v>8.5199999999999998E-2</v>
      </c>
      <c r="P258" s="317">
        <f t="shared" si="139"/>
        <v>8.6466666666666664E-2</v>
      </c>
      <c r="Q258" s="317">
        <f t="shared" si="139"/>
        <v>8.773333333333333E-2</v>
      </c>
      <c r="R258" s="317">
        <f t="shared" si="139"/>
        <v>8.8999999999999996E-2</v>
      </c>
      <c r="S258" s="317">
        <f t="shared" si="139"/>
        <v>9.0266666666666662E-2</v>
      </c>
      <c r="T258" s="317">
        <f t="shared" si="138"/>
        <v>9.1533333333333328E-2</v>
      </c>
      <c r="U258" s="317">
        <f t="shared" si="138"/>
        <v>9.2799999999999994E-2</v>
      </c>
      <c r="V258" s="317">
        <f t="shared" si="138"/>
        <v>9.406666666666666E-2</v>
      </c>
      <c r="W258" s="317">
        <f t="shared" si="138"/>
        <v>9.5333333333333325E-2</v>
      </c>
      <c r="X258" s="317">
        <f t="shared" si="138"/>
        <v>9.6599999999999991E-2</v>
      </c>
      <c r="Y258" s="317">
        <f t="shared" si="138"/>
        <v>9.7866666666666657E-2</v>
      </c>
      <c r="Z258" s="317">
        <f t="shared" si="138"/>
        <v>9.9133333333333323E-2</v>
      </c>
      <c r="AA258" s="317">
        <f t="shared" si="138"/>
        <v>0.10039999999999999</v>
      </c>
      <c r="AB258" s="317">
        <f t="shared" si="138"/>
        <v>0.10166666666666666</v>
      </c>
      <c r="AC258" s="317">
        <f t="shared" si="138"/>
        <v>0.10293333333333332</v>
      </c>
      <c r="AD258" s="317">
        <f t="shared" si="138"/>
        <v>0.10419999999999999</v>
      </c>
      <c r="AE258" s="317">
        <f t="shared" si="138"/>
        <v>0.10546666666666665</v>
      </c>
      <c r="AF258" s="317">
        <f t="shared" si="138"/>
        <v>0.10673333333333332</v>
      </c>
      <c r="AG258" s="296">
        <v>0.108</v>
      </c>
      <c r="AI258" s="214"/>
      <c r="AJ258" s="211" t="s">
        <v>1363</v>
      </c>
    </row>
    <row r="259" spans="1:36" outlineLevel="1">
      <c r="A259" s="3" t="s">
        <v>1365</v>
      </c>
      <c r="B259" s="302" t="s">
        <v>462</v>
      </c>
      <c r="C259" s="296">
        <v>0.05</v>
      </c>
      <c r="D259" s="317">
        <f t="shared" si="139"/>
        <v>5.0733333333333339E-2</v>
      </c>
      <c r="E259" s="317">
        <f t="shared" si="139"/>
        <v>5.1466666666666674E-2</v>
      </c>
      <c r="F259" s="317">
        <f t="shared" si="139"/>
        <v>5.220000000000001E-2</v>
      </c>
      <c r="G259" s="317">
        <f t="shared" si="139"/>
        <v>5.2933333333333346E-2</v>
      </c>
      <c r="H259" s="317">
        <f t="shared" si="139"/>
        <v>5.3666666666666682E-2</v>
      </c>
      <c r="I259" s="317">
        <f t="shared" si="139"/>
        <v>5.4400000000000018E-2</v>
      </c>
      <c r="J259" s="317">
        <f t="shared" si="139"/>
        <v>5.5133333333333354E-2</v>
      </c>
      <c r="K259" s="317">
        <f t="shared" si="139"/>
        <v>5.5866666666666689E-2</v>
      </c>
      <c r="L259" s="317">
        <f t="shared" si="139"/>
        <v>5.6600000000000025E-2</v>
      </c>
      <c r="M259" s="317">
        <f t="shared" si="139"/>
        <v>5.7333333333333361E-2</v>
      </c>
      <c r="N259" s="317">
        <f t="shared" si="139"/>
        <v>5.8066666666666697E-2</v>
      </c>
      <c r="O259" s="317">
        <f t="shared" si="139"/>
        <v>5.8800000000000033E-2</v>
      </c>
      <c r="P259" s="317">
        <f t="shared" si="139"/>
        <v>5.9533333333333369E-2</v>
      </c>
      <c r="Q259" s="317">
        <f t="shared" si="139"/>
        <v>6.0266666666666704E-2</v>
      </c>
      <c r="R259" s="317">
        <f t="shared" si="139"/>
        <v>6.100000000000004E-2</v>
      </c>
      <c r="S259" s="317">
        <f t="shared" si="139"/>
        <v>6.1733333333333376E-2</v>
      </c>
      <c r="T259" s="317">
        <f t="shared" si="138"/>
        <v>6.2466666666666712E-2</v>
      </c>
      <c r="U259" s="317">
        <f t="shared" si="138"/>
        <v>6.3200000000000048E-2</v>
      </c>
      <c r="V259" s="317">
        <f t="shared" si="138"/>
        <v>6.3933333333333384E-2</v>
      </c>
      <c r="W259" s="317">
        <f t="shared" si="138"/>
        <v>6.4666666666666719E-2</v>
      </c>
      <c r="X259" s="317">
        <f t="shared" si="138"/>
        <v>6.5400000000000055E-2</v>
      </c>
      <c r="Y259" s="317">
        <f t="shared" si="138"/>
        <v>6.6133333333333391E-2</v>
      </c>
      <c r="Z259" s="317">
        <f t="shared" si="138"/>
        <v>6.6866666666666727E-2</v>
      </c>
      <c r="AA259" s="317">
        <f t="shared" si="138"/>
        <v>6.7600000000000063E-2</v>
      </c>
      <c r="AB259" s="317">
        <f t="shared" si="138"/>
        <v>6.8333333333333399E-2</v>
      </c>
      <c r="AC259" s="317">
        <f t="shared" si="138"/>
        <v>6.9066666666666734E-2</v>
      </c>
      <c r="AD259" s="317">
        <f t="shared" si="138"/>
        <v>6.980000000000007E-2</v>
      </c>
      <c r="AE259" s="317">
        <f t="shared" si="138"/>
        <v>7.0533333333333406E-2</v>
      </c>
      <c r="AF259" s="317">
        <f t="shared" si="138"/>
        <v>7.1266666666666742E-2</v>
      </c>
      <c r="AG259" s="296">
        <v>7.1999999999999995E-2</v>
      </c>
      <c r="AI259" s="214"/>
      <c r="AJ259" s="211" t="s">
        <v>1363</v>
      </c>
    </row>
    <row r="260" spans="1:36" s="58" customFormat="1" outlineLevel="1">
      <c r="A260" s="306" t="s">
        <v>1366</v>
      </c>
      <c r="B260" s="303"/>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c r="AA260" s="304"/>
      <c r="AB260" s="304"/>
      <c r="AC260" s="304"/>
      <c r="AD260" s="304"/>
      <c r="AE260" s="304"/>
      <c r="AF260" s="304"/>
      <c r="AG260" s="304"/>
      <c r="AI260" s="305"/>
      <c r="AJ260" s="306"/>
    </row>
    <row r="261" spans="1:36" s="58" customFormat="1" outlineLevel="1">
      <c r="A261" s="307" t="s">
        <v>1367</v>
      </c>
      <c r="B261" s="308" t="s">
        <v>462</v>
      </c>
      <c r="C261" s="337">
        <v>0.84</v>
      </c>
      <c r="D261" s="338">
        <f>-($C261-$AG261)/30+C261</f>
        <v>0.84399999999999997</v>
      </c>
      <c r="E261" s="338">
        <f t="shared" ref="E261:T262" si="140">-($C261-$AG261)/30+D261</f>
        <v>0.84799999999999998</v>
      </c>
      <c r="F261" s="338">
        <f t="shared" si="140"/>
        <v>0.85199999999999998</v>
      </c>
      <c r="G261" s="338">
        <f t="shared" si="140"/>
        <v>0.85599999999999998</v>
      </c>
      <c r="H261" s="338">
        <f t="shared" si="140"/>
        <v>0.86</v>
      </c>
      <c r="I261" s="338">
        <f t="shared" si="140"/>
        <v>0.86399999999999999</v>
      </c>
      <c r="J261" s="338">
        <f t="shared" si="140"/>
        <v>0.86799999999999999</v>
      </c>
      <c r="K261" s="338">
        <f t="shared" si="140"/>
        <v>0.872</v>
      </c>
      <c r="L261" s="338">
        <f t="shared" si="140"/>
        <v>0.876</v>
      </c>
      <c r="M261" s="338">
        <f t="shared" si="140"/>
        <v>0.88</v>
      </c>
      <c r="N261" s="338">
        <f t="shared" si="140"/>
        <v>0.88400000000000001</v>
      </c>
      <c r="O261" s="338">
        <f t="shared" si="140"/>
        <v>0.88800000000000001</v>
      </c>
      <c r="P261" s="338">
        <f t="shared" si="140"/>
        <v>0.89200000000000002</v>
      </c>
      <c r="Q261" s="338">
        <f t="shared" si="140"/>
        <v>0.89600000000000002</v>
      </c>
      <c r="R261" s="338">
        <f t="shared" si="140"/>
        <v>0.9</v>
      </c>
      <c r="S261" s="338">
        <f t="shared" si="140"/>
        <v>0.90400000000000003</v>
      </c>
      <c r="T261" s="338">
        <f t="shared" si="140"/>
        <v>0.90800000000000003</v>
      </c>
      <c r="U261" s="338">
        <f t="shared" ref="U261:AF262" si="141">-($C261-$AG261)/30+T261</f>
        <v>0.91200000000000003</v>
      </c>
      <c r="V261" s="338">
        <f t="shared" si="141"/>
        <v>0.91600000000000004</v>
      </c>
      <c r="W261" s="338">
        <f t="shared" si="141"/>
        <v>0.92</v>
      </c>
      <c r="X261" s="338">
        <f t="shared" si="141"/>
        <v>0.92400000000000004</v>
      </c>
      <c r="Y261" s="338">
        <f t="shared" si="141"/>
        <v>0.92800000000000005</v>
      </c>
      <c r="Z261" s="338">
        <f t="shared" si="141"/>
        <v>0.93200000000000005</v>
      </c>
      <c r="AA261" s="338">
        <f t="shared" si="141"/>
        <v>0.93600000000000005</v>
      </c>
      <c r="AB261" s="338">
        <f t="shared" si="141"/>
        <v>0.94000000000000006</v>
      </c>
      <c r="AC261" s="338">
        <f t="shared" si="141"/>
        <v>0.94400000000000006</v>
      </c>
      <c r="AD261" s="338">
        <f t="shared" si="141"/>
        <v>0.94800000000000006</v>
      </c>
      <c r="AE261" s="338">
        <f t="shared" si="141"/>
        <v>0.95200000000000007</v>
      </c>
      <c r="AF261" s="338">
        <f t="shared" si="141"/>
        <v>0.95600000000000007</v>
      </c>
      <c r="AG261" s="337">
        <v>0.96</v>
      </c>
      <c r="AI261" s="305"/>
      <c r="AJ261" s="339" t="s">
        <v>1363</v>
      </c>
    </row>
    <row r="262" spans="1:36" s="58" customFormat="1" outlineLevel="1">
      <c r="A262" s="307" t="s">
        <v>1368</v>
      </c>
      <c r="B262" s="308" t="s">
        <v>462</v>
      </c>
      <c r="C262" s="337">
        <v>0.22</v>
      </c>
      <c r="D262" s="338">
        <f>-($C262-$AG262)/30+C262</f>
        <v>0.22666666666666666</v>
      </c>
      <c r="E262" s="338">
        <f t="shared" si="140"/>
        <v>0.23333333333333331</v>
      </c>
      <c r="F262" s="338">
        <f t="shared" si="140"/>
        <v>0.23999999999999996</v>
      </c>
      <c r="G262" s="338">
        <f t="shared" si="140"/>
        <v>0.24666666666666662</v>
      </c>
      <c r="H262" s="338">
        <f t="shared" si="140"/>
        <v>0.2533333333333333</v>
      </c>
      <c r="I262" s="338">
        <f t="shared" si="140"/>
        <v>0.25999999999999995</v>
      </c>
      <c r="J262" s="338">
        <f t="shared" si="140"/>
        <v>0.26666666666666661</v>
      </c>
      <c r="K262" s="338">
        <f t="shared" si="140"/>
        <v>0.27333333333333326</v>
      </c>
      <c r="L262" s="338">
        <f t="shared" si="140"/>
        <v>0.27999999999999992</v>
      </c>
      <c r="M262" s="338">
        <f t="shared" si="140"/>
        <v>0.28666666666666657</v>
      </c>
      <c r="N262" s="338">
        <f t="shared" si="140"/>
        <v>0.29333333333333322</v>
      </c>
      <c r="O262" s="338">
        <f t="shared" si="140"/>
        <v>0.29999999999999988</v>
      </c>
      <c r="P262" s="338">
        <f t="shared" si="140"/>
        <v>0.30666666666666653</v>
      </c>
      <c r="Q262" s="338">
        <f t="shared" si="140"/>
        <v>0.31333333333333319</v>
      </c>
      <c r="R262" s="338">
        <f t="shared" si="140"/>
        <v>0.31999999999999984</v>
      </c>
      <c r="S262" s="338">
        <f t="shared" si="140"/>
        <v>0.32666666666666649</v>
      </c>
      <c r="T262" s="338">
        <f t="shared" si="140"/>
        <v>0.33333333333333315</v>
      </c>
      <c r="U262" s="338">
        <f t="shared" si="141"/>
        <v>0.3399999999999998</v>
      </c>
      <c r="V262" s="338">
        <f t="shared" si="141"/>
        <v>0.34666666666666646</v>
      </c>
      <c r="W262" s="338">
        <f t="shared" si="141"/>
        <v>0.35333333333333311</v>
      </c>
      <c r="X262" s="338">
        <f t="shared" si="141"/>
        <v>0.35999999999999976</v>
      </c>
      <c r="Y262" s="338">
        <f t="shared" si="141"/>
        <v>0.36666666666666642</v>
      </c>
      <c r="Z262" s="338">
        <f t="shared" si="141"/>
        <v>0.37333333333333307</v>
      </c>
      <c r="AA262" s="338">
        <f t="shared" si="141"/>
        <v>0.37999999999999973</v>
      </c>
      <c r="AB262" s="338">
        <f t="shared" si="141"/>
        <v>0.38666666666666638</v>
      </c>
      <c r="AC262" s="338">
        <f t="shared" si="141"/>
        <v>0.39333333333333304</v>
      </c>
      <c r="AD262" s="338">
        <f t="shared" si="141"/>
        <v>0.39999999999999969</v>
      </c>
      <c r="AE262" s="338">
        <f t="shared" si="141"/>
        <v>0.40666666666666634</v>
      </c>
      <c r="AF262" s="338">
        <f t="shared" si="141"/>
        <v>0.413333333333333</v>
      </c>
      <c r="AG262" s="337">
        <v>0.42</v>
      </c>
      <c r="AI262" s="305"/>
      <c r="AJ262" s="339" t="s">
        <v>1363</v>
      </c>
    </row>
    <row r="263" spans="1:36" s="62" customFormat="1" outlineLevel="1">
      <c r="A263" s="311" t="s">
        <v>1369</v>
      </c>
      <c r="B263" s="312" t="s">
        <v>462</v>
      </c>
      <c r="C263" s="340">
        <f>1-C262</f>
        <v>0.78</v>
      </c>
      <c r="D263" s="340">
        <f t="shared" ref="D263:AG263" si="142">1-D262</f>
        <v>0.77333333333333332</v>
      </c>
      <c r="E263" s="340">
        <f t="shared" si="142"/>
        <v>0.76666666666666672</v>
      </c>
      <c r="F263" s="340">
        <f t="shared" si="142"/>
        <v>0.76</v>
      </c>
      <c r="G263" s="340">
        <f t="shared" si="142"/>
        <v>0.75333333333333341</v>
      </c>
      <c r="H263" s="340">
        <f t="shared" si="142"/>
        <v>0.7466666666666667</v>
      </c>
      <c r="I263" s="340">
        <f t="shared" si="142"/>
        <v>0.74</v>
      </c>
      <c r="J263" s="340">
        <f t="shared" si="142"/>
        <v>0.73333333333333339</v>
      </c>
      <c r="K263" s="340">
        <f t="shared" si="142"/>
        <v>0.72666666666666679</v>
      </c>
      <c r="L263" s="340">
        <f t="shared" si="142"/>
        <v>0.72000000000000008</v>
      </c>
      <c r="M263" s="340">
        <f t="shared" si="142"/>
        <v>0.71333333333333337</v>
      </c>
      <c r="N263" s="340">
        <f t="shared" si="142"/>
        <v>0.70666666666666678</v>
      </c>
      <c r="O263" s="340">
        <f t="shared" si="142"/>
        <v>0.70000000000000018</v>
      </c>
      <c r="P263" s="340">
        <f t="shared" si="142"/>
        <v>0.69333333333333347</v>
      </c>
      <c r="Q263" s="340">
        <f t="shared" si="142"/>
        <v>0.68666666666666676</v>
      </c>
      <c r="R263" s="340">
        <f t="shared" si="142"/>
        <v>0.68000000000000016</v>
      </c>
      <c r="S263" s="340">
        <f t="shared" si="142"/>
        <v>0.67333333333333356</v>
      </c>
      <c r="T263" s="340">
        <f t="shared" si="142"/>
        <v>0.66666666666666685</v>
      </c>
      <c r="U263" s="340">
        <f t="shared" si="142"/>
        <v>0.66000000000000014</v>
      </c>
      <c r="V263" s="340">
        <f t="shared" si="142"/>
        <v>0.65333333333333354</v>
      </c>
      <c r="W263" s="340">
        <f t="shared" si="142"/>
        <v>0.64666666666666694</v>
      </c>
      <c r="X263" s="340">
        <f t="shared" si="142"/>
        <v>0.64000000000000024</v>
      </c>
      <c r="Y263" s="340">
        <f t="shared" si="142"/>
        <v>0.63333333333333353</v>
      </c>
      <c r="Z263" s="340">
        <f t="shared" si="142"/>
        <v>0.62666666666666693</v>
      </c>
      <c r="AA263" s="340">
        <f t="shared" si="142"/>
        <v>0.62000000000000033</v>
      </c>
      <c r="AB263" s="340">
        <f t="shared" si="142"/>
        <v>0.61333333333333362</v>
      </c>
      <c r="AC263" s="340">
        <f t="shared" si="142"/>
        <v>0.60666666666666691</v>
      </c>
      <c r="AD263" s="340">
        <f t="shared" si="142"/>
        <v>0.60000000000000031</v>
      </c>
      <c r="AE263" s="340">
        <f t="shared" si="142"/>
        <v>0.59333333333333371</v>
      </c>
      <c r="AF263" s="340">
        <f t="shared" si="142"/>
        <v>0.586666666666667</v>
      </c>
      <c r="AG263" s="340">
        <f t="shared" si="142"/>
        <v>0.58000000000000007</v>
      </c>
      <c r="AI263" s="342"/>
      <c r="AJ263" s="341" t="s">
        <v>1363</v>
      </c>
    </row>
    <row r="264" spans="1:36" s="1" customFormat="1" outlineLevel="1">
      <c r="A264" t="s">
        <v>1370</v>
      </c>
      <c r="B264" s="302" t="s">
        <v>462</v>
      </c>
      <c r="C264" s="296">
        <v>0.95</v>
      </c>
      <c r="D264" s="317">
        <f t="shared" ref="D264:S279" si="143">-($C264-$AG264)/30+C264</f>
        <v>0.94499999999999995</v>
      </c>
      <c r="E264" s="317">
        <f t="shared" si="143"/>
        <v>0.94</v>
      </c>
      <c r="F264" s="317">
        <f t="shared" si="143"/>
        <v>0.93499999999999994</v>
      </c>
      <c r="G264" s="317">
        <f t="shared" si="143"/>
        <v>0.92999999999999994</v>
      </c>
      <c r="H264" s="317">
        <f t="shared" si="143"/>
        <v>0.92499999999999993</v>
      </c>
      <c r="I264" s="317">
        <f t="shared" si="143"/>
        <v>0.91999999999999993</v>
      </c>
      <c r="J264" s="317">
        <f t="shared" si="143"/>
        <v>0.91499999999999992</v>
      </c>
      <c r="K264" s="317">
        <f t="shared" si="143"/>
        <v>0.90999999999999992</v>
      </c>
      <c r="L264" s="317">
        <f t="shared" si="143"/>
        <v>0.90499999999999992</v>
      </c>
      <c r="M264" s="317">
        <f t="shared" si="143"/>
        <v>0.89999999999999991</v>
      </c>
      <c r="N264" s="317">
        <f t="shared" si="143"/>
        <v>0.89499999999999991</v>
      </c>
      <c r="O264" s="317">
        <f t="shared" si="143"/>
        <v>0.8899999999999999</v>
      </c>
      <c r="P264" s="317">
        <f t="shared" si="143"/>
        <v>0.8849999999999999</v>
      </c>
      <c r="Q264" s="317">
        <f t="shared" si="143"/>
        <v>0.87999999999999989</v>
      </c>
      <c r="R264" s="317">
        <f t="shared" si="143"/>
        <v>0.87499999999999989</v>
      </c>
      <c r="S264" s="317">
        <f t="shared" si="143"/>
        <v>0.86999999999999988</v>
      </c>
      <c r="T264" s="317">
        <f t="shared" ref="T264:AF278" si="144">-($C264-$AG264)/30+S264</f>
        <v>0.86499999999999988</v>
      </c>
      <c r="U264" s="317">
        <f t="shared" si="144"/>
        <v>0.85999999999999988</v>
      </c>
      <c r="V264" s="317">
        <f t="shared" si="144"/>
        <v>0.85499999999999987</v>
      </c>
      <c r="W264" s="317">
        <f t="shared" si="144"/>
        <v>0.84999999999999987</v>
      </c>
      <c r="X264" s="317">
        <f t="shared" si="144"/>
        <v>0.84499999999999986</v>
      </c>
      <c r="Y264" s="317">
        <f t="shared" si="144"/>
        <v>0.83999999999999986</v>
      </c>
      <c r="Z264" s="317">
        <f t="shared" si="144"/>
        <v>0.83499999999999985</v>
      </c>
      <c r="AA264" s="317">
        <f t="shared" si="144"/>
        <v>0.82999999999999985</v>
      </c>
      <c r="AB264" s="317">
        <f t="shared" si="144"/>
        <v>0.82499999999999984</v>
      </c>
      <c r="AC264" s="317">
        <f t="shared" si="144"/>
        <v>0.81999999999999984</v>
      </c>
      <c r="AD264" s="317">
        <f t="shared" si="144"/>
        <v>0.81499999999999984</v>
      </c>
      <c r="AE264" s="317">
        <f t="shared" si="144"/>
        <v>0.80999999999999983</v>
      </c>
      <c r="AF264" s="317">
        <f t="shared" si="144"/>
        <v>0.80499999999999983</v>
      </c>
      <c r="AG264" s="296">
        <v>0.8</v>
      </c>
      <c r="AI264" s="316"/>
      <c r="AJ264" s="211" t="s">
        <v>1363</v>
      </c>
    </row>
    <row r="265" spans="1:36" s="1" customFormat="1" outlineLevel="1">
      <c r="A265" t="s">
        <v>1371</v>
      </c>
      <c r="B265" s="302" t="s">
        <v>462</v>
      </c>
      <c r="C265" s="296">
        <v>0.05</v>
      </c>
      <c r="D265" s="317">
        <f t="shared" si="143"/>
        <v>5.5000000000000007E-2</v>
      </c>
      <c r="E265" s="317">
        <f t="shared" si="143"/>
        <v>6.0000000000000012E-2</v>
      </c>
      <c r="F265" s="317">
        <f t="shared" si="143"/>
        <v>6.5000000000000016E-2</v>
      </c>
      <c r="G265" s="317">
        <f t="shared" si="143"/>
        <v>7.0000000000000021E-2</v>
      </c>
      <c r="H265" s="317">
        <f t="shared" si="143"/>
        <v>7.5000000000000025E-2</v>
      </c>
      <c r="I265" s="317">
        <f t="shared" si="143"/>
        <v>8.0000000000000029E-2</v>
      </c>
      <c r="J265" s="317">
        <f t="shared" si="143"/>
        <v>8.5000000000000034E-2</v>
      </c>
      <c r="K265" s="317">
        <f t="shared" si="143"/>
        <v>9.0000000000000038E-2</v>
      </c>
      <c r="L265" s="317">
        <f t="shared" si="143"/>
        <v>9.5000000000000043E-2</v>
      </c>
      <c r="M265" s="317">
        <f t="shared" si="143"/>
        <v>0.10000000000000005</v>
      </c>
      <c r="N265" s="317">
        <f t="shared" si="143"/>
        <v>0.10500000000000005</v>
      </c>
      <c r="O265" s="317">
        <f t="shared" si="143"/>
        <v>0.11000000000000006</v>
      </c>
      <c r="P265" s="317">
        <f t="shared" si="143"/>
        <v>0.11500000000000006</v>
      </c>
      <c r="Q265" s="317">
        <f t="shared" si="143"/>
        <v>0.12000000000000006</v>
      </c>
      <c r="R265" s="317">
        <f t="shared" si="143"/>
        <v>0.12500000000000006</v>
      </c>
      <c r="S265" s="317">
        <f t="shared" si="143"/>
        <v>0.13000000000000006</v>
      </c>
      <c r="T265" s="317">
        <f t="shared" si="144"/>
        <v>0.13500000000000006</v>
      </c>
      <c r="U265" s="317">
        <f t="shared" si="144"/>
        <v>0.14000000000000007</v>
      </c>
      <c r="V265" s="317">
        <f t="shared" si="144"/>
        <v>0.14500000000000007</v>
      </c>
      <c r="W265" s="317">
        <f t="shared" si="144"/>
        <v>0.15000000000000008</v>
      </c>
      <c r="X265" s="317">
        <f t="shared" si="144"/>
        <v>0.15500000000000008</v>
      </c>
      <c r="Y265" s="317">
        <f t="shared" si="144"/>
        <v>0.16000000000000009</v>
      </c>
      <c r="Z265" s="317">
        <f t="shared" si="144"/>
        <v>0.16500000000000009</v>
      </c>
      <c r="AA265" s="317">
        <f t="shared" si="144"/>
        <v>0.1700000000000001</v>
      </c>
      <c r="AB265" s="317">
        <f t="shared" si="144"/>
        <v>0.1750000000000001</v>
      </c>
      <c r="AC265" s="317">
        <f t="shared" si="144"/>
        <v>0.1800000000000001</v>
      </c>
      <c r="AD265" s="317">
        <f t="shared" si="144"/>
        <v>0.18500000000000011</v>
      </c>
      <c r="AE265" s="317">
        <f t="shared" si="144"/>
        <v>0.19000000000000011</v>
      </c>
      <c r="AF265" s="317">
        <f t="shared" si="144"/>
        <v>0.19500000000000012</v>
      </c>
      <c r="AG265" s="296">
        <v>0.2</v>
      </c>
      <c r="AI265" s="435" t="s">
        <v>1506</v>
      </c>
      <c r="AJ265" s="211" t="s">
        <v>1363</v>
      </c>
    </row>
    <row r="266" spans="1:36" s="1" customFormat="1" outlineLevel="1">
      <c r="A266" t="s">
        <v>1372</v>
      </c>
      <c r="B266" s="302" t="s">
        <v>462</v>
      </c>
      <c r="C266" s="296">
        <v>0.15</v>
      </c>
      <c r="D266" s="317">
        <f t="shared" si="143"/>
        <v>0.15633333333333332</v>
      </c>
      <c r="E266" s="317">
        <f t="shared" si="143"/>
        <v>0.16266666666666665</v>
      </c>
      <c r="F266" s="317">
        <f t="shared" si="143"/>
        <v>0.16899999999999998</v>
      </c>
      <c r="G266" s="317">
        <f t="shared" si="143"/>
        <v>0.17533333333333331</v>
      </c>
      <c r="H266" s="317">
        <f t="shared" si="143"/>
        <v>0.18166666666666664</v>
      </c>
      <c r="I266" s="317">
        <f t="shared" si="143"/>
        <v>0.18799999999999997</v>
      </c>
      <c r="J266" s="317">
        <f t="shared" si="143"/>
        <v>0.1943333333333333</v>
      </c>
      <c r="K266" s="317">
        <f t="shared" si="143"/>
        <v>0.20066666666666663</v>
      </c>
      <c r="L266" s="317">
        <f t="shared" si="143"/>
        <v>0.20699999999999996</v>
      </c>
      <c r="M266" s="317">
        <f t="shared" si="143"/>
        <v>0.21333333333333329</v>
      </c>
      <c r="N266" s="317">
        <f t="shared" si="143"/>
        <v>0.21966666666666662</v>
      </c>
      <c r="O266" s="317">
        <f t="shared" si="143"/>
        <v>0.22599999999999995</v>
      </c>
      <c r="P266" s="317">
        <f t="shared" si="143"/>
        <v>0.23233333333333328</v>
      </c>
      <c r="Q266" s="317">
        <f t="shared" si="143"/>
        <v>0.23866666666666661</v>
      </c>
      <c r="R266" s="317">
        <f t="shared" si="143"/>
        <v>0.24499999999999994</v>
      </c>
      <c r="S266" s="317">
        <f t="shared" si="143"/>
        <v>0.2513333333333333</v>
      </c>
      <c r="T266" s="317">
        <f t="shared" si="144"/>
        <v>0.25766666666666665</v>
      </c>
      <c r="U266" s="317">
        <f t="shared" si="144"/>
        <v>0.26400000000000001</v>
      </c>
      <c r="V266" s="317">
        <f t="shared" si="144"/>
        <v>0.27033333333333337</v>
      </c>
      <c r="W266" s="317">
        <f t="shared" si="144"/>
        <v>0.27666666666666673</v>
      </c>
      <c r="X266" s="317">
        <f t="shared" si="144"/>
        <v>0.28300000000000008</v>
      </c>
      <c r="Y266" s="317">
        <f t="shared" si="144"/>
        <v>0.28933333333333344</v>
      </c>
      <c r="Z266" s="317">
        <f t="shared" si="144"/>
        <v>0.2956666666666668</v>
      </c>
      <c r="AA266" s="317">
        <f t="shared" si="144"/>
        <v>0.30200000000000016</v>
      </c>
      <c r="AB266" s="317">
        <f t="shared" si="144"/>
        <v>0.30833333333333351</v>
      </c>
      <c r="AC266" s="317">
        <f t="shared" si="144"/>
        <v>0.31466666666666687</v>
      </c>
      <c r="AD266" s="317">
        <f t="shared" si="144"/>
        <v>0.32100000000000023</v>
      </c>
      <c r="AE266" s="317">
        <f t="shared" si="144"/>
        <v>0.32733333333333359</v>
      </c>
      <c r="AF266" s="317">
        <f t="shared" si="144"/>
        <v>0.33366666666666694</v>
      </c>
      <c r="AG266" s="296">
        <v>0.34</v>
      </c>
      <c r="AI266" s="316"/>
      <c r="AJ266" s="211" t="s">
        <v>1363</v>
      </c>
    </row>
    <row r="267" spans="1:36" s="1" customFormat="1" outlineLevel="1">
      <c r="A267" t="s">
        <v>1373</v>
      </c>
      <c r="B267" s="302" t="s">
        <v>462</v>
      </c>
      <c r="C267" s="296">
        <v>0.85</v>
      </c>
      <c r="D267" s="317">
        <f t="shared" si="143"/>
        <v>0.84366666666666668</v>
      </c>
      <c r="E267" s="317">
        <f t="shared" si="143"/>
        <v>0.83733333333333337</v>
      </c>
      <c r="F267" s="317">
        <f t="shared" si="143"/>
        <v>0.83100000000000007</v>
      </c>
      <c r="G267" s="317">
        <f t="shared" si="143"/>
        <v>0.82466666666666677</v>
      </c>
      <c r="H267" s="317">
        <f t="shared" si="143"/>
        <v>0.81833333333333347</v>
      </c>
      <c r="I267" s="317">
        <f t="shared" si="143"/>
        <v>0.81200000000000017</v>
      </c>
      <c r="J267" s="317">
        <f t="shared" si="143"/>
        <v>0.80566666666666686</v>
      </c>
      <c r="K267" s="317">
        <f t="shared" si="143"/>
        <v>0.79933333333333356</v>
      </c>
      <c r="L267" s="317">
        <f t="shared" si="143"/>
        <v>0.79300000000000026</v>
      </c>
      <c r="M267" s="317">
        <f t="shared" si="143"/>
        <v>0.78666666666666696</v>
      </c>
      <c r="N267" s="317">
        <f t="shared" si="143"/>
        <v>0.78033333333333366</v>
      </c>
      <c r="O267" s="317">
        <f t="shared" si="143"/>
        <v>0.77400000000000035</v>
      </c>
      <c r="P267" s="317">
        <f t="shared" si="143"/>
        <v>0.76766666666666705</v>
      </c>
      <c r="Q267" s="317">
        <f t="shared" si="143"/>
        <v>0.76133333333333375</v>
      </c>
      <c r="R267" s="317">
        <f t="shared" si="143"/>
        <v>0.75500000000000045</v>
      </c>
      <c r="S267" s="317">
        <f t="shared" si="143"/>
        <v>0.74866666666666715</v>
      </c>
      <c r="T267" s="317">
        <f t="shared" si="144"/>
        <v>0.74233333333333384</v>
      </c>
      <c r="U267" s="317">
        <f t="shared" si="144"/>
        <v>0.73600000000000054</v>
      </c>
      <c r="V267" s="317">
        <f t="shared" si="144"/>
        <v>0.72966666666666724</v>
      </c>
      <c r="W267" s="317">
        <f t="shared" si="144"/>
        <v>0.72333333333333394</v>
      </c>
      <c r="X267" s="317">
        <f t="shared" si="144"/>
        <v>0.71700000000000064</v>
      </c>
      <c r="Y267" s="317">
        <f t="shared" si="144"/>
        <v>0.71066666666666733</v>
      </c>
      <c r="Z267" s="317">
        <f t="shared" si="144"/>
        <v>0.70433333333333403</v>
      </c>
      <c r="AA267" s="317">
        <f t="shared" si="144"/>
        <v>0.69800000000000073</v>
      </c>
      <c r="AB267" s="317">
        <f t="shared" si="144"/>
        <v>0.69166666666666743</v>
      </c>
      <c r="AC267" s="317">
        <f t="shared" si="144"/>
        <v>0.68533333333333413</v>
      </c>
      <c r="AD267" s="317">
        <f t="shared" si="144"/>
        <v>0.67900000000000083</v>
      </c>
      <c r="AE267" s="317">
        <f t="shared" si="144"/>
        <v>0.67266666666666752</v>
      </c>
      <c r="AF267" s="317">
        <f t="shared" si="144"/>
        <v>0.66633333333333422</v>
      </c>
      <c r="AG267" s="296">
        <v>0.66</v>
      </c>
      <c r="AI267" s="316"/>
      <c r="AJ267" s="211" t="s">
        <v>1363</v>
      </c>
    </row>
    <row r="268" spans="1:36" s="1" customFormat="1" outlineLevel="1">
      <c r="A268" t="s">
        <v>1374</v>
      </c>
      <c r="B268" s="302" t="s">
        <v>462</v>
      </c>
      <c r="C268" s="296">
        <v>0</v>
      </c>
      <c r="D268" s="317">
        <f t="shared" si="143"/>
        <v>0</v>
      </c>
      <c r="E268" s="317">
        <f t="shared" si="143"/>
        <v>0</v>
      </c>
      <c r="F268" s="317">
        <f t="shared" si="143"/>
        <v>0</v>
      </c>
      <c r="G268" s="317">
        <f t="shared" si="143"/>
        <v>0</v>
      </c>
      <c r="H268" s="317">
        <f t="shared" si="143"/>
        <v>0</v>
      </c>
      <c r="I268" s="317">
        <f t="shared" si="143"/>
        <v>0</v>
      </c>
      <c r="J268" s="317">
        <f t="shared" si="143"/>
        <v>0</v>
      </c>
      <c r="K268" s="317">
        <f t="shared" si="143"/>
        <v>0</v>
      </c>
      <c r="L268" s="317">
        <f t="shared" si="143"/>
        <v>0</v>
      </c>
      <c r="M268" s="317">
        <f t="shared" si="143"/>
        <v>0</v>
      </c>
      <c r="N268" s="317">
        <f t="shared" si="143"/>
        <v>0</v>
      </c>
      <c r="O268" s="317">
        <f t="shared" si="143"/>
        <v>0</v>
      </c>
      <c r="P268" s="317">
        <f t="shared" si="143"/>
        <v>0</v>
      </c>
      <c r="Q268" s="317">
        <f t="shared" si="143"/>
        <v>0</v>
      </c>
      <c r="R268" s="317">
        <f t="shared" si="143"/>
        <v>0</v>
      </c>
      <c r="S268" s="317">
        <f t="shared" si="143"/>
        <v>0</v>
      </c>
      <c r="T268" s="317">
        <f t="shared" si="144"/>
        <v>0</v>
      </c>
      <c r="U268" s="317">
        <f t="shared" si="144"/>
        <v>0</v>
      </c>
      <c r="V268" s="317">
        <f t="shared" si="144"/>
        <v>0</v>
      </c>
      <c r="W268" s="317">
        <f t="shared" si="144"/>
        <v>0</v>
      </c>
      <c r="X268" s="317">
        <f t="shared" si="144"/>
        <v>0</v>
      </c>
      <c r="Y268" s="317">
        <f t="shared" si="144"/>
        <v>0</v>
      </c>
      <c r="Z268" s="317">
        <f t="shared" si="144"/>
        <v>0</v>
      </c>
      <c r="AA268" s="317">
        <f t="shared" si="144"/>
        <v>0</v>
      </c>
      <c r="AB268" s="317">
        <f t="shared" si="144"/>
        <v>0</v>
      </c>
      <c r="AC268" s="317">
        <f t="shared" si="144"/>
        <v>0</v>
      </c>
      <c r="AD268" s="317">
        <f t="shared" si="144"/>
        <v>0</v>
      </c>
      <c r="AE268" s="317">
        <f t="shared" si="144"/>
        <v>0</v>
      </c>
      <c r="AF268" s="317">
        <f t="shared" si="144"/>
        <v>0</v>
      </c>
      <c r="AG268" s="296">
        <v>0</v>
      </c>
      <c r="AI268" s="316"/>
      <c r="AJ268" s="211" t="s">
        <v>1363</v>
      </c>
    </row>
    <row r="269" spans="1:36" s="1" customFormat="1" outlineLevel="1">
      <c r="A269" t="s">
        <v>1375</v>
      </c>
      <c r="B269" s="302" t="s">
        <v>462</v>
      </c>
      <c r="C269" s="296">
        <v>1</v>
      </c>
      <c r="D269" s="317">
        <f t="shared" si="143"/>
        <v>1</v>
      </c>
      <c r="E269" s="317">
        <f t="shared" si="143"/>
        <v>1</v>
      </c>
      <c r="F269" s="317">
        <f t="shared" si="143"/>
        <v>1</v>
      </c>
      <c r="G269" s="317">
        <f t="shared" si="143"/>
        <v>1</v>
      </c>
      <c r="H269" s="317">
        <f t="shared" si="143"/>
        <v>1</v>
      </c>
      <c r="I269" s="317">
        <f t="shared" si="143"/>
        <v>1</v>
      </c>
      <c r="J269" s="317">
        <f t="shared" si="143"/>
        <v>1</v>
      </c>
      <c r="K269" s="317">
        <f t="shared" si="143"/>
        <v>1</v>
      </c>
      <c r="L269" s="317">
        <f t="shared" si="143"/>
        <v>1</v>
      </c>
      <c r="M269" s="317">
        <f t="shared" si="143"/>
        <v>1</v>
      </c>
      <c r="N269" s="317">
        <f t="shared" si="143"/>
        <v>1</v>
      </c>
      <c r="O269" s="317">
        <f t="shared" si="143"/>
        <v>1</v>
      </c>
      <c r="P269" s="317">
        <f t="shared" si="143"/>
        <v>1</v>
      </c>
      <c r="Q269" s="317">
        <f t="shared" si="143"/>
        <v>1</v>
      </c>
      <c r="R269" s="317">
        <f t="shared" si="143"/>
        <v>1</v>
      </c>
      <c r="S269" s="317">
        <f t="shared" si="143"/>
        <v>1</v>
      </c>
      <c r="T269" s="317">
        <f t="shared" si="144"/>
        <v>1</v>
      </c>
      <c r="U269" s="317">
        <f t="shared" si="144"/>
        <v>1</v>
      </c>
      <c r="V269" s="317">
        <f t="shared" si="144"/>
        <v>1</v>
      </c>
      <c r="W269" s="317">
        <f t="shared" si="144"/>
        <v>1</v>
      </c>
      <c r="X269" s="317">
        <f t="shared" si="144"/>
        <v>1</v>
      </c>
      <c r="Y269" s="317">
        <f t="shared" si="144"/>
        <v>1</v>
      </c>
      <c r="Z269" s="317">
        <f t="shared" si="144"/>
        <v>1</v>
      </c>
      <c r="AA269" s="317">
        <f t="shared" si="144"/>
        <v>1</v>
      </c>
      <c r="AB269" s="317">
        <f t="shared" si="144"/>
        <v>1</v>
      </c>
      <c r="AC269" s="317">
        <f t="shared" si="144"/>
        <v>1</v>
      </c>
      <c r="AD269" s="317">
        <f t="shared" si="144"/>
        <v>1</v>
      </c>
      <c r="AE269" s="317">
        <f t="shared" si="144"/>
        <v>1</v>
      </c>
      <c r="AF269" s="317">
        <f t="shared" si="144"/>
        <v>1</v>
      </c>
      <c r="AG269" s="296">
        <v>1</v>
      </c>
      <c r="AI269" s="316"/>
      <c r="AJ269" s="211" t="s">
        <v>1363</v>
      </c>
    </row>
    <row r="270" spans="1:36" s="1" customFormat="1" outlineLevel="1">
      <c r="A270" t="s">
        <v>1376</v>
      </c>
      <c r="B270" s="302" t="s">
        <v>462</v>
      </c>
      <c r="C270" s="296">
        <v>0.8</v>
      </c>
      <c r="D270" s="317">
        <f t="shared" si="143"/>
        <v>0.80333333333333334</v>
      </c>
      <c r="E270" s="317">
        <f t="shared" si="143"/>
        <v>0.80666666666666664</v>
      </c>
      <c r="F270" s="317">
        <f t="shared" si="143"/>
        <v>0.80999999999999994</v>
      </c>
      <c r="G270" s="317">
        <f t="shared" si="143"/>
        <v>0.81333333333333324</v>
      </c>
      <c r="H270" s="317">
        <f t="shared" si="143"/>
        <v>0.81666666666666654</v>
      </c>
      <c r="I270" s="317">
        <f t="shared" si="143"/>
        <v>0.81999999999999984</v>
      </c>
      <c r="J270" s="317">
        <f t="shared" si="143"/>
        <v>0.82333333333333314</v>
      </c>
      <c r="K270" s="317">
        <f t="shared" si="143"/>
        <v>0.82666666666666644</v>
      </c>
      <c r="L270" s="317">
        <f t="shared" si="143"/>
        <v>0.82999999999999974</v>
      </c>
      <c r="M270" s="317">
        <f t="shared" si="143"/>
        <v>0.83333333333333304</v>
      </c>
      <c r="N270" s="317">
        <f t="shared" si="143"/>
        <v>0.83666666666666634</v>
      </c>
      <c r="O270" s="317">
        <f t="shared" si="143"/>
        <v>0.83999999999999964</v>
      </c>
      <c r="P270" s="317">
        <f t="shared" si="143"/>
        <v>0.84333333333333294</v>
      </c>
      <c r="Q270" s="317">
        <f t="shared" si="143"/>
        <v>0.84666666666666623</v>
      </c>
      <c r="R270" s="317">
        <f t="shared" si="143"/>
        <v>0.84999999999999953</v>
      </c>
      <c r="S270" s="317">
        <f t="shared" si="143"/>
        <v>0.85333333333333283</v>
      </c>
      <c r="T270" s="317">
        <f t="shared" si="144"/>
        <v>0.85666666666666613</v>
      </c>
      <c r="U270" s="317">
        <f t="shared" si="144"/>
        <v>0.85999999999999943</v>
      </c>
      <c r="V270" s="317">
        <f t="shared" si="144"/>
        <v>0.86333333333333273</v>
      </c>
      <c r="W270" s="317">
        <f t="shared" si="144"/>
        <v>0.86666666666666603</v>
      </c>
      <c r="X270" s="317">
        <f t="shared" si="144"/>
        <v>0.86999999999999933</v>
      </c>
      <c r="Y270" s="317">
        <f t="shared" si="144"/>
        <v>0.87333333333333263</v>
      </c>
      <c r="Z270" s="317">
        <f t="shared" si="144"/>
        <v>0.87666666666666593</v>
      </c>
      <c r="AA270" s="317">
        <f t="shared" si="144"/>
        <v>0.87999999999999923</v>
      </c>
      <c r="AB270" s="317">
        <f t="shared" si="144"/>
        <v>0.88333333333333253</v>
      </c>
      <c r="AC270" s="317">
        <f t="shared" si="144"/>
        <v>0.88666666666666583</v>
      </c>
      <c r="AD270" s="317">
        <f t="shared" si="144"/>
        <v>0.88999999999999913</v>
      </c>
      <c r="AE270" s="317">
        <f t="shared" si="144"/>
        <v>0.89333333333333242</v>
      </c>
      <c r="AF270" s="317">
        <f t="shared" si="144"/>
        <v>0.89666666666666572</v>
      </c>
      <c r="AG270" s="296">
        <v>0.9</v>
      </c>
      <c r="AI270" s="316"/>
      <c r="AJ270" s="211" t="s">
        <v>1363</v>
      </c>
    </row>
    <row r="271" spans="1:36" s="1" customFormat="1" outlineLevel="1">
      <c r="A271" t="s">
        <v>1377</v>
      </c>
      <c r="B271" s="302" t="s">
        <v>462</v>
      </c>
      <c r="C271" s="296">
        <v>0.2</v>
      </c>
      <c r="D271" s="317">
        <f t="shared" si="143"/>
        <v>0.19666666666666668</v>
      </c>
      <c r="E271" s="317">
        <f t="shared" si="143"/>
        <v>0.19333333333333336</v>
      </c>
      <c r="F271" s="317">
        <f t="shared" si="143"/>
        <v>0.19000000000000003</v>
      </c>
      <c r="G271" s="317">
        <f t="shared" si="143"/>
        <v>0.1866666666666667</v>
      </c>
      <c r="H271" s="317">
        <f t="shared" si="143"/>
        <v>0.18333333333333338</v>
      </c>
      <c r="I271" s="317">
        <f t="shared" si="143"/>
        <v>0.18000000000000005</v>
      </c>
      <c r="J271" s="317">
        <f t="shared" si="143"/>
        <v>0.17666666666666672</v>
      </c>
      <c r="K271" s="317">
        <f t="shared" si="143"/>
        <v>0.17333333333333339</v>
      </c>
      <c r="L271" s="317">
        <f t="shared" si="143"/>
        <v>0.17000000000000007</v>
      </c>
      <c r="M271" s="317">
        <f t="shared" si="143"/>
        <v>0.16666666666666674</v>
      </c>
      <c r="N271" s="317">
        <f t="shared" si="143"/>
        <v>0.16333333333333341</v>
      </c>
      <c r="O271" s="317">
        <f t="shared" si="143"/>
        <v>0.16000000000000009</v>
      </c>
      <c r="P271" s="317">
        <f t="shared" si="143"/>
        <v>0.15666666666666676</v>
      </c>
      <c r="Q271" s="317">
        <f t="shared" si="143"/>
        <v>0.15333333333333343</v>
      </c>
      <c r="R271" s="317">
        <f t="shared" si="143"/>
        <v>0.15000000000000011</v>
      </c>
      <c r="S271" s="317">
        <f t="shared" si="143"/>
        <v>0.14666666666666678</v>
      </c>
      <c r="T271" s="317">
        <f t="shared" si="144"/>
        <v>0.14333333333333345</v>
      </c>
      <c r="U271" s="317">
        <f t="shared" si="144"/>
        <v>0.14000000000000012</v>
      </c>
      <c r="V271" s="317">
        <f t="shared" si="144"/>
        <v>0.1366666666666668</v>
      </c>
      <c r="W271" s="317">
        <f t="shared" si="144"/>
        <v>0.13333333333333347</v>
      </c>
      <c r="X271" s="317">
        <f t="shared" si="144"/>
        <v>0.13000000000000014</v>
      </c>
      <c r="Y271" s="317">
        <f t="shared" si="144"/>
        <v>0.12666666666666682</v>
      </c>
      <c r="Z271" s="317">
        <f t="shared" si="144"/>
        <v>0.12333333333333349</v>
      </c>
      <c r="AA271" s="317">
        <f t="shared" si="144"/>
        <v>0.12000000000000016</v>
      </c>
      <c r="AB271" s="317">
        <f t="shared" si="144"/>
        <v>0.11666666666666684</v>
      </c>
      <c r="AC271" s="317">
        <f t="shared" si="144"/>
        <v>0.11333333333333351</v>
      </c>
      <c r="AD271" s="317">
        <f t="shared" si="144"/>
        <v>0.11000000000000018</v>
      </c>
      <c r="AE271" s="317">
        <f t="shared" si="144"/>
        <v>0.10666666666666685</v>
      </c>
      <c r="AF271" s="317">
        <f t="shared" si="144"/>
        <v>0.10333333333333353</v>
      </c>
      <c r="AG271" s="296">
        <v>0.1</v>
      </c>
      <c r="AI271" s="316"/>
      <c r="AJ271" s="211" t="s">
        <v>1363</v>
      </c>
    </row>
    <row r="272" spans="1:36" s="1" customFormat="1" outlineLevel="1">
      <c r="A272" t="s">
        <v>1378</v>
      </c>
      <c r="B272" s="302" t="s">
        <v>462</v>
      </c>
      <c r="C272" s="296">
        <v>0.95</v>
      </c>
      <c r="D272" s="317">
        <f t="shared" si="143"/>
        <v>0.94866666666666666</v>
      </c>
      <c r="E272" s="317">
        <f t="shared" si="143"/>
        <v>0.94733333333333336</v>
      </c>
      <c r="F272" s="317">
        <f t="shared" si="143"/>
        <v>0.94600000000000006</v>
      </c>
      <c r="G272" s="317">
        <f t="shared" si="143"/>
        <v>0.94466666666666677</v>
      </c>
      <c r="H272" s="317">
        <f t="shared" si="143"/>
        <v>0.94333333333333347</v>
      </c>
      <c r="I272" s="317">
        <f t="shared" si="143"/>
        <v>0.94200000000000017</v>
      </c>
      <c r="J272" s="317">
        <f t="shared" si="143"/>
        <v>0.94066666666666687</v>
      </c>
      <c r="K272" s="317">
        <f t="shared" si="143"/>
        <v>0.93933333333333358</v>
      </c>
      <c r="L272" s="317">
        <f t="shared" si="143"/>
        <v>0.93800000000000028</v>
      </c>
      <c r="M272" s="317">
        <f t="shared" si="143"/>
        <v>0.93666666666666698</v>
      </c>
      <c r="N272" s="317">
        <f t="shared" si="143"/>
        <v>0.93533333333333368</v>
      </c>
      <c r="O272" s="317">
        <f t="shared" si="143"/>
        <v>0.93400000000000039</v>
      </c>
      <c r="P272" s="317">
        <f t="shared" si="143"/>
        <v>0.93266666666666709</v>
      </c>
      <c r="Q272" s="317">
        <f t="shared" si="143"/>
        <v>0.93133333333333379</v>
      </c>
      <c r="R272" s="317">
        <f t="shared" si="143"/>
        <v>0.93000000000000049</v>
      </c>
      <c r="S272" s="317">
        <f t="shared" si="143"/>
        <v>0.9286666666666672</v>
      </c>
      <c r="T272" s="317">
        <f t="shared" si="144"/>
        <v>0.9273333333333339</v>
      </c>
      <c r="U272" s="317">
        <f t="shared" si="144"/>
        <v>0.9260000000000006</v>
      </c>
      <c r="V272" s="317">
        <f t="shared" si="144"/>
        <v>0.9246666666666673</v>
      </c>
      <c r="W272" s="317">
        <f t="shared" si="144"/>
        <v>0.92333333333333401</v>
      </c>
      <c r="X272" s="317">
        <f t="shared" si="144"/>
        <v>0.92200000000000071</v>
      </c>
      <c r="Y272" s="317">
        <f t="shared" si="144"/>
        <v>0.92066666666666741</v>
      </c>
      <c r="Z272" s="317">
        <f t="shared" si="144"/>
        <v>0.91933333333333411</v>
      </c>
      <c r="AA272" s="317">
        <f t="shared" si="144"/>
        <v>0.91800000000000082</v>
      </c>
      <c r="AB272" s="317">
        <f t="shared" si="144"/>
        <v>0.91666666666666752</v>
      </c>
      <c r="AC272" s="317">
        <f t="shared" si="144"/>
        <v>0.91533333333333422</v>
      </c>
      <c r="AD272" s="317">
        <f t="shared" si="144"/>
        <v>0.91400000000000092</v>
      </c>
      <c r="AE272" s="317">
        <f t="shared" si="144"/>
        <v>0.91266666666666763</v>
      </c>
      <c r="AF272" s="317">
        <f t="shared" si="144"/>
        <v>0.91133333333333433</v>
      </c>
      <c r="AG272" s="296">
        <v>0.91</v>
      </c>
      <c r="AI272" s="316"/>
      <c r="AJ272" s="211" t="s">
        <v>1363</v>
      </c>
    </row>
    <row r="273" spans="1:36" s="1" customFormat="1" outlineLevel="1">
      <c r="A273" t="s">
        <v>1379</v>
      </c>
      <c r="B273" s="302" t="s">
        <v>462</v>
      </c>
      <c r="C273" s="296">
        <v>0.05</v>
      </c>
      <c r="D273" s="317">
        <f t="shared" si="143"/>
        <v>5.1333333333333335E-2</v>
      </c>
      <c r="E273" s="317">
        <f t="shared" si="143"/>
        <v>5.2666666666666667E-2</v>
      </c>
      <c r="F273" s="317">
        <f t="shared" si="143"/>
        <v>5.3999999999999999E-2</v>
      </c>
      <c r="G273" s="317">
        <f t="shared" si="143"/>
        <v>5.5333333333333332E-2</v>
      </c>
      <c r="H273" s="317">
        <f t="shared" si="143"/>
        <v>5.6666666666666664E-2</v>
      </c>
      <c r="I273" s="317">
        <f t="shared" si="143"/>
        <v>5.7999999999999996E-2</v>
      </c>
      <c r="J273" s="317">
        <f t="shared" si="143"/>
        <v>5.9333333333333328E-2</v>
      </c>
      <c r="K273" s="317">
        <f t="shared" si="143"/>
        <v>6.066666666666666E-2</v>
      </c>
      <c r="L273" s="317">
        <f t="shared" si="143"/>
        <v>6.1999999999999993E-2</v>
      </c>
      <c r="M273" s="317">
        <f t="shared" si="143"/>
        <v>6.3333333333333325E-2</v>
      </c>
      <c r="N273" s="317">
        <f t="shared" si="143"/>
        <v>6.4666666666666664E-2</v>
      </c>
      <c r="O273" s="317">
        <f t="shared" si="143"/>
        <v>6.6000000000000003E-2</v>
      </c>
      <c r="P273" s="317">
        <f t="shared" si="143"/>
        <v>6.7333333333333342E-2</v>
      </c>
      <c r="Q273" s="317">
        <f t="shared" si="143"/>
        <v>6.8666666666666681E-2</v>
      </c>
      <c r="R273" s="317">
        <f t="shared" si="143"/>
        <v>7.0000000000000021E-2</v>
      </c>
      <c r="S273" s="317">
        <f t="shared" si="143"/>
        <v>7.133333333333336E-2</v>
      </c>
      <c r="T273" s="317">
        <f t="shared" si="144"/>
        <v>7.2666666666666699E-2</v>
      </c>
      <c r="U273" s="317">
        <f t="shared" si="144"/>
        <v>7.4000000000000038E-2</v>
      </c>
      <c r="V273" s="317">
        <f t="shared" si="144"/>
        <v>7.5333333333333377E-2</v>
      </c>
      <c r="W273" s="317">
        <f t="shared" si="144"/>
        <v>7.6666666666666716E-2</v>
      </c>
      <c r="X273" s="317">
        <f t="shared" si="144"/>
        <v>7.8000000000000055E-2</v>
      </c>
      <c r="Y273" s="317">
        <f t="shared" si="144"/>
        <v>7.9333333333333395E-2</v>
      </c>
      <c r="Z273" s="317">
        <f t="shared" si="144"/>
        <v>8.0666666666666734E-2</v>
      </c>
      <c r="AA273" s="317">
        <f t="shared" si="144"/>
        <v>8.2000000000000073E-2</v>
      </c>
      <c r="AB273" s="317">
        <f t="shared" si="144"/>
        <v>8.3333333333333412E-2</v>
      </c>
      <c r="AC273" s="317">
        <f t="shared" si="144"/>
        <v>8.4666666666666751E-2</v>
      </c>
      <c r="AD273" s="317">
        <f t="shared" si="144"/>
        <v>8.600000000000009E-2</v>
      </c>
      <c r="AE273" s="317">
        <f t="shared" si="144"/>
        <v>8.7333333333333429E-2</v>
      </c>
      <c r="AF273" s="317">
        <f t="shared" si="144"/>
        <v>8.8666666666666769E-2</v>
      </c>
      <c r="AG273" s="296">
        <v>0.09</v>
      </c>
      <c r="AI273" s="316"/>
      <c r="AJ273" s="211" t="s">
        <v>1363</v>
      </c>
    </row>
    <row r="274" spans="1:36" s="1" customFormat="1" outlineLevel="1">
      <c r="A274" t="s">
        <v>1380</v>
      </c>
      <c r="B274" s="302"/>
      <c r="C274" s="296">
        <v>0.27</v>
      </c>
      <c r="D274" s="317">
        <f t="shared" si="143"/>
        <v>0.26600000000000001</v>
      </c>
      <c r="E274" s="317">
        <f t="shared" si="143"/>
        <v>0.26200000000000001</v>
      </c>
      <c r="F274" s="317">
        <f t="shared" si="143"/>
        <v>0.25800000000000001</v>
      </c>
      <c r="G274" s="317">
        <f t="shared" si="143"/>
        <v>0.254</v>
      </c>
      <c r="H274" s="317">
        <f t="shared" si="143"/>
        <v>0.25</v>
      </c>
      <c r="I274" s="317">
        <f t="shared" si="143"/>
        <v>0.246</v>
      </c>
      <c r="J274" s="317">
        <f t="shared" si="143"/>
        <v>0.24199999999999999</v>
      </c>
      <c r="K274" s="317">
        <f t="shared" si="143"/>
        <v>0.23799999999999999</v>
      </c>
      <c r="L274" s="317">
        <f t="shared" si="143"/>
        <v>0.23399999999999999</v>
      </c>
      <c r="M274" s="317">
        <f t="shared" si="143"/>
        <v>0.22999999999999998</v>
      </c>
      <c r="N274" s="317">
        <f t="shared" si="143"/>
        <v>0.22599999999999998</v>
      </c>
      <c r="O274" s="317">
        <f t="shared" si="143"/>
        <v>0.22199999999999998</v>
      </c>
      <c r="P274" s="317">
        <f t="shared" si="143"/>
        <v>0.21799999999999997</v>
      </c>
      <c r="Q274" s="317">
        <f t="shared" si="143"/>
        <v>0.21399999999999997</v>
      </c>
      <c r="R274" s="317">
        <f t="shared" si="143"/>
        <v>0.20999999999999996</v>
      </c>
      <c r="S274" s="317">
        <f t="shared" si="143"/>
        <v>0.20599999999999996</v>
      </c>
      <c r="T274" s="317">
        <f t="shared" si="144"/>
        <v>0.20199999999999996</v>
      </c>
      <c r="U274" s="317">
        <f t="shared" si="144"/>
        <v>0.19799999999999995</v>
      </c>
      <c r="V274" s="317">
        <f t="shared" si="144"/>
        <v>0.19399999999999995</v>
      </c>
      <c r="W274" s="317">
        <f t="shared" si="144"/>
        <v>0.18999999999999995</v>
      </c>
      <c r="X274" s="317">
        <f t="shared" si="144"/>
        <v>0.18599999999999994</v>
      </c>
      <c r="Y274" s="317">
        <f t="shared" si="144"/>
        <v>0.18199999999999994</v>
      </c>
      <c r="Z274" s="317">
        <f t="shared" si="144"/>
        <v>0.17799999999999994</v>
      </c>
      <c r="AA274" s="317">
        <f t="shared" si="144"/>
        <v>0.17399999999999993</v>
      </c>
      <c r="AB274" s="317">
        <f t="shared" si="144"/>
        <v>0.16999999999999993</v>
      </c>
      <c r="AC274" s="317">
        <f t="shared" si="144"/>
        <v>0.16599999999999993</v>
      </c>
      <c r="AD274" s="317">
        <f t="shared" si="144"/>
        <v>0.16199999999999992</v>
      </c>
      <c r="AE274" s="317">
        <f t="shared" si="144"/>
        <v>0.15799999999999992</v>
      </c>
      <c r="AF274" s="317">
        <f t="shared" si="144"/>
        <v>0.15399999999999991</v>
      </c>
      <c r="AG274" s="296">
        <v>0.15</v>
      </c>
      <c r="AI274" s="316"/>
      <c r="AJ274" s="211"/>
    </row>
    <row r="275" spans="1:36" s="67" customFormat="1" outlineLevel="1">
      <c r="A275" s="345" t="s">
        <v>1381</v>
      </c>
      <c r="B275" s="308" t="s">
        <v>462</v>
      </c>
      <c r="C275" s="337">
        <v>0.16</v>
      </c>
      <c r="D275" s="338">
        <f t="shared" si="143"/>
        <v>0.16533333333333333</v>
      </c>
      <c r="E275" s="338">
        <f t="shared" si="143"/>
        <v>0.17066666666666666</v>
      </c>
      <c r="F275" s="338">
        <f t="shared" si="143"/>
        <v>0.17599999999999999</v>
      </c>
      <c r="G275" s="338">
        <f t="shared" si="143"/>
        <v>0.18133333333333332</v>
      </c>
      <c r="H275" s="338">
        <f t="shared" si="143"/>
        <v>0.18666666666666665</v>
      </c>
      <c r="I275" s="338">
        <f t="shared" si="143"/>
        <v>0.19199999999999998</v>
      </c>
      <c r="J275" s="338">
        <f t="shared" si="143"/>
        <v>0.19733333333333331</v>
      </c>
      <c r="K275" s="338">
        <f t="shared" si="143"/>
        <v>0.20266666666666663</v>
      </c>
      <c r="L275" s="338">
        <f t="shared" si="143"/>
        <v>0.20799999999999996</v>
      </c>
      <c r="M275" s="338">
        <f t="shared" si="143"/>
        <v>0.21333333333333329</v>
      </c>
      <c r="N275" s="338">
        <f t="shared" si="143"/>
        <v>0.21866666666666662</v>
      </c>
      <c r="O275" s="338">
        <f t="shared" si="143"/>
        <v>0.22399999999999995</v>
      </c>
      <c r="P275" s="338">
        <f t="shared" si="143"/>
        <v>0.22933333333333328</v>
      </c>
      <c r="Q275" s="338">
        <f t="shared" si="143"/>
        <v>0.23466666666666661</v>
      </c>
      <c r="R275" s="338">
        <f t="shared" si="143"/>
        <v>0.23999999999999994</v>
      </c>
      <c r="S275" s="338">
        <f t="shared" si="143"/>
        <v>0.24533333333333326</v>
      </c>
      <c r="T275" s="338">
        <f t="shared" si="144"/>
        <v>0.25066666666666659</v>
      </c>
      <c r="U275" s="338">
        <f t="shared" si="144"/>
        <v>0.25599999999999995</v>
      </c>
      <c r="V275" s="338">
        <f t="shared" si="144"/>
        <v>0.26133333333333331</v>
      </c>
      <c r="W275" s="338">
        <f t="shared" si="144"/>
        <v>0.26666666666666666</v>
      </c>
      <c r="X275" s="338">
        <f t="shared" si="144"/>
        <v>0.27200000000000002</v>
      </c>
      <c r="Y275" s="338">
        <f t="shared" si="144"/>
        <v>0.27733333333333338</v>
      </c>
      <c r="Z275" s="338">
        <f t="shared" si="144"/>
        <v>0.28266666666666673</v>
      </c>
      <c r="AA275" s="338">
        <f t="shared" si="144"/>
        <v>0.28800000000000009</v>
      </c>
      <c r="AB275" s="338">
        <f t="shared" si="144"/>
        <v>0.29333333333333345</v>
      </c>
      <c r="AC275" s="338">
        <f t="shared" si="144"/>
        <v>0.2986666666666668</v>
      </c>
      <c r="AD275" s="338">
        <f t="shared" si="144"/>
        <v>0.30400000000000016</v>
      </c>
      <c r="AE275" s="338">
        <f t="shared" si="144"/>
        <v>0.30933333333333352</v>
      </c>
      <c r="AF275" s="338">
        <f t="shared" si="144"/>
        <v>0.31466666666666687</v>
      </c>
      <c r="AG275" s="337">
        <v>0.32</v>
      </c>
      <c r="AI275" s="337"/>
      <c r="AJ275" s="339" t="s">
        <v>1363</v>
      </c>
    </row>
    <row r="276" spans="1:36" outlineLevel="1">
      <c r="A276" s="346" t="s">
        <v>1382</v>
      </c>
      <c r="B276" s="302" t="s">
        <v>462</v>
      </c>
      <c r="C276" s="296">
        <v>0.37</v>
      </c>
      <c r="D276" s="317">
        <f t="shared" si="143"/>
        <v>0.37166666666666665</v>
      </c>
      <c r="E276" s="317">
        <f t="shared" si="143"/>
        <v>0.37333333333333329</v>
      </c>
      <c r="F276" s="317">
        <f t="shared" si="143"/>
        <v>0.37499999999999994</v>
      </c>
      <c r="G276" s="317">
        <f t="shared" si="143"/>
        <v>0.37666666666666659</v>
      </c>
      <c r="H276" s="317">
        <f t="shared" si="143"/>
        <v>0.37833333333333324</v>
      </c>
      <c r="I276" s="317">
        <f t="shared" si="143"/>
        <v>0.37999999999999989</v>
      </c>
      <c r="J276" s="317">
        <f t="shared" si="143"/>
        <v>0.38166666666666654</v>
      </c>
      <c r="K276" s="317">
        <f t="shared" si="143"/>
        <v>0.38333333333333319</v>
      </c>
      <c r="L276" s="317">
        <f t="shared" si="143"/>
        <v>0.38499999999999984</v>
      </c>
      <c r="M276" s="317">
        <f t="shared" si="143"/>
        <v>0.38666666666666649</v>
      </c>
      <c r="N276" s="317">
        <f t="shared" si="143"/>
        <v>0.38833333333333314</v>
      </c>
      <c r="O276" s="317">
        <f t="shared" si="143"/>
        <v>0.38999999999999979</v>
      </c>
      <c r="P276" s="317">
        <f t="shared" si="143"/>
        <v>0.39166666666666644</v>
      </c>
      <c r="Q276" s="317">
        <f t="shared" si="143"/>
        <v>0.39333333333333309</v>
      </c>
      <c r="R276" s="317">
        <f t="shared" si="143"/>
        <v>0.39499999999999974</v>
      </c>
      <c r="S276" s="317">
        <f t="shared" si="143"/>
        <v>0.39666666666666639</v>
      </c>
      <c r="T276" s="317">
        <f t="shared" si="144"/>
        <v>0.39833333333333304</v>
      </c>
      <c r="U276" s="317">
        <f t="shared" si="144"/>
        <v>0.39999999999999969</v>
      </c>
      <c r="V276" s="317">
        <f t="shared" si="144"/>
        <v>0.40166666666666634</v>
      </c>
      <c r="W276" s="317">
        <f t="shared" si="144"/>
        <v>0.40333333333333299</v>
      </c>
      <c r="X276" s="317">
        <f t="shared" si="144"/>
        <v>0.40499999999999964</v>
      </c>
      <c r="Y276" s="317">
        <f t="shared" si="144"/>
        <v>0.40666666666666629</v>
      </c>
      <c r="Z276" s="317">
        <f t="shared" si="144"/>
        <v>0.40833333333333294</v>
      </c>
      <c r="AA276" s="317">
        <f t="shared" si="144"/>
        <v>0.40999999999999959</v>
      </c>
      <c r="AB276" s="317">
        <f t="shared" si="144"/>
        <v>0.41166666666666624</v>
      </c>
      <c r="AC276" s="317">
        <f t="shared" si="144"/>
        <v>0.41333333333333289</v>
      </c>
      <c r="AD276" s="317">
        <f t="shared" si="144"/>
        <v>0.41499999999999954</v>
      </c>
      <c r="AE276" s="317">
        <f t="shared" si="144"/>
        <v>0.41666666666666619</v>
      </c>
      <c r="AF276" s="317">
        <f t="shared" si="144"/>
        <v>0.41833333333333284</v>
      </c>
      <c r="AG276" s="296">
        <v>0.42</v>
      </c>
      <c r="AI276" s="296"/>
      <c r="AJ276" s="211" t="s">
        <v>1363</v>
      </c>
    </row>
    <row r="277" spans="1:36" outlineLevel="1">
      <c r="A277" s="346" t="s">
        <v>1383</v>
      </c>
      <c r="B277" s="302" t="s">
        <v>462</v>
      </c>
      <c r="C277" s="296">
        <v>0.08</v>
      </c>
      <c r="D277" s="317">
        <f t="shared" si="143"/>
        <v>7.7666666666666662E-2</v>
      </c>
      <c r="E277" s="317">
        <f t="shared" si="143"/>
        <v>7.5333333333333322E-2</v>
      </c>
      <c r="F277" s="317">
        <f t="shared" si="143"/>
        <v>7.2999999999999982E-2</v>
      </c>
      <c r="G277" s="317">
        <f t="shared" si="143"/>
        <v>7.0666666666666642E-2</v>
      </c>
      <c r="H277" s="317">
        <f t="shared" si="143"/>
        <v>6.8333333333333302E-2</v>
      </c>
      <c r="I277" s="317">
        <f t="shared" si="143"/>
        <v>6.5999999999999961E-2</v>
      </c>
      <c r="J277" s="317">
        <f t="shared" si="143"/>
        <v>6.3666666666666621E-2</v>
      </c>
      <c r="K277" s="317">
        <f t="shared" si="143"/>
        <v>6.1333333333333288E-2</v>
      </c>
      <c r="L277" s="317">
        <f t="shared" si="143"/>
        <v>5.8999999999999955E-2</v>
      </c>
      <c r="M277" s="317">
        <f t="shared" si="143"/>
        <v>5.6666666666666622E-2</v>
      </c>
      <c r="N277" s="317">
        <f t="shared" si="143"/>
        <v>5.4333333333333289E-2</v>
      </c>
      <c r="O277" s="317">
        <f t="shared" si="143"/>
        <v>5.1999999999999956E-2</v>
      </c>
      <c r="P277" s="317">
        <f t="shared" si="143"/>
        <v>4.9666666666666623E-2</v>
      </c>
      <c r="Q277" s="317">
        <f t="shared" si="143"/>
        <v>4.733333333333329E-2</v>
      </c>
      <c r="R277" s="317">
        <f t="shared" si="143"/>
        <v>4.4999999999999957E-2</v>
      </c>
      <c r="S277" s="317">
        <f t="shared" si="143"/>
        <v>4.2666666666666624E-2</v>
      </c>
      <c r="T277" s="317">
        <f t="shared" si="144"/>
        <v>4.0333333333333291E-2</v>
      </c>
      <c r="U277" s="317">
        <f t="shared" si="144"/>
        <v>3.7999999999999957E-2</v>
      </c>
      <c r="V277" s="317">
        <f t="shared" si="144"/>
        <v>3.5666666666666624E-2</v>
      </c>
      <c r="W277" s="317">
        <f t="shared" si="144"/>
        <v>3.3333333333333291E-2</v>
      </c>
      <c r="X277" s="317">
        <f t="shared" si="144"/>
        <v>3.0999999999999958E-2</v>
      </c>
      <c r="Y277" s="317">
        <f t="shared" si="144"/>
        <v>2.8666666666666625E-2</v>
      </c>
      <c r="Z277" s="317">
        <f t="shared" si="144"/>
        <v>2.6333333333333292E-2</v>
      </c>
      <c r="AA277" s="317">
        <f t="shared" si="144"/>
        <v>2.3999999999999959E-2</v>
      </c>
      <c r="AB277" s="317">
        <f t="shared" si="144"/>
        <v>2.1666666666666626E-2</v>
      </c>
      <c r="AC277" s="317">
        <f t="shared" si="144"/>
        <v>1.9333333333333293E-2</v>
      </c>
      <c r="AD277" s="317">
        <f t="shared" si="144"/>
        <v>1.699999999999996E-2</v>
      </c>
      <c r="AE277" s="317">
        <f t="shared" si="144"/>
        <v>1.4666666666666626E-2</v>
      </c>
      <c r="AF277" s="317">
        <f t="shared" si="144"/>
        <v>1.2333333333333293E-2</v>
      </c>
      <c r="AG277" s="296">
        <v>0.01</v>
      </c>
      <c r="AI277" s="296"/>
      <c r="AJ277" s="211" t="s">
        <v>1363</v>
      </c>
    </row>
    <row r="278" spans="1:36" outlineLevel="1">
      <c r="A278" s="346" t="s">
        <v>1384</v>
      </c>
      <c r="B278" s="302" t="s">
        <v>462</v>
      </c>
      <c r="C278" s="296">
        <v>0.27</v>
      </c>
      <c r="D278" s="317">
        <f t="shared" si="143"/>
        <v>0.26633333333333337</v>
      </c>
      <c r="E278" s="317">
        <f t="shared" si="143"/>
        <v>0.26266666666666671</v>
      </c>
      <c r="F278" s="317">
        <f t="shared" si="143"/>
        <v>0.25900000000000006</v>
      </c>
      <c r="G278" s="317">
        <f t="shared" si="143"/>
        <v>0.25533333333333341</v>
      </c>
      <c r="H278" s="317">
        <f t="shared" si="143"/>
        <v>0.25166666666666676</v>
      </c>
      <c r="I278" s="317">
        <f t="shared" si="143"/>
        <v>0.24800000000000008</v>
      </c>
      <c r="J278" s="317">
        <f t="shared" si="143"/>
        <v>0.2443333333333334</v>
      </c>
      <c r="K278" s="317">
        <f t="shared" si="143"/>
        <v>0.24066666666666672</v>
      </c>
      <c r="L278" s="317">
        <f t="shared" si="143"/>
        <v>0.23700000000000004</v>
      </c>
      <c r="M278" s="317">
        <f t="shared" si="143"/>
        <v>0.23333333333333336</v>
      </c>
      <c r="N278" s="317">
        <f t="shared" si="143"/>
        <v>0.22966666666666669</v>
      </c>
      <c r="O278" s="317">
        <f t="shared" si="143"/>
        <v>0.22600000000000001</v>
      </c>
      <c r="P278" s="317">
        <f t="shared" si="143"/>
        <v>0.22233333333333333</v>
      </c>
      <c r="Q278" s="317">
        <f t="shared" si="143"/>
        <v>0.21866666666666665</v>
      </c>
      <c r="R278" s="317">
        <f t="shared" si="143"/>
        <v>0.21499999999999997</v>
      </c>
      <c r="S278" s="317">
        <f t="shared" si="143"/>
        <v>0.21133333333333329</v>
      </c>
      <c r="T278" s="317">
        <f t="shared" si="144"/>
        <v>0.20766666666666661</v>
      </c>
      <c r="U278" s="317">
        <f t="shared" si="144"/>
        <v>0.20399999999999993</v>
      </c>
      <c r="V278" s="317">
        <f t="shared" si="144"/>
        <v>0.20033333333333325</v>
      </c>
      <c r="W278" s="317">
        <f t="shared" si="144"/>
        <v>0.19666666666666657</v>
      </c>
      <c r="X278" s="317">
        <f t="shared" si="144"/>
        <v>0.19299999999999989</v>
      </c>
      <c r="Y278" s="317">
        <f t="shared" si="144"/>
        <v>0.18933333333333321</v>
      </c>
      <c r="Z278" s="317">
        <f t="shared" si="144"/>
        <v>0.18566666666666654</v>
      </c>
      <c r="AA278" s="317">
        <f t="shared" si="144"/>
        <v>0.18199999999999986</v>
      </c>
      <c r="AB278" s="317">
        <f t="shared" si="144"/>
        <v>0.17833333333333318</v>
      </c>
      <c r="AC278" s="317">
        <f t="shared" si="144"/>
        <v>0.1746666666666665</v>
      </c>
      <c r="AD278" s="317">
        <f t="shared" si="144"/>
        <v>0.17099999999999982</v>
      </c>
      <c r="AE278" s="317">
        <f t="shared" si="144"/>
        <v>0.16733333333333314</v>
      </c>
      <c r="AF278" s="317">
        <f t="shared" si="144"/>
        <v>0.16366666666666646</v>
      </c>
      <c r="AG278" s="296">
        <v>0.16</v>
      </c>
      <c r="AI278" s="296"/>
      <c r="AJ278" s="211" t="s">
        <v>1363</v>
      </c>
    </row>
    <row r="279" spans="1:36" outlineLevel="1">
      <c r="A279" s="346" t="s">
        <v>1385</v>
      </c>
      <c r="B279" s="302" t="s">
        <v>462</v>
      </c>
      <c r="C279" s="296">
        <v>7.0000000000000007E-2</v>
      </c>
      <c r="D279" s="317">
        <f t="shared" si="143"/>
        <v>6.9666666666666668E-2</v>
      </c>
      <c r="E279" s="317">
        <f t="shared" si="143"/>
        <v>6.933333333333333E-2</v>
      </c>
      <c r="F279" s="317">
        <f t="shared" si="143"/>
        <v>6.8999999999999992E-2</v>
      </c>
      <c r="G279" s="317">
        <f t="shared" si="143"/>
        <v>6.8666666666666654E-2</v>
      </c>
      <c r="H279" s="317">
        <f t="shared" si="143"/>
        <v>6.8333333333333315E-2</v>
      </c>
      <c r="I279" s="317">
        <f t="shared" si="143"/>
        <v>6.7999999999999977E-2</v>
      </c>
      <c r="J279" s="317">
        <f t="shared" si="143"/>
        <v>6.7666666666666639E-2</v>
      </c>
      <c r="K279" s="317">
        <f t="shared" si="143"/>
        <v>6.7333333333333301E-2</v>
      </c>
      <c r="L279" s="317">
        <f t="shared" si="143"/>
        <v>6.6999999999999962E-2</v>
      </c>
      <c r="M279" s="317">
        <f t="shared" si="143"/>
        <v>6.6666666666666624E-2</v>
      </c>
      <c r="N279" s="317">
        <f t="shared" si="143"/>
        <v>6.6333333333333286E-2</v>
      </c>
      <c r="O279" s="317">
        <f t="shared" si="143"/>
        <v>6.5999999999999948E-2</v>
      </c>
      <c r="P279" s="317">
        <f t="shared" si="143"/>
        <v>6.5666666666666609E-2</v>
      </c>
      <c r="Q279" s="317">
        <f t="shared" si="143"/>
        <v>6.5333333333333271E-2</v>
      </c>
      <c r="R279" s="317">
        <f t="shared" si="143"/>
        <v>6.4999999999999933E-2</v>
      </c>
      <c r="S279" s="317">
        <f t="shared" ref="S279:AF279" si="145">-($C279-$AG279)/30+R279</f>
        <v>6.4666666666666595E-2</v>
      </c>
      <c r="T279" s="317">
        <f t="shared" si="145"/>
        <v>6.4333333333333256E-2</v>
      </c>
      <c r="U279" s="317">
        <f t="shared" si="145"/>
        <v>6.3999999999999918E-2</v>
      </c>
      <c r="V279" s="317">
        <f t="shared" si="145"/>
        <v>6.366666666666658E-2</v>
      </c>
      <c r="W279" s="317">
        <f t="shared" si="145"/>
        <v>6.3333333333333242E-2</v>
      </c>
      <c r="X279" s="317">
        <f t="shared" si="145"/>
        <v>6.2999999999999903E-2</v>
      </c>
      <c r="Y279" s="317">
        <f t="shared" si="145"/>
        <v>6.2666666666666565E-2</v>
      </c>
      <c r="Z279" s="317">
        <f t="shared" si="145"/>
        <v>6.2333333333333234E-2</v>
      </c>
      <c r="AA279" s="317">
        <f t="shared" si="145"/>
        <v>6.1999999999999902E-2</v>
      </c>
      <c r="AB279" s="317">
        <f t="shared" si="145"/>
        <v>6.1666666666666571E-2</v>
      </c>
      <c r="AC279" s="317">
        <f t="shared" si="145"/>
        <v>6.133333333333324E-2</v>
      </c>
      <c r="AD279" s="317">
        <f t="shared" si="145"/>
        <v>6.0999999999999908E-2</v>
      </c>
      <c r="AE279" s="317">
        <f t="shared" si="145"/>
        <v>6.0666666666666577E-2</v>
      </c>
      <c r="AF279" s="317">
        <f t="shared" si="145"/>
        <v>6.0333333333333246E-2</v>
      </c>
      <c r="AG279" s="296">
        <v>0.06</v>
      </c>
      <c r="AI279" s="296"/>
      <c r="AJ279" s="211" t="s">
        <v>1363</v>
      </c>
    </row>
    <row r="280" spans="1:36" s="68" customFormat="1" outlineLevel="1">
      <c r="A280" s="347" t="s">
        <v>1386</v>
      </c>
      <c r="B280" s="312" t="s">
        <v>462</v>
      </c>
      <c r="C280" s="314">
        <v>0.05</v>
      </c>
      <c r="D280" s="340">
        <f t="shared" ref="D280:AF280" si="146">-($C280-$AG280)/30+C280</f>
        <v>4.9333333333333333E-2</v>
      </c>
      <c r="E280" s="340">
        <f t="shared" si="146"/>
        <v>4.8666666666666664E-2</v>
      </c>
      <c r="F280" s="340">
        <f t="shared" si="146"/>
        <v>4.7999999999999994E-2</v>
      </c>
      <c r="G280" s="340">
        <f t="shared" si="146"/>
        <v>4.7333333333333324E-2</v>
      </c>
      <c r="H280" s="340">
        <f t="shared" si="146"/>
        <v>4.6666666666666655E-2</v>
      </c>
      <c r="I280" s="340">
        <f t="shared" si="146"/>
        <v>4.5999999999999985E-2</v>
      </c>
      <c r="J280" s="340">
        <f t="shared" si="146"/>
        <v>4.5333333333333316E-2</v>
      </c>
      <c r="K280" s="340">
        <f t="shared" si="146"/>
        <v>4.4666666666666646E-2</v>
      </c>
      <c r="L280" s="340">
        <f t="shared" si="146"/>
        <v>4.3999999999999977E-2</v>
      </c>
      <c r="M280" s="340">
        <f t="shared" si="146"/>
        <v>4.3333333333333307E-2</v>
      </c>
      <c r="N280" s="340">
        <f t="shared" si="146"/>
        <v>4.2666666666666637E-2</v>
      </c>
      <c r="O280" s="340">
        <f t="shared" si="146"/>
        <v>4.1999999999999968E-2</v>
      </c>
      <c r="P280" s="340">
        <f t="shared" si="146"/>
        <v>4.1333333333333298E-2</v>
      </c>
      <c r="Q280" s="340">
        <f t="shared" si="146"/>
        <v>4.0666666666666629E-2</v>
      </c>
      <c r="R280" s="340">
        <f t="shared" si="146"/>
        <v>3.9999999999999959E-2</v>
      </c>
      <c r="S280" s="340">
        <f t="shared" si="146"/>
        <v>3.933333333333329E-2</v>
      </c>
      <c r="T280" s="340">
        <f t="shared" si="146"/>
        <v>3.866666666666662E-2</v>
      </c>
      <c r="U280" s="340">
        <f t="shared" si="146"/>
        <v>3.799999999999995E-2</v>
      </c>
      <c r="V280" s="340">
        <f t="shared" si="146"/>
        <v>3.7333333333333281E-2</v>
      </c>
      <c r="W280" s="340">
        <f t="shared" si="146"/>
        <v>3.6666666666666611E-2</v>
      </c>
      <c r="X280" s="340">
        <f t="shared" si="146"/>
        <v>3.5999999999999942E-2</v>
      </c>
      <c r="Y280" s="340">
        <f t="shared" si="146"/>
        <v>3.5333333333333272E-2</v>
      </c>
      <c r="Z280" s="340">
        <f t="shared" si="146"/>
        <v>3.4666666666666603E-2</v>
      </c>
      <c r="AA280" s="340">
        <f t="shared" si="146"/>
        <v>3.3999999999999933E-2</v>
      </c>
      <c r="AB280" s="340">
        <f t="shared" si="146"/>
        <v>3.3333333333333263E-2</v>
      </c>
      <c r="AC280" s="340">
        <f t="shared" si="146"/>
        <v>3.2666666666666594E-2</v>
      </c>
      <c r="AD280" s="340">
        <f t="shared" si="146"/>
        <v>3.1999999999999924E-2</v>
      </c>
      <c r="AE280" s="340">
        <f t="shared" si="146"/>
        <v>3.1333333333333255E-2</v>
      </c>
      <c r="AF280" s="340">
        <f t="shared" si="146"/>
        <v>3.0666666666666589E-2</v>
      </c>
      <c r="AG280" s="314">
        <v>0.03</v>
      </c>
      <c r="AI280" s="314"/>
      <c r="AJ280" s="341" t="s">
        <v>1363</v>
      </c>
    </row>
    <row r="281" spans="1:36" s="58" customFormat="1" outlineLevel="1">
      <c r="A281" s="58" t="s">
        <v>1361</v>
      </c>
      <c r="B281" s="303"/>
      <c r="C281" s="304">
        <f>C32</f>
        <v>12.673879407338728</v>
      </c>
      <c r="D281" s="304">
        <f t="shared" ref="D281:AG281" si="147">D32</f>
        <v>13.098726851099091</v>
      </c>
      <c r="E281" s="304">
        <f t="shared" si="147"/>
        <v>13.502427023619299</v>
      </c>
      <c r="F281" s="304">
        <f t="shared" si="147"/>
        <v>13.882209074846781</v>
      </c>
      <c r="G281" s="304">
        <f t="shared" si="147"/>
        <v>14.235413036033478</v>
      </c>
      <c r="H281" s="304">
        <f t="shared" si="147"/>
        <v>14.559520852589715</v>
      </c>
      <c r="I281" s="304">
        <f t="shared" si="147"/>
        <v>14.884229245454527</v>
      </c>
      <c r="J281" s="304">
        <f t="shared" si="147"/>
        <v>15.209244221270575</v>
      </c>
      <c r="K281" s="304">
        <f t="shared" si="147"/>
        <v>15.534264322775988</v>
      </c>
      <c r="L281" s="304">
        <f t="shared" si="147"/>
        <v>15.858981020841343</v>
      </c>
      <c r="M281" s="304">
        <f t="shared" si="147"/>
        <v>16.183079133002487</v>
      </c>
      <c r="N281" s="304">
        <f t="shared" si="147"/>
        <v>16.482620297976691</v>
      </c>
      <c r="O281" s="304">
        <f t="shared" si="147"/>
        <v>16.755943206611072</v>
      </c>
      <c r="P281" s="304">
        <f t="shared" si="147"/>
        <v>17.001503890847083</v>
      </c>
      <c r="Q281" s="304">
        <f t="shared" si="147"/>
        <v>17.217890073688782</v>
      </c>
      <c r="R281" s="304">
        <f t="shared" si="147"/>
        <v>17.403834548144012</v>
      </c>
      <c r="S281" s="304">
        <f t="shared" si="147"/>
        <v>17.589861538809647</v>
      </c>
      <c r="T281" s="304">
        <f t="shared" si="147"/>
        <v>17.775929599333011</v>
      </c>
      <c r="U281" s="304">
        <f t="shared" si="147"/>
        <v>17.961996785777828</v>
      </c>
      <c r="V281" s="304">
        <f t="shared" si="147"/>
        <v>18.148020669856798</v>
      </c>
      <c r="W281" s="304">
        <f t="shared" si="147"/>
        <v>18.33395835260367</v>
      </c>
      <c r="X281" s="304">
        <f t="shared" si="147"/>
        <v>18.519970462814392</v>
      </c>
      <c r="Y281" s="304">
        <f t="shared" si="147"/>
        <v>18.706019655608895</v>
      </c>
      <c r="Z281" s="304">
        <f t="shared" si="147"/>
        <v>18.892068164071532</v>
      </c>
      <c r="AA281" s="304">
        <f t="shared" si="147"/>
        <v>19.078077810042121</v>
      </c>
      <c r="AB281" s="304">
        <f t="shared" si="147"/>
        <v>19.264010015242892</v>
      </c>
      <c r="AC281" s="304">
        <f t="shared" si="147"/>
        <v>19.450009696000929</v>
      </c>
      <c r="AD281" s="304">
        <f t="shared" si="147"/>
        <v>19.636043025222392</v>
      </c>
      <c r="AE281" s="304">
        <f t="shared" si="147"/>
        <v>19.822075814687434</v>
      </c>
      <c r="AF281" s="304">
        <f t="shared" si="147"/>
        <v>20.008073523938176</v>
      </c>
      <c r="AG281" s="304">
        <f t="shared" si="147"/>
        <v>20.194001269427055</v>
      </c>
      <c r="AI281" s="305"/>
      <c r="AJ281" s="306"/>
    </row>
    <row r="282" spans="1:36" s="58" customFormat="1" outlineLevel="1">
      <c r="A282" s="307" t="s">
        <v>3</v>
      </c>
      <c r="B282" s="308" t="s">
        <v>704</v>
      </c>
      <c r="C282" s="309">
        <v>0</v>
      </c>
      <c r="D282" s="309">
        <v>0</v>
      </c>
      <c r="E282" s="309">
        <v>0</v>
      </c>
      <c r="F282" s="309">
        <v>0</v>
      </c>
      <c r="G282" s="309">
        <v>0</v>
      </c>
      <c r="H282" s="309">
        <v>0</v>
      </c>
      <c r="I282" s="309">
        <v>0</v>
      </c>
      <c r="J282" s="309">
        <v>0</v>
      </c>
      <c r="K282" s="309">
        <v>0</v>
      </c>
      <c r="L282" s="309">
        <v>0</v>
      </c>
      <c r="M282" s="309">
        <v>0</v>
      </c>
      <c r="N282" s="309">
        <v>0</v>
      </c>
      <c r="O282" s="309">
        <v>0</v>
      </c>
      <c r="P282" s="309">
        <v>0</v>
      </c>
      <c r="Q282" s="309">
        <v>0</v>
      </c>
      <c r="R282" s="309">
        <v>0</v>
      </c>
      <c r="S282" s="309">
        <v>0</v>
      </c>
      <c r="T282" s="309">
        <v>0</v>
      </c>
      <c r="U282" s="309">
        <v>0</v>
      </c>
      <c r="V282" s="309">
        <v>0</v>
      </c>
      <c r="W282" s="309">
        <v>0</v>
      </c>
      <c r="X282" s="309">
        <v>0</v>
      </c>
      <c r="Y282" s="309">
        <v>0</v>
      </c>
      <c r="Z282" s="309">
        <v>0</v>
      </c>
      <c r="AA282" s="309">
        <v>0</v>
      </c>
      <c r="AB282" s="309">
        <v>0</v>
      </c>
      <c r="AC282" s="309">
        <v>0</v>
      </c>
      <c r="AD282" s="309">
        <v>0</v>
      </c>
      <c r="AE282" s="309">
        <v>0</v>
      </c>
      <c r="AF282" s="309">
        <v>0</v>
      </c>
      <c r="AG282" s="309">
        <v>0</v>
      </c>
      <c r="AI282" s="305"/>
      <c r="AJ282" s="306"/>
    </row>
    <row r="283" spans="1:36" outlineLevel="1">
      <c r="A283" s="310" t="s">
        <v>51</v>
      </c>
      <c r="B283" s="302" t="s">
        <v>704</v>
      </c>
      <c r="C283" s="249">
        <f t="shared" ref="C283:AG283" si="148">C250</f>
        <v>1.1899030376946831</v>
      </c>
      <c r="D283" s="249">
        <f t="shared" si="148"/>
        <v>1.2097744184241843</v>
      </c>
      <c r="E283" s="249">
        <f t="shared" si="148"/>
        <v>1.2299776512118681</v>
      </c>
      <c r="F283" s="249">
        <f t="shared" si="148"/>
        <v>1.2505182779871062</v>
      </c>
      <c r="G283" s="249">
        <f t="shared" si="148"/>
        <v>1.2714019332294908</v>
      </c>
      <c r="H283" s="249">
        <f t="shared" si="148"/>
        <v>1.2926343455144231</v>
      </c>
      <c r="I283" s="249">
        <f t="shared" si="148"/>
        <v>1.3142213390845139</v>
      </c>
      <c r="J283" s="249">
        <f t="shared" si="148"/>
        <v>1.3361688354472252</v>
      </c>
      <c r="K283" s="249">
        <f t="shared" si="148"/>
        <v>1.3584828549991939</v>
      </c>
      <c r="L283" s="249">
        <f t="shared" si="148"/>
        <v>1.3811695186776802</v>
      </c>
      <c r="M283" s="249">
        <f t="shared" si="148"/>
        <v>1.4042350496395974</v>
      </c>
      <c r="N283" s="249">
        <f t="shared" si="148"/>
        <v>1.4276857749685787</v>
      </c>
      <c r="O283" s="249">
        <f t="shared" si="148"/>
        <v>1.4515281274105538</v>
      </c>
      <c r="P283" s="249">
        <f t="shared" si="148"/>
        <v>1.47576864713831</v>
      </c>
      <c r="Q283" s="249">
        <f t="shared" si="148"/>
        <v>1.5004139835455197</v>
      </c>
      <c r="R283" s="249">
        <f t="shared" si="148"/>
        <v>1.5254708970707298</v>
      </c>
      <c r="S283" s="249">
        <f t="shared" si="148"/>
        <v>1.550946261051811</v>
      </c>
      <c r="T283" s="249">
        <f t="shared" si="148"/>
        <v>1.5768470636113761</v>
      </c>
      <c r="U283" s="249">
        <f t="shared" si="148"/>
        <v>1.6031804095736859</v>
      </c>
      <c r="V283" s="249">
        <f t="shared" si="148"/>
        <v>1.6299535224135664</v>
      </c>
      <c r="W283" s="249">
        <f t="shared" si="148"/>
        <v>1.6571737462378728</v>
      </c>
      <c r="X283" s="249">
        <f t="shared" si="148"/>
        <v>1.6848485478000452</v>
      </c>
      <c r="Y283" s="249">
        <f t="shared" si="148"/>
        <v>1.7129855185483058</v>
      </c>
      <c r="Z283" s="249">
        <f t="shared" si="148"/>
        <v>1.7415923767080623</v>
      </c>
      <c r="AA283" s="249">
        <f t="shared" si="148"/>
        <v>1.7706769693990869</v>
      </c>
      <c r="AB283" s="249">
        <f t="shared" si="148"/>
        <v>1.8002472747880516</v>
      </c>
      <c r="AC283" s="249">
        <f t="shared" si="148"/>
        <v>1.8303114042770119</v>
      </c>
      <c r="AD283" s="249">
        <f t="shared" si="148"/>
        <v>1.8608776047284379</v>
      </c>
      <c r="AE283" s="249">
        <f t="shared" si="148"/>
        <v>1.8919542607274027</v>
      </c>
      <c r="AF283" s="249">
        <f t="shared" si="148"/>
        <v>1.9235498968815501</v>
      </c>
      <c r="AG283" s="249">
        <f t="shared" si="148"/>
        <v>1.9556731801594718</v>
      </c>
      <c r="AI283" s="296"/>
    </row>
    <row r="284" spans="1:36" s="68" customFormat="1" outlineLevel="1">
      <c r="A284" s="311" t="s">
        <v>1387</v>
      </c>
      <c r="B284" s="312" t="s">
        <v>704</v>
      </c>
      <c r="C284" s="313">
        <f>C281-C282-C283</f>
        <v>11.483976369644044</v>
      </c>
      <c r="D284" s="313">
        <f t="shared" ref="D284:AG284" si="149">D281-D282-D283</f>
        <v>11.888952432674907</v>
      </c>
      <c r="E284" s="313">
        <f t="shared" si="149"/>
        <v>12.272449372407431</v>
      </c>
      <c r="F284" s="313">
        <f t="shared" si="149"/>
        <v>12.631690796859674</v>
      </c>
      <c r="G284" s="313">
        <f t="shared" si="149"/>
        <v>12.964011102803987</v>
      </c>
      <c r="H284" s="313">
        <f t="shared" si="149"/>
        <v>13.266886507075291</v>
      </c>
      <c r="I284" s="313">
        <f t="shared" si="149"/>
        <v>13.570007906370014</v>
      </c>
      <c r="J284" s="313">
        <f t="shared" si="149"/>
        <v>13.87307538582335</v>
      </c>
      <c r="K284" s="313">
        <f t="shared" si="149"/>
        <v>14.175781467776794</v>
      </c>
      <c r="L284" s="313">
        <f t="shared" si="149"/>
        <v>14.477811502163663</v>
      </c>
      <c r="M284" s="313">
        <f t="shared" si="149"/>
        <v>14.778844083362889</v>
      </c>
      <c r="N284" s="313">
        <f t="shared" si="149"/>
        <v>15.054934523008113</v>
      </c>
      <c r="O284" s="313">
        <f t="shared" si="149"/>
        <v>15.304415079200517</v>
      </c>
      <c r="P284" s="313">
        <f t="shared" si="149"/>
        <v>15.525735243708773</v>
      </c>
      <c r="Q284" s="313">
        <f t="shared" si="149"/>
        <v>15.717476090143261</v>
      </c>
      <c r="R284" s="313">
        <f t="shared" si="149"/>
        <v>15.878363651073283</v>
      </c>
      <c r="S284" s="313">
        <f t="shared" si="149"/>
        <v>16.038915277757837</v>
      </c>
      <c r="T284" s="313">
        <f t="shared" si="149"/>
        <v>16.199082535721637</v>
      </c>
      <c r="U284" s="313">
        <f t="shared" si="149"/>
        <v>16.358816376204143</v>
      </c>
      <c r="V284" s="313">
        <f t="shared" si="149"/>
        <v>16.518067147443233</v>
      </c>
      <c r="W284" s="313">
        <f t="shared" si="149"/>
        <v>16.676784606365796</v>
      </c>
      <c r="X284" s="313">
        <f t="shared" si="149"/>
        <v>16.835121915014348</v>
      </c>
      <c r="Y284" s="313">
        <f t="shared" si="149"/>
        <v>16.99303413706059</v>
      </c>
      <c r="Z284" s="313">
        <f t="shared" si="149"/>
        <v>17.150475787363469</v>
      </c>
      <c r="AA284" s="313">
        <f t="shared" si="149"/>
        <v>17.307400840643034</v>
      </c>
      <c r="AB284" s="313">
        <f t="shared" si="149"/>
        <v>17.46376274045484</v>
      </c>
      <c r="AC284" s="313">
        <f t="shared" si="149"/>
        <v>17.619698291723918</v>
      </c>
      <c r="AD284" s="313">
        <f t="shared" si="149"/>
        <v>17.775165420493956</v>
      </c>
      <c r="AE284" s="313">
        <f t="shared" si="149"/>
        <v>17.930121553960031</v>
      </c>
      <c r="AF284" s="313">
        <f t="shared" si="149"/>
        <v>18.084523627056626</v>
      </c>
      <c r="AG284" s="313">
        <f t="shared" si="149"/>
        <v>18.238328089267583</v>
      </c>
      <c r="AI284" s="314"/>
      <c r="AJ284" s="315"/>
    </row>
    <row r="285" spans="1:36" outlineLevel="1">
      <c r="A285" s="112" t="s">
        <v>90</v>
      </c>
      <c r="B285" s="302" t="s">
        <v>704</v>
      </c>
      <c r="C285" s="230">
        <f>C254*C$284</f>
        <v>1.8374362191430471</v>
      </c>
      <c r="D285" s="230">
        <f t="shared" ref="D285:AG285" si="150">D254*D$284</f>
        <v>1.9268028909221799</v>
      </c>
      <c r="E285" s="230">
        <f t="shared" si="150"/>
        <v>2.0143180236578062</v>
      </c>
      <c r="F285" s="230">
        <f t="shared" si="150"/>
        <v>2.0993870104380776</v>
      </c>
      <c r="G285" s="230">
        <f t="shared" si="150"/>
        <v>2.181410934898484</v>
      </c>
      <c r="H285" s="230">
        <f t="shared" si="150"/>
        <v>2.2597930017051575</v>
      </c>
      <c r="I285" s="230">
        <f t="shared" si="150"/>
        <v>2.33946936305819</v>
      </c>
      <c r="J285" s="230">
        <f t="shared" si="150"/>
        <v>2.4203892189799801</v>
      </c>
      <c r="K285" s="230">
        <f t="shared" si="150"/>
        <v>2.5024979551115294</v>
      </c>
      <c r="L285" s="230">
        <f t="shared" si="150"/>
        <v>2.5857371342864295</v>
      </c>
      <c r="M285" s="230">
        <f t="shared" si="150"/>
        <v>2.6700444977275613</v>
      </c>
      <c r="N285" s="230">
        <f t="shared" si="150"/>
        <v>2.7510383685043482</v>
      </c>
      <c r="O285" s="230">
        <f t="shared" si="150"/>
        <v>2.8282559066362545</v>
      </c>
      <c r="P285" s="230">
        <f t="shared" si="150"/>
        <v>2.9012423925410449</v>
      </c>
      <c r="Q285" s="230">
        <f t="shared" si="150"/>
        <v>2.9695551492977321</v>
      </c>
      <c r="R285" s="230">
        <f t="shared" si="150"/>
        <v>3.0327674573549959</v>
      </c>
      <c r="S285" s="230">
        <f t="shared" si="150"/>
        <v>3.0965799096257784</v>
      </c>
      <c r="T285" s="230">
        <f t="shared" si="150"/>
        <v>3.1609809721371471</v>
      </c>
      <c r="U285" s="230">
        <f t="shared" si="150"/>
        <v>3.2259585893874552</v>
      </c>
      <c r="V285" s="230">
        <f t="shared" si="150"/>
        <v>3.2915001802471866</v>
      </c>
      <c r="W285" s="230">
        <f t="shared" si="150"/>
        <v>3.3575926340816453</v>
      </c>
      <c r="X285" s="230">
        <f t="shared" si="150"/>
        <v>3.4242637975139165</v>
      </c>
      <c r="Y285" s="230">
        <f t="shared" si="150"/>
        <v>3.4915020806947141</v>
      </c>
      <c r="Z285" s="230">
        <f t="shared" si="150"/>
        <v>3.559295408404163</v>
      </c>
      <c r="AA285" s="230">
        <f t="shared" si="150"/>
        <v>3.6276312161987776</v>
      </c>
      <c r="AB285" s="230">
        <f t="shared" si="150"/>
        <v>3.6964964467296055</v>
      </c>
      <c r="AC285" s="230">
        <f t="shared" si="150"/>
        <v>3.7659168482177896</v>
      </c>
      <c r="AD285" s="230">
        <f t="shared" si="150"/>
        <v>3.835880697742593</v>
      </c>
      <c r="AE285" s="230">
        <f t="shared" si="150"/>
        <v>3.9063758158894228</v>
      </c>
      <c r="AF285" s="230">
        <f t="shared" si="150"/>
        <v>3.9773895630439844</v>
      </c>
      <c r="AG285" s="230">
        <f t="shared" si="150"/>
        <v>4.0489088358174037</v>
      </c>
      <c r="AI285" s="214"/>
    </row>
    <row r="286" spans="1:36" outlineLevel="1">
      <c r="A286" s="112" t="s">
        <v>33</v>
      </c>
      <c r="B286" s="302" t="s">
        <v>704</v>
      </c>
      <c r="C286" s="230">
        <f t="shared" ref="C286:AG286" si="151">C255*C$284</f>
        <v>4.2490712567682962</v>
      </c>
      <c r="D286" s="230">
        <f t="shared" si="151"/>
        <v>4.3121230473311893</v>
      </c>
      <c r="E286" s="230">
        <f t="shared" si="151"/>
        <v>4.3616285069536014</v>
      </c>
      <c r="F286" s="230">
        <f t="shared" si="151"/>
        <v>4.3970915663868535</v>
      </c>
      <c r="G286" s="230">
        <f t="shared" si="151"/>
        <v>4.4181349838355999</v>
      </c>
      <c r="H286" s="230">
        <f t="shared" si="151"/>
        <v>4.4245066501096115</v>
      </c>
      <c r="I286" s="230">
        <f t="shared" si="151"/>
        <v>4.4265365790579008</v>
      </c>
      <c r="J286" s="230">
        <f t="shared" si="151"/>
        <v>4.424123740539069</v>
      </c>
      <c r="K286" s="230">
        <f t="shared" si="151"/>
        <v>4.4171735053592522</v>
      </c>
      <c r="L286" s="230">
        <f t="shared" si="151"/>
        <v>4.4055980401084058</v>
      </c>
      <c r="M286" s="230">
        <f t="shared" si="151"/>
        <v>4.3893166927587819</v>
      </c>
      <c r="N286" s="230">
        <f t="shared" si="151"/>
        <v>4.3614145313154546</v>
      </c>
      <c r="O286" s="230">
        <f t="shared" si="151"/>
        <v>4.3219668183662305</v>
      </c>
      <c r="P286" s="230">
        <f t="shared" si="151"/>
        <v>4.2711297655442886</v>
      </c>
      <c r="Q286" s="230">
        <f t="shared" si="151"/>
        <v>4.2091400969403709</v>
      </c>
      <c r="R286" s="230">
        <f t="shared" si="151"/>
        <v>4.1363137311045968</v>
      </c>
      <c r="S286" s="230">
        <f t="shared" si="151"/>
        <v>4.0610533483282909</v>
      </c>
      <c r="T286" s="230">
        <f t="shared" si="151"/>
        <v>3.9833543955339574</v>
      </c>
      <c r="U286" s="230">
        <f t="shared" si="151"/>
        <v>3.9032135873623153</v>
      </c>
      <c r="V286" s="230">
        <f t="shared" si="151"/>
        <v>3.8206289312036268</v>
      </c>
      <c r="W286" s="230">
        <f t="shared" si="151"/>
        <v>3.7355997518259452</v>
      </c>
      <c r="X286" s="230">
        <f t="shared" si="151"/>
        <v>3.6481709189836162</v>
      </c>
      <c r="Y286" s="230">
        <f t="shared" si="151"/>
        <v>3.5583413483004946</v>
      </c>
      <c r="Z286" s="230">
        <f t="shared" si="151"/>
        <v>3.4661111566261642</v>
      </c>
      <c r="AA286" s="230">
        <f t="shared" si="151"/>
        <v>3.3714816837572701</v>
      </c>
      <c r="AB286" s="230">
        <f t="shared" si="151"/>
        <v>3.2744555138352895</v>
      </c>
      <c r="AC286" s="230">
        <f t="shared" si="151"/>
        <v>3.1750696321686571</v>
      </c>
      <c r="AD286" s="230">
        <f t="shared" si="151"/>
        <v>3.0733261012034121</v>
      </c>
      <c r="AE286" s="230">
        <f t="shared" si="151"/>
        <v>2.9692281293357885</v>
      </c>
      <c r="AF286" s="230">
        <f t="shared" si="151"/>
        <v>2.8627800901630716</v>
      </c>
      <c r="AG286" s="230">
        <f t="shared" si="151"/>
        <v>2.7539875414794048</v>
      </c>
      <c r="AI286" s="214"/>
    </row>
    <row r="287" spans="1:36" outlineLevel="1">
      <c r="A287" s="112" t="s">
        <v>451</v>
      </c>
      <c r="B287" s="302" t="s">
        <v>704</v>
      </c>
      <c r="C287" s="230">
        <f t="shared" ref="C287:AG287" si="152">C256*C$284</f>
        <v>0.91871810957152356</v>
      </c>
      <c r="D287" s="230">
        <f t="shared" si="152"/>
        <v>0.95230508985726015</v>
      </c>
      <c r="E287" s="230">
        <f t="shared" si="152"/>
        <v>0.98425043966707604</v>
      </c>
      <c r="F287" s="230">
        <f t="shared" si="152"/>
        <v>1.014324770987832</v>
      </c>
      <c r="G287" s="230">
        <f t="shared" si="152"/>
        <v>1.0423064926654406</v>
      </c>
      <c r="H287" s="230">
        <f t="shared" si="152"/>
        <v>1.0679843638195612</v>
      </c>
      <c r="I287" s="230">
        <f t="shared" si="152"/>
        <v>1.0937426372534234</v>
      </c>
      <c r="J287" s="230">
        <f t="shared" si="152"/>
        <v>1.1195571836359446</v>
      </c>
      <c r="K287" s="230">
        <f t="shared" si="152"/>
        <v>1.1454031425963653</v>
      </c>
      <c r="L287" s="230">
        <f t="shared" si="152"/>
        <v>1.1712549505250407</v>
      </c>
      <c r="M287" s="230">
        <f t="shared" si="152"/>
        <v>1.1970863707523944</v>
      </c>
      <c r="N287" s="230">
        <f t="shared" si="152"/>
        <v>1.2209551898159585</v>
      </c>
      <c r="O287" s="230">
        <f t="shared" si="152"/>
        <v>1.2427185044310824</v>
      </c>
      <c r="P287" s="230">
        <f t="shared" si="152"/>
        <v>1.2622422753135238</v>
      </c>
      <c r="Q287" s="230">
        <f t="shared" si="152"/>
        <v>1.2794025537376621</v>
      </c>
      <c r="R287" s="230">
        <f t="shared" si="152"/>
        <v>1.2940866375624733</v>
      </c>
      <c r="S287" s="230">
        <f t="shared" si="152"/>
        <v>1.3087754866650403</v>
      </c>
      <c r="T287" s="230">
        <f t="shared" si="152"/>
        <v>1.3234650431684585</v>
      </c>
      <c r="U287" s="230">
        <f t="shared" si="152"/>
        <v>1.3381511795734997</v>
      </c>
      <c r="V287" s="230">
        <f t="shared" si="152"/>
        <v>1.3528296993756017</v>
      </c>
      <c r="W287" s="230">
        <f t="shared" si="152"/>
        <v>1.3674963377219962</v>
      </c>
      <c r="X287" s="230">
        <f t="shared" si="152"/>
        <v>1.3821635092226789</v>
      </c>
      <c r="Y287" s="230">
        <f t="shared" si="152"/>
        <v>1.3968274060663817</v>
      </c>
      <c r="Z287" s="230">
        <f t="shared" si="152"/>
        <v>1.4114841573000145</v>
      </c>
      <c r="AA287" s="230">
        <f t="shared" si="152"/>
        <v>1.4261298292689872</v>
      </c>
      <c r="AB287" s="230">
        <f t="shared" si="152"/>
        <v>1.4407604260875255</v>
      </c>
      <c r="AC287" s="230">
        <f t="shared" si="152"/>
        <v>1.455387078896397</v>
      </c>
      <c r="AD287" s="230">
        <f t="shared" si="152"/>
        <v>1.4700061802748516</v>
      </c>
      <c r="AE287" s="230">
        <f t="shared" si="152"/>
        <v>1.484614064667892</v>
      </c>
      <c r="AF287" s="230">
        <f t="shared" si="152"/>
        <v>1.4992070086829958</v>
      </c>
      <c r="AG287" s="230">
        <f t="shared" si="152"/>
        <v>1.5137812314092094</v>
      </c>
      <c r="AI287" s="214"/>
    </row>
    <row r="288" spans="1:36" outlineLevel="1">
      <c r="A288" s="112" t="s">
        <v>452</v>
      </c>
      <c r="B288" s="302" t="s">
        <v>704</v>
      </c>
      <c r="C288" s="230">
        <f t="shared" ref="C288:AG288" si="153">C257*C$284</f>
        <v>3.1006736198038918</v>
      </c>
      <c r="D288" s="230">
        <f t="shared" si="153"/>
        <v>3.2472692077779399</v>
      </c>
      <c r="E288" s="230">
        <f t="shared" si="153"/>
        <v>3.390468679950426</v>
      </c>
      <c r="F288" s="230">
        <f t="shared" si="153"/>
        <v>3.5292944086425928</v>
      </c>
      <c r="G288" s="230">
        <f t="shared" si="153"/>
        <v>3.6627652702455529</v>
      </c>
      <c r="H288" s="230">
        <f t="shared" si="153"/>
        <v>3.7899072455211744</v>
      </c>
      <c r="I288" s="230">
        <f t="shared" si="153"/>
        <v>3.9190182833596592</v>
      </c>
      <c r="J288" s="230">
        <f t="shared" si="153"/>
        <v>4.0500131409680291</v>
      </c>
      <c r="K288" s="230">
        <f t="shared" si="153"/>
        <v>4.1828005850920045</v>
      </c>
      <c r="L288" s="230">
        <f t="shared" si="153"/>
        <v>4.317283389945203</v>
      </c>
      <c r="M288" s="230">
        <f t="shared" si="153"/>
        <v>4.4533583504533487</v>
      </c>
      <c r="N288" s="230">
        <f t="shared" si="153"/>
        <v>4.5837257311052015</v>
      </c>
      <c r="O288" s="230">
        <f t="shared" si="153"/>
        <v>4.707638078362077</v>
      </c>
      <c r="P288" s="230">
        <f t="shared" si="153"/>
        <v>4.824363464728437</v>
      </c>
      <c r="Q288" s="230">
        <f t="shared" si="153"/>
        <v>4.9331918288262955</v>
      </c>
      <c r="R288" s="230">
        <f t="shared" si="153"/>
        <v>5.033441277390228</v>
      </c>
      <c r="S288" s="230">
        <f t="shared" si="153"/>
        <v>5.1345914109195396</v>
      </c>
      <c r="T288" s="230">
        <f t="shared" si="153"/>
        <v>5.2366234143809445</v>
      </c>
      <c r="U288" s="230">
        <f t="shared" si="153"/>
        <v>5.3395176651930285</v>
      </c>
      <c r="V288" s="230">
        <f t="shared" si="153"/>
        <v>5.4432537273207897</v>
      </c>
      <c r="W288" s="230">
        <f t="shared" si="153"/>
        <v>5.5478103457176848</v>
      </c>
      <c r="X288" s="230">
        <f t="shared" si="153"/>
        <v>5.6532339390618143</v>
      </c>
      <c r="Y288" s="230">
        <f t="shared" si="153"/>
        <v>5.7595057035210653</v>
      </c>
      <c r="Z288" s="230">
        <f t="shared" si="153"/>
        <v>5.866606084330793</v>
      </c>
      <c r="AA288" s="230">
        <f t="shared" si="153"/>
        <v>5.9745147701899706</v>
      </c>
      <c r="AB288" s="230">
        <f t="shared" si="153"/>
        <v>6.0832106879250976</v>
      </c>
      <c r="AC288" s="230">
        <f t="shared" si="153"/>
        <v>6.1927366262645611</v>
      </c>
      <c r="AD288" s="230">
        <f t="shared" si="153"/>
        <v>6.3030736581071514</v>
      </c>
      <c r="AE288" s="230">
        <f t="shared" si="153"/>
        <v>6.4142021505699631</v>
      </c>
      <c r="AF288" s="230">
        <f t="shared" si="153"/>
        <v>6.5261017595504951</v>
      </c>
      <c r="AG288" s="230">
        <f t="shared" si="153"/>
        <v>6.6387514244933996</v>
      </c>
      <c r="AI288" s="214"/>
    </row>
    <row r="289" spans="1:36" outlineLevel="1">
      <c r="A289" s="112" t="s">
        <v>1364</v>
      </c>
      <c r="B289" s="302" t="s">
        <v>704</v>
      </c>
      <c r="C289" s="230">
        <f t="shared" ref="C289:AG289" si="154">C258*C$284</f>
        <v>0.80387834587508311</v>
      </c>
      <c r="D289" s="230">
        <f t="shared" si="154"/>
        <v>0.84728601003529846</v>
      </c>
      <c r="E289" s="230">
        <f t="shared" si="154"/>
        <v>0.89016166114528572</v>
      </c>
      <c r="F289" s="230">
        <f t="shared" si="154"/>
        <v>0.93221878080824405</v>
      </c>
      <c r="G289" s="230">
        <f t="shared" si="154"/>
        <v>0.97316510011715263</v>
      </c>
      <c r="H289" s="230">
        <f t="shared" si="154"/>
        <v>1.0127056700400807</v>
      </c>
      <c r="I289" s="230">
        <f t="shared" si="154"/>
        <v>1.0530326135343131</v>
      </c>
      <c r="J289" s="230">
        <f t="shared" si="154"/>
        <v>1.0941232120952682</v>
      </c>
      <c r="K289" s="230">
        <f t="shared" si="154"/>
        <v>1.135952621617847</v>
      </c>
      <c r="L289" s="230">
        <f t="shared" si="154"/>
        <v>1.1784938562761222</v>
      </c>
      <c r="M289" s="230">
        <f t="shared" si="154"/>
        <v>1.2217177775579988</v>
      </c>
      <c r="N289" s="230">
        <f t="shared" si="154"/>
        <v>1.2636108376311477</v>
      </c>
      <c r="O289" s="230">
        <f t="shared" si="154"/>
        <v>1.303936164747884</v>
      </c>
      <c r="P289" s="230">
        <f t="shared" si="154"/>
        <v>1.3424585740726853</v>
      </c>
      <c r="Q289" s="230">
        <f t="shared" si="154"/>
        <v>1.3789465689752354</v>
      </c>
      <c r="R289" s="230">
        <f t="shared" si="154"/>
        <v>1.4131743649455222</v>
      </c>
      <c r="S289" s="230">
        <f t="shared" si="154"/>
        <v>1.4477794190722741</v>
      </c>
      <c r="T289" s="230">
        <f t="shared" si="154"/>
        <v>1.4827560214363871</v>
      </c>
      <c r="U289" s="230">
        <f t="shared" si="154"/>
        <v>1.5180981597117442</v>
      </c>
      <c r="V289" s="230">
        <f t="shared" si="154"/>
        <v>1.55379951633616</v>
      </c>
      <c r="W289" s="230">
        <f t="shared" si="154"/>
        <v>1.5898534658068724</v>
      </c>
      <c r="X289" s="230">
        <f t="shared" si="154"/>
        <v>1.6262727769903857</v>
      </c>
      <c r="Y289" s="230">
        <f t="shared" si="154"/>
        <v>1.6630516075469963</v>
      </c>
      <c r="Z289" s="230">
        <f t="shared" si="154"/>
        <v>1.7001838330539651</v>
      </c>
      <c r="AA289" s="230">
        <f t="shared" si="154"/>
        <v>1.7376630444005603</v>
      </c>
      <c r="AB289" s="230">
        <f t="shared" si="154"/>
        <v>1.7754825452795753</v>
      </c>
      <c r="AC289" s="230">
        <f t="shared" si="154"/>
        <v>1.8136542774947817</v>
      </c>
      <c r="AD289" s="230">
        <f t="shared" si="154"/>
        <v>1.8521722368154698</v>
      </c>
      <c r="AE289" s="230">
        <f t="shared" si="154"/>
        <v>1.8910301532243177</v>
      </c>
      <c r="AF289" s="230">
        <f t="shared" si="154"/>
        <v>1.930221488461177</v>
      </c>
      <c r="AG289" s="230">
        <f t="shared" si="154"/>
        <v>1.9697394336408989</v>
      </c>
      <c r="AI289" s="214"/>
    </row>
    <row r="290" spans="1:36" outlineLevel="1">
      <c r="A290" s="112" t="s">
        <v>1365</v>
      </c>
      <c r="B290" s="302" t="s">
        <v>704</v>
      </c>
      <c r="C290" s="230">
        <f t="shared" ref="C290:AG290" si="155">C259*C$284</f>
        <v>0.57419881848220222</v>
      </c>
      <c r="D290" s="230">
        <f t="shared" si="155"/>
        <v>0.60316618675104039</v>
      </c>
      <c r="E290" s="230">
        <f t="shared" si="155"/>
        <v>0.63162206103323593</v>
      </c>
      <c r="F290" s="230">
        <f t="shared" si="155"/>
        <v>0.6593742595960751</v>
      </c>
      <c r="G290" s="230">
        <f t="shared" si="155"/>
        <v>0.6862283210417579</v>
      </c>
      <c r="H290" s="230">
        <f t="shared" si="155"/>
        <v>0.71198957587970746</v>
      </c>
      <c r="I290" s="230">
        <f t="shared" si="155"/>
        <v>0.73820843010652903</v>
      </c>
      <c r="J290" s="230">
        <f t="shared" si="155"/>
        <v>0.76486888960506094</v>
      </c>
      <c r="K290" s="230">
        <f t="shared" si="155"/>
        <v>0.79195365799979722</v>
      </c>
      <c r="L290" s="230">
        <f t="shared" si="155"/>
        <v>0.81944413102246372</v>
      </c>
      <c r="M290" s="230">
        <f t="shared" si="155"/>
        <v>0.84732039411280602</v>
      </c>
      <c r="N290" s="230">
        <f t="shared" si="155"/>
        <v>0.8741898646360049</v>
      </c>
      <c r="O290" s="230">
        <f t="shared" si="155"/>
        <v>0.89989960665699087</v>
      </c>
      <c r="P290" s="230">
        <f t="shared" si="155"/>
        <v>0.92429877150879614</v>
      </c>
      <c r="Q290" s="230">
        <f t="shared" si="155"/>
        <v>0.94723989236596784</v>
      </c>
      <c r="R290" s="230">
        <f t="shared" si="155"/>
        <v>0.96858018271547086</v>
      </c>
      <c r="S290" s="230">
        <f t="shared" si="155"/>
        <v>0.9901357031469179</v>
      </c>
      <c r="T290" s="230">
        <f t="shared" si="155"/>
        <v>1.0119026890647456</v>
      </c>
      <c r="U290" s="230">
        <f t="shared" si="155"/>
        <v>1.0338771949761025</v>
      </c>
      <c r="V290" s="230">
        <f t="shared" si="155"/>
        <v>1.0560550929598715</v>
      </c>
      <c r="W290" s="230">
        <f t="shared" si="155"/>
        <v>1.0784320712116557</v>
      </c>
      <c r="X290" s="230">
        <f t="shared" si="155"/>
        <v>1.1010169732419393</v>
      </c>
      <c r="Y290" s="230">
        <f t="shared" si="155"/>
        <v>1.1238059909309412</v>
      </c>
      <c r="Z290" s="230">
        <f t="shared" si="155"/>
        <v>1.1467951476483715</v>
      </c>
      <c r="AA290" s="230">
        <f t="shared" si="155"/>
        <v>1.1699802968274702</v>
      </c>
      <c r="AB290" s="230">
        <f t="shared" si="155"/>
        <v>1.1933571205977485</v>
      </c>
      <c r="AC290" s="230">
        <f t="shared" si="155"/>
        <v>1.2169338286817331</v>
      </c>
      <c r="AD290" s="230">
        <f t="shared" si="155"/>
        <v>1.2407065463504794</v>
      </c>
      <c r="AE290" s="230">
        <f t="shared" si="155"/>
        <v>1.2646712402726488</v>
      </c>
      <c r="AF290" s="230">
        <f t="shared" si="155"/>
        <v>1.2888237171549035</v>
      </c>
      <c r="AG290" s="230">
        <f t="shared" si="155"/>
        <v>1.3131596224272659</v>
      </c>
      <c r="AI290" s="214"/>
    </row>
    <row r="291" spans="1:36" s="58" customFormat="1">
      <c r="A291" s="58" t="s">
        <v>1366</v>
      </c>
      <c r="B291" s="303"/>
      <c r="C291" s="304">
        <f>C47</f>
        <v>12.673879407338728</v>
      </c>
      <c r="D291" s="304">
        <f t="shared" ref="D291:AG291" si="156">D47</f>
        <v>13.098726851099091</v>
      </c>
      <c r="E291" s="304">
        <f t="shared" si="156"/>
        <v>13.502427023619299</v>
      </c>
      <c r="F291" s="304">
        <f t="shared" si="156"/>
        <v>13.882209074846781</v>
      </c>
      <c r="G291" s="304">
        <f t="shared" si="156"/>
        <v>14.235413036033478</v>
      </c>
      <c r="H291" s="304">
        <f t="shared" si="156"/>
        <v>14.559520852589715</v>
      </c>
      <c r="I291" s="304">
        <f t="shared" si="156"/>
        <v>14.884229245454527</v>
      </c>
      <c r="J291" s="304">
        <f t="shared" si="156"/>
        <v>15.209244221270575</v>
      </c>
      <c r="K291" s="304">
        <f t="shared" si="156"/>
        <v>15.534264322775988</v>
      </c>
      <c r="L291" s="304">
        <f t="shared" si="156"/>
        <v>15.858981020841343</v>
      </c>
      <c r="M291" s="304">
        <f t="shared" si="156"/>
        <v>16.183079133002487</v>
      </c>
      <c r="N291" s="304">
        <f t="shared" si="156"/>
        <v>16.482620297976691</v>
      </c>
      <c r="O291" s="304">
        <f t="shared" si="156"/>
        <v>16.755943206611072</v>
      </c>
      <c r="P291" s="304">
        <f t="shared" si="156"/>
        <v>17.003077415221018</v>
      </c>
      <c r="Q291" s="304">
        <f t="shared" si="156"/>
        <v>17.221077176414827</v>
      </c>
      <c r="R291" s="304">
        <f t="shared" si="156"/>
        <v>17.408666830870988</v>
      </c>
      <c r="S291" s="304">
        <f t="shared" si="156"/>
        <v>17.596373451177676</v>
      </c>
      <c r="T291" s="304">
        <f t="shared" si="156"/>
        <v>17.784155594713624</v>
      </c>
      <c r="U291" s="304">
        <f t="shared" si="156"/>
        <v>17.971971305653867</v>
      </c>
      <c r="V291" s="304">
        <f t="shared" si="156"/>
        <v>18.159778127980644</v>
      </c>
      <c r="W291" s="304">
        <f t="shared" si="156"/>
        <v>18.347533118941403</v>
      </c>
      <c r="X291" s="304">
        <f t="shared" si="156"/>
        <v>18.53539701719653</v>
      </c>
      <c r="Y291" s="304">
        <f t="shared" si="156"/>
        <v>18.723332463967726</v>
      </c>
      <c r="Z291" s="304">
        <f t="shared" si="156"/>
        <v>18.91392441420172</v>
      </c>
      <c r="AA291" s="304">
        <f t="shared" si="156"/>
        <v>19.104563543864266</v>
      </c>
      <c r="AB291" s="304">
        <f t="shared" si="156"/>
        <v>19.295211185217816</v>
      </c>
      <c r="AC291" s="304">
        <f t="shared" si="156"/>
        <v>19.486012469080805</v>
      </c>
      <c r="AD291" s="304">
        <f t="shared" si="156"/>
        <v>19.676933544754643</v>
      </c>
      <c r="AE291" s="304">
        <f t="shared" si="156"/>
        <v>19.867940168271474</v>
      </c>
      <c r="AF291" s="304">
        <f t="shared" si="156"/>
        <v>20.058997710887009</v>
      </c>
      <c r="AG291" s="304">
        <f t="shared" si="156"/>
        <v>20.250071167846748</v>
      </c>
      <c r="AI291" s="305"/>
      <c r="AJ291" s="306"/>
    </row>
    <row r="292" spans="1:36" s="58" customFormat="1">
      <c r="A292" s="307" t="s">
        <v>3</v>
      </c>
      <c r="B292" s="308" t="s">
        <v>704</v>
      </c>
      <c r="C292" s="309">
        <f>C291-C281</f>
        <v>0</v>
      </c>
      <c r="D292" s="309">
        <f t="shared" ref="D292:AF292" si="157">D291-D281</f>
        <v>0</v>
      </c>
      <c r="E292" s="309">
        <f t="shared" si="157"/>
        <v>0</v>
      </c>
      <c r="F292" s="309">
        <f t="shared" si="157"/>
        <v>0</v>
      </c>
      <c r="G292" s="309">
        <f t="shared" si="157"/>
        <v>0</v>
      </c>
      <c r="H292" s="309">
        <f t="shared" si="157"/>
        <v>0</v>
      </c>
      <c r="I292" s="309">
        <f t="shared" si="157"/>
        <v>0</v>
      </c>
      <c r="J292" s="309">
        <f t="shared" si="157"/>
        <v>0</v>
      </c>
      <c r="K292" s="309">
        <f t="shared" si="157"/>
        <v>0</v>
      </c>
      <c r="L292" s="309">
        <f t="shared" si="157"/>
        <v>0</v>
      </c>
      <c r="M292" s="309">
        <f t="shared" si="157"/>
        <v>0</v>
      </c>
      <c r="N292" s="309">
        <f t="shared" si="157"/>
        <v>0</v>
      </c>
      <c r="O292" s="309">
        <f t="shared" si="157"/>
        <v>0</v>
      </c>
      <c r="P292" s="309">
        <f t="shared" si="157"/>
        <v>1.5735243739349869E-3</v>
      </c>
      <c r="Q292" s="309">
        <f t="shared" si="157"/>
        <v>3.1871027260450546E-3</v>
      </c>
      <c r="R292" s="309">
        <f t="shared" si="157"/>
        <v>4.8322827269764446E-3</v>
      </c>
      <c r="S292" s="309">
        <f t="shared" si="157"/>
        <v>6.5119123680297264E-3</v>
      </c>
      <c r="T292" s="309">
        <f t="shared" si="157"/>
        <v>8.2259953806129715E-3</v>
      </c>
      <c r="U292" s="309">
        <f t="shared" si="157"/>
        <v>9.9745198760388121E-3</v>
      </c>
      <c r="V292" s="309">
        <f t="shared" si="157"/>
        <v>1.1757458123845765E-2</v>
      </c>
      <c r="W292" s="309">
        <f t="shared" si="157"/>
        <v>1.3574766337733024E-2</v>
      </c>
      <c r="X292" s="309">
        <f t="shared" si="157"/>
        <v>1.5426554382138136E-2</v>
      </c>
      <c r="Y292" s="309">
        <f t="shared" si="157"/>
        <v>1.7312808358830978E-2</v>
      </c>
      <c r="Z292" s="309">
        <f t="shared" si="157"/>
        <v>2.1856250130188215E-2</v>
      </c>
      <c r="AA292" s="309">
        <f t="shared" si="157"/>
        <v>2.6485733822145363E-2</v>
      </c>
      <c r="AB292" s="309">
        <f t="shared" si="157"/>
        <v>3.120116997492417E-2</v>
      </c>
      <c r="AC292" s="309">
        <f t="shared" si="157"/>
        <v>3.6002773079875539E-2</v>
      </c>
      <c r="AD292" s="309">
        <f t="shared" si="157"/>
        <v>4.0890519532251091E-2</v>
      </c>
      <c r="AE292" s="309">
        <f t="shared" si="157"/>
        <v>4.5864353584040174E-2</v>
      </c>
      <c r="AF292" s="309">
        <f t="shared" si="157"/>
        <v>5.0924186948833494E-2</v>
      </c>
      <c r="AG292" s="309">
        <f>AG291-AG281</f>
        <v>5.6069898419693232E-2</v>
      </c>
      <c r="AI292" s="305"/>
      <c r="AJ292" s="306"/>
    </row>
    <row r="293" spans="1:36">
      <c r="A293" s="310" t="s">
        <v>51</v>
      </c>
      <c r="B293" s="302" t="s">
        <v>704</v>
      </c>
      <c r="C293" s="249">
        <f>C249</f>
        <v>1.1899030376946831</v>
      </c>
      <c r="D293" s="249">
        <f t="shared" ref="D293:AG293" si="158">D249</f>
        <v>1.28386056234628</v>
      </c>
      <c r="E293" s="249">
        <f t="shared" si="158"/>
        <v>1.3790170145008203</v>
      </c>
      <c r="F293" s="249">
        <f t="shared" si="158"/>
        <v>1.4748035243118611</v>
      </c>
      <c r="G293" s="249">
        <f t="shared" si="158"/>
        <v>1.5706194656931056</v>
      </c>
      <c r="H293" s="249">
        <f t="shared" si="158"/>
        <v>1.6658385758471388</v>
      </c>
      <c r="I293" s="249">
        <f t="shared" si="158"/>
        <v>1.7636124082546567</v>
      </c>
      <c r="J293" s="249">
        <f t="shared" si="158"/>
        <v>1.8639015587121597</v>
      </c>
      <c r="K293" s="249">
        <f t="shared" si="158"/>
        <v>1.9666608746806569</v>
      </c>
      <c r="L293" s="249">
        <f t="shared" si="158"/>
        <v>2.0718393880676893</v>
      </c>
      <c r="M293" s="249">
        <f t="shared" si="158"/>
        <v>2.179380262285767</v>
      </c>
      <c r="N293" s="249">
        <f t="shared" si="158"/>
        <v>2.3644792661744471</v>
      </c>
      <c r="O293" s="249">
        <f t="shared" si="158"/>
        <v>2.55045999315012</v>
      </c>
      <c r="P293" s="249">
        <f t="shared" si="158"/>
        <v>2.7365087563667112</v>
      </c>
      <c r="Q293" s="249">
        <f t="shared" si="158"/>
        <v>2.9215370014776605</v>
      </c>
      <c r="R293" s="249">
        <f t="shared" si="158"/>
        <v>3.1045428365130796</v>
      </c>
      <c r="S293" s="249">
        <f t="shared" si="158"/>
        <v>3.290431153341983</v>
      </c>
      <c r="T293" s="249">
        <f t="shared" si="158"/>
        <v>3.4791856975146485</v>
      </c>
      <c r="U293" s="249">
        <f t="shared" si="158"/>
        <v>3.6707887298626654</v>
      </c>
      <c r="V293" s="249">
        <f t="shared" si="158"/>
        <v>3.8652210165417191</v>
      </c>
      <c r="W293" s="249">
        <f t="shared" si="158"/>
        <v>4.062461819942258</v>
      </c>
      <c r="X293" s="249">
        <f t="shared" si="158"/>
        <v>4.3742304946322399</v>
      </c>
      <c r="Y293" s="249">
        <f t="shared" si="158"/>
        <v>4.6907956271229354</v>
      </c>
      <c r="Z293" s="249">
        <f t="shared" si="158"/>
        <v>5.0127487394840688</v>
      </c>
      <c r="AA293" s="249">
        <f t="shared" si="158"/>
        <v>5.3395719169836084</v>
      </c>
      <c r="AB293" s="249">
        <f t="shared" si="158"/>
        <v>5.6712427311620814</v>
      </c>
      <c r="AC293" s="249">
        <f t="shared" si="158"/>
        <v>6.0077934523203957</v>
      </c>
      <c r="AD293" s="249">
        <f t="shared" si="158"/>
        <v>6.3492071995702526</v>
      </c>
      <c r="AE293" s="249">
        <f t="shared" si="158"/>
        <v>6.6954652554300012</v>
      </c>
      <c r="AF293" s="249">
        <f t="shared" si="158"/>
        <v>7.0465470521985756</v>
      </c>
      <c r="AG293" s="249">
        <f t="shared" si="158"/>
        <v>7.4024301591077277</v>
      </c>
      <c r="AI293" s="296"/>
    </row>
    <row r="294" spans="1:36" s="68" customFormat="1">
      <c r="A294" s="311" t="s">
        <v>1387</v>
      </c>
      <c r="B294" s="312" t="s">
        <v>704</v>
      </c>
      <c r="C294" s="313">
        <f>C291-C293</f>
        <v>11.483976369644044</v>
      </c>
      <c r="D294" s="313">
        <f t="shared" ref="D294:AG294" si="159">D291-D293</f>
        <v>11.81486628875281</v>
      </c>
      <c r="E294" s="313">
        <f t="shared" si="159"/>
        <v>12.12341000911848</v>
      </c>
      <c r="F294" s="313">
        <f t="shared" si="159"/>
        <v>12.40740555053492</v>
      </c>
      <c r="G294" s="313">
        <f t="shared" si="159"/>
        <v>12.664793570340372</v>
      </c>
      <c r="H294" s="313">
        <f t="shared" si="159"/>
        <v>12.893682276742577</v>
      </c>
      <c r="I294" s="313">
        <f t="shared" si="159"/>
        <v>13.12061683719987</v>
      </c>
      <c r="J294" s="313">
        <f t="shared" si="159"/>
        <v>13.345342662558416</v>
      </c>
      <c r="K294" s="313">
        <f t="shared" si="159"/>
        <v>13.56760344809533</v>
      </c>
      <c r="L294" s="313">
        <f t="shared" si="159"/>
        <v>13.787141632773654</v>
      </c>
      <c r="M294" s="313">
        <f t="shared" si="159"/>
        <v>14.00369887071672</v>
      </c>
      <c r="N294" s="313">
        <f t="shared" si="159"/>
        <v>14.118141031802244</v>
      </c>
      <c r="O294" s="313">
        <f t="shared" si="159"/>
        <v>14.205483213460951</v>
      </c>
      <c r="P294" s="313">
        <f t="shared" si="159"/>
        <v>14.266568658854307</v>
      </c>
      <c r="Q294" s="313">
        <f t="shared" si="159"/>
        <v>14.299540174937167</v>
      </c>
      <c r="R294" s="313">
        <f t="shared" si="159"/>
        <v>14.304123994357909</v>
      </c>
      <c r="S294" s="313">
        <f t="shared" si="159"/>
        <v>14.305942297835694</v>
      </c>
      <c r="T294" s="313">
        <f t="shared" si="159"/>
        <v>14.304969897198976</v>
      </c>
      <c r="U294" s="313">
        <f t="shared" si="159"/>
        <v>14.301182575791202</v>
      </c>
      <c r="V294" s="313">
        <f t="shared" si="159"/>
        <v>14.294557111438925</v>
      </c>
      <c r="W294" s="313">
        <f t="shared" si="159"/>
        <v>14.285071298999146</v>
      </c>
      <c r="X294" s="313">
        <f t="shared" si="159"/>
        <v>14.16116652256429</v>
      </c>
      <c r="Y294" s="313">
        <f t="shared" si="159"/>
        <v>14.032536836844791</v>
      </c>
      <c r="Z294" s="313">
        <f t="shared" si="159"/>
        <v>13.901175674717651</v>
      </c>
      <c r="AA294" s="313">
        <f t="shared" si="159"/>
        <v>13.764991626880658</v>
      </c>
      <c r="AB294" s="313">
        <f t="shared" si="159"/>
        <v>13.623968454055735</v>
      </c>
      <c r="AC294" s="313">
        <f t="shared" si="159"/>
        <v>13.478219016760409</v>
      </c>
      <c r="AD294" s="313">
        <f t="shared" si="159"/>
        <v>13.327726345184391</v>
      </c>
      <c r="AE294" s="313">
        <f t="shared" si="159"/>
        <v>13.172474912841473</v>
      </c>
      <c r="AF294" s="313">
        <f t="shared" si="159"/>
        <v>13.012450658688433</v>
      </c>
      <c r="AG294" s="313">
        <f t="shared" si="159"/>
        <v>12.847641008739021</v>
      </c>
      <c r="AI294" s="314"/>
      <c r="AJ294" s="315"/>
    </row>
    <row r="295" spans="1:36" s="58" customFormat="1" outlineLevel="1">
      <c r="A295" s="307" t="s">
        <v>1367</v>
      </c>
      <c r="B295" s="308" t="s">
        <v>462</v>
      </c>
      <c r="C295" s="309">
        <f>C291*C261</f>
        <v>10.646058702164531</v>
      </c>
      <c r="D295" s="309">
        <f t="shared" ref="D295:AG295" si="160">D291*D261</f>
        <v>11.055325462327632</v>
      </c>
      <c r="E295" s="309">
        <f t="shared" si="160"/>
        <v>11.450058116029165</v>
      </c>
      <c r="F295" s="309">
        <f t="shared" si="160"/>
        <v>11.827642131769457</v>
      </c>
      <c r="G295" s="309">
        <f t="shared" si="160"/>
        <v>12.185513558844656</v>
      </c>
      <c r="H295" s="309">
        <f t="shared" si="160"/>
        <v>12.521187933227155</v>
      </c>
      <c r="I295" s="309">
        <f t="shared" si="160"/>
        <v>12.859974068072711</v>
      </c>
      <c r="J295" s="309">
        <f t="shared" si="160"/>
        <v>13.201623984062859</v>
      </c>
      <c r="K295" s="309">
        <f t="shared" si="160"/>
        <v>13.545878489460661</v>
      </c>
      <c r="L295" s="309">
        <f t="shared" si="160"/>
        <v>13.892467374257016</v>
      </c>
      <c r="M295" s="309">
        <f t="shared" si="160"/>
        <v>14.241109637042188</v>
      </c>
      <c r="N295" s="309">
        <f t="shared" si="160"/>
        <v>14.570636343411396</v>
      </c>
      <c r="O295" s="309">
        <f t="shared" si="160"/>
        <v>14.879277567470632</v>
      </c>
      <c r="P295" s="309">
        <f t="shared" si="160"/>
        <v>15.166745054377149</v>
      </c>
      <c r="Q295" s="309">
        <f t="shared" si="160"/>
        <v>15.430085150067685</v>
      </c>
      <c r="R295" s="309">
        <f t="shared" si="160"/>
        <v>15.66780014778389</v>
      </c>
      <c r="S295" s="309">
        <f t="shared" si="160"/>
        <v>15.90712159986462</v>
      </c>
      <c r="T295" s="309">
        <f t="shared" si="160"/>
        <v>16.148013279999972</v>
      </c>
      <c r="U295" s="309">
        <f t="shared" si="160"/>
        <v>16.390437830756326</v>
      </c>
      <c r="V295" s="309">
        <f t="shared" si="160"/>
        <v>16.634356765230269</v>
      </c>
      <c r="W295" s="309">
        <f t="shared" si="160"/>
        <v>16.879730469426093</v>
      </c>
      <c r="X295" s="309">
        <f t="shared" si="160"/>
        <v>17.126706843889593</v>
      </c>
      <c r="Y295" s="309">
        <f t="shared" si="160"/>
        <v>17.375252526562051</v>
      </c>
      <c r="Z295" s="309">
        <f t="shared" si="160"/>
        <v>17.627777554036005</v>
      </c>
      <c r="AA295" s="309">
        <f t="shared" si="160"/>
        <v>17.881871477056954</v>
      </c>
      <c r="AB295" s="309">
        <f t="shared" si="160"/>
        <v>18.137498514104749</v>
      </c>
      <c r="AC295" s="309">
        <f t="shared" si="160"/>
        <v>18.39479577081228</v>
      </c>
      <c r="AD295" s="309">
        <f t="shared" si="160"/>
        <v>18.653733000427405</v>
      </c>
      <c r="AE295" s="309">
        <f t="shared" si="160"/>
        <v>18.914279040194444</v>
      </c>
      <c r="AF295" s="309">
        <f t="shared" si="160"/>
        <v>19.176401811607981</v>
      </c>
      <c r="AG295" s="309">
        <f t="shared" si="160"/>
        <v>19.440068321132877</v>
      </c>
      <c r="AI295" s="305"/>
      <c r="AJ295" s="339" t="s">
        <v>1363</v>
      </c>
    </row>
    <row r="296" spans="1:36" s="58" customFormat="1" outlineLevel="1">
      <c r="A296" s="307" t="s">
        <v>1368</v>
      </c>
      <c r="B296" s="308" t="s">
        <v>462</v>
      </c>
      <c r="C296" s="309">
        <f>C295*C262</f>
        <v>2.3421329144761969</v>
      </c>
      <c r="D296" s="309">
        <f t="shared" ref="D296:AG296" si="161">D295*D262</f>
        <v>2.5058737714609296</v>
      </c>
      <c r="E296" s="309">
        <f t="shared" si="161"/>
        <v>2.6716802270734714</v>
      </c>
      <c r="F296" s="309">
        <f t="shared" si="161"/>
        <v>2.8386341116246694</v>
      </c>
      <c r="G296" s="309">
        <f t="shared" si="161"/>
        <v>3.0057600111816813</v>
      </c>
      <c r="H296" s="309">
        <f t="shared" si="161"/>
        <v>3.1720342764175458</v>
      </c>
      <c r="I296" s="309">
        <f t="shared" si="161"/>
        <v>3.3435932576989043</v>
      </c>
      <c r="J296" s="309">
        <f t="shared" si="161"/>
        <v>3.5204330624167617</v>
      </c>
      <c r="K296" s="309">
        <f t="shared" si="161"/>
        <v>3.7025401204525794</v>
      </c>
      <c r="L296" s="309">
        <f t="shared" si="161"/>
        <v>3.8898908647919632</v>
      </c>
      <c r="M296" s="309">
        <f t="shared" si="161"/>
        <v>4.0824514292854257</v>
      </c>
      <c r="N296" s="309">
        <f t="shared" si="161"/>
        <v>4.2740533274006749</v>
      </c>
      <c r="O296" s="309">
        <f t="shared" si="161"/>
        <v>4.4637832702411879</v>
      </c>
      <c r="P296" s="309">
        <f t="shared" si="161"/>
        <v>4.6511351500089901</v>
      </c>
      <c r="Q296" s="309">
        <f t="shared" si="161"/>
        <v>4.8347600136878723</v>
      </c>
      <c r="R296" s="309">
        <f t="shared" si="161"/>
        <v>5.0136960472908418</v>
      </c>
      <c r="S296" s="309">
        <f t="shared" si="161"/>
        <v>5.1963263892891067</v>
      </c>
      <c r="T296" s="309">
        <f t="shared" si="161"/>
        <v>5.3826710933333208</v>
      </c>
      <c r="U296" s="309">
        <f t="shared" si="161"/>
        <v>5.5727488624571473</v>
      </c>
      <c r="V296" s="309">
        <f t="shared" si="161"/>
        <v>5.7665770119464899</v>
      </c>
      <c r="W296" s="309">
        <f t="shared" si="161"/>
        <v>5.9641714325305495</v>
      </c>
      <c r="X296" s="309">
        <f t="shared" si="161"/>
        <v>6.1656144638002495</v>
      </c>
      <c r="Y296" s="309">
        <f t="shared" si="161"/>
        <v>6.3709259264060805</v>
      </c>
      <c r="Z296" s="309">
        <f t="shared" si="161"/>
        <v>6.5810369535067705</v>
      </c>
      <c r="AA296" s="309">
        <f t="shared" si="161"/>
        <v>6.7951111612816382</v>
      </c>
      <c r="AB296" s="309">
        <f t="shared" si="161"/>
        <v>7.0131660921204979</v>
      </c>
      <c r="AC296" s="309">
        <f t="shared" si="161"/>
        <v>7.2352863365194917</v>
      </c>
      <c r="AD296" s="309">
        <f t="shared" si="161"/>
        <v>7.4614932001709562</v>
      </c>
      <c r="AE296" s="309">
        <f t="shared" si="161"/>
        <v>7.6918068096790675</v>
      </c>
      <c r="AF296" s="309">
        <f t="shared" si="161"/>
        <v>7.9262460821312928</v>
      </c>
      <c r="AG296" s="309">
        <f t="shared" si="161"/>
        <v>8.1648286948758084</v>
      </c>
      <c r="AI296" s="305"/>
      <c r="AJ296" s="339" t="s">
        <v>1363</v>
      </c>
    </row>
    <row r="297" spans="1:36" s="62" customFormat="1" outlineLevel="1">
      <c r="A297" s="311" t="s">
        <v>1369</v>
      </c>
      <c r="B297" s="312" t="s">
        <v>462</v>
      </c>
      <c r="C297" s="313">
        <f>C295*C263</f>
        <v>8.3039257876883337</v>
      </c>
      <c r="D297" s="313">
        <f t="shared" ref="D297:AG297" si="162">D295*D263</f>
        <v>8.549451690866702</v>
      </c>
      <c r="E297" s="313">
        <f t="shared" si="162"/>
        <v>8.7783778889556938</v>
      </c>
      <c r="F297" s="313">
        <f t="shared" si="162"/>
        <v>8.9890080201447873</v>
      </c>
      <c r="G297" s="313">
        <f t="shared" si="162"/>
        <v>9.1797535476629744</v>
      </c>
      <c r="H297" s="313">
        <f t="shared" si="162"/>
        <v>9.3491536568096105</v>
      </c>
      <c r="I297" s="313">
        <f t="shared" si="162"/>
        <v>9.516380810373807</v>
      </c>
      <c r="J297" s="313">
        <f t="shared" si="162"/>
        <v>9.6811909216460972</v>
      </c>
      <c r="K297" s="313">
        <f t="shared" si="162"/>
        <v>9.843338369008082</v>
      </c>
      <c r="L297" s="313">
        <f t="shared" si="162"/>
        <v>10.002576509465053</v>
      </c>
      <c r="M297" s="313">
        <f t="shared" si="162"/>
        <v>10.158658207756762</v>
      </c>
      <c r="N297" s="313">
        <f t="shared" si="162"/>
        <v>10.296583016010722</v>
      </c>
      <c r="O297" s="313">
        <f t="shared" si="162"/>
        <v>10.415494297229445</v>
      </c>
      <c r="P297" s="313">
        <f t="shared" si="162"/>
        <v>10.515609904368159</v>
      </c>
      <c r="Q297" s="313">
        <f t="shared" si="162"/>
        <v>10.595325136379811</v>
      </c>
      <c r="R297" s="313">
        <f t="shared" si="162"/>
        <v>10.654104100493047</v>
      </c>
      <c r="S297" s="313">
        <f t="shared" si="162"/>
        <v>10.710795210575515</v>
      </c>
      <c r="T297" s="313">
        <f t="shared" si="162"/>
        <v>10.765342186666651</v>
      </c>
      <c r="U297" s="313">
        <f t="shared" si="162"/>
        <v>10.817688968299178</v>
      </c>
      <c r="V297" s="313">
        <f t="shared" si="162"/>
        <v>10.867779753283779</v>
      </c>
      <c r="W297" s="313">
        <f t="shared" si="162"/>
        <v>10.915559036895544</v>
      </c>
      <c r="X297" s="313">
        <f t="shared" si="162"/>
        <v>10.961092380089344</v>
      </c>
      <c r="Y297" s="313">
        <f t="shared" si="162"/>
        <v>11.004326600155968</v>
      </c>
      <c r="Z297" s="313">
        <f t="shared" si="162"/>
        <v>11.046740600529235</v>
      </c>
      <c r="AA297" s="313">
        <f t="shared" si="162"/>
        <v>11.086760315775317</v>
      </c>
      <c r="AB297" s="313">
        <f t="shared" si="162"/>
        <v>11.124332421984251</v>
      </c>
      <c r="AC297" s="313">
        <f t="shared" si="162"/>
        <v>11.159509434292788</v>
      </c>
      <c r="AD297" s="313">
        <f t="shared" si="162"/>
        <v>11.192239800256448</v>
      </c>
      <c r="AE297" s="313">
        <f t="shared" si="162"/>
        <v>11.222472230515377</v>
      </c>
      <c r="AF297" s="313">
        <f t="shared" si="162"/>
        <v>11.250155729476688</v>
      </c>
      <c r="AG297" s="313">
        <f t="shared" si="162"/>
        <v>11.27523962625707</v>
      </c>
      <c r="AI297" s="342"/>
      <c r="AJ297" s="341" t="s">
        <v>1363</v>
      </c>
    </row>
    <row r="298" spans="1:36" s="1" customFormat="1" outlineLevel="1">
      <c r="A298" t="s">
        <v>1370</v>
      </c>
      <c r="B298" s="302" t="s">
        <v>704</v>
      </c>
      <c r="C298" s="249">
        <f>C264*C295</f>
        <v>10.113755767056304</v>
      </c>
      <c r="D298" s="249">
        <f t="shared" ref="D298:AG298" si="163">D264*D295</f>
        <v>10.447282561899613</v>
      </c>
      <c r="E298" s="249">
        <f t="shared" si="163"/>
        <v>10.763054629067415</v>
      </c>
      <c r="F298" s="249">
        <f t="shared" si="163"/>
        <v>11.058845393204441</v>
      </c>
      <c r="G298" s="249">
        <f t="shared" si="163"/>
        <v>11.332527609725529</v>
      </c>
      <c r="H298" s="249">
        <f t="shared" si="163"/>
        <v>11.582098838235117</v>
      </c>
      <c r="I298" s="249">
        <f t="shared" si="163"/>
        <v>11.831176142626893</v>
      </c>
      <c r="J298" s="249">
        <f t="shared" si="163"/>
        <v>12.079485945417515</v>
      </c>
      <c r="K298" s="249">
        <f t="shared" si="163"/>
        <v>12.326749425409201</v>
      </c>
      <c r="L298" s="249">
        <f t="shared" si="163"/>
        <v>12.572682973702598</v>
      </c>
      <c r="M298" s="249">
        <f t="shared" si="163"/>
        <v>12.816998673337968</v>
      </c>
      <c r="N298" s="249">
        <f t="shared" si="163"/>
        <v>13.040719527353199</v>
      </c>
      <c r="O298" s="249">
        <f t="shared" si="163"/>
        <v>13.242557035048861</v>
      </c>
      <c r="P298" s="249">
        <f t="shared" si="163"/>
        <v>13.422569373123775</v>
      </c>
      <c r="Q298" s="249">
        <f t="shared" si="163"/>
        <v>13.57847493205956</v>
      </c>
      <c r="R298" s="249">
        <f t="shared" si="163"/>
        <v>13.709325129310901</v>
      </c>
      <c r="S298" s="249">
        <f t="shared" si="163"/>
        <v>13.839195791882219</v>
      </c>
      <c r="T298" s="249">
        <f t="shared" si="163"/>
        <v>13.968031487199974</v>
      </c>
      <c r="U298" s="249">
        <f t="shared" si="163"/>
        <v>14.095776534450438</v>
      </c>
      <c r="V298" s="249">
        <f t="shared" si="163"/>
        <v>14.222375034271877</v>
      </c>
      <c r="W298" s="249">
        <f t="shared" si="163"/>
        <v>14.347770899012177</v>
      </c>
      <c r="X298" s="249">
        <f t="shared" si="163"/>
        <v>14.472067283086703</v>
      </c>
      <c r="Y298" s="249">
        <f t="shared" si="163"/>
        <v>14.59521212231212</v>
      </c>
      <c r="Z298" s="249">
        <f t="shared" si="163"/>
        <v>14.719194257620062</v>
      </c>
      <c r="AA298" s="249">
        <f t="shared" si="163"/>
        <v>14.841953325957268</v>
      </c>
      <c r="AB298" s="249">
        <f t="shared" si="163"/>
        <v>14.963436274136415</v>
      </c>
      <c r="AC298" s="249">
        <f t="shared" si="163"/>
        <v>15.083732532066067</v>
      </c>
      <c r="AD298" s="249">
        <f t="shared" si="163"/>
        <v>15.202792395348332</v>
      </c>
      <c r="AE298" s="249">
        <f t="shared" si="163"/>
        <v>15.320566022557497</v>
      </c>
      <c r="AF298" s="249">
        <f t="shared" si="163"/>
        <v>15.437003458344421</v>
      </c>
      <c r="AG298" s="249">
        <f t="shared" si="163"/>
        <v>15.552054656906302</v>
      </c>
      <c r="AI298" s="316"/>
      <c r="AJ298" s="211" t="s">
        <v>1363</v>
      </c>
    </row>
    <row r="299" spans="1:36" s="1" customFormat="1" outlineLevel="1">
      <c r="A299" t="s">
        <v>1371</v>
      </c>
      <c r="B299" s="302" t="s">
        <v>704</v>
      </c>
      <c r="C299" s="249">
        <f>C265*C295</f>
        <v>0.53230293510822657</v>
      </c>
      <c r="D299" s="249">
        <f t="shared" ref="D299:AG299" si="164">D265*D295</f>
        <v>0.60804290042801989</v>
      </c>
      <c r="E299" s="249">
        <f t="shared" si="164"/>
        <v>0.68700348696175007</v>
      </c>
      <c r="F299" s="249">
        <f t="shared" si="164"/>
        <v>0.76879673856501485</v>
      </c>
      <c r="G299" s="249">
        <f t="shared" si="164"/>
        <v>0.85298594911912617</v>
      </c>
      <c r="H299" s="249">
        <f t="shared" si="164"/>
        <v>0.93908909499203697</v>
      </c>
      <c r="I299" s="249">
        <f t="shared" si="164"/>
        <v>1.0287979254458173</v>
      </c>
      <c r="J299" s="249">
        <f t="shared" si="164"/>
        <v>1.1221380386453434</v>
      </c>
      <c r="K299" s="249">
        <f t="shared" si="164"/>
        <v>1.21912906405146</v>
      </c>
      <c r="L299" s="249">
        <f t="shared" si="164"/>
        <v>1.3197844005544173</v>
      </c>
      <c r="M299" s="249">
        <f t="shared" si="164"/>
        <v>1.4241109637042195</v>
      </c>
      <c r="N299" s="249">
        <f t="shared" si="164"/>
        <v>1.5299168160581973</v>
      </c>
      <c r="O299" s="249">
        <f t="shared" si="164"/>
        <v>1.6367205324217704</v>
      </c>
      <c r="P299" s="249">
        <f t="shared" si="164"/>
        <v>1.7441756812533731</v>
      </c>
      <c r="Q299" s="249">
        <f t="shared" si="164"/>
        <v>1.8516102180081231</v>
      </c>
      <c r="R299" s="249">
        <f t="shared" si="164"/>
        <v>1.9584750184729871</v>
      </c>
      <c r="S299" s="249">
        <f t="shared" si="164"/>
        <v>2.0679258079824017</v>
      </c>
      <c r="T299" s="249">
        <f t="shared" si="164"/>
        <v>2.1799817927999974</v>
      </c>
      <c r="U299" s="249">
        <f t="shared" si="164"/>
        <v>2.294661296305887</v>
      </c>
      <c r="V299" s="249">
        <f t="shared" si="164"/>
        <v>2.4119817309583902</v>
      </c>
      <c r="W299" s="249">
        <f t="shared" si="164"/>
        <v>2.5319595704139153</v>
      </c>
      <c r="X299" s="249">
        <f t="shared" si="164"/>
        <v>2.6546395608028885</v>
      </c>
      <c r="Y299" s="249">
        <f t="shared" si="164"/>
        <v>2.7800404042499296</v>
      </c>
      <c r="Z299" s="249">
        <f t="shared" si="164"/>
        <v>2.9085832964159422</v>
      </c>
      <c r="AA299" s="249">
        <f t="shared" si="164"/>
        <v>3.039918151099684</v>
      </c>
      <c r="AB299" s="249">
        <f t="shared" si="164"/>
        <v>3.1740622399683329</v>
      </c>
      <c r="AC299" s="249">
        <f t="shared" si="164"/>
        <v>3.3110632387462124</v>
      </c>
      <c r="AD299" s="249">
        <f t="shared" si="164"/>
        <v>3.4509406050790719</v>
      </c>
      <c r="AE299" s="249">
        <f t="shared" si="164"/>
        <v>3.5937130176369463</v>
      </c>
      <c r="AF299" s="249">
        <f t="shared" si="164"/>
        <v>3.7393983532635584</v>
      </c>
      <c r="AG299" s="249">
        <f t="shared" si="164"/>
        <v>3.8880136642265755</v>
      </c>
      <c r="AI299" s="316"/>
      <c r="AJ299" s="211" t="s">
        <v>1363</v>
      </c>
    </row>
    <row r="300" spans="1:36" s="1" customFormat="1" outlineLevel="1">
      <c r="A300" t="s">
        <v>1372</v>
      </c>
      <c r="B300" s="302" t="s">
        <v>704</v>
      </c>
      <c r="C300" s="249">
        <f>C298*C266</f>
        <v>1.5170633650584455</v>
      </c>
      <c r="D300" s="249">
        <f t="shared" ref="D300:AG300" si="165">D298*D266</f>
        <v>1.6332585071769727</v>
      </c>
      <c r="E300" s="249">
        <f t="shared" si="165"/>
        <v>1.7507902196616327</v>
      </c>
      <c r="F300" s="249">
        <f t="shared" si="165"/>
        <v>1.8689448714515504</v>
      </c>
      <c r="G300" s="249">
        <f t="shared" si="165"/>
        <v>1.9869698409052092</v>
      </c>
      <c r="H300" s="249">
        <f t="shared" si="165"/>
        <v>2.1040812889460461</v>
      </c>
      <c r="I300" s="249">
        <f t="shared" si="165"/>
        <v>2.2242611148138556</v>
      </c>
      <c r="J300" s="249">
        <f t="shared" si="165"/>
        <v>2.3474467687261367</v>
      </c>
      <c r="K300" s="249">
        <f t="shared" si="165"/>
        <v>2.4735677180321125</v>
      </c>
      <c r="L300" s="249">
        <f t="shared" si="165"/>
        <v>2.6025453755564372</v>
      </c>
      <c r="M300" s="249">
        <f t="shared" si="165"/>
        <v>2.7342930503120995</v>
      </c>
      <c r="N300" s="249">
        <f t="shared" si="165"/>
        <v>2.8646113895085854</v>
      </c>
      <c r="O300" s="249">
        <f t="shared" si="165"/>
        <v>2.9928178899210418</v>
      </c>
      <c r="P300" s="249">
        <f t="shared" si="165"/>
        <v>3.1185102843557564</v>
      </c>
      <c r="Q300" s="249">
        <f t="shared" si="165"/>
        <v>3.2407293504515478</v>
      </c>
      <c r="R300" s="249">
        <f t="shared" si="165"/>
        <v>3.3587846566811699</v>
      </c>
      <c r="S300" s="249">
        <f t="shared" si="165"/>
        <v>3.4782512090263973</v>
      </c>
      <c r="T300" s="249">
        <f t="shared" si="165"/>
        <v>3.5990961132018597</v>
      </c>
      <c r="U300" s="249">
        <f t="shared" si="165"/>
        <v>3.721285005094916</v>
      </c>
      <c r="V300" s="249">
        <f t="shared" si="165"/>
        <v>3.8447820509314981</v>
      </c>
      <c r="W300" s="249">
        <f t="shared" si="165"/>
        <v>3.9695499487267032</v>
      </c>
      <c r="X300" s="249">
        <f t="shared" si="165"/>
        <v>4.0955950411135387</v>
      </c>
      <c r="Y300" s="249">
        <f t="shared" si="165"/>
        <v>4.2228813740556417</v>
      </c>
      <c r="Z300" s="249">
        <f t="shared" si="165"/>
        <v>4.3519751021696669</v>
      </c>
      <c r="AA300" s="249">
        <f t="shared" si="165"/>
        <v>4.4822699044390975</v>
      </c>
      <c r="AB300" s="249">
        <f t="shared" si="165"/>
        <v>4.6137261845253974</v>
      </c>
      <c r="AC300" s="249">
        <f t="shared" si="165"/>
        <v>4.7463478367567919</v>
      </c>
      <c r="AD300" s="249">
        <f t="shared" si="165"/>
        <v>4.880096358906818</v>
      </c>
      <c r="AE300" s="249">
        <f t="shared" si="165"/>
        <v>5.0149319447171576</v>
      </c>
      <c r="AF300" s="249">
        <f t="shared" si="165"/>
        <v>5.1508134872675928</v>
      </c>
      <c r="AG300" s="249">
        <f t="shared" si="165"/>
        <v>5.2876985833481429</v>
      </c>
      <c r="AI300" s="316"/>
      <c r="AJ300" s="211" t="s">
        <v>1363</v>
      </c>
    </row>
    <row r="301" spans="1:36" s="1" customFormat="1" outlineLevel="1">
      <c r="A301" t="s">
        <v>1373</v>
      </c>
      <c r="B301" s="302" t="s">
        <v>704</v>
      </c>
      <c r="C301" s="249">
        <f>C298*C267</f>
        <v>8.5966924019978581</v>
      </c>
      <c r="D301" s="249">
        <f t="shared" ref="D301:AG301" si="166">D298*D267</f>
        <v>8.8140240547226405</v>
      </c>
      <c r="E301" s="249">
        <f t="shared" si="166"/>
        <v>9.0122644094057822</v>
      </c>
      <c r="F301" s="249">
        <f t="shared" si="166"/>
        <v>9.1899005217528913</v>
      </c>
      <c r="G301" s="249">
        <f t="shared" si="166"/>
        <v>9.3455577688203206</v>
      </c>
      <c r="H301" s="249">
        <f t="shared" si="166"/>
        <v>9.4780175492890724</v>
      </c>
      <c r="I301" s="249">
        <f t="shared" si="166"/>
        <v>9.606915027813038</v>
      </c>
      <c r="J301" s="249">
        <f t="shared" si="166"/>
        <v>9.7320391766913801</v>
      </c>
      <c r="K301" s="249">
        <f t="shared" si="166"/>
        <v>9.8531817073770913</v>
      </c>
      <c r="L301" s="249">
        <f t="shared" si="166"/>
        <v>9.9701375981461631</v>
      </c>
      <c r="M301" s="249">
        <f t="shared" si="166"/>
        <v>10.082705623025872</v>
      </c>
      <c r="N301" s="249">
        <f t="shared" si="166"/>
        <v>10.176108137844617</v>
      </c>
      <c r="O301" s="249">
        <f t="shared" si="166"/>
        <v>10.249739145127823</v>
      </c>
      <c r="P301" s="249">
        <f t="shared" si="166"/>
        <v>10.304059088768023</v>
      </c>
      <c r="Q301" s="249">
        <f t="shared" si="166"/>
        <v>10.337745581608017</v>
      </c>
      <c r="R301" s="249">
        <f t="shared" si="166"/>
        <v>10.350540472629737</v>
      </c>
      <c r="S301" s="249">
        <f t="shared" si="166"/>
        <v>10.360944582855828</v>
      </c>
      <c r="T301" s="249">
        <f t="shared" si="166"/>
        <v>10.368935373998122</v>
      </c>
      <c r="U301" s="249">
        <f t="shared" si="166"/>
        <v>10.374491529355531</v>
      </c>
      <c r="V301" s="249">
        <f t="shared" si="166"/>
        <v>10.377592983340389</v>
      </c>
      <c r="W301" s="249">
        <f t="shared" si="166"/>
        <v>10.378220950285483</v>
      </c>
      <c r="X301" s="249">
        <f t="shared" si="166"/>
        <v>10.376472241973175</v>
      </c>
      <c r="Y301" s="249">
        <f t="shared" si="166"/>
        <v>10.372330748256489</v>
      </c>
      <c r="Z301" s="249">
        <f t="shared" si="166"/>
        <v>10.367219155450407</v>
      </c>
      <c r="AA301" s="249">
        <f t="shared" si="166"/>
        <v>10.359683421518184</v>
      </c>
      <c r="AB301" s="249">
        <f t="shared" si="166"/>
        <v>10.349710089611031</v>
      </c>
      <c r="AC301" s="249">
        <f t="shared" si="166"/>
        <v>10.337384695309289</v>
      </c>
      <c r="AD301" s="249">
        <f t="shared" si="166"/>
        <v>10.322696036441529</v>
      </c>
      <c r="AE301" s="249">
        <f t="shared" si="166"/>
        <v>10.305634077840356</v>
      </c>
      <c r="AF301" s="249">
        <f t="shared" si="166"/>
        <v>10.286189971076846</v>
      </c>
      <c r="AG301" s="249">
        <f t="shared" si="166"/>
        <v>10.26435607355816</v>
      </c>
      <c r="AI301" s="316"/>
      <c r="AJ301" s="211" t="s">
        <v>1363</v>
      </c>
    </row>
    <row r="302" spans="1:36" s="1" customFormat="1" outlineLevel="1">
      <c r="A302" t="s">
        <v>1374</v>
      </c>
      <c r="B302" s="302" t="s">
        <v>704</v>
      </c>
      <c r="C302" s="249">
        <f>C268*C301</f>
        <v>0</v>
      </c>
      <c r="D302" s="249">
        <f t="shared" ref="D302:AG302" si="167">D268*D301</f>
        <v>0</v>
      </c>
      <c r="E302" s="249">
        <f t="shared" si="167"/>
        <v>0</v>
      </c>
      <c r="F302" s="249">
        <f t="shared" si="167"/>
        <v>0</v>
      </c>
      <c r="G302" s="249">
        <f t="shared" si="167"/>
        <v>0</v>
      </c>
      <c r="H302" s="249">
        <f t="shared" si="167"/>
        <v>0</v>
      </c>
      <c r="I302" s="249">
        <f t="shared" si="167"/>
        <v>0</v>
      </c>
      <c r="J302" s="249">
        <f t="shared" si="167"/>
        <v>0</v>
      </c>
      <c r="K302" s="249">
        <f t="shared" si="167"/>
        <v>0</v>
      </c>
      <c r="L302" s="249">
        <f t="shared" si="167"/>
        <v>0</v>
      </c>
      <c r="M302" s="249">
        <f t="shared" si="167"/>
        <v>0</v>
      </c>
      <c r="N302" s="249">
        <f t="shared" si="167"/>
        <v>0</v>
      </c>
      <c r="O302" s="249">
        <f t="shared" si="167"/>
        <v>0</v>
      </c>
      <c r="P302" s="249">
        <f t="shared" si="167"/>
        <v>0</v>
      </c>
      <c r="Q302" s="249">
        <f t="shared" si="167"/>
        <v>0</v>
      </c>
      <c r="R302" s="249">
        <f t="shared" si="167"/>
        <v>0</v>
      </c>
      <c r="S302" s="249">
        <f t="shared" si="167"/>
        <v>0</v>
      </c>
      <c r="T302" s="249">
        <f t="shared" si="167"/>
        <v>0</v>
      </c>
      <c r="U302" s="249">
        <f t="shared" si="167"/>
        <v>0</v>
      </c>
      <c r="V302" s="249">
        <f t="shared" si="167"/>
        <v>0</v>
      </c>
      <c r="W302" s="249">
        <f t="shared" si="167"/>
        <v>0</v>
      </c>
      <c r="X302" s="249">
        <f t="shared" si="167"/>
        <v>0</v>
      </c>
      <c r="Y302" s="249">
        <f t="shared" si="167"/>
        <v>0</v>
      </c>
      <c r="Z302" s="249">
        <f t="shared" si="167"/>
        <v>0</v>
      </c>
      <c r="AA302" s="249">
        <f t="shared" si="167"/>
        <v>0</v>
      </c>
      <c r="AB302" s="249">
        <f t="shared" si="167"/>
        <v>0</v>
      </c>
      <c r="AC302" s="249">
        <f t="shared" si="167"/>
        <v>0</v>
      </c>
      <c r="AD302" s="249">
        <f t="shared" si="167"/>
        <v>0</v>
      </c>
      <c r="AE302" s="249">
        <f t="shared" si="167"/>
        <v>0</v>
      </c>
      <c r="AF302" s="249">
        <f t="shared" si="167"/>
        <v>0</v>
      </c>
      <c r="AG302" s="249">
        <f t="shared" si="167"/>
        <v>0</v>
      </c>
      <c r="AI302" s="316"/>
      <c r="AJ302" s="211" t="s">
        <v>1363</v>
      </c>
    </row>
    <row r="303" spans="1:36" s="1" customFormat="1" outlineLevel="1">
      <c r="A303" t="s">
        <v>1388</v>
      </c>
      <c r="B303" s="302" t="s">
        <v>704</v>
      </c>
      <c r="C303" s="249">
        <f>C269*C301</f>
        <v>8.5966924019978581</v>
      </c>
      <c r="D303" s="249">
        <f t="shared" ref="D303:AG303" si="168">D269*D301</f>
        <v>8.8140240547226405</v>
      </c>
      <c r="E303" s="249">
        <f t="shared" si="168"/>
        <v>9.0122644094057822</v>
      </c>
      <c r="F303" s="249">
        <f t="shared" si="168"/>
        <v>9.1899005217528913</v>
      </c>
      <c r="G303" s="249">
        <f t="shared" si="168"/>
        <v>9.3455577688203206</v>
      </c>
      <c r="H303" s="249">
        <f t="shared" si="168"/>
        <v>9.4780175492890724</v>
      </c>
      <c r="I303" s="249">
        <f t="shared" si="168"/>
        <v>9.606915027813038</v>
      </c>
      <c r="J303" s="249">
        <f t="shared" si="168"/>
        <v>9.7320391766913801</v>
      </c>
      <c r="K303" s="249">
        <f t="shared" si="168"/>
        <v>9.8531817073770913</v>
      </c>
      <c r="L303" s="249">
        <f t="shared" si="168"/>
        <v>9.9701375981461631</v>
      </c>
      <c r="M303" s="249">
        <f t="shared" si="168"/>
        <v>10.082705623025872</v>
      </c>
      <c r="N303" s="249">
        <f t="shared" si="168"/>
        <v>10.176108137844617</v>
      </c>
      <c r="O303" s="249">
        <f t="shared" si="168"/>
        <v>10.249739145127823</v>
      </c>
      <c r="P303" s="249">
        <f t="shared" si="168"/>
        <v>10.304059088768023</v>
      </c>
      <c r="Q303" s="249">
        <f t="shared" si="168"/>
        <v>10.337745581608017</v>
      </c>
      <c r="R303" s="249">
        <f t="shared" si="168"/>
        <v>10.350540472629737</v>
      </c>
      <c r="S303" s="249">
        <f t="shared" si="168"/>
        <v>10.360944582855828</v>
      </c>
      <c r="T303" s="249">
        <f t="shared" si="168"/>
        <v>10.368935373998122</v>
      </c>
      <c r="U303" s="249">
        <f t="shared" si="168"/>
        <v>10.374491529355531</v>
      </c>
      <c r="V303" s="249">
        <f t="shared" si="168"/>
        <v>10.377592983340389</v>
      </c>
      <c r="W303" s="249">
        <f t="shared" si="168"/>
        <v>10.378220950285483</v>
      </c>
      <c r="X303" s="249">
        <f t="shared" si="168"/>
        <v>10.376472241973175</v>
      </c>
      <c r="Y303" s="249">
        <f t="shared" si="168"/>
        <v>10.372330748256489</v>
      </c>
      <c r="Z303" s="249">
        <f t="shared" si="168"/>
        <v>10.367219155450407</v>
      </c>
      <c r="AA303" s="249">
        <f t="shared" si="168"/>
        <v>10.359683421518184</v>
      </c>
      <c r="AB303" s="249">
        <f t="shared" si="168"/>
        <v>10.349710089611031</v>
      </c>
      <c r="AC303" s="249">
        <f t="shared" si="168"/>
        <v>10.337384695309289</v>
      </c>
      <c r="AD303" s="249">
        <f t="shared" si="168"/>
        <v>10.322696036441529</v>
      </c>
      <c r="AE303" s="249">
        <f t="shared" si="168"/>
        <v>10.305634077840356</v>
      </c>
      <c r="AF303" s="249">
        <f t="shared" si="168"/>
        <v>10.286189971076846</v>
      </c>
      <c r="AG303" s="249">
        <f t="shared" si="168"/>
        <v>10.26435607355816</v>
      </c>
      <c r="AI303" s="316"/>
      <c r="AJ303" s="211" t="s">
        <v>1363</v>
      </c>
    </row>
    <row r="304" spans="1:36" s="1" customFormat="1" outlineLevel="1">
      <c r="A304" t="s">
        <v>1376</v>
      </c>
      <c r="B304" s="302" t="s">
        <v>704</v>
      </c>
      <c r="C304" s="249">
        <f>C270*(C302+C300)</f>
        <v>1.2136506920467565</v>
      </c>
      <c r="D304" s="249">
        <f t="shared" ref="D304:AG304" si="169">D270*(D302+D300)</f>
        <v>1.3120510007655015</v>
      </c>
      <c r="E304" s="249">
        <f t="shared" si="169"/>
        <v>1.4123041105270504</v>
      </c>
      <c r="F304" s="249">
        <f t="shared" si="169"/>
        <v>1.5138453458757557</v>
      </c>
      <c r="G304" s="249">
        <f t="shared" si="169"/>
        <v>1.6160688039362368</v>
      </c>
      <c r="H304" s="249">
        <f t="shared" si="169"/>
        <v>1.7183330526392706</v>
      </c>
      <c r="I304" s="249">
        <f t="shared" si="169"/>
        <v>1.8238941141473612</v>
      </c>
      <c r="J304" s="249">
        <f t="shared" si="169"/>
        <v>1.932731172917852</v>
      </c>
      <c r="K304" s="249">
        <f t="shared" si="169"/>
        <v>2.0448159802398793</v>
      </c>
      <c r="L304" s="249">
        <f t="shared" si="169"/>
        <v>2.160112661711842</v>
      </c>
      <c r="M304" s="249">
        <f t="shared" si="169"/>
        <v>2.2785775419267487</v>
      </c>
      <c r="N304" s="249">
        <f t="shared" si="169"/>
        <v>2.3967248625555153</v>
      </c>
      <c r="O304" s="249">
        <f t="shared" si="169"/>
        <v>2.5139670275336741</v>
      </c>
      <c r="P304" s="249">
        <f t="shared" si="169"/>
        <v>2.6299436731400201</v>
      </c>
      <c r="Q304" s="249">
        <f t="shared" si="169"/>
        <v>2.7438175167156422</v>
      </c>
      <c r="R304" s="249">
        <f t="shared" si="169"/>
        <v>2.8549669581789927</v>
      </c>
      <c r="S304" s="249">
        <f t="shared" si="169"/>
        <v>2.9681076983691908</v>
      </c>
      <c r="T304" s="249">
        <f t="shared" si="169"/>
        <v>3.083225670309591</v>
      </c>
      <c r="U304" s="249">
        <f t="shared" si="169"/>
        <v>3.2003051043816257</v>
      </c>
      <c r="V304" s="249">
        <f t="shared" si="169"/>
        <v>3.3193285039708575</v>
      </c>
      <c r="W304" s="249">
        <f t="shared" si="169"/>
        <v>3.4402766222298071</v>
      </c>
      <c r="X304" s="249">
        <f t="shared" si="169"/>
        <v>3.563167685768776</v>
      </c>
      <c r="Y304" s="249">
        <f t="shared" si="169"/>
        <v>3.6879830666752573</v>
      </c>
      <c r="Z304" s="249">
        <f t="shared" si="169"/>
        <v>3.815231506235405</v>
      </c>
      <c r="AA304" s="249">
        <f t="shared" si="169"/>
        <v>3.9443975159064024</v>
      </c>
      <c r="AB304" s="249">
        <f t="shared" si="169"/>
        <v>4.0754581296640975</v>
      </c>
      <c r="AC304" s="249">
        <f t="shared" si="169"/>
        <v>4.2084284152576847</v>
      </c>
      <c r="AD304" s="249">
        <f t="shared" si="169"/>
        <v>4.3432857594270642</v>
      </c>
      <c r="AE304" s="249">
        <f t="shared" si="169"/>
        <v>4.48000587061399</v>
      </c>
      <c r="AF304" s="249">
        <f t="shared" si="169"/>
        <v>4.6185627602499366</v>
      </c>
      <c r="AG304" s="249">
        <f t="shared" si="169"/>
        <v>4.7589287250133285</v>
      </c>
      <c r="AH304" s="249"/>
      <c r="AI304" s="316"/>
      <c r="AJ304" s="211" t="s">
        <v>1363</v>
      </c>
    </row>
    <row r="305" spans="1:36" s="1" customFormat="1" outlineLevel="1">
      <c r="A305" t="s">
        <v>1377</v>
      </c>
      <c r="B305" s="302" t="s">
        <v>704</v>
      </c>
      <c r="C305" s="249">
        <f>C271*(C302+C300)</f>
        <v>0.30341267301168912</v>
      </c>
      <c r="D305" s="249">
        <f t="shared" ref="D305:AG305" si="170">D271*(D302+D300)</f>
        <v>0.32120750641147133</v>
      </c>
      <c r="E305" s="249">
        <f t="shared" si="170"/>
        <v>0.33848610913458238</v>
      </c>
      <c r="F305" s="249">
        <f t="shared" si="170"/>
        <v>0.35509952557579466</v>
      </c>
      <c r="G305" s="249">
        <f t="shared" si="170"/>
        <v>0.37090103696897248</v>
      </c>
      <c r="H305" s="249">
        <f t="shared" si="170"/>
        <v>0.38574823630677518</v>
      </c>
      <c r="I305" s="249">
        <f t="shared" si="170"/>
        <v>0.40036700066649411</v>
      </c>
      <c r="J305" s="249">
        <f t="shared" si="170"/>
        <v>0.41471559580828427</v>
      </c>
      <c r="K305" s="249">
        <f t="shared" si="170"/>
        <v>0.42875173779223297</v>
      </c>
      <c r="L305" s="249">
        <f t="shared" si="170"/>
        <v>0.44243271384459448</v>
      </c>
      <c r="M305" s="249">
        <f t="shared" si="170"/>
        <v>0.45571550838535013</v>
      </c>
      <c r="N305" s="249">
        <f t="shared" si="170"/>
        <v>0.4678865269530692</v>
      </c>
      <c r="O305" s="249">
        <f t="shared" si="170"/>
        <v>0.47885086238736696</v>
      </c>
      <c r="P305" s="249">
        <f t="shared" si="170"/>
        <v>0.48856661121573547</v>
      </c>
      <c r="Q305" s="249">
        <f t="shared" si="170"/>
        <v>0.49691183373590431</v>
      </c>
      <c r="R305" s="249">
        <f t="shared" si="170"/>
        <v>0.50381769850217584</v>
      </c>
      <c r="S305" s="249">
        <f t="shared" si="170"/>
        <v>0.51014351065720531</v>
      </c>
      <c r="T305" s="249">
        <f t="shared" si="170"/>
        <v>0.51587044289226702</v>
      </c>
      <c r="U305" s="249">
        <f t="shared" si="170"/>
        <v>0.5209799007132887</v>
      </c>
      <c r="V305" s="249">
        <f t="shared" si="170"/>
        <v>0.52545354696063862</v>
      </c>
      <c r="W305" s="249">
        <f t="shared" si="170"/>
        <v>0.52927332649689429</v>
      </c>
      <c r="X305" s="249">
        <f t="shared" si="170"/>
        <v>0.5324273553447606</v>
      </c>
      <c r="Y305" s="249">
        <f t="shared" si="170"/>
        <v>0.53489830738038191</v>
      </c>
      <c r="Z305" s="249">
        <f t="shared" si="170"/>
        <v>0.53674359593425958</v>
      </c>
      <c r="AA305" s="249">
        <f t="shared" si="170"/>
        <v>0.53787238853269237</v>
      </c>
      <c r="AB305" s="249">
        <f t="shared" si="170"/>
        <v>0.53826805486129714</v>
      </c>
      <c r="AC305" s="249">
        <f t="shared" si="170"/>
        <v>0.53791942149910388</v>
      </c>
      <c r="AD305" s="249">
        <f t="shared" si="170"/>
        <v>0.53681059947975085</v>
      </c>
      <c r="AE305" s="249">
        <f t="shared" si="170"/>
        <v>0.5349260741031644</v>
      </c>
      <c r="AF305" s="249">
        <f t="shared" si="170"/>
        <v>0.5322507270176523</v>
      </c>
      <c r="AG305" s="249">
        <f t="shared" si="170"/>
        <v>0.52876985833481427</v>
      </c>
      <c r="AI305" s="316"/>
      <c r="AJ305" s="211" t="s">
        <v>1363</v>
      </c>
    </row>
    <row r="306" spans="1:36" s="1" customFormat="1" outlineLevel="1">
      <c r="A306" t="s">
        <v>1378</v>
      </c>
      <c r="B306" s="302" t="s">
        <v>704</v>
      </c>
      <c r="C306" s="249">
        <f>C299*C272</f>
        <v>0.50568778835281525</v>
      </c>
      <c r="D306" s="249">
        <f t="shared" ref="D306:AG306" si="171">D299*D272</f>
        <v>0.5768300315393815</v>
      </c>
      <c r="E306" s="249">
        <f t="shared" si="171"/>
        <v>0.65082130331509791</v>
      </c>
      <c r="F306" s="249">
        <f t="shared" si="171"/>
        <v>0.72728171468250413</v>
      </c>
      <c r="G306" s="249">
        <f t="shared" si="171"/>
        <v>0.80578739326786797</v>
      </c>
      <c r="H306" s="249">
        <f t="shared" si="171"/>
        <v>0.88587404627582167</v>
      </c>
      <c r="I306" s="249">
        <f t="shared" si="171"/>
        <v>0.96912764576996002</v>
      </c>
      <c r="J306" s="249">
        <f t="shared" si="171"/>
        <v>1.0555578483523866</v>
      </c>
      <c r="K306" s="249">
        <f t="shared" si="171"/>
        <v>1.1451685674990051</v>
      </c>
      <c r="L306" s="249">
        <f t="shared" si="171"/>
        <v>1.2379577677200437</v>
      </c>
      <c r="M306" s="249">
        <f t="shared" si="171"/>
        <v>1.333917269336286</v>
      </c>
      <c r="N306" s="249">
        <f t="shared" si="171"/>
        <v>1.4309821952864343</v>
      </c>
      <c r="O306" s="249">
        <f t="shared" si="171"/>
        <v>1.5286969772819341</v>
      </c>
      <c r="P306" s="249">
        <f t="shared" si="171"/>
        <v>1.6267345187156468</v>
      </c>
      <c r="Q306" s="249">
        <f t="shared" si="171"/>
        <v>1.7244663163715661</v>
      </c>
      <c r="R306" s="249">
        <f t="shared" si="171"/>
        <v>1.8213817671798789</v>
      </c>
      <c r="S306" s="249">
        <f t="shared" si="171"/>
        <v>1.9204137670129915</v>
      </c>
      <c r="T306" s="249">
        <f t="shared" si="171"/>
        <v>2.0215697825231986</v>
      </c>
      <c r="U306" s="249">
        <f t="shared" si="171"/>
        <v>2.1248563603792525</v>
      </c>
      <c r="V306" s="249">
        <f t="shared" si="171"/>
        <v>2.2302791072261932</v>
      </c>
      <c r="W306" s="249">
        <f t="shared" si="171"/>
        <v>2.3378426700155166</v>
      </c>
      <c r="X306" s="249">
        <f t="shared" si="171"/>
        <v>2.4475776750602649</v>
      </c>
      <c r="Y306" s="249">
        <f t="shared" si="171"/>
        <v>2.5594905321794372</v>
      </c>
      <c r="Z306" s="249">
        <f t="shared" si="171"/>
        <v>2.6739575771717252</v>
      </c>
      <c r="AA306" s="249">
        <f t="shared" si="171"/>
        <v>2.7906448627095122</v>
      </c>
      <c r="AB306" s="249">
        <f t="shared" si="171"/>
        <v>2.909557053304308</v>
      </c>
      <c r="AC306" s="249">
        <f t="shared" si="171"/>
        <v>3.0307265511990362</v>
      </c>
      <c r="AD306" s="249">
        <f t="shared" si="171"/>
        <v>3.1541597130422749</v>
      </c>
      <c r="AE306" s="249">
        <f t="shared" si="171"/>
        <v>3.2798620807633232</v>
      </c>
      <c r="AF306" s="249">
        <f t="shared" si="171"/>
        <v>3.4078383659408598</v>
      </c>
      <c r="AG306" s="249">
        <f t="shared" si="171"/>
        <v>3.5380924344461837</v>
      </c>
      <c r="AI306" s="316"/>
      <c r="AJ306" s="211" t="s">
        <v>1363</v>
      </c>
    </row>
    <row r="307" spans="1:36" s="1" customFormat="1" outlineLevel="1">
      <c r="A307" t="s">
        <v>1389</v>
      </c>
      <c r="B307" s="302" t="s">
        <v>704</v>
      </c>
      <c r="C307" s="249">
        <f>C299*C273</f>
        <v>2.661514675541133E-2</v>
      </c>
      <c r="D307" s="249">
        <f t="shared" ref="D307:AG307" si="172">D299*D273</f>
        <v>3.1212868888638355E-2</v>
      </c>
      <c r="E307" s="249">
        <f t="shared" si="172"/>
        <v>3.6182183646652169E-2</v>
      </c>
      <c r="F307" s="249">
        <f t="shared" si="172"/>
        <v>4.1515023882510799E-2</v>
      </c>
      <c r="G307" s="249">
        <f t="shared" si="172"/>
        <v>4.719855585125831E-2</v>
      </c>
      <c r="H307" s="249">
        <f t="shared" si="172"/>
        <v>5.3215048716215428E-2</v>
      </c>
      <c r="I307" s="249">
        <f t="shared" si="172"/>
        <v>5.9670279675857398E-2</v>
      </c>
      <c r="J307" s="249">
        <f t="shared" si="172"/>
        <v>6.6580190292957045E-2</v>
      </c>
      <c r="K307" s="249">
        <f t="shared" si="172"/>
        <v>7.3960496552455235E-2</v>
      </c>
      <c r="L307" s="249">
        <f t="shared" si="172"/>
        <v>8.1826632834373858E-2</v>
      </c>
      <c r="M307" s="249">
        <f t="shared" si="172"/>
        <v>9.0193694367933896E-2</v>
      </c>
      <c r="N307" s="249">
        <f t="shared" si="172"/>
        <v>9.8934620771763418E-2</v>
      </c>
      <c r="O307" s="249">
        <f t="shared" si="172"/>
        <v>0.10802355513983686</v>
      </c>
      <c r="P307" s="249">
        <f t="shared" si="172"/>
        <v>0.11744116253772714</v>
      </c>
      <c r="Q307" s="249">
        <f t="shared" si="172"/>
        <v>0.12714390163655781</v>
      </c>
      <c r="R307" s="249">
        <f t="shared" si="172"/>
        <v>0.13709325129310915</v>
      </c>
      <c r="S307" s="249">
        <f t="shared" si="172"/>
        <v>0.14751204096941137</v>
      </c>
      <c r="T307" s="249">
        <f t="shared" si="172"/>
        <v>0.15841201027679988</v>
      </c>
      <c r="U307" s="249">
        <f t="shared" si="172"/>
        <v>0.16980493592663573</v>
      </c>
      <c r="V307" s="249">
        <f t="shared" si="172"/>
        <v>0.18170262373219884</v>
      </c>
      <c r="W307" s="249">
        <f t="shared" si="172"/>
        <v>0.19411690039840029</v>
      </c>
      <c r="X307" s="249">
        <f t="shared" si="172"/>
        <v>0.20706188574262546</v>
      </c>
      <c r="Y307" s="249">
        <f t="shared" si="172"/>
        <v>0.22054987207049459</v>
      </c>
      <c r="Z307" s="249">
        <f t="shared" si="172"/>
        <v>0.23462571924421952</v>
      </c>
      <c r="AA307" s="249">
        <f t="shared" si="172"/>
        <v>0.24927328839017432</v>
      </c>
      <c r="AB307" s="249">
        <f t="shared" si="172"/>
        <v>0.264505186664028</v>
      </c>
      <c r="AC307" s="249">
        <f t="shared" si="172"/>
        <v>0.28033668754717961</v>
      </c>
      <c r="AD307" s="249">
        <f t="shared" si="172"/>
        <v>0.29678089203680047</v>
      </c>
      <c r="AE307" s="249">
        <f t="shared" si="172"/>
        <v>0.31385093687362697</v>
      </c>
      <c r="AF307" s="249">
        <f t="shared" si="172"/>
        <v>0.33155998732270259</v>
      </c>
      <c r="AG307" s="249">
        <f t="shared" si="172"/>
        <v>0.34992122978039175</v>
      </c>
      <c r="AI307" s="316"/>
      <c r="AJ307" s="211" t="s">
        <v>1363</v>
      </c>
    </row>
    <row r="308" spans="1:36" s="1" customFormat="1" outlineLevel="1">
      <c r="A308" t="s">
        <v>1380</v>
      </c>
      <c r="B308" s="302" t="s">
        <v>704</v>
      </c>
      <c r="C308" s="249">
        <f t="shared" ref="C308:AG308" si="173">C304*C274</f>
        <v>0.32768568685262428</v>
      </c>
      <c r="D308" s="249">
        <f t="shared" si="173"/>
        <v>0.34900556620362344</v>
      </c>
      <c r="E308" s="249">
        <f t="shared" si="173"/>
        <v>0.37002367695808724</v>
      </c>
      <c r="F308" s="249">
        <f t="shared" si="173"/>
        <v>0.39057209923594499</v>
      </c>
      <c r="G308" s="249">
        <f t="shared" si="173"/>
        <v>0.41048147619980413</v>
      </c>
      <c r="H308" s="249">
        <f t="shared" si="173"/>
        <v>0.42958326315981765</v>
      </c>
      <c r="I308" s="249">
        <f t="shared" si="173"/>
        <v>0.44867795208025085</v>
      </c>
      <c r="J308" s="249">
        <f t="shared" si="173"/>
        <v>0.46772094384612017</v>
      </c>
      <c r="K308" s="249">
        <f t="shared" si="173"/>
        <v>0.48666620329709126</v>
      </c>
      <c r="L308" s="249">
        <f t="shared" si="173"/>
        <v>0.505466362840571</v>
      </c>
      <c r="M308" s="249">
        <f t="shared" si="173"/>
        <v>0.52407283464315213</v>
      </c>
      <c r="N308" s="249">
        <f t="shared" si="173"/>
        <v>0.54165981893754644</v>
      </c>
      <c r="O308" s="249">
        <f t="shared" si="173"/>
        <v>0.5581006801124756</v>
      </c>
      <c r="P308" s="249">
        <f t="shared" si="173"/>
        <v>0.57332772074452432</v>
      </c>
      <c r="Q308" s="249">
        <f t="shared" si="173"/>
        <v>0.58717694857714731</v>
      </c>
      <c r="R308" s="249">
        <f t="shared" si="173"/>
        <v>0.59954306121758838</v>
      </c>
      <c r="S308" s="249">
        <f t="shared" si="173"/>
        <v>0.61143018586405318</v>
      </c>
      <c r="T308" s="249">
        <f t="shared" si="173"/>
        <v>0.62281158540253723</v>
      </c>
      <c r="U308" s="249">
        <f t="shared" si="173"/>
        <v>0.63366041066756174</v>
      </c>
      <c r="V308" s="249">
        <f t="shared" si="173"/>
        <v>0.64394972977034615</v>
      </c>
      <c r="W308" s="249">
        <f t="shared" si="173"/>
        <v>0.65365255822366319</v>
      </c>
      <c r="X308" s="249">
        <f t="shared" si="173"/>
        <v>0.66274918955299211</v>
      </c>
      <c r="Y308" s="249">
        <f t="shared" si="173"/>
        <v>0.67121291813489659</v>
      </c>
      <c r="Z308" s="249">
        <f t="shared" si="173"/>
        <v>0.67911120810990189</v>
      </c>
      <c r="AA308" s="249">
        <f t="shared" si="173"/>
        <v>0.6863251677677138</v>
      </c>
      <c r="AB308" s="249">
        <f t="shared" si="173"/>
        <v>0.69282788204289625</v>
      </c>
      <c r="AC308" s="249">
        <f t="shared" si="173"/>
        <v>0.69859911693277532</v>
      </c>
      <c r="AD308" s="249">
        <f t="shared" si="173"/>
        <v>0.70361229302718409</v>
      </c>
      <c r="AE308" s="249">
        <f t="shared" si="173"/>
        <v>0.70784092755701011</v>
      </c>
      <c r="AF308" s="249">
        <f t="shared" si="173"/>
        <v>0.71125866507848989</v>
      </c>
      <c r="AG308" s="249">
        <f t="shared" si="173"/>
        <v>0.7138393087519993</v>
      </c>
      <c r="AI308" s="316"/>
      <c r="AJ308" s="211"/>
    </row>
    <row r="309" spans="1:36" s="67" customFormat="1">
      <c r="A309" s="345" t="s">
        <v>1381</v>
      </c>
      <c r="B309" s="308" t="s">
        <v>704</v>
      </c>
      <c r="C309" s="309">
        <f>C275*C$294</f>
        <v>1.8374362191430471</v>
      </c>
      <c r="D309" s="309">
        <f t="shared" ref="D309:AG314" si="174">D275*D$294</f>
        <v>1.9533912264071314</v>
      </c>
      <c r="E309" s="309">
        <f t="shared" si="174"/>
        <v>2.069061974889554</v>
      </c>
      <c r="F309" s="309">
        <f t="shared" si="174"/>
        <v>2.1837033768941456</v>
      </c>
      <c r="G309" s="309">
        <f t="shared" si="174"/>
        <v>2.2965492340883871</v>
      </c>
      <c r="H309" s="309">
        <f t="shared" si="174"/>
        <v>2.4068206916586141</v>
      </c>
      <c r="I309" s="309">
        <f t="shared" si="174"/>
        <v>2.5191584327423748</v>
      </c>
      <c r="J309" s="309">
        <f t="shared" si="174"/>
        <v>2.6334809520781937</v>
      </c>
      <c r="K309" s="309">
        <f t="shared" si="174"/>
        <v>2.749700965480653</v>
      </c>
      <c r="L309" s="309">
        <f t="shared" si="174"/>
        <v>2.8677254596169197</v>
      </c>
      <c r="M309" s="309">
        <f t="shared" si="174"/>
        <v>2.9874557590862332</v>
      </c>
      <c r="N309" s="309">
        <f t="shared" si="174"/>
        <v>3.0871668389540901</v>
      </c>
      <c r="O309" s="309">
        <f t="shared" si="174"/>
        <v>3.1820282398152524</v>
      </c>
      <c r="P309" s="309">
        <f t="shared" si="174"/>
        <v>3.2717997457639205</v>
      </c>
      <c r="Q309" s="309">
        <f t="shared" si="174"/>
        <v>3.355625427718588</v>
      </c>
      <c r="R309" s="309">
        <f t="shared" si="174"/>
        <v>3.4329897586458973</v>
      </c>
      <c r="S309" s="309">
        <f t="shared" si="174"/>
        <v>3.5097245104023558</v>
      </c>
      <c r="T309" s="309">
        <f t="shared" si="174"/>
        <v>3.5857791208978758</v>
      </c>
      <c r="U309" s="309">
        <f t="shared" si="174"/>
        <v>3.6611027394025468</v>
      </c>
      <c r="V309" s="309">
        <f t="shared" si="174"/>
        <v>3.7356442584560385</v>
      </c>
      <c r="W309" s="309">
        <f t="shared" si="174"/>
        <v>3.809352346399772</v>
      </c>
      <c r="X309" s="309">
        <f t="shared" si="174"/>
        <v>3.8518372941374874</v>
      </c>
      <c r="Y309" s="309">
        <f t="shared" si="174"/>
        <v>3.8916902160849558</v>
      </c>
      <c r="Z309" s="309">
        <f t="shared" si="174"/>
        <v>3.9293989907201903</v>
      </c>
      <c r="AA309" s="309">
        <f t="shared" si="174"/>
        <v>3.9643175885416309</v>
      </c>
      <c r="AB309" s="309">
        <f t="shared" si="174"/>
        <v>3.9963640798563502</v>
      </c>
      <c r="AC309" s="309">
        <f t="shared" si="174"/>
        <v>4.0254947463391106</v>
      </c>
      <c r="AD309" s="309">
        <f t="shared" si="174"/>
        <v>4.0516288089360568</v>
      </c>
      <c r="AE309" s="309">
        <f t="shared" si="174"/>
        <v>4.0746855730389644</v>
      </c>
      <c r="AF309" s="309">
        <f t="shared" si="174"/>
        <v>4.0945844739339625</v>
      </c>
      <c r="AG309" s="309">
        <f t="shared" si="174"/>
        <v>4.111245122796487</v>
      </c>
      <c r="AI309" s="337"/>
      <c r="AJ309" s="348"/>
    </row>
    <row r="310" spans="1:36">
      <c r="A310" s="346" t="s">
        <v>1382</v>
      </c>
      <c r="B310" s="302" t="s">
        <v>704</v>
      </c>
      <c r="C310" s="249">
        <f t="shared" ref="C310:R314" si="175">C276*C$294</f>
        <v>4.2490712567682962</v>
      </c>
      <c r="D310" s="249">
        <f t="shared" si="175"/>
        <v>4.3911919706531277</v>
      </c>
      <c r="E310" s="249">
        <f t="shared" si="175"/>
        <v>4.5260730700708987</v>
      </c>
      <c r="F310" s="249">
        <f t="shared" si="175"/>
        <v>4.6527770814505942</v>
      </c>
      <c r="G310" s="249">
        <f t="shared" si="175"/>
        <v>4.7704055781615393</v>
      </c>
      <c r="H310" s="249">
        <f t="shared" si="175"/>
        <v>4.8781097947009409</v>
      </c>
      <c r="I310" s="249">
        <f t="shared" si="175"/>
        <v>4.9858343981359496</v>
      </c>
      <c r="J310" s="249">
        <f t="shared" si="175"/>
        <v>5.0934724495431274</v>
      </c>
      <c r="K310" s="249">
        <f t="shared" si="175"/>
        <v>5.2009146551032082</v>
      </c>
      <c r="L310" s="249">
        <f t="shared" si="175"/>
        <v>5.3080495286178548</v>
      </c>
      <c r="M310" s="249">
        <f t="shared" si="175"/>
        <v>5.4147635633437963</v>
      </c>
      <c r="N310" s="249">
        <f t="shared" si="175"/>
        <v>5.4825447673498688</v>
      </c>
      <c r="O310" s="249">
        <f t="shared" si="175"/>
        <v>5.5401384532497682</v>
      </c>
      <c r="P310" s="249">
        <f t="shared" si="175"/>
        <v>5.5877393913846003</v>
      </c>
      <c r="Q310" s="249">
        <f t="shared" si="175"/>
        <v>5.6244858021419493</v>
      </c>
      <c r="R310" s="249">
        <f t="shared" si="175"/>
        <v>5.6501289777713701</v>
      </c>
      <c r="S310" s="249">
        <f t="shared" si="174"/>
        <v>5.6746904448081548</v>
      </c>
      <c r="T310" s="249">
        <f t="shared" si="174"/>
        <v>5.6981463423842547</v>
      </c>
      <c r="U310" s="249">
        <f t="shared" si="174"/>
        <v>5.7204730303164766</v>
      </c>
      <c r="V310" s="249">
        <f t="shared" si="174"/>
        <v>5.7416471064279637</v>
      </c>
      <c r="W310" s="249">
        <f t="shared" si="174"/>
        <v>5.7616454239296502</v>
      </c>
      <c r="X310" s="249">
        <f t="shared" si="174"/>
        <v>5.7352724416385321</v>
      </c>
      <c r="Y310" s="249">
        <f t="shared" si="174"/>
        <v>5.7065649803168768</v>
      </c>
      <c r="Z310" s="249">
        <f t="shared" si="174"/>
        <v>5.6763134005097022</v>
      </c>
      <c r="AA310" s="249">
        <f t="shared" si="174"/>
        <v>5.6436465670210643</v>
      </c>
      <c r="AB310" s="249">
        <f t="shared" si="174"/>
        <v>5.608533680252938</v>
      </c>
      <c r="AC310" s="249">
        <f t="shared" si="174"/>
        <v>5.5709971935942963</v>
      </c>
      <c r="AD310" s="249">
        <f t="shared" si="174"/>
        <v>5.5310064332515161</v>
      </c>
      <c r="AE310" s="249">
        <f t="shared" si="174"/>
        <v>5.4885312136839408</v>
      </c>
      <c r="AF310" s="249">
        <f t="shared" si="174"/>
        <v>5.4435418588846547</v>
      </c>
      <c r="AG310" s="249">
        <f t="shared" si="174"/>
        <v>5.3960092236703892</v>
      </c>
      <c r="AI310" s="296"/>
    </row>
    <row r="311" spans="1:36">
      <c r="A311" s="346" t="s">
        <v>1383</v>
      </c>
      <c r="B311" s="302" t="s">
        <v>704</v>
      </c>
      <c r="C311" s="249">
        <f t="shared" si="175"/>
        <v>0.91871810957152356</v>
      </c>
      <c r="D311" s="249">
        <f t="shared" si="174"/>
        <v>0.91762128175980151</v>
      </c>
      <c r="E311" s="249">
        <f t="shared" si="174"/>
        <v>0.91329688735359205</v>
      </c>
      <c r="F311" s="249">
        <f t="shared" si="174"/>
        <v>0.90574060518904886</v>
      </c>
      <c r="G311" s="249">
        <f t="shared" si="174"/>
        <v>0.894978745637386</v>
      </c>
      <c r="H311" s="249">
        <f t="shared" si="174"/>
        <v>0.8810682889107424</v>
      </c>
      <c r="I311" s="249">
        <f t="shared" si="174"/>
        <v>0.86596071125519092</v>
      </c>
      <c r="J311" s="249">
        <f t="shared" si="174"/>
        <v>0.84965348284955189</v>
      </c>
      <c r="K311" s="249">
        <f t="shared" si="174"/>
        <v>0.83214634481651295</v>
      </c>
      <c r="L311" s="249">
        <f t="shared" si="174"/>
        <v>0.813441356333645</v>
      </c>
      <c r="M311" s="249">
        <f t="shared" si="174"/>
        <v>0.79354293600728021</v>
      </c>
      <c r="N311" s="249">
        <f t="shared" si="174"/>
        <v>0.76708566272792134</v>
      </c>
      <c r="O311" s="249">
        <f t="shared" si="174"/>
        <v>0.73868512709996881</v>
      </c>
      <c r="P311" s="249">
        <f t="shared" si="174"/>
        <v>0.70857291005642997</v>
      </c>
      <c r="Q311" s="249">
        <f t="shared" si="174"/>
        <v>0.67684490161369193</v>
      </c>
      <c r="R311" s="249">
        <f t="shared" si="174"/>
        <v>0.6436855797461053</v>
      </c>
      <c r="S311" s="249">
        <f t="shared" si="174"/>
        <v>0.61038687137432235</v>
      </c>
      <c r="T311" s="249">
        <f t="shared" si="174"/>
        <v>0.57696711918702481</v>
      </c>
      <c r="U311" s="249">
        <f t="shared" si="174"/>
        <v>0.54344493788006509</v>
      </c>
      <c r="V311" s="249">
        <f t="shared" si="174"/>
        <v>0.50983920364132107</v>
      </c>
      <c r="W311" s="249">
        <f t="shared" si="174"/>
        <v>0.47616904329997095</v>
      </c>
      <c r="X311" s="249">
        <f t="shared" si="174"/>
        <v>0.43899616219949239</v>
      </c>
      <c r="Y311" s="249">
        <f t="shared" si="174"/>
        <v>0.40226605598955012</v>
      </c>
      <c r="Z311" s="249">
        <f t="shared" si="174"/>
        <v>0.36606429276756425</v>
      </c>
      <c r="AA311" s="249">
        <f t="shared" si="174"/>
        <v>0.33035979904513524</v>
      </c>
      <c r="AB311" s="249">
        <f t="shared" si="174"/>
        <v>0.29518598317120703</v>
      </c>
      <c r="AC311" s="249">
        <f t="shared" si="174"/>
        <v>0.26057890099070069</v>
      </c>
      <c r="AD311" s="249">
        <f t="shared" si="174"/>
        <v>0.22657134786813413</v>
      </c>
      <c r="AE311" s="249">
        <f t="shared" si="174"/>
        <v>0.1931962987216744</v>
      </c>
      <c r="AF311" s="249">
        <f t="shared" si="174"/>
        <v>0.16048689145715683</v>
      </c>
      <c r="AG311" s="249">
        <f t="shared" si="174"/>
        <v>0.12847641008739022</v>
      </c>
      <c r="AI311" s="296"/>
    </row>
    <row r="312" spans="1:36">
      <c r="A312" s="346" t="s">
        <v>1384</v>
      </c>
      <c r="B312" s="302" t="s">
        <v>704</v>
      </c>
      <c r="C312" s="249">
        <f t="shared" si="175"/>
        <v>3.1006736198038918</v>
      </c>
      <c r="D312" s="249">
        <f t="shared" si="174"/>
        <v>3.1466927215711658</v>
      </c>
      <c r="E312" s="249">
        <f t="shared" si="174"/>
        <v>3.1844156957284548</v>
      </c>
      <c r="F312" s="249">
        <f t="shared" si="174"/>
        <v>3.2135180375885448</v>
      </c>
      <c r="G312" s="249">
        <f t="shared" si="174"/>
        <v>3.2337439582935761</v>
      </c>
      <c r="H312" s="249">
        <f t="shared" si="174"/>
        <v>3.2449100396468831</v>
      </c>
      <c r="I312" s="249">
        <f t="shared" si="174"/>
        <v>3.2539129756255689</v>
      </c>
      <c r="J312" s="249">
        <f t="shared" si="174"/>
        <v>3.2607120572184405</v>
      </c>
      <c r="K312" s="249">
        <f t="shared" si="174"/>
        <v>3.2652698965082769</v>
      </c>
      <c r="L312" s="249">
        <f t="shared" si="174"/>
        <v>3.2675525669673564</v>
      </c>
      <c r="M312" s="249">
        <f t="shared" si="174"/>
        <v>3.2675297365005687</v>
      </c>
      <c r="N312" s="249">
        <f t="shared" si="174"/>
        <v>3.2424663903039157</v>
      </c>
      <c r="O312" s="249">
        <f t="shared" si="174"/>
        <v>3.2104392062421749</v>
      </c>
      <c r="P312" s="249">
        <f t="shared" si="174"/>
        <v>3.171933765151941</v>
      </c>
      <c r="Q312" s="249">
        <f t="shared" si="174"/>
        <v>3.1268327849195936</v>
      </c>
      <c r="R312" s="249">
        <f t="shared" si="174"/>
        <v>3.0753866587869498</v>
      </c>
      <c r="S312" s="249">
        <f t="shared" si="174"/>
        <v>3.0233224722759426</v>
      </c>
      <c r="T312" s="249">
        <f t="shared" si="174"/>
        <v>2.9706654153183201</v>
      </c>
      <c r="U312" s="249">
        <f t="shared" si="174"/>
        <v>2.9174412454614043</v>
      </c>
      <c r="V312" s="249">
        <f t="shared" si="174"/>
        <v>2.8636762746582636</v>
      </c>
      <c r="W312" s="249">
        <f t="shared" si="174"/>
        <v>2.8093973554698306</v>
      </c>
      <c r="X312" s="249">
        <f t="shared" si="174"/>
        <v>2.7331051388549064</v>
      </c>
      <c r="Y312" s="249">
        <f t="shared" si="174"/>
        <v>2.6568269744426121</v>
      </c>
      <c r="Z312" s="249">
        <f t="shared" si="174"/>
        <v>2.5809849502725752</v>
      </c>
      <c r="AA312" s="249">
        <f t="shared" si="174"/>
        <v>2.5052284760922778</v>
      </c>
      <c r="AB312" s="249">
        <f t="shared" si="174"/>
        <v>2.4296077076399372</v>
      </c>
      <c r="AC312" s="249">
        <f t="shared" si="174"/>
        <v>2.3541955882608159</v>
      </c>
      <c r="AD312" s="249">
        <f t="shared" si="174"/>
        <v>2.2790412050265285</v>
      </c>
      <c r="AE312" s="249">
        <f t="shared" si="174"/>
        <v>2.2041941354154706</v>
      </c>
      <c r="AF312" s="249">
        <f t="shared" si="174"/>
        <v>2.129704424472004</v>
      </c>
      <c r="AG312" s="249">
        <f t="shared" si="174"/>
        <v>2.0556225613982435</v>
      </c>
      <c r="AI312" s="296"/>
    </row>
    <row r="313" spans="1:36">
      <c r="A313" s="346" t="s">
        <v>1385</v>
      </c>
      <c r="B313" s="302" t="s">
        <v>704</v>
      </c>
      <c r="C313" s="249">
        <f t="shared" si="175"/>
        <v>0.80387834587508311</v>
      </c>
      <c r="D313" s="249">
        <f t="shared" si="174"/>
        <v>0.82310235144977917</v>
      </c>
      <c r="E313" s="249">
        <f t="shared" si="174"/>
        <v>0.84055642729888125</v>
      </c>
      <c r="F313" s="249">
        <f t="shared" si="174"/>
        <v>0.85611098298690935</v>
      </c>
      <c r="G313" s="249">
        <f t="shared" si="174"/>
        <v>0.86964915849670532</v>
      </c>
      <c r="H313" s="249">
        <f t="shared" si="174"/>
        <v>0.88106828891074251</v>
      </c>
      <c r="I313" s="249">
        <f t="shared" si="174"/>
        <v>0.89220194492959093</v>
      </c>
      <c r="J313" s="249">
        <f t="shared" si="174"/>
        <v>0.90303485349978574</v>
      </c>
      <c r="K313" s="249">
        <f t="shared" si="174"/>
        <v>0.91355196550508511</v>
      </c>
      <c r="L313" s="249">
        <f t="shared" si="174"/>
        <v>0.92373848939583425</v>
      </c>
      <c r="M313" s="249">
        <f t="shared" si="174"/>
        <v>0.9335799247144474</v>
      </c>
      <c r="N313" s="249">
        <f t="shared" si="174"/>
        <v>0.93650335510954819</v>
      </c>
      <c r="O313" s="249">
        <f t="shared" si="174"/>
        <v>0.937561892088422</v>
      </c>
      <c r="P313" s="249">
        <f t="shared" si="174"/>
        <v>0.93683800859809874</v>
      </c>
      <c r="Q313" s="249">
        <f t="shared" si="174"/>
        <v>0.93423662476256075</v>
      </c>
      <c r="R313" s="249">
        <f t="shared" si="174"/>
        <v>0.92976805963326314</v>
      </c>
      <c r="S313" s="249">
        <f t="shared" si="174"/>
        <v>0.92511760192670722</v>
      </c>
      <c r="T313" s="249">
        <f t="shared" si="174"/>
        <v>0.92028639671979973</v>
      </c>
      <c r="U313" s="249">
        <f t="shared" si="174"/>
        <v>0.91527568485063582</v>
      </c>
      <c r="V313" s="249">
        <f t="shared" si="174"/>
        <v>0.91008680276161036</v>
      </c>
      <c r="W313" s="249">
        <f t="shared" si="174"/>
        <v>0.90472118226994458</v>
      </c>
      <c r="X313" s="249">
        <f t="shared" si="174"/>
        <v>0.89215349092154894</v>
      </c>
      <c r="Y313" s="249">
        <f t="shared" si="174"/>
        <v>0.8793723084422721</v>
      </c>
      <c r="Z313" s="249">
        <f t="shared" si="174"/>
        <v>0.86650661705739884</v>
      </c>
      <c r="AA313" s="249">
        <f t="shared" si="174"/>
        <v>0.85342948086659942</v>
      </c>
      <c r="AB313" s="249">
        <f t="shared" si="174"/>
        <v>0.84014472133343565</v>
      </c>
      <c r="AC313" s="249">
        <f t="shared" si="174"/>
        <v>0.82666409969463717</v>
      </c>
      <c r="AD313" s="249">
        <f t="shared" si="174"/>
        <v>0.81299130705624667</v>
      </c>
      <c r="AE313" s="249">
        <f t="shared" si="174"/>
        <v>0.79913014471238153</v>
      </c>
      <c r="AF313" s="249">
        <f t="shared" si="174"/>
        <v>0.78508452307420096</v>
      </c>
      <c r="AG313" s="249">
        <f t="shared" si="174"/>
        <v>0.77085846052434126</v>
      </c>
      <c r="AI313" s="296"/>
    </row>
    <row r="314" spans="1:36" s="68" customFormat="1">
      <c r="A314" s="347" t="s">
        <v>1386</v>
      </c>
      <c r="B314" s="312" t="s">
        <v>704</v>
      </c>
      <c r="C314" s="313">
        <f t="shared" si="175"/>
        <v>0.57419881848220222</v>
      </c>
      <c r="D314" s="313">
        <f t="shared" si="174"/>
        <v>0.58286673691180535</v>
      </c>
      <c r="E314" s="313">
        <f t="shared" si="174"/>
        <v>0.5900059537770993</v>
      </c>
      <c r="F314" s="313">
        <f t="shared" si="174"/>
        <v>0.59555546642567603</v>
      </c>
      <c r="G314" s="313">
        <f t="shared" si="174"/>
        <v>0.59946689566277744</v>
      </c>
      <c r="H314" s="313">
        <f t="shared" si="174"/>
        <v>0.60170517291465342</v>
      </c>
      <c r="I314" s="313">
        <f t="shared" si="174"/>
        <v>0.60354837451119381</v>
      </c>
      <c r="J314" s="313">
        <f t="shared" si="174"/>
        <v>0.60498886736931456</v>
      </c>
      <c r="K314" s="313">
        <f t="shared" si="174"/>
        <v>0.6060196206815911</v>
      </c>
      <c r="L314" s="313">
        <f t="shared" si="174"/>
        <v>0.60663423184204046</v>
      </c>
      <c r="M314" s="313">
        <f t="shared" si="174"/>
        <v>0.60682695106439088</v>
      </c>
      <c r="N314" s="313">
        <f t="shared" si="174"/>
        <v>0.60237401735689533</v>
      </c>
      <c r="O314" s="313">
        <f t="shared" si="174"/>
        <v>0.59663029496535946</v>
      </c>
      <c r="P314" s="313">
        <f t="shared" si="174"/>
        <v>0.58968483789931092</v>
      </c>
      <c r="Q314" s="313">
        <f t="shared" si="174"/>
        <v>0.58151463378077761</v>
      </c>
      <c r="R314" s="313">
        <f t="shared" si="174"/>
        <v>0.57216495977431581</v>
      </c>
      <c r="S314" s="313">
        <f t="shared" si="174"/>
        <v>0.56270039704820329</v>
      </c>
      <c r="T314" s="313">
        <f t="shared" si="174"/>
        <v>0.55312550269169303</v>
      </c>
      <c r="U314" s="313">
        <f t="shared" si="174"/>
        <v>0.54344493788006498</v>
      </c>
      <c r="V314" s="313">
        <f t="shared" si="174"/>
        <v>0.53366346549371912</v>
      </c>
      <c r="W314" s="313">
        <f t="shared" si="174"/>
        <v>0.52378594762996789</v>
      </c>
      <c r="X314" s="313">
        <f t="shared" si="174"/>
        <v>0.50980199481231359</v>
      </c>
      <c r="Y314" s="313">
        <f t="shared" si="174"/>
        <v>0.49581630156851508</v>
      </c>
      <c r="Z314" s="313">
        <f t="shared" si="174"/>
        <v>0.48190742339021103</v>
      </c>
      <c r="AA314" s="313">
        <f t="shared" si="174"/>
        <v>0.46800971531394142</v>
      </c>
      <c r="AB314" s="313">
        <f t="shared" si="174"/>
        <v>0.45413228180185689</v>
      </c>
      <c r="AC314" s="313">
        <f t="shared" si="174"/>
        <v>0.44028848788083907</v>
      </c>
      <c r="AD314" s="313">
        <f t="shared" si="174"/>
        <v>0.42648724304589952</v>
      </c>
      <c r="AE314" s="313">
        <f t="shared" si="174"/>
        <v>0.41273754726903178</v>
      </c>
      <c r="AF314" s="313">
        <f t="shared" si="174"/>
        <v>0.39904848686644429</v>
      </c>
      <c r="AG314" s="313">
        <f t="shared" si="174"/>
        <v>0.38542923026217063</v>
      </c>
      <c r="AI314" s="314"/>
      <c r="AJ314" s="315"/>
    </row>
    <row r="315" spans="1:36" s="181" customFormat="1">
      <c r="B315" s="176"/>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J315" s="323"/>
    </row>
    <row r="316" spans="1:36" s="181" customFormat="1">
      <c r="A316" s="181" t="s">
        <v>1588</v>
      </c>
      <c r="B316" s="350" t="s">
        <v>704</v>
      </c>
      <c r="C316" s="230">
        <f>C249</f>
        <v>1.1899030376946831</v>
      </c>
      <c r="D316" s="230">
        <f t="shared" ref="D316:AG316" si="176">D249</f>
        <v>1.28386056234628</v>
      </c>
      <c r="E316" s="230">
        <f t="shared" si="176"/>
        <v>1.3790170145008203</v>
      </c>
      <c r="F316" s="230">
        <f t="shared" si="176"/>
        <v>1.4748035243118611</v>
      </c>
      <c r="G316" s="230">
        <f t="shared" si="176"/>
        <v>1.5706194656931056</v>
      </c>
      <c r="H316" s="230">
        <f t="shared" si="176"/>
        <v>1.6658385758471388</v>
      </c>
      <c r="I316" s="230">
        <f t="shared" si="176"/>
        <v>1.7636124082546567</v>
      </c>
      <c r="J316" s="230">
        <f t="shared" si="176"/>
        <v>1.8639015587121597</v>
      </c>
      <c r="K316" s="230">
        <f t="shared" si="176"/>
        <v>1.9666608746806569</v>
      </c>
      <c r="L316" s="230">
        <f t="shared" si="176"/>
        <v>2.0718393880676893</v>
      </c>
      <c r="M316" s="230">
        <f t="shared" si="176"/>
        <v>2.179380262285767</v>
      </c>
      <c r="N316" s="230">
        <f t="shared" si="176"/>
        <v>2.3644792661744471</v>
      </c>
      <c r="O316" s="230">
        <f t="shared" si="176"/>
        <v>2.55045999315012</v>
      </c>
      <c r="P316" s="230">
        <f t="shared" si="176"/>
        <v>2.7365087563667112</v>
      </c>
      <c r="Q316" s="230">
        <f t="shared" si="176"/>
        <v>2.9215370014776605</v>
      </c>
      <c r="R316" s="230">
        <f t="shared" si="176"/>
        <v>3.1045428365130796</v>
      </c>
      <c r="S316" s="230">
        <f t="shared" si="176"/>
        <v>3.290431153341983</v>
      </c>
      <c r="T316" s="230">
        <f t="shared" si="176"/>
        <v>3.4791856975146485</v>
      </c>
      <c r="U316" s="230">
        <f t="shared" si="176"/>
        <v>3.6707887298626654</v>
      </c>
      <c r="V316" s="230">
        <f t="shared" si="176"/>
        <v>3.8652210165417191</v>
      </c>
      <c r="W316" s="230">
        <f t="shared" si="176"/>
        <v>4.062461819942258</v>
      </c>
      <c r="X316" s="230">
        <f t="shared" si="176"/>
        <v>4.3742304946322399</v>
      </c>
      <c r="Y316" s="230">
        <f t="shared" si="176"/>
        <v>4.6907956271229354</v>
      </c>
      <c r="Z316" s="230">
        <f t="shared" si="176"/>
        <v>5.0127487394840688</v>
      </c>
      <c r="AA316" s="230">
        <f t="shared" si="176"/>
        <v>5.3395719169836084</v>
      </c>
      <c r="AB316" s="230">
        <f t="shared" si="176"/>
        <v>5.6712427311620814</v>
      </c>
      <c r="AC316" s="230">
        <f t="shared" si="176"/>
        <v>6.0077934523203957</v>
      </c>
      <c r="AD316" s="230">
        <f t="shared" si="176"/>
        <v>6.3492071995702526</v>
      </c>
      <c r="AE316" s="230">
        <f t="shared" si="176"/>
        <v>6.6954652554300012</v>
      </c>
      <c r="AF316" s="230">
        <f t="shared" si="176"/>
        <v>7.0465470521985756</v>
      </c>
      <c r="AG316" s="230">
        <f t="shared" si="176"/>
        <v>7.4024301591077277</v>
      </c>
      <c r="AI316" s="763" t="s">
        <v>1391</v>
      </c>
      <c r="AJ316" s="323"/>
    </row>
    <row r="317" spans="1:36" s="181" customFormat="1">
      <c r="A317" s="181" t="s">
        <v>1589</v>
      </c>
      <c r="B317" s="349" t="s">
        <v>704</v>
      </c>
      <c r="C317" s="249">
        <f>C316/(1-C274)</f>
        <v>1.6300041612255933</v>
      </c>
      <c r="D317" s="249">
        <f t="shared" ref="D317:AG317" si="177">D316/(1-D274)</f>
        <v>1.7491288315344415</v>
      </c>
      <c r="E317" s="249">
        <f t="shared" si="177"/>
        <v>1.8685867405160166</v>
      </c>
      <c r="F317" s="249">
        <f t="shared" si="177"/>
        <v>1.9876058279135596</v>
      </c>
      <c r="G317" s="249">
        <f t="shared" si="177"/>
        <v>2.1053880237172997</v>
      </c>
      <c r="H317" s="249">
        <f t="shared" si="177"/>
        <v>2.2211181011295182</v>
      </c>
      <c r="I317" s="249">
        <f t="shared" si="177"/>
        <v>2.3390084990114812</v>
      </c>
      <c r="J317" s="249">
        <f t="shared" si="177"/>
        <v>2.4589730326017936</v>
      </c>
      <c r="K317" s="249">
        <f t="shared" si="177"/>
        <v>2.5809197830454815</v>
      </c>
      <c r="L317" s="249">
        <f t="shared" si="177"/>
        <v>2.7047511593572966</v>
      </c>
      <c r="M317" s="249">
        <f t="shared" si="177"/>
        <v>2.8303639769945024</v>
      </c>
      <c r="N317" s="249">
        <f t="shared" si="177"/>
        <v>3.054882772835203</v>
      </c>
      <c r="O317" s="249">
        <f t="shared" si="177"/>
        <v>3.2782262122752184</v>
      </c>
      <c r="P317" s="249">
        <f t="shared" si="177"/>
        <v>3.499371811210628</v>
      </c>
      <c r="Q317" s="249">
        <f t="shared" si="177"/>
        <v>3.7169681952641991</v>
      </c>
      <c r="R317" s="249">
        <f t="shared" si="177"/>
        <v>3.9298010588773158</v>
      </c>
      <c r="S317" s="249">
        <f t="shared" si="177"/>
        <v>4.1441198404810864</v>
      </c>
      <c r="T317" s="249">
        <f t="shared" si="177"/>
        <v>4.3598818264594588</v>
      </c>
      <c r="U317" s="249">
        <f t="shared" si="177"/>
        <v>4.5770433040681606</v>
      </c>
      <c r="V317" s="249">
        <f t="shared" si="177"/>
        <v>4.7955595738731001</v>
      </c>
      <c r="W317" s="249">
        <f t="shared" si="177"/>
        <v>5.0153849628916758</v>
      </c>
      <c r="X317" s="249">
        <f t="shared" si="177"/>
        <v>5.3737475364032425</v>
      </c>
      <c r="Y317" s="249">
        <f t="shared" si="177"/>
        <v>5.7344689818128787</v>
      </c>
      <c r="Z317" s="249">
        <f t="shared" si="177"/>
        <v>6.098234476257991</v>
      </c>
      <c r="AA317" s="249">
        <f t="shared" si="177"/>
        <v>6.4643727808518259</v>
      </c>
      <c r="AB317" s="249">
        <f t="shared" si="177"/>
        <v>6.8328225676651577</v>
      </c>
      <c r="AC317" s="249">
        <f t="shared" si="177"/>
        <v>7.2035892713673801</v>
      </c>
      <c r="AD317" s="249">
        <f t="shared" si="177"/>
        <v>7.5766195698929018</v>
      </c>
      <c r="AE317" s="249">
        <f t="shared" si="177"/>
        <v>7.9518589731947751</v>
      </c>
      <c r="AF317" s="249">
        <f t="shared" si="177"/>
        <v>8.3292518347500888</v>
      </c>
      <c r="AG317" s="249">
        <f t="shared" si="177"/>
        <v>8.7087413636561504</v>
      </c>
      <c r="AI317" s="763"/>
      <c r="AJ317" s="323"/>
    </row>
    <row r="318" spans="1:36" s="181" customFormat="1">
      <c r="A318" s="181" t="s">
        <v>1590</v>
      </c>
      <c r="B318" s="349" t="s">
        <v>704</v>
      </c>
      <c r="C318" s="249">
        <f>C306</f>
        <v>0.50568778835281525</v>
      </c>
      <c r="D318" s="249">
        <f t="shared" ref="D318:AG318" si="178">D306</f>
        <v>0.5768300315393815</v>
      </c>
      <c r="E318" s="249">
        <f t="shared" si="178"/>
        <v>0.65082130331509791</v>
      </c>
      <c r="F318" s="249">
        <f t="shared" si="178"/>
        <v>0.72728171468250413</v>
      </c>
      <c r="G318" s="249">
        <f t="shared" si="178"/>
        <v>0.80578739326786797</v>
      </c>
      <c r="H318" s="249">
        <f t="shared" si="178"/>
        <v>0.88587404627582167</v>
      </c>
      <c r="I318" s="249">
        <f t="shared" si="178"/>
        <v>0.96912764576996002</v>
      </c>
      <c r="J318" s="249">
        <f t="shared" si="178"/>
        <v>1.0555578483523866</v>
      </c>
      <c r="K318" s="249">
        <f t="shared" si="178"/>
        <v>1.1451685674990051</v>
      </c>
      <c r="L318" s="249">
        <f t="shared" si="178"/>
        <v>1.2379577677200437</v>
      </c>
      <c r="M318" s="249">
        <f t="shared" si="178"/>
        <v>1.333917269336286</v>
      </c>
      <c r="N318" s="249">
        <f t="shared" si="178"/>
        <v>1.4309821952864343</v>
      </c>
      <c r="O318" s="249">
        <f t="shared" si="178"/>
        <v>1.5286969772819341</v>
      </c>
      <c r="P318" s="249">
        <f t="shared" si="178"/>
        <v>1.6267345187156468</v>
      </c>
      <c r="Q318" s="249">
        <f t="shared" si="178"/>
        <v>1.7244663163715661</v>
      </c>
      <c r="R318" s="249">
        <f t="shared" si="178"/>
        <v>1.8213817671798789</v>
      </c>
      <c r="S318" s="249">
        <f t="shared" si="178"/>
        <v>1.9204137670129915</v>
      </c>
      <c r="T318" s="249">
        <f t="shared" si="178"/>
        <v>2.0215697825231986</v>
      </c>
      <c r="U318" s="249">
        <f t="shared" si="178"/>
        <v>2.1248563603792525</v>
      </c>
      <c r="V318" s="249">
        <f t="shared" si="178"/>
        <v>2.2302791072261932</v>
      </c>
      <c r="W318" s="249">
        <f t="shared" si="178"/>
        <v>2.3378426700155166</v>
      </c>
      <c r="X318" s="249">
        <f t="shared" si="178"/>
        <v>2.4475776750602649</v>
      </c>
      <c r="Y318" s="249">
        <f t="shared" si="178"/>
        <v>2.5594905321794372</v>
      </c>
      <c r="Z318" s="249">
        <f t="shared" si="178"/>
        <v>2.6739575771717252</v>
      </c>
      <c r="AA318" s="249">
        <f t="shared" si="178"/>
        <v>2.7906448627095122</v>
      </c>
      <c r="AB318" s="249">
        <f t="shared" si="178"/>
        <v>2.909557053304308</v>
      </c>
      <c r="AC318" s="249">
        <f t="shared" si="178"/>
        <v>3.0307265511990362</v>
      </c>
      <c r="AD318" s="249">
        <f t="shared" si="178"/>
        <v>3.1541597130422749</v>
      </c>
      <c r="AE318" s="249">
        <f t="shared" si="178"/>
        <v>3.2798620807633232</v>
      </c>
      <c r="AF318" s="249">
        <f t="shared" si="178"/>
        <v>3.4078383659408598</v>
      </c>
      <c r="AG318" s="249">
        <f t="shared" si="178"/>
        <v>3.5380924344461837</v>
      </c>
      <c r="AI318" s="763"/>
      <c r="AJ318" s="323"/>
    </row>
    <row r="319" spans="1:36" s="181" customFormat="1">
      <c r="A319" s="181" t="s">
        <v>1591</v>
      </c>
      <c r="B319" s="349" t="s">
        <v>704</v>
      </c>
      <c r="C319" s="249">
        <f>C317-C318</f>
        <v>1.1243163728727781</v>
      </c>
      <c r="D319" s="249">
        <f t="shared" ref="D319:AG319" si="179">D317-D318</f>
        <v>1.17229879999506</v>
      </c>
      <c r="E319" s="249">
        <f t="shared" si="179"/>
        <v>1.2177654372009186</v>
      </c>
      <c r="F319" s="249">
        <f t="shared" si="179"/>
        <v>1.2603241132310554</v>
      </c>
      <c r="G319" s="249">
        <f t="shared" si="179"/>
        <v>1.2996006304494316</v>
      </c>
      <c r="H319" s="249">
        <f t="shared" si="179"/>
        <v>1.3352440548536966</v>
      </c>
      <c r="I319" s="249">
        <f t="shared" si="179"/>
        <v>1.3698808532415212</v>
      </c>
      <c r="J319" s="249">
        <f t="shared" si="179"/>
        <v>1.4034151842494069</v>
      </c>
      <c r="K319" s="249">
        <f t="shared" si="179"/>
        <v>1.4357512155464764</v>
      </c>
      <c r="L319" s="249">
        <f t="shared" si="179"/>
        <v>1.4667933916372529</v>
      </c>
      <c r="M319" s="249">
        <f t="shared" si="179"/>
        <v>1.4964467076582164</v>
      </c>
      <c r="N319" s="249">
        <f t="shared" si="179"/>
        <v>1.6239005775487687</v>
      </c>
      <c r="O319" s="249">
        <f t="shared" si="179"/>
        <v>1.7495292349932843</v>
      </c>
      <c r="P319" s="249">
        <f t="shared" si="179"/>
        <v>1.8726372924949812</v>
      </c>
      <c r="Q319" s="249">
        <f t="shared" si="179"/>
        <v>1.992501878892633</v>
      </c>
      <c r="R319" s="249">
        <f t="shared" si="179"/>
        <v>2.1084192916974369</v>
      </c>
      <c r="S319" s="249">
        <f t="shared" si="179"/>
        <v>2.2237060734680947</v>
      </c>
      <c r="T319" s="249">
        <f t="shared" si="179"/>
        <v>2.3383120439362601</v>
      </c>
      <c r="U319" s="249">
        <f t="shared" si="179"/>
        <v>2.4521869436889081</v>
      </c>
      <c r="V319" s="249">
        <f t="shared" si="179"/>
        <v>2.5652804666469069</v>
      </c>
      <c r="W319" s="249">
        <f t="shared" si="179"/>
        <v>2.6775422928761592</v>
      </c>
      <c r="X319" s="249">
        <f t="shared" si="179"/>
        <v>2.9261698613429776</v>
      </c>
      <c r="Y319" s="249">
        <f t="shared" si="179"/>
        <v>3.1749784496334414</v>
      </c>
      <c r="Z319" s="249">
        <f t="shared" si="179"/>
        <v>3.4242768990862658</v>
      </c>
      <c r="AA319" s="249">
        <f t="shared" si="179"/>
        <v>3.6737279181423137</v>
      </c>
      <c r="AB319" s="249">
        <f t="shared" si="179"/>
        <v>3.9232655143608497</v>
      </c>
      <c r="AC319" s="249">
        <f t="shared" si="179"/>
        <v>4.1728627201683439</v>
      </c>
      <c r="AD319" s="249">
        <f t="shared" si="179"/>
        <v>4.4224598568506268</v>
      </c>
      <c r="AE319" s="249">
        <f t="shared" si="179"/>
        <v>4.6719968924314514</v>
      </c>
      <c r="AF319" s="249">
        <f t="shared" si="179"/>
        <v>4.921413468809229</v>
      </c>
      <c r="AG319" s="249">
        <f t="shared" si="179"/>
        <v>5.1706489292099667</v>
      </c>
      <c r="AI319" s="763"/>
      <c r="AJ319" s="323"/>
    </row>
    <row r="320" spans="1:36" s="181" customFormat="1">
      <c r="A320" s="181" t="s">
        <v>1592</v>
      </c>
      <c r="B320" s="349" t="s">
        <v>704</v>
      </c>
      <c r="C320" s="249">
        <f>(C319)/(1-C271)</f>
        <v>1.4053954660909724</v>
      </c>
      <c r="D320" s="249">
        <f t="shared" ref="D320:AG320" si="180">(D317-D306)/(1-D271)</f>
        <v>1.4592931120270456</v>
      </c>
      <c r="E320" s="249">
        <f t="shared" si="180"/>
        <v>1.5096265750424611</v>
      </c>
      <c r="F320" s="249">
        <f t="shared" si="180"/>
        <v>1.5559556953469822</v>
      </c>
      <c r="G320" s="249">
        <f t="shared" si="180"/>
        <v>1.5978696276017603</v>
      </c>
      <c r="H320" s="249">
        <f t="shared" si="180"/>
        <v>1.6349927202290162</v>
      </c>
      <c r="I320" s="249">
        <f t="shared" si="180"/>
        <v>1.6705864063920992</v>
      </c>
      <c r="J320" s="249">
        <f t="shared" si="180"/>
        <v>1.7045528553636522</v>
      </c>
      <c r="K320" s="249">
        <f t="shared" si="180"/>
        <v>1.7367958252578344</v>
      </c>
      <c r="L320" s="249">
        <f t="shared" si="180"/>
        <v>1.7672209537798229</v>
      </c>
      <c r="M320" s="249">
        <f t="shared" si="180"/>
        <v>1.79573604918986</v>
      </c>
      <c r="N320" s="249">
        <f t="shared" si="180"/>
        <v>1.940917024958688</v>
      </c>
      <c r="O320" s="249">
        <f t="shared" si="180"/>
        <v>2.082772898801529</v>
      </c>
      <c r="P320" s="249">
        <f t="shared" si="180"/>
        <v>2.2205185286501754</v>
      </c>
      <c r="Q320" s="249">
        <f t="shared" si="180"/>
        <v>2.3533486758574407</v>
      </c>
      <c r="R320" s="249">
        <f t="shared" si="180"/>
        <v>2.4804932843499263</v>
      </c>
      <c r="S320" s="249">
        <f t="shared" si="180"/>
        <v>2.6059055548454237</v>
      </c>
      <c r="T320" s="249">
        <f t="shared" si="180"/>
        <v>2.7295471329995258</v>
      </c>
      <c r="U320" s="249">
        <f t="shared" si="180"/>
        <v>2.851380167080126</v>
      </c>
      <c r="V320" s="249">
        <f t="shared" si="180"/>
        <v>2.9713673358844486</v>
      </c>
      <c r="W320" s="249">
        <f t="shared" si="180"/>
        <v>3.0894718763955691</v>
      </c>
      <c r="X320" s="249">
        <f t="shared" si="180"/>
        <v>3.3634136337275611</v>
      </c>
      <c r="Y320" s="249">
        <f t="shared" si="180"/>
        <v>3.635471507213865</v>
      </c>
      <c r="Z320" s="249">
        <f t="shared" si="180"/>
        <v>3.9060192765242583</v>
      </c>
      <c r="AA320" s="249">
        <f t="shared" si="180"/>
        <v>4.1746908160708118</v>
      </c>
      <c r="AB320" s="249">
        <f t="shared" si="180"/>
        <v>4.4414326577670007</v>
      </c>
      <c r="AC320" s="249">
        <f t="shared" si="180"/>
        <v>4.7062361505658021</v>
      </c>
      <c r="AD320" s="249">
        <f t="shared" si="180"/>
        <v>4.9690560189332897</v>
      </c>
      <c r="AE320" s="249">
        <f t="shared" si="180"/>
        <v>5.2298472676471484</v>
      </c>
      <c r="AF320" s="249">
        <f t="shared" si="180"/>
        <v>5.488565206850442</v>
      </c>
      <c r="AG320" s="249">
        <f t="shared" si="180"/>
        <v>5.7451654768999632</v>
      </c>
      <c r="AI320" s="763"/>
      <c r="AJ320" s="323"/>
    </row>
    <row r="321" spans="1:37" s="181" customFormat="1">
      <c r="A321" s="181" t="s">
        <v>1593</v>
      </c>
      <c r="B321" s="349" t="s">
        <v>704</v>
      </c>
      <c r="C321" s="249">
        <f>IF(C300&gt;C320,C320,C300)</f>
        <v>1.4053954660909724</v>
      </c>
      <c r="D321" s="249">
        <f t="shared" ref="D321:AG321" si="181">IF(D300&gt;D320,D320,D300)</f>
        <v>1.4592931120270456</v>
      </c>
      <c r="E321" s="249">
        <f t="shared" si="181"/>
        <v>1.5096265750424611</v>
      </c>
      <c r="F321" s="249">
        <f t="shared" si="181"/>
        <v>1.5559556953469822</v>
      </c>
      <c r="G321" s="249">
        <f t="shared" si="181"/>
        <v>1.5978696276017603</v>
      </c>
      <c r="H321" s="249">
        <f t="shared" si="181"/>
        <v>1.6349927202290162</v>
      </c>
      <c r="I321" s="249">
        <f t="shared" si="181"/>
        <v>1.6705864063920992</v>
      </c>
      <c r="J321" s="249">
        <f t="shared" si="181"/>
        <v>1.7045528553636522</v>
      </c>
      <c r="K321" s="249">
        <f t="shared" si="181"/>
        <v>1.7367958252578344</v>
      </c>
      <c r="L321" s="249">
        <f t="shared" si="181"/>
        <v>1.7672209537798229</v>
      </c>
      <c r="M321" s="249">
        <f t="shared" si="181"/>
        <v>1.79573604918986</v>
      </c>
      <c r="N321" s="249">
        <f t="shared" si="181"/>
        <v>1.940917024958688</v>
      </c>
      <c r="O321" s="249">
        <f t="shared" si="181"/>
        <v>2.082772898801529</v>
      </c>
      <c r="P321" s="249">
        <f t="shared" si="181"/>
        <v>2.2205185286501754</v>
      </c>
      <c r="Q321" s="249">
        <f t="shared" si="181"/>
        <v>2.3533486758574407</v>
      </c>
      <c r="R321" s="249">
        <f t="shared" si="181"/>
        <v>2.4804932843499263</v>
      </c>
      <c r="S321" s="249">
        <f t="shared" si="181"/>
        <v>2.6059055548454237</v>
      </c>
      <c r="T321" s="249">
        <f t="shared" si="181"/>
        <v>2.7295471329995258</v>
      </c>
      <c r="U321" s="249">
        <f t="shared" si="181"/>
        <v>2.851380167080126</v>
      </c>
      <c r="V321" s="249">
        <f t="shared" si="181"/>
        <v>2.9713673358844486</v>
      </c>
      <c r="W321" s="249">
        <f t="shared" si="181"/>
        <v>3.0894718763955691</v>
      </c>
      <c r="X321" s="249">
        <f t="shared" si="181"/>
        <v>3.3634136337275611</v>
      </c>
      <c r="Y321" s="249">
        <f t="shared" si="181"/>
        <v>3.635471507213865</v>
      </c>
      <c r="Z321" s="249">
        <f t="shared" si="181"/>
        <v>3.9060192765242583</v>
      </c>
      <c r="AA321" s="249">
        <f t="shared" si="181"/>
        <v>4.1746908160708118</v>
      </c>
      <c r="AB321" s="249">
        <f t="shared" si="181"/>
        <v>4.4414326577670007</v>
      </c>
      <c r="AC321" s="249">
        <f t="shared" si="181"/>
        <v>4.7062361505658021</v>
      </c>
      <c r="AD321" s="249">
        <f t="shared" si="181"/>
        <v>4.880096358906818</v>
      </c>
      <c r="AE321" s="249">
        <f t="shared" si="181"/>
        <v>5.0149319447171576</v>
      </c>
      <c r="AF321" s="249">
        <f t="shared" si="181"/>
        <v>5.1508134872675928</v>
      </c>
      <c r="AG321" s="249">
        <f t="shared" si="181"/>
        <v>5.2876985833481429</v>
      </c>
      <c r="AI321" s="763"/>
      <c r="AJ321" s="323"/>
    </row>
    <row r="322" spans="1:37" s="181" customFormat="1">
      <c r="A322" s="181" t="s">
        <v>1594</v>
      </c>
      <c r="B322" s="349" t="s">
        <v>704</v>
      </c>
      <c r="C322" s="249">
        <f>IF(C320-C321&lt;0,0,C320-C321)</f>
        <v>0</v>
      </c>
      <c r="D322" s="249">
        <f t="shared" ref="D322:AG322" si="182">IF(D320-D321&lt;0,0,D320-D321)</f>
        <v>0</v>
      </c>
      <c r="E322" s="249">
        <f t="shared" si="182"/>
        <v>0</v>
      </c>
      <c r="F322" s="249">
        <f t="shared" si="182"/>
        <v>0</v>
      </c>
      <c r="G322" s="249">
        <f t="shared" si="182"/>
        <v>0</v>
      </c>
      <c r="H322" s="249">
        <f t="shared" si="182"/>
        <v>0</v>
      </c>
      <c r="I322" s="249">
        <f t="shared" si="182"/>
        <v>0</v>
      </c>
      <c r="J322" s="249">
        <f t="shared" si="182"/>
        <v>0</v>
      </c>
      <c r="K322" s="249">
        <f t="shared" si="182"/>
        <v>0</v>
      </c>
      <c r="L322" s="249">
        <f t="shared" si="182"/>
        <v>0</v>
      </c>
      <c r="M322" s="249">
        <f t="shared" si="182"/>
        <v>0</v>
      </c>
      <c r="N322" s="249">
        <f t="shared" si="182"/>
        <v>0</v>
      </c>
      <c r="O322" s="249">
        <f t="shared" si="182"/>
        <v>0</v>
      </c>
      <c r="P322" s="249">
        <f t="shared" si="182"/>
        <v>0</v>
      </c>
      <c r="Q322" s="249">
        <f t="shared" si="182"/>
        <v>0</v>
      </c>
      <c r="R322" s="249">
        <f t="shared" si="182"/>
        <v>0</v>
      </c>
      <c r="S322" s="249">
        <f t="shared" si="182"/>
        <v>0</v>
      </c>
      <c r="T322" s="249">
        <f t="shared" si="182"/>
        <v>0</v>
      </c>
      <c r="U322" s="249">
        <f t="shared" si="182"/>
        <v>0</v>
      </c>
      <c r="V322" s="249">
        <f t="shared" si="182"/>
        <v>0</v>
      </c>
      <c r="W322" s="249">
        <f t="shared" si="182"/>
        <v>0</v>
      </c>
      <c r="X322" s="249">
        <f t="shared" si="182"/>
        <v>0</v>
      </c>
      <c r="Y322" s="249">
        <f t="shared" si="182"/>
        <v>0</v>
      </c>
      <c r="Z322" s="249">
        <f t="shared" si="182"/>
        <v>0</v>
      </c>
      <c r="AA322" s="249">
        <f t="shared" si="182"/>
        <v>0</v>
      </c>
      <c r="AB322" s="249">
        <f t="shared" si="182"/>
        <v>0</v>
      </c>
      <c r="AC322" s="249">
        <f t="shared" si="182"/>
        <v>0</v>
      </c>
      <c r="AD322" s="249">
        <f t="shared" si="182"/>
        <v>8.895966002647171E-2</v>
      </c>
      <c r="AE322" s="249">
        <f t="shared" si="182"/>
        <v>0.21491532292999072</v>
      </c>
      <c r="AF322" s="249">
        <f t="shared" si="182"/>
        <v>0.33775171958284922</v>
      </c>
      <c r="AG322" s="249">
        <f t="shared" si="182"/>
        <v>0.45746689355182024</v>
      </c>
      <c r="AI322" s="763"/>
      <c r="AJ322" s="323"/>
    </row>
    <row r="323" spans="1:37" s="181" customFormat="1">
      <c r="A323" s="181" t="s">
        <v>1595</v>
      </c>
      <c r="B323" s="349" t="s">
        <v>704</v>
      </c>
      <c r="C323" s="249">
        <f>C317*C274+C271*C320+C307+IF(C300&gt;C320,C300-C320,0)</f>
        <v>0.85946326247198923</v>
      </c>
      <c r="D323" s="249">
        <f t="shared" ref="D323:AG323" si="183">D317*D274+D271*D320+D307+IF(D300&gt;D320,D300-D320,0)</f>
        <v>0.95744084525871265</v>
      </c>
      <c r="E323" s="249">
        <f t="shared" si="183"/>
        <v>1.0587766921225628</v>
      </c>
      <c r="F323" s="249">
        <f t="shared" si="183"/>
        <v>1.1629380857047042</v>
      </c>
      <c r="G323" s="249">
        <f t="shared" si="183"/>
        <v>1.2693363243312299</v>
      </c>
      <c r="H323" s="249">
        <f t="shared" si="183"/>
        <v>1.3773318080909447</v>
      </c>
      <c r="I323" s="249">
        <f t="shared" si="183"/>
        <v>1.4894466320050159</v>
      </c>
      <c r="J323" s="249">
        <f t="shared" si="183"/>
        <v>1.6056832486593209</v>
      </c>
      <c r="K323" s="249">
        <f t="shared" si="183"/>
        <v>1.7260359074029159</v>
      </c>
      <c r="L323" s="249">
        <f t="shared" si="183"/>
        <v>1.8504903880431656</v>
      </c>
      <c r="M323" s="249">
        <f t="shared" si="183"/>
        <v>1.9790237517305522</v>
      </c>
      <c r="N323" s="249">
        <f t="shared" si="183"/>
        <v>2.0300489393923358</v>
      </c>
      <c r="O323" s="249">
        <f t="shared" si="183"/>
        <v>2.0790784291926929</v>
      </c>
      <c r="P323" s="249">
        <f t="shared" si="183"/>
        <v>2.1261772092424192</v>
      </c>
      <c r="Q323" s="249">
        <f t="shared" si="183"/>
        <v>2.1708025669820112</v>
      </c>
      <c r="R323" s="249">
        <f t="shared" si="183"/>
        <v>2.2127168386410778</v>
      </c>
      <c r="S323" s="249">
        <f t="shared" si="183"/>
        <v>2.2557458636668173</v>
      </c>
      <c r="T323" s="249">
        <f t="shared" si="183"/>
        <v>2.29989220848721</v>
      </c>
      <c r="U323" s="249">
        <f t="shared" si="183"/>
        <v>2.3451575715381394</v>
      </c>
      <c r="V323" s="249">
        <f t="shared" si="183"/>
        <v>2.3915427653481709</v>
      </c>
      <c r="W323" s="249">
        <f t="shared" si="183"/>
        <v>2.4390476991983618</v>
      </c>
      <c r="X323" s="249">
        <f t="shared" si="183"/>
        <v>2.3760041072841891</v>
      </c>
      <c r="Y323" s="249">
        <f t="shared" si="183"/>
        <v>2.3121261511826381</v>
      </c>
      <c r="Z323" s="249">
        <f t="shared" si="183"/>
        <v>2.2478096591015424</v>
      </c>
      <c r="AA323" s="249">
        <f t="shared" si="183"/>
        <v>2.1826161385551752</v>
      </c>
      <c r="AB323" s="249">
        <f t="shared" si="183"/>
        <v>2.116545693331652</v>
      </c>
      <c r="AC323" s="249">
        <f t="shared" si="183"/>
        <v>2.0496176231826126</v>
      </c>
      <c r="AD323" s="249">
        <f t="shared" si="183"/>
        <v>2.0707894244421126</v>
      </c>
      <c r="AE323" s="249">
        <f t="shared" si="183"/>
        <v>2.1280950298540975</v>
      </c>
      <c r="AF323" s="249">
        <f t="shared" si="183"/>
        <v>2.1814165079154288</v>
      </c>
      <c r="AG323" s="249">
        <f t="shared" si="183"/>
        <v>2.2307489820188104</v>
      </c>
      <c r="AI323" s="763"/>
      <c r="AJ323" s="323"/>
    </row>
    <row r="324" spans="1:37" s="181" customFormat="1">
      <c r="A324" s="181" t="s">
        <v>1596</v>
      </c>
      <c r="B324" s="349" t="s">
        <v>704</v>
      </c>
      <c r="C324" s="249">
        <f>C303-C322</f>
        <v>8.5966924019978581</v>
      </c>
      <c r="D324" s="249">
        <f t="shared" ref="D324:AF324" si="184">D303-D322</f>
        <v>8.8140240547226405</v>
      </c>
      <c r="E324" s="249">
        <f t="shared" si="184"/>
        <v>9.0122644094057822</v>
      </c>
      <c r="F324" s="249">
        <f t="shared" si="184"/>
        <v>9.1899005217528913</v>
      </c>
      <c r="G324" s="249">
        <f t="shared" si="184"/>
        <v>9.3455577688203206</v>
      </c>
      <c r="H324" s="249">
        <f t="shared" si="184"/>
        <v>9.4780175492890724</v>
      </c>
      <c r="I324" s="249">
        <f t="shared" si="184"/>
        <v>9.606915027813038</v>
      </c>
      <c r="J324" s="249">
        <f t="shared" si="184"/>
        <v>9.7320391766913801</v>
      </c>
      <c r="K324" s="249">
        <f t="shared" si="184"/>
        <v>9.8531817073770913</v>
      </c>
      <c r="L324" s="249">
        <f t="shared" si="184"/>
        <v>9.9701375981461631</v>
      </c>
      <c r="M324" s="249">
        <f t="shared" si="184"/>
        <v>10.082705623025872</v>
      </c>
      <c r="N324" s="249">
        <f t="shared" si="184"/>
        <v>10.176108137844617</v>
      </c>
      <c r="O324" s="249">
        <f t="shared" si="184"/>
        <v>10.249739145127823</v>
      </c>
      <c r="P324" s="249">
        <f t="shared" si="184"/>
        <v>10.304059088768023</v>
      </c>
      <c r="Q324" s="249">
        <f t="shared" si="184"/>
        <v>10.337745581608017</v>
      </c>
      <c r="R324" s="249">
        <f t="shared" si="184"/>
        <v>10.350540472629737</v>
      </c>
      <c r="S324" s="249">
        <f t="shared" si="184"/>
        <v>10.360944582855828</v>
      </c>
      <c r="T324" s="249">
        <f t="shared" si="184"/>
        <v>10.368935373998122</v>
      </c>
      <c r="U324" s="249">
        <f t="shared" si="184"/>
        <v>10.374491529355531</v>
      </c>
      <c r="V324" s="249">
        <f t="shared" si="184"/>
        <v>10.377592983340389</v>
      </c>
      <c r="W324" s="249">
        <f t="shared" si="184"/>
        <v>10.378220950285483</v>
      </c>
      <c r="X324" s="249">
        <f t="shared" si="184"/>
        <v>10.376472241973175</v>
      </c>
      <c r="Y324" s="249">
        <f t="shared" si="184"/>
        <v>10.372330748256489</v>
      </c>
      <c r="Z324" s="249">
        <f t="shared" si="184"/>
        <v>10.367219155450407</v>
      </c>
      <c r="AA324" s="249">
        <f t="shared" si="184"/>
        <v>10.359683421518184</v>
      </c>
      <c r="AB324" s="249">
        <f t="shared" si="184"/>
        <v>10.349710089611031</v>
      </c>
      <c r="AC324" s="249">
        <f t="shared" si="184"/>
        <v>10.337384695309289</v>
      </c>
      <c r="AD324" s="249">
        <f t="shared" si="184"/>
        <v>10.233736376415058</v>
      </c>
      <c r="AE324" s="249">
        <f t="shared" si="184"/>
        <v>10.090718754910366</v>
      </c>
      <c r="AF324" s="249">
        <f t="shared" si="184"/>
        <v>9.9484382514939966</v>
      </c>
      <c r="AG324" s="249">
        <f>AG303-AG322</f>
        <v>9.8068891800063405</v>
      </c>
      <c r="AI324" s="763"/>
      <c r="AJ324" s="323"/>
    </row>
    <row r="325" spans="1:37" s="181" customFormat="1">
      <c r="B325" s="350"/>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c r="AG325" s="327"/>
      <c r="AJ325" s="323"/>
    </row>
    <row r="326" spans="1:37" s="181" customFormat="1">
      <c r="A326" s="181" t="s">
        <v>1400</v>
      </c>
      <c r="B326" s="350" t="s">
        <v>462</v>
      </c>
      <c r="C326" s="296">
        <v>0.8</v>
      </c>
      <c r="D326" s="317">
        <f>C326</f>
        <v>0.8</v>
      </c>
      <c r="E326" s="317">
        <f t="shared" ref="E326:AG326" si="185">D326</f>
        <v>0.8</v>
      </c>
      <c r="F326" s="317">
        <f t="shared" si="185"/>
        <v>0.8</v>
      </c>
      <c r="G326" s="317">
        <f t="shared" si="185"/>
        <v>0.8</v>
      </c>
      <c r="H326" s="317">
        <f t="shared" si="185"/>
        <v>0.8</v>
      </c>
      <c r="I326" s="317">
        <f t="shared" si="185"/>
        <v>0.8</v>
      </c>
      <c r="J326" s="317">
        <f t="shared" si="185"/>
        <v>0.8</v>
      </c>
      <c r="K326" s="317">
        <f t="shared" si="185"/>
        <v>0.8</v>
      </c>
      <c r="L326" s="317">
        <f t="shared" si="185"/>
        <v>0.8</v>
      </c>
      <c r="M326" s="317">
        <f t="shared" si="185"/>
        <v>0.8</v>
      </c>
      <c r="N326" s="317">
        <f t="shared" si="185"/>
        <v>0.8</v>
      </c>
      <c r="O326" s="317">
        <f t="shared" si="185"/>
        <v>0.8</v>
      </c>
      <c r="P326" s="317">
        <f t="shared" si="185"/>
        <v>0.8</v>
      </c>
      <c r="Q326" s="317">
        <f t="shared" si="185"/>
        <v>0.8</v>
      </c>
      <c r="R326" s="317">
        <f t="shared" si="185"/>
        <v>0.8</v>
      </c>
      <c r="S326" s="317">
        <f t="shared" si="185"/>
        <v>0.8</v>
      </c>
      <c r="T326" s="317">
        <f t="shared" si="185"/>
        <v>0.8</v>
      </c>
      <c r="U326" s="317">
        <f t="shared" si="185"/>
        <v>0.8</v>
      </c>
      <c r="V326" s="317">
        <f t="shared" si="185"/>
        <v>0.8</v>
      </c>
      <c r="W326" s="317">
        <f t="shared" si="185"/>
        <v>0.8</v>
      </c>
      <c r="X326" s="317">
        <f t="shared" si="185"/>
        <v>0.8</v>
      </c>
      <c r="Y326" s="317">
        <f t="shared" si="185"/>
        <v>0.8</v>
      </c>
      <c r="Z326" s="317">
        <f t="shared" si="185"/>
        <v>0.8</v>
      </c>
      <c r="AA326" s="317">
        <f t="shared" si="185"/>
        <v>0.8</v>
      </c>
      <c r="AB326" s="317">
        <f t="shared" si="185"/>
        <v>0.8</v>
      </c>
      <c r="AC326" s="317">
        <f t="shared" si="185"/>
        <v>0.8</v>
      </c>
      <c r="AD326" s="317">
        <f t="shared" si="185"/>
        <v>0.8</v>
      </c>
      <c r="AE326" s="317">
        <f t="shared" si="185"/>
        <v>0.8</v>
      </c>
      <c r="AF326" s="317">
        <f t="shared" si="185"/>
        <v>0.8</v>
      </c>
      <c r="AG326" s="317">
        <f t="shared" si="185"/>
        <v>0.8</v>
      </c>
      <c r="AJ326" s="323" t="s">
        <v>1401</v>
      </c>
    </row>
    <row r="327" spans="1:37" s="181" customFormat="1">
      <c r="B327" s="350"/>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J327" s="323"/>
    </row>
    <row r="328" spans="1:37" s="181" customFormat="1">
      <c r="A328" s="181" t="s">
        <v>1402</v>
      </c>
      <c r="B328" s="350" t="s">
        <v>704</v>
      </c>
      <c r="C328" s="327">
        <f>C262*C323*C326</f>
        <v>0.15126553419507011</v>
      </c>
      <c r="D328" s="327">
        <f t="shared" ref="D328:AG328" si="186">D262*D323*D326</f>
        <v>0.17361593994024657</v>
      </c>
      <c r="E328" s="327">
        <f t="shared" si="186"/>
        <v>0.19763831586287839</v>
      </c>
      <c r="F328" s="327">
        <f t="shared" si="186"/>
        <v>0.22328411245530322</v>
      </c>
      <c r="G328" s="327">
        <f t="shared" si="186"/>
        <v>0.25048236800136264</v>
      </c>
      <c r="H328" s="327">
        <f t="shared" si="186"/>
        <v>0.27913924643976479</v>
      </c>
      <c r="I328" s="327">
        <f t="shared" si="186"/>
        <v>0.30980489945704326</v>
      </c>
      <c r="J328" s="327">
        <f t="shared" si="186"/>
        <v>0.34254575971398843</v>
      </c>
      <c r="K328" s="327">
        <f t="shared" si="186"/>
        <v>0.37742651841877084</v>
      </c>
      <c r="L328" s="327">
        <f t="shared" si="186"/>
        <v>0.41450984692166898</v>
      </c>
      <c r="M328" s="327">
        <f t="shared" si="186"/>
        <v>0.45385611373020657</v>
      </c>
      <c r="N328" s="327">
        <f t="shared" si="186"/>
        <v>0.47638481777740127</v>
      </c>
      <c r="O328" s="327">
        <f t="shared" si="186"/>
        <v>0.49897882300624619</v>
      </c>
      <c r="P328" s="327">
        <f t="shared" si="186"/>
        <v>0.52162214200080659</v>
      </c>
      <c r="Q328" s="327">
        <f t="shared" si="186"/>
        <v>0.54414784345682399</v>
      </c>
      <c r="R328" s="327">
        <f t="shared" si="186"/>
        <v>0.56645551069211564</v>
      </c>
      <c r="S328" s="327">
        <f t="shared" si="186"/>
        <v>0.58950158570492794</v>
      </c>
      <c r="T328" s="327">
        <f t="shared" si="186"/>
        <v>0.61330458892992246</v>
      </c>
      <c r="U328" s="327">
        <f t="shared" si="186"/>
        <v>0.63788285945837364</v>
      </c>
      <c r="V328" s="327">
        <f t="shared" si="186"/>
        <v>0.66325452692322573</v>
      </c>
      <c r="W328" s="327">
        <f t="shared" si="186"/>
        <v>0.68943748297340324</v>
      </c>
      <c r="X328" s="327">
        <f t="shared" si="186"/>
        <v>0.68428918289784602</v>
      </c>
      <c r="Y328" s="327">
        <f t="shared" si="186"/>
        <v>0.67822367101357339</v>
      </c>
      <c r="Z328" s="327">
        <f t="shared" si="186"/>
        <v>0.67134581818499361</v>
      </c>
      <c r="AA328" s="327">
        <f t="shared" si="186"/>
        <v>0.66351530612077281</v>
      </c>
      <c r="AB328" s="327">
        <f t="shared" si="186"/>
        <v>0.65471813447059057</v>
      </c>
      <c r="AC328" s="327">
        <f t="shared" si="186"/>
        <v>0.64494634542812834</v>
      </c>
      <c r="AD328" s="327">
        <f t="shared" si="186"/>
        <v>0.66265261582147561</v>
      </c>
      <c r="AE328" s="327">
        <f t="shared" si="186"/>
        <v>0.69234024971253261</v>
      </c>
      <c r="AF328" s="327">
        <f t="shared" si="186"/>
        <v>0.7213217252840346</v>
      </c>
      <c r="AG328" s="327">
        <f t="shared" si="186"/>
        <v>0.74953165795832033</v>
      </c>
      <c r="AJ328" s="323"/>
    </row>
    <row r="329" spans="1:37" s="181" customFormat="1">
      <c r="A329" s="181" t="s">
        <v>1403</v>
      </c>
      <c r="B329" s="350" t="s">
        <v>704</v>
      </c>
      <c r="C329" s="327">
        <f>C323*C326-C328</f>
        <v>0.5363050757825214</v>
      </c>
      <c r="D329" s="327">
        <f t="shared" ref="D329:AG329" si="187">D323*D326-D328</f>
        <v>0.59233673626672356</v>
      </c>
      <c r="E329" s="327">
        <f t="shared" si="187"/>
        <v>0.64938303783517182</v>
      </c>
      <c r="F329" s="327">
        <f t="shared" si="187"/>
        <v>0.70706635610846025</v>
      </c>
      <c r="G329" s="327">
        <f t="shared" si="187"/>
        <v>0.76498669146362142</v>
      </c>
      <c r="H329" s="327">
        <f t="shared" si="187"/>
        <v>0.82272620003299091</v>
      </c>
      <c r="I329" s="327">
        <f t="shared" si="187"/>
        <v>0.88175240614696948</v>
      </c>
      <c r="J329" s="327">
        <f t="shared" si="187"/>
        <v>0.94200083921346822</v>
      </c>
      <c r="K329" s="327">
        <f t="shared" si="187"/>
        <v>1.003402207503562</v>
      </c>
      <c r="L329" s="327">
        <f t="shared" si="187"/>
        <v>1.0658824635128634</v>
      </c>
      <c r="M329" s="327">
        <f t="shared" si="187"/>
        <v>1.1293628876542352</v>
      </c>
      <c r="N329" s="327">
        <f t="shared" si="187"/>
        <v>1.1476543337364675</v>
      </c>
      <c r="O329" s="327">
        <f t="shared" si="187"/>
        <v>1.1642839203479083</v>
      </c>
      <c r="P329" s="327">
        <f t="shared" si="187"/>
        <v>1.1793196253931288</v>
      </c>
      <c r="Q329" s="327">
        <f t="shared" si="187"/>
        <v>1.192494210128785</v>
      </c>
      <c r="R329" s="327">
        <f t="shared" si="187"/>
        <v>1.2037179602207466</v>
      </c>
      <c r="S329" s="327">
        <f t="shared" si="187"/>
        <v>1.2150951052285259</v>
      </c>
      <c r="T329" s="327">
        <f t="shared" si="187"/>
        <v>1.2266091778598456</v>
      </c>
      <c r="U329" s="327">
        <f t="shared" si="187"/>
        <v>1.238243197772138</v>
      </c>
      <c r="V329" s="327">
        <f t="shared" si="187"/>
        <v>1.2499796853553111</v>
      </c>
      <c r="W329" s="327">
        <f t="shared" si="187"/>
        <v>1.2618006763852865</v>
      </c>
      <c r="X329" s="327">
        <f t="shared" si="187"/>
        <v>1.2165141029295055</v>
      </c>
      <c r="Y329" s="327">
        <f t="shared" si="187"/>
        <v>1.1714772499325372</v>
      </c>
      <c r="Z329" s="327">
        <f t="shared" si="187"/>
        <v>1.1269019090962404</v>
      </c>
      <c r="AA329" s="327">
        <f t="shared" si="187"/>
        <v>1.0825776047233675</v>
      </c>
      <c r="AB329" s="327">
        <f t="shared" si="187"/>
        <v>1.0385184201947311</v>
      </c>
      <c r="AC329" s="327">
        <f t="shared" si="187"/>
        <v>0.99474775311796182</v>
      </c>
      <c r="AD329" s="327">
        <f t="shared" si="187"/>
        <v>0.99397892373221453</v>
      </c>
      <c r="AE329" s="327">
        <f t="shared" si="187"/>
        <v>1.0101357741707455</v>
      </c>
      <c r="AF329" s="327">
        <f t="shared" si="187"/>
        <v>1.0238114810483085</v>
      </c>
      <c r="AG329" s="327">
        <f t="shared" si="187"/>
        <v>1.0350675276567283</v>
      </c>
      <c r="AJ329" s="323"/>
    </row>
    <row r="330" spans="1:37" s="181" customFormat="1">
      <c r="B330" s="176"/>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J330" s="323"/>
    </row>
    <row r="331" spans="1:37" s="181" customFormat="1">
      <c r="B331" s="210" t="s">
        <v>492</v>
      </c>
      <c r="C331" s="331">
        <v>0</v>
      </c>
      <c r="D331" s="331">
        <f>C331+1</f>
        <v>1</v>
      </c>
      <c r="E331" s="331">
        <f t="shared" ref="E331:AG331" si="188">D331+1</f>
        <v>2</v>
      </c>
      <c r="F331" s="331">
        <f t="shared" si="188"/>
        <v>3</v>
      </c>
      <c r="G331" s="331">
        <f t="shared" si="188"/>
        <v>4</v>
      </c>
      <c r="H331" s="331">
        <f t="shared" si="188"/>
        <v>5</v>
      </c>
      <c r="I331" s="331">
        <f t="shared" si="188"/>
        <v>6</v>
      </c>
      <c r="J331" s="331">
        <f t="shared" si="188"/>
        <v>7</v>
      </c>
      <c r="K331" s="331">
        <f t="shared" si="188"/>
        <v>8</v>
      </c>
      <c r="L331" s="331">
        <f t="shared" si="188"/>
        <v>9</v>
      </c>
      <c r="M331" s="331">
        <f t="shared" si="188"/>
        <v>10</v>
      </c>
      <c r="N331" s="331">
        <f t="shared" si="188"/>
        <v>11</v>
      </c>
      <c r="O331" s="331">
        <f t="shared" si="188"/>
        <v>12</v>
      </c>
      <c r="P331" s="331">
        <f t="shared" si="188"/>
        <v>13</v>
      </c>
      <c r="Q331" s="331">
        <f t="shared" si="188"/>
        <v>14</v>
      </c>
      <c r="R331" s="331">
        <f t="shared" si="188"/>
        <v>15</v>
      </c>
      <c r="S331" s="331">
        <f t="shared" si="188"/>
        <v>16</v>
      </c>
      <c r="T331" s="331">
        <f t="shared" si="188"/>
        <v>17</v>
      </c>
      <c r="U331" s="331">
        <f t="shared" si="188"/>
        <v>18</v>
      </c>
      <c r="V331" s="331">
        <f t="shared" si="188"/>
        <v>19</v>
      </c>
      <c r="W331" s="331">
        <f t="shared" si="188"/>
        <v>20</v>
      </c>
      <c r="X331" s="331">
        <f t="shared" si="188"/>
        <v>21</v>
      </c>
      <c r="Y331" s="331">
        <f t="shared" si="188"/>
        <v>22</v>
      </c>
      <c r="Z331" s="331">
        <f t="shared" si="188"/>
        <v>23</v>
      </c>
      <c r="AA331" s="331">
        <f t="shared" si="188"/>
        <v>24</v>
      </c>
      <c r="AB331" s="331">
        <f t="shared" si="188"/>
        <v>25</v>
      </c>
      <c r="AC331" s="331">
        <f t="shared" si="188"/>
        <v>26</v>
      </c>
      <c r="AD331" s="331">
        <f t="shared" si="188"/>
        <v>27</v>
      </c>
      <c r="AE331" s="331">
        <f t="shared" si="188"/>
        <v>28</v>
      </c>
      <c r="AF331" s="331">
        <f t="shared" si="188"/>
        <v>29</v>
      </c>
      <c r="AG331" s="331">
        <f t="shared" si="188"/>
        <v>30</v>
      </c>
      <c r="AJ331" s="323" t="s">
        <v>493</v>
      </c>
      <c r="AK331" s="181">
        <f>'Propylene Recycling HC'!AK199</f>
        <v>1.9</v>
      </c>
    </row>
    <row r="332" spans="1:37" s="181" customFormat="1">
      <c r="A332" s="181" t="s">
        <v>1404</v>
      </c>
      <c r="B332" s="176"/>
      <c r="C332" s="333">
        <f>$AK$333/((1+EXP(-$AK$332*(C331-$AK$334)))^$AK$331)</f>
        <v>4.6088632748610021E-5</v>
      </c>
      <c r="D332" s="333">
        <f t="shared" ref="D332:AG332" si="189">$AK$333/((1+EXP(-$AK$332*(D331-$AK$334)))^$AK$331)</f>
        <v>8.924759460408035E-5</v>
      </c>
      <c r="E332" s="333">
        <f t="shared" si="189"/>
        <v>1.7252431976790472E-4</v>
      </c>
      <c r="F332" s="333">
        <f t="shared" si="189"/>
        <v>3.3269643715580369E-4</v>
      </c>
      <c r="G332" s="333">
        <f t="shared" si="189"/>
        <v>6.393827369910735E-4</v>
      </c>
      <c r="H332" s="333">
        <f t="shared" si="189"/>
        <v>1.2229053771654547E-3</v>
      </c>
      <c r="I332" s="333">
        <f t="shared" si="189"/>
        <v>2.3234018804222717E-3</v>
      </c>
      <c r="J332" s="333">
        <f t="shared" si="189"/>
        <v>4.3736281679830789E-3</v>
      </c>
      <c r="K332" s="333">
        <f t="shared" si="189"/>
        <v>8.1294184230466908E-3</v>
      </c>
      <c r="L332" s="333">
        <f t="shared" si="189"/>
        <v>1.4853985082038716E-2</v>
      </c>
      <c r="M332" s="333">
        <f t="shared" si="189"/>
        <v>2.6531412096832362E-2</v>
      </c>
      <c r="N332" s="333">
        <f t="shared" si="189"/>
        <v>4.6014759335105015E-2</v>
      </c>
      <c r="O332" s="333">
        <f t="shared" si="189"/>
        <v>7.6910635328419796E-2</v>
      </c>
      <c r="P332" s="333">
        <f t="shared" si="189"/>
        <v>0.12294065829885638</v>
      </c>
      <c r="Q332" s="333">
        <f t="shared" si="189"/>
        <v>0.18666754187878853</v>
      </c>
      <c r="R332" s="333">
        <f t="shared" si="189"/>
        <v>0.26794336563407328</v>
      </c>
      <c r="S332" s="333">
        <f t="shared" si="189"/>
        <v>0.36297326582455031</v>
      </c>
      <c r="T332" s="333">
        <f t="shared" si="189"/>
        <v>0.46484396312424381</v>
      </c>
      <c r="U332" s="333">
        <f t="shared" si="189"/>
        <v>0.56546260593861253</v>
      </c>
      <c r="V332" s="333">
        <f t="shared" si="189"/>
        <v>0.6578403022607352</v>
      </c>
      <c r="W332" s="333">
        <f t="shared" si="189"/>
        <v>0.73754668886795227</v>
      </c>
      <c r="X332" s="333">
        <f t="shared" si="189"/>
        <v>0.80293052021410605</v>
      </c>
      <c r="Y332" s="333">
        <f t="shared" si="189"/>
        <v>0.85447682949112158</v>
      </c>
      <c r="Z332" s="333">
        <f t="shared" si="189"/>
        <v>0.89389910336617451</v>
      </c>
      <c r="AA332" s="333">
        <f t="shared" si="189"/>
        <v>0.92337223319290385</v>
      </c>
      <c r="AB332" s="333">
        <f t="shared" si="189"/>
        <v>0.94504210708611314</v>
      </c>
      <c r="AC332" s="333">
        <f t="shared" si="189"/>
        <v>0.96078240575184182</v>
      </c>
      <c r="AD332" s="333">
        <f t="shared" si="189"/>
        <v>0.97211605463477313</v>
      </c>
      <c r="AE332" s="333">
        <f t="shared" si="189"/>
        <v>0.98022577885232642</v>
      </c>
      <c r="AF332" s="333">
        <f t="shared" si="189"/>
        <v>0.98600279580400285</v>
      </c>
      <c r="AG332" s="333">
        <f t="shared" si="189"/>
        <v>0.9901050637460882</v>
      </c>
      <c r="AI332" s="176" t="s">
        <v>494</v>
      </c>
      <c r="AJ332" s="323" t="s">
        <v>495</v>
      </c>
      <c r="AK332" s="181">
        <f>'Propylene Recycling HC'!AK200</f>
        <v>0.35</v>
      </c>
    </row>
    <row r="333" spans="1:37" s="181" customFormat="1">
      <c r="B333" s="176"/>
      <c r="C333" s="329">
        <v>0</v>
      </c>
      <c r="D333" s="329">
        <v>0</v>
      </c>
      <c r="E333" s="329">
        <v>0</v>
      </c>
      <c r="F333" s="329">
        <v>0</v>
      </c>
      <c r="G333" s="329">
        <v>0</v>
      </c>
      <c r="H333" s="329">
        <v>0</v>
      </c>
      <c r="I333" s="329">
        <v>0</v>
      </c>
      <c r="J333" s="329">
        <v>0</v>
      </c>
      <c r="K333" s="329">
        <v>0</v>
      </c>
      <c r="L333" s="329">
        <v>0</v>
      </c>
      <c r="M333" s="329">
        <f>C332</f>
        <v>4.6088632748610021E-5</v>
      </c>
      <c r="N333" s="329">
        <v>0</v>
      </c>
      <c r="O333" s="329">
        <v>0</v>
      </c>
      <c r="P333" s="329">
        <v>0</v>
      </c>
      <c r="Q333" s="329">
        <v>0</v>
      </c>
      <c r="R333" s="329">
        <f t="shared" ref="R333:AG333" si="190">C332</f>
        <v>4.6088632748610021E-5</v>
      </c>
      <c r="S333" s="329">
        <f t="shared" si="190"/>
        <v>8.924759460408035E-5</v>
      </c>
      <c r="T333" s="329">
        <f t="shared" si="190"/>
        <v>1.7252431976790472E-4</v>
      </c>
      <c r="U333" s="329">
        <f t="shared" si="190"/>
        <v>3.3269643715580369E-4</v>
      </c>
      <c r="V333" s="329">
        <f t="shared" si="190"/>
        <v>6.393827369910735E-4</v>
      </c>
      <c r="W333" s="329">
        <f t="shared" si="190"/>
        <v>1.2229053771654547E-3</v>
      </c>
      <c r="X333" s="329">
        <f t="shared" si="190"/>
        <v>2.3234018804222717E-3</v>
      </c>
      <c r="Y333" s="329">
        <f t="shared" si="190"/>
        <v>4.3736281679830789E-3</v>
      </c>
      <c r="Z333" s="329">
        <f t="shared" si="190"/>
        <v>8.1294184230466908E-3</v>
      </c>
      <c r="AA333" s="329">
        <f t="shared" si="190"/>
        <v>1.4853985082038716E-2</v>
      </c>
      <c r="AB333" s="329">
        <f t="shared" si="190"/>
        <v>2.6531412096832362E-2</v>
      </c>
      <c r="AC333" s="329">
        <f t="shared" si="190"/>
        <v>4.6014759335105015E-2</v>
      </c>
      <c r="AD333" s="329">
        <f t="shared" si="190"/>
        <v>7.6910635328419796E-2</v>
      </c>
      <c r="AE333" s="329">
        <f t="shared" si="190"/>
        <v>0.12294065829885638</v>
      </c>
      <c r="AF333" s="329">
        <f t="shared" si="190"/>
        <v>0.18666754187878853</v>
      </c>
      <c r="AG333" s="329">
        <f t="shared" si="190"/>
        <v>0.26794336563407328</v>
      </c>
      <c r="AI333" s="176" t="s">
        <v>496</v>
      </c>
      <c r="AJ333" s="323" t="s">
        <v>497</v>
      </c>
      <c r="AK333" s="181">
        <f>'Propylene Recycling HC'!AK201</f>
        <v>1</v>
      </c>
    </row>
    <row r="334" spans="1:37" s="181" customFormat="1">
      <c r="B334" s="176"/>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c r="AG334" s="327"/>
      <c r="AJ334" s="323" t="s">
        <v>498</v>
      </c>
      <c r="AK334" s="181">
        <f>'Propylene Recycling HC'!AK202</f>
        <v>15</v>
      </c>
    </row>
    <row r="335" spans="1:37" s="181" customFormat="1">
      <c r="A335" s="181" t="s">
        <v>1460</v>
      </c>
      <c r="B335" s="176" t="s">
        <v>462</v>
      </c>
      <c r="C335" s="328">
        <f>('Overall recycling rates'!G12+'Overall recycling rates'!G15)*'Overall recycling rates'!G57/(SUMPRODUCT('Overall recycling rates'!C57:I57,'Overall recycling rates'!C12:I12)+SUMPRODUCT('Overall recycling rates'!C15:I15,'Overall recycling rates'!C57:I57))</f>
        <v>8.5469247930390777E-2</v>
      </c>
      <c r="D335" s="328">
        <f>C335</f>
        <v>8.5469247930390777E-2</v>
      </c>
      <c r="E335" s="328">
        <f t="shared" ref="E335:AG335" si="191">D335</f>
        <v>8.5469247930390777E-2</v>
      </c>
      <c r="F335" s="328">
        <f t="shared" si="191"/>
        <v>8.5469247930390777E-2</v>
      </c>
      <c r="G335" s="328">
        <f t="shared" si="191"/>
        <v>8.5469247930390777E-2</v>
      </c>
      <c r="H335" s="328">
        <f t="shared" si="191"/>
        <v>8.5469247930390777E-2</v>
      </c>
      <c r="I335" s="328">
        <f t="shared" si="191"/>
        <v>8.5469247930390777E-2</v>
      </c>
      <c r="J335" s="328">
        <f t="shared" si="191"/>
        <v>8.5469247930390777E-2</v>
      </c>
      <c r="K335" s="328">
        <f t="shared" si="191"/>
        <v>8.5469247930390777E-2</v>
      </c>
      <c r="L335" s="328">
        <f t="shared" si="191"/>
        <v>8.5469247930390777E-2</v>
      </c>
      <c r="M335" s="328">
        <f t="shared" si="191"/>
        <v>8.5469247930390777E-2</v>
      </c>
      <c r="N335" s="328">
        <f t="shared" si="191"/>
        <v>8.5469247930390777E-2</v>
      </c>
      <c r="O335" s="328">
        <f t="shared" si="191"/>
        <v>8.5469247930390777E-2</v>
      </c>
      <c r="P335" s="328">
        <f t="shared" si="191"/>
        <v>8.5469247930390777E-2</v>
      </c>
      <c r="Q335" s="328">
        <f t="shared" si="191"/>
        <v>8.5469247930390777E-2</v>
      </c>
      <c r="R335" s="328">
        <f t="shared" si="191"/>
        <v>8.5469247930390777E-2</v>
      </c>
      <c r="S335" s="328">
        <f t="shared" si="191"/>
        <v>8.5469247930390777E-2</v>
      </c>
      <c r="T335" s="328">
        <f t="shared" si="191"/>
        <v>8.5469247930390777E-2</v>
      </c>
      <c r="U335" s="328">
        <f t="shared" si="191"/>
        <v>8.5469247930390777E-2</v>
      </c>
      <c r="V335" s="328">
        <f t="shared" si="191"/>
        <v>8.5469247930390777E-2</v>
      </c>
      <c r="W335" s="328">
        <f t="shared" si="191"/>
        <v>8.5469247930390777E-2</v>
      </c>
      <c r="X335" s="328">
        <f t="shared" si="191"/>
        <v>8.5469247930390777E-2</v>
      </c>
      <c r="Y335" s="328">
        <f t="shared" si="191"/>
        <v>8.5469247930390777E-2</v>
      </c>
      <c r="Z335" s="328">
        <f t="shared" si="191"/>
        <v>8.5469247930390777E-2</v>
      </c>
      <c r="AA335" s="328">
        <f t="shared" si="191"/>
        <v>8.5469247930390777E-2</v>
      </c>
      <c r="AB335" s="328">
        <f t="shared" si="191"/>
        <v>8.5469247930390777E-2</v>
      </c>
      <c r="AC335" s="328">
        <f t="shared" si="191"/>
        <v>8.5469247930390777E-2</v>
      </c>
      <c r="AD335" s="328">
        <f t="shared" si="191"/>
        <v>8.5469247930390777E-2</v>
      </c>
      <c r="AE335" s="328">
        <f t="shared" si="191"/>
        <v>8.5469247930390777E-2</v>
      </c>
      <c r="AF335" s="328">
        <f t="shared" si="191"/>
        <v>8.5469247930390777E-2</v>
      </c>
      <c r="AG335" s="328">
        <f t="shared" si="191"/>
        <v>8.5469247930390777E-2</v>
      </c>
      <c r="AI335" s="176" t="s">
        <v>1516</v>
      </c>
      <c r="AJ335" s="323"/>
    </row>
    <row r="336" spans="1:37" s="300" customFormat="1" ht="16" thickBot="1">
      <c r="A336" s="334" t="s">
        <v>1407</v>
      </c>
      <c r="B336" s="335" t="s">
        <v>704</v>
      </c>
      <c r="C336" s="336">
        <f>C335*(C328*C332+C329*C333)</f>
        <v>5.9585925954046229E-7</v>
      </c>
      <c r="D336" s="336">
        <f t="shared" ref="D336:AG336" si="192">D335*(D328*D332+D329*D333)</f>
        <v>1.3243293322800457E-6</v>
      </c>
      <c r="E336" s="336">
        <f t="shared" si="192"/>
        <v>2.9142805022586771E-6</v>
      </c>
      <c r="F336" s="336">
        <f t="shared" si="192"/>
        <v>6.3491539097958058E-6</v>
      </c>
      <c r="G336" s="336">
        <f t="shared" si="192"/>
        <v>1.368825065267772E-5</v>
      </c>
      <c r="H336" s="336">
        <f t="shared" si="192"/>
        <v>2.917585815218697E-5</v>
      </c>
      <c r="I336" s="336">
        <f t="shared" si="192"/>
        <v>6.1520874570545345E-5</v>
      </c>
      <c r="J336" s="336">
        <f t="shared" si="192"/>
        <v>1.2804727372999175E-4</v>
      </c>
      <c r="K336" s="336">
        <f t="shared" si="192"/>
        <v>2.6224171159495394E-4</v>
      </c>
      <c r="L336" s="336">
        <f t="shared" si="192"/>
        <v>5.2624467927891267E-4</v>
      </c>
      <c r="M336" s="336">
        <f t="shared" si="192"/>
        <v>1.0336218692878073E-3</v>
      </c>
      <c r="N336" s="336">
        <f t="shared" si="192"/>
        <v>1.8735485414499513E-3</v>
      </c>
      <c r="O336" s="336">
        <f t="shared" si="192"/>
        <v>3.2800343786801695E-3</v>
      </c>
      <c r="P336" s="336">
        <f t="shared" si="192"/>
        <v>5.4810206077978646E-3</v>
      </c>
      <c r="Q336" s="336">
        <f t="shared" si="192"/>
        <v>8.6815166670143537E-3</v>
      </c>
      <c r="R336" s="336">
        <f t="shared" si="192"/>
        <v>1.2977092810516951E-2</v>
      </c>
      <c r="S336" s="336">
        <f t="shared" si="192"/>
        <v>1.8297407030286612E-2</v>
      </c>
      <c r="T336" s="336">
        <f t="shared" si="192"/>
        <v>2.4384594862699338E-2</v>
      </c>
      <c r="U336" s="336">
        <f t="shared" si="192"/>
        <v>3.0863873888064719E-2</v>
      </c>
      <c r="V336" s="336">
        <f t="shared" si="192"/>
        <v>3.735987098444294E-2</v>
      </c>
      <c r="W336" s="336">
        <f t="shared" si="192"/>
        <v>4.3592341678149085E-2</v>
      </c>
      <c r="X336" s="336">
        <f t="shared" si="192"/>
        <v>4.7201513590651174E-2</v>
      </c>
      <c r="Y336" s="336">
        <f t="shared" si="192"/>
        <v>4.9969597340262593E-2</v>
      </c>
      <c r="Z336" s="336">
        <f t="shared" si="192"/>
        <v>5.207440270376721E-2</v>
      </c>
      <c r="AA336" s="336">
        <f t="shared" si="192"/>
        <v>5.373897780200651E-2</v>
      </c>
      <c r="AB336" s="336">
        <f t="shared" si="192"/>
        <v>5.5237883110587922E-2</v>
      </c>
      <c r="AC336" s="336">
        <f t="shared" si="192"/>
        <v>5.687347514071224E-2</v>
      </c>
      <c r="AD336" s="336">
        <f t="shared" si="192"/>
        <v>6.159108850220333E-2</v>
      </c>
      <c r="AE336" s="336">
        <f t="shared" si="192"/>
        <v>6.861783336631383E-2</v>
      </c>
      <c r="AF336" s="336">
        <f t="shared" si="192"/>
        <v>7.7122116933253396E-2</v>
      </c>
      <c r="AG336" s="336">
        <f t="shared" si="192"/>
        <v>8.7132015140813285E-2</v>
      </c>
      <c r="AJ336" s="326"/>
    </row>
    <row r="337" spans="1:36" s="230" customFormat="1">
      <c r="A337" s="325" t="s">
        <v>1408</v>
      </c>
      <c r="B337" s="324" t="s">
        <v>462</v>
      </c>
      <c r="C337" s="330">
        <v>0.25</v>
      </c>
      <c r="D337" s="330">
        <v>0.25</v>
      </c>
      <c r="E337" s="330">
        <v>0.25</v>
      </c>
      <c r="F337" s="330">
        <v>0.25</v>
      </c>
      <c r="G337" s="330">
        <v>0.25</v>
      </c>
      <c r="H337" s="330">
        <v>0.25</v>
      </c>
      <c r="I337" s="330">
        <v>0.25</v>
      </c>
      <c r="J337" s="330">
        <v>0.25</v>
      </c>
      <c r="K337" s="330">
        <v>0.25</v>
      </c>
      <c r="L337" s="330">
        <v>0.25</v>
      </c>
      <c r="M337" s="330">
        <v>0.25</v>
      </c>
      <c r="N337" s="330">
        <v>0.25</v>
      </c>
      <c r="O337" s="330">
        <v>0.25</v>
      </c>
      <c r="P337" s="330">
        <v>0.25</v>
      </c>
      <c r="Q337" s="330">
        <v>0.25</v>
      </c>
      <c r="R337" s="330">
        <v>0.25</v>
      </c>
      <c r="S337" s="330">
        <v>0.25</v>
      </c>
      <c r="T337" s="330">
        <v>0.25</v>
      </c>
      <c r="U337" s="330">
        <v>0.25</v>
      </c>
      <c r="V337" s="330">
        <v>0.25</v>
      </c>
      <c r="W337" s="330">
        <v>0.25</v>
      </c>
      <c r="X337" s="330">
        <v>0.25</v>
      </c>
      <c r="Y337" s="330">
        <v>0.25</v>
      </c>
      <c r="Z337" s="330">
        <v>0.25</v>
      </c>
      <c r="AA337" s="330">
        <v>0.25</v>
      </c>
      <c r="AB337" s="330">
        <v>0.25</v>
      </c>
      <c r="AC337" s="330">
        <v>0.25</v>
      </c>
      <c r="AD337" s="330">
        <v>0.25</v>
      </c>
      <c r="AE337" s="330">
        <v>0.25</v>
      </c>
      <c r="AF337" s="330">
        <v>0.25</v>
      </c>
      <c r="AG337" s="330">
        <v>0.25</v>
      </c>
      <c r="AJ337" s="230" t="s">
        <v>1410</v>
      </c>
    </row>
    <row r="338" spans="1:36" s="230" customFormat="1" ht="16" thickBot="1">
      <c r="A338" s="301" t="s">
        <v>1411</v>
      </c>
      <c r="B338" s="335" t="s">
        <v>704</v>
      </c>
      <c r="C338" s="336">
        <f>C337*(C328*C332+C329*C333)</f>
        <v>1.7429054132597244E-6</v>
      </c>
      <c r="D338" s="336">
        <f t="shared" ref="D338:AG338" si="193">D337*(D328*D332+D329*D333)</f>
        <v>3.8737012561483724E-6</v>
      </c>
      <c r="E338" s="336">
        <f t="shared" si="193"/>
        <v>8.5243540010793471E-6</v>
      </c>
      <c r="F338" s="336">
        <f t="shared" si="193"/>
        <v>1.8571457171843797E-5</v>
      </c>
      <c r="G338" s="336">
        <f t="shared" si="193"/>
        <v>4.0038525505179131E-5</v>
      </c>
      <c r="H338" s="336">
        <f t="shared" si="193"/>
        <v>8.5340221362275345E-5</v>
      </c>
      <c r="I338" s="336">
        <f t="shared" si="193"/>
        <v>1.7995032149063179E-4</v>
      </c>
      <c r="J338" s="336">
        <f t="shared" si="193"/>
        <v>3.7454194587706579E-4</v>
      </c>
      <c r="K338" s="336">
        <f t="shared" si="193"/>
        <v>7.670645230449817E-4</v>
      </c>
      <c r="L338" s="336">
        <f t="shared" si="193"/>
        <v>1.5392807706331557E-3</v>
      </c>
      <c r="M338" s="336">
        <f t="shared" si="193"/>
        <v>3.0233735943529833E-3</v>
      </c>
      <c r="N338" s="336">
        <f t="shared" si="193"/>
        <v>5.480183185231244E-3</v>
      </c>
      <c r="O338" s="336">
        <f t="shared" si="193"/>
        <v>9.5941945732093813E-3</v>
      </c>
      <c r="P338" s="336">
        <f t="shared" si="193"/>
        <v>1.6032142380209675E-2</v>
      </c>
      <c r="Q338" s="336">
        <f t="shared" si="193"/>
        <v>2.5393685089182289E-2</v>
      </c>
      <c r="R338" s="336">
        <f t="shared" si="193"/>
        <v>3.7958368432953693E-2</v>
      </c>
      <c r="S338" s="336">
        <f t="shared" si="193"/>
        <v>5.3520440021856394E-2</v>
      </c>
      <c r="T338" s="336">
        <f t="shared" si="193"/>
        <v>7.1325638908625436E-2</v>
      </c>
      <c r="U338" s="336">
        <f t="shared" si="193"/>
        <v>9.0277715773284223E-2</v>
      </c>
      <c r="V338" s="336">
        <f t="shared" si="193"/>
        <v>0.10927869347484537</v>
      </c>
      <c r="W338" s="336">
        <f t="shared" si="193"/>
        <v>0.12750884889513786</v>
      </c>
      <c r="X338" s="336">
        <f t="shared" si="193"/>
        <v>0.13806578018883991</v>
      </c>
      <c r="Y338" s="336">
        <f t="shared" si="193"/>
        <v>0.14616250449799098</v>
      </c>
      <c r="Z338" s="336">
        <f t="shared" si="193"/>
        <v>0.1523191205162425</v>
      </c>
      <c r="AA338" s="336">
        <f t="shared" si="193"/>
        <v>0.15718805039028033</v>
      </c>
      <c r="AB338" s="336">
        <f t="shared" si="193"/>
        <v>0.16157239138097845</v>
      </c>
      <c r="AC338" s="336">
        <f t="shared" si="193"/>
        <v>0.16635654495003876</v>
      </c>
      <c r="AD338" s="336">
        <f t="shared" si="193"/>
        <v>0.18015569925327213</v>
      </c>
      <c r="AE338" s="336">
        <f t="shared" si="193"/>
        <v>0.20070912938826446</v>
      </c>
      <c r="AF338" s="336">
        <f t="shared" si="193"/>
        <v>0.22558440257969864</v>
      </c>
      <c r="AG338" s="336">
        <f t="shared" si="193"/>
        <v>0.25486364175035425</v>
      </c>
      <c r="AJ338" s="325"/>
    </row>
    <row r="339" spans="1:36" s="230" customFormat="1">
      <c r="A339" s="326"/>
      <c r="B339" s="324"/>
      <c r="AJ339" s="325"/>
    </row>
    <row r="340" spans="1:36" s="230" customFormat="1">
      <c r="A340" s="326" t="s">
        <v>1412</v>
      </c>
      <c r="B340" s="324" t="s">
        <v>704</v>
      </c>
      <c r="C340" s="230">
        <f>SUM(C309:C310)-SUM(C336,C338)</f>
        <v>6.0865051371466707</v>
      </c>
      <c r="D340" s="230">
        <f t="shared" ref="D340:AG340" si="194">SUM(D309:D310)-SUM(D336,D338)</f>
        <v>6.3445779990296707</v>
      </c>
      <c r="E340" s="230">
        <f t="shared" si="194"/>
        <v>6.5951236063259486</v>
      </c>
      <c r="F340" s="230">
        <f t="shared" si="194"/>
        <v>6.8364555377336584</v>
      </c>
      <c r="G340" s="230">
        <f t="shared" si="194"/>
        <v>7.0669010854737691</v>
      </c>
      <c r="H340" s="230">
        <f t="shared" si="194"/>
        <v>7.2848159702800404</v>
      </c>
      <c r="I340" s="230">
        <f t="shared" si="194"/>
        <v>7.5047513596822633</v>
      </c>
      <c r="J340" s="230">
        <f t="shared" si="194"/>
        <v>7.7264508124017137</v>
      </c>
      <c r="K340" s="230">
        <f t="shared" si="194"/>
        <v>7.9495863143492205</v>
      </c>
      <c r="L340" s="230">
        <f t="shared" si="194"/>
        <v>8.1737094627848617</v>
      </c>
      <c r="M340" s="230">
        <f t="shared" si="194"/>
        <v>8.3981623269663892</v>
      </c>
      <c r="N340" s="230">
        <f t="shared" si="194"/>
        <v>8.5623578745772768</v>
      </c>
      <c r="O340" s="230">
        <f t="shared" si="194"/>
        <v>8.7092924641131297</v>
      </c>
      <c r="P340" s="230">
        <f t="shared" si="194"/>
        <v>8.8380259741605123</v>
      </c>
      <c r="Q340" s="230">
        <f t="shared" si="194"/>
        <v>8.9460360281043396</v>
      </c>
      <c r="R340" s="230">
        <f t="shared" si="194"/>
        <v>9.0321832751737965</v>
      </c>
      <c r="S340" s="230">
        <f t="shared" si="194"/>
        <v>9.1125971081583668</v>
      </c>
      <c r="T340" s="230">
        <f t="shared" si="194"/>
        <v>9.1882152295108064</v>
      </c>
      <c r="U340" s="230">
        <f t="shared" si="194"/>
        <v>9.2604341800576755</v>
      </c>
      <c r="V340" s="230">
        <f t="shared" si="194"/>
        <v>9.3306528004247156</v>
      </c>
      <c r="W340" s="230">
        <f t="shared" si="194"/>
        <v>9.3998965797561347</v>
      </c>
      <c r="X340" s="230">
        <f t="shared" si="194"/>
        <v>9.4018424419965285</v>
      </c>
      <c r="Y340" s="230">
        <f t="shared" si="194"/>
        <v>9.4021230945635796</v>
      </c>
      <c r="Z340" s="230">
        <f t="shared" si="194"/>
        <v>9.4013188680098843</v>
      </c>
      <c r="AA340" s="230">
        <f t="shared" si="194"/>
        <v>9.3970371273704068</v>
      </c>
      <c r="AB340" s="230">
        <f t="shared" si="194"/>
        <v>9.3880874856177225</v>
      </c>
      <c r="AC340" s="230">
        <f t="shared" si="194"/>
        <v>9.3732619198426566</v>
      </c>
      <c r="AD340" s="230">
        <f t="shared" si="194"/>
        <v>9.3408884544320969</v>
      </c>
      <c r="AE340" s="230">
        <f t="shared" si="194"/>
        <v>9.2938898239683265</v>
      </c>
      <c r="AF340" s="230">
        <f t="shared" si="194"/>
        <v>9.2354198133056649</v>
      </c>
      <c r="AG340" s="230">
        <f t="shared" si="194"/>
        <v>9.1652586895757082</v>
      </c>
      <c r="AJ340" s="325"/>
    </row>
    <row r="341" spans="1:36" s="230" customFormat="1">
      <c r="A341" s="326"/>
      <c r="B341" s="324"/>
      <c r="AJ341" s="325"/>
    </row>
    <row r="342" spans="1:36" s="230" customFormat="1">
      <c r="A342" s="325" t="s">
        <v>1413</v>
      </c>
      <c r="B342" s="324" t="s">
        <v>704</v>
      </c>
      <c r="C342" s="327">
        <f>C262*C261*C182</f>
        <v>1.1411399999999999E-2</v>
      </c>
      <c r="D342" s="327">
        <f t="shared" ref="D342:AG342" si="195">D262*D261*D182</f>
        <v>1.2211913118445541E-2</v>
      </c>
      <c r="E342" s="327">
        <f t="shared" si="195"/>
        <v>1.3033868575004636E-2</v>
      </c>
      <c r="F342" s="327">
        <f t="shared" si="195"/>
        <v>1.387667776234245E-2</v>
      </c>
      <c r="G342" s="327">
        <f t="shared" si="195"/>
        <v>1.4739737200808048E-2</v>
      </c>
      <c r="H342" s="327">
        <f t="shared" si="195"/>
        <v>1.5622428538434407E-2</v>
      </c>
      <c r="I342" s="327">
        <f t="shared" si="195"/>
        <v>1.652411855093841E-2</v>
      </c>
      <c r="J342" s="327">
        <f t="shared" si="195"/>
        <v>1.7444159141720841E-2</v>
      </c>
      <c r="K342" s="327">
        <f t="shared" si="195"/>
        <v>1.8381887341866382E-2</v>
      </c>
      <c r="L342" s="327">
        <f t="shared" si="195"/>
        <v>1.9336625310143647E-2</v>
      </c>
      <c r="M342" s="327">
        <f t="shared" si="195"/>
        <v>2.0307680333005135E-2</v>
      </c>
      <c r="N342" s="327">
        <f t="shared" si="195"/>
        <v>2.1981838457272966E-2</v>
      </c>
      <c r="O342" s="327">
        <f t="shared" si="195"/>
        <v>2.3694781802410692E-2</v>
      </c>
      <c r="P342" s="327">
        <f t="shared" si="195"/>
        <v>2.5445093487479479E-2</v>
      </c>
      <c r="Q342" s="327">
        <f t="shared" si="195"/>
        <v>2.7231325285274256E-2</v>
      </c>
      <c r="R342" s="327">
        <f t="shared" si="195"/>
        <v>2.905199762232372E-2</v>
      </c>
      <c r="S342" s="327">
        <f t="shared" si="195"/>
        <v>3.0905599578890351E-2</v>
      </c>
      <c r="T342" s="327">
        <f t="shared" si="195"/>
        <v>3.2790588888970414E-2</v>
      </c>
      <c r="U342" s="327">
        <f t="shared" si="195"/>
        <v>3.4705391940293893E-2</v>
      </c>
      <c r="V342" s="327">
        <f t="shared" si="195"/>
        <v>3.6648403774324587E-2</v>
      </c>
      <c r="W342" s="327">
        <f t="shared" si="195"/>
        <v>3.8617988086260047E-2</v>
      </c>
      <c r="X342" s="327">
        <f t="shared" si="195"/>
        <v>4.1632470531806902E-2</v>
      </c>
      <c r="Y342" s="327">
        <f t="shared" si="195"/>
        <v>4.4694492720111348E-2</v>
      </c>
      <c r="Z342" s="327">
        <f t="shared" si="195"/>
        <v>4.7801295593939176E-2</v>
      </c>
      <c r="AA342" s="327">
        <f t="shared" si="195"/>
        <v>5.0950067647971789E-2</v>
      </c>
      <c r="AB342" s="327">
        <f t="shared" si="195"/>
        <v>5.4137944928806254E-2</v>
      </c>
      <c r="AC342" s="327">
        <f t="shared" si="195"/>
        <v>5.7362011034955314E-2</v>
      </c>
      <c r="AD342" s="327">
        <f t="shared" si="195"/>
        <v>6.0619297116847333E-2</v>
      </c>
      <c r="AE342" s="327">
        <f t="shared" si="195"/>
        <v>6.3906781876826357E-2</v>
      </c>
      <c r="AF342" s="327">
        <f t="shared" si="195"/>
        <v>6.7221391569152106E-2</v>
      </c>
      <c r="AG342" s="327">
        <f t="shared" si="195"/>
        <v>7.0559999999999984E-2</v>
      </c>
      <c r="AJ342" s="325"/>
    </row>
    <row r="343" spans="1:36" s="230" customFormat="1">
      <c r="A343" s="230" t="s">
        <v>1414</v>
      </c>
      <c r="B343" s="324" t="s">
        <v>704</v>
      </c>
      <c r="C343" s="327">
        <f>C263*C261*C182</f>
        <v>4.0458599999999997E-2</v>
      </c>
      <c r="D343" s="327">
        <f t="shared" ref="D343:AG343" si="196">D263*D261*D182</f>
        <v>4.1664174168814197E-2</v>
      </c>
      <c r="E343" s="327">
        <f t="shared" si="196"/>
        <v>4.282556817501524E-2</v>
      </c>
      <c r="F343" s="327">
        <f t="shared" si="196"/>
        <v>4.3942812914084431E-2</v>
      </c>
      <c r="G343" s="327">
        <f t="shared" si="196"/>
        <v>4.501595415381919E-2</v>
      </c>
      <c r="H343" s="327">
        <f t="shared" si="196"/>
        <v>4.6045052534332997E-2</v>
      </c>
      <c r="I343" s="327">
        <f t="shared" si="196"/>
        <v>4.7030183568055488E-2</v>
      </c>
      <c r="J343" s="327">
        <f t="shared" si="196"/>
        <v>4.7971437639732321E-2</v>
      </c>
      <c r="K343" s="327">
        <f t="shared" si="196"/>
        <v>4.886892000642528E-2</v>
      </c>
      <c r="L343" s="327">
        <f t="shared" si="196"/>
        <v>4.9722750797512254E-2</v>
      </c>
      <c r="M343" s="327">
        <f t="shared" si="196"/>
        <v>5.0533065014687212E-2</v>
      </c>
      <c r="N343" s="327">
        <f t="shared" si="196"/>
        <v>5.2956247192521268E-2</v>
      </c>
      <c r="O343" s="327">
        <f t="shared" si="196"/>
        <v>5.5287824205624975E-2</v>
      </c>
      <c r="P343" s="327">
        <f t="shared" si="196"/>
        <v>5.7528037449953634E-2</v>
      </c>
      <c r="Q343" s="327">
        <f t="shared" si="196"/>
        <v>5.9677159667728727E-2</v>
      </c>
      <c r="R343" s="327">
        <f t="shared" si="196"/>
        <v>6.1735494947437956E-2</v>
      </c>
      <c r="S343" s="327">
        <f t="shared" si="196"/>
        <v>6.3703378723835274E-2</v>
      </c>
      <c r="T343" s="327">
        <f t="shared" si="196"/>
        <v>6.5581177777940883E-2</v>
      </c>
      <c r="U343" s="327">
        <f t="shared" si="196"/>
        <v>6.7369290237041135E-2</v>
      </c>
      <c r="V343" s="327">
        <f t="shared" si="196"/>
        <v>6.9068145574688711E-2</v>
      </c>
      <c r="W343" s="327">
        <f t="shared" si="196"/>
        <v>7.0678204610702441E-2</v>
      </c>
      <c r="X343" s="327">
        <f t="shared" si="196"/>
        <v>7.4013280945434551E-2</v>
      </c>
      <c r="Y343" s="327">
        <f t="shared" si="196"/>
        <v>7.7199578334737867E-2</v>
      </c>
      <c r="Z343" s="327">
        <f t="shared" si="196"/>
        <v>8.023788903268371E-2</v>
      </c>
      <c r="AA343" s="327">
        <f t="shared" si="196"/>
        <v>8.3129057741427773E-2</v>
      </c>
      <c r="AB343" s="327">
        <f t="shared" si="196"/>
        <v>8.5873981611210029E-2</v>
      </c>
      <c r="AC343" s="327">
        <f t="shared" si="196"/>
        <v>8.8473610240354911E-2</v>
      </c>
      <c r="AD343" s="327">
        <f t="shared" si="196"/>
        <v>9.0928945675271114E-2</v>
      </c>
      <c r="AE343" s="327">
        <f t="shared" si="196"/>
        <v>9.3241042410451724E-2</v>
      </c>
      <c r="AF343" s="327">
        <f t="shared" si="196"/>
        <v>9.5411007388474092E-2</v>
      </c>
      <c r="AG343" s="327">
        <f t="shared" si="196"/>
        <v>9.7440000000000013E-2</v>
      </c>
      <c r="AJ343" s="325"/>
    </row>
    <row r="344" spans="1:36" s="230" customFormat="1">
      <c r="B344" s="324"/>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c r="AA344" s="317"/>
      <c r="AB344" s="317"/>
      <c r="AC344" s="317"/>
      <c r="AD344" s="317"/>
      <c r="AE344" s="317"/>
      <c r="AF344" s="317"/>
      <c r="AG344" s="317"/>
      <c r="AJ344" s="325"/>
    </row>
    <row r="345" spans="1:36" s="230" customFormat="1">
      <c r="A345" s="351" t="s">
        <v>233</v>
      </c>
      <c r="B345" s="352" t="s">
        <v>704</v>
      </c>
      <c r="C345" s="304">
        <f>C323-C336-C338</f>
        <v>0.85946092370731653</v>
      </c>
      <c r="D345" s="353">
        <f t="shared" ref="D345:AG345" si="197">D323-D336-D338</f>
        <v>0.95743564722812424</v>
      </c>
      <c r="E345" s="353">
        <f t="shared" si="197"/>
        <v>1.0587652534880594</v>
      </c>
      <c r="F345" s="353">
        <f t="shared" si="197"/>
        <v>1.1629131650936226</v>
      </c>
      <c r="G345" s="353">
        <f t="shared" si="197"/>
        <v>1.2692825975550719</v>
      </c>
      <c r="H345" s="353">
        <f t="shared" si="197"/>
        <v>1.3772172920114303</v>
      </c>
      <c r="I345" s="353">
        <f t="shared" si="197"/>
        <v>1.4892051608089549</v>
      </c>
      <c r="J345" s="353">
        <f t="shared" si="197"/>
        <v>1.6051806594397138</v>
      </c>
      <c r="K345" s="353">
        <f t="shared" si="197"/>
        <v>1.7250066011682759</v>
      </c>
      <c r="L345" s="353">
        <f t="shared" si="197"/>
        <v>1.8484248625932536</v>
      </c>
      <c r="M345" s="353">
        <f t="shared" si="197"/>
        <v>1.9749667562669113</v>
      </c>
      <c r="N345" s="353">
        <f t="shared" si="197"/>
        <v>2.0226952076656546</v>
      </c>
      <c r="O345" s="353">
        <f t="shared" si="197"/>
        <v>2.0662042002408034</v>
      </c>
      <c r="P345" s="353">
        <f t="shared" si="197"/>
        <v>2.1046640462544115</v>
      </c>
      <c r="Q345" s="353">
        <f t="shared" si="197"/>
        <v>2.1367273652258145</v>
      </c>
      <c r="R345" s="353">
        <f t="shared" si="197"/>
        <v>2.1617813773976073</v>
      </c>
      <c r="S345" s="353">
        <f t="shared" si="197"/>
        <v>2.183928016614674</v>
      </c>
      <c r="T345" s="353">
        <f t="shared" si="197"/>
        <v>2.2041819747158851</v>
      </c>
      <c r="U345" s="353">
        <f t="shared" si="197"/>
        <v>2.2240159818767906</v>
      </c>
      <c r="V345" s="353">
        <f t="shared" si="197"/>
        <v>2.2449042008888824</v>
      </c>
      <c r="W345" s="353">
        <f t="shared" si="197"/>
        <v>2.2679465086250747</v>
      </c>
      <c r="X345" s="353">
        <f t="shared" si="197"/>
        <v>2.1907368135046981</v>
      </c>
      <c r="Y345" s="353">
        <f t="shared" si="197"/>
        <v>2.1159940493443847</v>
      </c>
      <c r="Z345" s="353">
        <f t="shared" si="197"/>
        <v>2.0434161358815324</v>
      </c>
      <c r="AA345" s="353">
        <f t="shared" si="197"/>
        <v>1.9716891103628884</v>
      </c>
      <c r="AB345" s="353">
        <f t="shared" si="197"/>
        <v>1.8997354188400859</v>
      </c>
      <c r="AC345" s="353">
        <f t="shared" si="197"/>
        <v>1.8263876030918615</v>
      </c>
      <c r="AD345" s="353">
        <f t="shared" si="197"/>
        <v>1.829042636686637</v>
      </c>
      <c r="AE345" s="353">
        <f t="shared" si="197"/>
        <v>1.8587680670995193</v>
      </c>
      <c r="AF345" s="353">
        <f t="shared" si="197"/>
        <v>1.8787099884024767</v>
      </c>
      <c r="AG345" s="354">
        <f t="shared" si="197"/>
        <v>1.8887533251276427</v>
      </c>
      <c r="AI345" s="230" t="s">
        <v>1415</v>
      </c>
      <c r="AJ345" s="325"/>
    </row>
    <row r="346" spans="1:36" s="230" customFormat="1">
      <c r="A346" s="355" t="s">
        <v>234</v>
      </c>
      <c r="B346" s="356" t="s">
        <v>704</v>
      </c>
      <c r="C346" s="357">
        <f>C324+C345</f>
        <v>9.4561533257051753</v>
      </c>
      <c r="D346" s="357">
        <f t="shared" ref="D346:AF346" si="198">D324+D345</f>
        <v>9.7714597019507643</v>
      </c>
      <c r="E346" s="357">
        <f t="shared" si="198"/>
        <v>10.071029662893842</v>
      </c>
      <c r="F346" s="357">
        <f t="shared" si="198"/>
        <v>10.352813686846513</v>
      </c>
      <c r="G346" s="357">
        <f t="shared" si="198"/>
        <v>10.614840366375393</v>
      </c>
      <c r="H346" s="357">
        <f t="shared" si="198"/>
        <v>10.855234841300502</v>
      </c>
      <c r="I346" s="357">
        <f t="shared" si="198"/>
        <v>11.096120188621994</v>
      </c>
      <c r="J346" s="357">
        <f t="shared" si="198"/>
        <v>11.337219836131094</v>
      </c>
      <c r="K346" s="357">
        <f t="shared" si="198"/>
        <v>11.578188308545368</v>
      </c>
      <c r="L346" s="357">
        <f t="shared" si="198"/>
        <v>11.818562460739416</v>
      </c>
      <c r="M346" s="357">
        <f t="shared" si="198"/>
        <v>12.057672379292782</v>
      </c>
      <c r="N346" s="357">
        <f t="shared" si="198"/>
        <v>12.198803345510271</v>
      </c>
      <c r="O346" s="357">
        <f t="shared" si="198"/>
        <v>12.315943345368627</v>
      </c>
      <c r="P346" s="357">
        <f t="shared" si="198"/>
        <v>12.408723135022434</v>
      </c>
      <c r="Q346" s="357">
        <f t="shared" si="198"/>
        <v>12.474472946833831</v>
      </c>
      <c r="R346" s="357">
        <f t="shared" si="198"/>
        <v>12.512321850027345</v>
      </c>
      <c r="S346" s="357">
        <f t="shared" si="198"/>
        <v>12.544872599470501</v>
      </c>
      <c r="T346" s="357">
        <f t="shared" si="198"/>
        <v>12.573117348714007</v>
      </c>
      <c r="U346" s="357">
        <f t="shared" si="198"/>
        <v>12.598507511232322</v>
      </c>
      <c r="V346" s="357">
        <f t="shared" si="198"/>
        <v>12.622497184229271</v>
      </c>
      <c r="W346" s="357">
        <f t="shared" si="198"/>
        <v>12.646167458910558</v>
      </c>
      <c r="X346" s="357">
        <f t="shared" si="198"/>
        <v>12.567209055477873</v>
      </c>
      <c r="Y346" s="357">
        <f t="shared" si="198"/>
        <v>12.488324797600875</v>
      </c>
      <c r="Z346" s="357">
        <f t="shared" si="198"/>
        <v>12.410635291331939</v>
      </c>
      <c r="AA346" s="357">
        <f t="shared" si="198"/>
        <v>12.331372531881073</v>
      </c>
      <c r="AB346" s="357">
        <f t="shared" si="198"/>
        <v>12.249445508451117</v>
      </c>
      <c r="AC346" s="357">
        <f t="shared" si="198"/>
        <v>12.163772298401151</v>
      </c>
      <c r="AD346" s="357">
        <f t="shared" si="198"/>
        <v>12.062779013101695</v>
      </c>
      <c r="AE346" s="357">
        <f t="shared" si="198"/>
        <v>11.949486822009884</v>
      </c>
      <c r="AF346" s="357">
        <f t="shared" si="198"/>
        <v>11.827148239896474</v>
      </c>
      <c r="AG346" s="358">
        <f>AG324+AG345</f>
        <v>11.695642505133984</v>
      </c>
      <c r="AI346" s="230" t="s">
        <v>1416</v>
      </c>
      <c r="AJ346" s="325"/>
    </row>
    <row r="347" spans="1:36" s="230" customFormat="1">
      <c r="A347" s="433"/>
      <c r="B347" s="434"/>
      <c r="C347" s="433"/>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c r="AA347" s="433"/>
      <c r="AB347" s="433"/>
      <c r="AC347" s="433"/>
      <c r="AD347" s="433"/>
      <c r="AE347" s="433"/>
      <c r="AF347" s="433"/>
      <c r="AG347" s="433"/>
      <c r="AJ347" s="325"/>
    </row>
    <row r="348" spans="1:36">
      <c r="B348" s="1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I348" s="23"/>
    </row>
    <row r="349" spans="1:36">
      <c r="B349" s="1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c r="AE349" s="230"/>
      <c r="AF349" s="230"/>
      <c r="AG349" s="230"/>
      <c r="AI349" s="214"/>
    </row>
  </sheetData>
  <mergeCells count="5">
    <mergeCell ref="BD116:BE116"/>
    <mergeCell ref="BD121:BE121"/>
    <mergeCell ref="BD126:BE126"/>
    <mergeCell ref="BD134:BE134"/>
    <mergeCell ref="AI316:AI324"/>
  </mergeCells>
  <hyperlinks>
    <hyperlink ref="AJ120" r:id="rId1" xr:uid="{F0C84D4B-5052-453B-9EA4-1E35A779DD2D}"/>
    <hyperlink ref="AJ121" r:id="rId2" xr:uid="{50DDC5C2-C3BE-4A74-9075-F8F14D5B2262}"/>
  </hyperlinks>
  <pageMargins left="0.7" right="0.7" top="0.75" bottom="0.75" header="0.3" footer="0.3"/>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4A05-261D-4640-B6A7-76D6FB48F244}">
  <sheetPr>
    <tabColor theme="4"/>
  </sheetPr>
  <dimension ref="A1:BL349"/>
  <sheetViews>
    <sheetView zoomScale="70" zoomScaleNormal="70" workbookViewId="0">
      <pane xSplit="2" ySplit="6" topLeftCell="C325" activePane="bottomRight" state="frozen"/>
      <selection pane="topRight" activeCell="C1" sqref="C1"/>
      <selection pane="bottomLeft" activeCell="A4" sqref="A4"/>
      <selection pane="bottomRight" activeCell="AG333" sqref="AG333"/>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1529</v>
      </c>
      <c r="B21" s="54" t="s">
        <v>462</v>
      </c>
      <c r="C21" s="159">
        <f>'Overall recycling rates'!E76</f>
        <v>1.1134731521823905E-2</v>
      </c>
      <c r="D21" s="159">
        <f>C21</f>
        <v>1.1134731521823905E-2</v>
      </c>
      <c r="E21" s="159">
        <f t="shared" ref="E21:T21" si="10">D21</f>
        <v>1.1134731521823905E-2</v>
      </c>
      <c r="F21" s="159">
        <f t="shared" si="10"/>
        <v>1.1134731521823905E-2</v>
      </c>
      <c r="G21" s="159">
        <f t="shared" si="10"/>
        <v>1.1134731521823905E-2</v>
      </c>
      <c r="H21" s="159">
        <f t="shared" si="10"/>
        <v>1.1134731521823905E-2</v>
      </c>
      <c r="I21" s="159">
        <f t="shared" si="10"/>
        <v>1.1134731521823905E-2</v>
      </c>
      <c r="J21" s="159">
        <f t="shared" si="10"/>
        <v>1.1134731521823905E-2</v>
      </c>
      <c r="K21" s="159">
        <f t="shared" si="10"/>
        <v>1.1134731521823905E-2</v>
      </c>
      <c r="L21" s="159">
        <f t="shared" si="10"/>
        <v>1.1134731521823905E-2</v>
      </c>
      <c r="M21" s="159">
        <f t="shared" si="10"/>
        <v>1.1134731521823905E-2</v>
      </c>
      <c r="N21" s="159">
        <f t="shared" si="10"/>
        <v>1.1134731521823905E-2</v>
      </c>
      <c r="O21" s="159">
        <f t="shared" si="10"/>
        <v>1.1134731521823905E-2</v>
      </c>
      <c r="P21" s="159">
        <f t="shared" si="10"/>
        <v>1.1134731521823905E-2</v>
      </c>
      <c r="Q21" s="159">
        <f t="shared" si="10"/>
        <v>1.1134731521823905E-2</v>
      </c>
      <c r="R21" s="159">
        <f t="shared" si="10"/>
        <v>1.1134731521823905E-2</v>
      </c>
      <c r="S21" s="159">
        <f t="shared" si="10"/>
        <v>1.1134731521823905E-2</v>
      </c>
      <c r="T21" s="159">
        <f t="shared" si="10"/>
        <v>1.1134731521823905E-2</v>
      </c>
      <c r="U21" s="159">
        <f t="shared" ref="T21:AG25" si="11">T21</f>
        <v>1.1134731521823905E-2</v>
      </c>
      <c r="V21" s="159">
        <f t="shared" si="11"/>
        <v>1.1134731521823905E-2</v>
      </c>
      <c r="W21" s="159">
        <f t="shared" si="11"/>
        <v>1.1134731521823905E-2</v>
      </c>
      <c r="X21" s="159">
        <f t="shared" si="11"/>
        <v>1.1134731521823905E-2</v>
      </c>
      <c r="Y21" s="159">
        <f t="shared" si="11"/>
        <v>1.1134731521823905E-2</v>
      </c>
      <c r="Z21" s="159">
        <f t="shared" si="11"/>
        <v>1.1134731521823905E-2</v>
      </c>
      <c r="AA21" s="159">
        <f t="shared" si="11"/>
        <v>1.1134731521823905E-2</v>
      </c>
      <c r="AB21" s="159">
        <f t="shared" si="11"/>
        <v>1.1134731521823905E-2</v>
      </c>
      <c r="AC21" s="159">
        <f t="shared" si="11"/>
        <v>1.1134731521823905E-2</v>
      </c>
      <c r="AD21" s="159">
        <f t="shared" si="11"/>
        <v>1.1134731521823905E-2</v>
      </c>
      <c r="AE21" s="159">
        <f t="shared" si="11"/>
        <v>1.1134731521823905E-2</v>
      </c>
      <c r="AF21" s="159">
        <f t="shared" si="11"/>
        <v>1.1134731521823905E-2</v>
      </c>
      <c r="AG21" s="159">
        <f>AF21</f>
        <v>1.1134731521823905E-2</v>
      </c>
      <c r="AI21" s="54" t="s">
        <v>1263</v>
      </c>
      <c r="AJ21" s="211"/>
      <c r="AM21" s="115"/>
      <c r="AN21" s="115"/>
      <c r="AO21" s="115"/>
      <c r="AP21" s="115"/>
      <c r="AQ21" s="115"/>
    </row>
    <row r="22" spans="1:64" outlineLevel="1">
      <c r="A22" t="s">
        <v>1530</v>
      </c>
      <c r="B22" s="54" t="s">
        <v>462</v>
      </c>
      <c r="C22" s="159">
        <f>'Overall recycling rates'!E78</f>
        <v>3.2359877891023306E-2</v>
      </c>
      <c r="D22" s="159">
        <f t="shared" ref="D22:S25" si="12">C22</f>
        <v>3.2359877891023306E-2</v>
      </c>
      <c r="E22" s="159">
        <f t="shared" si="12"/>
        <v>3.2359877891023306E-2</v>
      </c>
      <c r="F22" s="159">
        <f t="shared" si="12"/>
        <v>3.2359877891023306E-2</v>
      </c>
      <c r="G22" s="159">
        <f t="shared" si="12"/>
        <v>3.2359877891023306E-2</v>
      </c>
      <c r="H22" s="159">
        <f t="shared" si="12"/>
        <v>3.2359877891023306E-2</v>
      </c>
      <c r="I22" s="159">
        <f t="shared" si="12"/>
        <v>3.2359877891023306E-2</v>
      </c>
      <c r="J22" s="159">
        <f t="shared" si="12"/>
        <v>3.2359877891023306E-2</v>
      </c>
      <c r="K22" s="159">
        <f t="shared" si="12"/>
        <v>3.2359877891023306E-2</v>
      </c>
      <c r="L22" s="159">
        <f t="shared" si="12"/>
        <v>3.2359877891023306E-2</v>
      </c>
      <c r="M22" s="159">
        <f t="shared" si="12"/>
        <v>3.2359877891023306E-2</v>
      </c>
      <c r="N22" s="159">
        <f t="shared" si="12"/>
        <v>3.2359877891023306E-2</v>
      </c>
      <c r="O22" s="159">
        <f t="shared" si="12"/>
        <v>3.2359877891023306E-2</v>
      </c>
      <c r="P22" s="159">
        <f t="shared" si="12"/>
        <v>3.2359877891023306E-2</v>
      </c>
      <c r="Q22" s="159">
        <f t="shared" si="12"/>
        <v>3.2359877891023306E-2</v>
      </c>
      <c r="R22" s="159">
        <f t="shared" si="12"/>
        <v>3.2359877891023306E-2</v>
      </c>
      <c r="S22" s="159">
        <f t="shared" si="12"/>
        <v>3.2359877891023306E-2</v>
      </c>
      <c r="T22" s="159">
        <f t="shared" si="11"/>
        <v>3.2359877891023306E-2</v>
      </c>
      <c r="U22" s="159">
        <f t="shared" si="11"/>
        <v>3.2359877891023306E-2</v>
      </c>
      <c r="V22" s="159">
        <f t="shared" si="11"/>
        <v>3.2359877891023306E-2</v>
      </c>
      <c r="W22" s="159">
        <f t="shared" si="11"/>
        <v>3.2359877891023306E-2</v>
      </c>
      <c r="X22" s="159">
        <f t="shared" si="11"/>
        <v>3.2359877891023306E-2</v>
      </c>
      <c r="Y22" s="159">
        <f t="shared" si="11"/>
        <v>3.2359877891023306E-2</v>
      </c>
      <c r="Z22" s="159">
        <f t="shared" si="11"/>
        <v>3.2359877891023306E-2</v>
      </c>
      <c r="AA22" s="159">
        <f t="shared" si="11"/>
        <v>3.2359877891023306E-2</v>
      </c>
      <c r="AB22" s="159">
        <f t="shared" si="11"/>
        <v>3.2359877891023306E-2</v>
      </c>
      <c r="AC22" s="159">
        <f t="shared" si="11"/>
        <v>3.2359877891023306E-2</v>
      </c>
      <c r="AD22" s="159">
        <f t="shared" si="11"/>
        <v>3.2359877891023306E-2</v>
      </c>
      <c r="AE22" s="159">
        <f t="shared" si="11"/>
        <v>3.2359877891023306E-2</v>
      </c>
      <c r="AF22" s="159">
        <f t="shared" si="11"/>
        <v>3.2359877891023306E-2</v>
      </c>
      <c r="AG22" s="159">
        <f t="shared" si="11"/>
        <v>3.2359877891023306E-2</v>
      </c>
      <c r="AI22" s="54" t="s">
        <v>1263</v>
      </c>
      <c r="AJ22" s="211"/>
      <c r="AM22" s="120"/>
      <c r="AN22" s="115"/>
      <c r="AO22" s="116"/>
      <c r="AP22" s="117"/>
      <c r="AQ22" s="116"/>
    </row>
    <row r="23" spans="1:64" outlineLevel="1">
      <c r="A23" t="s">
        <v>1531</v>
      </c>
      <c r="B23" s="54" t="s">
        <v>462</v>
      </c>
      <c r="C23" s="159">
        <f>'Overall recycling rates'!E77</f>
        <v>1.9137757510057262E-2</v>
      </c>
      <c r="D23" s="159">
        <f t="shared" si="12"/>
        <v>1.9137757510057262E-2</v>
      </c>
      <c r="E23" s="159">
        <f t="shared" si="12"/>
        <v>1.9137757510057262E-2</v>
      </c>
      <c r="F23" s="159">
        <f t="shared" si="12"/>
        <v>1.9137757510057262E-2</v>
      </c>
      <c r="G23" s="159">
        <f t="shared" si="12"/>
        <v>1.9137757510057262E-2</v>
      </c>
      <c r="H23" s="159">
        <f t="shared" si="12"/>
        <v>1.9137757510057262E-2</v>
      </c>
      <c r="I23" s="159">
        <f t="shared" si="12"/>
        <v>1.9137757510057262E-2</v>
      </c>
      <c r="J23" s="159">
        <f t="shared" si="12"/>
        <v>1.9137757510057262E-2</v>
      </c>
      <c r="K23" s="159">
        <f t="shared" si="12"/>
        <v>1.9137757510057262E-2</v>
      </c>
      <c r="L23" s="159">
        <f t="shared" si="12"/>
        <v>1.9137757510057262E-2</v>
      </c>
      <c r="M23" s="159">
        <f t="shared" si="12"/>
        <v>1.9137757510057262E-2</v>
      </c>
      <c r="N23" s="159">
        <f t="shared" si="12"/>
        <v>1.9137757510057262E-2</v>
      </c>
      <c r="O23" s="159">
        <f t="shared" si="12"/>
        <v>1.9137757510057262E-2</v>
      </c>
      <c r="P23" s="159">
        <f t="shared" si="12"/>
        <v>1.9137757510057262E-2</v>
      </c>
      <c r="Q23" s="159">
        <f t="shared" si="12"/>
        <v>1.9137757510057262E-2</v>
      </c>
      <c r="R23" s="159">
        <f t="shared" si="12"/>
        <v>1.9137757510057262E-2</v>
      </c>
      <c r="S23" s="159">
        <f t="shared" si="12"/>
        <v>1.9137757510057262E-2</v>
      </c>
      <c r="T23" s="159">
        <f t="shared" si="11"/>
        <v>1.9137757510057262E-2</v>
      </c>
      <c r="U23" s="159">
        <f t="shared" si="11"/>
        <v>1.9137757510057262E-2</v>
      </c>
      <c r="V23" s="159">
        <f t="shared" si="11"/>
        <v>1.9137757510057262E-2</v>
      </c>
      <c r="W23" s="159">
        <f t="shared" si="11"/>
        <v>1.9137757510057262E-2</v>
      </c>
      <c r="X23" s="159">
        <f t="shared" si="11"/>
        <v>1.9137757510057262E-2</v>
      </c>
      <c r="Y23" s="159">
        <f t="shared" si="11"/>
        <v>1.9137757510057262E-2</v>
      </c>
      <c r="Z23" s="159">
        <f t="shared" si="11"/>
        <v>1.9137757510057262E-2</v>
      </c>
      <c r="AA23" s="159">
        <f t="shared" si="11"/>
        <v>1.9137757510057262E-2</v>
      </c>
      <c r="AB23" s="159">
        <f t="shared" si="11"/>
        <v>1.9137757510057262E-2</v>
      </c>
      <c r="AC23" s="159">
        <f t="shared" si="11"/>
        <v>1.9137757510057262E-2</v>
      </c>
      <c r="AD23" s="159">
        <f t="shared" si="11"/>
        <v>1.9137757510057262E-2</v>
      </c>
      <c r="AE23" s="159">
        <f t="shared" si="11"/>
        <v>1.9137757510057262E-2</v>
      </c>
      <c r="AF23" s="159">
        <f t="shared" si="11"/>
        <v>1.9137757510057262E-2</v>
      </c>
      <c r="AG23" s="159">
        <f t="shared" si="11"/>
        <v>1.9137757510057262E-2</v>
      </c>
      <c r="AI23" s="54" t="s">
        <v>1263</v>
      </c>
      <c r="AJ23" s="211"/>
      <c r="AM23" s="120"/>
      <c r="AN23" s="115"/>
      <c r="AO23" s="116"/>
      <c r="AP23" s="117"/>
      <c r="AQ23" s="116"/>
    </row>
    <row r="24" spans="1:64" outlineLevel="1">
      <c r="A24" t="s">
        <v>1532</v>
      </c>
      <c r="B24" s="54" t="s">
        <v>462</v>
      </c>
      <c r="C24" s="159">
        <f>'Overall recycling rates'!E79</f>
        <v>9.1850242717443825E-2</v>
      </c>
      <c r="D24" s="159">
        <f t="shared" si="12"/>
        <v>9.1850242717443825E-2</v>
      </c>
      <c r="E24" s="159">
        <f t="shared" si="12"/>
        <v>9.1850242717443825E-2</v>
      </c>
      <c r="F24" s="159">
        <f t="shared" si="12"/>
        <v>9.1850242717443825E-2</v>
      </c>
      <c r="G24" s="159">
        <f t="shared" si="12"/>
        <v>9.1850242717443825E-2</v>
      </c>
      <c r="H24" s="159">
        <f t="shared" si="12"/>
        <v>9.1850242717443825E-2</v>
      </c>
      <c r="I24" s="159">
        <f t="shared" si="12"/>
        <v>9.1850242717443825E-2</v>
      </c>
      <c r="J24" s="159">
        <f t="shared" si="12"/>
        <v>9.1850242717443825E-2</v>
      </c>
      <c r="K24" s="159">
        <f t="shared" si="12"/>
        <v>9.1850242717443825E-2</v>
      </c>
      <c r="L24" s="159">
        <f t="shared" si="12"/>
        <v>9.1850242717443825E-2</v>
      </c>
      <c r="M24" s="159">
        <f t="shared" si="12"/>
        <v>9.1850242717443825E-2</v>
      </c>
      <c r="N24" s="159">
        <f t="shared" si="12"/>
        <v>9.1850242717443825E-2</v>
      </c>
      <c r="O24" s="159">
        <f t="shared" si="12"/>
        <v>9.1850242717443825E-2</v>
      </c>
      <c r="P24" s="159">
        <f t="shared" si="12"/>
        <v>9.1850242717443825E-2</v>
      </c>
      <c r="Q24" s="159">
        <f t="shared" si="12"/>
        <v>9.1850242717443825E-2</v>
      </c>
      <c r="R24" s="159">
        <f t="shared" si="12"/>
        <v>9.1850242717443825E-2</v>
      </c>
      <c r="S24" s="159">
        <f t="shared" si="12"/>
        <v>9.1850242717443825E-2</v>
      </c>
      <c r="T24" s="159">
        <f t="shared" si="11"/>
        <v>9.1850242717443825E-2</v>
      </c>
      <c r="U24" s="159">
        <f t="shared" si="11"/>
        <v>9.1850242717443825E-2</v>
      </c>
      <c r="V24" s="159">
        <f t="shared" si="11"/>
        <v>9.1850242717443825E-2</v>
      </c>
      <c r="W24" s="159">
        <f t="shared" si="11"/>
        <v>9.1850242717443825E-2</v>
      </c>
      <c r="X24" s="159">
        <f t="shared" si="11"/>
        <v>9.1850242717443825E-2</v>
      </c>
      <c r="Y24" s="159">
        <f t="shared" si="11"/>
        <v>9.1850242717443825E-2</v>
      </c>
      <c r="Z24" s="159">
        <f t="shared" si="11"/>
        <v>9.1850242717443825E-2</v>
      </c>
      <c r="AA24" s="159">
        <f t="shared" si="11"/>
        <v>9.1850242717443825E-2</v>
      </c>
      <c r="AB24" s="159">
        <f t="shared" si="11"/>
        <v>9.1850242717443825E-2</v>
      </c>
      <c r="AC24" s="159">
        <f t="shared" si="11"/>
        <v>9.1850242717443825E-2</v>
      </c>
      <c r="AD24" s="159">
        <f t="shared" si="11"/>
        <v>9.1850242717443825E-2</v>
      </c>
      <c r="AE24" s="159">
        <f t="shared" si="11"/>
        <v>9.1850242717443825E-2</v>
      </c>
      <c r="AF24" s="159">
        <f t="shared" si="11"/>
        <v>9.1850242717443825E-2</v>
      </c>
      <c r="AG24" s="159">
        <f t="shared" si="11"/>
        <v>9.1850242717443825E-2</v>
      </c>
      <c r="AI24" s="54" t="s">
        <v>1263</v>
      </c>
      <c r="AJ24" s="211"/>
      <c r="AM24" s="120"/>
      <c r="AN24" s="115"/>
      <c r="AO24" s="477"/>
      <c r="AP24" s="478"/>
      <c r="AQ24" s="477"/>
    </row>
    <row r="25" spans="1:64" outlineLevel="1">
      <c r="A25" t="s">
        <v>1533</v>
      </c>
      <c r="B25" s="54" t="s">
        <v>462</v>
      </c>
      <c r="C25" s="159">
        <f>'Overall recycling rates'!E80</f>
        <v>6.1083152357585872E-2</v>
      </c>
      <c r="D25" s="159">
        <f>C25</f>
        <v>6.1083152357585872E-2</v>
      </c>
      <c r="E25" s="159">
        <f t="shared" si="12"/>
        <v>6.1083152357585872E-2</v>
      </c>
      <c r="F25" s="159">
        <f t="shared" si="12"/>
        <v>6.1083152357585872E-2</v>
      </c>
      <c r="G25" s="159">
        <f t="shared" si="12"/>
        <v>6.1083152357585872E-2</v>
      </c>
      <c r="H25" s="159">
        <f t="shared" si="12"/>
        <v>6.1083152357585872E-2</v>
      </c>
      <c r="I25" s="159">
        <f t="shared" si="12"/>
        <v>6.1083152357585872E-2</v>
      </c>
      <c r="J25" s="159">
        <f t="shared" si="12"/>
        <v>6.1083152357585872E-2</v>
      </c>
      <c r="K25" s="159">
        <f t="shared" si="12"/>
        <v>6.1083152357585872E-2</v>
      </c>
      <c r="L25" s="159">
        <f t="shared" si="12"/>
        <v>6.1083152357585872E-2</v>
      </c>
      <c r="M25" s="159">
        <f t="shared" si="12"/>
        <v>6.1083152357585872E-2</v>
      </c>
      <c r="N25" s="159">
        <f t="shared" si="12"/>
        <v>6.1083152357585872E-2</v>
      </c>
      <c r="O25" s="159">
        <f t="shared" si="12"/>
        <v>6.1083152357585872E-2</v>
      </c>
      <c r="P25" s="159">
        <f t="shared" si="12"/>
        <v>6.1083152357585872E-2</v>
      </c>
      <c r="Q25" s="159">
        <f t="shared" si="12"/>
        <v>6.1083152357585872E-2</v>
      </c>
      <c r="R25" s="159">
        <f t="shared" si="12"/>
        <v>6.1083152357585872E-2</v>
      </c>
      <c r="S25" s="159">
        <f t="shared" si="12"/>
        <v>6.1083152357585872E-2</v>
      </c>
      <c r="T25" s="159">
        <f t="shared" si="11"/>
        <v>6.1083152357585872E-2</v>
      </c>
      <c r="U25" s="159">
        <f t="shared" si="11"/>
        <v>6.1083152357585872E-2</v>
      </c>
      <c r="V25" s="159">
        <f t="shared" si="11"/>
        <v>6.1083152357585872E-2</v>
      </c>
      <c r="W25" s="159">
        <f t="shared" si="11"/>
        <v>6.1083152357585872E-2</v>
      </c>
      <c r="X25" s="159">
        <f t="shared" si="11"/>
        <v>6.1083152357585872E-2</v>
      </c>
      <c r="Y25" s="159">
        <f t="shared" si="11"/>
        <v>6.1083152357585872E-2</v>
      </c>
      <c r="Z25" s="159">
        <f t="shared" si="11"/>
        <v>6.1083152357585872E-2</v>
      </c>
      <c r="AA25" s="159">
        <f t="shared" si="11"/>
        <v>6.1083152357585872E-2</v>
      </c>
      <c r="AB25" s="159">
        <f t="shared" si="11"/>
        <v>6.1083152357585872E-2</v>
      </c>
      <c r="AC25" s="159">
        <f t="shared" si="11"/>
        <v>6.1083152357585872E-2</v>
      </c>
      <c r="AD25" s="159">
        <f t="shared" si="11"/>
        <v>6.1083152357585872E-2</v>
      </c>
      <c r="AE25" s="159">
        <f t="shared" si="11"/>
        <v>6.1083152357585872E-2</v>
      </c>
      <c r="AF25" s="159">
        <f t="shared" si="11"/>
        <v>6.1083152357585872E-2</v>
      </c>
      <c r="AG25" s="159">
        <f t="shared" si="11"/>
        <v>6.1083152357585872E-2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1534</v>
      </c>
      <c r="B27" s="54" t="s">
        <v>1535</v>
      </c>
      <c r="C27" s="204">
        <f>C14*C21</f>
        <v>2.137941716225618</v>
      </c>
      <c r="D27" s="204">
        <f t="shared" ref="D27:AG27" si="13">D14*D21</f>
        <v>2.2096087286575932</v>
      </c>
      <c r="E27" s="204">
        <f t="shared" si="13"/>
        <v>2.2777084329343018</v>
      </c>
      <c r="F27" s="204">
        <f t="shared" si="13"/>
        <v>2.3417734176399954</v>
      </c>
      <c r="G27" s="204">
        <f t="shared" si="13"/>
        <v>2.4013549757949453</v>
      </c>
      <c r="H27" s="204">
        <f t="shared" si="13"/>
        <v>2.4560283397508269</v>
      </c>
      <c r="I27" s="204">
        <f t="shared" si="13"/>
        <v>2.5108030142133506</v>
      </c>
      <c r="J27" s="204">
        <f t="shared" si="13"/>
        <v>2.5656294057910416</v>
      </c>
      <c r="K27" s="204">
        <f t="shared" si="13"/>
        <v>2.6204566620152048</v>
      </c>
      <c r="L27" s="204">
        <f t="shared" si="13"/>
        <v>2.6752327374721778</v>
      </c>
      <c r="M27" s="204">
        <f>M14*M21</f>
        <v>2.7299044644051373</v>
      </c>
      <c r="N27" s="204">
        <f t="shared" si="13"/>
        <v>2.7804337089831113</v>
      </c>
      <c r="O27" s="204">
        <f t="shared" si="13"/>
        <v>2.8265402269314515</v>
      </c>
      <c r="P27" s="204">
        <f t="shared" si="13"/>
        <v>2.867963568105826</v>
      </c>
      <c r="Q27" s="204">
        <f t="shared" si="13"/>
        <v>2.9044654971713828</v>
      </c>
      <c r="R27" s="204">
        <f t="shared" si="13"/>
        <v>2.935832250480499</v>
      </c>
      <c r="S27" s="204">
        <f t="shared" si="13"/>
        <v>2.9672129233514815</v>
      </c>
      <c r="T27" s="204">
        <f t="shared" si="13"/>
        <v>2.9986005242481526</v>
      </c>
      <c r="U27" s="204">
        <f t="shared" si="13"/>
        <v>3.0299879776975489</v>
      </c>
      <c r="V27" s="204">
        <f t="shared" si="13"/>
        <v>3.0613681265221042</v>
      </c>
      <c r="W27" s="204">
        <f t="shared" si="13"/>
        <v>3.092733734145976</v>
      </c>
      <c r="X27" s="204">
        <f t="shared" si="13"/>
        <v>3.1241118968506316</v>
      </c>
      <c r="Y27" s="204">
        <f t="shared" si="13"/>
        <v>3.1554963149724538</v>
      </c>
      <c r="Z27" s="204">
        <f t="shared" si="13"/>
        <v>3.1868806176551439</v>
      </c>
      <c r="AA27" s="204">
        <f t="shared" si="13"/>
        <v>3.2182583646700484</v>
      </c>
      <c r="AB27" s="204">
        <f t="shared" si="13"/>
        <v>3.2496230482931523</v>
      </c>
      <c r="AC27" s="204">
        <f t="shared" si="13"/>
        <v>3.2809991142881461</v>
      </c>
      <c r="AD27" s="204">
        <f t="shared" si="13"/>
        <v>3.3123808564026085</v>
      </c>
      <c r="AE27" s="204">
        <f t="shared" si="13"/>
        <v>3.3437625074661987</v>
      </c>
      <c r="AF27" s="204">
        <f t="shared" si="13"/>
        <v>3.3751382408899606</v>
      </c>
      <c r="AG27" s="204">
        <f t="shared" si="13"/>
        <v>3.4065021722095441</v>
      </c>
      <c r="AI27" s="245"/>
      <c r="AM27" s="120"/>
      <c r="AN27" s="115"/>
      <c r="AO27" s="115"/>
      <c r="AP27" s="115"/>
      <c r="AQ27" s="115"/>
      <c r="BD27" s="205"/>
      <c r="BE27" s="205"/>
      <c r="BF27" s="205"/>
      <c r="BG27" s="205"/>
      <c r="BH27" s="205"/>
      <c r="BI27" s="205"/>
      <c r="BJ27" s="205"/>
      <c r="BK27" s="205"/>
      <c r="BL27" s="205"/>
    </row>
    <row r="28" spans="1:64" outlineLevel="1">
      <c r="A28" t="s">
        <v>1536</v>
      </c>
      <c r="B28" s="54" t="s">
        <v>1535</v>
      </c>
      <c r="C28" s="204">
        <f t="shared" ref="C28:AG31" si="14">C15*C22</f>
        <v>0.58649688544622769</v>
      </c>
      <c r="D28" s="204">
        <f t="shared" si="14"/>
        <v>0.60615714056992442</v>
      </c>
      <c r="E28" s="204">
        <f t="shared" si="14"/>
        <v>0.62483878383221614</v>
      </c>
      <c r="F28" s="204">
        <f t="shared" si="14"/>
        <v>0.64241359127943864</v>
      </c>
      <c r="G28" s="204">
        <f t="shared" si="14"/>
        <v>0.65875847010504252</v>
      </c>
      <c r="H28" s="204">
        <f t="shared" si="14"/>
        <v>0.67375689472702072</v>
      </c>
      <c r="I28" s="204">
        <f t="shared" si="14"/>
        <v>0.68878311163919914</v>
      </c>
      <c r="J28" s="204">
        <f t="shared" si="14"/>
        <v>0.70382351599472071</v>
      </c>
      <c r="K28" s="204">
        <f t="shared" si="14"/>
        <v>0.71886415754682209</v>
      </c>
      <c r="L28" s="204">
        <f t="shared" si="14"/>
        <v>0.73389075879075039</v>
      </c>
      <c r="M28" s="204">
        <f t="shared" si="14"/>
        <v>0.74888873433180292</v>
      </c>
      <c r="N28" s="204">
        <f t="shared" si="14"/>
        <v>0.76275031172842678</v>
      </c>
      <c r="O28" s="204">
        <f t="shared" si="14"/>
        <v>0.7753986121803268</v>
      </c>
      <c r="P28" s="204">
        <f t="shared" si="14"/>
        <v>0.78676218696778055</v>
      </c>
      <c r="Q28" s="204">
        <f t="shared" si="14"/>
        <v>0.7967756815112722</v>
      </c>
      <c r="R28" s="204">
        <f t="shared" si="14"/>
        <v>0.80538045449583906</v>
      </c>
      <c r="S28" s="204">
        <f t="shared" si="14"/>
        <v>0.81398904600343625</v>
      </c>
      <c r="T28" s="204">
        <f t="shared" si="14"/>
        <v>0.82259953806120234</v>
      </c>
      <c r="U28" s="204">
        <f t="shared" si="14"/>
        <v>0.83120998967007897</v>
      </c>
      <c r="V28" s="204">
        <f t="shared" si="14"/>
        <v>0.83981843741716355</v>
      </c>
      <c r="W28" s="204">
        <f t="shared" si="14"/>
        <v>0.8484228961083975</v>
      </c>
      <c r="X28" s="204">
        <f t="shared" si="14"/>
        <v>0.85703079900754442</v>
      </c>
      <c r="Y28" s="204">
        <f t="shared" si="14"/>
        <v>0.8656404179416316</v>
      </c>
      <c r="Z28" s="204">
        <f t="shared" si="14"/>
        <v>0.87425000520755336</v>
      </c>
      <c r="AA28" s="204">
        <f t="shared" si="14"/>
        <v>0.88285779407143816</v>
      </c>
      <c r="AB28" s="204">
        <f t="shared" si="14"/>
        <v>0.89146199928355774</v>
      </c>
      <c r="AC28" s="204">
        <f t="shared" si="14"/>
        <v>0.90006932699691888</v>
      </c>
      <c r="AD28" s="204">
        <f t="shared" si="14"/>
        <v>0.90867821182774677</v>
      </c>
      <c r="AE28" s="204">
        <f t="shared" si="14"/>
        <v>0.91728707168078771</v>
      </c>
      <c r="AF28" s="204">
        <f t="shared" si="14"/>
        <v>0.92589430816060814</v>
      </c>
      <c r="AG28" s="204">
        <f t="shared" si="14"/>
        <v>0.93449830699494496</v>
      </c>
      <c r="AM28" s="206"/>
      <c r="BD28" s="205"/>
      <c r="BE28" s="205"/>
      <c r="BF28" s="205"/>
      <c r="BG28" s="205"/>
      <c r="BH28" s="205"/>
      <c r="BI28" s="205"/>
      <c r="BJ28" s="205"/>
      <c r="BK28" s="205"/>
      <c r="BL28" s="205"/>
    </row>
    <row r="29" spans="1:64" outlineLevel="1">
      <c r="A29" t="s">
        <v>1537</v>
      </c>
      <c r="B29" s="54" t="s">
        <v>1535</v>
      </c>
      <c r="C29" s="204">
        <f t="shared" si="14"/>
        <v>0.27288082766179111</v>
      </c>
      <c r="D29" s="204">
        <f t="shared" si="14"/>
        <v>0.28202820222306357</v>
      </c>
      <c r="E29" s="204">
        <f t="shared" si="14"/>
        <v>0.29072025567125509</v>
      </c>
      <c r="F29" s="204">
        <f t="shared" si="14"/>
        <v>0.29889732893660731</v>
      </c>
      <c r="G29" s="204">
        <f t="shared" si="14"/>
        <v>0.30650215033061867</v>
      </c>
      <c r="H29" s="204">
        <f t="shared" si="14"/>
        <v>0.31348050371327035</v>
      </c>
      <c r="I29" s="204">
        <f t="shared" si="14"/>
        <v>0.32047178808215687</v>
      </c>
      <c r="J29" s="204">
        <f t="shared" si="14"/>
        <v>0.32746967347720052</v>
      </c>
      <c r="K29" s="204">
        <f t="shared" si="14"/>
        <v>0.33446766923327187</v>
      </c>
      <c r="L29" s="204">
        <f t="shared" si="14"/>
        <v>0.34145913242112341</v>
      </c>
      <c r="M29" s="204">
        <f t="shared" si="14"/>
        <v>0.34843727685880416</v>
      </c>
      <c r="N29" s="204">
        <f t="shared" si="14"/>
        <v>0.3548866865770004</v>
      </c>
      <c r="O29" s="204">
        <f t="shared" si="14"/>
        <v>0.36077159198993103</v>
      </c>
      <c r="P29" s="204">
        <f t="shared" si="14"/>
        <v>0.36605874997856686</v>
      </c>
      <c r="Q29" s="204">
        <f t="shared" si="14"/>
        <v>0.37071775285926561</v>
      </c>
      <c r="R29" s="204">
        <f t="shared" si="14"/>
        <v>0.37472131644525791</v>
      </c>
      <c r="S29" s="204">
        <f t="shared" si="14"/>
        <v>0.37872665668471733</v>
      </c>
      <c r="T29" s="204">
        <f t="shared" si="14"/>
        <v>0.38273288119776105</v>
      </c>
      <c r="U29" s="204">
        <f t="shared" si="14"/>
        <v>0.38673908689105191</v>
      </c>
      <c r="V29" s="204">
        <f t="shared" si="14"/>
        <v>0.3907443602427092</v>
      </c>
      <c r="W29" s="204">
        <f t="shared" si="14"/>
        <v>0.39474777759668062</v>
      </c>
      <c r="X29" s="204">
        <f t="shared" si="14"/>
        <v>0.39875279744561698</v>
      </c>
      <c r="Y29" s="204">
        <f t="shared" si="14"/>
        <v>0.40275861571829003</v>
      </c>
      <c r="Z29" s="204">
        <f t="shared" si="14"/>
        <v>0.40676441925663909</v>
      </c>
      <c r="AA29" s="204">
        <f t="shared" si="14"/>
        <v>0.41076938604811258</v>
      </c>
      <c r="AB29" s="204">
        <f t="shared" si="14"/>
        <v>0.4147726854652421</v>
      </c>
      <c r="AC29" s="204">
        <f t="shared" si="14"/>
        <v>0.41877743769609355</v>
      </c>
      <c r="AD29" s="204">
        <f t="shared" si="14"/>
        <v>0.4227829144107636</v>
      </c>
      <c r="AE29" s="204">
        <f t="shared" si="14"/>
        <v>0.42678837950395809</v>
      </c>
      <c r="AF29" s="204">
        <f t="shared" si="14"/>
        <v>0.43079308928635907</v>
      </c>
      <c r="AG29" s="204">
        <f t="shared" si="14"/>
        <v>0.43479629268159714</v>
      </c>
      <c r="BD29" s="205"/>
      <c r="BE29" s="205"/>
      <c r="BF29" s="205"/>
      <c r="BG29" s="205"/>
      <c r="BH29" s="205"/>
      <c r="BI29" s="205"/>
      <c r="BJ29" s="205"/>
      <c r="BK29" s="205"/>
      <c r="BL29" s="205"/>
    </row>
    <row r="30" spans="1:64" outlineLevel="1">
      <c r="A30" t="s">
        <v>1538</v>
      </c>
      <c r="B30" s="54" t="s">
        <v>1535</v>
      </c>
      <c r="C30" s="204">
        <f t="shared" si="14"/>
        <v>3.3569388624573886</v>
      </c>
      <c r="D30" s="204">
        <f t="shared" si="14"/>
        <v>3.4694684872657979</v>
      </c>
      <c r="E30" s="204">
        <f t="shared" si="14"/>
        <v>3.5763968202850558</v>
      </c>
      <c r="F30" s="204">
        <f t="shared" si="14"/>
        <v>3.6769899446200638</v>
      </c>
      <c r="G30" s="204">
        <f t="shared" si="14"/>
        <v>3.7705433125805432</v>
      </c>
      <c r="H30" s="204">
        <f t="shared" si="14"/>
        <v>3.8563899653736766</v>
      </c>
      <c r="I30" s="204">
        <f t="shared" si="14"/>
        <v>3.9423956932128412</v>
      </c>
      <c r="J30" s="204">
        <f t="shared" si="14"/>
        <v>4.0284826258820736</v>
      </c>
      <c r="K30" s="204">
        <f t="shared" si="14"/>
        <v>4.1145709161960546</v>
      </c>
      <c r="L30" s="204">
        <f t="shared" si="14"/>
        <v>4.2005788438392075</v>
      </c>
      <c r="M30" s="204">
        <f t="shared" si="14"/>
        <v>4.2864229262227624</v>
      </c>
      <c r="N30" s="204">
        <f t="shared" si="14"/>
        <v>4.3657625936828621</v>
      </c>
      <c r="O30" s="204">
        <f t="shared" si="14"/>
        <v>4.4381578141599762</v>
      </c>
      <c r="P30" s="204">
        <f t="shared" si="14"/>
        <v>4.5031996358082207</v>
      </c>
      <c r="Q30" s="204">
        <f t="shared" si="14"/>
        <v>4.5605139878809968</v>
      </c>
      <c r="R30" s="204">
        <f t="shared" si="14"/>
        <v>4.6097652244200269</v>
      </c>
      <c r="S30" s="204">
        <f t="shared" si="14"/>
        <v>4.6590383170825511</v>
      </c>
      <c r="T30" s="204">
        <f t="shared" si="14"/>
        <v>4.7083222879455908</v>
      </c>
      <c r="U30" s="204">
        <f t="shared" si="14"/>
        <v>4.7576060272908638</v>
      </c>
      <c r="V30" s="204">
        <f t="shared" si="14"/>
        <v>4.8068782971097157</v>
      </c>
      <c r="W30" s="204">
        <f t="shared" si="14"/>
        <v>4.8561277347244367</v>
      </c>
      <c r="X30" s="204">
        <f t="shared" si="14"/>
        <v>4.905396885990978</v>
      </c>
      <c r="Y30" s="204">
        <f t="shared" si="14"/>
        <v>4.9546758593461337</v>
      </c>
      <c r="Z30" s="204">
        <f t="shared" si="14"/>
        <v>5.0039546514418518</v>
      </c>
      <c r="AA30" s="204">
        <f t="shared" si="14"/>
        <v>5.0532231500034728</v>
      </c>
      <c r="AB30" s="204">
        <f t="shared" si="14"/>
        <v>5.1024711367769191</v>
      </c>
      <c r="AC30" s="204">
        <f t="shared" si="14"/>
        <v>5.1517369958460666</v>
      </c>
      <c r="AD30" s="204">
        <f t="shared" si="14"/>
        <v>5.2010117674060865</v>
      </c>
      <c r="AE30" s="204">
        <f t="shared" si="14"/>
        <v>5.2502863960004644</v>
      </c>
      <c r="AF30" s="204">
        <f t="shared" si="14"/>
        <v>5.2995517328751651</v>
      </c>
      <c r="AG30" s="204">
        <f t="shared" si="14"/>
        <v>5.3487985384017573</v>
      </c>
      <c r="BD30" s="205"/>
      <c r="BE30" s="205"/>
      <c r="BF30" s="205"/>
      <c r="BG30" s="205"/>
      <c r="BH30" s="205"/>
      <c r="BI30" s="205"/>
      <c r="BJ30" s="205"/>
      <c r="BK30" s="205"/>
      <c r="BL30" s="205"/>
    </row>
    <row r="31" spans="1:64" outlineLevel="1">
      <c r="A31" s="181" t="s">
        <v>1539</v>
      </c>
      <c r="B31" s="176" t="s">
        <v>1535</v>
      </c>
      <c r="C31" s="204">
        <f t="shared" si="14"/>
        <v>6.3196211155477018</v>
      </c>
      <c r="D31" s="204">
        <f t="shared" si="14"/>
        <v>6.5314642923827124</v>
      </c>
      <c r="E31" s="204">
        <f t="shared" si="14"/>
        <v>6.7327627308964706</v>
      </c>
      <c r="F31" s="204">
        <f t="shared" si="14"/>
        <v>6.9221347923706755</v>
      </c>
      <c r="G31" s="204">
        <f t="shared" si="14"/>
        <v>7.0982541272223267</v>
      </c>
      <c r="H31" s="204">
        <f t="shared" si="14"/>
        <v>7.25986514902492</v>
      </c>
      <c r="I31" s="204">
        <f t="shared" si="14"/>
        <v>7.4217756383069799</v>
      </c>
      <c r="J31" s="204">
        <f t="shared" si="14"/>
        <v>7.5838390001255389</v>
      </c>
      <c r="K31" s="204">
        <f t="shared" si="14"/>
        <v>7.7459049177846335</v>
      </c>
      <c r="L31" s="204">
        <f t="shared" si="14"/>
        <v>7.9078195483180842</v>
      </c>
      <c r="M31" s="204">
        <f t="shared" si="14"/>
        <v>8.0694257311839817</v>
      </c>
      <c r="N31" s="204">
        <f t="shared" si="14"/>
        <v>8.2187869970052905</v>
      </c>
      <c r="O31" s="204">
        <f t="shared" si="14"/>
        <v>8.355074961349386</v>
      </c>
      <c r="P31" s="204">
        <f t="shared" si="14"/>
        <v>8.477519749986687</v>
      </c>
      <c r="Q31" s="204">
        <f t="shared" si="14"/>
        <v>8.5854171542658655</v>
      </c>
      <c r="R31" s="204">
        <f t="shared" si="14"/>
        <v>8.6781353023023904</v>
      </c>
      <c r="S31" s="204">
        <f t="shared" si="14"/>
        <v>8.7708945956874604</v>
      </c>
      <c r="T31" s="204">
        <f t="shared" si="14"/>
        <v>8.8636743678803036</v>
      </c>
      <c r="U31" s="204">
        <f t="shared" si="14"/>
        <v>8.9564537042282826</v>
      </c>
      <c r="V31" s="204">
        <f t="shared" si="14"/>
        <v>9.0492114485651083</v>
      </c>
      <c r="W31" s="204">
        <f t="shared" si="14"/>
        <v>9.1419262100281777</v>
      </c>
      <c r="X31" s="204">
        <f t="shared" si="14"/>
        <v>9.2346780835196203</v>
      </c>
      <c r="Y31" s="204">
        <f t="shared" si="14"/>
        <v>9.3274484476303847</v>
      </c>
      <c r="Z31" s="204">
        <f t="shared" si="14"/>
        <v>9.420218470510342</v>
      </c>
      <c r="AA31" s="204">
        <f t="shared" si="14"/>
        <v>9.5129691152490494</v>
      </c>
      <c r="AB31" s="204">
        <f t="shared" si="14"/>
        <v>9.6056811454240218</v>
      </c>
      <c r="AC31" s="204">
        <f t="shared" si="14"/>
        <v>9.6984268211737046</v>
      </c>
      <c r="AD31" s="204">
        <f t="shared" si="14"/>
        <v>9.7911892751751886</v>
      </c>
      <c r="AE31" s="204">
        <f t="shared" si="14"/>
        <v>9.883951460036025</v>
      </c>
      <c r="AF31" s="204">
        <f t="shared" si="14"/>
        <v>9.9766961527260829</v>
      </c>
      <c r="AG31" s="204">
        <f t="shared" si="14"/>
        <v>10.06940595913921</v>
      </c>
      <c r="AL31" s="108"/>
      <c r="AM31" s="207"/>
      <c r="AN31" s="207"/>
      <c r="AO31" s="207"/>
    </row>
    <row r="32" spans="1:64" s="1" customFormat="1" ht="16" thickBot="1">
      <c r="A32" s="200" t="s">
        <v>1540</v>
      </c>
      <c r="B32" s="219" t="s">
        <v>1535</v>
      </c>
      <c r="C32" s="216">
        <f>SUM(C27:C31)</f>
        <v>12.673879407338728</v>
      </c>
      <c r="D32" s="216">
        <f t="shared" ref="D32:AG32" si="15">SUM(D27:D31)</f>
        <v>13.098726851099091</v>
      </c>
      <c r="E32" s="216">
        <f t="shared" si="15"/>
        <v>13.502427023619299</v>
      </c>
      <c r="F32" s="216">
        <f t="shared" si="15"/>
        <v>13.882209074846781</v>
      </c>
      <c r="G32" s="216">
        <f t="shared" si="15"/>
        <v>14.235413036033478</v>
      </c>
      <c r="H32" s="216">
        <f t="shared" si="15"/>
        <v>14.559520852589715</v>
      </c>
      <c r="I32" s="216">
        <f t="shared" si="15"/>
        <v>14.884229245454527</v>
      </c>
      <c r="J32" s="216">
        <f t="shared" si="15"/>
        <v>15.209244221270575</v>
      </c>
      <c r="K32" s="216">
        <f t="shared" si="15"/>
        <v>15.534264322775988</v>
      </c>
      <c r="L32" s="216">
        <f t="shared" si="15"/>
        <v>15.858981020841343</v>
      </c>
      <c r="M32" s="216">
        <f t="shared" si="15"/>
        <v>16.183079133002487</v>
      </c>
      <c r="N32" s="216">
        <f t="shared" si="15"/>
        <v>16.482620297976691</v>
      </c>
      <c r="O32" s="216">
        <f t="shared" si="15"/>
        <v>16.755943206611072</v>
      </c>
      <c r="P32" s="216">
        <f t="shared" si="15"/>
        <v>17.001503890847083</v>
      </c>
      <c r="Q32" s="216">
        <f t="shared" si="15"/>
        <v>17.217890073688782</v>
      </c>
      <c r="R32" s="216">
        <f t="shared" si="15"/>
        <v>17.403834548144012</v>
      </c>
      <c r="S32" s="216">
        <f t="shared" si="15"/>
        <v>17.589861538809647</v>
      </c>
      <c r="T32" s="216">
        <f t="shared" si="15"/>
        <v>17.775929599333011</v>
      </c>
      <c r="U32" s="216">
        <f t="shared" si="15"/>
        <v>17.961996785777828</v>
      </c>
      <c r="V32" s="216">
        <f t="shared" si="15"/>
        <v>18.148020669856798</v>
      </c>
      <c r="W32" s="216">
        <f t="shared" si="15"/>
        <v>18.33395835260367</v>
      </c>
      <c r="X32" s="216">
        <f t="shared" si="15"/>
        <v>18.519970462814392</v>
      </c>
      <c r="Y32" s="216">
        <f t="shared" si="15"/>
        <v>18.706019655608895</v>
      </c>
      <c r="Z32" s="216">
        <f t="shared" si="15"/>
        <v>18.892068164071532</v>
      </c>
      <c r="AA32" s="216">
        <f t="shared" si="15"/>
        <v>19.078077810042121</v>
      </c>
      <c r="AB32" s="216">
        <f t="shared" si="15"/>
        <v>19.264010015242892</v>
      </c>
      <c r="AC32" s="216">
        <f t="shared" si="15"/>
        <v>19.450009696000929</v>
      </c>
      <c r="AD32" s="216">
        <f t="shared" si="15"/>
        <v>19.636043025222392</v>
      </c>
      <c r="AE32" s="216">
        <f t="shared" si="15"/>
        <v>19.822075814687434</v>
      </c>
      <c r="AF32" s="216">
        <f t="shared" si="15"/>
        <v>20.008073523938176</v>
      </c>
      <c r="AG32" s="216">
        <f t="shared" si="15"/>
        <v>20.194001269427055</v>
      </c>
      <c r="AJ32" s="162"/>
      <c r="AL32" s="221"/>
      <c r="AM32" s="124"/>
      <c r="AN32" s="124"/>
      <c r="AO32" s="124"/>
    </row>
    <row r="33" spans="1:64" ht="16" outlineLevel="1" thickTop="1">
      <c r="AL33" s="108"/>
      <c r="AM33" s="2"/>
      <c r="AN33" s="2"/>
      <c r="AO33" s="2"/>
    </row>
    <row r="34" spans="1:64" outlineLevel="1">
      <c r="A34" t="s">
        <v>1541</v>
      </c>
      <c r="B34" s="176" t="s">
        <v>1535</v>
      </c>
      <c r="C34" s="107">
        <f>C32</f>
        <v>12.673879407338728</v>
      </c>
      <c r="D34" s="107">
        <f t="shared" ref="D34:AG34" si="16">D32</f>
        <v>13.098726851099091</v>
      </c>
      <c r="E34" s="107">
        <f t="shared" si="16"/>
        <v>13.502427023619299</v>
      </c>
      <c r="F34" s="107">
        <f t="shared" si="16"/>
        <v>13.882209074846781</v>
      </c>
      <c r="G34" s="107">
        <f t="shared" si="16"/>
        <v>14.235413036033478</v>
      </c>
      <c r="H34" s="107">
        <f t="shared" si="16"/>
        <v>14.559520852589715</v>
      </c>
      <c r="I34" s="107">
        <f t="shared" si="16"/>
        <v>14.884229245454527</v>
      </c>
      <c r="J34" s="107">
        <f t="shared" si="16"/>
        <v>15.209244221270575</v>
      </c>
      <c r="K34" s="107">
        <f t="shared" si="16"/>
        <v>15.534264322775988</v>
      </c>
      <c r="L34" s="107">
        <f t="shared" si="16"/>
        <v>15.858981020841343</v>
      </c>
      <c r="M34" s="107">
        <f t="shared" si="16"/>
        <v>16.183079133002487</v>
      </c>
      <c r="N34" s="107">
        <f t="shared" si="16"/>
        <v>16.482620297976691</v>
      </c>
      <c r="O34" s="107">
        <f t="shared" si="16"/>
        <v>16.755943206611072</v>
      </c>
      <c r="P34" s="107">
        <f t="shared" si="16"/>
        <v>17.001503890847083</v>
      </c>
      <c r="Q34" s="107">
        <f t="shared" si="16"/>
        <v>17.217890073688782</v>
      </c>
      <c r="R34" s="107">
        <f t="shared" si="16"/>
        <v>17.403834548144012</v>
      </c>
      <c r="S34" s="107">
        <f t="shared" si="16"/>
        <v>17.589861538809647</v>
      </c>
      <c r="T34" s="107">
        <f t="shared" si="16"/>
        <v>17.775929599333011</v>
      </c>
      <c r="U34" s="107">
        <f t="shared" si="16"/>
        <v>17.961996785777828</v>
      </c>
      <c r="V34" s="107">
        <f t="shared" si="16"/>
        <v>18.148020669856798</v>
      </c>
      <c r="W34" s="107">
        <f t="shared" si="16"/>
        <v>18.33395835260367</v>
      </c>
      <c r="X34" s="107">
        <f t="shared" si="16"/>
        <v>18.519970462814392</v>
      </c>
      <c r="Y34" s="107">
        <f t="shared" si="16"/>
        <v>18.706019655608895</v>
      </c>
      <c r="Z34" s="107">
        <f t="shared" si="16"/>
        <v>18.892068164071532</v>
      </c>
      <c r="AA34" s="107">
        <f t="shared" si="16"/>
        <v>19.078077810042121</v>
      </c>
      <c r="AB34" s="107">
        <f t="shared" si="16"/>
        <v>19.264010015242892</v>
      </c>
      <c r="AC34" s="107">
        <f t="shared" si="16"/>
        <v>19.450009696000929</v>
      </c>
      <c r="AD34" s="107">
        <f t="shared" si="16"/>
        <v>19.636043025222392</v>
      </c>
      <c r="AE34" s="107">
        <f t="shared" si="16"/>
        <v>19.822075814687434</v>
      </c>
      <c r="AF34" s="107">
        <f t="shared" si="16"/>
        <v>20.008073523938176</v>
      </c>
      <c r="AG34" s="107">
        <f t="shared" si="16"/>
        <v>20.194001269427055</v>
      </c>
      <c r="AL34" s="108"/>
      <c r="AM34" s="2"/>
      <c r="AN34" s="2"/>
      <c r="AO34" s="2"/>
    </row>
    <row r="35" spans="1:64" outlineLevel="1">
      <c r="AL35" s="108"/>
      <c r="AM35" s="2"/>
      <c r="AN35" s="2"/>
      <c r="AO35" s="2"/>
    </row>
    <row r="36" spans="1:64" outlineLevel="1">
      <c r="A36" t="s">
        <v>1542</v>
      </c>
      <c r="B36" s="54" t="s">
        <v>462</v>
      </c>
      <c r="C36" s="205">
        <f>'Yearly Methanol'!D36/'Yearly Methanol'!D29</f>
        <v>1</v>
      </c>
      <c r="D36" s="205">
        <f>'Yearly Methanol'!E36/'Yearly Methanol'!E29</f>
        <v>1</v>
      </c>
      <c r="E36" s="205">
        <f>'Yearly Methanol'!F36/'Yearly Methanol'!F29</f>
        <v>1</v>
      </c>
      <c r="F36" s="205">
        <f>'Yearly Methanol'!G36/'Yearly Methanol'!G29</f>
        <v>1</v>
      </c>
      <c r="G36" s="205">
        <f>'Yearly Methanol'!H36/'Yearly Methanol'!H29</f>
        <v>1</v>
      </c>
      <c r="H36" s="205">
        <f>'Yearly Methanol'!I36/'Yearly Methanol'!I29</f>
        <v>1</v>
      </c>
      <c r="I36" s="205">
        <f>'Yearly Methanol'!J36/'Yearly Methanol'!J29</f>
        <v>1</v>
      </c>
      <c r="J36" s="205">
        <f>'Yearly Methanol'!K36/'Yearly Methanol'!K29</f>
        <v>1</v>
      </c>
      <c r="K36" s="205">
        <f>'Yearly Methanol'!L36/'Yearly Methanol'!L29</f>
        <v>1</v>
      </c>
      <c r="L36" s="205">
        <f>'Yearly Methanol'!M36/'Yearly Methanol'!M29</f>
        <v>1</v>
      </c>
      <c r="M36" s="205">
        <f>'Yearly Methanol'!N36/'Yearly Methanol'!N29</f>
        <v>1</v>
      </c>
      <c r="N36" s="205">
        <f>'Yearly Methanol'!O36/'Yearly Methanol'!O29</f>
        <v>1</v>
      </c>
      <c r="O36" s="205">
        <f>'Yearly Methanol'!P36/'Yearly Methanol'!P29</f>
        <v>1</v>
      </c>
      <c r="P36" s="205">
        <f>'Yearly Methanol'!Q36/'Yearly Methanol'!Q29</f>
        <v>1</v>
      </c>
      <c r="Q36" s="205">
        <f>'Yearly Methanol'!R36/'Yearly Methanol'!R29</f>
        <v>1</v>
      </c>
      <c r="R36" s="205">
        <f>'Yearly Methanol'!S36/'Yearly Methanol'!S29</f>
        <v>1</v>
      </c>
      <c r="S36" s="205">
        <f>'Yearly Methanol'!T36/'Yearly Methanol'!T29</f>
        <v>1</v>
      </c>
      <c r="T36" s="205">
        <f>'Yearly Methanol'!U36/'Yearly Methanol'!U29</f>
        <v>1</v>
      </c>
      <c r="U36" s="205">
        <f>'Yearly Methanol'!V36/'Yearly Methanol'!V29</f>
        <v>1</v>
      </c>
      <c r="V36" s="205">
        <f>'Yearly Methanol'!W36/'Yearly Methanol'!W29</f>
        <v>1</v>
      </c>
      <c r="W36" s="205">
        <f>'Yearly Methanol'!X36/'Yearly Methanol'!X29</f>
        <v>1</v>
      </c>
      <c r="X36" s="205">
        <f>'Yearly Methanol'!Y36/'Yearly Methanol'!Y29</f>
        <v>1</v>
      </c>
      <c r="Y36" s="205">
        <f>'Yearly Methanol'!Z36/'Yearly Methanol'!Z29</f>
        <v>1</v>
      </c>
      <c r="Z36" s="205">
        <f>'Yearly Methanol'!AA36/'Yearly Methanol'!AA29</f>
        <v>1</v>
      </c>
      <c r="AA36" s="205">
        <f>'Yearly Methanol'!AB36/'Yearly Methanol'!AB29</f>
        <v>1</v>
      </c>
      <c r="AB36" s="205">
        <f>'Yearly Methanol'!AC36/'Yearly Methanol'!AC29</f>
        <v>1</v>
      </c>
      <c r="AC36" s="205">
        <f>'Yearly Methanol'!AD36/'Yearly Methanol'!AD29</f>
        <v>1</v>
      </c>
      <c r="AD36" s="205">
        <f>'Yearly Methanol'!AE36/'Yearly Methanol'!AE29</f>
        <v>1</v>
      </c>
      <c r="AE36" s="205">
        <f>'Yearly Methanol'!AF36/'Yearly Methanol'!AF29</f>
        <v>1</v>
      </c>
      <c r="AF36" s="205">
        <f>'Yearly Methanol'!AG36/'Yearly Methanol'!AG29</f>
        <v>1</v>
      </c>
      <c r="AG36" s="205">
        <f>'Yearly Methanol'!AH36/'Yearly Methanol'!AH29</f>
        <v>1</v>
      </c>
      <c r="AL36" s="108"/>
      <c r="AM36" s="207"/>
      <c r="AN36" s="207"/>
      <c r="AO36" s="207"/>
      <c r="BC36" s="1"/>
      <c r="BD36" s="578"/>
      <c r="BE36" s="578"/>
      <c r="BF36" s="578"/>
      <c r="BG36" s="578"/>
      <c r="BH36" s="578"/>
      <c r="BI36" s="578"/>
      <c r="BJ36" s="578"/>
      <c r="BK36" s="578"/>
    </row>
    <row r="37" spans="1:64" outlineLevel="1">
      <c r="A37" t="s">
        <v>1543</v>
      </c>
      <c r="B37" s="54" t="s">
        <v>462</v>
      </c>
      <c r="C37" s="205">
        <f>'Yearly Methanol'!D25/'Yearly Methanol'!D18</f>
        <v>1</v>
      </c>
      <c r="D37" s="205">
        <f>'Yearly Methanol'!E25/'Yearly Methanol'!E18</f>
        <v>1.002</v>
      </c>
      <c r="E37" s="205">
        <f>'Yearly Methanol'!F25/'Yearly Methanol'!F18</f>
        <v>1.004</v>
      </c>
      <c r="F37" s="205">
        <f>'Yearly Methanol'!G25/'Yearly Methanol'!G18</f>
        <v>1.006</v>
      </c>
      <c r="G37" s="205">
        <f>'Yearly Methanol'!H25/'Yearly Methanol'!H18</f>
        <v>1.008</v>
      </c>
      <c r="H37" s="205">
        <f>'Yearly Methanol'!I25/'Yearly Methanol'!I18</f>
        <v>1.01</v>
      </c>
      <c r="I37" s="205">
        <f>'Yearly Methanol'!J25/'Yearly Methanol'!J18</f>
        <v>1.012</v>
      </c>
      <c r="J37" s="205">
        <f>'Yearly Methanol'!K25/'Yearly Methanol'!K18</f>
        <v>1.014</v>
      </c>
      <c r="K37" s="205">
        <f>'Yearly Methanol'!L25/'Yearly Methanol'!L18</f>
        <v>1.016</v>
      </c>
      <c r="L37" s="205">
        <f>'Yearly Methanol'!M25/'Yearly Methanol'!M18</f>
        <v>1.018</v>
      </c>
      <c r="M37" s="205">
        <f>'Yearly Methanol'!N25/'Yearly Methanol'!N18</f>
        <v>1.02</v>
      </c>
      <c r="N37" s="205">
        <f>'Yearly Methanol'!O25/'Yearly Methanol'!O18</f>
        <v>1.0250000000000001</v>
      </c>
      <c r="O37" s="205">
        <f>'Yearly Methanol'!P25/'Yearly Methanol'!P18</f>
        <v>1.03</v>
      </c>
      <c r="P37" s="205">
        <f>'Yearly Methanol'!Q25/'Yearly Methanol'!Q18</f>
        <v>1.0349999999999999</v>
      </c>
      <c r="Q37" s="205">
        <f>'Yearly Methanol'!R25/'Yearly Methanol'!R18</f>
        <v>1.04</v>
      </c>
      <c r="R37" s="205">
        <f>'Yearly Methanol'!S25/'Yearly Methanol'!S18</f>
        <v>1.0449999999999999</v>
      </c>
      <c r="S37" s="205">
        <f>'Yearly Methanol'!T25/'Yearly Methanol'!T18</f>
        <v>1.05</v>
      </c>
      <c r="T37" s="205">
        <f>'Yearly Methanol'!U25/'Yearly Methanol'!U18</f>
        <v>1.0549999999999999</v>
      </c>
      <c r="U37" s="205">
        <f>'Yearly Methanol'!V25/'Yearly Methanol'!V18</f>
        <v>1.06</v>
      </c>
      <c r="V37" s="205">
        <f>'Yearly Methanol'!W25/'Yearly Methanol'!W18</f>
        <v>1.0650000000000002</v>
      </c>
      <c r="W37" s="205">
        <f>'Yearly Methanol'!X25/'Yearly Methanol'!X18</f>
        <v>1.07</v>
      </c>
      <c r="X37" s="205">
        <f>'Yearly Methanol'!Y25/'Yearly Methanol'!Y18</f>
        <v>1.073</v>
      </c>
      <c r="Y37" s="205">
        <f>'Yearly Methanol'!Z25/'Yearly Methanol'!Z18</f>
        <v>1.0760000000000001</v>
      </c>
      <c r="Z37" s="205">
        <f>'Yearly Methanol'!AA25/'Yearly Methanol'!AA18</f>
        <v>1.079</v>
      </c>
      <c r="AA37" s="205">
        <f>'Yearly Methanol'!AB25/'Yearly Methanol'!AB18</f>
        <v>1.0820000000000001</v>
      </c>
      <c r="AB37" s="205">
        <f>'Yearly Methanol'!AC25/'Yearly Methanol'!AC18</f>
        <v>1.085</v>
      </c>
      <c r="AC37" s="205">
        <f>'Yearly Methanol'!AD25/'Yearly Methanol'!AD18</f>
        <v>1.0879999999999999</v>
      </c>
      <c r="AD37" s="205">
        <f>'Yearly Methanol'!AE25/'Yearly Methanol'!AE18</f>
        <v>1.091</v>
      </c>
      <c r="AE37" s="205">
        <f>'Yearly Methanol'!AF25/'Yearly Methanol'!AF18</f>
        <v>1.0940000000000001</v>
      </c>
      <c r="AF37" s="205">
        <f>'Yearly Methanol'!AG25/'Yearly Methanol'!AG18</f>
        <v>1.097</v>
      </c>
      <c r="AG37" s="205">
        <f>'Yearly Methanol'!AH25/'Yearly Methanol'!AH18</f>
        <v>1.1000000000000001</v>
      </c>
      <c r="AL37" s="108"/>
      <c r="AM37" s="207"/>
      <c r="AN37" s="207"/>
      <c r="AO37" s="207"/>
      <c r="BL37" s="1"/>
    </row>
    <row r="38" spans="1:64" outlineLevel="1">
      <c r="A38" t="s">
        <v>1544</v>
      </c>
      <c r="B38" s="54" t="s">
        <v>462</v>
      </c>
      <c r="C38" s="205">
        <f>'Yearly Methanol'!D43/'Yearly Methanol'!D40</f>
        <v>1</v>
      </c>
      <c r="D38" s="205">
        <f>'Yearly Methanol'!E43/'Yearly Methanol'!E40</f>
        <v>1</v>
      </c>
      <c r="E38" s="205">
        <f>'Yearly Methanol'!F43/'Yearly Methanol'!F40</f>
        <v>1</v>
      </c>
      <c r="F38" s="205">
        <f>'Yearly Methanol'!G43/'Yearly Methanol'!G40</f>
        <v>1</v>
      </c>
      <c r="G38" s="205">
        <f>'Yearly Methanol'!H43/'Yearly Methanol'!H40</f>
        <v>1</v>
      </c>
      <c r="H38" s="205">
        <f>'Yearly Methanol'!I43/'Yearly Methanol'!I40</f>
        <v>1</v>
      </c>
      <c r="I38" s="205">
        <f>'Yearly Methanol'!J43/'Yearly Methanol'!J40</f>
        <v>1</v>
      </c>
      <c r="J38" s="205">
        <f>'Yearly Methanol'!K43/'Yearly Methanol'!K40</f>
        <v>1</v>
      </c>
      <c r="K38" s="205">
        <f>'Yearly Methanol'!L43/'Yearly Methanol'!L40</f>
        <v>1</v>
      </c>
      <c r="L38" s="205">
        <f>'Yearly Methanol'!M43/'Yearly Methanol'!M40</f>
        <v>1</v>
      </c>
      <c r="M38" s="205">
        <f>'Yearly Methanol'!N43/'Yearly Methanol'!N40</f>
        <v>1</v>
      </c>
      <c r="N38" s="205">
        <f>'Yearly Methanol'!O43/'Yearly Methanol'!O40</f>
        <v>1</v>
      </c>
      <c r="O38" s="205">
        <f>'Yearly Methanol'!P43/'Yearly Methanol'!P40</f>
        <v>1</v>
      </c>
      <c r="P38" s="205">
        <f>'Yearly Methanol'!Q43/'Yearly Methanol'!Q40</f>
        <v>1</v>
      </c>
      <c r="Q38" s="205">
        <f>'Yearly Methanol'!R43/'Yearly Methanol'!R40</f>
        <v>1</v>
      </c>
      <c r="R38" s="205">
        <f>'Yearly Methanol'!S43/'Yearly Methanol'!S40</f>
        <v>1</v>
      </c>
      <c r="S38" s="205">
        <f>'Yearly Methanol'!T43/'Yearly Methanol'!T40</f>
        <v>1</v>
      </c>
      <c r="T38" s="205">
        <f>'Yearly Methanol'!U43/'Yearly Methanol'!U40</f>
        <v>1</v>
      </c>
      <c r="U38" s="205">
        <f>'Yearly Methanol'!V43/'Yearly Methanol'!V40</f>
        <v>1</v>
      </c>
      <c r="V38" s="205">
        <f>'Yearly Methanol'!W43/'Yearly Methanol'!W40</f>
        <v>1</v>
      </c>
      <c r="W38" s="205">
        <f>'Yearly Methanol'!X43/'Yearly Methanol'!X40</f>
        <v>1</v>
      </c>
      <c r="X38" s="205">
        <f>'Yearly Methanol'!Y43/'Yearly Methanol'!Y40</f>
        <v>1</v>
      </c>
      <c r="Y38" s="205">
        <f>'Yearly Methanol'!Z43/'Yearly Methanol'!Z40</f>
        <v>1</v>
      </c>
      <c r="Z38" s="205">
        <f>'Yearly Methanol'!AA43/'Yearly Methanol'!AA40</f>
        <v>1</v>
      </c>
      <c r="AA38" s="205">
        <f>'Yearly Methanol'!AB43/'Yearly Methanol'!AB40</f>
        <v>1</v>
      </c>
      <c r="AB38" s="205">
        <f>'Yearly Methanol'!AC43/'Yearly Methanol'!AC40</f>
        <v>1</v>
      </c>
      <c r="AC38" s="205">
        <f>'Yearly Methanol'!AD43/'Yearly Methanol'!AD40</f>
        <v>1</v>
      </c>
      <c r="AD38" s="205">
        <f>'Yearly Methanol'!AE43/'Yearly Methanol'!AE40</f>
        <v>1</v>
      </c>
      <c r="AE38" s="205">
        <f>'Yearly Methanol'!AF43/'Yearly Methanol'!AF40</f>
        <v>1</v>
      </c>
      <c r="AF38" s="205">
        <f>'Yearly Methanol'!AG43/'Yearly Methanol'!AG40</f>
        <v>1</v>
      </c>
      <c r="AG38" s="205">
        <f>'Yearly Methanol'!AH43/'Yearly Methanol'!AH40</f>
        <v>1</v>
      </c>
      <c r="AL38" s="108"/>
      <c r="AM38" s="207"/>
      <c r="AN38" s="207"/>
      <c r="AO38" s="207"/>
      <c r="BD38" s="41"/>
      <c r="BE38" s="41"/>
      <c r="BF38" s="41"/>
      <c r="BG38" s="41"/>
      <c r="BH38" s="41"/>
      <c r="BI38" s="41"/>
      <c r="BJ38" s="41"/>
      <c r="BK38" s="41"/>
      <c r="BL38" s="118"/>
    </row>
    <row r="39" spans="1:64" outlineLevel="1">
      <c r="A39" t="s">
        <v>1545</v>
      </c>
      <c r="B39" s="54" t="s">
        <v>462</v>
      </c>
      <c r="C39" s="205">
        <f>'Yearly Methanol'!D52/'Yearly Methanol'!D47</f>
        <v>1</v>
      </c>
      <c r="D39" s="205">
        <f>'Yearly Methanol'!E52/'Yearly Methanol'!E47</f>
        <v>1</v>
      </c>
      <c r="E39" s="205">
        <f>'Yearly Methanol'!F52/'Yearly Methanol'!F47</f>
        <v>1</v>
      </c>
      <c r="F39" s="205">
        <f>'Yearly Methanol'!G52/'Yearly Methanol'!G47</f>
        <v>1</v>
      </c>
      <c r="G39" s="205">
        <f>'Yearly Methanol'!H52/'Yearly Methanol'!H47</f>
        <v>1</v>
      </c>
      <c r="H39" s="205">
        <f>'Yearly Methanol'!I52/'Yearly Methanol'!I47</f>
        <v>1</v>
      </c>
      <c r="I39" s="205">
        <f>'Yearly Methanol'!J52/'Yearly Methanol'!J47</f>
        <v>1</v>
      </c>
      <c r="J39" s="205">
        <f>'Yearly Methanol'!K52/'Yearly Methanol'!K47</f>
        <v>1</v>
      </c>
      <c r="K39" s="205">
        <f>'Yearly Methanol'!L52/'Yearly Methanol'!L47</f>
        <v>1</v>
      </c>
      <c r="L39" s="205">
        <f>'Yearly Methanol'!M52/'Yearly Methanol'!M47</f>
        <v>1</v>
      </c>
      <c r="M39" s="205">
        <f>'Yearly Methanol'!N52/'Yearly Methanol'!N47</f>
        <v>1</v>
      </c>
      <c r="N39" s="205">
        <f>'Yearly Methanol'!O52/'Yearly Methanol'!O47</f>
        <v>1</v>
      </c>
      <c r="O39" s="205">
        <f>'Yearly Methanol'!P52/'Yearly Methanol'!P47</f>
        <v>1</v>
      </c>
      <c r="P39" s="205">
        <f>'Yearly Methanol'!Q52/'Yearly Methanol'!Q47</f>
        <v>1</v>
      </c>
      <c r="Q39" s="205">
        <f>'Yearly Methanol'!R52/'Yearly Methanol'!R47</f>
        <v>1</v>
      </c>
      <c r="R39" s="205">
        <f>'Yearly Methanol'!S52/'Yearly Methanol'!S47</f>
        <v>1</v>
      </c>
      <c r="S39" s="205">
        <f>'Yearly Methanol'!T52/'Yearly Methanol'!T47</f>
        <v>1</v>
      </c>
      <c r="T39" s="205">
        <f>'Yearly Methanol'!U52/'Yearly Methanol'!U47</f>
        <v>1</v>
      </c>
      <c r="U39" s="205">
        <f>'Yearly Methanol'!V52/'Yearly Methanol'!V47</f>
        <v>1</v>
      </c>
      <c r="V39" s="205">
        <f>'Yearly Methanol'!W52/'Yearly Methanol'!W47</f>
        <v>1</v>
      </c>
      <c r="W39" s="205">
        <f>'Yearly Methanol'!X52/'Yearly Methanol'!X47</f>
        <v>1</v>
      </c>
      <c r="X39" s="205">
        <f>'Yearly Methanol'!Y52/'Yearly Methanol'!Y47</f>
        <v>1</v>
      </c>
      <c r="Y39" s="205">
        <f>'Yearly Methanol'!Z52/'Yearly Methanol'!Z47</f>
        <v>1</v>
      </c>
      <c r="Z39" s="205">
        <f>'Yearly Methanol'!AA52/'Yearly Methanol'!AA47</f>
        <v>1</v>
      </c>
      <c r="AA39" s="205">
        <f>'Yearly Methanol'!AB52/'Yearly Methanol'!AB47</f>
        <v>1</v>
      </c>
      <c r="AB39" s="205">
        <f>'Yearly Methanol'!AC52/'Yearly Methanol'!AC47</f>
        <v>1</v>
      </c>
      <c r="AC39" s="205">
        <f>'Yearly Methanol'!AD52/'Yearly Methanol'!AD47</f>
        <v>1</v>
      </c>
      <c r="AD39" s="205">
        <f>'Yearly Methanol'!AE52/'Yearly Methanol'!AE47</f>
        <v>1</v>
      </c>
      <c r="AE39" s="205">
        <f>'Yearly Methanol'!AF52/'Yearly Methanol'!AF47</f>
        <v>1</v>
      </c>
      <c r="AF39" s="205">
        <f>'Yearly Methanol'!AG52/'Yearly Methanol'!AG47</f>
        <v>1</v>
      </c>
      <c r="AG39" s="205">
        <f>'Yearly Methanol'!AH52/'Yearly Methanol'!AH47</f>
        <v>1</v>
      </c>
      <c r="AL39" s="108"/>
      <c r="AM39" s="207"/>
      <c r="AN39" s="207"/>
      <c r="AO39" s="207"/>
      <c r="BD39" s="41"/>
      <c r="BE39" s="41"/>
      <c r="BF39" s="41"/>
      <c r="BG39" s="41"/>
      <c r="BH39" s="41"/>
      <c r="BI39" s="41"/>
      <c r="BJ39" s="41"/>
      <c r="BK39" s="41"/>
      <c r="BL39" s="118"/>
    </row>
    <row r="40" spans="1:64" outlineLevel="1">
      <c r="A40" t="s">
        <v>1546</v>
      </c>
      <c r="B40" s="176" t="s">
        <v>462</v>
      </c>
      <c r="C40" s="159">
        <f>'Yearly Methanol'!D59/'Yearly Methanol'!D56</f>
        <v>1</v>
      </c>
      <c r="D40" s="159">
        <f>'Yearly Methanol'!E59/'Yearly Methanol'!E56</f>
        <v>1</v>
      </c>
      <c r="E40" s="159">
        <f>'Yearly Methanol'!F59/'Yearly Methanol'!F56</f>
        <v>1</v>
      </c>
      <c r="F40" s="159">
        <f>'Yearly Methanol'!G59/'Yearly Methanol'!G56</f>
        <v>1</v>
      </c>
      <c r="G40" s="159">
        <f>'Yearly Methanol'!H59/'Yearly Methanol'!H56</f>
        <v>1</v>
      </c>
      <c r="H40" s="159">
        <f>'Yearly Methanol'!I59/'Yearly Methanol'!I56</f>
        <v>1</v>
      </c>
      <c r="I40" s="159">
        <f>'Yearly Methanol'!J59/'Yearly Methanol'!J56</f>
        <v>1</v>
      </c>
      <c r="J40" s="159">
        <f>'Yearly Methanol'!K59/'Yearly Methanol'!K56</f>
        <v>1</v>
      </c>
      <c r="K40" s="159">
        <f>'Yearly Methanol'!L59/'Yearly Methanol'!L56</f>
        <v>1</v>
      </c>
      <c r="L40" s="159">
        <f>'Yearly Methanol'!M59/'Yearly Methanol'!M56</f>
        <v>1</v>
      </c>
      <c r="M40" s="159">
        <f>'Yearly Methanol'!N59/'Yearly Methanol'!N56</f>
        <v>1</v>
      </c>
      <c r="N40" s="159">
        <f>'Yearly Methanol'!O59/'Yearly Methanol'!O56</f>
        <v>1</v>
      </c>
      <c r="O40" s="159">
        <f>'Yearly Methanol'!P59/'Yearly Methanol'!P56</f>
        <v>1</v>
      </c>
      <c r="P40" s="159">
        <f>'Yearly Methanol'!Q59/'Yearly Methanol'!Q56</f>
        <v>1</v>
      </c>
      <c r="Q40" s="159">
        <f>'Yearly Methanol'!R59/'Yearly Methanol'!R56</f>
        <v>1</v>
      </c>
      <c r="R40" s="159">
        <f>'Yearly Methanol'!S59/'Yearly Methanol'!S56</f>
        <v>1</v>
      </c>
      <c r="S40" s="159">
        <f>'Yearly Methanol'!T59/'Yearly Methanol'!T56</f>
        <v>1</v>
      </c>
      <c r="T40" s="159">
        <f>'Yearly Methanol'!U59/'Yearly Methanol'!U56</f>
        <v>1</v>
      </c>
      <c r="U40" s="159">
        <f>'Yearly Methanol'!V59/'Yearly Methanol'!V56</f>
        <v>1</v>
      </c>
      <c r="V40" s="159">
        <f>'Yearly Methanol'!W59/'Yearly Methanol'!W56</f>
        <v>1</v>
      </c>
      <c r="W40" s="159">
        <f>'Yearly Methanol'!X59/'Yearly Methanol'!X56</f>
        <v>1</v>
      </c>
      <c r="X40" s="159">
        <f>'Yearly Methanol'!Y59/'Yearly Methanol'!Y56</f>
        <v>1</v>
      </c>
      <c r="Y40" s="159">
        <f>'Yearly Methanol'!Z59/'Yearly Methanol'!Z56</f>
        <v>1</v>
      </c>
      <c r="Z40" s="159">
        <f>'Yearly Methanol'!AA59/'Yearly Methanol'!AA56</f>
        <v>1</v>
      </c>
      <c r="AA40" s="159">
        <f>'Yearly Methanol'!AB59/'Yearly Methanol'!AB56</f>
        <v>1</v>
      </c>
      <c r="AB40" s="159">
        <f>'Yearly Methanol'!AC59/'Yearly Methanol'!AC56</f>
        <v>1</v>
      </c>
      <c r="AC40" s="159">
        <f>'Yearly Methanol'!AD59/'Yearly Methanol'!AD56</f>
        <v>1</v>
      </c>
      <c r="AD40" s="159">
        <f>'Yearly Methanol'!AE59/'Yearly Methanol'!AE56</f>
        <v>1</v>
      </c>
      <c r="AE40" s="159">
        <f>'Yearly Methanol'!AF59/'Yearly Methanol'!AF56</f>
        <v>1</v>
      </c>
      <c r="AF40" s="159">
        <f>'Yearly Methanol'!AG59/'Yearly Methanol'!AG56</f>
        <v>1</v>
      </c>
      <c r="AG40" s="159">
        <f>'Yearly Methanol'!AH59/'Yearly Methanol'!AH56</f>
        <v>1</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1547</v>
      </c>
      <c r="B42" s="54" t="s">
        <v>1535</v>
      </c>
      <c r="C42" s="107">
        <f>C27*C36</f>
        <v>2.137941716225618</v>
      </c>
      <c r="D42" s="107">
        <f t="shared" ref="D42:AF42" si="17">D27*D36</f>
        <v>2.2096087286575932</v>
      </c>
      <c r="E42" s="107">
        <f t="shared" si="17"/>
        <v>2.2777084329343018</v>
      </c>
      <c r="F42" s="107">
        <f t="shared" si="17"/>
        <v>2.3417734176399954</v>
      </c>
      <c r="G42" s="107">
        <f t="shared" si="17"/>
        <v>2.4013549757949453</v>
      </c>
      <c r="H42" s="107">
        <f t="shared" si="17"/>
        <v>2.4560283397508269</v>
      </c>
      <c r="I42" s="107">
        <f t="shared" si="17"/>
        <v>2.5108030142133506</v>
      </c>
      <c r="J42" s="107">
        <f t="shared" si="17"/>
        <v>2.5656294057910416</v>
      </c>
      <c r="K42" s="107">
        <f t="shared" si="17"/>
        <v>2.6204566620152048</v>
      </c>
      <c r="L42" s="107">
        <f t="shared" si="17"/>
        <v>2.6752327374721778</v>
      </c>
      <c r="M42" s="107">
        <f t="shared" si="17"/>
        <v>2.7299044644051373</v>
      </c>
      <c r="N42" s="107">
        <f t="shared" si="17"/>
        <v>2.7804337089831113</v>
      </c>
      <c r="O42" s="107">
        <f t="shared" si="17"/>
        <v>2.8265402269314515</v>
      </c>
      <c r="P42" s="107">
        <f t="shared" si="17"/>
        <v>2.867963568105826</v>
      </c>
      <c r="Q42" s="107">
        <f t="shared" si="17"/>
        <v>2.9044654971713828</v>
      </c>
      <c r="R42" s="107">
        <f t="shared" si="17"/>
        <v>2.935832250480499</v>
      </c>
      <c r="S42" s="107">
        <f t="shared" si="17"/>
        <v>2.9672129233514815</v>
      </c>
      <c r="T42" s="107">
        <f t="shared" si="17"/>
        <v>2.9986005242481526</v>
      </c>
      <c r="U42" s="107">
        <f t="shared" si="17"/>
        <v>3.0299879776975489</v>
      </c>
      <c r="V42" s="107">
        <f t="shared" si="17"/>
        <v>3.0613681265221042</v>
      </c>
      <c r="W42" s="107">
        <f t="shared" si="17"/>
        <v>3.092733734145976</v>
      </c>
      <c r="X42" s="107">
        <f t="shared" si="17"/>
        <v>3.1241118968506316</v>
      </c>
      <c r="Y42" s="107">
        <f t="shared" si="17"/>
        <v>3.1554963149724538</v>
      </c>
      <c r="Z42" s="107">
        <f t="shared" si="17"/>
        <v>3.1868806176551439</v>
      </c>
      <c r="AA42" s="107">
        <f t="shared" si="17"/>
        <v>3.2182583646700484</v>
      </c>
      <c r="AB42" s="107">
        <f t="shared" si="17"/>
        <v>3.2496230482931523</v>
      </c>
      <c r="AC42" s="107">
        <f t="shared" si="17"/>
        <v>3.2809991142881461</v>
      </c>
      <c r="AD42" s="107">
        <f t="shared" si="17"/>
        <v>3.3123808564026085</v>
      </c>
      <c r="AE42" s="107">
        <f t="shared" si="17"/>
        <v>3.3437625074661987</v>
      </c>
      <c r="AF42" s="107">
        <f t="shared" si="17"/>
        <v>3.3751382408899606</v>
      </c>
      <c r="AG42" s="107">
        <f>AG27*AG36</f>
        <v>3.4065021722095441</v>
      </c>
      <c r="AI42" s="210" t="s">
        <v>1301</v>
      </c>
      <c r="AJ42" s="211" t="s">
        <v>1302</v>
      </c>
      <c r="BD42" s="41"/>
      <c r="BE42" s="41"/>
      <c r="BF42" s="41"/>
      <c r="BG42" s="41"/>
      <c r="BH42" s="41"/>
      <c r="BI42" s="41"/>
      <c r="BJ42" s="41"/>
      <c r="BK42" s="41"/>
      <c r="BL42" s="118"/>
    </row>
    <row r="43" spans="1:64" outlineLevel="1">
      <c r="A43" t="s">
        <v>1548</v>
      </c>
      <c r="B43" s="54" t="s">
        <v>1535</v>
      </c>
      <c r="C43" s="107">
        <f t="shared" ref="C43:O43" si="18">C28*$C$37</f>
        <v>0.58649688544622769</v>
      </c>
      <c r="D43" s="107">
        <f t="shared" si="18"/>
        <v>0.60615714056992442</v>
      </c>
      <c r="E43" s="107">
        <f t="shared" si="18"/>
        <v>0.62483878383221614</v>
      </c>
      <c r="F43" s="107">
        <f t="shared" si="18"/>
        <v>0.64241359127943864</v>
      </c>
      <c r="G43" s="107">
        <f t="shared" si="18"/>
        <v>0.65875847010504252</v>
      </c>
      <c r="H43" s="107">
        <f t="shared" si="18"/>
        <v>0.67375689472702072</v>
      </c>
      <c r="I43" s="107">
        <f t="shared" si="18"/>
        <v>0.68878311163919914</v>
      </c>
      <c r="J43" s="107">
        <f t="shared" si="18"/>
        <v>0.70382351599472071</v>
      </c>
      <c r="K43" s="107">
        <f t="shared" si="18"/>
        <v>0.71886415754682209</v>
      </c>
      <c r="L43" s="107">
        <f t="shared" si="18"/>
        <v>0.73389075879075039</v>
      </c>
      <c r="M43" s="107">
        <f t="shared" si="18"/>
        <v>0.74888873433180292</v>
      </c>
      <c r="N43" s="107">
        <f t="shared" si="18"/>
        <v>0.76275031172842678</v>
      </c>
      <c r="O43" s="107">
        <f t="shared" si="18"/>
        <v>0.7753986121803268</v>
      </c>
      <c r="P43" s="107">
        <f t="shared" ref="P43:AG43" si="19">D37*P28</f>
        <v>0.78833571134171609</v>
      </c>
      <c r="Q43" s="107">
        <f t="shared" si="19"/>
        <v>0.79996278423731726</v>
      </c>
      <c r="R43" s="107">
        <f t="shared" si="19"/>
        <v>0.81021273722281406</v>
      </c>
      <c r="S43" s="107">
        <f t="shared" si="19"/>
        <v>0.82050095837146375</v>
      </c>
      <c r="T43" s="107">
        <f t="shared" si="19"/>
        <v>0.83082553344181442</v>
      </c>
      <c r="U43" s="107">
        <f t="shared" si="19"/>
        <v>0.8411845095461199</v>
      </c>
      <c r="V43" s="107">
        <f t="shared" si="19"/>
        <v>0.85157589554100388</v>
      </c>
      <c r="W43" s="107">
        <f t="shared" si="19"/>
        <v>0.86199766244613185</v>
      </c>
      <c r="X43" s="107">
        <f t="shared" si="19"/>
        <v>0.87245735338968022</v>
      </c>
      <c r="Y43" s="107">
        <f t="shared" si="19"/>
        <v>0.88295322630046424</v>
      </c>
      <c r="Z43" s="107">
        <f t="shared" si="19"/>
        <v>0.89610625533774235</v>
      </c>
      <c r="AA43" s="107">
        <f t="shared" si="19"/>
        <v>0.9093435278935813</v>
      </c>
      <c r="AB43" s="107">
        <f t="shared" si="19"/>
        <v>0.92266316925848224</v>
      </c>
      <c r="AC43" s="107">
        <f t="shared" si="19"/>
        <v>0.93607210007679564</v>
      </c>
      <c r="AD43" s="107">
        <f t="shared" si="19"/>
        <v>0.94956873135999531</v>
      </c>
      <c r="AE43" s="107">
        <f t="shared" si="19"/>
        <v>0.96315142526482711</v>
      </c>
      <c r="AF43" s="107">
        <f t="shared" si="19"/>
        <v>0.97681849510944152</v>
      </c>
      <c r="AG43" s="107">
        <f t="shared" si="19"/>
        <v>0.99056820541464174</v>
      </c>
      <c r="AI43" s="210" t="s">
        <v>1304</v>
      </c>
      <c r="AJ43" s="211" t="s">
        <v>1302</v>
      </c>
      <c r="BD43" s="41"/>
      <c r="BE43" s="41"/>
      <c r="BF43" s="41"/>
      <c r="BG43" s="41"/>
      <c r="BH43" s="41"/>
      <c r="BI43" s="41"/>
      <c r="BJ43" s="41"/>
      <c r="BK43" s="41"/>
      <c r="BL43" s="118"/>
    </row>
    <row r="44" spans="1:64" outlineLevel="1">
      <c r="A44" t="s">
        <v>1549</v>
      </c>
      <c r="B44" s="54" t="s">
        <v>1535</v>
      </c>
      <c r="C44" s="107">
        <f t="shared" ref="C44:AG44" si="20">C29</f>
        <v>0.27288082766179111</v>
      </c>
      <c r="D44" s="107">
        <f t="shared" si="20"/>
        <v>0.28202820222306357</v>
      </c>
      <c r="E44" s="107">
        <f t="shared" si="20"/>
        <v>0.29072025567125509</v>
      </c>
      <c r="F44" s="107">
        <f t="shared" si="20"/>
        <v>0.29889732893660731</v>
      </c>
      <c r="G44" s="107">
        <f t="shared" si="20"/>
        <v>0.30650215033061867</v>
      </c>
      <c r="H44" s="107">
        <f t="shared" si="20"/>
        <v>0.31348050371327035</v>
      </c>
      <c r="I44" s="107">
        <f t="shared" si="20"/>
        <v>0.32047178808215687</v>
      </c>
      <c r="J44" s="107">
        <f t="shared" si="20"/>
        <v>0.32746967347720052</v>
      </c>
      <c r="K44" s="107">
        <f t="shared" si="20"/>
        <v>0.33446766923327187</v>
      </c>
      <c r="L44" s="107">
        <f t="shared" si="20"/>
        <v>0.34145913242112341</v>
      </c>
      <c r="M44" s="107">
        <f t="shared" si="20"/>
        <v>0.34843727685880416</v>
      </c>
      <c r="N44" s="107">
        <f t="shared" si="20"/>
        <v>0.3548866865770004</v>
      </c>
      <c r="O44" s="107">
        <f t="shared" si="20"/>
        <v>0.36077159198993103</v>
      </c>
      <c r="P44" s="107">
        <f t="shared" si="20"/>
        <v>0.36605874997856686</v>
      </c>
      <c r="Q44" s="107">
        <f t="shared" si="20"/>
        <v>0.37071775285926561</v>
      </c>
      <c r="R44" s="107">
        <f t="shared" si="20"/>
        <v>0.37472131644525791</v>
      </c>
      <c r="S44" s="107">
        <f t="shared" si="20"/>
        <v>0.37872665668471733</v>
      </c>
      <c r="T44" s="107">
        <f t="shared" si="20"/>
        <v>0.38273288119776105</v>
      </c>
      <c r="U44" s="107">
        <f t="shared" si="20"/>
        <v>0.38673908689105191</v>
      </c>
      <c r="V44" s="107">
        <f t="shared" si="20"/>
        <v>0.3907443602427092</v>
      </c>
      <c r="W44" s="107">
        <f t="shared" si="20"/>
        <v>0.39474777759668062</v>
      </c>
      <c r="X44" s="107">
        <f t="shared" si="20"/>
        <v>0.39875279744561698</v>
      </c>
      <c r="Y44" s="107">
        <f t="shared" si="20"/>
        <v>0.40275861571829003</v>
      </c>
      <c r="Z44" s="107">
        <f t="shared" si="20"/>
        <v>0.40676441925663909</v>
      </c>
      <c r="AA44" s="107">
        <f t="shared" si="20"/>
        <v>0.41076938604811258</v>
      </c>
      <c r="AB44" s="107">
        <f t="shared" si="20"/>
        <v>0.4147726854652421</v>
      </c>
      <c r="AC44" s="107">
        <f t="shared" si="20"/>
        <v>0.41877743769609355</v>
      </c>
      <c r="AD44" s="107">
        <f t="shared" si="20"/>
        <v>0.4227829144107636</v>
      </c>
      <c r="AE44" s="107">
        <f t="shared" si="20"/>
        <v>0.42678837950395809</v>
      </c>
      <c r="AF44" s="107">
        <f t="shared" si="20"/>
        <v>0.43079308928635907</v>
      </c>
      <c r="AG44" s="107">
        <f t="shared" si="20"/>
        <v>0.43479629268159714</v>
      </c>
      <c r="AI44" s="210" t="s">
        <v>1306</v>
      </c>
      <c r="AJ44" s="211" t="s">
        <v>1302</v>
      </c>
      <c r="BD44" s="41"/>
      <c r="BE44" s="41"/>
      <c r="BF44" s="41"/>
      <c r="BG44" s="41"/>
      <c r="BH44" s="41"/>
      <c r="BI44" s="41"/>
      <c r="BJ44" s="41"/>
      <c r="BK44" s="41"/>
      <c r="BL44" s="118"/>
    </row>
    <row r="45" spans="1:64" outlineLevel="1">
      <c r="A45" t="s">
        <v>1550</v>
      </c>
      <c r="B45" s="54" t="s">
        <v>1535</v>
      </c>
      <c r="C45" s="262">
        <f t="shared" ref="C45:H45" si="21">C30*$C$39</f>
        <v>3.3569388624573886</v>
      </c>
      <c r="D45" s="262">
        <f t="shared" si="21"/>
        <v>3.4694684872657979</v>
      </c>
      <c r="E45" s="262">
        <f t="shared" si="21"/>
        <v>3.5763968202850558</v>
      </c>
      <c r="F45" s="262">
        <f t="shared" si="21"/>
        <v>3.6769899446200638</v>
      </c>
      <c r="G45" s="262">
        <f t="shared" si="21"/>
        <v>3.7705433125805432</v>
      </c>
      <c r="H45" s="262">
        <f t="shared" si="21"/>
        <v>3.8563899653736766</v>
      </c>
      <c r="I45" s="262">
        <f t="shared" ref="I45:AG46" si="22">I30*D39</f>
        <v>3.9423956932128412</v>
      </c>
      <c r="J45" s="262">
        <f t="shared" si="22"/>
        <v>4.0284826258820736</v>
      </c>
      <c r="K45" s="262">
        <f t="shared" si="22"/>
        <v>4.1145709161960546</v>
      </c>
      <c r="L45" s="262">
        <f t="shared" si="22"/>
        <v>4.2005788438392075</v>
      </c>
      <c r="M45" s="262">
        <f t="shared" si="22"/>
        <v>4.2864229262227624</v>
      </c>
      <c r="N45" s="262">
        <f t="shared" si="22"/>
        <v>4.3657625936828621</v>
      </c>
      <c r="O45" s="262">
        <f t="shared" si="22"/>
        <v>4.4381578141599762</v>
      </c>
      <c r="P45" s="262">
        <f t="shared" si="22"/>
        <v>4.5031996358082207</v>
      </c>
      <c r="Q45" s="262">
        <f t="shared" si="22"/>
        <v>4.5605139878809968</v>
      </c>
      <c r="R45" s="262">
        <f t="shared" si="22"/>
        <v>4.6097652244200269</v>
      </c>
      <c r="S45" s="262">
        <f t="shared" si="22"/>
        <v>4.6590383170825511</v>
      </c>
      <c r="T45" s="262">
        <f t="shared" si="22"/>
        <v>4.7083222879455908</v>
      </c>
      <c r="U45" s="262">
        <f t="shared" si="22"/>
        <v>4.7576060272908638</v>
      </c>
      <c r="V45" s="262">
        <f t="shared" si="22"/>
        <v>4.8068782971097157</v>
      </c>
      <c r="W45" s="262">
        <f t="shared" si="22"/>
        <v>4.8561277347244367</v>
      </c>
      <c r="X45" s="262">
        <f t="shared" si="22"/>
        <v>4.905396885990978</v>
      </c>
      <c r="Y45" s="262">
        <f t="shared" si="22"/>
        <v>4.9546758593461337</v>
      </c>
      <c r="Z45" s="262">
        <f t="shared" si="22"/>
        <v>5.0039546514418518</v>
      </c>
      <c r="AA45" s="262">
        <f t="shared" si="22"/>
        <v>5.0532231500034728</v>
      </c>
      <c r="AB45" s="262">
        <f t="shared" si="22"/>
        <v>5.1024711367769191</v>
      </c>
      <c r="AC45" s="262">
        <f t="shared" si="22"/>
        <v>5.1517369958460666</v>
      </c>
      <c r="AD45" s="262">
        <f t="shared" si="22"/>
        <v>5.2010117674060865</v>
      </c>
      <c r="AE45" s="262">
        <f t="shared" si="22"/>
        <v>5.2502863960004644</v>
      </c>
      <c r="AF45" s="262">
        <f t="shared" si="22"/>
        <v>5.2995517328751651</v>
      </c>
      <c r="AG45" s="262">
        <f t="shared" si="22"/>
        <v>5.3487985384017573</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1551</v>
      </c>
      <c r="B46" s="176" t="s">
        <v>1535</v>
      </c>
      <c r="C46" s="107">
        <f t="shared" ref="C46:H46" si="23">C31*$C$40</f>
        <v>6.3196211155477018</v>
      </c>
      <c r="D46" s="107">
        <f t="shared" si="23"/>
        <v>6.5314642923827124</v>
      </c>
      <c r="E46" s="107">
        <f t="shared" si="23"/>
        <v>6.7327627308964706</v>
      </c>
      <c r="F46" s="107">
        <f t="shared" si="23"/>
        <v>6.9221347923706755</v>
      </c>
      <c r="G46" s="107">
        <f t="shared" si="23"/>
        <v>7.0982541272223267</v>
      </c>
      <c r="H46" s="107">
        <f t="shared" si="23"/>
        <v>7.25986514902492</v>
      </c>
      <c r="I46" s="107">
        <f t="shared" si="22"/>
        <v>7.4217756383069799</v>
      </c>
      <c r="J46" s="107">
        <f t="shared" si="22"/>
        <v>7.5838390001255389</v>
      </c>
      <c r="K46" s="107">
        <f t="shared" si="22"/>
        <v>7.7459049177846335</v>
      </c>
      <c r="L46" s="107">
        <f t="shared" si="22"/>
        <v>7.9078195483180842</v>
      </c>
      <c r="M46" s="107">
        <f t="shared" si="22"/>
        <v>8.0694257311839817</v>
      </c>
      <c r="N46" s="107">
        <f t="shared" si="22"/>
        <v>8.2187869970052905</v>
      </c>
      <c r="O46" s="107">
        <f t="shared" si="22"/>
        <v>8.355074961349386</v>
      </c>
      <c r="P46" s="107">
        <f t="shared" si="22"/>
        <v>8.477519749986687</v>
      </c>
      <c r="Q46" s="107">
        <f t="shared" si="22"/>
        <v>8.5854171542658655</v>
      </c>
      <c r="R46" s="107">
        <f t="shared" si="22"/>
        <v>8.6781353023023904</v>
      </c>
      <c r="S46" s="107">
        <f t="shared" si="22"/>
        <v>8.7708945956874604</v>
      </c>
      <c r="T46" s="107">
        <f t="shared" si="22"/>
        <v>8.8636743678803036</v>
      </c>
      <c r="U46" s="107">
        <f t="shared" si="22"/>
        <v>8.9564537042282826</v>
      </c>
      <c r="V46" s="107">
        <f t="shared" si="22"/>
        <v>9.0492114485651083</v>
      </c>
      <c r="W46" s="107">
        <f t="shared" si="22"/>
        <v>9.1419262100281777</v>
      </c>
      <c r="X46" s="107">
        <f t="shared" si="22"/>
        <v>9.2346780835196203</v>
      </c>
      <c r="Y46" s="107">
        <f t="shared" si="22"/>
        <v>9.3274484476303847</v>
      </c>
      <c r="Z46" s="107">
        <f t="shared" si="22"/>
        <v>9.420218470510342</v>
      </c>
      <c r="AA46" s="107">
        <f t="shared" si="22"/>
        <v>9.5129691152490494</v>
      </c>
      <c r="AB46" s="107">
        <f t="shared" si="22"/>
        <v>9.6056811454240218</v>
      </c>
      <c r="AC46" s="107">
        <f t="shared" si="22"/>
        <v>9.6984268211737046</v>
      </c>
      <c r="AD46" s="107">
        <f t="shared" si="22"/>
        <v>9.7911892751751886</v>
      </c>
      <c r="AE46" s="107">
        <f t="shared" si="22"/>
        <v>9.883951460036025</v>
      </c>
      <c r="AF46" s="107">
        <f t="shared" si="22"/>
        <v>9.9766961527260829</v>
      </c>
      <c r="AG46" s="107">
        <f t="shared" si="22"/>
        <v>10.06940595913921</v>
      </c>
      <c r="AI46" s="210" t="s">
        <v>1308</v>
      </c>
      <c r="AJ46" s="211" t="s">
        <v>1302</v>
      </c>
      <c r="AL46" s="108"/>
      <c r="AM46" s="2"/>
      <c r="AN46" s="2"/>
      <c r="AO46" s="2"/>
    </row>
    <row r="47" spans="1:64" s="1" customFormat="1" ht="16" thickBot="1">
      <c r="A47" s="200" t="s">
        <v>1552</v>
      </c>
      <c r="B47" s="215" t="s">
        <v>1535</v>
      </c>
      <c r="C47" s="216">
        <f>SUM(C42:C46)</f>
        <v>12.673879407338728</v>
      </c>
      <c r="D47" s="216">
        <f t="shared" ref="D47:AF47" si="24">SUM(D42:D46)</f>
        <v>13.098726851099091</v>
      </c>
      <c r="E47" s="216">
        <f t="shared" si="24"/>
        <v>13.502427023619299</v>
      </c>
      <c r="F47" s="216">
        <f t="shared" si="24"/>
        <v>13.882209074846781</v>
      </c>
      <c r="G47" s="216">
        <f t="shared" si="24"/>
        <v>14.235413036033478</v>
      </c>
      <c r="H47" s="216">
        <f t="shared" si="24"/>
        <v>14.559520852589715</v>
      </c>
      <c r="I47" s="216">
        <f t="shared" si="24"/>
        <v>14.884229245454527</v>
      </c>
      <c r="J47" s="216">
        <f t="shared" si="24"/>
        <v>15.209244221270575</v>
      </c>
      <c r="K47" s="216">
        <f t="shared" si="24"/>
        <v>15.534264322775988</v>
      </c>
      <c r="L47" s="216">
        <f t="shared" si="24"/>
        <v>15.858981020841343</v>
      </c>
      <c r="M47" s="216">
        <f t="shared" si="24"/>
        <v>16.183079133002487</v>
      </c>
      <c r="N47" s="216">
        <f t="shared" si="24"/>
        <v>16.482620297976691</v>
      </c>
      <c r="O47" s="216">
        <f t="shared" si="24"/>
        <v>16.755943206611072</v>
      </c>
      <c r="P47" s="216">
        <f t="shared" si="24"/>
        <v>17.003077415221018</v>
      </c>
      <c r="Q47" s="216">
        <f t="shared" si="24"/>
        <v>17.221077176414827</v>
      </c>
      <c r="R47" s="216">
        <f t="shared" si="24"/>
        <v>17.408666830870988</v>
      </c>
      <c r="S47" s="216">
        <f t="shared" si="24"/>
        <v>17.596373451177676</v>
      </c>
      <c r="T47" s="216">
        <f t="shared" si="24"/>
        <v>17.784155594713624</v>
      </c>
      <c r="U47" s="216">
        <f t="shared" si="24"/>
        <v>17.971971305653867</v>
      </c>
      <c r="V47" s="216">
        <f t="shared" si="24"/>
        <v>18.159778127980644</v>
      </c>
      <c r="W47" s="216">
        <f t="shared" si="24"/>
        <v>18.347533118941403</v>
      </c>
      <c r="X47" s="216">
        <f t="shared" si="24"/>
        <v>18.53539701719653</v>
      </c>
      <c r="Y47" s="216">
        <f t="shared" si="24"/>
        <v>18.723332463967726</v>
      </c>
      <c r="Z47" s="216">
        <f t="shared" si="24"/>
        <v>18.91392441420172</v>
      </c>
      <c r="AA47" s="216">
        <f t="shared" si="24"/>
        <v>19.104563543864266</v>
      </c>
      <c r="AB47" s="216">
        <f t="shared" si="24"/>
        <v>19.295211185217816</v>
      </c>
      <c r="AC47" s="216">
        <f t="shared" si="24"/>
        <v>19.486012469080805</v>
      </c>
      <c r="AD47" s="216">
        <f t="shared" si="24"/>
        <v>19.676933544754643</v>
      </c>
      <c r="AE47" s="216">
        <f t="shared" si="24"/>
        <v>19.867940168271474</v>
      </c>
      <c r="AF47" s="216">
        <f t="shared" si="24"/>
        <v>20.058997710887009</v>
      </c>
      <c r="AG47" s="216">
        <f>SUM(AG42:AG46)</f>
        <v>20.250071167846748</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1553</v>
      </c>
      <c r="C63" s="382">
        <f>'Overall recycling rates'!E84</f>
        <v>1.4092948968207217</v>
      </c>
      <c r="D63" s="382">
        <f>C63-($C63-$AG63)/($AG$1-$C$1)</f>
        <v>1.3989850669266977</v>
      </c>
      <c r="E63" s="382">
        <f t="shared" ref="E63:AF63" si="30">D63-($C63-$AG63)/($AG$1-$C$1)</f>
        <v>1.3886752370326736</v>
      </c>
      <c r="F63" s="382">
        <f t="shared" si="30"/>
        <v>1.3783654071386495</v>
      </c>
      <c r="G63" s="382">
        <f t="shared" si="30"/>
        <v>1.3680555772446255</v>
      </c>
      <c r="H63" s="382">
        <f t="shared" si="30"/>
        <v>1.3577457473506014</v>
      </c>
      <c r="I63" s="382">
        <f t="shared" si="30"/>
        <v>1.3474359174565773</v>
      </c>
      <c r="J63" s="382">
        <f t="shared" si="30"/>
        <v>1.3371260875625532</v>
      </c>
      <c r="K63" s="382">
        <f t="shared" si="30"/>
        <v>1.3268162576685292</v>
      </c>
      <c r="L63" s="382">
        <f t="shared" si="30"/>
        <v>1.3165064277745051</v>
      </c>
      <c r="M63" s="382">
        <f t="shared" si="30"/>
        <v>1.306196597880481</v>
      </c>
      <c r="N63" s="382">
        <f t="shared" si="30"/>
        <v>1.295886767986457</v>
      </c>
      <c r="O63" s="382">
        <f t="shared" si="30"/>
        <v>1.2855769380924329</v>
      </c>
      <c r="P63" s="382">
        <f t="shared" si="30"/>
        <v>1.2752671081984088</v>
      </c>
      <c r="Q63" s="382">
        <f t="shared" si="30"/>
        <v>1.2649572783043848</v>
      </c>
      <c r="R63" s="382">
        <f t="shared" si="30"/>
        <v>1.2546474484103607</v>
      </c>
      <c r="S63" s="382">
        <f t="shared" si="30"/>
        <v>1.2443376185163366</v>
      </c>
      <c r="T63" s="382">
        <f t="shared" si="30"/>
        <v>1.2340277886223125</v>
      </c>
      <c r="U63" s="382">
        <f t="shared" si="30"/>
        <v>1.2237179587282885</v>
      </c>
      <c r="V63" s="382">
        <f t="shared" si="30"/>
        <v>1.2134081288342644</v>
      </c>
      <c r="W63" s="382">
        <f t="shared" si="30"/>
        <v>1.2030982989402403</v>
      </c>
      <c r="X63" s="382">
        <f t="shared" si="30"/>
        <v>1.1927884690462163</v>
      </c>
      <c r="Y63" s="382">
        <f t="shared" si="30"/>
        <v>1.1824786391521922</v>
      </c>
      <c r="Z63" s="382">
        <f t="shared" si="30"/>
        <v>1.1721688092581681</v>
      </c>
      <c r="AA63" s="382">
        <f t="shared" si="30"/>
        <v>1.1618589793641441</v>
      </c>
      <c r="AB63" s="382">
        <f t="shared" si="30"/>
        <v>1.15154914947012</v>
      </c>
      <c r="AC63" s="382">
        <f t="shared" si="30"/>
        <v>1.1412393195760959</v>
      </c>
      <c r="AD63" s="382">
        <f t="shared" si="30"/>
        <v>1.1309294896820719</v>
      </c>
      <c r="AE63" s="382">
        <f t="shared" si="30"/>
        <v>1.1206196597880478</v>
      </c>
      <c r="AF63" s="382">
        <f t="shared" si="30"/>
        <v>1.1103098298940237</v>
      </c>
      <c r="AG63" s="382">
        <f>'Overall recycling rates'!E93</f>
        <v>1.1000000000000001</v>
      </c>
      <c r="AI63" s="133"/>
      <c r="AJ63" s="211"/>
      <c r="AL63" s="108"/>
      <c r="AM63" s="2"/>
      <c r="AN63" s="2"/>
      <c r="AO63" s="2"/>
      <c r="BC63" s="1"/>
      <c r="BD63" s="2"/>
      <c r="BE63" s="2"/>
      <c r="BF63" s="2"/>
      <c r="BG63" s="2"/>
      <c r="BH63" s="2"/>
      <c r="BI63" s="2"/>
      <c r="BJ63" s="2"/>
      <c r="BK63" s="2"/>
    </row>
    <row r="64" spans="1:63" outlineLevel="1">
      <c r="A64" t="s">
        <v>1554</v>
      </c>
      <c r="B64" s="54" t="s">
        <v>462</v>
      </c>
      <c r="C64" s="110">
        <f>C50*C$63</f>
        <v>6.6236860150573923E-2</v>
      </c>
      <c r="D64" s="110">
        <f t="shared" ref="D64:AG64" si="31">D50*D$63</f>
        <v>7.0229050359720227E-2</v>
      </c>
      <c r="E64" s="110">
        <f t="shared" si="31"/>
        <v>7.4155257657544771E-2</v>
      </c>
      <c r="F64" s="110">
        <f t="shared" si="31"/>
        <v>7.8015482044047554E-2</v>
      </c>
      <c r="G64" s="110">
        <f t="shared" si="31"/>
        <v>8.1809723519228605E-2</v>
      </c>
      <c r="H64" s="110">
        <f t="shared" si="31"/>
        <v>8.5537982083087882E-2</v>
      </c>
      <c r="I64" s="110">
        <f t="shared" si="31"/>
        <v>8.9200257735625427E-2</v>
      </c>
      <c r="J64" s="110">
        <f t="shared" si="31"/>
        <v>9.2796550476841197E-2</v>
      </c>
      <c r="K64" s="110">
        <f t="shared" si="31"/>
        <v>9.6326860306735221E-2</v>
      </c>
      <c r="L64" s="110">
        <f t="shared" si="31"/>
        <v>9.9791187225307498E-2</v>
      </c>
      <c r="M64" s="110">
        <f t="shared" si="31"/>
        <v>0.103189531232558</v>
      </c>
      <c r="N64" s="110">
        <f t="shared" si="31"/>
        <v>0.1102799639556475</v>
      </c>
      <c r="O64" s="110">
        <f t="shared" si="31"/>
        <v>0.11724461675402989</v>
      </c>
      <c r="P64" s="110">
        <f t="shared" si="31"/>
        <v>0.12408348962770517</v>
      </c>
      <c r="Q64" s="110">
        <f t="shared" si="31"/>
        <v>0.1307965825766734</v>
      </c>
      <c r="R64" s="110">
        <f t="shared" si="31"/>
        <v>0.1373838956009345</v>
      </c>
      <c r="S64" s="110">
        <f t="shared" si="31"/>
        <v>0.14384542870048853</v>
      </c>
      <c r="T64" s="110">
        <f t="shared" si="31"/>
        <v>0.15018118187533544</v>
      </c>
      <c r="U64" s="110">
        <f t="shared" si="31"/>
        <v>0.1563911551254753</v>
      </c>
      <c r="V64" s="110">
        <f t="shared" si="31"/>
        <v>0.16247534845090802</v>
      </c>
      <c r="W64" s="110">
        <f t="shared" si="31"/>
        <v>0.16843376185163367</v>
      </c>
      <c r="X64" s="110">
        <f t="shared" si="31"/>
        <v>0.17988458000274204</v>
      </c>
      <c r="Y64" s="110">
        <f t="shared" si="31"/>
        <v>0.19111249702145811</v>
      </c>
      <c r="Z64" s="110">
        <f t="shared" si="31"/>
        <v>0.20211751290778185</v>
      </c>
      <c r="AA64" s="110">
        <f t="shared" si="31"/>
        <v>0.21289962766171333</v>
      </c>
      <c r="AB64" s="110">
        <f t="shared" si="31"/>
        <v>0.22345884128325244</v>
      </c>
      <c r="AC64" s="110">
        <f t="shared" si="31"/>
        <v>0.23379515377239923</v>
      </c>
      <c r="AD64" s="110">
        <f t="shared" si="31"/>
        <v>0.24390856512915374</v>
      </c>
      <c r="AE64" s="110">
        <f t="shared" si="31"/>
        <v>0.25379907535351587</v>
      </c>
      <c r="AF64" s="110">
        <f t="shared" si="31"/>
        <v>0.26346668444548571</v>
      </c>
      <c r="AG64" s="110">
        <f t="shared" si="31"/>
        <v>0.27291139240506335</v>
      </c>
      <c r="AI64" s="133"/>
      <c r="AJ64" s="211"/>
      <c r="AL64" s="108"/>
      <c r="AM64" s="2"/>
      <c r="AN64" s="2"/>
      <c r="AO64" s="2"/>
      <c r="AV64" s="41"/>
    </row>
    <row r="65" spans="1:63" outlineLevel="1">
      <c r="A65" t="s">
        <v>1555</v>
      </c>
      <c r="B65" s="54" t="s">
        <v>462</v>
      </c>
      <c r="C65" s="110">
        <f>C51*C$63</f>
        <v>0.13388301519796855</v>
      </c>
      <c r="D65" s="110">
        <f t="shared" ref="D65:AG65" si="32">D51*D$63</f>
        <v>0.13752023207889438</v>
      </c>
      <c r="E65" s="110">
        <f t="shared" si="32"/>
        <v>0.14108940408251963</v>
      </c>
      <c r="F65" s="110">
        <f t="shared" si="32"/>
        <v>0.14459053120884433</v>
      </c>
      <c r="G65" s="110">
        <f t="shared" si="32"/>
        <v>0.14802361345786849</v>
      </c>
      <c r="H65" s="110">
        <f t="shared" si="32"/>
        <v>0.15138865082959205</v>
      </c>
      <c r="I65" s="110">
        <f t="shared" si="32"/>
        <v>0.15468564332401508</v>
      </c>
      <c r="J65" s="110">
        <f t="shared" si="32"/>
        <v>0.15791459094113752</v>
      </c>
      <c r="K65" s="110">
        <f t="shared" si="32"/>
        <v>0.16107549368095944</v>
      </c>
      <c r="L65" s="110">
        <f t="shared" si="32"/>
        <v>0.16416835154348081</v>
      </c>
      <c r="M65" s="110">
        <f t="shared" si="32"/>
        <v>0.16719316452870159</v>
      </c>
      <c r="N65" s="110">
        <f t="shared" si="32"/>
        <v>0.17572224573896356</v>
      </c>
      <c r="O65" s="110">
        <f t="shared" si="32"/>
        <v>0.18409461753483639</v>
      </c>
      <c r="P65" s="110">
        <f t="shared" si="32"/>
        <v>0.19231027991632005</v>
      </c>
      <c r="Q65" s="110">
        <f t="shared" si="32"/>
        <v>0.20036923288341452</v>
      </c>
      <c r="R65" s="110">
        <f t="shared" si="32"/>
        <v>0.20827147643611985</v>
      </c>
      <c r="S65" s="110">
        <f t="shared" si="32"/>
        <v>0.21601701057443601</v>
      </c>
      <c r="T65" s="110">
        <f t="shared" si="32"/>
        <v>0.22360583529836303</v>
      </c>
      <c r="U65" s="110">
        <f t="shared" si="32"/>
        <v>0.23103795060790086</v>
      </c>
      <c r="V65" s="110">
        <f t="shared" si="32"/>
        <v>0.23831335650304952</v>
      </c>
      <c r="W65" s="110">
        <f t="shared" si="32"/>
        <v>0.24543205298380902</v>
      </c>
      <c r="X65" s="110">
        <f t="shared" si="32"/>
        <v>0.2577764980167504</v>
      </c>
      <c r="Y65" s="110">
        <f t="shared" si="32"/>
        <v>0.26987118742050903</v>
      </c>
      <c r="Z65" s="110">
        <f t="shared" si="32"/>
        <v>0.28171612119508493</v>
      </c>
      <c r="AA65" s="110">
        <f t="shared" si="32"/>
        <v>0.29331129934047812</v>
      </c>
      <c r="AB65" s="110">
        <f t="shared" si="32"/>
        <v>0.30465672185668857</v>
      </c>
      <c r="AC65" s="110">
        <f t="shared" si="32"/>
        <v>0.31575238874371631</v>
      </c>
      <c r="AD65" s="110">
        <f t="shared" si="32"/>
        <v>0.32659830000156131</v>
      </c>
      <c r="AE65" s="110">
        <f t="shared" si="32"/>
        <v>0.33719445563022354</v>
      </c>
      <c r="AF65" s="110">
        <f t="shared" si="32"/>
        <v>0.34754085562970299</v>
      </c>
      <c r="AG65" s="110">
        <f t="shared" si="32"/>
        <v>0.35763749999999994</v>
      </c>
      <c r="AH65" s="245"/>
      <c r="AI65" s="133"/>
      <c r="AJ65" s="211"/>
      <c r="AL65" s="108"/>
      <c r="AM65" s="2"/>
      <c r="AN65" s="2"/>
      <c r="AO65" s="2"/>
      <c r="AV65" s="41"/>
    </row>
    <row r="66" spans="1:63" outlineLevel="1">
      <c r="A66" t="s">
        <v>1556</v>
      </c>
      <c r="B66" s="176" t="s">
        <v>462</v>
      </c>
      <c r="C66" s="110">
        <f>SUM(C64:C65)</f>
        <v>0.20011987534854248</v>
      </c>
      <c r="D66" s="110">
        <f t="shared" ref="D66:AG66" si="33">SUM(D64:D65)</f>
        <v>0.20774928243861462</v>
      </c>
      <c r="E66" s="110">
        <f t="shared" si="33"/>
        <v>0.2152446617400644</v>
      </c>
      <c r="F66" s="110">
        <f t="shared" si="33"/>
        <v>0.22260601325289187</v>
      </c>
      <c r="G66" s="110">
        <f t="shared" si="33"/>
        <v>0.2298333369770971</v>
      </c>
      <c r="H66" s="110">
        <f t="shared" si="33"/>
        <v>0.23692663291267993</v>
      </c>
      <c r="I66" s="110">
        <f t="shared" si="33"/>
        <v>0.2438859010596405</v>
      </c>
      <c r="J66" s="110">
        <f t="shared" si="33"/>
        <v>0.25071114141797873</v>
      </c>
      <c r="K66" s="110">
        <f t="shared" si="33"/>
        <v>0.25740235398769468</v>
      </c>
      <c r="L66" s="110">
        <f t="shared" si="33"/>
        <v>0.2639595387687883</v>
      </c>
      <c r="M66" s="110">
        <f t="shared" si="33"/>
        <v>0.27038269576125962</v>
      </c>
      <c r="N66" s="110">
        <f t="shared" si="33"/>
        <v>0.28600220969461104</v>
      </c>
      <c r="O66" s="110">
        <f t="shared" si="33"/>
        <v>0.30133923428886628</v>
      </c>
      <c r="P66" s="110">
        <f t="shared" si="33"/>
        <v>0.31639376954402521</v>
      </c>
      <c r="Q66" s="110">
        <f t="shared" si="33"/>
        <v>0.33116581546008794</v>
      </c>
      <c r="R66" s="110">
        <f t="shared" si="33"/>
        <v>0.34565537203705432</v>
      </c>
      <c r="S66" s="110">
        <f t="shared" si="33"/>
        <v>0.35986243927492456</v>
      </c>
      <c r="T66" s="110">
        <f t="shared" si="33"/>
        <v>0.37378701717369844</v>
      </c>
      <c r="U66" s="110">
        <f t="shared" si="33"/>
        <v>0.38742910573337619</v>
      </c>
      <c r="V66" s="110">
        <f t="shared" si="33"/>
        <v>0.40078870495395758</v>
      </c>
      <c r="W66" s="110">
        <f t="shared" si="33"/>
        <v>0.41386581483544271</v>
      </c>
      <c r="X66" s="110">
        <f t="shared" si="33"/>
        <v>0.43766107801949244</v>
      </c>
      <c r="Y66" s="110">
        <f t="shared" si="33"/>
        <v>0.46098368444196713</v>
      </c>
      <c r="Z66" s="110">
        <f t="shared" si="33"/>
        <v>0.48383363410286678</v>
      </c>
      <c r="AA66" s="110">
        <f t="shared" si="33"/>
        <v>0.5062109270021915</v>
      </c>
      <c r="AB66" s="110">
        <f t="shared" si="33"/>
        <v>0.52811556313994101</v>
      </c>
      <c r="AC66" s="110">
        <f t="shared" si="33"/>
        <v>0.54954754251611559</v>
      </c>
      <c r="AD66" s="110">
        <f t="shared" si="33"/>
        <v>0.57050686513071502</v>
      </c>
      <c r="AE66" s="110">
        <f t="shared" si="33"/>
        <v>0.59099353098373941</v>
      </c>
      <c r="AF66" s="110">
        <f t="shared" si="33"/>
        <v>0.61100754007518865</v>
      </c>
      <c r="AG66" s="110">
        <f t="shared" si="33"/>
        <v>0.63054889240506329</v>
      </c>
      <c r="AI66" s="133"/>
      <c r="AJ66" s="211"/>
      <c r="AL66" s="108"/>
      <c r="AM66" s="2"/>
      <c r="AN66" s="2"/>
      <c r="AO66" s="2"/>
    </row>
    <row r="67" spans="1:63" outlineLevel="1">
      <c r="A67" t="s">
        <v>1557</v>
      </c>
      <c r="B67" s="54" t="s">
        <v>462</v>
      </c>
      <c r="C67" s="110">
        <f>C$63*C58</f>
        <v>1.5396459740277672E-2</v>
      </c>
      <c r="D67" s="110">
        <f t="shared" ref="D67:AG70" si="34">D$63*D58</f>
        <v>1.5516779794044113E-2</v>
      </c>
      <c r="E67" s="110">
        <f t="shared" si="34"/>
        <v>1.5613808473760924E-2</v>
      </c>
      <c r="F67" s="110">
        <f t="shared" si="34"/>
        <v>1.5687988066708482E-2</v>
      </c>
      <c r="G67" s="110">
        <f t="shared" si="34"/>
        <v>1.5739760860167162E-2</v>
      </c>
      <c r="H67" s="110">
        <f t="shared" si="34"/>
        <v>1.576956914141733E-2</v>
      </c>
      <c r="I67" s="110">
        <f t="shared" si="34"/>
        <v>1.5777855197739367E-2</v>
      </c>
      <c r="J67" s="110">
        <f t="shared" si="34"/>
        <v>1.5765061316413642E-2</v>
      </c>
      <c r="K67" s="110">
        <f t="shared" si="34"/>
        <v>1.5731629784720539E-2</v>
      </c>
      <c r="L67" s="110">
        <f t="shared" si="34"/>
        <v>1.5678002889940416E-2</v>
      </c>
      <c r="M67" s="110">
        <f t="shared" si="34"/>
        <v>1.5604622919353659E-2</v>
      </c>
      <c r="N67" s="110">
        <f t="shared" si="34"/>
        <v>1.6019939077902744E-2</v>
      </c>
      <c r="O67" s="110">
        <f t="shared" si="34"/>
        <v>1.6384349177288725E-2</v>
      </c>
      <c r="P67" s="110">
        <f t="shared" si="34"/>
        <v>1.6698871818520953E-2</v>
      </c>
      <c r="Q67" s="110">
        <f t="shared" si="34"/>
        <v>1.696452560260877E-2</v>
      </c>
      <c r="R67" s="110">
        <f t="shared" si="34"/>
        <v>1.7182329130561523E-2</v>
      </c>
      <c r="S67" s="110">
        <f t="shared" si="34"/>
        <v>1.7353301003388555E-2</v>
      </c>
      <c r="T67" s="110">
        <f t="shared" si="34"/>
        <v>1.7478459822099217E-2</v>
      </c>
      <c r="U67" s="110">
        <f t="shared" si="34"/>
        <v>1.7558824187702847E-2</v>
      </c>
      <c r="V67" s="110">
        <f t="shared" si="34"/>
        <v>1.7595412701208797E-2</v>
      </c>
      <c r="W67" s="110">
        <f t="shared" si="34"/>
        <v>1.7589243963626409E-2</v>
      </c>
      <c r="X67" s="110">
        <f t="shared" si="34"/>
        <v>1.7915416355261071E-2</v>
      </c>
      <c r="Y67" s="110">
        <f t="shared" si="34"/>
        <v>1.8171279850828836E-2</v>
      </c>
      <c r="Z67" s="110">
        <f t="shared" si="34"/>
        <v>1.8358457845688351E-2</v>
      </c>
      <c r="AA67" s="110">
        <f t="shared" si="34"/>
        <v>1.8478573735198255E-2</v>
      </c>
      <c r="AB67" s="110">
        <f t="shared" si="34"/>
        <v>1.8533250914717199E-2</v>
      </c>
      <c r="AC67" s="110">
        <f t="shared" si="34"/>
        <v>1.8524112779603821E-2</v>
      </c>
      <c r="AD67" s="110">
        <f t="shared" si="34"/>
        <v>1.8452782725216769E-2</v>
      </c>
      <c r="AE67" s="110">
        <f t="shared" si="34"/>
        <v>1.8320884146914688E-2</v>
      </c>
      <c r="AF67" s="110">
        <f t="shared" si="34"/>
        <v>1.8130040440056224E-2</v>
      </c>
      <c r="AG67" s="110">
        <f t="shared" si="34"/>
        <v>1.7881874999999998E-2</v>
      </c>
      <c r="AI67" s="133"/>
      <c r="AJ67" s="211"/>
      <c r="AL67" s="108"/>
      <c r="AM67" s="2"/>
      <c r="AN67" s="2"/>
      <c r="AO67" s="2"/>
    </row>
    <row r="68" spans="1:63" outlineLevel="1">
      <c r="A68" t="s">
        <v>1558</v>
      </c>
      <c r="B68" s="54" t="s">
        <v>462</v>
      </c>
      <c r="C68" s="110">
        <f t="shared" ref="C68:R70" si="35">C$63*C59</f>
        <v>1.8464652836765245E-2</v>
      </c>
      <c r="D68" s="110">
        <f t="shared" si="35"/>
        <v>1.8966284405930386E-2</v>
      </c>
      <c r="E68" s="110">
        <f t="shared" si="35"/>
        <v>1.9458531475987723E-2</v>
      </c>
      <c r="F68" s="110">
        <f t="shared" si="35"/>
        <v>1.9941394046937257E-2</v>
      </c>
      <c r="G68" s="110">
        <f t="shared" si="35"/>
        <v>2.0414872118778998E-2</v>
      </c>
      <c r="H68" s="110">
        <f t="shared" si="35"/>
        <v>2.087896569151293E-2</v>
      </c>
      <c r="I68" s="110">
        <f t="shared" si="35"/>
        <v>2.1333674765139064E-2</v>
      </c>
      <c r="J68" s="110">
        <f t="shared" si="35"/>
        <v>2.1778999339657396E-2</v>
      </c>
      <c r="K68" s="110">
        <f t="shared" si="35"/>
        <v>2.2214939415067927E-2</v>
      </c>
      <c r="L68" s="110">
        <f t="shared" si="35"/>
        <v>2.2641494991370657E-2</v>
      </c>
      <c r="M68" s="110">
        <f t="shared" si="35"/>
        <v>2.3058666068565582E-2</v>
      </c>
      <c r="N68" s="110">
        <f t="shared" si="35"/>
        <v>2.4234965566535469E-2</v>
      </c>
      <c r="O68" s="110">
        <f t="shared" si="35"/>
        <v>2.5389652278681327E-2</v>
      </c>
      <c r="P68" s="110">
        <f t="shared" si="35"/>
        <v>2.652272620500316E-2</v>
      </c>
      <c r="Q68" s="110">
        <f t="shared" si="35"/>
        <v>2.7634187345500959E-2</v>
      </c>
      <c r="R68" s="110">
        <f t="shared" si="35"/>
        <v>2.872403570017474E-2</v>
      </c>
      <c r="S68" s="110">
        <f t="shared" si="34"/>
        <v>2.9792271269024489E-2</v>
      </c>
      <c r="T68" s="110">
        <f t="shared" si="34"/>
        <v>3.083889405205021E-2</v>
      </c>
      <c r="U68" s="110">
        <f t="shared" si="34"/>
        <v>3.1863904049251907E-2</v>
      </c>
      <c r="V68" s="110">
        <f t="shared" si="34"/>
        <v>3.2867301260629575E-2</v>
      </c>
      <c r="W68" s="110">
        <f t="shared" si="34"/>
        <v>3.3849085686183208E-2</v>
      </c>
      <c r="X68" s="110">
        <f t="shared" si="34"/>
        <v>3.5551586124037492E-2</v>
      </c>
      <c r="Y68" s="110">
        <f t="shared" si="34"/>
        <v>3.7219641184484745E-2</v>
      </c>
      <c r="Z68" s="110">
        <f t="shared" si="34"/>
        <v>3.885325086752494E-2</v>
      </c>
      <c r="AA68" s="110">
        <f t="shared" si="34"/>
        <v>4.0452415173158091E-2</v>
      </c>
      <c r="AB68" s="110">
        <f t="shared" si="34"/>
        <v>4.2017134101384211E-2</v>
      </c>
      <c r="AC68" s="110">
        <f t="shared" si="34"/>
        <v>4.3547407652203274E-2</v>
      </c>
      <c r="AD68" s="110">
        <f t="shared" si="34"/>
        <v>4.5043235825615299E-2</v>
      </c>
      <c r="AE68" s="110">
        <f t="shared" si="34"/>
        <v>4.6504618621620274E-2</v>
      </c>
      <c r="AF68" s="110">
        <f t="shared" si="34"/>
        <v>4.7931556040218204E-2</v>
      </c>
      <c r="AG68" s="110">
        <f t="shared" si="34"/>
        <v>4.9324048081409118E-2</v>
      </c>
      <c r="AI68" s="133"/>
      <c r="AJ68" s="211"/>
      <c r="AL68" s="108"/>
      <c r="AM68" s="2"/>
      <c r="AN68" s="2"/>
      <c r="AO68" s="2"/>
      <c r="BC68" s="1"/>
      <c r="BD68" s="2"/>
      <c r="BE68" s="2"/>
      <c r="BF68" s="2"/>
      <c r="BG68" s="2"/>
      <c r="BH68" s="2"/>
      <c r="BI68" s="2"/>
      <c r="BJ68" s="2"/>
      <c r="BK68" s="2"/>
    </row>
    <row r="69" spans="1:63" outlineLevel="1">
      <c r="A69" t="s">
        <v>1559</v>
      </c>
      <c r="C69" s="110">
        <f t="shared" si="35"/>
        <v>1.4533096962014838E-2</v>
      </c>
      <c r="D69" s="110">
        <f t="shared" si="34"/>
        <v>1.4927919453308522E-2</v>
      </c>
      <c r="E69" s="110">
        <f t="shared" si="34"/>
        <v>1.5315355624551712E-2</v>
      </c>
      <c r="F69" s="110">
        <f t="shared" si="34"/>
        <v>1.5695405475744405E-2</v>
      </c>
      <c r="G69" s="110">
        <f t="shared" si="34"/>
        <v>1.6068069006886607E-2</v>
      </c>
      <c r="H69" s="110">
        <f t="shared" si="34"/>
        <v>1.643334621797831E-2</v>
      </c>
      <c r="I69" s="110">
        <f t="shared" si="34"/>
        <v>1.6791237109019523E-2</v>
      </c>
      <c r="J69" s="110">
        <f t="shared" si="34"/>
        <v>1.7141741680010238E-2</v>
      </c>
      <c r="K69" s="110">
        <f t="shared" si="34"/>
        <v>1.7484859930950461E-2</v>
      </c>
      <c r="L69" s="110">
        <f t="shared" si="34"/>
        <v>1.782059186184019E-2</v>
      </c>
      <c r="M69" s="110">
        <f t="shared" si="34"/>
        <v>1.814893747267942E-2</v>
      </c>
      <c r="N69" s="110">
        <f t="shared" si="34"/>
        <v>1.9074775332264145E-2</v>
      </c>
      <c r="O69" s="110">
        <f t="shared" si="34"/>
        <v>1.9983602272944698E-2</v>
      </c>
      <c r="P69" s="110">
        <f t="shared" si="34"/>
        <v>2.0875418294721084E-2</v>
      </c>
      <c r="Q69" s="110">
        <f t="shared" si="34"/>
        <v>2.1750223397593301E-2</v>
      </c>
      <c r="R69" s="110">
        <f t="shared" si="34"/>
        <v>2.2608017581561349E-2</v>
      </c>
      <c r="S69" s="110">
        <f t="shared" si="34"/>
        <v>2.3448800846625227E-2</v>
      </c>
      <c r="T69" s="110">
        <f t="shared" si="34"/>
        <v>2.4272573192784936E-2</v>
      </c>
      <c r="U69" s="110">
        <f t="shared" si="34"/>
        <v>2.5079334620040476E-2</v>
      </c>
      <c r="V69" s="110">
        <f t="shared" si="34"/>
        <v>2.5869085128391849E-2</v>
      </c>
      <c r="W69" s="110">
        <f t="shared" si="34"/>
        <v>2.6641824717839047E-2</v>
      </c>
      <c r="X69" s="110">
        <f t="shared" si="34"/>
        <v>2.7981823046534605E-2</v>
      </c>
      <c r="Y69" s="110">
        <f t="shared" si="34"/>
        <v>2.929471022322664E-2</v>
      </c>
      <c r="Z69" s="110">
        <f t="shared" si="34"/>
        <v>3.0580486247915154E-2</v>
      </c>
      <c r="AA69" s="110">
        <f t="shared" si="34"/>
        <v>3.1839151120600144E-2</v>
      </c>
      <c r="AB69" s="110">
        <f t="shared" si="34"/>
        <v>3.3070704841281627E-2</v>
      </c>
      <c r="AC69" s="110">
        <f t="shared" si="34"/>
        <v>3.4275147409959579E-2</v>
      </c>
      <c r="AD69" s="110">
        <f t="shared" si="34"/>
        <v>3.5452478826634021E-2</v>
      </c>
      <c r="AE69" s="110">
        <f t="shared" si="34"/>
        <v>3.6602699091304938E-2</v>
      </c>
      <c r="AF69" s="110">
        <f t="shared" si="34"/>
        <v>3.7725808203972332E-2</v>
      </c>
      <c r="AG69" s="110">
        <f t="shared" si="34"/>
        <v>3.8821806164636229E-2</v>
      </c>
      <c r="AI69" s="133"/>
      <c r="AJ69" s="211"/>
      <c r="AL69" s="108"/>
      <c r="AM69" s="2"/>
      <c r="AN69" s="2"/>
      <c r="AO69" s="2"/>
      <c r="BC69" s="1"/>
      <c r="BD69" s="2"/>
      <c r="BE69" s="2"/>
      <c r="BF69" s="2"/>
      <c r="BG69" s="2"/>
      <c r="BH69" s="2"/>
      <c r="BI69" s="2"/>
      <c r="BJ69" s="2"/>
      <c r="BK69" s="2"/>
    </row>
    <row r="70" spans="1:63" outlineLevel="1">
      <c r="A70" t="s">
        <v>1560</v>
      </c>
      <c r="B70" s="54" t="s">
        <v>462</v>
      </c>
      <c r="C70" s="110">
        <f t="shared" si="35"/>
        <v>8.5488805658910802E-2</v>
      </c>
      <c r="D70" s="110">
        <f t="shared" si="34"/>
        <v>8.8109248425611367E-2</v>
      </c>
      <c r="E70" s="110">
        <f t="shared" si="34"/>
        <v>9.0701708508219264E-2</v>
      </c>
      <c r="F70" s="110">
        <f t="shared" si="34"/>
        <v>9.3265743619454181E-2</v>
      </c>
      <c r="G70" s="110">
        <f t="shared" si="34"/>
        <v>9.5800911472035719E-2</v>
      </c>
      <c r="H70" s="110">
        <f t="shared" si="34"/>
        <v>9.8306769778683481E-2</v>
      </c>
      <c r="I70" s="110">
        <f t="shared" si="34"/>
        <v>0.10078287625211711</v>
      </c>
      <c r="J70" s="110">
        <f t="shared" si="34"/>
        <v>0.10322878860505626</v>
      </c>
      <c r="K70" s="110">
        <f t="shared" si="34"/>
        <v>0.10564406455022053</v>
      </c>
      <c r="L70" s="110">
        <f t="shared" si="34"/>
        <v>0.10802826180032954</v>
      </c>
      <c r="M70" s="110">
        <f t="shared" si="34"/>
        <v>0.11038093806810291</v>
      </c>
      <c r="N70" s="110">
        <f t="shared" si="34"/>
        <v>0.11639256576226122</v>
      </c>
      <c r="O70" s="110">
        <f t="shared" si="34"/>
        <v>0.12233701380592163</v>
      </c>
      <c r="P70" s="110">
        <f t="shared" si="34"/>
        <v>0.12821326359807483</v>
      </c>
      <c r="Q70" s="110">
        <f t="shared" si="34"/>
        <v>0.1340202965377115</v>
      </c>
      <c r="R70" s="110">
        <f t="shared" si="34"/>
        <v>0.13975709402382222</v>
      </c>
      <c r="S70" s="110">
        <f t="shared" si="34"/>
        <v>0.14542263745539774</v>
      </c>
      <c r="T70" s="110">
        <f t="shared" si="34"/>
        <v>0.15101590823142869</v>
      </c>
      <c r="U70" s="110">
        <f t="shared" si="34"/>
        <v>0.15653588775090563</v>
      </c>
      <c r="V70" s="110">
        <f t="shared" si="34"/>
        <v>0.1619815574128193</v>
      </c>
      <c r="W70" s="110">
        <f t="shared" si="34"/>
        <v>0.16735189861616034</v>
      </c>
      <c r="X70" s="110">
        <f t="shared" si="34"/>
        <v>0.17632767249091721</v>
      </c>
      <c r="Y70" s="110">
        <f t="shared" si="34"/>
        <v>0.18518555616196883</v>
      </c>
      <c r="Z70" s="110">
        <f t="shared" si="34"/>
        <v>0.19392392623395652</v>
      </c>
      <c r="AA70" s="110">
        <f t="shared" si="34"/>
        <v>0.20254115931152164</v>
      </c>
      <c r="AB70" s="110">
        <f t="shared" si="34"/>
        <v>0.21103563199930558</v>
      </c>
      <c r="AC70" s="110">
        <f t="shared" si="34"/>
        <v>0.2194057209019496</v>
      </c>
      <c r="AD70" s="110">
        <f t="shared" si="34"/>
        <v>0.22764980262409518</v>
      </c>
      <c r="AE70" s="110">
        <f t="shared" si="34"/>
        <v>0.2357662537703836</v>
      </c>
      <c r="AF70" s="110">
        <f t="shared" si="34"/>
        <v>0.24375345094545625</v>
      </c>
      <c r="AG70" s="110">
        <f t="shared" si="34"/>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0.14161054646771426</v>
      </c>
      <c r="D72" s="300">
        <f t="shared" ref="D72:AG72" si="36">D42*D64</f>
        <v>0.15517872268017149</v>
      </c>
      <c r="E72" s="300">
        <f t="shared" si="36"/>
        <v>0.16890405571300568</v>
      </c>
      <c r="F72" s="300">
        <f t="shared" si="36"/>
        <v>0.18269458201512093</v>
      </c>
      <c r="G72" s="300">
        <f t="shared" si="36"/>
        <v>0.19645418664130837</v>
      </c>
      <c r="H72" s="300">
        <f t="shared" si="36"/>
        <v>0.21008370812116231</v>
      </c>
      <c r="I72" s="300">
        <f t="shared" si="36"/>
        <v>0.22396427599121607</v>
      </c>
      <c r="J72" s="300">
        <f t="shared" si="36"/>
        <v>0.23808155865935648</v>
      </c>
      <c r="K72" s="300">
        <f t="shared" si="36"/>
        <v>0.25242036282179231</v>
      </c>
      <c r="L72" s="300">
        <f t="shared" si="36"/>
        <v>0.26696465097635802</v>
      </c>
      <c r="M72" s="300">
        <f t="shared" si="36"/>
        <v>0.28169756199163343</v>
      </c>
      <c r="N72" s="300">
        <f t="shared" si="36"/>
        <v>0.30662612920772481</v>
      </c>
      <c r="O72" s="300">
        <f t="shared" si="36"/>
        <v>0.33139662564642669</v>
      </c>
      <c r="P72" s="300">
        <f t="shared" si="36"/>
        <v>0.35586692765569555</v>
      </c>
      <c r="Q72" s="300">
        <f t="shared" si="36"/>
        <v>0.37989416124187553</v>
      </c>
      <c r="R72" s="300">
        <f t="shared" si="36"/>
        <v>0.40333607140186944</v>
      </c>
      <c r="S72" s="300">
        <f t="shared" si="36"/>
        <v>0.42682001500512368</v>
      </c>
      <c r="T72" s="300">
        <f t="shared" si="36"/>
        <v>0.45033337070358798</v>
      </c>
      <c r="U72" s="300">
        <f t="shared" si="36"/>
        <v>0.47386331984842256</v>
      </c>
      <c r="V72" s="300">
        <f t="shared" si="36"/>
        <v>0.49739685309318238</v>
      </c>
      <c r="W72" s="300">
        <f t="shared" si="36"/>
        <v>0.52092077724765706</v>
      </c>
      <c r="X72" s="300">
        <f t="shared" si="36"/>
        <v>0.56197955644654563</v>
      </c>
      <c r="Y72" s="300">
        <f t="shared" si="36"/>
        <v>0.60305478009639513</v>
      </c>
      <c r="Z72" s="300">
        <f t="shared" si="36"/>
        <v>0.64412438437447328</v>
      </c>
      <c r="AA72" s="300">
        <f t="shared" si="36"/>
        <v>0.68516600755744772</v>
      </c>
      <c r="AB72" s="300">
        <f t="shared" si="36"/>
        <v>0.72615700097893854</v>
      </c>
      <c r="AC72" s="300">
        <f t="shared" si="36"/>
        <v>0.76708169245210278</v>
      </c>
      <c r="AD72" s="300">
        <f t="shared" si="36"/>
        <v>0.80791806184643766</v>
      </c>
      <c r="AE72" s="300">
        <f t="shared" si="36"/>
        <v>0.84864383259667497</v>
      </c>
      <c r="AF72" s="300">
        <f t="shared" si="36"/>
        <v>0.88923648187244697</v>
      </c>
      <c r="AG72" s="300">
        <f t="shared" si="36"/>
        <v>0.92967325104857956</v>
      </c>
      <c r="AH72" s="245"/>
      <c r="AI72" s="423"/>
      <c r="AJ72" s="424"/>
      <c r="AL72" s="221"/>
      <c r="AM72" s="124"/>
      <c r="AN72" s="124"/>
      <c r="AO72" s="124"/>
      <c r="BD72" s="124"/>
      <c r="BE72" s="124"/>
      <c r="BF72" s="124"/>
      <c r="BG72" s="124"/>
      <c r="BH72" s="124"/>
      <c r="BI72" s="124"/>
      <c r="BJ72" s="124"/>
      <c r="BK72" s="124"/>
    </row>
    <row r="73" spans="1:63" outlineLevel="1">
      <c r="A73" s="4" t="s">
        <v>474</v>
      </c>
      <c r="C73" s="230">
        <f>C$72*'Methanol recycling rates'!E33</f>
        <v>0.14161054646771426</v>
      </c>
      <c r="D73" s="230">
        <f>D$72*'Methanol recycling rates'!F33</f>
        <v>0.15338912046662023</v>
      </c>
      <c r="E73" s="230">
        <f>E$72*'Methanol recycling rates'!G33</f>
        <v>0.16500827584368979</v>
      </c>
      <c r="F73" s="230">
        <f>F$72*'Methanol recycling rates'!H33</f>
        <v>0.17637379351916313</v>
      </c>
      <c r="G73" s="230">
        <f>G$72*'Methanol recycling rates'!I33</f>
        <v>0.18739173681049473</v>
      </c>
      <c r="H73" s="230">
        <f>H$72*'Methanol recycling rates'!J33</f>
        <v>0.19796973197188153</v>
      </c>
      <c r="I73" s="230">
        <f>I$72*'Methanol recycling rates'!K33</f>
        <v>0.20846703678930445</v>
      </c>
      <c r="J73" s="230">
        <f>J$72*'Methanol recycling rates'!L33</f>
        <v>0.21886179103164716</v>
      </c>
      <c r="K73" s="230">
        <f>K$72*'Methanol recycling rates'!M33</f>
        <v>0.22913201337546629</v>
      </c>
      <c r="L73" s="230">
        <f>L$72*'Methanol recycling rates'!N33</f>
        <v>0.23925566678909149</v>
      </c>
      <c r="M73" s="230">
        <f>M$72*'Methanol recycling rates'!O33</f>
        <v>0.24921072540829303</v>
      </c>
      <c r="N73" s="230">
        <f>N$72*'Methanol recycling rates'!P33</f>
        <v>0.26772822689909792</v>
      </c>
      <c r="O73" s="230">
        <f>O$72*'Methanol recycling rates'!Q33</f>
        <v>0.28553455451370324</v>
      </c>
      <c r="P73" s="230">
        <f>P$72*'Methanol recycling rates'!R33</f>
        <v>0.30251436104078755</v>
      </c>
      <c r="Q73" s="230">
        <f>Q$72*'Methanol recycling rates'!S33</f>
        <v>0.31855822625130176</v>
      </c>
      <c r="R73" s="230">
        <f>R$72*'Methanol recycling rates'!T33</f>
        <v>0.3335638326194752</v>
      </c>
      <c r="S73" s="230">
        <f>S$72*'Methanol recycling rates'!U33</f>
        <v>0.34806302766062025</v>
      </c>
      <c r="T73" s="230">
        <f>T$72*'Methanol recycling rates'!V33</f>
        <v>0.36204421022352107</v>
      </c>
      <c r="U73" s="230">
        <f>U$72*'Methanol recycling rates'!W33</f>
        <v>0.37549620503689379</v>
      </c>
      <c r="V73" s="230">
        <f>V$72*'Methanol recycling rates'!X33</f>
        <v>0.38840827924257437</v>
      </c>
      <c r="W73" s="230">
        <f>W$72*'Methanol recycling rates'!Y33</f>
        <v>0.40077015866463989</v>
      </c>
      <c r="X73" s="230">
        <f>X$72*'Methanol recycling rates'!Z33</f>
        <v>0.42587766917001146</v>
      </c>
      <c r="Y73" s="230">
        <f>Y$72*'Methanol recycling rates'!AA33</f>
        <v>0.45005042926986361</v>
      </c>
      <c r="Z73" s="230">
        <f>Z$72*'Methanol recycling rates'!AB33</f>
        <v>0.47327165858900339</v>
      </c>
      <c r="AA73" s="230">
        <f>AA$72*'Methanol recycling rates'!AC33</f>
        <v>0.49552537911091826</v>
      </c>
      <c r="AB73" s="230">
        <f>AB$72*'Methanol recycling rates'!AD33</f>
        <v>0.51679644015385084</v>
      </c>
      <c r="AC73" s="230">
        <f>AC$72*'Methanol recycling rates'!AE33</f>
        <v>0.53707562043395096</v>
      </c>
      <c r="AD73" s="230">
        <f>AD$72*'Methanol recycling rates'!AF33</f>
        <v>0.55635005029393658</v>
      </c>
      <c r="AE73" s="230">
        <f>AE$72*'Methanol recycling rates'!AG33</f>
        <v>0.57460770223793678</v>
      </c>
      <c r="AF73" s="230">
        <f>AF$72*'Methanol recycling rates'!AH33</f>
        <v>0.59183741248668187</v>
      </c>
      <c r="AG73" s="230">
        <f>AG$72*'Methanol recycling rates'!AI33</f>
        <v>0.60802890202561877</v>
      </c>
      <c r="AH73" s="245"/>
      <c r="AI73" s="133"/>
      <c r="AJ73" s="211"/>
      <c r="AL73" s="108"/>
      <c r="AM73" s="2"/>
      <c r="AN73" s="2"/>
      <c r="AO73" s="2"/>
      <c r="BC73" s="1"/>
      <c r="BD73" s="2"/>
      <c r="BE73" s="2"/>
      <c r="BF73" s="2"/>
      <c r="BG73" s="2"/>
      <c r="BH73" s="2"/>
      <c r="BI73" s="2"/>
      <c r="BJ73" s="2"/>
      <c r="BK73" s="2"/>
    </row>
    <row r="74" spans="1:63" outlineLevel="1">
      <c r="A74" s="4" t="s">
        <v>745</v>
      </c>
      <c r="C74" s="230">
        <f>C$72*'Methanol recycling rates'!E34</f>
        <v>0</v>
      </c>
      <c r="D74" s="230">
        <f>D$72*'Methanol recycling rates'!F34</f>
        <v>1.059593726617561E-3</v>
      </c>
      <c r="E74" s="230">
        <f>E$72*'Methanol recycling rates'!G34</f>
        <v>2.3066265109376659E-3</v>
      </c>
      <c r="F74" s="230">
        <f>F$72*'Methanol recycling rates'!H34</f>
        <v>3.742433813994305E-3</v>
      </c>
      <c r="G74" s="230">
        <f>G$72*'Methanol recycling rates'!I34</f>
        <v>5.3657259226682465E-3</v>
      </c>
      <c r="H74" s="230">
        <f>H$72*'Methanol recycling rates'!J34</f>
        <v>7.1724839380374102E-3</v>
      </c>
      <c r="I74" s="230">
        <f>I$72*'Methanol recycling rates'!K34</f>
        <v>9.1756577600851652E-3</v>
      </c>
      <c r="J74" s="230">
        <f>J$72*'Methanol recycling rates'!L34</f>
        <v>1.1379704970835781E-2</v>
      </c>
      <c r="K74" s="230">
        <f>K$72*'Methanol recycling rates'!M34</f>
        <v>1.3788644643905204E-2</v>
      </c>
      <c r="L74" s="230">
        <f>L$72*'Methanol recycling rates'!N34</f>
        <v>1.6406029000998263E-2</v>
      </c>
      <c r="M74" s="230">
        <f>M$72*'Methanol recycling rates'!O34</f>
        <v>1.9234915994571215E-2</v>
      </c>
      <c r="N74" s="230">
        <f>N$72*'Methanol recycling rates'!P34</f>
        <v>2.3030801455601265E-2</v>
      </c>
      <c r="O74" s="230">
        <f>O$72*'Methanol recycling rates'!Q34</f>
        <v>2.715417006860445E-2</v>
      </c>
      <c r="P74" s="230">
        <f>P$72*'Methanol recycling rates'!R34</f>
        <v>3.1589167948066182E-2</v>
      </c>
      <c r="Q74" s="230">
        <f>Q$72*'Methanol recycling rates'!S34</f>
        <v>3.6315987675980085E-2</v>
      </c>
      <c r="R74" s="230">
        <f>R$72*'Methanol recycling rates'!T34</f>
        <v>4.1310982935800614E-2</v>
      </c>
      <c r="S74" s="230">
        <f>S$72*'Methanol recycling rates'!U34</f>
        <v>4.6630703228700381E-2</v>
      </c>
      <c r="T74" s="230">
        <f>T$72*'Methanol recycling rates'!V34</f>
        <v>5.2274544513089896E-2</v>
      </c>
      <c r="U74" s="230">
        <f>U$72*'Methanol recycling rates'!W34</f>
        <v>5.8241533772431978E-2</v>
      </c>
      <c r="V74" s="230">
        <f>V$72*'Methanol recycling rates'!X34</f>
        <v>6.4530323135851775E-2</v>
      </c>
      <c r="W74" s="230">
        <f>W$72*'Methanol recycling rates'!Y34</f>
        <v>7.1139184303505076E-2</v>
      </c>
      <c r="X74" s="230">
        <f>X$72*'Methanol recycling rates'!Z34</f>
        <v>8.0583665379387187E-2</v>
      </c>
      <c r="Y74" s="230">
        <f>Y$72*'Methanol recycling rates'!AA34</f>
        <v>9.0591333120487755E-2</v>
      </c>
      <c r="Z74" s="230">
        <f>Z$72*'Methanol recycling rates'!AB34</f>
        <v>0.10115905928533209</v>
      </c>
      <c r="AA74" s="230">
        <f>AA$72*'Methanol recycling rates'!AC34</f>
        <v>0.11228306418721236</v>
      </c>
      <c r="AB74" s="230">
        <f>AB$72*'Methanol recycling rates'!AD34</f>
        <v>0.12395890839405362</v>
      </c>
      <c r="AC74" s="230">
        <f>AC$72*'Methanol recycling rates'!AE34</f>
        <v>0.13618277243341079</v>
      </c>
      <c r="AD74" s="230">
        <f>AD$72*'Methanol recycling rates'!AF34</f>
        <v>0.14894923846217509</v>
      </c>
      <c r="AE74" s="230">
        <f>AE$72*'Methanol recycling rates'!AG34</f>
        <v>0.16225223817670065</v>
      </c>
      <c r="AF74" s="230">
        <f>AF$72*'Methanol recycling rates'!AH34</f>
        <v>0.17608504607162512</v>
      </c>
      <c r="AG74" s="230">
        <f>AG$72*'Methanol recycling rates'!AI34</f>
        <v>0.19044027317691653</v>
      </c>
      <c r="AH74" s="245"/>
      <c r="AI74" s="133"/>
      <c r="AJ74" s="211"/>
      <c r="AL74" s="108"/>
      <c r="AM74" s="2"/>
      <c r="AN74" s="2"/>
      <c r="AO74" s="2"/>
      <c r="BC74" s="1"/>
      <c r="BD74" s="2"/>
      <c r="BE74" s="2"/>
      <c r="BF74" s="2"/>
      <c r="BG74" s="2"/>
      <c r="BH74" s="2"/>
      <c r="BI74" s="2"/>
      <c r="BJ74" s="2"/>
      <c r="BK74" s="2"/>
    </row>
    <row r="75" spans="1:63" outlineLevel="1">
      <c r="A75" s="4" t="s">
        <v>1561</v>
      </c>
      <c r="C75" s="230">
        <f>C$72*'Methanol recycling rates'!E35</f>
        <v>0</v>
      </c>
      <c r="D75" s="230">
        <f>D$72*'Methanol recycling rates'!F35</f>
        <v>7.3000848693370915E-4</v>
      </c>
      <c r="E75" s="230">
        <f>E$72*'Methanol recycling rates'!G35</f>
        <v>1.589153358378216E-3</v>
      </c>
      <c r="F75" s="230">
        <f>F$72*'Methanol recycling rates'!H35</f>
        <v>2.5783546819634928E-3</v>
      </c>
      <c r="G75" s="230">
        <f>G$72*'Methanol recycling rates'!I35</f>
        <v>3.6967239081454085E-3</v>
      </c>
      <c r="H75" s="230">
        <f>H$72*'Methanol recycling rates'!J35</f>
        <v>4.9414922112433774E-3</v>
      </c>
      <c r="I75" s="230">
        <f>I$72*'Methanol recycling rates'!K35</f>
        <v>6.3215814418264649E-3</v>
      </c>
      <c r="J75" s="230">
        <f>J$72*'Methanol recycling rates'!L35</f>
        <v>7.840062656873566E-3</v>
      </c>
      <c r="K75" s="230">
        <f>K$72*'Methanol recycling rates'!M35</f>
        <v>9.4997048024208341E-3</v>
      </c>
      <c r="L75" s="230">
        <f>L$72*'Methanol recycling rates'!N35</f>
        <v>1.1302955186268284E-2</v>
      </c>
      <c r="M75" s="230">
        <f>M$72*'Methanol recycling rates'!O35</f>
        <v>1.32519205887692E-2</v>
      </c>
      <c r="N75" s="230">
        <f>N$72*'Methanol recycling rates'!P35</f>
        <v>1.5867100853025673E-2</v>
      </c>
      <c r="O75" s="230">
        <f>O$72*'Methanol recycling rates'!Q35</f>
        <v>1.8707901064119067E-2</v>
      </c>
      <c r="P75" s="230">
        <f>P$72*'Methanol recycling rates'!R35</f>
        <v>2.1763398666841863E-2</v>
      </c>
      <c r="Q75" s="230">
        <f>Q$72*'Methanol recycling rates'!S35</f>
        <v>2.5019947314593782E-2</v>
      </c>
      <c r="R75" s="230">
        <f>R$72*'Methanol recycling rates'!T35</f>
        <v>2.8461255846593734E-2</v>
      </c>
      <c r="S75" s="230">
        <f>S$72*'Methanol recycling rates'!U35</f>
        <v>3.212628411580315E-2</v>
      </c>
      <c r="T75" s="230">
        <f>T$72*'Methanol recycling rates'!V35</f>
        <v>3.6014615966977123E-2</v>
      </c>
      <c r="U75" s="230">
        <f>U$72*'Methanol recycling rates'!W35</f>
        <v>4.0125581039096886E-2</v>
      </c>
      <c r="V75" s="230">
        <f>V$72*'Methanol recycling rates'!X35</f>
        <v>4.4458250714756335E-2</v>
      </c>
      <c r="W75" s="230">
        <f>W$72*'Methanol recycling rates'!Y35</f>
        <v>4.9011434279512232E-2</v>
      </c>
      <c r="X75" s="230">
        <f>X$72*'Methanol recycling rates'!Z35</f>
        <v>5.551822189714712E-2</v>
      </c>
      <c r="Y75" s="230">
        <f>Y$72*'Methanol recycling rates'!AA35</f>
        <v>6.241301770604394E-2</v>
      </c>
      <c r="Z75" s="230">
        <f>Z$72*'Methanol recycling rates'!AB35</f>
        <v>6.9693666500138016E-2</v>
      </c>
      <c r="AA75" s="230">
        <f>AA$72*'Methanol recycling rates'!AC35</f>
        <v>7.7357564259317335E-2</v>
      </c>
      <c r="AB75" s="230">
        <f>AB$72*'Methanol recycling rates'!AD35</f>
        <v>8.5401652431034369E-2</v>
      </c>
      <c r="AC75" s="230">
        <f>AC$72*'Methanol recycling rates'!AE35</f>
        <v>9.3823299584741324E-2</v>
      </c>
      <c r="AD75" s="230">
        <f>AD$72*'Methanol recycling rates'!AF35</f>
        <v>0.1026187730903263</v>
      </c>
      <c r="AE75" s="230">
        <f>AE$72*'Methanol recycling rates'!AG35</f>
        <v>0.11178389218203783</v>
      </c>
      <c r="AF75" s="230">
        <f>AF$72*'Methanol recycling rates'!AH35</f>
        <v>0.12131402331414028</v>
      </c>
      <c r="AG75" s="230">
        <f>AG$72*'Methanol recycling rates'!AI35</f>
        <v>0.13120407584604418</v>
      </c>
      <c r="AH75" s="245"/>
      <c r="AI75" s="133"/>
      <c r="AJ75" s="211"/>
      <c r="AL75" s="108"/>
      <c r="AM75" s="2"/>
      <c r="AN75" s="2"/>
      <c r="AO75" s="2"/>
      <c r="BC75" s="1"/>
      <c r="BD75" s="2"/>
      <c r="BE75" s="2"/>
      <c r="BF75" s="2"/>
      <c r="BG75" s="2"/>
      <c r="BH75" s="2"/>
      <c r="BI75" s="2"/>
      <c r="BJ75" s="2"/>
      <c r="BK75" s="2"/>
    </row>
    <row r="76" spans="1:63" s="1" customFormat="1" outlineLevel="1">
      <c r="A76" s="1" t="s">
        <v>1562</v>
      </c>
      <c r="B76" s="65"/>
      <c r="C76" s="300">
        <f>C72-$C72</f>
        <v>0</v>
      </c>
      <c r="D76" s="300">
        <f t="shared" ref="D76:AG79" si="37">D72-$C72</f>
        <v>1.3568176212457234E-2</v>
      </c>
      <c r="E76" s="300">
        <f t="shared" si="37"/>
        <v>2.729350924529142E-2</v>
      </c>
      <c r="F76" s="300">
        <f t="shared" si="37"/>
        <v>4.1084035547406667E-2</v>
      </c>
      <c r="G76" s="300">
        <f t="shared" si="37"/>
        <v>5.484364017359411E-2</v>
      </c>
      <c r="H76" s="300">
        <f t="shared" si="37"/>
        <v>6.847316165344805E-2</v>
      </c>
      <c r="I76" s="300">
        <f t="shared" si="37"/>
        <v>8.2353729523501812E-2</v>
      </c>
      <c r="J76" s="300">
        <f t="shared" si="37"/>
        <v>9.6471012191642225E-2</v>
      </c>
      <c r="K76" s="300">
        <f t="shared" si="37"/>
        <v>0.11080981635407805</v>
      </c>
      <c r="L76" s="300">
        <f t="shared" si="37"/>
        <v>0.12535410450864376</v>
      </c>
      <c r="M76" s="300">
        <f t="shared" si="37"/>
        <v>0.14008701552391917</v>
      </c>
      <c r="N76" s="300">
        <f t="shared" si="37"/>
        <v>0.16501558274001055</v>
      </c>
      <c r="O76" s="300">
        <f t="shared" si="37"/>
        <v>0.18978607917871243</v>
      </c>
      <c r="P76" s="300">
        <f t="shared" si="37"/>
        <v>0.21425638118798129</v>
      </c>
      <c r="Q76" s="300">
        <f t="shared" si="37"/>
        <v>0.23828361477416127</v>
      </c>
      <c r="R76" s="300">
        <f t="shared" si="37"/>
        <v>0.26172552493415518</v>
      </c>
      <c r="S76" s="300">
        <f t="shared" si="37"/>
        <v>0.28520946853740942</v>
      </c>
      <c r="T76" s="300">
        <f t="shared" si="37"/>
        <v>0.30872282423587372</v>
      </c>
      <c r="U76" s="300">
        <f t="shared" si="37"/>
        <v>0.3322527733807083</v>
      </c>
      <c r="V76" s="300">
        <f t="shared" si="37"/>
        <v>0.35578630662546812</v>
      </c>
      <c r="W76" s="300">
        <f t="shared" si="37"/>
        <v>0.3793102307799428</v>
      </c>
      <c r="X76" s="300">
        <f t="shared" si="37"/>
        <v>0.42036900997883136</v>
      </c>
      <c r="Y76" s="300">
        <f t="shared" si="37"/>
        <v>0.46144423362868087</v>
      </c>
      <c r="Z76" s="300">
        <f t="shared" si="37"/>
        <v>0.50251383790675908</v>
      </c>
      <c r="AA76" s="300">
        <f t="shared" si="37"/>
        <v>0.54355546108973352</v>
      </c>
      <c r="AB76" s="300">
        <f t="shared" si="37"/>
        <v>0.58454645451122422</v>
      </c>
      <c r="AC76" s="300">
        <f t="shared" si="37"/>
        <v>0.62547114598438847</v>
      </c>
      <c r="AD76" s="300">
        <f t="shared" si="37"/>
        <v>0.66630751537872346</v>
      </c>
      <c r="AE76" s="300">
        <f t="shared" si="37"/>
        <v>0.70703328612896077</v>
      </c>
      <c r="AF76" s="300">
        <f t="shared" si="37"/>
        <v>0.74762593540473277</v>
      </c>
      <c r="AG76" s="300">
        <f t="shared" si="37"/>
        <v>0.78806270458086525</v>
      </c>
      <c r="AH76" s="245"/>
      <c r="AI76" s="423"/>
      <c r="AJ76" s="424"/>
      <c r="AL76" s="221"/>
      <c r="AM76" s="124"/>
      <c r="AN76" s="124"/>
      <c r="AO76" s="124"/>
      <c r="BD76" s="124"/>
      <c r="BE76" s="124"/>
      <c r="BF76" s="124"/>
      <c r="BG76" s="124"/>
      <c r="BH76" s="124"/>
      <c r="BI76" s="124"/>
      <c r="BJ76" s="124"/>
      <c r="BK76" s="124"/>
    </row>
    <row r="77" spans="1:63" outlineLevel="1">
      <c r="A77" s="4" t="s">
        <v>474</v>
      </c>
      <c r="C77" s="230">
        <f t="shared" ref="C77:R79" si="38">C73-$C73</f>
        <v>0</v>
      </c>
      <c r="D77" s="230">
        <f t="shared" si="38"/>
        <v>1.1778573998905972E-2</v>
      </c>
      <c r="E77" s="230">
        <f t="shared" si="38"/>
        <v>2.3397729375975534E-2</v>
      </c>
      <c r="F77" s="230">
        <f t="shared" si="38"/>
        <v>3.476324705144887E-2</v>
      </c>
      <c r="G77" s="230">
        <f t="shared" si="38"/>
        <v>4.578119034278047E-2</v>
      </c>
      <c r="H77" s="230">
        <f t="shared" si="38"/>
        <v>5.635918550416727E-2</v>
      </c>
      <c r="I77" s="230">
        <f t="shared" si="38"/>
        <v>6.685649032159019E-2</v>
      </c>
      <c r="J77" s="230">
        <f t="shared" si="38"/>
        <v>7.7251244563932897E-2</v>
      </c>
      <c r="K77" s="230">
        <f t="shared" si="38"/>
        <v>8.7521466907752032E-2</v>
      </c>
      <c r="L77" s="230">
        <f t="shared" si="38"/>
        <v>9.7645120321377232E-2</v>
      </c>
      <c r="M77" s="230">
        <f t="shared" si="38"/>
        <v>0.10760017894057877</v>
      </c>
      <c r="N77" s="230">
        <f t="shared" si="38"/>
        <v>0.12611768043138366</v>
      </c>
      <c r="O77" s="230">
        <f t="shared" si="38"/>
        <v>0.14392400804598898</v>
      </c>
      <c r="P77" s="230">
        <f t="shared" si="38"/>
        <v>0.16090381457307329</v>
      </c>
      <c r="Q77" s="230">
        <f t="shared" si="38"/>
        <v>0.1769476797835875</v>
      </c>
      <c r="R77" s="230">
        <f t="shared" si="38"/>
        <v>0.19195328615176094</v>
      </c>
      <c r="S77" s="230">
        <f t="shared" si="37"/>
        <v>0.20645248119290599</v>
      </c>
      <c r="T77" s="230">
        <f t="shared" si="37"/>
        <v>0.22043366375580681</v>
      </c>
      <c r="U77" s="230">
        <f t="shared" si="37"/>
        <v>0.23388565856917953</v>
      </c>
      <c r="V77" s="230">
        <f t="shared" si="37"/>
        <v>0.24679773277486011</v>
      </c>
      <c r="W77" s="230">
        <f t="shared" si="37"/>
        <v>0.25915961219692563</v>
      </c>
      <c r="X77" s="230">
        <f t="shared" si="37"/>
        <v>0.2842671227022972</v>
      </c>
      <c r="Y77" s="230">
        <f t="shared" si="37"/>
        <v>0.30843988280214935</v>
      </c>
      <c r="Z77" s="230">
        <f t="shared" si="37"/>
        <v>0.33166111212128913</v>
      </c>
      <c r="AA77" s="230">
        <f t="shared" si="37"/>
        <v>0.353914832643204</v>
      </c>
      <c r="AB77" s="230">
        <f t="shared" si="37"/>
        <v>0.37518589368613658</v>
      </c>
      <c r="AC77" s="230">
        <f t="shared" si="37"/>
        <v>0.3954650739662367</v>
      </c>
      <c r="AD77" s="230">
        <f t="shared" si="37"/>
        <v>0.41473950382622232</v>
      </c>
      <c r="AE77" s="230">
        <f t="shared" si="37"/>
        <v>0.43299715577022252</v>
      </c>
      <c r="AF77" s="230">
        <f t="shared" si="37"/>
        <v>0.45022686601896761</v>
      </c>
      <c r="AG77" s="230">
        <f>AG73-$C73</f>
        <v>0.46641835555790451</v>
      </c>
      <c r="AH77" s="245"/>
      <c r="AI77" s="133"/>
      <c r="AJ77" s="211"/>
      <c r="AL77" s="108"/>
      <c r="AM77" s="2"/>
      <c r="AN77" s="2"/>
      <c r="AO77" s="2"/>
      <c r="BC77" s="1"/>
      <c r="BD77" s="2"/>
      <c r="BE77" s="2"/>
      <c r="BF77" s="2"/>
      <c r="BG77" s="2"/>
      <c r="BH77" s="2"/>
      <c r="BI77" s="2"/>
      <c r="BJ77" s="2"/>
      <c r="BK77" s="2"/>
    </row>
    <row r="78" spans="1:63" outlineLevel="1">
      <c r="A78" s="4" t="s">
        <v>745</v>
      </c>
      <c r="C78" s="230">
        <f t="shared" si="38"/>
        <v>0</v>
      </c>
      <c r="D78" s="230">
        <f t="shared" si="37"/>
        <v>1.059593726617561E-3</v>
      </c>
      <c r="E78" s="230">
        <f t="shared" si="37"/>
        <v>2.3066265109376659E-3</v>
      </c>
      <c r="F78" s="230">
        <f t="shared" si="37"/>
        <v>3.742433813994305E-3</v>
      </c>
      <c r="G78" s="230">
        <f t="shared" si="37"/>
        <v>5.3657259226682465E-3</v>
      </c>
      <c r="H78" s="230">
        <f t="shared" si="37"/>
        <v>7.1724839380374102E-3</v>
      </c>
      <c r="I78" s="230">
        <f t="shared" si="37"/>
        <v>9.1756577600851652E-3</v>
      </c>
      <c r="J78" s="230">
        <f t="shared" si="37"/>
        <v>1.1379704970835781E-2</v>
      </c>
      <c r="K78" s="230">
        <f t="shared" si="37"/>
        <v>1.3788644643905204E-2</v>
      </c>
      <c r="L78" s="230">
        <f t="shared" si="37"/>
        <v>1.6406029000998263E-2</v>
      </c>
      <c r="M78" s="230">
        <f t="shared" si="37"/>
        <v>1.9234915994571215E-2</v>
      </c>
      <c r="N78" s="230">
        <f t="shared" si="37"/>
        <v>2.3030801455601265E-2</v>
      </c>
      <c r="O78" s="230">
        <f t="shared" si="37"/>
        <v>2.715417006860445E-2</v>
      </c>
      <c r="P78" s="230">
        <f t="shared" si="37"/>
        <v>3.1589167948066182E-2</v>
      </c>
      <c r="Q78" s="230">
        <f t="shared" si="37"/>
        <v>3.6315987675980085E-2</v>
      </c>
      <c r="R78" s="230">
        <f t="shared" si="37"/>
        <v>4.1310982935800614E-2</v>
      </c>
      <c r="S78" s="230">
        <f t="shared" si="37"/>
        <v>4.6630703228700381E-2</v>
      </c>
      <c r="T78" s="230">
        <f t="shared" si="37"/>
        <v>5.2274544513089896E-2</v>
      </c>
      <c r="U78" s="230">
        <f t="shared" si="37"/>
        <v>5.8241533772431978E-2</v>
      </c>
      <c r="V78" s="230">
        <f t="shared" si="37"/>
        <v>6.4530323135851775E-2</v>
      </c>
      <c r="W78" s="230">
        <f t="shared" si="37"/>
        <v>7.1139184303505076E-2</v>
      </c>
      <c r="X78" s="230">
        <f t="shared" si="37"/>
        <v>8.0583665379387187E-2</v>
      </c>
      <c r="Y78" s="230">
        <f t="shared" si="37"/>
        <v>9.0591333120487755E-2</v>
      </c>
      <c r="Z78" s="230">
        <f t="shared" si="37"/>
        <v>0.10115905928533209</v>
      </c>
      <c r="AA78" s="230">
        <f t="shared" si="37"/>
        <v>0.11228306418721236</v>
      </c>
      <c r="AB78" s="230">
        <f t="shared" si="37"/>
        <v>0.12395890839405362</v>
      </c>
      <c r="AC78" s="230">
        <f t="shared" si="37"/>
        <v>0.13618277243341079</v>
      </c>
      <c r="AD78" s="230">
        <f t="shared" si="37"/>
        <v>0.14894923846217509</v>
      </c>
      <c r="AE78" s="230">
        <f t="shared" si="37"/>
        <v>0.16225223817670065</v>
      </c>
      <c r="AF78" s="230">
        <f t="shared" si="37"/>
        <v>0.17608504607162512</v>
      </c>
      <c r="AG78" s="230">
        <f t="shared" si="37"/>
        <v>0.19044027317691653</v>
      </c>
      <c r="AH78" s="245"/>
      <c r="AI78" s="133"/>
      <c r="AJ78" s="211"/>
      <c r="AL78" s="108"/>
      <c r="AM78" s="2"/>
      <c r="AN78" s="2"/>
      <c r="AO78" s="2"/>
      <c r="BC78" s="1"/>
      <c r="BD78" s="2"/>
      <c r="BE78" s="2"/>
      <c r="BF78" s="2"/>
      <c r="BG78" s="2"/>
      <c r="BH78" s="2"/>
      <c r="BI78" s="2"/>
      <c r="BJ78" s="2"/>
      <c r="BK78" s="2"/>
    </row>
    <row r="79" spans="1:63" outlineLevel="1">
      <c r="A79" s="4" t="s">
        <v>1561</v>
      </c>
      <c r="C79" s="230">
        <f t="shared" si="38"/>
        <v>0</v>
      </c>
      <c r="D79" s="230">
        <f t="shared" si="37"/>
        <v>7.3000848693370915E-4</v>
      </c>
      <c r="E79" s="230">
        <f t="shared" si="37"/>
        <v>1.589153358378216E-3</v>
      </c>
      <c r="F79" s="230">
        <f t="shared" si="37"/>
        <v>2.5783546819634928E-3</v>
      </c>
      <c r="G79" s="230">
        <f t="shared" si="37"/>
        <v>3.6967239081454085E-3</v>
      </c>
      <c r="H79" s="230">
        <f t="shared" si="37"/>
        <v>4.9414922112433774E-3</v>
      </c>
      <c r="I79" s="230">
        <f t="shared" si="37"/>
        <v>6.3215814418264649E-3</v>
      </c>
      <c r="J79" s="230">
        <f t="shared" si="37"/>
        <v>7.840062656873566E-3</v>
      </c>
      <c r="K79" s="230">
        <f t="shared" si="37"/>
        <v>9.4997048024208341E-3</v>
      </c>
      <c r="L79" s="230">
        <f t="shared" si="37"/>
        <v>1.1302955186268284E-2</v>
      </c>
      <c r="M79" s="230">
        <f t="shared" si="37"/>
        <v>1.32519205887692E-2</v>
      </c>
      <c r="N79" s="230">
        <f t="shared" si="37"/>
        <v>1.5867100853025673E-2</v>
      </c>
      <c r="O79" s="230">
        <f t="shared" si="37"/>
        <v>1.8707901064119067E-2</v>
      </c>
      <c r="P79" s="230">
        <f t="shared" si="37"/>
        <v>2.1763398666841863E-2</v>
      </c>
      <c r="Q79" s="230">
        <f t="shared" si="37"/>
        <v>2.5019947314593782E-2</v>
      </c>
      <c r="R79" s="230">
        <f t="shared" si="37"/>
        <v>2.8461255846593734E-2</v>
      </c>
      <c r="S79" s="230">
        <f t="shared" si="37"/>
        <v>3.212628411580315E-2</v>
      </c>
      <c r="T79" s="230">
        <f t="shared" si="37"/>
        <v>3.6014615966977123E-2</v>
      </c>
      <c r="U79" s="230">
        <f t="shared" si="37"/>
        <v>4.0125581039096886E-2</v>
      </c>
      <c r="V79" s="230">
        <f t="shared" si="37"/>
        <v>4.4458250714756335E-2</v>
      </c>
      <c r="W79" s="230">
        <f t="shared" si="37"/>
        <v>4.9011434279512232E-2</v>
      </c>
      <c r="X79" s="230">
        <f t="shared" si="37"/>
        <v>5.551822189714712E-2</v>
      </c>
      <c r="Y79" s="230">
        <f t="shared" si="37"/>
        <v>6.241301770604394E-2</v>
      </c>
      <c r="Z79" s="230">
        <f t="shared" si="37"/>
        <v>6.9693666500138016E-2</v>
      </c>
      <c r="AA79" s="230">
        <f t="shared" si="37"/>
        <v>7.7357564259317335E-2</v>
      </c>
      <c r="AB79" s="230">
        <f t="shared" si="37"/>
        <v>8.5401652431034369E-2</v>
      </c>
      <c r="AC79" s="230">
        <f t="shared" si="37"/>
        <v>9.3823299584741324E-2</v>
      </c>
      <c r="AD79" s="230">
        <f t="shared" si="37"/>
        <v>0.1026187730903263</v>
      </c>
      <c r="AE79" s="230">
        <f t="shared" si="37"/>
        <v>0.11178389218203783</v>
      </c>
      <c r="AF79" s="230">
        <f t="shared" si="37"/>
        <v>0.12131402331414028</v>
      </c>
      <c r="AG79" s="230">
        <f t="shared" si="37"/>
        <v>0.13120407584604418</v>
      </c>
      <c r="AH79" s="245"/>
      <c r="AI79" s="133"/>
      <c r="AJ79" s="211"/>
      <c r="AL79" s="108"/>
      <c r="AM79" s="2"/>
      <c r="AN79" s="2"/>
      <c r="AO79" s="2"/>
      <c r="BC79" s="1"/>
      <c r="BD79" s="2"/>
      <c r="BE79" s="2"/>
      <c r="BF79" s="2"/>
      <c r="BG79" s="2"/>
      <c r="BH79" s="2"/>
      <c r="BI79" s="2"/>
      <c r="BJ79" s="2"/>
      <c r="BK79" s="2"/>
    </row>
    <row r="80" spans="1:63" s="1" customFormat="1" outlineLevel="1">
      <c r="A80" s="1" t="s">
        <v>1563</v>
      </c>
      <c r="B80" s="65"/>
      <c r="C80" s="300">
        <f>C42*C67</f>
        <v>3.2916733560927877E-2</v>
      </c>
      <c r="D80" s="300">
        <f t="shared" ref="D80:AG80" si="39">D42*D67</f>
        <v>3.4286012073577642E-2</v>
      </c>
      <c r="E80" s="300">
        <f t="shared" si="39"/>
        <v>3.5563703230906317E-2</v>
      </c>
      <c r="F80" s="300">
        <f t="shared" si="39"/>
        <v>3.6737713430871385E-2</v>
      </c>
      <c r="G80" s="300">
        <f t="shared" si="39"/>
        <v>3.7796753059384944E-2</v>
      </c>
      <c r="H80" s="300">
        <f t="shared" si="39"/>
        <v>3.8730508716981076E-2</v>
      </c>
      <c r="I80" s="300">
        <f t="shared" si="39"/>
        <v>3.9615086388305784E-2</v>
      </c>
      <c r="J80" s="300">
        <f t="shared" si="39"/>
        <v>4.0447304897489669E-2</v>
      </c>
      <c r="K80" s="300">
        <f t="shared" si="39"/>
        <v>4.1224054073727756E-2</v>
      </c>
      <c r="L80" s="300">
        <f t="shared" si="39"/>
        <v>4.1942306589352017E-2</v>
      </c>
      <c r="M80" s="300">
        <f t="shared" si="39"/>
        <v>4.2599129772902283E-2</v>
      </c>
      <c r="N80" s="300">
        <f t="shared" si="39"/>
        <v>4.4542378628056607E-2</v>
      </c>
      <c r="O80" s="300">
        <f t="shared" si="39"/>
        <v>4.6311022041697812E-2</v>
      </c>
      <c r="P80" s="300">
        <f t="shared" si="39"/>
        <v>4.7891756003987172E-2</v>
      </c>
      <c r="Q80" s="300">
        <f t="shared" si="39"/>
        <v>4.9272879288657735E-2</v>
      </c>
      <c r="R80" s="300">
        <f t="shared" si="39"/>
        <v>5.0444435999873069E-2</v>
      </c>
      <c r="S80" s="300">
        <f t="shared" si="39"/>
        <v>5.1490939000062748E-2</v>
      </c>
      <c r="T80" s="300">
        <f t="shared" si="39"/>
        <v>5.2410918785596984E-2</v>
      </c>
      <c r="U80" s="300">
        <f t="shared" si="39"/>
        <v>5.3203026191244555E-2</v>
      </c>
      <c r="V80" s="300">
        <f t="shared" si="39"/>
        <v>5.3866035616482816E-2</v>
      </c>
      <c r="W80" s="300">
        <f t="shared" si="39"/>
        <v>5.4398848164430871E-2</v>
      </c>
      <c r="X80" s="300">
        <f t="shared" si="39"/>
        <v>5.5969765372503491E-2</v>
      </c>
      <c r="Y80" s="300">
        <f t="shared" si="39"/>
        <v>5.7339406607623593E-2</v>
      </c>
      <c r="Z80" s="300">
        <f t="shared" si="39"/>
        <v>5.8506213478463215E-2</v>
      </c>
      <c r="AA80" s="300">
        <f t="shared" si="39"/>
        <v>5.9468824490474047E-2</v>
      </c>
      <c r="AB80" s="300">
        <f t="shared" si="39"/>
        <v>6.0226079332265155E-2</v>
      </c>
      <c r="AC80" s="300">
        <f t="shared" si="39"/>
        <v>6.0777597622853868E-2</v>
      </c>
      <c r="AD80" s="300">
        <f t="shared" si="39"/>
        <v>6.112264424636478E-2</v>
      </c>
      <c r="AE80" s="300">
        <f t="shared" si="39"/>
        <v>6.1260685514085186E-2</v>
      </c>
      <c r="AF80" s="300">
        <f t="shared" si="39"/>
        <v>6.119139279811521E-2</v>
      </c>
      <c r="AG80" s="300">
        <f t="shared" si="39"/>
        <v>6.0914646030679538E-2</v>
      </c>
      <c r="AH80" s="245"/>
      <c r="AI80" s="423"/>
      <c r="AJ80" s="424"/>
      <c r="AL80" s="221"/>
      <c r="AM80" s="124"/>
      <c r="AN80" s="124"/>
      <c r="AO80" s="124"/>
      <c r="BD80" s="124"/>
      <c r="BE80" s="124"/>
      <c r="BF80" s="124"/>
      <c r="BG80" s="124"/>
      <c r="BH80" s="124"/>
      <c r="BI80" s="124"/>
      <c r="BJ80" s="124"/>
      <c r="BK80" s="124"/>
    </row>
    <row r="81" spans="1:63" outlineLevel="1">
      <c r="A81" s="4" t="s">
        <v>474</v>
      </c>
      <c r="C81" s="230">
        <f>C$80*'Methanol recycling rates'!E36</f>
        <v>3.2916733560927877E-2</v>
      </c>
      <c r="D81" s="230">
        <f>D$80*'Methanol recycling rates'!F36</f>
        <v>3.3890607845208129E-2</v>
      </c>
      <c r="E81" s="230">
        <f>E$80*'Methanol recycling rates'!G36</f>
        <v>3.4743424768435859E-2</v>
      </c>
      <c r="F81" s="230">
        <f>F$80*'Methanol recycling rates'!H36</f>
        <v>3.5466677837695304E-2</v>
      </c>
      <c r="G81" s="230">
        <f>G$80*'Methanol recycling rates'!I36</f>
        <v>3.6053185338969132E-2</v>
      </c>
      <c r="H81" s="230">
        <f>H$80*'Methanol recycling rates'!J36</f>
        <v>3.6497206272717152E-2</v>
      </c>
      <c r="I81" s="230">
        <f>I$80*'Methanol recycling rates'!K36</f>
        <v>3.6873914980290488E-2</v>
      </c>
      <c r="J81" s="230">
        <f>J$80*'Methanol recycling rates'!L36</f>
        <v>3.7182088533507712E-2</v>
      </c>
      <c r="K81" s="230">
        <f>K$80*'Methanol recycling rates'!M36</f>
        <v>3.7420715206249004E-2</v>
      </c>
      <c r="L81" s="230">
        <f>L$80*'Methanol recycling rates'!N36</f>
        <v>3.7589000989485317E-2</v>
      </c>
      <c r="M81" s="230">
        <f>M$80*'Methanol recycling rates'!O36</f>
        <v>3.7686375265052162E-2</v>
      </c>
      <c r="N81" s="230">
        <f>N$80*'Methanol recycling rates'!P36</f>
        <v>3.8891832482674922E-2</v>
      </c>
      <c r="O81" s="230">
        <f>O$80*'Methanol recycling rates'!Q36</f>
        <v>3.9902026829502987E-2</v>
      </c>
      <c r="P81" s="230">
        <f>P$80*'Methanol recycling rates'!R36</f>
        <v>4.0711689794013947E-2</v>
      </c>
      <c r="Q81" s="230">
        <f>Q$80*'Methanol recycling rates'!S36</f>
        <v>4.1317510585522306E-2</v>
      </c>
      <c r="R81" s="230">
        <f>R$80*'Methanol recycling rates'!T36</f>
        <v>4.1718161601470634E-2</v>
      </c>
      <c r="S81" s="230">
        <f>S$80*'Methanol recycling rates'!U36</f>
        <v>4.1989811853680309E-2</v>
      </c>
      <c r="T81" s="230">
        <f>T$80*'Methanol recycling rates'!V36</f>
        <v>4.2135606493417216E-2</v>
      </c>
      <c r="U81" s="230">
        <f>U$80*'Methanol recycling rates'!W36</f>
        <v>4.2158853818187757E-2</v>
      </c>
      <c r="V81" s="230">
        <f>V$80*'Methanol recycling rates'!X36</f>
        <v>4.2063020852079622E-2</v>
      </c>
      <c r="W81" s="230">
        <f>W$80*'Methanol recycling rates'!Y36</f>
        <v>4.1851728635634244E-2</v>
      </c>
      <c r="X81" s="230">
        <f>X$80*'Methanol recycling rates'!Z36</f>
        <v>4.2414840446427279E-2</v>
      </c>
      <c r="Y81" s="230">
        <f>Y$80*'Methanol recycling rates'!AA36</f>
        <v>4.2791509842133015E-2</v>
      </c>
      <c r="Z81" s="230">
        <f>Z$80*'Methanol recycling rates'!AB36</f>
        <v>4.2987555451117494E-2</v>
      </c>
      <c r="AA81" s="230">
        <f>AA$80*'Methanol recycling rates'!AC36</f>
        <v>4.3009010190062653E-2</v>
      </c>
      <c r="AB81" s="230">
        <f>AB$80*'Methanol recycling rates'!AD36</f>
        <v>4.2862112960941869E-2</v>
      </c>
      <c r="AC81" s="230">
        <f>AC$80*'Methanol recycling rates'!AE36</f>
        <v>4.2553702262705828E-2</v>
      </c>
      <c r="AD81" s="230">
        <f>AD$80*'Methanol recycling rates'!AF36</f>
        <v>4.2090389863108341E-2</v>
      </c>
      <c r="AE81" s="230">
        <f>AE$80*'Methanol recycling rates'!AG36</f>
        <v>4.1478957825053626E-2</v>
      </c>
      <c r="AF81" s="230">
        <f>AF$80*'Methanol recycling rates'!AH36</f>
        <v>4.0726349310179849E-2</v>
      </c>
      <c r="AG81" s="230">
        <f>AG$80*'Methanol recycling rates'!AI36</f>
        <v>3.9839659043151177E-2</v>
      </c>
      <c r="AH81" s="245"/>
      <c r="AI81" s="133"/>
      <c r="AJ81" s="211"/>
      <c r="AL81" s="108"/>
      <c r="AM81" s="2"/>
      <c r="AN81" s="2"/>
      <c r="AO81" s="2"/>
      <c r="BC81" s="1"/>
      <c r="BD81" s="2"/>
      <c r="BE81" s="2"/>
      <c r="BF81" s="2"/>
      <c r="BG81" s="2"/>
      <c r="BH81" s="2"/>
      <c r="BI81" s="2"/>
      <c r="BJ81" s="2"/>
      <c r="BK81" s="2"/>
    </row>
    <row r="82" spans="1:63" outlineLevel="1">
      <c r="A82" s="4" t="s">
        <v>745</v>
      </c>
      <c r="C82" s="230">
        <f>C$80*'Methanol recycling rates'!E37</f>
        <v>0</v>
      </c>
      <c r="D82" s="230">
        <f>D$80*'Methanol recycling rates'!F37</f>
        <v>2.3411227181430408E-4</v>
      </c>
      <c r="E82" s="230">
        <f>E$80*'Methanol recycling rates'!G37</f>
        <v>4.8567324421690326E-4</v>
      </c>
      <c r="F82" s="230">
        <f>F$80*'Methanol recycling rates'!H37</f>
        <v>7.5255904951328234E-4</v>
      </c>
      <c r="G82" s="230">
        <f>G$80*'Methanol recycling rates'!I37</f>
        <v>1.0323374683468718E-3</v>
      </c>
      <c r="H82" s="230">
        <f>H$80*'Methanol recycling rates'!J37</f>
        <v>1.3223012587170804E-3</v>
      </c>
      <c r="I82" s="230">
        <f>I$80*'Methanol recycling rates'!K37</f>
        <v>1.6230020311344586E-3</v>
      </c>
      <c r="J82" s="230">
        <f>J$80*'Methanol recycling rates'!L37</f>
        <v>1.9332803396899505E-3</v>
      </c>
      <c r="K82" s="230">
        <f>K$80*'Methanol recycling rates'!M37</f>
        <v>2.2518937301626079E-3</v>
      </c>
      <c r="L82" s="230">
        <f>L$80*'Methanol recycling rates'!N37</f>
        <v>2.5775198917050912E-3</v>
      </c>
      <c r="M82" s="230">
        <f>M$80*'Methanol recycling rates'!O37</f>
        <v>2.9087602918194564E-3</v>
      </c>
      <c r="N82" s="230">
        <f>N$80*'Methanol recycling rates'!P37</f>
        <v>3.3455944579596666E-3</v>
      </c>
      <c r="O82" s="230">
        <f>O$80*'Methanol recycling rates'!Q37</f>
        <v>3.7946595446413569E-3</v>
      </c>
      <c r="P82" s="230">
        <f>P$80*'Methanol recycling rates'!R37</f>
        <v>4.2511978668651786E-3</v>
      </c>
      <c r="Q82" s="230">
        <f>Q$80*'Methanol recycling rates'!S37</f>
        <v>4.7102415871763201E-3</v>
      </c>
      <c r="R82" s="230">
        <f>R$80*'Methanol recycling rates'!T37</f>
        <v>5.1666820365305509E-3</v>
      </c>
      <c r="S82" s="230">
        <f>S$80*'Methanol recycling rates'!U37</f>
        <v>5.6254594701942865E-3</v>
      </c>
      <c r="T82" s="230">
        <f>T$80*'Methanol recycling rates'!V37</f>
        <v>6.0838416277015205E-3</v>
      </c>
      <c r="U82" s="230">
        <f>U$80*'Methanol recycling rates'!W37</f>
        <v>6.5390709027745141E-3</v>
      </c>
      <c r="V82" s="230">
        <f>V$80*'Methanol recycling rates'!X37</f>
        <v>6.9883688703751088E-3</v>
      </c>
      <c r="W82" s="230">
        <f>W$80*'Methanol recycling rates'!Y37</f>
        <v>7.4289409340031129E-3</v>
      </c>
      <c r="X82" s="230">
        <f>X$80*'Methanol recycling rates'!Z37</f>
        <v>8.0256457595350959E-3</v>
      </c>
      <c r="Y82" s="230">
        <f>Y$80*'Methanol recycling rates'!AA37</f>
        <v>8.6135678819957602E-3</v>
      </c>
      <c r="Z82" s="230">
        <f>Z$80*'Methanol recycling rates'!AB37</f>
        <v>9.188339490633796E-3</v>
      </c>
      <c r="AA82" s="230">
        <f>AA$80*'Methanol recycling rates'!AC37</f>
        <v>9.7455824774583585E-3</v>
      </c>
      <c r="AB82" s="230">
        <f>AB$80*'Methanol recycling rates'!AD37</f>
        <v>1.0280915891214817E-2</v>
      </c>
      <c r="AC82" s="230">
        <f>AC$80*'Methanol recycling rates'!AE37</f>
        <v>1.0790065553075798E-2</v>
      </c>
      <c r="AD82" s="230">
        <f>AD$80*'Methanol recycling rates'!AF37</f>
        <v>1.1268681495353086E-2</v>
      </c>
      <c r="AE82" s="230">
        <f>AE$80*'Methanol recycling rates'!AG37</f>
        <v>1.1712432183105515E-2</v>
      </c>
      <c r="AF82" s="230">
        <f>AF$80*'Methanol recycling rates'!AH37</f>
        <v>1.2117012110608151E-2</v>
      </c>
      <c r="AG82" s="230">
        <f>AG$80*'Methanol recycling rates'!AI37</f>
        <v>1.2478149519170798E-2</v>
      </c>
      <c r="AH82" s="245"/>
      <c r="AI82" s="133"/>
      <c r="AJ82" s="211"/>
      <c r="AL82" s="108"/>
      <c r="AM82" s="2"/>
      <c r="AN82" s="2"/>
      <c r="AO82" s="2"/>
      <c r="BC82" s="1"/>
      <c r="BD82" s="2"/>
      <c r="BE82" s="2"/>
      <c r="BF82" s="2"/>
      <c r="BG82" s="2"/>
      <c r="BH82" s="2"/>
      <c r="BI82" s="2"/>
      <c r="BJ82" s="2"/>
      <c r="BK82" s="2"/>
    </row>
    <row r="83" spans="1:63" outlineLevel="1">
      <c r="A83" s="4" t="s">
        <v>1561</v>
      </c>
      <c r="C83" s="230">
        <f>C$80*'Methanol recycling rates'!E38</f>
        <v>0</v>
      </c>
      <c r="D83" s="230">
        <f>D$80*'Methanol recycling rates'!F38</f>
        <v>1.6129195655521062E-4</v>
      </c>
      <c r="E83" s="230">
        <f>E$80*'Methanol recycling rates'!G38</f>
        <v>3.3460521825355566E-4</v>
      </c>
      <c r="F83" s="230">
        <f>F$80*'Methanol recycling rates'!H38</f>
        <v>5.1847654366280263E-4</v>
      </c>
      <c r="G83" s="230">
        <f>G$80*'Methanol recycling rates'!I38</f>
        <v>7.1123025206894046E-4</v>
      </c>
      <c r="H83" s="230">
        <f>H$80*'Methanol recycling rates'!J38</f>
        <v>9.1100118554684258E-4</v>
      </c>
      <c r="I83" s="230">
        <f>I$80*'Methanol recycling rates'!K38</f>
        <v>1.1181693768808378E-3</v>
      </c>
      <c r="J83" s="230">
        <f>J$80*'Methanol recycling rates'!L38</f>
        <v>1.3319360242920091E-3</v>
      </c>
      <c r="K83" s="230">
        <f>K$80*'Methanol recycling rates'!M38</f>
        <v>1.5514451373161489E-3</v>
      </c>
      <c r="L83" s="230">
        <f>L$80*'Methanol recycling rates'!N38</f>
        <v>1.7757857081616168E-3</v>
      </c>
      <c r="M83" s="230">
        <f>M$80*'Methanol recycling rates'!O38</f>
        <v>2.003994216030671E-3</v>
      </c>
      <c r="N83" s="230">
        <f>N$80*'Methanol recycling rates'!P38</f>
        <v>2.3049516874220259E-3</v>
      </c>
      <c r="O83" s="230">
        <f>O$80*'Methanol recycling rates'!Q38</f>
        <v>2.6143356675534754E-3</v>
      </c>
      <c r="P83" s="230">
        <f>P$80*'Methanol recycling rates'!R38</f>
        <v>2.9288683431080527E-3</v>
      </c>
      <c r="Q83" s="230">
        <f>Q$80*'Methanol recycling rates'!S38</f>
        <v>3.2451271159591177E-3</v>
      </c>
      <c r="R83" s="230">
        <f>R$80*'Methanol recycling rates'!T38</f>
        <v>3.559592361871893E-3</v>
      </c>
      <c r="S83" s="230">
        <f>S$80*'Methanol recycling rates'!U38</f>
        <v>3.8756676761881634E-3</v>
      </c>
      <c r="T83" s="230">
        <f>T$80*'Methanol recycling rates'!V38</f>
        <v>4.1914706644782598E-3</v>
      </c>
      <c r="U83" s="230">
        <f>U$80*'Methanol recycling rates'!W38</f>
        <v>4.5051014702822941E-3</v>
      </c>
      <c r="V83" s="230">
        <f>V$80*'Methanol recycling rates'!X38</f>
        <v>4.8146458940280974E-3</v>
      </c>
      <c r="W83" s="230">
        <f>W$80*'Methanol recycling rates'!Y38</f>
        <v>5.1181785947935331E-3</v>
      </c>
      <c r="X83" s="230">
        <f>X$80*'Methanol recycling rates'!Z38</f>
        <v>5.5292791665411305E-3</v>
      </c>
      <c r="Y83" s="230">
        <f>Y$80*'Methanol recycling rates'!AA38</f>
        <v>5.9343288834948354E-3</v>
      </c>
      <c r="Z83" s="230">
        <f>Z$80*'Methanol recycling rates'!AB38</f>
        <v>6.3303185367119394E-3</v>
      </c>
      <c r="AA83" s="230">
        <f>AA$80*'Methanol recycling rates'!AC38</f>
        <v>6.7142318229530566E-3</v>
      </c>
      <c r="AB83" s="230">
        <f>AB$80*'Methanol recycling rates'!AD38</f>
        <v>7.083050480108489E-3</v>
      </c>
      <c r="AC83" s="230">
        <f>AC$80*'Methanol recycling rates'!AE38</f>
        <v>7.4338298070722635E-3</v>
      </c>
      <c r="AD83" s="230">
        <f>AD$80*'Methanol recycling rates'!AF38</f>
        <v>7.7635728879033748E-3</v>
      </c>
      <c r="AE83" s="230">
        <f>AE$80*'Methanol recycling rates'!AG38</f>
        <v>8.069295505926069E-3</v>
      </c>
      <c r="AF83" s="230">
        <f>AF$80*'Methanol recycling rates'!AH38</f>
        <v>8.3480313773272308E-3</v>
      </c>
      <c r="AG83" s="230">
        <f>AG$80*'Methanol recycling rates'!AI38</f>
        <v>8.5968374683575589E-3</v>
      </c>
      <c r="AH83" s="245"/>
      <c r="AI83" s="133"/>
      <c r="AJ83" s="211"/>
      <c r="AL83" s="108"/>
      <c r="AM83" s="2"/>
      <c r="AN83" s="2"/>
      <c r="AO83" s="2"/>
      <c r="BC83" s="1"/>
      <c r="BD83" s="2"/>
      <c r="BE83" s="2"/>
      <c r="BF83" s="2"/>
      <c r="BG83" s="2"/>
      <c r="BH83" s="2"/>
      <c r="BI83" s="2"/>
      <c r="BJ83" s="2"/>
      <c r="BK83" s="2"/>
    </row>
    <row r="84" spans="1:63" s="1" customFormat="1" outlineLevel="1">
      <c r="A84" s="1" t="s">
        <v>1564</v>
      </c>
      <c r="B84" s="65"/>
      <c r="C84" s="300">
        <f>C80-$C80</f>
        <v>0</v>
      </c>
      <c r="D84" s="300">
        <f t="shared" ref="D84:AG84" si="40">D80-$C80</f>
        <v>1.3692785126497645E-3</v>
      </c>
      <c r="E84" s="300">
        <f t="shared" si="40"/>
        <v>2.6469696699784398E-3</v>
      </c>
      <c r="F84" s="300">
        <f t="shared" si="40"/>
        <v>3.8209798699435082E-3</v>
      </c>
      <c r="G84" s="300">
        <f t="shared" si="40"/>
        <v>4.8800194984570666E-3</v>
      </c>
      <c r="H84" s="300">
        <f t="shared" si="40"/>
        <v>5.8137751560531983E-3</v>
      </c>
      <c r="I84" s="300">
        <f t="shared" si="40"/>
        <v>6.6983528273779069E-3</v>
      </c>
      <c r="J84" s="300">
        <f t="shared" si="40"/>
        <v>7.5305713365617921E-3</v>
      </c>
      <c r="K84" s="300">
        <f t="shared" si="40"/>
        <v>8.3073205127998789E-3</v>
      </c>
      <c r="L84" s="300">
        <f t="shared" si="40"/>
        <v>9.0255730284241401E-3</v>
      </c>
      <c r="M84" s="300">
        <f t="shared" si="40"/>
        <v>9.6823962119744061E-3</v>
      </c>
      <c r="N84" s="300">
        <f t="shared" si="40"/>
        <v>1.162564506712873E-2</v>
      </c>
      <c r="O84" s="300">
        <f t="shared" si="40"/>
        <v>1.3394288480769935E-2</v>
      </c>
      <c r="P84" s="300">
        <f t="shared" si="40"/>
        <v>1.4975022443059295E-2</v>
      </c>
      <c r="Q84" s="300">
        <f t="shared" si="40"/>
        <v>1.6356145727729858E-2</v>
      </c>
      <c r="R84" s="300">
        <f t="shared" si="40"/>
        <v>1.7527702438945192E-2</v>
      </c>
      <c r="S84" s="300">
        <f t="shared" si="40"/>
        <v>1.8574205439134871E-2</v>
      </c>
      <c r="T84" s="300">
        <f t="shared" si="40"/>
        <v>1.9494185224669107E-2</v>
      </c>
      <c r="U84" s="300">
        <f t="shared" si="40"/>
        <v>2.0286292630316678E-2</v>
      </c>
      <c r="V84" s="300">
        <f t="shared" si="40"/>
        <v>2.0949302055554939E-2</v>
      </c>
      <c r="W84" s="300">
        <f t="shared" si="40"/>
        <v>2.1482114603502994E-2</v>
      </c>
      <c r="X84" s="300">
        <f t="shared" si="40"/>
        <v>2.3053031811575614E-2</v>
      </c>
      <c r="Y84" s="300">
        <f t="shared" si="40"/>
        <v>2.4422673046695716E-2</v>
      </c>
      <c r="Z84" s="300">
        <f t="shared" si="40"/>
        <v>2.5589479917535338E-2</v>
      </c>
      <c r="AA84" s="300">
        <f t="shared" si="40"/>
        <v>2.655209092954617E-2</v>
      </c>
      <c r="AB84" s="300">
        <f t="shared" si="40"/>
        <v>2.7309345771337278E-2</v>
      </c>
      <c r="AC84" s="300">
        <f t="shared" si="40"/>
        <v>2.7860864061925991E-2</v>
      </c>
      <c r="AD84" s="300">
        <f t="shared" si="40"/>
        <v>2.8205910685436902E-2</v>
      </c>
      <c r="AE84" s="300">
        <f t="shared" si="40"/>
        <v>2.8343951953157309E-2</v>
      </c>
      <c r="AF84" s="300">
        <f t="shared" si="40"/>
        <v>2.8274659237187333E-2</v>
      </c>
      <c r="AG84" s="300">
        <f t="shared" si="40"/>
        <v>2.7997912469751661E-2</v>
      </c>
      <c r="AH84" s="245"/>
      <c r="AI84" s="423"/>
      <c r="AJ84" s="424"/>
      <c r="AL84" s="221"/>
      <c r="AM84" s="124"/>
      <c r="AN84" s="124"/>
      <c r="AO84" s="124"/>
      <c r="BD84" s="124"/>
      <c r="BE84" s="124"/>
      <c r="BF84" s="124"/>
      <c r="BG84" s="124"/>
      <c r="BH84" s="124"/>
      <c r="BI84" s="124"/>
      <c r="BJ84" s="124"/>
      <c r="BK84" s="124"/>
    </row>
    <row r="85" spans="1:63" outlineLevel="1">
      <c r="A85" s="4" t="s">
        <v>474</v>
      </c>
      <c r="C85" s="230">
        <f t="shared" ref="C85:AF85" si="41">C81-$C81</f>
        <v>0</v>
      </c>
      <c r="D85" s="230">
        <f t="shared" si="41"/>
        <v>9.7387428428025169E-4</v>
      </c>
      <c r="E85" s="230">
        <f t="shared" si="41"/>
        <v>1.8266912075079814E-3</v>
      </c>
      <c r="F85" s="230">
        <f t="shared" si="41"/>
        <v>2.5499442767674269E-3</v>
      </c>
      <c r="G85" s="230">
        <f t="shared" si="41"/>
        <v>3.1364517780412549E-3</v>
      </c>
      <c r="H85" s="230">
        <f t="shared" si="41"/>
        <v>3.5804727117892746E-3</v>
      </c>
      <c r="I85" s="230">
        <f t="shared" si="41"/>
        <v>3.9571814193626112E-3</v>
      </c>
      <c r="J85" s="230">
        <f t="shared" si="41"/>
        <v>4.2653549725798351E-3</v>
      </c>
      <c r="K85" s="230">
        <f t="shared" si="41"/>
        <v>4.503981645321127E-3</v>
      </c>
      <c r="L85" s="230">
        <f t="shared" si="41"/>
        <v>4.6722674285574403E-3</v>
      </c>
      <c r="M85" s="230">
        <f t="shared" si="41"/>
        <v>4.7696417041242847E-3</v>
      </c>
      <c r="N85" s="230">
        <f t="shared" si="41"/>
        <v>5.9750989217470449E-3</v>
      </c>
      <c r="O85" s="230">
        <f t="shared" si="41"/>
        <v>6.9852932685751101E-3</v>
      </c>
      <c r="P85" s="230">
        <f t="shared" si="41"/>
        <v>7.79495623308607E-3</v>
      </c>
      <c r="Q85" s="230">
        <f t="shared" si="41"/>
        <v>8.4007770245944288E-3</v>
      </c>
      <c r="R85" s="230">
        <f t="shared" si="41"/>
        <v>8.8014280405427567E-3</v>
      </c>
      <c r="S85" s="230">
        <f t="shared" si="41"/>
        <v>9.0730782927524317E-3</v>
      </c>
      <c r="T85" s="230">
        <f t="shared" si="41"/>
        <v>9.2188729324893387E-3</v>
      </c>
      <c r="U85" s="230">
        <f t="shared" si="41"/>
        <v>9.2421202572598796E-3</v>
      </c>
      <c r="V85" s="230">
        <f t="shared" si="41"/>
        <v>9.1462872911517445E-3</v>
      </c>
      <c r="W85" s="230">
        <f t="shared" si="41"/>
        <v>8.9349950747063672E-3</v>
      </c>
      <c r="X85" s="230">
        <f t="shared" si="41"/>
        <v>9.4981068854994022E-3</v>
      </c>
      <c r="Y85" s="230">
        <f t="shared" si="41"/>
        <v>9.8747762812051373E-3</v>
      </c>
      <c r="Z85" s="230">
        <f t="shared" si="41"/>
        <v>1.0070821890189617E-2</v>
      </c>
      <c r="AA85" s="230">
        <f t="shared" si="41"/>
        <v>1.0092276629134776E-2</v>
      </c>
      <c r="AB85" s="230">
        <f t="shared" si="41"/>
        <v>9.9453794000139914E-3</v>
      </c>
      <c r="AC85" s="230">
        <f t="shared" si="41"/>
        <v>9.636968701777951E-3</v>
      </c>
      <c r="AD85" s="230">
        <f t="shared" si="41"/>
        <v>9.1736563021804635E-3</v>
      </c>
      <c r="AE85" s="230">
        <f t="shared" si="41"/>
        <v>8.5622242641257493E-3</v>
      </c>
      <c r="AF85" s="230">
        <f t="shared" si="41"/>
        <v>7.8096157492519719E-3</v>
      </c>
      <c r="AG85" s="230">
        <f>AG81-$C81</f>
        <v>6.9229254822232994E-3</v>
      </c>
      <c r="AH85" s="245"/>
      <c r="AI85" s="133"/>
      <c r="AJ85" s="211"/>
      <c r="AL85" s="108"/>
      <c r="AM85" s="2"/>
      <c r="AN85" s="2"/>
      <c r="AO85" s="2"/>
      <c r="BC85" s="1"/>
      <c r="BD85" s="2"/>
      <c r="BE85" s="2"/>
      <c r="BF85" s="2"/>
      <c r="BG85" s="2"/>
      <c r="BH85" s="2"/>
      <c r="BI85" s="2"/>
      <c r="BJ85" s="2"/>
      <c r="BK85" s="2"/>
    </row>
    <row r="86" spans="1:63" outlineLevel="1">
      <c r="A86" s="4" t="s">
        <v>745</v>
      </c>
      <c r="C86" s="230">
        <f t="shared" ref="C86:AG86" si="42">C82-$C82</f>
        <v>0</v>
      </c>
      <c r="D86" s="230">
        <f t="shared" si="42"/>
        <v>2.3411227181430408E-4</v>
      </c>
      <c r="E86" s="230">
        <f t="shared" si="42"/>
        <v>4.8567324421690326E-4</v>
      </c>
      <c r="F86" s="230">
        <f t="shared" si="42"/>
        <v>7.5255904951328234E-4</v>
      </c>
      <c r="G86" s="230">
        <f t="shared" si="42"/>
        <v>1.0323374683468718E-3</v>
      </c>
      <c r="H86" s="230">
        <f t="shared" si="42"/>
        <v>1.3223012587170804E-3</v>
      </c>
      <c r="I86" s="230">
        <f t="shared" si="42"/>
        <v>1.6230020311344586E-3</v>
      </c>
      <c r="J86" s="230">
        <f t="shared" si="42"/>
        <v>1.9332803396899505E-3</v>
      </c>
      <c r="K86" s="230">
        <f t="shared" si="42"/>
        <v>2.2518937301626079E-3</v>
      </c>
      <c r="L86" s="230">
        <f t="shared" si="42"/>
        <v>2.5775198917050912E-3</v>
      </c>
      <c r="M86" s="230">
        <f t="shared" si="42"/>
        <v>2.9087602918194564E-3</v>
      </c>
      <c r="N86" s="230">
        <f t="shared" si="42"/>
        <v>3.3455944579596666E-3</v>
      </c>
      <c r="O86" s="230">
        <f t="shared" si="42"/>
        <v>3.7946595446413569E-3</v>
      </c>
      <c r="P86" s="230">
        <f t="shared" si="42"/>
        <v>4.2511978668651786E-3</v>
      </c>
      <c r="Q86" s="230">
        <f t="shared" si="42"/>
        <v>4.7102415871763201E-3</v>
      </c>
      <c r="R86" s="230">
        <f t="shared" si="42"/>
        <v>5.1666820365305509E-3</v>
      </c>
      <c r="S86" s="230">
        <f t="shared" si="42"/>
        <v>5.6254594701942865E-3</v>
      </c>
      <c r="T86" s="230">
        <f t="shared" si="42"/>
        <v>6.0838416277015205E-3</v>
      </c>
      <c r="U86" s="230">
        <f t="shared" si="42"/>
        <v>6.5390709027745141E-3</v>
      </c>
      <c r="V86" s="230">
        <f t="shared" si="42"/>
        <v>6.9883688703751088E-3</v>
      </c>
      <c r="W86" s="230">
        <f t="shared" si="42"/>
        <v>7.4289409340031129E-3</v>
      </c>
      <c r="X86" s="230">
        <f t="shared" si="42"/>
        <v>8.0256457595350959E-3</v>
      </c>
      <c r="Y86" s="230">
        <f t="shared" si="42"/>
        <v>8.6135678819957602E-3</v>
      </c>
      <c r="Z86" s="230">
        <f t="shared" si="42"/>
        <v>9.188339490633796E-3</v>
      </c>
      <c r="AA86" s="230">
        <f t="shared" si="42"/>
        <v>9.7455824774583585E-3</v>
      </c>
      <c r="AB86" s="230">
        <f t="shared" si="42"/>
        <v>1.0280915891214817E-2</v>
      </c>
      <c r="AC86" s="230">
        <f t="shared" si="42"/>
        <v>1.0790065553075798E-2</v>
      </c>
      <c r="AD86" s="230">
        <f t="shared" si="42"/>
        <v>1.1268681495353086E-2</v>
      </c>
      <c r="AE86" s="230">
        <f t="shared" si="42"/>
        <v>1.1712432183105515E-2</v>
      </c>
      <c r="AF86" s="230">
        <f t="shared" si="42"/>
        <v>1.2117012110608151E-2</v>
      </c>
      <c r="AG86" s="230">
        <f t="shared" si="42"/>
        <v>1.2478149519170798E-2</v>
      </c>
      <c r="AH86" s="245"/>
      <c r="AI86" s="133"/>
      <c r="AJ86" s="211"/>
      <c r="AL86" s="108"/>
      <c r="AM86" s="2"/>
      <c r="AN86" s="2"/>
      <c r="AO86" s="2"/>
      <c r="BC86" s="1"/>
      <c r="BD86" s="2"/>
      <c r="BE86" s="2"/>
      <c r="BF86" s="2"/>
      <c r="BG86" s="2"/>
      <c r="BH86" s="2"/>
      <c r="BI86" s="2"/>
      <c r="BJ86" s="2"/>
      <c r="BK86" s="2"/>
    </row>
    <row r="87" spans="1:63" outlineLevel="1">
      <c r="A87" s="4" t="s">
        <v>1561</v>
      </c>
      <c r="C87" s="230">
        <f t="shared" ref="C87:AG87" si="43">C83-$C83</f>
        <v>0</v>
      </c>
      <c r="D87" s="230">
        <f t="shared" si="43"/>
        <v>1.6129195655521062E-4</v>
      </c>
      <c r="E87" s="230">
        <f t="shared" si="43"/>
        <v>3.3460521825355566E-4</v>
      </c>
      <c r="F87" s="230">
        <f t="shared" si="43"/>
        <v>5.1847654366280263E-4</v>
      </c>
      <c r="G87" s="230">
        <f t="shared" si="43"/>
        <v>7.1123025206894046E-4</v>
      </c>
      <c r="H87" s="230">
        <f t="shared" si="43"/>
        <v>9.1100118554684258E-4</v>
      </c>
      <c r="I87" s="230">
        <f t="shared" si="43"/>
        <v>1.1181693768808378E-3</v>
      </c>
      <c r="J87" s="230">
        <f t="shared" si="43"/>
        <v>1.3319360242920091E-3</v>
      </c>
      <c r="K87" s="230">
        <f t="shared" si="43"/>
        <v>1.5514451373161489E-3</v>
      </c>
      <c r="L87" s="230">
        <f t="shared" si="43"/>
        <v>1.7757857081616168E-3</v>
      </c>
      <c r="M87" s="230">
        <f t="shared" si="43"/>
        <v>2.003994216030671E-3</v>
      </c>
      <c r="N87" s="230">
        <f t="shared" si="43"/>
        <v>2.3049516874220259E-3</v>
      </c>
      <c r="O87" s="230">
        <f t="shared" si="43"/>
        <v>2.6143356675534754E-3</v>
      </c>
      <c r="P87" s="230">
        <f t="shared" si="43"/>
        <v>2.9288683431080527E-3</v>
      </c>
      <c r="Q87" s="230">
        <f t="shared" si="43"/>
        <v>3.2451271159591177E-3</v>
      </c>
      <c r="R87" s="230">
        <f t="shared" si="43"/>
        <v>3.559592361871893E-3</v>
      </c>
      <c r="S87" s="230">
        <f t="shared" si="43"/>
        <v>3.8756676761881634E-3</v>
      </c>
      <c r="T87" s="230">
        <f t="shared" si="43"/>
        <v>4.1914706644782598E-3</v>
      </c>
      <c r="U87" s="230">
        <f t="shared" si="43"/>
        <v>4.5051014702822941E-3</v>
      </c>
      <c r="V87" s="230">
        <f t="shared" si="43"/>
        <v>4.8146458940280974E-3</v>
      </c>
      <c r="W87" s="230">
        <f t="shared" si="43"/>
        <v>5.1181785947935331E-3</v>
      </c>
      <c r="X87" s="230">
        <f t="shared" si="43"/>
        <v>5.5292791665411305E-3</v>
      </c>
      <c r="Y87" s="230">
        <f t="shared" si="43"/>
        <v>5.9343288834948354E-3</v>
      </c>
      <c r="Z87" s="230">
        <f t="shared" si="43"/>
        <v>6.3303185367119394E-3</v>
      </c>
      <c r="AA87" s="230">
        <f t="shared" si="43"/>
        <v>6.7142318229530566E-3</v>
      </c>
      <c r="AB87" s="230">
        <f t="shared" si="43"/>
        <v>7.083050480108489E-3</v>
      </c>
      <c r="AC87" s="230">
        <f t="shared" si="43"/>
        <v>7.4338298070722635E-3</v>
      </c>
      <c r="AD87" s="230">
        <f t="shared" si="43"/>
        <v>7.7635728879033748E-3</v>
      </c>
      <c r="AE87" s="230">
        <f t="shared" si="43"/>
        <v>8.069295505926069E-3</v>
      </c>
      <c r="AF87" s="230">
        <f t="shared" si="43"/>
        <v>8.3480313773272308E-3</v>
      </c>
      <c r="AG87" s="230">
        <f t="shared" si="43"/>
        <v>8.5968374683575589E-3</v>
      </c>
      <c r="AH87" s="245"/>
      <c r="AI87" s="133"/>
      <c r="AJ87" s="211"/>
      <c r="AL87" s="108"/>
      <c r="AM87" s="2"/>
      <c r="AN87" s="2"/>
      <c r="AO87" s="2"/>
      <c r="BC87" s="1"/>
      <c r="BD87" s="2"/>
      <c r="BE87" s="2"/>
      <c r="BF87" s="2"/>
      <c r="BG87" s="2"/>
      <c r="BH87" s="2"/>
      <c r="BI87" s="2"/>
      <c r="BJ87" s="2"/>
      <c r="BK87" s="2"/>
    </row>
    <row r="88" spans="1:63" s="1" customFormat="1" outlineLevel="1">
      <c r="A88" s="1" t="s">
        <v>1565</v>
      </c>
      <c r="B88" s="65"/>
      <c r="C88" s="300">
        <f>C50*C69</f>
        <v>6.8305555721469736E-4</v>
      </c>
      <c r="D88" s="300">
        <f t="shared" ref="D88:AG88" si="44">D50*D69</f>
        <v>7.4938155655608781E-4</v>
      </c>
      <c r="E88" s="300">
        <f t="shared" si="44"/>
        <v>8.1783999035106147E-4</v>
      </c>
      <c r="F88" s="300">
        <f t="shared" si="44"/>
        <v>8.8835994992713329E-4</v>
      </c>
      <c r="G88" s="300">
        <f t="shared" si="44"/>
        <v>9.608705266118191E-4</v>
      </c>
      <c r="H88" s="300">
        <f t="shared" si="44"/>
        <v>1.0353008117326336E-3</v>
      </c>
      <c r="I88" s="300">
        <f t="shared" si="44"/>
        <v>1.1115798966170925E-3</v>
      </c>
      <c r="J88" s="300">
        <f t="shared" si="44"/>
        <v>1.1896368725927105E-3</v>
      </c>
      <c r="K88" s="300">
        <f t="shared" si="44"/>
        <v>1.2694008309870033E-3</v>
      </c>
      <c r="L88" s="300">
        <f t="shared" si="44"/>
        <v>1.3508008631274865E-3</v>
      </c>
      <c r="M88" s="300">
        <f t="shared" si="44"/>
        <v>1.4337660603416743E-3</v>
      </c>
      <c r="N88" s="300">
        <f t="shared" si="44"/>
        <v>1.623263380775679E-3</v>
      </c>
      <c r="O88" s="300">
        <f t="shared" si="44"/>
        <v>1.8225045272925566E-3</v>
      </c>
      <c r="P88" s="300">
        <f t="shared" si="44"/>
        <v>2.0311782000763615E-3</v>
      </c>
      <c r="Q88" s="300">
        <f t="shared" si="44"/>
        <v>2.2489730993111474E-3</v>
      </c>
      <c r="R88" s="300">
        <f t="shared" si="44"/>
        <v>2.4755779251809679E-3</v>
      </c>
      <c r="S88" s="300">
        <f t="shared" si="44"/>
        <v>2.7106813778698764E-3</v>
      </c>
      <c r="T88" s="300">
        <f t="shared" si="44"/>
        <v>2.9539721575619266E-3</v>
      </c>
      <c r="U88" s="300">
        <f t="shared" si="44"/>
        <v>3.2051389644411734E-3</v>
      </c>
      <c r="V88" s="300">
        <f t="shared" si="44"/>
        <v>3.4638704986916691E-3</v>
      </c>
      <c r="W88" s="300">
        <f t="shared" si="44"/>
        <v>3.7298554604974668E-3</v>
      </c>
      <c r="X88" s="300">
        <f t="shared" si="44"/>
        <v>4.2199422756508016E-3</v>
      </c>
      <c r="Y88" s="300">
        <f t="shared" si="44"/>
        <v>4.7346184826602246E-3</v>
      </c>
      <c r="Z88" s="300">
        <f t="shared" si="44"/>
        <v>5.2730048565708893E-3</v>
      </c>
      <c r="AA88" s="300">
        <f t="shared" si="44"/>
        <v>5.8342221724279461E-3</v>
      </c>
      <c r="AB88" s="300">
        <f t="shared" si="44"/>
        <v>6.4173912052765498E-3</v>
      </c>
      <c r="AC88" s="300">
        <f t="shared" si="44"/>
        <v>7.0216327301618467E-3</v>
      </c>
      <c r="AD88" s="300">
        <f t="shared" si="44"/>
        <v>7.6460675221289949E-3</v>
      </c>
      <c r="AE88" s="300">
        <f t="shared" si="44"/>
        <v>8.2898163562231397E-3</v>
      </c>
      <c r="AF88" s="300">
        <f t="shared" si="44"/>
        <v>8.952000007489436E-3</v>
      </c>
      <c r="AG88" s="300">
        <f t="shared" si="44"/>
        <v>9.6317392509730412E-3</v>
      </c>
      <c r="AH88" s="245"/>
      <c r="AI88" s="423"/>
      <c r="AJ88" s="424"/>
      <c r="AL88" s="221"/>
      <c r="AM88" s="124"/>
      <c r="AN88" s="124"/>
      <c r="AO88" s="124"/>
      <c r="BD88" s="124"/>
      <c r="BE88" s="124"/>
      <c r="BF88" s="124"/>
      <c r="BG88" s="124"/>
      <c r="BH88" s="124"/>
      <c r="BI88" s="124"/>
      <c r="BJ88" s="124"/>
      <c r="BK88" s="124"/>
    </row>
    <row r="89" spans="1:63" outlineLevel="1">
      <c r="A89" s="4" t="s">
        <v>474</v>
      </c>
      <c r="C89" s="230">
        <f>C$88*'Methanol recycling rates'!E44</f>
        <v>0</v>
      </c>
      <c r="D89" s="230">
        <f>D$88*'Methanol recycling rates'!F44</f>
        <v>1.2489692609268131E-5</v>
      </c>
      <c r="E89" s="230">
        <f>E$88*'Methanol recycling rates'!G44</f>
        <v>2.7261333011702048E-5</v>
      </c>
      <c r="F89" s="230">
        <f>F$88*'Methanol recycling rates'!H44</f>
        <v>4.4417997496356664E-5</v>
      </c>
      <c r="G89" s="230">
        <f>G$88*'Methanol recycling rates'!I44</f>
        <v>6.4058035107454611E-5</v>
      </c>
      <c r="H89" s="230">
        <f>H$88*'Methanol recycling rates'!J44</f>
        <v>8.6275067644386128E-5</v>
      </c>
      <c r="I89" s="230">
        <f>I$88*'Methanol recycling rates'!K44</f>
        <v>1.1115798966170925E-4</v>
      </c>
      <c r="J89" s="230">
        <f>J$88*'Methanol recycling rates'!L44</f>
        <v>1.3879096846914954E-4</v>
      </c>
      <c r="K89" s="230">
        <f>K$88*'Methanol recycling rates'!M44</f>
        <v>1.6925344413160043E-4</v>
      </c>
      <c r="L89" s="230">
        <f>L$88*'Methanol recycling rates'!N44</f>
        <v>2.0262012946912296E-4</v>
      </c>
      <c r="M89" s="230">
        <f>M$88*'Methanol recycling rates'!O44</f>
        <v>2.3896101005694572E-4</v>
      </c>
      <c r="N89" s="230">
        <f>N$88*'Methanol recycling rates'!P44</f>
        <v>2.9759828647554114E-4</v>
      </c>
      <c r="O89" s="230">
        <f>O$88*'Methanol recycling rates'!Q44</f>
        <v>3.6450090545851131E-4</v>
      </c>
      <c r="P89" s="230">
        <f>P$88*'Methanol recycling rates'!R44</f>
        <v>4.4008861001654497E-4</v>
      </c>
      <c r="Q89" s="230">
        <f>Q$88*'Methanol recycling rates'!S44</f>
        <v>5.2476038983926773E-4</v>
      </c>
      <c r="R89" s="230">
        <f>R$88*'Methanol recycling rates'!T44</f>
        <v>6.1889448129524187E-4</v>
      </c>
      <c r="S89" s="230">
        <f>S$88*'Methanol recycling rates'!U44</f>
        <v>7.2284836743196702E-4</v>
      </c>
      <c r="T89" s="230">
        <f>T$88*'Methanol recycling rates'!V44</f>
        <v>8.369587779758792E-4</v>
      </c>
      <c r="U89" s="230">
        <f>U$88*'Methanol recycling rates'!W44</f>
        <v>9.6154168933235194E-4</v>
      </c>
      <c r="V89" s="230">
        <f>V$88*'Methanol recycling rates'!X44</f>
        <v>1.0968923245856953E-3</v>
      </c>
      <c r="W89" s="230">
        <f>W$88*'Methanol recycling rates'!Y44</f>
        <v>1.2432851534991555E-3</v>
      </c>
      <c r="X89" s="230">
        <f>X$88*'Methanol recycling rates'!Z44</f>
        <v>1.4769797964777804E-3</v>
      </c>
      <c r="Y89" s="230">
        <f>Y$88*'Methanol recycling rates'!AA44</f>
        <v>1.7360267769754155E-3</v>
      </c>
      <c r="Z89" s="230">
        <f>Z$88*'Methanol recycling rates'!AB44</f>
        <v>2.0213185283521739E-3</v>
      </c>
      <c r="AA89" s="230">
        <f>AA$88*'Methanol recycling rates'!AC44</f>
        <v>2.3336888689711784E-3</v>
      </c>
      <c r="AB89" s="230">
        <f>AB$88*'Methanol recycling rates'!AD44</f>
        <v>2.6739130021985621E-3</v>
      </c>
      <c r="AC89" s="230">
        <f>AC$88*'Methanol recycling rates'!AE44</f>
        <v>3.0427075164034664E-3</v>
      </c>
      <c r="AD89" s="230">
        <f>AD$88*'Methanol recycling rates'!AF44</f>
        <v>3.4407303849580476E-3</v>
      </c>
      <c r="AE89" s="230">
        <f>AE$88*'Methanol recycling rates'!AG44</f>
        <v>3.868580966237465E-3</v>
      </c>
      <c r="AF89" s="230">
        <f>AF$88*'Methanol recycling rates'!AH44</f>
        <v>4.3268000036198939E-3</v>
      </c>
      <c r="AG89" s="230">
        <f>AG$88*'Methanol recycling rates'!AI44</f>
        <v>4.8158696254865206E-3</v>
      </c>
      <c r="AH89" s="245"/>
      <c r="AI89" s="133"/>
      <c r="AJ89" s="211"/>
      <c r="AL89" s="108"/>
      <c r="AM89" s="2"/>
      <c r="AN89" s="2"/>
      <c r="AO89" s="2"/>
      <c r="BC89" s="1"/>
      <c r="BD89" s="2"/>
      <c r="BE89" s="2"/>
      <c r="BF89" s="2"/>
      <c r="BG89" s="2"/>
      <c r="BH89" s="2"/>
      <c r="BI89" s="2"/>
      <c r="BJ89" s="2"/>
      <c r="BK89" s="2"/>
    </row>
    <row r="90" spans="1:63" outlineLevel="1">
      <c r="A90" s="4" t="s">
        <v>745</v>
      </c>
      <c r="C90" s="230">
        <f>C$88*'Methanol recycling rates'!E45</f>
        <v>6.8305555721469736E-4</v>
      </c>
      <c r="D90" s="230">
        <f>D$88*'Methanol recycling rates'!F45</f>
        <v>7.4073929639796479E-4</v>
      </c>
      <c r="E90" s="230">
        <f>E$88*'Methanol recycling rates'!G45</f>
        <v>7.9897647308807237E-4</v>
      </c>
      <c r="F90" s="230">
        <f>F$88*'Methanol recycling rates'!H45</f>
        <v>8.5762485483107667E-4</v>
      </c>
      <c r="G90" s="230">
        <f>G$88*'Methanol recycling rates'!I45</f>
        <v>9.1654548019666623E-4</v>
      </c>
      <c r="H90" s="230">
        <f>H$88*'Methanol recycling rates'!J45</f>
        <v>9.7560265877815995E-4</v>
      </c>
      <c r="I90" s="230">
        <f>I$88*'Methanol recycling rates'!K45</f>
        <v>1.0346639711925089E-3</v>
      </c>
      <c r="J90" s="230">
        <f>J$88*'Methanol recycling rates'!L45</f>
        <v>1.093600269080294E-3</v>
      </c>
      <c r="K90" s="230">
        <f>K$88*'Methanol recycling rates'!M45</f>
        <v>1.1522856751057292E-3</v>
      </c>
      <c r="L90" s="230">
        <f>L$88*'Methanol recycling rates'!N45</f>
        <v>1.210597582956659E-3</v>
      </c>
      <c r="M90" s="230">
        <f>M$88*'Methanol recycling rates'!O45</f>
        <v>1.2684166573445582E-3</v>
      </c>
      <c r="N90" s="230">
        <f>N$88*'Methanol recycling rates'!P45</f>
        <v>1.4173398328714874E-3</v>
      </c>
      <c r="O90" s="230">
        <f>O$88*'Methanol recycling rates'!Q45</f>
        <v>1.5702876192073821E-3</v>
      </c>
      <c r="P90" s="230">
        <f>P$88*'Methanol recycling rates'!R45</f>
        <v>1.7266582747767266E-3</v>
      </c>
      <c r="Q90" s="230">
        <f>Q$88*'Methanol recycling rates'!S45</f>
        <v>1.8858644182933556E-3</v>
      </c>
      <c r="R90" s="230">
        <f>R$88*'Methanol recycling rates'!T45</f>
        <v>2.0473330287604538E-3</v>
      </c>
      <c r="S90" s="230">
        <f>S$88*'Methanol recycling rates'!U45</f>
        <v>2.2105054454705573E-3</v>
      </c>
      <c r="T90" s="230">
        <f>T$88*'Methanol recycling rates'!V45</f>
        <v>2.3748373680055538E-3</v>
      </c>
      <c r="U90" s="230">
        <f>U$88*'Methanol recycling rates'!W45</f>
        <v>2.5397988562366812E-3</v>
      </c>
      <c r="V90" s="230">
        <f>V$88*'Methanol recycling rates'!X45</f>
        <v>2.7048743303245281E-3</v>
      </c>
      <c r="W90" s="230">
        <f>W$88*'Methanol recycling rates'!Y45</f>
        <v>2.8695625707190323E-3</v>
      </c>
      <c r="X90" s="230">
        <f>X$88*'Methanol recycling rates'!Z45</f>
        <v>3.1979440528938558E-3</v>
      </c>
      <c r="Y90" s="230">
        <f>Y$88*'Methanol recycling rates'!AA45</f>
        <v>3.5333723417459101E-3</v>
      </c>
      <c r="Z90" s="230">
        <f>Z$88*'Methanol recycling rates'!AB45</f>
        <v>3.8743506918165883E-3</v>
      </c>
      <c r="AA90" s="230">
        <f>AA$88*'Methanol recycling rates'!AC45</f>
        <v>4.219422916375907E-3</v>
      </c>
      <c r="AB90" s="230">
        <f>AB$88*'Methanol recycling rates'!AD45</f>
        <v>4.5671733874225115E-3</v>
      </c>
      <c r="AC90" s="230">
        <f>AC$88*'Methanol recycling rates'!AE45</f>
        <v>4.9162270356836657E-3</v>
      </c>
      <c r="AD90" s="230">
        <f>AD$88*'Methanol recycling rates'!AF45</f>
        <v>5.2652493506152673E-3</v>
      </c>
      <c r="AE90" s="230">
        <f>AE$88*'Methanol recycling rates'!AG45</f>
        <v>5.6129463804018313E-3</v>
      </c>
      <c r="AF90" s="230">
        <f>AF$88*'Methanol recycling rates'!AH45</f>
        <v>5.9580647319565031E-3</v>
      </c>
      <c r="AG90" s="230">
        <f>AG$88*'Methanol recycling rates'!AI45</f>
        <v>6.2993915709210523E-3</v>
      </c>
      <c r="AH90" s="245"/>
      <c r="AI90" s="133"/>
      <c r="AJ90" s="211"/>
      <c r="AL90" s="108"/>
      <c r="AM90" s="2"/>
      <c r="AN90" s="2"/>
      <c r="AO90" s="2"/>
      <c r="BC90" s="1"/>
      <c r="BD90" s="2"/>
      <c r="BE90" s="2"/>
      <c r="BF90" s="2"/>
      <c r="BG90" s="2"/>
      <c r="BH90" s="2"/>
      <c r="BI90" s="2"/>
      <c r="BJ90" s="2"/>
      <c r="BK90" s="2"/>
    </row>
    <row r="91" spans="1:63" outlineLevel="1">
      <c r="A91" s="4" t="s">
        <v>1561</v>
      </c>
      <c r="C91" s="230">
        <f>C$88*'Methanol recycling rates'!E46</f>
        <v>0</v>
      </c>
      <c r="D91" s="230">
        <f>D$88*'Methanol recycling rates'!F46</f>
        <v>5.1169386012171037E-6</v>
      </c>
      <c r="E91" s="230">
        <f>E$88*'Methanol recycling rates'!G46</f>
        <v>1.1168775050932693E-5</v>
      </c>
      <c r="F91" s="230">
        <f>F$88*'Methanol recycling rates'!H46</f>
        <v>1.8197738974713682E-5</v>
      </c>
      <c r="G91" s="230">
        <f>G$88*'Methanol recycling rates'!I46</f>
        <v>2.6244123279400883E-5</v>
      </c>
      <c r="H91" s="230">
        <f>H$88*'Methanol recycling rates'!J46</f>
        <v>3.5346284153108958E-5</v>
      </c>
      <c r="I91" s="230">
        <f>I$88*'Methanol recycling rates'!K46</f>
        <v>4.5540641065226471E-5</v>
      </c>
      <c r="J91" s="230">
        <f>J$88*'Methanol recycling rates'!L46</f>
        <v>5.686167676641584E-5</v>
      </c>
      <c r="K91" s="230">
        <f>K$88*'Methanol recycling rates'!M46</f>
        <v>6.934193728861338E-5</v>
      </c>
      <c r="L91" s="230">
        <f>L$88*'Methanol recycling rates'!N46</f>
        <v>8.3012031945029301E-5</v>
      </c>
      <c r="M91" s="230">
        <f>M$88*'Methanol recycling rates'!O46</f>
        <v>9.7900633330147611E-5</v>
      </c>
      <c r="N91" s="230">
        <f>N$88*'Methanol recycling rates'!P46</f>
        <v>1.2192391016835398E-4</v>
      </c>
      <c r="O91" s="230">
        <f>O$88*'Methanol recycling rates'!Q46</f>
        <v>1.4933343931420703E-4</v>
      </c>
      <c r="P91" s="230">
        <f>P$88*'Methanol recycling rates'!R46</f>
        <v>1.8030118650627029E-4</v>
      </c>
      <c r="Q91" s="230">
        <f>Q$88*'Methanol recycling rates'!S46</f>
        <v>2.1499061499445735E-4</v>
      </c>
      <c r="R91" s="230">
        <f>R$88*'Methanol recycling rates'!T46</f>
        <v>2.5355668554003191E-4</v>
      </c>
      <c r="S91" s="230">
        <f>S$88*'Methanol recycling rates'!U46</f>
        <v>2.9614585641560764E-4</v>
      </c>
      <c r="T91" s="230">
        <f>T$88*'Methanol recycling rates'!V46</f>
        <v>3.4289608340514843E-4</v>
      </c>
      <c r="U91" s="230">
        <f>U$88*'Methanol recycling rates'!W46</f>
        <v>3.9393681980396837E-4</v>
      </c>
      <c r="V91" s="230">
        <f>V$88*'Methanol recycling rates'!X46</f>
        <v>4.4938901641873135E-4</v>
      </c>
      <c r="W91" s="230">
        <f>W$88*'Methanol recycling rates'!Y46</f>
        <v>5.0936512156745143E-4</v>
      </c>
      <c r="X91" s="230">
        <f>X$88*'Methanol recycling rates'!Z46</f>
        <v>6.0510816160573198E-4</v>
      </c>
      <c r="Y91" s="230">
        <f>Y$88*'Methanol recycling rates'!AA46</f>
        <v>7.1123787476243998E-4</v>
      </c>
      <c r="Z91" s="230">
        <f>Z$88*'Methanol recycling rates'!AB46</f>
        <v>8.2811988466437224E-4</v>
      </c>
      <c r="AA91" s="230">
        <f>AA$88*'Methanol recycling rates'!AC46</f>
        <v>9.5609580078921111E-4</v>
      </c>
      <c r="AB91" s="230">
        <f>AB$88*'Methanol recycling rates'!AD46</f>
        <v>1.0954832184655254E-3</v>
      </c>
      <c r="AC91" s="230">
        <f>AC$88*'Methanol recycling rates'!AE46</f>
        <v>1.2465757188727682E-3</v>
      </c>
      <c r="AD91" s="230">
        <f>AD$88*'Methanol recycling rates'!AF46</f>
        <v>1.4096428690412814E-3</v>
      </c>
      <c r="AE91" s="230">
        <f>AE$88*'Methanol recycling rates'!AG46</f>
        <v>1.5849302218522898E-3</v>
      </c>
      <c r="AF91" s="230">
        <f>AF$88*'Methanol recycling rates'!AH46</f>
        <v>1.7726593160379061E-3</v>
      </c>
      <c r="AG91" s="230">
        <f>AG$88*'Methanol recycling rates'!AI46</f>
        <v>1.9730276761811302E-3</v>
      </c>
      <c r="AH91" s="245"/>
      <c r="AI91" s="133"/>
      <c r="AJ91" s="211"/>
      <c r="AL91" s="108"/>
      <c r="AM91" s="2"/>
      <c r="AN91" s="2"/>
      <c r="AO91" s="2"/>
      <c r="BC91" s="1"/>
      <c r="BD91" s="2"/>
      <c r="BE91" s="2"/>
      <c r="BF91" s="2"/>
      <c r="BG91" s="2"/>
      <c r="BH91" s="2"/>
      <c r="BI91" s="2"/>
      <c r="BJ91" s="2"/>
      <c r="BK91" s="2"/>
    </row>
    <row r="92" spans="1:63" s="1" customFormat="1" outlineLevel="1">
      <c r="A92" s="1" t="s">
        <v>1566</v>
      </c>
      <c r="B92" s="65"/>
      <c r="C92" s="300">
        <f>C88-$C88</f>
        <v>0</v>
      </c>
      <c r="D92" s="300">
        <f t="shared" ref="D92:AG92" si="45">D88-$C88</f>
        <v>6.6325999341390455E-5</v>
      </c>
      <c r="E92" s="300">
        <f t="shared" si="45"/>
        <v>1.3478443313636411E-4</v>
      </c>
      <c r="F92" s="300">
        <f t="shared" si="45"/>
        <v>2.0530439271243593E-4</v>
      </c>
      <c r="G92" s="300">
        <f t="shared" si="45"/>
        <v>2.7781496939712175E-4</v>
      </c>
      <c r="H92" s="300">
        <f t="shared" si="45"/>
        <v>3.5224525451793629E-4</v>
      </c>
      <c r="I92" s="300">
        <f t="shared" si="45"/>
        <v>4.2852433940239519E-4</v>
      </c>
      <c r="J92" s="300">
        <f t="shared" si="45"/>
        <v>5.0658131537801318E-4</v>
      </c>
      <c r="K92" s="300">
        <f t="shared" si="45"/>
        <v>5.8634527377230598E-4</v>
      </c>
      <c r="L92" s="300">
        <f t="shared" si="45"/>
        <v>6.677453059127891E-4</v>
      </c>
      <c r="M92" s="300">
        <f t="shared" si="45"/>
        <v>7.5071050312697696E-4</v>
      </c>
      <c r="N92" s="300">
        <f t="shared" si="45"/>
        <v>9.4020782356098165E-4</v>
      </c>
      <c r="O92" s="300">
        <f t="shared" si="45"/>
        <v>1.1394489700778591E-3</v>
      </c>
      <c r="P92" s="300">
        <f t="shared" si="45"/>
        <v>1.3481226428616643E-3</v>
      </c>
      <c r="Q92" s="300">
        <f t="shared" si="45"/>
        <v>1.5659175420964502E-3</v>
      </c>
      <c r="R92" s="300">
        <f t="shared" si="45"/>
        <v>1.7925223679662707E-3</v>
      </c>
      <c r="S92" s="300">
        <f t="shared" si="45"/>
        <v>2.0276258206551791E-3</v>
      </c>
      <c r="T92" s="300">
        <f t="shared" si="45"/>
        <v>2.2709166003472294E-3</v>
      </c>
      <c r="U92" s="300">
        <f t="shared" si="45"/>
        <v>2.5220834072264761E-3</v>
      </c>
      <c r="V92" s="300">
        <f t="shared" si="45"/>
        <v>2.7808149414769718E-3</v>
      </c>
      <c r="W92" s="300">
        <f t="shared" si="45"/>
        <v>3.0467999032827695E-3</v>
      </c>
      <c r="X92" s="300">
        <f t="shared" si="45"/>
        <v>3.5368867184361044E-3</v>
      </c>
      <c r="Y92" s="300">
        <f t="shared" si="45"/>
        <v>4.0515629254455274E-3</v>
      </c>
      <c r="Z92" s="300">
        <f t="shared" si="45"/>
        <v>4.589949299356192E-3</v>
      </c>
      <c r="AA92" s="300">
        <f t="shared" si="45"/>
        <v>5.1511666152132488E-3</v>
      </c>
      <c r="AB92" s="300">
        <f t="shared" si="45"/>
        <v>5.7343356480618526E-3</v>
      </c>
      <c r="AC92" s="300">
        <f t="shared" si="45"/>
        <v>6.3385771729471494E-3</v>
      </c>
      <c r="AD92" s="300">
        <f t="shared" si="45"/>
        <v>6.9630119649142976E-3</v>
      </c>
      <c r="AE92" s="300">
        <f t="shared" si="45"/>
        <v>7.6067607990084425E-3</v>
      </c>
      <c r="AF92" s="300">
        <f t="shared" si="45"/>
        <v>8.2689444502747379E-3</v>
      </c>
      <c r="AG92" s="300">
        <f t="shared" si="45"/>
        <v>8.9486836937583431E-3</v>
      </c>
      <c r="AH92" s="245"/>
      <c r="AI92" s="423"/>
      <c r="AJ92" s="424"/>
      <c r="AL92" s="221"/>
      <c r="AM92" s="124"/>
      <c r="AN92" s="124"/>
      <c r="AO92" s="124"/>
      <c r="BD92" s="124"/>
      <c r="BE92" s="124"/>
      <c r="BF92" s="124"/>
      <c r="BG92" s="124"/>
      <c r="BH92" s="124"/>
      <c r="BI92" s="124"/>
      <c r="BJ92" s="124"/>
      <c r="BK92" s="124"/>
    </row>
    <row r="93" spans="1:63" outlineLevel="1">
      <c r="A93" s="4" t="s">
        <v>474</v>
      </c>
      <c r="C93" s="230">
        <f t="shared" ref="C93:AF93" si="46">C89-$C89</f>
        <v>0</v>
      </c>
      <c r="D93" s="230">
        <f t="shared" si="46"/>
        <v>1.2489692609268131E-5</v>
      </c>
      <c r="E93" s="230">
        <f t="shared" si="46"/>
        <v>2.7261333011702048E-5</v>
      </c>
      <c r="F93" s="230">
        <f t="shared" si="46"/>
        <v>4.4417997496356664E-5</v>
      </c>
      <c r="G93" s="230">
        <f t="shared" si="46"/>
        <v>6.4058035107454611E-5</v>
      </c>
      <c r="H93" s="230">
        <f t="shared" si="46"/>
        <v>8.6275067644386128E-5</v>
      </c>
      <c r="I93" s="230">
        <f t="shared" si="46"/>
        <v>1.1115798966170925E-4</v>
      </c>
      <c r="J93" s="230">
        <f t="shared" si="46"/>
        <v>1.3879096846914954E-4</v>
      </c>
      <c r="K93" s="230">
        <f t="shared" si="46"/>
        <v>1.6925344413160043E-4</v>
      </c>
      <c r="L93" s="230">
        <f t="shared" si="46"/>
        <v>2.0262012946912296E-4</v>
      </c>
      <c r="M93" s="230">
        <f t="shared" si="46"/>
        <v>2.3896101005694572E-4</v>
      </c>
      <c r="N93" s="230">
        <f t="shared" si="46"/>
        <v>2.9759828647554114E-4</v>
      </c>
      <c r="O93" s="230">
        <f t="shared" si="46"/>
        <v>3.6450090545851131E-4</v>
      </c>
      <c r="P93" s="230">
        <f t="shared" si="46"/>
        <v>4.4008861001654497E-4</v>
      </c>
      <c r="Q93" s="230">
        <f t="shared" si="46"/>
        <v>5.2476038983926773E-4</v>
      </c>
      <c r="R93" s="230">
        <f t="shared" si="46"/>
        <v>6.1889448129524187E-4</v>
      </c>
      <c r="S93" s="230">
        <f t="shared" si="46"/>
        <v>7.2284836743196702E-4</v>
      </c>
      <c r="T93" s="230">
        <f t="shared" si="46"/>
        <v>8.369587779758792E-4</v>
      </c>
      <c r="U93" s="230">
        <f t="shared" si="46"/>
        <v>9.6154168933235194E-4</v>
      </c>
      <c r="V93" s="230">
        <f t="shared" si="46"/>
        <v>1.0968923245856953E-3</v>
      </c>
      <c r="W93" s="230">
        <f t="shared" si="46"/>
        <v>1.2432851534991555E-3</v>
      </c>
      <c r="X93" s="230">
        <f t="shared" si="46"/>
        <v>1.4769797964777804E-3</v>
      </c>
      <c r="Y93" s="230">
        <f t="shared" si="46"/>
        <v>1.7360267769754155E-3</v>
      </c>
      <c r="Z93" s="230">
        <f t="shared" si="46"/>
        <v>2.0213185283521739E-3</v>
      </c>
      <c r="AA93" s="230">
        <f t="shared" si="46"/>
        <v>2.3336888689711784E-3</v>
      </c>
      <c r="AB93" s="230">
        <f t="shared" si="46"/>
        <v>2.6739130021985621E-3</v>
      </c>
      <c r="AC93" s="230">
        <f t="shared" si="46"/>
        <v>3.0427075164034664E-3</v>
      </c>
      <c r="AD93" s="230">
        <f t="shared" si="46"/>
        <v>3.4407303849580476E-3</v>
      </c>
      <c r="AE93" s="230">
        <f t="shared" si="46"/>
        <v>3.868580966237465E-3</v>
      </c>
      <c r="AF93" s="230">
        <f t="shared" si="46"/>
        <v>4.3268000036198939E-3</v>
      </c>
      <c r="AG93" s="230">
        <f>AG89-$C89</f>
        <v>4.8158696254865206E-3</v>
      </c>
      <c r="AH93" s="245"/>
      <c r="AI93" s="133"/>
      <c r="AJ93" s="211"/>
      <c r="AL93" s="108"/>
      <c r="AM93" s="2"/>
      <c r="AN93" s="2"/>
      <c r="AO93" s="2"/>
      <c r="BC93" s="1"/>
      <c r="BD93" s="2"/>
      <c r="BE93" s="2"/>
      <c r="BF93" s="2"/>
      <c r="BG93" s="2"/>
      <c r="BH93" s="2"/>
      <c r="BI93" s="2"/>
      <c r="BJ93" s="2"/>
      <c r="BK93" s="2"/>
    </row>
    <row r="94" spans="1:63" outlineLevel="1">
      <c r="A94" s="4" t="s">
        <v>745</v>
      </c>
      <c r="C94" s="230">
        <f t="shared" ref="C94:AG94" si="47">C90-$C90</f>
        <v>0</v>
      </c>
      <c r="D94" s="230">
        <f t="shared" si="47"/>
        <v>5.7683739183267435E-5</v>
      </c>
      <c r="E94" s="230">
        <f t="shared" si="47"/>
        <v>1.1592091587337501E-4</v>
      </c>
      <c r="F94" s="230">
        <f t="shared" si="47"/>
        <v>1.7456929761637931E-4</v>
      </c>
      <c r="G94" s="230">
        <f t="shared" si="47"/>
        <v>2.3348992298196888E-4</v>
      </c>
      <c r="H94" s="230">
        <f t="shared" si="47"/>
        <v>2.925471015634626E-4</v>
      </c>
      <c r="I94" s="230">
        <f t="shared" si="47"/>
        <v>3.5160841397781156E-4</v>
      </c>
      <c r="J94" s="230">
        <f t="shared" si="47"/>
        <v>4.1054471186559663E-4</v>
      </c>
      <c r="K94" s="230">
        <f t="shared" si="47"/>
        <v>4.6923011789103185E-4</v>
      </c>
      <c r="L94" s="230">
        <f t="shared" si="47"/>
        <v>5.2754202574196161E-4</v>
      </c>
      <c r="M94" s="230">
        <f t="shared" si="47"/>
        <v>5.8536110012986085E-4</v>
      </c>
      <c r="N94" s="230">
        <f t="shared" si="47"/>
        <v>7.3428427565679002E-4</v>
      </c>
      <c r="O94" s="230">
        <f t="shared" si="47"/>
        <v>8.872320619926847E-4</v>
      </c>
      <c r="P94" s="230">
        <f t="shared" si="47"/>
        <v>1.0436027175620291E-3</v>
      </c>
      <c r="Q94" s="230">
        <f t="shared" si="47"/>
        <v>1.2028088610786581E-3</v>
      </c>
      <c r="R94" s="230">
        <f t="shared" si="47"/>
        <v>1.3642774715457565E-3</v>
      </c>
      <c r="S94" s="230">
        <f t="shared" si="47"/>
        <v>1.5274498882558601E-3</v>
      </c>
      <c r="T94" s="230">
        <f t="shared" si="47"/>
        <v>1.6917818107908566E-3</v>
      </c>
      <c r="U94" s="230">
        <f t="shared" si="47"/>
        <v>1.8567432990219839E-3</v>
      </c>
      <c r="V94" s="230">
        <f t="shared" si="47"/>
        <v>2.0218187731098308E-3</v>
      </c>
      <c r="W94" s="230">
        <f t="shared" si="47"/>
        <v>2.1865070135043351E-3</v>
      </c>
      <c r="X94" s="230">
        <f t="shared" si="47"/>
        <v>2.5148884956791586E-3</v>
      </c>
      <c r="Y94" s="230">
        <f t="shared" si="47"/>
        <v>2.8503167845312129E-3</v>
      </c>
      <c r="Z94" s="230">
        <f t="shared" si="47"/>
        <v>3.1912951346018911E-3</v>
      </c>
      <c r="AA94" s="230">
        <f t="shared" si="47"/>
        <v>3.5363673591612098E-3</v>
      </c>
      <c r="AB94" s="230">
        <f t="shared" si="47"/>
        <v>3.8841178302078143E-3</v>
      </c>
      <c r="AC94" s="230">
        <f t="shared" si="47"/>
        <v>4.2331714784689684E-3</v>
      </c>
      <c r="AD94" s="230">
        <f t="shared" si="47"/>
        <v>4.5821937934005701E-3</v>
      </c>
      <c r="AE94" s="230">
        <f t="shared" si="47"/>
        <v>4.929890823187134E-3</v>
      </c>
      <c r="AF94" s="230">
        <f t="shared" si="47"/>
        <v>5.2750091747418059E-3</v>
      </c>
      <c r="AG94" s="230">
        <f t="shared" si="47"/>
        <v>5.616336013706355E-3</v>
      </c>
      <c r="AH94" s="245"/>
      <c r="AI94" s="133"/>
      <c r="AJ94" s="211"/>
      <c r="AL94" s="108"/>
      <c r="AM94" s="2"/>
      <c r="AN94" s="2"/>
      <c r="AO94" s="2"/>
      <c r="BC94" s="1"/>
      <c r="BD94" s="2"/>
      <c r="BE94" s="2"/>
      <c r="BF94" s="2"/>
      <c r="BG94" s="2"/>
      <c r="BH94" s="2"/>
      <c r="BI94" s="2"/>
      <c r="BJ94" s="2"/>
      <c r="BK94" s="2"/>
    </row>
    <row r="95" spans="1:63" outlineLevel="1">
      <c r="A95" s="4" t="s">
        <v>1561</v>
      </c>
      <c r="C95" s="230">
        <f t="shared" ref="C95:AG95" si="48">C91-$C91</f>
        <v>0</v>
      </c>
      <c r="D95" s="230">
        <f t="shared" si="48"/>
        <v>5.1169386012171037E-6</v>
      </c>
      <c r="E95" s="230">
        <f t="shared" si="48"/>
        <v>1.1168775050932693E-5</v>
      </c>
      <c r="F95" s="230">
        <f t="shared" si="48"/>
        <v>1.8197738974713682E-5</v>
      </c>
      <c r="G95" s="230">
        <f t="shared" si="48"/>
        <v>2.6244123279400883E-5</v>
      </c>
      <c r="H95" s="230">
        <f t="shared" si="48"/>
        <v>3.5346284153108958E-5</v>
      </c>
      <c r="I95" s="230">
        <f t="shared" si="48"/>
        <v>4.5540641065226471E-5</v>
      </c>
      <c r="J95" s="230">
        <f t="shared" si="48"/>
        <v>5.686167676641584E-5</v>
      </c>
      <c r="K95" s="230">
        <f t="shared" si="48"/>
        <v>6.934193728861338E-5</v>
      </c>
      <c r="L95" s="230">
        <f t="shared" si="48"/>
        <v>8.3012031945029301E-5</v>
      </c>
      <c r="M95" s="230">
        <f t="shared" si="48"/>
        <v>9.7900633330147611E-5</v>
      </c>
      <c r="N95" s="230">
        <f t="shared" si="48"/>
        <v>1.2192391016835398E-4</v>
      </c>
      <c r="O95" s="230">
        <f t="shared" si="48"/>
        <v>1.4933343931420703E-4</v>
      </c>
      <c r="P95" s="230">
        <f t="shared" si="48"/>
        <v>1.8030118650627029E-4</v>
      </c>
      <c r="Q95" s="230">
        <f t="shared" si="48"/>
        <v>2.1499061499445735E-4</v>
      </c>
      <c r="R95" s="230">
        <f t="shared" si="48"/>
        <v>2.5355668554003191E-4</v>
      </c>
      <c r="S95" s="230">
        <f t="shared" si="48"/>
        <v>2.9614585641560764E-4</v>
      </c>
      <c r="T95" s="230">
        <f t="shared" si="48"/>
        <v>3.4289608340514843E-4</v>
      </c>
      <c r="U95" s="230">
        <f t="shared" si="48"/>
        <v>3.9393681980396837E-4</v>
      </c>
      <c r="V95" s="230">
        <f t="shared" si="48"/>
        <v>4.4938901641873135E-4</v>
      </c>
      <c r="W95" s="230">
        <f t="shared" si="48"/>
        <v>5.0936512156745143E-4</v>
      </c>
      <c r="X95" s="230">
        <f t="shared" si="48"/>
        <v>6.0510816160573198E-4</v>
      </c>
      <c r="Y95" s="230">
        <f t="shared" si="48"/>
        <v>7.1123787476243998E-4</v>
      </c>
      <c r="Z95" s="230">
        <f t="shared" si="48"/>
        <v>8.2811988466437224E-4</v>
      </c>
      <c r="AA95" s="230">
        <f t="shared" si="48"/>
        <v>9.5609580078921111E-4</v>
      </c>
      <c r="AB95" s="230">
        <f t="shared" si="48"/>
        <v>1.0954832184655254E-3</v>
      </c>
      <c r="AC95" s="230">
        <f t="shared" si="48"/>
        <v>1.2465757188727682E-3</v>
      </c>
      <c r="AD95" s="230">
        <f t="shared" si="48"/>
        <v>1.4096428690412814E-3</v>
      </c>
      <c r="AE95" s="230">
        <f t="shared" si="48"/>
        <v>1.5849302218522898E-3</v>
      </c>
      <c r="AF95" s="230">
        <f t="shared" si="48"/>
        <v>1.7726593160379061E-3</v>
      </c>
      <c r="AG95" s="230">
        <f t="shared" si="48"/>
        <v>1.9730276761811302E-3</v>
      </c>
      <c r="AH95" s="245"/>
      <c r="AI95" s="133"/>
      <c r="AJ95" s="211"/>
      <c r="AL95" s="108"/>
      <c r="AM95" s="2"/>
      <c r="AN95" s="2"/>
      <c r="AO95" s="2"/>
      <c r="BC95" s="1"/>
      <c r="BD95" s="2"/>
      <c r="BE95" s="2"/>
      <c r="BF95" s="2"/>
      <c r="BG95" s="2"/>
      <c r="BH95" s="2"/>
      <c r="BI95" s="2"/>
      <c r="BJ95" s="2"/>
      <c r="BK95" s="2"/>
    </row>
    <row r="96" spans="1:63" s="1" customFormat="1" outlineLevel="1">
      <c r="A96" s="1" t="s">
        <v>1567</v>
      </c>
      <c r="B96" s="65"/>
      <c r="C96" s="300">
        <f>C42*C68</f>
        <v>3.9476351575344112E-2</v>
      </c>
      <c r="D96" s="300">
        <f t="shared" ref="D96:AG96" si="49">D42*D68</f>
        <v>4.1908067573546176E-2</v>
      </c>
      <c r="E96" s="300">
        <f t="shared" si="49"/>
        <v>4.4320861235374785E-2</v>
      </c>
      <c r="F96" s="300">
        <f t="shared" si="49"/>
        <v>4.6698226489802118E-2</v>
      </c>
      <c r="G96" s="300">
        <f t="shared" si="49"/>
        <v>4.9023354742647442E-2</v>
      </c>
      <c r="H96" s="300">
        <f t="shared" si="49"/>
        <v>5.1279331443040976E-2</v>
      </c>
      <c r="I96" s="300">
        <f t="shared" si="49"/>
        <v>5.3564654904558452E-2</v>
      </c>
      <c r="J96" s="300">
        <f t="shared" si="49"/>
        <v>5.587684113452869E-2</v>
      </c>
      <c r="K96" s="300">
        <f t="shared" si="49"/>
        <v>5.8213285986478909E-2</v>
      </c>
      <c r="L96" s="300">
        <f t="shared" si="49"/>
        <v>6.057126862622713E-2</v>
      </c>
      <c r="M96" s="300">
        <f t="shared" si="49"/>
        <v>6.2947955443804438E-2</v>
      </c>
      <c r="N96" s="300">
        <f t="shared" si="49"/>
        <v>6.7383715197240207E-2</v>
      </c>
      <c r="O96" s="300">
        <f t="shared" si="49"/>
        <v>7.1764873513494559E-2</v>
      </c>
      <c r="P96" s="300">
        <f t="shared" si="49"/>
        <v>7.6066212482794757E-2</v>
      </c>
      <c r="Q96" s="300">
        <f t="shared" si="49"/>
        <v>8.0262543687377577E-2</v>
      </c>
      <c r="R96" s="300">
        <f t="shared" si="49"/>
        <v>8.4328950372526204E-2</v>
      </c>
      <c r="S96" s="300">
        <f t="shared" si="49"/>
        <v>8.8400012325442506E-2</v>
      </c>
      <c r="T96" s="300">
        <f t="shared" si="49"/>
        <v>9.2473523871710997E-2</v>
      </c>
      <c r="U96" s="300">
        <f t="shared" si="49"/>
        <v>9.6547246191741529E-2</v>
      </c>
      <c r="V96" s="300">
        <f t="shared" si="49"/>
        <v>0.10061890848409116</v>
      </c>
      <c r="W96" s="300">
        <f t="shared" si="49"/>
        <v>0.1046862091716565</v>
      </c>
      <c r="X96" s="300">
        <f t="shared" si="49"/>
        <v>0.11106713316201536</v>
      </c>
      <c r="Y96" s="300">
        <f t="shared" si="49"/>
        <v>0.11744644060223859</v>
      </c>
      <c r="Z96" s="300">
        <f t="shared" si="49"/>
        <v>0.12382067212260814</v>
      </c>
      <c r="AA96" s="300">
        <f t="shared" si="49"/>
        <v>0.13018632350212161</v>
      </c>
      <c r="AB96" s="300">
        <f t="shared" si="49"/>
        <v>0.13653984739908231</v>
      </c>
      <c r="AC96" s="300">
        <f t="shared" si="49"/>
        <v>0.14287900593642378</v>
      </c>
      <c r="AD96" s="300">
        <f t="shared" si="49"/>
        <v>0.14920035205919627</v>
      </c>
      <c r="AE96" s="300">
        <f t="shared" si="49"/>
        <v>0.15550040017098829</v>
      </c>
      <c r="AF96" s="300">
        <f t="shared" si="49"/>
        <v>0.16177562773670062</v>
      </c>
      <c r="AG96" s="300">
        <f t="shared" si="49"/>
        <v>0.16802247693148817</v>
      </c>
      <c r="AH96" s="245"/>
      <c r="AI96" s="423"/>
      <c r="AJ96" s="424"/>
      <c r="AL96" s="221"/>
      <c r="AM96" s="124"/>
      <c r="AN96" s="124"/>
      <c r="AO96" s="124"/>
      <c r="BD96" s="124"/>
      <c r="BE96" s="124"/>
      <c r="BF96" s="124"/>
      <c r="BG96" s="124"/>
      <c r="BH96" s="124"/>
      <c r="BI96" s="124"/>
      <c r="BJ96" s="124"/>
      <c r="BK96" s="124"/>
    </row>
    <row r="97" spans="1:63" outlineLevel="1">
      <c r="A97" s="4" t="s">
        <v>474</v>
      </c>
      <c r="C97" s="230">
        <f>C$96*'Methanol recycling rates'!E45</f>
        <v>3.9476351575344112E-2</v>
      </c>
      <c r="D97" s="230">
        <f>D$96*'Methanol recycling rates'!F45</f>
        <v>4.1424761813581588E-2</v>
      </c>
      <c r="E97" s="230">
        <f>E$96*'Methanol recycling rates'!G45</f>
        <v>4.3298598517865508E-2</v>
      </c>
      <c r="F97" s="230">
        <f>F$96*'Methanol recycling rates'!H45</f>
        <v>4.508258135395489E-2</v>
      </c>
      <c r="G97" s="230">
        <f>G$96*'Methanol recycling rates'!I45</f>
        <v>4.6761902846462679E-2</v>
      </c>
      <c r="H97" s="230">
        <f>H$96*'Methanol recycling rates'!J45</f>
        <v>4.8322431055059456E-2</v>
      </c>
      <c r="I97" s="230">
        <f>I$96*'Methanol recycling rates'!K45</f>
        <v>4.9858241164465605E-2</v>
      </c>
      <c r="J97" s="230">
        <f>J$96*'Methanol recycling rates'!L45</f>
        <v>5.1366034382323879E-2</v>
      </c>
      <c r="K97" s="230">
        <f>K$96*'Methanol recycling rates'!M45</f>
        <v>5.2842517434699483E-2</v>
      </c>
      <c r="L97" s="230">
        <f>L$96*'Methanol recycling rates'!N45</f>
        <v>5.4284412600799879E-2</v>
      </c>
      <c r="M97" s="230">
        <f>M$96*'Methanol recycling rates'!O45</f>
        <v>5.5688467902272207E-2</v>
      </c>
      <c r="N97" s="230">
        <f>N$96*'Methanol recycling rates'!P45</f>
        <v>5.8835568378483853E-2</v>
      </c>
      <c r="O97" s="230">
        <f>O$96*'Methanol recycling rates'!Q45</f>
        <v>6.1833312721387028E-2</v>
      </c>
      <c r="P97" s="230">
        <f>P$96*'Methanol recycling rates'!R45</f>
        <v>6.4662152837897044E-2</v>
      </c>
      <c r="Q97" s="230">
        <f>Q$96*'Methanol recycling rates'!S45</f>
        <v>6.7303728669810992E-2</v>
      </c>
      <c r="R97" s="230">
        <f>R$96*'Methanol recycling rates'!T45</f>
        <v>6.9741066771611793E-2</v>
      </c>
      <c r="S97" s="230">
        <f>S$96*'Methanol recycling rates'!U45</f>
        <v>7.2088409290881797E-2</v>
      </c>
      <c r="T97" s="230">
        <f>T$96*'Methanol recycling rates'!V45</f>
        <v>7.4343821921107264E-2</v>
      </c>
      <c r="U97" s="230">
        <f>U$96*'Methanol recycling rates'!W45</f>
        <v>7.6505445839019873E-2</v>
      </c>
      <c r="V97" s="230">
        <f>V$96*'Methanol recycling rates'!X45</f>
        <v>7.8571500524251284E-2</v>
      </c>
      <c r="W97" s="230">
        <f>W$96*'Methanol recycling rates'!Y45</f>
        <v>8.054028653147402E-2</v>
      </c>
      <c r="X97" s="230">
        <f>X$96*'Methanol recycling rates'!Z45</f>
        <v>8.4168563161840862E-2</v>
      </c>
      <c r="Y97" s="230">
        <f>Y$96*'Methanol recycling rates'!AA45</f>
        <v>8.7648457078486522E-2</v>
      </c>
      <c r="Z97" s="230">
        <f>Z$96*'Methanol recycling rates'!AB45</f>
        <v>9.0977482431410781E-2</v>
      </c>
      <c r="AA97" s="230">
        <f>AA$96*'Methanol recycling rates'!AC45</f>
        <v>9.4153280514338078E-2</v>
      </c>
      <c r="AB97" s="230">
        <f>AB$96*'Methanol recycling rates'!AD45</f>
        <v>9.7173623582598193E-2</v>
      </c>
      <c r="AC97" s="230">
        <f>AC$96*'Methanol recycling rates'!AE45</f>
        <v>0.10003736435814164</v>
      </c>
      <c r="AD97" s="230">
        <f>AD$96*'Methanol recycling rates'!AF45</f>
        <v>0.10274262613005461</v>
      </c>
      <c r="AE97" s="230">
        <f>AE$96*'Methanol recycling rates'!AG45</f>
        <v>0.10528766510437414</v>
      </c>
      <c r="AF97" s="230">
        <f>AF$96*'Methanol recycling rates'!AH45</f>
        <v>0.10767087369322678</v>
      </c>
      <c r="AG97" s="230">
        <f>AG$96*'Methanol recycling rates'!AI45</f>
        <v>0.109890783723258</v>
      </c>
      <c r="AH97" s="245"/>
      <c r="AI97" s="133"/>
      <c r="AJ97" s="211"/>
      <c r="AL97" s="108"/>
      <c r="AM97" s="2"/>
      <c r="AN97" s="2"/>
      <c r="AO97" s="2"/>
      <c r="BC97" s="1"/>
      <c r="BD97" s="2"/>
      <c r="BE97" s="2"/>
      <c r="BF97" s="2"/>
      <c r="BG97" s="2"/>
      <c r="BH97" s="2"/>
      <c r="BI97" s="2"/>
      <c r="BJ97" s="2"/>
      <c r="BK97" s="2"/>
    </row>
    <row r="98" spans="1:63" outlineLevel="1">
      <c r="A98" s="4" t="s">
        <v>745</v>
      </c>
      <c r="C98" s="230">
        <f>C$96*'Methanol recycling rates'!E46</f>
        <v>0</v>
      </c>
      <c r="D98" s="230">
        <f>D$96*'Methanol recycling rates'!F46</f>
        <v>2.8615730770716307E-4</v>
      </c>
      <c r="E98" s="230">
        <f>E$96*'Methanol recycling rates'!G46</f>
        <v>6.052647645525608E-4</v>
      </c>
      <c r="F98" s="230">
        <f>F$96*'Methanol recycling rates'!H46</f>
        <v>9.5659663215702485E-4</v>
      </c>
      <c r="G98" s="230">
        <f>G$96*'Methanol recycling rates'!I46</f>
        <v>1.3389680813423507E-3</v>
      </c>
      <c r="H98" s="230">
        <f>H$96*'Methanol recycling rates'!J46</f>
        <v>1.7507315746558769E-3</v>
      </c>
      <c r="I98" s="230">
        <f>I$96*'Methanol recycling rates'!K46</f>
        <v>2.1945059731783832E-3</v>
      </c>
      <c r="J98" s="230">
        <f>J$96*'Methanol recycling rates'!L46</f>
        <v>2.670773706261639E-3</v>
      </c>
      <c r="K98" s="230">
        <f>K$96*'Methanol recycling rates'!M46</f>
        <v>3.1799427948222803E-3</v>
      </c>
      <c r="L98" s="230">
        <f>L$96*'Methanol recycling rates'!N46</f>
        <v>3.7223429621667109E-3</v>
      </c>
      <c r="M98" s="230">
        <f>M$96*'Methanol recycling rates'!O46</f>
        <v>4.2982219172615762E-3</v>
      </c>
      <c r="N98" s="230">
        <f>N$96*'Methanol recycling rates'!P46</f>
        <v>5.0612156571858257E-3</v>
      </c>
      <c r="O98" s="230">
        <f>O$96*'Methanol recycling rates'!Q46</f>
        <v>5.8803120778195238E-3</v>
      </c>
      <c r="P98" s="230">
        <f>P$96*'Methanol recycling rates'!R46</f>
        <v>6.7521541749366734E-3</v>
      </c>
      <c r="Q98" s="230">
        <f>Q$96*'Methanol recycling rates'!S46</f>
        <v>7.67269899033215E-3</v>
      </c>
      <c r="R98" s="230">
        <f>R$96*'Methanol recycling rates'!T46</f>
        <v>8.637243422650296E-3</v>
      </c>
      <c r="S98" s="230">
        <f>S$96*'Methanol recycling rates'!U46</f>
        <v>9.6578290502887555E-3</v>
      </c>
      <c r="T98" s="230">
        <f>T$96*'Methanol recycling rates'!V46</f>
        <v>1.0734295200823151E-2</v>
      </c>
      <c r="U98" s="230">
        <f>U$96*'Methanol recycling rates'!W46</f>
        <v>1.1866416884747061E-2</v>
      </c>
      <c r="V98" s="230">
        <f>V$96*'Methanol recycling rates'!X46</f>
        <v>1.3053903814784905E-2</v>
      </c>
      <c r="W98" s="230">
        <f>W$96*'Methanol recycling rates'!Y46</f>
        <v>1.4296399478719872E-2</v>
      </c>
      <c r="X98" s="230">
        <f>X$96*'Methanol recycling rates'!Z46</f>
        <v>1.5926196230284063E-2</v>
      </c>
      <c r="Y98" s="230">
        <f>Y$96*'Methanol recycling rates'!AA46</f>
        <v>1.7642890787984943E-2</v>
      </c>
      <c r="Z98" s="230">
        <f>Z$96*'Methanol recycling rates'!AB46</f>
        <v>1.944590674697794E-2</v>
      </c>
      <c r="AA98" s="230">
        <f>AA$96*'Methanol recycling rates'!AC46</f>
        <v>2.1334565867032293E-2</v>
      </c>
      <c r="AB98" s="230">
        <f>AB$96*'Methanol recycling rates'!AD46</f>
        <v>2.3308086836680939E-2</v>
      </c>
      <c r="AC98" s="230">
        <f>AC$96*'Methanol recycling rates'!AE46</f>
        <v>2.5365823930372192E-2</v>
      </c>
      <c r="AD98" s="230">
        <f>AD$96*'Methanol recycling rates'!AF46</f>
        <v>2.7506847373502234E-2</v>
      </c>
      <c r="AE98" s="230">
        <f>AE$96*'Methanol recycling rates'!AG46</f>
        <v>2.9730125873790869E-2</v>
      </c>
      <c r="AF98" s="230">
        <f>AF$96*'Methanol recycling rates'!AH46</f>
        <v>3.2034525622813018E-2</v>
      </c>
      <c r="AG98" s="230">
        <f>AG$96*'Methanol recycling rates'!AI46</f>
        <v>3.4418809372652057E-2</v>
      </c>
      <c r="AH98" s="245"/>
      <c r="AI98" s="133"/>
      <c r="AJ98" s="211"/>
      <c r="AL98" s="108"/>
      <c r="AM98" s="2"/>
      <c r="AN98" s="2"/>
      <c r="AO98" s="2"/>
      <c r="BC98" s="1"/>
      <c r="BD98" s="2"/>
      <c r="BE98" s="2"/>
      <c r="BF98" s="2"/>
      <c r="BG98" s="2"/>
      <c r="BH98" s="2"/>
      <c r="BI98" s="2"/>
      <c r="BJ98" s="2"/>
      <c r="BK98" s="2"/>
    </row>
    <row r="99" spans="1:63" outlineLevel="1">
      <c r="A99" s="4" t="s">
        <v>1561</v>
      </c>
      <c r="C99" s="230">
        <f>C$96*'Methanol recycling rates'!E47</f>
        <v>0</v>
      </c>
      <c r="D99" s="230">
        <f>D$96*'Methanol recycling rates'!F47</f>
        <v>1.9714845225742565E-4</v>
      </c>
      <c r="E99" s="230">
        <f>E$96*'Methanol recycling rates'!G47</f>
        <v>4.169979529567175E-4</v>
      </c>
      <c r="F99" s="230">
        <f>F$96*'Methanol recycling rates'!H47</f>
        <v>6.5904850369020507E-4</v>
      </c>
      <c r="G99" s="230">
        <f>G$96*'Methanol recycling rates'!I47</f>
        <v>9.2248381484241727E-4</v>
      </c>
      <c r="H99" s="230">
        <f>H$96*'Methanol recycling rates'!J47</f>
        <v>1.2061688133256502E-3</v>
      </c>
      <c r="I99" s="230">
        <f>I$96*'Methanol recycling rates'!K47</f>
        <v>1.5119077669144706E-3</v>
      </c>
      <c r="J99" s="230">
        <f>J$96*'Methanol recycling rates'!L47</f>
        <v>1.8400330459431781E-3</v>
      </c>
      <c r="K99" s="230">
        <f>K$96*'Methanol recycling rates'!M47</f>
        <v>2.1908257569571484E-3</v>
      </c>
      <c r="L99" s="230">
        <f>L$96*'Methanol recycling rates'!N47</f>
        <v>2.5645130632605492E-3</v>
      </c>
      <c r="M99" s="230">
        <f>M$96*'Methanol recycling rates'!O47</f>
        <v>2.9612656242706636E-3</v>
      </c>
      <c r="N99" s="230">
        <f>N$96*'Methanol recycling rates'!P47</f>
        <v>3.486931161570536E-3</v>
      </c>
      <c r="O99" s="230">
        <f>O$96*'Methanol recycling rates'!Q47</f>
        <v>4.0512487142880223E-3</v>
      </c>
      <c r="P99" s="230">
        <f>P$96*'Methanol recycling rates'!R47</f>
        <v>4.6519054699610549E-3</v>
      </c>
      <c r="Q99" s="230">
        <f>Q$96*'Methanol recycling rates'!S47</f>
        <v>5.2861160272344556E-3</v>
      </c>
      <c r="R99" s="230">
        <f>R$96*'Methanol recycling rates'!T47</f>
        <v>5.9506401782641301E-3</v>
      </c>
      <c r="S99" s="230">
        <f>S$96*'Methanol recycling rates'!U47</f>
        <v>6.6537739842719755E-3</v>
      </c>
      <c r="T99" s="230">
        <f>T$96*'Methanol recycling rates'!V47</f>
        <v>7.3954067497805981E-3</v>
      </c>
      <c r="U99" s="230">
        <f>U$96*'Methanol recycling rates'!W47</f>
        <v>8.1753834679746187E-3</v>
      </c>
      <c r="V99" s="230">
        <f>V$96*'Methanol recycling rates'!X47</f>
        <v>8.9935041450549986E-3</v>
      </c>
      <c r="W99" s="230">
        <f>W$96*'Methanol recycling rates'!Y47</f>
        <v>9.8495231614626286E-3</v>
      </c>
      <c r="X99" s="230">
        <f>X$96*'Methanol recycling rates'!Z47</f>
        <v>1.0972373769890466E-2</v>
      </c>
      <c r="Y99" s="230">
        <f>Y$96*'Methanol recycling rates'!AA47</f>
        <v>1.215509273576716E-2</v>
      </c>
      <c r="Z99" s="230">
        <f>Z$96*'Methanol recycling rates'!AB47</f>
        <v>1.3397282944219454E-2</v>
      </c>
      <c r="AA99" s="230">
        <f>AA$96*'Methanol recycling rates'!AC47</f>
        <v>1.4698477120751284E-2</v>
      </c>
      <c r="AB99" s="230">
        <f>AB$96*'Methanol recycling rates'!AD47</f>
        <v>1.6058136979803225E-2</v>
      </c>
      <c r="AC99" s="230">
        <f>AC$96*'Methanol recycling rates'!AE47</f>
        <v>1.7475817647909991E-2</v>
      </c>
      <c r="AD99" s="230">
        <f>AD$96*'Methanol recycling rates'!AF47</f>
        <v>1.8950878555639473E-2</v>
      </c>
      <c r="AE99" s="230">
        <f>AE$96*'Methanol recycling rates'!AG47</f>
        <v>2.0482609192823343E-2</v>
      </c>
      <c r="AF99" s="230">
        <f>AF$96*'Methanol recycling rates'!AH47</f>
        <v>2.2070228420660885E-2</v>
      </c>
      <c r="AG99" s="230">
        <f>AG$96*'Methanol recycling rates'!AI47</f>
        <v>2.3712883835578076E-2</v>
      </c>
      <c r="AH99" s="245"/>
      <c r="AI99" s="133"/>
      <c r="AJ99" s="211"/>
      <c r="AL99" s="108"/>
      <c r="AM99" s="2"/>
      <c r="AN99" s="2"/>
      <c r="AO99" s="2"/>
      <c r="BC99" s="1"/>
      <c r="BD99" s="2"/>
      <c r="BE99" s="2"/>
      <c r="BF99" s="2"/>
      <c r="BG99" s="2"/>
      <c r="BH99" s="2"/>
      <c r="BI99" s="2"/>
      <c r="BJ99" s="2"/>
      <c r="BK99" s="2"/>
    </row>
    <row r="100" spans="1:63" s="1" customFormat="1" outlineLevel="1">
      <c r="A100" s="1" t="s">
        <v>1568</v>
      </c>
      <c r="B100" s="65"/>
      <c r="C100" s="300">
        <f>C96-$C96</f>
        <v>0</v>
      </c>
      <c r="D100" s="300">
        <f t="shared" ref="D100:AG100" si="50">D96-$C96</f>
        <v>2.4317159982020636E-3</v>
      </c>
      <c r="E100" s="300">
        <f t="shared" si="50"/>
        <v>4.8445096600306728E-3</v>
      </c>
      <c r="F100" s="300">
        <f t="shared" si="50"/>
        <v>7.2218749144580055E-3</v>
      </c>
      <c r="G100" s="300">
        <f t="shared" si="50"/>
        <v>9.5470031673033293E-3</v>
      </c>
      <c r="H100" s="300">
        <f t="shared" si="50"/>
        <v>1.1802979867696864E-2</v>
      </c>
      <c r="I100" s="300">
        <f t="shared" si="50"/>
        <v>1.408830332921434E-2</v>
      </c>
      <c r="J100" s="300">
        <f t="shared" si="50"/>
        <v>1.6400489559184578E-2</v>
      </c>
      <c r="K100" s="300">
        <f t="shared" si="50"/>
        <v>1.8736934411134797E-2</v>
      </c>
      <c r="L100" s="300">
        <f t="shared" si="50"/>
        <v>2.1094917050883018E-2</v>
      </c>
      <c r="M100" s="300">
        <f t="shared" si="50"/>
        <v>2.3471603868460325E-2</v>
      </c>
      <c r="N100" s="300">
        <f t="shared" si="50"/>
        <v>2.7907363621896095E-2</v>
      </c>
      <c r="O100" s="300">
        <f t="shared" si="50"/>
        <v>3.2288521938150447E-2</v>
      </c>
      <c r="P100" s="300">
        <f t="shared" si="50"/>
        <v>3.6589860907450644E-2</v>
      </c>
      <c r="Q100" s="300">
        <f t="shared" si="50"/>
        <v>4.0786192112033465E-2</v>
      </c>
      <c r="R100" s="300">
        <f t="shared" si="50"/>
        <v>4.4852598797182092E-2</v>
      </c>
      <c r="S100" s="300">
        <f t="shared" si="50"/>
        <v>4.8923660750098394E-2</v>
      </c>
      <c r="T100" s="300">
        <f t="shared" si="50"/>
        <v>5.2997172296366885E-2</v>
      </c>
      <c r="U100" s="300">
        <f t="shared" si="50"/>
        <v>5.7070894616397416E-2</v>
      </c>
      <c r="V100" s="300">
        <f t="shared" si="50"/>
        <v>6.1142556908747051E-2</v>
      </c>
      <c r="W100" s="300">
        <f t="shared" si="50"/>
        <v>6.5209857596312384E-2</v>
      </c>
      <c r="X100" s="300">
        <f t="shared" si="50"/>
        <v>7.1590781586671245E-2</v>
      </c>
      <c r="Y100" s="300">
        <f t="shared" si="50"/>
        <v>7.7970089026894479E-2</v>
      </c>
      <c r="Z100" s="300">
        <f t="shared" si="50"/>
        <v>8.4344320547264026E-2</v>
      </c>
      <c r="AA100" s="300">
        <f t="shared" si="50"/>
        <v>9.0709971926777502E-2</v>
      </c>
      <c r="AB100" s="300">
        <f t="shared" si="50"/>
        <v>9.7063495823738202E-2</v>
      </c>
      <c r="AC100" s="300">
        <f t="shared" si="50"/>
        <v>0.10340265436107966</v>
      </c>
      <c r="AD100" s="300">
        <f t="shared" si="50"/>
        <v>0.10972400048385215</v>
      </c>
      <c r="AE100" s="300">
        <f t="shared" si="50"/>
        <v>0.11602404859564418</v>
      </c>
      <c r="AF100" s="300">
        <f t="shared" si="50"/>
        <v>0.12229927616135651</v>
      </c>
      <c r="AG100" s="300">
        <f t="shared" si="50"/>
        <v>0.12854612535614407</v>
      </c>
      <c r="AH100" s="245"/>
      <c r="AI100" s="423"/>
      <c r="AJ100" s="424"/>
      <c r="AL100" s="221"/>
      <c r="AM100" s="124"/>
      <c r="AN100" s="124"/>
      <c r="AO100" s="124"/>
      <c r="BD100" s="124"/>
      <c r="BE100" s="124"/>
      <c r="BF100" s="124"/>
      <c r="BG100" s="124"/>
      <c r="BH100" s="124"/>
      <c r="BI100" s="124"/>
      <c r="BJ100" s="124"/>
      <c r="BK100" s="124"/>
    </row>
    <row r="101" spans="1:63" outlineLevel="1">
      <c r="A101" s="4" t="s">
        <v>474</v>
      </c>
      <c r="C101" s="230">
        <f t="shared" ref="C101:AF101" si="51">C97-$C97</f>
        <v>0</v>
      </c>
      <c r="D101" s="230">
        <f t="shared" si="51"/>
        <v>1.948410238237476E-3</v>
      </c>
      <c r="E101" s="230">
        <f t="shared" si="51"/>
        <v>3.8222469425213956E-3</v>
      </c>
      <c r="F101" s="230">
        <f t="shared" si="51"/>
        <v>5.6062297786107773E-3</v>
      </c>
      <c r="G101" s="230">
        <f t="shared" si="51"/>
        <v>7.2855512711185663E-3</v>
      </c>
      <c r="H101" s="230">
        <f t="shared" si="51"/>
        <v>8.8460794797153436E-3</v>
      </c>
      <c r="I101" s="230">
        <f t="shared" si="51"/>
        <v>1.0381889589121493E-2</v>
      </c>
      <c r="J101" s="230">
        <f t="shared" si="51"/>
        <v>1.1889682806979766E-2</v>
      </c>
      <c r="K101" s="230">
        <f t="shared" si="51"/>
        <v>1.3366165859355371E-2</v>
      </c>
      <c r="L101" s="230">
        <f t="shared" si="51"/>
        <v>1.4808061025455767E-2</v>
      </c>
      <c r="M101" s="230">
        <f t="shared" si="51"/>
        <v>1.6212116326928094E-2</v>
      </c>
      <c r="N101" s="230">
        <f t="shared" si="51"/>
        <v>1.9359216803139741E-2</v>
      </c>
      <c r="O101" s="230">
        <f t="shared" si="51"/>
        <v>2.2356961146042915E-2</v>
      </c>
      <c r="P101" s="230">
        <f t="shared" si="51"/>
        <v>2.5185801262552932E-2</v>
      </c>
      <c r="Q101" s="230">
        <f t="shared" si="51"/>
        <v>2.7827377094466879E-2</v>
      </c>
      <c r="R101" s="230">
        <f t="shared" si="51"/>
        <v>3.026471519626768E-2</v>
      </c>
      <c r="S101" s="230">
        <f t="shared" si="51"/>
        <v>3.2612057715537685E-2</v>
      </c>
      <c r="T101" s="230">
        <f t="shared" si="51"/>
        <v>3.4867470345763152E-2</v>
      </c>
      <c r="U101" s="230">
        <f t="shared" si="51"/>
        <v>3.702909426367576E-2</v>
      </c>
      <c r="V101" s="230">
        <f t="shared" si="51"/>
        <v>3.9095148948907171E-2</v>
      </c>
      <c r="W101" s="230">
        <f t="shared" si="51"/>
        <v>4.1063934956129908E-2</v>
      </c>
      <c r="X101" s="230">
        <f t="shared" si="51"/>
        <v>4.469221158649675E-2</v>
      </c>
      <c r="Y101" s="230">
        <f t="shared" si="51"/>
        <v>4.8172105503142409E-2</v>
      </c>
      <c r="Z101" s="230">
        <f t="shared" si="51"/>
        <v>5.1501130856066668E-2</v>
      </c>
      <c r="AA101" s="230">
        <f t="shared" si="51"/>
        <v>5.4676928938993966E-2</v>
      </c>
      <c r="AB101" s="230">
        <f t="shared" si="51"/>
        <v>5.769727200725408E-2</v>
      </c>
      <c r="AC101" s="230">
        <f t="shared" si="51"/>
        <v>6.0561012782797533E-2</v>
      </c>
      <c r="AD101" s="230">
        <f t="shared" si="51"/>
        <v>6.3266274554710497E-2</v>
      </c>
      <c r="AE101" s="230">
        <f t="shared" si="51"/>
        <v>6.5811313529030024E-2</v>
      </c>
      <c r="AF101" s="230">
        <f t="shared" si="51"/>
        <v>6.8194522117882669E-2</v>
      </c>
      <c r="AG101" s="230">
        <f>AG97-$C97</f>
        <v>7.0414432147913888E-2</v>
      </c>
      <c r="AH101" s="245"/>
      <c r="AI101" s="133"/>
      <c r="AJ101" s="211"/>
      <c r="AL101" s="108"/>
      <c r="AM101" s="2"/>
      <c r="AN101" s="2"/>
      <c r="AO101" s="2"/>
      <c r="BC101" s="1"/>
      <c r="BD101" s="2"/>
      <c r="BE101" s="2"/>
      <c r="BF101" s="2"/>
      <c r="BG101" s="2"/>
      <c r="BH101" s="2"/>
      <c r="BI101" s="2"/>
      <c r="BJ101" s="2"/>
      <c r="BK101" s="2"/>
    </row>
    <row r="102" spans="1:63" outlineLevel="1">
      <c r="A102" s="4" t="s">
        <v>745</v>
      </c>
      <c r="C102" s="230">
        <f t="shared" ref="C102:AG102" si="52">C98-$C98</f>
        <v>0</v>
      </c>
      <c r="D102" s="230">
        <f t="shared" si="52"/>
        <v>2.8615730770716307E-4</v>
      </c>
      <c r="E102" s="230">
        <f t="shared" si="52"/>
        <v>6.052647645525608E-4</v>
      </c>
      <c r="F102" s="230">
        <f t="shared" si="52"/>
        <v>9.5659663215702485E-4</v>
      </c>
      <c r="G102" s="230">
        <f t="shared" si="52"/>
        <v>1.3389680813423507E-3</v>
      </c>
      <c r="H102" s="230">
        <f t="shared" si="52"/>
        <v>1.7507315746558769E-3</v>
      </c>
      <c r="I102" s="230">
        <f t="shared" si="52"/>
        <v>2.1945059731783832E-3</v>
      </c>
      <c r="J102" s="230">
        <f t="shared" si="52"/>
        <v>2.670773706261639E-3</v>
      </c>
      <c r="K102" s="230">
        <f t="shared" si="52"/>
        <v>3.1799427948222803E-3</v>
      </c>
      <c r="L102" s="230">
        <f t="shared" si="52"/>
        <v>3.7223429621667109E-3</v>
      </c>
      <c r="M102" s="230">
        <f t="shared" si="52"/>
        <v>4.2982219172615762E-3</v>
      </c>
      <c r="N102" s="230">
        <f t="shared" si="52"/>
        <v>5.0612156571858257E-3</v>
      </c>
      <c r="O102" s="230">
        <f t="shared" si="52"/>
        <v>5.8803120778195238E-3</v>
      </c>
      <c r="P102" s="230">
        <f t="shared" si="52"/>
        <v>6.7521541749366734E-3</v>
      </c>
      <c r="Q102" s="230">
        <f t="shared" si="52"/>
        <v>7.67269899033215E-3</v>
      </c>
      <c r="R102" s="230">
        <f t="shared" si="52"/>
        <v>8.637243422650296E-3</v>
      </c>
      <c r="S102" s="230">
        <f t="shared" si="52"/>
        <v>9.6578290502887555E-3</v>
      </c>
      <c r="T102" s="230">
        <f t="shared" si="52"/>
        <v>1.0734295200823151E-2</v>
      </c>
      <c r="U102" s="230">
        <f t="shared" si="52"/>
        <v>1.1866416884747061E-2</v>
      </c>
      <c r="V102" s="230">
        <f t="shared" si="52"/>
        <v>1.3053903814784905E-2</v>
      </c>
      <c r="W102" s="230">
        <f t="shared" si="52"/>
        <v>1.4296399478719872E-2</v>
      </c>
      <c r="X102" s="230">
        <f t="shared" si="52"/>
        <v>1.5926196230284063E-2</v>
      </c>
      <c r="Y102" s="230">
        <f t="shared" si="52"/>
        <v>1.7642890787984943E-2</v>
      </c>
      <c r="Z102" s="230">
        <f t="shared" si="52"/>
        <v>1.944590674697794E-2</v>
      </c>
      <c r="AA102" s="230">
        <f t="shared" si="52"/>
        <v>2.1334565867032293E-2</v>
      </c>
      <c r="AB102" s="230">
        <f t="shared" si="52"/>
        <v>2.3308086836680939E-2</v>
      </c>
      <c r="AC102" s="230">
        <f t="shared" si="52"/>
        <v>2.5365823930372192E-2</v>
      </c>
      <c r="AD102" s="230">
        <f t="shared" si="52"/>
        <v>2.7506847373502234E-2</v>
      </c>
      <c r="AE102" s="230">
        <f t="shared" si="52"/>
        <v>2.9730125873790869E-2</v>
      </c>
      <c r="AF102" s="230">
        <f t="shared" si="52"/>
        <v>3.2034525622813018E-2</v>
      </c>
      <c r="AG102" s="230">
        <f t="shared" si="52"/>
        <v>3.4418809372652057E-2</v>
      </c>
      <c r="AH102" s="245"/>
      <c r="AI102" s="133"/>
      <c r="AJ102" s="211"/>
      <c r="AL102" s="108"/>
      <c r="AM102" s="2"/>
      <c r="AN102" s="2"/>
      <c r="AO102" s="2"/>
      <c r="BC102" s="1"/>
      <c r="BD102" s="2"/>
      <c r="BE102" s="2"/>
      <c r="BF102" s="2"/>
      <c r="BG102" s="2"/>
      <c r="BH102" s="2"/>
      <c r="BI102" s="2"/>
      <c r="BJ102" s="2"/>
      <c r="BK102" s="2"/>
    </row>
    <row r="103" spans="1:63" outlineLevel="1">
      <c r="A103" s="4" t="s">
        <v>1561</v>
      </c>
      <c r="C103" s="230">
        <f t="shared" ref="C103:AG103" si="53">C99-$C99</f>
        <v>0</v>
      </c>
      <c r="D103" s="230">
        <f t="shared" si="53"/>
        <v>1.9714845225742565E-4</v>
      </c>
      <c r="E103" s="230">
        <f t="shared" si="53"/>
        <v>4.169979529567175E-4</v>
      </c>
      <c r="F103" s="230">
        <f t="shared" si="53"/>
        <v>6.5904850369020507E-4</v>
      </c>
      <c r="G103" s="230">
        <f t="shared" si="53"/>
        <v>9.2248381484241727E-4</v>
      </c>
      <c r="H103" s="230">
        <f t="shared" si="53"/>
        <v>1.2061688133256502E-3</v>
      </c>
      <c r="I103" s="230">
        <f t="shared" si="53"/>
        <v>1.5119077669144706E-3</v>
      </c>
      <c r="J103" s="230">
        <f t="shared" si="53"/>
        <v>1.8400330459431781E-3</v>
      </c>
      <c r="K103" s="230">
        <f t="shared" si="53"/>
        <v>2.1908257569571484E-3</v>
      </c>
      <c r="L103" s="230">
        <f t="shared" si="53"/>
        <v>2.5645130632605492E-3</v>
      </c>
      <c r="M103" s="230">
        <f t="shared" si="53"/>
        <v>2.9612656242706636E-3</v>
      </c>
      <c r="N103" s="230">
        <f t="shared" si="53"/>
        <v>3.486931161570536E-3</v>
      </c>
      <c r="O103" s="230">
        <f t="shared" si="53"/>
        <v>4.0512487142880223E-3</v>
      </c>
      <c r="P103" s="230">
        <f t="shared" si="53"/>
        <v>4.6519054699610549E-3</v>
      </c>
      <c r="Q103" s="230">
        <f t="shared" si="53"/>
        <v>5.2861160272344556E-3</v>
      </c>
      <c r="R103" s="230">
        <f t="shared" si="53"/>
        <v>5.9506401782641301E-3</v>
      </c>
      <c r="S103" s="230">
        <f t="shared" si="53"/>
        <v>6.6537739842719755E-3</v>
      </c>
      <c r="T103" s="230">
        <f t="shared" si="53"/>
        <v>7.3954067497805981E-3</v>
      </c>
      <c r="U103" s="230">
        <f t="shared" si="53"/>
        <v>8.1753834679746187E-3</v>
      </c>
      <c r="V103" s="230">
        <f t="shared" si="53"/>
        <v>8.9935041450549986E-3</v>
      </c>
      <c r="W103" s="230">
        <f t="shared" si="53"/>
        <v>9.8495231614626286E-3</v>
      </c>
      <c r="X103" s="230">
        <f t="shared" si="53"/>
        <v>1.0972373769890466E-2</v>
      </c>
      <c r="Y103" s="230">
        <f t="shared" si="53"/>
        <v>1.215509273576716E-2</v>
      </c>
      <c r="Z103" s="230">
        <f t="shared" si="53"/>
        <v>1.3397282944219454E-2</v>
      </c>
      <c r="AA103" s="230">
        <f t="shared" si="53"/>
        <v>1.4698477120751284E-2</v>
      </c>
      <c r="AB103" s="230">
        <f t="shared" si="53"/>
        <v>1.6058136979803225E-2</v>
      </c>
      <c r="AC103" s="230">
        <f t="shared" si="53"/>
        <v>1.7475817647909991E-2</v>
      </c>
      <c r="AD103" s="230">
        <f t="shared" si="53"/>
        <v>1.8950878555639473E-2</v>
      </c>
      <c r="AE103" s="230">
        <f t="shared" si="53"/>
        <v>2.0482609192823343E-2</v>
      </c>
      <c r="AF103" s="230">
        <f t="shared" si="53"/>
        <v>2.2070228420660885E-2</v>
      </c>
      <c r="AG103" s="230">
        <f t="shared" si="53"/>
        <v>2.3712883835578076E-2</v>
      </c>
      <c r="AH103" s="245"/>
      <c r="AI103" s="133"/>
      <c r="AJ103" s="211"/>
      <c r="AL103" s="108"/>
      <c r="AM103" s="2"/>
      <c r="AN103" s="2"/>
      <c r="AO103" s="2"/>
      <c r="BC103" s="1"/>
      <c r="BD103" s="2"/>
      <c r="BE103" s="2"/>
      <c r="BF103" s="2"/>
      <c r="BG103" s="2"/>
      <c r="BH103" s="2"/>
      <c r="BI103" s="2"/>
      <c r="BJ103" s="2"/>
      <c r="BK103" s="2"/>
    </row>
    <row r="104" spans="1:63" s="1" customFormat="1" outlineLevel="1">
      <c r="A104" s="1" t="s">
        <v>1569</v>
      </c>
      <c r="B104" s="65"/>
      <c r="C104" s="300">
        <f>C42*C70</f>
        <v>0.18277008388849009</v>
      </c>
      <c r="D104" s="300">
        <f t="shared" ref="D104:AG104" si="54">D42*D70</f>
        <v>0.19468696439669117</v>
      </c>
      <c r="E104" s="300">
        <f t="shared" si="54"/>
        <v>0.20659204635071993</v>
      </c>
      <c r="F104" s="300">
        <f t="shared" si="54"/>
        <v>0.21840723918446481</v>
      </c>
      <c r="G104" s="300">
        <f t="shared" si="54"/>
        <v>0.23005199544906402</v>
      </c>
      <c r="H104" s="300">
        <f t="shared" si="54"/>
        <v>0.24144421256580675</v>
      </c>
      <c r="I104" s="300">
        <f t="shared" si="54"/>
        <v>0.25304594947490677</v>
      </c>
      <c r="J104" s="300">
        <f t="shared" si="54"/>
        <v>0.26484681556931955</v>
      </c>
      <c r="K104" s="300">
        <f t="shared" si="54"/>
        <v>0.27683569275298969</v>
      </c>
      <c r="L104" s="300">
        <f t="shared" si="54"/>
        <v>0.28900074254045671</v>
      </c>
      <c r="M104" s="300">
        <f t="shared" si="54"/>
        <v>0.30132941561734111</v>
      </c>
      <c r="N104" s="300">
        <f t="shared" si="54"/>
        <v>0.32362181332042467</v>
      </c>
      <c r="O104" s="300">
        <f t="shared" si="54"/>
        <v>0.34579049076510582</v>
      </c>
      <c r="P104" s="300">
        <f t="shared" si="54"/>
        <v>0.36771096894722749</v>
      </c>
      <c r="Q104" s="300">
        <f t="shared" si="54"/>
        <v>0.38925732721446038</v>
      </c>
      <c r="R104" s="300">
        <f t="shared" si="54"/>
        <v>0.41030338386857268</v>
      </c>
      <c r="S104" s="300">
        <f t="shared" si="54"/>
        <v>0.43149992920551339</v>
      </c>
      <c r="T104" s="300">
        <f t="shared" si="54"/>
        <v>0.45283638159257295</v>
      </c>
      <c r="U104" s="300">
        <f t="shared" si="54"/>
        <v>0.47430185796345709</v>
      </c>
      <c r="V104" s="300">
        <f t="shared" si="54"/>
        <v>0.49588517694801532</v>
      </c>
      <c r="W104" s="300">
        <f t="shared" si="54"/>
        <v>0.51757486232357641</v>
      </c>
      <c r="X104" s="300">
        <f t="shared" si="54"/>
        <v>0.55086737937285635</v>
      </c>
      <c r="Y104" s="300">
        <f t="shared" si="54"/>
        <v>0.58435234005521697</v>
      </c>
      <c r="Z104" s="300">
        <f t="shared" si="54"/>
        <v>0.61801240181458195</v>
      </c>
      <c r="AA104" s="300">
        <f t="shared" si="54"/>
        <v>0.6518297801442734</v>
      </c>
      <c r="AB104" s="300">
        <f t="shared" si="54"/>
        <v>0.68578625375605529</v>
      </c>
      <c r="AC104" s="300">
        <f t="shared" si="54"/>
        <v>0.71986997594904878</v>
      </c>
      <c r="AD104" s="300">
        <f t="shared" si="54"/>
        <v>0.7540628481758852</v>
      </c>
      <c r="AE104" s="300">
        <f t="shared" si="54"/>
        <v>0.78834635988317003</v>
      </c>
      <c r="AF104" s="300">
        <f t="shared" si="54"/>
        <v>0.82270159363490447</v>
      </c>
      <c r="AG104" s="300">
        <f t="shared" si="54"/>
        <v>0.85710923062249167</v>
      </c>
      <c r="AH104" s="245"/>
      <c r="AI104" s="423"/>
      <c r="AJ104" s="424"/>
      <c r="AL104" s="221"/>
      <c r="AM104" s="124"/>
      <c r="AN104" s="124"/>
      <c r="AO104" s="124"/>
      <c r="BD104" s="124"/>
      <c r="BE104" s="124"/>
      <c r="BF104" s="124"/>
      <c r="BG104" s="124"/>
      <c r="BH104" s="124"/>
      <c r="BI104" s="124"/>
      <c r="BJ104" s="124"/>
      <c r="BK104" s="124"/>
    </row>
    <row r="105" spans="1:63" outlineLevel="1">
      <c r="A105" s="4" t="s">
        <v>474</v>
      </c>
      <c r="C105" s="230">
        <f>C$104*'Methanol recycling rates'!E42</f>
        <v>0.18277008388849009</v>
      </c>
      <c r="D105" s="230">
        <f>D$104*'Methanol recycling rates'!F42</f>
        <v>0.18819739891680146</v>
      </c>
      <c r="E105" s="230">
        <f>E$104*'Methanol recycling rates'!G42</f>
        <v>0.19281924326067193</v>
      </c>
      <c r="F105" s="230">
        <f>F$104*'Methanol recycling rates'!H42</f>
        <v>0.19656651526601834</v>
      </c>
      <c r="G105" s="230">
        <f>G$104*'Methanol recycling rates'!I42</f>
        <v>0.1993783960558555</v>
      </c>
      <c r="H105" s="230">
        <f>H$104*'Methanol recycling rates'!J42</f>
        <v>0.20120351047150564</v>
      </c>
      <c r="I105" s="230">
        <f>I$104*'Methanol recycling rates'!K42</f>
        <v>0.20243675957992543</v>
      </c>
      <c r="J105" s="230">
        <f>J$104*'Methanol recycling rates'!L42</f>
        <v>0.20304922526981167</v>
      </c>
      <c r="K105" s="230">
        <f>K$104*'Methanol recycling rates'!M42</f>
        <v>0.20301284135219247</v>
      </c>
      <c r="L105" s="230">
        <f>L$104*'Methanol recycling rates'!N42</f>
        <v>0.20230051977831973</v>
      </c>
      <c r="M105" s="230">
        <f>M$104*'Methanol recycling rates'!O42</f>
        <v>0.20088627707822743</v>
      </c>
      <c r="N105" s="230">
        <f>N$104*'Methanol recycling rates'!P42</f>
        <v>0.20496048176960233</v>
      </c>
      <c r="O105" s="230">
        <f>O$104*'Methanol recycling rates'!Q42</f>
        <v>0.20747429445906351</v>
      </c>
      <c r="P105" s="230">
        <f>P$104*'Methanol recycling rates'!R42</f>
        <v>0.20836954907009561</v>
      </c>
      <c r="Q105" s="230">
        <f>Q$104*'Methanol recycling rates'!S42</f>
        <v>0.20760390784771224</v>
      </c>
      <c r="R105" s="230">
        <f>R$104*'Methanol recycling rates'!T42</f>
        <v>0.2051516919342864</v>
      </c>
      <c r="S105" s="230">
        <f>S$104*'Methanol recycling rates'!U42</f>
        <v>0.20136663362923962</v>
      </c>
      <c r="T105" s="230">
        <f>T$104*'Methanol recycling rates'!V42</f>
        <v>0.19622909869011501</v>
      </c>
      <c r="U105" s="230">
        <f>U$104*'Methanol recycling rates'!W42</f>
        <v>0.1897207431853829</v>
      </c>
      <c r="V105" s="230">
        <f>V$104*'Methanol recycling rates'!X42</f>
        <v>0.18182456488093901</v>
      </c>
      <c r="W105" s="230">
        <f>W$104*'Methanol recycling rates'!Y42</f>
        <v>0.17252495410785887</v>
      </c>
      <c r="X105" s="230">
        <f>X$104*'Methanol recycling rates'!Z42</f>
        <v>0.16526021381185699</v>
      </c>
      <c r="Y105" s="230">
        <f>Y$104*'Methanol recycling rates'!AA42</f>
        <v>0.15582729068139128</v>
      </c>
      <c r="Z105" s="230">
        <f>Z$104*'Methanol recycling rates'!AB42</f>
        <v>0.14420289375673589</v>
      </c>
      <c r="AA105" s="230">
        <f>AA$104*'Methanol recycling rates'!AC42</f>
        <v>0.13036595602885478</v>
      </c>
      <c r="AB105" s="230">
        <f>AB$104*'Methanol recycling rates'!AD42</f>
        <v>0.11429770895934267</v>
      </c>
      <c r="AC105" s="230">
        <f>AC$104*'Methanol recycling rates'!AE42</f>
        <v>9.5982663459873316E-2</v>
      </c>
      <c r="AD105" s="230">
        <f>AD$104*'Methanol recycling rates'!AF42</f>
        <v>7.5406284817588667E-2</v>
      </c>
      <c r="AE105" s="230">
        <f>AE$104*'Methanol recycling rates'!AG42</f>
        <v>5.2556423992211498E-2</v>
      </c>
      <c r="AF105" s="230">
        <f>AF$104*'Methanol recycling rates'!AH42</f>
        <v>2.7423386454496986E-2</v>
      </c>
      <c r="AG105" s="230">
        <f>AG$104*'Methanol recycling rates'!AI42</f>
        <v>0</v>
      </c>
      <c r="AH105" s="245"/>
      <c r="AI105" s="133"/>
      <c r="AJ105" s="211"/>
      <c r="AL105" s="108"/>
      <c r="AM105" s="2"/>
      <c r="AN105" s="2"/>
      <c r="AO105" s="2"/>
      <c r="BC105" s="1"/>
      <c r="BD105" s="2"/>
      <c r="BE105" s="2"/>
      <c r="BF105" s="2"/>
      <c r="BG105" s="2"/>
      <c r="BH105" s="2"/>
      <c r="BI105" s="2"/>
      <c r="BJ105" s="2"/>
      <c r="BK105" s="2"/>
    </row>
    <row r="106" spans="1:63" outlineLevel="1">
      <c r="A106" s="4" t="s">
        <v>745</v>
      </c>
      <c r="C106" s="230">
        <f>C$104*'Methanol recycling rates'!E43</f>
        <v>0</v>
      </c>
      <c r="D106" s="230">
        <f>D$104*'Methanol recycling rates'!F43</f>
        <v>3.2447827399448527E-3</v>
      </c>
      <c r="E106" s="230">
        <f>E$104*'Methanol recycling rates'!G43</f>
        <v>6.8864015450239976E-3</v>
      </c>
      <c r="F106" s="230">
        <f>F$104*'Methanol recycling rates'!H43</f>
        <v>1.0920361959223241E-2</v>
      </c>
      <c r="G106" s="230">
        <f>G$104*'Methanol recycling rates'!I43</f>
        <v>1.5336799696604267E-2</v>
      </c>
      <c r="H106" s="230">
        <f>H$104*'Methanol recycling rates'!J43</f>
        <v>2.0120351047150563E-2</v>
      </c>
      <c r="I106" s="230">
        <f>I$104*'Methanol recycling rates'!K43</f>
        <v>2.5304594947490676E-2</v>
      </c>
      <c r="J106" s="230">
        <f>J$104*'Methanol recycling rates'!L43</f>
        <v>3.0898795149753945E-2</v>
      </c>
      <c r="K106" s="230">
        <f>K$104*'Methanol recycling rates'!M43</f>
        <v>3.6911425700398626E-2</v>
      </c>
      <c r="L106" s="230">
        <f>L$104*'Methanol recycling rates'!N43</f>
        <v>4.3350111381068507E-2</v>
      </c>
      <c r="M106" s="230">
        <f>M$104*'Methanol recycling rates'!O43</f>
        <v>5.022156926955685E-2</v>
      </c>
      <c r="N106" s="230">
        <f>N$104*'Methanol recycling rates'!P43</f>
        <v>5.9330665775411184E-2</v>
      </c>
      <c r="O106" s="230">
        <f>O$104*'Methanol recycling rates'!Q43</f>
        <v>6.9158098153021152E-2</v>
      </c>
      <c r="P106" s="230">
        <f>P$104*'Methanol recycling rates'!R43</f>
        <v>7.9670709938565953E-2</v>
      </c>
      <c r="Q106" s="230">
        <f>Q$104*'Methanol recycling rates'!S43</f>
        <v>9.0826709683374085E-2</v>
      </c>
      <c r="R106" s="230">
        <f>R$104*'Methanol recycling rates'!T43</f>
        <v>0.10257584596714316</v>
      </c>
      <c r="S106" s="230">
        <f>S$104*'Methanol recycling rates'!U43</f>
        <v>0.1150666477881369</v>
      </c>
      <c r="T106" s="230">
        <f>T$104*'Methanol recycling rates'!V43</f>
        <v>0.12830364145122899</v>
      </c>
      <c r="U106" s="230">
        <f>U$104*'Methanol recycling rates'!W43</f>
        <v>0.14229055738903712</v>
      </c>
      <c r="V106" s="230">
        <f>V$104*'Methanol recycling rates'!X43</f>
        <v>0.15703030603353818</v>
      </c>
      <c r="W106" s="230">
        <f>W$104*'Methanol recycling rates'!Y43</f>
        <v>0.17252495410785879</v>
      </c>
      <c r="X106" s="230">
        <f>X$104*'Methanol recycling rates'!Z43</f>
        <v>0.19280358278049972</v>
      </c>
      <c r="Y106" s="230">
        <f>Y$104*'Methanol recycling rates'!AA43</f>
        <v>0.21426252468691287</v>
      </c>
      <c r="Z106" s="230">
        <f>Z$104*'Methanol recycling rates'!AB43</f>
        <v>0.23690475402892305</v>
      </c>
      <c r="AA106" s="230">
        <f>AA$104*'Methanol recycling rates'!AC43</f>
        <v>0.26073191205770935</v>
      </c>
      <c r="AB106" s="230">
        <f>AB$104*'Methanol recycling rates'!AD43</f>
        <v>0.28574427239835637</v>
      </c>
      <c r="AC106" s="230">
        <f>AC$104*'Methanol recycling rates'!AE43</f>
        <v>0.31194365624458775</v>
      </c>
      <c r="AD106" s="230">
        <f>AD$104*'Methanol recycling rates'!AF43</f>
        <v>0.3393282816791483</v>
      </c>
      <c r="AE106" s="230">
        <f>AE$104*'Methanol recycling rates'!AG43</f>
        <v>0.36789496794547932</v>
      </c>
      <c r="AF106" s="230">
        <f>AF$104*'Methanol recycling rates'!AH43</f>
        <v>0.39763910359020377</v>
      </c>
      <c r="AG106" s="230">
        <f>AG$104*'Methanol recycling rates'!AI43</f>
        <v>0.42855461531124583</v>
      </c>
      <c r="AH106" s="245"/>
      <c r="AI106" s="133"/>
      <c r="AJ106" s="211"/>
      <c r="AL106" s="108"/>
      <c r="AM106" s="2"/>
      <c r="AN106" s="2"/>
      <c r="AO106" s="2"/>
      <c r="BC106" s="1"/>
      <c r="BD106" s="2"/>
      <c r="BE106" s="2"/>
      <c r="BF106" s="2"/>
      <c r="BG106" s="2"/>
      <c r="BH106" s="2"/>
      <c r="BI106" s="2"/>
      <c r="BJ106" s="2"/>
      <c r="BK106" s="2"/>
    </row>
    <row r="107" spans="1:63" outlineLevel="1">
      <c r="A107" s="4" t="s">
        <v>1561</v>
      </c>
      <c r="C107" s="230">
        <f>C$104*'Methanol recycling rates'!E44</f>
        <v>0</v>
      </c>
      <c r="D107" s="230">
        <f>D$104*'Methanol recycling rates'!F44</f>
        <v>3.2447827399448527E-3</v>
      </c>
      <c r="E107" s="230">
        <f>E$104*'Methanol recycling rates'!G44</f>
        <v>6.8864015450239976E-3</v>
      </c>
      <c r="F107" s="230">
        <f>F$104*'Methanol recycling rates'!H44</f>
        <v>1.0920361959223241E-2</v>
      </c>
      <c r="G107" s="230">
        <f>G$104*'Methanol recycling rates'!I44</f>
        <v>1.5336799696604267E-2</v>
      </c>
      <c r="H107" s="230">
        <f>H$104*'Methanol recycling rates'!J44</f>
        <v>2.0120351047150563E-2</v>
      </c>
      <c r="I107" s="230">
        <f>I$104*'Methanol recycling rates'!K44</f>
        <v>2.5304594947490676E-2</v>
      </c>
      <c r="J107" s="230">
        <f>J$104*'Methanol recycling rates'!L44</f>
        <v>3.0898795149753945E-2</v>
      </c>
      <c r="K107" s="230">
        <f>K$104*'Methanol recycling rates'!M44</f>
        <v>3.6911425700398626E-2</v>
      </c>
      <c r="L107" s="230">
        <f>L$104*'Methanol recycling rates'!N44</f>
        <v>4.3350111381068507E-2</v>
      </c>
      <c r="M107" s="230">
        <f>M$104*'Methanol recycling rates'!O44</f>
        <v>5.022156926955685E-2</v>
      </c>
      <c r="N107" s="230">
        <f>N$104*'Methanol recycling rates'!P44</f>
        <v>5.9330665775411184E-2</v>
      </c>
      <c r="O107" s="230">
        <f>O$104*'Methanol recycling rates'!Q44</f>
        <v>6.9158098153021152E-2</v>
      </c>
      <c r="P107" s="230">
        <f>P$104*'Methanol recycling rates'!R44</f>
        <v>7.9670709938565953E-2</v>
      </c>
      <c r="Q107" s="230">
        <f>Q$104*'Methanol recycling rates'!S44</f>
        <v>9.0826709683374085E-2</v>
      </c>
      <c r="R107" s="230">
        <f>R$104*'Methanol recycling rates'!T44</f>
        <v>0.10257584596714316</v>
      </c>
      <c r="S107" s="230">
        <f>S$104*'Methanol recycling rates'!U44</f>
        <v>0.1150666477881369</v>
      </c>
      <c r="T107" s="230">
        <f>T$104*'Methanol recycling rates'!V44</f>
        <v>0.12830364145122899</v>
      </c>
      <c r="U107" s="230">
        <f>U$104*'Methanol recycling rates'!W44</f>
        <v>0.14229055738903712</v>
      </c>
      <c r="V107" s="230">
        <f>V$104*'Methanol recycling rates'!X44</f>
        <v>0.15703030603353818</v>
      </c>
      <c r="W107" s="230">
        <f>W$104*'Methanol recycling rates'!Y44</f>
        <v>0.17252495410785879</v>
      </c>
      <c r="X107" s="230">
        <f>X$104*'Methanol recycling rates'!Z44</f>
        <v>0.19280358278049972</v>
      </c>
      <c r="Y107" s="230">
        <f>Y$104*'Methanol recycling rates'!AA44</f>
        <v>0.21426252468691287</v>
      </c>
      <c r="Z107" s="230">
        <f>Z$104*'Methanol recycling rates'!AB44</f>
        <v>0.23690475402892305</v>
      </c>
      <c r="AA107" s="230">
        <f>AA$104*'Methanol recycling rates'!AC44</f>
        <v>0.26073191205770935</v>
      </c>
      <c r="AB107" s="230">
        <f>AB$104*'Methanol recycling rates'!AD44</f>
        <v>0.28574427239835637</v>
      </c>
      <c r="AC107" s="230">
        <f>AC$104*'Methanol recycling rates'!AE44</f>
        <v>0.31194365624458775</v>
      </c>
      <c r="AD107" s="230">
        <f>AD$104*'Methanol recycling rates'!AF44</f>
        <v>0.3393282816791483</v>
      </c>
      <c r="AE107" s="230">
        <f>AE$104*'Methanol recycling rates'!AG44</f>
        <v>0.36789496794547932</v>
      </c>
      <c r="AF107" s="230">
        <f>AF$104*'Methanol recycling rates'!AH44</f>
        <v>0.39763910359020377</v>
      </c>
      <c r="AG107" s="230">
        <f>AG$104*'Methanol recycling rates'!AI44</f>
        <v>0.42855461531124583</v>
      </c>
      <c r="AH107" s="245"/>
      <c r="AI107" s="133"/>
      <c r="AJ107" s="211"/>
      <c r="AL107" s="108"/>
      <c r="AM107" s="2"/>
      <c r="AN107" s="2"/>
      <c r="AO107" s="2"/>
      <c r="BC107" s="1"/>
      <c r="BD107" s="2"/>
      <c r="BE107" s="2"/>
      <c r="BF107" s="2"/>
      <c r="BG107" s="2"/>
      <c r="BH107" s="2"/>
      <c r="BI107" s="2"/>
      <c r="BJ107" s="2"/>
      <c r="BK107" s="2"/>
    </row>
    <row r="108" spans="1:63" s="1" customFormat="1" outlineLevel="1">
      <c r="A108" s="1" t="s">
        <v>1570</v>
      </c>
      <c r="B108" s="65"/>
      <c r="C108" s="300">
        <f>C104-$C104</f>
        <v>0</v>
      </c>
      <c r="D108" s="300">
        <f t="shared" ref="D108:AG108" si="55">D104-$C104</f>
        <v>1.1916880508201083E-2</v>
      </c>
      <c r="E108" s="300">
        <f t="shared" si="55"/>
        <v>2.382196246222984E-2</v>
      </c>
      <c r="F108" s="300">
        <f t="shared" si="55"/>
        <v>3.5637155295974721E-2</v>
      </c>
      <c r="G108" s="300">
        <f t="shared" si="55"/>
        <v>4.728191156057393E-2</v>
      </c>
      <c r="H108" s="300">
        <f t="shared" si="55"/>
        <v>5.8674128677316667E-2</v>
      </c>
      <c r="I108" s="300">
        <f t="shared" si="55"/>
        <v>7.0275865586416686E-2</v>
      </c>
      <c r="J108" s="300">
        <f t="shared" si="55"/>
        <v>8.2076731680829462E-2</v>
      </c>
      <c r="K108" s="300">
        <f t="shared" si="55"/>
        <v>9.4065608864499606E-2</v>
      </c>
      <c r="L108" s="300">
        <f t="shared" si="55"/>
        <v>0.10623065865196663</v>
      </c>
      <c r="M108" s="300">
        <f t="shared" si="55"/>
        <v>0.11855933172885103</v>
      </c>
      <c r="N108" s="300">
        <f t="shared" si="55"/>
        <v>0.14085172943193458</v>
      </c>
      <c r="O108" s="300">
        <f t="shared" si="55"/>
        <v>0.16302040687661573</v>
      </c>
      <c r="P108" s="300">
        <f t="shared" si="55"/>
        <v>0.1849408850587374</v>
      </c>
      <c r="Q108" s="300">
        <f t="shared" si="55"/>
        <v>0.20648724332597029</v>
      </c>
      <c r="R108" s="300">
        <f t="shared" si="55"/>
        <v>0.22753329998008259</v>
      </c>
      <c r="S108" s="300">
        <f t="shared" si="55"/>
        <v>0.2487298453170233</v>
      </c>
      <c r="T108" s="300">
        <f t="shared" si="55"/>
        <v>0.27006629770408286</v>
      </c>
      <c r="U108" s="300">
        <f t="shared" si="55"/>
        <v>0.291531774074967</v>
      </c>
      <c r="V108" s="300">
        <f t="shared" si="55"/>
        <v>0.31311509305952523</v>
      </c>
      <c r="W108" s="300">
        <f t="shared" si="55"/>
        <v>0.33480477843508633</v>
      </c>
      <c r="X108" s="300">
        <f t="shared" si="55"/>
        <v>0.36809729548436626</v>
      </c>
      <c r="Y108" s="300">
        <f t="shared" si="55"/>
        <v>0.40158225616672688</v>
      </c>
      <c r="Z108" s="300">
        <f t="shared" si="55"/>
        <v>0.43524231792609186</v>
      </c>
      <c r="AA108" s="300">
        <f t="shared" si="55"/>
        <v>0.46905969625578331</v>
      </c>
      <c r="AB108" s="300">
        <f t="shared" si="55"/>
        <v>0.50301616986756525</v>
      </c>
      <c r="AC108" s="300">
        <f t="shared" si="55"/>
        <v>0.53709989206055875</v>
      </c>
      <c r="AD108" s="300">
        <f t="shared" si="55"/>
        <v>0.57129276428739506</v>
      </c>
      <c r="AE108" s="300">
        <f t="shared" si="55"/>
        <v>0.60557627599467989</v>
      </c>
      <c r="AF108" s="300">
        <f t="shared" si="55"/>
        <v>0.63993150974641444</v>
      </c>
      <c r="AG108" s="300">
        <f t="shared" si="55"/>
        <v>0.67433914673400164</v>
      </c>
      <c r="AH108" s="245"/>
      <c r="AI108" s="423"/>
      <c r="AJ108" s="424"/>
      <c r="AL108" s="221"/>
      <c r="AM108" s="124"/>
      <c r="AN108" s="124"/>
      <c r="AO108" s="124"/>
      <c r="BD108" s="124"/>
      <c r="BE108" s="124"/>
      <c r="BF108" s="124"/>
      <c r="BG108" s="124"/>
      <c r="BH108" s="124"/>
      <c r="BI108" s="124"/>
      <c r="BJ108" s="124"/>
      <c r="BK108" s="124"/>
    </row>
    <row r="109" spans="1:63" outlineLevel="1">
      <c r="A109" s="4" t="s">
        <v>474</v>
      </c>
      <c r="C109" s="230">
        <f t="shared" ref="C109:AF109" si="56">C105-$C105</f>
        <v>0</v>
      </c>
      <c r="D109" s="230">
        <f t="shared" si="56"/>
        <v>5.4273150283113691E-3</v>
      </c>
      <c r="E109" s="230">
        <f t="shared" si="56"/>
        <v>1.0049159372181843E-2</v>
      </c>
      <c r="F109" s="230">
        <f t="shared" si="56"/>
        <v>1.3796431377528257E-2</v>
      </c>
      <c r="G109" s="230">
        <f t="shared" si="56"/>
        <v>1.6608312167365413E-2</v>
      </c>
      <c r="H109" s="230">
        <f t="shared" si="56"/>
        <v>1.8433426583015555E-2</v>
      </c>
      <c r="I109" s="230">
        <f t="shared" si="56"/>
        <v>1.9666675691435348E-2</v>
      </c>
      <c r="J109" s="230">
        <f t="shared" si="56"/>
        <v>2.0279141381321586E-2</v>
      </c>
      <c r="K109" s="230">
        <f t="shared" si="56"/>
        <v>2.0242757463702382E-2</v>
      </c>
      <c r="L109" s="230">
        <f t="shared" si="56"/>
        <v>1.9530435889829639E-2</v>
      </c>
      <c r="M109" s="230">
        <f t="shared" si="56"/>
        <v>1.811619318973734E-2</v>
      </c>
      <c r="N109" s="230">
        <f t="shared" si="56"/>
        <v>2.2190397881112239E-2</v>
      </c>
      <c r="O109" s="230">
        <f t="shared" si="56"/>
        <v>2.4704210570573426E-2</v>
      </c>
      <c r="P109" s="230">
        <f t="shared" si="56"/>
        <v>2.5599465181605524E-2</v>
      </c>
      <c r="Q109" s="230">
        <f t="shared" si="56"/>
        <v>2.4833823959222151E-2</v>
      </c>
      <c r="R109" s="230">
        <f t="shared" si="56"/>
        <v>2.2381608045796308E-2</v>
      </c>
      <c r="S109" s="230">
        <f t="shared" si="56"/>
        <v>1.8596549740749535E-2</v>
      </c>
      <c r="T109" s="230">
        <f t="shared" si="56"/>
        <v>1.3459014801624924E-2</v>
      </c>
      <c r="U109" s="230">
        <f t="shared" si="56"/>
        <v>6.9506592968928138E-3</v>
      </c>
      <c r="V109" s="230">
        <f t="shared" si="56"/>
        <v>-9.4551900755107665E-4</v>
      </c>
      <c r="W109" s="230">
        <f t="shared" si="56"/>
        <v>-1.0245129780631218E-2</v>
      </c>
      <c r="X109" s="230">
        <f t="shared" si="56"/>
        <v>-1.7509870076633099E-2</v>
      </c>
      <c r="Y109" s="230">
        <f t="shared" si="56"/>
        <v>-2.6942793207098803E-2</v>
      </c>
      <c r="Z109" s="230">
        <f t="shared" si="56"/>
        <v>-3.8567190131754192E-2</v>
      </c>
      <c r="AA109" s="230">
        <f t="shared" si="56"/>
        <v>-5.2404127859635302E-2</v>
      </c>
      <c r="AB109" s="230">
        <f t="shared" si="56"/>
        <v>-6.8472374929147414E-2</v>
      </c>
      <c r="AC109" s="230">
        <f t="shared" si="56"/>
        <v>-8.6787420428616771E-2</v>
      </c>
      <c r="AD109" s="230">
        <f t="shared" si="56"/>
        <v>-0.10736379907090142</v>
      </c>
      <c r="AE109" s="230">
        <f t="shared" si="56"/>
        <v>-0.13021365989627859</v>
      </c>
      <c r="AF109" s="230">
        <f t="shared" si="56"/>
        <v>-0.1553466974339931</v>
      </c>
      <c r="AG109" s="230">
        <f>AG105-$C105</f>
        <v>-0.18277008388849009</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ref="C110:AG110" si="57">C106-$C106</f>
        <v>0</v>
      </c>
      <c r="D110" s="230">
        <f t="shared" si="57"/>
        <v>3.2447827399448527E-3</v>
      </c>
      <c r="E110" s="230">
        <f t="shared" si="57"/>
        <v>6.8864015450239976E-3</v>
      </c>
      <c r="F110" s="230">
        <f t="shared" si="57"/>
        <v>1.0920361959223241E-2</v>
      </c>
      <c r="G110" s="230">
        <f t="shared" si="57"/>
        <v>1.5336799696604267E-2</v>
      </c>
      <c r="H110" s="230">
        <f t="shared" si="57"/>
        <v>2.0120351047150563E-2</v>
      </c>
      <c r="I110" s="230">
        <f t="shared" si="57"/>
        <v>2.5304594947490676E-2</v>
      </c>
      <c r="J110" s="230">
        <f t="shared" si="57"/>
        <v>3.0898795149753945E-2</v>
      </c>
      <c r="K110" s="230">
        <f t="shared" si="57"/>
        <v>3.6911425700398626E-2</v>
      </c>
      <c r="L110" s="230">
        <f t="shared" si="57"/>
        <v>4.3350111381068507E-2</v>
      </c>
      <c r="M110" s="230">
        <f t="shared" si="57"/>
        <v>5.022156926955685E-2</v>
      </c>
      <c r="N110" s="230">
        <f t="shared" si="57"/>
        <v>5.9330665775411184E-2</v>
      </c>
      <c r="O110" s="230">
        <f t="shared" si="57"/>
        <v>6.9158098153021152E-2</v>
      </c>
      <c r="P110" s="230">
        <f t="shared" si="57"/>
        <v>7.9670709938565953E-2</v>
      </c>
      <c r="Q110" s="230">
        <f t="shared" si="57"/>
        <v>9.0826709683374085E-2</v>
      </c>
      <c r="R110" s="230">
        <f t="shared" si="57"/>
        <v>0.10257584596714316</v>
      </c>
      <c r="S110" s="230">
        <f t="shared" si="57"/>
        <v>0.1150666477881369</v>
      </c>
      <c r="T110" s="230">
        <f t="shared" si="57"/>
        <v>0.12830364145122899</v>
      </c>
      <c r="U110" s="230">
        <f t="shared" si="57"/>
        <v>0.14229055738903712</v>
      </c>
      <c r="V110" s="230">
        <f t="shared" si="57"/>
        <v>0.15703030603353818</v>
      </c>
      <c r="W110" s="230">
        <f t="shared" si="57"/>
        <v>0.17252495410785879</v>
      </c>
      <c r="X110" s="230">
        <f t="shared" si="57"/>
        <v>0.19280358278049972</v>
      </c>
      <c r="Y110" s="230">
        <f t="shared" si="57"/>
        <v>0.21426252468691287</v>
      </c>
      <c r="Z110" s="230">
        <f t="shared" si="57"/>
        <v>0.23690475402892305</v>
      </c>
      <c r="AA110" s="230">
        <f t="shared" si="57"/>
        <v>0.26073191205770935</v>
      </c>
      <c r="AB110" s="230">
        <f t="shared" si="57"/>
        <v>0.28574427239835637</v>
      </c>
      <c r="AC110" s="230">
        <f t="shared" si="57"/>
        <v>0.31194365624458775</v>
      </c>
      <c r="AD110" s="230">
        <f t="shared" si="57"/>
        <v>0.3393282816791483</v>
      </c>
      <c r="AE110" s="230">
        <f t="shared" si="57"/>
        <v>0.36789496794547932</v>
      </c>
      <c r="AF110" s="230">
        <f t="shared" si="57"/>
        <v>0.39763910359020377</v>
      </c>
      <c r="AG110" s="230">
        <f t="shared" si="57"/>
        <v>0.42855461531124583</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ref="C111:AG111" si="58">C107-$C107</f>
        <v>0</v>
      </c>
      <c r="D111" s="230">
        <f t="shared" si="58"/>
        <v>3.2447827399448527E-3</v>
      </c>
      <c r="E111" s="230">
        <f t="shared" si="58"/>
        <v>6.8864015450239976E-3</v>
      </c>
      <c r="F111" s="230">
        <f t="shared" si="58"/>
        <v>1.0920361959223241E-2</v>
      </c>
      <c r="G111" s="230">
        <f t="shared" si="58"/>
        <v>1.5336799696604267E-2</v>
      </c>
      <c r="H111" s="230">
        <f t="shared" si="58"/>
        <v>2.0120351047150563E-2</v>
      </c>
      <c r="I111" s="230">
        <f t="shared" si="58"/>
        <v>2.5304594947490676E-2</v>
      </c>
      <c r="J111" s="230">
        <f t="shared" si="58"/>
        <v>3.0898795149753945E-2</v>
      </c>
      <c r="K111" s="230">
        <f t="shared" si="58"/>
        <v>3.6911425700398626E-2</v>
      </c>
      <c r="L111" s="230">
        <f t="shared" si="58"/>
        <v>4.3350111381068507E-2</v>
      </c>
      <c r="M111" s="230">
        <f t="shared" si="58"/>
        <v>5.022156926955685E-2</v>
      </c>
      <c r="N111" s="230">
        <f t="shared" si="58"/>
        <v>5.9330665775411184E-2</v>
      </c>
      <c r="O111" s="230">
        <f t="shared" si="58"/>
        <v>6.9158098153021152E-2</v>
      </c>
      <c r="P111" s="230">
        <f t="shared" si="58"/>
        <v>7.9670709938565953E-2</v>
      </c>
      <c r="Q111" s="230">
        <f t="shared" si="58"/>
        <v>9.0826709683374085E-2</v>
      </c>
      <c r="R111" s="230">
        <f t="shared" si="58"/>
        <v>0.10257584596714316</v>
      </c>
      <c r="S111" s="230">
        <f t="shared" si="58"/>
        <v>0.1150666477881369</v>
      </c>
      <c r="T111" s="230">
        <f t="shared" si="58"/>
        <v>0.12830364145122899</v>
      </c>
      <c r="U111" s="230">
        <f t="shared" si="58"/>
        <v>0.14229055738903712</v>
      </c>
      <c r="V111" s="230">
        <f t="shared" si="58"/>
        <v>0.15703030603353818</v>
      </c>
      <c r="W111" s="230">
        <f t="shared" si="58"/>
        <v>0.17252495410785879</v>
      </c>
      <c r="X111" s="230">
        <f t="shared" si="58"/>
        <v>0.19280358278049972</v>
      </c>
      <c r="Y111" s="230">
        <f t="shared" si="58"/>
        <v>0.21426252468691287</v>
      </c>
      <c r="Z111" s="230">
        <f t="shared" si="58"/>
        <v>0.23690475402892305</v>
      </c>
      <c r="AA111" s="230">
        <f t="shared" si="58"/>
        <v>0.26073191205770935</v>
      </c>
      <c r="AB111" s="230">
        <f t="shared" si="58"/>
        <v>0.28574427239835637</v>
      </c>
      <c r="AC111" s="230">
        <f t="shared" si="58"/>
        <v>0.31194365624458775</v>
      </c>
      <c r="AD111" s="230">
        <f t="shared" si="58"/>
        <v>0.3393282816791483</v>
      </c>
      <c r="AE111" s="230">
        <f t="shared" si="58"/>
        <v>0.36789496794547932</v>
      </c>
      <c r="AF111" s="230">
        <f t="shared" si="58"/>
        <v>0.39763910359020377</v>
      </c>
      <c r="AG111" s="230">
        <f t="shared" si="58"/>
        <v>0.42855461531124583</v>
      </c>
      <c r="AH111" s="245"/>
      <c r="AI111" s="133"/>
      <c r="AJ111" s="211"/>
      <c r="AL111" s="108"/>
      <c r="AM111" s="2"/>
      <c r="AN111" s="2"/>
      <c r="AO111" s="2"/>
      <c r="BC111" s="1"/>
      <c r="BD111" s="2"/>
      <c r="BE111" s="2"/>
      <c r="BF111" s="2"/>
      <c r="BG111" s="2"/>
      <c r="BH111" s="2"/>
      <c r="BI111" s="2"/>
      <c r="BJ111" s="2"/>
      <c r="BK111" s="2"/>
    </row>
    <row r="112" spans="1:63" outlineLevel="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I112" s="134"/>
      <c r="AJ112" s="211"/>
      <c r="AL112" s="108"/>
      <c r="AM112" s="132"/>
      <c r="AN112" s="2"/>
      <c r="AO112" s="2"/>
    </row>
    <row r="113" spans="1:62" s="200" customFormat="1" ht="16" thickBot="1">
      <c r="A113" s="200" t="s">
        <v>1330</v>
      </c>
      <c r="B113" s="215"/>
      <c r="C113" s="222">
        <f>C114</f>
        <v>2.5000000000000001E-2</v>
      </c>
      <c r="D113" s="222">
        <f t="shared" ref="D113:AG113" si="59">D114</f>
        <v>3.1255416735465176E-2</v>
      </c>
      <c r="E113" s="222">
        <f t="shared" si="59"/>
        <v>3.7510833470930344E-2</v>
      </c>
      <c r="F113" s="222">
        <f t="shared" si="59"/>
        <v>4.3766250206395518E-2</v>
      </c>
      <c r="G113" s="222">
        <f t="shared" si="59"/>
        <v>5.0021666941860693E-2</v>
      </c>
      <c r="H113" s="222">
        <f t="shared" si="59"/>
        <v>5.6277083677325861E-2</v>
      </c>
      <c r="I113" s="222">
        <f t="shared" si="59"/>
        <v>6.2532500412791042E-2</v>
      </c>
      <c r="J113" s="222">
        <f t="shared" si="59"/>
        <v>6.8787917148256203E-2</v>
      </c>
      <c r="K113" s="222">
        <f t="shared" si="59"/>
        <v>7.5043333883721378E-2</v>
      </c>
      <c r="L113" s="222">
        <f t="shared" si="59"/>
        <v>8.1298750619186552E-2</v>
      </c>
      <c r="M113" s="222">
        <f t="shared" si="59"/>
        <v>8.7554167354651713E-2</v>
      </c>
      <c r="N113" s="222">
        <f t="shared" si="59"/>
        <v>0.10073866108940137</v>
      </c>
      <c r="O113" s="222">
        <f t="shared" si="59"/>
        <v>0.11392315482415102</v>
      </c>
      <c r="P113" s="222">
        <f t="shared" si="59"/>
        <v>0.12710764855890069</v>
      </c>
      <c r="Q113" s="222">
        <f t="shared" si="59"/>
        <v>0.14029214229365033</v>
      </c>
      <c r="R113" s="222">
        <f t="shared" si="59"/>
        <v>0.1534766360284</v>
      </c>
      <c r="S113" s="222">
        <f t="shared" si="59"/>
        <v>0.16666112976314967</v>
      </c>
      <c r="T113" s="222">
        <f t="shared" si="59"/>
        <v>0.17984562349789934</v>
      </c>
      <c r="U113" s="222">
        <f t="shared" si="59"/>
        <v>0.19303011723264898</v>
      </c>
      <c r="V113" s="222">
        <f t="shared" si="59"/>
        <v>0.20621461096739863</v>
      </c>
      <c r="W113" s="222">
        <f t="shared" si="59"/>
        <v>0.2193991047021483</v>
      </c>
      <c r="X113" s="222">
        <f t="shared" si="59"/>
        <v>0.24145919423193346</v>
      </c>
      <c r="Y113" s="222">
        <f t="shared" si="59"/>
        <v>0.26351928376171863</v>
      </c>
      <c r="Z113" s="222">
        <f t="shared" si="59"/>
        <v>0.28557937329150385</v>
      </c>
      <c r="AA113" s="222">
        <f t="shared" si="59"/>
        <v>0.30763946282128896</v>
      </c>
      <c r="AB113" s="222">
        <f t="shared" si="59"/>
        <v>0.32969955235107418</v>
      </c>
      <c r="AC113" s="222">
        <f t="shared" si="59"/>
        <v>0.35175964188085934</v>
      </c>
      <c r="AD113" s="222">
        <f t="shared" si="59"/>
        <v>0.37381973141064451</v>
      </c>
      <c r="AE113" s="222">
        <f t="shared" si="59"/>
        <v>0.39587982094042967</v>
      </c>
      <c r="AF113" s="222">
        <f t="shared" si="59"/>
        <v>0.41793991047021484</v>
      </c>
      <c r="AG113" s="222">
        <f t="shared" si="59"/>
        <v>0.44</v>
      </c>
      <c r="AJ113" s="231" t="s">
        <v>1331</v>
      </c>
      <c r="AL113" s="217"/>
      <c r="AM113" s="218"/>
      <c r="AN113" s="218"/>
      <c r="AO113" s="218"/>
    </row>
    <row r="114" spans="1:62" ht="16" outlineLevel="1" thickTop="1">
      <c r="A114" t="s">
        <v>1332</v>
      </c>
      <c r="B114" s="54" t="s">
        <v>462</v>
      </c>
      <c r="C114" s="214">
        <v>2.5000000000000001E-2</v>
      </c>
      <c r="D114" s="110">
        <f>$C114+($M114-$C114)/10*(D$1-$C$1)</f>
        <v>3.1255416735465176E-2</v>
      </c>
      <c r="E114" s="110">
        <f t="shared" ref="E114:L114" si="60">$C114+($M114-$C114)/10*(E$1-$C$1)</f>
        <v>3.7510833470930344E-2</v>
      </c>
      <c r="F114" s="110">
        <f t="shared" si="60"/>
        <v>4.3766250206395518E-2</v>
      </c>
      <c r="G114" s="110">
        <f t="shared" si="60"/>
        <v>5.0021666941860693E-2</v>
      </c>
      <c r="H114" s="110">
        <f t="shared" si="60"/>
        <v>5.6277083677325861E-2</v>
      </c>
      <c r="I114" s="110">
        <f t="shared" si="60"/>
        <v>6.2532500412791042E-2</v>
      </c>
      <c r="J114" s="110">
        <f t="shared" si="60"/>
        <v>6.8787917148256203E-2</v>
      </c>
      <c r="K114" s="110">
        <f t="shared" si="60"/>
        <v>7.5043333883721378E-2</v>
      </c>
      <c r="L114" s="110">
        <f t="shared" si="60"/>
        <v>8.1298750619186552E-2</v>
      </c>
      <c r="M114" s="121">
        <f>(M$52-$C$52)/($AG$52-$C$52)*($AG114-$C114)+$C114</f>
        <v>8.7554167354651713E-2</v>
      </c>
      <c r="N114" s="121">
        <f>$M114+($W114-$M114)/10*(N$1-$M$1)</f>
        <v>0.10073866108940137</v>
      </c>
      <c r="O114" s="121">
        <f t="shared" ref="O114:U114" si="61">$M114+($W114-$M114)/10*(O$1-$M$1)</f>
        <v>0.11392315482415102</v>
      </c>
      <c r="P114" s="121">
        <f t="shared" si="61"/>
        <v>0.12710764855890069</v>
      </c>
      <c r="Q114" s="121">
        <f t="shared" si="61"/>
        <v>0.14029214229365033</v>
      </c>
      <c r="R114" s="121">
        <f t="shared" si="61"/>
        <v>0.1534766360284</v>
      </c>
      <c r="S114" s="121">
        <f t="shared" si="61"/>
        <v>0.16666112976314967</v>
      </c>
      <c r="T114" s="121">
        <f t="shared" si="61"/>
        <v>0.17984562349789934</v>
      </c>
      <c r="U114" s="121">
        <f t="shared" si="61"/>
        <v>0.19303011723264898</v>
      </c>
      <c r="V114" s="121">
        <f>$M114+($W114-$M114)/10*(V$1-$M$1)</f>
        <v>0.20621461096739863</v>
      </c>
      <c r="W114" s="121">
        <f>(W$52-$C$52)/($AG$52-$C$52)*($AG114-$C114)+$C114</f>
        <v>0.2193991047021483</v>
      </c>
      <c r="X114" s="110">
        <f>$W114+($AG114-$W114)/10*(X$1-$W$1)</f>
        <v>0.24145919423193346</v>
      </c>
      <c r="Y114" s="110">
        <f t="shared" ref="Y114:AF114" si="62">$W114+($AG114-$W114)/10*(Y$1-$W$1)</f>
        <v>0.26351928376171863</v>
      </c>
      <c r="Z114" s="110">
        <f t="shared" si="62"/>
        <v>0.28557937329150385</v>
      </c>
      <c r="AA114" s="110">
        <f t="shared" si="62"/>
        <v>0.30763946282128896</v>
      </c>
      <c r="AB114" s="110">
        <f t="shared" si="62"/>
        <v>0.32969955235107418</v>
      </c>
      <c r="AC114" s="110">
        <f t="shared" si="62"/>
        <v>0.35175964188085934</v>
      </c>
      <c r="AD114" s="110">
        <f t="shared" si="62"/>
        <v>0.37381973141064451</v>
      </c>
      <c r="AE114" s="110">
        <f t="shared" si="62"/>
        <v>0.39587982094042967</v>
      </c>
      <c r="AF114" s="110">
        <f t="shared" si="62"/>
        <v>0.41793991047021484</v>
      </c>
      <c r="AG114" s="214">
        <v>0.44</v>
      </c>
      <c r="AJ114" s="211" t="s">
        <v>1436</v>
      </c>
    </row>
    <row r="115" spans="1:62" outlineLevel="1">
      <c r="A115" t="s">
        <v>1437</v>
      </c>
      <c r="B115" s="54" t="s">
        <v>462</v>
      </c>
      <c r="C115" s="214">
        <v>0.08</v>
      </c>
      <c r="D115" s="110">
        <f t="shared" ref="D115:AF115" si="63">C115-($C$115-$AG$115)/($AG$1-$C$1)</f>
        <v>0.10400000000000001</v>
      </c>
      <c r="E115" s="110">
        <f t="shared" si="63"/>
        <v>0.128</v>
      </c>
      <c r="F115" s="110">
        <f t="shared" si="63"/>
        <v>0.152</v>
      </c>
      <c r="G115" s="110">
        <f t="shared" si="63"/>
        <v>0.17599999999999999</v>
      </c>
      <c r="H115" s="110">
        <f t="shared" si="63"/>
        <v>0.19999999999999998</v>
      </c>
      <c r="I115" s="110">
        <f t="shared" si="63"/>
        <v>0.22399999999999998</v>
      </c>
      <c r="J115" s="110">
        <f t="shared" si="63"/>
        <v>0.24799999999999997</v>
      </c>
      <c r="K115" s="110">
        <f t="shared" si="63"/>
        <v>0.27199999999999996</v>
      </c>
      <c r="L115" s="110">
        <f t="shared" si="63"/>
        <v>0.29599999999999999</v>
      </c>
      <c r="M115" s="110">
        <f t="shared" si="63"/>
        <v>0.32</v>
      </c>
      <c r="N115" s="110">
        <f t="shared" si="63"/>
        <v>0.34400000000000003</v>
      </c>
      <c r="O115" s="110">
        <f t="shared" si="63"/>
        <v>0.36800000000000005</v>
      </c>
      <c r="P115" s="110">
        <f t="shared" si="63"/>
        <v>0.39200000000000007</v>
      </c>
      <c r="Q115" s="110">
        <f t="shared" si="63"/>
        <v>0.41600000000000009</v>
      </c>
      <c r="R115" s="110">
        <f t="shared" si="63"/>
        <v>0.44000000000000011</v>
      </c>
      <c r="S115" s="110">
        <f t="shared" si="63"/>
        <v>0.46400000000000013</v>
      </c>
      <c r="T115" s="110">
        <f t="shared" si="63"/>
        <v>0.48800000000000016</v>
      </c>
      <c r="U115" s="110">
        <f t="shared" si="63"/>
        <v>0.51200000000000012</v>
      </c>
      <c r="V115" s="110">
        <f t="shared" si="63"/>
        <v>0.53600000000000014</v>
      </c>
      <c r="W115" s="110">
        <f t="shared" si="63"/>
        <v>0.56000000000000016</v>
      </c>
      <c r="X115" s="110">
        <f t="shared" si="63"/>
        <v>0.58400000000000019</v>
      </c>
      <c r="Y115" s="110">
        <f t="shared" si="63"/>
        <v>0.60800000000000021</v>
      </c>
      <c r="Z115" s="110">
        <f t="shared" si="63"/>
        <v>0.63200000000000023</v>
      </c>
      <c r="AA115" s="110">
        <f t="shared" si="63"/>
        <v>0.65600000000000025</v>
      </c>
      <c r="AB115" s="110">
        <f t="shared" si="63"/>
        <v>0.68000000000000027</v>
      </c>
      <c r="AC115" s="110">
        <f t="shared" si="63"/>
        <v>0.70400000000000029</v>
      </c>
      <c r="AD115" s="110">
        <f t="shared" si="63"/>
        <v>0.72800000000000031</v>
      </c>
      <c r="AE115" s="110">
        <f t="shared" si="63"/>
        <v>0.75200000000000033</v>
      </c>
      <c r="AF115" s="110">
        <f t="shared" si="63"/>
        <v>0.77600000000000036</v>
      </c>
      <c r="AG115" s="214">
        <v>0.8</v>
      </c>
      <c r="AI115" s="134"/>
      <c r="AJ115" s="211" t="s">
        <v>1438</v>
      </c>
      <c r="AL115" s="54" t="s">
        <v>1439</v>
      </c>
    </row>
    <row r="116" spans="1:62" outlineLevel="1">
      <c r="A116" t="s">
        <v>1440</v>
      </c>
      <c r="B116" s="176" t="s">
        <v>462</v>
      </c>
      <c r="C116" s="110">
        <f>1-C115</f>
        <v>0.92</v>
      </c>
      <c r="D116" s="110">
        <f t="shared" ref="D116:AG116" si="64">1-D115</f>
        <v>0.89600000000000002</v>
      </c>
      <c r="E116" s="110">
        <f t="shared" si="64"/>
        <v>0.872</v>
      </c>
      <c r="F116" s="110">
        <f t="shared" si="64"/>
        <v>0.84799999999999998</v>
      </c>
      <c r="G116" s="110">
        <f t="shared" si="64"/>
        <v>0.82400000000000007</v>
      </c>
      <c r="H116" s="110">
        <f t="shared" si="64"/>
        <v>0.8</v>
      </c>
      <c r="I116" s="110">
        <f t="shared" si="64"/>
        <v>0.77600000000000002</v>
      </c>
      <c r="J116" s="110">
        <f t="shared" si="64"/>
        <v>0.752</v>
      </c>
      <c r="K116" s="110">
        <f t="shared" si="64"/>
        <v>0.72799999999999998</v>
      </c>
      <c r="L116" s="110">
        <f t="shared" si="64"/>
        <v>0.70399999999999996</v>
      </c>
      <c r="M116" s="110">
        <f t="shared" si="64"/>
        <v>0.67999999999999994</v>
      </c>
      <c r="N116" s="110">
        <f t="shared" si="64"/>
        <v>0.65599999999999992</v>
      </c>
      <c r="O116" s="110">
        <f t="shared" si="64"/>
        <v>0.6319999999999999</v>
      </c>
      <c r="P116" s="110">
        <f t="shared" si="64"/>
        <v>0.60799999999999987</v>
      </c>
      <c r="Q116" s="110">
        <f t="shared" si="64"/>
        <v>0.58399999999999985</v>
      </c>
      <c r="R116" s="110">
        <f t="shared" si="64"/>
        <v>0.55999999999999983</v>
      </c>
      <c r="S116" s="110">
        <f t="shared" si="64"/>
        <v>0.53599999999999981</v>
      </c>
      <c r="T116" s="110">
        <f t="shared" si="64"/>
        <v>0.51199999999999979</v>
      </c>
      <c r="U116" s="110">
        <f t="shared" si="64"/>
        <v>0.48799999999999988</v>
      </c>
      <c r="V116" s="110">
        <f t="shared" si="64"/>
        <v>0.46399999999999986</v>
      </c>
      <c r="W116" s="110">
        <f t="shared" si="64"/>
        <v>0.43999999999999984</v>
      </c>
      <c r="X116" s="110">
        <f t="shared" si="64"/>
        <v>0.41599999999999981</v>
      </c>
      <c r="Y116" s="110">
        <f t="shared" si="64"/>
        <v>0.39199999999999979</v>
      </c>
      <c r="Z116" s="110">
        <f t="shared" si="64"/>
        <v>0.36799999999999977</v>
      </c>
      <c r="AA116" s="110">
        <f t="shared" si="64"/>
        <v>0.34399999999999975</v>
      </c>
      <c r="AB116" s="110">
        <f t="shared" si="64"/>
        <v>0.31999999999999973</v>
      </c>
      <c r="AC116" s="110">
        <f t="shared" si="64"/>
        <v>0.29599999999999971</v>
      </c>
      <c r="AD116" s="110">
        <f t="shared" si="64"/>
        <v>0.27199999999999969</v>
      </c>
      <c r="AE116" s="110">
        <f t="shared" si="64"/>
        <v>0.24799999999999967</v>
      </c>
      <c r="AF116" s="110">
        <f t="shared" si="64"/>
        <v>0.22399999999999964</v>
      </c>
      <c r="AG116" s="110">
        <f t="shared" si="64"/>
        <v>0.19999999999999996</v>
      </c>
      <c r="AI116" s="134"/>
      <c r="AJ116" s="211"/>
      <c r="BD116" s="760"/>
      <c r="BE116" s="760"/>
    </row>
    <row r="117" spans="1:62" outlineLevel="1">
      <c r="A117" t="s">
        <v>1333</v>
      </c>
      <c r="B117" s="54" t="s">
        <v>462</v>
      </c>
      <c r="C117" s="110">
        <f>C114*C115</f>
        <v>2E-3</v>
      </c>
      <c r="D117" s="110">
        <f t="shared" ref="D117:AG117" si="65">D114*D115</f>
        <v>3.2505633404883785E-3</v>
      </c>
      <c r="E117" s="110">
        <f t="shared" si="65"/>
        <v>4.8013866842790843E-3</v>
      </c>
      <c r="F117" s="110">
        <f t="shared" si="65"/>
        <v>6.652470031372119E-3</v>
      </c>
      <c r="G117" s="110">
        <f t="shared" si="65"/>
        <v>8.8038133817674811E-3</v>
      </c>
      <c r="H117" s="110">
        <f t="shared" si="65"/>
        <v>1.125541673546517E-2</v>
      </c>
      <c r="I117" s="110">
        <f t="shared" si="65"/>
        <v>1.4007280092465192E-2</v>
      </c>
      <c r="J117" s="110">
        <f t="shared" si="65"/>
        <v>1.7059403452767536E-2</v>
      </c>
      <c r="K117" s="110">
        <f t="shared" si="65"/>
        <v>2.0411786816372211E-2</v>
      </c>
      <c r="L117" s="110">
        <f t="shared" si="65"/>
        <v>2.4064430183279219E-2</v>
      </c>
      <c r="M117" s="110">
        <f t="shared" si="65"/>
        <v>2.8017333553488549E-2</v>
      </c>
      <c r="N117" s="110">
        <f t="shared" si="65"/>
        <v>3.4654099414754072E-2</v>
      </c>
      <c r="O117" s="110">
        <f t="shared" si="65"/>
        <v>4.1923720975287584E-2</v>
      </c>
      <c r="P117" s="110">
        <f t="shared" si="65"/>
        <v>4.9826198235089082E-2</v>
      </c>
      <c r="Q117" s="110">
        <f t="shared" si="65"/>
        <v>5.8361531194158552E-2</v>
      </c>
      <c r="R117" s="110">
        <f t="shared" si="65"/>
        <v>6.752971985249602E-2</v>
      </c>
      <c r="S117" s="110">
        <f t="shared" si="65"/>
        <v>7.7330764210101474E-2</v>
      </c>
      <c r="T117" s="110">
        <f t="shared" si="65"/>
        <v>8.7764664266974907E-2</v>
      </c>
      <c r="U117" s="110">
        <f t="shared" si="65"/>
        <v>9.8831420023116304E-2</v>
      </c>
      <c r="V117" s="110">
        <f t="shared" si="65"/>
        <v>0.11053103147852569</v>
      </c>
      <c r="W117" s="110">
        <f t="shared" si="65"/>
        <v>0.12286349863320307</v>
      </c>
      <c r="X117" s="110">
        <f t="shared" si="65"/>
        <v>0.14101216943144917</v>
      </c>
      <c r="Y117" s="110">
        <f t="shared" si="65"/>
        <v>0.16021972452712499</v>
      </c>
      <c r="Z117" s="110">
        <f t="shared" si="65"/>
        <v>0.18048616392023051</v>
      </c>
      <c r="AA117" s="110">
        <f t="shared" si="65"/>
        <v>0.20181148761076564</v>
      </c>
      <c r="AB117" s="110">
        <f t="shared" si="65"/>
        <v>0.22419569559873054</v>
      </c>
      <c r="AC117" s="110">
        <f t="shared" si="65"/>
        <v>0.24763878788412508</v>
      </c>
      <c r="AD117" s="110">
        <f t="shared" si="65"/>
        <v>0.27214076446694929</v>
      </c>
      <c r="AE117" s="110">
        <f t="shared" si="65"/>
        <v>0.29770162534720324</v>
      </c>
      <c r="AF117" s="110">
        <f t="shared" si="65"/>
        <v>0.32432137052488685</v>
      </c>
      <c r="AG117" s="110">
        <f t="shared" si="65"/>
        <v>0.35200000000000004</v>
      </c>
      <c r="AI117" s="134"/>
      <c r="AJ117" s="211"/>
      <c r="BD117" s="203"/>
      <c r="BE117" s="203"/>
    </row>
    <row r="118" spans="1:62" outlineLevel="1">
      <c r="A118" t="s">
        <v>1334</v>
      </c>
      <c r="B118" s="54" t="s">
        <v>462</v>
      </c>
      <c r="C118" s="110">
        <f>C114*C116</f>
        <v>2.3000000000000003E-2</v>
      </c>
      <c r="D118" s="110">
        <f t="shared" ref="D118:AG118" si="66">D114*D116</f>
        <v>2.8004853394976797E-2</v>
      </c>
      <c r="E118" s="110">
        <f t="shared" si="66"/>
        <v>3.2709446786651261E-2</v>
      </c>
      <c r="F118" s="110">
        <f t="shared" si="66"/>
        <v>3.7113780175023398E-2</v>
      </c>
      <c r="G118" s="110">
        <f t="shared" si="66"/>
        <v>4.1217853560093214E-2</v>
      </c>
      <c r="H118" s="110">
        <f t="shared" si="66"/>
        <v>4.5021666941860689E-2</v>
      </c>
      <c r="I118" s="110">
        <f t="shared" si="66"/>
        <v>4.852522032032585E-2</v>
      </c>
      <c r="J118" s="110">
        <f t="shared" si="66"/>
        <v>5.1728513695488663E-2</v>
      </c>
      <c r="K118" s="110">
        <f t="shared" si="66"/>
        <v>5.4631547067349163E-2</v>
      </c>
      <c r="L118" s="110">
        <f t="shared" si="66"/>
        <v>5.7234320435907329E-2</v>
      </c>
      <c r="M118" s="110">
        <f t="shared" si="66"/>
        <v>5.9536833801163161E-2</v>
      </c>
      <c r="N118" s="110">
        <f t="shared" si="66"/>
        <v>6.6084561674647282E-2</v>
      </c>
      <c r="O118" s="110">
        <f t="shared" si="66"/>
        <v>7.1999433848863439E-2</v>
      </c>
      <c r="P118" s="110">
        <f t="shared" si="66"/>
        <v>7.7281450323811604E-2</v>
      </c>
      <c r="Q118" s="110">
        <f t="shared" si="66"/>
        <v>8.1930611099491776E-2</v>
      </c>
      <c r="R118" s="110">
        <f t="shared" si="66"/>
        <v>8.594691617590397E-2</v>
      </c>
      <c r="S118" s="110">
        <f t="shared" si="66"/>
        <v>8.9330365553048199E-2</v>
      </c>
      <c r="T118" s="110">
        <f t="shared" si="66"/>
        <v>9.2080959230924422E-2</v>
      </c>
      <c r="U118" s="110">
        <f t="shared" si="66"/>
        <v>9.4198697209532681E-2</v>
      </c>
      <c r="V118" s="110">
        <f t="shared" si="66"/>
        <v>9.5683579488872933E-2</v>
      </c>
      <c r="W118" s="110">
        <f t="shared" si="66"/>
        <v>9.6535606068945221E-2</v>
      </c>
      <c r="X118" s="110">
        <f t="shared" si="66"/>
        <v>0.10044702480048427</v>
      </c>
      <c r="Y118" s="110">
        <f t="shared" si="66"/>
        <v>0.10329955923459365</v>
      </c>
      <c r="Z118" s="110">
        <f t="shared" si="66"/>
        <v>0.10509320937127335</v>
      </c>
      <c r="AA118" s="110">
        <f t="shared" si="66"/>
        <v>0.10582797521052333</v>
      </c>
      <c r="AB118" s="110">
        <f t="shared" si="66"/>
        <v>0.10550385675234365</v>
      </c>
      <c r="AC118" s="110">
        <f t="shared" si="66"/>
        <v>0.10412085399673426</v>
      </c>
      <c r="AD118" s="110">
        <f t="shared" si="66"/>
        <v>0.10167896694369519</v>
      </c>
      <c r="AE118" s="110">
        <f t="shared" si="66"/>
        <v>9.8178195593226422E-2</v>
      </c>
      <c r="AF118" s="110">
        <f t="shared" si="66"/>
        <v>9.3618539945327969E-2</v>
      </c>
      <c r="AG118" s="110">
        <f t="shared" si="66"/>
        <v>8.7999999999999981E-2</v>
      </c>
      <c r="AI118" s="134"/>
      <c r="AJ118" s="211"/>
      <c r="BD118" s="203"/>
      <c r="BE118" s="203"/>
    </row>
    <row r="119" spans="1:62" outlineLevel="1">
      <c r="B119" s="176"/>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I119" s="134"/>
      <c r="AJ119" s="211"/>
      <c r="BD119" s="203"/>
      <c r="BE119" s="203"/>
    </row>
    <row r="120" spans="1:62" ht="16" outlineLevel="1">
      <c r="A120" t="s">
        <v>1441</v>
      </c>
      <c r="B120" s="54" t="s">
        <v>462</v>
      </c>
      <c r="C120" s="214">
        <v>0.52</v>
      </c>
      <c r="D120" s="110">
        <f>C120</f>
        <v>0.52</v>
      </c>
      <c r="E120" s="110">
        <f t="shared" ref="E120:AG122" si="67">D120</f>
        <v>0.52</v>
      </c>
      <c r="F120" s="110">
        <f t="shared" si="67"/>
        <v>0.52</v>
      </c>
      <c r="G120" s="110">
        <f t="shared" si="67"/>
        <v>0.52</v>
      </c>
      <c r="H120" s="110">
        <f t="shared" si="67"/>
        <v>0.52</v>
      </c>
      <c r="I120" s="110">
        <f t="shared" si="67"/>
        <v>0.52</v>
      </c>
      <c r="J120" s="110">
        <f t="shared" si="67"/>
        <v>0.52</v>
      </c>
      <c r="K120" s="110">
        <f t="shared" si="67"/>
        <v>0.52</v>
      </c>
      <c r="L120" s="110">
        <f t="shared" si="67"/>
        <v>0.52</v>
      </c>
      <c r="M120" s="110">
        <f t="shared" si="67"/>
        <v>0.52</v>
      </c>
      <c r="N120" s="110">
        <f t="shared" si="67"/>
        <v>0.52</v>
      </c>
      <c r="O120" s="110">
        <f t="shared" si="67"/>
        <v>0.52</v>
      </c>
      <c r="P120" s="110">
        <f t="shared" si="67"/>
        <v>0.52</v>
      </c>
      <c r="Q120" s="110">
        <f t="shared" si="67"/>
        <v>0.52</v>
      </c>
      <c r="R120" s="110">
        <f t="shared" si="67"/>
        <v>0.52</v>
      </c>
      <c r="S120" s="110">
        <f t="shared" si="67"/>
        <v>0.52</v>
      </c>
      <c r="T120" s="110">
        <f t="shared" si="67"/>
        <v>0.52</v>
      </c>
      <c r="U120" s="110">
        <f t="shared" si="67"/>
        <v>0.52</v>
      </c>
      <c r="V120" s="110">
        <f t="shared" si="67"/>
        <v>0.52</v>
      </c>
      <c r="W120" s="110">
        <f t="shared" si="67"/>
        <v>0.52</v>
      </c>
      <c r="X120" s="110">
        <f t="shared" si="67"/>
        <v>0.52</v>
      </c>
      <c r="Y120" s="110">
        <f t="shared" si="67"/>
        <v>0.52</v>
      </c>
      <c r="Z120" s="110">
        <f t="shared" si="67"/>
        <v>0.52</v>
      </c>
      <c r="AA120" s="110">
        <f t="shared" si="67"/>
        <v>0.52</v>
      </c>
      <c r="AB120" s="110">
        <f t="shared" si="67"/>
        <v>0.52</v>
      </c>
      <c r="AC120" s="110">
        <f t="shared" si="67"/>
        <v>0.52</v>
      </c>
      <c r="AD120" s="110">
        <f t="shared" si="67"/>
        <v>0.52</v>
      </c>
      <c r="AE120" s="110">
        <f t="shared" si="67"/>
        <v>0.52</v>
      </c>
      <c r="AF120" s="110">
        <f t="shared" si="67"/>
        <v>0.52</v>
      </c>
      <c r="AG120" s="110">
        <f t="shared" si="67"/>
        <v>0.52</v>
      </c>
      <c r="AI120" s="133" t="s">
        <v>1442</v>
      </c>
      <c r="AJ120" s="232" t="s">
        <v>1443</v>
      </c>
      <c r="BD120" s="203"/>
      <c r="BE120" s="203"/>
    </row>
    <row r="121" spans="1:62" ht="16" outlineLevel="1">
      <c r="A121" t="s">
        <v>1444</v>
      </c>
      <c r="B121" s="54" t="s">
        <v>462</v>
      </c>
      <c r="C121" s="214">
        <v>0.12</v>
      </c>
      <c r="D121" s="110">
        <f t="shared" ref="D121:S122" si="68">C121</f>
        <v>0.12</v>
      </c>
      <c r="E121" s="110">
        <f t="shared" si="68"/>
        <v>0.12</v>
      </c>
      <c r="F121" s="110">
        <f t="shared" si="68"/>
        <v>0.12</v>
      </c>
      <c r="G121" s="110">
        <f t="shared" si="68"/>
        <v>0.12</v>
      </c>
      <c r="H121" s="110">
        <f t="shared" si="68"/>
        <v>0.12</v>
      </c>
      <c r="I121" s="110">
        <f t="shared" si="68"/>
        <v>0.12</v>
      </c>
      <c r="J121" s="110">
        <f t="shared" si="68"/>
        <v>0.12</v>
      </c>
      <c r="K121" s="110">
        <f t="shared" si="68"/>
        <v>0.12</v>
      </c>
      <c r="L121" s="110">
        <f t="shared" si="68"/>
        <v>0.12</v>
      </c>
      <c r="M121" s="110">
        <f t="shared" si="68"/>
        <v>0.12</v>
      </c>
      <c r="N121" s="110">
        <f t="shared" si="68"/>
        <v>0.12</v>
      </c>
      <c r="O121" s="110">
        <f t="shared" si="68"/>
        <v>0.12</v>
      </c>
      <c r="P121" s="110">
        <f t="shared" si="68"/>
        <v>0.12</v>
      </c>
      <c r="Q121" s="110">
        <f t="shared" si="68"/>
        <v>0.12</v>
      </c>
      <c r="R121" s="110">
        <f t="shared" si="68"/>
        <v>0.12</v>
      </c>
      <c r="S121" s="110">
        <f t="shared" si="68"/>
        <v>0.12</v>
      </c>
      <c r="T121" s="110">
        <f t="shared" si="67"/>
        <v>0.12</v>
      </c>
      <c r="U121" s="110">
        <f t="shared" si="67"/>
        <v>0.12</v>
      </c>
      <c r="V121" s="110">
        <f t="shared" si="67"/>
        <v>0.12</v>
      </c>
      <c r="W121" s="110">
        <f t="shared" si="67"/>
        <v>0.12</v>
      </c>
      <c r="X121" s="110">
        <f t="shared" si="67"/>
        <v>0.12</v>
      </c>
      <c r="Y121" s="110">
        <f t="shared" si="67"/>
        <v>0.12</v>
      </c>
      <c r="Z121" s="110">
        <f t="shared" si="67"/>
        <v>0.12</v>
      </c>
      <c r="AA121" s="110">
        <f t="shared" si="67"/>
        <v>0.12</v>
      </c>
      <c r="AB121" s="110">
        <f t="shared" si="67"/>
        <v>0.12</v>
      </c>
      <c r="AC121" s="110">
        <f t="shared" si="67"/>
        <v>0.12</v>
      </c>
      <c r="AD121" s="110">
        <f t="shared" si="67"/>
        <v>0.12</v>
      </c>
      <c r="AE121" s="110">
        <f t="shared" si="67"/>
        <v>0.12</v>
      </c>
      <c r="AF121" s="110">
        <f t="shared" si="67"/>
        <v>0.12</v>
      </c>
      <c r="AG121" s="110">
        <f t="shared" si="67"/>
        <v>0.12</v>
      </c>
      <c r="AI121" s="133" t="s">
        <v>1442</v>
      </c>
      <c r="AJ121" s="232" t="s">
        <v>1443</v>
      </c>
      <c r="AL121" s="1"/>
      <c r="BC121" s="1"/>
      <c r="BD121" s="762"/>
      <c r="BE121" s="760"/>
      <c r="BF121" s="6"/>
      <c r="BG121" s="6"/>
      <c r="BH121" s="6"/>
      <c r="BI121" s="6"/>
      <c r="BJ121" s="6"/>
    </row>
    <row r="122" spans="1:62" outlineLevel="1">
      <c r="A122" t="s">
        <v>1445</v>
      </c>
      <c r="B122" s="54" t="s">
        <v>462</v>
      </c>
      <c r="C122" s="121">
        <f>1-C120-C121</f>
        <v>0.36</v>
      </c>
      <c r="D122" s="110">
        <f t="shared" si="68"/>
        <v>0.36</v>
      </c>
      <c r="E122" s="110">
        <f t="shared" si="68"/>
        <v>0.36</v>
      </c>
      <c r="F122" s="110">
        <f t="shared" si="68"/>
        <v>0.36</v>
      </c>
      <c r="G122" s="110">
        <f t="shared" si="68"/>
        <v>0.36</v>
      </c>
      <c r="H122" s="110">
        <f t="shared" si="68"/>
        <v>0.36</v>
      </c>
      <c r="I122" s="110">
        <f t="shared" si="68"/>
        <v>0.36</v>
      </c>
      <c r="J122" s="110">
        <f t="shared" si="68"/>
        <v>0.36</v>
      </c>
      <c r="K122" s="110">
        <f t="shared" si="68"/>
        <v>0.36</v>
      </c>
      <c r="L122" s="110">
        <f t="shared" si="68"/>
        <v>0.36</v>
      </c>
      <c r="M122" s="110">
        <f t="shared" si="68"/>
        <v>0.36</v>
      </c>
      <c r="N122" s="110">
        <f t="shared" si="68"/>
        <v>0.36</v>
      </c>
      <c r="O122" s="110">
        <f t="shared" si="68"/>
        <v>0.36</v>
      </c>
      <c r="P122" s="110">
        <f t="shared" si="68"/>
        <v>0.36</v>
      </c>
      <c r="Q122" s="110">
        <f t="shared" si="68"/>
        <v>0.36</v>
      </c>
      <c r="R122" s="110">
        <f t="shared" si="68"/>
        <v>0.36</v>
      </c>
      <c r="S122" s="110">
        <f t="shared" si="68"/>
        <v>0.36</v>
      </c>
      <c r="T122" s="110">
        <f t="shared" si="67"/>
        <v>0.36</v>
      </c>
      <c r="U122" s="110">
        <f t="shared" si="67"/>
        <v>0.36</v>
      </c>
      <c r="V122" s="110">
        <f t="shared" si="67"/>
        <v>0.36</v>
      </c>
      <c r="W122" s="110">
        <f t="shared" si="67"/>
        <v>0.36</v>
      </c>
      <c r="X122" s="110">
        <f t="shared" si="67"/>
        <v>0.36</v>
      </c>
      <c r="Y122" s="110">
        <f t="shared" si="67"/>
        <v>0.36</v>
      </c>
      <c r="Z122" s="110">
        <f t="shared" si="67"/>
        <v>0.36</v>
      </c>
      <c r="AA122" s="110">
        <f t="shared" si="67"/>
        <v>0.36</v>
      </c>
      <c r="AB122" s="110">
        <f t="shared" si="67"/>
        <v>0.36</v>
      </c>
      <c r="AC122" s="110">
        <f t="shared" si="67"/>
        <v>0.36</v>
      </c>
      <c r="AD122" s="110">
        <f t="shared" si="67"/>
        <v>0.36</v>
      </c>
      <c r="AE122" s="110">
        <f t="shared" si="67"/>
        <v>0.36</v>
      </c>
      <c r="AF122" s="110">
        <f t="shared" si="67"/>
        <v>0.36</v>
      </c>
      <c r="AG122" s="110">
        <f t="shared" si="67"/>
        <v>0.36</v>
      </c>
      <c r="AI122" s="133"/>
      <c r="AJ122" s="223"/>
      <c r="BC122" s="1"/>
      <c r="BD122" s="41"/>
      <c r="BF122" s="6"/>
      <c r="BG122" s="6"/>
      <c r="BH122" s="6"/>
      <c r="BI122" s="6"/>
      <c r="BJ122" s="6"/>
    </row>
    <row r="123" spans="1:62" outlineLevel="1">
      <c r="A123" t="s">
        <v>1268</v>
      </c>
      <c r="B123" s="54" t="s">
        <v>462</v>
      </c>
      <c r="C123" s="110">
        <f>SUM(C120:C122)</f>
        <v>1</v>
      </c>
      <c r="D123" s="110">
        <f t="shared" ref="D123:AG123" si="69">SUM(D120:D122)</f>
        <v>1</v>
      </c>
      <c r="E123" s="110">
        <f t="shared" si="69"/>
        <v>1</v>
      </c>
      <c r="F123" s="110">
        <f t="shared" si="69"/>
        <v>1</v>
      </c>
      <c r="G123" s="110">
        <f t="shared" si="69"/>
        <v>1</v>
      </c>
      <c r="H123" s="110">
        <f t="shared" si="69"/>
        <v>1</v>
      </c>
      <c r="I123" s="110">
        <f t="shared" si="69"/>
        <v>1</v>
      </c>
      <c r="J123" s="110">
        <f t="shared" si="69"/>
        <v>1</v>
      </c>
      <c r="K123" s="110">
        <f t="shared" si="69"/>
        <v>1</v>
      </c>
      <c r="L123" s="110">
        <f t="shared" si="69"/>
        <v>1</v>
      </c>
      <c r="M123" s="110">
        <f t="shared" si="69"/>
        <v>1</v>
      </c>
      <c r="N123" s="110">
        <f t="shared" si="69"/>
        <v>1</v>
      </c>
      <c r="O123" s="110">
        <f t="shared" si="69"/>
        <v>1</v>
      </c>
      <c r="P123" s="110">
        <f t="shared" si="69"/>
        <v>1</v>
      </c>
      <c r="Q123" s="110">
        <f t="shared" si="69"/>
        <v>1</v>
      </c>
      <c r="R123" s="110">
        <f t="shared" si="69"/>
        <v>1</v>
      </c>
      <c r="S123" s="110">
        <f t="shared" si="69"/>
        <v>1</v>
      </c>
      <c r="T123" s="110">
        <f t="shared" si="69"/>
        <v>1</v>
      </c>
      <c r="U123" s="110">
        <f t="shared" si="69"/>
        <v>1</v>
      </c>
      <c r="V123" s="110">
        <f t="shared" si="69"/>
        <v>1</v>
      </c>
      <c r="W123" s="110">
        <f t="shared" si="69"/>
        <v>1</v>
      </c>
      <c r="X123" s="110">
        <f t="shared" si="69"/>
        <v>1</v>
      </c>
      <c r="Y123" s="110">
        <f t="shared" si="69"/>
        <v>1</v>
      </c>
      <c r="Z123" s="110">
        <f t="shared" si="69"/>
        <v>1</v>
      </c>
      <c r="AA123" s="110">
        <f t="shared" si="69"/>
        <v>1</v>
      </c>
      <c r="AB123" s="110">
        <f t="shared" si="69"/>
        <v>1</v>
      </c>
      <c r="AC123" s="110">
        <f t="shared" si="69"/>
        <v>1</v>
      </c>
      <c r="AD123" s="110">
        <f t="shared" si="69"/>
        <v>1</v>
      </c>
      <c r="AE123" s="110">
        <f t="shared" si="69"/>
        <v>1</v>
      </c>
      <c r="AF123" s="110">
        <f t="shared" si="69"/>
        <v>1</v>
      </c>
      <c r="AG123" s="110">
        <f t="shared" si="69"/>
        <v>1</v>
      </c>
      <c r="AI123" s="133"/>
      <c r="AJ123" s="211"/>
      <c r="BC123" s="1"/>
      <c r="BD123" s="41"/>
      <c r="BF123" s="6"/>
      <c r="BG123" s="6"/>
      <c r="BH123" s="6"/>
      <c r="BI123" s="6"/>
      <c r="BJ123" s="6"/>
    </row>
    <row r="124" spans="1:62" outlineLevel="1">
      <c r="C124" s="214"/>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I124" s="133"/>
      <c r="AJ124" s="211"/>
      <c r="BC124" s="1"/>
      <c r="BD124" s="41"/>
      <c r="BF124" s="6"/>
      <c r="BG124" s="6"/>
      <c r="BH124" s="6"/>
      <c r="BI124" s="6"/>
      <c r="BJ124" s="6"/>
    </row>
    <row r="125" spans="1:62" outlineLevel="1">
      <c r="A125" t="s">
        <v>1335</v>
      </c>
      <c r="B125" s="54" t="s">
        <v>462</v>
      </c>
      <c r="C125" s="110">
        <f>C120*C118</f>
        <v>1.1960000000000002E-2</v>
      </c>
      <c r="D125" s="110">
        <f t="shared" ref="D125:AG125" si="70">D120*D118</f>
        <v>1.4562523765387934E-2</v>
      </c>
      <c r="E125" s="110">
        <f t="shared" si="70"/>
        <v>1.7008912329058656E-2</v>
      </c>
      <c r="F125" s="110">
        <f t="shared" si="70"/>
        <v>1.9299165691012168E-2</v>
      </c>
      <c r="G125" s="110">
        <f t="shared" si="70"/>
        <v>2.1433283851248472E-2</v>
      </c>
      <c r="H125" s="110">
        <f t="shared" si="70"/>
        <v>2.3411266809767559E-2</v>
      </c>
      <c r="I125" s="110">
        <f t="shared" si="70"/>
        <v>2.5233114566569442E-2</v>
      </c>
      <c r="J125" s="110">
        <f t="shared" si="70"/>
        <v>2.6898827121654107E-2</v>
      </c>
      <c r="K125" s="110">
        <f t="shared" si="70"/>
        <v>2.8408404475021565E-2</v>
      </c>
      <c r="L125" s="110">
        <f t="shared" si="70"/>
        <v>2.9761846626671813E-2</v>
      </c>
      <c r="M125" s="110">
        <f t="shared" si="70"/>
        <v>3.0959153576604843E-2</v>
      </c>
      <c r="N125" s="110">
        <f t="shared" si="70"/>
        <v>3.4363972070816588E-2</v>
      </c>
      <c r="O125" s="110">
        <f t="shared" si="70"/>
        <v>3.7439705601408989E-2</v>
      </c>
      <c r="P125" s="110">
        <f t="shared" si="70"/>
        <v>4.0186354168382038E-2</v>
      </c>
      <c r="Q125" s="110">
        <f t="shared" si="70"/>
        <v>4.2603917771735722E-2</v>
      </c>
      <c r="R125" s="110">
        <f t="shared" si="70"/>
        <v>4.4692396411470069E-2</v>
      </c>
      <c r="S125" s="110">
        <f t="shared" si="70"/>
        <v>4.6451790087585064E-2</v>
      </c>
      <c r="T125" s="110">
        <f t="shared" si="70"/>
        <v>4.7882098800080701E-2</v>
      </c>
      <c r="U125" s="110">
        <f t="shared" si="70"/>
        <v>4.8983322548956994E-2</v>
      </c>
      <c r="V125" s="110">
        <f t="shared" si="70"/>
        <v>4.9755461334213928E-2</v>
      </c>
      <c r="W125" s="110">
        <f t="shared" si="70"/>
        <v>5.0198515155851518E-2</v>
      </c>
      <c r="X125" s="110">
        <f t="shared" si="70"/>
        <v>5.2232452896251821E-2</v>
      </c>
      <c r="Y125" s="110">
        <f t="shared" si="70"/>
        <v>5.3715770801988701E-2</v>
      </c>
      <c r="Z125" s="110">
        <f t="shared" si="70"/>
        <v>5.4648468873062142E-2</v>
      </c>
      <c r="AA125" s="110">
        <f t="shared" si="70"/>
        <v>5.5030547109472132E-2</v>
      </c>
      <c r="AB125" s="110">
        <f t="shared" si="70"/>
        <v>5.4862005511218705E-2</v>
      </c>
      <c r="AC125" s="110">
        <f t="shared" si="70"/>
        <v>5.4142844078301819E-2</v>
      </c>
      <c r="AD125" s="110">
        <f t="shared" si="70"/>
        <v>5.2873062810721502E-2</v>
      </c>
      <c r="AE125" s="110">
        <f t="shared" si="70"/>
        <v>5.1052661708477741E-2</v>
      </c>
      <c r="AF125" s="110">
        <f t="shared" si="70"/>
        <v>4.8681640771570549E-2</v>
      </c>
      <c r="AG125" s="110">
        <f t="shared" si="70"/>
        <v>4.5759999999999995E-2</v>
      </c>
      <c r="AI125" s="133"/>
      <c r="AJ125" s="211"/>
      <c r="BD125" s="203"/>
      <c r="BE125" s="203"/>
    </row>
    <row r="126" spans="1:62" outlineLevel="1">
      <c r="A126" t="s">
        <v>1336</v>
      </c>
      <c r="B126" s="54" t="s">
        <v>462</v>
      </c>
      <c r="C126" s="110">
        <f>C118*C121</f>
        <v>2.7600000000000003E-3</v>
      </c>
      <c r="D126" s="110">
        <f t="shared" ref="D126:AG126" si="71">D118*D121</f>
        <v>3.3605824073972158E-3</v>
      </c>
      <c r="E126" s="110">
        <f t="shared" si="71"/>
        <v>3.9251336143981512E-3</v>
      </c>
      <c r="F126" s="110">
        <f t="shared" si="71"/>
        <v>4.4536536210028075E-3</v>
      </c>
      <c r="G126" s="110">
        <f t="shared" si="71"/>
        <v>4.9461424272111854E-3</v>
      </c>
      <c r="H126" s="110">
        <f t="shared" si="71"/>
        <v>5.4026000330232825E-3</v>
      </c>
      <c r="I126" s="110">
        <f t="shared" si="71"/>
        <v>5.8230264384391021E-3</v>
      </c>
      <c r="J126" s="110">
        <f t="shared" si="71"/>
        <v>6.2074216434586391E-3</v>
      </c>
      <c r="K126" s="110">
        <f t="shared" si="71"/>
        <v>6.5557856480818995E-3</v>
      </c>
      <c r="L126" s="110">
        <f t="shared" si="71"/>
        <v>6.868118452308879E-3</v>
      </c>
      <c r="M126" s="110">
        <f t="shared" si="71"/>
        <v>7.1444200561395794E-3</v>
      </c>
      <c r="N126" s="110">
        <f t="shared" si="71"/>
        <v>7.9301474009576736E-3</v>
      </c>
      <c r="O126" s="110">
        <f t="shared" si="71"/>
        <v>8.6399320618636127E-3</v>
      </c>
      <c r="P126" s="110">
        <f t="shared" si="71"/>
        <v>9.2737740388573915E-3</v>
      </c>
      <c r="Q126" s="110">
        <f t="shared" si="71"/>
        <v>9.8316733319390136E-3</v>
      </c>
      <c r="R126" s="110">
        <f t="shared" si="71"/>
        <v>1.0313629941108475E-2</v>
      </c>
      <c r="S126" s="110">
        <f t="shared" si="71"/>
        <v>1.0719643866365784E-2</v>
      </c>
      <c r="T126" s="110">
        <f t="shared" si="71"/>
        <v>1.104971510771093E-2</v>
      </c>
      <c r="U126" s="110">
        <f t="shared" si="71"/>
        <v>1.1303843665143922E-2</v>
      </c>
      <c r="V126" s="110">
        <f t="shared" si="71"/>
        <v>1.1482029538664751E-2</v>
      </c>
      <c r="W126" s="110">
        <f t="shared" si="71"/>
        <v>1.1584272728273426E-2</v>
      </c>
      <c r="X126" s="110">
        <f t="shared" si="71"/>
        <v>1.2053642976058113E-2</v>
      </c>
      <c r="Y126" s="110">
        <f t="shared" si="71"/>
        <v>1.2395947108151237E-2</v>
      </c>
      <c r="Z126" s="110">
        <f t="shared" si="71"/>
        <v>1.2611185124552803E-2</v>
      </c>
      <c r="AA126" s="110">
        <f t="shared" si="71"/>
        <v>1.2699357025262798E-2</v>
      </c>
      <c r="AB126" s="110">
        <f t="shared" si="71"/>
        <v>1.2660462810281237E-2</v>
      </c>
      <c r="AC126" s="110">
        <f t="shared" si="71"/>
        <v>1.2494502479608111E-2</v>
      </c>
      <c r="AD126" s="110">
        <f t="shared" si="71"/>
        <v>1.2201476033243421E-2</v>
      </c>
      <c r="AE126" s="110">
        <f t="shared" si="71"/>
        <v>1.178138347118717E-2</v>
      </c>
      <c r="AF126" s="110">
        <f t="shared" si="71"/>
        <v>1.1234224793439355E-2</v>
      </c>
      <c r="AG126" s="110">
        <f t="shared" si="71"/>
        <v>1.0559999999999996E-2</v>
      </c>
      <c r="AI126" s="133"/>
      <c r="AJ126" s="211"/>
      <c r="AL126" s="1"/>
      <c r="BC126" s="1"/>
      <c r="BD126" s="762"/>
      <c r="BE126" s="760"/>
      <c r="BF126" s="6"/>
      <c r="BG126" s="6"/>
      <c r="BH126" s="6"/>
      <c r="BI126" s="6"/>
      <c r="BJ126" s="6"/>
    </row>
    <row r="127" spans="1:62" outlineLevel="1">
      <c r="A127" t="s">
        <v>1337</v>
      </c>
      <c r="B127" s="54" t="s">
        <v>462</v>
      </c>
      <c r="C127" s="110">
        <f>C118*C122</f>
        <v>8.2800000000000009E-3</v>
      </c>
      <c r="D127" s="110">
        <f t="shared" ref="D127:AG127" si="72">D118*D122</f>
        <v>1.0081747222191647E-2</v>
      </c>
      <c r="E127" s="110">
        <f t="shared" si="72"/>
        <v>1.1775400843194454E-2</v>
      </c>
      <c r="F127" s="110">
        <f t="shared" si="72"/>
        <v>1.3360960863008423E-2</v>
      </c>
      <c r="G127" s="110">
        <f t="shared" si="72"/>
        <v>1.4838427281633556E-2</v>
      </c>
      <c r="H127" s="110">
        <f t="shared" si="72"/>
        <v>1.6207800099069847E-2</v>
      </c>
      <c r="I127" s="110">
        <f t="shared" si="72"/>
        <v>1.7469079315317305E-2</v>
      </c>
      <c r="J127" s="110">
        <f t="shared" si="72"/>
        <v>1.8622264930375918E-2</v>
      </c>
      <c r="K127" s="110">
        <f t="shared" si="72"/>
        <v>1.9667356944245699E-2</v>
      </c>
      <c r="L127" s="110">
        <f t="shared" si="72"/>
        <v>2.0604355356926639E-2</v>
      </c>
      <c r="M127" s="110">
        <f t="shared" si="72"/>
        <v>2.1433260168418736E-2</v>
      </c>
      <c r="N127" s="110">
        <f t="shared" si="72"/>
        <v>2.3790442202873022E-2</v>
      </c>
      <c r="O127" s="110">
        <f t="shared" si="72"/>
        <v>2.5919796185590836E-2</v>
      </c>
      <c r="P127" s="110">
        <f t="shared" si="72"/>
        <v>2.7821322116572178E-2</v>
      </c>
      <c r="Q127" s="110">
        <f t="shared" si="72"/>
        <v>2.9495019995817037E-2</v>
      </c>
      <c r="R127" s="110">
        <f t="shared" si="72"/>
        <v>3.0940889823325428E-2</v>
      </c>
      <c r="S127" s="110">
        <f t="shared" si="72"/>
        <v>3.215893159909735E-2</v>
      </c>
      <c r="T127" s="110">
        <f t="shared" si="72"/>
        <v>3.3149145323132789E-2</v>
      </c>
      <c r="U127" s="110">
        <f t="shared" si="72"/>
        <v>3.3911530995431767E-2</v>
      </c>
      <c r="V127" s="110">
        <f t="shared" si="72"/>
        <v>3.4446088615994255E-2</v>
      </c>
      <c r="W127" s="110">
        <f t="shared" si="72"/>
        <v>3.4752818184820275E-2</v>
      </c>
      <c r="X127" s="110">
        <f t="shared" si="72"/>
        <v>3.6160928928174338E-2</v>
      </c>
      <c r="Y127" s="110">
        <f t="shared" si="72"/>
        <v>3.7187841324453713E-2</v>
      </c>
      <c r="Z127" s="110">
        <f t="shared" si="72"/>
        <v>3.7833555373658408E-2</v>
      </c>
      <c r="AA127" s="110">
        <f t="shared" si="72"/>
        <v>3.8098071075788394E-2</v>
      </c>
      <c r="AB127" s="110">
        <f t="shared" si="72"/>
        <v>3.7981388430843713E-2</v>
      </c>
      <c r="AC127" s="110">
        <f t="shared" si="72"/>
        <v>3.748350743882433E-2</v>
      </c>
      <c r="AD127" s="110">
        <f t="shared" si="72"/>
        <v>3.6604428099730267E-2</v>
      </c>
      <c r="AE127" s="110">
        <f t="shared" si="72"/>
        <v>3.5344150413561509E-2</v>
      </c>
      <c r="AF127" s="110">
        <f t="shared" si="72"/>
        <v>3.3702674380318071E-2</v>
      </c>
      <c r="AG127" s="110">
        <f t="shared" si="72"/>
        <v>3.1679999999999993E-2</v>
      </c>
      <c r="AI127" s="134"/>
      <c r="AJ127" s="211"/>
      <c r="BC127" s="1"/>
      <c r="BD127" s="41"/>
      <c r="BF127" s="6"/>
      <c r="BG127" s="6"/>
      <c r="BH127" s="6"/>
      <c r="BI127" s="6"/>
      <c r="BJ127" s="6"/>
    </row>
    <row r="128" spans="1:62" outlineLevel="1">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I128" s="134"/>
      <c r="AJ128" s="211"/>
      <c r="BC128" s="1"/>
      <c r="BD128" s="41"/>
      <c r="BF128" s="6"/>
      <c r="BG128" s="6"/>
      <c r="BH128" s="6"/>
      <c r="BI128" s="6"/>
      <c r="BJ128" s="6"/>
    </row>
    <row r="129" spans="1:63" outlineLevel="1">
      <c r="A129" t="s">
        <v>1553</v>
      </c>
      <c r="C129" s="230">
        <f>'Overall recycling rates'!E86</f>
        <v>0.57160689689087107</v>
      </c>
      <c r="D129" s="230">
        <f>C129-($C129-$AG129)/($AG$1-$C$1)</f>
        <v>0.58255333366117534</v>
      </c>
      <c r="E129" s="230">
        <f t="shared" ref="E129:AF129" si="73">D129-($C129-$AG129)/($AG$1-$C$1)</f>
        <v>0.59349977043147961</v>
      </c>
      <c r="F129" s="230">
        <f t="shared" si="73"/>
        <v>0.60444620720178388</v>
      </c>
      <c r="G129" s="230">
        <f t="shared" si="73"/>
        <v>0.61539264397208815</v>
      </c>
      <c r="H129" s="230">
        <f t="shared" si="73"/>
        <v>0.62633908074239242</v>
      </c>
      <c r="I129" s="230">
        <f t="shared" si="73"/>
        <v>0.63728551751269669</v>
      </c>
      <c r="J129" s="230">
        <f t="shared" si="73"/>
        <v>0.64823195428300096</v>
      </c>
      <c r="K129" s="230">
        <f t="shared" si="73"/>
        <v>0.65917839105330522</v>
      </c>
      <c r="L129" s="230">
        <f t="shared" si="73"/>
        <v>0.67012482782360949</v>
      </c>
      <c r="M129" s="230">
        <f t="shared" si="73"/>
        <v>0.68107126459391376</v>
      </c>
      <c r="N129" s="230">
        <f t="shared" si="73"/>
        <v>0.69201770136421803</v>
      </c>
      <c r="O129" s="230">
        <f t="shared" si="73"/>
        <v>0.7029641381345223</v>
      </c>
      <c r="P129" s="230">
        <f t="shared" si="73"/>
        <v>0.71391057490482657</v>
      </c>
      <c r="Q129" s="230">
        <f t="shared" si="73"/>
        <v>0.72485701167513084</v>
      </c>
      <c r="R129" s="230">
        <f t="shared" si="73"/>
        <v>0.7358034484454351</v>
      </c>
      <c r="S129" s="230">
        <f t="shared" si="73"/>
        <v>0.74674988521573937</v>
      </c>
      <c r="T129" s="230">
        <f t="shared" si="73"/>
        <v>0.75769632198604364</v>
      </c>
      <c r="U129" s="230">
        <f t="shared" si="73"/>
        <v>0.76864275875634791</v>
      </c>
      <c r="V129" s="230">
        <f t="shared" si="73"/>
        <v>0.77958919552665218</v>
      </c>
      <c r="W129" s="230">
        <f t="shared" si="73"/>
        <v>0.79053563229695645</v>
      </c>
      <c r="X129" s="230">
        <f t="shared" si="73"/>
        <v>0.80148206906726072</v>
      </c>
      <c r="Y129" s="230">
        <f t="shared" si="73"/>
        <v>0.81242850583756498</v>
      </c>
      <c r="Z129" s="230">
        <f t="shared" si="73"/>
        <v>0.82337494260786925</v>
      </c>
      <c r="AA129" s="230">
        <f t="shared" si="73"/>
        <v>0.83432137937817352</v>
      </c>
      <c r="AB129" s="230">
        <f t="shared" si="73"/>
        <v>0.84526781614847779</v>
      </c>
      <c r="AC129" s="230">
        <f t="shared" si="73"/>
        <v>0.85621425291878206</v>
      </c>
      <c r="AD129" s="230">
        <f t="shared" si="73"/>
        <v>0.86716068968908633</v>
      </c>
      <c r="AE129" s="230">
        <f t="shared" si="73"/>
        <v>0.8781071264593906</v>
      </c>
      <c r="AF129" s="230">
        <f t="shared" si="73"/>
        <v>0.88905356322969487</v>
      </c>
      <c r="AG129" s="230">
        <f>'Overall recycling rates'!E95</f>
        <v>0.9</v>
      </c>
      <c r="AI129" s="133"/>
      <c r="AJ129" s="211" t="s">
        <v>1571</v>
      </c>
      <c r="AL129" s="108"/>
      <c r="AM129" s="207"/>
      <c r="AN129" s="207"/>
      <c r="AO129" s="207"/>
      <c r="BC129" s="1"/>
      <c r="BD129" s="207"/>
      <c r="BE129" s="207"/>
      <c r="BF129" s="207"/>
      <c r="BG129" s="207"/>
      <c r="BH129" s="207"/>
      <c r="BI129" s="207"/>
      <c r="BJ129" s="207"/>
      <c r="BK129" s="207"/>
    </row>
    <row r="130" spans="1:63" outlineLevel="1">
      <c r="A130" t="s">
        <v>1572</v>
      </c>
      <c r="B130" s="54" t="s">
        <v>462</v>
      </c>
      <c r="C130" s="110">
        <f>C117*C$129</f>
        <v>1.1432137937817421E-3</v>
      </c>
      <c r="D130" s="110">
        <f t="shared" ref="D130:AG130" si="74">D117*D$129</f>
        <v>1.8936265102783112E-3</v>
      </c>
      <c r="E130" s="110">
        <f t="shared" si="74"/>
        <v>2.8496218948723998E-3</v>
      </c>
      <c r="F130" s="110">
        <f t="shared" si="74"/>
        <v>4.0210602789864094E-3</v>
      </c>
      <c r="G130" s="110">
        <f t="shared" si="74"/>
        <v>5.4178019940427412E-3</v>
      </c>
      <c r="H130" s="110">
        <f t="shared" si="74"/>
        <v>7.0497073714637943E-3</v>
      </c>
      <c r="I130" s="110">
        <f t="shared" si="74"/>
        <v>8.9266367426719742E-3</v>
      </c>
      <c r="J130" s="110">
        <f t="shared" si="74"/>
        <v>1.1058450439089674E-2</v>
      </c>
      <c r="K130" s="110">
        <f t="shared" si="74"/>
        <v>1.3455008792139301E-2</v>
      </c>
      <c r="L130" s="110">
        <f t="shared" si="74"/>
        <v>1.6126172133243258E-2</v>
      </c>
      <c r="M130" s="110">
        <f t="shared" si="74"/>
        <v>1.9081800793823937E-2</v>
      </c>
      <c r="N130" s="110">
        <f t="shared" si="74"/>
        <v>2.3981250219845207E-2</v>
      </c>
      <c r="O130" s="110">
        <f t="shared" si="74"/>
        <v>2.9470872382785233E-2</v>
      </c>
      <c r="P130" s="110">
        <f t="shared" si="74"/>
        <v>3.5571449827334303E-2</v>
      </c>
      <c r="Q130" s="110">
        <f t="shared" si="74"/>
        <v>4.2303765098182698E-2</v>
      </c>
      <c r="R130" s="110">
        <f t="shared" si="74"/>
        <v>4.9688600740020732E-2</v>
      </c>
      <c r="S130" s="110">
        <f t="shared" si="74"/>
        <v>5.774673929753868E-2</v>
      </c>
      <c r="T130" s="110">
        <f t="shared" si="74"/>
        <v>6.6498963315426832E-2</v>
      </c>
      <c r="U130" s="110">
        <f t="shared" si="74"/>
        <v>7.5966055338375471E-2</v>
      </c>
      <c r="V130" s="110">
        <f t="shared" si="74"/>
        <v>8.6168797911074915E-2</v>
      </c>
      <c r="W130" s="110">
        <f t="shared" si="74"/>
        <v>9.712797357821544E-2</v>
      </c>
      <c r="X130" s="110">
        <f t="shared" si="74"/>
        <v>0.11301872531958101</v>
      </c>
      <c r="Y130" s="110">
        <f t="shared" si="74"/>
        <v>0.13016707140327841</v>
      </c>
      <c r="Z130" s="110">
        <f t="shared" si="74"/>
        <v>0.14860778485933426</v>
      </c>
      <c r="AA130" s="110">
        <f t="shared" si="74"/>
        <v>0.16837563871777517</v>
      </c>
      <c r="AB130" s="110">
        <f t="shared" si="74"/>
        <v>0.18950540600862786</v>
      </c>
      <c r="AC130" s="110">
        <f t="shared" si="74"/>
        <v>0.21203185976191888</v>
      </c>
      <c r="AD130" s="110">
        <f t="shared" si="74"/>
        <v>0.23598977300767496</v>
      </c>
      <c r="AE130" s="110">
        <f t="shared" si="74"/>
        <v>0.26141391877592274</v>
      </c>
      <c r="AF130" s="110">
        <f t="shared" si="74"/>
        <v>0.2883390700966888</v>
      </c>
      <c r="AG130" s="110">
        <f t="shared" si="74"/>
        <v>0.31680000000000003</v>
      </c>
      <c r="AI130" s="133"/>
      <c r="AJ130"/>
      <c r="AL130" s="108"/>
      <c r="AM130" s="2"/>
      <c r="AN130" s="2"/>
      <c r="AO130" s="2"/>
      <c r="AV130" s="41"/>
    </row>
    <row r="131" spans="1:63" outlineLevel="1">
      <c r="A131" t="s">
        <v>1573</v>
      </c>
      <c r="B131" s="54" t="s">
        <v>462</v>
      </c>
      <c r="C131" s="110">
        <f>C118*C$129</f>
        <v>1.3146958628490036E-2</v>
      </c>
      <c r="D131" s="110">
        <f t="shared" ref="D131:AG131" si="75">D118*D$129</f>
        <v>1.6314320703936219E-2</v>
      </c>
      <c r="E131" s="110">
        <f t="shared" si="75"/>
        <v>1.9413049158818221E-2</v>
      </c>
      <c r="F131" s="110">
        <f t="shared" si="75"/>
        <v>2.2433283661713651E-2</v>
      </c>
      <c r="G131" s="110">
        <f t="shared" si="75"/>
        <v>2.5365163881200109E-2</v>
      </c>
      <c r="H131" s="110">
        <f t="shared" si="75"/>
        <v>2.8198829485855181E-2</v>
      </c>
      <c r="I131" s="110">
        <f t="shared" si="75"/>
        <v>3.0924420144256486E-2</v>
      </c>
      <c r="J131" s="110">
        <f t="shared" si="75"/>
        <v>3.3532075524981594E-2</v>
      </c>
      <c r="K131" s="110">
        <f t="shared" si="75"/>
        <v>3.6011935296608136E-2</v>
      </c>
      <c r="L131" s="110">
        <f t="shared" si="75"/>
        <v>3.8354139127713696E-2</v>
      </c>
      <c r="M131" s="110">
        <f t="shared" si="75"/>
        <v>4.0548826686875865E-2</v>
      </c>
      <c r="N131" s="110">
        <f t="shared" si="75"/>
        <v>4.5731686465751313E-2</v>
      </c>
      <c r="O131" s="110">
        <f t="shared" si="75"/>
        <v>5.0613019961739843E-2</v>
      </c>
      <c r="P131" s="110">
        <f t="shared" si="75"/>
        <v>5.5172044630151136E-2</v>
      </c>
      <c r="Q131" s="110">
        <f t="shared" si="75"/>
        <v>5.9387977926294917E-2</v>
      </c>
      <c r="R131" s="110">
        <f t="shared" si="75"/>
        <v>6.324003730548089E-2</v>
      </c>
      <c r="S131" s="110">
        <f t="shared" si="75"/>
        <v>6.6707440223018777E-2</v>
      </c>
      <c r="T131" s="110">
        <f t="shared" si="75"/>
        <v>6.9769404134218269E-2</v>
      </c>
      <c r="U131" s="110">
        <f t="shared" si="75"/>
        <v>7.2405146494389089E-2</v>
      </c>
      <c r="V131" s="110">
        <f t="shared" si="75"/>
        <v>7.4593884758840934E-2</v>
      </c>
      <c r="W131" s="110">
        <f t="shared" si="75"/>
        <v>7.6314836382883514E-2</v>
      </c>
      <c r="X131" s="110">
        <f t="shared" si="75"/>
        <v>8.0506489268742584E-2</v>
      </c>
      <c r="Y131" s="110">
        <f t="shared" si="75"/>
        <v>8.3923506562639957E-2</v>
      </c>
      <c r="Z131" s="110">
        <f t="shared" si="75"/>
        <v>8.6531115234548983E-2</v>
      </c>
      <c r="AA131" s="110">
        <f t="shared" si="75"/>
        <v>8.829454225444297E-2</v>
      </c>
      <c r="AB131" s="110">
        <f t="shared" si="75"/>
        <v>8.9179014592295353E-2</v>
      </c>
      <c r="AC131" s="110">
        <f t="shared" si="75"/>
        <v>8.9149759218079411E-2</v>
      </c>
      <c r="AD131" s="110">
        <f t="shared" si="75"/>
        <v>8.8172003101768523E-2</v>
      </c>
      <c r="AE131" s="110">
        <f t="shared" si="75"/>
        <v>8.6210973213336053E-2</v>
      </c>
      <c r="AF131" s="110">
        <f t="shared" si="75"/>
        <v>8.3231896522755353E-2</v>
      </c>
      <c r="AG131" s="110">
        <f t="shared" si="75"/>
        <v>7.9199999999999979E-2</v>
      </c>
      <c r="AH131" s="245"/>
      <c r="AI131" s="133"/>
      <c r="AJ131" s="211"/>
      <c r="AL131" s="108"/>
      <c r="AM131" s="2"/>
      <c r="AN131" s="2"/>
      <c r="AO131" s="2"/>
      <c r="AV131" s="41"/>
    </row>
    <row r="132" spans="1:63" outlineLevel="1">
      <c r="A132" t="s">
        <v>1574</v>
      </c>
      <c r="B132" s="176" t="s">
        <v>462</v>
      </c>
      <c r="C132" s="110">
        <f>SUM(C130:C131)</f>
        <v>1.4290172422271779E-2</v>
      </c>
      <c r="D132" s="110">
        <f t="shared" ref="D132:AG132" si="76">SUM(D130:D131)</f>
        <v>1.820794721421453E-2</v>
      </c>
      <c r="E132" s="110">
        <f t="shared" si="76"/>
        <v>2.2262671053690619E-2</v>
      </c>
      <c r="F132" s="110">
        <f t="shared" si="76"/>
        <v>2.6454343940700061E-2</v>
      </c>
      <c r="G132" s="110">
        <f t="shared" si="76"/>
        <v>3.0782965875242849E-2</v>
      </c>
      <c r="H132" s="110">
        <f t="shared" si="76"/>
        <v>3.5248536857318977E-2</v>
      </c>
      <c r="I132" s="110">
        <f t="shared" si="76"/>
        <v>3.9851056886928457E-2</v>
      </c>
      <c r="J132" s="110">
        <f t="shared" si="76"/>
        <v>4.4590525964071266E-2</v>
      </c>
      <c r="K132" s="110">
        <f t="shared" si="76"/>
        <v>4.9466944088747439E-2</v>
      </c>
      <c r="L132" s="110">
        <f t="shared" si="76"/>
        <v>5.4480311260956954E-2</v>
      </c>
      <c r="M132" s="110">
        <f t="shared" si="76"/>
        <v>5.9630627480699805E-2</v>
      </c>
      <c r="N132" s="110">
        <f t="shared" si="76"/>
        <v>6.9712936685596527E-2</v>
      </c>
      <c r="O132" s="110">
        <f t="shared" si="76"/>
        <v>8.0083892344525079E-2</v>
      </c>
      <c r="P132" s="110">
        <f t="shared" si="76"/>
        <v>9.0743494457485446E-2</v>
      </c>
      <c r="Q132" s="110">
        <f t="shared" si="76"/>
        <v>0.10169174302447762</v>
      </c>
      <c r="R132" s="110">
        <f t="shared" si="76"/>
        <v>0.11292863804550163</v>
      </c>
      <c r="S132" s="110">
        <f t="shared" si="76"/>
        <v>0.12445417952055746</v>
      </c>
      <c r="T132" s="110">
        <f t="shared" si="76"/>
        <v>0.1362683674496451</v>
      </c>
      <c r="U132" s="110">
        <f t="shared" si="76"/>
        <v>0.14837120183276456</v>
      </c>
      <c r="V132" s="110">
        <f t="shared" si="76"/>
        <v>0.16076268266991584</v>
      </c>
      <c r="W132" s="110">
        <f t="shared" si="76"/>
        <v>0.17344280996109895</v>
      </c>
      <c r="X132" s="110">
        <f t="shared" si="76"/>
        <v>0.19352521458832361</v>
      </c>
      <c r="Y132" s="110">
        <f t="shared" si="76"/>
        <v>0.21409057796591835</v>
      </c>
      <c r="Z132" s="110">
        <f t="shared" si="76"/>
        <v>0.23513890009388325</v>
      </c>
      <c r="AA132" s="110">
        <f t="shared" si="76"/>
        <v>0.25667018097221816</v>
      </c>
      <c r="AB132" s="110">
        <f t="shared" si="76"/>
        <v>0.27868442060092324</v>
      </c>
      <c r="AC132" s="110">
        <f t="shared" si="76"/>
        <v>0.30118161897999829</v>
      </c>
      <c r="AD132" s="110">
        <f t="shared" si="76"/>
        <v>0.32416177610944347</v>
      </c>
      <c r="AE132" s="110">
        <f t="shared" si="76"/>
        <v>0.34762489198925878</v>
      </c>
      <c r="AF132" s="110">
        <f t="shared" si="76"/>
        <v>0.37157096661944417</v>
      </c>
      <c r="AG132" s="110">
        <f t="shared" si="76"/>
        <v>0.39600000000000002</v>
      </c>
      <c r="AI132" s="133"/>
      <c r="AJ132" s="211"/>
      <c r="AL132" s="108"/>
      <c r="AM132" s="2"/>
      <c r="AN132" s="2"/>
      <c r="AO132" s="2"/>
    </row>
    <row r="133" spans="1:63" outlineLevel="1">
      <c r="A133" t="s">
        <v>1575</v>
      </c>
      <c r="B133" s="54" t="s">
        <v>462</v>
      </c>
      <c r="C133" s="110">
        <f>C120*C131</f>
        <v>6.8364184868148188E-3</v>
      </c>
      <c r="D133" s="110">
        <f t="shared" ref="D133:AG133" si="77">D120*D131</f>
        <v>8.483446766046834E-3</v>
      </c>
      <c r="E133" s="110">
        <f t="shared" si="77"/>
        <v>1.0094785562585475E-2</v>
      </c>
      <c r="F133" s="110">
        <f t="shared" si="77"/>
        <v>1.1665307504091098E-2</v>
      </c>
      <c r="G133" s="110">
        <f t="shared" si="77"/>
        <v>1.3189885218224057E-2</v>
      </c>
      <c r="H133" s="110">
        <f t="shared" si="77"/>
        <v>1.4663391332644694E-2</v>
      </c>
      <c r="I133" s="110">
        <f t="shared" si="77"/>
        <v>1.6080698475013373E-2</v>
      </c>
      <c r="J133" s="110">
        <f t="shared" si="77"/>
        <v>1.7436679272990429E-2</v>
      </c>
      <c r="K133" s="110">
        <f t="shared" si="77"/>
        <v>1.8726206354236233E-2</v>
      </c>
      <c r="L133" s="110">
        <f t="shared" si="77"/>
        <v>1.9944152346411122E-2</v>
      </c>
      <c r="M133" s="110">
        <f t="shared" si="77"/>
        <v>2.108538987717545E-2</v>
      </c>
      <c r="N133" s="110">
        <f t="shared" si="77"/>
        <v>2.3780476962190683E-2</v>
      </c>
      <c r="O133" s="110">
        <f t="shared" si="77"/>
        <v>2.631877038010472E-2</v>
      </c>
      <c r="P133" s="110">
        <f t="shared" si="77"/>
        <v>2.8689463207678591E-2</v>
      </c>
      <c r="Q133" s="110">
        <f t="shared" si="77"/>
        <v>3.0881748521673358E-2</v>
      </c>
      <c r="R133" s="110">
        <f t="shared" si="77"/>
        <v>3.2884819398850067E-2</v>
      </c>
      <c r="S133" s="110">
        <f t="shared" si="77"/>
        <v>3.4687868915969762E-2</v>
      </c>
      <c r="T133" s="110">
        <f t="shared" si="77"/>
        <v>3.6280090149793498E-2</v>
      </c>
      <c r="U133" s="110">
        <f t="shared" si="77"/>
        <v>3.7650676177082329E-2</v>
      </c>
      <c r="V133" s="110">
        <f t="shared" si="77"/>
        <v>3.8788820074597288E-2</v>
      </c>
      <c r="W133" s="110">
        <f t="shared" si="77"/>
        <v>3.968371491909943E-2</v>
      </c>
      <c r="X133" s="110">
        <f t="shared" si="77"/>
        <v>4.1863374419746142E-2</v>
      </c>
      <c r="Y133" s="110">
        <f t="shared" si="77"/>
        <v>4.364022341257278E-2</v>
      </c>
      <c r="Z133" s="110">
        <f t="shared" si="77"/>
        <v>4.4996179921965473E-2</v>
      </c>
      <c r="AA133" s="110">
        <f t="shared" si="77"/>
        <v>4.5913161972310344E-2</v>
      </c>
      <c r="AB133" s="110">
        <f t="shared" si="77"/>
        <v>4.6373087587993585E-2</v>
      </c>
      <c r="AC133" s="110">
        <f t="shared" si="77"/>
        <v>4.6357874793401296E-2</v>
      </c>
      <c r="AD133" s="110">
        <f t="shared" si="77"/>
        <v>4.5849441612919636E-2</v>
      </c>
      <c r="AE133" s="110">
        <f t="shared" si="77"/>
        <v>4.4829706070934748E-2</v>
      </c>
      <c r="AF133" s="110">
        <f t="shared" si="77"/>
        <v>4.3280586191832782E-2</v>
      </c>
      <c r="AG133" s="110">
        <f t="shared" si="77"/>
        <v>4.1183999999999991E-2</v>
      </c>
      <c r="AI133" s="133"/>
      <c r="AJ133" s="211"/>
      <c r="BD133" s="203"/>
      <c r="BE133" s="203"/>
    </row>
    <row r="134" spans="1:63" outlineLevel="1">
      <c r="A134" t="s">
        <v>1576</v>
      </c>
      <c r="B134" s="54" t="s">
        <v>462</v>
      </c>
      <c r="C134" s="110">
        <f>C121*C131</f>
        <v>1.5776350354188044E-3</v>
      </c>
      <c r="D134" s="110">
        <f t="shared" ref="D134:AG134" si="78">D121*D131</f>
        <v>1.9577184844723461E-3</v>
      </c>
      <c r="E134" s="110">
        <f t="shared" si="78"/>
        <v>2.3295658990581864E-3</v>
      </c>
      <c r="F134" s="110">
        <f t="shared" si="78"/>
        <v>2.6919940394056381E-3</v>
      </c>
      <c r="G134" s="110">
        <f t="shared" si="78"/>
        <v>3.043819665744013E-3</v>
      </c>
      <c r="H134" s="110">
        <f t="shared" si="78"/>
        <v>3.3838595383026216E-3</v>
      </c>
      <c r="I134" s="110">
        <f t="shared" si="78"/>
        <v>3.7109304173107783E-3</v>
      </c>
      <c r="J134" s="110">
        <f t="shared" si="78"/>
        <v>4.0238490629977914E-3</v>
      </c>
      <c r="K134" s="110">
        <f t="shared" si="78"/>
        <v>4.3214322355929757E-3</v>
      </c>
      <c r="L134" s="110">
        <f t="shared" si="78"/>
        <v>4.6024966953256436E-3</v>
      </c>
      <c r="M134" s="110">
        <f t="shared" si="78"/>
        <v>4.8658592024251037E-3</v>
      </c>
      <c r="N134" s="110">
        <f t="shared" si="78"/>
        <v>5.4878023758901575E-3</v>
      </c>
      <c r="O134" s="110">
        <f t="shared" si="78"/>
        <v>6.0735623954087806E-3</v>
      </c>
      <c r="P134" s="110">
        <f t="shared" si="78"/>
        <v>6.6206453556181362E-3</v>
      </c>
      <c r="Q134" s="110">
        <f t="shared" si="78"/>
        <v>7.1265573511553899E-3</v>
      </c>
      <c r="R134" s="110">
        <f t="shared" si="78"/>
        <v>7.5888044766577066E-3</v>
      </c>
      <c r="S134" s="110">
        <f t="shared" si="78"/>
        <v>8.0048928267622537E-3</v>
      </c>
      <c r="T134" s="110">
        <f t="shared" si="78"/>
        <v>8.3723284961061926E-3</v>
      </c>
      <c r="U134" s="110">
        <f t="shared" si="78"/>
        <v>8.68861757932669E-3</v>
      </c>
      <c r="V134" s="110">
        <f t="shared" si="78"/>
        <v>8.9512661710609114E-3</v>
      </c>
      <c r="W134" s="110">
        <f t="shared" si="78"/>
        <v>9.1577803659460208E-3</v>
      </c>
      <c r="X134" s="110">
        <f t="shared" si="78"/>
        <v>9.6607787122491105E-3</v>
      </c>
      <c r="Y134" s="110">
        <f t="shared" si="78"/>
        <v>1.0070820787516794E-2</v>
      </c>
      <c r="Z134" s="110">
        <f t="shared" si="78"/>
        <v>1.0383733828145877E-2</v>
      </c>
      <c r="AA134" s="110">
        <f t="shared" si="78"/>
        <v>1.0595345070533157E-2</v>
      </c>
      <c r="AB134" s="110">
        <f t="shared" si="78"/>
        <v>1.0701481751075442E-2</v>
      </c>
      <c r="AC134" s="110">
        <f t="shared" si="78"/>
        <v>1.0697971106169529E-2</v>
      </c>
      <c r="AD134" s="110">
        <f t="shared" si="78"/>
        <v>1.0580640372212222E-2</v>
      </c>
      <c r="AE134" s="110">
        <f t="shared" si="78"/>
        <v>1.0345316785600326E-2</v>
      </c>
      <c r="AF134" s="110">
        <f t="shared" si="78"/>
        <v>9.9878275827306427E-3</v>
      </c>
      <c r="AG134" s="110">
        <f t="shared" si="78"/>
        <v>9.5039999999999968E-3</v>
      </c>
      <c r="AI134" s="133"/>
      <c r="AJ134" s="211"/>
      <c r="AL134" s="1"/>
      <c r="BC134" s="1"/>
      <c r="BD134" s="762"/>
      <c r="BE134" s="760"/>
      <c r="BF134" s="6"/>
      <c r="BG134" s="6"/>
      <c r="BH134" s="6"/>
      <c r="BI134" s="6"/>
      <c r="BJ134" s="6"/>
    </row>
    <row r="135" spans="1:63" outlineLevel="1">
      <c r="A135" t="s">
        <v>1577</v>
      </c>
      <c r="B135" s="54" t="s">
        <v>462</v>
      </c>
      <c r="C135" s="110">
        <f>C122*C131</f>
        <v>4.7329051062564133E-3</v>
      </c>
      <c r="D135" s="110">
        <f t="shared" ref="D135:AG135" si="79">D122*D131</f>
        <v>5.8731554534170389E-3</v>
      </c>
      <c r="E135" s="110">
        <f t="shared" si="79"/>
        <v>6.9886976971745588E-3</v>
      </c>
      <c r="F135" s="110">
        <f t="shared" si="79"/>
        <v>8.0759821182169143E-3</v>
      </c>
      <c r="G135" s="110">
        <f t="shared" si="79"/>
        <v>9.1314589972320385E-3</v>
      </c>
      <c r="H135" s="110">
        <f t="shared" si="79"/>
        <v>1.0151578614907864E-2</v>
      </c>
      <c r="I135" s="110">
        <f t="shared" si="79"/>
        <v>1.1132791251932334E-2</v>
      </c>
      <c r="J135" s="110">
        <f t="shared" si="79"/>
        <v>1.2071547188993373E-2</v>
      </c>
      <c r="K135" s="110">
        <f t="shared" si="79"/>
        <v>1.2964296706778929E-2</v>
      </c>
      <c r="L135" s="110">
        <f t="shared" si="79"/>
        <v>1.3807490085976931E-2</v>
      </c>
      <c r="M135" s="110">
        <f t="shared" si="79"/>
        <v>1.459757760727531E-2</v>
      </c>
      <c r="N135" s="110">
        <f t="shared" si="79"/>
        <v>1.6463407127670471E-2</v>
      </c>
      <c r="O135" s="110">
        <f t="shared" si="79"/>
        <v>1.8220687186226343E-2</v>
      </c>
      <c r="P135" s="110">
        <f t="shared" si="79"/>
        <v>1.9861936066854408E-2</v>
      </c>
      <c r="Q135" s="110">
        <f t="shared" si="79"/>
        <v>2.1379672053466168E-2</v>
      </c>
      <c r="R135" s="110">
        <f t="shared" si="79"/>
        <v>2.2766413429973119E-2</v>
      </c>
      <c r="S135" s="110">
        <f t="shared" si="79"/>
        <v>2.4014678480286759E-2</v>
      </c>
      <c r="T135" s="110">
        <f t="shared" si="79"/>
        <v>2.5116985488318574E-2</v>
      </c>
      <c r="U135" s="110">
        <f t="shared" si="79"/>
        <v>2.606585273798007E-2</v>
      </c>
      <c r="V135" s="110">
        <f t="shared" si="79"/>
        <v>2.6853798513182734E-2</v>
      </c>
      <c r="W135" s="110">
        <f t="shared" si="79"/>
        <v>2.7473341097838062E-2</v>
      </c>
      <c r="X135" s="110">
        <f t="shared" si="79"/>
        <v>2.898233613674733E-2</v>
      </c>
      <c r="Y135" s="110">
        <f t="shared" si="79"/>
        <v>3.0212462362550385E-2</v>
      </c>
      <c r="Z135" s="110">
        <f t="shared" si="79"/>
        <v>3.1151201484437632E-2</v>
      </c>
      <c r="AA135" s="110">
        <f t="shared" si="79"/>
        <v>3.1786035211599471E-2</v>
      </c>
      <c r="AB135" s="110">
        <f t="shared" si="79"/>
        <v>3.2104445253226324E-2</v>
      </c>
      <c r="AC135" s="110">
        <f t="shared" si="79"/>
        <v>3.2093913318508589E-2</v>
      </c>
      <c r="AD135" s="110">
        <f t="shared" si="79"/>
        <v>3.1741921116636665E-2</v>
      </c>
      <c r="AE135" s="110">
        <f t="shared" si="79"/>
        <v>3.1035950356800977E-2</v>
      </c>
      <c r="AF135" s="110">
        <f t="shared" si="79"/>
        <v>2.9963482748191925E-2</v>
      </c>
      <c r="AG135" s="110">
        <f t="shared" si="79"/>
        <v>2.8511999999999992E-2</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C43*C130</f>
        <v>6.7049132945215778E-4</v>
      </c>
      <c r="D137" s="300">
        <f t="shared" ref="D137:AG137" si="80">D43*D130</f>
        <v>1.1478352307777058E-3</v>
      </c>
      <c r="E137" s="300">
        <f t="shared" si="80"/>
        <v>1.7805542791737255E-3</v>
      </c>
      <c r="F137" s="300">
        <f t="shared" si="80"/>
        <v>2.5831837745747608E-3</v>
      </c>
      <c r="G137" s="300">
        <f t="shared" si="80"/>
        <v>3.569022952927645E-3</v>
      </c>
      <c r="H137" s="300">
        <f t="shared" si="80"/>
        <v>4.7497889473316337E-3</v>
      </c>
      <c r="I137" s="300">
        <f t="shared" si="80"/>
        <v>6.1485166320904075E-3</v>
      </c>
      <c r="J137" s="300">
        <f t="shared" si="80"/>
        <v>7.7831974694934566E-3</v>
      </c>
      <c r="K137" s="300">
        <f t="shared" si="80"/>
        <v>9.6723235601463026E-3</v>
      </c>
      <c r="L137" s="300">
        <f t="shared" si="80"/>
        <v>1.1834848703256148E-2</v>
      </c>
      <c r="M137" s="300">
        <f t="shared" si="80"/>
        <v>1.4290145645258399E-2</v>
      </c>
      <c r="N137" s="300">
        <f t="shared" si="80"/>
        <v>1.8291706080824335E-2</v>
      </c>
      <c r="O137" s="300">
        <f t="shared" si="80"/>
        <v>2.2851673545355191E-2</v>
      </c>
      <c r="P137" s="300">
        <f t="shared" si="80"/>
        <v>2.8042244203087752E-2</v>
      </c>
      <c r="Q137" s="300">
        <f t="shared" si="80"/>
        <v>3.3841437711663681E-2</v>
      </c>
      <c r="R137" s="300">
        <f t="shared" si="80"/>
        <v>4.0258337214343742E-2</v>
      </c>
      <c r="S137" s="300">
        <f t="shared" si="80"/>
        <v>4.7381254936457555E-2</v>
      </c>
      <c r="T137" s="300">
        <f t="shared" si="80"/>
        <v>5.5249036669867142E-2</v>
      </c>
      <c r="U137" s="300">
        <f t="shared" si="80"/>
        <v>6.3901469001964778E-2</v>
      </c>
      <c r="V137" s="300">
        <f t="shared" si="80"/>
        <v>7.3379271248815409E-2</v>
      </c>
      <c r="W137" s="300">
        <f t="shared" si="80"/>
        <v>8.3724086182551366E-2</v>
      </c>
      <c r="X137" s="300">
        <f t="shared" si="80"/>
        <v>9.860401797579689E-2</v>
      </c>
      <c r="Y137" s="300">
        <f t="shared" si="80"/>
        <v>0.11493143565360757</v>
      </c>
      <c r="Z137" s="300">
        <f t="shared" si="80"/>
        <v>0.13316836560433487</v>
      </c>
      <c r="AA137" s="300">
        <f t="shared" si="80"/>
        <v>0.15311129732295675</v>
      </c>
      <c r="AB137" s="300">
        <f t="shared" si="80"/>
        <v>0.17484965849953601</v>
      </c>
      <c r="AC137" s="300">
        <f t="shared" si="80"/>
        <v>0.19847710825052803</v>
      </c>
      <c r="AD137" s="300">
        <f t="shared" si="80"/>
        <v>0.22408850936883118</v>
      </c>
      <c r="AE137" s="300">
        <f t="shared" si="80"/>
        <v>0.25178118845309372</v>
      </c>
      <c r="AF137" s="300">
        <f t="shared" si="80"/>
        <v>0.28165493653310331</v>
      </c>
      <c r="AG137" s="300">
        <f t="shared" si="80"/>
        <v>0.31381200747535853</v>
      </c>
      <c r="AH137" s="245"/>
      <c r="AI137" s="423"/>
      <c r="AJ137" s="424"/>
      <c r="AL137" s="221"/>
      <c r="AM137" s="124"/>
      <c r="AN137" s="124"/>
      <c r="AO137" s="124"/>
      <c r="BD137" s="124"/>
      <c r="BE137" s="124"/>
      <c r="BF137" s="124"/>
      <c r="BG137" s="124"/>
      <c r="BH137" s="124"/>
      <c r="BI137" s="124"/>
      <c r="BJ137" s="124"/>
      <c r="BK137" s="124"/>
    </row>
    <row r="138" spans="1:63" outlineLevel="1">
      <c r="A138" s="4" t="s">
        <v>474</v>
      </c>
      <c r="C138" s="230">
        <f>C$137*'Methanol recycling rates'!E48</f>
        <v>0</v>
      </c>
      <c r="D138" s="230">
        <f>D$137*'Methanol recycling rates'!F48</f>
        <v>0</v>
      </c>
      <c r="E138" s="230">
        <f>E$137*'Methanol recycling rates'!G48</f>
        <v>0</v>
      </c>
      <c r="F138" s="230">
        <f>F$137*'Methanol recycling rates'!H48</f>
        <v>0</v>
      </c>
      <c r="G138" s="230">
        <f>G$137*'Methanol recycling rates'!I48</f>
        <v>0</v>
      </c>
      <c r="H138" s="230">
        <f>H$137*'Methanol recycling rates'!J48</f>
        <v>0</v>
      </c>
      <c r="I138" s="230">
        <f>I$137*'Methanol recycling rates'!K48</f>
        <v>0</v>
      </c>
      <c r="J138" s="230">
        <f>J$137*'Methanol recycling rates'!L48</f>
        <v>0</v>
      </c>
      <c r="K138" s="230">
        <f>K$137*'Methanol recycling rates'!M48</f>
        <v>0</v>
      </c>
      <c r="L138" s="230">
        <f>L$137*'Methanol recycling rates'!N48</f>
        <v>0</v>
      </c>
      <c r="M138" s="230">
        <f>M$137*'Methanol recycling rates'!O48</f>
        <v>0</v>
      </c>
      <c r="N138" s="230">
        <f>N$137*'Methanol recycling rates'!P48</f>
        <v>0</v>
      </c>
      <c r="O138" s="230">
        <f>O$137*'Methanol recycling rates'!Q48</f>
        <v>0</v>
      </c>
      <c r="P138" s="230">
        <f>P$137*'Methanol recycling rates'!R48</f>
        <v>0</v>
      </c>
      <c r="Q138" s="230">
        <f>Q$137*'Methanol recycling rates'!S48</f>
        <v>0</v>
      </c>
      <c r="R138" s="230">
        <f>R$137*'Methanol recycling rates'!T48</f>
        <v>0</v>
      </c>
      <c r="S138" s="230">
        <f>S$137*'Methanol recycling rates'!U48</f>
        <v>0</v>
      </c>
      <c r="T138" s="230">
        <f>T$137*'Methanol recycling rates'!V48</f>
        <v>0</v>
      </c>
      <c r="U138" s="230">
        <f>U$137*'Methanol recycling rates'!W48</f>
        <v>0</v>
      </c>
      <c r="V138" s="230">
        <f>V$137*'Methanol recycling rates'!X48</f>
        <v>0</v>
      </c>
      <c r="W138" s="230">
        <f>W$137*'Methanol recycling rates'!Y48</f>
        <v>0</v>
      </c>
      <c r="X138" s="230">
        <f>X$137*'Methanol recycling rates'!Z48</f>
        <v>0</v>
      </c>
      <c r="Y138" s="230">
        <f>Y$137*'Methanol recycling rates'!AA48</f>
        <v>0</v>
      </c>
      <c r="Z138" s="230">
        <f>Z$137*'Methanol recycling rates'!AB48</f>
        <v>0</v>
      </c>
      <c r="AA138" s="230">
        <f>AA$137*'Methanol recycling rates'!AC48</f>
        <v>0</v>
      </c>
      <c r="AB138" s="230">
        <f>AB$137*'Methanol recycling rates'!AD48</f>
        <v>0</v>
      </c>
      <c r="AC138" s="230">
        <f>AC$137*'Methanol recycling rates'!AE48</f>
        <v>0</v>
      </c>
      <c r="AD138" s="230">
        <f>AD$137*'Methanol recycling rates'!AF48</f>
        <v>0</v>
      </c>
      <c r="AE138" s="230">
        <f>AE$137*'Methanol recycling rates'!AG48</f>
        <v>0</v>
      </c>
      <c r="AF138" s="230">
        <f>AF$137*'Methanol recycling rates'!AH48</f>
        <v>0</v>
      </c>
      <c r="AG138" s="230">
        <f>AG$137*'Methanol recycling rates'!AI48</f>
        <v>0</v>
      </c>
      <c r="AH138" s="245"/>
      <c r="AI138" s="133"/>
      <c r="AJ138" s="211"/>
      <c r="AL138" s="108"/>
      <c r="AM138" s="2"/>
      <c r="AN138" s="2"/>
      <c r="AO138" s="2"/>
      <c r="BC138" s="1"/>
      <c r="BD138" s="2"/>
      <c r="BE138" s="2"/>
      <c r="BF138" s="2"/>
      <c r="BG138" s="2"/>
      <c r="BH138" s="2"/>
      <c r="BI138" s="2"/>
      <c r="BJ138" s="2"/>
      <c r="BK138" s="2"/>
    </row>
    <row r="139" spans="1:63" outlineLevel="1">
      <c r="A139" s="4" t="s">
        <v>745</v>
      </c>
      <c r="C139" s="230">
        <f>C$137*'Methanol recycling rates'!E49</f>
        <v>0</v>
      </c>
      <c r="D139" s="230">
        <f>D$137*'Methanol recycling rates'!F49</f>
        <v>4.4601425719494335E-6</v>
      </c>
      <c r="E139" s="230">
        <f>E$137*'Methanol recycling rates'!G49</f>
        <v>1.383739709196547E-5</v>
      </c>
      <c r="F139" s="230">
        <f>F$137*'Methanol recycling rates'!H49</f>
        <v>3.0112426283545198E-5</v>
      </c>
      <c r="G139" s="230">
        <f>G$137*'Methanol recycling rates'!I49</f>
        <v>5.547260019831218E-5</v>
      </c>
      <c r="H139" s="230">
        <f>H$137*'Methanol recycling rates'!J49</f>
        <v>9.2281258336247311E-5</v>
      </c>
      <c r="I139" s="230">
        <f>I$137*'Methanol recycling rates'!K49</f>
        <v>1.4334772125723229E-4</v>
      </c>
      <c r="J139" s="230">
        <f>J$137*'Methanol recycling rates'!L49</f>
        <v>2.117021556241971E-4</v>
      </c>
      <c r="K139" s="230">
        <f>K$137*'Methanol recycling rates'!M49</f>
        <v>3.0066992839067287E-4</v>
      </c>
      <c r="L139" s="230">
        <f>L$137*'Methanol recycling rates'!N49</f>
        <v>4.1387997167841137E-4</v>
      </c>
      <c r="M139" s="230">
        <f>M$137*'Methanol recycling rates'!O49</f>
        <v>5.5527209169726349E-4</v>
      </c>
      <c r="N139" s="230">
        <f>N$137*'Methanol recycling rates'!P49</f>
        <v>7.8183676802056441E-4</v>
      </c>
      <c r="O139" s="230">
        <f>O$137*'Methanol recycling rates'!Q49</f>
        <v>1.0655367873753775E-3</v>
      </c>
      <c r="P139" s="230">
        <f>P$137*'Methanol recycling rates'!R49</f>
        <v>1.4165284788130068E-3</v>
      </c>
      <c r="Q139" s="230">
        <f>Q$137*'Methanol recycling rates'!S49</f>
        <v>1.8409671195063384E-3</v>
      </c>
      <c r="R139" s="230">
        <f>R$137*'Methanol recycling rates'!T49</f>
        <v>2.3464769010958053E-3</v>
      </c>
      <c r="S139" s="230">
        <f>S$137*'Methanol recycling rates'!U49</f>
        <v>2.945748958917048E-3</v>
      </c>
      <c r="T139" s="230">
        <f>T$137*'Methanol recycling rates'!V49</f>
        <v>3.6495794486458531E-3</v>
      </c>
      <c r="U139" s="230">
        <f>U$137*'Methanol recycling rates'!W49</f>
        <v>4.4694340998994745E-3</v>
      </c>
      <c r="V139" s="230">
        <f>V$137*'Methanol recycling rates'!X49</f>
        <v>5.4174658989171029E-3</v>
      </c>
      <c r="W139" s="230">
        <f>W$137*'Methanol recycling rates'!Y49</f>
        <v>6.5065324894645745E-3</v>
      </c>
      <c r="X139" s="230">
        <f>X$137*'Methanol recycling rates'!Z49</f>
        <v>8.0460568707792918E-3</v>
      </c>
      <c r="Y139" s="230">
        <f>Y$137*'Methanol recycling rates'!AA49</f>
        <v>9.824958021775786E-3</v>
      </c>
      <c r="Z139" s="230">
        <f>Z$137*'Methanol recycling rates'!AB49</f>
        <v>1.1901401226487078E-2</v>
      </c>
      <c r="AA139" s="230">
        <f>AA$137*'Methanol recycling rates'!AC49</f>
        <v>1.4278667121388172E-2</v>
      </c>
      <c r="AB139" s="230">
        <f>AB$137*'Methanol recycling rates'!AD49</f>
        <v>1.6985329964044941E-2</v>
      </c>
      <c r="AC139" s="230">
        <f>AC$137*'Methanol recycling rates'!AE49</f>
        <v>2.0051781461796658E-2</v>
      </c>
      <c r="AD139" s="230">
        <f>AD$137*'Methanol recycling rates'!AF49</f>
        <v>2.3509995329009624E-2</v>
      </c>
      <c r="AE139" s="230">
        <f>AE$137*'Methanol recycling rates'!AG49</f>
        <v>2.7393687774241268E-2</v>
      </c>
      <c r="AF139" s="230">
        <f>AF$137*'Methanol recycling rates'!AH49</f>
        <v>3.173836543875392E-2</v>
      </c>
      <c r="AG139" s="230">
        <f>AG$137*'Methanol recycling rates'!AI49</f>
        <v>3.6581373090842723E-2</v>
      </c>
      <c r="AH139" s="245"/>
      <c r="AI139" s="133"/>
      <c r="AJ139" s="211"/>
      <c r="AL139" s="108"/>
      <c r="AM139" s="2"/>
      <c r="AN139" s="2"/>
      <c r="AO139" s="2"/>
      <c r="BC139" s="1"/>
      <c r="BD139" s="2"/>
      <c r="BE139" s="2"/>
      <c r="BF139" s="2"/>
      <c r="BG139" s="2"/>
      <c r="BH139" s="2"/>
      <c r="BI139" s="2"/>
      <c r="BJ139" s="2"/>
      <c r="BK139" s="2"/>
    </row>
    <row r="140" spans="1:63" outlineLevel="1">
      <c r="A140" s="4" t="s">
        <v>1561</v>
      </c>
      <c r="C140" s="230">
        <f>C$137*'Methanol recycling rates'!E50</f>
        <v>6.7049132945215778E-4</v>
      </c>
      <c r="D140" s="230">
        <f>D$137*'Methanol recycling rates'!F50</f>
        <v>1.1433750882057564E-3</v>
      </c>
      <c r="E140" s="230">
        <f>E$137*'Methanol recycling rates'!G50</f>
        <v>1.7667168820817603E-3</v>
      </c>
      <c r="F140" s="230">
        <f>F$137*'Methanol recycling rates'!H50</f>
        <v>2.5530713482912158E-3</v>
      </c>
      <c r="G140" s="230">
        <f>G$137*'Methanol recycling rates'!I50</f>
        <v>3.5135503527293334E-3</v>
      </c>
      <c r="H140" s="230">
        <f>H$137*'Methanol recycling rates'!J50</f>
        <v>4.6575076889953876E-3</v>
      </c>
      <c r="I140" s="230">
        <f>I$137*'Methanol recycling rates'!K50</f>
        <v>6.0051689108331771E-3</v>
      </c>
      <c r="J140" s="230">
        <f>J$137*'Methanol recycling rates'!L50</f>
        <v>7.5714953138692623E-3</v>
      </c>
      <c r="K140" s="230">
        <f>K$137*'Methanol recycling rates'!M50</f>
        <v>9.3716536317556328E-3</v>
      </c>
      <c r="L140" s="230">
        <f>L$137*'Methanol recycling rates'!N50</f>
        <v>1.1420968731577741E-2</v>
      </c>
      <c r="M140" s="230">
        <f>M$137*'Methanol recycling rates'!O50</f>
        <v>1.3734873553561143E-2</v>
      </c>
      <c r="N140" s="230">
        <f>N$137*'Methanol recycling rates'!P50</f>
        <v>1.750986931280378E-2</v>
      </c>
      <c r="O140" s="230">
        <f>O$137*'Methanol recycling rates'!Q50</f>
        <v>2.1786136757979826E-2</v>
      </c>
      <c r="P140" s="230">
        <f>P$137*'Methanol recycling rates'!R50</f>
        <v>2.6625715724274763E-2</v>
      </c>
      <c r="Q140" s="230">
        <f>Q$137*'Methanol recycling rates'!S50</f>
        <v>3.2000470592157361E-2</v>
      </c>
      <c r="R140" s="230">
        <f>R$137*'Methanol recycling rates'!T50</f>
        <v>3.7911860313247961E-2</v>
      </c>
      <c r="S140" s="230">
        <f>S$137*'Methanol recycling rates'!U50</f>
        <v>4.4435505977540542E-2</v>
      </c>
      <c r="T140" s="230">
        <f>T$137*'Methanol recycling rates'!V50</f>
        <v>5.1599457221221327E-2</v>
      </c>
      <c r="U140" s="230">
        <f>U$137*'Methanol recycling rates'!W50</f>
        <v>5.9432034902065355E-2</v>
      </c>
      <c r="V140" s="230">
        <f>V$137*'Methanol recycling rates'!X50</f>
        <v>6.796180534989836E-2</v>
      </c>
      <c r="W140" s="230">
        <f>W$137*'Methanol recycling rates'!Y50</f>
        <v>7.721755369308686E-2</v>
      </c>
      <c r="X140" s="230">
        <f>X$137*'Methanol recycling rates'!Z50</f>
        <v>9.0557961105017681E-2</v>
      </c>
      <c r="Y140" s="230">
        <f>Y$137*'Methanol recycling rates'!AA50</f>
        <v>0.1051064776318319</v>
      </c>
      <c r="Z140" s="230">
        <f>Z$137*'Methanol recycling rates'!AB50</f>
        <v>0.12126696437784792</v>
      </c>
      <c r="AA140" s="230">
        <f>AA$137*'Methanol recycling rates'!AC50</f>
        <v>0.13883263020156875</v>
      </c>
      <c r="AB140" s="230">
        <f>AB$137*'Methanol recycling rates'!AD50</f>
        <v>0.15786432853549126</v>
      </c>
      <c r="AC140" s="230">
        <f>AC$137*'Methanol recycling rates'!AE50</f>
        <v>0.1784253267887316</v>
      </c>
      <c r="AD140" s="230">
        <f>AD$137*'Methanol recycling rates'!AF50</f>
        <v>0.20057851403982183</v>
      </c>
      <c r="AE140" s="230">
        <f>AE$137*'Methanol recycling rates'!AG50</f>
        <v>0.22438750067885274</v>
      </c>
      <c r="AF140" s="230">
        <f>AF$137*'Methanol recycling rates'!AH50</f>
        <v>0.24991657109434973</v>
      </c>
      <c r="AG140" s="230">
        <f>AG$137*'Methanol recycling rates'!AI50</f>
        <v>0.27723063438451584</v>
      </c>
      <c r="AH140" s="245"/>
      <c r="AI140" s="133"/>
      <c r="AJ140" s="211"/>
      <c r="AL140" s="108"/>
      <c r="AM140" s="2"/>
      <c r="AN140" s="2"/>
      <c r="AO140" s="2"/>
      <c r="BC140" s="1"/>
      <c r="BD140" s="2"/>
      <c r="BE140" s="2"/>
      <c r="BF140" s="2"/>
      <c r="BG140" s="2"/>
      <c r="BH140" s="2"/>
      <c r="BI140" s="2"/>
      <c r="BJ140" s="2"/>
      <c r="BK140" s="2"/>
    </row>
    <row r="141" spans="1:63" s="1" customFormat="1" outlineLevel="1">
      <c r="A141" s="1" t="s">
        <v>1562</v>
      </c>
      <c r="B141" s="65"/>
      <c r="C141" s="300">
        <f>C137-$C137</f>
        <v>0</v>
      </c>
      <c r="D141" s="300">
        <f t="shared" ref="D141:AG141" si="81">D137-$C137</f>
        <v>4.7734390132554802E-4</v>
      </c>
      <c r="E141" s="300">
        <f t="shared" si="81"/>
        <v>1.1100629497215676E-3</v>
      </c>
      <c r="F141" s="300">
        <f t="shared" si="81"/>
        <v>1.912692445122603E-3</v>
      </c>
      <c r="G141" s="300">
        <f t="shared" si="81"/>
        <v>2.8985316234754871E-3</v>
      </c>
      <c r="H141" s="300">
        <f t="shared" si="81"/>
        <v>4.0792976178794758E-3</v>
      </c>
      <c r="I141" s="300">
        <f t="shared" si="81"/>
        <v>5.4780253026382496E-3</v>
      </c>
      <c r="J141" s="300">
        <f t="shared" si="81"/>
        <v>7.1127061400412988E-3</v>
      </c>
      <c r="K141" s="300">
        <f t="shared" si="81"/>
        <v>9.0018322306941456E-3</v>
      </c>
      <c r="L141" s="300">
        <f t="shared" si="81"/>
        <v>1.1164357373803991E-2</v>
      </c>
      <c r="M141" s="300">
        <f t="shared" si="81"/>
        <v>1.3619654315806242E-2</v>
      </c>
      <c r="N141" s="300">
        <f t="shared" si="81"/>
        <v>1.7621214751372176E-2</v>
      </c>
      <c r="O141" s="300">
        <f t="shared" si="81"/>
        <v>2.2181182215903032E-2</v>
      </c>
      <c r="P141" s="300">
        <f t="shared" si="81"/>
        <v>2.7371752873635594E-2</v>
      </c>
      <c r="Q141" s="300">
        <f t="shared" si="81"/>
        <v>3.3170946382211526E-2</v>
      </c>
      <c r="R141" s="300">
        <f t="shared" si="81"/>
        <v>3.9587845884891587E-2</v>
      </c>
      <c r="S141" s="300">
        <f t="shared" si="81"/>
        <v>4.67107636070054E-2</v>
      </c>
      <c r="T141" s="300">
        <f t="shared" si="81"/>
        <v>5.4578545340414987E-2</v>
      </c>
      <c r="U141" s="300">
        <f t="shared" si="81"/>
        <v>6.3230977672512623E-2</v>
      </c>
      <c r="V141" s="300">
        <f t="shared" si="81"/>
        <v>7.2708779919363253E-2</v>
      </c>
      <c r="W141" s="300">
        <f t="shared" si="81"/>
        <v>8.3053594853099211E-2</v>
      </c>
      <c r="X141" s="300">
        <f t="shared" si="81"/>
        <v>9.7933526646344735E-2</v>
      </c>
      <c r="Y141" s="300">
        <f t="shared" si="81"/>
        <v>0.11426094432415541</v>
      </c>
      <c r="Z141" s="300">
        <f t="shared" si="81"/>
        <v>0.13249787427488272</v>
      </c>
      <c r="AA141" s="300">
        <f t="shared" si="81"/>
        <v>0.1524408059935046</v>
      </c>
      <c r="AB141" s="300">
        <f t="shared" si="81"/>
        <v>0.17417916717008386</v>
      </c>
      <c r="AC141" s="300">
        <f t="shared" si="81"/>
        <v>0.19780661692107587</v>
      </c>
      <c r="AD141" s="300">
        <f t="shared" si="81"/>
        <v>0.22341801803937902</v>
      </c>
      <c r="AE141" s="300">
        <f t="shared" si="81"/>
        <v>0.25111069712364154</v>
      </c>
      <c r="AF141" s="300">
        <f t="shared" si="81"/>
        <v>0.28098444520365112</v>
      </c>
      <c r="AG141" s="300">
        <f t="shared" si="81"/>
        <v>0.31314151614590635</v>
      </c>
      <c r="AH141" s="245"/>
      <c r="AI141" s="423"/>
      <c r="AJ141" s="424"/>
      <c r="AL141" s="221"/>
      <c r="AM141" s="124"/>
      <c r="AN141" s="124"/>
      <c r="AO141" s="124"/>
      <c r="BD141" s="124"/>
      <c r="BE141" s="124"/>
      <c r="BF141" s="124"/>
      <c r="BG141" s="124"/>
      <c r="BH141" s="124"/>
      <c r="BI141" s="124"/>
      <c r="BJ141" s="124"/>
      <c r="BK141" s="124"/>
    </row>
    <row r="142" spans="1:63" outlineLevel="1">
      <c r="A142" s="4" t="s">
        <v>474</v>
      </c>
      <c r="C142" s="230">
        <f>C138-$C138</f>
        <v>0</v>
      </c>
      <c r="D142" s="230">
        <f t="shared" ref="D142:AF142" si="82">D138-$C138</f>
        <v>0</v>
      </c>
      <c r="E142" s="230">
        <f t="shared" si="82"/>
        <v>0</v>
      </c>
      <c r="F142" s="230">
        <f t="shared" si="82"/>
        <v>0</v>
      </c>
      <c r="G142" s="230">
        <f t="shared" si="82"/>
        <v>0</v>
      </c>
      <c r="H142" s="230">
        <f t="shared" si="82"/>
        <v>0</v>
      </c>
      <c r="I142" s="230">
        <f t="shared" si="82"/>
        <v>0</v>
      </c>
      <c r="J142" s="230">
        <f t="shared" si="82"/>
        <v>0</v>
      </c>
      <c r="K142" s="230">
        <f t="shared" si="82"/>
        <v>0</v>
      </c>
      <c r="L142" s="230">
        <f t="shared" si="82"/>
        <v>0</v>
      </c>
      <c r="M142" s="230">
        <f t="shared" si="82"/>
        <v>0</v>
      </c>
      <c r="N142" s="230">
        <f t="shared" si="82"/>
        <v>0</v>
      </c>
      <c r="O142" s="230">
        <f t="shared" si="82"/>
        <v>0</v>
      </c>
      <c r="P142" s="230">
        <f t="shared" si="82"/>
        <v>0</v>
      </c>
      <c r="Q142" s="230">
        <f t="shared" si="82"/>
        <v>0</v>
      </c>
      <c r="R142" s="230">
        <f t="shared" si="82"/>
        <v>0</v>
      </c>
      <c r="S142" s="230">
        <f t="shared" si="82"/>
        <v>0</v>
      </c>
      <c r="T142" s="230">
        <f t="shared" si="82"/>
        <v>0</v>
      </c>
      <c r="U142" s="230">
        <f t="shared" si="82"/>
        <v>0</v>
      </c>
      <c r="V142" s="230">
        <f t="shared" si="82"/>
        <v>0</v>
      </c>
      <c r="W142" s="230">
        <f t="shared" si="82"/>
        <v>0</v>
      </c>
      <c r="X142" s="230">
        <f t="shared" si="82"/>
        <v>0</v>
      </c>
      <c r="Y142" s="230">
        <f t="shared" si="82"/>
        <v>0</v>
      </c>
      <c r="Z142" s="230">
        <f t="shared" si="82"/>
        <v>0</v>
      </c>
      <c r="AA142" s="230">
        <f t="shared" si="82"/>
        <v>0</v>
      </c>
      <c r="AB142" s="230">
        <f t="shared" si="82"/>
        <v>0</v>
      </c>
      <c r="AC142" s="230">
        <f t="shared" si="82"/>
        <v>0</v>
      </c>
      <c r="AD142" s="230">
        <f t="shared" si="82"/>
        <v>0</v>
      </c>
      <c r="AE142" s="230">
        <f t="shared" si="82"/>
        <v>0</v>
      </c>
      <c r="AF142" s="230">
        <f t="shared" si="82"/>
        <v>0</v>
      </c>
      <c r="AG142" s="230">
        <f>AG138-$C138</f>
        <v>0</v>
      </c>
      <c r="AH142" s="245"/>
      <c r="AI142" s="133"/>
      <c r="AJ142" s="211"/>
      <c r="AL142" s="108"/>
      <c r="AM142" s="2"/>
      <c r="AN142" s="2"/>
      <c r="AO142" s="2"/>
      <c r="BC142" s="1"/>
      <c r="BD142" s="2"/>
      <c r="BE142" s="2"/>
      <c r="BF142" s="2"/>
      <c r="BG142" s="2"/>
      <c r="BH142" s="2"/>
      <c r="BI142" s="2"/>
      <c r="BJ142" s="2"/>
      <c r="BK142" s="2"/>
    </row>
    <row r="143" spans="1:63" outlineLevel="1">
      <c r="A143" s="4" t="s">
        <v>745</v>
      </c>
      <c r="C143" s="230">
        <f t="shared" ref="C143:AG143" si="83">C139-$C139</f>
        <v>0</v>
      </c>
      <c r="D143" s="230">
        <f t="shared" si="83"/>
        <v>4.4601425719494335E-6</v>
      </c>
      <c r="E143" s="230">
        <f t="shared" si="83"/>
        <v>1.383739709196547E-5</v>
      </c>
      <c r="F143" s="230">
        <f t="shared" si="83"/>
        <v>3.0112426283545198E-5</v>
      </c>
      <c r="G143" s="230">
        <f t="shared" si="83"/>
        <v>5.547260019831218E-5</v>
      </c>
      <c r="H143" s="230">
        <f t="shared" si="83"/>
        <v>9.2281258336247311E-5</v>
      </c>
      <c r="I143" s="230">
        <f t="shared" si="83"/>
        <v>1.4334772125723229E-4</v>
      </c>
      <c r="J143" s="230">
        <f t="shared" si="83"/>
        <v>2.117021556241971E-4</v>
      </c>
      <c r="K143" s="230">
        <f t="shared" si="83"/>
        <v>3.0066992839067287E-4</v>
      </c>
      <c r="L143" s="230">
        <f t="shared" si="83"/>
        <v>4.1387997167841137E-4</v>
      </c>
      <c r="M143" s="230">
        <f t="shared" si="83"/>
        <v>5.5527209169726349E-4</v>
      </c>
      <c r="N143" s="230">
        <f t="shared" si="83"/>
        <v>7.8183676802056441E-4</v>
      </c>
      <c r="O143" s="230">
        <f t="shared" si="83"/>
        <v>1.0655367873753775E-3</v>
      </c>
      <c r="P143" s="230">
        <f t="shared" si="83"/>
        <v>1.4165284788130068E-3</v>
      </c>
      <c r="Q143" s="230">
        <f t="shared" si="83"/>
        <v>1.8409671195063384E-3</v>
      </c>
      <c r="R143" s="230">
        <f t="shared" si="83"/>
        <v>2.3464769010958053E-3</v>
      </c>
      <c r="S143" s="230">
        <f t="shared" si="83"/>
        <v>2.945748958917048E-3</v>
      </c>
      <c r="T143" s="230">
        <f t="shared" si="83"/>
        <v>3.6495794486458531E-3</v>
      </c>
      <c r="U143" s="230">
        <f t="shared" si="83"/>
        <v>4.4694340998994745E-3</v>
      </c>
      <c r="V143" s="230">
        <f t="shared" si="83"/>
        <v>5.4174658989171029E-3</v>
      </c>
      <c r="W143" s="230">
        <f t="shared" si="83"/>
        <v>6.5065324894645745E-3</v>
      </c>
      <c r="X143" s="230">
        <f t="shared" si="83"/>
        <v>8.0460568707792918E-3</v>
      </c>
      <c r="Y143" s="230">
        <f t="shared" si="83"/>
        <v>9.824958021775786E-3</v>
      </c>
      <c r="Z143" s="230">
        <f t="shared" si="83"/>
        <v>1.1901401226487078E-2</v>
      </c>
      <c r="AA143" s="230">
        <f t="shared" si="83"/>
        <v>1.4278667121388172E-2</v>
      </c>
      <c r="AB143" s="230">
        <f t="shared" si="83"/>
        <v>1.6985329964044941E-2</v>
      </c>
      <c r="AC143" s="230">
        <f t="shared" si="83"/>
        <v>2.0051781461796658E-2</v>
      </c>
      <c r="AD143" s="230">
        <f t="shared" si="83"/>
        <v>2.3509995329009624E-2</v>
      </c>
      <c r="AE143" s="230">
        <f t="shared" si="83"/>
        <v>2.7393687774241268E-2</v>
      </c>
      <c r="AF143" s="230">
        <f t="shared" si="83"/>
        <v>3.173836543875392E-2</v>
      </c>
      <c r="AG143" s="230">
        <f t="shared" si="83"/>
        <v>3.6581373090842723E-2</v>
      </c>
      <c r="AH143" s="245"/>
      <c r="AI143" s="133"/>
      <c r="AJ143" s="211"/>
      <c r="AL143" s="108"/>
      <c r="AM143" s="2"/>
      <c r="AN143" s="2"/>
      <c r="AO143" s="2"/>
      <c r="BC143" s="1"/>
      <c r="BD143" s="2"/>
      <c r="BE143" s="2"/>
      <c r="BF143" s="2"/>
      <c r="BG143" s="2"/>
      <c r="BH143" s="2"/>
      <c r="BI143" s="2"/>
      <c r="BJ143" s="2"/>
      <c r="BK143" s="2"/>
    </row>
    <row r="144" spans="1:63" outlineLevel="1">
      <c r="A144" s="4" t="s">
        <v>1561</v>
      </c>
      <c r="C144" s="230">
        <f t="shared" ref="C144:AG144" si="84">C140-$C140</f>
        <v>0</v>
      </c>
      <c r="D144" s="230">
        <f t="shared" si="84"/>
        <v>4.7288375875359858E-4</v>
      </c>
      <c r="E144" s="230">
        <f t="shared" si="84"/>
        <v>1.0962255526296024E-3</v>
      </c>
      <c r="F144" s="230">
        <f t="shared" si="84"/>
        <v>1.8825800188390579E-3</v>
      </c>
      <c r="G144" s="230">
        <f t="shared" si="84"/>
        <v>2.8430590232771755E-3</v>
      </c>
      <c r="H144" s="230">
        <f t="shared" si="84"/>
        <v>3.9870163595432297E-3</v>
      </c>
      <c r="I144" s="230">
        <f t="shared" si="84"/>
        <v>5.3346775813810192E-3</v>
      </c>
      <c r="J144" s="230">
        <f t="shared" si="84"/>
        <v>6.9010039844171044E-3</v>
      </c>
      <c r="K144" s="230">
        <f t="shared" si="84"/>
        <v>8.7011623023034758E-3</v>
      </c>
      <c r="L144" s="230">
        <f t="shared" si="84"/>
        <v>1.0750477402125584E-2</v>
      </c>
      <c r="M144" s="230">
        <f t="shared" si="84"/>
        <v>1.3064382224108986E-2</v>
      </c>
      <c r="N144" s="230">
        <f t="shared" si="84"/>
        <v>1.6839377983351621E-2</v>
      </c>
      <c r="O144" s="230">
        <f t="shared" si="84"/>
        <v>2.1115645428527667E-2</v>
      </c>
      <c r="P144" s="230">
        <f t="shared" si="84"/>
        <v>2.5955224394822604E-2</v>
      </c>
      <c r="Q144" s="230">
        <f t="shared" si="84"/>
        <v>3.1329979262705206E-2</v>
      </c>
      <c r="R144" s="230">
        <f t="shared" si="84"/>
        <v>3.7241368983795806E-2</v>
      </c>
      <c r="S144" s="230">
        <f t="shared" si="84"/>
        <v>4.3765014648088386E-2</v>
      </c>
      <c r="T144" s="230">
        <f t="shared" si="84"/>
        <v>5.0928965891769172E-2</v>
      </c>
      <c r="U144" s="230">
        <f t="shared" si="84"/>
        <v>5.8761543572613199E-2</v>
      </c>
      <c r="V144" s="230">
        <f t="shared" si="84"/>
        <v>6.7291314020446205E-2</v>
      </c>
      <c r="W144" s="230">
        <f t="shared" si="84"/>
        <v>7.6547062363634705E-2</v>
      </c>
      <c r="X144" s="230">
        <f t="shared" si="84"/>
        <v>8.9887469775565526E-2</v>
      </c>
      <c r="Y144" s="230">
        <f t="shared" si="84"/>
        <v>0.10443598630237974</v>
      </c>
      <c r="Z144" s="230">
        <f t="shared" si="84"/>
        <v>0.12059647304839577</v>
      </c>
      <c r="AA144" s="230">
        <f t="shared" si="84"/>
        <v>0.13816213887211659</v>
      </c>
      <c r="AB144" s="230">
        <f t="shared" si="84"/>
        <v>0.15719383720603911</v>
      </c>
      <c r="AC144" s="230">
        <f t="shared" si="84"/>
        <v>0.17775483545927945</v>
      </c>
      <c r="AD144" s="230">
        <f t="shared" si="84"/>
        <v>0.19990802271036967</v>
      </c>
      <c r="AE144" s="230">
        <f t="shared" si="84"/>
        <v>0.22371700934940059</v>
      </c>
      <c r="AF144" s="230">
        <f t="shared" si="84"/>
        <v>0.24924607976489757</v>
      </c>
      <c r="AG144" s="230">
        <f t="shared" si="84"/>
        <v>0.27656014305506366</v>
      </c>
      <c r="AH144" s="245"/>
      <c r="AI144" s="133"/>
      <c r="AJ144" s="211"/>
      <c r="AL144" s="108"/>
      <c r="AM144" s="2"/>
      <c r="AN144" s="2"/>
      <c r="AO144" s="2"/>
      <c r="BC144" s="1"/>
      <c r="BD144" s="2"/>
      <c r="BE144" s="2"/>
      <c r="BF144" s="2"/>
      <c r="BG144" s="2"/>
      <c r="BH144" s="2"/>
      <c r="BI144" s="2"/>
      <c r="BJ144" s="2"/>
      <c r="BK144" s="2"/>
    </row>
    <row r="145" spans="1:63" s="1" customFormat="1" outlineLevel="1">
      <c r="A145" s="1" t="s">
        <v>1569</v>
      </c>
      <c r="B145" s="65"/>
      <c r="C145" s="300">
        <f>C43*C133</f>
        <v>4.0095381501239038E-3</v>
      </c>
      <c r="D145" s="300">
        <f t="shared" ref="D145:AG145" si="85">D43*D133</f>
        <v>5.1423018338841216E-3</v>
      </c>
      <c r="E145" s="300">
        <f t="shared" si="85"/>
        <v>6.3076135339729215E-3</v>
      </c>
      <c r="F145" s="300">
        <f t="shared" si="85"/>
        <v>7.4939520870821478E-3</v>
      </c>
      <c r="G145" s="300">
        <f t="shared" si="85"/>
        <v>8.6889486072183938E-3</v>
      </c>
      <c r="H145" s="300">
        <f t="shared" si="85"/>
        <v>9.8795610104497993E-3</v>
      </c>
      <c r="I145" s="300">
        <f t="shared" si="85"/>
        <v>1.1076113532951435E-2</v>
      </c>
      <c r="J145" s="300">
        <f t="shared" si="85"/>
        <v>1.2272344913188394E-2</v>
      </c>
      <c r="K145" s="300">
        <f t="shared" si="85"/>
        <v>1.3461598554885976E-2</v>
      </c>
      <c r="L145" s="300">
        <f t="shared" si="85"/>
        <v>1.4636829098945982E-2</v>
      </c>
      <c r="M145" s="300">
        <f t="shared" si="85"/>
        <v>1.579061093801053E-2</v>
      </c>
      <c r="N145" s="300">
        <f t="shared" si="85"/>
        <v>1.8138566215961615E-2</v>
      </c>
      <c r="O145" s="300">
        <f t="shared" si="85"/>
        <v>2.0407538027025891E-2</v>
      </c>
      <c r="P145" s="300">
        <f t="shared" si="85"/>
        <v>2.2616928385837294E-2</v>
      </c>
      <c r="Q145" s="300">
        <f t="shared" si="85"/>
        <v>2.4704249529514475E-2</v>
      </c>
      <c r="R145" s="300">
        <f t="shared" si="85"/>
        <v>2.6643699538220208E-2</v>
      </c>
      <c r="S145" s="300">
        <f t="shared" si="85"/>
        <v>2.8461429689416898E-2</v>
      </c>
      <c r="T145" s="300">
        <f t="shared" si="85"/>
        <v>3.0142425252019298E-2</v>
      </c>
      <c r="U145" s="300">
        <f t="shared" si="85"/>
        <v>3.1671165574098777E-2</v>
      </c>
      <c r="V145" s="300">
        <f t="shared" si="85"/>
        <v>3.3031624192004054E-2</v>
      </c>
      <c r="W145" s="300">
        <f t="shared" si="85"/>
        <v>3.4207269497442398E-2</v>
      </c>
      <c r="X145" s="300">
        <f t="shared" si="85"/>
        <v>3.6524008850212959E-2</v>
      </c>
      <c r="Y145" s="300">
        <f t="shared" si="85"/>
        <v>3.8532276058604195E-2</v>
      </c>
      <c r="Z145" s="300">
        <f t="shared" si="85"/>
        <v>4.0321358294375789E-2</v>
      </c>
      <c r="AA145" s="300">
        <f t="shared" si="85"/>
        <v>4.1750836684650107E-2</v>
      </c>
      <c r="AB145" s="300">
        <f t="shared" si="85"/>
        <v>4.2786739962239348E-2</v>
      </c>
      <c r="AC145" s="300">
        <f t="shared" si="85"/>
        <v>4.3394313212956302E-2</v>
      </c>
      <c r="AD145" s="300">
        <f t="shared" si="85"/>
        <v>4.3537196105944274E-2</v>
      </c>
      <c r="AE145" s="300">
        <f t="shared" si="85"/>
        <v>4.3177795296424078E-2</v>
      </c>
      <c r="AF145" s="300">
        <f t="shared" si="85"/>
        <v>4.2277277071360572E-2</v>
      </c>
      <c r="AG145" s="300">
        <f t="shared" si="85"/>
        <v>4.0795560971796596E-2</v>
      </c>
      <c r="AH145" s="245"/>
      <c r="AI145" s="423"/>
      <c r="AJ145" s="424"/>
      <c r="AL145" s="221"/>
      <c r="AM145" s="124"/>
      <c r="AN145" s="124"/>
      <c r="AO145" s="124"/>
      <c r="BD145" s="124"/>
      <c r="BE145" s="124"/>
      <c r="BF145" s="124"/>
      <c r="BG145" s="124"/>
      <c r="BH145" s="124"/>
      <c r="BI145" s="124"/>
      <c r="BJ145" s="124"/>
      <c r="BK145" s="124"/>
    </row>
    <row r="146" spans="1:63" outlineLevel="1">
      <c r="A146" s="4" t="s">
        <v>474</v>
      </c>
      <c r="C146" s="230">
        <f>C$145*'Methanol recycling rates'!E51</f>
        <v>0</v>
      </c>
      <c r="D146" s="230">
        <f>D$145*'Methanol recycling rates'!F51</f>
        <v>0</v>
      </c>
      <c r="E146" s="230">
        <f>E$145*'Methanol recycling rates'!G51</f>
        <v>0</v>
      </c>
      <c r="F146" s="230">
        <f>F$145*'Methanol recycling rates'!H51</f>
        <v>0</v>
      </c>
      <c r="G146" s="230">
        <f>G$145*'Methanol recycling rates'!I51</f>
        <v>0</v>
      </c>
      <c r="H146" s="230">
        <f>H$145*'Methanol recycling rates'!J51</f>
        <v>0</v>
      </c>
      <c r="I146" s="230">
        <f>I$145*'Methanol recycling rates'!K51</f>
        <v>0</v>
      </c>
      <c r="J146" s="230">
        <f>J$145*'Methanol recycling rates'!L51</f>
        <v>0</v>
      </c>
      <c r="K146" s="230">
        <f>K$145*'Methanol recycling rates'!M51</f>
        <v>0</v>
      </c>
      <c r="L146" s="230">
        <f>L$145*'Methanol recycling rates'!N51</f>
        <v>0</v>
      </c>
      <c r="M146" s="230">
        <f>M$145*'Methanol recycling rates'!O51</f>
        <v>0</v>
      </c>
      <c r="N146" s="230">
        <f>N$145*'Methanol recycling rates'!P51</f>
        <v>0</v>
      </c>
      <c r="O146" s="230">
        <f>O$145*'Methanol recycling rates'!Q51</f>
        <v>0</v>
      </c>
      <c r="P146" s="230">
        <f>P$145*'Methanol recycling rates'!R51</f>
        <v>0</v>
      </c>
      <c r="Q146" s="230">
        <f>Q$145*'Methanol recycling rates'!S51</f>
        <v>0</v>
      </c>
      <c r="R146" s="230">
        <f>R$145*'Methanol recycling rates'!T51</f>
        <v>0</v>
      </c>
      <c r="S146" s="230">
        <f>S$145*'Methanol recycling rates'!U51</f>
        <v>0</v>
      </c>
      <c r="T146" s="230">
        <f>T$145*'Methanol recycling rates'!V51</f>
        <v>0</v>
      </c>
      <c r="U146" s="230">
        <f>U$145*'Methanol recycling rates'!W51</f>
        <v>0</v>
      </c>
      <c r="V146" s="230">
        <f>V$145*'Methanol recycling rates'!X51</f>
        <v>0</v>
      </c>
      <c r="W146" s="230">
        <f>W$145*'Methanol recycling rates'!Y51</f>
        <v>0</v>
      </c>
      <c r="X146" s="230">
        <f>X$145*'Methanol recycling rates'!Z51</f>
        <v>0</v>
      </c>
      <c r="Y146" s="230">
        <f>Y$145*'Methanol recycling rates'!AA51</f>
        <v>0</v>
      </c>
      <c r="Z146" s="230">
        <f>Z$145*'Methanol recycling rates'!AB51</f>
        <v>0</v>
      </c>
      <c r="AA146" s="230">
        <f>AA$145*'Methanol recycling rates'!AC51</f>
        <v>0</v>
      </c>
      <c r="AB146" s="230">
        <f>AB$145*'Methanol recycling rates'!AD51</f>
        <v>0</v>
      </c>
      <c r="AC146" s="230">
        <f>AC$145*'Methanol recycling rates'!AE51</f>
        <v>0</v>
      </c>
      <c r="AD146" s="230">
        <f>AD$145*'Methanol recycling rates'!AF51</f>
        <v>0</v>
      </c>
      <c r="AE146" s="230">
        <f>AE$145*'Methanol recycling rates'!AG51</f>
        <v>0</v>
      </c>
      <c r="AF146" s="230">
        <f>AF$145*'Methanol recycling rates'!AH51</f>
        <v>0</v>
      </c>
      <c r="AG146" s="230">
        <f>AG$145*'Methanol recycling rates'!AI51</f>
        <v>0</v>
      </c>
      <c r="AH146" s="245"/>
      <c r="AI146" s="133"/>
      <c r="AJ146" s="211"/>
      <c r="AL146" s="108"/>
      <c r="AM146" s="2"/>
      <c r="AN146" s="2"/>
      <c r="AO146" s="2"/>
      <c r="BC146" s="1"/>
      <c r="BD146" s="2"/>
      <c r="BE146" s="2"/>
      <c r="BF146" s="2"/>
      <c r="BG146" s="2"/>
      <c r="BH146" s="2"/>
      <c r="BI146" s="2"/>
      <c r="BJ146" s="2"/>
      <c r="BK146" s="2"/>
    </row>
    <row r="147" spans="1:63" outlineLevel="1">
      <c r="A147" s="4" t="s">
        <v>745</v>
      </c>
      <c r="C147" s="230">
        <f>C$145*'Methanol recycling rates'!E52</f>
        <v>0</v>
      </c>
      <c r="D147" s="230">
        <f>D$145*'Methanol recycling rates'!F52</f>
        <v>1.998143872233346E-5</v>
      </c>
      <c r="E147" s="230">
        <f>E$145*'Methanol recycling rates'!G52</f>
        <v>4.9018979198287664E-5</v>
      </c>
      <c r="F147" s="230">
        <f>F$145*'Methanol recycling rates'!H52</f>
        <v>8.7357733513105857E-5</v>
      </c>
      <c r="G147" s="230">
        <f>G$145*'Methanol recycling rates'!I52</f>
        <v>1.350505666646182E-4</v>
      </c>
      <c r="H147" s="230">
        <f>H$145*'Methanol recycling rates'!J52</f>
        <v>1.9194501733939441E-4</v>
      </c>
      <c r="I147" s="230">
        <f>I$145*'Methanol recycling rates'!K52</f>
        <v>2.5823068072195702E-4</v>
      </c>
      <c r="J147" s="230">
        <f>J$145*'Methanol recycling rates'!L52</f>
        <v>3.3380649570679855E-4</v>
      </c>
      <c r="K147" s="230">
        <f>K$145*'Methanol recycling rates'!M52</f>
        <v>4.1846179445431301E-4</v>
      </c>
      <c r="L147" s="230">
        <f>L$145*'Methanol recycling rates'!N52</f>
        <v>5.1186885145957034E-4</v>
      </c>
      <c r="M147" s="230">
        <f>M$145*'Methanol recycling rates'!O52</f>
        <v>6.1357566132547614E-4</v>
      </c>
      <c r="N147" s="230">
        <f>N$145*'Methanol recycling rates'!P52</f>
        <v>7.7529115786969442E-4</v>
      </c>
      <c r="O147" s="230">
        <f>O$145*'Methanol recycling rates'!Q52</f>
        <v>9.515706788126195E-4</v>
      </c>
      <c r="P147" s="230">
        <f>P$145*'Methanol recycling rates'!R52</f>
        <v>1.1424735812793879E-3</v>
      </c>
      <c r="Q147" s="230">
        <f>Q$145*'Methanol recycling rates'!S52</f>
        <v>1.3439059972396264E-3</v>
      </c>
      <c r="R147" s="230">
        <f>R$145*'Methanol recycling rates'!T52</f>
        <v>1.5529410763615865E-3</v>
      </c>
      <c r="S147" s="230">
        <f>S$145*'Methanol recycling rates'!U52</f>
        <v>1.7694809263563772E-3</v>
      </c>
      <c r="T147" s="230">
        <f>T$145*'Methanol recycling rates'!V52</f>
        <v>1.9911148205071132E-3</v>
      </c>
      <c r="U147" s="230">
        <f>U$145*'Methanol recycling rates'!W52</f>
        <v>2.2151632757626757E-3</v>
      </c>
      <c r="V147" s="230">
        <f>V$145*'Methanol recycling rates'!X52</f>
        <v>2.4386682315125333E-3</v>
      </c>
      <c r="W147" s="230">
        <f>W$145*'Methanol recycling rates'!Y52</f>
        <v>2.6583832742669532E-3</v>
      </c>
      <c r="X147" s="230">
        <f>X$145*'Methanol recycling rates'!Z52</f>
        <v>2.9803476409023546E-3</v>
      </c>
      <c r="Y147" s="230">
        <f>Y$145*'Methanol recycling rates'!AA52</f>
        <v>3.2939464525637741E-3</v>
      </c>
      <c r="Z147" s="230">
        <f>Z$145*'Methanol recycling rates'!AB52</f>
        <v>3.6035635106021605E-3</v>
      </c>
      <c r="AA147" s="230">
        <f>AA$145*'Methanol recycling rates'!AC52</f>
        <v>3.8935487418809652E-3</v>
      </c>
      <c r="AB147" s="230">
        <f>AB$145*'Methanol recycling rates'!AD52</f>
        <v>4.1564101559074633E-3</v>
      </c>
      <c r="AC147" s="230">
        <f>AC$145*'Methanol recycling rates'!AE52</f>
        <v>4.3840485832382639E-3</v>
      </c>
      <c r="AD147" s="230">
        <f>AD$145*'Methanol recycling rates'!AF52</f>
        <v>4.5676562353504343E-3</v>
      </c>
      <c r="AE147" s="230">
        <f>AE$145*'Methanol recycling rates'!AG52</f>
        <v>4.6977260310720045E-3</v>
      </c>
      <c r="AF147" s="230">
        <f>AF$145*'Methanol recycling rates'!AH52</f>
        <v>4.7640268122500625E-3</v>
      </c>
      <c r="AG147" s="230">
        <f>AG$145*'Methanol recycling rates'!AI52</f>
        <v>4.7555785018095521E-3</v>
      </c>
      <c r="AH147" s="245"/>
      <c r="AI147" s="133"/>
      <c r="AJ147" s="211"/>
      <c r="AL147" s="108"/>
      <c r="AM147" s="2"/>
      <c r="AN147" s="2"/>
      <c r="AO147" s="2"/>
      <c r="BC147" s="1"/>
      <c r="BD147" s="2"/>
      <c r="BE147" s="2"/>
      <c r="BF147" s="2"/>
      <c r="BG147" s="2"/>
      <c r="BH147" s="2"/>
      <c r="BI147" s="2"/>
      <c r="BJ147" s="2"/>
      <c r="BK147" s="2"/>
    </row>
    <row r="148" spans="1:63" outlineLevel="1">
      <c r="A148" s="4" t="s">
        <v>1561</v>
      </c>
      <c r="C148" s="230">
        <f>C$145*'Methanol recycling rates'!E53</f>
        <v>4.0095381501239038E-3</v>
      </c>
      <c r="D148" s="230">
        <f>D$145*'Methanol recycling rates'!F53</f>
        <v>5.1223203951617884E-3</v>
      </c>
      <c r="E148" s="230">
        <f>E$145*'Methanol recycling rates'!G53</f>
        <v>6.2585945547746344E-3</v>
      </c>
      <c r="F148" s="230">
        <f>F$145*'Methanol recycling rates'!H53</f>
        <v>7.4065943535690428E-3</v>
      </c>
      <c r="G148" s="230">
        <f>G$145*'Methanol recycling rates'!I53</f>
        <v>8.5538980405537764E-3</v>
      </c>
      <c r="H148" s="230">
        <f>H$145*'Methanol recycling rates'!J53</f>
        <v>9.6876159931104065E-3</v>
      </c>
      <c r="I148" s="230">
        <f>I$145*'Methanol recycling rates'!K53</f>
        <v>1.0817882852229481E-2</v>
      </c>
      <c r="J148" s="230">
        <f>J$145*'Methanol recycling rates'!L53</f>
        <v>1.19385384174816E-2</v>
      </c>
      <c r="K148" s="230">
        <f>K$145*'Methanol recycling rates'!M53</f>
        <v>1.3043136760431668E-2</v>
      </c>
      <c r="L148" s="230">
        <f>L$145*'Methanol recycling rates'!N53</f>
        <v>1.4124960247486417E-2</v>
      </c>
      <c r="M148" s="230">
        <f>M$145*'Methanol recycling rates'!O53</f>
        <v>1.517703527668506E-2</v>
      </c>
      <c r="N148" s="230">
        <f>N$145*'Methanol recycling rates'!P53</f>
        <v>1.7363275058091928E-2</v>
      </c>
      <c r="O148" s="230">
        <f>O$145*'Methanol recycling rates'!Q53</f>
        <v>1.9455967348213282E-2</v>
      </c>
      <c r="P148" s="230">
        <f>P$145*'Methanol recycling rates'!R53</f>
        <v>2.1474454804557921E-2</v>
      </c>
      <c r="Q148" s="230">
        <f>Q$145*'Methanol recycling rates'!S53</f>
        <v>2.3360343532274865E-2</v>
      </c>
      <c r="R148" s="230">
        <f>R$145*'Methanol recycling rates'!T53</f>
        <v>2.5090758461858639E-2</v>
      </c>
      <c r="S148" s="230">
        <f>S$145*'Methanol recycling rates'!U53</f>
        <v>2.6691948763060542E-2</v>
      </c>
      <c r="T148" s="230">
        <f>T$145*'Methanol recycling rates'!V53</f>
        <v>2.8151310431512207E-2</v>
      </c>
      <c r="U148" s="230">
        <f>U$145*'Methanol recycling rates'!W53</f>
        <v>2.9456002298336125E-2</v>
      </c>
      <c r="V148" s="230">
        <f>V$145*'Methanol recycling rates'!X53</f>
        <v>3.0592955960491549E-2</v>
      </c>
      <c r="W148" s="230">
        <f>W$145*'Methanol recycling rates'!Y53</f>
        <v>3.1548886223175476E-2</v>
      </c>
      <c r="X148" s="230">
        <f>X$145*'Methanol recycling rates'!Z53</f>
        <v>3.3543661209310641E-2</v>
      </c>
      <c r="Y148" s="230">
        <f>Y$145*'Methanol recycling rates'!AA53</f>
        <v>3.523832960604046E-2</v>
      </c>
      <c r="Z148" s="230">
        <f>Z$145*'Methanol recycling rates'!AB53</f>
        <v>3.6717794783773669E-2</v>
      </c>
      <c r="AA148" s="230">
        <f>AA$145*'Methanol recycling rates'!AC53</f>
        <v>3.7857287942769186E-2</v>
      </c>
      <c r="AB148" s="230">
        <f>AB$145*'Methanol recycling rates'!AD53</f>
        <v>3.863032980633193E-2</v>
      </c>
      <c r="AC148" s="230">
        <f>AC$145*'Methanol recycling rates'!AE53</f>
        <v>3.9010264629718086E-2</v>
      </c>
      <c r="AD148" s="230">
        <f>AD$145*'Methanol recycling rates'!AF53</f>
        <v>3.8969539870593893E-2</v>
      </c>
      <c r="AE148" s="230">
        <f>AE$145*'Methanol recycling rates'!AG53</f>
        <v>3.8480069265352128E-2</v>
      </c>
      <c r="AF148" s="230">
        <f>AF$145*'Methanol recycling rates'!AH53</f>
        <v>3.7513250259110564E-2</v>
      </c>
      <c r="AG148" s="230">
        <f>AG$145*'Methanol recycling rates'!AI53</f>
        <v>3.6039982469987047E-2</v>
      </c>
      <c r="AH148" s="245"/>
      <c r="AI148" s="133"/>
      <c r="AJ148" s="211"/>
      <c r="AL148" s="108"/>
      <c r="AM148" s="2"/>
      <c r="AN148" s="2"/>
      <c r="AO148" s="2"/>
      <c r="BC148" s="1"/>
      <c r="BD148" s="2"/>
      <c r="BE148" s="2"/>
      <c r="BF148" s="2"/>
      <c r="BG148" s="2"/>
      <c r="BH148" s="2"/>
      <c r="BI148" s="2"/>
      <c r="BJ148" s="2"/>
      <c r="BK148" s="2"/>
    </row>
    <row r="149" spans="1:63" s="1" customFormat="1" outlineLevel="1">
      <c r="A149" s="1" t="s">
        <v>1570</v>
      </c>
      <c r="B149" s="65"/>
      <c r="C149" s="300">
        <f>C145-$C145</f>
        <v>0</v>
      </c>
      <c r="D149" s="300">
        <f t="shared" ref="D149:AG149" si="86">D145-$C145</f>
        <v>1.1327636837602179E-3</v>
      </c>
      <c r="E149" s="300">
        <f t="shared" si="86"/>
        <v>2.2980753838490178E-3</v>
      </c>
      <c r="F149" s="300">
        <f t="shared" si="86"/>
        <v>3.4844139369582441E-3</v>
      </c>
      <c r="G149" s="300">
        <f t="shared" si="86"/>
        <v>4.67941045709449E-3</v>
      </c>
      <c r="H149" s="300">
        <f t="shared" si="86"/>
        <v>5.8700228603258955E-3</v>
      </c>
      <c r="I149" s="300">
        <f t="shared" si="86"/>
        <v>7.0665753828275312E-3</v>
      </c>
      <c r="J149" s="300">
        <f t="shared" si="86"/>
        <v>8.2628067630644911E-3</v>
      </c>
      <c r="K149" s="300">
        <f t="shared" si="86"/>
        <v>9.4520604047620728E-3</v>
      </c>
      <c r="L149" s="300">
        <f t="shared" si="86"/>
        <v>1.0627290948822078E-2</v>
      </c>
      <c r="M149" s="300">
        <f t="shared" si="86"/>
        <v>1.1781072787886628E-2</v>
      </c>
      <c r="N149" s="300">
        <f t="shared" si="86"/>
        <v>1.4129028065837712E-2</v>
      </c>
      <c r="O149" s="300">
        <f t="shared" si="86"/>
        <v>1.6397999876901988E-2</v>
      </c>
      <c r="P149" s="300">
        <f t="shared" si="86"/>
        <v>1.8607390235713391E-2</v>
      </c>
      <c r="Q149" s="300">
        <f t="shared" si="86"/>
        <v>2.0694711379390572E-2</v>
      </c>
      <c r="R149" s="300">
        <f t="shared" si="86"/>
        <v>2.2634161388096305E-2</v>
      </c>
      <c r="S149" s="300">
        <f t="shared" si="86"/>
        <v>2.4451891539292996E-2</v>
      </c>
      <c r="T149" s="300">
        <f t="shared" si="86"/>
        <v>2.6132887101895395E-2</v>
      </c>
      <c r="U149" s="300">
        <f t="shared" si="86"/>
        <v>2.7661627423974874E-2</v>
      </c>
      <c r="V149" s="300">
        <f t="shared" si="86"/>
        <v>2.9022086041880151E-2</v>
      </c>
      <c r="W149" s="300">
        <f t="shared" si="86"/>
        <v>3.0197731347318495E-2</v>
      </c>
      <c r="X149" s="300">
        <f t="shared" si="86"/>
        <v>3.2514470700089053E-2</v>
      </c>
      <c r="Y149" s="300">
        <f t="shared" si="86"/>
        <v>3.4522737908480289E-2</v>
      </c>
      <c r="Z149" s="300">
        <f t="shared" si="86"/>
        <v>3.6311820144251883E-2</v>
      </c>
      <c r="AA149" s="300">
        <f t="shared" si="86"/>
        <v>3.7741298534526201E-2</v>
      </c>
      <c r="AB149" s="300">
        <f t="shared" si="86"/>
        <v>3.8777201812115442E-2</v>
      </c>
      <c r="AC149" s="300">
        <f t="shared" si="86"/>
        <v>3.9384775062832396E-2</v>
      </c>
      <c r="AD149" s="300">
        <f t="shared" si="86"/>
        <v>3.9527657955820368E-2</v>
      </c>
      <c r="AE149" s="300">
        <f t="shared" si="86"/>
        <v>3.9168257146300171E-2</v>
      </c>
      <c r="AF149" s="300">
        <f t="shared" si="86"/>
        <v>3.8267738921236666E-2</v>
      </c>
      <c r="AG149" s="300">
        <f t="shared" si="86"/>
        <v>3.678602282167269E-2</v>
      </c>
      <c r="AH149" s="245"/>
      <c r="AI149" s="423"/>
      <c r="AJ149" s="424"/>
      <c r="AL149" s="221"/>
      <c r="AM149" s="124"/>
      <c r="AN149" s="124"/>
      <c r="AO149" s="124"/>
      <c r="BD149" s="124"/>
      <c r="BE149" s="124"/>
      <c r="BF149" s="124"/>
      <c r="BG149" s="124"/>
      <c r="BH149" s="124"/>
      <c r="BI149" s="124"/>
      <c r="BJ149" s="124"/>
      <c r="BK149" s="124"/>
    </row>
    <row r="150" spans="1:63" outlineLevel="1">
      <c r="A150" s="4" t="s">
        <v>474</v>
      </c>
      <c r="C150" s="230">
        <f t="shared" ref="C150" si="87">C146-$C146</f>
        <v>0</v>
      </c>
      <c r="D150" s="230">
        <f t="shared" ref="D150:AG150" si="88">D146-$C146</f>
        <v>0</v>
      </c>
      <c r="E150" s="230">
        <f t="shared" si="88"/>
        <v>0</v>
      </c>
      <c r="F150" s="230">
        <f t="shared" si="88"/>
        <v>0</v>
      </c>
      <c r="G150" s="230">
        <f t="shared" si="88"/>
        <v>0</v>
      </c>
      <c r="H150" s="230">
        <f t="shared" si="88"/>
        <v>0</v>
      </c>
      <c r="I150" s="230">
        <f t="shared" si="88"/>
        <v>0</v>
      </c>
      <c r="J150" s="230">
        <f t="shared" si="88"/>
        <v>0</v>
      </c>
      <c r="K150" s="230">
        <f t="shared" si="88"/>
        <v>0</v>
      </c>
      <c r="L150" s="230">
        <f t="shared" si="88"/>
        <v>0</v>
      </c>
      <c r="M150" s="230">
        <f t="shared" si="88"/>
        <v>0</v>
      </c>
      <c r="N150" s="230">
        <f t="shared" si="88"/>
        <v>0</v>
      </c>
      <c r="O150" s="230">
        <f t="shared" si="88"/>
        <v>0</v>
      </c>
      <c r="P150" s="230">
        <f t="shared" si="88"/>
        <v>0</v>
      </c>
      <c r="Q150" s="230">
        <f t="shared" si="88"/>
        <v>0</v>
      </c>
      <c r="R150" s="230">
        <f t="shared" si="88"/>
        <v>0</v>
      </c>
      <c r="S150" s="230">
        <f t="shared" si="88"/>
        <v>0</v>
      </c>
      <c r="T150" s="230">
        <f t="shared" si="88"/>
        <v>0</v>
      </c>
      <c r="U150" s="230">
        <f t="shared" si="88"/>
        <v>0</v>
      </c>
      <c r="V150" s="230">
        <f t="shared" si="88"/>
        <v>0</v>
      </c>
      <c r="W150" s="230">
        <f t="shared" si="88"/>
        <v>0</v>
      </c>
      <c r="X150" s="230">
        <f t="shared" si="88"/>
        <v>0</v>
      </c>
      <c r="Y150" s="230">
        <f t="shared" si="88"/>
        <v>0</v>
      </c>
      <c r="Z150" s="230">
        <f t="shared" si="88"/>
        <v>0</v>
      </c>
      <c r="AA150" s="230">
        <f t="shared" si="88"/>
        <v>0</v>
      </c>
      <c r="AB150" s="230">
        <f t="shared" si="88"/>
        <v>0</v>
      </c>
      <c r="AC150" s="230">
        <f t="shared" si="88"/>
        <v>0</v>
      </c>
      <c r="AD150" s="230">
        <f t="shared" si="88"/>
        <v>0</v>
      </c>
      <c r="AE150" s="230">
        <f t="shared" si="88"/>
        <v>0</v>
      </c>
      <c r="AF150" s="230">
        <f t="shared" si="88"/>
        <v>0</v>
      </c>
      <c r="AG150" s="230">
        <f t="shared" si="88"/>
        <v>0</v>
      </c>
      <c r="AH150" s="245"/>
      <c r="AI150" s="133"/>
      <c r="AJ150" s="211"/>
      <c r="AL150" s="108"/>
      <c r="AM150" s="2"/>
      <c r="AN150" s="2"/>
      <c r="AO150" s="2"/>
      <c r="BC150" s="1"/>
      <c r="BD150" s="2"/>
      <c r="BE150" s="2"/>
      <c r="BF150" s="2"/>
      <c r="BG150" s="2"/>
      <c r="BH150" s="2"/>
      <c r="BI150" s="2"/>
      <c r="BJ150" s="2"/>
      <c r="BK150" s="2"/>
    </row>
    <row r="151" spans="1:63" outlineLevel="1">
      <c r="A151" s="4" t="s">
        <v>745</v>
      </c>
      <c r="C151" s="230">
        <f t="shared" ref="C151" si="89">C147-$C147</f>
        <v>0</v>
      </c>
      <c r="D151" s="230">
        <f t="shared" ref="D151:AG151" si="90">D147-$C147</f>
        <v>1.998143872233346E-5</v>
      </c>
      <c r="E151" s="230">
        <f t="shared" si="90"/>
        <v>4.9018979198287664E-5</v>
      </c>
      <c r="F151" s="230">
        <f t="shared" si="90"/>
        <v>8.7357733513105857E-5</v>
      </c>
      <c r="G151" s="230">
        <f t="shared" si="90"/>
        <v>1.350505666646182E-4</v>
      </c>
      <c r="H151" s="230">
        <f t="shared" si="90"/>
        <v>1.9194501733939441E-4</v>
      </c>
      <c r="I151" s="230">
        <f t="shared" si="90"/>
        <v>2.5823068072195702E-4</v>
      </c>
      <c r="J151" s="230">
        <f t="shared" si="90"/>
        <v>3.3380649570679855E-4</v>
      </c>
      <c r="K151" s="230">
        <f t="shared" si="90"/>
        <v>4.1846179445431301E-4</v>
      </c>
      <c r="L151" s="230">
        <f t="shared" si="90"/>
        <v>5.1186885145957034E-4</v>
      </c>
      <c r="M151" s="230">
        <f t="shared" si="90"/>
        <v>6.1357566132547614E-4</v>
      </c>
      <c r="N151" s="230">
        <f t="shared" si="90"/>
        <v>7.7529115786969442E-4</v>
      </c>
      <c r="O151" s="230">
        <f t="shared" si="90"/>
        <v>9.515706788126195E-4</v>
      </c>
      <c r="P151" s="230">
        <f t="shared" si="90"/>
        <v>1.1424735812793879E-3</v>
      </c>
      <c r="Q151" s="230">
        <f t="shared" si="90"/>
        <v>1.3439059972396264E-3</v>
      </c>
      <c r="R151" s="230">
        <f t="shared" si="90"/>
        <v>1.5529410763615865E-3</v>
      </c>
      <c r="S151" s="230">
        <f t="shared" si="90"/>
        <v>1.7694809263563772E-3</v>
      </c>
      <c r="T151" s="230">
        <f t="shared" si="90"/>
        <v>1.9911148205071132E-3</v>
      </c>
      <c r="U151" s="230">
        <f t="shared" si="90"/>
        <v>2.2151632757626757E-3</v>
      </c>
      <c r="V151" s="230">
        <f t="shared" si="90"/>
        <v>2.4386682315125333E-3</v>
      </c>
      <c r="W151" s="230">
        <f t="shared" si="90"/>
        <v>2.6583832742669532E-3</v>
      </c>
      <c r="X151" s="230">
        <f t="shared" si="90"/>
        <v>2.9803476409023546E-3</v>
      </c>
      <c r="Y151" s="230">
        <f t="shared" si="90"/>
        <v>3.2939464525637741E-3</v>
      </c>
      <c r="Z151" s="230">
        <f t="shared" si="90"/>
        <v>3.6035635106021605E-3</v>
      </c>
      <c r="AA151" s="230">
        <f t="shared" si="90"/>
        <v>3.8935487418809652E-3</v>
      </c>
      <c r="AB151" s="230">
        <f t="shared" si="90"/>
        <v>4.1564101559074633E-3</v>
      </c>
      <c r="AC151" s="230">
        <f t="shared" si="90"/>
        <v>4.3840485832382639E-3</v>
      </c>
      <c r="AD151" s="230">
        <f t="shared" si="90"/>
        <v>4.5676562353504343E-3</v>
      </c>
      <c r="AE151" s="230">
        <f t="shared" si="90"/>
        <v>4.6977260310720045E-3</v>
      </c>
      <c r="AF151" s="230">
        <f t="shared" si="90"/>
        <v>4.7640268122500625E-3</v>
      </c>
      <c r="AG151" s="230">
        <f t="shared" si="90"/>
        <v>4.7555785018095521E-3</v>
      </c>
      <c r="AH151" s="245"/>
      <c r="AI151" s="133"/>
      <c r="AJ151" s="211"/>
      <c r="AL151" s="108"/>
      <c r="AM151" s="2"/>
      <c r="AN151" s="2"/>
      <c r="AO151" s="2"/>
      <c r="BC151" s="1"/>
      <c r="BD151" s="2"/>
      <c r="BE151" s="2"/>
      <c r="BF151" s="2"/>
      <c r="BG151" s="2"/>
      <c r="BH151" s="2"/>
      <c r="BI151" s="2"/>
      <c r="BJ151" s="2"/>
      <c r="BK151" s="2"/>
    </row>
    <row r="152" spans="1:63" outlineLevel="1">
      <c r="A152" s="4" t="s">
        <v>1561</v>
      </c>
      <c r="C152" s="230">
        <f t="shared" ref="C152" si="91">C148-$C148</f>
        <v>0</v>
      </c>
      <c r="D152" s="230">
        <f t="shared" ref="D152:AG152" si="92">D148-$C148</f>
        <v>1.1127822450378846E-3</v>
      </c>
      <c r="E152" s="230">
        <f t="shared" si="92"/>
        <v>2.2490564046507306E-3</v>
      </c>
      <c r="F152" s="230">
        <f t="shared" si="92"/>
        <v>3.3970562034451391E-3</v>
      </c>
      <c r="G152" s="230">
        <f t="shared" si="92"/>
        <v>4.5443598904298726E-3</v>
      </c>
      <c r="H152" s="230">
        <f t="shared" si="92"/>
        <v>5.6780778429865028E-3</v>
      </c>
      <c r="I152" s="230">
        <f t="shared" si="92"/>
        <v>6.8083447021055768E-3</v>
      </c>
      <c r="J152" s="230">
        <f t="shared" si="92"/>
        <v>7.929000267357697E-3</v>
      </c>
      <c r="K152" s="230">
        <f t="shared" si="92"/>
        <v>9.033598610307763E-3</v>
      </c>
      <c r="L152" s="230">
        <f t="shared" si="92"/>
        <v>1.0115422097362513E-2</v>
      </c>
      <c r="M152" s="230">
        <f t="shared" si="92"/>
        <v>1.1167497126561156E-2</v>
      </c>
      <c r="N152" s="230">
        <f t="shared" si="92"/>
        <v>1.3353736907968025E-2</v>
      </c>
      <c r="O152" s="230">
        <f t="shared" si="92"/>
        <v>1.5446429198089379E-2</v>
      </c>
      <c r="P152" s="230">
        <f t="shared" si="92"/>
        <v>1.7464916654434018E-2</v>
      </c>
      <c r="Q152" s="230">
        <f t="shared" si="92"/>
        <v>1.9350805382150962E-2</v>
      </c>
      <c r="R152" s="230">
        <f t="shared" si="92"/>
        <v>2.1081220311734736E-2</v>
      </c>
      <c r="S152" s="230">
        <f t="shared" si="92"/>
        <v>2.2682410612936639E-2</v>
      </c>
      <c r="T152" s="230">
        <f t="shared" si="92"/>
        <v>2.4141772281388304E-2</v>
      </c>
      <c r="U152" s="230">
        <f t="shared" si="92"/>
        <v>2.5446464148212222E-2</v>
      </c>
      <c r="V152" s="230">
        <f t="shared" si="92"/>
        <v>2.6583417810367646E-2</v>
      </c>
      <c r="W152" s="230">
        <f t="shared" si="92"/>
        <v>2.7539348073051573E-2</v>
      </c>
      <c r="X152" s="230">
        <f t="shared" si="92"/>
        <v>2.9534123059186738E-2</v>
      </c>
      <c r="Y152" s="230">
        <f t="shared" si="92"/>
        <v>3.1228791455916557E-2</v>
      </c>
      <c r="Z152" s="230">
        <f t="shared" si="92"/>
        <v>3.2708256633649763E-2</v>
      </c>
      <c r="AA152" s="230">
        <f t="shared" si="92"/>
        <v>3.3847749792645279E-2</v>
      </c>
      <c r="AB152" s="230">
        <f t="shared" si="92"/>
        <v>3.4620791656208023E-2</v>
      </c>
      <c r="AC152" s="230">
        <f t="shared" si="92"/>
        <v>3.500072647959418E-2</v>
      </c>
      <c r="AD152" s="230">
        <f t="shared" si="92"/>
        <v>3.4960001720469987E-2</v>
      </c>
      <c r="AE152" s="230">
        <f t="shared" si="92"/>
        <v>3.4470531115228221E-2</v>
      </c>
      <c r="AF152" s="230">
        <f t="shared" si="92"/>
        <v>3.3503712108986658E-2</v>
      </c>
      <c r="AG152" s="230">
        <f t="shared" si="92"/>
        <v>3.2030444319863141E-2</v>
      </c>
      <c r="AH152" s="245"/>
      <c r="AI152" s="133"/>
      <c r="AJ152" s="211"/>
      <c r="AL152" s="108"/>
      <c r="AM152" s="2"/>
      <c r="AN152" s="2"/>
      <c r="AO152" s="2"/>
      <c r="BC152" s="1"/>
      <c r="BD152" s="2"/>
      <c r="BE152" s="2"/>
      <c r="BF152" s="2"/>
      <c r="BG152" s="2"/>
      <c r="BH152" s="2"/>
      <c r="BI152" s="2"/>
      <c r="BJ152" s="2"/>
      <c r="BK152" s="2"/>
    </row>
    <row r="153" spans="1:63" s="1" customFormat="1" outlineLevel="1">
      <c r="A153" s="1" t="s">
        <v>1578</v>
      </c>
      <c r="B153" s="65"/>
      <c r="C153" s="300">
        <f>C43*C134</f>
        <v>9.2527803464397787E-4</v>
      </c>
      <c r="D153" s="300">
        <f t="shared" ref="D153:AG153" si="93">D43*D134</f>
        <v>1.1866850385886434E-3</v>
      </c>
      <c r="E153" s="300">
        <f t="shared" si="93"/>
        <v>1.4556031232245204E-3</v>
      </c>
      <c r="F153" s="300">
        <f t="shared" si="93"/>
        <v>1.7293735585574186E-3</v>
      </c>
      <c r="G153" s="300">
        <f t="shared" si="93"/>
        <v>2.0051419862811681E-3</v>
      </c>
      <c r="H153" s="300">
        <f t="shared" si="93"/>
        <v>2.2798986947191843E-3</v>
      </c>
      <c r="I153" s="300">
        <f t="shared" si="93"/>
        <v>2.5560261999118695E-3</v>
      </c>
      <c r="J153" s="300">
        <f t="shared" si="93"/>
        <v>2.832079595351168E-3</v>
      </c>
      <c r="K153" s="300">
        <f t="shared" si="93"/>
        <v>3.1065227434352244E-3</v>
      </c>
      <c r="L153" s="300">
        <f t="shared" si="93"/>
        <v>3.3777297920644577E-3</v>
      </c>
      <c r="M153" s="300">
        <f t="shared" si="93"/>
        <v>3.6439871395408919E-3</v>
      </c>
      <c r="N153" s="300">
        <f t="shared" si="93"/>
        <v>4.1858229729142184E-3</v>
      </c>
      <c r="O153" s="300">
        <f t="shared" si="93"/>
        <v>4.7094318523905896E-3</v>
      </c>
      <c r="P153" s="300">
        <f t="shared" si="93"/>
        <v>5.2192911659624521E-3</v>
      </c>
      <c r="Q153" s="300">
        <f t="shared" si="93"/>
        <v>5.7009806606571865E-3</v>
      </c>
      <c r="R153" s="300">
        <f t="shared" si="93"/>
        <v>6.1485460472815853E-3</v>
      </c>
      <c r="S153" s="300">
        <f t="shared" si="93"/>
        <v>6.5680222360192846E-3</v>
      </c>
      <c r="T153" s="300">
        <f t="shared" si="93"/>
        <v>6.9559442889275316E-3</v>
      </c>
      <c r="U153" s="300">
        <f t="shared" si="93"/>
        <v>7.3087305170997175E-3</v>
      </c>
      <c r="V153" s="300">
        <f t="shared" si="93"/>
        <v>7.6226825058470886E-3</v>
      </c>
      <c r="W153" s="300">
        <f t="shared" si="93"/>
        <v>7.8939852686405517E-3</v>
      </c>
      <c r="X153" s="300">
        <f t="shared" si="93"/>
        <v>8.4286174269722226E-3</v>
      </c>
      <c r="Y153" s="300">
        <f t="shared" si="93"/>
        <v>8.8920637058317355E-3</v>
      </c>
      <c r="Z153" s="300">
        <f t="shared" si="93"/>
        <v>9.3049288371636427E-3</v>
      </c>
      <c r="AA153" s="300">
        <f t="shared" si="93"/>
        <v>9.634808465688486E-3</v>
      </c>
      <c r="AB153" s="300">
        <f t="shared" si="93"/>
        <v>9.8738630682090791E-3</v>
      </c>
      <c r="AC153" s="300">
        <f t="shared" si="93"/>
        <v>1.0014072279912991E-2</v>
      </c>
      <c r="AD153" s="300">
        <f t="shared" si="93"/>
        <v>1.0047045255217909E-2</v>
      </c>
      <c r="AE153" s="300">
        <f t="shared" si="93"/>
        <v>9.9641066068670934E-3</v>
      </c>
      <c r="AF153" s="300">
        <f t="shared" si="93"/>
        <v>9.7562947087755179E-3</v>
      </c>
      <c r="AG153" s="300">
        <f t="shared" si="93"/>
        <v>9.4143602242607524E-3</v>
      </c>
      <c r="AH153" s="245"/>
      <c r="AI153" s="423"/>
      <c r="AJ153" s="424"/>
      <c r="AL153" s="221"/>
      <c r="AM153" s="124"/>
      <c r="AN153" s="124"/>
      <c r="AO153" s="124"/>
      <c r="BD153" s="124"/>
      <c r="BE153" s="124"/>
      <c r="BF153" s="124"/>
      <c r="BG153" s="124"/>
      <c r="BH153" s="124"/>
      <c r="BI153" s="124"/>
      <c r="BJ153" s="124"/>
      <c r="BK153" s="124"/>
    </row>
    <row r="154" spans="1:63" outlineLevel="1">
      <c r="A154" s="4" t="s">
        <v>474</v>
      </c>
      <c r="C154" s="230">
        <f>C$153*'Methanol recycling rates'!E54</f>
        <v>0</v>
      </c>
      <c r="D154" s="230">
        <f>D$153*'Methanol recycling rates'!F54</f>
        <v>0</v>
      </c>
      <c r="E154" s="230">
        <f>E$153*'Methanol recycling rates'!G54</f>
        <v>0</v>
      </c>
      <c r="F154" s="230">
        <f>F$153*'Methanol recycling rates'!H54</f>
        <v>0</v>
      </c>
      <c r="G154" s="230">
        <f>G$153*'Methanol recycling rates'!I54</f>
        <v>0</v>
      </c>
      <c r="H154" s="230">
        <f>H$153*'Methanol recycling rates'!J54</f>
        <v>0</v>
      </c>
      <c r="I154" s="230">
        <f>I$153*'Methanol recycling rates'!K54</f>
        <v>0</v>
      </c>
      <c r="J154" s="230">
        <f>J$153*'Methanol recycling rates'!L54</f>
        <v>0</v>
      </c>
      <c r="K154" s="230">
        <f>K$153*'Methanol recycling rates'!M54</f>
        <v>0</v>
      </c>
      <c r="L154" s="230">
        <f>L$153*'Methanol recycling rates'!N54</f>
        <v>0</v>
      </c>
      <c r="M154" s="230">
        <f>M$153*'Methanol recycling rates'!O54</f>
        <v>0</v>
      </c>
      <c r="N154" s="230">
        <f>N$153*'Methanol recycling rates'!P54</f>
        <v>0</v>
      </c>
      <c r="O154" s="230">
        <f>O$153*'Methanol recycling rates'!Q54</f>
        <v>0</v>
      </c>
      <c r="P154" s="230">
        <f>P$153*'Methanol recycling rates'!R54</f>
        <v>0</v>
      </c>
      <c r="Q154" s="230">
        <f>Q$153*'Methanol recycling rates'!S54</f>
        <v>0</v>
      </c>
      <c r="R154" s="230">
        <f>R$153*'Methanol recycling rates'!T54</f>
        <v>0</v>
      </c>
      <c r="S154" s="230">
        <f>S$153*'Methanol recycling rates'!U54</f>
        <v>0</v>
      </c>
      <c r="T154" s="230">
        <f>T$153*'Methanol recycling rates'!V54</f>
        <v>0</v>
      </c>
      <c r="U154" s="230">
        <f>U$153*'Methanol recycling rates'!W54</f>
        <v>0</v>
      </c>
      <c r="V154" s="230">
        <f>V$153*'Methanol recycling rates'!X54</f>
        <v>0</v>
      </c>
      <c r="W154" s="230">
        <f>W$153*'Methanol recycling rates'!Y54</f>
        <v>0</v>
      </c>
      <c r="X154" s="230">
        <f>X$153*'Methanol recycling rates'!Z54</f>
        <v>0</v>
      </c>
      <c r="Y154" s="230">
        <f>Y$153*'Methanol recycling rates'!AA54</f>
        <v>0</v>
      </c>
      <c r="Z154" s="230">
        <f>Z$153*'Methanol recycling rates'!AB54</f>
        <v>0</v>
      </c>
      <c r="AA154" s="230">
        <f>AA$153*'Methanol recycling rates'!AC54</f>
        <v>0</v>
      </c>
      <c r="AB154" s="230">
        <f>AB$153*'Methanol recycling rates'!AD54</f>
        <v>0</v>
      </c>
      <c r="AC154" s="230">
        <f>AC$153*'Methanol recycling rates'!AE54</f>
        <v>0</v>
      </c>
      <c r="AD154" s="230">
        <f>AD$153*'Methanol recycling rates'!AF54</f>
        <v>0</v>
      </c>
      <c r="AE154" s="230">
        <f>AE$153*'Methanol recycling rates'!AG54</f>
        <v>0</v>
      </c>
      <c r="AF154" s="230">
        <f>AF$153*'Methanol recycling rates'!AH54</f>
        <v>0</v>
      </c>
      <c r="AG154" s="230">
        <f>AG$153*'Methanol recycling rates'!AI54</f>
        <v>0</v>
      </c>
      <c r="AH154" s="245"/>
      <c r="AI154" s="133"/>
      <c r="AJ154" s="211"/>
      <c r="AL154" s="108"/>
      <c r="AM154" s="2"/>
      <c r="AN154" s="2"/>
      <c r="AO154" s="2"/>
      <c r="BC154" s="1"/>
      <c r="BD154" s="2"/>
      <c r="BE154" s="2"/>
      <c r="BF154" s="2"/>
      <c r="BG154" s="2"/>
      <c r="BH154" s="2"/>
      <c r="BI154" s="2"/>
      <c r="BJ154" s="2"/>
      <c r="BK154" s="2"/>
    </row>
    <row r="155" spans="1:63" outlineLevel="1">
      <c r="A155" s="4" t="s">
        <v>745</v>
      </c>
      <c r="C155" s="230">
        <f>C$153*'Methanol recycling rates'!E55</f>
        <v>0</v>
      </c>
      <c r="D155" s="230">
        <f>D$153*'Methanol recycling rates'!F55</f>
        <v>4.6111012436154136E-6</v>
      </c>
      <c r="E155" s="230">
        <f>E$153*'Methanol recycling rates'!G55</f>
        <v>1.1312072122681768E-5</v>
      </c>
      <c r="F155" s="230">
        <f>F$153*'Methanol recycling rates'!H55</f>
        <v>2.0159476964562889E-5</v>
      </c>
      <c r="G155" s="230">
        <f>G$153*'Methanol recycling rates'!I55</f>
        <v>3.1165515384142668E-5</v>
      </c>
      <c r="H155" s="230">
        <f>H$153*'Methanol recycling rates'!J55</f>
        <v>4.4295004001398708E-5</v>
      </c>
      <c r="I155" s="230">
        <f>I$153*'Methanol recycling rates'!K55</f>
        <v>5.9591695551220853E-5</v>
      </c>
      <c r="J155" s="230">
        <f>J$153*'Methanol recycling rates'!L55</f>
        <v>7.7032268240030438E-5</v>
      </c>
      <c r="K155" s="230">
        <f>K$153*'Methanol recycling rates'!M55</f>
        <v>9.6568106412533747E-5</v>
      </c>
      <c r="L155" s="230">
        <f>L$153*'Methanol recycling rates'!N55</f>
        <v>1.1812358110605471E-4</v>
      </c>
      <c r="M155" s="230">
        <f>M$153*'Methanol recycling rates'!O55</f>
        <v>1.4159438338280219E-4</v>
      </c>
      <c r="N155" s="230">
        <f>N$153*'Methanol recycling rates'!P55</f>
        <v>1.7891334412377562E-4</v>
      </c>
      <c r="O155" s="230">
        <f>O$153*'Methanol recycling rates'!Q55</f>
        <v>2.1959323357214293E-4</v>
      </c>
      <c r="P155" s="230">
        <f>P$153*'Methanol recycling rates'!R55</f>
        <v>2.6364774952601254E-4</v>
      </c>
      <c r="Q155" s="230">
        <f>Q$153*'Methanol recycling rates'!S55</f>
        <v>3.1013215320914455E-4</v>
      </c>
      <c r="R155" s="230">
        <f>R$153*'Methanol recycling rates'!T55</f>
        <v>3.5837101762190455E-4</v>
      </c>
      <c r="S155" s="230">
        <f>S$153*'Methanol recycling rates'!U55</f>
        <v>4.0834175223608706E-4</v>
      </c>
      <c r="T155" s="230">
        <f>T$153*'Methanol recycling rates'!V55</f>
        <v>4.5948803550164159E-4</v>
      </c>
      <c r="U155" s="230">
        <f>U$153*'Methanol recycling rates'!W55</f>
        <v>5.1119152517600211E-4</v>
      </c>
      <c r="V155" s="230">
        <f>V$153*'Methanol recycling rates'!X55</f>
        <v>5.6276959188750761E-4</v>
      </c>
      <c r="W155" s="230">
        <f>W$153*'Methanol recycling rates'!Y55</f>
        <v>6.1347306329237374E-4</v>
      </c>
      <c r="X155" s="230">
        <f>X$153*'Methanol recycling rates'!Z55</f>
        <v>6.8777253251592807E-4</v>
      </c>
      <c r="Y155" s="230">
        <f>Y$153*'Methanol recycling rates'!AA55</f>
        <v>7.6014148905317847E-4</v>
      </c>
      <c r="Z155" s="230">
        <f>Z$153*'Methanol recycling rates'!AB55</f>
        <v>8.3159157936972929E-4</v>
      </c>
      <c r="AA155" s="230">
        <f>AA$153*'Methanol recycling rates'!AC55</f>
        <v>8.985112481263766E-4</v>
      </c>
      <c r="AB155" s="230">
        <f>AB$153*'Methanol recycling rates'!AD55</f>
        <v>9.5917157444018366E-4</v>
      </c>
      <c r="AC155" s="230">
        <f>AC$153*'Methanol recycling rates'!AE55</f>
        <v>1.0117035192088299E-3</v>
      </c>
      <c r="AD155" s="230">
        <f>AD$153*'Methanol recycling rates'!AF55</f>
        <v>1.0540745158501002E-3</v>
      </c>
      <c r="AE155" s="230">
        <f>AE$153*'Methanol recycling rates'!AG55</f>
        <v>1.0840906225550778E-3</v>
      </c>
      <c r="AF155" s="230">
        <f>AF$153*'Methanol recycling rates'!AH55</f>
        <v>1.0993908028269377E-3</v>
      </c>
      <c r="AG155" s="230">
        <f>AG$153*'Methanol recycling rates'!AI55</f>
        <v>1.0974411927252813E-3</v>
      </c>
      <c r="AH155" s="245"/>
      <c r="AI155" s="133"/>
      <c r="AJ155" s="211"/>
      <c r="AL155" s="108"/>
      <c r="AM155" s="2"/>
      <c r="AN155" s="2"/>
      <c r="AO155" s="2"/>
      <c r="BC155" s="1"/>
      <c r="BD155" s="2"/>
      <c r="BE155" s="2"/>
      <c r="BF155" s="2"/>
      <c r="BG155" s="2"/>
      <c r="BH155" s="2"/>
      <c r="BI155" s="2"/>
      <c r="BJ155" s="2"/>
      <c r="BK155" s="2"/>
    </row>
    <row r="156" spans="1:63" outlineLevel="1">
      <c r="A156" s="4" t="s">
        <v>1561</v>
      </c>
      <c r="C156" s="230">
        <f>C$153*'Methanol recycling rates'!E56</f>
        <v>9.2527803464397787E-4</v>
      </c>
      <c r="D156" s="230">
        <f>D$153*'Methanol recycling rates'!F56</f>
        <v>1.182073937345028E-3</v>
      </c>
      <c r="E156" s="230">
        <f>E$153*'Methanol recycling rates'!G56</f>
        <v>1.4442910511018388E-3</v>
      </c>
      <c r="F156" s="230">
        <f>F$153*'Methanol recycling rates'!H56</f>
        <v>1.7092140815928559E-3</v>
      </c>
      <c r="G156" s="230">
        <f>G$153*'Methanol recycling rates'!I56</f>
        <v>1.9739764708970259E-3</v>
      </c>
      <c r="H156" s="230">
        <f>H$153*'Methanol recycling rates'!J56</f>
        <v>2.235603690717786E-3</v>
      </c>
      <c r="I156" s="230">
        <f>I$153*'Methanol recycling rates'!K56</f>
        <v>2.4964345043606492E-3</v>
      </c>
      <c r="J156" s="230">
        <f>J$153*'Methanol recycling rates'!L56</f>
        <v>2.7550473271111386E-3</v>
      </c>
      <c r="K156" s="230">
        <f>K$153*'Methanol recycling rates'!M56</f>
        <v>3.009954637022692E-3</v>
      </c>
      <c r="L156" s="230">
        <f>L$153*'Methanol recycling rates'!N56</f>
        <v>3.2596062109584044E-3</v>
      </c>
      <c r="M156" s="230">
        <f>M$153*'Methanol recycling rates'!O56</f>
        <v>3.5023927561580914E-3</v>
      </c>
      <c r="N156" s="230">
        <f>N$153*'Methanol recycling rates'!P56</f>
        <v>4.0069096287904445E-3</v>
      </c>
      <c r="O156" s="230">
        <f>O$153*'Methanol recycling rates'!Q56</f>
        <v>4.4898386188184491E-3</v>
      </c>
      <c r="P156" s="230">
        <f>P$153*'Methanol recycling rates'!R56</f>
        <v>4.9556434164364426E-3</v>
      </c>
      <c r="Q156" s="230">
        <f>Q$153*'Methanol recycling rates'!S56</f>
        <v>5.3908485074480456E-3</v>
      </c>
      <c r="R156" s="230">
        <f>R$153*'Methanol recycling rates'!T56</f>
        <v>5.7901750296596851E-3</v>
      </c>
      <c r="S156" s="230">
        <f>S$153*'Methanol recycling rates'!U56</f>
        <v>6.1596804837832017E-3</v>
      </c>
      <c r="T156" s="230">
        <f>T$153*'Methanol recycling rates'!V56</f>
        <v>6.4964562534258951E-3</v>
      </c>
      <c r="U156" s="230">
        <f>U$153*'Methanol recycling rates'!W56</f>
        <v>6.7975389919237208E-3</v>
      </c>
      <c r="V156" s="230">
        <f>V$153*'Methanol recycling rates'!X56</f>
        <v>7.0599129139595875E-3</v>
      </c>
      <c r="W156" s="230">
        <f>W$153*'Methanol recycling rates'!Y56</f>
        <v>7.2805122053481849E-3</v>
      </c>
      <c r="X156" s="230">
        <f>X$153*'Methanol recycling rates'!Z56</f>
        <v>7.7408448944563018E-3</v>
      </c>
      <c r="Y156" s="230">
        <f>Y$153*'Methanol recycling rates'!AA56</f>
        <v>8.1319222167785653E-3</v>
      </c>
      <c r="Z156" s="230">
        <f>Z$153*'Methanol recycling rates'!AB56</f>
        <v>8.4733372577939226E-3</v>
      </c>
      <c r="AA156" s="230">
        <f>AA$153*'Methanol recycling rates'!AC56</f>
        <v>8.7362972175621199E-3</v>
      </c>
      <c r="AB156" s="230">
        <f>AB$153*'Methanol recycling rates'!AD56</f>
        <v>8.9146914937689066E-3</v>
      </c>
      <c r="AC156" s="230">
        <f>AC$153*'Methanol recycling rates'!AE56</f>
        <v>9.0023687607041717E-3</v>
      </c>
      <c r="AD156" s="230">
        <f>AD$153*'Methanol recycling rates'!AF56</f>
        <v>8.9929707393678199E-3</v>
      </c>
      <c r="AE156" s="230">
        <f>AE$153*'Methanol recycling rates'!AG56</f>
        <v>8.8800159843120275E-3</v>
      </c>
      <c r="AF156" s="230">
        <f>AF$153*'Methanol recycling rates'!AH56</f>
        <v>8.6569039059485927E-3</v>
      </c>
      <c r="AG156" s="230">
        <f>AG$153*'Methanol recycling rates'!AI56</f>
        <v>8.3169190315354712E-3</v>
      </c>
      <c r="AH156" s="245"/>
      <c r="AI156" s="133"/>
      <c r="AJ156" s="211"/>
      <c r="AL156" s="108"/>
      <c r="AM156" s="2"/>
      <c r="AN156" s="2"/>
      <c r="AO156" s="2"/>
      <c r="BC156" s="1"/>
      <c r="BD156" s="2"/>
      <c r="BE156" s="2"/>
      <c r="BF156" s="2"/>
      <c r="BG156" s="2"/>
      <c r="BH156" s="2"/>
      <c r="BI156" s="2"/>
      <c r="BJ156" s="2"/>
      <c r="BK156" s="2"/>
    </row>
    <row r="157" spans="1:63" s="1" customFormat="1" outlineLevel="1">
      <c r="A157" s="1" t="s">
        <v>1579</v>
      </c>
      <c r="B157" s="65"/>
      <c r="C157" s="300">
        <f>C153-$C153</f>
        <v>0</v>
      </c>
      <c r="D157" s="300">
        <f t="shared" ref="D157:AG157" si="94">D153-$C153</f>
        <v>2.6140700394466552E-4</v>
      </c>
      <c r="E157" s="300">
        <f t="shared" si="94"/>
        <v>5.3032508858054253E-4</v>
      </c>
      <c r="F157" s="300">
        <f t="shared" si="94"/>
        <v>8.0409552391344074E-4</v>
      </c>
      <c r="G157" s="300">
        <f t="shared" si="94"/>
        <v>1.0798639516371902E-3</v>
      </c>
      <c r="H157" s="300">
        <f t="shared" si="94"/>
        <v>1.3546206600752065E-3</v>
      </c>
      <c r="I157" s="300">
        <f t="shared" si="94"/>
        <v>1.6307481652678916E-3</v>
      </c>
      <c r="J157" s="300">
        <f t="shared" si="94"/>
        <v>1.9068015607071902E-3</v>
      </c>
      <c r="K157" s="300">
        <f t="shared" si="94"/>
        <v>2.1812447087912468E-3</v>
      </c>
      <c r="L157" s="300">
        <f t="shared" si="94"/>
        <v>2.4524517574204801E-3</v>
      </c>
      <c r="M157" s="300">
        <f t="shared" si="94"/>
        <v>2.7187091048969138E-3</v>
      </c>
      <c r="N157" s="300">
        <f t="shared" si="94"/>
        <v>3.2605449382702408E-3</v>
      </c>
      <c r="O157" s="300">
        <f t="shared" si="94"/>
        <v>3.7841538177466119E-3</v>
      </c>
      <c r="P157" s="300">
        <f t="shared" si="94"/>
        <v>4.2940131313184745E-3</v>
      </c>
      <c r="Q157" s="300">
        <f t="shared" si="94"/>
        <v>4.7757026260132089E-3</v>
      </c>
      <c r="R157" s="300">
        <f t="shared" si="94"/>
        <v>5.2232680126376076E-3</v>
      </c>
      <c r="S157" s="300">
        <f t="shared" si="94"/>
        <v>5.6427442013753069E-3</v>
      </c>
      <c r="T157" s="300">
        <f t="shared" si="94"/>
        <v>6.0306662542835539E-3</v>
      </c>
      <c r="U157" s="300">
        <f t="shared" si="94"/>
        <v>6.3834524824557398E-3</v>
      </c>
      <c r="V157" s="300">
        <f t="shared" si="94"/>
        <v>6.6974044712031109E-3</v>
      </c>
      <c r="W157" s="300">
        <f t="shared" si="94"/>
        <v>6.9687072339965741E-3</v>
      </c>
      <c r="X157" s="300">
        <f t="shared" si="94"/>
        <v>7.5033393923282449E-3</v>
      </c>
      <c r="Y157" s="300">
        <f t="shared" si="94"/>
        <v>7.9667856711877569E-3</v>
      </c>
      <c r="Z157" s="300">
        <f t="shared" si="94"/>
        <v>8.3796508025196642E-3</v>
      </c>
      <c r="AA157" s="300">
        <f t="shared" si="94"/>
        <v>8.7095304310445074E-3</v>
      </c>
      <c r="AB157" s="300">
        <f t="shared" si="94"/>
        <v>8.9485850335651006E-3</v>
      </c>
      <c r="AC157" s="300">
        <f t="shared" si="94"/>
        <v>9.0887942452690124E-3</v>
      </c>
      <c r="AD157" s="300">
        <f t="shared" si="94"/>
        <v>9.12176722057393E-3</v>
      </c>
      <c r="AE157" s="300">
        <f t="shared" si="94"/>
        <v>9.0388285722231149E-3</v>
      </c>
      <c r="AF157" s="300">
        <f t="shared" si="94"/>
        <v>8.8310166741315393E-3</v>
      </c>
      <c r="AG157" s="300">
        <f t="shared" si="94"/>
        <v>8.4890821896167739E-3</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 t="shared" ref="C158" si="95">C154-$C154</f>
        <v>0</v>
      </c>
      <c r="D158" s="230">
        <f t="shared" ref="D158:AG158" si="96">D154-$C154</f>
        <v>0</v>
      </c>
      <c r="E158" s="230">
        <f t="shared" si="96"/>
        <v>0</v>
      </c>
      <c r="F158" s="230">
        <f t="shared" si="96"/>
        <v>0</v>
      </c>
      <c r="G158" s="230">
        <f t="shared" si="96"/>
        <v>0</v>
      </c>
      <c r="H158" s="230">
        <f t="shared" si="96"/>
        <v>0</v>
      </c>
      <c r="I158" s="230">
        <f t="shared" si="96"/>
        <v>0</v>
      </c>
      <c r="J158" s="230">
        <f t="shared" si="96"/>
        <v>0</v>
      </c>
      <c r="K158" s="230">
        <f t="shared" si="96"/>
        <v>0</v>
      </c>
      <c r="L158" s="230">
        <f t="shared" si="96"/>
        <v>0</v>
      </c>
      <c r="M158" s="230">
        <f t="shared" si="96"/>
        <v>0</v>
      </c>
      <c r="N158" s="230">
        <f t="shared" si="96"/>
        <v>0</v>
      </c>
      <c r="O158" s="230">
        <f t="shared" si="96"/>
        <v>0</v>
      </c>
      <c r="P158" s="230">
        <f t="shared" si="96"/>
        <v>0</v>
      </c>
      <c r="Q158" s="230">
        <f t="shared" si="96"/>
        <v>0</v>
      </c>
      <c r="R158" s="230">
        <f t="shared" si="96"/>
        <v>0</v>
      </c>
      <c r="S158" s="230">
        <f t="shared" si="96"/>
        <v>0</v>
      </c>
      <c r="T158" s="230">
        <f t="shared" si="96"/>
        <v>0</v>
      </c>
      <c r="U158" s="230">
        <f t="shared" si="96"/>
        <v>0</v>
      </c>
      <c r="V158" s="230">
        <f t="shared" si="96"/>
        <v>0</v>
      </c>
      <c r="W158" s="230">
        <f t="shared" si="96"/>
        <v>0</v>
      </c>
      <c r="X158" s="230">
        <f t="shared" si="96"/>
        <v>0</v>
      </c>
      <c r="Y158" s="230">
        <f t="shared" si="96"/>
        <v>0</v>
      </c>
      <c r="Z158" s="230">
        <f t="shared" si="96"/>
        <v>0</v>
      </c>
      <c r="AA158" s="230">
        <f t="shared" si="96"/>
        <v>0</v>
      </c>
      <c r="AB158" s="230">
        <f t="shared" si="96"/>
        <v>0</v>
      </c>
      <c r="AC158" s="230">
        <f t="shared" si="96"/>
        <v>0</v>
      </c>
      <c r="AD158" s="230">
        <f t="shared" si="96"/>
        <v>0</v>
      </c>
      <c r="AE158" s="230">
        <f t="shared" si="96"/>
        <v>0</v>
      </c>
      <c r="AF158" s="230">
        <f t="shared" si="96"/>
        <v>0</v>
      </c>
      <c r="AG158" s="230">
        <f t="shared" si="96"/>
        <v>0</v>
      </c>
      <c r="AH158" s="245"/>
      <c r="AI158" s="133"/>
      <c r="AJ158" s="211"/>
      <c r="AL158" s="108"/>
      <c r="AM158" s="2"/>
      <c r="AN158" s="2"/>
      <c r="AO158" s="2"/>
      <c r="BC158" s="1"/>
      <c r="BD158" s="2"/>
      <c r="BE158" s="2"/>
      <c r="BF158" s="2"/>
      <c r="BG158" s="2"/>
      <c r="BH158" s="2"/>
      <c r="BI158" s="2"/>
      <c r="BJ158" s="2"/>
      <c r="BK158" s="2"/>
    </row>
    <row r="159" spans="1:63" outlineLevel="1">
      <c r="A159" s="4" t="s">
        <v>745</v>
      </c>
      <c r="C159" s="230">
        <f t="shared" ref="C159" si="97">C155-$C155</f>
        <v>0</v>
      </c>
      <c r="D159" s="230">
        <f t="shared" ref="D159:AG159" si="98">D155-$C155</f>
        <v>4.6111012436154136E-6</v>
      </c>
      <c r="E159" s="230">
        <f t="shared" si="98"/>
        <v>1.1312072122681768E-5</v>
      </c>
      <c r="F159" s="230">
        <f t="shared" si="98"/>
        <v>2.0159476964562889E-5</v>
      </c>
      <c r="G159" s="230">
        <f t="shared" si="98"/>
        <v>3.1165515384142668E-5</v>
      </c>
      <c r="H159" s="230">
        <f t="shared" si="98"/>
        <v>4.4295004001398708E-5</v>
      </c>
      <c r="I159" s="230">
        <f t="shared" si="98"/>
        <v>5.9591695551220853E-5</v>
      </c>
      <c r="J159" s="230">
        <f t="shared" si="98"/>
        <v>7.7032268240030438E-5</v>
      </c>
      <c r="K159" s="230">
        <f t="shared" si="98"/>
        <v>9.6568106412533747E-5</v>
      </c>
      <c r="L159" s="230">
        <f t="shared" si="98"/>
        <v>1.1812358110605471E-4</v>
      </c>
      <c r="M159" s="230">
        <f t="shared" si="98"/>
        <v>1.4159438338280219E-4</v>
      </c>
      <c r="N159" s="230">
        <f t="shared" si="98"/>
        <v>1.7891334412377562E-4</v>
      </c>
      <c r="O159" s="230">
        <f t="shared" si="98"/>
        <v>2.1959323357214293E-4</v>
      </c>
      <c r="P159" s="230">
        <f t="shared" si="98"/>
        <v>2.6364774952601254E-4</v>
      </c>
      <c r="Q159" s="230">
        <f t="shared" si="98"/>
        <v>3.1013215320914455E-4</v>
      </c>
      <c r="R159" s="230">
        <f t="shared" si="98"/>
        <v>3.5837101762190455E-4</v>
      </c>
      <c r="S159" s="230">
        <f t="shared" si="98"/>
        <v>4.0834175223608706E-4</v>
      </c>
      <c r="T159" s="230">
        <f t="shared" si="98"/>
        <v>4.5948803550164159E-4</v>
      </c>
      <c r="U159" s="230">
        <f t="shared" si="98"/>
        <v>5.1119152517600211E-4</v>
      </c>
      <c r="V159" s="230">
        <f t="shared" si="98"/>
        <v>5.6276959188750761E-4</v>
      </c>
      <c r="W159" s="230">
        <f t="shared" si="98"/>
        <v>6.1347306329237374E-4</v>
      </c>
      <c r="X159" s="230">
        <f t="shared" si="98"/>
        <v>6.8777253251592807E-4</v>
      </c>
      <c r="Y159" s="230">
        <f t="shared" si="98"/>
        <v>7.6014148905317847E-4</v>
      </c>
      <c r="Z159" s="230">
        <f t="shared" si="98"/>
        <v>8.3159157936972929E-4</v>
      </c>
      <c r="AA159" s="230">
        <f t="shared" si="98"/>
        <v>8.985112481263766E-4</v>
      </c>
      <c r="AB159" s="230">
        <f t="shared" si="98"/>
        <v>9.5917157444018366E-4</v>
      </c>
      <c r="AC159" s="230">
        <f t="shared" si="98"/>
        <v>1.0117035192088299E-3</v>
      </c>
      <c r="AD159" s="230">
        <f t="shared" si="98"/>
        <v>1.0540745158501002E-3</v>
      </c>
      <c r="AE159" s="230">
        <f t="shared" si="98"/>
        <v>1.0840906225550778E-3</v>
      </c>
      <c r="AF159" s="230">
        <f t="shared" si="98"/>
        <v>1.0993908028269377E-3</v>
      </c>
      <c r="AG159" s="230">
        <f t="shared" si="98"/>
        <v>1.0974411927252813E-3</v>
      </c>
      <c r="AH159" s="245"/>
      <c r="AI159" s="133"/>
      <c r="AJ159" s="211"/>
      <c r="AL159" s="108"/>
      <c r="AM159" s="2"/>
      <c r="AN159" s="2"/>
      <c r="AO159" s="2"/>
      <c r="BC159" s="1"/>
      <c r="BD159" s="2"/>
      <c r="BE159" s="2"/>
      <c r="BF159" s="2"/>
      <c r="BG159" s="2"/>
      <c r="BH159" s="2"/>
      <c r="BI159" s="2"/>
      <c r="BJ159" s="2"/>
      <c r="BK159" s="2"/>
    </row>
    <row r="160" spans="1:63" outlineLevel="1">
      <c r="A160" s="4" t="s">
        <v>1561</v>
      </c>
      <c r="C160" s="230">
        <f t="shared" ref="C160" si="99">C156-$C156</f>
        <v>0</v>
      </c>
      <c r="D160" s="230">
        <f t="shared" ref="D160:AG160" si="100">D156-$C156</f>
        <v>2.5679590270105018E-4</v>
      </c>
      <c r="E160" s="230">
        <f t="shared" si="100"/>
        <v>5.1901301645786093E-4</v>
      </c>
      <c r="F160" s="230">
        <f t="shared" si="100"/>
        <v>7.83936046948878E-4</v>
      </c>
      <c r="G160" s="230">
        <f t="shared" si="100"/>
        <v>1.048698436253048E-3</v>
      </c>
      <c r="H160" s="230">
        <f t="shared" si="100"/>
        <v>1.3103256560738081E-3</v>
      </c>
      <c r="I160" s="230">
        <f t="shared" si="100"/>
        <v>1.5711564697166714E-3</v>
      </c>
      <c r="J160" s="230">
        <f t="shared" si="100"/>
        <v>1.8297692924671607E-3</v>
      </c>
      <c r="K160" s="230">
        <f t="shared" si="100"/>
        <v>2.0846766023787143E-3</v>
      </c>
      <c r="L160" s="230">
        <f t="shared" si="100"/>
        <v>2.3343281763144267E-3</v>
      </c>
      <c r="M160" s="230">
        <f t="shared" si="100"/>
        <v>2.5771147215141134E-3</v>
      </c>
      <c r="N160" s="230">
        <f t="shared" si="100"/>
        <v>3.0816315941464669E-3</v>
      </c>
      <c r="O160" s="230">
        <f t="shared" si="100"/>
        <v>3.5645605841744714E-3</v>
      </c>
      <c r="P160" s="230">
        <f t="shared" si="100"/>
        <v>4.030365381792465E-3</v>
      </c>
      <c r="Q160" s="230">
        <f t="shared" si="100"/>
        <v>4.4655704728040679E-3</v>
      </c>
      <c r="R160" s="230">
        <f t="shared" si="100"/>
        <v>4.8648969950157075E-3</v>
      </c>
      <c r="S160" s="230">
        <f t="shared" si="100"/>
        <v>5.2344024491392241E-3</v>
      </c>
      <c r="T160" s="230">
        <f t="shared" si="100"/>
        <v>5.5711782187819175E-3</v>
      </c>
      <c r="U160" s="230">
        <f t="shared" si="100"/>
        <v>5.8722609572797431E-3</v>
      </c>
      <c r="V160" s="230">
        <f t="shared" si="100"/>
        <v>6.1346348793156098E-3</v>
      </c>
      <c r="W160" s="230">
        <f t="shared" si="100"/>
        <v>6.3552341707042072E-3</v>
      </c>
      <c r="X160" s="230">
        <f t="shared" si="100"/>
        <v>6.8155668598123241E-3</v>
      </c>
      <c r="Y160" s="230">
        <f t="shared" si="100"/>
        <v>7.2066441821345877E-3</v>
      </c>
      <c r="Z160" s="230">
        <f t="shared" si="100"/>
        <v>7.5480592231499449E-3</v>
      </c>
      <c r="AA160" s="230">
        <f t="shared" si="100"/>
        <v>7.8110191829181422E-3</v>
      </c>
      <c r="AB160" s="230">
        <f t="shared" si="100"/>
        <v>7.9894134591249281E-3</v>
      </c>
      <c r="AC160" s="230">
        <f t="shared" si="100"/>
        <v>8.0770907260601932E-3</v>
      </c>
      <c r="AD160" s="230">
        <f t="shared" si="100"/>
        <v>8.0676927047238414E-3</v>
      </c>
      <c r="AE160" s="230">
        <f t="shared" si="100"/>
        <v>7.954737949668049E-3</v>
      </c>
      <c r="AF160" s="230">
        <f t="shared" si="100"/>
        <v>7.731625871304615E-3</v>
      </c>
      <c r="AG160" s="230">
        <f t="shared" si="100"/>
        <v>7.3916409968914935E-3</v>
      </c>
      <c r="AH160" s="245"/>
      <c r="AI160" s="133"/>
      <c r="AJ160" s="211"/>
      <c r="AL160" s="108"/>
      <c r="AM160" s="2"/>
      <c r="AN160" s="2"/>
      <c r="AO160" s="2"/>
      <c r="BC160" s="1"/>
      <c r="BD160" s="2"/>
      <c r="BE160" s="2"/>
      <c r="BF160" s="2"/>
      <c r="BG160" s="2"/>
      <c r="BH160" s="2"/>
      <c r="BI160" s="2"/>
      <c r="BJ160" s="2"/>
      <c r="BK160" s="2"/>
    </row>
    <row r="161" spans="1:63" s="1" customFormat="1" outlineLevel="1">
      <c r="A161" s="1" t="s">
        <v>1567</v>
      </c>
      <c r="B161" s="65"/>
      <c r="C161" s="300">
        <f>C43*C135</f>
        <v>2.7758341039319338E-3</v>
      </c>
      <c r="D161" s="300">
        <f t="shared" ref="D161:AG161" si="101">D43*D135</f>
        <v>3.5600551157659302E-3</v>
      </c>
      <c r="E161" s="300">
        <f t="shared" si="101"/>
        <v>4.366809369673561E-3</v>
      </c>
      <c r="F161" s="300">
        <f t="shared" si="101"/>
        <v>5.1881206756722561E-3</v>
      </c>
      <c r="G161" s="300">
        <f t="shared" si="101"/>
        <v>6.0154259588435033E-3</v>
      </c>
      <c r="H161" s="300">
        <f t="shared" si="101"/>
        <v>6.8396960841575526E-3</v>
      </c>
      <c r="I161" s="300">
        <f t="shared" si="101"/>
        <v>7.6680785997356084E-3</v>
      </c>
      <c r="J161" s="300">
        <f t="shared" si="101"/>
        <v>8.4962387860535032E-3</v>
      </c>
      <c r="K161" s="300">
        <f t="shared" si="101"/>
        <v>9.3195682303056741E-3</v>
      </c>
      <c r="L161" s="300">
        <f t="shared" si="101"/>
        <v>1.0133189376193372E-2</v>
      </c>
      <c r="M161" s="300">
        <f t="shared" si="101"/>
        <v>1.0931961418622675E-2</v>
      </c>
      <c r="N161" s="300">
        <f t="shared" si="101"/>
        <v>1.2557468918742655E-2</v>
      </c>
      <c r="O161" s="300">
        <f t="shared" si="101"/>
        <v>1.412829555717177E-2</v>
      </c>
      <c r="P161" s="300">
        <f t="shared" si="101"/>
        <v>1.5657873497887356E-2</v>
      </c>
      <c r="Q161" s="300">
        <f t="shared" si="101"/>
        <v>1.7102941981971556E-2</v>
      </c>
      <c r="R161" s="300">
        <f t="shared" si="101"/>
        <v>1.8445638141844755E-2</v>
      </c>
      <c r="S161" s="300">
        <f t="shared" si="101"/>
        <v>1.9704066708057851E-2</v>
      </c>
      <c r="T161" s="300">
        <f t="shared" si="101"/>
        <v>2.0867832866782593E-2</v>
      </c>
      <c r="U161" s="300">
        <f t="shared" si="101"/>
        <v>2.192619155129915E-2</v>
      </c>
      <c r="V161" s="300">
        <f t="shared" si="101"/>
        <v>2.2868047517541266E-2</v>
      </c>
      <c r="W161" s="300">
        <f t="shared" si="101"/>
        <v>2.3681955805921657E-2</v>
      </c>
      <c r="X161" s="300">
        <f t="shared" si="101"/>
        <v>2.5285852280916666E-2</v>
      </c>
      <c r="Y161" s="300">
        <f t="shared" si="101"/>
        <v>2.667619111749521E-2</v>
      </c>
      <c r="Z161" s="300">
        <f t="shared" si="101"/>
        <v>2.7914786511490926E-2</v>
      </c>
      <c r="AA161" s="300">
        <f t="shared" si="101"/>
        <v>2.8904425397065461E-2</v>
      </c>
      <c r="AB161" s="300">
        <f t="shared" si="101"/>
        <v>2.9621589204627236E-2</v>
      </c>
      <c r="AC161" s="300">
        <f t="shared" si="101"/>
        <v>3.0042216839738976E-2</v>
      </c>
      <c r="AD161" s="300">
        <f t="shared" si="101"/>
        <v>3.0141135765653724E-2</v>
      </c>
      <c r="AE161" s="300">
        <f t="shared" si="101"/>
        <v>2.9892319820601282E-2</v>
      </c>
      <c r="AF161" s="300">
        <f t="shared" si="101"/>
        <v>2.9268884126326548E-2</v>
      </c>
      <c r="AG161" s="300">
        <f t="shared" si="101"/>
        <v>2.8243080672782257E-2</v>
      </c>
      <c r="AH161" s="245"/>
      <c r="AI161" s="423"/>
      <c r="AJ161" s="424"/>
      <c r="AL161" s="221"/>
      <c r="AM161" s="124"/>
      <c r="AN161" s="124"/>
      <c r="AO161" s="124"/>
      <c r="BD161" s="124"/>
      <c r="BE161" s="124"/>
      <c r="BF161" s="124"/>
      <c r="BG161" s="124"/>
      <c r="BH161" s="124"/>
      <c r="BI161" s="124"/>
      <c r="BJ161" s="124"/>
      <c r="BK161" s="124"/>
    </row>
    <row r="162" spans="1:63" outlineLevel="1">
      <c r="A162" s="4" t="s">
        <v>474</v>
      </c>
      <c r="C162" s="230">
        <f>C$161*'Methanol recycling rates'!E57</f>
        <v>0</v>
      </c>
      <c r="D162" s="230">
        <f>D$161*'Methanol recycling rates'!F57</f>
        <v>0</v>
      </c>
      <c r="E162" s="230">
        <f>E$161*'Methanol recycling rates'!G57</f>
        <v>0</v>
      </c>
      <c r="F162" s="230">
        <f>F$161*'Methanol recycling rates'!H57</f>
        <v>0</v>
      </c>
      <c r="G162" s="230">
        <f>G$161*'Methanol recycling rates'!I57</f>
        <v>0</v>
      </c>
      <c r="H162" s="230">
        <f>H$161*'Methanol recycling rates'!J57</f>
        <v>0</v>
      </c>
      <c r="I162" s="230">
        <f>I$161*'Methanol recycling rates'!K57</f>
        <v>0</v>
      </c>
      <c r="J162" s="230">
        <f>J$161*'Methanol recycling rates'!L57</f>
        <v>0</v>
      </c>
      <c r="K162" s="230">
        <f>K$161*'Methanol recycling rates'!M57</f>
        <v>0</v>
      </c>
      <c r="L162" s="230">
        <f>L$161*'Methanol recycling rates'!N57</f>
        <v>0</v>
      </c>
      <c r="M162" s="230">
        <f>M$161*'Methanol recycling rates'!O57</f>
        <v>0</v>
      </c>
      <c r="N162" s="230">
        <f>N$161*'Methanol recycling rates'!P57</f>
        <v>0</v>
      </c>
      <c r="O162" s="230">
        <f>O$161*'Methanol recycling rates'!Q57</f>
        <v>0</v>
      </c>
      <c r="P162" s="230">
        <f>P$161*'Methanol recycling rates'!R57</f>
        <v>0</v>
      </c>
      <c r="Q162" s="230">
        <f>Q$161*'Methanol recycling rates'!S57</f>
        <v>0</v>
      </c>
      <c r="R162" s="230">
        <f>R$161*'Methanol recycling rates'!T57</f>
        <v>0</v>
      </c>
      <c r="S162" s="230">
        <f>S$161*'Methanol recycling rates'!U57</f>
        <v>0</v>
      </c>
      <c r="T162" s="230">
        <f>T$161*'Methanol recycling rates'!V57</f>
        <v>0</v>
      </c>
      <c r="U162" s="230">
        <f>U$161*'Methanol recycling rates'!W57</f>
        <v>0</v>
      </c>
      <c r="V162" s="230">
        <f>V$161*'Methanol recycling rates'!X57</f>
        <v>0</v>
      </c>
      <c r="W162" s="230">
        <f>W$161*'Methanol recycling rates'!Y57</f>
        <v>0</v>
      </c>
      <c r="X162" s="230">
        <f>X$161*'Methanol recycling rates'!Z57</f>
        <v>0</v>
      </c>
      <c r="Y162" s="230">
        <f>Y$161*'Methanol recycling rates'!AA57</f>
        <v>0</v>
      </c>
      <c r="Z162" s="230">
        <f>Z$161*'Methanol recycling rates'!AB57</f>
        <v>0</v>
      </c>
      <c r="AA162" s="230">
        <f>AA$161*'Methanol recycling rates'!AC57</f>
        <v>0</v>
      </c>
      <c r="AB162" s="230">
        <f>AB$161*'Methanol recycling rates'!AD57</f>
        <v>0</v>
      </c>
      <c r="AC162" s="230">
        <f>AC$161*'Methanol recycling rates'!AE57</f>
        <v>0</v>
      </c>
      <c r="AD162" s="230">
        <f>AD$161*'Methanol recycling rates'!AF57</f>
        <v>0</v>
      </c>
      <c r="AE162" s="230">
        <f>AE$161*'Methanol recycling rates'!AG57</f>
        <v>0</v>
      </c>
      <c r="AF162" s="230">
        <f>AF$161*'Methanol recycling rates'!AH57</f>
        <v>0</v>
      </c>
      <c r="AG162" s="230">
        <f>AG$161*'Methanol recycling rates'!AI57</f>
        <v>0</v>
      </c>
      <c r="AH162" s="245"/>
      <c r="AI162" s="133"/>
      <c r="AJ162" s="211"/>
      <c r="AL162" s="108"/>
      <c r="AM162" s="2"/>
      <c r="AN162" s="2"/>
      <c r="AO162" s="2"/>
      <c r="BC162" s="1"/>
      <c r="BD162" s="2"/>
      <c r="BE162" s="2"/>
      <c r="BF162" s="2"/>
      <c r="BG162" s="2"/>
      <c r="BH162" s="2"/>
      <c r="BI162" s="2"/>
      <c r="BJ162" s="2"/>
      <c r="BK162" s="2"/>
    </row>
    <row r="163" spans="1:63" outlineLevel="1">
      <c r="A163" s="4" t="s">
        <v>745</v>
      </c>
      <c r="C163" s="230">
        <f>C$161*'Methanol recycling rates'!E58</f>
        <v>0</v>
      </c>
      <c r="D163" s="230">
        <f>D$161*'Methanol recycling rates'!F58</f>
        <v>1.3833303730846241E-5</v>
      </c>
      <c r="E163" s="230">
        <f>E$161*'Methanol recycling rates'!G58</f>
        <v>3.3936216368045308E-5</v>
      </c>
      <c r="F163" s="230">
        <f>F$161*'Methanol recycling rates'!H58</f>
        <v>6.0478430893688663E-5</v>
      </c>
      <c r="G163" s="230">
        <f>G$161*'Methanol recycling rates'!I58</f>
        <v>9.3496546152427984E-5</v>
      </c>
      <c r="H163" s="230">
        <f>H$161*'Methanol recycling rates'!J58</f>
        <v>1.3288501200419613E-4</v>
      </c>
      <c r="I163" s="230">
        <f>I$161*'Methanol recycling rates'!K58</f>
        <v>1.7877508665366257E-4</v>
      </c>
      <c r="J163" s="230">
        <f>J$161*'Methanol recycling rates'!L58</f>
        <v>2.3109680472009131E-4</v>
      </c>
      <c r="K163" s="230">
        <f>K$161*'Methanol recycling rates'!M58</f>
        <v>2.8970431923760131E-4</v>
      </c>
      <c r="L163" s="230">
        <f>L$161*'Methanol recycling rates'!N58</f>
        <v>3.5437074331816408E-4</v>
      </c>
      <c r="M163" s="230">
        <f>M$161*'Methanol recycling rates'!O58</f>
        <v>4.247831501484066E-4</v>
      </c>
      <c r="N163" s="230">
        <f>N$161*'Methanol recycling rates'!P58</f>
        <v>5.3674003237132682E-4</v>
      </c>
      <c r="O163" s="230">
        <f>O$161*'Methanol recycling rates'!Q58</f>
        <v>6.5877970071642885E-4</v>
      </c>
      <c r="P163" s="230">
        <f>P$161*'Methanol recycling rates'!R58</f>
        <v>7.9094324857803761E-4</v>
      </c>
      <c r="Q163" s="230">
        <f>Q$161*'Methanol recycling rates'!S58</f>
        <v>9.3039645962743344E-4</v>
      </c>
      <c r="R163" s="230">
        <f>R$161*'Methanol recycling rates'!T58</f>
        <v>1.0751130528657135E-3</v>
      </c>
      <c r="S163" s="230">
        <f>S$161*'Methanol recycling rates'!U58</f>
        <v>1.225025256708261E-3</v>
      </c>
      <c r="T163" s="230">
        <f>T$161*'Methanol recycling rates'!V58</f>
        <v>1.3784641065049247E-3</v>
      </c>
      <c r="U163" s="230">
        <f>U$161*'Methanol recycling rates'!W58</f>
        <v>1.5335745755280061E-3</v>
      </c>
      <c r="V163" s="230">
        <f>V$161*'Methanol recycling rates'!X58</f>
        <v>1.6883087756625231E-3</v>
      </c>
      <c r="W163" s="230">
        <f>W$161*'Methanol recycling rates'!Y58</f>
        <v>1.8404191898771212E-3</v>
      </c>
      <c r="X163" s="230">
        <f>X$161*'Methanol recycling rates'!Z58</f>
        <v>2.0633175975477841E-3</v>
      </c>
      <c r="Y163" s="230">
        <f>Y$161*'Methanol recycling rates'!AA58</f>
        <v>2.280424467159536E-3</v>
      </c>
      <c r="Z163" s="230">
        <f>Z$161*'Methanol recycling rates'!AB58</f>
        <v>2.4947747381091874E-3</v>
      </c>
      <c r="AA163" s="230">
        <f>AA$161*'Methanol recycling rates'!AC58</f>
        <v>2.6955337443791299E-3</v>
      </c>
      <c r="AB163" s="230">
        <f>AB$161*'Methanol recycling rates'!AD58</f>
        <v>2.8775147233205509E-3</v>
      </c>
      <c r="AC163" s="230">
        <f>AC$161*'Methanol recycling rates'!AE58</f>
        <v>3.0351105576264903E-3</v>
      </c>
      <c r="AD163" s="230">
        <f>AD$161*'Methanol recycling rates'!AF58</f>
        <v>3.1622235475502998E-3</v>
      </c>
      <c r="AE163" s="230">
        <f>AE$161*'Methanol recycling rates'!AG58</f>
        <v>3.2522718676652337E-3</v>
      </c>
      <c r="AF163" s="230">
        <f>AF$161*'Methanol recycling rates'!AH58</f>
        <v>3.2981724084808124E-3</v>
      </c>
      <c r="AG163" s="230">
        <f>AG$161*'Methanol recycling rates'!AI58</f>
        <v>3.2923235781758438E-3</v>
      </c>
      <c r="AH163" s="245"/>
      <c r="AI163" s="133"/>
      <c r="AJ163" s="211"/>
      <c r="AL163" s="108"/>
      <c r="AM163" s="2"/>
      <c r="AN163" s="2"/>
      <c r="AO163" s="2"/>
      <c r="BC163" s="1"/>
      <c r="BD163" s="2"/>
      <c r="BE163" s="2"/>
      <c r="BF163" s="2"/>
      <c r="BG163" s="2"/>
      <c r="BH163" s="2"/>
      <c r="BI163" s="2"/>
      <c r="BJ163" s="2"/>
      <c r="BK163" s="2"/>
    </row>
    <row r="164" spans="1:63" outlineLevel="1">
      <c r="A164" s="4" t="s">
        <v>1561</v>
      </c>
      <c r="C164" s="230">
        <f>C$161*'Methanol recycling rates'!E59</f>
        <v>2.7758341039319338E-3</v>
      </c>
      <c r="D164" s="230">
        <f>D$161*'Methanol recycling rates'!F59</f>
        <v>3.5462218120350841E-3</v>
      </c>
      <c r="E164" s="230">
        <f>E$161*'Methanol recycling rates'!G59</f>
        <v>4.332873153305516E-3</v>
      </c>
      <c r="F164" s="230">
        <f>F$161*'Methanol recycling rates'!H59</f>
        <v>5.127642244778568E-3</v>
      </c>
      <c r="G164" s="230">
        <f>G$161*'Methanol recycling rates'!I59</f>
        <v>5.921929412691076E-3</v>
      </c>
      <c r="H164" s="230">
        <f>H$161*'Methanol recycling rates'!J59</f>
        <v>6.706811072153358E-3</v>
      </c>
      <c r="I164" s="230">
        <f>I$161*'Methanol recycling rates'!K59</f>
        <v>7.4893035130819477E-3</v>
      </c>
      <c r="J164" s="230">
        <f>J$161*'Methanol recycling rates'!L59</f>
        <v>8.265141981333414E-3</v>
      </c>
      <c r="K164" s="230">
        <f>K$161*'Methanol recycling rates'!M59</f>
        <v>9.029863911068076E-3</v>
      </c>
      <c r="L164" s="230">
        <f>L$161*'Methanol recycling rates'!N59</f>
        <v>9.7788186328752122E-3</v>
      </c>
      <c r="M164" s="230">
        <f>M$161*'Methanol recycling rates'!O59</f>
        <v>1.0507178268474273E-2</v>
      </c>
      <c r="N164" s="230">
        <f>N$161*'Methanol recycling rates'!P59</f>
        <v>1.2020728886371335E-2</v>
      </c>
      <c r="O164" s="230">
        <f>O$161*'Methanol recycling rates'!Q59</f>
        <v>1.3469515856455349E-2</v>
      </c>
      <c r="P164" s="230">
        <f>P$161*'Methanol recycling rates'!R59</f>
        <v>1.4866930249309327E-2</v>
      </c>
      <c r="Q164" s="230">
        <f>Q$161*'Methanol recycling rates'!S59</f>
        <v>1.6172545522344133E-2</v>
      </c>
      <c r="R164" s="230">
        <f>R$161*'Methanol recycling rates'!T59</f>
        <v>1.7370525088979055E-2</v>
      </c>
      <c r="S164" s="230">
        <f>S$161*'Methanol recycling rates'!U59</f>
        <v>1.8479041451349605E-2</v>
      </c>
      <c r="T164" s="230">
        <f>T$161*'Methanol recycling rates'!V59</f>
        <v>1.9489368760277685E-2</v>
      </c>
      <c r="U164" s="230">
        <f>U$161*'Methanol recycling rates'!W59</f>
        <v>2.0392616975771161E-2</v>
      </c>
      <c r="V164" s="230">
        <f>V$161*'Methanol recycling rates'!X59</f>
        <v>2.117973874187876E-2</v>
      </c>
      <c r="W164" s="230">
        <f>W$161*'Methanol recycling rates'!Y59</f>
        <v>2.1841536616044557E-2</v>
      </c>
      <c r="X164" s="230">
        <f>X$161*'Methanol recycling rates'!Z59</f>
        <v>2.3222534683368906E-2</v>
      </c>
      <c r="Y164" s="230">
        <f>Y$161*'Methanol recycling rates'!AA59</f>
        <v>2.4395766650335698E-2</v>
      </c>
      <c r="Z164" s="230">
        <f>Z$161*'Methanol recycling rates'!AB59</f>
        <v>2.5420011773381768E-2</v>
      </c>
      <c r="AA164" s="230">
        <f>AA$161*'Methanol recycling rates'!AC59</f>
        <v>2.6208891652686361E-2</v>
      </c>
      <c r="AB164" s="230">
        <f>AB$161*'Methanol recycling rates'!AD59</f>
        <v>2.6744074481306716E-2</v>
      </c>
      <c r="AC164" s="230">
        <f>AC$161*'Methanol recycling rates'!AE59</f>
        <v>2.700710628211252E-2</v>
      </c>
      <c r="AD164" s="230">
        <f>AD$161*'Methanol recycling rates'!AF59</f>
        <v>2.697891221810346E-2</v>
      </c>
      <c r="AE164" s="230">
        <f>AE$161*'Methanol recycling rates'!AG59</f>
        <v>2.6640047952936084E-2</v>
      </c>
      <c r="AF164" s="230">
        <f>AF$161*'Methanol recycling rates'!AH59</f>
        <v>2.5970711717845773E-2</v>
      </c>
      <c r="AG164" s="230">
        <f>AG$161*'Methanol recycling rates'!AI59</f>
        <v>2.4950757094606413E-2</v>
      </c>
      <c r="AH164" s="245"/>
      <c r="AI164" s="133"/>
      <c r="AJ164" s="211"/>
      <c r="AL164" s="108"/>
      <c r="AM164" s="2"/>
      <c r="AN164" s="2"/>
      <c r="AO164" s="2"/>
      <c r="BC164" s="1"/>
      <c r="BD164" s="2"/>
      <c r="BE164" s="2"/>
      <c r="BF164" s="2"/>
      <c r="BG164" s="2"/>
      <c r="BH164" s="2"/>
      <c r="BI164" s="2"/>
      <c r="BJ164" s="2"/>
      <c r="BK164" s="2"/>
    </row>
    <row r="165" spans="1:63" s="1" customFormat="1" outlineLevel="1">
      <c r="A165" s="1" t="s">
        <v>1568</v>
      </c>
      <c r="B165" s="65"/>
      <c r="C165" s="300">
        <f>C161-$C161</f>
        <v>0</v>
      </c>
      <c r="D165" s="300">
        <f t="shared" ref="D165:AG165" si="102">D161-$C161</f>
        <v>7.8422101183399633E-4</v>
      </c>
      <c r="E165" s="300">
        <f t="shared" si="102"/>
        <v>1.5909752657416272E-3</v>
      </c>
      <c r="F165" s="300">
        <f t="shared" si="102"/>
        <v>2.4122865717403222E-3</v>
      </c>
      <c r="G165" s="300">
        <f t="shared" si="102"/>
        <v>3.2395918549115695E-3</v>
      </c>
      <c r="H165" s="300">
        <f t="shared" si="102"/>
        <v>4.0638619802256188E-3</v>
      </c>
      <c r="I165" s="300">
        <f t="shared" si="102"/>
        <v>4.8922444958036746E-3</v>
      </c>
      <c r="J165" s="300">
        <f t="shared" si="102"/>
        <v>5.7204046821215694E-3</v>
      </c>
      <c r="K165" s="300">
        <f t="shared" si="102"/>
        <v>6.5437341263737403E-3</v>
      </c>
      <c r="L165" s="300">
        <f t="shared" si="102"/>
        <v>7.3573552722614385E-3</v>
      </c>
      <c r="M165" s="300">
        <f t="shared" si="102"/>
        <v>8.1561273146907413E-3</v>
      </c>
      <c r="N165" s="300">
        <f t="shared" si="102"/>
        <v>9.7816348148107215E-3</v>
      </c>
      <c r="O165" s="300">
        <f t="shared" si="102"/>
        <v>1.1352461453239836E-2</v>
      </c>
      <c r="P165" s="300">
        <f t="shared" si="102"/>
        <v>1.2882039393955422E-2</v>
      </c>
      <c r="Q165" s="300">
        <f t="shared" si="102"/>
        <v>1.4327107878039622E-2</v>
      </c>
      <c r="R165" s="300">
        <f t="shared" si="102"/>
        <v>1.5669804037912821E-2</v>
      </c>
      <c r="S165" s="300">
        <f t="shared" si="102"/>
        <v>1.6928232604125917E-2</v>
      </c>
      <c r="T165" s="300">
        <f t="shared" si="102"/>
        <v>1.8091998762850659E-2</v>
      </c>
      <c r="U165" s="300">
        <f t="shared" si="102"/>
        <v>1.9150357447367216E-2</v>
      </c>
      <c r="V165" s="300">
        <f t="shared" si="102"/>
        <v>2.0092213413609332E-2</v>
      </c>
      <c r="W165" s="300">
        <f t="shared" si="102"/>
        <v>2.0906121701989723E-2</v>
      </c>
      <c r="X165" s="300">
        <f t="shared" si="102"/>
        <v>2.2510018176984732E-2</v>
      </c>
      <c r="Y165" s="300">
        <f t="shared" si="102"/>
        <v>2.3900357013563276E-2</v>
      </c>
      <c r="Z165" s="300">
        <f t="shared" si="102"/>
        <v>2.5138952407558993E-2</v>
      </c>
      <c r="AA165" s="300">
        <f t="shared" si="102"/>
        <v>2.6128591293133527E-2</v>
      </c>
      <c r="AB165" s="300">
        <f t="shared" si="102"/>
        <v>2.6845755100695302E-2</v>
      </c>
      <c r="AC165" s="300">
        <f t="shared" si="102"/>
        <v>2.7266382735807042E-2</v>
      </c>
      <c r="AD165" s="300">
        <f t="shared" si="102"/>
        <v>2.736530166172179E-2</v>
      </c>
      <c r="AE165" s="300">
        <f t="shared" si="102"/>
        <v>2.7116485716669348E-2</v>
      </c>
      <c r="AF165" s="300">
        <f t="shared" si="102"/>
        <v>2.6493050022394615E-2</v>
      </c>
      <c r="AG165" s="300">
        <f t="shared" si="102"/>
        <v>2.5467246568850323E-2</v>
      </c>
      <c r="AH165" s="245"/>
      <c r="AI165" s="423"/>
      <c r="AJ165" s="424"/>
      <c r="AL165" s="221"/>
      <c r="AM165" s="124"/>
      <c r="AN165" s="124"/>
      <c r="AO165" s="124"/>
      <c r="BD165" s="124"/>
      <c r="BE165" s="124"/>
      <c r="BF165" s="124"/>
      <c r="BG165" s="124"/>
      <c r="BH165" s="124"/>
      <c r="BI165" s="124"/>
      <c r="BJ165" s="124"/>
      <c r="BK165" s="124"/>
    </row>
    <row r="166" spans="1:63" outlineLevel="1">
      <c r="A166" s="4" t="s">
        <v>474</v>
      </c>
      <c r="C166" s="230">
        <f t="shared" ref="C166" si="103">C162-$C162</f>
        <v>0</v>
      </c>
      <c r="D166" s="230">
        <f t="shared" ref="D166:AG166" si="104">D162-$C162</f>
        <v>0</v>
      </c>
      <c r="E166" s="230">
        <f t="shared" si="104"/>
        <v>0</v>
      </c>
      <c r="F166" s="230">
        <f t="shared" si="104"/>
        <v>0</v>
      </c>
      <c r="G166" s="230">
        <f t="shared" si="104"/>
        <v>0</v>
      </c>
      <c r="H166" s="230">
        <f t="shared" si="104"/>
        <v>0</v>
      </c>
      <c r="I166" s="230">
        <f t="shared" si="104"/>
        <v>0</v>
      </c>
      <c r="J166" s="230">
        <f t="shared" si="104"/>
        <v>0</v>
      </c>
      <c r="K166" s="230">
        <f t="shared" si="104"/>
        <v>0</v>
      </c>
      <c r="L166" s="230">
        <f t="shared" si="104"/>
        <v>0</v>
      </c>
      <c r="M166" s="230">
        <f t="shared" si="104"/>
        <v>0</v>
      </c>
      <c r="N166" s="230">
        <f t="shared" si="104"/>
        <v>0</v>
      </c>
      <c r="O166" s="230">
        <f t="shared" si="104"/>
        <v>0</v>
      </c>
      <c r="P166" s="230">
        <f t="shared" si="104"/>
        <v>0</v>
      </c>
      <c r="Q166" s="230">
        <f t="shared" si="104"/>
        <v>0</v>
      </c>
      <c r="R166" s="230">
        <f t="shared" si="104"/>
        <v>0</v>
      </c>
      <c r="S166" s="230">
        <f t="shared" si="104"/>
        <v>0</v>
      </c>
      <c r="T166" s="230">
        <f t="shared" si="104"/>
        <v>0</v>
      </c>
      <c r="U166" s="230">
        <f t="shared" si="104"/>
        <v>0</v>
      </c>
      <c r="V166" s="230">
        <f t="shared" si="104"/>
        <v>0</v>
      </c>
      <c r="W166" s="230">
        <f t="shared" si="104"/>
        <v>0</v>
      </c>
      <c r="X166" s="230">
        <f t="shared" si="104"/>
        <v>0</v>
      </c>
      <c r="Y166" s="230">
        <f t="shared" si="104"/>
        <v>0</v>
      </c>
      <c r="Z166" s="230">
        <f t="shared" si="104"/>
        <v>0</v>
      </c>
      <c r="AA166" s="230">
        <f t="shared" si="104"/>
        <v>0</v>
      </c>
      <c r="AB166" s="230">
        <f t="shared" si="104"/>
        <v>0</v>
      </c>
      <c r="AC166" s="230">
        <f t="shared" si="104"/>
        <v>0</v>
      </c>
      <c r="AD166" s="230">
        <f t="shared" si="104"/>
        <v>0</v>
      </c>
      <c r="AE166" s="230">
        <f t="shared" si="104"/>
        <v>0</v>
      </c>
      <c r="AF166" s="230">
        <f t="shared" si="104"/>
        <v>0</v>
      </c>
      <c r="AG166" s="230">
        <f t="shared" si="104"/>
        <v>0</v>
      </c>
      <c r="AH166" s="245"/>
      <c r="AI166" s="133"/>
      <c r="AJ166" s="211"/>
      <c r="AL166" s="108"/>
      <c r="AM166" s="2"/>
      <c r="AN166" s="2"/>
      <c r="AO166" s="2"/>
      <c r="BC166" s="1"/>
      <c r="BD166" s="2"/>
      <c r="BE166" s="2"/>
      <c r="BF166" s="2"/>
      <c r="BG166" s="2"/>
      <c r="BH166" s="2"/>
      <c r="BI166" s="2"/>
      <c r="BJ166" s="2"/>
      <c r="BK166" s="2"/>
    </row>
    <row r="167" spans="1:63" outlineLevel="1">
      <c r="A167" s="4" t="s">
        <v>745</v>
      </c>
      <c r="C167" s="230">
        <f t="shared" ref="C167" si="105">C163-$C163</f>
        <v>0</v>
      </c>
      <c r="D167" s="230">
        <f t="shared" ref="D167:AG167" si="106">D163-$C163</f>
        <v>1.3833303730846241E-5</v>
      </c>
      <c r="E167" s="230">
        <f t="shared" si="106"/>
        <v>3.3936216368045308E-5</v>
      </c>
      <c r="F167" s="230">
        <f t="shared" si="106"/>
        <v>6.0478430893688663E-5</v>
      </c>
      <c r="G167" s="230">
        <f t="shared" si="106"/>
        <v>9.3496546152427984E-5</v>
      </c>
      <c r="H167" s="230">
        <f t="shared" si="106"/>
        <v>1.3288501200419613E-4</v>
      </c>
      <c r="I167" s="230">
        <f t="shared" si="106"/>
        <v>1.7877508665366257E-4</v>
      </c>
      <c r="J167" s="230">
        <f t="shared" si="106"/>
        <v>2.3109680472009131E-4</v>
      </c>
      <c r="K167" s="230">
        <f t="shared" si="106"/>
        <v>2.8970431923760131E-4</v>
      </c>
      <c r="L167" s="230">
        <f t="shared" si="106"/>
        <v>3.5437074331816408E-4</v>
      </c>
      <c r="M167" s="230">
        <f t="shared" si="106"/>
        <v>4.247831501484066E-4</v>
      </c>
      <c r="N167" s="230">
        <f t="shared" si="106"/>
        <v>5.3674003237132682E-4</v>
      </c>
      <c r="O167" s="230">
        <f t="shared" si="106"/>
        <v>6.5877970071642885E-4</v>
      </c>
      <c r="P167" s="230">
        <f t="shared" si="106"/>
        <v>7.9094324857803761E-4</v>
      </c>
      <c r="Q167" s="230">
        <f t="shared" si="106"/>
        <v>9.3039645962743344E-4</v>
      </c>
      <c r="R167" s="230">
        <f t="shared" si="106"/>
        <v>1.0751130528657135E-3</v>
      </c>
      <c r="S167" s="230">
        <f t="shared" si="106"/>
        <v>1.225025256708261E-3</v>
      </c>
      <c r="T167" s="230">
        <f t="shared" si="106"/>
        <v>1.3784641065049247E-3</v>
      </c>
      <c r="U167" s="230">
        <f t="shared" si="106"/>
        <v>1.5335745755280061E-3</v>
      </c>
      <c r="V167" s="230">
        <f t="shared" si="106"/>
        <v>1.6883087756625231E-3</v>
      </c>
      <c r="W167" s="230">
        <f t="shared" si="106"/>
        <v>1.8404191898771212E-3</v>
      </c>
      <c r="X167" s="230">
        <f t="shared" si="106"/>
        <v>2.0633175975477841E-3</v>
      </c>
      <c r="Y167" s="230">
        <f t="shared" si="106"/>
        <v>2.280424467159536E-3</v>
      </c>
      <c r="Z167" s="230">
        <f t="shared" si="106"/>
        <v>2.4947747381091874E-3</v>
      </c>
      <c r="AA167" s="230">
        <f t="shared" si="106"/>
        <v>2.6955337443791299E-3</v>
      </c>
      <c r="AB167" s="230">
        <f t="shared" si="106"/>
        <v>2.8775147233205509E-3</v>
      </c>
      <c r="AC167" s="230">
        <f t="shared" si="106"/>
        <v>3.0351105576264903E-3</v>
      </c>
      <c r="AD167" s="230">
        <f t="shared" si="106"/>
        <v>3.1622235475502998E-3</v>
      </c>
      <c r="AE167" s="230">
        <f t="shared" si="106"/>
        <v>3.2522718676652337E-3</v>
      </c>
      <c r="AF167" s="230">
        <f t="shared" si="106"/>
        <v>3.2981724084808124E-3</v>
      </c>
      <c r="AG167" s="230">
        <f t="shared" si="106"/>
        <v>3.2923235781758438E-3</v>
      </c>
      <c r="AH167" s="245"/>
      <c r="AI167" s="133"/>
      <c r="AJ167" s="211"/>
      <c r="AL167" s="108"/>
      <c r="AM167" s="2"/>
      <c r="AN167" s="2"/>
      <c r="AO167" s="2"/>
      <c r="BC167" s="1"/>
      <c r="BD167" s="2"/>
      <c r="BE167" s="2"/>
      <c r="BF167" s="2"/>
      <c r="BG167" s="2"/>
      <c r="BH167" s="2"/>
      <c r="BI167" s="2"/>
      <c r="BJ167" s="2"/>
      <c r="BK167" s="2"/>
    </row>
    <row r="168" spans="1:63" outlineLevel="1">
      <c r="A168" s="4" t="s">
        <v>1561</v>
      </c>
      <c r="C168" s="230">
        <f t="shared" ref="C168" si="107">C164-$C164</f>
        <v>0</v>
      </c>
      <c r="D168" s="230">
        <f t="shared" ref="D168:AG168" si="108">D164-$C164</f>
        <v>7.7038770810315032E-4</v>
      </c>
      <c r="E168" s="230">
        <f t="shared" si="108"/>
        <v>1.5570390493735821E-3</v>
      </c>
      <c r="F168" s="230">
        <f t="shared" si="108"/>
        <v>2.3518081408466342E-3</v>
      </c>
      <c r="G168" s="230">
        <f t="shared" si="108"/>
        <v>3.1460953087591422E-3</v>
      </c>
      <c r="H168" s="230">
        <f t="shared" si="108"/>
        <v>3.9309769682214241E-3</v>
      </c>
      <c r="I168" s="230">
        <f t="shared" si="108"/>
        <v>4.7134694091500139E-3</v>
      </c>
      <c r="J168" s="230">
        <f t="shared" si="108"/>
        <v>5.4893078774014802E-3</v>
      </c>
      <c r="K168" s="230">
        <f t="shared" si="108"/>
        <v>6.2540298071361421E-3</v>
      </c>
      <c r="L168" s="230">
        <f t="shared" si="108"/>
        <v>7.0029845289432784E-3</v>
      </c>
      <c r="M168" s="230">
        <f t="shared" si="108"/>
        <v>7.7313441645423392E-3</v>
      </c>
      <c r="N168" s="230">
        <f t="shared" si="108"/>
        <v>9.2448947824394015E-3</v>
      </c>
      <c r="O168" s="230">
        <f t="shared" si="108"/>
        <v>1.0693681752523415E-2</v>
      </c>
      <c r="P168" s="230">
        <f t="shared" si="108"/>
        <v>1.2091096145377393E-2</v>
      </c>
      <c r="Q168" s="230">
        <f t="shared" si="108"/>
        <v>1.3396711418412199E-2</v>
      </c>
      <c r="R168" s="230">
        <f t="shared" si="108"/>
        <v>1.4594690985047121E-2</v>
      </c>
      <c r="S168" s="230">
        <f t="shared" si="108"/>
        <v>1.5703207347417671E-2</v>
      </c>
      <c r="T168" s="230">
        <f t="shared" si="108"/>
        <v>1.6713534656345751E-2</v>
      </c>
      <c r="U168" s="230">
        <f t="shared" si="108"/>
        <v>1.7616782871839227E-2</v>
      </c>
      <c r="V168" s="230">
        <f t="shared" si="108"/>
        <v>1.8403904637946826E-2</v>
      </c>
      <c r="W168" s="230">
        <f t="shared" si="108"/>
        <v>1.9065702512112623E-2</v>
      </c>
      <c r="X168" s="230">
        <f t="shared" si="108"/>
        <v>2.0446700579436972E-2</v>
      </c>
      <c r="Y168" s="230">
        <f t="shared" si="108"/>
        <v>2.1619932546403764E-2</v>
      </c>
      <c r="Z168" s="230">
        <f t="shared" si="108"/>
        <v>2.2644177669449834E-2</v>
      </c>
      <c r="AA168" s="230">
        <f t="shared" si="108"/>
        <v>2.3433057548754428E-2</v>
      </c>
      <c r="AB168" s="230">
        <f t="shared" si="108"/>
        <v>2.3968240377374782E-2</v>
      </c>
      <c r="AC168" s="230">
        <f t="shared" si="108"/>
        <v>2.4231272178180586E-2</v>
      </c>
      <c r="AD168" s="230">
        <f t="shared" si="108"/>
        <v>2.4203078114171526E-2</v>
      </c>
      <c r="AE168" s="230">
        <f t="shared" si="108"/>
        <v>2.386421384900415E-2</v>
      </c>
      <c r="AF168" s="230">
        <f t="shared" si="108"/>
        <v>2.3194877613913839E-2</v>
      </c>
      <c r="AG168" s="230">
        <f t="shared" si="108"/>
        <v>2.217492299067448E-2</v>
      </c>
      <c r="AH168" s="245"/>
      <c r="AI168" s="133"/>
      <c r="AJ168" s="211"/>
      <c r="AL168" s="108"/>
      <c r="AM168" s="2"/>
      <c r="AN168" s="2"/>
      <c r="AO168" s="2"/>
      <c r="BC168" s="1"/>
      <c r="BD168" s="2"/>
      <c r="BE168" s="2"/>
      <c r="BF168" s="2"/>
      <c r="BG168" s="2"/>
      <c r="BH168" s="2"/>
      <c r="BI168" s="2"/>
      <c r="BJ168" s="2"/>
      <c r="BK168" s="2"/>
    </row>
    <row r="169" spans="1:63" outlineLevel="1">
      <c r="C169" s="110"/>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J169" s="211"/>
      <c r="AM169" s="123"/>
      <c r="AN169" s="123"/>
    </row>
    <row r="170" spans="1:63" s="200" customFormat="1" ht="16" thickBot="1">
      <c r="A170" s="200" t="s">
        <v>1339</v>
      </c>
      <c r="B170" s="215"/>
      <c r="C170" s="224">
        <f>C171</f>
        <v>0.13</v>
      </c>
      <c r="D170" s="224">
        <f t="shared" ref="D170:AG170" si="109">D171</f>
        <v>0.13557711853523402</v>
      </c>
      <c r="E170" s="224">
        <f t="shared" si="109"/>
        <v>0.14115423707046801</v>
      </c>
      <c r="F170" s="224">
        <f t="shared" si="109"/>
        <v>0.14673135560570202</v>
      </c>
      <c r="G170" s="224">
        <f t="shared" si="109"/>
        <v>0.15230847414093604</v>
      </c>
      <c r="H170" s="224">
        <f t="shared" si="109"/>
        <v>0.15788559267617003</v>
      </c>
      <c r="I170" s="224">
        <f t="shared" si="109"/>
        <v>0.16346271121140404</v>
      </c>
      <c r="J170" s="224">
        <f t="shared" si="109"/>
        <v>0.16903982974663806</v>
      </c>
      <c r="K170" s="224">
        <f t="shared" si="109"/>
        <v>0.17461694828187208</v>
      </c>
      <c r="L170" s="224">
        <f t="shared" si="109"/>
        <v>0.18019406681710606</v>
      </c>
      <c r="M170" s="224">
        <f t="shared" si="109"/>
        <v>0.18577118535234008</v>
      </c>
      <c r="N170" s="224">
        <f t="shared" si="109"/>
        <v>0.19752603518814099</v>
      </c>
      <c r="O170" s="224">
        <f t="shared" si="109"/>
        <v>0.20928088502394188</v>
      </c>
      <c r="P170" s="224">
        <f t="shared" si="109"/>
        <v>0.22103573485974279</v>
      </c>
      <c r="Q170" s="224">
        <f t="shared" si="109"/>
        <v>0.2327905846955437</v>
      </c>
      <c r="R170" s="224">
        <f t="shared" si="109"/>
        <v>0.24454543453134459</v>
      </c>
      <c r="S170" s="224">
        <f t="shared" si="109"/>
        <v>0.25630028436714547</v>
      </c>
      <c r="T170" s="224">
        <f t="shared" si="109"/>
        <v>0.26805513420294641</v>
      </c>
      <c r="U170" s="224">
        <f t="shared" si="109"/>
        <v>0.27980998403874729</v>
      </c>
      <c r="V170" s="224">
        <f t="shared" si="109"/>
        <v>0.29156483387454823</v>
      </c>
      <c r="W170" s="224">
        <f t="shared" si="109"/>
        <v>0.30331968371034912</v>
      </c>
      <c r="X170" s="224">
        <f t="shared" si="109"/>
        <v>0.3229877153393142</v>
      </c>
      <c r="Y170" s="224">
        <f t="shared" si="109"/>
        <v>0.34265574696827927</v>
      </c>
      <c r="Z170" s="224">
        <f t="shared" si="109"/>
        <v>0.36232377859724441</v>
      </c>
      <c r="AA170" s="224">
        <f t="shared" si="109"/>
        <v>0.38199181022620948</v>
      </c>
      <c r="AB170" s="224">
        <f t="shared" si="109"/>
        <v>0.40165984185517456</v>
      </c>
      <c r="AC170" s="224">
        <f t="shared" si="109"/>
        <v>0.42132787348413964</v>
      </c>
      <c r="AD170" s="224">
        <f t="shared" si="109"/>
        <v>0.44099590511310471</v>
      </c>
      <c r="AE170" s="224">
        <f t="shared" si="109"/>
        <v>0.46066393674206985</v>
      </c>
      <c r="AF170" s="224">
        <f t="shared" si="109"/>
        <v>0.48033196837103487</v>
      </c>
      <c r="AG170" s="224">
        <f t="shared" si="109"/>
        <v>0.5</v>
      </c>
      <c r="AJ170" s="231" t="s">
        <v>1340</v>
      </c>
      <c r="AL170" s="217"/>
      <c r="AM170" s="225"/>
      <c r="AN170" s="225"/>
      <c r="AO170" s="225"/>
    </row>
    <row r="171" spans="1:63" ht="16" outlineLevel="1" thickTop="1">
      <c r="A171" t="s">
        <v>1341</v>
      </c>
      <c r="B171" s="54" t="s">
        <v>462</v>
      </c>
      <c r="C171" s="214">
        <v>0.13</v>
      </c>
      <c r="D171" s="110">
        <f>$C171+($M171-$C171)/10*(D$1-$C$1)</f>
        <v>0.13557711853523402</v>
      </c>
      <c r="E171" s="110">
        <f t="shared" ref="E171:L171" si="110">$C171+($M171-$C171)/10*(E$1-$C$1)</f>
        <v>0.14115423707046801</v>
      </c>
      <c r="F171" s="110">
        <f t="shared" si="110"/>
        <v>0.14673135560570202</v>
      </c>
      <c r="G171" s="110">
        <f t="shared" si="110"/>
        <v>0.15230847414093604</v>
      </c>
      <c r="H171" s="110">
        <f t="shared" si="110"/>
        <v>0.15788559267617003</v>
      </c>
      <c r="I171" s="110">
        <f t="shared" si="110"/>
        <v>0.16346271121140404</v>
      </c>
      <c r="J171" s="110">
        <f t="shared" si="110"/>
        <v>0.16903982974663806</v>
      </c>
      <c r="K171" s="110">
        <f t="shared" si="110"/>
        <v>0.17461694828187208</v>
      </c>
      <c r="L171" s="110">
        <f t="shared" si="110"/>
        <v>0.18019406681710606</v>
      </c>
      <c r="M171" s="121">
        <f>(M$52-$C$52)/($AG$52-$C$52)*($AG171-$C171)+$C171</f>
        <v>0.18577118535234008</v>
      </c>
      <c r="N171" s="121">
        <f>$M171+($W171-$M171)/10*(N$1-$M$1)</f>
        <v>0.19752603518814099</v>
      </c>
      <c r="O171" s="121">
        <f t="shared" ref="O171:U171" si="111">$M171+($W171-$M171)/10*(O$1-$M$1)</f>
        <v>0.20928088502394188</v>
      </c>
      <c r="P171" s="121">
        <f t="shared" si="111"/>
        <v>0.22103573485974279</v>
      </c>
      <c r="Q171" s="121">
        <f t="shared" si="111"/>
        <v>0.2327905846955437</v>
      </c>
      <c r="R171" s="121">
        <f t="shared" si="111"/>
        <v>0.24454543453134459</v>
      </c>
      <c r="S171" s="121">
        <f t="shared" si="111"/>
        <v>0.25630028436714547</v>
      </c>
      <c r="T171" s="121">
        <f t="shared" si="111"/>
        <v>0.26805513420294641</v>
      </c>
      <c r="U171" s="121">
        <f t="shared" si="111"/>
        <v>0.27980998403874729</v>
      </c>
      <c r="V171" s="121">
        <f>$M171+($W171-$M171)/10*(V$1-$M$1)</f>
        <v>0.29156483387454823</v>
      </c>
      <c r="W171" s="121">
        <f>(W$52-$C$52)/($AG$52-$C$52)*($AG171-$C171)+$C171</f>
        <v>0.30331968371034912</v>
      </c>
      <c r="X171" s="110">
        <f>$W171+($AG171-$W171)/10*(X$1-$W$1)</f>
        <v>0.3229877153393142</v>
      </c>
      <c r="Y171" s="110">
        <f t="shared" ref="Y171:AF171" si="112">$W171+($AG171-$W171)/10*(Y$1-$W$1)</f>
        <v>0.34265574696827927</v>
      </c>
      <c r="Z171" s="110">
        <f t="shared" si="112"/>
        <v>0.36232377859724441</v>
      </c>
      <c r="AA171" s="110">
        <f t="shared" si="112"/>
        <v>0.38199181022620948</v>
      </c>
      <c r="AB171" s="110">
        <f t="shared" si="112"/>
        <v>0.40165984185517456</v>
      </c>
      <c r="AC171" s="110">
        <f t="shared" si="112"/>
        <v>0.42132787348413964</v>
      </c>
      <c r="AD171" s="110">
        <f t="shared" si="112"/>
        <v>0.44099590511310471</v>
      </c>
      <c r="AE171" s="110">
        <f t="shared" si="112"/>
        <v>0.46066393674206985</v>
      </c>
      <c r="AF171" s="110">
        <f t="shared" si="112"/>
        <v>0.48033196837103487</v>
      </c>
      <c r="AG171" s="214">
        <v>0.5</v>
      </c>
      <c r="AJ171" s="211" t="s">
        <v>1342</v>
      </c>
    </row>
    <row r="172" spans="1:63" outlineLevel="1">
      <c r="A172" t="s">
        <v>1453</v>
      </c>
      <c r="B172" s="54" t="s">
        <v>462</v>
      </c>
      <c r="C172" s="214">
        <v>0.05</v>
      </c>
      <c r="D172" s="110">
        <f t="shared" ref="D172:AF172" si="113">C172-($C$172-$AG$172)/($AG$1-$C$1)</f>
        <v>5.8333333333333334E-2</v>
      </c>
      <c r="E172" s="110">
        <f t="shared" si="113"/>
        <v>6.6666666666666666E-2</v>
      </c>
      <c r="F172" s="110">
        <f t="shared" si="113"/>
        <v>7.4999999999999997E-2</v>
      </c>
      <c r="G172" s="110">
        <f t="shared" si="113"/>
        <v>8.3333333333333329E-2</v>
      </c>
      <c r="H172" s="110">
        <f t="shared" si="113"/>
        <v>9.166666666666666E-2</v>
      </c>
      <c r="I172" s="110">
        <f t="shared" si="113"/>
        <v>9.9999999999999992E-2</v>
      </c>
      <c r="J172" s="110">
        <f t="shared" si="113"/>
        <v>0.10833333333333332</v>
      </c>
      <c r="K172" s="110">
        <f t="shared" si="113"/>
        <v>0.11666666666666665</v>
      </c>
      <c r="L172" s="110">
        <f t="shared" si="113"/>
        <v>0.12499999999999999</v>
      </c>
      <c r="M172" s="110">
        <f t="shared" si="113"/>
        <v>0.13333333333333333</v>
      </c>
      <c r="N172" s="110">
        <f t="shared" si="113"/>
        <v>0.14166666666666666</v>
      </c>
      <c r="O172" s="110">
        <f t="shared" si="113"/>
        <v>0.15</v>
      </c>
      <c r="P172" s="110">
        <f t="shared" si="113"/>
        <v>0.15833333333333333</v>
      </c>
      <c r="Q172" s="110">
        <f t="shared" si="113"/>
        <v>0.16666666666666666</v>
      </c>
      <c r="R172" s="110">
        <f t="shared" si="113"/>
        <v>0.17499999999999999</v>
      </c>
      <c r="S172" s="110">
        <f t="shared" si="113"/>
        <v>0.18333333333333332</v>
      </c>
      <c r="T172" s="110">
        <f t="shared" si="113"/>
        <v>0.19166666666666665</v>
      </c>
      <c r="U172" s="110">
        <f t="shared" si="113"/>
        <v>0.19999999999999998</v>
      </c>
      <c r="V172" s="110">
        <f t="shared" si="113"/>
        <v>0.20833333333333331</v>
      </c>
      <c r="W172" s="110">
        <f t="shared" si="113"/>
        <v>0.21666666666666665</v>
      </c>
      <c r="X172" s="110">
        <f t="shared" si="113"/>
        <v>0.22499999999999998</v>
      </c>
      <c r="Y172" s="110">
        <f t="shared" si="113"/>
        <v>0.23333333333333331</v>
      </c>
      <c r="Z172" s="110">
        <f t="shared" si="113"/>
        <v>0.24166666666666664</v>
      </c>
      <c r="AA172" s="110">
        <f t="shared" si="113"/>
        <v>0.24999999999999997</v>
      </c>
      <c r="AB172" s="110">
        <f t="shared" si="113"/>
        <v>0.2583333333333333</v>
      </c>
      <c r="AC172" s="110">
        <f t="shared" si="113"/>
        <v>0.26666666666666666</v>
      </c>
      <c r="AD172" s="110">
        <f t="shared" si="113"/>
        <v>0.27500000000000002</v>
      </c>
      <c r="AE172" s="110">
        <f t="shared" si="113"/>
        <v>0.28333333333333338</v>
      </c>
      <c r="AF172" s="110">
        <f t="shared" si="113"/>
        <v>0.29166666666666674</v>
      </c>
      <c r="AG172" s="214">
        <v>0.3</v>
      </c>
      <c r="AI172" s="135"/>
      <c r="AJ172" s="211" t="s">
        <v>1454</v>
      </c>
      <c r="AM172" s="123"/>
      <c r="AN172" s="123"/>
    </row>
    <row r="173" spans="1:63" ht="14.5" customHeight="1" outlineLevel="1">
      <c r="A173" t="s">
        <v>1455</v>
      </c>
      <c r="B173" s="176" t="s">
        <v>462</v>
      </c>
      <c r="C173" s="110">
        <f>1-C172</f>
        <v>0.95</v>
      </c>
      <c r="D173" s="110">
        <f t="shared" ref="D173:AG173" si="114">1-D172</f>
        <v>0.94166666666666665</v>
      </c>
      <c r="E173" s="110">
        <f t="shared" si="114"/>
        <v>0.93333333333333335</v>
      </c>
      <c r="F173" s="110">
        <f t="shared" si="114"/>
        <v>0.92500000000000004</v>
      </c>
      <c r="G173" s="110">
        <f t="shared" si="114"/>
        <v>0.91666666666666663</v>
      </c>
      <c r="H173" s="110">
        <f t="shared" si="114"/>
        <v>0.90833333333333333</v>
      </c>
      <c r="I173" s="110">
        <f t="shared" si="114"/>
        <v>0.9</v>
      </c>
      <c r="J173" s="110">
        <f t="shared" si="114"/>
        <v>0.89166666666666672</v>
      </c>
      <c r="K173" s="110">
        <f t="shared" si="114"/>
        <v>0.8833333333333333</v>
      </c>
      <c r="L173" s="110">
        <f t="shared" si="114"/>
        <v>0.875</v>
      </c>
      <c r="M173" s="110">
        <f t="shared" si="114"/>
        <v>0.8666666666666667</v>
      </c>
      <c r="N173" s="110">
        <f t="shared" si="114"/>
        <v>0.85833333333333339</v>
      </c>
      <c r="O173" s="110">
        <f t="shared" si="114"/>
        <v>0.85</v>
      </c>
      <c r="P173" s="110">
        <f t="shared" si="114"/>
        <v>0.84166666666666667</v>
      </c>
      <c r="Q173" s="110">
        <f t="shared" si="114"/>
        <v>0.83333333333333337</v>
      </c>
      <c r="R173" s="110">
        <f t="shared" si="114"/>
        <v>0.82499999999999996</v>
      </c>
      <c r="S173" s="110">
        <f t="shared" si="114"/>
        <v>0.81666666666666665</v>
      </c>
      <c r="T173" s="110">
        <f t="shared" si="114"/>
        <v>0.80833333333333335</v>
      </c>
      <c r="U173" s="110">
        <f t="shared" si="114"/>
        <v>0.8</v>
      </c>
      <c r="V173" s="110">
        <f t="shared" si="114"/>
        <v>0.79166666666666674</v>
      </c>
      <c r="W173" s="110">
        <f t="shared" si="114"/>
        <v>0.78333333333333333</v>
      </c>
      <c r="X173" s="110">
        <f t="shared" si="114"/>
        <v>0.77500000000000002</v>
      </c>
      <c r="Y173" s="110">
        <f t="shared" si="114"/>
        <v>0.76666666666666672</v>
      </c>
      <c r="Z173" s="110">
        <f t="shared" si="114"/>
        <v>0.7583333333333333</v>
      </c>
      <c r="AA173" s="110">
        <f t="shared" si="114"/>
        <v>0.75</v>
      </c>
      <c r="AB173" s="110">
        <f t="shared" si="114"/>
        <v>0.7416666666666667</v>
      </c>
      <c r="AC173" s="110">
        <f t="shared" si="114"/>
        <v>0.73333333333333339</v>
      </c>
      <c r="AD173" s="110">
        <f t="shared" si="114"/>
        <v>0.72499999999999998</v>
      </c>
      <c r="AE173" s="110">
        <f t="shared" si="114"/>
        <v>0.71666666666666656</v>
      </c>
      <c r="AF173" s="110">
        <f t="shared" si="114"/>
        <v>0.70833333333333326</v>
      </c>
      <c r="AG173" s="110">
        <f t="shared" si="114"/>
        <v>0.7</v>
      </c>
      <c r="AI173" s="135" t="s">
        <v>1456</v>
      </c>
      <c r="AJ173" s="211"/>
    </row>
    <row r="174" spans="1:63" outlineLevel="1">
      <c r="A174" t="s">
        <v>1343</v>
      </c>
      <c r="B174" s="54" t="s">
        <v>462</v>
      </c>
      <c r="C174" s="110">
        <f>C171*C172</f>
        <v>6.5000000000000006E-3</v>
      </c>
      <c r="D174" s="110">
        <f t="shared" ref="D174:AG174" si="115">D171*D172</f>
        <v>7.9086652478886511E-3</v>
      </c>
      <c r="E174" s="110">
        <f t="shared" si="115"/>
        <v>9.4102824713645332E-3</v>
      </c>
      <c r="F174" s="110">
        <f t="shared" si="115"/>
        <v>1.1004851670427652E-2</v>
      </c>
      <c r="G174" s="110">
        <f t="shared" si="115"/>
        <v>1.2692372845078003E-2</v>
      </c>
      <c r="H174" s="110">
        <f t="shared" si="115"/>
        <v>1.4472845995315585E-2</v>
      </c>
      <c r="I174" s="110">
        <f t="shared" si="115"/>
        <v>1.6346271121140402E-2</v>
      </c>
      <c r="J174" s="110">
        <f t="shared" si="115"/>
        <v>1.8312648222552456E-2</v>
      </c>
      <c r="K174" s="110">
        <f t="shared" si="115"/>
        <v>2.037197729955174E-2</v>
      </c>
      <c r="L174" s="110">
        <f t="shared" si="115"/>
        <v>2.2524258352138254E-2</v>
      </c>
      <c r="M174" s="110">
        <f t="shared" si="115"/>
        <v>2.4769491380312009E-2</v>
      </c>
      <c r="N174" s="110">
        <f t="shared" si="115"/>
        <v>2.7982854984986639E-2</v>
      </c>
      <c r="O174" s="110">
        <f t="shared" si="115"/>
        <v>3.1392132753591283E-2</v>
      </c>
      <c r="P174" s="110">
        <f t="shared" si="115"/>
        <v>3.4997324686125937E-2</v>
      </c>
      <c r="Q174" s="110">
        <f t="shared" si="115"/>
        <v>3.8798430782590612E-2</v>
      </c>
      <c r="R174" s="110">
        <f t="shared" si="115"/>
        <v>4.2795451042985301E-2</v>
      </c>
      <c r="S174" s="110">
        <f t="shared" si="115"/>
        <v>4.6988385467309997E-2</v>
      </c>
      <c r="T174" s="110">
        <f t="shared" si="115"/>
        <v>5.1377234055564727E-2</v>
      </c>
      <c r="U174" s="110">
        <f t="shared" si="115"/>
        <v>5.5961996807749458E-2</v>
      </c>
      <c r="V174" s="110">
        <f t="shared" si="115"/>
        <v>6.0742673723864209E-2</v>
      </c>
      <c r="W174" s="110">
        <f t="shared" si="115"/>
        <v>6.5719264803908967E-2</v>
      </c>
      <c r="X174" s="110">
        <f t="shared" si="115"/>
        <v>7.2672235951345684E-2</v>
      </c>
      <c r="Y174" s="110">
        <f t="shared" si="115"/>
        <v>7.9953007625931827E-2</v>
      </c>
      <c r="Z174" s="110">
        <f t="shared" si="115"/>
        <v>8.7561579827667393E-2</v>
      </c>
      <c r="AA174" s="110">
        <f t="shared" si="115"/>
        <v>9.5497952556552357E-2</v>
      </c>
      <c r="AB174" s="110">
        <f t="shared" si="115"/>
        <v>0.10376212581258674</v>
      </c>
      <c r="AC174" s="110">
        <f t="shared" si="115"/>
        <v>0.11235409959577057</v>
      </c>
      <c r="AD174" s="110">
        <f t="shared" si="115"/>
        <v>0.12127387390610381</v>
      </c>
      <c r="AE174" s="110">
        <f t="shared" si="115"/>
        <v>0.13052144874358648</v>
      </c>
      <c r="AF174" s="110">
        <f t="shared" si="115"/>
        <v>0.14009682410821853</v>
      </c>
      <c r="AG174" s="110">
        <f t="shared" si="115"/>
        <v>0.15</v>
      </c>
      <c r="AI174" s="134"/>
      <c r="AJ174" s="211"/>
      <c r="BD174" s="203"/>
      <c r="BE174" s="203"/>
    </row>
    <row r="175" spans="1:63" outlineLevel="1">
      <c r="A175" t="s">
        <v>1344</v>
      </c>
      <c r="B175" s="54" t="s">
        <v>462</v>
      </c>
      <c r="C175" s="110">
        <f>C171*C173</f>
        <v>0.1235</v>
      </c>
      <c r="D175" s="110">
        <f t="shared" ref="D175:AG175" si="116">D171*D173</f>
        <v>0.12766845328734536</v>
      </c>
      <c r="E175" s="110">
        <f t="shared" si="116"/>
        <v>0.13174395459910349</v>
      </c>
      <c r="F175" s="110">
        <f t="shared" si="116"/>
        <v>0.13572650393527438</v>
      </c>
      <c r="G175" s="110">
        <f t="shared" si="116"/>
        <v>0.13961610129585802</v>
      </c>
      <c r="H175" s="110">
        <f t="shared" si="116"/>
        <v>0.14341274668085444</v>
      </c>
      <c r="I175" s="110">
        <f t="shared" si="116"/>
        <v>0.14711644009026364</v>
      </c>
      <c r="J175" s="110">
        <f t="shared" si="116"/>
        <v>0.15072718152408562</v>
      </c>
      <c r="K175" s="110">
        <f t="shared" si="116"/>
        <v>0.15424497098232032</v>
      </c>
      <c r="L175" s="110">
        <f t="shared" si="116"/>
        <v>0.15766980846496781</v>
      </c>
      <c r="M175" s="110">
        <f t="shared" si="116"/>
        <v>0.16100169397202807</v>
      </c>
      <c r="N175" s="110">
        <f t="shared" si="116"/>
        <v>0.16954318020315437</v>
      </c>
      <c r="O175" s="110">
        <f t="shared" si="116"/>
        <v>0.17788875227035059</v>
      </c>
      <c r="P175" s="110">
        <f t="shared" si="116"/>
        <v>0.18603841017361686</v>
      </c>
      <c r="Q175" s="110">
        <f t="shared" si="116"/>
        <v>0.1939921539129531</v>
      </c>
      <c r="R175" s="110">
        <f t="shared" si="116"/>
        <v>0.20174998348835926</v>
      </c>
      <c r="S175" s="110">
        <f t="shared" si="116"/>
        <v>0.20931189889983545</v>
      </c>
      <c r="T175" s="110">
        <f t="shared" si="116"/>
        <v>0.2166779001473817</v>
      </c>
      <c r="U175" s="110">
        <f t="shared" si="116"/>
        <v>0.22384798723099786</v>
      </c>
      <c r="V175" s="110">
        <f t="shared" si="116"/>
        <v>0.23082216015068405</v>
      </c>
      <c r="W175" s="110">
        <f t="shared" si="116"/>
        <v>0.23760041890644015</v>
      </c>
      <c r="X175" s="110">
        <f t="shared" si="116"/>
        <v>0.2503154793879685</v>
      </c>
      <c r="Y175" s="110">
        <f t="shared" si="116"/>
        <v>0.26270273934234745</v>
      </c>
      <c r="Z175" s="110">
        <f t="shared" si="116"/>
        <v>0.27476219876957697</v>
      </c>
      <c r="AA175" s="110">
        <f t="shared" si="116"/>
        <v>0.28649385766965713</v>
      </c>
      <c r="AB175" s="110">
        <f t="shared" si="116"/>
        <v>0.2978977160425878</v>
      </c>
      <c r="AC175" s="110">
        <f t="shared" si="116"/>
        <v>0.30897377388836911</v>
      </c>
      <c r="AD175" s="110">
        <f t="shared" si="116"/>
        <v>0.31972203120700093</v>
      </c>
      <c r="AE175" s="110">
        <f t="shared" si="116"/>
        <v>0.33014248799848334</v>
      </c>
      <c r="AF175" s="110">
        <f t="shared" si="116"/>
        <v>0.34023514426281631</v>
      </c>
      <c r="AG175" s="110">
        <f t="shared" si="116"/>
        <v>0.35</v>
      </c>
      <c r="AI175" s="134"/>
      <c r="AJ175" s="211"/>
      <c r="BD175" s="203"/>
      <c r="BE175" s="203"/>
    </row>
    <row r="176" spans="1:63" outlineLevel="1">
      <c r="C176" s="110"/>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J176" s="211"/>
    </row>
    <row r="177" spans="1:63" outlineLevel="1">
      <c r="A177" t="s">
        <v>1441</v>
      </c>
      <c r="B177" s="54" t="s">
        <v>462</v>
      </c>
      <c r="C177" s="106">
        <v>0.5</v>
      </c>
      <c r="D177" s="110">
        <f>C177</f>
        <v>0.5</v>
      </c>
      <c r="E177" s="110">
        <f t="shared" ref="E177:AG177" si="117">D177</f>
        <v>0.5</v>
      </c>
      <c r="F177" s="110">
        <f t="shared" si="117"/>
        <v>0.5</v>
      </c>
      <c r="G177" s="110">
        <f t="shared" si="117"/>
        <v>0.5</v>
      </c>
      <c r="H177" s="110">
        <f t="shared" si="117"/>
        <v>0.5</v>
      </c>
      <c r="I177" s="110">
        <f t="shared" si="117"/>
        <v>0.5</v>
      </c>
      <c r="J177" s="110">
        <f t="shared" si="117"/>
        <v>0.5</v>
      </c>
      <c r="K177" s="110">
        <f t="shared" si="117"/>
        <v>0.5</v>
      </c>
      <c r="L177" s="110">
        <f t="shared" si="117"/>
        <v>0.5</v>
      </c>
      <c r="M177" s="110">
        <f t="shared" si="117"/>
        <v>0.5</v>
      </c>
      <c r="N177" s="110">
        <f t="shared" si="117"/>
        <v>0.5</v>
      </c>
      <c r="O177" s="110">
        <f t="shared" si="117"/>
        <v>0.5</v>
      </c>
      <c r="P177" s="110">
        <f t="shared" si="117"/>
        <v>0.5</v>
      </c>
      <c r="Q177" s="110">
        <f t="shared" si="117"/>
        <v>0.5</v>
      </c>
      <c r="R177" s="110">
        <f t="shared" si="117"/>
        <v>0.5</v>
      </c>
      <c r="S177" s="110">
        <f t="shared" si="117"/>
        <v>0.5</v>
      </c>
      <c r="T177" s="110">
        <f t="shared" si="117"/>
        <v>0.5</v>
      </c>
      <c r="U177" s="110">
        <f t="shared" si="117"/>
        <v>0.5</v>
      </c>
      <c r="V177" s="110">
        <f t="shared" si="117"/>
        <v>0.5</v>
      </c>
      <c r="W177" s="110">
        <f t="shared" si="117"/>
        <v>0.5</v>
      </c>
      <c r="X177" s="110">
        <f t="shared" si="117"/>
        <v>0.5</v>
      </c>
      <c r="Y177" s="110">
        <f t="shared" si="117"/>
        <v>0.5</v>
      </c>
      <c r="Z177" s="110">
        <f t="shared" si="117"/>
        <v>0.5</v>
      </c>
      <c r="AA177" s="110">
        <f t="shared" si="117"/>
        <v>0.5</v>
      </c>
      <c r="AB177" s="110">
        <f t="shared" si="117"/>
        <v>0.5</v>
      </c>
      <c r="AC177" s="110">
        <f t="shared" si="117"/>
        <v>0.5</v>
      </c>
      <c r="AD177" s="110">
        <f t="shared" si="117"/>
        <v>0.5</v>
      </c>
      <c r="AE177" s="110">
        <f t="shared" si="117"/>
        <v>0.5</v>
      </c>
      <c r="AF177" s="110">
        <f t="shared" si="117"/>
        <v>0.5</v>
      </c>
      <c r="AG177" s="110">
        <f t="shared" si="117"/>
        <v>0.5</v>
      </c>
      <c r="AI177" s="54"/>
      <c r="AJ177" s="211" t="s">
        <v>1457</v>
      </c>
    </row>
    <row r="178" spans="1:63" outlineLevel="1">
      <c r="A178" t="s">
        <v>1445</v>
      </c>
      <c r="B178" s="54" t="s">
        <v>462</v>
      </c>
      <c r="C178" s="121">
        <f>1-C177</f>
        <v>0.5</v>
      </c>
      <c r="D178" s="110">
        <f t="shared" ref="D178:AG178" si="118">C178</f>
        <v>0.5</v>
      </c>
      <c r="E178" s="110">
        <f t="shared" si="118"/>
        <v>0.5</v>
      </c>
      <c r="F178" s="110">
        <f t="shared" si="118"/>
        <v>0.5</v>
      </c>
      <c r="G178" s="110">
        <f t="shared" si="118"/>
        <v>0.5</v>
      </c>
      <c r="H178" s="110">
        <f t="shared" si="118"/>
        <v>0.5</v>
      </c>
      <c r="I178" s="110">
        <f t="shared" si="118"/>
        <v>0.5</v>
      </c>
      <c r="J178" s="110">
        <f t="shared" si="118"/>
        <v>0.5</v>
      </c>
      <c r="K178" s="110">
        <f t="shared" si="118"/>
        <v>0.5</v>
      </c>
      <c r="L178" s="110">
        <f t="shared" si="118"/>
        <v>0.5</v>
      </c>
      <c r="M178" s="110">
        <f t="shared" si="118"/>
        <v>0.5</v>
      </c>
      <c r="N178" s="110">
        <f t="shared" si="118"/>
        <v>0.5</v>
      </c>
      <c r="O178" s="110">
        <f t="shared" si="118"/>
        <v>0.5</v>
      </c>
      <c r="P178" s="110">
        <f t="shared" si="118"/>
        <v>0.5</v>
      </c>
      <c r="Q178" s="110">
        <f t="shared" si="118"/>
        <v>0.5</v>
      </c>
      <c r="R178" s="110">
        <f t="shared" si="118"/>
        <v>0.5</v>
      </c>
      <c r="S178" s="110">
        <f t="shared" si="118"/>
        <v>0.5</v>
      </c>
      <c r="T178" s="110">
        <f t="shared" si="118"/>
        <v>0.5</v>
      </c>
      <c r="U178" s="110">
        <f t="shared" si="118"/>
        <v>0.5</v>
      </c>
      <c r="V178" s="110">
        <f t="shared" si="118"/>
        <v>0.5</v>
      </c>
      <c r="W178" s="110">
        <f t="shared" si="118"/>
        <v>0.5</v>
      </c>
      <c r="X178" s="110">
        <f t="shared" si="118"/>
        <v>0.5</v>
      </c>
      <c r="Y178" s="110">
        <f t="shared" si="118"/>
        <v>0.5</v>
      </c>
      <c r="Z178" s="110">
        <f t="shared" si="118"/>
        <v>0.5</v>
      </c>
      <c r="AA178" s="110">
        <f t="shared" si="118"/>
        <v>0.5</v>
      </c>
      <c r="AB178" s="110">
        <f t="shared" si="118"/>
        <v>0.5</v>
      </c>
      <c r="AC178" s="110">
        <f t="shared" si="118"/>
        <v>0.5</v>
      </c>
      <c r="AD178" s="110">
        <f t="shared" si="118"/>
        <v>0.5</v>
      </c>
      <c r="AE178" s="110">
        <f t="shared" si="118"/>
        <v>0.5</v>
      </c>
      <c r="AF178" s="110">
        <f t="shared" si="118"/>
        <v>0.5</v>
      </c>
      <c r="AG178" s="110">
        <f t="shared" si="118"/>
        <v>0.5</v>
      </c>
      <c r="AJ178" s="223"/>
    </row>
    <row r="179" spans="1:63" outlineLevel="1">
      <c r="A179" t="s">
        <v>1268</v>
      </c>
      <c r="B179" s="54" t="s">
        <v>462</v>
      </c>
      <c r="C179" s="110">
        <f t="shared" ref="C179:AG179" si="119">SUM(C177:C178)</f>
        <v>1</v>
      </c>
      <c r="D179" s="110">
        <f t="shared" si="119"/>
        <v>1</v>
      </c>
      <c r="E179" s="110">
        <f t="shared" si="119"/>
        <v>1</v>
      </c>
      <c r="F179" s="110">
        <f t="shared" si="119"/>
        <v>1</v>
      </c>
      <c r="G179" s="110">
        <f t="shared" si="119"/>
        <v>1</v>
      </c>
      <c r="H179" s="110">
        <f t="shared" si="119"/>
        <v>1</v>
      </c>
      <c r="I179" s="110">
        <f t="shared" si="119"/>
        <v>1</v>
      </c>
      <c r="J179" s="110">
        <f t="shared" si="119"/>
        <v>1</v>
      </c>
      <c r="K179" s="110">
        <f t="shared" si="119"/>
        <v>1</v>
      </c>
      <c r="L179" s="110">
        <f t="shared" si="119"/>
        <v>1</v>
      </c>
      <c r="M179" s="110">
        <f t="shared" si="119"/>
        <v>1</v>
      </c>
      <c r="N179" s="110">
        <f t="shared" si="119"/>
        <v>1</v>
      </c>
      <c r="O179" s="110">
        <f t="shared" si="119"/>
        <v>1</v>
      </c>
      <c r="P179" s="110">
        <f t="shared" si="119"/>
        <v>1</v>
      </c>
      <c r="Q179" s="110">
        <f t="shared" si="119"/>
        <v>1</v>
      </c>
      <c r="R179" s="110">
        <f t="shared" si="119"/>
        <v>1</v>
      </c>
      <c r="S179" s="110">
        <f t="shared" si="119"/>
        <v>1</v>
      </c>
      <c r="T179" s="110">
        <f t="shared" si="119"/>
        <v>1</v>
      </c>
      <c r="U179" s="110">
        <f t="shared" si="119"/>
        <v>1</v>
      </c>
      <c r="V179" s="110">
        <f t="shared" si="119"/>
        <v>1</v>
      </c>
      <c r="W179" s="110">
        <f t="shared" si="119"/>
        <v>1</v>
      </c>
      <c r="X179" s="110">
        <f t="shared" si="119"/>
        <v>1</v>
      </c>
      <c r="Y179" s="110">
        <f t="shared" si="119"/>
        <v>1</v>
      </c>
      <c r="Z179" s="110">
        <f t="shared" si="119"/>
        <v>1</v>
      </c>
      <c r="AA179" s="110">
        <f t="shared" si="119"/>
        <v>1</v>
      </c>
      <c r="AB179" s="110">
        <f t="shared" si="119"/>
        <v>1</v>
      </c>
      <c r="AC179" s="110">
        <f t="shared" si="119"/>
        <v>1</v>
      </c>
      <c r="AD179" s="110">
        <f t="shared" si="119"/>
        <v>1</v>
      </c>
      <c r="AE179" s="110">
        <f t="shared" si="119"/>
        <v>1</v>
      </c>
      <c r="AF179" s="110">
        <f t="shared" si="119"/>
        <v>1</v>
      </c>
      <c r="AG179" s="110">
        <f t="shared" si="119"/>
        <v>1</v>
      </c>
      <c r="AH179" s="131"/>
      <c r="AI179" s="54"/>
      <c r="AJ179" s="223"/>
    </row>
    <row r="180" spans="1:63" outlineLevel="1">
      <c r="C180" s="214"/>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31"/>
      <c r="AI180" s="131"/>
      <c r="AJ180" s="223"/>
    </row>
    <row r="181" spans="1:63" outlineLevel="1">
      <c r="A181" t="s">
        <v>1345</v>
      </c>
      <c r="B181" s="54" t="s">
        <v>462</v>
      </c>
      <c r="C181" s="110">
        <f>C177*C175</f>
        <v>6.1749999999999999E-2</v>
      </c>
      <c r="D181" s="110">
        <f t="shared" ref="D181:AG181" si="120">D177*D175</f>
        <v>6.3834226643672679E-2</v>
      </c>
      <c r="E181" s="110">
        <f t="shared" si="120"/>
        <v>6.5871977299551743E-2</v>
      </c>
      <c r="F181" s="110">
        <f t="shared" si="120"/>
        <v>6.7863251967637192E-2</v>
      </c>
      <c r="G181" s="110">
        <f t="shared" si="120"/>
        <v>6.9808050647929012E-2</v>
      </c>
      <c r="H181" s="110">
        <f t="shared" si="120"/>
        <v>7.1706373340427218E-2</v>
      </c>
      <c r="I181" s="110">
        <f t="shared" si="120"/>
        <v>7.3558220045131822E-2</v>
      </c>
      <c r="J181" s="110">
        <f t="shared" si="120"/>
        <v>7.5363590762042812E-2</v>
      </c>
      <c r="K181" s="110">
        <f t="shared" si="120"/>
        <v>7.7122485491160159E-2</v>
      </c>
      <c r="L181" s="110">
        <f t="shared" si="120"/>
        <v>7.8834904232483904E-2</v>
      </c>
      <c r="M181" s="110">
        <f t="shared" si="120"/>
        <v>8.0500846986014035E-2</v>
      </c>
      <c r="N181" s="110">
        <f t="shared" si="120"/>
        <v>8.4771590101577185E-2</v>
      </c>
      <c r="O181" s="110">
        <f t="shared" si="120"/>
        <v>8.8944376135175293E-2</v>
      </c>
      <c r="P181" s="110">
        <f t="shared" si="120"/>
        <v>9.3019205086808429E-2</v>
      </c>
      <c r="Q181" s="110">
        <f t="shared" si="120"/>
        <v>9.6996076956476551E-2</v>
      </c>
      <c r="R181" s="110">
        <f t="shared" si="120"/>
        <v>0.10087499174417963</v>
      </c>
      <c r="S181" s="110">
        <f t="shared" si="120"/>
        <v>0.10465594944991773</v>
      </c>
      <c r="T181" s="110">
        <f t="shared" si="120"/>
        <v>0.10833895007369085</v>
      </c>
      <c r="U181" s="110">
        <f t="shared" si="120"/>
        <v>0.11192399361549893</v>
      </c>
      <c r="V181" s="110">
        <f t="shared" si="120"/>
        <v>0.11541108007534202</v>
      </c>
      <c r="W181" s="110">
        <f t="shared" si="120"/>
        <v>0.11880020945322008</v>
      </c>
      <c r="X181" s="110">
        <f t="shared" si="120"/>
        <v>0.12515773969398425</v>
      </c>
      <c r="Y181" s="110">
        <f t="shared" si="120"/>
        <v>0.13135136967117372</v>
      </c>
      <c r="Z181" s="110">
        <f t="shared" si="120"/>
        <v>0.13738109938478849</v>
      </c>
      <c r="AA181" s="110">
        <f t="shared" si="120"/>
        <v>0.14324692883482856</v>
      </c>
      <c r="AB181" s="110">
        <f t="shared" si="120"/>
        <v>0.1489488580212939</v>
      </c>
      <c r="AC181" s="110">
        <f t="shared" si="120"/>
        <v>0.15448688694418455</v>
      </c>
      <c r="AD181" s="110">
        <f t="shared" si="120"/>
        <v>0.15986101560350047</v>
      </c>
      <c r="AE181" s="110">
        <f t="shared" si="120"/>
        <v>0.16507124399924167</v>
      </c>
      <c r="AF181" s="110">
        <f t="shared" si="120"/>
        <v>0.17011757213140816</v>
      </c>
      <c r="AG181" s="110">
        <f t="shared" si="120"/>
        <v>0.17499999999999999</v>
      </c>
      <c r="AH181" s="131"/>
      <c r="AI181" s="131"/>
      <c r="AJ181" s="211"/>
    </row>
    <row r="182" spans="1:63" outlineLevel="1">
      <c r="A182" t="s">
        <v>1346</v>
      </c>
      <c r="B182" s="54" t="s">
        <v>462</v>
      </c>
      <c r="C182" s="110">
        <f>C175*C178</f>
        <v>6.1749999999999999E-2</v>
      </c>
      <c r="D182" s="110">
        <f t="shared" ref="D182:AG182" si="121">D175*D178</f>
        <v>6.3834226643672679E-2</v>
      </c>
      <c r="E182" s="110">
        <f t="shared" si="121"/>
        <v>6.5871977299551743E-2</v>
      </c>
      <c r="F182" s="110">
        <f t="shared" si="121"/>
        <v>6.7863251967637192E-2</v>
      </c>
      <c r="G182" s="110">
        <f t="shared" si="121"/>
        <v>6.9808050647929012E-2</v>
      </c>
      <c r="H182" s="110">
        <f t="shared" si="121"/>
        <v>7.1706373340427218E-2</v>
      </c>
      <c r="I182" s="110">
        <f t="shared" si="121"/>
        <v>7.3558220045131822E-2</v>
      </c>
      <c r="J182" s="110">
        <f t="shared" si="121"/>
        <v>7.5363590762042812E-2</v>
      </c>
      <c r="K182" s="110">
        <f t="shared" si="121"/>
        <v>7.7122485491160159E-2</v>
      </c>
      <c r="L182" s="110">
        <f t="shared" si="121"/>
        <v>7.8834904232483904E-2</v>
      </c>
      <c r="M182" s="110">
        <f t="shared" si="121"/>
        <v>8.0500846986014035E-2</v>
      </c>
      <c r="N182" s="110">
        <f t="shared" si="121"/>
        <v>8.4771590101577185E-2</v>
      </c>
      <c r="O182" s="110">
        <f t="shared" si="121"/>
        <v>8.8944376135175293E-2</v>
      </c>
      <c r="P182" s="110">
        <f t="shared" si="121"/>
        <v>9.3019205086808429E-2</v>
      </c>
      <c r="Q182" s="110">
        <f t="shared" si="121"/>
        <v>9.6996076956476551E-2</v>
      </c>
      <c r="R182" s="110">
        <f t="shared" si="121"/>
        <v>0.10087499174417963</v>
      </c>
      <c r="S182" s="110">
        <f t="shared" si="121"/>
        <v>0.10465594944991773</v>
      </c>
      <c r="T182" s="110">
        <f t="shared" si="121"/>
        <v>0.10833895007369085</v>
      </c>
      <c r="U182" s="110">
        <f t="shared" si="121"/>
        <v>0.11192399361549893</v>
      </c>
      <c r="V182" s="110">
        <f t="shared" si="121"/>
        <v>0.11541108007534202</v>
      </c>
      <c r="W182" s="110">
        <f t="shared" si="121"/>
        <v>0.11880020945322008</v>
      </c>
      <c r="X182" s="110">
        <f t="shared" si="121"/>
        <v>0.12515773969398425</v>
      </c>
      <c r="Y182" s="110">
        <f t="shared" si="121"/>
        <v>0.13135136967117372</v>
      </c>
      <c r="Z182" s="110">
        <f t="shared" si="121"/>
        <v>0.13738109938478849</v>
      </c>
      <c r="AA182" s="110">
        <f t="shared" si="121"/>
        <v>0.14324692883482856</v>
      </c>
      <c r="AB182" s="110">
        <f t="shared" si="121"/>
        <v>0.1489488580212939</v>
      </c>
      <c r="AC182" s="110">
        <f t="shared" si="121"/>
        <v>0.15448688694418455</v>
      </c>
      <c r="AD182" s="110">
        <f t="shared" si="121"/>
        <v>0.15986101560350047</v>
      </c>
      <c r="AE182" s="110">
        <f t="shared" si="121"/>
        <v>0.16507124399924167</v>
      </c>
      <c r="AF182" s="110">
        <f t="shared" si="121"/>
        <v>0.17011757213140816</v>
      </c>
      <c r="AG182" s="110">
        <f t="shared" si="121"/>
        <v>0.17499999999999999</v>
      </c>
      <c r="AJ182" s="211"/>
    </row>
    <row r="183" spans="1:63" outlineLevel="1">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211"/>
    </row>
    <row r="184" spans="1:63" outlineLevel="1">
      <c r="A184" t="s">
        <v>1553</v>
      </c>
      <c r="C184" s="230">
        <f>'Overall recycling rates'!E87</f>
        <v>0.99999999999999978</v>
      </c>
      <c r="D184" s="230">
        <f>C184-($C184-$AG184)/($AG$1-$C$1)</f>
        <v>0.99999999999999978</v>
      </c>
      <c r="E184" s="230">
        <f t="shared" ref="E184:AF184" si="122">D184-($C184-$AG184)/($AG$1-$C$1)</f>
        <v>0.99999999999999978</v>
      </c>
      <c r="F184" s="230">
        <f t="shared" si="122"/>
        <v>0.99999999999999978</v>
      </c>
      <c r="G184" s="230">
        <f t="shared" si="122"/>
        <v>0.99999999999999978</v>
      </c>
      <c r="H184" s="230">
        <f t="shared" si="122"/>
        <v>0.99999999999999978</v>
      </c>
      <c r="I184" s="230">
        <f t="shared" si="122"/>
        <v>0.99999999999999978</v>
      </c>
      <c r="J184" s="230">
        <f t="shared" si="122"/>
        <v>0.99999999999999978</v>
      </c>
      <c r="K184" s="230">
        <f t="shared" si="122"/>
        <v>0.99999999999999978</v>
      </c>
      <c r="L184" s="230">
        <f t="shared" si="122"/>
        <v>0.99999999999999978</v>
      </c>
      <c r="M184" s="230">
        <f t="shared" si="122"/>
        <v>0.99999999999999978</v>
      </c>
      <c r="N184" s="230">
        <f t="shared" si="122"/>
        <v>0.99999999999999978</v>
      </c>
      <c r="O184" s="230">
        <f t="shared" si="122"/>
        <v>0.99999999999999978</v>
      </c>
      <c r="P184" s="230">
        <f t="shared" si="122"/>
        <v>0.99999999999999978</v>
      </c>
      <c r="Q184" s="230">
        <f t="shared" si="122"/>
        <v>0.99999999999999978</v>
      </c>
      <c r="R184" s="230">
        <f t="shared" si="122"/>
        <v>0.99999999999999978</v>
      </c>
      <c r="S184" s="230">
        <f t="shared" si="122"/>
        <v>0.99999999999999978</v>
      </c>
      <c r="T184" s="230">
        <f t="shared" si="122"/>
        <v>0.99999999999999978</v>
      </c>
      <c r="U184" s="230">
        <f t="shared" si="122"/>
        <v>0.99999999999999978</v>
      </c>
      <c r="V184" s="230">
        <f t="shared" si="122"/>
        <v>0.99999999999999978</v>
      </c>
      <c r="W184" s="230">
        <f t="shared" si="122"/>
        <v>0.99999999999999978</v>
      </c>
      <c r="X184" s="230">
        <f t="shared" si="122"/>
        <v>0.99999999999999978</v>
      </c>
      <c r="Y184" s="230">
        <f t="shared" si="122"/>
        <v>0.99999999999999978</v>
      </c>
      <c r="Z184" s="230">
        <f t="shared" si="122"/>
        <v>0.99999999999999978</v>
      </c>
      <c r="AA184" s="230">
        <f t="shared" si="122"/>
        <v>0.99999999999999978</v>
      </c>
      <c r="AB184" s="230">
        <f t="shared" si="122"/>
        <v>0.99999999999999978</v>
      </c>
      <c r="AC184" s="230">
        <f t="shared" si="122"/>
        <v>0.99999999999999978</v>
      </c>
      <c r="AD184" s="230">
        <f t="shared" si="122"/>
        <v>0.99999999999999978</v>
      </c>
      <c r="AE184" s="230">
        <f t="shared" si="122"/>
        <v>0.99999999999999978</v>
      </c>
      <c r="AF184" s="230">
        <f t="shared" si="122"/>
        <v>0.99999999999999978</v>
      </c>
      <c r="AG184" s="230">
        <f>'Overall recycling rates'!E96</f>
        <v>1</v>
      </c>
      <c r="AI184" s="133"/>
      <c r="AJ184" s="211" t="s">
        <v>1571</v>
      </c>
      <c r="AL184" s="108"/>
      <c r="AM184" s="207"/>
      <c r="AN184" s="207"/>
      <c r="AO184" s="207"/>
      <c r="BC184" s="1"/>
      <c r="BD184" s="207"/>
      <c r="BE184" s="207"/>
      <c r="BF184" s="207"/>
      <c r="BG184" s="207"/>
      <c r="BH184" s="207"/>
      <c r="BI184" s="207"/>
      <c r="BJ184" s="207"/>
      <c r="BK184" s="207"/>
    </row>
    <row r="185" spans="1:63" outlineLevel="1">
      <c r="A185" t="s">
        <v>1572</v>
      </c>
      <c r="B185" s="54" t="s">
        <v>462</v>
      </c>
      <c r="C185" s="110">
        <f>C174*C$184</f>
        <v>6.4999999999999988E-3</v>
      </c>
      <c r="D185" s="110">
        <f>D174*D$129</f>
        <v>4.6072193049678193E-3</v>
      </c>
      <c r="E185" s="110">
        <f t="shared" ref="E185:AG185" si="123">E174*E$129</f>
        <v>5.585000486450227E-3</v>
      </c>
      <c r="F185" s="110">
        <f t="shared" si="123"/>
        <v>6.6518408530082101E-3</v>
      </c>
      <c r="G185" s="110">
        <f t="shared" si="123"/>
        <v>7.810792883412087E-3</v>
      </c>
      <c r="H185" s="110">
        <f t="shared" si="123"/>
        <v>9.0649090564321796E-3</v>
      </c>
      <c r="I185" s="110">
        <f t="shared" si="123"/>
        <v>1.041724185083881E-2</v>
      </c>
      <c r="J185" s="110">
        <f t="shared" si="123"/>
        <v>1.1870843745402303E-2</v>
      </c>
      <c r="K185" s="110">
        <f t="shared" si="123"/>
        <v>1.3428767218892974E-2</v>
      </c>
      <c r="L185" s="110">
        <f t="shared" si="123"/>
        <v>1.5094064750081146E-2</v>
      </c>
      <c r="M185" s="110">
        <f t="shared" si="123"/>
        <v>1.6869788817737146E-2</v>
      </c>
      <c r="N185" s="110">
        <f t="shared" si="123"/>
        <v>1.9364630984318704E-2</v>
      </c>
      <c r="O185" s="110">
        <f t="shared" si="123"/>
        <v>2.2067543545332805E-2</v>
      </c>
      <c r="P185" s="110">
        <f t="shared" si="123"/>
        <v>2.4984960186803046E-2</v>
      </c>
      <c r="Q185" s="110">
        <f t="shared" si="123"/>
        <v>2.8123314594753038E-2</v>
      </c>
      <c r="R185" s="110">
        <f t="shared" si="123"/>
        <v>3.1489040455206375E-2</v>
      </c>
      <c r="S185" s="110">
        <f t="shared" si="123"/>
        <v>3.5088571454186659E-2</v>
      </c>
      <c r="T185" s="110">
        <f t="shared" si="123"/>
        <v>3.89283412777175E-2</v>
      </c>
      <c r="U185" s="110">
        <f t="shared" si="123"/>
        <v>4.3014783611822476E-2</v>
      </c>
      <c r="V185" s="110">
        <f t="shared" si="123"/>
        <v>4.7354332142525213E-2</v>
      </c>
      <c r="W185" s="110">
        <f t="shared" si="123"/>
        <v>5.195342055584929E-2</v>
      </c>
      <c r="X185" s="110">
        <f t="shared" si="123"/>
        <v>5.8245494034028712E-2</v>
      </c>
      <c r="Y185" s="110">
        <f t="shared" si="123"/>
        <v>6.495610252275523E-2</v>
      </c>
      <c r="Z185" s="110">
        <f t="shared" si="123"/>
        <v>7.2096010765259996E-2</v>
      </c>
      <c r="AA185" s="110">
        <f t="shared" si="123"/>
        <v>7.9675983504774131E-2</v>
      </c>
      <c r="AB185" s="110">
        <f t="shared" si="123"/>
        <v>8.7706785484528788E-2</v>
      </c>
      <c r="AC185" s="110">
        <f t="shared" si="123"/>
        <v>9.6199181447755133E-2</v>
      </c>
      <c r="AD185" s="110">
        <f t="shared" si="123"/>
        <v>0.10516393613768427</v>
      </c>
      <c r="AE185" s="110">
        <f t="shared" si="123"/>
        <v>0.11461181429754737</v>
      </c>
      <c r="AF185" s="110">
        <f t="shared" si="123"/>
        <v>0.12455358067057549</v>
      </c>
      <c r="AG185" s="110">
        <f t="shared" si="123"/>
        <v>0.13500000000000001</v>
      </c>
      <c r="AI185" s="133"/>
      <c r="AJ185"/>
      <c r="AL185" s="108"/>
      <c r="AM185" s="2"/>
      <c r="AN185" s="2"/>
      <c r="AO185" s="2"/>
      <c r="AV185" s="41"/>
    </row>
    <row r="186" spans="1:63" outlineLevel="1">
      <c r="A186" t="s">
        <v>1573</v>
      </c>
      <c r="B186" s="54" t="s">
        <v>462</v>
      </c>
      <c r="C186" s="110">
        <f>C175*C$184</f>
        <v>0.12349999999999997</v>
      </c>
      <c r="D186" s="110">
        <f t="shared" ref="D186:AG186" si="124">D172*D$129</f>
        <v>3.3982277796901897E-2</v>
      </c>
      <c r="E186" s="110">
        <f t="shared" si="124"/>
        <v>3.9566651362098637E-2</v>
      </c>
      <c r="F186" s="110">
        <f t="shared" si="124"/>
        <v>4.5333465540133788E-2</v>
      </c>
      <c r="G186" s="110">
        <f t="shared" si="124"/>
        <v>5.1282720331007343E-2</v>
      </c>
      <c r="H186" s="110">
        <f t="shared" si="124"/>
        <v>5.7414415734719303E-2</v>
      </c>
      <c r="I186" s="110">
        <f t="shared" si="124"/>
        <v>6.3728551751269666E-2</v>
      </c>
      <c r="J186" s="110">
        <f t="shared" si="124"/>
        <v>7.0225128380658433E-2</v>
      </c>
      <c r="K186" s="110">
        <f t="shared" si="124"/>
        <v>7.6904145622885597E-2</v>
      </c>
      <c r="L186" s="110">
        <f t="shared" si="124"/>
        <v>8.3765603477951173E-2</v>
      </c>
      <c r="M186" s="110">
        <f t="shared" si="124"/>
        <v>9.0809501945855173E-2</v>
      </c>
      <c r="N186" s="110">
        <f t="shared" si="124"/>
        <v>9.8035841026597556E-2</v>
      </c>
      <c r="O186" s="110">
        <f t="shared" si="124"/>
        <v>0.10544462072017834</v>
      </c>
      <c r="P186" s="110">
        <f t="shared" si="124"/>
        <v>0.11303584102659753</v>
      </c>
      <c r="Q186" s="110">
        <f t="shared" si="124"/>
        <v>0.12080950194585513</v>
      </c>
      <c r="R186" s="110">
        <f t="shared" si="124"/>
        <v>0.12876560347795113</v>
      </c>
      <c r="S186" s="110">
        <f t="shared" si="124"/>
        <v>0.13690414562288555</v>
      </c>
      <c r="T186" s="110">
        <f t="shared" si="124"/>
        <v>0.14522512838065835</v>
      </c>
      <c r="U186" s="110">
        <f t="shared" si="124"/>
        <v>0.15372855175126957</v>
      </c>
      <c r="V186" s="110">
        <f t="shared" si="124"/>
        <v>0.16241441573471918</v>
      </c>
      <c r="W186" s="110">
        <f t="shared" si="124"/>
        <v>0.17128272033100722</v>
      </c>
      <c r="X186" s="110">
        <f t="shared" si="124"/>
        <v>0.18033346554013363</v>
      </c>
      <c r="Y186" s="110">
        <f t="shared" si="124"/>
        <v>0.18956665136209847</v>
      </c>
      <c r="Z186" s="110">
        <f t="shared" si="124"/>
        <v>0.19898227779690172</v>
      </c>
      <c r="AA186" s="110">
        <f t="shared" si="124"/>
        <v>0.20858034484454335</v>
      </c>
      <c r="AB186" s="110">
        <f t="shared" si="124"/>
        <v>0.21836085250502341</v>
      </c>
      <c r="AC186" s="110">
        <f t="shared" si="124"/>
        <v>0.22832380077834188</v>
      </c>
      <c r="AD186" s="110">
        <f t="shared" si="124"/>
        <v>0.23846918966449876</v>
      </c>
      <c r="AE186" s="110">
        <f t="shared" si="124"/>
        <v>0.24879701916349403</v>
      </c>
      <c r="AF186" s="110">
        <f t="shared" si="124"/>
        <v>0.25930728927532776</v>
      </c>
      <c r="AG186" s="110">
        <f t="shared" si="124"/>
        <v>0.27</v>
      </c>
      <c r="AH186" s="245"/>
      <c r="AI186" s="133"/>
      <c r="AJ186" s="211"/>
      <c r="AL186" s="108"/>
      <c r="AM186" s="2"/>
      <c r="AN186" s="2"/>
      <c r="AO186" s="2"/>
      <c r="AV186" s="41"/>
    </row>
    <row r="187" spans="1:63" outlineLevel="1">
      <c r="A187" t="s">
        <v>1574</v>
      </c>
      <c r="B187" s="176" t="s">
        <v>462</v>
      </c>
      <c r="C187" s="110">
        <f>SUM(C185:C186)</f>
        <v>0.12999999999999998</v>
      </c>
      <c r="D187" s="110">
        <f t="shared" ref="D187" si="125">SUM(D185:D186)</f>
        <v>3.8589497101869714E-2</v>
      </c>
      <c r="E187" s="110">
        <f t="shared" ref="E187" si="126">SUM(E185:E186)</f>
        <v>4.5151651848548864E-2</v>
      </c>
      <c r="F187" s="110">
        <f t="shared" ref="F187" si="127">SUM(F185:F186)</f>
        <v>5.1985306393142E-2</v>
      </c>
      <c r="G187" s="110">
        <f t="shared" ref="G187" si="128">SUM(G185:G186)</f>
        <v>5.9093513214419427E-2</v>
      </c>
      <c r="H187" s="110">
        <f t="shared" ref="H187" si="129">SUM(H185:H186)</f>
        <v>6.6479324791151484E-2</v>
      </c>
      <c r="I187" s="110">
        <f t="shared" ref="I187" si="130">SUM(I185:I186)</f>
        <v>7.4145793602108476E-2</v>
      </c>
      <c r="J187" s="110">
        <f t="shared" ref="J187" si="131">SUM(J185:J186)</f>
        <v>8.2095972126060734E-2</v>
      </c>
      <c r="K187" s="110">
        <f t="shared" ref="K187" si="132">SUM(K185:K186)</f>
        <v>9.0332912841778579E-2</v>
      </c>
      <c r="L187" s="110">
        <f t="shared" ref="L187" si="133">SUM(L185:L186)</f>
        <v>9.8859668228032313E-2</v>
      </c>
      <c r="M187" s="110">
        <f t="shared" ref="M187" si="134">SUM(M185:M186)</f>
        <v>0.10767929076359231</v>
      </c>
      <c r="N187" s="110">
        <f t="shared" ref="N187" si="135">SUM(N185:N186)</f>
        <v>0.11740047201091626</v>
      </c>
      <c r="O187" s="110">
        <f t="shared" ref="O187" si="136">SUM(O185:O186)</f>
        <v>0.12751216426551115</v>
      </c>
      <c r="P187" s="110">
        <f t="shared" ref="P187" si="137">SUM(P185:P186)</f>
        <v>0.13802080121340057</v>
      </c>
      <c r="Q187" s="110">
        <f t="shared" ref="Q187" si="138">SUM(Q185:Q186)</f>
        <v>0.14893281654060816</v>
      </c>
      <c r="R187" s="110">
        <f t="shared" ref="R187" si="139">SUM(R185:R186)</f>
        <v>0.1602546439331575</v>
      </c>
      <c r="S187" s="110">
        <f t="shared" ref="S187" si="140">SUM(S185:S186)</f>
        <v>0.1719927170770722</v>
      </c>
      <c r="T187" s="110">
        <f t="shared" ref="T187" si="141">SUM(T185:T186)</f>
        <v>0.18415346965837584</v>
      </c>
      <c r="U187" s="110">
        <f t="shared" ref="U187" si="142">SUM(U185:U186)</f>
        <v>0.19674333536309205</v>
      </c>
      <c r="V187" s="110">
        <f t="shared" ref="V187" si="143">SUM(V185:V186)</f>
        <v>0.20976874787724439</v>
      </c>
      <c r="W187" s="110">
        <f t="shared" ref="W187" si="144">SUM(W185:W186)</f>
        <v>0.2232361408868565</v>
      </c>
      <c r="X187" s="110">
        <f t="shared" ref="X187" si="145">SUM(X185:X186)</f>
        <v>0.23857895957416234</v>
      </c>
      <c r="Y187" s="110">
        <f t="shared" ref="Y187" si="146">SUM(Y185:Y186)</f>
        <v>0.25452275388485368</v>
      </c>
      <c r="Z187" s="110">
        <f t="shared" ref="Z187" si="147">SUM(Z185:Z186)</f>
        <v>0.27107828856216171</v>
      </c>
      <c r="AA187" s="110">
        <f t="shared" ref="AA187" si="148">SUM(AA185:AA186)</f>
        <v>0.28825632834931747</v>
      </c>
      <c r="AB187" s="110">
        <f t="shared" ref="AB187" si="149">SUM(AB185:AB186)</f>
        <v>0.30606763798955217</v>
      </c>
      <c r="AC187" s="110">
        <f t="shared" ref="AC187" si="150">SUM(AC185:AC186)</f>
        <v>0.32452298222609699</v>
      </c>
      <c r="AD187" s="110">
        <f t="shared" ref="AD187" si="151">SUM(AD185:AD186)</f>
        <v>0.34363312580218303</v>
      </c>
      <c r="AE187" s="110">
        <f t="shared" ref="AE187" si="152">SUM(AE185:AE186)</f>
        <v>0.36340883346104141</v>
      </c>
      <c r="AF187" s="110">
        <f t="shared" ref="AF187" si="153">SUM(AF185:AF186)</f>
        <v>0.38386086994590324</v>
      </c>
      <c r="AG187" s="110">
        <f t="shared" ref="AG187" si="154">SUM(AG185:AG186)</f>
        <v>0.40500000000000003</v>
      </c>
      <c r="AI187" s="133"/>
      <c r="AJ187" s="211"/>
      <c r="AL187" s="108"/>
      <c r="AM187" s="2"/>
      <c r="AN187" s="2"/>
      <c r="AO187" s="2"/>
    </row>
    <row r="188" spans="1:63" outlineLevel="1">
      <c r="A188" t="s">
        <v>1580</v>
      </c>
      <c r="B188" s="54" t="s">
        <v>462</v>
      </c>
      <c r="C188" s="110">
        <f>C177*C186</f>
        <v>6.1749999999999985E-2</v>
      </c>
      <c r="D188" s="110">
        <f t="shared" ref="D188:AG188" si="155">D174*D186</f>
        <v>2.6875445945645613E-4</v>
      </c>
      <c r="E188" s="110">
        <f t="shared" si="155"/>
        <v>3.7233336576334846E-4</v>
      </c>
      <c r="F188" s="110">
        <f t="shared" si="155"/>
        <v>4.9888806397561578E-4</v>
      </c>
      <c r="G188" s="110">
        <f t="shared" si="155"/>
        <v>6.5089940695100721E-4</v>
      </c>
      <c r="H188" s="110">
        <f t="shared" si="155"/>
        <v>8.3094999683961637E-4</v>
      </c>
      <c r="I188" s="110">
        <f t="shared" si="155"/>
        <v>1.0417241850838809E-3</v>
      </c>
      <c r="J188" s="110">
        <f t="shared" si="155"/>
        <v>1.2860080724185828E-3</v>
      </c>
      <c r="K188" s="110">
        <f t="shared" si="155"/>
        <v>1.5666895088708467E-3</v>
      </c>
      <c r="L188" s="110">
        <f t="shared" si="155"/>
        <v>1.886758093760143E-3</v>
      </c>
      <c r="M188" s="110">
        <f t="shared" si="155"/>
        <v>2.2493051756982863E-3</v>
      </c>
      <c r="N188" s="110">
        <f t="shared" si="155"/>
        <v>2.7433227227784832E-3</v>
      </c>
      <c r="O188" s="110">
        <f t="shared" si="155"/>
        <v>3.3101315317999205E-3</v>
      </c>
      <c r="P188" s="110">
        <f t="shared" si="155"/>
        <v>3.9559520295771484E-3</v>
      </c>
      <c r="Q188" s="110">
        <f t="shared" si="155"/>
        <v>4.6872190991255058E-3</v>
      </c>
      <c r="R188" s="110">
        <f t="shared" si="155"/>
        <v>5.5105820796611154E-3</v>
      </c>
      <c r="S188" s="110">
        <f t="shared" si="155"/>
        <v>6.4329047666008866E-3</v>
      </c>
      <c r="T188" s="110">
        <f t="shared" si="155"/>
        <v>7.4612654115625192E-3</v>
      </c>
      <c r="U188" s="110">
        <f t="shared" si="155"/>
        <v>8.6029567223644948E-3</v>
      </c>
      <c r="V188" s="110">
        <f t="shared" si="155"/>
        <v>9.8654858630260849E-3</v>
      </c>
      <c r="W188" s="110">
        <f t="shared" si="155"/>
        <v>1.1256574453767345E-2</v>
      </c>
      <c r="X188" s="110">
        <f t="shared" si="155"/>
        <v>1.3105236157656457E-2</v>
      </c>
      <c r="Y188" s="110">
        <f t="shared" si="155"/>
        <v>1.5156423921976218E-2</v>
      </c>
      <c r="Z188" s="110">
        <f t="shared" si="155"/>
        <v>1.7423202601604501E-2</v>
      </c>
      <c r="AA188" s="110">
        <f t="shared" si="155"/>
        <v>1.9918995876193533E-2</v>
      </c>
      <c r="AB188" s="110">
        <f t="shared" si="155"/>
        <v>2.2657586250169937E-2</v>
      </c>
      <c r="AC188" s="110">
        <f t="shared" si="155"/>
        <v>2.5653115052734703E-2</v>
      </c>
      <c r="AD188" s="110">
        <f t="shared" si="155"/>
        <v>2.8920082437863176E-2</v>
      </c>
      <c r="AE188" s="110">
        <f t="shared" si="155"/>
        <v>3.2473347384305087E-2</v>
      </c>
      <c r="AF188" s="110">
        <f t="shared" si="155"/>
        <v>3.6328127695584536E-2</v>
      </c>
      <c r="AG188" s="110">
        <f t="shared" si="155"/>
        <v>4.0500000000000001E-2</v>
      </c>
      <c r="AI188" s="133"/>
      <c r="AJ188" s="211"/>
      <c r="BD188" s="203"/>
      <c r="BE188" s="203"/>
    </row>
    <row r="189" spans="1:63" outlineLevel="1">
      <c r="A189" t="s">
        <v>1581</v>
      </c>
      <c r="B189" s="54" t="s">
        <v>462</v>
      </c>
      <c r="C189" s="110">
        <f>C178*C186</f>
        <v>6.1749999999999985E-2</v>
      </c>
      <c r="D189" s="110">
        <f t="shared" ref="D189:AG189" si="156">D176*D186</f>
        <v>0</v>
      </c>
      <c r="E189" s="110">
        <f t="shared" si="156"/>
        <v>0</v>
      </c>
      <c r="F189" s="110">
        <f t="shared" si="156"/>
        <v>0</v>
      </c>
      <c r="G189" s="110">
        <f t="shared" si="156"/>
        <v>0</v>
      </c>
      <c r="H189" s="110">
        <f t="shared" si="156"/>
        <v>0</v>
      </c>
      <c r="I189" s="110">
        <f t="shared" si="156"/>
        <v>0</v>
      </c>
      <c r="J189" s="110">
        <f t="shared" si="156"/>
        <v>0</v>
      </c>
      <c r="K189" s="110">
        <f t="shared" si="156"/>
        <v>0</v>
      </c>
      <c r="L189" s="110">
        <f t="shared" si="156"/>
        <v>0</v>
      </c>
      <c r="M189" s="110">
        <f t="shared" si="156"/>
        <v>0</v>
      </c>
      <c r="N189" s="110">
        <f t="shared" si="156"/>
        <v>0</v>
      </c>
      <c r="O189" s="110">
        <f t="shared" si="156"/>
        <v>0</v>
      </c>
      <c r="P189" s="110">
        <f t="shared" si="156"/>
        <v>0</v>
      </c>
      <c r="Q189" s="110">
        <f t="shared" si="156"/>
        <v>0</v>
      </c>
      <c r="R189" s="110">
        <f t="shared" si="156"/>
        <v>0</v>
      </c>
      <c r="S189" s="110">
        <f t="shared" si="156"/>
        <v>0</v>
      </c>
      <c r="T189" s="110">
        <f t="shared" si="156"/>
        <v>0</v>
      </c>
      <c r="U189" s="110">
        <f t="shared" si="156"/>
        <v>0</v>
      </c>
      <c r="V189" s="110">
        <f t="shared" si="156"/>
        <v>0</v>
      </c>
      <c r="W189" s="110">
        <f t="shared" si="156"/>
        <v>0</v>
      </c>
      <c r="X189" s="110">
        <f t="shared" si="156"/>
        <v>0</v>
      </c>
      <c r="Y189" s="110">
        <f t="shared" si="156"/>
        <v>0</v>
      </c>
      <c r="Z189" s="110">
        <f t="shared" si="156"/>
        <v>0</v>
      </c>
      <c r="AA189" s="110">
        <f t="shared" si="156"/>
        <v>0</v>
      </c>
      <c r="AB189" s="110">
        <f t="shared" si="156"/>
        <v>0</v>
      </c>
      <c r="AC189" s="110">
        <f t="shared" si="156"/>
        <v>0</v>
      </c>
      <c r="AD189" s="110">
        <f t="shared" si="156"/>
        <v>0</v>
      </c>
      <c r="AE189" s="110">
        <f t="shared" si="156"/>
        <v>0</v>
      </c>
      <c r="AF189" s="110">
        <f t="shared" si="156"/>
        <v>0</v>
      </c>
      <c r="AG189" s="110">
        <f t="shared" si="156"/>
        <v>0</v>
      </c>
      <c r="AI189" s="134"/>
      <c r="AJ189" s="211"/>
      <c r="BC189" s="1"/>
      <c r="BD189" s="41"/>
      <c r="BF189" s="6"/>
      <c r="BG189" s="6"/>
      <c r="BH189" s="6"/>
      <c r="BI189" s="6"/>
      <c r="BJ189" s="6"/>
    </row>
    <row r="190" spans="1:63" outlineLevel="1">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I190" s="134"/>
      <c r="AJ190" s="211"/>
      <c r="BC190" s="1"/>
      <c r="BD190" s="41"/>
      <c r="BF190" s="6"/>
      <c r="BG190" s="6"/>
      <c r="BH190" s="6"/>
      <c r="BI190" s="6"/>
      <c r="BJ190" s="6"/>
    </row>
    <row r="191" spans="1:63" s="1" customFormat="1" outlineLevel="1">
      <c r="A191" s="1" t="s">
        <v>228</v>
      </c>
      <c r="B191" s="65"/>
      <c r="C191" s="300">
        <f>C185*C45</f>
        <v>2.1820102605973023E-2</v>
      </c>
      <c r="D191" s="300">
        <f t="shared" ref="D191:AG191" si="157">D185*D45</f>
        <v>1.5984602192508482E-2</v>
      </c>
      <c r="E191" s="300">
        <f t="shared" si="157"/>
        <v>1.9974177981031082E-2</v>
      </c>
      <c r="F191" s="300">
        <f t="shared" si="157"/>
        <v>2.4458751929724135E-2</v>
      </c>
      <c r="G191" s="300">
        <f t="shared" si="157"/>
        <v>2.9450932872501143E-2</v>
      </c>
      <c r="H191" s="300">
        <f t="shared" si="157"/>
        <v>3.4957824322250024E-2</v>
      </c>
      <c r="I191" s="300">
        <f t="shared" si="157"/>
        <v>4.1068889407903493E-2</v>
      </c>
      <c r="J191" s="300">
        <f t="shared" si="157"/>
        <v>4.7821487782914063E-2</v>
      </c>
      <c r="K191" s="300">
        <f t="shared" si="157"/>
        <v>5.5253615039224012E-2</v>
      </c>
      <c r="L191" s="300">
        <f t="shared" si="157"/>
        <v>6.3403809056730001E-2</v>
      </c>
      <c r="M191" s="300">
        <f t="shared" si="157"/>
        <v>7.2311049548884898E-2</v>
      </c>
      <c r="N191" s="300">
        <f t="shared" si="157"/>
        <v>8.4541381591810738E-2</v>
      </c>
      <c r="O191" s="300">
        <f t="shared" si="157"/>
        <v>9.7939240825034329E-2</v>
      </c>
      <c r="P191" s="300">
        <f t="shared" si="157"/>
        <v>0.11251226361389437</v>
      </c>
      <c r="Q191" s="300">
        <f t="shared" si="157"/>
        <v>0.12825676959494903</v>
      </c>
      <c r="R191" s="300">
        <f t="shared" si="157"/>
        <v>0.14515708364076571</v>
      </c>
      <c r="S191" s="300">
        <f t="shared" si="157"/>
        <v>0.16347899889674467</v>
      </c>
      <c r="T191" s="300">
        <f t="shared" si="157"/>
        <v>0.18328717687062965</v>
      </c>
      <c r="U191" s="300">
        <f t="shared" si="157"/>
        <v>0.20464739377421889</v>
      </c>
      <c r="V191" s="300">
        <f t="shared" si="157"/>
        <v>0.22762651145002946</v>
      </c>
      <c r="W191" s="300">
        <f t="shared" si="157"/>
        <v>0.25229244647506238</v>
      </c>
      <c r="X191" s="300">
        <f t="shared" si="157"/>
        <v>0.28571726505753053</v>
      </c>
      <c r="Y191" s="300">
        <f t="shared" si="157"/>
        <v>0.32183643308670784</v>
      </c>
      <c r="Z191" s="300">
        <f t="shared" si="157"/>
        <v>0.36076516841922457</v>
      </c>
      <c r="AA191" s="300">
        <f t="shared" si="157"/>
        <v>0.40262052434561946</v>
      </c>
      <c r="AB191" s="300">
        <f t="shared" si="157"/>
        <v>0.44752134143429301</v>
      </c>
      <c r="AC191" s="300">
        <f t="shared" si="157"/>
        <v>0.49559288203450869</v>
      </c>
      <c r="AD191" s="300">
        <f t="shared" si="157"/>
        <v>0.54695886935883808</v>
      </c>
      <c r="AE191" s="300">
        <f t="shared" si="157"/>
        <v>0.60174484942734452</v>
      </c>
      <c r="AF191" s="300">
        <f t="shared" si="157"/>
        <v>0.66007814427855505</v>
      </c>
      <c r="AG191" s="300">
        <f t="shared" si="157"/>
        <v>0.72208780268423733</v>
      </c>
      <c r="AH191" s="245"/>
      <c r="AI191" s="423"/>
      <c r="AJ191" s="424"/>
      <c r="AL191" s="221"/>
      <c r="AM191" s="124"/>
      <c r="AN191" s="124"/>
      <c r="AO191" s="124"/>
      <c r="BD191" s="124"/>
      <c r="BE191" s="124"/>
      <c r="BF191" s="124"/>
      <c r="BG191" s="124"/>
      <c r="BH191" s="124"/>
      <c r="BI191" s="124"/>
      <c r="BJ191" s="124"/>
      <c r="BK191" s="124"/>
    </row>
    <row r="192" spans="1:63" outlineLevel="1">
      <c r="A192" s="4" t="s">
        <v>474</v>
      </c>
      <c r="C192" s="230">
        <f>C$191*'Methanol recycling rates'!E60</f>
        <v>7.8930651746296609E-3</v>
      </c>
      <c r="D192" s="230">
        <f>D$191*'Methanol recycling rates'!F60</f>
        <v>5.782168359806915E-3</v>
      </c>
      <c r="E192" s="230">
        <f>E$191*'Methanol recycling rates'!G60</f>
        <v>7.2253321380245919E-3</v>
      </c>
      <c r="F192" s="230">
        <f>F$191*'Methanol recycling rates'!H60</f>
        <v>8.8475534032807415E-3</v>
      </c>
      <c r="G192" s="230">
        <f>G$191*'Methanol recycling rates'!I60</f>
        <v>1.0653393194982579E-2</v>
      </c>
      <c r="H192" s="230">
        <f>H$191*'Methanol recycling rates'!J60</f>
        <v>1.2645421092714843E-2</v>
      </c>
      <c r="I192" s="230">
        <f>I$191*'Methanol recycling rates'!K60</f>
        <v>1.4855998919890725E-2</v>
      </c>
      <c r="J192" s="230">
        <f>J$191*'Methanol recycling rates'!L60</f>
        <v>1.7298640920000604E-2</v>
      </c>
      <c r="K192" s="230">
        <f>K$191*'Methanol recycling rates'!M60</f>
        <v>1.9987091376880574E-2</v>
      </c>
      <c r="L192" s="230">
        <f>L$191*'Methanol recycling rates'!N60</f>
        <v>2.2935290738163222E-2</v>
      </c>
      <c r="M192" s="230">
        <f>M$191*'Methanol recycling rates'!O60</f>
        <v>2.615733927754239E-2</v>
      </c>
      <c r="N192" s="230">
        <f>N$191*'Methanol recycling rates'!P60</f>
        <v>3.0581461824782375E-2</v>
      </c>
      <c r="O192" s="230">
        <f>O$191*'Methanol recycling rates'!Q60</f>
        <v>3.542791823417614E-2</v>
      </c>
      <c r="P192" s="230">
        <f>P$191*'Methanol recycling rates'!R60</f>
        <v>4.0699470835965854E-2</v>
      </c>
      <c r="Q192" s="230">
        <f>Q$191*'Methanol recycling rates'!S60</f>
        <v>4.6394788318881483E-2</v>
      </c>
      <c r="R192" s="230">
        <f>R$191*'Methanol recycling rates'!T60</f>
        <v>5.2508200461995079E-2</v>
      </c>
      <c r="S192" s="230">
        <f>S$191*'Methanol recycling rates'!U60</f>
        <v>5.9135853587691023E-2</v>
      </c>
      <c r="T192" s="230">
        <f>T$191*'Methanol recycling rates'!V60</f>
        <v>6.6301137938633514E-2</v>
      </c>
      <c r="U192" s="230">
        <f>U$191*'Methanol recycling rates'!W60</f>
        <v>7.4027846983443613E-2</v>
      </c>
      <c r="V192" s="230">
        <f>V$191*'Methanol recycling rates'!X60</f>
        <v>8.2340166899895678E-2</v>
      </c>
      <c r="W192" s="230">
        <f>W$191*'Methanol recycling rates'!Y60</f>
        <v>9.1262665398709836E-2</v>
      </c>
      <c r="X192" s="230">
        <f>X$191*'Methanol recycling rates'!Z60</f>
        <v>0.103353546742658</v>
      </c>
      <c r="Y192" s="230">
        <f>Y$191*'Methanol recycling rates'!AA60</f>
        <v>0.11641906492356957</v>
      </c>
      <c r="Z192" s="230">
        <f>Z$191*'Methanol recycling rates'!AB60</f>
        <v>0.13050089811629487</v>
      </c>
      <c r="AA192" s="230">
        <f>AA$191*'Methanol recycling rates'!AC60</f>
        <v>0.14564138843387581</v>
      </c>
      <c r="AB192" s="230">
        <f>AB$191*'Methanol recycling rates'!AD60</f>
        <v>0.16188352450788357</v>
      </c>
      <c r="AC192" s="230">
        <f>AC$191*'Methanol recycling rates'!AE60</f>
        <v>0.17927261794406626</v>
      </c>
      <c r="AD192" s="230">
        <f>AD$191*'Methanol recycling rates'!AF60</f>
        <v>0.1978534235906515</v>
      </c>
      <c r="AE192" s="230">
        <f>AE$191*'Methanol recycling rates'!AG60</f>
        <v>0.21767135566665879</v>
      </c>
      <c r="AF192" s="230">
        <f>AF$191*'Methanol recycling rates'!AH60</f>
        <v>0.23877247083673392</v>
      </c>
      <c r="AG192" s="230">
        <f>AG$191*'Methanol recycling rates'!AI60</f>
        <v>0.26120345038302589</v>
      </c>
      <c r="AH192" s="245"/>
      <c r="AI192" s="133"/>
      <c r="AJ192" s="211"/>
      <c r="AL192" s="108"/>
      <c r="AM192" s="2"/>
      <c r="AN192" s="2"/>
      <c r="AO192" s="2"/>
      <c r="BC192" s="1"/>
      <c r="BD192" s="2"/>
      <c r="BE192" s="2"/>
      <c r="BF192" s="2"/>
      <c r="BG192" s="2"/>
      <c r="BH192" s="2"/>
      <c r="BI192" s="2"/>
      <c r="BJ192" s="2"/>
      <c r="BK192" s="2"/>
    </row>
    <row r="193" spans="1:63" outlineLevel="1">
      <c r="A193" s="4" t="s">
        <v>745</v>
      </c>
      <c r="C193" s="230">
        <f>C$191*'Methanol recycling rates'!E61</f>
        <v>0</v>
      </c>
      <c r="D193" s="230">
        <f>D$191*'Methanol recycling rates'!F61</f>
        <v>0</v>
      </c>
      <c r="E193" s="230">
        <f>E$191*'Methanol recycling rates'!G61</f>
        <v>0</v>
      </c>
      <c r="F193" s="230">
        <f>F$191*'Methanol recycling rates'!H61</f>
        <v>0</v>
      </c>
      <c r="G193" s="230">
        <f>G$191*'Methanol recycling rates'!I61</f>
        <v>0</v>
      </c>
      <c r="H193" s="230">
        <f>H$191*'Methanol recycling rates'!J61</f>
        <v>0</v>
      </c>
      <c r="I193" s="230">
        <f>I$191*'Methanol recycling rates'!K61</f>
        <v>0</v>
      </c>
      <c r="J193" s="230">
        <f>J$191*'Methanol recycling rates'!L61</f>
        <v>0</v>
      </c>
      <c r="K193" s="230">
        <f>K$191*'Methanol recycling rates'!M61</f>
        <v>0</v>
      </c>
      <c r="L193" s="230">
        <f>L$191*'Methanol recycling rates'!N61</f>
        <v>0</v>
      </c>
      <c r="M193" s="230">
        <f>M$191*'Methanol recycling rates'!O61</f>
        <v>0</v>
      </c>
      <c r="N193" s="230">
        <f>N$191*'Methanol recycling rates'!P61</f>
        <v>0</v>
      </c>
      <c r="O193" s="230">
        <f>O$191*'Methanol recycling rates'!Q61</f>
        <v>0</v>
      </c>
      <c r="P193" s="230">
        <f>P$191*'Methanol recycling rates'!R61</f>
        <v>0</v>
      </c>
      <c r="Q193" s="230">
        <f>Q$191*'Methanol recycling rates'!S61</f>
        <v>0</v>
      </c>
      <c r="R193" s="230">
        <f>R$191*'Methanol recycling rates'!T61</f>
        <v>0</v>
      </c>
      <c r="S193" s="230">
        <f>S$191*'Methanol recycling rates'!U61</f>
        <v>0</v>
      </c>
      <c r="T193" s="230">
        <f>T$191*'Methanol recycling rates'!V61</f>
        <v>0</v>
      </c>
      <c r="U193" s="230">
        <f>U$191*'Methanol recycling rates'!W61</f>
        <v>0</v>
      </c>
      <c r="V193" s="230">
        <f>V$191*'Methanol recycling rates'!X61</f>
        <v>0</v>
      </c>
      <c r="W193" s="230">
        <f>W$191*'Methanol recycling rates'!Y61</f>
        <v>0</v>
      </c>
      <c r="X193" s="230">
        <f>X$191*'Methanol recycling rates'!Z61</f>
        <v>0</v>
      </c>
      <c r="Y193" s="230">
        <f>Y$191*'Methanol recycling rates'!AA61</f>
        <v>0</v>
      </c>
      <c r="Z193" s="230">
        <f>Z$191*'Methanol recycling rates'!AB61</f>
        <v>0</v>
      </c>
      <c r="AA193" s="230">
        <f>AA$191*'Methanol recycling rates'!AC61</f>
        <v>0</v>
      </c>
      <c r="AB193" s="230">
        <f>AB$191*'Methanol recycling rates'!AD61</f>
        <v>0</v>
      </c>
      <c r="AC193" s="230">
        <f>AC$191*'Methanol recycling rates'!AE61</f>
        <v>0</v>
      </c>
      <c r="AD193" s="230">
        <f>AD$191*'Methanol recycling rates'!AF61</f>
        <v>0</v>
      </c>
      <c r="AE193" s="230">
        <f>AE$191*'Methanol recycling rates'!AG61</f>
        <v>0</v>
      </c>
      <c r="AF193" s="230">
        <f>AF$191*'Methanol recycling rates'!AH61</f>
        <v>0</v>
      </c>
      <c r="AG193" s="230">
        <f>AG$191*'Methanol recycling rates'!AI61</f>
        <v>0</v>
      </c>
      <c r="AH193" s="245"/>
      <c r="AI193" s="133"/>
      <c r="AJ193" s="211"/>
      <c r="AL193" s="108"/>
      <c r="AM193" s="2"/>
      <c r="AN193" s="2"/>
      <c r="AO193" s="2"/>
      <c r="BC193" s="1"/>
      <c r="BD193" s="2"/>
      <c r="BE193" s="2"/>
      <c r="BF193" s="2"/>
      <c r="BG193" s="2"/>
      <c r="BH193" s="2"/>
      <c r="BI193" s="2"/>
      <c r="BJ193" s="2"/>
      <c r="BK193" s="2"/>
    </row>
    <row r="194" spans="1:63" outlineLevel="1">
      <c r="A194" s="4" t="s">
        <v>1561</v>
      </c>
      <c r="C194" s="230">
        <f>C$191*'Methanol recycling rates'!E62</f>
        <v>1.3927037431343362E-2</v>
      </c>
      <c r="D194" s="230">
        <f>D$191*'Methanol recycling rates'!F62</f>
        <v>1.0202433832701568E-2</v>
      </c>
      <c r="E194" s="230">
        <f>E$191*'Methanol recycling rates'!G62</f>
        <v>1.2748845843006491E-2</v>
      </c>
      <c r="F194" s="230">
        <f>F$191*'Methanol recycling rates'!H62</f>
        <v>1.5611198526443394E-2</v>
      </c>
      <c r="G194" s="230">
        <f>G$191*'Methanol recycling rates'!I62</f>
        <v>1.8797539677518564E-2</v>
      </c>
      <c r="H194" s="230">
        <f>H$191*'Methanol recycling rates'!J62</f>
        <v>2.2312403229535181E-2</v>
      </c>
      <c r="I194" s="230">
        <f>I$191*'Methanol recycling rates'!K62</f>
        <v>2.6212890488012768E-2</v>
      </c>
      <c r="J194" s="230">
        <f>J$191*'Methanol recycling rates'!L62</f>
        <v>3.0522846862913459E-2</v>
      </c>
      <c r="K194" s="230">
        <f>K$191*'Methanol recycling rates'!M62</f>
        <v>3.5266523662343438E-2</v>
      </c>
      <c r="L194" s="230">
        <f>L$191*'Methanol recycling rates'!N62</f>
        <v>4.0468518318566779E-2</v>
      </c>
      <c r="M194" s="230">
        <f>M$191*'Methanol recycling rates'!O62</f>
        <v>4.6153710271342505E-2</v>
      </c>
      <c r="N194" s="230">
        <f>N$191*'Methanol recycling rates'!P62</f>
        <v>5.395991976702836E-2</v>
      </c>
      <c r="O194" s="230">
        <f>O$191*'Methanol recycling rates'!Q62</f>
        <v>6.251132259085819E-2</v>
      </c>
      <c r="P194" s="230">
        <f>P$191*'Methanol recycling rates'!R62</f>
        <v>7.1812792777928514E-2</v>
      </c>
      <c r="Q194" s="230">
        <f>Q$191*'Methanol recycling rates'!S62</f>
        <v>8.1861981276067544E-2</v>
      </c>
      <c r="R194" s="230">
        <f>R$191*'Methanol recycling rates'!T62</f>
        <v>9.2648883178770625E-2</v>
      </c>
      <c r="S194" s="230">
        <f>S$191*'Methanol recycling rates'!U62</f>
        <v>0.10434314530905364</v>
      </c>
      <c r="T194" s="230">
        <f>T$191*'Methanol recycling rates'!V62</f>
        <v>0.11698603893199613</v>
      </c>
      <c r="U194" s="230">
        <f>U$191*'Methanol recycling rates'!W62</f>
        <v>0.13061954679077528</v>
      </c>
      <c r="V194" s="230">
        <f>V$191*'Methanol recycling rates'!X62</f>
        <v>0.14528634455013378</v>
      </c>
      <c r="W194" s="230">
        <f>W$191*'Methanol recycling rates'!Y62</f>
        <v>0.16102978107635255</v>
      </c>
      <c r="X194" s="230">
        <f>X$191*'Methanol recycling rates'!Z62</f>
        <v>0.18236371831487252</v>
      </c>
      <c r="Y194" s="230">
        <f>Y$191*'Methanol recycling rates'!AA62</f>
        <v>0.20541736816313827</v>
      </c>
      <c r="Z194" s="230">
        <f>Z$191*'Methanol recycling rates'!AB62</f>
        <v>0.2302642703029297</v>
      </c>
      <c r="AA194" s="230">
        <f>AA$191*'Methanol recycling rates'!AC62</f>
        <v>0.25697913591174365</v>
      </c>
      <c r="AB194" s="230">
        <f>AB$191*'Methanol recycling rates'!AD62</f>
        <v>0.28563781692640944</v>
      </c>
      <c r="AC194" s="230">
        <f>AC$191*'Methanol recycling rates'!AE62</f>
        <v>0.31632026409044245</v>
      </c>
      <c r="AD194" s="230">
        <f>AD$191*'Methanol recycling rates'!AF62</f>
        <v>0.34910544576818658</v>
      </c>
      <c r="AE194" s="230">
        <f>AE$191*'Methanol recycling rates'!AG62</f>
        <v>0.38407349376068572</v>
      </c>
      <c r="AF194" s="230">
        <f>AF$191*'Methanol recycling rates'!AH62</f>
        <v>0.42130567344182113</v>
      </c>
      <c r="AG194" s="230">
        <f>AG$191*'Methanol recycling rates'!AI62</f>
        <v>0.46088435230121144</v>
      </c>
      <c r="AH194" s="245"/>
      <c r="AI194" s="133"/>
      <c r="AJ194" s="211"/>
      <c r="AL194" s="108"/>
      <c r="AM194" s="2"/>
      <c r="AN194" s="2"/>
      <c r="AO194" s="2"/>
      <c r="BC194" s="1"/>
      <c r="BD194" s="2"/>
      <c r="BE194" s="2"/>
      <c r="BF194" s="2"/>
      <c r="BG194" s="2"/>
      <c r="BH194" s="2"/>
      <c r="BI194" s="2"/>
      <c r="BJ194" s="2"/>
      <c r="BK194" s="2"/>
    </row>
    <row r="195" spans="1:63" s="1" customFormat="1" outlineLevel="1">
      <c r="A195" s="1" t="s">
        <v>1562</v>
      </c>
      <c r="B195" s="65"/>
      <c r="C195" s="300">
        <f>C191-$C191</f>
        <v>0</v>
      </c>
      <c r="D195" s="300">
        <f t="shared" ref="D195:AG195" si="158">D191-$C191</f>
        <v>-5.8355004134645408E-3</v>
      </c>
      <c r="E195" s="300">
        <f t="shared" si="158"/>
        <v>-1.8459246249419407E-3</v>
      </c>
      <c r="F195" s="300">
        <f t="shared" si="158"/>
        <v>2.6386493237511126E-3</v>
      </c>
      <c r="G195" s="300">
        <f t="shared" si="158"/>
        <v>7.6308302665281207E-3</v>
      </c>
      <c r="H195" s="300">
        <f t="shared" si="158"/>
        <v>1.3137721716277001E-2</v>
      </c>
      <c r="I195" s="300">
        <f t="shared" si="158"/>
        <v>1.924878680193047E-2</v>
      </c>
      <c r="J195" s="300">
        <f t="shared" si="158"/>
        <v>2.600138517694104E-2</v>
      </c>
      <c r="K195" s="300">
        <f t="shared" si="158"/>
        <v>3.3433512433250989E-2</v>
      </c>
      <c r="L195" s="300">
        <f t="shared" si="158"/>
        <v>4.1583706450756978E-2</v>
      </c>
      <c r="M195" s="300">
        <f t="shared" si="158"/>
        <v>5.0490946942911875E-2</v>
      </c>
      <c r="N195" s="300">
        <f t="shared" si="158"/>
        <v>6.2721278985837708E-2</v>
      </c>
      <c r="O195" s="300">
        <f t="shared" si="158"/>
        <v>7.61191382190613E-2</v>
      </c>
      <c r="P195" s="300">
        <f t="shared" si="158"/>
        <v>9.0692161007921351E-2</v>
      </c>
      <c r="Q195" s="300">
        <f t="shared" si="158"/>
        <v>0.106436666988976</v>
      </c>
      <c r="R195" s="300">
        <f t="shared" si="158"/>
        <v>0.12333698103479268</v>
      </c>
      <c r="S195" s="300">
        <f t="shared" si="158"/>
        <v>0.14165889629077164</v>
      </c>
      <c r="T195" s="300">
        <f t="shared" si="158"/>
        <v>0.16146707426465662</v>
      </c>
      <c r="U195" s="300">
        <f t="shared" si="158"/>
        <v>0.18282729116824586</v>
      </c>
      <c r="V195" s="300">
        <f t="shared" si="158"/>
        <v>0.20580640884405643</v>
      </c>
      <c r="W195" s="300">
        <f t="shared" si="158"/>
        <v>0.23047234386908935</v>
      </c>
      <c r="X195" s="300">
        <f t="shared" si="158"/>
        <v>0.26389716245155753</v>
      </c>
      <c r="Y195" s="300">
        <f t="shared" si="158"/>
        <v>0.30001633048073484</v>
      </c>
      <c r="Z195" s="300">
        <f t="shared" si="158"/>
        <v>0.33894506581325157</v>
      </c>
      <c r="AA195" s="300">
        <f t="shared" si="158"/>
        <v>0.38080042173964646</v>
      </c>
      <c r="AB195" s="300">
        <f t="shared" si="158"/>
        <v>0.42570123882832001</v>
      </c>
      <c r="AC195" s="300">
        <f t="shared" si="158"/>
        <v>0.47377277942853568</v>
      </c>
      <c r="AD195" s="300">
        <f t="shared" si="158"/>
        <v>0.52513876675286508</v>
      </c>
      <c r="AE195" s="300">
        <f t="shared" si="158"/>
        <v>0.57992474682137152</v>
      </c>
      <c r="AF195" s="300">
        <f t="shared" si="158"/>
        <v>0.63825804167258204</v>
      </c>
      <c r="AG195" s="300">
        <f t="shared" si="158"/>
        <v>0.70026770007826433</v>
      </c>
      <c r="AH195" s="245"/>
      <c r="AI195" s="423"/>
      <c r="AJ195" s="424"/>
      <c r="AL195" s="221"/>
      <c r="AM195" s="124"/>
      <c r="AN195" s="124"/>
      <c r="AO195" s="124"/>
      <c r="BD195" s="124"/>
      <c r="BE195" s="124"/>
      <c r="BF195" s="124"/>
      <c r="BG195" s="124"/>
      <c r="BH195" s="124"/>
      <c r="BI195" s="124"/>
      <c r="BJ195" s="124"/>
      <c r="BK195" s="124"/>
    </row>
    <row r="196" spans="1:63" outlineLevel="1">
      <c r="A196" s="4" t="s">
        <v>474</v>
      </c>
      <c r="C196" s="230">
        <f>C192-$C192</f>
        <v>0</v>
      </c>
      <c r="D196" s="230">
        <f t="shared" ref="D196:AF196" si="159">D192-$C192</f>
        <v>-2.1108968148227459E-3</v>
      </c>
      <c r="E196" s="230">
        <f t="shared" si="159"/>
        <v>-6.6773303660506902E-4</v>
      </c>
      <c r="F196" s="230">
        <f t="shared" si="159"/>
        <v>9.5448822865108057E-4</v>
      </c>
      <c r="G196" s="230">
        <f t="shared" si="159"/>
        <v>2.7603280203529184E-3</v>
      </c>
      <c r="H196" s="230">
        <f t="shared" si="159"/>
        <v>4.7523559180851823E-3</v>
      </c>
      <c r="I196" s="230">
        <f t="shared" si="159"/>
        <v>6.9629337452610639E-3</v>
      </c>
      <c r="J196" s="230">
        <f t="shared" si="159"/>
        <v>9.4055757453709431E-3</v>
      </c>
      <c r="K196" s="230">
        <f t="shared" si="159"/>
        <v>1.2094026202250913E-2</v>
      </c>
      <c r="L196" s="230">
        <f t="shared" si="159"/>
        <v>1.5042225563533561E-2</v>
      </c>
      <c r="M196" s="230">
        <f t="shared" si="159"/>
        <v>1.8264274102912731E-2</v>
      </c>
      <c r="N196" s="230">
        <f t="shared" si="159"/>
        <v>2.2688396650152716E-2</v>
      </c>
      <c r="O196" s="230">
        <f t="shared" si="159"/>
        <v>2.7534853059546477E-2</v>
      </c>
      <c r="P196" s="230">
        <f t="shared" si="159"/>
        <v>3.2806405661336191E-2</v>
      </c>
      <c r="Q196" s="230">
        <f t="shared" si="159"/>
        <v>3.850172314425182E-2</v>
      </c>
      <c r="R196" s="230">
        <f t="shared" si="159"/>
        <v>4.4615135287365416E-2</v>
      </c>
      <c r="S196" s="230">
        <f t="shared" si="159"/>
        <v>5.124278841306136E-2</v>
      </c>
      <c r="T196" s="230">
        <f t="shared" si="159"/>
        <v>5.8408072764003852E-2</v>
      </c>
      <c r="U196" s="230">
        <f t="shared" si="159"/>
        <v>6.613478180881395E-2</v>
      </c>
      <c r="V196" s="230">
        <f t="shared" si="159"/>
        <v>7.4447101725266016E-2</v>
      </c>
      <c r="W196" s="230">
        <f t="shared" si="159"/>
        <v>8.3369600224080173E-2</v>
      </c>
      <c r="X196" s="230">
        <f t="shared" si="159"/>
        <v>9.5460481568028333E-2</v>
      </c>
      <c r="Y196" s="230">
        <f t="shared" si="159"/>
        <v>0.10852599974893991</v>
      </c>
      <c r="Z196" s="230">
        <f t="shared" si="159"/>
        <v>0.1226078329416652</v>
      </c>
      <c r="AA196" s="230">
        <f t="shared" si="159"/>
        <v>0.13774832325924616</v>
      </c>
      <c r="AB196" s="230">
        <f t="shared" si="159"/>
        <v>0.15399045933325392</v>
      </c>
      <c r="AC196" s="230">
        <f t="shared" si="159"/>
        <v>0.17137955276943662</v>
      </c>
      <c r="AD196" s="230">
        <f t="shared" si="159"/>
        <v>0.18996035841602185</v>
      </c>
      <c r="AE196" s="230">
        <f t="shared" si="159"/>
        <v>0.20977829049202915</v>
      </c>
      <c r="AF196" s="230">
        <f t="shared" si="159"/>
        <v>0.23087940566210427</v>
      </c>
      <c r="AG196" s="230">
        <f>AG192-$C192</f>
        <v>0.25331038520839622</v>
      </c>
      <c r="AH196" s="245"/>
      <c r="AI196" s="133"/>
      <c r="AJ196" s="211"/>
      <c r="AL196" s="108"/>
      <c r="AM196" s="2"/>
      <c r="AN196" s="2"/>
      <c r="AO196" s="2"/>
      <c r="BC196" s="1"/>
      <c r="BD196" s="2"/>
      <c r="BE196" s="2"/>
      <c r="BF196" s="2"/>
      <c r="BG196" s="2"/>
      <c r="BH196" s="2"/>
      <c r="BI196" s="2"/>
      <c r="BJ196" s="2"/>
      <c r="BK196" s="2"/>
    </row>
    <row r="197" spans="1:63" outlineLevel="1">
      <c r="A197" s="4" t="s">
        <v>745</v>
      </c>
      <c r="C197" s="230">
        <f t="shared" ref="C197:AG197" si="160">C193-$C193</f>
        <v>0</v>
      </c>
      <c r="D197" s="230">
        <f t="shared" si="160"/>
        <v>0</v>
      </c>
      <c r="E197" s="230">
        <f t="shared" si="160"/>
        <v>0</v>
      </c>
      <c r="F197" s="230">
        <f t="shared" si="160"/>
        <v>0</v>
      </c>
      <c r="G197" s="230">
        <f t="shared" si="160"/>
        <v>0</v>
      </c>
      <c r="H197" s="230">
        <f t="shared" si="160"/>
        <v>0</v>
      </c>
      <c r="I197" s="230">
        <f t="shared" si="160"/>
        <v>0</v>
      </c>
      <c r="J197" s="230">
        <f t="shared" si="160"/>
        <v>0</v>
      </c>
      <c r="K197" s="230">
        <f t="shared" si="160"/>
        <v>0</v>
      </c>
      <c r="L197" s="230">
        <f t="shared" si="160"/>
        <v>0</v>
      </c>
      <c r="M197" s="230">
        <f t="shared" si="160"/>
        <v>0</v>
      </c>
      <c r="N197" s="230">
        <f t="shared" si="160"/>
        <v>0</v>
      </c>
      <c r="O197" s="230">
        <f t="shared" si="160"/>
        <v>0</v>
      </c>
      <c r="P197" s="230">
        <f t="shared" si="160"/>
        <v>0</v>
      </c>
      <c r="Q197" s="230">
        <f t="shared" si="160"/>
        <v>0</v>
      </c>
      <c r="R197" s="230">
        <f t="shared" si="160"/>
        <v>0</v>
      </c>
      <c r="S197" s="230">
        <f t="shared" si="160"/>
        <v>0</v>
      </c>
      <c r="T197" s="230">
        <f t="shared" si="160"/>
        <v>0</v>
      </c>
      <c r="U197" s="230">
        <f t="shared" si="160"/>
        <v>0</v>
      </c>
      <c r="V197" s="230">
        <f t="shared" si="160"/>
        <v>0</v>
      </c>
      <c r="W197" s="230">
        <f t="shared" si="160"/>
        <v>0</v>
      </c>
      <c r="X197" s="230">
        <f t="shared" si="160"/>
        <v>0</v>
      </c>
      <c r="Y197" s="230">
        <f t="shared" si="160"/>
        <v>0</v>
      </c>
      <c r="Z197" s="230">
        <f t="shared" si="160"/>
        <v>0</v>
      </c>
      <c r="AA197" s="230">
        <f t="shared" si="160"/>
        <v>0</v>
      </c>
      <c r="AB197" s="230">
        <f t="shared" si="160"/>
        <v>0</v>
      </c>
      <c r="AC197" s="230">
        <f t="shared" si="160"/>
        <v>0</v>
      </c>
      <c r="AD197" s="230">
        <f t="shared" si="160"/>
        <v>0</v>
      </c>
      <c r="AE197" s="230">
        <f t="shared" si="160"/>
        <v>0</v>
      </c>
      <c r="AF197" s="230">
        <f t="shared" si="160"/>
        <v>0</v>
      </c>
      <c r="AG197" s="230">
        <f t="shared" si="160"/>
        <v>0</v>
      </c>
      <c r="AH197" s="245"/>
      <c r="AI197" s="133"/>
      <c r="AJ197" s="211"/>
      <c r="AL197" s="108"/>
      <c r="AM197" s="2"/>
      <c r="AN197" s="2"/>
      <c r="AO197" s="2"/>
      <c r="BC197" s="1"/>
      <c r="BD197" s="2"/>
      <c r="BE197" s="2"/>
      <c r="BF197" s="2"/>
      <c r="BG197" s="2"/>
      <c r="BH197" s="2"/>
      <c r="BI197" s="2"/>
      <c r="BJ197" s="2"/>
      <c r="BK197" s="2"/>
    </row>
    <row r="198" spans="1:63" outlineLevel="1">
      <c r="A198" s="4" t="s">
        <v>1561</v>
      </c>
      <c r="C198" s="230">
        <f t="shared" ref="C198:AG198" si="161">C194-$C194</f>
        <v>0</v>
      </c>
      <c r="D198" s="230">
        <f t="shared" si="161"/>
        <v>-3.7246035986417941E-3</v>
      </c>
      <c r="E198" s="230">
        <f t="shared" si="161"/>
        <v>-1.1781915883368708E-3</v>
      </c>
      <c r="F198" s="230">
        <f t="shared" si="161"/>
        <v>1.684161095100032E-3</v>
      </c>
      <c r="G198" s="230">
        <f t="shared" si="161"/>
        <v>4.8705022461752023E-3</v>
      </c>
      <c r="H198" s="230">
        <f t="shared" si="161"/>
        <v>8.3853657981918187E-3</v>
      </c>
      <c r="I198" s="230">
        <f t="shared" si="161"/>
        <v>1.2285853056669406E-2</v>
      </c>
      <c r="J198" s="230">
        <f t="shared" si="161"/>
        <v>1.6595809431570095E-2</v>
      </c>
      <c r="K198" s="230">
        <f t="shared" si="161"/>
        <v>2.1339486231000078E-2</v>
      </c>
      <c r="L198" s="230">
        <f t="shared" si="161"/>
        <v>2.6541480887223419E-2</v>
      </c>
      <c r="M198" s="230">
        <f t="shared" si="161"/>
        <v>3.2226672839999145E-2</v>
      </c>
      <c r="N198" s="230">
        <f t="shared" si="161"/>
        <v>4.0032882335684999E-2</v>
      </c>
      <c r="O198" s="230">
        <f t="shared" si="161"/>
        <v>4.858428515951483E-2</v>
      </c>
      <c r="P198" s="230">
        <f t="shared" si="161"/>
        <v>5.7885755346585153E-2</v>
      </c>
      <c r="Q198" s="230">
        <f t="shared" si="161"/>
        <v>6.7934943844724177E-2</v>
      </c>
      <c r="R198" s="230">
        <f t="shared" si="161"/>
        <v>7.8721845747427258E-2</v>
      </c>
      <c r="S198" s="230">
        <f t="shared" si="161"/>
        <v>9.0416107877710275E-2</v>
      </c>
      <c r="T198" s="230">
        <f t="shared" si="161"/>
        <v>0.10305900150065277</v>
      </c>
      <c r="U198" s="230">
        <f t="shared" si="161"/>
        <v>0.11669250935943191</v>
      </c>
      <c r="V198" s="230">
        <f t="shared" si="161"/>
        <v>0.13135930711879043</v>
      </c>
      <c r="W198" s="230">
        <f t="shared" si="161"/>
        <v>0.14710274364500919</v>
      </c>
      <c r="X198" s="230">
        <f t="shared" si="161"/>
        <v>0.16843668088352917</v>
      </c>
      <c r="Y198" s="230">
        <f t="shared" si="161"/>
        <v>0.19149033073179492</v>
      </c>
      <c r="Z198" s="230">
        <f t="shared" si="161"/>
        <v>0.21633723287158635</v>
      </c>
      <c r="AA198" s="230">
        <f t="shared" si="161"/>
        <v>0.2430520984804003</v>
      </c>
      <c r="AB198" s="230">
        <f t="shared" si="161"/>
        <v>0.27171077949506606</v>
      </c>
      <c r="AC198" s="230">
        <f t="shared" si="161"/>
        <v>0.30239322665909907</v>
      </c>
      <c r="AD198" s="230">
        <f t="shared" si="161"/>
        <v>0.3351784083368432</v>
      </c>
      <c r="AE198" s="230">
        <f t="shared" si="161"/>
        <v>0.37014645632934234</v>
      </c>
      <c r="AF198" s="230">
        <f t="shared" si="161"/>
        <v>0.40737863601047775</v>
      </c>
      <c r="AG198" s="230">
        <f t="shared" si="161"/>
        <v>0.44695731486986806</v>
      </c>
      <c r="AH198" s="245"/>
      <c r="AI198" s="133"/>
      <c r="AJ198" s="211"/>
      <c r="AL198" s="108"/>
      <c r="AM198" s="2"/>
      <c r="AN198" s="2"/>
      <c r="AO198" s="2"/>
      <c r="BC198" s="1"/>
      <c r="BD198" s="2"/>
      <c r="BE198" s="2"/>
      <c r="BF198" s="2"/>
      <c r="BG198" s="2"/>
      <c r="BH198" s="2"/>
      <c r="BI198" s="2"/>
      <c r="BJ198" s="2"/>
      <c r="BK198" s="2"/>
    </row>
    <row r="199" spans="1:63" s="1" customFormat="1" outlineLevel="1">
      <c r="A199" s="1" t="s">
        <v>1569</v>
      </c>
      <c r="B199" s="65"/>
      <c r="C199" s="300">
        <f>C185*C45</f>
        <v>2.1820102605973023E-2</v>
      </c>
      <c r="D199" s="300">
        <f t="shared" ref="D199:AG199" si="162">D185*D45</f>
        <v>1.5984602192508482E-2</v>
      </c>
      <c r="E199" s="300">
        <f t="shared" si="162"/>
        <v>1.9974177981031082E-2</v>
      </c>
      <c r="F199" s="300">
        <f t="shared" si="162"/>
        <v>2.4458751929724135E-2</v>
      </c>
      <c r="G199" s="300">
        <f t="shared" si="162"/>
        <v>2.9450932872501143E-2</v>
      </c>
      <c r="H199" s="300">
        <f t="shared" si="162"/>
        <v>3.4957824322250024E-2</v>
      </c>
      <c r="I199" s="300">
        <f t="shared" si="162"/>
        <v>4.1068889407903493E-2</v>
      </c>
      <c r="J199" s="300">
        <f t="shared" si="162"/>
        <v>4.7821487782914063E-2</v>
      </c>
      <c r="K199" s="300">
        <f t="shared" si="162"/>
        <v>5.5253615039224012E-2</v>
      </c>
      <c r="L199" s="300">
        <f t="shared" si="162"/>
        <v>6.3403809056730001E-2</v>
      </c>
      <c r="M199" s="300">
        <f t="shared" si="162"/>
        <v>7.2311049548884898E-2</v>
      </c>
      <c r="N199" s="300">
        <f t="shared" si="162"/>
        <v>8.4541381591810738E-2</v>
      </c>
      <c r="O199" s="300">
        <f t="shared" si="162"/>
        <v>9.7939240825034329E-2</v>
      </c>
      <c r="P199" s="300">
        <f t="shared" si="162"/>
        <v>0.11251226361389437</v>
      </c>
      <c r="Q199" s="300">
        <f t="shared" si="162"/>
        <v>0.12825676959494903</v>
      </c>
      <c r="R199" s="300">
        <f t="shared" si="162"/>
        <v>0.14515708364076571</v>
      </c>
      <c r="S199" s="300">
        <f t="shared" si="162"/>
        <v>0.16347899889674467</v>
      </c>
      <c r="T199" s="300">
        <f t="shared" si="162"/>
        <v>0.18328717687062965</v>
      </c>
      <c r="U199" s="300">
        <f t="shared" si="162"/>
        <v>0.20464739377421889</v>
      </c>
      <c r="V199" s="300">
        <f t="shared" si="162"/>
        <v>0.22762651145002946</v>
      </c>
      <c r="W199" s="300">
        <f t="shared" si="162"/>
        <v>0.25229244647506238</v>
      </c>
      <c r="X199" s="300">
        <f t="shared" si="162"/>
        <v>0.28571726505753053</v>
      </c>
      <c r="Y199" s="300">
        <f t="shared" si="162"/>
        <v>0.32183643308670784</v>
      </c>
      <c r="Z199" s="300">
        <f t="shared" si="162"/>
        <v>0.36076516841922457</v>
      </c>
      <c r="AA199" s="300">
        <f t="shared" si="162"/>
        <v>0.40262052434561946</v>
      </c>
      <c r="AB199" s="300">
        <f t="shared" si="162"/>
        <v>0.44752134143429301</v>
      </c>
      <c r="AC199" s="300">
        <f t="shared" si="162"/>
        <v>0.49559288203450869</v>
      </c>
      <c r="AD199" s="300">
        <f t="shared" si="162"/>
        <v>0.54695886935883808</v>
      </c>
      <c r="AE199" s="300">
        <f t="shared" si="162"/>
        <v>0.60174484942734452</v>
      </c>
      <c r="AF199" s="300">
        <f t="shared" si="162"/>
        <v>0.66007814427855505</v>
      </c>
      <c r="AG199" s="300">
        <f t="shared" si="162"/>
        <v>0.72208780268423733</v>
      </c>
      <c r="AH199" s="245"/>
      <c r="AI199" s="423"/>
      <c r="AJ199" s="424"/>
      <c r="AL199" s="221"/>
      <c r="AM199" s="124"/>
      <c r="AN199" s="124"/>
      <c r="AO199" s="124"/>
      <c r="BD199" s="124"/>
      <c r="BE199" s="124"/>
      <c r="BF199" s="124"/>
      <c r="BG199" s="124"/>
      <c r="BH199" s="124"/>
      <c r="BI199" s="124"/>
      <c r="BJ199" s="124"/>
      <c r="BK199" s="124"/>
    </row>
    <row r="200" spans="1:63" outlineLevel="1">
      <c r="A200" s="4" t="s">
        <v>474</v>
      </c>
      <c r="C200" s="230">
        <f>C$199*'Methanol recycling rates'!E63</f>
        <v>7.8930651746296609E-3</v>
      </c>
      <c r="D200" s="230">
        <f>D$199*'Methanol recycling rates'!F63</f>
        <v>5.782168359806915E-3</v>
      </c>
      <c r="E200" s="230">
        <f>E$199*'Methanol recycling rates'!G63</f>
        <v>7.2253321380245919E-3</v>
      </c>
      <c r="F200" s="230">
        <f>F$199*'Methanol recycling rates'!H63</f>
        <v>8.8475534032807415E-3</v>
      </c>
      <c r="G200" s="230">
        <f>G$199*'Methanol recycling rates'!I63</f>
        <v>1.0653393194982579E-2</v>
      </c>
      <c r="H200" s="230">
        <f>H$199*'Methanol recycling rates'!J63</f>
        <v>1.2645421092714843E-2</v>
      </c>
      <c r="I200" s="230">
        <f>I$199*'Methanol recycling rates'!K63</f>
        <v>1.4855998919890725E-2</v>
      </c>
      <c r="J200" s="230">
        <f>J$199*'Methanol recycling rates'!L63</f>
        <v>1.7298640920000604E-2</v>
      </c>
      <c r="K200" s="230">
        <f>K$199*'Methanol recycling rates'!M63</f>
        <v>1.9987091376880574E-2</v>
      </c>
      <c r="L200" s="230">
        <f>L$199*'Methanol recycling rates'!N63</f>
        <v>2.2935290738163222E-2</v>
      </c>
      <c r="M200" s="230">
        <f>M$199*'Methanol recycling rates'!O63</f>
        <v>2.615733927754239E-2</v>
      </c>
      <c r="N200" s="230">
        <f>N$199*'Methanol recycling rates'!P63</f>
        <v>3.0581461824782375E-2</v>
      </c>
      <c r="O200" s="230">
        <f>O$199*'Methanol recycling rates'!Q63</f>
        <v>3.542791823417614E-2</v>
      </c>
      <c r="P200" s="230">
        <f>P$199*'Methanol recycling rates'!R63</f>
        <v>4.0699470835965854E-2</v>
      </c>
      <c r="Q200" s="230">
        <f>Q$199*'Methanol recycling rates'!S63</f>
        <v>4.6394788318881483E-2</v>
      </c>
      <c r="R200" s="230">
        <f>R$199*'Methanol recycling rates'!T63</f>
        <v>5.2508200461995079E-2</v>
      </c>
      <c r="S200" s="230">
        <f>S$199*'Methanol recycling rates'!U63</f>
        <v>5.9135853587691023E-2</v>
      </c>
      <c r="T200" s="230">
        <f>T$199*'Methanol recycling rates'!V63</f>
        <v>6.6301137938633514E-2</v>
      </c>
      <c r="U200" s="230">
        <f>U$199*'Methanol recycling rates'!W63</f>
        <v>7.4027846983443613E-2</v>
      </c>
      <c r="V200" s="230">
        <f>V$199*'Methanol recycling rates'!X63</f>
        <v>8.2340166899895678E-2</v>
      </c>
      <c r="W200" s="230">
        <f>W$199*'Methanol recycling rates'!Y63</f>
        <v>9.1262665398709836E-2</v>
      </c>
      <c r="X200" s="230">
        <f>X$199*'Methanol recycling rates'!Z63</f>
        <v>0.103353546742658</v>
      </c>
      <c r="Y200" s="230">
        <f>Y$199*'Methanol recycling rates'!AA63</f>
        <v>0.11641906492356957</v>
      </c>
      <c r="Z200" s="230">
        <f>Z$199*'Methanol recycling rates'!AB63</f>
        <v>0.13050089811629487</v>
      </c>
      <c r="AA200" s="230">
        <f>AA$199*'Methanol recycling rates'!AC63</f>
        <v>0.14564138843387581</v>
      </c>
      <c r="AB200" s="230">
        <f>AB$199*'Methanol recycling rates'!AD63</f>
        <v>0.16188352450788357</v>
      </c>
      <c r="AC200" s="230">
        <f>AC$199*'Methanol recycling rates'!AE63</f>
        <v>0.17927261794406626</v>
      </c>
      <c r="AD200" s="230">
        <f>AD$199*'Methanol recycling rates'!AF63</f>
        <v>0.1978534235906515</v>
      </c>
      <c r="AE200" s="230">
        <f>AE$199*'Methanol recycling rates'!AG63</f>
        <v>0.21767135566665879</v>
      </c>
      <c r="AF200" s="230">
        <f>AF$199*'Methanol recycling rates'!AH63</f>
        <v>0.23877247083673392</v>
      </c>
      <c r="AG200" s="230">
        <f>AG$199*'Methanol recycling rates'!AI63</f>
        <v>0.26120345038302589</v>
      </c>
      <c r="AH200" s="245"/>
      <c r="AI200" s="133"/>
      <c r="AJ200" s="211"/>
      <c r="AL200" s="108"/>
      <c r="AM200" s="2"/>
      <c r="AN200" s="2"/>
      <c r="AO200" s="2"/>
      <c r="BC200" s="1"/>
      <c r="BD200" s="2"/>
      <c r="BE200" s="2"/>
      <c r="BF200" s="2"/>
      <c r="BG200" s="2"/>
      <c r="BH200" s="2"/>
      <c r="BI200" s="2"/>
      <c r="BJ200" s="2"/>
      <c r="BK200" s="2"/>
    </row>
    <row r="201" spans="1:63" outlineLevel="1">
      <c r="A201" s="4" t="s">
        <v>745</v>
      </c>
      <c r="C201" s="230">
        <f>C$199*'Methanol recycling rates'!E64</f>
        <v>0</v>
      </c>
      <c r="D201" s="230">
        <f>D$199*'Methanol recycling rates'!F64</f>
        <v>0</v>
      </c>
      <c r="E201" s="230">
        <f>E$199*'Methanol recycling rates'!G64</f>
        <v>0</v>
      </c>
      <c r="F201" s="230">
        <f>F$199*'Methanol recycling rates'!H64</f>
        <v>0</v>
      </c>
      <c r="G201" s="230">
        <f>G$199*'Methanol recycling rates'!I64</f>
        <v>0</v>
      </c>
      <c r="H201" s="230">
        <f>H$199*'Methanol recycling rates'!J64</f>
        <v>0</v>
      </c>
      <c r="I201" s="230">
        <f>I$199*'Methanol recycling rates'!K64</f>
        <v>0</v>
      </c>
      <c r="J201" s="230">
        <f>J$199*'Methanol recycling rates'!L64</f>
        <v>0</v>
      </c>
      <c r="K201" s="230">
        <f>K$199*'Methanol recycling rates'!M64</f>
        <v>0</v>
      </c>
      <c r="L201" s="230">
        <f>L$199*'Methanol recycling rates'!N64</f>
        <v>0</v>
      </c>
      <c r="M201" s="230">
        <f>M$199*'Methanol recycling rates'!O64</f>
        <v>0</v>
      </c>
      <c r="N201" s="230">
        <f>N$199*'Methanol recycling rates'!P64</f>
        <v>0</v>
      </c>
      <c r="O201" s="230">
        <f>O$199*'Methanol recycling rates'!Q64</f>
        <v>0</v>
      </c>
      <c r="P201" s="230">
        <f>P$199*'Methanol recycling rates'!R64</f>
        <v>0</v>
      </c>
      <c r="Q201" s="230">
        <f>Q$199*'Methanol recycling rates'!S64</f>
        <v>0</v>
      </c>
      <c r="R201" s="230">
        <f>R$199*'Methanol recycling rates'!T64</f>
        <v>0</v>
      </c>
      <c r="S201" s="230">
        <f>S$199*'Methanol recycling rates'!U64</f>
        <v>0</v>
      </c>
      <c r="T201" s="230">
        <f>T$199*'Methanol recycling rates'!V64</f>
        <v>0</v>
      </c>
      <c r="U201" s="230">
        <f>U$199*'Methanol recycling rates'!W64</f>
        <v>0</v>
      </c>
      <c r="V201" s="230">
        <f>V$199*'Methanol recycling rates'!X64</f>
        <v>0</v>
      </c>
      <c r="W201" s="230">
        <f>W$199*'Methanol recycling rates'!Y64</f>
        <v>0</v>
      </c>
      <c r="X201" s="230">
        <f>X$199*'Methanol recycling rates'!Z64</f>
        <v>0</v>
      </c>
      <c r="Y201" s="230">
        <f>Y$199*'Methanol recycling rates'!AA64</f>
        <v>0</v>
      </c>
      <c r="Z201" s="230">
        <f>Z$199*'Methanol recycling rates'!AB64</f>
        <v>0</v>
      </c>
      <c r="AA201" s="230">
        <f>AA$199*'Methanol recycling rates'!AC64</f>
        <v>0</v>
      </c>
      <c r="AB201" s="230">
        <f>AB$199*'Methanol recycling rates'!AD64</f>
        <v>0</v>
      </c>
      <c r="AC201" s="230">
        <f>AC$199*'Methanol recycling rates'!AE64</f>
        <v>0</v>
      </c>
      <c r="AD201" s="230">
        <f>AD$199*'Methanol recycling rates'!AF64</f>
        <v>0</v>
      </c>
      <c r="AE201" s="230">
        <f>AE$199*'Methanol recycling rates'!AG64</f>
        <v>0</v>
      </c>
      <c r="AF201" s="230">
        <f>AF$199*'Methanol recycling rates'!AH64</f>
        <v>0</v>
      </c>
      <c r="AG201" s="230">
        <f>AG$199*'Methanol recycling rates'!AI64</f>
        <v>0</v>
      </c>
      <c r="AH201" s="245"/>
      <c r="AI201" s="133"/>
      <c r="AJ201" s="211"/>
      <c r="AL201" s="108"/>
      <c r="AM201" s="2"/>
      <c r="AN201" s="2"/>
      <c r="AO201" s="2"/>
      <c r="BC201" s="1"/>
      <c r="BD201" s="2"/>
      <c r="BE201" s="2"/>
      <c r="BF201" s="2"/>
      <c r="BG201" s="2"/>
      <c r="BH201" s="2"/>
      <c r="BI201" s="2"/>
      <c r="BJ201" s="2"/>
      <c r="BK201" s="2"/>
    </row>
    <row r="202" spans="1:63" outlineLevel="1">
      <c r="A202" s="4" t="s">
        <v>1561</v>
      </c>
      <c r="C202" s="230">
        <f>C$199*'Methanol recycling rates'!E65</f>
        <v>1.3927037431343362E-2</v>
      </c>
      <c r="D202" s="230">
        <f>D$199*'Methanol recycling rates'!F65</f>
        <v>1.0202433832701568E-2</v>
      </c>
      <c r="E202" s="230">
        <f>E$199*'Methanol recycling rates'!G65</f>
        <v>1.2748845843006491E-2</v>
      </c>
      <c r="F202" s="230">
        <f>F$199*'Methanol recycling rates'!H65</f>
        <v>1.5611198526443394E-2</v>
      </c>
      <c r="G202" s="230">
        <f>G$199*'Methanol recycling rates'!I65</f>
        <v>1.8797539677518564E-2</v>
      </c>
      <c r="H202" s="230">
        <f>H$199*'Methanol recycling rates'!J65</f>
        <v>2.2312403229535181E-2</v>
      </c>
      <c r="I202" s="230">
        <f>I$199*'Methanol recycling rates'!K65</f>
        <v>2.6212890488012768E-2</v>
      </c>
      <c r="J202" s="230">
        <f>J$199*'Methanol recycling rates'!L65</f>
        <v>3.0522846862913459E-2</v>
      </c>
      <c r="K202" s="230">
        <f>K$199*'Methanol recycling rates'!M65</f>
        <v>3.5266523662343438E-2</v>
      </c>
      <c r="L202" s="230">
        <f>L$199*'Methanol recycling rates'!N65</f>
        <v>4.0468518318566779E-2</v>
      </c>
      <c r="M202" s="230">
        <f>M$199*'Methanol recycling rates'!O65</f>
        <v>4.6153710271342505E-2</v>
      </c>
      <c r="N202" s="230">
        <f>N$199*'Methanol recycling rates'!P65</f>
        <v>5.395991976702836E-2</v>
      </c>
      <c r="O202" s="230">
        <f>O$199*'Methanol recycling rates'!Q65</f>
        <v>6.251132259085819E-2</v>
      </c>
      <c r="P202" s="230">
        <f>P$199*'Methanol recycling rates'!R65</f>
        <v>7.1812792777928514E-2</v>
      </c>
      <c r="Q202" s="230">
        <f>Q$199*'Methanol recycling rates'!S65</f>
        <v>8.1861981276067544E-2</v>
      </c>
      <c r="R202" s="230">
        <f>R$199*'Methanol recycling rates'!T65</f>
        <v>9.2648883178770625E-2</v>
      </c>
      <c r="S202" s="230">
        <f>S$199*'Methanol recycling rates'!U65</f>
        <v>0.10434314530905364</v>
      </c>
      <c r="T202" s="230">
        <f>T$199*'Methanol recycling rates'!V65</f>
        <v>0.11698603893199613</v>
      </c>
      <c r="U202" s="230">
        <f>U$199*'Methanol recycling rates'!W65</f>
        <v>0.13061954679077528</v>
      </c>
      <c r="V202" s="230">
        <f>V$199*'Methanol recycling rates'!X65</f>
        <v>0.14528634455013378</v>
      </c>
      <c r="W202" s="230">
        <f>W$199*'Methanol recycling rates'!Y65</f>
        <v>0.16102978107635255</v>
      </c>
      <c r="X202" s="230">
        <f>X$199*'Methanol recycling rates'!Z65</f>
        <v>0.18236371831487252</v>
      </c>
      <c r="Y202" s="230">
        <f>Y$199*'Methanol recycling rates'!AA65</f>
        <v>0.20541736816313827</v>
      </c>
      <c r="Z202" s="230">
        <f>Z$199*'Methanol recycling rates'!AB65</f>
        <v>0.2302642703029297</v>
      </c>
      <c r="AA202" s="230">
        <f>AA$199*'Methanol recycling rates'!AC65</f>
        <v>0.25697913591174365</v>
      </c>
      <c r="AB202" s="230">
        <f>AB$199*'Methanol recycling rates'!AD65</f>
        <v>0.28563781692640944</v>
      </c>
      <c r="AC202" s="230">
        <f>AC$199*'Methanol recycling rates'!AE65</f>
        <v>0.31632026409044245</v>
      </c>
      <c r="AD202" s="230">
        <f>AD$199*'Methanol recycling rates'!AF65</f>
        <v>0.34910544576818658</v>
      </c>
      <c r="AE202" s="230">
        <f>AE$199*'Methanol recycling rates'!AG65</f>
        <v>0.38407349376068572</v>
      </c>
      <c r="AF202" s="230">
        <f>AF$199*'Methanol recycling rates'!AH65</f>
        <v>0.42130567344182113</v>
      </c>
      <c r="AG202" s="230">
        <f>AG$199*'Methanol recycling rates'!AI65</f>
        <v>0.46088435230121144</v>
      </c>
      <c r="AH202" s="245"/>
      <c r="AI202" s="133"/>
      <c r="AJ202" s="211"/>
      <c r="AL202" s="108"/>
      <c r="AM202" s="2"/>
      <c r="AN202" s="2"/>
      <c r="AO202" s="2"/>
      <c r="BC202" s="1"/>
      <c r="BD202" s="2"/>
      <c r="BE202" s="2"/>
      <c r="BF202" s="2"/>
      <c r="BG202" s="2"/>
      <c r="BH202" s="2"/>
      <c r="BI202" s="2"/>
      <c r="BJ202" s="2"/>
      <c r="BK202" s="2"/>
    </row>
    <row r="203" spans="1:63" s="1" customFormat="1" outlineLevel="1">
      <c r="A203" s="1" t="s">
        <v>1570</v>
      </c>
      <c r="B203" s="65"/>
      <c r="C203" s="300">
        <f>C199-$C199</f>
        <v>0</v>
      </c>
      <c r="D203" s="300">
        <f t="shared" ref="D203:AG203" si="163">D199-$C199</f>
        <v>-5.8355004134645408E-3</v>
      </c>
      <c r="E203" s="300">
        <f t="shared" si="163"/>
        <v>-1.8459246249419407E-3</v>
      </c>
      <c r="F203" s="300">
        <f t="shared" si="163"/>
        <v>2.6386493237511126E-3</v>
      </c>
      <c r="G203" s="300">
        <f t="shared" si="163"/>
        <v>7.6308302665281207E-3</v>
      </c>
      <c r="H203" s="300">
        <f t="shared" si="163"/>
        <v>1.3137721716277001E-2</v>
      </c>
      <c r="I203" s="300">
        <f t="shared" si="163"/>
        <v>1.924878680193047E-2</v>
      </c>
      <c r="J203" s="300">
        <f t="shared" si="163"/>
        <v>2.600138517694104E-2</v>
      </c>
      <c r="K203" s="300">
        <f t="shared" si="163"/>
        <v>3.3433512433250989E-2</v>
      </c>
      <c r="L203" s="300">
        <f t="shared" si="163"/>
        <v>4.1583706450756978E-2</v>
      </c>
      <c r="M203" s="300">
        <f t="shared" si="163"/>
        <v>5.0490946942911875E-2</v>
      </c>
      <c r="N203" s="300">
        <f t="shared" si="163"/>
        <v>6.2721278985837708E-2</v>
      </c>
      <c r="O203" s="300">
        <f t="shared" si="163"/>
        <v>7.61191382190613E-2</v>
      </c>
      <c r="P203" s="300">
        <f t="shared" si="163"/>
        <v>9.0692161007921351E-2</v>
      </c>
      <c r="Q203" s="300">
        <f t="shared" si="163"/>
        <v>0.106436666988976</v>
      </c>
      <c r="R203" s="300">
        <f t="shared" si="163"/>
        <v>0.12333698103479268</v>
      </c>
      <c r="S203" s="300">
        <f t="shared" si="163"/>
        <v>0.14165889629077164</v>
      </c>
      <c r="T203" s="300">
        <f t="shared" si="163"/>
        <v>0.16146707426465662</v>
      </c>
      <c r="U203" s="300">
        <f t="shared" si="163"/>
        <v>0.18282729116824586</v>
      </c>
      <c r="V203" s="300">
        <f t="shared" si="163"/>
        <v>0.20580640884405643</v>
      </c>
      <c r="W203" s="300">
        <f t="shared" si="163"/>
        <v>0.23047234386908935</v>
      </c>
      <c r="X203" s="300">
        <f t="shared" si="163"/>
        <v>0.26389716245155753</v>
      </c>
      <c r="Y203" s="300">
        <f t="shared" si="163"/>
        <v>0.30001633048073484</v>
      </c>
      <c r="Z203" s="300">
        <f t="shared" si="163"/>
        <v>0.33894506581325157</v>
      </c>
      <c r="AA203" s="300">
        <f t="shared" si="163"/>
        <v>0.38080042173964646</v>
      </c>
      <c r="AB203" s="300">
        <f t="shared" si="163"/>
        <v>0.42570123882832001</v>
      </c>
      <c r="AC203" s="300">
        <f t="shared" si="163"/>
        <v>0.47377277942853568</v>
      </c>
      <c r="AD203" s="300">
        <f t="shared" si="163"/>
        <v>0.52513876675286508</v>
      </c>
      <c r="AE203" s="300">
        <f t="shared" si="163"/>
        <v>0.57992474682137152</v>
      </c>
      <c r="AF203" s="300">
        <f t="shared" si="163"/>
        <v>0.63825804167258204</v>
      </c>
      <c r="AG203" s="300">
        <f t="shared" si="163"/>
        <v>0.70026770007826433</v>
      </c>
      <c r="AH203" s="245"/>
      <c r="AI203" s="423"/>
      <c r="AJ203" s="424"/>
      <c r="AL203" s="221"/>
      <c r="AM203" s="124"/>
      <c r="AN203" s="124"/>
      <c r="AO203" s="124"/>
      <c r="BD203" s="124"/>
      <c r="BE203" s="124"/>
      <c r="BF203" s="124"/>
      <c r="BG203" s="124"/>
      <c r="BH203" s="124"/>
      <c r="BI203" s="124"/>
      <c r="BJ203" s="124"/>
      <c r="BK203" s="124"/>
    </row>
    <row r="204" spans="1:63" outlineLevel="1">
      <c r="A204" s="4" t="s">
        <v>474</v>
      </c>
      <c r="C204" s="230">
        <f t="shared" ref="C204:C206" si="164">C200-$C200</f>
        <v>0</v>
      </c>
      <c r="D204" s="230">
        <f t="shared" ref="D204:AG204" si="165">D200-$C200</f>
        <v>-2.1108968148227459E-3</v>
      </c>
      <c r="E204" s="230">
        <f t="shared" si="165"/>
        <v>-6.6773303660506902E-4</v>
      </c>
      <c r="F204" s="230">
        <f t="shared" si="165"/>
        <v>9.5448822865108057E-4</v>
      </c>
      <c r="G204" s="230">
        <f t="shared" si="165"/>
        <v>2.7603280203529184E-3</v>
      </c>
      <c r="H204" s="230">
        <f t="shared" si="165"/>
        <v>4.7523559180851823E-3</v>
      </c>
      <c r="I204" s="230">
        <f t="shared" si="165"/>
        <v>6.9629337452610639E-3</v>
      </c>
      <c r="J204" s="230">
        <f t="shared" si="165"/>
        <v>9.4055757453709431E-3</v>
      </c>
      <c r="K204" s="230">
        <f t="shared" si="165"/>
        <v>1.2094026202250913E-2</v>
      </c>
      <c r="L204" s="230">
        <f t="shared" si="165"/>
        <v>1.5042225563533561E-2</v>
      </c>
      <c r="M204" s="230">
        <f t="shared" si="165"/>
        <v>1.8264274102912731E-2</v>
      </c>
      <c r="N204" s="230">
        <f t="shared" si="165"/>
        <v>2.2688396650152716E-2</v>
      </c>
      <c r="O204" s="230">
        <f t="shared" si="165"/>
        <v>2.7534853059546477E-2</v>
      </c>
      <c r="P204" s="230">
        <f t="shared" si="165"/>
        <v>3.2806405661336191E-2</v>
      </c>
      <c r="Q204" s="230">
        <f t="shared" si="165"/>
        <v>3.850172314425182E-2</v>
      </c>
      <c r="R204" s="230">
        <f t="shared" si="165"/>
        <v>4.4615135287365416E-2</v>
      </c>
      <c r="S204" s="230">
        <f t="shared" si="165"/>
        <v>5.124278841306136E-2</v>
      </c>
      <c r="T204" s="230">
        <f t="shared" si="165"/>
        <v>5.8408072764003852E-2</v>
      </c>
      <c r="U204" s="230">
        <f t="shared" si="165"/>
        <v>6.613478180881395E-2</v>
      </c>
      <c r="V204" s="230">
        <f t="shared" si="165"/>
        <v>7.4447101725266016E-2</v>
      </c>
      <c r="W204" s="230">
        <f t="shared" si="165"/>
        <v>8.3369600224080173E-2</v>
      </c>
      <c r="X204" s="230">
        <f t="shared" si="165"/>
        <v>9.5460481568028333E-2</v>
      </c>
      <c r="Y204" s="230">
        <f t="shared" si="165"/>
        <v>0.10852599974893991</v>
      </c>
      <c r="Z204" s="230">
        <f t="shared" si="165"/>
        <v>0.1226078329416652</v>
      </c>
      <c r="AA204" s="230">
        <f t="shared" si="165"/>
        <v>0.13774832325924616</v>
      </c>
      <c r="AB204" s="230">
        <f t="shared" si="165"/>
        <v>0.15399045933325392</v>
      </c>
      <c r="AC204" s="230">
        <f t="shared" si="165"/>
        <v>0.17137955276943662</v>
      </c>
      <c r="AD204" s="230">
        <f t="shared" si="165"/>
        <v>0.18996035841602185</v>
      </c>
      <c r="AE204" s="230">
        <f t="shared" si="165"/>
        <v>0.20977829049202915</v>
      </c>
      <c r="AF204" s="230">
        <f t="shared" si="165"/>
        <v>0.23087940566210427</v>
      </c>
      <c r="AG204" s="230">
        <f t="shared" si="165"/>
        <v>0.25331038520839622</v>
      </c>
      <c r="AH204" s="245"/>
      <c r="AI204" s="133"/>
      <c r="AJ204" s="211"/>
      <c r="AL204" s="108"/>
      <c r="AM204" s="2"/>
      <c r="AN204" s="2"/>
      <c r="AO204" s="2"/>
      <c r="BC204" s="1"/>
      <c r="BD204" s="2"/>
      <c r="BE204" s="2"/>
      <c r="BF204" s="2"/>
      <c r="BG204" s="2"/>
      <c r="BH204" s="2"/>
      <c r="BI204" s="2"/>
      <c r="BJ204" s="2"/>
      <c r="BK204" s="2"/>
    </row>
    <row r="205" spans="1:63" outlineLevel="1">
      <c r="A205" s="4" t="s">
        <v>745</v>
      </c>
      <c r="C205" s="230">
        <f t="shared" si="164"/>
        <v>0</v>
      </c>
      <c r="D205" s="230">
        <f t="shared" ref="D205:AG205" si="166">D201-$C201</f>
        <v>0</v>
      </c>
      <c r="E205" s="230">
        <f t="shared" si="166"/>
        <v>0</v>
      </c>
      <c r="F205" s="230">
        <f t="shared" si="166"/>
        <v>0</v>
      </c>
      <c r="G205" s="230">
        <f t="shared" si="166"/>
        <v>0</v>
      </c>
      <c r="H205" s="230">
        <f t="shared" si="166"/>
        <v>0</v>
      </c>
      <c r="I205" s="230">
        <f t="shared" si="166"/>
        <v>0</v>
      </c>
      <c r="J205" s="230">
        <f t="shared" si="166"/>
        <v>0</v>
      </c>
      <c r="K205" s="230">
        <f t="shared" si="166"/>
        <v>0</v>
      </c>
      <c r="L205" s="230">
        <f t="shared" si="166"/>
        <v>0</v>
      </c>
      <c r="M205" s="230">
        <f t="shared" si="166"/>
        <v>0</v>
      </c>
      <c r="N205" s="230">
        <f t="shared" si="166"/>
        <v>0</v>
      </c>
      <c r="O205" s="230">
        <f t="shared" si="166"/>
        <v>0</v>
      </c>
      <c r="P205" s="230">
        <f t="shared" si="166"/>
        <v>0</v>
      </c>
      <c r="Q205" s="230">
        <f t="shared" si="166"/>
        <v>0</v>
      </c>
      <c r="R205" s="230">
        <f t="shared" si="166"/>
        <v>0</v>
      </c>
      <c r="S205" s="230">
        <f t="shared" si="166"/>
        <v>0</v>
      </c>
      <c r="T205" s="230">
        <f t="shared" si="166"/>
        <v>0</v>
      </c>
      <c r="U205" s="230">
        <f t="shared" si="166"/>
        <v>0</v>
      </c>
      <c r="V205" s="230">
        <f t="shared" si="166"/>
        <v>0</v>
      </c>
      <c r="W205" s="230">
        <f t="shared" si="166"/>
        <v>0</v>
      </c>
      <c r="X205" s="230">
        <f t="shared" si="166"/>
        <v>0</v>
      </c>
      <c r="Y205" s="230">
        <f t="shared" si="166"/>
        <v>0</v>
      </c>
      <c r="Z205" s="230">
        <f t="shared" si="166"/>
        <v>0</v>
      </c>
      <c r="AA205" s="230">
        <f t="shared" si="166"/>
        <v>0</v>
      </c>
      <c r="AB205" s="230">
        <f t="shared" si="166"/>
        <v>0</v>
      </c>
      <c r="AC205" s="230">
        <f t="shared" si="166"/>
        <v>0</v>
      </c>
      <c r="AD205" s="230">
        <f t="shared" si="166"/>
        <v>0</v>
      </c>
      <c r="AE205" s="230">
        <f t="shared" si="166"/>
        <v>0</v>
      </c>
      <c r="AF205" s="230">
        <f t="shared" si="166"/>
        <v>0</v>
      </c>
      <c r="AG205" s="230">
        <f t="shared" si="166"/>
        <v>0</v>
      </c>
      <c r="AH205" s="245"/>
      <c r="AI205" s="133"/>
      <c r="AJ205" s="211"/>
      <c r="AL205" s="108"/>
      <c r="AM205" s="2"/>
      <c r="AN205" s="2"/>
      <c r="AO205" s="2"/>
      <c r="BC205" s="1"/>
      <c r="BD205" s="2"/>
      <c r="BE205" s="2"/>
      <c r="BF205" s="2"/>
      <c r="BG205" s="2"/>
      <c r="BH205" s="2"/>
      <c r="BI205" s="2"/>
      <c r="BJ205" s="2"/>
      <c r="BK205" s="2"/>
    </row>
    <row r="206" spans="1:63" outlineLevel="1">
      <c r="A206" s="4" t="s">
        <v>1561</v>
      </c>
      <c r="C206" s="230">
        <f t="shared" si="164"/>
        <v>0</v>
      </c>
      <c r="D206" s="230">
        <f t="shared" ref="D206:AG206" si="167">D202-$C202</f>
        <v>-3.7246035986417941E-3</v>
      </c>
      <c r="E206" s="230">
        <f t="shared" si="167"/>
        <v>-1.1781915883368708E-3</v>
      </c>
      <c r="F206" s="230">
        <f t="shared" si="167"/>
        <v>1.684161095100032E-3</v>
      </c>
      <c r="G206" s="230">
        <f t="shared" si="167"/>
        <v>4.8705022461752023E-3</v>
      </c>
      <c r="H206" s="230">
        <f t="shared" si="167"/>
        <v>8.3853657981918187E-3</v>
      </c>
      <c r="I206" s="230">
        <f t="shared" si="167"/>
        <v>1.2285853056669406E-2</v>
      </c>
      <c r="J206" s="230">
        <f t="shared" si="167"/>
        <v>1.6595809431570095E-2</v>
      </c>
      <c r="K206" s="230">
        <f t="shared" si="167"/>
        <v>2.1339486231000078E-2</v>
      </c>
      <c r="L206" s="230">
        <f t="shared" si="167"/>
        <v>2.6541480887223419E-2</v>
      </c>
      <c r="M206" s="230">
        <f t="shared" si="167"/>
        <v>3.2226672839999145E-2</v>
      </c>
      <c r="N206" s="230">
        <f t="shared" si="167"/>
        <v>4.0032882335684999E-2</v>
      </c>
      <c r="O206" s="230">
        <f t="shared" si="167"/>
        <v>4.858428515951483E-2</v>
      </c>
      <c r="P206" s="230">
        <f t="shared" si="167"/>
        <v>5.7885755346585153E-2</v>
      </c>
      <c r="Q206" s="230">
        <f t="shared" si="167"/>
        <v>6.7934943844724177E-2</v>
      </c>
      <c r="R206" s="230">
        <f t="shared" si="167"/>
        <v>7.8721845747427258E-2</v>
      </c>
      <c r="S206" s="230">
        <f t="shared" si="167"/>
        <v>9.0416107877710275E-2</v>
      </c>
      <c r="T206" s="230">
        <f t="shared" si="167"/>
        <v>0.10305900150065277</v>
      </c>
      <c r="U206" s="230">
        <f t="shared" si="167"/>
        <v>0.11669250935943191</v>
      </c>
      <c r="V206" s="230">
        <f t="shared" si="167"/>
        <v>0.13135930711879043</v>
      </c>
      <c r="W206" s="230">
        <f t="shared" si="167"/>
        <v>0.14710274364500919</v>
      </c>
      <c r="X206" s="230">
        <f t="shared" si="167"/>
        <v>0.16843668088352917</v>
      </c>
      <c r="Y206" s="230">
        <f t="shared" si="167"/>
        <v>0.19149033073179492</v>
      </c>
      <c r="Z206" s="230">
        <f t="shared" si="167"/>
        <v>0.21633723287158635</v>
      </c>
      <c r="AA206" s="230">
        <f t="shared" si="167"/>
        <v>0.2430520984804003</v>
      </c>
      <c r="AB206" s="230">
        <f t="shared" si="167"/>
        <v>0.27171077949506606</v>
      </c>
      <c r="AC206" s="230">
        <f t="shared" si="167"/>
        <v>0.30239322665909907</v>
      </c>
      <c r="AD206" s="230">
        <f t="shared" si="167"/>
        <v>0.3351784083368432</v>
      </c>
      <c r="AE206" s="230">
        <f t="shared" si="167"/>
        <v>0.37014645632934234</v>
      </c>
      <c r="AF206" s="230">
        <f t="shared" si="167"/>
        <v>0.40737863601047775</v>
      </c>
      <c r="AG206" s="230">
        <f t="shared" si="167"/>
        <v>0.44695731486986806</v>
      </c>
      <c r="AH206" s="245"/>
      <c r="AI206" s="133"/>
      <c r="AJ206" s="211"/>
      <c r="AL206" s="108"/>
      <c r="AM206" s="2"/>
      <c r="AN206" s="2"/>
      <c r="AO206" s="2"/>
      <c r="BC206" s="1"/>
      <c r="BD206" s="2"/>
      <c r="BE206" s="2"/>
      <c r="BF206" s="2"/>
      <c r="BG206" s="2"/>
      <c r="BH206" s="2"/>
      <c r="BI206" s="2"/>
      <c r="BJ206" s="2"/>
      <c r="BK206" s="2"/>
    </row>
    <row r="207" spans="1:63" s="1" customFormat="1" outlineLevel="1">
      <c r="A207" s="1" t="s">
        <v>1567</v>
      </c>
      <c r="B207" s="65"/>
      <c r="C207" s="300">
        <f>C185*C45</f>
        <v>2.1820102605973023E-2</v>
      </c>
      <c r="D207" s="300">
        <f t="shared" ref="D207:AG207" si="168">D185*D45</f>
        <v>1.5984602192508482E-2</v>
      </c>
      <c r="E207" s="300">
        <f t="shared" si="168"/>
        <v>1.9974177981031082E-2</v>
      </c>
      <c r="F207" s="300">
        <f t="shared" si="168"/>
        <v>2.4458751929724135E-2</v>
      </c>
      <c r="G207" s="300">
        <f t="shared" si="168"/>
        <v>2.9450932872501143E-2</v>
      </c>
      <c r="H207" s="300">
        <f t="shared" si="168"/>
        <v>3.4957824322250024E-2</v>
      </c>
      <c r="I207" s="300">
        <f t="shared" si="168"/>
        <v>4.1068889407903493E-2</v>
      </c>
      <c r="J207" s="300">
        <f t="shared" si="168"/>
        <v>4.7821487782914063E-2</v>
      </c>
      <c r="K207" s="300">
        <f t="shared" si="168"/>
        <v>5.5253615039224012E-2</v>
      </c>
      <c r="L207" s="300">
        <f t="shared" si="168"/>
        <v>6.3403809056730001E-2</v>
      </c>
      <c r="M207" s="300">
        <f t="shared" si="168"/>
        <v>7.2311049548884898E-2</v>
      </c>
      <c r="N207" s="300">
        <f t="shared" si="168"/>
        <v>8.4541381591810738E-2</v>
      </c>
      <c r="O207" s="300">
        <f t="shared" si="168"/>
        <v>9.7939240825034329E-2</v>
      </c>
      <c r="P207" s="300">
        <f t="shared" si="168"/>
        <v>0.11251226361389437</v>
      </c>
      <c r="Q207" s="300">
        <f t="shared" si="168"/>
        <v>0.12825676959494903</v>
      </c>
      <c r="R207" s="300">
        <f t="shared" si="168"/>
        <v>0.14515708364076571</v>
      </c>
      <c r="S207" s="300">
        <f t="shared" si="168"/>
        <v>0.16347899889674467</v>
      </c>
      <c r="T207" s="300">
        <f t="shared" si="168"/>
        <v>0.18328717687062965</v>
      </c>
      <c r="U207" s="300">
        <f t="shared" si="168"/>
        <v>0.20464739377421889</v>
      </c>
      <c r="V207" s="300">
        <f t="shared" si="168"/>
        <v>0.22762651145002946</v>
      </c>
      <c r="W207" s="300">
        <f t="shared" si="168"/>
        <v>0.25229244647506238</v>
      </c>
      <c r="X207" s="300">
        <f t="shared" si="168"/>
        <v>0.28571726505753053</v>
      </c>
      <c r="Y207" s="300">
        <f t="shared" si="168"/>
        <v>0.32183643308670784</v>
      </c>
      <c r="Z207" s="300">
        <f t="shared" si="168"/>
        <v>0.36076516841922457</v>
      </c>
      <c r="AA207" s="300">
        <f t="shared" si="168"/>
        <v>0.40262052434561946</v>
      </c>
      <c r="AB207" s="300">
        <f t="shared" si="168"/>
        <v>0.44752134143429301</v>
      </c>
      <c r="AC207" s="300">
        <f t="shared" si="168"/>
        <v>0.49559288203450869</v>
      </c>
      <c r="AD207" s="300">
        <f t="shared" si="168"/>
        <v>0.54695886935883808</v>
      </c>
      <c r="AE207" s="300">
        <f t="shared" si="168"/>
        <v>0.60174484942734452</v>
      </c>
      <c r="AF207" s="300">
        <f t="shared" si="168"/>
        <v>0.66007814427855505</v>
      </c>
      <c r="AG207" s="300">
        <f t="shared" si="168"/>
        <v>0.72208780268423733</v>
      </c>
      <c r="AH207" s="245"/>
      <c r="AI207" s="423"/>
      <c r="AJ207" s="424"/>
      <c r="AL207" s="221"/>
      <c r="AM207" s="124"/>
      <c r="AN207" s="124"/>
      <c r="AO207" s="124"/>
      <c r="BD207" s="124"/>
      <c r="BE207" s="124"/>
      <c r="BF207" s="124"/>
      <c r="BG207" s="124"/>
      <c r="BH207" s="124"/>
      <c r="BI207" s="124"/>
      <c r="BJ207" s="124"/>
      <c r="BK207" s="124"/>
    </row>
    <row r="208" spans="1:63" outlineLevel="1">
      <c r="A208" s="4" t="s">
        <v>474</v>
      </c>
      <c r="C208" s="230">
        <f>C$207*'Methanol recycling rates'!E66</f>
        <v>7.8930651746296609E-3</v>
      </c>
      <c r="D208" s="230">
        <f>D$207*'Methanol recycling rates'!F66</f>
        <v>5.782168359806915E-3</v>
      </c>
      <c r="E208" s="230">
        <f>E$207*'Methanol recycling rates'!G66</f>
        <v>7.2253321380245919E-3</v>
      </c>
      <c r="F208" s="230">
        <f>F$207*'Methanol recycling rates'!H66</f>
        <v>8.8475534032807415E-3</v>
      </c>
      <c r="G208" s="230">
        <f>G$207*'Methanol recycling rates'!I66</f>
        <v>1.0653393194982579E-2</v>
      </c>
      <c r="H208" s="230">
        <f>H$207*'Methanol recycling rates'!J66</f>
        <v>1.2645421092714843E-2</v>
      </c>
      <c r="I208" s="230">
        <f>I$207*'Methanol recycling rates'!K66</f>
        <v>1.4855998919890725E-2</v>
      </c>
      <c r="J208" s="230">
        <f>J$207*'Methanol recycling rates'!L66</f>
        <v>1.7298640920000604E-2</v>
      </c>
      <c r="K208" s="230">
        <f>K$207*'Methanol recycling rates'!M66</f>
        <v>1.9987091376880574E-2</v>
      </c>
      <c r="L208" s="230">
        <f>L$207*'Methanol recycling rates'!N66</f>
        <v>2.2935290738163222E-2</v>
      </c>
      <c r="M208" s="230">
        <f>M$207*'Methanol recycling rates'!O66</f>
        <v>2.615733927754239E-2</v>
      </c>
      <c r="N208" s="230">
        <f>N$207*'Methanol recycling rates'!P66</f>
        <v>3.0581461824782375E-2</v>
      </c>
      <c r="O208" s="230">
        <f>O$207*'Methanol recycling rates'!Q66</f>
        <v>3.542791823417614E-2</v>
      </c>
      <c r="P208" s="230">
        <f>P$207*'Methanol recycling rates'!R66</f>
        <v>4.0699470835965854E-2</v>
      </c>
      <c r="Q208" s="230">
        <f>Q$207*'Methanol recycling rates'!S66</f>
        <v>4.6394788318881483E-2</v>
      </c>
      <c r="R208" s="230">
        <f>R$207*'Methanol recycling rates'!T66</f>
        <v>5.2508200461995079E-2</v>
      </c>
      <c r="S208" s="230">
        <f>S$207*'Methanol recycling rates'!U66</f>
        <v>5.9135853587691023E-2</v>
      </c>
      <c r="T208" s="230">
        <f>T$207*'Methanol recycling rates'!V66</f>
        <v>6.6301137938633514E-2</v>
      </c>
      <c r="U208" s="230">
        <f>U$207*'Methanol recycling rates'!W66</f>
        <v>7.4027846983443613E-2</v>
      </c>
      <c r="V208" s="230">
        <f>V$207*'Methanol recycling rates'!X66</f>
        <v>8.2340166899895678E-2</v>
      </c>
      <c r="W208" s="230">
        <f>W$207*'Methanol recycling rates'!Y66</f>
        <v>9.1262665398709836E-2</v>
      </c>
      <c r="X208" s="230">
        <f>X$207*'Methanol recycling rates'!Z66</f>
        <v>0.103353546742658</v>
      </c>
      <c r="Y208" s="230">
        <f>Y$207*'Methanol recycling rates'!AA66</f>
        <v>0.11641906492356957</v>
      </c>
      <c r="Z208" s="230">
        <f>Z$207*'Methanol recycling rates'!AB66</f>
        <v>0.13050089811629487</v>
      </c>
      <c r="AA208" s="230">
        <f>AA$207*'Methanol recycling rates'!AC66</f>
        <v>0.14564138843387581</v>
      </c>
      <c r="AB208" s="230">
        <f>AB$207*'Methanol recycling rates'!AD66</f>
        <v>0.16188352450788357</v>
      </c>
      <c r="AC208" s="230">
        <f>AC$207*'Methanol recycling rates'!AE66</f>
        <v>0.17927261794406626</v>
      </c>
      <c r="AD208" s="230">
        <f>AD$207*'Methanol recycling rates'!AF66</f>
        <v>0.1978534235906515</v>
      </c>
      <c r="AE208" s="230">
        <f>AE$207*'Methanol recycling rates'!AG66</f>
        <v>0.21767135566665879</v>
      </c>
      <c r="AF208" s="230">
        <f>AF$207*'Methanol recycling rates'!AH66</f>
        <v>0.23877247083673392</v>
      </c>
      <c r="AG208" s="230">
        <f>AG$207*'Methanol recycling rates'!AI66</f>
        <v>0.26120345038302589</v>
      </c>
      <c r="AH208" s="245"/>
      <c r="AI208" s="133"/>
      <c r="AJ208" s="211"/>
      <c r="AL208" s="108"/>
      <c r="AM208" s="2"/>
      <c r="AN208" s="2"/>
      <c r="AO208" s="2"/>
      <c r="BC208" s="1"/>
      <c r="BD208" s="2"/>
      <c r="BE208" s="2"/>
      <c r="BF208" s="2"/>
      <c r="BG208" s="2"/>
      <c r="BH208" s="2"/>
      <c r="BI208" s="2"/>
      <c r="BJ208" s="2"/>
      <c r="BK208" s="2"/>
    </row>
    <row r="209" spans="1:63" outlineLevel="1">
      <c r="A209" s="4" t="s">
        <v>745</v>
      </c>
      <c r="C209" s="230">
        <f>C$207*'Methanol recycling rates'!E67</f>
        <v>0</v>
      </c>
      <c r="D209" s="230">
        <f>D$207*'Methanol recycling rates'!F67</f>
        <v>0</v>
      </c>
      <c r="E209" s="230">
        <f>E$207*'Methanol recycling rates'!G67</f>
        <v>0</v>
      </c>
      <c r="F209" s="230">
        <f>F$207*'Methanol recycling rates'!H67</f>
        <v>0</v>
      </c>
      <c r="G209" s="230">
        <f>G$207*'Methanol recycling rates'!I67</f>
        <v>0</v>
      </c>
      <c r="H209" s="230">
        <f>H$207*'Methanol recycling rates'!J67</f>
        <v>0</v>
      </c>
      <c r="I209" s="230">
        <f>I$207*'Methanol recycling rates'!K67</f>
        <v>0</v>
      </c>
      <c r="J209" s="230">
        <f>J$207*'Methanol recycling rates'!L67</f>
        <v>0</v>
      </c>
      <c r="K209" s="230">
        <f>K$207*'Methanol recycling rates'!M67</f>
        <v>0</v>
      </c>
      <c r="L209" s="230">
        <f>L$207*'Methanol recycling rates'!N67</f>
        <v>0</v>
      </c>
      <c r="M209" s="230">
        <f>M$207*'Methanol recycling rates'!O67</f>
        <v>0</v>
      </c>
      <c r="N209" s="230">
        <f>N$207*'Methanol recycling rates'!P67</f>
        <v>0</v>
      </c>
      <c r="O209" s="230">
        <f>O$207*'Methanol recycling rates'!Q67</f>
        <v>0</v>
      </c>
      <c r="P209" s="230">
        <f>P$207*'Methanol recycling rates'!R67</f>
        <v>0</v>
      </c>
      <c r="Q209" s="230">
        <f>Q$207*'Methanol recycling rates'!S67</f>
        <v>0</v>
      </c>
      <c r="R209" s="230">
        <f>R$207*'Methanol recycling rates'!T67</f>
        <v>0</v>
      </c>
      <c r="S209" s="230">
        <f>S$207*'Methanol recycling rates'!U67</f>
        <v>0</v>
      </c>
      <c r="T209" s="230">
        <f>T$207*'Methanol recycling rates'!V67</f>
        <v>0</v>
      </c>
      <c r="U209" s="230">
        <f>U$207*'Methanol recycling rates'!W67</f>
        <v>0</v>
      </c>
      <c r="V209" s="230">
        <f>V$207*'Methanol recycling rates'!X67</f>
        <v>0</v>
      </c>
      <c r="W209" s="230">
        <f>W$207*'Methanol recycling rates'!Y67</f>
        <v>0</v>
      </c>
      <c r="X209" s="230">
        <f>X$207*'Methanol recycling rates'!Z67</f>
        <v>0</v>
      </c>
      <c r="Y209" s="230">
        <f>Y$207*'Methanol recycling rates'!AA67</f>
        <v>0</v>
      </c>
      <c r="Z209" s="230">
        <f>Z$207*'Methanol recycling rates'!AB67</f>
        <v>0</v>
      </c>
      <c r="AA209" s="230">
        <f>AA$207*'Methanol recycling rates'!AC67</f>
        <v>0</v>
      </c>
      <c r="AB209" s="230">
        <f>AB$207*'Methanol recycling rates'!AD67</f>
        <v>0</v>
      </c>
      <c r="AC209" s="230">
        <f>AC$207*'Methanol recycling rates'!AE67</f>
        <v>0</v>
      </c>
      <c r="AD209" s="230">
        <f>AD$207*'Methanol recycling rates'!AF67</f>
        <v>0</v>
      </c>
      <c r="AE209" s="230">
        <f>AE$207*'Methanol recycling rates'!AG67</f>
        <v>0</v>
      </c>
      <c r="AF209" s="230">
        <f>AF$207*'Methanol recycling rates'!AH67</f>
        <v>0</v>
      </c>
      <c r="AG209" s="230">
        <f>AG$207*'Methanol recycling rates'!AI67</f>
        <v>0</v>
      </c>
      <c r="AH209" s="245"/>
      <c r="AI209" s="133"/>
      <c r="AJ209" s="211"/>
      <c r="AL209" s="108"/>
      <c r="AM209" s="2"/>
      <c r="AN209" s="2"/>
      <c r="AO209" s="2"/>
      <c r="BC209" s="1"/>
      <c r="BD209" s="2"/>
      <c r="BE209" s="2"/>
      <c r="BF209" s="2"/>
      <c r="BG209" s="2"/>
      <c r="BH209" s="2"/>
      <c r="BI209" s="2"/>
      <c r="BJ209" s="2"/>
      <c r="BK209" s="2"/>
    </row>
    <row r="210" spans="1:63" outlineLevel="1">
      <c r="A210" s="4" t="s">
        <v>1561</v>
      </c>
      <c r="C210" s="230">
        <f>C$207*'Methanol recycling rates'!E68</f>
        <v>1.3927037431343362E-2</v>
      </c>
      <c r="D210" s="230">
        <f>D$207*'Methanol recycling rates'!F68</f>
        <v>1.0202433832701568E-2</v>
      </c>
      <c r="E210" s="230">
        <f>E$207*'Methanol recycling rates'!G68</f>
        <v>1.2748845843006491E-2</v>
      </c>
      <c r="F210" s="230">
        <f>F$207*'Methanol recycling rates'!H68</f>
        <v>1.5611198526443394E-2</v>
      </c>
      <c r="G210" s="230">
        <f>G$207*'Methanol recycling rates'!I68</f>
        <v>1.8797539677518564E-2</v>
      </c>
      <c r="H210" s="230">
        <f>H$207*'Methanol recycling rates'!J68</f>
        <v>2.2312403229535181E-2</v>
      </c>
      <c r="I210" s="230">
        <f>I$207*'Methanol recycling rates'!K68</f>
        <v>2.6212890488012768E-2</v>
      </c>
      <c r="J210" s="230">
        <f>J$207*'Methanol recycling rates'!L68</f>
        <v>3.0522846862913459E-2</v>
      </c>
      <c r="K210" s="230">
        <f>K$207*'Methanol recycling rates'!M68</f>
        <v>3.5266523662343438E-2</v>
      </c>
      <c r="L210" s="230">
        <f>L$207*'Methanol recycling rates'!N68</f>
        <v>4.0468518318566779E-2</v>
      </c>
      <c r="M210" s="230">
        <f>M$207*'Methanol recycling rates'!O68</f>
        <v>4.6153710271342505E-2</v>
      </c>
      <c r="N210" s="230">
        <f>N$207*'Methanol recycling rates'!P68</f>
        <v>5.395991976702836E-2</v>
      </c>
      <c r="O210" s="230">
        <f>O$207*'Methanol recycling rates'!Q68</f>
        <v>6.251132259085819E-2</v>
      </c>
      <c r="P210" s="230">
        <f>P$207*'Methanol recycling rates'!R68</f>
        <v>7.1812792777928514E-2</v>
      </c>
      <c r="Q210" s="230">
        <f>Q$207*'Methanol recycling rates'!S68</f>
        <v>8.1861981276067544E-2</v>
      </c>
      <c r="R210" s="230">
        <f>R$207*'Methanol recycling rates'!T68</f>
        <v>9.2648883178770625E-2</v>
      </c>
      <c r="S210" s="230">
        <f>S$207*'Methanol recycling rates'!U68</f>
        <v>0.10434314530905364</v>
      </c>
      <c r="T210" s="230">
        <f>T$207*'Methanol recycling rates'!V68</f>
        <v>0.11698603893199613</v>
      </c>
      <c r="U210" s="230">
        <f>U$207*'Methanol recycling rates'!W68</f>
        <v>0.13061954679077528</v>
      </c>
      <c r="V210" s="230">
        <f>V$207*'Methanol recycling rates'!X68</f>
        <v>0.14528634455013378</v>
      </c>
      <c r="W210" s="230">
        <f>W$207*'Methanol recycling rates'!Y68</f>
        <v>0.16102978107635255</v>
      </c>
      <c r="X210" s="230">
        <f>X$207*'Methanol recycling rates'!Z68</f>
        <v>0.18236371831487252</v>
      </c>
      <c r="Y210" s="230">
        <f>Y$207*'Methanol recycling rates'!AA68</f>
        <v>0.20541736816313827</v>
      </c>
      <c r="Z210" s="230">
        <f>Z$207*'Methanol recycling rates'!AB68</f>
        <v>0.2302642703029297</v>
      </c>
      <c r="AA210" s="230">
        <f>AA$207*'Methanol recycling rates'!AC68</f>
        <v>0.25697913591174365</v>
      </c>
      <c r="AB210" s="230">
        <f>AB$207*'Methanol recycling rates'!AD68</f>
        <v>0.28563781692640944</v>
      </c>
      <c r="AC210" s="230">
        <f>AC$207*'Methanol recycling rates'!AE68</f>
        <v>0.31632026409044245</v>
      </c>
      <c r="AD210" s="230">
        <f>AD$207*'Methanol recycling rates'!AF68</f>
        <v>0.34910544576818658</v>
      </c>
      <c r="AE210" s="230">
        <f>AE$207*'Methanol recycling rates'!AG68</f>
        <v>0.38407349376068572</v>
      </c>
      <c r="AF210" s="230">
        <f>AF$207*'Methanol recycling rates'!AH68</f>
        <v>0.42130567344182113</v>
      </c>
      <c r="AG210" s="230">
        <f>AG$207*'Methanol recycling rates'!AI68</f>
        <v>0.46088435230121144</v>
      </c>
      <c r="AH210" s="245"/>
      <c r="AI210" s="133"/>
      <c r="AJ210" s="211"/>
      <c r="AL210" s="108"/>
      <c r="AM210" s="2"/>
      <c r="AN210" s="2"/>
      <c r="AO210" s="2"/>
      <c r="BC210" s="1"/>
      <c r="BD210" s="2"/>
      <c r="BE210" s="2"/>
      <c r="BF210" s="2"/>
      <c r="BG210" s="2"/>
      <c r="BH210" s="2"/>
      <c r="BI210" s="2"/>
      <c r="BJ210" s="2"/>
      <c r="BK210" s="2"/>
    </row>
    <row r="211" spans="1:63" s="1" customFormat="1" outlineLevel="1">
      <c r="A211" s="1" t="s">
        <v>1568</v>
      </c>
      <c r="B211" s="65"/>
      <c r="C211" s="300">
        <f>C207-$C207</f>
        <v>0</v>
      </c>
      <c r="D211" s="300">
        <f t="shared" ref="D211:AG211" si="169">D207-$C207</f>
        <v>-5.8355004134645408E-3</v>
      </c>
      <c r="E211" s="300">
        <f t="shared" si="169"/>
        <v>-1.8459246249419407E-3</v>
      </c>
      <c r="F211" s="300">
        <f t="shared" si="169"/>
        <v>2.6386493237511126E-3</v>
      </c>
      <c r="G211" s="300">
        <f t="shared" si="169"/>
        <v>7.6308302665281207E-3</v>
      </c>
      <c r="H211" s="300">
        <f t="shared" si="169"/>
        <v>1.3137721716277001E-2</v>
      </c>
      <c r="I211" s="300">
        <f t="shared" si="169"/>
        <v>1.924878680193047E-2</v>
      </c>
      <c r="J211" s="300">
        <f t="shared" si="169"/>
        <v>2.600138517694104E-2</v>
      </c>
      <c r="K211" s="300">
        <f t="shared" si="169"/>
        <v>3.3433512433250989E-2</v>
      </c>
      <c r="L211" s="300">
        <f t="shared" si="169"/>
        <v>4.1583706450756978E-2</v>
      </c>
      <c r="M211" s="300">
        <f t="shared" si="169"/>
        <v>5.0490946942911875E-2</v>
      </c>
      <c r="N211" s="300">
        <f t="shared" si="169"/>
        <v>6.2721278985837708E-2</v>
      </c>
      <c r="O211" s="300">
        <f t="shared" si="169"/>
        <v>7.61191382190613E-2</v>
      </c>
      <c r="P211" s="300">
        <f t="shared" si="169"/>
        <v>9.0692161007921351E-2</v>
      </c>
      <c r="Q211" s="300">
        <f t="shared" si="169"/>
        <v>0.106436666988976</v>
      </c>
      <c r="R211" s="300">
        <f t="shared" si="169"/>
        <v>0.12333698103479268</v>
      </c>
      <c r="S211" s="300">
        <f t="shared" si="169"/>
        <v>0.14165889629077164</v>
      </c>
      <c r="T211" s="300">
        <f t="shared" si="169"/>
        <v>0.16146707426465662</v>
      </c>
      <c r="U211" s="300">
        <f t="shared" si="169"/>
        <v>0.18282729116824586</v>
      </c>
      <c r="V211" s="300">
        <f t="shared" si="169"/>
        <v>0.20580640884405643</v>
      </c>
      <c r="W211" s="300">
        <f t="shared" si="169"/>
        <v>0.23047234386908935</v>
      </c>
      <c r="X211" s="300">
        <f t="shared" si="169"/>
        <v>0.26389716245155753</v>
      </c>
      <c r="Y211" s="300">
        <f t="shared" si="169"/>
        <v>0.30001633048073484</v>
      </c>
      <c r="Z211" s="300">
        <f t="shared" si="169"/>
        <v>0.33894506581325157</v>
      </c>
      <c r="AA211" s="300">
        <f t="shared" si="169"/>
        <v>0.38080042173964646</v>
      </c>
      <c r="AB211" s="300">
        <f t="shared" si="169"/>
        <v>0.42570123882832001</v>
      </c>
      <c r="AC211" s="300">
        <f t="shared" si="169"/>
        <v>0.47377277942853568</v>
      </c>
      <c r="AD211" s="300">
        <f t="shared" si="169"/>
        <v>0.52513876675286508</v>
      </c>
      <c r="AE211" s="300">
        <f t="shared" si="169"/>
        <v>0.57992474682137152</v>
      </c>
      <c r="AF211" s="300">
        <f t="shared" si="169"/>
        <v>0.63825804167258204</v>
      </c>
      <c r="AG211" s="300">
        <f t="shared" si="169"/>
        <v>0.70026770007826433</v>
      </c>
      <c r="AH211" s="245"/>
      <c r="AI211" s="423"/>
      <c r="AJ211" s="424"/>
      <c r="AL211" s="221"/>
      <c r="AM211" s="124"/>
      <c r="AN211" s="124"/>
      <c r="AO211" s="124"/>
      <c r="BD211" s="124"/>
      <c r="BE211" s="124"/>
      <c r="BF211" s="124"/>
      <c r="BG211" s="124"/>
      <c r="BH211" s="124"/>
      <c r="BI211" s="124"/>
      <c r="BJ211" s="124"/>
      <c r="BK211" s="124"/>
    </row>
    <row r="212" spans="1:63" outlineLevel="1">
      <c r="A212" s="4" t="s">
        <v>474</v>
      </c>
      <c r="C212" s="230">
        <f t="shared" ref="C212:C214" si="170">C208-$C208</f>
        <v>0</v>
      </c>
      <c r="D212" s="230">
        <f t="shared" ref="D212:AG212" si="171">D208-$C208</f>
        <v>-2.1108968148227459E-3</v>
      </c>
      <c r="E212" s="230">
        <f t="shared" si="171"/>
        <v>-6.6773303660506902E-4</v>
      </c>
      <c r="F212" s="230">
        <f t="shared" si="171"/>
        <v>9.5448822865108057E-4</v>
      </c>
      <c r="G212" s="230">
        <f t="shared" si="171"/>
        <v>2.7603280203529184E-3</v>
      </c>
      <c r="H212" s="230">
        <f t="shared" si="171"/>
        <v>4.7523559180851823E-3</v>
      </c>
      <c r="I212" s="230">
        <f t="shared" si="171"/>
        <v>6.9629337452610639E-3</v>
      </c>
      <c r="J212" s="230">
        <f t="shared" si="171"/>
        <v>9.4055757453709431E-3</v>
      </c>
      <c r="K212" s="230">
        <f t="shared" si="171"/>
        <v>1.2094026202250913E-2</v>
      </c>
      <c r="L212" s="230">
        <f t="shared" si="171"/>
        <v>1.5042225563533561E-2</v>
      </c>
      <c r="M212" s="230">
        <f t="shared" si="171"/>
        <v>1.8264274102912731E-2</v>
      </c>
      <c r="N212" s="230">
        <f t="shared" si="171"/>
        <v>2.2688396650152716E-2</v>
      </c>
      <c r="O212" s="230">
        <f t="shared" si="171"/>
        <v>2.7534853059546477E-2</v>
      </c>
      <c r="P212" s="230">
        <f t="shared" si="171"/>
        <v>3.2806405661336191E-2</v>
      </c>
      <c r="Q212" s="230">
        <f t="shared" si="171"/>
        <v>3.850172314425182E-2</v>
      </c>
      <c r="R212" s="230">
        <f t="shared" si="171"/>
        <v>4.4615135287365416E-2</v>
      </c>
      <c r="S212" s="230">
        <f t="shared" si="171"/>
        <v>5.124278841306136E-2</v>
      </c>
      <c r="T212" s="230">
        <f t="shared" si="171"/>
        <v>5.8408072764003852E-2</v>
      </c>
      <c r="U212" s="230">
        <f t="shared" si="171"/>
        <v>6.613478180881395E-2</v>
      </c>
      <c r="V212" s="230">
        <f t="shared" si="171"/>
        <v>7.4447101725266016E-2</v>
      </c>
      <c r="W212" s="230">
        <f t="shared" si="171"/>
        <v>8.3369600224080173E-2</v>
      </c>
      <c r="X212" s="230">
        <f t="shared" si="171"/>
        <v>9.5460481568028333E-2</v>
      </c>
      <c r="Y212" s="230">
        <f t="shared" si="171"/>
        <v>0.10852599974893991</v>
      </c>
      <c r="Z212" s="230">
        <f t="shared" si="171"/>
        <v>0.1226078329416652</v>
      </c>
      <c r="AA212" s="230">
        <f t="shared" si="171"/>
        <v>0.13774832325924616</v>
      </c>
      <c r="AB212" s="230">
        <f t="shared" si="171"/>
        <v>0.15399045933325392</v>
      </c>
      <c r="AC212" s="230">
        <f t="shared" si="171"/>
        <v>0.17137955276943662</v>
      </c>
      <c r="AD212" s="230">
        <f t="shared" si="171"/>
        <v>0.18996035841602185</v>
      </c>
      <c r="AE212" s="230">
        <f t="shared" si="171"/>
        <v>0.20977829049202915</v>
      </c>
      <c r="AF212" s="230">
        <f t="shared" si="171"/>
        <v>0.23087940566210427</v>
      </c>
      <c r="AG212" s="230">
        <f t="shared" si="171"/>
        <v>0.25331038520839622</v>
      </c>
      <c r="AH212" s="245"/>
      <c r="AI212" s="133"/>
      <c r="AJ212" s="211"/>
      <c r="AL212" s="108"/>
      <c r="AM212" s="2"/>
      <c r="AN212" s="2"/>
      <c r="AO212" s="2"/>
      <c r="BC212" s="1"/>
      <c r="BD212" s="2"/>
      <c r="BE212" s="2"/>
      <c r="BF212" s="2"/>
      <c r="BG212" s="2"/>
      <c r="BH212" s="2"/>
      <c r="BI212" s="2"/>
      <c r="BJ212" s="2"/>
      <c r="BK212" s="2"/>
    </row>
    <row r="213" spans="1:63" outlineLevel="1">
      <c r="A213" s="4" t="s">
        <v>745</v>
      </c>
      <c r="C213" s="230">
        <f t="shared" si="170"/>
        <v>0</v>
      </c>
      <c r="D213" s="230">
        <f t="shared" ref="D213:AG213" si="172">D209-$C209</f>
        <v>0</v>
      </c>
      <c r="E213" s="230">
        <f t="shared" si="172"/>
        <v>0</v>
      </c>
      <c r="F213" s="230">
        <f t="shared" si="172"/>
        <v>0</v>
      </c>
      <c r="G213" s="230">
        <f t="shared" si="172"/>
        <v>0</v>
      </c>
      <c r="H213" s="230">
        <f t="shared" si="172"/>
        <v>0</v>
      </c>
      <c r="I213" s="230">
        <f t="shared" si="172"/>
        <v>0</v>
      </c>
      <c r="J213" s="230">
        <f t="shared" si="172"/>
        <v>0</v>
      </c>
      <c r="K213" s="230">
        <f t="shared" si="172"/>
        <v>0</v>
      </c>
      <c r="L213" s="230">
        <f t="shared" si="172"/>
        <v>0</v>
      </c>
      <c r="M213" s="230">
        <f t="shared" si="172"/>
        <v>0</v>
      </c>
      <c r="N213" s="230">
        <f t="shared" si="172"/>
        <v>0</v>
      </c>
      <c r="O213" s="230">
        <f t="shared" si="172"/>
        <v>0</v>
      </c>
      <c r="P213" s="230">
        <f t="shared" si="172"/>
        <v>0</v>
      </c>
      <c r="Q213" s="230">
        <f t="shared" si="172"/>
        <v>0</v>
      </c>
      <c r="R213" s="230">
        <f t="shared" si="172"/>
        <v>0</v>
      </c>
      <c r="S213" s="230">
        <f t="shared" si="172"/>
        <v>0</v>
      </c>
      <c r="T213" s="230">
        <f t="shared" si="172"/>
        <v>0</v>
      </c>
      <c r="U213" s="230">
        <f t="shared" si="172"/>
        <v>0</v>
      </c>
      <c r="V213" s="230">
        <f t="shared" si="172"/>
        <v>0</v>
      </c>
      <c r="W213" s="230">
        <f t="shared" si="172"/>
        <v>0</v>
      </c>
      <c r="X213" s="230">
        <f t="shared" si="172"/>
        <v>0</v>
      </c>
      <c r="Y213" s="230">
        <f t="shared" si="172"/>
        <v>0</v>
      </c>
      <c r="Z213" s="230">
        <f t="shared" si="172"/>
        <v>0</v>
      </c>
      <c r="AA213" s="230">
        <f t="shared" si="172"/>
        <v>0</v>
      </c>
      <c r="AB213" s="230">
        <f t="shared" si="172"/>
        <v>0</v>
      </c>
      <c r="AC213" s="230">
        <f t="shared" si="172"/>
        <v>0</v>
      </c>
      <c r="AD213" s="230">
        <f t="shared" si="172"/>
        <v>0</v>
      </c>
      <c r="AE213" s="230">
        <f t="shared" si="172"/>
        <v>0</v>
      </c>
      <c r="AF213" s="230">
        <f t="shared" si="172"/>
        <v>0</v>
      </c>
      <c r="AG213" s="230">
        <f t="shared" si="172"/>
        <v>0</v>
      </c>
      <c r="AH213" s="245"/>
      <c r="AI213" s="133"/>
      <c r="AJ213" s="211"/>
      <c r="AL213" s="108"/>
      <c r="AM213" s="2"/>
      <c r="AN213" s="2"/>
      <c r="AO213" s="2"/>
      <c r="BC213" s="1"/>
      <c r="BD213" s="2"/>
      <c r="BE213" s="2"/>
      <c r="BF213" s="2"/>
      <c r="BG213" s="2"/>
      <c r="BH213" s="2"/>
      <c r="BI213" s="2"/>
      <c r="BJ213" s="2"/>
      <c r="BK213" s="2"/>
    </row>
    <row r="214" spans="1:63" outlineLevel="1">
      <c r="A214" s="4" t="s">
        <v>1561</v>
      </c>
      <c r="C214" s="230">
        <f t="shared" si="170"/>
        <v>0</v>
      </c>
      <c r="D214" s="230">
        <f t="shared" ref="D214:AG214" si="173">D210-$C210</f>
        <v>-3.7246035986417941E-3</v>
      </c>
      <c r="E214" s="230">
        <f t="shared" si="173"/>
        <v>-1.1781915883368708E-3</v>
      </c>
      <c r="F214" s="230">
        <f t="shared" si="173"/>
        <v>1.684161095100032E-3</v>
      </c>
      <c r="G214" s="230">
        <f t="shared" si="173"/>
        <v>4.8705022461752023E-3</v>
      </c>
      <c r="H214" s="230">
        <f t="shared" si="173"/>
        <v>8.3853657981918187E-3</v>
      </c>
      <c r="I214" s="230">
        <f t="shared" si="173"/>
        <v>1.2285853056669406E-2</v>
      </c>
      <c r="J214" s="230">
        <f t="shared" si="173"/>
        <v>1.6595809431570095E-2</v>
      </c>
      <c r="K214" s="230">
        <f t="shared" si="173"/>
        <v>2.1339486231000078E-2</v>
      </c>
      <c r="L214" s="230">
        <f t="shared" si="173"/>
        <v>2.6541480887223419E-2</v>
      </c>
      <c r="M214" s="230">
        <f t="shared" si="173"/>
        <v>3.2226672839999145E-2</v>
      </c>
      <c r="N214" s="230">
        <f t="shared" si="173"/>
        <v>4.0032882335684999E-2</v>
      </c>
      <c r="O214" s="230">
        <f t="shared" si="173"/>
        <v>4.858428515951483E-2</v>
      </c>
      <c r="P214" s="230">
        <f t="shared" si="173"/>
        <v>5.7885755346585153E-2</v>
      </c>
      <c r="Q214" s="230">
        <f t="shared" si="173"/>
        <v>6.7934943844724177E-2</v>
      </c>
      <c r="R214" s="230">
        <f t="shared" si="173"/>
        <v>7.8721845747427258E-2</v>
      </c>
      <c r="S214" s="230">
        <f t="shared" si="173"/>
        <v>9.0416107877710275E-2</v>
      </c>
      <c r="T214" s="230">
        <f t="shared" si="173"/>
        <v>0.10305900150065277</v>
      </c>
      <c r="U214" s="230">
        <f t="shared" si="173"/>
        <v>0.11669250935943191</v>
      </c>
      <c r="V214" s="230">
        <f t="shared" si="173"/>
        <v>0.13135930711879043</v>
      </c>
      <c r="W214" s="230">
        <f t="shared" si="173"/>
        <v>0.14710274364500919</v>
      </c>
      <c r="X214" s="230">
        <f t="shared" si="173"/>
        <v>0.16843668088352917</v>
      </c>
      <c r="Y214" s="230">
        <f t="shared" si="173"/>
        <v>0.19149033073179492</v>
      </c>
      <c r="Z214" s="230">
        <f t="shared" si="173"/>
        <v>0.21633723287158635</v>
      </c>
      <c r="AA214" s="230">
        <f t="shared" si="173"/>
        <v>0.2430520984804003</v>
      </c>
      <c r="AB214" s="230">
        <f t="shared" si="173"/>
        <v>0.27171077949506606</v>
      </c>
      <c r="AC214" s="230">
        <f t="shared" si="173"/>
        <v>0.30239322665909907</v>
      </c>
      <c r="AD214" s="230">
        <f t="shared" si="173"/>
        <v>0.3351784083368432</v>
      </c>
      <c r="AE214" s="230">
        <f t="shared" si="173"/>
        <v>0.37014645632934234</v>
      </c>
      <c r="AF214" s="230">
        <f t="shared" si="173"/>
        <v>0.40737863601047775</v>
      </c>
      <c r="AG214" s="230">
        <f t="shared" si="173"/>
        <v>0.44695731486986806</v>
      </c>
      <c r="AH214" s="245"/>
      <c r="AI214" s="133"/>
      <c r="AJ214" s="211"/>
      <c r="AL214" s="108"/>
      <c r="AM214" s="2"/>
      <c r="AN214" s="2"/>
      <c r="AO214" s="2"/>
      <c r="BC214" s="1"/>
      <c r="BD214" s="2"/>
      <c r="BE214" s="2"/>
      <c r="BF214" s="2"/>
      <c r="BG214" s="2"/>
      <c r="BH214" s="2"/>
      <c r="BI214" s="2"/>
      <c r="BJ214" s="2"/>
      <c r="BK214" s="2"/>
    </row>
    <row r="215" spans="1:63" outlineLevel="1">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J215" s="211"/>
    </row>
    <row r="216" spans="1:63" s="200" customFormat="1" ht="16" thickBot="1">
      <c r="A216" s="200" t="s">
        <v>1347</v>
      </c>
      <c r="B216" s="215"/>
      <c r="C216" s="224">
        <f>C217</f>
        <v>1.6E-2</v>
      </c>
      <c r="D216" s="224">
        <f t="shared" ref="D216:AG216" si="174">D217</f>
        <v>2.329547397581962E-2</v>
      </c>
      <c r="E216" s="224">
        <f t="shared" si="174"/>
        <v>3.059094795163924E-2</v>
      </c>
      <c r="F216" s="224">
        <f t="shared" si="174"/>
        <v>3.7886421927458863E-2</v>
      </c>
      <c r="G216" s="224">
        <f t="shared" si="174"/>
        <v>4.5181895903278479E-2</v>
      </c>
      <c r="H216" s="224">
        <f t="shared" si="174"/>
        <v>5.2477369879098103E-2</v>
      </c>
      <c r="I216" s="224">
        <f t="shared" si="174"/>
        <v>5.9772843854917726E-2</v>
      </c>
      <c r="J216" s="224">
        <f t="shared" si="174"/>
        <v>6.7068317830737342E-2</v>
      </c>
      <c r="K216" s="224">
        <f t="shared" si="174"/>
        <v>7.4363791806556973E-2</v>
      </c>
      <c r="L216" s="224">
        <f t="shared" si="174"/>
        <v>8.1659265782376589E-2</v>
      </c>
      <c r="M216" s="224">
        <f t="shared" si="174"/>
        <v>8.8954739758196205E-2</v>
      </c>
      <c r="N216" s="224">
        <f t="shared" si="174"/>
        <v>0.10433135413800063</v>
      </c>
      <c r="O216" s="224">
        <f t="shared" si="174"/>
        <v>0.11970796851780505</v>
      </c>
      <c r="P216" s="224">
        <f t="shared" si="174"/>
        <v>0.1350845828976095</v>
      </c>
      <c r="Q216" s="224">
        <f t="shared" si="174"/>
        <v>0.15046119727741392</v>
      </c>
      <c r="R216" s="224">
        <f t="shared" si="174"/>
        <v>0.16583781165721834</v>
      </c>
      <c r="S216" s="224">
        <f t="shared" si="174"/>
        <v>0.18121442603702276</v>
      </c>
      <c r="T216" s="224">
        <f t="shared" si="174"/>
        <v>0.19659104041682718</v>
      </c>
      <c r="U216" s="224">
        <f t="shared" si="174"/>
        <v>0.2119676547966316</v>
      </c>
      <c r="V216" s="224">
        <f t="shared" si="174"/>
        <v>0.22734426917643602</v>
      </c>
      <c r="W216" s="224">
        <f t="shared" si="174"/>
        <v>0.24272088355624044</v>
      </c>
      <c r="X216" s="224">
        <f t="shared" si="174"/>
        <v>0.26844879520061637</v>
      </c>
      <c r="Y216" s="224">
        <f t="shared" si="174"/>
        <v>0.29417670684499236</v>
      </c>
      <c r="Z216" s="224">
        <f t="shared" si="174"/>
        <v>0.3199046184893683</v>
      </c>
      <c r="AA216" s="224">
        <f t="shared" si="174"/>
        <v>0.34563253013374429</v>
      </c>
      <c r="AB216" s="224">
        <f t="shared" si="174"/>
        <v>0.37136044177812022</v>
      </c>
      <c r="AC216" s="224">
        <f t="shared" si="174"/>
        <v>0.39708835342249615</v>
      </c>
      <c r="AD216" s="224">
        <f t="shared" si="174"/>
        <v>0.42281626506687209</v>
      </c>
      <c r="AE216" s="224">
        <f t="shared" si="174"/>
        <v>0.44854417671124808</v>
      </c>
      <c r="AF216" s="224">
        <f t="shared" si="174"/>
        <v>0.47427208835562407</v>
      </c>
      <c r="AG216" s="224">
        <f t="shared" si="174"/>
        <v>0.5</v>
      </c>
      <c r="AJ216" s="231" t="s">
        <v>1312</v>
      </c>
      <c r="AL216" s="217"/>
      <c r="AM216" s="225"/>
      <c r="AN216" s="225"/>
      <c r="AO216" s="225"/>
    </row>
    <row r="217" spans="1:63" ht="16" outlineLevel="1" thickTop="1">
      <c r="A217" t="s">
        <v>1348</v>
      </c>
      <c r="B217" s="54" t="s">
        <v>462</v>
      </c>
      <c r="C217" s="113">
        <v>1.6E-2</v>
      </c>
      <c r="D217" s="110">
        <f>$C217+($M217-$C217)/10*(D$1-$C$1)</f>
        <v>2.329547397581962E-2</v>
      </c>
      <c r="E217" s="110">
        <f t="shared" ref="E217:L217" si="175">$C217+($M217-$C217)/10*(E$1-$C$1)</f>
        <v>3.059094795163924E-2</v>
      </c>
      <c r="F217" s="110">
        <f t="shared" si="175"/>
        <v>3.7886421927458863E-2</v>
      </c>
      <c r="G217" s="110">
        <f t="shared" si="175"/>
        <v>4.5181895903278479E-2</v>
      </c>
      <c r="H217" s="110">
        <f t="shared" si="175"/>
        <v>5.2477369879098103E-2</v>
      </c>
      <c r="I217" s="110">
        <f t="shared" si="175"/>
        <v>5.9772843854917726E-2</v>
      </c>
      <c r="J217" s="110">
        <f t="shared" si="175"/>
        <v>6.7068317830737342E-2</v>
      </c>
      <c r="K217" s="110">
        <f t="shared" si="175"/>
        <v>7.4363791806556973E-2</v>
      </c>
      <c r="L217" s="110">
        <f t="shared" si="175"/>
        <v>8.1659265782376589E-2</v>
      </c>
      <c r="M217" s="121">
        <f>(M$52-$C$52)/($AG$52-$C$52)*($AG217-$C217)+$C217</f>
        <v>8.8954739758196205E-2</v>
      </c>
      <c r="N217" s="121">
        <f>$M217+($W217-$M217)/10*(N$1-$M$1)</f>
        <v>0.10433135413800063</v>
      </c>
      <c r="O217" s="121">
        <f t="shared" ref="O217:U217" si="176">$M217+($W217-$M217)/10*(O$1-$M$1)</f>
        <v>0.11970796851780505</v>
      </c>
      <c r="P217" s="121">
        <f t="shared" si="176"/>
        <v>0.1350845828976095</v>
      </c>
      <c r="Q217" s="121">
        <f t="shared" si="176"/>
        <v>0.15046119727741392</v>
      </c>
      <c r="R217" s="121">
        <f t="shared" si="176"/>
        <v>0.16583781165721834</v>
      </c>
      <c r="S217" s="121">
        <f t="shared" si="176"/>
        <v>0.18121442603702276</v>
      </c>
      <c r="T217" s="121">
        <f t="shared" si="176"/>
        <v>0.19659104041682718</v>
      </c>
      <c r="U217" s="121">
        <f t="shared" si="176"/>
        <v>0.2119676547966316</v>
      </c>
      <c r="V217" s="121">
        <f>$M217+($W217-$M217)/10*(V$1-$M$1)</f>
        <v>0.22734426917643602</v>
      </c>
      <c r="W217" s="121">
        <f>(W$52-$C$52)/($AG$52-$C$52)*($AG217-$C217)+$C217</f>
        <v>0.24272088355624044</v>
      </c>
      <c r="X217" s="23">
        <f t="shared" ref="X217:AF217" si="177">$W217+($AG217-$W217)/10*(X$1-$W$1)</f>
        <v>0.26844879520061637</v>
      </c>
      <c r="Y217" s="23">
        <f t="shared" si="177"/>
        <v>0.29417670684499236</v>
      </c>
      <c r="Z217" s="23">
        <f t="shared" si="177"/>
        <v>0.3199046184893683</v>
      </c>
      <c r="AA217" s="23">
        <f t="shared" si="177"/>
        <v>0.34563253013374429</v>
      </c>
      <c r="AB217" s="23">
        <f t="shared" si="177"/>
        <v>0.37136044177812022</v>
      </c>
      <c r="AC217" s="23">
        <f t="shared" si="177"/>
        <v>0.39708835342249615</v>
      </c>
      <c r="AD217" s="23">
        <f t="shared" si="177"/>
        <v>0.42281626506687209</v>
      </c>
      <c r="AE217" s="23">
        <f t="shared" si="177"/>
        <v>0.44854417671124808</v>
      </c>
      <c r="AF217" s="23">
        <f t="shared" si="177"/>
        <v>0.47427208835562407</v>
      </c>
      <c r="AG217" s="106">
        <v>0.5</v>
      </c>
      <c r="AJ217" s="211" t="s">
        <v>1349</v>
      </c>
    </row>
    <row r="218" spans="1:63" outlineLevel="1">
      <c r="C218" s="113"/>
      <c r="D218" s="110"/>
      <c r="E218" s="110"/>
      <c r="F218" s="110"/>
      <c r="G218" s="110"/>
      <c r="H218" s="110"/>
      <c r="I218" s="110"/>
      <c r="J218" s="110"/>
      <c r="K218" s="110"/>
      <c r="L218" s="110"/>
      <c r="M218" s="121"/>
      <c r="N218" s="121"/>
      <c r="O218" s="121"/>
      <c r="P218" s="121"/>
      <c r="Q218" s="121"/>
      <c r="R218" s="121"/>
      <c r="S218" s="121"/>
      <c r="T218" s="121"/>
      <c r="U218" s="121"/>
      <c r="V218" s="121"/>
      <c r="W218" s="121"/>
      <c r="X218" s="23"/>
      <c r="Y218" s="23"/>
      <c r="Z218" s="23"/>
      <c r="AA218" s="23"/>
      <c r="AB218" s="23"/>
      <c r="AC218" s="23"/>
      <c r="AD218" s="23"/>
      <c r="AE218" s="23"/>
      <c r="AF218" s="23"/>
      <c r="AG218" s="106"/>
      <c r="AJ218" s="211"/>
    </row>
    <row r="219" spans="1:63" outlineLevel="1">
      <c r="A219" t="s">
        <v>1553</v>
      </c>
      <c r="C219" s="504">
        <f>'Overall recycling rates'!E85</f>
        <v>0.29641108292007839</v>
      </c>
      <c r="D219" s="504">
        <f>C219-($C219-$AG219)/($AG$1-$C$1)</f>
        <v>0.31319738015607579</v>
      </c>
      <c r="E219" s="504">
        <f t="shared" ref="E219:AF219" si="178">D219-($C219-$AG219)/($AG$1-$C$1)</f>
        <v>0.32998367739207318</v>
      </c>
      <c r="F219" s="504">
        <f t="shared" si="178"/>
        <v>0.34676997462807058</v>
      </c>
      <c r="G219" s="504">
        <f t="shared" si="178"/>
        <v>0.36355627186406797</v>
      </c>
      <c r="H219" s="504">
        <f t="shared" si="178"/>
        <v>0.38034256910006536</v>
      </c>
      <c r="I219" s="504">
        <f t="shared" si="178"/>
        <v>0.39712886633606276</v>
      </c>
      <c r="J219" s="504">
        <f t="shared" si="178"/>
        <v>0.41391516357206015</v>
      </c>
      <c r="K219" s="504">
        <f t="shared" si="178"/>
        <v>0.43070146080805755</v>
      </c>
      <c r="L219" s="504">
        <f t="shared" si="178"/>
        <v>0.44748775804405494</v>
      </c>
      <c r="M219" s="504">
        <f t="shared" si="178"/>
        <v>0.46427405528005233</v>
      </c>
      <c r="N219" s="504">
        <f t="shared" si="178"/>
        <v>0.48106035251604973</v>
      </c>
      <c r="O219" s="504">
        <f t="shared" si="178"/>
        <v>0.49784664975204712</v>
      </c>
      <c r="P219" s="504">
        <f t="shared" si="178"/>
        <v>0.51463294698804452</v>
      </c>
      <c r="Q219" s="504">
        <f t="shared" si="178"/>
        <v>0.53141924422404185</v>
      </c>
      <c r="R219" s="504">
        <f t="shared" si="178"/>
        <v>0.54820554146003919</v>
      </c>
      <c r="S219" s="504">
        <f t="shared" si="178"/>
        <v>0.56499183869603653</v>
      </c>
      <c r="T219" s="504">
        <f t="shared" si="178"/>
        <v>0.58177813593203387</v>
      </c>
      <c r="U219" s="504">
        <f t="shared" si="178"/>
        <v>0.59856443316803121</v>
      </c>
      <c r="V219" s="504">
        <f t="shared" si="178"/>
        <v>0.61535073040402855</v>
      </c>
      <c r="W219" s="504">
        <f t="shared" si="178"/>
        <v>0.63213702764002588</v>
      </c>
      <c r="X219" s="504">
        <f t="shared" si="178"/>
        <v>0.64892332487602322</v>
      </c>
      <c r="Y219" s="504">
        <f t="shared" si="178"/>
        <v>0.66570962211202056</v>
      </c>
      <c r="Z219" s="504">
        <f t="shared" si="178"/>
        <v>0.6824959193480179</v>
      </c>
      <c r="AA219" s="504">
        <f t="shared" si="178"/>
        <v>0.69928221658401524</v>
      </c>
      <c r="AB219" s="504">
        <f t="shared" si="178"/>
        <v>0.71606851382001258</v>
      </c>
      <c r="AC219" s="504">
        <f t="shared" si="178"/>
        <v>0.73285481105600991</v>
      </c>
      <c r="AD219" s="504">
        <f t="shared" si="178"/>
        <v>0.74964110829200725</v>
      </c>
      <c r="AE219" s="504">
        <f t="shared" si="178"/>
        <v>0.76642740552800459</v>
      </c>
      <c r="AF219" s="504">
        <f t="shared" si="178"/>
        <v>0.78321370276400193</v>
      </c>
      <c r="AG219" s="504">
        <f>'Overall recycling rates'!E94</f>
        <v>0.8</v>
      </c>
      <c r="AI219" s="133"/>
      <c r="AJ219" s="211" t="s">
        <v>1582</v>
      </c>
      <c r="AL219" s="108"/>
      <c r="AM219" s="207"/>
      <c r="AN219" s="207"/>
      <c r="AO219" s="207"/>
      <c r="BC219" s="1"/>
      <c r="BD219" s="207"/>
      <c r="BE219" s="207"/>
      <c r="BF219" s="207"/>
      <c r="BG219" s="207"/>
      <c r="BH219" s="207"/>
      <c r="BI219" s="207"/>
      <c r="BJ219" s="207"/>
      <c r="BK219" s="207"/>
    </row>
    <row r="220" spans="1:63" outlineLevel="1">
      <c r="A220" t="s">
        <v>1583</v>
      </c>
      <c r="B220" s="54" t="s">
        <v>462</v>
      </c>
      <c r="C220" s="110">
        <f>C217*C219</f>
        <v>4.7425773267212546E-3</v>
      </c>
      <c r="D220" s="110">
        <f t="shared" ref="D220:AG220" si="179">D217*D219</f>
        <v>7.2960814187207476E-3</v>
      </c>
      <c r="E220" s="110">
        <f t="shared" si="179"/>
        <v>1.0094513499991424E-2</v>
      </c>
      <c r="F220" s="110">
        <f t="shared" si="179"/>
        <v>1.3137873570533287E-2</v>
      </c>
      <c r="G220" s="110">
        <f t="shared" si="179"/>
        <v>1.6426161630346329E-2</v>
      </c>
      <c r="H220" s="110">
        <f t="shared" si="179"/>
        <v>1.9959377679430557E-2</v>
      </c>
      <c r="I220" s="110">
        <f t="shared" si="179"/>
        <v>2.3737521717785971E-2</v>
      </c>
      <c r="J220" s="110">
        <f t="shared" si="179"/>
        <v>2.7760593745412565E-2</v>
      </c>
      <c r="K220" s="110">
        <f t="shared" si="179"/>
        <v>3.2028593762310348E-2</v>
      </c>
      <c r="L220" s="110">
        <f t="shared" si="179"/>
        <v>3.6541521768479308E-2</v>
      </c>
      <c r="M220" s="110">
        <f t="shared" si="179"/>
        <v>4.1299377763919454E-2</v>
      </c>
      <c r="N220" s="110">
        <f t="shared" si="179"/>
        <v>5.0189678000103405E-2</v>
      </c>
      <c r="O220" s="110">
        <f t="shared" si="179"/>
        <v>5.959621107521277E-2</v>
      </c>
      <c r="P220" s="110">
        <f t="shared" si="179"/>
        <v>6.9518976989247569E-2</v>
      </c>
      <c r="Q220" s="110">
        <f t="shared" si="179"/>
        <v>7.9957975742207768E-2</v>
      </c>
      <c r="R220" s="110">
        <f t="shared" si="179"/>
        <v>9.0913207334093374E-2</v>
      </c>
      <c r="S220" s="110">
        <f t="shared" si="179"/>
        <v>0.1023846717649044</v>
      </c>
      <c r="T220" s="110">
        <f t="shared" si="179"/>
        <v>0.11437236903464085</v>
      </c>
      <c r="U220" s="110">
        <f t="shared" si="179"/>
        <v>0.1268762991433027</v>
      </c>
      <c r="V220" s="110">
        <f t="shared" si="179"/>
        <v>0.13989646209088999</v>
      </c>
      <c r="W220" s="110">
        <f t="shared" si="179"/>
        <v>0.15343285787740266</v>
      </c>
      <c r="X220" s="110">
        <f t="shared" si="179"/>
        <v>0.17420268474054659</v>
      </c>
      <c r="Y220" s="110">
        <f t="shared" si="179"/>
        <v>0.19583626434793852</v>
      </c>
      <c r="Z220" s="110">
        <f t="shared" si="179"/>
        <v>0.21833359669957833</v>
      </c>
      <c r="AA220" s="110">
        <f t="shared" si="179"/>
        <v>0.24169468179546613</v>
      </c>
      <c r="AB220" s="110">
        <f t="shared" si="179"/>
        <v>0.26591951963560184</v>
      </c>
      <c r="AC220" s="110">
        <f t="shared" si="179"/>
        <v>0.29100811021998552</v>
      </c>
      <c r="AD220" s="110">
        <f t="shared" si="179"/>
        <v>0.31696045354861713</v>
      </c>
      <c r="AE220" s="110">
        <f t="shared" si="179"/>
        <v>0.34377654962149667</v>
      </c>
      <c r="AF220" s="110">
        <f t="shared" si="179"/>
        <v>0.37145639843862421</v>
      </c>
      <c r="AG220" s="110">
        <f t="shared" si="179"/>
        <v>0.4</v>
      </c>
      <c r="AJ220" s="211" t="s">
        <v>1349</v>
      </c>
    </row>
    <row r="221" spans="1:63" outlineLevel="1">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I221" s="134"/>
      <c r="AJ221" s="211"/>
      <c r="BC221" s="1"/>
      <c r="BD221" s="41"/>
      <c r="BF221" s="6"/>
      <c r="BG221" s="6"/>
      <c r="BH221" s="6"/>
      <c r="BI221" s="6"/>
      <c r="BJ221" s="6"/>
    </row>
    <row r="222" spans="1:63" s="1" customFormat="1" outlineLevel="1">
      <c r="A222" s="1" t="s">
        <v>228</v>
      </c>
      <c r="B222" s="65"/>
      <c r="C222" s="300">
        <f>C220*C44</f>
        <v>1.2941584261657406E-3</v>
      </c>
      <c r="D222" s="300">
        <f t="shared" ref="D222:AG222" si="180">D220*D44</f>
        <v>2.0577007257949116E-3</v>
      </c>
      <c r="E222" s="300">
        <f t="shared" si="180"/>
        <v>2.9346795455944428E-3</v>
      </c>
      <c r="F222" s="300">
        <f t="shared" si="180"/>
        <v>3.9268753181392474E-3</v>
      </c>
      <c r="G222" s="300">
        <f t="shared" si="180"/>
        <v>5.0346538613794505E-3</v>
      </c>
      <c r="H222" s="300">
        <f t="shared" si="180"/>
        <v>6.2568757687512964E-3</v>
      </c>
      <c r="I222" s="300">
        <f t="shared" si="180"/>
        <v>7.6072060295379017E-3</v>
      </c>
      <c r="J222" s="300">
        <f t="shared" si="180"/>
        <v>9.090752569343467E-3</v>
      </c>
      <c r="K222" s="300">
        <f t="shared" si="180"/>
        <v>1.0712529104499251E-2</v>
      </c>
      <c r="L222" s="300">
        <f t="shared" si="180"/>
        <v>1.247743632041254E-2</v>
      </c>
      <c r="M222" s="300">
        <f t="shared" si="180"/>
        <v>1.4390242724023143E-2</v>
      </c>
      <c r="N222" s="300">
        <f t="shared" si="180"/>
        <v>1.781164852582327E-2</v>
      </c>
      <c r="O222" s="300">
        <f t="shared" si="180"/>
        <v>2.1500619946172469E-2</v>
      </c>
      <c r="P222" s="300">
        <f t="shared" si="180"/>
        <v>2.544802981647272E-2</v>
      </c>
      <c r="Q222" s="300">
        <f t="shared" si="180"/>
        <v>2.9641841090326936E-2</v>
      </c>
      <c r="R222" s="300">
        <f t="shared" si="180"/>
        <v>3.4067116734492142E-2</v>
      </c>
      <c r="S222" s="300">
        <f t="shared" si="180"/>
        <v>3.8775804433284419E-2</v>
      </c>
      <c r="T222" s="300">
        <f t="shared" si="180"/>
        <v>4.3774066330041682E-2</v>
      </c>
      <c r="U222" s="300">
        <f t="shared" si="180"/>
        <v>4.9068024078796839E-2</v>
      </c>
      <c r="V222" s="300">
        <f t="shared" si="180"/>
        <v>5.466375357992323E-2</v>
      </c>
      <c r="W222" s="300">
        <f t="shared" si="180"/>
        <v>6.056727965741205E-2</v>
      </c>
      <c r="X222" s="300">
        <f t="shared" si="180"/>
        <v>6.9463807862829852E-2</v>
      </c>
      <c r="Y222" s="300">
        <f t="shared" si="180"/>
        <v>7.8874742736216835E-2</v>
      </c>
      <c r="Z222" s="300">
        <f t="shared" si="180"/>
        <v>8.8810338665717234E-2</v>
      </c>
      <c r="AA222" s="300">
        <f t="shared" si="180"/>
        <v>9.9280776052217551E-2</v>
      </c>
      <c r="AB222" s="300">
        <f t="shared" si="180"/>
        <v>0.11029615327688576</v>
      </c>
      <c r="AC222" s="300">
        <f t="shared" si="180"/>
        <v>0.12186763074670791</v>
      </c>
      <c r="AD222" s="300">
        <f t="shared" si="180"/>
        <v>0.13400546430424182</v>
      </c>
      <c r="AE222" s="300">
        <f t="shared" si="180"/>
        <v>0.14671983652442061</v>
      </c>
      <c r="AF222" s="300">
        <f t="shared" si="180"/>
        <v>0.1600208494185596</v>
      </c>
      <c r="AG222" s="300">
        <f t="shared" si="180"/>
        <v>0.17391851707263886</v>
      </c>
      <c r="AH222" s="245"/>
      <c r="AI222" s="423"/>
      <c r="AJ222" s="424"/>
      <c r="AL222" s="221"/>
      <c r="AM222" s="124"/>
      <c r="AN222" s="124"/>
      <c r="AO222" s="124"/>
      <c r="BD222" s="124"/>
      <c r="BE222" s="124"/>
      <c r="BF222" s="124"/>
      <c r="BG222" s="124"/>
      <c r="BH222" s="124"/>
      <c r="BI222" s="124"/>
      <c r="BJ222" s="124"/>
      <c r="BK222" s="124"/>
    </row>
    <row r="223" spans="1:63" outlineLevel="1">
      <c r="A223" s="4" t="s">
        <v>474</v>
      </c>
      <c r="C223" s="230">
        <f>C$222*'Methanol recycling rates'!E69</f>
        <v>0</v>
      </c>
      <c r="D223" s="230">
        <f>D$222*'Methanol recycling rates'!F69</f>
        <v>4.4859542912567576E-5</v>
      </c>
      <c r="E223" s="230">
        <f>E$222*'Methanol recycling rates'!G69</f>
        <v>1.2795678337467763E-4</v>
      </c>
      <c r="F223" s="230">
        <f>F$222*'Methanol recycling rates'!H69</f>
        <v>2.5682719013230416E-4</v>
      </c>
      <c r="G223" s="230">
        <f>G$222*'Methanol recycling rates'!I69</f>
        <v>4.3903813244217305E-4</v>
      </c>
      <c r="H223" s="230">
        <f>H$222*'Methanol recycling rates'!J69</f>
        <v>6.8202480450229978E-4</v>
      </c>
      <c r="I223" s="230">
        <f>I$222*'Methanol recycling rates'!K69</f>
        <v>9.9505952750724011E-4</v>
      </c>
      <c r="J223" s="230">
        <f>J$222*'Methanol recycling rates'!L69</f>
        <v>1.387300397554751E-3</v>
      </c>
      <c r="K223" s="230">
        <f>K$222*'Methanol recycling rates'!M69</f>
        <v>1.8683345077006501E-3</v>
      </c>
      <c r="L223" s="230">
        <f>L$222*'Methanol recycling rates'!N69</f>
        <v>2.4481639858212655E-3</v>
      </c>
      <c r="M223" s="230">
        <f>M$222*'Methanol recycling rates'!O69</f>
        <v>3.1371894994652381E-3</v>
      </c>
      <c r="N223" s="230">
        <f>N$222*'Methanol recycling rates'!P69</f>
        <v>4.271392051859127E-3</v>
      </c>
      <c r="O223" s="230">
        <f>O$222*'Methanol recycling rates'!Q69</f>
        <v>5.6247712081621444E-3</v>
      </c>
      <c r="P223" s="230">
        <f>P$222*'Methanol recycling rates'!R69</f>
        <v>7.2122396744393209E-3</v>
      </c>
      <c r="Q223" s="230">
        <f>Q$222*'Methanol recycling rates'!S69</f>
        <v>9.0470261103663841E-3</v>
      </c>
      <c r="R223" s="230">
        <f>R$222*'Methanol recycling rates'!T69</f>
        <v>1.1140361175224057E-2</v>
      </c>
      <c r="S223" s="230">
        <f>S$222*'Methanol recycling rates'!U69</f>
        <v>1.3525503227081983E-2</v>
      </c>
      <c r="T223" s="230">
        <f>T$222*'Methanol recycling rates'!V69</f>
        <v>1.622327187834148E-2</v>
      </c>
      <c r="U223" s="230">
        <f>U$222*'Methanol recycling rates'!W69</f>
        <v>1.9255008211678755E-2</v>
      </c>
      <c r="V223" s="230">
        <f>V$222*'Methanol recycling rates'!X69</f>
        <v>2.264256818596995E-2</v>
      </c>
      <c r="W223" s="230">
        <f>W$222*'Methanol recycling rates'!Y69</f>
        <v>2.6408315328163616E-2</v>
      </c>
      <c r="X223" s="230">
        <f>X$222*'Methanol recycling rates'!Z69</f>
        <v>3.1801713068975439E-2</v>
      </c>
      <c r="Y223" s="230">
        <f>Y$222*'Methanol recycling rates'!AA69</f>
        <v>3.7829732461592908E-2</v>
      </c>
      <c r="Z223" s="230">
        <f>Z$222*'Methanol recycling rates'!AB69</f>
        <v>4.4531158693669082E-2</v>
      </c>
      <c r="AA223" s="230">
        <f>AA$222*'Methanol recycling rates'!AC69</f>
        <v>5.1945632457162591E-2</v>
      </c>
      <c r="AB223" s="230">
        <f>AB$222*'Methanol recycling rates'!AD69</f>
        <v>6.011363750557297E-2</v>
      </c>
      <c r="AC223" s="230">
        <f>AC$222*'Methanol recycling rates'!AE69</f>
        <v>6.9077140182567984E-2</v>
      </c>
      <c r="AD223" s="230">
        <f>AD$222*'Methanol recycling rates'!AF69</f>
        <v>7.8878547609062488E-2</v>
      </c>
      <c r="AE223" s="230">
        <f>AE$222*'Methanol recycling rates'!AG69</f>
        <v>8.9561116524458126E-2</v>
      </c>
      <c r="AF223" s="230">
        <f>AF$222*'Methanol recycling rates'!AH69</f>
        <v>0.10116894068747725</v>
      </c>
      <c r="AG223" s="230">
        <f>AG$222*'Methanol recycling rates'!AI69</f>
        <v>0.11374693727966005</v>
      </c>
      <c r="AH223" s="245"/>
      <c r="AI223" s="133"/>
      <c r="AJ223" s="211"/>
      <c r="AL223" s="108"/>
      <c r="AM223" s="2"/>
      <c r="AN223" s="2"/>
      <c r="AO223" s="2"/>
      <c r="BC223" s="1"/>
      <c r="BD223" s="2"/>
      <c r="BE223" s="2"/>
      <c r="BF223" s="2"/>
      <c r="BG223" s="2"/>
      <c r="BH223" s="2"/>
      <c r="BI223" s="2"/>
      <c r="BJ223" s="2"/>
      <c r="BK223" s="2"/>
    </row>
    <row r="224" spans="1:63" outlineLevel="1">
      <c r="A224" s="4" t="s">
        <v>745</v>
      </c>
      <c r="C224" s="230">
        <f>C$222*'Methanol recycling rates'!E70</f>
        <v>8.2214406611183359E-4</v>
      </c>
      <c r="D224" s="230">
        <f>D$222*'Methanol recycling rates'!F70</f>
        <v>1.2776789925903272E-3</v>
      </c>
      <c r="E224" s="230">
        <f>E$222*'Methanol recycling rates'!G70</f>
        <v>1.780112087004004E-3</v>
      </c>
      <c r="F224" s="230">
        <f>F$222*'Methanol recycling rates'!H70</f>
        <v>2.3256151654423088E-3</v>
      </c>
      <c r="G224" s="230">
        <f>G$222*'Methanol recycling rates'!I70</f>
        <v>2.9094403829696136E-3</v>
      </c>
      <c r="H224" s="230">
        <f>H$222*'Methanol recycling rates'!J70</f>
        <v>3.5259706530592337E-3</v>
      </c>
      <c r="I224" s="230">
        <f>I$222*'Methanol recycling rates'!K70</f>
        <v>4.1777846734292433E-3</v>
      </c>
      <c r="J224" s="230">
        <f>J$222*'Methanol recycling rates'!L70</f>
        <v>4.8621002430774603E-3</v>
      </c>
      <c r="K224" s="230">
        <f>K$222*'Methanol recycling rates'!M70</f>
        <v>5.5757929807802647E-3</v>
      </c>
      <c r="L224" s="230">
        <f>L$222*'Methanol recycling rates'!N70</f>
        <v>6.3153935569695624E-3</v>
      </c>
      <c r="M224" s="230">
        <f>M$222*'Methanol recycling rates'!O70</f>
        <v>7.0770863856047216E-3</v>
      </c>
      <c r="N224" s="230">
        <f>N$222*'Methanol recycling rates'!P70</f>
        <v>8.5041718248119753E-3</v>
      </c>
      <c r="O224" s="230">
        <f>O$222*'Methanol recycling rates'!Q70</f>
        <v>9.9569899402808491E-3</v>
      </c>
      <c r="P224" s="230">
        <f>P$222*'Methanol recycling rates'!R70</f>
        <v>1.1419928132668598E-2</v>
      </c>
      <c r="Q224" s="230">
        <f>Q$222*'Methanol recycling rates'!S70</f>
        <v>1.2876633540570719E-2</v>
      </c>
      <c r="R224" s="230">
        <f>R$222*'Methanol recycling rates'!T70</f>
        <v>1.4310225943478881E-2</v>
      </c>
      <c r="S224" s="230">
        <f>S$222*'Methanol recycling rates'!U70</f>
        <v>1.5731818308835951E-2</v>
      </c>
      <c r="T224" s="230">
        <f>T$222*'Methanol recycling rates'!V70</f>
        <v>1.7131623471344514E-2</v>
      </c>
      <c r="U224" s="230">
        <f>U$222*'Methanol recycling rates'!W70</f>
        <v>1.8499485353771498E-2</v>
      </c>
      <c r="V224" s="230">
        <f>V$222*'Methanol recycling rates'!X70</f>
        <v>1.9824879962339725E-2</v>
      </c>
      <c r="W224" s="230">
        <f>W$222*'Methanol recycling rates'!Y70</f>
        <v>2.1096916814972323E-2</v>
      </c>
      <c r="X224" s="230">
        <f>X$222*'Methanol recycling rates'!Z70</f>
        <v>2.3199137595518581E-2</v>
      </c>
      <c r="Y224" s="230">
        <f>Y$222*'Methanol recycling rates'!AA70</f>
        <v>2.5210489721600376E-2</v>
      </c>
      <c r="Z224" s="230">
        <f>Z$222*'Methanol recycling rates'!AB70</f>
        <v>2.711196221147243E-2</v>
      </c>
      <c r="AA224" s="230">
        <f>AA$222*'Methanol recycling rates'!AC70</f>
        <v>2.8883934056531696E-2</v>
      </c>
      <c r="AB224" s="230">
        <f>AB$222*'Methanol recycling rates'!AD70</f>
        <v>3.0506177307346768E-2</v>
      </c>
      <c r="AC224" s="230">
        <f>AC$222*'Methanol recycling rates'!AE70</f>
        <v>3.1958162968274251E-2</v>
      </c>
      <c r="AD224" s="230">
        <f>AD$222*'Methanol recycling rates'!AF70</f>
        <v>3.321849731375117E-2</v>
      </c>
      <c r="AE224" s="230">
        <f>AE$222*'Methanol recycling rates'!AG70</f>
        <v>3.4265180922097065E-2</v>
      </c>
      <c r="AF224" s="230">
        <f>AF$222*'Methanol recycling rates'!AH70</f>
        <v>3.5075612332332494E-2</v>
      </c>
      <c r="AG224" s="230">
        <f>AG$222*'Methanol recycling rates'!AI70</f>
        <v>3.5626592315612229E-2</v>
      </c>
      <c r="AH224" s="245"/>
      <c r="AI224" s="133"/>
      <c r="AJ224" s="211"/>
      <c r="AL224" s="108"/>
      <c r="AM224" s="2"/>
      <c r="AN224" s="2"/>
      <c r="AO224" s="2"/>
      <c r="BC224" s="1"/>
      <c r="BD224" s="2"/>
      <c r="BE224" s="2"/>
      <c r="BF224" s="2"/>
      <c r="BG224" s="2"/>
      <c r="BH224" s="2"/>
      <c r="BI224" s="2"/>
      <c r="BJ224" s="2"/>
      <c r="BK224" s="2"/>
    </row>
    <row r="225" spans="1:63" outlineLevel="1">
      <c r="A225" s="4" t="s">
        <v>1561</v>
      </c>
      <c r="C225" s="230">
        <f>C$222*'Methanol recycling rates'!E71</f>
        <v>4.7201436005390703E-4</v>
      </c>
      <c r="D225" s="230">
        <f>D$222*'Methanol recycling rates'!F71</f>
        <v>7.3516219029201677E-4</v>
      </c>
      <c r="E225" s="230">
        <f>E$222*'Methanol recycling rates'!G71</f>
        <v>1.026610675215761E-3</v>
      </c>
      <c r="F225" s="230">
        <f>F$222*'Methanol recycling rates'!H71</f>
        <v>1.3444329625646339E-3</v>
      </c>
      <c r="G225" s="230">
        <f>G$222*'Methanol recycling rates'!I71</f>
        <v>1.6861753459676628E-3</v>
      </c>
      <c r="H225" s="230">
        <f>H$222*'Methanol recycling rates'!J71</f>
        <v>2.0488803111897613E-3</v>
      </c>
      <c r="I225" s="230">
        <f>I$222*'Methanol recycling rates'!K71</f>
        <v>2.4343618286014152E-3</v>
      </c>
      <c r="J225" s="230">
        <f>J$222*'Methanol recycling rates'!L71</f>
        <v>2.8413519287112518E-3</v>
      </c>
      <c r="K225" s="230">
        <f>K$222*'Methanol recycling rates'!M71</f>
        <v>3.2684016160183316E-3</v>
      </c>
      <c r="L225" s="230">
        <f>L$222*'Methanol recycling rates'!N71</f>
        <v>3.7138787776217061E-3</v>
      </c>
      <c r="M225" s="230">
        <f>M$222*'Methanol recycling rates'!O71</f>
        <v>4.1759668389531757E-3</v>
      </c>
      <c r="N225" s="230">
        <f>N$222*'Methanol recycling rates'!P71</f>
        <v>5.0360846491521597E-3</v>
      </c>
      <c r="O225" s="230">
        <f>O$222*'Methanol recycling rates'!Q71</f>
        <v>5.918858797729464E-3</v>
      </c>
      <c r="P225" s="230">
        <f>P$222*'Methanol recycling rates'!R71</f>
        <v>6.8158620093647891E-3</v>
      </c>
      <c r="Q225" s="230">
        <f>Q$222*'Methanol recycling rates'!S71</f>
        <v>7.7181814393898172E-3</v>
      </c>
      <c r="R225" s="230">
        <f>R$222*'Methanol recycling rates'!T71</f>
        <v>8.6165296157891882E-3</v>
      </c>
      <c r="S225" s="230">
        <f>S$222*'Methanol recycling rates'!U71</f>
        <v>9.5184828973664676E-3</v>
      </c>
      <c r="T225" s="230">
        <f>T$222*'Methanol recycling rates'!V71</f>
        <v>1.0419170980355668E-2</v>
      </c>
      <c r="U225" s="230">
        <f>U$222*'Methanol recycling rates'!W71</f>
        <v>1.1313530513346565E-2</v>
      </c>
      <c r="V225" s="230">
        <f>V$222*'Methanol recycling rates'!X71</f>
        <v>1.2196305431613532E-2</v>
      </c>
      <c r="W225" s="230">
        <f>W$222*'Methanol recycling rates'!Y71</f>
        <v>1.3062047514276091E-2</v>
      </c>
      <c r="X225" s="230">
        <f>X$222*'Methanol recycling rates'!Z71</f>
        <v>1.4462957198335812E-2</v>
      </c>
      <c r="Y225" s="230">
        <f>Y$222*'Methanol recycling rates'!AA71</f>
        <v>1.5834520553023528E-2</v>
      </c>
      <c r="Z225" s="230">
        <f>Z$222*'Methanol recycling rates'!AB71</f>
        <v>1.7167217760575691E-2</v>
      </c>
      <c r="AA225" s="230">
        <f>AA$222*'Methanol recycling rates'!AC71</f>
        <v>1.8451209538523236E-2</v>
      </c>
      <c r="AB225" s="230">
        <f>AB$222*'Methanol recycling rates'!AD71</f>
        <v>1.9676338463965989E-2</v>
      </c>
      <c r="AC225" s="230">
        <f>AC$222*'Methanol recycling rates'!AE71</f>
        <v>2.0832327595865643E-2</v>
      </c>
      <c r="AD225" s="230">
        <f>AD$222*'Methanol recycling rates'!AF71</f>
        <v>2.1908419381428134E-2</v>
      </c>
      <c r="AE225" s="230">
        <f>AE$222*'Methanol recycling rates'!AG71</f>
        <v>2.2893539077865385E-2</v>
      </c>
      <c r="AF225" s="230">
        <f>AF$222*'Methanol recycling rates'!AH71</f>
        <v>2.3776296398749803E-2</v>
      </c>
      <c r="AG225" s="230">
        <f>AG$222*'Methanol recycling rates'!AI71</f>
        <v>2.4544987477366553E-2</v>
      </c>
      <c r="AH225" s="245"/>
      <c r="AI225" s="133"/>
      <c r="AJ225" s="211"/>
      <c r="AL225" s="108"/>
      <c r="AM225" s="2"/>
      <c r="AN225" s="2"/>
      <c r="AO225" s="2"/>
      <c r="BC225" s="1"/>
      <c r="BD225" s="2"/>
      <c r="BE225" s="2"/>
      <c r="BF225" s="2"/>
      <c r="BG225" s="2"/>
      <c r="BH225" s="2"/>
      <c r="BI225" s="2"/>
      <c r="BJ225" s="2"/>
      <c r="BK225" s="2"/>
    </row>
    <row r="226" spans="1:63" s="1" customFormat="1" outlineLevel="1">
      <c r="A226" s="1" t="s">
        <v>1562</v>
      </c>
      <c r="B226" s="65"/>
      <c r="C226" s="300">
        <f>C222-$C222</f>
        <v>0</v>
      </c>
      <c r="D226" s="300">
        <f t="shared" ref="D226:AG226" si="181">D222-$C222</f>
        <v>7.6354229962917095E-4</v>
      </c>
      <c r="E226" s="300">
        <f t="shared" si="181"/>
        <v>1.6405211194287022E-3</v>
      </c>
      <c r="F226" s="300">
        <f t="shared" si="181"/>
        <v>2.6327168919735066E-3</v>
      </c>
      <c r="G226" s="300">
        <f t="shared" si="181"/>
        <v>3.7404954352137096E-3</v>
      </c>
      <c r="H226" s="300">
        <f t="shared" si="181"/>
        <v>4.9627173425855556E-3</v>
      </c>
      <c r="I226" s="300">
        <f t="shared" si="181"/>
        <v>6.3130476033721608E-3</v>
      </c>
      <c r="J226" s="300">
        <f t="shared" si="181"/>
        <v>7.7965941431777262E-3</v>
      </c>
      <c r="K226" s="300">
        <f t="shared" si="181"/>
        <v>9.4183706783335115E-3</v>
      </c>
      <c r="L226" s="300">
        <f t="shared" si="181"/>
        <v>1.11832778942468E-2</v>
      </c>
      <c r="M226" s="300">
        <f t="shared" si="181"/>
        <v>1.3096084297857403E-2</v>
      </c>
      <c r="N226" s="300">
        <f t="shared" si="181"/>
        <v>1.6517490099657528E-2</v>
      </c>
      <c r="O226" s="300">
        <f t="shared" si="181"/>
        <v>2.0206461520006727E-2</v>
      </c>
      <c r="P226" s="300">
        <f t="shared" si="181"/>
        <v>2.4153871390306978E-2</v>
      </c>
      <c r="Q226" s="300">
        <f t="shared" si="181"/>
        <v>2.8347682664161194E-2</v>
      </c>
      <c r="R226" s="300">
        <f t="shared" si="181"/>
        <v>3.2772958308326404E-2</v>
      </c>
      <c r="S226" s="300">
        <f t="shared" si="181"/>
        <v>3.7481646007118681E-2</v>
      </c>
      <c r="T226" s="300">
        <f t="shared" si="181"/>
        <v>4.2479907903875944E-2</v>
      </c>
      <c r="U226" s="300">
        <f t="shared" si="181"/>
        <v>4.7773865652631101E-2</v>
      </c>
      <c r="V226" s="300">
        <f t="shared" si="181"/>
        <v>5.3369595153757492E-2</v>
      </c>
      <c r="W226" s="300">
        <f t="shared" si="181"/>
        <v>5.9273121231246312E-2</v>
      </c>
      <c r="X226" s="300">
        <f t="shared" si="181"/>
        <v>6.8169649436664106E-2</v>
      </c>
      <c r="Y226" s="300">
        <f t="shared" si="181"/>
        <v>7.758058431005109E-2</v>
      </c>
      <c r="Z226" s="300">
        <f t="shared" si="181"/>
        <v>8.7516180239551489E-2</v>
      </c>
      <c r="AA226" s="300">
        <f t="shared" si="181"/>
        <v>9.7986617626051806E-2</v>
      </c>
      <c r="AB226" s="300">
        <f t="shared" si="181"/>
        <v>0.10900199485072001</v>
      </c>
      <c r="AC226" s="300">
        <f t="shared" si="181"/>
        <v>0.12057347232054216</v>
      </c>
      <c r="AD226" s="300">
        <f t="shared" si="181"/>
        <v>0.13271130587807609</v>
      </c>
      <c r="AE226" s="300">
        <f t="shared" si="181"/>
        <v>0.14542567809825488</v>
      </c>
      <c r="AF226" s="300">
        <f t="shared" si="181"/>
        <v>0.15872669099239387</v>
      </c>
      <c r="AG226" s="300">
        <f t="shared" si="181"/>
        <v>0.17262435864647313</v>
      </c>
      <c r="AH226" s="245"/>
      <c r="AI226" s="423"/>
      <c r="AJ226" s="424"/>
      <c r="AL226" s="221"/>
      <c r="AM226" s="124"/>
      <c r="AN226" s="124"/>
      <c r="AO226" s="124"/>
      <c r="BD226" s="124"/>
      <c r="BE226" s="124"/>
      <c r="BF226" s="124"/>
      <c r="BG226" s="124"/>
      <c r="BH226" s="124"/>
      <c r="BI226" s="124"/>
      <c r="BJ226" s="124"/>
      <c r="BK226" s="124"/>
    </row>
    <row r="227" spans="1:63" outlineLevel="1">
      <c r="A227" s="4" t="s">
        <v>474</v>
      </c>
      <c r="C227" s="230">
        <f>C223-$C223</f>
        <v>0</v>
      </c>
      <c r="D227" s="230">
        <f t="shared" ref="D227:AF227" si="182">D223-$C223</f>
        <v>4.4859542912567576E-5</v>
      </c>
      <c r="E227" s="230">
        <f t="shared" si="182"/>
        <v>1.2795678337467763E-4</v>
      </c>
      <c r="F227" s="230">
        <f t="shared" si="182"/>
        <v>2.5682719013230416E-4</v>
      </c>
      <c r="G227" s="230">
        <f t="shared" si="182"/>
        <v>4.3903813244217305E-4</v>
      </c>
      <c r="H227" s="230">
        <f t="shared" si="182"/>
        <v>6.8202480450229978E-4</v>
      </c>
      <c r="I227" s="230">
        <f t="shared" si="182"/>
        <v>9.9505952750724011E-4</v>
      </c>
      <c r="J227" s="230">
        <f t="shared" si="182"/>
        <v>1.387300397554751E-3</v>
      </c>
      <c r="K227" s="230">
        <f t="shared" si="182"/>
        <v>1.8683345077006501E-3</v>
      </c>
      <c r="L227" s="230">
        <f t="shared" si="182"/>
        <v>2.4481639858212655E-3</v>
      </c>
      <c r="M227" s="230">
        <f t="shared" si="182"/>
        <v>3.1371894994652381E-3</v>
      </c>
      <c r="N227" s="230">
        <f t="shared" si="182"/>
        <v>4.271392051859127E-3</v>
      </c>
      <c r="O227" s="230">
        <f t="shared" si="182"/>
        <v>5.6247712081621444E-3</v>
      </c>
      <c r="P227" s="230">
        <f t="shared" si="182"/>
        <v>7.2122396744393209E-3</v>
      </c>
      <c r="Q227" s="230">
        <f t="shared" si="182"/>
        <v>9.0470261103663841E-3</v>
      </c>
      <c r="R227" s="230">
        <f t="shared" si="182"/>
        <v>1.1140361175224057E-2</v>
      </c>
      <c r="S227" s="230">
        <f t="shared" si="182"/>
        <v>1.3525503227081983E-2</v>
      </c>
      <c r="T227" s="230">
        <f t="shared" si="182"/>
        <v>1.622327187834148E-2</v>
      </c>
      <c r="U227" s="230">
        <f t="shared" si="182"/>
        <v>1.9255008211678755E-2</v>
      </c>
      <c r="V227" s="230">
        <f t="shared" si="182"/>
        <v>2.264256818596995E-2</v>
      </c>
      <c r="W227" s="230">
        <f t="shared" si="182"/>
        <v>2.6408315328163616E-2</v>
      </c>
      <c r="X227" s="230">
        <f t="shared" si="182"/>
        <v>3.1801713068975439E-2</v>
      </c>
      <c r="Y227" s="230">
        <f t="shared" si="182"/>
        <v>3.7829732461592908E-2</v>
      </c>
      <c r="Z227" s="230">
        <f t="shared" si="182"/>
        <v>4.4531158693669082E-2</v>
      </c>
      <c r="AA227" s="230">
        <f t="shared" si="182"/>
        <v>5.1945632457162591E-2</v>
      </c>
      <c r="AB227" s="230">
        <f t="shared" si="182"/>
        <v>6.011363750557297E-2</v>
      </c>
      <c r="AC227" s="230">
        <f t="shared" si="182"/>
        <v>6.9077140182567984E-2</v>
      </c>
      <c r="AD227" s="230">
        <f t="shared" si="182"/>
        <v>7.8878547609062488E-2</v>
      </c>
      <c r="AE227" s="230">
        <f t="shared" si="182"/>
        <v>8.9561116524458126E-2</v>
      </c>
      <c r="AF227" s="230">
        <f t="shared" si="182"/>
        <v>0.10116894068747725</v>
      </c>
      <c r="AG227" s="230">
        <f>AG223-$C223</f>
        <v>0.11374693727966005</v>
      </c>
      <c r="AH227" s="245"/>
      <c r="AI227" s="133"/>
      <c r="AJ227" s="211"/>
      <c r="AL227" s="108"/>
      <c r="AM227" s="2"/>
      <c r="AN227" s="2"/>
      <c r="AO227" s="2"/>
      <c r="BC227" s="1"/>
      <c r="BD227" s="2"/>
      <c r="BE227" s="2"/>
      <c r="BF227" s="2"/>
      <c r="BG227" s="2"/>
      <c r="BH227" s="2"/>
      <c r="BI227" s="2"/>
      <c r="BJ227" s="2"/>
      <c r="BK227" s="2"/>
    </row>
    <row r="228" spans="1:63" outlineLevel="1">
      <c r="A228" s="4" t="s">
        <v>745</v>
      </c>
      <c r="C228" s="230">
        <f t="shared" ref="C228:AG228" si="183">C224-$C224</f>
        <v>0</v>
      </c>
      <c r="D228" s="230">
        <f t="shared" si="183"/>
        <v>4.5553492647849359E-4</v>
      </c>
      <c r="E228" s="230">
        <f t="shared" si="183"/>
        <v>9.5796802089217039E-4</v>
      </c>
      <c r="F228" s="230">
        <f t="shared" si="183"/>
        <v>1.5034710993304752E-3</v>
      </c>
      <c r="G228" s="230">
        <f t="shared" si="183"/>
        <v>2.0872963168577802E-3</v>
      </c>
      <c r="H228" s="230">
        <f t="shared" si="183"/>
        <v>2.7038265869473999E-3</v>
      </c>
      <c r="I228" s="230">
        <f t="shared" si="183"/>
        <v>3.3556406073174099E-3</v>
      </c>
      <c r="J228" s="230">
        <f t="shared" si="183"/>
        <v>4.039956176965627E-3</v>
      </c>
      <c r="K228" s="230">
        <f t="shared" si="183"/>
        <v>4.7536489146684313E-3</v>
      </c>
      <c r="L228" s="230">
        <f t="shared" si="183"/>
        <v>5.493249490857729E-3</v>
      </c>
      <c r="M228" s="230">
        <f t="shared" si="183"/>
        <v>6.2549423194928882E-3</v>
      </c>
      <c r="N228" s="230">
        <f t="shared" si="183"/>
        <v>7.6820277587001419E-3</v>
      </c>
      <c r="O228" s="230">
        <f t="shared" si="183"/>
        <v>9.1348458741690158E-3</v>
      </c>
      <c r="P228" s="230">
        <f t="shared" si="183"/>
        <v>1.0597784066556764E-2</v>
      </c>
      <c r="Q228" s="230">
        <f t="shared" si="183"/>
        <v>1.2054489474458885E-2</v>
      </c>
      <c r="R228" s="230">
        <f t="shared" si="183"/>
        <v>1.3488081877367048E-2</v>
      </c>
      <c r="S228" s="230">
        <f t="shared" si="183"/>
        <v>1.4909674242724118E-2</v>
      </c>
      <c r="T228" s="230">
        <f t="shared" si="183"/>
        <v>1.6309479405232679E-2</v>
      </c>
      <c r="U228" s="230">
        <f t="shared" si="183"/>
        <v>1.7677341287659663E-2</v>
      </c>
      <c r="V228" s="230">
        <f t="shared" si="183"/>
        <v>1.900273589622789E-2</v>
      </c>
      <c r="W228" s="230">
        <f t="shared" si="183"/>
        <v>2.0274772748860487E-2</v>
      </c>
      <c r="X228" s="230">
        <f t="shared" si="183"/>
        <v>2.2376993529406745E-2</v>
      </c>
      <c r="Y228" s="230">
        <f t="shared" si="183"/>
        <v>2.4388345655488541E-2</v>
      </c>
      <c r="Z228" s="230">
        <f t="shared" si="183"/>
        <v>2.6289818145360595E-2</v>
      </c>
      <c r="AA228" s="230">
        <f t="shared" si="183"/>
        <v>2.8061789990419861E-2</v>
      </c>
      <c r="AB228" s="230">
        <f t="shared" si="183"/>
        <v>2.9684033241234933E-2</v>
      </c>
      <c r="AC228" s="230">
        <f t="shared" si="183"/>
        <v>3.1136018902162416E-2</v>
      </c>
      <c r="AD228" s="230">
        <f t="shared" si="183"/>
        <v>3.2396353247639335E-2</v>
      </c>
      <c r="AE228" s="230">
        <f t="shared" si="183"/>
        <v>3.344303685598523E-2</v>
      </c>
      <c r="AF228" s="230">
        <f t="shared" si="183"/>
        <v>3.4253468266220659E-2</v>
      </c>
      <c r="AG228" s="230">
        <f t="shared" si="183"/>
        <v>3.4804448249500394E-2</v>
      </c>
      <c r="AH228" s="245"/>
      <c r="AI228" s="133"/>
      <c r="AJ228" s="211"/>
      <c r="AL228" s="108"/>
      <c r="AM228" s="2"/>
      <c r="AN228" s="2"/>
      <c r="AO228" s="2"/>
      <c r="BC228" s="1"/>
      <c r="BD228" s="2"/>
      <c r="BE228" s="2"/>
      <c r="BF228" s="2"/>
      <c r="BG228" s="2"/>
      <c r="BH228" s="2"/>
      <c r="BI228" s="2"/>
      <c r="BJ228" s="2"/>
      <c r="BK228" s="2"/>
    </row>
    <row r="229" spans="1:63" outlineLevel="1">
      <c r="A229" s="4" t="s">
        <v>1561</v>
      </c>
      <c r="C229" s="230">
        <f t="shared" ref="C229:AG229" si="184">C225-$C225</f>
        <v>0</v>
      </c>
      <c r="D229" s="230">
        <f t="shared" si="184"/>
        <v>2.6314783023810974E-4</v>
      </c>
      <c r="E229" s="230">
        <f t="shared" si="184"/>
        <v>5.5459631516185394E-4</v>
      </c>
      <c r="F229" s="230">
        <f t="shared" si="184"/>
        <v>8.7241860251072688E-4</v>
      </c>
      <c r="G229" s="230">
        <f t="shared" si="184"/>
        <v>1.2141609859137557E-3</v>
      </c>
      <c r="H229" s="230">
        <f t="shared" si="184"/>
        <v>1.5768659511358543E-3</v>
      </c>
      <c r="I229" s="230">
        <f t="shared" si="184"/>
        <v>1.9623474685475082E-3</v>
      </c>
      <c r="J229" s="230">
        <f t="shared" si="184"/>
        <v>2.3693375686573447E-3</v>
      </c>
      <c r="K229" s="230">
        <f t="shared" si="184"/>
        <v>2.7963872559644246E-3</v>
      </c>
      <c r="L229" s="230">
        <f t="shared" si="184"/>
        <v>3.241864417567799E-3</v>
      </c>
      <c r="M229" s="230">
        <f t="shared" si="184"/>
        <v>3.7039524788992687E-3</v>
      </c>
      <c r="N229" s="230">
        <f t="shared" si="184"/>
        <v>4.5640702890982522E-3</v>
      </c>
      <c r="O229" s="230">
        <f t="shared" si="184"/>
        <v>5.4468444376755566E-3</v>
      </c>
      <c r="P229" s="230">
        <f t="shared" si="184"/>
        <v>6.3438476493108825E-3</v>
      </c>
      <c r="Q229" s="230">
        <f t="shared" si="184"/>
        <v>7.2461670793359106E-3</v>
      </c>
      <c r="R229" s="230">
        <f t="shared" si="184"/>
        <v>8.1445152557352817E-3</v>
      </c>
      <c r="S229" s="230">
        <f t="shared" si="184"/>
        <v>9.046468537312561E-3</v>
      </c>
      <c r="T229" s="230">
        <f t="shared" si="184"/>
        <v>9.9471566203017617E-3</v>
      </c>
      <c r="U229" s="230">
        <f t="shared" si="184"/>
        <v>1.0841516153292659E-2</v>
      </c>
      <c r="V229" s="230">
        <f t="shared" si="184"/>
        <v>1.1724291071559626E-2</v>
      </c>
      <c r="W229" s="230">
        <f t="shared" si="184"/>
        <v>1.2590033154222184E-2</v>
      </c>
      <c r="X229" s="230">
        <f t="shared" si="184"/>
        <v>1.3990942838281905E-2</v>
      </c>
      <c r="Y229" s="230">
        <f t="shared" si="184"/>
        <v>1.5362506192969621E-2</v>
      </c>
      <c r="Z229" s="230">
        <f t="shared" si="184"/>
        <v>1.6695203400521785E-2</v>
      </c>
      <c r="AA229" s="230">
        <f t="shared" si="184"/>
        <v>1.7979195178469329E-2</v>
      </c>
      <c r="AB229" s="230">
        <f t="shared" si="184"/>
        <v>1.9204324103912082E-2</v>
      </c>
      <c r="AC229" s="230">
        <f t="shared" si="184"/>
        <v>2.0360313235811736E-2</v>
      </c>
      <c r="AD229" s="230">
        <f t="shared" si="184"/>
        <v>2.1436405021374227E-2</v>
      </c>
      <c r="AE229" s="230">
        <f t="shared" si="184"/>
        <v>2.2421524717811479E-2</v>
      </c>
      <c r="AF229" s="230">
        <f t="shared" si="184"/>
        <v>2.3304282038695896E-2</v>
      </c>
      <c r="AG229" s="230">
        <f t="shared" si="184"/>
        <v>2.4072973117312647E-2</v>
      </c>
      <c r="AH229" s="245"/>
      <c r="AI229" s="133"/>
      <c r="AJ229" s="211"/>
      <c r="AL229" s="108"/>
      <c r="AM229" s="2"/>
      <c r="AN229" s="2"/>
      <c r="AO229" s="2"/>
      <c r="BC229" s="1"/>
      <c r="BD229" s="2"/>
      <c r="BE229" s="2"/>
      <c r="BF229" s="2"/>
      <c r="BG229" s="2"/>
      <c r="BH229" s="2"/>
      <c r="BI229" s="2"/>
      <c r="BJ229" s="2"/>
      <c r="BK229" s="2"/>
    </row>
    <row r="230" spans="1:63" outlineLevel="1">
      <c r="AJ230" s="211"/>
    </row>
    <row r="231" spans="1:63" s="200" customFormat="1" ht="16" thickBot="1">
      <c r="A231" s="200" t="s">
        <v>1351</v>
      </c>
      <c r="B231" s="215"/>
      <c r="C231" s="224">
        <f>C232</f>
        <v>0.05</v>
      </c>
      <c r="D231" s="224">
        <f t="shared" ref="D231:AG231" si="185">D232</f>
        <v>5.2260994000770548E-2</v>
      </c>
      <c r="E231" s="224">
        <f t="shared" si="185"/>
        <v>5.4521988001541094E-2</v>
      </c>
      <c r="F231" s="224">
        <f t="shared" si="185"/>
        <v>5.6782982002311633E-2</v>
      </c>
      <c r="G231" s="224">
        <f t="shared" si="185"/>
        <v>5.9043976003082178E-2</v>
      </c>
      <c r="H231" s="224">
        <f t="shared" si="185"/>
        <v>6.1304970003852724E-2</v>
      </c>
      <c r="I231" s="224">
        <f t="shared" si="185"/>
        <v>6.3565964004623277E-2</v>
      </c>
      <c r="J231" s="224">
        <f t="shared" si="185"/>
        <v>6.5826958005393815E-2</v>
      </c>
      <c r="K231" s="224">
        <f t="shared" si="185"/>
        <v>6.8087952006164354E-2</v>
      </c>
      <c r="L231" s="224">
        <f t="shared" si="185"/>
        <v>7.0348946006934907E-2</v>
      </c>
      <c r="M231" s="224">
        <f t="shared" si="185"/>
        <v>7.2609940007705445E-2</v>
      </c>
      <c r="N231" s="224">
        <f t="shared" si="185"/>
        <v>7.7375419670867973E-2</v>
      </c>
      <c r="O231" s="224">
        <f t="shared" si="185"/>
        <v>8.2140899334030501E-2</v>
      </c>
      <c r="P231" s="224">
        <f t="shared" si="185"/>
        <v>8.6906378997193029E-2</v>
      </c>
      <c r="Q231" s="224">
        <f t="shared" si="185"/>
        <v>9.1671858660355557E-2</v>
      </c>
      <c r="R231" s="224">
        <f t="shared" si="185"/>
        <v>9.6437338323518085E-2</v>
      </c>
      <c r="S231" s="224">
        <f t="shared" si="185"/>
        <v>0.10120281798668061</v>
      </c>
      <c r="T231" s="224">
        <f t="shared" si="185"/>
        <v>0.10596829764984314</v>
      </c>
      <c r="U231" s="224">
        <f t="shared" si="185"/>
        <v>0.11073377731300567</v>
      </c>
      <c r="V231" s="224">
        <f t="shared" si="185"/>
        <v>0.1154992569761682</v>
      </c>
      <c r="W231" s="224">
        <f t="shared" si="185"/>
        <v>0.12026473663933072</v>
      </c>
      <c r="X231" s="224">
        <f t="shared" si="185"/>
        <v>0.12823826297539764</v>
      </c>
      <c r="Y231" s="224">
        <f t="shared" si="185"/>
        <v>0.13621178931146458</v>
      </c>
      <c r="Z231" s="224">
        <f t="shared" si="185"/>
        <v>0.14418531564753151</v>
      </c>
      <c r="AA231" s="224">
        <f t="shared" si="185"/>
        <v>0.15215884198359844</v>
      </c>
      <c r="AB231" s="224">
        <f t="shared" si="185"/>
        <v>0.16013236831966537</v>
      </c>
      <c r="AC231" s="224">
        <f t="shared" si="185"/>
        <v>0.16810589465573231</v>
      </c>
      <c r="AD231" s="224">
        <f t="shared" si="185"/>
        <v>0.17607942099179924</v>
      </c>
      <c r="AE231" s="224">
        <f t="shared" si="185"/>
        <v>0.18405294732786615</v>
      </c>
      <c r="AF231" s="224">
        <f t="shared" si="185"/>
        <v>0.19202647366393311</v>
      </c>
      <c r="AG231" s="224">
        <f t="shared" si="185"/>
        <v>0.2</v>
      </c>
      <c r="AJ231" s="231" t="s">
        <v>1331</v>
      </c>
      <c r="AL231" s="217"/>
      <c r="AM231" s="225"/>
      <c r="AN231" s="225"/>
      <c r="AO231" s="225"/>
    </row>
    <row r="232" spans="1:63" ht="16" outlineLevel="2" thickTop="1">
      <c r="A232" t="s">
        <v>1352</v>
      </c>
      <c r="B232" s="54" t="s">
        <v>462</v>
      </c>
      <c r="C232" s="113">
        <v>0.05</v>
      </c>
      <c r="D232" s="110">
        <f>$C232+($M232-$C232)/10*(D$1-$C$1)</f>
        <v>5.2260994000770548E-2</v>
      </c>
      <c r="E232" s="110">
        <f t="shared" ref="E232:L232" si="186">$C232+($M232-$C232)/10*(E$1-$C$1)</f>
        <v>5.4521988001541094E-2</v>
      </c>
      <c r="F232" s="110">
        <f t="shared" si="186"/>
        <v>5.6782982002311633E-2</v>
      </c>
      <c r="G232" s="110">
        <f t="shared" si="186"/>
        <v>5.9043976003082178E-2</v>
      </c>
      <c r="H232" s="110">
        <f t="shared" si="186"/>
        <v>6.1304970003852724E-2</v>
      </c>
      <c r="I232" s="110">
        <f t="shared" si="186"/>
        <v>6.3565964004623277E-2</v>
      </c>
      <c r="J232" s="110">
        <f t="shared" si="186"/>
        <v>6.5826958005393815E-2</v>
      </c>
      <c r="K232" s="110">
        <f t="shared" si="186"/>
        <v>6.8087952006164354E-2</v>
      </c>
      <c r="L232" s="110">
        <f t="shared" si="186"/>
        <v>7.0348946006934907E-2</v>
      </c>
      <c r="M232" s="121">
        <f>(M$52-$C$52)/($AG$52-$C$52)*($AG232-$C232)+$C232</f>
        <v>7.2609940007705445E-2</v>
      </c>
      <c r="N232" s="121">
        <f>$M232+($W232-$M232)/10*(N$1-$M$1)</f>
        <v>7.7375419670867973E-2</v>
      </c>
      <c r="O232" s="121">
        <f t="shared" ref="O232:U232" si="187">$M232+($W232-$M232)/10*(O$1-$M$1)</f>
        <v>8.2140899334030501E-2</v>
      </c>
      <c r="P232" s="121">
        <f t="shared" si="187"/>
        <v>8.6906378997193029E-2</v>
      </c>
      <c r="Q232" s="121">
        <f t="shared" si="187"/>
        <v>9.1671858660355557E-2</v>
      </c>
      <c r="R232" s="121">
        <f t="shared" si="187"/>
        <v>9.6437338323518085E-2</v>
      </c>
      <c r="S232" s="121">
        <f t="shared" si="187"/>
        <v>0.10120281798668061</v>
      </c>
      <c r="T232" s="121">
        <f t="shared" si="187"/>
        <v>0.10596829764984314</v>
      </c>
      <c r="U232" s="121">
        <f t="shared" si="187"/>
        <v>0.11073377731300567</v>
      </c>
      <c r="V232" s="121">
        <f>$M232+($W232-$M232)/10*(V$1-$M$1)</f>
        <v>0.1154992569761682</v>
      </c>
      <c r="W232" s="121">
        <f>(W$52-$C$52)/($AG$52-$C$52)*($AG232-$C232)+$C232</f>
        <v>0.12026473663933072</v>
      </c>
      <c r="X232" s="23">
        <f t="shared" ref="X232:AF232" si="188">$W232+($AG232-$W232)/10*(X$1-$W$1)</f>
        <v>0.12823826297539764</v>
      </c>
      <c r="Y232" s="23">
        <f t="shared" si="188"/>
        <v>0.13621178931146458</v>
      </c>
      <c r="Z232" s="23">
        <f t="shared" si="188"/>
        <v>0.14418531564753151</v>
      </c>
      <c r="AA232" s="23">
        <f t="shared" si="188"/>
        <v>0.15215884198359844</v>
      </c>
      <c r="AB232" s="23">
        <f t="shared" si="188"/>
        <v>0.16013236831966537</v>
      </c>
      <c r="AC232" s="23">
        <f t="shared" si="188"/>
        <v>0.16810589465573231</v>
      </c>
      <c r="AD232" s="23">
        <f t="shared" si="188"/>
        <v>0.17607942099179924</v>
      </c>
      <c r="AE232" s="23">
        <f t="shared" si="188"/>
        <v>0.18405294732786615</v>
      </c>
      <c r="AF232" s="23">
        <f t="shared" si="188"/>
        <v>0.19202647366393311</v>
      </c>
      <c r="AG232" s="106">
        <v>0.2</v>
      </c>
      <c r="AJ232" s="211" t="s">
        <v>1353</v>
      </c>
    </row>
    <row r="233" spans="1:63" outlineLevel="2">
      <c r="C233" s="113"/>
      <c r="D233" s="110"/>
      <c r="E233" s="110"/>
      <c r="F233" s="110"/>
      <c r="G233" s="110"/>
      <c r="H233" s="110"/>
      <c r="I233" s="110"/>
      <c r="J233" s="110"/>
      <c r="K233" s="110"/>
      <c r="L233" s="110"/>
      <c r="M233" s="121"/>
      <c r="N233" s="121"/>
      <c r="O233" s="121"/>
      <c r="P233" s="121"/>
      <c r="Q233" s="121"/>
      <c r="R233" s="121"/>
      <c r="S233" s="121"/>
      <c r="T233" s="121"/>
      <c r="U233" s="121"/>
      <c r="V233" s="121"/>
      <c r="W233" s="121"/>
      <c r="X233" s="23"/>
      <c r="Y233" s="23"/>
      <c r="Z233" s="23"/>
      <c r="AA233" s="23"/>
      <c r="AB233" s="23"/>
      <c r="AC233" s="23"/>
      <c r="AD233" s="23"/>
      <c r="AE233" s="23"/>
      <c r="AF233" s="23"/>
      <c r="AG233" s="106"/>
      <c r="AJ233" s="211"/>
    </row>
    <row r="234" spans="1:63" outlineLevel="1">
      <c r="A234" t="s">
        <v>1553</v>
      </c>
      <c r="C234" s="504">
        <f>'Overall recycling rates'!E88</f>
        <v>1.0000000000000004</v>
      </c>
      <c r="D234" s="504">
        <f>C234-($C234-$AG234)/($AG$1-$C$1)</f>
        <v>1.0000000000000004</v>
      </c>
      <c r="E234" s="504">
        <f t="shared" ref="E234:AF234" si="189">D234-($C234-$AG234)/($AG$1-$C$1)</f>
        <v>1.0000000000000004</v>
      </c>
      <c r="F234" s="504">
        <f t="shared" si="189"/>
        <v>1.0000000000000004</v>
      </c>
      <c r="G234" s="504">
        <f t="shared" si="189"/>
        <v>1.0000000000000004</v>
      </c>
      <c r="H234" s="504">
        <f t="shared" si="189"/>
        <v>1.0000000000000004</v>
      </c>
      <c r="I234" s="504">
        <f t="shared" si="189"/>
        <v>1.0000000000000004</v>
      </c>
      <c r="J234" s="504">
        <f t="shared" si="189"/>
        <v>1.0000000000000004</v>
      </c>
      <c r="K234" s="504">
        <f t="shared" si="189"/>
        <v>1.0000000000000004</v>
      </c>
      <c r="L234" s="504">
        <f t="shared" si="189"/>
        <v>1.0000000000000004</v>
      </c>
      <c r="M234" s="504">
        <f t="shared" si="189"/>
        <v>1.0000000000000004</v>
      </c>
      <c r="N234" s="504">
        <f t="shared" si="189"/>
        <v>1.0000000000000004</v>
      </c>
      <c r="O234" s="504">
        <f t="shared" si="189"/>
        <v>1.0000000000000004</v>
      </c>
      <c r="P234" s="504">
        <f t="shared" si="189"/>
        <v>1.0000000000000004</v>
      </c>
      <c r="Q234" s="504">
        <f t="shared" si="189"/>
        <v>1.0000000000000004</v>
      </c>
      <c r="R234" s="504">
        <f t="shared" si="189"/>
        <v>1.0000000000000004</v>
      </c>
      <c r="S234" s="504">
        <f t="shared" si="189"/>
        <v>1.0000000000000004</v>
      </c>
      <c r="T234" s="504">
        <f t="shared" si="189"/>
        <v>1.0000000000000004</v>
      </c>
      <c r="U234" s="504">
        <f t="shared" si="189"/>
        <v>1.0000000000000004</v>
      </c>
      <c r="V234" s="504">
        <f t="shared" si="189"/>
        <v>1.0000000000000004</v>
      </c>
      <c r="W234" s="504">
        <f t="shared" si="189"/>
        <v>1.0000000000000004</v>
      </c>
      <c r="X234" s="504">
        <f t="shared" si="189"/>
        <v>1.0000000000000004</v>
      </c>
      <c r="Y234" s="504">
        <f t="shared" si="189"/>
        <v>1.0000000000000004</v>
      </c>
      <c r="Z234" s="504">
        <f t="shared" si="189"/>
        <v>1.0000000000000004</v>
      </c>
      <c r="AA234" s="504">
        <f t="shared" si="189"/>
        <v>1.0000000000000004</v>
      </c>
      <c r="AB234" s="504">
        <f t="shared" si="189"/>
        <v>1.0000000000000004</v>
      </c>
      <c r="AC234" s="504">
        <f t="shared" si="189"/>
        <v>1.0000000000000004</v>
      </c>
      <c r="AD234" s="504">
        <f t="shared" si="189"/>
        <v>1.0000000000000004</v>
      </c>
      <c r="AE234" s="504">
        <f t="shared" si="189"/>
        <v>1.0000000000000004</v>
      </c>
      <c r="AF234" s="504">
        <f t="shared" si="189"/>
        <v>1.0000000000000004</v>
      </c>
      <c r="AG234" s="504">
        <f>'Overall recycling rates'!E97</f>
        <v>1</v>
      </c>
      <c r="AI234" s="133"/>
      <c r="AJ234" s="211" t="s">
        <v>1582</v>
      </c>
      <c r="AL234" s="108"/>
      <c r="AM234" s="207"/>
      <c r="AN234" s="207"/>
      <c r="AO234" s="207"/>
      <c r="BC234" s="1"/>
      <c r="BD234" s="207"/>
      <c r="BE234" s="207"/>
      <c r="BF234" s="207"/>
      <c r="BG234" s="207"/>
      <c r="BH234" s="207"/>
      <c r="BI234" s="207"/>
      <c r="BJ234" s="207"/>
      <c r="BK234" s="207"/>
    </row>
    <row r="235" spans="1:63" outlineLevel="1">
      <c r="A235" t="s">
        <v>1583</v>
      </c>
      <c r="B235" s="54" t="s">
        <v>462</v>
      </c>
      <c r="C235" s="110">
        <f>C232*C234</f>
        <v>5.0000000000000024E-2</v>
      </c>
      <c r="D235" s="110">
        <f t="shared" ref="D235:AG235" si="190">D232*D234</f>
        <v>5.2260994000770569E-2</v>
      </c>
      <c r="E235" s="110">
        <f t="shared" si="190"/>
        <v>5.4521988001541115E-2</v>
      </c>
      <c r="F235" s="110">
        <f t="shared" si="190"/>
        <v>5.678298200231166E-2</v>
      </c>
      <c r="G235" s="110">
        <f t="shared" si="190"/>
        <v>5.9043976003082206E-2</v>
      </c>
      <c r="H235" s="110">
        <f t="shared" si="190"/>
        <v>6.1304970003852752E-2</v>
      </c>
      <c r="I235" s="110">
        <f t="shared" si="190"/>
        <v>6.3565964004623304E-2</v>
      </c>
      <c r="J235" s="110">
        <f t="shared" si="190"/>
        <v>6.5826958005393843E-2</v>
      </c>
      <c r="K235" s="110">
        <f t="shared" si="190"/>
        <v>6.8087952006164382E-2</v>
      </c>
      <c r="L235" s="110">
        <f t="shared" si="190"/>
        <v>7.0348946006934934E-2</v>
      </c>
      <c r="M235" s="110">
        <f t="shared" si="190"/>
        <v>7.2609940007705473E-2</v>
      </c>
      <c r="N235" s="110">
        <f t="shared" si="190"/>
        <v>7.7375419670868001E-2</v>
      </c>
      <c r="O235" s="110">
        <f t="shared" si="190"/>
        <v>8.2140899334030543E-2</v>
      </c>
      <c r="P235" s="110">
        <f t="shared" si="190"/>
        <v>8.6906378997193071E-2</v>
      </c>
      <c r="Q235" s="110">
        <f t="shared" si="190"/>
        <v>9.1671858660355598E-2</v>
      </c>
      <c r="R235" s="110">
        <f t="shared" si="190"/>
        <v>9.6437338323518126E-2</v>
      </c>
      <c r="S235" s="110">
        <f t="shared" si="190"/>
        <v>0.10120281798668065</v>
      </c>
      <c r="T235" s="110">
        <f t="shared" si="190"/>
        <v>0.10596829764984318</v>
      </c>
      <c r="U235" s="110">
        <f t="shared" si="190"/>
        <v>0.11073377731300572</v>
      </c>
      <c r="V235" s="110">
        <f t="shared" si="190"/>
        <v>0.11549925697616825</v>
      </c>
      <c r="W235" s="110">
        <f t="shared" si="190"/>
        <v>0.12026473663933078</v>
      </c>
      <c r="X235" s="110">
        <f t="shared" si="190"/>
        <v>0.1282382629753977</v>
      </c>
      <c r="Y235" s="110">
        <f t="shared" si="190"/>
        <v>0.13621178931146463</v>
      </c>
      <c r="Z235" s="110">
        <f t="shared" si="190"/>
        <v>0.14418531564753156</v>
      </c>
      <c r="AA235" s="110">
        <f t="shared" si="190"/>
        <v>0.1521588419835985</v>
      </c>
      <c r="AB235" s="110">
        <f t="shared" si="190"/>
        <v>0.16013236831966546</v>
      </c>
      <c r="AC235" s="110">
        <f t="shared" si="190"/>
        <v>0.16810589465573239</v>
      </c>
      <c r="AD235" s="110">
        <f t="shared" si="190"/>
        <v>0.17607942099179932</v>
      </c>
      <c r="AE235" s="110">
        <f t="shared" si="190"/>
        <v>0.18405294732786623</v>
      </c>
      <c r="AF235" s="110">
        <f t="shared" si="190"/>
        <v>0.19202647366393319</v>
      </c>
      <c r="AG235" s="110">
        <f t="shared" si="190"/>
        <v>0.2</v>
      </c>
      <c r="AJ235" s="211" t="s">
        <v>1349</v>
      </c>
    </row>
    <row r="236" spans="1:63" outlineLevel="1">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J236" s="211"/>
    </row>
    <row r="237" spans="1:63" s="1" customFormat="1" outlineLevel="1">
      <c r="A237" s="1" t="s">
        <v>228</v>
      </c>
      <c r="B237" s="65"/>
      <c r="C237" s="300">
        <f>C235*C46</f>
        <v>0.31598105577738522</v>
      </c>
      <c r="D237" s="300">
        <f t="shared" ref="D237:AG237" si="191">D235*D46</f>
        <v>0.34134081620046014</v>
      </c>
      <c r="E237" s="300">
        <f t="shared" si="191"/>
        <v>0.36708360883116053</v>
      </c>
      <c r="F237" s="300">
        <f t="shared" si="191"/>
        <v>0.39305945533275943</v>
      </c>
      <c r="G237" s="300">
        <f t="shared" si="191"/>
        <v>0.41910914635149427</v>
      </c>
      <c r="H237" s="300">
        <f t="shared" si="191"/>
        <v>0.44506581519298871</v>
      </c>
      <c r="I237" s="300">
        <f t="shared" si="191"/>
        <v>0.47177232307501166</v>
      </c>
      <c r="J237" s="300">
        <f t="shared" si="191"/>
        <v>0.49922105138093187</v>
      </c>
      <c r="K237" s="300">
        <f t="shared" si="191"/>
        <v>0.52740280228643277</v>
      </c>
      <c r="L237" s="300">
        <f t="shared" si="191"/>
        <v>0.55630677043721355</v>
      </c>
      <c r="M237" s="300">
        <f t="shared" si="191"/>
        <v>0.58592051823790381</v>
      </c>
      <c r="N237" s="300">
        <f t="shared" si="191"/>
        <v>0.63593209307875731</v>
      </c>
      <c r="O237" s="300">
        <f t="shared" si="191"/>
        <v>0.68629337132847901</v>
      </c>
      <c r="P237" s="300">
        <f t="shared" si="191"/>
        <v>0.73675054434853249</v>
      </c>
      <c r="Q237" s="300">
        <f t="shared" si="191"/>
        <v>0.78704114790605284</v>
      </c>
      <c r="R237" s="300">
        <f t="shared" si="191"/>
        <v>0.83689627016540191</v>
      </c>
      <c r="S237" s="300">
        <f t="shared" si="191"/>
        <v>0.88763924934771909</v>
      </c>
      <c r="T237" s="300">
        <f t="shared" si="191"/>
        <v>0.93926848368682558</v>
      </c>
      <c r="U237" s="300">
        <f t="shared" si="191"/>
        <v>0.99178194999825986</v>
      </c>
      <c r="V237" s="300">
        <f t="shared" si="191"/>
        <v>1.0451771985295053</v>
      </c>
      <c r="W237" s="300">
        <f t="shared" si="191"/>
        <v>1.0994513480252341</v>
      </c>
      <c r="X237" s="300">
        <f t="shared" si="191"/>
        <v>1.1842390765675308</v>
      </c>
      <c r="Y237" s="300">
        <f t="shared" si="191"/>
        <v>1.2705084427621778</v>
      </c>
      <c r="Z237" s="300">
        <f t="shared" si="191"/>
        <v>1.3582571736392406</v>
      </c>
      <c r="AA237" s="300">
        <f t="shared" si="191"/>
        <v>1.4474823644020329</v>
      </c>
      <c r="AB237" s="300">
        <f t="shared" si="191"/>
        <v>1.5381804711403055</v>
      </c>
      <c r="AC237" s="300">
        <f t="shared" si="191"/>
        <v>1.6303627175265563</v>
      </c>
      <c r="AD237" s="300">
        <f t="shared" si="191"/>
        <v>1.7240269383939626</v>
      </c>
      <c r="AE237" s="300">
        <f t="shared" si="191"/>
        <v>1.8191703974651969</v>
      </c>
      <c r="AF237" s="300">
        <f t="shared" si="191"/>
        <v>1.9157897810245188</v>
      </c>
      <c r="AG237" s="300">
        <f t="shared" si="191"/>
        <v>2.0138811918278421</v>
      </c>
      <c r="AH237" s="245"/>
      <c r="AI237" s="423"/>
      <c r="AJ237" s="424"/>
      <c r="AL237" s="221"/>
      <c r="AM237" s="124"/>
      <c r="AN237" s="124"/>
      <c r="AO237" s="124"/>
      <c r="BD237" s="124"/>
      <c r="BE237" s="124"/>
      <c r="BF237" s="124"/>
      <c r="BG237" s="124"/>
      <c r="BH237" s="124"/>
      <c r="BI237" s="124"/>
      <c r="BJ237" s="124"/>
      <c r="BK237" s="124"/>
    </row>
    <row r="238" spans="1:63" outlineLevel="1">
      <c r="A238" s="4" t="s">
        <v>474</v>
      </c>
      <c r="C238" s="230">
        <f>C$237*'Methanol recycling rates'!E72</f>
        <v>0</v>
      </c>
      <c r="D238" s="230">
        <f>D$237*'Methanol recycling rates'!F72</f>
        <v>0</v>
      </c>
      <c r="E238" s="230">
        <f>E$237*'Methanol recycling rates'!G72</f>
        <v>0</v>
      </c>
      <c r="F238" s="230">
        <f>F$237*'Methanol recycling rates'!H72</f>
        <v>0</v>
      </c>
      <c r="G238" s="230">
        <f>G$237*'Methanol recycling rates'!I72</f>
        <v>0</v>
      </c>
      <c r="H238" s="230">
        <f>H$237*'Methanol recycling rates'!J72</f>
        <v>0</v>
      </c>
      <c r="I238" s="230">
        <f>I$237*'Methanol recycling rates'!K72</f>
        <v>0</v>
      </c>
      <c r="J238" s="230">
        <f>J$237*'Methanol recycling rates'!L72</f>
        <v>0</v>
      </c>
      <c r="K238" s="230">
        <f>K$237*'Methanol recycling rates'!M72</f>
        <v>0</v>
      </c>
      <c r="L238" s="230">
        <f>L$237*'Methanol recycling rates'!N72</f>
        <v>0</v>
      </c>
      <c r="M238" s="230">
        <f>M$237*'Methanol recycling rates'!O72</f>
        <v>0</v>
      </c>
      <c r="N238" s="230">
        <f>N$237*'Methanol recycling rates'!P72</f>
        <v>0</v>
      </c>
      <c r="O238" s="230">
        <f>O$237*'Methanol recycling rates'!Q72</f>
        <v>0</v>
      </c>
      <c r="P238" s="230">
        <f>P$237*'Methanol recycling rates'!R72</f>
        <v>0</v>
      </c>
      <c r="Q238" s="230">
        <f>Q$237*'Methanol recycling rates'!S72</f>
        <v>0</v>
      </c>
      <c r="R238" s="230">
        <f>R$237*'Methanol recycling rates'!T72</f>
        <v>0</v>
      </c>
      <c r="S238" s="230">
        <f>S$237*'Methanol recycling rates'!U72</f>
        <v>0</v>
      </c>
      <c r="T238" s="230">
        <f>T$237*'Methanol recycling rates'!V72</f>
        <v>0</v>
      </c>
      <c r="U238" s="230">
        <f>U$237*'Methanol recycling rates'!W72</f>
        <v>0</v>
      </c>
      <c r="V238" s="230">
        <f>V$237*'Methanol recycling rates'!X72</f>
        <v>0</v>
      </c>
      <c r="W238" s="230">
        <f>W$237*'Methanol recycling rates'!Y72</f>
        <v>0</v>
      </c>
      <c r="X238" s="230">
        <f>X$237*'Methanol recycling rates'!Z72</f>
        <v>0</v>
      </c>
      <c r="Y238" s="230">
        <f>Y$237*'Methanol recycling rates'!AA72</f>
        <v>0</v>
      </c>
      <c r="Z238" s="230">
        <f>Z$237*'Methanol recycling rates'!AB72</f>
        <v>0</v>
      </c>
      <c r="AA238" s="230">
        <f>AA$237*'Methanol recycling rates'!AC72</f>
        <v>0</v>
      </c>
      <c r="AB238" s="230">
        <f>AB$237*'Methanol recycling rates'!AD72</f>
        <v>0</v>
      </c>
      <c r="AC238" s="230">
        <f>AC$237*'Methanol recycling rates'!AE72</f>
        <v>0</v>
      </c>
      <c r="AD238" s="230">
        <f>AD$237*'Methanol recycling rates'!AF72</f>
        <v>0</v>
      </c>
      <c r="AE238" s="230">
        <f>AE$237*'Methanol recycling rates'!AG72</f>
        <v>0</v>
      </c>
      <c r="AF238" s="230">
        <f>AF$237*'Methanol recycling rates'!AH72</f>
        <v>0</v>
      </c>
      <c r="AG238" s="230">
        <f>AG$237*'Methanol recycling rates'!AI72</f>
        <v>0</v>
      </c>
      <c r="AH238" s="245"/>
      <c r="AI238" s="133"/>
      <c r="AJ238" s="211"/>
      <c r="AL238" s="108"/>
      <c r="AM238" s="2"/>
      <c r="AN238" s="2"/>
      <c r="AO238" s="2"/>
      <c r="BC238" s="1"/>
      <c r="BD238" s="2"/>
      <c r="BE238" s="2"/>
      <c r="BF238" s="2"/>
      <c r="BG238" s="2"/>
      <c r="BH238" s="2"/>
      <c r="BI238" s="2"/>
      <c r="BJ238" s="2"/>
      <c r="BK238" s="2"/>
    </row>
    <row r="239" spans="1:63" outlineLevel="1">
      <c r="A239" s="4" t="s">
        <v>745</v>
      </c>
      <c r="C239" s="230">
        <f>C$237*'Methanol recycling rates'!E73</f>
        <v>9.7552363181015914E-2</v>
      </c>
      <c r="D239" s="230">
        <f>D$237*'Methanol recycling rates'!F73</f>
        <v>0.10538164444247948</v>
      </c>
      <c r="E239" s="230">
        <f>E$237*'Methanol recycling rates'!G73</f>
        <v>0.11332917866988867</v>
      </c>
      <c r="F239" s="230">
        <f>F$237*'Methanol recycling rates'!H73</f>
        <v>0.1213486632735592</v>
      </c>
      <c r="G239" s="230">
        <f>G$237*'Methanol recycling rates'!I73</f>
        <v>0.12939094578559435</v>
      </c>
      <c r="H239" s="230">
        <f>H$237*'Methanol recycling rates'!J73</f>
        <v>0.13740450969867515</v>
      </c>
      <c r="I239" s="230">
        <f>I$237*'Methanol recycling rates'!K73</f>
        <v>0.14564957030774925</v>
      </c>
      <c r="J239" s="230">
        <f>J$237*'Methanol recycling rates'!L73</f>
        <v>0.15412377552859213</v>
      </c>
      <c r="K239" s="230">
        <f>K$237*'Methanol recycling rates'!M73</f>
        <v>0.16282428573053034</v>
      </c>
      <c r="L239" s="230">
        <f>L$237*'Methanol recycling rates'!N73</f>
        <v>0.17174776499254021</v>
      </c>
      <c r="M239" s="230">
        <f>M$237*'Methanol recycling rates'!O73</f>
        <v>0.18089037347423106</v>
      </c>
      <c r="N239" s="230">
        <f>N$237*'Methanol recycling rates'!P73</f>
        <v>0.19633037287586186</v>
      </c>
      <c r="O239" s="230">
        <f>O$237*'Methanol recycling rates'!Q73</f>
        <v>0.21187833569277914</v>
      </c>
      <c r="P239" s="230">
        <f>P$237*'Methanol recycling rates'!R73</f>
        <v>0.22745590396005971</v>
      </c>
      <c r="Q239" s="230">
        <f>Q$237*'Methanol recycling rates'!S73</f>
        <v>0.2429820474839679</v>
      </c>
      <c r="R239" s="230">
        <f>R$237*'Methanol recycling rates'!T73</f>
        <v>0.25837374551191672</v>
      </c>
      <c r="S239" s="230">
        <f>S$237*'Methanol recycling rates'!U73</f>
        <v>0.27403955029221211</v>
      </c>
      <c r="T239" s="230">
        <f>T$237*'Methanol recycling rates'!V73</f>
        <v>0.28997896731395484</v>
      </c>
      <c r="U239" s="230">
        <f>U$237*'Methanol recycling rates'!W73</f>
        <v>0.30619137196240376</v>
      </c>
      <c r="V239" s="230">
        <f>V$237*'Methanol recycling rates'!X73</f>
        <v>0.32267600792909407</v>
      </c>
      <c r="W239" s="230">
        <f>W$237*'Methanol recycling rates'!Y73</f>
        <v>0.33943198568833738</v>
      </c>
      <c r="X239" s="230">
        <f>X$237*'Methanol recycling rates'!Z73</f>
        <v>0.36560837549658831</v>
      </c>
      <c r="Y239" s="230">
        <f>Y$237*'Methanol recycling rates'!AA73</f>
        <v>0.39224218910200059</v>
      </c>
      <c r="Z239" s="230">
        <f>Z$237*'Methanol recycling rates'!AB73</f>
        <v>0.41933272477393407</v>
      </c>
      <c r="AA239" s="230">
        <f>AA$237*'Methanol recycling rates'!AC73</f>
        <v>0.44687908571881163</v>
      </c>
      <c r="AB239" s="230">
        <f>AB$237*'Methanol recycling rates'!AD73</f>
        <v>0.47488017783047282</v>
      </c>
      <c r="AC239" s="230">
        <f>AC$237*'Methanol recycling rates'!AE73</f>
        <v>0.50333946617669845</v>
      </c>
      <c r="AD239" s="230">
        <f>AD$237*'Methanol recycling rates'!AF73</f>
        <v>0.53225628230874356</v>
      </c>
      <c r="AE239" s="230">
        <f>AE$237*'Methanol recycling rates'!AG73</f>
        <v>0.56162978145976272</v>
      </c>
      <c r="AF239" s="230">
        <f>AF$237*'Methanol recycling rates'!AH73</f>
        <v>0.5914589405912053</v>
      </c>
      <c r="AG239" s="230">
        <f>AG$237*'Methanol recycling rates'!AI73</f>
        <v>0.62174255651267873</v>
      </c>
      <c r="AH239" s="245"/>
      <c r="AI239" s="133"/>
      <c r="AJ239" s="211"/>
      <c r="AL239" s="108"/>
      <c r="AM239" s="2"/>
      <c r="AN239" s="2"/>
      <c r="AO239" s="2"/>
      <c r="BC239" s="1"/>
      <c r="BD239" s="2"/>
      <c r="BE239" s="2"/>
      <c r="BF239" s="2"/>
      <c r="BG239" s="2"/>
      <c r="BH239" s="2"/>
      <c r="BI239" s="2"/>
      <c r="BJ239" s="2"/>
      <c r="BK239" s="2"/>
    </row>
    <row r="240" spans="1:63" outlineLevel="1">
      <c r="A240" s="4" t="s">
        <v>1561</v>
      </c>
      <c r="C240" s="230">
        <f>C$237*'Methanol recycling rates'!E74</f>
        <v>0.21842869259636932</v>
      </c>
      <c r="D240" s="230">
        <f>D$237*'Methanol recycling rates'!F74</f>
        <v>0.23595917175798065</v>
      </c>
      <c r="E240" s="230">
        <f>E$237*'Methanol recycling rates'!G74</f>
        <v>0.25375443016127186</v>
      </c>
      <c r="F240" s="230">
        <f>F$237*'Methanol recycling rates'!H74</f>
        <v>0.27171079205920023</v>
      </c>
      <c r="G240" s="230">
        <f>G$237*'Methanol recycling rates'!I74</f>
        <v>0.28971820056589992</v>
      </c>
      <c r="H240" s="230">
        <f>H$237*'Methanol recycling rates'!J74</f>
        <v>0.30766130549431353</v>
      </c>
      <c r="I240" s="230">
        <f>I$237*'Methanol recycling rates'!K74</f>
        <v>0.32612275276726238</v>
      </c>
      <c r="J240" s="230">
        <f>J$237*'Methanol recycling rates'!L74</f>
        <v>0.34509727585233974</v>
      </c>
      <c r="K240" s="230">
        <f>K$237*'Methanol recycling rates'!M74</f>
        <v>0.36457851655590245</v>
      </c>
      <c r="L240" s="230">
        <f>L$237*'Methanol recycling rates'!N74</f>
        <v>0.38455900544467331</v>
      </c>
      <c r="M240" s="230">
        <f>M$237*'Methanol recycling rates'!O74</f>
        <v>0.40503014476367277</v>
      </c>
      <c r="N240" s="230">
        <f>N$237*'Methanol recycling rates'!P74</f>
        <v>0.43960172020289545</v>
      </c>
      <c r="O240" s="230">
        <f>O$237*'Methanol recycling rates'!Q74</f>
        <v>0.47441503563569987</v>
      </c>
      <c r="P240" s="230">
        <f>P$237*'Methanol recycling rates'!R74</f>
        <v>0.50929464038847272</v>
      </c>
      <c r="Q240" s="230">
        <f>Q$237*'Methanol recycling rates'!S74</f>
        <v>0.54405910042208494</v>
      </c>
      <c r="R240" s="230">
        <f>R$237*'Methanol recycling rates'!T74</f>
        <v>0.57852252465348519</v>
      </c>
      <c r="S240" s="230">
        <f>S$237*'Methanol recycling rates'!U74</f>
        <v>0.61359969905550704</v>
      </c>
      <c r="T240" s="230">
        <f>T$237*'Methanol recycling rates'!V74</f>
        <v>0.6492895163728708</v>
      </c>
      <c r="U240" s="230">
        <f>U$237*'Methanol recycling rates'!W74</f>
        <v>0.6855905780358561</v>
      </c>
      <c r="V240" s="230">
        <f>V$237*'Methanol recycling rates'!X74</f>
        <v>0.72250119060041129</v>
      </c>
      <c r="W240" s="230">
        <f>W$237*'Methanol recycling rates'!Y74</f>
        <v>0.76001936233689671</v>
      </c>
      <c r="X240" s="230">
        <f>X$237*'Methanol recycling rates'!Z74</f>
        <v>0.81863070107094249</v>
      </c>
      <c r="Y240" s="230">
        <f>Y$237*'Methanol recycling rates'!AA74</f>
        <v>0.87826625366017719</v>
      </c>
      <c r="Z240" s="230">
        <f>Z$237*'Methanol recycling rates'!AB74</f>
        <v>0.93892444886530657</v>
      </c>
      <c r="AA240" s="230">
        <f>AA$237*'Methanol recycling rates'!AC74</f>
        <v>1.0006032786832213</v>
      </c>
      <c r="AB240" s="230">
        <f>AB$237*'Methanol recycling rates'!AD74</f>
        <v>1.0633002933098328</v>
      </c>
      <c r="AC240" s="230">
        <f>AC$237*'Methanol recycling rates'!AE74</f>
        <v>1.1270232513498577</v>
      </c>
      <c r="AD240" s="230">
        <f>AD$237*'Methanol recycling rates'!AF74</f>
        <v>1.191770656085219</v>
      </c>
      <c r="AE240" s="230">
        <f>AE$237*'Methanol recycling rates'!AG74</f>
        <v>1.2575406160054343</v>
      </c>
      <c r="AF240" s="230">
        <f>AF$237*'Methanol recycling rates'!AH74</f>
        <v>1.3243308404333136</v>
      </c>
      <c r="AG240" s="230">
        <f>AG$237*'Methanol recycling rates'!AI74</f>
        <v>1.3921386353151635</v>
      </c>
      <c r="AH240" s="245"/>
      <c r="AI240" s="133"/>
      <c r="AJ240" s="211"/>
      <c r="AL240" s="108"/>
      <c r="AM240" s="2"/>
      <c r="AN240" s="2"/>
      <c r="AO240" s="2"/>
      <c r="BC240" s="1"/>
      <c r="BD240" s="2"/>
      <c r="BE240" s="2"/>
      <c r="BF240" s="2"/>
      <c r="BG240" s="2"/>
      <c r="BH240" s="2"/>
      <c r="BI240" s="2"/>
      <c r="BJ240" s="2"/>
      <c r="BK240" s="2"/>
    </row>
    <row r="241" spans="1:63" s="1" customFormat="1" outlineLevel="1">
      <c r="A241" s="1" t="s">
        <v>1562</v>
      </c>
      <c r="B241" s="65"/>
      <c r="C241" s="300">
        <f>C237-$C237</f>
        <v>0</v>
      </c>
      <c r="D241" s="300">
        <f t="shared" ref="D241:AG241" si="192">D237-$C237</f>
        <v>2.5359760423074917E-2</v>
      </c>
      <c r="E241" s="300">
        <f t="shared" si="192"/>
        <v>5.1102553053775313E-2</v>
      </c>
      <c r="F241" s="300">
        <f t="shared" si="192"/>
        <v>7.7078399555374211E-2</v>
      </c>
      <c r="G241" s="300">
        <f t="shared" si="192"/>
        <v>0.10312809057410904</v>
      </c>
      <c r="H241" s="300">
        <f t="shared" si="192"/>
        <v>0.12908475941560349</v>
      </c>
      <c r="I241" s="300">
        <f t="shared" si="192"/>
        <v>0.15579126729762643</v>
      </c>
      <c r="J241" s="300">
        <f t="shared" si="192"/>
        <v>0.18323999560354665</v>
      </c>
      <c r="K241" s="300">
        <f t="shared" si="192"/>
        <v>0.21142174650904755</v>
      </c>
      <c r="L241" s="300">
        <f t="shared" si="192"/>
        <v>0.24032571465982833</v>
      </c>
      <c r="M241" s="300">
        <f t="shared" si="192"/>
        <v>0.26993946246051859</v>
      </c>
      <c r="N241" s="300">
        <f t="shared" si="192"/>
        <v>0.31995103730137209</v>
      </c>
      <c r="O241" s="300">
        <f t="shared" si="192"/>
        <v>0.37031231555109378</v>
      </c>
      <c r="P241" s="300">
        <f t="shared" si="192"/>
        <v>0.42076948857114727</v>
      </c>
      <c r="Q241" s="300">
        <f t="shared" si="192"/>
        <v>0.47106009212866762</v>
      </c>
      <c r="R241" s="300">
        <f t="shared" si="192"/>
        <v>0.52091521438801669</v>
      </c>
      <c r="S241" s="300">
        <f t="shared" si="192"/>
        <v>0.57165819357033387</v>
      </c>
      <c r="T241" s="300">
        <f t="shared" si="192"/>
        <v>0.62328742790944036</v>
      </c>
      <c r="U241" s="300">
        <f t="shared" si="192"/>
        <v>0.67580089422087464</v>
      </c>
      <c r="V241" s="300">
        <f t="shared" si="192"/>
        <v>0.72919614275212008</v>
      </c>
      <c r="W241" s="300">
        <f t="shared" si="192"/>
        <v>0.78347029224784892</v>
      </c>
      <c r="X241" s="300">
        <f t="shared" si="192"/>
        <v>0.86825802079014558</v>
      </c>
      <c r="Y241" s="300">
        <f t="shared" si="192"/>
        <v>0.95452738698479256</v>
      </c>
      <c r="Z241" s="300">
        <f t="shared" si="192"/>
        <v>1.0422761178618554</v>
      </c>
      <c r="AA241" s="300">
        <f t="shared" si="192"/>
        <v>1.1315013086246477</v>
      </c>
      <c r="AB241" s="300">
        <f t="shared" si="192"/>
        <v>1.2221994153629203</v>
      </c>
      <c r="AC241" s="300">
        <f t="shared" si="192"/>
        <v>1.314381661749171</v>
      </c>
      <c r="AD241" s="300">
        <f t="shared" si="192"/>
        <v>1.4080458826165774</v>
      </c>
      <c r="AE241" s="300">
        <f t="shared" si="192"/>
        <v>1.5031893416878117</v>
      </c>
      <c r="AF241" s="300">
        <f t="shared" si="192"/>
        <v>1.5998087252471336</v>
      </c>
      <c r="AG241" s="300">
        <f t="shared" si="192"/>
        <v>1.6979001360504569</v>
      </c>
      <c r="AH241" s="245"/>
      <c r="AI241" s="423"/>
      <c r="AJ241" s="424"/>
      <c r="AL241" s="221"/>
      <c r="AM241" s="124"/>
      <c r="AN241" s="124"/>
      <c r="AO241" s="124"/>
      <c r="BD241" s="124"/>
      <c r="BE241" s="124"/>
      <c r="BF241" s="124"/>
      <c r="BG241" s="124"/>
      <c r="BH241" s="124"/>
      <c r="BI241" s="124"/>
      <c r="BJ241" s="124"/>
      <c r="BK241" s="124"/>
    </row>
    <row r="242" spans="1:63" outlineLevel="1">
      <c r="A242" s="4" t="s">
        <v>474</v>
      </c>
      <c r="C242" s="230">
        <f>C238-$C238</f>
        <v>0</v>
      </c>
      <c r="D242" s="230">
        <f t="shared" ref="D242:AF242" si="193">D238-$C238</f>
        <v>0</v>
      </c>
      <c r="E242" s="230">
        <f t="shared" si="193"/>
        <v>0</v>
      </c>
      <c r="F242" s="230">
        <f t="shared" si="193"/>
        <v>0</v>
      </c>
      <c r="G242" s="230">
        <f t="shared" si="193"/>
        <v>0</v>
      </c>
      <c r="H242" s="230">
        <f t="shared" si="193"/>
        <v>0</v>
      </c>
      <c r="I242" s="230">
        <f t="shared" si="193"/>
        <v>0</v>
      </c>
      <c r="J242" s="230">
        <f t="shared" si="193"/>
        <v>0</v>
      </c>
      <c r="K242" s="230">
        <f t="shared" si="193"/>
        <v>0</v>
      </c>
      <c r="L242" s="230">
        <f t="shared" si="193"/>
        <v>0</v>
      </c>
      <c r="M242" s="230">
        <f t="shared" si="193"/>
        <v>0</v>
      </c>
      <c r="N242" s="230">
        <f t="shared" si="193"/>
        <v>0</v>
      </c>
      <c r="O242" s="230">
        <f t="shared" si="193"/>
        <v>0</v>
      </c>
      <c r="P242" s="230">
        <f t="shared" si="193"/>
        <v>0</v>
      </c>
      <c r="Q242" s="230">
        <f t="shared" si="193"/>
        <v>0</v>
      </c>
      <c r="R242" s="230">
        <f t="shared" si="193"/>
        <v>0</v>
      </c>
      <c r="S242" s="230">
        <f t="shared" si="193"/>
        <v>0</v>
      </c>
      <c r="T242" s="230">
        <f t="shared" si="193"/>
        <v>0</v>
      </c>
      <c r="U242" s="230">
        <f t="shared" si="193"/>
        <v>0</v>
      </c>
      <c r="V242" s="230">
        <f t="shared" si="193"/>
        <v>0</v>
      </c>
      <c r="W242" s="230">
        <f t="shared" si="193"/>
        <v>0</v>
      </c>
      <c r="X242" s="230">
        <f t="shared" si="193"/>
        <v>0</v>
      </c>
      <c r="Y242" s="230">
        <f t="shared" si="193"/>
        <v>0</v>
      </c>
      <c r="Z242" s="230">
        <f t="shared" si="193"/>
        <v>0</v>
      </c>
      <c r="AA242" s="230">
        <f t="shared" si="193"/>
        <v>0</v>
      </c>
      <c r="AB242" s="230">
        <f t="shared" si="193"/>
        <v>0</v>
      </c>
      <c r="AC242" s="230">
        <f t="shared" si="193"/>
        <v>0</v>
      </c>
      <c r="AD242" s="230">
        <f t="shared" si="193"/>
        <v>0</v>
      </c>
      <c r="AE242" s="230">
        <f t="shared" si="193"/>
        <v>0</v>
      </c>
      <c r="AF242" s="230">
        <f t="shared" si="193"/>
        <v>0</v>
      </c>
      <c r="AG242" s="230">
        <f>AG238-$C238</f>
        <v>0</v>
      </c>
      <c r="AH242" s="245"/>
      <c r="AI242" s="133"/>
      <c r="AJ242" s="211"/>
      <c r="AL242" s="108"/>
      <c r="AM242" s="2"/>
      <c r="AN242" s="2"/>
      <c r="AO242" s="2"/>
      <c r="BC242" s="1"/>
      <c r="BD242" s="2"/>
      <c r="BE242" s="2"/>
      <c r="BF242" s="2"/>
      <c r="BG242" s="2"/>
      <c r="BH242" s="2"/>
      <c r="BI242" s="2"/>
      <c r="BJ242" s="2"/>
      <c r="BK242" s="2"/>
    </row>
    <row r="243" spans="1:63" outlineLevel="1">
      <c r="A243" s="4" t="s">
        <v>745</v>
      </c>
      <c r="C243" s="230">
        <f t="shared" ref="C243:AG243" si="194">C239-$C239</f>
        <v>0</v>
      </c>
      <c r="D243" s="230">
        <f t="shared" si="194"/>
        <v>7.8292812614635665E-3</v>
      </c>
      <c r="E243" s="230">
        <f t="shared" si="194"/>
        <v>1.5776815488872761E-2</v>
      </c>
      <c r="F243" s="230">
        <f t="shared" si="194"/>
        <v>2.3796300092543285E-2</v>
      </c>
      <c r="G243" s="230">
        <f t="shared" si="194"/>
        <v>3.1838582604578433E-2</v>
      </c>
      <c r="H243" s="230">
        <f t="shared" si="194"/>
        <v>3.985214651765924E-2</v>
      </c>
      <c r="I243" s="230">
        <f t="shared" si="194"/>
        <v>4.8097207126733335E-2</v>
      </c>
      <c r="J243" s="230">
        <f t="shared" si="194"/>
        <v>5.6571412347576219E-2</v>
      </c>
      <c r="K243" s="230">
        <f t="shared" si="194"/>
        <v>6.527192254951443E-2</v>
      </c>
      <c r="L243" s="230">
        <f t="shared" si="194"/>
        <v>7.41954018115243E-2</v>
      </c>
      <c r="M243" s="230">
        <f t="shared" si="194"/>
        <v>8.3338010293215151E-2</v>
      </c>
      <c r="N243" s="230">
        <f t="shared" si="194"/>
        <v>9.8778009694845945E-2</v>
      </c>
      <c r="O243" s="230">
        <f t="shared" si="194"/>
        <v>0.11432597251176323</v>
      </c>
      <c r="P243" s="230">
        <f t="shared" si="194"/>
        <v>0.12990354077904381</v>
      </c>
      <c r="Q243" s="230">
        <f t="shared" si="194"/>
        <v>0.145429684302952</v>
      </c>
      <c r="R243" s="230">
        <f t="shared" si="194"/>
        <v>0.16082138233090082</v>
      </c>
      <c r="S243" s="230">
        <f t="shared" si="194"/>
        <v>0.17648718711119621</v>
      </c>
      <c r="T243" s="230">
        <f t="shared" si="194"/>
        <v>0.19242660413293894</v>
      </c>
      <c r="U243" s="230">
        <f t="shared" si="194"/>
        <v>0.20863900878138786</v>
      </c>
      <c r="V243" s="230">
        <f t="shared" si="194"/>
        <v>0.22512364474807817</v>
      </c>
      <c r="W243" s="230">
        <f t="shared" si="194"/>
        <v>0.24187962250732148</v>
      </c>
      <c r="X243" s="230">
        <f t="shared" si="194"/>
        <v>0.26805601231557241</v>
      </c>
      <c r="Y243" s="230">
        <f t="shared" si="194"/>
        <v>0.29468982592098469</v>
      </c>
      <c r="Z243" s="230">
        <f t="shared" si="194"/>
        <v>0.32178036159291817</v>
      </c>
      <c r="AA243" s="230">
        <f t="shared" si="194"/>
        <v>0.34932672253779573</v>
      </c>
      <c r="AB243" s="230">
        <f t="shared" si="194"/>
        <v>0.37732781464945692</v>
      </c>
      <c r="AC243" s="230">
        <f t="shared" si="194"/>
        <v>0.40578710299568255</v>
      </c>
      <c r="AD243" s="230">
        <f t="shared" si="194"/>
        <v>0.43470391912772766</v>
      </c>
      <c r="AE243" s="230">
        <f t="shared" si="194"/>
        <v>0.46407741827874682</v>
      </c>
      <c r="AF243" s="230">
        <f t="shared" si="194"/>
        <v>0.4939065774101894</v>
      </c>
      <c r="AG243" s="230">
        <f t="shared" si="194"/>
        <v>0.52419019333166283</v>
      </c>
      <c r="AH243" s="245"/>
      <c r="AI243" s="133"/>
      <c r="AJ243" s="211"/>
      <c r="AL243" s="108"/>
      <c r="AM243" s="2"/>
      <c r="AN243" s="2"/>
      <c r="AO243" s="2"/>
      <c r="BC243" s="1"/>
      <c r="BD243" s="2"/>
      <c r="BE243" s="2"/>
      <c r="BF243" s="2"/>
      <c r="BG243" s="2"/>
      <c r="BH243" s="2"/>
      <c r="BI243" s="2"/>
      <c r="BJ243" s="2"/>
      <c r="BK243" s="2"/>
    </row>
    <row r="244" spans="1:63" outlineLevel="1">
      <c r="A244" s="4" t="s">
        <v>1561</v>
      </c>
      <c r="C244" s="230">
        <f t="shared" ref="C244:AG244" si="195">C240-$C240</f>
        <v>0</v>
      </c>
      <c r="D244" s="230">
        <f t="shared" si="195"/>
        <v>1.7530479161611323E-2</v>
      </c>
      <c r="E244" s="230">
        <f t="shared" si="195"/>
        <v>3.5325737564902537E-2</v>
      </c>
      <c r="F244" s="230">
        <f t="shared" si="195"/>
        <v>5.3282099462830912E-2</v>
      </c>
      <c r="G244" s="230">
        <f t="shared" si="195"/>
        <v>7.1289507969530597E-2</v>
      </c>
      <c r="H244" s="230">
        <f t="shared" si="195"/>
        <v>8.9232612897944208E-2</v>
      </c>
      <c r="I244" s="230">
        <f t="shared" si="195"/>
        <v>0.10769406017089306</v>
      </c>
      <c r="J244" s="230">
        <f t="shared" si="195"/>
        <v>0.12666858325597041</v>
      </c>
      <c r="K244" s="230">
        <f t="shared" si="195"/>
        <v>0.14614982395953313</v>
      </c>
      <c r="L244" s="230">
        <f t="shared" si="195"/>
        <v>0.16613031284830398</v>
      </c>
      <c r="M244" s="230">
        <f t="shared" si="195"/>
        <v>0.18660145216730345</v>
      </c>
      <c r="N244" s="230">
        <f t="shared" si="195"/>
        <v>0.22117302760652613</v>
      </c>
      <c r="O244" s="230">
        <f t="shared" si="195"/>
        <v>0.25598634303933054</v>
      </c>
      <c r="P244" s="230">
        <f t="shared" si="195"/>
        <v>0.2908659477921034</v>
      </c>
      <c r="Q244" s="230">
        <f t="shared" si="195"/>
        <v>0.32563040782571562</v>
      </c>
      <c r="R244" s="230">
        <f t="shared" si="195"/>
        <v>0.36009383205711587</v>
      </c>
      <c r="S244" s="230">
        <f t="shared" si="195"/>
        <v>0.39517100645913772</v>
      </c>
      <c r="T244" s="230">
        <f t="shared" si="195"/>
        <v>0.43086082377650148</v>
      </c>
      <c r="U244" s="230">
        <f t="shared" si="195"/>
        <v>0.46716188543948678</v>
      </c>
      <c r="V244" s="230">
        <f t="shared" si="195"/>
        <v>0.50407249800404197</v>
      </c>
      <c r="W244" s="230">
        <f t="shared" si="195"/>
        <v>0.54159066974052739</v>
      </c>
      <c r="X244" s="230">
        <f t="shared" si="195"/>
        <v>0.60020200847457317</v>
      </c>
      <c r="Y244" s="230">
        <f t="shared" si="195"/>
        <v>0.65983756106380786</v>
      </c>
      <c r="Z244" s="230">
        <f t="shared" si="195"/>
        <v>0.72049575626893725</v>
      </c>
      <c r="AA244" s="230">
        <f t="shared" si="195"/>
        <v>0.78217458608685198</v>
      </c>
      <c r="AB244" s="230">
        <f t="shared" si="195"/>
        <v>0.84487160071346346</v>
      </c>
      <c r="AC244" s="230">
        <f t="shared" si="195"/>
        <v>0.90859455875348838</v>
      </c>
      <c r="AD244" s="230">
        <f t="shared" si="195"/>
        <v>0.97334196348884972</v>
      </c>
      <c r="AE244" s="230">
        <f t="shared" si="195"/>
        <v>1.0391119234090649</v>
      </c>
      <c r="AF244" s="230">
        <f t="shared" si="195"/>
        <v>1.1059021478369444</v>
      </c>
      <c r="AG244" s="230">
        <f t="shared" si="195"/>
        <v>1.1737099427187943</v>
      </c>
      <c r="AH244" s="245"/>
      <c r="AI244" s="133"/>
      <c r="AJ244" s="211"/>
      <c r="AL244" s="108"/>
      <c r="AM244" s="2"/>
      <c r="AN244" s="2"/>
      <c r="AO244" s="2"/>
      <c r="BC244" s="1"/>
      <c r="BD244" s="2"/>
      <c r="BE244" s="2"/>
      <c r="BF244" s="2"/>
      <c r="BG244" s="2"/>
      <c r="BH244" s="2"/>
      <c r="BI244" s="2"/>
      <c r="BJ244" s="2"/>
      <c r="BK244" s="2"/>
    </row>
    <row r="245" spans="1:63" outlineLevel="2">
      <c r="C245" s="113"/>
      <c r="D245" s="110"/>
      <c r="E245" s="110"/>
      <c r="F245" s="110"/>
      <c r="G245" s="110"/>
      <c r="H245" s="110"/>
      <c r="I245" s="110"/>
      <c r="J245" s="110"/>
      <c r="K245" s="110"/>
      <c r="L245" s="110"/>
      <c r="M245" s="121"/>
      <c r="N245" s="121"/>
      <c r="O245" s="121"/>
      <c r="P245" s="121"/>
      <c r="Q245" s="121"/>
      <c r="R245" s="121"/>
      <c r="S245" s="121"/>
      <c r="T245" s="121"/>
      <c r="U245" s="121"/>
      <c r="V245" s="121"/>
      <c r="W245" s="121"/>
      <c r="X245" s="23"/>
      <c r="Y245" s="23"/>
      <c r="Z245" s="23"/>
      <c r="AA245" s="23"/>
      <c r="AB245" s="23"/>
      <c r="AC245" s="23"/>
      <c r="AD245" s="23"/>
      <c r="AE245" s="23"/>
      <c r="AF245" s="23"/>
      <c r="AG245" s="106"/>
      <c r="AJ245" s="211"/>
    </row>
    <row r="246" spans="1:63" s="200" customFormat="1" ht="16" thickBot="1">
      <c r="A246" s="227" t="s">
        <v>1584</v>
      </c>
      <c r="B246" s="228"/>
      <c r="C246" s="229">
        <f>(C42*C66+C43*C132+C45*C187+C44*C220+C46*C235)/C47</f>
        <v>9.388625214515435E-2</v>
      </c>
      <c r="D246" s="229">
        <f t="shared" ref="D246:AG246" si="196">(D42*D66+D43*D132+D45*D187+D44*D220+D46*D235)/D47</f>
        <v>7.2324973022005259E-2</v>
      </c>
      <c r="E246" s="229">
        <f t="shared" si="196"/>
        <v>7.6702778853189713E-2</v>
      </c>
      <c r="F246" s="229">
        <f t="shared" si="196"/>
        <v>8.1141499021634117E-2</v>
      </c>
      <c r="G246" s="229">
        <f t="shared" si="196"/>
        <v>8.564194203941923E-2</v>
      </c>
      <c r="H246" s="229">
        <f t="shared" si="196"/>
        <v>9.0204916418625838E-2</v>
      </c>
      <c r="I246" s="229">
        <f t="shared" si="196"/>
        <v>9.4831230671334671E-2</v>
      </c>
      <c r="J246" s="229">
        <f t="shared" si="196"/>
        <v>9.9521693309626499E-2</v>
      </c>
      <c r="K246" s="229">
        <f t="shared" si="196"/>
        <v>0.10427711284558205</v>
      </c>
      <c r="L246" s="229">
        <f t="shared" si="196"/>
        <v>0.10909829779128216</v>
      </c>
      <c r="M246" s="229">
        <f t="shared" si="196"/>
        <v>0.11398605665880754</v>
      </c>
      <c r="N246" s="229">
        <f t="shared" si="196"/>
        <v>0.12222996363659819</v>
      </c>
      <c r="O246" s="229">
        <f t="shared" si="196"/>
        <v>0.1305541251356786</v>
      </c>
      <c r="P246" s="229">
        <f t="shared" si="196"/>
        <v>0.13895578310364046</v>
      </c>
      <c r="Q246" s="229">
        <f t="shared" si="196"/>
        <v>0.14744155959605304</v>
      </c>
      <c r="R246" s="229">
        <f t="shared" si="196"/>
        <v>0.15601321500727469</v>
      </c>
      <c r="S246" s="229">
        <f t="shared" si="196"/>
        <v>0.16467250908019265</v>
      </c>
      <c r="T246" s="229">
        <f t="shared" si="196"/>
        <v>0.17342120090652391</v>
      </c>
      <c r="U246" s="229">
        <f t="shared" si="196"/>
        <v>0.18226104892711664</v>
      </c>
      <c r="V246" s="229">
        <f t="shared" si="196"/>
        <v>0.19119381093225105</v>
      </c>
      <c r="W246" s="229">
        <f t="shared" si="196"/>
        <v>0.20022124406194053</v>
      </c>
      <c r="X246" s="229">
        <f t="shared" si="196"/>
        <v>0.21365455745444106</v>
      </c>
      <c r="Y246" s="229">
        <f t="shared" si="196"/>
        <v>0.22720983147991702</v>
      </c>
      <c r="Z246" s="229">
        <f t="shared" si="196"/>
        <v>0.24088921714093797</v>
      </c>
      <c r="AA246" s="229">
        <f t="shared" si="196"/>
        <v>0.25469860113864418</v>
      </c>
      <c r="AB246" s="229">
        <f t="shared" si="196"/>
        <v>0.26864107473505922</v>
      </c>
      <c r="AC246" s="229">
        <f t="shared" si="196"/>
        <v>0.28271972633646558</v>
      </c>
      <c r="AD246" s="229">
        <f t="shared" si="196"/>
        <v>0.29693764149670215</v>
      </c>
      <c r="AE246" s="229">
        <f t="shared" si="196"/>
        <v>0.31129790292045584</v>
      </c>
      <c r="AF246" s="229">
        <f t="shared" si="196"/>
        <v>0.32580359046655016</v>
      </c>
      <c r="AG246" s="229">
        <f t="shared" si="196"/>
        <v>0.34045778115122799</v>
      </c>
      <c r="AJ246" s="479" t="s">
        <v>1585</v>
      </c>
      <c r="AL246" s="217"/>
      <c r="AM246" s="225"/>
      <c r="AN246" s="225"/>
      <c r="AO246" s="225"/>
    </row>
    <row r="247" spans="1:63" s="200" customFormat="1" ht="17" thickTop="1" thickBot="1">
      <c r="A247" s="227" t="s">
        <v>1356</v>
      </c>
      <c r="B247" s="228"/>
      <c r="C247" s="229">
        <f t="shared" ref="C247:AG247" si="197">(C14*C49+C113*C15+C17*C170+C216*C16+C231*C18)/C19</f>
        <v>0.10392620862112158</v>
      </c>
      <c r="D247" s="229">
        <f t="shared" si="197"/>
        <v>0.10914907209487128</v>
      </c>
      <c r="E247" s="229">
        <f t="shared" si="197"/>
        <v>0.11437193556862101</v>
      </c>
      <c r="F247" s="229">
        <f t="shared" si="197"/>
        <v>0.11959479904237068</v>
      </c>
      <c r="G247" s="229">
        <f t="shared" si="197"/>
        <v>0.12481766251612042</v>
      </c>
      <c r="H247" s="229">
        <f t="shared" si="197"/>
        <v>0.13004052598987015</v>
      </c>
      <c r="I247" s="229">
        <f t="shared" si="197"/>
        <v>0.13526338946361988</v>
      </c>
      <c r="J247" s="229">
        <f t="shared" si="197"/>
        <v>0.14048625293736958</v>
      </c>
      <c r="K247" s="229">
        <f t="shared" si="197"/>
        <v>0.1457091164111193</v>
      </c>
      <c r="L247" s="229">
        <f t="shared" si="197"/>
        <v>0.15093197988486898</v>
      </c>
      <c r="M247" s="229">
        <f t="shared" si="197"/>
        <v>0.15615484335861871</v>
      </c>
      <c r="N247" s="229">
        <f t="shared" si="197"/>
        <v>0.16716303252636805</v>
      </c>
      <c r="O247" s="229">
        <f t="shared" si="197"/>
        <v>0.17817122169411745</v>
      </c>
      <c r="P247" s="229">
        <f t="shared" si="197"/>
        <v>0.18917941086186682</v>
      </c>
      <c r="Q247" s="229">
        <f t="shared" si="197"/>
        <v>0.20018760002961619</v>
      </c>
      <c r="R247" s="229">
        <f t="shared" si="197"/>
        <v>0.21119578919736562</v>
      </c>
      <c r="S247" s="229">
        <f t="shared" si="197"/>
        <v>0.22220397836511507</v>
      </c>
      <c r="T247" s="229">
        <f t="shared" si="197"/>
        <v>0.23321216753286442</v>
      </c>
      <c r="U247" s="229">
        <f t="shared" si="197"/>
        <v>0.24422035670061382</v>
      </c>
      <c r="V247" s="229">
        <f t="shared" si="197"/>
        <v>0.25522854586836319</v>
      </c>
      <c r="W247" s="229">
        <f t="shared" si="197"/>
        <v>0.26623673503611256</v>
      </c>
      <c r="X247" s="229">
        <f t="shared" si="197"/>
        <v>0.28465546566672584</v>
      </c>
      <c r="Y247" s="229">
        <f t="shared" si="197"/>
        <v>0.30307419629733917</v>
      </c>
      <c r="Z247" s="229">
        <f t="shared" si="197"/>
        <v>0.32149292692795245</v>
      </c>
      <c r="AA247" s="229">
        <f t="shared" si="197"/>
        <v>0.33991165755856578</v>
      </c>
      <c r="AB247" s="229">
        <f t="shared" si="197"/>
        <v>0.35833038818917906</v>
      </c>
      <c r="AC247" s="229">
        <f t="shared" si="197"/>
        <v>0.37674911881979239</v>
      </c>
      <c r="AD247" s="229">
        <f t="shared" si="197"/>
        <v>0.39516784945040562</v>
      </c>
      <c r="AE247" s="229">
        <f t="shared" si="197"/>
        <v>0.4135865800810189</v>
      </c>
      <c r="AF247" s="229">
        <f t="shared" si="197"/>
        <v>0.43200531071163223</v>
      </c>
      <c r="AG247" s="229">
        <f t="shared" si="197"/>
        <v>0.45042404134224556</v>
      </c>
      <c r="AJ247" s="226" t="s">
        <v>1357</v>
      </c>
      <c r="AL247" s="217"/>
      <c r="AM247" s="225"/>
      <c r="AN247" s="225"/>
      <c r="AO247" s="225"/>
    </row>
    <row r="248" spans="1:63" ht="16" thickTop="1">
      <c r="B248" s="130"/>
      <c r="C248" s="113"/>
      <c r="D248" s="23"/>
      <c r="E248" s="23"/>
      <c r="F248" s="23"/>
      <c r="G248" s="23"/>
      <c r="H248" s="23"/>
      <c r="I248" s="23"/>
      <c r="J248" s="23"/>
      <c r="K248" s="23"/>
      <c r="L248" s="23"/>
      <c r="M248" s="126"/>
      <c r="N248" s="110"/>
      <c r="O248" s="110"/>
      <c r="P248" s="110"/>
      <c r="Q248" s="110"/>
      <c r="R248" s="110"/>
      <c r="S248" s="110"/>
      <c r="T248" s="110"/>
      <c r="U248" s="110"/>
      <c r="V248" s="110"/>
      <c r="W248" s="126"/>
      <c r="X248" s="110"/>
      <c r="Y248" s="110"/>
      <c r="Z248" s="110"/>
      <c r="AA248" s="110"/>
      <c r="AB248" s="110"/>
      <c r="AC248" s="110"/>
      <c r="AD248" s="110"/>
      <c r="AE248" s="110"/>
      <c r="AF248" s="110"/>
      <c r="AG248" s="113"/>
    </row>
    <row r="249" spans="1:63">
      <c r="A249" t="s">
        <v>1586</v>
      </c>
      <c r="B249" s="130"/>
      <c r="C249" s="230">
        <f>(C42*C66+C43*C132+C45*C187+C44*C220+C46*C235)</f>
        <v>1.1899030376946831</v>
      </c>
      <c r="D249" s="230">
        <f t="shared" ref="D249:AG249" si="198">(D42*D66+D43*D132+D45*D187+D44*D220+D46*D235)</f>
        <v>0.94736506612835769</v>
      </c>
      <c r="E249" s="230">
        <f t="shared" si="198"/>
        <v>1.0356736739740038</v>
      </c>
      <c r="F249" s="230">
        <f t="shared" si="198"/>
        <v>1.1264232540648003</v>
      </c>
      <c r="G249" s="230">
        <f t="shared" si="198"/>
        <v>1.2191484181391721</v>
      </c>
      <c r="H249" s="230">
        <f t="shared" si="198"/>
        <v>1.3133403616030952</v>
      </c>
      <c r="I249" s="230">
        <f t="shared" si="198"/>
        <v>1.411489776940724</v>
      </c>
      <c r="J249" s="230">
        <f t="shared" si="198"/>
        <v>1.5136497388604992</v>
      </c>
      <c r="K249" s="230">
        <f t="shared" si="198"/>
        <v>1.619868233759211</v>
      </c>
      <c r="L249" s="230">
        <f t="shared" si="198"/>
        <v>1.7301878340780408</v>
      </c>
      <c r="M249" s="230">
        <f t="shared" si="198"/>
        <v>1.8446453749683873</v>
      </c>
      <c r="N249" s="230">
        <f t="shared" si="198"/>
        <v>2.0146700796575461</v>
      </c>
      <c r="O249" s="230">
        <f t="shared" si="198"/>
        <v>2.1875575061622254</v>
      </c>
      <c r="P249" s="230">
        <f t="shared" si="198"/>
        <v>2.3626759374038593</v>
      </c>
      <c r="Q249" s="230">
        <f t="shared" si="198"/>
        <v>2.5391024768145956</v>
      </c>
      <c r="R249" s="230">
        <f t="shared" si="198"/>
        <v>2.7159820812746869</v>
      </c>
      <c r="S249" s="230">
        <f t="shared" si="198"/>
        <v>2.8976389669175169</v>
      </c>
      <c r="T249" s="230">
        <f t="shared" si="198"/>
        <v>3.0841496203437124</v>
      </c>
      <c r="U249" s="230">
        <f t="shared" si="198"/>
        <v>3.2755903414565157</v>
      </c>
      <c r="V249" s="230">
        <f t="shared" si="198"/>
        <v>3.4720371859727592</v>
      </c>
      <c r="W249" s="230">
        <f t="shared" si="198"/>
        <v>3.6735659065421036</v>
      </c>
      <c r="X249" s="230">
        <f t="shared" si="198"/>
        <v>3.9601720469514916</v>
      </c>
      <c r="Y249" s="230">
        <f t="shared" si="198"/>
        <v>4.2541252138805667</v>
      </c>
      <c r="Z249" s="230">
        <f t="shared" si="198"/>
        <v>4.556160445199926</v>
      </c>
      <c r="AA249" s="230">
        <f t="shared" si="198"/>
        <v>4.8659056099865667</v>
      </c>
      <c r="AB249" s="230">
        <f t="shared" si="198"/>
        <v>5.18348627003685</v>
      </c>
      <c r="AC249" s="230">
        <f t="shared" si="198"/>
        <v>5.5090801126474815</v>
      </c>
      <c r="AD249" s="230">
        <f t="shared" si="198"/>
        <v>5.8428222386667867</v>
      </c>
      <c r="AE249" s="230">
        <f t="shared" si="198"/>
        <v>6.1848481097319983</v>
      </c>
      <c r="AF249" s="230">
        <f t="shared" si="198"/>
        <v>6.5352934753672987</v>
      </c>
      <c r="AG249" s="230">
        <f t="shared" si="198"/>
        <v>6.8942942979595605</v>
      </c>
      <c r="AI249" s="23">
        <f>(AG249/C249)^(1/30)-1</f>
        <v>6.0309391642455745E-2</v>
      </c>
      <c r="AJ249" s="517">
        <f>AG249-C249</f>
        <v>5.7043912602648774</v>
      </c>
    </row>
    <row r="250" spans="1:63">
      <c r="A250" t="s">
        <v>1587</v>
      </c>
      <c r="B250" s="130"/>
      <c r="C250" s="230">
        <f>C249</f>
        <v>1.1899030376946831</v>
      </c>
      <c r="D250" s="230">
        <f>C250*(1+$AI$250)</f>
        <v>1.2097744184241843</v>
      </c>
      <c r="E250" s="230">
        <f t="shared" ref="E250:AG250" si="199">D250*(1+$AI$250)</f>
        <v>1.2299776512118681</v>
      </c>
      <c r="F250" s="230">
        <f t="shared" si="199"/>
        <v>1.2505182779871062</v>
      </c>
      <c r="G250" s="230">
        <f t="shared" si="199"/>
        <v>1.2714019332294908</v>
      </c>
      <c r="H250" s="230">
        <f t="shared" si="199"/>
        <v>1.2926343455144231</v>
      </c>
      <c r="I250" s="230">
        <f t="shared" si="199"/>
        <v>1.3142213390845139</v>
      </c>
      <c r="J250" s="230">
        <f t="shared" si="199"/>
        <v>1.3361688354472252</v>
      </c>
      <c r="K250" s="230">
        <f t="shared" si="199"/>
        <v>1.3584828549991939</v>
      </c>
      <c r="L250" s="230">
        <f t="shared" si="199"/>
        <v>1.3811695186776802</v>
      </c>
      <c r="M250" s="230">
        <f>L250*(1+$AI$250)</f>
        <v>1.4042350496395974</v>
      </c>
      <c r="N250" s="230">
        <f t="shared" si="199"/>
        <v>1.4276857749685787</v>
      </c>
      <c r="O250" s="230">
        <f t="shared" si="199"/>
        <v>1.4515281274105538</v>
      </c>
      <c r="P250" s="230">
        <f t="shared" si="199"/>
        <v>1.47576864713831</v>
      </c>
      <c r="Q250" s="230">
        <f t="shared" si="199"/>
        <v>1.5004139835455197</v>
      </c>
      <c r="R250" s="230">
        <f t="shared" si="199"/>
        <v>1.5254708970707298</v>
      </c>
      <c r="S250" s="230">
        <f t="shared" si="199"/>
        <v>1.550946261051811</v>
      </c>
      <c r="T250" s="230">
        <f t="shared" si="199"/>
        <v>1.5768470636113761</v>
      </c>
      <c r="U250" s="230">
        <f t="shared" si="199"/>
        <v>1.6031804095736859</v>
      </c>
      <c r="V250" s="230">
        <f t="shared" si="199"/>
        <v>1.6299535224135664</v>
      </c>
      <c r="W250" s="230">
        <f t="shared" si="199"/>
        <v>1.6571737462378728</v>
      </c>
      <c r="X250" s="230">
        <f t="shared" si="199"/>
        <v>1.6848485478000452</v>
      </c>
      <c r="Y250" s="230">
        <f t="shared" si="199"/>
        <v>1.7129855185483058</v>
      </c>
      <c r="Z250" s="230">
        <f t="shared" si="199"/>
        <v>1.7415923767080623</v>
      </c>
      <c r="AA250" s="230">
        <f t="shared" si="199"/>
        <v>1.7706769693990869</v>
      </c>
      <c r="AB250" s="230">
        <f t="shared" si="199"/>
        <v>1.8002472747880516</v>
      </c>
      <c r="AC250" s="230">
        <f t="shared" si="199"/>
        <v>1.8303114042770119</v>
      </c>
      <c r="AD250" s="230">
        <f t="shared" si="199"/>
        <v>1.8608776047284379</v>
      </c>
      <c r="AE250" s="230">
        <f t="shared" si="199"/>
        <v>1.8919542607274027</v>
      </c>
      <c r="AF250" s="230">
        <f t="shared" si="199"/>
        <v>1.9235498968815501</v>
      </c>
      <c r="AG250" s="230">
        <f t="shared" si="199"/>
        <v>1.9556731801594718</v>
      </c>
      <c r="AI250" s="214">
        <v>1.67E-2</v>
      </c>
      <c r="AJ250" s="3" t="s">
        <v>1360</v>
      </c>
    </row>
    <row r="251" spans="1:63">
      <c r="B251" s="51"/>
    </row>
    <row r="252" spans="1:63" s="58" customFormat="1">
      <c r="A252" s="58" t="s">
        <v>1361</v>
      </c>
      <c r="B252" s="303"/>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c r="AA252" s="304"/>
      <c r="AB252" s="304"/>
      <c r="AC252" s="304"/>
      <c r="AD252" s="304"/>
      <c r="AE252" s="304"/>
      <c r="AF252" s="304"/>
      <c r="AG252" s="304"/>
      <c r="AI252" s="305"/>
      <c r="AJ252" s="306"/>
    </row>
    <row r="253" spans="1:63" s="190" customFormat="1" outlineLevel="1">
      <c r="A253" s="344" t="s">
        <v>1362</v>
      </c>
      <c r="B253" s="318" t="s">
        <v>462</v>
      </c>
      <c r="C253" s="319">
        <v>0.84</v>
      </c>
      <c r="D253" s="320">
        <f>-($C253-$AG253)/30+C253</f>
        <v>0.83566666666666667</v>
      </c>
      <c r="E253" s="320">
        <f t="shared" ref="E253:AF259" si="200">-($C253-$AG253)/30+D253</f>
        <v>0.83133333333333337</v>
      </c>
      <c r="F253" s="320">
        <f t="shared" si="200"/>
        <v>0.82700000000000007</v>
      </c>
      <c r="G253" s="320">
        <f t="shared" si="200"/>
        <v>0.82266666666666677</v>
      </c>
      <c r="H253" s="320">
        <f t="shared" si="200"/>
        <v>0.81833333333333347</v>
      </c>
      <c r="I253" s="320">
        <f t="shared" si="200"/>
        <v>0.81400000000000017</v>
      </c>
      <c r="J253" s="320">
        <f t="shared" si="200"/>
        <v>0.80966666666666687</v>
      </c>
      <c r="K253" s="320">
        <f t="shared" si="200"/>
        <v>0.80533333333333357</v>
      </c>
      <c r="L253" s="320">
        <f t="shared" si="200"/>
        <v>0.80100000000000027</v>
      </c>
      <c r="M253" s="320">
        <f t="shared" si="200"/>
        <v>0.79666666666666697</v>
      </c>
      <c r="N253" s="320">
        <f t="shared" si="200"/>
        <v>0.79233333333333367</v>
      </c>
      <c r="O253" s="320">
        <f t="shared" si="200"/>
        <v>0.78800000000000037</v>
      </c>
      <c r="P253" s="320">
        <f t="shared" si="200"/>
        <v>0.78366666666666707</v>
      </c>
      <c r="Q253" s="320">
        <f t="shared" si="200"/>
        <v>0.77933333333333377</v>
      </c>
      <c r="R253" s="320">
        <f t="shared" si="200"/>
        <v>0.77500000000000047</v>
      </c>
      <c r="S253" s="320">
        <f t="shared" si="200"/>
        <v>0.77066666666666717</v>
      </c>
      <c r="T253" s="320">
        <f t="shared" si="200"/>
        <v>0.76633333333333387</v>
      </c>
      <c r="U253" s="320">
        <f t="shared" si="200"/>
        <v>0.76200000000000057</v>
      </c>
      <c r="V253" s="320">
        <f t="shared" si="200"/>
        <v>0.75766666666666727</v>
      </c>
      <c r="W253" s="320">
        <f t="shared" si="200"/>
        <v>0.75333333333333397</v>
      </c>
      <c r="X253" s="320">
        <f t="shared" si="200"/>
        <v>0.74900000000000067</v>
      </c>
      <c r="Y253" s="320">
        <f t="shared" si="200"/>
        <v>0.74466666666666737</v>
      </c>
      <c r="Z253" s="320">
        <f t="shared" si="200"/>
        <v>0.74033333333333406</v>
      </c>
      <c r="AA253" s="320">
        <f t="shared" si="200"/>
        <v>0.73600000000000076</v>
      </c>
      <c r="AB253" s="320">
        <f t="shared" si="200"/>
        <v>0.73166666666666746</v>
      </c>
      <c r="AC253" s="320">
        <f t="shared" si="200"/>
        <v>0.72733333333333416</v>
      </c>
      <c r="AD253" s="320">
        <f t="shared" si="200"/>
        <v>0.72300000000000086</v>
      </c>
      <c r="AE253" s="320">
        <f t="shared" si="200"/>
        <v>0.71866666666666756</v>
      </c>
      <c r="AF253" s="320">
        <f t="shared" si="200"/>
        <v>0.71433333333333426</v>
      </c>
      <c r="AG253" s="319">
        <v>0.71</v>
      </c>
      <c r="AI253" s="321"/>
      <c r="AJ253" s="322" t="s">
        <v>1363</v>
      </c>
    </row>
    <row r="254" spans="1:63" outlineLevel="1">
      <c r="A254" s="3" t="s">
        <v>90</v>
      </c>
      <c r="B254" s="302" t="s">
        <v>462</v>
      </c>
      <c r="C254" s="296">
        <v>0.16</v>
      </c>
      <c r="D254" s="317">
        <f t="shared" ref="D254:S259" si="201">-($C254-$AG254)/30+C254</f>
        <v>0.16206666666666666</v>
      </c>
      <c r="E254" s="317">
        <f t="shared" si="201"/>
        <v>0.16413333333333333</v>
      </c>
      <c r="F254" s="317">
        <f t="shared" si="201"/>
        <v>0.16619999999999999</v>
      </c>
      <c r="G254" s="317">
        <f t="shared" si="201"/>
        <v>0.16826666666666665</v>
      </c>
      <c r="H254" s="317">
        <f t="shared" si="201"/>
        <v>0.17033333333333331</v>
      </c>
      <c r="I254" s="317">
        <f t="shared" si="201"/>
        <v>0.17239999999999997</v>
      </c>
      <c r="J254" s="317">
        <f t="shared" si="201"/>
        <v>0.17446666666666663</v>
      </c>
      <c r="K254" s="317">
        <f t="shared" si="201"/>
        <v>0.17653333333333329</v>
      </c>
      <c r="L254" s="317">
        <f t="shared" si="201"/>
        <v>0.17859999999999995</v>
      </c>
      <c r="M254" s="317">
        <f t="shared" si="201"/>
        <v>0.18066666666666661</v>
      </c>
      <c r="N254" s="317">
        <f t="shared" si="201"/>
        <v>0.18273333333333328</v>
      </c>
      <c r="O254" s="317">
        <f t="shared" si="201"/>
        <v>0.18479999999999994</v>
      </c>
      <c r="P254" s="317">
        <f t="shared" si="201"/>
        <v>0.1868666666666666</v>
      </c>
      <c r="Q254" s="317">
        <f t="shared" si="201"/>
        <v>0.18893333333333326</v>
      </c>
      <c r="R254" s="317">
        <f t="shared" si="201"/>
        <v>0.19099999999999992</v>
      </c>
      <c r="S254" s="317">
        <f t="shared" si="201"/>
        <v>0.19306666666666658</v>
      </c>
      <c r="T254" s="317">
        <f t="shared" si="200"/>
        <v>0.19513333333333324</v>
      </c>
      <c r="U254" s="317">
        <f t="shared" si="200"/>
        <v>0.1971999999999999</v>
      </c>
      <c r="V254" s="317">
        <f t="shared" si="200"/>
        <v>0.19926666666666656</v>
      </c>
      <c r="W254" s="317">
        <f t="shared" si="200"/>
        <v>0.20133333333333323</v>
      </c>
      <c r="X254" s="317">
        <f t="shared" si="200"/>
        <v>0.20339999999999989</v>
      </c>
      <c r="Y254" s="317">
        <f t="shared" si="200"/>
        <v>0.20546666666666655</v>
      </c>
      <c r="Z254" s="317">
        <f t="shared" si="200"/>
        <v>0.20753333333333321</v>
      </c>
      <c r="AA254" s="317">
        <f t="shared" si="200"/>
        <v>0.20959999999999987</v>
      </c>
      <c r="AB254" s="317">
        <f t="shared" si="200"/>
        <v>0.21166666666666653</v>
      </c>
      <c r="AC254" s="317">
        <f t="shared" si="200"/>
        <v>0.21373333333333319</v>
      </c>
      <c r="AD254" s="317">
        <f t="shared" si="200"/>
        <v>0.21579999999999985</v>
      </c>
      <c r="AE254" s="317">
        <f t="shared" si="200"/>
        <v>0.21786666666666651</v>
      </c>
      <c r="AF254" s="317">
        <f t="shared" si="200"/>
        <v>0.21993333333333318</v>
      </c>
      <c r="AG254" s="296">
        <v>0.222</v>
      </c>
      <c r="AI254" s="214"/>
      <c r="AJ254" s="211" t="s">
        <v>1363</v>
      </c>
    </row>
    <row r="255" spans="1:63" outlineLevel="1">
      <c r="A255" s="3" t="s">
        <v>33</v>
      </c>
      <c r="B255" s="302" t="s">
        <v>462</v>
      </c>
      <c r="C255" s="296">
        <v>0.37</v>
      </c>
      <c r="D255" s="317">
        <f t="shared" si="201"/>
        <v>0.36270000000000002</v>
      </c>
      <c r="E255" s="317">
        <f t="shared" si="201"/>
        <v>0.35540000000000005</v>
      </c>
      <c r="F255" s="317">
        <f t="shared" si="201"/>
        <v>0.34810000000000008</v>
      </c>
      <c r="G255" s="317">
        <f t="shared" si="201"/>
        <v>0.3408000000000001</v>
      </c>
      <c r="H255" s="317">
        <f t="shared" si="201"/>
        <v>0.33350000000000013</v>
      </c>
      <c r="I255" s="317">
        <f t="shared" si="201"/>
        <v>0.32620000000000016</v>
      </c>
      <c r="J255" s="317">
        <f t="shared" si="201"/>
        <v>0.31890000000000018</v>
      </c>
      <c r="K255" s="317">
        <f t="shared" si="201"/>
        <v>0.31160000000000021</v>
      </c>
      <c r="L255" s="317">
        <f t="shared" si="201"/>
        <v>0.30430000000000024</v>
      </c>
      <c r="M255" s="317">
        <f t="shared" si="201"/>
        <v>0.29700000000000026</v>
      </c>
      <c r="N255" s="317">
        <f t="shared" si="201"/>
        <v>0.28970000000000029</v>
      </c>
      <c r="O255" s="317">
        <f t="shared" si="201"/>
        <v>0.28240000000000032</v>
      </c>
      <c r="P255" s="317">
        <f t="shared" si="201"/>
        <v>0.27510000000000034</v>
      </c>
      <c r="Q255" s="317">
        <f t="shared" si="201"/>
        <v>0.26780000000000037</v>
      </c>
      <c r="R255" s="317">
        <f t="shared" si="201"/>
        <v>0.2605000000000004</v>
      </c>
      <c r="S255" s="317">
        <f t="shared" si="201"/>
        <v>0.25320000000000042</v>
      </c>
      <c r="T255" s="317">
        <f t="shared" si="200"/>
        <v>0.24590000000000042</v>
      </c>
      <c r="U255" s="317">
        <f t="shared" si="200"/>
        <v>0.23860000000000042</v>
      </c>
      <c r="V255" s="317">
        <f t="shared" si="200"/>
        <v>0.23130000000000042</v>
      </c>
      <c r="W255" s="317">
        <f t="shared" si="200"/>
        <v>0.22400000000000042</v>
      </c>
      <c r="X255" s="317">
        <f t="shared" si="200"/>
        <v>0.21670000000000042</v>
      </c>
      <c r="Y255" s="317">
        <f t="shared" si="200"/>
        <v>0.20940000000000042</v>
      </c>
      <c r="Z255" s="317">
        <f t="shared" si="200"/>
        <v>0.20210000000000042</v>
      </c>
      <c r="AA255" s="317">
        <f t="shared" si="200"/>
        <v>0.19480000000000042</v>
      </c>
      <c r="AB255" s="317">
        <f t="shared" si="200"/>
        <v>0.18750000000000042</v>
      </c>
      <c r="AC255" s="317">
        <f t="shared" si="200"/>
        <v>0.18020000000000042</v>
      </c>
      <c r="AD255" s="317">
        <f t="shared" si="200"/>
        <v>0.17290000000000041</v>
      </c>
      <c r="AE255" s="317">
        <f t="shared" si="200"/>
        <v>0.16560000000000041</v>
      </c>
      <c r="AF255" s="317">
        <f t="shared" si="200"/>
        <v>0.15830000000000041</v>
      </c>
      <c r="AG255" s="296">
        <v>0.151</v>
      </c>
      <c r="AI255" s="214"/>
      <c r="AJ255" s="211" t="s">
        <v>1363</v>
      </c>
    </row>
    <row r="256" spans="1:63" outlineLevel="1">
      <c r="A256" s="3" t="s">
        <v>451</v>
      </c>
      <c r="B256" s="302" t="s">
        <v>462</v>
      </c>
      <c r="C256" s="296">
        <v>0.08</v>
      </c>
      <c r="D256" s="317">
        <f t="shared" si="201"/>
        <v>8.0100000000000005E-2</v>
      </c>
      <c r="E256" s="317">
        <f t="shared" si="201"/>
        <v>8.0200000000000007E-2</v>
      </c>
      <c r="F256" s="317">
        <f t="shared" si="201"/>
        <v>8.030000000000001E-2</v>
      </c>
      <c r="G256" s="317">
        <f t="shared" si="201"/>
        <v>8.0400000000000013E-2</v>
      </c>
      <c r="H256" s="317">
        <f t="shared" si="201"/>
        <v>8.0500000000000016E-2</v>
      </c>
      <c r="I256" s="317">
        <f t="shared" si="201"/>
        <v>8.0600000000000019E-2</v>
      </c>
      <c r="J256" s="317">
        <f t="shared" si="201"/>
        <v>8.0700000000000022E-2</v>
      </c>
      <c r="K256" s="317">
        <f t="shared" si="201"/>
        <v>8.0800000000000025E-2</v>
      </c>
      <c r="L256" s="317">
        <f t="shared" si="201"/>
        <v>8.0900000000000027E-2</v>
      </c>
      <c r="M256" s="317">
        <f t="shared" si="201"/>
        <v>8.100000000000003E-2</v>
      </c>
      <c r="N256" s="317">
        <f t="shared" si="201"/>
        <v>8.1100000000000033E-2</v>
      </c>
      <c r="O256" s="317">
        <f t="shared" si="201"/>
        <v>8.1200000000000036E-2</v>
      </c>
      <c r="P256" s="317">
        <f t="shared" si="201"/>
        <v>8.1300000000000039E-2</v>
      </c>
      <c r="Q256" s="317">
        <f t="shared" si="201"/>
        <v>8.1400000000000042E-2</v>
      </c>
      <c r="R256" s="317">
        <f t="shared" si="201"/>
        <v>8.1500000000000045E-2</v>
      </c>
      <c r="S256" s="317">
        <f t="shared" si="201"/>
        <v>8.1600000000000047E-2</v>
      </c>
      <c r="T256" s="317">
        <f t="shared" si="200"/>
        <v>8.170000000000005E-2</v>
      </c>
      <c r="U256" s="317">
        <f t="shared" si="200"/>
        <v>8.1800000000000053E-2</v>
      </c>
      <c r="V256" s="317">
        <f t="shared" si="200"/>
        <v>8.1900000000000056E-2</v>
      </c>
      <c r="W256" s="317">
        <f t="shared" si="200"/>
        <v>8.2000000000000059E-2</v>
      </c>
      <c r="X256" s="317">
        <f t="shared" si="200"/>
        <v>8.2100000000000062E-2</v>
      </c>
      <c r="Y256" s="317">
        <f t="shared" si="200"/>
        <v>8.2200000000000065E-2</v>
      </c>
      <c r="Z256" s="317">
        <f t="shared" si="200"/>
        <v>8.2300000000000068E-2</v>
      </c>
      <c r="AA256" s="317">
        <f t="shared" si="200"/>
        <v>8.240000000000007E-2</v>
      </c>
      <c r="AB256" s="317">
        <f t="shared" si="200"/>
        <v>8.2500000000000073E-2</v>
      </c>
      <c r="AC256" s="317">
        <f t="shared" si="200"/>
        <v>8.2600000000000076E-2</v>
      </c>
      <c r="AD256" s="317">
        <f t="shared" si="200"/>
        <v>8.2700000000000079E-2</v>
      </c>
      <c r="AE256" s="317">
        <f t="shared" si="200"/>
        <v>8.2800000000000082E-2</v>
      </c>
      <c r="AF256" s="317">
        <f t="shared" si="200"/>
        <v>8.2900000000000085E-2</v>
      </c>
      <c r="AG256" s="296">
        <v>8.3000000000000004E-2</v>
      </c>
      <c r="AI256" s="214"/>
      <c r="AJ256" s="211" t="s">
        <v>1363</v>
      </c>
    </row>
    <row r="257" spans="1:36" outlineLevel="1">
      <c r="A257" s="3" t="s">
        <v>452</v>
      </c>
      <c r="B257" s="302" t="s">
        <v>462</v>
      </c>
      <c r="C257" s="296">
        <v>0.27</v>
      </c>
      <c r="D257" s="317">
        <f t="shared" si="201"/>
        <v>0.27313333333333334</v>
      </c>
      <c r="E257" s="317">
        <f t="shared" si="201"/>
        <v>0.27626666666666666</v>
      </c>
      <c r="F257" s="317">
        <f t="shared" si="201"/>
        <v>0.27939999999999998</v>
      </c>
      <c r="G257" s="317">
        <f t="shared" si="201"/>
        <v>0.2825333333333333</v>
      </c>
      <c r="H257" s="317">
        <f t="shared" si="201"/>
        <v>0.28566666666666662</v>
      </c>
      <c r="I257" s="317">
        <f t="shared" si="201"/>
        <v>0.28879999999999995</v>
      </c>
      <c r="J257" s="317">
        <f t="shared" si="201"/>
        <v>0.29193333333333327</v>
      </c>
      <c r="K257" s="317">
        <f t="shared" si="201"/>
        <v>0.29506666666666659</v>
      </c>
      <c r="L257" s="317">
        <f t="shared" si="201"/>
        <v>0.29819999999999991</v>
      </c>
      <c r="M257" s="317">
        <f t="shared" si="201"/>
        <v>0.30133333333333323</v>
      </c>
      <c r="N257" s="317">
        <f t="shared" si="201"/>
        <v>0.30446666666666655</v>
      </c>
      <c r="O257" s="317">
        <f t="shared" si="201"/>
        <v>0.30759999999999987</v>
      </c>
      <c r="P257" s="317">
        <f t="shared" si="201"/>
        <v>0.31073333333333319</v>
      </c>
      <c r="Q257" s="317">
        <f t="shared" si="201"/>
        <v>0.31386666666666652</v>
      </c>
      <c r="R257" s="317">
        <f t="shared" si="201"/>
        <v>0.31699999999999984</v>
      </c>
      <c r="S257" s="317">
        <f t="shared" si="201"/>
        <v>0.32013333333333316</v>
      </c>
      <c r="T257" s="317">
        <f t="shared" si="200"/>
        <v>0.32326666666666648</v>
      </c>
      <c r="U257" s="317">
        <f t="shared" si="200"/>
        <v>0.3263999999999998</v>
      </c>
      <c r="V257" s="317">
        <f t="shared" si="200"/>
        <v>0.32953333333333312</v>
      </c>
      <c r="W257" s="317">
        <f t="shared" si="200"/>
        <v>0.33266666666666644</v>
      </c>
      <c r="X257" s="317">
        <f t="shared" si="200"/>
        <v>0.33579999999999977</v>
      </c>
      <c r="Y257" s="317">
        <f t="shared" si="200"/>
        <v>0.33893333333333309</v>
      </c>
      <c r="Z257" s="317">
        <f t="shared" si="200"/>
        <v>0.34206666666666641</v>
      </c>
      <c r="AA257" s="317">
        <f t="shared" si="200"/>
        <v>0.34519999999999973</v>
      </c>
      <c r="AB257" s="317">
        <f t="shared" si="200"/>
        <v>0.34833333333333305</v>
      </c>
      <c r="AC257" s="317">
        <f t="shared" si="200"/>
        <v>0.35146666666666637</v>
      </c>
      <c r="AD257" s="317">
        <f t="shared" si="200"/>
        <v>0.35459999999999969</v>
      </c>
      <c r="AE257" s="317">
        <f t="shared" si="200"/>
        <v>0.35773333333333301</v>
      </c>
      <c r="AF257" s="317">
        <f t="shared" si="200"/>
        <v>0.36086666666666634</v>
      </c>
      <c r="AG257" s="296">
        <v>0.36399999999999999</v>
      </c>
      <c r="AI257" s="214"/>
      <c r="AJ257" s="211" t="s">
        <v>1363</v>
      </c>
    </row>
    <row r="258" spans="1:36" outlineLevel="1">
      <c r="A258" s="3" t="s">
        <v>1364</v>
      </c>
      <c r="B258" s="302" t="s">
        <v>462</v>
      </c>
      <c r="C258" s="296">
        <v>7.0000000000000007E-2</v>
      </c>
      <c r="D258" s="317">
        <f t="shared" si="201"/>
        <v>7.1266666666666673E-2</v>
      </c>
      <c r="E258" s="317">
        <f t="shared" si="201"/>
        <v>7.2533333333333339E-2</v>
      </c>
      <c r="F258" s="317">
        <f t="shared" si="201"/>
        <v>7.3800000000000004E-2</v>
      </c>
      <c r="G258" s="317">
        <f t="shared" si="201"/>
        <v>7.506666666666667E-2</v>
      </c>
      <c r="H258" s="317">
        <f t="shared" si="201"/>
        <v>7.6333333333333336E-2</v>
      </c>
      <c r="I258" s="317">
        <f t="shared" si="201"/>
        <v>7.7600000000000002E-2</v>
      </c>
      <c r="J258" s="317">
        <f t="shared" si="201"/>
        <v>7.8866666666666668E-2</v>
      </c>
      <c r="K258" s="317">
        <f t="shared" si="201"/>
        <v>8.0133333333333334E-2</v>
      </c>
      <c r="L258" s="317">
        <f t="shared" si="201"/>
        <v>8.14E-2</v>
      </c>
      <c r="M258" s="317">
        <f t="shared" si="201"/>
        <v>8.2666666666666666E-2</v>
      </c>
      <c r="N258" s="317">
        <f t="shared" si="201"/>
        <v>8.3933333333333332E-2</v>
      </c>
      <c r="O258" s="317">
        <f t="shared" si="201"/>
        <v>8.5199999999999998E-2</v>
      </c>
      <c r="P258" s="317">
        <f t="shared" si="201"/>
        <v>8.6466666666666664E-2</v>
      </c>
      <c r="Q258" s="317">
        <f t="shared" si="201"/>
        <v>8.773333333333333E-2</v>
      </c>
      <c r="R258" s="317">
        <f t="shared" si="201"/>
        <v>8.8999999999999996E-2</v>
      </c>
      <c r="S258" s="317">
        <f t="shared" si="201"/>
        <v>9.0266666666666662E-2</v>
      </c>
      <c r="T258" s="317">
        <f t="shared" si="200"/>
        <v>9.1533333333333328E-2</v>
      </c>
      <c r="U258" s="317">
        <f t="shared" si="200"/>
        <v>9.2799999999999994E-2</v>
      </c>
      <c r="V258" s="317">
        <f t="shared" si="200"/>
        <v>9.406666666666666E-2</v>
      </c>
      <c r="W258" s="317">
        <f t="shared" si="200"/>
        <v>9.5333333333333325E-2</v>
      </c>
      <c r="X258" s="317">
        <f t="shared" si="200"/>
        <v>9.6599999999999991E-2</v>
      </c>
      <c r="Y258" s="317">
        <f t="shared" si="200"/>
        <v>9.7866666666666657E-2</v>
      </c>
      <c r="Z258" s="317">
        <f t="shared" si="200"/>
        <v>9.9133333333333323E-2</v>
      </c>
      <c r="AA258" s="317">
        <f t="shared" si="200"/>
        <v>0.10039999999999999</v>
      </c>
      <c r="AB258" s="317">
        <f t="shared" si="200"/>
        <v>0.10166666666666666</v>
      </c>
      <c r="AC258" s="317">
        <f t="shared" si="200"/>
        <v>0.10293333333333332</v>
      </c>
      <c r="AD258" s="317">
        <f t="shared" si="200"/>
        <v>0.10419999999999999</v>
      </c>
      <c r="AE258" s="317">
        <f t="shared" si="200"/>
        <v>0.10546666666666665</v>
      </c>
      <c r="AF258" s="317">
        <f t="shared" si="200"/>
        <v>0.10673333333333332</v>
      </c>
      <c r="AG258" s="296">
        <v>0.108</v>
      </c>
      <c r="AI258" s="214"/>
      <c r="AJ258" s="211" t="s">
        <v>1363</v>
      </c>
    </row>
    <row r="259" spans="1:36" outlineLevel="1">
      <c r="A259" s="3" t="s">
        <v>1365</v>
      </c>
      <c r="B259" s="302" t="s">
        <v>462</v>
      </c>
      <c r="C259" s="296">
        <v>0.05</v>
      </c>
      <c r="D259" s="317">
        <f t="shared" si="201"/>
        <v>5.0733333333333339E-2</v>
      </c>
      <c r="E259" s="317">
        <f t="shared" si="201"/>
        <v>5.1466666666666674E-2</v>
      </c>
      <c r="F259" s="317">
        <f t="shared" si="201"/>
        <v>5.220000000000001E-2</v>
      </c>
      <c r="G259" s="317">
        <f t="shared" si="201"/>
        <v>5.2933333333333346E-2</v>
      </c>
      <c r="H259" s="317">
        <f t="shared" si="201"/>
        <v>5.3666666666666682E-2</v>
      </c>
      <c r="I259" s="317">
        <f t="shared" si="201"/>
        <v>5.4400000000000018E-2</v>
      </c>
      <c r="J259" s="317">
        <f t="shared" si="201"/>
        <v>5.5133333333333354E-2</v>
      </c>
      <c r="K259" s="317">
        <f t="shared" si="201"/>
        <v>5.5866666666666689E-2</v>
      </c>
      <c r="L259" s="317">
        <f t="shared" si="201"/>
        <v>5.6600000000000025E-2</v>
      </c>
      <c r="M259" s="317">
        <f t="shared" si="201"/>
        <v>5.7333333333333361E-2</v>
      </c>
      <c r="N259" s="317">
        <f t="shared" si="201"/>
        <v>5.8066666666666697E-2</v>
      </c>
      <c r="O259" s="317">
        <f t="shared" si="201"/>
        <v>5.8800000000000033E-2</v>
      </c>
      <c r="P259" s="317">
        <f t="shared" si="201"/>
        <v>5.9533333333333369E-2</v>
      </c>
      <c r="Q259" s="317">
        <f t="shared" si="201"/>
        <v>6.0266666666666704E-2</v>
      </c>
      <c r="R259" s="317">
        <f t="shared" si="201"/>
        <v>6.100000000000004E-2</v>
      </c>
      <c r="S259" s="317">
        <f t="shared" si="201"/>
        <v>6.1733333333333376E-2</v>
      </c>
      <c r="T259" s="317">
        <f t="shared" si="200"/>
        <v>6.2466666666666712E-2</v>
      </c>
      <c r="U259" s="317">
        <f t="shared" si="200"/>
        <v>6.3200000000000048E-2</v>
      </c>
      <c r="V259" s="317">
        <f t="shared" si="200"/>
        <v>6.3933333333333384E-2</v>
      </c>
      <c r="W259" s="317">
        <f t="shared" si="200"/>
        <v>6.4666666666666719E-2</v>
      </c>
      <c r="X259" s="317">
        <f t="shared" si="200"/>
        <v>6.5400000000000055E-2</v>
      </c>
      <c r="Y259" s="317">
        <f t="shared" si="200"/>
        <v>6.6133333333333391E-2</v>
      </c>
      <c r="Z259" s="317">
        <f t="shared" si="200"/>
        <v>6.6866666666666727E-2</v>
      </c>
      <c r="AA259" s="317">
        <f t="shared" si="200"/>
        <v>6.7600000000000063E-2</v>
      </c>
      <c r="AB259" s="317">
        <f t="shared" si="200"/>
        <v>6.8333333333333399E-2</v>
      </c>
      <c r="AC259" s="317">
        <f t="shared" si="200"/>
        <v>6.9066666666666734E-2</v>
      </c>
      <c r="AD259" s="317">
        <f t="shared" si="200"/>
        <v>6.980000000000007E-2</v>
      </c>
      <c r="AE259" s="317">
        <f t="shared" si="200"/>
        <v>7.0533333333333406E-2</v>
      </c>
      <c r="AF259" s="317">
        <f t="shared" si="200"/>
        <v>7.1266666666666742E-2</v>
      </c>
      <c r="AG259" s="296">
        <v>7.1999999999999995E-2</v>
      </c>
      <c r="AI259" s="214"/>
      <c r="AJ259" s="211" t="s">
        <v>1363</v>
      </c>
    </row>
    <row r="260" spans="1:36" s="58" customFormat="1" outlineLevel="1">
      <c r="A260" s="306" t="s">
        <v>1366</v>
      </c>
      <c r="B260" s="303"/>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c r="AA260" s="304"/>
      <c r="AB260" s="304"/>
      <c r="AC260" s="304"/>
      <c r="AD260" s="304"/>
      <c r="AE260" s="304"/>
      <c r="AF260" s="304"/>
      <c r="AG260" s="304"/>
      <c r="AI260" s="305"/>
      <c r="AJ260" s="306"/>
    </row>
    <row r="261" spans="1:36" s="58" customFormat="1" outlineLevel="1">
      <c r="A261" s="307" t="s">
        <v>1367</v>
      </c>
      <c r="B261" s="308" t="s">
        <v>462</v>
      </c>
      <c r="C261" s="337">
        <v>0.84</v>
      </c>
      <c r="D261" s="338">
        <f>-($C261-$AG261)/30+C261</f>
        <v>0.84399999999999997</v>
      </c>
      <c r="E261" s="338">
        <f t="shared" ref="E261:T262" si="202">-($C261-$AG261)/30+D261</f>
        <v>0.84799999999999998</v>
      </c>
      <c r="F261" s="338">
        <f t="shared" si="202"/>
        <v>0.85199999999999998</v>
      </c>
      <c r="G261" s="338">
        <f t="shared" si="202"/>
        <v>0.85599999999999998</v>
      </c>
      <c r="H261" s="338">
        <f t="shared" si="202"/>
        <v>0.86</v>
      </c>
      <c r="I261" s="338">
        <f t="shared" si="202"/>
        <v>0.86399999999999999</v>
      </c>
      <c r="J261" s="338">
        <f t="shared" si="202"/>
        <v>0.86799999999999999</v>
      </c>
      <c r="K261" s="338">
        <f t="shared" si="202"/>
        <v>0.872</v>
      </c>
      <c r="L261" s="338">
        <f t="shared" si="202"/>
        <v>0.876</v>
      </c>
      <c r="M261" s="338">
        <f t="shared" si="202"/>
        <v>0.88</v>
      </c>
      <c r="N261" s="338">
        <f t="shared" si="202"/>
        <v>0.88400000000000001</v>
      </c>
      <c r="O261" s="338">
        <f t="shared" si="202"/>
        <v>0.88800000000000001</v>
      </c>
      <c r="P261" s="338">
        <f t="shared" si="202"/>
        <v>0.89200000000000002</v>
      </c>
      <c r="Q261" s="338">
        <f t="shared" si="202"/>
        <v>0.89600000000000002</v>
      </c>
      <c r="R261" s="338">
        <f t="shared" si="202"/>
        <v>0.9</v>
      </c>
      <c r="S261" s="338">
        <f t="shared" si="202"/>
        <v>0.90400000000000003</v>
      </c>
      <c r="T261" s="338">
        <f t="shared" si="202"/>
        <v>0.90800000000000003</v>
      </c>
      <c r="U261" s="338">
        <f t="shared" ref="U261:AF262" si="203">-($C261-$AG261)/30+T261</f>
        <v>0.91200000000000003</v>
      </c>
      <c r="V261" s="338">
        <f t="shared" si="203"/>
        <v>0.91600000000000004</v>
      </c>
      <c r="W261" s="338">
        <f t="shared" si="203"/>
        <v>0.92</v>
      </c>
      <c r="X261" s="338">
        <f t="shared" si="203"/>
        <v>0.92400000000000004</v>
      </c>
      <c r="Y261" s="338">
        <f t="shared" si="203"/>
        <v>0.92800000000000005</v>
      </c>
      <c r="Z261" s="338">
        <f t="shared" si="203"/>
        <v>0.93200000000000005</v>
      </c>
      <c r="AA261" s="338">
        <f t="shared" si="203"/>
        <v>0.93600000000000005</v>
      </c>
      <c r="AB261" s="338">
        <f t="shared" si="203"/>
        <v>0.94000000000000006</v>
      </c>
      <c r="AC261" s="338">
        <f t="shared" si="203"/>
        <v>0.94400000000000006</v>
      </c>
      <c r="AD261" s="338">
        <f t="shared" si="203"/>
        <v>0.94800000000000006</v>
      </c>
      <c r="AE261" s="338">
        <f t="shared" si="203"/>
        <v>0.95200000000000007</v>
      </c>
      <c r="AF261" s="338">
        <f t="shared" si="203"/>
        <v>0.95600000000000007</v>
      </c>
      <c r="AG261" s="337">
        <v>0.96</v>
      </c>
      <c r="AI261" s="305"/>
      <c r="AJ261" s="339" t="s">
        <v>1363</v>
      </c>
    </row>
    <row r="262" spans="1:36" s="58" customFormat="1" outlineLevel="1">
      <c r="A262" s="307" t="s">
        <v>1368</v>
      </c>
      <c r="B262" s="308" t="s">
        <v>462</v>
      </c>
      <c r="C262" s="337">
        <v>0.22</v>
      </c>
      <c r="D262" s="338">
        <f>-($C262-$AG262)/30+C262</f>
        <v>0.22666666666666666</v>
      </c>
      <c r="E262" s="338">
        <f t="shared" si="202"/>
        <v>0.23333333333333331</v>
      </c>
      <c r="F262" s="338">
        <f t="shared" si="202"/>
        <v>0.23999999999999996</v>
      </c>
      <c r="G262" s="338">
        <f t="shared" si="202"/>
        <v>0.24666666666666662</v>
      </c>
      <c r="H262" s="338">
        <f t="shared" si="202"/>
        <v>0.2533333333333333</v>
      </c>
      <c r="I262" s="338">
        <f t="shared" si="202"/>
        <v>0.25999999999999995</v>
      </c>
      <c r="J262" s="338">
        <f t="shared" si="202"/>
        <v>0.26666666666666661</v>
      </c>
      <c r="K262" s="338">
        <f t="shared" si="202"/>
        <v>0.27333333333333326</v>
      </c>
      <c r="L262" s="338">
        <f t="shared" si="202"/>
        <v>0.27999999999999992</v>
      </c>
      <c r="M262" s="338">
        <f t="shared" si="202"/>
        <v>0.28666666666666657</v>
      </c>
      <c r="N262" s="338">
        <f t="shared" si="202"/>
        <v>0.29333333333333322</v>
      </c>
      <c r="O262" s="338">
        <f t="shared" si="202"/>
        <v>0.29999999999999988</v>
      </c>
      <c r="P262" s="338">
        <f t="shared" si="202"/>
        <v>0.30666666666666653</v>
      </c>
      <c r="Q262" s="338">
        <f t="shared" si="202"/>
        <v>0.31333333333333319</v>
      </c>
      <c r="R262" s="338">
        <f t="shared" si="202"/>
        <v>0.31999999999999984</v>
      </c>
      <c r="S262" s="338">
        <f t="shared" si="202"/>
        <v>0.32666666666666649</v>
      </c>
      <c r="T262" s="338">
        <f t="shared" si="202"/>
        <v>0.33333333333333315</v>
      </c>
      <c r="U262" s="338">
        <f t="shared" si="203"/>
        <v>0.3399999999999998</v>
      </c>
      <c r="V262" s="338">
        <f t="shared" si="203"/>
        <v>0.34666666666666646</v>
      </c>
      <c r="W262" s="338">
        <f t="shared" si="203"/>
        <v>0.35333333333333311</v>
      </c>
      <c r="X262" s="338">
        <f t="shared" si="203"/>
        <v>0.35999999999999976</v>
      </c>
      <c r="Y262" s="338">
        <f t="shared" si="203"/>
        <v>0.36666666666666642</v>
      </c>
      <c r="Z262" s="338">
        <f t="shared" si="203"/>
        <v>0.37333333333333307</v>
      </c>
      <c r="AA262" s="338">
        <f t="shared" si="203"/>
        <v>0.37999999999999973</v>
      </c>
      <c r="AB262" s="338">
        <f t="shared" si="203"/>
        <v>0.38666666666666638</v>
      </c>
      <c r="AC262" s="338">
        <f t="shared" si="203"/>
        <v>0.39333333333333304</v>
      </c>
      <c r="AD262" s="338">
        <f t="shared" si="203"/>
        <v>0.39999999999999969</v>
      </c>
      <c r="AE262" s="338">
        <f t="shared" si="203"/>
        <v>0.40666666666666634</v>
      </c>
      <c r="AF262" s="338">
        <f t="shared" si="203"/>
        <v>0.413333333333333</v>
      </c>
      <c r="AG262" s="337">
        <v>0.42</v>
      </c>
      <c r="AI262" s="305"/>
      <c r="AJ262" s="339" t="s">
        <v>1363</v>
      </c>
    </row>
    <row r="263" spans="1:36" s="62" customFormat="1" outlineLevel="1">
      <c r="A263" s="311" t="s">
        <v>1369</v>
      </c>
      <c r="B263" s="312" t="s">
        <v>462</v>
      </c>
      <c r="C263" s="340">
        <f>1-C262</f>
        <v>0.78</v>
      </c>
      <c r="D263" s="340">
        <f t="shared" ref="D263:AG263" si="204">1-D262</f>
        <v>0.77333333333333332</v>
      </c>
      <c r="E263" s="340">
        <f t="shared" si="204"/>
        <v>0.76666666666666672</v>
      </c>
      <c r="F263" s="340">
        <f t="shared" si="204"/>
        <v>0.76</v>
      </c>
      <c r="G263" s="340">
        <f t="shared" si="204"/>
        <v>0.75333333333333341</v>
      </c>
      <c r="H263" s="340">
        <f t="shared" si="204"/>
        <v>0.7466666666666667</v>
      </c>
      <c r="I263" s="340">
        <f t="shared" si="204"/>
        <v>0.74</v>
      </c>
      <c r="J263" s="340">
        <f t="shared" si="204"/>
        <v>0.73333333333333339</v>
      </c>
      <c r="K263" s="340">
        <f t="shared" si="204"/>
        <v>0.72666666666666679</v>
      </c>
      <c r="L263" s="340">
        <f t="shared" si="204"/>
        <v>0.72000000000000008</v>
      </c>
      <c r="M263" s="340">
        <f t="shared" si="204"/>
        <v>0.71333333333333337</v>
      </c>
      <c r="N263" s="340">
        <f t="shared" si="204"/>
        <v>0.70666666666666678</v>
      </c>
      <c r="O263" s="340">
        <f t="shared" si="204"/>
        <v>0.70000000000000018</v>
      </c>
      <c r="P263" s="340">
        <f t="shared" si="204"/>
        <v>0.69333333333333347</v>
      </c>
      <c r="Q263" s="340">
        <f t="shared" si="204"/>
        <v>0.68666666666666676</v>
      </c>
      <c r="R263" s="340">
        <f t="shared" si="204"/>
        <v>0.68000000000000016</v>
      </c>
      <c r="S263" s="340">
        <f t="shared" si="204"/>
        <v>0.67333333333333356</v>
      </c>
      <c r="T263" s="340">
        <f t="shared" si="204"/>
        <v>0.66666666666666685</v>
      </c>
      <c r="U263" s="340">
        <f t="shared" si="204"/>
        <v>0.66000000000000014</v>
      </c>
      <c r="V263" s="340">
        <f t="shared" si="204"/>
        <v>0.65333333333333354</v>
      </c>
      <c r="W263" s="340">
        <f t="shared" si="204"/>
        <v>0.64666666666666694</v>
      </c>
      <c r="X263" s="340">
        <f t="shared" si="204"/>
        <v>0.64000000000000024</v>
      </c>
      <c r="Y263" s="340">
        <f t="shared" si="204"/>
        <v>0.63333333333333353</v>
      </c>
      <c r="Z263" s="340">
        <f t="shared" si="204"/>
        <v>0.62666666666666693</v>
      </c>
      <c r="AA263" s="340">
        <f t="shared" si="204"/>
        <v>0.62000000000000033</v>
      </c>
      <c r="AB263" s="340">
        <f t="shared" si="204"/>
        <v>0.61333333333333362</v>
      </c>
      <c r="AC263" s="340">
        <f t="shared" si="204"/>
        <v>0.60666666666666691</v>
      </c>
      <c r="AD263" s="340">
        <f t="shared" si="204"/>
        <v>0.60000000000000031</v>
      </c>
      <c r="AE263" s="340">
        <f t="shared" si="204"/>
        <v>0.59333333333333371</v>
      </c>
      <c r="AF263" s="340">
        <f t="shared" si="204"/>
        <v>0.586666666666667</v>
      </c>
      <c r="AG263" s="340">
        <f t="shared" si="204"/>
        <v>0.58000000000000007</v>
      </c>
      <c r="AI263" s="342"/>
      <c r="AJ263" s="341" t="s">
        <v>1363</v>
      </c>
    </row>
    <row r="264" spans="1:36" s="1" customFormat="1" outlineLevel="1">
      <c r="A264" t="s">
        <v>1370</v>
      </c>
      <c r="B264" s="302" t="s">
        <v>462</v>
      </c>
      <c r="C264" s="296">
        <v>0.95</v>
      </c>
      <c r="D264" s="317">
        <f t="shared" ref="D264:S279" si="205">-($C264-$AG264)/30+C264</f>
        <v>0.94499999999999995</v>
      </c>
      <c r="E264" s="317">
        <f t="shared" si="205"/>
        <v>0.94</v>
      </c>
      <c r="F264" s="317">
        <f t="shared" si="205"/>
        <v>0.93499999999999994</v>
      </c>
      <c r="G264" s="317">
        <f t="shared" si="205"/>
        <v>0.92999999999999994</v>
      </c>
      <c r="H264" s="317">
        <f t="shared" si="205"/>
        <v>0.92499999999999993</v>
      </c>
      <c r="I264" s="317">
        <f t="shared" si="205"/>
        <v>0.91999999999999993</v>
      </c>
      <c r="J264" s="317">
        <f t="shared" si="205"/>
        <v>0.91499999999999992</v>
      </c>
      <c r="K264" s="317">
        <f t="shared" si="205"/>
        <v>0.90999999999999992</v>
      </c>
      <c r="L264" s="317">
        <f t="shared" si="205"/>
        <v>0.90499999999999992</v>
      </c>
      <c r="M264" s="317">
        <f t="shared" si="205"/>
        <v>0.89999999999999991</v>
      </c>
      <c r="N264" s="317">
        <f t="shared" si="205"/>
        <v>0.89499999999999991</v>
      </c>
      <c r="O264" s="317">
        <f t="shared" si="205"/>
        <v>0.8899999999999999</v>
      </c>
      <c r="P264" s="317">
        <f t="shared" si="205"/>
        <v>0.8849999999999999</v>
      </c>
      <c r="Q264" s="317">
        <f t="shared" si="205"/>
        <v>0.87999999999999989</v>
      </c>
      <c r="R264" s="317">
        <f t="shared" si="205"/>
        <v>0.87499999999999989</v>
      </c>
      <c r="S264" s="317">
        <f t="shared" si="205"/>
        <v>0.86999999999999988</v>
      </c>
      <c r="T264" s="317">
        <f t="shared" ref="T264:AF278" si="206">-($C264-$AG264)/30+S264</f>
        <v>0.86499999999999988</v>
      </c>
      <c r="U264" s="317">
        <f t="shared" si="206"/>
        <v>0.85999999999999988</v>
      </c>
      <c r="V264" s="317">
        <f t="shared" si="206"/>
        <v>0.85499999999999987</v>
      </c>
      <c r="W264" s="317">
        <f t="shared" si="206"/>
        <v>0.84999999999999987</v>
      </c>
      <c r="X264" s="317">
        <f t="shared" si="206"/>
        <v>0.84499999999999986</v>
      </c>
      <c r="Y264" s="317">
        <f t="shared" si="206"/>
        <v>0.83999999999999986</v>
      </c>
      <c r="Z264" s="317">
        <f t="shared" si="206"/>
        <v>0.83499999999999985</v>
      </c>
      <c r="AA264" s="317">
        <f t="shared" si="206"/>
        <v>0.82999999999999985</v>
      </c>
      <c r="AB264" s="317">
        <f t="shared" si="206"/>
        <v>0.82499999999999984</v>
      </c>
      <c r="AC264" s="317">
        <f t="shared" si="206"/>
        <v>0.81999999999999984</v>
      </c>
      <c r="AD264" s="317">
        <f t="shared" si="206"/>
        <v>0.81499999999999984</v>
      </c>
      <c r="AE264" s="317">
        <f t="shared" si="206"/>
        <v>0.80999999999999983</v>
      </c>
      <c r="AF264" s="317">
        <f t="shared" si="206"/>
        <v>0.80499999999999983</v>
      </c>
      <c r="AG264" s="296">
        <v>0.8</v>
      </c>
      <c r="AI264" s="316"/>
      <c r="AJ264" s="211" t="s">
        <v>1363</v>
      </c>
    </row>
    <row r="265" spans="1:36" s="1" customFormat="1" outlineLevel="1">
      <c r="A265" t="s">
        <v>1371</v>
      </c>
      <c r="B265" s="302" t="s">
        <v>462</v>
      </c>
      <c r="C265" s="296">
        <v>0.05</v>
      </c>
      <c r="D265" s="317">
        <f t="shared" si="205"/>
        <v>5.5000000000000007E-2</v>
      </c>
      <c r="E265" s="317">
        <f t="shared" si="205"/>
        <v>6.0000000000000012E-2</v>
      </c>
      <c r="F265" s="317">
        <f t="shared" si="205"/>
        <v>6.5000000000000016E-2</v>
      </c>
      <c r="G265" s="317">
        <f t="shared" si="205"/>
        <v>7.0000000000000021E-2</v>
      </c>
      <c r="H265" s="317">
        <f t="shared" si="205"/>
        <v>7.5000000000000025E-2</v>
      </c>
      <c r="I265" s="317">
        <f t="shared" si="205"/>
        <v>8.0000000000000029E-2</v>
      </c>
      <c r="J265" s="317">
        <f t="shared" si="205"/>
        <v>8.5000000000000034E-2</v>
      </c>
      <c r="K265" s="317">
        <f t="shared" si="205"/>
        <v>9.0000000000000038E-2</v>
      </c>
      <c r="L265" s="317">
        <f t="shared" si="205"/>
        <v>9.5000000000000043E-2</v>
      </c>
      <c r="M265" s="317">
        <f t="shared" si="205"/>
        <v>0.10000000000000005</v>
      </c>
      <c r="N265" s="317">
        <f t="shared" si="205"/>
        <v>0.10500000000000005</v>
      </c>
      <c r="O265" s="317">
        <f t="shared" si="205"/>
        <v>0.11000000000000006</v>
      </c>
      <c r="P265" s="317">
        <f t="shared" si="205"/>
        <v>0.11500000000000006</v>
      </c>
      <c r="Q265" s="317">
        <f t="shared" si="205"/>
        <v>0.12000000000000006</v>
      </c>
      <c r="R265" s="317">
        <f t="shared" si="205"/>
        <v>0.12500000000000006</v>
      </c>
      <c r="S265" s="317">
        <f t="shared" si="205"/>
        <v>0.13000000000000006</v>
      </c>
      <c r="T265" s="317">
        <f t="shared" si="206"/>
        <v>0.13500000000000006</v>
      </c>
      <c r="U265" s="317">
        <f t="shared" si="206"/>
        <v>0.14000000000000007</v>
      </c>
      <c r="V265" s="317">
        <f t="shared" si="206"/>
        <v>0.14500000000000007</v>
      </c>
      <c r="W265" s="317">
        <f t="shared" si="206"/>
        <v>0.15000000000000008</v>
      </c>
      <c r="X265" s="317">
        <f t="shared" si="206"/>
        <v>0.15500000000000008</v>
      </c>
      <c r="Y265" s="317">
        <f t="shared" si="206"/>
        <v>0.16000000000000009</v>
      </c>
      <c r="Z265" s="317">
        <f t="shared" si="206"/>
        <v>0.16500000000000009</v>
      </c>
      <c r="AA265" s="317">
        <f t="shared" si="206"/>
        <v>0.1700000000000001</v>
      </c>
      <c r="AB265" s="317">
        <f t="shared" si="206"/>
        <v>0.1750000000000001</v>
      </c>
      <c r="AC265" s="317">
        <f t="shared" si="206"/>
        <v>0.1800000000000001</v>
      </c>
      <c r="AD265" s="317">
        <f t="shared" si="206"/>
        <v>0.18500000000000011</v>
      </c>
      <c r="AE265" s="317">
        <f t="shared" si="206"/>
        <v>0.19000000000000011</v>
      </c>
      <c r="AF265" s="317">
        <f t="shared" si="206"/>
        <v>0.19500000000000012</v>
      </c>
      <c r="AG265" s="296">
        <v>0.2</v>
      </c>
      <c r="AI265" s="435" t="s">
        <v>1506</v>
      </c>
      <c r="AJ265" s="211" t="s">
        <v>1363</v>
      </c>
    </row>
    <row r="266" spans="1:36" s="1" customFormat="1" outlineLevel="1">
      <c r="A266" t="s">
        <v>1372</v>
      </c>
      <c r="B266" s="302" t="s">
        <v>462</v>
      </c>
      <c r="C266" s="296">
        <v>0.15</v>
      </c>
      <c r="D266" s="317">
        <f t="shared" si="205"/>
        <v>0.15633333333333332</v>
      </c>
      <c r="E266" s="317">
        <f t="shared" si="205"/>
        <v>0.16266666666666665</v>
      </c>
      <c r="F266" s="317">
        <f t="shared" si="205"/>
        <v>0.16899999999999998</v>
      </c>
      <c r="G266" s="317">
        <f t="shared" si="205"/>
        <v>0.17533333333333331</v>
      </c>
      <c r="H266" s="317">
        <f t="shared" si="205"/>
        <v>0.18166666666666664</v>
      </c>
      <c r="I266" s="317">
        <f t="shared" si="205"/>
        <v>0.18799999999999997</v>
      </c>
      <c r="J266" s="317">
        <f t="shared" si="205"/>
        <v>0.1943333333333333</v>
      </c>
      <c r="K266" s="317">
        <f t="shared" si="205"/>
        <v>0.20066666666666663</v>
      </c>
      <c r="L266" s="317">
        <f t="shared" si="205"/>
        <v>0.20699999999999996</v>
      </c>
      <c r="M266" s="317">
        <f t="shared" si="205"/>
        <v>0.21333333333333329</v>
      </c>
      <c r="N266" s="317">
        <f t="shared" si="205"/>
        <v>0.21966666666666662</v>
      </c>
      <c r="O266" s="317">
        <f t="shared" si="205"/>
        <v>0.22599999999999995</v>
      </c>
      <c r="P266" s="317">
        <f t="shared" si="205"/>
        <v>0.23233333333333328</v>
      </c>
      <c r="Q266" s="317">
        <f t="shared" si="205"/>
        <v>0.23866666666666661</v>
      </c>
      <c r="R266" s="317">
        <f t="shared" si="205"/>
        <v>0.24499999999999994</v>
      </c>
      <c r="S266" s="317">
        <f t="shared" si="205"/>
        <v>0.2513333333333333</v>
      </c>
      <c r="T266" s="317">
        <f t="shared" si="206"/>
        <v>0.25766666666666665</v>
      </c>
      <c r="U266" s="317">
        <f t="shared" si="206"/>
        <v>0.26400000000000001</v>
      </c>
      <c r="V266" s="317">
        <f t="shared" si="206"/>
        <v>0.27033333333333337</v>
      </c>
      <c r="W266" s="317">
        <f t="shared" si="206"/>
        <v>0.27666666666666673</v>
      </c>
      <c r="X266" s="317">
        <f t="shared" si="206"/>
        <v>0.28300000000000008</v>
      </c>
      <c r="Y266" s="317">
        <f t="shared" si="206"/>
        <v>0.28933333333333344</v>
      </c>
      <c r="Z266" s="317">
        <f t="shared" si="206"/>
        <v>0.2956666666666668</v>
      </c>
      <c r="AA266" s="317">
        <f t="shared" si="206"/>
        <v>0.30200000000000016</v>
      </c>
      <c r="AB266" s="317">
        <f t="shared" si="206"/>
        <v>0.30833333333333351</v>
      </c>
      <c r="AC266" s="317">
        <f t="shared" si="206"/>
        <v>0.31466666666666687</v>
      </c>
      <c r="AD266" s="317">
        <f t="shared" si="206"/>
        <v>0.32100000000000023</v>
      </c>
      <c r="AE266" s="317">
        <f t="shared" si="206"/>
        <v>0.32733333333333359</v>
      </c>
      <c r="AF266" s="317">
        <f t="shared" si="206"/>
        <v>0.33366666666666694</v>
      </c>
      <c r="AG266" s="296">
        <v>0.34</v>
      </c>
      <c r="AI266" s="316"/>
      <c r="AJ266" s="211" t="s">
        <v>1363</v>
      </c>
    </row>
    <row r="267" spans="1:36" s="1" customFormat="1" outlineLevel="1">
      <c r="A267" t="s">
        <v>1373</v>
      </c>
      <c r="B267" s="302" t="s">
        <v>462</v>
      </c>
      <c r="C267" s="296">
        <v>0.85</v>
      </c>
      <c r="D267" s="317">
        <f t="shared" si="205"/>
        <v>0.84366666666666668</v>
      </c>
      <c r="E267" s="317">
        <f t="shared" si="205"/>
        <v>0.83733333333333337</v>
      </c>
      <c r="F267" s="317">
        <f t="shared" si="205"/>
        <v>0.83100000000000007</v>
      </c>
      <c r="G267" s="317">
        <f t="shared" si="205"/>
        <v>0.82466666666666677</v>
      </c>
      <c r="H267" s="317">
        <f t="shared" si="205"/>
        <v>0.81833333333333347</v>
      </c>
      <c r="I267" s="317">
        <f t="shared" si="205"/>
        <v>0.81200000000000017</v>
      </c>
      <c r="J267" s="317">
        <f t="shared" si="205"/>
        <v>0.80566666666666686</v>
      </c>
      <c r="K267" s="317">
        <f t="shared" si="205"/>
        <v>0.79933333333333356</v>
      </c>
      <c r="L267" s="317">
        <f t="shared" si="205"/>
        <v>0.79300000000000026</v>
      </c>
      <c r="M267" s="317">
        <f t="shared" si="205"/>
        <v>0.78666666666666696</v>
      </c>
      <c r="N267" s="317">
        <f t="shared" si="205"/>
        <v>0.78033333333333366</v>
      </c>
      <c r="O267" s="317">
        <f t="shared" si="205"/>
        <v>0.77400000000000035</v>
      </c>
      <c r="P267" s="317">
        <f t="shared" si="205"/>
        <v>0.76766666666666705</v>
      </c>
      <c r="Q267" s="317">
        <f t="shared" si="205"/>
        <v>0.76133333333333375</v>
      </c>
      <c r="R267" s="317">
        <f t="shared" si="205"/>
        <v>0.75500000000000045</v>
      </c>
      <c r="S267" s="317">
        <f t="shared" si="205"/>
        <v>0.74866666666666715</v>
      </c>
      <c r="T267" s="317">
        <f t="shared" si="206"/>
        <v>0.74233333333333384</v>
      </c>
      <c r="U267" s="317">
        <f t="shared" si="206"/>
        <v>0.73600000000000054</v>
      </c>
      <c r="V267" s="317">
        <f t="shared" si="206"/>
        <v>0.72966666666666724</v>
      </c>
      <c r="W267" s="317">
        <f t="shared" si="206"/>
        <v>0.72333333333333394</v>
      </c>
      <c r="X267" s="317">
        <f t="shared" si="206"/>
        <v>0.71700000000000064</v>
      </c>
      <c r="Y267" s="317">
        <f t="shared" si="206"/>
        <v>0.71066666666666733</v>
      </c>
      <c r="Z267" s="317">
        <f t="shared" si="206"/>
        <v>0.70433333333333403</v>
      </c>
      <c r="AA267" s="317">
        <f t="shared" si="206"/>
        <v>0.69800000000000073</v>
      </c>
      <c r="AB267" s="317">
        <f t="shared" si="206"/>
        <v>0.69166666666666743</v>
      </c>
      <c r="AC267" s="317">
        <f t="shared" si="206"/>
        <v>0.68533333333333413</v>
      </c>
      <c r="AD267" s="317">
        <f t="shared" si="206"/>
        <v>0.67900000000000083</v>
      </c>
      <c r="AE267" s="317">
        <f t="shared" si="206"/>
        <v>0.67266666666666752</v>
      </c>
      <c r="AF267" s="317">
        <f t="shared" si="206"/>
        <v>0.66633333333333422</v>
      </c>
      <c r="AG267" s="296">
        <v>0.66</v>
      </c>
      <c r="AI267" s="316"/>
      <c r="AJ267" s="211" t="s">
        <v>1363</v>
      </c>
    </row>
    <row r="268" spans="1:36" s="1" customFormat="1" outlineLevel="1">
      <c r="A268" t="s">
        <v>1374</v>
      </c>
      <c r="B268" s="302" t="s">
        <v>462</v>
      </c>
      <c r="C268" s="296">
        <v>0</v>
      </c>
      <c r="D268" s="317">
        <f t="shared" si="205"/>
        <v>0</v>
      </c>
      <c r="E268" s="317">
        <f t="shared" si="205"/>
        <v>0</v>
      </c>
      <c r="F268" s="317">
        <f t="shared" si="205"/>
        <v>0</v>
      </c>
      <c r="G268" s="317">
        <f t="shared" si="205"/>
        <v>0</v>
      </c>
      <c r="H268" s="317">
        <f t="shared" si="205"/>
        <v>0</v>
      </c>
      <c r="I268" s="317">
        <f t="shared" si="205"/>
        <v>0</v>
      </c>
      <c r="J268" s="317">
        <f t="shared" si="205"/>
        <v>0</v>
      </c>
      <c r="K268" s="317">
        <f t="shared" si="205"/>
        <v>0</v>
      </c>
      <c r="L268" s="317">
        <f t="shared" si="205"/>
        <v>0</v>
      </c>
      <c r="M268" s="317">
        <f t="shared" si="205"/>
        <v>0</v>
      </c>
      <c r="N268" s="317">
        <f t="shared" si="205"/>
        <v>0</v>
      </c>
      <c r="O268" s="317">
        <f t="shared" si="205"/>
        <v>0</v>
      </c>
      <c r="P268" s="317">
        <f t="shared" si="205"/>
        <v>0</v>
      </c>
      <c r="Q268" s="317">
        <f t="shared" si="205"/>
        <v>0</v>
      </c>
      <c r="R268" s="317">
        <f t="shared" si="205"/>
        <v>0</v>
      </c>
      <c r="S268" s="317">
        <f t="shared" si="205"/>
        <v>0</v>
      </c>
      <c r="T268" s="317">
        <f t="shared" si="206"/>
        <v>0</v>
      </c>
      <c r="U268" s="317">
        <f t="shared" si="206"/>
        <v>0</v>
      </c>
      <c r="V268" s="317">
        <f t="shared" si="206"/>
        <v>0</v>
      </c>
      <c r="W268" s="317">
        <f t="shared" si="206"/>
        <v>0</v>
      </c>
      <c r="X268" s="317">
        <f t="shared" si="206"/>
        <v>0</v>
      </c>
      <c r="Y268" s="317">
        <f t="shared" si="206"/>
        <v>0</v>
      </c>
      <c r="Z268" s="317">
        <f t="shared" si="206"/>
        <v>0</v>
      </c>
      <c r="AA268" s="317">
        <f t="shared" si="206"/>
        <v>0</v>
      </c>
      <c r="AB268" s="317">
        <f t="shared" si="206"/>
        <v>0</v>
      </c>
      <c r="AC268" s="317">
        <f t="shared" si="206"/>
        <v>0</v>
      </c>
      <c r="AD268" s="317">
        <f t="shared" si="206"/>
        <v>0</v>
      </c>
      <c r="AE268" s="317">
        <f t="shared" si="206"/>
        <v>0</v>
      </c>
      <c r="AF268" s="317">
        <f t="shared" si="206"/>
        <v>0</v>
      </c>
      <c r="AG268" s="296">
        <v>0</v>
      </c>
      <c r="AI268" s="316"/>
      <c r="AJ268" s="211" t="s">
        <v>1363</v>
      </c>
    </row>
    <row r="269" spans="1:36" s="1" customFormat="1" outlineLevel="1">
      <c r="A269" t="s">
        <v>1375</v>
      </c>
      <c r="B269" s="302" t="s">
        <v>462</v>
      </c>
      <c r="C269" s="296">
        <v>1</v>
      </c>
      <c r="D269" s="317">
        <f t="shared" si="205"/>
        <v>1</v>
      </c>
      <c r="E269" s="317">
        <f t="shared" si="205"/>
        <v>1</v>
      </c>
      <c r="F269" s="317">
        <f t="shared" si="205"/>
        <v>1</v>
      </c>
      <c r="G269" s="317">
        <f t="shared" si="205"/>
        <v>1</v>
      </c>
      <c r="H269" s="317">
        <f t="shared" si="205"/>
        <v>1</v>
      </c>
      <c r="I269" s="317">
        <f t="shared" si="205"/>
        <v>1</v>
      </c>
      <c r="J269" s="317">
        <f t="shared" si="205"/>
        <v>1</v>
      </c>
      <c r="K269" s="317">
        <f t="shared" si="205"/>
        <v>1</v>
      </c>
      <c r="L269" s="317">
        <f t="shared" si="205"/>
        <v>1</v>
      </c>
      <c r="M269" s="317">
        <f t="shared" si="205"/>
        <v>1</v>
      </c>
      <c r="N269" s="317">
        <f t="shared" si="205"/>
        <v>1</v>
      </c>
      <c r="O269" s="317">
        <f t="shared" si="205"/>
        <v>1</v>
      </c>
      <c r="P269" s="317">
        <f t="shared" si="205"/>
        <v>1</v>
      </c>
      <c r="Q269" s="317">
        <f t="shared" si="205"/>
        <v>1</v>
      </c>
      <c r="R269" s="317">
        <f t="shared" si="205"/>
        <v>1</v>
      </c>
      <c r="S269" s="317">
        <f t="shared" si="205"/>
        <v>1</v>
      </c>
      <c r="T269" s="317">
        <f t="shared" si="206"/>
        <v>1</v>
      </c>
      <c r="U269" s="317">
        <f t="shared" si="206"/>
        <v>1</v>
      </c>
      <c r="V269" s="317">
        <f t="shared" si="206"/>
        <v>1</v>
      </c>
      <c r="W269" s="317">
        <f t="shared" si="206"/>
        <v>1</v>
      </c>
      <c r="X269" s="317">
        <f t="shared" si="206"/>
        <v>1</v>
      </c>
      <c r="Y269" s="317">
        <f t="shared" si="206"/>
        <v>1</v>
      </c>
      <c r="Z269" s="317">
        <f t="shared" si="206"/>
        <v>1</v>
      </c>
      <c r="AA269" s="317">
        <f t="shared" si="206"/>
        <v>1</v>
      </c>
      <c r="AB269" s="317">
        <f t="shared" si="206"/>
        <v>1</v>
      </c>
      <c r="AC269" s="317">
        <f t="shared" si="206"/>
        <v>1</v>
      </c>
      <c r="AD269" s="317">
        <f t="shared" si="206"/>
        <v>1</v>
      </c>
      <c r="AE269" s="317">
        <f t="shared" si="206"/>
        <v>1</v>
      </c>
      <c r="AF269" s="317">
        <f t="shared" si="206"/>
        <v>1</v>
      </c>
      <c r="AG269" s="296">
        <v>1</v>
      </c>
      <c r="AI269" s="316"/>
      <c r="AJ269" s="211" t="s">
        <v>1363</v>
      </c>
    </row>
    <row r="270" spans="1:36" s="1" customFormat="1" outlineLevel="1">
      <c r="A270" t="s">
        <v>1376</v>
      </c>
      <c r="B270" s="302" t="s">
        <v>462</v>
      </c>
      <c r="C270" s="296">
        <v>0.8</v>
      </c>
      <c r="D270" s="317">
        <f t="shared" si="205"/>
        <v>0.80333333333333334</v>
      </c>
      <c r="E270" s="317">
        <f t="shared" si="205"/>
        <v>0.80666666666666664</v>
      </c>
      <c r="F270" s="317">
        <f t="shared" si="205"/>
        <v>0.80999999999999994</v>
      </c>
      <c r="G270" s="317">
        <f t="shared" si="205"/>
        <v>0.81333333333333324</v>
      </c>
      <c r="H270" s="317">
        <f t="shared" si="205"/>
        <v>0.81666666666666654</v>
      </c>
      <c r="I270" s="317">
        <f t="shared" si="205"/>
        <v>0.81999999999999984</v>
      </c>
      <c r="J270" s="317">
        <f t="shared" si="205"/>
        <v>0.82333333333333314</v>
      </c>
      <c r="K270" s="317">
        <f t="shared" si="205"/>
        <v>0.82666666666666644</v>
      </c>
      <c r="L270" s="317">
        <f t="shared" si="205"/>
        <v>0.82999999999999974</v>
      </c>
      <c r="M270" s="317">
        <f t="shared" si="205"/>
        <v>0.83333333333333304</v>
      </c>
      <c r="N270" s="317">
        <f t="shared" si="205"/>
        <v>0.83666666666666634</v>
      </c>
      <c r="O270" s="317">
        <f t="shared" si="205"/>
        <v>0.83999999999999964</v>
      </c>
      <c r="P270" s="317">
        <f t="shared" si="205"/>
        <v>0.84333333333333294</v>
      </c>
      <c r="Q270" s="317">
        <f t="shared" si="205"/>
        <v>0.84666666666666623</v>
      </c>
      <c r="R270" s="317">
        <f t="shared" si="205"/>
        <v>0.84999999999999953</v>
      </c>
      <c r="S270" s="317">
        <f t="shared" si="205"/>
        <v>0.85333333333333283</v>
      </c>
      <c r="T270" s="317">
        <f t="shared" si="206"/>
        <v>0.85666666666666613</v>
      </c>
      <c r="U270" s="317">
        <f t="shared" si="206"/>
        <v>0.85999999999999943</v>
      </c>
      <c r="V270" s="317">
        <f t="shared" si="206"/>
        <v>0.86333333333333273</v>
      </c>
      <c r="W270" s="317">
        <f t="shared" si="206"/>
        <v>0.86666666666666603</v>
      </c>
      <c r="X270" s="317">
        <f t="shared" si="206"/>
        <v>0.86999999999999933</v>
      </c>
      <c r="Y270" s="317">
        <f t="shared" si="206"/>
        <v>0.87333333333333263</v>
      </c>
      <c r="Z270" s="317">
        <f t="shared" si="206"/>
        <v>0.87666666666666593</v>
      </c>
      <c r="AA270" s="317">
        <f t="shared" si="206"/>
        <v>0.87999999999999923</v>
      </c>
      <c r="AB270" s="317">
        <f t="shared" si="206"/>
        <v>0.88333333333333253</v>
      </c>
      <c r="AC270" s="317">
        <f t="shared" si="206"/>
        <v>0.88666666666666583</v>
      </c>
      <c r="AD270" s="317">
        <f t="shared" si="206"/>
        <v>0.88999999999999913</v>
      </c>
      <c r="AE270" s="317">
        <f t="shared" si="206"/>
        <v>0.89333333333333242</v>
      </c>
      <c r="AF270" s="317">
        <f t="shared" si="206"/>
        <v>0.89666666666666572</v>
      </c>
      <c r="AG270" s="296">
        <v>0.9</v>
      </c>
      <c r="AI270" s="316"/>
      <c r="AJ270" s="211" t="s">
        <v>1363</v>
      </c>
    </row>
    <row r="271" spans="1:36" s="1" customFormat="1" outlineLevel="1">
      <c r="A271" t="s">
        <v>1377</v>
      </c>
      <c r="B271" s="302" t="s">
        <v>462</v>
      </c>
      <c r="C271" s="296">
        <v>0.2</v>
      </c>
      <c r="D271" s="317">
        <f t="shared" si="205"/>
        <v>0.19666666666666668</v>
      </c>
      <c r="E271" s="317">
        <f t="shared" si="205"/>
        <v>0.19333333333333336</v>
      </c>
      <c r="F271" s="317">
        <f t="shared" si="205"/>
        <v>0.19000000000000003</v>
      </c>
      <c r="G271" s="317">
        <f t="shared" si="205"/>
        <v>0.1866666666666667</v>
      </c>
      <c r="H271" s="317">
        <f t="shared" si="205"/>
        <v>0.18333333333333338</v>
      </c>
      <c r="I271" s="317">
        <f t="shared" si="205"/>
        <v>0.18000000000000005</v>
      </c>
      <c r="J271" s="317">
        <f t="shared" si="205"/>
        <v>0.17666666666666672</v>
      </c>
      <c r="K271" s="317">
        <f t="shared" si="205"/>
        <v>0.17333333333333339</v>
      </c>
      <c r="L271" s="317">
        <f t="shared" si="205"/>
        <v>0.17000000000000007</v>
      </c>
      <c r="M271" s="317">
        <f t="shared" si="205"/>
        <v>0.16666666666666674</v>
      </c>
      <c r="N271" s="317">
        <f t="shared" si="205"/>
        <v>0.16333333333333341</v>
      </c>
      <c r="O271" s="317">
        <f t="shared" si="205"/>
        <v>0.16000000000000009</v>
      </c>
      <c r="P271" s="317">
        <f t="shared" si="205"/>
        <v>0.15666666666666676</v>
      </c>
      <c r="Q271" s="317">
        <f t="shared" si="205"/>
        <v>0.15333333333333343</v>
      </c>
      <c r="R271" s="317">
        <f t="shared" si="205"/>
        <v>0.15000000000000011</v>
      </c>
      <c r="S271" s="317">
        <f t="shared" si="205"/>
        <v>0.14666666666666678</v>
      </c>
      <c r="T271" s="317">
        <f t="shared" si="206"/>
        <v>0.14333333333333345</v>
      </c>
      <c r="U271" s="317">
        <f t="shared" si="206"/>
        <v>0.14000000000000012</v>
      </c>
      <c r="V271" s="317">
        <f t="shared" si="206"/>
        <v>0.1366666666666668</v>
      </c>
      <c r="W271" s="317">
        <f t="shared" si="206"/>
        <v>0.13333333333333347</v>
      </c>
      <c r="X271" s="317">
        <f t="shared" si="206"/>
        <v>0.13000000000000014</v>
      </c>
      <c r="Y271" s="317">
        <f t="shared" si="206"/>
        <v>0.12666666666666682</v>
      </c>
      <c r="Z271" s="317">
        <f t="shared" si="206"/>
        <v>0.12333333333333349</v>
      </c>
      <c r="AA271" s="317">
        <f t="shared" si="206"/>
        <v>0.12000000000000016</v>
      </c>
      <c r="AB271" s="317">
        <f t="shared" si="206"/>
        <v>0.11666666666666684</v>
      </c>
      <c r="AC271" s="317">
        <f t="shared" si="206"/>
        <v>0.11333333333333351</v>
      </c>
      <c r="AD271" s="317">
        <f t="shared" si="206"/>
        <v>0.11000000000000018</v>
      </c>
      <c r="AE271" s="317">
        <f t="shared" si="206"/>
        <v>0.10666666666666685</v>
      </c>
      <c r="AF271" s="317">
        <f t="shared" si="206"/>
        <v>0.10333333333333353</v>
      </c>
      <c r="AG271" s="296">
        <v>0.1</v>
      </c>
      <c r="AI271" s="316"/>
      <c r="AJ271" s="211" t="s">
        <v>1363</v>
      </c>
    </row>
    <row r="272" spans="1:36" s="1" customFormat="1" outlineLevel="1">
      <c r="A272" t="s">
        <v>1378</v>
      </c>
      <c r="B272" s="302" t="s">
        <v>462</v>
      </c>
      <c r="C272" s="296">
        <v>0.95</v>
      </c>
      <c r="D272" s="317">
        <f t="shared" si="205"/>
        <v>0.94866666666666666</v>
      </c>
      <c r="E272" s="317">
        <f t="shared" si="205"/>
        <v>0.94733333333333336</v>
      </c>
      <c r="F272" s="317">
        <f t="shared" si="205"/>
        <v>0.94600000000000006</v>
      </c>
      <c r="G272" s="317">
        <f t="shared" si="205"/>
        <v>0.94466666666666677</v>
      </c>
      <c r="H272" s="317">
        <f t="shared" si="205"/>
        <v>0.94333333333333347</v>
      </c>
      <c r="I272" s="317">
        <f t="shared" si="205"/>
        <v>0.94200000000000017</v>
      </c>
      <c r="J272" s="317">
        <f t="shared" si="205"/>
        <v>0.94066666666666687</v>
      </c>
      <c r="K272" s="317">
        <f t="shared" si="205"/>
        <v>0.93933333333333358</v>
      </c>
      <c r="L272" s="317">
        <f t="shared" si="205"/>
        <v>0.93800000000000028</v>
      </c>
      <c r="M272" s="317">
        <f t="shared" si="205"/>
        <v>0.93666666666666698</v>
      </c>
      <c r="N272" s="317">
        <f t="shared" si="205"/>
        <v>0.93533333333333368</v>
      </c>
      <c r="O272" s="317">
        <f t="shared" si="205"/>
        <v>0.93400000000000039</v>
      </c>
      <c r="P272" s="317">
        <f t="shared" si="205"/>
        <v>0.93266666666666709</v>
      </c>
      <c r="Q272" s="317">
        <f t="shared" si="205"/>
        <v>0.93133333333333379</v>
      </c>
      <c r="R272" s="317">
        <f t="shared" si="205"/>
        <v>0.93000000000000049</v>
      </c>
      <c r="S272" s="317">
        <f t="shared" si="205"/>
        <v>0.9286666666666672</v>
      </c>
      <c r="T272" s="317">
        <f t="shared" si="206"/>
        <v>0.9273333333333339</v>
      </c>
      <c r="U272" s="317">
        <f t="shared" si="206"/>
        <v>0.9260000000000006</v>
      </c>
      <c r="V272" s="317">
        <f t="shared" si="206"/>
        <v>0.9246666666666673</v>
      </c>
      <c r="W272" s="317">
        <f t="shared" si="206"/>
        <v>0.92333333333333401</v>
      </c>
      <c r="X272" s="317">
        <f t="shared" si="206"/>
        <v>0.92200000000000071</v>
      </c>
      <c r="Y272" s="317">
        <f t="shared" si="206"/>
        <v>0.92066666666666741</v>
      </c>
      <c r="Z272" s="317">
        <f t="shared" si="206"/>
        <v>0.91933333333333411</v>
      </c>
      <c r="AA272" s="317">
        <f t="shared" si="206"/>
        <v>0.91800000000000082</v>
      </c>
      <c r="AB272" s="317">
        <f t="shared" si="206"/>
        <v>0.91666666666666752</v>
      </c>
      <c r="AC272" s="317">
        <f t="shared" si="206"/>
        <v>0.91533333333333422</v>
      </c>
      <c r="AD272" s="317">
        <f t="shared" si="206"/>
        <v>0.91400000000000092</v>
      </c>
      <c r="AE272" s="317">
        <f t="shared" si="206"/>
        <v>0.91266666666666763</v>
      </c>
      <c r="AF272" s="317">
        <f t="shared" si="206"/>
        <v>0.91133333333333433</v>
      </c>
      <c r="AG272" s="296">
        <v>0.91</v>
      </c>
      <c r="AI272" s="316"/>
      <c r="AJ272" s="211" t="s">
        <v>1363</v>
      </c>
    </row>
    <row r="273" spans="1:36" s="1" customFormat="1" outlineLevel="1">
      <c r="A273" t="s">
        <v>1379</v>
      </c>
      <c r="B273" s="302" t="s">
        <v>462</v>
      </c>
      <c r="C273" s="296">
        <v>0.05</v>
      </c>
      <c r="D273" s="317">
        <f t="shared" si="205"/>
        <v>5.1333333333333335E-2</v>
      </c>
      <c r="E273" s="317">
        <f t="shared" si="205"/>
        <v>5.2666666666666667E-2</v>
      </c>
      <c r="F273" s="317">
        <f t="shared" si="205"/>
        <v>5.3999999999999999E-2</v>
      </c>
      <c r="G273" s="317">
        <f t="shared" si="205"/>
        <v>5.5333333333333332E-2</v>
      </c>
      <c r="H273" s="317">
        <f t="shared" si="205"/>
        <v>5.6666666666666664E-2</v>
      </c>
      <c r="I273" s="317">
        <f t="shared" si="205"/>
        <v>5.7999999999999996E-2</v>
      </c>
      <c r="J273" s="317">
        <f t="shared" si="205"/>
        <v>5.9333333333333328E-2</v>
      </c>
      <c r="K273" s="317">
        <f t="shared" si="205"/>
        <v>6.066666666666666E-2</v>
      </c>
      <c r="L273" s="317">
        <f t="shared" si="205"/>
        <v>6.1999999999999993E-2</v>
      </c>
      <c r="M273" s="317">
        <f t="shared" si="205"/>
        <v>6.3333333333333325E-2</v>
      </c>
      <c r="N273" s="317">
        <f t="shared" si="205"/>
        <v>6.4666666666666664E-2</v>
      </c>
      <c r="O273" s="317">
        <f t="shared" si="205"/>
        <v>6.6000000000000003E-2</v>
      </c>
      <c r="P273" s="317">
        <f t="shared" si="205"/>
        <v>6.7333333333333342E-2</v>
      </c>
      <c r="Q273" s="317">
        <f t="shared" si="205"/>
        <v>6.8666666666666681E-2</v>
      </c>
      <c r="R273" s="317">
        <f t="shared" si="205"/>
        <v>7.0000000000000021E-2</v>
      </c>
      <c r="S273" s="317">
        <f t="shared" si="205"/>
        <v>7.133333333333336E-2</v>
      </c>
      <c r="T273" s="317">
        <f t="shared" si="206"/>
        <v>7.2666666666666699E-2</v>
      </c>
      <c r="U273" s="317">
        <f t="shared" si="206"/>
        <v>7.4000000000000038E-2</v>
      </c>
      <c r="V273" s="317">
        <f t="shared" si="206"/>
        <v>7.5333333333333377E-2</v>
      </c>
      <c r="W273" s="317">
        <f t="shared" si="206"/>
        <v>7.6666666666666716E-2</v>
      </c>
      <c r="X273" s="317">
        <f t="shared" si="206"/>
        <v>7.8000000000000055E-2</v>
      </c>
      <c r="Y273" s="317">
        <f t="shared" si="206"/>
        <v>7.9333333333333395E-2</v>
      </c>
      <c r="Z273" s="317">
        <f t="shared" si="206"/>
        <v>8.0666666666666734E-2</v>
      </c>
      <c r="AA273" s="317">
        <f t="shared" si="206"/>
        <v>8.2000000000000073E-2</v>
      </c>
      <c r="AB273" s="317">
        <f t="shared" si="206"/>
        <v>8.3333333333333412E-2</v>
      </c>
      <c r="AC273" s="317">
        <f t="shared" si="206"/>
        <v>8.4666666666666751E-2</v>
      </c>
      <c r="AD273" s="317">
        <f t="shared" si="206"/>
        <v>8.600000000000009E-2</v>
      </c>
      <c r="AE273" s="317">
        <f t="shared" si="206"/>
        <v>8.7333333333333429E-2</v>
      </c>
      <c r="AF273" s="317">
        <f t="shared" si="206"/>
        <v>8.8666666666666769E-2</v>
      </c>
      <c r="AG273" s="296">
        <v>0.09</v>
      </c>
      <c r="AI273" s="316"/>
      <c r="AJ273" s="211" t="s">
        <v>1363</v>
      </c>
    </row>
    <row r="274" spans="1:36" s="1" customFormat="1" outlineLevel="1">
      <c r="A274" t="s">
        <v>1380</v>
      </c>
      <c r="B274" s="302"/>
      <c r="C274" s="296">
        <v>0.27</v>
      </c>
      <c r="D274" s="317">
        <f t="shared" si="205"/>
        <v>0.26600000000000001</v>
      </c>
      <c r="E274" s="317">
        <f t="shared" si="205"/>
        <v>0.26200000000000001</v>
      </c>
      <c r="F274" s="317">
        <f t="shared" si="205"/>
        <v>0.25800000000000001</v>
      </c>
      <c r="G274" s="317">
        <f t="shared" si="205"/>
        <v>0.254</v>
      </c>
      <c r="H274" s="317">
        <f t="shared" si="205"/>
        <v>0.25</v>
      </c>
      <c r="I274" s="317">
        <f t="shared" si="205"/>
        <v>0.246</v>
      </c>
      <c r="J274" s="317">
        <f t="shared" si="205"/>
        <v>0.24199999999999999</v>
      </c>
      <c r="K274" s="317">
        <f t="shared" si="205"/>
        <v>0.23799999999999999</v>
      </c>
      <c r="L274" s="317">
        <f t="shared" si="205"/>
        <v>0.23399999999999999</v>
      </c>
      <c r="M274" s="317">
        <f t="shared" si="205"/>
        <v>0.22999999999999998</v>
      </c>
      <c r="N274" s="317">
        <f t="shared" si="205"/>
        <v>0.22599999999999998</v>
      </c>
      <c r="O274" s="317">
        <f t="shared" si="205"/>
        <v>0.22199999999999998</v>
      </c>
      <c r="P274" s="317">
        <f t="shared" si="205"/>
        <v>0.21799999999999997</v>
      </c>
      <c r="Q274" s="317">
        <f t="shared" si="205"/>
        <v>0.21399999999999997</v>
      </c>
      <c r="R274" s="317">
        <f t="shared" si="205"/>
        <v>0.20999999999999996</v>
      </c>
      <c r="S274" s="317">
        <f t="shared" si="205"/>
        <v>0.20599999999999996</v>
      </c>
      <c r="T274" s="317">
        <f t="shared" si="206"/>
        <v>0.20199999999999996</v>
      </c>
      <c r="U274" s="317">
        <f t="shared" si="206"/>
        <v>0.19799999999999995</v>
      </c>
      <c r="V274" s="317">
        <f t="shared" si="206"/>
        <v>0.19399999999999995</v>
      </c>
      <c r="W274" s="317">
        <f t="shared" si="206"/>
        <v>0.18999999999999995</v>
      </c>
      <c r="X274" s="317">
        <f t="shared" si="206"/>
        <v>0.18599999999999994</v>
      </c>
      <c r="Y274" s="317">
        <f t="shared" si="206"/>
        <v>0.18199999999999994</v>
      </c>
      <c r="Z274" s="317">
        <f t="shared" si="206"/>
        <v>0.17799999999999994</v>
      </c>
      <c r="AA274" s="317">
        <f t="shared" si="206"/>
        <v>0.17399999999999993</v>
      </c>
      <c r="AB274" s="317">
        <f t="shared" si="206"/>
        <v>0.16999999999999993</v>
      </c>
      <c r="AC274" s="317">
        <f t="shared" si="206"/>
        <v>0.16599999999999993</v>
      </c>
      <c r="AD274" s="317">
        <f t="shared" si="206"/>
        <v>0.16199999999999992</v>
      </c>
      <c r="AE274" s="317">
        <f t="shared" si="206"/>
        <v>0.15799999999999992</v>
      </c>
      <c r="AF274" s="317">
        <f t="shared" si="206"/>
        <v>0.15399999999999991</v>
      </c>
      <c r="AG274" s="296">
        <v>0.15</v>
      </c>
      <c r="AI274" s="316"/>
      <c r="AJ274" s="211"/>
    </row>
    <row r="275" spans="1:36" s="67" customFormat="1" outlineLevel="1">
      <c r="A275" s="345" t="s">
        <v>1381</v>
      </c>
      <c r="B275" s="308" t="s">
        <v>462</v>
      </c>
      <c r="C275" s="337">
        <v>0.16</v>
      </c>
      <c r="D275" s="338">
        <f t="shared" si="205"/>
        <v>0.16533333333333333</v>
      </c>
      <c r="E275" s="338">
        <f t="shared" si="205"/>
        <v>0.17066666666666666</v>
      </c>
      <c r="F275" s="338">
        <f t="shared" si="205"/>
        <v>0.17599999999999999</v>
      </c>
      <c r="G275" s="338">
        <f t="shared" si="205"/>
        <v>0.18133333333333332</v>
      </c>
      <c r="H275" s="338">
        <f t="shared" si="205"/>
        <v>0.18666666666666665</v>
      </c>
      <c r="I275" s="338">
        <f t="shared" si="205"/>
        <v>0.19199999999999998</v>
      </c>
      <c r="J275" s="338">
        <f t="shared" si="205"/>
        <v>0.19733333333333331</v>
      </c>
      <c r="K275" s="338">
        <f t="shared" si="205"/>
        <v>0.20266666666666663</v>
      </c>
      <c r="L275" s="338">
        <f t="shared" si="205"/>
        <v>0.20799999999999996</v>
      </c>
      <c r="M275" s="338">
        <f t="shared" si="205"/>
        <v>0.21333333333333329</v>
      </c>
      <c r="N275" s="338">
        <f t="shared" si="205"/>
        <v>0.21866666666666662</v>
      </c>
      <c r="O275" s="338">
        <f t="shared" si="205"/>
        <v>0.22399999999999995</v>
      </c>
      <c r="P275" s="338">
        <f t="shared" si="205"/>
        <v>0.22933333333333328</v>
      </c>
      <c r="Q275" s="338">
        <f t="shared" si="205"/>
        <v>0.23466666666666661</v>
      </c>
      <c r="R275" s="338">
        <f t="shared" si="205"/>
        <v>0.23999999999999994</v>
      </c>
      <c r="S275" s="338">
        <f t="shared" si="205"/>
        <v>0.24533333333333326</v>
      </c>
      <c r="T275" s="338">
        <f t="shared" si="206"/>
        <v>0.25066666666666659</v>
      </c>
      <c r="U275" s="338">
        <f t="shared" si="206"/>
        <v>0.25599999999999995</v>
      </c>
      <c r="V275" s="338">
        <f t="shared" si="206"/>
        <v>0.26133333333333331</v>
      </c>
      <c r="W275" s="338">
        <f t="shared" si="206"/>
        <v>0.26666666666666666</v>
      </c>
      <c r="X275" s="338">
        <f t="shared" si="206"/>
        <v>0.27200000000000002</v>
      </c>
      <c r="Y275" s="338">
        <f t="shared" si="206"/>
        <v>0.27733333333333338</v>
      </c>
      <c r="Z275" s="338">
        <f t="shared" si="206"/>
        <v>0.28266666666666673</v>
      </c>
      <c r="AA275" s="338">
        <f t="shared" si="206"/>
        <v>0.28800000000000009</v>
      </c>
      <c r="AB275" s="338">
        <f t="shared" si="206"/>
        <v>0.29333333333333345</v>
      </c>
      <c r="AC275" s="338">
        <f t="shared" si="206"/>
        <v>0.2986666666666668</v>
      </c>
      <c r="AD275" s="338">
        <f t="shared" si="206"/>
        <v>0.30400000000000016</v>
      </c>
      <c r="AE275" s="338">
        <f t="shared" si="206"/>
        <v>0.30933333333333352</v>
      </c>
      <c r="AF275" s="338">
        <f t="shared" si="206"/>
        <v>0.31466666666666687</v>
      </c>
      <c r="AG275" s="337">
        <v>0.32</v>
      </c>
      <c r="AI275" s="337"/>
      <c r="AJ275" s="339" t="s">
        <v>1363</v>
      </c>
    </row>
    <row r="276" spans="1:36" outlineLevel="1">
      <c r="A276" s="346" t="s">
        <v>1382</v>
      </c>
      <c r="B276" s="302" t="s">
        <v>462</v>
      </c>
      <c r="C276" s="296">
        <v>0.37</v>
      </c>
      <c r="D276" s="317">
        <f t="shared" si="205"/>
        <v>0.37166666666666665</v>
      </c>
      <c r="E276" s="317">
        <f t="shared" si="205"/>
        <v>0.37333333333333329</v>
      </c>
      <c r="F276" s="317">
        <f t="shared" si="205"/>
        <v>0.37499999999999994</v>
      </c>
      <c r="G276" s="317">
        <f t="shared" si="205"/>
        <v>0.37666666666666659</v>
      </c>
      <c r="H276" s="317">
        <f t="shared" si="205"/>
        <v>0.37833333333333324</v>
      </c>
      <c r="I276" s="317">
        <f t="shared" si="205"/>
        <v>0.37999999999999989</v>
      </c>
      <c r="J276" s="317">
        <f t="shared" si="205"/>
        <v>0.38166666666666654</v>
      </c>
      <c r="K276" s="317">
        <f t="shared" si="205"/>
        <v>0.38333333333333319</v>
      </c>
      <c r="L276" s="317">
        <f t="shared" si="205"/>
        <v>0.38499999999999984</v>
      </c>
      <c r="M276" s="317">
        <f t="shared" si="205"/>
        <v>0.38666666666666649</v>
      </c>
      <c r="N276" s="317">
        <f t="shared" si="205"/>
        <v>0.38833333333333314</v>
      </c>
      <c r="O276" s="317">
        <f t="shared" si="205"/>
        <v>0.38999999999999979</v>
      </c>
      <c r="P276" s="317">
        <f t="shared" si="205"/>
        <v>0.39166666666666644</v>
      </c>
      <c r="Q276" s="317">
        <f t="shared" si="205"/>
        <v>0.39333333333333309</v>
      </c>
      <c r="R276" s="317">
        <f t="shared" si="205"/>
        <v>0.39499999999999974</v>
      </c>
      <c r="S276" s="317">
        <f t="shared" si="205"/>
        <v>0.39666666666666639</v>
      </c>
      <c r="T276" s="317">
        <f t="shared" si="206"/>
        <v>0.39833333333333304</v>
      </c>
      <c r="U276" s="317">
        <f t="shared" si="206"/>
        <v>0.39999999999999969</v>
      </c>
      <c r="V276" s="317">
        <f t="shared" si="206"/>
        <v>0.40166666666666634</v>
      </c>
      <c r="W276" s="317">
        <f t="shared" si="206"/>
        <v>0.40333333333333299</v>
      </c>
      <c r="X276" s="317">
        <f t="shared" si="206"/>
        <v>0.40499999999999964</v>
      </c>
      <c r="Y276" s="317">
        <f t="shared" si="206"/>
        <v>0.40666666666666629</v>
      </c>
      <c r="Z276" s="317">
        <f t="shared" si="206"/>
        <v>0.40833333333333294</v>
      </c>
      <c r="AA276" s="317">
        <f t="shared" si="206"/>
        <v>0.40999999999999959</v>
      </c>
      <c r="AB276" s="317">
        <f t="shared" si="206"/>
        <v>0.41166666666666624</v>
      </c>
      <c r="AC276" s="317">
        <f t="shared" si="206"/>
        <v>0.41333333333333289</v>
      </c>
      <c r="AD276" s="317">
        <f t="shared" si="206"/>
        <v>0.41499999999999954</v>
      </c>
      <c r="AE276" s="317">
        <f t="shared" si="206"/>
        <v>0.41666666666666619</v>
      </c>
      <c r="AF276" s="317">
        <f t="shared" si="206"/>
        <v>0.41833333333333284</v>
      </c>
      <c r="AG276" s="296">
        <v>0.42</v>
      </c>
      <c r="AI276" s="296"/>
      <c r="AJ276" s="211" t="s">
        <v>1363</v>
      </c>
    </row>
    <row r="277" spans="1:36" outlineLevel="1">
      <c r="A277" s="346" t="s">
        <v>1383</v>
      </c>
      <c r="B277" s="302" t="s">
        <v>462</v>
      </c>
      <c r="C277" s="296">
        <v>0.08</v>
      </c>
      <c r="D277" s="317">
        <f t="shared" si="205"/>
        <v>7.7666666666666662E-2</v>
      </c>
      <c r="E277" s="317">
        <f t="shared" si="205"/>
        <v>7.5333333333333322E-2</v>
      </c>
      <c r="F277" s="317">
        <f t="shared" si="205"/>
        <v>7.2999999999999982E-2</v>
      </c>
      <c r="G277" s="317">
        <f t="shared" si="205"/>
        <v>7.0666666666666642E-2</v>
      </c>
      <c r="H277" s="317">
        <f t="shared" si="205"/>
        <v>6.8333333333333302E-2</v>
      </c>
      <c r="I277" s="317">
        <f t="shared" si="205"/>
        <v>6.5999999999999961E-2</v>
      </c>
      <c r="J277" s="317">
        <f t="shared" si="205"/>
        <v>6.3666666666666621E-2</v>
      </c>
      <c r="K277" s="317">
        <f t="shared" si="205"/>
        <v>6.1333333333333288E-2</v>
      </c>
      <c r="L277" s="317">
        <f t="shared" si="205"/>
        <v>5.8999999999999955E-2</v>
      </c>
      <c r="M277" s="317">
        <f t="shared" si="205"/>
        <v>5.6666666666666622E-2</v>
      </c>
      <c r="N277" s="317">
        <f t="shared" si="205"/>
        <v>5.4333333333333289E-2</v>
      </c>
      <c r="O277" s="317">
        <f t="shared" si="205"/>
        <v>5.1999999999999956E-2</v>
      </c>
      <c r="P277" s="317">
        <f t="shared" si="205"/>
        <v>4.9666666666666623E-2</v>
      </c>
      <c r="Q277" s="317">
        <f t="shared" si="205"/>
        <v>4.733333333333329E-2</v>
      </c>
      <c r="R277" s="317">
        <f t="shared" si="205"/>
        <v>4.4999999999999957E-2</v>
      </c>
      <c r="S277" s="317">
        <f t="shared" si="205"/>
        <v>4.2666666666666624E-2</v>
      </c>
      <c r="T277" s="317">
        <f t="shared" si="206"/>
        <v>4.0333333333333291E-2</v>
      </c>
      <c r="U277" s="317">
        <f t="shared" si="206"/>
        <v>3.7999999999999957E-2</v>
      </c>
      <c r="V277" s="317">
        <f t="shared" si="206"/>
        <v>3.5666666666666624E-2</v>
      </c>
      <c r="W277" s="317">
        <f t="shared" si="206"/>
        <v>3.3333333333333291E-2</v>
      </c>
      <c r="X277" s="317">
        <f t="shared" si="206"/>
        <v>3.0999999999999958E-2</v>
      </c>
      <c r="Y277" s="317">
        <f t="shared" si="206"/>
        <v>2.8666666666666625E-2</v>
      </c>
      <c r="Z277" s="317">
        <f t="shared" si="206"/>
        <v>2.6333333333333292E-2</v>
      </c>
      <c r="AA277" s="317">
        <f t="shared" si="206"/>
        <v>2.3999999999999959E-2</v>
      </c>
      <c r="AB277" s="317">
        <f t="shared" si="206"/>
        <v>2.1666666666666626E-2</v>
      </c>
      <c r="AC277" s="317">
        <f t="shared" si="206"/>
        <v>1.9333333333333293E-2</v>
      </c>
      <c r="AD277" s="317">
        <f t="shared" si="206"/>
        <v>1.699999999999996E-2</v>
      </c>
      <c r="AE277" s="317">
        <f t="shared" si="206"/>
        <v>1.4666666666666626E-2</v>
      </c>
      <c r="AF277" s="317">
        <f t="shared" si="206"/>
        <v>1.2333333333333293E-2</v>
      </c>
      <c r="AG277" s="296">
        <v>0.01</v>
      </c>
      <c r="AI277" s="296"/>
      <c r="AJ277" s="211" t="s">
        <v>1363</v>
      </c>
    </row>
    <row r="278" spans="1:36" outlineLevel="1">
      <c r="A278" s="346" t="s">
        <v>1384</v>
      </c>
      <c r="B278" s="302" t="s">
        <v>462</v>
      </c>
      <c r="C278" s="296">
        <v>0.27</v>
      </c>
      <c r="D278" s="317">
        <f t="shared" si="205"/>
        <v>0.26633333333333337</v>
      </c>
      <c r="E278" s="317">
        <f t="shared" si="205"/>
        <v>0.26266666666666671</v>
      </c>
      <c r="F278" s="317">
        <f t="shared" si="205"/>
        <v>0.25900000000000006</v>
      </c>
      <c r="G278" s="317">
        <f t="shared" si="205"/>
        <v>0.25533333333333341</v>
      </c>
      <c r="H278" s="317">
        <f t="shared" si="205"/>
        <v>0.25166666666666676</v>
      </c>
      <c r="I278" s="317">
        <f t="shared" si="205"/>
        <v>0.24800000000000008</v>
      </c>
      <c r="J278" s="317">
        <f t="shared" si="205"/>
        <v>0.2443333333333334</v>
      </c>
      <c r="K278" s="317">
        <f t="shared" si="205"/>
        <v>0.24066666666666672</v>
      </c>
      <c r="L278" s="317">
        <f t="shared" si="205"/>
        <v>0.23700000000000004</v>
      </c>
      <c r="M278" s="317">
        <f t="shared" si="205"/>
        <v>0.23333333333333336</v>
      </c>
      <c r="N278" s="317">
        <f t="shared" si="205"/>
        <v>0.22966666666666669</v>
      </c>
      <c r="O278" s="317">
        <f t="shared" si="205"/>
        <v>0.22600000000000001</v>
      </c>
      <c r="P278" s="317">
        <f t="shared" si="205"/>
        <v>0.22233333333333333</v>
      </c>
      <c r="Q278" s="317">
        <f t="shared" si="205"/>
        <v>0.21866666666666665</v>
      </c>
      <c r="R278" s="317">
        <f t="shared" si="205"/>
        <v>0.21499999999999997</v>
      </c>
      <c r="S278" s="317">
        <f t="shared" si="205"/>
        <v>0.21133333333333329</v>
      </c>
      <c r="T278" s="317">
        <f t="shared" si="206"/>
        <v>0.20766666666666661</v>
      </c>
      <c r="U278" s="317">
        <f t="shared" si="206"/>
        <v>0.20399999999999993</v>
      </c>
      <c r="V278" s="317">
        <f t="shared" si="206"/>
        <v>0.20033333333333325</v>
      </c>
      <c r="W278" s="317">
        <f t="shared" si="206"/>
        <v>0.19666666666666657</v>
      </c>
      <c r="X278" s="317">
        <f t="shared" si="206"/>
        <v>0.19299999999999989</v>
      </c>
      <c r="Y278" s="317">
        <f t="shared" si="206"/>
        <v>0.18933333333333321</v>
      </c>
      <c r="Z278" s="317">
        <f t="shared" si="206"/>
        <v>0.18566666666666654</v>
      </c>
      <c r="AA278" s="317">
        <f t="shared" si="206"/>
        <v>0.18199999999999986</v>
      </c>
      <c r="AB278" s="317">
        <f t="shared" si="206"/>
        <v>0.17833333333333318</v>
      </c>
      <c r="AC278" s="317">
        <f t="shared" si="206"/>
        <v>0.1746666666666665</v>
      </c>
      <c r="AD278" s="317">
        <f t="shared" si="206"/>
        <v>0.17099999999999982</v>
      </c>
      <c r="AE278" s="317">
        <f t="shared" si="206"/>
        <v>0.16733333333333314</v>
      </c>
      <c r="AF278" s="317">
        <f t="shared" si="206"/>
        <v>0.16366666666666646</v>
      </c>
      <c r="AG278" s="296">
        <v>0.16</v>
      </c>
      <c r="AI278" s="296"/>
      <c r="AJ278" s="211" t="s">
        <v>1363</v>
      </c>
    </row>
    <row r="279" spans="1:36" outlineLevel="1">
      <c r="A279" s="346" t="s">
        <v>1385</v>
      </c>
      <c r="B279" s="302" t="s">
        <v>462</v>
      </c>
      <c r="C279" s="296">
        <v>7.0000000000000007E-2</v>
      </c>
      <c r="D279" s="317">
        <f t="shared" si="205"/>
        <v>6.9666666666666668E-2</v>
      </c>
      <c r="E279" s="317">
        <f t="shared" si="205"/>
        <v>6.933333333333333E-2</v>
      </c>
      <c r="F279" s="317">
        <f t="shared" si="205"/>
        <v>6.8999999999999992E-2</v>
      </c>
      <c r="G279" s="317">
        <f t="shared" si="205"/>
        <v>6.8666666666666654E-2</v>
      </c>
      <c r="H279" s="317">
        <f t="shared" si="205"/>
        <v>6.8333333333333315E-2</v>
      </c>
      <c r="I279" s="317">
        <f t="shared" si="205"/>
        <v>6.7999999999999977E-2</v>
      </c>
      <c r="J279" s="317">
        <f t="shared" si="205"/>
        <v>6.7666666666666639E-2</v>
      </c>
      <c r="K279" s="317">
        <f t="shared" si="205"/>
        <v>6.7333333333333301E-2</v>
      </c>
      <c r="L279" s="317">
        <f t="shared" si="205"/>
        <v>6.6999999999999962E-2</v>
      </c>
      <c r="M279" s="317">
        <f t="shared" si="205"/>
        <v>6.6666666666666624E-2</v>
      </c>
      <c r="N279" s="317">
        <f t="shared" si="205"/>
        <v>6.6333333333333286E-2</v>
      </c>
      <c r="O279" s="317">
        <f t="shared" si="205"/>
        <v>6.5999999999999948E-2</v>
      </c>
      <c r="P279" s="317">
        <f t="shared" si="205"/>
        <v>6.5666666666666609E-2</v>
      </c>
      <c r="Q279" s="317">
        <f t="shared" si="205"/>
        <v>6.5333333333333271E-2</v>
      </c>
      <c r="R279" s="317">
        <f t="shared" si="205"/>
        <v>6.4999999999999933E-2</v>
      </c>
      <c r="S279" s="317">
        <f t="shared" ref="S279:AF279" si="207">-($C279-$AG279)/30+R279</f>
        <v>6.4666666666666595E-2</v>
      </c>
      <c r="T279" s="317">
        <f t="shared" si="207"/>
        <v>6.4333333333333256E-2</v>
      </c>
      <c r="U279" s="317">
        <f t="shared" si="207"/>
        <v>6.3999999999999918E-2</v>
      </c>
      <c r="V279" s="317">
        <f t="shared" si="207"/>
        <v>6.366666666666658E-2</v>
      </c>
      <c r="W279" s="317">
        <f t="shared" si="207"/>
        <v>6.3333333333333242E-2</v>
      </c>
      <c r="X279" s="317">
        <f t="shared" si="207"/>
        <v>6.2999999999999903E-2</v>
      </c>
      <c r="Y279" s="317">
        <f t="shared" si="207"/>
        <v>6.2666666666666565E-2</v>
      </c>
      <c r="Z279" s="317">
        <f t="shared" si="207"/>
        <v>6.2333333333333234E-2</v>
      </c>
      <c r="AA279" s="317">
        <f t="shared" si="207"/>
        <v>6.1999999999999902E-2</v>
      </c>
      <c r="AB279" s="317">
        <f t="shared" si="207"/>
        <v>6.1666666666666571E-2</v>
      </c>
      <c r="AC279" s="317">
        <f t="shared" si="207"/>
        <v>6.133333333333324E-2</v>
      </c>
      <c r="AD279" s="317">
        <f t="shared" si="207"/>
        <v>6.0999999999999908E-2</v>
      </c>
      <c r="AE279" s="317">
        <f t="shared" si="207"/>
        <v>6.0666666666666577E-2</v>
      </c>
      <c r="AF279" s="317">
        <f t="shared" si="207"/>
        <v>6.0333333333333246E-2</v>
      </c>
      <c r="AG279" s="296">
        <v>0.06</v>
      </c>
      <c r="AI279" s="296"/>
      <c r="AJ279" s="211" t="s">
        <v>1363</v>
      </c>
    </row>
    <row r="280" spans="1:36" s="68" customFormat="1" outlineLevel="1">
      <c r="A280" s="347" t="s">
        <v>1386</v>
      </c>
      <c r="B280" s="312" t="s">
        <v>462</v>
      </c>
      <c r="C280" s="314">
        <v>0.05</v>
      </c>
      <c r="D280" s="340">
        <f t="shared" ref="D280:AF280" si="208">-($C280-$AG280)/30+C280</f>
        <v>4.9333333333333333E-2</v>
      </c>
      <c r="E280" s="340">
        <f t="shared" si="208"/>
        <v>4.8666666666666664E-2</v>
      </c>
      <c r="F280" s="340">
        <f t="shared" si="208"/>
        <v>4.7999999999999994E-2</v>
      </c>
      <c r="G280" s="340">
        <f t="shared" si="208"/>
        <v>4.7333333333333324E-2</v>
      </c>
      <c r="H280" s="340">
        <f t="shared" si="208"/>
        <v>4.6666666666666655E-2</v>
      </c>
      <c r="I280" s="340">
        <f t="shared" si="208"/>
        <v>4.5999999999999985E-2</v>
      </c>
      <c r="J280" s="340">
        <f t="shared" si="208"/>
        <v>4.5333333333333316E-2</v>
      </c>
      <c r="K280" s="340">
        <f t="shared" si="208"/>
        <v>4.4666666666666646E-2</v>
      </c>
      <c r="L280" s="340">
        <f t="shared" si="208"/>
        <v>4.3999999999999977E-2</v>
      </c>
      <c r="M280" s="340">
        <f t="shared" si="208"/>
        <v>4.3333333333333307E-2</v>
      </c>
      <c r="N280" s="340">
        <f t="shared" si="208"/>
        <v>4.2666666666666637E-2</v>
      </c>
      <c r="O280" s="340">
        <f t="shared" si="208"/>
        <v>4.1999999999999968E-2</v>
      </c>
      <c r="P280" s="340">
        <f t="shared" si="208"/>
        <v>4.1333333333333298E-2</v>
      </c>
      <c r="Q280" s="340">
        <f t="shared" si="208"/>
        <v>4.0666666666666629E-2</v>
      </c>
      <c r="R280" s="340">
        <f t="shared" si="208"/>
        <v>3.9999999999999959E-2</v>
      </c>
      <c r="S280" s="340">
        <f t="shared" si="208"/>
        <v>3.933333333333329E-2</v>
      </c>
      <c r="T280" s="340">
        <f t="shared" si="208"/>
        <v>3.866666666666662E-2</v>
      </c>
      <c r="U280" s="340">
        <f t="shared" si="208"/>
        <v>3.799999999999995E-2</v>
      </c>
      <c r="V280" s="340">
        <f t="shared" si="208"/>
        <v>3.7333333333333281E-2</v>
      </c>
      <c r="W280" s="340">
        <f t="shared" si="208"/>
        <v>3.6666666666666611E-2</v>
      </c>
      <c r="X280" s="340">
        <f t="shared" si="208"/>
        <v>3.5999999999999942E-2</v>
      </c>
      <c r="Y280" s="340">
        <f t="shared" si="208"/>
        <v>3.5333333333333272E-2</v>
      </c>
      <c r="Z280" s="340">
        <f t="shared" si="208"/>
        <v>3.4666666666666603E-2</v>
      </c>
      <c r="AA280" s="340">
        <f t="shared" si="208"/>
        <v>3.3999999999999933E-2</v>
      </c>
      <c r="AB280" s="340">
        <f t="shared" si="208"/>
        <v>3.3333333333333263E-2</v>
      </c>
      <c r="AC280" s="340">
        <f t="shared" si="208"/>
        <v>3.2666666666666594E-2</v>
      </c>
      <c r="AD280" s="340">
        <f t="shared" si="208"/>
        <v>3.1999999999999924E-2</v>
      </c>
      <c r="AE280" s="340">
        <f t="shared" si="208"/>
        <v>3.1333333333333255E-2</v>
      </c>
      <c r="AF280" s="340">
        <f t="shared" si="208"/>
        <v>3.0666666666666589E-2</v>
      </c>
      <c r="AG280" s="314">
        <v>0.03</v>
      </c>
      <c r="AI280" s="314"/>
      <c r="AJ280" s="341" t="s">
        <v>1363</v>
      </c>
    </row>
    <row r="281" spans="1:36" s="58" customFormat="1" outlineLevel="1">
      <c r="A281" s="58" t="s">
        <v>1361</v>
      </c>
      <c r="B281" s="303"/>
      <c r="C281" s="304">
        <f>C32</f>
        <v>12.673879407338728</v>
      </c>
      <c r="D281" s="304">
        <f t="shared" ref="D281:AG281" si="209">D32</f>
        <v>13.098726851099091</v>
      </c>
      <c r="E281" s="304">
        <f t="shared" si="209"/>
        <v>13.502427023619299</v>
      </c>
      <c r="F281" s="304">
        <f t="shared" si="209"/>
        <v>13.882209074846781</v>
      </c>
      <c r="G281" s="304">
        <f t="shared" si="209"/>
        <v>14.235413036033478</v>
      </c>
      <c r="H281" s="304">
        <f t="shared" si="209"/>
        <v>14.559520852589715</v>
      </c>
      <c r="I281" s="304">
        <f t="shared" si="209"/>
        <v>14.884229245454527</v>
      </c>
      <c r="J281" s="304">
        <f t="shared" si="209"/>
        <v>15.209244221270575</v>
      </c>
      <c r="K281" s="304">
        <f t="shared" si="209"/>
        <v>15.534264322775988</v>
      </c>
      <c r="L281" s="304">
        <f t="shared" si="209"/>
        <v>15.858981020841343</v>
      </c>
      <c r="M281" s="304">
        <f t="shared" si="209"/>
        <v>16.183079133002487</v>
      </c>
      <c r="N281" s="304">
        <f t="shared" si="209"/>
        <v>16.482620297976691</v>
      </c>
      <c r="O281" s="304">
        <f t="shared" si="209"/>
        <v>16.755943206611072</v>
      </c>
      <c r="P281" s="304">
        <f t="shared" si="209"/>
        <v>17.001503890847083</v>
      </c>
      <c r="Q281" s="304">
        <f t="shared" si="209"/>
        <v>17.217890073688782</v>
      </c>
      <c r="R281" s="304">
        <f t="shared" si="209"/>
        <v>17.403834548144012</v>
      </c>
      <c r="S281" s="304">
        <f t="shared" si="209"/>
        <v>17.589861538809647</v>
      </c>
      <c r="T281" s="304">
        <f t="shared" si="209"/>
        <v>17.775929599333011</v>
      </c>
      <c r="U281" s="304">
        <f t="shared" si="209"/>
        <v>17.961996785777828</v>
      </c>
      <c r="V281" s="304">
        <f t="shared" si="209"/>
        <v>18.148020669856798</v>
      </c>
      <c r="W281" s="304">
        <f t="shared" si="209"/>
        <v>18.33395835260367</v>
      </c>
      <c r="X281" s="304">
        <f t="shared" si="209"/>
        <v>18.519970462814392</v>
      </c>
      <c r="Y281" s="304">
        <f t="shared" si="209"/>
        <v>18.706019655608895</v>
      </c>
      <c r="Z281" s="304">
        <f t="shared" si="209"/>
        <v>18.892068164071532</v>
      </c>
      <c r="AA281" s="304">
        <f t="shared" si="209"/>
        <v>19.078077810042121</v>
      </c>
      <c r="AB281" s="304">
        <f t="shared" si="209"/>
        <v>19.264010015242892</v>
      </c>
      <c r="AC281" s="304">
        <f t="shared" si="209"/>
        <v>19.450009696000929</v>
      </c>
      <c r="AD281" s="304">
        <f t="shared" si="209"/>
        <v>19.636043025222392</v>
      </c>
      <c r="AE281" s="304">
        <f t="shared" si="209"/>
        <v>19.822075814687434</v>
      </c>
      <c r="AF281" s="304">
        <f t="shared" si="209"/>
        <v>20.008073523938176</v>
      </c>
      <c r="AG281" s="304">
        <f t="shared" si="209"/>
        <v>20.194001269427055</v>
      </c>
      <c r="AI281" s="305"/>
      <c r="AJ281" s="306"/>
    </row>
    <row r="282" spans="1:36" s="58" customFormat="1" outlineLevel="1">
      <c r="A282" s="307" t="s">
        <v>3</v>
      </c>
      <c r="B282" s="308" t="s">
        <v>704</v>
      </c>
      <c r="C282" s="309">
        <v>0</v>
      </c>
      <c r="D282" s="309">
        <v>0</v>
      </c>
      <c r="E282" s="309">
        <v>0</v>
      </c>
      <c r="F282" s="309">
        <v>0</v>
      </c>
      <c r="G282" s="309">
        <v>0</v>
      </c>
      <c r="H282" s="309">
        <v>0</v>
      </c>
      <c r="I282" s="309">
        <v>0</v>
      </c>
      <c r="J282" s="309">
        <v>0</v>
      </c>
      <c r="K282" s="309">
        <v>0</v>
      </c>
      <c r="L282" s="309">
        <v>0</v>
      </c>
      <c r="M282" s="309">
        <v>0</v>
      </c>
      <c r="N282" s="309">
        <v>0</v>
      </c>
      <c r="O282" s="309">
        <v>0</v>
      </c>
      <c r="P282" s="309">
        <v>0</v>
      </c>
      <c r="Q282" s="309">
        <v>0</v>
      </c>
      <c r="R282" s="309">
        <v>0</v>
      </c>
      <c r="S282" s="309">
        <v>0</v>
      </c>
      <c r="T282" s="309">
        <v>0</v>
      </c>
      <c r="U282" s="309">
        <v>0</v>
      </c>
      <c r="V282" s="309">
        <v>0</v>
      </c>
      <c r="W282" s="309">
        <v>0</v>
      </c>
      <c r="X282" s="309">
        <v>0</v>
      </c>
      <c r="Y282" s="309">
        <v>0</v>
      </c>
      <c r="Z282" s="309">
        <v>0</v>
      </c>
      <c r="AA282" s="309">
        <v>0</v>
      </c>
      <c r="AB282" s="309">
        <v>0</v>
      </c>
      <c r="AC282" s="309">
        <v>0</v>
      </c>
      <c r="AD282" s="309">
        <v>0</v>
      </c>
      <c r="AE282" s="309">
        <v>0</v>
      </c>
      <c r="AF282" s="309">
        <v>0</v>
      </c>
      <c r="AG282" s="309">
        <v>0</v>
      </c>
      <c r="AI282" s="305"/>
      <c r="AJ282" s="306"/>
    </row>
    <row r="283" spans="1:36" outlineLevel="1">
      <c r="A283" s="310" t="s">
        <v>51</v>
      </c>
      <c r="B283" s="302" t="s">
        <v>704</v>
      </c>
      <c r="C283" s="249">
        <f t="shared" ref="C283:AG283" si="210">C250</f>
        <v>1.1899030376946831</v>
      </c>
      <c r="D283" s="249">
        <f t="shared" si="210"/>
        <v>1.2097744184241843</v>
      </c>
      <c r="E283" s="249">
        <f t="shared" si="210"/>
        <v>1.2299776512118681</v>
      </c>
      <c r="F283" s="249">
        <f t="shared" si="210"/>
        <v>1.2505182779871062</v>
      </c>
      <c r="G283" s="249">
        <f t="shared" si="210"/>
        <v>1.2714019332294908</v>
      </c>
      <c r="H283" s="249">
        <f t="shared" si="210"/>
        <v>1.2926343455144231</v>
      </c>
      <c r="I283" s="249">
        <f t="shared" si="210"/>
        <v>1.3142213390845139</v>
      </c>
      <c r="J283" s="249">
        <f t="shared" si="210"/>
        <v>1.3361688354472252</v>
      </c>
      <c r="K283" s="249">
        <f t="shared" si="210"/>
        <v>1.3584828549991939</v>
      </c>
      <c r="L283" s="249">
        <f t="shared" si="210"/>
        <v>1.3811695186776802</v>
      </c>
      <c r="M283" s="249">
        <f t="shared" si="210"/>
        <v>1.4042350496395974</v>
      </c>
      <c r="N283" s="249">
        <f t="shared" si="210"/>
        <v>1.4276857749685787</v>
      </c>
      <c r="O283" s="249">
        <f t="shared" si="210"/>
        <v>1.4515281274105538</v>
      </c>
      <c r="P283" s="249">
        <f t="shared" si="210"/>
        <v>1.47576864713831</v>
      </c>
      <c r="Q283" s="249">
        <f t="shared" si="210"/>
        <v>1.5004139835455197</v>
      </c>
      <c r="R283" s="249">
        <f t="shared" si="210"/>
        <v>1.5254708970707298</v>
      </c>
      <c r="S283" s="249">
        <f t="shared" si="210"/>
        <v>1.550946261051811</v>
      </c>
      <c r="T283" s="249">
        <f t="shared" si="210"/>
        <v>1.5768470636113761</v>
      </c>
      <c r="U283" s="249">
        <f t="shared" si="210"/>
        <v>1.6031804095736859</v>
      </c>
      <c r="V283" s="249">
        <f t="shared" si="210"/>
        <v>1.6299535224135664</v>
      </c>
      <c r="W283" s="249">
        <f t="shared" si="210"/>
        <v>1.6571737462378728</v>
      </c>
      <c r="X283" s="249">
        <f t="shared" si="210"/>
        <v>1.6848485478000452</v>
      </c>
      <c r="Y283" s="249">
        <f t="shared" si="210"/>
        <v>1.7129855185483058</v>
      </c>
      <c r="Z283" s="249">
        <f t="shared" si="210"/>
        <v>1.7415923767080623</v>
      </c>
      <c r="AA283" s="249">
        <f t="shared" si="210"/>
        <v>1.7706769693990869</v>
      </c>
      <c r="AB283" s="249">
        <f t="shared" si="210"/>
        <v>1.8002472747880516</v>
      </c>
      <c r="AC283" s="249">
        <f t="shared" si="210"/>
        <v>1.8303114042770119</v>
      </c>
      <c r="AD283" s="249">
        <f t="shared" si="210"/>
        <v>1.8608776047284379</v>
      </c>
      <c r="AE283" s="249">
        <f t="shared" si="210"/>
        <v>1.8919542607274027</v>
      </c>
      <c r="AF283" s="249">
        <f t="shared" si="210"/>
        <v>1.9235498968815501</v>
      </c>
      <c r="AG283" s="249">
        <f t="shared" si="210"/>
        <v>1.9556731801594718</v>
      </c>
      <c r="AI283" s="296"/>
    </row>
    <row r="284" spans="1:36" s="68" customFormat="1" outlineLevel="1">
      <c r="A284" s="311" t="s">
        <v>1387</v>
      </c>
      <c r="B284" s="312" t="s">
        <v>704</v>
      </c>
      <c r="C284" s="313">
        <f>C281-C282-C283</f>
        <v>11.483976369644044</v>
      </c>
      <c r="D284" s="313">
        <f t="shared" ref="D284:AG284" si="211">D281-D282-D283</f>
        <v>11.888952432674907</v>
      </c>
      <c r="E284" s="313">
        <f t="shared" si="211"/>
        <v>12.272449372407431</v>
      </c>
      <c r="F284" s="313">
        <f t="shared" si="211"/>
        <v>12.631690796859674</v>
      </c>
      <c r="G284" s="313">
        <f t="shared" si="211"/>
        <v>12.964011102803987</v>
      </c>
      <c r="H284" s="313">
        <f t="shared" si="211"/>
        <v>13.266886507075291</v>
      </c>
      <c r="I284" s="313">
        <f t="shared" si="211"/>
        <v>13.570007906370014</v>
      </c>
      <c r="J284" s="313">
        <f t="shared" si="211"/>
        <v>13.87307538582335</v>
      </c>
      <c r="K284" s="313">
        <f t="shared" si="211"/>
        <v>14.175781467776794</v>
      </c>
      <c r="L284" s="313">
        <f t="shared" si="211"/>
        <v>14.477811502163663</v>
      </c>
      <c r="M284" s="313">
        <f t="shared" si="211"/>
        <v>14.778844083362889</v>
      </c>
      <c r="N284" s="313">
        <f t="shared" si="211"/>
        <v>15.054934523008113</v>
      </c>
      <c r="O284" s="313">
        <f t="shared" si="211"/>
        <v>15.304415079200517</v>
      </c>
      <c r="P284" s="313">
        <f t="shared" si="211"/>
        <v>15.525735243708773</v>
      </c>
      <c r="Q284" s="313">
        <f t="shared" si="211"/>
        <v>15.717476090143261</v>
      </c>
      <c r="R284" s="313">
        <f t="shared" si="211"/>
        <v>15.878363651073283</v>
      </c>
      <c r="S284" s="313">
        <f t="shared" si="211"/>
        <v>16.038915277757837</v>
      </c>
      <c r="T284" s="313">
        <f t="shared" si="211"/>
        <v>16.199082535721637</v>
      </c>
      <c r="U284" s="313">
        <f t="shared" si="211"/>
        <v>16.358816376204143</v>
      </c>
      <c r="V284" s="313">
        <f t="shared" si="211"/>
        <v>16.518067147443233</v>
      </c>
      <c r="W284" s="313">
        <f t="shared" si="211"/>
        <v>16.676784606365796</v>
      </c>
      <c r="X284" s="313">
        <f t="shared" si="211"/>
        <v>16.835121915014348</v>
      </c>
      <c r="Y284" s="313">
        <f t="shared" si="211"/>
        <v>16.99303413706059</v>
      </c>
      <c r="Z284" s="313">
        <f t="shared" si="211"/>
        <v>17.150475787363469</v>
      </c>
      <c r="AA284" s="313">
        <f t="shared" si="211"/>
        <v>17.307400840643034</v>
      </c>
      <c r="AB284" s="313">
        <f t="shared" si="211"/>
        <v>17.46376274045484</v>
      </c>
      <c r="AC284" s="313">
        <f t="shared" si="211"/>
        <v>17.619698291723918</v>
      </c>
      <c r="AD284" s="313">
        <f t="shared" si="211"/>
        <v>17.775165420493956</v>
      </c>
      <c r="AE284" s="313">
        <f t="shared" si="211"/>
        <v>17.930121553960031</v>
      </c>
      <c r="AF284" s="313">
        <f t="shared" si="211"/>
        <v>18.084523627056626</v>
      </c>
      <c r="AG284" s="313">
        <f t="shared" si="211"/>
        <v>18.238328089267583</v>
      </c>
      <c r="AI284" s="314"/>
      <c r="AJ284" s="315"/>
    </row>
    <row r="285" spans="1:36" outlineLevel="1">
      <c r="A285" s="112" t="s">
        <v>90</v>
      </c>
      <c r="B285" s="302" t="s">
        <v>704</v>
      </c>
      <c r="C285" s="230">
        <f>C254*C$284</f>
        <v>1.8374362191430471</v>
      </c>
      <c r="D285" s="230">
        <f t="shared" ref="D285:AG285" si="212">D254*D$284</f>
        <v>1.9268028909221799</v>
      </c>
      <c r="E285" s="230">
        <f t="shared" si="212"/>
        <v>2.0143180236578062</v>
      </c>
      <c r="F285" s="230">
        <f t="shared" si="212"/>
        <v>2.0993870104380776</v>
      </c>
      <c r="G285" s="230">
        <f t="shared" si="212"/>
        <v>2.181410934898484</v>
      </c>
      <c r="H285" s="230">
        <f t="shared" si="212"/>
        <v>2.2597930017051575</v>
      </c>
      <c r="I285" s="230">
        <f t="shared" si="212"/>
        <v>2.33946936305819</v>
      </c>
      <c r="J285" s="230">
        <f t="shared" si="212"/>
        <v>2.4203892189799801</v>
      </c>
      <c r="K285" s="230">
        <f t="shared" si="212"/>
        <v>2.5024979551115294</v>
      </c>
      <c r="L285" s="230">
        <f t="shared" si="212"/>
        <v>2.5857371342864295</v>
      </c>
      <c r="M285" s="230">
        <f t="shared" si="212"/>
        <v>2.6700444977275613</v>
      </c>
      <c r="N285" s="230">
        <f t="shared" si="212"/>
        <v>2.7510383685043482</v>
      </c>
      <c r="O285" s="230">
        <f t="shared" si="212"/>
        <v>2.8282559066362545</v>
      </c>
      <c r="P285" s="230">
        <f t="shared" si="212"/>
        <v>2.9012423925410449</v>
      </c>
      <c r="Q285" s="230">
        <f t="shared" si="212"/>
        <v>2.9695551492977321</v>
      </c>
      <c r="R285" s="230">
        <f t="shared" si="212"/>
        <v>3.0327674573549959</v>
      </c>
      <c r="S285" s="230">
        <f t="shared" si="212"/>
        <v>3.0965799096257784</v>
      </c>
      <c r="T285" s="230">
        <f t="shared" si="212"/>
        <v>3.1609809721371471</v>
      </c>
      <c r="U285" s="230">
        <f t="shared" si="212"/>
        <v>3.2259585893874552</v>
      </c>
      <c r="V285" s="230">
        <f t="shared" si="212"/>
        <v>3.2915001802471866</v>
      </c>
      <c r="W285" s="230">
        <f t="shared" si="212"/>
        <v>3.3575926340816453</v>
      </c>
      <c r="X285" s="230">
        <f t="shared" si="212"/>
        <v>3.4242637975139165</v>
      </c>
      <c r="Y285" s="230">
        <f t="shared" si="212"/>
        <v>3.4915020806947141</v>
      </c>
      <c r="Z285" s="230">
        <f t="shared" si="212"/>
        <v>3.559295408404163</v>
      </c>
      <c r="AA285" s="230">
        <f t="shared" si="212"/>
        <v>3.6276312161987776</v>
      </c>
      <c r="AB285" s="230">
        <f t="shared" si="212"/>
        <v>3.6964964467296055</v>
      </c>
      <c r="AC285" s="230">
        <f t="shared" si="212"/>
        <v>3.7659168482177896</v>
      </c>
      <c r="AD285" s="230">
        <f t="shared" si="212"/>
        <v>3.835880697742593</v>
      </c>
      <c r="AE285" s="230">
        <f t="shared" si="212"/>
        <v>3.9063758158894228</v>
      </c>
      <c r="AF285" s="230">
        <f t="shared" si="212"/>
        <v>3.9773895630439844</v>
      </c>
      <c r="AG285" s="230">
        <f t="shared" si="212"/>
        <v>4.0489088358174037</v>
      </c>
      <c r="AI285" s="214"/>
    </row>
    <row r="286" spans="1:36" outlineLevel="1">
      <c r="A286" s="112" t="s">
        <v>33</v>
      </c>
      <c r="B286" s="302" t="s">
        <v>704</v>
      </c>
      <c r="C286" s="230">
        <f t="shared" ref="C286:AG286" si="213">C255*C$284</f>
        <v>4.2490712567682962</v>
      </c>
      <c r="D286" s="230">
        <f t="shared" si="213"/>
        <v>4.3121230473311893</v>
      </c>
      <c r="E286" s="230">
        <f t="shared" si="213"/>
        <v>4.3616285069536014</v>
      </c>
      <c r="F286" s="230">
        <f t="shared" si="213"/>
        <v>4.3970915663868535</v>
      </c>
      <c r="G286" s="230">
        <f t="shared" si="213"/>
        <v>4.4181349838355999</v>
      </c>
      <c r="H286" s="230">
        <f t="shared" si="213"/>
        <v>4.4245066501096115</v>
      </c>
      <c r="I286" s="230">
        <f t="shared" si="213"/>
        <v>4.4265365790579008</v>
      </c>
      <c r="J286" s="230">
        <f t="shared" si="213"/>
        <v>4.424123740539069</v>
      </c>
      <c r="K286" s="230">
        <f t="shared" si="213"/>
        <v>4.4171735053592522</v>
      </c>
      <c r="L286" s="230">
        <f t="shared" si="213"/>
        <v>4.4055980401084058</v>
      </c>
      <c r="M286" s="230">
        <f t="shared" si="213"/>
        <v>4.3893166927587819</v>
      </c>
      <c r="N286" s="230">
        <f t="shared" si="213"/>
        <v>4.3614145313154546</v>
      </c>
      <c r="O286" s="230">
        <f t="shared" si="213"/>
        <v>4.3219668183662305</v>
      </c>
      <c r="P286" s="230">
        <f t="shared" si="213"/>
        <v>4.2711297655442886</v>
      </c>
      <c r="Q286" s="230">
        <f t="shared" si="213"/>
        <v>4.2091400969403709</v>
      </c>
      <c r="R286" s="230">
        <f t="shared" si="213"/>
        <v>4.1363137311045968</v>
      </c>
      <c r="S286" s="230">
        <f t="shared" si="213"/>
        <v>4.0610533483282909</v>
      </c>
      <c r="T286" s="230">
        <f t="shared" si="213"/>
        <v>3.9833543955339574</v>
      </c>
      <c r="U286" s="230">
        <f t="shared" si="213"/>
        <v>3.9032135873623153</v>
      </c>
      <c r="V286" s="230">
        <f t="shared" si="213"/>
        <v>3.8206289312036268</v>
      </c>
      <c r="W286" s="230">
        <f t="shared" si="213"/>
        <v>3.7355997518259452</v>
      </c>
      <c r="X286" s="230">
        <f t="shared" si="213"/>
        <v>3.6481709189836162</v>
      </c>
      <c r="Y286" s="230">
        <f t="shared" si="213"/>
        <v>3.5583413483004946</v>
      </c>
      <c r="Z286" s="230">
        <f t="shared" si="213"/>
        <v>3.4661111566261642</v>
      </c>
      <c r="AA286" s="230">
        <f t="shared" si="213"/>
        <v>3.3714816837572701</v>
      </c>
      <c r="AB286" s="230">
        <f t="shared" si="213"/>
        <v>3.2744555138352895</v>
      </c>
      <c r="AC286" s="230">
        <f t="shared" si="213"/>
        <v>3.1750696321686571</v>
      </c>
      <c r="AD286" s="230">
        <f t="shared" si="213"/>
        <v>3.0733261012034121</v>
      </c>
      <c r="AE286" s="230">
        <f t="shared" si="213"/>
        <v>2.9692281293357885</v>
      </c>
      <c r="AF286" s="230">
        <f t="shared" si="213"/>
        <v>2.8627800901630716</v>
      </c>
      <c r="AG286" s="230">
        <f t="shared" si="213"/>
        <v>2.7539875414794048</v>
      </c>
      <c r="AI286" s="214"/>
    </row>
    <row r="287" spans="1:36" outlineLevel="1">
      <c r="A287" s="112" t="s">
        <v>451</v>
      </c>
      <c r="B287" s="302" t="s">
        <v>704</v>
      </c>
      <c r="C287" s="230">
        <f t="shared" ref="C287:AG287" si="214">C256*C$284</f>
        <v>0.91871810957152356</v>
      </c>
      <c r="D287" s="230">
        <f t="shared" si="214"/>
        <v>0.95230508985726015</v>
      </c>
      <c r="E287" s="230">
        <f t="shared" si="214"/>
        <v>0.98425043966707604</v>
      </c>
      <c r="F287" s="230">
        <f t="shared" si="214"/>
        <v>1.014324770987832</v>
      </c>
      <c r="G287" s="230">
        <f t="shared" si="214"/>
        <v>1.0423064926654406</v>
      </c>
      <c r="H287" s="230">
        <f t="shared" si="214"/>
        <v>1.0679843638195612</v>
      </c>
      <c r="I287" s="230">
        <f t="shared" si="214"/>
        <v>1.0937426372534234</v>
      </c>
      <c r="J287" s="230">
        <f t="shared" si="214"/>
        <v>1.1195571836359446</v>
      </c>
      <c r="K287" s="230">
        <f t="shared" si="214"/>
        <v>1.1454031425963653</v>
      </c>
      <c r="L287" s="230">
        <f t="shared" si="214"/>
        <v>1.1712549505250407</v>
      </c>
      <c r="M287" s="230">
        <f t="shared" si="214"/>
        <v>1.1970863707523944</v>
      </c>
      <c r="N287" s="230">
        <f t="shared" si="214"/>
        <v>1.2209551898159585</v>
      </c>
      <c r="O287" s="230">
        <f t="shared" si="214"/>
        <v>1.2427185044310824</v>
      </c>
      <c r="P287" s="230">
        <f t="shared" si="214"/>
        <v>1.2622422753135238</v>
      </c>
      <c r="Q287" s="230">
        <f t="shared" si="214"/>
        <v>1.2794025537376621</v>
      </c>
      <c r="R287" s="230">
        <f t="shared" si="214"/>
        <v>1.2940866375624733</v>
      </c>
      <c r="S287" s="230">
        <f t="shared" si="214"/>
        <v>1.3087754866650403</v>
      </c>
      <c r="T287" s="230">
        <f t="shared" si="214"/>
        <v>1.3234650431684585</v>
      </c>
      <c r="U287" s="230">
        <f t="shared" si="214"/>
        <v>1.3381511795734997</v>
      </c>
      <c r="V287" s="230">
        <f t="shared" si="214"/>
        <v>1.3528296993756017</v>
      </c>
      <c r="W287" s="230">
        <f t="shared" si="214"/>
        <v>1.3674963377219962</v>
      </c>
      <c r="X287" s="230">
        <f t="shared" si="214"/>
        <v>1.3821635092226789</v>
      </c>
      <c r="Y287" s="230">
        <f t="shared" si="214"/>
        <v>1.3968274060663817</v>
      </c>
      <c r="Z287" s="230">
        <f t="shared" si="214"/>
        <v>1.4114841573000145</v>
      </c>
      <c r="AA287" s="230">
        <f t="shared" si="214"/>
        <v>1.4261298292689872</v>
      </c>
      <c r="AB287" s="230">
        <f t="shared" si="214"/>
        <v>1.4407604260875255</v>
      </c>
      <c r="AC287" s="230">
        <f t="shared" si="214"/>
        <v>1.455387078896397</v>
      </c>
      <c r="AD287" s="230">
        <f t="shared" si="214"/>
        <v>1.4700061802748516</v>
      </c>
      <c r="AE287" s="230">
        <f t="shared" si="214"/>
        <v>1.484614064667892</v>
      </c>
      <c r="AF287" s="230">
        <f t="shared" si="214"/>
        <v>1.4992070086829958</v>
      </c>
      <c r="AG287" s="230">
        <f t="shared" si="214"/>
        <v>1.5137812314092094</v>
      </c>
      <c r="AI287" s="214"/>
    </row>
    <row r="288" spans="1:36" outlineLevel="1">
      <c r="A288" s="112" t="s">
        <v>452</v>
      </c>
      <c r="B288" s="302" t="s">
        <v>704</v>
      </c>
      <c r="C288" s="230">
        <f t="shared" ref="C288:AG288" si="215">C257*C$284</f>
        <v>3.1006736198038918</v>
      </c>
      <c r="D288" s="230">
        <f t="shared" si="215"/>
        <v>3.2472692077779399</v>
      </c>
      <c r="E288" s="230">
        <f t="shared" si="215"/>
        <v>3.390468679950426</v>
      </c>
      <c r="F288" s="230">
        <f t="shared" si="215"/>
        <v>3.5292944086425928</v>
      </c>
      <c r="G288" s="230">
        <f t="shared" si="215"/>
        <v>3.6627652702455529</v>
      </c>
      <c r="H288" s="230">
        <f t="shared" si="215"/>
        <v>3.7899072455211744</v>
      </c>
      <c r="I288" s="230">
        <f t="shared" si="215"/>
        <v>3.9190182833596592</v>
      </c>
      <c r="J288" s="230">
        <f t="shared" si="215"/>
        <v>4.0500131409680291</v>
      </c>
      <c r="K288" s="230">
        <f t="shared" si="215"/>
        <v>4.1828005850920045</v>
      </c>
      <c r="L288" s="230">
        <f t="shared" si="215"/>
        <v>4.317283389945203</v>
      </c>
      <c r="M288" s="230">
        <f t="shared" si="215"/>
        <v>4.4533583504533487</v>
      </c>
      <c r="N288" s="230">
        <f t="shared" si="215"/>
        <v>4.5837257311052015</v>
      </c>
      <c r="O288" s="230">
        <f t="shared" si="215"/>
        <v>4.707638078362077</v>
      </c>
      <c r="P288" s="230">
        <f t="shared" si="215"/>
        <v>4.824363464728437</v>
      </c>
      <c r="Q288" s="230">
        <f t="shared" si="215"/>
        <v>4.9331918288262955</v>
      </c>
      <c r="R288" s="230">
        <f t="shared" si="215"/>
        <v>5.033441277390228</v>
      </c>
      <c r="S288" s="230">
        <f t="shared" si="215"/>
        <v>5.1345914109195396</v>
      </c>
      <c r="T288" s="230">
        <f t="shared" si="215"/>
        <v>5.2366234143809445</v>
      </c>
      <c r="U288" s="230">
        <f t="shared" si="215"/>
        <v>5.3395176651930285</v>
      </c>
      <c r="V288" s="230">
        <f t="shared" si="215"/>
        <v>5.4432537273207897</v>
      </c>
      <c r="W288" s="230">
        <f t="shared" si="215"/>
        <v>5.5478103457176848</v>
      </c>
      <c r="X288" s="230">
        <f t="shared" si="215"/>
        <v>5.6532339390618143</v>
      </c>
      <c r="Y288" s="230">
        <f t="shared" si="215"/>
        <v>5.7595057035210653</v>
      </c>
      <c r="Z288" s="230">
        <f t="shared" si="215"/>
        <v>5.866606084330793</v>
      </c>
      <c r="AA288" s="230">
        <f t="shared" si="215"/>
        <v>5.9745147701899706</v>
      </c>
      <c r="AB288" s="230">
        <f t="shared" si="215"/>
        <v>6.0832106879250976</v>
      </c>
      <c r="AC288" s="230">
        <f t="shared" si="215"/>
        <v>6.1927366262645611</v>
      </c>
      <c r="AD288" s="230">
        <f t="shared" si="215"/>
        <v>6.3030736581071514</v>
      </c>
      <c r="AE288" s="230">
        <f t="shared" si="215"/>
        <v>6.4142021505699631</v>
      </c>
      <c r="AF288" s="230">
        <f t="shared" si="215"/>
        <v>6.5261017595504951</v>
      </c>
      <c r="AG288" s="230">
        <f t="shared" si="215"/>
        <v>6.6387514244933996</v>
      </c>
      <c r="AI288" s="214"/>
    </row>
    <row r="289" spans="1:36" outlineLevel="1">
      <c r="A289" s="112" t="s">
        <v>1364</v>
      </c>
      <c r="B289" s="302" t="s">
        <v>704</v>
      </c>
      <c r="C289" s="230">
        <f t="shared" ref="C289:AG289" si="216">C258*C$284</f>
        <v>0.80387834587508311</v>
      </c>
      <c r="D289" s="230">
        <f t="shared" si="216"/>
        <v>0.84728601003529846</v>
      </c>
      <c r="E289" s="230">
        <f t="shared" si="216"/>
        <v>0.89016166114528572</v>
      </c>
      <c r="F289" s="230">
        <f t="shared" si="216"/>
        <v>0.93221878080824405</v>
      </c>
      <c r="G289" s="230">
        <f t="shared" si="216"/>
        <v>0.97316510011715263</v>
      </c>
      <c r="H289" s="230">
        <f t="shared" si="216"/>
        <v>1.0127056700400807</v>
      </c>
      <c r="I289" s="230">
        <f t="shared" si="216"/>
        <v>1.0530326135343131</v>
      </c>
      <c r="J289" s="230">
        <f t="shared" si="216"/>
        <v>1.0941232120952682</v>
      </c>
      <c r="K289" s="230">
        <f t="shared" si="216"/>
        <v>1.135952621617847</v>
      </c>
      <c r="L289" s="230">
        <f t="shared" si="216"/>
        <v>1.1784938562761222</v>
      </c>
      <c r="M289" s="230">
        <f t="shared" si="216"/>
        <v>1.2217177775579988</v>
      </c>
      <c r="N289" s="230">
        <f t="shared" si="216"/>
        <v>1.2636108376311477</v>
      </c>
      <c r="O289" s="230">
        <f t="shared" si="216"/>
        <v>1.303936164747884</v>
      </c>
      <c r="P289" s="230">
        <f t="shared" si="216"/>
        <v>1.3424585740726853</v>
      </c>
      <c r="Q289" s="230">
        <f t="shared" si="216"/>
        <v>1.3789465689752354</v>
      </c>
      <c r="R289" s="230">
        <f t="shared" si="216"/>
        <v>1.4131743649455222</v>
      </c>
      <c r="S289" s="230">
        <f t="shared" si="216"/>
        <v>1.4477794190722741</v>
      </c>
      <c r="T289" s="230">
        <f t="shared" si="216"/>
        <v>1.4827560214363871</v>
      </c>
      <c r="U289" s="230">
        <f t="shared" si="216"/>
        <v>1.5180981597117442</v>
      </c>
      <c r="V289" s="230">
        <f t="shared" si="216"/>
        <v>1.55379951633616</v>
      </c>
      <c r="W289" s="230">
        <f t="shared" si="216"/>
        <v>1.5898534658068724</v>
      </c>
      <c r="X289" s="230">
        <f t="shared" si="216"/>
        <v>1.6262727769903857</v>
      </c>
      <c r="Y289" s="230">
        <f t="shared" si="216"/>
        <v>1.6630516075469963</v>
      </c>
      <c r="Z289" s="230">
        <f t="shared" si="216"/>
        <v>1.7001838330539651</v>
      </c>
      <c r="AA289" s="230">
        <f t="shared" si="216"/>
        <v>1.7376630444005603</v>
      </c>
      <c r="AB289" s="230">
        <f t="shared" si="216"/>
        <v>1.7754825452795753</v>
      </c>
      <c r="AC289" s="230">
        <f t="shared" si="216"/>
        <v>1.8136542774947817</v>
      </c>
      <c r="AD289" s="230">
        <f t="shared" si="216"/>
        <v>1.8521722368154698</v>
      </c>
      <c r="AE289" s="230">
        <f t="shared" si="216"/>
        <v>1.8910301532243177</v>
      </c>
      <c r="AF289" s="230">
        <f t="shared" si="216"/>
        <v>1.930221488461177</v>
      </c>
      <c r="AG289" s="230">
        <f t="shared" si="216"/>
        <v>1.9697394336408989</v>
      </c>
      <c r="AI289" s="214"/>
    </row>
    <row r="290" spans="1:36" outlineLevel="1">
      <c r="A290" s="112" t="s">
        <v>1365</v>
      </c>
      <c r="B290" s="302" t="s">
        <v>704</v>
      </c>
      <c r="C290" s="230">
        <f t="shared" ref="C290:AG290" si="217">C259*C$284</f>
        <v>0.57419881848220222</v>
      </c>
      <c r="D290" s="230">
        <f t="shared" si="217"/>
        <v>0.60316618675104039</v>
      </c>
      <c r="E290" s="230">
        <f t="shared" si="217"/>
        <v>0.63162206103323593</v>
      </c>
      <c r="F290" s="230">
        <f t="shared" si="217"/>
        <v>0.6593742595960751</v>
      </c>
      <c r="G290" s="230">
        <f t="shared" si="217"/>
        <v>0.6862283210417579</v>
      </c>
      <c r="H290" s="230">
        <f t="shared" si="217"/>
        <v>0.71198957587970746</v>
      </c>
      <c r="I290" s="230">
        <f t="shared" si="217"/>
        <v>0.73820843010652903</v>
      </c>
      <c r="J290" s="230">
        <f t="shared" si="217"/>
        <v>0.76486888960506094</v>
      </c>
      <c r="K290" s="230">
        <f t="shared" si="217"/>
        <v>0.79195365799979722</v>
      </c>
      <c r="L290" s="230">
        <f t="shared" si="217"/>
        <v>0.81944413102246372</v>
      </c>
      <c r="M290" s="230">
        <f t="shared" si="217"/>
        <v>0.84732039411280602</v>
      </c>
      <c r="N290" s="230">
        <f t="shared" si="217"/>
        <v>0.8741898646360049</v>
      </c>
      <c r="O290" s="230">
        <f t="shared" si="217"/>
        <v>0.89989960665699087</v>
      </c>
      <c r="P290" s="230">
        <f t="shared" si="217"/>
        <v>0.92429877150879614</v>
      </c>
      <c r="Q290" s="230">
        <f t="shared" si="217"/>
        <v>0.94723989236596784</v>
      </c>
      <c r="R290" s="230">
        <f t="shared" si="217"/>
        <v>0.96858018271547086</v>
      </c>
      <c r="S290" s="230">
        <f t="shared" si="217"/>
        <v>0.9901357031469179</v>
      </c>
      <c r="T290" s="230">
        <f t="shared" si="217"/>
        <v>1.0119026890647456</v>
      </c>
      <c r="U290" s="230">
        <f t="shared" si="217"/>
        <v>1.0338771949761025</v>
      </c>
      <c r="V290" s="230">
        <f t="shared" si="217"/>
        <v>1.0560550929598715</v>
      </c>
      <c r="W290" s="230">
        <f t="shared" si="217"/>
        <v>1.0784320712116557</v>
      </c>
      <c r="X290" s="230">
        <f t="shared" si="217"/>
        <v>1.1010169732419393</v>
      </c>
      <c r="Y290" s="230">
        <f t="shared" si="217"/>
        <v>1.1238059909309412</v>
      </c>
      <c r="Z290" s="230">
        <f t="shared" si="217"/>
        <v>1.1467951476483715</v>
      </c>
      <c r="AA290" s="230">
        <f t="shared" si="217"/>
        <v>1.1699802968274702</v>
      </c>
      <c r="AB290" s="230">
        <f t="shared" si="217"/>
        <v>1.1933571205977485</v>
      </c>
      <c r="AC290" s="230">
        <f t="shared" si="217"/>
        <v>1.2169338286817331</v>
      </c>
      <c r="AD290" s="230">
        <f t="shared" si="217"/>
        <v>1.2407065463504794</v>
      </c>
      <c r="AE290" s="230">
        <f t="shared" si="217"/>
        <v>1.2646712402726488</v>
      </c>
      <c r="AF290" s="230">
        <f t="shared" si="217"/>
        <v>1.2888237171549035</v>
      </c>
      <c r="AG290" s="230">
        <f t="shared" si="217"/>
        <v>1.3131596224272659</v>
      </c>
      <c r="AI290" s="214"/>
    </row>
    <row r="291" spans="1:36" s="58" customFormat="1">
      <c r="A291" s="58" t="s">
        <v>1366</v>
      </c>
      <c r="B291" s="303"/>
      <c r="C291" s="304">
        <f>C47</f>
        <v>12.673879407338728</v>
      </c>
      <c r="D291" s="304">
        <f t="shared" ref="D291:AG291" si="218">D47</f>
        <v>13.098726851099091</v>
      </c>
      <c r="E291" s="304">
        <f t="shared" si="218"/>
        <v>13.502427023619299</v>
      </c>
      <c r="F291" s="304">
        <f t="shared" si="218"/>
        <v>13.882209074846781</v>
      </c>
      <c r="G291" s="304">
        <f t="shared" si="218"/>
        <v>14.235413036033478</v>
      </c>
      <c r="H291" s="304">
        <f t="shared" si="218"/>
        <v>14.559520852589715</v>
      </c>
      <c r="I291" s="304">
        <f t="shared" si="218"/>
        <v>14.884229245454527</v>
      </c>
      <c r="J291" s="304">
        <f t="shared" si="218"/>
        <v>15.209244221270575</v>
      </c>
      <c r="K291" s="304">
        <f t="shared" si="218"/>
        <v>15.534264322775988</v>
      </c>
      <c r="L291" s="304">
        <f t="shared" si="218"/>
        <v>15.858981020841343</v>
      </c>
      <c r="M291" s="304">
        <f t="shared" si="218"/>
        <v>16.183079133002487</v>
      </c>
      <c r="N291" s="304">
        <f t="shared" si="218"/>
        <v>16.482620297976691</v>
      </c>
      <c r="O291" s="304">
        <f t="shared" si="218"/>
        <v>16.755943206611072</v>
      </c>
      <c r="P291" s="304">
        <f t="shared" si="218"/>
        <v>17.003077415221018</v>
      </c>
      <c r="Q291" s="304">
        <f t="shared" si="218"/>
        <v>17.221077176414827</v>
      </c>
      <c r="R291" s="304">
        <f t="shared" si="218"/>
        <v>17.408666830870988</v>
      </c>
      <c r="S291" s="304">
        <f t="shared" si="218"/>
        <v>17.596373451177676</v>
      </c>
      <c r="T291" s="304">
        <f t="shared" si="218"/>
        <v>17.784155594713624</v>
      </c>
      <c r="U291" s="304">
        <f t="shared" si="218"/>
        <v>17.971971305653867</v>
      </c>
      <c r="V291" s="304">
        <f t="shared" si="218"/>
        <v>18.159778127980644</v>
      </c>
      <c r="W291" s="304">
        <f t="shared" si="218"/>
        <v>18.347533118941403</v>
      </c>
      <c r="X291" s="304">
        <f t="shared" si="218"/>
        <v>18.53539701719653</v>
      </c>
      <c r="Y291" s="304">
        <f t="shared" si="218"/>
        <v>18.723332463967726</v>
      </c>
      <c r="Z291" s="304">
        <f t="shared" si="218"/>
        <v>18.91392441420172</v>
      </c>
      <c r="AA291" s="304">
        <f t="shared" si="218"/>
        <v>19.104563543864266</v>
      </c>
      <c r="AB291" s="304">
        <f t="shared" si="218"/>
        <v>19.295211185217816</v>
      </c>
      <c r="AC291" s="304">
        <f t="shared" si="218"/>
        <v>19.486012469080805</v>
      </c>
      <c r="AD291" s="304">
        <f t="shared" si="218"/>
        <v>19.676933544754643</v>
      </c>
      <c r="AE291" s="304">
        <f t="shared" si="218"/>
        <v>19.867940168271474</v>
      </c>
      <c r="AF291" s="304">
        <f t="shared" si="218"/>
        <v>20.058997710887009</v>
      </c>
      <c r="AG291" s="304">
        <f t="shared" si="218"/>
        <v>20.250071167846748</v>
      </c>
      <c r="AI291" s="305"/>
      <c r="AJ291" s="306"/>
    </row>
    <row r="292" spans="1:36" s="58" customFormat="1">
      <c r="A292" s="307" t="s">
        <v>3</v>
      </c>
      <c r="B292" s="308" t="s">
        <v>704</v>
      </c>
      <c r="C292" s="309">
        <f>C291-C281</f>
        <v>0</v>
      </c>
      <c r="D292" s="309">
        <f t="shared" ref="D292:AG292" si="219">D291-D281</f>
        <v>0</v>
      </c>
      <c r="E292" s="309">
        <f t="shared" si="219"/>
        <v>0</v>
      </c>
      <c r="F292" s="309">
        <f t="shared" si="219"/>
        <v>0</v>
      </c>
      <c r="G292" s="309">
        <f t="shared" si="219"/>
        <v>0</v>
      </c>
      <c r="H292" s="309">
        <f t="shared" si="219"/>
        <v>0</v>
      </c>
      <c r="I292" s="309">
        <f t="shared" si="219"/>
        <v>0</v>
      </c>
      <c r="J292" s="309">
        <f t="shared" si="219"/>
        <v>0</v>
      </c>
      <c r="K292" s="309">
        <f t="shared" si="219"/>
        <v>0</v>
      </c>
      <c r="L292" s="309">
        <f t="shared" si="219"/>
        <v>0</v>
      </c>
      <c r="M292" s="309">
        <f t="shared" si="219"/>
        <v>0</v>
      </c>
      <c r="N292" s="309">
        <f t="shared" si="219"/>
        <v>0</v>
      </c>
      <c r="O292" s="309">
        <f t="shared" si="219"/>
        <v>0</v>
      </c>
      <c r="P292" s="309">
        <f t="shared" si="219"/>
        <v>1.5735243739349869E-3</v>
      </c>
      <c r="Q292" s="309">
        <f t="shared" si="219"/>
        <v>3.1871027260450546E-3</v>
      </c>
      <c r="R292" s="309">
        <f t="shared" si="219"/>
        <v>4.8322827269764446E-3</v>
      </c>
      <c r="S292" s="309">
        <f t="shared" si="219"/>
        <v>6.5119123680297264E-3</v>
      </c>
      <c r="T292" s="309">
        <f t="shared" si="219"/>
        <v>8.2259953806129715E-3</v>
      </c>
      <c r="U292" s="309">
        <f t="shared" si="219"/>
        <v>9.9745198760388121E-3</v>
      </c>
      <c r="V292" s="309">
        <f t="shared" si="219"/>
        <v>1.1757458123845765E-2</v>
      </c>
      <c r="W292" s="309">
        <f t="shared" si="219"/>
        <v>1.3574766337733024E-2</v>
      </c>
      <c r="X292" s="309">
        <f t="shared" si="219"/>
        <v>1.5426554382138136E-2</v>
      </c>
      <c r="Y292" s="309">
        <f t="shared" si="219"/>
        <v>1.7312808358830978E-2</v>
      </c>
      <c r="Z292" s="309">
        <f t="shared" si="219"/>
        <v>2.1856250130188215E-2</v>
      </c>
      <c r="AA292" s="309">
        <f t="shared" si="219"/>
        <v>2.6485733822145363E-2</v>
      </c>
      <c r="AB292" s="309">
        <f t="shared" si="219"/>
        <v>3.120116997492417E-2</v>
      </c>
      <c r="AC292" s="309">
        <f t="shared" si="219"/>
        <v>3.6002773079875539E-2</v>
      </c>
      <c r="AD292" s="309">
        <f t="shared" si="219"/>
        <v>4.0890519532251091E-2</v>
      </c>
      <c r="AE292" s="309">
        <f t="shared" si="219"/>
        <v>4.5864353584040174E-2</v>
      </c>
      <c r="AF292" s="309">
        <f t="shared" si="219"/>
        <v>5.0924186948833494E-2</v>
      </c>
      <c r="AG292" s="309">
        <f t="shared" si="219"/>
        <v>5.6069898419693232E-2</v>
      </c>
      <c r="AI292" s="305"/>
      <c r="AJ292" s="306"/>
    </row>
    <row r="293" spans="1:36">
      <c r="A293" s="310" t="s">
        <v>51</v>
      </c>
      <c r="B293" s="302" t="s">
        <v>704</v>
      </c>
      <c r="C293" s="249">
        <f>C249</f>
        <v>1.1899030376946831</v>
      </c>
      <c r="D293" s="249">
        <f t="shared" ref="D293:AG293" si="220">D249</f>
        <v>0.94736506612835769</v>
      </c>
      <c r="E293" s="249">
        <f t="shared" si="220"/>
        <v>1.0356736739740038</v>
      </c>
      <c r="F293" s="249">
        <f t="shared" si="220"/>
        <v>1.1264232540648003</v>
      </c>
      <c r="G293" s="249">
        <f t="shared" si="220"/>
        <v>1.2191484181391721</v>
      </c>
      <c r="H293" s="249">
        <f t="shared" si="220"/>
        <v>1.3133403616030952</v>
      </c>
      <c r="I293" s="249">
        <f t="shared" si="220"/>
        <v>1.411489776940724</v>
      </c>
      <c r="J293" s="249">
        <f t="shared" si="220"/>
        <v>1.5136497388604992</v>
      </c>
      <c r="K293" s="249">
        <f t="shared" si="220"/>
        <v>1.619868233759211</v>
      </c>
      <c r="L293" s="249">
        <f t="shared" si="220"/>
        <v>1.7301878340780408</v>
      </c>
      <c r="M293" s="249">
        <f t="shared" si="220"/>
        <v>1.8446453749683873</v>
      </c>
      <c r="N293" s="249">
        <f t="shared" si="220"/>
        <v>2.0146700796575461</v>
      </c>
      <c r="O293" s="249">
        <f t="shared" si="220"/>
        <v>2.1875575061622254</v>
      </c>
      <c r="P293" s="249">
        <f t="shared" si="220"/>
        <v>2.3626759374038593</v>
      </c>
      <c r="Q293" s="249">
        <f t="shared" si="220"/>
        <v>2.5391024768145956</v>
      </c>
      <c r="R293" s="249">
        <f t="shared" si="220"/>
        <v>2.7159820812746869</v>
      </c>
      <c r="S293" s="249">
        <f t="shared" si="220"/>
        <v>2.8976389669175169</v>
      </c>
      <c r="T293" s="249">
        <f t="shared" si="220"/>
        <v>3.0841496203437124</v>
      </c>
      <c r="U293" s="249">
        <f t="shared" si="220"/>
        <v>3.2755903414565157</v>
      </c>
      <c r="V293" s="249">
        <f t="shared" si="220"/>
        <v>3.4720371859727592</v>
      </c>
      <c r="W293" s="249">
        <f t="shared" si="220"/>
        <v>3.6735659065421036</v>
      </c>
      <c r="X293" s="249">
        <f t="shared" si="220"/>
        <v>3.9601720469514916</v>
      </c>
      <c r="Y293" s="249">
        <f t="shared" si="220"/>
        <v>4.2541252138805667</v>
      </c>
      <c r="Z293" s="249">
        <f t="shared" si="220"/>
        <v>4.556160445199926</v>
      </c>
      <c r="AA293" s="249">
        <f t="shared" si="220"/>
        <v>4.8659056099865667</v>
      </c>
      <c r="AB293" s="249">
        <f t="shared" si="220"/>
        <v>5.18348627003685</v>
      </c>
      <c r="AC293" s="249">
        <f t="shared" si="220"/>
        <v>5.5090801126474815</v>
      </c>
      <c r="AD293" s="249">
        <f t="shared" si="220"/>
        <v>5.8428222386667867</v>
      </c>
      <c r="AE293" s="249">
        <f t="shared" si="220"/>
        <v>6.1848481097319983</v>
      </c>
      <c r="AF293" s="249">
        <f t="shared" si="220"/>
        <v>6.5352934753672987</v>
      </c>
      <c r="AG293" s="249">
        <f t="shared" si="220"/>
        <v>6.8942942979595605</v>
      </c>
      <c r="AI293" s="296"/>
    </row>
    <row r="294" spans="1:36" s="68" customFormat="1">
      <c r="A294" s="311" t="s">
        <v>1387</v>
      </c>
      <c r="B294" s="312" t="s">
        <v>704</v>
      </c>
      <c r="C294" s="313">
        <f>C291-C293</f>
        <v>11.483976369644044</v>
      </c>
      <c r="D294" s="313">
        <f t="shared" ref="D294:AG294" si="221">D291-D293</f>
        <v>12.151361784970733</v>
      </c>
      <c r="E294" s="313">
        <f t="shared" si="221"/>
        <v>12.466753349645295</v>
      </c>
      <c r="F294" s="313">
        <f t="shared" si="221"/>
        <v>12.755785820781981</v>
      </c>
      <c r="G294" s="313">
        <f t="shared" si="221"/>
        <v>13.016264617894306</v>
      </c>
      <c r="H294" s="313">
        <f t="shared" si="221"/>
        <v>13.246180490986621</v>
      </c>
      <c r="I294" s="313">
        <f t="shared" si="221"/>
        <v>13.472739468513803</v>
      </c>
      <c r="J294" s="313">
        <f t="shared" si="221"/>
        <v>13.695594482410076</v>
      </c>
      <c r="K294" s="313">
        <f t="shared" si="221"/>
        <v>13.914396089016776</v>
      </c>
      <c r="L294" s="313">
        <f t="shared" si="221"/>
        <v>14.128793186763302</v>
      </c>
      <c r="M294" s="313">
        <f t="shared" si="221"/>
        <v>14.3384337580341</v>
      </c>
      <c r="N294" s="313">
        <f t="shared" si="221"/>
        <v>14.467950218319146</v>
      </c>
      <c r="O294" s="313">
        <f t="shared" si="221"/>
        <v>14.568385700448847</v>
      </c>
      <c r="P294" s="313">
        <f t="shared" si="221"/>
        <v>14.640401477817159</v>
      </c>
      <c r="Q294" s="313">
        <f t="shared" si="221"/>
        <v>14.681974699600232</v>
      </c>
      <c r="R294" s="313">
        <f t="shared" si="221"/>
        <v>14.692684749596301</v>
      </c>
      <c r="S294" s="313">
        <f t="shared" si="221"/>
        <v>14.698734484260159</v>
      </c>
      <c r="T294" s="313">
        <f t="shared" si="221"/>
        <v>14.700005974369912</v>
      </c>
      <c r="U294" s="313">
        <f t="shared" si="221"/>
        <v>14.696380964197351</v>
      </c>
      <c r="V294" s="313">
        <f t="shared" si="221"/>
        <v>14.687740942007885</v>
      </c>
      <c r="W294" s="313">
        <f t="shared" si="221"/>
        <v>14.673967212399299</v>
      </c>
      <c r="X294" s="313">
        <f t="shared" si="221"/>
        <v>14.575224970245038</v>
      </c>
      <c r="Y294" s="313">
        <f t="shared" si="221"/>
        <v>14.469207250087159</v>
      </c>
      <c r="Z294" s="313">
        <f t="shared" si="221"/>
        <v>14.357763969001795</v>
      </c>
      <c r="AA294" s="313">
        <f t="shared" si="221"/>
        <v>14.2386579338777</v>
      </c>
      <c r="AB294" s="313">
        <f t="shared" si="221"/>
        <v>14.111724915180966</v>
      </c>
      <c r="AC294" s="313">
        <f t="shared" si="221"/>
        <v>13.976932356433323</v>
      </c>
      <c r="AD294" s="313">
        <f t="shared" si="221"/>
        <v>13.834111306087856</v>
      </c>
      <c r="AE294" s="313">
        <f t="shared" si="221"/>
        <v>13.683092058539476</v>
      </c>
      <c r="AF294" s="313">
        <f t="shared" si="221"/>
        <v>13.523704235519711</v>
      </c>
      <c r="AG294" s="313">
        <f t="shared" si="221"/>
        <v>13.355776869887187</v>
      </c>
      <c r="AI294" s="314"/>
      <c r="AJ294" s="315"/>
    </row>
    <row r="295" spans="1:36" s="58" customFormat="1" outlineLevel="1">
      <c r="A295" s="307" t="s">
        <v>1367</v>
      </c>
      <c r="B295" s="308" t="s">
        <v>462</v>
      </c>
      <c r="C295" s="309">
        <f>C291*C261</f>
        <v>10.646058702164531</v>
      </c>
      <c r="D295" s="309">
        <f t="shared" ref="D295:AG295" si="222">D291*D261</f>
        <v>11.055325462327632</v>
      </c>
      <c r="E295" s="309">
        <f t="shared" si="222"/>
        <v>11.450058116029165</v>
      </c>
      <c r="F295" s="309">
        <f t="shared" si="222"/>
        <v>11.827642131769457</v>
      </c>
      <c r="G295" s="309">
        <f t="shared" si="222"/>
        <v>12.185513558844656</v>
      </c>
      <c r="H295" s="309">
        <f t="shared" si="222"/>
        <v>12.521187933227155</v>
      </c>
      <c r="I295" s="309">
        <f t="shared" si="222"/>
        <v>12.859974068072711</v>
      </c>
      <c r="J295" s="309">
        <f t="shared" si="222"/>
        <v>13.201623984062859</v>
      </c>
      <c r="K295" s="309">
        <f t="shared" si="222"/>
        <v>13.545878489460661</v>
      </c>
      <c r="L295" s="309">
        <f t="shared" si="222"/>
        <v>13.892467374257016</v>
      </c>
      <c r="M295" s="309">
        <f t="shared" si="222"/>
        <v>14.241109637042188</v>
      </c>
      <c r="N295" s="309">
        <f t="shared" si="222"/>
        <v>14.570636343411396</v>
      </c>
      <c r="O295" s="309">
        <f t="shared" si="222"/>
        <v>14.879277567470632</v>
      </c>
      <c r="P295" s="309">
        <f t="shared" si="222"/>
        <v>15.166745054377149</v>
      </c>
      <c r="Q295" s="309">
        <f t="shared" si="222"/>
        <v>15.430085150067685</v>
      </c>
      <c r="R295" s="309">
        <f t="shared" si="222"/>
        <v>15.66780014778389</v>
      </c>
      <c r="S295" s="309">
        <f t="shared" si="222"/>
        <v>15.90712159986462</v>
      </c>
      <c r="T295" s="309">
        <f t="shared" si="222"/>
        <v>16.148013279999972</v>
      </c>
      <c r="U295" s="309">
        <f t="shared" si="222"/>
        <v>16.390437830756326</v>
      </c>
      <c r="V295" s="309">
        <f t="shared" si="222"/>
        <v>16.634356765230269</v>
      </c>
      <c r="W295" s="309">
        <f t="shared" si="222"/>
        <v>16.879730469426093</v>
      </c>
      <c r="X295" s="309">
        <f t="shared" si="222"/>
        <v>17.126706843889593</v>
      </c>
      <c r="Y295" s="309">
        <f t="shared" si="222"/>
        <v>17.375252526562051</v>
      </c>
      <c r="Z295" s="309">
        <f t="shared" si="222"/>
        <v>17.627777554036005</v>
      </c>
      <c r="AA295" s="309">
        <f t="shared" si="222"/>
        <v>17.881871477056954</v>
      </c>
      <c r="AB295" s="309">
        <f t="shared" si="222"/>
        <v>18.137498514104749</v>
      </c>
      <c r="AC295" s="309">
        <f t="shared" si="222"/>
        <v>18.39479577081228</v>
      </c>
      <c r="AD295" s="309">
        <f t="shared" si="222"/>
        <v>18.653733000427405</v>
      </c>
      <c r="AE295" s="309">
        <f t="shared" si="222"/>
        <v>18.914279040194444</v>
      </c>
      <c r="AF295" s="309">
        <f t="shared" si="222"/>
        <v>19.176401811607981</v>
      </c>
      <c r="AG295" s="309">
        <f t="shared" si="222"/>
        <v>19.440068321132877</v>
      </c>
      <c r="AI295" s="305"/>
      <c r="AJ295" s="339" t="s">
        <v>1363</v>
      </c>
    </row>
    <row r="296" spans="1:36" s="58" customFormat="1" outlineLevel="1">
      <c r="A296" s="307" t="s">
        <v>1368</v>
      </c>
      <c r="B296" s="308" t="s">
        <v>462</v>
      </c>
      <c r="C296" s="309">
        <f>C295*C262</f>
        <v>2.3421329144761969</v>
      </c>
      <c r="D296" s="309">
        <f t="shared" ref="D296:AG296" si="223">D295*D262</f>
        <v>2.5058737714609296</v>
      </c>
      <c r="E296" s="309">
        <f t="shared" si="223"/>
        <v>2.6716802270734714</v>
      </c>
      <c r="F296" s="309">
        <f t="shared" si="223"/>
        <v>2.8386341116246694</v>
      </c>
      <c r="G296" s="309">
        <f t="shared" si="223"/>
        <v>3.0057600111816813</v>
      </c>
      <c r="H296" s="309">
        <f t="shared" si="223"/>
        <v>3.1720342764175458</v>
      </c>
      <c r="I296" s="309">
        <f t="shared" si="223"/>
        <v>3.3435932576989043</v>
      </c>
      <c r="J296" s="309">
        <f t="shared" si="223"/>
        <v>3.5204330624167617</v>
      </c>
      <c r="K296" s="309">
        <f t="shared" si="223"/>
        <v>3.7025401204525794</v>
      </c>
      <c r="L296" s="309">
        <f t="shared" si="223"/>
        <v>3.8898908647919632</v>
      </c>
      <c r="M296" s="309">
        <f t="shared" si="223"/>
        <v>4.0824514292854257</v>
      </c>
      <c r="N296" s="309">
        <f t="shared" si="223"/>
        <v>4.2740533274006749</v>
      </c>
      <c r="O296" s="309">
        <f t="shared" si="223"/>
        <v>4.4637832702411879</v>
      </c>
      <c r="P296" s="309">
        <f t="shared" si="223"/>
        <v>4.6511351500089901</v>
      </c>
      <c r="Q296" s="309">
        <f t="shared" si="223"/>
        <v>4.8347600136878723</v>
      </c>
      <c r="R296" s="309">
        <f t="shared" si="223"/>
        <v>5.0136960472908418</v>
      </c>
      <c r="S296" s="309">
        <f t="shared" si="223"/>
        <v>5.1963263892891067</v>
      </c>
      <c r="T296" s="309">
        <f t="shared" si="223"/>
        <v>5.3826710933333208</v>
      </c>
      <c r="U296" s="309">
        <f t="shared" si="223"/>
        <v>5.5727488624571473</v>
      </c>
      <c r="V296" s="309">
        <f t="shared" si="223"/>
        <v>5.7665770119464899</v>
      </c>
      <c r="W296" s="309">
        <f t="shared" si="223"/>
        <v>5.9641714325305495</v>
      </c>
      <c r="X296" s="309">
        <f t="shared" si="223"/>
        <v>6.1656144638002495</v>
      </c>
      <c r="Y296" s="309">
        <f t="shared" si="223"/>
        <v>6.3709259264060805</v>
      </c>
      <c r="Z296" s="309">
        <f t="shared" si="223"/>
        <v>6.5810369535067705</v>
      </c>
      <c r="AA296" s="309">
        <f t="shared" si="223"/>
        <v>6.7951111612816382</v>
      </c>
      <c r="AB296" s="309">
        <f t="shared" si="223"/>
        <v>7.0131660921204979</v>
      </c>
      <c r="AC296" s="309">
        <f t="shared" si="223"/>
        <v>7.2352863365194917</v>
      </c>
      <c r="AD296" s="309">
        <f t="shared" si="223"/>
        <v>7.4614932001709562</v>
      </c>
      <c r="AE296" s="309">
        <f t="shared" si="223"/>
        <v>7.6918068096790675</v>
      </c>
      <c r="AF296" s="309">
        <f t="shared" si="223"/>
        <v>7.9262460821312928</v>
      </c>
      <c r="AG296" s="309">
        <f t="shared" si="223"/>
        <v>8.1648286948758084</v>
      </c>
      <c r="AI296" s="305"/>
      <c r="AJ296" s="339" t="s">
        <v>1363</v>
      </c>
    </row>
    <row r="297" spans="1:36" s="62" customFormat="1" outlineLevel="1">
      <c r="A297" s="311" t="s">
        <v>1369</v>
      </c>
      <c r="B297" s="312" t="s">
        <v>462</v>
      </c>
      <c r="C297" s="313">
        <f>C295*C263</f>
        <v>8.3039257876883337</v>
      </c>
      <c r="D297" s="313">
        <f t="shared" ref="D297:AG297" si="224">D295*D263</f>
        <v>8.549451690866702</v>
      </c>
      <c r="E297" s="313">
        <f t="shared" si="224"/>
        <v>8.7783778889556938</v>
      </c>
      <c r="F297" s="313">
        <f t="shared" si="224"/>
        <v>8.9890080201447873</v>
      </c>
      <c r="G297" s="313">
        <f t="shared" si="224"/>
        <v>9.1797535476629744</v>
      </c>
      <c r="H297" s="313">
        <f t="shared" si="224"/>
        <v>9.3491536568096105</v>
      </c>
      <c r="I297" s="313">
        <f t="shared" si="224"/>
        <v>9.516380810373807</v>
      </c>
      <c r="J297" s="313">
        <f t="shared" si="224"/>
        <v>9.6811909216460972</v>
      </c>
      <c r="K297" s="313">
        <f t="shared" si="224"/>
        <v>9.843338369008082</v>
      </c>
      <c r="L297" s="313">
        <f t="shared" si="224"/>
        <v>10.002576509465053</v>
      </c>
      <c r="M297" s="313">
        <f t="shared" si="224"/>
        <v>10.158658207756762</v>
      </c>
      <c r="N297" s="313">
        <f t="shared" si="224"/>
        <v>10.296583016010722</v>
      </c>
      <c r="O297" s="313">
        <f t="shared" si="224"/>
        <v>10.415494297229445</v>
      </c>
      <c r="P297" s="313">
        <f t="shared" si="224"/>
        <v>10.515609904368159</v>
      </c>
      <c r="Q297" s="313">
        <f t="shared" si="224"/>
        <v>10.595325136379811</v>
      </c>
      <c r="R297" s="313">
        <f t="shared" si="224"/>
        <v>10.654104100493047</v>
      </c>
      <c r="S297" s="313">
        <f t="shared" si="224"/>
        <v>10.710795210575515</v>
      </c>
      <c r="T297" s="313">
        <f t="shared" si="224"/>
        <v>10.765342186666651</v>
      </c>
      <c r="U297" s="313">
        <f t="shared" si="224"/>
        <v>10.817688968299178</v>
      </c>
      <c r="V297" s="313">
        <f t="shared" si="224"/>
        <v>10.867779753283779</v>
      </c>
      <c r="W297" s="313">
        <f t="shared" si="224"/>
        <v>10.915559036895544</v>
      </c>
      <c r="X297" s="313">
        <f t="shared" si="224"/>
        <v>10.961092380089344</v>
      </c>
      <c r="Y297" s="313">
        <f t="shared" si="224"/>
        <v>11.004326600155968</v>
      </c>
      <c r="Z297" s="313">
        <f t="shared" si="224"/>
        <v>11.046740600529235</v>
      </c>
      <c r="AA297" s="313">
        <f t="shared" si="224"/>
        <v>11.086760315775317</v>
      </c>
      <c r="AB297" s="313">
        <f t="shared" si="224"/>
        <v>11.124332421984251</v>
      </c>
      <c r="AC297" s="313">
        <f t="shared" si="224"/>
        <v>11.159509434292788</v>
      </c>
      <c r="AD297" s="313">
        <f t="shared" si="224"/>
        <v>11.192239800256448</v>
      </c>
      <c r="AE297" s="313">
        <f t="shared" si="224"/>
        <v>11.222472230515377</v>
      </c>
      <c r="AF297" s="313">
        <f t="shared" si="224"/>
        <v>11.250155729476688</v>
      </c>
      <c r="AG297" s="313">
        <f t="shared" si="224"/>
        <v>11.27523962625707</v>
      </c>
      <c r="AI297" s="342"/>
      <c r="AJ297" s="341" t="s">
        <v>1363</v>
      </c>
    </row>
    <row r="298" spans="1:36" s="1" customFormat="1" outlineLevel="1">
      <c r="A298" t="s">
        <v>1370</v>
      </c>
      <c r="B298" s="302" t="s">
        <v>704</v>
      </c>
      <c r="C298" s="249">
        <f>C264*C295</f>
        <v>10.113755767056304</v>
      </c>
      <c r="D298" s="249">
        <f t="shared" ref="D298:AG298" si="225">D264*D295</f>
        <v>10.447282561899613</v>
      </c>
      <c r="E298" s="249">
        <f t="shared" si="225"/>
        <v>10.763054629067415</v>
      </c>
      <c r="F298" s="249">
        <f t="shared" si="225"/>
        <v>11.058845393204441</v>
      </c>
      <c r="G298" s="249">
        <f t="shared" si="225"/>
        <v>11.332527609725529</v>
      </c>
      <c r="H298" s="249">
        <f t="shared" si="225"/>
        <v>11.582098838235117</v>
      </c>
      <c r="I298" s="249">
        <f t="shared" si="225"/>
        <v>11.831176142626893</v>
      </c>
      <c r="J298" s="249">
        <f t="shared" si="225"/>
        <v>12.079485945417515</v>
      </c>
      <c r="K298" s="249">
        <f t="shared" si="225"/>
        <v>12.326749425409201</v>
      </c>
      <c r="L298" s="249">
        <f t="shared" si="225"/>
        <v>12.572682973702598</v>
      </c>
      <c r="M298" s="249">
        <f t="shared" si="225"/>
        <v>12.816998673337968</v>
      </c>
      <c r="N298" s="249">
        <f t="shared" si="225"/>
        <v>13.040719527353199</v>
      </c>
      <c r="O298" s="249">
        <f t="shared" si="225"/>
        <v>13.242557035048861</v>
      </c>
      <c r="P298" s="249">
        <f t="shared" si="225"/>
        <v>13.422569373123775</v>
      </c>
      <c r="Q298" s="249">
        <f t="shared" si="225"/>
        <v>13.57847493205956</v>
      </c>
      <c r="R298" s="249">
        <f t="shared" si="225"/>
        <v>13.709325129310901</v>
      </c>
      <c r="S298" s="249">
        <f t="shared" si="225"/>
        <v>13.839195791882219</v>
      </c>
      <c r="T298" s="249">
        <f t="shared" si="225"/>
        <v>13.968031487199974</v>
      </c>
      <c r="U298" s="249">
        <f t="shared" si="225"/>
        <v>14.095776534450438</v>
      </c>
      <c r="V298" s="249">
        <f t="shared" si="225"/>
        <v>14.222375034271877</v>
      </c>
      <c r="W298" s="249">
        <f t="shared" si="225"/>
        <v>14.347770899012177</v>
      </c>
      <c r="X298" s="249">
        <f t="shared" si="225"/>
        <v>14.472067283086703</v>
      </c>
      <c r="Y298" s="249">
        <f t="shared" si="225"/>
        <v>14.59521212231212</v>
      </c>
      <c r="Z298" s="249">
        <f t="shared" si="225"/>
        <v>14.719194257620062</v>
      </c>
      <c r="AA298" s="249">
        <f t="shared" si="225"/>
        <v>14.841953325957268</v>
      </c>
      <c r="AB298" s="249">
        <f t="shared" si="225"/>
        <v>14.963436274136415</v>
      </c>
      <c r="AC298" s="249">
        <f t="shared" si="225"/>
        <v>15.083732532066067</v>
      </c>
      <c r="AD298" s="249">
        <f t="shared" si="225"/>
        <v>15.202792395348332</v>
      </c>
      <c r="AE298" s="249">
        <f t="shared" si="225"/>
        <v>15.320566022557497</v>
      </c>
      <c r="AF298" s="249">
        <f t="shared" si="225"/>
        <v>15.437003458344421</v>
      </c>
      <c r="AG298" s="249">
        <f t="shared" si="225"/>
        <v>15.552054656906302</v>
      </c>
      <c r="AI298" s="316"/>
      <c r="AJ298" s="211" t="s">
        <v>1363</v>
      </c>
    </row>
    <row r="299" spans="1:36" s="1" customFormat="1" outlineLevel="1">
      <c r="A299" t="s">
        <v>1371</v>
      </c>
      <c r="B299" s="302" t="s">
        <v>704</v>
      </c>
      <c r="C299" s="249">
        <f>C265*C295</f>
        <v>0.53230293510822657</v>
      </c>
      <c r="D299" s="249">
        <f t="shared" ref="D299:AG299" si="226">D265*D295</f>
        <v>0.60804290042801989</v>
      </c>
      <c r="E299" s="249">
        <f t="shared" si="226"/>
        <v>0.68700348696175007</v>
      </c>
      <c r="F299" s="249">
        <f t="shared" si="226"/>
        <v>0.76879673856501485</v>
      </c>
      <c r="G299" s="249">
        <f t="shared" si="226"/>
        <v>0.85298594911912617</v>
      </c>
      <c r="H299" s="249">
        <f t="shared" si="226"/>
        <v>0.93908909499203697</v>
      </c>
      <c r="I299" s="249">
        <f t="shared" si="226"/>
        <v>1.0287979254458173</v>
      </c>
      <c r="J299" s="249">
        <f t="shared" si="226"/>
        <v>1.1221380386453434</v>
      </c>
      <c r="K299" s="249">
        <f t="shared" si="226"/>
        <v>1.21912906405146</v>
      </c>
      <c r="L299" s="249">
        <f t="shared" si="226"/>
        <v>1.3197844005544173</v>
      </c>
      <c r="M299" s="249">
        <f t="shared" si="226"/>
        <v>1.4241109637042195</v>
      </c>
      <c r="N299" s="249">
        <f t="shared" si="226"/>
        <v>1.5299168160581973</v>
      </c>
      <c r="O299" s="249">
        <f t="shared" si="226"/>
        <v>1.6367205324217704</v>
      </c>
      <c r="P299" s="249">
        <f t="shared" si="226"/>
        <v>1.7441756812533731</v>
      </c>
      <c r="Q299" s="249">
        <f t="shared" si="226"/>
        <v>1.8516102180081231</v>
      </c>
      <c r="R299" s="249">
        <f t="shared" si="226"/>
        <v>1.9584750184729871</v>
      </c>
      <c r="S299" s="249">
        <f t="shared" si="226"/>
        <v>2.0679258079824017</v>
      </c>
      <c r="T299" s="249">
        <f t="shared" si="226"/>
        <v>2.1799817927999974</v>
      </c>
      <c r="U299" s="249">
        <f t="shared" si="226"/>
        <v>2.294661296305887</v>
      </c>
      <c r="V299" s="249">
        <f t="shared" si="226"/>
        <v>2.4119817309583902</v>
      </c>
      <c r="W299" s="249">
        <f t="shared" si="226"/>
        <v>2.5319595704139153</v>
      </c>
      <c r="X299" s="249">
        <f t="shared" si="226"/>
        <v>2.6546395608028885</v>
      </c>
      <c r="Y299" s="249">
        <f t="shared" si="226"/>
        <v>2.7800404042499296</v>
      </c>
      <c r="Z299" s="249">
        <f t="shared" si="226"/>
        <v>2.9085832964159422</v>
      </c>
      <c r="AA299" s="249">
        <f t="shared" si="226"/>
        <v>3.039918151099684</v>
      </c>
      <c r="AB299" s="249">
        <f t="shared" si="226"/>
        <v>3.1740622399683329</v>
      </c>
      <c r="AC299" s="249">
        <f t="shared" si="226"/>
        <v>3.3110632387462124</v>
      </c>
      <c r="AD299" s="249">
        <f t="shared" si="226"/>
        <v>3.4509406050790719</v>
      </c>
      <c r="AE299" s="249">
        <f t="shared" si="226"/>
        <v>3.5937130176369463</v>
      </c>
      <c r="AF299" s="249">
        <f t="shared" si="226"/>
        <v>3.7393983532635584</v>
      </c>
      <c r="AG299" s="249">
        <f t="shared" si="226"/>
        <v>3.8880136642265755</v>
      </c>
      <c r="AI299" s="316"/>
      <c r="AJ299" s="211" t="s">
        <v>1363</v>
      </c>
    </row>
    <row r="300" spans="1:36" s="1" customFormat="1" outlineLevel="1">
      <c r="A300" t="s">
        <v>1372</v>
      </c>
      <c r="B300" s="302" t="s">
        <v>704</v>
      </c>
      <c r="C300" s="249">
        <f>C298*C266</f>
        <v>1.5170633650584455</v>
      </c>
      <c r="D300" s="249">
        <f t="shared" ref="D300:AG300" si="227">D298*D266</f>
        <v>1.6332585071769727</v>
      </c>
      <c r="E300" s="249">
        <f t="shared" si="227"/>
        <v>1.7507902196616327</v>
      </c>
      <c r="F300" s="249">
        <f t="shared" si="227"/>
        <v>1.8689448714515504</v>
      </c>
      <c r="G300" s="249">
        <f t="shared" si="227"/>
        <v>1.9869698409052092</v>
      </c>
      <c r="H300" s="249">
        <f t="shared" si="227"/>
        <v>2.1040812889460461</v>
      </c>
      <c r="I300" s="249">
        <f t="shared" si="227"/>
        <v>2.2242611148138556</v>
      </c>
      <c r="J300" s="249">
        <f t="shared" si="227"/>
        <v>2.3474467687261367</v>
      </c>
      <c r="K300" s="249">
        <f t="shared" si="227"/>
        <v>2.4735677180321125</v>
      </c>
      <c r="L300" s="249">
        <f t="shared" si="227"/>
        <v>2.6025453755564372</v>
      </c>
      <c r="M300" s="249">
        <f t="shared" si="227"/>
        <v>2.7342930503120995</v>
      </c>
      <c r="N300" s="249">
        <f t="shared" si="227"/>
        <v>2.8646113895085854</v>
      </c>
      <c r="O300" s="249">
        <f t="shared" si="227"/>
        <v>2.9928178899210418</v>
      </c>
      <c r="P300" s="249">
        <f t="shared" si="227"/>
        <v>3.1185102843557564</v>
      </c>
      <c r="Q300" s="249">
        <f t="shared" si="227"/>
        <v>3.2407293504515478</v>
      </c>
      <c r="R300" s="249">
        <f t="shared" si="227"/>
        <v>3.3587846566811699</v>
      </c>
      <c r="S300" s="249">
        <f t="shared" si="227"/>
        <v>3.4782512090263973</v>
      </c>
      <c r="T300" s="249">
        <f t="shared" si="227"/>
        <v>3.5990961132018597</v>
      </c>
      <c r="U300" s="249">
        <f t="shared" si="227"/>
        <v>3.721285005094916</v>
      </c>
      <c r="V300" s="249">
        <f t="shared" si="227"/>
        <v>3.8447820509314981</v>
      </c>
      <c r="W300" s="249">
        <f t="shared" si="227"/>
        <v>3.9695499487267032</v>
      </c>
      <c r="X300" s="249">
        <f t="shared" si="227"/>
        <v>4.0955950411135387</v>
      </c>
      <c r="Y300" s="249">
        <f t="shared" si="227"/>
        <v>4.2228813740556417</v>
      </c>
      <c r="Z300" s="249">
        <f t="shared" si="227"/>
        <v>4.3519751021696669</v>
      </c>
      <c r="AA300" s="249">
        <f t="shared" si="227"/>
        <v>4.4822699044390975</v>
      </c>
      <c r="AB300" s="249">
        <f t="shared" si="227"/>
        <v>4.6137261845253974</v>
      </c>
      <c r="AC300" s="249">
        <f t="shared" si="227"/>
        <v>4.7463478367567919</v>
      </c>
      <c r="AD300" s="249">
        <f t="shared" si="227"/>
        <v>4.880096358906818</v>
      </c>
      <c r="AE300" s="249">
        <f t="shared" si="227"/>
        <v>5.0149319447171576</v>
      </c>
      <c r="AF300" s="249">
        <f t="shared" si="227"/>
        <v>5.1508134872675928</v>
      </c>
      <c r="AG300" s="249">
        <f t="shared" si="227"/>
        <v>5.2876985833481429</v>
      </c>
      <c r="AI300" s="316"/>
      <c r="AJ300" s="211" t="s">
        <v>1363</v>
      </c>
    </row>
    <row r="301" spans="1:36" s="1" customFormat="1" outlineLevel="1">
      <c r="A301" t="s">
        <v>1373</v>
      </c>
      <c r="B301" s="302" t="s">
        <v>704</v>
      </c>
      <c r="C301" s="249">
        <f>C298*C267</f>
        <v>8.5966924019978581</v>
      </c>
      <c r="D301" s="249">
        <f t="shared" ref="D301:AG301" si="228">D298*D267</f>
        <v>8.8140240547226405</v>
      </c>
      <c r="E301" s="249">
        <f t="shared" si="228"/>
        <v>9.0122644094057822</v>
      </c>
      <c r="F301" s="249">
        <f t="shared" si="228"/>
        <v>9.1899005217528913</v>
      </c>
      <c r="G301" s="249">
        <f t="shared" si="228"/>
        <v>9.3455577688203206</v>
      </c>
      <c r="H301" s="249">
        <f t="shared" si="228"/>
        <v>9.4780175492890724</v>
      </c>
      <c r="I301" s="249">
        <f t="shared" si="228"/>
        <v>9.606915027813038</v>
      </c>
      <c r="J301" s="249">
        <f t="shared" si="228"/>
        <v>9.7320391766913801</v>
      </c>
      <c r="K301" s="249">
        <f t="shared" si="228"/>
        <v>9.8531817073770913</v>
      </c>
      <c r="L301" s="249">
        <f t="shared" si="228"/>
        <v>9.9701375981461631</v>
      </c>
      <c r="M301" s="249">
        <f t="shared" si="228"/>
        <v>10.082705623025872</v>
      </c>
      <c r="N301" s="249">
        <f t="shared" si="228"/>
        <v>10.176108137844617</v>
      </c>
      <c r="O301" s="249">
        <f t="shared" si="228"/>
        <v>10.249739145127823</v>
      </c>
      <c r="P301" s="249">
        <f t="shared" si="228"/>
        <v>10.304059088768023</v>
      </c>
      <c r="Q301" s="249">
        <f t="shared" si="228"/>
        <v>10.337745581608017</v>
      </c>
      <c r="R301" s="249">
        <f t="shared" si="228"/>
        <v>10.350540472629737</v>
      </c>
      <c r="S301" s="249">
        <f t="shared" si="228"/>
        <v>10.360944582855828</v>
      </c>
      <c r="T301" s="249">
        <f t="shared" si="228"/>
        <v>10.368935373998122</v>
      </c>
      <c r="U301" s="249">
        <f t="shared" si="228"/>
        <v>10.374491529355531</v>
      </c>
      <c r="V301" s="249">
        <f t="shared" si="228"/>
        <v>10.377592983340389</v>
      </c>
      <c r="W301" s="249">
        <f t="shared" si="228"/>
        <v>10.378220950285483</v>
      </c>
      <c r="X301" s="249">
        <f t="shared" si="228"/>
        <v>10.376472241973175</v>
      </c>
      <c r="Y301" s="249">
        <f t="shared" si="228"/>
        <v>10.372330748256489</v>
      </c>
      <c r="Z301" s="249">
        <f t="shared" si="228"/>
        <v>10.367219155450407</v>
      </c>
      <c r="AA301" s="249">
        <f t="shared" si="228"/>
        <v>10.359683421518184</v>
      </c>
      <c r="AB301" s="249">
        <f t="shared" si="228"/>
        <v>10.349710089611031</v>
      </c>
      <c r="AC301" s="249">
        <f t="shared" si="228"/>
        <v>10.337384695309289</v>
      </c>
      <c r="AD301" s="249">
        <f t="shared" si="228"/>
        <v>10.322696036441529</v>
      </c>
      <c r="AE301" s="249">
        <f t="shared" si="228"/>
        <v>10.305634077840356</v>
      </c>
      <c r="AF301" s="249">
        <f t="shared" si="228"/>
        <v>10.286189971076846</v>
      </c>
      <c r="AG301" s="249">
        <f t="shared" si="228"/>
        <v>10.26435607355816</v>
      </c>
      <c r="AI301" s="316"/>
      <c r="AJ301" s="211" t="s">
        <v>1363</v>
      </c>
    </row>
    <row r="302" spans="1:36" s="1" customFormat="1" outlineLevel="1">
      <c r="A302" t="s">
        <v>1374</v>
      </c>
      <c r="B302" s="302" t="s">
        <v>704</v>
      </c>
      <c r="C302" s="249">
        <f>C268*C301</f>
        <v>0</v>
      </c>
      <c r="D302" s="249">
        <f t="shared" ref="D302:AG302" si="229">D268*D301</f>
        <v>0</v>
      </c>
      <c r="E302" s="249">
        <f t="shared" si="229"/>
        <v>0</v>
      </c>
      <c r="F302" s="249">
        <f t="shared" si="229"/>
        <v>0</v>
      </c>
      <c r="G302" s="249">
        <f t="shared" si="229"/>
        <v>0</v>
      </c>
      <c r="H302" s="249">
        <f t="shared" si="229"/>
        <v>0</v>
      </c>
      <c r="I302" s="249">
        <f t="shared" si="229"/>
        <v>0</v>
      </c>
      <c r="J302" s="249">
        <f t="shared" si="229"/>
        <v>0</v>
      </c>
      <c r="K302" s="249">
        <f t="shared" si="229"/>
        <v>0</v>
      </c>
      <c r="L302" s="249">
        <f t="shared" si="229"/>
        <v>0</v>
      </c>
      <c r="M302" s="249">
        <f t="shared" si="229"/>
        <v>0</v>
      </c>
      <c r="N302" s="249">
        <f t="shared" si="229"/>
        <v>0</v>
      </c>
      <c r="O302" s="249">
        <f t="shared" si="229"/>
        <v>0</v>
      </c>
      <c r="P302" s="249">
        <f t="shared" si="229"/>
        <v>0</v>
      </c>
      <c r="Q302" s="249">
        <f t="shared" si="229"/>
        <v>0</v>
      </c>
      <c r="R302" s="249">
        <f t="shared" si="229"/>
        <v>0</v>
      </c>
      <c r="S302" s="249">
        <f t="shared" si="229"/>
        <v>0</v>
      </c>
      <c r="T302" s="249">
        <f t="shared" si="229"/>
        <v>0</v>
      </c>
      <c r="U302" s="249">
        <f t="shared" si="229"/>
        <v>0</v>
      </c>
      <c r="V302" s="249">
        <f t="shared" si="229"/>
        <v>0</v>
      </c>
      <c r="W302" s="249">
        <f t="shared" si="229"/>
        <v>0</v>
      </c>
      <c r="X302" s="249">
        <f t="shared" si="229"/>
        <v>0</v>
      </c>
      <c r="Y302" s="249">
        <f t="shared" si="229"/>
        <v>0</v>
      </c>
      <c r="Z302" s="249">
        <f t="shared" si="229"/>
        <v>0</v>
      </c>
      <c r="AA302" s="249">
        <f t="shared" si="229"/>
        <v>0</v>
      </c>
      <c r="AB302" s="249">
        <f t="shared" si="229"/>
        <v>0</v>
      </c>
      <c r="AC302" s="249">
        <f t="shared" si="229"/>
        <v>0</v>
      </c>
      <c r="AD302" s="249">
        <f t="shared" si="229"/>
        <v>0</v>
      </c>
      <c r="AE302" s="249">
        <f t="shared" si="229"/>
        <v>0</v>
      </c>
      <c r="AF302" s="249">
        <f t="shared" si="229"/>
        <v>0</v>
      </c>
      <c r="AG302" s="249">
        <f t="shared" si="229"/>
        <v>0</v>
      </c>
      <c r="AI302" s="316"/>
      <c r="AJ302" s="211" t="s">
        <v>1363</v>
      </c>
    </row>
    <row r="303" spans="1:36" s="1" customFormat="1" outlineLevel="1">
      <c r="A303" t="s">
        <v>1388</v>
      </c>
      <c r="B303" s="302" t="s">
        <v>704</v>
      </c>
      <c r="C303" s="249">
        <f>C269*C301</f>
        <v>8.5966924019978581</v>
      </c>
      <c r="D303" s="249">
        <f t="shared" ref="D303:AG303" si="230">D269*D301</f>
        <v>8.8140240547226405</v>
      </c>
      <c r="E303" s="249">
        <f t="shared" si="230"/>
        <v>9.0122644094057822</v>
      </c>
      <c r="F303" s="249">
        <f t="shared" si="230"/>
        <v>9.1899005217528913</v>
      </c>
      <c r="G303" s="249">
        <f t="shared" si="230"/>
        <v>9.3455577688203206</v>
      </c>
      <c r="H303" s="249">
        <f t="shared" si="230"/>
        <v>9.4780175492890724</v>
      </c>
      <c r="I303" s="249">
        <f t="shared" si="230"/>
        <v>9.606915027813038</v>
      </c>
      <c r="J303" s="249">
        <f t="shared" si="230"/>
        <v>9.7320391766913801</v>
      </c>
      <c r="K303" s="249">
        <f t="shared" si="230"/>
        <v>9.8531817073770913</v>
      </c>
      <c r="L303" s="249">
        <f t="shared" si="230"/>
        <v>9.9701375981461631</v>
      </c>
      <c r="M303" s="249">
        <f t="shared" si="230"/>
        <v>10.082705623025872</v>
      </c>
      <c r="N303" s="249">
        <f t="shared" si="230"/>
        <v>10.176108137844617</v>
      </c>
      <c r="O303" s="249">
        <f t="shared" si="230"/>
        <v>10.249739145127823</v>
      </c>
      <c r="P303" s="249">
        <f t="shared" si="230"/>
        <v>10.304059088768023</v>
      </c>
      <c r="Q303" s="249">
        <f t="shared" si="230"/>
        <v>10.337745581608017</v>
      </c>
      <c r="R303" s="249">
        <f t="shared" si="230"/>
        <v>10.350540472629737</v>
      </c>
      <c r="S303" s="249">
        <f t="shared" si="230"/>
        <v>10.360944582855828</v>
      </c>
      <c r="T303" s="249">
        <f t="shared" si="230"/>
        <v>10.368935373998122</v>
      </c>
      <c r="U303" s="249">
        <f t="shared" si="230"/>
        <v>10.374491529355531</v>
      </c>
      <c r="V303" s="249">
        <f t="shared" si="230"/>
        <v>10.377592983340389</v>
      </c>
      <c r="W303" s="249">
        <f t="shared" si="230"/>
        <v>10.378220950285483</v>
      </c>
      <c r="X303" s="249">
        <f t="shared" si="230"/>
        <v>10.376472241973175</v>
      </c>
      <c r="Y303" s="249">
        <f t="shared" si="230"/>
        <v>10.372330748256489</v>
      </c>
      <c r="Z303" s="249">
        <f t="shared" si="230"/>
        <v>10.367219155450407</v>
      </c>
      <c r="AA303" s="249">
        <f t="shared" si="230"/>
        <v>10.359683421518184</v>
      </c>
      <c r="AB303" s="249">
        <f t="shared" si="230"/>
        <v>10.349710089611031</v>
      </c>
      <c r="AC303" s="249">
        <f t="shared" si="230"/>
        <v>10.337384695309289</v>
      </c>
      <c r="AD303" s="249">
        <f t="shared" si="230"/>
        <v>10.322696036441529</v>
      </c>
      <c r="AE303" s="249">
        <f t="shared" si="230"/>
        <v>10.305634077840356</v>
      </c>
      <c r="AF303" s="249">
        <f t="shared" si="230"/>
        <v>10.286189971076846</v>
      </c>
      <c r="AG303" s="249">
        <f t="shared" si="230"/>
        <v>10.26435607355816</v>
      </c>
      <c r="AI303" s="316"/>
      <c r="AJ303" s="211" t="s">
        <v>1363</v>
      </c>
    </row>
    <row r="304" spans="1:36" s="1" customFormat="1" outlineLevel="1">
      <c r="A304" t="s">
        <v>1376</v>
      </c>
      <c r="B304" s="302" t="s">
        <v>704</v>
      </c>
      <c r="C304" s="249">
        <f>C270*(C302+C300)</f>
        <v>1.2136506920467565</v>
      </c>
      <c r="D304" s="249">
        <f t="shared" ref="D304:AG304" si="231">D270*(D302+D300)</f>
        <v>1.3120510007655015</v>
      </c>
      <c r="E304" s="249">
        <f t="shared" si="231"/>
        <v>1.4123041105270504</v>
      </c>
      <c r="F304" s="249">
        <f t="shared" si="231"/>
        <v>1.5138453458757557</v>
      </c>
      <c r="G304" s="249">
        <f t="shared" si="231"/>
        <v>1.6160688039362368</v>
      </c>
      <c r="H304" s="249">
        <f t="shared" si="231"/>
        <v>1.7183330526392706</v>
      </c>
      <c r="I304" s="249">
        <f t="shared" si="231"/>
        <v>1.8238941141473612</v>
      </c>
      <c r="J304" s="249">
        <f t="shared" si="231"/>
        <v>1.932731172917852</v>
      </c>
      <c r="K304" s="249">
        <f t="shared" si="231"/>
        <v>2.0448159802398793</v>
      </c>
      <c r="L304" s="249">
        <f t="shared" si="231"/>
        <v>2.160112661711842</v>
      </c>
      <c r="M304" s="249">
        <f t="shared" si="231"/>
        <v>2.2785775419267487</v>
      </c>
      <c r="N304" s="249">
        <f t="shared" si="231"/>
        <v>2.3967248625555153</v>
      </c>
      <c r="O304" s="249">
        <f t="shared" si="231"/>
        <v>2.5139670275336741</v>
      </c>
      <c r="P304" s="249">
        <f t="shared" si="231"/>
        <v>2.6299436731400201</v>
      </c>
      <c r="Q304" s="249">
        <f t="shared" si="231"/>
        <v>2.7438175167156422</v>
      </c>
      <c r="R304" s="249">
        <f t="shared" si="231"/>
        <v>2.8549669581789927</v>
      </c>
      <c r="S304" s="249">
        <f t="shared" si="231"/>
        <v>2.9681076983691908</v>
      </c>
      <c r="T304" s="249">
        <f t="shared" si="231"/>
        <v>3.083225670309591</v>
      </c>
      <c r="U304" s="249">
        <f t="shared" si="231"/>
        <v>3.2003051043816257</v>
      </c>
      <c r="V304" s="249">
        <f t="shared" si="231"/>
        <v>3.3193285039708575</v>
      </c>
      <c r="W304" s="249">
        <f t="shared" si="231"/>
        <v>3.4402766222298071</v>
      </c>
      <c r="X304" s="249">
        <f t="shared" si="231"/>
        <v>3.563167685768776</v>
      </c>
      <c r="Y304" s="249">
        <f t="shared" si="231"/>
        <v>3.6879830666752573</v>
      </c>
      <c r="Z304" s="249">
        <f t="shared" si="231"/>
        <v>3.815231506235405</v>
      </c>
      <c r="AA304" s="249">
        <f t="shared" si="231"/>
        <v>3.9443975159064024</v>
      </c>
      <c r="AB304" s="249">
        <f t="shared" si="231"/>
        <v>4.0754581296640975</v>
      </c>
      <c r="AC304" s="249">
        <f t="shared" si="231"/>
        <v>4.2084284152576847</v>
      </c>
      <c r="AD304" s="249">
        <f t="shared" si="231"/>
        <v>4.3432857594270642</v>
      </c>
      <c r="AE304" s="249">
        <f t="shared" si="231"/>
        <v>4.48000587061399</v>
      </c>
      <c r="AF304" s="249">
        <f t="shared" si="231"/>
        <v>4.6185627602499366</v>
      </c>
      <c r="AG304" s="249">
        <f t="shared" si="231"/>
        <v>4.7589287250133285</v>
      </c>
      <c r="AH304" s="249"/>
      <c r="AI304" s="316"/>
      <c r="AJ304" s="211" t="s">
        <v>1363</v>
      </c>
    </row>
    <row r="305" spans="1:36" s="1" customFormat="1" outlineLevel="1">
      <c r="A305" t="s">
        <v>1377</v>
      </c>
      <c r="B305" s="302" t="s">
        <v>704</v>
      </c>
      <c r="C305" s="249">
        <f>C271*(C302+C300)</f>
        <v>0.30341267301168912</v>
      </c>
      <c r="D305" s="249">
        <f t="shared" ref="D305:AG305" si="232">D271*(D302+D300)</f>
        <v>0.32120750641147133</v>
      </c>
      <c r="E305" s="249">
        <f t="shared" si="232"/>
        <v>0.33848610913458238</v>
      </c>
      <c r="F305" s="249">
        <f t="shared" si="232"/>
        <v>0.35509952557579466</v>
      </c>
      <c r="G305" s="249">
        <f t="shared" si="232"/>
        <v>0.37090103696897248</v>
      </c>
      <c r="H305" s="249">
        <f t="shared" si="232"/>
        <v>0.38574823630677518</v>
      </c>
      <c r="I305" s="249">
        <f t="shared" si="232"/>
        <v>0.40036700066649411</v>
      </c>
      <c r="J305" s="249">
        <f t="shared" si="232"/>
        <v>0.41471559580828427</v>
      </c>
      <c r="K305" s="249">
        <f t="shared" si="232"/>
        <v>0.42875173779223297</v>
      </c>
      <c r="L305" s="249">
        <f t="shared" si="232"/>
        <v>0.44243271384459448</v>
      </c>
      <c r="M305" s="249">
        <f t="shared" si="232"/>
        <v>0.45571550838535013</v>
      </c>
      <c r="N305" s="249">
        <f t="shared" si="232"/>
        <v>0.4678865269530692</v>
      </c>
      <c r="O305" s="249">
        <f t="shared" si="232"/>
        <v>0.47885086238736696</v>
      </c>
      <c r="P305" s="249">
        <f t="shared" si="232"/>
        <v>0.48856661121573547</v>
      </c>
      <c r="Q305" s="249">
        <f t="shared" si="232"/>
        <v>0.49691183373590431</v>
      </c>
      <c r="R305" s="249">
        <f t="shared" si="232"/>
        <v>0.50381769850217584</v>
      </c>
      <c r="S305" s="249">
        <f t="shared" si="232"/>
        <v>0.51014351065720531</v>
      </c>
      <c r="T305" s="249">
        <f t="shared" si="232"/>
        <v>0.51587044289226702</v>
      </c>
      <c r="U305" s="249">
        <f t="shared" si="232"/>
        <v>0.5209799007132887</v>
      </c>
      <c r="V305" s="249">
        <f t="shared" si="232"/>
        <v>0.52545354696063862</v>
      </c>
      <c r="W305" s="249">
        <f t="shared" si="232"/>
        <v>0.52927332649689429</v>
      </c>
      <c r="X305" s="249">
        <f t="shared" si="232"/>
        <v>0.5324273553447606</v>
      </c>
      <c r="Y305" s="249">
        <f t="shared" si="232"/>
        <v>0.53489830738038191</v>
      </c>
      <c r="Z305" s="249">
        <f t="shared" si="232"/>
        <v>0.53674359593425958</v>
      </c>
      <c r="AA305" s="249">
        <f t="shared" si="232"/>
        <v>0.53787238853269237</v>
      </c>
      <c r="AB305" s="249">
        <f t="shared" si="232"/>
        <v>0.53826805486129714</v>
      </c>
      <c r="AC305" s="249">
        <f t="shared" si="232"/>
        <v>0.53791942149910388</v>
      </c>
      <c r="AD305" s="249">
        <f t="shared" si="232"/>
        <v>0.53681059947975085</v>
      </c>
      <c r="AE305" s="249">
        <f t="shared" si="232"/>
        <v>0.5349260741031644</v>
      </c>
      <c r="AF305" s="249">
        <f t="shared" si="232"/>
        <v>0.5322507270176523</v>
      </c>
      <c r="AG305" s="249">
        <f t="shared" si="232"/>
        <v>0.52876985833481427</v>
      </c>
      <c r="AI305" s="316"/>
      <c r="AJ305" s="211" t="s">
        <v>1363</v>
      </c>
    </row>
    <row r="306" spans="1:36" s="1" customFormat="1" outlineLevel="1">
      <c r="A306" t="s">
        <v>1378</v>
      </c>
      <c r="B306" s="302" t="s">
        <v>704</v>
      </c>
      <c r="C306" s="249">
        <f>C299*C272</f>
        <v>0.50568778835281525</v>
      </c>
      <c r="D306" s="249">
        <f t="shared" ref="D306:AG306" si="233">D299*D272</f>
        <v>0.5768300315393815</v>
      </c>
      <c r="E306" s="249">
        <f t="shared" si="233"/>
        <v>0.65082130331509791</v>
      </c>
      <c r="F306" s="249">
        <f t="shared" si="233"/>
        <v>0.72728171468250413</v>
      </c>
      <c r="G306" s="249">
        <f t="shared" si="233"/>
        <v>0.80578739326786797</v>
      </c>
      <c r="H306" s="249">
        <f t="shared" si="233"/>
        <v>0.88587404627582167</v>
      </c>
      <c r="I306" s="249">
        <f t="shared" si="233"/>
        <v>0.96912764576996002</v>
      </c>
      <c r="J306" s="249">
        <f t="shared" si="233"/>
        <v>1.0555578483523866</v>
      </c>
      <c r="K306" s="249">
        <f t="shared" si="233"/>
        <v>1.1451685674990051</v>
      </c>
      <c r="L306" s="249">
        <f t="shared" si="233"/>
        <v>1.2379577677200437</v>
      </c>
      <c r="M306" s="249">
        <f t="shared" si="233"/>
        <v>1.333917269336286</v>
      </c>
      <c r="N306" s="249">
        <f t="shared" si="233"/>
        <v>1.4309821952864343</v>
      </c>
      <c r="O306" s="249">
        <f t="shared" si="233"/>
        <v>1.5286969772819341</v>
      </c>
      <c r="P306" s="249">
        <f t="shared" si="233"/>
        <v>1.6267345187156468</v>
      </c>
      <c r="Q306" s="249">
        <f t="shared" si="233"/>
        <v>1.7244663163715661</v>
      </c>
      <c r="R306" s="249">
        <f t="shared" si="233"/>
        <v>1.8213817671798789</v>
      </c>
      <c r="S306" s="249">
        <f t="shared" si="233"/>
        <v>1.9204137670129915</v>
      </c>
      <c r="T306" s="249">
        <f t="shared" si="233"/>
        <v>2.0215697825231986</v>
      </c>
      <c r="U306" s="249">
        <f t="shared" si="233"/>
        <v>2.1248563603792525</v>
      </c>
      <c r="V306" s="249">
        <f t="shared" si="233"/>
        <v>2.2302791072261932</v>
      </c>
      <c r="W306" s="249">
        <f t="shared" si="233"/>
        <v>2.3378426700155166</v>
      </c>
      <c r="X306" s="249">
        <f t="shared" si="233"/>
        <v>2.4475776750602649</v>
      </c>
      <c r="Y306" s="249">
        <f t="shared" si="233"/>
        <v>2.5594905321794372</v>
      </c>
      <c r="Z306" s="249">
        <f t="shared" si="233"/>
        <v>2.6739575771717252</v>
      </c>
      <c r="AA306" s="249">
        <f t="shared" si="233"/>
        <v>2.7906448627095122</v>
      </c>
      <c r="AB306" s="249">
        <f t="shared" si="233"/>
        <v>2.909557053304308</v>
      </c>
      <c r="AC306" s="249">
        <f t="shared" si="233"/>
        <v>3.0307265511990362</v>
      </c>
      <c r="AD306" s="249">
        <f t="shared" si="233"/>
        <v>3.1541597130422749</v>
      </c>
      <c r="AE306" s="249">
        <f t="shared" si="233"/>
        <v>3.2798620807633232</v>
      </c>
      <c r="AF306" s="249">
        <f t="shared" si="233"/>
        <v>3.4078383659408598</v>
      </c>
      <c r="AG306" s="249">
        <f t="shared" si="233"/>
        <v>3.5380924344461837</v>
      </c>
      <c r="AI306" s="316"/>
      <c r="AJ306" s="211" t="s">
        <v>1363</v>
      </c>
    </row>
    <row r="307" spans="1:36" s="1" customFormat="1" outlineLevel="1">
      <c r="A307" t="s">
        <v>1389</v>
      </c>
      <c r="B307" s="302" t="s">
        <v>704</v>
      </c>
      <c r="C307" s="249">
        <f>C299*C273</f>
        <v>2.661514675541133E-2</v>
      </c>
      <c r="D307" s="249">
        <f t="shared" ref="D307:AG307" si="234">D299*D273</f>
        <v>3.1212868888638355E-2</v>
      </c>
      <c r="E307" s="249">
        <f t="shared" si="234"/>
        <v>3.6182183646652169E-2</v>
      </c>
      <c r="F307" s="249">
        <f t="shared" si="234"/>
        <v>4.1515023882510799E-2</v>
      </c>
      <c r="G307" s="249">
        <f t="shared" si="234"/>
        <v>4.719855585125831E-2</v>
      </c>
      <c r="H307" s="249">
        <f t="shared" si="234"/>
        <v>5.3215048716215428E-2</v>
      </c>
      <c r="I307" s="249">
        <f t="shared" si="234"/>
        <v>5.9670279675857398E-2</v>
      </c>
      <c r="J307" s="249">
        <f t="shared" si="234"/>
        <v>6.6580190292957045E-2</v>
      </c>
      <c r="K307" s="249">
        <f t="shared" si="234"/>
        <v>7.3960496552455235E-2</v>
      </c>
      <c r="L307" s="249">
        <f t="shared" si="234"/>
        <v>8.1826632834373858E-2</v>
      </c>
      <c r="M307" s="249">
        <f t="shared" si="234"/>
        <v>9.0193694367933896E-2</v>
      </c>
      <c r="N307" s="249">
        <f t="shared" si="234"/>
        <v>9.8934620771763418E-2</v>
      </c>
      <c r="O307" s="249">
        <f t="shared" si="234"/>
        <v>0.10802355513983686</v>
      </c>
      <c r="P307" s="249">
        <f t="shared" si="234"/>
        <v>0.11744116253772714</v>
      </c>
      <c r="Q307" s="249">
        <f t="shared" si="234"/>
        <v>0.12714390163655781</v>
      </c>
      <c r="R307" s="249">
        <f t="shared" si="234"/>
        <v>0.13709325129310915</v>
      </c>
      <c r="S307" s="249">
        <f t="shared" si="234"/>
        <v>0.14751204096941137</v>
      </c>
      <c r="T307" s="249">
        <f t="shared" si="234"/>
        <v>0.15841201027679988</v>
      </c>
      <c r="U307" s="249">
        <f t="shared" si="234"/>
        <v>0.16980493592663573</v>
      </c>
      <c r="V307" s="249">
        <f t="shared" si="234"/>
        <v>0.18170262373219884</v>
      </c>
      <c r="W307" s="249">
        <f t="shared" si="234"/>
        <v>0.19411690039840029</v>
      </c>
      <c r="X307" s="249">
        <f t="shared" si="234"/>
        <v>0.20706188574262546</v>
      </c>
      <c r="Y307" s="249">
        <f t="shared" si="234"/>
        <v>0.22054987207049459</v>
      </c>
      <c r="Z307" s="249">
        <f t="shared" si="234"/>
        <v>0.23462571924421952</v>
      </c>
      <c r="AA307" s="249">
        <f t="shared" si="234"/>
        <v>0.24927328839017432</v>
      </c>
      <c r="AB307" s="249">
        <f t="shared" si="234"/>
        <v>0.264505186664028</v>
      </c>
      <c r="AC307" s="249">
        <f t="shared" si="234"/>
        <v>0.28033668754717961</v>
      </c>
      <c r="AD307" s="249">
        <f t="shared" si="234"/>
        <v>0.29678089203680047</v>
      </c>
      <c r="AE307" s="249">
        <f t="shared" si="234"/>
        <v>0.31385093687362697</v>
      </c>
      <c r="AF307" s="249">
        <f t="shared" si="234"/>
        <v>0.33155998732270259</v>
      </c>
      <c r="AG307" s="249">
        <f t="shared" si="234"/>
        <v>0.34992122978039175</v>
      </c>
      <c r="AI307" s="316"/>
      <c r="AJ307" s="211" t="s">
        <v>1363</v>
      </c>
    </row>
    <row r="308" spans="1:36" s="1" customFormat="1" outlineLevel="1">
      <c r="A308" t="s">
        <v>1380</v>
      </c>
      <c r="B308" s="302" t="s">
        <v>704</v>
      </c>
      <c r="C308" s="249">
        <f t="shared" ref="C308:AG308" si="235">C304*C274</f>
        <v>0.32768568685262428</v>
      </c>
      <c r="D308" s="249">
        <f t="shared" si="235"/>
        <v>0.34900556620362344</v>
      </c>
      <c r="E308" s="249">
        <f t="shared" si="235"/>
        <v>0.37002367695808724</v>
      </c>
      <c r="F308" s="249">
        <f t="shared" si="235"/>
        <v>0.39057209923594499</v>
      </c>
      <c r="G308" s="249">
        <f t="shared" si="235"/>
        <v>0.41048147619980413</v>
      </c>
      <c r="H308" s="249">
        <f t="shared" si="235"/>
        <v>0.42958326315981765</v>
      </c>
      <c r="I308" s="249">
        <f t="shared" si="235"/>
        <v>0.44867795208025085</v>
      </c>
      <c r="J308" s="249">
        <f t="shared" si="235"/>
        <v>0.46772094384612017</v>
      </c>
      <c r="K308" s="249">
        <f t="shared" si="235"/>
        <v>0.48666620329709126</v>
      </c>
      <c r="L308" s="249">
        <f t="shared" si="235"/>
        <v>0.505466362840571</v>
      </c>
      <c r="M308" s="249">
        <f t="shared" si="235"/>
        <v>0.52407283464315213</v>
      </c>
      <c r="N308" s="249">
        <f t="shared" si="235"/>
        <v>0.54165981893754644</v>
      </c>
      <c r="O308" s="249">
        <f t="shared" si="235"/>
        <v>0.5581006801124756</v>
      </c>
      <c r="P308" s="249">
        <f t="shared" si="235"/>
        <v>0.57332772074452432</v>
      </c>
      <c r="Q308" s="249">
        <f t="shared" si="235"/>
        <v>0.58717694857714731</v>
      </c>
      <c r="R308" s="249">
        <f t="shared" si="235"/>
        <v>0.59954306121758838</v>
      </c>
      <c r="S308" s="249">
        <f t="shared" si="235"/>
        <v>0.61143018586405318</v>
      </c>
      <c r="T308" s="249">
        <f t="shared" si="235"/>
        <v>0.62281158540253723</v>
      </c>
      <c r="U308" s="249">
        <f t="shared" si="235"/>
        <v>0.63366041066756174</v>
      </c>
      <c r="V308" s="249">
        <f t="shared" si="235"/>
        <v>0.64394972977034615</v>
      </c>
      <c r="W308" s="249">
        <f t="shared" si="235"/>
        <v>0.65365255822366319</v>
      </c>
      <c r="X308" s="249">
        <f t="shared" si="235"/>
        <v>0.66274918955299211</v>
      </c>
      <c r="Y308" s="249">
        <f t="shared" si="235"/>
        <v>0.67121291813489659</v>
      </c>
      <c r="Z308" s="249">
        <f t="shared" si="235"/>
        <v>0.67911120810990189</v>
      </c>
      <c r="AA308" s="249">
        <f t="shared" si="235"/>
        <v>0.6863251677677138</v>
      </c>
      <c r="AB308" s="249">
        <f t="shared" si="235"/>
        <v>0.69282788204289625</v>
      </c>
      <c r="AC308" s="249">
        <f t="shared" si="235"/>
        <v>0.69859911693277532</v>
      </c>
      <c r="AD308" s="249">
        <f t="shared" si="235"/>
        <v>0.70361229302718409</v>
      </c>
      <c r="AE308" s="249">
        <f t="shared" si="235"/>
        <v>0.70784092755701011</v>
      </c>
      <c r="AF308" s="249">
        <f t="shared" si="235"/>
        <v>0.71125866507848989</v>
      </c>
      <c r="AG308" s="249">
        <f t="shared" si="235"/>
        <v>0.7138393087519993</v>
      </c>
      <c r="AI308" s="316"/>
      <c r="AJ308" s="211"/>
    </row>
    <row r="309" spans="1:36" s="67" customFormat="1">
      <c r="A309" s="345" t="s">
        <v>1381</v>
      </c>
      <c r="B309" s="308" t="s">
        <v>704</v>
      </c>
      <c r="C309" s="309">
        <f>C275*C$294</f>
        <v>1.8374362191430471</v>
      </c>
      <c r="D309" s="309">
        <f t="shared" ref="D309:AG314" si="236">D275*D$294</f>
        <v>2.0090251484484947</v>
      </c>
      <c r="E309" s="309">
        <f t="shared" si="236"/>
        <v>2.1276592383394637</v>
      </c>
      <c r="F309" s="309">
        <f t="shared" si="236"/>
        <v>2.2450183044576284</v>
      </c>
      <c r="G309" s="309">
        <f t="shared" si="236"/>
        <v>2.3602826507115005</v>
      </c>
      <c r="H309" s="309">
        <f t="shared" si="236"/>
        <v>2.4726203583175024</v>
      </c>
      <c r="I309" s="309">
        <f t="shared" si="236"/>
        <v>2.5867659779546499</v>
      </c>
      <c r="J309" s="309">
        <f t="shared" si="236"/>
        <v>2.7025973111955879</v>
      </c>
      <c r="K309" s="309">
        <f t="shared" si="236"/>
        <v>2.819984274040733</v>
      </c>
      <c r="L309" s="309">
        <f t="shared" si="236"/>
        <v>2.9387889828467664</v>
      </c>
      <c r="M309" s="309">
        <f t="shared" si="236"/>
        <v>3.0588658683806074</v>
      </c>
      <c r="N309" s="309">
        <f t="shared" si="236"/>
        <v>3.1636584477391194</v>
      </c>
      <c r="O309" s="309">
        <f t="shared" si="236"/>
        <v>3.2633183969005408</v>
      </c>
      <c r="P309" s="309">
        <f t="shared" si="236"/>
        <v>3.3575320722460678</v>
      </c>
      <c r="Q309" s="309">
        <f t="shared" si="236"/>
        <v>3.4453700628395203</v>
      </c>
      <c r="R309" s="309">
        <f t="shared" si="236"/>
        <v>3.5262443399031116</v>
      </c>
      <c r="S309" s="309">
        <f t="shared" si="236"/>
        <v>3.606089526805158</v>
      </c>
      <c r="T309" s="309">
        <f t="shared" si="236"/>
        <v>3.68480149757539</v>
      </c>
      <c r="U309" s="309">
        <f t="shared" si="236"/>
        <v>3.7622735268345209</v>
      </c>
      <c r="V309" s="309">
        <f t="shared" si="236"/>
        <v>3.8383962995113934</v>
      </c>
      <c r="W309" s="309">
        <f t="shared" si="236"/>
        <v>3.9130579233064799</v>
      </c>
      <c r="X309" s="309">
        <f t="shared" si="236"/>
        <v>3.9644611919066506</v>
      </c>
      <c r="Y309" s="309">
        <f t="shared" si="236"/>
        <v>4.0127934773575058</v>
      </c>
      <c r="Z309" s="309">
        <f t="shared" si="236"/>
        <v>4.0584612819045081</v>
      </c>
      <c r="AA309" s="309">
        <f t="shared" si="236"/>
        <v>4.1007334849567787</v>
      </c>
      <c r="AB309" s="309">
        <f t="shared" si="236"/>
        <v>4.1394393084530847</v>
      </c>
      <c r="AC309" s="309">
        <f t="shared" si="236"/>
        <v>4.1744437971214214</v>
      </c>
      <c r="AD309" s="309">
        <f t="shared" si="236"/>
        <v>4.2055698370507102</v>
      </c>
      <c r="AE309" s="309">
        <f t="shared" si="236"/>
        <v>4.2326364767748803</v>
      </c>
      <c r="AF309" s="309">
        <f t="shared" si="236"/>
        <v>4.2554589327768717</v>
      </c>
      <c r="AG309" s="309">
        <f t="shared" si="236"/>
        <v>4.2738485983638999</v>
      </c>
      <c r="AI309" s="337"/>
      <c r="AJ309" s="348"/>
    </row>
    <row r="310" spans="1:36">
      <c r="A310" s="346" t="s">
        <v>1382</v>
      </c>
      <c r="B310" s="302" t="s">
        <v>704</v>
      </c>
      <c r="C310" s="249">
        <f t="shared" ref="C310:R314" si="237">C276*C$294</f>
        <v>4.2490712567682962</v>
      </c>
      <c r="D310" s="249">
        <f t="shared" si="237"/>
        <v>4.5162561300807891</v>
      </c>
      <c r="E310" s="249">
        <f t="shared" si="237"/>
        <v>4.6542545838675764</v>
      </c>
      <c r="F310" s="249">
        <f t="shared" si="237"/>
        <v>4.7834196827932418</v>
      </c>
      <c r="G310" s="249">
        <f t="shared" si="237"/>
        <v>4.9027930060735212</v>
      </c>
      <c r="H310" s="249">
        <f t="shared" si="237"/>
        <v>5.0114716190899369</v>
      </c>
      <c r="I310" s="249">
        <f t="shared" si="237"/>
        <v>5.1196409980352433</v>
      </c>
      <c r="J310" s="249">
        <f t="shared" si="237"/>
        <v>5.227151894119844</v>
      </c>
      <c r="K310" s="249">
        <f t="shared" si="237"/>
        <v>5.3338518341230952</v>
      </c>
      <c r="L310" s="249">
        <f t="shared" si="237"/>
        <v>5.4395853769038691</v>
      </c>
      <c r="M310" s="249">
        <f t="shared" si="237"/>
        <v>5.5441943864398491</v>
      </c>
      <c r="N310" s="249">
        <f t="shared" si="237"/>
        <v>5.618387334780599</v>
      </c>
      <c r="O310" s="249">
        <f t="shared" si="237"/>
        <v>5.6816704231750474</v>
      </c>
      <c r="P310" s="249">
        <f t="shared" si="237"/>
        <v>5.734157245478384</v>
      </c>
      <c r="Q310" s="249">
        <f t="shared" si="237"/>
        <v>5.7749100485094207</v>
      </c>
      <c r="R310" s="249">
        <f t="shared" si="237"/>
        <v>5.8036104760905349</v>
      </c>
      <c r="S310" s="249">
        <f t="shared" si="236"/>
        <v>5.8304980120898593</v>
      </c>
      <c r="T310" s="249">
        <f t="shared" si="236"/>
        <v>5.8555023797906776</v>
      </c>
      <c r="U310" s="249">
        <f t="shared" si="236"/>
        <v>5.8785523856789359</v>
      </c>
      <c r="V310" s="249">
        <f t="shared" si="236"/>
        <v>5.8995759450398291</v>
      </c>
      <c r="W310" s="249">
        <f t="shared" si="236"/>
        <v>5.9185001090010454</v>
      </c>
      <c r="X310" s="249">
        <f t="shared" si="236"/>
        <v>5.902966112949235</v>
      </c>
      <c r="Y310" s="249">
        <f t="shared" si="236"/>
        <v>5.8841442817021061</v>
      </c>
      <c r="Z310" s="249">
        <f t="shared" si="236"/>
        <v>5.8627536206757274</v>
      </c>
      <c r="AA310" s="249">
        <f t="shared" si="236"/>
        <v>5.8378497528898512</v>
      </c>
      <c r="AB310" s="249">
        <f t="shared" si="236"/>
        <v>5.8093267567494919</v>
      </c>
      <c r="AC310" s="249">
        <f t="shared" si="236"/>
        <v>5.7771320406591009</v>
      </c>
      <c r="AD310" s="249">
        <f t="shared" si="236"/>
        <v>5.7411561920264536</v>
      </c>
      <c r="AE310" s="249">
        <f t="shared" si="236"/>
        <v>5.701288357724775</v>
      </c>
      <c r="AF310" s="249">
        <f t="shared" si="236"/>
        <v>5.6574162718590726</v>
      </c>
      <c r="AG310" s="249">
        <f t="shared" si="236"/>
        <v>5.609426285352618</v>
      </c>
      <c r="AI310" s="296"/>
    </row>
    <row r="311" spans="1:36">
      <c r="A311" s="346" t="s">
        <v>1383</v>
      </c>
      <c r="B311" s="302" t="s">
        <v>704</v>
      </c>
      <c r="C311" s="249">
        <f t="shared" si="237"/>
        <v>0.91871810957152356</v>
      </c>
      <c r="D311" s="249">
        <f t="shared" si="236"/>
        <v>0.94375576529939353</v>
      </c>
      <c r="E311" s="249">
        <f t="shared" si="236"/>
        <v>0.93916208567327875</v>
      </c>
      <c r="F311" s="249">
        <f t="shared" si="236"/>
        <v>0.93117236491708433</v>
      </c>
      <c r="G311" s="249">
        <f t="shared" si="236"/>
        <v>0.91981603299786396</v>
      </c>
      <c r="H311" s="249">
        <f t="shared" si="236"/>
        <v>0.90515566688408533</v>
      </c>
      <c r="I311" s="249">
        <f t="shared" si="236"/>
        <v>0.88920080492191045</v>
      </c>
      <c r="J311" s="249">
        <f t="shared" si="236"/>
        <v>0.87195284871344092</v>
      </c>
      <c r="K311" s="249">
        <f t="shared" si="236"/>
        <v>0.85341629345969494</v>
      </c>
      <c r="L311" s="249">
        <f t="shared" si="236"/>
        <v>0.83359879801903414</v>
      </c>
      <c r="M311" s="249">
        <f t="shared" si="236"/>
        <v>0.81251124628859839</v>
      </c>
      <c r="N311" s="249">
        <f t="shared" si="236"/>
        <v>0.78609196186200625</v>
      </c>
      <c r="O311" s="249">
        <f t="shared" si="236"/>
        <v>0.75755605642333934</v>
      </c>
      <c r="P311" s="249">
        <f t="shared" si="236"/>
        <v>0.72713994006491822</v>
      </c>
      <c r="Q311" s="249">
        <f t="shared" si="236"/>
        <v>0.69494680244774365</v>
      </c>
      <c r="R311" s="249">
        <f t="shared" si="236"/>
        <v>0.66117081373183295</v>
      </c>
      <c r="S311" s="249">
        <f t="shared" si="236"/>
        <v>0.62714600466176618</v>
      </c>
      <c r="T311" s="249">
        <f t="shared" si="236"/>
        <v>0.59290024096625249</v>
      </c>
      <c r="U311" s="249">
        <f t="shared" si="236"/>
        <v>0.55846247663949866</v>
      </c>
      <c r="V311" s="249">
        <f t="shared" si="236"/>
        <v>0.52386276026494727</v>
      </c>
      <c r="W311" s="249">
        <f t="shared" si="236"/>
        <v>0.48913224041330938</v>
      </c>
      <c r="X311" s="249">
        <f t="shared" si="236"/>
        <v>0.45183197407759557</v>
      </c>
      <c r="Y311" s="249">
        <f t="shared" si="236"/>
        <v>0.41478394116916462</v>
      </c>
      <c r="Z311" s="249">
        <f t="shared" si="236"/>
        <v>0.37808778451704667</v>
      </c>
      <c r="AA311" s="249">
        <f t="shared" si="236"/>
        <v>0.34172779041306423</v>
      </c>
      <c r="AB311" s="249">
        <f t="shared" si="236"/>
        <v>0.30575403982892035</v>
      </c>
      <c r="AC311" s="249">
        <f t="shared" si="236"/>
        <v>0.270220692224377</v>
      </c>
      <c r="AD311" s="249">
        <f t="shared" si="236"/>
        <v>0.23517989220349297</v>
      </c>
      <c r="AE311" s="249">
        <f t="shared" si="236"/>
        <v>0.20068535019191175</v>
      </c>
      <c r="AF311" s="249">
        <f t="shared" si="236"/>
        <v>0.1667923522380759</v>
      </c>
      <c r="AG311" s="249">
        <f t="shared" si="236"/>
        <v>0.13355776869887187</v>
      </c>
      <c r="AI311" s="296"/>
    </row>
    <row r="312" spans="1:36">
      <c r="A312" s="346" t="s">
        <v>1384</v>
      </c>
      <c r="B312" s="302" t="s">
        <v>704</v>
      </c>
      <c r="C312" s="249">
        <f t="shared" si="237"/>
        <v>3.1006736198038918</v>
      </c>
      <c r="D312" s="249">
        <f t="shared" si="236"/>
        <v>3.2363126887305391</v>
      </c>
      <c r="E312" s="249">
        <f t="shared" si="236"/>
        <v>3.2746005465068313</v>
      </c>
      <c r="F312" s="249">
        <f t="shared" si="236"/>
        <v>3.3037485275825338</v>
      </c>
      <c r="G312" s="249">
        <f t="shared" si="236"/>
        <v>3.3234862324356804</v>
      </c>
      <c r="H312" s="249">
        <f t="shared" si="236"/>
        <v>3.3336220902316342</v>
      </c>
      <c r="I312" s="249">
        <f t="shared" si="236"/>
        <v>3.3412393881914242</v>
      </c>
      <c r="J312" s="249">
        <f t="shared" si="236"/>
        <v>3.3462902518688629</v>
      </c>
      <c r="K312" s="249">
        <f t="shared" si="236"/>
        <v>3.3487313254233717</v>
      </c>
      <c r="L312" s="249">
        <f t="shared" si="236"/>
        <v>3.348523985262903</v>
      </c>
      <c r="M312" s="249">
        <f t="shared" si="236"/>
        <v>3.3456345435412902</v>
      </c>
      <c r="N312" s="249">
        <f t="shared" si="236"/>
        <v>3.3228059001406307</v>
      </c>
      <c r="O312" s="249">
        <f t="shared" si="236"/>
        <v>3.2924551683014394</v>
      </c>
      <c r="P312" s="249">
        <f t="shared" si="236"/>
        <v>3.2550492619013482</v>
      </c>
      <c r="Q312" s="249">
        <f t="shared" si="236"/>
        <v>3.2104584676459171</v>
      </c>
      <c r="R312" s="249">
        <f t="shared" si="236"/>
        <v>3.1589272211632045</v>
      </c>
      <c r="S312" s="249">
        <f t="shared" si="236"/>
        <v>3.1063325543403129</v>
      </c>
      <c r="T312" s="249">
        <f t="shared" si="236"/>
        <v>3.0527012406774841</v>
      </c>
      <c r="U312" s="249">
        <f t="shared" si="236"/>
        <v>2.9980617166962586</v>
      </c>
      <c r="V312" s="249">
        <f t="shared" si="236"/>
        <v>2.9424441020489116</v>
      </c>
      <c r="W312" s="249">
        <f t="shared" si="236"/>
        <v>2.8858802184385275</v>
      </c>
      <c r="X312" s="249">
        <f t="shared" si="236"/>
        <v>2.8130184192572907</v>
      </c>
      <c r="Y312" s="249">
        <f t="shared" si="236"/>
        <v>2.7395032393498338</v>
      </c>
      <c r="Z312" s="249">
        <f t="shared" si="236"/>
        <v>2.6657581769113312</v>
      </c>
      <c r="AA312" s="249">
        <f t="shared" si="236"/>
        <v>2.5914357439657394</v>
      </c>
      <c r="AB312" s="249">
        <f t="shared" si="236"/>
        <v>2.5165909432072699</v>
      </c>
      <c r="AC312" s="249">
        <f t="shared" si="236"/>
        <v>2.441304184923685</v>
      </c>
      <c r="AD312" s="249">
        <f t="shared" si="236"/>
        <v>2.3656330333410209</v>
      </c>
      <c r="AE312" s="249">
        <f t="shared" si="236"/>
        <v>2.2896374044622698</v>
      </c>
      <c r="AF312" s="249">
        <f t="shared" si="236"/>
        <v>2.2133795932133897</v>
      </c>
      <c r="AG312" s="249">
        <f t="shared" si="236"/>
        <v>2.1369242991819499</v>
      </c>
      <c r="AI312" s="296"/>
    </row>
    <row r="313" spans="1:36">
      <c r="A313" s="346" t="s">
        <v>1385</v>
      </c>
      <c r="B313" s="302" t="s">
        <v>704</v>
      </c>
      <c r="C313" s="249">
        <f t="shared" si="237"/>
        <v>0.80387834587508311</v>
      </c>
      <c r="D313" s="249">
        <f t="shared" si="236"/>
        <v>0.84654487101962783</v>
      </c>
      <c r="E313" s="249">
        <f t="shared" si="236"/>
        <v>0.86436156557540711</v>
      </c>
      <c r="F313" s="249">
        <f t="shared" si="236"/>
        <v>0.88014922163395659</v>
      </c>
      <c r="G313" s="249">
        <f t="shared" si="236"/>
        <v>0.89378350376207549</v>
      </c>
      <c r="H313" s="249">
        <f t="shared" si="236"/>
        <v>0.90515566688408555</v>
      </c>
      <c r="I313" s="249">
        <f t="shared" si="236"/>
        <v>0.91614628385893826</v>
      </c>
      <c r="J313" s="249">
        <f t="shared" si="236"/>
        <v>0.92673522664308139</v>
      </c>
      <c r="K313" s="249">
        <f t="shared" si="236"/>
        <v>0.93690266999379579</v>
      </c>
      <c r="L313" s="249">
        <f t="shared" si="236"/>
        <v>0.94662914351314065</v>
      </c>
      <c r="M313" s="249">
        <f t="shared" si="236"/>
        <v>0.95589558386893936</v>
      </c>
      <c r="N313" s="249">
        <f t="shared" si="236"/>
        <v>0.95970736448183602</v>
      </c>
      <c r="O313" s="249">
        <f t="shared" si="236"/>
        <v>0.96151345622962314</v>
      </c>
      <c r="P313" s="249">
        <f t="shared" si="236"/>
        <v>0.96138636370999264</v>
      </c>
      <c r="Q313" s="249">
        <f t="shared" si="236"/>
        <v>0.95922234704054754</v>
      </c>
      <c r="R313" s="249">
        <f t="shared" si="236"/>
        <v>0.95502450872375855</v>
      </c>
      <c r="S313" s="249">
        <f t="shared" si="236"/>
        <v>0.95051816331548922</v>
      </c>
      <c r="T313" s="249">
        <f t="shared" si="236"/>
        <v>0.94570038435112991</v>
      </c>
      <c r="U313" s="249">
        <f t="shared" si="236"/>
        <v>0.94056838170862922</v>
      </c>
      <c r="V313" s="249">
        <f t="shared" si="236"/>
        <v>0.93511950664116739</v>
      </c>
      <c r="W313" s="249">
        <f t="shared" si="236"/>
        <v>0.92935125678528763</v>
      </c>
      <c r="X313" s="249">
        <f t="shared" si="236"/>
        <v>0.91823917312543601</v>
      </c>
      <c r="Y313" s="249">
        <f t="shared" si="236"/>
        <v>0.90673698767212718</v>
      </c>
      <c r="Z313" s="249">
        <f t="shared" si="236"/>
        <v>0.89496728740111042</v>
      </c>
      <c r="AA313" s="249">
        <f t="shared" si="236"/>
        <v>0.88279679190041604</v>
      </c>
      <c r="AB313" s="249">
        <f t="shared" si="236"/>
        <v>0.87022303643615828</v>
      </c>
      <c r="AC313" s="249">
        <f t="shared" si="236"/>
        <v>0.85725185119457581</v>
      </c>
      <c r="AD313" s="249">
        <f t="shared" si="236"/>
        <v>0.84388078967135793</v>
      </c>
      <c r="AE313" s="249">
        <f t="shared" si="236"/>
        <v>0.83010758488472702</v>
      </c>
      <c r="AF313" s="249">
        <f t="shared" si="236"/>
        <v>0.8159301555430214</v>
      </c>
      <c r="AG313" s="249">
        <f t="shared" si="236"/>
        <v>0.80134661219323122</v>
      </c>
      <c r="AI313" s="296"/>
    </row>
    <row r="314" spans="1:36" s="68" customFormat="1">
      <c r="A314" s="347" t="s">
        <v>1386</v>
      </c>
      <c r="B314" s="312" t="s">
        <v>704</v>
      </c>
      <c r="C314" s="313">
        <f t="shared" si="237"/>
        <v>0.57419881848220222</v>
      </c>
      <c r="D314" s="313">
        <f t="shared" si="236"/>
        <v>0.59946718139188948</v>
      </c>
      <c r="E314" s="313">
        <f t="shared" si="236"/>
        <v>0.60671532968273767</v>
      </c>
      <c r="F314" s="313">
        <f t="shared" si="236"/>
        <v>0.61227771939753495</v>
      </c>
      <c r="G314" s="313">
        <f t="shared" si="236"/>
        <v>0.61610319191366369</v>
      </c>
      <c r="H314" s="313">
        <f t="shared" si="236"/>
        <v>0.61815508957937548</v>
      </c>
      <c r="I314" s="313">
        <f t="shared" si="236"/>
        <v>0.61974601555163478</v>
      </c>
      <c r="J314" s="313">
        <f t="shared" si="236"/>
        <v>0.6208669498692565</v>
      </c>
      <c r="K314" s="313">
        <f t="shared" si="236"/>
        <v>0.62150969197608241</v>
      </c>
      <c r="L314" s="313">
        <f t="shared" si="236"/>
        <v>0.62166690021758497</v>
      </c>
      <c r="M314" s="313">
        <f t="shared" si="236"/>
        <v>0.62133212951481065</v>
      </c>
      <c r="N314" s="313">
        <f t="shared" si="236"/>
        <v>0.61729920931494986</v>
      </c>
      <c r="O314" s="313">
        <f t="shared" si="236"/>
        <v>0.61187219941885107</v>
      </c>
      <c r="P314" s="313">
        <f t="shared" si="236"/>
        <v>0.60513659441644208</v>
      </c>
      <c r="Q314" s="313">
        <f t="shared" si="236"/>
        <v>0.59706697111707552</v>
      </c>
      <c r="R314" s="313">
        <f t="shared" si="236"/>
        <v>0.58770738998385141</v>
      </c>
      <c r="S314" s="313">
        <f t="shared" si="236"/>
        <v>0.57815022304756558</v>
      </c>
      <c r="T314" s="313">
        <f t="shared" si="236"/>
        <v>0.56840023100896919</v>
      </c>
      <c r="U314" s="313">
        <f t="shared" si="236"/>
        <v>0.55846247663949855</v>
      </c>
      <c r="V314" s="313">
        <f t="shared" si="236"/>
        <v>0.5483423285016269</v>
      </c>
      <c r="W314" s="313">
        <f t="shared" si="236"/>
        <v>0.53804546445464019</v>
      </c>
      <c r="X314" s="313">
        <f t="shared" si="236"/>
        <v>0.52470809892882053</v>
      </c>
      <c r="Y314" s="313">
        <f t="shared" si="236"/>
        <v>0.51124532283641211</v>
      </c>
      <c r="Z314" s="313">
        <f t="shared" si="236"/>
        <v>0.49773581759206131</v>
      </c>
      <c r="AA314" s="313">
        <f t="shared" si="236"/>
        <v>0.48411436975184086</v>
      </c>
      <c r="AB314" s="313">
        <f t="shared" si="236"/>
        <v>0.4703908305060312</v>
      </c>
      <c r="AC314" s="313">
        <f t="shared" si="236"/>
        <v>0.45657979031015422</v>
      </c>
      <c r="AD314" s="313">
        <f t="shared" si="236"/>
        <v>0.44269156179481034</v>
      </c>
      <c r="AE314" s="313">
        <f t="shared" si="236"/>
        <v>0.42873688450090247</v>
      </c>
      <c r="AF314" s="313">
        <f t="shared" si="236"/>
        <v>0.41472692988927007</v>
      </c>
      <c r="AG314" s="313">
        <f t="shared" si="236"/>
        <v>0.40067330609661561</v>
      </c>
      <c r="AI314" s="314"/>
      <c r="AJ314" s="315"/>
    </row>
    <row r="315" spans="1:36" s="181" customFormat="1">
      <c r="B315" s="176"/>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J315" s="323"/>
    </row>
    <row r="316" spans="1:36" s="181" customFormat="1">
      <c r="A316" s="181" t="s">
        <v>1588</v>
      </c>
      <c r="B316" s="350" t="s">
        <v>704</v>
      </c>
      <c r="C316" s="230">
        <f>C249</f>
        <v>1.1899030376946831</v>
      </c>
      <c r="D316" s="230">
        <f t="shared" ref="D316:AG316" si="238">D249</f>
        <v>0.94736506612835769</v>
      </c>
      <c r="E316" s="230">
        <f t="shared" si="238"/>
        <v>1.0356736739740038</v>
      </c>
      <c r="F316" s="230">
        <f t="shared" si="238"/>
        <v>1.1264232540648003</v>
      </c>
      <c r="G316" s="230">
        <f t="shared" si="238"/>
        <v>1.2191484181391721</v>
      </c>
      <c r="H316" s="230">
        <f t="shared" si="238"/>
        <v>1.3133403616030952</v>
      </c>
      <c r="I316" s="230">
        <f t="shared" si="238"/>
        <v>1.411489776940724</v>
      </c>
      <c r="J316" s="230">
        <f t="shared" si="238"/>
        <v>1.5136497388604992</v>
      </c>
      <c r="K316" s="230">
        <f t="shared" si="238"/>
        <v>1.619868233759211</v>
      </c>
      <c r="L316" s="230">
        <f t="shared" si="238"/>
        <v>1.7301878340780408</v>
      </c>
      <c r="M316" s="230">
        <f t="shared" si="238"/>
        <v>1.8446453749683873</v>
      </c>
      <c r="N316" s="230">
        <f t="shared" si="238"/>
        <v>2.0146700796575461</v>
      </c>
      <c r="O316" s="230">
        <f t="shared" si="238"/>
        <v>2.1875575061622254</v>
      </c>
      <c r="P316" s="230">
        <f t="shared" si="238"/>
        <v>2.3626759374038593</v>
      </c>
      <c r="Q316" s="230">
        <f t="shared" si="238"/>
        <v>2.5391024768145956</v>
      </c>
      <c r="R316" s="230">
        <f t="shared" si="238"/>
        <v>2.7159820812746869</v>
      </c>
      <c r="S316" s="230">
        <f t="shared" si="238"/>
        <v>2.8976389669175169</v>
      </c>
      <c r="T316" s="230">
        <f t="shared" si="238"/>
        <v>3.0841496203437124</v>
      </c>
      <c r="U316" s="230">
        <f t="shared" si="238"/>
        <v>3.2755903414565157</v>
      </c>
      <c r="V316" s="230">
        <f t="shared" si="238"/>
        <v>3.4720371859727592</v>
      </c>
      <c r="W316" s="230">
        <f t="shared" si="238"/>
        <v>3.6735659065421036</v>
      </c>
      <c r="X316" s="230">
        <f t="shared" si="238"/>
        <v>3.9601720469514916</v>
      </c>
      <c r="Y316" s="230">
        <f t="shared" si="238"/>
        <v>4.2541252138805667</v>
      </c>
      <c r="Z316" s="230">
        <f t="shared" si="238"/>
        <v>4.556160445199926</v>
      </c>
      <c r="AA316" s="230">
        <f t="shared" si="238"/>
        <v>4.8659056099865667</v>
      </c>
      <c r="AB316" s="230">
        <f t="shared" si="238"/>
        <v>5.18348627003685</v>
      </c>
      <c r="AC316" s="230">
        <f t="shared" si="238"/>
        <v>5.5090801126474815</v>
      </c>
      <c r="AD316" s="230">
        <f t="shared" si="238"/>
        <v>5.8428222386667867</v>
      </c>
      <c r="AE316" s="230">
        <f t="shared" si="238"/>
        <v>6.1848481097319983</v>
      </c>
      <c r="AF316" s="230">
        <f t="shared" si="238"/>
        <v>6.5352934753672987</v>
      </c>
      <c r="AG316" s="230">
        <f t="shared" si="238"/>
        <v>6.8942942979595605</v>
      </c>
      <c r="AI316" s="763" t="s">
        <v>1391</v>
      </c>
      <c r="AJ316" s="323"/>
    </row>
    <row r="317" spans="1:36" s="181" customFormat="1">
      <c r="A317" s="181" t="s">
        <v>1589</v>
      </c>
      <c r="B317" s="349" t="s">
        <v>704</v>
      </c>
      <c r="C317" s="249">
        <f>C316/(1-C274)</f>
        <v>1.6300041612255933</v>
      </c>
      <c r="D317" s="249">
        <f t="shared" ref="D317:AG317" si="239">D316/(1-D274)</f>
        <v>1.290688100992313</v>
      </c>
      <c r="E317" s="249">
        <f t="shared" si="239"/>
        <v>1.4033518617533927</v>
      </c>
      <c r="F317" s="249">
        <f t="shared" si="239"/>
        <v>1.518090638901348</v>
      </c>
      <c r="G317" s="249">
        <f t="shared" si="239"/>
        <v>1.6342472093018392</v>
      </c>
      <c r="H317" s="249">
        <f t="shared" si="239"/>
        <v>1.7511204821374602</v>
      </c>
      <c r="I317" s="249">
        <f t="shared" si="239"/>
        <v>1.8720023566853103</v>
      </c>
      <c r="J317" s="249">
        <f t="shared" si="239"/>
        <v>1.9968993916365425</v>
      </c>
      <c r="K317" s="249">
        <f t="shared" si="239"/>
        <v>2.1258113303926653</v>
      </c>
      <c r="L317" s="249">
        <f t="shared" si="239"/>
        <v>2.2587308538877817</v>
      </c>
      <c r="M317" s="249">
        <f t="shared" si="239"/>
        <v>2.3956433441147889</v>
      </c>
      <c r="N317" s="249">
        <f t="shared" si="239"/>
        <v>2.6029329194541937</v>
      </c>
      <c r="O317" s="249">
        <f t="shared" si="239"/>
        <v>2.8117705734732974</v>
      </c>
      <c r="P317" s="249">
        <f t="shared" si="239"/>
        <v>3.0213247281379272</v>
      </c>
      <c r="Q317" s="249">
        <f t="shared" si="239"/>
        <v>3.2304102758455411</v>
      </c>
      <c r="R317" s="249">
        <f t="shared" si="239"/>
        <v>3.4379520016135277</v>
      </c>
      <c r="S317" s="249">
        <f t="shared" si="239"/>
        <v>3.6494193538003987</v>
      </c>
      <c r="T317" s="249">
        <f t="shared" si="239"/>
        <v>3.8648491483003915</v>
      </c>
      <c r="U317" s="249">
        <f t="shared" si="239"/>
        <v>4.0842772337363034</v>
      </c>
      <c r="V317" s="249">
        <f t="shared" si="239"/>
        <v>4.3077384441349365</v>
      </c>
      <c r="W317" s="249">
        <f t="shared" si="239"/>
        <v>4.5352665512865471</v>
      </c>
      <c r="X317" s="249">
        <f t="shared" si="239"/>
        <v>4.8650762247561321</v>
      </c>
      <c r="Y317" s="249">
        <f t="shared" si="239"/>
        <v>5.2006420707586383</v>
      </c>
      <c r="Z317" s="249">
        <f t="shared" si="239"/>
        <v>5.5427742642334863</v>
      </c>
      <c r="AA317" s="249">
        <f t="shared" si="239"/>
        <v>5.890926888603591</v>
      </c>
      <c r="AB317" s="249">
        <f t="shared" si="239"/>
        <v>6.2451641807672891</v>
      </c>
      <c r="AC317" s="249">
        <f t="shared" si="239"/>
        <v>6.6056116458602894</v>
      </c>
      <c r="AD317" s="249">
        <f t="shared" si="239"/>
        <v>6.9723415735880501</v>
      </c>
      <c r="AE317" s="249">
        <f t="shared" si="239"/>
        <v>7.3454253084703058</v>
      </c>
      <c r="AF317" s="249">
        <f t="shared" si="239"/>
        <v>7.724933186013355</v>
      </c>
      <c r="AG317" s="249">
        <f t="shared" si="239"/>
        <v>8.1109344681877182</v>
      </c>
      <c r="AI317" s="763"/>
      <c r="AJ317" s="323"/>
    </row>
    <row r="318" spans="1:36" s="181" customFormat="1">
      <c r="A318" s="181" t="s">
        <v>1590</v>
      </c>
      <c r="B318" s="349" t="s">
        <v>704</v>
      </c>
      <c r="C318" s="249">
        <f>C306</f>
        <v>0.50568778835281525</v>
      </c>
      <c r="D318" s="249">
        <f t="shared" ref="D318:AG318" si="240">D306</f>
        <v>0.5768300315393815</v>
      </c>
      <c r="E318" s="249">
        <f t="shared" si="240"/>
        <v>0.65082130331509791</v>
      </c>
      <c r="F318" s="249">
        <f t="shared" si="240"/>
        <v>0.72728171468250413</v>
      </c>
      <c r="G318" s="249">
        <f t="shared" si="240"/>
        <v>0.80578739326786797</v>
      </c>
      <c r="H318" s="249">
        <f t="shared" si="240"/>
        <v>0.88587404627582167</v>
      </c>
      <c r="I318" s="249">
        <f t="shared" si="240"/>
        <v>0.96912764576996002</v>
      </c>
      <c r="J318" s="249">
        <f t="shared" si="240"/>
        <v>1.0555578483523866</v>
      </c>
      <c r="K318" s="249">
        <f t="shared" si="240"/>
        <v>1.1451685674990051</v>
      </c>
      <c r="L318" s="249">
        <f t="shared" si="240"/>
        <v>1.2379577677200437</v>
      </c>
      <c r="M318" s="249">
        <f t="shared" si="240"/>
        <v>1.333917269336286</v>
      </c>
      <c r="N318" s="249">
        <f t="shared" si="240"/>
        <v>1.4309821952864343</v>
      </c>
      <c r="O318" s="249">
        <f t="shared" si="240"/>
        <v>1.5286969772819341</v>
      </c>
      <c r="P318" s="249">
        <f t="shared" si="240"/>
        <v>1.6267345187156468</v>
      </c>
      <c r="Q318" s="249">
        <f t="shared" si="240"/>
        <v>1.7244663163715661</v>
      </c>
      <c r="R318" s="249">
        <f t="shared" si="240"/>
        <v>1.8213817671798789</v>
      </c>
      <c r="S318" s="249">
        <f t="shared" si="240"/>
        <v>1.9204137670129915</v>
      </c>
      <c r="T318" s="249">
        <f t="shared" si="240"/>
        <v>2.0215697825231986</v>
      </c>
      <c r="U318" s="249">
        <f t="shared" si="240"/>
        <v>2.1248563603792525</v>
      </c>
      <c r="V318" s="249">
        <f t="shared" si="240"/>
        <v>2.2302791072261932</v>
      </c>
      <c r="W318" s="249">
        <f t="shared" si="240"/>
        <v>2.3378426700155166</v>
      </c>
      <c r="X318" s="249">
        <f t="shared" si="240"/>
        <v>2.4475776750602649</v>
      </c>
      <c r="Y318" s="249">
        <f t="shared" si="240"/>
        <v>2.5594905321794372</v>
      </c>
      <c r="Z318" s="249">
        <f t="shared" si="240"/>
        <v>2.6739575771717252</v>
      </c>
      <c r="AA318" s="249">
        <f t="shared" si="240"/>
        <v>2.7906448627095122</v>
      </c>
      <c r="AB318" s="249">
        <f t="shared" si="240"/>
        <v>2.909557053304308</v>
      </c>
      <c r="AC318" s="249">
        <f t="shared" si="240"/>
        <v>3.0307265511990362</v>
      </c>
      <c r="AD318" s="249">
        <f t="shared" si="240"/>
        <v>3.1541597130422749</v>
      </c>
      <c r="AE318" s="249">
        <f t="shared" si="240"/>
        <v>3.2798620807633232</v>
      </c>
      <c r="AF318" s="249">
        <f t="shared" si="240"/>
        <v>3.4078383659408598</v>
      </c>
      <c r="AG318" s="249">
        <f t="shared" si="240"/>
        <v>3.5380924344461837</v>
      </c>
      <c r="AI318" s="763"/>
      <c r="AJ318" s="323"/>
    </row>
    <row r="319" spans="1:36" s="181" customFormat="1">
      <c r="A319" s="181" t="s">
        <v>1591</v>
      </c>
      <c r="B319" s="349" t="s">
        <v>704</v>
      </c>
      <c r="C319" s="249">
        <f>C317-C318</f>
        <v>1.1243163728727781</v>
      </c>
      <c r="D319" s="249">
        <f t="shared" ref="D319:AG319" si="241">D317-D318</f>
        <v>0.71385806945293151</v>
      </c>
      <c r="E319" s="249">
        <f t="shared" si="241"/>
        <v>0.75253055843829475</v>
      </c>
      <c r="F319" s="249">
        <f t="shared" si="241"/>
        <v>0.79080892421884386</v>
      </c>
      <c r="G319" s="249">
        <f t="shared" si="241"/>
        <v>0.82845981603397123</v>
      </c>
      <c r="H319" s="249">
        <f t="shared" si="241"/>
        <v>0.86524643586163852</v>
      </c>
      <c r="I319" s="249">
        <f t="shared" si="241"/>
        <v>0.90287471091535032</v>
      </c>
      <c r="J319" s="249">
        <f t="shared" si="241"/>
        <v>0.94134154328415587</v>
      </c>
      <c r="K319" s="249">
        <f t="shared" si="241"/>
        <v>0.98064276289366026</v>
      </c>
      <c r="L319" s="249">
        <f t="shared" si="241"/>
        <v>1.020773086167738</v>
      </c>
      <c r="M319" s="249">
        <f t="shared" si="241"/>
        <v>1.0617260747785029</v>
      </c>
      <c r="N319" s="249">
        <f t="shared" si="241"/>
        <v>1.1719507241677594</v>
      </c>
      <c r="O319" s="249">
        <f t="shared" si="241"/>
        <v>1.2830735961913633</v>
      </c>
      <c r="P319" s="249">
        <f t="shared" si="241"/>
        <v>1.3945902094222804</v>
      </c>
      <c r="Q319" s="249">
        <f t="shared" si="241"/>
        <v>1.505943959473975</v>
      </c>
      <c r="R319" s="249">
        <f t="shared" si="241"/>
        <v>1.6165702344336488</v>
      </c>
      <c r="S319" s="249">
        <f t="shared" si="241"/>
        <v>1.7290055867874072</v>
      </c>
      <c r="T319" s="249">
        <f t="shared" si="241"/>
        <v>1.8432793657771929</v>
      </c>
      <c r="U319" s="249">
        <f t="shared" si="241"/>
        <v>1.9594208733570508</v>
      </c>
      <c r="V319" s="249">
        <f t="shared" si="241"/>
        <v>2.0774593369087433</v>
      </c>
      <c r="W319" s="249">
        <f t="shared" si="241"/>
        <v>2.1974238812710305</v>
      </c>
      <c r="X319" s="249">
        <f t="shared" si="241"/>
        <v>2.4174985496958672</v>
      </c>
      <c r="Y319" s="249">
        <f t="shared" si="241"/>
        <v>2.641151538579201</v>
      </c>
      <c r="Z319" s="249">
        <f t="shared" si="241"/>
        <v>2.8688166870617611</v>
      </c>
      <c r="AA319" s="249">
        <f t="shared" si="241"/>
        <v>3.1002820258940789</v>
      </c>
      <c r="AB319" s="249">
        <f t="shared" si="241"/>
        <v>3.335607127462981</v>
      </c>
      <c r="AC319" s="249">
        <f t="shared" si="241"/>
        <v>3.5748850946612531</v>
      </c>
      <c r="AD319" s="249">
        <f t="shared" si="241"/>
        <v>3.8181818605457751</v>
      </c>
      <c r="AE319" s="249">
        <f t="shared" si="241"/>
        <v>4.0655632277069831</v>
      </c>
      <c r="AF319" s="249">
        <f t="shared" si="241"/>
        <v>4.3170948200724952</v>
      </c>
      <c r="AG319" s="249">
        <f t="shared" si="241"/>
        <v>4.5728420337415345</v>
      </c>
      <c r="AI319" s="763"/>
      <c r="AJ319" s="323"/>
    </row>
    <row r="320" spans="1:36" s="181" customFormat="1">
      <c r="A320" s="181" t="s">
        <v>1592</v>
      </c>
      <c r="B320" s="349" t="s">
        <v>704</v>
      </c>
      <c r="C320" s="249">
        <f>(C319)/(1-C271)</f>
        <v>1.4053954660909724</v>
      </c>
      <c r="D320" s="249">
        <f t="shared" ref="D320:AG320" si="242">(D317-D306)/(1-D271)</f>
        <v>0.88862000346837944</v>
      </c>
      <c r="E320" s="249">
        <f t="shared" si="242"/>
        <v>0.93288912203094398</v>
      </c>
      <c r="F320" s="249">
        <f t="shared" si="242"/>
        <v>0.97630731385042457</v>
      </c>
      <c r="G320" s="249">
        <f t="shared" si="242"/>
        <v>1.0185981344679975</v>
      </c>
      <c r="H320" s="249">
        <f t="shared" si="242"/>
        <v>1.0594854316673126</v>
      </c>
      <c r="I320" s="249">
        <f t="shared" si="242"/>
        <v>1.1010667206284761</v>
      </c>
      <c r="J320" s="249">
        <f t="shared" si="242"/>
        <v>1.1433298096568696</v>
      </c>
      <c r="K320" s="249">
        <f t="shared" si="242"/>
        <v>1.1862614067262018</v>
      </c>
      <c r="L320" s="249">
        <f t="shared" si="242"/>
        <v>1.229847091768359</v>
      </c>
      <c r="M320" s="249">
        <f t="shared" si="242"/>
        <v>1.2740712897342037</v>
      </c>
      <c r="N320" s="249">
        <f t="shared" si="242"/>
        <v>1.4007379173319834</v>
      </c>
      <c r="O320" s="249">
        <f t="shared" si="242"/>
        <v>1.5274685668944803</v>
      </c>
      <c r="P320" s="249">
        <f t="shared" si="242"/>
        <v>1.6536642799473682</v>
      </c>
      <c r="Q320" s="249">
        <f t="shared" si="242"/>
        <v>1.7786739678826478</v>
      </c>
      <c r="R320" s="249">
        <f t="shared" si="242"/>
        <v>1.9018473346278224</v>
      </c>
      <c r="S320" s="249">
        <f t="shared" si="242"/>
        <v>2.0261784220164931</v>
      </c>
      <c r="T320" s="249">
        <f t="shared" si="242"/>
        <v>2.1516879756154004</v>
      </c>
      <c r="U320" s="249">
        <f t="shared" si="242"/>
        <v>2.278396364368664</v>
      </c>
      <c r="V320" s="249">
        <f t="shared" si="242"/>
        <v>2.4063235562649541</v>
      </c>
      <c r="W320" s="249">
        <f t="shared" si="242"/>
        <v>2.5354890937742667</v>
      </c>
      <c r="X320" s="249">
        <f t="shared" si="242"/>
        <v>2.7787339651676639</v>
      </c>
      <c r="Y320" s="249">
        <f t="shared" si="242"/>
        <v>3.0242193189838185</v>
      </c>
      <c r="Z320" s="249">
        <f t="shared" si="242"/>
        <v>3.2724144719335686</v>
      </c>
      <c r="AA320" s="249">
        <f t="shared" si="242"/>
        <v>3.5230477566978173</v>
      </c>
      <c r="AB320" s="249">
        <f t="shared" si="242"/>
        <v>3.7761590122222435</v>
      </c>
      <c r="AC320" s="249">
        <f t="shared" si="242"/>
        <v>4.0318252947307371</v>
      </c>
      <c r="AD320" s="249">
        <f t="shared" si="242"/>
        <v>4.2900919781413211</v>
      </c>
      <c r="AE320" s="249">
        <f t="shared" si="242"/>
        <v>4.5510036131048333</v>
      </c>
      <c r="AF320" s="249">
        <f t="shared" si="242"/>
        <v>4.8146038885566869</v>
      </c>
      <c r="AG320" s="249">
        <f t="shared" si="242"/>
        <v>5.0809355930461493</v>
      </c>
      <c r="AI320" s="763"/>
      <c r="AJ320" s="323"/>
    </row>
    <row r="321" spans="1:37" s="181" customFormat="1">
      <c r="A321" s="181" t="s">
        <v>1593</v>
      </c>
      <c r="B321" s="349" t="s">
        <v>704</v>
      </c>
      <c r="C321" s="249">
        <f>IF(C300&gt;C320,C320,C300)</f>
        <v>1.4053954660909724</v>
      </c>
      <c r="D321" s="249">
        <f t="shared" ref="D321:AG321" si="243">IF(D300&gt;D320,D320,D300)</f>
        <v>0.88862000346837944</v>
      </c>
      <c r="E321" s="249">
        <f t="shared" si="243"/>
        <v>0.93288912203094398</v>
      </c>
      <c r="F321" s="249">
        <f t="shared" si="243"/>
        <v>0.97630731385042457</v>
      </c>
      <c r="G321" s="249">
        <f t="shared" si="243"/>
        <v>1.0185981344679975</v>
      </c>
      <c r="H321" s="249">
        <f t="shared" si="243"/>
        <v>1.0594854316673126</v>
      </c>
      <c r="I321" s="249">
        <f t="shared" si="243"/>
        <v>1.1010667206284761</v>
      </c>
      <c r="J321" s="249">
        <f t="shared" si="243"/>
        <v>1.1433298096568696</v>
      </c>
      <c r="K321" s="249">
        <f t="shared" si="243"/>
        <v>1.1862614067262018</v>
      </c>
      <c r="L321" s="249">
        <f t="shared" si="243"/>
        <v>1.229847091768359</v>
      </c>
      <c r="M321" s="249">
        <f t="shared" si="243"/>
        <v>1.2740712897342037</v>
      </c>
      <c r="N321" s="249">
        <f t="shared" si="243"/>
        <v>1.4007379173319834</v>
      </c>
      <c r="O321" s="249">
        <f t="shared" si="243"/>
        <v>1.5274685668944803</v>
      </c>
      <c r="P321" s="249">
        <f t="shared" si="243"/>
        <v>1.6536642799473682</v>
      </c>
      <c r="Q321" s="249">
        <f t="shared" si="243"/>
        <v>1.7786739678826478</v>
      </c>
      <c r="R321" s="249">
        <f t="shared" si="243"/>
        <v>1.9018473346278224</v>
      </c>
      <c r="S321" s="249">
        <f t="shared" si="243"/>
        <v>2.0261784220164931</v>
      </c>
      <c r="T321" s="249">
        <f t="shared" si="243"/>
        <v>2.1516879756154004</v>
      </c>
      <c r="U321" s="249">
        <f t="shared" si="243"/>
        <v>2.278396364368664</v>
      </c>
      <c r="V321" s="249">
        <f t="shared" si="243"/>
        <v>2.4063235562649541</v>
      </c>
      <c r="W321" s="249">
        <f t="shared" si="243"/>
        <v>2.5354890937742667</v>
      </c>
      <c r="X321" s="249">
        <f t="shared" si="243"/>
        <v>2.7787339651676639</v>
      </c>
      <c r="Y321" s="249">
        <f t="shared" si="243"/>
        <v>3.0242193189838185</v>
      </c>
      <c r="Z321" s="249">
        <f t="shared" si="243"/>
        <v>3.2724144719335686</v>
      </c>
      <c r="AA321" s="249">
        <f t="shared" si="243"/>
        <v>3.5230477566978173</v>
      </c>
      <c r="AB321" s="249">
        <f t="shared" si="243"/>
        <v>3.7761590122222435</v>
      </c>
      <c r="AC321" s="249">
        <f t="shared" si="243"/>
        <v>4.0318252947307371</v>
      </c>
      <c r="AD321" s="249">
        <f t="shared" si="243"/>
        <v>4.2900919781413211</v>
      </c>
      <c r="AE321" s="249">
        <f t="shared" si="243"/>
        <v>4.5510036131048333</v>
      </c>
      <c r="AF321" s="249">
        <f t="shared" si="243"/>
        <v>4.8146038885566869</v>
      </c>
      <c r="AG321" s="249">
        <f t="shared" si="243"/>
        <v>5.0809355930461493</v>
      </c>
      <c r="AI321" s="763"/>
      <c r="AJ321" s="323"/>
    </row>
    <row r="322" spans="1:37" s="181" customFormat="1">
      <c r="A322" s="181" t="s">
        <v>1594</v>
      </c>
      <c r="B322" s="349" t="s">
        <v>704</v>
      </c>
      <c r="C322" s="249">
        <f>IF(C320-C321&lt;0,0,C320-C321)</f>
        <v>0</v>
      </c>
      <c r="D322" s="249">
        <f t="shared" ref="D322:AG322" si="244">IF(D320-D321&lt;0,0,D320-D321)</f>
        <v>0</v>
      </c>
      <c r="E322" s="249">
        <f t="shared" si="244"/>
        <v>0</v>
      </c>
      <c r="F322" s="249">
        <f t="shared" si="244"/>
        <v>0</v>
      </c>
      <c r="G322" s="249">
        <f t="shared" si="244"/>
        <v>0</v>
      </c>
      <c r="H322" s="249">
        <f t="shared" si="244"/>
        <v>0</v>
      </c>
      <c r="I322" s="249">
        <f t="shared" si="244"/>
        <v>0</v>
      </c>
      <c r="J322" s="249">
        <f t="shared" si="244"/>
        <v>0</v>
      </c>
      <c r="K322" s="249">
        <f t="shared" si="244"/>
        <v>0</v>
      </c>
      <c r="L322" s="249">
        <f t="shared" si="244"/>
        <v>0</v>
      </c>
      <c r="M322" s="249">
        <f t="shared" si="244"/>
        <v>0</v>
      </c>
      <c r="N322" s="249">
        <f t="shared" si="244"/>
        <v>0</v>
      </c>
      <c r="O322" s="249">
        <f t="shared" si="244"/>
        <v>0</v>
      </c>
      <c r="P322" s="249">
        <f t="shared" si="244"/>
        <v>0</v>
      </c>
      <c r="Q322" s="249">
        <f t="shared" si="244"/>
        <v>0</v>
      </c>
      <c r="R322" s="249">
        <f t="shared" si="244"/>
        <v>0</v>
      </c>
      <c r="S322" s="249">
        <f t="shared" si="244"/>
        <v>0</v>
      </c>
      <c r="T322" s="249">
        <f t="shared" si="244"/>
        <v>0</v>
      </c>
      <c r="U322" s="249">
        <f t="shared" si="244"/>
        <v>0</v>
      </c>
      <c r="V322" s="249">
        <f t="shared" si="244"/>
        <v>0</v>
      </c>
      <c r="W322" s="249">
        <f t="shared" si="244"/>
        <v>0</v>
      </c>
      <c r="X322" s="249">
        <f t="shared" si="244"/>
        <v>0</v>
      </c>
      <c r="Y322" s="249">
        <f t="shared" si="244"/>
        <v>0</v>
      </c>
      <c r="Z322" s="249">
        <f t="shared" si="244"/>
        <v>0</v>
      </c>
      <c r="AA322" s="249">
        <f t="shared" si="244"/>
        <v>0</v>
      </c>
      <c r="AB322" s="249">
        <f t="shared" si="244"/>
        <v>0</v>
      </c>
      <c r="AC322" s="249">
        <f t="shared" si="244"/>
        <v>0</v>
      </c>
      <c r="AD322" s="249">
        <f t="shared" si="244"/>
        <v>0</v>
      </c>
      <c r="AE322" s="249">
        <f t="shared" si="244"/>
        <v>0</v>
      </c>
      <c r="AF322" s="249">
        <f t="shared" si="244"/>
        <v>0</v>
      </c>
      <c r="AG322" s="249">
        <f t="shared" si="244"/>
        <v>0</v>
      </c>
      <c r="AI322" s="763"/>
      <c r="AJ322" s="323"/>
    </row>
    <row r="323" spans="1:37" s="181" customFormat="1">
      <c r="A323" s="181" t="s">
        <v>1595</v>
      </c>
      <c r="B323" s="349" t="s">
        <v>704</v>
      </c>
      <c r="C323" s="249">
        <f>C317*C274+C271*C320+C307+IF(C300&gt;C320,C300-C320,0)</f>
        <v>0.85946326247198923</v>
      </c>
      <c r="D323" s="249">
        <f t="shared" ref="D323:AG323" si="245">D317*D274+D271*D320+D307+IF(D300&gt;D320,D300-D320,0)</f>
        <v>1.2939363414766349</v>
      </c>
      <c r="E323" s="249">
        <f t="shared" si="245"/>
        <v>1.402120032649379</v>
      </c>
      <c r="F323" s="249">
        <f t="shared" si="245"/>
        <v>1.5113183559517651</v>
      </c>
      <c r="G323" s="249">
        <f t="shared" si="245"/>
        <v>1.6208073718851634</v>
      </c>
      <c r="H323" s="249">
        <f t="shared" si="245"/>
        <v>1.7298300223349878</v>
      </c>
      <c r="I323" s="249">
        <f t="shared" si="245"/>
        <v>1.8415692633189489</v>
      </c>
      <c r="J323" s="249">
        <f t="shared" si="245"/>
        <v>1.9559350685109811</v>
      </c>
      <c r="K323" s="249">
        <f t="shared" si="245"/>
        <v>2.0728285483243623</v>
      </c>
      <c r="L323" s="249">
        <f t="shared" si="245"/>
        <v>2.1921419420328139</v>
      </c>
      <c r="M323" s="249">
        <f t="shared" si="245"/>
        <v>2.3137586390479319</v>
      </c>
      <c r="N323" s="249">
        <f t="shared" si="245"/>
        <v>2.3798581259092373</v>
      </c>
      <c r="O323" s="249">
        <f t="shared" si="245"/>
        <v>2.4419809161805874</v>
      </c>
      <c r="P323" s="249">
        <f t="shared" si="245"/>
        <v>2.5000100282052715</v>
      </c>
      <c r="Q323" s="249">
        <f t="shared" si="245"/>
        <v>2.5532370916450766</v>
      </c>
      <c r="R323" s="249">
        <f t="shared" si="245"/>
        <v>2.6012775938794706</v>
      </c>
      <c r="S323" s="249">
        <f t="shared" si="245"/>
        <v>2.6485380500912834</v>
      </c>
      <c r="T323" s="249">
        <f t="shared" si="245"/>
        <v>2.694928285658146</v>
      </c>
      <c r="U323" s="249">
        <f t="shared" si="245"/>
        <v>2.740355959944289</v>
      </c>
      <c r="V323" s="249">
        <f t="shared" si="245"/>
        <v>2.7847265959171308</v>
      </c>
      <c r="W323" s="249">
        <f t="shared" si="245"/>
        <v>2.8279436125985162</v>
      </c>
      <c r="X323" s="249">
        <f t="shared" si="245"/>
        <v>2.7900625549649369</v>
      </c>
      <c r="Y323" s="249">
        <f t="shared" si="245"/>
        <v>2.7487965644250072</v>
      </c>
      <c r="Z323" s="249">
        <f t="shared" si="245"/>
        <v>2.7043979533856852</v>
      </c>
      <c r="AA323" s="249">
        <f t="shared" si="245"/>
        <v>2.6562824455522174</v>
      </c>
      <c r="AB323" s="249">
        <f t="shared" si="245"/>
        <v>2.604302154456883</v>
      </c>
      <c r="AC323" s="249">
        <f t="shared" si="245"/>
        <v>2.548330962855526</v>
      </c>
      <c r="AD323" s="249">
        <f t="shared" si="245"/>
        <v>2.4882147253191071</v>
      </c>
      <c r="AE323" s="249">
        <f t="shared" si="245"/>
        <v>2.4237968526221088</v>
      </c>
      <c r="AF323" s="249">
        <f t="shared" si="245"/>
        <v>2.3549183651638566</v>
      </c>
      <c r="AG323" s="249">
        <f t="shared" si="245"/>
        <v>2.2814179496151583</v>
      </c>
      <c r="AI323" s="763"/>
      <c r="AJ323" s="323"/>
    </row>
    <row r="324" spans="1:37" s="181" customFormat="1">
      <c r="A324" s="181" t="s">
        <v>1596</v>
      </c>
      <c r="B324" s="349" t="s">
        <v>704</v>
      </c>
      <c r="C324" s="249">
        <f>C303-C322</f>
        <v>8.5966924019978581</v>
      </c>
      <c r="D324" s="249">
        <f t="shared" ref="D324:AF324" si="246">D303-D322</f>
        <v>8.8140240547226405</v>
      </c>
      <c r="E324" s="249">
        <f t="shared" si="246"/>
        <v>9.0122644094057822</v>
      </c>
      <c r="F324" s="249">
        <f t="shared" si="246"/>
        <v>9.1899005217528913</v>
      </c>
      <c r="G324" s="249">
        <f t="shared" si="246"/>
        <v>9.3455577688203206</v>
      </c>
      <c r="H324" s="249">
        <f t="shared" si="246"/>
        <v>9.4780175492890724</v>
      </c>
      <c r="I324" s="249">
        <f t="shared" si="246"/>
        <v>9.606915027813038</v>
      </c>
      <c r="J324" s="249">
        <f t="shared" si="246"/>
        <v>9.7320391766913801</v>
      </c>
      <c r="K324" s="249">
        <f t="shared" si="246"/>
        <v>9.8531817073770913</v>
      </c>
      <c r="L324" s="249">
        <f t="shared" si="246"/>
        <v>9.9701375981461631</v>
      </c>
      <c r="M324" s="249">
        <f t="shared" si="246"/>
        <v>10.082705623025872</v>
      </c>
      <c r="N324" s="249">
        <f t="shared" si="246"/>
        <v>10.176108137844617</v>
      </c>
      <c r="O324" s="249">
        <f t="shared" si="246"/>
        <v>10.249739145127823</v>
      </c>
      <c r="P324" s="249">
        <f t="shared" si="246"/>
        <v>10.304059088768023</v>
      </c>
      <c r="Q324" s="249">
        <f t="shared" si="246"/>
        <v>10.337745581608017</v>
      </c>
      <c r="R324" s="249">
        <f t="shared" si="246"/>
        <v>10.350540472629737</v>
      </c>
      <c r="S324" s="249">
        <f t="shared" si="246"/>
        <v>10.360944582855828</v>
      </c>
      <c r="T324" s="249">
        <f t="shared" si="246"/>
        <v>10.368935373998122</v>
      </c>
      <c r="U324" s="249">
        <f t="shared" si="246"/>
        <v>10.374491529355531</v>
      </c>
      <c r="V324" s="249">
        <f t="shared" si="246"/>
        <v>10.377592983340389</v>
      </c>
      <c r="W324" s="249">
        <f t="shared" si="246"/>
        <v>10.378220950285483</v>
      </c>
      <c r="X324" s="249">
        <f t="shared" si="246"/>
        <v>10.376472241973175</v>
      </c>
      <c r="Y324" s="249">
        <f t="shared" si="246"/>
        <v>10.372330748256489</v>
      </c>
      <c r="Z324" s="249">
        <f t="shared" si="246"/>
        <v>10.367219155450407</v>
      </c>
      <c r="AA324" s="249">
        <f t="shared" si="246"/>
        <v>10.359683421518184</v>
      </c>
      <c r="AB324" s="249">
        <f t="shared" si="246"/>
        <v>10.349710089611031</v>
      </c>
      <c r="AC324" s="249">
        <f t="shared" si="246"/>
        <v>10.337384695309289</v>
      </c>
      <c r="AD324" s="249">
        <f t="shared" si="246"/>
        <v>10.322696036441529</v>
      </c>
      <c r="AE324" s="249">
        <f t="shared" si="246"/>
        <v>10.305634077840356</v>
      </c>
      <c r="AF324" s="249">
        <f t="shared" si="246"/>
        <v>10.286189971076846</v>
      </c>
      <c r="AG324" s="249">
        <f>AG303-AG322</f>
        <v>10.26435607355816</v>
      </c>
      <c r="AI324" s="763"/>
      <c r="AJ324" s="323"/>
    </row>
    <row r="325" spans="1:37" s="181" customFormat="1">
      <c r="B325" s="350"/>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c r="AG325" s="327"/>
      <c r="AJ325" s="323"/>
    </row>
    <row r="326" spans="1:37" s="181" customFormat="1">
      <c r="A326" s="181" t="s">
        <v>1400</v>
      </c>
      <c r="B326" s="350" t="s">
        <v>462</v>
      </c>
      <c r="C326" s="296">
        <v>0.8</v>
      </c>
      <c r="D326" s="317">
        <f>C326</f>
        <v>0.8</v>
      </c>
      <c r="E326" s="317">
        <f t="shared" ref="E326:AG326" si="247">D326</f>
        <v>0.8</v>
      </c>
      <c r="F326" s="317">
        <f t="shared" si="247"/>
        <v>0.8</v>
      </c>
      <c r="G326" s="317">
        <f t="shared" si="247"/>
        <v>0.8</v>
      </c>
      <c r="H326" s="317">
        <f t="shared" si="247"/>
        <v>0.8</v>
      </c>
      <c r="I326" s="317">
        <f t="shared" si="247"/>
        <v>0.8</v>
      </c>
      <c r="J326" s="317">
        <f t="shared" si="247"/>
        <v>0.8</v>
      </c>
      <c r="K326" s="317">
        <f t="shared" si="247"/>
        <v>0.8</v>
      </c>
      <c r="L326" s="317">
        <f t="shared" si="247"/>
        <v>0.8</v>
      </c>
      <c r="M326" s="317">
        <f>L326</f>
        <v>0.8</v>
      </c>
      <c r="N326" s="317">
        <f t="shared" si="247"/>
        <v>0.8</v>
      </c>
      <c r="O326" s="317">
        <f t="shared" si="247"/>
        <v>0.8</v>
      </c>
      <c r="P326" s="317">
        <f t="shared" si="247"/>
        <v>0.8</v>
      </c>
      <c r="Q326" s="317">
        <f t="shared" si="247"/>
        <v>0.8</v>
      </c>
      <c r="R326" s="317">
        <f t="shared" si="247"/>
        <v>0.8</v>
      </c>
      <c r="S326" s="317">
        <f t="shared" si="247"/>
        <v>0.8</v>
      </c>
      <c r="T326" s="317">
        <f t="shared" si="247"/>
        <v>0.8</v>
      </c>
      <c r="U326" s="317">
        <f t="shared" si="247"/>
        <v>0.8</v>
      </c>
      <c r="V326" s="317">
        <f t="shared" si="247"/>
        <v>0.8</v>
      </c>
      <c r="W326" s="317">
        <f t="shared" si="247"/>
        <v>0.8</v>
      </c>
      <c r="X326" s="317">
        <f t="shared" si="247"/>
        <v>0.8</v>
      </c>
      <c r="Y326" s="317">
        <f t="shared" si="247"/>
        <v>0.8</v>
      </c>
      <c r="Z326" s="317">
        <f t="shared" si="247"/>
        <v>0.8</v>
      </c>
      <c r="AA326" s="317">
        <f t="shared" si="247"/>
        <v>0.8</v>
      </c>
      <c r="AB326" s="317">
        <f t="shared" si="247"/>
        <v>0.8</v>
      </c>
      <c r="AC326" s="317">
        <f t="shared" si="247"/>
        <v>0.8</v>
      </c>
      <c r="AD326" s="317">
        <f t="shared" si="247"/>
        <v>0.8</v>
      </c>
      <c r="AE326" s="317">
        <f t="shared" si="247"/>
        <v>0.8</v>
      </c>
      <c r="AF326" s="317">
        <f t="shared" si="247"/>
        <v>0.8</v>
      </c>
      <c r="AG326" s="317">
        <f t="shared" si="247"/>
        <v>0.8</v>
      </c>
      <c r="AJ326" s="323" t="s">
        <v>1401</v>
      </c>
    </row>
    <row r="327" spans="1:37" s="181" customFormat="1">
      <c r="B327" s="350"/>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J327" s="323"/>
    </row>
    <row r="328" spans="1:37" s="181" customFormat="1">
      <c r="A328" s="181" t="s">
        <v>1402</v>
      </c>
      <c r="B328" s="350" t="s">
        <v>704</v>
      </c>
      <c r="C328" s="327">
        <f>C262*C323*C326</f>
        <v>0.15126553419507011</v>
      </c>
      <c r="D328" s="327">
        <f t="shared" ref="D328:AG328" si="248">D262*D323*D326</f>
        <v>0.23463378992109646</v>
      </c>
      <c r="E328" s="327">
        <f t="shared" si="248"/>
        <v>0.26172907276121737</v>
      </c>
      <c r="F328" s="327">
        <f t="shared" si="248"/>
        <v>0.2901731243427389</v>
      </c>
      <c r="G328" s="327">
        <f t="shared" si="248"/>
        <v>0.31983932138533888</v>
      </c>
      <c r="H328" s="327">
        <f t="shared" si="248"/>
        <v>0.3505788845265575</v>
      </c>
      <c r="I328" s="327">
        <f t="shared" si="248"/>
        <v>0.38304640677034135</v>
      </c>
      <c r="J328" s="327">
        <f t="shared" si="248"/>
        <v>0.41726614794900918</v>
      </c>
      <c r="K328" s="327">
        <f t="shared" si="248"/>
        <v>0.45325850923359373</v>
      </c>
      <c r="L328" s="327">
        <f t="shared" si="248"/>
        <v>0.49103979501535017</v>
      </c>
      <c r="M328" s="327">
        <f t="shared" si="248"/>
        <v>0.53062198122165893</v>
      </c>
      <c r="N328" s="327">
        <f t="shared" si="248"/>
        <v>0.55847337354670079</v>
      </c>
      <c r="O328" s="327">
        <f t="shared" si="248"/>
        <v>0.58607541988334078</v>
      </c>
      <c r="P328" s="327">
        <f t="shared" si="248"/>
        <v>0.6133357935863597</v>
      </c>
      <c r="Q328" s="327">
        <f t="shared" si="248"/>
        <v>0.64001143097236568</v>
      </c>
      <c r="R328" s="327">
        <f t="shared" si="248"/>
        <v>0.66592706403314417</v>
      </c>
      <c r="S328" s="327">
        <f t="shared" si="248"/>
        <v>0.69215127709052171</v>
      </c>
      <c r="T328" s="327">
        <f t="shared" si="248"/>
        <v>0.71864754284217192</v>
      </c>
      <c r="U328" s="327">
        <f t="shared" si="248"/>
        <v>0.74537682110484615</v>
      </c>
      <c r="V328" s="327">
        <f t="shared" si="248"/>
        <v>0.77229750926768381</v>
      </c>
      <c r="W328" s="327">
        <f t="shared" si="248"/>
        <v>0.79936539449451338</v>
      </c>
      <c r="X328" s="327">
        <f t="shared" si="248"/>
        <v>0.80353801582990136</v>
      </c>
      <c r="Y328" s="327">
        <f t="shared" si="248"/>
        <v>0.80631365889800155</v>
      </c>
      <c r="Z328" s="327">
        <f t="shared" si="248"/>
        <v>0.80771352207785752</v>
      </c>
      <c r="AA328" s="327">
        <f t="shared" si="248"/>
        <v>0.80750986344787357</v>
      </c>
      <c r="AB328" s="327">
        <f t="shared" si="248"/>
        <v>0.8055974664453287</v>
      </c>
      <c r="AC328" s="327">
        <f t="shared" si="248"/>
        <v>0.80187480964520486</v>
      </c>
      <c r="AD328" s="327">
        <f t="shared" si="248"/>
        <v>0.79622871210211377</v>
      </c>
      <c r="AE328" s="327">
        <f t="shared" si="248"/>
        <v>0.78854190938639213</v>
      </c>
      <c r="AF328" s="327">
        <f t="shared" si="248"/>
        <v>0.7786930060808479</v>
      </c>
      <c r="AG328" s="327">
        <f t="shared" si="248"/>
        <v>0.76655643107069327</v>
      </c>
      <c r="AJ328" s="323"/>
    </row>
    <row r="329" spans="1:37" s="181" customFormat="1">
      <c r="A329" s="181" t="s">
        <v>1403</v>
      </c>
      <c r="B329" s="350" t="s">
        <v>704</v>
      </c>
      <c r="C329" s="327">
        <f>C323*C326-C328</f>
        <v>0.5363050757825214</v>
      </c>
      <c r="D329" s="327">
        <f t="shared" ref="D329:AG329" si="249">D323*D326-D328</f>
        <v>0.8005152832602116</v>
      </c>
      <c r="E329" s="327">
        <f t="shared" si="249"/>
        <v>0.85996695335828588</v>
      </c>
      <c r="F329" s="327">
        <f t="shared" si="249"/>
        <v>0.91888156041867319</v>
      </c>
      <c r="G329" s="327">
        <f t="shared" si="249"/>
        <v>0.97680657612279187</v>
      </c>
      <c r="H329" s="327">
        <f t="shared" si="249"/>
        <v>1.0332851333414328</v>
      </c>
      <c r="I329" s="327">
        <f t="shared" si="249"/>
        <v>1.0902090038848178</v>
      </c>
      <c r="J329" s="327">
        <f t="shared" si="249"/>
        <v>1.1474819068597757</v>
      </c>
      <c r="K329" s="327">
        <f t="shared" si="249"/>
        <v>1.2050043294258963</v>
      </c>
      <c r="L329" s="327">
        <f t="shared" si="249"/>
        <v>1.2626737586109009</v>
      </c>
      <c r="M329" s="327">
        <f t="shared" si="249"/>
        <v>1.3203849300166866</v>
      </c>
      <c r="N329" s="327">
        <f t="shared" si="249"/>
        <v>1.3454131271806893</v>
      </c>
      <c r="O329" s="327">
        <f t="shared" si="249"/>
        <v>1.3675093130611291</v>
      </c>
      <c r="P329" s="327">
        <f t="shared" si="249"/>
        <v>1.3866722289778577</v>
      </c>
      <c r="Q329" s="327">
        <f t="shared" si="249"/>
        <v>1.4025782423436959</v>
      </c>
      <c r="R329" s="327">
        <f t="shared" si="249"/>
        <v>1.4150950110704326</v>
      </c>
      <c r="S329" s="327">
        <f t="shared" si="249"/>
        <v>1.4266791629825053</v>
      </c>
      <c r="T329" s="327">
        <f t="shared" si="249"/>
        <v>1.4372950856843452</v>
      </c>
      <c r="U329" s="327">
        <f t="shared" si="249"/>
        <v>1.446907946850585</v>
      </c>
      <c r="V329" s="327">
        <f t="shared" si="249"/>
        <v>1.4554837674660208</v>
      </c>
      <c r="W329" s="327">
        <f t="shared" si="249"/>
        <v>1.4629894955842997</v>
      </c>
      <c r="X329" s="327">
        <f t="shared" si="249"/>
        <v>1.4285120281420483</v>
      </c>
      <c r="Y329" s="327">
        <f t="shared" si="249"/>
        <v>1.3927235926420043</v>
      </c>
      <c r="Z329" s="327">
        <f t="shared" si="249"/>
        <v>1.3558048406306908</v>
      </c>
      <c r="AA329" s="327">
        <f t="shared" si="249"/>
        <v>1.3175160929939005</v>
      </c>
      <c r="AB329" s="327">
        <f t="shared" si="249"/>
        <v>1.2778442571201776</v>
      </c>
      <c r="AC329" s="327">
        <f t="shared" si="249"/>
        <v>1.2367899606392161</v>
      </c>
      <c r="AD329" s="327">
        <f t="shared" si="249"/>
        <v>1.1943430681531719</v>
      </c>
      <c r="AE329" s="327">
        <f t="shared" si="249"/>
        <v>1.1504955727112949</v>
      </c>
      <c r="AF329" s="327">
        <f t="shared" si="249"/>
        <v>1.1052416860502374</v>
      </c>
      <c r="AG329" s="327">
        <f t="shared" si="249"/>
        <v>1.0585779286214336</v>
      </c>
      <c r="AJ329" s="323"/>
    </row>
    <row r="330" spans="1:37" s="181" customFormat="1">
      <c r="B330" s="176"/>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J330" s="323"/>
    </row>
    <row r="331" spans="1:37" s="181" customFormat="1">
      <c r="B331" s="210" t="s">
        <v>492</v>
      </c>
      <c r="C331" s="331">
        <v>0</v>
      </c>
      <c r="D331" s="331">
        <f>C331+1</f>
        <v>1</v>
      </c>
      <c r="E331" s="331">
        <f t="shared" ref="E331:AG331" si="250">D331+1</f>
        <v>2</v>
      </c>
      <c r="F331" s="331">
        <f t="shared" si="250"/>
        <v>3</v>
      </c>
      <c r="G331" s="331">
        <f t="shared" si="250"/>
        <v>4</v>
      </c>
      <c r="H331" s="331">
        <f t="shared" si="250"/>
        <v>5</v>
      </c>
      <c r="I331" s="331">
        <f t="shared" si="250"/>
        <v>6</v>
      </c>
      <c r="J331" s="331">
        <f t="shared" si="250"/>
        <v>7</v>
      </c>
      <c r="K331" s="331">
        <f t="shared" si="250"/>
        <v>8</v>
      </c>
      <c r="L331" s="331">
        <f t="shared" si="250"/>
        <v>9</v>
      </c>
      <c r="M331" s="331">
        <f t="shared" si="250"/>
        <v>10</v>
      </c>
      <c r="N331" s="331">
        <f t="shared" si="250"/>
        <v>11</v>
      </c>
      <c r="O331" s="331">
        <f t="shared" si="250"/>
        <v>12</v>
      </c>
      <c r="P331" s="331">
        <f t="shared" si="250"/>
        <v>13</v>
      </c>
      <c r="Q331" s="331">
        <f t="shared" si="250"/>
        <v>14</v>
      </c>
      <c r="R331" s="331">
        <f t="shared" si="250"/>
        <v>15</v>
      </c>
      <c r="S331" s="331">
        <f t="shared" si="250"/>
        <v>16</v>
      </c>
      <c r="T331" s="331">
        <f t="shared" si="250"/>
        <v>17</v>
      </c>
      <c r="U331" s="331">
        <f t="shared" si="250"/>
        <v>18</v>
      </c>
      <c r="V331" s="331">
        <f t="shared" si="250"/>
        <v>19</v>
      </c>
      <c r="W331" s="331">
        <f t="shared" si="250"/>
        <v>20</v>
      </c>
      <c r="X331" s="331">
        <f t="shared" si="250"/>
        <v>21</v>
      </c>
      <c r="Y331" s="331">
        <f t="shared" si="250"/>
        <v>22</v>
      </c>
      <c r="Z331" s="331">
        <f t="shared" si="250"/>
        <v>23</v>
      </c>
      <c r="AA331" s="331">
        <f t="shared" si="250"/>
        <v>24</v>
      </c>
      <c r="AB331" s="331">
        <f t="shared" si="250"/>
        <v>25</v>
      </c>
      <c r="AC331" s="331">
        <f t="shared" si="250"/>
        <v>26</v>
      </c>
      <c r="AD331" s="331">
        <f t="shared" si="250"/>
        <v>27</v>
      </c>
      <c r="AE331" s="331">
        <f t="shared" si="250"/>
        <v>28</v>
      </c>
      <c r="AF331" s="331">
        <f t="shared" si="250"/>
        <v>29</v>
      </c>
      <c r="AG331" s="331">
        <f t="shared" si="250"/>
        <v>30</v>
      </c>
      <c r="AJ331" s="323" t="s">
        <v>493</v>
      </c>
      <c r="AK331" s="181">
        <f>'Propylene Recycling HC'!AK199</f>
        <v>1.9</v>
      </c>
    </row>
    <row r="332" spans="1:37" s="181" customFormat="1">
      <c r="A332" s="181" t="s">
        <v>1404</v>
      </c>
      <c r="B332" s="176"/>
      <c r="C332" s="333">
        <f>$AK$333/((1+EXP(-$AK$332*(C331-$AK$334)))^$AK$331)</f>
        <v>4.6088632748610021E-5</v>
      </c>
      <c r="D332" s="333">
        <f t="shared" ref="D332:AG332" si="251">$AK$333/((1+EXP(-$AK$332*(D331-$AK$334)))^$AK$331)</f>
        <v>8.924759460408035E-5</v>
      </c>
      <c r="E332" s="333">
        <f t="shared" si="251"/>
        <v>1.7252431976790472E-4</v>
      </c>
      <c r="F332" s="333">
        <f t="shared" si="251"/>
        <v>3.3269643715580369E-4</v>
      </c>
      <c r="G332" s="333">
        <f t="shared" si="251"/>
        <v>6.393827369910735E-4</v>
      </c>
      <c r="H332" s="333">
        <f t="shared" si="251"/>
        <v>1.2229053771654547E-3</v>
      </c>
      <c r="I332" s="333">
        <f t="shared" si="251"/>
        <v>2.3234018804222717E-3</v>
      </c>
      <c r="J332" s="333">
        <f t="shared" si="251"/>
        <v>4.3736281679830789E-3</v>
      </c>
      <c r="K332" s="333">
        <f t="shared" si="251"/>
        <v>8.1294184230466908E-3</v>
      </c>
      <c r="L332" s="333">
        <f t="shared" si="251"/>
        <v>1.4853985082038716E-2</v>
      </c>
      <c r="M332" s="333">
        <f t="shared" si="251"/>
        <v>2.6531412096832362E-2</v>
      </c>
      <c r="N332" s="333">
        <f t="shared" si="251"/>
        <v>4.6014759335105015E-2</v>
      </c>
      <c r="O332" s="333">
        <f t="shared" si="251"/>
        <v>7.6910635328419796E-2</v>
      </c>
      <c r="P332" s="333">
        <f t="shared" si="251"/>
        <v>0.12294065829885638</v>
      </c>
      <c r="Q332" s="333">
        <f t="shared" si="251"/>
        <v>0.18666754187878853</v>
      </c>
      <c r="R332" s="333">
        <f t="shared" si="251"/>
        <v>0.26794336563407328</v>
      </c>
      <c r="S332" s="333">
        <f t="shared" si="251"/>
        <v>0.36297326582455031</v>
      </c>
      <c r="T332" s="333">
        <f t="shared" si="251"/>
        <v>0.46484396312424381</v>
      </c>
      <c r="U332" s="333">
        <f t="shared" si="251"/>
        <v>0.56546260593861253</v>
      </c>
      <c r="V332" s="333">
        <f t="shared" si="251"/>
        <v>0.6578403022607352</v>
      </c>
      <c r="W332" s="333">
        <f t="shared" si="251"/>
        <v>0.73754668886795227</v>
      </c>
      <c r="X332" s="333">
        <f t="shared" si="251"/>
        <v>0.80293052021410605</v>
      </c>
      <c r="Y332" s="333">
        <f t="shared" si="251"/>
        <v>0.85447682949112158</v>
      </c>
      <c r="Z332" s="333">
        <f t="shared" si="251"/>
        <v>0.89389910336617451</v>
      </c>
      <c r="AA332" s="333">
        <f t="shared" si="251"/>
        <v>0.92337223319290385</v>
      </c>
      <c r="AB332" s="333">
        <f t="shared" si="251"/>
        <v>0.94504210708611314</v>
      </c>
      <c r="AC332" s="333">
        <f t="shared" si="251"/>
        <v>0.96078240575184182</v>
      </c>
      <c r="AD332" s="333">
        <f t="shared" si="251"/>
        <v>0.97211605463477313</v>
      </c>
      <c r="AE332" s="333">
        <f t="shared" si="251"/>
        <v>0.98022577885232642</v>
      </c>
      <c r="AF332" s="333">
        <f t="shared" si="251"/>
        <v>0.98600279580400285</v>
      </c>
      <c r="AG332" s="333">
        <f t="shared" si="251"/>
        <v>0.9901050637460882</v>
      </c>
      <c r="AI332" s="176" t="s">
        <v>494</v>
      </c>
      <c r="AJ332" s="323" t="s">
        <v>495</v>
      </c>
      <c r="AK332" s="181">
        <f>'Propylene Recycling HC'!AK200</f>
        <v>0.35</v>
      </c>
    </row>
    <row r="333" spans="1:37" s="181" customFormat="1">
      <c r="B333" s="176"/>
      <c r="C333" s="329">
        <v>0</v>
      </c>
      <c r="D333" s="329">
        <v>0</v>
      </c>
      <c r="E333" s="329">
        <v>0</v>
      </c>
      <c r="F333" s="329">
        <v>0</v>
      </c>
      <c r="G333" s="329">
        <v>0</v>
      </c>
      <c r="H333" s="329">
        <v>0</v>
      </c>
      <c r="I333" s="329">
        <v>0</v>
      </c>
      <c r="J333" s="329">
        <v>0</v>
      </c>
      <c r="K333" s="329">
        <v>0</v>
      </c>
      <c r="L333" s="329">
        <v>0</v>
      </c>
      <c r="M333" s="329">
        <f>C332</f>
        <v>4.6088632748610021E-5</v>
      </c>
      <c r="N333" s="329">
        <v>0</v>
      </c>
      <c r="O333" s="329">
        <v>0</v>
      </c>
      <c r="P333" s="329">
        <v>0</v>
      </c>
      <c r="Q333" s="329">
        <v>0</v>
      </c>
      <c r="R333" s="329">
        <f t="shared" ref="R333:AG333" si="252">C332</f>
        <v>4.6088632748610021E-5</v>
      </c>
      <c r="S333" s="329">
        <f t="shared" si="252"/>
        <v>8.924759460408035E-5</v>
      </c>
      <c r="T333" s="329">
        <f t="shared" si="252"/>
        <v>1.7252431976790472E-4</v>
      </c>
      <c r="U333" s="329">
        <f t="shared" si="252"/>
        <v>3.3269643715580369E-4</v>
      </c>
      <c r="V333" s="329">
        <f t="shared" si="252"/>
        <v>6.393827369910735E-4</v>
      </c>
      <c r="W333" s="329">
        <f t="shared" si="252"/>
        <v>1.2229053771654547E-3</v>
      </c>
      <c r="X333" s="329">
        <f t="shared" si="252"/>
        <v>2.3234018804222717E-3</v>
      </c>
      <c r="Y333" s="329">
        <f t="shared" si="252"/>
        <v>4.3736281679830789E-3</v>
      </c>
      <c r="Z333" s="329">
        <f t="shared" si="252"/>
        <v>8.1294184230466908E-3</v>
      </c>
      <c r="AA333" s="329">
        <f t="shared" si="252"/>
        <v>1.4853985082038716E-2</v>
      </c>
      <c r="AB333" s="329">
        <f t="shared" si="252"/>
        <v>2.6531412096832362E-2</v>
      </c>
      <c r="AC333" s="329">
        <f t="shared" si="252"/>
        <v>4.6014759335105015E-2</v>
      </c>
      <c r="AD333" s="329">
        <f t="shared" si="252"/>
        <v>7.6910635328419796E-2</v>
      </c>
      <c r="AE333" s="329">
        <f t="shared" si="252"/>
        <v>0.12294065829885638</v>
      </c>
      <c r="AF333" s="329">
        <f t="shared" si="252"/>
        <v>0.18666754187878853</v>
      </c>
      <c r="AG333" s="329">
        <f t="shared" si="252"/>
        <v>0.26794336563407328</v>
      </c>
      <c r="AI333" s="176" t="s">
        <v>496</v>
      </c>
      <c r="AJ333" s="323" t="s">
        <v>497</v>
      </c>
      <c r="AK333" s="181">
        <f>'Propylene Recycling HC'!AK201</f>
        <v>1</v>
      </c>
    </row>
    <row r="334" spans="1:37" s="181" customFormat="1">
      <c r="B334" s="176"/>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c r="AG334" s="327"/>
      <c r="AJ334" s="323" t="s">
        <v>498</v>
      </c>
      <c r="AK334" s="181">
        <f>'Propylene Recycling HC'!AK202</f>
        <v>15</v>
      </c>
    </row>
    <row r="335" spans="1:37" s="181" customFormat="1">
      <c r="A335" s="181" t="s">
        <v>1460</v>
      </c>
      <c r="B335" s="176" t="s">
        <v>462</v>
      </c>
      <c r="C335" s="328">
        <f>('Overall recycling rates'!G12+'Overall recycling rates'!G15)*'Overall recycling rates'!G57/(SUMPRODUCT('Overall recycling rates'!C57:I57,'Overall recycling rates'!C12:I12)+SUMPRODUCT('Overall recycling rates'!C15:I15,'Overall recycling rates'!C57:I57))</f>
        <v>8.5469247930390777E-2</v>
      </c>
      <c r="D335" s="328">
        <f>C335</f>
        <v>8.5469247930390777E-2</v>
      </c>
      <c r="E335" s="328">
        <f t="shared" ref="E335:AG335" si="253">D335</f>
        <v>8.5469247930390777E-2</v>
      </c>
      <c r="F335" s="328">
        <f t="shared" si="253"/>
        <v>8.5469247930390777E-2</v>
      </c>
      <c r="G335" s="328">
        <f t="shared" si="253"/>
        <v>8.5469247930390777E-2</v>
      </c>
      <c r="H335" s="328">
        <f t="shared" si="253"/>
        <v>8.5469247930390777E-2</v>
      </c>
      <c r="I335" s="328">
        <f t="shared" si="253"/>
        <v>8.5469247930390777E-2</v>
      </c>
      <c r="J335" s="328">
        <f t="shared" si="253"/>
        <v>8.5469247930390777E-2</v>
      </c>
      <c r="K335" s="328">
        <f t="shared" si="253"/>
        <v>8.5469247930390777E-2</v>
      </c>
      <c r="L335" s="328">
        <f t="shared" si="253"/>
        <v>8.5469247930390777E-2</v>
      </c>
      <c r="M335" s="328">
        <f t="shared" si="253"/>
        <v>8.5469247930390777E-2</v>
      </c>
      <c r="N335" s="328">
        <f t="shared" si="253"/>
        <v>8.5469247930390777E-2</v>
      </c>
      <c r="O335" s="328">
        <f t="shared" si="253"/>
        <v>8.5469247930390777E-2</v>
      </c>
      <c r="P335" s="328">
        <f t="shared" si="253"/>
        <v>8.5469247930390777E-2</v>
      </c>
      <c r="Q335" s="328">
        <f t="shared" si="253"/>
        <v>8.5469247930390777E-2</v>
      </c>
      <c r="R335" s="328">
        <f t="shared" si="253"/>
        <v>8.5469247930390777E-2</v>
      </c>
      <c r="S335" s="328">
        <f t="shared" si="253"/>
        <v>8.5469247930390777E-2</v>
      </c>
      <c r="T335" s="328">
        <f t="shared" si="253"/>
        <v>8.5469247930390777E-2</v>
      </c>
      <c r="U335" s="328">
        <f t="shared" si="253"/>
        <v>8.5469247930390777E-2</v>
      </c>
      <c r="V335" s="328">
        <f t="shared" si="253"/>
        <v>8.5469247930390777E-2</v>
      </c>
      <c r="W335" s="328">
        <f t="shared" si="253"/>
        <v>8.5469247930390777E-2</v>
      </c>
      <c r="X335" s="328">
        <f t="shared" si="253"/>
        <v>8.5469247930390777E-2</v>
      </c>
      <c r="Y335" s="328">
        <f t="shared" si="253"/>
        <v>8.5469247930390777E-2</v>
      </c>
      <c r="Z335" s="328">
        <f t="shared" si="253"/>
        <v>8.5469247930390777E-2</v>
      </c>
      <c r="AA335" s="328">
        <f t="shared" si="253"/>
        <v>8.5469247930390777E-2</v>
      </c>
      <c r="AB335" s="328">
        <f t="shared" si="253"/>
        <v>8.5469247930390777E-2</v>
      </c>
      <c r="AC335" s="328">
        <f t="shared" si="253"/>
        <v>8.5469247930390777E-2</v>
      </c>
      <c r="AD335" s="328">
        <f t="shared" si="253"/>
        <v>8.5469247930390777E-2</v>
      </c>
      <c r="AE335" s="328">
        <f t="shared" si="253"/>
        <v>8.5469247930390777E-2</v>
      </c>
      <c r="AF335" s="328">
        <f t="shared" si="253"/>
        <v>8.5469247930390777E-2</v>
      </c>
      <c r="AG335" s="328">
        <f t="shared" si="253"/>
        <v>8.5469247930390777E-2</v>
      </c>
      <c r="AI335" s="176" t="s">
        <v>1516</v>
      </c>
      <c r="AJ335" s="323"/>
    </row>
    <row r="336" spans="1:37" s="300" customFormat="1" ht="16" thickBot="1">
      <c r="A336" s="334" t="s">
        <v>1407</v>
      </c>
      <c r="B336" s="335" t="s">
        <v>704</v>
      </c>
      <c r="C336" s="336">
        <f>C335*(C328*C332+C329*C333)</f>
        <v>5.9585925954046229E-7</v>
      </c>
      <c r="D336" s="336">
        <f t="shared" ref="D336:AG336" si="254">D335*(D328*D332+D329*D333)</f>
        <v>1.7897689028063149E-6</v>
      </c>
      <c r="E336" s="336">
        <f t="shared" si="254"/>
        <v>3.8593322873255829E-6</v>
      </c>
      <c r="F336" s="336">
        <f t="shared" si="254"/>
        <v>8.2511639842139043E-6</v>
      </c>
      <c r="G336" s="336">
        <f t="shared" si="254"/>
        <v>1.7478439039992815E-5</v>
      </c>
      <c r="H336" s="336">
        <f t="shared" si="254"/>
        <v>3.6642786482215297E-5</v>
      </c>
      <c r="I336" s="336">
        <f t="shared" si="254"/>
        <v>7.6065129979920704E-5</v>
      </c>
      <c r="J336" s="336">
        <f t="shared" si="254"/>
        <v>1.5597855512588358E-4</v>
      </c>
      <c r="K336" s="336">
        <f t="shared" si="254"/>
        <v>3.149309374295501E-4</v>
      </c>
      <c r="L336" s="336">
        <f t="shared" si="254"/>
        <v>6.2340395857922242E-4</v>
      </c>
      <c r="M336" s="336">
        <f>M335*(M328*M332+M329*M333)</f>
        <v>1.2084501398642892E-3</v>
      </c>
      <c r="N336" s="336">
        <f t="shared" si="254"/>
        <v>2.1963902614041092E-3</v>
      </c>
      <c r="O336" s="336">
        <f t="shared" si="254"/>
        <v>3.8525633495526306E-3</v>
      </c>
      <c r="P336" s="336">
        <f t="shared" si="254"/>
        <v>6.444715155787417E-3</v>
      </c>
      <c r="Q336" s="336">
        <f t="shared" si="254"/>
        <v>1.0210956400688498E-2</v>
      </c>
      <c r="R336" s="336">
        <f t="shared" si="254"/>
        <v>1.5255915339996109E-2</v>
      </c>
      <c r="S336" s="336">
        <f t="shared" si="254"/>
        <v>2.1483527696220917E-2</v>
      </c>
      <c r="T336" s="336">
        <f t="shared" si="254"/>
        <v>2.8572962762036417E-2</v>
      </c>
      <c r="U336" s="336">
        <f t="shared" si="254"/>
        <v>3.6064954347888069E-2</v>
      </c>
      <c r="V336" s="336">
        <f t="shared" si="254"/>
        <v>4.3502055601027399E-2</v>
      </c>
      <c r="W336" s="336">
        <f t="shared" si="254"/>
        <v>5.054295750241003E-2</v>
      </c>
      <c r="X336" s="336">
        <f t="shared" si="254"/>
        <v>5.5427166646388561E-2</v>
      </c>
      <c r="Y336" s="336">
        <f t="shared" si="254"/>
        <v>5.9406904517021235E-2</v>
      </c>
      <c r="Z336" s="336">
        <f t="shared" si="254"/>
        <v>6.2652061096730174E-2</v>
      </c>
      <c r="AA336" s="336">
        <f t="shared" si="254"/>
        <v>6.5401286490937252E-2</v>
      </c>
      <c r="AB336" s="336">
        <f t="shared" si="254"/>
        <v>6.7967414285348055E-2</v>
      </c>
      <c r="AC336" s="336">
        <f t="shared" si="254"/>
        <v>7.0711939645221392E-2</v>
      </c>
      <c r="AD336" s="336">
        <f t="shared" si="254"/>
        <v>7.4006488323119554E-2</v>
      </c>
      <c r="AE336" s="336">
        <f t="shared" si="254"/>
        <v>7.8152378636222083E-2</v>
      </c>
      <c r="AF336" s="336">
        <f t="shared" si="254"/>
        <v>8.3256126864092631E-2</v>
      </c>
      <c r="AG336" s="336">
        <f t="shared" si="254"/>
        <v>8.9111121390490433E-2</v>
      </c>
      <c r="AJ336" s="326"/>
    </row>
    <row r="337" spans="1:36" s="230" customFormat="1">
      <c r="A337" s="325" t="s">
        <v>1408</v>
      </c>
      <c r="B337" s="324" t="s">
        <v>462</v>
      </c>
      <c r="C337" s="330">
        <v>0.5</v>
      </c>
      <c r="D337" s="330">
        <v>0.5</v>
      </c>
      <c r="E337" s="330">
        <v>0.5</v>
      </c>
      <c r="F337" s="330">
        <v>0.5</v>
      </c>
      <c r="G337" s="330">
        <v>0.5</v>
      </c>
      <c r="H337" s="330">
        <v>0.5</v>
      </c>
      <c r="I337" s="330">
        <v>0.5</v>
      </c>
      <c r="J337" s="330">
        <v>0.5</v>
      </c>
      <c r="K337" s="330">
        <v>0.5</v>
      </c>
      <c r="L337" s="330">
        <v>0.5</v>
      </c>
      <c r="M337" s="330">
        <v>0.5</v>
      </c>
      <c r="N337" s="330">
        <v>0.5</v>
      </c>
      <c r="O337" s="330">
        <v>0.5</v>
      </c>
      <c r="P337" s="330">
        <v>0.5</v>
      </c>
      <c r="Q337" s="330">
        <v>0.5</v>
      </c>
      <c r="R337" s="330">
        <v>0.5</v>
      </c>
      <c r="S337" s="330">
        <v>0.5</v>
      </c>
      <c r="T337" s="330">
        <v>0.5</v>
      </c>
      <c r="U337" s="330">
        <v>0.5</v>
      </c>
      <c r="V337" s="330">
        <v>0.5</v>
      </c>
      <c r="W337" s="330">
        <v>0.5</v>
      </c>
      <c r="X337" s="330">
        <v>0.5</v>
      </c>
      <c r="Y337" s="330">
        <v>0.5</v>
      </c>
      <c r="Z337" s="330">
        <v>0.5</v>
      </c>
      <c r="AA337" s="330">
        <v>0.5</v>
      </c>
      <c r="AB337" s="330">
        <v>0.5</v>
      </c>
      <c r="AC337" s="330">
        <v>0.5</v>
      </c>
      <c r="AD337" s="330">
        <v>0.5</v>
      </c>
      <c r="AE337" s="330">
        <v>0.5</v>
      </c>
      <c r="AF337" s="330">
        <v>0.5</v>
      </c>
      <c r="AG337" s="330">
        <v>0.5</v>
      </c>
      <c r="AJ337" s="230" t="s">
        <v>1410</v>
      </c>
    </row>
    <row r="338" spans="1:36" s="230" customFormat="1" ht="16" thickBot="1">
      <c r="A338" s="301" t="s">
        <v>1411</v>
      </c>
      <c r="B338" s="335" t="s">
        <v>704</v>
      </c>
      <c r="C338" s="336">
        <f>C337*(C328*C332+C329*C333)</f>
        <v>3.4858108265194487E-6</v>
      </c>
      <c r="D338" s="336">
        <f t="shared" ref="D338:AG338" si="255">D337*(D328*D332+D329*D333)</f>
        <v>1.0470250681648486E-5</v>
      </c>
      <c r="E338" s="336">
        <f t="shared" si="255"/>
        <v>2.2577315120806735E-5</v>
      </c>
      <c r="F338" s="336">
        <f t="shared" si="255"/>
        <v>4.8269782313598621E-5</v>
      </c>
      <c r="G338" s="336">
        <f t="shared" si="255"/>
        <v>1.0224987035236277E-4</v>
      </c>
      <c r="H338" s="336">
        <f t="shared" si="255"/>
        <v>2.1436240150409709E-4</v>
      </c>
      <c r="I338" s="336">
        <f t="shared" si="255"/>
        <v>4.4498537088960273E-4</v>
      </c>
      <c r="J338" s="336">
        <f t="shared" si="255"/>
        <v>9.1248348910779068E-4</v>
      </c>
      <c r="K338" s="336">
        <f t="shared" si="255"/>
        <v>1.8423640376831276E-3</v>
      </c>
      <c r="L338" s="336">
        <f t="shared" si="255"/>
        <v>3.6469488949226803E-3</v>
      </c>
      <c r="M338" s="336">
        <f t="shared" si="255"/>
        <v>7.0695025937779071E-3</v>
      </c>
      <c r="N338" s="336">
        <f t="shared" si="255"/>
        <v>1.2849008939407821E-2</v>
      </c>
      <c r="O338" s="336">
        <f t="shared" si="255"/>
        <v>2.2537716446799066E-2</v>
      </c>
      <c r="P338" s="336">
        <f t="shared" si="255"/>
        <v>3.7701953110879274E-2</v>
      </c>
      <c r="Q338" s="336">
        <f t="shared" si="255"/>
        <v>5.9734680296968726E-2</v>
      </c>
      <c r="R338" s="336">
        <f t="shared" si="255"/>
        <v>8.9247979299063654E-2</v>
      </c>
      <c r="S338" s="336">
        <f t="shared" si="255"/>
        <v>0.12567986858687391</v>
      </c>
      <c r="T338" s="336">
        <f t="shared" si="255"/>
        <v>0.16715347013060922</v>
      </c>
      <c r="U338" s="336">
        <f t="shared" si="255"/>
        <v>0.21098205039349746</v>
      </c>
      <c r="V338" s="336">
        <f t="shared" si="255"/>
        <v>0.25448951906337725</v>
      </c>
      <c r="W338" s="336">
        <f t="shared" si="255"/>
        <v>0.29567919881296972</v>
      </c>
      <c r="X338" s="336">
        <f t="shared" si="255"/>
        <v>0.32425210229725221</v>
      </c>
      <c r="Y338" s="336">
        <f t="shared" si="255"/>
        <v>0.34753379698277181</v>
      </c>
      <c r="Z338" s="336">
        <f t="shared" si="255"/>
        <v>0.36651814900580537</v>
      </c>
      <c r="AA338" s="336">
        <f t="shared" si="255"/>
        <v>0.38260127516391862</v>
      </c>
      <c r="AB338" s="336">
        <f t="shared" si="255"/>
        <v>0.39761326986697693</v>
      </c>
      <c r="AC338" s="336">
        <f t="shared" si="255"/>
        <v>0.41366890055480382</v>
      </c>
      <c r="AD338" s="336">
        <f t="shared" si="255"/>
        <v>0.43294219918369409</v>
      </c>
      <c r="AE338" s="336">
        <f t="shared" si="255"/>
        <v>0.45719589518251164</v>
      </c>
      <c r="AF338" s="336">
        <f t="shared" si="255"/>
        <v>0.48705311489285252</v>
      </c>
      <c r="AG338" s="336">
        <f t="shared" si="255"/>
        <v>0.52130516851549769</v>
      </c>
      <c r="AJ338" s="325"/>
    </row>
    <row r="339" spans="1:36" s="230" customFormat="1">
      <c r="A339" s="326"/>
      <c r="B339" s="324"/>
      <c r="AJ339" s="325"/>
    </row>
    <row r="340" spans="1:36" s="230" customFormat="1">
      <c r="A340" s="326" t="s">
        <v>1412</v>
      </c>
      <c r="B340" s="324" t="s">
        <v>704</v>
      </c>
      <c r="C340" s="230">
        <f>SUM(C309:C310)-SUM(C336,C338)</f>
        <v>6.086503394241257</v>
      </c>
      <c r="D340" s="230">
        <f t="shared" ref="D340:AG340" si="256">SUM(D309:D310)-SUM(D336,D338)</f>
        <v>6.5252690185096993</v>
      </c>
      <c r="E340" s="230">
        <f t="shared" si="256"/>
        <v>6.7818873855596316</v>
      </c>
      <c r="F340" s="230">
        <f t="shared" si="256"/>
        <v>7.0283814663045723</v>
      </c>
      <c r="G340" s="230">
        <f t="shared" si="256"/>
        <v>7.2629559284756295</v>
      </c>
      <c r="H340" s="230">
        <f t="shared" si="256"/>
        <v>7.4838409722194532</v>
      </c>
      <c r="I340" s="230">
        <f t="shared" si="256"/>
        <v>7.7058859254890235</v>
      </c>
      <c r="J340" s="230">
        <f t="shared" si="256"/>
        <v>7.9286807432711974</v>
      </c>
      <c r="K340" s="230">
        <f t="shared" si="256"/>
        <v>8.151678813188715</v>
      </c>
      <c r="L340" s="230">
        <f t="shared" si="256"/>
        <v>8.3741040068971344</v>
      </c>
      <c r="M340" s="230">
        <f t="shared" si="256"/>
        <v>8.5947823020868128</v>
      </c>
      <c r="N340" s="230">
        <f t="shared" si="256"/>
        <v>8.7670003833189067</v>
      </c>
      <c r="O340" s="230">
        <f t="shared" si="256"/>
        <v>8.9185985402792358</v>
      </c>
      <c r="P340" s="230">
        <f t="shared" si="256"/>
        <v>9.0475426494577853</v>
      </c>
      <c r="Q340" s="230">
        <f t="shared" si="256"/>
        <v>9.1503344746512845</v>
      </c>
      <c r="R340" s="230">
        <f t="shared" si="256"/>
        <v>9.2253509213545879</v>
      </c>
      <c r="S340" s="230">
        <f t="shared" si="256"/>
        <v>9.2894241426119226</v>
      </c>
      <c r="T340" s="230">
        <f t="shared" si="256"/>
        <v>9.3445774444734226</v>
      </c>
      <c r="U340" s="230">
        <f t="shared" si="256"/>
        <v>9.3937789077720701</v>
      </c>
      <c r="V340" s="230">
        <f t="shared" si="256"/>
        <v>9.4399806698868183</v>
      </c>
      <c r="W340" s="230">
        <f t="shared" si="256"/>
        <v>9.4853358759921456</v>
      </c>
      <c r="X340" s="230">
        <f t="shared" si="256"/>
        <v>9.4877480359122455</v>
      </c>
      <c r="Y340" s="230">
        <f t="shared" si="256"/>
        <v>9.4899970575598172</v>
      </c>
      <c r="Z340" s="230">
        <f t="shared" si="256"/>
        <v>9.4920446924777</v>
      </c>
      <c r="AA340" s="230">
        <f t="shared" si="256"/>
        <v>9.4905806761917724</v>
      </c>
      <c r="AB340" s="230">
        <f t="shared" si="256"/>
        <v>9.4831853810502516</v>
      </c>
      <c r="AC340" s="230">
        <f t="shared" si="256"/>
        <v>9.4671949975804974</v>
      </c>
      <c r="AD340" s="230">
        <f t="shared" si="256"/>
        <v>9.4397773415703501</v>
      </c>
      <c r="AE340" s="230">
        <f t="shared" si="256"/>
        <v>9.3985765606809224</v>
      </c>
      <c r="AF340" s="230">
        <f t="shared" si="256"/>
        <v>9.3425659628790001</v>
      </c>
      <c r="AG340" s="230">
        <f t="shared" si="256"/>
        <v>9.272858593810529</v>
      </c>
      <c r="AJ340" s="325"/>
    </row>
    <row r="341" spans="1:36" s="230" customFormat="1">
      <c r="A341" s="326"/>
      <c r="B341" s="324"/>
      <c r="AJ341" s="325"/>
    </row>
    <row r="342" spans="1:36" s="230" customFormat="1">
      <c r="A342" s="325" t="s">
        <v>1413</v>
      </c>
      <c r="B342" s="324" t="s">
        <v>704</v>
      </c>
      <c r="C342" s="327">
        <f>C262*C261*C182</f>
        <v>1.1411399999999999E-2</v>
      </c>
      <c r="D342" s="327">
        <f t="shared" ref="D342:AG342" si="257">D262*D261*D182</f>
        <v>1.2211913118445541E-2</v>
      </c>
      <c r="E342" s="327">
        <f t="shared" si="257"/>
        <v>1.3033868575004636E-2</v>
      </c>
      <c r="F342" s="327">
        <f t="shared" si="257"/>
        <v>1.387667776234245E-2</v>
      </c>
      <c r="G342" s="327">
        <f t="shared" si="257"/>
        <v>1.4739737200808048E-2</v>
      </c>
      <c r="H342" s="327">
        <f t="shared" si="257"/>
        <v>1.5622428538434407E-2</v>
      </c>
      <c r="I342" s="327">
        <f t="shared" si="257"/>
        <v>1.652411855093841E-2</v>
      </c>
      <c r="J342" s="327">
        <f t="shared" si="257"/>
        <v>1.7444159141720841E-2</v>
      </c>
      <c r="K342" s="327">
        <f t="shared" si="257"/>
        <v>1.8381887341866382E-2</v>
      </c>
      <c r="L342" s="327">
        <f t="shared" si="257"/>
        <v>1.9336625310143647E-2</v>
      </c>
      <c r="M342" s="327">
        <f t="shared" si="257"/>
        <v>2.0307680333005135E-2</v>
      </c>
      <c r="N342" s="327">
        <f t="shared" si="257"/>
        <v>2.1981838457272966E-2</v>
      </c>
      <c r="O342" s="327">
        <f t="shared" si="257"/>
        <v>2.3694781802410692E-2</v>
      </c>
      <c r="P342" s="327">
        <f t="shared" si="257"/>
        <v>2.5445093487479479E-2</v>
      </c>
      <c r="Q342" s="327">
        <f t="shared" si="257"/>
        <v>2.7231325285274256E-2</v>
      </c>
      <c r="R342" s="327">
        <f t="shared" si="257"/>
        <v>2.905199762232372E-2</v>
      </c>
      <c r="S342" s="327">
        <f t="shared" si="257"/>
        <v>3.0905599578890351E-2</v>
      </c>
      <c r="T342" s="327">
        <f t="shared" si="257"/>
        <v>3.2790588888970414E-2</v>
      </c>
      <c r="U342" s="327">
        <f t="shared" si="257"/>
        <v>3.4705391940293893E-2</v>
      </c>
      <c r="V342" s="327">
        <f t="shared" si="257"/>
        <v>3.6648403774324587E-2</v>
      </c>
      <c r="W342" s="327">
        <f t="shared" si="257"/>
        <v>3.8617988086260047E-2</v>
      </c>
      <c r="X342" s="327">
        <f t="shared" si="257"/>
        <v>4.1632470531806902E-2</v>
      </c>
      <c r="Y342" s="327">
        <f t="shared" si="257"/>
        <v>4.4694492720111348E-2</v>
      </c>
      <c r="Z342" s="327">
        <f t="shared" si="257"/>
        <v>4.7801295593939176E-2</v>
      </c>
      <c r="AA342" s="327">
        <f t="shared" si="257"/>
        <v>5.0950067647971789E-2</v>
      </c>
      <c r="AB342" s="327">
        <f t="shared" si="257"/>
        <v>5.4137944928806254E-2</v>
      </c>
      <c r="AC342" s="327">
        <f t="shared" si="257"/>
        <v>5.7362011034955314E-2</v>
      </c>
      <c r="AD342" s="327">
        <f t="shared" si="257"/>
        <v>6.0619297116847333E-2</v>
      </c>
      <c r="AE342" s="327">
        <f t="shared" si="257"/>
        <v>6.3906781876826357E-2</v>
      </c>
      <c r="AF342" s="327">
        <f t="shared" si="257"/>
        <v>6.7221391569152106E-2</v>
      </c>
      <c r="AG342" s="327">
        <f t="shared" si="257"/>
        <v>7.0559999999999984E-2</v>
      </c>
      <c r="AJ342" s="325"/>
    </row>
    <row r="343" spans="1:36" s="230" customFormat="1">
      <c r="A343" s="230" t="s">
        <v>1414</v>
      </c>
      <c r="B343" s="324" t="s">
        <v>704</v>
      </c>
      <c r="C343" s="327">
        <f>C263*C261*C182</f>
        <v>4.0458599999999997E-2</v>
      </c>
      <c r="D343" s="327">
        <f t="shared" ref="D343:AG343" si="258">D263*D261*D182</f>
        <v>4.1664174168814197E-2</v>
      </c>
      <c r="E343" s="327">
        <f t="shared" si="258"/>
        <v>4.282556817501524E-2</v>
      </c>
      <c r="F343" s="327">
        <f t="shared" si="258"/>
        <v>4.3942812914084431E-2</v>
      </c>
      <c r="G343" s="327">
        <f t="shared" si="258"/>
        <v>4.501595415381919E-2</v>
      </c>
      <c r="H343" s="327">
        <f t="shared" si="258"/>
        <v>4.6045052534332997E-2</v>
      </c>
      <c r="I343" s="327">
        <f t="shared" si="258"/>
        <v>4.7030183568055488E-2</v>
      </c>
      <c r="J343" s="327">
        <f t="shared" si="258"/>
        <v>4.7971437639732321E-2</v>
      </c>
      <c r="K343" s="327">
        <f t="shared" si="258"/>
        <v>4.886892000642528E-2</v>
      </c>
      <c r="L343" s="327">
        <f t="shared" si="258"/>
        <v>4.9722750797512254E-2</v>
      </c>
      <c r="M343" s="327">
        <f t="shared" si="258"/>
        <v>5.0533065014687212E-2</v>
      </c>
      <c r="N343" s="327">
        <f t="shared" si="258"/>
        <v>5.2956247192521268E-2</v>
      </c>
      <c r="O343" s="327">
        <f t="shared" si="258"/>
        <v>5.5287824205624975E-2</v>
      </c>
      <c r="P343" s="327">
        <f t="shared" si="258"/>
        <v>5.7528037449953634E-2</v>
      </c>
      <c r="Q343" s="327">
        <f t="shared" si="258"/>
        <v>5.9677159667728727E-2</v>
      </c>
      <c r="R343" s="327">
        <f t="shared" si="258"/>
        <v>6.1735494947437956E-2</v>
      </c>
      <c r="S343" s="327">
        <f t="shared" si="258"/>
        <v>6.3703378723835274E-2</v>
      </c>
      <c r="T343" s="327">
        <f t="shared" si="258"/>
        <v>6.5581177777940883E-2</v>
      </c>
      <c r="U343" s="327">
        <f t="shared" si="258"/>
        <v>6.7369290237041135E-2</v>
      </c>
      <c r="V343" s="327">
        <f t="shared" si="258"/>
        <v>6.9068145574688711E-2</v>
      </c>
      <c r="W343" s="327">
        <f t="shared" si="258"/>
        <v>7.0678204610702441E-2</v>
      </c>
      <c r="X343" s="327">
        <f t="shared" si="258"/>
        <v>7.4013280945434551E-2</v>
      </c>
      <c r="Y343" s="327">
        <f t="shared" si="258"/>
        <v>7.7199578334737867E-2</v>
      </c>
      <c r="Z343" s="327">
        <f t="shared" si="258"/>
        <v>8.023788903268371E-2</v>
      </c>
      <c r="AA343" s="327">
        <f t="shared" si="258"/>
        <v>8.3129057741427773E-2</v>
      </c>
      <c r="AB343" s="327">
        <f t="shared" si="258"/>
        <v>8.5873981611210029E-2</v>
      </c>
      <c r="AC343" s="327">
        <f t="shared" si="258"/>
        <v>8.8473610240354911E-2</v>
      </c>
      <c r="AD343" s="327">
        <f t="shared" si="258"/>
        <v>9.0928945675271114E-2</v>
      </c>
      <c r="AE343" s="327">
        <f t="shared" si="258"/>
        <v>9.3241042410451724E-2</v>
      </c>
      <c r="AF343" s="327">
        <f t="shared" si="258"/>
        <v>9.5411007388474092E-2</v>
      </c>
      <c r="AG343" s="327">
        <f t="shared" si="258"/>
        <v>9.7440000000000013E-2</v>
      </c>
      <c r="AJ343" s="325"/>
    </row>
    <row r="344" spans="1:36" s="230" customFormat="1">
      <c r="B344" s="324"/>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c r="AA344" s="317"/>
      <c r="AB344" s="317"/>
      <c r="AC344" s="317"/>
      <c r="AD344" s="317"/>
      <c r="AE344" s="317"/>
      <c r="AF344" s="317"/>
      <c r="AG344" s="317"/>
      <c r="AJ344" s="325"/>
    </row>
    <row r="345" spans="1:36" s="230" customFormat="1">
      <c r="A345" s="351" t="s">
        <v>233</v>
      </c>
      <c r="B345" s="352" t="s">
        <v>704</v>
      </c>
      <c r="C345" s="304">
        <f>C323-C336-C338</f>
        <v>0.8594591808019032</v>
      </c>
      <c r="D345" s="353">
        <f t="shared" ref="D345:AG345" si="259">D323-D336-D338</f>
        <v>1.2939240814570505</v>
      </c>
      <c r="E345" s="353">
        <f t="shared" si="259"/>
        <v>1.4020935960019709</v>
      </c>
      <c r="F345" s="353">
        <f t="shared" si="259"/>
        <v>1.5112618350054672</v>
      </c>
      <c r="G345" s="353">
        <f t="shared" si="259"/>
        <v>1.6206876435757709</v>
      </c>
      <c r="H345" s="353">
        <f t="shared" si="259"/>
        <v>1.7295790171470016</v>
      </c>
      <c r="I345" s="353">
        <f t="shared" si="259"/>
        <v>1.8410482128180794</v>
      </c>
      <c r="J345" s="353">
        <f t="shared" si="259"/>
        <v>1.9548666064667473</v>
      </c>
      <c r="K345" s="353">
        <f t="shared" si="259"/>
        <v>2.0706712533492495</v>
      </c>
      <c r="L345" s="353">
        <f t="shared" si="259"/>
        <v>2.1878715891793119</v>
      </c>
      <c r="M345" s="353">
        <f t="shared" si="259"/>
        <v>2.30548068631429</v>
      </c>
      <c r="N345" s="353">
        <f t="shared" si="259"/>
        <v>2.3648127267084251</v>
      </c>
      <c r="O345" s="353">
        <f t="shared" si="259"/>
        <v>2.4155906363842359</v>
      </c>
      <c r="P345" s="353">
        <f t="shared" si="259"/>
        <v>2.4558633599386046</v>
      </c>
      <c r="Q345" s="353">
        <f t="shared" si="259"/>
        <v>2.4832914549474192</v>
      </c>
      <c r="R345" s="353">
        <f t="shared" si="259"/>
        <v>2.496773699240411</v>
      </c>
      <c r="S345" s="353">
        <f t="shared" si="259"/>
        <v>2.5013746538081887</v>
      </c>
      <c r="T345" s="353">
        <f t="shared" si="259"/>
        <v>2.4992018527655002</v>
      </c>
      <c r="U345" s="353">
        <f t="shared" si="259"/>
        <v>2.4933089552029037</v>
      </c>
      <c r="V345" s="353">
        <f t="shared" si="259"/>
        <v>2.4867350212527262</v>
      </c>
      <c r="W345" s="353">
        <f t="shared" si="259"/>
        <v>2.4817214562831365</v>
      </c>
      <c r="X345" s="353">
        <f t="shared" si="259"/>
        <v>2.4103832860212959</v>
      </c>
      <c r="Y345" s="353">
        <f t="shared" si="259"/>
        <v>2.3418558629252142</v>
      </c>
      <c r="Z345" s="353">
        <f t="shared" si="259"/>
        <v>2.2752277432831498</v>
      </c>
      <c r="AA345" s="353">
        <f t="shared" si="259"/>
        <v>2.2082798838973616</v>
      </c>
      <c r="AB345" s="353">
        <f t="shared" si="259"/>
        <v>2.1387214703045578</v>
      </c>
      <c r="AC345" s="353">
        <f t="shared" si="259"/>
        <v>2.0639501226555006</v>
      </c>
      <c r="AD345" s="353">
        <f t="shared" si="259"/>
        <v>1.9812660378122935</v>
      </c>
      <c r="AE345" s="353">
        <f t="shared" si="259"/>
        <v>1.8884485788033749</v>
      </c>
      <c r="AF345" s="353">
        <f t="shared" si="259"/>
        <v>1.7846091234069115</v>
      </c>
      <c r="AG345" s="354">
        <f t="shared" si="259"/>
        <v>1.6710016597091701</v>
      </c>
      <c r="AI345" s="230" t="s">
        <v>1415</v>
      </c>
      <c r="AJ345" s="325"/>
    </row>
    <row r="346" spans="1:36" s="230" customFormat="1">
      <c r="A346" s="355" t="s">
        <v>234</v>
      </c>
      <c r="B346" s="356" t="s">
        <v>704</v>
      </c>
      <c r="C346" s="357">
        <f>C324+C345</f>
        <v>9.4561515827997606</v>
      </c>
      <c r="D346" s="357">
        <f t="shared" ref="D346:AG346" si="260">D324+D345</f>
        <v>10.10794813617969</v>
      </c>
      <c r="E346" s="357">
        <f t="shared" si="260"/>
        <v>10.414358005407752</v>
      </c>
      <c r="F346" s="357">
        <f t="shared" si="260"/>
        <v>10.701162356758358</v>
      </c>
      <c r="G346" s="357">
        <f t="shared" si="260"/>
        <v>10.966245412396091</v>
      </c>
      <c r="H346" s="357">
        <f t="shared" si="260"/>
        <v>11.207596566436074</v>
      </c>
      <c r="I346" s="357">
        <f t="shared" si="260"/>
        <v>11.447963240631118</v>
      </c>
      <c r="J346" s="357">
        <f t="shared" si="260"/>
        <v>11.686905783158128</v>
      </c>
      <c r="K346" s="357">
        <f t="shared" si="260"/>
        <v>11.923852960726341</v>
      </c>
      <c r="L346" s="357">
        <f t="shared" si="260"/>
        <v>12.158009187325476</v>
      </c>
      <c r="M346" s="357">
        <f t="shared" si="260"/>
        <v>12.388186309340162</v>
      </c>
      <c r="N346" s="357">
        <f t="shared" si="260"/>
        <v>12.540920864553042</v>
      </c>
      <c r="O346" s="357">
        <f t="shared" si="260"/>
        <v>12.665329781512058</v>
      </c>
      <c r="P346" s="357">
        <f t="shared" si="260"/>
        <v>12.759922448706627</v>
      </c>
      <c r="Q346" s="357">
        <f t="shared" si="260"/>
        <v>12.821037036555436</v>
      </c>
      <c r="R346" s="357">
        <f t="shared" si="260"/>
        <v>12.847314171870147</v>
      </c>
      <c r="S346" s="357">
        <f t="shared" si="260"/>
        <v>12.862319236664016</v>
      </c>
      <c r="T346" s="357">
        <f t="shared" si="260"/>
        <v>12.868137226763622</v>
      </c>
      <c r="U346" s="357">
        <f t="shared" si="260"/>
        <v>12.867800484558435</v>
      </c>
      <c r="V346" s="357">
        <f t="shared" si="260"/>
        <v>12.864328004593116</v>
      </c>
      <c r="W346" s="357">
        <f t="shared" si="260"/>
        <v>12.859942406568619</v>
      </c>
      <c r="X346" s="357">
        <f t="shared" si="260"/>
        <v>12.786855527994472</v>
      </c>
      <c r="Y346" s="357">
        <f t="shared" si="260"/>
        <v>12.714186611181704</v>
      </c>
      <c r="Z346" s="357">
        <f t="shared" si="260"/>
        <v>12.642446898733557</v>
      </c>
      <c r="AA346" s="357">
        <f t="shared" si="260"/>
        <v>12.567963305415546</v>
      </c>
      <c r="AB346" s="357">
        <f t="shared" si="260"/>
        <v>12.48843155991559</v>
      </c>
      <c r="AC346" s="357">
        <f t="shared" si="260"/>
        <v>12.40133481796479</v>
      </c>
      <c r="AD346" s="357">
        <f t="shared" si="260"/>
        <v>12.303962074253823</v>
      </c>
      <c r="AE346" s="357">
        <f t="shared" si="260"/>
        <v>12.194082656643731</v>
      </c>
      <c r="AF346" s="357">
        <f t="shared" si="260"/>
        <v>12.070799094483757</v>
      </c>
      <c r="AG346" s="358">
        <f t="shared" si="260"/>
        <v>11.935357733267329</v>
      </c>
      <c r="AI346" s="230" t="s">
        <v>1416</v>
      </c>
      <c r="AJ346" s="325"/>
    </row>
    <row r="347" spans="1:36" s="230" customFormat="1">
      <c r="A347" s="433"/>
      <c r="B347" s="434"/>
      <c r="C347" s="433"/>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c r="AA347" s="433"/>
      <c r="AB347" s="433"/>
      <c r="AC347" s="433"/>
      <c r="AD347" s="433"/>
      <c r="AE347" s="433"/>
      <c r="AF347" s="433"/>
      <c r="AG347" s="433"/>
      <c r="AJ347" s="325"/>
    </row>
    <row r="348" spans="1:36">
      <c r="B348" s="1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I348" s="23"/>
    </row>
    <row r="349" spans="1:36">
      <c r="B349" s="1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c r="AE349" s="230"/>
      <c r="AF349" s="230"/>
      <c r="AG349" s="230"/>
      <c r="AI349" s="214"/>
    </row>
  </sheetData>
  <mergeCells count="5">
    <mergeCell ref="AI316:AI324"/>
    <mergeCell ref="BD116:BE116"/>
    <mergeCell ref="BD121:BE121"/>
    <mergeCell ref="BD126:BE126"/>
    <mergeCell ref="BD134:BE134"/>
  </mergeCells>
  <hyperlinks>
    <hyperlink ref="AJ120" r:id="rId1" xr:uid="{A12556A6-42D7-4AF9-A95B-465E9C1F1206}"/>
    <hyperlink ref="AJ121" r:id="rId2" xr:uid="{29E1D7A7-C920-41F1-8EF3-26DCC7794D26}"/>
  </hyperlinks>
  <pageMargins left="0.7" right="0.7" top="0.75" bottom="0.75" header="0.3" footer="0.3"/>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7757-9CDD-42AC-9127-5E624AC49AB9}">
  <sheetPr>
    <tabColor theme="4"/>
  </sheetPr>
  <dimension ref="A1:BL377"/>
  <sheetViews>
    <sheetView zoomScale="70" zoomScaleNormal="70" workbookViewId="0">
      <pane xSplit="2" ySplit="6" topLeftCell="C290" activePane="bottomRight" state="frozen"/>
      <selection pane="topRight" activeCell="C1" sqref="C1"/>
      <selection pane="bottomLeft" activeCell="A4" sqref="A4"/>
      <selection pane="bottomRight" activeCell="W6" sqref="W6"/>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1597</v>
      </c>
      <c r="B21" s="54" t="s">
        <v>462</v>
      </c>
      <c r="C21" s="159">
        <f>SUM('Overall recycling rates'!F76:H76)</f>
        <v>0.16323049504571452</v>
      </c>
      <c r="D21" s="159">
        <f>C21</f>
        <v>0.16323049504571452</v>
      </c>
      <c r="E21" s="159">
        <f t="shared" ref="E21:T21" si="10">D21</f>
        <v>0.16323049504571452</v>
      </c>
      <c r="F21" s="159">
        <f t="shared" si="10"/>
        <v>0.16323049504571452</v>
      </c>
      <c r="G21" s="159">
        <f t="shared" si="10"/>
        <v>0.16323049504571452</v>
      </c>
      <c r="H21" s="159">
        <f t="shared" si="10"/>
        <v>0.16323049504571452</v>
      </c>
      <c r="I21" s="159">
        <f t="shared" si="10"/>
        <v>0.16323049504571452</v>
      </c>
      <c r="J21" s="159">
        <f t="shared" si="10"/>
        <v>0.16323049504571452</v>
      </c>
      <c r="K21" s="159">
        <f t="shared" si="10"/>
        <v>0.16323049504571452</v>
      </c>
      <c r="L21" s="159">
        <f t="shared" si="10"/>
        <v>0.16323049504571452</v>
      </c>
      <c r="M21" s="159">
        <f t="shared" si="10"/>
        <v>0.16323049504571452</v>
      </c>
      <c r="N21" s="159">
        <f t="shared" si="10"/>
        <v>0.16323049504571452</v>
      </c>
      <c r="O21" s="159">
        <f t="shared" si="10"/>
        <v>0.16323049504571452</v>
      </c>
      <c r="P21" s="159">
        <f t="shared" si="10"/>
        <v>0.16323049504571452</v>
      </c>
      <c r="Q21" s="159">
        <f t="shared" si="10"/>
        <v>0.16323049504571452</v>
      </c>
      <c r="R21" s="159">
        <f t="shared" si="10"/>
        <v>0.16323049504571452</v>
      </c>
      <c r="S21" s="159">
        <f t="shared" si="10"/>
        <v>0.16323049504571452</v>
      </c>
      <c r="T21" s="159">
        <f t="shared" si="10"/>
        <v>0.16323049504571452</v>
      </c>
      <c r="U21" s="159">
        <f t="shared" ref="T21:AG25" si="11">T21</f>
        <v>0.16323049504571452</v>
      </c>
      <c r="V21" s="159">
        <f t="shared" si="11"/>
        <v>0.16323049504571452</v>
      </c>
      <c r="W21" s="159">
        <f t="shared" si="11"/>
        <v>0.16323049504571452</v>
      </c>
      <c r="X21" s="159">
        <f t="shared" si="11"/>
        <v>0.16323049504571452</v>
      </c>
      <c r="Y21" s="159">
        <f t="shared" si="11"/>
        <v>0.16323049504571452</v>
      </c>
      <c r="Z21" s="159">
        <f t="shared" si="11"/>
        <v>0.16323049504571452</v>
      </c>
      <c r="AA21" s="159">
        <f t="shared" si="11"/>
        <v>0.16323049504571452</v>
      </c>
      <c r="AB21" s="159">
        <f t="shared" si="11"/>
        <v>0.16323049504571452</v>
      </c>
      <c r="AC21" s="159">
        <f t="shared" si="11"/>
        <v>0.16323049504571452</v>
      </c>
      <c r="AD21" s="159">
        <f t="shared" si="11"/>
        <v>0.16323049504571452</v>
      </c>
      <c r="AE21" s="159">
        <f t="shared" si="11"/>
        <v>0.16323049504571452</v>
      </c>
      <c r="AF21" s="159">
        <f t="shared" si="11"/>
        <v>0.16323049504571452</v>
      </c>
      <c r="AG21" s="159">
        <f>AF21</f>
        <v>0.16323049504571452</v>
      </c>
      <c r="AI21" s="54" t="s">
        <v>1263</v>
      </c>
      <c r="AJ21" s="211"/>
      <c r="AM21" s="115"/>
      <c r="AN21" s="115"/>
      <c r="AO21" s="115"/>
      <c r="AP21" s="115"/>
      <c r="AQ21" s="115"/>
    </row>
    <row r="22" spans="1:64" outlineLevel="1">
      <c r="A22" t="s">
        <v>1598</v>
      </c>
      <c r="B22" s="54" t="s">
        <v>462</v>
      </c>
      <c r="C22" s="159">
        <f>SUM('Overall recycling rates'!F77:H77)</f>
        <v>0.14472181394867328</v>
      </c>
      <c r="D22" s="159">
        <f t="shared" ref="D22:S25" si="12">C22</f>
        <v>0.14472181394867328</v>
      </c>
      <c r="E22" s="159">
        <f t="shared" si="12"/>
        <v>0.14472181394867328</v>
      </c>
      <c r="F22" s="159">
        <f t="shared" si="12"/>
        <v>0.14472181394867328</v>
      </c>
      <c r="G22" s="159">
        <f t="shared" si="12"/>
        <v>0.14472181394867328</v>
      </c>
      <c r="H22" s="159">
        <f t="shared" si="12"/>
        <v>0.14472181394867328</v>
      </c>
      <c r="I22" s="159">
        <f t="shared" si="12"/>
        <v>0.14472181394867328</v>
      </c>
      <c r="J22" s="159">
        <f t="shared" si="12"/>
        <v>0.14472181394867328</v>
      </c>
      <c r="K22" s="159">
        <f t="shared" si="12"/>
        <v>0.14472181394867328</v>
      </c>
      <c r="L22" s="159">
        <f t="shared" si="12"/>
        <v>0.14472181394867328</v>
      </c>
      <c r="M22" s="159">
        <f t="shared" si="12"/>
        <v>0.14472181394867328</v>
      </c>
      <c r="N22" s="159">
        <f t="shared" si="12"/>
        <v>0.14472181394867328</v>
      </c>
      <c r="O22" s="159">
        <f t="shared" si="12"/>
        <v>0.14472181394867328</v>
      </c>
      <c r="P22" s="159">
        <f t="shared" si="12"/>
        <v>0.14472181394867328</v>
      </c>
      <c r="Q22" s="159">
        <f t="shared" si="12"/>
        <v>0.14472181394867328</v>
      </c>
      <c r="R22" s="159">
        <f t="shared" si="12"/>
        <v>0.14472181394867328</v>
      </c>
      <c r="S22" s="159">
        <f t="shared" si="12"/>
        <v>0.14472181394867328</v>
      </c>
      <c r="T22" s="159">
        <f t="shared" si="11"/>
        <v>0.14472181394867328</v>
      </c>
      <c r="U22" s="159">
        <f t="shared" si="11"/>
        <v>0.14472181394867328</v>
      </c>
      <c r="V22" s="159">
        <f t="shared" si="11"/>
        <v>0.14472181394867328</v>
      </c>
      <c r="W22" s="159">
        <f t="shared" si="11"/>
        <v>0.14472181394867328</v>
      </c>
      <c r="X22" s="159">
        <f t="shared" si="11"/>
        <v>0.14472181394867328</v>
      </c>
      <c r="Y22" s="159">
        <f t="shared" si="11"/>
        <v>0.14472181394867328</v>
      </c>
      <c r="Z22" s="159">
        <f t="shared" si="11"/>
        <v>0.14472181394867328</v>
      </c>
      <c r="AA22" s="159">
        <f t="shared" si="11"/>
        <v>0.14472181394867328</v>
      </c>
      <c r="AB22" s="159">
        <f t="shared" si="11"/>
        <v>0.14472181394867328</v>
      </c>
      <c r="AC22" s="159">
        <f t="shared" si="11"/>
        <v>0.14472181394867328</v>
      </c>
      <c r="AD22" s="159">
        <f t="shared" si="11"/>
        <v>0.14472181394867328</v>
      </c>
      <c r="AE22" s="159">
        <f t="shared" si="11"/>
        <v>0.14472181394867328</v>
      </c>
      <c r="AF22" s="159">
        <f t="shared" si="11"/>
        <v>0.14472181394867328</v>
      </c>
      <c r="AG22" s="159">
        <f t="shared" si="11"/>
        <v>0.14472181394867328</v>
      </c>
      <c r="AI22" s="54" t="s">
        <v>1263</v>
      </c>
      <c r="AJ22" s="211"/>
      <c r="AM22" s="120"/>
      <c r="AN22" s="115"/>
      <c r="AO22" s="116"/>
      <c r="AP22" s="117"/>
      <c r="AQ22" s="116"/>
    </row>
    <row r="23" spans="1:64" outlineLevel="1">
      <c r="A23" t="s">
        <v>1599</v>
      </c>
      <c r="B23" s="54" t="s">
        <v>462</v>
      </c>
      <c r="C23" s="159">
        <f>SUM('Overall recycling rates'!F78:H78)</f>
        <v>8.3639786575459008E-2</v>
      </c>
      <c r="D23" s="159">
        <f t="shared" si="12"/>
        <v>8.3639786575459008E-2</v>
      </c>
      <c r="E23" s="159">
        <f t="shared" si="12"/>
        <v>8.3639786575459008E-2</v>
      </c>
      <c r="F23" s="159">
        <f t="shared" si="12"/>
        <v>8.3639786575459008E-2</v>
      </c>
      <c r="G23" s="159">
        <f t="shared" si="12"/>
        <v>8.3639786575459008E-2</v>
      </c>
      <c r="H23" s="159">
        <f t="shared" si="12"/>
        <v>8.3639786575459008E-2</v>
      </c>
      <c r="I23" s="159">
        <f t="shared" si="12"/>
        <v>8.3639786575459008E-2</v>
      </c>
      <c r="J23" s="159">
        <f t="shared" si="12"/>
        <v>8.3639786575459008E-2</v>
      </c>
      <c r="K23" s="159">
        <f t="shared" si="12"/>
        <v>8.3639786575459008E-2</v>
      </c>
      <c r="L23" s="159">
        <f t="shared" si="12"/>
        <v>8.3639786575459008E-2</v>
      </c>
      <c r="M23" s="159">
        <f t="shared" si="12"/>
        <v>8.3639786575459008E-2</v>
      </c>
      <c r="N23" s="159">
        <f t="shared" si="12"/>
        <v>8.3639786575459008E-2</v>
      </c>
      <c r="O23" s="159">
        <f t="shared" si="12"/>
        <v>8.3639786575459008E-2</v>
      </c>
      <c r="P23" s="159">
        <f t="shared" si="12"/>
        <v>8.3639786575459008E-2</v>
      </c>
      <c r="Q23" s="159">
        <f t="shared" si="12"/>
        <v>8.3639786575459008E-2</v>
      </c>
      <c r="R23" s="159">
        <f t="shared" si="12"/>
        <v>8.3639786575459008E-2</v>
      </c>
      <c r="S23" s="159">
        <f t="shared" si="12"/>
        <v>8.3639786575459008E-2</v>
      </c>
      <c r="T23" s="159">
        <f t="shared" si="11"/>
        <v>8.3639786575459008E-2</v>
      </c>
      <c r="U23" s="159">
        <f t="shared" si="11"/>
        <v>8.3639786575459008E-2</v>
      </c>
      <c r="V23" s="159">
        <f t="shared" si="11"/>
        <v>8.3639786575459008E-2</v>
      </c>
      <c r="W23" s="159">
        <f t="shared" si="11"/>
        <v>8.3639786575459008E-2</v>
      </c>
      <c r="X23" s="159">
        <f t="shared" si="11"/>
        <v>8.3639786575459008E-2</v>
      </c>
      <c r="Y23" s="159">
        <f t="shared" si="11"/>
        <v>8.3639786575459008E-2</v>
      </c>
      <c r="Z23" s="159">
        <f t="shared" si="11"/>
        <v>8.3639786575459008E-2</v>
      </c>
      <c r="AA23" s="159">
        <f t="shared" si="11"/>
        <v>8.3639786575459008E-2</v>
      </c>
      <c r="AB23" s="159">
        <f t="shared" si="11"/>
        <v>8.3639786575459008E-2</v>
      </c>
      <c r="AC23" s="159">
        <f t="shared" si="11"/>
        <v>8.3639786575459008E-2</v>
      </c>
      <c r="AD23" s="159">
        <f t="shared" si="11"/>
        <v>8.3639786575459008E-2</v>
      </c>
      <c r="AE23" s="159">
        <f t="shared" si="11"/>
        <v>8.3639786575459008E-2</v>
      </c>
      <c r="AF23" s="159">
        <f t="shared" si="11"/>
        <v>8.3639786575459008E-2</v>
      </c>
      <c r="AG23" s="159">
        <f t="shared" si="11"/>
        <v>8.3639786575459008E-2</v>
      </c>
      <c r="AI23" s="54" t="s">
        <v>1263</v>
      </c>
      <c r="AJ23" s="211"/>
      <c r="AM23" s="120"/>
      <c r="AN23" s="115"/>
      <c r="AO23" s="116"/>
      <c r="AP23" s="117"/>
      <c r="AQ23" s="116"/>
    </row>
    <row r="24" spans="1:64" outlineLevel="1">
      <c r="A24" t="s">
        <v>1600</v>
      </c>
      <c r="B24" s="54" t="s">
        <v>462</v>
      </c>
      <c r="C24" s="159">
        <f>SUM('Overall recycling rates'!F79:H79)</f>
        <v>0.46373883592056908</v>
      </c>
      <c r="D24" s="159">
        <f t="shared" si="12"/>
        <v>0.46373883592056908</v>
      </c>
      <c r="E24" s="159">
        <f t="shared" si="12"/>
        <v>0.46373883592056908</v>
      </c>
      <c r="F24" s="159">
        <f t="shared" si="12"/>
        <v>0.46373883592056908</v>
      </c>
      <c r="G24" s="159">
        <f t="shared" si="12"/>
        <v>0.46373883592056908</v>
      </c>
      <c r="H24" s="159">
        <f t="shared" si="12"/>
        <v>0.46373883592056908</v>
      </c>
      <c r="I24" s="159">
        <f t="shared" si="12"/>
        <v>0.46373883592056908</v>
      </c>
      <c r="J24" s="159">
        <f t="shared" si="12"/>
        <v>0.46373883592056908</v>
      </c>
      <c r="K24" s="159">
        <f t="shared" si="12"/>
        <v>0.46373883592056908</v>
      </c>
      <c r="L24" s="159">
        <f t="shared" si="12"/>
        <v>0.46373883592056908</v>
      </c>
      <c r="M24" s="159">
        <f t="shared" si="12"/>
        <v>0.46373883592056908</v>
      </c>
      <c r="N24" s="159">
        <f t="shared" si="12"/>
        <v>0.46373883592056908</v>
      </c>
      <c r="O24" s="159">
        <f t="shared" si="12"/>
        <v>0.46373883592056908</v>
      </c>
      <c r="P24" s="159">
        <f t="shared" si="12"/>
        <v>0.46373883592056908</v>
      </c>
      <c r="Q24" s="159">
        <f t="shared" si="12"/>
        <v>0.46373883592056908</v>
      </c>
      <c r="R24" s="159">
        <f t="shared" si="12"/>
        <v>0.46373883592056908</v>
      </c>
      <c r="S24" s="159">
        <f t="shared" si="12"/>
        <v>0.46373883592056908</v>
      </c>
      <c r="T24" s="159">
        <f t="shared" si="11"/>
        <v>0.46373883592056908</v>
      </c>
      <c r="U24" s="159">
        <f t="shared" si="11"/>
        <v>0.46373883592056908</v>
      </c>
      <c r="V24" s="159">
        <f t="shared" si="11"/>
        <v>0.46373883592056908</v>
      </c>
      <c r="W24" s="159">
        <f t="shared" si="11"/>
        <v>0.46373883592056908</v>
      </c>
      <c r="X24" s="159">
        <f t="shared" si="11"/>
        <v>0.46373883592056908</v>
      </c>
      <c r="Y24" s="159">
        <f t="shared" si="11"/>
        <v>0.46373883592056908</v>
      </c>
      <c r="Z24" s="159">
        <f t="shared" si="11"/>
        <v>0.46373883592056908</v>
      </c>
      <c r="AA24" s="159">
        <f t="shared" si="11"/>
        <v>0.46373883592056908</v>
      </c>
      <c r="AB24" s="159">
        <f t="shared" si="11"/>
        <v>0.46373883592056908</v>
      </c>
      <c r="AC24" s="159">
        <f t="shared" si="11"/>
        <v>0.46373883592056908</v>
      </c>
      <c r="AD24" s="159">
        <f t="shared" si="11"/>
        <v>0.46373883592056908</v>
      </c>
      <c r="AE24" s="159">
        <f t="shared" si="11"/>
        <v>0.46373883592056908</v>
      </c>
      <c r="AF24" s="159">
        <f t="shared" si="11"/>
        <v>0.46373883592056908</v>
      </c>
      <c r="AG24" s="159">
        <f t="shared" si="11"/>
        <v>0.46373883592056908</v>
      </c>
      <c r="AI24" s="54" t="s">
        <v>1263</v>
      </c>
      <c r="AJ24" s="211"/>
      <c r="AM24" s="120"/>
      <c r="AN24" s="115"/>
      <c r="AO24" s="477"/>
      <c r="AP24" s="478"/>
      <c r="AQ24" s="477"/>
    </row>
    <row r="25" spans="1:64" outlineLevel="1">
      <c r="A25" t="s">
        <v>1601</v>
      </c>
      <c r="B25" s="54" t="s">
        <v>462</v>
      </c>
      <c r="C25" s="159">
        <f>SUM('Overall recycling rates'!F80:H80)</f>
        <v>0.18034988194307733</v>
      </c>
      <c r="D25" s="159">
        <f>C25</f>
        <v>0.18034988194307733</v>
      </c>
      <c r="E25" s="159">
        <f t="shared" si="12"/>
        <v>0.18034988194307733</v>
      </c>
      <c r="F25" s="159">
        <f t="shared" si="12"/>
        <v>0.18034988194307733</v>
      </c>
      <c r="G25" s="159">
        <f t="shared" si="12"/>
        <v>0.18034988194307733</v>
      </c>
      <c r="H25" s="159">
        <f t="shared" si="12"/>
        <v>0.18034988194307733</v>
      </c>
      <c r="I25" s="159">
        <f t="shared" si="12"/>
        <v>0.18034988194307733</v>
      </c>
      <c r="J25" s="159">
        <f t="shared" si="12"/>
        <v>0.18034988194307733</v>
      </c>
      <c r="K25" s="159">
        <f t="shared" si="12"/>
        <v>0.18034988194307733</v>
      </c>
      <c r="L25" s="159">
        <f t="shared" si="12"/>
        <v>0.18034988194307733</v>
      </c>
      <c r="M25" s="159">
        <f t="shared" si="12"/>
        <v>0.18034988194307733</v>
      </c>
      <c r="N25" s="159">
        <f t="shared" si="12"/>
        <v>0.18034988194307733</v>
      </c>
      <c r="O25" s="159">
        <f t="shared" si="12"/>
        <v>0.18034988194307733</v>
      </c>
      <c r="P25" s="159">
        <f t="shared" si="12"/>
        <v>0.18034988194307733</v>
      </c>
      <c r="Q25" s="159">
        <f t="shared" si="12"/>
        <v>0.18034988194307733</v>
      </c>
      <c r="R25" s="159">
        <f t="shared" si="12"/>
        <v>0.18034988194307733</v>
      </c>
      <c r="S25" s="159">
        <f t="shared" si="12"/>
        <v>0.18034988194307733</v>
      </c>
      <c r="T25" s="159">
        <f t="shared" si="11"/>
        <v>0.18034988194307733</v>
      </c>
      <c r="U25" s="159">
        <f t="shared" si="11"/>
        <v>0.18034988194307733</v>
      </c>
      <c r="V25" s="159">
        <f t="shared" si="11"/>
        <v>0.18034988194307733</v>
      </c>
      <c r="W25" s="159">
        <f t="shared" si="11"/>
        <v>0.18034988194307733</v>
      </c>
      <c r="X25" s="159">
        <f t="shared" si="11"/>
        <v>0.18034988194307733</v>
      </c>
      <c r="Y25" s="159">
        <f t="shared" si="11"/>
        <v>0.18034988194307733</v>
      </c>
      <c r="Z25" s="159">
        <f t="shared" si="11"/>
        <v>0.18034988194307733</v>
      </c>
      <c r="AA25" s="159">
        <f t="shared" si="11"/>
        <v>0.18034988194307733</v>
      </c>
      <c r="AB25" s="159">
        <f t="shared" si="11"/>
        <v>0.18034988194307733</v>
      </c>
      <c r="AC25" s="159">
        <f t="shared" si="11"/>
        <v>0.18034988194307733</v>
      </c>
      <c r="AD25" s="159">
        <f t="shared" si="11"/>
        <v>0.18034988194307733</v>
      </c>
      <c r="AE25" s="159">
        <f t="shared" si="11"/>
        <v>0.18034988194307733</v>
      </c>
      <c r="AF25" s="159">
        <f t="shared" si="11"/>
        <v>0.18034988194307733</v>
      </c>
      <c r="AG25" s="159">
        <f t="shared" si="11"/>
        <v>0.18034988194307733</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1602</v>
      </c>
      <c r="B27" s="54" t="s">
        <v>1603</v>
      </c>
      <c r="C27" s="204">
        <f>C14*C21</f>
        <v>31.34132906881517</v>
      </c>
      <c r="D27" s="204">
        <f t="shared" ref="D27:AG27" si="13">D14*D21</f>
        <v>32.391937419343449</v>
      </c>
      <c r="E27" s="204">
        <f t="shared" si="13"/>
        <v>33.390250528174754</v>
      </c>
      <c r="F27" s="204">
        <f t="shared" si="13"/>
        <v>34.329416339951194</v>
      </c>
      <c r="G27" s="204">
        <f t="shared" si="13"/>
        <v>35.202856998503727</v>
      </c>
      <c r="H27" s="204">
        <f t="shared" si="13"/>
        <v>36.00434558822333</v>
      </c>
      <c r="I27" s="204">
        <f t="shared" si="13"/>
        <v>36.807319347488345</v>
      </c>
      <c r="J27" s="204">
        <f t="shared" si="13"/>
        <v>37.611051257975468</v>
      </c>
      <c r="K27" s="204">
        <f t="shared" si="13"/>
        <v>38.414795843817302</v>
      </c>
      <c r="L27" s="204">
        <f t="shared" si="13"/>
        <v>39.217790141073472</v>
      </c>
      <c r="M27" s="204">
        <f>M14*M21</f>
        <v>40.019254732723482</v>
      </c>
      <c r="N27" s="204">
        <f t="shared" si="13"/>
        <v>40.759992270093193</v>
      </c>
      <c r="O27" s="204">
        <f t="shared" si="13"/>
        <v>41.435894489629504</v>
      </c>
      <c r="P27" s="204">
        <f t="shared" si="13"/>
        <v>42.043143301429602</v>
      </c>
      <c r="Q27" s="204">
        <f t="shared" si="13"/>
        <v>42.57824627538244</v>
      </c>
      <c r="R27" s="204">
        <f t="shared" si="13"/>
        <v>43.038069726050175</v>
      </c>
      <c r="S27" s="204">
        <f t="shared" si="13"/>
        <v>43.498097231658051</v>
      </c>
      <c r="T27" s="204">
        <f t="shared" si="13"/>
        <v>43.958226299217436</v>
      </c>
      <c r="U27" s="204">
        <f t="shared" si="13"/>
        <v>44.41835320526161</v>
      </c>
      <c r="V27" s="204">
        <f t="shared" si="13"/>
        <v>44.87837302856861</v>
      </c>
      <c r="W27" s="204">
        <f t="shared" si="13"/>
        <v>45.33817968397107</v>
      </c>
      <c r="X27" s="204">
        <f t="shared" si="13"/>
        <v>45.798170391593182</v>
      </c>
      <c r="Y27" s="204">
        <f t="shared" si="13"/>
        <v>46.258252801007892</v>
      </c>
      <c r="Z27" s="204">
        <f t="shared" si="13"/>
        <v>46.718333518133335</v>
      </c>
      <c r="AA27" s="204">
        <f t="shared" si="13"/>
        <v>47.178318131918004</v>
      </c>
      <c r="AB27" s="204">
        <f t="shared" si="13"/>
        <v>47.638111241856656</v>
      </c>
      <c r="AC27" s="204">
        <f t="shared" si="13"/>
        <v>48.09807121259432</v>
      </c>
      <c r="AD27" s="204">
        <f t="shared" si="13"/>
        <v>48.55811439286326</v>
      </c>
      <c r="AE27" s="204">
        <f t="shared" si="13"/>
        <v>49.01815623836459</v>
      </c>
      <c r="AF27" s="204">
        <f t="shared" si="13"/>
        <v>49.478111333747449</v>
      </c>
      <c r="AG27" s="204">
        <f t="shared" si="13"/>
        <v>49.937893415231954</v>
      </c>
      <c r="AI27" s="245"/>
      <c r="AM27" s="120"/>
      <c r="AN27" s="115"/>
      <c r="AO27" s="115"/>
      <c r="AP27" s="115"/>
      <c r="AQ27" s="115"/>
      <c r="BD27" s="205"/>
      <c r="BE27" s="205"/>
      <c r="BF27" s="205"/>
      <c r="BG27" s="205"/>
      <c r="BH27" s="205"/>
      <c r="BI27" s="205"/>
      <c r="BJ27" s="205"/>
      <c r="BK27" s="205"/>
      <c r="BL27" s="205"/>
    </row>
    <row r="28" spans="1:64" outlineLevel="1">
      <c r="A28" t="s">
        <v>1604</v>
      </c>
      <c r="B28" s="54" t="s">
        <v>1603</v>
      </c>
      <c r="C28" s="204">
        <f t="shared" ref="C28:AG31" si="14">C15*C22</f>
        <v>2.6229670403228216</v>
      </c>
      <c r="D28" s="204">
        <f t="shared" si="14"/>
        <v>2.7108928289731047</v>
      </c>
      <c r="E28" s="204">
        <f t="shared" si="14"/>
        <v>2.7944420101401595</v>
      </c>
      <c r="F28" s="204">
        <f t="shared" si="14"/>
        <v>2.8730411328601577</v>
      </c>
      <c r="G28" s="204">
        <f t="shared" si="14"/>
        <v>2.9461396939974613</v>
      </c>
      <c r="H28" s="204">
        <f t="shared" si="14"/>
        <v>3.0132165607574328</v>
      </c>
      <c r="I28" s="204">
        <f t="shared" si="14"/>
        <v>3.0804177218878936</v>
      </c>
      <c r="J28" s="204">
        <f t="shared" si="14"/>
        <v>3.1476823329653176</v>
      </c>
      <c r="K28" s="204">
        <f t="shared" si="14"/>
        <v>3.2149480048477113</v>
      </c>
      <c r="L28" s="204">
        <f t="shared" si="14"/>
        <v>3.2821508848099983</v>
      </c>
      <c r="M28" s="204">
        <f t="shared" si="14"/>
        <v>3.349225743162942</v>
      </c>
      <c r="N28" s="204">
        <f t="shared" si="14"/>
        <v>3.4112183326215639</v>
      </c>
      <c r="O28" s="204">
        <f t="shared" si="14"/>
        <v>3.4677848311396122</v>
      </c>
      <c r="P28" s="204">
        <f t="shared" si="14"/>
        <v>3.5186057014074175</v>
      </c>
      <c r="Q28" s="204">
        <f t="shared" si="14"/>
        <v>3.563388660699772</v>
      </c>
      <c r="R28" s="204">
        <f t="shared" si="14"/>
        <v>3.601871449761485</v>
      </c>
      <c r="S28" s="204">
        <f t="shared" si="14"/>
        <v>3.6403713162541278</v>
      </c>
      <c r="T28" s="204">
        <f t="shared" si="14"/>
        <v>3.678879682502822</v>
      </c>
      <c r="U28" s="204">
        <f t="shared" si="14"/>
        <v>3.717387867853533</v>
      </c>
      <c r="V28" s="204">
        <f t="shared" si="14"/>
        <v>3.755887091411668</v>
      </c>
      <c r="W28" s="204">
        <f t="shared" si="14"/>
        <v>3.7943684748716233</v>
      </c>
      <c r="X28" s="204">
        <f t="shared" si="14"/>
        <v>3.8328652617276751</v>
      </c>
      <c r="Y28" s="204">
        <f t="shared" si="14"/>
        <v>3.8713697231395514</v>
      </c>
      <c r="Z28" s="204">
        <f t="shared" si="14"/>
        <v>3.9098740429231329</v>
      </c>
      <c r="AA28" s="204">
        <f t="shared" si="14"/>
        <v>3.9483703197837494</v>
      </c>
      <c r="AB28" s="204">
        <f t="shared" si="14"/>
        <v>3.9868505696189942</v>
      </c>
      <c r="AC28" s="204">
        <f t="shared" si="14"/>
        <v>4.0253447840941936</v>
      </c>
      <c r="AD28" s="204">
        <f t="shared" si="14"/>
        <v>4.0638459624048275</v>
      </c>
      <c r="AE28" s="204">
        <f t="shared" si="14"/>
        <v>4.1023470290082829</v>
      </c>
      <c r="AF28" s="204">
        <f t="shared" si="14"/>
        <v>4.1408408354632931</v>
      </c>
      <c r="AG28" s="204">
        <f t="shared" si="14"/>
        <v>4.1793201623232656</v>
      </c>
      <c r="AM28" s="206"/>
      <c r="BD28" s="205"/>
      <c r="BE28" s="205"/>
      <c r="BF28" s="205"/>
      <c r="BG28" s="205"/>
      <c r="BH28" s="205"/>
      <c r="BI28" s="205"/>
      <c r="BJ28" s="205"/>
      <c r="BK28" s="205"/>
      <c r="BL28" s="205"/>
    </row>
    <row r="29" spans="1:64" outlineLevel="1">
      <c r="A29" t="s">
        <v>1605</v>
      </c>
      <c r="B29" s="54" t="s">
        <v>1603</v>
      </c>
      <c r="C29" s="204">
        <f t="shared" si="14"/>
        <v>1.1926002393003741</v>
      </c>
      <c r="D29" s="204">
        <f t="shared" si="14"/>
        <v>1.2325779877710892</v>
      </c>
      <c r="E29" s="204">
        <f t="shared" si="14"/>
        <v>1.2705657977288216</v>
      </c>
      <c r="F29" s="204">
        <f t="shared" si="14"/>
        <v>1.3063029347662478</v>
      </c>
      <c r="G29" s="204">
        <f t="shared" si="14"/>
        <v>1.3395390983034507</v>
      </c>
      <c r="H29" s="204">
        <f t="shared" si="14"/>
        <v>1.3700373417505416</v>
      </c>
      <c r="I29" s="204">
        <f t="shared" si="14"/>
        <v>1.4005920988684912</v>
      </c>
      <c r="J29" s="204">
        <f t="shared" si="14"/>
        <v>1.4311757051563951</v>
      </c>
      <c r="K29" s="204">
        <f t="shared" si="14"/>
        <v>1.4617597937668911</v>
      </c>
      <c r="L29" s="204">
        <f t="shared" si="14"/>
        <v>1.4923153323964706</v>
      </c>
      <c r="M29" s="204">
        <f t="shared" si="14"/>
        <v>1.5228126626690286</v>
      </c>
      <c r="N29" s="204">
        <f t="shared" si="14"/>
        <v>1.5509992071000649</v>
      </c>
      <c r="O29" s="204">
        <f t="shared" si="14"/>
        <v>1.5767186380467479</v>
      </c>
      <c r="P29" s="204">
        <f t="shared" si="14"/>
        <v>1.5998256695538531</v>
      </c>
      <c r="Q29" s="204">
        <f t="shared" si="14"/>
        <v>1.6201874076724028</v>
      </c>
      <c r="R29" s="204">
        <f t="shared" si="14"/>
        <v>1.6376846094055579</v>
      </c>
      <c r="S29" s="204">
        <f t="shared" si="14"/>
        <v>1.6551895758372015</v>
      </c>
      <c r="T29" s="204">
        <f t="shared" si="14"/>
        <v>1.6726984069041777</v>
      </c>
      <c r="U29" s="204">
        <f t="shared" si="14"/>
        <v>1.6902071557211769</v>
      </c>
      <c r="V29" s="204">
        <f t="shared" si="14"/>
        <v>1.7077118298259113</v>
      </c>
      <c r="W29" s="204">
        <f t="shared" si="14"/>
        <v>1.7252083924656403</v>
      </c>
      <c r="X29" s="204">
        <f t="shared" si="14"/>
        <v>1.7427119586603461</v>
      </c>
      <c r="Y29" s="204">
        <f t="shared" si="14"/>
        <v>1.7602190142916225</v>
      </c>
      <c r="Z29" s="204">
        <f t="shared" si="14"/>
        <v>1.777726005527908</v>
      </c>
      <c r="AA29" s="204">
        <f t="shared" si="14"/>
        <v>1.7952293398399146</v>
      </c>
      <c r="AB29" s="204">
        <f t="shared" si="14"/>
        <v>1.8127253870476614</v>
      </c>
      <c r="AC29" s="204">
        <f t="shared" si="14"/>
        <v>1.8302277836424548</v>
      </c>
      <c r="AD29" s="204">
        <f t="shared" si="14"/>
        <v>1.847733346526294</v>
      </c>
      <c r="AE29" s="204">
        <f t="shared" si="14"/>
        <v>1.865238858619557</v>
      </c>
      <c r="AF29" s="204">
        <f t="shared" si="14"/>
        <v>1.8827410696973514</v>
      </c>
      <c r="AG29" s="204">
        <f t="shared" si="14"/>
        <v>1.9002366972503657</v>
      </c>
      <c r="BD29" s="205"/>
      <c r="BE29" s="205"/>
      <c r="BF29" s="205"/>
      <c r="BG29" s="205"/>
      <c r="BH29" s="205"/>
      <c r="BI29" s="205"/>
      <c r="BJ29" s="205"/>
      <c r="BK29" s="205"/>
      <c r="BL29" s="205"/>
    </row>
    <row r="30" spans="1:64" outlineLevel="1">
      <c r="A30" t="s">
        <v>1606</v>
      </c>
      <c r="B30" s="54" t="s">
        <v>1603</v>
      </c>
      <c r="C30" s="204">
        <f t="shared" si="14"/>
        <v>16.948707747256268</v>
      </c>
      <c r="D30" s="204">
        <f t="shared" si="14"/>
        <v>17.516853847596614</v>
      </c>
      <c r="E30" s="204">
        <f t="shared" si="14"/>
        <v>18.056719820883373</v>
      </c>
      <c r="F30" s="204">
        <f t="shared" si="14"/>
        <v>18.564600224904016</v>
      </c>
      <c r="G30" s="204">
        <f t="shared" si="14"/>
        <v>19.036937898391756</v>
      </c>
      <c r="H30" s="204">
        <f t="shared" si="14"/>
        <v>19.470365461086743</v>
      </c>
      <c r="I30" s="204">
        <f t="shared" si="14"/>
        <v>19.904596171105986</v>
      </c>
      <c r="J30" s="204">
        <f t="shared" si="14"/>
        <v>20.339236872783964</v>
      </c>
      <c r="K30" s="204">
        <f t="shared" si="14"/>
        <v>20.773884429017539</v>
      </c>
      <c r="L30" s="204">
        <f t="shared" si="14"/>
        <v>21.208126245534821</v>
      </c>
      <c r="M30" s="204">
        <f t="shared" si="14"/>
        <v>21.64154083059676</v>
      </c>
      <c r="N30" s="204">
        <f t="shared" si="14"/>
        <v>22.042115548112278</v>
      </c>
      <c r="O30" s="204">
        <f t="shared" si="14"/>
        <v>22.407628738682146</v>
      </c>
      <c r="P30" s="204">
        <f t="shared" si="14"/>
        <v>22.736015662493529</v>
      </c>
      <c r="Q30" s="204">
        <f t="shared" si="14"/>
        <v>23.025387689451964</v>
      </c>
      <c r="R30" s="204">
        <f t="shared" si="14"/>
        <v>23.274050190764228</v>
      </c>
      <c r="S30" s="204">
        <f t="shared" si="14"/>
        <v>23.522823040541201</v>
      </c>
      <c r="T30" s="204">
        <f t="shared" si="14"/>
        <v>23.77165081280825</v>
      </c>
      <c r="U30" s="204">
        <f t="shared" si="14"/>
        <v>24.020477416174966</v>
      </c>
      <c r="V30" s="204">
        <f t="shared" si="14"/>
        <v>24.26924611153105</v>
      </c>
      <c r="W30" s="204">
        <f t="shared" si="14"/>
        <v>24.517899530329867</v>
      </c>
      <c r="X30" s="204">
        <f t="shared" si="14"/>
        <v>24.766652480558069</v>
      </c>
      <c r="Y30" s="204">
        <f t="shared" si="14"/>
        <v>25.015455021117283</v>
      </c>
      <c r="Z30" s="204">
        <f t="shared" si="14"/>
        <v>25.264256646523332</v>
      </c>
      <c r="AA30" s="204">
        <f t="shared" si="14"/>
        <v>25.51300630133705</v>
      </c>
      <c r="AB30" s="204">
        <f t="shared" si="14"/>
        <v>25.761652395044237</v>
      </c>
      <c r="AC30" s="204">
        <f t="shared" si="14"/>
        <v>26.010388723435174</v>
      </c>
      <c r="AD30" s="204">
        <f t="shared" si="14"/>
        <v>26.25917004972726</v>
      </c>
      <c r="AE30" s="204">
        <f t="shared" si="14"/>
        <v>26.507950654206116</v>
      </c>
      <c r="AF30" s="204">
        <f t="shared" si="14"/>
        <v>26.75668434611142</v>
      </c>
      <c r="AG30" s="204">
        <f t="shared" si="14"/>
        <v>27.005324475870943</v>
      </c>
      <c r="BD30" s="205"/>
      <c r="BE30" s="205"/>
      <c r="BF30" s="205"/>
      <c r="BG30" s="205"/>
      <c r="BH30" s="205"/>
      <c r="BI30" s="205"/>
      <c r="BJ30" s="205"/>
      <c r="BK30" s="205"/>
      <c r="BL30" s="205"/>
    </row>
    <row r="31" spans="1:64" outlineLevel="1">
      <c r="A31" s="181" t="s">
        <v>1607</v>
      </c>
      <c r="B31" s="176" t="s">
        <v>1603</v>
      </c>
      <c r="C31" s="204">
        <f t="shared" si="14"/>
        <v>18.658875289242712</v>
      </c>
      <c r="D31" s="204">
        <f t="shared" si="14"/>
        <v>19.284348770195038</v>
      </c>
      <c r="E31" s="204">
        <f t="shared" si="14"/>
        <v>19.878688587641829</v>
      </c>
      <c r="F31" s="204">
        <f t="shared" si="14"/>
        <v>20.437815410865589</v>
      </c>
      <c r="G31" s="204">
        <f t="shared" si="14"/>
        <v>20.9578131520176</v>
      </c>
      <c r="H31" s="204">
        <f t="shared" si="14"/>
        <v>21.434974653640364</v>
      </c>
      <c r="I31" s="204">
        <f t="shared" si="14"/>
        <v>21.913020342186741</v>
      </c>
      <c r="J31" s="204">
        <f t="shared" si="14"/>
        <v>22.391517391588703</v>
      </c>
      <c r="K31" s="204">
        <f t="shared" si="14"/>
        <v>22.870021987188284</v>
      </c>
      <c r="L31" s="204">
        <f t="shared" si="14"/>
        <v>23.348079902906484</v>
      </c>
      <c r="M31" s="204">
        <f t="shared" si="14"/>
        <v>23.825227117420152</v>
      </c>
      <c r="N31" s="204">
        <f t="shared" si="14"/>
        <v>24.266220838570106</v>
      </c>
      <c r="O31" s="204">
        <f t="shared" si="14"/>
        <v>24.668615235896386</v>
      </c>
      <c r="P31" s="204">
        <f t="shared" si="14"/>
        <v>25.030137232109141</v>
      </c>
      <c r="Q31" s="204">
        <f t="shared" si="14"/>
        <v>25.348707629553562</v>
      </c>
      <c r="R31" s="204">
        <f t="shared" si="14"/>
        <v>25.622460807098786</v>
      </c>
      <c r="S31" s="204">
        <f t="shared" si="14"/>
        <v>25.896335467548312</v>
      </c>
      <c r="T31" s="204">
        <f t="shared" si="14"/>
        <v>26.170270592306274</v>
      </c>
      <c r="U31" s="204">
        <f t="shared" si="14"/>
        <v>26.444204430218903</v>
      </c>
      <c r="V31" s="204">
        <f t="shared" si="14"/>
        <v>26.71807451705595</v>
      </c>
      <c r="W31" s="204">
        <f t="shared" si="14"/>
        <v>26.991817695639106</v>
      </c>
      <c r="X31" s="204">
        <f t="shared" si="14"/>
        <v>27.265670448624988</v>
      </c>
      <c r="Y31" s="204">
        <f t="shared" si="14"/>
        <v>27.539577795731887</v>
      </c>
      <c r="Z31" s="204">
        <f t="shared" si="14"/>
        <v>27.813484135344353</v>
      </c>
      <c r="AA31" s="204">
        <f t="shared" si="14"/>
        <v>28.087333260400076</v>
      </c>
      <c r="AB31" s="204">
        <f t="shared" si="14"/>
        <v>28.36106837477131</v>
      </c>
      <c r="AC31" s="204">
        <f t="shared" si="14"/>
        <v>28.63490282873444</v>
      </c>
      <c r="AD31" s="204">
        <f t="shared" si="14"/>
        <v>28.908786821000927</v>
      </c>
      <c r="AE31" s="204">
        <f t="shared" si="14"/>
        <v>29.182670018621394</v>
      </c>
      <c r="AF31" s="204">
        <f t="shared" si="14"/>
        <v>29.456501570070813</v>
      </c>
      <c r="AG31" s="204">
        <f t="shared" si="14"/>
        <v>29.73023011871695</v>
      </c>
      <c r="AL31" s="108"/>
      <c r="AM31" s="207"/>
      <c r="AN31" s="207"/>
      <c r="AO31" s="207"/>
    </row>
    <row r="32" spans="1:64" s="1" customFormat="1" ht="16" thickBot="1">
      <c r="A32" s="200" t="s">
        <v>1608</v>
      </c>
      <c r="B32" s="219" t="s">
        <v>1603</v>
      </c>
      <c r="C32" s="216">
        <f>SUM(C27:C31)</f>
        <v>70.764479384937346</v>
      </c>
      <c r="D32" s="216">
        <f t="shared" ref="D32:AG32" si="15">SUM(D27:D31)</f>
        <v>73.13661085387929</v>
      </c>
      <c r="E32" s="216">
        <f t="shared" si="15"/>
        <v>75.390666744568932</v>
      </c>
      <c r="F32" s="216">
        <f t="shared" si="15"/>
        <v>77.511176043347206</v>
      </c>
      <c r="G32" s="216">
        <f t="shared" si="15"/>
        <v>79.483286841213982</v>
      </c>
      <c r="H32" s="216">
        <f t="shared" si="15"/>
        <v>81.292939605458415</v>
      </c>
      <c r="I32" s="216">
        <f t="shared" si="15"/>
        <v>83.105945681537463</v>
      </c>
      <c r="J32" s="216">
        <f t="shared" si="15"/>
        <v>84.920663560469848</v>
      </c>
      <c r="K32" s="216">
        <f t="shared" si="15"/>
        <v>86.735410058637726</v>
      </c>
      <c r="L32" s="216">
        <f t="shared" si="15"/>
        <v>88.548462506721251</v>
      </c>
      <c r="M32" s="216">
        <f t="shared" si="15"/>
        <v>90.358061086572363</v>
      </c>
      <c r="N32" s="216">
        <f t="shared" si="15"/>
        <v>92.030546196497212</v>
      </c>
      <c r="O32" s="216">
        <f t="shared" si="15"/>
        <v>93.556641933394388</v>
      </c>
      <c r="P32" s="216">
        <f t="shared" si="15"/>
        <v>94.927727566993539</v>
      </c>
      <c r="Q32" s="216">
        <f t="shared" si="15"/>
        <v>96.135917662760136</v>
      </c>
      <c r="R32" s="216">
        <f t="shared" si="15"/>
        <v>97.174136783080243</v>
      </c>
      <c r="S32" s="216">
        <f t="shared" si="15"/>
        <v>98.212816631838891</v>
      </c>
      <c r="T32" s="216">
        <f t="shared" si="15"/>
        <v>99.251725793738956</v>
      </c>
      <c r="U32" s="216">
        <f t="shared" si="15"/>
        <v>100.29063007523018</v>
      </c>
      <c r="V32" s="216">
        <f t="shared" si="15"/>
        <v>101.32929257839319</v>
      </c>
      <c r="W32" s="216">
        <f t="shared" si="15"/>
        <v>102.3674737772773</v>
      </c>
      <c r="X32" s="216">
        <f t="shared" si="15"/>
        <v>103.40607054116425</v>
      </c>
      <c r="Y32" s="216">
        <f t="shared" si="15"/>
        <v>104.44487435528823</v>
      </c>
      <c r="Z32" s="216">
        <f t="shared" si="15"/>
        <v>105.48367434845207</v>
      </c>
      <c r="AA32" s="216">
        <f t="shared" si="15"/>
        <v>106.52225735327879</v>
      </c>
      <c r="AB32" s="216">
        <f t="shared" si="15"/>
        <v>107.56040796833885</v>
      </c>
      <c r="AC32" s="216">
        <f t="shared" si="15"/>
        <v>108.59893533250059</v>
      </c>
      <c r="AD32" s="216">
        <f t="shared" si="15"/>
        <v>109.63765057252257</v>
      </c>
      <c r="AE32" s="216">
        <f t="shared" si="15"/>
        <v>110.67636279881994</v>
      </c>
      <c r="AF32" s="216">
        <f t="shared" si="15"/>
        <v>111.71487915509033</v>
      </c>
      <c r="AG32" s="216">
        <f t="shared" si="15"/>
        <v>112.75300486939346</v>
      </c>
      <c r="AJ32" s="162"/>
      <c r="AL32" s="221"/>
      <c r="AM32" s="124"/>
      <c r="AN32" s="124"/>
      <c r="AO32" s="124"/>
    </row>
    <row r="33" spans="1:64" ht="16" outlineLevel="1" thickTop="1">
      <c r="AL33" s="108"/>
      <c r="AM33" s="2"/>
      <c r="AN33" s="2"/>
      <c r="AO33" s="2"/>
    </row>
    <row r="34" spans="1:64" outlineLevel="1">
      <c r="A34" t="s">
        <v>1609</v>
      </c>
      <c r="B34" s="176" t="s">
        <v>1603</v>
      </c>
      <c r="C34" s="107">
        <f>C32</f>
        <v>70.764479384937346</v>
      </c>
      <c r="D34" s="107">
        <f t="shared" ref="D34:AG34" si="16">D32</f>
        <v>73.13661085387929</v>
      </c>
      <c r="E34" s="107">
        <f t="shared" si="16"/>
        <v>75.390666744568932</v>
      </c>
      <c r="F34" s="107">
        <f t="shared" si="16"/>
        <v>77.511176043347206</v>
      </c>
      <c r="G34" s="107">
        <f t="shared" si="16"/>
        <v>79.483286841213982</v>
      </c>
      <c r="H34" s="107">
        <f t="shared" si="16"/>
        <v>81.292939605458415</v>
      </c>
      <c r="I34" s="107">
        <f t="shared" si="16"/>
        <v>83.105945681537463</v>
      </c>
      <c r="J34" s="107">
        <f t="shared" si="16"/>
        <v>84.920663560469848</v>
      </c>
      <c r="K34" s="107">
        <f t="shared" si="16"/>
        <v>86.735410058637726</v>
      </c>
      <c r="L34" s="107">
        <f t="shared" si="16"/>
        <v>88.548462506721251</v>
      </c>
      <c r="M34" s="107">
        <f t="shared" si="16"/>
        <v>90.358061086572363</v>
      </c>
      <c r="N34" s="107">
        <f t="shared" si="16"/>
        <v>92.030546196497212</v>
      </c>
      <c r="O34" s="107">
        <f t="shared" si="16"/>
        <v>93.556641933394388</v>
      </c>
      <c r="P34" s="107">
        <f t="shared" si="16"/>
        <v>94.927727566993539</v>
      </c>
      <c r="Q34" s="107">
        <f t="shared" si="16"/>
        <v>96.135917662760136</v>
      </c>
      <c r="R34" s="107">
        <f t="shared" si="16"/>
        <v>97.174136783080243</v>
      </c>
      <c r="S34" s="107">
        <f t="shared" si="16"/>
        <v>98.212816631838891</v>
      </c>
      <c r="T34" s="107">
        <f t="shared" si="16"/>
        <v>99.251725793738956</v>
      </c>
      <c r="U34" s="107">
        <f t="shared" si="16"/>
        <v>100.29063007523018</v>
      </c>
      <c r="V34" s="107">
        <f t="shared" si="16"/>
        <v>101.32929257839319</v>
      </c>
      <c r="W34" s="107">
        <f t="shared" si="16"/>
        <v>102.3674737772773</v>
      </c>
      <c r="X34" s="107">
        <f t="shared" si="16"/>
        <v>103.40607054116425</v>
      </c>
      <c r="Y34" s="107">
        <f t="shared" si="16"/>
        <v>104.44487435528823</v>
      </c>
      <c r="Z34" s="107">
        <f t="shared" si="16"/>
        <v>105.48367434845207</v>
      </c>
      <c r="AA34" s="107">
        <f t="shared" si="16"/>
        <v>106.52225735327879</v>
      </c>
      <c r="AB34" s="107">
        <f t="shared" si="16"/>
        <v>107.56040796833885</v>
      </c>
      <c r="AC34" s="107">
        <f t="shared" si="16"/>
        <v>108.59893533250059</v>
      </c>
      <c r="AD34" s="107">
        <f t="shared" si="16"/>
        <v>109.63765057252257</v>
      </c>
      <c r="AE34" s="107">
        <f t="shared" si="16"/>
        <v>110.67636279881994</v>
      </c>
      <c r="AF34" s="107">
        <f t="shared" si="16"/>
        <v>111.71487915509033</v>
      </c>
      <c r="AG34" s="107">
        <f t="shared" si="16"/>
        <v>112.75300486939346</v>
      </c>
      <c r="AL34" s="108"/>
      <c r="AM34" s="2"/>
      <c r="AN34" s="2"/>
      <c r="AO34" s="2"/>
    </row>
    <row r="35" spans="1:64" outlineLevel="1">
      <c r="AL35" s="108"/>
      <c r="AM35" s="2"/>
      <c r="AN35" s="2"/>
      <c r="AO35" s="2"/>
    </row>
    <row r="36" spans="1:64" outlineLevel="1">
      <c r="A36" t="s">
        <v>1610</v>
      </c>
      <c r="B36" s="54" t="s">
        <v>462</v>
      </c>
      <c r="C36" s="205">
        <f>'Yearly BTX'!AJ34/'Yearly BTX'!AJ27</f>
        <v>1</v>
      </c>
      <c r="D36" s="205">
        <f>'Yearly BTX'!AK34/'Yearly BTX'!AK27</f>
        <v>1</v>
      </c>
      <c r="E36" s="205">
        <f>'Yearly BTX'!AL34/'Yearly BTX'!AL27</f>
        <v>1</v>
      </c>
      <c r="F36" s="205">
        <f>'Yearly BTX'!AM34/'Yearly BTX'!AM27</f>
        <v>1</v>
      </c>
      <c r="G36" s="205">
        <f>'Yearly BTX'!AN34/'Yearly BTX'!AN27</f>
        <v>1</v>
      </c>
      <c r="H36" s="205">
        <f>'Yearly BTX'!AO34/'Yearly BTX'!AO27</f>
        <v>1</v>
      </c>
      <c r="I36" s="205">
        <f>'Yearly BTX'!AP34/'Yearly BTX'!AP27</f>
        <v>1</v>
      </c>
      <c r="J36" s="205">
        <f>'Yearly BTX'!AQ34/'Yearly BTX'!AQ27</f>
        <v>1</v>
      </c>
      <c r="K36" s="205">
        <f>'Yearly BTX'!AR34/'Yearly BTX'!AR27</f>
        <v>1</v>
      </c>
      <c r="L36" s="205">
        <f>'Yearly BTX'!AS34/'Yearly BTX'!AS27</f>
        <v>1</v>
      </c>
      <c r="M36" s="205">
        <f>'Yearly BTX'!AT34/'Yearly BTX'!AT27</f>
        <v>1</v>
      </c>
      <c r="N36" s="205">
        <f>'Yearly BTX'!AU34/'Yearly BTX'!AU27</f>
        <v>1</v>
      </c>
      <c r="O36" s="205">
        <f>'Yearly BTX'!AV34/'Yearly BTX'!AV27</f>
        <v>1</v>
      </c>
      <c r="P36" s="205">
        <f>'Yearly BTX'!AW34/'Yearly BTX'!AW27</f>
        <v>1</v>
      </c>
      <c r="Q36" s="205">
        <f>'Yearly BTX'!AX34/'Yearly BTX'!AX27</f>
        <v>1</v>
      </c>
      <c r="R36" s="205">
        <f>'Yearly BTX'!AY34/'Yearly BTX'!AY27</f>
        <v>1</v>
      </c>
      <c r="S36" s="205">
        <f>'Yearly BTX'!AZ34/'Yearly BTX'!AZ27</f>
        <v>1</v>
      </c>
      <c r="T36" s="205">
        <f>'Yearly BTX'!BA34/'Yearly BTX'!BA27</f>
        <v>1</v>
      </c>
      <c r="U36" s="205">
        <f>'Yearly BTX'!BB34/'Yearly BTX'!BB27</f>
        <v>1</v>
      </c>
      <c r="V36" s="205">
        <f>'Yearly BTX'!BC34/'Yearly BTX'!BC27</f>
        <v>1</v>
      </c>
      <c r="W36" s="205">
        <f>'Yearly BTX'!BD34/'Yearly BTX'!BD27</f>
        <v>1</v>
      </c>
      <c r="X36" s="205">
        <f>'Yearly BTX'!BE34/'Yearly BTX'!BE27</f>
        <v>1</v>
      </c>
      <c r="Y36" s="205">
        <f>'Yearly BTX'!BF34/'Yearly BTX'!BF27</f>
        <v>1</v>
      </c>
      <c r="Z36" s="205">
        <f>'Yearly BTX'!BG34/'Yearly BTX'!BG27</f>
        <v>1</v>
      </c>
      <c r="AA36" s="205">
        <f>'Yearly BTX'!BH34/'Yearly BTX'!BH27</f>
        <v>1</v>
      </c>
      <c r="AB36" s="205">
        <f>'Yearly BTX'!BI34/'Yearly BTX'!BI27</f>
        <v>1</v>
      </c>
      <c r="AC36" s="205">
        <f>'Yearly BTX'!BJ34/'Yearly BTX'!BJ27</f>
        <v>1</v>
      </c>
      <c r="AD36" s="205">
        <f>'Yearly BTX'!BK34/'Yearly BTX'!BK27</f>
        <v>1</v>
      </c>
      <c r="AE36" s="205">
        <f>'Yearly BTX'!BL34/'Yearly BTX'!BL27</f>
        <v>1</v>
      </c>
      <c r="AF36" s="205">
        <f>'Yearly BTX'!BM34/'Yearly BTX'!BM27</f>
        <v>1</v>
      </c>
      <c r="AG36" s="205">
        <f>'Yearly BTX'!BN34/'Yearly BTX'!BN27</f>
        <v>1</v>
      </c>
      <c r="AL36" s="108"/>
      <c r="AM36" s="207"/>
      <c r="AN36" s="207"/>
      <c r="AO36" s="207"/>
      <c r="BC36" s="1"/>
      <c r="BD36" s="578"/>
      <c r="BE36" s="578"/>
      <c r="BF36" s="578"/>
      <c r="BG36" s="578"/>
      <c r="BH36" s="578"/>
      <c r="BI36" s="578"/>
      <c r="BJ36" s="578"/>
      <c r="BK36" s="578"/>
    </row>
    <row r="37" spans="1:64" outlineLevel="1">
      <c r="A37" t="s">
        <v>1611</v>
      </c>
      <c r="B37" s="54" t="s">
        <v>462</v>
      </c>
      <c r="C37" s="205">
        <f>'Yearly BTX'!AJ23/'Yearly BTX'!AJ16</f>
        <v>1</v>
      </c>
      <c r="D37" s="205">
        <f>'Yearly BTX'!AK23/'Yearly BTX'!AK16</f>
        <v>1.002</v>
      </c>
      <c r="E37" s="205">
        <f>'Yearly BTX'!AL23/'Yearly BTX'!AL16</f>
        <v>1.004</v>
      </c>
      <c r="F37" s="205">
        <f>'Yearly BTX'!AM23/'Yearly BTX'!AM16</f>
        <v>1.006</v>
      </c>
      <c r="G37" s="205">
        <f>'Yearly BTX'!AN23/'Yearly BTX'!AN16</f>
        <v>1.008</v>
      </c>
      <c r="H37" s="205">
        <f>'Yearly BTX'!AO23/'Yearly BTX'!AO16</f>
        <v>1.01</v>
      </c>
      <c r="I37" s="205">
        <f>'Yearly BTX'!AP23/'Yearly BTX'!AP16</f>
        <v>1.012</v>
      </c>
      <c r="J37" s="205">
        <f>'Yearly BTX'!AQ23/'Yearly BTX'!AQ16</f>
        <v>1.014</v>
      </c>
      <c r="K37" s="205">
        <f>'Yearly BTX'!AR23/'Yearly BTX'!AR16</f>
        <v>1.016</v>
      </c>
      <c r="L37" s="205">
        <f>'Yearly BTX'!AS23/'Yearly BTX'!AS16</f>
        <v>1.018</v>
      </c>
      <c r="M37" s="205">
        <f>'Yearly BTX'!AT23/'Yearly BTX'!AT16</f>
        <v>1.02</v>
      </c>
      <c r="N37" s="205">
        <f>'Yearly BTX'!AU23/'Yearly BTX'!AU16</f>
        <v>1.0250000000000001</v>
      </c>
      <c r="O37" s="205">
        <f>'Yearly BTX'!AV23/'Yearly BTX'!AV16</f>
        <v>1.0299999999999998</v>
      </c>
      <c r="P37" s="205">
        <f>'Yearly BTX'!AW23/'Yearly BTX'!AW16</f>
        <v>1.0349999999999999</v>
      </c>
      <c r="Q37" s="205">
        <f>'Yearly BTX'!AX23/'Yearly BTX'!AX16</f>
        <v>1.04</v>
      </c>
      <c r="R37" s="205">
        <f>'Yearly BTX'!AY23/'Yearly BTX'!AY16</f>
        <v>1.0449999999999999</v>
      </c>
      <c r="S37" s="205">
        <f>'Yearly BTX'!AZ23/'Yearly BTX'!AZ16</f>
        <v>1.05</v>
      </c>
      <c r="T37" s="205">
        <f>'Yearly BTX'!BA23/'Yearly BTX'!BA16</f>
        <v>1.0549999999999999</v>
      </c>
      <c r="U37" s="205">
        <f>'Yearly BTX'!BB23/'Yearly BTX'!BB16</f>
        <v>1.06</v>
      </c>
      <c r="V37" s="205">
        <f>'Yearly BTX'!BC23/'Yearly BTX'!BC16</f>
        <v>1.0649999999999999</v>
      </c>
      <c r="W37" s="205">
        <f>'Yearly BTX'!BD23/'Yearly BTX'!BD16</f>
        <v>1.07</v>
      </c>
      <c r="X37" s="205">
        <f>'Yearly BTX'!BE23/'Yearly BTX'!BE16</f>
        <v>1.073</v>
      </c>
      <c r="Y37" s="205">
        <f>'Yearly BTX'!BF23/'Yearly BTX'!BF16</f>
        <v>1.0760000000000001</v>
      </c>
      <c r="Z37" s="205">
        <f>'Yearly BTX'!BG23/'Yearly BTX'!BG16</f>
        <v>1.079</v>
      </c>
      <c r="AA37" s="205">
        <f>'Yearly BTX'!BH23/'Yearly BTX'!BH16</f>
        <v>1.0819999999999999</v>
      </c>
      <c r="AB37" s="205">
        <f>'Yearly BTX'!BI23/'Yearly BTX'!BI16</f>
        <v>1.085</v>
      </c>
      <c r="AC37" s="205">
        <f>'Yearly BTX'!BJ23/'Yearly BTX'!BJ16</f>
        <v>1.0880000000000001</v>
      </c>
      <c r="AD37" s="205">
        <f>'Yearly BTX'!BK23/'Yearly BTX'!BK16</f>
        <v>1.091</v>
      </c>
      <c r="AE37" s="205">
        <f>'Yearly BTX'!BL23/'Yearly BTX'!BL16</f>
        <v>1.0940000000000001</v>
      </c>
      <c r="AF37" s="205">
        <f>'Yearly BTX'!BM23/'Yearly BTX'!BM16</f>
        <v>1.097</v>
      </c>
      <c r="AG37" s="205">
        <f>'Yearly BTX'!BN23/'Yearly BTX'!BN16</f>
        <v>1.1000000000000001</v>
      </c>
      <c r="AL37" s="108"/>
      <c r="AM37" s="207"/>
      <c r="AN37" s="207"/>
      <c r="AO37" s="207"/>
      <c r="BL37" s="1"/>
    </row>
    <row r="38" spans="1:64" outlineLevel="1">
      <c r="A38" t="s">
        <v>1612</v>
      </c>
      <c r="B38" s="54" t="s">
        <v>462</v>
      </c>
      <c r="C38" s="205">
        <f>'Yearly BTX'!AJ41/'Yearly BTX'!AJ38</f>
        <v>1</v>
      </c>
      <c r="D38" s="205">
        <f>'Yearly BTX'!AK41/'Yearly BTX'!AK38</f>
        <v>1</v>
      </c>
      <c r="E38" s="205">
        <f>'Yearly BTX'!AL41/'Yearly BTX'!AL38</f>
        <v>1</v>
      </c>
      <c r="F38" s="205">
        <f>'Yearly BTX'!AM41/'Yearly BTX'!AM38</f>
        <v>1</v>
      </c>
      <c r="G38" s="205">
        <f>'Yearly BTX'!AN41/'Yearly BTX'!AN38</f>
        <v>1</v>
      </c>
      <c r="H38" s="205">
        <f>'Yearly BTX'!AO41/'Yearly BTX'!AO38</f>
        <v>1</v>
      </c>
      <c r="I38" s="205">
        <f>'Yearly BTX'!AP41/'Yearly BTX'!AP38</f>
        <v>1</v>
      </c>
      <c r="J38" s="205">
        <f>'Yearly BTX'!AQ41/'Yearly BTX'!AQ38</f>
        <v>1</v>
      </c>
      <c r="K38" s="205">
        <f>'Yearly BTX'!AR41/'Yearly BTX'!AR38</f>
        <v>1</v>
      </c>
      <c r="L38" s="205">
        <f>'Yearly BTX'!AS41/'Yearly BTX'!AS38</f>
        <v>1</v>
      </c>
      <c r="M38" s="205">
        <f>'Yearly BTX'!AT41/'Yearly BTX'!AT38</f>
        <v>1</v>
      </c>
      <c r="N38" s="205">
        <f>'Yearly BTX'!AU41/'Yearly BTX'!AU38</f>
        <v>1</v>
      </c>
      <c r="O38" s="205">
        <f>'Yearly BTX'!AV41/'Yearly BTX'!AV38</f>
        <v>1</v>
      </c>
      <c r="P38" s="205">
        <f>'Yearly BTX'!AW41/'Yearly BTX'!AW38</f>
        <v>1</v>
      </c>
      <c r="Q38" s="205">
        <f>'Yearly BTX'!AX41/'Yearly BTX'!AX38</f>
        <v>1</v>
      </c>
      <c r="R38" s="205">
        <f>'Yearly BTX'!AY41/'Yearly BTX'!AY38</f>
        <v>1</v>
      </c>
      <c r="S38" s="205">
        <f>'Yearly BTX'!AZ41/'Yearly BTX'!AZ38</f>
        <v>1</v>
      </c>
      <c r="T38" s="205">
        <f>'Yearly BTX'!BA41/'Yearly BTX'!BA38</f>
        <v>1</v>
      </c>
      <c r="U38" s="205">
        <f>'Yearly BTX'!BB41/'Yearly BTX'!BB38</f>
        <v>1</v>
      </c>
      <c r="V38" s="205">
        <f>'Yearly BTX'!BC41/'Yearly BTX'!BC38</f>
        <v>1</v>
      </c>
      <c r="W38" s="205">
        <f>'Yearly BTX'!BD41/'Yearly BTX'!BD38</f>
        <v>1</v>
      </c>
      <c r="X38" s="205">
        <f>'Yearly BTX'!BE41/'Yearly BTX'!BE38</f>
        <v>1</v>
      </c>
      <c r="Y38" s="205">
        <f>'Yearly BTX'!BF41/'Yearly BTX'!BF38</f>
        <v>1</v>
      </c>
      <c r="Z38" s="205">
        <f>'Yearly BTX'!BG41/'Yearly BTX'!BG38</f>
        <v>1</v>
      </c>
      <c r="AA38" s="205">
        <f>'Yearly BTX'!BH41/'Yearly BTX'!BH38</f>
        <v>1</v>
      </c>
      <c r="AB38" s="205">
        <f>'Yearly BTX'!BI41/'Yearly BTX'!BI38</f>
        <v>1</v>
      </c>
      <c r="AC38" s="205">
        <f>'Yearly BTX'!BJ41/'Yearly BTX'!BJ38</f>
        <v>1</v>
      </c>
      <c r="AD38" s="205">
        <f>'Yearly BTX'!BK41/'Yearly BTX'!BK38</f>
        <v>1</v>
      </c>
      <c r="AE38" s="205">
        <f>'Yearly BTX'!BL41/'Yearly BTX'!BL38</f>
        <v>1</v>
      </c>
      <c r="AF38" s="205">
        <f>'Yearly BTX'!BM41/'Yearly BTX'!BM38</f>
        <v>1</v>
      </c>
      <c r="AG38" s="205">
        <f>'Yearly BTX'!BN41/'Yearly BTX'!BN38</f>
        <v>1</v>
      </c>
      <c r="AL38" s="108"/>
      <c r="AM38" s="207"/>
      <c r="AN38" s="207"/>
      <c r="AO38" s="207"/>
      <c r="BD38" s="41"/>
      <c r="BE38" s="41"/>
      <c r="BF38" s="41"/>
      <c r="BG38" s="41"/>
      <c r="BH38" s="41"/>
      <c r="BI38" s="41"/>
      <c r="BJ38" s="41"/>
      <c r="BK38" s="41"/>
      <c r="BL38" s="118"/>
    </row>
    <row r="39" spans="1:64" outlineLevel="1">
      <c r="A39" t="s">
        <v>1613</v>
      </c>
      <c r="B39" s="54" t="s">
        <v>462</v>
      </c>
      <c r="C39" s="205">
        <f>'Yearly BTX'!AJ50/'Yearly BTX'!AJ45</f>
        <v>1</v>
      </c>
      <c r="D39" s="205">
        <f>'Yearly BTX'!AK50/'Yearly BTX'!AK45</f>
        <v>1</v>
      </c>
      <c r="E39" s="205">
        <f>'Yearly BTX'!AL50/'Yearly BTX'!AL45</f>
        <v>1</v>
      </c>
      <c r="F39" s="205">
        <f>'Yearly BTX'!AM50/'Yearly BTX'!AM45</f>
        <v>1</v>
      </c>
      <c r="G39" s="205">
        <f>'Yearly BTX'!AN50/'Yearly BTX'!AN45</f>
        <v>1</v>
      </c>
      <c r="H39" s="205">
        <f>'Yearly BTX'!AO50/'Yearly BTX'!AO45</f>
        <v>1</v>
      </c>
      <c r="I39" s="205">
        <f>'Yearly BTX'!AP50/'Yearly BTX'!AP45</f>
        <v>1</v>
      </c>
      <c r="J39" s="205">
        <f>'Yearly BTX'!AQ50/'Yearly BTX'!AQ45</f>
        <v>1</v>
      </c>
      <c r="K39" s="205">
        <f>'Yearly BTX'!AR50/'Yearly BTX'!AR45</f>
        <v>1</v>
      </c>
      <c r="L39" s="205">
        <f>'Yearly BTX'!AS50/'Yearly BTX'!AS45</f>
        <v>1</v>
      </c>
      <c r="M39" s="205">
        <f>'Yearly BTX'!AT50/'Yearly BTX'!AT45</f>
        <v>1</v>
      </c>
      <c r="N39" s="205">
        <f>'Yearly BTX'!AU50/'Yearly BTX'!AU45</f>
        <v>1</v>
      </c>
      <c r="O39" s="205">
        <f>'Yearly BTX'!AV50/'Yearly BTX'!AV45</f>
        <v>1</v>
      </c>
      <c r="P39" s="205">
        <f>'Yearly BTX'!AW50/'Yearly BTX'!AW45</f>
        <v>1</v>
      </c>
      <c r="Q39" s="205">
        <f>'Yearly BTX'!AX50/'Yearly BTX'!AX45</f>
        <v>1</v>
      </c>
      <c r="R39" s="205">
        <f>'Yearly BTX'!AY50/'Yearly BTX'!AY45</f>
        <v>1</v>
      </c>
      <c r="S39" s="205">
        <f>'Yearly BTX'!AZ50/'Yearly BTX'!AZ45</f>
        <v>1</v>
      </c>
      <c r="T39" s="205">
        <f>'Yearly BTX'!BA50/'Yearly BTX'!BA45</f>
        <v>1</v>
      </c>
      <c r="U39" s="205">
        <f>'Yearly BTX'!BB50/'Yearly BTX'!BB45</f>
        <v>1</v>
      </c>
      <c r="V39" s="205">
        <f>'Yearly BTX'!BC50/'Yearly BTX'!BC45</f>
        <v>1</v>
      </c>
      <c r="W39" s="205">
        <f>'Yearly BTX'!BD50/'Yearly BTX'!BD45</f>
        <v>1</v>
      </c>
      <c r="X39" s="205">
        <f>'Yearly BTX'!BE50/'Yearly BTX'!BE45</f>
        <v>1</v>
      </c>
      <c r="Y39" s="205">
        <f>'Yearly BTX'!BF50/'Yearly BTX'!BF45</f>
        <v>1</v>
      </c>
      <c r="Z39" s="205">
        <f>'Yearly BTX'!BG50/'Yearly BTX'!BG45</f>
        <v>1</v>
      </c>
      <c r="AA39" s="205">
        <f>'Yearly BTX'!BH50/'Yearly BTX'!BH45</f>
        <v>1</v>
      </c>
      <c r="AB39" s="205">
        <f>'Yearly BTX'!BI50/'Yearly BTX'!BI45</f>
        <v>1</v>
      </c>
      <c r="AC39" s="205">
        <f>'Yearly BTX'!BJ50/'Yearly BTX'!BJ45</f>
        <v>1</v>
      </c>
      <c r="AD39" s="205">
        <f>'Yearly BTX'!BK50/'Yearly BTX'!BK45</f>
        <v>1</v>
      </c>
      <c r="AE39" s="205">
        <f>'Yearly BTX'!BL50/'Yearly BTX'!BL45</f>
        <v>1</v>
      </c>
      <c r="AF39" s="205">
        <f>'Yearly BTX'!BM50/'Yearly BTX'!BM45</f>
        <v>1</v>
      </c>
      <c r="AG39" s="205">
        <f>'Yearly BTX'!BN50/'Yearly BTX'!BN45</f>
        <v>1</v>
      </c>
      <c r="AL39" s="108"/>
      <c r="AM39" s="207"/>
      <c r="AN39" s="207"/>
      <c r="AO39" s="207"/>
      <c r="BD39" s="41"/>
      <c r="BE39" s="41"/>
      <c r="BF39" s="41"/>
      <c r="BG39" s="41"/>
      <c r="BH39" s="41"/>
      <c r="BI39" s="41"/>
      <c r="BJ39" s="41"/>
      <c r="BK39" s="41"/>
      <c r="BL39" s="118"/>
    </row>
    <row r="40" spans="1:64" outlineLevel="1">
      <c r="A40" t="s">
        <v>1614</v>
      </c>
      <c r="B40" s="176" t="s">
        <v>462</v>
      </c>
      <c r="C40" s="159">
        <f>'Yearly BTX'!AJ57/'Yearly BTX'!AJ54</f>
        <v>1</v>
      </c>
      <c r="D40" s="159">
        <f>'Yearly BTX'!AK57/'Yearly BTX'!AK54</f>
        <v>1</v>
      </c>
      <c r="E40" s="159">
        <f>'Yearly BTX'!AL57/'Yearly BTX'!AL54</f>
        <v>1</v>
      </c>
      <c r="F40" s="159">
        <f>'Yearly BTX'!AM57/'Yearly BTX'!AM54</f>
        <v>1</v>
      </c>
      <c r="G40" s="159">
        <f>'Yearly BTX'!AN57/'Yearly BTX'!AN54</f>
        <v>1</v>
      </c>
      <c r="H40" s="159">
        <f>'Yearly BTX'!AO57/'Yearly BTX'!AO54</f>
        <v>1</v>
      </c>
      <c r="I40" s="159">
        <f>'Yearly BTX'!AP57/'Yearly BTX'!AP54</f>
        <v>1</v>
      </c>
      <c r="J40" s="159">
        <f>'Yearly BTX'!AQ57/'Yearly BTX'!AQ54</f>
        <v>1</v>
      </c>
      <c r="K40" s="159">
        <f>'Yearly BTX'!AR57/'Yearly BTX'!AR54</f>
        <v>1</v>
      </c>
      <c r="L40" s="159">
        <f>'Yearly BTX'!AS57/'Yearly BTX'!AS54</f>
        <v>1</v>
      </c>
      <c r="M40" s="159">
        <f>'Yearly BTX'!AT57/'Yearly BTX'!AT54</f>
        <v>1</v>
      </c>
      <c r="N40" s="159">
        <f>'Yearly BTX'!AU57/'Yearly BTX'!AU54</f>
        <v>1</v>
      </c>
      <c r="O40" s="159">
        <f>'Yearly BTX'!AV57/'Yearly BTX'!AV54</f>
        <v>1</v>
      </c>
      <c r="P40" s="159">
        <f>'Yearly BTX'!AW57/'Yearly BTX'!AW54</f>
        <v>1</v>
      </c>
      <c r="Q40" s="159">
        <f>'Yearly BTX'!AX57/'Yearly BTX'!AX54</f>
        <v>1</v>
      </c>
      <c r="R40" s="159">
        <f>'Yearly BTX'!AY57/'Yearly BTX'!AY54</f>
        <v>1</v>
      </c>
      <c r="S40" s="159">
        <f>'Yearly BTX'!AZ57/'Yearly BTX'!AZ54</f>
        <v>1</v>
      </c>
      <c r="T40" s="159">
        <f>'Yearly BTX'!BA57/'Yearly BTX'!BA54</f>
        <v>1</v>
      </c>
      <c r="U40" s="159">
        <f>'Yearly BTX'!BB57/'Yearly BTX'!BB54</f>
        <v>1</v>
      </c>
      <c r="V40" s="159">
        <f>'Yearly BTX'!BC57/'Yearly BTX'!BC54</f>
        <v>1</v>
      </c>
      <c r="W40" s="159">
        <f>'Yearly BTX'!BD57/'Yearly BTX'!BD54</f>
        <v>1</v>
      </c>
      <c r="X40" s="159">
        <f>'Yearly BTX'!BE57/'Yearly BTX'!BE54</f>
        <v>1</v>
      </c>
      <c r="Y40" s="159">
        <f>'Yearly BTX'!BF57/'Yearly BTX'!BF54</f>
        <v>1</v>
      </c>
      <c r="Z40" s="159">
        <f>'Yearly BTX'!BG57/'Yearly BTX'!BG54</f>
        <v>1</v>
      </c>
      <c r="AA40" s="159">
        <f>'Yearly BTX'!BH57/'Yearly BTX'!BH54</f>
        <v>1</v>
      </c>
      <c r="AB40" s="159">
        <f>'Yearly BTX'!BI57/'Yearly BTX'!BI54</f>
        <v>1</v>
      </c>
      <c r="AC40" s="159">
        <f>'Yearly BTX'!BJ57/'Yearly BTX'!BJ54</f>
        <v>1</v>
      </c>
      <c r="AD40" s="159">
        <f>'Yearly BTX'!BK57/'Yearly BTX'!BK54</f>
        <v>1</v>
      </c>
      <c r="AE40" s="159">
        <f>'Yearly BTX'!BL57/'Yearly BTX'!BL54</f>
        <v>1</v>
      </c>
      <c r="AF40" s="159">
        <f>'Yearly BTX'!BM57/'Yearly BTX'!BM54</f>
        <v>1</v>
      </c>
      <c r="AG40" s="159">
        <f>'Yearly BTX'!BN57/'Yearly BTX'!BN54</f>
        <v>1</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1615</v>
      </c>
      <c r="B42" s="54" t="s">
        <v>1603</v>
      </c>
      <c r="C42" s="107">
        <f>C27*C36</f>
        <v>31.34132906881517</v>
      </c>
      <c r="D42" s="107">
        <f t="shared" ref="D42:AF42" si="17">D27*D36</f>
        <v>32.391937419343449</v>
      </c>
      <c r="E42" s="107">
        <f t="shared" si="17"/>
        <v>33.390250528174754</v>
      </c>
      <c r="F42" s="107">
        <f t="shared" si="17"/>
        <v>34.329416339951194</v>
      </c>
      <c r="G42" s="107">
        <f t="shared" si="17"/>
        <v>35.202856998503727</v>
      </c>
      <c r="H42" s="107">
        <f t="shared" si="17"/>
        <v>36.00434558822333</v>
      </c>
      <c r="I42" s="107">
        <f t="shared" si="17"/>
        <v>36.807319347488345</v>
      </c>
      <c r="J42" s="107">
        <f t="shared" si="17"/>
        <v>37.611051257975468</v>
      </c>
      <c r="K42" s="107">
        <f t="shared" si="17"/>
        <v>38.414795843817302</v>
      </c>
      <c r="L42" s="107">
        <f t="shared" si="17"/>
        <v>39.217790141073472</v>
      </c>
      <c r="M42" s="107">
        <f t="shared" si="17"/>
        <v>40.019254732723482</v>
      </c>
      <c r="N42" s="107">
        <f t="shared" si="17"/>
        <v>40.759992270093193</v>
      </c>
      <c r="O42" s="107">
        <f t="shared" si="17"/>
        <v>41.435894489629504</v>
      </c>
      <c r="P42" s="107">
        <f t="shared" si="17"/>
        <v>42.043143301429602</v>
      </c>
      <c r="Q42" s="107">
        <f t="shared" si="17"/>
        <v>42.57824627538244</v>
      </c>
      <c r="R42" s="107">
        <f t="shared" si="17"/>
        <v>43.038069726050175</v>
      </c>
      <c r="S42" s="107">
        <f t="shared" si="17"/>
        <v>43.498097231658051</v>
      </c>
      <c r="T42" s="107">
        <f t="shared" si="17"/>
        <v>43.958226299217436</v>
      </c>
      <c r="U42" s="107">
        <f t="shared" si="17"/>
        <v>44.41835320526161</v>
      </c>
      <c r="V42" s="107">
        <f t="shared" si="17"/>
        <v>44.87837302856861</v>
      </c>
      <c r="W42" s="107">
        <f t="shared" si="17"/>
        <v>45.33817968397107</v>
      </c>
      <c r="X42" s="107">
        <f t="shared" si="17"/>
        <v>45.798170391593182</v>
      </c>
      <c r="Y42" s="107">
        <f t="shared" si="17"/>
        <v>46.258252801007892</v>
      </c>
      <c r="Z42" s="107">
        <f t="shared" si="17"/>
        <v>46.718333518133335</v>
      </c>
      <c r="AA42" s="107">
        <f t="shared" si="17"/>
        <v>47.178318131918004</v>
      </c>
      <c r="AB42" s="107">
        <f t="shared" si="17"/>
        <v>47.638111241856656</v>
      </c>
      <c r="AC42" s="107">
        <f t="shared" si="17"/>
        <v>48.09807121259432</v>
      </c>
      <c r="AD42" s="107">
        <f t="shared" si="17"/>
        <v>48.55811439286326</v>
      </c>
      <c r="AE42" s="107">
        <f t="shared" si="17"/>
        <v>49.01815623836459</v>
      </c>
      <c r="AF42" s="107">
        <f t="shared" si="17"/>
        <v>49.478111333747449</v>
      </c>
      <c r="AG42" s="107">
        <f>AG27*AG36</f>
        <v>49.937893415231954</v>
      </c>
      <c r="AI42" s="210" t="s">
        <v>1301</v>
      </c>
      <c r="AJ42" s="211" t="s">
        <v>1302</v>
      </c>
      <c r="BD42" s="41"/>
      <c r="BE42" s="41"/>
      <c r="BF42" s="41"/>
      <c r="BG42" s="41"/>
      <c r="BH42" s="41"/>
      <c r="BI42" s="41"/>
      <c r="BJ42" s="41"/>
      <c r="BK42" s="41"/>
      <c r="BL42" s="118"/>
    </row>
    <row r="43" spans="1:64" outlineLevel="1">
      <c r="A43" t="s">
        <v>1616</v>
      </c>
      <c r="B43" s="54" t="s">
        <v>1603</v>
      </c>
      <c r="C43" s="107">
        <f t="shared" ref="C43:O43" si="18">C28*$C$37</f>
        <v>2.6229670403228216</v>
      </c>
      <c r="D43" s="107">
        <f t="shared" si="18"/>
        <v>2.7108928289731047</v>
      </c>
      <c r="E43" s="107">
        <f t="shared" si="18"/>
        <v>2.7944420101401595</v>
      </c>
      <c r="F43" s="107">
        <f t="shared" si="18"/>
        <v>2.8730411328601577</v>
      </c>
      <c r="G43" s="107">
        <f t="shared" si="18"/>
        <v>2.9461396939974613</v>
      </c>
      <c r="H43" s="107">
        <f t="shared" si="18"/>
        <v>3.0132165607574328</v>
      </c>
      <c r="I43" s="107">
        <f t="shared" si="18"/>
        <v>3.0804177218878936</v>
      </c>
      <c r="J43" s="107">
        <f t="shared" si="18"/>
        <v>3.1476823329653176</v>
      </c>
      <c r="K43" s="107">
        <f t="shared" si="18"/>
        <v>3.2149480048477113</v>
      </c>
      <c r="L43" s="107">
        <f t="shared" si="18"/>
        <v>3.2821508848099983</v>
      </c>
      <c r="M43" s="107">
        <f t="shared" si="18"/>
        <v>3.349225743162942</v>
      </c>
      <c r="N43" s="107">
        <f t="shared" si="18"/>
        <v>3.4112183326215639</v>
      </c>
      <c r="O43" s="107">
        <f t="shared" si="18"/>
        <v>3.4677848311396122</v>
      </c>
      <c r="P43" s="107">
        <f t="shared" ref="P43:AG43" si="19">D37*P28</f>
        <v>3.5256429128102322</v>
      </c>
      <c r="Q43" s="107">
        <f t="shared" si="19"/>
        <v>3.5776422153425713</v>
      </c>
      <c r="R43" s="107">
        <f t="shared" si="19"/>
        <v>3.623482678460054</v>
      </c>
      <c r="S43" s="107">
        <f t="shared" si="19"/>
        <v>3.6694942867841607</v>
      </c>
      <c r="T43" s="107">
        <f t="shared" si="19"/>
        <v>3.7156684793278503</v>
      </c>
      <c r="U43" s="107">
        <f t="shared" si="19"/>
        <v>3.7619965222677756</v>
      </c>
      <c r="V43" s="107">
        <f t="shared" si="19"/>
        <v>3.8084695106914315</v>
      </c>
      <c r="W43" s="107">
        <f t="shared" si="19"/>
        <v>3.8550783704695695</v>
      </c>
      <c r="X43" s="107">
        <f t="shared" si="19"/>
        <v>3.9018568364387733</v>
      </c>
      <c r="Y43" s="107">
        <f t="shared" si="19"/>
        <v>3.9487971176023424</v>
      </c>
      <c r="Z43" s="107">
        <f t="shared" si="19"/>
        <v>4.0076208939962115</v>
      </c>
      <c r="AA43" s="107">
        <f t="shared" si="19"/>
        <v>4.0668214293772609</v>
      </c>
      <c r="AB43" s="107">
        <f t="shared" si="19"/>
        <v>4.1263903395556589</v>
      </c>
      <c r="AC43" s="107">
        <f t="shared" si="19"/>
        <v>4.1863585754579615</v>
      </c>
      <c r="AD43" s="107">
        <f t="shared" si="19"/>
        <v>4.2467190307130442</v>
      </c>
      <c r="AE43" s="107">
        <f t="shared" si="19"/>
        <v>4.307464380458697</v>
      </c>
      <c r="AF43" s="107">
        <f t="shared" si="19"/>
        <v>4.3685870814137742</v>
      </c>
      <c r="AG43" s="107">
        <f t="shared" si="19"/>
        <v>4.4300793720626617</v>
      </c>
      <c r="AI43" s="210" t="s">
        <v>1304</v>
      </c>
      <c r="AJ43" s="211" t="s">
        <v>1302</v>
      </c>
      <c r="BD43" s="41"/>
      <c r="BE43" s="41"/>
      <c r="BF43" s="41"/>
      <c r="BG43" s="41"/>
      <c r="BH43" s="41"/>
      <c r="BI43" s="41"/>
      <c r="BJ43" s="41"/>
      <c r="BK43" s="41"/>
      <c r="BL43" s="118"/>
    </row>
    <row r="44" spans="1:64" outlineLevel="1">
      <c r="A44" t="s">
        <v>1617</v>
      </c>
      <c r="B44" s="54" t="s">
        <v>1603</v>
      </c>
      <c r="C44" s="107">
        <f t="shared" ref="C44:AG44" si="20">C29</f>
        <v>1.1926002393003741</v>
      </c>
      <c r="D44" s="107">
        <f t="shared" si="20"/>
        <v>1.2325779877710892</v>
      </c>
      <c r="E44" s="107">
        <f t="shared" si="20"/>
        <v>1.2705657977288216</v>
      </c>
      <c r="F44" s="107">
        <f t="shared" si="20"/>
        <v>1.3063029347662478</v>
      </c>
      <c r="G44" s="107">
        <f t="shared" si="20"/>
        <v>1.3395390983034507</v>
      </c>
      <c r="H44" s="107">
        <f t="shared" si="20"/>
        <v>1.3700373417505416</v>
      </c>
      <c r="I44" s="107">
        <f t="shared" si="20"/>
        <v>1.4005920988684912</v>
      </c>
      <c r="J44" s="107">
        <f t="shared" si="20"/>
        <v>1.4311757051563951</v>
      </c>
      <c r="K44" s="107">
        <f t="shared" si="20"/>
        <v>1.4617597937668911</v>
      </c>
      <c r="L44" s="107">
        <f t="shared" si="20"/>
        <v>1.4923153323964706</v>
      </c>
      <c r="M44" s="107">
        <f t="shared" si="20"/>
        <v>1.5228126626690286</v>
      </c>
      <c r="N44" s="107">
        <f t="shared" si="20"/>
        <v>1.5509992071000649</v>
      </c>
      <c r="O44" s="107">
        <f t="shared" si="20"/>
        <v>1.5767186380467479</v>
      </c>
      <c r="P44" s="107">
        <f t="shared" si="20"/>
        <v>1.5998256695538531</v>
      </c>
      <c r="Q44" s="107">
        <f t="shared" si="20"/>
        <v>1.6201874076724028</v>
      </c>
      <c r="R44" s="107">
        <f t="shared" si="20"/>
        <v>1.6376846094055579</v>
      </c>
      <c r="S44" s="107">
        <f t="shared" si="20"/>
        <v>1.6551895758372015</v>
      </c>
      <c r="T44" s="107">
        <f t="shared" si="20"/>
        <v>1.6726984069041777</v>
      </c>
      <c r="U44" s="107">
        <f t="shared" si="20"/>
        <v>1.6902071557211769</v>
      </c>
      <c r="V44" s="107">
        <f t="shared" si="20"/>
        <v>1.7077118298259113</v>
      </c>
      <c r="W44" s="107">
        <f t="shared" si="20"/>
        <v>1.7252083924656403</v>
      </c>
      <c r="X44" s="107">
        <f t="shared" si="20"/>
        <v>1.7427119586603461</v>
      </c>
      <c r="Y44" s="107">
        <f t="shared" si="20"/>
        <v>1.7602190142916225</v>
      </c>
      <c r="Z44" s="107">
        <f t="shared" si="20"/>
        <v>1.777726005527908</v>
      </c>
      <c r="AA44" s="107">
        <f t="shared" si="20"/>
        <v>1.7952293398399146</v>
      </c>
      <c r="AB44" s="107">
        <f t="shared" si="20"/>
        <v>1.8127253870476614</v>
      </c>
      <c r="AC44" s="107">
        <f t="shared" si="20"/>
        <v>1.8302277836424548</v>
      </c>
      <c r="AD44" s="107">
        <f t="shared" si="20"/>
        <v>1.847733346526294</v>
      </c>
      <c r="AE44" s="107">
        <f t="shared" si="20"/>
        <v>1.865238858619557</v>
      </c>
      <c r="AF44" s="107">
        <f t="shared" si="20"/>
        <v>1.8827410696973514</v>
      </c>
      <c r="AG44" s="107">
        <f t="shared" si="20"/>
        <v>1.9002366972503657</v>
      </c>
      <c r="AI44" s="210" t="s">
        <v>1306</v>
      </c>
      <c r="AJ44" s="211" t="s">
        <v>1302</v>
      </c>
      <c r="BD44" s="41"/>
      <c r="BE44" s="41"/>
      <c r="BF44" s="41"/>
      <c r="BG44" s="41"/>
      <c r="BH44" s="41"/>
      <c r="BI44" s="41"/>
      <c r="BJ44" s="41"/>
      <c r="BK44" s="41"/>
      <c r="BL44" s="118"/>
    </row>
    <row r="45" spans="1:64" outlineLevel="1">
      <c r="A45" t="s">
        <v>1618</v>
      </c>
      <c r="B45" s="54" t="s">
        <v>1603</v>
      </c>
      <c r="C45" s="262">
        <f t="shared" ref="C45:H45" si="21">C30*$C$39</f>
        <v>16.948707747256268</v>
      </c>
      <c r="D45" s="262">
        <f t="shared" si="21"/>
        <v>17.516853847596614</v>
      </c>
      <c r="E45" s="262">
        <f t="shared" si="21"/>
        <v>18.056719820883373</v>
      </c>
      <c r="F45" s="262">
        <f t="shared" si="21"/>
        <v>18.564600224904016</v>
      </c>
      <c r="G45" s="262">
        <f t="shared" si="21"/>
        <v>19.036937898391756</v>
      </c>
      <c r="H45" s="262">
        <f t="shared" si="21"/>
        <v>19.470365461086743</v>
      </c>
      <c r="I45" s="262">
        <f t="shared" ref="I45:AG46" si="22">I30*D39</f>
        <v>19.904596171105986</v>
      </c>
      <c r="J45" s="262">
        <f t="shared" si="22"/>
        <v>20.339236872783964</v>
      </c>
      <c r="K45" s="262">
        <f t="shared" si="22"/>
        <v>20.773884429017539</v>
      </c>
      <c r="L45" s="262">
        <f t="shared" si="22"/>
        <v>21.208126245534821</v>
      </c>
      <c r="M45" s="262">
        <f t="shared" si="22"/>
        <v>21.64154083059676</v>
      </c>
      <c r="N45" s="262">
        <f t="shared" si="22"/>
        <v>22.042115548112278</v>
      </c>
      <c r="O45" s="262">
        <f t="shared" si="22"/>
        <v>22.407628738682146</v>
      </c>
      <c r="P45" s="262">
        <f t="shared" si="22"/>
        <v>22.736015662493529</v>
      </c>
      <c r="Q45" s="262">
        <f t="shared" si="22"/>
        <v>23.025387689451964</v>
      </c>
      <c r="R45" s="262">
        <f t="shared" si="22"/>
        <v>23.274050190764228</v>
      </c>
      <c r="S45" s="262">
        <f t="shared" si="22"/>
        <v>23.522823040541201</v>
      </c>
      <c r="T45" s="262">
        <f t="shared" si="22"/>
        <v>23.77165081280825</v>
      </c>
      <c r="U45" s="262">
        <f t="shared" si="22"/>
        <v>24.020477416174966</v>
      </c>
      <c r="V45" s="262">
        <f t="shared" si="22"/>
        <v>24.26924611153105</v>
      </c>
      <c r="W45" s="262">
        <f t="shared" si="22"/>
        <v>24.517899530329867</v>
      </c>
      <c r="X45" s="262">
        <f t="shared" si="22"/>
        <v>24.766652480558069</v>
      </c>
      <c r="Y45" s="262">
        <f t="shared" si="22"/>
        <v>25.015455021117283</v>
      </c>
      <c r="Z45" s="262">
        <f t="shared" si="22"/>
        <v>25.264256646523332</v>
      </c>
      <c r="AA45" s="262">
        <f t="shared" si="22"/>
        <v>25.51300630133705</v>
      </c>
      <c r="AB45" s="262">
        <f t="shared" si="22"/>
        <v>25.761652395044237</v>
      </c>
      <c r="AC45" s="262">
        <f t="shared" si="22"/>
        <v>26.010388723435174</v>
      </c>
      <c r="AD45" s="262">
        <f t="shared" si="22"/>
        <v>26.25917004972726</v>
      </c>
      <c r="AE45" s="262">
        <f t="shared" si="22"/>
        <v>26.507950654206116</v>
      </c>
      <c r="AF45" s="262">
        <f t="shared" si="22"/>
        <v>26.75668434611142</v>
      </c>
      <c r="AG45" s="262">
        <f t="shared" si="22"/>
        <v>27.005324475870943</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1619</v>
      </c>
      <c r="B46" s="176" t="s">
        <v>1603</v>
      </c>
      <c r="C46" s="107">
        <f t="shared" ref="C46:H46" si="23">C31*$C$40</f>
        <v>18.658875289242712</v>
      </c>
      <c r="D46" s="107">
        <f t="shared" si="23"/>
        <v>19.284348770195038</v>
      </c>
      <c r="E46" s="107">
        <f t="shared" si="23"/>
        <v>19.878688587641829</v>
      </c>
      <c r="F46" s="107">
        <f t="shared" si="23"/>
        <v>20.437815410865589</v>
      </c>
      <c r="G46" s="107">
        <f t="shared" si="23"/>
        <v>20.9578131520176</v>
      </c>
      <c r="H46" s="107">
        <f t="shared" si="23"/>
        <v>21.434974653640364</v>
      </c>
      <c r="I46" s="107">
        <f t="shared" si="22"/>
        <v>21.913020342186741</v>
      </c>
      <c r="J46" s="107">
        <f t="shared" si="22"/>
        <v>22.391517391588703</v>
      </c>
      <c r="K46" s="107">
        <f t="shared" si="22"/>
        <v>22.870021987188284</v>
      </c>
      <c r="L46" s="107">
        <f t="shared" si="22"/>
        <v>23.348079902906484</v>
      </c>
      <c r="M46" s="107">
        <f t="shared" si="22"/>
        <v>23.825227117420152</v>
      </c>
      <c r="N46" s="107">
        <f t="shared" si="22"/>
        <v>24.266220838570106</v>
      </c>
      <c r="O46" s="107">
        <f t="shared" si="22"/>
        <v>24.668615235896386</v>
      </c>
      <c r="P46" s="107">
        <f t="shared" si="22"/>
        <v>25.030137232109141</v>
      </c>
      <c r="Q46" s="107">
        <f t="shared" si="22"/>
        <v>25.348707629553562</v>
      </c>
      <c r="R46" s="107">
        <f t="shared" si="22"/>
        <v>25.622460807098786</v>
      </c>
      <c r="S46" s="107">
        <f t="shared" si="22"/>
        <v>25.896335467548312</v>
      </c>
      <c r="T46" s="107">
        <f t="shared" si="22"/>
        <v>26.170270592306274</v>
      </c>
      <c r="U46" s="107">
        <f t="shared" si="22"/>
        <v>26.444204430218903</v>
      </c>
      <c r="V46" s="107">
        <f t="shared" si="22"/>
        <v>26.71807451705595</v>
      </c>
      <c r="W46" s="107">
        <f t="shared" si="22"/>
        <v>26.991817695639106</v>
      </c>
      <c r="X46" s="107">
        <f t="shared" si="22"/>
        <v>27.265670448624988</v>
      </c>
      <c r="Y46" s="107">
        <f t="shared" si="22"/>
        <v>27.539577795731887</v>
      </c>
      <c r="Z46" s="107">
        <f t="shared" si="22"/>
        <v>27.813484135344353</v>
      </c>
      <c r="AA46" s="107">
        <f t="shared" si="22"/>
        <v>28.087333260400076</v>
      </c>
      <c r="AB46" s="107">
        <f t="shared" si="22"/>
        <v>28.36106837477131</v>
      </c>
      <c r="AC46" s="107">
        <f t="shared" si="22"/>
        <v>28.63490282873444</v>
      </c>
      <c r="AD46" s="107">
        <f t="shared" si="22"/>
        <v>28.908786821000927</v>
      </c>
      <c r="AE46" s="107">
        <f t="shared" si="22"/>
        <v>29.182670018621394</v>
      </c>
      <c r="AF46" s="107">
        <f t="shared" si="22"/>
        <v>29.456501570070813</v>
      </c>
      <c r="AG46" s="107">
        <f t="shared" si="22"/>
        <v>29.73023011871695</v>
      </c>
      <c r="AI46" s="210" t="s">
        <v>1308</v>
      </c>
      <c r="AJ46" s="211" t="s">
        <v>1302</v>
      </c>
      <c r="AL46" s="108"/>
      <c r="AM46" s="2"/>
      <c r="AN46" s="2"/>
      <c r="AO46" s="2"/>
    </row>
    <row r="47" spans="1:64" s="1" customFormat="1" ht="16" thickBot="1">
      <c r="A47" s="200" t="s">
        <v>1620</v>
      </c>
      <c r="B47" s="215" t="s">
        <v>1603</v>
      </c>
      <c r="C47" s="216">
        <f>SUM(C42:C46)</f>
        <v>70.764479384937346</v>
      </c>
      <c r="D47" s="216">
        <f t="shared" ref="D47:AF47" si="24">SUM(D42:D46)</f>
        <v>73.13661085387929</v>
      </c>
      <c r="E47" s="216">
        <f t="shared" si="24"/>
        <v>75.390666744568932</v>
      </c>
      <c r="F47" s="216">
        <f t="shared" si="24"/>
        <v>77.511176043347206</v>
      </c>
      <c r="G47" s="216">
        <f t="shared" si="24"/>
        <v>79.483286841213982</v>
      </c>
      <c r="H47" s="216">
        <f t="shared" si="24"/>
        <v>81.292939605458415</v>
      </c>
      <c r="I47" s="216">
        <f t="shared" si="24"/>
        <v>83.105945681537463</v>
      </c>
      <c r="J47" s="216">
        <f t="shared" si="24"/>
        <v>84.920663560469848</v>
      </c>
      <c r="K47" s="216">
        <f t="shared" si="24"/>
        <v>86.735410058637726</v>
      </c>
      <c r="L47" s="216">
        <f t="shared" si="24"/>
        <v>88.548462506721251</v>
      </c>
      <c r="M47" s="216">
        <f t="shared" si="24"/>
        <v>90.358061086572363</v>
      </c>
      <c r="N47" s="216">
        <f t="shared" si="24"/>
        <v>92.030546196497212</v>
      </c>
      <c r="O47" s="216">
        <f t="shared" si="24"/>
        <v>93.556641933394388</v>
      </c>
      <c r="P47" s="216">
        <f t="shared" si="24"/>
        <v>94.934764778396357</v>
      </c>
      <c r="Q47" s="216">
        <f t="shared" si="24"/>
        <v>96.150171217402942</v>
      </c>
      <c r="R47" s="216">
        <f t="shared" si="24"/>
        <v>97.195748011778804</v>
      </c>
      <c r="S47" s="216">
        <f t="shared" si="24"/>
        <v>98.241939602368916</v>
      </c>
      <c r="T47" s="216">
        <f t="shared" si="24"/>
        <v>99.288514590563977</v>
      </c>
      <c r="U47" s="216">
        <f t="shared" si="24"/>
        <v>100.33523872964443</v>
      </c>
      <c r="V47" s="216">
        <f t="shared" si="24"/>
        <v>101.38187499767295</v>
      </c>
      <c r="W47" s="216">
        <f t="shared" si="24"/>
        <v>102.42818367287526</v>
      </c>
      <c r="X47" s="216">
        <f t="shared" si="24"/>
        <v>103.47506211587536</v>
      </c>
      <c r="Y47" s="216">
        <f t="shared" si="24"/>
        <v>104.52230174975102</v>
      </c>
      <c r="Z47" s="216">
        <f t="shared" si="24"/>
        <v>105.58142119952514</v>
      </c>
      <c r="AA47" s="216">
        <f t="shared" si="24"/>
        <v>106.64070846287231</v>
      </c>
      <c r="AB47" s="216">
        <f t="shared" si="24"/>
        <v>107.69994773827553</v>
      </c>
      <c r="AC47" s="216">
        <f t="shared" si="24"/>
        <v>108.75994912386435</v>
      </c>
      <c r="AD47" s="216">
        <f t="shared" si="24"/>
        <v>109.82052364083079</v>
      </c>
      <c r="AE47" s="216">
        <f t="shared" si="24"/>
        <v>110.88148015027035</v>
      </c>
      <c r="AF47" s="216">
        <f t="shared" si="24"/>
        <v>111.94262540104081</v>
      </c>
      <c r="AG47" s="216">
        <f>SUM(AG42:AG46)</f>
        <v>113.00376407913288</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1621</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1622</v>
      </c>
      <c r="B64" s="54" t="s">
        <v>462</v>
      </c>
      <c r="C64" s="110">
        <f>C50*C$63</f>
        <v>5.5011312115891796E-2</v>
      </c>
      <c r="D64" s="110">
        <f t="shared" ref="D64:AG65" si="31">D50*D$63</f>
        <v>5.8638871048450551E-2</v>
      </c>
      <c r="E64" s="110">
        <f t="shared" si="31"/>
        <v>6.225139991183079E-2</v>
      </c>
      <c r="F64" s="110">
        <f t="shared" si="31"/>
        <v>6.5848898706032499E-2</v>
      </c>
      <c r="G64" s="110">
        <f t="shared" si="31"/>
        <v>6.9431367431055713E-2</v>
      </c>
      <c r="H64" s="110">
        <f t="shared" si="31"/>
        <v>7.2998806086900403E-2</v>
      </c>
      <c r="I64" s="110">
        <f t="shared" si="31"/>
        <v>7.6551214673566584E-2</v>
      </c>
      <c r="J64" s="110">
        <f t="shared" si="31"/>
        <v>8.0088593191054228E-2</v>
      </c>
      <c r="K64" s="110">
        <f t="shared" si="31"/>
        <v>8.3610941639363362E-2</v>
      </c>
      <c r="L64" s="110">
        <f t="shared" si="31"/>
        <v>8.7118260018493987E-2</v>
      </c>
      <c r="M64" s="110">
        <f t="shared" si="31"/>
        <v>9.0610548328446089E-2</v>
      </c>
      <c r="N64" s="110">
        <f t="shared" si="31"/>
        <v>9.7407206071053479E-2</v>
      </c>
      <c r="O64" s="110">
        <f t="shared" si="31"/>
        <v>0.1041752127442893</v>
      </c>
      <c r="P64" s="110">
        <f t="shared" si="31"/>
        <v>0.11091456834815358</v>
      </c>
      <c r="Q64" s="110">
        <f t="shared" si="31"/>
        <v>0.11762527288264632</v>
      </c>
      <c r="R64" s="110">
        <f t="shared" si="31"/>
        <v>0.12430732634776752</v>
      </c>
      <c r="S64" s="110">
        <f t="shared" si="31"/>
        <v>0.13096072874351716</v>
      </c>
      <c r="T64" s="110">
        <f t="shared" si="31"/>
        <v>0.13758548006989524</v>
      </c>
      <c r="U64" s="110">
        <f t="shared" si="31"/>
        <v>0.14418158032690181</v>
      </c>
      <c r="V64" s="110">
        <f t="shared" si="31"/>
        <v>0.15074902951453681</v>
      </c>
      <c r="W64" s="110">
        <f t="shared" si="31"/>
        <v>0.15728782763280028</v>
      </c>
      <c r="X64" s="110">
        <f t="shared" si="31"/>
        <v>0.1690786673214705</v>
      </c>
      <c r="Y64" s="110">
        <f t="shared" si="31"/>
        <v>0.18081873296315321</v>
      </c>
      <c r="Z64" s="110">
        <f t="shared" si="31"/>
        <v>0.19250802455784835</v>
      </c>
      <c r="AA64" s="110">
        <f t="shared" si="31"/>
        <v>0.20414654210555599</v>
      </c>
      <c r="AB64" s="110">
        <f t="shared" si="31"/>
        <v>0.21573428560627603</v>
      </c>
      <c r="AC64" s="110">
        <f t="shared" si="31"/>
        <v>0.22727125506000853</v>
      </c>
      <c r="AD64" s="110">
        <f t="shared" si="31"/>
        <v>0.23875745046675351</v>
      </c>
      <c r="AE64" s="110">
        <f t="shared" si="31"/>
        <v>0.2501928718265109</v>
      </c>
      <c r="AF64" s="110">
        <f t="shared" si="31"/>
        <v>0.26157751913928073</v>
      </c>
      <c r="AG64" s="110">
        <f t="shared" si="31"/>
        <v>0.27291139240506335</v>
      </c>
      <c r="AI64" s="133"/>
      <c r="AJ64" s="211"/>
      <c r="AL64" s="108"/>
      <c r="AM64" s="2"/>
      <c r="AN64" s="2"/>
      <c r="AO64" s="2"/>
      <c r="AV64" s="41"/>
    </row>
    <row r="65" spans="1:63" outlineLevel="1">
      <c r="A65" t="s">
        <v>1623</v>
      </c>
      <c r="B65" s="54" t="s">
        <v>462</v>
      </c>
      <c r="C65" s="110">
        <f>C51*C$63</f>
        <v>0.11119307768105788</v>
      </c>
      <c r="D65" s="110">
        <f t="shared" si="31"/>
        <v>0.11482472159487428</v>
      </c>
      <c r="E65" s="110">
        <f t="shared" si="31"/>
        <v>0.11844086574985033</v>
      </c>
      <c r="F65" s="110">
        <f t="shared" si="31"/>
        <v>0.12204151014598603</v>
      </c>
      <c r="G65" s="110">
        <f t="shared" si="31"/>
        <v>0.12562665478328142</v>
      </c>
      <c r="H65" s="110">
        <f t="shared" si="31"/>
        <v>0.12919629966173643</v>
      </c>
      <c r="I65" s="110">
        <f t="shared" si="31"/>
        <v>0.13275044478135109</v>
      </c>
      <c r="J65" s="110">
        <f t="shared" si="31"/>
        <v>0.13628909014212542</v>
      </c>
      <c r="K65" s="110">
        <f t="shared" si="31"/>
        <v>0.1398122357440594</v>
      </c>
      <c r="L65" s="110">
        <f t="shared" si="31"/>
        <v>0.14331988158715303</v>
      </c>
      <c r="M65" s="110">
        <f t="shared" si="31"/>
        <v>0.14681202767140633</v>
      </c>
      <c r="N65" s="110">
        <f t="shared" si="31"/>
        <v>0.15521054222367625</v>
      </c>
      <c r="O65" s="110">
        <f t="shared" si="31"/>
        <v>0.16357336036164721</v>
      </c>
      <c r="P65" s="110">
        <f t="shared" si="31"/>
        <v>0.17190048208531919</v>
      </c>
      <c r="Q65" s="110">
        <f t="shared" si="31"/>
        <v>0.18019190739469221</v>
      </c>
      <c r="R65" s="110">
        <f t="shared" si="31"/>
        <v>0.18844763628976624</v>
      </c>
      <c r="S65" s="110">
        <f t="shared" si="31"/>
        <v>0.19666766877054129</v>
      </c>
      <c r="T65" s="110">
        <f t="shared" si="31"/>
        <v>0.2048520048370174</v>
      </c>
      <c r="U65" s="110">
        <f t="shared" si="31"/>
        <v>0.21300064448919451</v>
      </c>
      <c r="V65" s="110">
        <f t="shared" si="31"/>
        <v>0.22111358772707262</v>
      </c>
      <c r="W65" s="110">
        <f t="shared" si="31"/>
        <v>0.22919083455065178</v>
      </c>
      <c r="X65" s="110">
        <f t="shared" si="31"/>
        <v>0.24229151131688703</v>
      </c>
      <c r="Y65" s="110">
        <f t="shared" si="31"/>
        <v>0.2553352969228333</v>
      </c>
      <c r="Z65" s="110">
        <f t="shared" si="31"/>
        <v>0.26832219136849056</v>
      </c>
      <c r="AA65" s="110">
        <f t="shared" si="31"/>
        <v>0.28125219465385876</v>
      </c>
      <c r="AB65" s="110">
        <f t="shared" si="31"/>
        <v>0.29412530677893806</v>
      </c>
      <c r="AC65" s="110">
        <f t="shared" si="31"/>
        <v>0.30694152774372835</v>
      </c>
      <c r="AD65" s="110">
        <f t="shared" si="31"/>
        <v>0.31970085754822963</v>
      </c>
      <c r="AE65" s="110">
        <f t="shared" si="31"/>
        <v>0.33240329619244191</v>
      </c>
      <c r="AF65" s="110">
        <f t="shared" si="31"/>
        <v>0.34504884367636518</v>
      </c>
      <c r="AG65" s="110">
        <f t="shared" si="31"/>
        <v>0.35763749999999994</v>
      </c>
      <c r="AH65" s="245"/>
      <c r="AI65" s="133"/>
      <c r="AJ65" s="211"/>
      <c r="AL65" s="108"/>
      <c r="AM65" s="2"/>
      <c r="AN65" s="2"/>
      <c r="AO65" s="2"/>
      <c r="AV65" s="41"/>
    </row>
    <row r="66" spans="1:63" outlineLevel="1">
      <c r="A66" t="s">
        <v>1624</v>
      </c>
      <c r="B66" s="176" t="s">
        <v>462</v>
      </c>
      <c r="C66" s="110">
        <f>SUM(C64:C65)</f>
        <v>0.16620438979694968</v>
      </c>
      <c r="D66" s="110">
        <f t="shared" ref="D66:AG66" si="32">SUM(D64:D65)</f>
        <v>0.17346359264332484</v>
      </c>
      <c r="E66" s="110">
        <f t="shared" si="32"/>
        <v>0.18069226566168112</v>
      </c>
      <c r="F66" s="110">
        <f t="shared" si="32"/>
        <v>0.18789040885201852</v>
      </c>
      <c r="G66" s="110">
        <f t="shared" si="32"/>
        <v>0.19505802221433713</v>
      </c>
      <c r="H66" s="110">
        <f t="shared" si="32"/>
        <v>0.20219510574863683</v>
      </c>
      <c r="I66" s="110">
        <f t="shared" si="32"/>
        <v>0.20930165945491769</v>
      </c>
      <c r="J66" s="110">
        <f t="shared" si="32"/>
        <v>0.21637768333317964</v>
      </c>
      <c r="K66" s="110">
        <f t="shared" si="32"/>
        <v>0.22342317738342277</v>
      </c>
      <c r="L66" s="110">
        <f t="shared" si="32"/>
        <v>0.23043814160564702</v>
      </c>
      <c r="M66" s="110">
        <f t="shared" si="32"/>
        <v>0.23742257599985242</v>
      </c>
      <c r="N66" s="110">
        <f t="shared" si="32"/>
        <v>0.25261774829472972</v>
      </c>
      <c r="O66" s="110">
        <f t="shared" si="32"/>
        <v>0.26774857310593653</v>
      </c>
      <c r="P66" s="110">
        <f t="shared" si="32"/>
        <v>0.28281505043347277</v>
      </c>
      <c r="Q66" s="110">
        <f t="shared" si="32"/>
        <v>0.2978171802773385</v>
      </c>
      <c r="R66" s="110">
        <f t="shared" si="32"/>
        <v>0.31275496263753377</v>
      </c>
      <c r="S66" s="110">
        <f t="shared" si="32"/>
        <v>0.32762839751405848</v>
      </c>
      <c r="T66" s="110">
        <f t="shared" si="32"/>
        <v>0.34243748490691261</v>
      </c>
      <c r="U66" s="110">
        <f t="shared" si="32"/>
        <v>0.35718222481609629</v>
      </c>
      <c r="V66" s="110">
        <f t="shared" si="32"/>
        <v>0.37186261724160941</v>
      </c>
      <c r="W66" s="110">
        <f t="shared" si="32"/>
        <v>0.38647866218345206</v>
      </c>
      <c r="X66" s="110">
        <f t="shared" si="32"/>
        <v>0.41137017863835756</v>
      </c>
      <c r="Y66" s="110">
        <f t="shared" si="32"/>
        <v>0.43615402988598651</v>
      </c>
      <c r="Z66" s="110">
        <f t="shared" si="32"/>
        <v>0.46083021592633888</v>
      </c>
      <c r="AA66" s="110">
        <f t="shared" si="32"/>
        <v>0.48539873675941475</v>
      </c>
      <c r="AB66" s="110">
        <f t="shared" si="32"/>
        <v>0.50985959238521406</v>
      </c>
      <c r="AC66" s="110">
        <f t="shared" si="32"/>
        <v>0.53421278280373685</v>
      </c>
      <c r="AD66" s="110">
        <f t="shared" si="32"/>
        <v>0.5584583080149832</v>
      </c>
      <c r="AE66" s="110">
        <f t="shared" si="32"/>
        <v>0.58259616801895286</v>
      </c>
      <c r="AF66" s="110">
        <f t="shared" si="32"/>
        <v>0.60662636281564586</v>
      </c>
      <c r="AG66" s="110">
        <f t="shared" si="32"/>
        <v>0.63054889240506329</v>
      </c>
      <c r="AI66" s="133"/>
      <c r="AJ66" s="211"/>
      <c r="AL66" s="108"/>
      <c r="AM66" s="2"/>
      <c r="AN66" s="2"/>
      <c r="AO66" s="2"/>
    </row>
    <row r="67" spans="1:63" outlineLevel="1">
      <c r="A67" t="s">
        <v>1625</v>
      </c>
      <c r="B67" s="54" t="s">
        <v>462</v>
      </c>
      <c r="C67" s="110">
        <f>C$63*C58</f>
        <v>1.2787131671500866E-2</v>
      </c>
      <c r="D67" s="110">
        <f t="shared" ref="D67:AG70" si="33">D$63*D58</f>
        <v>1.2955983952077187E-2</v>
      </c>
      <c r="E67" s="110">
        <f t="shared" si="33"/>
        <v>1.3107383969124829E-2</v>
      </c>
      <c r="F67" s="110">
        <f t="shared" si="33"/>
        <v>1.3241432470068964E-2</v>
      </c>
      <c r="G67" s="110">
        <f t="shared" si="33"/>
        <v>1.3358230202334757E-2</v>
      </c>
      <c r="H67" s="110">
        <f t="shared" si="33"/>
        <v>1.3457877913347377E-2</v>
      </c>
      <c r="I67" s="110">
        <f t="shared" si="33"/>
        <v>1.3540476350531992E-2</v>
      </c>
      <c r="J67" s="110">
        <f t="shared" si="33"/>
        <v>1.3606126261313772E-2</v>
      </c>
      <c r="K67" s="110">
        <f t="shared" si="33"/>
        <v>1.3654928393117889E-2</v>
      </c>
      <c r="L67" s="110">
        <f t="shared" si="33"/>
        <v>1.3686983493369506E-2</v>
      </c>
      <c r="M67" s="110">
        <f t="shared" si="33"/>
        <v>1.3702392309493792E-2</v>
      </c>
      <c r="N67" s="110">
        <f t="shared" si="33"/>
        <v>1.4149963883145458E-2</v>
      </c>
      <c r="O67" s="110">
        <f t="shared" si="33"/>
        <v>1.455796529065039E-2</v>
      </c>
      <c r="P67" s="110">
        <f t="shared" si="33"/>
        <v>1.4926628556381711E-2</v>
      </c>
      <c r="Q67" s="110">
        <f t="shared" si="33"/>
        <v>1.525618570471253E-2</v>
      </c>
      <c r="R67" s="110">
        <f t="shared" si="33"/>
        <v>1.5546868760015965E-2</v>
      </c>
      <c r="S67" s="110">
        <f t="shared" si="33"/>
        <v>1.5798909746665132E-2</v>
      </c>
      <c r="T67" s="110">
        <f t="shared" si="33"/>
        <v>1.6012540689033149E-2</v>
      </c>
      <c r="U67" s="110">
        <f t="shared" si="33"/>
        <v>1.6187993611493125E-2</v>
      </c>
      <c r="V67" s="110">
        <f t="shared" si="33"/>
        <v>1.6325500538418181E-2</v>
      </c>
      <c r="W67" s="110">
        <f t="shared" si="33"/>
        <v>1.6425293494181432E-2</v>
      </c>
      <c r="X67" s="110">
        <f t="shared" si="33"/>
        <v>1.6839212798621449E-2</v>
      </c>
      <c r="Y67" s="110">
        <f t="shared" si="33"/>
        <v>1.7192532409729473E-2</v>
      </c>
      <c r="Z67" s="110">
        <f t="shared" si="33"/>
        <v>1.7485622116350148E-2</v>
      </c>
      <c r="AA67" s="110">
        <f t="shared" si="33"/>
        <v>1.7718851707328127E-2</v>
      </c>
      <c r="AB67" s="110">
        <f t="shared" si="33"/>
        <v>1.7892590971508068E-2</v>
      </c>
      <c r="AC67" s="110">
        <f t="shared" si="33"/>
        <v>1.8007209697734616E-2</v>
      </c>
      <c r="AD67" s="110">
        <f t="shared" si="33"/>
        <v>1.8063077674852431E-2</v>
      </c>
      <c r="AE67" s="110">
        <f t="shared" si="33"/>
        <v>1.8060564691706169E-2</v>
      </c>
      <c r="AF67" s="110">
        <f t="shared" si="33"/>
        <v>1.8000040537140473E-2</v>
      </c>
      <c r="AG67" s="110">
        <f t="shared" si="33"/>
        <v>1.7881874999999998E-2</v>
      </c>
      <c r="AI67" s="133"/>
      <c r="AJ67" s="211"/>
      <c r="AL67" s="108"/>
      <c r="AM67" s="2"/>
      <c r="AN67" s="2"/>
      <c r="AO67" s="2"/>
    </row>
    <row r="68" spans="1:63" outlineLevel="1">
      <c r="A68" t="s">
        <v>1626</v>
      </c>
      <c r="B68" s="54" t="s">
        <v>462</v>
      </c>
      <c r="C68" s="110">
        <f t="shared" ref="C68:R70" si="34">C$63*C59</f>
        <v>1.5335340141513009E-2</v>
      </c>
      <c r="D68" s="110">
        <f t="shared" si="34"/>
        <v>1.5836203107560017E-2</v>
      </c>
      <c r="E68" s="110">
        <f t="shared" si="34"/>
        <v>1.6334928403898753E-2</v>
      </c>
      <c r="F68" s="110">
        <f t="shared" si="34"/>
        <v>1.6831516030529219E-2</v>
      </c>
      <c r="G68" s="110">
        <f t="shared" si="34"/>
        <v>1.7325965987451421E-2</v>
      </c>
      <c r="H68" s="110">
        <f t="shared" si="34"/>
        <v>1.7818278274665349E-2</v>
      </c>
      <c r="I68" s="110">
        <f t="shared" si="34"/>
        <v>1.8308452892171007E-2</v>
      </c>
      <c r="J68" s="110">
        <f t="shared" si="34"/>
        <v>1.8796489839968393E-2</v>
      </c>
      <c r="K68" s="110">
        <f t="shared" si="34"/>
        <v>1.9282389118057516E-2</v>
      </c>
      <c r="L68" s="110">
        <f t="shared" si="34"/>
        <v>1.9766150726438361E-2</v>
      </c>
      <c r="M68" s="110">
        <f t="shared" si="34"/>
        <v>2.0247774665110938E-2</v>
      </c>
      <c r="N68" s="110">
        <f t="shared" si="34"/>
        <v>2.1406066890027442E-2</v>
      </c>
      <c r="O68" s="110">
        <f t="shared" si="34"/>
        <v>2.2559435996827928E-2</v>
      </c>
      <c r="P68" s="110">
        <f t="shared" si="34"/>
        <v>2.3707881985512404E-2</v>
      </c>
      <c r="Q68" s="110">
        <f t="shared" si="34"/>
        <v>2.485140485608086E-2</v>
      </c>
      <c r="R68" s="110">
        <f t="shared" si="34"/>
        <v>2.5990004608533301E-2</v>
      </c>
      <c r="S68" s="110">
        <f t="shared" si="33"/>
        <v>2.7123681242869728E-2</v>
      </c>
      <c r="T68" s="110">
        <f t="shared" si="33"/>
        <v>2.8252434759090141E-2</v>
      </c>
      <c r="U68" s="110">
        <f t="shared" si="33"/>
        <v>2.9376265157194537E-2</v>
      </c>
      <c r="V68" s="110">
        <f t="shared" si="33"/>
        <v>3.0495172437182916E-2</v>
      </c>
      <c r="W68" s="110">
        <f t="shared" si="33"/>
        <v>3.1609156599055277E-2</v>
      </c>
      <c r="X68" s="110">
        <f t="shared" si="33"/>
        <v>3.3415953735028953E-2</v>
      </c>
      <c r="Y68" s="110">
        <f t="shared" si="33"/>
        <v>3.5214904651505237E-2</v>
      </c>
      <c r="Z68" s="110">
        <f t="shared" si="33"/>
        <v>3.7006009348484109E-2</v>
      </c>
      <c r="AA68" s="110">
        <f t="shared" si="33"/>
        <v>3.8789267825965583E-2</v>
      </c>
      <c r="AB68" s="110">
        <f t="shared" si="33"/>
        <v>4.0564680083949679E-2</v>
      </c>
      <c r="AC68" s="110">
        <f t="shared" si="33"/>
        <v>4.233224612243635E-2</v>
      </c>
      <c r="AD68" s="110">
        <f t="shared" si="33"/>
        <v>4.4091965941425629E-2</v>
      </c>
      <c r="AE68" s="110">
        <f t="shared" si="33"/>
        <v>4.5843839540917503E-2</v>
      </c>
      <c r="AF68" s="110">
        <f t="shared" si="33"/>
        <v>4.7587866920911978E-2</v>
      </c>
      <c r="AG68" s="110">
        <f t="shared" si="33"/>
        <v>4.9324048081409118E-2</v>
      </c>
      <c r="AI68" s="133"/>
      <c r="AJ68" s="211"/>
      <c r="AL68" s="108"/>
      <c r="AM68" s="2"/>
      <c r="AN68" s="2"/>
      <c r="AO68" s="2"/>
      <c r="BC68" s="1"/>
      <c r="BD68" s="2"/>
      <c r="BE68" s="2"/>
      <c r="BF68" s="2"/>
      <c r="BG68" s="2"/>
      <c r="BH68" s="2"/>
      <c r="BI68" s="2"/>
      <c r="BJ68" s="2"/>
      <c r="BK68" s="2"/>
    </row>
    <row r="69" spans="1:63" outlineLevel="1">
      <c r="A69" t="s">
        <v>1627</v>
      </c>
      <c r="C69" s="110">
        <f t="shared" si="34"/>
        <v>1.2070088032108959E-2</v>
      </c>
      <c r="D69" s="110">
        <f t="shared" si="33"/>
        <v>1.2464305573840911E-2</v>
      </c>
      <c r="E69" s="110">
        <f t="shared" si="33"/>
        <v>1.2856840605675835E-2</v>
      </c>
      <c r="F69" s="110">
        <f t="shared" si="33"/>
        <v>1.324769312761373E-2</v>
      </c>
      <c r="G69" s="110">
        <f t="shared" si="33"/>
        <v>1.3636863139654598E-2</v>
      </c>
      <c r="H69" s="110">
        <f t="shared" si="33"/>
        <v>1.4024350641798435E-2</v>
      </c>
      <c r="I69" s="110">
        <f t="shared" si="33"/>
        <v>1.4410155634045246E-2</v>
      </c>
      <c r="J69" s="110">
        <f t="shared" si="33"/>
        <v>1.4794278116395028E-2</v>
      </c>
      <c r="K69" s="110">
        <f t="shared" si="33"/>
        <v>1.5176718088847784E-2</v>
      </c>
      <c r="L69" s="110">
        <f t="shared" si="33"/>
        <v>1.5557475551403509E-2</v>
      </c>
      <c r="M69" s="110">
        <f t="shared" si="33"/>
        <v>1.5936550504062206E-2</v>
      </c>
      <c r="N69" s="110">
        <f t="shared" si="33"/>
        <v>1.6848215259629224E-2</v>
      </c>
      <c r="O69" s="110">
        <f t="shared" si="33"/>
        <v>1.775600514391824E-2</v>
      </c>
      <c r="P69" s="110">
        <f t="shared" si="33"/>
        <v>1.8659920156929247E-2</v>
      </c>
      <c r="Q69" s="110">
        <f t="shared" si="33"/>
        <v>1.9559960298662256E-2</v>
      </c>
      <c r="R69" s="110">
        <f t="shared" si="33"/>
        <v>2.0456125569117255E-2</v>
      </c>
      <c r="S69" s="110">
        <f t="shared" si="33"/>
        <v>2.1348415968294253E-2</v>
      </c>
      <c r="T69" s="110">
        <f t="shared" si="33"/>
        <v>2.2236831496193248E-2</v>
      </c>
      <c r="U69" s="110">
        <f t="shared" si="33"/>
        <v>2.3121372152814231E-2</v>
      </c>
      <c r="V69" s="110">
        <f t="shared" si="33"/>
        <v>2.4002037938157219E-2</v>
      </c>
      <c r="W69" s="110">
        <f t="shared" si="33"/>
        <v>2.4878828852222194E-2</v>
      </c>
      <c r="X69" s="110">
        <f t="shared" si="33"/>
        <v>2.6300916675910533E-2</v>
      </c>
      <c r="Y69" s="110">
        <f t="shared" si="33"/>
        <v>2.7716828923499554E-2</v>
      </c>
      <c r="Z69" s="110">
        <f t="shared" si="33"/>
        <v>2.9126565594989249E-2</v>
      </c>
      <c r="AA69" s="110">
        <f t="shared" si="33"/>
        <v>3.0530126690379623E-2</v>
      </c>
      <c r="AB69" s="110">
        <f t="shared" si="33"/>
        <v>3.1927512209670689E-2</v>
      </c>
      <c r="AC69" s="110">
        <f t="shared" si="33"/>
        <v>3.3318722152862419E-2</v>
      </c>
      <c r="AD69" s="110">
        <f t="shared" si="33"/>
        <v>3.4703756519954845E-2</v>
      </c>
      <c r="AE69" s="110">
        <f t="shared" si="33"/>
        <v>3.6082615310947939E-2</v>
      </c>
      <c r="AF69" s="110">
        <f t="shared" si="33"/>
        <v>3.7455298525841715E-2</v>
      </c>
      <c r="AG69" s="110">
        <f t="shared" si="33"/>
        <v>3.8821806164636229E-2</v>
      </c>
      <c r="AI69" s="133"/>
      <c r="AJ69" s="211"/>
      <c r="AL69" s="108"/>
      <c r="AM69" s="2"/>
      <c r="AN69" s="2"/>
      <c r="AO69" s="2"/>
      <c r="BC69" s="1"/>
      <c r="BD69" s="2"/>
      <c r="BE69" s="2"/>
      <c r="BF69" s="2"/>
      <c r="BG69" s="2"/>
      <c r="BH69" s="2"/>
      <c r="BI69" s="2"/>
      <c r="BJ69" s="2"/>
      <c r="BK69" s="2"/>
    </row>
    <row r="70" spans="1:63" outlineLevel="1">
      <c r="A70" t="s">
        <v>1628</v>
      </c>
      <c r="B70" s="54" t="s">
        <v>462</v>
      </c>
      <c r="C70" s="110">
        <f t="shared" si="34"/>
        <v>7.1000517835935043E-2</v>
      </c>
      <c r="D70" s="110">
        <f t="shared" si="33"/>
        <v>7.356822896139617E-2</v>
      </c>
      <c r="E70" s="110">
        <f t="shared" si="33"/>
        <v>7.6141712771150893E-2</v>
      </c>
      <c r="F70" s="110">
        <f t="shared" si="33"/>
        <v>7.8720868517774115E-2</v>
      </c>
      <c r="G70" s="110">
        <f t="shared" si="33"/>
        <v>8.1305595453840626E-2</v>
      </c>
      <c r="H70" s="110">
        <f t="shared" si="33"/>
        <v>8.3895792831925262E-2</v>
      </c>
      <c r="I70" s="110">
        <f t="shared" si="33"/>
        <v>8.6491359904602827E-2</v>
      </c>
      <c r="J70" s="110">
        <f t="shared" si="33"/>
        <v>8.9092195924448211E-2</v>
      </c>
      <c r="K70" s="110">
        <f t="shared" si="33"/>
        <v>9.1698200144036221E-2</v>
      </c>
      <c r="L70" s="110">
        <f t="shared" si="33"/>
        <v>9.4309271815941675E-2</v>
      </c>
      <c r="M70" s="110">
        <f t="shared" si="33"/>
        <v>9.6925310192739395E-2</v>
      </c>
      <c r="N70" s="110">
        <f t="shared" si="33"/>
        <v>0.10280629619087414</v>
      </c>
      <c r="O70" s="110">
        <f t="shared" si="33"/>
        <v>0.10869995393025066</v>
      </c>
      <c r="P70" s="110">
        <f t="shared" si="33"/>
        <v>0.11460605138649584</v>
      </c>
      <c r="Q70" s="110">
        <f t="shared" si="33"/>
        <v>0.12052435653523656</v>
      </c>
      <c r="R70" s="110">
        <f t="shared" si="33"/>
        <v>0.12645463735209969</v>
      </c>
      <c r="S70" s="110">
        <f t="shared" si="33"/>
        <v>0.13239666181271217</v>
      </c>
      <c r="T70" s="110">
        <f t="shared" si="33"/>
        <v>0.13835019789270087</v>
      </c>
      <c r="U70" s="110">
        <f t="shared" si="33"/>
        <v>0.14431501356769261</v>
      </c>
      <c r="V70" s="110">
        <f t="shared" si="33"/>
        <v>0.15029087681331429</v>
      </c>
      <c r="W70" s="110">
        <f t="shared" si="33"/>
        <v>0.15627755560519288</v>
      </c>
      <c r="X70" s="110">
        <f t="shared" si="33"/>
        <v>0.16573542810732605</v>
      </c>
      <c r="Y70" s="110">
        <f t="shared" si="33"/>
        <v>0.175211030938099</v>
      </c>
      <c r="Z70" s="110">
        <f t="shared" si="33"/>
        <v>0.18470399430866702</v>
      </c>
      <c r="AA70" s="110">
        <f t="shared" si="33"/>
        <v>0.19421394843018544</v>
      </c>
      <c r="AB70" s="110">
        <f t="shared" si="33"/>
        <v>0.20374052351380967</v>
      </c>
      <c r="AC70" s="110">
        <f t="shared" si="33"/>
        <v>0.21328334977069491</v>
      </c>
      <c r="AD70" s="110">
        <f t="shared" si="33"/>
        <v>0.22284205741199672</v>
      </c>
      <c r="AE70" s="110">
        <f t="shared" si="33"/>
        <v>0.2324162766488703</v>
      </c>
      <c r="AF70" s="110">
        <f t="shared" si="33"/>
        <v>0.24200563769247102</v>
      </c>
      <c r="AG70" s="110">
        <f t="shared" si="33"/>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'BTX Recycling HC'!C72</f>
        <v>1.7241276355314636</v>
      </c>
      <c r="D72" s="300">
        <f>'BTX Recycling HC'!D72</f>
        <v>1.8994266413423606</v>
      </c>
      <c r="E72" s="300">
        <f>'BTX Recycling HC'!E72</f>
        <v>2.0785898387856259</v>
      </c>
      <c r="F72" s="300">
        <f>'BTX Recycling HC'!F72</f>
        <v>2.2605542592066632</v>
      </c>
      <c r="G72" s="300">
        <f>'BTX Recycling HC'!G72</f>
        <v>2.4441824988860232</v>
      </c>
      <c r="H72" s="300">
        <f>'BTX Recycling HC'!H72</f>
        <v>2.628274241880463</v>
      </c>
      <c r="I72" s="300">
        <f>'BTX Recycling HC'!I72</f>
        <v>2.8176450049281012</v>
      </c>
      <c r="J72" s="300">
        <f>'BTX Recycling HC'!J72</f>
        <v>3.0122161836878858</v>
      </c>
      <c r="K72" s="300">
        <f>'BTX Recycling HC'!K72</f>
        <v>3.2118972533854668</v>
      </c>
      <c r="L72" s="300">
        <f>'BTX Recycling HC'!L72</f>
        <v>3.4165856388607687</v>
      </c>
      <c r="M72" s="300">
        <f>'BTX Recycling HC'!M72</f>
        <v>3.6261666150278358</v>
      </c>
      <c r="N72" s="300">
        <f>'BTX Recycling HC'!N72</f>
        <v>3.9703169665075144</v>
      </c>
      <c r="O72" s="300">
        <f>'BTX Recycling HC'!O72</f>
        <v>4.3165931237070785</v>
      </c>
      <c r="P72" s="300">
        <f>'BTX Recycling HC'!P72</f>
        <v>4.6631970912776293</v>
      </c>
      <c r="Q72" s="300">
        <f>'BTX Recycling HC'!Q72</f>
        <v>5.0082778370063785</v>
      </c>
      <c r="R72" s="300">
        <f>'BTX Recycling HC'!R72</f>
        <v>5.3499473788140923</v>
      </c>
      <c r="S72" s="300">
        <f>'BTX Recycling HC'!S72</f>
        <v>5.6965425124143048</v>
      </c>
      <c r="T72" s="300">
        <f>'BTX Recycling HC'!T72</f>
        <v>6.0480136683989256</v>
      </c>
      <c r="U72" s="300">
        <f>'BTX Recycling HC'!U72</f>
        <v>6.4043083606531237</v>
      </c>
      <c r="V72" s="300">
        <f>'BTX Recycling HC'!V72</f>
        <v>6.7653711802480823</v>
      </c>
      <c r="W72" s="300">
        <f>'BTX Recycling HC'!W72</f>
        <v>7.1311437913173688</v>
      </c>
      <c r="X72" s="300">
        <f>'BTX Recycling HC'!X72</f>
        <v>7.7434936155722038</v>
      </c>
      <c r="Y72" s="300">
        <f>'BTX Recycling HC'!Y72</f>
        <v>8.3643586605674791</v>
      </c>
      <c r="Z72" s="300">
        <f>'BTX Recycling HC'!Z72</f>
        <v>8.9936540962105624</v>
      </c>
      <c r="AA72" s="300">
        <f>'BTX Recycling HC'!AA72</f>
        <v>9.6312905089869147</v>
      </c>
      <c r="AB72" s="300">
        <f>'BTX Recycling HC'!AB72</f>
        <v>10.277173896394252</v>
      </c>
      <c r="AC72" s="300">
        <f>'BTX Recycling HC'!AC72</f>
        <v>10.931309010451978</v>
      </c>
      <c r="AD72" s="300">
        <f>'BTX Recycling HC'!AD72</f>
        <v>11.593611591913</v>
      </c>
      <c r="AE72" s="300">
        <f>'BTX Recycling HC'!AE72</f>
        <v>12.263993280917038</v>
      </c>
      <c r="AF72" s="300">
        <f>'BTX Recycling HC'!AF72</f>
        <v>12.942361614378786</v>
      </c>
      <c r="AG72" s="300">
        <f>'BTX Recycling HC'!AG72</f>
        <v>13.628620025726597</v>
      </c>
      <c r="AH72" s="245"/>
      <c r="AI72" s="423"/>
      <c r="AJ72" s="424"/>
      <c r="AL72" s="221"/>
      <c r="AM72" s="124"/>
      <c r="AN72" s="124"/>
      <c r="AO72" s="124"/>
      <c r="BD72" s="124"/>
      <c r="BE72" s="124"/>
      <c r="BF72" s="124"/>
      <c r="BG72" s="124"/>
      <c r="BH72" s="124"/>
      <c r="BI72" s="124"/>
      <c r="BJ72" s="124"/>
      <c r="BK72" s="124"/>
    </row>
    <row r="73" spans="1:63" outlineLevel="1">
      <c r="A73" s="4" t="s">
        <v>474</v>
      </c>
      <c r="C73" s="230">
        <f>C$72*'BTX recycling rates'!E38</f>
        <v>1.7181013558325287</v>
      </c>
      <c r="D73" s="230">
        <f>D$72*'BTX recycling rates'!F38</f>
        <v>1.8674589175095582</v>
      </c>
      <c r="E73" s="230">
        <f>E$72*'BTX recycling rates'!G38</f>
        <v>2.0158889057983642</v>
      </c>
      <c r="F73" s="230">
        <f>F$72*'BTX recycling rates'!H38</f>
        <v>2.1622200050329141</v>
      </c>
      <c r="G73" s="230">
        <f>G$72*'BTX recycling rates'!I38</f>
        <v>2.3052673934643941</v>
      </c>
      <c r="H73" s="230">
        <f>H$72*'BTX recycling rates'!J38</f>
        <v>2.443848420478516</v>
      </c>
      <c r="I73" s="230">
        <f>I$72*'BTX recycling rates'!K38</f>
        <v>2.5823579413843754</v>
      </c>
      <c r="J73" s="230">
        <f>J$72*'BTX recycling rates'!L38</f>
        <v>2.7205137777250337</v>
      </c>
      <c r="K73" s="230">
        <f>K$72*'BTX recycling rates'!M38</f>
        <v>2.8580273366754372</v>
      </c>
      <c r="L73" s="230">
        <f>L$72*'BTX recycling rates'!N38</f>
        <v>2.994604291931299</v>
      </c>
      <c r="M73" s="230">
        <f>M$72*'BTX recycling rates'!O38</f>
        <v>3.1299453012459408</v>
      </c>
      <c r="N73" s="230">
        <f>N$72*'BTX recycling rates'!P38</f>
        <v>3.3740566233238511</v>
      </c>
      <c r="O73" s="230">
        <f>O$72*'BTX recycling rates'!Q38</f>
        <v>3.6107677070204036</v>
      </c>
      <c r="P73" s="230">
        <f>P$72*'BTX recycling rates'!R38</f>
        <v>3.8385134889494421</v>
      </c>
      <c r="Q73" s="230">
        <f>Q$72*'BTX recycling rates'!S38</f>
        <v>4.055781860235256</v>
      </c>
      <c r="R73" s="230">
        <f>R$72*'BTX recycling rates'!T38</f>
        <v>4.2611300157113865</v>
      </c>
      <c r="S73" s="230">
        <f>S$72*'BTX recycling rates'!U38</f>
        <v>4.4612233464637674</v>
      </c>
      <c r="T73" s="230">
        <f>T$72*'BTX recycling rates'!V38</f>
        <v>4.6558266461060818</v>
      </c>
      <c r="U73" s="230">
        <f>U$72*'BTX recycling rates'!W38</f>
        <v>4.8447051458526049</v>
      </c>
      <c r="V73" s="230">
        <f>V$72*'BTX recycling rates'!X38</f>
        <v>5.0276247044501101</v>
      </c>
      <c r="W73" s="230">
        <f>W$72*'BTX recycling rates'!Y38</f>
        <v>5.2043520000460726</v>
      </c>
      <c r="X73" s="230">
        <f>X$72*'BTX recycling rates'!Z38</f>
        <v>5.5479896440383341</v>
      </c>
      <c r="Y73" s="230">
        <f>Y$72*'BTX recycling rates'!AA38</f>
        <v>5.8812833595851428</v>
      </c>
      <c r="Z73" s="230">
        <f>Z$72*'BTX recycling rates'!AB38</f>
        <v>6.2038339810737702</v>
      </c>
      <c r="AA73" s="230">
        <f>AA$72*'BTX recycling rates'!AC38</f>
        <v>6.5152437671754653</v>
      </c>
      <c r="AB73" s="230">
        <f>AB$72*'BTX recycling rates'!AD38</f>
        <v>6.8151167027527029</v>
      </c>
      <c r="AC73" s="230">
        <f>AC$72*'BTX recycling rates'!AE38</f>
        <v>7.1031259570755632</v>
      </c>
      <c r="AD73" s="230">
        <f>AD$72*'BTX recycling rates'!AF38</f>
        <v>7.3788877936956521</v>
      </c>
      <c r="AE73" s="230">
        <f>AE$72*'BTX recycling rates'!AG38</f>
        <v>7.6420204153292586</v>
      </c>
      <c r="AF73" s="230">
        <f>AF$72*'BTX recycling rates'!AH38</f>
        <v>7.8921442356717035</v>
      </c>
      <c r="AG73" s="230">
        <f>AG$72*'BTX recycling rates'!AI38</f>
        <v>8.1288821528226229</v>
      </c>
      <c r="AH73" s="245"/>
      <c r="AI73" s="133"/>
      <c r="AJ73" s="211"/>
      <c r="AL73" s="108"/>
      <c r="AM73" s="2"/>
      <c r="AN73" s="2"/>
      <c r="AO73" s="2"/>
      <c r="BC73" s="1"/>
      <c r="BD73" s="2"/>
      <c r="BE73" s="2"/>
      <c r="BF73" s="2"/>
      <c r="BG73" s="2"/>
      <c r="BH73" s="2"/>
      <c r="BI73" s="2"/>
      <c r="BJ73" s="2"/>
      <c r="BK73" s="2"/>
    </row>
    <row r="74" spans="1:63" outlineLevel="1">
      <c r="A74" s="4" t="s">
        <v>478</v>
      </c>
      <c r="C74" s="230">
        <f>C$72*'BTX recycling rates'!E39</f>
        <v>6.0262796989348022E-3</v>
      </c>
      <c r="D74" s="230">
        <f>D$72*'BTX recycling rates'!F39</f>
        <v>2.6850444903664197E-2</v>
      </c>
      <c r="E74" s="230">
        <f>E$72*'BTX recycling rates'!G39</f>
        <v>5.1501001647116754E-2</v>
      </c>
      <c r="F74" s="230">
        <f>F$72*'BTX recycling rates'!H39</f>
        <v>8.006365646753312E-2</v>
      </c>
      <c r="G74" s="230">
        <f>G$72*'BTX recycling rates'!I39</f>
        <v>0.11257544411904088</v>
      </c>
      <c r="H74" s="230">
        <f>H$72*'BTX recycling rates'!J39</f>
        <v>0.14902142066008392</v>
      </c>
      <c r="I74" s="230">
        <f>I$72*'BTX recycling rates'!K39</f>
        <v>0.18974065990903793</v>
      </c>
      <c r="J74" s="230">
        <f>J$72*'BTX recycling rates'!L39</f>
        <v>0.23489555146316585</v>
      </c>
      <c r="K74" s="230">
        <f>K$72*'BTX recycling rates'!M39</f>
        <v>0.28464408285233411</v>
      </c>
      <c r="L74" s="230">
        <f>L$72*'BTX recycling rates'!N39</f>
        <v>0.33913919242391993</v>
      </c>
      <c r="M74" s="230">
        <f>M$72*'BTX recycling rates'!O39</f>
        <v>0.39852811727333209</v>
      </c>
      <c r="N74" s="230">
        <f>N$72*'BTX recycling rates'!P39</f>
        <v>0.47859882994730724</v>
      </c>
      <c r="O74" s="230">
        <f>O$72*'BTX recycling rates'!Q39</f>
        <v>0.56627249756789688</v>
      </c>
      <c r="P74" s="230">
        <f>P$72*'BTX recycling rates'!R39</f>
        <v>0.66136197880408409</v>
      </c>
      <c r="Q74" s="230">
        <f>Q$72*'BTX recycling rates'!S39</f>
        <v>0.76359551742062315</v>
      </c>
      <c r="R74" s="230">
        <f>R$72*'BTX recycling rates'!T39</f>
        <v>0.87261654441048075</v>
      </c>
      <c r="S74" s="230">
        <f>S$72*'BTX recycling rates'!U39</f>
        <v>0.98976467001388557</v>
      </c>
      <c r="T74" s="230">
        <f>T$72*'BTX recycling rates'!V39</f>
        <v>1.1151879911159439</v>
      </c>
      <c r="U74" s="230">
        <f>U$72*'BTX recycling rates'!W39</f>
        <v>1.2490319259208305</v>
      </c>
      <c r="V74" s="230">
        <f>V$72*'BTX recycling rates'!X39</f>
        <v>1.3914390575150111</v>
      </c>
      <c r="W74" s="230">
        <f>W$72*'BTX recycling rates'!Y39</f>
        <v>1.5425489774696266</v>
      </c>
      <c r="X74" s="230">
        <f>X$72*'BTX recycling rates'!Z39</f>
        <v>1.7574044245745555</v>
      </c>
      <c r="Y74" s="230">
        <f>Y$72*'BTX recycling rates'!AA39</f>
        <v>1.9873148337168189</v>
      </c>
      <c r="Z74" s="230">
        <f>Z$72*'BTX recycling rates'!AB39</f>
        <v>2.2325309738676702</v>
      </c>
      <c r="AA74" s="230">
        <f>AA$72*'BTX recycling rates'!AC39</f>
        <v>2.49329881682017</v>
      </c>
      <c r="AB74" s="230">
        <f>AB$72*'BTX recycling rates'!AD39</f>
        <v>2.7698592918323626</v>
      </c>
      <c r="AC74" s="230">
        <f>AC$72*'BTX recycling rates'!AE39</f>
        <v>3.0624769938276732</v>
      </c>
      <c r="AD74" s="230">
        <f>AD$72*'BTX recycling rates'!AF39</f>
        <v>3.3713908357558764</v>
      </c>
      <c r="AE74" s="230">
        <f>AE$72*'BTX recycling rates'!AG39</f>
        <v>3.6968349081371548</v>
      </c>
      <c r="AF74" s="230">
        <f>AF$72*'BTX recycling rates'!AH39</f>
        <v>4.0390382600776507</v>
      </c>
      <c r="AG74" s="230">
        <f>AG$72*'BTX recycling rates'!AI39</f>
        <v>4.3982246808768268</v>
      </c>
      <c r="AH74" s="245"/>
      <c r="AI74" s="133"/>
      <c r="AJ74" s="211"/>
      <c r="AL74" s="108"/>
      <c r="AM74" s="2"/>
      <c r="AN74" s="2"/>
      <c r="AO74" s="2"/>
      <c r="BC74" s="1"/>
      <c r="BD74" s="2"/>
      <c r="BE74" s="2"/>
      <c r="BF74" s="2"/>
      <c r="BG74" s="2"/>
      <c r="BH74" s="2"/>
      <c r="BI74" s="2"/>
      <c r="BJ74" s="2"/>
      <c r="BK74" s="2"/>
    </row>
    <row r="75" spans="1:63" outlineLevel="1">
      <c r="A75" s="4" t="s">
        <v>745</v>
      </c>
      <c r="C75" s="230">
        <f>C$72*'BTX recycling rates'!E40</f>
        <v>0</v>
      </c>
      <c r="D75" s="230">
        <f>D$72*'BTX recycling rates'!F40</f>
        <v>4.7109240725622357E-3</v>
      </c>
      <c r="E75" s="230">
        <f>E$72*'BTX recycling rates'!G40</f>
        <v>1.0310562877646293E-2</v>
      </c>
      <c r="F75" s="230">
        <f>F$72*'BTX recycling rates'!H40</f>
        <v>1.6819759045030084E-2</v>
      </c>
      <c r="G75" s="230">
        <f>G$72*'BTX recycling rates'!I40</f>
        <v>2.424807133083081E-2</v>
      </c>
      <c r="H75" s="230">
        <f>H$72*'BTX recycling rates'!J40</f>
        <v>3.2592994448629044E-2</v>
      </c>
      <c r="I75" s="230">
        <f>I$72*'BTX recycling rates'!K40</f>
        <v>4.1929637268654132E-2</v>
      </c>
      <c r="J75" s="230">
        <f>J$72*'BTX recycling rates'!L40</f>
        <v>5.2295913913410041E-2</v>
      </c>
      <c r="K75" s="230">
        <f>K$72*'BTX recycling rates'!M40</f>
        <v>6.3728722174294691E-2</v>
      </c>
      <c r="L75" s="230">
        <f>L$72*'BTX recycling rates'!N40</f>
        <v>7.6263792786618531E-2</v>
      </c>
      <c r="M75" s="230">
        <f>M$72*'BTX recycling rates'!O40</f>
        <v>8.9935537525068929E-2</v>
      </c>
      <c r="N75" s="230">
        <f>N$72*'BTX recycling rates'!P40</f>
        <v>0.10831820246558492</v>
      </c>
      <c r="O75" s="230">
        <f>O$72*'BTX recycling rates'!Q40</f>
        <v>0.12847124715629177</v>
      </c>
      <c r="P75" s="230">
        <f>P$72*'BTX recycling rates'!R40</f>
        <v>0.15035251712558825</v>
      </c>
      <c r="Q75" s="230">
        <f>Q$72*'BTX recycling rates'!S40</f>
        <v>0.1739001789027394</v>
      </c>
      <c r="R75" s="230">
        <f>R$72*'BTX recycling rates'!T40</f>
        <v>0.19903266079271933</v>
      </c>
      <c r="S75" s="230">
        <f>S$72*'BTX recycling rates'!U40</f>
        <v>0.22605540992636577</v>
      </c>
      <c r="T75" s="230">
        <f>T$72*'BTX recycling rates'!V40</f>
        <v>0.25500298539862276</v>
      </c>
      <c r="U75" s="230">
        <f>U$72*'BTX recycling rates'!W40</f>
        <v>0.28590932432843513</v>
      </c>
      <c r="V75" s="230">
        <f>V$72*'BTX recycling rates'!X40</f>
        <v>0.31880770540113379</v>
      </c>
      <c r="W75" s="230">
        <f>W$72*'BTX recycling rates'!Y40</f>
        <v>0.35373071241833298</v>
      </c>
      <c r="X75" s="230">
        <f>X$72*'BTX recycling rates'!Z40</f>
        <v>0.40331076936172933</v>
      </c>
      <c r="Y75" s="230">
        <f>Y$72*'BTX recycling rates'!AA40</f>
        <v>0.45639292909507423</v>
      </c>
      <c r="Z75" s="230">
        <f>Z$72*'BTX recycling rates'!AB40</f>
        <v>0.51303571045021057</v>
      </c>
      <c r="AA75" s="230">
        <f>AA$72*'BTX recycling rates'!AC40</f>
        <v>0.57329651785734104</v>
      </c>
      <c r="AB75" s="230">
        <f>AB$72*'BTX recycling rates'!AD40</f>
        <v>0.63723158416131498</v>
      </c>
      <c r="AC75" s="230">
        <f>AC$72*'BTX recycling rates'!AE40</f>
        <v>0.70490257779294352</v>
      </c>
      <c r="AD75" s="230">
        <f>AD$72*'BTX recycling rates'!AF40</f>
        <v>0.77636525369433895</v>
      </c>
      <c r="AE75" s="230">
        <f>AE$72*'BTX recycling rates'!AG40</f>
        <v>0.85167424612699283</v>
      </c>
      <c r="AF75" s="230">
        <f>AF$72*'BTX recycling rates'!AH40</f>
        <v>0.93088301763257941</v>
      </c>
      <c r="AG75" s="230">
        <f>AG$72*'BTX recycling rates'!AI40</f>
        <v>1.0140438081297853</v>
      </c>
      <c r="AH75" s="245"/>
      <c r="AI75" s="133"/>
      <c r="AJ75" s="211"/>
      <c r="AL75" s="108"/>
      <c r="AM75" s="2"/>
      <c r="AN75" s="2"/>
      <c r="AO75" s="2"/>
      <c r="BC75" s="1"/>
      <c r="BD75" s="2"/>
      <c r="BE75" s="2"/>
      <c r="BF75" s="2"/>
      <c r="BG75" s="2"/>
      <c r="BH75" s="2"/>
      <c r="BI75" s="2"/>
      <c r="BJ75" s="2"/>
      <c r="BK75" s="2"/>
    </row>
    <row r="76" spans="1:63" outlineLevel="1">
      <c r="A76" s="4" t="s">
        <v>1561</v>
      </c>
      <c r="C76" s="230">
        <f>C$72*'BTX recycling rates'!E41</f>
        <v>0</v>
      </c>
      <c r="D76" s="230">
        <f>D$72*'BTX recycling rates'!F41</f>
        <v>4.063548565759155E-4</v>
      </c>
      <c r="E76" s="230">
        <f>E$72*'BTX recycling rates'!G41</f>
        <v>8.8936846249872722E-4</v>
      </c>
      <c r="F76" s="230">
        <f>F$72*'BTX recycling rates'!H41</f>
        <v>1.4508386611859075E-3</v>
      </c>
      <c r="G76" s="230">
        <f>G$72*'BTX recycling rates'!I41</f>
        <v>2.0915899717575312E-3</v>
      </c>
      <c r="H76" s="230">
        <f>H$72*'BTX recycling rates'!J41</f>
        <v>2.8114062932346898E-3</v>
      </c>
      <c r="I76" s="230">
        <f>I$72*'BTX recycling rates'!K41</f>
        <v>3.6167663660342337E-3</v>
      </c>
      <c r="J76" s="230">
        <f>J$72*'BTX recycling rates'!L41</f>
        <v>4.510940586276966E-3</v>
      </c>
      <c r="K76" s="230">
        <f>K$72*'BTX recycling rates'!M41</f>
        <v>5.4971116834020605E-3</v>
      </c>
      <c r="L76" s="230">
        <f>L$72*'BTX recycling rates'!N41</f>
        <v>6.57836171893265E-3</v>
      </c>
      <c r="M76" s="230">
        <f>M$72*'BTX recycling rates'!O41</f>
        <v>7.7576589834954159E-3</v>
      </c>
      <c r="N76" s="230">
        <f>N$72*'BTX recycling rates'!P41</f>
        <v>9.3433107707728263E-3</v>
      </c>
      <c r="O76" s="230">
        <f>O$72*'BTX recycling rates'!Q41</f>
        <v>1.1081671962488254E-2</v>
      </c>
      <c r="P76" s="230">
        <f>P$72*'BTX recycling rates'!R41</f>
        <v>1.296910639851734E-2</v>
      </c>
      <c r="Q76" s="230">
        <f>Q$72*'BTX recycling rates'!S41</f>
        <v>1.5000280447762433E-2</v>
      </c>
      <c r="R76" s="230">
        <f>R$72*'BTX recycling rates'!T41</f>
        <v>1.7168157899509384E-2</v>
      </c>
      <c r="S76" s="230">
        <f>S$72*'BTX recycling rates'!U41</f>
        <v>1.9499086010290299E-2</v>
      </c>
      <c r="T76" s="230">
        <f>T$72*'BTX recycling rates'!V41</f>
        <v>2.1996045778281563E-2</v>
      </c>
      <c r="U76" s="230">
        <f>U$72*'BTX recycling rates'!W41</f>
        <v>2.4661964551258055E-2</v>
      </c>
      <c r="V76" s="230">
        <f>V$72*'BTX recycling rates'!X41</f>
        <v>2.7499712881832464E-2</v>
      </c>
      <c r="W76" s="230">
        <f>W$72*'BTX recycling rates'!Y41</f>
        <v>3.0512101383342576E-2</v>
      </c>
      <c r="X76" s="230">
        <f>X$72*'BTX recycling rates'!Z41</f>
        <v>3.4788777597591483E-2</v>
      </c>
      <c r="Y76" s="230">
        <f>Y$72*'BTX recycling rates'!AA41</f>
        <v>3.9367538170451098E-2</v>
      </c>
      <c r="Z76" s="230">
        <f>Z$72*'BTX recycling rates'!AB41</f>
        <v>4.4253430818920067E-2</v>
      </c>
      <c r="AA76" s="230">
        <f>AA$72*'BTX recycling rates'!AC41</f>
        <v>4.9451407133947987E-2</v>
      </c>
      <c r="AB76" s="230">
        <f>AB$72*'BTX recycling rates'!AD41</f>
        <v>5.4966317647882984E-2</v>
      </c>
      <c r="AC76" s="230">
        <f>AC$72*'BTX recycling rates'!AE41</f>
        <v>6.0803481755810088E-2</v>
      </c>
      <c r="AD76" s="230">
        <f>AD$72*'BTX recycling rates'!AF41</f>
        <v>6.6967708767146417E-2</v>
      </c>
      <c r="AE76" s="230">
        <f>AE$72*'BTX recycling rates'!AG41</f>
        <v>7.3463711323647721E-2</v>
      </c>
      <c r="AF76" s="230">
        <f>AF$72*'BTX recycling rates'!AH41</f>
        <v>8.0296100996869707E-2</v>
      </c>
      <c r="AG76" s="230">
        <f>AG$72*'BTX recycling rates'!AI41</f>
        <v>8.7469383897362835E-2</v>
      </c>
      <c r="AH76" s="245"/>
      <c r="AI76" s="133"/>
      <c r="AJ76" s="211"/>
      <c r="AL76" s="108"/>
      <c r="AM76" s="2"/>
      <c r="AN76" s="2"/>
      <c r="AO76" s="2"/>
      <c r="BC76" s="1"/>
      <c r="BD76" s="2"/>
      <c r="BE76" s="2"/>
      <c r="BF76" s="2"/>
      <c r="BG76" s="2"/>
      <c r="BH76" s="2"/>
      <c r="BI76" s="2"/>
      <c r="BJ76" s="2"/>
      <c r="BK76" s="2"/>
    </row>
    <row r="77" spans="1:63" s="1" customFormat="1" outlineLevel="1">
      <c r="A77" s="1" t="s">
        <v>1562</v>
      </c>
      <c r="B77" s="65"/>
      <c r="C77" s="300">
        <f t="shared" ref="C77:AG77" si="35">C72-$C72</f>
        <v>0</v>
      </c>
      <c r="D77" s="300">
        <f t="shared" si="35"/>
        <v>0.17529900581089697</v>
      </c>
      <c r="E77" s="300">
        <f t="shared" si="35"/>
        <v>0.35446220325416222</v>
      </c>
      <c r="F77" s="300">
        <f t="shared" si="35"/>
        <v>0.53642662367519955</v>
      </c>
      <c r="G77" s="300">
        <f t="shared" si="35"/>
        <v>0.72005486335455959</v>
      </c>
      <c r="H77" s="300">
        <f t="shared" si="35"/>
        <v>0.90414660634899935</v>
      </c>
      <c r="I77" s="300">
        <f t="shared" si="35"/>
        <v>1.0935173693966376</v>
      </c>
      <c r="J77" s="300">
        <f t="shared" si="35"/>
        <v>1.2880885481564222</v>
      </c>
      <c r="K77" s="300">
        <f t="shared" si="35"/>
        <v>1.4877696178540032</v>
      </c>
      <c r="L77" s="300">
        <f t="shared" si="35"/>
        <v>1.6924580033293051</v>
      </c>
      <c r="M77" s="300">
        <f t="shared" si="35"/>
        <v>1.9020389794963721</v>
      </c>
      <c r="N77" s="300">
        <f t="shared" si="35"/>
        <v>2.2461893309760508</v>
      </c>
      <c r="O77" s="300">
        <f t="shared" si="35"/>
        <v>2.5924654881756148</v>
      </c>
      <c r="P77" s="300">
        <f t="shared" si="35"/>
        <v>2.9390694557461656</v>
      </c>
      <c r="Q77" s="300">
        <f t="shared" si="35"/>
        <v>3.2841502014749149</v>
      </c>
      <c r="R77" s="300">
        <f t="shared" si="35"/>
        <v>3.6258197432826287</v>
      </c>
      <c r="S77" s="300">
        <f t="shared" si="35"/>
        <v>3.9724148768828411</v>
      </c>
      <c r="T77" s="300">
        <f t="shared" si="35"/>
        <v>4.3238860328674615</v>
      </c>
      <c r="U77" s="300">
        <f t="shared" si="35"/>
        <v>4.6801807251216605</v>
      </c>
      <c r="V77" s="300">
        <f t="shared" si="35"/>
        <v>5.0412435447166182</v>
      </c>
      <c r="W77" s="300">
        <f t="shared" si="35"/>
        <v>5.4070161557859056</v>
      </c>
      <c r="X77" s="300">
        <f t="shared" si="35"/>
        <v>6.0193659800407406</v>
      </c>
      <c r="Y77" s="300">
        <f t="shared" si="35"/>
        <v>6.6402310250360159</v>
      </c>
      <c r="Z77" s="300">
        <f t="shared" si="35"/>
        <v>7.2695264606790992</v>
      </c>
      <c r="AA77" s="300">
        <f t="shared" si="35"/>
        <v>7.9071628734554515</v>
      </c>
      <c r="AB77" s="300">
        <f t="shared" si="35"/>
        <v>8.5530462608627893</v>
      </c>
      <c r="AC77" s="300">
        <f t="shared" si="35"/>
        <v>9.2071813749205145</v>
      </c>
      <c r="AD77" s="300">
        <f t="shared" si="35"/>
        <v>9.8694839563815364</v>
      </c>
      <c r="AE77" s="300">
        <f t="shared" si="35"/>
        <v>10.539865645385575</v>
      </c>
      <c r="AF77" s="300">
        <f t="shared" si="35"/>
        <v>11.218233978847323</v>
      </c>
      <c r="AG77" s="300">
        <f t="shared" si="35"/>
        <v>11.904492390195134</v>
      </c>
      <c r="AH77" s="245"/>
      <c r="AI77" s="423"/>
      <c r="AJ77" s="424"/>
      <c r="AL77" s="221"/>
      <c r="AM77" s="124"/>
      <c r="AN77" s="124"/>
      <c r="AO77" s="124"/>
      <c r="BD77" s="124"/>
      <c r="BE77" s="124"/>
      <c r="BF77" s="124"/>
      <c r="BG77" s="124"/>
      <c r="BH77" s="124"/>
      <c r="BI77" s="124"/>
      <c r="BJ77" s="124"/>
      <c r="BK77" s="124"/>
    </row>
    <row r="78" spans="1:63" outlineLevel="1">
      <c r="A78" s="4" t="s">
        <v>474</v>
      </c>
      <c r="C78" s="230">
        <f t="shared" ref="C78:AG78" si="36">C73-$C73</f>
        <v>0</v>
      </c>
      <c r="D78" s="230">
        <f t="shared" si="36"/>
        <v>0.14935756167702952</v>
      </c>
      <c r="E78" s="230">
        <f t="shared" si="36"/>
        <v>0.29778754996583556</v>
      </c>
      <c r="F78" s="230">
        <f t="shared" si="36"/>
        <v>0.44411864920038546</v>
      </c>
      <c r="G78" s="230">
        <f t="shared" si="36"/>
        <v>0.58716603763186548</v>
      </c>
      <c r="H78" s="230">
        <f t="shared" si="36"/>
        <v>0.72574706464598737</v>
      </c>
      <c r="I78" s="230">
        <f t="shared" si="36"/>
        <v>0.8642565855518467</v>
      </c>
      <c r="J78" s="230">
        <f t="shared" si="36"/>
        <v>1.002412421892505</v>
      </c>
      <c r="K78" s="230">
        <f t="shared" si="36"/>
        <v>1.1399259808429085</v>
      </c>
      <c r="L78" s="230">
        <f t="shared" si="36"/>
        <v>1.2765029360987703</v>
      </c>
      <c r="M78" s="230">
        <f t="shared" si="36"/>
        <v>1.4118439454134122</v>
      </c>
      <c r="N78" s="230">
        <f t="shared" si="36"/>
        <v>1.6559552674913225</v>
      </c>
      <c r="O78" s="230">
        <f t="shared" si="36"/>
        <v>1.892666351187875</v>
      </c>
      <c r="P78" s="230">
        <f t="shared" si="36"/>
        <v>2.1204121331169135</v>
      </c>
      <c r="Q78" s="230">
        <f t="shared" si="36"/>
        <v>2.3376805044027273</v>
      </c>
      <c r="R78" s="230">
        <f t="shared" si="36"/>
        <v>2.5430286598788578</v>
      </c>
      <c r="S78" s="230">
        <f t="shared" si="36"/>
        <v>2.7431219906312387</v>
      </c>
      <c r="T78" s="230">
        <f t="shared" si="36"/>
        <v>2.9377252902735531</v>
      </c>
      <c r="U78" s="230">
        <f t="shared" si="36"/>
        <v>3.1266037900200763</v>
      </c>
      <c r="V78" s="230">
        <f t="shared" si="36"/>
        <v>3.3095233486175815</v>
      </c>
      <c r="W78" s="230">
        <f t="shared" si="36"/>
        <v>3.4862506442135439</v>
      </c>
      <c r="X78" s="230">
        <f t="shared" si="36"/>
        <v>3.8298882882058054</v>
      </c>
      <c r="Y78" s="230">
        <f t="shared" si="36"/>
        <v>4.1631820037526142</v>
      </c>
      <c r="Z78" s="230">
        <f t="shared" si="36"/>
        <v>4.4857326252412415</v>
      </c>
      <c r="AA78" s="230">
        <f t="shared" si="36"/>
        <v>4.7971424113429366</v>
      </c>
      <c r="AB78" s="230">
        <f t="shared" si="36"/>
        <v>5.0970153469201742</v>
      </c>
      <c r="AC78" s="230">
        <f t="shared" si="36"/>
        <v>5.3850246012430345</v>
      </c>
      <c r="AD78" s="230">
        <f t="shared" si="36"/>
        <v>5.6607864378631234</v>
      </c>
      <c r="AE78" s="230">
        <f t="shared" si="36"/>
        <v>5.9239190594967299</v>
      </c>
      <c r="AF78" s="230">
        <f t="shared" si="36"/>
        <v>6.1740428798391749</v>
      </c>
      <c r="AG78" s="230">
        <f t="shared" si="36"/>
        <v>6.4107807969900943</v>
      </c>
      <c r="AH78" s="245"/>
      <c r="AI78" s="133"/>
      <c r="AJ78" s="211"/>
      <c r="AL78" s="108"/>
      <c r="AM78" s="2"/>
      <c r="AN78" s="2"/>
      <c r="AO78" s="2"/>
      <c r="BC78" s="1"/>
      <c r="BD78" s="2"/>
      <c r="BE78" s="2"/>
      <c r="BF78" s="2"/>
      <c r="BG78" s="2"/>
      <c r="BH78" s="2"/>
      <c r="BI78" s="2"/>
      <c r="BJ78" s="2"/>
      <c r="BK78" s="2"/>
    </row>
    <row r="79" spans="1:63" outlineLevel="1">
      <c r="A79" s="4" t="s">
        <v>478</v>
      </c>
      <c r="C79" s="230">
        <f t="shared" ref="C79:AG79" si="37">C74-$C74</f>
        <v>0</v>
      </c>
      <c r="D79" s="230">
        <f t="shared" si="37"/>
        <v>2.0824165204729395E-2</v>
      </c>
      <c r="E79" s="230">
        <f t="shared" si="37"/>
        <v>4.5474721948181952E-2</v>
      </c>
      <c r="F79" s="230">
        <f t="shared" si="37"/>
        <v>7.4037376768598312E-2</v>
      </c>
      <c r="G79" s="230">
        <f t="shared" si="37"/>
        <v>0.10654916442010608</v>
      </c>
      <c r="H79" s="230">
        <f t="shared" si="37"/>
        <v>0.14299514096114913</v>
      </c>
      <c r="I79" s="230">
        <f t="shared" si="37"/>
        <v>0.18371438021010314</v>
      </c>
      <c r="J79" s="230">
        <f t="shared" si="37"/>
        <v>0.22886927176423105</v>
      </c>
      <c r="K79" s="230">
        <f t="shared" si="37"/>
        <v>0.27861780315339929</v>
      </c>
      <c r="L79" s="230">
        <f t="shared" si="37"/>
        <v>0.33311291272498511</v>
      </c>
      <c r="M79" s="230">
        <f t="shared" si="37"/>
        <v>0.39250183757439727</v>
      </c>
      <c r="N79" s="230">
        <f t="shared" si="37"/>
        <v>0.47257255024837241</v>
      </c>
      <c r="O79" s="230">
        <f t="shared" si="37"/>
        <v>0.56024621786896212</v>
      </c>
      <c r="P79" s="230">
        <f t="shared" si="37"/>
        <v>0.65533569910514933</v>
      </c>
      <c r="Q79" s="230">
        <f t="shared" si="37"/>
        <v>0.75756923772168838</v>
      </c>
      <c r="R79" s="230">
        <f t="shared" si="37"/>
        <v>0.86659026471154599</v>
      </c>
      <c r="S79" s="230">
        <f t="shared" si="37"/>
        <v>0.98373839031495081</v>
      </c>
      <c r="T79" s="230">
        <f t="shared" si="37"/>
        <v>1.1091617114170091</v>
      </c>
      <c r="U79" s="230">
        <f t="shared" si="37"/>
        <v>1.2430056462218957</v>
      </c>
      <c r="V79" s="230">
        <f t="shared" si="37"/>
        <v>1.3854127778160763</v>
      </c>
      <c r="W79" s="230">
        <f t="shared" si="37"/>
        <v>1.5365226977706918</v>
      </c>
      <c r="X79" s="230">
        <f t="shared" si="37"/>
        <v>1.7513781448756207</v>
      </c>
      <c r="Y79" s="230">
        <f t="shared" si="37"/>
        <v>1.9812885540178842</v>
      </c>
      <c r="Z79" s="230">
        <f t="shared" si="37"/>
        <v>2.2265046941687352</v>
      </c>
      <c r="AA79" s="230">
        <f t="shared" si="37"/>
        <v>2.487272537121235</v>
      </c>
      <c r="AB79" s="230">
        <f t="shared" si="37"/>
        <v>2.7638330121334276</v>
      </c>
      <c r="AC79" s="230">
        <f t="shared" si="37"/>
        <v>3.0564507141287383</v>
      </c>
      <c r="AD79" s="230">
        <f t="shared" si="37"/>
        <v>3.3653645560569414</v>
      </c>
      <c r="AE79" s="230">
        <f t="shared" si="37"/>
        <v>3.6908086284382198</v>
      </c>
      <c r="AF79" s="230">
        <f t="shared" si="37"/>
        <v>4.0330119803787161</v>
      </c>
      <c r="AG79" s="230">
        <f t="shared" si="37"/>
        <v>4.3921984011778923</v>
      </c>
      <c r="AH79" s="245"/>
      <c r="AI79" s="133"/>
      <c r="AJ79" s="211"/>
      <c r="AL79" s="108"/>
      <c r="AM79" s="2"/>
      <c r="AN79" s="2"/>
      <c r="AO79" s="2"/>
      <c r="BC79" s="1"/>
      <c r="BD79" s="2"/>
      <c r="BE79" s="2"/>
      <c r="BF79" s="2"/>
      <c r="BG79" s="2"/>
      <c r="BH79" s="2"/>
      <c r="BI79" s="2"/>
      <c r="BJ79" s="2"/>
      <c r="BK79" s="2"/>
    </row>
    <row r="80" spans="1:63" outlineLevel="1">
      <c r="A80" s="4" t="s">
        <v>745</v>
      </c>
      <c r="C80" s="230">
        <f t="shared" ref="C80:AG80" si="38">C75-$C75</f>
        <v>0</v>
      </c>
      <c r="D80" s="230">
        <f t="shared" si="38"/>
        <v>4.7109240725622357E-3</v>
      </c>
      <c r="E80" s="230">
        <f t="shared" si="38"/>
        <v>1.0310562877646293E-2</v>
      </c>
      <c r="F80" s="230">
        <f t="shared" si="38"/>
        <v>1.6819759045030084E-2</v>
      </c>
      <c r="G80" s="230">
        <f t="shared" si="38"/>
        <v>2.424807133083081E-2</v>
      </c>
      <c r="H80" s="230">
        <f t="shared" si="38"/>
        <v>3.2592994448629044E-2</v>
      </c>
      <c r="I80" s="230">
        <f t="shared" si="38"/>
        <v>4.1929637268654132E-2</v>
      </c>
      <c r="J80" s="230">
        <f t="shared" si="38"/>
        <v>5.2295913913410041E-2</v>
      </c>
      <c r="K80" s="230">
        <f t="shared" si="38"/>
        <v>6.3728722174294691E-2</v>
      </c>
      <c r="L80" s="230">
        <f t="shared" si="38"/>
        <v>7.6263792786618531E-2</v>
      </c>
      <c r="M80" s="230">
        <f t="shared" si="38"/>
        <v>8.9935537525068929E-2</v>
      </c>
      <c r="N80" s="230">
        <f t="shared" si="38"/>
        <v>0.10831820246558492</v>
      </c>
      <c r="O80" s="230">
        <f t="shared" si="38"/>
        <v>0.12847124715629177</v>
      </c>
      <c r="P80" s="230">
        <f t="shared" si="38"/>
        <v>0.15035251712558825</v>
      </c>
      <c r="Q80" s="230">
        <f t="shared" si="38"/>
        <v>0.1739001789027394</v>
      </c>
      <c r="R80" s="230">
        <f t="shared" si="38"/>
        <v>0.19903266079271933</v>
      </c>
      <c r="S80" s="230">
        <f t="shared" si="38"/>
        <v>0.22605540992636577</v>
      </c>
      <c r="T80" s="230">
        <f t="shared" si="38"/>
        <v>0.25500298539862276</v>
      </c>
      <c r="U80" s="230">
        <f t="shared" si="38"/>
        <v>0.28590932432843513</v>
      </c>
      <c r="V80" s="230">
        <f t="shared" si="38"/>
        <v>0.31880770540113379</v>
      </c>
      <c r="W80" s="230">
        <f t="shared" si="38"/>
        <v>0.35373071241833298</v>
      </c>
      <c r="X80" s="230">
        <f t="shared" si="38"/>
        <v>0.40331076936172933</v>
      </c>
      <c r="Y80" s="230">
        <f t="shared" si="38"/>
        <v>0.45639292909507423</v>
      </c>
      <c r="Z80" s="230">
        <f t="shared" si="38"/>
        <v>0.51303571045021057</v>
      </c>
      <c r="AA80" s="230">
        <f t="shared" si="38"/>
        <v>0.57329651785734104</v>
      </c>
      <c r="AB80" s="230">
        <f t="shared" si="38"/>
        <v>0.63723158416131498</v>
      </c>
      <c r="AC80" s="230">
        <f t="shared" si="38"/>
        <v>0.70490257779294352</v>
      </c>
      <c r="AD80" s="230">
        <f t="shared" si="38"/>
        <v>0.77636525369433895</v>
      </c>
      <c r="AE80" s="230">
        <f t="shared" si="38"/>
        <v>0.85167424612699283</v>
      </c>
      <c r="AF80" s="230">
        <f t="shared" si="38"/>
        <v>0.93088301763257941</v>
      </c>
      <c r="AG80" s="230">
        <f t="shared" si="38"/>
        <v>1.0140438081297853</v>
      </c>
      <c r="AH80" s="245"/>
      <c r="AI80" s="133"/>
      <c r="AJ80" s="211"/>
      <c r="AL80" s="108"/>
      <c r="AM80" s="2"/>
      <c r="AN80" s="2"/>
      <c r="AO80" s="2"/>
      <c r="BC80" s="1"/>
      <c r="BD80" s="2"/>
      <c r="BE80" s="2"/>
      <c r="BF80" s="2"/>
      <c r="BG80" s="2"/>
      <c r="BH80" s="2"/>
      <c r="BI80" s="2"/>
      <c r="BJ80" s="2"/>
      <c r="BK80" s="2"/>
    </row>
    <row r="81" spans="1:63" outlineLevel="1">
      <c r="A81" s="4" t="s">
        <v>1561</v>
      </c>
      <c r="C81" s="230">
        <f t="shared" ref="C81:AG81" si="39">C76-$C76</f>
        <v>0</v>
      </c>
      <c r="D81" s="230">
        <f t="shared" si="39"/>
        <v>4.063548565759155E-4</v>
      </c>
      <c r="E81" s="230">
        <f t="shared" si="39"/>
        <v>8.8936846249872722E-4</v>
      </c>
      <c r="F81" s="230">
        <f t="shared" si="39"/>
        <v>1.4508386611859075E-3</v>
      </c>
      <c r="G81" s="230">
        <f t="shared" si="39"/>
        <v>2.0915899717575312E-3</v>
      </c>
      <c r="H81" s="230">
        <f t="shared" si="39"/>
        <v>2.8114062932346898E-3</v>
      </c>
      <c r="I81" s="230">
        <f t="shared" si="39"/>
        <v>3.6167663660342337E-3</v>
      </c>
      <c r="J81" s="230">
        <f t="shared" si="39"/>
        <v>4.510940586276966E-3</v>
      </c>
      <c r="K81" s="230">
        <f t="shared" si="39"/>
        <v>5.4971116834020605E-3</v>
      </c>
      <c r="L81" s="230">
        <f t="shared" si="39"/>
        <v>6.57836171893265E-3</v>
      </c>
      <c r="M81" s="230">
        <f t="shared" si="39"/>
        <v>7.7576589834954159E-3</v>
      </c>
      <c r="N81" s="230">
        <f t="shared" si="39"/>
        <v>9.3433107707728263E-3</v>
      </c>
      <c r="O81" s="230">
        <f t="shared" si="39"/>
        <v>1.1081671962488254E-2</v>
      </c>
      <c r="P81" s="230">
        <f t="shared" si="39"/>
        <v>1.296910639851734E-2</v>
      </c>
      <c r="Q81" s="230">
        <f t="shared" si="39"/>
        <v>1.5000280447762433E-2</v>
      </c>
      <c r="R81" s="230">
        <f t="shared" si="39"/>
        <v>1.7168157899509384E-2</v>
      </c>
      <c r="S81" s="230">
        <f t="shared" si="39"/>
        <v>1.9499086010290299E-2</v>
      </c>
      <c r="T81" s="230">
        <f t="shared" si="39"/>
        <v>2.1996045778281563E-2</v>
      </c>
      <c r="U81" s="230">
        <f t="shared" si="39"/>
        <v>2.4661964551258055E-2</v>
      </c>
      <c r="V81" s="230">
        <f t="shared" si="39"/>
        <v>2.7499712881832464E-2</v>
      </c>
      <c r="W81" s="230">
        <f t="shared" si="39"/>
        <v>3.0512101383342576E-2</v>
      </c>
      <c r="X81" s="230">
        <f t="shared" si="39"/>
        <v>3.4788777597591483E-2</v>
      </c>
      <c r="Y81" s="230">
        <f t="shared" si="39"/>
        <v>3.9367538170451098E-2</v>
      </c>
      <c r="Z81" s="230">
        <f t="shared" si="39"/>
        <v>4.4253430818920067E-2</v>
      </c>
      <c r="AA81" s="230">
        <f t="shared" si="39"/>
        <v>4.9451407133947987E-2</v>
      </c>
      <c r="AB81" s="230">
        <f t="shared" si="39"/>
        <v>5.4966317647882984E-2</v>
      </c>
      <c r="AC81" s="230">
        <f t="shared" si="39"/>
        <v>6.0803481755810088E-2</v>
      </c>
      <c r="AD81" s="230">
        <f t="shared" si="39"/>
        <v>6.6967708767146417E-2</v>
      </c>
      <c r="AE81" s="230">
        <f t="shared" si="39"/>
        <v>7.3463711323647721E-2</v>
      </c>
      <c r="AF81" s="230">
        <f t="shared" si="39"/>
        <v>8.0296100996869707E-2</v>
      </c>
      <c r="AG81" s="230">
        <f t="shared" si="39"/>
        <v>8.7469383897362835E-2</v>
      </c>
      <c r="AH81" s="245"/>
      <c r="AI81" s="133"/>
      <c r="AJ81" s="211"/>
      <c r="AL81" s="108"/>
      <c r="AM81" s="2"/>
      <c r="AN81" s="2"/>
      <c r="AO81" s="2"/>
      <c r="BC81" s="1"/>
      <c r="BD81" s="2"/>
      <c r="BE81" s="2"/>
      <c r="BF81" s="2"/>
      <c r="BG81" s="2"/>
      <c r="BH81" s="2"/>
      <c r="BI81" s="2"/>
      <c r="BJ81" s="2"/>
      <c r="BK81" s="2"/>
    </row>
    <row r="82" spans="1:63" s="1" customFormat="1" outlineLevel="1">
      <c r="A82" s="1" t="s">
        <v>1563</v>
      </c>
      <c r="B82" s="65"/>
      <c r="C82" s="300">
        <f>'BTX Recycling HC'!C82</f>
        <v>0.40076570156277719</v>
      </c>
      <c r="D82" s="300">
        <f>'BTX Recycling HC'!D82</f>
        <v>0.41966942138170227</v>
      </c>
      <c r="E82" s="300">
        <f>'BTX Recycling HC'!E82</f>
        <v>0.43765883449805965</v>
      </c>
      <c r="F82" s="300">
        <f>'BTX Recycling HC'!F82</f>
        <v>0.45457064820234577</v>
      </c>
      <c r="G82" s="300">
        <f>'BTX Recycling HC'!G82</f>
        <v>0.47024786756588394</v>
      </c>
      <c r="H82" s="300">
        <f>'BTX Recycling HC'!H82</f>
        <v>0.48454208727627684</v>
      </c>
      <c r="I82" s="300">
        <f>'BTX Recycling HC'!I82</f>
        <v>0.49838863715114456</v>
      </c>
      <c r="J82" s="300">
        <f>'BTX Recycling HC'!J82</f>
        <v>0.51174071223675843</v>
      </c>
      <c r="K82" s="300">
        <f>'BTX Recycling HC'!K82</f>
        <v>0.52455128648356797</v>
      </c>
      <c r="L82" s="300">
        <f>'BTX Recycling HC'!L82</f>
        <v>0.53677324630730194</v>
      </c>
      <c r="M82" s="300">
        <f>'BTX Recycling HC'!M82</f>
        <v>0.54835952828134327</v>
      </c>
      <c r="N82" s="300">
        <f>'BTX Recycling HC'!N82</f>
        <v>0.57675241849910674</v>
      </c>
      <c r="O82" s="300">
        <f>'BTX Recycling HC'!O82</f>
        <v>0.60322231376707813</v>
      </c>
      <c r="P82" s="300">
        <f>'BTX Recycling HC'!P82</f>
        <v>0.6275623834031675</v>
      </c>
      <c r="Q82" s="300">
        <f>'BTX Recycling HC'!Q82</f>
        <v>0.64958163215821907</v>
      </c>
      <c r="R82" s="300">
        <f>'BTX Recycling HC'!R82</f>
        <v>0.66910722171531833</v>
      </c>
      <c r="S82" s="300">
        <f>'BTX Recycling HC'!S82</f>
        <v>0.68722251231462994</v>
      </c>
      <c r="T82" s="300">
        <f>'BTX Recycling HC'!T82</f>
        <v>0.70388288723394621</v>
      </c>
      <c r="U82" s="300">
        <f>'BTX Recycling HC'!U82</f>
        <v>0.71904401791982009</v>
      </c>
      <c r="V82" s="300">
        <f>'BTX Recycling HC'!V82</f>
        <v>0.7326619030412288</v>
      </c>
      <c r="W82" s="300">
        <f>'BTX Recycling HC'!W82</f>
        <v>0.74469290780115882</v>
      </c>
      <c r="X82" s="300">
        <f>'BTX Recycling HC'!X82</f>
        <v>0.77120513701156179</v>
      </c>
      <c r="Y82" s="300">
        <f>'BTX Recycling HC'!Y82</f>
        <v>0.79529651049878736</v>
      </c>
      <c r="Z82" s="300">
        <f>'BTX Recycling HC'!Z82</f>
        <v>0.81689912580369461</v>
      </c>
      <c r="AA82" s="300">
        <f>'BTX Recycling HC'!AA82</f>
        <v>0.83594562278060491</v>
      </c>
      <c r="AB82" s="300">
        <f>'BTX Recycling HC'!AB82</f>
        <v>0.85236923910574136</v>
      </c>
      <c r="AC82" s="300">
        <f>'BTX Recycling HC'!AC82</f>
        <v>0.86611205438175864</v>
      </c>
      <c r="AD82" s="300">
        <f>'BTX Recycling HC'!AD82</f>
        <v>0.87710899202265891</v>
      </c>
      <c r="AE82" s="300">
        <f>'BTX Recycling HC'!AE82</f>
        <v>0.88529558181114398</v>
      </c>
      <c r="AF82" s="300">
        <f>'BTX Recycling HC'!AF82</f>
        <v>0.89060800970860354</v>
      </c>
      <c r="AG82" s="300">
        <f>'BTX Recycling HC'!AG82</f>
        <v>0.89298316781450082</v>
      </c>
      <c r="AH82" s="245"/>
      <c r="AI82" s="423"/>
      <c r="AJ82" s="424"/>
      <c r="AL82" s="221"/>
      <c r="AM82" s="124"/>
      <c r="AN82" s="124"/>
      <c r="AO82" s="124"/>
      <c r="BD82" s="124"/>
      <c r="BE82" s="124"/>
      <c r="BF82" s="124"/>
      <c r="BG82" s="124"/>
      <c r="BH82" s="124"/>
      <c r="BI82" s="124"/>
      <c r="BJ82" s="124"/>
      <c r="BK82" s="124"/>
    </row>
    <row r="83" spans="1:63" outlineLevel="1">
      <c r="A83" s="4" t="s">
        <v>474</v>
      </c>
      <c r="C83" s="230">
        <f>C$82*'BTX recycling rates'!E42</f>
        <v>0.39936491999557455</v>
      </c>
      <c r="D83" s="230">
        <f>D$82*'BTX recycling rates'!F42</f>
        <v>0.41260630250582875</v>
      </c>
      <c r="E83" s="230">
        <f>E$82*'BTX recycling rates'!G42</f>
        <v>0.4244567988000606</v>
      </c>
      <c r="F83" s="230">
        <f>F$82*'BTX recycling rates'!H42</f>
        <v>0.43479679606931065</v>
      </c>
      <c r="G83" s="230">
        <f>G$82*'BTX recycling rates'!I42</f>
        <v>0.44352133134079286</v>
      </c>
      <c r="H83" s="230">
        <f>H$82*'BTX recycling rates'!J42</f>
        <v>0.45054180259296883</v>
      </c>
      <c r="I83" s="230">
        <f>I$82*'BTX recycling rates'!K42</f>
        <v>0.45677076167933917</v>
      </c>
      <c r="J83" s="230">
        <f>J$82*'BTX recycling rates'!L42</f>
        <v>0.46218384517091393</v>
      </c>
      <c r="K83" s="230">
        <f>K$82*'BTX recycling rates'!M42</f>
        <v>0.46675898946583949</v>
      </c>
      <c r="L83" s="230">
        <f>L$82*'BTX recycling rates'!N42</f>
        <v>0.47047656259590326</v>
      </c>
      <c r="M83" s="230">
        <f>M$82*'BTX recycling rates'!O42</f>
        <v>0.47331948891279935</v>
      </c>
      <c r="N83" s="230">
        <f>N$82*'BTX recycling rates'!P42</f>
        <v>0.49013601031626292</v>
      </c>
      <c r="O83" s="230">
        <f>O$82*'BTX recycling rates'!Q42</f>
        <v>0.50458673965401502</v>
      </c>
      <c r="P83" s="230">
        <f>P$82*'BTX recycling rates'!R42</f>
        <v>0.51657835315520073</v>
      </c>
      <c r="Q83" s="230">
        <f>Q$82*'BTX recycling rates'!S42</f>
        <v>0.52604138312424065</v>
      </c>
      <c r="R83" s="230">
        <f>R$82*'BTX recycling rates'!T42</f>
        <v>0.53293101114807662</v>
      </c>
      <c r="S83" s="230">
        <f>S$82*'BTX recycling rates'!U42</f>
        <v>0.53819542458819336</v>
      </c>
      <c r="T83" s="230">
        <f>T$82*'BTX recycling rates'!V42</f>
        <v>0.54185669573551776</v>
      </c>
      <c r="U83" s="230">
        <f>U$82*'BTX recycling rates'!W42</f>
        <v>0.54393949471780667</v>
      </c>
      <c r="V83" s="230">
        <f>V$82*'BTX recycling rates'!X42</f>
        <v>0.54447109930846982</v>
      </c>
      <c r="W83" s="230">
        <f>W$82*'BTX recycling rates'!Y42</f>
        <v>0.5434814017989561</v>
      </c>
      <c r="X83" s="230">
        <f>X$82*'BTX recycling rates'!Z42</f>
        <v>0.55254621828123507</v>
      </c>
      <c r="Y83" s="230">
        <f>Y$82*'BTX recycling rates'!AA42</f>
        <v>0.55920176584289527</v>
      </c>
      <c r="Z83" s="230">
        <f>Z$82*'BTX recycling rates'!AB42</f>
        <v>0.56349805113204854</v>
      </c>
      <c r="AA83" s="230">
        <f>AA$82*'BTX recycling rates'!AC42</f>
        <v>0.5654890695527196</v>
      </c>
      <c r="AB83" s="230">
        <f>AB$82*'BTX recycling rates'!AD42</f>
        <v>0.56523280591566494</v>
      </c>
      <c r="AC83" s="230">
        <f>AC$82*'BTX recycling rates'!AE42</f>
        <v>0.5627965515687805</v>
      </c>
      <c r="AD83" s="230">
        <f>AD$82*'BTX recycling rates'!AF42</f>
        <v>0.55824613267976231</v>
      </c>
      <c r="AE83" s="230">
        <f>AE$82*'BTX recycling rates'!AG42</f>
        <v>0.55165122442856318</v>
      </c>
      <c r="AF83" s="230">
        <f>AF$82*'BTX recycling rates'!AH42</f>
        <v>0.54308534095167726</v>
      </c>
      <c r="AG83" s="234">
        <f>AG$82*'BTX recycling rates'!AI42</f>
        <v>0.53262582139025494</v>
      </c>
      <c r="AH83" s="245"/>
      <c r="AI83" s="133"/>
      <c r="AJ83" s="211"/>
      <c r="AL83" s="108"/>
      <c r="AM83" s="2"/>
      <c r="AN83" s="2"/>
      <c r="AO83" s="2"/>
      <c r="BC83" s="1"/>
      <c r="BD83" s="2"/>
      <c r="BE83" s="2"/>
      <c r="BF83" s="2"/>
      <c r="BG83" s="2"/>
      <c r="BH83" s="2"/>
      <c r="BI83" s="2"/>
      <c r="BJ83" s="2"/>
      <c r="BK83" s="2"/>
    </row>
    <row r="84" spans="1:63" outlineLevel="1">
      <c r="A84" s="4" t="s">
        <v>478</v>
      </c>
      <c r="C84" s="230">
        <f>C$82*'BTX recycling rates'!E43</f>
        <v>1.4007815672026295E-3</v>
      </c>
      <c r="D84" s="230">
        <f>D$82*'BTX recycling rates'!F43</f>
        <v>5.9324800607190083E-3</v>
      </c>
      <c r="E84" s="230">
        <f>E$82*'BTX recycling rates'!G43</f>
        <v>1.084382687520893E-2</v>
      </c>
      <c r="F84" s="230">
        <f>F$82*'BTX recycling rates'!H43</f>
        <v>1.6099851649068166E-2</v>
      </c>
      <c r="G84" s="230">
        <f>G$82*'BTX recycling rates'!I43</f>
        <v>2.1658923816608968E-2</v>
      </c>
      <c r="H84" s="230">
        <f>H$82*'BTX recycling rates'!J43</f>
        <v>2.747321762125203E-2</v>
      </c>
      <c r="I84" s="230">
        <f>I$82*'BTX recycling rates'!K43</f>
        <v>3.3561569586952729E-2</v>
      </c>
      <c r="J84" s="230">
        <f>J$82*'BTX recycling rates'!L43</f>
        <v>3.9906039101030834E-2</v>
      </c>
      <c r="K84" s="230">
        <f>K$82*'BTX recycling rates'!M43</f>
        <v>4.6486673785329863E-2</v>
      </c>
      <c r="L84" s="230">
        <f>L$82*'BTX recycling rates'!N43</f>
        <v>5.3281510990640414E-2</v>
      </c>
      <c r="M84" s="230">
        <f>M$82*'BTX recycling rates'!O43</f>
        <v>6.0266588272358979E-2</v>
      </c>
      <c r="N84" s="230">
        <f>N$82*'BTX recycling rates'!P43</f>
        <v>6.9524180308899702E-2</v>
      </c>
      <c r="O84" s="230">
        <f>O$82*'BTX recycling rates'!Q43</f>
        <v>7.9133751182046519E-2</v>
      </c>
      <c r="P84" s="230">
        <f>P$82*'BTX recycling rates'!R43</f>
        <v>8.9004580245355069E-2</v>
      </c>
      <c r="Q84" s="230">
        <f>Q$82*'BTX recycling rates'!S43</f>
        <v>9.9039557839561712E-2</v>
      </c>
      <c r="R84" s="230">
        <f>R$82*'BTX recycling rates'!T43</f>
        <v>0.10913640645615923</v>
      </c>
      <c r="S84" s="230">
        <f>S$82*'BTX recycling rates'!U43</f>
        <v>0.11940375440802706</v>
      </c>
      <c r="T84" s="230">
        <f>T$82*'BTX recycling rates'!V43</f>
        <v>0.12978835466208788</v>
      </c>
      <c r="U84" s="230">
        <f>U$82*'BTX recycling rates'!W43</f>
        <v>0.14023511735350827</v>
      </c>
      <c r="V84" s="230">
        <f>V$82*'BTX recycling rates'!X43</f>
        <v>0.15068713314964916</v>
      </c>
      <c r="W84" s="230">
        <f>W$82*'BTX recycling rates'!Y43</f>
        <v>0.16108569916318449</v>
      </c>
      <c r="X84" s="230">
        <f>X$82*'BTX recycling rates'!Z43</f>
        <v>0.175026853165242</v>
      </c>
      <c r="Y84" s="230">
        <f>Y$82*'BTX recycling rates'!AA43</f>
        <v>0.18895705177834096</v>
      </c>
      <c r="Z84" s="230">
        <f>Z$82*'BTX recycling rates'!AB43</f>
        <v>0.20278215966195554</v>
      </c>
      <c r="AA84" s="230">
        <f>AA$82*'BTX recycling rates'!AC43</f>
        <v>0.21640529171662576</v>
      </c>
      <c r="AB84" s="230">
        <f>AB$82*'BTX recycling rates'!AD43</f>
        <v>0.2297268568976395</v>
      </c>
      <c r="AC84" s="230">
        <f>AC$82*'BTX recycling rates'!AE43</f>
        <v>0.24264689966085656</v>
      </c>
      <c r="AD84" s="230">
        <f>AD$82*'BTX recycling rates'!AF43</f>
        <v>0.25506091818074567</v>
      </c>
      <c r="AE84" s="230">
        <f>AE$82*'BTX recycling rates'!AG43</f>
        <v>0.26686182354254412</v>
      </c>
      <c r="AF84" s="230">
        <f>AF$82*'BTX recycling rates'!AH43</f>
        <v>0.27793998754819355</v>
      </c>
      <c r="AG84" s="234">
        <f>AG$82*'BTX recycling rates'!AI43</f>
        <v>0.28818329375060242</v>
      </c>
      <c r="AH84" s="245"/>
      <c r="AI84" s="133"/>
      <c r="AJ84" s="211"/>
      <c r="AL84" s="108"/>
      <c r="AM84" s="2"/>
      <c r="AN84" s="2"/>
      <c r="AO84" s="2"/>
      <c r="BC84" s="1"/>
      <c r="BD84" s="2"/>
      <c r="BE84" s="2"/>
      <c r="BF84" s="2"/>
      <c r="BG84" s="2"/>
      <c r="BH84" s="2"/>
      <c r="BI84" s="2"/>
      <c r="BJ84" s="2"/>
      <c r="BK84" s="2"/>
    </row>
    <row r="85" spans="1:63" outlineLevel="1">
      <c r="A85" s="4" t="s">
        <v>745</v>
      </c>
      <c r="C85" s="230">
        <f>C$82*'BTX recycling rates'!E44</f>
        <v>0</v>
      </c>
      <c r="D85" s="230">
        <f>D$82*'BTX recycling rates'!F44</f>
        <v>1.040856612555524E-3</v>
      </c>
      <c r="E85" s="230">
        <f>E$82*'BTX recycling rates'!G44</f>
        <v>2.170947268118071E-3</v>
      </c>
      <c r="F85" s="230">
        <f>F$82*'BTX recycling rates'!H44</f>
        <v>3.3822540381710903E-3</v>
      </c>
      <c r="G85" s="230">
        <f>G$82*'BTX recycling rates'!I44</f>
        <v>4.6652014901119535E-3</v>
      </c>
      <c r="H85" s="230">
        <f>H$82*'BTX recycling rates'!J44</f>
        <v>6.0087632063172995E-3</v>
      </c>
      <c r="I85" s="230">
        <f>I$82*'BTX recycling rates'!K44</f>
        <v>7.4165676435522486E-3</v>
      </c>
      <c r="J85" s="230">
        <f>J$82*'BTX recycling rates'!L44</f>
        <v>8.8844712999170405E-3</v>
      </c>
      <c r="K85" s="230">
        <f>K$82*'BTX recycling rates'!M44</f>
        <v>1.040786194740342E-2</v>
      </c>
      <c r="L85" s="230">
        <f>L$82*'BTX recycling rates'!N44</f>
        <v>1.1981658871407804E-2</v>
      </c>
      <c r="M85" s="230">
        <f>M$82*'BTX recycling rates'!O44</f>
        <v>1.3600315200242741E-2</v>
      </c>
      <c r="N85" s="230">
        <f>N$82*'BTX recycling rates'!P44</f>
        <v>1.5734961658352465E-2</v>
      </c>
      <c r="O85" s="230">
        <f>O$82*'BTX recycling rates'!Q44</f>
        <v>1.7953214662865074E-2</v>
      </c>
      <c r="P85" s="230">
        <f>P$82*'BTX recycling rates'!R44</f>
        <v>2.0234097369482628E-2</v>
      </c>
      <c r="Q85" s="230">
        <f>Q$82*'BTX recycling rates'!S44</f>
        <v>2.2555130869450581E-2</v>
      </c>
      <c r="R85" s="230">
        <f>R$82*'BTX recycling rates'!T44</f>
        <v>2.4892616929466725E-2</v>
      </c>
      <c r="S85" s="230">
        <f>S$82*'BTX recycling rates'!U44</f>
        <v>2.727099225422442E-2</v>
      </c>
      <c r="T85" s="230">
        <f>T$82*'BTX recycling rates'!V44</f>
        <v>2.9677882269597271E-2</v>
      </c>
      <c r="U85" s="230">
        <f>U$82*'BTX recycling rates'!W44</f>
        <v>3.2100482635863174E-2</v>
      </c>
      <c r="V85" s="230">
        <f>V$82*'BTX recycling rates'!X44</f>
        <v>3.4525564661603225E-2</v>
      </c>
      <c r="W85" s="230">
        <f>W$82*'BTX recycling rates'!Y44</f>
        <v>3.6939481311555625E-2</v>
      </c>
      <c r="X85" s="230">
        <f>X$82*'BTX recycling rates'!Z44</f>
        <v>4.0167313693958144E-2</v>
      </c>
      <c r="Y85" s="230">
        <f>Y$82*'BTX recycling rates'!AA44</f>
        <v>4.3394564802295019E-2</v>
      </c>
      <c r="Z85" s="230">
        <f>Z$82*'BTX recycling rates'!AB44</f>
        <v>4.6599348706266093E-2</v>
      </c>
      <c r="AA85" s="230">
        <f>AA$82*'BTX recycling rates'!AC44</f>
        <v>4.9759138114567933E-2</v>
      </c>
      <c r="AB85" s="230">
        <f>AB$82*'BTX recycling rates'!AD44</f>
        <v>5.2850774541850734E-2</v>
      </c>
      <c r="AC85" s="230">
        <f>AC$82*'BTX recycling rates'!AE44</f>
        <v>5.5851007341160171E-2</v>
      </c>
      <c r="AD85" s="230">
        <f>AD$82*'BTX recycling rates'!AF44</f>
        <v>5.8735532039407956E-2</v>
      </c>
      <c r="AE85" s="230">
        <f>AE$82*'BTX recycling rates'!AG44</f>
        <v>6.1479440665690298E-2</v>
      </c>
      <c r="AF85" s="230">
        <f>AF$82*'BTX recycling rates'!AH44</f>
        <v>6.4057232853409474E-2</v>
      </c>
      <c r="AG85" s="234">
        <f>AG$82*'BTX recycling rates'!AI44</f>
        <v>6.6442827694738554E-2</v>
      </c>
      <c r="AH85" s="245"/>
      <c r="AI85" s="133"/>
      <c r="AJ85" s="211"/>
      <c r="AL85" s="108"/>
      <c r="AM85" s="2"/>
      <c r="AN85" s="2"/>
      <c r="AO85" s="2"/>
      <c r="BC85" s="1"/>
      <c r="BD85" s="2"/>
      <c r="BE85" s="2"/>
      <c r="BF85" s="2"/>
      <c r="BG85" s="2"/>
      <c r="BH85" s="2"/>
      <c r="BI85" s="2"/>
      <c r="BJ85" s="2"/>
      <c r="BK85" s="2"/>
    </row>
    <row r="86" spans="1:63" outlineLevel="1">
      <c r="A86" s="4" t="s">
        <v>1561</v>
      </c>
      <c r="C86" s="230">
        <f>C$82*'BTX recycling rates'!E45</f>
        <v>0</v>
      </c>
      <c r="D86" s="230">
        <f>D$82*'BTX recycling rates'!F45</f>
        <v>8.9782202598958486E-5</v>
      </c>
      <c r="E86" s="230">
        <f>E$82*'BTX recycling rates'!G45</f>
        <v>1.8726155467205103E-4</v>
      </c>
      <c r="F86" s="230">
        <f>F$82*'BTX recycling rates'!H45</f>
        <v>2.9174644579588844E-4</v>
      </c>
      <c r="G86" s="230">
        <f>G$82*'BTX recycling rates'!I45</f>
        <v>4.0241091837022933E-4</v>
      </c>
      <c r="H86" s="230">
        <f>H$82*'BTX recycling rates'!J45</f>
        <v>5.1830385573879299E-4</v>
      </c>
      <c r="I86" s="230">
        <f>I$82*'BTX recycling rates'!K45</f>
        <v>6.397382413005203E-4</v>
      </c>
      <c r="J86" s="230">
        <f>J$82*'BTX recycling rates'!L45</f>
        <v>7.6635666489675359E-4</v>
      </c>
      <c r="K86" s="230">
        <f>K$82*'BTX recycling rates'!M45</f>
        <v>8.9776128499535952E-4</v>
      </c>
      <c r="L86" s="230">
        <f>L$82*'BTX recycling rates'!N45</f>
        <v>1.0335138493506554E-3</v>
      </c>
      <c r="M86" s="230">
        <f>M$82*'BTX recycling rates'!O45</f>
        <v>1.1731358959423922E-3</v>
      </c>
      <c r="N86" s="230">
        <f>N$82*'BTX recycling rates'!P45</f>
        <v>1.3572662155919035E-3</v>
      </c>
      <c r="O86" s="230">
        <f>O$82*'BTX recycling rates'!Q45</f>
        <v>1.548608268151785E-3</v>
      </c>
      <c r="P86" s="230">
        <f>P$82*'BTX recycling rates'!R45</f>
        <v>1.7453526331294091E-3</v>
      </c>
      <c r="Q86" s="230">
        <f>Q$82*'BTX recycling rates'!S45</f>
        <v>1.9455603249664785E-3</v>
      </c>
      <c r="R86" s="230">
        <f>R$82*'BTX recycling rates'!T45</f>
        <v>2.1471871816161649E-3</v>
      </c>
      <c r="S86" s="230">
        <f>S$82*'BTX recycling rates'!U45</f>
        <v>2.3523410641855258E-3</v>
      </c>
      <c r="T86" s="230">
        <f>T$82*'BTX recycling rates'!V45</f>
        <v>2.5599545667438213E-3</v>
      </c>
      <c r="U86" s="230">
        <f>U$82*'BTX recycling rates'!W45</f>
        <v>2.7689232126424834E-3</v>
      </c>
      <c r="V86" s="230">
        <f>V$82*'BTX recycling rates'!X45</f>
        <v>2.97810592150717E-3</v>
      </c>
      <c r="W86" s="230">
        <f>W$82*'BTX recycling rates'!Y45</f>
        <v>3.1863255274631867E-3</v>
      </c>
      <c r="X86" s="230">
        <f>X$82*'BTX recycling rates'!Z45</f>
        <v>3.4647518711271967E-3</v>
      </c>
      <c r="Y86" s="230">
        <f>Y$82*'BTX recycling rates'!AA45</f>
        <v>3.7431280752568095E-3</v>
      </c>
      <c r="Z86" s="230">
        <f>Z$82*'BTX recycling rates'!AB45</f>
        <v>4.019566303425209E-3</v>
      </c>
      <c r="AA86" s="230">
        <f>AA$82*'BTX recycling rates'!AC45</f>
        <v>4.2921233966925253E-3</v>
      </c>
      <c r="AB86" s="230">
        <f>AB$82*'BTX recycling rates'!AD45</f>
        <v>4.5588017505871327E-3</v>
      </c>
      <c r="AC86" s="230">
        <f>AC$82*'BTX recycling rates'!AE45</f>
        <v>4.817595810962352E-3</v>
      </c>
      <c r="AD86" s="230">
        <f>AD$82*'BTX recycling rates'!AF45</f>
        <v>5.0664091227440146E-3</v>
      </c>
      <c r="AE86" s="230">
        <f>AE$82*'BTX recycling rates'!AG45</f>
        <v>5.3030931743474905E-3</v>
      </c>
      <c r="AF86" s="230">
        <f>AF$82*'BTX recycling rates'!AH45</f>
        <v>5.5254483553244188E-3</v>
      </c>
      <c r="AG86" s="234">
        <f>AG$82*'BTX recycling rates'!AI45</f>
        <v>5.7312249789050421E-3</v>
      </c>
      <c r="AH86" s="245"/>
      <c r="AI86" s="133"/>
      <c r="AJ86" s="211"/>
      <c r="AL86" s="108"/>
      <c r="AM86" s="2"/>
      <c r="AN86" s="2"/>
      <c r="AO86" s="2"/>
      <c r="BC86" s="1"/>
      <c r="BD86" s="2"/>
      <c r="BE86" s="2"/>
      <c r="BF86" s="2"/>
      <c r="BG86" s="2"/>
      <c r="BH86" s="2"/>
      <c r="BI86" s="2"/>
      <c r="BJ86" s="2"/>
      <c r="BK86" s="2"/>
    </row>
    <row r="87" spans="1:63" s="1" customFormat="1" outlineLevel="1">
      <c r="A87" s="1" t="s">
        <v>1564</v>
      </c>
      <c r="B87" s="65"/>
      <c r="C87" s="300">
        <f>C82-$C82</f>
        <v>0</v>
      </c>
      <c r="D87" s="300">
        <f t="shared" ref="D87:AG87" si="40">D82-$C82</f>
        <v>1.890371981892508E-2</v>
      </c>
      <c r="E87" s="300">
        <f t="shared" si="40"/>
        <v>3.6893132935282458E-2</v>
      </c>
      <c r="F87" s="300">
        <f t="shared" si="40"/>
        <v>5.3804946639568585E-2</v>
      </c>
      <c r="G87" s="300">
        <f t="shared" si="40"/>
        <v>6.9482166003106749E-2</v>
      </c>
      <c r="H87" s="300">
        <f t="shared" si="40"/>
        <v>8.3776385713499657E-2</v>
      </c>
      <c r="I87" s="300">
        <f t="shared" si="40"/>
        <v>9.7622935588367377E-2</v>
      </c>
      <c r="J87" s="300">
        <f t="shared" si="40"/>
        <v>0.11097501067398124</v>
      </c>
      <c r="K87" s="300">
        <f t="shared" si="40"/>
        <v>0.12378558492079078</v>
      </c>
      <c r="L87" s="300">
        <f t="shared" si="40"/>
        <v>0.13600754474452476</v>
      </c>
      <c r="M87" s="300">
        <f t="shared" si="40"/>
        <v>0.14759382671856608</v>
      </c>
      <c r="N87" s="300">
        <f t="shared" si="40"/>
        <v>0.17598671693632956</v>
      </c>
      <c r="O87" s="300">
        <f t="shared" si="40"/>
        <v>0.20245661220430095</v>
      </c>
      <c r="P87" s="300">
        <f t="shared" si="40"/>
        <v>0.22679668184039031</v>
      </c>
      <c r="Q87" s="300">
        <f t="shared" si="40"/>
        <v>0.24881593059544188</v>
      </c>
      <c r="R87" s="300">
        <f t="shared" si="40"/>
        <v>0.26834152015254115</v>
      </c>
      <c r="S87" s="300">
        <f t="shared" si="40"/>
        <v>0.28645681075185275</v>
      </c>
      <c r="T87" s="300">
        <f t="shared" si="40"/>
        <v>0.30311718567116902</v>
      </c>
      <c r="U87" s="300">
        <f t="shared" si="40"/>
        <v>0.3182783163570429</v>
      </c>
      <c r="V87" s="300">
        <f t="shared" si="40"/>
        <v>0.33189620147845161</v>
      </c>
      <c r="W87" s="300">
        <f t="shared" si="40"/>
        <v>0.34392720623838163</v>
      </c>
      <c r="X87" s="300">
        <f t="shared" si="40"/>
        <v>0.3704394354487846</v>
      </c>
      <c r="Y87" s="300">
        <f t="shared" si="40"/>
        <v>0.39453080893601017</v>
      </c>
      <c r="Z87" s="300">
        <f t="shared" si="40"/>
        <v>0.41613342424091743</v>
      </c>
      <c r="AA87" s="300">
        <f t="shared" si="40"/>
        <v>0.43517992121782773</v>
      </c>
      <c r="AB87" s="300">
        <f t="shared" si="40"/>
        <v>0.45160353754296417</v>
      </c>
      <c r="AC87" s="300">
        <f t="shared" si="40"/>
        <v>0.46534635281898146</v>
      </c>
      <c r="AD87" s="300">
        <f t="shared" si="40"/>
        <v>0.47634329045988172</v>
      </c>
      <c r="AE87" s="300">
        <f t="shared" si="40"/>
        <v>0.4845298802483668</v>
      </c>
      <c r="AF87" s="300">
        <f t="shared" si="40"/>
        <v>0.48984230814582636</v>
      </c>
      <c r="AG87" s="300">
        <f t="shared" si="40"/>
        <v>0.49221746625172363</v>
      </c>
      <c r="AH87" s="245"/>
      <c r="AI87" s="423"/>
      <c r="AJ87" s="424"/>
      <c r="AL87" s="221"/>
      <c r="AM87" s="124"/>
      <c r="AN87" s="124"/>
      <c r="AO87" s="124"/>
      <c r="BD87" s="124"/>
      <c r="BE87" s="124"/>
      <c r="BF87" s="124"/>
      <c r="BG87" s="124"/>
      <c r="BH87" s="124"/>
      <c r="BI87" s="124"/>
      <c r="BJ87" s="124"/>
      <c r="BK87" s="124"/>
    </row>
    <row r="88" spans="1:63" outlineLevel="1">
      <c r="A88" s="4" t="s">
        <v>474</v>
      </c>
      <c r="C88" s="230">
        <f>C83-$C83</f>
        <v>0</v>
      </c>
      <c r="D88" s="230">
        <f t="shared" ref="D88:AG88" si="41">D83-$C83</f>
        <v>1.3241382510254196E-2</v>
      </c>
      <c r="E88" s="230">
        <f t="shared" si="41"/>
        <v>2.5091878804486045E-2</v>
      </c>
      <c r="F88" s="230">
        <f t="shared" si="41"/>
        <v>3.5431876073736102E-2</v>
      </c>
      <c r="G88" s="230">
        <f t="shared" si="41"/>
        <v>4.4156411345218305E-2</v>
      </c>
      <c r="H88" s="230">
        <f t="shared" si="41"/>
        <v>5.117688259739428E-2</v>
      </c>
      <c r="I88" s="230">
        <f t="shared" si="41"/>
        <v>5.7405841683764613E-2</v>
      </c>
      <c r="J88" s="230">
        <f t="shared" si="41"/>
        <v>6.281892517533938E-2</v>
      </c>
      <c r="K88" s="230">
        <f t="shared" si="41"/>
        <v>6.7394069470264939E-2</v>
      </c>
      <c r="L88" s="230">
        <f t="shared" si="41"/>
        <v>7.1111642600328706E-2</v>
      </c>
      <c r="M88" s="230">
        <f t="shared" si="41"/>
        <v>7.3954568917224794E-2</v>
      </c>
      <c r="N88" s="230">
        <f t="shared" si="41"/>
        <v>9.0771090320688363E-2</v>
      </c>
      <c r="O88" s="230">
        <f t="shared" si="41"/>
        <v>0.10522181965844046</v>
      </c>
      <c r="P88" s="230">
        <f t="shared" si="41"/>
        <v>0.11721343315962618</v>
      </c>
      <c r="Q88" s="230">
        <f t="shared" si="41"/>
        <v>0.12667646312866609</v>
      </c>
      <c r="R88" s="230">
        <f t="shared" si="41"/>
        <v>0.13356609115250206</v>
      </c>
      <c r="S88" s="230">
        <f t="shared" si="41"/>
        <v>0.13883050459261881</v>
      </c>
      <c r="T88" s="230">
        <f t="shared" si="41"/>
        <v>0.14249177573994321</v>
      </c>
      <c r="U88" s="230">
        <f t="shared" si="41"/>
        <v>0.14457457472223212</v>
      </c>
      <c r="V88" s="230">
        <f t="shared" si="41"/>
        <v>0.14510617931289527</v>
      </c>
      <c r="W88" s="230">
        <f t="shared" si="41"/>
        <v>0.14411648180338155</v>
      </c>
      <c r="X88" s="230">
        <f t="shared" si="41"/>
        <v>0.15318129828566052</v>
      </c>
      <c r="Y88" s="230">
        <f t="shared" si="41"/>
        <v>0.15983684584732072</v>
      </c>
      <c r="Z88" s="230">
        <f t="shared" si="41"/>
        <v>0.16413313113647399</v>
      </c>
      <c r="AA88" s="230">
        <f t="shared" si="41"/>
        <v>0.16612414955714505</v>
      </c>
      <c r="AB88" s="230">
        <f t="shared" si="41"/>
        <v>0.16586788592009039</v>
      </c>
      <c r="AC88" s="230">
        <f t="shared" si="41"/>
        <v>0.16343163157320595</v>
      </c>
      <c r="AD88" s="230">
        <f t="shared" si="41"/>
        <v>0.15888121268418776</v>
      </c>
      <c r="AE88" s="230">
        <f t="shared" si="41"/>
        <v>0.15228630443298863</v>
      </c>
      <c r="AF88" s="230">
        <f t="shared" si="41"/>
        <v>0.14372042095610271</v>
      </c>
      <c r="AG88" s="230">
        <f t="shared" si="41"/>
        <v>0.13326090139468039</v>
      </c>
      <c r="AH88" s="245"/>
      <c r="AI88" s="133"/>
      <c r="AJ88" s="211"/>
      <c r="AL88" s="108"/>
      <c r="AM88" s="2"/>
      <c r="AN88" s="2"/>
      <c r="AO88" s="2"/>
      <c r="BC88" s="1"/>
      <c r="BD88" s="2"/>
      <c r="BE88" s="2"/>
      <c r="BF88" s="2"/>
      <c r="BG88" s="2"/>
      <c r="BH88" s="2"/>
      <c r="BI88" s="2"/>
      <c r="BJ88" s="2"/>
      <c r="BK88" s="2"/>
    </row>
    <row r="89" spans="1:63" outlineLevel="1">
      <c r="A89" s="4" t="s">
        <v>478</v>
      </c>
      <c r="C89" s="230">
        <f t="shared" ref="C89:AG91" si="42">C84-$C84</f>
        <v>0</v>
      </c>
      <c r="D89" s="230">
        <f t="shared" si="42"/>
        <v>4.5316984935163786E-3</v>
      </c>
      <c r="E89" s="230">
        <f t="shared" si="42"/>
        <v>9.4430453080063016E-3</v>
      </c>
      <c r="F89" s="230">
        <f t="shared" si="42"/>
        <v>1.4699070081865537E-2</v>
      </c>
      <c r="G89" s="230">
        <f t="shared" si="42"/>
        <v>2.0258142249406339E-2</v>
      </c>
      <c r="H89" s="230">
        <f t="shared" si="42"/>
        <v>2.6072436054049401E-2</v>
      </c>
      <c r="I89" s="230">
        <f t="shared" si="42"/>
        <v>3.21607880197501E-2</v>
      </c>
      <c r="J89" s="230">
        <f t="shared" si="42"/>
        <v>3.8505257533828205E-2</v>
      </c>
      <c r="K89" s="230">
        <f t="shared" si="42"/>
        <v>4.5085892218127234E-2</v>
      </c>
      <c r="L89" s="230">
        <f t="shared" si="42"/>
        <v>5.1880729423437785E-2</v>
      </c>
      <c r="M89" s="230">
        <f t="shared" si="42"/>
        <v>5.886580670515635E-2</v>
      </c>
      <c r="N89" s="230">
        <f t="shared" si="42"/>
        <v>6.8123398741697067E-2</v>
      </c>
      <c r="O89" s="230">
        <f t="shared" si="42"/>
        <v>7.7732969614843883E-2</v>
      </c>
      <c r="P89" s="230">
        <f t="shared" si="42"/>
        <v>8.7603798678152434E-2</v>
      </c>
      <c r="Q89" s="230">
        <f t="shared" si="42"/>
        <v>9.7638776272359076E-2</v>
      </c>
      <c r="R89" s="230">
        <f t="shared" si="42"/>
        <v>0.10773562488895659</v>
      </c>
      <c r="S89" s="230">
        <f t="shared" si="42"/>
        <v>0.11800297284082442</v>
      </c>
      <c r="T89" s="230">
        <f t="shared" si="42"/>
        <v>0.12838757309488524</v>
      </c>
      <c r="U89" s="230">
        <f t="shared" si="42"/>
        <v>0.13883433578630563</v>
      </c>
      <c r="V89" s="230">
        <f t="shared" si="42"/>
        <v>0.14928635158244652</v>
      </c>
      <c r="W89" s="230">
        <f t="shared" si="42"/>
        <v>0.15968491759598186</v>
      </c>
      <c r="X89" s="230">
        <f t="shared" si="42"/>
        <v>0.17362607159803936</v>
      </c>
      <c r="Y89" s="230">
        <f t="shared" si="42"/>
        <v>0.18755627021113833</v>
      </c>
      <c r="Z89" s="230">
        <f t="shared" si="42"/>
        <v>0.2013813780947529</v>
      </c>
      <c r="AA89" s="230">
        <f t="shared" si="42"/>
        <v>0.21500451014942312</v>
      </c>
      <c r="AB89" s="230">
        <f t="shared" si="42"/>
        <v>0.22832607533043686</v>
      </c>
      <c r="AC89" s="230">
        <f t="shared" si="42"/>
        <v>0.24124611809365393</v>
      </c>
      <c r="AD89" s="230">
        <f t="shared" si="42"/>
        <v>0.25366013661354303</v>
      </c>
      <c r="AE89" s="230">
        <f t="shared" si="42"/>
        <v>0.26546104197534148</v>
      </c>
      <c r="AF89" s="230">
        <f t="shared" si="42"/>
        <v>0.27653920598099091</v>
      </c>
      <c r="AG89" s="230">
        <f t="shared" si="42"/>
        <v>0.28678251218339978</v>
      </c>
      <c r="AH89" s="245"/>
      <c r="AI89" s="133"/>
      <c r="AJ89" s="211"/>
      <c r="AL89" s="108"/>
      <c r="AM89" s="2"/>
      <c r="AN89" s="2"/>
      <c r="AO89" s="2"/>
      <c r="BC89" s="1"/>
      <c r="BD89" s="2"/>
      <c r="BE89" s="2"/>
      <c r="BF89" s="2"/>
      <c r="BG89" s="2"/>
      <c r="BH89" s="2"/>
      <c r="BI89" s="2"/>
      <c r="BJ89" s="2"/>
      <c r="BK89" s="2"/>
    </row>
    <row r="90" spans="1:63" outlineLevel="1">
      <c r="A90" s="4" t="s">
        <v>745</v>
      </c>
      <c r="C90" s="230">
        <f t="shared" si="42"/>
        <v>0</v>
      </c>
      <c r="D90" s="230">
        <f t="shared" si="42"/>
        <v>1.040856612555524E-3</v>
      </c>
      <c r="E90" s="230">
        <f t="shared" si="42"/>
        <v>2.170947268118071E-3</v>
      </c>
      <c r="F90" s="230">
        <f t="shared" si="42"/>
        <v>3.3822540381710903E-3</v>
      </c>
      <c r="G90" s="230">
        <f t="shared" si="42"/>
        <v>4.6652014901119535E-3</v>
      </c>
      <c r="H90" s="230">
        <f t="shared" si="42"/>
        <v>6.0087632063172995E-3</v>
      </c>
      <c r="I90" s="230">
        <f t="shared" si="42"/>
        <v>7.4165676435522486E-3</v>
      </c>
      <c r="J90" s="230">
        <f t="shared" si="42"/>
        <v>8.8844712999170405E-3</v>
      </c>
      <c r="K90" s="230">
        <f t="shared" si="42"/>
        <v>1.040786194740342E-2</v>
      </c>
      <c r="L90" s="230">
        <f t="shared" si="42"/>
        <v>1.1981658871407804E-2</v>
      </c>
      <c r="M90" s="230">
        <f t="shared" si="42"/>
        <v>1.3600315200242741E-2</v>
      </c>
      <c r="N90" s="230">
        <f t="shared" si="42"/>
        <v>1.5734961658352465E-2</v>
      </c>
      <c r="O90" s="230">
        <f t="shared" si="42"/>
        <v>1.7953214662865074E-2</v>
      </c>
      <c r="P90" s="230">
        <f t="shared" si="42"/>
        <v>2.0234097369482628E-2</v>
      </c>
      <c r="Q90" s="230">
        <f t="shared" si="42"/>
        <v>2.2555130869450581E-2</v>
      </c>
      <c r="R90" s="230">
        <f t="shared" si="42"/>
        <v>2.4892616929466725E-2</v>
      </c>
      <c r="S90" s="230">
        <f t="shared" si="42"/>
        <v>2.727099225422442E-2</v>
      </c>
      <c r="T90" s="230">
        <f t="shared" si="42"/>
        <v>2.9677882269597271E-2</v>
      </c>
      <c r="U90" s="230">
        <f t="shared" si="42"/>
        <v>3.2100482635863174E-2</v>
      </c>
      <c r="V90" s="230">
        <f t="shared" si="42"/>
        <v>3.4525564661603225E-2</v>
      </c>
      <c r="W90" s="230">
        <f t="shared" si="42"/>
        <v>3.6939481311555625E-2</v>
      </c>
      <c r="X90" s="230">
        <f t="shared" si="42"/>
        <v>4.0167313693958144E-2</v>
      </c>
      <c r="Y90" s="230">
        <f t="shared" si="42"/>
        <v>4.3394564802295019E-2</v>
      </c>
      <c r="Z90" s="230">
        <f t="shared" si="42"/>
        <v>4.6599348706266093E-2</v>
      </c>
      <c r="AA90" s="230">
        <f t="shared" si="42"/>
        <v>4.9759138114567933E-2</v>
      </c>
      <c r="AB90" s="230">
        <f t="shared" si="42"/>
        <v>5.2850774541850734E-2</v>
      </c>
      <c r="AC90" s="230">
        <f t="shared" si="42"/>
        <v>5.5851007341160171E-2</v>
      </c>
      <c r="AD90" s="230">
        <f t="shared" si="42"/>
        <v>5.8735532039407956E-2</v>
      </c>
      <c r="AE90" s="230">
        <f t="shared" si="42"/>
        <v>6.1479440665690298E-2</v>
      </c>
      <c r="AF90" s="230">
        <f t="shared" si="42"/>
        <v>6.4057232853409474E-2</v>
      </c>
      <c r="AG90" s="230">
        <f t="shared" si="42"/>
        <v>6.6442827694738554E-2</v>
      </c>
      <c r="AH90" s="245"/>
      <c r="AI90" s="133"/>
      <c r="AJ90" s="211"/>
      <c r="AL90" s="108"/>
      <c r="AM90" s="2"/>
      <c r="AN90" s="2"/>
      <c r="AO90" s="2"/>
      <c r="BC90" s="1"/>
      <c r="BD90" s="2"/>
      <c r="BE90" s="2"/>
      <c r="BF90" s="2"/>
      <c r="BG90" s="2"/>
      <c r="BH90" s="2"/>
      <c r="BI90" s="2"/>
      <c r="BJ90" s="2"/>
      <c r="BK90" s="2"/>
    </row>
    <row r="91" spans="1:63" outlineLevel="1">
      <c r="A91" s="4" t="s">
        <v>1561</v>
      </c>
      <c r="C91" s="230">
        <f t="shared" si="42"/>
        <v>0</v>
      </c>
      <c r="D91" s="230">
        <f t="shared" si="42"/>
        <v>8.9782202598958486E-5</v>
      </c>
      <c r="E91" s="230">
        <f t="shared" si="42"/>
        <v>1.8726155467205103E-4</v>
      </c>
      <c r="F91" s="230">
        <f t="shared" si="42"/>
        <v>2.9174644579588844E-4</v>
      </c>
      <c r="G91" s="230">
        <f t="shared" si="42"/>
        <v>4.0241091837022933E-4</v>
      </c>
      <c r="H91" s="230">
        <f t="shared" si="42"/>
        <v>5.1830385573879299E-4</v>
      </c>
      <c r="I91" s="230">
        <f t="shared" si="42"/>
        <v>6.397382413005203E-4</v>
      </c>
      <c r="J91" s="230">
        <f t="shared" si="42"/>
        <v>7.6635666489675359E-4</v>
      </c>
      <c r="K91" s="230">
        <f t="shared" si="42"/>
        <v>8.9776128499535952E-4</v>
      </c>
      <c r="L91" s="230">
        <f t="shared" si="42"/>
        <v>1.0335138493506554E-3</v>
      </c>
      <c r="M91" s="230">
        <f t="shared" si="42"/>
        <v>1.1731358959423922E-3</v>
      </c>
      <c r="N91" s="230">
        <f t="shared" si="42"/>
        <v>1.3572662155919035E-3</v>
      </c>
      <c r="O91" s="230">
        <f t="shared" si="42"/>
        <v>1.548608268151785E-3</v>
      </c>
      <c r="P91" s="230">
        <f t="shared" si="42"/>
        <v>1.7453526331294091E-3</v>
      </c>
      <c r="Q91" s="230">
        <f t="shared" si="42"/>
        <v>1.9455603249664785E-3</v>
      </c>
      <c r="R91" s="230">
        <f t="shared" si="42"/>
        <v>2.1471871816161649E-3</v>
      </c>
      <c r="S91" s="230">
        <f t="shared" si="42"/>
        <v>2.3523410641855258E-3</v>
      </c>
      <c r="T91" s="230">
        <f t="shared" si="42"/>
        <v>2.5599545667438213E-3</v>
      </c>
      <c r="U91" s="230">
        <f t="shared" si="42"/>
        <v>2.7689232126424834E-3</v>
      </c>
      <c r="V91" s="230">
        <f t="shared" si="42"/>
        <v>2.97810592150717E-3</v>
      </c>
      <c r="W91" s="230">
        <f t="shared" si="42"/>
        <v>3.1863255274631867E-3</v>
      </c>
      <c r="X91" s="230">
        <f t="shared" si="42"/>
        <v>3.4647518711271967E-3</v>
      </c>
      <c r="Y91" s="230">
        <f t="shared" si="42"/>
        <v>3.7431280752568095E-3</v>
      </c>
      <c r="Z91" s="230">
        <f t="shared" si="42"/>
        <v>4.019566303425209E-3</v>
      </c>
      <c r="AA91" s="230">
        <f t="shared" si="42"/>
        <v>4.2921233966925253E-3</v>
      </c>
      <c r="AB91" s="230">
        <f t="shared" si="42"/>
        <v>4.5588017505871327E-3</v>
      </c>
      <c r="AC91" s="230">
        <f t="shared" si="42"/>
        <v>4.817595810962352E-3</v>
      </c>
      <c r="AD91" s="230">
        <f t="shared" si="42"/>
        <v>5.0664091227440146E-3</v>
      </c>
      <c r="AE91" s="230">
        <f t="shared" si="42"/>
        <v>5.3030931743474905E-3</v>
      </c>
      <c r="AF91" s="230">
        <f t="shared" si="42"/>
        <v>5.5254483553244188E-3</v>
      </c>
      <c r="AG91" s="230">
        <f t="shared" si="42"/>
        <v>5.7312249789050421E-3</v>
      </c>
      <c r="AH91" s="245"/>
      <c r="AI91" s="133"/>
      <c r="AJ91" s="211"/>
      <c r="AL91" s="108"/>
      <c r="AM91" s="2"/>
      <c r="AN91" s="2"/>
      <c r="AO91" s="2"/>
      <c r="BC91" s="1"/>
      <c r="BD91" s="2"/>
      <c r="BE91" s="2"/>
      <c r="BF91" s="2"/>
      <c r="BG91" s="2"/>
      <c r="BH91" s="2"/>
      <c r="BI91" s="2"/>
      <c r="BJ91" s="2"/>
      <c r="BK91" s="2"/>
    </row>
    <row r="92" spans="1:63" s="1" customFormat="1" outlineLevel="1">
      <c r="A92" s="1" t="s">
        <v>1565</v>
      </c>
      <c r="B92" s="65"/>
      <c r="C92" s="300">
        <f>'BTX Recycling HC'!C92</f>
        <v>5.6729413750912104E-4</v>
      </c>
      <c r="D92" s="300">
        <f>'BTX Recycling HC'!D92</f>
        <v>6.2570813980681369E-4</v>
      </c>
      <c r="E92" s="300">
        <f>'BTX Recycling HC'!E92</f>
        <v>6.8655528834308968E-4</v>
      </c>
      <c r="F92" s="300">
        <f>'BTX Recycling HC'!F92</f>
        <v>7.4981943102293705E-4</v>
      </c>
      <c r="G92" s="300">
        <f>'BTX Recycling HC'!G92</f>
        <v>8.1548441575134492E-4</v>
      </c>
      <c r="H92" s="300">
        <f>'BTX Recycling HC'!H92</f>
        <v>8.8353409043330142E-4</v>
      </c>
      <c r="I92" s="300">
        <f>'BTX Recycling HC'!I92</f>
        <v>9.5395230297379546E-4</v>
      </c>
      <c r="J92" s="300">
        <f>'BTX Recycling HC'!J92</f>
        <v>1.0267229012778151E-3</v>
      </c>
      <c r="K92" s="300">
        <f>'BTX Recycling HC'!K92</f>
        <v>1.101829733250349E-3</v>
      </c>
      <c r="L92" s="300">
        <f>'BTX Recycling HC'!L92</f>
        <v>1.179256646796386E-3</v>
      </c>
      <c r="M92" s="300">
        <f>'BTX Recycling HC'!M92</f>
        <v>1.2589874898209143E-3</v>
      </c>
      <c r="N92" s="300">
        <f>'BTX Recycling HC'!N92</f>
        <v>1.4337831185944471E-3</v>
      </c>
      <c r="O92" s="300">
        <f>'BTX Recycling HC'!O92</f>
        <v>1.6193476691253436E-3</v>
      </c>
      <c r="P92" s="300">
        <f>'BTX Recycling HC'!P92</f>
        <v>1.8156102312692156E-3</v>
      </c>
      <c r="Q92" s="300">
        <f>'BTX Recycling HC'!Q92</f>
        <v>2.0224998948816775E-3</v>
      </c>
      <c r="R92" s="300">
        <f>'BTX Recycling HC'!R92</f>
        <v>2.2399457498183399E-3</v>
      </c>
      <c r="S92" s="300">
        <f>'BTX Recycling HC'!S92</f>
        <v>2.4678768859348159E-3</v>
      </c>
      <c r="T92" s="300">
        <f>'BTX Recycling HC'!T92</f>
        <v>2.7062223930867184E-3</v>
      </c>
      <c r="U92" s="300">
        <f>'BTX Recycling HC'!U92</f>
        <v>2.9549113611296593E-3</v>
      </c>
      <c r="V92" s="300">
        <f>'BTX Recycling HC'!V92</f>
        <v>3.213872879919252E-3</v>
      </c>
      <c r="W92" s="300">
        <f>'BTX Recycling HC'!W92</f>
        <v>3.4830360393111074E-3</v>
      </c>
      <c r="X92" s="300">
        <f>'BTX Recycling HC'!X92</f>
        <v>3.9664445731240269E-3</v>
      </c>
      <c r="Y92" s="300">
        <f>'BTX Recycling HC'!Y92</f>
        <v>4.4796009075347126E-3</v>
      </c>
      <c r="Z92" s="300">
        <f>'BTX Recycling HC'!Z92</f>
        <v>5.0223047662651087E-3</v>
      </c>
      <c r="AA92" s="300">
        <f>'BTX Recycling HC'!AA92</f>
        <v>5.5943558730371578E-3</v>
      </c>
      <c r="AB92" s="300">
        <f>'BTX Recycling HC'!AB92</f>
        <v>6.195553951572807E-3</v>
      </c>
      <c r="AC92" s="300">
        <f>'BTX Recycling HC'!AC92</f>
        <v>6.8256987255939936E-3</v>
      </c>
      <c r="AD92" s="300">
        <f>'BTX Recycling HC'!AD92</f>
        <v>7.4845899188226679E-3</v>
      </c>
      <c r="AE92" s="300">
        <f>'BTX Recycling HC'!AE92</f>
        <v>8.1720272549807675E-3</v>
      </c>
      <c r="AF92" s="300">
        <f>'BTX Recycling HC'!AF92</f>
        <v>8.8878104577902392E-3</v>
      </c>
      <c r="AG92" s="300">
        <f>'BTX Recycling HC'!AG92</f>
        <v>9.6317392509730412E-3</v>
      </c>
      <c r="AH92" s="245"/>
      <c r="AI92" s="423"/>
      <c r="AJ92" s="424"/>
      <c r="AL92" s="221"/>
      <c r="AM92" s="124"/>
      <c r="AN92" s="124"/>
      <c r="AO92" s="124"/>
      <c r="BD92" s="124"/>
      <c r="BE92" s="124"/>
      <c r="BF92" s="124"/>
      <c r="BG92" s="124"/>
      <c r="BH92" s="124"/>
      <c r="BI92" s="124"/>
      <c r="BJ92" s="124"/>
      <c r="BK92" s="124"/>
    </row>
    <row r="93" spans="1:63" outlineLevel="1">
      <c r="A93" s="4" t="s">
        <v>474</v>
      </c>
      <c r="C93" s="230">
        <f>C$92*'BTX recycling rates'!E46</f>
        <v>5.6531129524515947E-4</v>
      </c>
      <c r="D93" s="230">
        <f>D$92*'BTX recycling rates'!F46</f>
        <v>6.0273708772839898E-4</v>
      </c>
      <c r="E93" s="230">
        <f>E$92*'BTX recycling rates'!G46</f>
        <v>6.3854522384773507E-4</v>
      </c>
      <c r="F93" s="230">
        <f>F$92*'BTX recycling rates'!H46</f>
        <v>6.7247875335266401E-4</v>
      </c>
      <c r="G93" s="230">
        <f>G$92*'BTX recycling rates'!I46</f>
        <v>7.0428287207790813E-4</v>
      </c>
      <c r="H93" s="230">
        <f>H$92*'BTX recycling rates'!J46</f>
        <v>7.3370492194341425E-4</v>
      </c>
      <c r="I93" s="230">
        <f>I$92*'BTX recycling rates'!K46</f>
        <v>7.6049439095435506E-4</v>
      </c>
      <c r="J93" s="230">
        <f>J$92*'BTX recycling rates'!L46</f>
        <v>7.8440291320112812E-4</v>
      </c>
      <c r="K93" s="230">
        <f>K$92*'BTX recycling rates'!M46</f>
        <v>8.0518426885935667E-4</v>
      </c>
      <c r="L93" s="230">
        <f>L$92*'BTX recycling rates'!N46</f>
        <v>8.2259438418988927E-4</v>
      </c>
      <c r="M93" s="230">
        <f>M$92*'BTX recycling rates'!O46</f>
        <v>8.3639133153879937E-4</v>
      </c>
      <c r="N93" s="230">
        <f>N$92*'BTX recycling rates'!P46</f>
        <v>9.0488872393494667E-4</v>
      </c>
      <c r="O93" s="230">
        <f>O$92*'BTX recycling rates'!Q46</f>
        <v>9.6821257378577321E-4</v>
      </c>
      <c r="P93" s="230">
        <f>P$92*'BTX recycling rates'!R46</f>
        <v>1.0252497109699836E-3</v>
      </c>
      <c r="Q93" s="230">
        <f>Q$92*'BTX recycling rates'!S46</f>
        <v>1.074896387005587E-3</v>
      </c>
      <c r="R93" s="230">
        <f>R$92*'BTX recycling rates'!T46</f>
        <v>1.1160582750498946E-3</v>
      </c>
      <c r="S93" s="230">
        <f>S$92*'BTX recycling rates'!U46</f>
        <v>1.1476504698995219E-3</v>
      </c>
      <c r="T93" s="230">
        <f>T$92*'BTX recycling rates'!V46</f>
        <v>1.1685974879903881E-3</v>
      </c>
      <c r="U93" s="230">
        <f>U$92*'BTX recycling rates'!W46</f>
        <v>1.1778332673977158E-3</v>
      </c>
      <c r="V93" s="230">
        <f>V$92*'BTX recycling rates'!X46</f>
        <v>1.1743011678360311E-3</v>
      </c>
      <c r="W93" s="230">
        <f>W$92*'BTX recycling rates'!Y46</f>
        <v>1.1569539706591634E-3</v>
      </c>
      <c r="X93" s="230">
        <f>X$92*'BTX recycling rates'!Z46</f>
        <v>1.1857742417344238E-3</v>
      </c>
      <c r="Y93" s="230">
        <f>Y$92*'BTX recycling rates'!AA46</f>
        <v>1.1903849396782548E-3</v>
      </c>
      <c r="Z93" s="230">
        <f>Z$92*'BTX recycling rates'!AB46</f>
        <v>1.1677751142758974E-3</v>
      </c>
      <c r="AA93" s="230">
        <f>AA$92*'BTX recycling rates'!AC46</f>
        <v>1.1149604254805624E-3</v>
      </c>
      <c r="AB93" s="230">
        <f>AB$92*'BTX recycling rates'!AD46</f>
        <v>1.0289831434134305E-3</v>
      </c>
      <c r="AC93" s="230">
        <f>AC$92*'BTX recycling rates'!AE46</f>
        <v>9.0691214836365042E-4</v>
      </c>
      <c r="AD93" s="230">
        <f>AD$92*'BTX recycling rates'!AF46</f>
        <v>7.4584293078834303E-4</v>
      </c>
      <c r="AE93" s="230">
        <f>AE$92*'BTX recycling rates'!AG46</f>
        <v>5.4289759131259684E-4</v>
      </c>
      <c r="AF93" s="230">
        <f>AF$92*'BTX recycling rates'!AH46</f>
        <v>2.9522484072947119E-4</v>
      </c>
      <c r="AG93" s="230">
        <f>AG$92*'BTX recycling rates'!AI46</f>
        <v>0</v>
      </c>
      <c r="AH93" s="245"/>
      <c r="AI93" s="133"/>
      <c r="AJ93" s="211"/>
      <c r="AL93" s="108"/>
      <c r="AM93" s="2"/>
      <c r="AN93" s="2"/>
      <c r="AO93" s="2"/>
      <c r="BC93" s="1"/>
      <c r="BD93" s="2"/>
      <c r="BE93" s="2"/>
      <c r="BF93" s="2"/>
      <c r="BG93" s="2"/>
      <c r="BH93" s="2"/>
      <c r="BI93" s="2"/>
      <c r="BJ93" s="2"/>
      <c r="BK93" s="2"/>
    </row>
    <row r="94" spans="1:63" outlineLevel="1">
      <c r="A94" s="4" t="s">
        <v>478</v>
      </c>
      <c r="C94" s="230">
        <f>C$92*'BTX recycling rates'!E47</f>
        <v>1.9828422639615865E-6</v>
      </c>
      <c r="D94" s="230">
        <f>D$92*'BTX recycling rates'!F47</f>
        <v>2.1141140848542519E-6</v>
      </c>
      <c r="E94" s="230">
        <f>E$92*'BTX recycling rates'!G47</f>
        <v>2.2397119391485265E-6</v>
      </c>
      <c r="F94" s="230">
        <f>F$92*'BTX recycling rates'!H47</f>
        <v>2.3587345679792151E-6</v>
      </c>
      <c r="G94" s="230">
        <f>G$92*'BTX recycling rates'!I47</f>
        <v>2.470288239924011E-6</v>
      </c>
      <c r="H94" s="230">
        <f>H$92*'BTX recycling rates'!J47</f>
        <v>2.5734867510034876E-6</v>
      </c>
      <c r="I94" s="230">
        <f>I$92*'BTX recycling rates'!K47</f>
        <v>2.6674514246811054E-6</v>
      </c>
      <c r="J94" s="230">
        <f>J$92*'BTX recycling rates'!L47</f>
        <v>2.7513111118632066E-6</v>
      </c>
      <c r="K94" s="230">
        <f>K$92*'BTX recycling rates'!M47</f>
        <v>2.8242021908990197E-6</v>
      </c>
      <c r="L94" s="230">
        <f>L$92*'BTX recycling rates'!N47</f>
        <v>2.8852685675806578E-6</v>
      </c>
      <c r="M94" s="230">
        <f>M$92*'BTX recycling rates'!O47</f>
        <v>2.9336616751431168E-6</v>
      </c>
      <c r="N94" s="230">
        <f>N$92*'BTX recycling rates'!P47</f>
        <v>3.1739178415360783E-6</v>
      </c>
      <c r="O94" s="230">
        <f>O$92*'BTX recycling rates'!Q47</f>
        <v>3.3960276894324033E-6</v>
      </c>
      <c r="P94" s="230">
        <f>P$92*'BTX recycling rates'!R47</f>
        <v>3.5960867492379941E-6</v>
      </c>
      <c r="Q94" s="230">
        <f>Q$92*'BTX recycling rates'!S47</f>
        <v>3.7702235979735431E-6</v>
      </c>
      <c r="R94" s="230">
        <f>R$92*'BTX recycling rates'!T47</f>
        <v>3.9145998592745193E-6</v>
      </c>
      <c r="S94" s="230">
        <f>S$92*'BTX recycling rates'!U47</f>
        <v>4.0254102033911788E-6</v>
      </c>
      <c r="T94" s="230">
        <f>T$92*'BTX recycling rates'!V47</f>
        <v>4.0988823471885634E-6</v>
      </c>
      <c r="U94" s="230">
        <f>U$92*'BTX recycling rates'!W47</f>
        <v>4.1312770541464949E-6</v>
      </c>
      <c r="V94" s="230">
        <f>V$92*'BTX recycling rates'!X47</f>
        <v>4.1188881343595824E-6</v>
      </c>
      <c r="W94" s="230">
        <f>W$92*'BTX recycling rates'!Y47</f>
        <v>4.0580424445372139E-6</v>
      </c>
      <c r="X94" s="230">
        <f>X$92*'BTX recycling rates'!Z47</f>
        <v>4.1591302027821178E-6</v>
      </c>
      <c r="Y94" s="230">
        <f>Y$92*'BTX recycling rates'!AA47</f>
        <v>4.1753023309994127E-6</v>
      </c>
      <c r="Z94" s="230">
        <f>Z$92*'BTX recycling rates'!AB47</f>
        <v>4.0959978526249914E-6</v>
      </c>
      <c r="AA94" s="230">
        <f>AA$92*'BTX recycling rates'!AC47</f>
        <v>3.9107491268659339E-6</v>
      </c>
      <c r="AB94" s="230">
        <f>AB$92*'BTX recycling rates'!AD47</f>
        <v>3.6091818487005055E-6</v>
      </c>
      <c r="AC94" s="230">
        <f>AC$92*'BTX recycling rates'!AE47</f>
        <v>3.1810150488781534E-6</v>
      </c>
      <c r="AD94" s="230">
        <f>AD$92*'BTX recycling rates'!AF47</f>
        <v>2.6160610939195149E-6</v>
      </c>
      <c r="AE94" s="230">
        <f>AE$92*'BTX recycling rates'!AG47</f>
        <v>1.9042256861164077E-6</v>
      </c>
      <c r="AF94" s="230">
        <f>AF$92*'BTX recycling rates'!AH47</f>
        <v>1.0355078635318381E-6</v>
      </c>
      <c r="AG94" s="230">
        <f>AG$92*'BTX recycling rates'!AI47</f>
        <v>0</v>
      </c>
      <c r="AH94" s="245"/>
      <c r="AI94" s="133"/>
      <c r="AJ94" s="211"/>
      <c r="AL94" s="108"/>
      <c r="AM94" s="2"/>
      <c r="AN94" s="2"/>
      <c r="AO94" s="2"/>
      <c r="BC94" s="1"/>
      <c r="BD94" s="2"/>
      <c r="BE94" s="2"/>
      <c r="BF94" s="2"/>
      <c r="BG94" s="2"/>
      <c r="BH94" s="2"/>
      <c r="BI94" s="2"/>
      <c r="BJ94" s="2"/>
      <c r="BK94" s="2"/>
    </row>
    <row r="95" spans="1:63" outlineLevel="1">
      <c r="A95" s="4" t="s">
        <v>745</v>
      </c>
      <c r="C95" s="230">
        <f>C$92*'BTX recycling rates'!E48</f>
        <v>0</v>
      </c>
      <c r="D95" s="230">
        <f>D$92*'BTX recycling rates'!F48</f>
        <v>1.0428468996780228E-5</v>
      </c>
      <c r="E95" s="230">
        <f>E$92*'BTX recycling rates'!G48</f>
        <v>2.288517627810299E-5</v>
      </c>
      <c r="F95" s="230">
        <f>F$92*'BTX recycling rates'!H48</f>
        <v>3.7490971551146854E-5</v>
      </c>
      <c r="G95" s="230">
        <f>G$92*'BTX recycling rates'!I48</f>
        <v>5.4365627716756326E-5</v>
      </c>
      <c r="H95" s="230">
        <f>H$92*'BTX recycling rates'!J48</f>
        <v>7.3627840869441776E-5</v>
      </c>
      <c r="I95" s="230">
        <f>I$92*'BTX recycling rates'!K48</f>
        <v>9.5395230297379532E-5</v>
      </c>
      <c r="J95" s="230">
        <f>J$92*'BTX recycling rates'!L48</f>
        <v>1.1978433848241174E-4</v>
      </c>
      <c r="K95" s="230">
        <f>K$92*'BTX recycling rates'!M48</f>
        <v>1.4691063110004653E-4</v>
      </c>
      <c r="L95" s="230">
        <f>L$92*'BTX recycling rates'!N48</f>
        <v>1.7688849701945789E-4</v>
      </c>
      <c r="M95" s="230">
        <f>M$92*'BTX recycling rates'!O48</f>
        <v>2.0983124830348571E-4</v>
      </c>
      <c r="N95" s="230">
        <f>N$92*'BTX recycling rates'!P48</f>
        <v>2.6286023840898197E-4</v>
      </c>
      <c r="O95" s="230">
        <f>O$92*'BTX recycling rates'!Q48</f>
        <v>3.2386953382506869E-4</v>
      </c>
      <c r="P95" s="230">
        <f>P$92*'BTX recycling rates'!R48</f>
        <v>3.9338221677499667E-4</v>
      </c>
      <c r="Q95" s="230">
        <f>Q$92*'BTX recycling rates'!S48</f>
        <v>4.7191664213905803E-4</v>
      </c>
      <c r="R95" s="230">
        <f>R$92*'BTX recycling rates'!T48</f>
        <v>5.5998643745458487E-4</v>
      </c>
      <c r="S95" s="230">
        <f>S$92*'BTX recycling rates'!U48</f>
        <v>6.5810050291595086E-4</v>
      </c>
      <c r="T95" s="230">
        <f>T$92*'BTX recycling rates'!V48</f>
        <v>7.6676301137457018E-4</v>
      </c>
      <c r="U95" s="230">
        <f>U$92*'BTX recycling rates'!W48</f>
        <v>8.8647340833889778E-4</v>
      </c>
      <c r="V95" s="230">
        <f>V$92*'BTX recycling rates'!X48</f>
        <v>1.0177264119744297E-3</v>
      </c>
      <c r="W95" s="230">
        <f>W$92*'BTX recycling rates'!Y48</f>
        <v>1.1610120131037025E-3</v>
      </c>
      <c r="X95" s="230">
        <f>X$92*'BTX recycling rates'!Z48</f>
        <v>1.3882556005934093E-3</v>
      </c>
      <c r="Y95" s="230">
        <f>Y$92*'BTX recycling rates'!AA48</f>
        <v>1.6425203327627279E-3</v>
      </c>
      <c r="Z95" s="230">
        <f>Z$92*'BTX recycling rates'!AB48</f>
        <v>1.9252168270682915E-3</v>
      </c>
      <c r="AA95" s="230">
        <f>AA$92*'BTX recycling rates'!AC48</f>
        <v>2.2377423492148628E-3</v>
      </c>
      <c r="AB95" s="230">
        <f>AB$92*'BTX recycling rates'!AD48</f>
        <v>2.5814808131553362E-3</v>
      </c>
      <c r="AC95" s="230">
        <f>AC$92*'BTX recycling rates'!AE48</f>
        <v>2.9578027810907301E-3</v>
      </c>
      <c r="AD95" s="230">
        <f>AD$92*'BTX recycling rates'!AF48</f>
        <v>3.3680654634702001E-3</v>
      </c>
      <c r="AE95" s="230">
        <f>AE$92*'BTX recycling rates'!AG48</f>
        <v>3.8136127189910243E-3</v>
      </c>
      <c r="AF95" s="230">
        <f>AF$92*'BTX recycling rates'!AH48</f>
        <v>4.2957750545986155E-3</v>
      </c>
      <c r="AG95" s="230">
        <f>AG$92*'BTX recycling rates'!AI48</f>
        <v>4.8158696254865206E-3</v>
      </c>
      <c r="AH95" s="245"/>
      <c r="AI95" s="133"/>
      <c r="AJ95" s="211"/>
      <c r="AL95" s="108"/>
      <c r="AM95" s="2"/>
      <c r="AN95" s="2"/>
      <c r="AO95" s="2"/>
      <c r="BC95" s="1"/>
      <c r="BD95" s="2"/>
      <c r="BE95" s="2"/>
      <c r="BF95" s="2"/>
      <c r="BG95" s="2"/>
      <c r="BH95" s="2"/>
      <c r="BI95" s="2"/>
      <c r="BJ95" s="2"/>
      <c r="BK95" s="2"/>
    </row>
    <row r="96" spans="1:63" outlineLevel="1">
      <c r="A96" s="4" t="s">
        <v>1561</v>
      </c>
      <c r="C96" s="230">
        <f>C$92*'BTX recycling rates'!E49</f>
        <v>0</v>
      </c>
      <c r="D96" s="230">
        <f>D$92*'BTX recycling rates'!F49</f>
        <v>1.0428468996780228E-5</v>
      </c>
      <c r="E96" s="230">
        <f>E$92*'BTX recycling rates'!G49</f>
        <v>2.288517627810299E-5</v>
      </c>
      <c r="F96" s="230">
        <f>F$92*'BTX recycling rates'!H49</f>
        <v>3.7490971551146854E-5</v>
      </c>
      <c r="G96" s="230">
        <f>G$92*'BTX recycling rates'!I49</f>
        <v>5.4365627716756326E-5</v>
      </c>
      <c r="H96" s="230">
        <f>H$92*'BTX recycling rates'!J49</f>
        <v>7.3627840869441776E-5</v>
      </c>
      <c r="I96" s="230">
        <f>I$92*'BTX recycling rates'!K49</f>
        <v>9.5395230297379532E-5</v>
      </c>
      <c r="J96" s="230">
        <f>J$92*'BTX recycling rates'!L49</f>
        <v>1.1978433848241174E-4</v>
      </c>
      <c r="K96" s="230">
        <f>K$92*'BTX recycling rates'!M49</f>
        <v>1.4691063110004653E-4</v>
      </c>
      <c r="L96" s="230">
        <f>L$92*'BTX recycling rates'!N49</f>
        <v>1.7688849701945789E-4</v>
      </c>
      <c r="M96" s="230">
        <f>M$92*'BTX recycling rates'!O49</f>
        <v>2.0983124830348571E-4</v>
      </c>
      <c r="N96" s="230">
        <f>N$92*'BTX recycling rates'!P49</f>
        <v>2.6286023840898197E-4</v>
      </c>
      <c r="O96" s="230">
        <f>O$92*'BTX recycling rates'!Q49</f>
        <v>3.2386953382506869E-4</v>
      </c>
      <c r="P96" s="230">
        <f>P$92*'BTX recycling rates'!R49</f>
        <v>3.9338221677499667E-4</v>
      </c>
      <c r="Q96" s="230">
        <f>Q$92*'BTX recycling rates'!S49</f>
        <v>4.7191664213905803E-4</v>
      </c>
      <c r="R96" s="230">
        <f>R$92*'BTX recycling rates'!T49</f>
        <v>5.5998643745458487E-4</v>
      </c>
      <c r="S96" s="230">
        <f>S$92*'BTX recycling rates'!U49</f>
        <v>6.5810050291595086E-4</v>
      </c>
      <c r="T96" s="230">
        <f>T$92*'BTX recycling rates'!V49</f>
        <v>7.6676301137457018E-4</v>
      </c>
      <c r="U96" s="230">
        <f>U$92*'BTX recycling rates'!W49</f>
        <v>8.8647340833889778E-4</v>
      </c>
      <c r="V96" s="230">
        <f>V$92*'BTX recycling rates'!X49</f>
        <v>1.0177264119744297E-3</v>
      </c>
      <c r="W96" s="230">
        <f>W$92*'BTX recycling rates'!Y49</f>
        <v>1.1610120131037025E-3</v>
      </c>
      <c r="X96" s="230">
        <f>X$92*'BTX recycling rates'!Z49</f>
        <v>1.3882556005934093E-3</v>
      </c>
      <c r="Y96" s="230">
        <f>Y$92*'BTX recycling rates'!AA49</f>
        <v>1.6425203327627279E-3</v>
      </c>
      <c r="Z96" s="230">
        <f>Z$92*'BTX recycling rates'!AB49</f>
        <v>1.9252168270682915E-3</v>
      </c>
      <c r="AA96" s="230">
        <f>AA$92*'BTX recycling rates'!AC49</f>
        <v>2.2377423492148628E-3</v>
      </c>
      <c r="AB96" s="230">
        <f>AB$92*'BTX recycling rates'!AD49</f>
        <v>2.5814808131553362E-3</v>
      </c>
      <c r="AC96" s="230">
        <f>AC$92*'BTX recycling rates'!AE49</f>
        <v>2.9578027810907301E-3</v>
      </c>
      <c r="AD96" s="230">
        <f>AD$92*'BTX recycling rates'!AF49</f>
        <v>3.3680654634702001E-3</v>
      </c>
      <c r="AE96" s="230">
        <f>AE$92*'BTX recycling rates'!AG49</f>
        <v>3.8136127189910243E-3</v>
      </c>
      <c r="AF96" s="230">
        <f>AF$92*'BTX recycling rates'!AH49</f>
        <v>4.2957750545986155E-3</v>
      </c>
      <c r="AG96" s="230">
        <f>AG$92*'BTX recycling rates'!AI49</f>
        <v>4.8158696254865206E-3</v>
      </c>
      <c r="AH96" s="245"/>
      <c r="AI96" s="133"/>
      <c r="AJ96" s="211"/>
      <c r="AL96" s="108"/>
      <c r="AM96" s="2"/>
      <c r="AN96" s="2"/>
      <c r="AO96" s="2"/>
      <c r="BC96" s="1"/>
      <c r="BD96" s="2"/>
      <c r="BE96" s="2"/>
      <c r="BF96" s="2"/>
      <c r="BG96" s="2"/>
      <c r="BH96" s="2"/>
      <c r="BI96" s="2"/>
      <c r="BJ96" s="2"/>
      <c r="BK96" s="2"/>
    </row>
    <row r="97" spans="1:63" s="1" customFormat="1" outlineLevel="1">
      <c r="A97" s="1" t="s">
        <v>1566</v>
      </c>
      <c r="B97" s="65"/>
      <c r="C97" s="300">
        <f>C92-$C92</f>
        <v>0</v>
      </c>
      <c r="D97" s="300">
        <f t="shared" ref="D97:AG97" si="43">D92-$C92</f>
        <v>5.8414002297692649E-5</v>
      </c>
      <c r="E97" s="300">
        <f t="shared" si="43"/>
        <v>1.1926115083396864E-4</v>
      </c>
      <c r="F97" s="300">
        <f t="shared" si="43"/>
        <v>1.8252529351381601E-4</v>
      </c>
      <c r="G97" s="300">
        <f t="shared" si="43"/>
        <v>2.4819027824222388E-4</v>
      </c>
      <c r="H97" s="300">
        <f t="shared" si="43"/>
        <v>3.1623995292418038E-4</v>
      </c>
      <c r="I97" s="300">
        <f t="shared" si="43"/>
        <v>3.8665816546467442E-4</v>
      </c>
      <c r="J97" s="300">
        <f t="shared" si="43"/>
        <v>4.5942876376869402E-4</v>
      </c>
      <c r="K97" s="300">
        <f t="shared" si="43"/>
        <v>5.3453559574122799E-4</v>
      </c>
      <c r="L97" s="300">
        <f t="shared" si="43"/>
        <v>6.11962509287265E-4</v>
      </c>
      <c r="M97" s="300">
        <f t="shared" si="43"/>
        <v>6.916933523117933E-4</v>
      </c>
      <c r="N97" s="300">
        <f t="shared" si="43"/>
        <v>8.6648898108532605E-4</v>
      </c>
      <c r="O97" s="300">
        <f t="shared" si="43"/>
        <v>1.0520535316162227E-3</v>
      </c>
      <c r="P97" s="300">
        <f t="shared" si="43"/>
        <v>1.2483160937600945E-3</v>
      </c>
      <c r="Q97" s="300">
        <f t="shared" si="43"/>
        <v>1.4552057573725564E-3</v>
      </c>
      <c r="R97" s="300">
        <f t="shared" si="43"/>
        <v>1.6726516123092188E-3</v>
      </c>
      <c r="S97" s="300">
        <f t="shared" si="43"/>
        <v>1.9005827484256947E-3</v>
      </c>
      <c r="T97" s="300">
        <f t="shared" si="43"/>
        <v>2.1389282555775973E-3</v>
      </c>
      <c r="U97" s="300">
        <f t="shared" si="43"/>
        <v>2.3876172236205382E-3</v>
      </c>
      <c r="V97" s="300">
        <f t="shared" si="43"/>
        <v>2.6465787424101309E-3</v>
      </c>
      <c r="W97" s="300">
        <f t="shared" si="43"/>
        <v>2.9157419018019863E-3</v>
      </c>
      <c r="X97" s="300">
        <f t="shared" si="43"/>
        <v>3.3991504356149058E-3</v>
      </c>
      <c r="Y97" s="300">
        <f t="shared" si="43"/>
        <v>3.9123067700255918E-3</v>
      </c>
      <c r="Z97" s="300">
        <f t="shared" si="43"/>
        <v>4.4550106287559879E-3</v>
      </c>
      <c r="AA97" s="300">
        <f t="shared" si="43"/>
        <v>5.0270617355280371E-3</v>
      </c>
      <c r="AB97" s="300">
        <f t="shared" si="43"/>
        <v>5.6282598140636863E-3</v>
      </c>
      <c r="AC97" s="300">
        <f t="shared" si="43"/>
        <v>6.2584045880848729E-3</v>
      </c>
      <c r="AD97" s="300">
        <f t="shared" si="43"/>
        <v>6.9172957813135472E-3</v>
      </c>
      <c r="AE97" s="300">
        <f t="shared" si="43"/>
        <v>7.6047331174716468E-3</v>
      </c>
      <c r="AF97" s="300">
        <f t="shared" si="43"/>
        <v>8.3205163202811176E-3</v>
      </c>
      <c r="AG97" s="300">
        <f t="shared" si="43"/>
        <v>9.0644451134639197E-3</v>
      </c>
      <c r="AH97" s="245"/>
      <c r="AI97" s="423"/>
      <c r="AJ97" s="424"/>
      <c r="AL97" s="221"/>
      <c r="AM97" s="124"/>
      <c r="AN97" s="124"/>
      <c r="AO97" s="124"/>
      <c r="BD97" s="124"/>
      <c r="BE97" s="124"/>
      <c r="BF97" s="124"/>
      <c r="BG97" s="124"/>
      <c r="BH97" s="124"/>
      <c r="BI97" s="124"/>
      <c r="BJ97" s="124"/>
      <c r="BK97" s="124"/>
    </row>
    <row r="98" spans="1:63" outlineLevel="1">
      <c r="A98" s="4" t="s">
        <v>474</v>
      </c>
      <c r="C98" s="230">
        <f>C93-$C93</f>
        <v>0</v>
      </c>
      <c r="D98" s="230">
        <f t="shared" ref="D98:AG98" si="44">D93-$C93</f>
        <v>3.7425792483239515E-5</v>
      </c>
      <c r="E98" s="230">
        <f t="shared" si="44"/>
        <v>7.3233928602575607E-5</v>
      </c>
      <c r="F98" s="230">
        <f t="shared" si="44"/>
        <v>1.0716745810750454E-4</v>
      </c>
      <c r="G98" s="230">
        <f t="shared" si="44"/>
        <v>1.3897157683274866E-4</v>
      </c>
      <c r="H98" s="230">
        <f t="shared" si="44"/>
        <v>1.6839362669825479E-4</v>
      </c>
      <c r="I98" s="230">
        <f t="shared" si="44"/>
        <v>1.9518309570919559E-4</v>
      </c>
      <c r="J98" s="230">
        <f t="shared" si="44"/>
        <v>2.1909161795596866E-4</v>
      </c>
      <c r="K98" s="230">
        <f t="shared" si="44"/>
        <v>2.3987297361419721E-4</v>
      </c>
      <c r="L98" s="230">
        <f t="shared" si="44"/>
        <v>2.5728308894472981E-4</v>
      </c>
      <c r="M98" s="230">
        <f t="shared" si="44"/>
        <v>2.710800362936399E-4</v>
      </c>
      <c r="N98" s="230">
        <f t="shared" si="44"/>
        <v>3.3957742868978721E-4</v>
      </c>
      <c r="O98" s="230">
        <f t="shared" si="44"/>
        <v>4.0290127854061375E-4</v>
      </c>
      <c r="P98" s="230">
        <f t="shared" si="44"/>
        <v>4.5993841572482415E-4</v>
      </c>
      <c r="Q98" s="230">
        <f t="shared" si="44"/>
        <v>5.095850917604275E-4</v>
      </c>
      <c r="R98" s="230">
        <f t="shared" si="44"/>
        <v>5.5074697980473514E-4</v>
      </c>
      <c r="S98" s="230">
        <f t="shared" si="44"/>
        <v>5.8233917465436245E-4</v>
      </c>
      <c r="T98" s="230">
        <f t="shared" si="44"/>
        <v>6.032861927452286E-4</v>
      </c>
      <c r="U98" s="230">
        <f t="shared" si="44"/>
        <v>6.1252197215255636E-4</v>
      </c>
      <c r="V98" s="230">
        <f t="shared" si="44"/>
        <v>6.0898987259087162E-4</v>
      </c>
      <c r="W98" s="230">
        <f t="shared" si="44"/>
        <v>5.9164267541400388E-4</v>
      </c>
      <c r="X98" s="230">
        <f t="shared" si="44"/>
        <v>6.2046294648926436E-4</v>
      </c>
      <c r="Y98" s="230">
        <f t="shared" si="44"/>
        <v>6.2507364443309529E-4</v>
      </c>
      <c r="Z98" s="230">
        <f t="shared" si="44"/>
        <v>6.0246381903073789E-4</v>
      </c>
      <c r="AA98" s="230">
        <f t="shared" si="44"/>
        <v>5.496491302354029E-4</v>
      </c>
      <c r="AB98" s="230">
        <f t="shared" si="44"/>
        <v>4.63671848168271E-4</v>
      </c>
      <c r="AC98" s="230">
        <f t="shared" si="44"/>
        <v>3.4160085311849095E-4</v>
      </c>
      <c r="AD98" s="230">
        <f t="shared" si="44"/>
        <v>1.8053163554318356E-4</v>
      </c>
      <c r="AE98" s="230">
        <f t="shared" si="44"/>
        <v>-2.2413703932562621E-5</v>
      </c>
      <c r="AF98" s="230">
        <f t="shared" si="44"/>
        <v>-2.7008645451568827E-4</v>
      </c>
      <c r="AG98" s="230">
        <f t="shared" si="44"/>
        <v>-5.6531129524515947E-4</v>
      </c>
      <c r="AH98" s="245"/>
      <c r="AI98" s="133"/>
      <c r="AJ98" s="211"/>
      <c r="AL98" s="108"/>
      <c r="AM98" s="2"/>
      <c r="AN98" s="2"/>
      <c r="AO98" s="2"/>
      <c r="BC98" s="1"/>
      <c r="BD98" s="2"/>
      <c r="BE98" s="2"/>
      <c r="BF98" s="2"/>
      <c r="BG98" s="2"/>
      <c r="BH98" s="2"/>
      <c r="BI98" s="2"/>
      <c r="BJ98" s="2"/>
      <c r="BK98" s="2"/>
    </row>
    <row r="99" spans="1:63" outlineLevel="1">
      <c r="A99" s="4" t="s">
        <v>478</v>
      </c>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45"/>
      <c r="AI99" s="133"/>
      <c r="AJ99" s="211"/>
      <c r="AL99" s="108"/>
      <c r="AM99" s="2"/>
      <c r="AN99" s="2"/>
      <c r="AO99" s="2"/>
      <c r="BC99" s="1"/>
      <c r="BD99" s="2"/>
      <c r="BE99" s="2"/>
      <c r="BF99" s="2"/>
      <c r="BG99" s="2"/>
      <c r="BH99" s="2"/>
      <c r="BI99" s="2"/>
      <c r="BJ99" s="2"/>
      <c r="BK99" s="2"/>
    </row>
    <row r="100" spans="1:63" outlineLevel="1">
      <c r="A100" s="4" t="s">
        <v>745</v>
      </c>
      <c r="C100" s="230">
        <f t="shared" ref="C100:AG100" si="45">C95-$C95</f>
        <v>0</v>
      </c>
      <c r="D100" s="230">
        <f t="shared" si="45"/>
        <v>1.0428468996780228E-5</v>
      </c>
      <c r="E100" s="230">
        <f t="shared" si="45"/>
        <v>2.288517627810299E-5</v>
      </c>
      <c r="F100" s="230">
        <f t="shared" si="45"/>
        <v>3.7490971551146854E-5</v>
      </c>
      <c r="G100" s="230">
        <f t="shared" si="45"/>
        <v>5.4365627716756326E-5</v>
      </c>
      <c r="H100" s="230">
        <f t="shared" si="45"/>
        <v>7.3627840869441776E-5</v>
      </c>
      <c r="I100" s="230">
        <f t="shared" si="45"/>
        <v>9.5395230297379532E-5</v>
      </c>
      <c r="J100" s="230">
        <f t="shared" si="45"/>
        <v>1.1978433848241174E-4</v>
      </c>
      <c r="K100" s="230">
        <f t="shared" si="45"/>
        <v>1.4691063110004653E-4</v>
      </c>
      <c r="L100" s="230">
        <f t="shared" si="45"/>
        <v>1.7688849701945789E-4</v>
      </c>
      <c r="M100" s="230">
        <f t="shared" si="45"/>
        <v>2.0983124830348571E-4</v>
      </c>
      <c r="N100" s="230">
        <f t="shared" si="45"/>
        <v>2.6286023840898197E-4</v>
      </c>
      <c r="O100" s="230">
        <f t="shared" si="45"/>
        <v>3.2386953382506869E-4</v>
      </c>
      <c r="P100" s="230">
        <f t="shared" si="45"/>
        <v>3.9338221677499667E-4</v>
      </c>
      <c r="Q100" s="230">
        <f t="shared" si="45"/>
        <v>4.7191664213905803E-4</v>
      </c>
      <c r="R100" s="230">
        <f t="shared" si="45"/>
        <v>5.5998643745458487E-4</v>
      </c>
      <c r="S100" s="230">
        <f t="shared" si="45"/>
        <v>6.5810050291595086E-4</v>
      </c>
      <c r="T100" s="230">
        <f t="shared" si="45"/>
        <v>7.6676301137457018E-4</v>
      </c>
      <c r="U100" s="230">
        <f t="shared" si="45"/>
        <v>8.8647340833889778E-4</v>
      </c>
      <c r="V100" s="230">
        <f t="shared" si="45"/>
        <v>1.0177264119744297E-3</v>
      </c>
      <c r="W100" s="230">
        <f t="shared" si="45"/>
        <v>1.1610120131037025E-3</v>
      </c>
      <c r="X100" s="230">
        <f t="shared" si="45"/>
        <v>1.3882556005934093E-3</v>
      </c>
      <c r="Y100" s="230">
        <f t="shared" si="45"/>
        <v>1.6425203327627279E-3</v>
      </c>
      <c r="Z100" s="230">
        <f t="shared" si="45"/>
        <v>1.9252168270682915E-3</v>
      </c>
      <c r="AA100" s="230">
        <f t="shared" si="45"/>
        <v>2.2377423492148628E-3</v>
      </c>
      <c r="AB100" s="230">
        <f t="shared" si="45"/>
        <v>2.5814808131553362E-3</v>
      </c>
      <c r="AC100" s="230">
        <f t="shared" si="45"/>
        <v>2.9578027810907301E-3</v>
      </c>
      <c r="AD100" s="230">
        <f t="shared" si="45"/>
        <v>3.3680654634702001E-3</v>
      </c>
      <c r="AE100" s="230">
        <f t="shared" si="45"/>
        <v>3.8136127189910243E-3</v>
      </c>
      <c r="AF100" s="230">
        <f t="shared" si="45"/>
        <v>4.2957750545986155E-3</v>
      </c>
      <c r="AG100" s="230">
        <f t="shared" si="45"/>
        <v>4.8158696254865206E-3</v>
      </c>
      <c r="AH100" s="245"/>
      <c r="AI100" s="133"/>
      <c r="AJ100" s="211"/>
      <c r="AL100" s="108"/>
      <c r="AM100" s="2"/>
      <c r="AN100" s="2"/>
      <c r="AO100" s="2"/>
      <c r="BC100" s="1"/>
      <c r="BD100" s="2"/>
      <c r="BE100" s="2"/>
      <c r="BF100" s="2"/>
      <c r="BG100" s="2"/>
      <c r="BH100" s="2"/>
      <c r="BI100" s="2"/>
      <c r="BJ100" s="2"/>
      <c r="BK100" s="2"/>
    </row>
    <row r="101" spans="1:63" outlineLevel="1">
      <c r="A101" s="4" t="s">
        <v>1561</v>
      </c>
      <c r="C101" s="230">
        <f t="shared" ref="C101:AG101" si="46">C96-$C96</f>
        <v>0</v>
      </c>
      <c r="D101" s="230">
        <f t="shared" si="46"/>
        <v>1.0428468996780228E-5</v>
      </c>
      <c r="E101" s="230">
        <f t="shared" si="46"/>
        <v>2.288517627810299E-5</v>
      </c>
      <c r="F101" s="230">
        <f t="shared" si="46"/>
        <v>3.7490971551146854E-5</v>
      </c>
      <c r="G101" s="230">
        <f t="shared" si="46"/>
        <v>5.4365627716756326E-5</v>
      </c>
      <c r="H101" s="230">
        <f t="shared" si="46"/>
        <v>7.3627840869441776E-5</v>
      </c>
      <c r="I101" s="230">
        <f t="shared" si="46"/>
        <v>9.5395230297379532E-5</v>
      </c>
      <c r="J101" s="230">
        <f t="shared" si="46"/>
        <v>1.1978433848241174E-4</v>
      </c>
      <c r="K101" s="230">
        <f t="shared" si="46"/>
        <v>1.4691063110004653E-4</v>
      </c>
      <c r="L101" s="230">
        <f t="shared" si="46"/>
        <v>1.7688849701945789E-4</v>
      </c>
      <c r="M101" s="230">
        <f t="shared" si="46"/>
        <v>2.0983124830348571E-4</v>
      </c>
      <c r="N101" s="230">
        <f t="shared" si="46"/>
        <v>2.6286023840898197E-4</v>
      </c>
      <c r="O101" s="230">
        <f t="shared" si="46"/>
        <v>3.2386953382506869E-4</v>
      </c>
      <c r="P101" s="230">
        <f t="shared" si="46"/>
        <v>3.9338221677499667E-4</v>
      </c>
      <c r="Q101" s="230">
        <f t="shared" si="46"/>
        <v>4.7191664213905803E-4</v>
      </c>
      <c r="R101" s="230">
        <f t="shared" si="46"/>
        <v>5.5998643745458487E-4</v>
      </c>
      <c r="S101" s="230">
        <f t="shared" si="46"/>
        <v>6.5810050291595086E-4</v>
      </c>
      <c r="T101" s="230">
        <f t="shared" si="46"/>
        <v>7.6676301137457018E-4</v>
      </c>
      <c r="U101" s="230">
        <f t="shared" si="46"/>
        <v>8.8647340833889778E-4</v>
      </c>
      <c r="V101" s="230">
        <f t="shared" si="46"/>
        <v>1.0177264119744297E-3</v>
      </c>
      <c r="W101" s="230">
        <f t="shared" si="46"/>
        <v>1.1610120131037025E-3</v>
      </c>
      <c r="X101" s="230">
        <f t="shared" si="46"/>
        <v>1.3882556005934093E-3</v>
      </c>
      <c r="Y101" s="230">
        <f t="shared" si="46"/>
        <v>1.6425203327627279E-3</v>
      </c>
      <c r="Z101" s="230">
        <f t="shared" si="46"/>
        <v>1.9252168270682915E-3</v>
      </c>
      <c r="AA101" s="230">
        <f t="shared" si="46"/>
        <v>2.2377423492148628E-3</v>
      </c>
      <c r="AB101" s="230">
        <f t="shared" si="46"/>
        <v>2.5814808131553362E-3</v>
      </c>
      <c r="AC101" s="230">
        <f t="shared" si="46"/>
        <v>2.9578027810907301E-3</v>
      </c>
      <c r="AD101" s="230">
        <f t="shared" si="46"/>
        <v>3.3680654634702001E-3</v>
      </c>
      <c r="AE101" s="230">
        <f t="shared" si="46"/>
        <v>3.8136127189910243E-3</v>
      </c>
      <c r="AF101" s="230">
        <f t="shared" si="46"/>
        <v>4.2957750545986155E-3</v>
      </c>
      <c r="AG101" s="230">
        <f t="shared" si="46"/>
        <v>4.8158696254865206E-3</v>
      </c>
      <c r="AH101" s="245"/>
      <c r="AI101" s="133"/>
      <c r="AJ101" s="211"/>
      <c r="AL101" s="108"/>
      <c r="AM101" s="2"/>
      <c r="AN101" s="2"/>
      <c r="AO101" s="2"/>
      <c r="BC101" s="1"/>
      <c r="BD101" s="2"/>
      <c r="BE101" s="2"/>
      <c r="BF101" s="2"/>
      <c r="BG101" s="2"/>
      <c r="BH101" s="2"/>
      <c r="BI101" s="2"/>
      <c r="BJ101" s="2"/>
      <c r="BK101" s="2"/>
    </row>
    <row r="102" spans="1:63" s="1" customFormat="1" outlineLevel="1">
      <c r="A102" s="1" t="s">
        <v>1567</v>
      </c>
      <c r="B102" s="65"/>
      <c r="C102" s="300">
        <f>'BTX Recycling HC'!C102</f>
        <v>0.48062994175736984</v>
      </c>
      <c r="D102" s="300">
        <f>'BTX Recycling HC'!D102</f>
        <v>0.51296530002009633</v>
      </c>
      <c r="E102" s="300">
        <f>'BTX Recycling HC'!E102</f>
        <v>0.54542735176597712</v>
      </c>
      <c r="F102" s="300">
        <f>'BTX Recycling HC'!F102</f>
        <v>0.57781612144460026</v>
      </c>
      <c r="G102" s="300">
        <f>'BTX Recycling HC'!G102</f>
        <v>0.60992350301719178</v>
      </c>
      <c r="H102" s="300">
        <f>'BTX Recycling HC'!H102</f>
        <v>0.64153544878818303</v>
      </c>
      <c r="I102" s="300">
        <f>'BTX Recycling HC'!I102</f>
        <v>0.67388507236058481</v>
      </c>
      <c r="J102" s="300">
        <f>'BTX Recycling HC'!J102</f>
        <v>0.70695574284106633</v>
      </c>
      <c r="K102" s="300">
        <f>'BTX Recycling HC'!K102</f>
        <v>0.74072904135122386</v>
      </c>
      <c r="L102" s="300">
        <f>'BTX Recycling HC'!L102</f>
        <v>0.77518475108628659</v>
      </c>
      <c r="M102" s="300">
        <f>'BTX Recycling HC'!M102</f>
        <v>0.81030085209385949</v>
      </c>
      <c r="N102" s="300">
        <f>'BTX Recycling HC'!N102</f>
        <v>0.87251112097061634</v>
      </c>
      <c r="O102" s="300">
        <f>'BTX Recycling HC'!O102</f>
        <v>0.93477040971011183</v>
      </c>
      <c r="P102" s="300">
        <f>'BTX Recycling HC'!P102</f>
        <v>0.9967538796902794</v>
      </c>
      <c r="Q102" s="300">
        <f>'BTX Recycling HC'!Q102</f>
        <v>1.0581292362514461</v>
      </c>
      <c r="R102" s="300">
        <f>'BTX Recycling HC'!R102</f>
        <v>1.1185596305224215</v>
      </c>
      <c r="S102" s="300">
        <f>'BTX Recycling HC'!S102</f>
        <v>1.1798285239828472</v>
      </c>
      <c r="T102" s="300">
        <f>'BTX Recycling HC'!T102</f>
        <v>1.2419269206439612</v>
      </c>
      <c r="U102" s="300">
        <f>'BTX Recycling HC'!U102</f>
        <v>1.3048453216036868</v>
      </c>
      <c r="V102" s="300">
        <f>'BTX Recycling HC'!V102</f>
        <v>1.3685737242064187</v>
      </c>
      <c r="W102" s="300">
        <f>'BTX Recycling HC'!W102</f>
        <v>1.433101621546748</v>
      </c>
      <c r="X102" s="300">
        <f>'BTX Recycling HC'!X102</f>
        <v>1.5303895429544505</v>
      </c>
      <c r="Y102" s="300">
        <f>'BTX Recycling HC'!Y102</f>
        <v>1.6289799617327179</v>
      </c>
      <c r="Z102" s="300">
        <f>'BTX Recycling HC'!Z102</f>
        <v>1.7288590869176408</v>
      </c>
      <c r="AA102" s="300">
        <f>'BTX Recycling HC'!AA102</f>
        <v>1.8300124175975758</v>
      </c>
      <c r="AB102" s="300">
        <f>'BTX Recycling HC'!AB102</f>
        <v>1.932424742329522</v>
      </c>
      <c r="AC102" s="300">
        <f>'BTX Recycling HC'!AC102</f>
        <v>2.0360993885860132</v>
      </c>
      <c r="AD102" s="300">
        <f>'BTX Recycling HC'!AD102</f>
        <v>2.1410227259899766</v>
      </c>
      <c r="AE102" s="300">
        <f>'BTX Recycling HC'!AE102</f>
        <v>2.2471804891832106</v>
      </c>
      <c r="AF102" s="300">
        <f>'BTX Recycling HC'!AF102</f>
        <v>2.3545577776484401</v>
      </c>
      <c r="AG102" s="300">
        <f>'BTX Recycling HC'!AG102</f>
        <v>2.4631390558971846</v>
      </c>
      <c r="AH102" s="245"/>
      <c r="AI102" s="423"/>
      <c r="AJ102" s="424"/>
      <c r="AL102" s="221"/>
      <c r="AM102" s="124"/>
      <c r="AN102" s="124"/>
      <c r="AO102" s="124"/>
      <c r="BD102" s="124"/>
      <c r="BE102" s="124"/>
      <c r="BF102" s="124"/>
      <c r="BG102" s="124"/>
      <c r="BH102" s="124"/>
      <c r="BI102" s="124"/>
      <c r="BJ102" s="124"/>
      <c r="BK102" s="124"/>
    </row>
    <row r="103" spans="1:63" outlineLevel="1">
      <c r="A103" s="4" t="s">
        <v>474</v>
      </c>
      <c r="C103" s="230">
        <f>C$102*'BTX recycling rates'!E54</f>
        <v>0.4789500136586477</v>
      </c>
      <c r="D103" s="230">
        <f>D$102*'BTX recycling rates'!F54</f>
        <v>0.50433199316321031</v>
      </c>
      <c r="E103" s="230">
        <f>E$102*'BTX recycling rates'!G54</f>
        <v>0.52897446471997955</v>
      </c>
      <c r="F103" s="230">
        <f>F$102*'BTX recycling rates'!H54</f>
        <v>0.55268108338019051</v>
      </c>
      <c r="G103" s="230">
        <f>G$102*'BTX recycling rates'!I54</f>
        <v>0.57525850244568033</v>
      </c>
      <c r="H103" s="230">
        <f>H$102*'BTX recycling rates'!J54</f>
        <v>0.5965189508079054</v>
      </c>
      <c r="I103" s="230">
        <f>I$102*'BTX recycling rates'!K54</f>
        <v>0.61761239089632813</v>
      </c>
      <c r="J103" s="230">
        <f>J$102*'BTX recycling rates'!L54</f>
        <v>0.6384942916966414</v>
      </c>
      <c r="K103" s="230">
        <f>K$102*'BTX recycling rates'!M54</f>
        <v>0.65911941828766818</v>
      </c>
      <c r="L103" s="230">
        <f>L$102*'BTX recycling rates'!N54</f>
        <v>0.67944194234122313</v>
      </c>
      <c r="M103" s="230">
        <f>M$102*'BTX recycling rates'!O54</f>
        <v>0.69941555749149953</v>
      </c>
      <c r="N103" s="230">
        <f>N$102*'BTX recycling rates'!P54</f>
        <v>0.74147780932065643</v>
      </c>
      <c r="O103" s="230">
        <f>O$102*'BTX recycling rates'!Q54</f>
        <v>0.78192192595647236</v>
      </c>
      <c r="P103" s="230">
        <f>P$102*'BTX recycling rates'!R54</f>
        <v>0.82047855526208513</v>
      </c>
      <c r="Q103" s="230">
        <f>Q$102*'BTX recycling rates'!S54</f>
        <v>0.85688963389028039</v>
      </c>
      <c r="R103" s="230">
        <f>R$102*'BTX recycling rates'!T54</f>
        <v>0.89091119566089383</v>
      </c>
      <c r="S103" s="230">
        <f>S$102*'BTX recycling rates'!U54</f>
        <v>0.92397775397017101</v>
      </c>
      <c r="T103" s="230">
        <f>T$102*'BTX recycling rates'!V54</f>
        <v>0.95604883961535969</v>
      </c>
      <c r="U103" s="230">
        <f>U$102*'BTX recycling rates'!W54</f>
        <v>0.98708408279553717</v>
      </c>
      <c r="V103" s="230">
        <f>V$102*'BTX recycling rates'!X54</f>
        <v>1.0170432460187901</v>
      </c>
      <c r="W103" s="230">
        <f>W$102*'BTX recycling rates'!Y54</f>
        <v>1.04588625732763</v>
      </c>
      <c r="X103" s="230">
        <f>X$102*'BTX recycling rates'!Z54</f>
        <v>1.0964799297543479</v>
      </c>
      <c r="Y103" s="230">
        <f>Y$102*'BTX recycling rates'!AA54</f>
        <v>1.1453947793035322</v>
      </c>
      <c r="Z103" s="230">
        <f>Z$102*'BTX recycling rates'!AB54</f>
        <v>1.1925691868032813</v>
      </c>
      <c r="AA103" s="230">
        <f>AA$102*'BTX recycling rates'!AC54</f>
        <v>1.2379417884323014</v>
      </c>
      <c r="AB103" s="230">
        <f>AB$102*'BTX recycling rates'!AD54</f>
        <v>1.281451522668416</v>
      </c>
      <c r="AC103" s="230">
        <f>AC$102*'BTX recycling rates'!AE54</f>
        <v>1.3230501858855608</v>
      </c>
      <c r="AD103" s="230">
        <f>AD$102*'BTX recycling rates'!AF54</f>
        <v>1.3626786039522327</v>
      </c>
      <c r="AE103" s="230">
        <f>AE$102*'BTX recycling rates'!AG54</f>
        <v>1.4002779341039868</v>
      </c>
      <c r="AF103" s="230">
        <f>AF$102*'BTX recycling rates'!AH54</f>
        <v>1.435789707172082</v>
      </c>
      <c r="AG103" s="230">
        <f>AG$102*'BTX recycling rates'!AI54</f>
        <v>1.4691558700445539</v>
      </c>
      <c r="AH103" s="245"/>
      <c r="AI103" s="133"/>
      <c r="AJ103" s="211"/>
      <c r="AL103" s="108"/>
      <c r="AM103" s="2"/>
      <c r="AN103" s="2"/>
      <c r="AO103" s="2"/>
      <c r="BC103" s="1"/>
      <c r="BD103" s="2"/>
      <c r="BE103" s="2"/>
      <c r="BF103" s="2"/>
      <c r="BG103" s="2"/>
      <c r="BH103" s="2"/>
      <c r="BI103" s="2"/>
      <c r="BJ103" s="2"/>
      <c r="BK103" s="2"/>
    </row>
    <row r="104" spans="1:63" outlineLevel="1">
      <c r="A104" s="4" t="s">
        <v>478</v>
      </c>
      <c r="C104" s="230">
        <f>C$102*'BTX recycling rates'!E55</f>
        <v>1.6799280987221305E-3</v>
      </c>
      <c r="D104" s="230">
        <f>D$102*'BTX recycling rates'!F55</f>
        <v>7.2513179640079639E-3</v>
      </c>
      <c r="E104" s="230">
        <f>E$102*'BTX recycling rates'!G55</f>
        <v>1.3513996084043769E-2</v>
      </c>
      <c r="F104" s="230">
        <f>F$102*'BTX recycling rates'!H55</f>
        <v>2.0464924148725566E-2</v>
      </c>
      <c r="G104" s="230">
        <f>G$102*'BTX recycling rates'!I55</f>
        <v>2.80921777576329E-2</v>
      </c>
      <c r="H104" s="230">
        <f>H$102*'BTX recycling rates'!J55</f>
        <v>3.6374637950192898E-2</v>
      </c>
      <c r="I104" s="230">
        <f>I$102*'BTX recycling rates'!K55</f>
        <v>4.5379527267953287E-2</v>
      </c>
      <c r="J104" s="230">
        <f>J$102*'BTX recycling rates'!L55</f>
        <v>5.5129097298519433E-2</v>
      </c>
      <c r="K104" s="230">
        <f>K$102*'BTX recycling rates'!M55</f>
        <v>6.5644733309968034E-2</v>
      </c>
      <c r="L104" s="230">
        <f>L$102*'BTX recycling rates'!N55</f>
        <v>7.6946858135949106E-2</v>
      </c>
      <c r="M104" s="230">
        <f>M$102*'BTX recycling rates'!O55</f>
        <v>8.9054835944835264E-2</v>
      </c>
      <c r="N104" s="230">
        <f>N$102*'BTX recycling rates'!P55</f>
        <v>0.10517618747701062</v>
      </c>
      <c r="O104" s="230">
        <f>O$102*'BTX recycling rates'!Q55</f>
        <v>0.12262790570924137</v>
      </c>
      <c r="P104" s="230">
        <f>P$102*'BTX recycling rates'!R55</f>
        <v>0.1413654849557299</v>
      </c>
      <c r="Q104" s="230">
        <f>Q$102*'BTX recycling rates'!S55</f>
        <v>0.16132945654154665</v>
      </c>
      <c r="R104" s="230">
        <f>R$102*'BTX recycling rates'!T55</f>
        <v>0.1824454654206156</v>
      </c>
      <c r="S104" s="230">
        <f>S$102*'BTX recycling rates'!U55</f>
        <v>0.20499321951306501</v>
      </c>
      <c r="T104" s="230">
        <f>T$102*'BTX recycling rates'!V55</f>
        <v>0.22899782700266147</v>
      </c>
      <c r="U104" s="230">
        <f>U$102*'BTX recycling rates'!W55</f>
        <v>0.25448391509137591</v>
      </c>
      <c r="V104" s="230">
        <f>V$102*'BTX recycling rates'!X55</f>
        <v>0.28147560306953606</v>
      </c>
      <c r="W104" s="230">
        <f>W$102*'BTX recycling rates'!Y55</f>
        <v>0.3099964754067342</v>
      </c>
      <c r="X104" s="230">
        <f>X$102*'BTX recycling rates'!Z55</f>
        <v>0.34732557262036851</v>
      </c>
      <c r="Y104" s="230">
        <f>Y$102*'BTX recycling rates'!AA55</f>
        <v>0.3870345800737402</v>
      </c>
      <c r="Z104" s="230">
        <f>Z$102*'BTX recycling rates'!AB55</f>
        <v>0.42916165328422995</v>
      </c>
      <c r="AA104" s="230">
        <f>AA$102*'BTX recycling rates'!AC55</f>
        <v>0.47374417699318233</v>
      </c>
      <c r="AB104" s="230">
        <f>AB$102*'BTX recycling rates'!AD55</f>
        <v>0.52081872723649514</v>
      </c>
      <c r="AC104" s="230">
        <f>AC$102*'BTX recycling rates'!AE55</f>
        <v>0.57042642639862917</v>
      </c>
      <c r="AD104" s="230">
        <f>AD$102*'BTX recycling rates'!AF55</f>
        <v>0.62260360719542018</v>
      </c>
      <c r="AE104" s="230">
        <f>AE$102*'BTX recycling rates'!AG55</f>
        <v>0.67738583078186687</v>
      </c>
      <c r="AF104" s="230">
        <f>AF$102*'BTX recycling rates'!AH55</f>
        <v>0.73480785291301176</v>
      </c>
      <c r="AG104" s="230">
        <f>AG$102*'BTX recycling rates'!AI55</f>
        <v>0.79490359021151658</v>
      </c>
      <c r="AH104" s="245"/>
      <c r="AI104" s="133"/>
      <c r="AJ104" s="211"/>
      <c r="AL104" s="108"/>
      <c r="AM104" s="2"/>
      <c r="AN104" s="2"/>
      <c r="AO104" s="2"/>
      <c r="BC104" s="1"/>
      <c r="BD104" s="2"/>
      <c r="BE104" s="2"/>
      <c r="BF104" s="2"/>
      <c r="BG104" s="2"/>
      <c r="BH104" s="2"/>
      <c r="BI104" s="2"/>
      <c r="BJ104" s="2"/>
      <c r="BK104" s="2"/>
    </row>
    <row r="105" spans="1:63" outlineLevel="1">
      <c r="A105" s="4" t="s">
        <v>745</v>
      </c>
      <c r="C105" s="230">
        <f>C$102*'BTX recycling rates'!E56</f>
        <v>0</v>
      </c>
      <c r="D105" s="230">
        <f>D$102*'BTX recycling rates'!F56</f>
        <v>1.2722473864776197E-3</v>
      </c>
      <c r="E105" s="230">
        <f>E$102*'BTX recycling rates'!G56</f>
        <v>2.7055183762741387E-3</v>
      </c>
      <c r="F105" s="230">
        <f>F$102*'BTX recycling rates'!H56</f>
        <v>4.2992677107616889E-3</v>
      </c>
      <c r="G105" s="230">
        <f>G$102*'BTX recycling rates'!I56</f>
        <v>6.0508855677722968E-3</v>
      </c>
      <c r="H105" s="230">
        <f>H$102*'BTX recycling rates'!J56</f>
        <v>7.9556238796419255E-3</v>
      </c>
      <c r="I105" s="230">
        <f>I$102*'BTX recycling rates'!K56</f>
        <v>1.0028146411425265E-2</v>
      </c>
      <c r="J105" s="230">
        <f>J$102*'BTX recycling rates'!L56</f>
        <v>1.2273653155579099E-2</v>
      </c>
      <c r="K105" s="230">
        <f>K$102*'BTX recycling rates'!M56</f>
        <v>1.4697143637750895E-2</v>
      </c>
      <c r="L105" s="230">
        <f>L$102*'BTX recycling rates'!N56</f>
        <v>1.7303394522229391E-2</v>
      </c>
      <c r="M105" s="230">
        <f>M$102*'BTX recycling rates'!O56</f>
        <v>2.009693718652341E-2</v>
      </c>
      <c r="N105" s="230">
        <f>N$102*'BTX recycling rates'!P56</f>
        <v>2.3803851695474148E-2</v>
      </c>
      <c r="O105" s="230">
        <f>O$102*'BTX recycling rates'!Q56</f>
        <v>2.7820810740930329E-2</v>
      </c>
      <c r="P105" s="230">
        <f>P$102*'BTX recycling rates'!R56</f>
        <v>3.2137705491034514E-2</v>
      </c>
      <c r="Q105" s="230">
        <f>Q$102*'BTX recycling rates'!S56</f>
        <v>3.6740945585465749E-2</v>
      </c>
      <c r="R105" s="230">
        <f>R$102*'BTX recycling rates'!T56</f>
        <v>4.1613474629641746E-2</v>
      </c>
      <c r="S105" s="230">
        <f>S$102*'BTX recycling rates'!U56</f>
        <v>4.681903453727166E-2</v>
      </c>
      <c r="T105" s="230">
        <f>T$102*'BTX recycling rates'!V56</f>
        <v>5.2363484901806839E-2</v>
      </c>
      <c r="U105" s="230">
        <f>U$102*'BTX recycling rates'!W56</f>
        <v>5.8252573618235895E-2</v>
      </c>
      <c r="V105" s="230">
        <f>V$102*'BTX recycling rates'!X56</f>
        <v>6.449193060690768E-2</v>
      </c>
      <c r="W105" s="230">
        <f>W$102*'BTX recycling rates'!Y56</f>
        <v>7.1087061541911717E-2</v>
      </c>
      <c r="X105" s="230">
        <f>X$102*'BTX recycling rates'!Z56</f>
        <v>7.9708541729906907E-2</v>
      </c>
      <c r="Y105" s="230">
        <f>Y$102*'BTX recycling rates'!AA56</f>
        <v>8.8883674928633138E-2</v>
      </c>
      <c r="Z105" s="230">
        <f>Z$102*'BTX recycling rates'!AB56</f>
        <v>9.8621365735959726E-2</v>
      </c>
      <c r="AA105" s="230">
        <f>AA$102*'BTX recycling rates'!AC56</f>
        <v>0.10893033967415237</v>
      </c>
      <c r="AB105" s="230">
        <f>AB$102*'BTX recycling rates'!AD56</f>
        <v>0.1198191343496873</v>
      </c>
      <c r="AC105" s="230">
        <f>AC$102*'BTX recycling rates'!AE56</f>
        <v>0.13129733193752002</v>
      </c>
      <c r="AD105" s="230">
        <f>AD$102*'BTX recycling rates'!AF56</f>
        <v>0.1433734120425437</v>
      </c>
      <c r="AE105" s="230">
        <f>AE$102*'BTX recycling rates'!AG56</f>
        <v>0.1560556749500509</v>
      </c>
      <c r="AF105" s="230">
        <f>AF$102*'BTX recycling rates'!AH56</f>
        <v>0.16935223373859068</v>
      </c>
      <c r="AG105" s="230">
        <f>AG$102*'BTX recycling rates'!AI56</f>
        <v>0.1832710064173956</v>
      </c>
      <c r="AH105" s="245"/>
      <c r="AI105" s="133"/>
      <c r="AJ105" s="211"/>
      <c r="AL105" s="108"/>
      <c r="AM105" s="2"/>
      <c r="AN105" s="2"/>
      <c r="AO105" s="2"/>
      <c r="BC105" s="1"/>
      <c r="BD105" s="2"/>
      <c r="BE105" s="2"/>
      <c r="BF105" s="2"/>
      <c r="BG105" s="2"/>
      <c r="BH105" s="2"/>
      <c r="BI105" s="2"/>
      <c r="BJ105" s="2"/>
      <c r="BK105" s="2"/>
    </row>
    <row r="106" spans="1:63" outlineLevel="1">
      <c r="A106" s="4" t="s">
        <v>1561</v>
      </c>
      <c r="C106" s="230">
        <f>C$102*'BTX recycling rates'!E57</f>
        <v>0</v>
      </c>
      <c r="D106" s="230">
        <f>D$102*'BTX recycling rates'!F57</f>
        <v>1.0974150640046569E-4</v>
      </c>
      <c r="E106" s="230">
        <f>E$102*'BTX recycling rates'!G57</f>
        <v>2.3337258567965538E-4</v>
      </c>
      <c r="F106" s="230">
        <f>F$102*'BTX recycling rates'!H57</f>
        <v>3.7084620492255894E-4</v>
      </c>
      <c r="G106" s="230">
        <f>G$102*'BTX recycling rates'!I57</f>
        <v>5.219372461063807E-4</v>
      </c>
      <c r="H106" s="230">
        <f>H$102*'BTX recycling rates'!J57</f>
        <v>6.8623615044288429E-4</v>
      </c>
      <c r="I106" s="230">
        <f>I$102*'BTX recycling rates'!K57</f>
        <v>8.6500778487831609E-4</v>
      </c>
      <c r="J106" s="230">
        <f>J$102*'BTX recycling rates'!L57</f>
        <v>1.0587006903266087E-3</v>
      </c>
      <c r="K106" s="230">
        <f>K$102*'BTX recycling rates'!M57</f>
        <v>1.2677461158370207E-3</v>
      </c>
      <c r="L106" s="230">
        <f>L$102*'BTX recycling rates'!N57</f>
        <v>1.4925560868852476E-3</v>
      </c>
      <c r="M106" s="230">
        <f>M$102*'BTX recycling rates'!O57</f>
        <v>1.7335214710015926E-3</v>
      </c>
      <c r="N106" s="230">
        <f>N$102*'BTX recycling rates'!P57</f>
        <v>2.0532724774754837E-3</v>
      </c>
      <c r="O106" s="230">
        <f>O$102*'BTX recycling rates'!Q57</f>
        <v>2.399767303468268E-3</v>
      </c>
      <c r="P106" s="230">
        <f>P$102*'BTX recycling rates'!R57</f>
        <v>2.7721339814304152E-3</v>
      </c>
      <c r="Q106" s="230">
        <f>Q$102*'BTX recycling rates'!S57</f>
        <v>3.1692002341538921E-3</v>
      </c>
      <c r="R106" s="230">
        <f>R$102*'BTX recycling rates'!T57</f>
        <v>3.5894948112709505E-3</v>
      </c>
      <c r="S106" s="230">
        <f>S$102*'BTX recycling rates'!U57</f>
        <v>4.038515962340318E-3</v>
      </c>
      <c r="T106" s="230">
        <f>T$102*'BTX recycling rates'!V57</f>
        <v>4.5167691241340246E-3</v>
      </c>
      <c r="U106" s="230">
        <f>U$102*'BTX recycling rates'!W57</f>
        <v>5.0247500985388617E-3</v>
      </c>
      <c r="V106" s="230">
        <f>V$102*'BTX recycling rates'!X57</f>
        <v>5.5629445111859497E-3</v>
      </c>
      <c r="W106" s="230">
        <f>W$102*'BTX recycling rates'!Y57</f>
        <v>6.1318272704734148E-3</v>
      </c>
      <c r="X106" s="230">
        <f>X$102*'BTX recycling rates'!Z57</f>
        <v>6.8754988498286344E-3</v>
      </c>
      <c r="Y106" s="230">
        <f>Y$102*'BTX recycling rates'!AA57</f>
        <v>7.6669274268138469E-3</v>
      </c>
      <c r="Z106" s="230">
        <f>Z$102*'BTX recycling rates'!AB57</f>
        <v>8.5068810941714371E-3</v>
      </c>
      <c r="AA106" s="230">
        <f>AA$102*'BTX recycling rates'!AC57</f>
        <v>9.3961124979415889E-3</v>
      </c>
      <c r="AB106" s="230">
        <f>AB$102*'BTX recycling rates'!AD57</f>
        <v>1.0335358074925602E-2</v>
      </c>
      <c r="AC106" s="230">
        <f>AC$102*'BTX recycling rates'!AE57</f>
        <v>1.1325444364305541E-2</v>
      </c>
      <c r="AD106" s="230">
        <f>AD$102*'BTX recycling rates'!AF57</f>
        <v>1.2367102799782551E-2</v>
      </c>
      <c r="AE106" s="230">
        <f>AE$102*'BTX recycling rates'!AG57</f>
        <v>1.3461049347308884E-2</v>
      </c>
      <c r="AF106" s="230">
        <f>AF$102*'BTX recycling rates'!AH57</f>
        <v>1.460798382475878E-2</v>
      </c>
      <c r="AG106" s="230">
        <f>AG$102*'BTX recycling rates'!AI57</f>
        <v>1.5808589223718725E-2</v>
      </c>
      <c r="AH106" s="245"/>
      <c r="AI106" s="133"/>
      <c r="AJ106" s="211"/>
      <c r="AL106" s="108"/>
      <c r="AM106" s="2"/>
      <c r="AN106" s="2"/>
      <c r="AO106" s="2"/>
      <c r="BC106" s="1"/>
      <c r="BD106" s="2"/>
      <c r="BE106" s="2"/>
      <c r="BF106" s="2"/>
      <c r="BG106" s="2"/>
      <c r="BH106" s="2"/>
      <c r="BI106" s="2"/>
      <c r="BJ106" s="2"/>
      <c r="BK106" s="2"/>
    </row>
    <row r="107" spans="1:63" s="1" customFormat="1" outlineLevel="1">
      <c r="A107" s="1" t="s">
        <v>1568</v>
      </c>
      <c r="B107" s="65"/>
      <c r="C107" s="300">
        <f>C102-$C102</f>
        <v>0</v>
      </c>
      <c r="D107" s="300">
        <f t="shared" ref="D107:AG107" si="47">D102-$C102</f>
        <v>3.2335358262726488E-2</v>
      </c>
      <c r="E107" s="300">
        <f t="shared" si="47"/>
        <v>6.4797410008607281E-2</v>
      </c>
      <c r="F107" s="300">
        <f t="shared" si="47"/>
        <v>9.7186179687230423E-2</v>
      </c>
      <c r="G107" s="300">
        <f t="shared" si="47"/>
        <v>0.12929356125982194</v>
      </c>
      <c r="H107" s="300">
        <f t="shared" si="47"/>
        <v>0.16090550703081319</v>
      </c>
      <c r="I107" s="300">
        <f t="shared" si="47"/>
        <v>0.19325513060321498</v>
      </c>
      <c r="J107" s="300">
        <f t="shared" si="47"/>
        <v>0.22632580108369649</v>
      </c>
      <c r="K107" s="300">
        <f t="shared" si="47"/>
        <v>0.26009909959385402</v>
      </c>
      <c r="L107" s="300">
        <f t="shared" si="47"/>
        <v>0.29455480932891676</v>
      </c>
      <c r="M107" s="300">
        <f t="shared" si="47"/>
        <v>0.32967091033648965</v>
      </c>
      <c r="N107" s="300">
        <f t="shared" si="47"/>
        <v>0.3918811792132465</v>
      </c>
      <c r="O107" s="300">
        <f t="shared" si="47"/>
        <v>0.45414046795274199</v>
      </c>
      <c r="P107" s="300">
        <f t="shared" si="47"/>
        <v>0.51612393793290956</v>
      </c>
      <c r="Q107" s="300">
        <f t="shared" si="47"/>
        <v>0.57749929449407622</v>
      </c>
      <c r="R107" s="300">
        <f t="shared" si="47"/>
        <v>0.63792968876505163</v>
      </c>
      <c r="S107" s="300">
        <f t="shared" si="47"/>
        <v>0.69919858222547737</v>
      </c>
      <c r="T107" s="300">
        <f t="shared" si="47"/>
        <v>0.76129697888659131</v>
      </c>
      <c r="U107" s="300">
        <f t="shared" si="47"/>
        <v>0.82421537984631699</v>
      </c>
      <c r="V107" s="300">
        <f t="shared" si="47"/>
        <v>0.88794378244904881</v>
      </c>
      <c r="W107" s="300">
        <f t="shared" si="47"/>
        <v>0.95247167978937819</v>
      </c>
      <c r="X107" s="300">
        <f t="shared" si="47"/>
        <v>1.0497596011970807</v>
      </c>
      <c r="Y107" s="300">
        <f t="shared" si="47"/>
        <v>1.148350019975348</v>
      </c>
      <c r="Z107" s="300">
        <f t="shared" si="47"/>
        <v>1.2482291451602709</v>
      </c>
      <c r="AA107" s="300">
        <f t="shared" si="47"/>
        <v>1.349382475840206</v>
      </c>
      <c r="AB107" s="300">
        <f t="shared" si="47"/>
        <v>1.4517948005721522</v>
      </c>
      <c r="AC107" s="300">
        <f t="shared" si="47"/>
        <v>1.5554694468286434</v>
      </c>
      <c r="AD107" s="300">
        <f t="shared" si="47"/>
        <v>1.6603927842326067</v>
      </c>
      <c r="AE107" s="300">
        <f t="shared" si="47"/>
        <v>1.7665505474258407</v>
      </c>
      <c r="AF107" s="300">
        <f t="shared" si="47"/>
        <v>1.8739278358910703</v>
      </c>
      <c r="AG107" s="300">
        <f t="shared" si="47"/>
        <v>1.9825091141398148</v>
      </c>
      <c r="AH107" s="245"/>
      <c r="AI107" s="423"/>
      <c r="AJ107" s="424"/>
      <c r="AL107" s="221"/>
      <c r="AM107" s="124"/>
      <c r="AN107" s="124"/>
      <c r="AO107" s="124"/>
      <c r="BD107" s="124"/>
      <c r="BE107" s="124"/>
      <c r="BF107" s="124"/>
      <c r="BG107" s="124"/>
      <c r="BH107" s="124"/>
      <c r="BI107" s="124"/>
      <c r="BJ107" s="124"/>
      <c r="BK107" s="124"/>
    </row>
    <row r="108" spans="1:63" outlineLevel="1">
      <c r="A108" s="4" t="s">
        <v>474</v>
      </c>
      <c r="C108" s="230">
        <f>C103-$C103</f>
        <v>0</v>
      </c>
      <c r="D108" s="230">
        <f t="shared" ref="D108:AG108" si="48">D103-$C103</f>
        <v>2.5381979504562613E-2</v>
      </c>
      <c r="E108" s="230">
        <f t="shared" si="48"/>
        <v>5.0024451061331854E-2</v>
      </c>
      <c r="F108" s="230">
        <f t="shared" si="48"/>
        <v>7.3731069721542808E-2</v>
      </c>
      <c r="G108" s="230">
        <f t="shared" si="48"/>
        <v>9.6308488787032631E-2</v>
      </c>
      <c r="H108" s="230">
        <f t="shared" si="48"/>
        <v>0.1175689371492577</v>
      </c>
      <c r="I108" s="230">
        <f t="shared" si="48"/>
        <v>0.13866237723768043</v>
      </c>
      <c r="J108" s="230">
        <f t="shared" si="48"/>
        <v>0.1595442780379937</v>
      </c>
      <c r="K108" s="230">
        <f t="shared" si="48"/>
        <v>0.18016940462902048</v>
      </c>
      <c r="L108" s="230">
        <f t="shared" si="48"/>
        <v>0.20049192868257543</v>
      </c>
      <c r="M108" s="230">
        <f t="shared" si="48"/>
        <v>0.22046554383285183</v>
      </c>
      <c r="N108" s="230">
        <f t="shared" si="48"/>
        <v>0.26252779566200873</v>
      </c>
      <c r="O108" s="230">
        <f t="shared" si="48"/>
        <v>0.30297191229782466</v>
      </c>
      <c r="P108" s="230">
        <f t="shared" si="48"/>
        <v>0.34152854160343743</v>
      </c>
      <c r="Q108" s="230">
        <f t="shared" si="48"/>
        <v>0.37793962023163269</v>
      </c>
      <c r="R108" s="230">
        <f t="shared" si="48"/>
        <v>0.41196118200224613</v>
      </c>
      <c r="S108" s="230">
        <f t="shared" si="48"/>
        <v>0.44502774031152331</v>
      </c>
      <c r="T108" s="230">
        <f t="shared" si="48"/>
        <v>0.47709882595671199</v>
      </c>
      <c r="U108" s="230">
        <f t="shared" si="48"/>
        <v>0.50813406913688941</v>
      </c>
      <c r="V108" s="230">
        <f t="shared" si="48"/>
        <v>0.53809323236014239</v>
      </c>
      <c r="W108" s="230">
        <f t="shared" si="48"/>
        <v>0.56693624366898221</v>
      </c>
      <c r="X108" s="230">
        <f t="shared" si="48"/>
        <v>0.61752991609570018</v>
      </c>
      <c r="Y108" s="230">
        <f t="shared" si="48"/>
        <v>0.66644476564488442</v>
      </c>
      <c r="Z108" s="230">
        <f t="shared" si="48"/>
        <v>0.71361917314463352</v>
      </c>
      <c r="AA108" s="230">
        <f t="shared" si="48"/>
        <v>0.75899177477365365</v>
      </c>
      <c r="AB108" s="230">
        <f t="shared" si="48"/>
        <v>0.80250150900976824</v>
      </c>
      <c r="AC108" s="230">
        <f t="shared" si="48"/>
        <v>0.84410017222691303</v>
      </c>
      <c r="AD108" s="230">
        <f t="shared" si="48"/>
        <v>0.88372859029358497</v>
      </c>
      <c r="AE108" s="230">
        <f t="shared" si="48"/>
        <v>0.92132792044533907</v>
      </c>
      <c r="AF108" s="230">
        <f t="shared" si="48"/>
        <v>0.95683969351343423</v>
      </c>
      <c r="AG108" s="230">
        <f t="shared" si="48"/>
        <v>0.99020585638590619</v>
      </c>
      <c r="AH108" s="245"/>
      <c r="AI108" s="133"/>
      <c r="AJ108" s="211"/>
      <c r="AL108" s="108"/>
      <c r="AM108" s="2"/>
      <c r="AN108" s="2"/>
      <c r="AO108" s="2"/>
      <c r="BC108" s="1"/>
      <c r="BD108" s="2"/>
      <c r="BE108" s="2"/>
      <c r="BF108" s="2"/>
      <c r="BG108" s="2"/>
      <c r="BH108" s="2"/>
      <c r="BI108" s="2"/>
      <c r="BJ108" s="2"/>
      <c r="BK108" s="2"/>
    </row>
    <row r="109" spans="1:63" outlineLevel="1">
      <c r="A109" s="4" t="s">
        <v>478</v>
      </c>
      <c r="C109" s="230">
        <f t="shared" ref="C109:AG111" si="49">C104-$C104</f>
        <v>0</v>
      </c>
      <c r="D109" s="230">
        <f t="shared" si="49"/>
        <v>5.5713898652858338E-3</v>
      </c>
      <c r="E109" s="230">
        <f t="shared" si="49"/>
        <v>1.1834067985321639E-2</v>
      </c>
      <c r="F109" s="230">
        <f t="shared" si="49"/>
        <v>1.8784996050003434E-2</v>
      </c>
      <c r="G109" s="230">
        <f t="shared" si="49"/>
        <v>2.6412249658910768E-2</v>
      </c>
      <c r="H109" s="230">
        <f t="shared" si="49"/>
        <v>3.4694709851470766E-2</v>
      </c>
      <c r="I109" s="230">
        <f t="shared" si="49"/>
        <v>4.3699599169231156E-2</v>
      </c>
      <c r="J109" s="230">
        <f t="shared" si="49"/>
        <v>5.3449169199797301E-2</v>
      </c>
      <c r="K109" s="230">
        <f t="shared" si="49"/>
        <v>6.3964805211245909E-2</v>
      </c>
      <c r="L109" s="230">
        <f t="shared" si="49"/>
        <v>7.5266930037226981E-2</v>
      </c>
      <c r="M109" s="230">
        <f t="shared" si="49"/>
        <v>8.737490784611314E-2</v>
      </c>
      <c r="N109" s="230">
        <f t="shared" si="49"/>
        <v>0.10349625937828849</v>
      </c>
      <c r="O109" s="230">
        <f t="shared" si="49"/>
        <v>0.12094797761051924</v>
      </c>
      <c r="P109" s="230">
        <f t="shared" si="49"/>
        <v>0.13968555685700776</v>
      </c>
      <c r="Q109" s="230">
        <f t="shared" si="49"/>
        <v>0.15964952844282451</v>
      </c>
      <c r="R109" s="230">
        <f t="shared" si="49"/>
        <v>0.18076553732189346</v>
      </c>
      <c r="S109" s="230">
        <f t="shared" si="49"/>
        <v>0.20331329141434287</v>
      </c>
      <c r="T109" s="230">
        <f t="shared" si="49"/>
        <v>0.22731789890393933</v>
      </c>
      <c r="U109" s="230">
        <f t="shared" si="49"/>
        <v>0.25280398699265377</v>
      </c>
      <c r="V109" s="230">
        <f t="shared" si="49"/>
        <v>0.27979567497081392</v>
      </c>
      <c r="W109" s="230">
        <f t="shared" si="49"/>
        <v>0.30831654730801206</v>
      </c>
      <c r="X109" s="230">
        <f t="shared" si="49"/>
        <v>0.34564564452164637</v>
      </c>
      <c r="Y109" s="230">
        <f t="shared" si="49"/>
        <v>0.38535465197501806</v>
      </c>
      <c r="Z109" s="230">
        <f t="shared" si="49"/>
        <v>0.42748172518550781</v>
      </c>
      <c r="AA109" s="230">
        <f t="shared" si="49"/>
        <v>0.47206424889446019</v>
      </c>
      <c r="AB109" s="230">
        <f t="shared" si="49"/>
        <v>0.51913879913777305</v>
      </c>
      <c r="AC109" s="230">
        <f t="shared" si="49"/>
        <v>0.56874649829990709</v>
      </c>
      <c r="AD109" s="230">
        <f t="shared" si="49"/>
        <v>0.6209236790966981</v>
      </c>
      <c r="AE109" s="230">
        <f t="shared" si="49"/>
        <v>0.67570590268314479</v>
      </c>
      <c r="AF109" s="230">
        <f t="shared" si="49"/>
        <v>0.73312792481428968</v>
      </c>
      <c r="AG109" s="230">
        <f t="shared" si="49"/>
        <v>0.79322366211279449</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si="49"/>
        <v>0</v>
      </c>
      <c r="D110" s="230">
        <f t="shared" si="49"/>
        <v>1.2722473864776197E-3</v>
      </c>
      <c r="E110" s="230">
        <f t="shared" si="49"/>
        <v>2.7055183762741387E-3</v>
      </c>
      <c r="F110" s="230">
        <f t="shared" si="49"/>
        <v>4.2992677107616889E-3</v>
      </c>
      <c r="G110" s="230">
        <f t="shared" si="49"/>
        <v>6.0508855677722968E-3</v>
      </c>
      <c r="H110" s="230">
        <f t="shared" si="49"/>
        <v>7.9556238796419255E-3</v>
      </c>
      <c r="I110" s="230">
        <f t="shared" si="49"/>
        <v>1.0028146411425265E-2</v>
      </c>
      <c r="J110" s="230">
        <f t="shared" si="49"/>
        <v>1.2273653155579099E-2</v>
      </c>
      <c r="K110" s="230">
        <f t="shared" si="49"/>
        <v>1.4697143637750895E-2</v>
      </c>
      <c r="L110" s="230">
        <f t="shared" si="49"/>
        <v>1.7303394522229391E-2</v>
      </c>
      <c r="M110" s="230">
        <f t="shared" si="49"/>
        <v>2.009693718652341E-2</v>
      </c>
      <c r="N110" s="230">
        <f t="shared" si="49"/>
        <v>2.3803851695474148E-2</v>
      </c>
      <c r="O110" s="230">
        <f t="shared" si="49"/>
        <v>2.7820810740930329E-2</v>
      </c>
      <c r="P110" s="230">
        <f t="shared" si="49"/>
        <v>3.2137705491034514E-2</v>
      </c>
      <c r="Q110" s="230">
        <f t="shared" si="49"/>
        <v>3.6740945585465749E-2</v>
      </c>
      <c r="R110" s="230">
        <f t="shared" si="49"/>
        <v>4.1613474629641746E-2</v>
      </c>
      <c r="S110" s="230">
        <f t="shared" si="49"/>
        <v>4.681903453727166E-2</v>
      </c>
      <c r="T110" s="230">
        <f t="shared" si="49"/>
        <v>5.2363484901806839E-2</v>
      </c>
      <c r="U110" s="230">
        <f t="shared" si="49"/>
        <v>5.8252573618235895E-2</v>
      </c>
      <c r="V110" s="230">
        <f t="shared" si="49"/>
        <v>6.449193060690768E-2</v>
      </c>
      <c r="W110" s="230">
        <f t="shared" si="49"/>
        <v>7.1087061541911717E-2</v>
      </c>
      <c r="X110" s="230">
        <f t="shared" si="49"/>
        <v>7.9708541729906907E-2</v>
      </c>
      <c r="Y110" s="230">
        <f t="shared" si="49"/>
        <v>8.8883674928633138E-2</v>
      </c>
      <c r="Z110" s="230">
        <f t="shared" si="49"/>
        <v>9.8621365735959726E-2</v>
      </c>
      <c r="AA110" s="230">
        <f t="shared" si="49"/>
        <v>0.10893033967415237</v>
      </c>
      <c r="AB110" s="230">
        <f t="shared" si="49"/>
        <v>0.1198191343496873</v>
      </c>
      <c r="AC110" s="230">
        <f t="shared" si="49"/>
        <v>0.13129733193752002</v>
      </c>
      <c r="AD110" s="230">
        <f t="shared" si="49"/>
        <v>0.1433734120425437</v>
      </c>
      <c r="AE110" s="230">
        <f t="shared" si="49"/>
        <v>0.1560556749500509</v>
      </c>
      <c r="AF110" s="230">
        <f t="shared" si="49"/>
        <v>0.16935223373859068</v>
      </c>
      <c r="AG110" s="230">
        <f t="shared" si="49"/>
        <v>0.1832710064173956</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si="49"/>
        <v>0</v>
      </c>
      <c r="D111" s="230">
        <f t="shared" si="49"/>
        <v>1.0974150640046569E-4</v>
      </c>
      <c r="E111" s="230">
        <f t="shared" si="49"/>
        <v>2.3337258567965538E-4</v>
      </c>
      <c r="F111" s="230">
        <f t="shared" si="49"/>
        <v>3.7084620492255894E-4</v>
      </c>
      <c r="G111" s="230">
        <f t="shared" si="49"/>
        <v>5.219372461063807E-4</v>
      </c>
      <c r="H111" s="230">
        <f t="shared" si="49"/>
        <v>6.8623615044288429E-4</v>
      </c>
      <c r="I111" s="230">
        <f t="shared" si="49"/>
        <v>8.6500778487831609E-4</v>
      </c>
      <c r="J111" s="230">
        <f t="shared" si="49"/>
        <v>1.0587006903266087E-3</v>
      </c>
      <c r="K111" s="230">
        <f t="shared" si="49"/>
        <v>1.2677461158370207E-3</v>
      </c>
      <c r="L111" s="230">
        <f t="shared" si="49"/>
        <v>1.4925560868852476E-3</v>
      </c>
      <c r="M111" s="230">
        <f t="shared" si="49"/>
        <v>1.7335214710015926E-3</v>
      </c>
      <c r="N111" s="230">
        <f t="shared" si="49"/>
        <v>2.0532724774754837E-3</v>
      </c>
      <c r="O111" s="230">
        <f t="shared" si="49"/>
        <v>2.399767303468268E-3</v>
      </c>
      <c r="P111" s="230">
        <f t="shared" si="49"/>
        <v>2.7721339814304152E-3</v>
      </c>
      <c r="Q111" s="230">
        <f t="shared" si="49"/>
        <v>3.1692002341538921E-3</v>
      </c>
      <c r="R111" s="230">
        <f t="shared" si="49"/>
        <v>3.5894948112709505E-3</v>
      </c>
      <c r="S111" s="230">
        <f t="shared" si="49"/>
        <v>4.038515962340318E-3</v>
      </c>
      <c r="T111" s="230">
        <f t="shared" si="49"/>
        <v>4.5167691241340246E-3</v>
      </c>
      <c r="U111" s="230">
        <f t="shared" si="49"/>
        <v>5.0247500985388617E-3</v>
      </c>
      <c r="V111" s="230">
        <f t="shared" si="49"/>
        <v>5.5629445111859497E-3</v>
      </c>
      <c r="W111" s="230">
        <f t="shared" si="49"/>
        <v>6.1318272704734148E-3</v>
      </c>
      <c r="X111" s="230">
        <f t="shared" si="49"/>
        <v>6.8754988498286344E-3</v>
      </c>
      <c r="Y111" s="230">
        <f t="shared" si="49"/>
        <v>7.6669274268138469E-3</v>
      </c>
      <c r="Z111" s="230">
        <f t="shared" si="49"/>
        <v>8.5068810941714371E-3</v>
      </c>
      <c r="AA111" s="230">
        <f t="shared" si="49"/>
        <v>9.3961124979415889E-3</v>
      </c>
      <c r="AB111" s="230">
        <f t="shared" si="49"/>
        <v>1.0335358074925602E-2</v>
      </c>
      <c r="AC111" s="230">
        <f t="shared" si="49"/>
        <v>1.1325444364305541E-2</v>
      </c>
      <c r="AD111" s="230">
        <f t="shared" si="49"/>
        <v>1.2367102799782551E-2</v>
      </c>
      <c r="AE111" s="230">
        <f t="shared" si="49"/>
        <v>1.3461049347308884E-2</v>
      </c>
      <c r="AF111" s="230">
        <f t="shared" si="49"/>
        <v>1.460798382475878E-2</v>
      </c>
      <c r="AG111" s="230">
        <f t="shared" si="49"/>
        <v>1.5808589223718725E-2</v>
      </c>
      <c r="AH111" s="245"/>
      <c r="AI111" s="133"/>
      <c r="AJ111" s="211"/>
      <c r="AL111" s="108"/>
      <c r="AM111" s="2"/>
      <c r="AN111" s="2"/>
      <c r="AO111" s="2"/>
      <c r="BC111" s="1"/>
      <c r="BD111" s="2"/>
      <c r="BE111" s="2"/>
      <c r="BF111" s="2"/>
      <c r="BG111" s="2"/>
      <c r="BH111" s="2"/>
      <c r="BI111" s="2"/>
      <c r="BJ111" s="2"/>
      <c r="BK111" s="2"/>
    </row>
    <row r="112" spans="1:63" s="1" customFormat="1" outlineLevel="1">
      <c r="A112" s="1" t="s">
        <v>1569</v>
      </c>
      <c r="B112" s="65"/>
      <c r="C112" s="300">
        <f>'BTX Recycling HC'!C112</f>
        <v>2.225250593552321</v>
      </c>
      <c r="D112" s="300">
        <f>'BTX Recycling HC'!D112</f>
        <v>2.3830174685694749</v>
      </c>
      <c r="E112" s="300">
        <f>'BTX Recycling HC'!E112</f>
        <v>2.5423908650730516</v>
      </c>
      <c r="F112" s="300">
        <f>'BTX Recycling HC'!F112</f>
        <v>2.7024414699892243</v>
      </c>
      <c r="G112" s="300">
        <f>'BTX Recycling HC'!G112</f>
        <v>2.8621892499397461</v>
      </c>
      <c r="H112" s="300">
        <f>'BTX Recycling HC'!H112</f>
        <v>3.0206131185186269</v>
      </c>
      <c r="I112" s="300">
        <f>'BTX Recycling HC'!I112</f>
        <v>3.1835151048072654</v>
      </c>
      <c r="J112" s="300">
        <f>'BTX Recycling HC'!J112</f>
        <v>3.3508511476000149</v>
      </c>
      <c r="K112" s="300">
        <f>'BTX Recycling HC'!K112</f>
        <v>3.5225676377786499</v>
      </c>
      <c r="L112" s="300">
        <f>'BTX Recycling HC'!L112</f>
        <v>3.6986012304350555</v>
      </c>
      <c r="M112" s="300">
        <f>'BTX Recycling HC'!M112</f>
        <v>3.8788786786514775</v>
      </c>
      <c r="N112" s="300">
        <f>'BTX Recycling HC'!N112</f>
        <v>4.1903838380569409</v>
      </c>
      <c r="O112" s="300">
        <f>'BTX Recycling HC'!O112</f>
        <v>4.5040798220814544</v>
      </c>
      <c r="P112" s="300">
        <f>'BTX Recycling HC'!P112</f>
        <v>4.8183986416534488</v>
      </c>
      <c r="Q112" s="300">
        <f>'BTX Recycling HC'!Q112</f>
        <v>5.1317157347393012</v>
      </c>
      <c r="R112" s="300">
        <f>'BTX Recycling HC'!R112</f>
        <v>5.4423634995420551</v>
      </c>
      <c r="S112" s="300">
        <f>'BTX Recycling HC'!S112</f>
        <v>5.7590028686763022</v>
      </c>
      <c r="T112" s="300">
        <f>'BTX Recycling HC'!T112</f>
        <v>6.0816293075088597</v>
      </c>
      <c r="U112" s="300">
        <f>'BTX Recycling HC'!U112</f>
        <v>6.4102352454718918</v>
      </c>
      <c r="V112" s="300">
        <f>'BTX Recycling HC'!V112</f>
        <v>6.744810032418572</v>
      </c>
      <c r="W112" s="300">
        <f>'BTX Recycling HC'!W112</f>
        <v>7.085339896600015</v>
      </c>
      <c r="X112" s="300">
        <f>'BTX Recycling HC'!X112</f>
        <v>7.5903793763829608</v>
      </c>
      <c r="Y112" s="300">
        <f>'BTX Recycling HC'!Y112</f>
        <v>8.1049561626597981</v>
      </c>
      <c r="Z112" s="300">
        <f>'BTX Recycling HC'!Z112</f>
        <v>8.6290628082437077</v>
      </c>
      <c r="AA112" s="300">
        <f>'BTX Recycling HC'!AA112</f>
        <v>9.1626874446952069</v>
      </c>
      <c r="AB112" s="300">
        <f>'BTX Recycling HC'!AB112</f>
        <v>9.705813723624976</v>
      </c>
      <c r="AC112" s="300">
        <f>'BTX Recycling HC'!AC112</f>
        <v>10.258517745731545</v>
      </c>
      <c r="AD112" s="300">
        <f>'BTX Recycling HC'!AD112</f>
        <v>10.820790115352739</v>
      </c>
      <c r="AE112" s="300">
        <f>'BTX Recycling HC'!AE112</f>
        <v>11.392617361113292</v>
      </c>
      <c r="AF112" s="300">
        <f>'BTX Recycling HC'!AF112</f>
        <v>11.97398188514263</v>
      </c>
      <c r="AG112" s="300">
        <f>'BTX Recycling HC'!AG112</f>
        <v>12.564861914141931</v>
      </c>
      <c r="AH112" s="245"/>
      <c r="AI112" s="423"/>
      <c r="AJ112" s="424"/>
      <c r="AL112" s="221"/>
      <c r="AM112" s="124"/>
      <c r="AN112" s="124"/>
      <c r="AO112" s="124"/>
      <c r="BD112" s="124"/>
      <c r="BE112" s="124"/>
      <c r="BF112" s="124"/>
      <c r="BG112" s="124"/>
      <c r="BH112" s="124"/>
      <c r="BI112" s="124"/>
      <c r="BJ112" s="124"/>
      <c r="BK112" s="124"/>
    </row>
    <row r="113" spans="1:63" outlineLevel="1">
      <c r="A113" s="4" t="s">
        <v>474</v>
      </c>
      <c r="C113" s="230">
        <f>C$112*'BTX recycling rates'!E50</f>
        <v>2.2174727572711728</v>
      </c>
      <c r="D113" s="230">
        <f>D$112*'BTX recycling rates'!F50</f>
        <v>2.2955319223670831</v>
      </c>
      <c r="E113" s="230">
        <f>E$112*'BTX recycling rates'!G50</f>
        <v>2.3646042374306746</v>
      </c>
      <c r="F113" s="230">
        <f>F$112*'BTX recycling rates'!H50</f>
        <v>2.4236961534427106</v>
      </c>
      <c r="G113" s="230">
        <f>G$112*'BTX recycling rates'!I50</f>
        <v>2.4718937927475086</v>
      </c>
      <c r="H113" s="230">
        <f>H$112*'BTX recycling rates'!J50</f>
        <v>2.5083794007960436</v>
      </c>
      <c r="I113" s="230">
        <f>I$112*'BTX recycling rates'!K50</f>
        <v>2.5379103055542349</v>
      </c>
      <c r="J113" s="230">
        <f>J$112*'BTX recycling rates'!L50</f>
        <v>2.5600065982842888</v>
      </c>
      <c r="K113" s="230">
        <f>K$112*'BTX recycling rates'!M50</f>
        <v>2.5741872472123495</v>
      </c>
      <c r="L113" s="230">
        <f>L$112*'BTX recycling rates'!N50</f>
        <v>2.5799715522307411</v>
      </c>
      <c r="M113" s="230">
        <f>M$112*'BTX recycling rates'!O50</f>
        <v>2.5768806514322478</v>
      </c>
      <c r="N113" s="230">
        <f>N$112*'BTX recycling rates'!P50</f>
        <v>2.6446336512415782</v>
      </c>
      <c r="O113" s="230">
        <f>O$112*'BTX recycling rates'!Q50</f>
        <v>2.6930021268561211</v>
      </c>
      <c r="P113" s="230">
        <f>P$112*'BTX recycling rates'!R50</f>
        <v>2.7208823400603848</v>
      </c>
      <c r="Q113" s="230">
        <f>Q$112*'BTX recycling rates'!S50</f>
        <v>2.7273488203240195</v>
      </c>
      <c r="R113" s="230">
        <f>R$112*'BTX recycling rates'!T50</f>
        <v>2.7116705036209092</v>
      </c>
      <c r="S113" s="230">
        <f>S$112*'BTX recycling rates'!U50</f>
        <v>2.6781410312879053</v>
      </c>
      <c r="T113" s="230">
        <f>T$112*'BTX recycling rates'!V50</f>
        <v>2.6261613789757154</v>
      </c>
      <c r="U113" s="230">
        <f>U$112*'BTX recycling rates'!W50</f>
        <v>2.5551319147102025</v>
      </c>
      <c r="V113" s="230">
        <f>V$112*'BTX recycling rates'!X50</f>
        <v>2.4644528871659381</v>
      </c>
      <c r="W113" s="230">
        <f>W$112*'BTX recycling rates'!Y50</f>
        <v>2.3535249231766491</v>
      </c>
      <c r="X113" s="230">
        <f>X$112*'BTX recycling rates'!Z50</f>
        <v>2.2691547010370079</v>
      </c>
      <c r="Y113" s="230">
        <f>Y$112*'BTX recycling rates'!AA50</f>
        <v>2.1537672555951723</v>
      </c>
      <c r="Z113" s="230">
        <f>Z$112*'BTX recycling rates'!AB50</f>
        <v>2.0064104581380109</v>
      </c>
      <c r="AA113" s="230">
        <f>AA$112*'BTX recycling rates'!AC50</f>
        <v>1.8261322882801381</v>
      </c>
      <c r="AB113" s="230">
        <f>AB$112*'BTX recycling rates'!AD50</f>
        <v>1.6119815585151194</v>
      </c>
      <c r="AC113" s="230">
        <f>AC$112*'BTX recycling rates'!AE50</f>
        <v>1.363021536963368</v>
      </c>
      <c r="AD113" s="230">
        <f>AD$112*'BTX recycling rates'!AF50</f>
        <v>1.0782968606982457</v>
      </c>
      <c r="AE113" s="230">
        <f>AE$112*'BTX recycling rates'!AG50</f>
        <v>0.75685314440486839</v>
      </c>
      <c r="AF113" s="230">
        <f>AF$112*'BTX recycling rates'!AH50</f>
        <v>0.39773765560451779</v>
      </c>
      <c r="AG113" s="230">
        <f>AG$112*'BTX recycling rates'!AI50</f>
        <v>0</v>
      </c>
      <c r="AH113" s="245"/>
      <c r="AI113" s="133"/>
      <c r="AJ113" s="211"/>
      <c r="AL113" s="108"/>
      <c r="AM113" s="2"/>
      <c r="AN113" s="2"/>
      <c r="AO113" s="2"/>
      <c r="BC113" s="1"/>
      <c r="BD113" s="2"/>
      <c r="BE113" s="2"/>
      <c r="BF113" s="2"/>
      <c r="BG113" s="2"/>
      <c r="BH113" s="2"/>
      <c r="BI113" s="2"/>
      <c r="BJ113" s="2"/>
      <c r="BK113" s="2"/>
    </row>
    <row r="114" spans="1:63" outlineLevel="1">
      <c r="A114" s="4" t="s">
        <v>478</v>
      </c>
      <c r="C114" s="230">
        <f>C$112*'BTX recycling rates'!E51</f>
        <v>7.7778362811482538E-3</v>
      </c>
      <c r="D114" s="230">
        <f>D$112*'BTX recycling rates'!F51</f>
        <v>8.0516305834089294E-3</v>
      </c>
      <c r="E114" s="230">
        <f>E$112*'BTX recycling rates'!G51</f>
        <v>8.2939033041730947E-3</v>
      </c>
      <c r="F114" s="230">
        <f>F$112*'BTX recycling rates'!H51</f>
        <v>8.5011695475909269E-3</v>
      </c>
      <c r="G114" s="230">
        <f>G$112*'BTX recycling rates'!I51</f>
        <v>8.6702238669377294E-3</v>
      </c>
      <c r="H114" s="230">
        <f>H$112*'BTX recycling rates'!J51</f>
        <v>8.7981979694781685E-3</v>
      </c>
      <c r="I114" s="230">
        <f>I$112*'BTX recycling rates'!K51</f>
        <v>8.901778291576937E-3</v>
      </c>
      <c r="J114" s="230">
        <f>J$112*'BTX recycling rates'!L51</f>
        <v>8.9792815423885425E-3</v>
      </c>
      <c r="K114" s="230">
        <f>K$112*'BTX recycling rates'!M51</f>
        <v>9.0290204919928774E-3</v>
      </c>
      <c r="L114" s="230">
        <f>L$112*'BTX recycling rates'!N51</f>
        <v>9.049309073796535E-3</v>
      </c>
      <c r="M114" s="230">
        <f>M$112*'BTX recycling rates'!O51</f>
        <v>9.038467668736146E-3</v>
      </c>
      <c r="N114" s="230">
        <f>N$112*'BTX recycling rates'!P51</f>
        <v>9.2761128611497552E-3</v>
      </c>
      <c r="O114" s="230">
        <f>O$112*'BTX recycling rates'!Q51</f>
        <v>9.445766392750108E-3</v>
      </c>
      <c r="P114" s="230">
        <f>P$112*'BTX recycling rates'!R51</f>
        <v>9.5435568765678772E-3</v>
      </c>
      <c r="Q114" s="230">
        <f>Q$112*'BTX recycling rates'!S51</f>
        <v>9.5662382036060152E-3</v>
      </c>
      <c r="R114" s="230">
        <f>R$112*'BTX recycling rates'!T51</f>
        <v>9.5112461501158773E-3</v>
      </c>
      <c r="S114" s="230">
        <f>S$112*'BTX recycling rates'!U51</f>
        <v>9.3936407610330733E-3</v>
      </c>
      <c r="T114" s="230">
        <f>T$112*'BTX recycling rates'!V51</f>
        <v>9.2113209447875124E-3</v>
      </c>
      <c r="U114" s="230">
        <f>U$112*'BTX recycling rates'!W51</f>
        <v>8.9621834785510914E-3</v>
      </c>
      <c r="V114" s="230">
        <f>V$112*'BTX recycling rates'!X51</f>
        <v>8.6441247208683368E-3</v>
      </c>
      <c r="W114" s="230">
        <f>W$112*'BTX recycling rates'!Y51</f>
        <v>8.2550423566856383E-3</v>
      </c>
      <c r="X114" s="230">
        <f>X$112*'BTX recycling rates'!Z51</f>
        <v>7.9591118778761585E-3</v>
      </c>
      <c r="Y114" s="230">
        <f>Y$112*'BTX recycling rates'!AA51</f>
        <v>7.5543877807689001E-3</v>
      </c>
      <c r="Z114" s="230">
        <f>Z$112*'BTX recycling rates'!AB51</f>
        <v>7.0375304521825771E-3</v>
      </c>
      <c r="AA114" s="230">
        <f>AA$112*'BTX recycling rates'!AC51</f>
        <v>6.4052006588979525E-3</v>
      </c>
      <c r="AB114" s="230">
        <f>AB$112*'BTX recycling rates'!AD51</f>
        <v>5.6540620890377013E-3</v>
      </c>
      <c r="AC114" s="230">
        <f>AC$112*'BTX recycling rates'!AE51</f>
        <v>4.7808291341654334E-3</v>
      </c>
      <c r="AD114" s="230">
        <f>AD$112*'BTX recycling rates'!AF51</f>
        <v>3.7821508370222117E-3</v>
      </c>
      <c r="AE114" s="230">
        <f>AE$112*'BTX recycling rates'!AG51</f>
        <v>2.6546796693446306E-3</v>
      </c>
      <c r="AF114" s="230">
        <f>AF$112*'BTX recycling rates'!AH51</f>
        <v>1.3950739002298385E-3</v>
      </c>
      <c r="AG114" s="230">
        <f>AG$112*'BTX recycling rates'!AI51</f>
        <v>0</v>
      </c>
      <c r="AH114" s="245"/>
      <c r="AI114" s="133"/>
      <c r="AJ114" s="211"/>
      <c r="AL114" s="108"/>
      <c r="AM114" s="2"/>
      <c r="AN114" s="2"/>
      <c r="AO114" s="2"/>
      <c r="BC114" s="1"/>
      <c r="BD114" s="2"/>
      <c r="BE114" s="2"/>
      <c r="BF114" s="2"/>
      <c r="BG114" s="2"/>
      <c r="BH114" s="2"/>
      <c r="BI114" s="2"/>
      <c r="BJ114" s="2"/>
      <c r="BK114" s="2"/>
    </row>
    <row r="115" spans="1:63" outlineLevel="1">
      <c r="A115" s="4" t="s">
        <v>745</v>
      </c>
      <c r="C115" s="230">
        <f>C$112*'BTX recycling rates'!E52</f>
        <v>0</v>
      </c>
      <c r="D115" s="230">
        <f>D$112*'BTX recycling rates'!F52</f>
        <v>3.9716957809491249E-2</v>
      </c>
      <c r="E115" s="230">
        <f>E$112*'BTX recycling rates'!G52</f>
        <v>8.4746362169101724E-2</v>
      </c>
      <c r="F115" s="230">
        <f>F$112*'BTX recycling rates'!H52</f>
        <v>0.13512207349946123</v>
      </c>
      <c r="G115" s="230">
        <f>G$112*'BTX recycling rates'!I52</f>
        <v>0.19081261666264973</v>
      </c>
      <c r="H115" s="230">
        <f>H$112*'BTX recycling rates'!J52</f>
        <v>0.25171775987655221</v>
      </c>
      <c r="I115" s="230">
        <f>I$112*'BTX recycling rates'!K52</f>
        <v>0.31835151048072652</v>
      </c>
      <c r="J115" s="230">
        <f>J$112*'BTX recycling rates'!L52</f>
        <v>0.39093263388666838</v>
      </c>
      <c r="K115" s="230">
        <f>K$112*'BTX recycling rates'!M52</f>
        <v>0.46967568503715329</v>
      </c>
      <c r="L115" s="230">
        <f>L$112*'BTX recycling rates'!N52</f>
        <v>0.5547901845652583</v>
      </c>
      <c r="M115" s="230">
        <f>M$112*'BTX recycling rates'!O52</f>
        <v>0.64647977977524618</v>
      </c>
      <c r="N115" s="230">
        <f>N$112*'BTX recycling rates'!P52</f>
        <v>0.76823703697710577</v>
      </c>
      <c r="O115" s="230">
        <f>O$112*'BTX recycling rates'!Q52</f>
        <v>0.90081596441629086</v>
      </c>
      <c r="P115" s="230">
        <f>P$112*'BTX recycling rates'!R52</f>
        <v>1.0439863723582472</v>
      </c>
      <c r="Q115" s="230">
        <f>Q$112*'BTX recycling rates'!S52</f>
        <v>1.1974003381058369</v>
      </c>
      <c r="R115" s="230">
        <f>R$112*'BTX recycling rates'!T52</f>
        <v>1.3605908748855136</v>
      </c>
      <c r="S115" s="230">
        <f>S$112*'BTX recycling rates'!U52</f>
        <v>1.5357340983136805</v>
      </c>
      <c r="T115" s="230">
        <f>T$112*'BTX recycling rates'!V52</f>
        <v>1.7231283037941769</v>
      </c>
      <c r="U115" s="230">
        <f>U$112*'BTX recycling rates'!W52</f>
        <v>1.9230705736415674</v>
      </c>
      <c r="V115" s="230">
        <f>V$112*'BTX recycling rates'!X52</f>
        <v>2.1358565102658811</v>
      </c>
      <c r="W115" s="230">
        <f>W$112*'BTX recycling rates'!Y52</f>
        <v>2.361779965533338</v>
      </c>
      <c r="X115" s="230">
        <f>X$112*'BTX recycling rates'!Z52</f>
        <v>2.6566327817340363</v>
      </c>
      <c r="Y115" s="230">
        <f>Y$112*'BTX recycling rates'!AA52</f>
        <v>2.9718172596419259</v>
      </c>
      <c r="Z115" s="230">
        <f>Z$112*'BTX recycling rates'!AB52</f>
        <v>3.3078074098267543</v>
      </c>
      <c r="AA115" s="230">
        <f>AA$112*'BTX recycling rates'!AC52</f>
        <v>3.6650749778780827</v>
      </c>
      <c r="AB115" s="230">
        <f>AB$112*'BTX recycling rates'!AD52</f>
        <v>4.0440890515104062</v>
      </c>
      <c r="AC115" s="230">
        <f>AC$112*'BTX recycling rates'!AE52</f>
        <v>4.4453576898170022</v>
      </c>
      <c r="AD115" s="230">
        <f>AD$112*'BTX recycling rates'!AF52</f>
        <v>4.8693555519087326</v>
      </c>
      <c r="AE115" s="230">
        <f>AE$112*'BTX recycling rates'!AG52</f>
        <v>5.316554768519536</v>
      </c>
      <c r="AF115" s="230">
        <f>AF$112*'BTX recycling rates'!AH52</f>
        <v>5.7874245778189373</v>
      </c>
      <c r="AG115" s="230">
        <f>AG$112*'BTX recycling rates'!AI52</f>
        <v>6.2824309570709653</v>
      </c>
      <c r="AH115" s="245"/>
      <c r="AI115" s="133"/>
      <c r="AJ115" s="211"/>
      <c r="AL115" s="108"/>
      <c r="AM115" s="2"/>
      <c r="AN115" s="2"/>
      <c r="AO115" s="2"/>
      <c r="BC115" s="1"/>
      <c r="BD115" s="2"/>
      <c r="BE115" s="2"/>
      <c r="BF115" s="2"/>
      <c r="BG115" s="2"/>
      <c r="BH115" s="2"/>
      <c r="BI115" s="2"/>
      <c r="BJ115" s="2"/>
      <c r="BK115" s="2"/>
    </row>
    <row r="116" spans="1:63" outlineLevel="1">
      <c r="A116" s="4" t="s">
        <v>1561</v>
      </c>
      <c r="C116" s="230">
        <f>C$112*'BTX recycling rates'!E53</f>
        <v>0</v>
      </c>
      <c r="D116" s="230">
        <f>D$112*'BTX recycling rates'!F53</f>
        <v>3.9716957809491249E-2</v>
      </c>
      <c r="E116" s="230">
        <f>E$112*'BTX recycling rates'!G53</f>
        <v>8.4746362169101724E-2</v>
      </c>
      <c r="F116" s="230">
        <f>F$112*'BTX recycling rates'!H53</f>
        <v>0.13512207349946123</v>
      </c>
      <c r="G116" s="230">
        <f>G$112*'BTX recycling rates'!I53</f>
        <v>0.19081261666264973</v>
      </c>
      <c r="H116" s="230">
        <f>H$112*'BTX recycling rates'!J53</f>
        <v>0.25171775987655221</v>
      </c>
      <c r="I116" s="230">
        <f>I$112*'BTX recycling rates'!K53</f>
        <v>0.31835151048072652</v>
      </c>
      <c r="J116" s="230">
        <f>J$112*'BTX recycling rates'!L53</f>
        <v>0.39093263388666838</v>
      </c>
      <c r="K116" s="230">
        <f>K$112*'BTX recycling rates'!M53</f>
        <v>0.46967568503715329</v>
      </c>
      <c r="L116" s="230">
        <f>L$112*'BTX recycling rates'!N53</f>
        <v>0.5547901845652583</v>
      </c>
      <c r="M116" s="230">
        <f>M$112*'BTX recycling rates'!O53</f>
        <v>0.64647977977524618</v>
      </c>
      <c r="N116" s="230">
        <f>N$112*'BTX recycling rates'!P53</f>
        <v>0.76823703697710577</v>
      </c>
      <c r="O116" s="230">
        <f>O$112*'BTX recycling rates'!Q53</f>
        <v>0.90081596441629086</v>
      </c>
      <c r="P116" s="230">
        <f>P$112*'BTX recycling rates'!R53</f>
        <v>1.0439863723582472</v>
      </c>
      <c r="Q116" s="230">
        <f>Q$112*'BTX recycling rates'!S53</f>
        <v>1.1974003381058369</v>
      </c>
      <c r="R116" s="230">
        <f>R$112*'BTX recycling rates'!T53</f>
        <v>1.3605908748855136</v>
      </c>
      <c r="S116" s="230">
        <f>S$112*'BTX recycling rates'!U53</f>
        <v>1.5357340983136805</v>
      </c>
      <c r="T116" s="230">
        <f>T$112*'BTX recycling rates'!V53</f>
        <v>1.7231283037941769</v>
      </c>
      <c r="U116" s="230">
        <f>U$112*'BTX recycling rates'!W53</f>
        <v>1.9230705736415674</v>
      </c>
      <c r="V116" s="230">
        <f>V$112*'BTX recycling rates'!X53</f>
        <v>2.1358565102658811</v>
      </c>
      <c r="W116" s="230">
        <f>W$112*'BTX recycling rates'!Y53</f>
        <v>2.361779965533338</v>
      </c>
      <c r="X116" s="230">
        <f>X$112*'BTX recycling rates'!Z53</f>
        <v>2.6566327817340363</v>
      </c>
      <c r="Y116" s="230">
        <f>Y$112*'BTX recycling rates'!AA53</f>
        <v>2.9718172596419259</v>
      </c>
      <c r="Z116" s="230">
        <f>Z$112*'BTX recycling rates'!AB53</f>
        <v>3.3078074098267543</v>
      </c>
      <c r="AA116" s="230">
        <f>AA$112*'BTX recycling rates'!AC53</f>
        <v>3.6650749778780827</v>
      </c>
      <c r="AB116" s="230">
        <f>AB$112*'BTX recycling rates'!AD53</f>
        <v>4.0440890515104062</v>
      </c>
      <c r="AC116" s="230">
        <f>AC$112*'BTX recycling rates'!AE53</f>
        <v>4.4453576898170022</v>
      </c>
      <c r="AD116" s="230">
        <f>AD$112*'BTX recycling rates'!AF53</f>
        <v>4.8693555519087326</v>
      </c>
      <c r="AE116" s="230">
        <f>AE$112*'BTX recycling rates'!AG53</f>
        <v>5.316554768519536</v>
      </c>
      <c r="AF116" s="230">
        <f>AF$112*'BTX recycling rates'!AH53</f>
        <v>5.7874245778189373</v>
      </c>
      <c r="AG116" s="230">
        <f>AG$112*'BTX recycling rates'!AI53</f>
        <v>6.2824309570709653</v>
      </c>
      <c r="AH116" s="245"/>
      <c r="AI116" s="133"/>
      <c r="AJ116" s="211"/>
      <c r="AL116" s="108"/>
      <c r="AM116" s="2"/>
      <c r="AN116" s="2"/>
      <c r="AO116" s="2"/>
      <c r="BC116" s="1"/>
      <c r="BD116" s="2"/>
      <c r="BE116" s="2"/>
      <c r="BF116" s="2"/>
      <c r="BG116" s="2"/>
      <c r="BH116" s="2"/>
      <c r="BI116" s="2"/>
      <c r="BJ116" s="2"/>
      <c r="BK116" s="2"/>
    </row>
    <row r="117" spans="1:63" s="1" customFormat="1" outlineLevel="1">
      <c r="A117" s="1" t="s">
        <v>1570</v>
      </c>
      <c r="B117" s="65"/>
      <c r="C117" s="300">
        <f>C112-$C112</f>
        <v>0</v>
      </c>
      <c r="D117" s="300">
        <f t="shared" ref="D117:AG117" si="50">D112-$C112</f>
        <v>0.15776687501715392</v>
      </c>
      <c r="E117" s="300">
        <f t="shared" si="50"/>
        <v>0.31714027152073054</v>
      </c>
      <c r="F117" s="300">
        <f t="shared" si="50"/>
        <v>0.47719087643690328</v>
      </c>
      <c r="G117" s="300">
        <f t="shared" si="50"/>
        <v>0.63693865638742508</v>
      </c>
      <c r="H117" s="300">
        <f t="shared" si="50"/>
        <v>0.79536252496630588</v>
      </c>
      <c r="I117" s="300">
        <f t="shared" si="50"/>
        <v>0.95826451125494438</v>
      </c>
      <c r="J117" s="300">
        <f t="shared" si="50"/>
        <v>1.1256005540476939</v>
      </c>
      <c r="K117" s="300">
        <f t="shared" si="50"/>
        <v>1.2973170442263289</v>
      </c>
      <c r="L117" s="300">
        <f t="shared" si="50"/>
        <v>1.4733506368827345</v>
      </c>
      <c r="M117" s="300">
        <f t="shared" si="50"/>
        <v>1.6536280850991565</v>
      </c>
      <c r="N117" s="300">
        <f t="shared" si="50"/>
        <v>1.9651332445046199</v>
      </c>
      <c r="O117" s="300">
        <f t="shared" si="50"/>
        <v>2.2788292285291334</v>
      </c>
      <c r="P117" s="300">
        <f t="shared" si="50"/>
        <v>2.5931480481011278</v>
      </c>
      <c r="Q117" s="300">
        <f t="shared" si="50"/>
        <v>2.9064651411869802</v>
      </c>
      <c r="R117" s="300">
        <f t="shared" si="50"/>
        <v>3.2171129059897341</v>
      </c>
      <c r="S117" s="300">
        <f t="shared" si="50"/>
        <v>3.5337522751239812</v>
      </c>
      <c r="T117" s="300">
        <f t="shared" si="50"/>
        <v>3.8563787139565386</v>
      </c>
      <c r="U117" s="300">
        <f t="shared" si="50"/>
        <v>4.1849846519195708</v>
      </c>
      <c r="V117" s="300">
        <f t="shared" si="50"/>
        <v>4.519559438866251</v>
      </c>
      <c r="W117" s="300">
        <f t="shared" si="50"/>
        <v>4.8600893030476939</v>
      </c>
      <c r="X117" s="300">
        <f t="shared" si="50"/>
        <v>5.3651287828306398</v>
      </c>
      <c r="Y117" s="300">
        <f t="shared" si="50"/>
        <v>5.8797055691074771</v>
      </c>
      <c r="Z117" s="300">
        <f t="shared" si="50"/>
        <v>6.4038122146913867</v>
      </c>
      <c r="AA117" s="300">
        <f t="shared" si="50"/>
        <v>6.9374368511428859</v>
      </c>
      <c r="AB117" s="300">
        <f t="shared" si="50"/>
        <v>7.4805631300726549</v>
      </c>
      <c r="AC117" s="300">
        <f t="shared" si="50"/>
        <v>8.0332671521792243</v>
      </c>
      <c r="AD117" s="300">
        <f t="shared" si="50"/>
        <v>8.5955395218004185</v>
      </c>
      <c r="AE117" s="300">
        <f t="shared" si="50"/>
        <v>9.1673667675609707</v>
      </c>
      <c r="AF117" s="300">
        <f t="shared" si="50"/>
        <v>9.7487312915903086</v>
      </c>
      <c r="AG117" s="300">
        <f t="shared" si="50"/>
        <v>10.33961132058961</v>
      </c>
      <c r="AH117" s="245"/>
      <c r="AI117" s="423"/>
      <c r="AJ117" s="424"/>
      <c r="AL117" s="221"/>
      <c r="AM117" s="124"/>
      <c r="AN117" s="124"/>
      <c r="AO117" s="124"/>
      <c r="BD117" s="124"/>
      <c r="BE117" s="124"/>
      <c r="BF117" s="124"/>
      <c r="BG117" s="124"/>
      <c r="BH117" s="124"/>
      <c r="BI117" s="124"/>
      <c r="BJ117" s="124"/>
      <c r="BK117" s="124"/>
    </row>
    <row r="118" spans="1:63" outlineLevel="1">
      <c r="A118" s="4" t="s">
        <v>474</v>
      </c>
      <c r="C118" s="230">
        <f>C113-$C113</f>
        <v>0</v>
      </c>
      <c r="D118" s="230">
        <f t="shared" ref="D118:AG118" si="51">D113-$C113</f>
        <v>7.8059165095910377E-2</v>
      </c>
      <c r="E118" s="230">
        <f t="shared" si="51"/>
        <v>0.14713148015950184</v>
      </c>
      <c r="F118" s="230">
        <f t="shared" si="51"/>
        <v>0.20622339617153784</v>
      </c>
      <c r="G118" s="230">
        <f t="shared" si="51"/>
        <v>0.25442103547633588</v>
      </c>
      <c r="H118" s="230">
        <f t="shared" si="51"/>
        <v>0.29090664352487083</v>
      </c>
      <c r="I118" s="230">
        <f t="shared" si="51"/>
        <v>0.32043754828306215</v>
      </c>
      <c r="J118" s="230">
        <f t="shared" si="51"/>
        <v>0.34253384101311601</v>
      </c>
      <c r="K118" s="230">
        <f t="shared" si="51"/>
        <v>0.35671448994117672</v>
      </c>
      <c r="L118" s="230">
        <f t="shared" si="51"/>
        <v>0.36249879495956838</v>
      </c>
      <c r="M118" s="230">
        <f t="shared" si="51"/>
        <v>0.35940789416107499</v>
      </c>
      <c r="N118" s="230">
        <f t="shared" si="51"/>
        <v>0.42716089397040546</v>
      </c>
      <c r="O118" s="230">
        <f t="shared" si="51"/>
        <v>0.47552936958494829</v>
      </c>
      <c r="P118" s="230">
        <f t="shared" si="51"/>
        <v>0.503409582789212</v>
      </c>
      <c r="Q118" s="230">
        <f t="shared" si="51"/>
        <v>0.50987606305284672</v>
      </c>
      <c r="R118" s="230">
        <f t="shared" si="51"/>
        <v>0.49419774634973646</v>
      </c>
      <c r="S118" s="230">
        <f t="shared" si="51"/>
        <v>0.46066827401673249</v>
      </c>
      <c r="T118" s="230">
        <f t="shared" si="51"/>
        <v>0.40868862170454268</v>
      </c>
      <c r="U118" s="230">
        <f t="shared" si="51"/>
        <v>0.33765915743902974</v>
      </c>
      <c r="V118" s="230">
        <f t="shared" si="51"/>
        <v>0.24698012989476537</v>
      </c>
      <c r="W118" s="230">
        <f t="shared" si="51"/>
        <v>0.13605216590547631</v>
      </c>
      <c r="X118" s="230">
        <f t="shared" si="51"/>
        <v>5.1681943765835126E-2</v>
      </c>
      <c r="Y118" s="230">
        <f t="shared" si="51"/>
        <v>-6.370550167600042E-2</v>
      </c>
      <c r="Z118" s="230">
        <f t="shared" si="51"/>
        <v>-0.21106229913316188</v>
      </c>
      <c r="AA118" s="230">
        <f t="shared" si="51"/>
        <v>-0.3913404689910347</v>
      </c>
      <c r="AB118" s="230">
        <f t="shared" si="51"/>
        <v>-0.60549119875605339</v>
      </c>
      <c r="AC118" s="230">
        <f t="shared" si="51"/>
        <v>-0.85445122030780474</v>
      </c>
      <c r="AD118" s="230">
        <f t="shared" si="51"/>
        <v>-1.1391758965729271</v>
      </c>
      <c r="AE118" s="230">
        <f t="shared" si="51"/>
        <v>-1.4606196128663043</v>
      </c>
      <c r="AF118" s="230">
        <f t="shared" si="51"/>
        <v>-1.819735101666655</v>
      </c>
      <c r="AG118" s="230">
        <f t="shared" si="51"/>
        <v>-2.2174727572711728</v>
      </c>
      <c r="AH118" s="245"/>
      <c r="AI118" s="133"/>
      <c r="AJ118" s="211"/>
      <c r="AL118" s="108"/>
      <c r="AM118" s="2"/>
      <c r="AN118" s="2"/>
      <c r="AO118" s="2"/>
      <c r="BC118" s="1"/>
      <c r="BD118" s="2"/>
      <c r="BE118" s="2"/>
      <c r="BF118" s="2"/>
      <c r="BG118" s="2"/>
      <c r="BH118" s="2"/>
      <c r="BI118" s="2"/>
      <c r="BJ118" s="2"/>
      <c r="BK118" s="2"/>
    </row>
    <row r="119" spans="1:63" outlineLevel="1">
      <c r="A119" s="4" t="s">
        <v>478</v>
      </c>
      <c r="C119" s="230">
        <f t="shared" ref="C119:AG121" si="52">C114-$C114</f>
        <v>0</v>
      </c>
      <c r="D119" s="230">
        <f t="shared" si="52"/>
        <v>2.7379430226067564E-4</v>
      </c>
      <c r="E119" s="230">
        <f t="shared" si="52"/>
        <v>5.1606702302484098E-4</v>
      </c>
      <c r="F119" s="230">
        <f t="shared" si="52"/>
        <v>7.233332664426731E-4</v>
      </c>
      <c r="G119" s="230">
        <f t="shared" si="52"/>
        <v>8.9238758578947565E-4</v>
      </c>
      <c r="H119" s="230">
        <f t="shared" si="52"/>
        <v>1.0203616883299148E-3</v>
      </c>
      <c r="I119" s="230">
        <f t="shared" si="52"/>
        <v>1.1239420104286833E-3</v>
      </c>
      <c r="J119" s="230">
        <f t="shared" si="52"/>
        <v>1.2014452612402887E-3</v>
      </c>
      <c r="K119" s="230">
        <f t="shared" si="52"/>
        <v>1.2511842108446237E-3</v>
      </c>
      <c r="L119" s="230">
        <f t="shared" si="52"/>
        <v>1.2714727926482813E-3</v>
      </c>
      <c r="M119" s="230">
        <f t="shared" si="52"/>
        <v>1.2606313875878922E-3</v>
      </c>
      <c r="N119" s="230">
        <f t="shared" si="52"/>
        <v>1.4982765800015015E-3</v>
      </c>
      <c r="O119" s="230">
        <f t="shared" si="52"/>
        <v>1.6679301116018543E-3</v>
      </c>
      <c r="P119" s="230">
        <f t="shared" si="52"/>
        <v>1.7657205954196235E-3</v>
      </c>
      <c r="Q119" s="230">
        <f t="shared" si="52"/>
        <v>1.7884019224577614E-3</v>
      </c>
      <c r="R119" s="230">
        <f t="shared" si="52"/>
        <v>1.7334098689676235E-3</v>
      </c>
      <c r="S119" s="230">
        <f t="shared" si="52"/>
        <v>1.6158044798848196E-3</v>
      </c>
      <c r="T119" s="230">
        <f t="shared" si="52"/>
        <v>1.4334846636392586E-3</v>
      </c>
      <c r="U119" s="230">
        <f t="shared" si="52"/>
        <v>1.1843471974028377E-3</v>
      </c>
      <c r="V119" s="230">
        <f t="shared" si="52"/>
        <v>8.6628843972008304E-4</v>
      </c>
      <c r="W119" s="230">
        <f t="shared" si="52"/>
        <v>4.7720607553738449E-4</v>
      </c>
      <c r="X119" s="230">
        <f t="shared" si="52"/>
        <v>1.8127559672790478E-4</v>
      </c>
      <c r="Y119" s="230">
        <f t="shared" si="52"/>
        <v>-2.2344850037935363E-4</v>
      </c>
      <c r="Z119" s="230">
        <f t="shared" si="52"/>
        <v>-7.4030582896567661E-4</v>
      </c>
      <c r="AA119" s="230">
        <f t="shared" si="52"/>
        <v>-1.3726356222503013E-3</v>
      </c>
      <c r="AB119" s="230">
        <f t="shared" si="52"/>
        <v>-2.1237741921105524E-3</v>
      </c>
      <c r="AC119" s="230">
        <f t="shared" si="52"/>
        <v>-2.9970071469828203E-3</v>
      </c>
      <c r="AD119" s="230">
        <f t="shared" si="52"/>
        <v>-3.9956854441260421E-3</v>
      </c>
      <c r="AE119" s="230">
        <f t="shared" si="52"/>
        <v>-5.1231566118036236E-3</v>
      </c>
      <c r="AF119" s="230">
        <f t="shared" si="52"/>
        <v>-6.382762380918415E-3</v>
      </c>
      <c r="AG119" s="230">
        <f t="shared" si="52"/>
        <v>-7.7778362811482538E-3</v>
      </c>
      <c r="AH119" s="245"/>
      <c r="AI119" s="133"/>
      <c r="AJ119" s="211"/>
      <c r="AL119" s="108"/>
      <c r="AM119" s="2"/>
      <c r="AN119" s="2"/>
      <c r="AO119" s="2"/>
      <c r="BC119" s="1"/>
      <c r="BD119" s="2"/>
      <c r="BE119" s="2"/>
      <c r="BF119" s="2"/>
      <c r="BG119" s="2"/>
      <c r="BH119" s="2"/>
      <c r="BI119" s="2"/>
      <c r="BJ119" s="2"/>
      <c r="BK119" s="2"/>
    </row>
    <row r="120" spans="1:63" outlineLevel="1">
      <c r="A120" s="4" t="s">
        <v>745</v>
      </c>
      <c r="C120" s="230">
        <f t="shared" si="52"/>
        <v>0</v>
      </c>
      <c r="D120" s="230">
        <f t="shared" si="52"/>
        <v>3.9716957809491249E-2</v>
      </c>
      <c r="E120" s="230">
        <f t="shared" si="52"/>
        <v>8.4746362169101724E-2</v>
      </c>
      <c r="F120" s="230">
        <f t="shared" si="52"/>
        <v>0.13512207349946123</v>
      </c>
      <c r="G120" s="230">
        <f t="shared" si="52"/>
        <v>0.19081261666264973</v>
      </c>
      <c r="H120" s="230">
        <f t="shared" si="52"/>
        <v>0.25171775987655221</v>
      </c>
      <c r="I120" s="230">
        <f t="shared" si="52"/>
        <v>0.31835151048072652</v>
      </c>
      <c r="J120" s="230">
        <f t="shared" si="52"/>
        <v>0.39093263388666838</v>
      </c>
      <c r="K120" s="230">
        <f t="shared" si="52"/>
        <v>0.46967568503715329</v>
      </c>
      <c r="L120" s="230">
        <f t="shared" si="52"/>
        <v>0.5547901845652583</v>
      </c>
      <c r="M120" s="230">
        <f t="shared" si="52"/>
        <v>0.64647977977524618</v>
      </c>
      <c r="N120" s="230">
        <f t="shared" si="52"/>
        <v>0.76823703697710577</v>
      </c>
      <c r="O120" s="230">
        <f t="shared" si="52"/>
        <v>0.90081596441629086</v>
      </c>
      <c r="P120" s="230">
        <f t="shared" si="52"/>
        <v>1.0439863723582472</v>
      </c>
      <c r="Q120" s="230">
        <f t="shared" si="52"/>
        <v>1.1974003381058369</v>
      </c>
      <c r="R120" s="230">
        <f t="shared" si="52"/>
        <v>1.3605908748855136</v>
      </c>
      <c r="S120" s="230">
        <f t="shared" si="52"/>
        <v>1.5357340983136805</v>
      </c>
      <c r="T120" s="230">
        <f t="shared" si="52"/>
        <v>1.7231283037941769</v>
      </c>
      <c r="U120" s="230">
        <f t="shared" si="52"/>
        <v>1.9230705736415674</v>
      </c>
      <c r="V120" s="230">
        <f t="shared" si="52"/>
        <v>2.1358565102658811</v>
      </c>
      <c r="W120" s="230">
        <f t="shared" si="52"/>
        <v>2.361779965533338</v>
      </c>
      <c r="X120" s="230">
        <f t="shared" si="52"/>
        <v>2.6566327817340363</v>
      </c>
      <c r="Y120" s="230">
        <f t="shared" si="52"/>
        <v>2.9718172596419259</v>
      </c>
      <c r="Z120" s="230">
        <f t="shared" si="52"/>
        <v>3.3078074098267543</v>
      </c>
      <c r="AA120" s="230">
        <f t="shared" si="52"/>
        <v>3.6650749778780827</v>
      </c>
      <c r="AB120" s="230">
        <f t="shared" si="52"/>
        <v>4.0440890515104062</v>
      </c>
      <c r="AC120" s="230">
        <f t="shared" si="52"/>
        <v>4.4453576898170022</v>
      </c>
      <c r="AD120" s="230">
        <f t="shared" si="52"/>
        <v>4.8693555519087326</v>
      </c>
      <c r="AE120" s="230">
        <f t="shared" si="52"/>
        <v>5.316554768519536</v>
      </c>
      <c r="AF120" s="230">
        <f t="shared" si="52"/>
        <v>5.7874245778189373</v>
      </c>
      <c r="AG120" s="230">
        <f t="shared" si="52"/>
        <v>6.2824309570709653</v>
      </c>
      <c r="AH120" s="245"/>
      <c r="AI120" s="133"/>
      <c r="AJ120" s="211"/>
      <c r="AL120" s="108"/>
      <c r="AM120" s="2"/>
      <c r="AN120" s="2"/>
      <c r="AO120" s="2"/>
      <c r="BC120" s="1"/>
      <c r="BD120" s="2"/>
      <c r="BE120" s="2"/>
      <c r="BF120" s="2"/>
      <c r="BG120" s="2"/>
      <c r="BH120" s="2"/>
      <c r="BI120" s="2"/>
      <c r="BJ120" s="2"/>
      <c r="BK120" s="2"/>
    </row>
    <row r="121" spans="1:63" outlineLevel="1">
      <c r="A121" s="4" t="s">
        <v>1561</v>
      </c>
      <c r="C121" s="230">
        <f t="shared" si="52"/>
        <v>0</v>
      </c>
      <c r="D121" s="230">
        <f t="shared" si="52"/>
        <v>3.9716957809491249E-2</v>
      </c>
      <c r="E121" s="230">
        <f t="shared" si="52"/>
        <v>8.4746362169101724E-2</v>
      </c>
      <c r="F121" s="230">
        <f t="shared" si="52"/>
        <v>0.13512207349946123</v>
      </c>
      <c r="G121" s="230">
        <f t="shared" si="52"/>
        <v>0.19081261666264973</v>
      </c>
      <c r="H121" s="230">
        <f t="shared" si="52"/>
        <v>0.25171775987655221</v>
      </c>
      <c r="I121" s="230">
        <f t="shared" si="52"/>
        <v>0.31835151048072652</v>
      </c>
      <c r="J121" s="230">
        <f t="shared" si="52"/>
        <v>0.39093263388666838</v>
      </c>
      <c r="K121" s="230">
        <f t="shared" si="52"/>
        <v>0.46967568503715329</v>
      </c>
      <c r="L121" s="230">
        <f t="shared" si="52"/>
        <v>0.5547901845652583</v>
      </c>
      <c r="M121" s="230">
        <f t="shared" si="52"/>
        <v>0.64647977977524618</v>
      </c>
      <c r="N121" s="230">
        <f t="shared" si="52"/>
        <v>0.76823703697710577</v>
      </c>
      <c r="O121" s="230">
        <f t="shared" si="52"/>
        <v>0.90081596441629086</v>
      </c>
      <c r="P121" s="230">
        <f t="shared" si="52"/>
        <v>1.0439863723582472</v>
      </c>
      <c r="Q121" s="230">
        <f t="shared" si="52"/>
        <v>1.1974003381058369</v>
      </c>
      <c r="R121" s="230">
        <f t="shared" si="52"/>
        <v>1.3605908748855136</v>
      </c>
      <c r="S121" s="230">
        <f t="shared" si="52"/>
        <v>1.5357340983136805</v>
      </c>
      <c r="T121" s="230">
        <f t="shared" si="52"/>
        <v>1.7231283037941769</v>
      </c>
      <c r="U121" s="230">
        <f t="shared" si="52"/>
        <v>1.9230705736415674</v>
      </c>
      <c r="V121" s="230">
        <f t="shared" si="52"/>
        <v>2.1358565102658811</v>
      </c>
      <c r="W121" s="230">
        <f t="shared" si="52"/>
        <v>2.361779965533338</v>
      </c>
      <c r="X121" s="230">
        <f t="shared" si="52"/>
        <v>2.6566327817340363</v>
      </c>
      <c r="Y121" s="230">
        <f t="shared" si="52"/>
        <v>2.9718172596419259</v>
      </c>
      <c r="Z121" s="230">
        <f t="shared" si="52"/>
        <v>3.3078074098267543</v>
      </c>
      <c r="AA121" s="230">
        <f t="shared" si="52"/>
        <v>3.6650749778780827</v>
      </c>
      <c r="AB121" s="230">
        <f t="shared" si="52"/>
        <v>4.0440890515104062</v>
      </c>
      <c r="AC121" s="230">
        <f t="shared" si="52"/>
        <v>4.4453576898170022</v>
      </c>
      <c r="AD121" s="230">
        <f t="shared" si="52"/>
        <v>4.8693555519087326</v>
      </c>
      <c r="AE121" s="230">
        <f t="shared" si="52"/>
        <v>5.316554768519536</v>
      </c>
      <c r="AF121" s="230">
        <f t="shared" si="52"/>
        <v>5.7874245778189373</v>
      </c>
      <c r="AG121" s="230">
        <f t="shared" si="52"/>
        <v>6.2824309570709653</v>
      </c>
      <c r="AH121" s="245"/>
      <c r="AI121" s="133"/>
      <c r="AJ121" s="211"/>
      <c r="AL121" s="108"/>
      <c r="AM121" s="2"/>
      <c r="AN121" s="2"/>
      <c r="AO121" s="2"/>
      <c r="BC121" s="1"/>
      <c r="BD121" s="2"/>
      <c r="BE121" s="2"/>
      <c r="BF121" s="2"/>
      <c r="BG121" s="2"/>
      <c r="BH121" s="2"/>
      <c r="BI121" s="2"/>
      <c r="BJ121" s="2"/>
      <c r="BK121" s="2"/>
    </row>
    <row r="122" spans="1:63" outlineLevel="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I122" s="134"/>
      <c r="AJ122" s="211"/>
      <c r="AL122" s="108"/>
      <c r="AM122" s="132"/>
      <c r="AN122" s="2"/>
      <c r="AO122" s="2"/>
    </row>
    <row r="123" spans="1:63" s="200" customFormat="1" ht="16" thickBot="1">
      <c r="A123" s="200" t="s">
        <v>1330</v>
      </c>
      <c r="B123" s="215"/>
      <c r="C123" s="222">
        <f>C124</f>
        <v>2.5000000000000001E-2</v>
      </c>
      <c r="D123" s="222">
        <f t="shared" ref="D123:AG123" si="53">D124</f>
        <v>3.1255416735465176E-2</v>
      </c>
      <c r="E123" s="222">
        <f t="shared" si="53"/>
        <v>3.7510833470930344E-2</v>
      </c>
      <c r="F123" s="222">
        <f t="shared" si="53"/>
        <v>4.3766250206395518E-2</v>
      </c>
      <c r="G123" s="222">
        <f t="shared" si="53"/>
        <v>5.0021666941860693E-2</v>
      </c>
      <c r="H123" s="222">
        <f t="shared" si="53"/>
        <v>5.6277083677325861E-2</v>
      </c>
      <c r="I123" s="222">
        <f t="shared" si="53"/>
        <v>6.2532500412791042E-2</v>
      </c>
      <c r="J123" s="222">
        <f t="shared" si="53"/>
        <v>6.8787917148256203E-2</v>
      </c>
      <c r="K123" s="222">
        <f t="shared" si="53"/>
        <v>7.5043333883721378E-2</v>
      </c>
      <c r="L123" s="222">
        <f t="shared" si="53"/>
        <v>8.1298750619186552E-2</v>
      </c>
      <c r="M123" s="222">
        <f t="shared" si="53"/>
        <v>8.7554167354651713E-2</v>
      </c>
      <c r="N123" s="222">
        <f t="shared" si="53"/>
        <v>0.10073866108940137</v>
      </c>
      <c r="O123" s="222">
        <f t="shared" si="53"/>
        <v>0.11392315482415102</v>
      </c>
      <c r="P123" s="222">
        <f t="shared" si="53"/>
        <v>0.12710764855890069</v>
      </c>
      <c r="Q123" s="222">
        <f t="shared" si="53"/>
        <v>0.14029214229365033</v>
      </c>
      <c r="R123" s="222">
        <f t="shared" si="53"/>
        <v>0.1534766360284</v>
      </c>
      <c r="S123" s="222">
        <f t="shared" si="53"/>
        <v>0.16666112976314967</v>
      </c>
      <c r="T123" s="222">
        <f t="shared" si="53"/>
        <v>0.17984562349789934</v>
      </c>
      <c r="U123" s="222">
        <f t="shared" si="53"/>
        <v>0.19303011723264898</v>
      </c>
      <c r="V123" s="222">
        <f t="shared" si="53"/>
        <v>0.20621461096739863</v>
      </c>
      <c r="W123" s="222">
        <f t="shared" si="53"/>
        <v>0.2193991047021483</v>
      </c>
      <c r="X123" s="222">
        <f t="shared" si="53"/>
        <v>0.24145919423193346</v>
      </c>
      <c r="Y123" s="222">
        <f t="shared" si="53"/>
        <v>0.26351928376171863</v>
      </c>
      <c r="Z123" s="222">
        <f t="shared" si="53"/>
        <v>0.28557937329150385</v>
      </c>
      <c r="AA123" s="222">
        <f t="shared" si="53"/>
        <v>0.30763946282128896</v>
      </c>
      <c r="AB123" s="222">
        <f t="shared" si="53"/>
        <v>0.32969955235107418</v>
      </c>
      <c r="AC123" s="222">
        <f t="shared" si="53"/>
        <v>0.35175964188085934</v>
      </c>
      <c r="AD123" s="222">
        <f t="shared" si="53"/>
        <v>0.37381973141064451</v>
      </c>
      <c r="AE123" s="222">
        <f t="shared" si="53"/>
        <v>0.39587982094042967</v>
      </c>
      <c r="AF123" s="222">
        <f t="shared" si="53"/>
        <v>0.41793991047021484</v>
      </c>
      <c r="AG123" s="222">
        <f t="shared" si="53"/>
        <v>0.44</v>
      </c>
      <c r="AJ123" s="231" t="s">
        <v>1331</v>
      </c>
      <c r="AL123" s="217"/>
      <c r="AM123" s="218"/>
      <c r="AN123" s="218"/>
      <c r="AO123" s="218"/>
    </row>
    <row r="124" spans="1:63" ht="16" outlineLevel="1" thickTop="1">
      <c r="A124" t="s">
        <v>1332</v>
      </c>
      <c r="B124" s="54" t="s">
        <v>462</v>
      </c>
      <c r="C124" s="214">
        <v>2.5000000000000001E-2</v>
      </c>
      <c r="D124" s="110">
        <f>$C124+($M124-$C124)/10*(D$1-$C$1)</f>
        <v>3.1255416735465176E-2</v>
      </c>
      <c r="E124" s="110">
        <f t="shared" ref="E124:L124" si="54">$C124+($M124-$C124)/10*(E$1-$C$1)</f>
        <v>3.7510833470930344E-2</v>
      </c>
      <c r="F124" s="110">
        <f t="shared" si="54"/>
        <v>4.3766250206395518E-2</v>
      </c>
      <c r="G124" s="110">
        <f t="shared" si="54"/>
        <v>5.0021666941860693E-2</v>
      </c>
      <c r="H124" s="110">
        <f t="shared" si="54"/>
        <v>5.6277083677325861E-2</v>
      </c>
      <c r="I124" s="110">
        <f t="shared" si="54"/>
        <v>6.2532500412791042E-2</v>
      </c>
      <c r="J124" s="110">
        <f t="shared" si="54"/>
        <v>6.8787917148256203E-2</v>
      </c>
      <c r="K124" s="110">
        <f t="shared" si="54"/>
        <v>7.5043333883721378E-2</v>
      </c>
      <c r="L124" s="110">
        <f t="shared" si="54"/>
        <v>8.1298750619186552E-2</v>
      </c>
      <c r="M124" s="121">
        <f>(M$52-$C$52)/($AG$52-$C$52)*($AG124-$C124)+$C124</f>
        <v>8.7554167354651713E-2</v>
      </c>
      <c r="N124" s="121">
        <f>$M124+($W124-$M124)/10*(N$1-$M$1)</f>
        <v>0.10073866108940137</v>
      </c>
      <c r="O124" s="121">
        <f t="shared" ref="O124:U124" si="55">$M124+($W124-$M124)/10*(O$1-$M$1)</f>
        <v>0.11392315482415102</v>
      </c>
      <c r="P124" s="121">
        <f t="shared" si="55"/>
        <v>0.12710764855890069</v>
      </c>
      <c r="Q124" s="121">
        <f t="shared" si="55"/>
        <v>0.14029214229365033</v>
      </c>
      <c r="R124" s="121">
        <f t="shared" si="55"/>
        <v>0.1534766360284</v>
      </c>
      <c r="S124" s="121">
        <f t="shared" si="55"/>
        <v>0.16666112976314967</v>
      </c>
      <c r="T124" s="121">
        <f t="shared" si="55"/>
        <v>0.17984562349789934</v>
      </c>
      <c r="U124" s="121">
        <f t="shared" si="55"/>
        <v>0.19303011723264898</v>
      </c>
      <c r="V124" s="121">
        <f>$M124+($W124-$M124)/10*(V$1-$M$1)</f>
        <v>0.20621461096739863</v>
      </c>
      <c r="W124" s="121">
        <f>(W$52-$C$52)/($AG$52-$C$52)*($AG124-$C124)+$C124</f>
        <v>0.2193991047021483</v>
      </c>
      <c r="X124" s="110">
        <f>$W124+($AG124-$W124)/10*(X$1-$W$1)</f>
        <v>0.24145919423193346</v>
      </c>
      <c r="Y124" s="110">
        <f t="shared" ref="Y124:AF124" si="56">$W124+($AG124-$W124)/10*(Y$1-$W$1)</f>
        <v>0.26351928376171863</v>
      </c>
      <c r="Z124" s="110">
        <f t="shared" si="56"/>
        <v>0.28557937329150385</v>
      </c>
      <c r="AA124" s="110">
        <f t="shared" si="56"/>
        <v>0.30763946282128896</v>
      </c>
      <c r="AB124" s="110">
        <f t="shared" si="56"/>
        <v>0.32969955235107418</v>
      </c>
      <c r="AC124" s="110">
        <f t="shared" si="56"/>
        <v>0.35175964188085934</v>
      </c>
      <c r="AD124" s="110">
        <f t="shared" si="56"/>
        <v>0.37381973141064451</v>
      </c>
      <c r="AE124" s="110">
        <f t="shared" si="56"/>
        <v>0.39587982094042967</v>
      </c>
      <c r="AF124" s="110">
        <f t="shared" si="56"/>
        <v>0.41793991047021484</v>
      </c>
      <c r="AG124" s="214">
        <v>0.44</v>
      </c>
      <c r="AJ124" s="211" t="s">
        <v>1436</v>
      </c>
    </row>
    <row r="125" spans="1:63" outlineLevel="1">
      <c r="A125" t="s">
        <v>1437</v>
      </c>
      <c r="B125" s="54" t="s">
        <v>462</v>
      </c>
      <c r="C125" s="214">
        <v>0.08</v>
      </c>
      <c r="D125" s="110">
        <f t="shared" ref="D125:AF125" si="57">C125-($C$125-$AG$125)/($AG$1-$C$1)</f>
        <v>0.10400000000000001</v>
      </c>
      <c r="E125" s="110">
        <f t="shared" si="57"/>
        <v>0.128</v>
      </c>
      <c r="F125" s="110">
        <f t="shared" si="57"/>
        <v>0.152</v>
      </c>
      <c r="G125" s="110">
        <f t="shared" si="57"/>
        <v>0.17599999999999999</v>
      </c>
      <c r="H125" s="110">
        <f t="shared" si="57"/>
        <v>0.19999999999999998</v>
      </c>
      <c r="I125" s="110">
        <f t="shared" si="57"/>
        <v>0.22399999999999998</v>
      </c>
      <c r="J125" s="110">
        <f t="shared" si="57"/>
        <v>0.24799999999999997</v>
      </c>
      <c r="K125" s="110">
        <f t="shared" si="57"/>
        <v>0.27199999999999996</v>
      </c>
      <c r="L125" s="110">
        <f t="shared" si="57"/>
        <v>0.29599999999999999</v>
      </c>
      <c r="M125" s="110">
        <f t="shared" si="57"/>
        <v>0.32</v>
      </c>
      <c r="N125" s="110">
        <f t="shared" si="57"/>
        <v>0.34400000000000003</v>
      </c>
      <c r="O125" s="110">
        <f t="shared" si="57"/>
        <v>0.36800000000000005</v>
      </c>
      <c r="P125" s="110">
        <f t="shared" si="57"/>
        <v>0.39200000000000007</v>
      </c>
      <c r="Q125" s="110">
        <f t="shared" si="57"/>
        <v>0.41600000000000009</v>
      </c>
      <c r="R125" s="110">
        <f t="shared" si="57"/>
        <v>0.44000000000000011</v>
      </c>
      <c r="S125" s="110">
        <f t="shared" si="57"/>
        <v>0.46400000000000013</v>
      </c>
      <c r="T125" s="110">
        <f t="shared" si="57"/>
        <v>0.48800000000000016</v>
      </c>
      <c r="U125" s="110">
        <f t="shared" si="57"/>
        <v>0.51200000000000012</v>
      </c>
      <c r="V125" s="110">
        <f t="shared" si="57"/>
        <v>0.53600000000000014</v>
      </c>
      <c r="W125" s="110">
        <f t="shared" si="57"/>
        <v>0.56000000000000016</v>
      </c>
      <c r="X125" s="110">
        <f t="shared" si="57"/>
        <v>0.58400000000000019</v>
      </c>
      <c r="Y125" s="110">
        <f t="shared" si="57"/>
        <v>0.60800000000000021</v>
      </c>
      <c r="Z125" s="110">
        <f t="shared" si="57"/>
        <v>0.63200000000000023</v>
      </c>
      <c r="AA125" s="110">
        <f t="shared" si="57"/>
        <v>0.65600000000000025</v>
      </c>
      <c r="AB125" s="110">
        <f t="shared" si="57"/>
        <v>0.68000000000000027</v>
      </c>
      <c r="AC125" s="110">
        <f t="shared" si="57"/>
        <v>0.70400000000000029</v>
      </c>
      <c r="AD125" s="110">
        <f t="shared" si="57"/>
        <v>0.72800000000000031</v>
      </c>
      <c r="AE125" s="110">
        <f t="shared" si="57"/>
        <v>0.75200000000000033</v>
      </c>
      <c r="AF125" s="110">
        <f t="shared" si="57"/>
        <v>0.77600000000000036</v>
      </c>
      <c r="AG125" s="214">
        <v>0.8</v>
      </c>
      <c r="AI125" s="134"/>
      <c r="AJ125" s="211" t="s">
        <v>1438</v>
      </c>
      <c r="AL125" s="54" t="s">
        <v>1439</v>
      </c>
    </row>
    <row r="126" spans="1:63" outlineLevel="1">
      <c r="A126" t="s">
        <v>1440</v>
      </c>
      <c r="B126" s="176" t="s">
        <v>462</v>
      </c>
      <c r="C126" s="110">
        <f>1-C125</f>
        <v>0.92</v>
      </c>
      <c r="D126" s="110">
        <f t="shared" ref="D126:AG126" si="58">1-D125</f>
        <v>0.89600000000000002</v>
      </c>
      <c r="E126" s="110">
        <f t="shared" si="58"/>
        <v>0.872</v>
      </c>
      <c r="F126" s="110">
        <f t="shared" si="58"/>
        <v>0.84799999999999998</v>
      </c>
      <c r="G126" s="110">
        <f t="shared" si="58"/>
        <v>0.82400000000000007</v>
      </c>
      <c r="H126" s="110">
        <f t="shared" si="58"/>
        <v>0.8</v>
      </c>
      <c r="I126" s="110">
        <f t="shared" si="58"/>
        <v>0.77600000000000002</v>
      </c>
      <c r="J126" s="110">
        <f t="shared" si="58"/>
        <v>0.752</v>
      </c>
      <c r="K126" s="110">
        <f t="shared" si="58"/>
        <v>0.72799999999999998</v>
      </c>
      <c r="L126" s="110">
        <f t="shared" si="58"/>
        <v>0.70399999999999996</v>
      </c>
      <c r="M126" s="110">
        <f t="shared" si="58"/>
        <v>0.67999999999999994</v>
      </c>
      <c r="N126" s="110">
        <f t="shared" si="58"/>
        <v>0.65599999999999992</v>
      </c>
      <c r="O126" s="110">
        <f t="shared" si="58"/>
        <v>0.6319999999999999</v>
      </c>
      <c r="P126" s="110">
        <f t="shared" si="58"/>
        <v>0.60799999999999987</v>
      </c>
      <c r="Q126" s="110">
        <f t="shared" si="58"/>
        <v>0.58399999999999985</v>
      </c>
      <c r="R126" s="110">
        <f t="shared" si="58"/>
        <v>0.55999999999999983</v>
      </c>
      <c r="S126" s="110">
        <f t="shared" si="58"/>
        <v>0.53599999999999981</v>
      </c>
      <c r="T126" s="110">
        <f t="shared" si="58"/>
        <v>0.51199999999999979</v>
      </c>
      <c r="U126" s="110">
        <f t="shared" si="58"/>
        <v>0.48799999999999988</v>
      </c>
      <c r="V126" s="110">
        <f t="shared" si="58"/>
        <v>0.46399999999999986</v>
      </c>
      <c r="W126" s="110">
        <f t="shared" si="58"/>
        <v>0.43999999999999984</v>
      </c>
      <c r="X126" s="110">
        <f t="shared" si="58"/>
        <v>0.41599999999999981</v>
      </c>
      <c r="Y126" s="110">
        <f t="shared" si="58"/>
        <v>0.39199999999999979</v>
      </c>
      <c r="Z126" s="110">
        <f t="shared" si="58"/>
        <v>0.36799999999999977</v>
      </c>
      <c r="AA126" s="110">
        <f t="shared" si="58"/>
        <v>0.34399999999999975</v>
      </c>
      <c r="AB126" s="110">
        <f t="shared" si="58"/>
        <v>0.31999999999999973</v>
      </c>
      <c r="AC126" s="110">
        <f t="shared" si="58"/>
        <v>0.29599999999999971</v>
      </c>
      <c r="AD126" s="110">
        <f t="shared" si="58"/>
        <v>0.27199999999999969</v>
      </c>
      <c r="AE126" s="110">
        <f t="shared" si="58"/>
        <v>0.24799999999999967</v>
      </c>
      <c r="AF126" s="110">
        <f t="shared" si="58"/>
        <v>0.22399999999999964</v>
      </c>
      <c r="AG126" s="110">
        <f t="shared" si="58"/>
        <v>0.19999999999999996</v>
      </c>
      <c r="AI126" s="134"/>
      <c r="AJ126" s="211"/>
      <c r="BD126" s="760"/>
      <c r="BE126" s="760"/>
    </row>
    <row r="127" spans="1:63" outlineLevel="1">
      <c r="A127" t="s">
        <v>1333</v>
      </c>
      <c r="B127" s="54" t="s">
        <v>462</v>
      </c>
      <c r="C127" s="110">
        <f>C124*C125</f>
        <v>2E-3</v>
      </c>
      <c r="D127" s="110">
        <f t="shared" ref="D127:AG127" si="59">D124*D125</f>
        <v>3.2505633404883785E-3</v>
      </c>
      <c r="E127" s="110">
        <f t="shared" si="59"/>
        <v>4.8013866842790843E-3</v>
      </c>
      <c r="F127" s="110">
        <f t="shared" si="59"/>
        <v>6.652470031372119E-3</v>
      </c>
      <c r="G127" s="110">
        <f t="shared" si="59"/>
        <v>8.8038133817674811E-3</v>
      </c>
      <c r="H127" s="110">
        <f t="shared" si="59"/>
        <v>1.125541673546517E-2</v>
      </c>
      <c r="I127" s="110">
        <f t="shared" si="59"/>
        <v>1.4007280092465192E-2</v>
      </c>
      <c r="J127" s="110">
        <f t="shared" si="59"/>
        <v>1.7059403452767536E-2</v>
      </c>
      <c r="K127" s="110">
        <f t="shared" si="59"/>
        <v>2.0411786816372211E-2</v>
      </c>
      <c r="L127" s="110">
        <f t="shared" si="59"/>
        <v>2.4064430183279219E-2</v>
      </c>
      <c r="M127" s="110">
        <f t="shared" si="59"/>
        <v>2.8017333553488549E-2</v>
      </c>
      <c r="N127" s="110">
        <f t="shared" si="59"/>
        <v>3.4654099414754072E-2</v>
      </c>
      <c r="O127" s="110">
        <f t="shared" si="59"/>
        <v>4.1923720975287584E-2</v>
      </c>
      <c r="P127" s="110">
        <f t="shared" si="59"/>
        <v>4.9826198235089082E-2</v>
      </c>
      <c r="Q127" s="110">
        <f t="shared" si="59"/>
        <v>5.8361531194158552E-2</v>
      </c>
      <c r="R127" s="110">
        <f t="shared" si="59"/>
        <v>6.752971985249602E-2</v>
      </c>
      <c r="S127" s="110">
        <f t="shared" si="59"/>
        <v>7.7330764210101474E-2</v>
      </c>
      <c r="T127" s="110">
        <f t="shared" si="59"/>
        <v>8.7764664266974907E-2</v>
      </c>
      <c r="U127" s="110">
        <f t="shared" si="59"/>
        <v>9.8831420023116304E-2</v>
      </c>
      <c r="V127" s="110">
        <f t="shared" si="59"/>
        <v>0.11053103147852569</v>
      </c>
      <c r="W127" s="110">
        <f t="shared" si="59"/>
        <v>0.12286349863320307</v>
      </c>
      <c r="X127" s="110">
        <f t="shared" si="59"/>
        <v>0.14101216943144917</v>
      </c>
      <c r="Y127" s="110">
        <f t="shared" si="59"/>
        <v>0.16021972452712499</v>
      </c>
      <c r="Z127" s="110">
        <f t="shared" si="59"/>
        <v>0.18048616392023051</v>
      </c>
      <c r="AA127" s="110">
        <f t="shared" si="59"/>
        <v>0.20181148761076564</v>
      </c>
      <c r="AB127" s="110">
        <f t="shared" si="59"/>
        <v>0.22419569559873054</v>
      </c>
      <c r="AC127" s="110">
        <f t="shared" si="59"/>
        <v>0.24763878788412508</v>
      </c>
      <c r="AD127" s="110">
        <f t="shared" si="59"/>
        <v>0.27214076446694929</v>
      </c>
      <c r="AE127" s="110">
        <f t="shared" si="59"/>
        <v>0.29770162534720324</v>
      </c>
      <c r="AF127" s="110">
        <f t="shared" si="59"/>
        <v>0.32432137052488685</v>
      </c>
      <c r="AG127" s="110">
        <f t="shared" si="59"/>
        <v>0.35200000000000004</v>
      </c>
      <c r="AI127" s="134"/>
      <c r="AJ127" s="211"/>
      <c r="BD127" s="203"/>
      <c r="BE127" s="203"/>
    </row>
    <row r="128" spans="1:63" outlineLevel="1">
      <c r="A128" t="s">
        <v>1334</v>
      </c>
      <c r="B128" s="54" t="s">
        <v>462</v>
      </c>
      <c r="C128" s="110">
        <f>C124*C126</f>
        <v>2.3000000000000003E-2</v>
      </c>
      <c r="D128" s="110">
        <f t="shared" ref="D128:AG128" si="60">D124*D126</f>
        <v>2.8004853394976797E-2</v>
      </c>
      <c r="E128" s="110">
        <f t="shared" si="60"/>
        <v>3.2709446786651261E-2</v>
      </c>
      <c r="F128" s="110">
        <f t="shared" si="60"/>
        <v>3.7113780175023398E-2</v>
      </c>
      <c r="G128" s="110">
        <f t="shared" si="60"/>
        <v>4.1217853560093214E-2</v>
      </c>
      <c r="H128" s="110">
        <f t="shared" si="60"/>
        <v>4.5021666941860689E-2</v>
      </c>
      <c r="I128" s="110">
        <f t="shared" si="60"/>
        <v>4.852522032032585E-2</v>
      </c>
      <c r="J128" s="110">
        <f t="shared" si="60"/>
        <v>5.1728513695488663E-2</v>
      </c>
      <c r="K128" s="110">
        <f t="shared" si="60"/>
        <v>5.4631547067349163E-2</v>
      </c>
      <c r="L128" s="110">
        <f t="shared" si="60"/>
        <v>5.7234320435907329E-2</v>
      </c>
      <c r="M128" s="110">
        <f t="shared" si="60"/>
        <v>5.9536833801163161E-2</v>
      </c>
      <c r="N128" s="110">
        <f t="shared" si="60"/>
        <v>6.6084561674647282E-2</v>
      </c>
      <c r="O128" s="110">
        <f t="shared" si="60"/>
        <v>7.1999433848863439E-2</v>
      </c>
      <c r="P128" s="110">
        <f t="shared" si="60"/>
        <v>7.7281450323811604E-2</v>
      </c>
      <c r="Q128" s="110">
        <f t="shared" si="60"/>
        <v>8.1930611099491776E-2</v>
      </c>
      <c r="R128" s="110">
        <f t="shared" si="60"/>
        <v>8.594691617590397E-2</v>
      </c>
      <c r="S128" s="110">
        <f t="shared" si="60"/>
        <v>8.9330365553048199E-2</v>
      </c>
      <c r="T128" s="110">
        <f t="shared" si="60"/>
        <v>9.2080959230924422E-2</v>
      </c>
      <c r="U128" s="110">
        <f t="shared" si="60"/>
        <v>9.4198697209532681E-2</v>
      </c>
      <c r="V128" s="110">
        <f t="shared" si="60"/>
        <v>9.5683579488872933E-2</v>
      </c>
      <c r="W128" s="110">
        <f t="shared" si="60"/>
        <v>9.6535606068945221E-2</v>
      </c>
      <c r="X128" s="110">
        <f t="shared" si="60"/>
        <v>0.10044702480048427</v>
      </c>
      <c r="Y128" s="110">
        <f t="shared" si="60"/>
        <v>0.10329955923459365</v>
      </c>
      <c r="Z128" s="110">
        <f t="shared" si="60"/>
        <v>0.10509320937127335</v>
      </c>
      <c r="AA128" s="110">
        <f t="shared" si="60"/>
        <v>0.10582797521052333</v>
      </c>
      <c r="AB128" s="110">
        <f t="shared" si="60"/>
        <v>0.10550385675234365</v>
      </c>
      <c r="AC128" s="110">
        <f t="shared" si="60"/>
        <v>0.10412085399673426</v>
      </c>
      <c r="AD128" s="110">
        <f t="shared" si="60"/>
        <v>0.10167896694369519</v>
      </c>
      <c r="AE128" s="110">
        <f t="shared" si="60"/>
        <v>9.8178195593226422E-2</v>
      </c>
      <c r="AF128" s="110">
        <f t="shared" si="60"/>
        <v>9.3618539945327969E-2</v>
      </c>
      <c r="AG128" s="110">
        <f t="shared" si="60"/>
        <v>8.7999999999999981E-2</v>
      </c>
      <c r="AI128" s="134"/>
      <c r="AJ128" s="211"/>
      <c r="BD128" s="203"/>
      <c r="BE128" s="203"/>
    </row>
    <row r="129" spans="1:63" outlineLevel="1">
      <c r="B129" s="176"/>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D129" s="203"/>
      <c r="BE129" s="203"/>
    </row>
    <row r="130" spans="1:63" ht="16" outlineLevel="1">
      <c r="A130" t="s">
        <v>1441</v>
      </c>
      <c r="B130" s="54" t="s">
        <v>462</v>
      </c>
      <c r="C130" s="214">
        <v>0.52</v>
      </c>
      <c r="D130" s="110">
        <f>C130</f>
        <v>0.52</v>
      </c>
      <c r="E130" s="110">
        <f t="shared" ref="E130:AG132" si="61">D130</f>
        <v>0.52</v>
      </c>
      <c r="F130" s="110">
        <f t="shared" si="61"/>
        <v>0.52</v>
      </c>
      <c r="G130" s="110">
        <f t="shared" si="61"/>
        <v>0.52</v>
      </c>
      <c r="H130" s="110">
        <f t="shared" si="61"/>
        <v>0.52</v>
      </c>
      <c r="I130" s="110">
        <f t="shared" si="61"/>
        <v>0.52</v>
      </c>
      <c r="J130" s="110">
        <f t="shared" si="61"/>
        <v>0.52</v>
      </c>
      <c r="K130" s="110">
        <f t="shared" si="61"/>
        <v>0.52</v>
      </c>
      <c r="L130" s="110">
        <f t="shared" si="61"/>
        <v>0.52</v>
      </c>
      <c r="M130" s="110">
        <f t="shared" si="61"/>
        <v>0.52</v>
      </c>
      <c r="N130" s="110">
        <f t="shared" si="61"/>
        <v>0.52</v>
      </c>
      <c r="O130" s="110">
        <f t="shared" si="61"/>
        <v>0.52</v>
      </c>
      <c r="P130" s="110">
        <f t="shared" si="61"/>
        <v>0.52</v>
      </c>
      <c r="Q130" s="110">
        <f t="shared" si="61"/>
        <v>0.52</v>
      </c>
      <c r="R130" s="110">
        <f t="shared" si="61"/>
        <v>0.52</v>
      </c>
      <c r="S130" s="110">
        <f t="shared" si="61"/>
        <v>0.52</v>
      </c>
      <c r="T130" s="110">
        <f t="shared" si="61"/>
        <v>0.52</v>
      </c>
      <c r="U130" s="110">
        <f t="shared" si="61"/>
        <v>0.52</v>
      </c>
      <c r="V130" s="110">
        <f t="shared" si="61"/>
        <v>0.52</v>
      </c>
      <c r="W130" s="110">
        <f t="shared" si="61"/>
        <v>0.52</v>
      </c>
      <c r="X130" s="110">
        <f t="shared" si="61"/>
        <v>0.52</v>
      </c>
      <c r="Y130" s="110">
        <f t="shared" si="61"/>
        <v>0.52</v>
      </c>
      <c r="Z130" s="110">
        <f t="shared" si="61"/>
        <v>0.52</v>
      </c>
      <c r="AA130" s="110">
        <f t="shared" si="61"/>
        <v>0.52</v>
      </c>
      <c r="AB130" s="110">
        <f t="shared" si="61"/>
        <v>0.52</v>
      </c>
      <c r="AC130" s="110">
        <f t="shared" si="61"/>
        <v>0.52</v>
      </c>
      <c r="AD130" s="110">
        <f t="shared" si="61"/>
        <v>0.52</v>
      </c>
      <c r="AE130" s="110">
        <f t="shared" si="61"/>
        <v>0.52</v>
      </c>
      <c r="AF130" s="110">
        <f t="shared" si="61"/>
        <v>0.52</v>
      </c>
      <c r="AG130" s="110">
        <f t="shared" si="61"/>
        <v>0.52</v>
      </c>
      <c r="AI130" s="133" t="s">
        <v>1442</v>
      </c>
      <c r="AJ130" s="232" t="s">
        <v>1443</v>
      </c>
      <c r="BD130" s="203"/>
      <c r="BE130" s="203"/>
    </row>
    <row r="131" spans="1:63" ht="16" outlineLevel="1">
      <c r="A131" t="s">
        <v>1444</v>
      </c>
      <c r="B131" s="54" t="s">
        <v>462</v>
      </c>
      <c r="C131" s="214">
        <v>0.12</v>
      </c>
      <c r="D131" s="110">
        <f t="shared" ref="D131:S132" si="62">C131</f>
        <v>0.12</v>
      </c>
      <c r="E131" s="110">
        <f t="shared" si="62"/>
        <v>0.12</v>
      </c>
      <c r="F131" s="110">
        <f t="shared" si="62"/>
        <v>0.12</v>
      </c>
      <c r="G131" s="110">
        <f t="shared" si="62"/>
        <v>0.12</v>
      </c>
      <c r="H131" s="110">
        <f t="shared" si="62"/>
        <v>0.12</v>
      </c>
      <c r="I131" s="110">
        <f t="shared" si="62"/>
        <v>0.12</v>
      </c>
      <c r="J131" s="110">
        <f t="shared" si="62"/>
        <v>0.12</v>
      </c>
      <c r="K131" s="110">
        <f t="shared" si="62"/>
        <v>0.12</v>
      </c>
      <c r="L131" s="110">
        <f t="shared" si="62"/>
        <v>0.12</v>
      </c>
      <c r="M131" s="110">
        <f t="shared" si="62"/>
        <v>0.12</v>
      </c>
      <c r="N131" s="110">
        <f t="shared" si="62"/>
        <v>0.12</v>
      </c>
      <c r="O131" s="110">
        <f t="shared" si="62"/>
        <v>0.12</v>
      </c>
      <c r="P131" s="110">
        <f t="shared" si="62"/>
        <v>0.12</v>
      </c>
      <c r="Q131" s="110">
        <f t="shared" si="62"/>
        <v>0.12</v>
      </c>
      <c r="R131" s="110">
        <f t="shared" si="62"/>
        <v>0.12</v>
      </c>
      <c r="S131" s="110">
        <f t="shared" si="62"/>
        <v>0.12</v>
      </c>
      <c r="T131" s="110">
        <f t="shared" si="61"/>
        <v>0.12</v>
      </c>
      <c r="U131" s="110">
        <f t="shared" si="61"/>
        <v>0.12</v>
      </c>
      <c r="V131" s="110">
        <f t="shared" si="61"/>
        <v>0.12</v>
      </c>
      <c r="W131" s="110">
        <f t="shared" si="61"/>
        <v>0.12</v>
      </c>
      <c r="X131" s="110">
        <f t="shared" si="61"/>
        <v>0.12</v>
      </c>
      <c r="Y131" s="110">
        <f t="shared" si="61"/>
        <v>0.12</v>
      </c>
      <c r="Z131" s="110">
        <f t="shared" si="61"/>
        <v>0.12</v>
      </c>
      <c r="AA131" s="110">
        <f t="shared" si="61"/>
        <v>0.12</v>
      </c>
      <c r="AB131" s="110">
        <f t="shared" si="61"/>
        <v>0.12</v>
      </c>
      <c r="AC131" s="110">
        <f t="shared" si="61"/>
        <v>0.12</v>
      </c>
      <c r="AD131" s="110">
        <f t="shared" si="61"/>
        <v>0.12</v>
      </c>
      <c r="AE131" s="110">
        <f t="shared" si="61"/>
        <v>0.12</v>
      </c>
      <c r="AF131" s="110">
        <f t="shared" si="61"/>
        <v>0.12</v>
      </c>
      <c r="AG131" s="110">
        <f t="shared" si="61"/>
        <v>0.12</v>
      </c>
      <c r="AI131" s="133" t="s">
        <v>1442</v>
      </c>
      <c r="AJ131" s="232" t="s">
        <v>1443</v>
      </c>
      <c r="AL131" s="1"/>
      <c r="BC131" s="1"/>
      <c r="BD131" s="762"/>
      <c r="BE131" s="760"/>
      <c r="BF131" s="6"/>
      <c r="BG131" s="6"/>
      <c r="BH131" s="6"/>
      <c r="BI131" s="6"/>
      <c r="BJ131" s="6"/>
    </row>
    <row r="132" spans="1:63" outlineLevel="1">
      <c r="A132" t="s">
        <v>1445</v>
      </c>
      <c r="B132" s="54" t="s">
        <v>462</v>
      </c>
      <c r="C132" s="121">
        <f>1-C130-C131</f>
        <v>0.36</v>
      </c>
      <c r="D132" s="110">
        <f t="shared" si="62"/>
        <v>0.36</v>
      </c>
      <c r="E132" s="110">
        <f t="shared" si="62"/>
        <v>0.36</v>
      </c>
      <c r="F132" s="110">
        <f t="shared" si="62"/>
        <v>0.36</v>
      </c>
      <c r="G132" s="110">
        <f t="shared" si="62"/>
        <v>0.36</v>
      </c>
      <c r="H132" s="110">
        <f t="shared" si="62"/>
        <v>0.36</v>
      </c>
      <c r="I132" s="110">
        <f t="shared" si="62"/>
        <v>0.36</v>
      </c>
      <c r="J132" s="110">
        <f t="shared" si="62"/>
        <v>0.36</v>
      </c>
      <c r="K132" s="110">
        <f t="shared" si="62"/>
        <v>0.36</v>
      </c>
      <c r="L132" s="110">
        <f t="shared" si="62"/>
        <v>0.36</v>
      </c>
      <c r="M132" s="110">
        <f t="shared" si="62"/>
        <v>0.36</v>
      </c>
      <c r="N132" s="110">
        <f t="shared" si="62"/>
        <v>0.36</v>
      </c>
      <c r="O132" s="110">
        <f t="shared" si="62"/>
        <v>0.36</v>
      </c>
      <c r="P132" s="110">
        <f t="shared" si="62"/>
        <v>0.36</v>
      </c>
      <c r="Q132" s="110">
        <f t="shared" si="62"/>
        <v>0.36</v>
      </c>
      <c r="R132" s="110">
        <f t="shared" si="62"/>
        <v>0.36</v>
      </c>
      <c r="S132" s="110">
        <f t="shared" si="62"/>
        <v>0.36</v>
      </c>
      <c r="T132" s="110">
        <f t="shared" si="61"/>
        <v>0.36</v>
      </c>
      <c r="U132" s="110">
        <f t="shared" si="61"/>
        <v>0.36</v>
      </c>
      <c r="V132" s="110">
        <f t="shared" si="61"/>
        <v>0.36</v>
      </c>
      <c r="W132" s="110">
        <f t="shared" si="61"/>
        <v>0.36</v>
      </c>
      <c r="X132" s="110">
        <f t="shared" si="61"/>
        <v>0.36</v>
      </c>
      <c r="Y132" s="110">
        <f t="shared" si="61"/>
        <v>0.36</v>
      </c>
      <c r="Z132" s="110">
        <f t="shared" si="61"/>
        <v>0.36</v>
      </c>
      <c r="AA132" s="110">
        <f t="shared" si="61"/>
        <v>0.36</v>
      </c>
      <c r="AB132" s="110">
        <f t="shared" si="61"/>
        <v>0.36</v>
      </c>
      <c r="AC132" s="110">
        <f t="shared" si="61"/>
        <v>0.36</v>
      </c>
      <c r="AD132" s="110">
        <f t="shared" si="61"/>
        <v>0.36</v>
      </c>
      <c r="AE132" s="110">
        <f t="shared" si="61"/>
        <v>0.36</v>
      </c>
      <c r="AF132" s="110">
        <f t="shared" si="61"/>
        <v>0.36</v>
      </c>
      <c r="AG132" s="110">
        <f t="shared" si="61"/>
        <v>0.36</v>
      </c>
      <c r="AI132" s="133"/>
      <c r="AJ132" s="223"/>
      <c r="BC132" s="1"/>
      <c r="BD132" s="41"/>
      <c r="BF132" s="6"/>
      <c r="BG132" s="6"/>
      <c r="BH132" s="6"/>
      <c r="BI132" s="6"/>
      <c r="BJ132" s="6"/>
    </row>
    <row r="133" spans="1:63" outlineLevel="1">
      <c r="A133" t="s">
        <v>1268</v>
      </c>
      <c r="B133" s="54" t="s">
        <v>462</v>
      </c>
      <c r="C133" s="110">
        <f>SUM(C130:C132)</f>
        <v>1</v>
      </c>
      <c r="D133" s="110">
        <f t="shared" ref="D133:AG133" si="63">SUM(D130:D132)</f>
        <v>1</v>
      </c>
      <c r="E133" s="110">
        <f t="shared" si="63"/>
        <v>1</v>
      </c>
      <c r="F133" s="110">
        <f t="shared" si="63"/>
        <v>1</v>
      </c>
      <c r="G133" s="110">
        <f t="shared" si="63"/>
        <v>1</v>
      </c>
      <c r="H133" s="110">
        <f t="shared" si="63"/>
        <v>1</v>
      </c>
      <c r="I133" s="110">
        <f t="shared" si="63"/>
        <v>1</v>
      </c>
      <c r="J133" s="110">
        <f t="shared" si="63"/>
        <v>1</v>
      </c>
      <c r="K133" s="110">
        <f t="shared" si="63"/>
        <v>1</v>
      </c>
      <c r="L133" s="110">
        <f t="shared" si="63"/>
        <v>1</v>
      </c>
      <c r="M133" s="110">
        <f t="shared" si="63"/>
        <v>1</v>
      </c>
      <c r="N133" s="110">
        <f t="shared" si="63"/>
        <v>1</v>
      </c>
      <c r="O133" s="110">
        <f t="shared" si="63"/>
        <v>1</v>
      </c>
      <c r="P133" s="110">
        <f t="shared" si="63"/>
        <v>1</v>
      </c>
      <c r="Q133" s="110">
        <f t="shared" si="63"/>
        <v>1</v>
      </c>
      <c r="R133" s="110">
        <f t="shared" si="63"/>
        <v>1</v>
      </c>
      <c r="S133" s="110">
        <f t="shared" si="63"/>
        <v>1</v>
      </c>
      <c r="T133" s="110">
        <f t="shared" si="63"/>
        <v>1</v>
      </c>
      <c r="U133" s="110">
        <f t="shared" si="63"/>
        <v>1</v>
      </c>
      <c r="V133" s="110">
        <f t="shared" si="63"/>
        <v>1</v>
      </c>
      <c r="W133" s="110">
        <f t="shared" si="63"/>
        <v>1</v>
      </c>
      <c r="X133" s="110">
        <f t="shared" si="63"/>
        <v>1</v>
      </c>
      <c r="Y133" s="110">
        <f t="shared" si="63"/>
        <v>1</v>
      </c>
      <c r="Z133" s="110">
        <f t="shared" si="63"/>
        <v>1</v>
      </c>
      <c r="AA133" s="110">
        <f t="shared" si="63"/>
        <v>1</v>
      </c>
      <c r="AB133" s="110">
        <f t="shared" si="63"/>
        <v>1</v>
      </c>
      <c r="AC133" s="110">
        <f t="shared" si="63"/>
        <v>1</v>
      </c>
      <c r="AD133" s="110">
        <f t="shared" si="63"/>
        <v>1</v>
      </c>
      <c r="AE133" s="110">
        <f t="shared" si="63"/>
        <v>1</v>
      </c>
      <c r="AF133" s="110">
        <f t="shared" si="63"/>
        <v>1</v>
      </c>
      <c r="AG133" s="110">
        <f t="shared" si="63"/>
        <v>1</v>
      </c>
      <c r="AI133" s="133"/>
      <c r="AJ133" s="211"/>
      <c r="BC133" s="1"/>
      <c r="BD133" s="41"/>
      <c r="BF133" s="6"/>
      <c r="BG133" s="6"/>
      <c r="BH133" s="6"/>
      <c r="BI133" s="6"/>
      <c r="BJ133" s="6"/>
    </row>
    <row r="134" spans="1:63" outlineLevel="1">
      <c r="C134" s="214"/>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I134" s="133"/>
      <c r="AJ134" s="211"/>
      <c r="BC134" s="1"/>
      <c r="BD134" s="41"/>
      <c r="BF134" s="6"/>
      <c r="BG134" s="6"/>
      <c r="BH134" s="6"/>
      <c r="BI134" s="6"/>
      <c r="BJ134" s="6"/>
    </row>
    <row r="135" spans="1:63" outlineLevel="1">
      <c r="A135" t="s">
        <v>1335</v>
      </c>
      <c r="B135" s="54" t="s">
        <v>462</v>
      </c>
      <c r="C135" s="110">
        <f>C130*C128</f>
        <v>1.1960000000000002E-2</v>
      </c>
      <c r="D135" s="110">
        <f t="shared" ref="D135:AG135" si="64">D130*D128</f>
        <v>1.4562523765387934E-2</v>
      </c>
      <c r="E135" s="110">
        <f t="shared" si="64"/>
        <v>1.7008912329058656E-2</v>
      </c>
      <c r="F135" s="110">
        <f t="shared" si="64"/>
        <v>1.9299165691012168E-2</v>
      </c>
      <c r="G135" s="110">
        <f t="shared" si="64"/>
        <v>2.1433283851248472E-2</v>
      </c>
      <c r="H135" s="110">
        <f t="shared" si="64"/>
        <v>2.3411266809767559E-2</v>
      </c>
      <c r="I135" s="110">
        <f t="shared" si="64"/>
        <v>2.5233114566569442E-2</v>
      </c>
      <c r="J135" s="110">
        <f t="shared" si="64"/>
        <v>2.6898827121654107E-2</v>
      </c>
      <c r="K135" s="110">
        <f t="shared" si="64"/>
        <v>2.8408404475021565E-2</v>
      </c>
      <c r="L135" s="110">
        <f t="shared" si="64"/>
        <v>2.9761846626671813E-2</v>
      </c>
      <c r="M135" s="110">
        <f t="shared" si="64"/>
        <v>3.0959153576604843E-2</v>
      </c>
      <c r="N135" s="110">
        <f t="shared" si="64"/>
        <v>3.4363972070816588E-2</v>
      </c>
      <c r="O135" s="110">
        <f t="shared" si="64"/>
        <v>3.7439705601408989E-2</v>
      </c>
      <c r="P135" s="110">
        <f t="shared" si="64"/>
        <v>4.0186354168382038E-2</v>
      </c>
      <c r="Q135" s="110">
        <f t="shared" si="64"/>
        <v>4.2603917771735722E-2</v>
      </c>
      <c r="R135" s="110">
        <f t="shared" si="64"/>
        <v>4.4692396411470069E-2</v>
      </c>
      <c r="S135" s="110">
        <f t="shared" si="64"/>
        <v>4.6451790087585064E-2</v>
      </c>
      <c r="T135" s="110">
        <f t="shared" si="64"/>
        <v>4.7882098800080701E-2</v>
      </c>
      <c r="U135" s="110">
        <f t="shared" si="64"/>
        <v>4.8983322548956994E-2</v>
      </c>
      <c r="V135" s="110">
        <f t="shared" si="64"/>
        <v>4.9755461334213928E-2</v>
      </c>
      <c r="W135" s="110">
        <f t="shared" si="64"/>
        <v>5.0198515155851518E-2</v>
      </c>
      <c r="X135" s="110">
        <f t="shared" si="64"/>
        <v>5.2232452896251821E-2</v>
      </c>
      <c r="Y135" s="110">
        <f t="shared" si="64"/>
        <v>5.3715770801988701E-2</v>
      </c>
      <c r="Z135" s="110">
        <f t="shared" si="64"/>
        <v>5.4648468873062142E-2</v>
      </c>
      <c r="AA135" s="110">
        <f t="shared" si="64"/>
        <v>5.5030547109472132E-2</v>
      </c>
      <c r="AB135" s="110">
        <f t="shared" si="64"/>
        <v>5.4862005511218705E-2</v>
      </c>
      <c r="AC135" s="110">
        <f t="shared" si="64"/>
        <v>5.4142844078301819E-2</v>
      </c>
      <c r="AD135" s="110">
        <f t="shared" si="64"/>
        <v>5.2873062810721502E-2</v>
      </c>
      <c r="AE135" s="110">
        <f t="shared" si="64"/>
        <v>5.1052661708477741E-2</v>
      </c>
      <c r="AF135" s="110">
        <f t="shared" si="64"/>
        <v>4.8681640771570549E-2</v>
      </c>
      <c r="AG135" s="110">
        <f t="shared" si="64"/>
        <v>4.5759999999999995E-2</v>
      </c>
      <c r="AI135" s="133"/>
      <c r="AJ135" s="211"/>
      <c r="BD135" s="203"/>
      <c r="BE135" s="203"/>
    </row>
    <row r="136" spans="1:63" outlineLevel="1">
      <c r="A136" t="s">
        <v>1336</v>
      </c>
      <c r="B136" s="54" t="s">
        <v>462</v>
      </c>
      <c r="C136" s="110">
        <f>C128*C131</f>
        <v>2.7600000000000003E-3</v>
      </c>
      <c r="D136" s="110">
        <f t="shared" ref="D136:AG136" si="65">D128*D131</f>
        <v>3.3605824073972158E-3</v>
      </c>
      <c r="E136" s="110">
        <f t="shared" si="65"/>
        <v>3.9251336143981512E-3</v>
      </c>
      <c r="F136" s="110">
        <f t="shared" si="65"/>
        <v>4.4536536210028075E-3</v>
      </c>
      <c r="G136" s="110">
        <f t="shared" si="65"/>
        <v>4.9461424272111854E-3</v>
      </c>
      <c r="H136" s="110">
        <f t="shared" si="65"/>
        <v>5.4026000330232825E-3</v>
      </c>
      <c r="I136" s="110">
        <f t="shared" si="65"/>
        <v>5.8230264384391021E-3</v>
      </c>
      <c r="J136" s="110">
        <f t="shared" si="65"/>
        <v>6.2074216434586391E-3</v>
      </c>
      <c r="K136" s="110">
        <f t="shared" si="65"/>
        <v>6.5557856480818995E-3</v>
      </c>
      <c r="L136" s="110">
        <f t="shared" si="65"/>
        <v>6.868118452308879E-3</v>
      </c>
      <c r="M136" s="110">
        <f t="shared" si="65"/>
        <v>7.1444200561395794E-3</v>
      </c>
      <c r="N136" s="110">
        <f t="shared" si="65"/>
        <v>7.9301474009576736E-3</v>
      </c>
      <c r="O136" s="110">
        <f t="shared" si="65"/>
        <v>8.6399320618636127E-3</v>
      </c>
      <c r="P136" s="110">
        <f t="shared" si="65"/>
        <v>9.2737740388573915E-3</v>
      </c>
      <c r="Q136" s="110">
        <f t="shared" si="65"/>
        <v>9.8316733319390136E-3</v>
      </c>
      <c r="R136" s="110">
        <f t="shared" si="65"/>
        <v>1.0313629941108475E-2</v>
      </c>
      <c r="S136" s="110">
        <f t="shared" si="65"/>
        <v>1.0719643866365784E-2</v>
      </c>
      <c r="T136" s="110">
        <f t="shared" si="65"/>
        <v>1.104971510771093E-2</v>
      </c>
      <c r="U136" s="110">
        <f t="shared" si="65"/>
        <v>1.1303843665143922E-2</v>
      </c>
      <c r="V136" s="110">
        <f t="shared" si="65"/>
        <v>1.1482029538664751E-2</v>
      </c>
      <c r="W136" s="110">
        <f t="shared" si="65"/>
        <v>1.1584272728273426E-2</v>
      </c>
      <c r="X136" s="110">
        <f t="shared" si="65"/>
        <v>1.2053642976058113E-2</v>
      </c>
      <c r="Y136" s="110">
        <f t="shared" si="65"/>
        <v>1.2395947108151237E-2</v>
      </c>
      <c r="Z136" s="110">
        <f t="shared" si="65"/>
        <v>1.2611185124552803E-2</v>
      </c>
      <c r="AA136" s="110">
        <f t="shared" si="65"/>
        <v>1.2699357025262798E-2</v>
      </c>
      <c r="AB136" s="110">
        <f t="shared" si="65"/>
        <v>1.2660462810281237E-2</v>
      </c>
      <c r="AC136" s="110">
        <f t="shared" si="65"/>
        <v>1.2494502479608111E-2</v>
      </c>
      <c r="AD136" s="110">
        <f t="shared" si="65"/>
        <v>1.2201476033243421E-2</v>
      </c>
      <c r="AE136" s="110">
        <f t="shared" si="65"/>
        <v>1.178138347118717E-2</v>
      </c>
      <c r="AF136" s="110">
        <f t="shared" si="65"/>
        <v>1.1234224793439355E-2</v>
      </c>
      <c r="AG136" s="110">
        <f t="shared" si="65"/>
        <v>1.0559999999999996E-2</v>
      </c>
      <c r="AI136" s="133"/>
      <c r="AJ136" s="211"/>
      <c r="AL136" s="1"/>
      <c r="BC136" s="1"/>
      <c r="BD136" s="762"/>
      <c r="BE136" s="760"/>
      <c r="BF136" s="6"/>
      <c r="BG136" s="6"/>
      <c r="BH136" s="6"/>
      <c r="BI136" s="6"/>
      <c r="BJ136" s="6"/>
    </row>
    <row r="137" spans="1:63" outlineLevel="1">
      <c r="A137" t="s">
        <v>1337</v>
      </c>
      <c r="B137" s="54" t="s">
        <v>462</v>
      </c>
      <c r="C137" s="110">
        <f>C128*C132</f>
        <v>8.2800000000000009E-3</v>
      </c>
      <c r="D137" s="110">
        <f t="shared" ref="D137:AG137" si="66">D128*D132</f>
        <v>1.0081747222191647E-2</v>
      </c>
      <c r="E137" s="110">
        <f t="shared" si="66"/>
        <v>1.1775400843194454E-2</v>
      </c>
      <c r="F137" s="110">
        <f t="shared" si="66"/>
        <v>1.3360960863008423E-2</v>
      </c>
      <c r="G137" s="110">
        <f t="shared" si="66"/>
        <v>1.4838427281633556E-2</v>
      </c>
      <c r="H137" s="110">
        <f t="shared" si="66"/>
        <v>1.6207800099069847E-2</v>
      </c>
      <c r="I137" s="110">
        <f t="shared" si="66"/>
        <v>1.7469079315317305E-2</v>
      </c>
      <c r="J137" s="110">
        <f t="shared" si="66"/>
        <v>1.8622264930375918E-2</v>
      </c>
      <c r="K137" s="110">
        <f t="shared" si="66"/>
        <v>1.9667356944245699E-2</v>
      </c>
      <c r="L137" s="110">
        <f t="shared" si="66"/>
        <v>2.0604355356926639E-2</v>
      </c>
      <c r="M137" s="110">
        <f t="shared" si="66"/>
        <v>2.1433260168418736E-2</v>
      </c>
      <c r="N137" s="110">
        <f t="shared" si="66"/>
        <v>2.3790442202873022E-2</v>
      </c>
      <c r="O137" s="110">
        <f t="shared" si="66"/>
        <v>2.5919796185590836E-2</v>
      </c>
      <c r="P137" s="110">
        <f t="shared" si="66"/>
        <v>2.7821322116572178E-2</v>
      </c>
      <c r="Q137" s="110">
        <f t="shared" si="66"/>
        <v>2.9495019995817037E-2</v>
      </c>
      <c r="R137" s="110">
        <f t="shared" si="66"/>
        <v>3.0940889823325428E-2</v>
      </c>
      <c r="S137" s="110">
        <f t="shared" si="66"/>
        <v>3.215893159909735E-2</v>
      </c>
      <c r="T137" s="110">
        <f t="shared" si="66"/>
        <v>3.3149145323132789E-2</v>
      </c>
      <c r="U137" s="110">
        <f t="shared" si="66"/>
        <v>3.3911530995431767E-2</v>
      </c>
      <c r="V137" s="110">
        <f t="shared" si="66"/>
        <v>3.4446088615994255E-2</v>
      </c>
      <c r="W137" s="110">
        <f t="shared" si="66"/>
        <v>3.4752818184820275E-2</v>
      </c>
      <c r="X137" s="110">
        <f t="shared" si="66"/>
        <v>3.6160928928174338E-2</v>
      </c>
      <c r="Y137" s="110">
        <f t="shared" si="66"/>
        <v>3.7187841324453713E-2</v>
      </c>
      <c r="Z137" s="110">
        <f t="shared" si="66"/>
        <v>3.7833555373658408E-2</v>
      </c>
      <c r="AA137" s="110">
        <f t="shared" si="66"/>
        <v>3.8098071075788394E-2</v>
      </c>
      <c r="AB137" s="110">
        <f t="shared" si="66"/>
        <v>3.7981388430843713E-2</v>
      </c>
      <c r="AC137" s="110">
        <f t="shared" si="66"/>
        <v>3.748350743882433E-2</v>
      </c>
      <c r="AD137" s="110">
        <f t="shared" si="66"/>
        <v>3.6604428099730267E-2</v>
      </c>
      <c r="AE137" s="110">
        <f t="shared" si="66"/>
        <v>3.5344150413561509E-2</v>
      </c>
      <c r="AF137" s="110">
        <f t="shared" si="66"/>
        <v>3.3702674380318071E-2</v>
      </c>
      <c r="AG137" s="110">
        <f t="shared" si="66"/>
        <v>3.1679999999999993E-2</v>
      </c>
      <c r="AI137" s="134"/>
      <c r="AJ137" s="211"/>
      <c r="BC137" s="1"/>
      <c r="BD137" s="41"/>
      <c r="BF137" s="6"/>
      <c r="BG137" s="6"/>
      <c r="BH137" s="6"/>
      <c r="BI137" s="6"/>
      <c r="BJ137" s="6"/>
    </row>
    <row r="138" spans="1:63" outlineLevel="1">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I138" s="134"/>
      <c r="AJ138" s="211"/>
      <c r="BC138" s="1"/>
      <c r="BD138" s="41"/>
      <c r="BF138" s="6"/>
      <c r="BG138" s="6"/>
      <c r="BH138" s="6"/>
      <c r="BI138" s="6"/>
      <c r="BJ138" s="6"/>
    </row>
    <row r="139" spans="1:63" outlineLevel="1">
      <c r="A139" t="s">
        <v>1621</v>
      </c>
      <c r="C139" s="230">
        <f>('Overall recycling rates'!F86*'Yearly BTX'!D5+'Overall recycling rates'!G86*'Yearly BTX'!D6+'Overall recycling rates'!H86*'Yearly BTX'!D7)/'Yearly BTX'!D4</f>
        <v>0.70806073640898437</v>
      </c>
      <c r="D139" s="230">
        <f>C139-($C139-$AG139)/($AG$1-$C$1)</f>
        <v>0.71779204519535156</v>
      </c>
      <c r="E139" s="230">
        <f t="shared" ref="E139:AF139" si="67">D139-($C139-$AG139)/($AG$1-$C$1)</f>
        <v>0.72752335398171875</v>
      </c>
      <c r="F139" s="230">
        <f t="shared" si="67"/>
        <v>0.73725466276808593</v>
      </c>
      <c r="G139" s="230">
        <f t="shared" si="67"/>
        <v>0.74698597155445312</v>
      </c>
      <c r="H139" s="230">
        <f t="shared" si="67"/>
        <v>0.75671728034082031</v>
      </c>
      <c r="I139" s="230">
        <f t="shared" si="67"/>
        <v>0.7664485891271875</v>
      </c>
      <c r="J139" s="230">
        <f t="shared" si="67"/>
        <v>0.77617989791355468</v>
      </c>
      <c r="K139" s="230">
        <f t="shared" si="67"/>
        <v>0.78591120669992187</v>
      </c>
      <c r="L139" s="230">
        <f t="shared" si="67"/>
        <v>0.79564251548628906</v>
      </c>
      <c r="M139" s="230">
        <f t="shared" si="67"/>
        <v>0.80537382427265625</v>
      </c>
      <c r="N139" s="230">
        <f t="shared" si="67"/>
        <v>0.81510513305902343</v>
      </c>
      <c r="O139" s="230">
        <f t="shared" si="67"/>
        <v>0.82483644184539062</v>
      </c>
      <c r="P139" s="230">
        <f t="shared" si="67"/>
        <v>0.83456775063175781</v>
      </c>
      <c r="Q139" s="230">
        <f t="shared" si="67"/>
        <v>0.844299059418125</v>
      </c>
      <c r="R139" s="230">
        <f t="shared" si="67"/>
        <v>0.85403036820449219</v>
      </c>
      <c r="S139" s="230">
        <f t="shared" si="67"/>
        <v>0.86376167699085937</v>
      </c>
      <c r="T139" s="230">
        <f t="shared" si="67"/>
        <v>0.87349298577722656</v>
      </c>
      <c r="U139" s="230">
        <f t="shared" si="67"/>
        <v>0.88322429456359375</v>
      </c>
      <c r="V139" s="230">
        <f t="shared" si="67"/>
        <v>0.89295560334996094</v>
      </c>
      <c r="W139" s="230">
        <f t="shared" si="67"/>
        <v>0.90268691213632812</v>
      </c>
      <c r="X139" s="230">
        <f t="shared" si="67"/>
        <v>0.91241822092269531</v>
      </c>
      <c r="Y139" s="230">
        <f t="shared" si="67"/>
        <v>0.9221495297090625</v>
      </c>
      <c r="Z139" s="230">
        <f t="shared" si="67"/>
        <v>0.93188083849542969</v>
      </c>
      <c r="AA139" s="230">
        <f t="shared" si="67"/>
        <v>0.94161214728179687</v>
      </c>
      <c r="AB139" s="230">
        <f t="shared" si="67"/>
        <v>0.95134345606816406</v>
      </c>
      <c r="AC139" s="230">
        <f t="shared" si="67"/>
        <v>0.96107476485453125</v>
      </c>
      <c r="AD139" s="230">
        <f t="shared" si="67"/>
        <v>0.97080607364089844</v>
      </c>
      <c r="AE139" s="230">
        <f t="shared" si="67"/>
        <v>0.98053738242726562</v>
      </c>
      <c r="AF139" s="230">
        <f t="shared" si="67"/>
        <v>0.99026869121363281</v>
      </c>
      <c r="AG139" s="230">
        <f>'Overall recycling rates'!F95</f>
        <v>1</v>
      </c>
      <c r="AI139" s="133"/>
      <c r="AJ139" s="211" t="s">
        <v>1571</v>
      </c>
      <c r="AL139" s="108"/>
      <c r="AM139" s="207"/>
      <c r="AN139" s="207"/>
      <c r="AO139" s="207"/>
      <c r="BC139" s="1"/>
      <c r="BD139" s="207"/>
      <c r="BE139" s="207"/>
      <c r="BF139" s="207"/>
      <c r="BG139" s="207"/>
      <c r="BH139" s="207"/>
      <c r="BI139" s="207"/>
      <c r="BJ139" s="207"/>
      <c r="BK139" s="207"/>
    </row>
    <row r="140" spans="1:63" outlineLevel="1">
      <c r="A140" t="s">
        <v>1629</v>
      </c>
      <c r="B140" s="54" t="s">
        <v>462</v>
      </c>
      <c r="C140" s="110">
        <f>C127*C$139</f>
        <v>1.4161214728179688E-3</v>
      </c>
      <c r="D140" s="110">
        <f t="shared" ref="D140:AG141" si="68">D127*D$139</f>
        <v>2.3332285082061873E-3</v>
      </c>
      <c r="E140" s="110">
        <f t="shared" si="68"/>
        <v>3.4931209443098831E-3</v>
      </c>
      <c r="F140" s="110">
        <f t="shared" si="68"/>
        <v>4.90456454955405E-3</v>
      </c>
      <c r="G140" s="110">
        <f t="shared" si="68"/>
        <v>6.5763250923636775E-3</v>
      </c>
      <c r="H140" s="110">
        <f t="shared" si="68"/>
        <v>8.5171683411637573E-3</v>
      </c>
      <c r="I140" s="110">
        <f t="shared" si="68"/>
        <v>1.0735860064379286E-2</v>
      </c>
      <c r="J140" s="110">
        <f t="shared" si="68"/>
        <v>1.3241166030435248E-2</v>
      </c>
      <c r="K140" s="110">
        <f t="shared" si="68"/>
        <v>1.6041852007756641E-2</v>
      </c>
      <c r="L140" s="110">
        <f t="shared" si="68"/>
        <v>1.9146683764768458E-2</v>
      </c>
      <c r="M140" s="110">
        <f t="shared" si="68"/>
        <v>2.2564427069895681E-2</v>
      </c>
      <c r="N140" s="110">
        <f t="shared" si="68"/>
        <v>2.8246734314503745E-2</v>
      </c>
      <c r="O140" s="110">
        <f t="shared" si="68"/>
        <v>3.4580212838175181E-2</v>
      </c>
      <c r="P140" s="110">
        <f t="shared" si="68"/>
        <v>4.1583338183590356E-2</v>
      </c>
      <c r="Q140" s="110">
        <f t="shared" si="68"/>
        <v>4.9274585893429625E-2</v>
      </c>
      <c r="R140" s="110">
        <f t="shared" si="68"/>
        <v>5.7672431510373379E-2</v>
      </c>
      <c r="S140" s="110">
        <f t="shared" si="68"/>
        <v>6.6795350577101981E-2</v>
      </c>
      <c r="T140" s="110">
        <f t="shared" si="68"/>
        <v>7.6661818636295773E-2</v>
      </c>
      <c r="U140" s="110">
        <f t="shared" si="68"/>
        <v>8.7290311230635131E-2</v>
      </c>
      <c r="V140" s="110">
        <f t="shared" si="68"/>
        <v>9.8699303902800434E-2</v>
      </c>
      <c r="W140" s="110">
        <f t="shared" si="68"/>
        <v>0.11090727219547206</v>
      </c>
      <c r="X140" s="110">
        <f t="shared" si="68"/>
        <v>0.12866207276109254</v>
      </c>
      <c r="Y140" s="110">
        <f t="shared" si="68"/>
        <v>0.14774654362280384</v>
      </c>
      <c r="Z140" s="110">
        <f t="shared" si="68"/>
        <v>0.16819159777080797</v>
      </c>
      <c r="AA140" s="110">
        <f t="shared" si="68"/>
        <v>0.19002814819530678</v>
      </c>
      <c r="AB140" s="110">
        <f t="shared" si="68"/>
        <v>0.21328710788650238</v>
      </c>
      <c r="AC140" s="110">
        <f t="shared" si="68"/>
        <v>0.23799938983459665</v>
      </c>
      <c r="AD140" s="110">
        <f t="shared" si="68"/>
        <v>0.26419590702979157</v>
      </c>
      <c r="AE140" s="110">
        <f t="shared" si="68"/>
        <v>0.29190757246228916</v>
      </c>
      <c r="AF140" s="110">
        <f t="shared" si="68"/>
        <v>0.32116529912229136</v>
      </c>
      <c r="AG140" s="110">
        <f t="shared" si="68"/>
        <v>0.35200000000000004</v>
      </c>
      <c r="AI140" s="133"/>
      <c r="AJ140"/>
      <c r="AL140" s="108"/>
      <c r="AM140" s="2"/>
      <c r="AN140" s="2"/>
      <c r="AO140" s="2"/>
      <c r="AV140" s="41"/>
    </row>
    <row r="141" spans="1:63" outlineLevel="1">
      <c r="A141" t="s">
        <v>1630</v>
      </c>
      <c r="B141" s="54" t="s">
        <v>462</v>
      </c>
      <c r="C141" s="110">
        <f>C128*C$139</f>
        <v>1.6285396937406642E-2</v>
      </c>
      <c r="D141" s="110">
        <f t="shared" si="68"/>
        <v>2.0101660993776381E-2</v>
      </c>
      <c r="E141" s="110">
        <f t="shared" si="68"/>
        <v>2.3796886433111078E-2</v>
      </c>
      <c r="F141" s="110">
        <f t="shared" si="68"/>
        <v>2.7362307486985749E-2</v>
      </c>
      <c r="G141" s="110">
        <f t="shared" si="68"/>
        <v>3.0789158386975404E-2</v>
      </c>
      <c r="H141" s="110">
        <f t="shared" si="68"/>
        <v>3.4068673364655036E-2</v>
      </c>
      <c r="I141" s="110">
        <f t="shared" si="68"/>
        <v>3.7192086651599676E-2</v>
      </c>
      <c r="J141" s="110">
        <f t="shared" si="68"/>
        <v>4.0150632479384309E-2</v>
      </c>
      <c r="K141" s="110">
        <f t="shared" si="68"/>
        <v>4.2935545079583956E-2</v>
      </c>
      <c r="L141" s="110">
        <f t="shared" si="68"/>
        <v>4.5538058683773627E-2</v>
      </c>
      <c r="M141" s="110">
        <f t="shared" si="68"/>
        <v>4.7949407523528317E-2</v>
      </c>
      <c r="N141" s="110">
        <f t="shared" si="68"/>
        <v>5.3865865436960612E-2</v>
      </c>
      <c r="O141" s="110">
        <f t="shared" si="68"/>
        <v>5.9387756830779098E-2</v>
      </c>
      <c r="P141" s="110">
        <f t="shared" si="68"/>
        <v>6.4496606162303377E-2</v>
      </c>
      <c r="Q141" s="110">
        <f t="shared" si="68"/>
        <v>6.9173937888853093E-2</v>
      </c>
      <c r="R141" s="110">
        <f t="shared" si="68"/>
        <v>7.3401276467747897E-2</v>
      </c>
      <c r="S141" s="110">
        <f t="shared" si="68"/>
        <v>7.7160146356307413E-2</v>
      </c>
      <c r="T141" s="110">
        <f t="shared" si="68"/>
        <v>8.0432072011851249E-2</v>
      </c>
      <c r="U141" s="110">
        <f t="shared" si="68"/>
        <v>8.3198577891699071E-2</v>
      </c>
      <c r="V141" s="110">
        <f t="shared" si="68"/>
        <v>8.5441188453170475E-2</v>
      </c>
      <c r="W141" s="110">
        <f t="shared" si="68"/>
        <v>8.7141428153585138E-2</v>
      </c>
      <c r="X141" s="110">
        <f t="shared" si="68"/>
        <v>9.164969566543571E-2</v>
      </c>
      <c r="Y141" s="110">
        <f t="shared" si="68"/>
        <v>9.5257639967333982E-2</v>
      </c>
      <c r="Z141" s="110">
        <f t="shared" si="68"/>
        <v>9.7934348069077956E-2</v>
      </c>
      <c r="AA141" s="110">
        <f t="shared" si="68"/>
        <v>9.9648906980465635E-2</v>
      </c>
      <c r="AB141" s="110">
        <f t="shared" si="68"/>
        <v>0.10037040371129512</v>
      </c>
      <c r="AC141" s="110">
        <f t="shared" si="68"/>
        <v>0.10006792527136436</v>
      </c>
      <c r="AD141" s="110">
        <f t="shared" si="68"/>
        <v>9.8710558670471432E-2</v>
      </c>
      <c r="AE141" s="110">
        <f t="shared" si="68"/>
        <v>9.6267390918414339E-2</v>
      </c>
      <c r="AF141" s="110">
        <f t="shared" si="68"/>
        <v>9.2707509024991128E-2</v>
      </c>
      <c r="AG141" s="110">
        <f t="shared" si="68"/>
        <v>8.7999999999999981E-2</v>
      </c>
      <c r="AH141" s="245"/>
      <c r="AI141" s="133"/>
      <c r="AJ141" s="211"/>
      <c r="AL141" s="108"/>
      <c r="AM141" s="2"/>
      <c r="AN141" s="2"/>
      <c r="AO141" s="2"/>
      <c r="AV141" s="41"/>
    </row>
    <row r="142" spans="1:63" outlineLevel="1">
      <c r="A142" t="s">
        <v>1631</v>
      </c>
      <c r="B142" s="176" t="s">
        <v>462</v>
      </c>
      <c r="C142" s="110">
        <f>SUM(C140:C141)</f>
        <v>1.7701518410224611E-2</v>
      </c>
      <c r="D142" s="110">
        <f t="shared" ref="D142:AG142" si="69">SUM(D140:D141)</f>
        <v>2.243488950198257E-2</v>
      </c>
      <c r="E142" s="110">
        <f t="shared" si="69"/>
        <v>2.7290007377420961E-2</v>
      </c>
      <c r="F142" s="110">
        <f t="shared" si="69"/>
        <v>3.2266872036539801E-2</v>
      </c>
      <c r="G142" s="110">
        <f t="shared" si="69"/>
        <v>3.736548347933908E-2</v>
      </c>
      <c r="H142" s="110">
        <f t="shared" si="69"/>
        <v>4.2585841705818792E-2</v>
      </c>
      <c r="I142" s="110">
        <f t="shared" si="69"/>
        <v>4.7927946715978963E-2</v>
      </c>
      <c r="J142" s="110">
        <f t="shared" si="69"/>
        <v>5.3391798509819559E-2</v>
      </c>
      <c r="K142" s="110">
        <f t="shared" si="69"/>
        <v>5.8977397087340594E-2</v>
      </c>
      <c r="L142" s="110">
        <f t="shared" si="69"/>
        <v>6.4684742448542082E-2</v>
      </c>
      <c r="M142" s="110">
        <f t="shared" si="69"/>
        <v>7.0513834593424002E-2</v>
      </c>
      <c r="N142" s="110">
        <f t="shared" si="69"/>
        <v>8.2112599751464357E-2</v>
      </c>
      <c r="O142" s="110">
        <f t="shared" si="69"/>
        <v>9.3967969668954279E-2</v>
      </c>
      <c r="P142" s="110">
        <f t="shared" si="69"/>
        <v>0.10607994434589374</v>
      </c>
      <c r="Q142" s="110">
        <f t="shared" si="69"/>
        <v>0.11844852378228271</v>
      </c>
      <c r="R142" s="110">
        <f t="shared" si="69"/>
        <v>0.13107370797812129</v>
      </c>
      <c r="S142" s="110">
        <f t="shared" si="69"/>
        <v>0.14395549693340939</v>
      </c>
      <c r="T142" s="110">
        <f t="shared" si="69"/>
        <v>0.15709389064814702</v>
      </c>
      <c r="U142" s="110">
        <f t="shared" si="69"/>
        <v>0.1704888891223342</v>
      </c>
      <c r="V142" s="110">
        <f t="shared" si="69"/>
        <v>0.18414049235597091</v>
      </c>
      <c r="W142" s="110">
        <f t="shared" si="69"/>
        <v>0.19804870034905719</v>
      </c>
      <c r="X142" s="110">
        <f t="shared" si="69"/>
        <v>0.22031176842652825</v>
      </c>
      <c r="Y142" s="110">
        <f t="shared" si="69"/>
        <v>0.24300418359013781</v>
      </c>
      <c r="Z142" s="110">
        <f t="shared" si="69"/>
        <v>0.26612594583988591</v>
      </c>
      <c r="AA142" s="110">
        <f t="shared" si="69"/>
        <v>0.28967705517577241</v>
      </c>
      <c r="AB142" s="110">
        <f t="shared" si="69"/>
        <v>0.31365751159779748</v>
      </c>
      <c r="AC142" s="110">
        <f t="shared" si="69"/>
        <v>0.338067315105961</v>
      </c>
      <c r="AD142" s="110">
        <f t="shared" si="69"/>
        <v>0.36290646570026297</v>
      </c>
      <c r="AE142" s="110">
        <f t="shared" si="69"/>
        <v>0.38817496338070351</v>
      </c>
      <c r="AF142" s="110">
        <f t="shared" si="69"/>
        <v>0.4138728081472825</v>
      </c>
      <c r="AG142" s="110">
        <f t="shared" si="69"/>
        <v>0.44</v>
      </c>
      <c r="AI142" s="133"/>
      <c r="AJ142" s="211"/>
      <c r="AL142" s="108"/>
      <c r="AM142" s="2"/>
      <c r="AN142" s="2"/>
      <c r="AO142" s="2"/>
    </row>
    <row r="143" spans="1:63" outlineLevel="1">
      <c r="A143" t="s">
        <v>1632</v>
      </c>
      <c r="B143" s="54" t="s">
        <v>462</v>
      </c>
      <c r="C143" s="110">
        <f>C130*C141</f>
        <v>8.468406407451454E-3</v>
      </c>
      <c r="D143" s="110">
        <f t="shared" ref="D143:AG143" si="70">D130*D141</f>
        <v>1.0452863716763719E-2</v>
      </c>
      <c r="E143" s="110">
        <f t="shared" si="70"/>
        <v>1.2374380945217761E-2</v>
      </c>
      <c r="F143" s="110">
        <f t="shared" si="70"/>
        <v>1.422839989323259E-2</v>
      </c>
      <c r="G143" s="110">
        <f t="shared" si="70"/>
        <v>1.6010362361227212E-2</v>
      </c>
      <c r="H143" s="110">
        <f t="shared" si="70"/>
        <v>1.7715710149620621E-2</v>
      </c>
      <c r="I143" s="110">
        <f t="shared" si="70"/>
        <v>1.9339885058831833E-2</v>
      </c>
      <c r="J143" s="110">
        <f t="shared" si="70"/>
        <v>2.0878328889279842E-2</v>
      </c>
      <c r="K143" s="110">
        <f t="shared" si="70"/>
        <v>2.2326483441383656E-2</v>
      </c>
      <c r="L143" s="110">
        <f t="shared" si="70"/>
        <v>2.3679790515562286E-2</v>
      </c>
      <c r="M143" s="110">
        <f t="shared" si="70"/>
        <v>2.4933691912234726E-2</v>
      </c>
      <c r="N143" s="110">
        <f t="shared" si="70"/>
        <v>2.8010250027219519E-2</v>
      </c>
      <c r="O143" s="110">
        <f t="shared" si="70"/>
        <v>3.0881633552005131E-2</v>
      </c>
      <c r="P143" s="110">
        <f t="shared" si="70"/>
        <v>3.3538235204397755E-2</v>
      </c>
      <c r="Q143" s="110">
        <f t="shared" si="70"/>
        <v>3.597044770220361E-2</v>
      </c>
      <c r="R143" s="110">
        <f t="shared" si="70"/>
        <v>3.8168663763228909E-2</v>
      </c>
      <c r="S143" s="110">
        <f t="shared" si="70"/>
        <v>4.0123276105279854E-2</v>
      </c>
      <c r="T143" s="110">
        <f t="shared" si="70"/>
        <v>4.1824677446162653E-2</v>
      </c>
      <c r="U143" s="110">
        <f t="shared" si="70"/>
        <v>4.3263260503683516E-2</v>
      </c>
      <c r="V143" s="110">
        <f t="shared" si="70"/>
        <v>4.4429417995648646E-2</v>
      </c>
      <c r="W143" s="110">
        <f t="shared" si="70"/>
        <v>4.5313542639864271E-2</v>
      </c>
      <c r="X143" s="110">
        <f t="shared" si="70"/>
        <v>4.7657841746026573E-2</v>
      </c>
      <c r="Y143" s="110">
        <f t="shared" si="70"/>
        <v>4.953397278301367E-2</v>
      </c>
      <c r="Z143" s="110">
        <f t="shared" si="70"/>
        <v>5.0925860995920537E-2</v>
      </c>
      <c r="AA143" s="110">
        <f t="shared" si="70"/>
        <v>5.1817431629842134E-2</v>
      </c>
      <c r="AB143" s="110">
        <f t="shared" si="70"/>
        <v>5.2192609929873464E-2</v>
      </c>
      <c r="AC143" s="110">
        <f t="shared" si="70"/>
        <v>5.2035321141109474E-2</v>
      </c>
      <c r="AD143" s="110">
        <f t="shared" si="70"/>
        <v>5.1329490508645145E-2</v>
      </c>
      <c r="AE143" s="110">
        <f t="shared" si="70"/>
        <v>5.005904327757546E-2</v>
      </c>
      <c r="AF143" s="110">
        <f t="shared" si="70"/>
        <v>4.8207904692995386E-2</v>
      </c>
      <c r="AG143" s="110">
        <f t="shared" si="70"/>
        <v>4.5759999999999995E-2</v>
      </c>
      <c r="AI143" s="133"/>
      <c r="AJ143" s="211"/>
      <c r="BD143" s="203"/>
      <c r="BE143" s="203"/>
    </row>
    <row r="144" spans="1:63" outlineLevel="1">
      <c r="A144" t="s">
        <v>1633</v>
      </c>
      <c r="B144" s="54" t="s">
        <v>462</v>
      </c>
      <c r="C144" s="110">
        <f>C131*C141</f>
        <v>1.9542476324887971E-3</v>
      </c>
      <c r="D144" s="110">
        <f t="shared" ref="D144:AG144" si="71">D131*D141</f>
        <v>2.4121993192531654E-3</v>
      </c>
      <c r="E144" s="110">
        <f t="shared" si="71"/>
        <v>2.8556263719733293E-3</v>
      </c>
      <c r="F144" s="110">
        <f t="shared" si="71"/>
        <v>3.2834768984382899E-3</v>
      </c>
      <c r="G144" s="110">
        <f t="shared" si="71"/>
        <v>3.6946990064370485E-3</v>
      </c>
      <c r="H144" s="110">
        <f t="shared" si="71"/>
        <v>4.0882408037586039E-3</v>
      </c>
      <c r="I144" s="110">
        <f t="shared" si="71"/>
        <v>4.4630503981919608E-3</v>
      </c>
      <c r="J144" s="110">
        <f t="shared" si="71"/>
        <v>4.8180758975261166E-3</v>
      </c>
      <c r="K144" s="110">
        <f t="shared" si="71"/>
        <v>5.1522654095500749E-3</v>
      </c>
      <c r="L144" s="110">
        <f t="shared" si="71"/>
        <v>5.4645670420528352E-3</v>
      </c>
      <c r="M144" s="110">
        <f t="shared" si="71"/>
        <v>5.7539289028233978E-3</v>
      </c>
      <c r="N144" s="110">
        <f t="shared" si="71"/>
        <v>6.4639038524352734E-3</v>
      </c>
      <c r="O144" s="110">
        <f t="shared" si="71"/>
        <v>7.1265308196934917E-3</v>
      </c>
      <c r="P144" s="110">
        <f t="shared" si="71"/>
        <v>7.7395927394764046E-3</v>
      </c>
      <c r="Q144" s="110">
        <f t="shared" si="71"/>
        <v>8.3008725466623707E-3</v>
      </c>
      <c r="R144" s="110">
        <f t="shared" si="71"/>
        <v>8.8081531761297471E-3</v>
      </c>
      <c r="S144" s="110">
        <f t="shared" si="71"/>
        <v>9.2592175627568898E-3</v>
      </c>
      <c r="T144" s="110">
        <f t="shared" si="71"/>
        <v>9.6518486414221491E-3</v>
      </c>
      <c r="U144" s="110">
        <f t="shared" si="71"/>
        <v>9.9838293470038888E-3</v>
      </c>
      <c r="V144" s="110">
        <f t="shared" si="71"/>
        <v>1.0252942614380457E-2</v>
      </c>
      <c r="W144" s="110">
        <f t="shared" si="71"/>
        <v>1.0456971378430217E-2</v>
      </c>
      <c r="X144" s="110">
        <f t="shared" si="71"/>
        <v>1.0997963479852284E-2</v>
      </c>
      <c r="Y144" s="110">
        <f t="shared" si="71"/>
        <v>1.1430916796080078E-2</v>
      </c>
      <c r="Z144" s="110">
        <f t="shared" si="71"/>
        <v>1.1752121768289355E-2</v>
      </c>
      <c r="AA144" s="110">
        <f t="shared" si="71"/>
        <v>1.1957868837655875E-2</v>
      </c>
      <c r="AB144" s="110">
        <f t="shared" si="71"/>
        <v>1.2044448445355413E-2</v>
      </c>
      <c r="AC144" s="110">
        <f t="shared" si="71"/>
        <v>1.2008151032563722E-2</v>
      </c>
      <c r="AD144" s="110">
        <f t="shared" si="71"/>
        <v>1.1845267040456572E-2</v>
      </c>
      <c r="AE144" s="110">
        <f t="shared" si="71"/>
        <v>1.155208691020972E-2</v>
      </c>
      <c r="AF144" s="110">
        <f t="shared" si="71"/>
        <v>1.1124901082998935E-2</v>
      </c>
      <c r="AG144" s="110">
        <f t="shared" si="71"/>
        <v>1.0559999999999996E-2</v>
      </c>
      <c r="AI144" s="133"/>
      <c r="AJ144" s="211"/>
      <c r="AL144" s="1"/>
      <c r="BC144" s="1"/>
      <c r="BD144" s="762"/>
      <c r="BE144" s="760"/>
      <c r="BF144" s="6"/>
      <c r="BG144" s="6"/>
      <c r="BH144" s="6"/>
      <c r="BI144" s="6"/>
      <c r="BJ144" s="6"/>
    </row>
    <row r="145" spans="1:63" outlineLevel="1">
      <c r="A145" t="s">
        <v>1634</v>
      </c>
      <c r="B145" s="54" t="s">
        <v>462</v>
      </c>
      <c r="C145" s="110">
        <f>C132*C141</f>
        <v>5.8627428974663909E-3</v>
      </c>
      <c r="D145" s="110">
        <f t="shared" ref="D145:AG145" si="72">D132*D141</f>
        <v>7.2365979577594967E-3</v>
      </c>
      <c r="E145" s="110">
        <f t="shared" si="72"/>
        <v>8.5668791159199884E-3</v>
      </c>
      <c r="F145" s="110">
        <f t="shared" si="72"/>
        <v>9.8504306953148702E-3</v>
      </c>
      <c r="G145" s="110">
        <f t="shared" si="72"/>
        <v>1.1084097019311144E-2</v>
      </c>
      <c r="H145" s="110">
        <f t="shared" si="72"/>
        <v>1.2264722411275812E-2</v>
      </c>
      <c r="I145" s="110">
        <f t="shared" si="72"/>
        <v>1.3389151194575883E-2</v>
      </c>
      <c r="J145" s="110">
        <f t="shared" si="72"/>
        <v>1.4454227692578351E-2</v>
      </c>
      <c r="K145" s="110">
        <f t="shared" si="72"/>
        <v>1.5456796228650224E-2</v>
      </c>
      <c r="L145" s="110">
        <f t="shared" si="72"/>
        <v>1.6393701126158504E-2</v>
      </c>
      <c r="M145" s="110">
        <f t="shared" si="72"/>
        <v>1.7261786708470193E-2</v>
      </c>
      <c r="N145" s="110">
        <f t="shared" si="72"/>
        <v>1.9391711557305819E-2</v>
      </c>
      <c r="O145" s="110">
        <f t="shared" si="72"/>
        <v>2.1379592459080474E-2</v>
      </c>
      <c r="P145" s="110">
        <f t="shared" si="72"/>
        <v>2.3218778218429215E-2</v>
      </c>
      <c r="Q145" s="110">
        <f t="shared" si="72"/>
        <v>2.4902617639987114E-2</v>
      </c>
      <c r="R145" s="110">
        <f t="shared" si="72"/>
        <v>2.6424459528389243E-2</v>
      </c>
      <c r="S145" s="110">
        <f t="shared" si="72"/>
        <v>2.7777652688270666E-2</v>
      </c>
      <c r="T145" s="110">
        <f t="shared" si="72"/>
        <v>2.8955545924266447E-2</v>
      </c>
      <c r="U145" s="110">
        <f t="shared" si="72"/>
        <v>2.9951488041011665E-2</v>
      </c>
      <c r="V145" s="110">
        <f t="shared" si="72"/>
        <v>3.0758827843141368E-2</v>
      </c>
      <c r="W145" s="110">
        <f t="shared" si="72"/>
        <v>3.1370914135290646E-2</v>
      </c>
      <c r="X145" s="110">
        <f t="shared" si="72"/>
        <v>3.2993890439556854E-2</v>
      </c>
      <c r="Y145" s="110">
        <f t="shared" si="72"/>
        <v>3.4292750388240235E-2</v>
      </c>
      <c r="Z145" s="110">
        <f t="shared" si="72"/>
        <v>3.5256365304868066E-2</v>
      </c>
      <c r="AA145" s="110">
        <f t="shared" si="72"/>
        <v>3.5873606512967629E-2</v>
      </c>
      <c r="AB145" s="110">
        <f t="shared" si="72"/>
        <v>3.6133345336066242E-2</v>
      </c>
      <c r="AC145" s="110">
        <f t="shared" si="72"/>
        <v>3.6024453097691173E-2</v>
      </c>
      <c r="AD145" s="110">
        <f t="shared" si="72"/>
        <v>3.5535801121369712E-2</v>
      </c>
      <c r="AE145" s="110">
        <f t="shared" si="72"/>
        <v>3.4656260730629163E-2</v>
      </c>
      <c r="AF145" s="110">
        <f t="shared" si="72"/>
        <v>3.3374703248996808E-2</v>
      </c>
      <c r="AG145" s="110">
        <f t="shared" si="72"/>
        <v>3.1679999999999993E-2</v>
      </c>
      <c r="AI145" s="134"/>
      <c r="AJ145" s="211"/>
      <c r="BC145" s="1"/>
      <c r="BD145" s="41"/>
      <c r="BF145" s="6"/>
      <c r="BG145" s="6"/>
      <c r="BH145" s="6"/>
      <c r="BI145" s="6"/>
      <c r="BJ145" s="6"/>
    </row>
    <row r="146" spans="1:63" outlineLevel="1">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I146" s="134"/>
      <c r="AJ146" s="211"/>
      <c r="BC146" s="1"/>
      <c r="BD146" s="41"/>
      <c r="BF146" s="6"/>
      <c r="BG146" s="6"/>
      <c r="BH146" s="6"/>
      <c r="BI146" s="6"/>
      <c r="BJ146" s="6"/>
    </row>
    <row r="147" spans="1:63" s="1" customFormat="1" outlineLevel="1">
      <c r="A147" s="1" t="s">
        <v>228</v>
      </c>
      <c r="B147" s="65"/>
      <c r="C147" s="300">
        <f>'BTX Recycling HC'!C147</f>
        <v>3.7144399482949425E-3</v>
      </c>
      <c r="D147" s="300">
        <f>'BTX Recycling HC'!D147</f>
        <v>6.3251324312517676E-3</v>
      </c>
      <c r="E147" s="300">
        <f>'BTX Recycling HC'!E147</f>
        <v>9.7613239132800008E-3</v>
      </c>
      <c r="F147" s="300">
        <f>'BTX Recycling HC'!F147</f>
        <v>1.4091015689636537E-2</v>
      </c>
      <c r="G147" s="300">
        <f>'BTX Recycling HC'!G147</f>
        <v>1.9374772395244152E-2</v>
      </c>
      <c r="H147" s="300">
        <f>'BTX Recycling HC'!H147</f>
        <v>2.5664072696353547E-2</v>
      </c>
      <c r="I147" s="300">
        <f>'BTX Recycling HC'!I147</f>
        <v>3.3070933602022456E-2</v>
      </c>
      <c r="J147" s="300">
        <f>'BTX Recycling HC'!J147</f>
        <v>4.1678984381861538E-2</v>
      </c>
      <c r="K147" s="300">
        <f>'BTX Recycling HC'!K147</f>
        <v>5.1573720106399462E-2</v>
      </c>
      <c r="L147" s="300">
        <f>'BTX Recycling HC'!L147</f>
        <v>6.2842305059712028E-2</v>
      </c>
      <c r="M147" s="300">
        <f>'BTX Recycling HC'!M147</f>
        <v>7.5573360022217373E-2</v>
      </c>
      <c r="N147" s="300">
        <f>'BTX Recycling HC'!N147</f>
        <v>9.6355777930325778E-2</v>
      </c>
      <c r="O147" s="300">
        <f>'BTX Recycling HC'!O147</f>
        <v>0.11991673753780317</v>
      </c>
      <c r="P147" s="300">
        <f>'BTX Recycling HC'!P147</f>
        <v>0.14660800155796647</v>
      </c>
      <c r="Q147" s="300">
        <f>'BTX Recycling HC'!Q147</f>
        <v>0.17628683863585737</v>
      </c>
      <c r="R147" s="300">
        <f>'BTX Recycling HC'!R147</f>
        <v>0.20897505660251176</v>
      </c>
      <c r="S147" s="300">
        <f>'BTX Recycling HC'!S147</f>
        <v>0.2451051573264208</v>
      </c>
      <c r="T147" s="300">
        <f>'BTX Recycling HC'!T147</f>
        <v>0.28484990307483254</v>
      </c>
      <c r="U147" s="300">
        <f>'BTX Recycling HC'!U147</f>
        <v>0.32838584727732112</v>
      </c>
      <c r="V147" s="300">
        <f>'BTX Recycling HC'!V147</f>
        <v>0.37589328964028323</v>
      </c>
      <c r="W147" s="300">
        <f>'BTX Recycling HC'!W147</f>
        <v>0.42755622616854538</v>
      </c>
      <c r="X147" s="300">
        <f>'BTX Recycling HC'!X147</f>
        <v>0.5020209881932518</v>
      </c>
      <c r="Y147" s="300">
        <f>'BTX Recycling HC'!Y147</f>
        <v>0.58342112559343662</v>
      </c>
      <c r="Z147" s="300">
        <f>'BTX Recycling HC'!Z147</f>
        <v>0.67404816142089663</v>
      </c>
      <c r="AA147" s="300">
        <f>'BTX Recycling HC'!AA147</f>
        <v>0.77281054526555149</v>
      </c>
      <c r="AB147" s="300">
        <f>'BTX Recycling HC'!AB147</f>
        <v>0.880105861534629</v>
      </c>
      <c r="AC147" s="300">
        <f>'BTX Recycling HC'!AC147</f>
        <v>0.99635078658782605</v>
      </c>
      <c r="AD147" s="300">
        <f>'BTX Recycling HC'!AD147</f>
        <v>1.1219657862199099</v>
      </c>
      <c r="AE147" s="300">
        <f>'BTX Recycling HC'!AE147</f>
        <v>1.2573814707674766</v>
      </c>
      <c r="AF147" s="300">
        <f>'BTX Recycling HC'!AF147</f>
        <v>1.4030385767440325</v>
      </c>
      <c r="AG147" s="300">
        <f>'BTX Recycling HC'!AG147</f>
        <v>1.559387938966057</v>
      </c>
      <c r="AH147" s="245"/>
      <c r="AI147" s="423"/>
      <c r="AJ147" s="424"/>
      <c r="AL147" s="221"/>
      <c r="AM147" s="124"/>
      <c r="AN147" s="124"/>
      <c r="AO147" s="124"/>
      <c r="BD147" s="124"/>
      <c r="BE147" s="124"/>
      <c r="BF147" s="124"/>
      <c r="BG147" s="124"/>
      <c r="BH147" s="124"/>
      <c r="BI147" s="124"/>
      <c r="BJ147" s="124"/>
      <c r="BK147" s="124"/>
    </row>
    <row r="148" spans="1:63" outlineLevel="1">
      <c r="A148" s="4" t="s">
        <v>474</v>
      </c>
      <c r="C148" s="230">
        <f>C$147*'BTX recycling rates'!E58</f>
        <v>0</v>
      </c>
      <c r="D148" s="230">
        <f>D$147*'BTX recycling rates'!F58</f>
        <v>0</v>
      </c>
      <c r="E148" s="230">
        <f>E$147*'BTX recycling rates'!G58</f>
        <v>0</v>
      </c>
      <c r="F148" s="230">
        <f>F$147*'BTX recycling rates'!H58</f>
        <v>0</v>
      </c>
      <c r="G148" s="230">
        <f>G$147*'BTX recycling rates'!I58</f>
        <v>0</v>
      </c>
      <c r="H148" s="230">
        <f>H$147*'BTX recycling rates'!J58</f>
        <v>0</v>
      </c>
      <c r="I148" s="230">
        <f>I$147*'BTX recycling rates'!K58</f>
        <v>0</v>
      </c>
      <c r="J148" s="230">
        <f>J$147*'BTX recycling rates'!L58</f>
        <v>0</v>
      </c>
      <c r="K148" s="230">
        <f>K$147*'BTX recycling rates'!M58</f>
        <v>0</v>
      </c>
      <c r="L148" s="230">
        <f>L$147*'BTX recycling rates'!N58</f>
        <v>0</v>
      </c>
      <c r="M148" s="230">
        <f>M$147*'BTX recycling rates'!O58</f>
        <v>0</v>
      </c>
      <c r="N148" s="230">
        <f>N$147*'BTX recycling rates'!P58</f>
        <v>0</v>
      </c>
      <c r="O148" s="230">
        <f>O$147*'BTX recycling rates'!Q58</f>
        <v>0</v>
      </c>
      <c r="P148" s="230">
        <f>P$147*'BTX recycling rates'!R58</f>
        <v>0</v>
      </c>
      <c r="Q148" s="230">
        <f>Q$147*'BTX recycling rates'!S58</f>
        <v>0</v>
      </c>
      <c r="R148" s="230">
        <f>R$147*'BTX recycling rates'!T58</f>
        <v>0</v>
      </c>
      <c r="S148" s="230">
        <f>S$147*'BTX recycling rates'!U58</f>
        <v>0</v>
      </c>
      <c r="T148" s="230">
        <f>T$147*'BTX recycling rates'!V58</f>
        <v>0</v>
      </c>
      <c r="U148" s="230">
        <f>U$147*'BTX recycling rates'!W58</f>
        <v>0</v>
      </c>
      <c r="V148" s="230">
        <f>V$147*'BTX recycling rates'!X58</f>
        <v>0</v>
      </c>
      <c r="W148" s="230">
        <f>W$147*'BTX recycling rates'!Y58</f>
        <v>0</v>
      </c>
      <c r="X148" s="230">
        <f>X$147*'BTX recycling rates'!Z58</f>
        <v>0</v>
      </c>
      <c r="Y148" s="230">
        <f>Y$147*'BTX recycling rates'!AA58</f>
        <v>0</v>
      </c>
      <c r="Z148" s="230">
        <f>Z$147*'BTX recycling rates'!AB58</f>
        <v>0</v>
      </c>
      <c r="AA148" s="230">
        <f>AA$147*'BTX recycling rates'!AC58</f>
        <v>0</v>
      </c>
      <c r="AB148" s="230">
        <f>AB$147*'BTX recycling rates'!AD58</f>
        <v>0</v>
      </c>
      <c r="AC148" s="230">
        <f>AC$147*'BTX recycling rates'!AE58</f>
        <v>0</v>
      </c>
      <c r="AD148" s="230">
        <f>AD$147*'BTX recycling rates'!AF58</f>
        <v>0</v>
      </c>
      <c r="AE148" s="230">
        <f>AE$147*'BTX recycling rates'!AG58</f>
        <v>0</v>
      </c>
      <c r="AF148" s="230">
        <f>AF$147*'BTX recycling rates'!AH58</f>
        <v>0</v>
      </c>
      <c r="AG148" s="230">
        <f>AG$147*'BTX recycling rates'!AI58</f>
        <v>0</v>
      </c>
      <c r="AH148" s="245"/>
      <c r="AI148" s="133"/>
      <c r="AJ148" s="211"/>
      <c r="AL148" s="108"/>
      <c r="AM148" s="2"/>
      <c r="AN148" s="2"/>
      <c r="AO148" s="2"/>
      <c r="BC148" s="1"/>
      <c r="BD148" s="2"/>
      <c r="BE148" s="2"/>
      <c r="BF148" s="2"/>
      <c r="BG148" s="2"/>
      <c r="BH148" s="2"/>
      <c r="BI148" s="2"/>
      <c r="BJ148" s="2"/>
      <c r="BK148" s="2"/>
    </row>
    <row r="149" spans="1:63" outlineLevel="1">
      <c r="A149" s="4" t="s">
        <v>478</v>
      </c>
      <c r="C149" s="230">
        <f>C$147*'BTX recycling rates'!E59</f>
        <v>2.211651266923706E-3</v>
      </c>
      <c r="D149" s="230">
        <f>D$147*'BTX recycling rates'!F59</f>
        <v>3.640572406995292E-3</v>
      </c>
      <c r="E149" s="230">
        <f>E$147*'BTX recycling rates'!G59</f>
        <v>5.4246135945556035E-3</v>
      </c>
      <c r="F149" s="230">
        <f>F$147*'BTX recycling rates'!H59</f>
        <v>7.5510633695609532E-3</v>
      </c>
      <c r="G149" s="230">
        <f>G$147*'BTX recycling rates'!I59</f>
        <v>9.9979741520496521E-3</v>
      </c>
      <c r="H149" s="230">
        <f>H$147*'BTX recycling rates'!J59</f>
        <v>1.2734081872236491E-2</v>
      </c>
      <c r="I149" s="230">
        <f>I$147*'BTX recycling rates'!K59</f>
        <v>1.5752872189054971E-2</v>
      </c>
      <c r="J149" s="230">
        <f>J$147*'BTX recycling rates'!L59</f>
        <v>1.9025979130040605E-2</v>
      </c>
      <c r="K149" s="230">
        <f>K$147*'BTX recycling rates'!M59</f>
        <v>2.2519212138061441E-2</v>
      </c>
      <c r="L149" s="230">
        <f>L$147*'BTX recycling rates'!N59</f>
        <v>2.6192288979086074E-2</v>
      </c>
      <c r="M149" s="230">
        <f>M$147*'BTX recycling rates'!O59</f>
        <v>2.9998585657674062E-2</v>
      </c>
      <c r="N149" s="230">
        <f>N$147*'BTX recycling rates'!P59</f>
        <v>3.6335690303496884E-2</v>
      </c>
      <c r="O149" s="230">
        <f>O$147*'BTX recycling rates'!Q59</f>
        <v>4.2840483334115928E-2</v>
      </c>
      <c r="P149" s="230">
        <f>P$147*'BTX recycling rates'!R59</f>
        <v>4.9466211212687898E-2</v>
      </c>
      <c r="Q149" s="230">
        <f>Q$147*'BTX recycling rates'!S59</f>
        <v>5.5981164024821853E-2</v>
      </c>
      <c r="R149" s="230">
        <f>R$147*'BTX recycling rates'!T59</f>
        <v>6.2213948148839342E-2</v>
      </c>
      <c r="S149" s="230">
        <f>S$147*'BTX recycling rates'!U59</f>
        <v>6.8105555165509243E-2</v>
      </c>
      <c r="T149" s="230">
        <f>T$147*'BTX recycling rates'!V59</f>
        <v>7.3495623846788802E-2</v>
      </c>
      <c r="U149" s="230">
        <f>U$147*'BTX recycling rates'!W59</f>
        <v>7.8210980420247406E-2</v>
      </c>
      <c r="V149" s="230">
        <f>V$147*'BTX recycling rates'!X59</f>
        <v>8.2065252547420531E-2</v>
      </c>
      <c r="W149" s="230">
        <f>W$147*'BTX recycling rates'!Y59</f>
        <v>8.4858487636505095E-2</v>
      </c>
      <c r="X149" s="230">
        <f>X$147*'BTX recycling rates'!Z59</f>
        <v>8.9673978043679978E-2</v>
      </c>
      <c r="Y149" s="230">
        <f>Y$147*'BTX recycling rates'!AA59</f>
        <v>9.2634804674377583E-2</v>
      </c>
      <c r="Z149" s="230">
        <f>Z$147*'BTX recycling rates'!AB59</f>
        <v>9.3646385785193104E-2</v>
      </c>
      <c r="AA149" s="230">
        <f>AA$147*'BTX recycling rates'!AC59</f>
        <v>9.2029347375134185E-2</v>
      </c>
      <c r="AB149" s="230">
        <f>AB$147*'BTX recycling rates'!AD59</f>
        <v>8.7338749617940067E-2</v>
      </c>
      <c r="AC149" s="230">
        <f>AC$147*'BTX recycling rates'!AE59</f>
        <v>7.9099604431399684E-2</v>
      </c>
      <c r="AD149" s="230">
        <f>AD$147*'BTX recycling rates'!AF59</f>
        <v>6.6804069713856953E-2</v>
      </c>
      <c r="AE149" s="230">
        <f>AE$147*'BTX recycling rates'!AG59</f>
        <v>4.9911325557181974E-2</v>
      </c>
      <c r="AF149" s="230">
        <f>AF$147*'BTX recycling rates'!AH59</f>
        <v>2.7846567172018628E-2</v>
      </c>
      <c r="AG149" s="230">
        <f>AG$147*'BTX recycling rates'!AI59</f>
        <v>0</v>
      </c>
      <c r="AH149" s="245"/>
      <c r="AI149" s="133"/>
      <c r="AJ149" s="211"/>
      <c r="AL149" s="108"/>
      <c r="AM149" s="2"/>
      <c r="AN149" s="2"/>
      <c r="AO149" s="2"/>
      <c r="BC149" s="1"/>
      <c r="BD149" s="2"/>
      <c r="BE149" s="2"/>
      <c r="BF149" s="2"/>
      <c r="BG149" s="2"/>
      <c r="BH149" s="2"/>
      <c r="BI149" s="2"/>
      <c r="BJ149" s="2"/>
      <c r="BK149" s="2"/>
    </row>
    <row r="150" spans="1:63" outlineLevel="1">
      <c r="A150" s="4" t="s">
        <v>745</v>
      </c>
      <c r="C150" s="230">
        <f>C$147*'BTX recycling rates'!E60</f>
        <v>0</v>
      </c>
      <c r="D150" s="230">
        <f>D$147*'BTX recycling rates'!F60</f>
        <v>1.0818639405176825E-4</v>
      </c>
      <c r="E150" s="230">
        <f>E$147*'BTX recycling rates'!G60</f>
        <v>3.3391947024896169E-4</v>
      </c>
      <c r="F150" s="230">
        <f>F$147*'BTX recycling rates'!H60</f>
        <v>7.2304707888320302E-4</v>
      </c>
      <c r="G150" s="230">
        <f>G$147*'BTX recycling rates'!I60</f>
        <v>1.3255607112089395E-3</v>
      </c>
      <c r="H150" s="230">
        <f>H$147*'BTX recycling rates'!J60</f>
        <v>2.1948184578575304E-3</v>
      </c>
      <c r="I150" s="230">
        <f>I$147*'BTX recycling rates'!K60</f>
        <v>3.3939131803634344E-3</v>
      </c>
      <c r="J150" s="230">
        <f>J$147*'BTX recycling rates'!L60</f>
        <v>4.9902027410750026E-3</v>
      </c>
      <c r="K150" s="230">
        <f>K$147*'BTX recycling rates'!M60</f>
        <v>7.0570219571416204E-3</v>
      </c>
      <c r="L150" s="230">
        <f>L$147*'BTX recycling rates'!N60</f>
        <v>9.6738119035230299E-3</v>
      </c>
      <c r="M150" s="230">
        <f>M$147*'BTX recycling rates'!O60</f>
        <v>1.2926226282287808E-2</v>
      </c>
      <c r="N150" s="230">
        <f>N$147*'BTX recycling rates'!P60</f>
        <v>1.8128984177014397E-2</v>
      </c>
      <c r="O150" s="230">
        <f>O$147*'BTX recycling rates'!Q60</f>
        <v>2.4612972888726884E-2</v>
      </c>
      <c r="P150" s="230">
        <f>P$147*'BTX recycling rates'!R60</f>
        <v>3.259898280409522E-2</v>
      </c>
      <c r="Q150" s="230">
        <f>Q$147*'BTX recycling rates'!S60</f>
        <v>4.2213459777054728E-2</v>
      </c>
      <c r="R150" s="230">
        <f>R$147*'BTX recycling rates'!T60</f>
        <v>5.3615299125323576E-2</v>
      </c>
      <c r="S150" s="230">
        <f>S$147*'BTX recycling rates'!U60</f>
        <v>6.7077281743209899E-2</v>
      </c>
      <c r="T150" s="230">
        <f>T$147*'BTX recycling rates'!V60</f>
        <v>8.2826254044229053E-2</v>
      </c>
      <c r="U150" s="230">
        <f>U$147*'BTX recycling rates'!W60</f>
        <v>0.10110204949743141</v>
      </c>
      <c r="V150" s="230">
        <f>V$147*'BTX recycling rates'!X60</f>
        <v>0.12215779826469664</v>
      </c>
      <c r="W150" s="230">
        <f>W$147*'BTX recycling rates'!Y60</f>
        <v>0.1462602304894445</v>
      </c>
      <c r="X150" s="230">
        <f>X$147*'BTX recycling rates'!Z60</f>
        <v>0.18032012165220057</v>
      </c>
      <c r="Y150" s="230">
        <f>Y$147*'BTX recycling rates'!AA60</f>
        <v>0.21953706527214958</v>
      </c>
      <c r="Z150" s="230">
        <f>Z$147*'BTX recycling rates'!AB60</f>
        <v>0.26516841161207816</v>
      </c>
      <c r="AA150" s="230">
        <f>AA$147*'BTX recycling rates'!AC60</f>
        <v>0.31723953451863929</v>
      </c>
      <c r="AB150" s="230">
        <f>AB$147*'BTX recycling rates'!AD60</f>
        <v>0.37633788927804651</v>
      </c>
      <c r="AC150" s="230">
        <f>AC$147*'BTX recycling rates'!AE60</f>
        <v>0.44308662301738294</v>
      </c>
      <c r="AD150" s="230">
        <f>AD$147*'BTX recycling rates'!AF60</f>
        <v>0.51813914055666932</v>
      </c>
      <c r="AE150" s="230">
        <f>AE$147*'BTX recycling rates'!AG60</f>
        <v>0.60218247205960673</v>
      </c>
      <c r="AF150" s="230">
        <f>AF$147*'BTX recycling rates'!AH60</f>
        <v>0.695938131496046</v>
      </c>
      <c r="AG150" s="230">
        <f>AG$147*'BTX recycling rates'!AI60</f>
        <v>0.80016296834042411</v>
      </c>
      <c r="AH150" s="245"/>
      <c r="AI150" s="133"/>
      <c r="AJ150" s="211"/>
      <c r="AL150" s="108"/>
      <c r="AM150" s="2"/>
      <c r="AN150" s="2"/>
      <c r="AO150" s="2"/>
      <c r="BC150" s="1"/>
      <c r="BD150" s="2"/>
      <c r="BE150" s="2"/>
      <c r="BF150" s="2"/>
      <c r="BG150" s="2"/>
      <c r="BH150" s="2"/>
      <c r="BI150" s="2"/>
      <c r="BJ150" s="2"/>
      <c r="BK150" s="2"/>
    </row>
    <row r="151" spans="1:63" outlineLevel="1">
      <c r="A151" s="4" t="s">
        <v>1561</v>
      </c>
      <c r="C151" s="230">
        <f>C$147*'BTX recycling rates'!E61</f>
        <v>1.502788681371236E-3</v>
      </c>
      <c r="D151" s="230">
        <f>D$147*'BTX recycling rates'!F61</f>
        <v>2.5763736302047069E-3</v>
      </c>
      <c r="E151" s="230">
        <f>E$147*'BTX recycling rates'!G61</f>
        <v>4.0027908484754357E-3</v>
      </c>
      <c r="F151" s="230">
        <f>F$147*'BTX recycling rates'!H61</f>
        <v>5.816905241192381E-3</v>
      </c>
      <c r="G151" s="230">
        <f>G$147*'BTX recycling rates'!I61</f>
        <v>8.0512375319855591E-3</v>
      </c>
      <c r="H151" s="230">
        <f>H$147*'BTX recycling rates'!J61</f>
        <v>1.0735172366259524E-2</v>
      </c>
      <c r="I151" s="230">
        <f>I$147*'BTX recycling rates'!K61</f>
        <v>1.3924148232604051E-2</v>
      </c>
      <c r="J151" s="230">
        <f>J$147*'BTX recycling rates'!L61</f>
        <v>1.7662802510745926E-2</v>
      </c>
      <c r="K151" s="230">
        <f>K$147*'BTX recycling rates'!M61</f>
        <v>2.1997486011196402E-2</v>
      </c>
      <c r="L151" s="230">
        <f>L$147*'BTX recycling rates'!N61</f>
        <v>2.6976204177102919E-2</v>
      </c>
      <c r="M151" s="230">
        <f>M$147*'BTX recycling rates'!O61</f>
        <v>3.26485480822555E-2</v>
      </c>
      <c r="N151" s="230">
        <f>N$147*'BTX recycling rates'!P61</f>
        <v>4.1891103449814497E-2</v>
      </c>
      <c r="O151" s="230">
        <f>O$147*'BTX recycling rates'!Q61</f>
        <v>5.2463281314960357E-2</v>
      </c>
      <c r="P151" s="230">
        <f>P$147*'BTX recycling rates'!R61</f>
        <v>6.4542807541183342E-2</v>
      </c>
      <c r="Q151" s="230">
        <f>Q$147*'BTX recycling rates'!S61</f>
        <v>7.809221483398078E-2</v>
      </c>
      <c r="R151" s="230">
        <f>R$147*'BTX recycling rates'!T61</f>
        <v>9.314580932834883E-2</v>
      </c>
      <c r="S151" s="230">
        <f>S$147*'BTX recycling rates'!U61</f>
        <v>0.10992232041770165</v>
      </c>
      <c r="T151" s="230">
        <f>T$147*'BTX recycling rates'!V61</f>
        <v>0.1285280251838147</v>
      </c>
      <c r="U151" s="230">
        <f>U$147*'BTX recycling rates'!W61</f>
        <v>0.14907281735964231</v>
      </c>
      <c r="V151" s="230">
        <f>V$147*'BTX recycling rates'!X61</f>
        <v>0.17167023882816607</v>
      </c>
      <c r="W151" s="230">
        <f>W$147*'BTX recycling rates'!Y61</f>
        <v>0.1964375080425958</v>
      </c>
      <c r="X151" s="230">
        <f>X$147*'BTX recycling rates'!Z61</f>
        <v>0.23202688849737124</v>
      </c>
      <c r="Y151" s="230">
        <f>Y$147*'BTX recycling rates'!AA61</f>
        <v>0.27124925564690944</v>
      </c>
      <c r="Z151" s="230">
        <f>Z$147*'BTX recycling rates'!AB61</f>
        <v>0.3152333640236254</v>
      </c>
      <c r="AA151" s="230">
        <f>AA$147*'BTX recycling rates'!AC61</f>
        <v>0.36354166337177801</v>
      </c>
      <c r="AB151" s="230">
        <f>AB$147*'BTX recycling rates'!AD61</f>
        <v>0.41642922263864246</v>
      </c>
      <c r="AC151" s="230">
        <f>AC$147*'BTX recycling rates'!AE61</f>
        <v>0.47416455913904348</v>
      </c>
      <c r="AD151" s="230">
        <f>AD$147*'BTX recycling rates'!AF61</f>
        <v>0.53702257594938374</v>
      </c>
      <c r="AE151" s="230">
        <f>AE$147*'BTX recycling rates'!AG61</f>
        <v>0.60528767315068799</v>
      </c>
      <c r="AF151" s="230">
        <f>AF$147*'BTX recycling rates'!AH61</f>
        <v>0.67925387807596804</v>
      </c>
      <c r="AG151" s="230">
        <f>AG$147*'BTX recycling rates'!AI61</f>
        <v>0.75922497062563288</v>
      </c>
      <c r="AH151" s="245"/>
      <c r="AI151" s="133"/>
      <c r="AJ151" s="211"/>
      <c r="AL151" s="108"/>
      <c r="AM151" s="2"/>
      <c r="AN151" s="2"/>
      <c r="AO151" s="2"/>
      <c r="BC151" s="1"/>
      <c r="BD151" s="2"/>
      <c r="BE151" s="2"/>
      <c r="BF151" s="2"/>
      <c r="BG151" s="2"/>
      <c r="BH151" s="2"/>
      <c r="BI151" s="2"/>
      <c r="BJ151" s="2"/>
      <c r="BK151" s="2"/>
    </row>
    <row r="152" spans="1:63" s="1" customFormat="1" outlineLevel="1">
      <c r="A152" s="1" t="s">
        <v>1562</v>
      </c>
      <c r="B152" s="65"/>
      <c r="C152" s="300">
        <f t="shared" ref="C152:AG152" si="73">C147-$C147</f>
        <v>0</v>
      </c>
      <c r="D152" s="300">
        <f t="shared" si="73"/>
        <v>2.6106924829568251E-3</v>
      </c>
      <c r="E152" s="300">
        <f t="shared" si="73"/>
        <v>6.0468839649850583E-3</v>
      </c>
      <c r="F152" s="300">
        <f t="shared" si="73"/>
        <v>1.0376575741341595E-2</v>
      </c>
      <c r="G152" s="300">
        <f t="shared" si="73"/>
        <v>1.5660332446949209E-2</v>
      </c>
      <c r="H152" s="300">
        <f t="shared" si="73"/>
        <v>2.1949632748058605E-2</v>
      </c>
      <c r="I152" s="300">
        <f t="shared" si="73"/>
        <v>2.9356493653727514E-2</v>
      </c>
      <c r="J152" s="300">
        <f t="shared" si="73"/>
        <v>3.7964544433566595E-2</v>
      </c>
      <c r="K152" s="300">
        <f t="shared" si="73"/>
        <v>4.785928015810452E-2</v>
      </c>
      <c r="L152" s="300">
        <f t="shared" si="73"/>
        <v>5.9127865111417086E-2</v>
      </c>
      <c r="M152" s="300">
        <f t="shared" si="73"/>
        <v>7.185892007392243E-2</v>
      </c>
      <c r="N152" s="300">
        <f t="shared" si="73"/>
        <v>9.2641337982030836E-2</v>
      </c>
      <c r="O152" s="300">
        <f t="shared" si="73"/>
        <v>0.11620229758950823</v>
      </c>
      <c r="P152" s="300">
        <f t="shared" si="73"/>
        <v>0.14289356160967154</v>
      </c>
      <c r="Q152" s="300">
        <f t="shared" si="73"/>
        <v>0.17257239868756241</v>
      </c>
      <c r="R152" s="300">
        <f t="shared" si="73"/>
        <v>0.2052606166542168</v>
      </c>
      <c r="S152" s="300">
        <f t="shared" si="73"/>
        <v>0.24139071737812584</v>
      </c>
      <c r="T152" s="300">
        <f t="shared" si="73"/>
        <v>0.28113546312653759</v>
      </c>
      <c r="U152" s="300">
        <f t="shared" si="73"/>
        <v>0.32467140732902616</v>
      </c>
      <c r="V152" s="300">
        <f t="shared" si="73"/>
        <v>0.37217884969198828</v>
      </c>
      <c r="W152" s="300">
        <f t="shared" si="73"/>
        <v>0.42384178622025043</v>
      </c>
      <c r="X152" s="300">
        <f t="shared" si="73"/>
        <v>0.49830654824495685</v>
      </c>
      <c r="Y152" s="300">
        <f t="shared" si="73"/>
        <v>0.57970668564514172</v>
      </c>
      <c r="Z152" s="300">
        <f t="shared" si="73"/>
        <v>0.67033372147260173</v>
      </c>
      <c r="AA152" s="300">
        <f t="shared" si="73"/>
        <v>0.76909610531725658</v>
      </c>
      <c r="AB152" s="300">
        <f t="shared" si="73"/>
        <v>0.8763914215863341</v>
      </c>
      <c r="AC152" s="300">
        <f t="shared" si="73"/>
        <v>0.99263634663953115</v>
      </c>
      <c r="AD152" s="300">
        <f t="shared" si="73"/>
        <v>1.118251346271615</v>
      </c>
      <c r="AE152" s="300">
        <f t="shared" si="73"/>
        <v>1.2536670308191817</v>
      </c>
      <c r="AF152" s="300">
        <f t="shared" si="73"/>
        <v>1.3993241367957376</v>
      </c>
      <c r="AG152" s="300">
        <f t="shared" si="73"/>
        <v>1.5556734990177621</v>
      </c>
      <c r="AH152" s="245"/>
      <c r="AI152" s="423"/>
      <c r="AJ152" s="424"/>
      <c r="AL152" s="221"/>
      <c r="AM152" s="124"/>
      <c r="AN152" s="124"/>
      <c r="AO152" s="124"/>
      <c r="BD152" s="124"/>
      <c r="BE152" s="124"/>
      <c r="BF152" s="124"/>
      <c r="BG152" s="124"/>
      <c r="BH152" s="124"/>
      <c r="BI152" s="124"/>
      <c r="BJ152" s="124"/>
      <c r="BK152" s="124"/>
    </row>
    <row r="153" spans="1:63" outlineLevel="1">
      <c r="A153" s="4" t="s">
        <v>474</v>
      </c>
      <c r="C153" s="230">
        <f t="shared" ref="C153:AG153" si="74">C148-$C148</f>
        <v>0</v>
      </c>
      <c r="D153" s="230">
        <f t="shared" si="74"/>
        <v>0</v>
      </c>
      <c r="E153" s="230">
        <f t="shared" si="74"/>
        <v>0</v>
      </c>
      <c r="F153" s="230">
        <f t="shared" si="74"/>
        <v>0</v>
      </c>
      <c r="G153" s="230">
        <f t="shared" si="74"/>
        <v>0</v>
      </c>
      <c r="H153" s="230">
        <f t="shared" si="74"/>
        <v>0</v>
      </c>
      <c r="I153" s="230">
        <f t="shared" si="74"/>
        <v>0</v>
      </c>
      <c r="J153" s="230">
        <f t="shared" si="74"/>
        <v>0</v>
      </c>
      <c r="K153" s="230">
        <f t="shared" si="74"/>
        <v>0</v>
      </c>
      <c r="L153" s="230">
        <f t="shared" si="74"/>
        <v>0</v>
      </c>
      <c r="M153" s="230">
        <f t="shared" si="74"/>
        <v>0</v>
      </c>
      <c r="N153" s="230">
        <f t="shared" si="74"/>
        <v>0</v>
      </c>
      <c r="O153" s="230">
        <f t="shared" si="74"/>
        <v>0</v>
      </c>
      <c r="P153" s="230">
        <f t="shared" si="74"/>
        <v>0</v>
      </c>
      <c r="Q153" s="230">
        <f t="shared" si="74"/>
        <v>0</v>
      </c>
      <c r="R153" s="230">
        <f t="shared" si="74"/>
        <v>0</v>
      </c>
      <c r="S153" s="230">
        <f t="shared" si="74"/>
        <v>0</v>
      </c>
      <c r="T153" s="230">
        <f t="shared" si="74"/>
        <v>0</v>
      </c>
      <c r="U153" s="230">
        <f t="shared" si="74"/>
        <v>0</v>
      </c>
      <c r="V153" s="230">
        <f t="shared" si="74"/>
        <v>0</v>
      </c>
      <c r="W153" s="230">
        <f t="shared" si="74"/>
        <v>0</v>
      </c>
      <c r="X153" s="230">
        <f t="shared" si="74"/>
        <v>0</v>
      </c>
      <c r="Y153" s="230">
        <f t="shared" si="74"/>
        <v>0</v>
      </c>
      <c r="Z153" s="230">
        <f t="shared" si="74"/>
        <v>0</v>
      </c>
      <c r="AA153" s="230">
        <f t="shared" si="74"/>
        <v>0</v>
      </c>
      <c r="AB153" s="230">
        <f t="shared" si="74"/>
        <v>0</v>
      </c>
      <c r="AC153" s="230">
        <f t="shared" si="74"/>
        <v>0</v>
      </c>
      <c r="AD153" s="230">
        <f t="shared" si="74"/>
        <v>0</v>
      </c>
      <c r="AE153" s="230">
        <f t="shared" si="74"/>
        <v>0</v>
      </c>
      <c r="AF153" s="230">
        <f t="shared" si="74"/>
        <v>0</v>
      </c>
      <c r="AG153" s="230">
        <f t="shared" si="74"/>
        <v>0</v>
      </c>
      <c r="AH153" s="245"/>
      <c r="AI153" s="133"/>
      <c r="AJ153" s="211"/>
      <c r="AL153" s="108"/>
      <c r="AM153" s="2"/>
      <c r="AN153" s="2"/>
      <c r="AO153" s="2"/>
      <c r="BC153" s="1"/>
      <c r="BD153" s="2"/>
      <c r="BE153" s="2"/>
      <c r="BF153" s="2"/>
      <c r="BG153" s="2"/>
      <c r="BH153" s="2"/>
      <c r="BI153" s="2"/>
      <c r="BJ153" s="2"/>
      <c r="BK153" s="2"/>
    </row>
    <row r="154" spans="1:63" outlineLevel="1">
      <c r="A154" s="4" t="s">
        <v>478</v>
      </c>
      <c r="C154" s="230">
        <f t="shared" ref="C154:AG156" si="75">C149-$C149</f>
        <v>0</v>
      </c>
      <c r="D154" s="230">
        <f t="shared" si="75"/>
        <v>1.4289211400715859E-3</v>
      </c>
      <c r="E154" s="230">
        <f t="shared" si="75"/>
        <v>3.2129623276318975E-3</v>
      </c>
      <c r="F154" s="230">
        <f t="shared" si="75"/>
        <v>5.3394121026372476E-3</v>
      </c>
      <c r="G154" s="230">
        <f t="shared" si="75"/>
        <v>7.7863228851259465E-3</v>
      </c>
      <c r="H154" s="230">
        <f t="shared" si="75"/>
        <v>1.0522430605312785E-2</v>
      </c>
      <c r="I154" s="230">
        <f t="shared" si="75"/>
        <v>1.3541220922131265E-2</v>
      </c>
      <c r="J154" s="230">
        <f t="shared" si="75"/>
        <v>1.6814327863116898E-2</v>
      </c>
      <c r="K154" s="230">
        <f t="shared" si="75"/>
        <v>2.0307560871137734E-2</v>
      </c>
      <c r="L154" s="230">
        <f t="shared" si="75"/>
        <v>2.3980637712162366E-2</v>
      </c>
      <c r="M154" s="230">
        <f t="shared" si="75"/>
        <v>2.7786934390750355E-2</v>
      </c>
      <c r="N154" s="230">
        <f t="shared" si="75"/>
        <v>3.4124039036573177E-2</v>
      </c>
      <c r="O154" s="230">
        <f t="shared" si="75"/>
        <v>4.0628832067192221E-2</v>
      </c>
      <c r="P154" s="230">
        <f t="shared" si="75"/>
        <v>4.7254559945764191E-2</v>
      </c>
      <c r="Q154" s="230">
        <f t="shared" si="75"/>
        <v>5.3769512757898145E-2</v>
      </c>
      <c r="R154" s="230">
        <f t="shared" si="75"/>
        <v>6.0002296881915634E-2</v>
      </c>
      <c r="S154" s="230">
        <f t="shared" si="75"/>
        <v>6.5893903898585543E-2</v>
      </c>
      <c r="T154" s="230">
        <f t="shared" si="75"/>
        <v>7.1283972579865101E-2</v>
      </c>
      <c r="U154" s="230">
        <f t="shared" si="75"/>
        <v>7.5999329153323705E-2</v>
      </c>
      <c r="V154" s="230">
        <f t="shared" si="75"/>
        <v>7.985360128049683E-2</v>
      </c>
      <c r="W154" s="230">
        <f t="shared" si="75"/>
        <v>8.2646836369581395E-2</v>
      </c>
      <c r="X154" s="230">
        <f t="shared" si="75"/>
        <v>8.7462326776756277E-2</v>
      </c>
      <c r="Y154" s="230">
        <f t="shared" si="75"/>
        <v>9.0423153407453882E-2</v>
      </c>
      <c r="Z154" s="230">
        <f t="shared" si="75"/>
        <v>9.1434734518269403E-2</v>
      </c>
      <c r="AA154" s="230">
        <f t="shared" si="75"/>
        <v>8.9817696108210485E-2</v>
      </c>
      <c r="AB154" s="230">
        <f t="shared" si="75"/>
        <v>8.5127098351016367E-2</v>
      </c>
      <c r="AC154" s="230">
        <f t="shared" si="75"/>
        <v>7.6887953164475983E-2</v>
      </c>
      <c r="AD154" s="230">
        <f t="shared" si="75"/>
        <v>6.4592418446933253E-2</v>
      </c>
      <c r="AE154" s="230">
        <f t="shared" si="75"/>
        <v>4.7699674290258266E-2</v>
      </c>
      <c r="AF154" s="230">
        <f t="shared" si="75"/>
        <v>2.563491590509492E-2</v>
      </c>
      <c r="AG154" s="230">
        <f t="shared" si="75"/>
        <v>-2.211651266923706E-3</v>
      </c>
      <c r="AH154" s="245"/>
      <c r="AI154" s="133"/>
      <c r="AJ154" s="211"/>
      <c r="AL154" s="108"/>
      <c r="AM154" s="2"/>
      <c r="AN154" s="2"/>
      <c r="AO154" s="2"/>
      <c r="BC154" s="1"/>
      <c r="BD154" s="2"/>
      <c r="BE154" s="2"/>
      <c r="BF154" s="2"/>
      <c r="BG154" s="2"/>
      <c r="BH154" s="2"/>
      <c r="BI154" s="2"/>
      <c r="BJ154" s="2"/>
      <c r="BK154" s="2"/>
    </row>
    <row r="155" spans="1:63" outlineLevel="1">
      <c r="A155" s="4" t="s">
        <v>745</v>
      </c>
      <c r="C155" s="230">
        <f t="shared" si="75"/>
        <v>0</v>
      </c>
      <c r="D155" s="230">
        <f t="shared" si="75"/>
        <v>1.0818639405176825E-4</v>
      </c>
      <c r="E155" s="230">
        <f t="shared" si="75"/>
        <v>3.3391947024896169E-4</v>
      </c>
      <c r="F155" s="230">
        <f t="shared" si="75"/>
        <v>7.2304707888320302E-4</v>
      </c>
      <c r="G155" s="230">
        <f t="shared" si="75"/>
        <v>1.3255607112089395E-3</v>
      </c>
      <c r="H155" s="230">
        <f t="shared" si="75"/>
        <v>2.1948184578575304E-3</v>
      </c>
      <c r="I155" s="230">
        <f t="shared" si="75"/>
        <v>3.3939131803634344E-3</v>
      </c>
      <c r="J155" s="230">
        <f t="shared" si="75"/>
        <v>4.9902027410750026E-3</v>
      </c>
      <c r="K155" s="230">
        <f t="shared" si="75"/>
        <v>7.0570219571416204E-3</v>
      </c>
      <c r="L155" s="230">
        <f t="shared" si="75"/>
        <v>9.6738119035230299E-3</v>
      </c>
      <c r="M155" s="230">
        <f t="shared" si="75"/>
        <v>1.2926226282287808E-2</v>
      </c>
      <c r="N155" s="230">
        <f t="shared" si="75"/>
        <v>1.8128984177014397E-2</v>
      </c>
      <c r="O155" s="230">
        <f t="shared" si="75"/>
        <v>2.4612972888726884E-2</v>
      </c>
      <c r="P155" s="230">
        <f t="shared" si="75"/>
        <v>3.259898280409522E-2</v>
      </c>
      <c r="Q155" s="230">
        <f t="shared" si="75"/>
        <v>4.2213459777054728E-2</v>
      </c>
      <c r="R155" s="230">
        <f t="shared" si="75"/>
        <v>5.3615299125323576E-2</v>
      </c>
      <c r="S155" s="230">
        <f t="shared" si="75"/>
        <v>6.7077281743209899E-2</v>
      </c>
      <c r="T155" s="230">
        <f t="shared" si="75"/>
        <v>8.2826254044229053E-2</v>
      </c>
      <c r="U155" s="230">
        <f t="shared" si="75"/>
        <v>0.10110204949743141</v>
      </c>
      <c r="V155" s="230">
        <f t="shared" si="75"/>
        <v>0.12215779826469664</v>
      </c>
      <c r="W155" s="230">
        <f t="shared" si="75"/>
        <v>0.1462602304894445</v>
      </c>
      <c r="X155" s="230">
        <f t="shared" si="75"/>
        <v>0.18032012165220057</v>
      </c>
      <c r="Y155" s="230">
        <f t="shared" si="75"/>
        <v>0.21953706527214958</v>
      </c>
      <c r="Z155" s="230">
        <f t="shared" si="75"/>
        <v>0.26516841161207816</v>
      </c>
      <c r="AA155" s="230">
        <f t="shared" si="75"/>
        <v>0.31723953451863929</v>
      </c>
      <c r="AB155" s="230">
        <f t="shared" si="75"/>
        <v>0.37633788927804651</v>
      </c>
      <c r="AC155" s="230">
        <f t="shared" si="75"/>
        <v>0.44308662301738294</v>
      </c>
      <c r="AD155" s="230">
        <f t="shared" si="75"/>
        <v>0.51813914055666932</v>
      </c>
      <c r="AE155" s="230">
        <f t="shared" si="75"/>
        <v>0.60218247205960673</v>
      </c>
      <c r="AF155" s="230">
        <f t="shared" si="75"/>
        <v>0.695938131496046</v>
      </c>
      <c r="AG155" s="230">
        <f t="shared" si="75"/>
        <v>0.80016296834042411</v>
      </c>
      <c r="AH155" s="245"/>
      <c r="AI155" s="133"/>
      <c r="AJ155" s="211"/>
      <c r="AL155" s="108"/>
      <c r="AM155" s="2"/>
      <c r="AN155" s="2"/>
      <c r="AO155" s="2"/>
      <c r="BC155" s="1"/>
      <c r="BD155" s="2"/>
      <c r="BE155" s="2"/>
      <c r="BF155" s="2"/>
      <c r="BG155" s="2"/>
      <c r="BH155" s="2"/>
      <c r="BI155" s="2"/>
      <c r="BJ155" s="2"/>
      <c r="BK155" s="2"/>
    </row>
    <row r="156" spans="1:63" outlineLevel="1">
      <c r="A156" s="4" t="s">
        <v>1561</v>
      </c>
      <c r="C156" s="230">
        <f t="shared" si="75"/>
        <v>0</v>
      </c>
      <c r="D156" s="230">
        <f t="shared" si="75"/>
        <v>1.0735849488334708E-3</v>
      </c>
      <c r="E156" s="230">
        <f t="shared" si="75"/>
        <v>2.5000021671041997E-3</v>
      </c>
      <c r="F156" s="230">
        <f t="shared" si="75"/>
        <v>4.314116559821145E-3</v>
      </c>
      <c r="G156" s="230">
        <f t="shared" si="75"/>
        <v>6.548448850614323E-3</v>
      </c>
      <c r="H156" s="230">
        <f t="shared" si="75"/>
        <v>9.2323836848882887E-3</v>
      </c>
      <c r="I156" s="230">
        <f t="shared" si="75"/>
        <v>1.2421359551232816E-2</v>
      </c>
      <c r="J156" s="230">
        <f t="shared" si="75"/>
        <v>1.6160013829374691E-2</v>
      </c>
      <c r="K156" s="230">
        <f t="shared" si="75"/>
        <v>2.0494697329825166E-2</v>
      </c>
      <c r="L156" s="230">
        <f t="shared" si="75"/>
        <v>2.5473415495731684E-2</v>
      </c>
      <c r="M156" s="230">
        <f t="shared" si="75"/>
        <v>3.1145759400884265E-2</v>
      </c>
      <c r="N156" s="230">
        <f t="shared" si="75"/>
        <v>4.0388314768443262E-2</v>
      </c>
      <c r="O156" s="230">
        <f t="shared" si="75"/>
        <v>5.0960492633589122E-2</v>
      </c>
      <c r="P156" s="230">
        <f t="shared" si="75"/>
        <v>6.30400188598121E-2</v>
      </c>
      <c r="Q156" s="230">
        <f t="shared" si="75"/>
        <v>7.6589426152609538E-2</v>
      </c>
      <c r="R156" s="230">
        <f t="shared" si="75"/>
        <v>9.1643020646977588E-2</v>
      </c>
      <c r="S156" s="230">
        <f t="shared" si="75"/>
        <v>0.10841953173633041</v>
      </c>
      <c r="T156" s="230">
        <f t="shared" si="75"/>
        <v>0.12702523650244346</v>
      </c>
      <c r="U156" s="230">
        <f t="shared" si="75"/>
        <v>0.14757002867827107</v>
      </c>
      <c r="V156" s="230">
        <f t="shared" si="75"/>
        <v>0.17016745014679482</v>
      </c>
      <c r="W156" s="230">
        <f t="shared" si="75"/>
        <v>0.19493471936122456</v>
      </c>
      <c r="X156" s="230">
        <f t="shared" si="75"/>
        <v>0.230524099816</v>
      </c>
      <c r="Y156" s="230">
        <f t="shared" si="75"/>
        <v>0.26974646696553822</v>
      </c>
      <c r="Z156" s="230">
        <f t="shared" si="75"/>
        <v>0.31373057534225418</v>
      </c>
      <c r="AA156" s="230">
        <f t="shared" si="75"/>
        <v>0.3620388746904068</v>
      </c>
      <c r="AB156" s="230">
        <f t="shared" si="75"/>
        <v>0.41492643395727125</v>
      </c>
      <c r="AC156" s="230">
        <f t="shared" si="75"/>
        <v>0.47266177045767227</v>
      </c>
      <c r="AD156" s="230">
        <f t="shared" si="75"/>
        <v>0.53551978726801253</v>
      </c>
      <c r="AE156" s="230">
        <f t="shared" si="75"/>
        <v>0.60378488446931677</v>
      </c>
      <c r="AF156" s="230">
        <f t="shared" si="75"/>
        <v>0.67775108939459683</v>
      </c>
      <c r="AG156" s="230">
        <f t="shared" si="75"/>
        <v>0.75772218194426166</v>
      </c>
      <c r="AH156" s="245"/>
      <c r="AI156" s="133"/>
      <c r="AJ156" s="211"/>
      <c r="AL156" s="108"/>
      <c r="AM156" s="2"/>
      <c r="AN156" s="2"/>
      <c r="AO156" s="2"/>
      <c r="BC156" s="1"/>
      <c r="BD156" s="2"/>
      <c r="BE156" s="2"/>
      <c r="BF156" s="2"/>
      <c r="BG156" s="2"/>
      <c r="BH156" s="2"/>
      <c r="BI156" s="2"/>
      <c r="BJ156" s="2"/>
      <c r="BK156" s="2"/>
    </row>
    <row r="157" spans="1:63" s="1" customFormat="1" outlineLevel="1">
      <c r="A157" s="1" t="s">
        <v>1569</v>
      </c>
      <c r="B157" s="65"/>
      <c r="C157" s="300">
        <f>'BTX Recycling HC'!C157</f>
        <v>2.2212350890803759E-2</v>
      </c>
      <c r="D157" s="300">
        <f>'BTX Recycling HC'!D157</f>
        <v>2.8336593292007922E-2</v>
      </c>
      <c r="E157" s="300">
        <f>'BTX Recycling HC'!E157</f>
        <v>3.4579489962794405E-2</v>
      </c>
      <c r="F157" s="300">
        <f>'BTX Recycling HC'!F157</f>
        <v>4.0878778148040307E-2</v>
      </c>
      <c r="G157" s="300">
        <f>'BTX Recycling HC'!G157</f>
        <v>4.7168764067694408E-2</v>
      </c>
      <c r="H157" s="300">
        <f>'BTX Recycling HC'!H157</f>
        <v>5.338127120841539E-2</v>
      </c>
      <c r="I157" s="300">
        <f>'BTX Recycling HC'!I157</f>
        <v>5.9574924674500464E-2</v>
      </c>
      <c r="J157" s="300">
        <f>'BTX Recycling HC'!J157</f>
        <v>6.5718346986625556E-2</v>
      </c>
      <c r="K157" s="300">
        <f>'BTX Recycling HC'!K157</f>
        <v>7.1778483395141854E-2</v>
      </c>
      <c r="L157" s="300">
        <f>'BTX Recycling HC'!L157</f>
        <v>7.772064539276817E-2</v>
      </c>
      <c r="M157" s="300">
        <f>'BTX Recycling HC'!M157</f>
        <v>8.3508562824550187E-2</v>
      </c>
      <c r="N157" s="300">
        <f>'BTX Recycling HC'!N157</f>
        <v>9.5549078394164877E-2</v>
      </c>
      <c r="O157" s="300">
        <f>'BTX Recycling HC'!O157</f>
        <v>0.10709086039245549</v>
      </c>
      <c r="P157" s="300">
        <f>'BTX Recycling HC'!P157</f>
        <v>0.11824384125654758</v>
      </c>
      <c r="Q157" s="300">
        <f>'BTX Recycling HC'!Q157</f>
        <v>0.12868939220417583</v>
      </c>
      <c r="R157" s="300">
        <f>'BTX Recycling HC'!R157</f>
        <v>0.1383034920060259</v>
      </c>
      <c r="S157" s="300">
        <f>'BTX Recycling HC'!S157</f>
        <v>0.14723213243538785</v>
      </c>
      <c r="T157" s="300">
        <f>'BTX Recycling HC'!T157</f>
        <v>0.15540663564476101</v>
      </c>
      <c r="U157" s="300">
        <f>'BTX Recycling HC'!U157</f>
        <v>0.1627562355568222</v>
      </c>
      <c r="V157" s="300">
        <f>'BTX Recycling HC'!V157</f>
        <v>0.16920808381419308</v>
      </c>
      <c r="W157" s="300">
        <f>'BTX Recycling HC'!W157</f>
        <v>0.17468725812029132</v>
      </c>
      <c r="X157" s="300">
        <f>'BTX Recycling HC'!X157</f>
        <v>0.18595407562665095</v>
      </c>
      <c r="Y157" s="300">
        <f>'BTX Recycling HC'!Y157</f>
        <v>0.19559960894895725</v>
      </c>
      <c r="Z157" s="300">
        <f>'BTX Recycling HC'!Z157</f>
        <v>0.20409154457199785</v>
      </c>
      <c r="AA157" s="300">
        <f>'BTX Recycling HC'!AA157</f>
        <v>0.21073224136753307</v>
      </c>
      <c r="AB157" s="300">
        <f>'BTX Recycling HC'!AB157</f>
        <v>0.21536708141082661</v>
      </c>
      <c r="AC157" s="300">
        <f>'BTX Recycling HC'!AC157</f>
        <v>0.21783851288579262</v>
      </c>
      <c r="AD157" s="300">
        <f>'BTX Recycling HC'!AD157</f>
        <v>0.21798192417986792</v>
      </c>
      <c r="AE157" s="300">
        <f>'BTX Recycling HC'!AE157</f>
        <v>0.21562754583799668</v>
      </c>
      <c r="AF157" s="300">
        <f>'BTX Recycling HC'!AF157</f>
        <v>0.21060042966384609</v>
      </c>
      <c r="AG157" s="300">
        <f>'BTX Recycling HC'!AG157</f>
        <v>0.20272043206558737</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C$157*'BTX recycling rates'!E62</f>
        <v>0</v>
      </c>
      <c r="D158" s="230">
        <f>D$157*'BTX recycling rates'!F62</f>
        <v>0</v>
      </c>
      <c r="E158" s="230">
        <f>E$157*'BTX recycling rates'!G62</f>
        <v>0</v>
      </c>
      <c r="F158" s="230">
        <f>F$157*'BTX recycling rates'!H62</f>
        <v>0</v>
      </c>
      <c r="G158" s="230">
        <f>G$157*'BTX recycling rates'!I62</f>
        <v>0</v>
      </c>
      <c r="H158" s="230">
        <f>H$157*'BTX recycling rates'!J62</f>
        <v>0</v>
      </c>
      <c r="I158" s="230">
        <f>I$157*'BTX recycling rates'!K62</f>
        <v>0</v>
      </c>
      <c r="J158" s="230">
        <f>J$157*'BTX recycling rates'!L62</f>
        <v>0</v>
      </c>
      <c r="K158" s="230">
        <f>K$157*'BTX recycling rates'!M62</f>
        <v>0</v>
      </c>
      <c r="L158" s="230">
        <f>L$157*'BTX recycling rates'!N62</f>
        <v>0</v>
      </c>
      <c r="M158" s="230">
        <f>M$157*'BTX recycling rates'!O62</f>
        <v>0</v>
      </c>
      <c r="N158" s="230">
        <f>N$157*'BTX recycling rates'!P62</f>
        <v>0</v>
      </c>
      <c r="O158" s="230">
        <f>O$157*'BTX recycling rates'!Q62</f>
        <v>0</v>
      </c>
      <c r="P158" s="230">
        <f>P$157*'BTX recycling rates'!R62</f>
        <v>0</v>
      </c>
      <c r="Q158" s="230">
        <f>Q$157*'BTX recycling rates'!S62</f>
        <v>0</v>
      </c>
      <c r="R158" s="230">
        <f>R$157*'BTX recycling rates'!T62</f>
        <v>0</v>
      </c>
      <c r="S158" s="230">
        <f>S$157*'BTX recycling rates'!U62</f>
        <v>0</v>
      </c>
      <c r="T158" s="230">
        <f>T$157*'BTX recycling rates'!V62</f>
        <v>0</v>
      </c>
      <c r="U158" s="230">
        <f>U$157*'BTX recycling rates'!W62</f>
        <v>0</v>
      </c>
      <c r="V158" s="230">
        <f>V$157*'BTX recycling rates'!X62</f>
        <v>0</v>
      </c>
      <c r="W158" s="230">
        <f>W$157*'BTX recycling rates'!Y62</f>
        <v>0</v>
      </c>
      <c r="X158" s="230">
        <f>X$157*'BTX recycling rates'!Z62</f>
        <v>0</v>
      </c>
      <c r="Y158" s="230">
        <f>Y$157*'BTX recycling rates'!AA62</f>
        <v>0</v>
      </c>
      <c r="Z158" s="230">
        <f>Z$157*'BTX recycling rates'!AB62</f>
        <v>0</v>
      </c>
      <c r="AA158" s="230">
        <f>AA$157*'BTX recycling rates'!AC62</f>
        <v>0</v>
      </c>
      <c r="AB158" s="230">
        <f>AB$157*'BTX recycling rates'!AD62</f>
        <v>0</v>
      </c>
      <c r="AC158" s="230">
        <f>AC$157*'BTX recycling rates'!AE62</f>
        <v>0</v>
      </c>
      <c r="AD158" s="230">
        <f>AD$157*'BTX recycling rates'!AF62</f>
        <v>0</v>
      </c>
      <c r="AE158" s="230">
        <f>AE$157*'BTX recycling rates'!AG62</f>
        <v>0</v>
      </c>
      <c r="AF158" s="230">
        <f>AF$157*'BTX recycling rates'!AH62</f>
        <v>0</v>
      </c>
      <c r="AG158" s="230">
        <f>AG$157*'BTX recycling rates'!AI62</f>
        <v>0</v>
      </c>
      <c r="AH158" s="245"/>
      <c r="AI158" s="133"/>
      <c r="AJ158" s="211"/>
      <c r="AL158" s="108"/>
      <c r="AM158" s="2"/>
      <c r="AN158" s="2"/>
      <c r="AO158" s="2"/>
      <c r="BC158" s="1"/>
      <c r="BD158" s="2"/>
      <c r="BE158" s="2"/>
      <c r="BF158" s="2"/>
      <c r="BG158" s="2"/>
      <c r="BH158" s="2"/>
      <c r="BI158" s="2"/>
      <c r="BJ158" s="2"/>
      <c r="BK158" s="2"/>
    </row>
    <row r="159" spans="1:63" outlineLevel="1">
      <c r="A159" s="4" t="s">
        <v>478</v>
      </c>
      <c r="C159" s="230">
        <f>C$157*'BTX recycling rates'!E63</f>
        <v>1.3225674576203765E-2</v>
      </c>
      <c r="D159" s="230">
        <f>D$157*'BTX recycling rates'!F63</f>
        <v>1.630976438333891E-2</v>
      </c>
      <c r="E159" s="230">
        <f>E$157*'BTX recycling rates'!G63</f>
        <v>1.9216693658713226E-2</v>
      </c>
      <c r="F159" s="230">
        <f>F$157*'BTX recycling rates'!H63</f>
        <v>2.1906032259484193E-2</v>
      </c>
      <c r="G159" s="230">
        <f>G$157*'BTX recycling rates'!I63</f>
        <v>2.4340522526535433E-2</v>
      </c>
      <c r="H159" s="230">
        <f>H$157*'BTX recycling rates'!J63</f>
        <v>2.6486890294251907E-2</v>
      </c>
      <c r="I159" s="230">
        <f>I$157*'BTX recycling rates'!K63</f>
        <v>2.8377674043426171E-2</v>
      </c>
      <c r="J159" s="230">
        <f>J$157*'BTX recycling rates'!L63</f>
        <v>2.9999672899238227E-2</v>
      </c>
      <c r="K159" s="230">
        <f>K$157*'BTX recycling rates'!M63</f>
        <v>3.1341444658031396E-2</v>
      </c>
      <c r="L159" s="230">
        <f>L$157*'BTX recycling rates'!N63</f>
        <v>3.2393490369810235E-2</v>
      </c>
      <c r="M159" s="230">
        <f>M$157*'BTX recycling rates'!O63</f>
        <v>3.3148437151729833E-2</v>
      </c>
      <c r="N159" s="230">
        <f>N$157*'BTX recycling rates'!P63</f>
        <v>3.6031484524211781E-2</v>
      </c>
      <c r="O159" s="230">
        <f>O$157*'BTX recycling rates'!Q63</f>
        <v>3.8258414247075691E-2</v>
      </c>
      <c r="P159" s="230">
        <f>P$157*'BTX recycling rates'!R63</f>
        <v>3.9896013614804583E-2</v>
      </c>
      <c r="Q159" s="230">
        <f>Q$157*'BTX recycling rates'!S63</f>
        <v>4.086624973811994E-2</v>
      </c>
      <c r="R159" s="230">
        <f>R$157*'BTX recycling rates'!T63</f>
        <v>4.1174322047595475E-2</v>
      </c>
      <c r="S159" s="230">
        <f>S$157*'BTX recycling rates'!U63</f>
        <v>4.0910302447695529E-2</v>
      </c>
      <c r="T159" s="230">
        <f>T$157*'BTX recycling rates'!V63</f>
        <v>4.0097284616739837E-2</v>
      </c>
      <c r="U159" s="230">
        <f>U$157*'BTX recycling rates'!W63</f>
        <v>3.87633171707851E-2</v>
      </c>
      <c r="V159" s="230">
        <f>V$157*'BTX recycling rates'!X63</f>
        <v>3.6941612191495554E-2</v>
      </c>
      <c r="W159" s="230">
        <f>W$157*'BTX recycling rates'!Y63</f>
        <v>3.467075352005778E-2</v>
      </c>
      <c r="X159" s="230">
        <f>X$157*'BTX recycling rates'!Z63</f>
        <v>3.3216224195905544E-2</v>
      </c>
      <c r="Y159" s="230">
        <f>Y$157*'BTX recycling rates'!AA63</f>
        <v>3.1057037146093928E-2</v>
      </c>
      <c r="Z159" s="230">
        <f>Z$157*'BTX recycling rates'!AB63</f>
        <v>2.8354703139010336E-2</v>
      </c>
      <c r="AA159" s="230">
        <f>AA$157*'BTX recycling rates'!AC63</f>
        <v>2.5094831796439E-2</v>
      </c>
      <c r="AB159" s="230">
        <f>AB$157*'BTX recycling rates'!AD63</f>
        <v>2.1372305788860603E-2</v>
      </c>
      <c r="AC159" s="230">
        <f>AC$157*'BTX recycling rates'!AE63</f>
        <v>1.7294049877956002E-2</v>
      </c>
      <c r="AD159" s="230">
        <f>AD$157*'BTX recycling rates'!AF63</f>
        <v>1.2979076401549335E-2</v>
      </c>
      <c r="AE159" s="230">
        <f>AE$157*'BTX recycling rates'!AG63</f>
        <v>8.5592613615082126E-3</v>
      </c>
      <c r="AF159" s="230">
        <f>AF$157*'BTX recycling rates'!AH63</f>
        <v>4.179855855923612E-3</v>
      </c>
      <c r="AG159" s="230">
        <f>AG$157*'BTX recycling rates'!AI63</f>
        <v>0</v>
      </c>
      <c r="AH159" s="245"/>
      <c r="AI159" s="133"/>
      <c r="AJ159" s="211"/>
      <c r="AL159" s="108"/>
      <c r="AM159" s="2"/>
      <c r="AN159" s="2"/>
      <c r="AO159" s="2"/>
      <c r="BC159" s="1"/>
      <c r="BD159" s="2"/>
      <c r="BE159" s="2"/>
      <c r="BF159" s="2"/>
      <c r="BG159" s="2"/>
      <c r="BH159" s="2"/>
      <c r="BI159" s="2"/>
      <c r="BJ159" s="2"/>
      <c r="BK159" s="2"/>
    </row>
    <row r="160" spans="1:63" outlineLevel="1">
      <c r="A160" s="4" t="s">
        <v>745</v>
      </c>
      <c r="C160" s="230">
        <f>C$157*'BTX recycling rates'!E64</f>
        <v>0</v>
      </c>
      <c r="D160" s="230">
        <f>D$157*'BTX recycling rates'!F64</f>
        <v>4.8467504535192182E-4</v>
      </c>
      <c r="E160" s="230">
        <f>E$157*'BTX recycling rates'!G64</f>
        <v>1.1829097233569468E-3</v>
      </c>
      <c r="F160" s="230">
        <f>F$157*'BTX recycling rates'!H64</f>
        <v>2.0975976309495865E-3</v>
      </c>
      <c r="G160" s="230">
        <f>G$157*'BTX recycling rates'!I64</f>
        <v>3.2271378041977645E-3</v>
      </c>
      <c r="H160" s="230">
        <f>H$157*'BTX recycling rates'!J64</f>
        <v>4.5652223923436644E-3</v>
      </c>
      <c r="I160" s="230">
        <f>I$157*'BTX recycling rates'!K64</f>
        <v>6.1138921720547022E-3</v>
      </c>
      <c r="J160" s="230">
        <f>J$157*'BTX recycling rates'!L64</f>
        <v>7.8684229027014881E-3</v>
      </c>
      <c r="K160" s="230">
        <f>K$157*'BTX recycling rates'!M64</f>
        <v>9.8217140885865153E-3</v>
      </c>
      <c r="L160" s="230">
        <f>L$157*'BTX recycling rates'!N64</f>
        <v>1.1964152235276051E-2</v>
      </c>
      <c r="M160" s="230">
        <f>M$157*'BTX recycling rates'!O64</f>
        <v>1.4283480041928026E-2</v>
      </c>
      <c r="N160" s="230">
        <f>N$157*'BTX recycling rates'!P64</f>
        <v>1.7977206635067293E-2</v>
      </c>
      <c r="O160" s="230">
        <f>O$157*'BTX recycling rates'!Q64</f>
        <v>2.1980454918889131E-2</v>
      </c>
      <c r="P160" s="230">
        <f>P$157*'BTX recycling rates'!R64</f>
        <v>2.6292077559547804E-2</v>
      </c>
      <c r="Q160" s="230">
        <f>Q$157*'BTX recycling rates'!S64</f>
        <v>3.0815825637249938E-2</v>
      </c>
      <c r="R160" s="230">
        <f>R$157*'BTX recycling rates'!T64</f>
        <v>3.5483579784759585E-2</v>
      </c>
      <c r="S160" s="230">
        <f>S$157*'BTX recycling rates'!U64</f>
        <v>4.0292629240231574E-2</v>
      </c>
      <c r="T160" s="230">
        <f>T$157*'BTX recycling rates'!V64</f>
        <v>4.5187831714621984E-2</v>
      </c>
      <c r="U160" s="230">
        <f>U$157*'BTX recycling rates'!W64</f>
        <v>5.0108703282164421E-2</v>
      </c>
      <c r="V160" s="230">
        <f>V$157*'BTX recycling rates'!X64</f>
        <v>5.4989241726317147E-2</v>
      </c>
      <c r="W160" s="230">
        <f>W$157*'BTX recycling rates'!Y64</f>
        <v>5.9757751314258721E-2</v>
      </c>
      <c r="X160" s="230">
        <f>X$157*'BTX recycling rates'!Z64</f>
        <v>6.6792549170897261E-2</v>
      </c>
      <c r="Y160" s="230">
        <f>Y$157*'BTX recycling rates'!AA64</f>
        <v>7.3602689778083763E-2</v>
      </c>
      <c r="Z160" s="230">
        <f>Z$157*'BTX recycling rates'!AB64</f>
        <v>8.0288967161530417E-2</v>
      </c>
      <c r="AA160" s="230">
        <f>AA$157*'BTX recycling rates'!AC64</f>
        <v>8.6505804778497161E-2</v>
      </c>
      <c r="AB160" s="230">
        <f>AB$157*'BTX recycling rates'!AD64</f>
        <v>9.2092095258627743E-2</v>
      </c>
      <c r="AC160" s="230">
        <f>AC$157*'BTX recycling rates'!AE64</f>
        <v>9.6874848032436789E-2</v>
      </c>
      <c r="AD160" s="230">
        <f>AD$157*'BTX recycling rates'!AF64</f>
        <v>0.10066703302243847</v>
      </c>
      <c r="AE160" s="230">
        <f>AE$157*'BTX recycling rates'!AG64</f>
        <v>0.1032678877617111</v>
      </c>
      <c r="AF160" s="230">
        <f>AF$157*'BTX recycling rates'!AH64</f>
        <v>0.10446246592352998</v>
      </c>
      <c r="AG160" s="230">
        <f>AG$157*'BTX recycling rates'!AI64</f>
        <v>0.10402118588425512</v>
      </c>
      <c r="AH160" s="245"/>
      <c r="AI160" s="133"/>
      <c r="AJ160" s="211"/>
      <c r="AL160" s="108"/>
      <c r="AM160" s="2"/>
      <c r="AN160" s="2"/>
      <c r="AO160" s="2"/>
      <c r="BC160" s="1"/>
      <c r="BD160" s="2"/>
      <c r="BE160" s="2"/>
      <c r="BF160" s="2"/>
      <c r="BG160" s="2"/>
      <c r="BH160" s="2"/>
      <c r="BI160" s="2"/>
      <c r="BJ160" s="2"/>
      <c r="BK160" s="2"/>
    </row>
    <row r="161" spans="1:63" outlineLevel="1">
      <c r="A161" s="4" t="s">
        <v>1561</v>
      </c>
      <c r="C161" s="230">
        <f>C$157*'BTX recycling rates'!E65</f>
        <v>8.9866763145999926E-3</v>
      </c>
      <c r="D161" s="230">
        <f>D$157*'BTX recycling rates'!F65</f>
        <v>1.1542153863317087E-2</v>
      </c>
      <c r="E161" s="230">
        <f>E$157*'BTX recycling rates'!G65</f>
        <v>1.417988658072423E-2</v>
      </c>
      <c r="F161" s="230">
        <f>F$157*'BTX recycling rates'!H65</f>
        <v>1.6875148257606526E-2</v>
      </c>
      <c r="G161" s="230">
        <f>G$157*'BTX recycling rates'!I65</f>
        <v>1.9601103736961209E-2</v>
      </c>
      <c r="H161" s="230">
        <f>H$157*'BTX recycling rates'!J65</f>
        <v>2.2329158521819815E-2</v>
      </c>
      <c r="I161" s="230">
        <f>I$157*'BTX recycling rates'!K65</f>
        <v>2.508335845901959E-2</v>
      </c>
      <c r="J161" s="230">
        <f>J$157*'BTX recycling rates'!L65</f>
        <v>2.7850251184685839E-2</v>
      </c>
      <c r="K161" s="230">
        <f>K$157*'BTX recycling rates'!M65</f>
        <v>3.0615324648523939E-2</v>
      </c>
      <c r="L161" s="230">
        <f>L$157*'BTX recycling rates'!N65</f>
        <v>3.3363002787681881E-2</v>
      </c>
      <c r="M161" s="230">
        <f>M$157*'BTX recycling rates'!O65</f>
        <v>3.6076645630892322E-2</v>
      </c>
      <c r="N161" s="230">
        <f>N$157*'BTX recycling rates'!P65</f>
        <v>4.1540387234885803E-2</v>
      </c>
      <c r="O161" s="230">
        <f>O$157*'BTX recycling rates'!Q65</f>
        <v>4.6851991226490669E-2</v>
      </c>
      <c r="P161" s="230">
        <f>P$157*'BTX recycling rates'!R65</f>
        <v>5.2055750082195186E-2</v>
      </c>
      <c r="Q161" s="230">
        <f>Q$157*'BTX recycling rates'!S65</f>
        <v>5.700731682880595E-2</v>
      </c>
      <c r="R161" s="230">
        <f>R$157*'BTX recycling rates'!T65</f>
        <v>6.1645590173670842E-2</v>
      </c>
      <c r="S161" s="230">
        <f>S$157*'BTX recycling rates'!U65</f>
        <v>6.6029200747460742E-2</v>
      </c>
      <c r="T161" s="230">
        <f>T$157*'BTX recycling rates'!V65</f>
        <v>7.0121519313399189E-2</v>
      </c>
      <c r="U161" s="230">
        <f>U$157*'BTX recycling rates'!W65</f>
        <v>7.3884215103872677E-2</v>
      </c>
      <c r="V161" s="230">
        <f>V$157*'BTX recycling rates'!X65</f>
        <v>7.7277229896380389E-2</v>
      </c>
      <c r="W161" s="230">
        <f>W$157*'BTX recycling rates'!Y65</f>
        <v>8.0258753285974815E-2</v>
      </c>
      <c r="X161" s="230">
        <f>X$157*'BTX recycling rates'!Z65</f>
        <v>8.5945302259848144E-2</v>
      </c>
      <c r="Y161" s="230">
        <f>Y$157*'BTX recycling rates'!AA65</f>
        <v>9.0939882024779553E-2</v>
      </c>
      <c r="Z161" s="230">
        <f>Z$157*'BTX recycling rates'!AB65</f>
        <v>9.5447874271457109E-2</v>
      </c>
      <c r="AA161" s="230">
        <f>AA$157*'BTX recycling rates'!AC65</f>
        <v>9.9131604792596917E-2</v>
      </c>
      <c r="AB161" s="230">
        <f>AB$157*'BTX recycling rates'!AD65</f>
        <v>0.10190268036333827</v>
      </c>
      <c r="AC161" s="230">
        <f>AC$157*'BTX recycling rates'!AE65</f>
        <v>0.10366961497539984</v>
      </c>
      <c r="AD161" s="230">
        <f>AD$157*'BTX recycling rates'!AF65</f>
        <v>0.10433581475588014</v>
      </c>
      <c r="AE161" s="230">
        <f>AE$157*'BTX recycling rates'!AG65</f>
        <v>0.10380039671477738</v>
      </c>
      <c r="AF161" s="230">
        <f>AF$157*'BTX recycling rates'!AH65</f>
        <v>0.10195810788439252</v>
      </c>
      <c r="AG161" s="230">
        <f>AG$157*'BTX recycling rates'!AI65</f>
        <v>9.8699246181332259E-2</v>
      </c>
      <c r="AH161" s="245"/>
      <c r="AI161" s="133"/>
      <c r="AJ161" s="211"/>
      <c r="AL161" s="108"/>
      <c r="AM161" s="2"/>
      <c r="AN161" s="2"/>
      <c r="AO161" s="2"/>
      <c r="BC161" s="1"/>
      <c r="BD161" s="2"/>
      <c r="BE161" s="2"/>
      <c r="BF161" s="2"/>
      <c r="BG161" s="2"/>
      <c r="BH161" s="2"/>
      <c r="BI161" s="2"/>
      <c r="BJ161" s="2"/>
      <c r="BK161" s="2"/>
    </row>
    <row r="162" spans="1:63" s="1" customFormat="1" outlineLevel="1">
      <c r="A162" s="1" t="s">
        <v>1570</v>
      </c>
      <c r="B162" s="65"/>
      <c r="C162" s="300">
        <f t="shared" ref="C162:AG162" si="76">C157-$C157</f>
        <v>0</v>
      </c>
      <c r="D162" s="300">
        <f t="shared" si="76"/>
        <v>6.1242424012041621E-3</v>
      </c>
      <c r="E162" s="300">
        <f t="shared" si="76"/>
        <v>1.2367139071990645E-2</v>
      </c>
      <c r="F162" s="300">
        <f t="shared" si="76"/>
        <v>1.8666427257236547E-2</v>
      </c>
      <c r="G162" s="300">
        <f t="shared" si="76"/>
        <v>2.4956413176890648E-2</v>
      </c>
      <c r="H162" s="300">
        <f t="shared" si="76"/>
        <v>3.1168920317611631E-2</v>
      </c>
      <c r="I162" s="300">
        <f t="shared" si="76"/>
        <v>3.7362573783696701E-2</v>
      </c>
      <c r="J162" s="300">
        <f t="shared" si="76"/>
        <v>4.35059960958218E-2</v>
      </c>
      <c r="K162" s="300">
        <f t="shared" si="76"/>
        <v>4.9566132504338098E-2</v>
      </c>
      <c r="L162" s="300">
        <f t="shared" si="76"/>
        <v>5.5508294501964414E-2</v>
      </c>
      <c r="M162" s="300">
        <f t="shared" si="76"/>
        <v>6.1296211933746431E-2</v>
      </c>
      <c r="N162" s="300">
        <f t="shared" si="76"/>
        <v>7.3336727503361121E-2</v>
      </c>
      <c r="O162" s="300">
        <f t="shared" si="76"/>
        <v>8.4878509501651739E-2</v>
      </c>
      <c r="P162" s="300">
        <f t="shared" si="76"/>
        <v>9.6031490365743821E-2</v>
      </c>
      <c r="Q162" s="300">
        <f t="shared" si="76"/>
        <v>0.10647704131337207</v>
      </c>
      <c r="R162" s="300">
        <f t="shared" si="76"/>
        <v>0.11609114111522215</v>
      </c>
      <c r="S162" s="300">
        <f t="shared" si="76"/>
        <v>0.1250197815445841</v>
      </c>
      <c r="T162" s="300">
        <f t="shared" si="76"/>
        <v>0.13319428475395725</v>
      </c>
      <c r="U162" s="300">
        <f t="shared" si="76"/>
        <v>0.14054388466601844</v>
      </c>
      <c r="V162" s="300">
        <f t="shared" si="76"/>
        <v>0.14699573292338933</v>
      </c>
      <c r="W162" s="300">
        <f t="shared" si="76"/>
        <v>0.15247490722948756</v>
      </c>
      <c r="X162" s="300">
        <f t="shared" si="76"/>
        <v>0.16374172473584719</v>
      </c>
      <c r="Y162" s="300">
        <f t="shared" si="76"/>
        <v>0.1733872580581535</v>
      </c>
      <c r="Z162" s="300">
        <f t="shared" si="76"/>
        <v>0.1818791936811941</v>
      </c>
      <c r="AA162" s="300">
        <f t="shared" si="76"/>
        <v>0.18851989047672932</v>
      </c>
      <c r="AB162" s="300">
        <f t="shared" si="76"/>
        <v>0.19315473052002285</v>
      </c>
      <c r="AC162" s="300">
        <f t="shared" si="76"/>
        <v>0.19562616199498886</v>
      </c>
      <c r="AD162" s="300">
        <f t="shared" si="76"/>
        <v>0.19576957328906416</v>
      </c>
      <c r="AE162" s="300">
        <f t="shared" si="76"/>
        <v>0.19341519494719292</v>
      </c>
      <c r="AF162" s="300">
        <f t="shared" si="76"/>
        <v>0.18838807877304234</v>
      </c>
      <c r="AG162" s="300">
        <f t="shared" si="76"/>
        <v>0.18050808117478362</v>
      </c>
      <c r="AH162" s="245"/>
      <c r="AI162" s="423"/>
      <c r="AJ162" s="424"/>
      <c r="AL162" s="221"/>
      <c r="AM162" s="124"/>
      <c r="AN162" s="124"/>
      <c r="AO162" s="124"/>
      <c r="BD162" s="124"/>
      <c r="BE162" s="124"/>
      <c r="BF162" s="124"/>
      <c r="BG162" s="124"/>
      <c r="BH162" s="124"/>
      <c r="BI162" s="124"/>
      <c r="BJ162" s="124"/>
      <c r="BK162" s="124"/>
    </row>
    <row r="163" spans="1:63" outlineLevel="1">
      <c r="A163" s="4" t="s">
        <v>474</v>
      </c>
      <c r="C163" s="230">
        <f t="shared" ref="C163:AG163" si="77">C158-$C158</f>
        <v>0</v>
      </c>
      <c r="D163" s="230">
        <f t="shared" si="77"/>
        <v>0</v>
      </c>
      <c r="E163" s="230">
        <f t="shared" si="77"/>
        <v>0</v>
      </c>
      <c r="F163" s="230">
        <f t="shared" si="77"/>
        <v>0</v>
      </c>
      <c r="G163" s="230">
        <f t="shared" si="77"/>
        <v>0</v>
      </c>
      <c r="H163" s="230">
        <f t="shared" si="77"/>
        <v>0</v>
      </c>
      <c r="I163" s="230">
        <f t="shared" si="77"/>
        <v>0</v>
      </c>
      <c r="J163" s="230">
        <f t="shared" si="77"/>
        <v>0</v>
      </c>
      <c r="K163" s="230">
        <f t="shared" si="77"/>
        <v>0</v>
      </c>
      <c r="L163" s="230">
        <f t="shared" si="77"/>
        <v>0</v>
      </c>
      <c r="M163" s="230">
        <f t="shared" si="77"/>
        <v>0</v>
      </c>
      <c r="N163" s="230">
        <f t="shared" si="77"/>
        <v>0</v>
      </c>
      <c r="O163" s="230">
        <f t="shared" si="77"/>
        <v>0</v>
      </c>
      <c r="P163" s="230">
        <f t="shared" si="77"/>
        <v>0</v>
      </c>
      <c r="Q163" s="230">
        <f t="shared" si="77"/>
        <v>0</v>
      </c>
      <c r="R163" s="230">
        <f t="shared" si="77"/>
        <v>0</v>
      </c>
      <c r="S163" s="230">
        <f t="shared" si="77"/>
        <v>0</v>
      </c>
      <c r="T163" s="230">
        <f t="shared" si="77"/>
        <v>0</v>
      </c>
      <c r="U163" s="230">
        <f t="shared" si="77"/>
        <v>0</v>
      </c>
      <c r="V163" s="230">
        <f t="shared" si="77"/>
        <v>0</v>
      </c>
      <c r="W163" s="230">
        <f t="shared" si="77"/>
        <v>0</v>
      </c>
      <c r="X163" s="230">
        <f t="shared" si="77"/>
        <v>0</v>
      </c>
      <c r="Y163" s="230">
        <f t="shared" si="77"/>
        <v>0</v>
      </c>
      <c r="Z163" s="230">
        <f t="shared" si="77"/>
        <v>0</v>
      </c>
      <c r="AA163" s="230">
        <f t="shared" si="77"/>
        <v>0</v>
      </c>
      <c r="AB163" s="230">
        <f t="shared" si="77"/>
        <v>0</v>
      </c>
      <c r="AC163" s="230">
        <f t="shared" si="77"/>
        <v>0</v>
      </c>
      <c r="AD163" s="230">
        <f t="shared" si="77"/>
        <v>0</v>
      </c>
      <c r="AE163" s="230">
        <f t="shared" si="77"/>
        <v>0</v>
      </c>
      <c r="AF163" s="230">
        <f t="shared" si="77"/>
        <v>0</v>
      </c>
      <c r="AG163" s="230">
        <f t="shared" si="77"/>
        <v>0</v>
      </c>
      <c r="AH163" s="245"/>
      <c r="AI163" s="133"/>
      <c r="AJ163" s="211"/>
      <c r="AL163" s="108"/>
      <c r="AM163" s="2"/>
      <c r="AN163" s="2"/>
      <c r="AO163" s="2"/>
      <c r="BC163" s="1"/>
      <c r="BD163" s="2"/>
      <c r="BE163" s="2"/>
      <c r="BF163" s="2"/>
      <c r="BG163" s="2"/>
      <c r="BH163" s="2"/>
      <c r="BI163" s="2"/>
      <c r="BJ163" s="2"/>
      <c r="BK163" s="2"/>
    </row>
    <row r="164" spans="1:63" outlineLevel="1">
      <c r="A164" s="4" t="s">
        <v>478</v>
      </c>
      <c r="C164" s="230">
        <f t="shared" ref="C164:AG166" si="78">C159-$C159</f>
        <v>0</v>
      </c>
      <c r="D164" s="230">
        <f t="shared" si="78"/>
        <v>3.0840898071351451E-3</v>
      </c>
      <c r="E164" s="230">
        <f t="shared" si="78"/>
        <v>5.9910190825094613E-3</v>
      </c>
      <c r="F164" s="230">
        <f t="shared" si="78"/>
        <v>8.6803576832804284E-3</v>
      </c>
      <c r="G164" s="230">
        <f t="shared" si="78"/>
        <v>1.1114847950331668E-2</v>
      </c>
      <c r="H164" s="230">
        <f t="shared" si="78"/>
        <v>1.3261215718048142E-2</v>
      </c>
      <c r="I164" s="230">
        <f t="shared" si="78"/>
        <v>1.5151999467222406E-2</v>
      </c>
      <c r="J164" s="230">
        <f t="shared" si="78"/>
        <v>1.6773998323034462E-2</v>
      </c>
      <c r="K164" s="230">
        <f t="shared" si="78"/>
        <v>1.8115770081827631E-2</v>
      </c>
      <c r="L164" s="230">
        <f t="shared" si="78"/>
        <v>1.916781579360647E-2</v>
      </c>
      <c r="M164" s="230">
        <f t="shared" si="78"/>
        <v>1.9922762575526068E-2</v>
      </c>
      <c r="N164" s="230">
        <f t="shared" si="78"/>
        <v>2.2805809948008016E-2</v>
      </c>
      <c r="O164" s="230">
        <f t="shared" si="78"/>
        <v>2.5032739670871926E-2</v>
      </c>
      <c r="P164" s="230">
        <f t="shared" si="78"/>
        <v>2.6670339038600818E-2</v>
      </c>
      <c r="Q164" s="230">
        <f t="shared" si="78"/>
        <v>2.7640575161916175E-2</v>
      </c>
      <c r="R164" s="230">
        <f t="shared" si="78"/>
        <v>2.794864747139171E-2</v>
      </c>
      <c r="S164" s="230">
        <f t="shared" si="78"/>
        <v>2.7684627871491764E-2</v>
      </c>
      <c r="T164" s="230">
        <f t="shared" si="78"/>
        <v>2.6871610040536072E-2</v>
      </c>
      <c r="U164" s="230">
        <f t="shared" si="78"/>
        <v>2.5537642594581335E-2</v>
      </c>
      <c r="V164" s="230">
        <f t="shared" si="78"/>
        <v>2.3715937615291789E-2</v>
      </c>
      <c r="W164" s="230">
        <f t="shared" si="78"/>
        <v>2.1445078943854015E-2</v>
      </c>
      <c r="X164" s="230">
        <f t="shared" si="78"/>
        <v>1.9990549619701779E-2</v>
      </c>
      <c r="Y164" s="230">
        <f t="shared" si="78"/>
        <v>1.7831362569890163E-2</v>
      </c>
      <c r="Z164" s="230">
        <f t="shared" si="78"/>
        <v>1.5129028562806571E-2</v>
      </c>
      <c r="AA164" s="230">
        <f t="shared" si="78"/>
        <v>1.1869157220235235E-2</v>
      </c>
      <c r="AB164" s="230">
        <f t="shared" si="78"/>
        <v>8.146631212656838E-3</v>
      </c>
      <c r="AC164" s="230">
        <f t="shared" si="78"/>
        <v>4.0683753017522369E-3</v>
      </c>
      <c r="AD164" s="230">
        <f t="shared" si="78"/>
        <v>-2.4659817465443046E-4</v>
      </c>
      <c r="AE164" s="230">
        <f t="shared" si="78"/>
        <v>-4.6664132146955525E-3</v>
      </c>
      <c r="AF164" s="230">
        <f t="shared" si="78"/>
        <v>-9.0458187202801521E-3</v>
      </c>
      <c r="AG164" s="230">
        <f t="shared" si="78"/>
        <v>-1.3225674576203765E-2</v>
      </c>
      <c r="AH164" s="245"/>
      <c r="AI164" s="133"/>
      <c r="AJ164" s="211"/>
      <c r="AL164" s="108"/>
      <c r="AM164" s="2"/>
      <c r="AN164" s="2"/>
      <c r="AO164" s="2"/>
      <c r="BC164" s="1"/>
      <c r="BD164" s="2"/>
      <c r="BE164" s="2"/>
      <c r="BF164" s="2"/>
      <c r="BG164" s="2"/>
      <c r="BH164" s="2"/>
      <c r="BI164" s="2"/>
      <c r="BJ164" s="2"/>
      <c r="BK164" s="2"/>
    </row>
    <row r="165" spans="1:63" outlineLevel="1">
      <c r="A165" s="4" t="s">
        <v>745</v>
      </c>
      <c r="C165" s="230">
        <f t="shared" si="78"/>
        <v>0</v>
      </c>
      <c r="D165" s="230">
        <f t="shared" si="78"/>
        <v>4.8467504535192182E-4</v>
      </c>
      <c r="E165" s="230">
        <f t="shared" si="78"/>
        <v>1.1829097233569468E-3</v>
      </c>
      <c r="F165" s="230">
        <f t="shared" si="78"/>
        <v>2.0975976309495865E-3</v>
      </c>
      <c r="G165" s="230">
        <f t="shared" si="78"/>
        <v>3.2271378041977645E-3</v>
      </c>
      <c r="H165" s="230">
        <f t="shared" si="78"/>
        <v>4.5652223923436644E-3</v>
      </c>
      <c r="I165" s="230">
        <f t="shared" si="78"/>
        <v>6.1138921720547022E-3</v>
      </c>
      <c r="J165" s="230">
        <f t="shared" si="78"/>
        <v>7.8684229027014881E-3</v>
      </c>
      <c r="K165" s="230">
        <f t="shared" si="78"/>
        <v>9.8217140885865153E-3</v>
      </c>
      <c r="L165" s="230">
        <f t="shared" si="78"/>
        <v>1.1964152235276051E-2</v>
      </c>
      <c r="M165" s="230">
        <f t="shared" si="78"/>
        <v>1.4283480041928026E-2</v>
      </c>
      <c r="N165" s="230">
        <f t="shared" si="78"/>
        <v>1.7977206635067293E-2</v>
      </c>
      <c r="O165" s="230">
        <f t="shared" si="78"/>
        <v>2.1980454918889131E-2</v>
      </c>
      <c r="P165" s="230">
        <f t="shared" si="78"/>
        <v>2.6292077559547804E-2</v>
      </c>
      <c r="Q165" s="230">
        <f t="shared" si="78"/>
        <v>3.0815825637249938E-2</v>
      </c>
      <c r="R165" s="230">
        <f t="shared" si="78"/>
        <v>3.5483579784759585E-2</v>
      </c>
      <c r="S165" s="230">
        <f t="shared" si="78"/>
        <v>4.0292629240231574E-2</v>
      </c>
      <c r="T165" s="230">
        <f t="shared" si="78"/>
        <v>4.5187831714621984E-2</v>
      </c>
      <c r="U165" s="230">
        <f t="shared" si="78"/>
        <v>5.0108703282164421E-2</v>
      </c>
      <c r="V165" s="230">
        <f t="shared" si="78"/>
        <v>5.4989241726317147E-2</v>
      </c>
      <c r="W165" s="230">
        <f t="shared" si="78"/>
        <v>5.9757751314258721E-2</v>
      </c>
      <c r="X165" s="230">
        <f t="shared" si="78"/>
        <v>6.6792549170897261E-2</v>
      </c>
      <c r="Y165" s="230">
        <f t="shared" si="78"/>
        <v>7.3602689778083763E-2</v>
      </c>
      <c r="Z165" s="230">
        <f t="shared" si="78"/>
        <v>8.0288967161530417E-2</v>
      </c>
      <c r="AA165" s="230">
        <f t="shared" si="78"/>
        <v>8.6505804778497161E-2</v>
      </c>
      <c r="AB165" s="230">
        <f t="shared" si="78"/>
        <v>9.2092095258627743E-2</v>
      </c>
      <c r="AC165" s="230">
        <f t="shared" si="78"/>
        <v>9.6874848032436789E-2</v>
      </c>
      <c r="AD165" s="230">
        <f t="shared" si="78"/>
        <v>0.10066703302243847</v>
      </c>
      <c r="AE165" s="230">
        <f t="shared" si="78"/>
        <v>0.1032678877617111</v>
      </c>
      <c r="AF165" s="230">
        <f t="shared" si="78"/>
        <v>0.10446246592352998</v>
      </c>
      <c r="AG165" s="230">
        <f t="shared" si="78"/>
        <v>0.10402118588425512</v>
      </c>
      <c r="AH165" s="245"/>
      <c r="AI165" s="133"/>
      <c r="AJ165" s="211"/>
      <c r="AL165" s="108"/>
      <c r="AM165" s="2"/>
      <c r="AN165" s="2"/>
      <c r="AO165" s="2"/>
      <c r="BC165" s="1"/>
      <c r="BD165" s="2"/>
      <c r="BE165" s="2"/>
      <c r="BF165" s="2"/>
      <c r="BG165" s="2"/>
      <c r="BH165" s="2"/>
      <c r="BI165" s="2"/>
      <c r="BJ165" s="2"/>
      <c r="BK165" s="2"/>
    </row>
    <row r="166" spans="1:63" outlineLevel="1">
      <c r="A166" s="4" t="s">
        <v>1561</v>
      </c>
      <c r="C166" s="230">
        <f t="shared" si="78"/>
        <v>0</v>
      </c>
      <c r="D166" s="230">
        <f t="shared" si="78"/>
        <v>2.5554775487170948E-3</v>
      </c>
      <c r="E166" s="230">
        <f t="shared" si="78"/>
        <v>5.1932102661242374E-3</v>
      </c>
      <c r="F166" s="230">
        <f t="shared" si="78"/>
        <v>7.8884719430065333E-3</v>
      </c>
      <c r="G166" s="230">
        <f t="shared" si="78"/>
        <v>1.0614427422361216E-2</v>
      </c>
      <c r="H166" s="230">
        <f t="shared" si="78"/>
        <v>1.3342482207219822E-2</v>
      </c>
      <c r="I166" s="230">
        <f t="shared" si="78"/>
        <v>1.6096682144419595E-2</v>
      </c>
      <c r="J166" s="230">
        <f t="shared" si="78"/>
        <v>1.8863574870085845E-2</v>
      </c>
      <c r="K166" s="230">
        <f t="shared" si="78"/>
        <v>2.1628648333923944E-2</v>
      </c>
      <c r="L166" s="230">
        <f t="shared" si="78"/>
        <v>2.437632647308189E-2</v>
      </c>
      <c r="M166" s="230">
        <f t="shared" si="78"/>
        <v>2.7089969316292331E-2</v>
      </c>
      <c r="N166" s="230">
        <f t="shared" si="78"/>
        <v>3.2553710920285812E-2</v>
      </c>
      <c r="O166" s="230">
        <f t="shared" si="78"/>
        <v>3.7865314911890678E-2</v>
      </c>
      <c r="P166" s="230">
        <f t="shared" si="78"/>
        <v>4.3069073767595195E-2</v>
      </c>
      <c r="Q166" s="230">
        <f t="shared" si="78"/>
        <v>4.8020640514205959E-2</v>
      </c>
      <c r="R166" s="230">
        <f t="shared" si="78"/>
        <v>5.2658913859070851E-2</v>
      </c>
      <c r="S166" s="230">
        <f t="shared" si="78"/>
        <v>5.7042524432860751E-2</v>
      </c>
      <c r="T166" s="230">
        <f t="shared" si="78"/>
        <v>6.1134842998799198E-2</v>
      </c>
      <c r="U166" s="230">
        <f t="shared" si="78"/>
        <v>6.489753878927268E-2</v>
      </c>
      <c r="V166" s="230">
        <f t="shared" si="78"/>
        <v>6.8290553581780392E-2</v>
      </c>
      <c r="W166" s="230">
        <f t="shared" si="78"/>
        <v>7.1272076971374818E-2</v>
      </c>
      <c r="X166" s="230">
        <f t="shared" si="78"/>
        <v>7.6958625945248146E-2</v>
      </c>
      <c r="Y166" s="230">
        <f t="shared" si="78"/>
        <v>8.1953205710179555E-2</v>
      </c>
      <c r="Z166" s="230">
        <f t="shared" si="78"/>
        <v>8.6461197956857111E-2</v>
      </c>
      <c r="AA166" s="230">
        <f t="shared" si="78"/>
        <v>9.0144928477996919E-2</v>
      </c>
      <c r="AB166" s="230">
        <f t="shared" si="78"/>
        <v>9.2916004048738274E-2</v>
      </c>
      <c r="AC166" s="230">
        <f t="shared" si="78"/>
        <v>9.468293866079984E-2</v>
      </c>
      <c r="AD166" s="230">
        <f t="shared" si="78"/>
        <v>9.5349138441280137E-2</v>
      </c>
      <c r="AE166" s="230">
        <f t="shared" si="78"/>
        <v>9.4813720400177381E-2</v>
      </c>
      <c r="AF166" s="230">
        <f t="shared" si="78"/>
        <v>9.2971431569792526E-2</v>
      </c>
      <c r="AG166" s="230">
        <f t="shared" si="78"/>
        <v>8.9712569866732261E-2</v>
      </c>
      <c r="AH166" s="245"/>
      <c r="AI166" s="133"/>
      <c r="AJ166" s="211"/>
      <c r="AL166" s="108"/>
      <c r="AM166" s="2"/>
      <c r="AN166" s="2"/>
      <c r="AO166" s="2"/>
      <c r="BC166" s="1"/>
      <c r="BD166" s="2"/>
      <c r="BE166" s="2"/>
      <c r="BF166" s="2"/>
      <c r="BG166" s="2"/>
      <c r="BH166" s="2"/>
      <c r="BI166" s="2"/>
      <c r="BJ166" s="2"/>
      <c r="BK166" s="2"/>
    </row>
    <row r="167" spans="1:63" s="1" customFormat="1" outlineLevel="1">
      <c r="A167" s="1" t="s">
        <v>1578</v>
      </c>
      <c r="B167" s="65"/>
      <c r="C167" s="300">
        <f>'BTX Recycling HC'!C167</f>
        <v>5.1259271286470216E-3</v>
      </c>
      <c r="D167" s="300">
        <f>'BTX Recycling HC'!D167</f>
        <v>6.5392138366172107E-3</v>
      </c>
      <c r="E167" s="300">
        <f>'BTX Recycling HC'!E167</f>
        <v>7.9798822991064017E-3</v>
      </c>
      <c r="F167" s="300">
        <f>'BTX Recycling HC'!F167</f>
        <v>9.433564188009301E-3</v>
      </c>
      <c r="G167" s="300">
        <f>'BTX Recycling HC'!G167</f>
        <v>1.088509940023717E-2</v>
      </c>
      <c r="H167" s="300">
        <f>'BTX Recycling HC'!H167</f>
        <v>1.2318754894249703E-2</v>
      </c>
      <c r="I167" s="300">
        <f>'BTX Recycling HC'!I167</f>
        <v>1.3748059540269336E-2</v>
      </c>
      <c r="J167" s="300">
        <f>'BTX Recycling HC'!J167</f>
        <v>1.5165772381528973E-2</v>
      </c>
      <c r="K167" s="300">
        <f>'BTX Recycling HC'!K167</f>
        <v>1.656426539887889E-2</v>
      </c>
      <c r="L167" s="300">
        <f>'BTX Recycling HC'!L167</f>
        <v>1.7935533552177269E-2</v>
      </c>
      <c r="M167" s="300">
        <f>'BTX Recycling HC'!M167</f>
        <v>1.9271206805665426E-2</v>
      </c>
      <c r="N167" s="300">
        <f>'BTX Recycling HC'!N167</f>
        <v>2.2049787321730355E-2</v>
      </c>
      <c r="O167" s="300">
        <f>'BTX Recycling HC'!O167</f>
        <v>2.4713275475182036E-2</v>
      </c>
      <c r="P167" s="300">
        <f>'BTX Recycling HC'!P167</f>
        <v>2.7287040289972517E-2</v>
      </c>
      <c r="Q167" s="300">
        <f>'BTX Recycling HC'!Q167</f>
        <v>2.9697552047117496E-2</v>
      </c>
      <c r="R167" s="300">
        <f>'BTX Recycling HC'!R167</f>
        <v>3.1916190462929046E-2</v>
      </c>
      <c r="S167" s="300">
        <f>'BTX Recycling HC'!S167</f>
        <v>3.397664594662797E-2</v>
      </c>
      <c r="T167" s="300">
        <f>'BTX Recycling HC'!T167</f>
        <v>3.5863069764175616E-2</v>
      </c>
      <c r="U167" s="300">
        <f>'BTX Recycling HC'!U167</f>
        <v>3.7559131282343589E-2</v>
      </c>
      <c r="V167" s="300">
        <f>'BTX Recycling HC'!V167</f>
        <v>3.9048019341736864E-2</v>
      </c>
      <c r="W167" s="300">
        <f>'BTX Recycling HC'!W167</f>
        <v>4.0312444181605685E-2</v>
      </c>
      <c r="X167" s="300">
        <f>'BTX Recycling HC'!X167</f>
        <v>4.2912478990765598E-2</v>
      </c>
      <c r="Y167" s="300">
        <f>'BTX Recycling HC'!Y167</f>
        <v>4.5138371295913214E-2</v>
      </c>
      <c r="Z167" s="300">
        <f>'BTX Recycling HC'!Z167</f>
        <v>4.7098048747384123E-2</v>
      </c>
      <c r="AA167" s="300">
        <f>'BTX Recycling HC'!AA167</f>
        <v>4.8630517238661471E-2</v>
      </c>
      <c r="AB167" s="300">
        <f>'BTX Recycling HC'!AB167</f>
        <v>4.9700095710190753E-2</v>
      </c>
      <c r="AC167" s="300">
        <f>'BTX Recycling HC'!AC167</f>
        <v>5.0270426050567515E-2</v>
      </c>
      <c r="AD167" s="300">
        <f>'BTX Recycling HC'!AD167</f>
        <v>5.0303520964584902E-2</v>
      </c>
      <c r="AE167" s="300">
        <f>'BTX Recycling HC'!AE167</f>
        <v>4.976020288569153E-2</v>
      </c>
      <c r="AF167" s="300">
        <f>'BTX Recycling HC'!AF167</f>
        <v>4.8600099153195256E-2</v>
      </c>
      <c r="AG167" s="300">
        <f>'BTX Recycling HC'!AG167</f>
        <v>4.678163816898169E-2</v>
      </c>
      <c r="AH167" s="245"/>
      <c r="AI167" s="423"/>
      <c r="AJ167" s="424"/>
      <c r="AL167" s="221"/>
      <c r="AM167" s="124"/>
      <c r="AN167" s="124"/>
      <c r="AO167" s="124"/>
      <c r="BD167" s="124"/>
      <c r="BE167" s="124"/>
      <c r="BF167" s="124"/>
      <c r="BG167" s="124"/>
      <c r="BH167" s="124"/>
      <c r="BI167" s="124"/>
      <c r="BJ167" s="124"/>
      <c r="BK167" s="124"/>
    </row>
    <row r="168" spans="1:63" outlineLevel="1">
      <c r="A168" s="4" t="s">
        <v>474</v>
      </c>
      <c r="C168" s="230">
        <f>C$167*'BTX recycling rates'!E66</f>
        <v>0</v>
      </c>
      <c r="D168" s="230">
        <f>D$167*'BTX recycling rates'!F66</f>
        <v>0</v>
      </c>
      <c r="E168" s="230">
        <f>E$167*'BTX recycling rates'!G66</f>
        <v>0</v>
      </c>
      <c r="F168" s="230">
        <f>F$167*'BTX recycling rates'!H66</f>
        <v>0</v>
      </c>
      <c r="G168" s="230">
        <f>G$167*'BTX recycling rates'!I66</f>
        <v>0</v>
      </c>
      <c r="H168" s="230">
        <f>H$167*'BTX recycling rates'!J66</f>
        <v>0</v>
      </c>
      <c r="I168" s="230">
        <f>I$167*'BTX recycling rates'!K66</f>
        <v>0</v>
      </c>
      <c r="J168" s="230">
        <f>J$167*'BTX recycling rates'!L66</f>
        <v>0</v>
      </c>
      <c r="K168" s="230">
        <f>K$167*'BTX recycling rates'!M66</f>
        <v>0</v>
      </c>
      <c r="L168" s="230">
        <f>L$167*'BTX recycling rates'!N66</f>
        <v>0</v>
      </c>
      <c r="M168" s="230">
        <f>M$167*'BTX recycling rates'!O66</f>
        <v>0</v>
      </c>
      <c r="N168" s="230">
        <f>N$167*'BTX recycling rates'!P66</f>
        <v>0</v>
      </c>
      <c r="O168" s="230">
        <f>O$167*'BTX recycling rates'!Q66</f>
        <v>0</v>
      </c>
      <c r="P168" s="230">
        <f>P$167*'BTX recycling rates'!R66</f>
        <v>0</v>
      </c>
      <c r="Q168" s="230">
        <f>Q$167*'BTX recycling rates'!S66</f>
        <v>0</v>
      </c>
      <c r="R168" s="230">
        <f>R$167*'BTX recycling rates'!T66</f>
        <v>0</v>
      </c>
      <c r="S168" s="230">
        <f>S$167*'BTX recycling rates'!U66</f>
        <v>0</v>
      </c>
      <c r="T168" s="230">
        <f>T$167*'BTX recycling rates'!V66</f>
        <v>0</v>
      </c>
      <c r="U168" s="230">
        <f>U$167*'BTX recycling rates'!W66</f>
        <v>0</v>
      </c>
      <c r="V168" s="230">
        <f>V$167*'BTX recycling rates'!X66</f>
        <v>0</v>
      </c>
      <c r="W168" s="230">
        <f>W$167*'BTX recycling rates'!Y66</f>
        <v>0</v>
      </c>
      <c r="X168" s="230">
        <f>X$167*'BTX recycling rates'!Z66</f>
        <v>0</v>
      </c>
      <c r="Y168" s="230">
        <f>Y$167*'BTX recycling rates'!AA66</f>
        <v>0</v>
      </c>
      <c r="Z168" s="230">
        <f>Z$167*'BTX recycling rates'!AB66</f>
        <v>0</v>
      </c>
      <c r="AA168" s="230">
        <f>AA$167*'BTX recycling rates'!AC66</f>
        <v>0</v>
      </c>
      <c r="AB168" s="230">
        <f>AB$167*'BTX recycling rates'!AD66</f>
        <v>0</v>
      </c>
      <c r="AC168" s="230">
        <f>AC$167*'BTX recycling rates'!AE66</f>
        <v>0</v>
      </c>
      <c r="AD168" s="230">
        <f>AD$167*'BTX recycling rates'!AF66</f>
        <v>0</v>
      </c>
      <c r="AE168" s="230">
        <f>AE$167*'BTX recycling rates'!AG66</f>
        <v>0</v>
      </c>
      <c r="AF168" s="230">
        <f>AF$167*'BTX recycling rates'!AH66</f>
        <v>0</v>
      </c>
      <c r="AG168" s="230">
        <f>AG$167*'BTX recycling rates'!AI66</f>
        <v>0</v>
      </c>
      <c r="AH168" s="245"/>
      <c r="AI168" s="133"/>
      <c r="AJ168" s="211"/>
      <c r="AL168" s="108"/>
      <c r="AM168" s="2"/>
      <c r="AN168" s="2"/>
      <c r="AO168" s="2"/>
      <c r="BC168" s="1"/>
      <c r="BD168" s="2"/>
      <c r="BE168" s="2"/>
      <c r="BF168" s="2"/>
      <c r="BG168" s="2"/>
      <c r="BH168" s="2"/>
      <c r="BI168" s="2"/>
      <c r="BJ168" s="2"/>
      <c r="BK168" s="2"/>
    </row>
    <row r="169" spans="1:63" outlineLevel="1">
      <c r="A169" s="4" t="s">
        <v>478</v>
      </c>
      <c r="C169" s="230">
        <f>C$167*'BTX recycling rates'!E67</f>
        <v>3.0520787483547152E-3</v>
      </c>
      <c r="D169" s="230">
        <f>D$167*'BTX recycling rates'!F67</f>
        <v>3.7637917807705167E-3</v>
      </c>
      <c r="E169" s="230">
        <f>E$167*'BTX recycling rates'!G67</f>
        <v>4.4346216135492059E-3</v>
      </c>
      <c r="F169" s="230">
        <f>F$167*'BTX recycling rates'!H67</f>
        <v>5.0552382137271212E-3</v>
      </c>
      <c r="G169" s="230">
        <f>G$167*'BTX recycling rates'!I67</f>
        <v>5.6170436599697147E-3</v>
      </c>
      <c r="H169" s="230">
        <f>H$167*'BTX recycling rates'!J67</f>
        <v>6.112359298673516E-3</v>
      </c>
      <c r="I169" s="230">
        <f>I$167*'BTX recycling rates'!K67</f>
        <v>6.5486940100214237E-3</v>
      </c>
      <c r="J169" s="230">
        <f>J$167*'BTX recycling rates'!L67</f>
        <v>6.9230014382857434E-3</v>
      </c>
      <c r="K169" s="230">
        <f>K$167*'BTX recycling rates'!M67</f>
        <v>7.232641074930323E-3</v>
      </c>
      <c r="L169" s="230">
        <f>L$167*'BTX recycling rates'!N67</f>
        <v>7.4754208545715932E-3</v>
      </c>
      <c r="M169" s="230">
        <f>M$167*'BTX recycling rates'!O67</f>
        <v>7.6496393427068843E-3</v>
      </c>
      <c r="N169" s="230">
        <f>N$167*'BTX recycling rates'!P67</f>
        <v>8.3149579671257957E-3</v>
      </c>
      <c r="O169" s="230">
        <f>O$167*'BTX recycling rates'!Q67</f>
        <v>8.8288648262482353E-3</v>
      </c>
      <c r="P169" s="230">
        <f>P$167*'BTX recycling rates'!R67</f>
        <v>9.2067723726472119E-3</v>
      </c>
      <c r="Q169" s="230">
        <f>Q$167*'BTX recycling rates'!S67</f>
        <v>9.430673016489215E-3</v>
      </c>
      <c r="R169" s="230">
        <f>R$167*'BTX recycling rates'!T67</f>
        <v>9.5017666263681848E-3</v>
      </c>
      <c r="S169" s="230">
        <f>S$167*'BTX recycling rates'!U67</f>
        <v>9.4408390263912775E-3</v>
      </c>
      <c r="T169" s="230">
        <f>T$167*'BTX recycling rates'!V67</f>
        <v>9.2532195269399604E-3</v>
      </c>
      <c r="U169" s="230">
        <f>U$167*'BTX recycling rates'!W67</f>
        <v>8.9453808855657936E-3</v>
      </c>
      <c r="V169" s="230">
        <f>V$167*'BTX recycling rates'!X67</f>
        <v>8.524987428806665E-3</v>
      </c>
      <c r="W169" s="230">
        <f>W$167*'BTX recycling rates'!Y67</f>
        <v>8.0009431200133325E-3</v>
      </c>
      <c r="X169" s="230">
        <f>X$167*'BTX recycling rates'!Z67</f>
        <v>7.6652825067474329E-3</v>
      </c>
      <c r="Y169" s="230">
        <f>Y$167*'BTX recycling rates'!AA67</f>
        <v>7.1670085721755221E-3</v>
      </c>
      <c r="Z169" s="230">
        <f>Z$167*'BTX recycling rates'!AB67</f>
        <v>6.5433930320793086E-3</v>
      </c>
      <c r="AA169" s="230">
        <f>AA$167*'BTX recycling rates'!AC67</f>
        <v>5.7911150299474606E-3</v>
      </c>
      <c r="AB169" s="230">
        <f>AB$167*'BTX recycling rates'!AD67</f>
        <v>4.9320705666601383E-3</v>
      </c>
      <c r="AC169" s="230">
        <f>AC$167*'BTX recycling rates'!AE67</f>
        <v>3.9909345872206148E-3</v>
      </c>
      <c r="AD169" s="230">
        <f>AD$167*'BTX recycling rates'!AF67</f>
        <v>2.9951714772806157E-3</v>
      </c>
      <c r="AE169" s="230">
        <f>AE$167*'BTX recycling rates'!AG67</f>
        <v>1.9752141603480485E-3</v>
      </c>
      <c r="AF169" s="230">
        <f>AF$167*'BTX recycling rates'!AH67</f>
        <v>9.6458212059775668E-4</v>
      </c>
      <c r="AG169" s="230">
        <f>AG$167*'BTX recycling rates'!AI67</f>
        <v>0</v>
      </c>
      <c r="AH169" s="245"/>
      <c r="AI169" s="133"/>
      <c r="AJ169" s="211"/>
      <c r="AL169" s="108"/>
      <c r="AM169" s="2"/>
      <c r="AN169" s="2"/>
      <c r="AO169" s="2"/>
      <c r="BC169" s="1"/>
      <c r="BD169" s="2"/>
      <c r="BE169" s="2"/>
      <c r="BF169" s="2"/>
      <c r="BG169" s="2"/>
      <c r="BH169" s="2"/>
      <c r="BI169" s="2"/>
      <c r="BJ169" s="2"/>
      <c r="BK169" s="2"/>
    </row>
    <row r="170" spans="1:63" outlineLevel="1">
      <c r="A170" s="4" t="s">
        <v>745</v>
      </c>
      <c r="C170" s="230">
        <f>C$167*'BTX recycling rates'!E68</f>
        <v>0</v>
      </c>
      <c r="D170" s="230">
        <f>D$167*'BTX recycling rates'!F68</f>
        <v>1.1184808738890501E-4</v>
      </c>
      <c r="E170" s="230">
        <f>E$167*'BTX recycling rates'!G68</f>
        <v>2.7297916692852625E-4</v>
      </c>
      <c r="F170" s="230">
        <f>F$167*'BTX recycling rates'!H68</f>
        <v>4.8406099175759686E-4</v>
      </c>
      <c r="G170" s="230">
        <f>G$167*'BTX recycling rates'!I68</f>
        <v>7.4472410866102256E-4</v>
      </c>
      <c r="H170" s="230">
        <f>H$167*'BTX recycling rates'!J68</f>
        <v>1.0535128597716147E-3</v>
      </c>
      <c r="I170" s="230">
        <f>I$167*'BTX recycling rates'!K68</f>
        <v>1.4108981935510849E-3</v>
      </c>
      <c r="J170" s="230">
        <f>J$167*'BTX recycling rates'!L68</f>
        <v>1.8157899006234204E-3</v>
      </c>
      <c r="K170" s="230">
        <f>K$167*'BTX recycling rates'!M68</f>
        <v>2.266549405058427E-3</v>
      </c>
      <c r="L170" s="230">
        <f>L$167*'BTX recycling rates'!N68</f>
        <v>2.7609582081406267E-3</v>
      </c>
      <c r="M170" s="230">
        <f>M$167*'BTX recycling rates'!O68</f>
        <v>3.2961877019833902E-3</v>
      </c>
      <c r="N170" s="230">
        <f>N$167*'BTX recycling rates'!P68</f>
        <v>4.1485861465539904E-3</v>
      </c>
      <c r="O170" s="230">
        <f>O$167*'BTX recycling rates'!Q68</f>
        <v>5.0724126735897995E-3</v>
      </c>
      <c r="P170" s="230">
        <f>P$167*'BTX recycling rates'!R68</f>
        <v>6.0674025137418004E-3</v>
      </c>
      <c r="Q170" s="230">
        <f>Q$167*'BTX recycling rates'!S68</f>
        <v>7.1113443778269081E-3</v>
      </c>
      <c r="R170" s="230">
        <f>R$167*'BTX recycling rates'!T68</f>
        <v>8.1885184118675944E-3</v>
      </c>
      <c r="S170" s="230">
        <f>S$167*'BTX recycling rates'!U68</f>
        <v>9.2982990554380564E-3</v>
      </c>
      <c r="T170" s="230">
        <f>T$167*'BTX recycling rates'!V68</f>
        <v>1.0427961164912765E-2</v>
      </c>
      <c r="U170" s="230">
        <f>U$167*'BTX recycling rates'!W68</f>
        <v>1.1563546911268714E-2</v>
      </c>
      <c r="V170" s="230">
        <f>V$167*'BTX recycling rates'!X68</f>
        <v>1.2689825013765496E-2</v>
      </c>
      <c r="W170" s="230">
        <f>W$167*'BTX recycling rates'!Y68</f>
        <v>1.3790250303290473E-2</v>
      </c>
      <c r="X170" s="230">
        <f>X$167*'BTX recycling rates'!Z68</f>
        <v>1.5413665193283983E-2</v>
      </c>
      <c r="Y170" s="230">
        <f>Y$167*'BTX recycling rates'!AA68</f>
        <v>1.6985236102634717E-2</v>
      </c>
      <c r="Z170" s="230">
        <f>Z$167*'BTX recycling rates'!AB68</f>
        <v>1.8528223191122406E-2</v>
      </c>
      <c r="AA170" s="230">
        <f>AA$167*'BTX recycling rates'!AC68</f>
        <v>1.9962878025807033E-2</v>
      </c>
      <c r="AB170" s="230">
        <f>AB$167*'BTX recycling rates'!AD68</f>
        <v>2.1252021982760248E-2</v>
      </c>
      <c r="AC170" s="230">
        <f>AC$167*'BTX recycling rates'!AE68</f>
        <v>2.2355734161331561E-2</v>
      </c>
      <c r="AD170" s="230">
        <f>AD$167*'BTX recycling rates'!AF68</f>
        <v>2.3230853774408877E-2</v>
      </c>
      <c r="AE170" s="230">
        <f>AE$167*'BTX recycling rates'!AG68</f>
        <v>2.3831051021933326E-2</v>
      </c>
      <c r="AF170" s="230">
        <f>AF$167*'BTX recycling rates'!AH68</f>
        <v>2.4106722905429995E-2</v>
      </c>
      <c r="AG170" s="230">
        <f>AG$167*'BTX recycling rates'!AI68</f>
        <v>2.400488905021271E-2</v>
      </c>
      <c r="AH170" s="245"/>
      <c r="AI170" s="133"/>
      <c r="AJ170" s="211"/>
      <c r="AL170" s="108"/>
      <c r="AM170" s="2"/>
      <c r="AN170" s="2"/>
      <c r="AO170" s="2"/>
      <c r="BC170" s="1"/>
      <c r="BD170" s="2"/>
      <c r="BE170" s="2"/>
      <c r="BF170" s="2"/>
      <c r="BG170" s="2"/>
      <c r="BH170" s="2"/>
      <c r="BI170" s="2"/>
      <c r="BJ170" s="2"/>
      <c r="BK170" s="2"/>
    </row>
    <row r="171" spans="1:63" outlineLevel="1">
      <c r="A171" s="4" t="s">
        <v>1561</v>
      </c>
      <c r="C171" s="230">
        <f>C$167*'BTX recycling rates'!E69</f>
        <v>2.073848380292306E-3</v>
      </c>
      <c r="D171" s="230">
        <f>D$167*'BTX recycling rates'!F69</f>
        <v>2.6635739684577886E-3</v>
      </c>
      <c r="E171" s="230">
        <f>E$167*'BTX recycling rates'!G69</f>
        <v>3.2722815186286688E-3</v>
      </c>
      <c r="F171" s="230">
        <f>F$167*'BTX recycling rates'!H69</f>
        <v>3.8942649825245827E-3</v>
      </c>
      <c r="G171" s="230">
        <f>G$167*'BTX recycling rates'!I69</f>
        <v>4.5233316316064323E-3</v>
      </c>
      <c r="H171" s="230">
        <f>H$167*'BTX recycling rates'!J69</f>
        <v>5.1528827358045719E-3</v>
      </c>
      <c r="I171" s="230">
        <f>I$167*'BTX recycling rates'!K69</f>
        <v>5.7884673366968278E-3</v>
      </c>
      <c r="J171" s="230">
        <f>J$167*'BTX recycling rates'!L69</f>
        <v>6.4269810426198079E-3</v>
      </c>
      <c r="K171" s="230">
        <f>K$167*'BTX recycling rates'!M69</f>
        <v>7.0650749188901395E-3</v>
      </c>
      <c r="L171" s="230">
        <f>L$167*'BTX recycling rates'!N69</f>
        <v>7.6991544894650489E-3</v>
      </c>
      <c r="M171" s="230">
        <f>M$167*'BTX recycling rates'!O69</f>
        <v>8.32537976097515E-3</v>
      </c>
      <c r="N171" s="230">
        <f>N$167*'BTX recycling rates'!P69</f>
        <v>9.5862432080505693E-3</v>
      </c>
      <c r="O171" s="230">
        <f>O$167*'BTX recycling rates'!Q69</f>
        <v>1.0811997975344E-2</v>
      </c>
      <c r="P171" s="230">
        <f>P$167*'BTX recycling rates'!R69</f>
        <v>1.2012865403583504E-2</v>
      </c>
      <c r="Q171" s="230">
        <f>Q$167*'BTX recycling rates'!S69</f>
        <v>1.3155534652801372E-2</v>
      </c>
      <c r="R171" s="230">
        <f>R$167*'BTX recycling rates'!T69</f>
        <v>1.4225905424693267E-2</v>
      </c>
      <c r="S171" s="230">
        <f>S$167*'BTX recycling rates'!U69</f>
        <v>1.5237507864798636E-2</v>
      </c>
      <c r="T171" s="230">
        <f>T$167*'BTX recycling rates'!V69</f>
        <v>1.6181889072322889E-2</v>
      </c>
      <c r="U171" s="230">
        <f>U$167*'BTX recycling rates'!W69</f>
        <v>1.7050203485509081E-2</v>
      </c>
      <c r="V171" s="230">
        <f>V$167*'BTX recycling rates'!X69</f>
        <v>1.7833206899164705E-2</v>
      </c>
      <c r="W171" s="230">
        <f>W$167*'BTX recycling rates'!Y69</f>
        <v>1.8521250758301879E-2</v>
      </c>
      <c r="X171" s="230">
        <f>X$167*'BTX recycling rates'!Z69</f>
        <v>1.9833531290734185E-2</v>
      </c>
      <c r="Y171" s="230">
        <f>Y$167*'BTX recycling rates'!AA69</f>
        <v>2.0986126621102975E-2</v>
      </c>
      <c r="Z171" s="230">
        <f>Z$167*'BTX recycling rates'!AB69</f>
        <v>2.2026432524182411E-2</v>
      </c>
      <c r="AA171" s="230">
        <f>AA$167*'BTX recycling rates'!AC69</f>
        <v>2.2876524182906977E-2</v>
      </c>
      <c r="AB171" s="230">
        <f>AB$167*'BTX recycling rates'!AD69</f>
        <v>2.351600316077037E-2</v>
      </c>
      <c r="AC171" s="230">
        <f>AC$167*'BTX recycling rates'!AE69</f>
        <v>2.392375730201534E-2</v>
      </c>
      <c r="AD171" s="230">
        <f>AD$167*'BTX recycling rates'!AF69</f>
        <v>2.4077495712895414E-2</v>
      </c>
      <c r="AE171" s="230">
        <f>AE$167*'BTX recycling rates'!AG69</f>
        <v>2.3953937703410158E-2</v>
      </c>
      <c r="AF171" s="230">
        <f>AF$167*'BTX recycling rates'!AH69</f>
        <v>2.3528794127167508E-2</v>
      </c>
      <c r="AG171" s="230">
        <f>AG$167*'BTX recycling rates'!AI69</f>
        <v>2.2776749118768976E-2</v>
      </c>
      <c r="AH171" s="245"/>
      <c r="AI171" s="133"/>
      <c r="AJ171" s="211"/>
      <c r="AL171" s="108"/>
      <c r="AM171" s="2"/>
      <c r="AN171" s="2"/>
      <c r="AO171" s="2"/>
      <c r="BC171" s="1"/>
      <c r="BD171" s="2"/>
      <c r="BE171" s="2"/>
      <c r="BF171" s="2"/>
      <c r="BG171" s="2"/>
      <c r="BH171" s="2"/>
      <c r="BI171" s="2"/>
      <c r="BJ171" s="2"/>
      <c r="BK171" s="2"/>
    </row>
    <row r="172" spans="1:63" s="1" customFormat="1" outlineLevel="1">
      <c r="A172" s="1" t="s">
        <v>1579</v>
      </c>
      <c r="B172" s="65"/>
      <c r="C172" s="300">
        <f t="shared" ref="C172:AG172" si="79">C167-$C167</f>
        <v>0</v>
      </c>
      <c r="D172" s="300">
        <f t="shared" si="79"/>
        <v>1.4132867079701891E-3</v>
      </c>
      <c r="E172" s="300">
        <f t="shared" si="79"/>
        <v>2.8539551704593802E-3</v>
      </c>
      <c r="F172" s="300">
        <f t="shared" si="79"/>
        <v>4.3076370593622794E-3</v>
      </c>
      <c r="G172" s="300">
        <f t="shared" si="79"/>
        <v>5.7591722715901487E-3</v>
      </c>
      <c r="H172" s="300">
        <f t="shared" si="79"/>
        <v>7.1928277656026817E-3</v>
      </c>
      <c r="I172" s="300">
        <f t="shared" si="79"/>
        <v>8.6221324116223137E-3</v>
      </c>
      <c r="J172" s="300">
        <f t="shared" si="79"/>
        <v>1.003984525288195E-2</v>
      </c>
      <c r="K172" s="300">
        <f t="shared" si="79"/>
        <v>1.1438338270231867E-2</v>
      </c>
      <c r="L172" s="300">
        <f t="shared" si="79"/>
        <v>1.2809606423530247E-2</v>
      </c>
      <c r="M172" s="300">
        <f t="shared" si="79"/>
        <v>1.4145279677018403E-2</v>
      </c>
      <c r="N172" s="300">
        <f t="shared" si="79"/>
        <v>1.6923860193083333E-2</v>
      </c>
      <c r="O172" s="300">
        <f t="shared" si="79"/>
        <v>1.9587348346535013E-2</v>
      </c>
      <c r="P172" s="300">
        <f t="shared" si="79"/>
        <v>2.2161113161325494E-2</v>
      </c>
      <c r="Q172" s="300">
        <f t="shared" si="79"/>
        <v>2.4571624918470474E-2</v>
      </c>
      <c r="R172" s="300">
        <f t="shared" si="79"/>
        <v>2.6790263334282024E-2</v>
      </c>
      <c r="S172" s="300">
        <f t="shared" si="79"/>
        <v>2.8850718817980948E-2</v>
      </c>
      <c r="T172" s="300">
        <f t="shared" si="79"/>
        <v>3.0737142635528594E-2</v>
      </c>
      <c r="U172" s="300">
        <f t="shared" si="79"/>
        <v>3.243320415369657E-2</v>
      </c>
      <c r="V172" s="300">
        <f t="shared" si="79"/>
        <v>3.3922092213089845E-2</v>
      </c>
      <c r="W172" s="300">
        <f t="shared" si="79"/>
        <v>3.5186517052958666E-2</v>
      </c>
      <c r="X172" s="300">
        <f t="shared" si="79"/>
        <v>3.7786551862118579E-2</v>
      </c>
      <c r="Y172" s="300">
        <f t="shared" si="79"/>
        <v>4.0012444167266195E-2</v>
      </c>
      <c r="Z172" s="300">
        <f t="shared" si="79"/>
        <v>4.1972121618737104E-2</v>
      </c>
      <c r="AA172" s="300">
        <f t="shared" si="79"/>
        <v>4.3504590110014452E-2</v>
      </c>
      <c r="AB172" s="300">
        <f t="shared" si="79"/>
        <v>4.4574168581543734E-2</v>
      </c>
      <c r="AC172" s="300">
        <f t="shared" si="79"/>
        <v>4.5144498921920496E-2</v>
      </c>
      <c r="AD172" s="300">
        <f t="shared" si="79"/>
        <v>4.5177593835937883E-2</v>
      </c>
      <c r="AE172" s="300">
        <f t="shared" si="79"/>
        <v>4.4634275757044511E-2</v>
      </c>
      <c r="AF172" s="300">
        <f t="shared" si="79"/>
        <v>4.3474172024548237E-2</v>
      </c>
      <c r="AG172" s="300">
        <f t="shared" si="79"/>
        <v>4.1655711040334671E-2</v>
      </c>
      <c r="AH172" s="245"/>
      <c r="AI172" s="423"/>
      <c r="AJ172" s="424"/>
      <c r="AL172" s="221"/>
      <c r="AM172" s="124"/>
      <c r="AN172" s="124"/>
      <c r="AO172" s="124"/>
      <c r="BD172" s="124"/>
      <c r="BE172" s="124"/>
      <c r="BF172" s="124"/>
      <c r="BG172" s="124"/>
      <c r="BH172" s="124"/>
      <c r="BI172" s="124"/>
      <c r="BJ172" s="124"/>
      <c r="BK172" s="124"/>
    </row>
    <row r="173" spans="1:63" outlineLevel="1">
      <c r="A173" s="4" t="s">
        <v>474</v>
      </c>
      <c r="C173" s="230">
        <f t="shared" ref="C173:R176" si="80">C168-$C168</f>
        <v>0</v>
      </c>
      <c r="D173" s="230">
        <f t="shared" ref="D173:AG173" si="81">D168-$C168</f>
        <v>0</v>
      </c>
      <c r="E173" s="230">
        <f t="shared" si="81"/>
        <v>0</v>
      </c>
      <c r="F173" s="230">
        <f t="shared" si="81"/>
        <v>0</v>
      </c>
      <c r="G173" s="230">
        <f t="shared" si="81"/>
        <v>0</v>
      </c>
      <c r="H173" s="230">
        <f t="shared" si="81"/>
        <v>0</v>
      </c>
      <c r="I173" s="230">
        <f t="shared" si="81"/>
        <v>0</v>
      </c>
      <c r="J173" s="230">
        <f t="shared" si="81"/>
        <v>0</v>
      </c>
      <c r="K173" s="230">
        <f t="shared" si="81"/>
        <v>0</v>
      </c>
      <c r="L173" s="230">
        <f t="shared" si="81"/>
        <v>0</v>
      </c>
      <c r="M173" s="230">
        <f t="shared" si="81"/>
        <v>0</v>
      </c>
      <c r="N173" s="230">
        <f t="shared" si="81"/>
        <v>0</v>
      </c>
      <c r="O173" s="230">
        <f t="shared" si="81"/>
        <v>0</v>
      </c>
      <c r="P173" s="230">
        <f t="shared" si="81"/>
        <v>0</v>
      </c>
      <c r="Q173" s="230">
        <f t="shared" si="81"/>
        <v>0</v>
      </c>
      <c r="R173" s="230">
        <f t="shared" si="81"/>
        <v>0</v>
      </c>
      <c r="S173" s="230">
        <f t="shared" si="81"/>
        <v>0</v>
      </c>
      <c r="T173" s="230">
        <f t="shared" si="81"/>
        <v>0</v>
      </c>
      <c r="U173" s="230">
        <f t="shared" si="81"/>
        <v>0</v>
      </c>
      <c r="V173" s="230">
        <f t="shared" si="81"/>
        <v>0</v>
      </c>
      <c r="W173" s="230">
        <f t="shared" si="81"/>
        <v>0</v>
      </c>
      <c r="X173" s="230">
        <f t="shared" si="81"/>
        <v>0</v>
      </c>
      <c r="Y173" s="230">
        <f t="shared" si="81"/>
        <v>0</v>
      </c>
      <c r="Z173" s="230">
        <f t="shared" si="81"/>
        <v>0</v>
      </c>
      <c r="AA173" s="230">
        <f t="shared" si="81"/>
        <v>0</v>
      </c>
      <c r="AB173" s="230">
        <f t="shared" si="81"/>
        <v>0</v>
      </c>
      <c r="AC173" s="230">
        <f t="shared" si="81"/>
        <v>0</v>
      </c>
      <c r="AD173" s="230">
        <f t="shared" si="81"/>
        <v>0</v>
      </c>
      <c r="AE173" s="230">
        <f t="shared" si="81"/>
        <v>0</v>
      </c>
      <c r="AF173" s="230">
        <f t="shared" si="81"/>
        <v>0</v>
      </c>
      <c r="AG173" s="230">
        <f t="shared" si="81"/>
        <v>0</v>
      </c>
      <c r="AH173" s="245"/>
      <c r="AI173" s="133"/>
      <c r="AJ173" s="211"/>
      <c r="AL173" s="108"/>
      <c r="AM173" s="2"/>
      <c r="AN173" s="2"/>
      <c r="AO173" s="2"/>
      <c r="BC173" s="1"/>
      <c r="BD173" s="2"/>
      <c r="BE173" s="2"/>
      <c r="BF173" s="2"/>
      <c r="BG173" s="2"/>
      <c r="BH173" s="2"/>
      <c r="BI173" s="2"/>
      <c r="BJ173" s="2"/>
      <c r="BK173" s="2"/>
    </row>
    <row r="174" spans="1:63" outlineLevel="1">
      <c r="A174" s="4" t="s">
        <v>478</v>
      </c>
      <c r="C174" s="230">
        <f t="shared" si="80"/>
        <v>0</v>
      </c>
      <c r="D174" s="230">
        <f t="shared" si="80"/>
        <v>7.1171303241580148E-4</v>
      </c>
      <c r="E174" s="230">
        <f t="shared" si="80"/>
        <v>1.3825428651944908E-3</v>
      </c>
      <c r="F174" s="230">
        <f t="shared" si="80"/>
        <v>2.003159465372406E-3</v>
      </c>
      <c r="G174" s="230">
        <f t="shared" si="80"/>
        <v>2.5649649116149995E-3</v>
      </c>
      <c r="H174" s="230">
        <f t="shared" si="80"/>
        <v>3.0602805503188008E-3</v>
      </c>
      <c r="I174" s="230">
        <f t="shared" si="80"/>
        <v>3.4966152616667085E-3</v>
      </c>
      <c r="J174" s="230">
        <f t="shared" si="80"/>
        <v>3.8709226899310283E-3</v>
      </c>
      <c r="K174" s="230">
        <f t="shared" si="80"/>
        <v>4.1805623265756073E-3</v>
      </c>
      <c r="L174" s="230">
        <f t="shared" si="80"/>
        <v>4.4233421062168776E-3</v>
      </c>
      <c r="M174" s="230">
        <f t="shared" si="80"/>
        <v>4.5975605943521687E-3</v>
      </c>
      <c r="N174" s="230">
        <f t="shared" si="80"/>
        <v>5.2628792187710809E-3</v>
      </c>
      <c r="O174" s="230">
        <f t="shared" si="80"/>
        <v>5.7767860778935205E-3</v>
      </c>
      <c r="P174" s="230">
        <f t="shared" si="80"/>
        <v>6.1546936242924972E-3</v>
      </c>
      <c r="Q174" s="230">
        <f t="shared" si="80"/>
        <v>6.3785942681345003E-3</v>
      </c>
      <c r="R174" s="230">
        <f t="shared" si="80"/>
        <v>6.44968787801347E-3</v>
      </c>
      <c r="S174" s="230">
        <f t="shared" ref="S174:AG176" si="82">S169-$C169</f>
        <v>6.3887602780365628E-3</v>
      </c>
      <c r="T174" s="230">
        <f t="shared" si="82"/>
        <v>6.2011407785852457E-3</v>
      </c>
      <c r="U174" s="230">
        <f t="shared" si="82"/>
        <v>5.8933021372110789E-3</v>
      </c>
      <c r="V174" s="230">
        <f t="shared" si="82"/>
        <v>5.4729086804519503E-3</v>
      </c>
      <c r="W174" s="230">
        <f t="shared" si="82"/>
        <v>4.9488643716586178E-3</v>
      </c>
      <c r="X174" s="230">
        <f t="shared" si="82"/>
        <v>4.6132037583927182E-3</v>
      </c>
      <c r="Y174" s="230">
        <f t="shared" si="82"/>
        <v>4.1149298238208065E-3</v>
      </c>
      <c r="Z174" s="230">
        <f t="shared" si="82"/>
        <v>3.4913142837245934E-3</v>
      </c>
      <c r="AA174" s="230">
        <f t="shared" si="82"/>
        <v>2.7390362815927455E-3</v>
      </c>
      <c r="AB174" s="230">
        <f t="shared" si="82"/>
        <v>1.8799918183054231E-3</v>
      </c>
      <c r="AC174" s="230">
        <f t="shared" si="82"/>
        <v>9.3885583886589965E-4</v>
      </c>
      <c r="AD174" s="230">
        <f t="shared" si="82"/>
        <v>-5.6907271074099503E-5</v>
      </c>
      <c r="AE174" s="230">
        <f t="shared" si="82"/>
        <v>-1.0768645880066667E-3</v>
      </c>
      <c r="AF174" s="230">
        <f t="shared" si="82"/>
        <v>-2.0874966277569587E-3</v>
      </c>
      <c r="AG174" s="230">
        <f t="shared" si="82"/>
        <v>-3.0520787483547152E-3</v>
      </c>
      <c r="AH174" s="245"/>
      <c r="AI174" s="133"/>
      <c r="AJ174" s="211"/>
      <c r="AL174" s="108"/>
      <c r="AM174" s="2"/>
      <c r="AN174" s="2"/>
      <c r="AO174" s="2"/>
      <c r="BC174" s="1"/>
      <c r="BD174" s="2"/>
      <c r="BE174" s="2"/>
      <c r="BF174" s="2"/>
      <c r="BG174" s="2"/>
      <c r="BH174" s="2"/>
      <c r="BI174" s="2"/>
      <c r="BJ174" s="2"/>
      <c r="BK174" s="2"/>
    </row>
    <row r="175" spans="1:63" outlineLevel="1">
      <c r="A175" s="4" t="s">
        <v>745</v>
      </c>
      <c r="C175" s="230">
        <f t="shared" si="80"/>
        <v>0</v>
      </c>
      <c r="D175" s="230">
        <f t="shared" si="80"/>
        <v>1.1184808738890501E-4</v>
      </c>
      <c r="E175" s="230">
        <f t="shared" si="80"/>
        <v>2.7297916692852625E-4</v>
      </c>
      <c r="F175" s="230">
        <f t="shared" si="80"/>
        <v>4.8406099175759686E-4</v>
      </c>
      <c r="G175" s="230">
        <f t="shared" si="80"/>
        <v>7.4472410866102256E-4</v>
      </c>
      <c r="H175" s="230">
        <f t="shared" si="80"/>
        <v>1.0535128597716147E-3</v>
      </c>
      <c r="I175" s="230">
        <f t="shared" si="80"/>
        <v>1.4108981935510849E-3</v>
      </c>
      <c r="J175" s="230">
        <f t="shared" si="80"/>
        <v>1.8157899006234204E-3</v>
      </c>
      <c r="K175" s="230">
        <f t="shared" si="80"/>
        <v>2.266549405058427E-3</v>
      </c>
      <c r="L175" s="230">
        <f t="shared" si="80"/>
        <v>2.7609582081406267E-3</v>
      </c>
      <c r="M175" s="230">
        <f t="shared" si="80"/>
        <v>3.2961877019833902E-3</v>
      </c>
      <c r="N175" s="230">
        <f t="shared" si="80"/>
        <v>4.1485861465539904E-3</v>
      </c>
      <c r="O175" s="230">
        <f t="shared" si="80"/>
        <v>5.0724126735897995E-3</v>
      </c>
      <c r="P175" s="230">
        <f t="shared" si="80"/>
        <v>6.0674025137418004E-3</v>
      </c>
      <c r="Q175" s="230">
        <f t="shared" si="80"/>
        <v>7.1113443778269081E-3</v>
      </c>
      <c r="R175" s="230">
        <f t="shared" si="80"/>
        <v>8.1885184118675944E-3</v>
      </c>
      <c r="S175" s="230">
        <f t="shared" si="82"/>
        <v>9.2982990554380564E-3</v>
      </c>
      <c r="T175" s="230">
        <f t="shared" si="82"/>
        <v>1.0427961164912765E-2</v>
      </c>
      <c r="U175" s="230">
        <f t="shared" si="82"/>
        <v>1.1563546911268714E-2</v>
      </c>
      <c r="V175" s="230">
        <f t="shared" si="82"/>
        <v>1.2689825013765496E-2</v>
      </c>
      <c r="W175" s="230">
        <f t="shared" si="82"/>
        <v>1.3790250303290473E-2</v>
      </c>
      <c r="X175" s="230">
        <f t="shared" si="82"/>
        <v>1.5413665193283983E-2</v>
      </c>
      <c r="Y175" s="230">
        <f t="shared" si="82"/>
        <v>1.6985236102634717E-2</v>
      </c>
      <c r="Z175" s="230">
        <f t="shared" si="82"/>
        <v>1.8528223191122406E-2</v>
      </c>
      <c r="AA175" s="230">
        <f t="shared" si="82"/>
        <v>1.9962878025807033E-2</v>
      </c>
      <c r="AB175" s="230">
        <f t="shared" si="82"/>
        <v>2.1252021982760248E-2</v>
      </c>
      <c r="AC175" s="230">
        <f t="shared" si="82"/>
        <v>2.2355734161331561E-2</v>
      </c>
      <c r="AD175" s="230">
        <f t="shared" si="82"/>
        <v>2.3230853774408877E-2</v>
      </c>
      <c r="AE175" s="230">
        <f t="shared" si="82"/>
        <v>2.3831051021933326E-2</v>
      </c>
      <c r="AF175" s="230">
        <f t="shared" si="82"/>
        <v>2.4106722905429995E-2</v>
      </c>
      <c r="AG175" s="230">
        <f t="shared" si="82"/>
        <v>2.400488905021271E-2</v>
      </c>
      <c r="AH175" s="245"/>
      <c r="AI175" s="133"/>
      <c r="AJ175" s="211"/>
      <c r="AL175" s="108"/>
      <c r="AM175" s="2"/>
      <c r="AN175" s="2"/>
      <c r="AO175" s="2"/>
      <c r="BC175" s="1"/>
      <c r="BD175" s="2"/>
      <c r="BE175" s="2"/>
      <c r="BF175" s="2"/>
      <c r="BG175" s="2"/>
      <c r="BH175" s="2"/>
      <c r="BI175" s="2"/>
      <c r="BJ175" s="2"/>
      <c r="BK175" s="2"/>
    </row>
    <row r="176" spans="1:63" outlineLevel="1">
      <c r="A176" s="4" t="s">
        <v>1561</v>
      </c>
      <c r="C176" s="230">
        <f t="shared" si="80"/>
        <v>0</v>
      </c>
      <c r="D176" s="230">
        <f t="shared" si="80"/>
        <v>5.8972558816548261E-4</v>
      </c>
      <c r="E176" s="230">
        <f t="shared" si="80"/>
        <v>1.1984331383363628E-3</v>
      </c>
      <c r="F176" s="230">
        <f t="shared" si="80"/>
        <v>1.8204166022322767E-3</v>
      </c>
      <c r="G176" s="230">
        <f t="shared" si="80"/>
        <v>2.4494832513141263E-3</v>
      </c>
      <c r="H176" s="230">
        <f t="shared" si="80"/>
        <v>3.0790343555122659E-3</v>
      </c>
      <c r="I176" s="230">
        <f t="shared" si="80"/>
        <v>3.7146189564045218E-3</v>
      </c>
      <c r="J176" s="230">
        <f t="shared" si="80"/>
        <v>4.3531326623275019E-3</v>
      </c>
      <c r="K176" s="230">
        <f t="shared" si="80"/>
        <v>4.9912265385978335E-3</v>
      </c>
      <c r="L176" s="230">
        <f t="shared" si="80"/>
        <v>5.625306109172743E-3</v>
      </c>
      <c r="M176" s="230">
        <f t="shared" si="80"/>
        <v>6.251531380682844E-3</v>
      </c>
      <c r="N176" s="230">
        <f t="shared" si="80"/>
        <v>7.5123948277582633E-3</v>
      </c>
      <c r="O176" s="230">
        <f t="shared" si="80"/>
        <v>8.7381495950516943E-3</v>
      </c>
      <c r="P176" s="230">
        <f t="shared" si="80"/>
        <v>9.9390170232911985E-3</v>
      </c>
      <c r="Q176" s="230">
        <f t="shared" si="80"/>
        <v>1.1081686272509066E-2</v>
      </c>
      <c r="R176" s="230">
        <f t="shared" si="80"/>
        <v>1.2152057044400961E-2</v>
      </c>
      <c r="S176" s="230">
        <f t="shared" si="82"/>
        <v>1.316365948450633E-2</v>
      </c>
      <c r="T176" s="230">
        <f t="shared" si="82"/>
        <v>1.4108040692030583E-2</v>
      </c>
      <c r="U176" s="230">
        <f t="shared" si="82"/>
        <v>1.4976355105216775E-2</v>
      </c>
      <c r="V176" s="230">
        <f t="shared" si="82"/>
        <v>1.5759358518872398E-2</v>
      </c>
      <c r="W176" s="230">
        <f t="shared" si="82"/>
        <v>1.6447402378009575E-2</v>
      </c>
      <c r="X176" s="230">
        <f t="shared" si="82"/>
        <v>1.775968291044188E-2</v>
      </c>
      <c r="Y176" s="230">
        <f t="shared" si="82"/>
        <v>1.8912278240810668E-2</v>
      </c>
      <c r="Z176" s="230">
        <f t="shared" si="82"/>
        <v>1.9952584143890104E-2</v>
      </c>
      <c r="AA176" s="230">
        <f t="shared" si="82"/>
        <v>2.0802675802614669E-2</v>
      </c>
      <c r="AB176" s="230">
        <f t="shared" si="82"/>
        <v>2.1442154780478062E-2</v>
      </c>
      <c r="AC176" s="230">
        <f t="shared" si="82"/>
        <v>2.1849908921723032E-2</v>
      </c>
      <c r="AD176" s="230">
        <f t="shared" si="82"/>
        <v>2.2003647332603106E-2</v>
      </c>
      <c r="AE176" s="230">
        <f t="shared" si="82"/>
        <v>2.188008932311785E-2</v>
      </c>
      <c r="AF176" s="230">
        <f t="shared" si="82"/>
        <v>2.1454945746875204E-2</v>
      </c>
      <c r="AG176" s="230">
        <f t="shared" si="82"/>
        <v>2.0702900738476672E-2</v>
      </c>
      <c r="AH176" s="245"/>
      <c r="AI176" s="133"/>
      <c r="AJ176" s="211"/>
      <c r="AL176" s="108"/>
      <c r="AM176" s="2"/>
      <c r="AN176" s="2"/>
      <c r="AO176" s="2"/>
      <c r="BC176" s="1"/>
      <c r="BD176" s="2"/>
      <c r="BE176" s="2"/>
      <c r="BF176" s="2"/>
      <c r="BG176" s="2"/>
      <c r="BH176" s="2"/>
      <c r="BI176" s="2"/>
      <c r="BJ176" s="2"/>
      <c r="BK176" s="2"/>
    </row>
    <row r="177" spans="1:63" s="1" customFormat="1" outlineLevel="1">
      <c r="A177" s="1" t="s">
        <v>1567</v>
      </c>
      <c r="B177" s="65"/>
      <c r="C177" s="300">
        <f>'BTX Recycling HC'!C177</f>
        <v>1.5377781385941062E-2</v>
      </c>
      <c r="D177" s="300">
        <f>'BTX Recycling HC'!D177</f>
        <v>1.9617641509851635E-2</v>
      </c>
      <c r="E177" s="300">
        <f>'BTX Recycling HC'!E177</f>
        <v>2.3939646897319204E-2</v>
      </c>
      <c r="F177" s="300">
        <f>'BTX Recycling HC'!F177</f>
        <v>2.8300692564027907E-2</v>
      </c>
      <c r="G177" s="300">
        <f>'BTX Recycling HC'!G177</f>
        <v>3.2655298200711509E-2</v>
      </c>
      <c r="H177" s="300">
        <f>'BTX Recycling HC'!H177</f>
        <v>3.695626468274911E-2</v>
      </c>
      <c r="I177" s="300">
        <f>'BTX Recycling HC'!I177</f>
        <v>4.1244178620808016E-2</v>
      </c>
      <c r="J177" s="300">
        <f>'BTX Recycling HC'!J177</f>
        <v>4.5497317144586921E-2</v>
      </c>
      <c r="K177" s="300">
        <f>'BTX Recycling HC'!K177</f>
        <v>4.9692796196636663E-2</v>
      </c>
      <c r="L177" s="300">
        <f>'BTX Recycling HC'!L177</f>
        <v>5.3806600656531797E-2</v>
      </c>
      <c r="M177" s="300">
        <f>'BTX Recycling HC'!M177</f>
        <v>5.7813620416996281E-2</v>
      </c>
      <c r="N177" s="300">
        <f>'BTX Recycling HC'!N177</f>
        <v>6.614936196519107E-2</v>
      </c>
      <c r="O177" s="300">
        <f>'BTX Recycling HC'!O177</f>
        <v>7.4139826425546104E-2</v>
      </c>
      <c r="P177" s="300">
        <f>'BTX Recycling HC'!P177</f>
        <v>8.186112086991755E-2</v>
      </c>
      <c r="Q177" s="300">
        <f>'BTX Recycling HC'!Q177</f>
        <v>8.9092656141352491E-2</v>
      </c>
      <c r="R177" s="300">
        <f>'BTX Recycling HC'!R177</f>
        <v>9.5748571388787146E-2</v>
      </c>
      <c r="S177" s="300">
        <f>'BTX Recycling HC'!S177</f>
        <v>0.1019299378398839</v>
      </c>
      <c r="T177" s="300">
        <f>'BTX Recycling HC'!T177</f>
        <v>0.10758920929252684</v>
      </c>
      <c r="U177" s="300">
        <f>'BTX Recycling HC'!U177</f>
        <v>0.11267739384703075</v>
      </c>
      <c r="V177" s="300">
        <f>'BTX Recycling HC'!V177</f>
        <v>0.11714405802521058</v>
      </c>
      <c r="W177" s="300">
        <f>'BTX Recycling HC'!W177</f>
        <v>0.12093733254481705</v>
      </c>
      <c r="X177" s="300">
        <f>'BTX Recycling HC'!X177</f>
        <v>0.12873743697229681</v>
      </c>
      <c r="Y177" s="300">
        <f>'BTX Recycling HC'!Y177</f>
        <v>0.13541511388773966</v>
      </c>
      <c r="Z177" s="300">
        <f>'BTX Recycling HC'!Z177</f>
        <v>0.14129414624215236</v>
      </c>
      <c r="AA177" s="300">
        <f>'BTX Recycling HC'!AA177</f>
        <v>0.14589155171598442</v>
      </c>
      <c r="AB177" s="300">
        <f>'BTX Recycling HC'!AB177</f>
        <v>0.14910028713057227</v>
      </c>
      <c r="AC177" s="300">
        <f>'BTX Recycling HC'!AC177</f>
        <v>0.15081127815170256</v>
      </c>
      <c r="AD177" s="300">
        <f>'BTX Recycling HC'!AD177</f>
        <v>0.15091056289375468</v>
      </c>
      <c r="AE177" s="300">
        <f>'BTX Recycling HC'!AE177</f>
        <v>0.14928060865707463</v>
      </c>
      <c r="AF177" s="300">
        <f>'BTX Recycling HC'!AF177</f>
        <v>0.14580029745958578</v>
      </c>
      <c r="AG177" s="300">
        <f>'BTX Recycling HC'!AG177</f>
        <v>0.14034491450694508</v>
      </c>
      <c r="AH177" s="245"/>
      <c r="AI177" s="423"/>
      <c r="AJ177" s="424"/>
      <c r="AL177" s="221"/>
      <c r="AM177" s="124"/>
      <c r="AN177" s="124"/>
      <c r="AO177" s="124"/>
      <c r="BD177" s="124"/>
      <c r="BE177" s="124"/>
      <c r="BF177" s="124"/>
      <c r="BG177" s="124"/>
      <c r="BH177" s="124"/>
      <c r="BI177" s="124"/>
      <c r="BJ177" s="124"/>
      <c r="BK177" s="124"/>
    </row>
    <row r="178" spans="1:63" outlineLevel="1">
      <c r="A178" s="4" t="s">
        <v>474</v>
      </c>
      <c r="C178" s="230">
        <f>C$177*'BTX recycling rates'!E70</f>
        <v>0</v>
      </c>
      <c r="D178" s="230">
        <f>D$177*'BTX recycling rates'!F70</f>
        <v>0</v>
      </c>
      <c r="E178" s="230">
        <f>E$177*'BTX recycling rates'!G70</f>
        <v>0</v>
      </c>
      <c r="F178" s="230">
        <f>F$177*'BTX recycling rates'!H70</f>
        <v>0</v>
      </c>
      <c r="G178" s="230">
        <f>G$177*'BTX recycling rates'!I70</f>
        <v>0</v>
      </c>
      <c r="H178" s="230">
        <f>H$177*'BTX recycling rates'!J70</f>
        <v>0</v>
      </c>
      <c r="I178" s="230">
        <f>I$177*'BTX recycling rates'!K70</f>
        <v>0</v>
      </c>
      <c r="J178" s="230">
        <f>J$177*'BTX recycling rates'!L70</f>
        <v>0</v>
      </c>
      <c r="K178" s="230">
        <f>K$177*'BTX recycling rates'!M70</f>
        <v>0</v>
      </c>
      <c r="L178" s="230">
        <f>L$177*'BTX recycling rates'!N70</f>
        <v>0</v>
      </c>
      <c r="M178" s="230">
        <f>M$177*'BTX recycling rates'!O70</f>
        <v>0</v>
      </c>
      <c r="N178" s="230">
        <f>N$177*'BTX recycling rates'!P70</f>
        <v>0</v>
      </c>
      <c r="O178" s="230">
        <f>O$177*'BTX recycling rates'!Q70</f>
        <v>0</v>
      </c>
      <c r="P178" s="230">
        <f>P$177*'BTX recycling rates'!R70</f>
        <v>0</v>
      </c>
      <c r="Q178" s="230">
        <f>Q$177*'BTX recycling rates'!S70</f>
        <v>0</v>
      </c>
      <c r="R178" s="230">
        <f>R$177*'BTX recycling rates'!T70</f>
        <v>0</v>
      </c>
      <c r="S178" s="230">
        <f>S$177*'BTX recycling rates'!U70</f>
        <v>0</v>
      </c>
      <c r="T178" s="230">
        <f>T$177*'BTX recycling rates'!V70</f>
        <v>0</v>
      </c>
      <c r="U178" s="230">
        <f>U$177*'BTX recycling rates'!W70</f>
        <v>0</v>
      </c>
      <c r="V178" s="230">
        <f>V$177*'BTX recycling rates'!X70</f>
        <v>0</v>
      </c>
      <c r="W178" s="230">
        <f>W$177*'BTX recycling rates'!Y70</f>
        <v>0</v>
      </c>
      <c r="X178" s="230">
        <f>X$177*'BTX recycling rates'!Z70</f>
        <v>0</v>
      </c>
      <c r="Y178" s="230">
        <f>Y$177*'BTX recycling rates'!AA70</f>
        <v>0</v>
      </c>
      <c r="Z178" s="230">
        <f>Z$177*'BTX recycling rates'!AB70</f>
        <v>0</v>
      </c>
      <c r="AA178" s="230">
        <f>AA$177*'BTX recycling rates'!AC70</f>
        <v>0</v>
      </c>
      <c r="AB178" s="230">
        <f>AB$177*'BTX recycling rates'!AD70</f>
        <v>0</v>
      </c>
      <c r="AC178" s="230">
        <f>AC$177*'BTX recycling rates'!AE70</f>
        <v>0</v>
      </c>
      <c r="AD178" s="230">
        <f>AD$177*'BTX recycling rates'!AF70</f>
        <v>0</v>
      </c>
      <c r="AE178" s="230">
        <f>AE$177*'BTX recycling rates'!AG70</f>
        <v>0</v>
      </c>
      <c r="AF178" s="230">
        <f>AF$177*'BTX recycling rates'!AH70</f>
        <v>0</v>
      </c>
      <c r="AG178" s="230">
        <f>AG$177*'BTX recycling rates'!AI70</f>
        <v>0</v>
      </c>
      <c r="AH178" s="245"/>
      <c r="AI178" s="133"/>
      <c r="AJ178" s="211"/>
      <c r="AL178" s="108"/>
      <c r="AM178" s="2"/>
      <c r="AN178" s="2"/>
      <c r="AO178" s="2"/>
      <c r="BC178" s="1"/>
      <c r="BD178" s="2"/>
      <c r="BE178" s="2"/>
      <c r="BF178" s="2"/>
      <c r="BG178" s="2"/>
      <c r="BH178" s="2"/>
      <c r="BI178" s="2"/>
      <c r="BJ178" s="2"/>
      <c r="BK178" s="2"/>
    </row>
    <row r="179" spans="1:63" outlineLevel="1">
      <c r="A179" s="4" t="s">
        <v>478</v>
      </c>
      <c r="C179" s="230">
        <f>C$177*'BTX recycling rates'!E71</f>
        <v>9.1562362450641442E-3</v>
      </c>
      <c r="D179" s="230">
        <f>D$177*'BTX recycling rates'!F71</f>
        <v>1.1291375342311552E-2</v>
      </c>
      <c r="E179" s="230">
        <f>E$177*'BTX recycling rates'!G71</f>
        <v>1.3303864840647618E-2</v>
      </c>
      <c r="F179" s="230">
        <f>F$177*'BTX recycling rates'!H71</f>
        <v>1.5165714641181365E-2</v>
      </c>
      <c r="G179" s="230">
        <f>G$177*'BTX recycling rates'!I71</f>
        <v>1.6851130979909142E-2</v>
      </c>
      <c r="H179" s="230">
        <f>H$177*'BTX recycling rates'!J71</f>
        <v>1.833707789602055E-2</v>
      </c>
      <c r="I179" s="230">
        <f>I$177*'BTX recycling rates'!K71</f>
        <v>1.9646082030064273E-2</v>
      </c>
      <c r="J179" s="230">
        <f>J$177*'BTX recycling rates'!L71</f>
        <v>2.0769004314857231E-2</v>
      </c>
      <c r="K179" s="230">
        <f>K$177*'BTX recycling rates'!M71</f>
        <v>2.1697923224790965E-2</v>
      </c>
      <c r="L179" s="230">
        <f>L$177*'BTX recycling rates'!N71</f>
        <v>2.2426262563714775E-2</v>
      </c>
      <c r="M179" s="230">
        <f>M$177*'BTX recycling rates'!O71</f>
        <v>2.2948918028120654E-2</v>
      </c>
      <c r="N179" s="230">
        <f>N$177*'BTX recycling rates'!P71</f>
        <v>2.4944873901377389E-2</v>
      </c>
      <c r="O179" s="230">
        <f>O$177*'BTX recycling rates'!Q71</f>
        <v>2.6486594478744706E-2</v>
      </c>
      <c r="P179" s="230">
        <f>P$177*'BTX recycling rates'!R71</f>
        <v>2.7620317117941634E-2</v>
      </c>
      <c r="Q179" s="230">
        <f>Q$177*'BTX recycling rates'!S71</f>
        <v>2.8292019049467647E-2</v>
      </c>
      <c r="R179" s="230">
        <f>R$177*'BTX recycling rates'!T71</f>
        <v>2.8505299879104554E-2</v>
      </c>
      <c r="S179" s="230">
        <f>S$177*'BTX recycling rates'!U71</f>
        <v>2.8322517079173829E-2</v>
      </c>
      <c r="T179" s="230">
        <f>T$177*'BTX recycling rates'!V71</f>
        <v>2.7759658580819881E-2</v>
      </c>
      <c r="U179" s="230">
        <f>U$177*'BTX recycling rates'!W71</f>
        <v>2.6836142656697377E-2</v>
      </c>
      <c r="V179" s="230">
        <f>V$177*'BTX recycling rates'!X71</f>
        <v>2.5574962286419995E-2</v>
      </c>
      <c r="W179" s="230">
        <f>W$177*'BTX recycling rates'!Y71</f>
        <v>2.4002829360039998E-2</v>
      </c>
      <c r="X179" s="230">
        <f>X$177*'BTX recycling rates'!Z71</f>
        <v>2.29958475202423E-2</v>
      </c>
      <c r="Y179" s="230">
        <f>Y$177*'BTX recycling rates'!AA71</f>
        <v>2.1501025716526571E-2</v>
      </c>
      <c r="Z179" s="230">
        <f>Z$177*'BTX recycling rates'!AB71</f>
        <v>1.9630179096237925E-2</v>
      </c>
      <c r="AA179" s="230">
        <f>AA$177*'BTX recycling rates'!AC71</f>
        <v>1.7373345089842382E-2</v>
      </c>
      <c r="AB179" s="230">
        <f>AB$177*'BTX recycling rates'!AD71</f>
        <v>1.4796211699980417E-2</v>
      </c>
      <c r="AC179" s="230">
        <f>AC$177*'BTX recycling rates'!AE71</f>
        <v>1.1972803761661845E-2</v>
      </c>
      <c r="AD179" s="230">
        <f>AD$177*'BTX recycling rates'!AF71</f>
        <v>8.9855144318418453E-3</v>
      </c>
      <c r="AE179" s="230">
        <f>AE$177*'BTX recycling rates'!AG71</f>
        <v>5.9256424810441473E-3</v>
      </c>
      <c r="AF179" s="230">
        <f>AF$177*'BTX recycling rates'!AH71</f>
        <v>2.8937463617932702E-3</v>
      </c>
      <c r="AG179" s="230">
        <f>AG$177*'BTX recycling rates'!AI71</f>
        <v>0</v>
      </c>
      <c r="AH179" s="245"/>
      <c r="AI179" s="133"/>
      <c r="AJ179" s="211"/>
      <c r="AL179" s="108"/>
      <c r="AM179" s="2"/>
      <c r="AN179" s="2"/>
      <c r="AO179" s="2"/>
      <c r="BC179" s="1"/>
      <c r="BD179" s="2"/>
      <c r="BE179" s="2"/>
      <c r="BF179" s="2"/>
      <c r="BG179" s="2"/>
      <c r="BH179" s="2"/>
      <c r="BI179" s="2"/>
      <c r="BJ179" s="2"/>
      <c r="BK179" s="2"/>
    </row>
    <row r="180" spans="1:63" outlineLevel="1">
      <c r="A180" s="4" t="s">
        <v>745</v>
      </c>
      <c r="C180" s="230">
        <f>C$177*'BTX recycling rates'!E72</f>
        <v>0</v>
      </c>
      <c r="D180" s="230">
        <f>D$177*'BTX recycling rates'!F72</f>
        <v>3.3554426216671505E-4</v>
      </c>
      <c r="E180" s="230">
        <f>E$177*'BTX recycling rates'!G72</f>
        <v>8.1893750078557864E-4</v>
      </c>
      <c r="F180" s="230">
        <f>F$177*'BTX recycling rates'!H72</f>
        <v>1.4521829752727909E-3</v>
      </c>
      <c r="G180" s="230">
        <f>G$177*'BTX recycling rates'!I72</f>
        <v>2.2341723259830673E-3</v>
      </c>
      <c r="H180" s="230">
        <f>H$177*'BTX recycling rates'!J72</f>
        <v>3.160538579314844E-3</v>
      </c>
      <c r="I180" s="230">
        <f>I$177*'BTX recycling rates'!K72</f>
        <v>4.2326945806532559E-3</v>
      </c>
      <c r="J180" s="230">
        <f>J$177*'BTX recycling rates'!L72</f>
        <v>5.4473697018702612E-3</v>
      </c>
      <c r="K180" s="230">
        <f>K$177*'BTX recycling rates'!M72</f>
        <v>6.7996482151752797E-3</v>
      </c>
      <c r="L180" s="230">
        <f>L$177*'BTX recycling rates'!N72</f>
        <v>8.2828746244218796E-3</v>
      </c>
      <c r="M180" s="230">
        <f>M$177*'BTX recycling rates'!O72</f>
        <v>9.8885631059501718E-3</v>
      </c>
      <c r="N180" s="230">
        <f>N$177*'BTX recycling rates'!P72</f>
        <v>1.2445758439661971E-2</v>
      </c>
      <c r="O180" s="230">
        <f>O$177*'BTX recycling rates'!Q72</f>
        <v>1.5217238020769398E-2</v>
      </c>
      <c r="P180" s="230">
        <f>P$177*'BTX recycling rates'!R72</f>
        <v>1.8202207541225403E-2</v>
      </c>
      <c r="Q180" s="230">
        <f>Q$177*'BTX recycling rates'!S72</f>
        <v>2.1334033133480725E-2</v>
      </c>
      <c r="R180" s="230">
        <f>R$177*'BTX recycling rates'!T72</f>
        <v>2.4565555235602787E-2</v>
      </c>
      <c r="S180" s="230">
        <f>S$177*'BTX recycling rates'!U72</f>
        <v>2.7894897166314166E-2</v>
      </c>
      <c r="T180" s="230">
        <f>T$177*'BTX recycling rates'!V72</f>
        <v>3.1283883494738297E-2</v>
      </c>
      <c r="U180" s="230">
        <f>U$177*'BTX recycling rates'!W72</f>
        <v>3.4690640733806136E-2</v>
      </c>
      <c r="V180" s="230">
        <f>V$177*'BTX recycling rates'!X72</f>
        <v>3.8069475041296479E-2</v>
      </c>
      <c r="W180" s="230">
        <f>W$177*'BTX recycling rates'!Y72</f>
        <v>4.1370750909871419E-2</v>
      </c>
      <c r="X180" s="230">
        <f>X$177*'BTX recycling rates'!Z72</f>
        <v>4.6240995579851951E-2</v>
      </c>
      <c r="Y180" s="230">
        <f>Y$177*'BTX recycling rates'!AA72</f>
        <v>5.0955708307904156E-2</v>
      </c>
      <c r="Z180" s="230">
        <f>Z$177*'BTX recycling rates'!AB72</f>
        <v>5.5584669573367211E-2</v>
      </c>
      <c r="AA180" s="230">
        <f>AA$177*'BTX recycling rates'!AC72</f>
        <v>5.98886340774211E-2</v>
      </c>
      <c r="AB180" s="230">
        <f>AB$177*'BTX recycling rates'!AD72</f>
        <v>6.3756065948280746E-2</v>
      </c>
      <c r="AC180" s="230">
        <f>AC$177*'BTX recycling rates'!AE72</f>
        <v>6.7067202483994684E-2</v>
      </c>
      <c r="AD180" s="230">
        <f>AD$177*'BTX recycling rates'!AF72</f>
        <v>6.9692561323226612E-2</v>
      </c>
      <c r="AE180" s="230">
        <f>AE$177*'BTX recycling rates'!AG72</f>
        <v>7.1493153065799994E-2</v>
      </c>
      <c r="AF180" s="230">
        <f>AF$177*'BTX recycling rates'!AH72</f>
        <v>7.2320168716290004E-2</v>
      </c>
      <c r="AG180" s="230">
        <f>AG$177*'BTX recycling rates'!AI72</f>
        <v>7.2014667150638145E-2</v>
      </c>
      <c r="AH180" s="245"/>
      <c r="AI180" s="133"/>
      <c r="AJ180" s="211"/>
      <c r="AL180" s="108"/>
      <c r="AM180" s="2"/>
      <c r="AN180" s="2"/>
      <c r="AO180" s="2"/>
      <c r="BC180" s="1"/>
      <c r="BD180" s="2"/>
      <c r="BE180" s="2"/>
      <c r="BF180" s="2"/>
      <c r="BG180" s="2"/>
      <c r="BH180" s="2"/>
      <c r="BI180" s="2"/>
      <c r="BJ180" s="2"/>
      <c r="BK180" s="2"/>
    </row>
    <row r="181" spans="1:63" outlineLevel="1">
      <c r="A181" s="4" t="s">
        <v>1561</v>
      </c>
      <c r="C181" s="230">
        <f>C$177*'BTX recycling rates'!E73</f>
        <v>6.221545140876918E-3</v>
      </c>
      <c r="D181" s="230">
        <f>D$177*'BTX recycling rates'!F73</f>
        <v>7.9907219053733675E-3</v>
      </c>
      <c r="E181" s="230">
        <f>E$177*'BTX recycling rates'!G73</f>
        <v>9.8168445558860055E-3</v>
      </c>
      <c r="F181" s="230">
        <f>F$177*'BTX recycling rates'!H73</f>
        <v>1.1682794947573748E-2</v>
      </c>
      <c r="G181" s="230">
        <f>G$177*'BTX recycling rates'!I73</f>
        <v>1.3569994894819297E-2</v>
      </c>
      <c r="H181" s="230">
        <f>H$177*'BTX recycling rates'!J73</f>
        <v>1.5458648207413717E-2</v>
      </c>
      <c r="I181" s="230">
        <f>I$177*'BTX recycling rates'!K73</f>
        <v>1.7365402010090486E-2</v>
      </c>
      <c r="J181" s="230">
        <f>J$177*'BTX recycling rates'!L73</f>
        <v>1.9280943127859426E-2</v>
      </c>
      <c r="K181" s="230">
        <f>K$177*'BTX recycling rates'!M73</f>
        <v>2.1195224756670416E-2</v>
      </c>
      <c r="L181" s="230">
        <f>L$177*'BTX recycling rates'!N73</f>
        <v>2.3097463468395144E-2</v>
      </c>
      <c r="M181" s="230">
        <f>M$177*'BTX recycling rates'!O73</f>
        <v>2.4976139282925452E-2</v>
      </c>
      <c r="N181" s="230">
        <f>N$177*'BTX recycling rates'!P73</f>
        <v>2.875872962415171E-2</v>
      </c>
      <c r="O181" s="230">
        <f>O$177*'BTX recycling rates'!Q73</f>
        <v>3.2435993926031997E-2</v>
      </c>
      <c r="P181" s="230">
        <f>P$177*'BTX recycling rates'!R73</f>
        <v>3.6038596210750513E-2</v>
      </c>
      <c r="Q181" s="230">
        <f>Q$177*'BTX recycling rates'!S73</f>
        <v>3.9466603958404116E-2</v>
      </c>
      <c r="R181" s="230">
        <f>R$177*'BTX recycling rates'!T73</f>
        <v>4.2677716274079805E-2</v>
      </c>
      <c r="S181" s="230">
        <f>S$177*'BTX recycling rates'!U73</f>
        <v>4.5712523594395905E-2</v>
      </c>
      <c r="T181" s="230">
        <f>T$177*'BTX recycling rates'!V73</f>
        <v>4.8545667216968666E-2</v>
      </c>
      <c r="U181" s="230">
        <f>U$177*'BTX recycling rates'!W73</f>
        <v>5.1150610456527239E-2</v>
      </c>
      <c r="V181" s="230">
        <f>V$177*'BTX recycling rates'!X73</f>
        <v>5.3499620697494102E-2</v>
      </c>
      <c r="W181" s="230">
        <f>W$177*'BTX recycling rates'!Y73</f>
        <v>5.5563752274905634E-2</v>
      </c>
      <c r="X181" s="230">
        <f>X$177*'BTX recycling rates'!Z73</f>
        <v>5.9500593872202558E-2</v>
      </c>
      <c r="Y181" s="230">
        <f>Y$177*'BTX recycling rates'!AA73</f>
        <v>6.2958379863308933E-2</v>
      </c>
      <c r="Z181" s="230">
        <f>Z$177*'BTX recycling rates'!AB73</f>
        <v>6.6079297572547227E-2</v>
      </c>
      <c r="AA181" s="230">
        <f>AA$177*'BTX recycling rates'!AC73</f>
        <v>6.8629572548720943E-2</v>
      </c>
      <c r="AB181" s="230">
        <f>AB$177*'BTX recycling rates'!AD73</f>
        <v>7.0548009482311116E-2</v>
      </c>
      <c r="AC181" s="230">
        <f>AC$177*'BTX recycling rates'!AE73</f>
        <v>7.1771271906046027E-2</v>
      </c>
      <c r="AD181" s="230">
        <f>AD$177*'BTX recycling rates'!AF73</f>
        <v>7.2232487138686227E-2</v>
      </c>
      <c r="AE181" s="230">
        <f>AE$177*'BTX recycling rates'!AG73</f>
        <v>7.1861813110230502E-2</v>
      </c>
      <c r="AF181" s="230">
        <f>AF$177*'BTX recycling rates'!AH73</f>
        <v>7.0586382381502527E-2</v>
      </c>
      <c r="AG181" s="230">
        <f>AG$177*'BTX recycling rates'!AI73</f>
        <v>6.8330247356306939E-2</v>
      </c>
      <c r="AH181" s="245"/>
      <c r="AI181" s="133"/>
      <c r="AJ181" s="211"/>
      <c r="AL181" s="108"/>
      <c r="AM181" s="2"/>
      <c r="AN181" s="2"/>
      <c r="AO181" s="2"/>
      <c r="BC181" s="1"/>
      <c r="BD181" s="2"/>
      <c r="BE181" s="2"/>
      <c r="BF181" s="2"/>
      <c r="BG181" s="2"/>
      <c r="BH181" s="2"/>
      <c r="BI181" s="2"/>
      <c r="BJ181" s="2"/>
      <c r="BK181" s="2"/>
    </row>
    <row r="182" spans="1:63" s="1" customFormat="1" outlineLevel="1">
      <c r="A182" s="1" t="s">
        <v>1568</v>
      </c>
      <c r="B182" s="65"/>
      <c r="C182" s="300">
        <f t="shared" ref="C182:AG182" si="83">C177-$C177</f>
        <v>0</v>
      </c>
      <c r="D182" s="300">
        <f t="shared" si="83"/>
        <v>4.2398601239105726E-3</v>
      </c>
      <c r="E182" s="300">
        <f t="shared" si="83"/>
        <v>8.5618655113781413E-3</v>
      </c>
      <c r="F182" s="300">
        <f t="shared" si="83"/>
        <v>1.2922911178086844E-2</v>
      </c>
      <c r="G182" s="300">
        <f t="shared" si="83"/>
        <v>1.7277516814770445E-2</v>
      </c>
      <c r="H182" s="300">
        <f t="shared" si="83"/>
        <v>2.1578483296808046E-2</v>
      </c>
      <c r="I182" s="300">
        <f t="shared" si="83"/>
        <v>2.5866397234866952E-2</v>
      </c>
      <c r="J182" s="300">
        <f t="shared" si="83"/>
        <v>3.0119535758645857E-2</v>
      </c>
      <c r="K182" s="300">
        <f t="shared" si="83"/>
        <v>3.4315014810695599E-2</v>
      </c>
      <c r="L182" s="300">
        <f t="shared" si="83"/>
        <v>3.8428819270590733E-2</v>
      </c>
      <c r="M182" s="300">
        <f t="shared" si="83"/>
        <v>4.2435839031055217E-2</v>
      </c>
      <c r="N182" s="300">
        <f t="shared" si="83"/>
        <v>5.0771580579250006E-2</v>
      </c>
      <c r="O182" s="300">
        <f t="shared" si="83"/>
        <v>5.876204503960504E-2</v>
      </c>
      <c r="P182" s="300">
        <f t="shared" si="83"/>
        <v>6.6483339483976486E-2</v>
      </c>
      <c r="Q182" s="300">
        <f t="shared" si="83"/>
        <v>7.3714874755411428E-2</v>
      </c>
      <c r="R182" s="300">
        <f t="shared" si="83"/>
        <v>8.0370790002846082E-2</v>
      </c>
      <c r="S182" s="300">
        <f t="shared" si="83"/>
        <v>8.6552156453942833E-2</v>
      </c>
      <c r="T182" s="300">
        <f t="shared" si="83"/>
        <v>9.2211427906585777E-2</v>
      </c>
      <c r="U182" s="300">
        <f t="shared" si="83"/>
        <v>9.7299612461089688E-2</v>
      </c>
      <c r="V182" s="300">
        <f t="shared" si="83"/>
        <v>0.10176627663926952</v>
      </c>
      <c r="W182" s="300">
        <f t="shared" si="83"/>
        <v>0.10555955115887598</v>
      </c>
      <c r="X182" s="300">
        <f t="shared" si="83"/>
        <v>0.11335965558635575</v>
      </c>
      <c r="Y182" s="300">
        <f t="shared" si="83"/>
        <v>0.1200373325017986</v>
      </c>
      <c r="Z182" s="300">
        <f t="shared" si="83"/>
        <v>0.1259163648562113</v>
      </c>
      <c r="AA182" s="300">
        <f t="shared" si="83"/>
        <v>0.13051377033004335</v>
      </c>
      <c r="AB182" s="300">
        <f t="shared" si="83"/>
        <v>0.13372250574463121</v>
      </c>
      <c r="AC182" s="300">
        <f t="shared" si="83"/>
        <v>0.1354334967657615</v>
      </c>
      <c r="AD182" s="300">
        <f t="shared" si="83"/>
        <v>0.13553278150781362</v>
      </c>
      <c r="AE182" s="300">
        <f t="shared" si="83"/>
        <v>0.13390282727113356</v>
      </c>
      <c r="AF182" s="300">
        <f t="shared" si="83"/>
        <v>0.13042251607364472</v>
      </c>
      <c r="AG182" s="300">
        <f t="shared" si="83"/>
        <v>0.12496713312100402</v>
      </c>
      <c r="AH182" s="245"/>
      <c r="AI182" s="423"/>
      <c r="AJ182" s="424"/>
      <c r="AL182" s="221"/>
      <c r="AM182" s="124"/>
      <c r="AN182" s="124"/>
      <c r="AO182" s="124"/>
      <c r="BD182" s="124"/>
      <c r="BE182" s="124"/>
      <c r="BF182" s="124"/>
      <c r="BG182" s="124"/>
      <c r="BH182" s="124"/>
      <c r="BI182" s="124"/>
      <c r="BJ182" s="124"/>
      <c r="BK182" s="124"/>
    </row>
    <row r="183" spans="1:63" outlineLevel="1">
      <c r="A183" s="4" t="s">
        <v>474</v>
      </c>
      <c r="C183" s="230">
        <f t="shared" ref="C183:R186" si="84">C178-$C178</f>
        <v>0</v>
      </c>
      <c r="D183" s="230">
        <f t="shared" ref="D183:AG183" si="85">D178-$C178</f>
        <v>0</v>
      </c>
      <c r="E183" s="230">
        <f t="shared" si="85"/>
        <v>0</v>
      </c>
      <c r="F183" s="230">
        <f t="shared" si="85"/>
        <v>0</v>
      </c>
      <c r="G183" s="230">
        <f t="shared" si="85"/>
        <v>0</v>
      </c>
      <c r="H183" s="230">
        <f t="shared" si="85"/>
        <v>0</v>
      </c>
      <c r="I183" s="230">
        <f t="shared" si="85"/>
        <v>0</v>
      </c>
      <c r="J183" s="230">
        <f t="shared" si="85"/>
        <v>0</v>
      </c>
      <c r="K183" s="230">
        <f t="shared" si="85"/>
        <v>0</v>
      </c>
      <c r="L183" s="230">
        <f t="shared" si="85"/>
        <v>0</v>
      </c>
      <c r="M183" s="230">
        <f t="shared" si="85"/>
        <v>0</v>
      </c>
      <c r="N183" s="230">
        <f t="shared" si="85"/>
        <v>0</v>
      </c>
      <c r="O183" s="230">
        <f t="shared" si="85"/>
        <v>0</v>
      </c>
      <c r="P183" s="230">
        <f t="shared" si="85"/>
        <v>0</v>
      </c>
      <c r="Q183" s="230">
        <f t="shared" si="85"/>
        <v>0</v>
      </c>
      <c r="R183" s="230">
        <f t="shared" si="85"/>
        <v>0</v>
      </c>
      <c r="S183" s="230">
        <f t="shared" si="85"/>
        <v>0</v>
      </c>
      <c r="T183" s="230">
        <f t="shared" si="85"/>
        <v>0</v>
      </c>
      <c r="U183" s="230">
        <f t="shared" si="85"/>
        <v>0</v>
      </c>
      <c r="V183" s="230">
        <f t="shared" si="85"/>
        <v>0</v>
      </c>
      <c r="W183" s="230">
        <f t="shared" si="85"/>
        <v>0</v>
      </c>
      <c r="X183" s="230">
        <f t="shared" si="85"/>
        <v>0</v>
      </c>
      <c r="Y183" s="230">
        <f t="shared" si="85"/>
        <v>0</v>
      </c>
      <c r="Z183" s="230">
        <f t="shared" si="85"/>
        <v>0</v>
      </c>
      <c r="AA183" s="230">
        <f t="shared" si="85"/>
        <v>0</v>
      </c>
      <c r="AB183" s="230">
        <f t="shared" si="85"/>
        <v>0</v>
      </c>
      <c r="AC183" s="230">
        <f t="shared" si="85"/>
        <v>0</v>
      </c>
      <c r="AD183" s="230">
        <f t="shared" si="85"/>
        <v>0</v>
      </c>
      <c r="AE183" s="230">
        <f t="shared" si="85"/>
        <v>0</v>
      </c>
      <c r="AF183" s="230">
        <f t="shared" si="85"/>
        <v>0</v>
      </c>
      <c r="AG183" s="230">
        <f t="shared" si="85"/>
        <v>0</v>
      </c>
      <c r="AH183" s="245"/>
      <c r="AI183" s="133"/>
      <c r="AJ183" s="211"/>
      <c r="AL183" s="108"/>
      <c r="AM183" s="2"/>
      <c r="AN183" s="2"/>
      <c r="AO183" s="2"/>
      <c r="BC183" s="1"/>
      <c r="BD183" s="2"/>
      <c r="BE183" s="2"/>
      <c r="BF183" s="2"/>
      <c r="BG183" s="2"/>
      <c r="BH183" s="2"/>
      <c r="BI183" s="2"/>
      <c r="BJ183" s="2"/>
      <c r="BK183" s="2"/>
    </row>
    <row r="184" spans="1:63" outlineLevel="1">
      <c r="A184" s="4" t="s">
        <v>478</v>
      </c>
      <c r="C184" s="230">
        <f t="shared" si="84"/>
        <v>0</v>
      </c>
      <c r="D184" s="230">
        <f t="shared" si="84"/>
        <v>2.1351390972474075E-3</v>
      </c>
      <c r="E184" s="230">
        <f t="shared" si="84"/>
        <v>4.1476285955834736E-3</v>
      </c>
      <c r="F184" s="230">
        <f t="shared" si="84"/>
        <v>6.009478396117221E-3</v>
      </c>
      <c r="G184" s="230">
        <f t="shared" si="84"/>
        <v>7.6948947348449981E-3</v>
      </c>
      <c r="H184" s="230">
        <f t="shared" si="84"/>
        <v>9.1808416509564054E-3</v>
      </c>
      <c r="I184" s="230">
        <f t="shared" si="84"/>
        <v>1.0489845785000129E-2</v>
      </c>
      <c r="J184" s="230">
        <f t="shared" si="84"/>
        <v>1.1612768069793087E-2</v>
      </c>
      <c r="K184" s="230">
        <f t="shared" si="84"/>
        <v>1.254168697972682E-2</v>
      </c>
      <c r="L184" s="230">
        <f t="shared" si="84"/>
        <v>1.3270026318650631E-2</v>
      </c>
      <c r="M184" s="230">
        <f t="shared" si="84"/>
        <v>1.379268178305651E-2</v>
      </c>
      <c r="N184" s="230">
        <f t="shared" si="84"/>
        <v>1.5788637656313245E-2</v>
      </c>
      <c r="O184" s="230">
        <f t="shared" si="84"/>
        <v>1.7330358233680562E-2</v>
      </c>
      <c r="P184" s="230">
        <f t="shared" si="84"/>
        <v>1.846408087287749E-2</v>
      </c>
      <c r="Q184" s="230">
        <f t="shared" si="84"/>
        <v>1.9135782804403503E-2</v>
      </c>
      <c r="R184" s="230">
        <f t="shared" si="84"/>
        <v>1.934906363404041E-2</v>
      </c>
      <c r="S184" s="230">
        <f t="shared" ref="S184:AG186" si="86">S179-$C179</f>
        <v>1.9166280834109685E-2</v>
      </c>
      <c r="T184" s="230">
        <f t="shared" si="86"/>
        <v>1.8603422335755737E-2</v>
      </c>
      <c r="U184" s="230">
        <f t="shared" si="86"/>
        <v>1.7679906411633233E-2</v>
      </c>
      <c r="V184" s="230">
        <f t="shared" si="86"/>
        <v>1.6418726041355851E-2</v>
      </c>
      <c r="W184" s="230">
        <f t="shared" si="86"/>
        <v>1.4846593114975853E-2</v>
      </c>
      <c r="X184" s="230">
        <f t="shared" si="86"/>
        <v>1.3839611275178156E-2</v>
      </c>
      <c r="Y184" s="230">
        <f t="shared" si="86"/>
        <v>1.2344789471462427E-2</v>
      </c>
      <c r="Z184" s="230">
        <f t="shared" si="86"/>
        <v>1.0473942851173781E-2</v>
      </c>
      <c r="AA184" s="230">
        <f t="shared" si="86"/>
        <v>8.2171088447782377E-3</v>
      </c>
      <c r="AB184" s="230">
        <f t="shared" si="86"/>
        <v>5.6399754549162733E-3</v>
      </c>
      <c r="AC184" s="230">
        <f t="shared" si="86"/>
        <v>2.8165675165977011E-3</v>
      </c>
      <c r="AD184" s="230">
        <f t="shared" si="86"/>
        <v>-1.7072181322229894E-4</v>
      </c>
      <c r="AE184" s="230">
        <f t="shared" si="86"/>
        <v>-3.2305937640199969E-3</v>
      </c>
      <c r="AF184" s="230">
        <f t="shared" si="86"/>
        <v>-6.2624898832708744E-3</v>
      </c>
      <c r="AG184" s="230">
        <f t="shared" si="86"/>
        <v>-9.1562362450641442E-3</v>
      </c>
      <c r="AH184" s="245"/>
      <c r="AI184" s="133"/>
      <c r="AJ184" s="211"/>
      <c r="AL184" s="108"/>
      <c r="AM184" s="2"/>
      <c r="AN184" s="2"/>
      <c r="AO184" s="2"/>
      <c r="BC184" s="1"/>
      <c r="BD184" s="2"/>
      <c r="BE184" s="2"/>
      <c r="BF184" s="2"/>
      <c r="BG184" s="2"/>
      <c r="BH184" s="2"/>
      <c r="BI184" s="2"/>
      <c r="BJ184" s="2"/>
      <c r="BK184" s="2"/>
    </row>
    <row r="185" spans="1:63" outlineLevel="1">
      <c r="A185" s="4" t="s">
        <v>745</v>
      </c>
      <c r="C185" s="230">
        <f t="shared" si="84"/>
        <v>0</v>
      </c>
      <c r="D185" s="230">
        <f t="shared" si="84"/>
        <v>3.3554426216671505E-4</v>
      </c>
      <c r="E185" s="230">
        <f t="shared" si="84"/>
        <v>8.1893750078557864E-4</v>
      </c>
      <c r="F185" s="230">
        <f t="shared" si="84"/>
        <v>1.4521829752727909E-3</v>
      </c>
      <c r="G185" s="230">
        <f t="shared" si="84"/>
        <v>2.2341723259830673E-3</v>
      </c>
      <c r="H185" s="230">
        <f t="shared" si="84"/>
        <v>3.160538579314844E-3</v>
      </c>
      <c r="I185" s="230">
        <f t="shared" si="84"/>
        <v>4.2326945806532559E-3</v>
      </c>
      <c r="J185" s="230">
        <f t="shared" si="84"/>
        <v>5.4473697018702612E-3</v>
      </c>
      <c r="K185" s="230">
        <f t="shared" si="84"/>
        <v>6.7996482151752797E-3</v>
      </c>
      <c r="L185" s="230">
        <f t="shared" si="84"/>
        <v>8.2828746244218796E-3</v>
      </c>
      <c r="M185" s="230">
        <f t="shared" si="84"/>
        <v>9.8885631059501718E-3</v>
      </c>
      <c r="N185" s="230">
        <f t="shared" si="84"/>
        <v>1.2445758439661971E-2</v>
      </c>
      <c r="O185" s="230">
        <f t="shared" si="84"/>
        <v>1.5217238020769398E-2</v>
      </c>
      <c r="P185" s="230">
        <f t="shared" si="84"/>
        <v>1.8202207541225403E-2</v>
      </c>
      <c r="Q185" s="230">
        <f t="shared" si="84"/>
        <v>2.1334033133480725E-2</v>
      </c>
      <c r="R185" s="230">
        <f t="shared" si="84"/>
        <v>2.4565555235602787E-2</v>
      </c>
      <c r="S185" s="230">
        <f t="shared" si="86"/>
        <v>2.7894897166314166E-2</v>
      </c>
      <c r="T185" s="230">
        <f t="shared" si="86"/>
        <v>3.1283883494738297E-2</v>
      </c>
      <c r="U185" s="230">
        <f t="shared" si="86"/>
        <v>3.4690640733806136E-2</v>
      </c>
      <c r="V185" s="230">
        <f t="shared" si="86"/>
        <v>3.8069475041296479E-2</v>
      </c>
      <c r="W185" s="230">
        <f t="shared" si="86"/>
        <v>4.1370750909871419E-2</v>
      </c>
      <c r="X185" s="230">
        <f t="shared" si="86"/>
        <v>4.6240995579851951E-2</v>
      </c>
      <c r="Y185" s="230">
        <f t="shared" si="86"/>
        <v>5.0955708307904156E-2</v>
      </c>
      <c r="Z185" s="230">
        <f t="shared" si="86"/>
        <v>5.5584669573367211E-2</v>
      </c>
      <c r="AA185" s="230">
        <f t="shared" si="86"/>
        <v>5.98886340774211E-2</v>
      </c>
      <c r="AB185" s="230">
        <f t="shared" si="86"/>
        <v>6.3756065948280746E-2</v>
      </c>
      <c r="AC185" s="230">
        <f t="shared" si="86"/>
        <v>6.7067202483994684E-2</v>
      </c>
      <c r="AD185" s="230">
        <f t="shared" si="86"/>
        <v>6.9692561323226612E-2</v>
      </c>
      <c r="AE185" s="230">
        <f t="shared" si="86"/>
        <v>7.1493153065799994E-2</v>
      </c>
      <c r="AF185" s="230">
        <f t="shared" si="86"/>
        <v>7.2320168716290004E-2</v>
      </c>
      <c r="AG185" s="230">
        <f t="shared" si="86"/>
        <v>7.2014667150638145E-2</v>
      </c>
      <c r="AH185" s="245"/>
      <c r="AI185" s="133"/>
      <c r="AJ185" s="211"/>
      <c r="AL185" s="108"/>
      <c r="AM185" s="2"/>
      <c r="AN185" s="2"/>
      <c r="AO185" s="2"/>
      <c r="BC185" s="1"/>
      <c r="BD185" s="2"/>
      <c r="BE185" s="2"/>
      <c r="BF185" s="2"/>
      <c r="BG185" s="2"/>
      <c r="BH185" s="2"/>
      <c r="BI185" s="2"/>
      <c r="BJ185" s="2"/>
      <c r="BK185" s="2"/>
    </row>
    <row r="186" spans="1:63" outlineLevel="1">
      <c r="A186" s="4" t="s">
        <v>1561</v>
      </c>
      <c r="C186" s="230">
        <f t="shared" si="84"/>
        <v>0</v>
      </c>
      <c r="D186" s="230">
        <f t="shared" si="84"/>
        <v>1.7691767644964496E-3</v>
      </c>
      <c r="E186" s="230">
        <f t="shared" si="84"/>
        <v>3.5952994150090876E-3</v>
      </c>
      <c r="F186" s="230">
        <f t="shared" si="84"/>
        <v>5.4612498066968305E-3</v>
      </c>
      <c r="G186" s="230">
        <f t="shared" si="84"/>
        <v>7.348449753942379E-3</v>
      </c>
      <c r="H186" s="230">
        <f t="shared" si="84"/>
        <v>9.2371030665367986E-3</v>
      </c>
      <c r="I186" s="230">
        <f t="shared" si="84"/>
        <v>1.1143856869213568E-2</v>
      </c>
      <c r="J186" s="230">
        <f t="shared" si="84"/>
        <v>1.3059397986982508E-2</v>
      </c>
      <c r="K186" s="230">
        <f t="shared" si="84"/>
        <v>1.4973679615793498E-2</v>
      </c>
      <c r="L186" s="230">
        <f t="shared" si="84"/>
        <v>1.6875918327518225E-2</v>
      </c>
      <c r="M186" s="230">
        <f t="shared" si="84"/>
        <v>1.8754594142048532E-2</v>
      </c>
      <c r="N186" s="230">
        <f t="shared" si="84"/>
        <v>2.253718448327479E-2</v>
      </c>
      <c r="O186" s="230">
        <f t="shared" si="84"/>
        <v>2.6214448785155081E-2</v>
      </c>
      <c r="P186" s="230">
        <f t="shared" si="84"/>
        <v>2.9817051069873597E-2</v>
      </c>
      <c r="Q186" s="230">
        <f t="shared" si="84"/>
        <v>3.32450588175272E-2</v>
      </c>
      <c r="R186" s="230">
        <f t="shared" si="84"/>
        <v>3.6456171133202889E-2</v>
      </c>
      <c r="S186" s="230">
        <f t="shared" si="86"/>
        <v>3.9490978453518989E-2</v>
      </c>
      <c r="T186" s="230">
        <f t="shared" si="86"/>
        <v>4.232412207609175E-2</v>
      </c>
      <c r="U186" s="230">
        <f t="shared" si="86"/>
        <v>4.4929065315650323E-2</v>
      </c>
      <c r="V186" s="230">
        <f t="shared" si="86"/>
        <v>4.7278075556617186E-2</v>
      </c>
      <c r="W186" s="230">
        <f t="shared" si="86"/>
        <v>4.9342207134028718E-2</v>
      </c>
      <c r="X186" s="230">
        <f t="shared" si="86"/>
        <v>5.3279048731325641E-2</v>
      </c>
      <c r="Y186" s="230">
        <f t="shared" si="86"/>
        <v>5.6736834722432017E-2</v>
      </c>
      <c r="Z186" s="230">
        <f t="shared" si="86"/>
        <v>5.9857752431670311E-2</v>
      </c>
      <c r="AA186" s="230">
        <f t="shared" si="86"/>
        <v>6.2408027407844027E-2</v>
      </c>
      <c r="AB186" s="230">
        <f t="shared" si="86"/>
        <v>6.43264643414342E-2</v>
      </c>
      <c r="AC186" s="230">
        <f t="shared" si="86"/>
        <v>6.5549726765169111E-2</v>
      </c>
      <c r="AD186" s="230">
        <f t="shared" si="86"/>
        <v>6.6010941997809311E-2</v>
      </c>
      <c r="AE186" s="230">
        <f t="shared" si="86"/>
        <v>6.5640267969353586E-2</v>
      </c>
      <c r="AF186" s="230">
        <f t="shared" si="86"/>
        <v>6.4364837240625611E-2</v>
      </c>
      <c r="AG186" s="230">
        <f t="shared" si="86"/>
        <v>6.2108702215430023E-2</v>
      </c>
      <c r="AH186" s="245"/>
      <c r="AI186" s="133"/>
      <c r="AJ186" s="211"/>
      <c r="AL186" s="108"/>
      <c r="AM186" s="2"/>
      <c r="AN186" s="2"/>
      <c r="AO186" s="2"/>
      <c r="BC186" s="1"/>
      <c r="BD186" s="2"/>
      <c r="BE186" s="2"/>
      <c r="BF186" s="2"/>
      <c r="BG186" s="2"/>
      <c r="BH186" s="2"/>
      <c r="BI186" s="2"/>
      <c r="BJ186" s="2"/>
      <c r="BK186" s="2"/>
    </row>
    <row r="187" spans="1:63" outlineLevel="1">
      <c r="C187" s="110"/>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J187" s="211"/>
      <c r="AM187" s="123"/>
      <c r="AN187" s="123"/>
    </row>
    <row r="188" spans="1:63" s="200" customFormat="1" ht="16" thickBot="1">
      <c r="A188" s="200" t="s">
        <v>1339</v>
      </c>
      <c r="B188" s="215"/>
      <c r="C188" s="224">
        <f>C189</f>
        <v>0.13</v>
      </c>
      <c r="D188" s="224">
        <f t="shared" ref="D188:AG188" si="87">D189</f>
        <v>0.13557711853523402</v>
      </c>
      <c r="E188" s="224">
        <f t="shared" si="87"/>
        <v>0.14115423707046801</v>
      </c>
      <c r="F188" s="224">
        <f t="shared" si="87"/>
        <v>0.14673135560570202</v>
      </c>
      <c r="G188" s="224">
        <f t="shared" si="87"/>
        <v>0.15230847414093604</v>
      </c>
      <c r="H188" s="224">
        <f t="shared" si="87"/>
        <v>0.15788559267617003</v>
      </c>
      <c r="I188" s="224">
        <f t="shared" si="87"/>
        <v>0.16346271121140404</v>
      </c>
      <c r="J188" s="224">
        <f t="shared" si="87"/>
        <v>0.16903982974663806</v>
      </c>
      <c r="K188" s="224">
        <f t="shared" si="87"/>
        <v>0.17461694828187208</v>
      </c>
      <c r="L188" s="224">
        <f t="shared" si="87"/>
        <v>0.18019406681710606</v>
      </c>
      <c r="M188" s="224">
        <f t="shared" si="87"/>
        <v>0.18577118535234008</v>
      </c>
      <c r="N188" s="224">
        <f t="shared" si="87"/>
        <v>0.19752603518814099</v>
      </c>
      <c r="O188" s="224">
        <f t="shared" si="87"/>
        <v>0.20928088502394188</v>
      </c>
      <c r="P188" s="224">
        <f t="shared" si="87"/>
        <v>0.22103573485974279</v>
      </c>
      <c r="Q188" s="224">
        <f t="shared" si="87"/>
        <v>0.2327905846955437</v>
      </c>
      <c r="R188" s="224">
        <f t="shared" si="87"/>
        <v>0.24454543453134459</v>
      </c>
      <c r="S188" s="224">
        <f t="shared" si="87"/>
        <v>0.25630028436714547</v>
      </c>
      <c r="T188" s="224">
        <f t="shared" si="87"/>
        <v>0.26805513420294641</v>
      </c>
      <c r="U188" s="224">
        <f t="shared" si="87"/>
        <v>0.27980998403874729</v>
      </c>
      <c r="V188" s="224">
        <f t="shared" si="87"/>
        <v>0.29156483387454823</v>
      </c>
      <c r="W188" s="224">
        <f t="shared" si="87"/>
        <v>0.30331968371034912</v>
      </c>
      <c r="X188" s="224">
        <f t="shared" si="87"/>
        <v>0.3229877153393142</v>
      </c>
      <c r="Y188" s="224">
        <f t="shared" si="87"/>
        <v>0.34265574696827927</v>
      </c>
      <c r="Z188" s="224">
        <f t="shared" si="87"/>
        <v>0.36232377859724441</v>
      </c>
      <c r="AA188" s="224">
        <f t="shared" si="87"/>
        <v>0.38199181022620948</v>
      </c>
      <c r="AB188" s="224">
        <f t="shared" si="87"/>
        <v>0.40165984185517456</v>
      </c>
      <c r="AC188" s="224">
        <f t="shared" si="87"/>
        <v>0.42132787348413964</v>
      </c>
      <c r="AD188" s="224">
        <f t="shared" si="87"/>
        <v>0.44099590511310471</v>
      </c>
      <c r="AE188" s="224">
        <f t="shared" si="87"/>
        <v>0.46066393674206985</v>
      </c>
      <c r="AF188" s="224">
        <f t="shared" si="87"/>
        <v>0.48033196837103487</v>
      </c>
      <c r="AG188" s="224">
        <f t="shared" si="87"/>
        <v>0.5</v>
      </c>
      <c r="AJ188" s="231" t="s">
        <v>1340</v>
      </c>
      <c r="AL188" s="217"/>
      <c r="AM188" s="225"/>
      <c r="AN188" s="225"/>
      <c r="AO188" s="225"/>
    </row>
    <row r="189" spans="1:63" ht="16" outlineLevel="1" thickTop="1">
      <c r="A189" t="s">
        <v>1341</v>
      </c>
      <c r="B189" s="54" t="s">
        <v>462</v>
      </c>
      <c r="C189" s="214">
        <v>0.13</v>
      </c>
      <c r="D189" s="110">
        <f>$C189+($M189-$C189)/10*(D$1-$C$1)</f>
        <v>0.13557711853523402</v>
      </c>
      <c r="E189" s="110">
        <f t="shared" ref="E189:L189" si="88">$C189+($M189-$C189)/10*(E$1-$C$1)</f>
        <v>0.14115423707046801</v>
      </c>
      <c r="F189" s="110">
        <f t="shared" si="88"/>
        <v>0.14673135560570202</v>
      </c>
      <c r="G189" s="110">
        <f t="shared" si="88"/>
        <v>0.15230847414093604</v>
      </c>
      <c r="H189" s="110">
        <f t="shared" si="88"/>
        <v>0.15788559267617003</v>
      </c>
      <c r="I189" s="110">
        <f t="shared" si="88"/>
        <v>0.16346271121140404</v>
      </c>
      <c r="J189" s="110">
        <f t="shared" si="88"/>
        <v>0.16903982974663806</v>
      </c>
      <c r="K189" s="110">
        <f t="shared" si="88"/>
        <v>0.17461694828187208</v>
      </c>
      <c r="L189" s="110">
        <f t="shared" si="88"/>
        <v>0.18019406681710606</v>
      </c>
      <c r="M189" s="121">
        <f>(M$52-$C$52)/($AG$52-$C$52)*($AG189-$C189)+$C189</f>
        <v>0.18577118535234008</v>
      </c>
      <c r="N189" s="121">
        <f>$M189+($W189-$M189)/10*(N$1-$M$1)</f>
        <v>0.19752603518814099</v>
      </c>
      <c r="O189" s="121">
        <f t="shared" ref="O189:U189" si="89">$M189+($W189-$M189)/10*(O$1-$M$1)</f>
        <v>0.20928088502394188</v>
      </c>
      <c r="P189" s="121">
        <f t="shared" si="89"/>
        <v>0.22103573485974279</v>
      </c>
      <c r="Q189" s="121">
        <f t="shared" si="89"/>
        <v>0.2327905846955437</v>
      </c>
      <c r="R189" s="121">
        <f t="shared" si="89"/>
        <v>0.24454543453134459</v>
      </c>
      <c r="S189" s="121">
        <f t="shared" si="89"/>
        <v>0.25630028436714547</v>
      </c>
      <c r="T189" s="121">
        <f t="shared" si="89"/>
        <v>0.26805513420294641</v>
      </c>
      <c r="U189" s="121">
        <f t="shared" si="89"/>
        <v>0.27980998403874729</v>
      </c>
      <c r="V189" s="121">
        <f>$M189+($W189-$M189)/10*(V$1-$M$1)</f>
        <v>0.29156483387454823</v>
      </c>
      <c r="W189" s="121">
        <f>(W$52-$C$52)/($AG$52-$C$52)*($AG189-$C189)+$C189</f>
        <v>0.30331968371034912</v>
      </c>
      <c r="X189" s="110">
        <f>$W189+($AG189-$W189)/10*(X$1-$W$1)</f>
        <v>0.3229877153393142</v>
      </c>
      <c r="Y189" s="110">
        <f t="shared" ref="Y189:AF189" si="90">$W189+($AG189-$W189)/10*(Y$1-$W$1)</f>
        <v>0.34265574696827927</v>
      </c>
      <c r="Z189" s="110">
        <f t="shared" si="90"/>
        <v>0.36232377859724441</v>
      </c>
      <c r="AA189" s="110">
        <f t="shared" si="90"/>
        <v>0.38199181022620948</v>
      </c>
      <c r="AB189" s="110">
        <f t="shared" si="90"/>
        <v>0.40165984185517456</v>
      </c>
      <c r="AC189" s="110">
        <f t="shared" si="90"/>
        <v>0.42132787348413964</v>
      </c>
      <c r="AD189" s="110">
        <f t="shared" si="90"/>
        <v>0.44099590511310471</v>
      </c>
      <c r="AE189" s="110">
        <f t="shared" si="90"/>
        <v>0.46066393674206985</v>
      </c>
      <c r="AF189" s="110">
        <f t="shared" si="90"/>
        <v>0.48033196837103487</v>
      </c>
      <c r="AG189" s="214">
        <v>0.5</v>
      </c>
      <c r="AJ189" s="211" t="s">
        <v>1342</v>
      </c>
    </row>
    <row r="190" spans="1:63" outlineLevel="1">
      <c r="A190" t="s">
        <v>1453</v>
      </c>
      <c r="B190" s="54" t="s">
        <v>462</v>
      </c>
      <c r="C190" s="214">
        <v>0.05</v>
      </c>
      <c r="D190" s="110">
        <f t="shared" ref="D190:AF190" si="91">C190-($C$190-$AG$190)/($AG$1-$C$1)</f>
        <v>5.8333333333333334E-2</v>
      </c>
      <c r="E190" s="110">
        <f t="shared" si="91"/>
        <v>6.6666666666666666E-2</v>
      </c>
      <c r="F190" s="110">
        <f t="shared" si="91"/>
        <v>7.4999999999999997E-2</v>
      </c>
      <c r="G190" s="110">
        <f t="shared" si="91"/>
        <v>8.3333333333333329E-2</v>
      </c>
      <c r="H190" s="110">
        <f t="shared" si="91"/>
        <v>9.166666666666666E-2</v>
      </c>
      <c r="I190" s="110">
        <f t="shared" si="91"/>
        <v>9.9999999999999992E-2</v>
      </c>
      <c r="J190" s="110">
        <f t="shared" si="91"/>
        <v>0.10833333333333332</v>
      </c>
      <c r="K190" s="110">
        <f t="shared" si="91"/>
        <v>0.11666666666666665</v>
      </c>
      <c r="L190" s="110">
        <f t="shared" si="91"/>
        <v>0.12499999999999999</v>
      </c>
      <c r="M190" s="110">
        <f t="shared" si="91"/>
        <v>0.13333333333333333</v>
      </c>
      <c r="N190" s="110">
        <f t="shared" si="91"/>
        <v>0.14166666666666666</v>
      </c>
      <c r="O190" s="110">
        <f t="shared" si="91"/>
        <v>0.15</v>
      </c>
      <c r="P190" s="110">
        <f t="shared" si="91"/>
        <v>0.15833333333333333</v>
      </c>
      <c r="Q190" s="110">
        <f t="shared" si="91"/>
        <v>0.16666666666666666</v>
      </c>
      <c r="R190" s="110">
        <f t="shared" si="91"/>
        <v>0.17499999999999999</v>
      </c>
      <c r="S190" s="110">
        <f t="shared" si="91"/>
        <v>0.18333333333333332</v>
      </c>
      <c r="T190" s="110">
        <f t="shared" si="91"/>
        <v>0.19166666666666665</v>
      </c>
      <c r="U190" s="110">
        <f t="shared" si="91"/>
        <v>0.19999999999999998</v>
      </c>
      <c r="V190" s="110">
        <f t="shared" si="91"/>
        <v>0.20833333333333331</v>
      </c>
      <c r="W190" s="110">
        <f t="shared" si="91"/>
        <v>0.21666666666666665</v>
      </c>
      <c r="X190" s="110">
        <f t="shared" si="91"/>
        <v>0.22499999999999998</v>
      </c>
      <c r="Y190" s="110">
        <f t="shared" si="91"/>
        <v>0.23333333333333331</v>
      </c>
      <c r="Z190" s="110">
        <f t="shared" si="91"/>
        <v>0.24166666666666664</v>
      </c>
      <c r="AA190" s="110">
        <f t="shared" si="91"/>
        <v>0.24999999999999997</v>
      </c>
      <c r="AB190" s="110">
        <f t="shared" si="91"/>
        <v>0.2583333333333333</v>
      </c>
      <c r="AC190" s="110">
        <f t="shared" si="91"/>
        <v>0.26666666666666666</v>
      </c>
      <c r="AD190" s="110">
        <f t="shared" si="91"/>
        <v>0.27500000000000002</v>
      </c>
      <c r="AE190" s="110">
        <f t="shared" si="91"/>
        <v>0.28333333333333338</v>
      </c>
      <c r="AF190" s="110">
        <f t="shared" si="91"/>
        <v>0.29166666666666674</v>
      </c>
      <c r="AG190" s="214">
        <v>0.3</v>
      </c>
      <c r="AI190" s="135"/>
      <c r="AJ190" s="211" t="s">
        <v>1454</v>
      </c>
      <c r="AM190" s="123"/>
      <c r="AN190" s="123"/>
    </row>
    <row r="191" spans="1:63" ht="14.5" customHeight="1" outlineLevel="1">
      <c r="A191" t="s">
        <v>1455</v>
      </c>
      <c r="B191" s="176" t="s">
        <v>462</v>
      </c>
      <c r="C191" s="110">
        <f>1-C190</f>
        <v>0.95</v>
      </c>
      <c r="D191" s="110">
        <f t="shared" ref="D191:AG191" si="92">1-D190</f>
        <v>0.94166666666666665</v>
      </c>
      <c r="E191" s="110">
        <f t="shared" si="92"/>
        <v>0.93333333333333335</v>
      </c>
      <c r="F191" s="110">
        <f t="shared" si="92"/>
        <v>0.92500000000000004</v>
      </c>
      <c r="G191" s="110">
        <f t="shared" si="92"/>
        <v>0.91666666666666663</v>
      </c>
      <c r="H191" s="110">
        <f t="shared" si="92"/>
        <v>0.90833333333333333</v>
      </c>
      <c r="I191" s="110">
        <f t="shared" si="92"/>
        <v>0.9</v>
      </c>
      <c r="J191" s="110">
        <f t="shared" si="92"/>
        <v>0.89166666666666672</v>
      </c>
      <c r="K191" s="110">
        <f t="shared" si="92"/>
        <v>0.8833333333333333</v>
      </c>
      <c r="L191" s="110">
        <f t="shared" si="92"/>
        <v>0.875</v>
      </c>
      <c r="M191" s="110">
        <f t="shared" si="92"/>
        <v>0.8666666666666667</v>
      </c>
      <c r="N191" s="110">
        <f t="shared" si="92"/>
        <v>0.85833333333333339</v>
      </c>
      <c r="O191" s="110">
        <f t="shared" si="92"/>
        <v>0.85</v>
      </c>
      <c r="P191" s="110">
        <f t="shared" si="92"/>
        <v>0.84166666666666667</v>
      </c>
      <c r="Q191" s="110">
        <f t="shared" si="92"/>
        <v>0.83333333333333337</v>
      </c>
      <c r="R191" s="110">
        <f t="shared" si="92"/>
        <v>0.82499999999999996</v>
      </c>
      <c r="S191" s="110">
        <f t="shared" si="92"/>
        <v>0.81666666666666665</v>
      </c>
      <c r="T191" s="110">
        <f t="shared" si="92"/>
        <v>0.80833333333333335</v>
      </c>
      <c r="U191" s="110">
        <f t="shared" si="92"/>
        <v>0.8</v>
      </c>
      <c r="V191" s="110">
        <f t="shared" si="92"/>
        <v>0.79166666666666674</v>
      </c>
      <c r="W191" s="110">
        <f t="shared" si="92"/>
        <v>0.78333333333333333</v>
      </c>
      <c r="X191" s="110">
        <f t="shared" si="92"/>
        <v>0.77500000000000002</v>
      </c>
      <c r="Y191" s="110">
        <f t="shared" si="92"/>
        <v>0.76666666666666672</v>
      </c>
      <c r="Z191" s="110">
        <f t="shared" si="92"/>
        <v>0.7583333333333333</v>
      </c>
      <c r="AA191" s="110">
        <f t="shared" si="92"/>
        <v>0.75</v>
      </c>
      <c r="AB191" s="110">
        <f t="shared" si="92"/>
        <v>0.7416666666666667</v>
      </c>
      <c r="AC191" s="110">
        <f t="shared" si="92"/>
        <v>0.73333333333333339</v>
      </c>
      <c r="AD191" s="110">
        <f t="shared" si="92"/>
        <v>0.72499999999999998</v>
      </c>
      <c r="AE191" s="110">
        <f t="shared" si="92"/>
        <v>0.71666666666666656</v>
      </c>
      <c r="AF191" s="110">
        <f t="shared" si="92"/>
        <v>0.70833333333333326</v>
      </c>
      <c r="AG191" s="110">
        <f t="shared" si="92"/>
        <v>0.7</v>
      </c>
      <c r="AI191" s="135" t="s">
        <v>1456</v>
      </c>
      <c r="AJ191" s="211"/>
    </row>
    <row r="192" spans="1:63" outlineLevel="1">
      <c r="A192" t="s">
        <v>1343</v>
      </c>
      <c r="B192" s="54" t="s">
        <v>462</v>
      </c>
      <c r="C192" s="110">
        <f>C189*C190</f>
        <v>6.5000000000000006E-3</v>
      </c>
      <c r="D192" s="110">
        <f t="shared" ref="D192:AG192" si="93">D189*D190</f>
        <v>7.9086652478886511E-3</v>
      </c>
      <c r="E192" s="110">
        <f t="shared" si="93"/>
        <v>9.4102824713645332E-3</v>
      </c>
      <c r="F192" s="110">
        <f t="shared" si="93"/>
        <v>1.1004851670427652E-2</v>
      </c>
      <c r="G192" s="110">
        <f t="shared" si="93"/>
        <v>1.2692372845078003E-2</v>
      </c>
      <c r="H192" s="110">
        <f t="shared" si="93"/>
        <v>1.4472845995315585E-2</v>
      </c>
      <c r="I192" s="110">
        <f t="shared" si="93"/>
        <v>1.6346271121140402E-2</v>
      </c>
      <c r="J192" s="110">
        <f t="shared" si="93"/>
        <v>1.8312648222552456E-2</v>
      </c>
      <c r="K192" s="110">
        <f t="shared" si="93"/>
        <v>2.037197729955174E-2</v>
      </c>
      <c r="L192" s="110">
        <f t="shared" si="93"/>
        <v>2.2524258352138254E-2</v>
      </c>
      <c r="M192" s="110">
        <f t="shared" si="93"/>
        <v>2.4769491380312009E-2</v>
      </c>
      <c r="N192" s="110">
        <f t="shared" si="93"/>
        <v>2.7982854984986639E-2</v>
      </c>
      <c r="O192" s="110">
        <f t="shared" si="93"/>
        <v>3.1392132753591283E-2</v>
      </c>
      <c r="P192" s="110">
        <f t="shared" si="93"/>
        <v>3.4997324686125937E-2</v>
      </c>
      <c r="Q192" s="110">
        <f t="shared" si="93"/>
        <v>3.8798430782590612E-2</v>
      </c>
      <c r="R192" s="110">
        <f t="shared" si="93"/>
        <v>4.2795451042985301E-2</v>
      </c>
      <c r="S192" s="110">
        <f t="shared" si="93"/>
        <v>4.6988385467309997E-2</v>
      </c>
      <c r="T192" s="110">
        <f t="shared" si="93"/>
        <v>5.1377234055564727E-2</v>
      </c>
      <c r="U192" s="110">
        <f t="shared" si="93"/>
        <v>5.5961996807749458E-2</v>
      </c>
      <c r="V192" s="110">
        <f t="shared" si="93"/>
        <v>6.0742673723864209E-2</v>
      </c>
      <c r="W192" s="110">
        <f t="shared" si="93"/>
        <v>6.5719264803908967E-2</v>
      </c>
      <c r="X192" s="110">
        <f t="shared" si="93"/>
        <v>7.2672235951345684E-2</v>
      </c>
      <c r="Y192" s="110">
        <f t="shared" si="93"/>
        <v>7.9953007625931827E-2</v>
      </c>
      <c r="Z192" s="110">
        <f t="shared" si="93"/>
        <v>8.7561579827667393E-2</v>
      </c>
      <c r="AA192" s="110">
        <f t="shared" si="93"/>
        <v>9.5497952556552357E-2</v>
      </c>
      <c r="AB192" s="110">
        <f t="shared" si="93"/>
        <v>0.10376212581258674</v>
      </c>
      <c r="AC192" s="110">
        <f t="shared" si="93"/>
        <v>0.11235409959577057</v>
      </c>
      <c r="AD192" s="110">
        <f t="shared" si="93"/>
        <v>0.12127387390610381</v>
      </c>
      <c r="AE192" s="110">
        <f t="shared" si="93"/>
        <v>0.13052144874358648</v>
      </c>
      <c r="AF192" s="110">
        <f t="shared" si="93"/>
        <v>0.14009682410821853</v>
      </c>
      <c r="AG192" s="110">
        <f t="shared" si="93"/>
        <v>0.15</v>
      </c>
      <c r="AI192" s="134"/>
      <c r="AJ192" s="211"/>
      <c r="BD192" s="203"/>
      <c r="BE192" s="203"/>
    </row>
    <row r="193" spans="1:63" outlineLevel="1">
      <c r="A193" t="s">
        <v>1344</v>
      </c>
      <c r="B193" s="54" t="s">
        <v>462</v>
      </c>
      <c r="C193" s="110">
        <f>C189*C191</f>
        <v>0.1235</v>
      </c>
      <c r="D193" s="110">
        <f t="shared" ref="D193:AG193" si="94">D189*D191</f>
        <v>0.12766845328734536</v>
      </c>
      <c r="E193" s="110">
        <f t="shared" si="94"/>
        <v>0.13174395459910349</v>
      </c>
      <c r="F193" s="110">
        <f t="shared" si="94"/>
        <v>0.13572650393527438</v>
      </c>
      <c r="G193" s="110">
        <f t="shared" si="94"/>
        <v>0.13961610129585802</v>
      </c>
      <c r="H193" s="110">
        <f t="shared" si="94"/>
        <v>0.14341274668085444</v>
      </c>
      <c r="I193" s="110">
        <f t="shared" si="94"/>
        <v>0.14711644009026364</v>
      </c>
      <c r="J193" s="110">
        <f t="shared" si="94"/>
        <v>0.15072718152408562</v>
      </c>
      <c r="K193" s="110">
        <f t="shared" si="94"/>
        <v>0.15424497098232032</v>
      </c>
      <c r="L193" s="110">
        <f t="shared" si="94"/>
        <v>0.15766980846496781</v>
      </c>
      <c r="M193" s="110">
        <f t="shared" si="94"/>
        <v>0.16100169397202807</v>
      </c>
      <c r="N193" s="110">
        <f t="shared" si="94"/>
        <v>0.16954318020315437</v>
      </c>
      <c r="O193" s="110">
        <f t="shared" si="94"/>
        <v>0.17788875227035059</v>
      </c>
      <c r="P193" s="110">
        <f t="shared" si="94"/>
        <v>0.18603841017361686</v>
      </c>
      <c r="Q193" s="110">
        <f t="shared" si="94"/>
        <v>0.1939921539129531</v>
      </c>
      <c r="R193" s="110">
        <f t="shared" si="94"/>
        <v>0.20174998348835926</v>
      </c>
      <c r="S193" s="110">
        <f t="shared" si="94"/>
        <v>0.20931189889983545</v>
      </c>
      <c r="T193" s="110">
        <f t="shared" si="94"/>
        <v>0.2166779001473817</v>
      </c>
      <c r="U193" s="110">
        <f t="shared" si="94"/>
        <v>0.22384798723099786</v>
      </c>
      <c r="V193" s="110">
        <f t="shared" si="94"/>
        <v>0.23082216015068405</v>
      </c>
      <c r="W193" s="110">
        <f t="shared" si="94"/>
        <v>0.23760041890644015</v>
      </c>
      <c r="X193" s="110">
        <f t="shared" si="94"/>
        <v>0.2503154793879685</v>
      </c>
      <c r="Y193" s="110">
        <f t="shared" si="94"/>
        <v>0.26270273934234745</v>
      </c>
      <c r="Z193" s="110">
        <f t="shared" si="94"/>
        <v>0.27476219876957697</v>
      </c>
      <c r="AA193" s="110">
        <f t="shared" si="94"/>
        <v>0.28649385766965713</v>
      </c>
      <c r="AB193" s="110">
        <f t="shared" si="94"/>
        <v>0.2978977160425878</v>
      </c>
      <c r="AC193" s="110">
        <f t="shared" si="94"/>
        <v>0.30897377388836911</v>
      </c>
      <c r="AD193" s="110">
        <f t="shared" si="94"/>
        <v>0.31972203120700093</v>
      </c>
      <c r="AE193" s="110">
        <f t="shared" si="94"/>
        <v>0.33014248799848334</v>
      </c>
      <c r="AF193" s="110">
        <f t="shared" si="94"/>
        <v>0.34023514426281631</v>
      </c>
      <c r="AG193" s="110">
        <f t="shared" si="94"/>
        <v>0.35</v>
      </c>
      <c r="AI193" s="134"/>
      <c r="AJ193" s="211"/>
      <c r="BD193" s="203"/>
      <c r="BE193" s="203"/>
    </row>
    <row r="194" spans="1:63" outlineLevel="1">
      <c r="C194" s="110"/>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J194" s="211"/>
    </row>
    <row r="195" spans="1:63" outlineLevel="1">
      <c r="A195" t="s">
        <v>1441</v>
      </c>
      <c r="B195" s="54" t="s">
        <v>462</v>
      </c>
      <c r="C195" s="106">
        <v>0.5</v>
      </c>
      <c r="D195" s="110">
        <f>C195</f>
        <v>0.5</v>
      </c>
      <c r="E195" s="110">
        <f t="shared" ref="E195:AG195" si="95">D195</f>
        <v>0.5</v>
      </c>
      <c r="F195" s="110">
        <f t="shared" si="95"/>
        <v>0.5</v>
      </c>
      <c r="G195" s="110">
        <f t="shared" si="95"/>
        <v>0.5</v>
      </c>
      <c r="H195" s="110">
        <f t="shared" si="95"/>
        <v>0.5</v>
      </c>
      <c r="I195" s="110">
        <f t="shared" si="95"/>
        <v>0.5</v>
      </c>
      <c r="J195" s="110">
        <f t="shared" si="95"/>
        <v>0.5</v>
      </c>
      <c r="K195" s="110">
        <f t="shared" si="95"/>
        <v>0.5</v>
      </c>
      <c r="L195" s="110">
        <f t="shared" si="95"/>
        <v>0.5</v>
      </c>
      <c r="M195" s="110">
        <f t="shared" si="95"/>
        <v>0.5</v>
      </c>
      <c r="N195" s="110">
        <f t="shared" si="95"/>
        <v>0.5</v>
      </c>
      <c r="O195" s="110">
        <f t="shared" si="95"/>
        <v>0.5</v>
      </c>
      <c r="P195" s="110">
        <f t="shared" si="95"/>
        <v>0.5</v>
      </c>
      <c r="Q195" s="110">
        <f t="shared" si="95"/>
        <v>0.5</v>
      </c>
      <c r="R195" s="110">
        <f t="shared" si="95"/>
        <v>0.5</v>
      </c>
      <c r="S195" s="110">
        <f t="shared" si="95"/>
        <v>0.5</v>
      </c>
      <c r="T195" s="110">
        <f t="shared" si="95"/>
        <v>0.5</v>
      </c>
      <c r="U195" s="110">
        <f t="shared" si="95"/>
        <v>0.5</v>
      </c>
      <c r="V195" s="110">
        <f t="shared" si="95"/>
        <v>0.5</v>
      </c>
      <c r="W195" s="110">
        <f t="shared" si="95"/>
        <v>0.5</v>
      </c>
      <c r="X195" s="110">
        <f t="shared" si="95"/>
        <v>0.5</v>
      </c>
      <c r="Y195" s="110">
        <f t="shared" si="95"/>
        <v>0.5</v>
      </c>
      <c r="Z195" s="110">
        <f t="shared" si="95"/>
        <v>0.5</v>
      </c>
      <c r="AA195" s="110">
        <f t="shared" si="95"/>
        <v>0.5</v>
      </c>
      <c r="AB195" s="110">
        <f t="shared" si="95"/>
        <v>0.5</v>
      </c>
      <c r="AC195" s="110">
        <f t="shared" si="95"/>
        <v>0.5</v>
      </c>
      <c r="AD195" s="110">
        <f t="shared" si="95"/>
        <v>0.5</v>
      </c>
      <c r="AE195" s="110">
        <f t="shared" si="95"/>
        <v>0.5</v>
      </c>
      <c r="AF195" s="110">
        <f t="shared" si="95"/>
        <v>0.5</v>
      </c>
      <c r="AG195" s="110">
        <f t="shared" si="95"/>
        <v>0.5</v>
      </c>
      <c r="AI195" s="54"/>
      <c r="AJ195" s="211" t="s">
        <v>1457</v>
      </c>
    </row>
    <row r="196" spans="1:63" outlineLevel="1">
      <c r="A196" t="s">
        <v>1445</v>
      </c>
      <c r="B196" s="54" t="s">
        <v>462</v>
      </c>
      <c r="C196" s="121">
        <f>1-C195</f>
        <v>0.5</v>
      </c>
      <c r="D196" s="110">
        <f t="shared" ref="D196:AG196" si="96">C196</f>
        <v>0.5</v>
      </c>
      <c r="E196" s="110">
        <f t="shared" si="96"/>
        <v>0.5</v>
      </c>
      <c r="F196" s="110">
        <f t="shared" si="96"/>
        <v>0.5</v>
      </c>
      <c r="G196" s="110">
        <f t="shared" si="96"/>
        <v>0.5</v>
      </c>
      <c r="H196" s="110">
        <f t="shared" si="96"/>
        <v>0.5</v>
      </c>
      <c r="I196" s="110">
        <f t="shared" si="96"/>
        <v>0.5</v>
      </c>
      <c r="J196" s="110">
        <f t="shared" si="96"/>
        <v>0.5</v>
      </c>
      <c r="K196" s="110">
        <f t="shared" si="96"/>
        <v>0.5</v>
      </c>
      <c r="L196" s="110">
        <f t="shared" si="96"/>
        <v>0.5</v>
      </c>
      <c r="M196" s="110">
        <f t="shared" si="96"/>
        <v>0.5</v>
      </c>
      <c r="N196" s="110">
        <f t="shared" si="96"/>
        <v>0.5</v>
      </c>
      <c r="O196" s="110">
        <f t="shared" si="96"/>
        <v>0.5</v>
      </c>
      <c r="P196" s="110">
        <f t="shared" si="96"/>
        <v>0.5</v>
      </c>
      <c r="Q196" s="110">
        <f t="shared" si="96"/>
        <v>0.5</v>
      </c>
      <c r="R196" s="110">
        <f t="shared" si="96"/>
        <v>0.5</v>
      </c>
      <c r="S196" s="110">
        <f t="shared" si="96"/>
        <v>0.5</v>
      </c>
      <c r="T196" s="110">
        <f t="shared" si="96"/>
        <v>0.5</v>
      </c>
      <c r="U196" s="110">
        <f t="shared" si="96"/>
        <v>0.5</v>
      </c>
      <c r="V196" s="110">
        <f t="shared" si="96"/>
        <v>0.5</v>
      </c>
      <c r="W196" s="110">
        <f t="shared" si="96"/>
        <v>0.5</v>
      </c>
      <c r="X196" s="110">
        <f t="shared" si="96"/>
        <v>0.5</v>
      </c>
      <c r="Y196" s="110">
        <f t="shared" si="96"/>
        <v>0.5</v>
      </c>
      <c r="Z196" s="110">
        <f t="shared" si="96"/>
        <v>0.5</v>
      </c>
      <c r="AA196" s="110">
        <f t="shared" si="96"/>
        <v>0.5</v>
      </c>
      <c r="AB196" s="110">
        <f t="shared" si="96"/>
        <v>0.5</v>
      </c>
      <c r="AC196" s="110">
        <f t="shared" si="96"/>
        <v>0.5</v>
      </c>
      <c r="AD196" s="110">
        <f t="shared" si="96"/>
        <v>0.5</v>
      </c>
      <c r="AE196" s="110">
        <f t="shared" si="96"/>
        <v>0.5</v>
      </c>
      <c r="AF196" s="110">
        <f t="shared" si="96"/>
        <v>0.5</v>
      </c>
      <c r="AG196" s="110">
        <f t="shared" si="96"/>
        <v>0.5</v>
      </c>
      <c r="AJ196" s="223"/>
    </row>
    <row r="197" spans="1:63" outlineLevel="1">
      <c r="A197" t="s">
        <v>1268</v>
      </c>
      <c r="B197" s="54" t="s">
        <v>462</v>
      </c>
      <c r="C197" s="110">
        <f t="shared" ref="C197:AG197" si="97">SUM(C195:C196)</f>
        <v>1</v>
      </c>
      <c r="D197" s="110">
        <f t="shared" si="97"/>
        <v>1</v>
      </c>
      <c r="E197" s="110">
        <f t="shared" si="97"/>
        <v>1</v>
      </c>
      <c r="F197" s="110">
        <f t="shared" si="97"/>
        <v>1</v>
      </c>
      <c r="G197" s="110">
        <f t="shared" si="97"/>
        <v>1</v>
      </c>
      <c r="H197" s="110">
        <f t="shared" si="97"/>
        <v>1</v>
      </c>
      <c r="I197" s="110">
        <f t="shared" si="97"/>
        <v>1</v>
      </c>
      <c r="J197" s="110">
        <f t="shared" si="97"/>
        <v>1</v>
      </c>
      <c r="K197" s="110">
        <f t="shared" si="97"/>
        <v>1</v>
      </c>
      <c r="L197" s="110">
        <f t="shared" si="97"/>
        <v>1</v>
      </c>
      <c r="M197" s="110">
        <f t="shared" si="97"/>
        <v>1</v>
      </c>
      <c r="N197" s="110">
        <f t="shared" si="97"/>
        <v>1</v>
      </c>
      <c r="O197" s="110">
        <f t="shared" si="97"/>
        <v>1</v>
      </c>
      <c r="P197" s="110">
        <f t="shared" si="97"/>
        <v>1</v>
      </c>
      <c r="Q197" s="110">
        <f t="shared" si="97"/>
        <v>1</v>
      </c>
      <c r="R197" s="110">
        <f t="shared" si="97"/>
        <v>1</v>
      </c>
      <c r="S197" s="110">
        <f t="shared" si="97"/>
        <v>1</v>
      </c>
      <c r="T197" s="110">
        <f t="shared" si="97"/>
        <v>1</v>
      </c>
      <c r="U197" s="110">
        <f t="shared" si="97"/>
        <v>1</v>
      </c>
      <c r="V197" s="110">
        <f t="shared" si="97"/>
        <v>1</v>
      </c>
      <c r="W197" s="110">
        <f t="shared" si="97"/>
        <v>1</v>
      </c>
      <c r="X197" s="110">
        <f t="shared" si="97"/>
        <v>1</v>
      </c>
      <c r="Y197" s="110">
        <f t="shared" si="97"/>
        <v>1</v>
      </c>
      <c r="Z197" s="110">
        <f t="shared" si="97"/>
        <v>1</v>
      </c>
      <c r="AA197" s="110">
        <f t="shared" si="97"/>
        <v>1</v>
      </c>
      <c r="AB197" s="110">
        <f t="shared" si="97"/>
        <v>1</v>
      </c>
      <c r="AC197" s="110">
        <f t="shared" si="97"/>
        <v>1</v>
      </c>
      <c r="AD197" s="110">
        <f t="shared" si="97"/>
        <v>1</v>
      </c>
      <c r="AE197" s="110">
        <f t="shared" si="97"/>
        <v>1</v>
      </c>
      <c r="AF197" s="110">
        <f t="shared" si="97"/>
        <v>1</v>
      </c>
      <c r="AG197" s="110">
        <f t="shared" si="97"/>
        <v>1</v>
      </c>
      <c r="AH197" s="131"/>
      <c r="AI197" s="54"/>
      <c r="AJ197" s="223"/>
    </row>
    <row r="198" spans="1:63" outlineLevel="1">
      <c r="C198" s="214"/>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31"/>
      <c r="AI198" s="131"/>
      <c r="AJ198" s="223"/>
    </row>
    <row r="199" spans="1:63" outlineLevel="1">
      <c r="A199" t="s">
        <v>1345</v>
      </c>
      <c r="B199" s="54" t="s">
        <v>462</v>
      </c>
      <c r="C199" s="110">
        <f>C195*C193</f>
        <v>6.1749999999999999E-2</v>
      </c>
      <c r="D199" s="110">
        <f t="shared" ref="D199:AG199" si="98">D195*D193</f>
        <v>6.3834226643672679E-2</v>
      </c>
      <c r="E199" s="110">
        <f t="shared" si="98"/>
        <v>6.5871977299551743E-2</v>
      </c>
      <c r="F199" s="110">
        <f t="shared" si="98"/>
        <v>6.7863251967637192E-2</v>
      </c>
      <c r="G199" s="110">
        <f t="shared" si="98"/>
        <v>6.9808050647929012E-2</v>
      </c>
      <c r="H199" s="110">
        <f t="shared" si="98"/>
        <v>7.1706373340427218E-2</v>
      </c>
      <c r="I199" s="110">
        <f t="shared" si="98"/>
        <v>7.3558220045131822E-2</v>
      </c>
      <c r="J199" s="110">
        <f t="shared" si="98"/>
        <v>7.5363590762042812E-2</v>
      </c>
      <c r="K199" s="110">
        <f t="shared" si="98"/>
        <v>7.7122485491160159E-2</v>
      </c>
      <c r="L199" s="110">
        <f t="shared" si="98"/>
        <v>7.8834904232483904E-2</v>
      </c>
      <c r="M199" s="110">
        <f t="shared" si="98"/>
        <v>8.0500846986014035E-2</v>
      </c>
      <c r="N199" s="110">
        <f t="shared" si="98"/>
        <v>8.4771590101577185E-2</v>
      </c>
      <c r="O199" s="110">
        <f t="shared" si="98"/>
        <v>8.8944376135175293E-2</v>
      </c>
      <c r="P199" s="110">
        <f t="shared" si="98"/>
        <v>9.3019205086808429E-2</v>
      </c>
      <c r="Q199" s="110">
        <f t="shared" si="98"/>
        <v>9.6996076956476551E-2</v>
      </c>
      <c r="R199" s="110">
        <f t="shared" si="98"/>
        <v>0.10087499174417963</v>
      </c>
      <c r="S199" s="110">
        <f t="shared" si="98"/>
        <v>0.10465594944991773</v>
      </c>
      <c r="T199" s="110">
        <f t="shared" si="98"/>
        <v>0.10833895007369085</v>
      </c>
      <c r="U199" s="110">
        <f t="shared" si="98"/>
        <v>0.11192399361549893</v>
      </c>
      <c r="V199" s="110">
        <f t="shared" si="98"/>
        <v>0.11541108007534202</v>
      </c>
      <c r="W199" s="110">
        <f t="shared" si="98"/>
        <v>0.11880020945322008</v>
      </c>
      <c r="X199" s="110">
        <f t="shared" si="98"/>
        <v>0.12515773969398425</v>
      </c>
      <c r="Y199" s="110">
        <f t="shared" si="98"/>
        <v>0.13135136967117372</v>
      </c>
      <c r="Z199" s="110">
        <f t="shared" si="98"/>
        <v>0.13738109938478849</v>
      </c>
      <c r="AA199" s="110">
        <f t="shared" si="98"/>
        <v>0.14324692883482856</v>
      </c>
      <c r="AB199" s="110">
        <f t="shared" si="98"/>
        <v>0.1489488580212939</v>
      </c>
      <c r="AC199" s="110">
        <f t="shared" si="98"/>
        <v>0.15448688694418455</v>
      </c>
      <c r="AD199" s="110">
        <f t="shared" si="98"/>
        <v>0.15986101560350047</v>
      </c>
      <c r="AE199" s="110">
        <f t="shared" si="98"/>
        <v>0.16507124399924167</v>
      </c>
      <c r="AF199" s="110">
        <f t="shared" si="98"/>
        <v>0.17011757213140816</v>
      </c>
      <c r="AG199" s="110">
        <f t="shared" si="98"/>
        <v>0.17499999999999999</v>
      </c>
      <c r="AH199" s="131"/>
      <c r="AI199" s="131"/>
      <c r="AJ199" s="211"/>
    </row>
    <row r="200" spans="1:63" outlineLevel="1">
      <c r="A200" t="s">
        <v>1346</v>
      </c>
      <c r="B200" s="54" t="s">
        <v>462</v>
      </c>
      <c r="C200" s="110">
        <f>C193*C196</f>
        <v>6.1749999999999999E-2</v>
      </c>
      <c r="D200" s="110">
        <f t="shared" ref="D200:AG200" si="99">D193*D196</f>
        <v>6.3834226643672679E-2</v>
      </c>
      <c r="E200" s="110">
        <f t="shared" si="99"/>
        <v>6.5871977299551743E-2</v>
      </c>
      <c r="F200" s="110">
        <f t="shared" si="99"/>
        <v>6.7863251967637192E-2</v>
      </c>
      <c r="G200" s="110">
        <f t="shared" si="99"/>
        <v>6.9808050647929012E-2</v>
      </c>
      <c r="H200" s="110">
        <f t="shared" si="99"/>
        <v>7.1706373340427218E-2</v>
      </c>
      <c r="I200" s="110">
        <f t="shared" si="99"/>
        <v>7.3558220045131822E-2</v>
      </c>
      <c r="J200" s="110">
        <f t="shared" si="99"/>
        <v>7.5363590762042812E-2</v>
      </c>
      <c r="K200" s="110">
        <f t="shared" si="99"/>
        <v>7.7122485491160159E-2</v>
      </c>
      <c r="L200" s="110">
        <f t="shared" si="99"/>
        <v>7.8834904232483904E-2</v>
      </c>
      <c r="M200" s="110">
        <f t="shared" si="99"/>
        <v>8.0500846986014035E-2</v>
      </c>
      <c r="N200" s="110">
        <f t="shared" si="99"/>
        <v>8.4771590101577185E-2</v>
      </c>
      <c r="O200" s="110">
        <f t="shared" si="99"/>
        <v>8.8944376135175293E-2</v>
      </c>
      <c r="P200" s="110">
        <f t="shared" si="99"/>
        <v>9.3019205086808429E-2</v>
      </c>
      <c r="Q200" s="110">
        <f t="shared" si="99"/>
        <v>9.6996076956476551E-2</v>
      </c>
      <c r="R200" s="110">
        <f t="shared" si="99"/>
        <v>0.10087499174417963</v>
      </c>
      <c r="S200" s="110">
        <f t="shared" si="99"/>
        <v>0.10465594944991773</v>
      </c>
      <c r="T200" s="110">
        <f t="shared" si="99"/>
        <v>0.10833895007369085</v>
      </c>
      <c r="U200" s="110">
        <f t="shared" si="99"/>
        <v>0.11192399361549893</v>
      </c>
      <c r="V200" s="110">
        <f t="shared" si="99"/>
        <v>0.11541108007534202</v>
      </c>
      <c r="W200" s="110">
        <f t="shared" si="99"/>
        <v>0.11880020945322008</v>
      </c>
      <c r="X200" s="110">
        <f t="shared" si="99"/>
        <v>0.12515773969398425</v>
      </c>
      <c r="Y200" s="110">
        <f t="shared" si="99"/>
        <v>0.13135136967117372</v>
      </c>
      <c r="Z200" s="110">
        <f t="shared" si="99"/>
        <v>0.13738109938478849</v>
      </c>
      <c r="AA200" s="110">
        <f t="shared" si="99"/>
        <v>0.14324692883482856</v>
      </c>
      <c r="AB200" s="110">
        <f t="shared" si="99"/>
        <v>0.1489488580212939</v>
      </c>
      <c r="AC200" s="110">
        <f t="shared" si="99"/>
        <v>0.15448688694418455</v>
      </c>
      <c r="AD200" s="110">
        <f t="shared" si="99"/>
        <v>0.15986101560350047</v>
      </c>
      <c r="AE200" s="110">
        <f t="shared" si="99"/>
        <v>0.16507124399924167</v>
      </c>
      <c r="AF200" s="110">
        <f t="shared" si="99"/>
        <v>0.17011757213140816</v>
      </c>
      <c r="AG200" s="110">
        <f t="shared" si="99"/>
        <v>0.17499999999999999</v>
      </c>
      <c r="AJ200" s="211"/>
    </row>
    <row r="201" spans="1:63" outlineLevel="1">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J201" s="211"/>
    </row>
    <row r="202" spans="1:63" outlineLevel="1">
      <c r="A202" t="s">
        <v>1621</v>
      </c>
      <c r="C202" s="230">
        <f>('Overall recycling rates'!F87*'Yearly BTX'!D5+'Overall recycling rates'!G87*'Yearly BTX'!D6+'Overall recycling rates'!H87*'Yearly BTX'!D7)/'Yearly BTX'!D4</f>
        <v>0.99999999999999989</v>
      </c>
      <c r="D202" s="230">
        <f>C202-($C202-$AG202)/($AG$1-$C$1)</f>
        <v>0.99999999999999989</v>
      </c>
      <c r="E202" s="230">
        <f t="shared" ref="E202:AF202" si="100">D202-($C202-$AG202)/($AG$1-$C$1)</f>
        <v>0.99999999999999989</v>
      </c>
      <c r="F202" s="230">
        <f t="shared" si="100"/>
        <v>0.99999999999999989</v>
      </c>
      <c r="G202" s="230">
        <f t="shared" si="100"/>
        <v>0.99999999999999989</v>
      </c>
      <c r="H202" s="230">
        <f t="shared" si="100"/>
        <v>0.99999999999999989</v>
      </c>
      <c r="I202" s="230">
        <f t="shared" si="100"/>
        <v>0.99999999999999989</v>
      </c>
      <c r="J202" s="230">
        <f t="shared" si="100"/>
        <v>0.99999999999999989</v>
      </c>
      <c r="K202" s="230">
        <f t="shared" si="100"/>
        <v>0.99999999999999989</v>
      </c>
      <c r="L202" s="230">
        <f t="shared" si="100"/>
        <v>0.99999999999999989</v>
      </c>
      <c r="M202" s="230">
        <f t="shared" si="100"/>
        <v>0.99999999999999989</v>
      </c>
      <c r="N202" s="230">
        <f t="shared" si="100"/>
        <v>0.99999999999999989</v>
      </c>
      <c r="O202" s="230">
        <f t="shared" si="100"/>
        <v>0.99999999999999989</v>
      </c>
      <c r="P202" s="230">
        <f t="shared" si="100"/>
        <v>0.99999999999999989</v>
      </c>
      <c r="Q202" s="230">
        <f t="shared" si="100"/>
        <v>0.99999999999999989</v>
      </c>
      <c r="R202" s="230">
        <f t="shared" si="100"/>
        <v>0.99999999999999989</v>
      </c>
      <c r="S202" s="230">
        <f t="shared" si="100"/>
        <v>0.99999999999999989</v>
      </c>
      <c r="T202" s="230">
        <f t="shared" si="100"/>
        <v>0.99999999999999989</v>
      </c>
      <c r="U202" s="230">
        <f t="shared" si="100"/>
        <v>0.99999999999999989</v>
      </c>
      <c r="V202" s="230">
        <f t="shared" si="100"/>
        <v>0.99999999999999989</v>
      </c>
      <c r="W202" s="230">
        <f t="shared" si="100"/>
        <v>0.99999999999999989</v>
      </c>
      <c r="X202" s="230">
        <f t="shared" si="100"/>
        <v>0.99999999999999989</v>
      </c>
      <c r="Y202" s="230">
        <f t="shared" si="100"/>
        <v>0.99999999999999989</v>
      </c>
      <c r="Z202" s="230">
        <f t="shared" si="100"/>
        <v>0.99999999999999989</v>
      </c>
      <c r="AA202" s="230">
        <f t="shared" si="100"/>
        <v>0.99999999999999989</v>
      </c>
      <c r="AB202" s="230">
        <f t="shared" si="100"/>
        <v>0.99999999999999989</v>
      </c>
      <c r="AC202" s="230">
        <f t="shared" si="100"/>
        <v>0.99999999999999989</v>
      </c>
      <c r="AD202" s="230">
        <f t="shared" si="100"/>
        <v>0.99999999999999989</v>
      </c>
      <c r="AE202" s="230">
        <f t="shared" si="100"/>
        <v>0.99999999999999989</v>
      </c>
      <c r="AF202" s="230">
        <f t="shared" si="100"/>
        <v>0.99999999999999989</v>
      </c>
      <c r="AG202" s="230">
        <f>'Overall recycling rates'!F96</f>
        <v>1</v>
      </c>
      <c r="AI202" s="133"/>
      <c r="AJ202" s="211" t="s">
        <v>1571</v>
      </c>
      <c r="AL202" s="108"/>
      <c r="AM202" s="207"/>
      <c r="AN202" s="207"/>
      <c r="AO202" s="207"/>
      <c r="BC202" s="1"/>
      <c r="BD202" s="207"/>
      <c r="BE202" s="207"/>
      <c r="BF202" s="207"/>
      <c r="BG202" s="207"/>
      <c r="BH202" s="207"/>
      <c r="BI202" s="207"/>
      <c r="BJ202" s="207"/>
      <c r="BK202" s="207"/>
    </row>
    <row r="203" spans="1:63" outlineLevel="1">
      <c r="A203" t="s">
        <v>1629</v>
      </c>
      <c r="B203" s="54" t="s">
        <v>462</v>
      </c>
      <c r="C203" s="110">
        <f>C192*C$202</f>
        <v>6.4999999999999997E-3</v>
      </c>
      <c r="D203" s="110">
        <f>D192*D$139</f>
        <v>5.6767770030473966E-3</v>
      </c>
      <c r="E203" s="110">
        <f t="shared" ref="E203:AG203" si="101">E192*E$139</f>
        <v>6.8462002654825025E-3</v>
      </c>
      <c r="F203" s="110">
        <f t="shared" si="101"/>
        <v>8.1133782070939454E-3</v>
      </c>
      <c r="G203" s="110">
        <f t="shared" si="101"/>
        <v>9.4810244610119502E-3</v>
      </c>
      <c r="H203" s="110">
        <f t="shared" si="101"/>
        <v>1.0951852660366742E-2</v>
      </c>
      <c r="I203" s="110">
        <f t="shared" si="101"/>
        <v>1.2528576438288551E-2</v>
      </c>
      <c r="J203" s="110">
        <f t="shared" si="101"/>
        <v>1.4213909427907604E-2</v>
      </c>
      <c r="K203" s="110">
        <f t="shared" si="101"/>
        <v>1.6010565262354125E-2</v>
      </c>
      <c r="L203" s="110">
        <f t="shared" si="101"/>
        <v>1.7921257574758338E-2</v>
      </c>
      <c r="M203" s="110">
        <f t="shared" si="101"/>
        <v>1.9948699998250476E-2</v>
      </c>
      <c r="N203" s="110">
        <f t="shared" si="101"/>
        <v>2.2808968735908892E-2</v>
      </c>
      <c r="O203" s="110">
        <f t="shared" si="101"/>
        <v>2.5893375082410377E-2</v>
      </c>
      <c r="P203" s="110">
        <f t="shared" si="101"/>
        <v>2.9207638541429413E-2</v>
      </c>
      <c r="Q203" s="110">
        <f t="shared" si="101"/>
        <v>3.2757478616640481E-2</v>
      </c>
      <c r="R203" s="110">
        <f t="shared" si="101"/>
        <v>3.6548614811718054E-2</v>
      </c>
      <c r="S203" s="110">
        <f t="shared" si="101"/>
        <v>4.0586766630336606E-2</v>
      </c>
      <c r="T203" s="110">
        <f t="shared" si="101"/>
        <v>4.4877653576170642E-2</v>
      </c>
      <c r="U203" s="110">
        <f t="shared" si="101"/>
        <v>4.9426995152894601E-2</v>
      </c>
      <c r="V203" s="110">
        <f t="shared" si="101"/>
        <v>5.4240510864182981E-2</v>
      </c>
      <c r="W203" s="110">
        <f t="shared" si="101"/>
        <v>5.9323920213710253E-2</v>
      </c>
      <c r="X203" s="110">
        <f t="shared" si="101"/>
        <v>6.6307472237201168E-2</v>
      </c>
      <c r="Y203" s="110">
        <f t="shared" si="101"/>
        <v>7.3728628381078118E-2</v>
      </c>
      <c r="Z203" s="110">
        <f t="shared" si="101"/>
        <v>8.1596958429791186E-2</v>
      </c>
      <c r="AA203" s="110">
        <f t="shared" si="101"/>
        <v>8.9922032167790433E-2</v>
      </c>
      <c r="AB203" s="110">
        <f t="shared" si="101"/>
        <v>9.8713419379525935E-2</v>
      </c>
      <c r="AC203" s="110">
        <f t="shared" si="101"/>
        <v>0.10798068984944778</v>
      </c>
      <c r="AD203" s="110">
        <f t="shared" si="101"/>
        <v>0.11773341336200605</v>
      </c>
      <c r="AE203" s="110">
        <f t="shared" si="101"/>
        <v>0.1279811597016508</v>
      </c>
      <c r="AF203" s="110">
        <f t="shared" si="101"/>
        <v>0.13873349865283208</v>
      </c>
      <c r="AG203" s="110">
        <f t="shared" si="101"/>
        <v>0.15</v>
      </c>
      <c r="AI203" s="133"/>
      <c r="AJ203"/>
      <c r="AL203" s="108"/>
      <c r="AM203" s="2"/>
      <c r="AN203" s="2"/>
      <c r="AO203" s="2"/>
      <c r="AV203" s="41"/>
    </row>
    <row r="204" spans="1:63" outlineLevel="1">
      <c r="A204" t="s">
        <v>1630</v>
      </c>
      <c r="B204" s="54" t="s">
        <v>462</v>
      </c>
      <c r="C204" s="110">
        <f>C193*C$202</f>
        <v>0.12349999999999998</v>
      </c>
      <c r="D204" s="110">
        <f t="shared" ref="D204:AG204" si="102">D190*D$139</f>
        <v>4.1871202636395509E-2</v>
      </c>
      <c r="E204" s="110">
        <f t="shared" si="102"/>
        <v>4.8501556932114581E-2</v>
      </c>
      <c r="F204" s="110">
        <f t="shared" si="102"/>
        <v>5.5294099707606445E-2</v>
      </c>
      <c r="G204" s="110">
        <f t="shared" si="102"/>
        <v>6.2248830962871093E-2</v>
      </c>
      <c r="H204" s="110">
        <f t="shared" si="102"/>
        <v>6.9365750697908526E-2</v>
      </c>
      <c r="I204" s="110">
        <f t="shared" si="102"/>
        <v>7.6644858912718744E-2</v>
      </c>
      <c r="J204" s="110">
        <f t="shared" si="102"/>
        <v>8.4086155607301746E-2</v>
      </c>
      <c r="K204" s="110">
        <f t="shared" si="102"/>
        <v>9.1689640781657547E-2</v>
      </c>
      <c r="L204" s="110">
        <f t="shared" si="102"/>
        <v>9.9455314435786119E-2</v>
      </c>
      <c r="M204" s="110">
        <f t="shared" si="102"/>
        <v>0.1073831765696875</v>
      </c>
      <c r="N204" s="110">
        <f t="shared" si="102"/>
        <v>0.11547322718336166</v>
      </c>
      <c r="O204" s="110">
        <f t="shared" si="102"/>
        <v>0.12372546627680858</v>
      </c>
      <c r="P204" s="110">
        <f t="shared" si="102"/>
        <v>0.13213989385002831</v>
      </c>
      <c r="Q204" s="110">
        <f t="shared" si="102"/>
        <v>0.14071650990302081</v>
      </c>
      <c r="R204" s="110">
        <f t="shared" si="102"/>
        <v>0.14945531443578614</v>
      </c>
      <c r="S204" s="110">
        <f t="shared" si="102"/>
        <v>0.15835630744832421</v>
      </c>
      <c r="T204" s="110">
        <f t="shared" si="102"/>
        <v>0.16741948894063508</v>
      </c>
      <c r="U204" s="110">
        <f t="shared" si="102"/>
        <v>0.17664485891271872</v>
      </c>
      <c r="V204" s="110">
        <f t="shared" si="102"/>
        <v>0.18603241736457518</v>
      </c>
      <c r="W204" s="110">
        <f t="shared" si="102"/>
        <v>0.1955821642962044</v>
      </c>
      <c r="X204" s="110">
        <f t="shared" si="102"/>
        <v>0.20529409970760643</v>
      </c>
      <c r="Y204" s="110">
        <f t="shared" si="102"/>
        <v>0.21516822359878124</v>
      </c>
      <c r="Z204" s="110">
        <f t="shared" si="102"/>
        <v>0.22520453596972881</v>
      </c>
      <c r="AA204" s="110">
        <f t="shared" si="102"/>
        <v>0.23540303682044919</v>
      </c>
      <c r="AB204" s="110">
        <f t="shared" si="102"/>
        <v>0.24576372615094236</v>
      </c>
      <c r="AC204" s="110">
        <f t="shared" si="102"/>
        <v>0.25628660396120834</v>
      </c>
      <c r="AD204" s="110">
        <f t="shared" si="102"/>
        <v>0.26697167025124707</v>
      </c>
      <c r="AE204" s="110">
        <f t="shared" si="102"/>
        <v>0.27781892502105865</v>
      </c>
      <c r="AF204" s="110">
        <f t="shared" si="102"/>
        <v>0.28882836827064295</v>
      </c>
      <c r="AG204" s="110">
        <f t="shared" si="102"/>
        <v>0.3</v>
      </c>
      <c r="AH204" s="245"/>
      <c r="AI204" s="133"/>
      <c r="AJ204" s="211"/>
      <c r="AL204" s="108"/>
      <c r="AM204" s="2"/>
      <c r="AN204" s="2"/>
      <c r="AO204" s="2"/>
      <c r="AV204" s="41"/>
    </row>
    <row r="205" spans="1:63" outlineLevel="1">
      <c r="A205" t="s">
        <v>1631</v>
      </c>
      <c r="B205" s="176" t="s">
        <v>462</v>
      </c>
      <c r="C205" s="110">
        <f>SUM(C203:C204)</f>
        <v>0.12999999999999998</v>
      </c>
      <c r="D205" s="110">
        <f t="shared" ref="D205:AG205" si="103">SUM(D203:D204)</f>
        <v>4.7547979639442906E-2</v>
      </c>
      <c r="E205" s="110">
        <f t="shared" si="103"/>
        <v>5.5347757197597082E-2</v>
      </c>
      <c r="F205" s="110">
        <f t="shared" si="103"/>
        <v>6.3407477914700389E-2</v>
      </c>
      <c r="G205" s="110">
        <f t="shared" si="103"/>
        <v>7.1729855423883049E-2</v>
      </c>
      <c r="H205" s="110">
        <f t="shared" si="103"/>
        <v>8.0317603358275272E-2</v>
      </c>
      <c r="I205" s="110">
        <f t="shared" si="103"/>
        <v>8.9173435351007302E-2</v>
      </c>
      <c r="J205" s="110">
        <f t="shared" si="103"/>
        <v>9.8300065035209355E-2</v>
      </c>
      <c r="K205" s="110">
        <f t="shared" si="103"/>
        <v>0.10770020604401168</v>
      </c>
      <c r="L205" s="110">
        <f t="shared" si="103"/>
        <v>0.11737657201054445</v>
      </c>
      <c r="M205" s="110">
        <f t="shared" si="103"/>
        <v>0.12733187656793798</v>
      </c>
      <c r="N205" s="110">
        <f t="shared" si="103"/>
        <v>0.13828219591927055</v>
      </c>
      <c r="O205" s="110">
        <f t="shared" si="103"/>
        <v>0.14961884135921896</v>
      </c>
      <c r="P205" s="110">
        <f t="shared" si="103"/>
        <v>0.16134753239145772</v>
      </c>
      <c r="Q205" s="110">
        <f t="shared" si="103"/>
        <v>0.17347398851966128</v>
      </c>
      <c r="R205" s="110">
        <f t="shared" si="103"/>
        <v>0.1860039292475042</v>
      </c>
      <c r="S205" s="110">
        <f t="shared" si="103"/>
        <v>0.19894307407866083</v>
      </c>
      <c r="T205" s="110">
        <f t="shared" si="103"/>
        <v>0.2122971425168057</v>
      </c>
      <c r="U205" s="110">
        <f t="shared" si="103"/>
        <v>0.22607185406561331</v>
      </c>
      <c r="V205" s="110">
        <f t="shared" si="103"/>
        <v>0.24027292822875818</v>
      </c>
      <c r="W205" s="110">
        <f t="shared" si="103"/>
        <v>0.25490608450991464</v>
      </c>
      <c r="X205" s="110">
        <f t="shared" si="103"/>
        <v>0.27160157194480761</v>
      </c>
      <c r="Y205" s="110">
        <f t="shared" si="103"/>
        <v>0.28889685197985937</v>
      </c>
      <c r="Z205" s="110">
        <f t="shared" si="103"/>
        <v>0.30680149439951998</v>
      </c>
      <c r="AA205" s="110">
        <f t="shared" si="103"/>
        <v>0.32532506898823965</v>
      </c>
      <c r="AB205" s="110">
        <f t="shared" si="103"/>
        <v>0.34447714553046827</v>
      </c>
      <c r="AC205" s="110">
        <f t="shared" si="103"/>
        <v>0.36426729381065615</v>
      </c>
      <c r="AD205" s="110">
        <f t="shared" si="103"/>
        <v>0.38470508361325312</v>
      </c>
      <c r="AE205" s="110">
        <f t="shared" si="103"/>
        <v>0.40580008472270945</v>
      </c>
      <c r="AF205" s="110">
        <f t="shared" si="103"/>
        <v>0.42756186692347503</v>
      </c>
      <c r="AG205" s="110">
        <f t="shared" si="103"/>
        <v>0.44999999999999996</v>
      </c>
      <c r="AI205" s="133"/>
      <c r="AJ205" s="211"/>
      <c r="AL205" s="108"/>
      <c r="AM205" s="2"/>
      <c r="AN205" s="2"/>
      <c r="AO205" s="2"/>
    </row>
    <row r="206" spans="1:63" outlineLevel="1">
      <c r="A206" t="s">
        <v>1635</v>
      </c>
      <c r="B206" s="54" t="s">
        <v>462</v>
      </c>
      <c r="C206" s="110">
        <f>C195*C204</f>
        <v>6.1749999999999992E-2</v>
      </c>
      <c r="D206" s="110">
        <f t="shared" ref="D206:AG206" si="104">D192*D204</f>
        <v>3.3114532517776484E-4</v>
      </c>
      <c r="E206" s="110">
        <f t="shared" si="104"/>
        <v>4.5641335103216679E-4</v>
      </c>
      <c r="F206" s="110">
        <f t="shared" si="104"/>
        <v>6.0850336553204597E-4</v>
      </c>
      <c r="G206" s="110">
        <f t="shared" si="104"/>
        <v>7.9008537175099581E-4</v>
      </c>
      <c r="H206" s="110">
        <f t="shared" si="104"/>
        <v>1.0039198272002847E-3</v>
      </c>
      <c r="I206" s="110">
        <f t="shared" si="104"/>
        <v>1.252857643828855E-3</v>
      </c>
      <c r="J206" s="110">
        <f t="shared" si="104"/>
        <v>1.5398401880233237E-3</v>
      </c>
      <c r="K206" s="110">
        <f t="shared" si="104"/>
        <v>1.867899280607981E-3</v>
      </c>
      <c r="L206" s="110">
        <f t="shared" si="104"/>
        <v>2.2401571968447918E-3</v>
      </c>
      <c r="M206" s="110">
        <f t="shared" si="104"/>
        <v>2.6598266664333969E-3</v>
      </c>
      <c r="N206" s="110">
        <f t="shared" si="104"/>
        <v>3.2312705709204264E-3</v>
      </c>
      <c r="O206" s="110">
        <f t="shared" si="104"/>
        <v>3.8840062623615563E-3</v>
      </c>
      <c r="P206" s="110">
        <f t="shared" si="104"/>
        <v>4.6245427690596568E-3</v>
      </c>
      <c r="Q206" s="110">
        <f t="shared" si="104"/>
        <v>5.4595797694400794E-3</v>
      </c>
      <c r="R206" s="110">
        <f t="shared" si="104"/>
        <v>6.3960075920506598E-3</v>
      </c>
      <c r="S206" s="110">
        <f t="shared" si="104"/>
        <v>7.4409072155617109E-3</v>
      </c>
      <c r="T206" s="110">
        <f t="shared" si="104"/>
        <v>8.6015502687660384E-3</v>
      </c>
      <c r="U206" s="110">
        <f t="shared" si="104"/>
        <v>9.8853990305789192E-3</v>
      </c>
      <c r="V206" s="110">
        <f t="shared" si="104"/>
        <v>1.130010643003812E-2</v>
      </c>
      <c r="W206" s="110">
        <f t="shared" si="104"/>
        <v>1.2853516046303887E-2</v>
      </c>
      <c r="X206" s="110">
        <f t="shared" si="104"/>
        <v>1.4919181253370261E-2</v>
      </c>
      <c r="Y206" s="110">
        <f t="shared" si="104"/>
        <v>1.7203346622251561E-2</v>
      </c>
      <c r="Z206" s="110">
        <f t="shared" si="104"/>
        <v>1.9719264953866202E-2</v>
      </c>
      <c r="AA206" s="110">
        <f t="shared" si="104"/>
        <v>2.2480508041947605E-2</v>
      </c>
      <c r="AB206" s="110">
        <f t="shared" si="104"/>
        <v>2.5500966673044197E-2</v>
      </c>
      <c r="AC206" s="110">
        <f t="shared" si="104"/>
        <v>2.879485062651941E-2</v>
      </c>
      <c r="AD206" s="110">
        <f t="shared" si="104"/>
        <v>3.2376688674551665E-2</v>
      </c>
      <c r="AE206" s="110">
        <f t="shared" si="104"/>
        <v>3.6261328582134406E-2</v>
      </c>
      <c r="AF206" s="110">
        <f t="shared" si="104"/>
        <v>4.0463937107076034E-2</v>
      </c>
      <c r="AG206" s="110">
        <f t="shared" si="104"/>
        <v>4.4999999999999998E-2</v>
      </c>
      <c r="AI206" s="133"/>
      <c r="AJ206" s="211"/>
      <c r="BD206" s="203"/>
      <c r="BE206" s="203"/>
    </row>
    <row r="207" spans="1:63" outlineLevel="1">
      <c r="A207" t="s">
        <v>1636</v>
      </c>
      <c r="B207" s="54" t="s">
        <v>462</v>
      </c>
      <c r="C207" s="110">
        <f>C196*C204</f>
        <v>6.1749999999999992E-2</v>
      </c>
      <c r="D207" s="110">
        <f t="shared" ref="D207:AG207" si="105">D194*D204</f>
        <v>0</v>
      </c>
      <c r="E207" s="110">
        <f t="shared" si="105"/>
        <v>0</v>
      </c>
      <c r="F207" s="110">
        <f t="shared" si="105"/>
        <v>0</v>
      </c>
      <c r="G207" s="110">
        <f t="shared" si="105"/>
        <v>0</v>
      </c>
      <c r="H207" s="110">
        <f t="shared" si="105"/>
        <v>0</v>
      </c>
      <c r="I207" s="110">
        <f t="shared" si="105"/>
        <v>0</v>
      </c>
      <c r="J207" s="110">
        <f t="shared" si="105"/>
        <v>0</v>
      </c>
      <c r="K207" s="110">
        <f t="shared" si="105"/>
        <v>0</v>
      </c>
      <c r="L207" s="110">
        <f t="shared" si="105"/>
        <v>0</v>
      </c>
      <c r="M207" s="110">
        <f t="shared" si="105"/>
        <v>0</v>
      </c>
      <c r="N207" s="110">
        <f t="shared" si="105"/>
        <v>0</v>
      </c>
      <c r="O207" s="110">
        <f t="shared" si="105"/>
        <v>0</v>
      </c>
      <c r="P207" s="110">
        <f t="shared" si="105"/>
        <v>0</v>
      </c>
      <c r="Q207" s="110">
        <f t="shared" si="105"/>
        <v>0</v>
      </c>
      <c r="R207" s="110">
        <f t="shared" si="105"/>
        <v>0</v>
      </c>
      <c r="S207" s="110">
        <f t="shared" si="105"/>
        <v>0</v>
      </c>
      <c r="T207" s="110">
        <f t="shared" si="105"/>
        <v>0</v>
      </c>
      <c r="U207" s="110">
        <f t="shared" si="105"/>
        <v>0</v>
      </c>
      <c r="V207" s="110">
        <f t="shared" si="105"/>
        <v>0</v>
      </c>
      <c r="W207" s="110">
        <f t="shared" si="105"/>
        <v>0</v>
      </c>
      <c r="X207" s="110">
        <f t="shared" si="105"/>
        <v>0</v>
      </c>
      <c r="Y207" s="110">
        <f t="shared" si="105"/>
        <v>0</v>
      </c>
      <c r="Z207" s="110">
        <f t="shared" si="105"/>
        <v>0</v>
      </c>
      <c r="AA207" s="110">
        <f t="shared" si="105"/>
        <v>0</v>
      </c>
      <c r="AB207" s="110">
        <f t="shared" si="105"/>
        <v>0</v>
      </c>
      <c r="AC207" s="110">
        <f t="shared" si="105"/>
        <v>0</v>
      </c>
      <c r="AD207" s="110">
        <f t="shared" si="105"/>
        <v>0</v>
      </c>
      <c r="AE207" s="110">
        <f t="shared" si="105"/>
        <v>0</v>
      </c>
      <c r="AF207" s="110">
        <f t="shared" si="105"/>
        <v>0</v>
      </c>
      <c r="AG207" s="110">
        <f t="shared" si="105"/>
        <v>0</v>
      </c>
      <c r="AI207" s="134"/>
      <c r="AJ207" s="211"/>
      <c r="BC207" s="1"/>
      <c r="BD207" s="41"/>
      <c r="BF207" s="6"/>
      <c r="BG207" s="6"/>
      <c r="BH207" s="6"/>
      <c r="BI207" s="6"/>
      <c r="BJ207" s="6"/>
    </row>
    <row r="208" spans="1:63" outlineLevel="1">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I208" s="134"/>
      <c r="AJ208" s="211"/>
      <c r="BC208" s="1"/>
      <c r="BD208" s="41"/>
      <c r="BF208" s="6"/>
      <c r="BG208" s="6"/>
      <c r="BH208" s="6"/>
      <c r="BI208" s="6"/>
      <c r="BJ208" s="6"/>
    </row>
    <row r="209" spans="1:63" s="1" customFormat="1" outlineLevel="1">
      <c r="A209" s="1" t="s">
        <v>228</v>
      </c>
      <c r="B209" s="65"/>
      <c r="C209" s="300">
        <f>'BTX Recycling HC'!C209</f>
        <v>0.11016660035716574</v>
      </c>
      <c r="D209" s="300">
        <f>'BTX Recycling HC'!D209</f>
        <v>9.9439273087778765E-2</v>
      </c>
      <c r="E209" s="300">
        <f>'BTX Recycling HC'!E209</f>
        <v>0.12361992003147491</v>
      </c>
      <c r="F209" s="300">
        <f>'BTX Recycling HC'!F209</f>
        <v>0.15062162288814759</v>
      </c>
      <c r="G209" s="300">
        <f>'BTX Recycling HC'!G209</f>
        <v>0.18048967387741766</v>
      </c>
      <c r="H209" s="300">
        <f>'BTX Recycling HC'!H209</f>
        <v>0.21323657377331556</v>
      </c>
      <c r="I209" s="300">
        <f>'BTX Recycling HC'!I209</f>
        <v>0.24937625460296697</v>
      </c>
      <c r="J209" s="300">
        <f>'BTX Recycling HC'!J209</f>
        <v>0.28910007074250993</v>
      </c>
      <c r="K209" s="300">
        <f>'BTX Recycling HC'!K209</f>
        <v>0.33260163240338747</v>
      </c>
      <c r="L209" s="300">
        <f>'BTX Recycling HC'!L209</f>
        <v>0.38007629312422203</v>
      </c>
      <c r="M209" s="300">
        <f>'BTX Recycling HC'!M209</f>
        <v>0.43172060552946318</v>
      </c>
      <c r="N209" s="300">
        <f>'BTX Recycling HC'!N209</f>
        <v>0.50275792441018419</v>
      </c>
      <c r="O209" s="300">
        <f>'BTX Recycling HC'!O209</f>
        <v>0.58020913563809495</v>
      </c>
      <c r="P209" s="300">
        <f>'BTX Recycling HC'!P209</f>
        <v>0.66406532734238877</v>
      </c>
      <c r="Q209" s="300">
        <f>'BTX Recycling HC'!Q209</f>
        <v>0.75425364487707969</v>
      </c>
      <c r="R209" s="300">
        <f>'BTX Recycling HC'!R209</f>
        <v>0.85063429553083492</v>
      </c>
      <c r="S209" s="300">
        <f>'BTX Recycling HC'!S209</f>
        <v>0.95471532923315072</v>
      </c>
      <c r="T209" s="300">
        <f>'BTX Recycling HC'!T209</f>
        <v>1.0668159101109038</v>
      </c>
      <c r="U209" s="300">
        <f>'BTX Recycling HC'!U209</f>
        <v>1.1872600208194943</v>
      </c>
      <c r="V209" s="300">
        <f>'BTX Recycling HC'!V209</f>
        <v>1.3163763073780306</v>
      </c>
      <c r="W209" s="300">
        <f>'BTX Recycling HC'!W209</f>
        <v>1.454497915545053</v>
      </c>
      <c r="X209" s="300">
        <f>'BTX Recycling HC'!X209</f>
        <v>1.6422141217630135</v>
      </c>
      <c r="Y209" s="300">
        <f>'BTX Recycling HC'!Y209</f>
        <v>1.8443551870355308</v>
      </c>
      <c r="Z209" s="300">
        <f>'BTX Recycling HC'!Z209</f>
        <v>2.0614864993459401</v>
      </c>
      <c r="AA209" s="300">
        <f>'BTX Recycling HC'!AA209</f>
        <v>2.2941813733258702</v>
      </c>
      <c r="AB209" s="300">
        <f>'BTX Recycling HC'!AB209</f>
        <v>2.5430207967815703</v>
      </c>
      <c r="AC209" s="300">
        <f>'BTX Recycling HC'!AC209</f>
        <v>2.8086197176088277</v>
      </c>
      <c r="AD209" s="300">
        <f>'BTX Recycling HC'!AD209</f>
        <v>3.0915817220077484</v>
      </c>
      <c r="AE209" s="300">
        <f>'BTX Recycling HC'!AE209</f>
        <v>3.3925182660394317</v>
      </c>
      <c r="AF209" s="300">
        <f>'BTX Recycling HC'!AF209</f>
        <v>3.7120484316855018</v>
      </c>
      <c r="AG209" s="300">
        <f>'BTX Recycling HC'!AG209</f>
        <v>4.0507986713806412</v>
      </c>
      <c r="AH209" s="245"/>
      <c r="AI209" s="423"/>
      <c r="AJ209" s="424"/>
      <c r="AL209" s="221"/>
      <c r="AM209" s="124"/>
      <c r="AN209" s="124"/>
      <c r="AO209" s="124"/>
      <c r="BD209" s="124"/>
      <c r="BE209" s="124"/>
      <c r="BF209" s="124"/>
      <c r="BG209" s="124"/>
      <c r="BH209" s="124"/>
      <c r="BI209" s="124"/>
      <c r="BJ209" s="124"/>
      <c r="BK209" s="124"/>
    </row>
    <row r="210" spans="1:63" outlineLevel="1">
      <c r="A210" s="4" t="s">
        <v>474</v>
      </c>
      <c r="C210" s="230">
        <f>C$209*'BTX recycling rates'!E74</f>
        <v>0.10125733896785366</v>
      </c>
      <c r="D210" s="230">
        <f>D$209*'BTX recycling rates'!F74</f>
        <v>9.139753926436972E-2</v>
      </c>
      <c r="E210" s="230">
        <f>E$209*'BTX recycling rates'!G74</f>
        <v>0.11362267788262405</v>
      </c>
      <c r="F210" s="230">
        <f>F$209*'BTX recycling rates'!H74</f>
        <v>0.13844073135802593</v>
      </c>
      <c r="G210" s="230">
        <f>G$209*'BTX recycling rates'!I74</f>
        <v>0.16589332909204449</v>
      </c>
      <c r="H210" s="230">
        <f>H$209*'BTX recycling rates'!J74</f>
        <v>0.19599196091108134</v>
      </c>
      <c r="I210" s="230">
        <f>I$209*'BTX recycling rates'!K74</f>
        <v>0.22920899674675266</v>
      </c>
      <c r="J210" s="230">
        <f>J$209*'BTX recycling rates'!L74</f>
        <v>0.26572031599321944</v>
      </c>
      <c r="K210" s="230">
        <f>K$209*'BTX recycling rates'!M74</f>
        <v>0.30570387144873595</v>
      </c>
      <c r="L210" s="230">
        <f>L$209*'BTX recycling rates'!N74</f>
        <v>0.34933921825446784</v>
      </c>
      <c r="M210" s="230">
        <f>M$209*'BTX recycling rates'!O74</f>
        <v>0.39680701366637455</v>
      </c>
      <c r="N210" s="230">
        <f>N$209*'BTX recycling rates'!P74</f>
        <v>0.46209948755548835</v>
      </c>
      <c r="O210" s="230">
        <f>O$209*'BTX recycling rates'!Q74</f>
        <v>0.53328715716995945</v>
      </c>
      <c r="P210" s="230">
        <f>P$209*'BTX recycling rates'!R74</f>
        <v>0.61036183134912603</v>
      </c>
      <c r="Q210" s="230">
        <f>Q$209*'BTX recycling rates'!S74</f>
        <v>0.69325654726069508</v>
      </c>
      <c r="R210" s="230">
        <f>R$209*'BTX recycling rates'!T74</f>
        <v>0.78184281734209538</v>
      </c>
      <c r="S210" s="230">
        <f>S$209*'BTX recycling rates'!U74</f>
        <v>0.87750673431468162</v>
      </c>
      <c r="T210" s="230">
        <f>T$209*'BTX recycling rates'!V74</f>
        <v>0.9805416512462326</v>
      </c>
      <c r="U210" s="230">
        <f>U$209*'BTX recycling rates'!W74</f>
        <v>1.0912453500547814</v>
      </c>
      <c r="V210" s="230">
        <f>V$209*'BTX recycling rates'!X74</f>
        <v>1.2099198988921036</v>
      </c>
      <c r="W210" s="230">
        <f>W$209*'BTX recycling rates'!Y74</f>
        <v>1.3368715017518678</v>
      </c>
      <c r="X210" s="230">
        <f>X$209*'BTX recycling rates'!Z74</f>
        <v>1.509406947714145</v>
      </c>
      <c r="Y210" s="230">
        <f>Y$209*'BTX recycling rates'!AA74</f>
        <v>1.6952007028020133</v>
      </c>
      <c r="Z210" s="230">
        <f>Z$209*'BTX recycling rates'!AB74</f>
        <v>1.8947724316188217</v>
      </c>
      <c r="AA210" s="230">
        <f>AA$209*'BTX recycling rates'!AC74</f>
        <v>2.108649084381804</v>
      </c>
      <c r="AB210" s="230">
        <f>AB$209*'BTX recycling rates'!AD74</f>
        <v>2.3373646639470236</v>
      </c>
      <c r="AC210" s="230">
        <f>AC$209*'BTX recycling rates'!AE74</f>
        <v>2.5814843868803856</v>
      </c>
      <c r="AD210" s="230">
        <f>AD$209*'BTX recycling rates'!AF74</f>
        <v>2.8415630268815626</v>
      </c>
      <c r="AE210" s="230">
        <f>AE$209*'BTX recycling rates'!AG74</f>
        <v>3.1181625910692445</v>
      </c>
      <c r="AF210" s="230">
        <f>AF$209*'BTX recycling rates'!AH74</f>
        <v>3.4118520957683343</v>
      </c>
      <c r="AG210" s="230">
        <f>AG$209*'BTX recycling rates'!AI74</f>
        <v>3.7232073317023371</v>
      </c>
      <c r="AH210" s="245"/>
      <c r="AI210" s="133"/>
      <c r="AJ210" s="211"/>
      <c r="AL210" s="108"/>
      <c r="AM210" s="2"/>
      <c r="AN210" s="2"/>
      <c r="AO210" s="2"/>
      <c r="BC210" s="1"/>
      <c r="BD210" s="2"/>
      <c r="BE210" s="2"/>
      <c r="BF210" s="2"/>
      <c r="BG210" s="2"/>
      <c r="BH210" s="2"/>
      <c r="BI210" s="2"/>
      <c r="BJ210" s="2"/>
      <c r="BK210" s="2"/>
    </row>
    <row r="211" spans="1:63" outlineLevel="1">
      <c r="A211" s="4" t="s">
        <v>478</v>
      </c>
      <c r="C211" s="230">
        <f>C$209*'BTX recycling rates'!E75</f>
        <v>0</v>
      </c>
      <c r="D211" s="230">
        <f>D$209*'BTX recycling rates'!F75</f>
        <v>0</v>
      </c>
      <c r="E211" s="230">
        <f>E$209*'BTX recycling rates'!G75</f>
        <v>0</v>
      </c>
      <c r="F211" s="230">
        <f>F$209*'BTX recycling rates'!H75</f>
        <v>0</v>
      </c>
      <c r="G211" s="230">
        <f>G$209*'BTX recycling rates'!I75</f>
        <v>0</v>
      </c>
      <c r="H211" s="230">
        <f>H$209*'BTX recycling rates'!J75</f>
        <v>0</v>
      </c>
      <c r="I211" s="230">
        <f>I$209*'BTX recycling rates'!K75</f>
        <v>0</v>
      </c>
      <c r="J211" s="230">
        <f>J$209*'BTX recycling rates'!L75</f>
        <v>0</v>
      </c>
      <c r="K211" s="230">
        <f>K$209*'BTX recycling rates'!M75</f>
        <v>0</v>
      </c>
      <c r="L211" s="230">
        <f>L$209*'BTX recycling rates'!N75</f>
        <v>0</v>
      </c>
      <c r="M211" s="230">
        <f>M$209*'BTX recycling rates'!O75</f>
        <v>0</v>
      </c>
      <c r="N211" s="230">
        <f>N$209*'BTX recycling rates'!P75</f>
        <v>0</v>
      </c>
      <c r="O211" s="230">
        <f>O$209*'BTX recycling rates'!Q75</f>
        <v>0</v>
      </c>
      <c r="P211" s="230">
        <f>P$209*'BTX recycling rates'!R75</f>
        <v>0</v>
      </c>
      <c r="Q211" s="230">
        <f>Q$209*'BTX recycling rates'!S75</f>
        <v>0</v>
      </c>
      <c r="R211" s="230">
        <f>R$209*'BTX recycling rates'!T75</f>
        <v>0</v>
      </c>
      <c r="S211" s="230">
        <f>S$209*'BTX recycling rates'!U75</f>
        <v>0</v>
      </c>
      <c r="T211" s="230">
        <f>T$209*'BTX recycling rates'!V75</f>
        <v>0</v>
      </c>
      <c r="U211" s="230">
        <f>U$209*'BTX recycling rates'!W75</f>
        <v>0</v>
      </c>
      <c r="V211" s="230">
        <f>V$209*'BTX recycling rates'!X75</f>
        <v>0</v>
      </c>
      <c r="W211" s="230">
        <f>W$209*'BTX recycling rates'!Y75</f>
        <v>0</v>
      </c>
      <c r="X211" s="230">
        <f>X$209*'BTX recycling rates'!Z75</f>
        <v>0</v>
      </c>
      <c r="Y211" s="230">
        <f>Y$209*'BTX recycling rates'!AA75</f>
        <v>0</v>
      </c>
      <c r="Z211" s="230">
        <f>Z$209*'BTX recycling rates'!AB75</f>
        <v>0</v>
      </c>
      <c r="AA211" s="230">
        <f>AA$209*'BTX recycling rates'!AC75</f>
        <v>0</v>
      </c>
      <c r="AB211" s="230">
        <f>AB$209*'BTX recycling rates'!AD75</f>
        <v>0</v>
      </c>
      <c r="AC211" s="230">
        <f>AC$209*'BTX recycling rates'!AE75</f>
        <v>0</v>
      </c>
      <c r="AD211" s="230">
        <f>AD$209*'BTX recycling rates'!AF75</f>
        <v>0</v>
      </c>
      <c r="AE211" s="230">
        <f>AE$209*'BTX recycling rates'!AG75</f>
        <v>0</v>
      </c>
      <c r="AF211" s="230">
        <f>AF$209*'BTX recycling rates'!AH75</f>
        <v>0</v>
      </c>
      <c r="AG211" s="230">
        <f>AG$209*'BTX recycling rates'!AI75</f>
        <v>0</v>
      </c>
      <c r="AH211" s="245"/>
      <c r="AI211" s="133"/>
      <c r="AJ211" s="211"/>
      <c r="AL211" s="108"/>
      <c r="AM211" s="2"/>
      <c r="AN211" s="2"/>
      <c r="AO211" s="2"/>
      <c r="BC211" s="1"/>
      <c r="BD211" s="2"/>
      <c r="BE211" s="2"/>
      <c r="BF211" s="2"/>
      <c r="BG211" s="2"/>
      <c r="BH211" s="2"/>
      <c r="BI211" s="2"/>
      <c r="BJ211" s="2"/>
      <c r="BK211" s="2"/>
    </row>
    <row r="212" spans="1:63" outlineLevel="1">
      <c r="A212" s="4" t="s">
        <v>745</v>
      </c>
      <c r="C212" s="230">
        <f>C$209*'BTX recycling rates'!E76</f>
        <v>0</v>
      </c>
      <c r="D212" s="230">
        <f>D$209*'BTX recycling rates'!F76</f>
        <v>0</v>
      </c>
      <c r="E212" s="230">
        <f>E$209*'BTX recycling rates'!G76</f>
        <v>0</v>
      </c>
      <c r="F212" s="230">
        <f>F$209*'BTX recycling rates'!H76</f>
        <v>0</v>
      </c>
      <c r="G212" s="230">
        <f>G$209*'BTX recycling rates'!I76</f>
        <v>0</v>
      </c>
      <c r="H212" s="230">
        <f>H$209*'BTX recycling rates'!J76</f>
        <v>0</v>
      </c>
      <c r="I212" s="230">
        <f>I$209*'BTX recycling rates'!K76</f>
        <v>0</v>
      </c>
      <c r="J212" s="230">
        <f>J$209*'BTX recycling rates'!L76</f>
        <v>0</v>
      </c>
      <c r="K212" s="230">
        <f>K$209*'BTX recycling rates'!M76</f>
        <v>0</v>
      </c>
      <c r="L212" s="230">
        <f>L$209*'BTX recycling rates'!N76</f>
        <v>0</v>
      </c>
      <c r="M212" s="230">
        <f>M$209*'BTX recycling rates'!O76</f>
        <v>0</v>
      </c>
      <c r="N212" s="230">
        <f>N$209*'BTX recycling rates'!P76</f>
        <v>0</v>
      </c>
      <c r="O212" s="230">
        <f>O$209*'BTX recycling rates'!Q76</f>
        <v>0</v>
      </c>
      <c r="P212" s="230">
        <f>P$209*'BTX recycling rates'!R76</f>
        <v>0</v>
      </c>
      <c r="Q212" s="230">
        <f>Q$209*'BTX recycling rates'!S76</f>
        <v>0</v>
      </c>
      <c r="R212" s="230">
        <f>R$209*'BTX recycling rates'!T76</f>
        <v>0</v>
      </c>
      <c r="S212" s="230">
        <f>S$209*'BTX recycling rates'!U76</f>
        <v>0</v>
      </c>
      <c r="T212" s="230">
        <f>T$209*'BTX recycling rates'!V76</f>
        <v>0</v>
      </c>
      <c r="U212" s="230">
        <f>U$209*'BTX recycling rates'!W76</f>
        <v>0</v>
      </c>
      <c r="V212" s="230">
        <f>V$209*'BTX recycling rates'!X76</f>
        <v>0</v>
      </c>
      <c r="W212" s="230">
        <f>W$209*'BTX recycling rates'!Y76</f>
        <v>0</v>
      </c>
      <c r="X212" s="230">
        <f>X$209*'BTX recycling rates'!Z76</f>
        <v>0</v>
      </c>
      <c r="Y212" s="230">
        <f>Y$209*'BTX recycling rates'!AA76</f>
        <v>0</v>
      </c>
      <c r="Z212" s="230">
        <f>Z$209*'BTX recycling rates'!AB76</f>
        <v>0</v>
      </c>
      <c r="AA212" s="230">
        <f>AA$209*'BTX recycling rates'!AC76</f>
        <v>0</v>
      </c>
      <c r="AB212" s="230">
        <f>AB$209*'BTX recycling rates'!AD76</f>
        <v>0</v>
      </c>
      <c r="AC212" s="230">
        <f>AC$209*'BTX recycling rates'!AE76</f>
        <v>0</v>
      </c>
      <c r="AD212" s="230">
        <f>AD$209*'BTX recycling rates'!AF76</f>
        <v>0</v>
      </c>
      <c r="AE212" s="230">
        <f>AE$209*'BTX recycling rates'!AG76</f>
        <v>0</v>
      </c>
      <c r="AF212" s="230">
        <f>AF$209*'BTX recycling rates'!AH76</f>
        <v>0</v>
      </c>
      <c r="AG212" s="230">
        <f>AG$209*'BTX recycling rates'!AI76</f>
        <v>0</v>
      </c>
      <c r="AH212" s="245"/>
      <c r="AI212" s="133"/>
      <c r="AJ212" s="211"/>
      <c r="AL212" s="108"/>
      <c r="AM212" s="2"/>
      <c r="AN212" s="2"/>
      <c r="AO212" s="2"/>
      <c r="BC212" s="1"/>
      <c r="BD212" s="2"/>
      <c r="BE212" s="2"/>
      <c r="BF212" s="2"/>
      <c r="BG212" s="2"/>
      <c r="BH212" s="2"/>
      <c r="BI212" s="2"/>
      <c r="BJ212" s="2"/>
      <c r="BK212" s="2"/>
    </row>
    <row r="213" spans="1:63" outlineLevel="1">
      <c r="A213" s="4" t="s">
        <v>1561</v>
      </c>
      <c r="C213" s="230">
        <f>C$209*'BTX recycling rates'!E77</f>
        <v>8.9092613893120808E-3</v>
      </c>
      <c r="D213" s="230">
        <f>D$209*'BTX recycling rates'!F77</f>
        <v>8.0417338234090498E-3</v>
      </c>
      <c r="E213" s="230">
        <f>E$209*'BTX recycling rates'!G77</f>
        <v>9.9972421488508691E-3</v>
      </c>
      <c r="F213" s="230">
        <f>F$209*'BTX recycling rates'!H77</f>
        <v>1.2180891530121661E-2</v>
      </c>
      <c r="G213" s="230">
        <f>G$209*'BTX recycling rates'!I77</f>
        <v>1.4596344785373172E-2</v>
      </c>
      <c r="H213" s="230">
        <f>H$209*'BTX recycling rates'!J77</f>
        <v>1.7244612862234221E-2</v>
      </c>
      <c r="I213" s="230">
        <f>I$209*'BTX recycling rates'!K77</f>
        <v>2.0167257856214305E-2</v>
      </c>
      <c r="J213" s="230">
        <f>J$209*'BTX recycling rates'!L77</f>
        <v>2.3379754749290504E-2</v>
      </c>
      <c r="K213" s="230">
        <f>K$209*'BTX recycling rates'!M77</f>
        <v>2.689776095465151E-2</v>
      </c>
      <c r="L213" s="230">
        <f>L$209*'BTX recycling rates'!N77</f>
        <v>3.0737074869754188E-2</v>
      </c>
      <c r="M213" s="230">
        <f>M$209*'BTX recycling rates'!O77</f>
        <v>3.4913591863088622E-2</v>
      </c>
      <c r="N213" s="230">
        <f>N$209*'BTX recycling rates'!P77</f>
        <v>4.0658436854695841E-2</v>
      </c>
      <c r="O213" s="230">
        <f>O$209*'BTX recycling rates'!Q77</f>
        <v>4.6921978468135457E-2</v>
      </c>
      <c r="P213" s="230">
        <f>P$209*'BTX recycling rates'!R77</f>
        <v>5.3703495993262775E-2</v>
      </c>
      <c r="Q213" s="230">
        <f>Q$209*'BTX recycling rates'!S77</f>
        <v>6.0997097616384624E-2</v>
      </c>
      <c r="R213" s="230">
        <f>R$209*'BTX recycling rates'!T77</f>
        <v>6.8791478188739513E-2</v>
      </c>
      <c r="S213" s="230">
        <f>S$209*'BTX recycling rates'!U77</f>
        <v>7.7208594918469084E-2</v>
      </c>
      <c r="T213" s="230">
        <f>T$209*'BTX recycling rates'!V77</f>
        <v>8.6274258864671258E-2</v>
      </c>
      <c r="U213" s="230">
        <f>U$209*'BTX recycling rates'!W77</f>
        <v>9.6014670764712956E-2</v>
      </c>
      <c r="V213" s="230">
        <f>V$209*'BTX recycling rates'!X77</f>
        <v>0.10645640848592693</v>
      </c>
      <c r="W213" s="230">
        <f>W$209*'BTX recycling rates'!Y77</f>
        <v>0.11762641379318522</v>
      </c>
      <c r="X213" s="230">
        <f>X$209*'BTX recycling rates'!Z77</f>
        <v>0.13280717404886863</v>
      </c>
      <c r="Y213" s="230">
        <f>Y$209*'BTX recycling rates'!AA77</f>
        <v>0.14915448423351763</v>
      </c>
      <c r="Z213" s="230">
        <f>Z$209*'BTX recycling rates'!AB77</f>
        <v>0.16671406772711833</v>
      </c>
      <c r="AA213" s="230">
        <f>AA$209*'BTX recycling rates'!AC77</f>
        <v>0.18553228894406618</v>
      </c>
      <c r="AB213" s="230">
        <f>AB$209*'BTX recycling rates'!AD77</f>
        <v>0.20565613283454662</v>
      </c>
      <c r="AC213" s="230">
        <f>AC$209*'BTX recycling rates'!AE77</f>
        <v>0.22713533072844191</v>
      </c>
      <c r="AD213" s="230">
        <f>AD$209*'BTX recycling rates'!AF77</f>
        <v>0.25001869512618591</v>
      </c>
      <c r="AE213" s="230">
        <f>AE$209*'BTX recycling rates'!AG77</f>
        <v>0.27435567497018726</v>
      </c>
      <c r="AF213" s="230">
        <f>AF$209*'BTX recycling rates'!AH77</f>
        <v>0.30019633591716777</v>
      </c>
      <c r="AG213" s="230">
        <f>AG$209*'BTX recycling rates'!AI77</f>
        <v>0.32759133967830367</v>
      </c>
      <c r="AH213" s="245"/>
      <c r="AI213" s="133"/>
      <c r="AJ213" s="211"/>
      <c r="AL213" s="108"/>
      <c r="AM213" s="2"/>
      <c r="AN213" s="2"/>
      <c r="AO213" s="2"/>
      <c r="BC213" s="1"/>
      <c r="BD213" s="2"/>
      <c r="BE213" s="2"/>
      <c r="BF213" s="2"/>
      <c r="BG213" s="2"/>
      <c r="BH213" s="2"/>
      <c r="BI213" s="2"/>
      <c r="BJ213" s="2"/>
      <c r="BK213" s="2"/>
    </row>
    <row r="214" spans="1:63" s="1" customFormat="1" outlineLevel="1">
      <c r="A214" s="1" t="s">
        <v>1562</v>
      </c>
      <c r="B214" s="65"/>
      <c r="C214" s="300">
        <f t="shared" ref="C214:AG214" si="106">C209-$C209</f>
        <v>0</v>
      </c>
      <c r="D214" s="300">
        <f t="shared" si="106"/>
        <v>-1.072732726938698E-2</v>
      </c>
      <c r="E214" s="300">
        <f t="shared" si="106"/>
        <v>1.3453319674309169E-2</v>
      </c>
      <c r="F214" s="300">
        <f t="shared" si="106"/>
        <v>4.0455022530981849E-2</v>
      </c>
      <c r="G214" s="300">
        <f t="shared" si="106"/>
        <v>7.0323073520251911E-2</v>
      </c>
      <c r="H214" s="300">
        <f t="shared" si="106"/>
        <v>0.10306997341614982</v>
      </c>
      <c r="I214" s="300">
        <f t="shared" si="106"/>
        <v>0.13920965424580123</v>
      </c>
      <c r="J214" s="300">
        <f t="shared" si="106"/>
        <v>0.17893347038534418</v>
      </c>
      <c r="K214" s="300">
        <f t="shared" si="106"/>
        <v>0.22243503204622173</v>
      </c>
      <c r="L214" s="300">
        <f t="shared" si="106"/>
        <v>0.26990969276705629</v>
      </c>
      <c r="M214" s="300">
        <f t="shared" si="106"/>
        <v>0.32155400517229743</v>
      </c>
      <c r="N214" s="300">
        <f t="shared" si="106"/>
        <v>0.39259132405301844</v>
      </c>
      <c r="O214" s="300">
        <f t="shared" si="106"/>
        <v>0.47004253528092921</v>
      </c>
      <c r="P214" s="300">
        <f t="shared" si="106"/>
        <v>0.55389872698522302</v>
      </c>
      <c r="Q214" s="300">
        <f t="shared" si="106"/>
        <v>0.64408704451991394</v>
      </c>
      <c r="R214" s="300">
        <f t="shared" si="106"/>
        <v>0.74046769517366917</v>
      </c>
      <c r="S214" s="300">
        <f t="shared" si="106"/>
        <v>0.84454872887598498</v>
      </c>
      <c r="T214" s="300">
        <f t="shared" si="106"/>
        <v>0.95664930975373808</v>
      </c>
      <c r="U214" s="300">
        <f t="shared" si="106"/>
        <v>1.0770934204623286</v>
      </c>
      <c r="V214" s="300">
        <f t="shared" si="106"/>
        <v>1.2062097070208648</v>
      </c>
      <c r="W214" s="300">
        <f t="shared" si="106"/>
        <v>1.3443313151878873</v>
      </c>
      <c r="X214" s="300">
        <f t="shared" si="106"/>
        <v>1.5320475214058478</v>
      </c>
      <c r="Y214" s="300">
        <f t="shared" si="106"/>
        <v>1.7341885866783651</v>
      </c>
      <c r="Z214" s="300">
        <f t="shared" si="106"/>
        <v>1.9513198989887743</v>
      </c>
      <c r="AA214" s="300">
        <f t="shared" si="106"/>
        <v>2.1840147729687045</v>
      </c>
      <c r="AB214" s="300">
        <f t="shared" si="106"/>
        <v>2.4328541964244046</v>
      </c>
      <c r="AC214" s="300">
        <f t="shared" si="106"/>
        <v>2.6984531172516619</v>
      </c>
      <c r="AD214" s="300">
        <f t="shared" si="106"/>
        <v>2.9814151216505826</v>
      </c>
      <c r="AE214" s="300">
        <f t="shared" si="106"/>
        <v>3.282351665682266</v>
      </c>
      <c r="AF214" s="300">
        <f t="shared" si="106"/>
        <v>3.6018818313283361</v>
      </c>
      <c r="AG214" s="300">
        <f t="shared" si="106"/>
        <v>3.9406320710234755</v>
      </c>
      <c r="AH214" s="245"/>
      <c r="AI214" s="423"/>
      <c r="AJ214" s="424"/>
      <c r="AL214" s="221"/>
      <c r="AM214" s="124"/>
      <c r="AN214" s="124"/>
      <c r="AO214" s="124"/>
      <c r="BD214" s="124"/>
      <c r="BE214" s="124"/>
      <c r="BF214" s="124"/>
      <c r="BG214" s="124"/>
      <c r="BH214" s="124"/>
      <c r="BI214" s="124"/>
      <c r="BJ214" s="124"/>
      <c r="BK214" s="124"/>
    </row>
    <row r="215" spans="1:63" outlineLevel="1">
      <c r="A215" s="4" t="s">
        <v>474</v>
      </c>
      <c r="C215" s="230">
        <f t="shared" ref="C215:AG215" si="107">C210-$C210</f>
        <v>0</v>
      </c>
      <c r="D215" s="230">
        <f t="shared" si="107"/>
        <v>-9.8597997034839402E-3</v>
      </c>
      <c r="E215" s="230">
        <f t="shared" si="107"/>
        <v>1.2365338914770388E-2</v>
      </c>
      <c r="F215" s="230">
        <f t="shared" si="107"/>
        <v>3.7183392390172265E-2</v>
      </c>
      <c r="G215" s="230">
        <f t="shared" si="107"/>
        <v>6.4635990124190829E-2</v>
      </c>
      <c r="H215" s="230">
        <f t="shared" si="107"/>
        <v>9.4734621943227681E-2</v>
      </c>
      <c r="I215" s="230">
        <f t="shared" si="107"/>
        <v>0.127951657778899</v>
      </c>
      <c r="J215" s="230">
        <f t="shared" si="107"/>
        <v>0.16446297702536578</v>
      </c>
      <c r="K215" s="230">
        <f t="shared" si="107"/>
        <v>0.20444653248088229</v>
      </c>
      <c r="L215" s="230">
        <f t="shared" si="107"/>
        <v>0.24808187928661418</v>
      </c>
      <c r="M215" s="230">
        <f t="shared" si="107"/>
        <v>0.29554967469852089</v>
      </c>
      <c r="N215" s="230">
        <f t="shared" si="107"/>
        <v>0.36084214858763469</v>
      </c>
      <c r="O215" s="230">
        <f t="shared" si="107"/>
        <v>0.43202981820210579</v>
      </c>
      <c r="P215" s="230">
        <f t="shared" si="107"/>
        <v>0.50910449238127242</v>
      </c>
      <c r="Q215" s="230">
        <f t="shared" si="107"/>
        <v>0.59199920829284136</v>
      </c>
      <c r="R215" s="230">
        <f t="shared" si="107"/>
        <v>0.68058547837424177</v>
      </c>
      <c r="S215" s="230">
        <f t="shared" si="107"/>
        <v>0.77624939534682791</v>
      </c>
      <c r="T215" s="230">
        <f t="shared" si="107"/>
        <v>0.87928431227837889</v>
      </c>
      <c r="U215" s="230">
        <f t="shared" si="107"/>
        <v>0.98998801108692769</v>
      </c>
      <c r="V215" s="230">
        <f t="shared" si="107"/>
        <v>1.1086625599242499</v>
      </c>
      <c r="W215" s="230">
        <f t="shared" si="107"/>
        <v>1.235614162784014</v>
      </c>
      <c r="X215" s="230">
        <f t="shared" si="107"/>
        <v>1.4081496087462912</v>
      </c>
      <c r="Y215" s="230">
        <f t="shared" si="107"/>
        <v>1.5939433638341596</v>
      </c>
      <c r="Z215" s="230">
        <f t="shared" si="107"/>
        <v>1.793515092650968</v>
      </c>
      <c r="AA215" s="230">
        <f t="shared" si="107"/>
        <v>2.0073917454139503</v>
      </c>
      <c r="AB215" s="230">
        <f t="shared" si="107"/>
        <v>2.2361073249791699</v>
      </c>
      <c r="AC215" s="230">
        <f t="shared" si="107"/>
        <v>2.4802270479125319</v>
      </c>
      <c r="AD215" s="230">
        <f t="shared" si="107"/>
        <v>2.7403056879137089</v>
      </c>
      <c r="AE215" s="230">
        <f t="shared" si="107"/>
        <v>3.0169052521013908</v>
      </c>
      <c r="AF215" s="230">
        <f t="shared" si="107"/>
        <v>3.3105947568004805</v>
      </c>
      <c r="AG215" s="230">
        <f t="shared" si="107"/>
        <v>3.6219499927344834</v>
      </c>
      <c r="AH215" s="245"/>
      <c r="AI215" s="133"/>
      <c r="AJ215" s="211"/>
      <c r="AL215" s="108"/>
      <c r="AM215" s="2"/>
      <c r="AN215" s="2"/>
      <c r="AO215" s="2"/>
      <c r="BC215" s="1"/>
      <c r="BD215" s="2"/>
      <c r="BE215" s="2"/>
      <c r="BF215" s="2"/>
      <c r="BG215" s="2"/>
      <c r="BH215" s="2"/>
      <c r="BI215" s="2"/>
      <c r="BJ215" s="2"/>
      <c r="BK215" s="2"/>
    </row>
    <row r="216" spans="1:63" outlineLevel="1">
      <c r="A216" s="4" t="s">
        <v>478</v>
      </c>
      <c r="C216" s="230">
        <f t="shared" ref="C216:AG218" si="108">C211-$C211</f>
        <v>0</v>
      </c>
      <c r="D216" s="230">
        <f t="shared" si="108"/>
        <v>0</v>
      </c>
      <c r="E216" s="230">
        <f t="shared" si="108"/>
        <v>0</v>
      </c>
      <c r="F216" s="230">
        <f t="shared" si="108"/>
        <v>0</v>
      </c>
      <c r="G216" s="230">
        <f t="shared" si="108"/>
        <v>0</v>
      </c>
      <c r="H216" s="230">
        <f t="shared" si="108"/>
        <v>0</v>
      </c>
      <c r="I216" s="230">
        <f t="shared" si="108"/>
        <v>0</v>
      </c>
      <c r="J216" s="230">
        <f t="shared" si="108"/>
        <v>0</v>
      </c>
      <c r="K216" s="230">
        <f t="shared" si="108"/>
        <v>0</v>
      </c>
      <c r="L216" s="230">
        <f t="shared" si="108"/>
        <v>0</v>
      </c>
      <c r="M216" s="230">
        <f t="shared" si="108"/>
        <v>0</v>
      </c>
      <c r="N216" s="230">
        <f t="shared" si="108"/>
        <v>0</v>
      </c>
      <c r="O216" s="230">
        <f t="shared" si="108"/>
        <v>0</v>
      </c>
      <c r="P216" s="230">
        <f t="shared" si="108"/>
        <v>0</v>
      </c>
      <c r="Q216" s="230">
        <f t="shared" si="108"/>
        <v>0</v>
      </c>
      <c r="R216" s="230">
        <f t="shared" si="108"/>
        <v>0</v>
      </c>
      <c r="S216" s="230">
        <f t="shared" si="108"/>
        <v>0</v>
      </c>
      <c r="T216" s="230">
        <f t="shared" si="108"/>
        <v>0</v>
      </c>
      <c r="U216" s="230">
        <f t="shared" si="108"/>
        <v>0</v>
      </c>
      <c r="V216" s="230">
        <f t="shared" si="108"/>
        <v>0</v>
      </c>
      <c r="W216" s="230">
        <f t="shared" si="108"/>
        <v>0</v>
      </c>
      <c r="X216" s="230">
        <f t="shared" si="108"/>
        <v>0</v>
      </c>
      <c r="Y216" s="230">
        <f t="shared" si="108"/>
        <v>0</v>
      </c>
      <c r="Z216" s="230">
        <f t="shared" si="108"/>
        <v>0</v>
      </c>
      <c r="AA216" s="230">
        <f t="shared" si="108"/>
        <v>0</v>
      </c>
      <c r="AB216" s="230">
        <f t="shared" si="108"/>
        <v>0</v>
      </c>
      <c r="AC216" s="230">
        <f t="shared" si="108"/>
        <v>0</v>
      </c>
      <c r="AD216" s="230">
        <f t="shared" si="108"/>
        <v>0</v>
      </c>
      <c r="AE216" s="230">
        <f t="shared" si="108"/>
        <v>0</v>
      </c>
      <c r="AF216" s="230">
        <f t="shared" si="108"/>
        <v>0</v>
      </c>
      <c r="AG216" s="230">
        <f t="shared" si="108"/>
        <v>0</v>
      </c>
      <c r="AH216" s="245"/>
      <c r="AI216" s="133"/>
      <c r="AJ216" s="211"/>
      <c r="AL216" s="108"/>
      <c r="AM216" s="2"/>
      <c r="AN216" s="2"/>
      <c r="AO216" s="2"/>
      <c r="BC216" s="1"/>
      <c r="BD216" s="2"/>
      <c r="BE216" s="2"/>
      <c r="BF216" s="2"/>
      <c r="BG216" s="2"/>
      <c r="BH216" s="2"/>
      <c r="BI216" s="2"/>
      <c r="BJ216" s="2"/>
      <c r="BK216" s="2"/>
    </row>
    <row r="217" spans="1:63" outlineLevel="1">
      <c r="A217" s="4" t="s">
        <v>745</v>
      </c>
      <c r="C217" s="230">
        <f t="shared" si="108"/>
        <v>0</v>
      </c>
      <c r="D217" s="230">
        <f t="shared" si="108"/>
        <v>0</v>
      </c>
      <c r="E217" s="230">
        <f t="shared" si="108"/>
        <v>0</v>
      </c>
      <c r="F217" s="230">
        <f t="shared" si="108"/>
        <v>0</v>
      </c>
      <c r="G217" s="230">
        <f t="shared" si="108"/>
        <v>0</v>
      </c>
      <c r="H217" s="230">
        <f t="shared" si="108"/>
        <v>0</v>
      </c>
      <c r="I217" s="230">
        <f t="shared" si="108"/>
        <v>0</v>
      </c>
      <c r="J217" s="230">
        <f t="shared" si="108"/>
        <v>0</v>
      </c>
      <c r="K217" s="230">
        <f t="shared" si="108"/>
        <v>0</v>
      </c>
      <c r="L217" s="230">
        <f t="shared" si="108"/>
        <v>0</v>
      </c>
      <c r="M217" s="230">
        <f t="shared" si="108"/>
        <v>0</v>
      </c>
      <c r="N217" s="230">
        <f t="shared" si="108"/>
        <v>0</v>
      </c>
      <c r="O217" s="230">
        <f t="shared" si="108"/>
        <v>0</v>
      </c>
      <c r="P217" s="230">
        <f t="shared" si="108"/>
        <v>0</v>
      </c>
      <c r="Q217" s="230">
        <f t="shared" si="108"/>
        <v>0</v>
      </c>
      <c r="R217" s="230">
        <f t="shared" si="108"/>
        <v>0</v>
      </c>
      <c r="S217" s="230">
        <f t="shared" si="108"/>
        <v>0</v>
      </c>
      <c r="T217" s="230">
        <f t="shared" si="108"/>
        <v>0</v>
      </c>
      <c r="U217" s="230">
        <f t="shared" si="108"/>
        <v>0</v>
      </c>
      <c r="V217" s="230">
        <f t="shared" si="108"/>
        <v>0</v>
      </c>
      <c r="W217" s="230">
        <f t="shared" si="108"/>
        <v>0</v>
      </c>
      <c r="X217" s="230">
        <f t="shared" si="108"/>
        <v>0</v>
      </c>
      <c r="Y217" s="230">
        <f t="shared" si="108"/>
        <v>0</v>
      </c>
      <c r="Z217" s="230">
        <f t="shared" si="108"/>
        <v>0</v>
      </c>
      <c r="AA217" s="230">
        <f t="shared" si="108"/>
        <v>0</v>
      </c>
      <c r="AB217" s="230">
        <f t="shared" si="108"/>
        <v>0</v>
      </c>
      <c r="AC217" s="230">
        <f t="shared" si="108"/>
        <v>0</v>
      </c>
      <c r="AD217" s="230">
        <f t="shared" si="108"/>
        <v>0</v>
      </c>
      <c r="AE217" s="230">
        <f t="shared" si="108"/>
        <v>0</v>
      </c>
      <c r="AF217" s="230">
        <f t="shared" si="108"/>
        <v>0</v>
      </c>
      <c r="AG217" s="230">
        <f t="shared" si="108"/>
        <v>0</v>
      </c>
      <c r="AH217" s="245"/>
      <c r="AI217" s="133"/>
      <c r="AJ217" s="211"/>
      <c r="AL217" s="108"/>
      <c r="AM217" s="2"/>
      <c r="AN217" s="2"/>
      <c r="AO217" s="2"/>
      <c r="BC217" s="1"/>
      <c r="BD217" s="2"/>
      <c r="BE217" s="2"/>
      <c r="BF217" s="2"/>
      <c r="BG217" s="2"/>
      <c r="BH217" s="2"/>
      <c r="BI217" s="2"/>
      <c r="BJ217" s="2"/>
      <c r="BK217" s="2"/>
    </row>
    <row r="218" spans="1:63" outlineLevel="1">
      <c r="A218" s="4" t="s">
        <v>1561</v>
      </c>
      <c r="C218" s="230">
        <f t="shared" si="108"/>
        <v>0</v>
      </c>
      <c r="D218" s="230">
        <f t="shared" si="108"/>
        <v>-8.6752756590303091E-4</v>
      </c>
      <c r="E218" s="230">
        <f t="shared" si="108"/>
        <v>1.0879807595387883E-3</v>
      </c>
      <c r="F218" s="230">
        <f t="shared" si="108"/>
        <v>3.2716301408095803E-3</v>
      </c>
      <c r="G218" s="230">
        <f t="shared" si="108"/>
        <v>5.6870833960610909E-3</v>
      </c>
      <c r="H218" s="230">
        <f t="shared" si="108"/>
        <v>8.3353514729221402E-3</v>
      </c>
      <c r="I218" s="230">
        <f t="shared" si="108"/>
        <v>1.1257996466902224E-2</v>
      </c>
      <c r="J218" s="230">
        <f t="shared" si="108"/>
        <v>1.4470493359978423E-2</v>
      </c>
      <c r="K218" s="230">
        <f t="shared" si="108"/>
        <v>1.798849956533943E-2</v>
      </c>
      <c r="L218" s="230">
        <f t="shared" si="108"/>
        <v>2.1827813480442108E-2</v>
      </c>
      <c r="M218" s="230">
        <f t="shared" si="108"/>
        <v>2.6004330473776541E-2</v>
      </c>
      <c r="N218" s="230">
        <f t="shared" si="108"/>
        <v>3.1749175465383764E-2</v>
      </c>
      <c r="O218" s="230">
        <f t="shared" si="108"/>
        <v>3.801271707882338E-2</v>
      </c>
      <c r="P218" s="230">
        <f t="shared" si="108"/>
        <v>4.4794234603950697E-2</v>
      </c>
      <c r="Q218" s="230">
        <f t="shared" si="108"/>
        <v>5.208783622707254E-2</v>
      </c>
      <c r="R218" s="230">
        <f t="shared" si="108"/>
        <v>5.9882216799427429E-2</v>
      </c>
      <c r="S218" s="230">
        <f t="shared" si="108"/>
        <v>6.8299333529157E-2</v>
      </c>
      <c r="T218" s="230">
        <f t="shared" si="108"/>
        <v>7.7364997475359173E-2</v>
      </c>
      <c r="U218" s="230">
        <f t="shared" si="108"/>
        <v>8.7105409375400872E-2</v>
      </c>
      <c r="V218" s="230">
        <f t="shared" si="108"/>
        <v>9.7547147096614842E-2</v>
      </c>
      <c r="W218" s="230">
        <f t="shared" si="108"/>
        <v>0.10871715240387314</v>
      </c>
      <c r="X218" s="230">
        <f t="shared" si="108"/>
        <v>0.12389791265955655</v>
      </c>
      <c r="Y218" s="230">
        <f t="shared" si="108"/>
        <v>0.14024522284420554</v>
      </c>
      <c r="Z218" s="230">
        <f t="shared" si="108"/>
        <v>0.15780480633780625</v>
      </c>
      <c r="AA218" s="230">
        <f t="shared" si="108"/>
        <v>0.17662302755475409</v>
      </c>
      <c r="AB218" s="230">
        <f t="shared" si="108"/>
        <v>0.19674687144523453</v>
      </c>
      <c r="AC218" s="230">
        <f t="shared" si="108"/>
        <v>0.21822606933912983</v>
      </c>
      <c r="AD218" s="230">
        <f t="shared" si="108"/>
        <v>0.24110943373687382</v>
      </c>
      <c r="AE218" s="230">
        <f t="shared" si="108"/>
        <v>0.26544641358087517</v>
      </c>
      <c r="AF218" s="230">
        <f t="shared" si="108"/>
        <v>0.29128707452785568</v>
      </c>
      <c r="AG218" s="230">
        <f t="shared" si="108"/>
        <v>0.31868207828899159</v>
      </c>
      <c r="AH218" s="245"/>
      <c r="AI218" s="133"/>
      <c r="AJ218" s="211"/>
      <c r="AL218" s="108"/>
      <c r="AM218" s="2"/>
      <c r="AN218" s="2"/>
      <c r="AO218" s="2"/>
      <c r="BC218" s="1"/>
      <c r="BD218" s="2"/>
      <c r="BE218" s="2"/>
      <c r="BF218" s="2"/>
      <c r="BG218" s="2"/>
      <c r="BH218" s="2"/>
      <c r="BI218" s="2"/>
      <c r="BJ218" s="2"/>
      <c r="BK218" s="2"/>
    </row>
    <row r="219" spans="1:63" s="1" customFormat="1" outlineLevel="1">
      <c r="A219" s="1" t="s">
        <v>1569</v>
      </c>
      <c r="B219" s="65"/>
      <c r="C219" s="300">
        <f>'BTX Recycling HC'!C219</f>
        <v>0.11016660035716574</v>
      </c>
      <c r="D219" s="300">
        <f>'BTX Recycling HC'!D219</f>
        <v>9.9439273087778765E-2</v>
      </c>
      <c r="E219" s="300">
        <f>'BTX Recycling HC'!E219</f>
        <v>0.12361992003147491</v>
      </c>
      <c r="F219" s="300">
        <f>'BTX Recycling HC'!F219</f>
        <v>0.15062162288814759</v>
      </c>
      <c r="G219" s="300">
        <f>'BTX Recycling HC'!G219</f>
        <v>0.18048967387741766</v>
      </c>
      <c r="H219" s="300">
        <f>'BTX Recycling HC'!H219</f>
        <v>0.21323657377331556</v>
      </c>
      <c r="I219" s="300">
        <f>'BTX Recycling HC'!I219</f>
        <v>0.24937625460296697</v>
      </c>
      <c r="J219" s="300">
        <f>'BTX Recycling HC'!J219</f>
        <v>0.28910007074250993</v>
      </c>
      <c r="K219" s="300">
        <f>'BTX Recycling HC'!K219</f>
        <v>0.33260163240338747</v>
      </c>
      <c r="L219" s="300">
        <f>'BTX Recycling HC'!L219</f>
        <v>0.38007629312422203</v>
      </c>
      <c r="M219" s="300">
        <f>'BTX Recycling HC'!M219</f>
        <v>0.43172060552946318</v>
      </c>
      <c r="N219" s="300">
        <f>'BTX Recycling HC'!N219</f>
        <v>0.50275792441018419</v>
      </c>
      <c r="O219" s="300">
        <f>'BTX Recycling HC'!O219</f>
        <v>0.58020913563809495</v>
      </c>
      <c r="P219" s="300">
        <f>'BTX Recycling HC'!P219</f>
        <v>0.66406532734238877</v>
      </c>
      <c r="Q219" s="300">
        <f>'BTX Recycling HC'!Q219</f>
        <v>0.75425364487707969</v>
      </c>
      <c r="R219" s="300">
        <f>'BTX Recycling HC'!R219</f>
        <v>0.85063429553083492</v>
      </c>
      <c r="S219" s="300">
        <f>'BTX Recycling HC'!S219</f>
        <v>0.95471532923315072</v>
      </c>
      <c r="T219" s="300">
        <f>'BTX Recycling HC'!T219</f>
        <v>1.0668159101109038</v>
      </c>
      <c r="U219" s="300">
        <f>'BTX Recycling HC'!U219</f>
        <v>1.1872600208194943</v>
      </c>
      <c r="V219" s="300">
        <f>'BTX Recycling HC'!V219</f>
        <v>1.3163763073780306</v>
      </c>
      <c r="W219" s="300">
        <f>'BTX Recycling HC'!W219</f>
        <v>1.454497915545053</v>
      </c>
      <c r="X219" s="300">
        <f>'BTX Recycling HC'!X219</f>
        <v>1.6422141217630135</v>
      </c>
      <c r="Y219" s="300">
        <f>'BTX Recycling HC'!Y219</f>
        <v>1.8443551870355308</v>
      </c>
      <c r="Z219" s="300">
        <f>'BTX Recycling HC'!Z219</f>
        <v>2.0614864993459401</v>
      </c>
      <c r="AA219" s="300">
        <f>'BTX Recycling HC'!AA219</f>
        <v>2.2941813733258702</v>
      </c>
      <c r="AB219" s="300">
        <f>'BTX Recycling HC'!AB219</f>
        <v>2.5430207967815703</v>
      </c>
      <c r="AC219" s="300">
        <f>'BTX Recycling HC'!AC219</f>
        <v>2.8086197176088277</v>
      </c>
      <c r="AD219" s="300">
        <f>'BTX Recycling HC'!AD219</f>
        <v>3.0915817220077484</v>
      </c>
      <c r="AE219" s="300">
        <f>'BTX Recycling HC'!AE219</f>
        <v>3.3925182660394317</v>
      </c>
      <c r="AF219" s="300">
        <f>'BTX Recycling HC'!AF219</f>
        <v>3.7120484316855018</v>
      </c>
      <c r="AG219" s="300">
        <f>'BTX Recycling HC'!AG219</f>
        <v>4.0507986713806412</v>
      </c>
      <c r="AH219" s="245"/>
      <c r="AI219" s="423"/>
      <c r="AJ219" s="424"/>
      <c r="AL219" s="221"/>
      <c r="AM219" s="124"/>
      <c r="AN219" s="124"/>
      <c r="AO219" s="124"/>
      <c r="BD219" s="124"/>
      <c r="BE219" s="124"/>
      <c r="BF219" s="124"/>
      <c r="BG219" s="124"/>
      <c r="BH219" s="124"/>
      <c r="BI219" s="124"/>
      <c r="BJ219" s="124"/>
      <c r="BK219" s="124"/>
    </row>
    <row r="220" spans="1:63" outlineLevel="1">
      <c r="A220" s="4" t="s">
        <v>474</v>
      </c>
      <c r="C220" s="230">
        <f>C$219*'BTX recycling rates'!E78</f>
        <v>0.10125733896785366</v>
      </c>
      <c r="D220" s="230">
        <f>D$219*'BTX recycling rates'!F78</f>
        <v>9.139753926436972E-2</v>
      </c>
      <c r="E220" s="230">
        <f>E$219*'BTX recycling rates'!G78</f>
        <v>0.11362267788262405</v>
      </c>
      <c r="F220" s="230">
        <f>F$219*'BTX recycling rates'!H78</f>
        <v>0.13844073135802593</v>
      </c>
      <c r="G220" s="230">
        <f>G$219*'BTX recycling rates'!I78</f>
        <v>0.16589332909204449</v>
      </c>
      <c r="H220" s="230">
        <f>H$219*'BTX recycling rates'!J78</f>
        <v>0.19599196091108134</v>
      </c>
      <c r="I220" s="230">
        <f>I$219*'BTX recycling rates'!K78</f>
        <v>0.22920899674675266</v>
      </c>
      <c r="J220" s="230">
        <f>J$219*'BTX recycling rates'!L78</f>
        <v>0.26572031599321944</v>
      </c>
      <c r="K220" s="230">
        <f>K$219*'BTX recycling rates'!M78</f>
        <v>0.30570387144873595</v>
      </c>
      <c r="L220" s="230">
        <f>L$219*'BTX recycling rates'!N78</f>
        <v>0.34933921825446784</v>
      </c>
      <c r="M220" s="230">
        <f>M$219*'BTX recycling rates'!O78</f>
        <v>0.39680701366637455</v>
      </c>
      <c r="N220" s="230">
        <f>N$219*'BTX recycling rates'!P78</f>
        <v>0.46209948755548835</v>
      </c>
      <c r="O220" s="230">
        <f>O$219*'BTX recycling rates'!Q78</f>
        <v>0.53328715716995945</v>
      </c>
      <c r="P220" s="230">
        <f>P$219*'BTX recycling rates'!R78</f>
        <v>0.61036183134912603</v>
      </c>
      <c r="Q220" s="230">
        <f>Q$219*'BTX recycling rates'!S78</f>
        <v>0.69325654726069508</v>
      </c>
      <c r="R220" s="230">
        <f>R$219*'BTX recycling rates'!T78</f>
        <v>0.78184281734209538</v>
      </c>
      <c r="S220" s="230">
        <f>S$219*'BTX recycling rates'!U78</f>
        <v>0.87750673431468162</v>
      </c>
      <c r="T220" s="230">
        <f>T$219*'BTX recycling rates'!V78</f>
        <v>0.9805416512462326</v>
      </c>
      <c r="U220" s="230">
        <f>U$219*'BTX recycling rates'!W78</f>
        <v>1.0912453500547814</v>
      </c>
      <c r="V220" s="230">
        <f>V$219*'BTX recycling rates'!X78</f>
        <v>1.2099198988921036</v>
      </c>
      <c r="W220" s="230">
        <f>W$219*'BTX recycling rates'!Y78</f>
        <v>1.3368715017518678</v>
      </c>
      <c r="X220" s="230">
        <f>X$219*'BTX recycling rates'!Z78</f>
        <v>1.509406947714145</v>
      </c>
      <c r="Y220" s="230">
        <f>Y$219*'BTX recycling rates'!AA78</f>
        <v>1.6952007028020133</v>
      </c>
      <c r="Z220" s="230">
        <f>Z$219*'BTX recycling rates'!AB78</f>
        <v>1.8947724316188217</v>
      </c>
      <c r="AA220" s="230">
        <f>AA$219*'BTX recycling rates'!AC78</f>
        <v>2.108649084381804</v>
      </c>
      <c r="AB220" s="230">
        <f>AB$219*'BTX recycling rates'!AD78</f>
        <v>2.3373646639470236</v>
      </c>
      <c r="AC220" s="230">
        <f>AC$219*'BTX recycling rates'!AE78</f>
        <v>2.5814843868803856</v>
      </c>
      <c r="AD220" s="230">
        <f>AD$219*'BTX recycling rates'!AF78</f>
        <v>2.8415630268815626</v>
      </c>
      <c r="AE220" s="230">
        <f>AE$219*'BTX recycling rates'!AG78</f>
        <v>3.1181625910692445</v>
      </c>
      <c r="AF220" s="230">
        <f>AF$219*'BTX recycling rates'!AH78</f>
        <v>3.4118520957683343</v>
      </c>
      <c r="AG220" s="230">
        <f>AG$219*'BTX recycling rates'!AI78</f>
        <v>3.7232073317023371</v>
      </c>
      <c r="AH220" s="245"/>
      <c r="AI220" s="133"/>
      <c r="AJ220" s="211"/>
      <c r="AL220" s="108"/>
      <c r="AM220" s="2"/>
      <c r="AN220" s="2"/>
      <c r="AO220" s="2"/>
      <c r="BC220" s="1"/>
      <c r="BD220" s="2"/>
      <c r="BE220" s="2"/>
      <c r="BF220" s="2"/>
      <c r="BG220" s="2"/>
      <c r="BH220" s="2"/>
      <c r="BI220" s="2"/>
      <c r="BJ220" s="2"/>
      <c r="BK220" s="2"/>
    </row>
    <row r="221" spans="1:63" outlineLevel="1">
      <c r="A221" s="4" t="s">
        <v>478</v>
      </c>
      <c r="C221" s="230">
        <f>C$219*'BTX recycling rates'!E79</f>
        <v>0</v>
      </c>
      <c r="D221" s="230">
        <f>D$219*'BTX recycling rates'!F79</f>
        <v>0</v>
      </c>
      <c r="E221" s="230">
        <f>E$219*'BTX recycling rates'!G79</f>
        <v>0</v>
      </c>
      <c r="F221" s="230">
        <f>F$219*'BTX recycling rates'!H79</f>
        <v>0</v>
      </c>
      <c r="G221" s="230">
        <f>G$219*'BTX recycling rates'!I79</f>
        <v>0</v>
      </c>
      <c r="H221" s="230">
        <f>H$219*'BTX recycling rates'!J79</f>
        <v>0</v>
      </c>
      <c r="I221" s="230">
        <f>I$219*'BTX recycling rates'!K79</f>
        <v>0</v>
      </c>
      <c r="J221" s="230">
        <f>J$219*'BTX recycling rates'!L79</f>
        <v>0</v>
      </c>
      <c r="K221" s="230">
        <f>K$219*'BTX recycling rates'!M79</f>
        <v>0</v>
      </c>
      <c r="L221" s="230">
        <f>L$219*'BTX recycling rates'!N79</f>
        <v>0</v>
      </c>
      <c r="M221" s="230">
        <f>M$219*'BTX recycling rates'!O79</f>
        <v>0</v>
      </c>
      <c r="N221" s="230">
        <f>N$219*'BTX recycling rates'!P79</f>
        <v>0</v>
      </c>
      <c r="O221" s="230">
        <f>O$219*'BTX recycling rates'!Q79</f>
        <v>0</v>
      </c>
      <c r="P221" s="230">
        <f>P$219*'BTX recycling rates'!R79</f>
        <v>0</v>
      </c>
      <c r="Q221" s="230">
        <f>Q$219*'BTX recycling rates'!S79</f>
        <v>0</v>
      </c>
      <c r="R221" s="230">
        <f>R$219*'BTX recycling rates'!T79</f>
        <v>0</v>
      </c>
      <c r="S221" s="230">
        <f>S$219*'BTX recycling rates'!U79</f>
        <v>0</v>
      </c>
      <c r="T221" s="230">
        <f>T$219*'BTX recycling rates'!V79</f>
        <v>0</v>
      </c>
      <c r="U221" s="230">
        <f>U$219*'BTX recycling rates'!W79</f>
        <v>0</v>
      </c>
      <c r="V221" s="230">
        <f>V$219*'BTX recycling rates'!X79</f>
        <v>0</v>
      </c>
      <c r="W221" s="230">
        <f>W$219*'BTX recycling rates'!Y79</f>
        <v>0</v>
      </c>
      <c r="X221" s="230">
        <f>X$219*'BTX recycling rates'!Z79</f>
        <v>0</v>
      </c>
      <c r="Y221" s="230">
        <f>Y$219*'BTX recycling rates'!AA79</f>
        <v>0</v>
      </c>
      <c r="Z221" s="230">
        <f>Z$219*'BTX recycling rates'!AB79</f>
        <v>0</v>
      </c>
      <c r="AA221" s="230">
        <f>AA$219*'BTX recycling rates'!AC79</f>
        <v>0</v>
      </c>
      <c r="AB221" s="230">
        <f>AB$219*'BTX recycling rates'!AD79</f>
        <v>0</v>
      </c>
      <c r="AC221" s="230">
        <f>AC$219*'BTX recycling rates'!AE79</f>
        <v>0</v>
      </c>
      <c r="AD221" s="230">
        <f>AD$219*'BTX recycling rates'!AF79</f>
        <v>0</v>
      </c>
      <c r="AE221" s="230">
        <f>AE$219*'BTX recycling rates'!AG79</f>
        <v>0</v>
      </c>
      <c r="AF221" s="230">
        <f>AF$219*'BTX recycling rates'!AH79</f>
        <v>0</v>
      </c>
      <c r="AG221" s="230">
        <f>AG$219*'BTX recycling rates'!AI79</f>
        <v>0</v>
      </c>
      <c r="AH221" s="245"/>
      <c r="AI221" s="133"/>
      <c r="AJ221" s="211"/>
      <c r="AL221" s="108"/>
      <c r="AM221" s="2"/>
      <c r="AN221" s="2"/>
      <c r="AO221" s="2"/>
      <c r="BC221" s="1"/>
      <c r="BD221" s="2"/>
      <c r="BE221" s="2"/>
      <c r="BF221" s="2"/>
      <c r="BG221" s="2"/>
      <c r="BH221" s="2"/>
      <c r="BI221" s="2"/>
      <c r="BJ221" s="2"/>
      <c r="BK221" s="2"/>
    </row>
    <row r="222" spans="1:63" outlineLevel="1">
      <c r="A222" s="4" t="s">
        <v>745</v>
      </c>
      <c r="C222" s="230">
        <f>C$219*'BTX recycling rates'!E80</f>
        <v>0</v>
      </c>
      <c r="D222" s="230">
        <f>D$219*'BTX recycling rates'!F80</f>
        <v>0</v>
      </c>
      <c r="E222" s="230">
        <f>E$219*'BTX recycling rates'!G80</f>
        <v>0</v>
      </c>
      <c r="F222" s="230">
        <f>F$219*'BTX recycling rates'!H80</f>
        <v>0</v>
      </c>
      <c r="G222" s="230">
        <f>G$219*'BTX recycling rates'!I80</f>
        <v>0</v>
      </c>
      <c r="H222" s="230">
        <f>H$219*'BTX recycling rates'!J80</f>
        <v>0</v>
      </c>
      <c r="I222" s="230">
        <f>I$219*'BTX recycling rates'!K80</f>
        <v>0</v>
      </c>
      <c r="J222" s="230">
        <f>J$219*'BTX recycling rates'!L80</f>
        <v>0</v>
      </c>
      <c r="K222" s="230">
        <f>K$219*'BTX recycling rates'!M80</f>
        <v>0</v>
      </c>
      <c r="L222" s="230">
        <f>L$219*'BTX recycling rates'!N80</f>
        <v>0</v>
      </c>
      <c r="M222" s="230">
        <f>M$219*'BTX recycling rates'!O80</f>
        <v>0</v>
      </c>
      <c r="N222" s="230">
        <f>N$219*'BTX recycling rates'!P80</f>
        <v>0</v>
      </c>
      <c r="O222" s="230">
        <f>O$219*'BTX recycling rates'!Q80</f>
        <v>0</v>
      </c>
      <c r="P222" s="230">
        <f>P$219*'BTX recycling rates'!R80</f>
        <v>0</v>
      </c>
      <c r="Q222" s="230">
        <f>Q$219*'BTX recycling rates'!S80</f>
        <v>0</v>
      </c>
      <c r="R222" s="230">
        <f>R$219*'BTX recycling rates'!T80</f>
        <v>0</v>
      </c>
      <c r="S222" s="230">
        <f>S$219*'BTX recycling rates'!U80</f>
        <v>0</v>
      </c>
      <c r="T222" s="230">
        <f>T$219*'BTX recycling rates'!V80</f>
        <v>0</v>
      </c>
      <c r="U222" s="230">
        <f>U$219*'BTX recycling rates'!W80</f>
        <v>0</v>
      </c>
      <c r="V222" s="230">
        <f>V$219*'BTX recycling rates'!X80</f>
        <v>0</v>
      </c>
      <c r="W222" s="230">
        <f>W$219*'BTX recycling rates'!Y80</f>
        <v>0</v>
      </c>
      <c r="X222" s="230">
        <f>X$219*'BTX recycling rates'!Z80</f>
        <v>0</v>
      </c>
      <c r="Y222" s="230">
        <f>Y$219*'BTX recycling rates'!AA80</f>
        <v>0</v>
      </c>
      <c r="Z222" s="230">
        <f>Z$219*'BTX recycling rates'!AB80</f>
        <v>0</v>
      </c>
      <c r="AA222" s="230">
        <f>AA$219*'BTX recycling rates'!AC80</f>
        <v>0</v>
      </c>
      <c r="AB222" s="230">
        <f>AB$219*'BTX recycling rates'!AD80</f>
        <v>0</v>
      </c>
      <c r="AC222" s="230">
        <f>AC$219*'BTX recycling rates'!AE80</f>
        <v>0</v>
      </c>
      <c r="AD222" s="230">
        <f>AD$219*'BTX recycling rates'!AF80</f>
        <v>0</v>
      </c>
      <c r="AE222" s="230">
        <f>AE$219*'BTX recycling rates'!AG80</f>
        <v>0</v>
      </c>
      <c r="AF222" s="230">
        <f>AF$219*'BTX recycling rates'!AH80</f>
        <v>0</v>
      </c>
      <c r="AG222" s="230">
        <f>AG$219*'BTX recycling rates'!AI80</f>
        <v>0</v>
      </c>
      <c r="AH222" s="245"/>
      <c r="AI222" s="133"/>
      <c r="AJ222" s="211"/>
      <c r="AL222" s="108"/>
      <c r="AM222" s="2"/>
      <c r="AN222" s="2"/>
      <c r="AO222" s="2"/>
      <c r="BC222" s="1"/>
      <c r="BD222" s="2"/>
      <c r="BE222" s="2"/>
      <c r="BF222" s="2"/>
      <c r="BG222" s="2"/>
      <c r="BH222" s="2"/>
      <c r="BI222" s="2"/>
      <c r="BJ222" s="2"/>
      <c r="BK222" s="2"/>
    </row>
    <row r="223" spans="1:63" outlineLevel="1">
      <c r="A223" s="4" t="s">
        <v>1561</v>
      </c>
      <c r="C223" s="230">
        <f>C$219*'BTX recycling rates'!E81</f>
        <v>8.9092613893120808E-3</v>
      </c>
      <c r="D223" s="230">
        <f>D$219*'BTX recycling rates'!F81</f>
        <v>8.0417338234090498E-3</v>
      </c>
      <c r="E223" s="230">
        <f>E$219*'BTX recycling rates'!G81</f>
        <v>9.9972421488508691E-3</v>
      </c>
      <c r="F223" s="230">
        <f>F$219*'BTX recycling rates'!H81</f>
        <v>1.2180891530121661E-2</v>
      </c>
      <c r="G223" s="230">
        <f>G$219*'BTX recycling rates'!I81</f>
        <v>1.4596344785373172E-2</v>
      </c>
      <c r="H223" s="230">
        <f>H$219*'BTX recycling rates'!J81</f>
        <v>1.7244612862234221E-2</v>
      </c>
      <c r="I223" s="230">
        <f>I$219*'BTX recycling rates'!K81</f>
        <v>2.0167257856214305E-2</v>
      </c>
      <c r="J223" s="230">
        <f>J$219*'BTX recycling rates'!L81</f>
        <v>2.3379754749290504E-2</v>
      </c>
      <c r="K223" s="230">
        <f>K$219*'BTX recycling rates'!M81</f>
        <v>2.689776095465151E-2</v>
      </c>
      <c r="L223" s="230">
        <f>L$219*'BTX recycling rates'!N81</f>
        <v>3.0737074869754188E-2</v>
      </c>
      <c r="M223" s="230">
        <f>M$219*'BTX recycling rates'!O81</f>
        <v>3.4913591863088622E-2</v>
      </c>
      <c r="N223" s="230">
        <f>N$219*'BTX recycling rates'!P81</f>
        <v>4.0658436854695841E-2</v>
      </c>
      <c r="O223" s="230">
        <f>O$219*'BTX recycling rates'!Q81</f>
        <v>4.6921978468135457E-2</v>
      </c>
      <c r="P223" s="230">
        <f>P$219*'BTX recycling rates'!R81</f>
        <v>5.3703495993262775E-2</v>
      </c>
      <c r="Q223" s="230">
        <f>Q$219*'BTX recycling rates'!S81</f>
        <v>6.0997097616384624E-2</v>
      </c>
      <c r="R223" s="230">
        <f>R$219*'BTX recycling rates'!T81</f>
        <v>6.8791478188739513E-2</v>
      </c>
      <c r="S223" s="230">
        <f>S$219*'BTX recycling rates'!U81</f>
        <v>7.7208594918469084E-2</v>
      </c>
      <c r="T223" s="230">
        <f>T$219*'BTX recycling rates'!V81</f>
        <v>8.6274258864671258E-2</v>
      </c>
      <c r="U223" s="230">
        <f>U$219*'BTX recycling rates'!W81</f>
        <v>9.6014670764712956E-2</v>
      </c>
      <c r="V223" s="230">
        <f>V$219*'BTX recycling rates'!X81</f>
        <v>0.10645640848592693</v>
      </c>
      <c r="W223" s="230">
        <f>W$219*'BTX recycling rates'!Y81</f>
        <v>0.11762641379318522</v>
      </c>
      <c r="X223" s="230">
        <f>X$219*'BTX recycling rates'!Z81</f>
        <v>0.13280717404886863</v>
      </c>
      <c r="Y223" s="230">
        <f>Y$219*'BTX recycling rates'!AA81</f>
        <v>0.14915448423351763</v>
      </c>
      <c r="Z223" s="230">
        <f>Z$219*'BTX recycling rates'!AB81</f>
        <v>0.16671406772711833</v>
      </c>
      <c r="AA223" s="230">
        <f>AA$219*'BTX recycling rates'!AC81</f>
        <v>0.18553228894406618</v>
      </c>
      <c r="AB223" s="230">
        <f>AB$219*'BTX recycling rates'!AD81</f>
        <v>0.20565613283454662</v>
      </c>
      <c r="AC223" s="230">
        <f>AC$219*'BTX recycling rates'!AE81</f>
        <v>0.22713533072844191</v>
      </c>
      <c r="AD223" s="230">
        <f>AD$219*'BTX recycling rates'!AF81</f>
        <v>0.25001869512618591</v>
      </c>
      <c r="AE223" s="230">
        <f>AE$219*'BTX recycling rates'!AG81</f>
        <v>0.27435567497018726</v>
      </c>
      <c r="AF223" s="230">
        <f>AF$219*'BTX recycling rates'!AH81</f>
        <v>0.30019633591716777</v>
      </c>
      <c r="AG223" s="230">
        <f>AG$219*'BTX recycling rates'!AI81</f>
        <v>0.32759133967830367</v>
      </c>
      <c r="AH223" s="245"/>
      <c r="AI223" s="133"/>
      <c r="AJ223" s="211"/>
      <c r="AL223" s="108"/>
      <c r="AM223" s="2"/>
      <c r="AN223" s="2"/>
      <c r="AO223" s="2"/>
      <c r="BC223" s="1"/>
      <c r="BD223" s="2"/>
      <c r="BE223" s="2"/>
      <c r="BF223" s="2"/>
      <c r="BG223" s="2"/>
      <c r="BH223" s="2"/>
      <c r="BI223" s="2"/>
      <c r="BJ223" s="2"/>
      <c r="BK223" s="2"/>
    </row>
    <row r="224" spans="1:63" s="1" customFormat="1" outlineLevel="1">
      <c r="A224" s="1" t="s">
        <v>1570</v>
      </c>
      <c r="B224" s="65"/>
      <c r="C224" s="300">
        <f t="shared" ref="C224:AG224" si="109">C219-$C219</f>
        <v>0</v>
      </c>
      <c r="D224" s="300">
        <f t="shared" si="109"/>
        <v>-1.072732726938698E-2</v>
      </c>
      <c r="E224" s="300">
        <f t="shared" si="109"/>
        <v>1.3453319674309169E-2</v>
      </c>
      <c r="F224" s="300">
        <f t="shared" si="109"/>
        <v>4.0455022530981849E-2</v>
      </c>
      <c r="G224" s="300">
        <f t="shared" si="109"/>
        <v>7.0323073520251911E-2</v>
      </c>
      <c r="H224" s="300">
        <f t="shared" si="109"/>
        <v>0.10306997341614982</v>
      </c>
      <c r="I224" s="300">
        <f t="shared" si="109"/>
        <v>0.13920965424580123</v>
      </c>
      <c r="J224" s="300">
        <f t="shared" si="109"/>
        <v>0.17893347038534418</v>
      </c>
      <c r="K224" s="300">
        <f t="shared" si="109"/>
        <v>0.22243503204622173</v>
      </c>
      <c r="L224" s="300">
        <f t="shared" si="109"/>
        <v>0.26990969276705629</v>
      </c>
      <c r="M224" s="300">
        <f t="shared" si="109"/>
        <v>0.32155400517229743</v>
      </c>
      <c r="N224" s="300">
        <f t="shared" si="109"/>
        <v>0.39259132405301844</v>
      </c>
      <c r="O224" s="300">
        <f t="shared" si="109"/>
        <v>0.47004253528092921</v>
      </c>
      <c r="P224" s="300">
        <f t="shared" si="109"/>
        <v>0.55389872698522302</v>
      </c>
      <c r="Q224" s="300">
        <f t="shared" si="109"/>
        <v>0.64408704451991394</v>
      </c>
      <c r="R224" s="300">
        <f t="shared" si="109"/>
        <v>0.74046769517366917</v>
      </c>
      <c r="S224" s="300">
        <f t="shared" si="109"/>
        <v>0.84454872887598498</v>
      </c>
      <c r="T224" s="300">
        <f t="shared" si="109"/>
        <v>0.95664930975373808</v>
      </c>
      <c r="U224" s="300">
        <f t="shared" si="109"/>
        <v>1.0770934204623286</v>
      </c>
      <c r="V224" s="300">
        <f t="shared" si="109"/>
        <v>1.2062097070208648</v>
      </c>
      <c r="W224" s="300">
        <f t="shared" si="109"/>
        <v>1.3443313151878873</v>
      </c>
      <c r="X224" s="300">
        <f t="shared" si="109"/>
        <v>1.5320475214058478</v>
      </c>
      <c r="Y224" s="300">
        <f t="shared" si="109"/>
        <v>1.7341885866783651</v>
      </c>
      <c r="Z224" s="300">
        <f t="shared" si="109"/>
        <v>1.9513198989887743</v>
      </c>
      <c r="AA224" s="300">
        <f t="shared" si="109"/>
        <v>2.1840147729687045</v>
      </c>
      <c r="AB224" s="300">
        <f t="shared" si="109"/>
        <v>2.4328541964244046</v>
      </c>
      <c r="AC224" s="300">
        <f t="shared" si="109"/>
        <v>2.6984531172516619</v>
      </c>
      <c r="AD224" s="300">
        <f t="shared" si="109"/>
        <v>2.9814151216505826</v>
      </c>
      <c r="AE224" s="300">
        <f t="shared" si="109"/>
        <v>3.282351665682266</v>
      </c>
      <c r="AF224" s="300">
        <f t="shared" si="109"/>
        <v>3.6018818313283361</v>
      </c>
      <c r="AG224" s="300">
        <f t="shared" si="109"/>
        <v>3.9406320710234755</v>
      </c>
      <c r="AH224" s="245"/>
      <c r="AI224" s="423"/>
      <c r="AJ224" s="424"/>
      <c r="AL224" s="221"/>
      <c r="AM224" s="124"/>
      <c r="AN224" s="124"/>
      <c r="AO224" s="124"/>
      <c r="BD224" s="124"/>
      <c r="BE224" s="124"/>
      <c r="BF224" s="124"/>
      <c r="BG224" s="124"/>
      <c r="BH224" s="124"/>
      <c r="BI224" s="124"/>
      <c r="BJ224" s="124"/>
      <c r="BK224" s="124"/>
    </row>
    <row r="225" spans="1:63" outlineLevel="1">
      <c r="A225" s="4" t="s">
        <v>474</v>
      </c>
      <c r="C225" s="230">
        <f t="shared" ref="C225:AG225" si="110">C220-$C220</f>
        <v>0</v>
      </c>
      <c r="D225" s="230">
        <f t="shared" si="110"/>
        <v>-9.8597997034839402E-3</v>
      </c>
      <c r="E225" s="230">
        <f t="shared" si="110"/>
        <v>1.2365338914770388E-2</v>
      </c>
      <c r="F225" s="230">
        <f t="shared" si="110"/>
        <v>3.7183392390172265E-2</v>
      </c>
      <c r="G225" s="230">
        <f t="shared" si="110"/>
        <v>6.4635990124190829E-2</v>
      </c>
      <c r="H225" s="230">
        <f t="shared" si="110"/>
        <v>9.4734621943227681E-2</v>
      </c>
      <c r="I225" s="230">
        <f t="shared" si="110"/>
        <v>0.127951657778899</v>
      </c>
      <c r="J225" s="230">
        <f t="shared" si="110"/>
        <v>0.16446297702536578</v>
      </c>
      <c r="K225" s="230">
        <f t="shared" si="110"/>
        <v>0.20444653248088229</v>
      </c>
      <c r="L225" s="230">
        <f t="shared" si="110"/>
        <v>0.24808187928661418</v>
      </c>
      <c r="M225" s="230">
        <f t="shared" si="110"/>
        <v>0.29554967469852089</v>
      </c>
      <c r="N225" s="230">
        <f t="shared" si="110"/>
        <v>0.36084214858763469</v>
      </c>
      <c r="O225" s="230">
        <f t="shared" si="110"/>
        <v>0.43202981820210579</v>
      </c>
      <c r="P225" s="230">
        <f t="shared" si="110"/>
        <v>0.50910449238127242</v>
      </c>
      <c r="Q225" s="230">
        <f t="shared" si="110"/>
        <v>0.59199920829284136</v>
      </c>
      <c r="R225" s="230">
        <f t="shared" si="110"/>
        <v>0.68058547837424177</v>
      </c>
      <c r="S225" s="230">
        <f t="shared" si="110"/>
        <v>0.77624939534682791</v>
      </c>
      <c r="T225" s="230">
        <f t="shared" si="110"/>
        <v>0.87928431227837889</v>
      </c>
      <c r="U225" s="230">
        <f t="shared" si="110"/>
        <v>0.98998801108692769</v>
      </c>
      <c r="V225" s="230">
        <f t="shared" si="110"/>
        <v>1.1086625599242499</v>
      </c>
      <c r="W225" s="230">
        <f t="shared" si="110"/>
        <v>1.235614162784014</v>
      </c>
      <c r="X225" s="230">
        <f t="shared" si="110"/>
        <v>1.4081496087462912</v>
      </c>
      <c r="Y225" s="230">
        <f t="shared" si="110"/>
        <v>1.5939433638341596</v>
      </c>
      <c r="Z225" s="230">
        <f t="shared" si="110"/>
        <v>1.793515092650968</v>
      </c>
      <c r="AA225" s="230">
        <f t="shared" si="110"/>
        <v>2.0073917454139503</v>
      </c>
      <c r="AB225" s="230">
        <f t="shared" si="110"/>
        <v>2.2361073249791699</v>
      </c>
      <c r="AC225" s="230">
        <f t="shared" si="110"/>
        <v>2.4802270479125319</v>
      </c>
      <c r="AD225" s="230">
        <f t="shared" si="110"/>
        <v>2.7403056879137089</v>
      </c>
      <c r="AE225" s="230">
        <f t="shared" si="110"/>
        <v>3.0169052521013908</v>
      </c>
      <c r="AF225" s="230">
        <f t="shared" si="110"/>
        <v>3.3105947568004805</v>
      </c>
      <c r="AG225" s="230">
        <f t="shared" si="110"/>
        <v>3.6219499927344834</v>
      </c>
      <c r="AH225" s="245"/>
      <c r="AI225" s="133"/>
      <c r="AJ225" s="211"/>
      <c r="AL225" s="108"/>
      <c r="AM225" s="2"/>
      <c r="AN225" s="2"/>
      <c r="AO225" s="2"/>
      <c r="BC225" s="1"/>
      <c r="BD225" s="2"/>
      <c r="BE225" s="2"/>
      <c r="BF225" s="2"/>
      <c r="BG225" s="2"/>
      <c r="BH225" s="2"/>
      <c r="BI225" s="2"/>
      <c r="BJ225" s="2"/>
      <c r="BK225" s="2"/>
    </row>
    <row r="226" spans="1:63" outlineLevel="1">
      <c r="A226" s="4" t="s">
        <v>478</v>
      </c>
      <c r="C226" s="230">
        <f t="shared" ref="C226:AG228" si="111">C221-$C221</f>
        <v>0</v>
      </c>
      <c r="D226" s="230">
        <f t="shared" si="111"/>
        <v>0</v>
      </c>
      <c r="E226" s="230">
        <f t="shared" si="111"/>
        <v>0</v>
      </c>
      <c r="F226" s="230">
        <f t="shared" si="111"/>
        <v>0</v>
      </c>
      <c r="G226" s="230">
        <f t="shared" si="111"/>
        <v>0</v>
      </c>
      <c r="H226" s="230">
        <f t="shared" si="111"/>
        <v>0</v>
      </c>
      <c r="I226" s="230">
        <f t="shared" si="111"/>
        <v>0</v>
      </c>
      <c r="J226" s="230">
        <f t="shared" si="111"/>
        <v>0</v>
      </c>
      <c r="K226" s="230">
        <f t="shared" si="111"/>
        <v>0</v>
      </c>
      <c r="L226" s="230">
        <f t="shared" si="111"/>
        <v>0</v>
      </c>
      <c r="M226" s="230">
        <f t="shared" si="111"/>
        <v>0</v>
      </c>
      <c r="N226" s="230">
        <f t="shared" si="111"/>
        <v>0</v>
      </c>
      <c r="O226" s="230">
        <f t="shared" si="111"/>
        <v>0</v>
      </c>
      <c r="P226" s="230">
        <f t="shared" si="111"/>
        <v>0</v>
      </c>
      <c r="Q226" s="230">
        <f t="shared" si="111"/>
        <v>0</v>
      </c>
      <c r="R226" s="230">
        <f t="shared" si="111"/>
        <v>0</v>
      </c>
      <c r="S226" s="230">
        <f t="shared" si="111"/>
        <v>0</v>
      </c>
      <c r="T226" s="230">
        <f t="shared" si="111"/>
        <v>0</v>
      </c>
      <c r="U226" s="230">
        <f t="shared" si="111"/>
        <v>0</v>
      </c>
      <c r="V226" s="230">
        <f t="shared" si="111"/>
        <v>0</v>
      </c>
      <c r="W226" s="230">
        <f t="shared" si="111"/>
        <v>0</v>
      </c>
      <c r="X226" s="230">
        <f t="shared" si="111"/>
        <v>0</v>
      </c>
      <c r="Y226" s="230">
        <f t="shared" si="111"/>
        <v>0</v>
      </c>
      <c r="Z226" s="230">
        <f t="shared" si="111"/>
        <v>0</v>
      </c>
      <c r="AA226" s="230">
        <f t="shared" si="111"/>
        <v>0</v>
      </c>
      <c r="AB226" s="230">
        <f t="shared" si="111"/>
        <v>0</v>
      </c>
      <c r="AC226" s="230">
        <f t="shared" si="111"/>
        <v>0</v>
      </c>
      <c r="AD226" s="230">
        <f t="shared" si="111"/>
        <v>0</v>
      </c>
      <c r="AE226" s="230">
        <f t="shared" si="111"/>
        <v>0</v>
      </c>
      <c r="AF226" s="230">
        <f t="shared" si="111"/>
        <v>0</v>
      </c>
      <c r="AG226" s="230">
        <f t="shared" si="111"/>
        <v>0</v>
      </c>
      <c r="AH226" s="245"/>
      <c r="AI226" s="133"/>
      <c r="AJ226" s="211"/>
      <c r="AL226" s="108"/>
      <c r="AM226" s="2"/>
      <c r="AN226" s="2"/>
      <c r="AO226" s="2"/>
      <c r="BC226" s="1"/>
      <c r="BD226" s="2"/>
      <c r="BE226" s="2"/>
      <c r="BF226" s="2"/>
      <c r="BG226" s="2"/>
      <c r="BH226" s="2"/>
      <c r="BI226" s="2"/>
      <c r="BJ226" s="2"/>
      <c r="BK226" s="2"/>
    </row>
    <row r="227" spans="1:63" outlineLevel="1">
      <c r="A227" s="4" t="s">
        <v>745</v>
      </c>
      <c r="C227" s="230">
        <f t="shared" si="111"/>
        <v>0</v>
      </c>
      <c r="D227" s="230">
        <f t="shared" si="111"/>
        <v>0</v>
      </c>
      <c r="E227" s="230">
        <f t="shared" si="111"/>
        <v>0</v>
      </c>
      <c r="F227" s="230">
        <f t="shared" si="111"/>
        <v>0</v>
      </c>
      <c r="G227" s="230">
        <f t="shared" si="111"/>
        <v>0</v>
      </c>
      <c r="H227" s="230">
        <f t="shared" si="111"/>
        <v>0</v>
      </c>
      <c r="I227" s="230">
        <f t="shared" si="111"/>
        <v>0</v>
      </c>
      <c r="J227" s="230">
        <f t="shared" si="111"/>
        <v>0</v>
      </c>
      <c r="K227" s="230">
        <f t="shared" si="111"/>
        <v>0</v>
      </c>
      <c r="L227" s="230">
        <f t="shared" si="111"/>
        <v>0</v>
      </c>
      <c r="M227" s="230">
        <f t="shared" si="111"/>
        <v>0</v>
      </c>
      <c r="N227" s="230">
        <f t="shared" si="111"/>
        <v>0</v>
      </c>
      <c r="O227" s="230">
        <f t="shared" si="111"/>
        <v>0</v>
      </c>
      <c r="P227" s="230">
        <f t="shared" si="111"/>
        <v>0</v>
      </c>
      <c r="Q227" s="230">
        <f t="shared" si="111"/>
        <v>0</v>
      </c>
      <c r="R227" s="230">
        <f t="shared" si="111"/>
        <v>0</v>
      </c>
      <c r="S227" s="230">
        <f t="shared" si="111"/>
        <v>0</v>
      </c>
      <c r="T227" s="230">
        <f t="shared" si="111"/>
        <v>0</v>
      </c>
      <c r="U227" s="230">
        <f t="shared" si="111"/>
        <v>0</v>
      </c>
      <c r="V227" s="230">
        <f t="shared" si="111"/>
        <v>0</v>
      </c>
      <c r="W227" s="230">
        <f t="shared" si="111"/>
        <v>0</v>
      </c>
      <c r="X227" s="230">
        <f t="shared" si="111"/>
        <v>0</v>
      </c>
      <c r="Y227" s="230">
        <f t="shared" si="111"/>
        <v>0</v>
      </c>
      <c r="Z227" s="230">
        <f t="shared" si="111"/>
        <v>0</v>
      </c>
      <c r="AA227" s="230">
        <f t="shared" si="111"/>
        <v>0</v>
      </c>
      <c r="AB227" s="230">
        <f t="shared" si="111"/>
        <v>0</v>
      </c>
      <c r="AC227" s="230">
        <f t="shared" si="111"/>
        <v>0</v>
      </c>
      <c r="AD227" s="230">
        <f t="shared" si="111"/>
        <v>0</v>
      </c>
      <c r="AE227" s="230">
        <f t="shared" si="111"/>
        <v>0</v>
      </c>
      <c r="AF227" s="230">
        <f t="shared" si="111"/>
        <v>0</v>
      </c>
      <c r="AG227" s="230">
        <f t="shared" si="111"/>
        <v>0</v>
      </c>
      <c r="AH227" s="245"/>
      <c r="AI227" s="133"/>
      <c r="AJ227" s="211"/>
      <c r="AL227" s="108"/>
      <c r="AM227" s="2"/>
      <c r="AN227" s="2"/>
      <c r="AO227" s="2"/>
      <c r="BC227" s="1"/>
      <c r="BD227" s="2"/>
      <c r="BE227" s="2"/>
      <c r="BF227" s="2"/>
      <c r="BG227" s="2"/>
      <c r="BH227" s="2"/>
      <c r="BI227" s="2"/>
      <c r="BJ227" s="2"/>
      <c r="BK227" s="2"/>
    </row>
    <row r="228" spans="1:63" outlineLevel="1">
      <c r="A228" s="4" t="s">
        <v>1561</v>
      </c>
      <c r="C228" s="230">
        <f t="shared" si="111"/>
        <v>0</v>
      </c>
      <c r="D228" s="230">
        <f t="shared" si="111"/>
        <v>-8.6752756590303091E-4</v>
      </c>
      <c r="E228" s="230">
        <f t="shared" si="111"/>
        <v>1.0879807595387883E-3</v>
      </c>
      <c r="F228" s="230">
        <f t="shared" si="111"/>
        <v>3.2716301408095803E-3</v>
      </c>
      <c r="G228" s="230">
        <f t="shared" si="111"/>
        <v>5.6870833960610909E-3</v>
      </c>
      <c r="H228" s="230">
        <f t="shared" si="111"/>
        <v>8.3353514729221402E-3</v>
      </c>
      <c r="I228" s="230">
        <f t="shared" si="111"/>
        <v>1.1257996466902224E-2</v>
      </c>
      <c r="J228" s="230">
        <f t="shared" si="111"/>
        <v>1.4470493359978423E-2</v>
      </c>
      <c r="K228" s="230">
        <f t="shared" si="111"/>
        <v>1.798849956533943E-2</v>
      </c>
      <c r="L228" s="230">
        <f t="shared" si="111"/>
        <v>2.1827813480442108E-2</v>
      </c>
      <c r="M228" s="230">
        <f t="shared" si="111"/>
        <v>2.6004330473776541E-2</v>
      </c>
      <c r="N228" s="230">
        <f t="shared" si="111"/>
        <v>3.1749175465383764E-2</v>
      </c>
      <c r="O228" s="230">
        <f t="shared" si="111"/>
        <v>3.801271707882338E-2</v>
      </c>
      <c r="P228" s="230">
        <f t="shared" si="111"/>
        <v>4.4794234603950697E-2</v>
      </c>
      <c r="Q228" s="230">
        <f t="shared" si="111"/>
        <v>5.208783622707254E-2</v>
      </c>
      <c r="R228" s="230">
        <f t="shared" si="111"/>
        <v>5.9882216799427429E-2</v>
      </c>
      <c r="S228" s="230">
        <f t="shared" si="111"/>
        <v>6.8299333529157E-2</v>
      </c>
      <c r="T228" s="230">
        <f t="shared" si="111"/>
        <v>7.7364997475359173E-2</v>
      </c>
      <c r="U228" s="230">
        <f t="shared" si="111"/>
        <v>8.7105409375400872E-2</v>
      </c>
      <c r="V228" s="230">
        <f t="shared" si="111"/>
        <v>9.7547147096614842E-2</v>
      </c>
      <c r="W228" s="230">
        <f t="shared" si="111"/>
        <v>0.10871715240387314</v>
      </c>
      <c r="X228" s="230">
        <f t="shared" si="111"/>
        <v>0.12389791265955655</v>
      </c>
      <c r="Y228" s="230">
        <f t="shared" si="111"/>
        <v>0.14024522284420554</v>
      </c>
      <c r="Z228" s="230">
        <f t="shared" si="111"/>
        <v>0.15780480633780625</v>
      </c>
      <c r="AA228" s="230">
        <f t="shared" si="111"/>
        <v>0.17662302755475409</v>
      </c>
      <c r="AB228" s="230">
        <f t="shared" si="111"/>
        <v>0.19674687144523453</v>
      </c>
      <c r="AC228" s="230">
        <f t="shared" si="111"/>
        <v>0.21822606933912983</v>
      </c>
      <c r="AD228" s="230">
        <f t="shared" si="111"/>
        <v>0.24110943373687382</v>
      </c>
      <c r="AE228" s="230">
        <f t="shared" si="111"/>
        <v>0.26544641358087517</v>
      </c>
      <c r="AF228" s="230">
        <f t="shared" si="111"/>
        <v>0.29128707452785568</v>
      </c>
      <c r="AG228" s="230">
        <f t="shared" si="111"/>
        <v>0.31868207828899159</v>
      </c>
      <c r="AH228" s="245"/>
      <c r="AI228" s="133"/>
      <c r="AJ228" s="211"/>
      <c r="AL228" s="108"/>
      <c r="AM228" s="2"/>
      <c r="AN228" s="2"/>
      <c r="AO228" s="2"/>
      <c r="BC228" s="1"/>
      <c r="BD228" s="2"/>
      <c r="BE228" s="2"/>
      <c r="BF228" s="2"/>
      <c r="BG228" s="2"/>
      <c r="BH228" s="2"/>
      <c r="BI228" s="2"/>
      <c r="BJ228" s="2"/>
      <c r="BK228" s="2"/>
    </row>
    <row r="229" spans="1:63" s="1" customFormat="1" outlineLevel="1">
      <c r="A229" s="1" t="s">
        <v>1637</v>
      </c>
      <c r="B229" s="65"/>
      <c r="C229" s="300">
        <f>'BTX Recycling HC'!C229</f>
        <v>0.11016660035716574</v>
      </c>
      <c r="D229" s="300">
        <f>'BTX Recycling HC'!D229</f>
        <v>9.9439273087778765E-2</v>
      </c>
      <c r="E229" s="300">
        <f>'BTX Recycling HC'!E229</f>
        <v>0.12361992003147491</v>
      </c>
      <c r="F229" s="300">
        <f>'BTX Recycling HC'!F229</f>
        <v>0.15062162288814759</v>
      </c>
      <c r="G229" s="300">
        <f>'BTX Recycling HC'!G229</f>
        <v>0.18048967387741766</v>
      </c>
      <c r="H229" s="300">
        <f>'BTX Recycling HC'!H229</f>
        <v>0.21323657377331556</v>
      </c>
      <c r="I229" s="300">
        <f>'BTX Recycling HC'!I229</f>
        <v>0.24937625460296697</v>
      </c>
      <c r="J229" s="300">
        <f>'BTX Recycling HC'!J229</f>
        <v>0.28910007074250993</v>
      </c>
      <c r="K229" s="300">
        <f>'BTX Recycling HC'!K229</f>
        <v>0.33260163240338747</v>
      </c>
      <c r="L229" s="300">
        <f>'BTX Recycling HC'!L229</f>
        <v>0.38007629312422203</v>
      </c>
      <c r="M229" s="300">
        <f>'BTX Recycling HC'!M229</f>
        <v>0.43172060552946318</v>
      </c>
      <c r="N229" s="300">
        <f>'BTX Recycling HC'!N229</f>
        <v>0.50275792441018419</v>
      </c>
      <c r="O229" s="300">
        <f>'BTX Recycling HC'!O229</f>
        <v>0.58020913563809495</v>
      </c>
      <c r="P229" s="300">
        <f>'BTX Recycling HC'!P229</f>
        <v>0.66406532734238877</v>
      </c>
      <c r="Q229" s="300">
        <f>'BTX Recycling HC'!Q229</f>
        <v>0.75425364487707969</v>
      </c>
      <c r="R229" s="300">
        <f>'BTX Recycling HC'!R229</f>
        <v>0.85063429553083492</v>
      </c>
      <c r="S229" s="300">
        <f>'BTX Recycling HC'!S229</f>
        <v>0.95471532923315072</v>
      </c>
      <c r="T229" s="300">
        <f>'BTX Recycling HC'!T229</f>
        <v>1.0668159101109038</v>
      </c>
      <c r="U229" s="300">
        <f>'BTX Recycling HC'!U229</f>
        <v>1.1872600208194943</v>
      </c>
      <c r="V229" s="300">
        <f>'BTX Recycling HC'!V229</f>
        <v>1.3163763073780306</v>
      </c>
      <c r="W229" s="300">
        <f>'BTX Recycling HC'!W229</f>
        <v>1.454497915545053</v>
      </c>
      <c r="X229" s="300">
        <f>'BTX Recycling HC'!X229</f>
        <v>1.6422141217630135</v>
      </c>
      <c r="Y229" s="300">
        <f>'BTX Recycling HC'!Y229</f>
        <v>1.8443551870355308</v>
      </c>
      <c r="Z229" s="300">
        <f>'BTX Recycling HC'!Z229</f>
        <v>2.0614864993459401</v>
      </c>
      <c r="AA229" s="300">
        <f>'BTX Recycling HC'!AA229</f>
        <v>2.2941813733258702</v>
      </c>
      <c r="AB229" s="300">
        <f>'BTX Recycling HC'!AB229</f>
        <v>2.5430207967815703</v>
      </c>
      <c r="AC229" s="300">
        <f>'BTX Recycling HC'!AC229</f>
        <v>2.8086197176088277</v>
      </c>
      <c r="AD229" s="300">
        <f>'BTX Recycling HC'!AD229</f>
        <v>3.0915817220077484</v>
      </c>
      <c r="AE229" s="300">
        <f>'BTX Recycling HC'!AE229</f>
        <v>3.3925182660394317</v>
      </c>
      <c r="AF229" s="300">
        <f>'BTX Recycling HC'!AF229</f>
        <v>3.7120484316855018</v>
      </c>
      <c r="AG229" s="300">
        <f>'BTX Recycling HC'!AG229</f>
        <v>4.0507986713806412</v>
      </c>
      <c r="AH229" s="245"/>
      <c r="AI229" s="423"/>
      <c r="AJ229" s="424"/>
      <c r="AL229" s="221"/>
      <c r="AM229" s="124"/>
      <c r="AN229" s="124"/>
      <c r="AO229" s="124"/>
      <c r="BD229" s="124"/>
      <c r="BE229" s="124"/>
      <c r="BF229" s="124"/>
      <c r="BG229" s="124"/>
      <c r="BH229" s="124"/>
      <c r="BI229" s="124"/>
      <c r="BJ229" s="124"/>
      <c r="BK229" s="124"/>
    </row>
    <row r="230" spans="1:63" outlineLevel="1">
      <c r="A230" s="4" t="s">
        <v>474</v>
      </c>
      <c r="C230" s="230">
        <f>C$229*'BTX recycling rates'!E82</f>
        <v>0.10125733896785366</v>
      </c>
      <c r="D230" s="230">
        <f>D$229*'BTX recycling rates'!F82</f>
        <v>9.139753926436972E-2</v>
      </c>
      <c r="E230" s="230">
        <f>E$229*'BTX recycling rates'!G82</f>
        <v>0.11362267788262405</v>
      </c>
      <c r="F230" s="230">
        <f>F$229*'BTX recycling rates'!H82</f>
        <v>0.13844073135802593</v>
      </c>
      <c r="G230" s="230">
        <f>G$229*'BTX recycling rates'!I82</f>
        <v>0.16589332909204449</v>
      </c>
      <c r="H230" s="230">
        <f>H$229*'BTX recycling rates'!J82</f>
        <v>0.19599196091108134</v>
      </c>
      <c r="I230" s="230">
        <f>I$229*'BTX recycling rates'!K82</f>
        <v>0.22920899674675266</v>
      </c>
      <c r="J230" s="230">
        <f>J$229*'BTX recycling rates'!L82</f>
        <v>0.26572031599321944</v>
      </c>
      <c r="K230" s="230">
        <f>K$229*'BTX recycling rates'!M82</f>
        <v>0.30570387144873595</v>
      </c>
      <c r="L230" s="230">
        <f>L$229*'BTX recycling rates'!N82</f>
        <v>0.34933921825446784</v>
      </c>
      <c r="M230" s="230">
        <f>M$229*'BTX recycling rates'!O82</f>
        <v>0.39680701366637455</v>
      </c>
      <c r="N230" s="230">
        <f>N$229*'BTX recycling rates'!P82</f>
        <v>0.46209948755548835</v>
      </c>
      <c r="O230" s="230">
        <f>O$229*'BTX recycling rates'!Q82</f>
        <v>0.53328715716995945</v>
      </c>
      <c r="P230" s="230">
        <f>P$229*'BTX recycling rates'!R82</f>
        <v>0.61036183134912603</v>
      </c>
      <c r="Q230" s="230">
        <f>Q$229*'BTX recycling rates'!S82</f>
        <v>0.69325654726069508</v>
      </c>
      <c r="R230" s="230">
        <f>R$229*'BTX recycling rates'!T82</f>
        <v>0.78184281734209538</v>
      </c>
      <c r="S230" s="230">
        <f>S$229*'BTX recycling rates'!U82</f>
        <v>0.87750673431468162</v>
      </c>
      <c r="T230" s="230">
        <f>T$229*'BTX recycling rates'!V82</f>
        <v>0.9805416512462326</v>
      </c>
      <c r="U230" s="230">
        <f>U$229*'BTX recycling rates'!W82</f>
        <v>1.0912453500547814</v>
      </c>
      <c r="V230" s="230">
        <f>V$229*'BTX recycling rates'!X82</f>
        <v>1.2099198988921036</v>
      </c>
      <c r="W230" s="230">
        <f>W$229*'BTX recycling rates'!Y82</f>
        <v>1.3368715017518678</v>
      </c>
      <c r="X230" s="230">
        <f>X$229*'BTX recycling rates'!Z82</f>
        <v>1.509406947714145</v>
      </c>
      <c r="Y230" s="230">
        <f>Y$229*'BTX recycling rates'!AA82</f>
        <v>1.6952007028020133</v>
      </c>
      <c r="Z230" s="230">
        <f>Z$229*'BTX recycling rates'!AB82</f>
        <v>1.8947724316188217</v>
      </c>
      <c r="AA230" s="230">
        <f>AA$229*'BTX recycling rates'!AC82</f>
        <v>2.108649084381804</v>
      </c>
      <c r="AB230" s="230">
        <f>AB$229*'BTX recycling rates'!AD82</f>
        <v>2.3373646639470236</v>
      </c>
      <c r="AC230" s="230">
        <f>AC$229*'BTX recycling rates'!AE82</f>
        <v>2.5814843868803856</v>
      </c>
      <c r="AD230" s="230">
        <f>AD$229*'BTX recycling rates'!AF82</f>
        <v>2.8415630268815626</v>
      </c>
      <c r="AE230" s="230">
        <f>AE$229*'BTX recycling rates'!AG82</f>
        <v>3.1181625910692445</v>
      </c>
      <c r="AF230" s="230">
        <f>AF$229*'BTX recycling rates'!AH82</f>
        <v>3.4118520957683343</v>
      </c>
      <c r="AG230" s="230">
        <f>AG$229*'BTX recycling rates'!AI82</f>
        <v>3.7232073317023371</v>
      </c>
      <c r="AH230" s="245"/>
      <c r="AI230" s="133"/>
      <c r="AJ230" s="211"/>
      <c r="AL230" s="108"/>
      <c r="AM230" s="2"/>
      <c r="AN230" s="2"/>
      <c r="AO230" s="2"/>
      <c r="BC230" s="1"/>
      <c r="BD230" s="2"/>
      <c r="BE230" s="2"/>
      <c r="BF230" s="2"/>
      <c r="BG230" s="2"/>
      <c r="BH230" s="2"/>
      <c r="BI230" s="2"/>
      <c r="BJ230" s="2"/>
      <c r="BK230" s="2"/>
    </row>
    <row r="231" spans="1:63" outlineLevel="1">
      <c r="A231" s="4" t="s">
        <v>478</v>
      </c>
      <c r="C231" s="230">
        <f>C$229*'BTX recycling rates'!E83</f>
        <v>0</v>
      </c>
      <c r="D231" s="230">
        <f>D$229*'BTX recycling rates'!F83</f>
        <v>0</v>
      </c>
      <c r="E231" s="230">
        <f>E$229*'BTX recycling rates'!G83</f>
        <v>0</v>
      </c>
      <c r="F231" s="230">
        <f>F$229*'BTX recycling rates'!H83</f>
        <v>0</v>
      </c>
      <c r="G231" s="230">
        <f>G$229*'BTX recycling rates'!I83</f>
        <v>0</v>
      </c>
      <c r="H231" s="230">
        <f>H$229*'BTX recycling rates'!J83</f>
        <v>0</v>
      </c>
      <c r="I231" s="230">
        <f>I$229*'BTX recycling rates'!K83</f>
        <v>0</v>
      </c>
      <c r="J231" s="230">
        <f>J$229*'BTX recycling rates'!L83</f>
        <v>0</v>
      </c>
      <c r="K231" s="230">
        <f>K$229*'BTX recycling rates'!M83</f>
        <v>0</v>
      </c>
      <c r="L231" s="230">
        <f>L$229*'BTX recycling rates'!N83</f>
        <v>0</v>
      </c>
      <c r="M231" s="230">
        <f>M$229*'BTX recycling rates'!O83</f>
        <v>0</v>
      </c>
      <c r="N231" s="230">
        <f>N$229*'BTX recycling rates'!P83</f>
        <v>0</v>
      </c>
      <c r="O231" s="230">
        <f>O$229*'BTX recycling rates'!Q83</f>
        <v>0</v>
      </c>
      <c r="P231" s="230">
        <f>P$229*'BTX recycling rates'!R83</f>
        <v>0</v>
      </c>
      <c r="Q231" s="230">
        <f>Q$229*'BTX recycling rates'!S83</f>
        <v>0</v>
      </c>
      <c r="R231" s="230">
        <f>R$229*'BTX recycling rates'!T83</f>
        <v>0</v>
      </c>
      <c r="S231" s="230">
        <f>S$229*'BTX recycling rates'!U83</f>
        <v>0</v>
      </c>
      <c r="T231" s="230">
        <f>T$229*'BTX recycling rates'!V83</f>
        <v>0</v>
      </c>
      <c r="U231" s="230">
        <f>U$229*'BTX recycling rates'!W83</f>
        <v>0</v>
      </c>
      <c r="V231" s="230">
        <f>V$229*'BTX recycling rates'!X83</f>
        <v>0</v>
      </c>
      <c r="W231" s="230">
        <f>W$229*'BTX recycling rates'!Y83</f>
        <v>0</v>
      </c>
      <c r="X231" s="230">
        <f>X$229*'BTX recycling rates'!Z83</f>
        <v>0</v>
      </c>
      <c r="Y231" s="230">
        <f>Y$229*'BTX recycling rates'!AA83</f>
        <v>0</v>
      </c>
      <c r="Z231" s="230">
        <f>Z$229*'BTX recycling rates'!AB83</f>
        <v>0</v>
      </c>
      <c r="AA231" s="230">
        <f>AA$229*'BTX recycling rates'!AC83</f>
        <v>0</v>
      </c>
      <c r="AB231" s="230">
        <f>AB$229*'BTX recycling rates'!AD83</f>
        <v>0</v>
      </c>
      <c r="AC231" s="230">
        <f>AC$229*'BTX recycling rates'!AE83</f>
        <v>0</v>
      </c>
      <c r="AD231" s="230">
        <f>AD$229*'BTX recycling rates'!AF83</f>
        <v>0</v>
      </c>
      <c r="AE231" s="230">
        <f>AE$229*'BTX recycling rates'!AG83</f>
        <v>0</v>
      </c>
      <c r="AF231" s="230">
        <f>AF$229*'BTX recycling rates'!AH83</f>
        <v>0</v>
      </c>
      <c r="AG231" s="230">
        <f>AG$229*'BTX recycling rates'!AI83</f>
        <v>0</v>
      </c>
      <c r="AH231" s="245"/>
      <c r="AI231" s="133"/>
      <c r="AJ231" s="211"/>
      <c r="AL231" s="108"/>
      <c r="AM231" s="2"/>
      <c r="AN231" s="2"/>
      <c r="AO231" s="2"/>
      <c r="BC231" s="1"/>
      <c r="BD231" s="2"/>
      <c r="BE231" s="2"/>
      <c r="BF231" s="2"/>
      <c r="BG231" s="2"/>
      <c r="BH231" s="2"/>
      <c r="BI231" s="2"/>
      <c r="BJ231" s="2"/>
      <c r="BK231" s="2"/>
    </row>
    <row r="232" spans="1:63" outlineLevel="1">
      <c r="A232" s="4" t="s">
        <v>745</v>
      </c>
      <c r="C232" s="230">
        <f>C$229*'BTX recycling rates'!E84</f>
        <v>0</v>
      </c>
      <c r="D232" s="230">
        <f>D$229*'BTX recycling rates'!F84</f>
        <v>0</v>
      </c>
      <c r="E232" s="230">
        <f>E$229*'BTX recycling rates'!G84</f>
        <v>0</v>
      </c>
      <c r="F232" s="230">
        <f>F$229*'BTX recycling rates'!H84</f>
        <v>0</v>
      </c>
      <c r="G232" s="230">
        <f>G$229*'BTX recycling rates'!I84</f>
        <v>0</v>
      </c>
      <c r="H232" s="230">
        <f>H$229*'BTX recycling rates'!J84</f>
        <v>0</v>
      </c>
      <c r="I232" s="230">
        <f>I$229*'BTX recycling rates'!K84</f>
        <v>0</v>
      </c>
      <c r="J232" s="230">
        <f>J$229*'BTX recycling rates'!L84</f>
        <v>0</v>
      </c>
      <c r="K232" s="230">
        <f>K$229*'BTX recycling rates'!M84</f>
        <v>0</v>
      </c>
      <c r="L232" s="230">
        <f>L$229*'BTX recycling rates'!N84</f>
        <v>0</v>
      </c>
      <c r="M232" s="230">
        <f>M$229*'BTX recycling rates'!O84</f>
        <v>0</v>
      </c>
      <c r="N232" s="230">
        <f>N$229*'BTX recycling rates'!P84</f>
        <v>0</v>
      </c>
      <c r="O232" s="230">
        <f>O$229*'BTX recycling rates'!Q84</f>
        <v>0</v>
      </c>
      <c r="P232" s="230">
        <f>P$229*'BTX recycling rates'!R84</f>
        <v>0</v>
      </c>
      <c r="Q232" s="230">
        <f>Q$229*'BTX recycling rates'!S84</f>
        <v>0</v>
      </c>
      <c r="R232" s="230">
        <f>R$229*'BTX recycling rates'!T84</f>
        <v>0</v>
      </c>
      <c r="S232" s="230">
        <f>S$229*'BTX recycling rates'!U84</f>
        <v>0</v>
      </c>
      <c r="T232" s="230">
        <f>T$229*'BTX recycling rates'!V84</f>
        <v>0</v>
      </c>
      <c r="U232" s="230">
        <f>U$229*'BTX recycling rates'!W84</f>
        <v>0</v>
      </c>
      <c r="V232" s="230">
        <f>V$229*'BTX recycling rates'!X84</f>
        <v>0</v>
      </c>
      <c r="W232" s="230">
        <f>W$229*'BTX recycling rates'!Y84</f>
        <v>0</v>
      </c>
      <c r="X232" s="230">
        <f>X$229*'BTX recycling rates'!Z84</f>
        <v>0</v>
      </c>
      <c r="Y232" s="230">
        <f>Y$229*'BTX recycling rates'!AA84</f>
        <v>0</v>
      </c>
      <c r="Z232" s="230">
        <f>Z$229*'BTX recycling rates'!AB84</f>
        <v>0</v>
      </c>
      <c r="AA232" s="230">
        <f>AA$229*'BTX recycling rates'!AC84</f>
        <v>0</v>
      </c>
      <c r="AB232" s="230">
        <f>AB$229*'BTX recycling rates'!AD84</f>
        <v>0</v>
      </c>
      <c r="AC232" s="230">
        <f>AC$229*'BTX recycling rates'!AE84</f>
        <v>0</v>
      </c>
      <c r="AD232" s="230">
        <f>AD$229*'BTX recycling rates'!AF84</f>
        <v>0</v>
      </c>
      <c r="AE232" s="230">
        <f>AE$229*'BTX recycling rates'!AG84</f>
        <v>0</v>
      </c>
      <c r="AF232" s="230">
        <f>AF$229*'BTX recycling rates'!AH84</f>
        <v>0</v>
      </c>
      <c r="AG232" s="230">
        <f>AG$229*'BTX recycling rates'!AI84</f>
        <v>0</v>
      </c>
      <c r="AH232" s="245"/>
      <c r="AI232" s="133"/>
      <c r="AJ232" s="211"/>
      <c r="AL232" s="108"/>
      <c r="AM232" s="2"/>
      <c r="AN232" s="2"/>
      <c r="AO232" s="2"/>
      <c r="BC232" s="1"/>
      <c r="BD232" s="2"/>
      <c r="BE232" s="2"/>
      <c r="BF232" s="2"/>
      <c r="BG232" s="2"/>
      <c r="BH232" s="2"/>
      <c r="BI232" s="2"/>
      <c r="BJ232" s="2"/>
      <c r="BK232" s="2"/>
    </row>
    <row r="233" spans="1:63" outlineLevel="1">
      <c r="A233" s="4" t="s">
        <v>1561</v>
      </c>
      <c r="C233" s="230">
        <f>C$229*'BTX recycling rates'!E85</f>
        <v>8.9092613893120808E-3</v>
      </c>
      <c r="D233" s="230">
        <f>D$229*'BTX recycling rates'!F85</f>
        <v>8.0417338234090498E-3</v>
      </c>
      <c r="E233" s="230">
        <f>E$229*'BTX recycling rates'!G85</f>
        <v>9.9972421488508691E-3</v>
      </c>
      <c r="F233" s="230">
        <f>F$229*'BTX recycling rates'!H85</f>
        <v>1.2180891530121661E-2</v>
      </c>
      <c r="G233" s="230">
        <f>G$229*'BTX recycling rates'!I85</f>
        <v>1.4596344785373172E-2</v>
      </c>
      <c r="H233" s="230">
        <f>H$229*'BTX recycling rates'!J85</f>
        <v>1.7244612862234221E-2</v>
      </c>
      <c r="I233" s="230">
        <f>I$229*'BTX recycling rates'!K85</f>
        <v>2.0167257856214305E-2</v>
      </c>
      <c r="J233" s="230">
        <f>J$229*'BTX recycling rates'!L85</f>
        <v>2.3379754749290504E-2</v>
      </c>
      <c r="K233" s="230">
        <f>K$229*'BTX recycling rates'!M85</f>
        <v>2.689776095465151E-2</v>
      </c>
      <c r="L233" s="230">
        <f>L$229*'BTX recycling rates'!N85</f>
        <v>3.0737074869754188E-2</v>
      </c>
      <c r="M233" s="230">
        <f>M$229*'BTX recycling rates'!O85</f>
        <v>3.4913591863088622E-2</v>
      </c>
      <c r="N233" s="230">
        <f>N$229*'BTX recycling rates'!P85</f>
        <v>4.0658436854695841E-2</v>
      </c>
      <c r="O233" s="230">
        <f>O$229*'BTX recycling rates'!Q85</f>
        <v>4.6921978468135457E-2</v>
      </c>
      <c r="P233" s="230">
        <f>P$229*'BTX recycling rates'!R85</f>
        <v>5.3703495993262775E-2</v>
      </c>
      <c r="Q233" s="230">
        <f>Q$229*'BTX recycling rates'!S85</f>
        <v>6.0997097616384624E-2</v>
      </c>
      <c r="R233" s="230">
        <f>R$229*'BTX recycling rates'!T85</f>
        <v>6.8791478188739513E-2</v>
      </c>
      <c r="S233" s="230">
        <f>S$229*'BTX recycling rates'!U85</f>
        <v>7.7208594918469084E-2</v>
      </c>
      <c r="T233" s="230">
        <f>T$229*'BTX recycling rates'!V85</f>
        <v>8.6274258864671258E-2</v>
      </c>
      <c r="U233" s="230">
        <f>U$229*'BTX recycling rates'!W85</f>
        <v>9.6014670764712956E-2</v>
      </c>
      <c r="V233" s="230">
        <f>V$229*'BTX recycling rates'!X85</f>
        <v>0.10645640848592693</v>
      </c>
      <c r="W233" s="230">
        <f>W$229*'BTX recycling rates'!Y85</f>
        <v>0.11762641379318522</v>
      </c>
      <c r="X233" s="230">
        <f>X$229*'BTX recycling rates'!Z85</f>
        <v>0.13280717404886863</v>
      </c>
      <c r="Y233" s="230">
        <f>Y$229*'BTX recycling rates'!AA85</f>
        <v>0.14915448423351763</v>
      </c>
      <c r="Z233" s="230">
        <f>Z$229*'BTX recycling rates'!AB85</f>
        <v>0.16671406772711833</v>
      </c>
      <c r="AA233" s="230">
        <f>AA$229*'BTX recycling rates'!AC85</f>
        <v>0.18553228894406618</v>
      </c>
      <c r="AB233" s="230">
        <f>AB$229*'BTX recycling rates'!AD85</f>
        <v>0.20565613283454662</v>
      </c>
      <c r="AC233" s="230">
        <f>AC$229*'BTX recycling rates'!AE85</f>
        <v>0.22713533072844191</v>
      </c>
      <c r="AD233" s="230">
        <f>AD$229*'BTX recycling rates'!AF85</f>
        <v>0.25001869512618591</v>
      </c>
      <c r="AE233" s="230">
        <f>AE$229*'BTX recycling rates'!AG85</f>
        <v>0.27435567497018726</v>
      </c>
      <c r="AF233" s="230">
        <f>AF$229*'BTX recycling rates'!AH85</f>
        <v>0.30019633591716777</v>
      </c>
      <c r="AG233" s="230">
        <f>AG$229*'BTX recycling rates'!AI85</f>
        <v>0.32759133967830367</v>
      </c>
      <c r="AH233" s="245"/>
      <c r="AI233" s="133"/>
      <c r="AJ233" s="211"/>
      <c r="AL233" s="108"/>
      <c r="AM233" s="2"/>
      <c r="AN233" s="2"/>
      <c r="AO233" s="2"/>
      <c r="BC233" s="1"/>
      <c r="BD233" s="2"/>
      <c r="BE233" s="2"/>
      <c r="BF233" s="2"/>
      <c r="BG233" s="2"/>
      <c r="BH233" s="2"/>
      <c r="BI233" s="2"/>
      <c r="BJ233" s="2"/>
      <c r="BK233" s="2"/>
    </row>
    <row r="234" spans="1:63" s="1" customFormat="1" outlineLevel="1">
      <c r="A234" s="1" t="s">
        <v>1638</v>
      </c>
      <c r="B234" s="65"/>
      <c r="C234" s="300">
        <f t="shared" ref="C234:AG234" si="112">C229-$C229</f>
        <v>0</v>
      </c>
      <c r="D234" s="300">
        <f t="shared" si="112"/>
        <v>-1.072732726938698E-2</v>
      </c>
      <c r="E234" s="300">
        <f t="shared" si="112"/>
        <v>1.3453319674309169E-2</v>
      </c>
      <c r="F234" s="300">
        <f t="shared" si="112"/>
        <v>4.0455022530981849E-2</v>
      </c>
      <c r="G234" s="300">
        <f t="shared" si="112"/>
        <v>7.0323073520251911E-2</v>
      </c>
      <c r="H234" s="300">
        <f t="shared" si="112"/>
        <v>0.10306997341614982</v>
      </c>
      <c r="I234" s="300">
        <f t="shared" si="112"/>
        <v>0.13920965424580123</v>
      </c>
      <c r="J234" s="300">
        <f t="shared" si="112"/>
        <v>0.17893347038534418</v>
      </c>
      <c r="K234" s="300">
        <f t="shared" si="112"/>
        <v>0.22243503204622173</v>
      </c>
      <c r="L234" s="300">
        <f t="shared" si="112"/>
        <v>0.26990969276705629</v>
      </c>
      <c r="M234" s="300">
        <f t="shared" si="112"/>
        <v>0.32155400517229743</v>
      </c>
      <c r="N234" s="300">
        <f t="shared" si="112"/>
        <v>0.39259132405301844</v>
      </c>
      <c r="O234" s="300">
        <f t="shared" si="112"/>
        <v>0.47004253528092921</v>
      </c>
      <c r="P234" s="300">
        <f t="shared" si="112"/>
        <v>0.55389872698522302</v>
      </c>
      <c r="Q234" s="300">
        <f t="shared" si="112"/>
        <v>0.64408704451991394</v>
      </c>
      <c r="R234" s="300">
        <f t="shared" si="112"/>
        <v>0.74046769517366917</v>
      </c>
      <c r="S234" s="300">
        <f t="shared" si="112"/>
        <v>0.84454872887598498</v>
      </c>
      <c r="T234" s="300">
        <f t="shared" si="112"/>
        <v>0.95664930975373808</v>
      </c>
      <c r="U234" s="300">
        <f t="shared" si="112"/>
        <v>1.0770934204623286</v>
      </c>
      <c r="V234" s="300">
        <f t="shared" si="112"/>
        <v>1.2062097070208648</v>
      </c>
      <c r="W234" s="300">
        <f t="shared" si="112"/>
        <v>1.3443313151878873</v>
      </c>
      <c r="X234" s="300">
        <f t="shared" si="112"/>
        <v>1.5320475214058478</v>
      </c>
      <c r="Y234" s="300">
        <f t="shared" si="112"/>
        <v>1.7341885866783651</v>
      </c>
      <c r="Z234" s="300">
        <f t="shared" si="112"/>
        <v>1.9513198989887743</v>
      </c>
      <c r="AA234" s="300">
        <f t="shared" si="112"/>
        <v>2.1840147729687045</v>
      </c>
      <c r="AB234" s="300">
        <f t="shared" si="112"/>
        <v>2.4328541964244046</v>
      </c>
      <c r="AC234" s="300">
        <f t="shared" si="112"/>
        <v>2.6984531172516619</v>
      </c>
      <c r="AD234" s="300">
        <f t="shared" si="112"/>
        <v>2.9814151216505826</v>
      </c>
      <c r="AE234" s="300">
        <f t="shared" si="112"/>
        <v>3.282351665682266</v>
      </c>
      <c r="AF234" s="300">
        <f t="shared" si="112"/>
        <v>3.6018818313283361</v>
      </c>
      <c r="AG234" s="300">
        <f t="shared" si="112"/>
        <v>3.9406320710234755</v>
      </c>
      <c r="AH234" s="245"/>
      <c r="AI234" s="423"/>
      <c r="AJ234" s="424"/>
      <c r="AL234" s="221"/>
      <c r="AM234" s="124"/>
      <c r="AN234" s="124"/>
      <c r="AO234" s="124"/>
      <c r="BD234" s="124"/>
      <c r="BE234" s="124"/>
      <c r="BF234" s="124"/>
      <c r="BG234" s="124"/>
      <c r="BH234" s="124"/>
      <c r="BI234" s="124"/>
      <c r="BJ234" s="124"/>
      <c r="BK234" s="124"/>
    </row>
    <row r="235" spans="1:63" outlineLevel="1">
      <c r="A235" s="4" t="s">
        <v>474</v>
      </c>
      <c r="C235" s="230">
        <f t="shared" ref="C235:AG235" si="113">C230-$C230</f>
        <v>0</v>
      </c>
      <c r="D235" s="230">
        <f t="shared" si="113"/>
        <v>-9.8597997034839402E-3</v>
      </c>
      <c r="E235" s="230">
        <f t="shared" si="113"/>
        <v>1.2365338914770388E-2</v>
      </c>
      <c r="F235" s="230">
        <f t="shared" si="113"/>
        <v>3.7183392390172265E-2</v>
      </c>
      <c r="G235" s="230">
        <f t="shared" si="113"/>
        <v>6.4635990124190829E-2</v>
      </c>
      <c r="H235" s="230">
        <f t="shared" si="113"/>
        <v>9.4734621943227681E-2</v>
      </c>
      <c r="I235" s="230">
        <f t="shared" si="113"/>
        <v>0.127951657778899</v>
      </c>
      <c r="J235" s="230">
        <f t="shared" si="113"/>
        <v>0.16446297702536578</v>
      </c>
      <c r="K235" s="230">
        <f t="shared" si="113"/>
        <v>0.20444653248088229</v>
      </c>
      <c r="L235" s="230">
        <f t="shared" si="113"/>
        <v>0.24808187928661418</v>
      </c>
      <c r="M235" s="230">
        <f t="shared" si="113"/>
        <v>0.29554967469852089</v>
      </c>
      <c r="N235" s="230">
        <f t="shared" si="113"/>
        <v>0.36084214858763469</v>
      </c>
      <c r="O235" s="230">
        <f t="shared" si="113"/>
        <v>0.43202981820210579</v>
      </c>
      <c r="P235" s="230">
        <f t="shared" si="113"/>
        <v>0.50910449238127242</v>
      </c>
      <c r="Q235" s="230">
        <f t="shared" si="113"/>
        <v>0.59199920829284136</v>
      </c>
      <c r="R235" s="230">
        <f t="shared" si="113"/>
        <v>0.68058547837424177</v>
      </c>
      <c r="S235" s="230">
        <f t="shared" si="113"/>
        <v>0.77624939534682791</v>
      </c>
      <c r="T235" s="230">
        <f t="shared" si="113"/>
        <v>0.87928431227837889</v>
      </c>
      <c r="U235" s="230">
        <f t="shared" si="113"/>
        <v>0.98998801108692769</v>
      </c>
      <c r="V235" s="230">
        <f t="shared" si="113"/>
        <v>1.1086625599242499</v>
      </c>
      <c r="W235" s="230">
        <f t="shared" si="113"/>
        <v>1.235614162784014</v>
      </c>
      <c r="X235" s="230">
        <f t="shared" si="113"/>
        <v>1.4081496087462912</v>
      </c>
      <c r="Y235" s="230">
        <f t="shared" si="113"/>
        <v>1.5939433638341596</v>
      </c>
      <c r="Z235" s="230">
        <f t="shared" si="113"/>
        <v>1.793515092650968</v>
      </c>
      <c r="AA235" s="230">
        <f t="shared" si="113"/>
        <v>2.0073917454139503</v>
      </c>
      <c r="AB235" s="230">
        <f t="shared" si="113"/>
        <v>2.2361073249791699</v>
      </c>
      <c r="AC235" s="230">
        <f t="shared" si="113"/>
        <v>2.4802270479125319</v>
      </c>
      <c r="AD235" s="230">
        <f t="shared" si="113"/>
        <v>2.7403056879137089</v>
      </c>
      <c r="AE235" s="230">
        <f t="shared" si="113"/>
        <v>3.0169052521013908</v>
      </c>
      <c r="AF235" s="230">
        <f t="shared" si="113"/>
        <v>3.3105947568004805</v>
      </c>
      <c r="AG235" s="230">
        <f t="shared" si="113"/>
        <v>3.6219499927344834</v>
      </c>
      <c r="AH235" s="245"/>
      <c r="AI235" s="133"/>
      <c r="AJ235" s="211"/>
      <c r="AL235" s="108"/>
      <c r="AM235" s="2"/>
      <c r="AN235" s="2"/>
      <c r="AO235" s="2"/>
      <c r="BC235" s="1"/>
      <c r="BD235" s="2"/>
      <c r="BE235" s="2"/>
      <c r="BF235" s="2"/>
      <c r="BG235" s="2"/>
      <c r="BH235" s="2"/>
      <c r="BI235" s="2"/>
      <c r="BJ235" s="2"/>
      <c r="BK235" s="2"/>
    </row>
    <row r="236" spans="1:63" outlineLevel="1">
      <c r="A236" s="4" t="s">
        <v>478</v>
      </c>
      <c r="C236" s="230">
        <f t="shared" ref="C236:AG238" si="114">C231-$C231</f>
        <v>0</v>
      </c>
      <c r="D236" s="230">
        <f t="shared" si="114"/>
        <v>0</v>
      </c>
      <c r="E236" s="230">
        <f t="shared" si="114"/>
        <v>0</v>
      </c>
      <c r="F236" s="230">
        <f t="shared" si="114"/>
        <v>0</v>
      </c>
      <c r="G236" s="230">
        <f t="shared" si="114"/>
        <v>0</v>
      </c>
      <c r="H236" s="230">
        <f t="shared" si="114"/>
        <v>0</v>
      </c>
      <c r="I236" s="230">
        <f t="shared" si="114"/>
        <v>0</v>
      </c>
      <c r="J236" s="230">
        <f t="shared" si="114"/>
        <v>0</v>
      </c>
      <c r="K236" s="230">
        <f t="shared" si="114"/>
        <v>0</v>
      </c>
      <c r="L236" s="230">
        <f t="shared" si="114"/>
        <v>0</v>
      </c>
      <c r="M236" s="230">
        <f t="shared" si="114"/>
        <v>0</v>
      </c>
      <c r="N236" s="230">
        <f t="shared" si="114"/>
        <v>0</v>
      </c>
      <c r="O236" s="230">
        <f t="shared" si="114"/>
        <v>0</v>
      </c>
      <c r="P236" s="230">
        <f t="shared" si="114"/>
        <v>0</v>
      </c>
      <c r="Q236" s="230">
        <f t="shared" si="114"/>
        <v>0</v>
      </c>
      <c r="R236" s="230">
        <f t="shared" si="114"/>
        <v>0</v>
      </c>
      <c r="S236" s="230">
        <f t="shared" si="114"/>
        <v>0</v>
      </c>
      <c r="T236" s="230">
        <f t="shared" si="114"/>
        <v>0</v>
      </c>
      <c r="U236" s="230">
        <f t="shared" si="114"/>
        <v>0</v>
      </c>
      <c r="V236" s="230">
        <f t="shared" si="114"/>
        <v>0</v>
      </c>
      <c r="W236" s="230">
        <f t="shared" si="114"/>
        <v>0</v>
      </c>
      <c r="X236" s="230">
        <f t="shared" si="114"/>
        <v>0</v>
      </c>
      <c r="Y236" s="230">
        <f t="shared" si="114"/>
        <v>0</v>
      </c>
      <c r="Z236" s="230">
        <f t="shared" si="114"/>
        <v>0</v>
      </c>
      <c r="AA236" s="230">
        <f t="shared" si="114"/>
        <v>0</v>
      </c>
      <c r="AB236" s="230">
        <f t="shared" si="114"/>
        <v>0</v>
      </c>
      <c r="AC236" s="230">
        <f t="shared" si="114"/>
        <v>0</v>
      </c>
      <c r="AD236" s="230">
        <f t="shared" si="114"/>
        <v>0</v>
      </c>
      <c r="AE236" s="230">
        <f t="shared" si="114"/>
        <v>0</v>
      </c>
      <c r="AF236" s="230">
        <f t="shared" si="114"/>
        <v>0</v>
      </c>
      <c r="AG236" s="230">
        <f t="shared" si="114"/>
        <v>0</v>
      </c>
      <c r="AH236" s="245"/>
      <c r="AI236" s="133"/>
      <c r="AJ236" s="211"/>
      <c r="AL236" s="108"/>
      <c r="AM236" s="2"/>
      <c r="AN236" s="2"/>
      <c r="AO236" s="2"/>
      <c r="BC236" s="1"/>
      <c r="BD236" s="2"/>
      <c r="BE236" s="2"/>
      <c r="BF236" s="2"/>
      <c r="BG236" s="2"/>
      <c r="BH236" s="2"/>
      <c r="BI236" s="2"/>
      <c r="BJ236" s="2"/>
      <c r="BK236" s="2"/>
    </row>
    <row r="237" spans="1:63" outlineLevel="1">
      <c r="A237" s="4" t="s">
        <v>745</v>
      </c>
      <c r="C237" s="230">
        <f t="shared" si="114"/>
        <v>0</v>
      </c>
      <c r="D237" s="230">
        <f t="shared" si="114"/>
        <v>0</v>
      </c>
      <c r="E237" s="230">
        <f t="shared" si="114"/>
        <v>0</v>
      </c>
      <c r="F237" s="230">
        <f t="shared" si="114"/>
        <v>0</v>
      </c>
      <c r="G237" s="230">
        <f t="shared" si="114"/>
        <v>0</v>
      </c>
      <c r="H237" s="230">
        <f t="shared" si="114"/>
        <v>0</v>
      </c>
      <c r="I237" s="230">
        <f t="shared" si="114"/>
        <v>0</v>
      </c>
      <c r="J237" s="230">
        <f t="shared" si="114"/>
        <v>0</v>
      </c>
      <c r="K237" s="230">
        <f t="shared" si="114"/>
        <v>0</v>
      </c>
      <c r="L237" s="230">
        <f t="shared" si="114"/>
        <v>0</v>
      </c>
      <c r="M237" s="230">
        <f t="shared" si="114"/>
        <v>0</v>
      </c>
      <c r="N237" s="230">
        <f t="shared" si="114"/>
        <v>0</v>
      </c>
      <c r="O237" s="230">
        <f t="shared" si="114"/>
        <v>0</v>
      </c>
      <c r="P237" s="230">
        <f t="shared" si="114"/>
        <v>0</v>
      </c>
      <c r="Q237" s="230">
        <f t="shared" si="114"/>
        <v>0</v>
      </c>
      <c r="R237" s="230">
        <f t="shared" si="114"/>
        <v>0</v>
      </c>
      <c r="S237" s="230">
        <f t="shared" si="114"/>
        <v>0</v>
      </c>
      <c r="T237" s="230">
        <f t="shared" si="114"/>
        <v>0</v>
      </c>
      <c r="U237" s="230">
        <f t="shared" si="114"/>
        <v>0</v>
      </c>
      <c r="V237" s="230">
        <f t="shared" si="114"/>
        <v>0</v>
      </c>
      <c r="W237" s="230">
        <f t="shared" si="114"/>
        <v>0</v>
      </c>
      <c r="X237" s="230">
        <f t="shared" si="114"/>
        <v>0</v>
      </c>
      <c r="Y237" s="230">
        <f t="shared" si="114"/>
        <v>0</v>
      </c>
      <c r="Z237" s="230">
        <f t="shared" si="114"/>
        <v>0</v>
      </c>
      <c r="AA237" s="230">
        <f t="shared" si="114"/>
        <v>0</v>
      </c>
      <c r="AB237" s="230">
        <f t="shared" si="114"/>
        <v>0</v>
      </c>
      <c r="AC237" s="230">
        <f t="shared" si="114"/>
        <v>0</v>
      </c>
      <c r="AD237" s="230">
        <f t="shared" si="114"/>
        <v>0</v>
      </c>
      <c r="AE237" s="230">
        <f t="shared" si="114"/>
        <v>0</v>
      </c>
      <c r="AF237" s="230">
        <f t="shared" si="114"/>
        <v>0</v>
      </c>
      <c r="AG237" s="230">
        <f t="shared" si="114"/>
        <v>0</v>
      </c>
      <c r="AH237" s="245"/>
      <c r="AI237" s="133"/>
      <c r="AJ237" s="211"/>
      <c r="AL237" s="108"/>
      <c r="AM237" s="2"/>
      <c r="AN237" s="2"/>
      <c r="AO237" s="2"/>
      <c r="BC237" s="1"/>
      <c r="BD237" s="2"/>
      <c r="BE237" s="2"/>
      <c r="BF237" s="2"/>
      <c r="BG237" s="2"/>
      <c r="BH237" s="2"/>
      <c r="BI237" s="2"/>
      <c r="BJ237" s="2"/>
      <c r="BK237" s="2"/>
    </row>
    <row r="238" spans="1:63" outlineLevel="1">
      <c r="A238" s="4" t="s">
        <v>1561</v>
      </c>
      <c r="C238" s="230">
        <f t="shared" si="114"/>
        <v>0</v>
      </c>
      <c r="D238" s="230">
        <f t="shared" si="114"/>
        <v>-8.6752756590303091E-4</v>
      </c>
      <c r="E238" s="230">
        <f t="shared" si="114"/>
        <v>1.0879807595387883E-3</v>
      </c>
      <c r="F238" s="230">
        <f t="shared" si="114"/>
        <v>3.2716301408095803E-3</v>
      </c>
      <c r="G238" s="230">
        <f t="shared" si="114"/>
        <v>5.6870833960610909E-3</v>
      </c>
      <c r="H238" s="230">
        <f t="shared" si="114"/>
        <v>8.3353514729221402E-3</v>
      </c>
      <c r="I238" s="230">
        <f t="shared" si="114"/>
        <v>1.1257996466902224E-2</v>
      </c>
      <c r="J238" s="230">
        <f t="shared" si="114"/>
        <v>1.4470493359978423E-2</v>
      </c>
      <c r="K238" s="230">
        <f t="shared" si="114"/>
        <v>1.798849956533943E-2</v>
      </c>
      <c r="L238" s="230">
        <f t="shared" si="114"/>
        <v>2.1827813480442108E-2</v>
      </c>
      <c r="M238" s="230">
        <f t="shared" si="114"/>
        <v>2.6004330473776541E-2</v>
      </c>
      <c r="N238" s="230">
        <f t="shared" si="114"/>
        <v>3.1749175465383764E-2</v>
      </c>
      <c r="O238" s="230">
        <f t="shared" si="114"/>
        <v>3.801271707882338E-2</v>
      </c>
      <c r="P238" s="230">
        <f t="shared" si="114"/>
        <v>4.4794234603950697E-2</v>
      </c>
      <c r="Q238" s="230">
        <f t="shared" si="114"/>
        <v>5.208783622707254E-2</v>
      </c>
      <c r="R238" s="230">
        <f t="shared" si="114"/>
        <v>5.9882216799427429E-2</v>
      </c>
      <c r="S238" s="230">
        <f t="shared" si="114"/>
        <v>6.8299333529157E-2</v>
      </c>
      <c r="T238" s="230">
        <f t="shared" si="114"/>
        <v>7.7364997475359173E-2</v>
      </c>
      <c r="U238" s="230">
        <f t="shared" si="114"/>
        <v>8.7105409375400872E-2</v>
      </c>
      <c r="V238" s="230">
        <f t="shared" si="114"/>
        <v>9.7547147096614842E-2</v>
      </c>
      <c r="W238" s="230">
        <f t="shared" si="114"/>
        <v>0.10871715240387314</v>
      </c>
      <c r="X238" s="230">
        <f t="shared" si="114"/>
        <v>0.12389791265955655</v>
      </c>
      <c r="Y238" s="230">
        <f t="shared" si="114"/>
        <v>0.14024522284420554</v>
      </c>
      <c r="Z238" s="230">
        <f t="shared" si="114"/>
        <v>0.15780480633780625</v>
      </c>
      <c r="AA238" s="230">
        <f t="shared" si="114"/>
        <v>0.17662302755475409</v>
      </c>
      <c r="AB238" s="230">
        <f t="shared" si="114"/>
        <v>0.19674687144523453</v>
      </c>
      <c r="AC238" s="230">
        <f t="shared" si="114"/>
        <v>0.21822606933912983</v>
      </c>
      <c r="AD238" s="230">
        <f t="shared" si="114"/>
        <v>0.24110943373687382</v>
      </c>
      <c r="AE238" s="230">
        <f t="shared" si="114"/>
        <v>0.26544641358087517</v>
      </c>
      <c r="AF238" s="230">
        <f t="shared" si="114"/>
        <v>0.29128707452785568</v>
      </c>
      <c r="AG238" s="230">
        <f t="shared" si="114"/>
        <v>0.31868207828899159</v>
      </c>
      <c r="AH238" s="245"/>
      <c r="AI238" s="133"/>
      <c r="AJ238" s="211"/>
      <c r="AL238" s="108"/>
      <c r="AM238" s="2"/>
      <c r="AN238" s="2"/>
      <c r="AO238" s="2"/>
      <c r="BC238" s="1"/>
      <c r="BD238" s="2"/>
      <c r="BE238" s="2"/>
      <c r="BF238" s="2"/>
      <c r="BG238" s="2"/>
      <c r="BH238" s="2"/>
      <c r="BI238" s="2"/>
      <c r="BJ238" s="2"/>
      <c r="BK238" s="2"/>
    </row>
    <row r="239" spans="1:63" outlineLevel="1">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J239" s="211"/>
    </row>
    <row r="240" spans="1:63" s="200" customFormat="1" ht="16" thickBot="1">
      <c r="A240" s="200" t="s">
        <v>1347</v>
      </c>
      <c r="B240" s="215"/>
      <c r="C240" s="224">
        <f>C241</f>
        <v>1.6E-2</v>
      </c>
      <c r="D240" s="224">
        <f t="shared" ref="D240:AG240" si="115">D241</f>
        <v>2.329547397581962E-2</v>
      </c>
      <c r="E240" s="224">
        <f t="shared" si="115"/>
        <v>3.059094795163924E-2</v>
      </c>
      <c r="F240" s="224">
        <f t="shared" si="115"/>
        <v>3.7886421927458863E-2</v>
      </c>
      <c r="G240" s="224">
        <f t="shared" si="115"/>
        <v>4.5181895903278479E-2</v>
      </c>
      <c r="H240" s="224">
        <f t="shared" si="115"/>
        <v>5.2477369879098103E-2</v>
      </c>
      <c r="I240" s="224">
        <f t="shared" si="115"/>
        <v>5.9772843854917726E-2</v>
      </c>
      <c r="J240" s="224">
        <f t="shared" si="115"/>
        <v>6.7068317830737342E-2</v>
      </c>
      <c r="K240" s="224">
        <f t="shared" si="115"/>
        <v>7.4363791806556973E-2</v>
      </c>
      <c r="L240" s="224">
        <f t="shared" si="115"/>
        <v>8.1659265782376589E-2</v>
      </c>
      <c r="M240" s="224">
        <f t="shared" si="115"/>
        <v>8.8954739758196205E-2</v>
      </c>
      <c r="N240" s="224">
        <f t="shared" si="115"/>
        <v>0.10433135413800063</v>
      </c>
      <c r="O240" s="224">
        <f t="shared" si="115"/>
        <v>0.11970796851780505</v>
      </c>
      <c r="P240" s="224">
        <f t="shared" si="115"/>
        <v>0.1350845828976095</v>
      </c>
      <c r="Q240" s="224">
        <f t="shared" si="115"/>
        <v>0.15046119727741392</v>
      </c>
      <c r="R240" s="224">
        <f t="shared" si="115"/>
        <v>0.16583781165721834</v>
      </c>
      <c r="S240" s="224">
        <f t="shared" si="115"/>
        <v>0.18121442603702276</v>
      </c>
      <c r="T240" s="224">
        <f t="shared" si="115"/>
        <v>0.19659104041682718</v>
      </c>
      <c r="U240" s="224">
        <f t="shared" si="115"/>
        <v>0.2119676547966316</v>
      </c>
      <c r="V240" s="224">
        <f t="shared" si="115"/>
        <v>0.22734426917643602</v>
      </c>
      <c r="W240" s="224">
        <f t="shared" si="115"/>
        <v>0.24272088355624044</v>
      </c>
      <c r="X240" s="224">
        <f t="shared" si="115"/>
        <v>0.26844879520061637</v>
      </c>
      <c r="Y240" s="224">
        <f t="shared" si="115"/>
        <v>0.29417670684499236</v>
      </c>
      <c r="Z240" s="224">
        <f t="shared" si="115"/>
        <v>0.3199046184893683</v>
      </c>
      <c r="AA240" s="224">
        <f t="shared" si="115"/>
        <v>0.34563253013374429</v>
      </c>
      <c r="AB240" s="224">
        <f t="shared" si="115"/>
        <v>0.37136044177812022</v>
      </c>
      <c r="AC240" s="224">
        <f t="shared" si="115"/>
        <v>0.39708835342249615</v>
      </c>
      <c r="AD240" s="224">
        <f t="shared" si="115"/>
        <v>0.42281626506687209</v>
      </c>
      <c r="AE240" s="224">
        <f t="shared" si="115"/>
        <v>0.44854417671124808</v>
      </c>
      <c r="AF240" s="224">
        <f t="shared" si="115"/>
        <v>0.47427208835562407</v>
      </c>
      <c r="AG240" s="224">
        <f t="shared" si="115"/>
        <v>0.5</v>
      </c>
      <c r="AJ240" s="231" t="s">
        <v>1312</v>
      </c>
      <c r="AL240" s="217"/>
      <c r="AM240" s="225"/>
      <c r="AN240" s="225"/>
      <c r="AO240" s="225"/>
    </row>
    <row r="241" spans="1:63" ht="16" outlineLevel="1" thickTop="1">
      <c r="A241" t="s">
        <v>1348</v>
      </c>
      <c r="B241" s="54" t="s">
        <v>462</v>
      </c>
      <c r="C241" s="113">
        <v>1.6E-2</v>
      </c>
      <c r="D241" s="110">
        <f>$C241+($M241-$C241)/10*(D$1-$C$1)</f>
        <v>2.329547397581962E-2</v>
      </c>
      <c r="E241" s="110">
        <f t="shared" ref="E241:L241" si="116">$C241+($M241-$C241)/10*(E$1-$C$1)</f>
        <v>3.059094795163924E-2</v>
      </c>
      <c r="F241" s="110">
        <f t="shared" si="116"/>
        <v>3.7886421927458863E-2</v>
      </c>
      <c r="G241" s="110">
        <f t="shared" si="116"/>
        <v>4.5181895903278479E-2</v>
      </c>
      <c r="H241" s="110">
        <f t="shared" si="116"/>
        <v>5.2477369879098103E-2</v>
      </c>
      <c r="I241" s="110">
        <f t="shared" si="116"/>
        <v>5.9772843854917726E-2</v>
      </c>
      <c r="J241" s="110">
        <f t="shared" si="116"/>
        <v>6.7068317830737342E-2</v>
      </c>
      <c r="K241" s="110">
        <f t="shared" si="116"/>
        <v>7.4363791806556973E-2</v>
      </c>
      <c r="L241" s="110">
        <f t="shared" si="116"/>
        <v>8.1659265782376589E-2</v>
      </c>
      <c r="M241" s="121">
        <f>(M$52-$C$52)/($AG$52-$C$52)*($AG241-$C241)+$C241</f>
        <v>8.8954739758196205E-2</v>
      </c>
      <c r="N241" s="121">
        <f>$M241+($W241-$M241)/10*(N$1-$M$1)</f>
        <v>0.10433135413800063</v>
      </c>
      <c r="O241" s="121">
        <f t="shared" ref="O241:U241" si="117">$M241+($W241-$M241)/10*(O$1-$M$1)</f>
        <v>0.11970796851780505</v>
      </c>
      <c r="P241" s="121">
        <f t="shared" si="117"/>
        <v>0.1350845828976095</v>
      </c>
      <c r="Q241" s="121">
        <f t="shared" si="117"/>
        <v>0.15046119727741392</v>
      </c>
      <c r="R241" s="121">
        <f t="shared" si="117"/>
        <v>0.16583781165721834</v>
      </c>
      <c r="S241" s="121">
        <f t="shared" si="117"/>
        <v>0.18121442603702276</v>
      </c>
      <c r="T241" s="121">
        <f t="shared" si="117"/>
        <v>0.19659104041682718</v>
      </c>
      <c r="U241" s="121">
        <f t="shared" si="117"/>
        <v>0.2119676547966316</v>
      </c>
      <c r="V241" s="121">
        <f>$M241+($W241-$M241)/10*(V$1-$M$1)</f>
        <v>0.22734426917643602</v>
      </c>
      <c r="W241" s="121">
        <f>(W$52-$C$52)/($AG$52-$C$52)*($AG241-$C241)+$C241</f>
        <v>0.24272088355624044</v>
      </c>
      <c r="X241" s="23">
        <f t="shared" ref="X241:AF241" si="118">$W241+($AG241-$W241)/10*(X$1-$W$1)</f>
        <v>0.26844879520061637</v>
      </c>
      <c r="Y241" s="23">
        <f t="shared" si="118"/>
        <v>0.29417670684499236</v>
      </c>
      <c r="Z241" s="23">
        <f t="shared" si="118"/>
        <v>0.3199046184893683</v>
      </c>
      <c r="AA241" s="23">
        <f t="shared" si="118"/>
        <v>0.34563253013374429</v>
      </c>
      <c r="AB241" s="23">
        <f t="shared" si="118"/>
        <v>0.37136044177812022</v>
      </c>
      <c r="AC241" s="23">
        <f t="shared" si="118"/>
        <v>0.39708835342249615</v>
      </c>
      <c r="AD241" s="23">
        <f t="shared" si="118"/>
        <v>0.42281626506687209</v>
      </c>
      <c r="AE241" s="23">
        <f t="shared" si="118"/>
        <v>0.44854417671124808</v>
      </c>
      <c r="AF241" s="23">
        <f t="shared" si="118"/>
        <v>0.47427208835562407</v>
      </c>
      <c r="AG241" s="106">
        <v>0.5</v>
      </c>
      <c r="AJ241" s="211" t="s">
        <v>1349</v>
      </c>
    </row>
    <row r="242" spans="1:63" outlineLevel="1">
      <c r="C242" s="113"/>
      <c r="D242" s="110"/>
      <c r="E242" s="110"/>
      <c r="F242" s="110"/>
      <c r="G242" s="110"/>
      <c r="H242" s="110"/>
      <c r="I242" s="110"/>
      <c r="J242" s="110"/>
      <c r="K242" s="110"/>
      <c r="L242" s="110"/>
      <c r="M242" s="121"/>
      <c r="N242" s="121"/>
      <c r="O242" s="121"/>
      <c r="P242" s="121"/>
      <c r="Q242" s="121"/>
      <c r="R242" s="121"/>
      <c r="S242" s="121"/>
      <c r="T242" s="121"/>
      <c r="U242" s="121"/>
      <c r="V242" s="121"/>
      <c r="W242" s="121"/>
      <c r="X242" s="23"/>
      <c r="Y242" s="23"/>
      <c r="Z242" s="23"/>
      <c r="AA242" s="23"/>
      <c r="AB242" s="23"/>
      <c r="AC242" s="23"/>
      <c r="AD242" s="23"/>
      <c r="AE242" s="23"/>
      <c r="AF242" s="23"/>
      <c r="AG242" s="106"/>
      <c r="AJ242" s="211"/>
    </row>
    <row r="243" spans="1:63" outlineLevel="1">
      <c r="A243" t="s">
        <v>1621</v>
      </c>
      <c r="C243" s="504">
        <f>('Overall recycling rates'!F85*'Yearly BTX'!D5+'Overall recycling rates'!G85*'Yearly BTX'!D6+'Overall recycling rates'!H85*'Yearly BTX'!D7)/'Yearly BTX'!D4</f>
        <v>0.30412868877343519</v>
      </c>
      <c r="D243" s="504">
        <f>C243-($C243-$AG243)/($AG$1-$C$1)</f>
        <v>0.32065773248098733</v>
      </c>
      <c r="E243" s="504">
        <f t="shared" ref="E243:AF243" si="119">D243-($C243-$AG243)/($AG$1-$C$1)</f>
        <v>0.33718677618853948</v>
      </c>
      <c r="F243" s="504">
        <f t="shared" si="119"/>
        <v>0.35371581989609163</v>
      </c>
      <c r="G243" s="504">
        <f t="shared" si="119"/>
        <v>0.37024486360364378</v>
      </c>
      <c r="H243" s="504">
        <f t="shared" si="119"/>
        <v>0.38677390731119593</v>
      </c>
      <c r="I243" s="504">
        <f t="shared" si="119"/>
        <v>0.40330295101874808</v>
      </c>
      <c r="J243" s="504">
        <f t="shared" si="119"/>
        <v>0.41983199472630023</v>
      </c>
      <c r="K243" s="504">
        <f t="shared" si="119"/>
        <v>0.43636103843385238</v>
      </c>
      <c r="L243" s="504">
        <f t="shared" si="119"/>
        <v>0.45289008214140453</v>
      </c>
      <c r="M243" s="504">
        <f t="shared" si="119"/>
        <v>0.46941912584895668</v>
      </c>
      <c r="N243" s="504">
        <f t="shared" si="119"/>
        <v>0.48594816955650882</v>
      </c>
      <c r="O243" s="504">
        <f t="shared" si="119"/>
        <v>0.50247721326406103</v>
      </c>
      <c r="P243" s="504">
        <f t="shared" si="119"/>
        <v>0.51900625697161318</v>
      </c>
      <c r="Q243" s="504">
        <f t="shared" si="119"/>
        <v>0.53553530067916533</v>
      </c>
      <c r="R243" s="504">
        <f t="shared" si="119"/>
        <v>0.55206434438671748</v>
      </c>
      <c r="S243" s="504">
        <f t="shared" si="119"/>
        <v>0.56859338809426963</v>
      </c>
      <c r="T243" s="504">
        <f t="shared" si="119"/>
        <v>0.58512243180182177</v>
      </c>
      <c r="U243" s="504">
        <f t="shared" si="119"/>
        <v>0.60165147550937392</v>
      </c>
      <c r="V243" s="504">
        <f t="shared" si="119"/>
        <v>0.61818051921692607</v>
      </c>
      <c r="W243" s="504">
        <f t="shared" si="119"/>
        <v>0.63470956292447822</v>
      </c>
      <c r="X243" s="504">
        <f t="shared" si="119"/>
        <v>0.65123860663203037</v>
      </c>
      <c r="Y243" s="504">
        <f t="shared" si="119"/>
        <v>0.66776765033958252</v>
      </c>
      <c r="Z243" s="504">
        <f t="shared" si="119"/>
        <v>0.68429669404713467</v>
      </c>
      <c r="AA243" s="504">
        <f t="shared" si="119"/>
        <v>0.70082573775468682</v>
      </c>
      <c r="AB243" s="504">
        <f t="shared" si="119"/>
        <v>0.71735478146223897</v>
      </c>
      <c r="AC243" s="504">
        <f t="shared" si="119"/>
        <v>0.73388382516979112</v>
      </c>
      <c r="AD243" s="504">
        <f t="shared" si="119"/>
        <v>0.75041286887734326</v>
      </c>
      <c r="AE243" s="504">
        <f t="shared" si="119"/>
        <v>0.76694191258489541</v>
      </c>
      <c r="AF243" s="504">
        <f t="shared" si="119"/>
        <v>0.78347095629244756</v>
      </c>
      <c r="AG243" s="504">
        <f>'Overall recycling rates'!F94</f>
        <v>0.8</v>
      </c>
      <c r="AI243" s="133"/>
      <c r="AJ243" s="211" t="s">
        <v>1582</v>
      </c>
      <c r="AL243" s="108"/>
      <c r="AM243" s="207"/>
      <c r="AN243" s="207"/>
      <c r="AO243" s="207"/>
      <c r="BC243" s="1"/>
      <c r="BD243" s="207"/>
      <c r="BE243" s="207"/>
      <c r="BF243" s="207"/>
      <c r="BG243" s="207"/>
      <c r="BH243" s="207"/>
      <c r="BI243" s="207"/>
      <c r="BJ243" s="207"/>
      <c r="BK243" s="207"/>
    </row>
    <row r="244" spans="1:63" outlineLevel="1">
      <c r="A244" t="s">
        <v>1639</v>
      </c>
      <c r="B244" s="54" t="s">
        <v>462</v>
      </c>
      <c r="C244" s="110">
        <f>C241*C243</f>
        <v>4.8660590203749628E-3</v>
      </c>
      <c r="D244" s="110">
        <f t="shared" ref="D244:AG244" si="120">D241*D243</f>
        <v>7.4698738621561704E-3</v>
      </c>
      <c r="E244" s="110">
        <f t="shared" si="120"/>
        <v>1.0314863120364641E-2</v>
      </c>
      <c r="F244" s="110">
        <f t="shared" si="120"/>
        <v>1.3401026795000376E-2</v>
      </c>
      <c r="G244" s="110">
        <f t="shared" si="120"/>
        <v>1.6728364886063371E-2</v>
      </c>
      <c r="H244" s="110">
        <f t="shared" si="120"/>
        <v>2.0296877393553635E-2</v>
      </c>
      <c r="I244" s="110">
        <f t="shared" si="120"/>
        <v>2.4106564317471161E-2</v>
      </c>
      <c r="J244" s="110">
        <f t="shared" si="120"/>
        <v>2.8157425657815947E-2</v>
      </c>
      <c r="K244" s="110">
        <f t="shared" si="120"/>
        <v>3.2449461414588002E-2</v>
      </c>
      <c r="L244" s="110">
        <f t="shared" si="120"/>
        <v>3.698267158778732E-2</v>
      </c>
      <c r="M244" s="110">
        <f t="shared" si="120"/>
        <v>4.1757056177413897E-2</v>
      </c>
      <c r="N244" s="110">
        <f t="shared" si="120"/>
        <v>5.0699630570713299E-2</v>
      </c>
      <c r="O244" s="110">
        <f t="shared" si="120"/>
        <v>6.0150526426328628E-2</v>
      </c>
      <c r="P244" s="110">
        <f t="shared" si="120"/>
        <v>7.0109743744259892E-2</v>
      </c>
      <c r="Q244" s="110">
        <f t="shared" si="120"/>
        <v>8.0577282524507077E-2</v>
      </c>
      <c r="R244" s="110">
        <f t="shared" si="120"/>
        <v>9.1553142767070175E-2</v>
      </c>
      <c r="S244" s="110">
        <f t="shared" si="120"/>
        <v>0.1030373244719492</v>
      </c>
      <c r="T244" s="110">
        <f t="shared" si="120"/>
        <v>0.11502982763914416</v>
      </c>
      <c r="U244" s="110">
        <f t="shared" si="120"/>
        <v>0.12753065226865501</v>
      </c>
      <c r="V244" s="110">
        <f t="shared" si="120"/>
        <v>0.14053979836048183</v>
      </c>
      <c r="W244" s="110">
        <f t="shared" si="120"/>
        <v>0.15405726591462454</v>
      </c>
      <c r="X244" s="110">
        <f t="shared" si="120"/>
        <v>0.17482421933849668</v>
      </c>
      <c r="Y244" s="110">
        <f t="shared" si="120"/>
        <v>0.19644168831451672</v>
      </c>
      <c r="Z244" s="110">
        <f t="shared" si="120"/>
        <v>0.21890967284268459</v>
      </c>
      <c r="AA244" s="110">
        <f t="shared" si="120"/>
        <v>0.24222817292300036</v>
      </c>
      <c r="AB244" s="110">
        <f t="shared" si="120"/>
        <v>0.26639718855546396</v>
      </c>
      <c r="AC244" s="110">
        <f t="shared" si="120"/>
        <v>0.29141671974007538</v>
      </c>
      <c r="AD244" s="110">
        <f t="shared" si="120"/>
        <v>0.31728676647683468</v>
      </c>
      <c r="AE244" s="110">
        <f t="shared" si="120"/>
        <v>0.34400732876574192</v>
      </c>
      <c r="AF244" s="110">
        <f t="shared" si="120"/>
        <v>0.37157840660679697</v>
      </c>
      <c r="AG244" s="110">
        <f t="shared" si="120"/>
        <v>0.4</v>
      </c>
      <c r="AJ244" s="211" t="s">
        <v>1349</v>
      </c>
    </row>
    <row r="245" spans="1:63" outlineLevel="1">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I245" s="134"/>
      <c r="AJ245" s="211"/>
      <c r="BC245" s="1"/>
      <c r="BD245" s="41"/>
      <c r="BF245" s="6"/>
      <c r="BG245" s="6"/>
      <c r="BH245" s="6"/>
      <c r="BI245" s="6"/>
      <c r="BJ245" s="6"/>
    </row>
    <row r="246" spans="1:63" s="1" customFormat="1" outlineLevel="1">
      <c r="A246" s="1" t="s">
        <v>228</v>
      </c>
      <c r="B246" s="65"/>
      <c r="C246" s="300">
        <f>'BTX Recycling HC'!C246</f>
        <v>5.8032631521489249E-3</v>
      </c>
      <c r="D246" s="300">
        <f>'BTX Recycling HC'!D246</f>
        <v>9.2072020939203067E-3</v>
      </c>
      <c r="E246" s="300">
        <f>'BTX Recycling HC'!E246</f>
        <v>1.3105712288989702E-2</v>
      </c>
      <c r="F246" s="300">
        <f>'BTX Recycling HC'!F246</f>
        <v>1.7505800631190116E-2</v>
      </c>
      <c r="G246" s="300">
        <f>'BTX Recycling HC'!G246</f>
        <v>2.2408298815568436E-2</v>
      </c>
      <c r="H246" s="300">
        <f>'BTX Recycling HC'!H246</f>
        <v>2.7807479950100883E-2</v>
      </c>
      <c r="I246" s="300">
        <f>'BTX Recycling HC'!I246</f>
        <v>3.376346351391521E-2</v>
      </c>
      <c r="J246" s="300">
        <f>'BTX Recycling HC'!J246</f>
        <v>4.0298223521213511E-2</v>
      </c>
      <c r="K246" s="300">
        <f>'BTX Recycling HC'!K246</f>
        <v>4.7433318025234851E-2</v>
      </c>
      <c r="L246" s="300">
        <f>'BTX Recycling HC'!L246</f>
        <v>5.5189807843438347E-2</v>
      </c>
      <c r="M246" s="300">
        <f>'BTX Recycling HC'!M246</f>
        <v>6.358817390274786E-2</v>
      </c>
      <c r="N246" s="300">
        <f>'BTX Recycling HC'!N246</f>
        <v>7.863508681544254E-2</v>
      </c>
      <c r="O246" s="300">
        <f>'BTX Recycling HC'!O246</f>
        <v>9.4840456104715795E-2</v>
      </c>
      <c r="P246" s="300">
        <f>'BTX Recycling HC'!P246</f>
        <v>0.11216336772790965</v>
      </c>
      <c r="Q246" s="300">
        <f>'BTX Recycling HC'!Q246</f>
        <v>0.13055029849066793</v>
      </c>
      <c r="R246" s="300">
        <f>'BTX Recycling HC'!R246</f>
        <v>0.14993517285234059</v>
      </c>
      <c r="S246" s="300">
        <f>'BTX Recycling HC'!S246</f>
        <v>0.17054630538812571</v>
      </c>
      <c r="T246" s="300">
        <f>'BTX Recycling HC'!T246</f>
        <v>0.19241020943845857</v>
      </c>
      <c r="U246" s="300">
        <f>'BTX Recycling HC'!U246</f>
        <v>0.21555322103826982</v>
      </c>
      <c r="V246" s="300">
        <f>'BTX Recycling HC'!V246</f>
        <v>0.24000147622154303</v>
      </c>
      <c r="W246" s="300">
        <f>'BTX Recycling HC'!W246</f>
        <v>0.26578088807622108</v>
      </c>
      <c r="X246" s="300">
        <f>'BTX Recycling HC'!X246</f>
        <v>0.3046682577046575</v>
      </c>
      <c r="Y246" s="300">
        <f>'BTX Recycling HC'!Y246</f>
        <v>0.34578039497076074</v>
      </c>
      <c r="Z246" s="300">
        <f>'BTX Recycling HC'!Z246</f>
        <v>0.38916141827404682</v>
      </c>
      <c r="AA246" s="300">
        <f>'BTX Recycling HC'!AA246</f>
        <v>0.43485512296718665</v>
      </c>
      <c r="AB246" s="300">
        <f>'BTX Recycling HC'!AB246</f>
        <v>0.48290494673261225</v>
      </c>
      <c r="AC246" s="300">
        <f>'BTX Recycling HC'!AC246</f>
        <v>0.53335897708623259</v>
      </c>
      <c r="AD246" s="300">
        <f>'BTX Recycling HC'!AD246</f>
        <v>0.58626133883074849</v>
      </c>
      <c r="AE246" s="300">
        <f>'BTX Recycling HC'!AE246</f>
        <v>0.64165583726377518</v>
      </c>
      <c r="AF246" s="300">
        <f>'BTX Recycling HC'!AF246</f>
        <v>0.69958592673131836</v>
      </c>
      <c r="AG246" s="300">
        <f>'BTX Recycling HC'!AG246</f>
        <v>0.76009467890014637</v>
      </c>
      <c r="AH246" s="245"/>
      <c r="AI246" s="423"/>
      <c r="AJ246" s="424"/>
      <c r="AL246" s="221"/>
      <c r="AM246" s="124"/>
      <c r="AN246" s="124"/>
      <c r="AO246" s="124"/>
      <c r="BD246" s="124"/>
      <c r="BE246" s="124"/>
      <c r="BF246" s="124"/>
      <c r="BG246" s="124"/>
      <c r="BH246" s="124"/>
      <c r="BI246" s="124"/>
      <c r="BJ246" s="124"/>
      <c r="BK246" s="124"/>
    </row>
    <row r="247" spans="1:63" outlineLevel="1">
      <c r="A247" s="4" t="s">
        <v>474</v>
      </c>
      <c r="C247" s="230">
        <f>C$246*'BTX recycling rates'!E86</f>
        <v>0</v>
      </c>
      <c r="D247" s="230">
        <f>D$246*'BTX recycling rates'!F86</f>
        <v>1.8305658884860726E-4</v>
      </c>
      <c r="E247" s="230">
        <f>E$246*'BTX recycling rates'!G86</f>
        <v>5.2113268755942497E-4</v>
      </c>
      <c r="F247" s="230">
        <f>F$246*'BTX recycling rates'!H86</f>
        <v>1.0441452623459258E-3</v>
      </c>
      <c r="G247" s="230">
        <f>G$246*'BTX recycling rates'!I86</f>
        <v>1.7820774221027973E-3</v>
      </c>
      <c r="H247" s="230">
        <f>H$246*'BTX recycling rates'!J86</f>
        <v>2.7643264328382445E-3</v>
      </c>
      <c r="I247" s="230">
        <f>I$246*'BTX recycling rates'!K86</f>
        <v>4.0276890170486742E-3</v>
      </c>
      <c r="J247" s="230">
        <f>J$246*'BTX recycling rates'!L86</f>
        <v>5.608434225122738E-3</v>
      </c>
      <c r="K247" s="230">
        <f>K$246*'BTX recycling rates'!M86</f>
        <v>7.5445124865493622E-3</v>
      </c>
      <c r="L247" s="230">
        <f>L$246*'BTX recycling rates'!N86</f>
        <v>9.8754997163915219E-3</v>
      </c>
      <c r="M247" s="230">
        <f>M$246*'BTX recycling rates'!O86</f>
        <v>1.2642531452019856E-2</v>
      </c>
      <c r="N247" s="230">
        <f>N$246*'BTX recycling rates'!P86</f>
        <v>1.7197556511037694E-2</v>
      </c>
      <c r="O247" s="230">
        <f>O$246*'BTX recycling rates'!Q86</f>
        <v>2.262729137769998E-2</v>
      </c>
      <c r="P247" s="230">
        <f>P$246*'BTX recycling rates'!R86</f>
        <v>2.8990258131383066E-2</v>
      </c>
      <c r="Q247" s="230">
        <f>Q$246*'BTX recycling rates'!S86</f>
        <v>3.633821534438713E-2</v>
      </c>
      <c r="R247" s="230">
        <f>R$246*'BTX recycling rates'!T86</f>
        <v>4.4714921554017989E-2</v>
      </c>
      <c r="S247" s="230">
        <f>S$246*'BTX recycling rates'!U86</f>
        <v>5.4252528986104158E-2</v>
      </c>
      <c r="T247" s="230">
        <f>T$246*'BTX recycling rates'!V86</f>
        <v>6.5033139935750647E-2</v>
      </c>
      <c r="U247" s="230">
        <f>U$246*'BTX recycling rates'!W86</f>
        <v>7.7140901786408325E-2</v>
      </c>
      <c r="V247" s="230">
        <f>V$246*'BTX recycling rates'!X86</f>
        <v>9.0661980810692461E-2</v>
      </c>
      <c r="W247" s="230">
        <f>W$246*'BTX recycling rates'!Y86</f>
        <v>0.10568453316456038</v>
      </c>
      <c r="X247" s="230">
        <f>X$246*'BTX recycling rates'!Z86</f>
        <v>0.1272050031872865</v>
      </c>
      <c r="Y247" s="230">
        <f>Y$246*'BTX recycling rates'!AA86</f>
        <v>0.15124489903280147</v>
      </c>
      <c r="Z247" s="230">
        <f>Z$246*'BTX recycling rates'!AB86</f>
        <v>0.17795709308029478</v>
      </c>
      <c r="AA247" s="230">
        <f>AA$246*'BTX recycling rates'!AC86</f>
        <v>0.20749781219103247</v>
      </c>
      <c r="AB247" s="230">
        <f>AB$246*'BTX recycling rates'!AD86</f>
        <v>0.24002658838498273</v>
      </c>
      <c r="AC247" s="230">
        <f>AC$246*'BTX recycling rates'!AE86</f>
        <v>0.27570881180973744</v>
      </c>
      <c r="AD247" s="230">
        <f>AD$246*'BTX recycling rates'!AF86</f>
        <v>0.31471156966762553</v>
      </c>
      <c r="AE247" s="230">
        <f>AE$246*'BTX recycling rates'!AG86</f>
        <v>0.35720528043282596</v>
      </c>
      <c r="AF247" s="230">
        <f>AF$246*'BTX recycling rates'!AH86</f>
        <v>0.40336364395826668</v>
      </c>
      <c r="AG247" s="230">
        <f>AG$246*'BTX recycling rates'!AI86</f>
        <v>0.4533635876635595</v>
      </c>
      <c r="AH247" s="245"/>
      <c r="AI247" s="133"/>
      <c r="AJ247" s="211"/>
      <c r="AL247" s="108"/>
      <c r="AM247" s="2"/>
      <c r="AN247" s="2"/>
      <c r="AO247" s="2"/>
      <c r="BC247" s="1"/>
      <c r="BD247" s="2"/>
      <c r="BE247" s="2"/>
      <c r="BF247" s="2"/>
      <c r="BG247" s="2"/>
      <c r="BH247" s="2"/>
      <c r="BI247" s="2"/>
      <c r="BJ247" s="2"/>
      <c r="BK247" s="2"/>
    </row>
    <row r="248" spans="1:63" outlineLevel="1">
      <c r="A248" s="4" t="s">
        <v>478</v>
      </c>
      <c r="C248" s="230">
        <f>C$246*'BTX recycling rates'!E87</f>
        <v>3.156453720645372E-3</v>
      </c>
      <c r="D248" s="230">
        <f>D$246*'BTX recycling rates'!F87</f>
        <v>4.9400058276678994E-3</v>
      </c>
      <c r="E248" s="230">
        <f>E$246*'BTX recycling rates'!G87</f>
        <v>6.9350727203402662E-3</v>
      </c>
      <c r="F248" s="230">
        <f>F$246*'BTX recycling rates'!H87</f>
        <v>9.1343710917065647E-3</v>
      </c>
      <c r="G248" s="230">
        <f>G$246*'BTX recycling rates'!I87</f>
        <v>1.152723435312865E-2</v>
      </c>
      <c r="H248" s="230">
        <f>H$246*'BTX recycling rates'!J87</f>
        <v>1.409964588826842E-2</v>
      </c>
      <c r="I248" s="230">
        <f>I$246*'BTX recycling rates'!K87</f>
        <v>1.6870659570915682E-2</v>
      </c>
      <c r="J248" s="230">
        <f>J$246*'BTX recycling rates'!L87</f>
        <v>1.9838777251657416E-2</v>
      </c>
      <c r="K248" s="230">
        <f>K$246*'BTX recycling rates'!M87</f>
        <v>2.3001651011949446E-2</v>
      </c>
      <c r="L248" s="230">
        <f>L$246*'BTX recycling rates'!N87</f>
        <v>2.6356059685511104E-2</v>
      </c>
      <c r="M248" s="230">
        <f>M$246*'BTX recycling rates'!O87</f>
        <v>2.9897888326342478E-2</v>
      </c>
      <c r="N248" s="230">
        <f>N$246*'BTX recycling rates'!P87</f>
        <v>3.6392868439507411E-2</v>
      </c>
      <c r="O248" s="230">
        <f>O$246*'BTX recycling rates'!Q87</f>
        <v>4.3193566766082402E-2</v>
      </c>
      <c r="P248" s="230">
        <f>P$246*'BTX recycling rates'!R87</f>
        <v>5.0256027376284859E-2</v>
      </c>
      <c r="Q248" s="230">
        <f>Q$246*'BTX recycling rates'!S87</f>
        <v>5.7531944278220198E-2</v>
      </c>
      <c r="R248" s="230">
        <f>R$246*'BTX recycling rates'!T87</f>
        <v>6.4969150869752024E-2</v>
      </c>
      <c r="S248" s="230">
        <f>S$246*'BTX recycling rates'!U87</f>
        <v>7.2642822346105002E-2</v>
      </c>
      <c r="T248" s="230">
        <f>T$246*'BTX recycling rates'!V87</f>
        <v>8.0536932712561515E-2</v>
      </c>
      <c r="U248" s="230">
        <f>U$246*'BTX recycling rates'!W87</f>
        <v>8.8634601134220267E-2</v>
      </c>
      <c r="V248" s="230">
        <f>V$246*'BTX recycling rates'!X87</f>
        <v>9.6918089307436839E-2</v>
      </c>
      <c r="W248" s="230">
        <f>W$246*'BTX recycling rates'!Y87</f>
        <v>0.10536879973629268</v>
      </c>
      <c r="X248" s="230">
        <f>X$246*'BTX recycling rates'!Z87</f>
        <v>0.11853936931579515</v>
      </c>
      <c r="Y248" s="230">
        <f>Y$246*'BTX recycling rates'!AA87</f>
        <v>0.13198570704535287</v>
      </c>
      <c r="Z248" s="230">
        <f>Z$246*'BTX recycling rates'!AB87</f>
        <v>0.14567511807556013</v>
      </c>
      <c r="AA248" s="230">
        <f>AA$246*'BTX recycling rates'!AC87</f>
        <v>0.15957348787019288</v>
      </c>
      <c r="AB248" s="230">
        <f>AB$246*'BTX recycling rates'!AD87</f>
        <v>0.17364528166530632</v>
      </c>
      <c r="AC248" s="230">
        <f>AC$246*'BTX recycling rates'!AE87</f>
        <v>0.18785532135663255</v>
      </c>
      <c r="AD248" s="230">
        <f>AD$246*'BTX recycling rates'!AF87</f>
        <v>0.20216564414306992</v>
      </c>
      <c r="AE248" s="230">
        <f>AE$246*'BTX recycling rates'!AG87</f>
        <v>0.21653687807039326</v>
      </c>
      <c r="AF248" s="230">
        <f>AF$246*'BTX recycling rates'!AH87</f>
        <v>0.23092824342956098</v>
      </c>
      <c r="AG248" s="230">
        <f>AG$246*'BTX recycling rates'!AI87</f>
        <v>0.24529755545543858</v>
      </c>
      <c r="AH248" s="245"/>
      <c r="AI248" s="133"/>
      <c r="AJ248" s="211"/>
      <c r="AL248" s="108"/>
      <c r="AM248" s="2"/>
      <c r="AN248" s="2"/>
      <c r="AO248" s="2"/>
      <c r="BC248" s="1"/>
      <c r="BD248" s="2"/>
      <c r="BE248" s="2"/>
      <c r="BF248" s="2"/>
      <c r="BG248" s="2"/>
      <c r="BH248" s="2"/>
      <c r="BI248" s="2"/>
      <c r="BJ248" s="2"/>
      <c r="BK248" s="2"/>
    </row>
    <row r="249" spans="1:63" outlineLevel="1">
      <c r="A249" s="4" t="s">
        <v>745</v>
      </c>
      <c r="C249" s="230">
        <f>C$246*'BTX recycling rates'!E88</f>
        <v>2.4693112381940522E-3</v>
      </c>
      <c r="D249" s="230">
        <f>D$246*'BTX recycling rates'!F88</f>
        <v>3.8099461300005739E-3</v>
      </c>
      <c r="E249" s="230">
        <f>E$246*'BTX recycling rates'!G88</f>
        <v>5.2697723024113319E-3</v>
      </c>
      <c r="F249" s="230">
        <f>F$246*'BTX recycling rates'!H88</f>
        <v>6.8341608848242232E-3</v>
      </c>
      <c r="G249" s="230">
        <f>G$246*'BTX recycling rates'!I88</f>
        <v>8.4858165010810466E-3</v>
      </c>
      <c r="H249" s="230">
        <f>H$246*'BTX recycling rates'!J88</f>
        <v>1.0204997921216531E-2</v>
      </c>
      <c r="I249" s="230">
        <f>I$246*'BTX recycling rates'!K88</f>
        <v>1.1995626186363212E-2</v>
      </c>
      <c r="J249" s="230">
        <f>J$246*'BTX recycling rates'!L88</f>
        <v>1.3845701901736267E-2</v>
      </c>
      <c r="K249" s="230">
        <f>K$246*'BTX recycling rates'!M88</f>
        <v>1.5742058952062144E-2</v>
      </c>
      <c r="L249" s="230">
        <f>L$246*'BTX recycling rates'!N88</f>
        <v>1.7670362820006127E-2</v>
      </c>
      <c r="M249" s="230">
        <f>M$246*'BTX recycling rates'!O88</f>
        <v>1.9615114186021364E-2</v>
      </c>
      <c r="N249" s="230">
        <f>N$246*'BTX recycling rates'!P88</f>
        <v>2.3336363427856482E-2</v>
      </c>
      <c r="O249" s="230">
        <f>O$246*'BTX recycling rates'!Q88</f>
        <v>2.7035650975196251E-2</v>
      </c>
      <c r="P249" s="230">
        <f>P$246*'BTX recycling rates'!R88</f>
        <v>3.0661119289093739E-2</v>
      </c>
      <c r="Q249" s="230">
        <f>Q$246*'BTX recycling rates'!S88</f>
        <v>3.4159526859797132E-2</v>
      </c>
      <c r="R249" s="230">
        <f>R$246*'BTX recycling rates'!T88</f>
        <v>3.7477000247814092E-2</v>
      </c>
      <c r="S249" s="230">
        <f>S$246*'BTX recycling rates'!U88</f>
        <v>4.0632898077171221E-2</v>
      </c>
      <c r="T249" s="230">
        <f>T$246*'BTX recycling rates'!V88</f>
        <v>4.3590173160127067E-2</v>
      </c>
      <c r="U249" s="230">
        <f>U$246*'BTX recycling rates'!W88</f>
        <v>4.6310499043372491E-2</v>
      </c>
      <c r="V249" s="230">
        <f>V$246*'BTX recycling rates'!X88</f>
        <v>4.8754275772924516E-2</v>
      </c>
      <c r="W249" s="230">
        <f>W$246*'BTX recycling rates'!Y88</f>
        <v>5.0880637204894316E-2</v>
      </c>
      <c r="X249" s="230">
        <f>X$246*'BTX recycling rates'!Z88</f>
        <v>5.4759550007302649E-2</v>
      </c>
      <c r="Y249" s="230">
        <f>Y$246*'BTX recycling rates'!AA88</f>
        <v>5.8102074641752904E-2</v>
      </c>
      <c r="Z249" s="230">
        <f>Z$246*'BTX recycling rates'!AB88</f>
        <v>6.0836996819983918E-2</v>
      </c>
      <c r="AA249" s="230">
        <f>AA$246*'BTX recycling rates'!AC88</f>
        <v>6.2890990212760359E-2</v>
      </c>
      <c r="AB249" s="230">
        <f>AB$246*'BTX recycling rates'!AD88</f>
        <v>6.4188630751207842E-2</v>
      </c>
      <c r="AC249" s="230">
        <f>AC$246*'BTX recycling rates'!AE88</f>
        <v>6.4653024558944158E-2</v>
      </c>
      <c r="AD249" s="230">
        <f>AD$246*'BTX recycling rates'!AF88</f>
        <v>6.4204592654792489E-2</v>
      </c>
      <c r="AE249" s="230">
        <f>AE$246*'BTX recycling rates'!AG88</f>
        <v>6.2761659186108681E-2</v>
      </c>
      <c r="AF249" s="230">
        <f>AF$246*'BTX recycling rates'!AH88</f>
        <v>6.0240467417250934E-2</v>
      </c>
      <c r="AG249" s="230">
        <f>AG$246*'BTX recycling rates'!AI88</f>
        <v>5.655519790529915E-2</v>
      </c>
      <c r="AH249" s="245"/>
      <c r="AI249" s="133"/>
      <c r="AJ249" s="211"/>
      <c r="AL249" s="108"/>
      <c r="AM249" s="2"/>
      <c r="AN249" s="2"/>
      <c r="AO249" s="2"/>
      <c r="BC249" s="1"/>
      <c r="BD249" s="2"/>
      <c r="BE249" s="2"/>
      <c r="BF249" s="2"/>
      <c r="BG249" s="2"/>
      <c r="BH249" s="2"/>
      <c r="BI249" s="2"/>
      <c r="BJ249" s="2"/>
      <c r="BK249" s="2"/>
    </row>
    <row r="250" spans="1:63" outlineLevel="1">
      <c r="A250" s="4" t="s">
        <v>1561</v>
      </c>
      <c r="C250" s="230">
        <f>C$246*'BTX recycling rates'!E89</f>
        <v>1.7749819330950106E-4</v>
      </c>
      <c r="D250" s="230">
        <f>D$246*'BTX recycling rates'!F89</f>
        <v>2.7419354740322691E-4</v>
      </c>
      <c r="E250" s="230">
        <f>E$246*'BTX recycling rates'!G89</f>
        <v>3.7973457867867969E-4</v>
      </c>
      <c r="F250" s="230">
        <f>F$246*'BTX recycling rates'!H89</f>
        <v>4.931233923134037E-4</v>
      </c>
      <c r="G250" s="230">
        <f>G$246*'BTX recycling rates'!I89</f>
        <v>6.13170539255942E-4</v>
      </c>
      <c r="H250" s="230">
        <f>H$246*'BTX recycling rates'!J89</f>
        <v>7.3850970777768936E-4</v>
      </c>
      <c r="I250" s="230">
        <f>I$246*'BTX recycling rates'!K89</f>
        <v>8.6948873958764175E-4</v>
      </c>
      <c r="J250" s="230">
        <f>J$246*'BTX recycling rates'!L89</f>
        <v>1.0053101426970871E-3</v>
      </c>
      <c r="K250" s="230">
        <f>K$246*'BTX recycling rates'!M89</f>
        <v>1.1450955746738986E-3</v>
      </c>
      <c r="L250" s="230">
        <f>L$246*'BTX recycling rates'!N89</f>
        <v>1.2878856215295968E-3</v>
      </c>
      <c r="M250" s="230">
        <f>M$246*'BTX recycling rates'!O89</f>
        <v>1.4326399383641599E-3</v>
      </c>
      <c r="N250" s="230">
        <f>N$246*'BTX recycling rates'!P89</f>
        <v>1.7082984370409521E-3</v>
      </c>
      <c r="O250" s="230">
        <f>O$246*'BTX recycling rates'!Q89</f>
        <v>1.9839469857371641E-3</v>
      </c>
      <c r="P250" s="230">
        <f>P$246*'BTX recycling rates'!R89</f>
        <v>2.2559629311479806E-3</v>
      </c>
      <c r="Q250" s="230">
        <f>Q$246*'BTX recycling rates'!S89</f>
        <v>2.5206120082634708E-3</v>
      </c>
      <c r="R250" s="230">
        <f>R$246*'BTX recycling rates'!T89</f>
        <v>2.7741001807564825E-3</v>
      </c>
      <c r="S250" s="230">
        <f>S$246*'BTX recycling rates'!U89</f>
        <v>3.0180559787453187E-3</v>
      </c>
      <c r="T250" s="230">
        <f>T$246*'BTX recycling rates'!V89</f>
        <v>3.2499636300193538E-3</v>
      </c>
      <c r="U250" s="230">
        <f>U$246*'BTX recycling rates'!W89</f>
        <v>3.467219074268725E-3</v>
      </c>
      <c r="V250" s="230">
        <f>V$246*'BTX recycling rates'!X89</f>
        <v>3.66713033048921E-3</v>
      </c>
      <c r="W250" s="230">
        <f>W$246*'BTX recycling rates'!Y89</f>
        <v>3.8469179704737119E-3</v>
      </c>
      <c r="X250" s="230">
        <f>X$246*'BTX recycling rates'!Z89</f>
        <v>4.1643351942732085E-3</v>
      </c>
      <c r="Y250" s="230">
        <f>Y$246*'BTX recycling rates'!AA89</f>
        <v>4.4477142508534927E-3</v>
      </c>
      <c r="Z250" s="230">
        <f>Z$246*'BTX recycling rates'!AB89</f>
        <v>4.6922102982079822E-3</v>
      </c>
      <c r="AA250" s="230">
        <f>AA$246*'BTX recycling rates'!AC89</f>
        <v>4.8928326932009512E-3</v>
      </c>
      <c r="AB250" s="230">
        <f>AB$246*'BTX recycling rates'!AD89</f>
        <v>5.0444459311153635E-3</v>
      </c>
      <c r="AC250" s="230">
        <f>AC$246*'BTX recycling rates'!AE89</f>
        <v>5.141819360918432E-3</v>
      </c>
      <c r="AD250" s="230">
        <f>AD$246*'BTX recycling rates'!AF89</f>
        <v>5.1795323652605082E-3</v>
      </c>
      <c r="AE250" s="230">
        <f>AE$246*'BTX recycling rates'!AG89</f>
        <v>5.1520195744472292E-3</v>
      </c>
      <c r="AF250" s="230">
        <f>AF$246*'BTX recycling rates'!AH89</f>
        <v>5.0535719262396472E-3</v>
      </c>
      <c r="AG250" s="230">
        <f>AG$246*'BTX recycling rates'!AI89</f>
        <v>4.8783378758492498E-3</v>
      </c>
      <c r="AH250" s="245"/>
      <c r="AI250" s="133"/>
      <c r="AJ250" s="211"/>
      <c r="AL250" s="108"/>
      <c r="AM250" s="2"/>
      <c r="AN250" s="2"/>
      <c r="AO250" s="2"/>
      <c r="BC250" s="1"/>
      <c r="BD250" s="2"/>
      <c r="BE250" s="2"/>
      <c r="BF250" s="2"/>
      <c r="BG250" s="2"/>
      <c r="BH250" s="2"/>
      <c r="BI250" s="2"/>
      <c r="BJ250" s="2"/>
      <c r="BK250" s="2"/>
    </row>
    <row r="251" spans="1:63" s="1" customFormat="1" outlineLevel="1">
      <c r="A251" s="1" t="s">
        <v>1562</v>
      </c>
      <c r="B251" s="65"/>
      <c r="C251" s="300">
        <f t="shared" ref="C251:AG251" si="121">C246-$C246</f>
        <v>0</v>
      </c>
      <c r="D251" s="300">
        <f t="shared" si="121"/>
        <v>3.4039389417713818E-3</v>
      </c>
      <c r="E251" s="300">
        <f t="shared" si="121"/>
        <v>7.3024491368407773E-3</v>
      </c>
      <c r="F251" s="300">
        <f t="shared" si="121"/>
        <v>1.1702537479041191E-2</v>
      </c>
      <c r="G251" s="300">
        <f t="shared" si="121"/>
        <v>1.6605035663419511E-2</v>
      </c>
      <c r="H251" s="300">
        <f t="shared" si="121"/>
        <v>2.2004216797951958E-2</v>
      </c>
      <c r="I251" s="300">
        <f t="shared" si="121"/>
        <v>2.7960200361766285E-2</v>
      </c>
      <c r="J251" s="300">
        <f t="shared" si="121"/>
        <v>3.449496036906459E-2</v>
      </c>
      <c r="K251" s="300">
        <f t="shared" si="121"/>
        <v>4.1630054873085923E-2</v>
      </c>
      <c r="L251" s="300">
        <f t="shared" si="121"/>
        <v>4.9386544691289419E-2</v>
      </c>
      <c r="M251" s="300">
        <f t="shared" si="121"/>
        <v>5.7784910750598939E-2</v>
      </c>
      <c r="N251" s="300">
        <f t="shared" si="121"/>
        <v>7.2831823663293618E-2</v>
      </c>
      <c r="O251" s="300">
        <f t="shared" si="121"/>
        <v>8.9037192952566874E-2</v>
      </c>
      <c r="P251" s="300">
        <f t="shared" si="121"/>
        <v>0.10636010457576073</v>
      </c>
      <c r="Q251" s="300">
        <f t="shared" si="121"/>
        <v>0.12474703533851901</v>
      </c>
      <c r="R251" s="300">
        <f t="shared" si="121"/>
        <v>0.14413190970019166</v>
      </c>
      <c r="S251" s="300">
        <f t="shared" si="121"/>
        <v>0.16474304223597677</v>
      </c>
      <c r="T251" s="300">
        <f t="shared" si="121"/>
        <v>0.18660694628630964</v>
      </c>
      <c r="U251" s="300">
        <f t="shared" si="121"/>
        <v>0.20974995788612089</v>
      </c>
      <c r="V251" s="300">
        <f t="shared" si="121"/>
        <v>0.23419821306939409</v>
      </c>
      <c r="W251" s="300">
        <f t="shared" si="121"/>
        <v>0.25997762492407217</v>
      </c>
      <c r="X251" s="300">
        <f t="shared" si="121"/>
        <v>0.29886499455250859</v>
      </c>
      <c r="Y251" s="300">
        <f t="shared" si="121"/>
        <v>0.33997713181861183</v>
      </c>
      <c r="Z251" s="300">
        <f t="shared" si="121"/>
        <v>0.38335815512189791</v>
      </c>
      <c r="AA251" s="300">
        <f t="shared" si="121"/>
        <v>0.42905185981503774</v>
      </c>
      <c r="AB251" s="300">
        <f t="shared" si="121"/>
        <v>0.47710168358046334</v>
      </c>
      <c r="AC251" s="300">
        <f t="shared" si="121"/>
        <v>0.52755571393408363</v>
      </c>
      <c r="AD251" s="300">
        <f t="shared" si="121"/>
        <v>0.58045807567859953</v>
      </c>
      <c r="AE251" s="300">
        <f t="shared" si="121"/>
        <v>0.63585257411162621</v>
      </c>
      <c r="AF251" s="300">
        <f t="shared" si="121"/>
        <v>0.6937826635791694</v>
      </c>
      <c r="AG251" s="300">
        <f t="shared" si="121"/>
        <v>0.75429141574799741</v>
      </c>
      <c r="AH251" s="245"/>
      <c r="AI251" s="423"/>
      <c r="AJ251" s="424"/>
      <c r="AL251" s="221"/>
      <c r="AM251" s="124"/>
      <c r="AN251" s="124"/>
      <c r="AO251" s="124"/>
      <c r="BD251" s="124"/>
      <c r="BE251" s="124"/>
      <c r="BF251" s="124"/>
      <c r="BG251" s="124"/>
      <c r="BH251" s="124"/>
      <c r="BI251" s="124"/>
      <c r="BJ251" s="124"/>
      <c r="BK251" s="124"/>
    </row>
    <row r="252" spans="1:63" outlineLevel="1">
      <c r="A252" s="4" t="s">
        <v>474</v>
      </c>
      <c r="C252" s="230">
        <f t="shared" ref="C252:AG252" si="122">C247-$C247</f>
        <v>0</v>
      </c>
      <c r="D252" s="230">
        <f t="shared" si="122"/>
        <v>1.8305658884860726E-4</v>
      </c>
      <c r="E252" s="230">
        <f t="shared" si="122"/>
        <v>5.2113268755942497E-4</v>
      </c>
      <c r="F252" s="230">
        <f t="shared" si="122"/>
        <v>1.0441452623459258E-3</v>
      </c>
      <c r="G252" s="230">
        <f t="shared" si="122"/>
        <v>1.7820774221027973E-3</v>
      </c>
      <c r="H252" s="230">
        <f t="shared" si="122"/>
        <v>2.7643264328382445E-3</v>
      </c>
      <c r="I252" s="230">
        <f t="shared" si="122"/>
        <v>4.0276890170486742E-3</v>
      </c>
      <c r="J252" s="230">
        <f t="shared" si="122"/>
        <v>5.608434225122738E-3</v>
      </c>
      <c r="K252" s="230">
        <f t="shared" si="122"/>
        <v>7.5445124865493622E-3</v>
      </c>
      <c r="L252" s="230">
        <f t="shared" si="122"/>
        <v>9.8754997163915219E-3</v>
      </c>
      <c r="M252" s="230">
        <f t="shared" si="122"/>
        <v>1.2642531452019856E-2</v>
      </c>
      <c r="N252" s="230">
        <f t="shared" si="122"/>
        <v>1.7197556511037694E-2</v>
      </c>
      <c r="O252" s="230">
        <f t="shared" si="122"/>
        <v>2.262729137769998E-2</v>
      </c>
      <c r="P252" s="230">
        <f t="shared" si="122"/>
        <v>2.8990258131383066E-2</v>
      </c>
      <c r="Q252" s="230">
        <f t="shared" si="122"/>
        <v>3.633821534438713E-2</v>
      </c>
      <c r="R252" s="230">
        <f t="shared" si="122"/>
        <v>4.4714921554017989E-2</v>
      </c>
      <c r="S252" s="230">
        <f t="shared" si="122"/>
        <v>5.4252528986104158E-2</v>
      </c>
      <c r="T252" s="230">
        <f t="shared" si="122"/>
        <v>6.5033139935750647E-2</v>
      </c>
      <c r="U252" s="230">
        <f t="shared" si="122"/>
        <v>7.7140901786408325E-2</v>
      </c>
      <c r="V252" s="230">
        <f t="shared" si="122"/>
        <v>9.0661980810692461E-2</v>
      </c>
      <c r="W252" s="230">
        <f t="shared" si="122"/>
        <v>0.10568453316456038</v>
      </c>
      <c r="X252" s="230">
        <f t="shared" si="122"/>
        <v>0.1272050031872865</v>
      </c>
      <c r="Y252" s="230">
        <f t="shared" si="122"/>
        <v>0.15124489903280147</v>
      </c>
      <c r="Z252" s="230">
        <f t="shared" si="122"/>
        <v>0.17795709308029478</v>
      </c>
      <c r="AA252" s="230">
        <f t="shared" si="122"/>
        <v>0.20749781219103247</v>
      </c>
      <c r="AB252" s="230">
        <f t="shared" si="122"/>
        <v>0.24002658838498273</v>
      </c>
      <c r="AC252" s="230">
        <f t="shared" si="122"/>
        <v>0.27570881180973744</v>
      </c>
      <c r="AD252" s="230">
        <f t="shared" si="122"/>
        <v>0.31471156966762553</v>
      </c>
      <c r="AE252" s="230">
        <f t="shared" si="122"/>
        <v>0.35720528043282596</v>
      </c>
      <c r="AF252" s="230">
        <f t="shared" si="122"/>
        <v>0.40336364395826668</v>
      </c>
      <c r="AG252" s="230">
        <f t="shared" si="122"/>
        <v>0.4533635876635595</v>
      </c>
      <c r="AH252" s="245"/>
      <c r="AI252" s="133"/>
      <c r="AJ252" s="211"/>
      <c r="AL252" s="108"/>
      <c r="AM252" s="2"/>
      <c r="AN252" s="2"/>
      <c r="AO252" s="2"/>
      <c r="BC252" s="1"/>
      <c r="BD252" s="2"/>
      <c r="BE252" s="2"/>
      <c r="BF252" s="2"/>
      <c r="BG252" s="2"/>
      <c r="BH252" s="2"/>
      <c r="BI252" s="2"/>
      <c r="BJ252" s="2"/>
      <c r="BK252" s="2"/>
    </row>
    <row r="253" spans="1:63" outlineLevel="1">
      <c r="A253" s="4" t="s">
        <v>478</v>
      </c>
      <c r="C253" s="230">
        <f t="shared" ref="C253:AG255" si="123">C248-$C248</f>
        <v>0</v>
      </c>
      <c r="D253" s="230">
        <f t="shared" si="123"/>
        <v>1.7835521070225274E-3</v>
      </c>
      <c r="E253" s="230">
        <f t="shared" si="123"/>
        <v>3.7786189996948942E-3</v>
      </c>
      <c r="F253" s="230">
        <f t="shared" si="123"/>
        <v>5.9779173710611932E-3</v>
      </c>
      <c r="G253" s="230">
        <f t="shared" si="123"/>
        <v>8.3707806324832788E-3</v>
      </c>
      <c r="H253" s="230">
        <f t="shared" si="123"/>
        <v>1.0943192167623048E-2</v>
      </c>
      <c r="I253" s="230">
        <f t="shared" si="123"/>
        <v>1.3714205850270311E-2</v>
      </c>
      <c r="J253" s="230">
        <f t="shared" si="123"/>
        <v>1.6682323531012042E-2</v>
      </c>
      <c r="K253" s="230">
        <f t="shared" si="123"/>
        <v>1.9845197291304073E-2</v>
      </c>
      <c r="L253" s="230">
        <f t="shared" si="123"/>
        <v>2.3199605964865731E-2</v>
      </c>
      <c r="M253" s="230">
        <f t="shared" si="123"/>
        <v>2.6741434605697105E-2</v>
      </c>
      <c r="N253" s="230">
        <f t="shared" si="123"/>
        <v>3.3236414718862038E-2</v>
      </c>
      <c r="O253" s="230">
        <f t="shared" si="123"/>
        <v>4.0037113045437028E-2</v>
      </c>
      <c r="P253" s="230">
        <f t="shared" si="123"/>
        <v>4.7099573655639486E-2</v>
      </c>
      <c r="Q253" s="230">
        <f t="shared" si="123"/>
        <v>5.4375490557574825E-2</v>
      </c>
      <c r="R253" s="230">
        <f t="shared" si="123"/>
        <v>6.181269714910665E-2</v>
      </c>
      <c r="S253" s="230">
        <f t="shared" si="123"/>
        <v>6.9486368625459635E-2</v>
      </c>
      <c r="T253" s="230">
        <f t="shared" si="123"/>
        <v>7.7380478991916149E-2</v>
      </c>
      <c r="U253" s="230">
        <f t="shared" si="123"/>
        <v>8.5478147413574901E-2</v>
      </c>
      <c r="V253" s="230">
        <f t="shared" si="123"/>
        <v>9.3761635586791472E-2</v>
      </c>
      <c r="W253" s="230">
        <f t="shared" si="123"/>
        <v>0.10221234601564731</v>
      </c>
      <c r="X253" s="230">
        <f t="shared" si="123"/>
        <v>0.11538291559514978</v>
      </c>
      <c r="Y253" s="230">
        <f t="shared" si="123"/>
        <v>0.12882925332470749</v>
      </c>
      <c r="Z253" s="230">
        <f t="shared" si="123"/>
        <v>0.14251866435491475</v>
      </c>
      <c r="AA253" s="230">
        <f t="shared" si="123"/>
        <v>0.1564170341495475</v>
      </c>
      <c r="AB253" s="230">
        <f t="shared" si="123"/>
        <v>0.17048882794466094</v>
      </c>
      <c r="AC253" s="230">
        <f t="shared" si="123"/>
        <v>0.18469886763598717</v>
      </c>
      <c r="AD253" s="230">
        <f t="shared" si="123"/>
        <v>0.19900919042242454</v>
      </c>
      <c r="AE253" s="230">
        <f t="shared" si="123"/>
        <v>0.21338042434974788</v>
      </c>
      <c r="AF253" s="230">
        <f t="shared" si="123"/>
        <v>0.2277717897089156</v>
      </c>
      <c r="AG253" s="230">
        <f t="shared" si="123"/>
        <v>0.2421411017347932</v>
      </c>
      <c r="AH253" s="245"/>
      <c r="AI253" s="133"/>
      <c r="AJ253" s="211"/>
      <c r="AL253" s="108"/>
      <c r="AM253" s="2"/>
      <c r="AN253" s="2"/>
      <c r="AO253" s="2"/>
      <c r="BC253" s="1"/>
      <c r="BD253" s="2"/>
      <c r="BE253" s="2"/>
      <c r="BF253" s="2"/>
      <c r="BG253" s="2"/>
      <c r="BH253" s="2"/>
      <c r="BI253" s="2"/>
      <c r="BJ253" s="2"/>
      <c r="BK253" s="2"/>
    </row>
    <row r="254" spans="1:63" outlineLevel="1">
      <c r="A254" s="4" t="s">
        <v>745</v>
      </c>
      <c r="C254" s="230">
        <f t="shared" si="123"/>
        <v>0</v>
      </c>
      <c r="D254" s="230">
        <f t="shared" si="123"/>
        <v>1.3406348918065217E-3</v>
      </c>
      <c r="E254" s="230">
        <f t="shared" si="123"/>
        <v>2.8004610642172797E-3</v>
      </c>
      <c r="F254" s="230">
        <f t="shared" si="123"/>
        <v>4.3648496466301709E-3</v>
      </c>
      <c r="G254" s="230">
        <f t="shared" si="123"/>
        <v>6.0165052628869944E-3</v>
      </c>
      <c r="H254" s="230">
        <f t="shared" si="123"/>
        <v>7.7356866830224783E-3</v>
      </c>
      <c r="I254" s="230">
        <f t="shared" si="123"/>
        <v>9.5263149481691588E-3</v>
      </c>
      <c r="J254" s="230">
        <f t="shared" si="123"/>
        <v>1.1376390663542214E-2</v>
      </c>
      <c r="K254" s="230">
        <f t="shared" si="123"/>
        <v>1.3272747713868091E-2</v>
      </c>
      <c r="L254" s="230">
        <f t="shared" si="123"/>
        <v>1.5201051581812074E-2</v>
      </c>
      <c r="M254" s="230">
        <f t="shared" si="123"/>
        <v>1.7145802947827311E-2</v>
      </c>
      <c r="N254" s="230">
        <f t="shared" si="123"/>
        <v>2.0867052189662429E-2</v>
      </c>
      <c r="O254" s="230">
        <f t="shared" si="123"/>
        <v>2.4566339737002198E-2</v>
      </c>
      <c r="P254" s="230">
        <f t="shared" si="123"/>
        <v>2.8191808050899686E-2</v>
      </c>
      <c r="Q254" s="230">
        <f t="shared" si="123"/>
        <v>3.1690215621603082E-2</v>
      </c>
      <c r="R254" s="230">
        <f t="shared" si="123"/>
        <v>3.5007689009620042E-2</v>
      </c>
      <c r="S254" s="230">
        <f t="shared" si="123"/>
        <v>3.8163586838977172E-2</v>
      </c>
      <c r="T254" s="230">
        <f t="shared" si="123"/>
        <v>4.1120861921933018E-2</v>
      </c>
      <c r="U254" s="230">
        <f t="shared" si="123"/>
        <v>4.3841187805178441E-2</v>
      </c>
      <c r="V254" s="230">
        <f t="shared" si="123"/>
        <v>4.6284964534730466E-2</v>
      </c>
      <c r="W254" s="230">
        <f t="shared" si="123"/>
        <v>4.8411325966700267E-2</v>
      </c>
      <c r="X254" s="230">
        <f t="shared" si="123"/>
        <v>5.2290238769108599E-2</v>
      </c>
      <c r="Y254" s="230">
        <f t="shared" si="123"/>
        <v>5.5632763403558855E-2</v>
      </c>
      <c r="Z254" s="230">
        <f t="shared" si="123"/>
        <v>5.8367685581789869E-2</v>
      </c>
      <c r="AA254" s="230">
        <f t="shared" si="123"/>
        <v>6.0421678974566309E-2</v>
      </c>
      <c r="AB254" s="230">
        <f t="shared" si="123"/>
        <v>6.1719319513013793E-2</v>
      </c>
      <c r="AC254" s="230">
        <f t="shared" si="123"/>
        <v>6.2183713320750109E-2</v>
      </c>
      <c r="AD254" s="230">
        <f t="shared" si="123"/>
        <v>6.1735281416598439E-2</v>
      </c>
      <c r="AE254" s="230">
        <f t="shared" si="123"/>
        <v>6.0292347947914632E-2</v>
      </c>
      <c r="AF254" s="230">
        <f t="shared" si="123"/>
        <v>5.7771156179056884E-2</v>
      </c>
      <c r="AG254" s="230">
        <f t="shared" si="123"/>
        <v>5.40858866671051E-2</v>
      </c>
      <c r="AH254" s="245"/>
      <c r="AI254" s="133"/>
      <c r="AJ254" s="211"/>
      <c r="AL254" s="108"/>
      <c r="AM254" s="2"/>
      <c r="AN254" s="2"/>
      <c r="AO254" s="2"/>
      <c r="BC254" s="1"/>
      <c r="BD254" s="2"/>
      <c r="BE254" s="2"/>
      <c r="BF254" s="2"/>
      <c r="BG254" s="2"/>
      <c r="BH254" s="2"/>
      <c r="BI254" s="2"/>
      <c r="BJ254" s="2"/>
      <c r="BK254" s="2"/>
    </row>
    <row r="255" spans="1:63" outlineLevel="1">
      <c r="A255" s="4" t="s">
        <v>1561</v>
      </c>
      <c r="C255" s="230">
        <f t="shared" si="123"/>
        <v>0</v>
      </c>
      <c r="D255" s="230">
        <f t="shared" si="123"/>
        <v>9.6695354093725852E-5</v>
      </c>
      <c r="E255" s="230">
        <f t="shared" si="123"/>
        <v>2.0223638536917863E-4</v>
      </c>
      <c r="F255" s="230">
        <f t="shared" si="123"/>
        <v>3.1562519900390265E-4</v>
      </c>
      <c r="G255" s="230">
        <f t="shared" si="123"/>
        <v>4.3567234594644094E-4</v>
      </c>
      <c r="H255" s="230">
        <f t="shared" si="123"/>
        <v>5.6101151446818825E-4</v>
      </c>
      <c r="I255" s="230">
        <f t="shared" si="123"/>
        <v>6.9199054627814074E-4</v>
      </c>
      <c r="J255" s="230">
        <f t="shared" si="123"/>
        <v>8.2781194938758604E-4</v>
      </c>
      <c r="K255" s="230">
        <f t="shared" si="123"/>
        <v>9.6759738136439747E-4</v>
      </c>
      <c r="L255" s="230">
        <f t="shared" si="123"/>
        <v>1.1103874282200957E-3</v>
      </c>
      <c r="M255" s="230">
        <f t="shared" si="123"/>
        <v>1.2551417450546588E-3</v>
      </c>
      <c r="N255" s="230">
        <f t="shared" si="123"/>
        <v>1.5308002437314509E-3</v>
      </c>
      <c r="O255" s="230">
        <f t="shared" si="123"/>
        <v>1.806448792427663E-3</v>
      </c>
      <c r="P255" s="230">
        <f t="shared" si="123"/>
        <v>2.0784647378384795E-3</v>
      </c>
      <c r="Q255" s="230">
        <f t="shared" si="123"/>
        <v>2.3431138149539697E-3</v>
      </c>
      <c r="R255" s="230">
        <f t="shared" si="123"/>
        <v>2.5966019874469814E-3</v>
      </c>
      <c r="S255" s="230">
        <f t="shared" si="123"/>
        <v>2.8405577854358176E-3</v>
      </c>
      <c r="T255" s="230">
        <f t="shared" si="123"/>
        <v>3.0724654367098527E-3</v>
      </c>
      <c r="U255" s="230">
        <f t="shared" si="123"/>
        <v>3.2897208809592239E-3</v>
      </c>
      <c r="V255" s="230">
        <f t="shared" si="123"/>
        <v>3.4896321371797089E-3</v>
      </c>
      <c r="W255" s="230">
        <f t="shared" si="123"/>
        <v>3.6694197771642107E-3</v>
      </c>
      <c r="X255" s="230">
        <f t="shared" si="123"/>
        <v>3.9868370009637074E-3</v>
      </c>
      <c r="Y255" s="230">
        <f t="shared" si="123"/>
        <v>4.2702160575439916E-3</v>
      </c>
      <c r="Z255" s="230">
        <f t="shared" si="123"/>
        <v>4.5147121048984811E-3</v>
      </c>
      <c r="AA255" s="230">
        <f t="shared" si="123"/>
        <v>4.7153344998914501E-3</v>
      </c>
      <c r="AB255" s="230">
        <f t="shared" si="123"/>
        <v>4.8669477378058624E-3</v>
      </c>
      <c r="AC255" s="230">
        <f t="shared" si="123"/>
        <v>4.9643211676089309E-3</v>
      </c>
      <c r="AD255" s="230">
        <f t="shared" si="123"/>
        <v>5.0020341719510071E-3</v>
      </c>
      <c r="AE255" s="230">
        <f t="shared" si="123"/>
        <v>4.9745213811377281E-3</v>
      </c>
      <c r="AF255" s="230">
        <f t="shared" si="123"/>
        <v>4.8760737329301461E-3</v>
      </c>
      <c r="AG255" s="230">
        <f t="shared" si="123"/>
        <v>4.7008396825397487E-3</v>
      </c>
      <c r="AH255" s="245"/>
      <c r="AI255" s="133"/>
      <c r="AJ255" s="211"/>
      <c r="AL255" s="108"/>
      <c r="AM255" s="2"/>
      <c r="AN255" s="2"/>
      <c r="AO255" s="2"/>
      <c r="BC255" s="1"/>
      <c r="BD255" s="2"/>
      <c r="BE255" s="2"/>
      <c r="BF255" s="2"/>
      <c r="BG255" s="2"/>
      <c r="BH255" s="2"/>
      <c r="BI255" s="2"/>
      <c r="BJ255" s="2"/>
      <c r="BK255" s="2"/>
    </row>
    <row r="256" spans="1:63" outlineLevel="1">
      <c r="AJ256" s="211"/>
    </row>
    <row r="257" spans="1:63" s="200" customFormat="1" ht="16" thickBot="1">
      <c r="A257" s="200" t="s">
        <v>1351</v>
      </c>
      <c r="B257" s="215"/>
      <c r="C257" s="224">
        <f>C258</f>
        <v>0.05</v>
      </c>
      <c r="D257" s="224">
        <f t="shared" ref="D257:AG257" si="124">D258</f>
        <v>5.2260994000770548E-2</v>
      </c>
      <c r="E257" s="224">
        <f t="shared" si="124"/>
        <v>5.4521988001541094E-2</v>
      </c>
      <c r="F257" s="224">
        <f t="shared" si="124"/>
        <v>5.6782982002311633E-2</v>
      </c>
      <c r="G257" s="224">
        <f t="shared" si="124"/>
        <v>5.9043976003082178E-2</v>
      </c>
      <c r="H257" s="224">
        <f t="shared" si="124"/>
        <v>6.1304970003852724E-2</v>
      </c>
      <c r="I257" s="224">
        <f t="shared" si="124"/>
        <v>6.3565964004623277E-2</v>
      </c>
      <c r="J257" s="224">
        <f t="shared" si="124"/>
        <v>6.5826958005393815E-2</v>
      </c>
      <c r="K257" s="224">
        <f t="shared" si="124"/>
        <v>6.8087952006164354E-2</v>
      </c>
      <c r="L257" s="224">
        <f t="shared" si="124"/>
        <v>7.0348946006934907E-2</v>
      </c>
      <c r="M257" s="224">
        <f t="shared" si="124"/>
        <v>7.2609940007705445E-2</v>
      </c>
      <c r="N257" s="224">
        <f t="shared" si="124"/>
        <v>7.7375419670867973E-2</v>
      </c>
      <c r="O257" s="224">
        <f t="shared" si="124"/>
        <v>8.2140899334030501E-2</v>
      </c>
      <c r="P257" s="224">
        <f t="shared" si="124"/>
        <v>8.6906378997193029E-2</v>
      </c>
      <c r="Q257" s="224">
        <f t="shared" si="124"/>
        <v>9.1671858660355557E-2</v>
      </c>
      <c r="R257" s="224">
        <f t="shared" si="124"/>
        <v>9.6437338323518085E-2</v>
      </c>
      <c r="S257" s="224">
        <f t="shared" si="124"/>
        <v>0.10120281798668061</v>
      </c>
      <c r="T257" s="224">
        <f t="shared" si="124"/>
        <v>0.10596829764984314</v>
      </c>
      <c r="U257" s="224">
        <f t="shared" si="124"/>
        <v>0.11073377731300567</v>
      </c>
      <c r="V257" s="224">
        <f t="shared" si="124"/>
        <v>0.1154992569761682</v>
      </c>
      <c r="W257" s="224">
        <f t="shared" si="124"/>
        <v>0.12026473663933072</v>
      </c>
      <c r="X257" s="224">
        <f t="shared" si="124"/>
        <v>0.12823826297539764</v>
      </c>
      <c r="Y257" s="224">
        <f t="shared" si="124"/>
        <v>0.13621178931146458</v>
      </c>
      <c r="Z257" s="224">
        <f t="shared" si="124"/>
        <v>0.14418531564753151</v>
      </c>
      <c r="AA257" s="224">
        <f t="shared" si="124"/>
        <v>0.15215884198359844</v>
      </c>
      <c r="AB257" s="224">
        <f t="shared" si="124"/>
        <v>0.16013236831966537</v>
      </c>
      <c r="AC257" s="224">
        <f t="shared" si="124"/>
        <v>0.16810589465573231</v>
      </c>
      <c r="AD257" s="224">
        <f t="shared" si="124"/>
        <v>0.17607942099179924</v>
      </c>
      <c r="AE257" s="224">
        <f t="shared" si="124"/>
        <v>0.18405294732786615</v>
      </c>
      <c r="AF257" s="224">
        <f t="shared" si="124"/>
        <v>0.19202647366393311</v>
      </c>
      <c r="AG257" s="224">
        <f t="shared" si="124"/>
        <v>0.2</v>
      </c>
      <c r="AJ257" s="231" t="s">
        <v>1331</v>
      </c>
      <c r="AL257" s="217"/>
      <c r="AM257" s="225"/>
      <c r="AN257" s="225"/>
      <c r="AO257" s="225"/>
    </row>
    <row r="258" spans="1:63" ht="16" outlineLevel="2" thickTop="1">
      <c r="A258" t="s">
        <v>1352</v>
      </c>
      <c r="B258" s="54" t="s">
        <v>462</v>
      </c>
      <c r="C258" s="113">
        <v>0.05</v>
      </c>
      <c r="D258" s="110">
        <f>$C258+($M258-$C258)/10*(D$1-$C$1)</f>
        <v>5.2260994000770548E-2</v>
      </c>
      <c r="E258" s="110">
        <f t="shared" ref="E258:L258" si="125">$C258+($M258-$C258)/10*(E$1-$C$1)</f>
        <v>5.4521988001541094E-2</v>
      </c>
      <c r="F258" s="110">
        <f t="shared" si="125"/>
        <v>5.6782982002311633E-2</v>
      </c>
      <c r="G258" s="110">
        <f t="shared" si="125"/>
        <v>5.9043976003082178E-2</v>
      </c>
      <c r="H258" s="110">
        <f t="shared" si="125"/>
        <v>6.1304970003852724E-2</v>
      </c>
      <c r="I258" s="110">
        <f t="shared" si="125"/>
        <v>6.3565964004623277E-2</v>
      </c>
      <c r="J258" s="110">
        <f t="shared" si="125"/>
        <v>6.5826958005393815E-2</v>
      </c>
      <c r="K258" s="110">
        <f t="shared" si="125"/>
        <v>6.8087952006164354E-2</v>
      </c>
      <c r="L258" s="110">
        <f t="shared" si="125"/>
        <v>7.0348946006934907E-2</v>
      </c>
      <c r="M258" s="121">
        <f>(M$52-$C$52)/($AG$52-$C$52)*($AG258-$C258)+$C258</f>
        <v>7.2609940007705445E-2</v>
      </c>
      <c r="N258" s="121">
        <f>$M258+($W258-$M258)/10*(N$1-$M$1)</f>
        <v>7.7375419670867973E-2</v>
      </c>
      <c r="O258" s="121">
        <f t="shared" ref="O258:U258" si="126">$M258+($W258-$M258)/10*(O$1-$M$1)</f>
        <v>8.2140899334030501E-2</v>
      </c>
      <c r="P258" s="121">
        <f t="shared" si="126"/>
        <v>8.6906378997193029E-2</v>
      </c>
      <c r="Q258" s="121">
        <f t="shared" si="126"/>
        <v>9.1671858660355557E-2</v>
      </c>
      <c r="R258" s="121">
        <f t="shared" si="126"/>
        <v>9.6437338323518085E-2</v>
      </c>
      <c r="S258" s="121">
        <f t="shared" si="126"/>
        <v>0.10120281798668061</v>
      </c>
      <c r="T258" s="121">
        <f t="shared" si="126"/>
        <v>0.10596829764984314</v>
      </c>
      <c r="U258" s="121">
        <f t="shared" si="126"/>
        <v>0.11073377731300567</v>
      </c>
      <c r="V258" s="121">
        <f>$M258+($W258-$M258)/10*(V$1-$M$1)</f>
        <v>0.1154992569761682</v>
      </c>
      <c r="W258" s="121">
        <f>(W$52-$C$52)/($AG$52-$C$52)*($AG258-$C258)+$C258</f>
        <v>0.12026473663933072</v>
      </c>
      <c r="X258" s="23">
        <f t="shared" ref="X258:AF258" si="127">$W258+($AG258-$W258)/10*(X$1-$W$1)</f>
        <v>0.12823826297539764</v>
      </c>
      <c r="Y258" s="23">
        <f t="shared" si="127"/>
        <v>0.13621178931146458</v>
      </c>
      <c r="Z258" s="23">
        <f t="shared" si="127"/>
        <v>0.14418531564753151</v>
      </c>
      <c r="AA258" s="23">
        <f t="shared" si="127"/>
        <v>0.15215884198359844</v>
      </c>
      <c r="AB258" s="23">
        <f t="shared" si="127"/>
        <v>0.16013236831966537</v>
      </c>
      <c r="AC258" s="23">
        <f t="shared" si="127"/>
        <v>0.16810589465573231</v>
      </c>
      <c r="AD258" s="23">
        <f t="shared" si="127"/>
        <v>0.17607942099179924</v>
      </c>
      <c r="AE258" s="23">
        <f t="shared" si="127"/>
        <v>0.18405294732786615</v>
      </c>
      <c r="AF258" s="23">
        <f t="shared" si="127"/>
        <v>0.19202647366393311</v>
      </c>
      <c r="AG258" s="106">
        <v>0.2</v>
      </c>
      <c r="AJ258" s="211" t="s">
        <v>1353</v>
      </c>
    </row>
    <row r="259" spans="1:63" outlineLevel="2">
      <c r="C259" s="113"/>
      <c r="D259" s="110"/>
      <c r="E259" s="110"/>
      <c r="F259" s="110"/>
      <c r="G259" s="110"/>
      <c r="H259" s="110"/>
      <c r="I259" s="110"/>
      <c r="J259" s="110"/>
      <c r="K259" s="110"/>
      <c r="L259" s="110"/>
      <c r="M259" s="121"/>
      <c r="N259" s="121"/>
      <c r="O259" s="121"/>
      <c r="P259" s="121"/>
      <c r="Q259" s="121"/>
      <c r="R259" s="121"/>
      <c r="S259" s="121"/>
      <c r="T259" s="121"/>
      <c r="U259" s="121"/>
      <c r="V259" s="121"/>
      <c r="W259" s="121"/>
      <c r="X259" s="23"/>
      <c r="Y259" s="23"/>
      <c r="Z259" s="23"/>
      <c r="AA259" s="23"/>
      <c r="AB259" s="23"/>
      <c r="AC259" s="23"/>
      <c r="AD259" s="23"/>
      <c r="AE259" s="23"/>
      <c r="AF259" s="23"/>
      <c r="AG259" s="106"/>
      <c r="AJ259" s="211"/>
    </row>
    <row r="260" spans="1:63" outlineLevel="1">
      <c r="A260" t="s">
        <v>1621</v>
      </c>
      <c r="C260" s="504">
        <f>('Overall recycling rates'!F88*'Yearly BTX'!D5+'Overall recycling rates'!G88*'Yearly BTX'!D6+'Overall recycling rates'!H88*'Yearly BTX'!D7)/'Yearly BTX'!D4</f>
        <v>1.0000000000000004</v>
      </c>
      <c r="D260" s="504">
        <f>C260-($C260-$AG260)/($AG$1-$C$1)</f>
        <v>1.0000000000000004</v>
      </c>
      <c r="E260" s="504">
        <f t="shared" ref="E260:AF260" si="128">D260-($C260-$AG260)/($AG$1-$C$1)</f>
        <v>1.0000000000000004</v>
      </c>
      <c r="F260" s="504">
        <f t="shared" si="128"/>
        <v>1.0000000000000004</v>
      </c>
      <c r="G260" s="504">
        <f t="shared" si="128"/>
        <v>1.0000000000000004</v>
      </c>
      <c r="H260" s="504">
        <f t="shared" si="128"/>
        <v>1.0000000000000004</v>
      </c>
      <c r="I260" s="504">
        <f t="shared" si="128"/>
        <v>1.0000000000000004</v>
      </c>
      <c r="J260" s="504">
        <f t="shared" si="128"/>
        <v>1.0000000000000004</v>
      </c>
      <c r="K260" s="504">
        <f t="shared" si="128"/>
        <v>1.0000000000000004</v>
      </c>
      <c r="L260" s="504">
        <f t="shared" si="128"/>
        <v>1.0000000000000004</v>
      </c>
      <c r="M260" s="504">
        <f t="shared" si="128"/>
        <v>1.0000000000000004</v>
      </c>
      <c r="N260" s="504">
        <f t="shared" si="128"/>
        <v>1.0000000000000004</v>
      </c>
      <c r="O260" s="504">
        <f t="shared" si="128"/>
        <v>1.0000000000000004</v>
      </c>
      <c r="P260" s="504">
        <f t="shared" si="128"/>
        <v>1.0000000000000004</v>
      </c>
      <c r="Q260" s="504">
        <f t="shared" si="128"/>
        <v>1.0000000000000004</v>
      </c>
      <c r="R260" s="504">
        <f t="shared" si="128"/>
        <v>1.0000000000000004</v>
      </c>
      <c r="S260" s="504">
        <f t="shared" si="128"/>
        <v>1.0000000000000004</v>
      </c>
      <c r="T260" s="504">
        <f t="shared" si="128"/>
        <v>1.0000000000000004</v>
      </c>
      <c r="U260" s="504">
        <f t="shared" si="128"/>
        <v>1.0000000000000004</v>
      </c>
      <c r="V260" s="504">
        <f t="shared" si="128"/>
        <v>1.0000000000000004</v>
      </c>
      <c r="W260" s="504">
        <f t="shared" si="128"/>
        <v>1.0000000000000004</v>
      </c>
      <c r="X260" s="504">
        <f t="shared" si="128"/>
        <v>1.0000000000000004</v>
      </c>
      <c r="Y260" s="504">
        <f t="shared" si="128"/>
        <v>1.0000000000000004</v>
      </c>
      <c r="Z260" s="504">
        <f t="shared" si="128"/>
        <v>1.0000000000000004</v>
      </c>
      <c r="AA260" s="504">
        <f t="shared" si="128"/>
        <v>1.0000000000000004</v>
      </c>
      <c r="AB260" s="504">
        <f t="shared" si="128"/>
        <v>1.0000000000000004</v>
      </c>
      <c r="AC260" s="504">
        <f t="shared" si="128"/>
        <v>1.0000000000000004</v>
      </c>
      <c r="AD260" s="504">
        <f t="shared" si="128"/>
        <v>1.0000000000000004</v>
      </c>
      <c r="AE260" s="504">
        <f t="shared" si="128"/>
        <v>1.0000000000000004</v>
      </c>
      <c r="AF260" s="504">
        <f t="shared" si="128"/>
        <v>1.0000000000000004</v>
      </c>
      <c r="AG260" s="504">
        <f>'Overall recycling rates'!F97</f>
        <v>1</v>
      </c>
      <c r="AI260" s="133"/>
      <c r="AJ260" s="211" t="s">
        <v>1582</v>
      </c>
      <c r="AL260" s="108"/>
      <c r="AM260" s="207"/>
      <c r="AN260" s="207"/>
      <c r="AO260" s="207"/>
      <c r="BC260" s="1"/>
      <c r="BD260" s="207"/>
      <c r="BE260" s="207"/>
      <c r="BF260" s="207"/>
      <c r="BG260" s="207"/>
      <c r="BH260" s="207"/>
      <c r="BI260" s="207"/>
      <c r="BJ260" s="207"/>
      <c r="BK260" s="207"/>
    </row>
    <row r="261" spans="1:63" outlineLevel="1">
      <c r="A261" t="s">
        <v>1639</v>
      </c>
      <c r="B261" s="54" t="s">
        <v>462</v>
      </c>
      <c r="C261" s="110">
        <f>C258*C260</f>
        <v>5.0000000000000024E-2</v>
      </c>
      <c r="D261" s="110">
        <f t="shared" ref="D261:AG261" si="129">D258*D260</f>
        <v>5.2260994000770569E-2</v>
      </c>
      <c r="E261" s="110">
        <f t="shared" si="129"/>
        <v>5.4521988001541115E-2</v>
      </c>
      <c r="F261" s="110">
        <f t="shared" si="129"/>
        <v>5.678298200231166E-2</v>
      </c>
      <c r="G261" s="110">
        <f t="shared" si="129"/>
        <v>5.9043976003082206E-2</v>
      </c>
      <c r="H261" s="110">
        <f t="shared" si="129"/>
        <v>6.1304970003852752E-2</v>
      </c>
      <c r="I261" s="110">
        <f t="shared" si="129"/>
        <v>6.3565964004623304E-2</v>
      </c>
      <c r="J261" s="110">
        <f t="shared" si="129"/>
        <v>6.5826958005393843E-2</v>
      </c>
      <c r="K261" s="110">
        <f t="shared" si="129"/>
        <v>6.8087952006164382E-2</v>
      </c>
      <c r="L261" s="110">
        <f t="shared" si="129"/>
        <v>7.0348946006934934E-2</v>
      </c>
      <c r="M261" s="110">
        <f t="shared" si="129"/>
        <v>7.2609940007705473E-2</v>
      </c>
      <c r="N261" s="110">
        <f t="shared" si="129"/>
        <v>7.7375419670868001E-2</v>
      </c>
      <c r="O261" s="110">
        <f t="shared" si="129"/>
        <v>8.2140899334030543E-2</v>
      </c>
      <c r="P261" s="110">
        <f t="shared" si="129"/>
        <v>8.6906378997193071E-2</v>
      </c>
      <c r="Q261" s="110">
        <f t="shared" si="129"/>
        <v>9.1671858660355598E-2</v>
      </c>
      <c r="R261" s="110">
        <f t="shared" si="129"/>
        <v>9.6437338323518126E-2</v>
      </c>
      <c r="S261" s="110">
        <f t="shared" si="129"/>
        <v>0.10120281798668065</v>
      </c>
      <c r="T261" s="110">
        <f t="shared" si="129"/>
        <v>0.10596829764984318</v>
      </c>
      <c r="U261" s="110">
        <f t="shared" si="129"/>
        <v>0.11073377731300572</v>
      </c>
      <c r="V261" s="110">
        <f t="shared" si="129"/>
        <v>0.11549925697616825</v>
      </c>
      <c r="W261" s="110">
        <f t="shared" si="129"/>
        <v>0.12026473663933078</v>
      </c>
      <c r="X261" s="110">
        <f t="shared" si="129"/>
        <v>0.1282382629753977</v>
      </c>
      <c r="Y261" s="110">
        <f t="shared" si="129"/>
        <v>0.13621178931146463</v>
      </c>
      <c r="Z261" s="110">
        <f t="shared" si="129"/>
        <v>0.14418531564753156</v>
      </c>
      <c r="AA261" s="110">
        <f t="shared" si="129"/>
        <v>0.1521588419835985</v>
      </c>
      <c r="AB261" s="110">
        <f t="shared" si="129"/>
        <v>0.16013236831966546</v>
      </c>
      <c r="AC261" s="110">
        <f t="shared" si="129"/>
        <v>0.16810589465573239</v>
      </c>
      <c r="AD261" s="110">
        <f t="shared" si="129"/>
        <v>0.17607942099179932</v>
      </c>
      <c r="AE261" s="110">
        <f t="shared" si="129"/>
        <v>0.18405294732786623</v>
      </c>
      <c r="AF261" s="110">
        <f t="shared" si="129"/>
        <v>0.19202647366393319</v>
      </c>
      <c r="AG261" s="110">
        <f t="shared" si="129"/>
        <v>0.2</v>
      </c>
      <c r="AJ261" s="211" t="s">
        <v>1349</v>
      </c>
    </row>
    <row r="262" spans="1:63" outlineLevel="1">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J262" s="211"/>
    </row>
    <row r="263" spans="1:63" s="1" customFormat="1" outlineLevel="1">
      <c r="A263" s="1" t="s">
        <v>228</v>
      </c>
      <c r="B263" s="65"/>
      <c r="C263" s="300">
        <f>'BTX Recycling HC'!C263</f>
        <v>0.932943764462136</v>
      </c>
      <c r="D263" s="300">
        <f>'BTX Recycling HC'!D263</f>
        <v>1.0078192353879303</v>
      </c>
      <c r="E263" s="300">
        <f>'BTX Recycling HC'!E263</f>
        <v>1.08382562066178</v>
      </c>
      <c r="F263" s="300">
        <f>'BTX Recycling HC'!F263</f>
        <v>1.1605201046417486</v>
      </c>
      <c r="G263" s="300">
        <f>'BTX Recycling HC'!G263</f>
        <v>1.2374326168248078</v>
      </c>
      <c r="H263" s="300">
        <f>'BTX Recycling HC'!H263</f>
        <v>1.3140704781747665</v>
      </c>
      <c r="I263" s="300">
        <f>'BTX Recycling HC'!I263</f>
        <v>1.3929222623040205</v>
      </c>
      <c r="J263" s="300">
        <f>'BTX Recycling HC'!J263</f>
        <v>1.4739654750131554</v>
      </c>
      <c r="K263" s="300">
        <f>'BTX Recycling HC'!K263</f>
        <v>1.5571729594436001</v>
      </c>
      <c r="L263" s="300">
        <f>'BTX Recycling HC'!L263</f>
        <v>1.6425128124551709</v>
      </c>
      <c r="M263" s="300">
        <f>'BTX Recycling HC'!M263</f>
        <v>1.7299483116658347</v>
      </c>
      <c r="N263" s="300">
        <f>'BTX Recycling HC'!N263</f>
        <v>1.8776090212103245</v>
      </c>
      <c r="O263" s="300">
        <f>'BTX Recycling HC'!O263</f>
        <v>2.0263022408016971</v>
      </c>
      <c r="P263" s="300">
        <f>'BTX Recycling HC'!P263</f>
        <v>2.1752785926454301</v>
      </c>
      <c r="Q263" s="300">
        <f>'BTX Recycling HC'!Q263</f>
        <v>2.3237631430391117</v>
      </c>
      <c r="R263" s="300">
        <f>'BTX Recycling HC'!R263</f>
        <v>2.4709619215352689</v>
      </c>
      <c r="S263" s="300">
        <f>'BTX Recycling HC'!S263</f>
        <v>2.6207821248443146</v>
      </c>
      <c r="T263" s="300">
        <f>'BTX Recycling HC'!T263</f>
        <v>2.773219023702449</v>
      </c>
      <c r="U263" s="300">
        <f>'BTX Recycling HC'!U263</f>
        <v>2.9282666445954595</v>
      </c>
      <c r="V263" s="300">
        <f>'BTX Recycling HC'!V263</f>
        <v>3.0859177545538574</v>
      </c>
      <c r="W263" s="300">
        <f>'BTX Recycling HC'!W263</f>
        <v>3.2461638465828653</v>
      </c>
      <c r="X263" s="300">
        <f>'BTX Recycling HC'!X263</f>
        <v>3.4965022171913009</v>
      </c>
      <c r="Y263" s="300">
        <f>'BTX Recycling HC'!Y263</f>
        <v>3.7512151684389212</v>
      </c>
      <c r="Z263" s="300">
        <f>'BTX Recycling HC'!Z263</f>
        <v>4.0102959893122367</v>
      </c>
      <c r="AA263" s="300">
        <f>'BTX Recycling HC'!AA263</f>
        <v>4.2737361033098855</v>
      </c>
      <c r="AB263" s="300">
        <f>'BTX Recycling HC'!AB263</f>
        <v>4.5415250469280952</v>
      </c>
      <c r="AC263" s="300">
        <f>'BTX Recycling HC'!AC263</f>
        <v>4.8136959584043648</v>
      </c>
      <c r="AD263" s="300">
        <f>'BTX Recycling HC'!AD263</f>
        <v>5.0902424450172026</v>
      </c>
      <c r="AE263" s="300">
        <f>'BTX Recycling HC'!AE263</f>
        <v>5.3711564278238244</v>
      </c>
      <c r="AF263" s="300">
        <f>'BTX Recycling HC'!AF263</f>
        <v>5.6564281229768092</v>
      </c>
      <c r="AG263" s="300">
        <f>'BTX Recycling HC'!AG263</f>
        <v>5.9460460237433903</v>
      </c>
      <c r="AH263" s="245"/>
      <c r="AI263" s="423"/>
      <c r="AJ263" s="424"/>
      <c r="AL263" s="221"/>
      <c r="AM263" s="124"/>
      <c r="AN263" s="124"/>
      <c r="AO263" s="124"/>
      <c r="BD263" s="124"/>
      <c r="BE263" s="124"/>
      <c r="BF263" s="124"/>
      <c r="BG263" s="124"/>
      <c r="BH263" s="124"/>
      <c r="BI263" s="124"/>
      <c r="BJ263" s="124"/>
      <c r="BK263" s="124"/>
    </row>
    <row r="264" spans="1:63" outlineLevel="1">
      <c r="A264" s="4" t="s">
        <v>474</v>
      </c>
      <c r="C264" s="230">
        <f>C$263*'BTX recycling rates'!E90</f>
        <v>0</v>
      </c>
      <c r="D264" s="230">
        <f>D$263*'BTX recycling rates'!F90</f>
        <v>0</v>
      </c>
      <c r="E264" s="230">
        <f>E$263*'BTX recycling rates'!G90</f>
        <v>0</v>
      </c>
      <c r="F264" s="230">
        <f>F$263*'BTX recycling rates'!H90</f>
        <v>0</v>
      </c>
      <c r="G264" s="230">
        <f>G$263*'BTX recycling rates'!I90</f>
        <v>0</v>
      </c>
      <c r="H264" s="230">
        <f>H$263*'BTX recycling rates'!J90</f>
        <v>0</v>
      </c>
      <c r="I264" s="230">
        <f>I$263*'BTX recycling rates'!K90</f>
        <v>0</v>
      </c>
      <c r="J264" s="230">
        <f>J$263*'BTX recycling rates'!L90</f>
        <v>0</v>
      </c>
      <c r="K264" s="230">
        <f>K$263*'BTX recycling rates'!M90</f>
        <v>0</v>
      </c>
      <c r="L264" s="230">
        <f>L$263*'BTX recycling rates'!N90</f>
        <v>0</v>
      </c>
      <c r="M264" s="230">
        <f>M$263*'BTX recycling rates'!O90</f>
        <v>0</v>
      </c>
      <c r="N264" s="230">
        <f>N$263*'BTX recycling rates'!P90</f>
        <v>0</v>
      </c>
      <c r="O264" s="230">
        <f>O$263*'BTX recycling rates'!Q90</f>
        <v>0</v>
      </c>
      <c r="P264" s="230">
        <f>P$263*'BTX recycling rates'!R90</f>
        <v>0</v>
      </c>
      <c r="Q264" s="230">
        <f>Q$263*'BTX recycling rates'!S90</f>
        <v>0</v>
      </c>
      <c r="R264" s="230">
        <f>R$263*'BTX recycling rates'!T90</f>
        <v>0</v>
      </c>
      <c r="S264" s="230">
        <f>S$263*'BTX recycling rates'!U90</f>
        <v>0</v>
      </c>
      <c r="T264" s="230">
        <f>T$263*'BTX recycling rates'!V90</f>
        <v>0</v>
      </c>
      <c r="U264" s="230">
        <f>U$263*'BTX recycling rates'!W90</f>
        <v>0</v>
      </c>
      <c r="V264" s="230">
        <f>V$263*'BTX recycling rates'!X90</f>
        <v>0</v>
      </c>
      <c r="W264" s="230">
        <f>W$263*'BTX recycling rates'!Y90</f>
        <v>0</v>
      </c>
      <c r="X264" s="230">
        <f>X$263*'BTX recycling rates'!Z90</f>
        <v>0</v>
      </c>
      <c r="Y264" s="230">
        <f>Y$263*'BTX recycling rates'!AA90</f>
        <v>0</v>
      </c>
      <c r="Z264" s="230">
        <f>Z$263*'BTX recycling rates'!AB90</f>
        <v>0</v>
      </c>
      <c r="AA264" s="230">
        <f>AA$263*'BTX recycling rates'!AC90</f>
        <v>0</v>
      </c>
      <c r="AB264" s="230">
        <f>AB$263*'BTX recycling rates'!AD90</f>
        <v>0</v>
      </c>
      <c r="AC264" s="230">
        <f>AC$263*'BTX recycling rates'!AE90</f>
        <v>0</v>
      </c>
      <c r="AD264" s="230">
        <f>AD$263*'BTX recycling rates'!AF90</f>
        <v>0</v>
      </c>
      <c r="AE264" s="230">
        <f>AE$263*'BTX recycling rates'!AG90</f>
        <v>0</v>
      </c>
      <c r="AF264" s="230">
        <f>AF$263*'BTX recycling rates'!AH90</f>
        <v>0</v>
      </c>
      <c r="AG264" s="230">
        <f>AG$263*'BTX recycling rates'!AI90</f>
        <v>0</v>
      </c>
      <c r="AH264" s="245"/>
      <c r="AI264" s="133"/>
      <c r="AJ264" s="211"/>
      <c r="AL264" s="108"/>
      <c r="AM264" s="2"/>
      <c r="AN264" s="2"/>
      <c r="AO264" s="2"/>
      <c r="BC264" s="1"/>
      <c r="BD264" s="2"/>
      <c r="BE264" s="2"/>
      <c r="BF264" s="2"/>
      <c r="BG264" s="2"/>
      <c r="BH264" s="2"/>
      <c r="BI264" s="2"/>
      <c r="BJ264" s="2"/>
      <c r="BK264" s="2"/>
    </row>
    <row r="265" spans="1:63" outlineLevel="1">
      <c r="A265" s="4" t="s">
        <v>478</v>
      </c>
      <c r="C265" s="230">
        <f>C$263*'BTX recycling rates'!E91</f>
        <v>0.26788424563705671</v>
      </c>
      <c r="D265" s="230">
        <f>D$263*'BTX recycling rates'!F91</f>
        <v>0.28938388989186303</v>
      </c>
      <c r="E265" s="230">
        <f>E$263*'BTX recycling rates'!G91</f>
        <v>0.31120826340533336</v>
      </c>
      <c r="F265" s="230">
        <f>F$263*'BTX recycling rates'!H91</f>
        <v>0.33323021667637753</v>
      </c>
      <c r="G265" s="230">
        <f>G$263*'BTX recycling rates'!I91</f>
        <v>0.35531477427893382</v>
      </c>
      <c r="H265" s="230">
        <f>H$263*'BTX recycling rates'!J91</f>
        <v>0.37732046900245997</v>
      </c>
      <c r="I265" s="230">
        <f>I$263*'BTX recycling rates'!K91</f>
        <v>0.39996186660135941</v>
      </c>
      <c r="J265" s="230">
        <f>J$263*'BTX recycling rates'!L91</f>
        <v>0.42323250812079399</v>
      </c>
      <c r="K265" s="230">
        <f>K$263*'BTX recycling rates'!M91</f>
        <v>0.44712459577610675</v>
      </c>
      <c r="L265" s="230">
        <f>L$263*'BTX recycling rates'!N91</f>
        <v>0.47162896894158041</v>
      </c>
      <c r="M265" s="230">
        <f>M$263*'BTX recycling rates'!O91</f>
        <v>0.49673508320073062</v>
      </c>
      <c r="N265" s="230">
        <f>N$263*'BTX recycling rates'!P91</f>
        <v>0.53913418515449429</v>
      </c>
      <c r="O265" s="230">
        <f>O$263*'BTX recycling rates'!Q91</f>
        <v>0.58182976068529224</v>
      </c>
      <c r="P265" s="230">
        <f>P$263*'BTX recycling rates'!R91</f>
        <v>0.62460663443869291</v>
      </c>
      <c r="Q265" s="230">
        <f>Q$263*'BTX recycling rates'!S91</f>
        <v>0.66724229297048132</v>
      </c>
      <c r="R265" s="230">
        <f>R$263*'BTX recycling rates'!T91</f>
        <v>0.70950875665050062</v>
      </c>
      <c r="S265" s="230">
        <f>S$263*'BTX recycling rates'!U91</f>
        <v>0.75252793280392349</v>
      </c>
      <c r="T265" s="230">
        <f>T$263*'BTX recycling rates'!V91</f>
        <v>0.79629846347616207</v>
      </c>
      <c r="U265" s="230">
        <f>U$263*'BTX recycling rates'!W91</f>
        <v>0.84081863344020091</v>
      </c>
      <c r="V265" s="230">
        <f>V$263*'BTX recycling rates'!X91</f>
        <v>0.88608636583069278</v>
      </c>
      <c r="W265" s="230">
        <f>W$263*'BTX recycling rates'!Y91</f>
        <v>0.93209921796034478</v>
      </c>
      <c r="X265" s="230">
        <f>X$263*'BTX recycling rates'!Z91</f>
        <v>1.003981048483231</v>
      </c>
      <c r="Y265" s="230">
        <f>Y$263*'BTX recycling rates'!AA91</f>
        <v>1.077118990337953</v>
      </c>
      <c r="Z265" s="230">
        <f>Z$263*'BTX recycling rates'!AB91</f>
        <v>1.1515111165329228</v>
      </c>
      <c r="AA265" s="230">
        <f>AA$263*'BTX recycling rates'!AC91</f>
        <v>1.2271549644228186</v>
      </c>
      <c r="AB265" s="230">
        <f>AB$263*'BTX recycling rates'!AD91</f>
        <v>1.3040475295309268</v>
      </c>
      <c r="AC265" s="230">
        <f>AC$263*'BTX recycling rates'!AE91</f>
        <v>1.3821983271271838</v>
      </c>
      <c r="AD265" s="230">
        <f>AD$263*'BTX recycling rates'!AF91</f>
        <v>1.4616055216139479</v>
      </c>
      <c r="AE265" s="230">
        <f>AE$263*'BTX recycling rates'!AG91</f>
        <v>1.5422667932142118</v>
      </c>
      <c r="AF265" s="230">
        <f>AF$263*'BTX recycling rates'!AH91</f>
        <v>1.6241793326068936</v>
      </c>
      <c r="AG265" s="230">
        <f>AG$263*'BTX recycling rates'!AI91</f>
        <v>1.7073398357638794</v>
      </c>
      <c r="AH265" s="245"/>
      <c r="AI265" s="133"/>
      <c r="AJ265" s="211"/>
      <c r="AL265" s="108"/>
      <c r="AM265" s="2"/>
      <c r="AN265" s="2"/>
      <c r="AO265" s="2"/>
      <c r="BC265" s="1"/>
      <c r="BD265" s="2"/>
      <c r="BE265" s="2"/>
      <c r="BF265" s="2"/>
      <c r="BG265" s="2"/>
      <c r="BH265" s="2"/>
      <c r="BI265" s="2"/>
      <c r="BJ265" s="2"/>
      <c r="BK265" s="2"/>
    </row>
    <row r="266" spans="1:63" outlineLevel="1">
      <c r="A266" s="4" t="s">
        <v>745</v>
      </c>
      <c r="C266" s="230">
        <f>C$263*'BTX recycling rates'!E92</f>
        <v>0.51944039042749968</v>
      </c>
      <c r="D266" s="230">
        <f>D$263*'BTX recycling rates'!F92</f>
        <v>0.56112923099074674</v>
      </c>
      <c r="E266" s="230">
        <f>E$263*'BTX recycling rates'!G92</f>
        <v>0.60344773714893196</v>
      </c>
      <c r="F266" s="230">
        <f>F$263*'BTX recycling rates'!H92</f>
        <v>0.64614935992590417</v>
      </c>
      <c r="G266" s="230">
        <f>G$263*'BTX recycling rates'!I92</f>
        <v>0.68897237550194057</v>
      </c>
      <c r="H266" s="230">
        <f>H$263*'BTX recycling rates'!J92</f>
        <v>0.73164247217609735</v>
      </c>
      <c r="I266" s="230">
        <f>I$263*'BTX recycling rates'!K92</f>
        <v>0.77554522719115271</v>
      </c>
      <c r="J266" s="230">
        <f>J$263*'BTX recycling rates'!L92</f>
        <v>0.82066811632413483</v>
      </c>
      <c r="K266" s="230">
        <f>K$263*'BTX recycling rates'!M92</f>
        <v>0.86699601929689163</v>
      </c>
      <c r="L266" s="230">
        <f>L$263*'BTX recycling rates'!N92</f>
        <v>0.91451117321714148</v>
      </c>
      <c r="M266" s="230">
        <f>M$263*'BTX recycling rates'!O92</f>
        <v>0.96319313195598877</v>
      </c>
      <c r="N266" s="230">
        <f>N$263*'BTX recycling rates'!P92</f>
        <v>1.0454070225872332</v>
      </c>
      <c r="O266" s="230">
        <f>O$263*'BTX recycling rates'!Q92</f>
        <v>1.1281957896926047</v>
      </c>
      <c r="P266" s="230">
        <f>P$263*'BTX recycling rates'!R92</f>
        <v>1.2111421979477552</v>
      </c>
      <c r="Q266" s="230">
        <f>Q$263*'BTX recycling rates'!S92</f>
        <v>1.2938147831205735</v>
      </c>
      <c r="R266" s="230">
        <f>R$263*'BTX recycling rates'!T92</f>
        <v>1.3757714817824447</v>
      </c>
      <c r="S266" s="230">
        <f>S$263*'BTX recycling rates'!U92</f>
        <v>1.4591877260033861</v>
      </c>
      <c r="T266" s="230">
        <f>T$263*'BTX recycling rates'!V92</f>
        <v>1.5440608826443729</v>
      </c>
      <c r="U266" s="230">
        <f>U$263*'BTX recycling rates'!W92</f>
        <v>1.6303876257980208</v>
      </c>
      <c r="V266" s="230">
        <f>V$263*'BTX recycling rates'!X92</f>
        <v>1.7181639283228902</v>
      </c>
      <c r="W266" s="230">
        <f>W$263*'BTX recycling rates'!Y92</f>
        <v>1.8073850537312557</v>
      </c>
      <c r="X266" s="230">
        <f>X$263*'BTX recycling rates'!Z92</f>
        <v>1.946767367994108</v>
      </c>
      <c r="Y266" s="230">
        <f>Y$263*'BTX recycling rates'!AA92</f>
        <v>2.0885853423275162</v>
      </c>
      <c r="Z266" s="230">
        <f>Z$263*'BTX recycling rates'!AB92</f>
        <v>2.2328352402024425</v>
      </c>
      <c r="AA266" s="230">
        <f>AA$263*'BTX recycling rates'!AC92</f>
        <v>2.3795122864315856</v>
      </c>
      <c r="AB266" s="230">
        <f>AB$263*'BTX recycling rates'!AD92</f>
        <v>2.5286106551906129</v>
      </c>
      <c r="AC266" s="230">
        <f>AC$263*'BTX recycling rates'!AE92</f>
        <v>2.6801487970439419</v>
      </c>
      <c r="AD266" s="230">
        <f>AD$263*'BTX recycling rates'!AF92</f>
        <v>2.834123152679775</v>
      </c>
      <c r="AE266" s="230">
        <f>AE$263*'BTX recycling rates'!AG92</f>
        <v>2.9905292239393226</v>
      </c>
      <c r="AF266" s="230">
        <f>AF$263*'BTX recycling rates'!AH92</f>
        <v>3.1493615634143728</v>
      </c>
      <c r="AG266" s="230">
        <f>AG$263*'BTX recycling rates'!AI92</f>
        <v>3.3106137644360683</v>
      </c>
      <c r="AH266" s="245"/>
      <c r="AI266" s="133"/>
      <c r="AJ266" s="211"/>
      <c r="AL266" s="108"/>
      <c r="AM266" s="2"/>
      <c r="AN266" s="2"/>
      <c r="AO266" s="2"/>
      <c r="BC266" s="1"/>
      <c r="BD266" s="2"/>
      <c r="BE266" s="2"/>
      <c r="BF266" s="2"/>
      <c r="BG266" s="2"/>
      <c r="BH266" s="2"/>
      <c r="BI266" s="2"/>
      <c r="BJ266" s="2"/>
      <c r="BK266" s="2"/>
    </row>
    <row r="267" spans="1:63" outlineLevel="1">
      <c r="A267" s="4" t="s">
        <v>1561</v>
      </c>
      <c r="C267" s="230">
        <f>C$263*'BTX recycling rates'!E93</f>
        <v>0.14561912839757954</v>
      </c>
      <c r="D267" s="230">
        <f>D$263*'BTX recycling rates'!F93</f>
        <v>0.15730611450532042</v>
      </c>
      <c r="E267" s="230">
        <f>E$263*'BTX recycling rates'!G93</f>
        <v>0.16916962010751455</v>
      </c>
      <c r="F267" s="230">
        <f>F$263*'BTX recycling rates'!H93</f>
        <v>0.18114052803946679</v>
      </c>
      <c r="G267" s="230">
        <f>G$263*'BTX recycling rates'!I93</f>
        <v>0.19314546704393326</v>
      </c>
      <c r="H267" s="230">
        <f>H$263*'BTX recycling rates'!J93</f>
        <v>0.20510753699620901</v>
      </c>
      <c r="I267" s="230">
        <f>I$263*'BTX recycling rates'!K93</f>
        <v>0.21741516851150822</v>
      </c>
      <c r="J267" s="230">
        <f>J$263*'BTX recycling rates'!L93</f>
        <v>0.23006485056822648</v>
      </c>
      <c r="K267" s="230">
        <f>K$263*'BTX recycling rates'!M93</f>
        <v>0.24305234437060161</v>
      </c>
      <c r="L267" s="230">
        <f>L$263*'BTX recycling rates'!N93</f>
        <v>0.25637267029644883</v>
      </c>
      <c r="M267" s="230">
        <f>M$263*'BTX recycling rates'!O93</f>
        <v>0.27002009650911513</v>
      </c>
      <c r="N267" s="230">
        <f>N$263*'BTX recycling rates'!P93</f>
        <v>0.29306781346859689</v>
      </c>
      <c r="O267" s="230">
        <f>O$263*'BTX recycling rates'!Q93</f>
        <v>0.31627669042379991</v>
      </c>
      <c r="P267" s="230">
        <f>P$263*'BTX recycling rates'!R93</f>
        <v>0.33952976025898179</v>
      </c>
      <c r="Q267" s="230">
        <f>Q$263*'BTX recycling rates'!S93</f>
        <v>0.36270606694805657</v>
      </c>
      <c r="R267" s="230">
        <f>R$263*'BTX recycling rates'!T93</f>
        <v>0.38568168310232342</v>
      </c>
      <c r="S267" s="230">
        <f>S$263*'BTX recycling rates'!U93</f>
        <v>0.40906646603700458</v>
      </c>
      <c r="T267" s="230">
        <f>T$263*'BTX recycling rates'!V93</f>
        <v>0.43285967758191379</v>
      </c>
      <c r="U267" s="230">
        <f>U$263*'BTX recycling rates'!W93</f>
        <v>0.45706038535723742</v>
      </c>
      <c r="V267" s="230">
        <f>V$263*'BTX recycling rates'!X93</f>
        <v>0.48166746040027408</v>
      </c>
      <c r="W267" s="230">
        <f>W$263*'BTX recycling rates'!Y93</f>
        <v>0.50667957489126436</v>
      </c>
      <c r="X267" s="230">
        <f>X$263*'BTX recycling rates'!Z93</f>
        <v>0.54575380071396151</v>
      </c>
      <c r="Y267" s="230">
        <f>Y$263*'BTX recycling rates'!AA93</f>
        <v>0.58551083577345142</v>
      </c>
      <c r="Z267" s="230">
        <f>Z$263*'BTX recycling rates'!AB93</f>
        <v>0.62594963257687097</v>
      </c>
      <c r="AA267" s="230">
        <f>AA$263*'BTX recycling rates'!AC93</f>
        <v>0.66706885245548087</v>
      </c>
      <c r="AB267" s="230">
        <f>AB$263*'BTX recycling rates'!AD93</f>
        <v>0.70886686220655504</v>
      </c>
      <c r="AC267" s="230">
        <f>AC$263*'BTX recycling rates'!AE93</f>
        <v>0.75134883423323851</v>
      </c>
      <c r="AD267" s="230">
        <f>AD$263*'BTX recycling rates'!AF93</f>
        <v>0.7945137707234794</v>
      </c>
      <c r="AE267" s="230">
        <f>AE$263*'BTX recycling rates'!AG93</f>
        <v>0.83836041067028944</v>
      </c>
      <c r="AF267" s="230">
        <f>AF$263*'BTX recycling rates'!AH93</f>
        <v>0.88288722695554223</v>
      </c>
      <c r="AG267" s="230">
        <f>AG$263*'BTX recycling rates'!AI93</f>
        <v>0.92809242354344212</v>
      </c>
      <c r="AH267" s="245"/>
      <c r="AI267" s="133"/>
      <c r="AJ267" s="211"/>
      <c r="AL267" s="108"/>
      <c r="AM267" s="2"/>
      <c r="AN267" s="2"/>
      <c r="AO267" s="2"/>
      <c r="BC267" s="1"/>
      <c r="BD267" s="2"/>
      <c r="BE267" s="2"/>
      <c r="BF267" s="2"/>
      <c r="BG267" s="2"/>
      <c r="BH267" s="2"/>
      <c r="BI267" s="2"/>
      <c r="BJ267" s="2"/>
      <c r="BK267" s="2"/>
    </row>
    <row r="268" spans="1:63" s="1" customFormat="1" outlineLevel="1">
      <c r="A268" s="1" t="s">
        <v>1562</v>
      </c>
      <c r="B268" s="65"/>
      <c r="C268" s="300">
        <f t="shared" ref="C268:AG268" si="130">C263-$C263</f>
        <v>0</v>
      </c>
      <c r="D268" s="300">
        <f t="shared" si="130"/>
        <v>7.4875470925794274E-2</v>
      </c>
      <c r="E268" s="300">
        <f t="shared" si="130"/>
        <v>0.150881856199644</v>
      </c>
      <c r="F268" s="300">
        <f t="shared" si="130"/>
        <v>0.22757634017961259</v>
      </c>
      <c r="G268" s="300">
        <f t="shared" si="130"/>
        <v>0.30448885236267176</v>
      </c>
      <c r="H268" s="300">
        <f t="shared" si="130"/>
        <v>0.38112671371263052</v>
      </c>
      <c r="I268" s="300">
        <f t="shared" si="130"/>
        <v>0.45997849784188449</v>
      </c>
      <c r="J268" s="300">
        <f t="shared" si="130"/>
        <v>0.54102171055101944</v>
      </c>
      <c r="K268" s="300">
        <f t="shared" si="130"/>
        <v>0.62422919498146412</v>
      </c>
      <c r="L268" s="300">
        <f t="shared" si="130"/>
        <v>0.70956904799303488</v>
      </c>
      <c r="M268" s="300">
        <f t="shared" si="130"/>
        <v>0.79700454720369873</v>
      </c>
      <c r="N268" s="300">
        <f t="shared" si="130"/>
        <v>0.94466525674818846</v>
      </c>
      <c r="O268" s="300">
        <f t="shared" si="130"/>
        <v>1.093358476339561</v>
      </c>
      <c r="P268" s="300">
        <f t="shared" si="130"/>
        <v>1.242334828183294</v>
      </c>
      <c r="Q268" s="300">
        <f t="shared" si="130"/>
        <v>1.3908193785769756</v>
      </c>
      <c r="R268" s="300">
        <f t="shared" si="130"/>
        <v>1.5380181570731328</v>
      </c>
      <c r="S268" s="300">
        <f t="shared" si="130"/>
        <v>1.6878383603821785</v>
      </c>
      <c r="T268" s="300">
        <f t="shared" si="130"/>
        <v>1.8402752592403129</v>
      </c>
      <c r="U268" s="300">
        <f t="shared" si="130"/>
        <v>1.9953228801333234</v>
      </c>
      <c r="V268" s="300">
        <f t="shared" si="130"/>
        <v>2.1529739900917213</v>
      </c>
      <c r="W268" s="300">
        <f t="shared" si="130"/>
        <v>2.3132200821207292</v>
      </c>
      <c r="X268" s="300">
        <f t="shared" si="130"/>
        <v>2.5635584527291648</v>
      </c>
      <c r="Y268" s="300">
        <f t="shared" si="130"/>
        <v>2.8182714039767851</v>
      </c>
      <c r="Z268" s="300">
        <f t="shared" si="130"/>
        <v>3.0773522248501006</v>
      </c>
      <c r="AA268" s="300">
        <f t="shared" si="130"/>
        <v>3.3407923388477494</v>
      </c>
      <c r="AB268" s="300">
        <f t="shared" si="130"/>
        <v>3.6085812824659591</v>
      </c>
      <c r="AC268" s="300">
        <f t="shared" si="130"/>
        <v>3.8807521939422287</v>
      </c>
      <c r="AD268" s="300">
        <f t="shared" si="130"/>
        <v>4.1572986805550665</v>
      </c>
      <c r="AE268" s="300">
        <f t="shared" si="130"/>
        <v>4.4382126633616883</v>
      </c>
      <c r="AF268" s="300">
        <f t="shared" si="130"/>
        <v>4.7234843585146731</v>
      </c>
      <c r="AG268" s="300">
        <f t="shared" si="130"/>
        <v>5.0131022592812542</v>
      </c>
      <c r="AH268" s="245"/>
      <c r="AI268" s="423"/>
      <c r="AJ268" s="424"/>
      <c r="AL268" s="221"/>
      <c r="AM268" s="124"/>
      <c r="AN268" s="124"/>
      <c r="AO268" s="124"/>
      <c r="BD268" s="124"/>
      <c r="BE268" s="124"/>
      <c r="BF268" s="124"/>
      <c r="BG268" s="124"/>
      <c r="BH268" s="124"/>
      <c r="BI268" s="124"/>
      <c r="BJ268" s="124"/>
      <c r="BK268" s="124"/>
    </row>
    <row r="269" spans="1:63" outlineLevel="1">
      <c r="A269" s="4" t="s">
        <v>474</v>
      </c>
      <c r="C269" s="230">
        <f t="shared" ref="C269:AG269" si="131">C264-$C264</f>
        <v>0</v>
      </c>
      <c r="D269" s="230">
        <f t="shared" si="131"/>
        <v>0</v>
      </c>
      <c r="E269" s="230">
        <f t="shared" si="131"/>
        <v>0</v>
      </c>
      <c r="F269" s="230">
        <f t="shared" si="131"/>
        <v>0</v>
      </c>
      <c r="G269" s="230">
        <f t="shared" si="131"/>
        <v>0</v>
      </c>
      <c r="H269" s="230">
        <f t="shared" si="131"/>
        <v>0</v>
      </c>
      <c r="I269" s="230">
        <f t="shared" si="131"/>
        <v>0</v>
      </c>
      <c r="J269" s="230">
        <f t="shared" si="131"/>
        <v>0</v>
      </c>
      <c r="K269" s="230">
        <f t="shared" si="131"/>
        <v>0</v>
      </c>
      <c r="L269" s="230">
        <f t="shared" si="131"/>
        <v>0</v>
      </c>
      <c r="M269" s="230">
        <f t="shared" si="131"/>
        <v>0</v>
      </c>
      <c r="N269" s="230">
        <f t="shared" si="131"/>
        <v>0</v>
      </c>
      <c r="O269" s="230">
        <f t="shared" si="131"/>
        <v>0</v>
      </c>
      <c r="P269" s="230">
        <f t="shared" si="131"/>
        <v>0</v>
      </c>
      <c r="Q269" s="230">
        <f t="shared" si="131"/>
        <v>0</v>
      </c>
      <c r="R269" s="230">
        <f t="shared" si="131"/>
        <v>0</v>
      </c>
      <c r="S269" s="230">
        <f t="shared" si="131"/>
        <v>0</v>
      </c>
      <c r="T269" s="230">
        <f t="shared" si="131"/>
        <v>0</v>
      </c>
      <c r="U269" s="230">
        <f t="shared" si="131"/>
        <v>0</v>
      </c>
      <c r="V269" s="230">
        <f t="shared" si="131"/>
        <v>0</v>
      </c>
      <c r="W269" s="230">
        <f t="shared" si="131"/>
        <v>0</v>
      </c>
      <c r="X269" s="230">
        <f t="shared" si="131"/>
        <v>0</v>
      </c>
      <c r="Y269" s="230">
        <f t="shared" si="131"/>
        <v>0</v>
      </c>
      <c r="Z269" s="230">
        <f t="shared" si="131"/>
        <v>0</v>
      </c>
      <c r="AA269" s="230">
        <f t="shared" si="131"/>
        <v>0</v>
      </c>
      <c r="AB269" s="230">
        <f t="shared" si="131"/>
        <v>0</v>
      </c>
      <c r="AC269" s="230">
        <f t="shared" si="131"/>
        <v>0</v>
      </c>
      <c r="AD269" s="230">
        <f t="shared" si="131"/>
        <v>0</v>
      </c>
      <c r="AE269" s="230">
        <f t="shared" si="131"/>
        <v>0</v>
      </c>
      <c r="AF269" s="230">
        <f t="shared" si="131"/>
        <v>0</v>
      </c>
      <c r="AG269" s="230">
        <f t="shared" si="131"/>
        <v>0</v>
      </c>
      <c r="AH269" s="245"/>
      <c r="AI269" s="133"/>
      <c r="AJ269" s="211"/>
      <c r="AL269" s="108"/>
      <c r="AM269" s="2"/>
      <c r="AN269" s="2"/>
      <c r="AO269" s="2"/>
      <c r="BC269" s="1"/>
      <c r="BD269" s="2"/>
      <c r="BE269" s="2"/>
      <c r="BF269" s="2"/>
      <c r="BG269" s="2"/>
      <c r="BH269" s="2"/>
      <c r="BI269" s="2"/>
      <c r="BJ269" s="2"/>
      <c r="BK269" s="2"/>
    </row>
    <row r="270" spans="1:63" outlineLevel="1">
      <c r="A270" s="4" t="s">
        <v>478</v>
      </c>
      <c r="C270" s="230">
        <f t="shared" ref="C270:AG272" si="132">C265-$C265</f>
        <v>0</v>
      </c>
      <c r="D270" s="230">
        <f t="shared" si="132"/>
        <v>2.1499644254806327E-2</v>
      </c>
      <c r="E270" s="230">
        <f t="shared" si="132"/>
        <v>4.3324017768276657E-2</v>
      </c>
      <c r="F270" s="230">
        <f t="shared" si="132"/>
        <v>6.5345971039320827E-2</v>
      </c>
      <c r="G270" s="230">
        <f t="shared" si="132"/>
        <v>8.7430528641877114E-2</v>
      </c>
      <c r="H270" s="230">
        <f t="shared" si="132"/>
        <v>0.10943622336540326</v>
      </c>
      <c r="I270" s="230">
        <f t="shared" si="132"/>
        <v>0.1320776209643027</v>
      </c>
      <c r="J270" s="230">
        <f t="shared" si="132"/>
        <v>0.15534826248373729</v>
      </c>
      <c r="K270" s="230">
        <f t="shared" si="132"/>
        <v>0.17924035013905004</v>
      </c>
      <c r="L270" s="230">
        <f t="shared" si="132"/>
        <v>0.2037447233045237</v>
      </c>
      <c r="M270" s="230">
        <f t="shared" si="132"/>
        <v>0.22885083756367391</v>
      </c>
      <c r="N270" s="230">
        <f t="shared" si="132"/>
        <v>0.27124993951743759</v>
      </c>
      <c r="O270" s="230">
        <f t="shared" si="132"/>
        <v>0.31394551504823554</v>
      </c>
      <c r="P270" s="230">
        <f t="shared" si="132"/>
        <v>0.3567223888016362</v>
      </c>
      <c r="Q270" s="230">
        <f t="shared" si="132"/>
        <v>0.39935804733342462</v>
      </c>
      <c r="R270" s="230">
        <f t="shared" si="132"/>
        <v>0.44162451101344391</v>
      </c>
      <c r="S270" s="230">
        <f t="shared" si="132"/>
        <v>0.48464368716686679</v>
      </c>
      <c r="T270" s="230">
        <f t="shared" si="132"/>
        <v>0.52841421783910536</v>
      </c>
      <c r="U270" s="230">
        <f t="shared" si="132"/>
        <v>0.57293438780314421</v>
      </c>
      <c r="V270" s="230">
        <f t="shared" si="132"/>
        <v>0.61820212019363607</v>
      </c>
      <c r="W270" s="230">
        <f t="shared" si="132"/>
        <v>0.66421497232328808</v>
      </c>
      <c r="X270" s="230">
        <f t="shared" si="132"/>
        <v>0.73609680284617429</v>
      </c>
      <c r="Y270" s="230">
        <f t="shared" si="132"/>
        <v>0.80923474470089629</v>
      </c>
      <c r="Z270" s="230">
        <f t="shared" si="132"/>
        <v>0.88362687089586611</v>
      </c>
      <c r="AA270" s="230">
        <f t="shared" si="132"/>
        <v>0.95927071878576187</v>
      </c>
      <c r="AB270" s="230">
        <f t="shared" si="132"/>
        <v>1.0361632838938701</v>
      </c>
      <c r="AC270" s="230">
        <f t="shared" si="132"/>
        <v>1.1143140814901271</v>
      </c>
      <c r="AD270" s="230">
        <f t="shared" si="132"/>
        <v>1.1937212759768911</v>
      </c>
      <c r="AE270" s="230">
        <f t="shared" si="132"/>
        <v>1.2743825475771551</v>
      </c>
      <c r="AF270" s="230">
        <f t="shared" si="132"/>
        <v>1.3562950869698369</v>
      </c>
      <c r="AG270" s="230">
        <f t="shared" si="132"/>
        <v>1.4394555901268227</v>
      </c>
      <c r="AH270" s="245"/>
      <c r="AI270" s="133"/>
      <c r="AJ270" s="211"/>
      <c r="AL270" s="108"/>
      <c r="AM270" s="2"/>
      <c r="AN270" s="2"/>
      <c r="AO270" s="2"/>
      <c r="BC270" s="1"/>
      <c r="BD270" s="2"/>
      <c r="BE270" s="2"/>
      <c r="BF270" s="2"/>
      <c r="BG270" s="2"/>
      <c r="BH270" s="2"/>
      <c r="BI270" s="2"/>
      <c r="BJ270" s="2"/>
      <c r="BK270" s="2"/>
    </row>
    <row r="271" spans="1:63" outlineLevel="1">
      <c r="A271" s="4" t="s">
        <v>745</v>
      </c>
      <c r="C271" s="230">
        <f t="shared" si="132"/>
        <v>0</v>
      </c>
      <c r="D271" s="230">
        <f t="shared" si="132"/>
        <v>4.1688840563247065E-2</v>
      </c>
      <c r="E271" s="230">
        <f t="shared" si="132"/>
        <v>8.4007346721432286E-2</v>
      </c>
      <c r="F271" s="230">
        <f t="shared" si="132"/>
        <v>0.12670896949840449</v>
      </c>
      <c r="G271" s="230">
        <f t="shared" si="132"/>
        <v>0.16953198507444089</v>
      </c>
      <c r="H271" s="230">
        <f t="shared" si="132"/>
        <v>0.21220208174859767</v>
      </c>
      <c r="I271" s="230">
        <f t="shared" si="132"/>
        <v>0.25610483676365303</v>
      </c>
      <c r="J271" s="230">
        <f t="shared" si="132"/>
        <v>0.30122772589663516</v>
      </c>
      <c r="K271" s="230">
        <f t="shared" si="132"/>
        <v>0.34755562886939195</v>
      </c>
      <c r="L271" s="230">
        <f t="shared" si="132"/>
        <v>0.39507078278964181</v>
      </c>
      <c r="M271" s="230">
        <f t="shared" si="132"/>
        <v>0.44375274152848909</v>
      </c>
      <c r="N271" s="230">
        <f t="shared" si="132"/>
        <v>0.52596663215973349</v>
      </c>
      <c r="O271" s="230">
        <f t="shared" si="132"/>
        <v>0.60875539926510502</v>
      </c>
      <c r="P271" s="230">
        <f t="shared" si="132"/>
        <v>0.69170180752025556</v>
      </c>
      <c r="Q271" s="230">
        <f t="shared" si="132"/>
        <v>0.77437439269307384</v>
      </c>
      <c r="R271" s="230">
        <f t="shared" si="132"/>
        <v>0.85633109135494501</v>
      </c>
      <c r="S271" s="230">
        <f t="shared" si="132"/>
        <v>0.93974733557588641</v>
      </c>
      <c r="T271" s="230">
        <f t="shared" si="132"/>
        <v>1.0246204922168731</v>
      </c>
      <c r="U271" s="230">
        <f t="shared" si="132"/>
        <v>1.1109472353705212</v>
      </c>
      <c r="V271" s="230">
        <f t="shared" si="132"/>
        <v>1.1987235378953907</v>
      </c>
      <c r="W271" s="230">
        <f t="shared" si="132"/>
        <v>1.2879446633037559</v>
      </c>
      <c r="X271" s="230">
        <f t="shared" si="132"/>
        <v>1.4273269775666084</v>
      </c>
      <c r="Y271" s="230">
        <f t="shared" si="132"/>
        <v>1.5691449519000167</v>
      </c>
      <c r="Z271" s="230">
        <f t="shared" si="132"/>
        <v>1.7133948497749429</v>
      </c>
      <c r="AA271" s="230">
        <f t="shared" si="132"/>
        <v>1.8600718960040861</v>
      </c>
      <c r="AB271" s="230">
        <f t="shared" si="132"/>
        <v>2.0091702647631133</v>
      </c>
      <c r="AC271" s="230">
        <f t="shared" si="132"/>
        <v>2.1607084066164424</v>
      </c>
      <c r="AD271" s="230">
        <f t="shared" si="132"/>
        <v>2.3146827622522754</v>
      </c>
      <c r="AE271" s="230">
        <f t="shared" si="132"/>
        <v>2.4710888335118231</v>
      </c>
      <c r="AF271" s="230">
        <f t="shared" si="132"/>
        <v>2.6299211729868732</v>
      </c>
      <c r="AG271" s="230">
        <f t="shared" si="132"/>
        <v>2.7911733740085687</v>
      </c>
      <c r="AH271" s="245"/>
      <c r="AI271" s="133"/>
      <c r="AJ271" s="211"/>
      <c r="AL271" s="108"/>
      <c r="AM271" s="2"/>
      <c r="AN271" s="2"/>
      <c r="AO271" s="2"/>
      <c r="BC271" s="1"/>
      <c r="BD271" s="2"/>
      <c r="BE271" s="2"/>
      <c r="BF271" s="2"/>
      <c r="BG271" s="2"/>
      <c r="BH271" s="2"/>
      <c r="BI271" s="2"/>
      <c r="BJ271" s="2"/>
      <c r="BK271" s="2"/>
    </row>
    <row r="272" spans="1:63" outlineLevel="1">
      <c r="A272" s="4" t="s">
        <v>1561</v>
      </c>
      <c r="C272" s="230">
        <f t="shared" si="132"/>
        <v>0</v>
      </c>
      <c r="D272" s="230">
        <f t="shared" si="132"/>
        <v>1.1686986107740882E-2</v>
      </c>
      <c r="E272" s="230">
        <f t="shared" si="132"/>
        <v>2.3550491709935006E-2</v>
      </c>
      <c r="F272" s="230">
        <f t="shared" si="132"/>
        <v>3.5521399641887247E-2</v>
      </c>
      <c r="G272" s="230">
        <f t="shared" si="132"/>
        <v>4.7526338646353722E-2</v>
      </c>
      <c r="H272" s="230">
        <f t="shared" si="132"/>
        <v>5.9488408598629472E-2</v>
      </c>
      <c r="I272" s="230">
        <f t="shared" si="132"/>
        <v>7.1796040113928677E-2</v>
      </c>
      <c r="J272" s="230">
        <f t="shared" si="132"/>
        <v>8.4445722170646942E-2</v>
      </c>
      <c r="K272" s="230">
        <f t="shared" si="132"/>
        <v>9.7433215973022069E-2</v>
      </c>
      <c r="L272" s="230">
        <f t="shared" si="132"/>
        <v>0.1107535418988693</v>
      </c>
      <c r="M272" s="230">
        <f t="shared" si="132"/>
        <v>0.12440096811153559</v>
      </c>
      <c r="N272" s="230">
        <f t="shared" si="132"/>
        <v>0.14744868507101735</v>
      </c>
      <c r="O272" s="230">
        <f t="shared" si="132"/>
        <v>0.17065756202622037</v>
      </c>
      <c r="P272" s="230">
        <f t="shared" si="132"/>
        <v>0.19391063186140226</v>
      </c>
      <c r="Q272" s="230">
        <f t="shared" si="132"/>
        <v>0.21708693855047703</v>
      </c>
      <c r="R272" s="230">
        <f t="shared" si="132"/>
        <v>0.24006255470474389</v>
      </c>
      <c r="S272" s="230">
        <f t="shared" si="132"/>
        <v>0.26344733763942507</v>
      </c>
      <c r="T272" s="230">
        <f t="shared" si="132"/>
        <v>0.28724054918433428</v>
      </c>
      <c r="U272" s="230">
        <f t="shared" si="132"/>
        <v>0.31144125695965785</v>
      </c>
      <c r="V272" s="230">
        <f t="shared" si="132"/>
        <v>0.33604833200269457</v>
      </c>
      <c r="W272" s="230">
        <f t="shared" si="132"/>
        <v>0.36106044649368485</v>
      </c>
      <c r="X272" s="230">
        <f t="shared" si="132"/>
        <v>0.400134672316382</v>
      </c>
      <c r="Y272" s="230">
        <f t="shared" si="132"/>
        <v>0.43989170737587191</v>
      </c>
      <c r="Z272" s="230">
        <f t="shared" si="132"/>
        <v>0.48033050417929146</v>
      </c>
      <c r="AA272" s="230">
        <f t="shared" si="132"/>
        <v>0.52144972405790135</v>
      </c>
      <c r="AB272" s="230">
        <f t="shared" si="132"/>
        <v>0.56324773380897553</v>
      </c>
      <c r="AC272" s="230">
        <f t="shared" si="132"/>
        <v>0.60572970583565899</v>
      </c>
      <c r="AD272" s="230">
        <f t="shared" si="132"/>
        <v>0.64889464232589988</v>
      </c>
      <c r="AE272" s="230">
        <f t="shared" si="132"/>
        <v>0.69274128227270992</v>
      </c>
      <c r="AF272" s="230">
        <f t="shared" si="132"/>
        <v>0.73726809855796271</v>
      </c>
      <c r="AG272" s="230">
        <f t="shared" si="132"/>
        <v>0.78247329514586261</v>
      </c>
      <c r="AH272" s="245"/>
      <c r="AI272" s="133"/>
      <c r="AJ272" s="211"/>
      <c r="AL272" s="108"/>
      <c r="AM272" s="2"/>
      <c r="AN272" s="2"/>
      <c r="AO272" s="2"/>
      <c r="BC272" s="1"/>
      <c r="BD272" s="2"/>
      <c r="BE272" s="2"/>
      <c r="BF272" s="2"/>
      <c r="BG272" s="2"/>
      <c r="BH272" s="2"/>
      <c r="BI272" s="2"/>
      <c r="BJ272" s="2"/>
      <c r="BK272" s="2"/>
    </row>
    <row r="273" spans="1:41" outlineLevel="2">
      <c r="C273" s="113"/>
      <c r="D273" s="110"/>
      <c r="E273" s="110"/>
      <c r="F273" s="110"/>
      <c r="G273" s="110"/>
      <c r="H273" s="110"/>
      <c r="I273" s="110"/>
      <c r="J273" s="110"/>
      <c r="K273" s="110"/>
      <c r="L273" s="110"/>
      <c r="M273" s="121"/>
      <c r="N273" s="121"/>
      <c r="O273" s="121"/>
      <c r="P273" s="121"/>
      <c r="Q273" s="121"/>
      <c r="R273" s="121"/>
      <c r="S273" s="121"/>
      <c r="T273" s="121"/>
      <c r="U273" s="121"/>
      <c r="V273" s="121"/>
      <c r="W273" s="121"/>
      <c r="X273" s="23"/>
      <c r="Y273" s="23"/>
      <c r="Z273" s="23"/>
      <c r="AA273" s="23"/>
      <c r="AB273" s="23"/>
      <c r="AC273" s="23"/>
      <c r="AD273" s="23"/>
      <c r="AE273" s="23"/>
      <c r="AF273" s="23"/>
      <c r="AG273" s="106"/>
      <c r="AJ273" s="211"/>
    </row>
    <row r="274" spans="1:41" s="200" customFormat="1" ht="16" thickBot="1">
      <c r="A274" s="227" t="s">
        <v>1640</v>
      </c>
      <c r="B274" s="228"/>
      <c r="C274" s="229">
        <f>(C42*C66+C43*C142+C45*C205+C44*C244+C46*C261)/C47</f>
        <v>0.11866936746243609</v>
      </c>
      <c r="D274" s="229">
        <f t="shared" ref="D274:AG274" si="133">(D42*D66+D43*D142+D45*D205+D44*D244+D46*D261)/D47</f>
        <v>0.10295196589194812</v>
      </c>
      <c r="E274" s="229">
        <f t="shared" si="133"/>
        <v>0.10884570987021745</v>
      </c>
      <c r="F274" s="229">
        <f t="shared" si="133"/>
        <v>0.11479676816420607</v>
      </c>
      <c r="G274" s="229">
        <f t="shared" si="133"/>
        <v>0.12080579071262977</v>
      </c>
      <c r="H274" s="229">
        <f t="shared" si="133"/>
        <v>0.12687342745420435</v>
      </c>
      <c r="I274" s="229">
        <f t="shared" si="133"/>
        <v>0.13300032832764569</v>
      </c>
      <c r="J274" s="229">
        <f t="shared" si="133"/>
        <v>0.13918714327166962</v>
      </c>
      <c r="K274" s="229">
        <f t="shared" si="133"/>
        <v>0.14543452222499184</v>
      </c>
      <c r="L274" s="229">
        <f t="shared" si="133"/>
        <v>0.15174311512632835</v>
      </c>
      <c r="M274" s="229">
        <f t="shared" si="133"/>
        <v>0.15811357191439487</v>
      </c>
      <c r="N274" s="229">
        <f t="shared" si="133"/>
        <v>0.16930332771089218</v>
      </c>
      <c r="O274" s="229">
        <f t="shared" si="133"/>
        <v>0.18057519083701526</v>
      </c>
      <c r="P274" s="229">
        <f t="shared" si="133"/>
        <v>0.19192416733333928</v>
      </c>
      <c r="Q274" s="229">
        <f t="shared" si="133"/>
        <v>0.20335812947162471</v>
      </c>
      <c r="R274" s="229">
        <f t="shared" si="133"/>
        <v>0.21487848497719286</v>
      </c>
      <c r="S274" s="229">
        <f t="shared" si="133"/>
        <v>0.22648664115805672</v>
      </c>
      <c r="T274" s="229">
        <f t="shared" si="133"/>
        <v>0.23818400490507619</v>
      </c>
      <c r="U274" s="229">
        <f t="shared" si="133"/>
        <v>0.24997198269211238</v>
      </c>
      <c r="V274" s="229">
        <f t="shared" si="133"/>
        <v>0.26185198057618203</v>
      </c>
      <c r="W274" s="229">
        <f t="shared" si="133"/>
        <v>0.27382540419761203</v>
      </c>
      <c r="X274" s="229">
        <f t="shared" si="133"/>
        <v>0.2921231272290421</v>
      </c>
      <c r="Y274" s="229">
        <f t="shared" si="133"/>
        <v>0.3105478813692687</v>
      </c>
      <c r="Z274" s="229">
        <f t="shared" si="133"/>
        <v>0.32909502761695586</v>
      </c>
      <c r="AA274" s="229">
        <f t="shared" si="133"/>
        <v>0.34777500239060721</v>
      </c>
      <c r="AB274" s="229">
        <f t="shared" si="133"/>
        <v>0.36659025941553908</v>
      </c>
      <c r="AC274" s="229">
        <f t="shared" si="133"/>
        <v>0.38554325060075822</v>
      </c>
      <c r="AD274" s="229">
        <f t="shared" si="133"/>
        <v>0.40463642604064054</v>
      </c>
      <c r="AE274" s="229">
        <f t="shared" si="133"/>
        <v>0.42387223401661128</v>
      </c>
      <c r="AF274" s="229">
        <f t="shared" si="133"/>
        <v>0.44325312099881981</v>
      </c>
      <c r="AG274" s="229">
        <f t="shared" si="133"/>
        <v>0.46278153164781666</v>
      </c>
      <c r="AJ274" s="479" t="s">
        <v>1585</v>
      </c>
      <c r="AL274" s="217"/>
      <c r="AM274" s="225"/>
      <c r="AN274" s="225"/>
      <c r="AO274" s="225"/>
    </row>
    <row r="275" spans="1:41" s="200" customFormat="1" ht="17" thickTop="1" thickBot="1">
      <c r="A275" s="227" t="s">
        <v>1356</v>
      </c>
      <c r="B275" s="228"/>
      <c r="C275" s="229">
        <f t="shared" ref="C275:AG275" si="134">(C14*C49+C123*C15+C17*C188+C240*C16+C257*C18)/C19</f>
        <v>0.10392620862112158</v>
      </c>
      <c r="D275" s="229">
        <f t="shared" si="134"/>
        <v>0.10914907209487128</v>
      </c>
      <c r="E275" s="229">
        <f t="shared" si="134"/>
        <v>0.11437193556862101</v>
      </c>
      <c r="F275" s="229">
        <f t="shared" si="134"/>
        <v>0.11959479904237068</v>
      </c>
      <c r="G275" s="229">
        <f t="shared" si="134"/>
        <v>0.12481766251612042</v>
      </c>
      <c r="H275" s="229">
        <f t="shared" si="134"/>
        <v>0.13004052598987015</v>
      </c>
      <c r="I275" s="229">
        <f t="shared" si="134"/>
        <v>0.13526338946361988</v>
      </c>
      <c r="J275" s="229">
        <f t="shared" si="134"/>
        <v>0.14048625293736958</v>
      </c>
      <c r="K275" s="229">
        <f t="shared" si="134"/>
        <v>0.1457091164111193</v>
      </c>
      <c r="L275" s="229">
        <f t="shared" si="134"/>
        <v>0.15093197988486898</v>
      </c>
      <c r="M275" s="229">
        <f t="shared" si="134"/>
        <v>0.15615484335861871</v>
      </c>
      <c r="N275" s="229">
        <f t="shared" si="134"/>
        <v>0.16716303252636805</v>
      </c>
      <c r="O275" s="229">
        <f t="shared" si="134"/>
        <v>0.17817122169411745</v>
      </c>
      <c r="P275" s="229">
        <f t="shared" si="134"/>
        <v>0.18917941086186682</v>
      </c>
      <c r="Q275" s="229">
        <f t="shared" si="134"/>
        <v>0.20018760002961619</v>
      </c>
      <c r="R275" s="229">
        <f t="shared" si="134"/>
        <v>0.21119578919736562</v>
      </c>
      <c r="S275" s="229">
        <f t="shared" si="134"/>
        <v>0.22220397836511507</v>
      </c>
      <c r="T275" s="229">
        <f t="shared" si="134"/>
        <v>0.23321216753286442</v>
      </c>
      <c r="U275" s="229">
        <f t="shared" si="134"/>
        <v>0.24422035670061382</v>
      </c>
      <c r="V275" s="229">
        <f t="shared" si="134"/>
        <v>0.25522854586836319</v>
      </c>
      <c r="W275" s="229">
        <f t="shared" si="134"/>
        <v>0.26623673503611256</v>
      </c>
      <c r="X275" s="229">
        <f t="shared" si="134"/>
        <v>0.28465546566672584</v>
      </c>
      <c r="Y275" s="229">
        <f t="shared" si="134"/>
        <v>0.30307419629733917</v>
      </c>
      <c r="Z275" s="229">
        <f t="shared" si="134"/>
        <v>0.32149292692795245</v>
      </c>
      <c r="AA275" s="229">
        <f t="shared" si="134"/>
        <v>0.33991165755856578</v>
      </c>
      <c r="AB275" s="229">
        <f t="shared" si="134"/>
        <v>0.35833038818917906</v>
      </c>
      <c r="AC275" s="229">
        <f t="shared" si="134"/>
        <v>0.37674911881979239</v>
      </c>
      <c r="AD275" s="229">
        <f t="shared" si="134"/>
        <v>0.39516784945040562</v>
      </c>
      <c r="AE275" s="229">
        <f t="shared" si="134"/>
        <v>0.4135865800810189</v>
      </c>
      <c r="AF275" s="229">
        <f t="shared" si="134"/>
        <v>0.43200531071163223</v>
      </c>
      <c r="AG275" s="229">
        <f t="shared" si="134"/>
        <v>0.45042404134224556</v>
      </c>
      <c r="AJ275" s="226" t="s">
        <v>1357</v>
      </c>
      <c r="AL275" s="217"/>
      <c r="AM275" s="225"/>
      <c r="AN275" s="225"/>
      <c r="AO275" s="225"/>
    </row>
    <row r="276" spans="1:41" ht="16" thickTop="1">
      <c r="B276" s="130"/>
      <c r="C276" s="113"/>
      <c r="D276" s="23"/>
      <c r="E276" s="23"/>
      <c r="F276" s="23"/>
      <c r="G276" s="23"/>
      <c r="H276" s="23"/>
      <c r="I276" s="23"/>
      <c r="J276" s="23"/>
      <c r="K276" s="23"/>
      <c r="L276" s="23"/>
      <c r="M276" s="126"/>
      <c r="N276" s="110"/>
      <c r="O276" s="110"/>
      <c r="P276" s="110"/>
      <c r="Q276" s="110"/>
      <c r="R276" s="110"/>
      <c r="S276" s="110"/>
      <c r="T276" s="110"/>
      <c r="U276" s="110"/>
      <c r="V276" s="110"/>
      <c r="W276" s="126"/>
      <c r="X276" s="110"/>
      <c r="Y276" s="110"/>
      <c r="Z276" s="110"/>
      <c r="AA276" s="110"/>
      <c r="AB276" s="110"/>
      <c r="AC276" s="110"/>
      <c r="AD276" s="110"/>
      <c r="AE276" s="110"/>
      <c r="AF276" s="110"/>
      <c r="AG276" s="113"/>
    </row>
    <row r="277" spans="1:41">
      <c r="A277" t="s">
        <v>1641</v>
      </c>
      <c r="B277" s="130"/>
      <c r="C277" s="230">
        <f>C263+C246+C229+C219+C209+C177+C167+C157+C147+C112+C102+C92+C82+C72</f>
        <v>6.1470184945809105</v>
      </c>
      <c r="D277" s="230">
        <f t="shared" ref="D277:AG277" si="135">D263+D246+D229+D219+D209+D177+D167+D157+D147+D112+D102+D92+D82+D72</f>
        <v>6.5918673772683558</v>
      </c>
      <c r="E277" s="230">
        <f t="shared" si="135"/>
        <v>7.1488048815287524</v>
      </c>
      <c r="F277" s="230">
        <f t="shared" si="135"/>
        <v>7.7187271428009527</v>
      </c>
      <c r="G277" s="230">
        <f t="shared" si="135"/>
        <v>8.2987524751611126</v>
      </c>
      <c r="H277" s="230">
        <f t="shared" si="135"/>
        <v>8.8857564734805656</v>
      </c>
      <c r="I277" s="230">
        <f t="shared" si="135"/>
        <v>9.4968403576145057</v>
      </c>
      <c r="J277" s="230">
        <f t="shared" si="135"/>
        <v>10.132414840923506</v>
      </c>
      <c r="K277" s="230">
        <f t="shared" si="135"/>
        <v>10.792867488508211</v>
      </c>
      <c r="L277" s="230">
        <f t="shared" si="135"/>
        <v>11.478560707668674</v>
      </c>
      <c r="M277" s="230">
        <f t="shared" si="135"/>
        <v>12.18982971377074</v>
      </c>
      <c r="N277" s="230">
        <f t="shared" si="135"/>
        <v>13.356020014020505</v>
      </c>
      <c r="O277" s="230">
        <f t="shared" si="135"/>
        <v>14.547915820586532</v>
      </c>
      <c r="P277" s="230">
        <f t="shared" si="135"/>
        <v>15.761365552630705</v>
      </c>
      <c r="Q277" s="230">
        <f t="shared" si="135"/>
        <v>16.990567755239745</v>
      </c>
      <c r="R277" s="230">
        <f t="shared" si="135"/>
        <v>18.229960967784073</v>
      </c>
      <c r="S277" s="230">
        <f t="shared" si="135"/>
        <v>19.508782585754233</v>
      </c>
      <c r="T277" s="230">
        <f t="shared" si="135"/>
        <v>20.827944787428695</v>
      </c>
      <c r="U277" s="230">
        <f t="shared" si="135"/>
        <v>22.18836639306538</v>
      </c>
      <c r="V277" s="230">
        <f t="shared" si="135"/>
        <v>23.590972316525136</v>
      </c>
      <c r="W277" s="230">
        <f t="shared" si="135"/>
        <v>25.036692995614104</v>
      </c>
      <c r="X277" s="230">
        <f t="shared" si="135"/>
        <v>27.226871936462267</v>
      </c>
      <c r="Y277" s="230">
        <f t="shared" si="135"/>
        <v>29.487706240608638</v>
      </c>
      <c r="Z277" s="230">
        <f t="shared" si="135"/>
        <v>31.823946228548404</v>
      </c>
      <c r="AA277" s="230">
        <f t="shared" si="135"/>
        <v>34.234730551775755</v>
      </c>
      <c r="AB277" s="230">
        <f t="shared" si="135"/>
        <v>36.721742865197712</v>
      </c>
      <c r="AC277" s="230">
        <f t="shared" si="135"/>
        <v>39.287048989869859</v>
      </c>
      <c r="AD277" s="230">
        <f t="shared" si="135"/>
        <v>41.932428759326513</v>
      </c>
      <c r="AE277" s="230">
        <f t="shared" si="135"/>
        <v>44.659675631633803</v>
      </c>
      <c r="AF277" s="230">
        <f t="shared" si="135"/>
        <v>47.470595845121537</v>
      </c>
      <c r="AG277" s="230">
        <f t="shared" si="135"/>
        <v>50.367007543324213</v>
      </c>
      <c r="AI277" s="23">
        <f>(AG277/C277)^(1/30)-1</f>
        <v>7.2628637188090872E-2</v>
      </c>
      <c r="AJ277" s="517">
        <f>AG277-C277</f>
        <v>44.219989048743301</v>
      </c>
    </row>
    <row r="278" spans="1:41">
      <c r="A278" t="s">
        <v>1642</v>
      </c>
      <c r="B278" s="130"/>
      <c r="C278" s="230">
        <f>C277</f>
        <v>6.1470184945809105</v>
      </c>
      <c r="D278" s="230">
        <f>C278*(1+$AI$278)</f>
        <v>6.2496737034404113</v>
      </c>
      <c r="E278" s="230">
        <f t="shared" ref="E278:AG278" si="136">D278*(1+$AI$278)</f>
        <v>6.3540432542878662</v>
      </c>
      <c r="F278" s="230">
        <f t="shared" si="136"/>
        <v>6.4601557766344735</v>
      </c>
      <c r="G278" s="230">
        <f t="shared" si="136"/>
        <v>6.5680403781042687</v>
      </c>
      <c r="H278" s="230">
        <f t="shared" si="136"/>
        <v>6.6777266524186096</v>
      </c>
      <c r="I278" s="230">
        <f t="shared" si="136"/>
        <v>6.7892446875139996</v>
      </c>
      <c r="J278" s="230">
        <f t="shared" si="136"/>
        <v>6.9026250737954831</v>
      </c>
      <c r="K278" s="230">
        <f t="shared" si="136"/>
        <v>7.0178989125278672</v>
      </c>
      <c r="L278" s="230">
        <f t="shared" si="136"/>
        <v>7.1350978243670822</v>
      </c>
      <c r="M278" s="230">
        <f>L278*(1+$AI$278)</f>
        <v>7.2542539580340124</v>
      </c>
      <c r="N278" s="230">
        <f t="shared" si="136"/>
        <v>7.3753999991331796</v>
      </c>
      <c r="O278" s="230">
        <f t="shared" si="136"/>
        <v>7.4985691791187028</v>
      </c>
      <c r="P278" s="230">
        <f t="shared" si="136"/>
        <v>7.6237952844099848</v>
      </c>
      <c r="Q278" s="230">
        <f t="shared" si="136"/>
        <v>7.7511126656596314</v>
      </c>
      <c r="R278" s="230">
        <f t="shared" si="136"/>
        <v>7.8805562471761466</v>
      </c>
      <c r="S278" s="230">
        <f t="shared" si="136"/>
        <v>8.0121615365039869</v>
      </c>
      <c r="T278" s="230">
        <f t="shared" si="136"/>
        <v>8.1459646341636027</v>
      </c>
      <c r="U278" s="230">
        <f t="shared" si="136"/>
        <v>8.2820022435541336</v>
      </c>
      <c r="V278" s="230">
        <f t="shared" si="136"/>
        <v>8.420311681021488</v>
      </c>
      <c r="W278" s="230">
        <f t="shared" si="136"/>
        <v>8.5609308860945461</v>
      </c>
      <c r="X278" s="230">
        <f t="shared" si="136"/>
        <v>8.7038984318923251</v>
      </c>
      <c r="Y278" s="230">
        <f t="shared" si="136"/>
        <v>8.8492535357049267</v>
      </c>
      <c r="Z278" s="230">
        <f t="shared" si="136"/>
        <v>8.9970360697511982</v>
      </c>
      <c r="AA278" s="230">
        <f t="shared" si="136"/>
        <v>9.1472865721160428</v>
      </c>
      <c r="AB278" s="230">
        <f t="shared" si="136"/>
        <v>9.3000462578703793</v>
      </c>
      <c r="AC278" s="230">
        <f t="shared" si="136"/>
        <v>9.4553570303768133</v>
      </c>
      <c r="AD278" s="230">
        <f t="shared" si="136"/>
        <v>9.6132614927841047</v>
      </c>
      <c r="AE278" s="230">
        <f t="shared" si="136"/>
        <v>9.7738029597135991</v>
      </c>
      <c r="AF278" s="230">
        <f t="shared" si="136"/>
        <v>9.9370254691408153</v>
      </c>
      <c r="AG278" s="230">
        <f t="shared" si="136"/>
        <v>10.102973794475467</v>
      </c>
      <c r="AI278" s="214">
        <v>1.67E-2</v>
      </c>
      <c r="AJ278" s="3" t="s">
        <v>1360</v>
      </c>
    </row>
    <row r="279" spans="1:41">
      <c r="B279" s="51"/>
    </row>
    <row r="280" spans="1:41" s="58" customFormat="1">
      <c r="A280" s="58" t="s">
        <v>1361</v>
      </c>
      <c r="B280" s="303"/>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c r="AA280" s="304"/>
      <c r="AB280" s="304"/>
      <c r="AC280" s="304"/>
      <c r="AD280" s="304"/>
      <c r="AE280" s="304"/>
      <c r="AF280" s="304"/>
      <c r="AG280" s="304"/>
      <c r="AI280" s="305"/>
      <c r="AJ280" s="306"/>
    </row>
    <row r="281" spans="1:41" s="190" customFormat="1" outlineLevel="1">
      <c r="A281" s="344" t="s">
        <v>1362</v>
      </c>
      <c r="B281" s="318" t="s">
        <v>462</v>
      </c>
      <c r="C281" s="319">
        <v>0.84</v>
      </c>
      <c r="D281" s="320">
        <f>-($C281-$AG281)/30+C281</f>
        <v>0.83566666666666667</v>
      </c>
      <c r="E281" s="320">
        <f t="shared" ref="E281:T281" si="137">-($C281-$AG281)/30+D281</f>
        <v>0.83133333333333337</v>
      </c>
      <c r="F281" s="320">
        <f t="shared" si="137"/>
        <v>0.82700000000000007</v>
      </c>
      <c r="G281" s="320">
        <f t="shared" si="137"/>
        <v>0.82266666666666677</v>
      </c>
      <c r="H281" s="320">
        <f t="shared" si="137"/>
        <v>0.81833333333333347</v>
      </c>
      <c r="I281" s="320">
        <f t="shared" si="137"/>
        <v>0.81400000000000017</v>
      </c>
      <c r="J281" s="320">
        <f t="shared" si="137"/>
        <v>0.80966666666666687</v>
      </c>
      <c r="K281" s="320">
        <f t="shared" si="137"/>
        <v>0.80533333333333357</v>
      </c>
      <c r="L281" s="320">
        <f t="shared" si="137"/>
        <v>0.80100000000000027</v>
      </c>
      <c r="M281" s="320">
        <f t="shared" si="137"/>
        <v>0.79666666666666697</v>
      </c>
      <c r="N281" s="320">
        <f t="shared" si="137"/>
        <v>0.79233333333333367</v>
      </c>
      <c r="O281" s="320">
        <f t="shared" si="137"/>
        <v>0.78800000000000037</v>
      </c>
      <c r="P281" s="320">
        <f t="shared" si="137"/>
        <v>0.78366666666666707</v>
      </c>
      <c r="Q281" s="320">
        <f t="shared" si="137"/>
        <v>0.77933333333333377</v>
      </c>
      <c r="R281" s="320">
        <f t="shared" si="137"/>
        <v>0.77500000000000047</v>
      </c>
      <c r="S281" s="320">
        <f t="shared" si="137"/>
        <v>0.77066666666666717</v>
      </c>
      <c r="T281" s="320">
        <f t="shared" si="137"/>
        <v>0.76633333333333387</v>
      </c>
      <c r="U281" s="320">
        <f t="shared" ref="T281:AF287" si="138">-($C281-$AG281)/30+T281</f>
        <v>0.76200000000000057</v>
      </c>
      <c r="V281" s="320">
        <f t="shared" si="138"/>
        <v>0.75766666666666727</v>
      </c>
      <c r="W281" s="320">
        <f t="shared" si="138"/>
        <v>0.75333333333333397</v>
      </c>
      <c r="X281" s="320">
        <f t="shared" si="138"/>
        <v>0.74900000000000067</v>
      </c>
      <c r="Y281" s="320">
        <f t="shared" si="138"/>
        <v>0.74466666666666737</v>
      </c>
      <c r="Z281" s="320">
        <f t="shared" si="138"/>
        <v>0.74033333333333406</v>
      </c>
      <c r="AA281" s="320">
        <f t="shared" si="138"/>
        <v>0.73600000000000076</v>
      </c>
      <c r="AB281" s="320">
        <f t="shared" si="138"/>
        <v>0.73166666666666746</v>
      </c>
      <c r="AC281" s="320">
        <f t="shared" si="138"/>
        <v>0.72733333333333416</v>
      </c>
      <c r="AD281" s="320">
        <f t="shared" si="138"/>
        <v>0.72300000000000086</v>
      </c>
      <c r="AE281" s="320">
        <f t="shared" si="138"/>
        <v>0.71866666666666756</v>
      </c>
      <c r="AF281" s="320">
        <f t="shared" si="138"/>
        <v>0.71433333333333426</v>
      </c>
      <c r="AG281" s="319">
        <v>0.71</v>
      </c>
      <c r="AI281" s="321"/>
      <c r="AJ281" s="322" t="s">
        <v>1363</v>
      </c>
    </row>
    <row r="282" spans="1:41" outlineLevel="1">
      <c r="A282" s="3" t="s">
        <v>90</v>
      </c>
      <c r="B282" s="302" t="s">
        <v>462</v>
      </c>
      <c r="C282" s="296">
        <v>0.16</v>
      </c>
      <c r="D282" s="317">
        <f t="shared" ref="D282:S287" si="139">-($C282-$AG282)/30+C282</f>
        <v>0.16206666666666666</v>
      </c>
      <c r="E282" s="317">
        <f t="shared" si="139"/>
        <v>0.16413333333333333</v>
      </c>
      <c r="F282" s="317">
        <f t="shared" si="139"/>
        <v>0.16619999999999999</v>
      </c>
      <c r="G282" s="317">
        <f t="shared" si="139"/>
        <v>0.16826666666666665</v>
      </c>
      <c r="H282" s="317">
        <f t="shared" si="139"/>
        <v>0.17033333333333331</v>
      </c>
      <c r="I282" s="317">
        <f t="shared" si="139"/>
        <v>0.17239999999999997</v>
      </c>
      <c r="J282" s="317">
        <f t="shared" si="139"/>
        <v>0.17446666666666663</v>
      </c>
      <c r="K282" s="317">
        <f t="shared" si="139"/>
        <v>0.17653333333333329</v>
      </c>
      <c r="L282" s="317">
        <f t="shared" si="139"/>
        <v>0.17859999999999995</v>
      </c>
      <c r="M282" s="317">
        <f t="shared" si="139"/>
        <v>0.18066666666666661</v>
      </c>
      <c r="N282" s="317">
        <f t="shared" si="139"/>
        <v>0.18273333333333328</v>
      </c>
      <c r="O282" s="317">
        <f t="shared" si="139"/>
        <v>0.18479999999999994</v>
      </c>
      <c r="P282" s="317">
        <f t="shared" si="139"/>
        <v>0.1868666666666666</v>
      </c>
      <c r="Q282" s="317">
        <f t="shared" si="139"/>
        <v>0.18893333333333326</v>
      </c>
      <c r="R282" s="317">
        <f t="shared" si="139"/>
        <v>0.19099999999999992</v>
      </c>
      <c r="S282" s="317">
        <f t="shared" si="139"/>
        <v>0.19306666666666658</v>
      </c>
      <c r="T282" s="317">
        <f t="shared" si="138"/>
        <v>0.19513333333333324</v>
      </c>
      <c r="U282" s="317">
        <f t="shared" si="138"/>
        <v>0.1971999999999999</v>
      </c>
      <c r="V282" s="317">
        <f t="shared" si="138"/>
        <v>0.19926666666666656</v>
      </c>
      <c r="W282" s="317">
        <f t="shared" si="138"/>
        <v>0.20133333333333323</v>
      </c>
      <c r="X282" s="317">
        <f t="shared" si="138"/>
        <v>0.20339999999999989</v>
      </c>
      <c r="Y282" s="317">
        <f t="shared" si="138"/>
        <v>0.20546666666666655</v>
      </c>
      <c r="Z282" s="317">
        <f t="shared" si="138"/>
        <v>0.20753333333333321</v>
      </c>
      <c r="AA282" s="317">
        <f t="shared" si="138"/>
        <v>0.20959999999999987</v>
      </c>
      <c r="AB282" s="317">
        <f t="shared" si="138"/>
        <v>0.21166666666666653</v>
      </c>
      <c r="AC282" s="317">
        <f t="shared" si="138"/>
        <v>0.21373333333333319</v>
      </c>
      <c r="AD282" s="317">
        <f t="shared" si="138"/>
        <v>0.21579999999999985</v>
      </c>
      <c r="AE282" s="317">
        <f t="shared" si="138"/>
        <v>0.21786666666666651</v>
      </c>
      <c r="AF282" s="317">
        <f t="shared" si="138"/>
        <v>0.21993333333333318</v>
      </c>
      <c r="AG282" s="296">
        <v>0.222</v>
      </c>
      <c r="AI282" s="214"/>
      <c r="AJ282" s="211" t="s">
        <v>1363</v>
      </c>
    </row>
    <row r="283" spans="1:41" outlineLevel="1">
      <c r="A283" s="3" t="s">
        <v>33</v>
      </c>
      <c r="B283" s="302" t="s">
        <v>462</v>
      </c>
      <c r="C283" s="296">
        <v>0.37</v>
      </c>
      <c r="D283" s="317">
        <f t="shared" si="139"/>
        <v>0.36270000000000002</v>
      </c>
      <c r="E283" s="317">
        <f t="shared" si="139"/>
        <v>0.35540000000000005</v>
      </c>
      <c r="F283" s="317">
        <f t="shared" si="139"/>
        <v>0.34810000000000008</v>
      </c>
      <c r="G283" s="317">
        <f t="shared" si="139"/>
        <v>0.3408000000000001</v>
      </c>
      <c r="H283" s="317">
        <f t="shared" si="139"/>
        <v>0.33350000000000013</v>
      </c>
      <c r="I283" s="317">
        <f t="shared" si="139"/>
        <v>0.32620000000000016</v>
      </c>
      <c r="J283" s="317">
        <f t="shared" si="139"/>
        <v>0.31890000000000018</v>
      </c>
      <c r="K283" s="317">
        <f t="shared" si="139"/>
        <v>0.31160000000000021</v>
      </c>
      <c r="L283" s="317">
        <f t="shared" si="139"/>
        <v>0.30430000000000024</v>
      </c>
      <c r="M283" s="317">
        <f t="shared" si="139"/>
        <v>0.29700000000000026</v>
      </c>
      <c r="N283" s="317">
        <f t="shared" si="139"/>
        <v>0.28970000000000029</v>
      </c>
      <c r="O283" s="317">
        <f t="shared" si="139"/>
        <v>0.28240000000000032</v>
      </c>
      <c r="P283" s="317">
        <f t="shared" si="139"/>
        <v>0.27510000000000034</v>
      </c>
      <c r="Q283" s="317">
        <f t="shared" si="139"/>
        <v>0.26780000000000037</v>
      </c>
      <c r="R283" s="317">
        <f t="shared" si="139"/>
        <v>0.2605000000000004</v>
      </c>
      <c r="S283" s="317">
        <f t="shared" si="139"/>
        <v>0.25320000000000042</v>
      </c>
      <c r="T283" s="317">
        <f t="shared" si="138"/>
        <v>0.24590000000000042</v>
      </c>
      <c r="U283" s="317">
        <f t="shared" si="138"/>
        <v>0.23860000000000042</v>
      </c>
      <c r="V283" s="317">
        <f t="shared" si="138"/>
        <v>0.23130000000000042</v>
      </c>
      <c r="W283" s="317">
        <f t="shared" si="138"/>
        <v>0.22400000000000042</v>
      </c>
      <c r="X283" s="317">
        <f t="shared" si="138"/>
        <v>0.21670000000000042</v>
      </c>
      <c r="Y283" s="317">
        <f t="shared" si="138"/>
        <v>0.20940000000000042</v>
      </c>
      <c r="Z283" s="317">
        <f t="shared" si="138"/>
        <v>0.20210000000000042</v>
      </c>
      <c r="AA283" s="317">
        <f t="shared" si="138"/>
        <v>0.19480000000000042</v>
      </c>
      <c r="AB283" s="317">
        <f t="shared" si="138"/>
        <v>0.18750000000000042</v>
      </c>
      <c r="AC283" s="317">
        <f t="shared" si="138"/>
        <v>0.18020000000000042</v>
      </c>
      <c r="AD283" s="317">
        <f t="shared" si="138"/>
        <v>0.17290000000000041</v>
      </c>
      <c r="AE283" s="317">
        <f t="shared" si="138"/>
        <v>0.16560000000000041</v>
      </c>
      <c r="AF283" s="317">
        <f t="shared" si="138"/>
        <v>0.15830000000000041</v>
      </c>
      <c r="AG283" s="296">
        <v>0.151</v>
      </c>
      <c r="AI283" s="214"/>
      <c r="AJ283" s="211" t="s">
        <v>1363</v>
      </c>
    </row>
    <row r="284" spans="1:41" outlineLevel="1">
      <c r="A284" s="3" t="s">
        <v>451</v>
      </c>
      <c r="B284" s="302" t="s">
        <v>462</v>
      </c>
      <c r="C284" s="296">
        <v>0.08</v>
      </c>
      <c r="D284" s="317">
        <f t="shared" si="139"/>
        <v>8.0100000000000005E-2</v>
      </c>
      <c r="E284" s="317">
        <f t="shared" si="139"/>
        <v>8.0200000000000007E-2</v>
      </c>
      <c r="F284" s="317">
        <f t="shared" si="139"/>
        <v>8.030000000000001E-2</v>
      </c>
      <c r="G284" s="317">
        <f t="shared" si="139"/>
        <v>8.0400000000000013E-2</v>
      </c>
      <c r="H284" s="317">
        <f t="shared" si="139"/>
        <v>8.0500000000000016E-2</v>
      </c>
      <c r="I284" s="317">
        <f t="shared" si="139"/>
        <v>8.0600000000000019E-2</v>
      </c>
      <c r="J284" s="317">
        <f t="shared" si="139"/>
        <v>8.0700000000000022E-2</v>
      </c>
      <c r="K284" s="317">
        <f t="shared" si="139"/>
        <v>8.0800000000000025E-2</v>
      </c>
      <c r="L284" s="317">
        <f t="shared" si="139"/>
        <v>8.0900000000000027E-2</v>
      </c>
      <c r="M284" s="317">
        <f t="shared" si="139"/>
        <v>8.100000000000003E-2</v>
      </c>
      <c r="N284" s="317">
        <f t="shared" si="139"/>
        <v>8.1100000000000033E-2</v>
      </c>
      <c r="O284" s="317">
        <f t="shared" si="139"/>
        <v>8.1200000000000036E-2</v>
      </c>
      <c r="P284" s="317">
        <f t="shared" si="139"/>
        <v>8.1300000000000039E-2</v>
      </c>
      <c r="Q284" s="317">
        <f t="shared" si="139"/>
        <v>8.1400000000000042E-2</v>
      </c>
      <c r="R284" s="317">
        <f t="shared" si="139"/>
        <v>8.1500000000000045E-2</v>
      </c>
      <c r="S284" s="317">
        <f t="shared" si="139"/>
        <v>8.1600000000000047E-2</v>
      </c>
      <c r="T284" s="317">
        <f t="shared" si="138"/>
        <v>8.170000000000005E-2</v>
      </c>
      <c r="U284" s="317">
        <f t="shared" si="138"/>
        <v>8.1800000000000053E-2</v>
      </c>
      <c r="V284" s="317">
        <f t="shared" si="138"/>
        <v>8.1900000000000056E-2</v>
      </c>
      <c r="W284" s="317">
        <f t="shared" si="138"/>
        <v>8.2000000000000059E-2</v>
      </c>
      <c r="X284" s="317">
        <f t="shared" si="138"/>
        <v>8.2100000000000062E-2</v>
      </c>
      <c r="Y284" s="317">
        <f t="shared" si="138"/>
        <v>8.2200000000000065E-2</v>
      </c>
      <c r="Z284" s="317">
        <f t="shared" si="138"/>
        <v>8.2300000000000068E-2</v>
      </c>
      <c r="AA284" s="317">
        <f t="shared" si="138"/>
        <v>8.240000000000007E-2</v>
      </c>
      <c r="AB284" s="317">
        <f t="shared" si="138"/>
        <v>8.2500000000000073E-2</v>
      </c>
      <c r="AC284" s="317">
        <f t="shared" si="138"/>
        <v>8.2600000000000076E-2</v>
      </c>
      <c r="AD284" s="317">
        <f t="shared" si="138"/>
        <v>8.2700000000000079E-2</v>
      </c>
      <c r="AE284" s="317">
        <f t="shared" si="138"/>
        <v>8.2800000000000082E-2</v>
      </c>
      <c r="AF284" s="317">
        <f t="shared" si="138"/>
        <v>8.2900000000000085E-2</v>
      </c>
      <c r="AG284" s="296">
        <v>8.3000000000000004E-2</v>
      </c>
      <c r="AI284" s="214"/>
      <c r="AJ284" s="211" t="s">
        <v>1363</v>
      </c>
    </row>
    <row r="285" spans="1:41" outlineLevel="1">
      <c r="A285" s="3" t="s">
        <v>452</v>
      </c>
      <c r="B285" s="302" t="s">
        <v>462</v>
      </c>
      <c r="C285" s="296">
        <v>0.27</v>
      </c>
      <c r="D285" s="317">
        <f t="shared" si="139"/>
        <v>0.27313333333333334</v>
      </c>
      <c r="E285" s="317">
        <f t="shared" si="139"/>
        <v>0.27626666666666666</v>
      </c>
      <c r="F285" s="317">
        <f t="shared" si="139"/>
        <v>0.27939999999999998</v>
      </c>
      <c r="G285" s="317">
        <f t="shared" si="139"/>
        <v>0.2825333333333333</v>
      </c>
      <c r="H285" s="317">
        <f t="shared" si="139"/>
        <v>0.28566666666666662</v>
      </c>
      <c r="I285" s="317">
        <f t="shared" si="139"/>
        <v>0.28879999999999995</v>
      </c>
      <c r="J285" s="317">
        <f t="shared" si="139"/>
        <v>0.29193333333333327</v>
      </c>
      <c r="K285" s="317">
        <f t="shared" si="139"/>
        <v>0.29506666666666659</v>
      </c>
      <c r="L285" s="317">
        <f t="shared" si="139"/>
        <v>0.29819999999999991</v>
      </c>
      <c r="M285" s="317">
        <f t="shared" si="139"/>
        <v>0.30133333333333323</v>
      </c>
      <c r="N285" s="317">
        <f t="shared" si="139"/>
        <v>0.30446666666666655</v>
      </c>
      <c r="O285" s="317">
        <f t="shared" si="139"/>
        <v>0.30759999999999987</v>
      </c>
      <c r="P285" s="317">
        <f t="shared" si="139"/>
        <v>0.31073333333333319</v>
      </c>
      <c r="Q285" s="317">
        <f t="shared" si="139"/>
        <v>0.31386666666666652</v>
      </c>
      <c r="R285" s="317">
        <f t="shared" si="139"/>
        <v>0.31699999999999984</v>
      </c>
      <c r="S285" s="317">
        <f t="shared" si="139"/>
        <v>0.32013333333333316</v>
      </c>
      <c r="T285" s="317">
        <f t="shared" si="138"/>
        <v>0.32326666666666648</v>
      </c>
      <c r="U285" s="317">
        <f t="shared" si="138"/>
        <v>0.3263999999999998</v>
      </c>
      <c r="V285" s="317">
        <f t="shared" si="138"/>
        <v>0.32953333333333312</v>
      </c>
      <c r="W285" s="317">
        <f t="shared" si="138"/>
        <v>0.33266666666666644</v>
      </c>
      <c r="X285" s="317">
        <f t="shared" si="138"/>
        <v>0.33579999999999977</v>
      </c>
      <c r="Y285" s="317">
        <f t="shared" si="138"/>
        <v>0.33893333333333309</v>
      </c>
      <c r="Z285" s="317">
        <f t="shared" si="138"/>
        <v>0.34206666666666641</v>
      </c>
      <c r="AA285" s="317">
        <f t="shared" si="138"/>
        <v>0.34519999999999973</v>
      </c>
      <c r="AB285" s="317">
        <f t="shared" si="138"/>
        <v>0.34833333333333305</v>
      </c>
      <c r="AC285" s="317">
        <f t="shared" si="138"/>
        <v>0.35146666666666637</v>
      </c>
      <c r="AD285" s="317">
        <f t="shared" si="138"/>
        <v>0.35459999999999969</v>
      </c>
      <c r="AE285" s="317">
        <f t="shared" si="138"/>
        <v>0.35773333333333301</v>
      </c>
      <c r="AF285" s="317">
        <f t="shared" si="138"/>
        <v>0.36086666666666634</v>
      </c>
      <c r="AG285" s="296">
        <v>0.36399999999999999</v>
      </c>
      <c r="AI285" s="214"/>
      <c r="AJ285" s="211" t="s">
        <v>1363</v>
      </c>
    </row>
    <row r="286" spans="1:41" outlineLevel="1">
      <c r="A286" s="3" t="s">
        <v>1364</v>
      </c>
      <c r="B286" s="302" t="s">
        <v>462</v>
      </c>
      <c r="C286" s="296">
        <v>7.0000000000000007E-2</v>
      </c>
      <c r="D286" s="317">
        <f t="shared" si="139"/>
        <v>7.1266666666666673E-2</v>
      </c>
      <c r="E286" s="317">
        <f t="shared" si="139"/>
        <v>7.2533333333333339E-2</v>
      </c>
      <c r="F286" s="317">
        <f t="shared" si="139"/>
        <v>7.3800000000000004E-2</v>
      </c>
      <c r="G286" s="317">
        <f t="shared" si="139"/>
        <v>7.506666666666667E-2</v>
      </c>
      <c r="H286" s="317">
        <f t="shared" si="139"/>
        <v>7.6333333333333336E-2</v>
      </c>
      <c r="I286" s="317">
        <f t="shared" si="139"/>
        <v>7.7600000000000002E-2</v>
      </c>
      <c r="J286" s="317">
        <f t="shared" si="139"/>
        <v>7.8866666666666668E-2</v>
      </c>
      <c r="K286" s="317">
        <f t="shared" si="139"/>
        <v>8.0133333333333334E-2</v>
      </c>
      <c r="L286" s="317">
        <f t="shared" si="139"/>
        <v>8.14E-2</v>
      </c>
      <c r="M286" s="317">
        <f t="shared" si="139"/>
        <v>8.2666666666666666E-2</v>
      </c>
      <c r="N286" s="317">
        <f t="shared" si="139"/>
        <v>8.3933333333333332E-2</v>
      </c>
      <c r="O286" s="317">
        <f t="shared" si="139"/>
        <v>8.5199999999999998E-2</v>
      </c>
      <c r="P286" s="317">
        <f t="shared" si="139"/>
        <v>8.6466666666666664E-2</v>
      </c>
      <c r="Q286" s="317">
        <f t="shared" si="139"/>
        <v>8.773333333333333E-2</v>
      </c>
      <c r="R286" s="317">
        <f t="shared" si="139"/>
        <v>8.8999999999999996E-2</v>
      </c>
      <c r="S286" s="317">
        <f t="shared" si="139"/>
        <v>9.0266666666666662E-2</v>
      </c>
      <c r="T286" s="317">
        <f t="shared" si="138"/>
        <v>9.1533333333333328E-2</v>
      </c>
      <c r="U286" s="317">
        <f t="shared" si="138"/>
        <v>9.2799999999999994E-2</v>
      </c>
      <c r="V286" s="317">
        <f t="shared" si="138"/>
        <v>9.406666666666666E-2</v>
      </c>
      <c r="W286" s="317">
        <f t="shared" si="138"/>
        <v>9.5333333333333325E-2</v>
      </c>
      <c r="X286" s="317">
        <f t="shared" si="138"/>
        <v>9.6599999999999991E-2</v>
      </c>
      <c r="Y286" s="317">
        <f t="shared" si="138"/>
        <v>9.7866666666666657E-2</v>
      </c>
      <c r="Z286" s="317">
        <f t="shared" si="138"/>
        <v>9.9133333333333323E-2</v>
      </c>
      <c r="AA286" s="317">
        <f t="shared" si="138"/>
        <v>0.10039999999999999</v>
      </c>
      <c r="AB286" s="317">
        <f t="shared" si="138"/>
        <v>0.10166666666666666</v>
      </c>
      <c r="AC286" s="317">
        <f t="shared" si="138"/>
        <v>0.10293333333333332</v>
      </c>
      <c r="AD286" s="317">
        <f t="shared" si="138"/>
        <v>0.10419999999999999</v>
      </c>
      <c r="AE286" s="317">
        <f t="shared" si="138"/>
        <v>0.10546666666666665</v>
      </c>
      <c r="AF286" s="317">
        <f t="shared" si="138"/>
        <v>0.10673333333333332</v>
      </c>
      <c r="AG286" s="296">
        <v>0.108</v>
      </c>
      <c r="AI286" s="214"/>
      <c r="AJ286" s="211" t="s">
        <v>1363</v>
      </c>
    </row>
    <row r="287" spans="1:41" outlineLevel="1">
      <c r="A287" s="3" t="s">
        <v>1365</v>
      </c>
      <c r="B287" s="302" t="s">
        <v>462</v>
      </c>
      <c r="C287" s="296">
        <v>0.05</v>
      </c>
      <c r="D287" s="317">
        <f t="shared" si="139"/>
        <v>5.0733333333333339E-2</v>
      </c>
      <c r="E287" s="317">
        <f t="shared" si="139"/>
        <v>5.1466666666666674E-2</v>
      </c>
      <c r="F287" s="317">
        <f t="shared" si="139"/>
        <v>5.220000000000001E-2</v>
      </c>
      <c r="G287" s="317">
        <f t="shared" si="139"/>
        <v>5.2933333333333346E-2</v>
      </c>
      <c r="H287" s="317">
        <f t="shared" si="139"/>
        <v>5.3666666666666682E-2</v>
      </c>
      <c r="I287" s="317">
        <f t="shared" si="139"/>
        <v>5.4400000000000018E-2</v>
      </c>
      <c r="J287" s="317">
        <f t="shared" si="139"/>
        <v>5.5133333333333354E-2</v>
      </c>
      <c r="K287" s="317">
        <f t="shared" si="139"/>
        <v>5.5866666666666689E-2</v>
      </c>
      <c r="L287" s="317">
        <f t="shared" si="139"/>
        <v>5.6600000000000025E-2</v>
      </c>
      <c r="M287" s="317">
        <f t="shared" si="139"/>
        <v>5.7333333333333361E-2</v>
      </c>
      <c r="N287" s="317">
        <f t="shared" si="139"/>
        <v>5.8066666666666697E-2</v>
      </c>
      <c r="O287" s="317">
        <f t="shared" si="139"/>
        <v>5.8800000000000033E-2</v>
      </c>
      <c r="P287" s="317">
        <f t="shared" si="139"/>
        <v>5.9533333333333369E-2</v>
      </c>
      <c r="Q287" s="317">
        <f t="shared" si="139"/>
        <v>6.0266666666666704E-2</v>
      </c>
      <c r="R287" s="317">
        <f t="shared" si="139"/>
        <v>6.100000000000004E-2</v>
      </c>
      <c r="S287" s="317">
        <f t="shared" si="139"/>
        <v>6.1733333333333376E-2</v>
      </c>
      <c r="T287" s="317">
        <f t="shared" si="138"/>
        <v>6.2466666666666712E-2</v>
      </c>
      <c r="U287" s="317">
        <f t="shared" si="138"/>
        <v>6.3200000000000048E-2</v>
      </c>
      <c r="V287" s="317">
        <f t="shared" si="138"/>
        <v>6.3933333333333384E-2</v>
      </c>
      <c r="W287" s="317">
        <f t="shared" si="138"/>
        <v>6.4666666666666719E-2</v>
      </c>
      <c r="X287" s="317">
        <f t="shared" si="138"/>
        <v>6.5400000000000055E-2</v>
      </c>
      <c r="Y287" s="317">
        <f t="shared" si="138"/>
        <v>6.6133333333333391E-2</v>
      </c>
      <c r="Z287" s="317">
        <f t="shared" si="138"/>
        <v>6.6866666666666727E-2</v>
      </c>
      <c r="AA287" s="317">
        <f t="shared" si="138"/>
        <v>6.7600000000000063E-2</v>
      </c>
      <c r="AB287" s="317">
        <f t="shared" si="138"/>
        <v>6.8333333333333399E-2</v>
      </c>
      <c r="AC287" s="317">
        <f t="shared" si="138"/>
        <v>6.9066666666666734E-2</v>
      </c>
      <c r="AD287" s="317">
        <f t="shared" si="138"/>
        <v>6.980000000000007E-2</v>
      </c>
      <c r="AE287" s="317">
        <f t="shared" si="138"/>
        <v>7.0533333333333406E-2</v>
      </c>
      <c r="AF287" s="317">
        <f t="shared" si="138"/>
        <v>7.1266666666666742E-2</v>
      </c>
      <c r="AG287" s="296">
        <v>7.1999999999999995E-2</v>
      </c>
      <c r="AI287" s="214"/>
      <c r="AJ287" s="211" t="s">
        <v>1363</v>
      </c>
    </row>
    <row r="288" spans="1:41" s="58" customFormat="1" outlineLevel="1">
      <c r="A288" s="306" t="s">
        <v>1366</v>
      </c>
      <c r="B288" s="303"/>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c r="AC288" s="304"/>
      <c r="AD288" s="304"/>
      <c r="AE288" s="304"/>
      <c r="AF288" s="304"/>
      <c r="AG288" s="304"/>
      <c r="AI288" s="305"/>
      <c r="AJ288" s="306"/>
    </row>
    <row r="289" spans="1:36" s="58" customFormat="1" outlineLevel="1">
      <c r="A289" s="307" t="s">
        <v>1367</v>
      </c>
      <c r="B289" s="308" t="s">
        <v>462</v>
      </c>
      <c r="C289" s="337">
        <v>0.84</v>
      </c>
      <c r="D289" s="338">
        <f>-($C289-$AG289)/30+C289</f>
        <v>0.84399999999999997</v>
      </c>
      <c r="E289" s="338">
        <f t="shared" ref="E289:T290" si="140">-($C289-$AG289)/30+D289</f>
        <v>0.84799999999999998</v>
      </c>
      <c r="F289" s="338">
        <f t="shared" si="140"/>
        <v>0.85199999999999998</v>
      </c>
      <c r="G289" s="338">
        <f t="shared" si="140"/>
        <v>0.85599999999999998</v>
      </c>
      <c r="H289" s="338">
        <f t="shared" si="140"/>
        <v>0.86</v>
      </c>
      <c r="I289" s="338">
        <f t="shared" si="140"/>
        <v>0.86399999999999999</v>
      </c>
      <c r="J289" s="338">
        <f t="shared" si="140"/>
        <v>0.86799999999999999</v>
      </c>
      <c r="K289" s="338">
        <f t="shared" si="140"/>
        <v>0.872</v>
      </c>
      <c r="L289" s="338">
        <f t="shared" si="140"/>
        <v>0.876</v>
      </c>
      <c r="M289" s="338">
        <f t="shared" si="140"/>
        <v>0.88</v>
      </c>
      <c r="N289" s="338">
        <f t="shared" si="140"/>
        <v>0.88400000000000001</v>
      </c>
      <c r="O289" s="338">
        <f t="shared" si="140"/>
        <v>0.88800000000000001</v>
      </c>
      <c r="P289" s="338">
        <f t="shared" si="140"/>
        <v>0.89200000000000002</v>
      </c>
      <c r="Q289" s="338">
        <f t="shared" si="140"/>
        <v>0.89600000000000002</v>
      </c>
      <c r="R289" s="338">
        <f t="shared" si="140"/>
        <v>0.9</v>
      </c>
      <c r="S289" s="338">
        <f t="shared" si="140"/>
        <v>0.90400000000000003</v>
      </c>
      <c r="T289" s="338">
        <f t="shared" si="140"/>
        <v>0.90800000000000003</v>
      </c>
      <c r="U289" s="338">
        <f t="shared" ref="U289:AF290" si="141">-($C289-$AG289)/30+T289</f>
        <v>0.91200000000000003</v>
      </c>
      <c r="V289" s="338">
        <f t="shared" si="141"/>
        <v>0.91600000000000004</v>
      </c>
      <c r="W289" s="338">
        <f t="shared" si="141"/>
        <v>0.92</v>
      </c>
      <c r="X289" s="338">
        <f t="shared" si="141"/>
        <v>0.92400000000000004</v>
      </c>
      <c r="Y289" s="338">
        <f t="shared" si="141"/>
        <v>0.92800000000000005</v>
      </c>
      <c r="Z289" s="338">
        <f t="shared" si="141"/>
        <v>0.93200000000000005</v>
      </c>
      <c r="AA289" s="338">
        <f t="shared" si="141"/>
        <v>0.93600000000000005</v>
      </c>
      <c r="AB289" s="338">
        <f t="shared" si="141"/>
        <v>0.94000000000000006</v>
      </c>
      <c r="AC289" s="338">
        <f t="shared" si="141"/>
        <v>0.94400000000000006</v>
      </c>
      <c r="AD289" s="338">
        <f t="shared" si="141"/>
        <v>0.94800000000000006</v>
      </c>
      <c r="AE289" s="338">
        <f t="shared" si="141"/>
        <v>0.95200000000000007</v>
      </c>
      <c r="AF289" s="338">
        <f t="shared" si="141"/>
        <v>0.95600000000000007</v>
      </c>
      <c r="AG289" s="337">
        <v>0.96</v>
      </c>
      <c r="AI289" s="305"/>
      <c r="AJ289" s="339" t="s">
        <v>1363</v>
      </c>
    </row>
    <row r="290" spans="1:36" s="58" customFormat="1" outlineLevel="1">
      <c r="A290" s="307" t="s">
        <v>1368</v>
      </c>
      <c r="B290" s="308" t="s">
        <v>462</v>
      </c>
      <c r="C290" s="337">
        <v>0.22</v>
      </c>
      <c r="D290" s="338">
        <f>-($C290-$AG290)/30+C290</f>
        <v>0.22666666666666666</v>
      </c>
      <c r="E290" s="338">
        <f t="shared" si="140"/>
        <v>0.23333333333333331</v>
      </c>
      <c r="F290" s="338">
        <f t="shared" si="140"/>
        <v>0.23999999999999996</v>
      </c>
      <c r="G290" s="338">
        <f t="shared" si="140"/>
        <v>0.24666666666666662</v>
      </c>
      <c r="H290" s="338">
        <f t="shared" si="140"/>
        <v>0.2533333333333333</v>
      </c>
      <c r="I290" s="338">
        <f t="shared" si="140"/>
        <v>0.25999999999999995</v>
      </c>
      <c r="J290" s="338">
        <f t="shared" si="140"/>
        <v>0.26666666666666661</v>
      </c>
      <c r="K290" s="338">
        <f t="shared" si="140"/>
        <v>0.27333333333333326</v>
      </c>
      <c r="L290" s="338">
        <f t="shared" si="140"/>
        <v>0.27999999999999992</v>
      </c>
      <c r="M290" s="338">
        <f t="shared" si="140"/>
        <v>0.28666666666666657</v>
      </c>
      <c r="N290" s="338">
        <f t="shared" si="140"/>
        <v>0.29333333333333322</v>
      </c>
      <c r="O290" s="338">
        <f t="shared" si="140"/>
        <v>0.29999999999999988</v>
      </c>
      <c r="P290" s="338">
        <f t="shared" si="140"/>
        <v>0.30666666666666653</v>
      </c>
      <c r="Q290" s="338">
        <f t="shared" si="140"/>
        <v>0.31333333333333319</v>
      </c>
      <c r="R290" s="338">
        <f t="shared" si="140"/>
        <v>0.31999999999999984</v>
      </c>
      <c r="S290" s="338">
        <f t="shared" si="140"/>
        <v>0.32666666666666649</v>
      </c>
      <c r="T290" s="338">
        <f t="shared" si="140"/>
        <v>0.33333333333333315</v>
      </c>
      <c r="U290" s="338">
        <f t="shared" si="141"/>
        <v>0.3399999999999998</v>
      </c>
      <c r="V290" s="338">
        <f t="shared" si="141"/>
        <v>0.34666666666666646</v>
      </c>
      <c r="W290" s="338">
        <f t="shared" si="141"/>
        <v>0.35333333333333311</v>
      </c>
      <c r="X290" s="338">
        <f t="shared" si="141"/>
        <v>0.35999999999999976</v>
      </c>
      <c r="Y290" s="338">
        <f t="shared" si="141"/>
        <v>0.36666666666666642</v>
      </c>
      <c r="Z290" s="338">
        <f t="shared" si="141"/>
        <v>0.37333333333333307</v>
      </c>
      <c r="AA290" s="338">
        <f t="shared" si="141"/>
        <v>0.37999999999999973</v>
      </c>
      <c r="AB290" s="338">
        <f t="shared" si="141"/>
        <v>0.38666666666666638</v>
      </c>
      <c r="AC290" s="338">
        <f t="shared" si="141"/>
        <v>0.39333333333333304</v>
      </c>
      <c r="AD290" s="338">
        <f t="shared" si="141"/>
        <v>0.39999999999999969</v>
      </c>
      <c r="AE290" s="338">
        <f t="shared" si="141"/>
        <v>0.40666666666666634</v>
      </c>
      <c r="AF290" s="338">
        <f t="shared" si="141"/>
        <v>0.413333333333333</v>
      </c>
      <c r="AG290" s="337">
        <v>0.42</v>
      </c>
      <c r="AI290" s="305"/>
      <c r="AJ290" s="339" t="s">
        <v>1363</v>
      </c>
    </row>
    <row r="291" spans="1:36" s="62" customFormat="1" outlineLevel="1">
      <c r="A291" s="311" t="s">
        <v>1369</v>
      </c>
      <c r="B291" s="312" t="s">
        <v>462</v>
      </c>
      <c r="C291" s="340">
        <f>1-C290</f>
        <v>0.78</v>
      </c>
      <c r="D291" s="340">
        <f t="shared" ref="D291:AG291" si="142">1-D290</f>
        <v>0.77333333333333332</v>
      </c>
      <c r="E291" s="340">
        <f t="shared" si="142"/>
        <v>0.76666666666666672</v>
      </c>
      <c r="F291" s="340">
        <f t="shared" si="142"/>
        <v>0.76</v>
      </c>
      <c r="G291" s="340">
        <f t="shared" si="142"/>
        <v>0.75333333333333341</v>
      </c>
      <c r="H291" s="340">
        <f t="shared" si="142"/>
        <v>0.7466666666666667</v>
      </c>
      <c r="I291" s="340">
        <f t="shared" si="142"/>
        <v>0.74</v>
      </c>
      <c r="J291" s="340">
        <f t="shared" si="142"/>
        <v>0.73333333333333339</v>
      </c>
      <c r="K291" s="340">
        <f t="shared" si="142"/>
        <v>0.72666666666666679</v>
      </c>
      <c r="L291" s="340">
        <f t="shared" si="142"/>
        <v>0.72000000000000008</v>
      </c>
      <c r="M291" s="340">
        <f t="shared" si="142"/>
        <v>0.71333333333333337</v>
      </c>
      <c r="N291" s="340">
        <f t="shared" si="142"/>
        <v>0.70666666666666678</v>
      </c>
      <c r="O291" s="340">
        <f t="shared" si="142"/>
        <v>0.70000000000000018</v>
      </c>
      <c r="P291" s="340">
        <f t="shared" si="142"/>
        <v>0.69333333333333347</v>
      </c>
      <c r="Q291" s="340">
        <f t="shared" si="142"/>
        <v>0.68666666666666676</v>
      </c>
      <c r="R291" s="340">
        <f t="shared" si="142"/>
        <v>0.68000000000000016</v>
      </c>
      <c r="S291" s="340">
        <f t="shared" si="142"/>
        <v>0.67333333333333356</v>
      </c>
      <c r="T291" s="340">
        <f t="shared" si="142"/>
        <v>0.66666666666666685</v>
      </c>
      <c r="U291" s="340">
        <f t="shared" si="142"/>
        <v>0.66000000000000014</v>
      </c>
      <c r="V291" s="340">
        <f t="shared" si="142"/>
        <v>0.65333333333333354</v>
      </c>
      <c r="W291" s="340">
        <f t="shared" si="142"/>
        <v>0.64666666666666694</v>
      </c>
      <c r="X291" s="340">
        <f t="shared" si="142"/>
        <v>0.64000000000000024</v>
      </c>
      <c r="Y291" s="340">
        <f t="shared" si="142"/>
        <v>0.63333333333333353</v>
      </c>
      <c r="Z291" s="340">
        <f t="shared" si="142"/>
        <v>0.62666666666666693</v>
      </c>
      <c r="AA291" s="340">
        <f t="shared" si="142"/>
        <v>0.62000000000000033</v>
      </c>
      <c r="AB291" s="340">
        <f t="shared" si="142"/>
        <v>0.61333333333333362</v>
      </c>
      <c r="AC291" s="340">
        <f t="shared" si="142"/>
        <v>0.60666666666666691</v>
      </c>
      <c r="AD291" s="340">
        <f t="shared" si="142"/>
        <v>0.60000000000000031</v>
      </c>
      <c r="AE291" s="340">
        <f t="shared" si="142"/>
        <v>0.59333333333333371</v>
      </c>
      <c r="AF291" s="340">
        <f t="shared" si="142"/>
        <v>0.586666666666667</v>
      </c>
      <c r="AG291" s="340">
        <f t="shared" si="142"/>
        <v>0.58000000000000007</v>
      </c>
      <c r="AI291" s="342"/>
      <c r="AJ291" s="341" t="s">
        <v>1363</v>
      </c>
    </row>
    <row r="292" spans="1:36" s="1" customFormat="1" outlineLevel="1">
      <c r="A292" t="s">
        <v>1370</v>
      </c>
      <c r="B292" s="302" t="s">
        <v>462</v>
      </c>
      <c r="C292" s="296">
        <v>0.95</v>
      </c>
      <c r="D292" s="317">
        <f t="shared" ref="D292:S307" si="143">-($C292-$AG292)/30+C292</f>
        <v>0.94499999999999995</v>
      </c>
      <c r="E292" s="317">
        <f t="shared" si="143"/>
        <v>0.94</v>
      </c>
      <c r="F292" s="317">
        <f t="shared" si="143"/>
        <v>0.93499999999999994</v>
      </c>
      <c r="G292" s="317">
        <f t="shared" si="143"/>
        <v>0.92999999999999994</v>
      </c>
      <c r="H292" s="317">
        <f t="shared" si="143"/>
        <v>0.92499999999999993</v>
      </c>
      <c r="I292" s="317">
        <f t="shared" si="143"/>
        <v>0.91999999999999993</v>
      </c>
      <c r="J292" s="317">
        <f t="shared" si="143"/>
        <v>0.91499999999999992</v>
      </c>
      <c r="K292" s="317">
        <f t="shared" si="143"/>
        <v>0.90999999999999992</v>
      </c>
      <c r="L292" s="317">
        <f t="shared" si="143"/>
        <v>0.90499999999999992</v>
      </c>
      <c r="M292" s="317">
        <f t="shared" si="143"/>
        <v>0.89999999999999991</v>
      </c>
      <c r="N292" s="317">
        <f t="shared" si="143"/>
        <v>0.89499999999999991</v>
      </c>
      <c r="O292" s="317">
        <f t="shared" si="143"/>
        <v>0.8899999999999999</v>
      </c>
      <c r="P292" s="317">
        <f t="shared" si="143"/>
        <v>0.8849999999999999</v>
      </c>
      <c r="Q292" s="317">
        <f t="shared" si="143"/>
        <v>0.87999999999999989</v>
      </c>
      <c r="R292" s="317">
        <f t="shared" si="143"/>
        <v>0.87499999999999989</v>
      </c>
      <c r="S292" s="317">
        <f t="shared" si="143"/>
        <v>0.86999999999999988</v>
      </c>
      <c r="T292" s="317">
        <f t="shared" ref="T292:AF306" si="144">-($C292-$AG292)/30+S292</f>
        <v>0.86499999999999988</v>
      </c>
      <c r="U292" s="317">
        <f t="shared" si="144"/>
        <v>0.85999999999999988</v>
      </c>
      <c r="V292" s="317">
        <f t="shared" si="144"/>
        <v>0.85499999999999987</v>
      </c>
      <c r="W292" s="317">
        <f t="shared" si="144"/>
        <v>0.84999999999999987</v>
      </c>
      <c r="X292" s="317">
        <f t="shared" si="144"/>
        <v>0.84499999999999986</v>
      </c>
      <c r="Y292" s="317">
        <f t="shared" si="144"/>
        <v>0.83999999999999986</v>
      </c>
      <c r="Z292" s="317">
        <f t="shared" si="144"/>
        <v>0.83499999999999985</v>
      </c>
      <c r="AA292" s="317">
        <f t="shared" si="144"/>
        <v>0.82999999999999985</v>
      </c>
      <c r="AB292" s="317">
        <f t="shared" si="144"/>
        <v>0.82499999999999984</v>
      </c>
      <c r="AC292" s="317">
        <f t="shared" si="144"/>
        <v>0.81999999999999984</v>
      </c>
      <c r="AD292" s="317">
        <f t="shared" si="144"/>
        <v>0.81499999999999984</v>
      </c>
      <c r="AE292" s="317">
        <f t="shared" si="144"/>
        <v>0.80999999999999983</v>
      </c>
      <c r="AF292" s="317">
        <f t="shared" si="144"/>
        <v>0.80499999999999983</v>
      </c>
      <c r="AG292" s="296">
        <v>0.8</v>
      </c>
      <c r="AI292" s="316"/>
      <c r="AJ292" s="211" t="s">
        <v>1363</v>
      </c>
    </row>
    <row r="293" spans="1:36" s="1" customFormat="1" outlineLevel="1">
      <c r="A293" t="s">
        <v>1371</v>
      </c>
      <c r="B293" s="302" t="s">
        <v>462</v>
      </c>
      <c r="C293" s="296">
        <v>0.05</v>
      </c>
      <c r="D293" s="317">
        <f t="shared" si="143"/>
        <v>5.5000000000000007E-2</v>
      </c>
      <c r="E293" s="317">
        <f t="shared" si="143"/>
        <v>6.0000000000000012E-2</v>
      </c>
      <c r="F293" s="317">
        <f t="shared" si="143"/>
        <v>6.5000000000000016E-2</v>
      </c>
      <c r="G293" s="317">
        <f t="shared" si="143"/>
        <v>7.0000000000000021E-2</v>
      </c>
      <c r="H293" s="317">
        <f t="shared" si="143"/>
        <v>7.5000000000000025E-2</v>
      </c>
      <c r="I293" s="317">
        <f t="shared" si="143"/>
        <v>8.0000000000000029E-2</v>
      </c>
      <c r="J293" s="317">
        <f t="shared" si="143"/>
        <v>8.5000000000000034E-2</v>
      </c>
      <c r="K293" s="317">
        <f t="shared" si="143"/>
        <v>9.0000000000000038E-2</v>
      </c>
      <c r="L293" s="317">
        <f t="shared" si="143"/>
        <v>9.5000000000000043E-2</v>
      </c>
      <c r="M293" s="317">
        <f t="shared" si="143"/>
        <v>0.10000000000000005</v>
      </c>
      <c r="N293" s="317">
        <f t="shared" si="143"/>
        <v>0.10500000000000005</v>
      </c>
      <c r="O293" s="317">
        <f t="shared" si="143"/>
        <v>0.11000000000000006</v>
      </c>
      <c r="P293" s="317">
        <f t="shared" si="143"/>
        <v>0.11500000000000006</v>
      </c>
      <c r="Q293" s="317">
        <f t="shared" si="143"/>
        <v>0.12000000000000006</v>
      </c>
      <c r="R293" s="317">
        <f t="shared" si="143"/>
        <v>0.12500000000000006</v>
      </c>
      <c r="S293" s="317">
        <f t="shared" si="143"/>
        <v>0.13000000000000006</v>
      </c>
      <c r="T293" s="317">
        <f t="shared" si="144"/>
        <v>0.13500000000000006</v>
      </c>
      <c r="U293" s="317">
        <f t="shared" si="144"/>
        <v>0.14000000000000007</v>
      </c>
      <c r="V293" s="317">
        <f t="shared" si="144"/>
        <v>0.14500000000000007</v>
      </c>
      <c r="W293" s="317">
        <f t="shared" si="144"/>
        <v>0.15000000000000008</v>
      </c>
      <c r="X293" s="317">
        <f t="shared" si="144"/>
        <v>0.15500000000000008</v>
      </c>
      <c r="Y293" s="317">
        <f t="shared" si="144"/>
        <v>0.16000000000000009</v>
      </c>
      <c r="Z293" s="317">
        <f t="shared" si="144"/>
        <v>0.16500000000000009</v>
      </c>
      <c r="AA293" s="317">
        <f t="shared" si="144"/>
        <v>0.1700000000000001</v>
      </c>
      <c r="AB293" s="317">
        <f t="shared" si="144"/>
        <v>0.1750000000000001</v>
      </c>
      <c r="AC293" s="317">
        <f t="shared" si="144"/>
        <v>0.1800000000000001</v>
      </c>
      <c r="AD293" s="317">
        <f t="shared" si="144"/>
        <v>0.18500000000000011</v>
      </c>
      <c r="AE293" s="317">
        <f t="shared" si="144"/>
        <v>0.19000000000000011</v>
      </c>
      <c r="AF293" s="317">
        <f t="shared" si="144"/>
        <v>0.19500000000000012</v>
      </c>
      <c r="AG293" s="296">
        <v>0.2</v>
      </c>
      <c r="AI293" s="435" t="s">
        <v>1506</v>
      </c>
      <c r="AJ293" s="211" t="s">
        <v>1363</v>
      </c>
    </row>
    <row r="294" spans="1:36" s="1" customFormat="1" outlineLevel="1">
      <c r="A294" t="s">
        <v>1372</v>
      </c>
      <c r="B294" s="302" t="s">
        <v>462</v>
      </c>
      <c r="C294" s="296">
        <v>0.15</v>
      </c>
      <c r="D294" s="317">
        <f t="shared" si="143"/>
        <v>0.15633333333333332</v>
      </c>
      <c r="E294" s="317">
        <f t="shared" si="143"/>
        <v>0.16266666666666665</v>
      </c>
      <c r="F294" s="317">
        <f t="shared" si="143"/>
        <v>0.16899999999999998</v>
      </c>
      <c r="G294" s="317">
        <f t="shared" si="143"/>
        <v>0.17533333333333331</v>
      </c>
      <c r="H294" s="317">
        <f t="shared" si="143"/>
        <v>0.18166666666666664</v>
      </c>
      <c r="I294" s="317">
        <f t="shared" si="143"/>
        <v>0.18799999999999997</v>
      </c>
      <c r="J294" s="317">
        <f t="shared" si="143"/>
        <v>0.1943333333333333</v>
      </c>
      <c r="K294" s="317">
        <f t="shared" si="143"/>
        <v>0.20066666666666663</v>
      </c>
      <c r="L294" s="317">
        <f t="shared" si="143"/>
        <v>0.20699999999999996</v>
      </c>
      <c r="M294" s="317">
        <f t="shared" si="143"/>
        <v>0.21333333333333329</v>
      </c>
      <c r="N294" s="317">
        <f t="shared" si="143"/>
        <v>0.21966666666666662</v>
      </c>
      <c r="O294" s="317">
        <f t="shared" si="143"/>
        <v>0.22599999999999995</v>
      </c>
      <c r="P294" s="317">
        <f t="shared" si="143"/>
        <v>0.23233333333333328</v>
      </c>
      <c r="Q294" s="317">
        <f t="shared" si="143"/>
        <v>0.23866666666666661</v>
      </c>
      <c r="R294" s="317">
        <f t="shared" si="143"/>
        <v>0.24499999999999994</v>
      </c>
      <c r="S294" s="317">
        <f t="shared" si="143"/>
        <v>0.2513333333333333</v>
      </c>
      <c r="T294" s="317">
        <f t="shared" si="144"/>
        <v>0.25766666666666665</v>
      </c>
      <c r="U294" s="317">
        <f t="shared" si="144"/>
        <v>0.26400000000000001</v>
      </c>
      <c r="V294" s="317">
        <f t="shared" si="144"/>
        <v>0.27033333333333337</v>
      </c>
      <c r="W294" s="317">
        <f t="shared" si="144"/>
        <v>0.27666666666666673</v>
      </c>
      <c r="X294" s="317">
        <f t="shared" si="144"/>
        <v>0.28300000000000008</v>
      </c>
      <c r="Y294" s="317">
        <f t="shared" si="144"/>
        <v>0.28933333333333344</v>
      </c>
      <c r="Z294" s="317">
        <f t="shared" si="144"/>
        <v>0.2956666666666668</v>
      </c>
      <c r="AA294" s="317">
        <f t="shared" si="144"/>
        <v>0.30200000000000016</v>
      </c>
      <c r="AB294" s="317">
        <f t="shared" si="144"/>
        <v>0.30833333333333351</v>
      </c>
      <c r="AC294" s="317">
        <f t="shared" si="144"/>
        <v>0.31466666666666687</v>
      </c>
      <c r="AD294" s="317">
        <f t="shared" si="144"/>
        <v>0.32100000000000023</v>
      </c>
      <c r="AE294" s="317">
        <f t="shared" si="144"/>
        <v>0.32733333333333359</v>
      </c>
      <c r="AF294" s="317">
        <f t="shared" si="144"/>
        <v>0.33366666666666694</v>
      </c>
      <c r="AG294" s="296">
        <v>0.34</v>
      </c>
      <c r="AI294" s="316"/>
      <c r="AJ294" s="211" t="s">
        <v>1363</v>
      </c>
    </row>
    <row r="295" spans="1:36" s="1" customFormat="1" outlineLevel="1">
      <c r="A295" t="s">
        <v>1373</v>
      </c>
      <c r="B295" s="302" t="s">
        <v>462</v>
      </c>
      <c r="C295" s="296">
        <v>0.85</v>
      </c>
      <c r="D295" s="317">
        <f t="shared" si="143"/>
        <v>0.84366666666666668</v>
      </c>
      <c r="E295" s="317">
        <f t="shared" si="143"/>
        <v>0.83733333333333337</v>
      </c>
      <c r="F295" s="317">
        <f t="shared" si="143"/>
        <v>0.83100000000000007</v>
      </c>
      <c r="G295" s="317">
        <f t="shared" si="143"/>
        <v>0.82466666666666677</v>
      </c>
      <c r="H295" s="317">
        <f t="shared" si="143"/>
        <v>0.81833333333333347</v>
      </c>
      <c r="I295" s="317">
        <f t="shared" si="143"/>
        <v>0.81200000000000017</v>
      </c>
      <c r="J295" s="317">
        <f t="shared" si="143"/>
        <v>0.80566666666666686</v>
      </c>
      <c r="K295" s="317">
        <f t="shared" si="143"/>
        <v>0.79933333333333356</v>
      </c>
      <c r="L295" s="317">
        <f t="shared" si="143"/>
        <v>0.79300000000000026</v>
      </c>
      <c r="M295" s="317">
        <f t="shared" si="143"/>
        <v>0.78666666666666696</v>
      </c>
      <c r="N295" s="317">
        <f t="shared" si="143"/>
        <v>0.78033333333333366</v>
      </c>
      <c r="O295" s="317">
        <f t="shared" si="143"/>
        <v>0.77400000000000035</v>
      </c>
      <c r="P295" s="317">
        <f t="shared" si="143"/>
        <v>0.76766666666666705</v>
      </c>
      <c r="Q295" s="317">
        <f t="shared" si="143"/>
        <v>0.76133333333333375</v>
      </c>
      <c r="R295" s="317">
        <f t="shared" si="143"/>
        <v>0.75500000000000045</v>
      </c>
      <c r="S295" s="317">
        <f t="shared" si="143"/>
        <v>0.74866666666666715</v>
      </c>
      <c r="T295" s="317">
        <f t="shared" si="144"/>
        <v>0.74233333333333384</v>
      </c>
      <c r="U295" s="317">
        <f t="shared" si="144"/>
        <v>0.73600000000000054</v>
      </c>
      <c r="V295" s="317">
        <f t="shared" si="144"/>
        <v>0.72966666666666724</v>
      </c>
      <c r="W295" s="317">
        <f t="shared" si="144"/>
        <v>0.72333333333333394</v>
      </c>
      <c r="X295" s="317">
        <f t="shared" si="144"/>
        <v>0.71700000000000064</v>
      </c>
      <c r="Y295" s="317">
        <f t="shared" si="144"/>
        <v>0.71066666666666733</v>
      </c>
      <c r="Z295" s="317">
        <f t="shared" si="144"/>
        <v>0.70433333333333403</v>
      </c>
      <c r="AA295" s="317">
        <f t="shared" si="144"/>
        <v>0.69800000000000073</v>
      </c>
      <c r="AB295" s="317">
        <f t="shared" si="144"/>
        <v>0.69166666666666743</v>
      </c>
      <c r="AC295" s="317">
        <f t="shared" si="144"/>
        <v>0.68533333333333413</v>
      </c>
      <c r="AD295" s="317">
        <f t="shared" si="144"/>
        <v>0.67900000000000083</v>
      </c>
      <c r="AE295" s="317">
        <f t="shared" si="144"/>
        <v>0.67266666666666752</v>
      </c>
      <c r="AF295" s="317">
        <f t="shared" si="144"/>
        <v>0.66633333333333422</v>
      </c>
      <c r="AG295" s="296">
        <v>0.66</v>
      </c>
      <c r="AI295" s="316"/>
      <c r="AJ295" s="211" t="s">
        <v>1363</v>
      </c>
    </row>
    <row r="296" spans="1:36" s="1" customFormat="1" outlineLevel="1">
      <c r="A296" t="s">
        <v>1374</v>
      </c>
      <c r="B296" s="302" t="s">
        <v>462</v>
      </c>
      <c r="C296" s="296">
        <v>0</v>
      </c>
      <c r="D296" s="317">
        <f t="shared" si="143"/>
        <v>0</v>
      </c>
      <c r="E296" s="317">
        <f t="shared" si="143"/>
        <v>0</v>
      </c>
      <c r="F296" s="317">
        <f t="shared" si="143"/>
        <v>0</v>
      </c>
      <c r="G296" s="317">
        <f t="shared" si="143"/>
        <v>0</v>
      </c>
      <c r="H296" s="317">
        <f t="shared" si="143"/>
        <v>0</v>
      </c>
      <c r="I296" s="317">
        <f t="shared" si="143"/>
        <v>0</v>
      </c>
      <c r="J296" s="317">
        <f t="shared" si="143"/>
        <v>0</v>
      </c>
      <c r="K296" s="317">
        <f t="shared" si="143"/>
        <v>0</v>
      </c>
      <c r="L296" s="317">
        <f t="shared" si="143"/>
        <v>0</v>
      </c>
      <c r="M296" s="317">
        <f t="shared" si="143"/>
        <v>0</v>
      </c>
      <c r="N296" s="317">
        <f t="shared" si="143"/>
        <v>0</v>
      </c>
      <c r="O296" s="317">
        <f t="shared" si="143"/>
        <v>0</v>
      </c>
      <c r="P296" s="317">
        <f t="shared" si="143"/>
        <v>0</v>
      </c>
      <c r="Q296" s="317">
        <f t="shared" si="143"/>
        <v>0</v>
      </c>
      <c r="R296" s="317">
        <f t="shared" si="143"/>
        <v>0</v>
      </c>
      <c r="S296" s="317">
        <f t="shared" si="143"/>
        <v>0</v>
      </c>
      <c r="T296" s="317">
        <f t="shared" si="144"/>
        <v>0</v>
      </c>
      <c r="U296" s="317">
        <f t="shared" si="144"/>
        <v>0</v>
      </c>
      <c r="V296" s="317">
        <f t="shared" si="144"/>
        <v>0</v>
      </c>
      <c r="W296" s="317">
        <f t="shared" si="144"/>
        <v>0</v>
      </c>
      <c r="X296" s="317">
        <f t="shared" si="144"/>
        <v>0</v>
      </c>
      <c r="Y296" s="317">
        <f t="shared" si="144"/>
        <v>0</v>
      </c>
      <c r="Z296" s="317">
        <f t="shared" si="144"/>
        <v>0</v>
      </c>
      <c r="AA296" s="317">
        <f t="shared" si="144"/>
        <v>0</v>
      </c>
      <c r="AB296" s="317">
        <f t="shared" si="144"/>
        <v>0</v>
      </c>
      <c r="AC296" s="317">
        <f t="shared" si="144"/>
        <v>0</v>
      </c>
      <c r="AD296" s="317">
        <f t="shared" si="144"/>
        <v>0</v>
      </c>
      <c r="AE296" s="317">
        <f t="shared" si="144"/>
        <v>0</v>
      </c>
      <c r="AF296" s="317">
        <f t="shared" si="144"/>
        <v>0</v>
      </c>
      <c r="AG296" s="296">
        <v>0</v>
      </c>
      <c r="AI296" s="316"/>
      <c r="AJ296" s="211" t="s">
        <v>1363</v>
      </c>
    </row>
    <row r="297" spans="1:36" s="1" customFormat="1" outlineLevel="1">
      <c r="A297" t="s">
        <v>1375</v>
      </c>
      <c r="B297" s="302" t="s">
        <v>462</v>
      </c>
      <c r="C297" s="296">
        <v>1</v>
      </c>
      <c r="D297" s="317">
        <f t="shared" si="143"/>
        <v>1</v>
      </c>
      <c r="E297" s="317">
        <f t="shared" si="143"/>
        <v>1</v>
      </c>
      <c r="F297" s="317">
        <f t="shared" si="143"/>
        <v>1</v>
      </c>
      <c r="G297" s="317">
        <f t="shared" si="143"/>
        <v>1</v>
      </c>
      <c r="H297" s="317">
        <f t="shared" si="143"/>
        <v>1</v>
      </c>
      <c r="I297" s="317">
        <f t="shared" si="143"/>
        <v>1</v>
      </c>
      <c r="J297" s="317">
        <f t="shared" si="143"/>
        <v>1</v>
      </c>
      <c r="K297" s="317">
        <f t="shared" si="143"/>
        <v>1</v>
      </c>
      <c r="L297" s="317">
        <f t="shared" si="143"/>
        <v>1</v>
      </c>
      <c r="M297" s="317">
        <f t="shared" si="143"/>
        <v>1</v>
      </c>
      <c r="N297" s="317">
        <f t="shared" si="143"/>
        <v>1</v>
      </c>
      <c r="O297" s="317">
        <f t="shared" si="143"/>
        <v>1</v>
      </c>
      <c r="P297" s="317">
        <f t="shared" si="143"/>
        <v>1</v>
      </c>
      <c r="Q297" s="317">
        <f t="shared" si="143"/>
        <v>1</v>
      </c>
      <c r="R297" s="317">
        <f t="shared" si="143"/>
        <v>1</v>
      </c>
      <c r="S297" s="317">
        <f t="shared" si="143"/>
        <v>1</v>
      </c>
      <c r="T297" s="317">
        <f t="shared" si="144"/>
        <v>1</v>
      </c>
      <c r="U297" s="317">
        <f t="shared" si="144"/>
        <v>1</v>
      </c>
      <c r="V297" s="317">
        <f t="shared" si="144"/>
        <v>1</v>
      </c>
      <c r="W297" s="317">
        <f t="shared" si="144"/>
        <v>1</v>
      </c>
      <c r="X297" s="317">
        <f t="shared" si="144"/>
        <v>1</v>
      </c>
      <c r="Y297" s="317">
        <f t="shared" si="144"/>
        <v>1</v>
      </c>
      <c r="Z297" s="317">
        <f t="shared" si="144"/>
        <v>1</v>
      </c>
      <c r="AA297" s="317">
        <f t="shared" si="144"/>
        <v>1</v>
      </c>
      <c r="AB297" s="317">
        <f t="shared" si="144"/>
        <v>1</v>
      </c>
      <c r="AC297" s="317">
        <f t="shared" si="144"/>
        <v>1</v>
      </c>
      <c r="AD297" s="317">
        <f t="shared" si="144"/>
        <v>1</v>
      </c>
      <c r="AE297" s="317">
        <f t="shared" si="144"/>
        <v>1</v>
      </c>
      <c r="AF297" s="317">
        <f t="shared" si="144"/>
        <v>1</v>
      </c>
      <c r="AG297" s="296">
        <v>1</v>
      </c>
      <c r="AI297" s="316"/>
      <c r="AJ297" s="211" t="s">
        <v>1363</v>
      </c>
    </row>
    <row r="298" spans="1:36" s="1" customFormat="1" outlineLevel="1">
      <c r="A298" t="s">
        <v>1376</v>
      </c>
      <c r="B298" s="302" t="s">
        <v>462</v>
      </c>
      <c r="C298" s="296">
        <v>0.8</v>
      </c>
      <c r="D298" s="317">
        <f t="shared" si="143"/>
        <v>0.80333333333333334</v>
      </c>
      <c r="E298" s="317">
        <f t="shared" si="143"/>
        <v>0.80666666666666664</v>
      </c>
      <c r="F298" s="317">
        <f t="shared" si="143"/>
        <v>0.80999999999999994</v>
      </c>
      <c r="G298" s="317">
        <f t="shared" si="143"/>
        <v>0.81333333333333324</v>
      </c>
      <c r="H298" s="317">
        <f t="shared" si="143"/>
        <v>0.81666666666666654</v>
      </c>
      <c r="I298" s="317">
        <f t="shared" si="143"/>
        <v>0.81999999999999984</v>
      </c>
      <c r="J298" s="317">
        <f t="shared" si="143"/>
        <v>0.82333333333333314</v>
      </c>
      <c r="K298" s="317">
        <f t="shared" si="143"/>
        <v>0.82666666666666644</v>
      </c>
      <c r="L298" s="317">
        <f t="shared" si="143"/>
        <v>0.82999999999999974</v>
      </c>
      <c r="M298" s="317">
        <f t="shared" si="143"/>
        <v>0.83333333333333304</v>
      </c>
      <c r="N298" s="317">
        <f t="shared" si="143"/>
        <v>0.83666666666666634</v>
      </c>
      <c r="O298" s="317">
        <f t="shared" si="143"/>
        <v>0.83999999999999964</v>
      </c>
      <c r="P298" s="317">
        <f t="shared" si="143"/>
        <v>0.84333333333333294</v>
      </c>
      <c r="Q298" s="317">
        <f t="shared" si="143"/>
        <v>0.84666666666666623</v>
      </c>
      <c r="R298" s="317">
        <f t="shared" si="143"/>
        <v>0.84999999999999953</v>
      </c>
      <c r="S298" s="317">
        <f t="shared" si="143"/>
        <v>0.85333333333333283</v>
      </c>
      <c r="T298" s="317">
        <f t="shared" si="144"/>
        <v>0.85666666666666613</v>
      </c>
      <c r="U298" s="317">
        <f t="shared" si="144"/>
        <v>0.85999999999999943</v>
      </c>
      <c r="V298" s="317">
        <f t="shared" si="144"/>
        <v>0.86333333333333273</v>
      </c>
      <c r="W298" s="317">
        <f t="shared" si="144"/>
        <v>0.86666666666666603</v>
      </c>
      <c r="X298" s="317">
        <f t="shared" si="144"/>
        <v>0.86999999999999933</v>
      </c>
      <c r="Y298" s="317">
        <f t="shared" si="144"/>
        <v>0.87333333333333263</v>
      </c>
      <c r="Z298" s="317">
        <f t="shared" si="144"/>
        <v>0.87666666666666593</v>
      </c>
      <c r="AA298" s="317">
        <f t="shared" si="144"/>
        <v>0.87999999999999923</v>
      </c>
      <c r="AB298" s="317">
        <f t="shared" si="144"/>
        <v>0.88333333333333253</v>
      </c>
      <c r="AC298" s="317">
        <f t="shared" si="144"/>
        <v>0.88666666666666583</v>
      </c>
      <c r="AD298" s="317">
        <f t="shared" si="144"/>
        <v>0.88999999999999913</v>
      </c>
      <c r="AE298" s="317">
        <f t="shared" si="144"/>
        <v>0.89333333333333242</v>
      </c>
      <c r="AF298" s="317">
        <f t="shared" si="144"/>
        <v>0.89666666666666572</v>
      </c>
      <c r="AG298" s="296">
        <v>0.9</v>
      </c>
      <c r="AI298" s="316"/>
      <c r="AJ298" s="211" t="s">
        <v>1363</v>
      </c>
    </row>
    <row r="299" spans="1:36" s="1" customFormat="1" outlineLevel="1">
      <c r="A299" t="s">
        <v>1377</v>
      </c>
      <c r="B299" s="302" t="s">
        <v>462</v>
      </c>
      <c r="C299" s="296">
        <v>0.2</v>
      </c>
      <c r="D299" s="317">
        <f t="shared" si="143"/>
        <v>0.19666666666666668</v>
      </c>
      <c r="E299" s="317">
        <f t="shared" si="143"/>
        <v>0.19333333333333336</v>
      </c>
      <c r="F299" s="317">
        <f t="shared" si="143"/>
        <v>0.19000000000000003</v>
      </c>
      <c r="G299" s="317">
        <f t="shared" si="143"/>
        <v>0.1866666666666667</v>
      </c>
      <c r="H299" s="317">
        <f t="shared" si="143"/>
        <v>0.18333333333333338</v>
      </c>
      <c r="I299" s="317">
        <f t="shared" si="143"/>
        <v>0.18000000000000005</v>
      </c>
      <c r="J299" s="317">
        <f t="shared" si="143"/>
        <v>0.17666666666666672</v>
      </c>
      <c r="K299" s="317">
        <f t="shared" si="143"/>
        <v>0.17333333333333339</v>
      </c>
      <c r="L299" s="317">
        <f t="shared" si="143"/>
        <v>0.17000000000000007</v>
      </c>
      <c r="M299" s="317">
        <f t="shared" si="143"/>
        <v>0.16666666666666674</v>
      </c>
      <c r="N299" s="317">
        <f t="shared" si="143"/>
        <v>0.16333333333333341</v>
      </c>
      <c r="O299" s="317">
        <f t="shared" si="143"/>
        <v>0.16000000000000009</v>
      </c>
      <c r="P299" s="317">
        <f t="shared" si="143"/>
        <v>0.15666666666666676</v>
      </c>
      <c r="Q299" s="317">
        <f t="shared" si="143"/>
        <v>0.15333333333333343</v>
      </c>
      <c r="R299" s="317">
        <f t="shared" si="143"/>
        <v>0.15000000000000011</v>
      </c>
      <c r="S299" s="317">
        <f t="shared" si="143"/>
        <v>0.14666666666666678</v>
      </c>
      <c r="T299" s="317">
        <f t="shared" si="144"/>
        <v>0.14333333333333345</v>
      </c>
      <c r="U299" s="317">
        <f t="shared" si="144"/>
        <v>0.14000000000000012</v>
      </c>
      <c r="V299" s="317">
        <f t="shared" si="144"/>
        <v>0.1366666666666668</v>
      </c>
      <c r="W299" s="317">
        <f t="shared" si="144"/>
        <v>0.13333333333333347</v>
      </c>
      <c r="X299" s="317">
        <f t="shared" si="144"/>
        <v>0.13000000000000014</v>
      </c>
      <c r="Y299" s="317">
        <f t="shared" si="144"/>
        <v>0.12666666666666682</v>
      </c>
      <c r="Z299" s="317">
        <f t="shared" si="144"/>
        <v>0.12333333333333349</v>
      </c>
      <c r="AA299" s="317">
        <f t="shared" si="144"/>
        <v>0.12000000000000016</v>
      </c>
      <c r="AB299" s="317">
        <f t="shared" si="144"/>
        <v>0.11666666666666684</v>
      </c>
      <c r="AC299" s="317">
        <f t="shared" si="144"/>
        <v>0.11333333333333351</v>
      </c>
      <c r="AD299" s="317">
        <f t="shared" si="144"/>
        <v>0.11000000000000018</v>
      </c>
      <c r="AE299" s="317">
        <f t="shared" si="144"/>
        <v>0.10666666666666685</v>
      </c>
      <c r="AF299" s="317">
        <f t="shared" si="144"/>
        <v>0.10333333333333353</v>
      </c>
      <c r="AG299" s="296">
        <v>0.1</v>
      </c>
      <c r="AI299" s="316"/>
      <c r="AJ299" s="211" t="s">
        <v>1363</v>
      </c>
    </row>
    <row r="300" spans="1:36" s="1" customFormat="1" outlineLevel="1">
      <c r="A300" t="s">
        <v>1378</v>
      </c>
      <c r="B300" s="302" t="s">
        <v>462</v>
      </c>
      <c r="C300" s="296">
        <v>0.95</v>
      </c>
      <c r="D300" s="317">
        <f t="shared" si="143"/>
        <v>0.94866666666666666</v>
      </c>
      <c r="E300" s="317">
        <f t="shared" si="143"/>
        <v>0.94733333333333336</v>
      </c>
      <c r="F300" s="317">
        <f t="shared" si="143"/>
        <v>0.94600000000000006</v>
      </c>
      <c r="G300" s="317">
        <f t="shared" si="143"/>
        <v>0.94466666666666677</v>
      </c>
      <c r="H300" s="317">
        <f t="shared" si="143"/>
        <v>0.94333333333333347</v>
      </c>
      <c r="I300" s="317">
        <f t="shared" si="143"/>
        <v>0.94200000000000017</v>
      </c>
      <c r="J300" s="317">
        <f t="shared" si="143"/>
        <v>0.94066666666666687</v>
      </c>
      <c r="K300" s="317">
        <f t="shared" si="143"/>
        <v>0.93933333333333358</v>
      </c>
      <c r="L300" s="317">
        <f t="shared" si="143"/>
        <v>0.93800000000000028</v>
      </c>
      <c r="M300" s="317">
        <f t="shared" si="143"/>
        <v>0.93666666666666698</v>
      </c>
      <c r="N300" s="317">
        <f t="shared" si="143"/>
        <v>0.93533333333333368</v>
      </c>
      <c r="O300" s="317">
        <f t="shared" si="143"/>
        <v>0.93400000000000039</v>
      </c>
      <c r="P300" s="317">
        <f t="shared" si="143"/>
        <v>0.93266666666666709</v>
      </c>
      <c r="Q300" s="317">
        <f t="shared" si="143"/>
        <v>0.93133333333333379</v>
      </c>
      <c r="R300" s="317">
        <f t="shared" si="143"/>
        <v>0.93000000000000049</v>
      </c>
      <c r="S300" s="317">
        <f t="shared" si="143"/>
        <v>0.9286666666666672</v>
      </c>
      <c r="T300" s="317">
        <f t="shared" si="144"/>
        <v>0.9273333333333339</v>
      </c>
      <c r="U300" s="317">
        <f t="shared" si="144"/>
        <v>0.9260000000000006</v>
      </c>
      <c r="V300" s="317">
        <f t="shared" si="144"/>
        <v>0.9246666666666673</v>
      </c>
      <c r="W300" s="317">
        <f t="shared" si="144"/>
        <v>0.92333333333333401</v>
      </c>
      <c r="X300" s="317">
        <f t="shared" si="144"/>
        <v>0.92200000000000071</v>
      </c>
      <c r="Y300" s="317">
        <f t="shared" si="144"/>
        <v>0.92066666666666741</v>
      </c>
      <c r="Z300" s="317">
        <f t="shared" si="144"/>
        <v>0.91933333333333411</v>
      </c>
      <c r="AA300" s="317">
        <f t="shared" si="144"/>
        <v>0.91800000000000082</v>
      </c>
      <c r="AB300" s="317">
        <f t="shared" si="144"/>
        <v>0.91666666666666752</v>
      </c>
      <c r="AC300" s="317">
        <f t="shared" si="144"/>
        <v>0.91533333333333422</v>
      </c>
      <c r="AD300" s="317">
        <f t="shared" si="144"/>
        <v>0.91400000000000092</v>
      </c>
      <c r="AE300" s="317">
        <f t="shared" si="144"/>
        <v>0.91266666666666763</v>
      </c>
      <c r="AF300" s="317">
        <f t="shared" si="144"/>
        <v>0.91133333333333433</v>
      </c>
      <c r="AG300" s="296">
        <v>0.91</v>
      </c>
      <c r="AI300" s="316"/>
      <c r="AJ300" s="211" t="s">
        <v>1363</v>
      </c>
    </row>
    <row r="301" spans="1:36" s="1" customFormat="1" outlineLevel="1">
      <c r="A301" t="s">
        <v>1379</v>
      </c>
      <c r="B301" s="302" t="s">
        <v>462</v>
      </c>
      <c r="C301" s="296">
        <v>0.05</v>
      </c>
      <c r="D301" s="317">
        <f t="shared" si="143"/>
        <v>5.1333333333333335E-2</v>
      </c>
      <c r="E301" s="317">
        <f t="shared" si="143"/>
        <v>5.2666666666666667E-2</v>
      </c>
      <c r="F301" s="317">
        <f t="shared" si="143"/>
        <v>5.3999999999999999E-2</v>
      </c>
      <c r="G301" s="317">
        <f t="shared" si="143"/>
        <v>5.5333333333333332E-2</v>
      </c>
      <c r="H301" s="317">
        <f t="shared" si="143"/>
        <v>5.6666666666666664E-2</v>
      </c>
      <c r="I301" s="317">
        <f t="shared" si="143"/>
        <v>5.7999999999999996E-2</v>
      </c>
      <c r="J301" s="317">
        <f t="shared" si="143"/>
        <v>5.9333333333333328E-2</v>
      </c>
      <c r="K301" s="317">
        <f t="shared" si="143"/>
        <v>6.066666666666666E-2</v>
      </c>
      <c r="L301" s="317">
        <f t="shared" si="143"/>
        <v>6.1999999999999993E-2</v>
      </c>
      <c r="M301" s="317">
        <f t="shared" si="143"/>
        <v>6.3333333333333325E-2</v>
      </c>
      <c r="N301" s="317">
        <f t="shared" si="143"/>
        <v>6.4666666666666664E-2</v>
      </c>
      <c r="O301" s="317">
        <f t="shared" si="143"/>
        <v>6.6000000000000003E-2</v>
      </c>
      <c r="P301" s="317">
        <f t="shared" si="143"/>
        <v>6.7333333333333342E-2</v>
      </c>
      <c r="Q301" s="317">
        <f t="shared" si="143"/>
        <v>6.8666666666666681E-2</v>
      </c>
      <c r="R301" s="317">
        <f t="shared" si="143"/>
        <v>7.0000000000000021E-2</v>
      </c>
      <c r="S301" s="317">
        <f t="shared" si="143"/>
        <v>7.133333333333336E-2</v>
      </c>
      <c r="T301" s="317">
        <f t="shared" si="144"/>
        <v>7.2666666666666699E-2</v>
      </c>
      <c r="U301" s="317">
        <f t="shared" si="144"/>
        <v>7.4000000000000038E-2</v>
      </c>
      <c r="V301" s="317">
        <f t="shared" si="144"/>
        <v>7.5333333333333377E-2</v>
      </c>
      <c r="W301" s="317">
        <f t="shared" si="144"/>
        <v>7.6666666666666716E-2</v>
      </c>
      <c r="X301" s="317">
        <f t="shared" si="144"/>
        <v>7.8000000000000055E-2</v>
      </c>
      <c r="Y301" s="317">
        <f t="shared" si="144"/>
        <v>7.9333333333333395E-2</v>
      </c>
      <c r="Z301" s="317">
        <f t="shared" si="144"/>
        <v>8.0666666666666734E-2</v>
      </c>
      <c r="AA301" s="317">
        <f t="shared" si="144"/>
        <v>8.2000000000000073E-2</v>
      </c>
      <c r="AB301" s="317">
        <f t="shared" si="144"/>
        <v>8.3333333333333412E-2</v>
      </c>
      <c r="AC301" s="317">
        <f t="shared" si="144"/>
        <v>8.4666666666666751E-2</v>
      </c>
      <c r="AD301" s="317">
        <f t="shared" si="144"/>
        <v>8.600000000000009E-2</v>
      </c>
      <c r="AE301" s="317">
        <f t="shared" si="144"/>
        <v>8.7333333333333429E-2</v>
      </c>
      <c r="AF301" s="317">
        <f t="shared" si="144"/>
        <v>8.8666666666666769E-2</v>
      </c>
      <c r="AG301" s="296">
        <v>0.09</v>
      </c>
      <c r="AI301" s="316"/>
      <c r="AJ301" s="211" t="s">
        <v>1363</v>
      </c>
    </row>
    <row r="302" spans="1:36" s="1" customFormat="1" outlineLevel="1">
      <c r="A302" t="s">
        <v>1380</v>
      </c>
      <c r="B302" s="302"/>
      <c r="C302" s="296">
        <v>0.27</v>
      </c>
      <c r="D302" s="317">
        <f t="shared" si="143"/>
        <v>0.26600000000000001</v>
      </c>
      <c r="E302" s="317">
        <f t="shared" si="143"/>
        <v>0.26200000000000001</v>
      </c>
      <c r="F302" s="317">
        <f t="shared" si="143"/>
        <v>0.25800000000000001</v>
      </c>
      <c r="G302" s="317">
        <f t="shared" si="143"/>
        <v>0.254</v>
      </c>
      <c r="H302" s="317">
        <f t="shared" si="143"/>
        <v>0.25</v>
      </c>
      <c r="I302" s="317">
        <f t="shared" si="143"/>
        <v>0.246</v>
      </c>
      <c r="J302" s="317">
        <f t="shared" si="143"/>
        <v>0.24199999999999999</v>
      </c>
      <c r="K302" s="317">
        <f t="shared" si="143"/>
        <v>0.23799999999999999</v>
      </c>
      <c r="L302" s="317">
        <f t="shared" si="143"/>
        <v>0.23399999999999999</v>
      </c>
      <c r="M302" s="317">
        <f t="shared" si="143"/>
        <v>0.22999999999999998</v>
      </c>
      <c r="N302" s="317">
        <f t="shared" si="143"/>
        <v>0.22599999999999998</v>
      </c>
      <c r="O302" s="317">
        <f t="shared" si="143"/>
        <v>0.22199999999999998</v>
      </c>
      <c r="P302" s="317">
        <f t="shared" si="143"/>
        <v>0.21799999999999997</v>
      </c>
      <c r="Q302" s="317">
        <f t="shared" si="143"/>
        <v>0.21399999999999997</v>
      </c>
      <c r="R302" s="317">
        <f t="shared" si="143"/>
        <v>0.20999999999999996</v>
      </c>
      <c r="S302" s="317">
        <f t="shared" si="143"/>
        <v>0.20599999999999996</v>
      </c>
      <c r="T302" s="317">
        <f t="shared" si="144"/>
        <v>0.20199999999999996</v>
      </c>
      <c r="U302" s="317">
        <f t="shared" si="144"/>
        <v>0.19799999999999995</v>
      </c>
      <c r="V302" s="317">
        <f t="shared" si="144"/>
        <v>0.19399999999999995</v>
      </c>
      <c r="W302" s="317">
        <f t="shared" si="144"/>
        <v>0.18999999999999995</v>
      </c>
      <c r="X302" s="317">
        <f t="shared" si="144"/>
        <v>0.18599999999999994</v>
      </c>
      <c r="Y302" s="317">
        <f t="shared" si="144"/>
        <v>0.18199999999999994</v>
      </c>
      <c r="Z302" s="317">
        <f t="shared" si="144"/>
        <v>0.17799999999999994</v>
      </c>
      <c r="AA302" s="317">
        <f t="shared" si="144"/>
        <v>0.17399999999999993</v>
      </c>
      <c r="AB302" s="317">
        <f t="shared" si="144"/>
        <v>0.16999999999999993</v>
      </c>
      <c r="AC302" s="317">
        <f t="shared" si="144"/>
        <v>0.16599999999999993</v>
      </c>
      <c r="AD302" s="317">
        <f t="shared" si="144"/>
        <v>0.16199999999999992</v>
      </c>
      <c r="AE302" s="317">
        <f t="shared" si="144"/>
        <v>0.15799999999999992</v>
      </c>
      <c r="AF302" s="317">
        <f t="shared" si="144"/>
        <v>0.15399999999999991</v>
      </c>
      <c r="AG302" s="296">
        <v>0.15</v>
      </c>
      <c r="AI302" s="316"/>
      <c r="AJ302" s="211"/>
    </row>
    <row r="303" spans="1:36" s="67" customFormat="1" outlineLevel="1">
      <c r="A303" s="345" t="s">
        <v>1381</v>
      </c>
      <c r="B303" s="308" t="s">
        <v>462</v>
      </c>
      <c r="C303" s="337">
        <v>0.16</v>
      </c>
      <c r="D303" s="338">
        <f t="shared" si="143"/>
        <v>0.16533333333333333</v>
      </c>
      <c r="E303" s="338">
        <f t="shared" si="143"/>
        <v>0.17066666666666666</v>
      </c>
      <c r="F303" s="338">
        <f t="shared" si="143"/>
        <v>0.17599999999999999</v>
      </c>
      <c r="G303" s="338">
        <f t="shared" si="143"/>
        <v>0.18133333333333332</v>
      </c>
      <c r="H303" s="338">
        <f t="shared" si="143"/>
        <v>0.18666666666666665</v>
      </c>
      <c r="I303" s="338">
        <f t="shared" si="143"/>
        <v>0.19199999999999998</v>
      </c>
      <c r="J303" s="338">
        <f t="shared" si="143"/>
        <v>0.19733333333333331</v>
      </c>
      <c r="K303" s="338">
        <f t="shared" si="143"/>
        <v>0.20266666666666663</v>
      </c>
      <c r="L303" s="338">
        <f t="shared" si="143"/>
        <v>0.20799999999999996</v>
      </c>
      <c r="M303" s="338">
        <f t="shared" si="143"/>
        <v>0.21333333333333329</v>
      </c>
      <c r="N303" s="338">
        <f t="shared" si="143"/>
        <v>0.21866666666666662</v>
      </c>
      <c r="O303" s="338">
        <f t="shared" si="143"/>
        <v>0.22399999999999995</v>
      </c>
      <c r="P303" s="338">
        <f t="shared" si="143"/>
        <v>0.22933333333333328</v>
      </c>
      <c r="Q303" s="338">
        <f t="shared" si="143"/>
        <v>0.23466666666666661</v>
      </c>
      <c r="R303" s="338">
        <f t="shared" si="143"/>
        <v>0.23999999999999994</v>
      </c>
      <c r="S303" s="338">
        <f t="shared" si="143"/>
        <v>0.24533333333333326</v>
      </c>
      <c r="T303" s="338">
        <f t="shared" si="144"/>
        <v>0.25066666666666659</v>
      </c>
      <c r="U303" s="338">
        <f t="shared" si="144"/>
        <v>0.25599999999999995</v>
      </c>
      <c r="V303" s="338">
        <f t="shared" si="144"/>
        <v>0.26133333333333331</v>
      </c>
      <c r="W303" s="338">
        <f t="shared" si="144"/>
        <v>0.26666666666666666</v>
      </c>
      <c r="X303" s="338">
        <f t="shared" si="144"/>
        <v>0.27200000000000002</v>
      </c>
      <c r="Y303" s="338">
        <f t="shared" si="144"/>
        <v>0.27733333333333338</v>
      </c>
      <c r="Z303" s="338">
        <f t="shared" si="144"/>
        <v>0.28266666666666673</v>
      </c>
      <c r="AA303" s="338">
        <f t="shared" si="144"/>
        <v>0.28800000000000009</v>
      </c>
      <c r="AB303" s="338">
        <f t="shared" si="144"/>
        <v>0.29333333333333345</v>
      </c>
      <c r="AC303" s="338">
        <f t="shared" si="144"/>
        <v>0.2986666666666668</v>
      </c>
      <c r="AD303" s="338">
        <f t="shared" si="144"/>
        <v>0.30400000000000016</v>
      </c>
      <c r="AE303" s="338">
        <f t="shared" si="144"/>
        <v>0.30933333333333352</v>
      </c>
      <c r="AF303" s="338">
        <f t="shared" si="144"/>
        <v>0.31466666666666687</v>
      </c>
      <c r="AG303" s="337">
        <v>0.32</v>
      </c>
      <c r="AI303" s="337"/>
      <c r="AJ303" s="339" t="s">
        <v>1363</v>
      </c>
    </row>
    <row r="304" spans="1:36" outlineLevel="1">
      <c r="A304" s="346" t="s">
        <v>1382</v>
      </c>
      <c r="B304" s="302" t="s">
        <v>462</v>
      </c>
      <c r="C304" s="296">
        <v>0.37</v>
      </c>
      <c r="D304" s="317">
        <f t="shared" si="143"/>
        <v>0.37166666666666665</v>
      </c>
      <c r="E304" s="317">
        <f t="shared" si="143"/>
        <v>0.37333333333333329</v>
      </c>
      <c r="F304" s="317">
        <f t="shared" si="143"/>
        <v>0.37499999999999994</v>
      </c>
      <c r="G304" s="317">
        <f t="shared" si="143"/>
        <v>0.37666666666666659</v>
      </c>
      <c r="H304" s="317">
        <f t="shared" si="143"/>
        <v>0.37833333333333324</v>
      </c>
      <c r="I304" s="317">
        <f t="shared" si="143"/>
        <v>0.37999999999999989</v>
      </c>
      <c r="J304" s="317">
        <f t="shared" si="143"/>
        <v>0.38166666666666654</v>
      </c>
      <c r="K304" s="317">
        <f t="shared" si="143"/>
        <v>0.38333333333333319</v>
      </c>
      <c r="L304" s="317">
        <f t="shared" si="143"/>
        <v>0.38499999999999984</v>
      </c>
      <c r="M304" s="317">
        <f t="shared" si="143"/>
        <v>0.38666666666666649</v>
      </c>
      <c r="N304" s="317">
        <f t="shared" si="143"/>
        <v>0.38833333333333314</v>
      </c>
      <c r="O304" s="317">
        <f t="shared" si="143"/>
        <v>0.38999999999999979</v>
      </c>
      <c r="P304" s="317">
        <f t="shared" si="143"/>
        <v>0.39166666666666644</v>
      </c>
      <c r="Q304" s="317">
        <f t="shared" si="143"/>
        <v>0.39333333333333309</v>
      </c>
      <c r="R304" s="317">
        <f t="shared" si="143"/>
        <v>0.39499999999999974</v>
      </c>
      <c r="S304" s="317">
        <f t="shared" si="143"/>
        <v>0.39666666666666639</v>
      </c>
      <c r="T304" s="317">
        <f t="shared" si="144"/>
        <v>0.39833333333333304</v>
      </c>
      <c r="U304" s="317">
        <f t="shared" si="144"/>
        <v>0.39999999999999969</v>
      </c>
      <c r="V304" s="317">
        <f t="shared" si="144"/>
        <v>0.40166666666666634</v>
      </c>
      <c r="W304" s="317">
        <f t="shared" si="144"/>
        <v>0.40333333333333299</v>
      </c>
      <c r="X304" s="317">
        <f t="shared" si="144"/>
        <v>0.40499999999999964</v>
      </c>
      <c r="Y304" s="317">
        <f t="shared" si="144"/>
        <v>0.40666666666666629</v>
      </c>
      <c r="Z304" s="317">
        <f t="shared" si="144"/>
        <v>0.40833333333333294</v>
      </c>
      <c r="AA304" s="317">
        <f t="shared" si="144"/>
        <v>0.40999999999999959</v>
      </c>
      <c r="AB304" s="317">
        <f t="shared" si="144"/>
        <v>0.41166666666666624</v>
      </c>
      <c r="AC304" s="317">
        <f t="shared" si="144"/>
        <v>0.41333333333333289</v>
      </c>
      <c r="AD304" s="317">
        <f t="shared" si="144"/>
        <v>0.41499999999999954</v>
      </c>
      <c r="AE304" s="317">
        <f t="shared" si="144"/>
        <v>0.41666666666666619</v>
      </c>
      <c r="AF304" s="317">
        <f t="shared" si="144"/>
        <v>0.41833333333333284</v>
      </c>
      <c r="AG304" s="296">
        <v>0.42</v>
      </c>
      <c r="AI304" s="296"/>
      <c r="AJ304" s="211" t="s">
        <v>1363</v>
      </c>
    </row>
    <row r="305" spans="1:36" outlineLevel="1">
      <c r="A305" s="346" t="s">
        <v>1383</v>
      </c>
      <c r="B305" s="302" t="s">
        <v>462</v>
      </c>
      <c r="C305" s="296">
        <v>0.08</v>
      </c>
      <c r="D305" s="317">
        <f t="shared" si="143"/>
        <v>7.7666666666666662E-2</v>
      </c>
      <c r="E305" s="317">
        <f t="shared" si="143"/>
        <v>7.5333333333333322E-2</v>
      </c>
      <c r="F305" s="317">
        <f t="shared" si="143"/>
        <v>7.2999999999999982E-2</v>
      </c>
      <c r="G305" s="317">
        <f t="shared" si="143"/>
        <v>7.0666666666666642E-2</v>
      </c>
      <c r="H305" s="317">
        <f t="shared" si="143"/>
        <v>6.8333333333333302E-2</v>
      </c>
      <c r="I305" s="317">
        <f t="shared" si="143"/>
        <v>6.5999999999999961E-2</v>
      </c>
      <c r="J305" s="317">
        <f t="shared" si="143"/>
        <v>6.3666666666666621E-2</v>
      </c>
      <c r="K305" s="317">
        <f t="shared" si="143"/>
        <v>6.1333333333333288E-2</v>
      </c>
      <c r="L305" s="317">
        <f t="shared" si="143"/>
        <v>5.8999999999999955E-2</v>
      </c>
      <c r="M305" s="317">
        <f t="shared" si="143"/>
        <v>5.6666666666666622E-2</v>
      </c>
      <c r="N305" s="317">
        <f t="shared" si="143"/>
        <v>5.4333333333333289E-2</v>
      </c>
      <c r="O305" s="317">
        <f t="shared" si="143"/>
        <v>5.1999999999999956E-2</v>
      </c>
      <c r="P305" s="317">
        <f t="shared" si="143"/>
        <v>4.9666666666666623E-2</v>
      </c>
      <c r="Q305" s="317">
        <f t="shared" si="143"/>
        <v>4.733333333333329E-2</v>
      </c>
      <c r="R305" s="317">
        <f t="shared" si="143"/>
        <v>4.4999999999999957E-2</v>
      </c>
      <c r="S305" s="317">
        <f t="shared" si="143"/>
        <v>4.2666666666666624E-2</v>
      </c>
      <c r="T305" s="317">
        <f t="shared" si="144"/>
        <v>4.0333333333333291E-2</v>
      </c>
      <c r="U305" s="317">
        <f t="shared" si="144"/>
        <v>3.7999999999999957E-2</v>
      </c>
      <c r="V305" s="317">
        <f t="shared" si="144"/>
        <v>3.5666666666666624E-2</v>
      </c>
      <c r="W305" s="317">
        <f t="shared" si="144"/>
        <v>3.3333333333333291E-2</v>
      </c>
      <c r="X305" s="317">
        <f t="shared" si="144"/>
        <v>3.0999999999999958E-2</v>
      </c>
      <c r="Y305" s="317">
        <f t="shared" si="144"/>
        <v>2.8666666666666625E-2</v>
      </c>
      <c r="Z305" s="317">
        <f t="shared" si="144"/>
        <v>2.6333333333333292E-2</v>
      </c>
      <c r="AA305" s="317">
        <f t="shared" si="144"/>
        <v>2.3999999999999959E-2</v>
      </c>
      <c r="AB305" s="317">
        <f t="shared" si="144"/>
        <v>2.1666666666666626E-2</v>
      </c>
      <c r="AC305" s="317">
        <f t="shared" si="144"/>
        <v>1.9333333333333293E-2</v>
      </c>
      <c r="AD305" s="317">
        <f t="shared" si="144"/>
        <v>1.699999999999996E-2</v>
      </c>
      <c r="AE305" s="317">
        <f t="shared" si="144"/>
        <v>1.4666666666666626E-2</v>
      </c>
      <c r="AF305" s="317">
        <f t="shared" si="144"/>
        <v>1.2333333333333293E-2</v>
      </c>
      <c r="AG305" s="296">
        <v>0.01</v>
      </c>
      <c r="AI305" s="296"/>
      <c r="AJ305" s="211" t="s">
        <v>1363</v>
      </c>
    </row>
    <row r="306" spans="1:36" outlineLevel="1">
      <c r="A306" s="346" t="s">
        <v>1384</v>
      </c>
      <c r="B306" s="302" t="s">
        <v>462</v>
      </c>
      <c r="C306" s="296">
        <v>0.27</v>
      </c>
      <c r="D306" s="317">
        <f t="shared" si="143"/>
        <v>0.26633333333333337</v>
      </c>
      <c r="E306" s="317">
        <f t="shared" si="143"/>
        <v>0.26266666666666671</v>
      </c>
      <c r="F306" s="317">
        <f t="shared" si="143"/>
        <v>0.25900000000000006</v>
      </c>
      <c r="G306" s="317">
        <f t="shared" si="143"/>
        <v>0.25533333333333341</v>
      </c>
      <c r="H306" s="317">
        <f t="shared" si="143"/>
        <v>0.25166666666666676</v>
      </c>
      <c r="I306" s="317">
        <f t="shared" si="143"/>
        <v>0.24800000000000008</v>
      </c>
      <c r="J306" s="317">
        <f t="shared" si="143"/>
        <v>0.2443333333333334</v>
      </c>
      <c r="K306" s="317">
        <f t="shared" si="143"/>
        <v>0.24066666666666672</v>
      </c>
      <c r="L306" s="317">
        <f t="shared" si="143"/>
        <v>0.23700000000000004</v>
      </c>
      <c r="M306" s="317">
        <f t="shared" si="143"/>
        <v>0.23333333333333336</v>
      </c>
      <c r="N306" s="317">
        <f t="shared" si="143"/>
        <v>0.22966666666666669</v>
      </c>
      <c r="O306" s="317">
        <f t="shared" si="143"/>
        <v>0.22600000000000001</v>
      </c>
      <c r="P306" s="317">
        <f t="shared" si="143"/>
        <v>0.22233333333333333</v>
      </c>
      <c r="Q306" s="317">
        <f t="shared" si="143"/>
        <v>0.21866666666666665</v>
      </c>
      <c r="R306" s="317">
        <f t="shared" si="143"/>
        <v>0.21499999999999997</v>
      </c>
      <c r="S306" s="317">
        <f t="shared" si="143"/>
        <v>0.21133333333333329</v>
      </c>
      <c r="T306" s="317">
        <f t="shared" si="144"/>
        <v>0.20766666666666661</v>
      </c>
      <c r="U306" s="317">
        <f t="shared" si="144"/>
        <v>0.20399999999999993</v>
      </c>
      <c r="V306" s="317">
        <f t="shared" si="144"/>
        <v>0.20033333333333325</v>
      </c>
      <c r="W306" s="317">
        <f t="shared" si="144"/>
        <v>0.19666666666666657</v>
      </c>
      <c r="X306" s="317">
        <f t="shared" si="144"/>
        <v>0.19299999999999989</v>
      </c>
      <c r="Y306" s="317">
        <f t="shared" si="144"/>
        <v>0.18933333333333321</v>
      </c>
      <c r="Z306" s="317">
        <f t="shared" si="144"/>
        <v>0.18566666666666654</v>
      </c>
      <c r="AA306" s="317">
        <f t="shared" si="144"/>
        <v>0.18199999999999986</v>
      </c>
      <c r="AB306" s="317">
        <f t="shared" si="144"/>
        <v>0.17833333333333318</v>
      </c>
      <c r="AC306" s="317">
        <f t="shared" si="144"/>
        <v>0.1746666666666665</v>
      </c>
      <c r="AD306" s="317">
        <f t="shared" si="144"/>
        <v>0.17099999999999982</v>
      </c>
      <c r="AE306" s="317">
        <f t="shared" si="144"/>
        <v>0.16733333333333314</v>
      </c>
      <c r="AF306" s="317">
        <f t="shared" si="144"/>
        <v>0.16366666666666646</v>
      </c>
      <c r="AG306" s="296">
        <v>0.16</v>
      </c>
      <c r="AI306" s="296"/>
      <c r="AJ306" s="211" t="s">
        <v>1363</v>
      </c>
    </row>
    <row r="307" spans="1:36" outlineLevel="1">
      <c r="A307" s="346" t="s">
        <v>1385</v>
      </c>
      <c r="B307" s="302" t="s">
        <v>462</v>
      </c>
      <c r="C307" s="296">
        <v>7.0000000000000007E-2</v>
      </c>
      <c r="D307" s="317">
        <f t="shared" si="143"/>
        <v>6.9666666666666668E-2</v>
      </c>
      <c r="E307" s="317">
        <f t="shared" si="143"/>
        <v>6.933333333333333E-2</v>
      </c>
      <c r="F307" s="317">
        <f t="shared" si="143"/>
        <v>6.8999999999999992E-2</v>
      </c>
      <c r="G307" s="317">
        <f t="shared" si="143"/>
        <v>6.8666666666666654E-2</v>
      </c>
      <c r="H307" s="317">
        <f t="shared" si="143"/>
        <v>6.8333333333333315E-2</v>
      </c>
      <c r="I307" s="317">
        <f t="shared" si="143"/>
        <v>6.7999999999999977E-2</v>
      </c>
      <c r="J307" s="317">
        <f t="shared" si="143"/>
        <v>6.7666666666666639E-2</v>
      </c>
      <c r="K307" s="317">
        <f t="shared" si="143"/>
        <v>6.7333333333333301E-2</v>
      </c>
      <c r="L307" s="317">
        <f t="shared" si="143"/>
        <v>6.6999999999999962E-2</v>
      </c>
      <c r="M307" s="317">
        <f t="shared" si="143"/>
        <v>6.6666666666666624E-2</v>
      </c>
      <c r="N307" s="317">
        <f t="shared" si="143"/>
        <v>6.6333333333333286E-2</v>
      </c>
      <c r="O307" s="317">
        <f t="shared" si="143"/>
        <v>6.5999999999999948E-2</v>
      </c>
      <c r="P307" s="317">
        <f t="shared" si="143"/>
        <v>6.5666666666666609E-2</v>
      </c>
      <c r="Q307" s="317">
        <f t="shared" si="143"/>
        <v>6.5333333333333271E-2</v>
      </c>
      <c r="R307" s="317">
        <f t="shared" si="143"/>
        <v>6.4999999999999933E-2</v>
      </c>
      <c r="S307" s="317">
        <f t="shared" ref="S307:AF307" si="145">-($C307-$AG307)/30+R307</f>
        <v>6.4666666666666595E-2</v>
      </c>
      <c r="T307" s="317">
        <f t="shared" si="145"/>
        <v>6.4333333333333256E-2</v>
      </c>
      <c r="U307" s="317">
        <f t="shared" si="145"/>
        <v>6.3999999999999918E-2</v>
      </c>
      <c r="V307" s="317">
        <f t="shared" si="145"/>
        <v>6.366666666666658E-2</v>
      </c>
      <c r="W307" s="317">
        <f t="shared" si="145"/>
        <v>6.3333333333333242E-2</v>
      </c>
      <c r="X307" s="317">
        <f t="shared" si="145"/>
        <v>6.2999999999999903E-2</v>
      </c>
      <c r="Y307" s="317">
        <f t="shared" si="145"/>
        <v>6.2666666666666565E-2</v>
      </c>
      <c r="Z307" s="317">
        <f t="shared" si="145"/>
        <v>6.2333333333333234E-2</v>
      </c>
      <c r="AA307" s="317">
        <f t="shared" si="145"/>
        <v>6.1999999999999902E-2</v>
      </c>
      <c r="AB307" s="317">
        <f t="shared" si="145"/>
        <v>6.1666666666666571E-2</v>
      </c>
      <c r="AC307" s="317">
        <f t="shared" si="145"/>
        <v>6.133333333333324E-2</v>
      </c>
      <c r="AD307" s="317">
        <f t="shared" si="145"/>
        <v>6.0999999999999908E-2</v>
      </c>
      <c r="AE307" s="317">
        <f t="shared" si="145"/>
        <v>6.0666666666666577E-2</v>
      </c>
      <c r="AF307" s="317">
        <f t="shared" si="145"/>
        <v>6.0333333333333246E-2</v>
      </c>
      <c r="AG307" s="296">
        <v>0.06</v>
      </c>
      <c r="AI307" s="296"/>
      <c r="AJ307" s="211" t="s">
        <v>1363</v>
      </c>
    </row>
    <row r="308" spans="1:36" s="68" customFormat="1" outlineLevel="1">
      <c r="A308" s="347" t="s">
        <v>1386</v>
      </c>
      <c r="B308" s="312" t="s">
        <v>462</v>
      </c>
      <c r="C308" s="314">
        <v>0.05</v>
      </c>
      <c r="D308" s="340">
        <f t="shared" ref="D308:AF308" si="146">-($C308-$AG308)/30+C308</f>
        <v>4.9333333333333333E-2</v>
      </c>
      <c r="E308" s="340">
        <f t="shared" si="146"/>
        <v>4.8666666666666664E-2</v>
      </c>
      <c r="F308" s="340">
        <f t="shared" si="146"/>
        <v>4.7999999999999994E-2</v>
      </c>
      <c r="G308" s="340">
        <f t="shared" si="146"/>
        <v>4.7333333333333324E-2</v>
      </c>
      <c r="H308" s="340">
        <f t="shared" si="146"/>
        <v>4.6666666666666655E-2</v>
      </c>
      <c r="I308" s="340">
        <f t="shared" si="146"/>
        <v>4.5999999999999985E-2</v>
      </c>
      <c r="J308" s="340">
        <f t="shared" si="146"/>
        <v>4.5333333333333316E-2</v>
      </c>
      <c r="K308" s="340">
        <f t="shared" si="146"/>
        <v>4.4666666666666646E-2</v>
      </c>
      <c r="L308" s="340">
        <f t="shared" si="146"/>
        <v>4.3999999999999977E-2</v>
      </c>
      <c r="M308" s="340">
        <f t="shared" si="146"/>
        <v>4.3333333333333307E-2</v>
      </c>
      <c r="N308" s="340">
        <f t="shared" si="146"/>
        <v>4.2666666666666637E-2</v>
      </c>
      <c r="O308" s="340">
        <f t="shared" si="146"/>
        <v>4.1999999999999968E-2</v>
      </c>
      <c r="P308" s="340">
        <f t="shared" si="146"/>
        <v>4.1333333333333298E-2</v>
      </c>
      <c r="Q308" s="340">
        <f t="shared" si="146"/>
        <v>4.0666666666666629E-2</v>
      </c>
      <c r="R308" s="340">
        <f t="shared" si="146"/>
        <v>3.9999999999999959E-2</v>
      </c>
      <c r="S308" s="340">
        <f t="shared" si="146"/>
        <v>3.933333333333329E-2</v>
      </c>
      <c r="T308" s="340">
        <f t="shared" si="146"/>
        <v>3.866666666666662E-2</v>
      </c>
      <c r="U308" s="340">
        <f t="shared" si="146"/>
        <v>3.799999999999995E-2</v>
      </c>
      <c r="V308" s="340">
        <f t="shared" si="146"/>
        <v>3.7333333333333281E-2</v>
      </c>
      <c r="W308" s="340">
        <f t="shared" si="146"/>
        <v>3.6666666666666611E-2</v>
      </c>
      <c r="X308" s="340">
        <f t="shared" si="146"/>
        <v>3.5999999999999942E-2</v>
      </c>
      <c r="Y308" s="340">
        <f t="shared" si="146"/>
        <v>3.5333333333333272E-2</v>
      </c>
      <c r="Z308" s="340">
        <f t="shared" si="146"/>
        <v>3.4666666666666603E-2</v>
      </c>
      <c r="AA308" s="340">
        <f t="shared" si="146"/>
        <v>3.3999999999999933E-2</v>
      </c>
      <c r="AB308" s="340">
        <f t="shared" si="146"/>
        <v>3.3333333333333263E-2</v>
      </c>
      <c r="AC308" s="340">
        <f t="shared" si="146"/>
        <v>3.2666666666666594E-2</v>
      </c>
      <c r="AD308" s="340">
        <f t="shared" si="146"/>
        <v>3.1999999999999924E-2</v>
      </c>
      <c r="AE308" s="340">
        <f t="shared" si="146"/>
        <v>3.1333333333333255E-2</v>
      </c>
      <c r="AF308" s="340">
        <f t="shared" si="146"/>
        <v>3.0666666666666589E-2</v>
      </c>
      <c r="AG308" s="314">
        <v>0.03</v>
      </c>
      <c r="AI308" s="314"/>
      <c r="AJ308" s="341" t="s">
        <v>1363</v>
      </c>
    </row>
    <row r="309" spans="1:36" s="58" customFormat="1" outlineLevel="1">
      <c r="A309" s="58" t="s">
        <v>1361</v>
      </c>
      <c r="B309" s="303"/>
      <c r="C309" s="304">
        <f>C32</f>
        <v>70.764479384937346</v>
      </c>
      <c r="D309" s="304">
        <f t="shared" ref="D309:AG309" si="147">D32</f>
        <v>73.13661085387929</v>
      </c>
      <c r="E309" s="304">
        <f t="shared" si="147"/>
        <v>75.390666744568932</v>
      </c>
      <c r="F309" s="304">
        <f t="shared" si="147"/>
        <v>77.511176043347206</v>
      </c>
      <c r="G309" s="304">
        <f t="shared" si="147"/>
        <v>79.483286841213982</v>
      </c>
      <c r="H309" s="304">
        <f t="shared" si="147"/>
        <v>81.292939605458415</v>
      </c>
      <c r="I309" s="304">
        <f t="shared" si="147"/>
        <v>83.105945681537463</v>
      </c>
      <c r="J309" s="304">
        <f t="shared" si="147"/>
        <v>84.920663560469848</v>
      </c>
      <c r="K309" s="304">
        <f t="shared" si="147"/>
        <v>86.735410058637726</v>
      </c>
      <c r="L309" s="304">
        <f t="shared" si="147"/>
        <v>88.548462506721251</v>
      </c>
      <c r="M309" s="304">
        <f t="shared" si="147"/>
        <v>90.358061086572363</v>
      </c>
      <c r="N309" s="304">
        <f t="shared" si="147"/>
        <v>92.030546196497212</v>
      </c>
      <c r="O309" s="304">
        <f t="shared" si="147"/>
        <v>93.556641933394388</v>
      </c>
      <c r="P309" s="304">
        <f t="shared" si="147"/>
        <v>94.927727566993539</v>
      </c>
      <c r="Q309" s="304">
        <f t="shared" si="147"/>
        <v>96.135917662760136</v>
      </c>
      <c r="R309" s="304">
        <f t="shared" si="147"/>
        <v>97.174136783080243</v>
      </c>
      <c r="S309" s="304">
        <f t="shared" si="147"/>
        <v>98.212816631838891</v>
      </c>
      <c r="T309" s="304">
        <f t="shared" si="147"/>
        <v>99.251725793738956</v>
      </c>
      <c r="U309" s="304">
        <f t="shared" si="147"/>
        <v>100.29063007523018</v>
      </c>
      <c r="V309" s="304">
        <f t="shared" si="147"/>
        <v>101.32929257839319</v>
      </c>
      <c r="W309" s="304">
        <f t="shared" si="147"/>
        <v>102.3674737772773</v>
      </c>
      <c r="X309" s="304">
        <f t="shared" si="147"/>
        <v>103.40607054116425</v>
      </c>
      <c r="Y309" s="304">
        <f t="shared" si="147"/>
        <v>104.44487435528823</v>
      </c>
      <c r="Z309" s="304">
        <f t="shared" si="147"/>
        <v>105.48367434845207</v>
      </c>
      <c r="AA309" s="304">
        <f t="shared" si="147"/>
        <v>106.52225735327879</v>
      </c>
      <c r="AB309" s="304">
        <f t="shared" si="147"/>
        <v>107.56040796833885</v>
      </c>
      <c r="AC309" s="304">
        <f t="shared" si="147"/>
        <v>108.59893533250059</v>
      </c>
      <c r="AD309" s="304">
        <f t="shared" si="147"/>
        <v>109.63765057252257</v>
      </c>
      <c r="AE309" s="304">
        <f t="shared" si="147"/>
        <v>110.67636279881994</v>
      </c>
      <c r="AF309" s="304">
        <f t="shared" si="147"/>
        <v>111.71487915509033</v>
      </c>
      <c r="AG309" s="304">
        <f t="shared" si="147"/>
        <v>112.75300486939346</v>
      </c>
      <c r="AI309" s="305"/>
      <c r="AJ309" s="306"/>
    </row>
    <row r="310" spans="1:36" s="58" customFormat="1" outlineLevel="1">
      <c r="A310" s="307" t="s">
        <v>3</v>
      </c>
      <c r="B310" s="308" t="s">
        <v>704</v>
      </c>
      <c r="C310" s="309">
        <v>0</v>
      </c>
      <c r="D310" s="309">
        <v>0</v>
      </c>
      <c r="E310" s="309">
        <v>0</v>
      </c>
      <c r="F310" s="309">
        <v>0</v>
      </c>
      <c r="G310" s="309">
        <v>0</v>
      </c>
      <c r="H310" s="309">
        <v>0</v>
      </c>
      <c r="I310" s="309">
        <v>0</v>
      </c>
      <c r="J310" s="309">
        <v>0</v>
      </c>
      <c r="K310" s="309">
        <v>0</v>
      </c>
      <c r="L310" s="309">
        <v>0</v>
      </c>
      <c r="M310" s="309">
        <v>0</v>
      </c>
      <c r="N310" s="309">
        <v>0</v>
      </c>
      <c r="O310" s="309">
        <v>0</v>
      </c>
      <c r="P310" s="309">
        <v>0</v>
      </c>
      <c r="Q310" s="309">
        <v>0</v>
      </c>
      <c r="R310" s="309">
        <v>0</v>
      </c>
      <c r="S310" s="309">
        <v>0</v>
      </c>
      <c r="T310" s="309">
        <v>0</v>
      </c>
      <c r="U310" s="309">
        <v>0</v>
      </c>
      <c r="V310" s="309">
        <v>0</v>
      </c>
      <c r="W310" s="309">
        <v>0</v>
      </c>
      <c r="X310" s="309">
        <v>0</v>
      </c>
      <c r="Y310" s="309">
        <v>0</v>
      </c>
      <c r="Z310" s="309">
        <v>0</v>
      </c>
      <c r="AA310" s="309">
        <v>0</v>
      </c>
      <c r="AB310" s="309">
        <v>0</v>
      </c>
      <c r="AC310" s="309">
        <v>0</v>
      </c>
      <c r="AD310" s="309">
        <v>0</v>
      </c>
      <c r="AE310" s="309">
        <v>0</v>
      </c>
      <c r="AF310" s="309">
        <v>0</v>
      </c>
      <c r="AG310" s="309">
        <v>0</v>
      </c>
      <c r="AI310" s="305"/>
      <c r="AJ310" s="306"/>
    </row>
    <row r="311" spans="1:36" outlineLevel="1">
      <c r="A311" s="310" t="s">
        <v>51</v>
      </c>
      <c r="B311" s="302" t="s">
        <v>704</v>
      </c>
      <c r="C311" s="249">
        <f t="shared" ref="C311:AG311" si="148">C278</f>
        <v>6.1470184945809105</v>
      </c>
      <c r="D311" s="249">
        <f t="shared" si="148"/>
        <v>6.2496737034404113</v>
      </c>
      <c r="E311" s="249">
        <f t="shared" si="148"/>
        <v>6.3540432542878662</v>
      </c>
      <c r="F311" s="249">
        <f t="shared" si="148"/>
        <v>6.4601557766344735</v>
      </c>
      <c r="G311" s="249">
        <f t="shared" si="148"/>
        <v>6.5680403781042687</v>
      </c>
      <c r="H311" s="249">
        <f t="shared" si="148"/>
        <v>6.6777266524186096</v>
      </c>
      <c r="I311" s="249">
        <f t="shared" si="148"/>
        <v>6.7892446875139996</v>
      </c>
      <c r="J311" s="249">
        <f t="shared" si="148"/>
        <v>6.9026250737954831</v>
      </c>
      <c r="K311" s="249">
        <f t="shared" si="148"/>
        <v>7.0178989125278672</v>
      </c>
      <c r="L311" s="249">
        <f t="shared" si="148"/>
        <v>7.1350978243670822</v>
      </c>
      <c r="M311" s="249">
        <f t="shared" si="148"/>
        <v>7.2542539580340124</v>
      </c>
      <c r="N311" s="249">
        <f t="shared" si="148"/>
        <v>7.3753999991331796</v>
      </c>
      <c r="O311" s="249">
        <f t="shared" si="148"/>
        <v>7.4985691791187028</v>
      </c>
      <c r="P311" s="249">
        <f t="shared" si="148"/>
        <v>7.6237952844099848</v>
      </c>
      <c r="Q311" s="249">
        <f t="shared" si="148"/>
        <v>7.7511126656596314</v>
      </c>
      <c r="R311" s="249">
        <f t="shared" si="148"/>
        <v>7.8805562471761466</v>
      </c>
      <c r="S311" s="249">
        <f t="shared" si="148"/>
        <v>8.0121615365039869</v>
      </c>
      <c r="T311" s="249">
        <f t="shared" si="148"/>
        <v>8.1459646341636027</v>
      </c>
      <c r="U311" s="249">
        <f t="shared" si="148"/>
        <v>8.2820022435541336</v>
      </c>
      <c r="V311" s="249">
        <f t="shared" si="148"/>
        <v>8.420311681021488</v>
      </c>
      <c r="W311" s="249">
        <f t="shared" si="148"/>
        <v>8.5609308860945461</v>
      </c>
      <c r="X311" s="249">
        <f t="shared" si="148"/>
        <v>8.7038984318923251</v>
      </c>
      <c r="Y311" s="249">
        <f t="shared" si="148"/>
        <v>8.8492535357049267</v>
      </c>
      <c r="Z311" s="249">
        <f t="shared" si="148"/>
        <v>8.9970360697511982</v>
      </c>
      <c r="AA311" s="249">
        <f t="shared" si="148"/>
        <v>9.1472865721160428</v>
      </c>
      <c r="AB311" s="249">
        <f t="shared" si="148"/>
        <v>9.3000462578703793</v>
      </c>
      <c r="AC311" s="249">
        <f t="shared" si="148"/>
        <v>9.4553570303768133</v>
      </c>
      <c r="AD311" s="249">
        <f t="shared" si="148"/>
        <v>9.6132614927841047</v>
      </c>
      <c r="AE311" s="249">
        <f t="shared" si="148"/>
        <v>9.7738029597135991</v>
      </c>
      <c r="AF311" s="249">
        <f t="shared" si="148"/>
        <v>9.9370254691408153</v>
      </c>
      <c r="AG311" s="249">
        <f t="shared" si="148"/>
        <v>10.102973794475467</v>
      </c>
      <c r="AI311" s="296"/>
    </row>
    <row r="312" spans="1:36" s="68" customFormat="1" outlineLevel="1">
      <c r="A312" s="311" t="s">
        <v>1387</v>
      </c>
      <c r="B312" s="312" t="s">
        <v>704</v>
      </c>
      <c r="C312" s="313">
        <f>C309-C310-C311</f>
        <v>64.61746089035644</v>
      </c>
      <c r="D312" s="313">
        <f t="shared" ref="D312:AG312" si="149">D309-D310-D311</f>
        <v>66.886937150438882</v>
      </c>
      <c r="E312" s="313">
        <f t="shared" si="149"/>
        <v>69.036623490281073</v>
      </c>
      <c r="F312" s="313">
        <f t="shared" si="149"/>
        <v>71.051020266712726</v>
      </c>
      <c r="G312" s="313">
        <f t="shared" si="149"/>
        <v>72.91524646310971</v>
      </c>
      <c r="H312" s="313">
        <f t="shared" si="149"/>
        <v>74.615212953039801</v>
      </c>
      <c r="I312" s="313">
        <f t="shared" si="149"/>
        <v>76.316700994023464</v>
      </c>
      <c r="J312" s="313">
        <f t="shared" si="149"/>
        <v>78.018038486674371</v>
      </c>
      <c r="K312" s="313">
        <f t="shared" si="149"/>
        <v>79.717511146109857</v>
      </c>
      <c r="L312" s="313">
        <f t="shared" si="149"/>
        <v>81.413364682354171</v>
      </c>
      <c r="M312" s="313">
        <f t="shared" si="149"/>
        <v>83.10380712853835</v>
      </c>
      <c r="N312" s="313">
        <f t="shared" si="149"/>
        <v>84.655146197364033</v>
      </c>
      <c r="O312" s="313">
        <f t="shared" si="149"/>
        <v>86.058072754275685</v>
      </c>
      <c r="P312" s="313">
        <f t="shared" si="149"/>
        <v>87.30393228258356</v>
      </c>
      <c r="Q312" s="313">
        <f t="shared" si="149"/>
        <v>88.384804997100503</v>
      </c>
      <c r="R312" s="313">
        <f t="shared" si="149"/>
        <v>89.293580535904098</v>
      </c>
      <c r="S312" s="313">
        <f t="shared" si="149"/>
        <v>90.200655095334909</v>
      </c>
      <c r="T312" s="313">
        <f t="shared" si="149"/>
        <v>91.105761159575351</v>
      </c>
      <c r="U312" s="313">
        <f t="shared" si="149"/>
        <v>92.008627831676051</v>
      </c>
      <c r="V312" s="313">
        <f t="shared" si="149"/>
        <v>92.908980897371706</v>
      </c>
      <c r="W312" s="313">
        <f t="shared" si="149"/>
        <v>93.806542891182744</v>
      </c>
      <c r="X312" s="313">
        <f t="shared" si="149"/>
        <v>94.702172109271928</v>
      </c>
      <c r="Y312" s="313">
        <f t="shared" si="149"/>
        <v>95.595620819583303</v>
      </c>
      <c r="Z312" s="313">
        <f t="shared" si="149"/>
        <v>96.486638278700866</v>
      </c>
      <c r="AA312" s="313">
        <f t="shared" si="149"/>
        <v>97.374970781162745</v>
      </c>
      <c r="AB312" s="313">
        <f t="shared" si="149"/>
        <v>98.260361710468473</v>
      </c>
      <c r="AC312" s="313">
        <f t="shared" si="149"/>
        <v>99.143578302123771</v>
      </c>
      <c r="AD312" s="313">
        <f t="shared" si="149"/>
        <v>100.02438907973847</v>
      </c>
      <c r="AE312" s="313">
        <f t="shared" si="149"/>
        <v>100.90255983910635</v>
      </c>
      <c r="AF312" s="313">
        <f t="shared" si="149"/>
        <v>101.77785368594951</v>
      </c>
      <c r="AG312" s="313">
        <f t="shared" si="149"/>
        <v>102.65003107491799</v>
      </c>
      <c r="AI312" s="314"/>
      <c r="AJ312" s="315"/>
    </row>
    <row r="313" spans="1:36" outlineLevel="1">
      <c r="A313" s="112" t="s">
        <v>90</v>
      </c>
      <c r="B313" s="302" t="s">
        <v>704</v>
      </c>
      <c r="C313" s="230">
        <f>C282*C$312</f>
        <v>10.33879374245703</v>
      </c>
      <c r="D313" s="230">
        <f t="shared" ref="D313:AG313" si="150">D282*D$312</f>
        <v>10.840142947514462</v>
      </c>
      <c r="E313" s="230">
        <f t="shared" si="150"/>
        <v>11.331211135538133</v>
      </c>
      <c r="F313" s="230">
        <f t="shared" si="150"/>
        <v>11.808679568327655</v>
      </c>
      <c r="G313" s="230">
        <f t="shared" si="150"/>
        <v>12.269205471525925</v>
      </c>
      <c r="H313" s="230">
        <f t="shared" si="150"/>
        <v>12.709457939667777</v>
      </c>
      <c r="I313" s="230">
        <f t="shared" si="150"/>
        <v>13.156999251369642</v>
      </c>
      <c r="J313" s="230">
        <f t="shared" si="150"/>
        <v>13.611547114641786</v>
      </c>
      <c r="K313" s="230">
        <f t="shared" si="150"/>
        <v>14.072797967659923</v>
      </c>
      <c r="L313" s="230">
        <f t="shared" si="150"/>
        <v>14.540426932268451</v>
      </c>
      <c r="M313" s="230">
        <f t="shared" si="150"/>
        <v>15.01408782122259</v>
      </c>
      <c r="N313" s="230">
        <f t="shared" si="150"/>
        <v>15.469317048464983</v>
      </c>
      <c r="O313" s="230">
        <f t="shared" si="150"/>
        <v>15.903531844990141</v>
      </c>
      <c r="P313" s="230">
        <f t="shared" si="150"/>
        <v>16.314194812538776</v>
      </c>
      <c r="Q313" s="230">
        <f t="shared" si="150"/>
        <v>16.698835824118849</v>
      </c>
      <c r="R313" s="230">
        <f t="shared" si="150"/>
        <v>17.055073882357675</v>
      </c>
      <c r="S313" s="230">
        <f t="shared" si="150"/>
        <v>17.414739810405987</v>
      </c>
      <c r="T313" s="230">
        <f t="shared" si="150"/>
        <v>17.77777086093846</v>
      </c>
      <c r="U313" s="230">
        <f t="shared" si="150"/>
        <v>18.14410140840651</v>
      </c>
      <c r="V313" s="230">
        <f t="shared" si="150"/>
        <v>18.513662926816259</v>
      </c>
      <c r="W313" s="230">
        <f t="shared" si="150"/>
        <v>18.886383968758114</v>
      </c>
      <c r="X313" s="230">
        <f t="shared" si="150"/>
        <v>19.262421807025898</v>
      </c>
      <c r="Y313" s="230">
        <f t="shared" si="150"/>
        <v>19.64171355773037</v>
      </c>
      <c r="Z313" s="230">
        <f t="shared" si="150"/>
        <v>20.024193664106374</v>
      </c>
      <c r="AA313" s="230">
        <f t="shared" si="150"/>
        <v>20.409793875731697</v>
      </c>
      <c r="AB313" s="230">
        <f t="shared" si="150"/>
        <v>20.798443228715815</v>
      </c>
      <c r="AC313" s="230">
        <f t="shared" si="150"/>
        <v>21.19028746910724</v>
      </c>
      <c r="AD313" s="230">
        <f t="shared" si="150"/>
        <v>21.585263163407546</v>
      </c>
      <c r="AE313" s="230">
        <f t="shared" si="150"/>
        <v>21.983304370279953</v>
      </c>
      <c r="AF313" s="230">
        <f t="shared" si="150"/>
        <v>22.384342620663144</v>
      </c>
      <c r="AG313" s="230">
        <f t="shared" si="150"/>
        <v>22.788306898631795</v>
      </c>
      <c r="AI313" s="214"/>
    </row>
    <row r="314" spans="1:36" outlineLevel="1">
      <c r="A314" s="112" t="s">
        <v>33</v>
      </c>
      <c r="B314" s="302" t="s">
        <v>704</v>
      </c>
      <c r="C314" s="230">
        <f t="shared" ref="C314:AG318" si="151">C283*C$312</f>
        <v>23.908460529431881</v>
      </c>
      <c r="D314" s="230">
        <f t="shared" si="151"/>
        <v>24.259892104464186</v>
      </c>
      <c r="E314" s="230">
        <f t="shared" si="151"/>
        <v>24.535615988445898</v>
      </c>
      <c r="F314" s="230">
        <f t="shared" si="151"/>
        <v>24.732860154842705</v>
      </c>
      <c r="G314" s="230">
        <f t="shared" si="151"/>
        <v>24.849515994627797</v>
      </c>
      <c r="H314" s="230">
        <f t="shared" si="151"/>
        <v>24.884173519838782</v>
      </c>
      <c r="I314" s="230">
        <f t="shared" si="151"/>
        <v>24.894507864250464</v>
      </c>
      <c r="J314" s="230">
        <f t="shared" si="151"/>
        <v>24.879952473400472</v>
      </c>
      <c r="K314" s="230">
        <f t="shared" si="151"/>
        <v>24.839976473127848</v>
      </c>
      <c r="L314" s="230">
        <f t="shared" si="151"/>
        <v>24.774086872840392</v>
      </c>
      <c r="M314" s="230">
        <f t="shared" si="151"/>
        <v>24.681830717175913</v>
      </c>
      <c r="N314" s="230">
        <f t="shared" si="151"/>
        <v>24.524595853376386</v>
      </c>
      <c r="O314" s="230">
        <f t="shared" si="151"/>
        <v>24.30279974580748</v>
      </c>
      <c r="P314" s="230">
        <f t="shared" si="151"/>
        <v>24.017311770938768</v>
      </c>
      <c r="Q314" s="230">
        <f t="shared" si="151"/>
        <v>23.669450778223549</v>
      </c>
      <c r="R314" s="230">
        <f t="shared" si="151"/>
        <v>23.260977729603052</v>
      </c>
      <c r="S314" s="230">
        <f t="shared" si="151"/>
        <v>22.838805870138838</v>
      </c>
      <c r="T314" s="230">
        <f t="shared" si="151"/>
        <v>22.402906669139618</v>
      </c>
      <c r="U314" s="230">
        <f t="shared" si="151"/>
        <v>21.953258600637945</v>
      </c>
      <c r="V314" s="230">
        <f t="shared" si="151"/>
        <v>21.489847281562113</v>
      </c>
      <c r="W314" s="230">
        <f t="shared" si="151"/>
        <v>21.012665607624974</v>
      </c>
      <c r="X314" s="230">
        <f t="shared" si="151"/>
        <v>20.521960696079265</v>
      </c>
      <c r="Y314" s="230">
        <f t="shared" si="151"/>
        <v>20.017722999620783</v>
      </c>
      <c r="Z314" s="230">
        <f t="shared" si="151"/>
        <v>19.499949596125486</v>
      </c>
      <c r="AA314" s="230">
        <f t="shared" si="151"/>
        <v>18.968644308170543</v>
      </c>
      <c r="AB314" s="230">
        <f t="shared" si="151"/>
        <v>18.42381782071288</v>
      </c>
      <c r="AC314" s="230">
        <f t="shared" si="151"/>
        <v>17.865672810042746</v>
      </c>
      <c r="AD314" s="230">
        <f t="shared" si="151"/>
        <v>17.294216871886825</v>
      </c>
      <c r="AE314" s="230">
        <f t="shared" si="151"/>
        <v>16.709463909356053</v>
      </c>
      <c r="AF314" s="230">
        <f t="shared" si="151"/>
        <v>16.111434238485849</v>
      </c>
      <c r="AG314" s="230">
        <f t="shared" si="151"/>
        <v>15.500154692312616</v>
      </c>
      <c r="AI314" s="214"/>
    </row>
    <row r="315" spans="1:36" outlineLevel="1">
      <c r="A315" s="112" t="s">
        <v>451</v>
      </c>
      <c r="B315" s="302" t="s">
        <v>704</v>
      </c>
      <c r="C315" s="230">
        <f t="shared" si="151"/>
        <v>5.169396871228515</v>
      </c>
      <c r="D315" s="230">
        <f t="shared" si="151"/>
        <v>5.3576436657501549</v>
      </c>
      <c r="E315" s="230">
        <f t="shared" si="151"/>
        <v>5.5367372039205422</v>
      </c>
      <c r="F315" s="230">
        <f t="shared" si="151"/>
        <v>5.7053969274170324</v>
      </c>
      <c r="G315" s="230">
        <f t="shared" si="151"/>
        <v>5.8623858156340214</v>
      </c>
      <c r="H315" s="230">
        <f t="shared" si="151"/>
        <v>6.0065246427197048</v>
      </c>
      <c r="I315" s="230">
        <f t="shared" si="151"/>
        <v>6.1511261001182929</v>
      </c>
      <c r="J315" s="230">
        <f t="shared" si="151"/>
        <v>6.2960557058746236</v>
      </c>
      <c r="K315" s="230">
        <f t="shared" si="151"/>
        <v>6.4411749006056782</v>
      </c>
      <c r="L315" s="230">
        <f t="shared" si="151"/>
        <v>6.5863412028024548</v>
      </c>
      <c r="M315" s="230">
        <f t="shared" si="151"/>
        <v>6.7314083774116087</v>
      </c>
      <c r="N315" s="230">
        <f t="shared" si="151"/>
        <v>6.8655323566062263</v>
      </c>
      <c r="O315" s="230">
        <f t="shared" si="151"/>
        <v>6.9879155076471884</v>
      </c>
      <c r="P315" s="230">
        <f t="shared" si="151"/>
        <v>7.097809694574047</v>
      </c>
      <c r="Q315" s="230">
        <f t="shared" si="151"/>
        <v>7.1945231267639844</v>
      </c>
      <c r="R315" s="230">
        <f t="shared" si="151"/>
        <v>7.2774268136761879</v>
      </c>
      <c r="S315" s="230">
        <f t="shared" si="151"/>
        <v>7.3603734557793326</v>
      </c>
      <c r="T315" s="230">
        <f t="shared" si="151"/>
        <v>7.4433406867373106</v>
      </c>
      <c r="U315" s="230">
        <f t="shared" si="151"/>
        <v>7.526305756631106</v>
      </c>
      <c r="V315" s="230">
        <f t="shared" si="151"/>
        <v>7.6092455354947477</v>
      </c>
      <c r="W315" s="230">
        <f t="shared" si="151"/>
        <v>7.6921365170769906</v>
      </c>
      <c r="X315" s="230">
        <f t="shared" si="151"/>
        <v>7.7750483301712308</v>
      </c>
      <c r="Y315" s="230">
        <f t="shared" si="151"/>
        <v>7.8579600313697533</v>
      </c>
      <c r="Z315" s="230">
        <f t="shared" si="151"/>
        <v>7.9408503303370876</v>
      </c>
      <c r="AA315" s="230">
        <f t="shared" si="151"/>
        <v>8.0236975923678173</v>
      </c>
      <c r="AB315" s="230">
        <f t="shared" si="151"/>
        <v>8.1064798411136554</v>
      </c>
      <c r="AC315" s="230">
        <f t="shared" si="151"/>
        <v>8.1892595677554318</v>
      </c>
      <c r="AD315" s="230">
        <f t="shared" si="151"/>
        <v>8.2720169768943794</v>
      </c>
      <c r="AE315" s="230">
        <f t="shared" si="151"/>
        <v>8.3547319546780141</v>
      </c>
      <c r="AF315" s="230">
        <f t="shared" si="151"/>
        <v>8.4373840705652228</v>
      </c>
      <c r="AG315" s="230">
        <f t="shared" si="151"/>
        <v>8.5199525792181934</v>
      </c>
      <c r="AI315" s="214"/>
    </row>
    <row r="316" spans="1:36" outlineLevel="1">
      <c r="A316" s="112" t="s">
        <v>452</v>
      </c>
      <c r="B316" s="302" t="s">
        <v>704</v>
      </c>
      <c r="C316" s="230">
        <f t="shared" si="151"/>
        <v>17.446714440396239</v>
      </c>
      <c r="D316" s="230">
        <f t="shared" si="151"/>
        <v>18.269052100356539</v>
      </c>
      <c r="E316" s="230">
        <f t="shared" si="151"/>
        <v>19.072517849581651</v>
      </c>
      <c r="F316" s="230">
        <f t="shared" si="151"/>
        <v>19.851655062519534</v>
      </c>
      <c r="G316" s="230">
        <f t="shared" si="151"/>
        <v>20.600987634043928</v>
      </c>
      <c r="H316" s="230">
        <f t="shared" si="151"/>
        <v>21.315079166918366</v>
      </c>
      <c r="I316" s="230">
        <f t="shared" si="151"/>
        <v>22.040263247073973</v>
      </c>
      <c r="J316" s="230">
        <f t="shared" si="151"/>
        <v>22.776066035543131</v>
      </c>
      <c r="K316" s="230">
        <f t="shared" si="151"/>
        <v>23.521980288845477</v>
      </c>
      <c r="L316" s="230">
        <f t="shared" si="151"/>
        <v>24.277465348278007</v>
      </c>
      <c r="M316" s="230">
        <f t="shared" si="151"/>
        <v>25.041947214732883</v>
      </c>
      <c r="N316" s="230">
        <f t="shared" si="151"/>
        <v>25.774670178890759</v>
      </c>
      <c r="O316" s="230">
        <f t="shared" si="151"/>
        <v>26.471463179215188</v>
      </c>
      <c r="P316" s="230">
        <f t="shared" si="151"/>
        <v>27.128241891274786</v>
      </c>
      <c r="Q316" s="230">
        <f t="shared" si="151"/>
        <v>27.741044128423265</v>
      </c>
      <c r="R316" s="230">
        <f t="shared" si="151"/>
        <v>28.306065029881584</v>
      </c>
      <c r="S316" s="230">
        <f t="shared" si="151"/>
        <v>28.876236384519867</v>
      </c>
      <c r="T316" s="230">
        <f t="shared" si="151"/>
        <v>29.451455724185376</v>
      </c>
      <c r="U316" s="230">
        <f t="shared" si="151"/>
        <v>30.031616124259045</v>
      </c>
      <c r="V316" s="230">
        <f t="shared" si="151"/>
        <v>30.616606171713869</v>
      </c>
      <c r="W316" s="230">
        <f t="shared" si="151"/>
        <v>31.20630993513344</v>
      </c>
      <c r="X316" s="230">
        <f t="shared" si="151"/>
        <v>31.800989394293492</v>
      </c>
      <c r="Y316" s="230">
        <f t="shared" si="151"/>
        <v>32.400542416450747</v>
      </c>
      <c r="Z316" s="230">
        <f t="shared" si="151"/>
        <v>33.004862733867583</v>
      </c>
      <c r="AA316" s="230">
        <f t="shared" si="151"/>
        <v>33.613839913657351</v>
      </c>
      <c r="AB316" s="230">
        <f t="shared" si="151"/>
        <v>34.227359329146488</v>
      </c>
      <c r="AC316" s="230">
        <f t="shared" si="151"/>
        <v>34.845662987253071</v>
      </c>
      <c r="AD316" s="230">
        <f t="shared" si="151"/>
        <v>35.468648367675229</v>
      </c>
      <c r="AE316" s="230">
        <f t="shared" si="151"/>
        <v>36.096209073109613</v>
      </c>
      <c r="AF316" s="230">
        <f t="shared" si="151"/>
        <v>36.728234800136278</v>
      </c>
      <c r="AG316" s="230">
        <f t="shared" si="151"/>
        <v>37.364611311270146</v>
      </c>
      <c r="AI316" s="214"/>
    </row>
    <row r="317" spans="1:36" outlineLevel="1">
      <c r="A317" s="112" t="s">
        <v>1364</v>
      </c>
      <c r="B317" s="302" t="s">
        <v>704</v>
      </c>
      <c r="C317" s="230">
        <f t="shared" si="151"/>
        <v>4.5232222623249516</v>
      </c>
      <c r="D317" s="230">
        <f t="shared" si="151"/>
        <v>4.7668090542546118</v>
      </c>
      <c r="E317" s="230">
        <f t="shared" si="151"/>
        <v>5.0074564238283878</v>
      </c>
      <c r="F317" s="230">
        <f t="shared" si="151"/>
        <v>5.2435652956833998</v>
      </c>
      <c r="G317" s="230">
        <f t="shared" si="151"/>
        <v>5.4735045011641024</v>
      </c>
      <c r="H317" s="230">
        <f t="shared" si="151"/>
        <v>5.6956279220820383</v>
      </c>
      <c r="I317" s="230">
        <f t="shared" si="151"/>
        <v>5.9221759971362209</v>
      </c>
      <c r="J317" s="230">
        <f t="shared" si="151"/>
        <v>6.1530226353157191</v>
      </c>
      <c r="K317" s="230">
        <f t="shared" si="151"/>
        <v>6.3880298931749362</v>
      </c>
      <c r="L317" s="230">
        <f t="shared" si="151"/>
        <v>6.6270478851436296</v>
      </c>
      <c r="M317" s="230">
        <f t="shared" si="151"/>
        <v>6.869914722625837</v>
      </c>
      <c r="N317" s="230">
        <f t="shared" si="151"/>
        <v>7.1053886041654213</v>
      </c>
      <c r="O317" s="230">
        <f t="shared" si="151"/>
        <v>7.3321477986642885</v>
      </c>
      <c r="P317" s="230">
        <f t="shared" si="151"/>
        <v>7.548880011367392</v>
      </c>
      <c r="Q317" s="230">
        <f t="shared" si="151"/>
        <v>7.7542935584122841</v>
      </c>
      <c r="R317" s="230">
        <f t="shared" si="151"/>
        <v>7.9471286676954644</v>
      </c>
      <c r="S317" s="230">
        <f t="shared" si="151"/>
        <v>8.142112466605564</v>
      </c>
      <c r="T317" s="230">
        <f t="shared" si="151"/>
        <v>8.3392140048064629</v>
      </c>
      <c r="U317" s="230">
        <f t="shared" si="151"/>
        <v>8.5384006627795372</v>
      </c>
      <c r="V317" s="230">
        <f t="shared" si="151"/>
        <v>8.7396381364127649</v>
      </c>
      <c r="W317" s="230">
        <f t="shared" si="151"/>
        <v>8.9428904222927539</v>
      </c>
      <c r="X317" s="230">
        <f t="shared" si="151"/>
        <v>9.1482298257556671</v>
      </c>
      <c r="Y317" s="230">
        <f t="shared" si="151"/>
        <v>9.3556247575432181</v>
      </c>
      <c r="Z317" s="230">
        <f t="shared" si="151"/>
        <v>9.5650420746952118</v>
      </c>
      <c r="AA317" s="230">
        <f t="shared" si="151"/>
        <v>9.7764470664287391</v>
      </c>
      <c r="AB317" s="230">
        <f t="shared" si="151"/>
        <v>9.9898034405642928</v>
      </c>
      <c r="AC317" s="230">
        <f t="shared" si="151"/>
        <v>10.205178993231939</v>
      </c>
      <c r="AD317" s="230">
        <f t="shared" si="151"/>
        <v>10.422541342108747</v>
      </c>
      <c r="AE317" s="230">
        <f t="shared" si="151"/>
        <v>10.641856644364415</v>
      </c>
      <c r="AF317" s="230">
        <f t="shared" si="151"/>
        <v>10.863089583413677</v>
      </c>
      <c r="AG317" s="230">
        <f t="shared" si="151"/>
        <v>11.086203356091143</v>
      </c>
      <c r="AI317" s="214"/>
    </row>
    <row r="318" spans="1:36" outlineLevel="1">
      <c r="A318" s="112" t="s">
        <v>1365</v>
      </c>
      <c r="B318" s="302" t="s">
        <v>704</v>
      </c>
      <c r="C318" s="230">
        <f t="shared" si="151"/>
        <v>3.2308730445178222</v>
      </c>
      <c r="D318" s="230">
        <f t="shared" si="151"/>
        <v>3.393397278098933</v>
      </c>
      <c r="E318" s="230">
        <f t="shared" si="151"/>
        <v>3.5530848889664663</v>
      </c>
      <c r="F318" s="230">
        <f t="shared" si="151"/>
        <v>3.7088632579224052</v>
      </c>
      <c r="G318" s="230">
        <f t="shared" si="151"/>
        <v>3.8596470461139414</v>
      </c>
      <c r="H318" s="230">
        <f t="shared" si="151"/>
        <v>4.0043497618131374</v>
      </c>
      <c r="I318" s="230">
        <f t="shared" si="151"/>
        <v>4.1516285340748782</v>
      </c>
      <c r="J318" s="230">
        <f t="shared" si="151"/>
        <v>4.3013945218986489</v>
      </c>
      <c r="K318" s="230">
        <f t="shared" si="151"/>
        <v>4.4535516226960059</v>
      </c>
      <c r="L318" s="230">
        <f t="shared" si="151"/>
        <v>4.6079964410212479</v>
      </c>
      <c r="M318" s="230">
        <f t="shared" si="151"/>
        <v>4.7646182753695348</v>
      </c>
      <c r="N318" s="230">
        <f t="shared" si="151"/>
        <v>4.9156421558602741</v>
      </c>
      <c r="O318" s="230">
        <f t="shared" si="151"/>
        <v>5.0602146779514134</v>
      </c>
      <c r="P318" s="230">
        <f t="shared" si="151"/>
        <v>5.1974941018898111</v>
      </c>
      <c r="Q318" s="230">
        <f t="shared" si="151"/>
        <v>5.3266575811585932</v>
      </c>
      <c r="R318" s="230">
        <f t="shared" si="151"/>
        <v>5.4469084126901537</v>
      </c>
      <c r="S318" s="230">
        <f t="shared" si="151"/>
        <v>5.5683871078853455</v>
      </c>
      <c r="T318" s="230">
        <f t="shared" si="151"/>
        <v>5.6910732137681448</v>
      </c>
      <c r="U318" s="230">
        <f t="shared" si="151"/>
        <v>5.8149452789619307</v>
      </c>
      <c r="V318" s="230">
        <f t="shared" si="151"/>
        <v>5.9399808453719691</v>
      </c>
      <c r="W318" s="230">
        <f t="shared" si="151"/>
        <v>6.0661564402964894</v>
      </c>
      <c r="X318" s="230">
        <f t="shared" si="151"/>
        <v>6.1935220559463895</v>
      </c>
      <c r="Y318" s="230">
        <f t="shared" si="151"/>
        <v>6.3220570568684478</v>
      </c>
      <c r="Z318" s="230">
        <f t="shared" si="151"/>
        <v>6.4517398795691374</v>
      </c>
      <c r="AA318" s="230">
        <f t="shared" si="151"/>
        <v>6.5825480248066075</v>
      </c>
      <c r="AB318" s="230">
        <f t="shared" si="151"/>
        <v>6.7144580502153524</v>
      </c>
      <c r="AC318" s="230">
        <f t="shared" si="151"/>
        <v>6.8475164747333555</v>
      </c>
      <c r="AD318" s="230">
        <f t="shared" si="151"/>
        <v>6.9817023577657524</v>
      </c>
      <c r="AE318" s="230">
        <f t="shared" si="151"/>
        <v>7.1169938873183085</v>
      </c>
      <c r="AF318" s="230">
        <f t="shared" si="151"/>
        <v>7.2533683726853431</v>
      </c>
      <c r="AG318" s="230">
        <f t="shared" si="151"/>
        <v>7.3908022373940945</v>
      </c>
      <c r="AI318" s="214"/>
    </row>
    <row r="319" spans="1:36" s="58" customFormat="1">
      <c r="A319" s="58" t="s">
        <v>1366</v>
      </c>
      <c r="B319" s="303"/>
      <c r="C319" s="304">
        <f>C47</f>
        <v>70.764479384937346</v>
      </c>
      <c r="D319" s="304">
        <f t="shared" ref="D319:AG319" si="152">D47</f>
        <v>73.13661085387929</v>
      </c>
      <c r="E319" s="304">
        <f t="shared" si="152"/>
        <v>75.390666744568932</v>
      </c>
      <c r="F319" s="304">
        <f t="shared" si="152"/>
        <v>77.511176043347206</v>
      </c>
      <c r="G319" s="304">
        <f t="shared" si="152"/>
        <v>79.483286841213982</v>
      </c>
      <c r="H319" s="304">
        <f t="shared" si="152"/>
        <v>81.292939605458415</v>
      </c>
      <c r="I319" s="304">
        <f t="shared" si="152"/>
        <v>83.105945681537463</v>
      </c>
      <c r="J319" s="304">
        <f t="shared" si="152"/>
        <v>84.920663560469848</v>
      </c>
      <c r="K319" s="304">
        <f t="shared" si="152"/>
        <v>86.735410058637726</v>
      </c>
      <c r="L319" s="304">
        <f t="shared" si="152"/>
        <v>88.548462506721251</v>
      </c>
      <c r="M319" s="304">
        <f t="shared" si="152"/>
        <v>90.358061086572363</v>
      </c>
      <c r="N319" s="304">
        <f t="shared" si="152"/>
        <v>92.030546196497212</v>
      </c>
      <c r="O319" s="304">
        <f t="shared" si="152"/>
        <v>93.556641933394388</v>
      </c>
      <c r="P319" s="304">
        <f t="shared" si="152"/>
        <v>94.934764778396357</v>
      </c>
      <c r="Q319" s="304">
        <f t="shared" si="152"/>
        <v>96.150171217402942</v>
      </c>
      <c r="R319" s="304">
        <f t="shared" si="152"/>
        <v>97.195748011778804</v>
      </c>
      <c r="S319" s="304">
        <f t="shared" si="152"/>
        <v>98.241939602368916</v>
      </c>
      <c r="T319" s="304">
        <f t="shared" si="152"/>
        <v>99.288514590563977</v>
      </c>
      <c r="U319" s="304">
        <f t="shared" si="152"/>
        <v>100.33523872964443</v>
      </c>
      <c r="V319" s="304">
        <f t="shared" si="152"/>
        <v>101.38187499767295</v>
      </c>
      <c r="W319" s="304">
        <f t="shared" si="152"/>
        <v>102.42818367287526</v>
      </c>
      <c r="X319" s="304">
        <f t="shared" si="152"/>
        <v>103.47506211587536</v>
      </c>
      <c r="Y319" s="304">
        <f t="shared" si="152"/>
        <v>104.52230174975102</v>
      </c>
      <c r="Z319" s="304">
        <f t="shared" si="152"/>
        <v>105.58142119952514</v>
      </c>
      <c r="AA319" s="304">
        <f t="shared" si="152"/>
        <v>106.64070846287231</v>
      </c>
      <c r="AB319" s="304">
        <f t="shared" si="152"/>
        <v>107.69994773827553</v>
      </c>
      <c r="AC319" s="304">
        <f t="shared" si="152"/>
        <v>108.75994912386435</v>
      </c>
      <c r="AD319" s="304">
        <f t="shared" si="152"/>
        <v>109.82052364083079</v>
      </c>
      <c r="AE319" s="304">
        <f t="shared" si="152"/>
        <v>110.88148015027035</v>
      </c>
      <c r="AF319" s="304">
        <f t="shared" si="152"/>
        <v>111.94262540104081</v>
      </c>
      <c r="AG319" s="304">
        <f t="shared" si="152"/>
        <v>113.00376407913288</v>
      </c>
      <c r="AI319" s="305"/>
      <c r="AJ319" s="306"/>
    </row>
    <row r="320" spans="1:36" s="58" customFormat="1">
      <c r="A320" s="307" t="s">
        <v>3</v>
      </c>
      <c r="B320" s="308" t="s">
        <v>704</v>
      </c>
      <c r="C320" s="309">
        <f>C319-C309</f>
        <v>0</v>
      </c>
      <c r="D320" s="309">
        <f t="shared" ref="D320:AG320" si="153">D319-D309</f>
        <v>0</v>
      </c>
      <c r="E320" s="309">
        <f t="shared" si="153"/>
        <v>0</v>
      </c>
      <c r="F320" s="309">
        <f t="shared" si="153"/>
        <v>0</v>
      </c>
      <c r="G320" s="309">
        <f t="shared" si="153"/>
        <v>0</v>
      </c>
      <c r="H320" s="309">
        <f t="shared" si="153"/>
        <v>0</v>
      </c>
      <c r="I320" s="309">
        <f t="shared" si="153"/>
        <v>0</v>
      </c>
      <c r="J320" s="309">
        <f t="shared" si="153"/>
        <v>0</v>
      </c>
      <c r="K320" s="309">
        <f t="shared" si="153"/>
        <v>0</v>
      </c>
      <c r="L320" s="309">
        <f t="shared" si="153"/>
        <v>0</v>
      </c>
      <c r="M320" s="309">
        <f t="shared" si="153"/>
        <v>0</v>
      </c>
      <c r="N320" s="309">
        <f t="shared" si="153"/>
        <v>0</v>
      </c>
      <c r="O320" s="309">
        <f t="shared" si="153"/>
        <v>0</v>
      </c>
      <c r="P320" s="309">
        <f t="shared" si="153"/>
        <v>7.0372114028174337E-3</v>
      </c>
      <c r="Q320" s="309">
        <f t="shared" si="153"/>
        <v>1.4253554642806421E-2</v>
      </c>
      <c r="R320" s="309">
        <f t="shared" si="153"/>
        <v>2.1611228698560581E-2</v>
      </c>
      <c r="S320" s="309">
        <f t="shared" si="153"/>
        <v>2.9122970530025327E-2</v>
      </c>
      <c r="T320" s="309">
        <f t="shared" si="153"/>
        <v>3.6788796825021564E-2</v>
      </c>
      <c r="U320" s="309">
        <f t="shared" si="153"/>
        <v>4.4608654414247439E-2</v>
      </c>
      <c r="V320" s="309">
        <f t="shared" si="153"/>
        <v>5.2582419279758597E-2</v>
      </c>
      <c r="W320" s="309">
        <f t="shared" si="153"/>
        <v>6.0709895597966579E-2</v>
      </c>
      <c r="X320" s="309">
        <f t="shared" si="153"/>
        <v>6.8991574711105841E-2</v>
      </c>
      <c r="Y320" s="309">
        <f t="shared" si="153"/>
        <v>7.7427394462787902E-2</v>
      </c>
      <c r="Z320" s="309">
        <f t="shared" si="153"/>
        <v>9.7746851073068797E-2</v>
      </c>
      <c r="AA320" s="309">
        <f t="shared" si="153"/>
        <v>0.11845110959352212</v>
      </c>
      <c r="AB320" s="309">
        <f t="shared" si="153"/>
        <v>0.13953976993667538</v>
      </c>
      <c r="AC320" s="309">
        <f t="shared" si="153"/>
        <v>0.16101379136375726</v>
      </c>
      <c r="AD320" s="309">
        <f t="shared" si="153"/>
        <v>0.18287306830821137</v>
      </c>
      <c r="AE320" s="309">
        <f t="shared" si="153"/>
        <v>0.20511735145041143</v>
      </c>
      <c r="AF320" s="309">
        <f t="shared" si="153"/>
        <v>0.22774624595048465</v>
      </c>
      <c r="AG320" s="309">
        <f t="shared" si="153"/>
        <v>0.25075920973941379</v>
      </c>
      <c r="AI320" s="305"/>
      <c r="AJ320" s="306"/>
    </row>
    <row r="321" spans="1:36">
      <c r="A321" s="310" t="s">
        <v>51</v>
      </c>
      <c r="B321" s="302" t="s">
        <v>704</v>
      </c>
      <c r="C321" s="249">
        <f>C277</f>
        <v>6.1470184945809105</v>
      </c>
      <c r="D321" s="249">
        <f t="shared" ref="D321:AG321" si="154">D277</f>
        <v>6.5918673772683558</v>
      </c>
      <c r="E321" s="249">
        <f t="shared" si="154"/>
        <v>7.1488048815287524</v>
      </c>
      <c r="F321" s="249">
        <f t="shared" si="154"/>
        <v>7.7187271428009527</v>
      </c>
      <c r="G321" s="249">
        <f t="shared" si="154"/>
        <v>8.2987524751611126</v>
      </c>
      <c r="H321" s="249">
        <f t="shared" si="154"/>
        <v>8.8857564734805656</v>
      </c>
      <c r="I321" s="249">
        <f t="shared" si="154"/>
        <v>9.4968403576145057</v>
      </c>
      <c r="J321" s="249">
        <f t="shared" si="154"/>
        <v>10.132414840923506</v>
      </c>
      <c r="K321" s="249">
        <f t="shared" si="154"/>
        <v>10.792867488508211</v>
      </c>
      <c r="L321" s="249">
        <f t="shared" si="154"/>
        <v>11.478560707668674</v>
      </c>
      <c r="M321" s="249">
        <f t="shared" si="154"/>
        <v>12.18982971377074</v>
      </c>
      <c r="N321" s="249">
        <f t="shared" si="154"/>
        <v>13.356020014020505</v>
      </c>
      <c r="O321" s="249">
        <f t="shared" si="154"/>
        <v>14.547915820586532</v>
      </c>
      <c r="P321" s="249">
        <f t="shared" si="154"/>
        <v>15.761365552630705</v>
      </c>
      <c r="Q321" s="249">
        <f t="shared" si="154"/>
        <v>16.990567755239745</v>
      </c>
      <c r="R321" s="249">
        <f t="shared" si="154"/>
        <v>18.229960967784073</v>
      </c>
      <c r="S321" s="249">
        <f t="shared" si="154"/>
        <v>19.508782585754233</v>
      </c>
      <c r="T321" s="249">
        <f t="shared" si="154"/>
        <v>20.827944787428695</v>
      </c>
      <c r="U321" s="249">
        <f t="shared" si="154"/>
        <v>22.18836639306538</v>
      </c>
      <c r="V321" s="249">
        <f t="shared" si="154"/>
        <v>23.590972316525136</v>
      </c>
      <c r="W321" s="249">
        <f t="shared" si="154"/>
        <v>25.036692995614104</v>
      </c>
      <c r="X321" s="249">
        <f t="shared" si="154"/>
        <v>27.226871936462267</v>
      </c>
      <c r="Y321" s="249">
        <f t="shared" si="154"/>
        <v>29.487706240608638</v>
      </c>
      <c r="Z321" s="249">
        <f t="shared" si="154"/>
        <v>31.823946228548404</v>
      </c>
      <c r="AA321" s="249">
        <f t="shared" si="154"/>
        <v>34.234730551775755</v>
      </c>
      <c r="AB321" s="249">
        <f t="shared" si="154"/>
        <v>36.721742865197712</v>
      </c>
      <c r="AC321" s="249">
        <f t="shared" si="154"/>
        <v>39.287048989869859</v>
      </c>
      <c r="AD321" s="249">
        <f t="shared" si="154"/>
        <v>41.932428759326513</v>
      </c>
      <c r="AE321" s="249">
        <f t="shared" si="154"/>
        <v>44.659675631633803</v>
      </c>
      <c r="AF321" s="249">
        <f t="shared" si="154"/>
        <v>47.470595845121537</v>
      </c>
      <c r="AG321" s="249">
        <f t="shared" si="154"/>
        <v>50.367007543324213</v>
      </c>
      <c r="AI321" s="296"/>
    </row>
    <row r="322" spans="1:36" s="68" customFormat="1">
      <c r="A322" s="311" t="s">
        <v>1387</v>
      </c>
      <c r="B322" s="312" t="s">
        <v>704</v>
      </c>
      <c r="C322" s="313">
        <f>C319-C321</f>
        <v>64.61746089035644</v>
      </c>
      <c r="D322" s="313">
        <f t="shared" ref="D322:AG322" si="155">D319-D321</f>
        <v>66.544743476610932</v>
      </c>
      <c r="E322" s="313">
        <f t="shared" si="155"/>
        <v>68.241861863040185</v>
      </c>
      <c r="F322" s="313">
        <f t="shared" si="155"/>
        <v>69.792448900546248</v>
      </c>
      <c r="G322" s="313">
        <f t="shared" si="155"/>
        <v>71.184534366052873</v>
      </c>
      <c r="H322" s="313">
        <f t="shared" si="155"/>
        <v>72.407183131977845</v>
      </c>
      <c r="I322" s="313">
        <f t="shared" si="155"/>
        <v>73.609105323922961</v>
      </c>
      <c r="J322" s="313">
        <f t="shared" si="155"/>
        <v>74.788248719546345</v>
      </c>
      <c r="K322" s="313">
        <f t="shared" si="155"/>
        <v>75.942542570129518</v>
      </c>
      <c r="L322" s="313">
        <f t="shared" si="155"/>
        <v>77.069901799052573</v>
      </c>
      <c r="M322" s="313">
        <f t="shared" si="155"/>
        <v>78.168231372801628</v>
      </c>
      <c r="N322" s="313">
        <f t="shared" si="155"/>
        <v>78.674526182476711</v>
      </c>
      <c r="O322" s="313">
        <f t="shared" si="155"/>
        <v>79.008726112807864</v>
      </c>
      <c r="P322" s="313">
        <f t="shared" si="155"/>
        <v>79.17339922576565</v>
      </c>
      <c r="Q322" s="313">
        <f t="shared" si="155"/>
        <v>79.159603462163204</v>
      </c>
      <c r="R322" s="313">
        <f t="shared" si="155"/>
        <v>78.965787043994737</v>
      </c>
      <c r="S322" s="313">
        <f t="shared" si="155"/>
        <v>78.733157016614683</v>
      </c>
      <c r="T322" s="313">
        <f t="shared" si="155"/>
        <v>78.460569803135286</v>
      </c>
      <c r="U322" s="313">
        <f t="shared" si="155"/>
        <v>78.146872336579051</v>
      </c>
      <c r="V322" s="313">
        <f t="shared" si="155"/>
        <v>77.790902681147813</v>
      </c>
      <c r="W322" s="313">
        <f t="shared" si="155"/>
        <v>77.39149067726116</v>
      </c>
      <c r="X322" s="313">
        <f t="shared" si="155"/>
        <v>76.248190179413086</v>
      </c>
      <c r="Y322" s="313">
        <f t="shared" si="155"/>
        <v>75.034595509142378</v>
      </c>
      <c r="Z322" s="313">
        <f t="shared" si="155"/>
        <v>73.75747497097673</v>
      </c>
      <c r="AA322" s="313">
        <f t="shared" si="155"/>
        <v>72.405977911096556</v>
      </c>
      <c r="AB322" s="313">
        <f t="shared" si="155"/>
        <v>70.978204873077814</v>
      </c>
      <c r="AC322" s="313">
        <f t="shared" si="155"/>
        <v>69.472900133994486</v>
      </c>
      <c r="AD322" s="313">
        <f t="shared" si="155"/>
        <v>67.888094881504273</v>
      </c>
      <c r="AE322" s="313">
        <f t="shared" si="155"/>
        <v>66.221804518636546</v>
      </c>
      <c r="AF322" s="313">
        <f t="shared" si="155"/>
        <v>64.472029555919278</v>
      </c>
      <c r="AG322" s="313">
        <f t="shared" si="155"/>
        <v>62.636756535808665</v>
      </c>
      <c r="AI322" s="314"/>
      <c r="AJ322" s="315"/>
    </row>
    <row r="323" spans="1:36" s="58" customFormat="1" outlineLevel="1">
      <c r="A323" s="307" t="s">
        <v>1367</v>
      </c>
      <c r="B323" s="308" t="s">
        <v>462</v>
      </c>
      <c r="C323" s="309">
        <f>C319*C289</f>
        <v>59.44216268334737</v>
      </c>
      <c r="D323" s="309">
        <f t="shared" ref="D323:AG323" si="156">D319*D289</f>
        <v>61.727299560674119</v>
      </c>
      <c r="E323" s="309">
        <f t="shared" si="156"/>
        <v>63.931285399394454</v>
      </c>
      <c r="F323" s="309">
        <f t="shared" si="156"/>
        <v>66.039521988931824</v>
      </c>
      <c r="G323" s="309">
        <f t="shared" si="156"/>
        <v>68.037693536079161</v>
      </c>
      <c r="H323" s="309">
        <f t="shared" si="156"/>
        <v>69.911928060694237</v>
      </c>
      <c r="I323" s="309">
        <f t="shared" si="156"/>
        <v>71.803537068848371</v>
      </c>
      <c r="J323" s="309">
        <f t="shared" si="156"/>
        <v>73.711135970487831</v>
      </c>
      <c r="K323" s="309">
        <f t="shared" si="156"/>
        <v>75.633277571132098</v>
      </c>
      <c r="L323" s="309">
        <f t="shared" si="156"/>
        <v>77.568453155887809</v>
      </c>
      <c r="M323" s="309">
        <f t="shared" si="156"/>
        <v>79.515093756183674</v>
      </c>
      <c r="N323" s="309">
        <f t="shared" si="156"/>
        <v>81.355002837703537</v>
      </c>
      <c r="O323" s="309">
        <f t="shared" si="156"/>
        <v>83.078298036854221</v>
      </c>
      <c r="P323" s="309">
        <f t="shared" si="156"/>
        <v>84.681810182329556</v>
      </c>
      <c r="Q323" s="309">
        <f t="shared" si="156"/>
        <v>86.150553410793037</v>
      </c>
      <c r="R323" s="309">
        <f t="shared" si="156"/>
        <v>87.476173210600919</v>
      </c>
      <c r="S323" s="309">
        <f t="shared" si="156"/>
        <v>88.810713400541502</v>
      </c>
      <c r="T323" s="309">
        <f t="shared" si="156"/>
        <v>90.153971248232097</v>
      </c>
      <c r="U323" s="309">
        <f t="shared" si="156"/>
        <v>91.505737721435722</v>
      </c>
      <c r="V323" s="309">
        <f t="shared" si="156"/>
        <v>92.865797497868428</v>
      </c>
      <c r="W323" s="309">
        <f t="shared" si="156"/>
        <v>94.233928979045245</v>
      </c>
      <c r="X323" s="309">
        <f t="shared" si="156"/>
        <v>95.610957395068837</v>
      </c>
      <c r="Y323" s="309">
        <f t="shared" si="156"/>
        <v>96.996696023768948</v>
      </c>
      <c r="Z323" s="309">
        <f t="shared" si="156"/>
        <v>98.40188455795743</v>
      </c>
      <c r="AA323" s="309">
        <f t="shared" si="156"/>
        <v>99.81570312124849</v>
      </c>
      <c r="AB323" s="309">
        <f t="shared" si="156"/>
        <v>101.237950873979</v>
      </c>
      <c r="AC323" s="309">
        <f t="shared" si="156"/>
        <v>102.66939197292795</v>
      </c>
      <c r="AD323" s="309">
        <f t="shared" si="156"/>
        <v>104.10985641150759</v>
      </c>
      <c r="AE323" s="309">
        <f t="shared" si="156"/>
        <v>105.55916910305739</v>
      </c>
      <c r="AF323" s="309">
        <f t="shared" si="156"/>
        <v>107.01714988339502</v>
      </c>
      <c r="AG323" s="309">
        <f t="shared" si="156"/>
        <v>108.48361351596756</v>
      </c>
      <c r="AI323" s="305"/>
      <c r="AJ323" s="339" t="s">
        <v>1363</v>
      </c>
    </row>
    <row r="324" spans="1:36" s="58" customFormat="1" outlineLevel="1">
      <c r="A324" s="307" t="s">
        <v>1368</v>
      </c>
      <c r="B324" s="308" t="s">
        <v>462</v>
      </c>
      <c r="C324" s="309">
        <f>C323*C290</f>
        <v>13.077275790336421</v>
      </c>
      <c r="D324" s="309">
        <f t="shared" ref="D324:AG324" si="157">D323*D290</f>
        <v>13.991521233752799</v>
      </c>
      <c r="E324" s="309">
        <f t="shared" si="157"/>
        <v>14.917299926525372</v>
      </c>
      <c r="F324" s="309">
        <f t="shared" si="157"/>
        <v>15.849485277343636</v>
      </c>
      <c r="G324" s="309">
        <f t="shared" si="157"/>
        <v>16.782631072232856</v>
      </c>
      <c r="H324" s="309">
        <f t="shared" si="157"/>
        <v>17.711021775375873</v>
      </c>
      <c r="I324" s="309">
        <f t="shared" si="157"/>
        <v>18.668919637900572</v>
      </c>
      <c r="J324" s="309">
        <f t="shared" si="157"/>
        <v>19.656302925463418</v>
      </c>
      <c r="K324" s="309">
        <f t="shared" si="157"/>
        <v>20.673095869442768</v>
      </c>
      <c r="L324" s="309">
        <f t="shared" si="157"/>
        <v>21.71916688364858</v>
      </c>
      <c r="M324" s="309">
        <f t="shared" si="157"/>
        <v>22.794326876772647</v>
      </c>
      <c r="N324" s="309">
        <f t="shared" si="157"/>
        <v>23.864134165726362</v>
      </c>
      <c r="O324" s="309">
        <f t="shared" si="157"/>
        <v>24.923489411056256</v>
      </c>
      <c r="P324" s="309">
        <f t="shared" si="157"/>
        <v>25.969088455914385</v>
      </c>
      <c r="Q324" s="309">
        <f t="shared" si="157"/>
        <v>26.993840068715141</v>
      </c>
      <c r="R324" s="309">
        <f t="shared" si="157"/>
        <v>27.992375427392279</v>
      </c>
      <c r="S324" s="309">
        <f t="shared" si="157"/>
        <v>29.011499710843541</v>
      </c>
      <c r="T324" s="309">
        <f t="shared" si="157"/>
        <v>30.051323749410681</v>
      </c>
      <c r="U324" s="309">
        <f t="shared" si="157"/>
        <v>31.111950825288126</v>
      </c>
      <c r="V324" s="309">
        <f t="shared" si="157"/>
        <v>32.193476465927702</v>
      </c>
      <c r="W324" s="309">
        <f t="shared" si="157"/>
        <v>33.295988239262634</v>
      </c>
      <c r="X324" s="309">
        <f t="shared" si="157"/>
        <v>34.419944662224758</v>
      </c>
      <c r="Y324" s="309">
        <f t="shared" si="157"/>
        <v>35.565455208715257</v>
      </c>
      <c r="Z324" s="309">
        <f t="shared" si="157"/>
        <v>36.73670356830408</v>
      </c>
      <c r="AA324" s="309">
        <f t="shared" si="157"/>
        <v>37.9299671860744</v>
      </c>
      <c r="AB324" s="309">
        <f t="shared" si="157"/>
        <v>39.145341004605186</v>
      </c>
      <c r="AC324" s="309">
        <f t="shared" si="157"/>
        <v>40.383294176018296</v>
      </c>
      <c r="AD324" s="309">
        <f t="shared" si="157"/>
        <v>41.643942564603002</v>
      </c>
      <c r="AE324" s="309">
        <f t="shared" si="157"/>
        <v>42.927395435243305</v>
      </c>
      <c r="AF324" s="309">
        <f t="shared" si="157"/>
        <v>44.233755285136574</v>
      </c>
      <c r="AG324" s="309">
        <f t="shared" si="157"/>
        <v>45.563117676706376</v>
      </c>
      <c r="AI324" s="305"/>
      <c r="AJ324" s="339" t="s">
        <v>1363</v>
      </c>
    </row>
    <row r="325" spans="1:36" s="62" customFormat="1" outlineLevel="1">
      <c r="A325" s="311" t="s">
        <v>1369</v>
      </c>
      <c r="B325" s="312" t="s">
        <v>462</v>
      </c>
      <c r="C325" s="313">
        <f>C323*C291</f>
        <v>46.364886893010947</v>
      </c>
      <c r="D325" s="313">
        <f t="shared" ref="D325:AG325" si="158">D323*D291</f>
        <v>47.73577832692132</v>
      </c>
      <c r="E325" s="313">
        <f t="shared" si="158"/>
        <v>49.013985472869088</v>
      </c>
      <c r="F325" s="313">
        <f t="shared" si="158"/>
        <v>50.190036711588185</v>
      </c>
      <c r="G325" s="313">
        <f t="shared" si="158"/>
        <v>51.255062463846308</v>
      </c>
      <c r="H325" s="313">
        <f t="shared" si="158"/>
        <v>52.200906285318368</v>
      </c>
      <c r="I325" s="313">
        <f t="shared" si="158"/>
        <v>53.134617430947792</v>
      </c>
      <c r="J325" s="313">
        <f t="shared" si="158"/>
        <v>54.054833045024417</v>
      </c>
      <c r="K325" s="313">
        <f t="shared" si="158"/>
        <v>54.960181701689336</v>
      </c>
      <c r="L325" s="313">
        <f t="shared" si="158"/>
        <v>55.849286272239226</v>
      </c>
      <c r="M325" s="313">
        <f t="shared" si="158"/>
        <v>56.720766879411023</v>
      </c>
      <c r="N325" s="313">
        <f t="shared" si="158"/>
        <v>57.490868671977175</v>
      </c>
      <c r="O325" s="313">
        <f t="shared" si="158"/>
        <v>58.154808625797969</v>
      </c>
      <c r="P325" s="313">
        <f t="shared" si="158"/>
        <v>58.712721726415168</v>
      </c>
      <c r="Q325" s="313">
        <f t="shared" si="158"/>
        <v>59.156713342077893</v>
      </c>
      <c r="R325" s="313">
        <f t="shared" si="158"/>
        <v>59.483797783208637</v>
      </c>
      <c r="S325" s="313">
        <f t="shared" si="158"/>
        <v>59.799213689697964</v>
      </c>
      <c r="T325" s="313">
        <f t="shared" si="158"/>
        <v>60.102647498821412</v>
      </c>
      <c r="U325" s="313">
        <f t="shared" si="158"/>
        <v>60.393786896147589</v>
      </c>
      <c r="V325" s="313">
        <f t="shared" si="158"/>
        <v>60.672321031940726</v>
      </c>
      <c r="W325" s="313">
        <f t="shared" si="158"/>
        <v>60.937940739782618</v>
      </c>
      <c r="X325" s="313">
        <f t="shared" si="158"/>
        <v>61.191012732844079</v>
      </c>
      <c r="Y325" s="313">
        <f t="shared" si="158"/>
        <v>61.431240815053684</v>
      </c>
      <c r="Z325" s="313">
        <f t="shared" si="158"/>
        <v>61.665180989653351</v>
      </c>
      <c r="AA325" s="313">
        <f t="shared" si="158"/>
        <v>61.885735935174097</v>
      </c>
      <c r="AB325" s="313">
        <f t="shared" si="158"/>
        <v>62.092609869373817</v>
      </c>
      <c r="AC325" s="313">
        <f t="shared" si="158"/>
        <v>62.286097796909651</v>
      </c>
      <c r="AD325" s="313">
        <f t="shared" si="158"/>
        <v>62.465913846904591</v>
      </c>
      <c r="AE325" s="313">
        <f t="shared" si="158"/>
        <v>62.631773667814088</v>
      </c>
      <c r="AF325" s="313">
        <f t="shared" si="158"/>
        <v>62.783394598258447</v>
      </c>
      <c r="AG325" s="313">
        <f t="shared" si="158"/>
        <v>62.920495839261193</v>
      </c>
      <c r="AI325" s="342"/>
      <c r="AJ325" s="341" t="s">
        <v>1363</v>
      </c>
    </row>
    <row r="326" spans="1:36" s="1" customFormat="1" outlineLevel="1">
      <c r="A326" t="s">
        <v>1370</v>
      </c>
      <c r="B326" s="302" t="s">
        <v>704</v>
      </c>
      <c r="C326" s="249">
        <f>C292*C323</f>
        <v>56.470054549179999</v>
      </c>
      <c r="D326" s="249">
        <f t="shared" ref="D326:AG326" si="159">D292*D323</f>
        <v>58.332298084837042</v>
      </c>
      <c r="E326" s="249">
        <f t="shared" si="159"/>
        <v>60.095408275430785</v>
      </c>
      <c r="F326" s="249">
        <f t="shared" si="159"/>
        <v>61.746953059651254</v>
      </c>
      <c r="G326" s="249">
        <f t="shared" si="159"/>
        <v>63.275054988553613</v>
      </c>
      <c r="H326" s="249">
        <f t="shared" si="159"/>
        <v>64.668533456142171</v>
      </c>
      <c r="I326" s="249">
        <f t="shared" si="159"/>
        <v>66.059254103340493</v>
      </c>
      <c r="J326" s="249">
        <f t="shared" si="159"/>
        <v>67.445689412996359</v>
      </c>
      <c r="K326" s="249">
        <f t="shared" si="159"/>
        <v>68.826282589730198</v>
      </c>
      <c r="L326" s="249">
        <f t="shared" si="159"/>
        <v>70.199450106078459</v>
      </c>
      <c r="M326" s="249">
        <f t="shared" si="159"/>
        <v>71.563584380565302</v>
      </c>
      <c r="N326" s="249">
        <f t="shared" si="159"/>
        <v>72.812727539744657</v>
      </c>
      <c r="O326" s="249">
        <f t="shared" si="159"/>
        <v>73.939685252800246</v>
      </c>
      <c r="P326" s="249">
        <f t="shared" si="159"/>
        <v>74.943402011361655</v>
      </c>
      <c r="Q326" s="249">
        <f t="shared" si="159"/>
        <v>75.812487001497857</v>
      </c>
      <c r="R326" s="249">
        <f t="shared" si="159"/>
        <v>76.541651559275792</v>
      </c>
      <c r="S326" s="249">
        <f t="shared" si="159"/>
        <v>77.265320658471097</v>
      </c>
      <c r="T326" s="249">
        <f t="shared" si="159"/>
        <v>77.983185129720752</v>
      </c>
      <c r="U326" s="249">
        <f t="shared" si="159"/>
        <v>78.694934440434707</v>
      </c>
      <c r="V326" s="249">
        <f t="shared" si="159"/>
        <v>79.400256860677487</v>
      </c>
      <c r="W326" s="249">
        <f t="shared" si="159"/>
        <v>80.098839632188444</v>
      </c>
      <c r="X326" s="249">
        <f t="shared" si="159"/>
        <v>80.791258998833158</v>
      </c>
      <c r="Y326" s="249">
        <f t="shared" si="159"/>
        <v>81.477224659965898</v>
      </c>
      <c r="Z326" s="249">
        <f t="shared" si="159"/>
        <v>82.165573605894437</v>
      </c>
      <c r="AA326" s="249">
        <f t="shared" si="159"/>
        <v>82.847033590636229</v>
      </c>
      <c r="AB326" s="249">
        <f t="shared" si="159"/>
        <v>83.521309471032666</v>
      </c>
      <c r="AC326" s="249">
        <f t="shared" si="159"/>
        <v>84.188901417800906</v>
      </c>
      <c r="AD326" s="249">
        <f t="shared" si="159"/>
        <v>84.849532975378665</v>
      </c>
      <c r="AE326" s="249">
        <f t="shared" si="159"/>
        <v>85.502926973476463</v>
      </c>
      <c r="AF326" s="249">
        <f t="shared" si="159"/>
        <v>86.148805656132978</v>
      </c>
      <c r="AG326" s="249">
        <f t="shared" si="159"/>
        <v>86.786890812774061</v>
      </c>
      <c r="AI326" s="316"/>
      <c r="AJ326" s="211" t="s">
        <v>1363</v>
      </c>
    </row>
    <row r="327" spans="1:36" s="1" customFormat="1" outlineLevel="1">
      <c r="A327" t="s">
        <v>1371</v>
      </c>
      <c r="B327" s="302" t="s">
        <v>704</v>
      </c>
      <c r="C327" s="249">
        <f>C293*C323</f>
        <v>2.9721081341673687</v>
      </c>
      <c r="D327" s="249">
        <f t="shared" ref="D327:AG327" si="160">D293*D323</f>
        <v>3.395001475837077</v>
      </c>
      <c r="E327" s="249">
        <f t="shared" si="160"/>
        <v>3.8358771239636682</v>
      </c>
      <c r="F327" s="249">
        <f t="shared" si="160"/>
        <v>4.29256892928057</v>
      </c>
      <c r="G327" s="249">
        <f t="shared" si="160"/>
        <v>4.7626385475255431</v>
      </c>
      <c r="H327" s="249">
        <f t="shared" si="160"/>
        <v>5.2433946045520692</v>
      </c>
      <c r="I327" s="249">
        <f t="shared" si="160"/>
        <v>5.744282965507872</v>
      </c>
      <c r="J327" s="249">
        <f t="shared" si="160"/>
        <v>6.2654465574914679</v>
      </c>
      <c r="K327" s="249">
        <f t="shared" si="160"/>
        <v>6.8069949814018917</v>
      </c>
      <c r="L327" s="249">
        <f t="shared" si="160"/>
        <v>7.3690030498093453</v>
      </c>
      <c r="M327" s="249">
        <f t="shared" si="160"/>
        <v>7.9515093756183708</v>
      </c>
      <c r="N327" s="249">
        <f t="shared" si="160"/>
        <v>8.5422752979588754</v>
      </c>
      <c r="O327" s="249">
        <f t="shared" si="160"/>
        <v>9.1386127840539686</v>
      </c>
      <c r="P327" s="249">
        <f t="shared" si="160"/>
        <v>9.7384081709679045</v>
      </c>
      <c r="Q327" s="249">
        <f t="shared" si="160"/>
        <v>10.33806640929517</v>
      </c>
      <c r="R327" s="249">
        <f t="shared" si="160"/>
        <v>10.93452165132512</v>
      </c>
      <c r="S327" s="249">
        <f t="shared" si="160"/>
        <v>11.545392742070401</v>
      </c>
      <c r="T327" s="249">
        <f t="shared" si="160"/>
        <v>12.170786118511339</v>
      </c>
      <c r="U327" s="249">
        <f t="shared" si="160"/>
        <v>12.810803281001007</v>
      </c>
      <c r="V327" s="249">
        <f t="shared" si="160"/>
        <v>13.465540637190928</v>
      </c>
      <c r="W327" s="249">
        <f t="shared" si="160"/>
        <v>14.135089346856795</v>
      </c>
      <c r="X327" s="249">
        <f t="shared" si="160"/>
        <v>14.819698396235678</v>
      </c>
      <c r="Y327" s="249">
        <f t="shared" si="160"/>
        <v>15.51947136380304</v>
      </c>
      <c r="Z327" s="249">
        <f t="shared" si="160"/>
        <v>16.236310952062986</v>
      </c>
      <c r="AA327" s="249">
        <f t="shared" si="160"/>
        <v>16.968669530612253</v>
      </c>
      <c r="AB327" s="249">
        <f t="shared" si="160"/>
        <v>17.716641402946337</v>
      </c>
      <c r="AC327" s="249">
        <f t="shared" si="160"/>
        <v>18.480490555127041</v>
      </c>
      <c r="AD327" s="249">
        <f t="shared" si="160"/>
        <v>19.260323436128918</v>
      </c>
      <c r="AE327" s="249">
        <f t="shared" si="160"/>
        <v>20.056242129580916</v>
      </c>
      <c r="AF327" s="249">
        <f t="shared" si="160"/>
        <v>20.868344227262043</v>
      </c>
      <c r="AG327" s="249">
        <f t="shared" si="160"/>
        <v>21.696722703193515</v>
      </c>
      <c r="AI327" s="316"/>
      <c r="AJ327" s="211" t="s">
        <v>1363</v>
      </c>
    </row>
    <row r="328" spans="1:36" s="1" customFormat="1" outlineLevel="1">
      <c r="A328" t="s">
        <v>1372</v>
      </c>
      <c r="B328" s="302" t="s">
        <v>704</v>
      </c>
      <c r="C328" s="249">
        <f>C326*C294</f>
        <v>8.4705081823769994</v>
      </c>
      <c r="D328" s="249">
        <f t="shared" ref="D328:AG328" si="161">D326*D294</f>
        <v>9.1192826005961898</v>
      </c>
      <c r="E328" s="249">
        <f t="shared" si="161"/>
        <v>9.7755197461367409</v>
      </c>
      <c r="F328" s="249">
        <f t="shared" si="161"/>
        <v>10.435235067081061</v>
      </c>
      <c r="G328" s="249">
        <f t="shared" si="161"/>
        <v>11.094226307993065</v>
      </c>
      <c r="H328" s="249">
        <f t="shared" si="161"/>
        <v>11.74811691119916</v>
      </c>
      <c r="I328" s="249">
        <f t="shared" si="161"/>
        <v>12.419139771428011</v>
      </c>
      <c r="J328" s="249">
        <f t="shared" si="161"/>
        <v>13.10694564259229</v>
      </c>
      <c r="K328" s="249">
        <f t="shared" si="161"/>
        <v>13.811140706339192</v>
      </c>
      <c r="L328" s="249">
        <f t="shared" si="161"/>
        <v>14.531286171958238</v>
      </c>
      <c r="M328" s="249">
        <f t="shared" si="161"/>
        <v>15.266898001187261</v>
      </c>
      <c r="N328" s="249">
        <f t="shared" si="161"/>
        <v>15.994529149563906</v>
      </c>
      <c r="O328" s="249">
        <f t="shared" si="161"/>
        <v>16.710368867132853</v>
      </c>
      <c r="P328" s="249">
        <f t="shared" si="161"/>
        <v>17.411850400639686</v>
      </c>
      <c r="Q328" s="249">
        <f t="shared" si="161"/>
        <v>18.093913564357486</v>
      </c>
      <c r="R328" s="249">
        <f t="shared" si="161"/>
        <v>18.752704632022564</v>
      </c>
      <c r="S328" s="249">
        <f t="shared" si="161"/>
        <v>19.419350592162399</v>
      </c>
      <c r="T328" s="249">
        <f t="shared" si="161"/>
        <v>20.093667368424711</v>
      </c>
      <c r="U328" s="249">
        <f t="shared" si="161"/>
        <v>20.775462692274765</v>
      </c>
      <c r="V328" s="249">
        <f t="shared" si="161"/>
        <v>21.464536104669818</v>
      </c>
      <c r="W328" s="249">
        <f t="shared" si="161"/>
        <v>22.160678964905475</v>
      </c>
      <c r="X328" s="249">
        <f t="shared" si="161"/>
        <v>22.863926296669792</v>
      </c>
      <c r="Y328" s="249">
        <f t="shared" si="161"/>
        <v>23.574077001616807</v>
      </c>
      <c r="Z328" s="249">
        <f t="shared" si="161"/>
        <v>24.293621262809467</v>
      </c>
      <c r="AA328" s="249">
        <f t="shared" si="161"/>
        <v>25.019804144372156</v>
      </c>
      <c r="AB328" s="249">
        <f t="shared" si="161"/>
        <v>25.752403753568419</v>
      </c>
      <c r="AC328" s="249">
        <f t="shared" si="161"/>
        <v>26.491440979468035</v>
      </c>
      <c r="AD328" s="249">
        <f t="shared" si="161"/>
        <v>27.236700085096572</v>
      </c>
      <c r="AE328" s="249">
        <f t="shared" si="161"/>
        <v>27.987958095984652</v>
      </c>
      <c r="AF328" s="249">
        <f t="shared" si="161"/>
        <v>28.744984820596393</v>
      </c>
      <c r="AG328" s="249">
        <f t="shared" si="161"/>
        <v>29.507542876343184</v>
      </c>
      <c r="AI328" s="316"/>
      <c r="AJ328" s="211" t="s">
        <v>1363</v>
      </c>
    </row>
    <row r="329" spans="1:36" s="1" customFormat="1" outlineLevel="1">
      <c r="A329" t="s">
        <v>1373</v>
      </c>
      <c r="B329" s="302" t="s">
        <v>704</v>
      </c>
      <c r="C329" s="249">
        <f>C326*C295</f>
        <v>47.999546366802996</v>
      </c>
      <c r="D329" s="249">
        <f t="shared" ref="D329:AG329" si="162">D326*D295</f>
        <v>49.213015484240849</v>
      </c>
      <c r="E329" s="249">
        <f t="shared" si="162"/>
        <v>50.319888529294047</v>
      </c>
      <c r="F329" s="249">
        <f t="shared" si="162"/>
        <v>51.311717992570195</v>
      </c>
      <c r="G329" s="249">
        <f t="shared" si="162"/>
        <v>52.180828680560552</v>
      </c>
      <c r="H329" s="249">
        <f t="shared" si="162"/>
        <v>52.920416544943016</v>
      </c>
      <c r="I329" s="249">
        <f t="shared" si="162"/>
        <v>53.640114331912493</v>
      </c>
      <c r="J329" s="249">
        <f t="shared" si="162"/>
        <v>54.338743770404079</v>
      </c>
      <c r="K329" s="249">
        <f t="shared" si="162"/>
        <v>55.015141883391024</v>
      </c>
      <c r="L329" s="249">
        <f t="shared" si="162"/>
        <v>55.668163934120237</v>
      </c>
      <c r="M329" s="249">
        <f t="shared" si="162"/>
        <v>56.296686379378059</v>
      </c>
      <c r="N329" s="249">
        <f t="shared" si="162"/>
        <v>56.818198390180768</v>
      </c>
      <c r="O329" s="249">
        <f t="shared" si="162"/>
        <v>57.229316385667417</v>
      </c>
      <c r="P329" s="249">
        <f t="shared" si="162"/>
        <v>57.531551610721991</v>
      </c>
      <c r="Q329" s="249">
        <f t="shared" si="162"/>
        <v>57.7185734371404</v>
      </c>
      <c r="R329" s="249">
        <f t="shared" si="162"/>
        <v>57.788946927253257</v>
      </c>
      <c r="S329" s="249">
        <f t="shared" si="162"/>
        <v>57.84597006630873</v>
      </c>
      <c r="T329" s="249">
        <f t="shared" si="162"/>
        <v>57.889517761296077</v>
      </c>
      <c r="U329" s="249">
        <f t="shared" si="162"/>
        <v>57.919471748159985</v>
      </c>
      <c r="V329" s="249">
        <f t="shared" si="162"/>
        <v>57.935720756007719</v>
      </c>
      <c r="W329" s="249">
        <f t="shared" si="162"/>
        <v>57.938160667283022</v>
      </c>
      <c r="X329" s="249">
        <f t="shared" si="162"/>
        <v>57.927332702163426</v>
      </c>
      <c r="Y329" s="249">
        <f t="shared" si="162"/>
        <v>57.903147658349155</v>
      </c>
      <c r="Z329" s="249">
        <f t="shared" si="162"/>
        <v>57.871952343085042</v>
      </c>
      <c r="AA329" s="249">
        <f t="shared" si="162"/>
        <v>57.827229446264148</v>
      </c>
      <c r="AB329" s="249">
        <f t="shared" si="162"/>
        <v>57.768905717464321</v>
      </c>
      <c r="AC329" s="249">
        <f t="shared" si="162"/>
        <v>57.697460438332953</v>
      </c>
      <c r="AD329" s="249">
        <f t="shared" si="162"/>
        <v>57.612832890282185</v>
      </c>
      <c r="AE329" s="249">
        <f t="shared" si="162"/>
        <v>57.51496887749191</v>
      </c>
      <c r="AF329" s="249">
        <f t="shared" si="162"/>
        <v>57.403820835536685</v>
      </c>
      <c r="AG329" s="249">
        <f t="shared" si="162"/>
        <v>57.279347936430881</v>
      </c>
      <c r="AI329" s="316"/>
      <c r="AJ329" s="211" t="s">
        <v>1363</v>
      </c>
    </row>
    <row r="330" spans="1:36" s="1" customFormat="1" outlineLevel="1">
      <c r="A330" t="s">
        <v>1374</v>
      </c>
      <c r="B330" s="302" t="s">
        <v>704</v>
      </c>
      <c r="C330" s="249">
        <f>C296*C329</f>
        <v>0</v>
      </c>
      <c r="D330" s="249">
        <f t="shared" ref="D330:AG330" si="163">D296*D329</f>
        <v>0</v>
      </c>
      <c r="E330" s="249">
        <f t="shared" si="163"/>
        <v>0</v>
      </c>
      <c r="F330" s="249">
        <f t="shared" si="163"/>
        <v>0</v>
      </c>
      <c r="G330" s="249">
        <f t="shared" si="163"/>
        <v>0</v>
      </c>
      <c r="H330" s="249">
        <f t="shared" si="163"/>
        <v>0</v>
      </c>
      <c r="I330" s="249">
        <f t="shared" si="163"/>
        <v>0</v>
      </c>
      <c r="J330" s="249">
        <f t="shared" si="163"/>
        <v>0</v>
      </c>
      <c r="K330" s="249">
        <f t="shared" si="163"/>
        <v>0</v>
      </c>
      <c r="L330" s="249">
        <f t="shared" si="163"/>
        <v>0</v>
      </c>
      <c r="M330" s="249">
        <f t="shared" si="163"/>
        <v>0</v>
      </c>
      <c r="N330" s="249">
        <f t="shared" si="163"/>
        <v>0</v>
      </c>
      <c r="O330" s="249">
        <f t="shared" si="163"/>
        <v>0</v>
      </c>
      <c r="P330" s="249">
        <f t="shared" si="163"/>
        <v>0</v>
      </c>
      <c r="Q330" s="249">
        <f t="shared" si="163"/>
        <v>0</v>
      </c>
      <c r="R330" s="249">
        <f t="shared" si="163"/>
        <v>0</v>
      </c>
      <c r="S330" s="249">
        <f t="shared" si="163"/>
        <v>0</v>
      </c>
      <c r="T330" s="249">
        <f t="shared" si="163"/>
        <v>0</v>
      </c>
      <c r="U330" s="249">
        <f t="shared" si="163"/>
        <v>0</v>
      </c>
      <c r="V330" s="249">
        <f t="shared" si="163"/>
        <v>0</v>
      </c>
      <c r="W330" s="249">
        <f t="shared" si="163"/>
        <v>0</v>
      </c>
      <c r="X330" s="249">
        <f t="shared" si="163"/>
        <v>0</v>
      </c>
      <c r="Y330" s="249">
        <f t="shared" si="163"/>
        <v>0</v>
      </c>
      <c r="Z330" s="249">
        <f t="shared" si="163"/>
        <v>0</v>
      </c>
      <c r="AA330" s="249">
        <f t="shared" si="163"/>
        <v>0</v>
      </c>
      <c r="AB330" s="249">
        <f t="shared" si="163"/>
        <v>0</v>
      </c>
      <c r="AC330" s="249">
        <f t="shared" si="163"/>
        <v>0</v>
      </c>
      <c r="AD330" s="249">
        <f t="shared" si="163"/>
        <v>0</v>
      </c>
      <c r="AE330" s="249">
        <f t="shared" si="163"/>
        <v>0</v>
      </c>
      <c r="AF330" s="249">
        <f t="shared" si="163"/>
        <v>0</v>
      </c>
      <c r="AG330" s="249">
        <f t="shared" si="163"/>
        <v>0</v>
      </c>
      <c r="AI330" s="316"/>
      <c r="AJ330" s="211" t="s">
        <v>1363</v>
      </c>
    </row>
    <row r="331" spans="1:36" s="1" customFormat="1" outlineLevel="1">
      <c r="A331" t="s">
        <v>1388</v>
      </c>
      <c r="B331" s="302" t="s">
        <v>704</v>
      </c>
      <c r="C331" s="249">
        <f>C297*C329</f>
        <v>47.999546366802996</v>
      </c>
      <c r="D331" s="249">
        <f t="shared" ref="D331:AG331" si="164">D297*D329</f>
        <v>49.213015484240849</v>
      </c>
      <c r="E331" s="249">
        <f t="shared" si="164"/>
        <v>50.319888529294047</v>
      </c>
      <c r="F331" s="249">
        <f t="shared" si="164"/>
        <v>51.311717992570195</v>
      </c>
      <c r="G331" s="249">
        <f t="shared" si="164"/>
        <v>52.180828680560552</v>
      </c>
      <c r="H331" s="249">
        <f t="shared" si="164"/>
        <v>52.920416544943016</v>
      </c>
      <c r="I331" s="249">
        <f t="shared" si="164"/>
        <v>53.640114331912493</v>
      </c>
      <c r="J331" s="249">
        <f t="shared" si="164"/>
        <v>54.338743770404079</v>
      </c>
      <c r="K331" s="249">
        <f t="shared" si="164"/>
        <v>55.015141883391024</v>
      </c>
      <c r="L331" s="249">
        <f t="shared" si="164"/>
        <v>55.668163934120237</v>
      </c>
      <c r="M331" s="249">
        <f t="shared" si="164"/>
        <v>56.296686379378059</v>
      </c>
      <c r="N331" s="249">
        <f t="shared" si="164"/>
        <v>56.818198390180768</v>
      </c>
      <c r="O331" s="249">
        <f t="shared" si="164"/>
        <v>57.229316385667417</v>
      </c>
      <c r="P331" s="249">
        <f t="shared" si="164"/>
        <v>57.531551610721991</v>
      </c>
      <c r="Q331" s="249">
        <f t="shared" si="164"/>
        <v>57.7185734371404</v>
      </c>
      <c r="R331" s="249">
        <f t="shared" si="164"/>
        <v>57.788946927253257</v>
      </c>
      <c r="S331" s="249">
        <f t="shared" si="164"/>
        <v>57.84597006630873</v>
      </c>
      <c r="T331" s="249">
        <f t="shared" si="164"/>
        <v>57.889517761296077</v>
      </c>
      <c r="U331" s="249">
        <f t="shared" si="164"/>
        <v>57.919471748159985</v>
      </c>
      <c r="V331" s="249">
        <f t="shared" si="164"/>
        <v>57.935720756007719</v>
      </c>
      <c r="W331" s="249">
        <f t="shared" si="164"/>
        <v>57.938160667283022</v>
      </c>
      <c r="X331" s="249">
        <f t="shared" si="164"/>
        <v>57.927332702163426</v>
      </c>
      <c r="Y331" s="249">
        <f t="shared" si="164"/>
        <v>57.903147658349155</v>
      </c>
      <c r="Z331" s="249">
        <f t="shared" si="164"/>
        <v>57.871952343085042</v>
      </c>
      <c r="AA331" s="249">
        <f t="shared" si="164"/>
        <v>57.827229446264148</v>
      </c>
      <c r="AB331" s="249">
        <f t="shared" si="164"/>
        <v>57.768905717464321</v>
      </c>
      <c r="AC331" s="249">
        <f t="shared" si="164"/>
        <v>57.697460438332953</v>
      </c>
      <c r="AD331" s="249">
        <f t="shared" si="164"/>
        <v>57.612832890282185</v>
      </c>
      <c r="AE331" s="249">
        <f t="shared" si="164"/>
        <v>57.51496887749191</v>
      </c>
      <c r="AF331" s="249">
        <f t="shared" si="164"/>
        <v>57.403820835536685</v>
      </c>
      <c r="AG331" s="249">
        <f t="shared" si="164"/>
        <v>57.279347936430881</v>
      </c>
      <c r="AI331" s="316"/>
      <c r="AJ331" s="211" t="s">
        <v>1363</v>
      </c>
    </row>
    <row r="332" spans="1:36" s="1" customFormat="1" outlineLevel="1">
      <c r="A332" t="s">
        <v>1376</v>
      </c>
      <c r="B332" s="302" t="s">
        <v>704</v>
      </c>
      <c r="C332" s="249">
        <f>C298*(C330+C328)</f>
        <v>6.7764065459016001</v>
      </c>
      <c r="D332" s="249">
        <f t="shared" ref="D332:AG332" si="165">D298*(D330+D328)</f>
        <v>7.3258236891456061</v>
      </c>
      <c r="E332" s="249">
        <f t="shared" si="165"/>
        <v>7.885585928550304</v>
      </c>
      <c r="F332" s="249">
        <f t="shared" si="165"/>
        <v>8.4525404043356591</v>
      </c>
      <c r="G332" s="249">
        <f t="shared" si="165"/>
        <v>9.0233040638343578</v>
      </c>
      <c r="H332" s="249">
        <f t="shared" si="165"/>
        <v>9.5942954774793119</v>
      </c>
      <c r="I332" s="249">
        <f t="shared" si="165"/>
        <v>10.183694612570967</v>
      </c>
      <c r="J332" s="249">
        <f t="shared" si="165"/>
        <v>10.791385245734316</v>
      </c>
      <c r="K332" s="249">
        <f t="shared" si="165"/>
        <v>11.417209650573728</v>
      </c>
      <c r="L332" s="249">
        <f t="shared" si="165"/>
        <v>12.060967522725333</v>
      </c>
      <c r="M332" s="249">
        <f t="shared" si="165"/>
        <v>12.722415000989379</v>
      </c>
      <c r="N332" s="249">
        <f t="shared" si="165"/>
        <v>13.382089388468463</v>
      </c>
      <c r="O332" s="249">
        <f t="shared" si="165"/>
        <v>14.03670984839159</v>
      </c>
      <c r="P332" s="249">
        <f t="shared" si="165"/>
        <v>14.683993837872794</v>
      </c>
      <c r="Q332" s="249">
        <f t="shared" si="165"/>
        <v>15.319513484489329</v>
      </c>
      <c r="R332" s="249">
        <f t="shared" si="165"/>
        <v>15.93979893721917</v>
      </c>
      <c r="S332" s="249">
        <f t="shared" si="165"/>
        <v>16.571179171978571</v>
      </c>
      <c r="T332" s="249">
        <f t="shared" si="165"/>
        <v>17.213575045617159</v>
      </c>
      <c r="U332" s="249">
        <f t="shared" si="165"/>
        <v>17.866897915356287</v>
      </c>
      <c r="V332" s="249">
        <f t="shared" si="165"/>
        <v>18.531049503698263</v>
      </c>
      <c r="W332" s="249">
        <f t="shared" si="165"/>
        <v>19.20592176958473</v>
      </c>
      <c r="X332" s="249">
        <f t="shared" si="165"/>
        <v>19.891615878102705</v>
      </c>
      <c r="Y332" s="249">
        <f t="shared" si="165"/>
        <v>20.58802724807866</v>
      </c>
      <c r="Z332" s="249">
        <f t="shared" si="165"/>
        <v>21.297407973729616</v>
      </c>
      <c r="AA332" s="249">
        <f t="shared" si="165"/>
        <v>22.017427647047477</v>
      </c>
      <c r="AB332" s="249">
        <f t="shared" si="165"/>
        <v>22.747956648985415</v>
      </c>
      <c r="AC332" s="249">
        <f t="shared" si="165"/>
        <v>23.489077668461636</v>
      </c>
      <c r="AD332" s="249">
        <f t="shared" si="165"/>
        <v>24.240663075735924</v>
      </c>
      <c r="AE332" s="249">
        <f t="shared" si="165"/>
        <v>25.002575899079599</v>
      </c>
      <c r="AF332" s="249">
        <f t="shared" si="165"/>
        <v>25.774669722468072</v>
      </c>
      <c r="AG332" s="249">
        <f t="shared" si="165"/>
        <v>26.556788588708866</v>
      </c>
      <c r="AH332" s="249"/>
      <c r="AI332" s="316"/>
      <c r="AJ332" s="211" t="s">
        <v>1363</v>
      </c>
    </row>
    <row r="333" spans="1:36" s="1" customFormat="1" outlineLevel="1">
      <c r="A333" t="s">
        <v>1377</v>
      </c>
      <c r="B333" s="302" t="s">
        <v>704</v>
      </c>
      <c r="C333" s="249">
        <f>C299*(C330+C328)</f>
        <v>1.6941016364754</v>
      </c>
      <c r="D333" s="249">
        <f t="shared" ref="D333:AG333" si="166">D299*(D330+D328)</f>
        <v>1.7934589114505841</v>
      </c>
      <c r="E333" s="249">
        <f t="shared" si="166"/>
        <v>1.8899338175864369</v>
      </c>
      <c r="F333" s="249">
        <f t="shared" si="166"/>
        <v>1.9826946627454018</v>
      </c>
      <c r="G333" s="249">
        <f t="shared" si="166"/>
        <v>2.0709222441587056</v>
      </c>
      <c r="H333" s="249">
        <f t="shared" si="166"/>
        <v>2.1538214337198465</v>
      </c>
      <c r="I333" s="249">
        <f t="shared" si="166"/>
        <v>2.2354451588570425</v>
      </c>
      <c r="J333" s="249">
        <f t="shared" si="166"/>
        <v>2.3155603968579719</v>
      </c>
      <c r="K333" s="249">
        <f t="shared" si="166"/>
        <v>2.3939310557654605</v>
      </c>
      <c r="L333" s="249">
        <f t="shared" si="166"/>
        <v>2.4703186492329015</v>
      </c>
      <c r="M333" s="249">
        <f t="shared" si="166"/>
        <v>2.5444830001978782</v>
      </c>
      <c r="N333" s="249">
        <f t="shared" si="166"/>
        <v>2.6124397610954393</v>
      </c>
      <c r="O333" s="249">
        <f t="shared" si="166"/>
        <v>2.6736590187412581</v>
      </c>
      <c r="P333" s="249">
        <f t="shared" si="166"/>
        <v>2.7278565627668856</v>
      </c>
      <c r="Q333" s="249">
        <f t="shared" si="166"/>
        <v>2.7744000798681494</v>
      </c>
      <c r="R333" s="249">
        <f t="shared" si="166"/>
        <v>2.8129056948033866</v>
      </c>
      <c r="S333" s="249">
        <f t="shared" si="166"/>
        <v>2.8481714201838209</v>
      </c>
      <c r="T333" s="249">
        <f t="shared" si="166"/>
        <v>2.8800923228075441</v>
      </c>
      <c r="U333" s="249">
        <f t="shared" si="166"/>
        <v>2.9085647769184697</v>
      </c>
      <c r="V333" s="249">
        <f t="shared" si="166"/>
        <v>2.9334866009715448</v>
      </c>
      <c r="W333" s="249">
        <f t="shared" si="166"/>
        <v>2.9547571953207332</v>
      </c>
      <c r="X333" s="249">
        <f t="shared" si="166"/>
        <v>2.9723104185670763</v>
      </c>
      <c r="Y333" s="249">
        <f t="shared" si="166"/>
        <v>2.9860497535381323</v>
      </c>
      <c r="Z333" s="249">
        <f t="shared" si="166"/>
        <v>2.9962132890798379</v>
      </c>
      <c r="AA333" s="249">
        <f t="shared" si="166"/>
        <v>3.0023764973246627</v>
      </c>
      <c r="AB333" s="249">
        <f t="shared" si="166"/>
        <v>3.0044471045829866</v>
      </c>
      <c r="AC333" s="249">
        <f t="shared" si="166"/>
        <v>3.0023633110063819</v>
      </c>
      <c r="AD333" s="249">
        <f t="shared" si="166"/>
        <v>2.9960370093606277</v>
      </c>
      <c r="AE333" s="249">
        <f t="shared" si="166"/>
        <v>2.9853821969050349</v>
      </c>
      <c r="AF333" s="249">
        <f t="shared" si="166"/>
        <v>2.9703150981282995</v>
      </c>
      <c r="AG333" s="249">
        <f t="shared" si="166"/>
        <v>2.9507542876343185</v>
      </c>
      <c r="AI333" s="316"/>
      <c r="AJ333" s="211" t="s">
        <v>1363</v>
      </c>
    </row>
    <row r="334" spans="1:36" s="1" customFormat="1" outlineLevel="1">
      <c r="A334" t="s">
        <v>1378</v>
      </c>
      <c r="B334" s="302" t="s">
        <v>704</v>
      </c>
      <c r="C334" s="249">
        <f>C327*C300</f>
        <v>2.8235027274590001</v>
      </c>
      <c r="D334" s="249">
        <f t="shared" ref="D334:AG334" si="167">D327*D300</f>
        <v>3.2207247334107736</v>
      </c>
      <c r="E334" s="249">
        <f t="shared" si="167"/>
        <v>3.6338542621015817</v>
      </c>
      <c r="F334" s="249">
        <f t="shared" si="167"/>
        <v>4.0607702070994192</v>
      </c>
      <c r="G334" s="249">
        <f t="shared" si="167"/>
        <v>4.4991058812291298</v>
      </c>
      <c r="H334" s="249">
        <f t="shared" si="167"/>
        <v>4.9462689102941191</v>
      </c>
      <c r="I334" s="249">
        <f t="shared" si="167"/>
        <v>5.4111145535084164</v>
      </c>
      <c r="J334" s="249">
        <f t="shared" si="167"/>
        <v>5.8936967284136426</v>
      </c>
      <c r="K334" s="249">
        <f t="shared" si="167"/>
        <v>6.3940372858635124</v>
      </c>
      <c r="L334" s="249">
        <f t="shared" si="167"/>
        <v>6.9121248607211676</v>
      </c>
      <c r="M334" s="249">
        <f t="shared" si="167"/>
        <v>7.44791378182921</v>
      </c>
      <c r="N334" s="249">
        <f t="shared" si="167"/>
        <v>7.989874828690871</v>
      </c>
      <c r="O334" s="249">
        <f t="shared" si="167"/>
        <v>8.5354643403064099</v>
      </c>
      <c r="P334" s="249">
        <f t="shared" si="167"/>
        <v>9.0826886874560699</v>
      </c>
      <c r="Q334" s="249">
        <f t="shared" si="167"/>
        <v>9.6281858491902401</v>
      </c>
      <c r="R334" s="249">
        <f t="shared" si="167"/>
        <v>10.169105135732368</v>
      </c>
      <c r="S334" s="249">
        <f t="shared" si="167"/>
        <v>10.721821393136052</v>
      </c>
      <c r="T334" s="249">
        <f t="shared" si="167"/>
        <v>11.286375660566188</v>
      </c>
      <c r="U334" s="249">
        <f t="shared" si="167"/>
        <v>11.86280383820694</v>
      </c>
      <c r="V334" s="249">
        <f t="shared" si="167"/>
        <v>12.451136575855887</v>
      </c>
      <c r="W334" s="249">
        <f t="shared" si="167"/>
        <v>13.051399163597782</v>
      </c>
      <c r="X334" s="249">
        <f t="shared" si="167"/>
        <v>13.663761921329305</v>
      </c>
      <c r="Y334" s="249">
        <f t="shared" si="167"/>
        <v>14.288259968941343</v>
      </c>
      <c r="Z334" s="249">
        <f t="shared" si="167"/>
        <v>14.926581868596585</v>
      </c>
      <c r="AA334" s="249">
        <f t="shared" si="167"/>
        <v>15.577238629102062</v>
      </c>
      <c r="AB334" s="249">
        <f t="shared" si="167"/>
        <v>16.240254619367491</v>
      </c>
      <c r="AC334" s="249">
        <f t="shared" si="167"/>
        <v>16.915809021459633</v>
      </c>
      <c r="AD334" s="249">
        <f t="shared" si="167"/>
        <v>17.603935620621847</v>
      </c>
      <c r="AE334" s="249">
        <f t="shared" si="167"/>
        <v>18.304663650264203</v>
      </c>
      <c r="AF334" s="249">
        <f t="shared" si="167"/>
        <v>19.018017705778163</v>
      </c>
      <c r="AG334" s="249">
        <f t="shared" si="167"/>
        <v>19.744017659906099</v>
      </c>
      <c r="AI334" s="316"/>
      <c r="AJ334" s="211" t="s">
        <v>1363</v>
      </c>
    </row>
    <row r="335" spans="1:36" s="1" customFormat="1" outlineLevel="1">
      <c r="A335" t="s">
        <v>1389</v>
      </c>
      <c r="B335" s="302" t="s">
        <v>704</v>
      </c>
      <c r="C335" s="249">
        <f>C327*C301</f>
        <v>0.14860540670836844</v>
      </c>
      <c r="D335" s="249">
        <f t="shared" ref="D335:AG335" si="168">D327*D301</f>
        <v>0.17427674242630328</v>
      </c>
      <c r="E335" s="249">
        <f t="shared" si="168"/>
        <v>0.20202286186208654</v>
      </c>
      <c r="F335" s="249">
        <f t="shared" si="168"/>
        <v>0.23179872218115077</v>
      </c>
      <c r="G335" s="249">
        <f t="shared" si="168"/>
        <v>0.26353266629641336</v>
      </c>
      <c r="H335" s="249">
        <f t="shared" si="168"/>
        <v>0.29712569425795055</v>
      </c>
      <c r="I335" s="249">
        <f t="shared" si="168"/>
        <v>0.33316841199945657</v>
      </c>
      <c r="J335" s="249">
        <f t="shared" si="168"/>
        <v>0.37174982907782705</v>
      </c>
      <c r="K335" s="249">
        <f t="shared" si="168"/>
        <v>0.41295769553838141</v>
      </c>
      <c r="L335" s="249">
        <f t="shared" si="168"/>
        <v>0.45687818908817934</v>
      </c>
      <c r="M335" s="249">
        <f t="shared" si="168"/>
        <v>0.50359559378916341</v>
      </c>
      <c r="N335" s="249">
        <f t="shared" si="168"/>
        <v>0.55240046926800723</v>
      </c>
      <c r="O335" s="249">
        <f t="shared" si="168"/>
        <v>0.60314844374756194</v>
      </c>
      <c r="P335" s="249">
        <f t="shared" si="168"/>
        <v>0.65571948351183895</v>
      </c>
      <c r="Q335" s="249">
        <f t="shared" si="168"/>
        <v>0.70988056010493517</v>
      </c>
      <c r="R335" s="249">
        <f t="shared" si="168"/>
        <v>0.76541651559275869</v>
      </c>
      <c r="S335" s="249">
        <f t="shared" si="168"/>
        <v>0.82357134893435557</v>
      </c>
      <c r="T335" s="249">
        <f t="shared" si="168"/>
        <v>0.88441045794515771</v>
      </c>
      <c r="U335" s="249">
        <f t="shared" si="168"/>
        <v>0.947999442794075</v>
      </c>
      <c r="V335" s="249">
        <f t="shared" si="168"/>
        <v>1.0144040613350505</v>
      </c>
      <c r="W335" s="249">
        <f t="shared" si="168"/>
        <v>1.0836901832590216</v>
      </c>
      <c r="X335" s="249">
        <f t="shared" si="168"/>
        <v>1.1559364749063836</v>
      </c>
      <c r="Y335" s="249">
        <f t="shared" si="168"/>
        <v>1.2312113948617087</v>
      </c>
      <c r="Z335" s="249">
        <f t="shared" si="168"/>
        <v>1.3097290834664153</v>
      </c>
      <c r="AA335" s="249">
        <f t="shared" si="168"/>
        <v>1.391430901510206</v>
      </c>
      <c r="AB335" s="249">
        <f t="shared" si="168"/>
        <v>1.4763867835788629</v>
      </c>
      <c r="AC335" s="249">
        <f t="shared" si="168"/>
        <v>1.5646815336674245</v>
      </c>
      <c r="AD335" s="249">
        <f t="shared" si="168"/>
        <v>1.6563878155070886</v>
      </c>
      <c r="AE335" s="249">
        <f t="shared" si="168"/>
        <v>1.7515784793167353</v>
      </c>
      <c r="AF335" s="249">
        <f t="shared" si="168"/>
        <v>1.8503265214839033</v>
      </c>
      <c r="AG335" s="249">
        <f t="shared" si="168"/>
        <v>1.9527050432874162</v>
      </c>
      <c r="AI335" s="316"/>
      <c r="AJ335" s="211" t="s">
        <v>1363</v>
      </c>
    </row>
    <row r="336" spans="1:36" s="1" customFormat="1" outlineLevel="1">
      <c r="A336" t="s">
        <v>1380</v>
      </c>
      <c r="B336" s="302" t="s">
        <v>704</v>
      </c>
      <c r="C336" s="249">
        <f t="shared" ref="C336:AG336" si="169">C332*C302</f>
        <v>1.8296297673934321</v>
      </c>
      <c r="D336" s="249">
        <f t="shared" si="169"/>
        <v>1.9486691013127313</v>
      </c>
      <c r="E336" s="249">
        <f t="shared" si="169"/>
        <v>2.0660235132801796</v>
      </c>
      <c r="F336" s="249">
        <f t="shared" si="169"/>
        <v>2.1807554243186003</v>
      </c>
      <c r="G336" s="249">
        <f t="shared" si="169"/>
        <v>2.2919192322139268</v>
      </c>
      <c r="H336" s="249">
        <f t="shared" si="169"/>
        <v>2.398573869369828</v>
      </c>
      <c r="I336" s="249">
        <f t="shared" si="169"/>
        <v>2.505188874692458</v>
      </c>
      <c r="J336" s="249">
        <f t="shared" si="169"/>
        <v>2.6115152294677046</v>
      </c>
      <c r="K336" s="249">
        <f t="shared" si="169"/>
        <v>2.7172958968365473</v>
      </c>
      <c r="L336" s="249">
        <f t="shared" si="169"/>
        <v>2.8222664003177278</v>
      </c>
      <c r="M336" s="249">
        <f t="shared" si="169"/>
        <v>2.9261554502275571</v>
      </c>
      <c r="N336" s="249">
        <f t="shared" si="169"/>
        <v>3.0243522017938722</v>
      </c>
      <c r="O336" s="249">
        <f t="shared" si="169"/>
        <v>3.1161495863429325</v>
      </c>
      <c r="P336" s="249">
        <f t="shared" si="169"/>
        <v>3.2011106566562688</v>
      </c>
      <c r="Q336" s="249">
        <f t="shared" si="169"/>
        <v>3.2783758856807159</v>
      </c>
      <c r="R336" s="249">
        <f t="shared" si="169"/>
        <v>3.347357776816025</v>
      </c>
      <c r="S336" s="249">
        <f t="shared" si="169"/>
        <v>3.4136629094275848</v>
      </c>
      <c r="T336" s="249">
        <f t="shared" si="169"/>
        <v>3.4771421592146652</v>
      </c>
      <c r="U336" s="249">
        <f t="shared" si="169"/>
        <v>3.5376457872405438</v>
      </c>
      <c r="V336" s="249">
        <f t="shared" si="169"/>
        <v>3.5950236037174621</v>
      </c>
      <c r="W336" s="249">
        <f t="shared" si="169"/>
        <v>3.6491251362210977</v>
      </c>
      <c r="X336" s="249">
        <f t="shared" si="169"/>
        <v>3.6998405533271019</v>
      </c>
      <c r="Y336" s="249">
        <f t="shared" si="169"/>
        <v>3.7470209591503147</v>
      </c>
      <c r="Z336" s="249">
        <f t="shared" si="169"/>
        <v>3.7909386193238701</v>
      </c>
      <c r="AA336" s="249">
        <f t="shared" si="169"/>
        <v>3.8310324105862597</v>
      </c>
      <c r="AB336" s="249">
        <f t="shared" si="169"/>
        <v>3.867152630327519</v>
      </c>
      <c r="AC336" s="249">
        <f t="shared" si="169"/>
        <v>3.8991868929646301</v>
      </c>
      <c r="AD336" s="249">
        <f t="shared" si="169"/>
        <v>3.9269874182692179</v>
      </c>
      <c r="AE336" s="249">
        <f t="shared" si="169"/>
        <v>3.9504069920545746</v>
      </c>
      <c r="AF336" s="249">
        <f t="shared" si="169"/>
        <v>3.969299137260081</v>
      </c>
      <c r="AG336" s="249">
        <f t="shared" si="169"/>
        <v>3.9835182883063296</v>
      </c>
      <c r="AI336" s="316"/>
      <c r="AJ336" s="211"/>
    </row>
    <row r="337" spans="1:36" s="67" customFormat="1">
      <c r="A337" s="345" t="s">
        <v>1381</v>
      </c>
      <c r="B337" s="308" t="s">
        <v>704</v>
      </c>
      <c r="C337" s="309">
        <f>C303*C$322</f>
        <v>10.33879374245703</v>
      </c>
      <c r="D337" s="309">
        <f t="shared" ref="D337:AG342" si="170">D303*D$322</f>
        <v>11.002064254799674</v>
      </c>
      <c r="E337" s="309">
        <f t="shared" si="170"/>
        <v>11.646611091292192</v>
      </c>
      <c r="F337" s="309">
        <f t="shared" si="170"/>
        <v>12.283471006496139</v>
      </c>
      <c r="G337" s="309">
        <f t="shared" si="170"/>
        <v>12.908128898377587</v>
      </c>
      <c r="H337" s="309">
        <f t="shared" si="170"/>
        <v>13.516007517969197</v>
      </c>
      <c r="I337" s="309">
        <f t="shared" si="170"/>
        <v>14.132948222193207</v>
      </c>
      <c r="J337" s="309">
        <f t="shared" si="170"/>
        <v>14.758214413990476</v>
      </c>
      <c r="K337" s="309">
        <f t="shared" si="170"/>
        <v>15.391021960879581</v>
      </c>
      <c r="L337" s="309">
        <f t="shared" si="170"/>
        <v>16.030539574202933</v>
      </c>
      <c r="M337" s="309">
        <f t="shared" si="170"/>
        <v>16.675889359531009</v>
      </c>
      <c r="N337" s="309">
        <f t="shared" si="170"/>
        <v>17.20349639190157</v>
      </c>
      <c r="O337" s="309">
        <f t="shared" si="170"/>
        <v>17.697954649268958</v>
      </c>
      <c r="P337" s="309">
        <f t="shared" si="170"/>
        <v>18.157099555775584</v>
      </c>
      <c r="Q337" s="309">
        <f t="shared" si="170"/>
        <v>18.576120279120961</v>
      </c>
      <c r="R337" s="309">
        <f t="shared" si="170"/>
        <v>18.951788890558731</v>
      </c>
      <c r="S337" s="309">
        <f t="shared" si="170"/>
        <v>19.315867854742798</v>
      </c>
      <c r="T337" s="309">
        <f t="shared" si="170"/>
        <v>19.66744949731924</v>
      </c>
      <c r="U337" s="309">
        <f t="shared" si="170"/>
        <v>20.005599318164233</v>
      </c>
      <c r="V337" s="309">
        <f t="shared" si="170"/>
        <v>20.329355900673292</v>
      </c>
      <c r="W337" s="309">
        <f t="shared" si="170"/>
        <v>20.637730847269644</v>
      </c>
      <c r="X337" s="309">
        <f t="shared" si="170"/>
        <v>20.739507728800362</v>
      </c>
      <c r="Y337" s="309">
        <f t="shared" si="170"/>
        <v>20.809594487868821</v>
      </c>
      <c r="Z337" s="309">
        <f t="shared" si="170"/>
        <v>20.848779591796095</v>
      </c>
      <c r="AA337" s="309">
        <f t="shared" si="170"/>
        <v>20.852921638395816</v>
      </c>
      <c r="AB337" s="309">
        <f t="shared" si="170"/>
        <v>20.820273429436167</v>
      </c>
      <c r="AC337" s="309">
        <f t="shared" si="170"/>
        <v>20.749239506686362</v>
      </c>
      <c r="AD337" s="309">
        <f t="shared" si="170"/>
        <v>20.63798084397731</v>
      </c>
      <c r="AE337" s="309">
        <f t="shared" si="170"/>
        <v>20.484611531098249</v>
      </c>
      <c r="AF337" s="309">
        <f t="shared" si="170"/>
        <v>20.287198633595946</v>
      </c>
      <c r="AG337" s="309">
        <f t="shared" si="170"/>
        <v>20.043762091458774</v>
      </c>
      <c r="AI337" s="337"/>
      <c r="AJ337" s="348"/>
    </row>
    <row r="338" spans="1:36">
      <c r="A338" s="346" t="s">
        <v>1382</v>
      </c>
      <c r="B338" s="302" t="s">
        <v>704</v>
      </c>
      <c r="C338" s="249">
        <f t="shared" ref="C338:R342" si="171">C304*C$322</f>
        <v>23.908460529431881</v>
      </c>
      <c r="D338" s="249">
        <f t="shared" si="171"/>
        <v>24.732462992140395</v>
      </c>
      <c r="E338" s="249">
        <f t="shared" si="171"/>
        <v>25.476961762201668</v>
      </c>
      <c r="F338" s="249">
        <f t="shared" si="171"/>
        <v>26.172168337704839</v>
      </c>
      <c r="G338" s="249">
        <f t="shared" si="171"/>
        <v>26.812841277879912</v>
      </c>
      <c r="H338" s="249">
        <f t="shared" si="171"/>
        <v>27.394050951598278</v>
      </c>
      <c r="I338" s="249">
        <f t="shared" si="171"/>
        <v>27.971460023090717</v>
      </c>
      <c r="J338" s="249">
        <f t="shared" si="171"/>
        <v>28.544181594626846</v>
      </c>
      <c r="K338" s="249">
        <f t="shared" si="171"/>
        <v>29.111307985216303</v>
      </c>
      <c r="L338" s="249">
        <f t="shared" si="171"/>
        <v>29.671912192635229</v>
      </c>
      <c r="M338" s="249">
        <f t="shared" si="171"/>
        <v>30.225049464149951</v>
      </c>
      <c r="N338" s="249">
        <f t="shared" si="171"/>
        <v>30.551941000861774</v>
      </c>
      <c r="O338" s="249">
        <f t="shared" si="171"/>
        <v>30.81340318399505</v>
      </c>
      <c r="P338" s="249">
        <f t="shared" si="171"/>
        <v>31.009581363424861</v>
      </c>
      <c r="Q338" s="249">
        <f t="shared" si="171"/>
        <v>31.136110695117509</v>
      </c>
      <c r="R338" s="249">
        <f t="shared" si="171"/>
        <v>31.191485882377901</v>
      </c>
      <c r="S338" s="249">
        <f t="shared" si="170"/>
        <v>31.230818949923801</v>
      </c>
      <c r="T338" s="249">
        <f t="shared" si="170"/>
        <v>31.253460304915532</v>
      </c>
      <c r="U338" s="249">
        <f t="shared" si="170"/>
        <v>31.258748934631598</v>
      </c>
      <c r="V338" s="249">
        <f t="shared" si="170"/>
        <v>31.246012576927679</v>
      </c>
      <c r="W338" s="249">
        <f t="shared" si="170"/>
        <v>31.214567906495308</v>
      </c>
      <c r="X338" s="249">
        <f t="shared" si="170"/>
        <v>30.880517022662271</v>
      </c>
      <c r="Y338" s="249">
        <f t="shared" si="170"/>
        <v>30.514068840384539</v>
      </c>
      <c r="Z338" s="249">
        <f t="shared" si="170"/>
        <v>30.117635613148803</v>
      </c>
      <c r="AA338" s="249">
        <f t="shared" si="170"/>
        <v>29.686450943549559</v>
      </c>
      <c r="AB338" s="249">
        <f t="shared" si="170"/>
        <v>29.21936100608367</v>
      </c>
      <c r="AC338" s="249">
        <f t="shared" si="170"/>
        <v>28.715465388717689</v>
      </c>
      <c r="AD338" s="249">
        <f t="shared" si="170"/>
        <v>28.17355937582424</v>
      </c>
      <c r="AE338" s="249">
        <f t="shared" si="170"/>
        <v>27.592418549431862</v>
      </c>
      <c r="AF338" s="249">
        <f t="shared" si="170"/>
        <v>26.970799030892866</v>
      </c>
      <c r="AG338" s="249">
        <f t="shared" si="170"/>
        <v>26.307437745039639</v>
      </c>
      <c r="AI338" s="296"/>
    </row>
    <row r="339" spans="1:36">
      <c r="A339" s="346" t="s">
        <v>1383</v>
      </c>
      <c r="B339" s="302" t="s">
        <v>704</v>
      </c>
      <c r="C339" s="249">
        <f t="shared" si="171"/>
        <v>5.169396871228515</v>
      </c>
      <c r="D339" s="249">
        <f t="shared" si="170"/>
        <v>5.168308410016782</v>
      </c>
      <c r="E339" s="249">
        <f t="shared" si="170"/>
        <v>5.1408869270156927</v>
      </c>
      <c r="F339" s="249">
        <f t="shared" si="170"/>
        <v>5.0948487697398752</v>
      </c>
      <c r="G339" s="249">
        <f t="shared" si="170"/>
        <v>5.0303737618677342</v>
      </c>
      <c r="H339" s="249">
        <f t="shared" si="170"/>
        <v>4.9478241806851502</v>
      </c>
      <c r="I339" s="249">
        <f t="shared" si="170"/>
        <v>4.8582009513789126</v>
      </c>
      <c r="J339" s="249">
        <f t="shared" si="170"/>
        <v>4.7615185018111141</v>
      </c>
      <c r="K339" s="249">
        <f t="shared" si="170"/>
        <v>4.6578092776346072</v>
      </c>
      <c r="L339" s="249">
        <f t="shared" si="170"/>
        <v>4.5471242061440984</v>
      </c>
      <c r="M339" s="249">
        <f t="shared" si="170"/>
        <v>4.4295331111254219</v>
      </c>
      <c r="N339" s="249">
        <f t="shared" si="170"/>
        <v>4.2746492559145643</v>
      </c>
      <c r="O339" s="249">
        <f t="shared" si="170"/>
        <v>4.1084537578660054</v>
      </c>
      <c r="P339" s="249">
        <f t="shared" si="170"/>
        <v>3.9322788282130237</v>
      </c>
      <c r="Q339" s="249">
        <f t="shared" si="170"/>
        <v>3.7468878972090547</v>
      </c>
      <c r="R339" s="249">
        <f t="shared" si="170"/>
        <v>3.5534604169797599</v>
      </c>
      <c r="S339" s="249">
        <f t="shared" si="170"/>
        <v>3.3592813660422229</v>
      </c>
      <c r="T339" s="249">
        <f t="shared" si="170"/>
        <v>3.1645763153931199</v>
      </c>
      <c r="U339" s="249">
        <f t="shared" si="170"/>
        <v>2.9695811487900006</v>
      </c>
      <c r="V339" s="249">
        <f t="shared" si="170"/>
        <v>2.774542195627602</v>
      </c>
      <c r="W339" s="249">
        <f t="shared" si="170"/>
        <v>2.579716355908702</v>
      </c>
      <c r="X339" s="249">
        <f t="shared" si="170"/>
        <v>2.3636938955618025</v>
      </c>
      <c r="Y339" s="249">
        <f t="shared" si="170"/>
        <v>2.1509917379287451</v>
      </c>
      <c r="Z339" s="249">
        <f t="shared" si="170"/>
        <v>1.9422801742357174</v>
      </c>
      <c r="AA339" s="249">
        <f t="shared" si="170"/>
        <v>1.7377434698663143</v>
      </c>
      <c r="AB339" s="249">
        <f t="shared" si="170"/>
        <v>1.5378611055833498</v>
      </c>
      <c r="AC339" s="249">
        <f t="shared" si="170"/>
        <v>1.3431427359238906</v>
      </c>
      <c r="AD339" s="249">
        <f t="shared" si="170"/>
        <v>1.1540976129855698</v>
      </c>
      <c r="AE339" s="249">
        <f t="shared" si="170"/>
        <v>0.97125313294000004</v>
      </c>
      <c r="AF339" s="249">
        <f t="shared" si="170"/>
        <v>0.79515503118966857</v>
      </c>
      <c r="AG339" s="249">
        <f t="shared" si="170"/>
        <v>0.62636756535808669</v>
      </c>
      <c r="AI339" s="296"/>
    </row>
    <row r="340" spans="1:36">
      <c r="A340" s="346" t="s">
        <v>1384</v>
      </c>
      <c r="B340" s="302" t="s">
        <v>704</v>
      </c>
      <c r="C340" s="249">
        <f t="shared" si="171"/>
        <v>17.446714440396239</v>
      </c>
      <c r="D340" s="249">
        <f t="shared" si="170"/>
        <v>17.723083345937379</v>
      </c>
      <c r="E340" s="249">
        <f t="shared" si="170"/>
        <v>17.924862382691892</v>
      </c>
      <c r="F340" s="249">
        <f t="shared" si="170"/>
        <v>18.076244265241481</v>
      </c>
      <c r="G340" s="249">
        <f t="shared" si="170"/>
        <v>18.175784441465506</v>
      </c>
      <c r="H340" s="249">
        <f t="shared" si="170"/>
        <v>18.222474421547766</v>
      </c>
      <c r="I340" s="249">
        <f t="shared" si="170"/>
        <v>18.255058120332901</v>
      </c>
      <c r="J340" s="249">
        <f t="shared" si="170"/>
        <v>18.273262103809163</v>
      </c>
      <c r="K340" s="249">
        <f t="shared" si="170"/>
        <v>18.27683857854451</v>
      </c>
      <c r="L340" s="249">
        <f t="shared" si="170"/>
        <v>18.265566726375464</v>
      </c>
      <c r="M340" s="249">
        <f t="shared" si="170"/>
        <v>18.239253986987048</v>
      </c>
      <c r="N340" s="249">
        <f t="shared" si="170"/>
        <v>18.068916179908818</v>
      </c>
      <c r="O340" s="249">
        <f t="shared" si="170"/>
        <v>17.855972101494579</v>
      </c>
      <c r="P340" s="249">
        <f t="shared" si="170"/>
        <v>17.602885761195228</v>
      </c>
      <c r="Q340" s="249">
        <f t="shared" si="170"/>
        <v>17.309566623726351</v>
      </c>
      <c r="R340" s="249">
        <f t="shared" si="170"/>
        <v>16.977644214458866</v>
      </c>
      <c r="S340" s="249">
        <f t="shared" si="170"/>
        <v>16.6389405161779</v>
      </c>
      <c r="T340" s="249">
        <f t="shared" si="170"/>
        <v>16.293644995784422</v>
      </c>
      <c r="U340" s="249">
        <f t="shared" si="170"/>
        <v>15.941961956662121</v>
      </c>
      <c r="V340" s="249">
        <f t="shared" si="170"/>
        <v>15.584110837123273</v>
      </c>
      <c r="W340" s="249">
        <f t="shared" si="170"/>
        <v>15.220326499861354</v>
      </c>
      <c r="X340" s="249">
        <f t="shared" si="170"/>
        <v>14.715900704626717</v>
      </c>
      <c r="Y340" s="249">
        <f t="shared" si="170"/>
        <v>14.206550083064281</v>
      </c>
      <c r="Z340" s="249">
        <f t="shared" si="170"/>
        <v>13.694304519611336</v>
      </c>
      <c r="AA340" s="249">
        <f t="shared" si="170"/>
        <v>13.177887979819563</v>
      </c>
      <c r="AB340" s="249">
        <f t="shared" si="170"/>
        <v>12.657779869032199</v>
      </c>
      <c r="AC340" s="249">
        <f t="shared" si="170"/>
        <v>12.134599890071025</v>
      </c>
      <c r="AD340" s="249">
        <f t="shared" si="170"/>
        <v>11.608864224737218</v>
      </c>
      <c r="AE340" s="249">
        <f t="shared" si="170"/>
        <v>11.081115289451835</v>
      </c>
      <c r="AF340" s="249">
        <f t="shared" si="170"/>
        <v>10.551922170652109</v>
      </c>
      <c r="AG340" s="249">
        <f t="shared" si="170"/>
        <v>10.021881045729387</v>
      </c>
      <c r="AI340" s="296"/>
    </row>
    <row r="341" spans="1:36">
      <c r="A341" s="346" t="s">
        <v>1385</v>
      </c>
      <c r="B341" s="302" t="s">
        <v>704</v>
      </c>
      <c r="C341" s="249">
        <f t="shared" si="171"/>
        <v>4.5232222623249516</v>
      </c>
      <c r="D341" s="249">
        <f t="shared" si="170"/>
        <v>4.635950462203895</v>
      </c>
      <c r="E341" s="249">
        <f t="shared" si="170"/>
        <v>4.7314357558374525</v>
      </c>
      <c r="F341" s="249">
        <f t="shared" si="170"/>
        <v>4.8156789741376906</v>
      </c>
      <c r="G341" s="249">
        <f t="shared" si="170"/>
        <v>4.8880046931356294</v>
      </c>
      <c r="H341" s="249">
        <f t="shared" si="170"/>
        <v>4.9478241806851511</v>
      </c>
      <c r="I341" s="249">
        <f t="shared" si="170"/>
        <v>5.0054191620267598</v>
      </c>
      <c r="J341" s="249">
        <f t="shared" si="170"/>
        <v>5.0606714966893005</v>
      </c>
      <c r="K341" s="249">
        <f t="shared" si="170"/>
        <v>5.1134645330553852</v>
      </c>
      <c r="L341" s="249">
        <f t="shared" si="170"/>
        <v>5.1636834205365192</v>
      </c>
      <c r="M341" s="249">
        <f t="shared" si="170"/>
        <v>5.2112154248534388</v>
      </c>
      <c r="N341" s="249">
        <f t="shared" si="170"/>
        <v>5.2187435701042846</v>
      </c>
      <c r="O341" s="249">
        <f t="shared" si="170"/>
        <v>5.2145759234453148</v>
      </c>
      <c r="P341" s="249">
        <f t="shared" si="170"/>
        <v>5.1990532158252734</v>
      </c>
      <c r="Q341" s="249">
        <f t="shared" si="170"/>
        <v>5.1717607595279915</v>
      </c>
      <c r="R341" s="249">
        <f t="shared" si="170"/>
        <v>5.1327761578596522</v>
      </c>
      <c r="S341" s="249">
        <f t="shared" si="170"/>
        <v>5.0914108204077442</v>
      </c>
      <c r="T341" s="249">
        <f t="shared" si="170"/>
        <v>5.0476299906683639</v>
      </c>
      <c r="U341" s="249">
        <f t="shared" si="170"/>
        <v>5.0013998295410529</v>
      </c>
      <c r="V341" s="249">
        <f t="shared" si="170"/>
        <v>4.952687470699737</v>
      </c>
      <c r="W341" s="249">
        <f t="shared" si="170"/>
        <v>4.9014610762265329</v>
      </c>
      <c r="X341" s="249">
        <f t="shared" si="170"/>
        <v>4.8036359813030174</v>
      </c>
      <c r="Y341" s="249">
        <f t="shared" si="170"/>
        <v>4.7021679852395817</v>
      </c>
      <c r="Z341" s="249">
        <f t="shared" si="170"/>
        <v>4.5975492731908751</v>
      </c>
      <c r="AA341" s="249">
        <f t="shared" si="170"/>
        <v>4.4891706304879797</v>
      </c>
      <c r="AB341" s="249">
        <f t="shared" si="170"/>
        <v>4.3769893005064588</v>
      </c>
      <c r="AC341" s="249">
        <f t="shared" si="170"/>
        <v>4.2610045415516549</v>
      </c>
      <c r="AD341" s="249">
        <f t="shared" si="170"/>
        <v>4.1411737877717547</v>
      </c>
      <c r="AE341" s="249">
        <f t="shared" si="170"/>
        <v>4.017456140797278</v>
      </c>
      <c r="AF341" s="249">
        <f t="shared" si="170"/>
        <v>3.8898124498737907</v>
      </c>
      <c r="AG341" s="249">
        <f t="shared" si="170"/>
        <v>3.7582053921485197</v>
      </c>
      <c r="AI341" s="296"/>
    </row>
    <row r="342" spans="1:36" s="68" customFormat="1">
      <c r="A342" s="347" t="s">
        <v>1386</v>
      </c>
      <c r="B342" s="312" t="s">
        <v>704</v>
      </c>
      <c r="C342" s="313">
        <f t="shared" si="171"/>
        <v>3.2308730445178222</v>
      </c>
      <c r="D342" s="313">
        <f t="shared" si="170"/>
        <v>3.2828740115128059</v>
      </c>
      <c r="E342" s="313">
        <f t="shared" si="170"/>
        <v>3.3211039440012886</v>
      </c>
      <c r="F342" s="313">
        <f t="shared" si="170"/>
        <v>3.3500375472262194</v>
      </c>
      <c r="G342" s="313">
        <f t="shared" si="170"/>
        <v>3.3694012933265021</v>
      </c>
      <c r="H342" s="313">
        <f t="shared" si="170"/>
        <v>3.3790018794922987</v>
      </c>
      <c r="I342" s="313">
        <f t="shared" si="170"/>
        <v>3.3860188449004549</v>
      </c>
      <c r="J342" s="313">
        <f t="shared" si="170"/>
        <v>3.3904006086194332</v>
      </c>
      <c r="K342" s="313">
        <f t="shared" si="170"/>
        <v>3.3921002347991167</v>
      </c>
      <c r="L342" s="313">
        <f t="shared" si="170"/>
        <v>3.3910756791583112</v>
      </c>
      <c r="M342" s="313">
        <f t="shared" si="170"/>
        <v>3.387290026154735</v>
      </c>
      <c r="N342" s="313">
        <f t="shared" si="170"/>
        <v>3.3567797837856705</v>
      </c>
      <c r="O342" s="313">
        <f t="shared" si="170"/>
        <v>3.3183664967379278</v>
      </c>
      <c r="P342" s="313">
        <f t="shared" si="170"/>
        <v>3.2725005013316442</v>
      </c>
      <c r="Q342" s="313">
        <f t="shared" si="170"/>
        <v>3.2191572074613006</v>
      </c>
      <c r="R342" s="313">
        <f t="shared" si="170"/>
        <v>3.1586314817597865</v>
      </c>
      <c r="S342" s="313">
        <f t="shared" si="170"/>
        <v>3.0968375093201743</v>
      </c>
      <c r="T342" s="313">
        <f t="shared" si="170"/>
        <v>3.0338086990545605</v>
      </c>
      <c r="U342" s="313">
        <f t="shared" si="170"/>
        <v>2.9695811487900001</v>
      </c>
      <c r="V342" s="313">
        <f t="shared" si="170"/>
        <v>2.9041937000961808</v>
      </c>
      <c r="W342" s="313">
        <f t="shared" si="170"/>
        <v>2.8376879914995716</v>
      </c>
      <c r="X342" s="313">
        <f t="shared" si="170"/>
        <v>2.7449348464588668</v>
      </c>
      <c r="Y342" s="313">
        <f t="shared" si="170"/>
        <v>2.6512223746563595</v>
      </c>
      <c r="Z342" s="313">
        <f t="shared" si="170"/>
        <v>2.5569257989938552</v>
      </c>
      <c r="AA342" s="313">
        <f t="shared" si="170"/>
        <v>2.4618032489772781</v>
      </c>
      <c r="AB342" s="313">
        <f t="shared" si="170"/>
        <v>2.3659401624359222</v>
      </c>
      <c r="AC342" s="313">
        <f t="shared" si="170"/>
        <v>2.269448071043815</v>
      </c>
      <c r="AD342" s="313">
        <f t="shared" si="170"/>
        <v>2.1724190362081317</v>
      </c>
      <c r="AE342" s="313">
        <f t="shared" si="170"/>
        <v>2.0749498749172735</v>
      </c>
      <c r="AF342" s="313">
        <f t="shared" si="170"/>
        <v>1.9771422397148528</v>
      </c>
      <c r="AG342" s="313">
        <f t="shared" si="170"/>
        <v>1.8791026960742598</v>
      </c>
      <c r="AI342" s="314"/>
      <c r="AJ342" s="315"/>
    </row>
    <row r="343" spans="1:36" s="181" customFormat="1">
      <c r="B343" s="176"/>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J343" s="323"/>
    </row>
    <row r="344" spans="1:36" s="181" customFormat="1">
      <c r="A344" s="181" t="s">
        <v>1643</v>
      </c>
      <c r="B344" s="350" t="s">
        <v>704</v>
      </c>
      <c r="C344" s="230">
        <f>C277</f>
        <v>6.1470184945809105</v>
      </c>
      <c r="D344" s="230">
        <f t="shared" ref="D344:AG344" si="172">D277</f>
        <v>6.5918673772683558</v>
      </c>
      <c r="E344" s="230">
        <f t="shared" si="172"/>
        <v>7.1488048815287524</v>
      </c>
      <c r="F344" s="230">
        <f t="shared" si="172"/>
        <v>7.7187271428009527</v>
      </c>
      <c r="G344" s="230">
        <f t="shared" si="172"/>
        <v>8.2987524751611126</v>
      </c>
      <c r="H344" s="230">
        <f t="shared" si="172"/>
        <v>8.8857564734805656</v>
      </c>
      <c r="I344" s="230">
        <f t="shared" si="172"/>
        <v>9.4968403576145057</v>
      </c>
      <c r="J344" s="230">
        <f t="shared" si="172"/>
        <v>10.132414840923506</v>
      </c>
      <c r="K344" s="230">
        <f t="shared" si="172"/>
        <v>10.792867488508211</v>
      </c>
      <c r="L344" s="230">
        <f t="shared" si="172"/>
        <v>11.478560707668674</v>
      </c>
      <c r="M344" s="230">
        <f t="shared" si="172"/>
        <v>12.18982971377074</v>
      </c>
      <c r="N344" s="230">
        <f t="shared" si="172"/>
        <v>13.356020014020505</v>
      </c>
      <c r="O344" s="230">
        <f t="shared" si="172"/>
        <v>14.547915820586532</v>
      </c>
      <c r="P344" s="230">
        <f t="shared" si="172"/>
        <v>15.761365552630705</v>
      </c>
      <c r="Q344" s="230">
        <f t="shared" si="172"/>
        <v>16.990567755239745</v>
      </c>
      <c r="R344" s="230">
        <f t="shared" si="172"/>
        <v>18.229960967784073</v>
      </c>
      <c r="S344" s="230">
        <f t="shared" si="172"/>
        <v>19.508782585754233</v>
      </c>
      <c r="T344" s="230">
        <f t="shared" si="172"/>
        <v>20.827944787428695</v>
      </c>
      <c r="U344" s="230">
        <f t="shared" si="172"/>
        <v>22.18836639306538</v>
      </c>
      <c r="V344" s="230">
        <f t="shared" si="172"/>
        <v>23.590972316525136</v>
      </c>
      <c r="W344" s="230">
        <f t="shared" si="172"/>
        <v>25.036692995614104</v>
      </c>
      <c r="X344" s="230">
        <f t="shared" si="172"/>
        <v>27.226871936462267</v>
      </c>
      <c r="Y344" s="230">
        <f t="shared" si="172"/>
        <v>29.487706240608638</v>
      </c>
      <c r="Z344" s="230">
        <f t="shared" si="172"/>
        <v>31.823946228548404</v>
      </c>
      <c r="AA344" s="230">
        <f t="shared" si="172"/>
        <v>34.234730551775755</v>
      </c>
      <c r="AB344" s="230">
        <f t="shared" si="172"/>
        <v>36.721742865197712</v>
      </c>
      <c r="AC344" s="230">
        <f t="shared" si="172"/>
        <v>39.287048989869859</v>
      </c>
      <c r="AD344" s="230">
        <f t="shared" si="172"/>
        <v>41.932428759326513</v>
      </c>
      <c r="AE344" s="230">
        <f t="shared" si="172"/>
        <v>44.659675631633803</v>
      </c>
      <c r="AF344" s="230">
        <f t="shared" si="172"/>
        <v>47.470595845121537</v>
      </c>
      <c r="AG344" s="230">
        <f t="shared" si="172"/>
        <v>50.367007543324213</v>
      </c>
      <c r="AI344" s="763" t="s">
        <v>1391</v>
      </c>
      <c r="AJ344" s="323"/>
    </row>
    <row r="345" spans="1:36" s="181" customFormat="1">
      <c r="A345" s="181" t="s">
        <v>1644</v>
      </c>
      <c r="B345" s="349" t="s">
        <v>704</v>
      </c>
      <c r="C345" s="249">
        <f>C344/(1-C302)</f>
        <v>8.4205732802478224</v>
      </c>
      <c r="D345" s="249">
        <f t="shared" ref="D345:AG345" si="173">D344/(1-D302)</f>
        <v>8.9807457455972148</v>
      </c>
      <c r="E345" s="249">
        <f t="shared" si="173"/>
        <v>9.6867274817462778</v>
      </c>
      <c r="F345" s="249">
        <f t="shared" si="173"/>
        <v>10.402597227494546</v>
      </c>
      <c r="G345" s="249">
        <f t="shared" si="173"/>
        <v>11.124333076623476</v>
      </c>
      <c r="H345" s="249">
        <f t="shared" si="173"/>
        <v>11.847675297974087</v>
      </c>
      <c r="I345" s="249">
        <f t="shared" si="173"/>
        <v>12.595278988878654</v>
      </c>
      <c r="J345" s="249">
        <f t="shared" si="173"/>
        <v>13.367301900954493</v>
      </c>
      <c r="K345" s="249">
        <f t="shared" si="173"/>
        <v>14.163868095155133</v>
      </c>
      <c r="L345" s="249">
        <f t="shared" si="173"/>
        <v>14.985066198000879</v>
      </c>
      <c r="M345" s="249">
        <f t="shared" si="173"/>
        <v>15.83094768022174</v>
      </c>
      <c r="N345" s="249">
        <f t="shared" si="173"/>
        <v>17.255839811396001</v>
      </c>
      <c r="O345" s="249">
        <f t="shared" si="173"/>
        <v>18.699120592013536</v>
      </c>
      <c r="P345" s="249">
        <f t="shared" si="173"/>
        <v>20.155198916407549</v>
      </c>
      <c r="Q345" s="249">
        <f t="shared" si="173"/>
        <v>21.616498416335553</v>
      </c>
      <c r="R345" s="249">
        <f t="shared" si="173"/>
        <v>23.075899959220344</v>
      </c>
      <c r="S345" s="249">
        <f t="shared" si="173"/>
        <v>24.570255145786184</v>
      </c>
      <c r="T345" s="249">
        <f t="shared" si="173"/>
        <v>26.100181437880568</v>
      </c>
      <c r="U345" s="249">
        <f t="shared" si="173"/>
        <v>27.666292260680024</v>
      </c>
      <c r="V345" s="249">
        <f t="shared" si="173"/>
        <v>29.269196422487759</v>
      </c>
      <c r="W345" s="249">
        <f t="shared" si="173"/>
        <v>30.90949752544951</v>
      </c>
      <c r="X345" s="249">
        <f t="shared" si="173"/>
        <v>33.448245622189518</v>
      </c>
      <c r="Y345" s="249">
        <f t="shared" si="173"/>
        <v>36.048540636440876</v>
      </c>
      <c r="Z345" s="249">
        <f t="shared" si="173"/>
        <v>38.715263051762044</v>
      </c>
      <c r="AA345" s="249">
        <f t="shared" si="173"/>
        <v>41.446405026362896</v>
      </c>
      <c r="AB345" s="249">
        <f t="shared" si="173"/>
        <v>44.24306369300929</v>
      </c>
      <c r="AC345" s="249">
        <f t="shared" si="173"/>
        <v>47.106773369148506</v>
      </c>
      <c r="AD345" s="249">
        <f t="shared" si="173"/>
        <v>50.038697803492255</v>
      </c>
      <c r="AE345" s="249">
        <f t="shared" si="173"/>
        <v>53.039994811916628</v>
      </c>
      <c r="AF345" s="249">
        <f t="shared" si="173"/>
        <v>56.111815419765406</v>
      </c>
      <c r="AG345" s="249">
        <f t="shared" si="173"/>
        <v>59.255302992146134</v>
      </c>
      <c r="AI345" s="763"/>
      <c r="AJ345" s="323"/>
    </row>
    <row r="346" spans="1:36" s="181" customFormat="1">
      <c r="A346" s="181" t="s">
        <v>1645</v>
      </c>
      <c r="B346" s="349" t="s">
        <v>704</v>
      </c>
      <c r="C346" s="249">
        <f>C334</f>
        <v>2.8235027274590001</v>
      </c>
      <c r="D346" s="249">
        <f t="shared" ref="D346:AG346" si="174">D334</f>
        <v>3.2207247334107736</v>
      </c>
      <c r="E346" s="249">
        <f t="shared" si="174"/>
        <v>3.6338542621015817</v>
      </c>
      <c r="F346" s="249">
        <f t="shared" si="174"/>
        <v>4.0607702070994192</v>
      </c>
      <c r="G346" s="249">
        <f t="shared" si="174"/>
        <v>4.4991058812291298</v>
      </c>
      <c r="H346" s="249">
        <f t="shared" si="174"/>
        <v>4.9462689102941191</v>
      </c>
      <c r="I346" s="249">
        <f t="shared" si="174"/>
        <v>5.4111145535084164</v>
      </c>
      <c r="J346" s="249">
        <f t="shared" si="174"/>
        <v>5.8936967284136426</v>
      </c>
      <c r="K346" s="249">
        <f t="shared" si="174"/>
        <v>6.3940372858635124</v>
      </c>
      <c r="L346" s="249">
        <f t="shared" si="174"/>
        <v>6.9121248607211676</v>
      </c>
      <c r="M346" s="249">
        <f t="shared" si="174"/>
        <v>7.44791378182921</v>
      </c>
      <c r="N346" s="249">
        <f t="shared" si="174"/>
        <v>7.989874828690871</v>
      </c>
      <c r="O346" s="249">
        <f t="shared" si="174"/>
        <v>8.5354643403064099</v>
      </c>
      <c r="P346" s="249">
        <f t="shared" si="174"/>
        <v>9.0826886874560699</v>
      </c>
      <c r="Q346" s="249">
        <f t="shared" si="174"/>
        <v>9.6281858491902401</v>
      </c>
      <c r="R346" s="249">
        <f t="shared" si="174"/>
        <v>10.169105135732368</v>
      </c>
      <c r="S346" s="249">
        <f t="shared" si="174"/>
        <v>10.721821393136052</v>
      </c>
      <c r="T346" s="249">
        <f t="shared" si="174"/>
        <v>11.286375660566188</v>
      </c>
      <c r="U346" s="249">
        <f t="shared" si="174"/>
        <v>11.86280383820694</v>
      </c>
      <c r="V346" s="249">
        <f t="shared" si="174"/>
        <v>12.451136575855887</v>
      </c>
      <c r="W346" s="249">
        <f t="shared" si="174"/>
        <v>13.051399163597782</v>
      </c>
      <c r="X346" s="249">
        <f t="shared" si="174"/>
        <v>13.663761921329305</v>
      </c>
      <c r="Y346" s="249">
        <f t="shared" si="174"/>
        <v>14.288259968941343</v>
      </c>
      <c r="Z346" s="249">
        <f t="shared" si="174"/>
        <v>14.926581868596585</v>
      </c>
      <c r="AA346" s="249">
        <f t="shared" si="174"/>
        <v>15.577238629102062</v>
      </c>
      <c r="AB346" s="249">
        <f t="shared" si="174"/>
        <v>16.240254619367491</v>
      </c>
      <c r="AC346" s="249">
        <f t="shared" si="174"/>
        <v>16.915809021459633</v>
      </c>
      <c r="AD346" s="249">
        <f t="shared" si="174"/>
        <v>17.603935620621847</v>
      </c>
      <c r="AE346" s="249">
        <f t="shared" si="174"/>
        <v>18.304663650264203</v>
      </c>
      <c r="AF346" s="249">
        <f t="shared" si="174"/>
        <v>19.018017705778163</v>
      </c>
      <c r="AG346" s="249">
        <f t="shared" si="174"/>
        <v>19.744017659906099</v>
      </c>
      <c r="AI346" s="763"/>
      <c r="AJ346" s="323"/>
    </row>
    <row r="347" spans="1:36" s="181" customFormat="1">
      <c r="A347" s="181" t="s">
        <v>1646</v>
      </c>
      <c r="B347" s="349" t="s">
        <v>704</v>
      </c>
      <c r="C347" s="249">
        <f>C345-C346</f>
        <v>5.5970705527888223</v>
      </c>
      <c r="D347" s="249">
        <f t="shared" ref="D347:AG347" si="175">D345-D346</f>
        <v>5.7600210121864412</v>
      </c>
      <c r="E347" s="249">
        <f t="shared" si="175"/>
        <v>6.0528732196446962</v>
      </c>
      <c r="F347" s="249">
        <f t="shared" si="175"/>
        <v>6.3418270203951268</v>
      </c>
      <c r="G347" s="249">
        <f t="shared" si="175"/>
        <v>6.6252271953943458</v>
      </c>
      <c r="H347" s="249">
        <f t="shared" si="175"/>
        <v>6.9014063876799678</v>
      </c>
      <c r="I347" s="249">
        <f t="shared" si="175"/>
        <v>7.1841644353702376</v>
      </c>
      <c r="J347" s="249">
        <f t="shared" si="175"/>
        <v>7.4736051725408501</v>
      </c>
      <c r="K347" s="249">
        <f t="shared" si="175"/>
        <v>7.7698308092916202</v>
      </c>
      <c r="L347" s="249">
        <f t="shared" si="175"/>
        <v>8.0729413372797119</v>
      </c>
      <c r="M347" s="249">
        <f t="shared" si="175"/>
        <v>8.3830338983925294</v>
      </c>
      <c r="N347" s="249">
        <f t="shared" si="175"/>
        <v>9.26596498270513</v>
      </c>
      <c r="O347" s="249">
        <f t="shared" si="175"/>
        <v>10.163656251707126</v>
      </c>
      <c r="P347" s="249">
        <f t="shared" si="175"/>
        <v>11.072510228951479</v>
      </c>
      <c r="Q347" s="249">
        <f t="shared" si="175"/>
        <v>11.988312567145313</v>
      </c>
      <c r="R347" s="249">
        <f t="shared" si="175"/>
        <v>12.906794823487976</v>
      </c>
      <c r="S347" s="249">
        <f t="shared" si="175"/>
        <v>13.848433752650132</v>
      </c>
      <c r="T347" s="249">
        <f t="shared" si="175"/>
        <v>14.81380577731438</v>
      </c>
      <c r="U347" s="249">
        <f t="shared" si="175"/>
        <v>15.803488422473084</v>
      </c>
      <c r="V347" s="249">
        <f t="shared" si="175"/>
        <v>16.818059846631872</v>
      </c>
      <c r="W347" s="249">
        <f t="shared" si="175"/>
        <v>17.858098361851727</v>
      </c>
      <c r="X347" s="249">
        <f t="shared" si="175"/>
        <v>19.784483700860214</v>
      </c>
      <c r="Y347" s="249">
        <f t="shared" si="175"/>
        <v>21.760280667499533</v>
      </c>
      <c r="Z347" s="249">
        <f t="shared" si="175"/>
        <v>23.788681183165458</v>
      </c>
      <c r="AA347" s="249">
        <f t="shared" si="175"/>
        <v>25.869166397260834</v>
      </c>
      <c r="AB347" s="249">
        <f t="shared" si="175"/>
        <v>28.002809073641799</v>
      </c>
      <c r="AC347" s="249">
        <f t="shared" si="175"/>
        <v>30.190964347688872</v>
      </c>
      <c r="AD347" s="249">
        <f t="shared" si="175"/>
        <v>32.434762182870408</v>
      </c>
      <c r="AE347" s="249">
        <f t="shared" si="175"/>
        <v>34.735331161652425</v>
      </c>
      <c r="AF347" s="249">
        <f t="shared" si="175"/>
        <v>37.093797713987243</v>
      </c>
      <c r="AG347" s="249">
        <f t="shared" si="175"/>
        <v>39.511285332240035</v>
      </c>
      <c r="AI347" s="763"/>
      <c r="AJ347" s="323"/>
    </row>
    <row r="348" spans="1:36" s="181" customFormat="1">
      <c r="A348" s="181" t="s">
        <v>1647</v>
      </c>
      <c r="B348" s="349" t="s">
        <v>704</v>
      </c>
      <c r="C348" s="249">
        <f>(C347)/(1-C299)</f>
        <v>6.9963381909860276</v>
      </c>
      <c r="D348" s="249">
        <f t="shared" ref="D348:AG348" si="176">(D345-D334)/(1-D299)</f>
        <v>7.1701506375764827</v>
      </c>
      <c r="E348" s="249">
        <f t="shared" si="176"/>
        <v>7.5035618425347472</v>
      </c>
      <c r="F348" s="249">
        <f t="shared" si="176"/>
        <v>7.8294160745618857</v>
      </c>
      <c r="G348" s="249">
        <f t="shared" si="176"/>
        <v>8.1457711418782957</v>
      </c>
      <c r="H348" s="249">
        <f t="shared" si="176"/>
        <v>8.4507016991999606</v>
      </c>
      <c r="I348" s="249">
        <f t="shared" si="176"/>
        <v>8.7611761406954116</v>
      </c>
      <c r="J348" s="249">
        <f t="shared" si="176"/>
        <v>9.0772532460010336</v>
      </c>
      <c r="K348" s="249">
        <f t="shared" si="176"/>
        <v>9.3989888822076058</v>
      </c>
      <c r="L348" s="249">
        <f t="shared" si="176"/>
        <v>9.7264353461201356</v>
      </c>
      <c r="M348" s="249">
        <f t="shared" si="176"/>
        <v>10.059640678071036</v>
      </c>
      <c r="N348" s="249">
        <f t="shared" si="176"/>
        <v>11.074858545065894</v>
      </c>
      <c r="O348" s="249">
        <f t="shared" si="176"/>
        <v>12.099590775841818</v>
      </c>
      <c r="P348" s="249">
        <f t="shared" si="176"/>
        <v>13.129458769507684</v>
      </c>
      <c r="Q348" s="249">
        <f t="shared" si="176"/>
        <v>14.159424291903914</v>
      </c>
      <c r="R348" s="249">
        <f t="shared" si="176"/>
        <v>15.184464498221152</v>
      </c>
      <c r="S348" s="249">
        <f t="shared" si="176"/>
        <v>16.228633303886873</v>
      </c>
      <c r="T348" s="249">
        <f t="shared" si="176"/>
        <v>17.292380284802782</v>
      </c>
      <c r="U348" s="249">
        <f t="shared" si="176"/>
        <v>18.376149328457078</v>
      </c>
      <c r="V348" s="249">
        <f t="shared" si="176"/>
        <v>19.480378200731902</v>
      </c>
      <c r="W348" s="249">
        <f t="shared" si="176"/>
        <v>20.605498109828922</v>
      </c>
      <c r="X348" s="249">
        <f t="shared" si="176"/>
        <v>22.74078586305772</v>
      </c>
      <c r="Y348" s="249">
        <f t="shared" si="176"/>
        <v>24.916351909350613</v>
      </c>
      <c r="Z348" s="249">
        <f t="shared" si="176"/>
        <v>27.135377775473913</v>
      </c>
      <c r="AA348" s="249">
        <f t="shared" si="176"/>
        <v>29.396779996887314</v>
      </c>
      <c r="AB348" s="249">
        <f t="shared" si="176"/>
        <v>31.701293290915249</v>
      </c>
      <c r="AC348" s="249">
        <f t="shared" si="176"/>
        <v>34.049959790626552</v>
      </c>
      <c r="AD348" s="249">
        <f t="shared" si="176"/>
        <v>36.443553014461138</v>
      </c>
      <c r="AE348" s="249">
        <f t="shared" si="176"/>
        <v>38.882833389909443</v>
      </c>
      <c r="AF348" s="249">
        <f t="shared" si="176"/>
        <v>41.368547636417006</v>
      </c>
      <c r="AG348" s="249">
        <f t="shared" si="176"/>
        <v>43.90142814693337</v>
      </c>
      <c r="AI348" s="763"/>
      <c r="AJ348" s="323"/>
    </row>
    <row r="349" spans="1:36" s="181" customFormat="1">
      <c r="A349" s="181" t="s">
        <v>1648</v>
      </c>
      <c r="B349" s="349" t="s">
        <v>704</v>
      </c>
      <c r="C349" s="249">
        <f>IF(C328&gt;C348,C348,C328)</f>
        <v>6.9963381909860276</v>
      </c>
      <c r="D349" s="249">
        <f t="shared" ref="D349:AG349" si="177">IF(D328&gt;D348,D348,D328)</f>
        <v>7.1701506375764827</v>
      </c>
      <c r="E349" s="249">
        <f t="shared" si="177"/>
        <v>7.5035618425347472</v>
      </c>
      <c r="F349" s="249">
        <f t="shared" si="177"/>
        <v>7.8294160745618857</v>
      </c>
      <c r="G349" s="249">
        <f t="shared" si="177"/>
        <v>8.1457711418782957</v>
      </c>
      <c r="H349" s="249">
        <f t="shared" si="177"/>
        <v>8.4507016991999606</v>
      </c>
      <c r="I349" s="249">
        <f t="shared" si="177"/>
        <v>8.7611761406954116</v>
      </c>
      <c r="J349" s="249">
        <f t="shared" si="177"/>
        <v>9.0772532460010336</v>
      </c>
      <c r="K349" s="249">
        <f t="shared" si="177"/>
        <v>9.3989888822076058</v>
      </c>
      <c r="L349" s="249">
        <f t="shared" si="177"/>
        <v>9.7264353461201356</v>
      </c>
      <c r="M349" s="249">
        <f t="shared" si="177"/>
        <v>10.059640678071036</v>
      </c>
      <c r="N349" s="249">
        <f t="shared" si="177"/>
        <v>11.074858545065894</v>
      </c>
      <c r="O349" s="249">
        <f t="shared" si="177"/>
        <v>12.099590775841818</v>
      </c>
      <c r="P349" s="249">
        <f t="shared" si="177"/>
        <v>13.129458769507684</v>
      </c>
      <c r="Q349" s="249">
        <f t="shared" si="177"/>
        <v>14.159424291903914</v>
      </c>
      <c r="R349" s="249">
        <f t="shared" si="177"/>
        <v>15.184464498221152</v>
      </c>
      <c r="S349" s="249">
        <f t="shared" si="177"/>
        <v>16.228633303886873</v>
      </c>
      <c r="T349" s="249">
        <f t="shared" si="177"/>
        <v>17.292380284802782</v>
      </c>
      <c r="U349" s="249">
        <f t="shared" si="177"/>
        <v>18.376149328457078</v>
      </c>
      <c r="V349" s="249">
        <f t="shared" si="177"/>
        <v>19.480378200731902</v>
      </c>
      <c r="W349" s="249">
        <f t="shared" si="177"/>
        <v>20.605498109828922</v>
      </c>
      <c r="X349" s="249">
        <f t="shared" si="177"/>
        <v>22.74078586305772</v>
      </c>
      <c r="Y349" s="249">
        <f t="shared" si="177"/>
        <v>23.574077001616807</v>
      </c>
      <c r="Z349" s="249">
        <f t="shared" si="177"/>
        <v>24.293621262809467</v>
      </c>
      <c r="AA349" s="249">
        <f t="shared" si="177"/>
        <v>25.019804144372156</v>
      </c>
      <c r="AB349" s="249">
        <f t="shared" si="177"/>
        <v>25.752403753568419</v>
      </c>
      <c r="AC349" s="249">
        <f t="shared" si="177"/>
        <v>26.491440979468035</v>
      </c>
      <c r="AD349" s="249">
        <f t="shared" si="177"/>
        <v>27.236700085096572</v>
      </c>
      <c r="AE349" s="249">
        <f t="shared" si="177"/>
        <v>27.987958095984652</v>
      </c>
      <c r="AF349" s="249">
        <f t="shared" si="177"/>
        <v>28.744984820596393</v>
      </c>
      <c r="AG349" s="249">
        <f t="shared" si="177"/>
        <v>29.507542876343184</v>
      </c>
      <c r="AI349" s="763"/>
      <c r="AJ349" s="323"/>
    </row>
    <row r="350" spans="1:36" s="181" customFormat="1">
      <c r="A350" s="181" t="s">
        <v>1649</v>
      </c>
      <c r="B350" s="349" t="s">
        <v>704</v>
      </c>
      <c r="C350" s="249">
        <f>IF(C348-C349&lt;0,0,C348-C349)</f>
        <v>0</v>
      </c>
      <c r="D350" s="249">
        <f t="shared" ref="D350:AG350" si="178">IF(D348-D349&lt;0,0,D348-D349)</f>
        <v>0</v>
      </c>
      <c r="E350" s="249">
        <f t="shared" si="178"/>
        <v>0</v>
      </c>
      <c r="F350" s="249">
        <f t="shared" si="178"/>
        <v>0</v>
      </c>
      <c r="G350" s="249">
        <f t="shared" si="178"/>
        <v>0</v>
      </c>
      <c r="H350" s="249">
        <f t="shared" si="178"/>
        <v>0</v>
      </c>
      <c r="I350" s="249">
        <f t="shared" si="178"/>
        <v>0</v>
      </c>
      <c r="J350" s="249">
        <f t="shared" si="178"/>
        <v>0</v>
      </c>
      <c r="K350" s="249">
        <f t="shared" si="178"/>
        <v>0</v>
      </c>
      <c r="L350" s="249">
        <f t="shared" si="178"/>
        <v>0</v>
      </c>
      <c r="M350" s="249">
        <f t="shared" si="178"/>
        <v>0</v>
      </c>
      <c r="N350" s="249">
        <f t="shared" si="178"/>
        <v>0</v>
      </c>
      <c r="O350" s="249">
        <f t="shared" si="178"/>
        <v>0</v>
      </c>
      <c r="P350" s="249">
        <f t="shared" si="178"/>
        <v>0</v>
      </c>
      <c r="Q350" s="249">
        <f t="shared" si="178"/>
        <v>0</v>
      </c>
      <c r="R350" s="249">
        <f t="shared" si="178"/>
        <v>0</v>
      </c>
      <c r="S350" s="249">
        <f t="shared" si="178"/>
        <v>0</v>
      </c>
      <c r="T350" s="249">
        <f t="shared" si="178"/>
        <v>0</v>
      </c>
      <c r="U350" s="249">
        <f t="shared" si="178"/>
        <v>0</v>
      </c>
      <c r="V350" s="249">
        <f t="shared" si="178"/>
        <v>0</v>
      </c>
      <c r="W350" s="249">
        <f t="shared" si="178"/>
        <v>0</v>
      </c>
      <c r="X350" s="249">
        <f t="shared" si="178"/>
        <v>0</v>
      </c>
      <c r="Y350" s="249">
        <f t="shared" si="178"/>
        <v>1.3422749077338061</v>
      </c>
      <c r="Z350" s="249">
        <f t="shared" si="178"/>
        <v>2.8417565126644462</v>
      </c>
      <c r="AA350" s="249">
        <f t="shared" si="178"/>
        <v>4.3769758525151587</v>
      </c>
      <c r="AB350" s="249">
        <f t="shared" si="178"/>
        <v>5.9488895373468296</v>
      </c>
      <c r="AC350" s="249">
        <f t="shared" si="178"/>
        <v>7.5585188111585175</v>
      </c>
      <c r="AD350" s="249">
        <f t="shared" si="178"/>
        <v>9.2068529293645653</v>
      </c>
      <c r="AE350" s="249">
        <f t="shared" si="178"/>
        <v>10.894875293924791</v>
      </c>
      <c r="AF350" s="249">
        <f t="shared" si="178"/>
        <v>12.623562815820613</v>
      </c>
      <c r="AG350" s="249">
        <f t="shared" si="178"/>
        <v>14.393885270590186</v>
      </c>
      <c r="AI350" s="763"/>
      <c r="AJ350" s="323"/>
    </row>
    <row r="351" spans="1:36" s="181" customFormat="1">
      <c r="A351" s="181" t="s">
        <v>1650</v>
      </c>
      <c r="B351" s="349" t="s">
        <v>704</v>
      </c>
      <c r="C351" s="249">
        <f>C345*C302+C299*C348+C335+IF(C328&gt;C348,C328-C348,0)</f>
        <v>5.2955978219634581</v>
      </c>
      <c r="D351" s="249">
        <f t="shared" ref="D351:AG351" si="179">D345*D302+D299*D348+D335+IF(D328&gt;D348,D328-D348,0)</f>
        <v>5.9224166991649119</v>
      </c>
      <c r="E351" s="249">
        <f t="shared" si="179"/>
        <v>6.4625919885716572</v>
      </c>
      <c r="F351" s="249">
        <f t="shared" si="179"/>
        <v>7.0090768535606776</v>
      </c>
      <c r="G351" s="249">
        <f t="shared" si="179"/>
        <v>7.5581123803574943</v>
      </c>
      <c r="H351" s="249">
        <f t="shared" si="179"/>
        <v>8.1057550422706655</v>
      </c>
      <c r="I351" s="249">
        <f t="shared" si="179"/>
        <v>8.6665823793213796</v>
      </c>
      <c r="J351" s="249">
        <f t="shared" si="179"/>
        <v>9.2399773591602532</v>
      </c>
      <c r="K351" s="249">
        <f t="shared" si="179"/>
        <v>9.8252681992328732</v>
      </c>
      <c r="L351" s="249">
        <f t="shared" si="179"/>
        <v>10.421728514098911</v>
      </c>
      <c r="M351" s="249">
        <f t="shared" si="179"/>
        <v>11.028577663034895</v>
      </c>
      <c r="N351" s="249">
        <f t="shared" si="179"/>
        <v>11.180784433502279</v>
      </c>
      <c r="O351" s="249">
        <f t="shared" si="179"/>
        <v>11.301065830600294</v>
      </c>
      <c r="P351" s="249">
        <f t="shared" si="179"/>
        <v>11.388893018976891</v>
      </c>
      <c r="Q351" s="249">
        <f t="shared" si="179"/>
        <v>11.441412218412916</v>
      </c>
      <c r="R351" s="249">
        <f t="shared" si="179"/>
        <v>11.457265315563617</v>
      </c>
      <c r="S351" s="249">
        <f t="shared" si="179"/>
        <v>11.455960748478578</v>
      </c>
      <c r="T351" s="249">
        <f t="shared" si="179"/>
        <v>11.436508699507362</v>
      </c>
      <c r="U351" s="249">
        <f t="shared" si="179"/>
        <v>11.397899580210398</v>
      </c>
      <c r="V351" s="249">
        <f t="shared" si="179"/>
        <v>11.33910442533562</v>
      </c>
      <c r="W351" s="249">
        <f t="shared" si="179"/>
        <v>11.259075316148172</v>
      </c>
      <c r="X351" s="249">
        <f t="shared" si="179"/>
        <v>10.45675275644321</v>
      </c>
      <c r="Y351" s="249">
        <f t="shared" si="179"/>
        <v>10.948117032545028</v>
      </c>
      <c r="Z351" s="249">
        <f t="shared" si="179"/>
        <v>11.547742498988509</v>
      </c>
      <c r="AA351" s="249">
        <f t="shared" si="179"/>
        <v>12.130718975723831</v>
      </c>
      <c r="AB351" s="249">
        <f t="shared" si="179"/>
        <v>12.696191828663888</v>
      </c>
      <c r="AC351" s="249">
        <f t="shared" si="179"/>
        <v>13.243401355883755</v>
      </c>
      <c r="AD351" s="249">
        <f t="shared" si="179"/>
        <v>13.77144769126356</v>
      </c>
      <c r="AE351" s="249">
        <f t="shared" si="179"/>
        <v>14.279399887856574</v>
      </c>
      <c r="AF351" s="249">
        <f t="shared" si="179"/>
        <v>14.766296018557536</v>
      </c>
      <c r="AG351" s="249">
        <f t="shared" si="179"/>
        <v>15.231143306802672</v>
      </c>
      <c r="AI351" s="763"/>
      <c r="AJ351" s="323"/>
    </row>
    <row r="352" spans="1:36" s="181" customFormat="1">
      <c r="A352" s="181" t="s">
        <v>1651</v>
      </c>
      <c r="B352" s="349" t="s">
        <v>704</v>
      </c>
      <c r="C352" s="249">
        <f>C331-C350</f>
        <v>47.999546366802996</v>
      </c>
      <c r="D352" s="249">
        <f t="shared" ref="D352:AF352" si="180">D331-D350</f>
        <v>49.213015484240849</v>
      </c>
      <c r="E352" s="249">
        <f t="shared" si="180"/>
        <v>50.319888529294047</v>
      </c>
      <c r="F352" s="249">
        <f t="shared" si="180"/>
        <v>51.311717992570195</v>
      </c>
      <c r="G352" s="249">
        <f t="shared" si="180"/>
        <v>52.180828680560552</v>
      </c>
      <c r="H352" s="249">
        <f t="shared" si="180"/>
        <v>52.920416544943016</v>
      </c>
      <c r="I352" s="249">
        <f t="shared" si="180"/>
        <v>53.640114331912493</v>
      </c>
      <c r="J352" s="249">
        <f t="shared" si="180"/>
        <v>54.338743770404079</v>
      </c>
      <c r="K352" s="249">
        <f t="shared" si="180"/>
        <v>55.015141883391024</v>
      </c>
      <c r="L352" s="249">
        <f t="shared" si="180"/>
        <v>55.668163934120237</v>
      </c>
      <c r="M352" s="249">
        <f t="shared" si="180"/>
        <v>56.296686379378059</v>
      </c>
      <c r="N352" s="249">
        <f t="shared" si="180"/>
        <v>56.818198390180768</v>
      </c>
      <c r="O352" s="249">
        <f t="shared" si="180"/>
        <v>57.229316385667417</v>
      </c>
      <c r="P352" s="249">
        <f t="shared" si="180"/>
        <v>57.531551610721991</v>
      </c>
      <c r="Q352" s="249">
        <f t="shared" si="180"/>
        <v>57.7185734371404</v>
      </c>
      <c r="R352" s="249">
        <f t="shared" si="180"/>
        <v>57.788946927253257</v>
      </c>
      <c r="S352" s="249">
        <f t="shared" si="180"/>
        <v>57.84597006630873</v>
      </c>
      <c r="T352" s="249">
        <f t="shared" si="180"/>
        <v>57.889517761296077</v>
      </c>
      <c r="U352" s="249">
        <f t="shared" si="180"/>
        <v>57.919471748159985</v>
      </c>
      <c r="V352" s="249">
        <f t="shared" si="180"/>
        <v>57.935720756007719</v>
      </c>
      <c r="W352" s="249">
        <f t="shared" si="180"/>
        <v>57.938160667283022</v>
      </c>
      <c r="X352" s="249">
        <f t="shared" si="180"/>
        <v>57.927332702163426</v>
      </c>
      <c r="Y352" s="249">
        <f t="shared" si="180"/>
        <v>56.560872750615346</v>
      </c>
      <c r="Z352" s="249">
        <f t="shared" si="180"/>
        <v>55.030195830420595</v>
      </c>
      <c r="AA352" s="249">
        <f t="shared" si="180"/>
        <v>53.45025359374899</v>
      </c>
      <c r="AB352" s="249">
        <f t="shared" si="180"/>
        <v>51.820016180117491</v>
      </c>
      <c r="AC352" s="249">
        <f t="shared" si="180"/>
        <v>50.138941627174432</v>
      </c>
      <c r="AD352" s="249">
        <f t="shared" si="180"/>
        <v>48.40597996091762</v>
      </c>
      <c r="AE352" s="249">
        <f t="shared" si="180"/>
        <v>46.620093583567119</v>
      </c>
      <c r="AF352" s="249">
        <f t="shared" si="180"/>
        <v>44.780258019716072</v>
      </c>
      <c r="AG352" s="249">
        <f>AG331-AG350</f>
        <v>42.885462665840691</v>
      </c>
      <c r="AI352" s="763"/>
      <c r="AJ352" s="323"/>
    </row>
    <row r="353" spans="1:37" s="181" customFormat="1">
      <c r="B353" s="350"/>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c r="AG353" s="327"/>
      <c r="AJ353" s="323"/>
    </row>
    <row r="354" spans="1:37" s="181" customFormat="1">
      <c r="A354" s="181" t="s">
        <v>1400</v>
      </c>
      <c r="B354" s="350" t="s">
        <v>462</v>
      </c>
      <c r="C354" s="296">
        <v>0.8</v>
      </c>
      <c r="D354" s="317">
        <f>C354</f>
        <v>0.8</v>
      </c>
      <c r="E354" s="317">
        <f t="shared" ref="E354:AG354" si="181">D354</f>
        <v>0.8</v>
      </c>
      <c r="F354" s="317">
        <f t="shared" si="181"/>
        <v>0.8</v>
      </c>
      <c r="G354" s="317">
        <f t="shared" si="181"/>
        <v>0.8</v>
      </c>
      <c r="H354" s="317">
        <f t="shared" si="181"/>
        <v>0.8</v>
      </c>
      <c r="I354" s="317">
        <f t="shared" si="181"/>
        <v>0.8</v>
      </c>
      <c r="J354" s="317">
        <f t="shared" si="181"/>
        <v>0.8</v>
      </c>
      <c r="K354" s="317">
        <f t="shared" si="181"/>
        <v>0.8</v>
      </c>
      <c r="L354" s="317">
        <f t="shared" si="181"/>
        <v>0.8</v>
      </c>
      <c r="M354" s="317">
        <f>L354</f>
        <v>0.8</v>
      </c>
      <c r="N354" s="317">
        <f t="shared" si="181"/>
        <v>0.8</v>
      </c>
      <c r="O354" s="317">
        <f t="shared" si="181"/>
        <v>0.8</v>
      </c>
      <c r="P354" s="317">
        <f t="shared" si="181"/>
        <v>0.8</v>
      </c>
      <c r="Q354" s="317">
        <f t="shared" si="181"/>
        <v>0.8</v>
      </c>
      <c r="R354" s="317">
        <f t="shared" si="181"/>
        <v>0.8</v>
      </c>
      <c r="S354" s="317">
        <f t="shared" si="181"/>
        <v>0.8</v>
      </c>
      <c r="T354" s="317">
        <f t="shared" si="181"/>
        <v>0.8</v>
      </c>
      <c r="U354" s="317">
        <f t="shared" si="181"/>
        <v>0.8</v>
      </c>
      <c r="V354" s="317">
        <f t="shared" si="181"/>
        <v>0.8</v>
      </c>
      <c r="W354" s="317">
        <f t="shared" si="181"/>
        <v>0.8</v>
      </c>
      <c r="X354" s="317">
        <f t="shared" si="181"/>
        <v>0.8</v>
      </c>
      <c r="Y354" s="317">
        <f t="shared" si="181"/>
        <v>0.8</v>
      </c>
      <c r="Z354" s="317">
        <f t="shared" si="181"/>
        <v>0.8</v>
      </c>
      <c r="AA354" s="317">
        <f t="shared" si="181"/>
        <v>0.8</v>
      </c>
      <c r="AB354" s="317">
        <f t="shared" si="181"/>
        <v>0.8</v>
      </c>
      <c r="AC354" s="317">
        <f t="shared" si="181"/>
        <v>0.8</v>
      </c>
      <c r="AD354" s="317">
        <f t="shared" si="181"/>
        <v>0.8</v>
      </c>
      <c r="AE354" s="317">
        <f t="shared" si="181"/>
        <v>0.8</v>
      </c>
      <c r="AF354" s="317">
        <f t="shared" si="181"/>
        <v>0.8</v>
      </c>
      <c r="AG354" s="317">
        <f t="shared" si="181"/>
        <v>0.8</v>
      </c>
      <c r="AJ354" s="323" t="s">
        <v>1401</v>
      </c>
    </row>
    <row r="355" spans="1:37" s="181" customFormat="1">
      <c r="B355" s="350"/>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c r="AG355" s="327"/>
      <c r="AJ355" s="323"/>
    </row>
    <row r="356" spans="1:37" s="181" customFormat="1">
      <c r="A356" s="181" t="s">
        <v>1402</v>
      </c>
      <c r="B356" s="350" t="s">
        <v>704</v>
      </c>
      <c r="C356" s="327">
        <f>C290*C351*C354</f>
        <v>0.9320252166655687</v>
      </c>
      <c r="D356" s="327">
        <f t="shared" ref="D356:AG356" si="182">D290*D351*D354</f>
        <v>1.0739315614485707</v>
      </c>
      <c r="E356" s="327">
        <f t="shared" si="182"/>
        <v>1.206350504533376</v>
      </c>
      <c r="F356" s="327">
        <f t="shared" si="182"/>
        <v>1.3457427558836499</v>
      </c>
      <c r="G356" s="327">
        <f t="shared" si="182"/>
        <v>1.4914675097238788</v>
      </c>
      <c r="H356" s="327">
        <f t="shared" si="182"/>
        <v>1.6427663552335217</v>
      </c>
      <c r="I356" s="327">
        <f t="shared" si="182"/>
        <v>1.8026491348988465</v>
      </c>
      <c r="J356" s="327">
        <f t="shared" si="182"/>
        <v>1.9711951699541872</v>
      </c>
      <c r="K356" s="327">
        <f t="shared" si="182"/>
        <v>2.1484586462322546</v>
      </c>
      <c r="L356" s="327">
        <f t="shared" si="182"/>
        <v>2.3344671871581553</v>
      </c>
      <c r="M356" s="327">
        <f t="shared" si="182"/>
        <v>2.5292204773893352</v>
      </c>
      <c r="N356" s="327">
        <f t="shared" si="182"/>
        <v>2.6237574137285335</v>
      </c>
      <c r="O356" s="327">
        <f t="shared" si="182"/>
        <v>2.7122557993440695</v>
      </c>
      <c r="P356" s="327">
        <f t="shared" si="182"/>
        <v>2.7940750873223297</v>
      </c>
      <c r="Q356" s="327">
        <f t="shared" si="182"/>
        <v>2.8679806627488365</v>
      </c>
      <c r="R356" s="327">
        <f t="shared" si="182"/>
        <v>2.9330599207842845</v>
      </c>
      <c r="S356" s="327">
        <f t="shared" si="182"/>
        <v>2.9938244089357333</v>
      </c>
      <c r="T356" s="327">
        <f t="shared" si="182"/>
        <v>3.0497356532019619</v>
      </c>
      <c r="U356" s="327">
        <f t="shared" si="182"/>
        <v>3.1002286858172265</v>
      </c>
      <c r="V356" s="327">
        <f t="shared" si="182"/>
        <v>3.1447116272930771</v>
      </c>
      <c r="W356" s="327">
        <f t="shared" si="182"/>
        <v>3.1825652893645482</v>
      </c>
      <c r="X356" s="327">
        <f t="shared" si="182"/>
        <v>3.0115447938556428</v>
      </c>
      <c r="Y356" s="327">
        <f t="shared" si="182"/>
        <v>3.2114476628798729</v>
      </c>
      <c r="Z356" s="327">
        <f t="shared" si="182"/>
        <v>3.4489257596978988</v>
      </c>
      <c r="AA356" s="327">
        <f t="shared" si="182"/>
        <v>3.6877385686200421</v>
      </c>
      <c r="AB356" s="327">
        <f t="shared" si="182"/>
        <v>3.9273553390000266</v>
      </c>
      <c r="AC356" s="327">
        <f t="shared" si="182"/>
        <v>4.1672569599847522</v>
      </c>
      <c r="AD356" s="327">
        <f t="shared" si="182"/>
        <v>4.4068632612043359</v>
      </c>
      <c r="AE356" s="327">
        <f t="shared" si="182"/>
        <v>4.6455647635160018</v>
      </c>
      <c r="AF356" s="327">
        <f t="shared" si="182"/>
        <v>4.8827218834696886</v>
      </c>
      <c r="AG356" s="327">
        <f t="shared" si="182"/>
        <v>5.1176641510856982</v>
      </c>
      <c r="AJ356" s="323"/>
    </row>
    <row r="357" spans="1:37" s="181" customFormat="1">
      <c r="A357" s="181" t="s">
        <v>1403</v>
      </c>
      <c r="B357" s="350" t="s">
        <v>704</v>
      </c>
      <c r="C357" s="327">
        <f>C351*C354-C356</f>
        <v>3.304453040905198</v>
      </c>
      <c r="D357" s="327">
        <f t="shared" ref="D357:AG357" si="183">D351*D354-D356</f>
        <v>3.6640017978833588</v>
      </c>
      <c r="E357" s="327">
        <f t="shared" si="183"/>
        <v>3.9637230863239501</v>
      </c>
      <c r="F357" s="327">
        <f t="shared" si="183"/>
        <v>4.2615187269648924</v>
      </c>
      <c r="G357" s="327">
        <f t="shared" si="183"/>
        <v>4.5550223945621173</v>
      </c>
      <c r="H357" s="327">
        <f t="shared" si="183"/>
        <v>4.8418376785830111</v>
      </c>
      <c r="I357" s="327">
        <f t="shared" si="183"/>
        <v>5.1306167685582578</v>
      </c>
      <c r="J357" s="327">
        <f t="shared" si="183"/>
        <v>5.4207867173740159</v>
      </c>
      <c r="K357" s="327">
        <f t="shared" si="183"/>
        <v>5.711755913154045</v>
      </c>
      <c r="L357" s="327">
        <f t="shared" si="183"/>
        <v>6.0029156241209733</v>
      </c>
      <c r="M357" s="327">
        <f t="shared" si="183"/>
        <v>6.2936416530385806</v>
      </c>
      <c r="N357" s="327">
        <f t="shared" si="183"/>
        <v>6.3208701330732904</v>
      </c>
      <c r="O357" s="327">
        <f t="shared" si="183"/>
        <v>6.3285968651361664</v>
      </c>
      <c r="P357" s="327">
        <f t="shared" si="183"/>
        <v>6.3170393278591828</v>
      </c>
      <c r="Q357" s="327">
        <f t="shared" si="183"/>
        <v>6.2851491119814966</v>
      </c>
      <c r="R357" s="327">
        <f t="shared" si="183"/>
        <v>6.2327523316666102</v>
      </c>
      <c r="S357" s="327">
        <f t="shared" si="183"/>
        <v>6.1709441898471287</v>
      </c>
      <c r="T357" s="327">
        <f t="shared" si="183"/>
        <v>6.0994713064039274</v>
      </c>
      <c r="U357" s="327">
        <f t="shared" si="183"/>
        <v>6.0180909783510916</v>
      </c>
      <c r="V357" s="327">
        <f t="shared" si="183"/>
        <v>5.9265719129754189</v>
      </c>
      <c r="W357" s="327">
        <f t="shared" si="183"/>
        <v>5.8246949635539895</v>
      </c>
      <c r="X357" s="327">
        <f t="shared" si="183"/>
        <v>5.3538574112989252</v>
      </c>
      <c r="Y357" s="327">
        <f t="shared" si="183"/>
        <v>5.5470459631561493</v>
      </c>
      <c r="Z357" s="327">
        <f t="shared" si="183"/>
        <v>5.7892682394929089</v>
      </c>
      <c r="AA357" s="327">
        <f t="shared" si="183"/>
        <v>6.0168366119590226</v>
      </c>
      <c r="AB357" s="327">
        <f t="shared" si="183"/>
        <v>6.2295981239310851</v>
      </c>
      <c r="AC357" s="327">
        <f t="shared" si="183"/>
        <v>6.4274641247222517</v>
      </c>
      <c r="AD357" s="327">
        <f t="shared" si="183"/>
        <v>6.6102948918065128</v>
      </c>
      <c r="AE357" s="327">
        <f t="shared" si="183"/>
        <v>6.7779551467692576</v>
      </c>
      <c r="AF357" s="327">
        <f t="shared" si="183"/>
        <v>6.9303149313763406</v>
      </c>
      <c r="AG357" s="327">
        <f t="shared" si="183"/>
        <v>7.0672504943564398</v>
      </c>
      <c r="AJ357" s="323"/>
    </row>
    <row r="358" spans="1:37" s="181" customFormat="1">
      <c r="B358" s="176"/>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c r="AG358" s="327"/>
      <c r="AJ358" s="323"/>
    </row>
    <row r="359" spans="1:37" s="181" customFormat="1">
      <c r="B359" s="210" t="s">
        <v>492</v>
      </c>
      <c r="C359" s="331">
        <v>0</v>
      </c>
      <c r="D359" s="331">
        <f>C359+1</f>
        <v>1</v>
      </c>
      <c r="E359" s="331">
        <f t="shared" ref="E359:AG359" si="184">D359+1</f>
        <v>2</v>
      </c>
      <c r="F359" s="331">
        <f t="shared" si="184"/>
        <v>3</v>
      </c>
      <c r="G359" s="331">
        <f t="shared" si="184"/>
        <v>4</v>
      </c>
      <c r="H359" s="331">
        <f t="shared" si="184"/>
        <v>5</v>
      </c>
      <c r="I359" s="331">
        <f t="shared" si="184"/>
        <v>6</v>
      </c>
      <c r="J359" s="331">
        <f t="shared" si="184"/>
        <v>7</v>
      </c>
      <c r="K359" s="331">
        <f t="shared" si="184"/>
        <v>8</v>
      </c>
      <c r="L359" s="331">
        <f t="shared" si="184"/>
        <v>9</v>
      </c>
      <c r="M359" s="331">
        <f t="shared" si="184"/>
        <v>10</v>
      </c>
      <c r="N359" s="331">
        <f t="shared" si="184"/>
        <v>11</v>
      </c>
      <c r="O359" s="331">
        <f t="shared" si="184"/>
        <v>12</v>
      </c>
      <c r="P359" s="331">
        <f t="shared" si="184"/>
        <v>13</v>
      </c>
      <c r="Q359" s="331">
        <f t="shared" si="184"/>
        <v>14</v>
      </c>
      <c r="R359" s="331">
        <f t="shared" si="184"/>
        <v>15</v>
      </c>
      <c r="S359" s="331">
        <f t="shared" si="184"/>
        <v>16</v>
      </c>
      <c r="T359" s="331">
        <f t="shared" si="184"/>
        <v>17</v>
      </c>
      <c r="U359" s="331">
        <f t="shared" si="184"/>
        <v>18</v>
      </c>
      <c r="V359" s="331">
        <f t="shared" si="184"/>
        <v>19</v>
      </c>
      <c r="W359" s="331">
        <f t="shared" si="184"/>
        <v>20</v>
      </c>
      <c r="X359" s="331">
        <f t="shared" si="184"/>
        <v>21</v>
      </c>
      <c r="Y359" s="331">
        <f t="shared" si="184"/>
        <v>22</v>
      </c>
      <c r="Z359" s="331">
        <f t="shared" si="184"/>
        <v>23</v>
      </c>
      <c r="AA359" s="331">
        <f t="shared" si="184"/>
        <v>24</v>
      </c>
      <c r="AB359" s="331">
        <f t="shared" si="184"/>
        <v>25</v>
      </c>
      <c r="AC359" s="331">
        <f t="shared" si="184"/>
        <v>26</v>
      </c>
      <c r="AD359" s="331">
        <f t="shared" si="184"/>
        <v>27</v>
      </c>
      <c r="AE359" s="331">
        <f t="shared" si="184"/>
        <v>28</v>
      </c>
      <c r="AF359" s="331">
        <f t="shared" si="184"/>
        <v>29</v>
      </c>
      <c r="AG359" s="331">
        <f t="shared" si="184"/>
        <v>30</v>
      </c>
      <c r="AJ359" s="323" t="s">
        <v>493</v>
      </c>
      <c r="AK359" s="181">
        <f>'Propylene Recycling HC'!AK199</f>
        <v>1.9</v>
      </c>
    </row>
    <row r="360" spans="1:37" s="181" customFormat="1">
      <c r="A360" s="181" t="s">
        <v>1404</v>
      </c>
      <c r="B360" s="176"/>
      <c r="C360" s="333">
        <f>$AK$361/((1+EXP(-$AK$360*(C359-$AK$362)))^$AK$359)</f>
        <v>4.6088632748610021E-5</v>
      </c>
      <c r="D360" s="333">
        <f t="shared" ref="D360:AG360" si="185">$AK$361/((1+EXP(-$AK$360*(D359-$AK$362)))^$AK$359)</f>
        <v>8.924759460408035E-5</v>
      </c>
      <c r="E360" s="333">
        <f t="shared" si="185"/>
        <v>1.7252431976790472E-4</v>
      </c>
      <c r="F360" s="333">
        <f t="shared" si="185"/>
        <v>3.3269643715580369E-4</v>
      </c>
      <c r="G360" s="333">
        <f t="shared" si="185"/>
        <v>6.393827369910735E-4</v>
      </c>
      <c r="H360" s="333">
        <f t="shared" si="185"/>
        <v>1.2229053771654547E-3</v>
      </c>
      <c r="I360" s="333">
        <f t="shared" si="185"/>
        <v>2.3234018804222717E-3</v>
      </c>
      <c r="J360" s="333">
        <f t="shared" si="185"/>
        <v>4.3736281679830789E-3</v>
      </c>
      <c r="K360" s="333">
        <f t="shared" si="185"/>
        <v>8.1294184230466908E-3</v>
      </c>
      <c r="L360" s="333">
        <f t="shared" si="185"/>
        <v>1.4853985082038716E-2</v>
      </c>
      <c r="M360" s="333">
        <f t="shared" si="185"/>
        <v>2.6531412096832362E-2</v>
      </c>
      <c r="N360" s="333">
        <f t="shared" si="185"/>
        <v>4.6014759335105015E-2</v>
      </c>
      <c r="O360" s="333">
        <f t="shared" si="185"/>
        <v>7.6910635328419796E-2</v>
      </c>
      <c r="P360" s="333">
        <f t="shared" si="185"/>
        <v>0.12294065829885638</v>
      </c>
      <c r="Q360" s="333">
        <f t="shared" si="185"/>
        <v>0.18666754187878853</v>
      </c>
      <c r="R360" s="333">
        <f t="shared" si="185"/>
        <v>0.26794336563407328</v>
      </c>
      <c r="S360" s="333">
        <f t="shared" si="185"/>
        <v>0.36297326582455031</v>
      </c>
      <c r="T360" s="333">
        <f t="shared" si="185"/>
        <v>0.46484396312424381</v>
      </c>
      <c r="U360" s="333">
        <f t="shared" si="185"/>
        <v>0.56546260593861253</v>
      </c>
      <c r="V360" s="333">
        <f t="shared" si="185"/>
        <v>0.6578403022607352</v>
      </c>
      <c r="W360" s="333">
        <f t="shared" si="185"/>
        <v>0.73754668886795227</v>
      </c>
      <c r="X360" s="333">
        <f t="shared" si="185"/>
        <v>0.80293052021410605</v>
      </c>
      <c r="Y360" s="333">
        <f t="shared" si="185"/>
        <v>0.85447682949112158</v>
      </c>
      <c r="Z360" s="333">
        <f t="shared" si="185"/>
        <v>0.89389910336617451</v>
      </c>
      <c r="AA360" s="333">
        <f t="shared" si="185"/>
        <v>0.92337223319290385</v>
      </c>
      <c r="AB360" s="333">
        <f t="shared" si="185"/>
        <v>0.94504210708611314</v>
      </c>
      <c r="AC360" s="333">
        <f t="shared" si="185"/>
        <v>0.96078240575184182</v>
      </c>
      <c r="AD360" s="333">
        <f t="shared" si="185"/>
        <v>0.97211605463477313</v>
      </c>
      <c r="AE360" s="333">
        <f t="shared" si="185"/>
        <v>0.98022577885232642</v>
      </c>
      <c r="AF360" s="333">
        <f t="shared" si="185"/>
        <v>0.98600279580400285</v>
      </c>
      <c r="AG360" s="333">
        <f t="shared" si="185"/>
        <v>0.9901050637460882</v>
      </c>
      <c r="AI360" s="176" t="s">
        <v>494</v>
      </c>
      <c r="AJ360" s="323" t="s">
        <v>495</v>
      </c>
      <c r="AK360" s="181">
        <f>'Propylene Recycling HC'!AK200</f>
        <v>0.35</v>
      </c>
    </row>
    <row r="361" spans="1:37" s="181" customFormat="1">
      <c r="B361" s="176"/>
      <c r="C361" s="329">
        <v>0</v>
      </c>
      <c r="D361" s="329">
        <v>0</v>
      </c>
      <c r="E361" s="329">
        <v>0</v>
      </c>
      <c r="F361" s="329">
        <v>0</v>
      </c>
      <c r="G361" s="329">
        <v>0</v>
      </c>
      <c r="H361" s="329">
        <v>0</v>
      </c>
      <c r="I361" s="329">
        <v>0</v>
      </c>
      <c r="J361" s="329">
        <v>0</v>
      </c>
      <c r="K361" s="329">
        <v>0</v>
      </c>
      <c r="L361" s="329">
        <v>0</v>
      </c>
      <c r="M361" s="329">
        <f>C360</f>
        <v>4.6088632748610021E-5</v>
      </c>
      <c r="N361" s="329">
        <v>0</v>
      </c>
      <c r="O361" s="329">
        <v>0</v>
      </c>
      <c r="P361" s="329">
        <v>0</v>
      </c>
      <c r="Q361" s="329">
        <v>0</v>
      </c>
      <c r="R361" s="329">
        <f t="shared" ref="R361:AG361" si="186">C360</f>
        <v>4.6088632748610021E-5</v>
      </c>
      <c r="S361" s="329">
        <f t="shared" si="186"/>
        <v>8.924759460408035E-5</v>
      </c>
      <c r="T361" s="329">
        <f t="shared" si="186"/>
        <v>1.7252431976790472E-4</v>
      </c>
      <c r="U361" s="329">
        <f t="shared" si="186"/>
        <v>3.3269643715580369E-4</v>
      </c>
      <c r="V361" s="329">
        <f t="shared" si="186"/>
        <v>6.393827369910735E-4</v>
      </c>
      <c r="W361" s="329">
        <f t="shared" si="186"/>
        <v>1.2229053771654547E-3</v>
      </c>
      <c r="X361" s="329">
        <f t="shared" si="186"/>
        <v>2.3234018804222717E-3</v>
      </c>
      <c r="Y361" s="329">
        <f t="shared" si="186"/>
        <v>4.3736281679830789E-3</v>
      </c>
      <c r="Z361" s="329">
        <f t="shared" si="186"/>
        <v>8.1294184230466908E-3</v>
      </c>
      <c r="AA361" s="329">
        <f t="shared" si="186"/>
        <v>1.4853985082038716E-2</v>
      </c>
      <c r="AB361" s="329">
        <f t="shared" si="186"/>
        <v>2.6531412096832362E-2</v>
      </c>
      <c r="AC361" s="329">
        <f t="shared" si="186"/>
        <v>4.6014759335105015E-2</v>
      </c>
      <c r="AD361" s="329">
        <f t="shared" si="186"/>
        <v>7.6910635328419796E-2</v>
      </c>
      <c r="AE361" s="329">
        <f t="shared" si="186"/>
        <v>0.12294065829885638</v>
      </c>
      <c r="AF361" s="329">
        <f t="shared" si="186"/>
        <v>0.18666754187878853</v>
      </c>
      <c r="AG361" s="329">
        <f t="shared" si="186"/>
        <v>0.26794336563407328</v>
      </c>
      <c r="AI361" s="176" t="s">
        <v>496</v>
      </c>
      <c r="AJ361" s="323" t="s">
        <v>497</v>
      </c>
      <c r="AK361" s="181">
        <f>'Propylene Recycling HC'!AK201</f>
        <v>1</v>
      </c>
    </row>
    <row r="362" spans="1:37" s="181" customFormat="1">
      <c r="B362" s="176"/>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c r="AG362" s="327"/>
      <c r="AJ362" s="323" t="s">
        <v>498</v>
      </c>
      <c r="AK362" s="181">
        <f>'Propylene Recycling HC'!AK202</f>
        <v>15</v>
      </c>
    </row>
    <row r="363" spans="1:37" s="181" customFormat="1">
      <c r="A363" s="181" t="s">
        <v>1460</v>
      </c>
      <c r="B363" s="176" t="s">
        <v>462</v>
      </c>
      <c r="C363" s="328">
        <f>('Overall recycling rates'!G12+'Overall recycling rates'!G15)*'Overall recycling rates'!G57/(SUMPRODUCT('Overall recycling rates'!C57:I57,'Overall recycling rates'!C12:I12)+SUMPRODUCT('Overall recycling rates'!C15:I15,'Overall recycling rates'!C57:I57))</f>
        <v>8.5469247930390777E-2</v>
      </c>
      <c r="D363" s="328">
        <f>C363</f>
        <v>8.5469247930390777E-2</v>
      </c>
      <c r="E363" s="328">
        <f t="shared" ref="E363:AG363" si="187">D363</f>
        <v>8.5469247930390777E-2</v>
      </c>
      <c r="F363" s="328">
        <f t="shared" si="187"/>
        <v>8.5469247930390777E-2</v>
      </c>
      <c r="G363" s="328">
        <f t="shared" si="187"/>
        <v>8.5469247930390777E-2</v>
      </c>
      <c r="H363" s="328">
        <f t="shared" si="187"/>
        <v>8.5469247930390777E-2</v>
      </c>
      <c r="I363" s="328">
        <f t="shared" si="187"/>
        <v>8.5469247930390777E-2</v>
      </c>
      <c r="J363" s="328">
        <f t="shared" si="187"/>
        <v>8.5469247930390777E-2</v>
      </c>
      <c r="K363" s="328">
        <f t="shared" si="187"/>
        <v>8.5469247930390777E-2</v>
      </c>
      <c r="L363" s="328">
        <f t="shared" si="187"/>
        <v>8.5469247930390777E-2</v>
      </c>
      <c r="M363" s="328">
        <f t="shared" si="187"/>
        <v>8.5469247930390777E-2</v>
      </c>
      <c r="N363" s="328">
        <f t="shared" si="187"/>
        <v>8.5469247930390777E-2</v>
      </c>
      <c r="O363" s="328">
        <f t="shared" si="187"/>
        <v>8.5469247930390777E-2</v>
      </c>
      <c r="P363" s="328">
        <f t="shared" si="187"/>
        <v>8.5469247930390777E-2</v>
      </c>
      <c r="Q363" s="328">
        <f t="shared" si="187"/>
        <v>8.5469247930390777E-2</v>
      </c>
      <c r="R363" s="328">
        <f t="shared" si="187"/>
        <v>8.5469247930390777E-2</v>
      </c>
      <c r="S363" s="328">
        <f t="shared" si="187"/>
        <v>8.5469247930390777E-2</v>
      </c>
      <c r="T363" s="328">
        <f t="shared" si="187"/>
        <v>8.5469247930390777E-2</v>
      </c>
      <c r="U363" s="328">
        <f t="shared" si="187"/>
        <v>8.5469247930390777E-2</v>
      </c>
      <c r="V363" s="328">
        <f t="shared" si="187"/>
        <v>8.5469247930390777E-2</v>
      </c>
      <c r="W363" s="328">
        <f t="shared" si="187"/>
        <v>8.5469247930390777E-2</v>
      </c>
      <c r="X363" s="328">
        <f t="shared" si="187"/>
        <v>8.5469247930390777E-2</v>
      </c>
      <c r="Y363" s="328">
        <f t="shared" si="187"/>
        <v>8.5469247930390777E-2</v>
      </c>
      <c r="Z363" s="328">
        <f t="shared" si="187"/>
        <v>8.5469247930390777E-2</v>
      </c>
      <c r="AA363" s="328">
        <f t="shared" si="187"/>
        <v>8.5469247930390777E-2</v>
      </c>
      <c r="AB363" s="328">
        <f t="shared" si="187"/>
        <v>8.5469247930390777E-2</v>
      </c>
      <c r="AC363" s="328">
        <f t="shared" si="187"/>
        <v>8.5469247930390777E-2</v>
      </c>
      <c r="AD363" s="328">
        <f t="shared" si="187"/>
        <v>8.5469247930390777E-2</v>
      </c>
      <c r="AE363" s="328">
        <f t="shared" si="187"/>
        <v>8.5469247930390777E-2</v>
      </c>
      <c r="AF363" s="328">
        <f t="shared" si="187"/>
        <v>8.5469247930390777E-2</v>
      </c>
      <c r="AG363" s="328">
        <f t="shared" si="187"/>
        <v>8.5469247930390777E-2</v>
      </c>
      <c r="AI363" s="176" t="s">
        <v>1516</v>
      </c>
      <c r="AJ363" s="323"/>
    </row>
    <row r="364" spans="1:37" s="300" customFormat="1" ht="16" thickBot="1">
      <c r="A364" s="334" t="s">
        <v>1407</v>
      </c>
      <c r="B364" s="335" t="s">
        <v>704</v>
      </c>
      <c r="C364" s="336">
        <f>C363*(C356*C360+C357*C361)</f>
        <v>3.6713971786805374E-6</v>
      </c>
      <c r="D364" s="336">
        <f t="shared" ref="D364:AG364" si="188">D363*(D356*D360+D357*D361)</f>
        <v>8.1918691807742126E-6</v>
      </c>
      <c r="E364" s="336">
        <f t="shared" si="188"/>
        <v>1.7788270148439697E-5</v>
      </c>
      <c r="F364" s="336">
        <f t="shared" si="188"/>
        <v>3.8266618193931967E-5</v>
      </c>
      <c r="G364" s="336">
        <f t="shared" si="188"/>
        <v>8.1505062716887266E-5</v>
      </c>
      <c r="H364" s="336">
        <f t="shared" si="188"/>
        <v>1.7170325838728308E-4</v>
      </c>
      <c r="I364" s="336">
        <f t="shared" si="188"/>
        <v>3.5796900409637062E-4</v>
      </c>
      <c r="J364" s="336">
        <f t="shared" si="188"/>
        <v>7.3685386651147042E-4</v>
      </c>
      <c r="K364" s="336">
        <f t="shared" si="188"/>
        <v>1.4927818931201613E-3</v>
      </c>
      <c r="L364" s="336">
        <f t="shared" si="188"/>
        <v>2.9637436729587317E-3</v>
      </c>
      <c r="M364" s="336">
        <f>M363*(M356*M360+M357*M361)</f>
        <v>5.7601021966935595E-3</v>
      </c>
      <c r="N364" s="336">
        <f t="shared" si="188"/>
        <v>1.0318836142898555E-2</v>
      </c>
      <c r="O364" s="336">
        <f t="shared" si="188"/>
        <v>1.7828997655701811E-2</v>
      </c>
      <c r="P364" s="336">
        <f t="shared" si="188"/>
        <v>2.9359150810980388E-2</v>
      </c>
      <c r="Q364" s="336">
        <f t="shared" si="188"/>
        <v>4.5756722596116454E-2</v>
      </c>
      <c r="R364" s="336">
        <f t="shared" si="188"/>
        <v>6.7194316397979639E-2</v>
      </c>
      <c r="S364" s="336">
        <f t="shared" si="188"/>
        <v>9.2924641961733098E-2</v>
      </c>
      <c r="T364" s="336">
        <f t="shared" si="188"/>
        <v>0.12125552243366119</v>
      </c>
      <c r="U364" s="336">
        <f t="shared" si="188"/>
        <v>0.15000413597015239</v>
      </c>
      <c r="V364" s="336">
        <f t="shared" si="188"/>
        <v>0.17713564839723506</v>
      </c>
      <c r="W364" s="336">
        <f t="shared" si="188"/>
        <v>0.20122995475769459</v>
      </c>
      <c r="X364" s="336">
        <f t="shared" si="188"/>
        <v>0.20773304045820737</v>
      </c>
      <c r="Y364" s="336">
        <f t="shared" si="188"/>
        <v>0.2366103594609322</v>
      </c>
      <c r="Z364" s="336">
        <f t="shared" si="188"/>
        <v>0.26752344922838939</v>
      </c>
      <c r="AA364" s="336">
        <f t="shared" si="188"/>
        <v>0.29867479958722148</v>
      </c>
      <c r="AB364" s="336">
        <f t="shared" si="188"/>
        <v>0.33134685558212773</v>
      </c>
      <c r="AC364" s="336">
        <f t="shared" si="188"/>
        <v>0.36748232903207367</v>
      </c>
      <c r="AD364" s="336">
        <f t="shared" si="188"/>
        <v>0.40960149957525932</v>
      </c>
      <c r="AE364" s="336">
        <f t="shared" si="188"/>
        <v>0.4604218647806716</v>
      </c>
      <c r="AF364" s="336">
        <f t="shared" si="188"/>
        <v>0.52204978007729408</v>
      </c>
      <c r="AG364" s="336">
        <f t="shared" si="188"/>
        <v>0.59492135597398943</v>
      </c>
      <c r="AJ364" s="326"/>
    </row>
    <row r="365" spans="1:37" s="230" customFormat="1">
      <c r="A365" s="325" t="s">
        <v>1408</v>
      </c>
      <c r="B365" s="324" t="s">
        <v>462</v>
      </c>
      <c r="C365" s="330">
        <v>0.25</v>
      </c>
      <c r="D365" s="330">
        <v>0.25</v>
      </c>
      <c r="E365" s="330">
        <v>0.25</v>
      </c>
      <c r="F365" s="330">
        <v>0.25</v>
      </c>
      <c r="G365" s="330">
        <v>0.25</v>
      </c>
      <c r="H365" s="330">
        <v>0.25</v>
      </c>
      <c r="I365" s="330">
        <v>0.25</v>
      </c>
      <c r="J365" s="330">
        <v>0.25</v>
      </c>
      <c r="K365" s="330">
        <v>0.25</v>
      </c>
      <c r="L365" s="330">
        <v>0.25</v>
      </c>
      <c r="M365" s="330">
        <v>0.25</v>
      </c>
      <c r="N365" s="330">
        <v>0.25</v>
      </c>
      <c r="O365" s="330">
        <v>0.25</v>
      </c>
      <c r="P365" s="330">
        <v>0.25</v>
      </c>
      <c r="Q365" s="330">
        <v>0.25</v>
      </c>
      <c r="R365" s="330">
        <v>0.25</v>
      </c>
      <c r="S365" s="330">
        <v>0.25</v>
      </c>
      <c r="T365" s="330">
        <v>0.25</v>
      </c>
      <c r="U365" s="330">
        <v>0.25</v>
      </c>
      <c r="V365" s="330">
        <v>0.25</v>
      </c>
      <c r="W365" s="330">
        <v>0.25</v>
      </c>
      <c r="X365" s="330">
        <v>0.25</v>
      </c>
      <c r="Y365" s="330">
        <v>0.25</v>
      </c>
      <c r="Z365" s="330">
        <v>0.25</v>
      </c>
      <c r="AA365" s="330">
        <v>0.25</v>
      </c>
      <c r="AB365" s="330">
        <v>0.25</v>
      </c>
      <c r="AC365" s="330">
        <v>0.25</v>
      </c>
      <c r="AD365" s="330">
        <v>0.25</v>
      </c>
      <c r="AE365" s="330">
        <v>0.25</v>
      </c>
      <c r="AF365" s="330">
        <v>0.25</v>
      </c>
      <c r="AG365" s="330">
        <v>0.25</v>
      </c>
      <c r="AJ365" s="230" t="s">
        <v>1410</v>
      </c>
    </row>
    <row r="366" spans="1:37" s="230" customFormat="1" ht="16" thickBot="1">
      <c r="A366" s="301" t="s">
        <v>1411</v>
      </c>
      <c r="B366" s="335" t="s">
        <v>704</v>
      </c>
      <c r="C366" s="336">
        <f>C365*(C356*C360+C357*C361)</f>
        <v>1.0738941980835771E-5</v>
      </c>
      <c r="D366" s="336">
        <f t="shared" ref="D366:AG366" si="189">D365*(D356*D360+D357*D361)</f>
        <v>2.3961452157172262E-5</v>
      </c>
      <c r="E366" s="336">
        <f t="shared" si="189"/>
        <v>5.2031200049072336E-5</v>
      </c>
      <c r="F366" s="336">
        <f t="shared" si="189"/>
        <v>1.1193095505268069E-4</v>
      </c>
      <c r="G366" s="336">
        <f t="shared" si="189"/>
        <v>2.3840464462512853E-4</v>
      </c>
      <c r="H366" s="336">
        <f t="shared" si="189"/>
        <v>5.0223695231039231E-4</v>
      </c>
      <c r="I366" s="336">
        <f t="shared" si="189"/>
        <v>1.0470695974413903E-3</v>
      </c>
      <c r="J366" s="336">
        <f t="shared" si="189"/>
        <v>2.1553186799759564E-3</v>
      </c>
      <c r="K366" s="336">
        <f t="shared" si="189"/>
        <v>4.3664298249586108E-3</v>
      </c>
      <c r="L366" s="336">
        <f t="shared" si="189"/>
        <v>8.6690351931390311E-3</v>
      </c>
      <c r="M366" s="336">
        <f t="shared" si="189"/>
        <v>1.6848464027040443E-2</v>
      </c>
      <c r="N366" s="336">
        <f t="shared" si="189"/>
        <v>3.0182891486604007E-2</v>
      </c>
      <c r="O366" s="336">
        <f t="shared" si="189"/>
        <v>5.2150329175185868E-2</v>
      </c>
      <c r="P366" s="336">
        <f t="shared" si="189"/>
        <v>8.5876357642960463E-2</v>
      </c>
      <c r="Q366" s="336">
        <f t="shared" si="189"/>
        <v>0.13383972511780604</v>
      </c>
      <c r="R366" s="336">
        <f t="shared" si="189"/>
        <v>0.19654530145364418</v>
      </c>
      <c r="S366" s="336">
        <f t="shared" si="189"/>
        <v>0.27180724123550926</v>
      </c>
      <c r="T366" s="336">
        <f t="shared" si="189"/>
        <v>0.35467587866344641</v>
      </c>
      <c r="U366" s="336">
        <f t="shared" si="189"/>
        <v>0.43876639727870642</v>
      </c>
      <c r="V366" s="336">
        <f t="shared" si="189"/>
        <v>0.51812684879800475</v>
      </c>
      <c r="W366" s="336">
        <f t="shared" si="189"/>
        <v>0.58860338551704439</v>
      </c>
      <c r="X366" s="336">
        <f t="shared" si="189"/>
        <v>0.60762509758887961</v>
      </c>
      <c r="Y366" s="336">
        <f t="shared" si="189"/>
        <v>0.6920920833819556</v>
      </c>
      <c r="Z366" s="336">
        <f t="shared" si="189"/>
        <v>0.78251375701313675</v>
      </c>
      <c r="AA366" s="336">
        <f t="shared" si="189"/>
        <v>0.87363234970334869</v>
      </c>
      <c r="AB366" s="336">
        <f t="shared" si="189"/>
        <v>0.96919904996703765</v>
      </c>
      <c r="AC366" s="336">
        <f t="shared" si="189"/>
        <v>1.0748963455585934</v>
      </c>
      <c r="AD366" s="336">
        <f t="shared" si="189"/>
        <v>1.198096126658484</v>
      </c>
      <c r="AE366" s="336">
        <f t="shared" si="189"/>
        <v>1.3467471515475826</v>
      </c>
      <c r="AF366" s="336">
        <f t="shared" si="189"/>
        <v>1.5270105702300967</v>
      </c>
      <c r="AG366" s="336">
        <f t="shared" si="189"/>
        <v>1.7401620184446771</v>
      </c>
      <c r="AJ366" s="325"/>
    </row>
    <row r="367" spans="1:37" s="230" customFormat="1">
      <c r="A367" s="326"/>
      <c r="B367" s="324"/>
      <c r="AJ367" s="325"/>
    </row>
    <row r="368" spans="1:37" s="230" customFormat="1">
      <c r="A368" s="326" t="s">
        <v>1412</v>
      </c>
      <c r="B368" s="324" t="s">
        <v>704</v>
      </c>
      <c r="C368" s="230">
        <f>SUM(C337:C338)-SUM(C364,C366)</f>
        <v>34.247239861549751</v>
      </c>
      <c r="D368" s="230">
        <f t="shared" ref="D368:AG368" si="190">SUM(D337:D338)-SUM(D364,D366)</f>
        <v>35.734495093618733</v>
      </c>
      <c r="E368" s="230">
        <f t="shared" si="190"/>
        <v>37.123503034023663</v>
      </c>
      <c r="F368" s="230">
        <f t="shared" si="190"/>
        <v>38.455489146627727</v>
      </c>
      <c r="G368" s="230">
        <f t="shared" si="190"/>
        <v>39.720650266550152</v>
      </c>
      <c r="H368" s="230">
        <f t="shared" si="190"/>
        <v>40.909384529356778</v>
      </c>
      <c r="I368" s="230">
        <f t="shared" si="190"/>
        <v>42.103003206682381</v>
      </c>
      <c r="J368" s="230">
        <f t="shared" si="190"/>
        <v>43.299503836070834</v>
      </c>
      <c r="K368" s="230">
        <f t="shared" si="190"/>
        <v>44.496470734377802</v>
      </c>
      <c r="L368" s="230">
        <f t="shared" si="190"/>
        <v>45.690818987972065</v>
      </c>
      <c r="M368" s="230">
        <f t="shared" si="190"/>
        <v>46.878330257457229</v>
      </c>
      <c r="N368" s="230">
        <f t="shared" si="190"/>
        <v>47.714935665133837</v>
      </c>
      <c r="O368" s="230">
        <f t="shared" si="190"/>
        <v>48.441378506433118</v>
      </c>
      <c r="P368" s="230">
        <f t="shared" si="190"/>
        <v>49.051445410746503</v>
      </c>
      <c r="Q368" s="230">
        <f t="shared" si="190"/>
        <v>49.532634526524546</v>
      </c>
      <c r="R368" s="230">
        <f t="shared" si="190"/>
        <v>49.879535155085009</v>
      </c>
      <c r="S368" s="230">
        <f t="shared" si="190"/>
        <v>50.181954921469355</v>
      </c>
      <c r="T368" s="230">
        <f t="shared" si="190"/>
        <v>50.444978401137668</v>
      </c>
      <c r="U368" s="230">
        <f t="shared" si="190"/>
        <v>50.675577719546965</v>
      </c>
      <c r="V368" s="230">
        <f t="shared" si="190"/>
        <v>50.880105980405737</v>
      </c>
      <c r="W368" s="230">
        <f t="shared" si="190"/>
        <v>51.062465413490216</v>
      </c>
      <c r="X368" s="230">
        <f t="shared" si="190"/>
        <v>50.804666613415549</v>
      </c>
      <c r="Y368" s="230">
        <f t="shared" si="190"/>
        <v>50.39496088541047</v>
      </c>
      <c r="Z368" s="230">
        <f t="shared" si="190"/>
        <v>49.916377998703368</v>
      </c>
      <c r="AA368" s="230">
        <f t="shared" si="190"/>
        <v>49.367065432654805</v>
      </c>
      <c r="AB368" s="230">
        <f t="shared" si="190"/>
        <v>48.739088529970672</v>
      </c>
      <c r="AC368" s="230">
        <f t="shared" si="190"/>
        <v>48.02232622081339</v>
      </c>
      <c r="AD368" s="230">
        <f t="shared" si="190"/>
        <v>47.203842593567806</v>
      </c>
      <c r="AE368" s="230">
        <f t="shared" si="190"/>
        <v>46.269861064201855</v>
      </c>
      <c r="AF368" s="230">
        <f t="shared" si="190"/>
        <v>45.208937314181419</v>
      </c>
      <c r="AG368" s="230">
        <f t="shared" si="190"/>
        <v>44.016116462079744</v>
      </c>
      <c r="AJ368" s="325"/>
    </row>
    <row r="369" spans="1:36" s="230" customFormat="1">
      <c r="A369" s="326"/>
      <c r="B369" s="324"/>
      <c r="AJ369" s="325"/>
    </row>
    <row r="370" spans="1:36" s="230" customFormat="1">
      <c r="A370" s="325" t="s">
        <v>1413</v>
      </c>
      <c r="B370" s="324" t="s">
        <v>704</v>
      </c>
      <c r="C370" s="327">
        <f>C290*C289*C200</f>
        <v>1.1411399999999999E-2</v>
      </c>
      <c r="D370" s="327">
        <f t="shared" ref="D370:AG370" si="191">D290*D289*D200</f>
        <v>1.2211913118445541E-2</v>
      </c>
      <c r="E370" s="327">
        <f t="shared" si="191"/>
        <v>1.3033868575004636E-2</v>
      </c>
      <c r="F370" s="327">
        <f t="shared" si="191"/>
        <v>1.387667776234245E-2</v>
      </c>
      <c r="G370" s="327">
        <f t="shared" si="191"/>
        <v>1.4739737200808048E-2</v>
      </c>
      <c r="H370" s="327">
        <f t="shared" si="191"/>
        <v>1.5622428538434407E-2</v>
      </c>
      <c r="I370" s="327">
        <f t="shared" si="191"/>
        <v>1.652411855093841E-2</v>
      </c>
      <c r="J370" s="327">
        <f t="shared" si="191"/>
        <v>1.7444159141720841E-2</v>
      </c>
      <c r="K370" s="327">
        <f t="shared" si="191"/>
        <v>1.8381887341866382E-2</v>
      </c>
      <c r="L370" s="327">
        <f t="shared" si="191"/>
        <v>1.9336625310143647E-2</v>
      </c>
      <c r="M370" s="327">
        <f t="shared" si="191"/>
        <v>2.0307680333005135E-2</v>
      </c>
      <c r="N370" s="327">
        <f t="shared" si="191"/>
        <v>2.1981838457272966E-2</v>
      </c>
      <c r="O370" s="327">
        <f t="shared" si="191"/>
        <v>2.3694781802410692E-2</v>
      </c>
      <c r="P370" s="327">
        <f t="shared" si="191"/>
        <v>2.5445093487479479E-2</v>
      </c>
      <c r="Q370" s="327">
        <f t="shared" si="191"/>
        <v>2.7231325285274256E-2</v>
      </c>
      <c r="R370" s="327">
        <f t="shared" si="191"/>
        <v>2.905199762232372E-2</v>
      </c>
      <c r="S370" s="327">
        <f t="shared" si="191"/>
        <v>3.0905599578890351E-2</v>
      </c>
      <c r="T370" s="327">
        <f t="shared" si="191"/>
        <v>3.2790588888970414E-2</v>
      </c>
      <c r="U370" s="327">
        <f t="shared" si="191"/>
        <v>3.4705391940293893E-2</v>
      </c>
      <c r="V370" s="327">
        <f t="shared" si="191"/>
        <v>3.6648403774324587E-2</v>
      </c>
      <c r="W370" s="327">
        <f t="shared" si="191"/>
        <v>3.8617988086260047E-2</v>
      </c>
      <c r="X370" s="327">
        <f t="shared" si="191"/>
        <v>4.1632470531806902E-2</v>
      </c>
      <c r="Y370" s="327">
        <f t="shared" si="191"/>
        <v>4.4694492720111348E-2</v>
      </c>
      <c r="Z370" s="327">
        <f t="shared" si="191"/>
        <v>4.7801295593939176E-2</v>
      </c>
      <c r="AA370" s="327">
        <f t="shared" si="191"/>
        <v>5.0950067647971789E-2</v>
      </c>
      <c r="AB370" s="327">
        <f t="shared" si="191"/>
        <v>5.4137944928806254E-2</v>
      </c>
      <c r="AC370" s="327">
        <f t="shared" si="191"/>
        <v>5.7362011034955314E-2</v>
      </c>
      <c r="AD370" s="327">
        <f t="shared" si="191"/>
        <v>6.0619297116847333E-2</v>
      </c>
      <c r="AE370" s="327">
        <f t="shared" si="191"/>
        <v>6.3906781876826357E-2</v>
      </c>
      <c r="AF370" s="327">
        <f t="shared" si="191"/>
        <v>6.7221391569152106E-2</v>
      </c>
      <c r="AG370" s="327">
        <f t="shared" si="191"/>
        <v>7.0559999999999984E-2</v>
      </c>
      <c r="AJ370" s="325"/>
    </row>
    <row r="371" spans="1:36" s="230" customFormat="1">
      <c r="A371" s="230" t="s">
        <v>1414</v>
      </c>
      <c r="B371" s="324" t="s">
        <v>704</v>
      </c>
      <c r="C371" s="327">
        <f>C291*C289*C200</f>
        <v>4.0458599999999997E-2</v>
      </c>
      <c r="D371" s="327">
        <f t="shared" ref="D371:AG371" si="192">D291*D289*D200</f>
        <v>4.1664174168814197E-2</v>
      </c>
      <c r="E371" s="327">
        <f t="shared" si="192"/>
        <v>4.282556817501524E-2</v>
      </c>
      <c r="F371" s="327">
        <f t="shared" si="192"/>
        <v>4.3942812914084431E-2</v>
      </c>
      <c r="G371" s="327">
        <f t="shared" si="192"/>
        <v>4.501595415381919E-2</v>
      </c>
      <c r="H371" s="327">
        <f t="shared" si="192"/>
        <v>4.6045052534332997E-2</v>
      </c>
      <c r="I371" s="327">
        <f t="shared" si="192"/>
        <v>4.7030183568055488E-2</v>
      </c>
      <c r="J371" s="327">
        <f t="shared" si="192"/>
        <v>4.7971437639732321E-2</v>
      </c>
      <c r="K371" s="327">
        <f t="shared" si="192"/>
        <v>4.886892000642528E-2</v>
      </c>
      <c r="L371" s="327">
        <f t="shared" si="192"/>
        <v>4.9722750797512254E-2</v>
      </c>
      <c r="M371" s="327">
        <f t="shared" si="192"/>
        <v>5.0533065014687212E-2</v>
      </c>
      <c r="N371" s="327">
        <f t="shared" si="192"/>
        <v>5.2956247192521268E-2</v>
      </c>
      <c r="O371" s="327">
        <f t="shared" si="192"/>
        <v>5.5287824205624975E-2</v>
      </c>
      <c r="P371" s="327">
        <f t="shared" si="192"/>
        <v>5.7528037449953634E-2</v>
      </c>
      <c r="Q371" s="327">
        <f t="shared" si="192"/>
        <v>5.9677159667728727E-2</v>
      </c>
      <c r="R371" s="327">
        <f t="shared" si="192"/>
        <v>6.1735494947437956E-2</v>
      </c>
      <c r="S371" s="327">
        <f t="shared" si="192"/>
        <v>6.3703378723835274E-2</v>
      </c>
      <c r="T371" s="327">
        <f t="shared" si="192"/>
        <v>6.5581177777940883E-2</v>
      </c>
      <c r="U371" s="327">
        <f t="shared" si="192"/>
        <v>6.7369290237041135E-2</v>
      </c>
      <c r="V371" s="327">
        <f t="shared" si="192"/>
        <v>6.9068145574688711E-2</v>
      </c>
      <c r="W371" s="327">
        <f t="shared" si="192"/>
        <v>7.0678204610702441E-2</v>
      </c>
      <c r="X371" s="327">
        <f t="shared" si="192"/>
        <v>7.4013280945434551E-2</v>
      </c>
      <c r="Y371" s="327">
        <f t="shared" si="192"/>
        <v>7.7199578334737867E-2</v>
      </c>
      <c r="Z371" s="327">
        <f t="shared" si="192"/>
        <v>8.023788903268371E-2</v>
      </c>
      <c r="AA371" s="327">
        <f t="shared" si="192"/>
        <v>8.3129057741427773E-2</v>
      </c>
      <c r="AB371" s="327">
        <f t="shared" si="192"/>
        <v>8.5873981611210029E-2</v>
      </c>
      <c r="AC371" s="327">
        <f t="shared" si="192"/>
        <v>8.8473610240354911E-2</v>
      </c>
      <c r="AD371" s="327">
        <f t="shared" si="192"/>
        <v>9.0928945675271114E-2</v>
      </c>
      <c r="AE371" s="327">
        <f t="shared" si="192"/>
        <v>9.3241042410451724E-2</v>
      </c>
      <c r="AF371" s="327">
        <f t="shared" si="192"/>
        <v>9.5411007388474092E-2</v>
      </c>
      <c r="AG371" s="327">
        <f t="shared" si="192"/>
        <v>9.7440000000000013E-2</v>
      </c>
      <c r="AJ371" s="325"/>
    </row>
    <row r="372" spans="1:36" s="230" customFormat="1">
      <c r="B372" s="324"/>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c r="AA372" s="317"/>
      <c r="AB372" s="317"/>
      <c r="AC372" s="317"/>
      <c r="AD372" s="317"/>
      <c r="AE372" s="317"/>
      <c r="AF372" s="317"/>
      <c r="AG372" s="317"/>
      <c r="AJ372" s="325"/>
    </row>
    <row r="373" spans="1:36" s="230" customFormat="1">
      <c r="A373" s="351" t="s">
        <v>233</v>
      </c>
      <c r="B373" s="352" t="s">
        <v>704</v>
      </c>
      <c r="C373" s="304">
        <f>C351-C364-C366</f>
        <v>5.2955834116242988</v>
      </c>
      <c r="D373" s="353">
        <f t="shared" ref="D373:AG373" si="193">D351-D364-D366</f>
        <v>5.9223845458435731</v>
      </c>
      <c r="E373" s="353">
        <f t="shared" si="193"/>
        <v>6.4625221691014598</v>
      </c>
      <c r="F373" s="353">
        <f t="shared" si="193"/>
        <v>7.0089266559874304</v>
      </c>
      <c r="G373" s="353">
        <f t="shared" si="193"/>
        <v>7.5577924706501527</v>
      </c>
      <c r="H373" s="353">
        <f t="shared" si="193"/>
        <v>8.1050811020599678</v>
      </c>
      <c r="I373" s="353">
        <f t="shared" si="193"/>
        <v>8.6651773407198416</v>
      </c>
      <c r="J373" s="353">
        <f t="shared" si="193"/>
        <v>9.2370851866137649</v>
      </c>
      <c r="K373" s="353">
        <f t="shared" si="193"/>
        <v>9.8194089875147945</v>
      </c>
      <c r="L373" s="353">
        <f t="shared" si="193"/>
        <v>10.410095735232813</v>
      </c>
      <c r="M373" s="353">
        <f t="shared" si="193"/>
        <v>11.00596909681116</v>
      </c>
      <c r="N373" s="353">
        <f t="shared" si="193"/>
        <v>11.140282705872776</v>
      </c>
      <c r="O373" s="353">
        <f t="shared" si="193"/>
        <v>11.231086503769406</v>
      </c>
      <c r="P373" s="353">
        <f t="shared" si="193"/>
        <v>11.273657510522948</v>
      </c>
      <c r="Q373" s="353">
        <f t="shared" si="193"/>
        <v>11.261815770698993</v>
      </c>
      <c r="R373" s="353">
        <f t="shared" si="193"/>
        <v>11.193525697711992</v>
      </c>
      <c r="S373" s="353">
        <f t="shared" si="193"/>
        <v>11.091228865281336</v>
      </c>
      <c r="T373" s="353">
        <f t="shared" si="193"/>
        <v>10.960577298410255</v>
      </c>
      <c r="U373" s="353">
        <f t="shared" si="193"/>
        <v>10.809129046961539</v>
      </c>
      <c r="V373" s="353">
        <f t="shared" si="193"/>
        <v>10.643841928140381</v>
      </c>
      <c r="W373" s="353">
        <f t="shared" si="193"/>
        <v>10.469241975873432</v>
      </c>
      <c r="X373" s="353">
        <f t="shared" si="193"/>
        <v>9.6413946183961237</v>
      </c>
      <c r="Y373" s="353">
        <f t="shared" si="193"/>
        <v>10.019414589702139</v>
      </c>
      <c r="Z373" s="353">
        <f t="shared" si="193"/>
        <v>10.497705292746982</v>
      </c>
      <c r="AA373" s="353">
        <f t="shared" si="193"/>
        <v>10.95841182643326</v>
      </c>
      <c r="AB373" s="353">
        <f t="shared" si="193"/>
        <v>11.395645923114722</v>
      </c>
      <c r="AC373" s="353">
        <f t="shared" si="193"/>
        <v>11.801022681293087</v>
      </c>
      <c r="AD373" s="353">
        <f t="shared" si="193"/>
        <v>12.163750065029816</v>
      </c>
      <c r="AE373" s="353">
        <f t="shared" si="193"/>
        <v>12.472230871528319</v>
      </c>
      <c r="AF373" s="353">
        <f t="shared" si="193"/>
        <v>12.717235668250146</v>
      </c>
      <c r="AG373" s="354">
        <f t="shared" si="193"/>
        <v>12.896059932384006</v>
      </c>
      <c r="AI373" s="230" t="s">
        <v>1415</v>
      </c>
      <c r="AJ373" s="325"/>
    </row>
    <row r="374" spans="1:36" s="230" customFormat="1">
      <c r="A374" s="355" t="s">
        <v>234</v>
      </c>
      <c r="B374" s="356" t="s">
        <v>704</v>
      </c>
      <c r="C374" s="357">
        <f>C352+C373</f>
        <v>53.295129778427295</v>
      </c>
      <c r="D374" s="357">
        <f t="shared" ref="D374:AG374" si="194">D352+D373</f>
        <v>55.135400030084419</v>
      </c>
      <c r="E374" s="357">
        <f t="shared" si="194"/>
        <v>56.782410698395509</v>
      </c>
      <c r="F374" s="357">
        <f t="shared" si="194"/>
        <v>58.320644648557625</v>
      </c>
      <c r="G374" s="357">
        <f t="shared" si="194"/>
        <v>59.738621151210708</v>
      </c>
      <c r="H374" s="357">
        <f t="shared" si="194"/>
        <v>61.025497647002986</v>
      </c>
      <c r="I374" s="357">
        <f t="shared" si="194"/>
        <v>62.305291672632336</v>
      </c>
      <c r="J374" s="357">
        <f t="shared" si="194"/>
        <v>63.575828957017848</v>
      </c>
      <c r="K374" s="357">
        <f t="shared" si="194"/>
        <v>64.834550870905815</v>
      </c>
      <c r="L374" s="357">
        <f t="shared" si="194"/>
        <v>66.078259669353045</v>
      </c>
      <c r="M374" s="357">
        <f t="shared" si="194"/>
        <v>67.302655476189216</v>
      </c>
      <c r="N374" s="357">
        <f t="shared" si="194"/>
        <v>67.958481096053546</v>
      </c>
      <c r="O374" s="357">
        <f t="shared" si="194"/>
        <v>68.460402889436821</v>
      </c>
      <c r="P374" s="357">
        <f t="shared" si="194"/>
        <v>68.805209121244943</v>
      </c>
      <c r="Q374" s="357">
        <f t="shared" si="194"/>
        <v>68.980389207839394</v>
      </c>
      <c r="R374" s="357">
        <f t="shared" si="194"/>
        <v>68.982472624965254</v>
      </c>
      <c r="S374" s="357">
        <f t="shared" si="194"/>
        <v>68.937198931590061</v>
      </c>
      <c r="T374" s="357">
        <f t="shared" si="194"/>
        <v>68.850095059706334</v>
      </c>
      <c r="U374" s="357">
        <f t="shared" si="194"/>
        <v>68.728600795121523</v>
      </c>
      <c r="V374" s="357">
        <f t="shared" si="194"/>
        <v>68.579562684148101</v>
      </c>
      <c r="W374" s="357">
        <f t="shared" si="194"/>
        <v>68.407402643156459</v>
      </c>
      <c r="X374" s="357">
        <f t="shared" si="194"/>
        <v>67.568727320559546</v>
      </c>
      <c r="Y374" s="357">
        <f t="shared" si="194"/>
        <v>66.580287340317483</v>
      </c>
      <c r="Z374" s="357">
        <f t="shared" si="194"/>
        <v>65.527901123167581</v>
      </c>
      <c r="AA374" s="357">
        <f t="shared" si="194"/>
        <v>64.408665420182245</v>
      </c>
      <c r="AB374" s="357">
        <f t="shared" si="194"/>
        <v>63.215662103232212</v>
      </c>
      <c r="AC374" s="357">
        <f t="shared" si="194"/>
        <v>61.939964308467523</v>
      </c>
      <c r="AD374" s="357">
        <f t="shared" si="194"/>
        <v>60.569730025947436</v>
      </c>
      <c r="AE374" s="357">
        <f t="shared" si="194"/>
        <v>59.092324455095437</v>
      </c>
      <c r="AF374" s="357">
        <f t="shared" si="194"/>
        <v>57.49749368796622</v>
      </c>
      <c r="AG374" s="358">
        <f t="shared" si="194"/>
        <v>55.781522598224697</v>
      </c>
      <c r="AI374" s="230" t="s">
        <v>1416</v>
      </c>
      <c r="AJ374" s="325"/>
    </row>
    <row r="375" spans="1:36" s="230" customFormat="1">
      <c r="A375" s="433"/>
      <c r="B375" s="434"/>
      <c r="C375" s="433"/>
      <c r="D375" s="43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c r="AA375" s="433"/>
      <c r="AB375" s="433"/>
      <c r="AC375" s="433"/>
      <c r="AD375" s="433"/>
      <c r="AE375" s="433"/>
      <c r="AF375" s="433"/>
      <c r="AG375" s="433"/>
      <c r="AJ375" s="325"/>
    </row>
    <row r="376" spans="1:36">
      <c r="B376" s="1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I376" s="23"/>
    </row>
    <row r="377" spans="1:36">
      <c r="B377" s="1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c r="AF377" s="230"/>
      <c r="AG377" s="230"/>
      <c r="AI377" s="214"/>
    </row>
  </sheetData>
  <mergeCells count="5">
    <mergeCell ref="BD126:BE126"/>
    <mergeCell ref="BD131:BE131"/>
    <mergeCell ref="BD136:BE136"/>
    <mergeCell ref="BD144:BE144"/>
    <mergeCell ref="AI344:AI352"/>
  </mergeCells>
  <hyperlinks>
    <hyperlink ref="AJ130" r:id="rId1" xr:uid="{7FBDCFDD-D05A-482A-A7FB-F4F26CD108B1}"/>
    <hyperlink ref="AJ131" r:id="rId2" xr:uid="{4E1EC22E-FD22-43FB-A79D-E924FF4C75FF}"/>
  </hyperlinks>
  <pageMargins left="0.7" right="0.7" top="0.75" bottom="0.75" header="0.3" footer="0.3"/>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B49F-A45B-45CD-9041-5E3417A79274}">
  <sheetPr>
    <tabColor theme="4"/>
  </sheetPr>
  <dimension ref="A1:BL377"/>
  <sheetViews>
    <sheetView zoomScale="70" zoomScaleNormal="70" workbookViewId="0">
      <pane xSplit="2" ySplit="6" topLeftCell="C288" activePane="bottomRight" state="frozen"/>
      <selection pane="topRight" activeCell="C1" sqref="C1"/>
      <selection pane="bottomLeft" activeCell="A4" sqref="A4"/>
      <selection pane="bottomRight" activeCell="A87" sqref="A87:XFD87"/>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1597</v>
      </c>
      <c r="B21" s="54" t="s">
        <v>462</v>
      </c>
      <c r="C21" s="159">
        <f>SUM('Overall recycling rates'!F76:H76)</f>
        <v>0.16323049504571452</v>
      </c>
      <c r="D21" s="159">
        <f>C21</f>
        <v>0.16323049504571452</v>
      </c>
      <c r="E21" s="159">
        <f t="shared" ref="E21:AF22" si="10">D21</f>
        <v>0.16323049504571452</v>
      </c>
      <c r="F21" s="159">
        <f t="shared" si="10"/>
        <v>0.16323049504571452</v>
      </c>
      <c r="G21" s="159">
        <f t="shared" si="10"/>
        <v>0.16323049504571452</v>
      </c>
      <c r="H21" s="159">
        <f t="shared" si="10"/>
        <v>0.16323049504571452</v>
      </c>
      <c r="I21" s="159">
        <f t="shared" si="10"/>
        <v>0.16323049504571452</v>
      </c>
      <c r="J21" s="159">
        <f t="shared" si="10"/>
        <v>0.16323049504571452</v>
      </c>
      <c r="K21" s="159">
        <f t="shared" si="10"/>
        <v>0.16323049504571452</v>
      </c>
      <c r="L21" s="159">
        <f t="shared" si="10"/>
        <v>0.16323049504571452</v>
      </c>
      <c r="M21" s="159">
        <f t="shared" si="10"/>
        <v>0.16323049504571452</v>
      </c>
      <c r="N21" s="159">
        <f t="shared" si="10"/>
        <v>0.16323049504571452</v>
      </c>
      <c r="O21" s="159">
        <f t="shared" si="10"/>
        <v>0.16323049504571452</v>
      </c>
      <c r="P21" s="159">
        <f t="shared" si="10"/>
        <v>0.16323049504571452</v>
      </c>
      <c r="Q21" s="159">
        <f t="shared" si="10"/>
        <v>0.16323049504571452</v>
      </c>
      <c r="R21" s="159">
        <f t="shared" si="10"/>
        <v>0.16323049504571452</v>
      </c>
      <c r="S21" s="159">
        <f t="shared" si="10"/>
        <v>0.16323049504571452</v>
      </c>
      <c r="T21" s="159">
        <f t="shared" si="10"/>
        <v>0.16323049504571452</v>
      </c>
      <c r="U21" s="159">
        <f t="shared" si="10"/>
        <v>0.16323049504571452</v>
      </c>
      <c r="V21" s="159">
        <f t="shared" si="10"/>
        <v>0.16323049504571452</v>
      </c>
      <c r="W21" s="159">
        <f t="shared" si="10"/>
        <v>0.16323049504571452</v>
      </c>
      <c r="X21" s="159">
        <f t="shared" si="10"/>
        <v>0.16323049504571452</v>
      </c>
      <c r="Y21" s="159">
        <f t="shared" si="10"/>
        <v>0.16323049504571452</v>
      </c>
      <c r="Z21" s="159">
        <f t="shared" si="10"/>
        <v>0.16323049504571452</v>
      </c>
      <c r="AA21" s="159">
        <f t="shared" si="10"/>
        <v>0.16323049504571452</v>
      </c>
      <c r="AB21" s="159">
        <f t="shared" si="10"/>
        <v>0.16323049504571452</v>
      </c>
      <c r="AC21" s="159">
        <f t="shared" si="10"/>
        <v>0.16323049504571452</v>
      </c>
      <c r="AD21" s="159">
        <f t="shared" si="10"/>
        <v>0.16323049504571452</v>
      </c>
      <c r="AE21" s="159">
        <f t="shared" si="10"/>
        <v>0.16323049504571452</v>
      </c>
      <c r="AF21" s="159">
        <f t="shared" si="10"/>
        <v>0.16323049504571452</v>
      </c>
      <c r="AG21" s="159">
        <f>AF21</f>
        <v>0.16323049504571452</v>
      </c>
      <c r="AI21" s="54" t="s">
        <v>1263</v>
      </c>
      <c r="AJ21" s="211"/>
      <c r="AM21" s="115"/>
      <c r="AN21" s="115"/>
      <c r="AO21" s="115"/>
      <c r="AP21" s="115"/>
      <c r="AQ21" s="115"/>
    </row>
    <row r="22" spans="1:64" outlineLevel="1">
      <c r="A22" t="s">
        <v>1598</v>
      </c>
      <c r="B22" s="54" t="s">
        <v>462</v>
      </c>
      <c r="C22" s="159">
        <f>SUM('Overall recycling rates'!F77:H77)</f>
        <v>0.14472181394867328</v>
      </c>
      <c r="D22" s="159">
        <f t="shared" ref="D22:S25" si="11">C22</f>
        <v>0.14472181394867328</v>
      </c>
      <c r="E22" s="159">
        <f t="shared" si="11"/>
        <v>0.14472181394867328</v>
      </c>
      <c r="F22" s="159">
        <f t="shared" si="11"/>
        <v>0.14472181394867328</v>
      </c>
      <c r="G22" s="159">
        <f t="shared" si="11"/>
        <v>0.14472181394867328</v>
      </c>
      <c r="H22" s="159">
        <f t="shared" si="11"/>
        <v>0.14472181394867328</v>
      </c>
      <c r="I22" s="159">
        <f t="shared" si="11"/>
        <v>0.14472181394867328</v>
      </c>
      <c r="J22" s="159">
        <f t="shared" si="11"/>
        <v>0.14472181394867328</v>
      </c>
      <c r="K22" s="159">
        <f t="shared" si="11"/>
        <v>0.14472181394867328</v>
      </c>
      <c r="L22" s="159">
        <f t="shared" si="11"/>
        <v>0.14472181394867328</v>
      </c>
      <c r="M22" s="159">
        <f t="shared" si="11"/>
        <v>0.14472181394867328</v>
      </c>
      <c r="N22" s="159">
        <f t="shared" si="11"/>
        <v>0.14472181394867328</v>
      </c>
      <c r="O22" s="159">
        <f t="shared" si="11"/>
        <v>0.14472181394867328</v>
      </c>
      <c r="P22" s="159">
        <f t="shared" si="11"/>
        <v>0.14472181394867328</v>
      </c>
      <c r="Q22" s="159">
        <f t="shared" si="11"/>
        <v>0.14472181394867328</v>
      </c>
      <c r="R22" s="159">
        <f t="shared" si="11"/>
        <v>0.14472181394867328</v>
      </c>
      <c r="S22" s="159">
        <f t="shared" si="11"/>
        <v>0.14472181394867328</v>
      </c>
      <c r="T22" s="159">
        <f t="shared" si="10"/>
        <v>0.14472181394867328</v>
      </c>
      <c r="U22" s="159">
        <f t="shared" si="10"/>
        <v>0.14472181394867328</v>
      </c>
      <c r="V22" s="159">
        <f t="shared" si="10"/>
        <v>0.14472181394867328</v>
      </c>
      <c r="W22" s="159">
        <f t="shared" si="10"/>
        <v>0.14472181394867328</v>
      </c>
      <c r="X22" s="159">
        <f t="shared" si="10"/>
        <v>0.14472181394867328</v>
      </c>
      <c r="Y22" s="159">
        <f t="shared" si="10"/>
        <v>0.14472181394867328</v>
      </c>
      <c r="Z22" s="159">
        <f t="shared" si="10"/>
        <v>0.14472181394867328</v>
      </c>
      <c r="AA22" s="159">
        <f t="shared" si="10"/>
        <v>0.14472181394867328</v>
      </c>
      <c r="AB22" s="159">
        <f t="shared" si="10"/>
        <v>0.14472181394867328</v>
      </c>
      <c r="AC22" s="159">
        <f t="shared" si="10"/>
        <v>0.14472181394867328</v>
      </c>
      <c r="AD22" s="159">
        <f t="shared" si="10"/>
        <v>0.14472181394867328</v>
      </c>
      <c r="AE22" s="159">
        <f t="shared" si="10"/>
        <v>0.14472181394867328</v>
      </c>
      <c r="AF22" s="159">
        <f t="shared" si="10"/>
        <v>0.14472181394867328</v>
      </c>
      <c r="AG22" s="159">
        <f t="shared" ref="T22:AG25" si="12">AF22</f>
        <v>0.14472181394867328</v>
      </c>
      <c r="AI22" s="54" t="s">
        <v>1263</v>
      </c>
      <c r="AJ22" s="211"/>
      <c r="AM22" s="120"/>
      <c r="AN22" s="115"/>
      <c r="AO22" s="116"/>
      <c r="AP22" s="117"/>
      <c r="AQ22" s="116"/>
    </row>
    <row r="23" spans="1:64" outlineLevel="1">
      <c r="A23" t="s">
        <v>1599</v>
      </c>
      <c r="B23" s="54" t="s">
        <v>462</v>
      </c>
      <c r="C23" s="159">
        <f>SUM('Overall recycling rates'!F78:H78)</f>
        <v>8.3639786575459008E-2</v>
      </c>
      <c r="D23" s="159">
        <f t="shared" si="11"/>
        <v>8.3639786575459008E-2</v>
      </c>
      <c r="E23" s="159">
        <f t="shared" si="11"/>
        <v>8.3639786575459008E-2</v>
      </c>
      <c r="F23" s="159">
        <f t="shared" si="11"/>
        <v>8.3639786575459008E-2</v>
      </c>
      <c r="G23" s="159">
        <f t="shared" si="11"/>
        <v>8.3639786575459008E-2</v>
      </c>
      <c r="H23" s="159">
        <f t="shared" si="11"/>
        <v>8.3639786575459008E-2</v>
      </c>
      <c r="I23" s="159">
        <f t="shared" si="11"/>
        <v>8.3639786575459008E-2</v>
      </c>
      <c r="J23" s="159">
        <f t="shared" si="11"/>
        <v>8.3639786575459008E-2</v>
      </c>
      <c r="K23" s="159">
        <f t="shared" si="11"/>
        <v>8.3639786575459008E-2</v>
      </c>
      <c r="L23" s="159">
        <f t="shared" si="11"/>
        <v>8.3639786575459008E-2</v>
      </c>
      <c r="M23" s="159">
        <f t="shared" si="11"/>
        <v>8.3639786575459008E-2</v>
      </c>
      <c r="N23" s="159">
        <f t="shared" si="11"/>
        <v>8.3639786575459008E-2</v>
      </c>
      <c r="O23" s="159">
        <f t="shared" si="11"/>
        <v>8.3639786575459008E-2</v>
      </c>
      <c r="P23" s="159">
        <f t="shared" si="11"/>
        <v>8.3639786575459008E-2</v>
      </c>
      <c r="Q23" s="159">
        <f t="shared" si="11"/>
        <v>8.3639786575459008E-2</v>
      </c>
      <c r="R23" s="159">
        <f t="shared" si="11"/>
        <v>8.3639786575459008E-2</v>
      </c>
      <c r="S23" s="159">
        <f t="shared" si="11"/>
        <v>8.3639786575459008E-2</v>
      </c>
      <c r="T23" s="159">
        <f t="shared" si="12"/>
        <v>8.3639786575459008E-2</v>
      </c>
      <c r="U23" s="159">
        <f t="shared" si="12"/>
        <v>8.3639786575459008E-2</v>
      </c>
      <c r="V23" s="159">
        <f t="shared" si="12"/>
        <v>8.3639786575459008E-2</v>
      </c>
      <c r="W23" s="159">
        <f t="shared" si="12"/>
        <v>8.3639786575459008E-2</v>
      </c>
      <c r="X23" s="159">
        <f t="shared" si="12"/>
        <v>8.3639786575459008E-2</v>
      </c>
      <c r="Y23" s="159">
        <f t="shared" si="12"/>
        <v>8.3639786575459008E-2</v>
      </c>
      <c r="Z23" s="159">
        <f t="shared" si="12"/>
        <v>8.3639786575459008E-2</v>
      </c>
      <c r="AA23" s="159">
        <f t="shared" si="12"/>
        <v>8.3639786575459008E-2</v>
      </c>
      <c r="AB23" s="159">
        <f t="shared" si="12"/>
        <v>8.3639786575459008E-2</v>
      </c>
      <c r="AC23" s="159">
        <f t="shared" si="12"/>
        <v>8.3639786575459008E-2</v>
      </c>
      <c r="AD23" s="159">
        <f t="shared" si="12"/>
        <v>8.3639786575459008E-2</v>
      </c>
      <c r="AE23" s="159">
        <f t="shared" si="12"/>
        <v>8.3639786575459008E-2</v>
      </c>
      <c r="AF23" s="159">
        <f t="shared" si="12"/>
        <v>8.3639786575459008E-2</v>
      </c>
      <c r="AG23" s="159">
        <f t="shared" si="12"/>
        <v>8.3639786575459008E-2</v>
      </c>
      <c r="AI23" s="54" t="s">
        <v>1263</v>
      </c>
      <c r="AJ23" s="211"/>
      <c r="AM23" s="120"/>
      <c r="AN23" s="115"/>
      <c r="AO23" s="116"/>
      <c r="AP23" s="117"/>
      <c r="AQ23" s="116"/>
    </row>
    <row r="24" spans="1:64" outlineLevel="1">
      <c r="A24" t="s">
        <v>1600</v>
      </c>
      <c r="B24" s="54" t="s">
        <v>462</v>
      </c>
      <c r="C24" s="159">
        <f>SUM('Overall recycling rates'!F79:H79)</f>
        <v>0.46373883592056908</v>
      </c>
      <c r="D24" s="159">
        <f t="shared" si="11"/>
        <v>0.46373883592056908</v>
      </c>
      <c r="E24" s="159">
        <f t="shared" si="11"/>
        <v>0.46373883592056908</v>
      </c>
      <c r="F24" s="159">
        <f t="shared" si="11"/>
        <v>0.46373883592056908</v>
      </c>
      <c r="G24" s="159">
        <f t="shared" si="11"/>
        <v>0.46373883592056908</v>
      </c>
      <c r="H24" s="159">
        <f t="shared" si="11"/>
        <v>0.46373883592056908</v>
      </c>
      <c r="I24" s="159">
        <f t="shared" si="11"/>
        <v>0.46373883592056908</v>
      </c>
      <c r="J24" s="159">
        <f t="shared" si="11"/>
        <v>0.46373883592056908</v>
      </c>
      <c r="K24" s="159">
        <f t="shared" si="11"/>
        <v>0.46373883592056908</v>
      </c>
      <c r="L24" s="159">
        <f t="shared" si="11"/>
        <v>0.46373883592056908</v>
      </c>
      <c r="M24" s="159">
        <f t="shared" si="11"/>
        <v>0.46373883592056908</v>
      </c>
      <c r="N24" s="159">
        <f t="shared" si="11"/>
        <v>0.46373883592056908</v>
      </c>
      <c r="O24" s="159">
        <f t="shared" si="11"/>
        <v>0.46373883592056908</v>
      </c>
      <c r="P24" s="159">
        <f t="shared" si="11"/>
        <v>0.46373883592056908</v>
      </c>
      <c r="Q24" s="159">
        <f t="shared" si="11"/>
        <v>0.46373883592056908</v>
      </c>
      <c r="R24" s="159">
        <f t="shared" si="11"/>
        <v>0.46373883592056908</v>
      </c>
      <c r="S24" s="159">
        <f t="shared" si="11"/>
        <v>0.46373883592056908</v>
      </c>
      <c r="T24" s="159">
        <f t="shared" si="12"/>
        <v>0.46373883592056908</v>
      </c>
      <c r="U24" s="159">
        <f t="shared" si="12"/>
        <v>0.46373883592056908</v>
      </c>
      <c r="V24" s="159">
        <f t="shared" si="12"/>
        <v>0.46373883592056908</v>
      </c>
      <c r="W24" s="159">
        <f t="shared" si="12"/>
        <v>0.46373883592056908</v>
      </c>
      <c r="X24" s="159">
        <f t="shared" si="12"/>
        <v>0.46373883592056908</v>
      </c>
      <c r="Y24" s="159">
        <f t="shared" si="12"/>
        <v>0.46373883592056908</v>
      </c>
      <c r="Z24" s="159">
        <f t="shared" si="12"/>
        <v>0.46373883592056908</v>
      </c>
      <c r="AA24" s="159">
        <f t="shared" si="12"/>
        <v>0.46373883592056908</v>
      </c>
      <c r="AB24" s="159">
        <f t="shared" si="12"/>
        <v>0.46373883592056908</v>
      </c>
      <c r="AC24" s="159">
        <f t="shared" si="12"/>
        <v>0.46373883592056908</v>
      </c>
      <c r="AD24" s="159">
        <f t="shared" si="12"/>
        <v>0.46373883592056908</v>
      </c>
      <c r="AE24" s="159">
        <f t="shared" si="12"/>
        <v>0.46373883592056908</v>
      </c>
      <c r="AF24" s="159">
        <f t="shared" si="12"/>
        <v>0.46373883592056908</v>
      </c>
      <c r="AG24" s="159">
        <f t="shared" si="12"/>
        <v>0.46373883592056908</v>
      </c>
      <c r="AI24" s="54" t="s">
        <v>1263</v>
      </c>
      <c r="AJ24" s="211"/>
      <c r="AM24" s="120"/>
      <c r="AN24" s="115"/>
      <c r="AO24" s="477"/>
      <c r="AP24" s="478"/>
      <c r="AQ24" s="477"/>
    </row>
    <row r="25" spans="1:64" outlineLevel="1">
      <c r="A25" t="s">
        <v>1601</v>
      </c>
      <c r="B25" s="54" t="s">
        <v>462</v>
      </c>
      <c r="C25" s="159">
        <f>SUM('Overall recycling rates'!F80:H80)</f>
        <v>0.18034988194307733</v>
      </c>
      <c r="D25" s="159">
        <f>C25</f>
        <v>0.18034988194307733</v>
      </c>
      <c r="E25" s="159">
        <f t="shared" si="11"/>
        <v>0.18034988194307733</v>
      </c>
      <c r="F25" s="159">
        <f t="shared" si="11"/>
        <v>0.18034988194307733</v>
      </c>
      <c r="G25" s="159">
        <f t="shared" si="11"/>
        <v>0.18034988194307733</v>
      </c>
      <c r="H25" s="159">
        <f t="shared" si="11"/>
        <v>0.18034988194307733</v>
      </c>
      <c r="I25" s="159">
        <f t="shared" si="11"/>
        <v>0.18034988194307733</v>
      </c>
      <c r="J25" s="159">
        <f t="shared" si="11"/>
        <v>0.18034988194307733</v>
      </c>
      <c r="K25" s="159">
        <f t="shared" si="11"/>
        <v>0.18034988194307733</v>
      </c>
      <c r="L25" s="159">
        <f t="shared" si="11"/>
        <v>0.18034988194307733</v>
      </c>
      <c r="M25" s="159">
        <f t="shared" si="11"/>
        <v>0.18034988194307733</v>
      </c>
      <c r="N25" s="159">
        <f t="shared" si="11"/>
        <v>0.18034988194307733</v>
      </c>
      <c r="O25" s="159">
        <f t="shared" si="11"/>
        <v>0.18034988194307733</v>
      </c>
      <c r="P25" s="159">
        <f t="shared" si="11"/>
        <v>0.18034988194307733</v>
      </c>
      <c r="Q25" s="159">
        <f t="shared" si="11"/>
        <v>0.18034988194307733</v>
      </c>
      <c r="R25" s="159">
        <f t="shared" si="11"/>
        <v>0.18034988194307733</v>
      </c>
      <c r="S25" s="159">
        <f t="shared" si="11"/>
        <v>0.18034988194307733</v>
      </c>
      <c r="T25" s="159">
        <f t="shared" si="12"/>
        <v>0.18034988194307733</v>
      </c>
      <c r="U25" s="159">
        <f t="shared" si="12"/>
        <v>0.18034988194307733</v>
      </c>
      <c r="V25" s="159">
        <f t="shared" si="12"/>
        <v>0.18034988194307733</v>
      </c>
      <c r="W25" s="159">
        <f t="shared" si="12"/>
        <v>0.18034988194307733</v>
      </c>
      <c r="X25" s="159">
        <f t="shared" si="12"/>
        <v>0.18034988194307733</v>
      </c>
      <c r="Y25" s="159">
        <f t="shared" si="12"/>
        <v>0.18034988194307733</v>
      </c>
      <c r="Z25" s="159">
        <f t="shared" si="12"/>
        <v>0.18034988194307733</v>
      </c>
      <c r="AA25" s="159">
        <f t="shared" si="12"/>
        <v>0.18034988194307733</v>
      </c>
      <c r="AB25" s="159">
        <f t="shared" si="12"/>
        <v>0.18034988194307733</v>
      </c>
      <c r="AC25" s="159">
        <f t="shared" si="12"/>
        <v>0.18034988194307733</v>
      </c>
      <c r="AD25" s="159">
        <f t="shared" si="12"/>
        <v>0.18034988194307733</v>
      </c>
      <c r="AE25" s="159">
        <f t="shared" si="12"/>
        <v>0.18034988194307733</v>
      </c>
      <c r="AF25" s="159">
        <f t="shared" si="12"/>
        <v>0.18034988194307733</v>
      </c>
      <c r="AG25" s="159">
        <f t="shared" si="12"/>
        <v>0.18034988194307733</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1602</v>
      </c>
      <c r="B27" s="54" t="s">
        <v>1603</v>
      </c>
      <c r="C27" s="204">
        <f>C14*C21</f>
        <v>31.34132906881517</v>
      </c>
      <c r="D27" s="204">
        <f t="shared" ref="D27:AG27" si="13">D14*D21</f>
        <v>32.391937419343449</v>
      </c>
      <c r="E27" s="204">
        <f t="shared" si="13"/>
        <v>33.390250528174754</v>
      </c>
      <c r="F27" s="204">
        <f t="shared" si="13"/>
        <v>34.329416339951194</v>
      </c>
      <c r="G27" s="204">
        <f t="shared" si="13"/>
        <v>35.202856998503727</v>
      </c>
      <c r="H27" s="204">
        <f t="shared" si="13"/>
        <v>36.00434558822333</v>
      </c>
      <c r="I27" s="204">
        <f t="shared" si="13"/>
        <v>36.807319347488345</v>
      </c>
      <c r="J27" s="204">
        <f t="shared" si="13"/>
        <v>37.611051257975468</v>
      </c>
      <c r="K27" s="204">
        <f t="shared" si="13"/>
        <v>38.414795843817302</v>
      </c>
      <c r="L27" s="204">
        <f t="shared" si="13"/>
        <v>39.217790141073472</v>
      </c>
      <c r="M27" s="204">
        <f>M14*M21</f>
        <v>40.019254732723482</v>
      </c>
      <c r="N27" s="204">
        <f t="shared" si="13"/>
        <v>40.759992270093193</v>
      </c>
      <c r="O27" s="204">
        <f t="shared" si="13"/>
        <v>41.435894489629504</v>
      </c>
      <c r="P27" s="204">
        <f t="shared" si="13"/>
        <v>42.043143301429602</v>
      </c>
      <c r="Q27" s="204">
        <f t="shared" si="13"/>
        <v>42.57824627538244</v>
      </c>
      <c r="R27" s="204">
        <f t="shared" si="13"/>
        <v>43.038069726050175</v>
      </c>
      <c r="S27" s="204">
        <f t="shared" si="13"/>
        <v>43.498097231658051</v>
      </c>
      <c r="T27" s="204">
        <f t="shared" si="13"/>
        <v>43.958226299217436</v>
      </c>
      <c r="U27" s="204">
        <f t="shared" si="13"/>
        <v>44.41835320526161</v>
      </c>
      <c r="V27" s="204">
        <f t="shared" si="13"/>
        <v>44.87837302856861</v>
      </c>
      <c r="W27" s="204">
        <f t="shared" si="13"/>
        <v>45.33817968397107</v>
      </c>
      <c r="X27" s="204">
        <f t="shared" si="13"/>
        <v>45.798170391593182</v>
      </c>
      <c r="Y27" s="204">
        <f t="shared" si="13"/>
        <v>46.258252801007892</v>
      </c>
      <c r="Z27" s="204">
        <f t="shared" si="13"/>
        <v>46.718333518133335</v>
      </c>
      <c r="AA27" s="204">
        <f t="shared" si="13"/>
        <v>47.178318131918004</v>
      </c>
      <c r="AB27" s="204">
        <f t="shared" si="13"/>
        <v>47.638111241856656</v>
      </c>
      <c r="AC27" s="204">
        <f t="shared" si="13"/>
        <v>48.09807121259432</v>
      </c>
      <c r="AD27" s="204">
        <f t="shared" si="13"/>
        <v>48.55811439286326</v>
      </c>
      <c r="AE27" s="204">
        <f t="shared" si="13"/>
        <v>49.01815623836459</v>
      </c>
      <c r="AF27" s="204">
        <f t="shared" si="13"/>
        <v>49.478111333747449</v>
      </c>
      <c r="AG27" s="204">
        <f t="shared" si="13"/>
        <v>49.937893415231954</v>
      </c>
      <c r="AI27" s="245"/>
      <c r="AM27" s="120"/>
      <c r="AN27" s="115"/>
      <c r="AO27" s="115"/>
      <c r="AP27" s="115"/>
      <c r="AQ27" s="115"/>
      <c r="BD27" s="205"/>
      <c r="BE27" s="205"/>
      <c r="BF27" s="205"/>
      <c r="BG27" s="205"/>
      <c r="BH27" s="205"/>
      <c r="BI27" s="205"/>
      <c r="BJ27" s="205"/>
      <c r="BK27" s="205"/>
      <c r="BL27" s="205"/>
    </row>
    <row r="28" spans="1:64" outlineLevel="1">
      <c r="A28" t="s">
        <v>1604</v>
      </c>
      <c r="B28" s="54" t="s">
        <v>1603</v>
      </c>
      <c r="C28" s="204">
        <f t="shared" ref="C28:AG31" si="14">C15*C22</f>
        <v>2.6229670403228216</v>
      </c>
      <c r="D28" s="204">
        <f t="shared" si="14"/>
        <v>2.7108928289731047</v>
      </c>
      <c r="E28" s="204">
        <f t="shared" si="14"/>
        <v>2.7944420101401595</v>
      </c>
      <c r="F28" s="204">
        <f t="shared" si="14"/>
        <v>2.8730411328601577</v>
      </c>
      <c r="G28" s="204">
        <f t="shared" si="14"/>
        <v>2.9461396939974613</v>
      </c>
      <c r="H28" s="204">
        <f t="shared" si="14"/>
        <v>3.0132165607574328</v>
      </c>
      <c r="I28" s="204">
        <f t="shared" si="14"/>
        <v>3.0804177218878936</v>
      </c>
      <c r="J28" s="204">
        <f t="shared" si="14"/>
        <v>3.1476823329653176</v>
      </c>
      <c r="K28" s="204">
        <f t="shared" si="14"/>
        <v>3.2149480048477113</v>
      </c>
      <c r="L28" s="204">
        <f t="shared" si="14"/>
        <v>3.2821508848099983</v>
      </c>
      <c r="M28" s="204">
        <f t="shared" si="14"/>
        <v>3.349225743162942</v>
      </c>
      <c r="N28" s="204">
        <f t="shared" si="14"/>
        <v>3.4112183326215639</v>
      </c>
      <c r="O28" s="204">
        <f t="shared" si="14"/>
        <v>3.4677848311396122</v>
      </c>
      <c r="P28" s="204">
        <f t="shared" si="14"/>
        <v>3.5186057014074175</v>
      </c>
      <c r="Q28" s="204">
        <f t="shared" si="14"/>
        <v>3.563388660699772</v>
      </c>
      <c r="R28" s="204">
        <f t="shared" si="14"/>
        <v>3.601871449761485</v>
      </c>
      <c r="S28" s="204">
        <f t="shared" si="14"/>
        <v>3.6403713162541278</v>
      </c>
      <c r="T28" s="204">
        <f t="shared" si="14"/>
        <v>3.678879682502822</v>
      </c>
      <c r="U28" s="204">
        <f t="shared" si="14"/>
        <v>3.717387867853533</v>
      </c>
      <c r="V28" s="204">
        <f t="shared" si="14"/>
        <v>3.755887091411668</v>
      </c>
      <c r="W28" s="204">
        <f t="shared" si="14"/>
        <v>3.7943684748716233</v>
      </c>
      <c r="X28" s="204">
        <f t="shared" si="14"/>
        <v>3.8328652617276751</v>
      </c>
      <c r="Y28" s="204">
        <f t="shared" si="14"/>
        <v>3.8713697231395514</v>
      </c>
      <c r="Z28" s="204">
        <f t="shared" si="14"/>
        <v>3.9098740429231329</v>
      </c>
      <c r="AA28" s="204">
        <f t="shared" si="14"/>
        <v>3.9483703197837494</v>
      </c>
      <c r="AB28" s="204">
        <f t="shared" si="14"/>
        <v>3.9868505696189942</v>
      </c>
      <c r="AC28" s="204">
        <f t="shared" si="14"/>
        <v>4.0253447840941936</v>
      </c>
      <c r="AD28" s="204">
        <f t="shared" si="14"/>
        <v>4.0638459624048275</v>
      </c>
      <c r="AE28" s="204">
        <f t="shared" si="14"/>
        <v>4.1023470290082829</v>
      </c>
      <c r="AF28" s="204">
        <f t="shared" si="14"/>
        <v>4.1408408354632931</v>
      </c>
      <c r="AG28" s="204">
        <f t="shared" si="14"/>
        <v>4.1793201623232656</v>
      </c>
      <c r="AM28" s="206"/>
      <c r="BD28" s="205"/>
      <c r="BE28" s="205"/>
      <c r="BF28" s="205"/>
      <c r="BG28" s="205"/>
      <c r="BH28" s="205"/>
      <c r="BI28" s="205"/>
      <c r="BJ28" s="205"/>
      <c r="BK28" s="205"/>
      <c r="BL28" s="205"/>
    </row>
    <row r="29" spans="1:64" outlineLevel="1">
      <c r="A29" t="s">
        <v>1605</v>
      </c>
      <c r="B29" s="54" t="s">
        <v>1603</v>
      </c>
      <c r="C29" s="204">
        <f t="shared" si="14"/>
        <v>1.1926002393003741</v>
      </c>
      <c r="D29" s="204">
        <f t="shared" si="14"/>
        <v>1.2325779877710892</v>
      </c>
      <c r="E29" s="204">
        <f t="shared" si="14"/>
        <v>1.2705657977288216</v>
      </c>
      <c r="F29" s="204">
        <f t="shared" si="14"/>
        <v>1.3063029347662478</v>
      </c>
      <c r="G29" s="204">
        <f t="shared" si="14"/>
        <v>1.3395390983034507</v>
      </c>
      <c r="H29" s="204">
        <f t="shared" si="14"/>
        <v>1.3700373417505416</v>
      </c>
      <c r="I29" s="204">
        <f t="shared" si="14"/>
        <v>1.4005920988684912</v>
      </c>
      <c r="J29" s="204">
        <f t="shared" si="14"/>
        <v>1.4311757051563951</v>
      </c>
      <c r="K29" s="204">
        <f t="shared" si="14"/>
        <v>1.4617597937668911</v>
      </c>
      <c r="L29" s="204">
        <f t="shared" si="14"/>
        <v>1.4923153323964706</v>
      </c>
      <c r="M29" s="204">
        <f t="shared" si="14"/>
        <v>1.5228126626690286</v>
      </c>
      <c r="N29" s="204">
        <f t="shared" si="14"/>
        <v>1.5509992071000649</v>
      </c>
      <c r="O29" s="204">
        <f t="shared" si="14"/>
        <v>1.5767186380467479</v>
      </c>
      <c r="P29" s="204">
        <f t="shared" si="14"/>
        <v>1.5998256695538531</v>
      </c>
      <c r="Q29" s="204">
        <f t="shared" si="14"/>
        <v>1.6201874076724028</v>
      </c>
      <c r="R29" s="204">
        <f t="shared" si="14"/>
        <v>1.6376846094055579</v>
      </c>
      <c r="S29" s="204">
        <f t="shared" si="14"/>
        <v>1.6551895758372015</v>
      </c>
      <c r="T29" s="204">
        <f t="shared" si="14"/>
        <v>1.6726984069041777</v>
      </c>
      <c r="U29" s="204">
        <f t="shared" si="14"/>
        <v>1.6902071557211769</v>
      </c>
      <c r="V29" s="204">
        <f t="shared" si="14"/>
        <v>1.7077118298259113</v>
      </c>
      <c r="W29" s="204">
        <f t="shared" si="14"/>
        <v>1.7252083924656403</v>
      </c>
      <c r="X29" s="204">
        <f t="shared" si="14"/>
        <v>1.7427119586603461</v>
      </c>
      <c r="Y29" s="204">
        <f t="shared" si="14"/>
        <v>1.7602190142916225</v>
      </c>
      <c r="Z29" s="204">
        <f t="shared" si="14"/>
        <v>1.777726005527908</v>
      </c>
      <c r="AA29" s="204">
        <f t="shared" si="14"/>
        <v>1.7952293398399146</v>
      </c>
      <c r="AB29" s="204">
        <f t="shared" si="14"/>
        <v>1.8127253870476614</v>
      </c>
      <c r="AC29" s="204">
        <f t="shared" si="14"/>
        <v>1.8302277836424548</v>
      </c>
      <c r="AD29" s="204">
        <f t="shared" si="14"/>
        <v>1.847733346526294</v>
      </c>
      <c r="AE29" s="204">
        <f t="shared" si="14"/>
        <v>1.865238858619557</v>
      </c>
      <c r="AF29" s="204">
        <f t="shared" si="14"/>
        <v>1.8827410696973514</v>
      </c>
      <c r="AG29" s="204">
        <f t="shared" si="14"/>
        <v>1.9002366972503657</v>
      </c>
      <c r="BD29" s="205"/>
      <c r="BE29" s="205"/>
      <c r="BF29" s="205"/>
      <c r="BG29" s="205"/>
      <c r="BH29" s="205"/>
      <c r="BI29" s="205"/>
      <c r="BJ29" s="205"/>
      <c r="BK29" s="205"/>
      <c r="BL29" s="205"/>
    </row>
    <row r="30" spans="1:64" outlineLevel="1">
      <c r="A30" t="s">
        <v>1606</v>
      </c>
      <c r="B30" s="54" t="s">
        <v>1603</v>
      </c>
      <c r="C30" s="204">
        <f t="shared" si="14"/>
        <v>16.948707747256268</v>
      </c>
      <c r="D30" s="204">
        <f t="shared" si="14"/>
        <v>17.516853847596614</v>
      </c>
      <c r="E30" s="204">
        <f t="shared" si="14"/>
        <v>18.056719820883373</v>
      </c>
      <c r="F30" s="204">
        <f t="shared" si="14"/>
        <v>18.564600224904016</v>
      </c>
      <c r="G30" s="204">
        <f t="shared" si="14"/>
        <v>19.036937898391756</v>
      </c>
      <c r="H30" s="204">
        <f t="shared" si="14"/>
        <v>19.470365461086743</v>
      </c>
      <c r="I30" s="204">
        <f t="shared" si="14"/>
        <v>19.904596171105986</v>
      </c>
      <c r="J30" s="204">
        <f t="shared" si="14"/>
        <v>20.339236872783964</v>
      </c>
      <c r="K30" s="204">
        <f t="shared" si="14"/>
        <v>20.773884429017539</v>
      </c>
      <c r="L30" s="204">
        <f t="shared" si="14"/>
        <v>21.208126245534821</v>
      </c>
      <c r="M30" s="204">
        <f t="shared" si="14"/>
        <v>21.64154083059676</v>
      </c>
      <c r="N30" s="204">
        <f t="shared" si="14"/>
        <v>22.042115548112278</v>
      </c>
      <c r="O30" s="204">
        <f t="shared" si="14"/>
        <v>22.407628738682146</v>
      </c>
      <c r="P30" s="204">
        <f t="shared" si="14"/>
        <v>22.736015662493529</v>
      </c>
      <c r="Q30" s="204">
        <f t="shared" si="14"/>
        <v>23.025387689451964</v>
      </c>
      <c r="R30" s="204">
        <f t="shared" si="14"/>
        <v>23.274050190764228</v>
      </c>
      <c r="S30" s="204">
        <f t="shared" si="14"/>
        <v>23.522823040541201</v>
      </c>
      <c r="T30" s="204">
        <f t="shared" si="14"/>
        <v>23.77165081280825</v>
      </c>
      <c r="U30" s="204">
        <f t="shared" si="14"/>
        <v>24.020477416174966</v>
      </c>
      <c r="V30" s="204">
        <f t="shared" si="14"/>
        <v>24.26924611153105</v>
      </c>
      <c r="W30" s="204">
        <f t="shared" si="14"/>
        <v>24.517899530329867</v>
      </c>
      <c r="X30" s="204">
        <f t="shared" si="14"/>
        <v>24.766652480558069</v>
      </c>
      <c r="Y30" s="204">
        <f t="shared" si="14"/>
        <v>25.015455021117283</v>
      </c>
      <c r="Z30" s="204">
        <f t="shared" si="14"/>
        <v>25.264256646523332</v>
      </c>
      <c r="AA30" s="204">
        <f t="shared" si="14"/>
        <v>25.51300630133705</v>
      </c>
      <c r="AB30" s="204">
        <f t="shared" si="14"/>
        <v>25.761652395044237</v>
      </c>
      <c r="AC30" s="204">
        <f t="shared" si="14"/>
        <v>26.010388723435174</v>
      </c>
      <c r="AD30" s="204">
        <f t="shared" si="14"/>
        <v>26.25917004972726</v>
      </c>
      <c r="AE30" s="204">
        <f t="shared" si="14"/>
        <v>26.507950654206116</v>
      </c>
      <c r="AF30" s="204">
        <f t="shared" si="14"/>
        <v>26.75668434611142</v>
      </c>
      <c r="AG30" s="204">
        <f t="shared" si="14"/>
        <v>27.005324475870943</v>
      </c>
      <c r="BD30" s="205"/>
      <c r="BE30" s="205"/>
      <c r="BF30" s="205"/>
      <c r="BG30" s="205"/>
      <c r="BH30" s="205"/>
      <c r="BI30" s="205"/>
      <c r="BJ30" s="205"/>
      <c r="BK30" s="205"/>
      <c r="BL30" s="205"/>
    </row>
    <row r="31" spans="1:64" outlineLevel="1">
      <c r="A31" s="181" t="s">
        <v>1607</v>
      </c>
      <c r="B31" s="176" t="s">
        <v>1603</v>
      </c>
      <c r="C31" s="204">
        <f t="shared" si="14"/>
        <v>18.658875289242712</v>
      </c>
      <c r="D31" s="204">
        <f t="shared" si="14"/>
        <v>19.284348770195038</v>
      </c>
      <c r="E31" s="204">
        <f t="shared" si="14"/>
        <v>19.878688587641829</v>
      </c>
      <c r="F31" s="204">
        <f t="shared" si="14"/>
        <v>20.437815410865589</v>
      </c>
      <c r="G31" s="204">
        <f t="shared" si="14"/>
        <v>20.9578131520176</v>
      </c>
      <c r="H31" s="204">
        <f t="shared" si="14"/>
        <v>21.434974653640364</v>
      </c>
      <c r="I31" s="204">
        <f t="shared" si="14"/>
        <v>21.913020342186741</v>
      </c>
      <c r="J31" s="204">
        <f t="shared" si="14"/>
        <v>22.391517391588703</v>
      </c>
      <c r="K31" s="204">
        <f t="shared" si="14"/>
        <v>22.870021987188284</v>
      </c>
      <c r="L31" s="204">
        <f t="shared" si="14"/>
        <v>23.348079902906484</v>
      </c>
      <c r="M31" s="204">
        <f t="shared" si="14"/>
        <v>23.825227117420152</v>
      </c>
      <c r="N31" s="204">
        <f t="shared" si="14"/>
        <v>24.266220838570106</v>
      </c>
      <c r="O31" s="204">
        <f t="shared" si="14"/>
        <v>24.668615235896386</v>
      </c>
      <c r="P31" s="204">
        <f t="shared" si="14"/>
        <v>25.030137232109141</v>
      </c>
      <c r="Q31" s="204">
        <f t="shared" si="14"/>
        <v>25.348707629553562</v>
      </c>
      <c r="R31" s="204">
        <f t="shared" si="14"/>
        <v>25.622460807098786</v>
      </c>
      <c r="S31" s="204">
        <f t="shared" si="14"/>
        <v>25.896335467548312</v>
      </c>
      <c r="T31" s="204">
        <f t="shared" si="14"/>
        <v>26.170270592306274</v>
      </c>
      <c r="U31" s="204">
        <f t="shared" si="14"/>
        <v>26.444204430218903</v>
      </c>
      <c r="V31" s="204">
        <f t="shared" si="14"/>
        <v>26.71807451705595</v>
      </c>
      <c r="W31" s="204">
        <f t="shared" si="14"/>
        <v>26.991817695639106</v>
      </c>
      <c r="X31" s="204">
        <f t="shared" si="14"/>
        <v>27.265670448624988</v>
      </c>
      <c r="Y31" s="204">
        <f t="shared" si="14"/>
        <v>27.539577795731887</v>
      </c>
      <c r="Z31" s="204">
        <f t="shared" si="14"/>
        <v>27.813484135344353</v>
      </c>
      <c r="AA31" s="204">
        <f t="shared" si="14"/>
        <v>28.087333260400076</v>
      </c>
      <c r="AB31" s="204">
        <f t="shared" si="14"/>
        <v>28.36106837477131</v>
      </c>
      <c r="AC31" s="204">
        <f t="shared" si="14"/>
        <v>28.63490282873444</v>
      </c>
      <c r="AD31" s="204">
        <f t="shared" si="14"/>
        <v>28.908786821000927</v>
      </c>
      <c r="AE31" s="204">
        <f t="shared" si="14"/>
        <v>29.182670018621394</v>
      </c>
      <c r="AF31" s="204">
        <f t="shared" si="14"/>
        <v>29.456501570070813</v>
      </c>
      <c r="AG31" s="204">
        <f t="shared" si="14"/>
        <v>29.73023011871695</v>
      </c>
      <c r="AL31" s="108"/>
      <c r="AM31" s="207"/>
      <c r="AN31" s="207"/>
      <c r="AO31" s="207"/>
    </row>
    <row r="32" spans="1:64" s="1" customFormat="1" ht="16" thickBot="1">
      <c r="A32" s="200" t="s">
        <v>1608</v>
      </c>
      <c r="B32" s="219" t="s">
        <v>1603</v>
      </c>
      <c r="C32" s="216">
        <f>SUM(C27:C31)</f>
        <v>70.764479384937346</v>
      </c>
      <c r="D32" s="216">
        <f t="shared" ref="D32:AG32" si="15">SUM(D27:D31)</f>
        <v>73.13661085387929</v>
      </c>
      <c r="E32" s="216">
        <f t="shared" si="15"/>
        <v>75.390666744568932</v>
      </c>
      <c r="F32" s="216">
        <f t="shared" si="15"/>
        <v>77.511176043347206</v>
      </c>
      <c r="G32" s="216">
        <f t="shared" si="15"/>
        <v>79.483286841213982</v>
      </c>
      <c r="H32" s="216">
        <f t="shared" si="15"/>
        <v>81.292939605458415</v>
      </c>
      <c r="I32" s="216">
        <f t="shared" si="15"/>
        <v>83.105945681537463</v>
      </c>
      <c r="J32" s="216">
        <f t="shared" si="15"/>
        <v>84.920663560469848</v>
      </c>
      <c r="K32" s="216">
        <f t="shared" si="15"/>
        <v>86.735410058637726</v>
      </c>
      <c r="L32" s="216">
        <f t="shared" si="15"/>
        <v>88.548462506721251</v>
      </c>
      <c r="M32" s="216">
        <f t="shared" si="15"/>
        <v>90.358061086572363</v>
      </c>
      <c r="N32" s="216">
        <f t="shared" si="15"/>
        <v>92.030546196497212</v>
      </c>
      <c r="O32" s="216">
        <f t="shared" si="15"/>
        <v>93.556641933394388</v>
      </c>
      <c r="P32" s="216">
        <f t="shared" si="15"/>
        <v>94.927727566993539</v>
      </c>
      <c r="Q32" s="216">
        <f t="shared" si="15"/>
        <v>96.135917662760136</v>
      </c>
      <c r="R32" s="216">
        <f t="shared" si="15"/>
        <v>97.174136783080243</v>
      </c>
      <c r="S32" s="216">
        <f t="shared" si="15"/>
        <v>98.212816631838891</v>
      </c>
      <c r="T32" s="216">
        <f t="shared" si="15"/>
        <v>99.251725793738956</v>
      </c>
      <c r="U32" s="216">
        <f t="shared" si="15"/>
        <v>100.29063007523018</v>
      </c>
      <c r="V32" s="216">
        <f t="shared" si="15"/>
        <v>101.32929257839319</v>
      </c>
      <c r="W32" s="216">
        <f t="shared" si="15"/>
        <v>102.3674737772773</v>
      </c>
      <c r="X32" s="216">
        <f t="shared" si="15"/>
        <v>103.40607054116425</v>
      </c>
      <c r="Y32" s="216">
        <f t="shared" si="15"/>
        <v>104.44487435528823</v>
      </c>
      <c r="Z32" s="216">
        <f t="shared" si="15"/>
        <v>105.48367434845207</v>
      </c>
      <c r="AA32" s="216">
        <f t="shared" si="15"/>
        <v>106.52225735327879</v>
      </c>
      <c r="AB32" s="216">
        <f t="shared" si="15"/>
        <v>107.56040796833885</v>
      </c>
      <c r="AC32" s="216">
        <f t="shared" si="15"/>
        <v>108.59893533250059</v>
      </c>
      <c r="AD32" s="216">
        <f t="shared" si="15"/>
        <v>109.63765057252257</v>
      </c>
      <c r="AE32" s="216">
        <f t="shared" si="15"/>
        <v>110.67636279881994</v>
      </c>
      <c r="AF32" s="216">
        <f t="shared" si="15"/>
        <v>111.71487915509033</v>
      </c>
      <c r="AG32" s="216">
        <f t="shared" si="15"/>
        <v>112.75300486939346</v>
      </c>
      <c r="AJ32" s="162"/>
      <c r="AL32" s="221"/>
      <c r="AM32" s="124"/>
      <c r="AN32" s="124"/>
      <c r="AO32" s="124"/>
    </row>
    <row r="33" spans="1:64" ht="16" outlineLevel="1" thickTop="1">
      <c r="AL33" s="108"/>
      <c r="AM33" s="2"/>
      <c r="AN33" s="2"/>
      <c r="AO33" s="2"/>
    </row>
    <row r="34" spans="1:64" outlineLevel="1">
      <c r="A34" t="s">
        <v>1609</v>
      </c>
      <c r="B34" s="176" t="s">
        <v>1603</v>
      </c>
      <c r="C34" s="107">
        <f>C32</f>
        <v>70.764479384937346</v>
      </c>
      <c r="D34" s="107">
        <f t="shared" ref="D34:AG34" si="16">D32</f>
        <v>73.13661085387929</v>
      </c>
      <c r="E34" s="107">
        <f t="shared" si="16"/>
        <v>75.390666744568932</v>
      </c>
      <c r="F34" s="107">
        <f t="shared" si="16"/>
        <v>77.511176043347206</v>
      </c>
      <c r="G34" s="107">
        <f t="shared" si="16"/>
        <v>79.483286841213982</v>
      </c>
      <c r="H34" s="107">
        <f t="shared" si="16"/>
        <v>81.292939605458415</v>
      </c>
      <c r="I34" s="107">
        <f t="shared" si="16"/>
        <v>83.105945681537463</v>
      </c>
      <c r="J34" s="107">
        <f t="shared" si="16"/>
        <v>84.920663560469848</v>
      </c>
      <c r="K34" s="107">
        <f t="shared" si="16"/>
        <v>86.735410058637726</v>
      </c>
      <c r="L34" s="107">
        <f t="shared" si="16"/>
        <v>88.548462506721251</v>
      </c>
      <c r="M34" s="107">
        <f t="shared" si="16"/>
        <v>90.358061086572363</v>
      </c>
      <c r="N34" s="107">
        <f t="shared" si="16"/>
        <v>92.030546196497212</v>
      </c>
      <c r="O34" s="107">
        <f t="shared" si="16"/>
        <v>93.556641933394388</v>
      </c>
      <c r="P34" s="107">
        <f t="shared" si="16"/>
        <v>94.927727566993539</v>
      </c>
      <c r="Q34" s="107">
        <f t="shared" si="16"/>
        <v>96.135917662760136</v>
      </c>
      <c r="R34" s="107">
        <f t="shared" si="16"/>
        <v>97.174136783080243</v>
      </c>
      <c r="S34" s="107">
        <f t="shared" si="16"/>
        <v>98.212816631838891</v>
      </c>
      <c r="T34" s="107">
        <f t="shared" si="16"/>
        <v>99.251725793738956</v>
      </c>
      <c r="U34" s="107">
        <f t="shared" si="16"/>
        <v>100.29063007523018</v>
      </c>
      <c r="V34" s="107">
        <f t="shared" si="16"/>
        <v>101.32929257839319</v>
      </c>
      <c r="W34" s="107">
        <f t="shared" si="16"/>
        <v>102.3674737772773</v>
      </c>
      <c r="X34" s="107">
        <f t="shared" si="16"/>
        <v>103.40607054116425</v>
      </c>
      <c r="Y34" s="107">
        <f t="shared" si="16"/>
        <v>104.44487435528823</v>
      </c>
      <c r="Z34" s="107">
        <f t="shared" si="16"/>
        <v>105.48367434845207</v>
      </c>
      <c r="AA34" s="107">
        <f t="shared" si="16"/>
        <v>106.52225735327879</v>
      </c>
      <c r="AB34" s="107">
        <f t="shared" si="16"/>
        <v>107.56040796833885</v>
      </c>
      <c r="AC34" s="107">
        <f t="shared" si="16"/>
        <v>108.59893533250059</v>
      </c>
      <c r="AD34" s="107">
        <f t="shared" si="16"/>
        <v>109.63765057252257</v>
      </c>
      <c r="AE34" s="107">
        <f t="shared" si="16"/>
        <v>110.67636279881994</v>
      </c>
      <c r="AF34" s="107">
        <f t="shared" si="16"/>
        <v>111.71487915509033</v>
      </c>
      <c r="AG34" s="107">
        <f t="shared" si="16"/>
        <v>112.75300486939346</v>
      </c>
      <c r="AL34" s="108"/>
      <c r="AM34" s="2"/>
      <c r="AN34" s="2"/>
      <c r="AO34" s="2"/>
    </row>
    <row r="35" spans="1:64" outlineLevel="1">
      <c r="AL35" s="108"/>
      <c r="AM35" s="2"/>
      <c r="AN35" s="2"/>
      <c r="AO35" s="2"/>
    </row>
    <row r="36" spans="1:64" outlineLevel="1">
      <c r="A36" t="s">
        <v>1610</v>
      </c>
      <c r="B36" s="54" t="s">
        <v>462</v>
      </c>
      <c r="C36" s="205">
        <f>'Yearly BTX'!D34/'Yearly BTX'!D27</f>
        <v>1</v>
      </c>
      <c r="D36" s="205">
        <f>'Yearly BTX'!E34/'Yearly BTX'!E27</f>
        <v>1</v>
      </c>
      <c r="E36" s="205">
        <f>'Yearly BTX'!F34/'Yearly BTX'!F27</f>
        <v>1</v>
      </c>
      <c r="F36" s="205">
        <f>'Yearly BTX'!G34/'Yearly BTX'!G27</f>
        <v>1</v>
      </c>
      <c r="G36" s="205">
        <f>'Yearly BTX'!H34/'Yearly BTX'!H27</f>
        <v>1</v>
      </c>
      <c r="H36" s="205">
        <f>'Yearly BTX'!I34/'Yearly BTX'!I27</f>
        <v>1</v>
      </c>
      <c r="I36" s="205">
        <f>'Yearly BTX'!J34/'Yearly BTX'!J27</f>
        <v>1</v>
      </c>
      <c r="J36" s="205">
        <f>'Yearly BTX'!K34/'Yearly BTX'!K27</f>
        <v>1</v>
      </c>
      <c r="K36" s="205">
        <f>'Yearly BTX'!L34/'Yearly BTX'!L27</f>
        <v>1</v>
      </c>
      <c r="L36" s="205">
        <f>'Yearly BTX'!M34/'Yearly BTX'!M27</f>
        <v>1</v>
      </c>
      <c r="M36" s="205">
        <f>'Yearly BTX'!N34/'Yearly BTX'!N27</f>
        <v>1</v>
      </c>
      <c r="N36" s="205">
        <f>'Yearly BTX'!O34/'Yearly BTX'!O27</f>
        <v>1</v>
      </c>
      <c r="O36" s="205">
        <f>'Yearly BTX'!P34/'Yearly BTX'!P27</f>
        <v>1</v>
      </c>
      <c r="P36" s="205">
        <f>'Yearly BTX'!Q34/'Yearly BTX'!Q27</f>
        <v>1</v>
      </c>
      <c r="Q36" s="205">
        <f>'Yearly BTX'!R34/'Yearly BTX'!R27</f>
        <v>1</v>
      </c>
      <c r="R36" s="205">
        <f>'Yearly BTX'!S34/'Yearly BTX'!S27</f>
        <v>1</v>
      </c>
      <c r="S36" s="205">
        <f>'Yearly BTX'!T34/'Yearly BTX'!T27</f>
        <v>1</v>
      </c>
      <c r="T36" s="205">
        <f>'Yearly BTX'!U34/'Yearly BTX'!U27</f>
        <v>1</v>
      </c>
      <c r="U36" s="205">
        <f>'Yearly BTX'!V34/'Yearly BTX'!V27</f>
        <v>1</v>
      </c>
      <c r="V36" s="205">
        <f>'Yearly BTX'!W34/'Yearly BTX'!W27</f>
        <v>1</v>
      </c>
      <c r="W36" s="205">
        <f>'Yearly BTX'!X34/'Yearly BTX'!X27</f>
        <v>1</v>
      </c>
      <c r="X36" s="205">
        <f>'Yearly BTX'!Y34/'Yearly BTX'!Y27</f>
        <v>1</v>
      </c>
      <c r="Y36" s="205">
        <f>'Yearly BTX'!Z34/'Yearly BTX'!Z27</f>
        <v>1</v>
      </c>
      <c r="Z36" s="205">
        <f>'Yearly BTX'!AA34/'Yearly BTX'!AA27</f>
        <v>1</v>
      </c>
      <c r="AA36" s="205">
        <f>'Yearly BTX'!AB34/'Yearly BTX'!AB27</f>
        <v>1</v>
      </c>
      <c r="AB36" s="205">
        <f>'Yearly BTX'!AC34/'Yearly BTX'!AC27</f>
        <v>1</v>
      </c>
      <c r="AC36" s="205">
        <f>'Yearly BTX'!AD34/'Yearly BTX'!AD27</f>
        <v>1</v>
      </c>
      <c r="AD36" s="205">
        <f>'Yearly BTX'!AE34/'Yearly BTX'!AE27</f>
        <v>1</v>
      </c>
      <c r="AE36" s="205">
        <f>'Yearly BTX'!AF34/'Yearly BTX'!AF27</f>
        <v>1</v>
      </c>
      <c r="AF36" s="205">
        <f>'Yearly BTX'!AG34/'Yearly BTX'!AG27</f>
        <v>1</v>
      </c>
      <c r="AG36" s="205">
        <f>'Yearly BTX'!AH34/'Yearly BTX'!AH27</f>
        <v>1</v>
      </c>
      <c r="AL36" s="108"/>
      <c r="AM36" s="207"/>
      <c r="AN36" s="207"/>
      <c r="AO36" s="207"/>
      <c r="BC36" s="1"/>
      <c r="BD36" s="578"/>
      <c r="BE36" s="578"/>
      <c r="BF36" s="578"/>
      <c r="BG36" s="578"/>
      <c r="BH36" s="578"/>
      <c r="BI36" s="578"/>
      <c r="BJ36" s="578"/>
      <c r="BK36" s="578"/>
    </row>
    <row r="37" spans="1:64" outlineLevel="1">
      <c r="A37" t="s">
        <v>1611</v>
      </c>
      <c r="B37" s="54" t="s">
        <v>462</v>
      </c>
      <c r="C37" s="205">
        <f>'Yearly BTX'!D23/'Yearly BTX'!D16</f>
        <v>1</v>
      </c>
      <c r="D37" s="205">
        <f>'Yearly BTX'!E23/'Yearly BTX'!E16</f>
        <v>1.002</v>
      </c>
      <c r="E37" s="205">
        <f>'Yearly BTX'!F23/'Yearly BTX'!F16</f>
        <v>1.004</v>
      </c>
      <c r="F37" s="205">
        <f>'Yearly BTX'!G23/'Yearly BTX'!G16</f>
        <v>1.006</v>
      </c>
      <c r="G37" s="205">
        <f>'Yearly BTX'!H23/'Yearly BTX'!H16</f>
        <v>1.008</v>
      </c>
      <c r="H37" s="205">
        <f>'Yearly BTX'!I23/'Yearly BTX'!I16</f>
        <v>1.01</v>
      </c>
      <c r="I37" s="205">
        <f>'Yearly BTX'!J23/'Yearly BTX'!J16</f>
        <v>1.012</v>
      </c>
      <c r="J37" s="205">
        <f>'Yearly BTX'!K23/'Yearly BTX'!K16</f>
        <v>1.014</v>
      </c>
      <c r="K37" s="205">
        <f>'Yearly BTX'!L23/'Yearly BTX'!L16</f>
        <v>1.016</v>
      </c>
      <c r="L37" s="205">
        <f>'Yearly BTX'!M23/'Yearly BTX'!M16</f>
        <v>1.018</v>
      </c>
      <c r="M37" s="205">
        <f>'Yearly BTX'!N23/'Yearly BTX'!N16</f>
        <v>1.02</v>
      </c>
      <c r="N37" s="205">
        <f>'Yearly BTX'!O23/'Yearly BTX'!O16</f>
        <v>1.0250000000000001</v>
      </c>
      <c r="O37" s="205">
        <f>'Yearly BTX'!P23/'Yearly BTX'!P16</f>
        <v>1.0299999999999998</v>
      </c>
      <c r="P37" s="205">
        <f>'Yearly BTX'!Q23/'Yearly BTX'!Q16</f>
        <v>1.0349999999999999</v>
      </c>
      <c r="Q37" s="205">
        <f>'Yearly BTX'!R23/'Yearly BTX'!R16</f>
        <v>1.04</v>
      </c>
      <c r="R37" s="205">
        <f>'Yearly BTX'!S23/'Yearly BTX'!S16</f>
        <v>1.0449999999999999</v>
      </c>
      <c r="S37" s="205">
        <f>'Yearly BTX'!T23/'Yearly BTX'!T16</f>
        <v>1.05</v>
      </c>
      <c r="T37" s="205">
        <f>'Yearly BTX'!U23/'Yearly BTX'!U16</f>
        <v>1.0549999999999999</v>
      </c>
      <c r="U37" s="205">
        <f>'Yearly BTX'!V23/'Yearly BTX'!V16</f>
        <v>1.06</v>
      </c>
      <c r="V37" s="205">
        <f>'Yearly BTX'!W23/'Yearly BTX'!W16</f>
        <v>1.0649999999999999</v>
      </c>
      <c r="W37" s="205">
        <f>'Yearly BTX'!X23/'Yearly BTX'!X16</f>
        <v>1.07</v>
      </c>
      <c r="X37" s="205">
        <f>'Yearly BTX'!Y23/'Yearly BTX'!Y16</f>
        <v>1.073</v>
      </c>
      <c r="Y37" s="205">
        <f>'Yearly BTX'!Z23/'Yearly BTX'!Z16</f>
        <v>1.0760000000000001</v>
      </c>
      <c r="Z37" s="205">
        <f>'Yearly BTX'!AA23/'Yearly BTX'!AA16</f>
        <v>1.079</v>
      </c>
      <c r="AA37" s="205">
        <f>'Yearly BTX'!AB23/'Yearly BTX'!AB16</f>
        <v>1.0819999999999999</v>
      </c>
      <c r="AB37" s="205">
        <f>'Yearly BTX'!AC23/'Yearly BTX'!AC16</f>
        <v>1.085</v>
      </c>
      <c r="AC37" s="205">
        <f>'Yearly BTX'!AD23/'Yearly BTX'!AD16</f>
        <v>1.0880000000000001</v>
      </c>
      <c r="AD37" s="205">
        <f>'Yearly BTX'!AE23/'Yearly BTX'!AE16</f>
        <v>1.091</v>
      </c>
      <c r="AE37" s="205">
        <f>'Yearly BTX'!AF23/'Yearly BTX'!AF16</f>
        <v>1.0940000000000001</v>
      </c>
      <c r="AF37" s="205">
        <f>'Yearly BTX'!AG23/'Yearly BTX'!AG16</f>
        <v>1.097</v>
      </c>
      <c r="AG37" s="205">
        <f>'Yearly BTX'!AH23/'Yearly BTX'!AH16</f>
        <v>1.1000000000000001</v>
      </c>
      <c r="AL37" s="108"/>
      <c r="AM37" s="207"/>
      <c r="AN37" s="207"/>
      <c r="AO37" s="207"/>
      <c r="BL37" s="1"/>
    </row>
    <row r="38" spans="1:64" outlineLevel="1">
      <c r="A38" t="s">
        <v>1612</v>
      </c>
      <c r="B38" s="54" t="s">
        <v>462</v>
      </c>
      <c r="C38" s="205">
        <f>'Yearly BTX'!D41/'Yearly BTX'!D38</f>
        <v>1</v>
      </c>
      <c r="D38" s="205">
        <f>'Yearly BTX'!E41/'Yearly BTX'!E38</f>
        <v>1</v>
      </c>
      <c r="E38" s="205">
        <f>'Yearly BTX'!F41/'Yearly BTX'!F38</f>
        <v>1</v>
      </c>
      <c r="F38" s="205">
        <f>'Yearly BTX'!G41/'Yearly BTX'!G38</f>
        <v>1</v>
      </c>
      <c r="G38" s="205">
        <f>'Yearly BTX'!H41/'Yearly BTX'!H38</f>
        <v>1</v>
      </c>
      <c r="H38" s="205">
        <f>'Yearly BTX'!I41/'Yearly BTX'!I38</f>
        <v>1</v>
      </c>
      <c r="I38" s="205">
        <f>'Yearly BTX'!J41/'Yearly BTX'!J38</f>
        <v>1</v>
      </c>
      <c r="J38" s="205">
        <f>'Yearly BTX'!K41/'Yearly BTX'!K38</f>
        <v>1</v>
      </c>
      <c r="K38" s="205">
        <f>'Yearly BTX'!L41/'Yearly BTX'!L38</f>
        <v>1</v>
      </c>
      <c r="L38" s="205">
        <f>'Yearly BTX'!M41/'Yearly BTX'!M38</f>
        <v>1</v>
      </c>
      <c r="M38" s="205">
        <f>'Yearly BTX'!N41/'Yearly BTX'!N38</f>
        <v>1</v>
      </c>
      <c r="N38" s="205">
        <f>'Yearly BTX'!O41/'Yearly BTX'!O38</f>
        <v>1</v>
      </c>
      <c r="O38" s="205">
        <f>'Yearly BTX'!P41/'Yearly BTX'!P38</f>
        <v>1</v>
      </c>
      <c r="P38" s="205">
        <f>'Yearly BTX'!Q41/'Yearly BTX'!Q38</f>
        <v>1</v>
      </c>
      <c r="Q38" s="205">
        <f>'Yearly BTX'!R41/'Yearly BTX'!R38</f>
        <v>1</v>
      </c>
      <c r="R38" s="205">
        <f>'Yearly BTX'!S41/'Yearly BTX'!S38</f>
        <v>1</v>
      </c>
      <c r="S38" s="205">
        <f>'Yearly BTX'!T41/'Yearly BTX'!T38</f>
        <v>1</v>
      </c>
      <c r="T38" s="205">
        <f>'Yearly BTX'!U41/'Yearly BTX'!U38</f>
        <v>1</v>
      </c>
      <c r="U38" s="205">
        <f>'Yearly BTX'!V41/'Yearly BTX'!V38</f>
        <v>1</v>
      </c>
      <c r="V38" s="205">
        <f>'Yearly BTX'!W41/'Yearly BTX'!W38</f>
        <v>1</v>
      </c>
      <c r="W38" s="205">
        <f>'Yearly BTX'!X41/'Yearly BTX'!X38</f>
        <v>1</v>
      </c>
      <c r="X38" s="205">
        <f>'Yearly BTX'!Y41/'Yearly BTX'!Y38</f>
        <v>1</v>
      </c>
      <c r="Y38" s="205">
        <f>'Yearly BTX'!Z41/'Yearly BTX'!Z38</f>
        <v>1</v>
      </c>
      <c r="Z38" s="205">
        <f>'Yearly BTX'!AA41/'Yearly BTX'!AA38</f>
        <v>1</v>
      </c>
      <c r="AA38" s="205">
        <f>'Yearly BTX'!AB41/'Yearly BTX'!AB38</f>
        <v>1</v>
      </c>
      <c r="AB38" s="205">
        <f>'Yearly BTX'!AC41/'Yearly BTX'!AC38</f>
        <v>1</v>
      </c>
      <c r="AC38" s="205">
        <f>'Yearly BTX'!AD41/'Yearly BTX'!AD38</f>
        <v>1</v>
      </c>
      <c r="AD38" s="205">
        <f>'Yearly BTX'!AE41/'Yearly BTX'!AE38</f>
        <v>1</v>
      </c>
      <c r="AE38" s="205">
        <f>'Yearly BTX'!AF41/'Yearly BTX'!AF38</f>
        <v>1</v>
      </c>
      <c r="AF38" s="205">
        <f>'Yearly BTX'!AG41/'Yearly BTX'!AG38</f>
        <v>1</v>
      </c>
      <c r="AG38" s="205">
        <f>'Yearly BTX'!AH41/'Yearly BTX'!AH38</f>
        <v>1</v>
      </c>
      <c r="AL38" s="108"/>
      <c r="AM38" s="207"/>
      <c r="AN38" s="207"/>
      <c r="AO38" s="207"/>
      <c r="BD38" s="41"/>
      <c r="BE38" s="41"/>
      <c r="BF38" s="41"/>
      <c r="BG38" s="41"/>
      <c r="BH38" s="41"/>
      <c r="BI38" s="41"/>
      <c r="BJ38" s="41"/>
      <c r="BK38" s="41"/>
      <c r="BL38" s="118"/>
    </row>
    <row r="39" spans="1:64" outlineLevel="1">
      <c r="A39" t="s">
        <v>1613</v>
      </c>
      <c r="B39" s="54" t="s">
        <v>462</v>
      </c>
      <c r="C39" s="205">
        <f>'Yearly BTX'!D50/'Yearly BTX'!D45</f>
        <v>1</v>
      </c>
      <c r="D39" s="205">
        <f>'Yearly BTX'!E50/'Yearly BTX'!E45</f>
        <v>1</v>
      </c>
      <c r="E39" s="205">
        <f>'Yearly BTX'!F50/'Yearly BTX'!F45</f>
        <v>1</v>
      </c>
      <c r="F39" s="205">
        <f>'Yearly BTX'!G50/'Yearly BTX'!G45</f>
        <v>1</v>
      </c>
      <c r="G39" s="205">
        <f>'Yearly BTX'!H50/'Yearly BTX'!H45</f>
        <v>1</v>
      </c>
      <c r="H39" s="205">
        <f>'Yearly BTX'!I50/'Yearly BTX'!I45</f>
        <v>1</v>
      </c>
      <c r="I39" s="205">
        <f>'Yearly BTX'!J50/'Yearly BTX'!J45</f>
        <v>1</v>
      </c>
      <c r="J39" s="205">
        <f>'Yearly BTX'!K50/'Yearly BTX'!K45</f>
        <v>1</v>
      </c>
      <c r="K39" s="205">
        <f>'Yearly BTX'!L50/'Yearly BTX'!L45</f>
        <v>1</v>
      </c>
      <c r="L39" s="205">
        <f>'Yearly BTX'!M50/'Yearly BTX'!M45</f>
        <v>1</v>
      </c>
      <c r="M39" s="205">
        <f>'Yearly BTX'!N50/'Yearly BTX'!N45</f>
        <v>1</v>
      </c>
      <c r="N39" s="205">
        <f>'Yearly BTX'!O50/'Yearly BTX'!O45</f>
        <v>1</v>
      </c>
      <c r="O39" s="205">
        <f>'Yearly BTX'!P50/'Yearly BTX'!P45</f>
        <v>1</v>
      </c>
      <c r="P39" s="205">
        <f>'Yearly BTX'!Q50/'Yearly BTX'!Q45</f>
        <v>1</v>
      </c>
      <c r="Q39" s="205">
        <f>'Yearly BTX'!R50/'Yearly BTX'!R45</f>
        <v>1</v>
      </c>
      <c r="R39" s="205">
        <f>'Yearly BTX'!S50/'Yearly BTX'!S45</f>
        <v>1</v>
      </c>
      <c r="S39" s="205">
        <f>'Yearly BTX'!T50/'Yearly BTX'!T45</f>
        <v>1</v>
      </c>
      <c r="T39" s="205">
        <f>'Yearly BTX'!U50/'Yearly BTX'!U45</f>
        <v>1</v>
      </c>
      <c r="U39" s="205">
        <f>'Yearly BTX'!V50/'Yearly BTX'!V45</f>
        <v>1</v>
      </c>
      <c r="V39" s="205">
        <f>'Yearly BTX'!W50/'Yearly BTX'!W45</f>
        <v>1</v>
      </c>
      <c r="W39" s="205">
        <f>'Yearly BTX'!X50/'Yearly BTX'!X45</f>
        <v>1</v>
      </c>
      <c r="X39" s="205">
        <f>'Yearly BTX'!Y50/'Yearly BTX'!Y45</f>
        <v>1</v>
      </c>
      <c r="Y39" s="205">
        <f>'Yearly BTX'!Z50/'Yearly BTX'!Z45</f>
        <v>1</v>
      </c>
      <c r="Z39" s="205">
        <f>'Yearly BTX'!AA50/'Yearly BTX'!AA45</f>
        <v>1</v>
      </c>
      <c r="AA39" s="205">
        <f>'Yearly BTX'!AB50/'Yearly BTX'!AB45</f>
        <v>1</v>
      </c>
      <c r="AB39" s="205">
        <f>'Yearly BTX'!AC50/'Yearly BTX'!AC45</f>
        <v>1</v>
      </c>
      <c r="AC39" s="205">
        <f>'Yearly BTX'!AD50/'Yearly BTX'!AD45</f>
        <v>1</v>
      </c>
      <c r="AD39" s="205">
        <f>'Yearly BTX'!AE50/'Yearly BTX'!AE45</f>
        <v>1</v>
      </c>
      <c r="AE39" s="205">
        <f>'Yearly BTX'!AF50/'Yearly BTX'!AF45</f>
        <v>1</v>
      </c>
      <c r="AF39" s="205">
        <f>'Yearly BTX'!AG50/'Yearly BTX'!AG45</f>
        <v>1</v>
      </c>
      <c r="AG39" s="205">
        <f>'Yearly BTX'!AH50/'Yearly BTX'!AH45</f>
        <v>1</v>
      </c>
      <c r="AL39" s="108"/>
      <c r="AM39" s="207"/>
      <c r="AN39" s="207"/>
      <c r="AO39" s="207"/>
      <c r="BD39" s="41"/>
      <c r="BE39" s="41"/>
      <c r="BF39" s="41"/>
      <c r="BG39" s="41"/>
      <c r="BH39" s="41"/>
      <c r="BI39" s="41"/>
      <c r="BJ39" s="41"/>
      <c r="BK39" s="41"/>
      <c r="BL39" s="118"/>
    </row>
    <row r="40" spans="1:64" outlineLevel="1">
      <c r="A40" t="s">
        <v>1614</v>
      </c>
      <c r="B40" s="176" t="s">
        <v>462</v>
      </c>
      <c r="C40" s="159">
        <f>'Yearly BTX'!D57/'Yearly BTX'!D54</f>
        <v>1</v>
      </c>
      <c r="D40" s="159">
        <f>'Yearly BTX'!E57/'Yearly BTX'!E54</f>
        <v>1</v>
      </c>
      <c r="E40" s="159">
        <f>'Yearly BTX'!F57/'Yearly BTX'!F54</f>
        <v>1</v>
      </c>
      <c r="F40" s="159">
        <f>'Yearly BTX'!G57/'Yearly BTX'!G54</f>
        <v>1</v>
      </c>
      <c r="G40" s="159">
        <f>'Yearly BTX'!H57/'Yearly BTX'!H54</f>
        <v>1</v>
      </c>
      <c r="H40" s="159">
        <f>'Yearly BTX'!I57/'Yearly BTX'!I54</f>
        <v>1</v>
      </c>
      <c r="I40" s="159">
        <f>'Yearly BTX'!J57/'Yearly BTX'!J54</f>
        <v>1</v>
      </c>
      <c r="J40" s="159">
        <f>'Yearly BTX'!K57/'Yearly BTX'!K54</f>
        <v>1</v>
      </c>
      <c r="K40" s="159">
        <f>'Yearly BTX'!L57/'Yearly BTX'!L54</f>
        <v>1</v>
      </c>
      <c r="L40" s="159">
        <f>'Yearly BTX'!M57/'Yearly BTX'!M54</f>
        <v>1</v>
      </c>
      <c r="M40" s="159">
        <f>'Yearly BTX'!N57/'Yearly BTX'!N54</f>
        <v>1</v>
      </c>
      <c r="N40" s="159">
        <f>'Yearly BTX'!O57/'Yearly BTX'!O54</f>
        <v>1</v>
      </c>
      <c r="O40" s="159">
        <f>'Yearly BTX'!P57/'Yearly BTX'!P54</f>
        <v>1</v>
      </c>
      <c r="P40" s="159">
        <f>'Yearly BTX'!Q57/'Yearly BTX'!Q54</f>
        <v>1</v>
      </c>
      <c r="Q40" s="159">
        <f>'Yearly BTX'!R57/'Yearly BTX'!R54</f>
        <v>1</v>
      </c>
      <c r="R40" s="159">
        <f>'Yearly BTX'!S57/'Yearly BTX'!S54</f>
        <v>1</v>
      </c>
      <c r="S40" s="159">
        <f>'Yearly BTX'!T57/'Yearly BTX'!T54</f>
        <v>1</v>
      </c>
      <c r="T40" s="159">
        <f>'Yearly BTX'!U57/'Yearly BTX'!U54</f>
        <v>1</v>
      </c>
      <c r="U40" s="159">
        <f>'Yearly BTX'!V57/'Yearly BTX'!V54</f>
        <v>1</v>
      </c>
      <c r="V40" s="159">
        <f>'Yearly BTX'!W57/'Yearly BTX'!W54</f>
        <v>1</v>
      </c>
      <c r="W40" s="159">
        <f>'Yearly BTX'!X57/'Yearly BTX'!X54</f>
        <v>1</v>
      </c>
      <c r="X40" s="159">
        <f>'Yearly BTX'!Y57/'Yearly BTX'!Y54</f>
        <v>1</v>
      </c>
      <c r="Y40" s="159">
        <f>'Yearly BTX'!Z57/'Yearly BTX'!Z54</f>
        <v>1</v>
      </c>
      <c r="Z40" s="159">
        <f>'Yearly BTX'!AA57/'Yearly BTX'!AA54</f>
        <v>1</v>
      </c>
      <c r="AA40" s="159">
        <f>'Yearly BTX'!AB57/'Yearly BTX'!AB54</f>
        <v>1</v>
      </c>
      <c r="AB40" s="159">
        <f>'Yearly BTX'!AC57/'Yearly BTX'!AC54</f>
        <v>1</v>
      </c>
      <c r="AC40" s="159">
        <f>'Yearly BTX'!AD57/'Yearly BTX'!AD54</f>
        <v>1</v>
      </c>
      <c r="AD40" s="159">
        <f>'Yearly BTX'!AE57/'Yearly BTX'!AE54</f>
        <v>1</v>
      </c>
      <c r="AE40" s="159">
        <f>'Yearly BTX'!AF57/'Yearly BTX'!AF54</f>
        <v>1</v>
      </c>
      <c r="AF40" s="159">
        <f>'Yearly BTX'!AG57/'Yearly BTX'!AG54</f>
        <v>1</v>
      </c>
      <c r="AG40" s="159">
        <f>'Yearly BTX'!AH57/'Yearly BTX'!AH54</f>
        <v>1</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1615</v>
      </c>
      <c r="B42" s="54" t="s">
        <v>1603</v>
      </c>
      <c r="C42" s="107">
        <f>C27*C36</f>
        <v>31.34132906881517</v>
      </c>
      <c r="D42" s="107">
        <f t="shared" ref="D42:AF42" si="17">D27*D36</f>
        <v>32.391937419343449</v>
      </c>
      <c r="E42" s="107">
        <f t="shared" si="17"/>
        <v>33.390250528174754</v>
      </c>
      <c r="F42" s="107">
        <f t="shared" si="17"/>
        <v>34.329416339951194</v>
      </c>
      <c r="G42" s="107">
        <f t="shared" si="17"/>
        <v>35.202856998503727</v>
      </c>
      <c r="H42" s="107">
        <f t="shared" si="17"/>
        <v>36.00434558822333</v>
      </c>
      <c r="I42" s="107">
        <f t="shared" si="17"/>
        <v>36.807319347488345</v>
      </c>
      <c r="J42" s="107">
        <f t="shared" si="17"/>
        <v>37.611051257975468</v>
      </c>
      <c r="K42" s="107">
        <f t="shared" si="17"/>
        <v>38.414795843817302</v>
      </c>
      <c r="L42" s="107">
        <f t="shared" si="17"/>
        <v>39.217790141073472</v>
      </c>
      <c r="M42" s="107">
        <f t="shared" si="17"/>
        <v>40.019254732723482</v>
      </c>
      <c r="N42" s="107">
        <f t="shared" si="17"/>
        <v>40.759992270093193</v>
      </c>
      <c r="O42" s="107">
        <f t="shared" si="17"/>
        <v>41.435894489629504</v>
      </c>
      <c r="P42" s="107">
        <f t="shared" si="17"/>
        <v>42.043143301429602</v>
      </c>
      <c r="Q42" s="107">
        <f t="shared" si="17"/>
        <v>42.57824627538244</v>
      </c>
      <c r="R42" s="107">
        <f t="shared" si="17"/>
        <v>43.038069726050175</v>
      </c>
      <c r="S42" s="107">
        <f t="shared" si="17"/>
        <v>43.498097231658051</v>
      </c>
      <c r="T42" s="107">
        <f t="shared" si="17"/>
        <v>43.958226299217436</v>
      </c>
      <c r="U42" s="107">
        <f t="shared" si="17"/>
        <v>44.41835320526161</v>
      </c>
      <c r="V42" s="107">
        <f t="shared" si="17"/>
        <v>44.87837302856861</v>
      </c>
      <c r="W42" s="107">
        <f t="shared" si="17"/>
        <v>45.33817968397107</v>
      </c>
      <c r="X42" s="107">
        <f t="shared" si="17"/>
        <v>45.798170391593182</v>
      </c>
      <c r="Y42" s="107">
        <f t="shared" si="17"/>
        <v>46.258252801007892</v>
      </c>
      <c r="Z42" s="107">
        <f t="shared" si="17"/>
        <v>46.718333518133335</v>
      </c>
      <c r="AA42" s="107">
        <f t="shared" si="17"/>
        <v>47.178318131918004</v>
      </c>
      <c r="AB42" s="107">
        <f t="shared" si="17"/>
        <v>47.638111241856656</v>
      </c>
      <c r="AC42" s="107">
        <f t="shared" si="17"/>
        <v>48.09807121259432</v>
      </c>
      <c r="AD42" s="107">
        <f t="shared" si="17"/>
        <v>48.55811439286326</v>
      </c>
      <c r="AE42" s="107">
        <f t="shared" si="17"/>
        <v>49.01815623836459</v>
      </c>
      <c r="AF42" s="107">
        <f t="shared" si="17"/>
        <v>49.478111333747449</v>
      </c>
      <c r="AG42" s="107">
        <f>AG27*AG36</f>
        <v>49.937893415231954</v>
      </c>
      <c r="AI42" s="210" t="s">
        <v>1301</v>
      </c>
      <c r="AJ42" s="211" t="s">
        <v>1302</v>
      </c>
      <c r="BD42" s="41"/>
      <c r="BE42" s="41"/>
      <c r="BF42" s="41"/>
      <c r="BG42" s="41"/>
      <c r="BH42" s="41"/>
      <c r="BI42" s="41"/>
      <c r="BJ42" s="41"/>
      <c r="BK42" s="41"/>
      <c r="BL42" s="118"/>
    </row>
    <row r="43" spans="1:64" outlineLevel="1">
      <c r="A43" t="s">
        <v>1616</v>
      </c>
      <c r="B43" s="54" t="s">
        <v>1603</v>
      </c>
      <c r="C43" s="107">
        <f t="shared" ref="C43:O43" si="18">C28*$C$37</f>
        <v>2.6229670403228216</v>
      </c>
      <c r="D43" s="107">
        <f t="shared" si="18"/>
        <v>2.7108928289731047</v>
      </c>
      <c r="E43" s="107">
        <f t="shared" si="18"/>
        <v>2.7944420101401595</v>
      </c>
      <c r="F43" s="107">
        <f t="shared" si="18"/>
        <v>2.8730411328601577</v>
      </c>
      <c r="G43" s="107">
        <f t="shared" si="18"/>
        <v>2.9461396939974613</v>
      </c>
      <c r="H43" s="107">
        <f t="shared" si="18"/>
        <v>3.0132165607574328</v>
      </c>
      <c r="I43" s="107">
        <f t="shared" si="18"/>
        <v>3.0804177218878936</v>
      </c>
      <c r="J43" s="107">
        <f t="shared" si="18"/>
        <v>3.1476823329653176</v>
      </c>
      <c r="K43" s="107">
        <f t="shared" si="18"/>
        <v>3.2149480048477113</v>
      </c>
      <c r="L43" s="107">
        <f t="shared" si="18"/>
        <v>3.2821508848099983</v>
      </c>
      <c r="M43" s="107">
        <f t="shared" si="18"/>
        <v>3.349225743162942</v>
      </c>
      <c r="N43" s="107">
        <f t="shared" si="18"/>
        <v>3.4112183326215639</v>
      </c>
      <c r="O43" s="107">
        <f t="shared" si="18"/>
        <v>3.4677848311396122</v>
      </c>
      <c r="P43" s="107">
        <f t="shared" ref="P43:AG43" si="19">D37*P28</f>
        <v>3.5256429128102322</v>
      </c>
      <c r="Q43" s="107">
        <f t="shared" si="19"/>
        <v>3.5776422153425713</v>
      </c>
      <c r="R43" s="107">
        <f t="shared" si="19"/>
        <v>3.623482678460054</v>
      </c>
      <c r="S43" s="107">
        <f t="shared" si="19"/>
        <v>3.6694942867841607</v>
      </c>
      <c r="T43" s="107">
        <f t="shared" si="19"/>
        <v>3.7156684793278503</v>
      </c>
      <c r="U43" s="107">
        <f t="shared" si="19"/>
        <v>3.7619965222677756</v>
      </c>
      <c r="V43" s="107">
        <f t="shared" si="19"/>
        <v>3.8084695106914315</v>
      </c>
      <c r="W43" s="107">
        <f t="shared" si="19"/>
        <v>3.8550783704695695</v>
      </c>
      <c r="X43" s="107">
        <f t="shared" si="19"/>
        <v>3.9018568364387733</v>
      </c>
      <c r="Y43" s="107">
        <f t="shared" si="19"/>
        <v>3.9487971176023424</v>
      </c>
      <c r="Z43" s="107">
        <f t="shared" si="19"/>
        <v>4.0076208939962115</v>
      </c>
      <c r="AA43" s="107">
        <f t="shared" si="19"/>
        <v>4.0668214293772609</v>
      </c>
      <c r="AB43" s="107">
        <f t="shared" si="19"/>
        <v>4.1263903395556589</v>
      </c>
      <c r="AC43" s="107">
        <f t="shared" si="19"/>
        <v>4.1863585754579615</v>
      </c>
      <c r="AD43" s="107">
        <f t="shared" si="19"/>
        <v>4.2467190307130442</v>
      </c>
      <c r="AE43" s="107">
        <f t="shared" si="19"/>
        <v>4.307464380458697</v>
      </c>
      <c r="AF43" s="107">
        <f t="shared" si="19"/>
        <v>4.3685870814137742</v>
      </c>
      <c r="AG43" s="107">
        <f t="shared" si="19"/>
        <v>4.4300793720626617</v>
      </c>
      <c r="AI43" s="210" t="s">
        <v>1304</v>
      </c>
      <c r="AJ43" s="211" t="s">
        <v>1302</v>
      </c>
      <c r="BD43" s="41"/>
      <c r="BE43" s="41"/>
      <c r="BF43" s="41"/>
      <c r="BG43" s="41"/>
      <c r="BH43" s="41"/>
      <c r="BI43" s="41"/>
      <c r="BJ43" s="41"/>
      <c r="BK43" s="41"/>
      <c r="BL43" s="118"/>
    </row>
    <row r="44" spans="1:64" outlineLevel="1">
      <c r="A44" t="s">
        <v>1617</v>
      </c>
      <c r="B44" s="54" t="s">
        <v>1603</v>
      </c>
      <c r="C44" s="107">
        <f t="shared" ref="C44:AG44" si="20">C29</f>
        <v>1.1926002393003741</v>
      </c>
      <c r="D44" s="107">
        <f t="shared" si="20"/>
        <v>1.2325779877710892</v>
      </c>
      <c r="E44" s="107">
        <f t="shared" si="20"/>
        <v>1.2705657977288216</v>
      </c>
      <c r="F44" s="107">
        <f t="shared" si="20"/>
        <v>1.3063029347662478</v>
      </c>
      <c r="G44" s="107">
        <f t="shared" si="20"/>
        <v>1.3395390983034507</v>
      </c>
      <c r="H44" s="107">
        <f t="shared" si="20"/>
        <v>1.3700373417505416</v>
      </c>
      <c r="I44" s="107">
        <f t="shared" si="20"/>
        <v>1.4005920988684912</v>
      </c>
      <c r="J44" s="107">
        <f t="shared" si="20"/>
        <v>1.4311757051563951</v>
      </c>
      <c r="K44" s="107">
        <f t="shared" si="20"/>
        <v>1.4617597937668911</v>
      </c>
      <c r="L44" s="107">
        <f t="shared" si="20"/>
        <v>1.4923153323964706</v>
      </c>
      <c r="M44" s="107">
        <f t="shared" si="20"/>
        <v>1.5228126626690286</v>
      </c>
      <c r="N44" s="107">
        <f t="shared" si="20"/>
        <v>1.5509992071000649</v>
      </c>
      <c r="O44" s="107">
        <f t="shared" si="20"/>
        <v>1.5767186380467479</v>
      </c>
      <c r="P44" s="107">
        <f t="shared" si="20"/>
        <v>1.5998256695538531</v>
      </c>
      <c r="Q44" s="107">
        <f t="shared" si="20"/>
        <v>1.6201874076724028</v>
      </c>
      <c r="R44" s="107">
        <f t="shared" si="20"/>
        <v>1.6376846094055579</v>
      </c>
      <c r="S44" s="107">
        <f t="shared" si="20"/>
        <v>1.6551895758372015</v>
      </c>
      <c r="T44" s="107">
        <f t="shared" si="20"/>
        <v>1.6726984069041777</v>
      </c>
      <c r="U44" s="107">
        <f t="shared" si="20"/>
        <v>1.6902071557211769</v>
      </c>
      <c r="V44" s="107">
        <f t="shared" si="20"/>
        <v>1.7077118298259113</v>
      </c>
      <c r="W44" s="107">
        <f t="shared" si="20"/>
        <v>1.7252083924656403</v>
      </c>
      <c r="X44" s="107">
        <f t="shared" si="20"/>
        <v>1.7427119586603461</v>
      </c>
      <c r="Y44" s="107">
        <f t="shared" si="20"/>
        <v>1.7602190142916225</v>
      </c>
      <c r="Z44" s="107">
        <f t="shared" si="20"/>
        <v>1.777726005527908</v>
      </c>
      <c r="AA44" s="107">
        <f t="shared" si="20"/>
        <v>1.7952293398399146</v>
      </c>
      <c r="AB44" s="107">
        <f t="shared" si="20"/>
        <v>1.8127253870476614</v>
      </c>
      <c r="AC44" s="107">
        <f t="shared" si="20"/>
        <v>1.8302277836424548</v>
      </c>
      <c r="AD44" s="107">
        <f t="shared" si="20"/>
        <v>1.847733346526294</v>
      </c>
      <c r="AE44" s="107">
        <f t="shared" si="20"/>
        <v>1.865238858619557</v>
      </c>
      <c r="AF44" s="107">
        <f t="shared" si="20"/>
        <v>1.8827410696973514</v>
      </c>
      <c r="AG44" s="107">
        <f t="shared" si="20"/>
        <v>1.9002366972503657</v>
      </c>
      <c r="AI44" s="210" t="s">
        <v>1306</v>
      </c>
      <c r="AJ44" s="211" t="s">
        <v>1302</v>
      </c>
      <c r="BD44" s="41"/>
      <c r="BE44" s="41"/>
      <c r="BF44" s="41"/>
      <c r="BG44" s="41"/>
      <c r="BH44" s="41"/>
      <c r="BI44" s="41"/>
      <c r="BJ44" s="41"/>
      <c r="BK44" s="41"/>
      <c r="BL44" s="118"/>
    </row>
    <row r="45" spans="1:64" outlineLevel="1">
      <c r="A45" t="s">
        <v>1618</v>
      </c>
      <c r="B45" s="54" t="s">
        <v>1603</v>
      </c>
      <c r="C45" s="262">
        <f t="shared" ref="C45:H45" si="21">C30*$C$39</f>
        <v>16.948707747256268</v>
      </c>
      <c r="D45" s="262">
        <f t="shared" si="21"/>
        <v>17.516853847596614</v>
      </c>
      <c r="E45" s="262">
        <f t="shared" si="21"/>
        <v>18.056719820883373</v>
      </c>
      <c r="F45" s="262">
        <f t="shared" si="21"/>
        <v>18.564600224904016</v>
      </c>
      <c r="G45" s="262">
        <f t="shared" si="21"/>
        <v>19.036937898391756</v>
      </c>
      <c r="H45" s="262">
        <f t="shared" si="21"/>
        <v>19.470365461086743</v>
      </c>
      <c r="I45" s="262">
        <f t="shared" ref="I45:AG46" si="22">I30*D39</f>
        <v>19.904596171105986</v>
      </c>
      <c r="J45" s="262">
        <f t="shared" si="22"/>
        <v>20.339236872783964</v>
      </c>
      <c r="K45" s="262">
        <f t="shared" si="22"/>
        <v>20.773884429017539</v>
      </c>
      <c r="L45" s="262">
        <f t="shared" si="22"/>
        <v>21.208126245534821</v>
      </c>
      <c r="M45" s="262">
        <f t="shared" si="22"/>
        <v>21.64154083059676</v>
      </c>
      <c r="N45" s="262">
        <f t="shared" si="22"/>
        <v>22.042115548112278</v>
      </c>
      <c r="O45" s="262">
        <f t="shared" si="22"/>
        <v>22.407628738682146</v>
      </c>
      <c r="P45" s="262">
        <f t="shared" si="22"/>
        <v>22.736015662493529</v>
      </c>
      <c r="Q45" s="262">
        <f t="shared" si="22"/>
        <v>23.025387689451964</v>
      </c>
      <c r="R45" s="262">
        <f t="shared" si="22"/>
        <v>23.274050190764228</v>
      </c>
      <c r="S45" s="262">
        <f t="shared" si="22"/>
        <v>23.522823040541201</v>
      </c>
      <c r="T45" s="262">
        <f t="shared" si="22"/>
        <v>23.77165081280825</v>
      </c>
      <c r="U45" s="262">
        <f t="shared" si="22"/>
        <v>24.020477416174966</v>
      </c>
      <c r="V45" s="262">
        <f t="shared" si="22"/>
        <v>24.26924611153105</v>
      </c>
      <c r="W45" s="262">
        <f t="shared" si="22"/>
        <v>24.517899530329867</v>
      </c>
      <c r="X45" s="262">
        <f t="shared" si="22"/>
        <v>24.766652480558069</v>
      </c>
      <c r="Y45" s="262">
        <f t="shared" si="22"/>
        <v>25.015455021117283</v>
      </c>
      <c r="Z45" s="262">
        <f t="shared" si="22"/>
        <v>25.264256646523332</v>
      </c>
      <c r="AA45" s="262">
        <f t="shared" si="22"/>
        <v>25.51300630133705</v>
      </c>
      <c r="AB45" s="262">
        <f t="shared" si="22"/>
        <v>25.761652395044237</v>
      </c>
      <c r="AC45" s="262">
        <f t="shared" si="22"/>
        <v>26.010388723435174</v>
      </c>
      <c r="AD45" s="262">
        <f t="shared" si="22"/>
        <v>26.25917004972726</v>
      </c>
      <c r="AE45" s="262">
        <f t="shared" si="22"/>
        <v>26.507950654206116</v>
      </c>
      <c r="AF45" s="262">
        <f t="shared" si="22"/>
        <v>26.75668434611142</v>
      </c>
      <c r="AG45" s="262">
        <f t="shared" si="22"/>
        <v>27.005324475870943</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1619</v>
      </c>
      <c r="B46" s="176" t="s">
        <v>1603</v>
      </c>
      <c r="C46" s="107">
        <f t="shared" ref="C46:H46" si="23">C31*$C$40</f>
        <v>18.658875289242712</v>
      </c>
      <c r="D46" s="107">
        <f t="shared" si="23"/>
        <v>19.284348770195038</v>
      </c>
      <c r="E46" s="107">
        <f t="shared" si="23"/>
        <v>19.878688587641829</v>
      </c>
      <c r="F46" s="107">
        <f t="shared" si="23"/>
        <v>20.437815410865589</v>
      </c>
      <c r="G46" s="107">
        <f t="shared" si="23"/>
        <v>20.9578131520176</v>
      </c>
      <c r="H46" s="107">
        <f t="shared" si="23"/>
        <v>21.434974653640364</v>
      </c>
      <c r="I46" s="107">
        <f t="shared" si="22"/>
        <v>21.913020342186741</v>
      </c>
      <c r="J46" s="107">
        <f t="shared" si="22"/>
        <v>22.391517391588703</v>
      </c>
      <c r="K46" s="107">
        <f t="shared" si="22"/>
        <v>22.870021987188284</v>
      </c>
      <c r="L46" s="107">
        <f t="shared" si="22"/>
        <v>23.348079902906484</v>
      </c>
      <c r="M46" s="107">
        <f t="shared" si="22"/>
        <v>23.825227117420152</v>
      </c>
      <c r="N46" s="107">
        <f t="shared" si="22"/>
        <v>24.266220838570106</v>
      </c>
      <c r="O46" s="107">
        <f t="shared" si="22"/>
        <v>24.668615235896386</v>
      </c>
      <c r="P46" s="107">
        <f t="shared" si="22"/>
        <v>25.030137232109141</v>
      </c>
      <c r="Q46" s="107">
        <f t="shared" si="22"/>
        <v>25.348707629553562</v>
      </c>
      <c r="R46" s="107">
        <f t="shared" si="22"/>
        <v>25.622460807098786</v>
      </c>
      <c r="S46" s="107">
        <f t="shared" si="22"/>
        <v>25.896335467548312</v>
      </c>
      <c r="T46" s="107">
        <f t="shared" si="22"/>
        <v>26.170270592306274</v>
      </c>
      <c r="U46" s="107">
        <f t="shared" si="22"/>
        <v>26.444204430218903</v>
      </c>
      <c r="V46" s="107">
        <f t="shared" si="22"/>
        <v>26.71807451705595</v>
      </c>
      <c r="W46" s="107">
        <f t="shared" si="22"/>
        <v>26.991817695639106</v>
      </c>
      <c r="X46" s="107">
        <f t="shared" si="22"/>
        <v>27.265670448624988</v>
      </c>
      <c r="Y46" s="107">
        <f t="shared" si="22"/>
        <v>27.539577795731887</v>
      </c>
      <c r="Z46" s="107">
        <f t="shared" si="22"/>
        <v>27.813484135344353</v>
      </c>
      <c r="AA46" s="107">
        <f t="shared" si="22"/>
        <v>28.087333260400076</v>
      </c>
      <c r="AB46" s="107">
        <f t="shared" si="22"/>
        <v>28.36106837477131</v>
      </c>
      <c r="AC46" s="107">
        <f t="shared" si="22"/>
        <v>28.63490282873444</v>
      </c>
      <c r="AD46" s="107">
        <f t="shared" si="22"/>
        <v>28.908786821000927</v>
      </c>
      <c r="AE46" s="107">
        <f t="shared" si="22"/>
        <v>29.182670018621394</v>
      </c>
      <c r="AF46" s="107">
        <f t="shared" si="22"/>
        <v>29.456501570070813</v>
      </c>
      <c r="AG46" s="107">
        <f t="shared" si="22"/>
        <v>29.73023011871695</v>
      </c>
      <c r="AI46" s="210" t="s">
        <v>1308</v>
      </c>
      <c r="AJ46" s="211" t="s">
        <v>1302</v>
      </c>
      <c r="AL46" s="108"/>
      <c r="AM46" s="2"/>
      <c r="AN46" s="2"/>
      <c r="AO46" s="2"/>
    </row>
    <row r="47" spans="1:64" s="1" customFormat="1" ht="16" thickBot="1">
      <c r="A47" s="200" t="s">
        <v>1620</v>
      </c>
      <c r="B47" s="215" t="s">
        <v>1603</v>
      </c>
      <c r="C47" s="216">
        <f>SUM(C42:C46)</f>
        <v>70.764479384937346</v>
      </c>
      <c r="D47" s="216">
        <f t="shared" ref="D47:AF47" si="24">SUM(D42:D46)</f>
        <v>73.13661085387929</v>
      </c>
      <c r="E47" s="216">
        <f t="shared" si="24"/>
        <v>75.390666744568932</v>
      </c>
      <c r="F47" s="216">
        <f t="shared" si="24"/>
        <v>77.511176043347206</v>
      </c>
      <c r="G47" s="216">
        <f t="shared" si="24"/>
        <v>79.483286841213982</v>
      </c>
      <c r="H47" s="216">
        <f t="shared" si="24"/>
        <v>81.292939605458415</v>
      </c>
      <c r="I47" s="216">
        <f t="shared" si="24"/>
        <v>83.105945681537463</v>
      </c>
      <c r="J47" s="216">
        <f t="shared" si="24"/>
        <v>84.920663560469848</v>
      </c>
      <c r="K47" s="216">
        <f t="shared" si="24"/>
        <v>86.735410058637726</v>
      </c>
      <c r="L47" s="216">
        <f t="shared" si="24"/>
        <v>88.548462506721251</v>
      </c>
      <c r="M47" s="216">
        <f t="shared" si="24"/>
        <v>90.358061086572363</v>
      </c>
      <c r="N47" s="216">
        <f t="shared" si="24"/>
        <v>92.030546196497212</v>
      </c>
      <c r="O47" s="216">
        <f t="shared" si="24"/>
        <v>93.556641933394388</v>
      </c>
      <c r="P47" s="216">
        <f t="shared" si="24"/>
        <v>94.934764778396357</v>
      </c>
      <c r="Q47" s="216">
        <f t="shared" si="24"/>
        <v>96.150171217402942</v>
      </c>
      <c r="R47" s="216">
        <f t="shared" si="24"/>
        <v>97.195748011778804</v>
      </c>
      <c r="S47" s="216">
        <f t="shared" si="24"/>
        <v>98.241939602368916</v>
      </c>
      <c r="T47" s="216">
        <f t="shared" si="24"/>
        <v>99.288514590563977</v>
      </c>
      <c r="U47" s="216">
        <f t="shared" si="24"/>
        <v>100.33523872964443</v>
      </c>
      <c r="V47" s="216">
        <f t="shared" si="24"/>
        <v>101.38187499767295</v>
      </c>
      <c r="W47" s="216">
        <f t="shared" si="24"/>
        <v>102.42818367287526</v>
      </c>
      <c r="X47" s="216">
        <f t="shared" si="24"/>
        <v>103.47506211587536</v>
      </c>
      <c r="Y47" s="216">
        <f t="shared" si="24"/>
        <v>104.52230174975102</v>
      </c>
      <c r="Z47" s="216">
        <f t="shared" si="24"/>
        <v>105.58142119952514</v>
      </c>
      <c r="AA47" s="216">
        <f t="shared" si="24"/>
        <v>106.64070846287231</v>
      </c>
      <c r="AB47" s="216">
        <f t="shared" si="24"/>
        <v>107.69994773827553</v>
      </c>
      <c r="AC47" s="216">
        <f t="shared" si="24"/>
        <v>108.75994912386435</v>
      </c>
      <c r="AD47" s="216">
        <f t="shared" si="24"/>
        <v>109.82052364083079</v>
      </c>
      <c r="AE47" s="216">
        <f t="shared" si="24"/>
        <v>110.88148015027035</v>
      </c>
      <c r="AF47" s="216">
        <f t="shared" si="24"/>
        <v>111.94262540104081</v>
      </c>
      <c r="AG47" s="216">
        <f>SUM(AG42:AG46)</f>
        <v>113.00376407913288</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1621</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1622</v>
      </c>
      <c r="B64" s="54" t="s">
        <v>462</v>
      </c>
      <c r="C64" s="110">
        <f>C50*C$63</f>
        <v>5.5011312115891796E-2</v>
      </c>
      <c r="D64" s="110">
        <f t="shared" ref="D64:AG65" si="31">D50*D$63</f>
        <v>5.8638871048450551E-2</v>
      </c>
      <c r="E64" s="110">
        <f t="shared" si="31"/>
        <v>6.225139991183079E-2</v>
      </c>
      <c r="F64" s="110">
        <f t="shared" si="31"/>
        <v>6.5848898706032499E-2</v>
      </c>
      <c r="G64" s="110">
        <f t="shared" si="31"/>
        <v>6.9431367431055713E-2</v>
      </c>
      <c r="H64" s="110">
        <f t="shared" si="31"/>
        <v>7.2998806086900403E-2</v>
      </c>
      <c r="I64" s="110">
        <f t="shared" si="31"/>
        <v>7.6551214673566584E-2</v>
      </c>
      <c r="J64" s="110">
        <f t="shared" si="31"/>
        <v>8.0088593191054228E-2</v>
      </c>
      <c r="K64" s="110">
        <f t="shared" si="31"/>
        <v>8.3610941639363362E-2</v>
      </c>
      <c r="L64" s="110">
        <f t="shared" si="31"/>
        <v>8.7118260018493987E-2</v>
      </c>
      <c r="M64" s="110">
        <f t="shared" si="31"/>
        <v>9.0610548328446089E-2</v>
      </c>
      <c r="N64" s="110">
        <f t="shared" si="31"/>
        <v>9.7407206071053479E-2</v>
      </c>
      <c r="O64" s="110">
        <f t="shared" si="31"/>
        <v>0.1041752127442893</v>
      </c>
      <c r="P64" s="110">
        <f t="shared" si="31"/>
        <v>0.11091456834815358</v>
      </c>
      <c r="Q64" s="110">
        <f t="shared" si="31"/>
        <v>0.11762527288264632</v>
      </c>
      <c r="R64" s="110">
        <f t="shared" si="31"/>
        <v>0.12430732634776752</v>
      </c>
      <c r="S64" s="110">
        <f t="shared" si="31"/>
        <v>0.13096072874351716</v>
      </c>
      <c r="T64" s="110">
        <f t="shared" si="31"/>
        <v>0.13758548006989524</v>
      </c>
      <c r="U64" s="110">
        <f t="shared" si="31"/>
        <v>0.14418158032690181</v>
      </c>
      <c r="V64" s="110">
        <f t="shared" si="31"/>
        <v>0.15074902951453681</v>
      </c>
      <c r="W64" s="110">
        <f t="shared" si="31"/>
        <v>0.15728782763280028</v>
      </c>
      <c r="X64" s="110">
        <f t="shared" si="31"/>
        <v>0.1690786673214705</v>
      </c>
      <c r="Y64" s="110">
        <f t="shared" si="31"/>
        <v>0.18081873296315321</v>
      </c>
      <c r="Z64" s="110">
        <f t="shared" si="31"/>
        <v>0.19250802455784835</v>
      </c>
      <c r="AA64" s="110">
        <f t="shared" si="31"/>
        <v>0.20414654210555599</v>
      </c>
      <c r="AB64" s="110">
        <f t="shared" si="31"/>
        <v>0.21573428560627603</v>
      </c>
      <c r="AC64" s="110">
        <f t="shared" si="31"/>
        <v>0.22727125506000853</v>
      </c>
      <c r="AD64" s="110">
        <f t="shared" si="31"/>
        <v>0.23875745046675351</v>
      </c>
      <c r="AE64" s="110">
        <f t="shared" si="31"/>
        <v>0.2501928718265109</v>
      </c>
      <c r="AF64" s="110">
        <f t="shared" si="31"/>
        <v>0.26157751913928073</v>
      </c>
      <c r="AG64" s="110">
        <f t="shared" si="31"/>
        <v>0.27291139240506335</v>
      </c>
      <c r="AI64" s="133"/>
      <c r="AJ64" s="211"/>
      <c r="AL64" s="108"/>
      <c r="AM64" s="2"/>
      <c r="AN64" s="2"/>
      <c r="AO64" s="2"/>
      <c r="AV64" s="41"/>
    </row>
    <row r="65" spans="1:63" outlineLevel="1">
      <c r="A65" t="s">
        <v>1623</v>
      </c>
      <c r="B65" s="54" t="s">
        <v>462</v>
      </c>
      <c r="C65" s="110">
        <f>C51*C$63</f>
        <v>0.11119307768105788</v>
      </c>
      <c r="D65" s="110">
        <f t="shared" si="31"/>
        <v>0.11482472159487428</v>
      </c>
      <c r="E65" s="110">
        <f t="shared" si="31"/>
        <v>0.11844086574985033</v>
      </c>
      <c r="F65" s="110">
        <f t="shared" si="31"/>
        <v>0.12204151014598603</v>
      </c>
      <c r="G65" s="110">
        <f t="shared" si="31"/>
        <v>0.12562665478328142</v>
      </c>
      <c r="H65" s="110">
        <f t="shared" si="31"/>
        <v>0.12919629966173643</v>
      </c>
      <c r="I65" s="110">
        <f t="shared" si="31"/>
        <v>0.13275044478135109</v>
      </c>
      <c r="J65" s="110">
        <f t="shared" si="31"/>
        <v>0.13628909014212542</v>
      </c>
      <c r="K65" s="110">
        <f t="shared" si="31"/>
        <v>0.1398122357440594</v>
      </c>
      <c r="L65" s="110">
        <f t="shared" si="31"/>
        <v>0.14331988158715303</v>
      </c>
      <c r="M65" s="110">
        <f t="shared" si="31"/>
        <v>0.14681202767140633</v>
      </c>
      <c r="N65" s="110">
        <f t="shared" si="31"/>
        <v>0.15521054222367625</v>
      </c>
      <c r="O65" s="110">
        <f t="shared" si="31"/>
        <v>0.16357336036164721</v>
      </c>
      <c r="P65" s="110">
        <f t="shared" si="31"/>
        <v>0.17190048208531919</v>
      </c>
      <c r="Q65" s="110">
        <f t="shared" si="31"/>
        <v>0.18019190739469221</v>
      </c>
      <c r="R65" s="110">
        <f t="shared" si="31"/>
        <v>0.18844763628976624</v>
      </c>
      <c r="S65" s="110">
        <f t="shared" si="31"/>
        <v>0.19666766877054129</v>
      </c>
      <c r="T65" s="110">
        <f t="shared" si="31"/>
        <v>0.2048520048370174</v>
      </c>
      <c r="U65" s="110">
        <f t="shared" si="31"/>
        <v>0.21300064448919451</v>
      </c>
      <c r="V65" s="110">
        <f t="shared" si="31"/>
        <v>0.22111358772707262</v>
      </c>
      <c r="W65" s="110">
        <f t="shared" si="31"/>
        <v>0.22919083455065178</v>
      </c>
      <c r="X65" s="110">
        <f t="shared" si="31"/>
        <v>0.24229151131688703</v>
      </c>
      <c r="Y65" s="110">
        <f t="shared" si="31"/>
        <v>0.2553352969228333</v>
      </c>
      <c r="Z65" s="110">
        <f t="shared" si="31"/>
        <v>0.26832219136849056</v>
      </c>
      <c r="AA65" s="110">
        <f t="shared" si="31"/>
        <v>0.28125219465385876</v>
      </c>
      <c r="AB65" s="110">
        <f t="shared" si="31"/>
        <v>0.29412530677893806</v>
      </c>
      <c r="AC65" s="110">
        <f t="shared" si="31"/>
        <v>0.30694152774372835</v>
      </c>
      <c r="AD65" s="110">
        <f t="shared" si="31"/>
        <v>0.31970085754822963</v>
      </c>
      <c r="AE65" s="110">
        <f t="shared" si="31"/>
        <v>0.33240329619244191</v>
      </c>
      <c r="AF65" s="110">
        <f t="shared" si="31"/>
        <v>0.34504884367636518</v>
      </c>
      <c r="AG65" s="110">
        <f t="shared" si="31"/>
        <v>0.35763749999999994</v>
      </c>
      <c r="AH65" s="245"/>
      <c r="AI65" s="133"/>
      <c r="AJ65" s="211"/>
      <c r="AL65" s="108"/>
      <c r="AM65" s="2"/>
      <c r="AN65" s="2"/>
      <c r="AO65" s="2"/>
      <c r="AV65" s="41"/>
    </row>
    <row r="66" spans="1:63" outlineLevel="1">
      <c r="A66" t="s">
        <v>1624</v>
      </c>
      <c r="B66" s="176" t="s">
        <v>462</v>
      </c>
      <c r="C66" s="110">
        <f>SUM(C64:C65)</f>
        <v>0.16620438979694968</v>
      </c>
      <c r="D66" s="110">
        <f t="shared" ref="D66:AG66" si="32">SUM(D64:D65)</f>
        <v>0.17346359264332484</v>
      </c>
      <c r="E66" s="110">
        <f t="shared" si="32"/>
        <v>0.18069226566168112</v>
      </c>
      <c r="F66" s="110">
        <f t="shared" si="32"/>
        <v>0.18789040885201852</v>
      </c>
      <c r="G66" s="110">
        <f t="shared" si="32"/>
        <v>0.19505802221433713</v>
      </c>
      <c r="H66" s="110">
        <f t="shared" si="32"/>
        <v>0.20219510574863683</v>
      </c>
      <c r="I66" s="110">
        <f t="shared" si="32"/>
        <v>0.20930165945491769</v>
      </c>
      <c r="J66" s="110">
        <f t="shared" si="32"/>
        <v>0.21637768333317964</v>
      </c>
      <c r="K66" s="110">
        <f t="shared" si="32"/>
        <v>0.22342317738342277</v>
      </c>
      <c r="L66" s="110">
        <f t="shared" si="32"/>
        <v>0.23043814160564702</v>
      </c>
      <c r="M66" s="110">
        <f t="shared" si="32"/>
        <v>0.23742257599985242</v>
      </c>
      <c r="N66" s="110">
        <f t="shared" si="32"/>
        <v>0.25261774829472972</v>
      </c>
      <c r="O66" s="110">
        <f t="shared" si="32"/>
        <v>0.26774857310593653</v>
      </c>
      <c r="P66" s="110">
        <f t="shared" si="32"/>
        <v>0.28281505043347277</v>
      </c>
      <c r="Q66" s="110">
        <f t="shared" si="32"/>
        <v>0.2978171802773385</v>
      </c>
      <c r="R66" s="110">
        <f t="shared" si="32"/>
        <v>0.31275496263753377</v>
      </c>
      <c r="S66" s="110">
        <f t="shared" si="32"/>
        <v>0.32762839751405848</v>
      </c>
      <c r="T66" s="110">
        <f t="shared" si="32"/>
        <v>0.34243748490691261</v>
      </c>
      <c r="U66" s="110">
        <f t="shared" si="32"/>
        <v>0.35718222481609629</v>
      </c>
      <c r="V66" s="110">
        <f t="shared" si="32"/>
        <v>0.37186261724160941</v>
      </c>
      <c r="W66" s="110">
        <f t="shared" si="32"/>
        <v>0.38647866218345206</v>
      </c>
      <c r="X66" s="110">
        <f t="shared" si="32"/>
        <v>0.41137017863835756</v>
      </c>
      <c r="Y66" s="110">
        <f t="shared" si="32"/>
        <v>0.43615402988598651</v>
      </c>
      <c r="Z66" s="110">
        <f t="shared" si="32"/>
        <v>0.46083021592633888</v>
      </c>
      <c r="AA66" s="110">
        <f t="shared" si="32"/>
        <v>0.48539873675941475</v>
      </c>
      <c r="AB66" s="110">
        <f t="shared" si="32"/>
        <v>0.50985959238521406</v>
      </c>
      <c r="AC66" s="110">
        <f t="shared" si="32"/>
        <v>0.53421278280373685</v>
      </c>
      <c r="AD66" s="110">
        <f t="shared" si="32"/>
        <v>0.5584583080149832</v>
      </c>
      <c r="AE66" s="110">
        <f t="shared" si="32"/>
        <v>0.58259616801895286</v>
      </c>
      <c r="AF66" s="110">
        <f t="shared" si="32"/>
        <v>0.60662636281564586</v>
      </c>
      <c r="AG66" s="110">
        <f t="shared" si="32"/>
        <v>0.63054889240506329</v>
      </c>
      <c r="AI66" s="133"/>
      <c r="AJ66" s="211"/>
      <c r="AL66" s="108"/>
      <c r="AM66" s="2"/>
      <c r="AN66" s="2"/>
      <c r="AO66" s="2"/>
    </row>
    <row r="67" spans="1:63" outlineLevel="1">
      <c r="A67" t="s">
        <v>1625</v>
      </c>
      <c r="B67" s="54" t="s">
        <v>462</v>
      </c>
      <c r="C67" s="110">
        <f>C$63*C58</f>
        <v>1.2787131671500866E-2</v>
      </c>
      <c r="D67" s="110">
        <f t="shared" ref="D67:AG70" si="33">D$63*D58</f>
        <v>1.2955983952077187E-2</v>
      </c>
      <c r="E67" s="110">
        <f t="shared" si="33"/>
        <v>1.3107383969124829E-2</v>
      </c>
      <c r="F67" s="110">
        <f t="shared" si="33"/>
        <v>1.3241432470068964E-2</v>
      </c>
      <c r="G67" s="110">
        <f t="shared" si="33"/>
        <v>1.3358230202334757E-2</v>
      </c>
      <c r="H67" s="110">
        <f t="shared" si="33"/>
        <v>1.3457877913347377E-2</v>
      </c>
      <c r="I67" s="110">
        <f t="shared" si="33"/>
        <v>1.3540476350531992E-2</v>
      </c>
      <c r="J67" s="110">
        <f t="shared" si="33"/>
        <v>1.3606126261313772E-2</v>
      </c>
      <c r="K67" s="110">
        <f t="shared" si="33"/>
        <v>1.3654928393117889E-2</v>
      </c>
      <c r="L67" s="110">
        <f t="shared" si="33"/>
        <v>1.3686983493369506E-2</v>
      </c>
      <c r="M67" s="110">
        <f t="shared" si="33"/>
        <v>1.3702392309493792E-2</v>
      </c>
      <c r="N67" s="110">
        <f t="shared" si="33"/>
        <v>1.4149963883145458E-2</v>
      </c>
      <c r="O67" s="110">
        <f t="shared" si="33"/>
        <v>1.455796529065039E-2</v>
      </c>
      <c r="P67" s="110">
        <f t="shared" si="33"/>
        <v>1.4926628556381711E-2</v>
      </c>
      <c r="Q67" s="110">
        <f t="shared" si="33"/>
        <v>1.525618570471253E-2</v>
      </c>
      <c r="R67" s="110">
        <f t="shared" si="33"/>
        <v>1.5546868760015965E-2</v>
      </c>
      <c r="S67" s="110">
        <f t="shared" si="33"/>
        <v>1.5798909746665132E-2</v>
      </c>
      <c r="T67" s="110">
        <f t="shared" si="33"/>
        <v>1.6012540689033149E-2</v>
      </c>
      <c r="U67" s="110">
        <f t="shared" si="33"/>
        <v>1.6187993611493125E-2</v>
      </c>
      <c r="V67" s="110">
        <f t="shared" si="33"/>
        <v>1.6325500538418181E-2</v>
      </c>
      <c r="W67" s="110">
        <f t="shared" si="33"/>
        <v>1.6425293494181432E-2</v>
      </c>
      <c r="X67" s="110">
        <f t="shared" si="33"/>
        <v>1.6839212798621449E-2</v>
      </c>
      <c r="Y67" s="110">
        <f t="shared" si="33"/>
        <v>1.7192532409729473E-2</v>
      </c>
      <c r="Z67" s="110">
        <f t="shared" si="33"/>
        <v>1.7485622116350148E-2</v>
      </c>
      <c r="AA67" s="110">
        <f t="shared" si="33"/>
        <v>1.7718851707328127E-2</v>
      </c>
      <c r="AB67" s="110">
        <f t="shared" si="33"/>
        <v>1.7892590971508068E-2</v>
      </c>
      <c r="AC67" s="110">
        <f t="shared" si="33"/>
        <v>1.8007209697734616E-2</v>
      </c>
      <c r="AD67" s="110">
        <f t="shared" si="33"/>
        <v>1.8063077674852431E-2</v>
      </c>
      <c r="AE67" s="110">
        <f t="shared" si="33"/>
        <v>1.8060564691706169E-2</v>
      </c>
      <c r="AF67" s="110">
        <f t="shared" si="33"/>
        <v>1.8000040537140473E-2</v>
      </c>
      <c r="AG67" s="110">
        <f t="shared" si="33"/>
        <v>1.7881874999999998E-2</v>
      </c>
      <c r="AI67" s="133"/>
      <c r="AJ67" s="211"/>
      <c r="AL67" s="108"/>
      <c r="AM67" s="2"/>
      <c r="AN67" s="2"/>
      <c r="AO67" s="2"/>
    </row>
    <row r="68" spans="1:63" outlineLevel="1">
      <c r="A68" t="s">
        <v>1626</v>
      </c>
      <c r="B68" s="54" t="s">
        <v>462</v>
      </c>
      <c r="C68" s="110">
        <f t="shared" ref="C68:R70" si="34">C$63*C59</f>
        <v>1.5335340141513009E-2</v>
      </c>
      <c r="D68" s="110">
        <f t="shared" si="34"/>
        <v>1.5836203107560017E-2</v>
      </c>
      <c r="E68" s="110">
        <f t="shared" si="34"/>
        <v>1.6334928403898753E-2</v>
      </c>
      <c r="F68" s="110">
        <f t="shared" si="34"/>
        <v>1.6831516030529219E-2</v>
      </c>
      <c r="G68" s="110">
        <f t="shared" si="34"/>
        <v>1.7325965987451421E-2</v>
      </c>
      <c r="H68" s="110">
        <f t="shared" si="34"/>
        <v>1.7818278274665349E-2</v>
      </c>
      <c r="I68" s="110">
        <f t="shared" si="34"/>
        <v>1.8308452892171007E-2</v>
      </c>
      <c r="J68" s="110">
        <f t="shared" si="34"/>
        <v>1.8796489839968393E-2</v>
      </c>
      <c r="K68" s="110">
        <f t="shared" si="34"/>
        <v>1.9282389118057516E-2</v>
      </c>
      <c r="L68" s="110">
        <f t="shared" si="34"/>
        <v>1.9766150726438361E-2</v>
      </c>
      <c r="M68" s="110">
        <f t="shared" si="34"/>
        <v>2.0247774665110938E-2</v>
      </c>
      <c r="N68" s="110">
        <f t="shared" si="34"/>
        <v>2.1406066890027442E-2</v>
      </c>
      <c r="O68" s="110">
        <f t="shared" si="34"/>
        <v>2.2559435996827928E-2</v>
      </c>
      <c r="P68" s="110">
        <f t="shared" si="34"/>
        <v>2.3707881985512404E-2</v>
      </c>
      <c r="Q68" s="110">
        <f t="shared" si="34"/>
        <v>2.485140485608086E-2</v>
      </c>
      <c r="R68" s="110">
        <f t="shared" si="34"/>
        <v>2.5990004608533301E-2</v>
      </c>
      <c r="S68" s="110">
        <f t="shared" si="33"/>
        <v>2.7123681242869728E-2</v>
      </c>
      <c r="T68" s="110">
        <f t="shared" si="33"/>
        <v>2.8252434759090141E-2</v>
      </c>
      <c r="U68" s="110">
        <f t="shared" si="33"/>
        <v>2.9376265157194537E-2</v>
      </c>
      <c r="V68" s="110">
        <f t="shared" si="33"/>
        <v>3.0495172437182916E-2</v>
      </c>
      <c r="W68" s="110">
        <f t="shared" si="33"/>
        <v>3.1609156599055277E-2</v>
      </c>
      <c r="X68" s="110">
        <f t="shared" si="33"/>
        <v>3.3415953735028953E-2</v>
      </c>
      <c r="Y68" s="110">
        <f t="shared" si="33"/>
        <v>3.5214904651505237E-2</v>
      </c>
      <c r="Z68" s="110">
        <f t="shared" si="33"/>
        <v>3.7006009348484109E-2</v>
      </c>
      <c r="AA68" s="110">
        <f t="shared" si="33"/>
        <v>3.8789267825965583E-2</v>
      </c>
      <c r="AB68" s="110">
        <f t="shared" si="33"/>
        <v>4.0564680083949679E-2</v>
      </c>
      <c r="AC68" s="110">
        <f t="shared" si="33"/>
        <v>4.233224612243635E-2</v>
      </c>
      <c r="AD68" s="110">
        <f t="shared" si="33"/>
        <v>4.4091965941425629E-2</v>
      </c>
      <c r="AE68" s="110">
        <f t="shared" si="33"/>
        <v>4.5843839540917503E-2</v>
      </c>
      <c r="AF68" s="110">
        <f t="shared" si="33"/>
        <v>4.7587866920911978E-2</v>
      </c>
      <c r="AG68" s="110">
        <f t="shared" si="33"/>
        <v>4.9324048081409118E-2</v>
      </c>
      <c r="AI68" s="133"/>
      <c r="AJ68" s="211"/>
      <c r="AL68" s="108"/>
      <c r="AM68" s="2"/>
      <c r="AN68" s="2"/>
      <c r="AO68" s="2"/>
      <c r="BC68" s="1"/>
      <c r="BD68" s="2"/>
      <c r="BE68" s="2"/>
      <c r="BF68" s="2"/>
      <c r="BG68" s="2"/>
      <c r="BH68" s="2"/>
      <c r="BI68" s="2"/>
      <c r="BJ68" s="2"/>
      <c r="BK68" s="2"/>
    </row>
    <row r="69" spans="1:63" outlineLevel="1">
      <c r="A69" t="s">
        <v>1627</v>
      </c>
      <c r="C69" s="110">
        <f t="shared" si="34"/>
        <v>1.2070088032108959E-2</v>
      </c>
      <c r="D69" s="110">
        <f t="shared" si="33"/>
        <v>1.2464305573840911E-2</v>
      </c>
      <c r="E69" s="110">
        <f t="shared" si="33"/>
        <v>1.2856840605675835E-2</v>
      </c>
      <c r="F69" s="110">
        <f t="shared" si="33"/>
        <v>1.324769312761373E-2</v>
      </c>
      <c r="G69" s="110">
        <f t="shared" si="33"/>
        <v>1.3636863139654598E-2</v>
      </c>
      <c r="H69" s="110">
        <f t="shared" si="33"/>
        <v>1.4024350641798435E-2</v>
      </c>
      <c r="I69" s="110">
        <f t="shared" si="33"/>
        <v>1.4410155634045246E-2</v>
      </c>
      <c r="J69" s="110">
        <f t="shared" si="33"/>
        <v>1.4794278116395028E-2</v>
      </c>
      <c r="K69" s="110">
        <f t="shared" si="33"/>
        <v>1.5176718088847784E-2</v>
      </c>
      <c r="L69" s="110">
        <f t="shared" si="33"/>
        <v>1.5557475551403509E-2</v>
      </c>
      <c r="M69" s="110">
        <f t="shared" si="33"/>
        <v>1.5936550504062206E-2</v>
      </c>
      <c r="N69" s="110">
        <f t="shared" si="33"/>
        <v>1.6848215259629224E-2</v>
      </c>
      <c r="O69" s="110">
        <f t="shared" si="33"/>
        <v>1.775600514391824E-2</v>
      </c>
      <c r="P69" s="110">
        <f t="shared" si="33"/>
        <v>1.8659920156929247E-2</v>
      </c>
      <c r="Q69" s="110">
        <f t="shared" si="33"/>
        <v>1.9559960298662256E-2</v>
      </c>
      <c r="R69" s="110">
        <f t="shared" si="33"/>
        <v>2.0456125569117255E-2</v>
      </c>
      <c r="S69" s="110">
        <f t="shared" si="33"/>
        <v>2.1348415968294253E-2</v>
      </c>
      <c r="T69" s="110">
        <f t="shared" si="33"/>
        <v>2.2236831496193248E-2</v>
      </c>
      <c r="U69" s="110">
        <f t="shared" si="33"/>
        <v>2.3121372152814231E-2</v>
      </c>
      <c r="V69" s="110">
        <f t="shared" si="33"/>
        <v>2.4002037938157219E-2</v>
      </c>
      <c r="W69" s="110">
        <f t="shared" si="33"/>
        <v>2.4878828852222194E-2</v>
      </c>
      <c r="X69" s="110">
        <f t="shared" si="33"/>
        <v>2.6300916675910533E-2</v>
      </c>
      <c r="Y69" s="110">
        <f t="shared" si="33"/>
        <v>2.7716828923499554E-2</v>
      </c>
      <c r="Z69" s="110">
        <f t="shared" si="33"/>
        <v>2.9126565594989249E-2</v>
      </c>
      <c r="AA69" s="110">
        <f t="shared" si="33"/>
        <v>3.0530126690379623E-2</v>
      </c>
      <c r="AB69" s="110">
        <f t="shared" si="33"/>
        <v>3.1927512209670689E-2</v>
      </c>
      <c r="AC69" s="110">
        <f t="shared" si="33"/>
        <v>3.3318722152862419E-2</v>
      </c>
      <c r="AD69" s="110">
        <f t="shared" si="33"/>
        <v>3.4703756519954845E-2</v>
      </c>
      <c r="AE69" s="110">
        <f t="shared" si="33"/>
        <v>3.6082615310947939E-2</v>
      </c>
      <c r="AF69" s="110">
        <f t="shared" si="33"/>
        <v>3.7455298525841715E-2</v>
      </c>
      <c r="AG69" s="110">
        <f t="shared" si="33"/>
        <v>3.8821806164636229E-2</v>
      </c>
      <c r="AI69" s="133"/>
      <c r="AJ69" s="211"/>
      <c r="AL69" s="108"/>
      <c r="AM69" s="2"/>
      <c r="AN69" s="2"/>
      <c r="AO69" s="2"/>
      <c r="BC69" s="1"/>
      <c r="BD69" s="2"/>
      <c r="BE69" s="2"/>
      <c r="BF69" s="2"/>
      <c r="BG69" s="2"/>
      <c r="BH69" s="2"/>
      <c r="BI69" s="2"/>
      <c r="BJ69" s="2"/>
      <c r="BK69" s="2"/>
    </row>
    <row r="70" spans="1:63" outlineLevel="1">
      <c r="A70" t="s">
        <v>1628</v>
      </c>
      <c r="B70" s="54" t="s">
        <v>462</v>
      </c>
      <c r="C70" s="110">
        <f t="shared" si="34"/>
        <v>7.1000517835935043E-2</v>
      </c>
      <c r="D70" s="110">
        <f t="shared" si="33"/>
        <v>7.356822896139617E-2</v>
      </c>
      <c r="E70" s="110">
        <f t="shared" si="33"/>
        <v>7.6141712771150893E-2</v>
      </c>
      <c r="F70" s="110">
        <f t="shared" si="33"/>
        <v>7.8720868517774115E-2</v>
      </c>
      <c r="G70" s="110">
        <f t="shared" si="33"/>
        <v>8.1305595453840626E-2</v>
      </c>
      <c r="H70" s="110">
        <f t="shared" si="33"/>
        <v>8.3895792831925262E-2</v>
      </c>
      <c r="I70" s="110">
        <f t="shared" si="33"/>
        <v>8.6491359904602827E-2</v>
      </c>
      <c r="J70" s="110">
        <f t="shared" si="33"/>
        <v>8.9092195924448211E-2</v>
      </c>
      <c r="K70" s="110">
        <f t="shared" si="33"/>
        <v>9.1698200144036221E-2</v>
      </c>
      <c r="L70" s="110">
        <f t="shared" si="33"/>
        <v>9.4309271815941675E-2</v>
      </c>
      <c r="M70" s="110">
        <f t="shared" si="33"/>
        <v>9.6925310192739395E-2</v>
      </c>
      <c r="N70" s="110">
        <f t="shared" si="33"/>
        <v>0.10280629619087414</v>
      </c>
      <c r="O70" s="110">
        <f t="shared" si="33"/>
        <v>0.10869995393025066</v>
      </c>
      <c r="P70" s="110">
        <f t="shared" si="33"/>
        <v>0.11460605138649584</v>
      </c>
      <c r="Q70" s="110">
        <f t="shared" si="33"/>
        <v>0.12052435653523656</v>
      </c>
      <c r="R70" s="110">
        <f t="shared" si="33"/>
        <v>0.12645463735209969</v>
      </c>
      <c r="S70" s="110">
        <f t="shared" si="33"/>
        <v>0.13239666181271217</v>
      </c>
      <c r="T70" s="110">
        <f t="shared" si="33"/>
        <v>0.13835019789270087</v>
      </c>
      <c r="U70" s="110">
        <f t="shared" si="33"/>
        <v>0.14431501356769261</v>
      </c>
      <c r="V70" s="110">
        <f t="shared" si="33"/>
        <v>0.15029087681331429</v>
      </c>
      <c r="W70" s="110">
        <f t="shared" si="33"/>
        <v>0.15627755560519288</v>
      </c>
      <c r="X70" s="110">
        <f t="shared" si="33"/>
        <v>0.16573542810732605</v>
      </c>
      <c r="Y70" s="110">
        <f t="shared" si="33"/>
        <v>0.175211030938099</v>
      </c>
      <c r="Z70" s="110">
        <f t="shared" si="33"/>
        <v>0.18470399430866702</v>
      </c>
      <c r="AA70" s="110">
        <f t="shared" si="33"/>
        <v>0.19421394843018544</v>
      </c>
      <c r="AB70" s="110">
        <f t="shared" si="33"/>
        <v>0.20374052351380967</v>
      </c>
      <c r="AC70" s="110">
        <f t="shared" si="33"/>
        <v>0.21328334977069491</v>
      </c>
      <c r="AD70" s="110">
        <f t="shared" si="33"/>
        <v>0.22284205741199672</v>
      </c>
      <c r="AE70" s="110">
        <f t="shared" si="33"/>
        <v>0.2324162766488703</v>
      </c>
      <c r="AF70" s="110">
        <f t="shared" si="33"/>
        <v>0.24200563769247102</v>
      </c>
      <c r="AG70" s="110">
        <f t="shared" si="33"/>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1.7241276355314636</v>
      </c>
      <c r="D72" s="300">
        <f t="shared" ref="D72:AG72" si="35">D42*D64</f>
        <v>1.8994266413423606</v>
      </c>
      <c r="E72" s="300">
        <f t="shared" si="35"/>
        <v>2.0785898387856259</v>
      </c>
      <c r="F72" s="300">
        <f t="shared" si="35"/>
        <v>2.2605542592066632</v>
      </c>
      <c r="G72" s="300">
        <f t="shared" si="35"/>
        <v>2.4441824988860232</v>
      </c>
      <c r="H72" s="300">
        <f t="shared" si="35"/>
        <v>2.628274241880463</v>
      </c>
      <c r="I72" s="300">
        <f t="shared" si="35"/>
        <v>2.8176450049281012</v>
      </c>
      <c r="J72" s="300">
        <f t="shared" si="35"/>
        <v>3.0122161836878858</v>
      </c>
      <c r="K72" s="300">
        <f t="shared" si="35"/>
        <v>3.2118972533854668</v>
      </c>
      <c r="L72" s="300">
        <f t="shared" si="35"/>
        <v>3.4165856388607687</v>
      </c>
      <c r="M72" s="300">
        <f t="shared" si="35"/>
        <v>3.6261666150278358</v>
      </c>
      <c r="N72" s="300">
        <f t="shared" si="35"/>
        <v>3.9703169665075144</v>
      </c>
      <c r="O72" s="300">
        <f t="shared" si="35"/>
        <v>4.3165931237070785</v>
      </c>
      <c r="P72" s="300">
        <f t="shared" si="35"/>
        <v>4.6631970912776293</v>
      </c>
      <c r="Q72" s="300">
        <f t="shared" si="35"/>
        <v>5.0082778370063785</v>
      </c>
      <c r="R72" s="300">
        <f t="shared" si="35"/>
        <v>5.3499473788140923</v>
      </c>
      <c r="S72" s="300">
        <f t="shared" si="35"/>
        <v>5.6965425124143048</v>
      </c>
      <c r="T72" s="300">
        <f t="shared" si="35"/>
        <v>6.0480136683989256</v>
      </c>
      <c r="U72" s="300">
        <f t="shared" si="35"/>
        <v>6.4043083606531237</v>
      </c>
      <c r="V72" s="300">
        <f t="shared" si="35"/>
        <v>6.7653711802480823</v>
      </c>
      <c r="W72" s="300">
        <f t="shared" si="35"/>
        <v>7.1311437913173688</v>
      </c>
      <c r="X72" s="300">
        <f t="shared" si="35"/>
        <v>7.7434936155722038</v>
      </c>
      <c r="Y72" s="300">
        <f t="shared" si="35"/>
        <v>8.3643586605674791</v>
      </c>
      <c r="Z72" s="300">
        <f t="shared" si="35"/>
        <v>8.9936540962105624</v>
      </c>
      <c r="AA72" s="300">
        <f t="shared" si="35"/>
        <v>9.6312905089869147</v>
      </c>
      <c r="AB72" s="300">
        <f t="shared" si="35"/>
        <v>10.277173896394252</v>
      </c>
      <c r="AC72" s="300">
        <f t="shared" si="35"/>
        <v>10.931309010451978</v>
      </c>
      <c r="AD72" s="300">
        <f t="shared" si="35"/>
        <v>11.593611591913</v>
      </c>
      <c r="AE72" s="300">
        <f t="shared" si="35"/>
        <v>12.263993280917038</v>
      </c>
      <c r="AF72" s="300">
        <f t="shared" si="35"/>
        <v>12.942361614378786</v>
      </c>
      <c r="AG72" s="300">
        <f t="shared" si="35"/>
        <v>13.628620025726597</v>
      </c>
      <c r="AH72" s="245"/>
      <c r="AI72" s="423"/>
      <c r="AJ72" s="424"/>
      <c r="AL72" s="221"/>
      <c r="AM72" s="124"/>
      <c r="AN72" s="124"/>
      <c r="AO72" s="124"/>
      <c r="BD72" s="124"/>
      <c r="BE72" s="124"/>
      <c r="BF72" s="124"/>
      <c r="BG72" s="124"/>
      <c r="BH72" s="124"/>
      <c r="BI72" s="124"/>
      <c r="BJ72" s="124"/>
      <c r="BK72" s="124"/>
    </row>
    <row r="73" spans="1:63" outlineLevel="1">
      <c r="A73" s="4" t="s">
        <v>474</v>
      </c>
      <c r="C73" s="230">
        <f>C$72*'BTX recycling rates'!E38</f>
        <v>1.7181013558325287</v>
      </c>
      <c r="D73" s="230">
        <f>D$72*'BTX recycling rates'!F38</f>
        <v>1.8674589175095582</v>
      </c>
      <c r="E73" s="230">
        <f>E$72*'BTX recycling rates'!G38</f>
        <v>2.0158889057983642</v>
      </c>
      <c r="F73" s="230">
        <f>F$72*'BTX recycling rates'!H38</f>
        <v>2.1622200050329141</v>
      </c>
      <c r="G73" s="230">
        <f>G$72*'BTX recycling rates'!I38</f>
        <v>2.3052673934643941</v>
      </c>
      <c r="H73" s="230">
        <f>H$72*'BTX recycling rates'!J38</f>
        <v>2.443848420478516</v>
      </c>
      <c r="I73" s="230">
        <f>I$72*'BTX recycling rates'!K38</f>
        <v>2.5823579413843754</v>
      </c>
      <c r="J73" s="230">
        <f>J$72*'BTX recycling rates'!L38</f>
        <v>2.7205137777250337</v>
      </c>
      <c r="K73" s="230">
        <f>K$72*'BTX recycling rates'!M38</f>
        <v>2.8580273366754372</v>
      </c>
      <c r="L73" s="230">
        <f>L$72*'BTX recycling rates'!N38</f>
        <v>2.994604291931299</v>
      </c>
      <c r="M73" s="230">
        <f>M$72*'BTX recycling rates'!O38</f>
        <v>3.1299453012459408</v>
      </c>
      <c r="N73" s="230">
        <f>N$72*'BTX recycling rates'!P38</f>
        <v>3.3740566233238511</v>
      </c>
      <c r="O73" s="230">
        <f>O$72*'BTX recycling rates'!Q38</f>
        <v>3.6107677070204036</v>
      </c>
      <c r="P73" s="230">
        <f>P$72*'BTX recycling rates'!R38</f>
        <v>3.8385134889494421</v>
      </c>
      <c r="Q73" s="230">
        <f>Q$72*'BTX recycling rates'!S38</f>
        <v>4.055781860235256</v>
      </c>
      <c r="R73" s="230">
        <f>R$72*'BTX recycling rates'!T38</f>
        <v>4.2611300157113865</v>
      </c>
      <c r="S73" s="230">
        <f>S$72*'BTX recycling rates'!U38</f>
        <v>4.4612233464637674</v>
      </c>
      <c r="T73" s="230">
        <f>T$72*'BTX recycling rates'!V38</f>
        <v>4.6558266461060818</v>
      </c>
      <c r="U73" s="230">
        <f>U$72*'BTX recycling rates'!W38</f>
        <v>4.8447051458526049</v>
      </c>
      <c r="V73" s="230">
        <f>V$72*'BTX recycling rates'!X38</f>
        <v>5.0276247044501101</v>
      </c>
      <c r="W73" s="230">
        <f>W$72*'BTX recycling rates'!Y38</f>
        <v>5.2043520000460726</v>
      </c>
      <c r="X73" s="230">
        <f>X$72*'BTX recycling rates'!Z38</f>
        <v>5.5479896440383341</v>
      </c>
      <c r="Y73" s="230">
        <f>Y$72*'BTX recycling rates'!AA38</f>
        <v>5.8812833595851428</v>
      </c>
      <c r="Z73" s="230">
        <f>Z$72*'BTX recycling rates'!AB38</f>
        <v>6.2038339810737702</v>
      </c>
      <c r="AA73" s="230">
        <f>AA$72*'BTX recycling rates'!AC38</f>
        <v>6.5152437671754653</v>
      </c>
      <c r="AB73" s="230">
        <f>AB$72*'BTX recycling rates'!AD38</f>
        <v>6.8151167027527029</v>
      </c>
      <c r="AC73" s="230">
        <f>AC$72*'BTX recycling rates'!AE38</f>
        <v>7.1031259570755632</v>
      </c>
      <c r="AD73" s="230">
        <f>AD$72*'BTX recycling rates'!AF38</f>
        <v>7.3788877936956521</v>
      </c>
      <c r="AE73" s="230">
        <f>AE$72*'BTX recycling rates'!AG38</f>
        <v>7.6420204153292586</v>
      </c>
      <c r="AF73" s="230">
        <f>AF$72*'BTX recycling rates'!AH38</f>
        <v>7.8921442356717035</v>
      </c>
      <c r="AG73" s="230">
        <f>AG$72*'BTX recycling rates'!AI38</f>
        <v>8.1288821528226229</v>
      </c>
      <c r="AH73" s="245"/>
      <c r="AI73" s="133"/>
      <c r="AJ73" s="211"/>
      <c r="AL73" s="108"/>
      <c r="AM73" s="2"/>
      <c r="AN73" s="2"/>
      <c r="AO73" s="2"/>
      <c r="BC73" s="1"/>
      <c r="BD73" s="2"/>
      <c r="BE73" s="2"/>
      <c r="BF73" s="2"/>
      <c r="BG73" s="2"/>
      <c r="BH73" s="2"/>
      <c r="BI73" s="2"/>
      <c r="BJ73" s="2"/>
      <c r="BK73" s="2"/>
    </row>
    <row r="74" spans="1:63" outlineLevel="1">
      <c r="A74" s="4" t="s">
        <v>478</v>
      </c>
      <c r="C74" s="230">
        <f>C$72*'BTX recycling rates'!E39</f>
        <v>6.0262796989348022E-3</v>
      </c>
      <c r="D74" s="230">
        <f>D$72*'BTX recycling rates'!F39</f>
        <v>2.6850444903664197E-2</v>
      </c>
      <c r="E74" s="230">
        <f>E$72*'BTX recycling rates'!G39</f>
        <v>5.1501001647116754E-2</v>
      </c>
      <c r="F74" s="230">
        <f>F$72*'BTX recycling rates'!H39</f>
        <v>8.006365646753312E-2</v>
      </c>
      <c r="G74" s="230">
        <f>G$72*'BTX recycling rates'!I39</f>
        <v>0.11257544411904088</v>
      </c>
      <c r="H74" s="230">
        <f>H$72*'BTX recycling rates'!J39</f>
        <v>0.14902142066008392</v>
      </c>
      <c r="I74" s="230">
        <f>I$72*'BTX recycling rates'!K39</f>
        <v>0.18974065990903793</v>
      </c>
      <c r="J74" s="230">
        <f>J$72*'BTX recycling rates'!L39</f>
        <v>0.23489555146316585</v>
      </c>
      <c r="K74" s="230">
        <f>K$72*'BTX recycling rates'!M39</f>
        <v>0.28464408285233411</v>
      </c>
      <c r="L74" s="230">
        <f>L$72*'BTX recycling rates'!N39</f>
        <v>0.33913919242391993</v>
      </c>
      <c r="M74" s="230">
        <f>M$72*'BTX recycling rates'!O39</f>
        <v>0.39852811727333209</v>
      </c>
      <c r="N74" s="230">
        <f>N$72*'BTX recycling rates'!P39</f>
        <v>0.47859882994730724</v>
      </c>
      <c r="O74" s="230">
        <f>O$72*'BTX recycling rates'!Q39</f>
        <v>0.56627249756789688</v>
      </c>
      <c r="P74" s="230">
        <f>P$72*'BTX recycling rates'!R39</f>
        <v>0.66136197880408409</v>
      </c>
      <c r="Q74" s="230">
        <f>Q$72*'BTX recycling rates'!S39</f>
        <v>0.76359551742062315</v>
      </c>
      <c r="R74" s="230">
        <f>R$72*'BTX recycling rates'!T39</f>
        <v>0.87261654441048075</v>
      </c>
      <c r="S74" s="230">
        <f>S$72*'BTX recycling rates'!U39</f>
        <v>0.98976467001388557</v>
      </c>
      <c r="T74" s="230">
        <f>T$72*'BTX recycling rates'!V39</f>
        <v>1.1151879911159439</v>
      </c>
      <c r="U74" s="230">
        <f>U$72*'BTX recycling rates'!W39</f>
        <v>1.2490319259208305</v>
      </c>
      <c r="V74" s="230">
        <f>V$72*'BTX recycling rates'!X39</f>
        <v>1.3914390575150111</v>
      </c>
      <c r="W74" s="230">
        <f>W$72*'BTX recycling rates'!Y39</f>
        <v>1.5425489774696266</v>
      </c>
      <c r="X74" s="230">
        <f>X$72*'BTX recycling rates'!Z39</f>
        <v>1.7574044245745555</v>
      </c>
      <c r="Y74" s="230">
        <f>Y$72*'BTX recycling rates'!AA39</f>
        <v>1.9873148337168189</v>
      </c>
      <c r="Z74" s="230">
        <f>Z$72*'BTX recycling rates'!AB39</f>
        <v>2.2325309738676702</v>
      </c>
      <c r="AA74" s="230">
        <f>AA$72*'BTX recycling rates'!AC39</f>
        <v>2.49329881682017</v>
      </c>
      <c r="AB74" s="230">
        <f>AB$72*'BTX recycling rates'!AD39</f>
        <v>2.7698592918323626</v>
      </c>
      <c r="AC74" s="230">
        <f>AC$72*'BTX recycling rates'!AE39</f>
        <v>3.0624769938276732</v>
      </c>
      <c r="AD74" s="230">
        <f>AD$72*'BTX recycling rates'!AF39</f>
        <v>3.3713908357558764</v>
      </c>
      <c r="AE74" s="230">
        <f>AE$72*'BTX recycling rates'!AG39</f>
        <v>3.6968349081371548</v>
      </c>
      <c r="AF74" s="230">
        <f>AF$72*'BTX recycling rates'!AH39</f>
        <v>4.0390382600776507</v>
      </c>
      <c r="AG74" s="230">
        <f>AG$72*'BTX recycling rates'!AI39</f>
        <v>4.3982246808768268</v>
      </c>
      <c r="AH74" s="245"/>
      <c r="AI74" s="133"/>
      <c r="AJ74" s="211"/>
      <c r="AL74" s="108"/>
      <c r="AM74" s="2"/>
      <c r="AN74" s="2"/>
      <c r="AO74" s="2"/>
      <c r="BC74" s="1"/>
      <c r="BD74" s="2"/>
      <c r="BE74" s="2"/>
      <c r="BF74" s="2"/>
      <c r="BG74" s="2"/>
      <c r="BH74" s="2"/>
      <c r="BI74" s="2"/>
      <c r="BJ74" s="2"/>
      <c r="BK74" s="2"/>
    </row>
    <row r="75" spans="1:63" outlineLevel="1">
      <c r="A75" s="4" t="s">
        <v>745</v>
      </c>
      <c r="C75" s="230">
        <f>C$72*'BTX recycling rates'!E40</f>
        <v>0</v>
      </c>
      <c r="D75" s="230">
        <f>D$72*'BTX recycling rates'!F40</f>
        <v>4.7109240725622357E-3</v>
      </c>
      <c r="E75" s="230">
        <f>E$72*'BTX recycling rates'!G40</f>
        <v>1.0310562877646293E-2</v>
      </c>
      <c r="F75" s="230">
        <f>F$72*'BTX recycling rates'!H40</f>
        <v>1.6819759045030084E-2</v>
      </c>
      <c r="G75" s="230">
        <f>G$72*'BTX recycling rates'!I40</f>
        <v>2.424807133083081E-2</v>
      </c>
      <c r="H75" s="230">
        <f>H$72*'BTX recycling rates'!J40</f>
        <v>3.2592994448629044E-2</v>
      </c>
      <c r="I75" s="230">
        <f>I$72*'BTX recycling rates'!K40</f>
        <v>4.1929637268654132E-2</v>
      </c>
      <c r="J75" s="230">
        <f>J$72*'BTX recycling rates'!L40</f>
        <v>5.2295913913410041E-2</v>
      </c>
      <c r="K75" s="230">
        <f>K$72*'BTX recycling rates'!M40</f>
        <v>6.3728722174294691E-2</v>
      </c>
      <c r="L75" s="230">
        <f>L$72*'BTX recycling rates'!N40</f>
        <v>7.6263792786618531E-2</v>
      </c>
      <c r="M75" s="230">
        <f>M$72*'BTX recycling rates'!O40</f>
        <v>8.9935537525068929E-2</v>
      </c>
      <c r="N75" s="230">
        <f>N$72*'BTX recycling rates'!P40</f>
        <v>0.10831820246558492</v>
      </c>
      <c r="O75" s="230">
        <f>O$72*'BTX recycling rates'!Q40</f>
        <v>0.12847124715629177</v>
      </c>
      <c r="P75" s="230">
        <f>P$72*'BTX recycling rates'!R40</f>
        <v>0.15035251712558825</v>
      </c>
      <c r="Q75" s="230">
        <f>Q$72*'BTX recycling rates'!S40</f>
        <v>0.1739001789027394</v>
      </c>
      <c r="R75" s="230">
        <f>R$72*'BTX recycling rates'!T40</f>
        <v>0.19903266079271933</v>
      </c>
      <c r="S75" s="230">
        <f>S$72*'BTX recycling rates'!U40</f>
        <v>0.22605540992636577</v>
      </c>
      <c r="T75" s="230">
        <f>T$72*'BTX recycling rates'!V40</f>
        <v>0.25500298539862276</v>
      </c>
      <c r="U75" s="230">
        <f>U$72*'BTX recycling rates'!W40</f>
        <v>0.28590932432843513</v>
      </c>
      <c r="V75" s="230">
        <f>V$72*'BTX recycling rates'!X40</f>
        <v>0.31880770540113379</v>
      </c>
      <c r="W75" s="230">
        <f>W$72*'BTX recycling rates'!Y40</f>
        <v>0.35373071241833298</v>
      </c>
      <c r="X75" s="230">
        <f>X$72*'BTX recycling rates'!Z40</f>
        <v>0.40331076936172933</v>
      </c>
      <c r="Y75" s="230">
        <f>Y$72*'BTX recycling rates'!AA40</f>
        <v>0.45639292909507423</v>
      </c>
      <c r="Z75" s="230">
        <f>Z$72*'BTX recycling rates'!AB40</f>
        <v>0.51303571045021057</v>
      </c>
      <c r="AA75" s="230">
        <f>AA$72*'BTX recycling rates'!AC40</f>
        <v>0.57329651785734104</v>
      </c>
      <c r="AB75" s="230">
        <f>AB$72*'BTX recycling rates'!AD40</f>
        <v>0.63723158416131498</v>
      </c>
      <c r="AC75" s="230">
        <f>AC$72*'BTX recycling rates'!AE40</f>
        <v>0.70490257779294352</v>
      </c>
      <c r="AD75" s="230">
        <f>AD$72*'BTX recycling rates'!AF40</f>
        <v>0.77636525369433895</v>
      </c>
      <c r="AE75" s="230">
        <f>AE$72*'BTX recycling rates'!AG40</f>
        <v>0.85167424612699283</v>
      </c>
      <c r="AF75" s="230">
        <f>AF$72*'BTX recycling rates'!AH40</f>
        <v>0.93088301763257941</v>
      </c>
      <c r="AG75" s="230">
        <f>AG$72*'BTX recycling rates'!AI40</f>
        <v>1.0140438081297853</v>
      </c>
      <c r="AH75" s="245"/>
      <c r="AI75" s="133"/>
      <c r="AJ75" s="211"/>
      <c r="AL75" s="108"/>
      <c r="AM75" s="2"/>
      <c r="AN75" s="2"/>
      <c r="AO75" s="2"/>
      <c r="BC75" s="1"/>
      <c r="BD75" s="2"/>
      <c r="BE75" s="2"/>
      <c r="BF75" s="2"/>
      <c r="BG75" s="2"/>
      <c r="BH75" s="2"/>
      <c r="BI75" s="2"/>
      <c r="BJ75" s="2"/>
      <c r="BK75" s="2"/>
    </row>
    <row r="76" spans="1:63" outlineLevel="1">
      <c r="A76" s="4" t="s">
        <v>1561</v>
      </c>
      <c r="C76" s="230">
        <f>C$72*'BTX recycling rates'!E41</f>
        <v>0</v>
      </c>
      <c r="D76" s="230">
        <f>D$72*'BTX recycling rates'!F41</f>
        <v>4.063548565759155E-4</v>
      </c>
      <c r="E76" s="230">
        <f>E$72*'BTX recycling rates'!G41</f>
        <v>8.8936846249872722E-4</v>
      </c>
      <c r="F76" s="230">
        <f>F$72*'BTX recycling rates'!H41</f>
        <v>1.4508386611859075E-3</v>
      </c>
      <c r="G76" s="230">
        <f>G$72*'BTX recycling rates'!I41</f>
        <v>2.0915899717575312E-3</v>
      </c>
      <c r="H76" s="230">
        <f>H$72*'BTX recycling rates'!J41</f>
        <v>2.8114062932346898E-3</v>
      </c>
      <c r="I76" s="230">
        <f>I$72*'BTX recycling rates'!K41</f>
        <v>3.6167663660342337E-3</v>
      </c>
      <c r="J76" s="230">
        <f>J$72*'BTX recycling rates'!L41</f>
        <v>4.510940586276966E-3</v>
      </c>
      <c r="K76" s="230">
        <f>K$72*'BTX recycling rates'!M41</f>
        <v>5.4971116834020605E-3</v>
      </c>
      <c r="L76" s="230">
        <f>L$72*'BTX recycling rates'!N41</f>
        <v>6.57836171893265E-3</v>
      </c>
      <c r="M76" s="230">
        <f>M$72*'BTX recycling rates'!O41</f>
        <v>7.7576589834954159E-3</v>
      </c>
      <c r="N76" s="230">
        <f>N$72*'BTX recycling rates'!P41</f>
        <v>9.3433107707728263E-3</v>
      </c>
      <c r="O76" s="230">
        <f>O$72*'BTX recycling rates'!Q41</f>
        <v>1.1081671962488254E-2</v>
      </c>
      <c r="P76" s="230">
        <f>P$72*'BTX recycling rates'!R41</f>
        <v>1.296910639851734E-2</v>
      </c>
      <c r="Q76" s="230">
        <f>Q$72*'BTX recycling rates'!S41</f>
        <v>1.5000280447762433E-2</v>
      </c>
      <c r="R76" s="230">
        <f>R$72*'BTX recycling rates'!T41</f>
        <v>1.7168157899509384E-2</v>
      </c>
      <c r="S76" s="230">
        <f>S$72*'BTX recycling rates'!U41</f>
        <v>1.9499086010290299E-2</v>
      </c>
      <c r="T76" s="230">
        <f>T$72*'BTX recycling rates'!V41</f>
        <v>2.1996045778281563E-2</v>
      </c>
      <c r="U76" s="230">
        <f>U$72*'BTX recycling rates'!W41</f>
        <v>2.4661964551258055E-2</v>
      </c>
      <c r="V76" s="230">
        <f>V$72*'BTX recycling rates'!X41</f>
        <v>2.7499712881832464E-2</v>
      </c>
      <c r="W76" s="230">
        <f>W$72*'BTX recycling rates'!Y41</f>
        <v>3.0512101383342576E-2</v>
      </c>
      <c r="X76" s="230">
        <f>X$72*'BTX recycling rates'!Z41</f>
        <v>3.4788777597591483E-2</v>
      </c>
      <c r="Y76" s="230">
        <f>Y$72*'BTX recycling rates'!AA41</f>
        <v>3.9367538170451098E-2</v>
      </c>
      <c r="Z76" s="230">
        <f>Z$72*'BTX recycling rates'!AB41</f>
        <v>4.4253430818920067E-2</v>
      </c>
      <c r="AA76" s="230">
        <f>AA$72*'BTX recycling rates'!AC41</f>
        <v>4.9451407133947987E-2</v>
      </c>
      <c r="AB76" s="230">
        <f>AB$72*'BTX recycling rates'!AD41</f>
        <v>5.4966317647882984E-2</v>
      </c>
      <c r="AC76" s="230">
        <f>AC$72*'BTX recycling rates'!AE41</f>
        <v>6.0803481755810088E-2</v>
      </c>
      <c r="AD76" s="230">
        <f>AD$72*'BTX recycling rates'!AF41</f>
        <v>6.6967708767146417E-2</v>
      </c>
      <c r="AE76" s="230">
        <f>AE$72*'BTX recycling rates'!AG41</f>
        <v>7.3463711323647721E-2</v>
      </c>
      <c r="AF76" s="230">
        <f>AF$72*'BTX recycling rates'!AH41</f>
        <v>8.0296100996869707E-2</v>
      </c>
      <c r="AG76" s="230">
        <f>AG$72*'BTX recycling rates'!AI41</f>
        <v>8.7469383897362835E-2</v>
      </c>
      <c r="AH76" s="245"/>
      <c r="AI76" s="133"/>
      <c r="AJ76" s="211"/>
      <c r="AL76" s="108"/>
      <c r="AM76" s="2"/>
      <c r="AN76" s="2"/>
      <c r="AO76" s="2"/>
      <c r="BC76" s="1"/>
      <c r="BD76" s="2"/>
      <c r="BE76" s="2"/>
      <c r="BF76" s="2"/>
      <c r="BG76" s="2"/>
      <c r="BH76" s="2"/>
      <c r="BI76" s="2"/>
      <c r="BJ76" s="2"/>
      <c r="BK76" s="2"/>
    </row>
    <row r="77" spans="1:63" s="1" customFormat="1" outlineLevel="1">
      <c r="A77" s="1" t="s">
        <v>1562</v>
      </c>
      <c r="B77" s="65"/>
      <c r="C77" s="300">
        <f t="shared" ref="C77:AG77" si="36">C72-$C72</f>
        <v>0</v>
      </c>
      <c r="D77" s="300">
        <f t="shared" si="36"/>
        <v>0.17529900581089697</v>
      </c>
      <c r="E77" s="300">
        <f t="shared" si="36"/>
        <v>0.35446220325416222</v>
      </c>
      <c r="F77" s="300">
        <f t="shared" si="36"/>
        <v>0.53642662367519955</v>
      </c>
      <c r="G77" s="300">
        <f t="shared" si="36"/>
        <v>0.72005486335455959</v>
      </c>
      <c r="H77" s="300">
        <f t="shared" si="36"/>
        <v>0.90414660634899935</v>
      </c>
      <c r="I77" s="300">
        <f t="shared" si="36"/>
        <v>1.0935173693966376</v>
      </c>
      <c r="J77" s="300">
        <f t="shared" si="36"/>
        <v>1.2880885481564222</v>
      </c>
      <c r="K77" s="300">
        <f t="shared" si="36"/>
        <v>1.4877696178540032</v>
      </c>
      <c r="L77" s="300">
        <f t="shared" si="36"/>
        <v>1.6924580033293051</v>
      </c>
      <c r="M77" s="300">
        <f t="shared" si="36"/>
        <v>1.9020389794963721</v>
      </c>
      <c r="N77" s="300">
        <f t="shared" si="36"/>
        <v>2.2461893309760508</v>
      </c>
      <c r="O77" s="300">
        <f t="shared" si="36"/>
        <v>2.5924654881756148</v>
      </c>
      <c r="P77" s="300">
        <f t="shared" si="36"/>
        <v>2.9390694557461656</v>
      </c>
      <c r="Q77" s="300">
        <f t="shared" si="36"/>
        <v>3.2841502014749149</v>
      </c>
      <c r="R77" s="300">
        <f t="shared" si="36"/>
        <v>3.6258197432826287</v>
      </c>
      <c r="S77" s="300">
        <f t="shared" si="36"/>
        <v>3.9724148768828411</v>
      </c>
      <c r="T77" s="300">
        <f t="shared" si="36"/>
        <v>4.3238860328674615</v>
      </c>
      <c r="U77" s="300">
        <f t="shared" si="36"/>
        <v>4.6801807251216605</v>
      </c>
      <c r="V77" s="300">
        <f t="shared" si="36"/>
        <v>5.0412435447166182</v>
      </c>
      <c r="W77" s="300">
        <f t="shared" si="36"/>
        <v>5.4070161557859056</v>
      </c>
      <c r="X77" s="300">
        <f t="shared" si="36"/>
        <v>6.0193659800407406</v>
      </c>
      <c r="Y77" s="300">
        <f t="shared" si="36"/>
        <v>6.6402310250360159</v>
      </c>
      <c r="Z77" s="300">
        <f t="shared" si="36"/>
        <v>7.2695264606790992</v>
      </c>
      <c r="AA77" s="300">
        <f t="shared" si="36"/>
        <v>7.9071628734554515</v>
      </c>
      <c r="AB77" s="300">
        <f t="shared" si="36"/>
        <v>8.5530462608627893</v>
      </c>
      <c r="AC77" s="300">
        <f t="shared" si="36"/>
        <v>9.2071813749205145</v>
      </c>
      <c r="AD77" s="300">
        <f t="shared" si="36"/>
        <v>9.8694839563815364</v>
      </c>
      <c r="AE77" s="300">
        <f t="shared" si="36"/>
        <v>10.539865645385575</v>
      </c>
      <c r="AF77" s="300">
        <f t="shared" si="36"/>
        <v>11.218233978847323</v>
      </c>
      <c r="AG77" s="300">
        <f t="shared" si="36"/>
        <v>11.904492390195134</v>
      </c>
      <c r="AH77" s="245"/>
      <c r="AI77" s="423"/>
      <c r="AJ77" s="424"/>
      <c r="AL77" s="221"/>
      <c r="AM77" s="124"/>
      <c r="AN77" s="124"/>
      <c r="AO77" s="124"/>
      <c r="BD77" s="124"/>
      <c r="BE77" s="124"/>
      <c r="BF77" s="124"/>
      <c r="BG77" s="124"/>
      <c r="BH77" s="124"/>
      <c r="BI77" s="124"/>
      <c r="BJ77" s="124"/>
      <c r="BK77" s="124"/>
    </row>
    <row r="78" spans="1:63" outlineLevel="1">
      <c r="A78" s="4" t="s">
        <v>474</v>
      </c>
      <c r="C78" s="230">
        <f t="shared" ref="C78:AG78" si="37">C73-$C73</f>
        <v>0</v>
      </c>
      <c r="D78" s="230">
        <f t="shared" si="37"/>
        <v>0.14935756167702952</v>
      </c>
      <c r="E78" s="230">
        <f t="shared" si="37"/>
        <v>0.29778754996583556</v>
      </c>
      <c r="F78" s="230">
        <f t="shared" si="37"/>
        <v>0.44411864920038546</v>
      </c>
      <c r="G78" s="230">
        <f t="shared" si="37"/>
        <v>0.58716603763186548</v>
      </c>
      <c r="H78" s="230">
        <f t="shared" si="37"/>
        <v>0.72574706464598737</v>
      </c>
      <c r="I78" s="230">
        <f t="shared" si="37"/>
        <v>0.8642565855518467</v>
      </c>
      <c r="J78" s="230">
        <f t="shared" si="37"/>
        <v>1.002412421892505</v>
      </c>
      <c r="K78" s="230">
        <f t="shared" si="37"/>
        <v>1.1399259808429085</v>
      </c>
      <c r="L78" s="230">
        <f t="shared" si="37"/>
        <v>1.2765029360987703</v>
      </c>
      <c r="M78" s="230">
        <f t="shared" si="37"/>
        <v>1.4118439454134122</v>
      </c>
      <c r="N78" s="230">
        <f t="shared" si="37"/>
        <v>1.6559552674913225</v>
      </c>
      <c r="O78" s="230">
        <f t="shared" si="37"/>
        <v>1.892666351187875</v>
      </c>
      <c r="P78" s="230">
        <f t="shared" si="37"/>
        <v>2.1204121331169135</v>
      </c>
      <c r="Q78" s="230">
        <f t="shared" si="37"/>
        <v>2.3376805044027273</v>
      </c>
      <c r="R78" s="230">
        <f t="shared" si="37"/>
        <v>2.5430286598788578</v>
      </c>
      <c r="S78" s="230">
        <f t="shared" si="37"/>
        <v>2.7431219906312387</v>
      </c>
      <c r="T78" s="230">
        <f t="shared" si="37"/>
        <v>2.9377252902735531</v>
      </c>
      <c r="U78" s="230">
        <f t="shared" si="37"/>
        <v>3.1266037900200763</v>
      </c>
      <c r="V78" s="230">
        <f t="shared" si="37"/>
        <v>3.3095233486175815</v>
      </c>
      <c r="W78" s="230">
        <f t="shared" si="37"/>
        <v>3.4862506442135439</v>
      </c>
      <c r="X78" s="230">
        <f t="shared" si="37"/>
        <v>3.8298882882058054</v>
      </c>
      <c r="Y78" s="230">
        <f t="shared" si="37"/>
        <v>4.1631820037526142</v>
      </c>
      <c r="Z78" s="230">
        <f t="shared" si="37"/>
        <v>4.4857326252412415</v>
      </c>
      <c r="AA78" s="230">
        <f t="shared" si="37"/>
        <v>4.7971424113429366</v>
      </c>
      <c r="AB78" s="230">
        <f t="shared" si="37"/>
        <v>5.0970153469201742</v>
      </c>
      <c r="AC78" s="230">
        <f t="shared" si="37"/>
        <v>5.3850246012430345</v>
      </c>
      <c r="AD78" s="230">
        <f t="shared" si="37"/>
        <v>5.6607864378631234</v>
      </c>
      <c r="AE78" s="230">
        <f t="shared" si="37"/>
        <v>5.9239190594967299</v>
      </c>
      <c r="AF78" s="230">
        <f t="shared" si="37"/>
        <v>6.1740428798391749</v>
      </c>
      <c r="AG78" s="230">
        <f t="shared" si="37"/>
        <v>6.4107807969900943</v>
      </c>
      <c r="AH78" s="245"/>
      <c r="AI78" s="133"/>
      <c r="AJ78" s="211"/>
      <c r="AL78" s="108"/>
      <c r="AM78" s="2"/>
      <c r="AN78" s="2"/>
      <c r="AO78" s="2"/>
      <c r="BC78" s="1"/>
      <c r="BD78" s="2"/>
      <c r="BE78" s="2"/>
      <c r="BF78" s="2"/>
      <c r="BG78" s="2"/>
      <c r="BH78" s="2"/>
      <c r="BI78" s="2"/>
      <c r="BJ78" s="2"/>
      <c r="BK78" s="2"/>
    </row>
    <row r="79" spans="1:63" outlineLevel="1">
      <c r="A79" s="4" t="s">
        <v>478</v>
      </c>
      <c r="C79" s="230">
        <f t="shared" ref="C79:AG79" si="38">C74-$C74</f>
        <v>0</v>
      </c>
      <c r="D79" s="230">
        <f t="shared" si="38"/>
        <v>2.0824165204729395E-2</v>
      </c>
      <c r="E79" s="230">
        <f t="shared" si="38"/>
        <v>4.5474721948181952E-2</v>
      </c>
      <c r="F79" s="230">
        <f t="shared" si="38"/>
        <v>7.4037376768598312E-2</v>
      </c>
      <c r="G79" s="230">
        <f t="shared" si="38"/>
        <v>0.10654916442010608</v>
      </c>
      <c r="H79" s="230">
        <f t="shared" si="38"/>
        <v>0.14299514096114913</v>
      </c>
      <c r="I79" s="230">
        <f t="shared" si="38"/>
        <v>0.18371438021010314</v>
      </c>
      <c r="J79" s="230">
        <f t="shared" si="38"/>
        <v>0.22886927176423105</v>
      </c>
      <c r="K79" s="230">
        <f t="shared" si="38"/>
        <v>0.27861780315339929</v>
      </c>
      <c r="L79" s="230">
        <f t="shared" si="38"/>
        <v>0.33311291272498511</v>
      </c>
      <c r="M79" s="230">
        <f t="shared" si="38"/>
        <v>0.39250183757439727</v>
      </c>
      <c r="N79" s="230">
        <f t="shared" si="38"/>
        <v>0.47257255024837241</v>
      </c>
      <c r="O79" s="230">
        <f t="shared" si="38"/>
        <v>0.56024621786896212</v>
      </c>
      <c r="P79" s="230">
        <f t="shared" si="38"/>
        <v>0.65533569910514933</v>
      </c>
      <c r="Q79" s="230">
        <f t="shared" si="38"/>
        <v>0.75756923772168838</v>
      </c>
      <c r="R79" s="230">
        <f t="shared" si="38"/>
        <v>0.86659026471154599</v>
      </c>
      <c r="S79" s="230">
        <f t="shared" si="38"/>
        <v>0.98373839031495081</v>
      </c>
      <c r="T79" s="230">
        <f t="shared" si="38"/>
        <v>1.1091617114170091</v>
      </c>
      <c r="U79" s="230">
        <f t="shared" si="38"/>
        <v>1.2430056462218957</v>
      </c>
      <c r="V79" s="230">
        <f t="shared" si="38"/>
        <v>1.3854127778160763</v>
      </c>
      <c r="W79" s="230">
        <f t="shared" si="38"/>
        <v>1.5365226977706918</v>
      </c>
      <c r="X79" s="230">
        <f t="shared" si="38"/>
        <v>1.7513781448756207</v>
      </c>
      <c r="Y79" s="230">
        <f t="shared" si="38"/>
        <v>1.9812885540178842</v>
      </c>
      <c r="Z79" s="230">
        <f t="shared" si="38"/>
        <v>2.2265046941687352</v>
      </c>
      <c r="AA79" s="230">
        <f t="shared" si="38"/>
        <v>2.487272537121235</v>
      </c>
      <c r="AB79" s="230">
        <f t="shared" si="38"/>
        <v>2.7638330121334276</v>
      </c>
      <c r="AC79" s="230">
        <f t="shared" si="38"/>
        <v>3.0564507141287383</v>
      </c>
      <c r="AD79" s="230">
        <f t="shared" si="38"/>
        <v>3.3653645560569414</v>
      </c>
      <c r="AE79" s="230">
        <f t="shared" si="38"/>
        <v>3.6908086284382198</v>
      </c>
      <c r="AF79" s="230">
        <f t="shared" si="38"/>
        <v>4.0330119803787161</v>
      </c>
      <c r="AG79" s="230">
        <f t="shared" si="38"/>
        <v>4.3921984011778923</v>
      </c>
      <c r="AH79" s="245"/>
      <c r="AI79" s="133"/>
      <c r="AJ79" s="211"/>
      <c r="AL79" s="108"/>
      <c r="AM79" s="2"/>
      <c r="AN79" s="2"/>
      <c r="AO79" s="2"/>
      <c r="BC79" s="1"/>
      <c r="BD79" s="2"/>
      <c r="BE79" s="2"/>
      <c r="BF79" s="2"/>
      <c r="BG79" s="2"/>
      <c r="BH79" s="2"/>
      <c r="BI79" s="2"/>
      <c r="BJ79" s="2"/>
      <c r="BK79" s="2"/>
    </row>
    <row r="80" spans="1:63" outlineLevel="1">
      <c r="A80" s="4" t="s">
        <v>745</v>
      </c>
      <c r="C80" s="230">
        <f t="shared" ref="C80:AG80" si="39">C75-$C75</f>
        <v>0</v>
      </c>
      <c r="D80" s="230">
        <f t="shared" si="39"/>
        <v>4.7109240725622357E-3</v>
      </c>
      <c r="E80" s="230">
        <f t="shared" si="39"/>
        <v>1.0310562877646293E-2</v>
      </c>
      <c r="F80" s="230">
        <f t="shared" si="39"/>
        <v>1.6819759045030084E-2</v>
      </c>
      <c r="G80" s="230">
        <f t="shared" si="39"/>
        <v>2.424807133083081E-2</v>
      </c>
      <c r="H80" s="230">
        <f t="shared" si="39"/>
        <v>3.2592994448629044E-2</v>
      </c>
      <c r="I80" s="230">
        <f t="shared" si="39"/>
        <v>4.1929637268654132E-2</v>
      </c>
      <c r="J80" s="230">
        <f t="shared" si="39"/>
        <v>5.2295913913410041E-2</v>
      </c>
      <c r="K80" s="230">
        <f t="shared" si="39"/>
        <v>6.3728722174294691E-2</v>
      </c>
      <c r="L80" s="230">
        <f t="shared" si="39"/>
        <v>7.6263792786618531E-2</v>
      </c>
      <c r="M80" s="230">
        <f t="shared" si="39"/>
        <v>8.9935537525068929E-2</v>
      </c>
      <c r="N80" s="230">
        <f t="shared" si="39"/>
        <v>0.10831820246558492</v>
      </c>
      <c r="O80" s="230">
        <f t="shared" si="39"/>
        <v>0.12847124715629177</v>
      </c>
      <c r="P80" s="230">
        <f t="shared" si="39"/>
        <v>0.15035251712558825</v>
      </c>
      <c r="Q80" s="230">
        <f t="shared" si="39"/>
        <v>0.1739001789027394</v>
      </c>
      <c r="R80" s="230">
        <f t="shared" si="39"/>
        <v>0.19903266079271933</v>
      </c>
      <c r="S80" s="230">
        <f t="shared" si="39"/>
        <v>0.22605540992636577</v>
      </c>
      <c r="T80" s="230">
        <f t="shared" si="39"/>
        <v>0.25500298539862276</v>
      </c>
      <c r="U80" s="230">
        <f t="shared" si="39"/>
        <v>0.28590932432843513</v>
      </c>
      <c r="V80" s="230">
        <f t="shared" si="39"/>
        <v>0.31880770540113379</v>
      </c>
      <c r="W80" s="230">
        <f t="shared" si="39"/>
        <v>0.35373071241833298</v>
      </c>
      <c r="X80" s="230">
        <f t="shared" si="39"/>
        <v>0.40331076936172933</v>
      </c>
      <c r="Y80" s="230">
        <f t="shared" si="39"/>
        <v>0.45639292909507423</v>
      </c>
      <c r="Z80" s="230">
        <f t="shared" si="39"/>
        <v>0.51303571045021057</v>
      </c>
      <c r="AA80" s="230">
        <f t="shared" si="39"/>
        <v>0.57329651785734104</v>
      </c>
      <c r="AB80" s="230">
        <f t="shared" si="39"/>
        <v>0.63723158416131498</v>
      </c>
      <c r="AC80" s="230">
        <f t="shared" si="39"/>
        <v>0.70490257779294352</v>
      </c>
      <c r="AD80" s="230">
        <f t="shared" si="39"/>
        <v>0.77636525369433895</v>
      </c>
      <c r="AE80" s="230">
        <f t="shared" si="39"/>
        <v>0.85167424612699283</v>
      </c>
      <c r="AF80" s="230">
        <f t="shared" si="39"/>
        <v>0.93088301763257941</v>
      </c>
      <c r="AG80" s="230">
        <f t="shared" si="39"/>
        <v>1.0140438081297853</v>
      </c>
      <c r="AH80" s="245"/>
      <c r="AI80" s="133"/>
      <c r="AJ80" s="211"/>
      <c r="AL80" s="108"/>
      <c r="AM80" s="2"/>
      <c r="AN80" s="2"/>
      <c r="AO80" s="2"/>
      <c r="BC80" s="1"/>
      <c r="BD80" s="2"/>
      <c r="BE80" s="2"/>
      <c r="BF80" s="2"/>
      <c r="BG80" s="2"/>
      <c r="BH80" s="2"/>
      <c r="BI80" s="2"/>
      <c r="BJ80" s="2"/>
      <c r="BK80" s="2"/>
    </row>
    <row r="81" spans="1:63" outlineLevel="1">
      <c r="A81" s="4" t="s">
        <v>1561</v>
      </c>
      <c r="C81" s="230">
        <f t="shared" ref="C81:AG81" si="40">C76-$C76</f>
        <v>0</v>
      </c>
      <c r="D81" s="230">
        <f t="shared" si="40"/>
        <v>4.063548565759155E-4</v>
      </c>
      <c r="E81" s="230">
        <f t="shared" si="40"/>
        <v>8.8936846249872722E-4</v>
      </c>
      <c r="F81" s="230">
        <f t="shared" si="40"/>
        <v>1.4508386611859075E-3</v>
      </c>
      <c r="G81" s="230">
        <f t="shared" si="40"/>
        <v>2.0915899717575312E-3</v>
      </c>
      <c r="H81" s="230">
        <f t="shared" si="40"/>
        <v>2.8114062932346898E-3</v>
      </c>
      <c r="I81" s="230">
        <f t="shared" si="40"/>
        <v>3.6167663660342337E-3</v>
      </c>
      <c r="J81" s="230">
        <f t="shared" si="40"/>
        <v>4.510940586276966E-3</v>
      </c>
      <c r="K81" s="230">
        <f t="shared" si="40"/>
        <v>5.4971116834020605E-3</v>
      </c>
      <c r="L81" s="230">
        <f t="shared" si="40"/>
        <v>6.57836171893265E-3</v>
      </c>
      <c r="M81" s="230">
        <f t="shared" si="40"/>
        <v>7.7576589834954159E-3</v>
      </c>
      <c r="N81" s="230">
        <f t="shared" si="40"/>
        <v>9.3433107707728263E-3</v>
      </c>
      <c r="O81" s="230">
        <f t="shared" si="40"/>
        <v>1.1081671962488254E-2</v>
      </c>
      <c r="P81" s="230">
        <f t="shared" si="40"/>
        <v>1.296910639851734E-2</v>
      </c>
      <c r="Q81" s="230">
        <f t="shared" si="40"/>
        <v>1.5000280447762433E-2</v>
      </c>
      <c r="R81" s="230">
        <f t="shared" si="40"/>
        <v>1.7168157899509384E-2</v>
      </c>
      <c r="S81" s="230">
        <f t="shared" si="40"/>
        <v>1.9499086010290299E-2</v>
      </c>
      <c r="T81" s="230">
        <f t="shared" si="40"/>
        <v>2.1996045778281563E-2</v>
      </c>
      <c r="U81" s="230">
        <f t="shared" si="40"/>
        <v>2.4661964551258055E-2</v>
      </c>
      <c r="V81" s="230">
        <f t="shared" si="40"/>
        <v>2.7499712881832464E-2</v>
      </c>
      <c r="W81" s="230">
        <f t="shared" si="40"/>
        <v>3.0512101383342576E-2</v>
      </c>
      <c r="X81" s="230">
        <f t="shared" si="40"/>
        <v>3.4788777597591483E-2</v>
      </c>
      <c r="Y81" s="230">
        <f t="shared" si="40"/>
        <v>3.9367538170451098E-2</v>
      </c>
      <c r="Z81" s="230">
        <f t="shared" si="40"/>
        <v>4.4253430818920067E-2</v>
      </c>
      <c r="AA81" s="230">
        <f t="shared" si="40"/>
        <v>4.9451407133947987E-2</v>
      </c>
      <c r="AB81" s="230">
        <f t="shared" si="40"/>
        <v>5.4966317647882984E-2</v>
      </c>
      <c r="AC81" s="230">
        <f t="shared" si="40"/>
        <v>6.0803481755810088E-2</v>
      </c>
      <c r="AD81" s="230">
        <f t="shared" si="40"/>
        <v>6.6967708767146417E-2</v>
      </c>
      <c r="AE81" s="230">
        <f t="shared" si="40"/>
        <v>7.3463711323647721E-2</v>
      </c>
      <c r="AF81" s="230">
        <f t="shared" si="40"/>
        <v>8.0296100996869707E-2</v>
      </c>
      <c r="AG81" s="230">
        <f t="shared" si="40"/>
        <v>8.7469383897362835E-2</v>
      </c>
      <c r="AH81" s="245"/>
      <c r="AI81" s="133"/>
      <c r="AJ81" s="211"/>
      <c r="AL81" s="108"/>
      <c r="AM81" s="2"/>
      <c r="AN81" s="2"/>
      <c r="AO81" s="2"/>
      <c r="BC81" s="1"/>
      <c r="BD81" s="2"/>
      <c r="BE81" s="2"/>
      <c r="BF81" s="2"/>
      <c r="BG81" s="2"/>
      <c r="BH81" s="2"/>
      <c r="BI81" s="2"/>
      <c r="BJ81" s="2"/>
      <c r="BK81" s="2"/>
    </row>
    <row r="82" spans="1:63" s="1" customFormat="1" outlineLevel="1">
      <c r="A82" s="1" t="s">
        <v>1563</v>
      </c>
      <c r="B82" s="65"/>
      <c r="C82" s="300">
        <f>C42*C67</f>
        <v>0.40076570156277719</v>
      </c>
      <c r="D82" s="300">
        <f t="shared" ref="D82:AG82" si="41">D42*D67</f>
        <v>0.41966942138170227</v>
      </c>
      <c r="E82" s="300">
        <f t="shared" si="41"/>
        <v>0.43765883449805965</v>
      </c>
      <c r="F82" s="300">
        <f t="shared" si="41"/>
        <v>0.45457064820234577</v>
      </c>
      <c r="G82" s="300">
        <f t="shared" si="41"/>
        <v>0.47024786756588394</v>
      </c>
      <c r="H82" s="300">
        <f t="shared" si="41"/>
        <v>0.48454208727627684</v>
      </c>
      <c r="I82" s="300">
        <f t="shared" si="41"/>
        <v>0.49838863715114456</v>
      </c>
      <c r="J82" s="300">
        <f t="shared" si="41"/>
        <v>0.51174071223675843</v>
      </c>
      <c r="K82" s="300">
        <f t="shared" si="41"/>
        <v>0.52455128648356797</v>
      </c>
      <c r="L82" s="300">
        <f t="shared" si="41"/>
        <v>0.53677324630730194</v>
      </c>
      <c r="M82" s="300">
        <f t="shared" si="41"/>
        <v>0.54835952828134327</v>
      </c>
      <c r="N82" s="300">
        <f t="shared" si="41"/>
        <v>0.57675241849910674</v>
      </c>
      <c r="O82" s="300">
        <f t="shared" si="41"/>
        <v>0.60322231376707813</v>
      </c>
      <c r="P82" s="300">
        <f t="shared" si="41"/>
        <v>0.6275623834031675</v>
      </c>
      <c r="Q82" s="300">
        <f t="shared" si="41"/>
        <v>0.64958163215821907</v>
      </c>
      <c r="R82" s="300">
        <f t="shared" si="41"/>
        <v>0.66910722171531833</v>
      </c>
      <c r="S82" s="300">
        <f t="shared" si="41"/>
        <v>0.68722251231462994</v>
      </c>
      <c r="T82" s="300">
        <f t="shared" si="41"/>
        <v>0.70388288723394621</v>
      </c>
      <c r="U82" s="300">
        <f t="shared" si="41"/>
        <v>0.71904401791982009</v>
      </c>
      <c r="V82" s="300">
        <f t="shared" si="41"/>
        <v>0.7326619030412288</v>
      </c>
      <c r="W82" s="300">
        <f t="shared" si="41"/>
        <v>0.74469290780115882</v>
      </c>
      <c r="X82" s="300">
        <f t="shared" si="41"/>
        <v>0.77120513701156179</v>
      </c>
      <c r="Y82" s="300">
        <f t="shared" si="41"/>
        <v>0.79529651049878736</v>
      </c>
      <c r="Z82" s="300">
        <f t="shared" si="41"/>
        <v>0.81689912580369461</v>
      </c>
      <c r="AA82" s="300">
        <f t="shared" si="41"/>
        <v>0.83594562278060491</v>
      </c>
      <c r="AB82" s="300">
        <f t="shared" si="41"/>
        <v>0.85236923910574136</v>
      </c>
      <c r="AC82" s="300">
        <f t="shared" si="41"/>
        <v>0.86611205438175864</v>
      </c>
      <c r="AD82" s="300">
        <f t="shared" si="41"/>
        <v>0.87710899202265891</v>
      </c>
      <c r="AE82" s="300">
        <f t="shared" si="41"/>
        <v>0.88529558181114398</v>
      </c>
      <c r="AF82" s="300">
        <f t="shared" si="41"/>
        <v>0.89060800970860354</v>
      </c>
      <c r="AG82" s="300">
        <f t="shared" si="41"/>
        <v>0.89298316781450082</v>
      </c>
      <c r="AH82" s="245"/>
      <c r="AI82" s="423"/>
      <c r="AJ82" s="424"/>
      <c r="AL82" s="221"/>
      <c r="AM82" s="124"/>
      <c r="AN82" s="124"/>
      <c r="AO82" s="124"/>
      <c r="BD82" s="124"/>
      <c r="BE82" s="124"/>
      <c r="BF82" s="124"/>
      <c r="BG82" s="124"/>
      <c r="BH82" s="124"/>
      <c r="BI82" s="124"/>
      <c r="BJ82" s="124"/>
      <c r="BK82" s="124"/>
    </row>
    <row r="83" spans="1:63" outlineLevel="1">
      <c r="A83" s="4" t="s">
        <v>474</v>
      </c>
      <c r="C83" s="230">
        <f>C$82*'BTX recycling rates'!E42</f>
        <v>0.39936491999557455</v>
      </c>
      <c r="D83" s="230">
        <f>D$82*'BTX recycling rates'!F42</f>
        <v>0.41260630250582875</v>
      </c>
      <c r="E83" s="230">
        <f>E$82*'BTX recycling rates'!G42</f>
        <v>0.4244567988000606</v>
      </c>
      <c r="F83" s="230">
        <f>F$82*'BTX recycling rates'!H42</f>
        <v>0.43479679606931065</v>
      </c>
      <c r="G83" s="230">
        <f>G$82*'BTX recycling rates'!I42</f>
        <v>0.44352133134079286</v>
      </c>
      <c r="H83" s="230">
        <f>H$82*'BTX recycling rates'!J42</f>
        <v>0.45054180259296883</v>
      </c>
      <c r="I83" s="230">
        <f>I$82*'BTX recycling rates'!K42</f>
        <v>0.45677076167933917</v>
      </c>
      <c r="J83" s="230">
        <f>J$82*'BTX recycling rates'!L42</f>
        <v>0.46218384517091393</v>
      </c>
      <c r="K83" s="230">
        <f>K$82*'BTX recycling rates'!M42</f>
        <v>0.46675898946583949</v>
      </c>
      <c r="L83" s="230">
        <f>L$82*'BTX recycling rates'!N42</f>
        <v>0.47047656259590326</v>
      </c>
      <c r="M83" s="230">
        <f>M$82*'BTX recycling rates'!O42</f>
        <v>0.47331948891279935</v>
      </c>
      <c r="N83" s="230">
        <f>N$82*'BTX recycling rates'!P42</f>
        <v>0.49013601031626292</v>
      </c>
      <c r="O83" s="230">
        <f>O$82*'BTX recycling rates'!Q42</f>
        <v>0.50458673965401502</v>
      </c>
      <c r="P83" s="230">
        <f>P$82*'BTX recycling rates'!R42</f>
        <v>0.51657835315520073</v>
      </c>
      <c r="Q83" s="230">
        <f>Q$82*'BTX recycling rates'!S42</f>
        <v>0.52604138312424065</v>
      </c>
      <c r="R83" s="230">
        <f>R$82*'BTX recycling rates'!T42</f>
        <v>0.53293101114807662</v>
      </c>
      <c r="S83" s="230">
        <f>S$82*'BTX recycling rates'!U42</f>
        <v>0.53819542458819336</v>
      </c>
      <c r="T83" s="230">
        <f>T$82*'BTX recycling rates'!V42</f>
        <v>0.54185669573551776</v>
      </c>
      <c r="U83" s="230">
        <f>U$82*'BTX recycling rates'!W42</f>
        <v>0.54393949471780667</v>
      </c>
      <c r="V83" s="230">
        <f>V$82*'BTX recycling rates'!X42</f>
        <v>0.54447109930846982</v>
      </c>
      <c r="W83" s="230">
        <f>W$82*'BTX recycling rates'!Y42</f>
        <v>0.5434814017989561</v>
      </c>
      <c r="X83" s="230">
        <f>X$82*'BTX recycling rates'!Z42</f>
        <v>0.55254621828123507</v>
      </c>
      <c r="Y83" s="230">
        <f>Y$82*'BTX recycling rates'!AA42</f>
        <v>0.55920176584289527</v>
      </c>
      <c r="Z83" s="230">
        <f>Z$82*'BTX recycling rates'!AB42</f>
        <v>0.56349805113204854</v>
      </c>
      <c r="AA83" s="230">
        <f>AA$82*'BTX recycling rates'!AC42</f>
        <v>0.5654890695527196</v>
      </c>
      <c r="AB83" s="230">
        <f>AB$82*'BTX recycling rates'!AD42</f>
        <v>0.56523280591566494</v>
      </c>
      <c r="AC83" s="230">
        <f>AC$82*'BTX recycling rates'!AE42</f>
        <v>0.5627965515687805</v>
      </c>
      <c r="AD83" s="230">
        <f>AD$82*'BTX recycling rates'!AF42</f>
        <v>0.55824613267976231</v>
      </c>
      <c r="AE83" s="230">
        <f>AE$82*'BTX recycling rates'!AG42</f>
        <v>0.55165122442856318</v>
      </c>
      <c r="AF83" s="230">
        <f>AF$82*'BTX recycling rates'!AH42</f>
        <v>0.54308534095167726</v>
      </c>
      <c r="AG83" s="234">
        <f>AG$82*'BTX recycling rates'!AI42</f>
        <v>0.53262582139025494</v>
      </c>
      <c r="AH83" s="245"/>
      <c r="AI83" s="133"/>
      <c r="AJ83" s="211"/>
      <c r="AL83" s="108"/>
      <c r="AM83" s="2"/>
      <c r="AN83" s="2"/>
      <c r="AO83" s="2"/>
      <c r="BC83" s="1"/>
      <c r="BD83" s="2"/>
      <c r="BE83" s="2"/>
      <c r="BF83" s="2"/>
      <c r="BG83" s="2"/>
      <c r="BH83" s="2"/>
      <c r="BI83" s="2"/>
      <c r="BJ83" s="2"/>
      <c r="BK83" s="2"/>
    </row>
    <row r="84" spans="1:63" outlineLevel="1">
      <c r="A84" s="4" t="s">
        <v>478</v>
      </c>
      <c r="C84" s="230">
        <f>C$82*'BTX recycling rates'!E43</f>
        <v>1.4007815672026295E-3</v>
      </c>
      <c r="D84" s="230">
        <f>D$82*'BTX recycling rates'!F43</f>
        <v>5.9324800607190083E-3</v>
      </c>
      <c r="E84" s="230">
        <f>E$82*'BTX recycling rates'!G43</f>
        <v>1.084382687520893E-2</v>
      </c>
      <c r="F84" s="230">
        <f>F$82*'BTX recycling rates'!H43</f>
        <v>1.6099851649068166E-2</v>
      </c>
      <c r="G84" s="230">
        <f>G$82*'BTX recycling rates'!I43</f>
        <v>2.1658923816608968E-2</v>
      </c>
      <c r="H84" s="230">
        <f>H$82*'BTX recycling rates'!J43</f>
        <v>2.747321762125203E-2</v>
      </c>
      <c r="I84" s="230">
        <f>I$82*'BTX recycling rates'!K43</f>
        <v>3.3561569586952729E-2</v>
      </c>
      <c r="J84" s="230">
        <f>J$82*'BTX recycling rates'!L43</f>
        <v>3.9906039101030834E-2</v>
      </c>
      <c r="K84" s="230">
        <f>K$82*'BTX recycling rates'!M43</f>
        <v>4.6486673785329863E-2</v>
      </c>
      <c r="L84" s="230">
        <f>L$82*'BTX recycling rates'!N43</f>
        <v>5.3281510990640414E-2</v>
      </c>
      <c r="M84" s="230">
        <f>M$82*'BTX recycling rates'!O43</f>
        <v>6.0266588272358979E-2</v>
      </c>
      <c r="N84" s="230">
        <f>N$82*'BTX recycling rates'!P43</f>
        <v>6.9524180308899702E-2</v>
      </c>
      <c r="O84" s="230">
        <f>O$82*'BTX recycling rates'!Q43</f>
        <v>7.9133751182046519E-2</v>
      </c>
      <c r="P84" s="230">
        <f>P$82*'BTX recycling rates'!R43</f>
        <v>8.9004580245355069E-2</v>
      </c>
      <c r="Q84" s="230">
        <f>Q$82*'BTX recycling rates'!S43</f>
        <v>9.9039557839561712E-2</v>
      </c>
      <c r="R84" s="230">
        <f>R$82*'BTX recycling rates'!T43</f>
        <v>0.10913640645615923</v>
      </c>
      <c r="S84" s="230">
        <f>S$82*'BTX recycling rates'!U43</f>
        <v>0.11940375440802706</v>
      </c>
      <c r="T84" s="230">
        <f>T$82*'BTX recycling rates'!V43</f>
        <v>0.12978835466208788</v>
      </c>
      <c r="U84" s="230">
        <f>U$82*'BTX recycling rates'!W43</f>
        <v>0.14023511735350827</v>
      </c>
      <c r="V84" s="230">
        <f>V$82*'BTX recycling rates'!X43</f>
        <v>0.15068713314964916</v>
      </c>
      <c r="W84" s="230">
        <f>W$82*'BTX recycling rates'!Y43</f>
        <v>0.16108569916318449</v>
      </c>
      <c r="X84" s="230">
        <f>X$82*'BTX recycling rates'!Z43</f>
        <v>0.175026853165242</v>
      </c>
      <c r="Y84" s="230">
        <f>Y$82*'BTX recycling rates'!AA43</f>
        <v>0.18895705177834096</v>
      </c>
      <c r="Z84" s="230">
        <f>Z$82*'BTX recycling rates'!AB43</f>
        <v>0.20278215966195554</v>
      </c>
      <c r="AA84" s="230">
        <f>AA$82*'BTX recycling rates'!AC43</f>
        <v>0.21640529171662576</v>
      </c>
      <c r="AB84" s="230">
        <f>AB$82*'BTX recycling rates'!AD43</f>
        <v>0.2297268568976395</v>
      </c>
      <c r="AC84" s="230">
        <f>AC$82*'BTX recycling rates'!AE43</f>
        <v>0.24264689966085656</v>
      </c>
      <c r="AD84" s="230">
        <f>AD$82*'BTX recycling rates'!AF43</f>
        <v>0.25506091818074567</v>
      </c>
      <c r="AE84" s="230">
        <f>AE$82*'BTX recycling rates'!AG43</f>
        <v>0.26686182354254412</v>
      </c>
      <c r="AF84" s="230">
        <f>AF$82*'BTX recycling rates'!AH43</f>
        <v>0.27793998754819355</v>
      </c>
      <c r="AG84" s="234">
        <f>AG$82*'BTX recycling rates'!AI43</f>
        <v>0.28818329375060242</v>
      </c>
      <c r="AH84" s="245"/>
      <c r="AI84" s="133"/>
      <c r="AJ84" s="211"/>
      <c r="AL84" s="108"/>
      <c r="AM84" s="2"/>
      <c r="AN84" s="2"/>
      <c r="AO84" s="2"/>
      <c r="BC84" s="1"/>
      <c r="BD84" s="2"/>
      <c r="BE84" s="2"/>
      <c r="BF84" s="2"/>
      <c r="BG84" s="2"/>
      <c r="BH84" s="2"/>
      <c r="BI84" s="2"/>
      <c r="BJ84" s="2"/>
      <c r="BK84" s="2"/>
    </row>
    <row r="85" spans="1:63" outlineLevel="1">
      <c r="A85" s="4" t="s">
        <v>745</v>
      </c>
      <c r="C85" s="230">
        <f>C$82*'BTX recycling rates'!E44</f>
        <v>0</v>
      </c>
      <c r="D85" s="230">
        <f>D$82*'BTX recycling rates'!F44</f>
        <v>1.040856612555524E-3</v>
      </c>
      <c r="E85" s="230">
        <f>E$82*'BTX recycling rates'!G44</f>
        <v>2.170947268118071E-3</v>
      </c>
      <c r="F85" s="230">
        <f>F$82*'BTX recycling rates'!H44</f>
        <v>3.3822540381710903E-3</v>
      </c>
      <c r="G85" s="230">
        <f>G$82*'BTX recycling rates'!I44</f>
        <v>4.6652014901119535E-3</v>
      </c>
      <c r="H85" s="230">
        <f>H$82*'BTX recycling rates'!J44</f>
        <v>6.0087632063172995E-3</v>
      </c>
      <c r="I85" s="230">
        <f>I$82*'BTX recycling rates'!K44</f>
        <v>7.4165676435522486E-3</v>
      </c>
      <c r="J85" s="230">
        <f>J$82*'BTX recycling rates'!L44</f>
        <v>8.8844712999170405E-3</v>
      </c>
      <c r="K85" s="230">
        <f>K$82*'BTX recycling rates'!M44</f>
        <v>1.040786194740342E-2</v>
      </c>
      <c r="L85" s="230">
        <f>L$82*'BTX recycling rates'!N44</f>
        <v>1.1981658871407804E-2</v>
      </c>
      <c r="M85" s="230">
        <f>M$82*'BTX recycling rates'!O44</f>
        <v>1.3600315200242741E-2</v>
      </c>
      <c r="N85" s="230">
        <f>N$82*'BTX recycling rates'!P44</f>
        <v>1.5734961658352465E-2</v>
      </c>
      <c r="O85" s="230">
        <f>O$82*'BTX recycling rates'!Q44</f>
        <v>1.7953214662865074E-2</v>
      </c>
      <c r="P85" s="230">
        <f>P$82*'BTX recycling rates'!R44</f>
        <v>2.0234097369482628E-2</v>
      </c>
      <c r="Q85" s="230">
        <f>Q$82*'BTX recycling rates'!S44</f>
        <v>2.2555130869450581E-2</v>
      </c>
      <c r="R85" s="230">
        <f>R$82*'BTX recycling rates'!T44</f>
        <v>2.4892616929466725E-2</v>
      </c>
      <c r="S85" s="230">
        <f>S$82*'BTX recycling rates'!U44</f>
        <v>2.727099225422442E-2</v>
      </c>
      <c r="T85" s="230">
        <f>T$82*'BTX recycling rates'!V44</f>
        <v>2.9677882269597271E-2</v>
      </c>
      <c r="U85" s="230">
        <f>U$82*'BTX recycling rates'!W44</f>
        <v>3.2100482635863174E-2</v>
      </c>
      <c r="V85" s="230">
        <f>V$82*'BTX recycling rates'!X44</f>
        <v>3.4525564661603225E-2</v>
      </c>
      <c r="W85" s="230">
        <f>W$82*'BTX recycling rates'!Y44</f>
        <v>3.6939481311555625E-2</v>
      </c>
      <c r="X85" s="230">
        <f>X$82*'BTX recycling rates'!Z44</f>
        <v>4.0167313693958144E-2</v>
      </c>
      <c r="Y85" s="230">
        <f>Y$82*'BTX recycling rates'!AA44</f>
        <v>4.3394564802295019E-2</v>
      </c>
      <c r="Z85" s="230">
        <f>Z$82*'BTX recycling rates'!AB44</f>
        <v>4.6599348706266093E-2</v>
      </c>
      <c r="AA85" s="230">
        <f>AA$82*'BTX recycling rates'!AC44</f>
        <v>4.9759138114567933E-2</v>
      </c>
      <c r="AB85" s="230">
        <f>AB$82*'BTX recycling rates'!AD44</f>
        <v>5.2850774541850734E-2</v>
      </c>
      <c r="AC85" s="230">
        <f>AC$82*'BTX recycling rates'!AE44</f>
        <v>5.5851007341160171E-2</v>
      </c>
      <c r="AD85" s="230">
        <f>AD$82*'BTX recycling rates'!AF44</f>
        <v>5.8735532039407956E-2</v>
      </c>
      <c r="AE85" s="230">
        <f>AE$82*'BTX recycling rates'!AG44</f>
        <v>6.1479440665690298E-2</v>
      </c>
      <c r="AF85" s="230">
        <f>AF$82*'BTX recycling rates'!AH44</f>
        <v>6.4057232853409474E-2</v>
      </c>
      <c r="AG85" s="234">
        <f>AG$82*'BTX recycling rates'!AI44</f>
        <v>6.6442827694738554E-2</v>
      </c>
      <c r="AH85" s="245"/>
      <c r="AI85" s="133"/>
      <c r="AJ85" s="211"/>
      <c r="AL85" s="108"/>
      <c r="AM85" s="2"/>
      <c r="AN85" s="2"/>
      <c r="AO85" s="2"/>
      <c r="BC85" s="1"/>
      <c r="BD85" s="2"/>
      <c r="BE85" s="2"/>
      <c r="BF85" s="2"/>
      <c r="BG85" s="2"/>
      <c r="BH85" s="2"/>
      <c r="BI85" s="2"/>
      <c r="BJ85" s="2"/>
      <c r="BK85" s="2"/>
    </row>
    <row r="86" spans="1:63" outlineLevel="1">
      <c r="A86" s="4" t="s">
        <v>1561</v>
      </c>
      <c r="C86" s="230">
        <f>C$82*'BTX recycling rates'!E45</f>
        <v>0</v>
      </c>
      <c r="D86" s="230">
        <f>D$82*'BTX recycling rates'!F45</f>
        <v>8.9782202598958486E-5</v>
      </c>
      <c r="E86" s="230">
        <f>E$82*'BTX recycling rates'!G45</f>
        <v>1.8726155467205103E-4</v>
      </c>
      <c r="F86" s="230">
        <f>F$82*'BTX recycling rates'!H45</f>
        <v>2.9174644579588844E-4</v>
      </c>
      <c r="G86" s="230">
        <f>G$82*'BTX recycling rates'!I45</f>
        <v>4.0241091837022933E-4</v>
      </c>
      <c r="H86" s="230">
        <f>H$82*'BTX recycling rates'!J45</f>
        <v>5.1830385573879299E-4</v>
      </c>
      <c r="I86" s="230">
        <f>I$82*'BTX recycling rates'!K45</f>
        <v>6.397382413005203E-4</v>
      </c>
      <c r="J86" s="230">
        <f>J$82*'BTX recycling rates'!L45</f>
        <v>7.6635666489675359E-4</v>
      </c>
      <c r="K86" s="230">
        <f>K$82*'BTX recycling rates'!M45</f>
        <v>8.9776128499535952E-4</v>
      </c>
      <c r="L86" s="230">
        <f>L$82*'BTX recycling rates'!N45</f>
        <v>1.0335138493506554E-3</v>
      </c>
      <c r="M86" s="230">
        <f>M$82*'BTX recycling rates'!O45</f>
        <v>1.1731358959423922E-3</v>
      </c>
      <c r="N86" s="230">
        <f>N$82*'BTX recycling rates'!P45</f>
        <v>1.3572662155919035E-3</v>
      </c>
      <c r="O86" s="230">
        <f>O$82*'BTX recycling rates'!Q45</f>
        <v>1.548608268151785E-3</v>
      </c>
      <c r="P86" s="230">
        <f>P$82*'BTX recycling rates'!R45</f>
        <v>1.7453526331294091E-3</v>
      </c>
      <c r="Q86" s="230">
        <f>Q$82*'BTX recycling rates'!S45</f>
        <v>1.9455603249664785E-3</v>
      </c>
      <c r="R86" s="230">
        <f>R$82*'BTX recycling rates'!T45</f>
        <v>2.1471871816161649E-3</v>
      </c>
      <c r="S86" s="230">
        <f>S$82*'BTX recycling rates'!U45</f>
        <v>2.3523410641855258E-3</v>
      </c>
      <c r="T86" s="230">
        <f>T$82*'BTX recycling rates'!V45</f>
        <v>2.5599545667438213E-3</v>
      </c>
      <c r="U86" s="230">
        <f>U$82*'BTX recycling rates'!W45</f>
        <v>2.7689232126424834E-3</v>
      </c>
      <c r="V86" s="230">
        <f>V$82*'BTX recycling rates'!X45</f>
        <v>2.97810592150717E-3</v>
      </c>
      <c r="W86" s="230">
        <f>W$82*'BTX recycling rates'!Y45</f>
        <v>3.1863255274631867E-3</v>
      </c>
      <c r="X86" s="230">
        <f>X$82*'BTX recycling rates'!Z45</f>
        <v>3.4647518711271967E-3</v>
      </c>
      <c r="Y86" s="230">
        <f>Y$82*'BTX recycling rates'!AA45</f>
        <v>3.7431280752568095E-3</v>
      </c>
      <c r="Z86" s="230">
        <f>Z$82*'BTX recycling rates'!AB45</f>
        <v>4.019566303425209E-3</v>
      </c>
      <c r="AA86" s="230">
        <f>AA$82*'BTX recycling rates'!AC45</f>
        <v>4.2921233966925253E-3</v>
      </c>
      <c r="AB86" s="230">
        <f>AB$82*'BTX recycling rates'!AD45</f>
        <v>4.5588017505871327E-3</v>
      </c>
      <c r="AC86" s="230">
        <f>AC$82*'BTX recycling rates'!AE45</f>
        <v>4.817595810962352E-3</v>
      </c>
      <c r="AD86" s="230">
        <f>AD$82*'BTX recycling rates'!AF45</f>
        <v>5.0664091227440146E-3</v>
      </c>
      <c r="AE86" s="230">
        <f>AE$82*'BTX recycling rates'!AG45</f>
        <v>5.3030931743474905E-3</v>
      </c>
      <c r="AF86" s="230">
        <f>AF$82*'BTX recycling rates'!AH45</f>
        <v>5.5254483553244188E-3</v>
      </c>
      <c r="AG86" s="234">
        <f>AG$82*'BTX recycling rates'!AI45</f>
        <v>5.7312249789050421E-3</v>
      </c>
      <c r="AH86" s="245"/>
      <c r="AI86" s="133"/>
      <c r="AJ86" s="211"/>
      <c r="AL86" s="108"/>
      <c r="AM86" s="2"/>
      <c r="AN86" s="2"/>
      <c r="AO86" s="2"/>
      <c r="BC86" s="1"/>
      <c r="BD86" s="2"/>
      <c r="BE86" s="2"/>
      <c r="BF86" s="2"/>
      <c r="BG86" s="2"/>
      <c r="BH86" s="2"/>
      <c r="BI86" s="2"/>
      <c r="BJ86" s="2"/>
      <c r="BK86" s="2"/>
    </row>
    <row r="87" spans="1:63" s="1" customFormat="1" outlineLevel="1">
      <c r="A87" s="1" t="s">
        <v>1564</v>
      </c>
      <c r="B87" s="65"/>
      <c r="C87" s="300">
        <f>C82-$C82</f>
        <v>0</v>
      </c>
      <c r="D87" s="300">
        <f t="shared" ref="D87:AG87" si="42">D82-$C82</f>
        <v>1.890371981892508E-2</v>
      </c>
      <c r="E87" s="300">
        <f t="shared" si="42"/>
        <v>3.6893132935282458E-2</v>
      </c>
      <c r="F87" s="300">
        <f t="shared" si="42"/>
        <v>5.3804946639568585E-2</v>
      </c>
      <c r="G87" s="300">
        <f t="shared" si="42"/>
        <v>6.9482166003106749E-2</v>
      </c>
      <c r="H87" s="300">
        <f t="shared" si="42"/>
        <v>8.3776385713499657E-2</v>
      </c>
      <c r="I87" s="300">
        <f t="shared" si="42"/>
        <v>9.7622935588367377E-2</v>
      </c>
      <c r="J87" s="300">
        <f t="shared" si="42"/>
        <v>0.11097501067398124</v>
      </c>
      <c r="K87" s="300">
        <f t="shared" si="42"/>
        <v>0.12378558492079078</v>
      </c>
      <c r="L87" s="300">
        <f t="shared" si="42"/>
        <v>0.13600754474452476</v>
      </c>
      <c r="M87" s="300">
        <f t="shared" si="42"/>
        <v>0.14759382671856608</v>
      </c>
      <c r="N87" s="300">
        <f t="shared" si="42"/>
        <v>0.17598671693632956</v>
      </c>
      <c r="O87" s="300">
        <f t="shared" si="42"/>
        <v>0.20245661220430095</v>
      </c>
      <c r="P87" s="300">
        <f t="shared" si="42"/>
        <v>0.22679668184039031</v>
      </c>
      <c r="Q87" s="300">
        <f t="shared" si="42"/>
        <v>0.24881593059544188</v>
      </c>
      <c r="R87" s="300">
        <f t="shared" si="42"/>
        <v>0.26834152015254115</v>
      </c>
      <c r="S87" s="300">
        <f t="shared" si="42"/>
        <v>0.28645681075185275</v>
      </c>
      <c r="T87" s="300">
        <f t="shared" si="42"/>
        <v>0.30311718567116902</v>
      </c>
      <c r="U87" s="300">
        <f t="shared" si="42"/>
        <v>0.3182783163570429</v>
      </c>
      <c r="V87" s="300">
        <f t="shared" si="42"/>
        <v>0.33189620147845161</v>
      </c>
      <c r="W87" s="300">
        <f t="shared" si="42"/>
        <v>0.34392720623838163</v>
      </c>
      <c r="X87" s="300">
        <f t="shared" si="42"/>
        <v>0.3704394354487846</v>
      </c>
      <c r="Y87" s="300">
        <f t="shared" si="42"/>
        <v>0.39453080893601017</v>
      </c>
      <c r="Z87" s="300">
        <f t="shared" si="42"/>
        <v>0.41613342424091743</v>
      </c>
      <c r="AA87" s="300">
        <f t="shared" si="42"/>
        <v>0.43517992121782773</v>
      </c>
      <c r="AB87" s="300">
        <f t="shared" si="42"/>
        <v>0.45160353754296417</v>
      </c>
      <c r="AC87" s="300">
        <f t="shared" si="42"/>
        <v>0.46534635281898146</v>
      </c>
      <c r="AD87" s="300">
        <f t="shared" si="42"/>
        <v>0.47634329045988172</v>
      </c>
      <c r="AE87" s="300">
        <f t="shared" si="42"/>
        <v>0.4845298802483668</v>
      </c>
      <c r="AF87" s="300">
        <f t="shared" si="42"/>
        <v>0.48984230814582636</v>
      </c>
      <c r="AG87" s="300">
        <f t="shared" si="42"/>
        <v>0.49221746625172363</v>
      </c>
      <c r="AH87" s="245"/>
      <c r="AI87" s="423"/>
      <c r="AJ87" s="424"/>
      <c r="AL87" s="221"/>
      <c r="AM87" s="124"/>
      <c r="AN87" s="124"/>
      <c r="AO87" s="124"/>
      <c r="BD87" s="124"/>
      <c r="BE87" s="124"/>
      <c r="BF87" s="124"/>
      <c r="BG87" s="124"/>
      <c r="BH87" s="124"/>
      <c r="BI87" s="124"/>
      <c r="BJ87" s="124"/>
      <c r="BK87" s="124"/>
    </row>
    <row r="88" spans="1:63" outlineLevel="1">
      <c r="A88" s="4" t="s">
        <v>474</v>
      </c>
      <c r="C88" s="230">
        <f>C83-$C83</f>
        <v>0</v>
      </c>
      <c r="D88" s="230">
        <f t="shared" ref="D88:AG88" si="43">D83-$C83</f>
        <v>1.3241382510254196E-2</v>
      </c>
      <c r="E88" s="230">
        <f t="shared" si="43"/>
        <v>2.5091878804486045E-2</v>
      </c>
      <c r="F88" s="230">
        <f t="shared" si="43"/>
        <v>3.5431876073736102E-2</v>
      </c>
      <c r="G88" s="230">
        <f t="shared" si="43"/>
        <v>4.4156411345218305E-2</v>
      </c>
      <c r="H88" s="230">
        <f t="shared" si="43"/>
        <v>5.117688259739428E-2</v>
      </c>
      <c r="I88" s="230">
        <f t="shared" si="43"/>
        <v>5.7405841683764613E-2</v>
      </c>
      <c r="J88" s="230">
        <f t="shared" si="43"/>
        <v>6.281892517533938E-2</v>
      </c>
      <c r="K88" s="230">
        <f t="shared" si="43"/>
        <v>6.7394069470264939E-2</v>
      </c>
      <c r="L88" s="230">
        <f t="shared" si="43"/>
        <v>7.1111642600328706E-2</v>
      </c>
      <c r="M88" s="230">
        <f t="shared" si="43"/>
        <v>7.3954568917224794E-2</v>
      </c>
      <c r="N88" s="230">
        <f t="shared" si="43"/>
        <v>9.0771090320688363E-2</v>
      </c>
      <c r="O88" s="230">
        <f t="shared" si="43"/>
        <v>0.10522181965844046</v>
      </c>
      <c r="P88" s="230">
        <f t="shared" si="43"/>
        <v>0.11721343315962618</v>
      </c>
      <c r="Q88" s="230">
        <f t="shared" si="43"/>
        <v>0.12667646312866609</v>
      </c>
      <c r="R88" s="230">
        <f t="shared" si="43"/>
        <v>0.13356609115250206</v>
      </c>
      <c r="S88" s="230">
        <f t="shared" si="43"/>
        <v>0.13883050459261881</v>
      </c>
      <c r="T88" s="230">
        <f t="shared" si="43"/>
        <v>0.14249177573994321</v>
      </c>
      <c r="U88" s="230">
        <f t="shared" si="43"/>
        <v>0.14457457472223212</v>
      </c>
      <c r="V88" s="230">
        <f t="shared" si="43"/>
        <v>0.14510617931289527</v>
      </c>
      <c r="W88" s="230">
        <f t="shared" si="43"/>
        <v>0.14411648180338155</v>
      </c>
      <c r="X88" s="230">
        <f t="shared" si="43"/>
        <v>0.15318129828566052</v>
      </c>
      <c r="Y88" s="230">
        <f t="shared" si="43"/>
        <v>0.15983684584732072</v>
      </c>
      <c r="Z88" s="230">
        <f t="shared" si="43"/>
        <v>0.16413313113647399</v>
      </c>
      <c r="AA88" s="230">
        <f t="shared" si="43"/>
        <v>0.16612414955714505</v>
      </c>
      <c r="AB88" s="230">
        <f t="shared" si="43"/>
        <v>0.16586788592009039</v>
      </c>
      <c r="AC88" s="230">
        <f t="shared" si="43"/>
        <v>0.16343163157320595</v>
      </c>
      <c r="AD88" s="230">
        <f t="shared" si="43"/>
        <v>0.15888121268418776</v>
      </c>
      <c r="AE88" s="230">
        <f t="shared" si="43"/>
        <v>0.15228630443298863</v>
      </c>
      <c r="AF88" s="230">
        <f t="shared" si="43"/>
        <v>0.14372042095610271</v>
      </c>
      <c r="AG88" s="230">
        <f t="shared" si="43"/>
        <v>0.13326090139468039</v>
      </c>
      <c r="AH88" s="245"/>
      <c r="AI88" s="133"/>
      <c r="AJ88" s="211"/>
      <c r="AL88" s="108"/>
      <c r="AM88" s="2"/>
      <c r="AN88" s="2"/>
      <c r="AO88" s="2"/>
      <c r="BC88" s="1"/>
      <c r="BD88" s="2"/>
      <c r="BE88" s="2"/>
      <c r="BF88" s="2"/>
      <c r="BG88" s="2"/>
      <c r="BH88" s="2"/>
      <c r="BI88" s="2"/>
      <c r="BJ88" s="2"/>
      <c r="BK88" s="2"/>
    </row>
    <row r="89" spans="1:63" outlineLevel="1">
      <c r="A89" s="4" t="s">
        <v>478</v>
      </c>
      <c r="C89" s="230">
        <f t="shared" ref="C89:AG89" si="44">C84-$C84</f>
        <v>0</v>
      </c>
      <c r="D89" s="230">
        <f t="shared" si="44"/>
        <v>4.5316984935163786E-3</v>
      </c>
      <c r="E89" s="230">
        <f t="shared" si="44"/>
        <v>9.4430453080063016E-3</v>
      </c>
      <c r="F89" s="230">
        <f t="shared" si="44"/>
        <v>1.4699070081865537E-2</v>
      </c>
      <c r="G89" s="230">
        <f t="shared" si="44"/>
        <v>2.0258142249406339E-2</v>
      </c>
      <c r="H89" s="230">
        <f t="shared" si="44"/>
        <v>2.6072436054049401E-2</v>
      </c>
      <c r="I89" s="230">
        <f t="shared" si="44"/>
        <v>3.21607880197501E-2</v>
      </c>
      <c r="J89" s="230">
        <f t="shared" si="44"/>
        <v>3.8505257533828205E-2</v>
      </c>
      <c r="K89" s="230">
        <f t="shared" si="44"/>
        <v>4.5085892218127234E-2</v>
      </c>
      <c r="L89" s="230">
        <f t="shared" si="44"/>
        <v>5.1880729423437785E-2</v>
      </c>
      <c r="M89" s="230">
        <f t="shared" si="44"/>
        <v>5.886580670515635E-2</v>
      </c>
      <c r="N89" s="230">
        <f t="shared" si="44"/>
        <v>6.8123398741697067E-2</v>
      </c>
      <c r="O89" s="230">
        <f t="shared" si="44"/>
        <v>7.7732969614843883E-2</v>
      </c>
      <c r="P89" s="230">
        <f t="shared" si="44"/>
        <v>8.7603798678152434E-2</v>
      </c>
      <c r="Q89" s="230">
        <f t="shared" si="44"/>
        <v>9.7638776272359076E-2</v>
      </c>
      <c r="R89" s="230">
        <f t="shared" si="44"/>
        <v>0.10773562488895659</v>
      </c>
      <c r="S89" s="230">
        <f t="shared" si="44"/>
        <v>0.11800297284082442</v>
      </c>
      <c r="T89" s="230">
        <f t="shared" si="44"/>
        <v>0.12838757309488524</v>
      </c>
      <c r="U89" s="230">
        <f t="shared" si="44"/>
        <v>0.13883433578630563</v>
      </c>
      <c r="V89" s="230">
        <f t="shared" si="44"/>
        <v>0.14928635158244652</v>
      </c>
      <c r="W89" s="230">
        <f t="shared" si="44"/>
        <v>0.15968491759598186</v>
      </c>
      <c r="X89" s="230">
        <f t="shared" si="44"/>
        <v>0.17362607159803936</v>
      </c>
      <c r="Y89" s="230">
        <f t="shared" si="44"/>
        <v>0.18755627021113833</v>
      </c>
      <c r="Z89" s="230">
        <f t="shared" si="44"/>
        <v>0.2013813780947529</v>
      </c>
      <c r="AA89" s="230">
        <f t="shared" si="44"/>
        <v>0.21500451014942312</v>
      </c>
      <c r="AB89" s="230">
        <f t="shared" si="44"/>
        <v>0.22832607533043686</v>
      </c>
      <c r="AC89" s="230">
        <f t="shared" si="44"/>
        <v>0.24124611809365393</v>
      </c>
      <c r="AD89" s="230">
        <f t="shared" si="44"/>
        <v>0.25366013661354303</v>
      </c>
      <c r="AE89" s="230">
        <f t="shared" si="44"/>
        <v>0.26546104197534148</v>
      </c>
      <c r="AF89" s="230">
        <f t="shared" si="44"/>
        <v>0.27653920598099091</v>
      </c>
      <c r="AG89" s="230">
        <f t="shared" si="44"/>
        <v>0.28678251218339978</v>
      </c>
      <c r="AH89" s="245"/>
      <c r="AI89" s="133"/>
      <c r="AJ89" s="211"/>
      <c r="AL89" s="108"/>
      <c r="AM89" s="2"/>
      <c r="AN89" s="2"/>
      <c r="AO89" s="2"/>
      <c r="BC89" s="1"/>
      <c r="BD89" s="2"/>
      <c r="BE89" s="2"/>
      <c r="BF89" s="2"/>
      <c r="BG89" s="2"/>
      <c r="BH89" s="2"/>
      <c r="BI89" s="2"/>
      <c r="BJ89" s="2"/>
      <c r="BK89" s="2"/>
    </row>
    <row r="90" spans="1:63" outlineLevel="1">
      <c r="A90" s="4" t="s">
        <v>745</v>
      </c>
      <c r="C90" s="230">
        <f t="shared" ref="C90:AG90" si="45">C85-$C85</f>
        <v>0</v>
      </c>
      <c r="D90" s="230">
        <f t="shared" si="45"/>
        <v>1.040856612555524E-3</v>
      </c>
      <c r="E90" s="230">
        <f t="shared" si="45"/>
        <v>2.170947268118071E-3</v>
      </c>
      <c r="F90" s="230">
        <f t="shared" si="45"/>
        <v>3.3822540381710903E-3</v>
      </c>
      <c r="G90" s="230">
        <f t="shared" si="45"/>
        <v>4.6652014901119535E-3</v>
      </c>
      <c r="H90" s="230">
        <f t="shared" si="45"/>
        <v>6.0087632063172995E-3</v>
      </c>
      <c r="I90" s="230">
        <f t="shared" si="45"/>
        <v>7.4165676435522486E-3</v>
      </c>
      <c r="J90" s="230">
        <f t="shared" si="45"/>
        <v>8.8844712999170405E-3</v>
      </c>
      <c r="K90" s="230">
        <f t="shared" si="45"/>
        <v>1.040786194740342E-2</v>
      </c>
      <c r="L90" s="230">
        <f t="shared" si="45"/>
        <v>1.1981658871407804E-2</v>
      </c>
      <c r="M90" s="230">
        <f t="shared" si="45"/>
        <v>1.3600315200242741E-2</v>
      </c>
      <c r="N90" s="230">
        <f t="shared" si="45"/>
        <v>1.5734961658352465E-2</v>
      </c>
      <c r="O90" s="230">
        <f t="shared" si="45"/>
        <v>1.7953214662865074E-2</v>
      </c>
      <c r="P90" s="230">
        <f t="shared" si="45"/>
        <v>2.0234097369482628E-2</v>
      </c>
      <c r="Q90" s="230">
        <f t="shared" si="45"/>
        <v>2.2555130869450581E-2</v>
      </c>
      <c r="R90" s="230">
        <f t="shared" si="45"/>
        <v>2.4892616929466725E-2</v>
      </c>
      <c r="S90" s="230">
        <f t="shared" si="45"/>
        <v>2.727099225422442E-2</v>
      </c>
      <c r="T90" s="230">
        <f t="shared" si="45"/>
        <v>2.9677882269597271E-2</v>
      </c>
      <c r="U90" s="230">
        <f t="shared" si="45"/>
        <v>3.2100482635863174E-2</v>
      </c>
      <c r="V90" s="230">
        <f t="shared" si="45"/>
        <v>3.4525564661603225E-2</v>
      </c>
      <c r="W90" s="230">
        <f t="shared" si="45"/>
        <v>3.6939481311555625E-2</v>
      </c>
      <c r="X90" s="230">
        <f t="shared" si="45"/>
        <v>4.0167313693958144E-2</v>
      </c>
      <c r="Y90" s="230">
        <f t="shared" si="45"/>
        <v>4.3394564802295019E-2</v>
      </c>
      <c r="Z90" s="230">
        <f t="shared" si="45"/>
        <v>4.6599348706266093E-2</v>
      </c>
      <c r="AA90" s="230">
        <f t="shared" si="45"/>
        <v>4.9759138114567933E-2</v>
      </c>
      <c r="AB90" s="230">
        <f t="shared" si="45"/>
        <v>5.2850774541850734E-2</v>
      </c>
      <c r="AC90" s="230">
        <f t="shared" si="45"/>
        <v>5.5851007341160171E-2</v>
      </c>
      <c r="AD90" s="230">
        <f t="shared" si="45"/>
        <v>5.8735532039407956E-2</v>
      </c>
      <c r="AE90" s="230">
        <f t="shared" si="45"/>
        <v>6.1479440665690298E-2</v>
      </c>
      <c r="AF90" s="230">
        <f t="shared" si="45"/>
        <v>6.4057232853409474E-2</v>
      </c>
      <c r="AG90" s="230">
        <f t="shared" si="45"/>
        <v>6.6442827694738554E-2</v>
      </c>
      <c r="AH90" s="245"/>
      <c r="AI90" s="133"/>
      <c r="AJ90" s="211"/>
      <c r="AL90" s="108"/>
      <c r="AM90" s="2"/>
      <c r="AN90" s="2"/>
      <c r="AO90" s="2"/>
      <c r="BC90" s="1"/>
      <c r="BD90" s="2"/>
      <c r="BE90" s="2"/>
      <c r="BF90" s="2"/>
      <c r="BG90" s="2"/>
      <c r="BH90" s="2"/>
      <c r="BI90" s="2"/>
      <c r="BJ90" s="2"/>
      <c r="BK90" s="2"/>
    </row>
    <row r="91" spans="1:63" outlineLevel="1">
      <c r="A91" s="4" t="s">
        <v>1561</v>
      </c>
      <c r="C91" s="230">
        <f t="shared" ref="C91:AG91" si="46">C86-$C86</f>
        <v>0</v>
      </c>
      <c r="D91" s="230">
        <f t="shared" si="46"/>
        <v>8.9782202598958486E-5</v>
      </c>
      <c r="E91" s="230">
        <f t="shared" si="46"/>
        <v>1.8726155467205103E-4</v>
      </c>
      <c r="F91" s="230">
        <f t="shared" si="46"/>
        <v>2.9174644579588844E-4</v>
      </c>
      <c r="G91" s="230">
        <f t="shared" si="46"/>
        <v>4.0241091837022933E-4</v>
      </c>
      <c r="H91" s="230">
        <f t="shared" si="46"/>
        <v>5.1830385573879299E-4</v>
      </c>
      <c r="I91" s="230">
        <f t="shared" si="46"/>
        <v>6.397382413005203E-4</v>
      </c>
      <c r="J91" s="230">
        <f t="shared" si="46"/>
        <v>7.6635666489675359E-4</v>
      </c>
      <c r="K91" s="230">
        <f t="shared" si="46"/>
        <v>8.9776128499535952E-4</v>
      </c>
      <c r="L91" s="230">
        <f t="shared" si="46"/>
        <v>1.0335138493506554E-3</v>
      </c>
      <c r="M91" s="230">
        <f t="shared" si="46"/>
        <v>1.1731358959423922E-3</v>
      </c>
      <c r="N91" s="230">
        <f t="shared" si="46"/>
        <v>1.3572662155919035E-3</v>
      </c>
      <c r="O91" s="230">
        <f t="shared" si="46"/>
        <v>1.548608268151785E-3</v>
      </c>
      <c r="P91" s="230">
        <f t="shared" si="46"/>
        <v>1.7453526331294091E-3</v>
      </c>
      <c r="Q91" s="230">
        <f t="shared" si="46"/>
        <v>1.9455603249664785E-3</v>
      </c>
      <c r="R91" s="230">
        <f t="shared" si="46"/>
        <v>2.1471871816161649E-3</v>
      </c>
      <c r="S91" s="230">
        <f t="shared" si="46"/>
        <v>2.3523410641855258E-3</v>
      </c>
      <c r="T91" s="230">
        <f t="shared" si="46"/>
        <v>2.5599545667438213E-3</v>
      </c>
      <c r="U91" s="230">
        <f t="shared" si="46"/>
        <v>2.7689232126424834E-3</v>
      </c>
      <c r="V91" s="230">
        <f t="shared" si="46"/>
        <v>2.97810592150717E-3</v>
      </c>
      <c r="W91" s="230">
        <f t="shared" si="46"/>
        <v>3.1863255274631867E-3</v>
      </c>
      <c r="X91" s="230">
        <f t="shared" si="46"/>
        <v>3.4647518711271967E-3</v>
      </c>
      <c r="Y91" s="230">
        <f t="shared" si="46"/>
        <v>3.7431280752568095E-3</v>
      </c>
      <c r="Z91" s="230">
        <f t="shared" si="46"/>
        <v>4.019566303425209E-3</v>
      </c>
      <c r="AA91" s="230">
        <f t="shared" si="46"/>
        <v>4.2921233966925253E-3</v>
      </c>
      <c r="AB91" s="230">
        <f t="shared" si="46"/>
        <v>4.5588017505871327E-3</v>
      </c>
      <c r="AC91" s="230">
        <f t="shared" si="46"/>
        <v>4.817595810962352E-3</v>
      </c>
      <c r="AD91" s="230">
        <f t="shared" si="46"/>
        <v>5.0664091227440146E-3</v>
      </c>
      <c r="AE91" s="230">
        <f t="shared" si="46"/>
        <v>5.3030931743474905E-3</v>
      </c>
      <c r="AF91" s="230">
        <f t="shared" si="46"/>
        <v>5.5254483553244188E-3</v>
      </c>
      <c r="AG91" s="230">
        <f t="shared" si="46"/>
        <v>5.7312249789050421E-3</v>
      </c>
      <c r="AH91" s="245"/>
      <c r="AI91" s="133"/>
      <c r="AJ91" s="211"/>
      <c r="AL91" s="108"/>
      <c r="AM91" s="2"/>
      <c r="AN91" s="2"/>
      <c r="AO91" s="2"/>
      <c r="BC91" s="1"/>
      <c r="BD91" s="2"/>
      <c r="BE91" s="2"/>
      <c r="BF91" s="2"/>
      <c r="BG91" s="2"/>
      <c r="BH91" s="2"/>
      <c r="BI91" s="2"/>
      <c r="BJ91" s="2"/>
      <c r="BK91" s="2"/>
    </row>
    <row r="92" spans="1:63" s="1" customFormat="1" outlineLevel="1">
      <c r="A92" s="1" t="s">
        <v>1565</v>
      </c>
      <c r="B92" s="65"/>
      <c r="C92" s="300">
        <f>C50*C69</f>
        <v>5.6729413750912104E-4</v>
      </c>
      <c r="D92" s="300">
        <f t="shared" ref="D92:AG92" si="47">D50*D69</f>
        <v>6.2570813980681369E-4</v>
      </c>
      <c r="E92" s="300">
        <f t="shared" si="47"/>
        <v>6.8655528834308968E-4</v>
      </c>
      <c r="F92" s="300">
        <f t="shared" si="47"/>
        <v>7.4981943102293705E-4</v>
      </c>
      <c r="G92" s="300">
        <f t="shared" si="47"/>
        <v>8.1548441575134492E-4</v>
      </c>
      <c r="H92" s="300">
        <f t="shared" si="47"/>
        <v>8.8353409043330142E-4</v>
      </c>
      <c r="I92" s="300">
        <f t="shared" si="47"/>
        <v>9.5395230297379546E-4</v>
      </c>
      <c r="J92" s="300">
        <f t="shared" si="47"/>
        <v>1.0267229012778151E-3</v>
      </c>
      <c r="K92" s="300">
        <f t="shared" si="47"/>
        <v>1.101829733250349E-3</v>
      </c>
      <c r="L92" s="300">
        <f t="shared" si="47"/>
        <v>1.179256646796386E-3</v>
      </c>
      <c r="M92" s="300">
        <f t="shared" si="47"/>
        <v>1.2589874898209143E-3</v>
      </c>
      <c r="N92" s="300">
        <f t="shared" si="47"/>
        <v>1.4337831185944471E-3</v>
      </c>
      <c r="O92" s="300">
        <f t="shared" si="47"/>
        <v>1.6193476691253436E-3</v>
      </c>
      <c r="P92" s="300">
        <f t="shared" si="47"/>
        <v>1.8156102312692156E-3</v>
      </c>
      <c r="Q92" s="300">
        <f t="shared" si="47"/>
        <v>2.0224998948816775E-3</v>
      </c>
      <c r="R92" s="300">
        <f t="shared" si="47"/>
        <v>2.2399457498183399E-3</v>
      </c>
      <c r="S92" s="300">
        <f t="shared" si="47"/>
        <v>2.4678768859348159E-3</v>
      </c>
      <c r="T92" s="300">
        <f t="shared" si="47"/>
        <v>2.7062223930867184E-3</v>
      </c>
      <c r="U92" s="300">
        <f t="shared" si="47"/>
        <v>2.9549113611296593E-3</v>
      </c>
      <c r="V92" s="300">
        <f t="shared" si="47"/>
        <v>3.213872879919252E-3</v>
      </c>
      <c r="W92" s="300">
        <f t="shared" si="47"/>
        <v>3.4830360393111074E-3</v>
      </c>
      <c r="X92" s="300">
        <f t="shared" si="47"/>
        <v>3.9664445731240269E-3</v>
      </c>
      <c r="Y92" s="300">
        <f t="shared" si="47"/>
        <v>4.4796009075347126E-3</v>
      </c>
      <c r="Z92" s="300">
        <f t="shared" si="47"/>
        <v>5.0223047662651087E-3</v>
      </c>
      <c r="AA92" s="300">
        <f t="shared" si="47"/>
        <v>5.5943558730371578E-3</v>
      </c>
      <c r="AB92" s="300">
        <f t="shared" si="47"/>
        <v>6.195553951572807E-3</v>
      </c>
      <c r="AC92" s="300">
        <f t="shared" si="47"/>
        <v>6.8256987255939936E-3</v>
      </c>
      <c r="AD92" s="300">
        <f t="shared" si="47"/>
        <v>7.4845899188226679E-3</v>
      </c>
      <c r="AE92" s="300">
        <f t="shared" si="47"/>
        <v>8.1720272549807675E-3</v>
      </c>
      <c r="AF92" s="300">
        <f t="shared" si="47"/>
        <v>8.8878104577902392E-3</v>
      </c>
      <c r="AG92" s="300">
        <f t="shared" si="47"/>
        <v>9.6317392509730412E-3</v>
      </c>
      <c r="AH92" s="245"/>
      <c r="AI92" s="423"/>
      <c r="AJ92" s="424"/>
      <c r="AL92" s="221"/>
      <c r="AM92" s="124"/>
      <c r="AN92" s="124"/>
      <c r="AO92" s="124"/>
      <c r="BD92" s="124"/>
      <c r="BE92" s="124"/>
      <c r="BF92" s="124"/>
      <c r="BG92" s="124"/>
      <c r="BH92" s="124"/>
      <c r="BI92" s="124"/>
      <c r="BJ92" s="124"/>
      <c r="BK92" s="124"/>
    </row>
    <row r="93" spans="1:63" outlineLevel="1">
      <c r="A93" s="4" t="s">
        <v>474</v>
      </c>
      <c r="C93" s="230">
        <f>C$92*'BTX recycling rates'!E46</f>
        <v>5.6531129524515947E-4</v>
      </c>
      <c r="D93" s="230">
        <f>D$92*'BTX recycling rates'!F46</f>
        <v>6.0273708772839898E-4</v>
      </c>
      <c r="E93" s="230">
        <f>E$92*'BTX recycling rates'!G46</f>
        <v>6.3854522384773507E-4</v>
      </c>
      <c r="F93" s="230">
        <f>F$92*'BTX recycling rates'!H46</f>
        <v>6.7247875335266401E-4</v>
      </c>
      <c r="G93" s="230">
        <f>G$92*'BTX recycling rates'!I46</f>
        <v>7.0428287207790813E-4</v>
      </c>
      <c r="H93" s="230">
        <f>H$92*'BTX recycling rates'!J46</f>
        <v>7.3370492194341425E-4</v>
      </c>
      <c r="I93" s="230">
        <f>I$92*'BTX recycling rates'!K46</f>
        <v>7.6049439095435506E-4</v>
      </c>
      <c r="J93" s="230">
        <f>J$92*'BTX recycling rates'!L46</f>
        <v>7.8440291320112812E-4</v>
      </c>
      <c r="K93" s="230">
        <f>K$92*'BTX recycling rates'!M46</f>
        <v>8.0518426885935667E-4</v>
      </c>
      <c r="L93" s="230">
        <f>L$92*'BTX recycling rates'!N46</f>
        <v>8.2259438418988927E-4</v>
      </c>
      <c r="M93" s="230">
        <f>M$92*'BTX recycling rates'!O46</f>
        <v>8.3639133153879937E-4</v>
      </c>
      <c r="N93" s="230">
        <f>N$92*'BTX recycling rates'!P46</f>
        <v>9.0488872393494667E-4</v>
      </c>
      <c r="O93" s="230">
        <f>O$92*'BTX recycling rates'!Q46</f>
        <v>9.6821257378577321E-4</v>
      </c>
      <c r="P93" s="230">
        <f>P$92*'BTX recycling rates'!R46</f>
        <v>1.0252497109699836E-3</v>
      </c>
      <c r="Q93" s="230">
        <f>Q$92*'BTX recycling rates'!S46</f>
        <v>1.074896387005587E-3</v>
      </c>
      <c r="R93" s="230">
        <f>R$92*'BTX recycling rates'!T46</f>
        <v>1.1160582750498946E-3</v>
      </c>
      <c r="S93" s="230">
        <f>S$92*'BTX recycling rates'!U46</f>
        <v>1.1476504698995219E-3</v>
      </c>
      <c r="T93" s="230">
        <f>T$92*'BTX recycling rates'!V46</f>
        <v>1.1685974879903881E-3</v>
      </c>
      <c r="U93" s="230">
        <f>U$92*'BTX recycling rates'!W46</f>
        <v>1.1778332673977158E-3</v>
      </c>
      <c r="V93" s="230">
        <f>V$92*'BTX recycling rates'!X46</f>
        <v>1.1743011678360311E-3</v>
      </c>
      <c r="W93" s="230">
        <f>W$92*'BTX recycling rates'!Y46</f>
        <v>1.1569539706591634E-3</v>
      </c>
      <c r="X93" s="230">
        <f>X$92*'BTX recycling rates'!Z46</f>
        <v>1.1857742417344238E-3</v>
      </c>
      <c r="Y93" s="230">
        <f>Y$92*'BTX recycling rates'!AA46</f>
        <v>1.1903849396782548E-3</v>
      </c>
      <c r="Z93" s="230">
        <f>Z$92*'BTX recycling rates'!AB46</f>
        <v>1.1677751142758974E-3</v>
      </c>
      <c r="AA93" s="230">
        <f>AA$92*'BTX recycling rates'!AC46</f>
        <v>1.1149604254805624E-3</v>
      </c>
      <c r="AB93" s="230">
        <f>AB$92*'BTX recycling rates'!AD46</f>
        <v>1.0289831434134305E-3</v>
      </c>
      <c r="AC93" s="230">
        <f>AC$92*'BTX recycling rates'!AE46</f>
        <v>9.0691214836365042E-4</v>
      </c>
      <c r="AD93" s="230">
        <f>AD$92*'BTX recycling rates'!AF46</f>
        <v>7.4584293078834303E-4</v>
      </c>
      <c r="AE93" s="230">
        <f>AE$92*'BTX recycling rates'!AG46</f>
        <v>5.4289759131259684E-4</v>
      </c>
      <c r="AF93" s="230">
        <f>AF$92*'BTX recycling rates'!AH46</f>
        <v>2.9522484072947119E-4</v>
      </c>
      <c r="AG93" s="230">
        <f>AG$92*'BTX recycling rates'!AI46</f>
        <v>0</v>
      </c>
      <c r="AH93" s="245"/>
      <c r="AI93" s="133"/>
      <c r="AJ93" s="211"/>
      <c r="AL93" s="108"/>
      <c r="AM93" s="2"/>
      <c r="AN93" s="2"/>
      <c r="AO93" s="2"/>
      <c r="BC93" s="1"/>
      <c r="BD93" s="2"/>
      <c r="BE93" s="2"/>
      <c r="BF93" s="2"/>
      <c r="BG93" s="2"/>
      <c r="BH93" s="2"/>
      <c r="BI93" s="2"/>
      <c r="BJ93" s="2"/>
      <c r="BK93" s="2"/>
    </row>
    <row r="94" spans="1:63" outlineLevel="1">
      <c r="A94" s="4" t="s">
        <v>478</v>
      </c>
      <c r="C94" s="230">
        <f>C$92*'BTX recycling rates'!E47</f>
        <v>1.9828422639615865E-6</v>
      </c>
      <c r="D94" s="230">
        <f>D$92*'BTX recycling rates'!F47</f>
        <v>2.1141140848542519E-6</v>
      </c>
      <c r="E94" s="230">
        <f>E$92*'BTX recycling rates'!G47</f>
        <v>2.2397119391485265E-6</v>
      </c>
      <c r="F94" s="230">
        <f>F$92*'BTX recycling rates'!H47</f>
        <v>2.3587345679792151E-6</v>
      </c>
      <c r="G94" s="230">
        <f>G$92*'BTX recycling rates'!I47</f>
        <v>2.470288239924011E-6</v>
      </c>
      <c r="H94" s="230">
        <f>H$92*'BTX recycling rates'!J47</f>
        <v>2.5734867510034876E-6</v>
      </c>
      <c r="I94" s="230">
        <f>I$92*'BTX recycling rates'!K47</f>
        <v>2.6674514246811054E-6</v>
      </c>
      <c r="J94" s="230">
        <f>J$92*'BTX recycling rates'!L47</f>
        <v>2.7513111118632066E-6</v>
      </c>
      <c r="K94" s="230">
        <f>K$92*'BTX recycling rates'!M47</f>
        <v>2.8242021908990197E-6</v>
      </c>
      <c r="L94" s="230">
        <f>L$92*'BTX recycling rates'!N47</f>
        <v>2.8852685675806578E-6</v>
      </c>
      <c r="M94" s="230">
        <f>M$92*'BTX recycling rates'!O47</f>
        <v>2.9336616751431168E-6</v>
      </c>
      <c r="N94" s="230">
        <f>N$92*'BTX recycling rates'!P47</f>
        <v>3.1739178415360783E-6</v>
      </c>
      <c r="O94" s="230">
        <f>O$92*'BTX recycling rates'!Q47</f>
        <v>3.3960276894324033E-6</v>
      </c>
      <c r="P94" s="230">
        <f>P$92*'BTX recycling rates'!R47</f>
        <v>3.5960867492379941E-6</v>
      </c>
      <c r="Q94" s="230">
        <f>Q$92*'BTX recycling rates'!S47</f>
        <v>3.7702235979735431E-6</v>
      </c>
      <c r="R94" s="230">
        <f>R$92*'BTX recycling rates'!T47</f>
        <v>3.9145998592745193E-6</v>
      </c>
      <c r="S94" s="230">
        <f>S$92*'BTX recycling rates'!U47</f>
        <v>4.0254102033911788E-6</v>
      </c>
      <c r="T94" s="230">
        <f>T$92*'BTX recycling rates'!V47</f>
        <v>4.0988823471885634E-6</v>
      </c>
      <c r="U94" s="230">
        <f>U$92*'BTX recycling rates'!W47</f>
        <v>4.1312770541464949E-6</v>
      </c>
      <c r="V94" s="230">
        <f>V$92*'BTX recycling rates'!X47</f>
        <v>4.1188881343595824E-6</v>
      </c>
      <c r="W94" s="230">
        <f>W$92*'BTX recycling rates'!Y47</f>
        <v>4.0580424445372139E-6</v>
      </c>
      <c r="X94" s="230">
        <f>X$92*'BTX recycling rates'!Z47</f>
        <v>4.1591302027821178E-6</v>
      </c>
      <c r="Y94" s="230">
        <f>Y$92*'BTX recycling rates'!AA47</f>
        <v>4.1753023309994127E-6</v>
      </c>
      <c r="Z94" s="230">
        <f>Z$92*'BTX recycling rates'!AB47</f>
        <v>4.0959978526249914E-6</v>
      </c>
      <c r="AA94" s="230">
        <f>AA$92*'BTX recycling rates'!AC47</f>
        <v>3.9107491268659339E-6</v>
      </c>
      <c r="AB94" s="230">
        <f>AB$92*'BTX recycling rates'!AD47</f>
        <v>3.6091818487005055E-6</v>
      </c>
      <c r="AC94" s="230">
        <f>AC$92*'BTX recycling rates'!AE47</f>
        <v>3.1810150488781534E-6</v>
      </c>
      <c r="AD94" s="230">
        <f>AD$92*'BTX recycling rates'!AF47</f>
        <v>2.6160610939195149E-6</v>
      </c>
      <c r="AE94" s="230">
        <f>AE$92*'BTX recycling rates'!AG47</f>
        <v>1.9042256861164077E-6</v>
      </c>
      <c r="AF94" s="230">
        <f>AF$92*'BTX recycling rates'!AH47</f>
        <v>1.0355078635318381E-6</v>
      </c>
      <c r="AG94" s="230">
        <f>AG$92*'BTX recycling rates'!AI47</f>
        <v>0</v>
      </c>
      <c r="AH94" s="245"/>
      <c r="AI94" s="133"/>
      <c r="AJ94" s="211"/>
      <c r="AL94" s="108"/>
      <c r="AM94" s="2"/>
      <c r="AN94" s="2"/>
      <c r="AO94" s="2"/>
      <c r="BC94" s="1"/>
      <c r="BD94" s="2"/>
      <c r="BE94" s="2"/>
      <c r="BF94" s="2"/>
      <c r="BG94" s="2"/>
      <c r="BH94" s="2"/>
      <c r="BI94" s="2"/>
      <c r="BJ94" s="2"/>
      <c r="BK94" s="2"/>
    </row>
    <row r="95" spans="1:63" outlineLevel="1">
      <c r="A95" s="4" t="s">
        <v>745</v>
      </c>
      <c r="C95" s="230">
        <f>C$92*'BTX recycling rates'!E48</f>
        <v>0</v>
      </c>
      <c r="D95" s="230">
        <f>D$92*'BTX recycling rates'!F48</f>
        <v>1.0428468996780228E-5</v>
      </c>
      <c r="E95" s="230">
        <f>E$92*'BTX recycling rates'!G48</f>
        <v>2.288517627810299E-5</v>
      </c>
      <c r="F95" s="230">
        <f>F$92*'BTX recycling rates'!H48</f>
        <v>3.7490971551146854E-5</v>
      </c>
      <c r="G95" s="230">
        <f>G$92*'BTX recycling rates'!I48</f>
        <v>5.4365627716756326E-5</v>
      </c>
      <c r="H95" s="230">
        <f>H$92*'BTX recycling rates'!J48</f>
        <v>7.3627840869441776E-5</v>
      </c>
      <c r="I95" s="230">
        <f>I$92*'BTX recycling rates'!K48</f>
        <v>9.5395230297379532E-5</v>
      </c>
      <c r="J95" s="230">
        <f>J$92*'BTX recycling rates'!L48</f>
        <v>1.1978433848241174E-4</v>
      </c>
      <c r="K95" s="230">
        <f>K$92*'BTX recycling rates'!M48</f>
        <v>1.4691063110004653E-4</v>
      </c>
      <c r="L95" s="230">
        <f>L$92*'BTX recycling rates'!N48</f>
        <v>1.7688849701945789E-4</v>
      </c>
      <c r="M95" s="230">
        <f>M$92*'BTX recycling rates'!O48</f>
        <v>2.0983124830348571E-4</v>
      </c>
      <c r="N95" s="230">
        <f>N$92*'BTX recycling rates'!P48</f>
        <v>2.6286023840898197E-4</v>
      </c>
      <c r="O95" s="230">
        <f>O$92*'BTX recycling rates'!Q48</f>
        <v>3.2386953382506869E-4</v>
      </c>
      <c r="P95" s="230">
        <f>P$92*'BTX recycling rates'!R48</f>
        <v>3.9338221677499667E-4</v>
      </c>
      <c r="Q95" s="230">
        <f>Q$92*'BTX recycling rates'!S48</f>
        <v>4.7191664213905803E-4</v>
      </c>
      <c r="R95" s="230">
        <f>R$92*'BTX recycling rates'!T48</f>
        <v>5.5998643745458487E-4</v>
      </c>
      <c r="S95" s="230">
        <f>S$92*'BTX recycling rates'!U48</f>
        <v>6.5810050291595086E-4</v>
      </c>
      <c r="T95" s="230">
        <f>T$92*'BTX recycling rates'!V48</f>
        <v>7.6676301137457018E-4</v>
      </c>
      <c r="U95" s="230">
        <f>U$92*'BTX recycling rates'!W48</f>
        <v>8.8647340833889778E-4</v>
      </c>
      <c r="V95" s="230">
        <f>V$92*'BTX recycling rates'!X48</f>
        <v>1.0177264119744297E-3</v>
      </c>
      <c r="W95" s="230">
        <f>W$92*'BTX recycling rates'!Y48</f>
        <v>1.1610120131037025E-3</v>
      </c>
      <c r="X95" s="230">
        <f>X$92*'BTX recycling rates'!Z48</f>
        <v>1.3882556005934093E-3</v>
      </c>
      <c r="Y95" s="230">
        <f>Y$92*'BTX recycling rates'!AA48</f>
        <v>1.6425203327627279E-3</v>
      </c>
      <c r="Z95" s="230">
        <f>Z$92*'BTX recycling rates'!AB48</f>
        <v>1.9252168270682915E-3</v>
      </c>
      <c r="AA95" s="230">
        <f>AA$92*'BTX recycling rates'!AC48</f>
        <v>2.2377423492148628E-3</v>
      </c>
      <c r="AB95" s="230">
        <f>AB$92*'BTX recycling rates'!AD48</f>
        <v>2.5814808131553362E-3</v>
      </c>
      <c r="AC95" s="230">
        <f>AC$92*'BTX recycling rates'!AE48</f>
        <v>2.9578027810907301E-3</v>
      </c>
      <c r="AD95" s="230">
        <f>AD$92*'BTX recycling rates'!AF48</f>
        <v>3.3680654634702001E-3</v>
      </c>
      <c r="AE95" s="230">
        <f>AE$92*'BTX recycling rates'!AG48</f>
        <v>3.8136127189910243E-3</v>
      </c>
      <c r="AF95" s="230">
        <f>AF$92*'BTX recycling rates'!AH48</f>
        <v>4.2957750545986155E-3</v>
      </c>
      <c r="AG95" s="230">
        <f>AG$92*'BTX recycling rates'!AI48</f>
        <v>4.8158696254865206E-3</v>
      </c>
      <c r="AH95" s="245"/>
      <c r="AI95" s="133"/>
      <c r="AJ95" s="211"/>
      <c r="AL95" s="108"/>
      <c r="AM95" s="2"/>
      <c r="AN95" s="2"/>
      <c r="AO95" s="2"/>
      <c r="BC95" s="1"/>
      <c r="BD95" s="2"/>
      <c r="BE95" s="2"/>
      <c r="BF95" s="2"/>
      <c r="BG95" s="2"/>
      <c r="BH95" s="2"/>
      <c r="BI95" s="2"/>
      <c r="BJ95" s="2"/>
      <c r="BK95" s="2"/>
    </row>
    <row r="96" spans="1:63" outlineLevel="1">
      <c r="A96" s="4" t="s">
        <v>1561</v>
      </c>
      <c r="C96" s="230">
        <f>C$92*'BTX recycling rates'!E49</f>
        <v>0</v>
      </c>
      <c r="D96" s="230">
        <f>D$92*'BTX recycling rates'!F49</f>
        <v>1.0428468996780228E-5</v>
      </c>
      <c r="E96" s="230">
        <f>E$92*'BTX recycling rates'!G49</f>
        <v>2.288517627810299E-5</v>
      </c>
      <c r="F96" s="230">
        <f>F$92*'BTX recycling rates'!H49</f>
        <v>3.7490971551146854E-5</v>
      </c>
      <c r="G96" s="230">
        <f>G$92*'BTX recycling rates'!I49</f>
        <v>5.4365627716756326E-5</v>
      </c>
      <c r="H96" s="230">
        <f>H$92*'BTX recycling rates'!J49</f>
        <v>7.3627840869441776E-5</v>
      </c>
      <c r="I96" s="230">
        <f>I$92*'BTX recycling rates'!K49</f>
        <v>9.5395230297379532E-5</v>
      </c>
      <c r="J96" s="230">
        <f>J$92*'BTX recycling rates'!L49</f>
        <v>1.1978433848241174E-4</v>
      </c>
      <c r="K96" s="230">
        <f>K$92*'BTX recycling rates'!M49</f>
        <v>1.4691063110004653E-4</v>
      </c>
      <c r="L96" s="230">
        <f>L$92*'BTX recycling rates'!N49</f>
        <v>1.7688849701945789E-4</v>
      </c>
      <c r="M96" s="230">
        <f>M$92*'BTX recycling rates'!O49</f>
        <v>2.0983124830348571E-4</v>
      </c>
      <c r="N96" s="230">
        <f>N$92*'BTX recycling rates'!P49</f>
        <v>2.6286023840898197E-4</v>
      </c>
      <c r="O96" s="230">
        <f>O$92*'BTX recycling rates'!Q49</f>
        <v>3.2386953382506869E-4</v>
      </c>
      <c r="P96" s="230">
        <f>P$92*'BTX recycling rates'!R49</f>
        <v>3.9338221677499667E-4</v>
      </c>
      <c r="Q96" s="230">
        <f>Q$92*'BTX recycling rates'!S49</f>
        <v>4.7191664213905803E-4</v>
      </c>
      <c r="R96" s="230">
        <f>R$92*'BTX recycling rates'!T49</f>
        <v>5.5998643745458487E-4</v>
      </c>
      <c r="S96" s="230">
        <f>S$92*'BTX recycling rates'!U49</f>
        <v>6.5810050291595086E-4</v>
      </c>
      <c r="T96" s="230">
        <f>T$92*'BTX recycling rates'!V49</f>
        <v>7.6676301137457018E-4</v>
      </c>
      <c r="U96" s="230">
        <f>U$92*'BTX recycling rates'!W49</f>
        <v>8.8647340833889778E-4</v>
      </c>
      <c r="V96" s="230">
        <f>V$92*'BTX recycling rates'!X49</f>
        <v>1.0177264119744297E-3</v>
      </c>
      <c r="W96" s="230">
        <f>W$92*'BTX recycling rates'!Y49</f>
        <v>1.1610120131037025E-3</v>
      </c>
      <c r="X96" s="230">
        <f>X$92*'BTX recycling rates'!Z49</f>
        <v>1.3882556005934093E-3</v>
      </c>
      <c r="Y96" s="230">
        <f>Y$92*'BTX recycling rates'!AA49</f>
        <v>1.6425203327627279E-3</v>
      </c>
      <c r="Z96" s="230">
        <f>Z$92*'BTX recycling rates'!AB49</f>
        <v>1.9252168270682915E-3</v>
      </c>
      <c r="AA96" s="230">
        <f>AA$92*'BTX recycling rates'!AC49</f>
        <v>2.2377423492148628E-3</v>
      </c>
      <c r="AB96" s="230">
        <f>AB$92*'BTX recycling rates'!AD49</f>
        <v>2.5814808131553362E-3</v>
      </c>
      <c r="AC96" s="230">
        <f>AC$92*'BTX recycling rates'!AE49</f>
        <v>2.9578027810907301E-3</v>
      </c>
      <c r="AD96" s="230">
        <f>AD$92*'BTX recycling rates'!AF49</f>
        <v>3.3680654634702001E-3</v>
      </c>
      <c r="AE96" s="230">
        <f>AE$92*'BTX recycling rates'!AG49</f>
        <v>3.8136127189910243E-3</v>
      </c>
      <c r="AF96" s="230">
        <f>AF$92*'BTX recycling rates'!AH49</f>
        <v>4.2957750545986155E-3</v>
      </c>
      <c r="AG96" s="230">
        <f>AG$92*'BTX recycling rates'!AI49</f>
        <v>4.8158696254865206E-3</v>
      </c>
      <c r="AH96" s="245"/>
      <c r="AI96" s="133"/>
      <c r="AJ96" s="211"/>
      <c r="AL96" s="108"/>
      <c r="AM96" s="2"/>
      <c r="AN96" s="2"/>
      <c r="AO96" s="2"/>
      <c r="BC96" s="1"/>
      <c r="BD96" s="2"/>
      <c r="BE96" s="2"/>
      <c r="BF96" s="2"/>
      <c r="BG96" s="2"/>
      <c r="BH96" s="2"/>
      <c r="BI96" s="2"/>
      <c r="BJ96" s="2"/>
      <c r="BK96" s="2"/>
    </row>
    <row r="97" spans="1:63" s="1" customFormat="1" outlineLevel="1">
      <c r="A97" s="1" t="s">
        <v>1566</v>
      </c>
      <c r="B97" s="65"/>
      <c r="C97" s="300">
        <f>C92-$C92</f>
        <v>0</v>
      </c>
      <c r="D97" s="300">
        <f t="shared" ref="D97:AG97" si="48">D92-$C92</f>
        <v>5.8414002297692649E-5</v>
      </c>
      <c r="E97" s="300">
        <f t="shared" si="48"/>
        <v>1.1926115083396864E-4</v>
      </c>
      <c r="F97" s="300">
        <f t="shared" si="48"/>
        <v>1.8252529351381601E-4</v>
      </c>
      <c r="G97" s="300">
        <f t="shared" si="48"/>
        <v>2.4819027824222388E-4</v>
      </c>
      <c r="H97" s="300">
        <f t="shared" si="48"/>
        <v>3.1623995292418038E-4</v>
      </c>
      <c r="I97" s="300">
        <f t="shared" si="48"/>
        <v>3.8665816546467442E-4</v>
      </c>
      <c r="J97" s="300">
        <f t="shared" si="48"/>
        <v>4.5942876376869402E-4</v>
      </c>
      <c r="K97" s="300">
        <f t="shared" si="48"/>
        <v>5.3453559574122799E-4</v>
      </c>
      <c r="L97" s="300">
        <f t="shared" si="48"/>
        <v>6.11962509287265E-4</v>
      </c>
      <c r="M97" s="300">
        <f t="shared" si="48"/>
        <v>6.916933523117933E-4</v>
      </c>
      <c r="N97" s="300">
        <f t="shared" si="48"/>
        <v>8.6648898108532605E-4</v>
      </c>
      <c r="O97" s="300">
        <f t="shared" si="48"/>
        <v>1.0520535316162227E-3</v>
      </c>
      <c r="P97" s="300">
        <f t="shared" si="48"/>
        <v>1.2483160937600945E-3</v>
      </c>
      <c r="Q97" s="300">
        <f t="shared" si="48"/>
        <v>1.4552057573725564E-3</v>
      </c>
      <c r="R97" s="300">
        <f t="shared" si="48"/>
        <v>1.6726516123092188E-3</v>
      </c>
      <c r="S97" s="300">
        <f t="shared" si="48"/>
        <v>1.9005827484256947E-3</v>
      </c>
      <c r="T97" s="300">
        <f t="shared" si="48"/>
        <v>2.1389282555775973E-3</v>
      </c>
      <c r="U97" s="300">
        <f t="shared" si="48"/>
        <v>2.3876172236205382E-3</v>
      </c>
      <c r="V97" s="300">
        <f t="shared" si="48"/>
        <v>2.6465787424101309E-3</v>
      </c>
      <c r="W97" s="300">
        <f t="shared" si="48"/>
        <v>2.9157419018019863E-3</v>
      </c>
      <c r="X97" s="300">
        <f t="shared" si="48"/>
        <v>3.3991504356149058E-3</v>
      </c>
      <c r="Y97" s="300">
        <f t="shared" si="48"/>
        <v>3.9123067700255918E-3</v>
      </c>
      <c r="Z97" s="300">
        <f t="shared" si="48"/>
        <v>4.4550106287559879E-3</v>
      </c>
      <c r="AA97" s="300">
        <f t="shared" si="48"/>
        <v>5.0270617355280371E-3</v>
      </c>
      <c r="AB97" s="300">
        <f t="shared" si="48"/>
        <v>5.6282598140636863E-3</v>
      </c>
      <c r="AC97" s="300">
        <f t="shared" si="48"/>
        <v>6.2584045880848729E-3</v>
      </c>
      <c r="AD97" s="300">
        <f t="shared" si="48"/>
        <v>6.9172957813135472E-3</v>
      </c>
      <c r="AE97" s="300">
        <f t="shared" si="48"/>
        <v>7.6047331174716468E-3</v>
      </c>
      <c r="AF97" s="300">
        <f t="shared" si="48"/>
        <v>8.3205163202811176E-3</v>
      </c>
      <c r="AG97" s="300">
        <f t="shared" si="48"/>
        <v>9.0644451134639197E-3</v>
      </c>
      <c r="AH97" s="245"/>
      <c r="AI97" s="423"/>
      <c r="AJ97" s="424"/>
      <c r="AL97" s="221"/>
      <c r="AM97" s="124"/>
      <c r="AN97" s="124"/>
      <c r="AO97" s="124"/>
      <c r="BD97" s="124"/>
      <c r="BE97" s="124"/>
      <c r="BF97" s="124"/>
      <c r="BG97" s="124"/>
      <c r="BH97" s="124"/>
      <c r="BI97" s="124"/>
      <c r="BJ97" s="124"/>
      <c r="BK97" s="124"/>
    </row>
    <row r="98" spans="1:63" outlineLevel="1">
      <c r="A98" s="4" t="s">
        <v>474</v>
      </c>
      <c r="C98" s="230">
        <f>C93-$C93</f>
        <v>0</v>
      </c>
      <c r="D98" s="230">
        <f t="shared" ref="D98:AG98" si="49">D93-$C93</f>
        <v>3.7425792483239515E-5</v>
      </c>
      <c r="E98" s="230">
        <f t="shared" si="49"/>
        <v>7.3233928602575607E-5</v>
      </c>
      <c r="F98" s="230">
        <f t="shared" si="49"/>
        <v>1.0716745810750454E-4</v>
      </c>
      <c r="G98" s="230">
        <f t="shared" si="49"/>
        <v>1.3897157683274866E-4</v>
      </c>
      <c r="H98" s="230">
        <f t="shared" si="49"/>
        <v>1.6839362669825479E-4</v>
      </c>
      <c r="I98" s="230">
        <f t="shared" si="49"/>
        <v>1.9518309570919559E-4</v>
      </c>
      <c r="J98" s="230">
        <f t="shared" si="49"/>
        <v>2.1909161795596866E-4</v>
      </c>
      <c r="K98" s="230">
        <f t="shared" si="49"/>
        <v>2.3987297361419721E-4</v>
      </c>
      <c r="L98" s="230">
        <f t="shared" si="49"/>
        <v>2.5728308894472981E-4</v>
      </c>
      <c r="M98" s="230">
        <f t="shared" si="49"/>
        <v>2.710800362936399E-4</v>
      </c>
      <c r="N98" s="230">
        <f t="shared" si="49"/>
        <v>3.3957742868978721E-4</v>
      </c>
      <c r="O98" s="230">
        <f t="shared" si="49"/>
        <v>4.0290127854061375E-4</v>
      </c>
      <c r="P98" s="230">
        <f t="shared" si="49"/>
        <v>4.5993841572482415E-4</v>
      </c>
      <c r="Q98" s="230">
        <f t="shared" si="49"/>
        <v>5.095850917604275E-4</v>
      </c>
      <c r="R98" s="230">
        <f t="shared" si="49"/>
        <v>5.5074697980473514E-4</v>
      </c>
      <c r="S98" s="230">
        <f t="shared" si="49"/>
        <v>5.8233917465436245E-4</v>
      </c>
      <c r="T98" s="230">
        <f t="shared" si="49"/>
        <v>6.032861927452286E-4</v>
      </c>
      <c r="U98" s="230">
        <f t="shared" si="49"/>
        <v>6.1252197215255636E-4</v>
      </c>
      <c r="V98" s="230">
        <f t="shared" si="49"/>
        <v>6.0898987259087162E-4</v>
      </c>
      <c r="W98" s="230">
        <f t="shared" si="49"/>
        <v>5.9164267541400388E-4</v>
      </c>
      <c r="X98" s="230">
        <f t="shared" si="49"/>
        <v>6.2046294648926436E-4</v>
      </c>
      <c r="Y98" s="230">
        <f t="shared" si="49"/>
        <v>6.2507364443309529E-4</v>
      </c>
      <c r="Z98" s="230">
        <f t="shared" si="49"/>
        <v>6.0246381903073789E-4</v>
      </c>
      <c r="AA98" s="230">
        <f t="shared" si="49"/>
        <v>5.496491302354029E-4</v>
      </c>
      <c r="AB98" s="230">
        <f t="shared" si="49"/>
        <v>4.63671848168271E-4</v>
      </c>
      <c r="AC98" s="230">
        <f t="shared" si="49"/>
        <v>3.4160085311849095E-4</v>
      </c>
      <c r="AD98" s="230">
        <f t="shared" si="49"/>
        <v>1.8053163554318356E-4</v>
      </c>
      <c r="AE98" s="230">
        <f t="shared" si="49"/>
        <v>-2.2413703932562621E-5</v>
      </c>
      <c r="AF98" s="230">
        <f t="shared" si="49"/>
        <v>-2.7008645451568827E-4</v>
      </c>
      <c r="AG98" s="230">
        <f t="shared" si="49"/>
        <v>-5.6531129524515947E-4</v>
      </c>
      <c r="AH98" s="245"/>
      <c r="AI98" s="133"/>
      <c r="AJ98" s="211"/>
      <c r="AL98" s="108"/>
      <c r="AM98" s="2"/>
      <c r="AN98" s="2"/>
      <c r="AO98" s="2"/>
      <c r="BC98" s="1"/>
      <c r="BD98" s="2"/>
      <c r="BE98" s="2"/>
      <c r="BF98" s="2"/>
      <c r="BG98" s="2"/>
      <c r="BH98" s="2"/>
      <c r="BI98" s="2"/>
      <c r="BJ98" s="2"/>
      <c r="BK98" s="2"/>
    </row>
    <row r="99" spans="1:63" outlineLevel="1">
      <c r="A99" s="4" t="s">
        <v>478</v>
      </c>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45"/>
      <c r="AI99" s="133"/>
      <c r="AJ99" s="211"/>
      <c r="AL99" s="108"/>
      <c r="AM99" s="2"/>
      <c r="AN99" s="2"/>
      <c r="AO99" s="2"/>
      <c r="BC99" s="1"/>
      <c r="BD99" s="2"/>
      <c r="BE99" s="2"/>
      <c r="BF99" s="2"/>
      <c r="BG99" s="2"/>
      <c r="BH99" s="2"/>
      <c r="BI99" s="2"/>
      <c r="BJ99" s="2"/>
      <c r="BK99" s="2"/>
    </row>
    <row r="100" spans="1:63" outlineLevel="1">
      <c r="A100" s="4" t="s">
        <v>745</v>
      </c>
      <c r="C100" s="230">
        <f t="shared" ref="C100:AG100" si="50">C95-$C95</f>
        <v>0</v>
      </c>
      <c r="D100" s="230">
        <f t="shared" si="50"/>
        <v>1.0428468996780228E-5</v>
      </c>
      <c r="E100" s="230">
        <f t="shared" si="50"/>
        <v>2.288517627810299E-5</v>
      </c>
      <c r="F100" s="230">
        <f t="shared" si="50"/>
        <v>3.7490971551146854E-5</v>
      </c>
      <c r="G100" s="230">
        <f t="shared" si="50"/>
        <v>5.4365627716756326E-5</v>
      </c>
      <c r="H100" s="230">
        <f t="shared" si="50"/>
        <v>7.3627840869441776E-5</v>
      </c>
      <c r="I100" s="230">
        <f t="shared" si="50"/>
        <v>9.5395230297379532E-5</v>
      </c>
      <c r="J100" s="230">
        <f t="shared" si="50"/>
        <v>1.1978433848241174E-4</v>
      </c>
      <c r="K100" s="230">
        <f t="shared" si="50"/>
        <v>1.4691063110004653E-4</v>
      </c>
      <c r="L100" s="230">
        <f t="shared" si="50"/>
        <v>1.7688849701945789E-4</v>
      </c>
      <c r="M100" s="230">
        <f t="shared" si="50"/>
        <v>2.0983124830348571E-4</v>
      </c>
      <c r="N100" s="230">
        <f t="shared" si="50"/>
        <v>2.6286023840898197E-4</v>
      </c>
      <c r="O100" s="230">
        <f t="shared" si="50"/>
        <v>3.2386953382506869E-4</v>
      </c>
      <c r="P100" s="230">
        <f t="shared" si="50"/>
        <v>3.9338221677499667E-4</v>
      </c>
      <c r="Q100" s="230">
        <f t="shared" si="50"/>
        <v>4.7191664213905803E-4</v>
      </c>
      <c r="R100" s="230">
        <f t="shared" si="50"/>
        <v>5.5998643745458487E-4</v>
      </c>
      <c r="S100" s="230">
        <f t="shared" si="50"/>
        <v>6.5810050291595086E-4</v>
      </c>
      <c r="T100" s="230">
        <f t="shared" si="50"/>
        <v>7.6676301137457018E-4</v>
      </c>
      <c r="U100" s="230">
        <f t="shared" si="50"/>
        <v>8.8647340833889778E-4</v>
      </c>
      <c r="V100" s="230">
        <f t="shared" si="50"/>
        <v>1.0177264119744297E-3</v>
      </c>
      <c r="W100" s="230">
        <f t="shared" si="50"/>
        <v>1.1610120131037025E-3</v>
      </c>
      <c r="X100" s="230">
        <f t="shared" si="50"/>
        <v>1.3882556005934093E-3</v>
      </c>
      <c r="Y100" s="230">
        <f t="shared" si="50"/>
        <v>1.6425203327627279E-3</v>
      </c>
      <c r="Z100" s="230">
        <f t="shared" si="50"/>
        <v>1.9252168270682915E-3</v>
      </c>
      <c r="AA100" s="230">
        <f t="shared" si="50"/>
        <v>2.2377423492148628E-3</v>
      </c>
      <c r="AB100" s="230">
        <f t="shared" si="50"/>
        <v>2.5814808131553362E-3</v>
      </c>
      <c r="AC100" s="230">
        <f t="shared" si="50"/>
        <v>2.9578027810907301E-3</v>
      </c>
      <c r="AD100" s="230">
        <f t="shared" si="50"/>
        <v>3.3680654634702001E-3</v>
      </c>
      <c r="AE100" s="230">
        <f t="shared" si="50"/>
        <v>3.8136127189910243E-3</v>
      </c>
      <c r="AF100" s="230">
        <f t="shared" si="50"/>
        <v>4.2957750545986155E-3</v>
      </c>
      <c r="AG100" s="230">
        <f t="shared" si="50"/>
        <v>4.8158696254865206E-3</v>
      </c>
      <c r="AH100" s="245"/>
      <c r="AI100" s="133"/>
      <c r="AJ100" s="211"/>
      <c r="AL100" s="108"/>
      <c r="AM100" s="2"/>
      <c r="AN100" s="2"/>
      <c r="AO100" s="2"/>
      <c r="BC100" s="1"/>
      <c r="BD100" s="2"/>
      <c r="BE100" s="2"/>
      <c r="BF100" s="2"/>
      <c r="BG100" s="2"/>
      <c r="BH100" s="2"/>
      <c r="BI100" s="2"/>
      <c r="BJ100" s="2"/>
      <c r="BK100" s="2"/>
    </row>
    <row r="101" spans="1:63" outlineLevel="1">
      <c r="A101" s="4" t="s">
        <v>1561</v>
      </c>
      <c r="C101" s="230">
        <f t="shared" ref="C101:AG101" si="51">C96-$C96</f>
        <v>0</v>
      </c>
      <c r="D101" s="230">
        <f t="shared" si="51"/>
        <v>1.0428468996780228E-5</v>
      </c>
      <c r="E101" s="230">
        <f t="shared" si="51"/>
        <v>2.288517627810299E-5</v>
      </c>
      <c r="F101" s="230">
        <f t="shared" si="51"/>
        <v>3.7490971551146854E-5</v>
      </c>
      <c r="G101" s="230">
        <f t="shared" si="51"/>
        <v>5.4365627716756326E-5</v>
      </c>
      <c r="H101" s="230">
        <f t="shared" si="51"/>
        <v>7.3627840869441776E-5</v>
      </c>
      <c r="I101" s="230">
        <f t="shared" si="51"/>
        <v>9.5395230297379532E-5</v>
      </c>
      <c r="J101" s="230">
        <f t="shared" si="51"/>
        <v>1.1978433848241174E-4</v>
      </c>
      <c r="K101" s="230">
        <f t="shared" si="51"/>
        <v>1.4691063110004653E-4</v>
      </c>
      <c r="L101" s="230">
        <f t="shared" si="51"/>
        <v>1.7688849701945789E-4</v>
      </c>
      <c r="M101" s="230">
        <f t="shared" si="51"/>
        <v>2.0983124830348571E-4</v>
      </c>
      <c r="N101" s="230">
        <f t="shared" si="51"/>
        <v>2.6286023840898197E-4</v>
      </c>
      <c r="O101" s="230">
        <f t="shared" si="51"/>
        <v>3.2386953382506869E-4</v>
      </c>
      <c r="P101" s="230">
        <f t="shared" si="51"/>
        <v>3.9338221677499667E-4</v>
      </c>
      <c r="Q101" s="230">
        <f t="shared" si="51"/>
        <v>4.7191664213905803E-4</v>
      </c>
      <c r="R101" s="230">
        <f t="shared" si="51"/>
        <v>5.5998643745458487E-4</v>
      </c>
      <c r="S101" s="230">
        <f t="shared" si="51"/>
        <v>6.5810050291595086E-4</v>
      </c>
      <c r="T101" s="230">
        <f t="shared" si="51"/>
        <v>7.6676301137457018E-4</v>
      </c>
      <c r="U101" s="230">
        <f t="shared" si="51"/>
        <v>8.8647340833889778E-4</v>
      </c>
      <c r="V101" s="230">
        <f t="shared" si="51"/>
        <v>1.0177264119744297E-3</v>
      </c>
      <c r="W101" s="230">
        <f t="shared" si="51"/>
        <v>1.1610120131037025E-3</v>
      </c>
      <c r="X101" s="230">
        <f t="shared" si="51"/>
        <v>1.3882556005934093E-3</v>
      </c>
      <c r="Y101" s="230">
        <f t="shared" si="51"/>
        <v>1.6425203327627279E-3</v>
      </c>
      <c r="Z101" s="230">
        <f t="shared" si="51"/>
        <v>1.9252168270682915E-3</v>
      </c>
      <c r="AA101" s="230">
        <f t="shared" si="51"/>
        <v>2.2377423492148628E-3</v>
      </c>
      <c r="AB101" s="230">
        <f t="shared" si="51"/>
        <v>2.5814808131553362E-3</v>
      </c>
      <c r="AC101" s="230">
        <f t="shared" si="51"/>
        <v>2.9578027810907301E-3</v>
      </c>
      <c r="AD101" s="230">
        <f t="shared" si="51"/>
        <v>3.3680654634702001E-3</v>
      </c>
      <c r="AE101" s="230">
        <f t="shared" si="51"/>
        <v>3.8136127189910243E-3</v>
      </c>
      <c r="AF101" s="230">
        <f t="shared" si="51"/>
        <v>4.2957750545986155E-3</v>
      </c>
      <c r="AG101" s="230">
        <f t="shared" si="51"/>
        <v>4.8158696254865206E-3</v>
      </c>
      <c r="AH101" s="245"/>
      <c r="AI101" s="133"/>
      <c r="AJ101" s="211"/>
      <c r="AL101" s="108"/>
      <c r="AM101" s="2"/>
      <c r="AN101" s="2"/>
      <c r="AO101" s="2"/>
      <c r="BC101" s="1"/>
      <c r="BD101" s="2"/>
      <c r="BE101" s="2"/>
      <c r="BF101" s="2"/>
      <c r="BG101" s="2"/>
      <c r="BH101" s="2"/>
      <c r="BI101" s="2"/>
      <c r="BJ101" s="2"/>
      <c r="BK101" s="2"/>
    </row>
    <row r="102" spans="1:63" s="1" customFormat="1" outlineLevel="1">
      <c r="A102" s="1" t="s">
        <v>1567</v>
      </c>
      <c r="B102" s="65"/>
      <c r="C102" s="300">
        <f>C42*C68</f>
        <v>0.48062994175736984</v>
      </c>
      <c r="D102" s="300">
        <f t="shared" ref="D102:AG102" si="52">D42*D68</f>
        <v>0.51296530002009633</v>
      </c>
      <c r="E102" s="300">
        <f t="shared" si="52"/>
        <v>0.54542735176597712</v>
      </c>
      <c r="F102" s="300">
        <f t="shared" si="52"/>
        <v>0.57781612144460026</v>
      </c>
      <c r="G102" s="300">
        <f t="shared" si="52"/>
        <v>0.60992350301719178</v>
      </c>
      <c r="H102" s="300">
        <f t="shared" si="52"/>
        <v>0.64153544878818303</v>
      </c>
      <c r="I102" s="300">
        <f t="shared" si="52"/>
        <v>0.67388507236058481</v>
      </c>
      <c r="J102" s="300">
        <f t="shared" si="52"/>
        <v>0.70695574284106633</v>
      </c>
      <c r="K102" s="300">
        <f t="shared" si="52"/>
        <v>0.74072904135122386</v>
      </c>
      <c r="L102" s="300">
        <f t="shared" si="52"/>
        <v>0.77518475108628659</v>
      </c>
      <c r="M102" s="300">
        <f t="shared" si="52"/>
        <v>0.81030085209385949</v>
      </c>
      <c r="N102" s="300">
        <f t="shared" si="52"/>
        <v>0.87251112097061634</v>
      </c>
      <c r="O102" s="300">
        <f t="shared" si="52"/>
        <v>0.93477040971011183</v>
      </c>
      <c r="P102" s="300">
        <f t="shared" si="52"/>
        <v>0.9967538796902794</v>
      </c>
      <c r="Q102" s="300">
        <f t="shared" si="52"/>
        <v>1.0581292362514461</v>
      </c>
      <c r="R102" s="300">
        <f t="shared" si="52"/>
        <v>1.1185596305224215</v>
      </c>
      <c r="S102" s="300">
        <f t="shared" si="52"/>
        <v>1.1798285239828472</v>
      </c>
      <c r="T102" s="300">
        <f t="shared" si="52"/>
        <v>1.2419269206439612</v>
      </c>
      <c r="U102" s="300">
        <f t="shared" si="52"/>
        <v>1.3048453216036868</v>
      </c>
      <c r="V102" s="300">
        <f t="shared" si="52"/>
        <v>1.3685737242064187</v>
      </c>
      <c r="W102" s="300">
        <f t="shared" si="52"/>
        <v>1.433101621546748</v>
      </c>
      <c r="X102" s="300">
        <f t="shared" si="52"/>
        <v>1.5303895429544505</v>
      </c>
      <c r="Y102" s="300">
        <f t="shared" si="52"/>
        <v>1.6289799617327179</v>
      </c>
      <c r="Z102" s="300">
        <f t="shared" si="52"/>
        <v>1.7288590869176408</v>
      </c>
      <c r="AA102" s="300">
        <f t="shared" si="52"/>
        <v>1.8300124175975758</v>
      </c>
      <c r="AB102" s="300">
        <f t="shared" si="52"/>
        <v>1.932424742329522</v>
      </c>
      <c r="AC102" s="300">
        <f t="shared" si="52"/>
        <v>2.0360993885860132</v>
      </c>
      <c r="AD102" s="300">
        <f t="shared" si="52"/>
        <v>2.1410227259899766</v>
      </c>
      <c r="AE102" s="300">
        <f t="shared" si="52"/>
        <v>2.2471804891832106</v>
      </c>
      <c r="AF102" s="300">
        <f t="shared" si="52"/>
        <v>2.3545577776484401</v>
      </c>
      <c r="AG102" s="300">
        <f t="shared" si="52"/>
        <v>2.4631390558971846</v>
      </c>
      <c r="AH102" s="245"/>
      <c r="AI102" s="423"/>
      <c r="AJ102" s="424"/>
      <c r="AL102" s="221"/>
      <c r="AM102" s="124"/>
      <c r="AN102" s="124"/>
      <c r="AO102" s="124"/>
      <c r="BD102" s="124"/>
      <c r="BE102" s="124"/>
      <c r="BF102" s="124"/>
      <c r="BG102" s="124"/>
      <c r="BH102" s="124"/>
      <c r="BI102" s="124"/>
      <c r="BJ102" s="124"/>
      <c r="BK102" s="124"/>
    </row>
    <row r="103" spans="1:63" outlineLevel="1">
      <c r="A103" s="4" t="s">
        <v>474</v>
      </c>
      <c r="C103" s="230">
        <f>C$102*'BTX recycling rates'!E54</f>
        <v>0.4789500136586477</v>
      </c>
      <c r="D103" s="230">
        <f>D$102*'BTX recycling rates'!F54</f>
        <v>0.50433199316321031</v>
      </c>
      <c r="E103" s="230">
        <f>E$102*'BTX recycling rates'!G54</f>
        <v>0.52897446471997955</v>
      </c>
      <c r="F103" s="230">
        <f>F$102*'BTX recycling rates'!H54</f>
        <v>0.55268108338019051</v>
      </c>
      <c r="G103" s="230">
        <f>G$102*'BTX recycling rates'!I54</f>
        <v>0.57525850244568033</v>
      </c>
      <c r="H103" s="230">
        <f>H$102*'BTX recycling rates'!J54</f>
        <v>0.5965189508079054</v>
      </c>
      <c r="I103" s="230">
        <f>I$102*'BTX recycling rates'!K54</f>
        <v>0.61761239089632813</v>
      </c>
      <c r="J103" s="230">
        <f>J$102*'BTX recycling rates'!L54</f>
        <v>0.6384942916966414</v>
      </c>
      <c r="K103" s="230">
        <f>K$102*'BTX recycling rates'!M54</f>
        <v>0.65911941828766818</v>
      </c>
      <c r="L103" s="230">
        <f>L$102*'BTX recycling rates'!N54</f>
        <v>0.67944194234122313</v>
      </c>
      <c r="M103" s="230">
        <f>M$102*'BTX recycling rates'!O54</f>
        <v>0.69941555749149953</v>
      </c>
      <c r="N103" s="230">
        <f>N$102*'BTX recycling rates'!P54</f>
        <v>0.74147780932065643</v>
      </c>
      <c r="O103" s="230">
        <f>O$102*'BTX recycling rates'!Q54</f>
        <v>0.78192192595647236</v>
      </c>
      <c r="P103" s="230">
        <f>P$102*'BTX recycling rates'!R54</f>
        <v>0.82047855526208513</v>
      </c>
      <c r="Q103" s="230">
        <f>Q$102*'BTX recycling rates'!S54</f>
        <v>0.85688963389028039</v>
      </c>
      <c r="R103" s="230">
        <f>R$102*'BTX recycling rates'!T54</f>
        <v>0.89091119566089383</v>
      </c>
      <c r="S103" s="230">
        <f>S$102*'BTX recycling rates'!U54</f>
        <v>0.92397775397017101</v>
      </c>
      <c r="T103" s="230">
        <f>T$102*'BTX recycling rates'!V54</f>
        <v>0.95604883961535969</v>
      </c>
      <c r="U103" s="230">
        <f>U$102*'BTX recycling rates'!W54</f>
        <v>0.98708408279553717</v>
      </c>
      <c r="V103" s="230">
        <f>V$102*'BTX recycling rates'!X54</f>
        <v>1.0170432460187901</v>
      </c>
      <c r="W103" s="230">
        <f>W$102*'BTX recycling rates'!Y54</f>
        <v>1.04588625732763</v>
      </c>
      <c r="X103" s="230">
        <f>X$102*'BTX recycling rates'!Z54</f>
        <v>1.0964799297543479</v>
      </c>
      <c r="Y103" s="230">
        <f>Y$102*'BTX recycling rates'!AA54</f>
        <v>1.1453947793035322</v>
      </c>
      <c r="Z103" s="230">
        <f>Z$102*'BTX recycling rates'!AB54</f>
        <v>1.1925691868032813</v>
      </c>
      <c r="AA103" s="230">
        <f>AA$102*'BTX recycling rates'!AC54</f>
        <v>1.2379417884323014</v>
      </c>
      <c r="AB103" s="230">
        <f>AB$102*'BTX recycling rates'!AD54</f>
        <v>1.281451522668416</v>
      </c>
      <c r="AC103" s="230">
        <f>AC$102*'BTX recycling rates'!AE54</f>
        <v>1.3230501858855608</v>
      </c>
      <c r="AD103" s="230">
        <f>AD$102*'BTX recycling rates'!AF54</f>
        <v>1.3626786039522327</v>
      </c>
      <c r="AE103" s="230">
        <f>AE$102*'BTX recycling rates'!AG54</f>
        <v>1.4002779341039868</v>
      </c>
      <c r="AF103" s="230">
        <f>AF$102*'BTX recycling rates'!AH54</f>
        <v>1.435789707172082</v>
      </c>
      <c r="AG103" s="230">
        <f>AG$102*'BTX recycling rates'!AI54</f>
        <v>1.4691558700445539</v>
      </c>
      <c r="AH103" s="245"/>
      <c r="AI103" s="133"/>
      <c r="AJ103" s="211"/>
      <c r="AL103" s="108"/>
      <c r="AM103" s="2"/>
      <c r="AN103" s="2"/>
      <c r="AO103" s="2"/>
      <c r="BC103" s="1"/>
      <c r="BD103" s="2"/>
      <c r="BE103" s="2"/>
      <c r="BF103" s="2"/>
      <c r="BG103" s="2"/>
      <c r="BH103" s="2"/>
      <c r="BI103" s="2"/>
      <c r="BJ103" s="2"/>
      <c r="BK103" s="2"/>
    </row>
    <row r="104" spans="1:63" outlineLevel="1">
      <c r="A104" s="4" t="s">
        <v>478</v>
      </c>
      <c r="C104" s="230">
        <f>C$102*'BTX recycling rates'!E55</f>
        <v>1.6799280987221305E-3</v>
      </c>
      <c r="D104" s="230">
        <f>D$102*'BTX recycling rates'!F55</f>
        <v>7.2513179640079639E-3</v>
      </c>
      <c r="E104" s="230">
        <f>E$102*'BTX recycling rates'!G55</f>
        <v>1.3513996084043769E-2</v>
      </c>
      <c r="F104" s="230">
        <f>F$102*'BTX recycling rates'!H55</f>
        <v>2.0464924148725566E-2</v>
      </c>
      <c r="G104" s="230">
        <f>G$102*'BTX recycling rates'!I55</f>
        <v>2.80921777576329E-2</v>
      </c>
      <c r="H104" s="230">
        <f>H$102*'BTX recycling rates'!J55</f>
        <v>3.6374637950192898E-2</v>
      </c>
      <c r="I104" s="230">
        <f>I$102*'BTX recycling rates'!K55</f>
        <v>4.5379527267953287E-2</v>
      </c>
      <c r="J104" s="230">
        <f>J$102*'BTX recycling rates'!L55</f>
        <v>5.5129097298519433E-2</v>
      </c>
      <c r="K104" s="230">
        <f>K$102*'BTX recycling rates'!M55</f>
        <v>6.5644733309968034E-2</v>
      </c>
      <c r="L104" s="230">
        <f>L$102*'BTX recycling rates'!N55</f>
        <v>7.6946858135949106E-2</v>
      </c>
      <c r="M104" s="230">
        <f>M$102*'BTX recycling rates'!O55</f>
        <v>8.9054835944835264E-2</v>
      </c>
      <c r="N104" s="230">
        <f>N$102*'BTX recycling rates'!P55</f>
        <v>0.10517618747701062</v>
      </c>
      <c r="O104" s="230">
        <f>O$102*'BTX recycling rates'!Q55</f>
        <v>0.12262790570924137</v>
      </c>
      <c r="P104" s="230">
        <f>P$102*'BTX recycling rates'!R55</f>
        <v>0.1413654849557299</v>
      </c>
      <c r="Q104" s="230">
        <f>Q$102*'BTX recycling rates'!S55</f>
        <v>0.16132945654154665</v>
      </c>
      <c r="R104" s="230">
        <f>R$102*'BTX recycling rates'!T55</f>
        <v>0.1824454654206156</v>
      </c>
      <c r="S104" s="230">
        <f>S$102*'BTX recycling rates'!U55</f>
        <v>0.20499321951306501</v>
      </c>
      <c r="T104" s="230">
        <f>T$102*'BTX recycling rates'!V55</f>
        <v>0.22899782700266147</v>
      </c>
      <c r="U104" s="230">
        <f>U$102*'BTX recycling rates'!W55</f>
        <v>0.25448391509137591</v>
      </c>
      <c r="V104" s="230">
        <f>V$102*'BTX recycling rates'!X55</f>
        <v>0.28147560306953606</v>
      </c>
      <c r="W104" s="230">
        <f>W$102*'BTX recycling rates'!Y55</f>
        <v>0.3099964754067342</v>
      </c>
      <c r="X104" s="230">
        <f>X$102*'BTX recycling rates'!Z55</f>
        <v>0.34732557262036851</v>
      </c>
      <c r="Y104" s="230">
        <f>Y$102*'BTX recycling rates'!AA55</f>
        <v>0.3870345800737402</v>
      </c>
      <c r="Z104" s="230">
        <f>Z$102*'BTX recycling rates'!AB55</f>
        <v>0.42916165328422995</v>
      </c>
      <c r="AA104" s="230">
        <f>AA$102*'BTX recycling rates'!AC55</f>
        <v>0.47374417699318233</v>
      </c>
      <c r="AB104" s="230">
        <f>AB$102*'BTX recycling rates'!AD55</f>
        <v>0.52081872723649514</v>
      </c>
      <c r="AC104" s="230">
        <f>AC$102*'BTX recycling rates'!AE55</f>
        <v>0.57042642639862917</v>
      </c>
      <c r="AD104" s="230">
        <f>AD$102*'BTX recycling rates'!AF55</f>
        <v>0.62260360719542018</v>
      </c>
      <c r="AE104" s="230">
        <f>AE$102*'BTX recycling rates'!AG55</f>
        <v>0.67738583078186687</v>
      </c>
      <c r="AF104" s="230">
        <f>AF$102*'BTX recycling rates'!AH55</f>
        <v>0.73480785291301176</v>
      </c>
      <c r="AG104" s="230">
        <f>AG$102*'BTX recycling rates'!AI55</f>
        <v>0.79490359021151658</v>
      </c>
      <c r="AH104" s="245"/>
      <c r="AI104" s="133"/>
      <c r="AJ104" s="211"/>
      <c r="AL104" s="108"/>
      <c r="AM104" s="2"/>
      <c r="AN104" s="2"/>
      <c r="AO104" s="2"/>
      <c r="BC104" s="1"/>
      <c r="BD104" s="2"/>
      <c r="BE104" s="2"/>
      <c r="BF104" s="2"/>
      <c r="BG104" s="2"/>
      <c r="BH104" s="2"/>
      <c r="BI104" s="2"/>
      <c r="BJ104" s="2"/>
      <c r="BK104" s="2"/>
    </row>
    <row r="105" spans="1:63" outlineLevel="1">
      <c r="A105" s="4" t="s">
        <v>745</v>
      </c>
      <c r="C105" s="230">
        <f>C$102*'BTX recycling rates'!E56</f>
        <v>0</v>
      </c>
      <c r="D105" s="230">
        <f>D$102*'BTX recycling rates'!F56</f>
        <v>1.2722473864776197E-3</v>
      </c>
      <c r="E105" s="230">
        <f>E$102*'BTX recycling rates'!G56</f>
        <v>2.7055183762741387E-3</v>
      </c>
      <c r="F105" s="230">
        <f>F$102*'BTX recycling rates'!H56</f>
        <v>4.2992677107616889E-3</v>
      </c>
      <c r="G105" s="230">
        <f>G$102*'BTX recycling rates'!I56</f>
        <v>6.0508855677722968E-3</v>
      </c>
      <c r="H105" s="230">
        <f>H$102*'BTX recycling rates'!J56</f>
        <v>7.9556238796419255E-3</v>
      </c>
      <c r="I105" s="230">
        <f>I$102*'BTX recycling rates'!K56</f>
        <v>1.0028146411425265E-2</v>
      </c>
      <c r="J105" s="230">
        <f>J$102*'BTX recycling rates'!L56</f>
        <v>1.2273653155579099E-2</v>
      </c>
      <c r="K105" s="230">
        <f>K$102*'BTX recycling rates'!M56</f>
        <v>1.4697143637750895E-2</v>
      </c>
      <c r="L105" s="230">
        <f>L$102*'BTX recycling rates'!N56</f>
        <v>1.7303394522229391E-2</v>
      </c>
      <c r="M105" s="230">
        <f>M$102*'BTX recycling rates'!O56</f>
        <v>2.009693718652341E-2</v>
      </c>
      <c r="N105" s="230">
        <f>N$102*'BTX recycling rates'!P56</f>
        <v>2.3803851695474148E-2</v>
      </c>
      <c r="O105" s="230">
        <f>O$102*'BTX recycling rates'!Q56</f>
        <v>2.7820810740930329E-2</v>
      </c>
      <c r="P105" s="230">
        <f>P$102*'BTX recycling rates'!R56</f>
        <v>3.2137705491034514E-2</v>
      </c>
      <c r="Q105" s="230">
        <f>Q$102*'BTX recycling rates'!S56</f>
        <v>3.6740945585465749E-2</v>
      </c>
      <c r="R105" s="230">
        <f>R$102*'BTX recycling rates'!T56</f>
        <v>4.1613474629641746E-2</v>
      </c>
      <c r="S105" s="230">
        <f>S$102*'BTX recycling rates'!U56</f>
        <v>4.681903453727166E-2</v>
      </c>
      <c r="T105" s="230">
        <f>T$102*'BTX recycling rates'!V56</f>
        <v>5.2363484901806839E-2</v>
      </c>
      <c r="U105" s="230">
        <f>U$102*'BTX recycling rates'!W56</f>
        <v>5.8252573618235895E-2</v>
      </c>
      <c r="V105" s="230">
        <f>V$102*'BTX recycling rates'!X56</f>
        <v>6.449193060690768E-2</v>
      </c>
      <c r="W105" s="230">
        <f>W$102*'BTX recycling rates'!Y56</f>
        <v>7.1087061541911717E-2</v>
      </c>
      <c r="X105" s="230">
        <f>X$102*'BTX recycling rates'!Z56</f>
        <v>7.9708541729906907E-2</v>
      </c>
      <c r="Y105" s="230">
        <f>Y$102*'BTX recycling rates'!AA56</f>
        <v>8.8883674928633138E-2</v>
      </c>
      <c r="Z105" s="230">
        <f>Z$102*'BTX recycling rates'!AB56</f>
        <v>9.8621365735959726E-2</v>
      </c>
      <c r="AA105" s="230">
        <f>AA$102*'BTX recycling rates'!AC56</f>
        <v>0.10893033967415237</v>
      </c>
      <c r="AB105" s="230">
        <f>AB$102*'BTX recycling rates'!AD56</f>
        <v>0.1198191343496873</v>
      </c>
      <c r="AC105" s="230">
        <f>AC$102*'BTX recycling rates'!AE56</f>
        <v>0.13129733193752002</v>
      </c>
      <c r="AD105" s="230">
        <f>AD$102*'BTX recycling rates'!AF56</f>
        <v>0.1433734120425437</v>
      </c>
      <c r="AE105" s="230">
        <f>AE$102*'BTX recycling rates'!AG56</f>
        <v>0.1560556749500509</v>
      </c>
      <c r="AF105" s="230">
        <f>AF$102*'BTX recycling rates'!AH56</f>
        <v>0.16935223373859068</v>
      </c>
      <c r="AG105" s="230">
        <f>AG$102*'BTX recycling rates'!AI56</f>
        <v>0.1832710064173956</v>
      </c>
      <c r="AH105" s="245"/>
      <c r="AI105" s="133"/>
      <c r="AJ105" s="211"/>
      <c r="AL105" s="108"/>
      <c r="AM105" s="2"/>
      <c r="AN105" s="2"/>
      <c r="AO105" s="2"/>
      <c r="BC105" s="1"/>
      <c r="BD105" s="2"/>
      <c r="BE105" s="2"/>
      <c r="BF105" s="2"/>
      <c r="BG105" s="2"/>
      <c r="BH105" s="2"/>
      <c r="BI105" s="2"/>
      <c r="BJ105" s="2"/>
      <c r="BK105" s="2"/>
    </row>
    <row r="106" spans="1:63" outlineLevel="1">
      <c r="A106" s="4" t="s">
        <v>1561</v>
      </c>
      <c r="C106" s="230">
        <f>C$102*'BTX recycling rates'!E57</f>
        <v>0</v>
      </c>
      <c r="D106" s="230">
        <f>D$102*'BTX recycling rates'!F57</f>
        <v>1.0974150640046569E-4</v>
      </c>
      <c r="E106" s="230">
        <f>E$102*'BTX recycling rates'!G57</f>
        <v>2.3337258567965538E-4</v>
      </c>
      <c r="F106" s="230">
        <f>F$102*'BTX recycling rates'!H57</f>
        <v>3.7084620492255894E-4</v>
      </c>
      <c r="G106" s="230">
        <f>G$102*'BTX recycling rates'!I57</f>
        <v>5.219372461063807E-4</v>
      </c>
      <c r="H106" s="230">
        <f>H$102*'BTX recycling rates'!J57</f>
        <v>6.8623615044288429E-4</v>
      </c>
      <c r="I106" s="230">
        <f>I$102*'BTX recycling rates'!K57</f>
        <v>8.6500778487831609E-4</v>
      </c>
      <c r="J106" s="230">
        <f>J$102*'BTX recycling rates'!L57</f>
        <v>1.0587006903266087E-3</v>
      </c>
      <c r="K106" s="230">
        <f>K$102*'BTX recycling rates'!M57</f>
        <v>1.2677461158370207E-3</v>
      </c>
      <c r="L106" s="230">
        <f>L$102*'BTX recycling rates'!N57</f>
        <v>1.4925560868852476E-3</v>
      </c>
      <c r="M106" s="230">
        <f>M$102*'BTX recycling rates'!O57</f>
        <v>1.7335214710015926E-3</v>
      </c>
      <c r="N106" s="230">
        <f>N$102*'BTX recycling rates'!P57</f>
        <v>2.0532724774754837E-3</v>
      </c>
      <c r="O106" s="230">
        <f>O$102*'BTX recycling rates'!Q57</f>
        <v>2.399767303468268E-3</v>
      </c>
      <c r="P106" s="230">
        <f>P$102*'BTX recycling rates'!R57</f>
        <v>2.7721339814304152E-3</v>
      </c>
      <c r="Q106" s="230">
        <f>Q$102*'BTX recycling rates'!S57</f>
        <v>3.1692002341538921E-3</v>
      </c>
      <c r="R106" s="230">
        <f>R$102*'BTX recycling rates'!T57</f>
        <v>3.5894948112709505E-3</v>
      </c>
      <c r="S106" s="230">
        <f>S$102*'BTX recycling rates'!U57</f>
        <v>4.038515962340318E-3</v>
      </c>
      <c r="T106" s="230">
        <f>T$102*'BTX recycling rates'!V57</f>
        <v>4.5167691241340246E-3</v>
      </c>
      <c r="U106" s="230">
        <f>U$102*'BTX recycling rates'!W57</f>
        <v>5.0247500985388617E-3</v>
      </c>
      <c r="V106" s="230">
        <f>V$102*'BTX recycling rates'!X57</f>
        <v>5.5629445111859497E-3</v>
      </c>
      <c r="W106" s="230">
        <f>W$102*'BTX recycling rates'!Y57</f>
        <v>6.1318272704734148E-3</v>
      </c>
      <c r="X106" s="230">
        <f>X$102*'BTX recycling rates'!Z57</f>
        <v>6.8754988498286344E-3</v>
      </c>
      <c r="Y106" s="230">
        <f>Y$102*'BTX recycling rates'!AA57</f>
        <v>7.6669274268138469E-3</v>
      </c>
      <c r="Z106" s="230">
        <f>Z$102*'BTX recycling rates'!AB57</f>
        <v>8.5068810941714371E-3</v>
      </c>
      <c r="AA106" s="230">
        <f>AA$102*'BTX recycling rates'!AC57</f>
        <v>9.3961124979415889E-3</v>
      </c>
      <c r="AB106" s="230">
        <f>AB$102*'BTX recycling rates'!AD57</f>
        <v>1.0335358074925602E-2</v>
      </c>
      <c r="AC106" s="230">
        <f>AC$102*'BTX recycling rates'!AE57</f>
        <v>1.1325444364305541E-2</v>
      </c>
      <c r="AD106" s="230">
        <f>AD$102*'BTX recycling rates'!AF57</f>
        <v>1.2367102799782551E-2</v>
      </c>
      <c r="AE106" s="230">
        <f>AE$102*'BTX recycling rates'!AG57</f>
        <v>1.3461049347308884E-2</v>
      </c>
      <c r="AF106" s="230">
        <f>AF$102*'BTX recycling rates'!AH57</f>
        <v>1.460798382475878E-2</v>
      </c>
      <c r="AG106" s="230">
        <f>AG$102*'BTX recycling rates'!AI57</f>
        <v>1.5808589223718725E-2</v>
      </c>
      <c r="AH106" s="245"/>
      <c r="AI106" s="133"/>
      <c r="AJ106" s="211"/>
      <c r="AL106" s="108"/>
      <c r="AM106" s="2"/>
      <c r="AN106" s="2"/>
      <c r="AO106" s="2"/>
      <c r="BC106" s="1"/>
      <c r="BD106" s="2"/>
      <c r="BE106" s="2"/>
      <c r="BF106" s="2"/>
      <c r="BG106" s="2"/>
      <c r="BH106" s="2"/>
      <c r="BI106" s="2"/>
      <c r="BJ106" s="2"/>
      <c r="BK106" s="2"/>
    </row>
    <row r="107" spans="1:63" s="1" customFormat="1" outlineLevel="1">
      <c r="A107" s="1" t="s">
        <v>1568</v>
      </c>
      <c r="B107" s="65"/>
      <c r="C107" s="300">
        <f>C102-$C102</f>
        <v>0</v>
      </c>
      <c r="D107" s="300">
        <f t="shared" ref="D107:AG107" si="53">D102-$C102</f>
        <v>3.2335358262726488E-2</v>
      </c>
      <c r="E107" s="300">
        <f t="shared" si="53"/>
        <v>6.4797410008607281E-2</v>
      </c>
      <c r="F107" s="300">
        <f t="shared" si="53"/>
        <v>9.7186179687230423E-2</v>
      </c>
      <c r="G107" s="300">
        <f t="shared" si="53"/>
        <v>0.12929356125982194</v>
      </c>
      <c r="H107" s="300">
        <f t="shared" si="53"/>
        <v>0.16090550703081319</v>
      </c>
      <c r="I107" s="300">
        <f t="shared" si="53"/>
        <v>0.19325513060321498</v>
      </c>
      <c r="J107" s="300">
        <f t="shared" si="53"/>
        <v>0.22632580108369649</v>
      </c>
      <c r="K107" s="300">
        <f t="shared" si="53"/>
        <v>0.26009909959385402</v>
      </c>
      <c r="L107" s="300">
        <f t="shared" si="53"/>
        <v>0.29455480932891676</v>
      </c>
      <c r="M107" s="300">
        <f t="shared" si="53"/>
        <v>0.32967091033648965</v>
      </c>
      <c r="N107" s="300">
        <f t="shared" si="53"/>
        <v>0.3918811792132465</v>
      </c>
      <c r="O107" s="300">
        <f t="shared" si="53"/>
        <v>0.45414046795274199</v>
      </c>
      <c r="P107" s="300">
        <f t="shared" si="53"/>
        <v>0.51612393793290956</v>
      </c>
      <c r="Q107" s="300">
        <f t="shared" si="53"/>
        <v>0.57749929449407622</v>
      </c>
      <c r="R107" s="300">
        <f t="shared" si="53"/>
        <v>0.63792968876505163</v>
      </c>
      <c r="S107" s="300">
        <f t="shared" si="53"/>
        <v>0.69919858222547737</v>
      </c>
      <c r="T107" s="300">
        <f t="shared" si="53"/>
        <v>0.76129697888659131</v>
      </c>
      <c r="U107" s="300">
        <f t="shared" si="53"/>
        <v>0.82421537984631699</v>
      </c>
      <c r="V107" s="300">
        <f t="shared" si="53"/>
        <v>0.88794378244904881</v>
      </c>
      <c r="W107" s="300">
        <f t="shared" si="53"/>
        <v>0.95247167978937819</v>
      </c>
      <c r="X107" s="300">
        <f t="shared" si="53"/>
        <v>1.0497596011970807</v>
      </c>
      <c r="Y107" s="300">
        <f t="shared" si="53"/>
        <v>1.148350019975348</v>
      </c>
      <c r="Z107" s="300">
        <f t="shared" si="53"/>
        <v>1.2482291451602709</v>
      </c>
      <c r="AA107" s="300">
        <f t="shared" si="53"/>
        <v>1.349382475840206</v>
      </c>
      <c r="AB107" s="300">
        <f t="shared" si="53"/>
        <v>1.4517948005721522</v>
      </c>
      <c r="AC107" s="300">
        <f t="shared" si="53"/>
        <v>1.5554694468286434</v>
      </c>
      <c r="AD107" s="300">
        <f t="shared" si="53"/>
        <v>1.6603927842326067</v>
      </c>
      <c r="AE107" s="300">
        <f t="shared" si="53"/>
        <v>1.7665505474258407</v>
      </c>
      <c r="AF107" s="300">
        <f t="shared" si="53"/>
        <v>1.8739278358910703</v>
      </c>
      <c r="AG107" s="300">
        <f t="shared" si="53"/>
        <v>1.9825091141398148</v>
      </c>
      <c r="AH107" s="245"/>
      <c r="AI107" s="423"/>
      <c r="AJ107" s="424"/>
      <c r="AL107" s="221"/>
      <c r="AM107" s="124"/>
      <c r="AN107" s="124"/>
      <c r="AO107" s="124"/>
      <c r="BD107" s="124"/>
      <c r="BE107" s="124"/>
      <c r="BF107" s="124"/>
      <c r="BG107" s="124"/>
      <c r="BH107" s="124"/>
      <c r="BI107" s="124"/>
      <c r="BJ107" s="124"/>
      <c r="BK107" s="124"/>
    </row>
    <row r="108" spans="1:63" outlineLevel="1">
      <c r="A108" s="4" t="s">
        <v>474</v>
      </c>
      <c r="C108" s="230">
        <f>C103-$C103</f>
        <v>0</v>
      </c>
      <c r="D108" s="230">
        <f t="shared" ref="D108:AG108" si="54">D103-$C103</f>
        <v>2.5381979504562613E-2</v>
      </c>
      <c r="E108" s="230">
        <f t="shared" si="54"/>
        <v>5.0024451061331854E-2</v>
      </c>
      <c r="F108" s="230">
        <f t="shared" si="54"/>
        <v>7.3731069721542808E-2</v>
      </c>
      <c r="G108" s="230">
        <f t="shared" si="54"/>
        <v>9.6308488787032631E-2</v>
      </c>
      <c r="H108" s="230">
        <f t="shared" si="54"/>
        <v>0.1175689371492577</v>
      </c>
      <c r="I108" s="230">
        <f t="shared" si="54"/>
        <v>0.13866237723768043</v>
      </c>
      <c r="J108" s="230">
        <f t="shared" si="54"/>
        <v>0.1595442780379937</v>
      </c>
      <c r="K108" s="230">
        <f t="shared" si="54"/>
        <v>0.18016940462902048</v>
      </c>
      <c r="L108" s="230">
        <f t="shared" si="54"/>
        <v>0.20049192868257543</v>
      </c>
      <c r="M108" s="230">
        <f t="shared" si="54"/>
        <v>0.22046554383285183</v>
      </c>
      <c r="N108" s="230">
        <f t="shared" si="54"/>
        <v>0.26252779566200873</v>
      </c>
      <c r="O108" s="230">
        <f t="shared" si="54"/>
        <v>0.30297191229782466</v>
      </c>
      <c r="P108" s="230">
        <f t="shared" si="54"/>
        <v>0.34152854160343743</v>
      </c>
      <c r="Q108" s="230">
        <f t="shared" si="54"/>
        <v>0.37793962023163269</v>
      </c>
      <c r="R108" s="230">
        <f t="shared" si="54"/>
        <v>0.41196118200224613</v>
      </c>
      <c r="S108" s="230">
        <f t="shared" si="54"/>
        <v>0.44502774031152331</v>
      </c>
      <c r="T108" s="230">
        <f t="shared" si="54"/>
        <v>0.47709882595671199</v>
      </c>
      <c r="U108" s="230">
        <f t="shared" si="54"/>
        <v>0.50813406913688941</v>
      </c>
      <c r="V108" s="230">
        <f t="shared" si="54"/>
        <v>0.53809323236014239</v>
      </c>
      <c r="W108" s="230">
        <f t="shared" si="54"/>
        <v>0.56693624366898221</v>
      </c>
      <c r="X108" s="230">
        <f t="shared" si="54"/>
        <v>0.61752991609570018</v>
      </c>
      <c r="Y108" s="230">
        <f t="shared" si="54"/>
        <v>0.66644476564488442</v>
      </c>
      <c r="Z108" s="230">
        <f t="shared" si="54"/>
        <v>0.71361917314463352</v>
      </c>
      <c r="AA108" s="230">
        <f t="shared" si="54"/>
        <v>0.75899177477365365</v>
      </c>
      <c r="AB108" s="230">
        <f t="shared" si="54"/>
        <v>0.80250150900976824</v>
      </c>
      <c r="AC108" s="230">
        <f t="shared" si="54"/>
        <v>0.84410017222691303</v>
      </c>
      <c r="AD108" s="230">
        <f t="shared" si="54"/>
        <v>0.88372859029358497</v>
      </c>
      <c r="AE108" s="230">
        <f t="shared" si="54"/>
        <v>0.92132792044533907</v>
      </c>
      <c r="AF108" s="230">
        <f t="shared" si="54"/>
        <v>0.95683969351343423</v>
      </c>
      <c r="AG108" s="230">
        <f t="shared" si="54"/>
        <v>0.99020585638590619</v>
      </c>
      <c r="AH108" s="245"/>
      <c r="AI108" s="133"/>
      <c r="AJ108" s="211"/>
      <c r="AL108" s="108"/>
      <c r="AM108" s="2"/>
      <c r="AN108" s="2"/>
      <c r="AO108" s="2"/>
      <c r="BC108" s="1"/>
      <c r="BD108" s="2"/>
      <c r="BE108" s="2"/>
      <c r="BF108" s="2"/>
      <c r="BG108" s="2"/>
      <c r="BH108" s="2"/>
      <c r="BI108" s="2"/>
      <c r="BJ108" s="2"/>
      <c r="BK108" s="2"/>
    </row>
    <row r="109" spans="1:63" outlineLevel="1">
      <c r="A109" s="4" t="s">
        <v>478</v>
      </c>
      <c r="C109" s="230">
        <f t="shared" ref="C109:AG109" si="55">C104-$C104</f>
        <v>0</v>
      </c>
      <c r="D109" s="230">
        <f t="shared" si="55"/>
        <v>5.5713898652858338E-3</v>
      </c>
      <c r="E109" s="230">
        <f t="shared" si="55"/>
        <v>1.1834067985321639E-2</v>
      </c>
      <c r="F109" s="230">
        <f t="shared" si="55"/>
        <v>1.8784996050003434E-2</v>
      </c>
      <c r="G109" s="230">
        <f t="shared" si="55"/>
        <v>2.6412249658910768E-2</v>
      </c>
      <c r="H109" s="230">
        <f t="shared" si="55"/>
        <v>3.4694709851470766E-2</v>
      </c>
      <c r="I109" s="230">
        <f t="shared" si="55"/>
        <v>4.3699599169231156E-2</v>
      </c>
      <c r="J109" s="230">
        <f t="shared" si="55"/>
        <v>5.3449169199797301E-2</v>
      </c>
      <c r="K109" s="230">
        <f t="shared" si="55"/>
        <v>6.3964805211245909E-2</v>
      </c>
      <c r="L109" s="230">
        <f t="shared" si="55"/>
        <v>7.5266930037226981E-2</v>
      </c>
      <c r="M109" s="230">
        <f t="shared" si="55"/>
        <v>8.737490784611314E-2</v>
      </c>
      <c r="N109" s="230">
        <f t="shared" si="55"/>
        <v>0.10349625937828849</v>
      </c>
      <c r="O109" s="230">
        <f t="shared" si="55"/>
        <v>0.12094797761051924</v>
      </c>
      <c r="P109" s="230">
        <f t="shared" si="55"/>
        <v>0.13968555685700776</v>
      </c>
      <c r="Q109" s="230">
        <f t="shared" si="55"/>
        <v>0.15964952844282451</v>
      </c>
      <c r="R109" s="230">
        <f t="shared" si="55"/>
        <v>0.18076553732189346</v>
      </c>
      <c r="S109" s="230">
        <f t="shared" si="55"/>
        <v>0.20331329141434287</v>
      </c>
      <c r="T109" s="230">
        <f t="shared" si="55"/>
        <v>0.22731789890393933</v>
      </c>
      <c r="U109" s="230">
        <f t="shared" si="55"/>
        <v>0.25280398699265377</v>
      </c>
      <c r="V109" s="230">
        <f t="shared" si="55"/>
        <v>0.27979567497081392</v>
      </c>
      <c r="W109" s="230">
        <f t="shared" si="55"/>
        <v>0.30831654730801206</v>
      </c>
      <c r="X109" s="230">
        <f t="shared" si="55"/>
        <v>0.34564564452164637</v>
      </c>
      <c r="Y109" s="230">
        <f t="shared" si="55"/>
        <v>0.38535465197501806</v>
      </c>
      <c r="Z109" s="230">
        <f t="shared" si="55"/>
        <v>0.42748172518550781</v>
      </c>
      <c r="AA109" s="230">
        <f t="shared" si="55"/>
        <v>0.47206424889446019</v>
      </c>
      <c r="AB109" s="230">
        <f t="shared" si="55"/>
        <v>0.51913879913777305</v>
      </c>
      <c r="AC109" s="230">
        <f t="shared" si="55"/>
        <v>0.56874649829990709</v>
      </c>
      <c r="AD109" s="230">
        <f t="shared" si="55"/>
        <v>0.6209236790966981</v>
      </c>
      <c r="AE109" s="230">
        <f t="shared" si="55"/>
        <v>0.67570590268314479</v>
      </c>
      <c r="AF109" s="230">
        <f t="shared" si="55"/>
        <v>0.73312792481428968</v>
      </c>
      <c r="AG109" s="230">
        <f t="shared" si="55"/>
        <v>0.79322366211279449</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ref="C110:AG110" si="56">C105-$C105</f>
        <v>0</v>
      </c>
      <c r="D110" s="230">
        <f t="shared" si="56"/>
        <v>1.2722473864776197E-3</v>
      </c>
      <c r="E110" s="230">
        <f t="shared" si="56"/>
        <v>2.7055183762741387E-3</v>
      </c>
      <c r="F110" s="230">
        <f t="shared" si="56"/>
        <v>4.2992677107616889E-3</v>
      </c>
      <c r="G110" s="230">
        <f t="shared" si="56"/>
        <v>6.0508855677722968E-3</v>
      </c>
      <c r="H110" s="230">
        <f t="shared" si="56"/>
        <v>7.9556238796419255E-3</v>
      </c>
      <c r="I110" s="230">
        <f t="shared" si="56"/>
        <v>1.0028146411425265E-2</v>
      </c>
      <c r="J110" s="230">
        <f t="shared" si="56"/>
        <v>1.2273653155579099E-2</v>
      </c>
      <c r="K110" s="230">
        <f t="shared" si="56"/>
        <v>1.4697143637750895E-2</v>
      </c>
      <c r="L110" s="230">
        <f t="shared" si="56"/>
        <v>1.7303394522229391E-2</v>
      </c>
      <c r="M110" s="230">
        <f t="shared" si="56"/>
        <v>2.009693718652341E-2</v>
      </c>
      <c r="N110" s="230">
        <f t="shared" si="56"/>
        <v>2.3803851695474148E-2</v>
      </c>
      <c r="O110" s="230">
        <f t="shared" si="56"/>
        <v>2.7820810740930329E-2</v>
      </c>
      <c r="P110" s="230">
        <f t="shared" si="56"/>
        <v>3.2137705491034514E-2</v>
      </c>
      <c r="Q110" s="230">
        <f t="shared" si="56"/>
        <v>3.6740945585465749E-2</v>
      </c>
      <c r="R110" s="230">
        <f t="shared" si="56"/>
        <v>4.1613474629641746E-2</v>
      </c>
      <c r="S110" s="230">
        <f t="shared" si="56"/>
        <v>4.681903453727166E-2</v>
      </c>
      <c r="T110" s="230">
        <f t="shared" si="56"/>
        <v>5.2363484901806839E-2</v>
      </c>
      <c r="U110" s="230">
        <f t="shared" si="56"/>
        <v>5.8252573618235895E-2</v>
      </c>
      <c r="V110" s="230">
        <f t="shared" si="56"/>
        <v>6.449193060690768E-2</v>
      </c>
      <c r="W110" s="230">
        <f t="shared" si="56"/>
        <v>7.1087061541911717E-2</v>
      </c>
      <c r="X110" s="230">
        <f t="shared" si="56"/>
        <v>7.9708541729906907E-2</v>
      </c>
      <c r="Y110" s="230">
        <f t="shared" si="56"/>
        <v>8.8883674928633138E-2</v>
      </c>
      <c r="Z110" s="230">
        <f t="shared" si="56"/>
        <v>9.8621365735959726E-2</v>
      </c>
      <c r="AA110" s="230">
        <f t="shared" si="56"/>
        <v>0.10893033967415237</v>
      </c>
      <c r="AB110" s="230">
        <f t="shared" si="56"/>
        <v>0.1198191343496873</v>
      </c>
      <c r="AC110" s="230">
        <f t="shared" si="56"/>
        <v>0.13129733193752002</v>
      </c>
      <c r="AD110" s="230">
        <f t="shared" si="56"/>
        <v>0.1433734120425437</v>
      </c>
      <c r="AE110" s="230">
        <f t="shared" si="56"/>
        <v>0.1560556749500509</v>
      </c>
      <c r="AF110" s="230">
        <f t="shared" si="56"/>
        <v>0.16935223373859068</v>
      </c>
      <c r="AG110" s="230">
        <f t="shared" si="56"/>
        <v>0.1832710064173956</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ref="C111:AG111" si="57">C106-$C106</f>
        <v>0</v>
      </c>
      <c r="D111" s="230">
        <f t="shared" si="57"/>
        <v>1.0974150640046569E-4</v>
      </c>
      <c r="E111" s="230">
        <f t="shared" si="57"/>
        <v>2.3337258567965538E-4</v>
      </c>
      <c r="F111" s="230">
        <f t="shared" si="57"/>
        <v>3.7084620492255894E-4</v>
      </c>
      <c r="G111" s="230">
        <f t="shared" si="57"/>
        <v>5.219372461063807E-4</v>
      </c>
      <c r="H111" s="230">
        <f t="shared" si="57"/>
        <v>6.8623615044288429E-4</v>
      </c>
      <c r="I111" s="230">
        <f t="shared" si="57"/>
        <v>8.6500778487831609E-4</v>
      </c>
      <c r="J111" s="230">
        <f t="shared" si="57"/>
        <v>1.0587006903266087E-3</v>
      </c>
      <c r="K111" s="230">
        <f t="shared" si="57"/>
        <v>1.2677461158370207E-3</v>
      </c>
      <c r="L111" s="230">
        <f t="shared" si="57"/>
        <v>1.4925560868852476E-3</v>
      </c>
      <c r="M111" s="230">
        <f t="shared" si="57"/>
        <v>1.7335214710015926E-3</v>
      </c>
      <c r="N111" s="230">
        <f t="shared" si="57"/>
        <v>2.0532724774754837E-3</v>
      </c>
      <c r="O111" s="230">
        <f t="shared" si="57"/>
        <v>2.399767303468268E-3</v>
      </c>
      <c r="P111" s="230">
        <f t="shared" si="57"/>
        <v>2.7721339814304152E-3</v>
      </c>
      <c r="Q111" s="230">
        <f t="shared" si="57"/>
        <v>3.1692002341538921E-3</v>
      </c>
      <c r="R111" s="230">
        <f t="shared" si="57"/>
        <v>3.5894948112709505E-3</v>
      </c>
      <c r="S111" s="230">
        <f t="shared" si="57"/>
        <v>4.038515962340318E-3</v>
      </c>
      <c r="T111" s="230">
        <f t="shared" si="57"/>
        <v>4.5167691241340246E-3</v>
      </c>
      <c r="U111" s="230">
        <f t="shared" si="57"/>
        <v>5.0247500985388617E-3</v>
      </c>
      <c r="V111" s="230">
        <f t="shared" si="57"/>
        <v>5.5629445111859497E-3</v>
      </c>
      <c r="W111" s="230">
        <f t="shared" si="57"/>
        <v>6.1318272704734148E-3</v>
      </c>
      <c r="X111" s="230">
        <f t="shared" si="57"/>
        <v>6.8754988498286344E-3</v>
      </c>
      <c r="Y111" s="230">
        <f t="shared" si="57"/>
        <v>7.6669274268138469E-3</v>
      </c>
      <c r="Z111" s="230">
        <f t="shared" si="57"/>
        <v>8.5068810941714371E-3</v>
      </c>
      <c r="AA111" s="230">
        <f t="shared" si="57"/>
        <v>9.3961124979415889E-3</v>
      </c>
      <c r="AB111" s="230">
        <f t="shared" si="57"/>
        <v>1.0335358074925602E-2</v>
      </c>
      <c r="AC111" s="230">
        <f t="shared" si="57"/>
        <v>1.1325444364305541E-2</v>
      </c>
      <c r="AD111" s="230">
        <f t="shared" si="57"/>
        <v>1.2367102799782551E-2</v>
      </c>
      <c r="AE111" s="230">
        <f t="shared" si="57"/>
        <v>1.3461049347308884E-2</v>
      </c>
      <c r="AF111" s="230">
        <f t="shared" si="57"/>
        <v>1.460798382475878E-2</v>
      </c>
      <c r="AG111" s="230">
        <f t="shared" si="57"/>
        <v>1.5808589223718725E-2</v>
      </c>
      <c r="AH111" s="245"/>
      <c r="AI111" s="133"/>
      <c r="AJ111" s="211"/>
      <c r="AL111" s="108"/>
      <c r="AM111" s="2"/>
      <c r="AN111" s="2"/>
      <c r="AO111" s="2"/>
      <c r="BC111" s="1"/>
      <c r="BD111" s="2"/>
      <c r="BE111" s="2"/>
      <c r="BF111" s="2"/>
      <c r="BG111" s="2"/>
      <c r="BH111" s="2"/>
      <c r="BI111" s="2"/>
      <c r="BJ111" s="2"/>
      <c r="BK111" s="2"/>
    </row>
    <row r="112" spans="1:63" s="1" customFormat="1" outlineLevel="1">
      <c r="A112" s="1" t="s">
        <v>1569</v>
      </c>
      <c r="B112" s="65"/>
      <c r="C112" s="300">
        <f>C42*C70</f>
        <v>2.225250593552321</v>
      </c>
      <c r="D112" s="300">
        <f t="shared" ref="D112:AG112" si="58">D42*D70</f>
        <v>2.3830174685694749</v>
      </c>
      <c r="E112" s="300">
        <f t="shared" si="58"/>
        <v>2.5423908650730516</v>
      </c>
      <c r="F112" s="300">
        <f t="shared" si="58"/>
        <v>2.7024414699892243</v>
      </c>
      <c r="G112" s="300">
        <f t="shared" si="58"/>
        <v>2.8621892499397461</v>
      </c>
      <c r="H112" s="300">
        <f t="shared" si="58"/>
        <v>3.0206131185186269</v>
      </c>
      <c r="I112" s="300">
        <f t="shared" si="58"/>
        <v>3.1835151048072654</v>
      </c>
      <c r="J112" s="300">
        <f t="shared" si="58"/>
        <v>3.3508511476000149</v>
      </c>
      <c r="K112" s="300">
        <f t="shared" si="58"/>
        <v>3.5225676377786499</v>
      </c>
      <c r="L112" s="300">
        <f t="shared" si="58"/>
        <v>3.6986012304350555</v>
      </c>
      <c r="M112" s="300">
        <f t="shared" si="58"/>
        <v>3.8788786786514775</v>
      </c>
      <c r="N112" s="300">
        <f t="shared" si="58"/>
        <v>4.1903838380569409</v>
      </c>
      <c r="O112" s="300">
        <f t="shared" si="58"/>
        <v>4.5040798220814544</v>
      </c>
      <c r="P112" s="300">
        <f t="shared" si="58"/>
        <v>4.8183986416534488</v>
      </c>
      <c r="Q112" s="300">
        <f t="shared" si="58"/>
        <v>5.1317157347393012</v>
      </c>
      <c r="R112" s="300">
        <f t="shared" si="58"/>
        <v>5.4423634995420551</v>
      </c>
      <c r="S112" s="300">
        <f t="shared" si="58"/>
        <v>5.7590028686763022</v>
      </c>
      <c r="T112" s="300">
        <f t="shared" si="58"/>
        <v>6.0816293075088597</v>
      </c>
      <c r="U112" s="300">
        <f t="shared" si="58"/>
        <v>6.4102352454718918</v>
      </c>
      <c r="V112" s="300">
        <f t="shared" si="58"/>
        <v>6.744810032418572</v>
      </c>
      <c r="W112" s="300">
        <f t="shared" si="58"/>
        <v>7.085339896600015</v>
      </c>
      <c r="X112" s="300">
        <f t="shared" si="58"/>
        <v>7.5903793763829608</v>
      </c>
      <c r="Y112" s="300">
        <f t="shared" si="58"/>
        <v>8.1049561626597981</v>
      </c>
      <c r="Z112" s="300">
        <f t="shared" si="58"/>
        <v>8.6290628082437077</v>
      </c>
      <c r="AA112" s="300">
        <f t="shared" si="58"/>
        <v>9.1626874446952069</v>
      </c>
      <c r="AB112" s="300">
        <f t="shared" si="58"/>
        <v>9.705813723624976</v>
      </c>
      <c r="AC112" s="300">
        <f t="shared" si="58"/>
        <v>10.258517745731545</v>
      </c>
      <c r="AD112" s="300">
        <f t="shared" si="58"/>
        <v>10.820790115352739</v>
      </c>
      <c r="AE112" s="300">
        <f t="shared" si="58"/>
        <v>11.392617361113292</v>
      </c>
      <c r="AF112" s="300">
        <f t="shared" si="58"/>
        <v>11.97398188514263</v>
      </c>
      <c r="AG112" s="300">
        <f t="shared" si="58"/>
        <v>12.564861914141931</v>
      </c>
      <c r="AH112" s="245"/>
      <c r="AI112" s="423"/>
      <c r="AJ112" s="424"/>
      <c r="AL112" s="221"/>
      <c r="AM112" s="124"/>
      <c r="AN112" s="124"/>
      <c r="AO112" s="124"/>
      <c r="BD112" s="124"/>
      <c r="BE112" s="124"/>
      <c r="BF112" s="124"/>
      <c r="BG112" s="124"/>
      <c r="BH112" s="124"/>
      <c r="BI112" s="124"/>
      <c r="BJ112" s="124"/>
      <c r="BK112" s="124"/>
    </row>
    <row r="113" spans="1:63" outlineLevel="1">
      <c r="A113" s="4" t="s">
        <v>474</v>
      </c>
      <c r="C113" s="230">
        <f>C$112*'BTX recycling rates'!E50</f>
        <v>2.2174727572711728</v>
      </c>
      <c r="D113" s="230">
        <f>D$112*'BTX recycling rates'!F50</f>
        <v>2.2955319223670831</v>
      </c>
      <c r="E113" s="230">
        <f>E$112*'BTX recycling rates'!G50</f>
        <v>2.3646042374306746</v>
      </c>
      <c r="F113" s="230">
        <f>F$112*'BTX recycling rates'!H50</f>
        <v>2.4236961534427106</v>
      </c>
      <c r="G113" s="230">
        <f>G$112*'BTX recycling rates'!I50</f>
        <v>2.4718937927475086</v>
      </c>
      <c r="H113" s="230">
        <f>H$112*'BTX recycling rates'!J50</f>
        <v>2.5083794007960436</v>
      </c>
      <c r="I113" s="230">
        <f>I$112*'BTX recycling rates'!K50</f>
        <v>2.5379103055542349</v>
      </c>
      <c r="J113" s="230">
        <f>J$112*'BTX recycling rates'!L50</f>
        <v>2.5600065982842888</v>
      </c>
      <c r="K113" s="230">
        <f>K$112*'BTX recycling rates'!M50</f>
        <v>2.5741872472123495</v>
      </c>
      <c r="L113" s="230">
        <f>L$112*'BTX recycling rates'!N50</f>
        <v>2.5799715522307411</v>
      </c>
      <c r="M113" s="230">
        <f>M$112*'BTX recycling rates'!O50</f>
        <v>2.5768806514322478</v>
      </c>
      <c r="N113" s="230">
        <f>N$112*'BTX recycling rates'!P50</f>
        <v>2.6446336512415782</v>
      </c>
      <c r="O113" s="230">
        <f>O$112*'BTX recycling rates'!Q50</f>
        <v>2.6930021268561211</v>
      </c>
      <c r="P113" s="230">
        <f>P$112*'BTX recycling rates'!R50</f>
        <v>2.7208823400603848</v>
      </c>
      <c r="Q113" s="230">
        <f>Q$112*'BTX recycling rates'!S50</f>
        <v>2.7273488203240195</v>
      </c>
      <c r="R113" s="230">
        <f>R$112*'BTX recycling rates'!T50</f>
        <v>2.7116705036209092</v>
      </c>
      <c r="S113" s="230">
        <f>S$112*'BTX recycling rates'!U50</f>
        <v>2.6781410312879053</v>
      </c>
      <c r="T113" s="230">
        <f>T$112*'BTX recycling rates'!V50</f>
        <v>2.6261613789757154</v>
      </c>
      <c r="U113" s="230">
        <f>U$112*'BTX recycling rates'!W50</f>
        <v>2.5551319147102025</v>
      </c>
      <c r="V113" s="230">
        <f>V$112*'BTX recycling rates'!X50</f>
        <v>2.4644528871659381</v>
      </c>
      <c r="W113" s="230">
        <f>W$112*'BTX recycling rates'!Y50</f>
        <v>2.3535249231766491</v>
      </c>
      <c r="X113" s="230">
        <f>X$112*'BTX recycling rates'!Z50</f>
        <v>2.2691547010370079</v>
      </c>
      <c r="Y113" s="230">
        <f>Y$112*'BTX recycling rates'!AA50</f>
        <v>2.1537672555951723</v>
      </c>
      <c r="Z113" s="230">
        <f>Z$112*'BTX recycling rates'!AB50</f>
        <v>2.0064104581380109</v>
      </c>
      <c r="AA113" s="230">
        <f>AA$112*'BTX recycling rates'!AC50</f>
        <v>1.8261322882801381</v>
      </c>
      <c r="AB113" s="230">
        <f>AB$112*'BTX recycling rates'!AD50</f>
        <v>1.6119815585151194</v>
      </c>
      <c r="AC113" s="230">
        <f>AC$112*'BTX recycling rates'!AE50</f>
        <v>1.363021536963368</v>
      </c>
      <c r="AD113" s="230">
        <f>AD$112*'BTX recycling rates'!AF50</f>
        <v>1.0782968606982457</v>
      </c>
      <c r="AE113" s="230">
        <f>AE$112*'BTX recycling rates'!AG50</f>
        <v>0.75685314440486839</v>
      </c>
      <c r="AF113" s="230">
        <f>AF$112*'BTX recycling rates'!AH50</f>
        <v>0.39773765560451779</v>
      </c>
      <c r="AG113" s="230">
        <f>AG$112*'BTX recycling rates'!AI50</f>
        <v>0</v>
      </c>
      <c r="AH113" s="245"/>
      <c r="AI113" s="133"/>
      <c r="AJ113" s="211"/>
      <c r="AL113" s="108"/>
      <c r="AM113" s="2"/>
      <c r="AN113" s="2"/>
      <c r="AO113" s="2"/>
      <c r="BC113" s="1"/>
      <c r="BD113" s="2"/>
      <c r="BE113" s="2"/>
      <c r="BF113" s="2"/>
      <c r="BG113" s="2"/>
      <c r="BH113" s="2"/>
      <c r="BI113" s="2"/>
      <c r="BJ113" s="2"/>
      <c r="BK113" s="2"/>
    </row>
    <row r="114" spans="1:63" outlineLevel="1">
      <c r="A114" s="4" t="s">
        <v>478</v>
      </c>
      <c r="C114" s="230">
        <f>C$112*'BTX recycling rates'!E51</f>
        <v>7.7778362811482538E-3</v>
      </c>
      <c r="D114" s="230">
        <f>D$112*'BTX recycling rates'!F51</f>
        <v>8.0516305834089294E-3</v>
      </c>
      <c r="E114" s="230">
        <f>E$112*'BTX recycling rates'!G51</f>
        <v>8.2939033041730947E-3</v>
      </c>
      <c r="F114" s="230">
        <f>F$112*'BTX recycling rates'!H51</f>
        <v>8.5011695475909269E-3</v>
      </c>
      <c r="G114" s="230">
        <f>G$112*'BTX recycling rates'!I51</f>
        <v>8.6702238669377294E-3</v>
      </c>
      <c r="H114" s="230">
        <f>H$112*'BTX recycling rates'!J51</f>
        <v>8.7981979694781685E-3</v>
      </c>
      <c r="I114" s="230">
        <f>I$112*'BTX recycling rates'!K51</f>
        <v>8.901778291576937E-3</v>
      </c>
      <c r="J114" s="230">
        <f>J$112*'BTX recycling rates'!L51</f>
        <v>8.9792815423885425E-3</v>
      </c>
      <c r="K114" s="230">
        <f>K$112*'BTX recycling rates'!M51</f>
        <v>9.0290204919928774E-3</v>
      </c>
      <c r="L114" s="230">
        <f>L$112*'BTX recycling rates'!N51</f>
        <v>9.049309073796535E-3</v>
      </c>
      <c r="M114" s="230">
        <f>M$112*'BTX recycling rates'!O51</f>
        <v>9.038467668736146E-3</v>
      </c>
      <c r="N114" s="230">
        <f>N$112*'BTX recycling rates'!P51</f>
        <v>9.2761128611497552E-3</v>
      </c>
      <c r="O114" s="230">
        <f>O$112*'BTX recycling rates'!Q51</f>
        <v>9.445766392750108E-3</v>
      </c>
      <c r="P114" s="230">
        <f>P$112*'BTX recycling rates'!R51</f>
        <v>9.5435568765678772E-3</v>
      </c>
      <c r="Q114" s="230">
        <f>Q$112*'BTX recycling rates'!S51</f>
        <v>9.5662382036060152E-3</v>
      </c>
      <c r="R114" s="230">
        <f>R$112*'BTX recycling rates'!T51</f>
        <v>9.5112461501158773E-3</v>
      </c>
      <c r="S114" s="230">
        <f>S$112*'BTX recycling rates'!U51</f>
        <v>9.3936407610330733E-3</v>
      </c>
      <c r="T114" s="230">
        <f>T$112*'BTX recycling rates'!V51</f>
        <v>9.2113209447875124E-3</v>
      </c>
      <c r="U114" s="230">
        <f>U$112*'BTX recycling rates'!W51</f>
        <v>8.9621834785510914E-3</v>
      </c>
      <c r="V114" s="230">
        <f>V$112*'BTX recycling rates'!X51</f>
        <v>8.6441247208683368E-3</v>
      </c>
      <c r="W114" s="230">
        <f>W$112*'BTX recycling rates'!Y51</f>
        <v>8.2550423566856383E-3</v>
      </c>
      <c r="X114" s="230">
        <f>X$112*'BTX recycling rates'!Z51</f>
        <v>7.9591118778761585E-3</v>
      </c>
      <c r="Y114" s="230">
        <f>Y$112*'BTX recycling rates'!AA51</f>
        <v>7.5543877807689001E-3</v>
      </c>
      <c r="Z114" s="230">
        <f>Z$112*'BTX recycling rates'!AB51</f>
        <v>7.0375304521825771E-3</v>
      </c>
      <c r="AA114" s="230">
        <f>AA$112*'BTX recycling rates'!AC51</f>
        <v>6.4052006588979525E-3</v>
      </c>
      <c r="AB114" s="230">
        <f>AB$112*'BTX recycling rates'!AD51</f>
        <v>5.6540620890377013E-3</v>
      </c>
      <c r="AC114" s="230">
        <f>AC$112*'BTX recycling rates'!AE51</f>
        <v>4.7808291341654334E-3</v>
      </c>
      <c r="AD114" s="230">
        <f>AD$112*'BTX recycling rates'!AF51</f>
        <v>3.7821508370222117E-3</v>
      </c>
      <c r="AE114" s="230">
        <f>AE$112*'BTX recycling rates'!AG51</f>
        <v>2.6546796693446306E-3</v>
      </c>
      <c r="AF114" s="230">
        <f>AF$112*'BTX recycling rates'!AH51</f>
        <v>1.3950739002298385E-3</v>
      </c>
      <c r="AG114" s="230">
        <f>AG$112*'BTX recycling rates'!AI51</f>
        <v>0</v>
      </c>
      <c r="AH114" s="245"/>
      <c r="AI114" s="133"/>
      <c r="AJ114" s="211"/>
      <c r="AL114" s="108"/>
      <c r="AM114" s="2"/>
      <c r="AN114" s="2"/>
      <c r="AO114" s="2"/>
      <c r="BC114" s="1"/>
      <c r="BD114" s="2"/>
      <c r="BE114" s="2"/>
      <c r="BF114" s="2"/>
      <c r="BG114" s="2"/>
      <c r="BH114" s="2"/>
      <c r="BI114" s="2"/>
      <c r="BJ114" s="2"/>
      <c r="BK114" s="2"/>
    </row>
    <row r="115" spans="1:63" outlineLevel="1">
      <c r="A115" s="4" t="s">
        <v>745</v>
      </c>
      <c r="C115" s="230">
        <f>C$112*'BTX recycling rates'!E52</f>
        <v>0</v>
      </c>
      <c r="D115" s="230">
        <f>D$112*'BTX recycling rates'!F52</f>
        <v>3.9716957809491249E-2</v>
      </c>
      <c r="E115" s="230">
        <f>E$112*'BTX recycling rates'!G52</f>
        <v>8.4746362169101724E-2</v>
      </c>
      <c r="F115" s="230">
        <f>F$112*'BTX recycling rates'!H52</f>
        <v>0.13512207349946123</v>
      </c>
      <c r="G115" s="230">
        <f>G$112*'BTX recycling rates'!I52</f>
        <v>0.19081261666264973</v>
      </c>
      <c r="H115" s="230">
        <f>H$112*'BTX recycling rates'!J52</f>
        <v>0.25171775987655221</v>
      </c>
      <c r="I115" s="230">
        <f>I$112*'BTX recycling rates'!K52</f>
        <v>0.31835151048072652</v>
      </c>
      <c r="J115" s="230">
        <f>J$112*'BTX recycling rates'!L52</f>
        <v>0.39093263388666838</v>
      </c>
      <c r="K115" s="230">
        <f>K$112*'BTX recycling rates'!M52</f>
        <v>0.46967568503715329</v>
      </c>
      <c r="L115" s="230">
        <f>L$112*'BTX recycling rates'!N52</f>
        <v>0.5547901845652583</v>
      </c>
      <c r="M115" s="230">
        <f>M$112*'BTX recycling rates'!O52</f>
        <v>0.64647977977524618</v>
      </c>
      <c r="N115" s="230">
        <f>N$112*'BTX recycling rates'!P52</f>
        <v>0.76823703697710577</v>
      </c>
      <c r="O115" s="230">
        <f>O$112*'BTX recycling rates'!Q52</f>
        <v>0.90081596441629086</v>
      </c>
      <c r="P115" s="230">
        <f>P$112*'BTX recycling rates'!R52</f>
        <v>1.0439863723582472</v>
      </c>
      <c r="Q115" s="230">
        <f>Q$112*'BTX recycling rates'!S52</f>
        <v>1.1974003381058369</v>
      </c>
      <c r="R115" s="230">
        <f>R$112*'BTX recycling rates'!T52</f>
        <v>1.3605908748855136</v>
      </c>
      <c r="S115" s="230">
        <f>S$112*'BTX recycling rates'!U52</f>
        <v>1.5357340983136805</v>
      </c>
      <c r="T115" s="230">
        <f>T$112*'BTX recycling rates'!V52</f>
        <v>1.7231283037941769</v>
      </c>
      <c r="U115" s="230">
        <f>U$112*'BTX recycling rates'!W52</f>
        <v>1.9230705736415674</v>
      </c>
      <c r="V115" s="230">
        <f>V$112*'BTX recycling rates'!X52</f>
        <v>2.1358565102658811</v>
      </c>
      <c r="W115" s="230">
        <f>W$112*'BTX recycling rates'!Y52</f>
        <v>2.361779965533338</v>
      </c>
      <c r="X115" s="230">
        <f>X$112*'BTX recycling rates'!Z52</f>
        <v>2.6566327817340363</v>
      </c>
      <c r="Y115" s="230">
        <f>Y$112*'BTX recycling rates'!AA52</f>
        <v>2.9718172596419259</v>
      </c>
      <c r="Z115" s="230">
        <f>Z$112*'BTX recycling rates'!AB52</f>
        <v>3.3078074098267543</v>
      </c>
      <c r="AA115" s="230">
        <f>AA$112*'BTX recycling rates'!AC52</f>
        <v>3.6650749778780827</v>
      </c>
      <c r="AB115" s="230">
        <f>AB$112*'BTX recycling rates'!AD52</f>
        <v>4.0440890515104062</v>
      </c>
      <c r="AC115" s="230">
        <f>AC$112*'BTX recycling rates'!AE52</f>
        <v>4.4453576898170022</v>
      </c>
      <c r="AD115" s="230">
        <f>AD$112*'BTX recycling rates'!AF52</f>
        <v>4.8693555519087326</v>
      </c>
      <c r="AE115" s="230">
        <f>AE$112*'BTX recycling rates'!AG52</f>
        <v>5.316554768519536</v>
      </c>
      <c r="AF115" s="230">
        <f>AF$112*'BTX recycling rates'!AH52</f>
        <v>5.7874245778189373</v>
      </c>
      <c r="AG115" s="230">
        <f>AG$112*'BTX recycling rates'!AI52</f>
        <v>6.2824309570709653</v>
      </c>
      <c r="AH115" s="245"/>
      <c r="AI115" s="133"/>
      <c r="AJ115" s="211"/>
      <c r="AL115" s="108"/>
      <c r="AM115" s="2"/>
      <c r="AN115" s="2"/>
      <c r="AO115" s="2"/>
      <c r="BC115" s="1"/>
      <c r="BD115" s="2"/>
      <c r="BE115" s="2"/>
      <c r="BF115" s="2"/>
      <c r="BG115" s="2"/>
      <c r="BH115" s="2"/>
      <c r="BI115" s="2"/>
      <c r="BJ115" s="2"/>
      <c r="BK115" s="2"/>
    </row>
    <row r="116" spans="1:63" outlineLevel="1">
      <c r="A116" s="4" t="s">
        <v>1561</v>
      </c>
      <c r="C116" s="230">
        <f>C$112*'BTX recycling rates'!E53</f>
        <v>0</v>
      </c>
      <c r="D116" s="230">
        <f>D$112*'BTX recycling rates'!F53</f>
        <v>3.9716957809491249E-2</v>
      </c>
      <c r="E116" s="230">
        <f>E$112*'BTX recycling rates'!G53</f>
        <v>8.4746362169101724E-2</v>
      </c>
      <c r="F116" s="230">
        <f>F$112*'BTX recycling rates'!H53</f>
        <v>0.13512207349946123</v>
      </c>
      <c r="G116" s="230">
        <f>G$112*'BTX recycling rates'!I53</f>
        <v>0.19081261666264973</v>
      </c>
      <c r="H116" s="230">
        <f>H$112*'BTX recycling rates'!J53</f>
        <v>0.25171775987655221</v>
      </c>
      <c r="I116" s="230">
        <f>I$112*'BTX recycling rates'!K53</f>
        <v>0.31835151048072652</v>
      </c>
      <c r="J116" s="230">
        <f>J$112*'BTX recycling rates'!L53</f>
        <v>0.39093263388666838</v>
      </c>
      <c r="K116" s="230">
        <f>K$112*'BTX recycling rates'!M53</f>
        <v>0.46967568503715329</v>
      </c>
      <c r="L116" s="230">
        <f>L$112*'BTX recycling rates'!N53</f>
        <v>0.5547901845652583</v>
      </c>
      <c r="M116" s="230">
        <f>M$112*'BTX recycling rates'!O53</f>
        <v>0.64647977977524618</v>
      </c>
      <c r="N116" s="230">
        <f>N$112*'BTX recycling rates'!P53</f>
        <v>0.76823703697710577</v>
      </c>
      <c r="O116" s="230">
        <f>O$112*'BTX recycling rates'!Q53</f>
        <v>0.90081596441629086</v>
      </c>
      <c r="P116" s="230">
        <f>P$112*'BTX recycling rates'!R53</f>
        <v>1.0439863723582472</v>
      </c>
      <c r="Q116" s="230">
        <f>Q$112*'BTX recycling rates'!S53</f>
        <v>1.1974003381058369</v>
      </c>
      <c r="R116" s="230">
        <f>R$112*'BTX recycling rates'!T53</f>
        <v>1.3605908748855136</v>
      </c>
      <c r="S116" s="230">
        <f>S$112*'BTX recycling rates'!U53</f>
        <v>1.5357340983136805</v>
      </c>
      <c r="T116" s="230">
        <f>T$112*'BTX recycling rates'!V53</f>
        <v>1.7231283037941769</v>
      </c>
      <c r="U116" s="230">
        <f>U$112*'BTX recycling rates'!W53</f>
        <v>1.9230705736415674</v>
      </c>
      <c r="V116" s="230">
        <f>V$112*'BTX recycling rates'!X53</f>
        <v>2.1358565102658811</v>
      </c>
      <c r="W116" s="230">
        <f>W$112*'BTX recycling rates'!Y53</f>
        <v>2.361779965533338</v>
      </c>
      <c r="X116" s="230">
        <f>X$112*'BTX recycling rates'!Z53</f>
        <v>2.6566327817340363</v>
      </c>
      <c r="Y116" s="230">
        <f>Y$112*'BTX recycling rates'!AA53</f>
        <v>2.9718172596419259</v>
      </c>
      <c r="Z116" s="230">
        <f>Z$112*'BTX recycling rates'!AB53</f>
        <v>3.3078074098267543</v>
      </c>
      <c r="AA116" s="230">
        <f>AA$112*'BTX recycling rates'!AC53</f>
        <v>3.6650749778780827</v>
      </c>
      <c r="AB116" s="230">
        <f>AB$112*'BTX recycling rates'!AD53</f>
        <v>4.0440890515104062</v>
      </c>
      <c r="AC116" s="230">
        <f>AC$112*'BTX recycling rates'!AE53</f>
        <v>4.4453576898170022</v>
      </c>
      <c r="AD116" s="230">
        <f>AD$112*'BTX recycling rates'!AF53</f>
        <v>4.8693555519087326</v>
      </c>
      <c r="AE116" s="230">
        <f>AE$112*'BTX recycling rates'!AG53</f>
        <v>5.316554768519536</v>
      </c>
      <c r="AF116" s="230">
        <f>AF$112*'BTX recycling rates'!AH53</f>
        <v>5.7874245778189373</v>
      </c>
      <c r="AG116" s="230">
        <f>AG$112*'BTX recycling rates'!AI53</f>
        <v>6.2824309570709653</v>
      </c>
      <c r="AH116" s="245"/>
      <c r="AI116" s="133"/>
      <c r="AJ116" s="211"/>
      <c r="AL116" s="108"/>
      <c r="AM116" s="2"/>
      <c r="AN116" s="2"/>
      <c r="AO116" s="2"/>
      <c r="BC116" s="1"/>
      <c r="BD116" s="2"/>
      <c r="BE116" s="2"/>
      <c r="BF116" s="2"/>
      <c r="BG116" s="2"/>
      <c r="BH116" s="2"/>
      <c r="BI116" s="2"/>
      <c r="BJ116" s="2"/>
      <c r="BK116" s="2"/>
    </row>
    <row r="117" spans="1:63" s="1" customFormat="1" outlineLevel="1">
      <c r="A117" s="1" t="s">
        <v>1570</v>
      </c>
      <c r="B117" s="65"/>
      <c r="C117" s="300">
        <f>C112-$C112</f>
        <v>0</v>
      </c>
      <c r="D117" s="300">
        <f t="shared" ref="D117:AG117" si="59">D112-$C112</f>
        <v>0.15776687501715392</v>
      </c>
      <c r="E117" s="300">
        <f t="shared" si="59"/>
        <v>0.31714027152073054</v>
      </c>
      <c r="F117" s="300">
        <f t="shared" si="59"/>
        <v>0.47719087643690328</v>
      </c>
      <c r="G117" s="300">
        <f t="shared" si="59"/>
        <v>0.63693865638742508</v>
      </c>
      <c r="H117" s="300">
        <f t="shared" si="59"/>
        <v>0.79536252496630588</v>
      </c>
      <c r="I117" s="300">
        <f t="shared" si="59"/>
        <v>0.95826451125494438</v>
      </c>
      <c r="J117" s="300">
        <f t="shared" si="59"/>
        <v>1.1256005540476939</v>
      </c>
      <c r="K117" s="300">
        <f t="shared" si="59"/>
        <v>1.2973170442263289</v>
      </c>
      <c r="L117" s="300">
        <f t="shared" si="59"/>
        <v>1.4733506368827345</v>
      </c>
      <c r="M117" s="300">
        <f t="shared" si="59"/>
        <v>1.6536280850991565</v>
      </c>
      <c r="N117" s="300">
        <f t="shared" si="59"/>
        <v>1.9651332445046199</v>
      </c>
      <c r="O117" s="300">
        <f t="shared" si="59"/>
        <v>2.2788292285291334</v>
      </c>
      <c r="P117" s="300">
        <f t="shared" si="59"/>
        <v>2.5931480481011278</v>
      </c>
      <c r="Q117" s="300">
        <f t="shared" si="59"/>
        <v>2.9064651411869802</v>
      </c>
      <c r="R117" s="300">
        <f t="shared" si="59"/>
        <v>3.2171129059897341</v>
      </c>
      <c r="S117" s="300">
        <f t="shared" si="59"/>
        <v>3.5337522751239812</v>
      </c>
      <c r="T117" s="300">
        <f t="shared" si="59"/>
        <v>3.8563787139565386</v>
      </c>
      <c r="U117" s="300">
        <f t="shared" si="59"/>
        <v>4.1849846519195708</v>
      </c>
      <c r="V117" s="300">
        <f t="shared" si="59"/>
        <v>4.519559438866251</v>
      </c>
      <c r="W117" s="300">
        <f t="shared" si="59"/>
        <v>4.8600893030476939</v>
      </c>
      <c r="X117" s="300">
        <f t="shared" si="59"/>
        <v>5.3651287828306398</v>
      </c>
      <c r="Y117" s="300">
        <f t="shared" si="59"/>
        <v>5.8797055691074771</v>
      </c>
      <c r="Z117" s="300">
        <f t="shared" si="59"/>
        <v>6.4038122146913867</v>
      </c>
      <c r="AA117" s="300">
        <f t="shared" si="59"/>
        <v>6.9374368511428859</v>
      </c>
      <c r="AB117" s="300">
        <f t="shared" si="59"/>
        <v>7.4805631300726549</v>
      </c>
      <c r="AC117" s="300">
        <f t="shared" si="59"/>
        <v>8.0332671521792243</v>
      </c>
      <c r="AD117" s="300">
        <f t="shared" si="59"/>
        <v>8.5955395218004185</v>
      </c>
      <c r="AE117" s="300">
        <f t="shared" si="59"/>
        <v>9.1673667675609707</v>
      </c>
      <c r="AF117" s="300">
        <f t="shared" si="59"/>
        <v>9.7487312915903086</v>
      </c>
      <c r="AG117" s="300">
        <f t="shared" si="59"/>
        <v>10.33961132058961</v>
      </c>
      <c r="AH117" s="245"/>
      <c r="AI117" s="423"/>
      <c r="AJ117" s="424"/>
      <c r="AL117" s="221"/>
      <c r="AM117" s="124"/>
      <c r="AN117" s="124"/>
      <c r="AO117" s="124"/>
      <c r="BD117" s="124"/>
      <c r="BE117" s="124"/>
      <c r="BF117" s="124"/>
      <c r="BG117" s="124"/>
      <c r="BH117" s="124"/>
      <c r="BI117" s="124"/>
      <c r="BJ117" s="124"/>
      <c r="BK117" s="124"/>
    </row>
    <row r="118" spans="1:63" outlineLevel="1">
      <c r="A118" s="4" t="s">
        <v>474</v>
      </c>
      <c r="C118" s="230">
        <f>C113-$C113</f>
        <v>0</v>
      </c>
      <c r="D118" s="230">
        <f t="shared" ref="D118:AG118" si="60">D113-$C113</f>
        <v>7.8059165095910377E-2</v>
      </c>
      <c r="E118" s="230">
        <f t="shared" si="60"/>
        <v>0.14713148015950184</v>
      </c>
      <c r="F118" s="230">
        <f t="shared" si="60"/>
        <v>0.20622339617153784</v>
      </c>
      <c r="G118" s="230">
        <f t="shared" si="60"/>
        <v>0.25442103547633588</v>
      </c>
      <c r="H118" s="230">
        <f t="shared" si="60"/>
        <v>0.29090664352487083</v>
      </c>
      <c r="I118" s="230">
        <f t="shared" si="60"/>
        <v>0.32043754828306215</v>
      </c>
      <c r="J118" s="230">
        <f t="shared" si="60"/>
        <v>0.34253384101311601</v>
      </c>
      <c r="K118" s="230">
        <f t="shared" si="60"/>
        <v>0.35671448994117672</v>
      </c>
      <c r="L118" s="230">
        <f t="shared" si="60"/>
        <v>0.36249879495956838</v>
      </c>
      <c r="M118" s="230">
        <f t="shared" si="60"/>
        <v>0.35940789416107499</v>
      </c>
      <c r="N118" s="230">
        <f t="shared" si="60"/>
        <v>0.42716089397040546</v>
      </c>
      <c r="O118" s="230">
        <f t="shared" si="60"/>
        <v>0.47552936958494829</v>
      </c>
      <c r="P118" s="230">
        <f t="shared" si="60"/>
        <v>0.503409582789212</v>
      </c>
      <c r="Q118" s="230">
        <f t="shared" si="60"/>
        <v>0.50987606305284672</v>
      </c>
      <c r="R118" s="230">
        <f t="shared" si="60"/>
        <v>0.49419774634973646</v>
      </c>
      <c r="S118" s="230">
        <f t="shared" si="60"/>
        <v>0.46066827401673249</v>
      </c>
      <c r="T118" s="230">
        <f t="shared" si="60"/>
        <v>0.40868862170454268</v>
      </c>
      <c r="U118" s="230">
        <f t="shared" si="60"/>
        <v>0.33765915743902974</v>
      </c>
      <c r="V118" s="230">
        <f t="shared" si="60"/>
        <v>0.24698012989476537</v>
      </c>
      <c r="W118" s="230">
        <f t="shared" si="60"/>
        <v>0.13605216590547631</v>
      </c>
      <c r="X118" s="230">
        <f t="shared" si="60"/>
        <v>5.1681943765835126E-2</v>
      </c>
      <c r="Y118" s="230">
        <f t="shared" si="60"/>
        <v>-6.370550167600042E-2</v>
      </c>
      <c r="Z118" s="230">
        <f t="shared" si="60"/>
        <v>-0.21106229913316188</v>
      </c>
      <c r="AA118" s="230">
        <f t="shared" si="60"/>
        <v>-0.3913404689910347</v>
      </c>
      <c r="AB118" s="230">
        <f t="shared" si="60"/>
        <v>-0.60549119875605339</v>
      </c>
      <c r="AC118" s="230">
        <f t="shared" si="60"/>
        <v>-0.85445122030780474</v>
      </c>
      <c r="AD118" s="230">
        <f t="shared" si="60"/>
        <v>-1.1391758965729271</v>
      </c>
      <c r="AE118" s="230">
        <f t="shared" si="60"/>
        <v>-1.4606196128663043</v>
      </c>
      <c r="AF118" s="230">
        <f t="shared" si="60"/>
        <v>-1.819735101666655</v>
      </c>
      <c r="AG118" s="230">
        <f t="shared" si="60"/>
        <v>-2.2174727572711728</v>
      </c>
      <c r="AH118" s="245"/>
      <c r="AI118" s="133"/>
      <c r="AJ118" s="211"/>
      <c r="AL118" s="108"/>
      <c r="AM118" s="2"/>
      <c r="AN118" s="2"/>
      <c r="AO118" s="2"/>
      <c r="BC118" s="1"/>
      <c r="BD118" s="2"/>
      <c r="BE118" s="2"/>
      <c r="BF118" s="2"/>
      <c r="BG118" s="2"/>
      <c r="BH118" s="2"/>
      <c r="BI118" s="2"/>
      <c r="BJ118" s="2"/>
      <c r="BK118" s="2"/>
    </row>
    <row r="119" spans="1:63" outlineLevel="1">
      <c r="A119" s="4" t="s">
        <v>478</v>
      </c>
      <c r="C119" s="230">
        <f t="shared" ref="C119:AG119" si="61">C114-$C114</f>
        <v>0</v>
      </c>
      <c r="D119" s="230">
        <f t="shared" si="61"/>
        <v>2.7379430226067564E-4</v>
      </c>
      <c r="E119" s="230">
        <f t="shared" si="61"/>
        <v>5.1606702302484098E-4</v>
      </c>
      <c r="F119" s="230">
        <f t="shared" si="61"/>
        <v>7.233332664426731E-4</v>
      </c>
      <c r="G119" s="230">
        <f t="shared" si="61"/>
        <v>8.9238758578947565E-4</v>
      </c>
      <c r="H119" s="230">
        <f t="shared" si="61"/>
        <v>1.0203616883299148E-3</v>
      </c>
      <c r="I119" s="230">
        <f t="shared" si="61"/>
        <v>1.1239420104286833E-3</v>
      </c>
      <c r="J119" s="230">
        <f t="shared" si="61"/>
        <v>1.2014452612402887E-3</v>
      </c>
      <c r="K119" s="230">
        <f t="shared" si="61"/>
        <v>1.2511842108446237E-3</v>
      </c>
      <c r="L119" s="230">
        <f t="shared" si="61"/>
        <v>1.2714727926482813E-3</v>
      </c>
      <c r="M119" s="230">
        <f t="shared" si="61"/>
        <v>1.2606313875878922E-3</v>
      </c>
      <c r="N119" s="230">
        <f t="shared" si="61"/>
        <v>1.4982765800015015E-3</v>
      </c>
      <c r="O119" s="230">
        <f t="shared" si="61"/>
        <v>1.6679301116018543E-3</v>
      </c>
      <c r="P119" s="230">
        <f t="shared" si="61"/>
        <v>1.7657205954196235E-3</v>
      </c>
      <c r="Q119" s="230">
        <f t="shared" si="61"/>
        <v>1.7884019224577614E-3</v>
      </c>
      <c r="R119" s="230">
        <f t="shared" si="61"/>
        <v>1.7334098689676235E-3</v>
      </c>
      <c r="S119" s="230">
        <f t="shared" si="61"/>
        <v>1.6158044798848196E-3</v>
      </c>
      <c r="T119" s="230">
        <f t="shared" si="61"/>
        <v>1.4334846636392586E-3</v>
      </c>
      <c r="U119" s="230">
        <f t="shared" si="61"/>
        <v>1.1843471974028377E-3</v>
      </c>
      <c r="V119" s="230">
        <f t="shared" si="61"/>
        <v>8.6628843972008304E-4</v>
      </c>
      <c r="W119" s="230">
        <f t="shared" si="61"/>
        <v>4.7720607553738449E-4</v>
      </c>
      <c r="X119" s="230">
        <f t="shared" si="61"/>
        <v>1.8127559672790478E-4</v>
      </c>
      <c r="Y119" s="230">
        <f t="shared" si="61"/>
        <v>-2.2344850037935363E-4</v>
      </c>
      <c r="Z119" s="230">
        <f t="shared" si="61"/>
        <v>-7.4030582896567661E-4</v>
      </c>
      <c r="AA119" s="230">
        <f t="shared" si="61"/>
        <v>-1.3726356222503013E-3</v>
      </c>
      <c r="AB119" s="230">
        <f t="shared" si="61"/>
        <v>-2.1237741921105524E-3</v>
      </c>
      <c r="AC119" s="230">
        <f t="shared" si="61"/>
        <v>-2.9970071469828203E-3</v>
      </c>
      <c r="AD119" s="230">
        <f t="shared" si="61"/>
        <v>-3.9956854441260421E-3</v>
      </c>
      <c r="AE119" s="230">
        <f t="shared" si="61"/>
        <v>-5.1231566118036236E-3</v>
      </c>
      <c r="AF119" s="230">
        <f t="shared" si="61"/>
        <v>-6.382762380918415E-3</v>
      </c>
      <c r="AG119" s="230">
        <f t="shared" si="61"/>
        <v>-7.7778362811482538E-3</v>
      </c>
      <c r="AH119" s="245"/>
      <c r="AI119" s="133"/>
      <c r="AJ119" s="211"/>
      <c r="AL119" s="108"/>
      <c r="AM119" s="2"/>
      <c r="AN119" s="2"/>
      <c r="AO119" s="2"/>
      <c r="BC119" s="1"/>
      <c r="BD119" s="2"/>
      <c r="BE119" s="2"/>
      <c r="BF119" s="2"/>
      <c r="BG119" s="2"/>
      <c r="BH119" s="2"/>
      <c r="BI119" s="2"/>
      <c r="BJ119" s="2"/>
      <c r="BK119" s="2"/>
    </row>
    <row r="120" spans="1:63" outlineLevel="1">
      <c r="A120" s="4" t="s">
        <v>745</v>
      </c>
      <c r="C120" s="230">
        <f t="shared" ref="C120:AG120" si="62">C115-$C115</f>
        <v>0</v>
      </c>
      <c r="D120" s="230">
        <f t="shared" si="62"/>
        <v>3.9716957809491249E-2</v>
      </c>
      <c r="E120" s="230">
        <f t="shared" si="62"/>
        <v>8.4746362169101724E-2</v>
      </c>
      <c r="F120" s="230">
        <f t="shared" si="62"/>
        <v>0.13512207349946123</v>
      </c>
      <c r="G120" s="230">
        <f t="shared" si="62"/>
        <v>0.19081261666264973</v>
      </c>
      <c r="H120" s="230">
        <f t="shared" si="62"/>
        <v>0.25171775987655221</v>
      </c>
      <c r="I120" s="230">
        <f t="shared" si="62"/>
        <v>0.31835151048072652</v>
      </c>
      <c r="J120" s="230">
        <f t="shared" si="62"/>
        <v>0.39093263388666838</v>
      </c>
      <c r="K120" s="230">
        <f t="shared" si="62"/>
        <v>0.46967568503715329</v>
      </c>
      <c r="L120" s="230">
        <f t="shared" si="62"/>
        <v>0.5547901845652583</v>
      </c>
      <c r="M120" s="230">
        <f t="shared" si="62"/>
        <v>0.64647977977524618</v>
      </c>
      <c r="N120" s="230">
        <f t="shared" si="62"/>
        <v>0.76823703697710577</v>
      </c>
      <c r="O120" s="230">
        <f t="shared" si="62"/>
        <v>0.90081596441629086</v>
      </c>
      <c r="P120" s="230">
        <f t="shared" si="62"/>
        <v>1.0439863723582472</v>
      </c>
      <c r="Q120" s="230">
        <f t="shared" si="62"/>
        <v>1.1974003381058369</v>
      </c>
      <c r="R120" s="230">
        <f t="shared" si="62"/>
        <v>1.3605908748855136</v>
      </c>
      <c r="S120" s="230">
        <f t="shared" si="62"/>
        <v>1.5357340983136805</v>
      </c>
      <c r="T120" s="230">
        <f t="shared" si="62"/>
        <v>1.7231283037941769</v>
      </c>
      <c r="U120" s="230">
        <f t="shared" si="62"/>
        <v>1.9230705736415674</v>
      </c>
      <c r="V120" s="230">
        <f t="shared" si="62"/>
        <v>2.1358565102658811</v>
      </c>
      <c r="W120" s="230">
        <f t="shared" si="62"/>
        <v>2.361779965533338</v>
      </c>
      <c r="X120" s="230">
        <f t="shared" si="62"/>
        <v>2.6566327817340363</v>
      </c>
      <c r="Y120" s="230">
        <f t="shared" si="62"/>
        <v>2.9718172596419259</v>
      </c>
      <c r="Z120" s="230">
        <f t="shared" si="62"/>
        <v>3.3078074098267543</v>
      </c>
      <c r="AA120" s="230">
        <f t="shared" si="62"/>
        <v>3.6650749778780827</v>
      </c>
      <c r="AB120" s="230">
        <f t="shared" si="62"/>
        <v>4.0440890515104062</v>
      </c>
      <c r="AC120" s="230">
        <f t="shared" si="62"/>
        <v>4.4453576898170022</v>
      </c>
      <c r="AD120" s="230">
        <f t="shared" si="62"/>
        <v>4.8693555519087326</v>
      </c>
      <c r="AE120" s="230">
        <f t="shared" si="62"/>
        <v>5.316554768519536</v>
      </c>
      <c r="AF120" s="230">
        <f t="shared" si="62"/>
        <v>5.7874245778189373</v>
      </c>
      <c r="AG120" s="230">
        <f t="shared" si="62"/>
        <v>6.2824309570709653</v>
      </c>
      <c r="AH120" s="245"/>
      <c r="AI120" s="133"/>
      <c r="AJ120" s="211"/>
      <c r="AL120" s="108"/>
      <c r="AM120" s="2"/>
      <c r="AN120" s="2"/>
      <c r="AO120" s="2"/>
      <c r="BC120" s="1"/>
      <c r="BD120" s="2"/>
      <c r="BE120" s="2"/>
      <c r="BF120" s="2"/>
      <c r="BG120" s="2"/>
      <c r="BH120" s="2"/>
      <c r="BI120" s="2"/>
      <c r="BJ120" s="2"/>
      <c r="BK120" s="2"/>
    </row>
    <row r="121" spans="1:63" outlineLevel="1">
      <c r="A121" s="4" t="s">
        <v>1561</v>
      </c>
      <c r="C121" s="230">
        <f t="shared" ref="C121:AG121" si="63">C116-$C116</f>
        <v>0</v>
      </c>
      <c r="D121" s="230">
        <f t="shared" si="63"/>
        <v>3.9716957809491249E-2</v>
      </c>
      <c r="E121" s="230">
        <f t="shared" si="63"/>
        <v>8.4746362169101724E-2</v>
      </c>
      <c r="F121" s="230">
        <f t="shared" si="63"/>
        <v>0.13512207349946123</v>
      </c>
      <c r="G121" s="230">
        <f t="shared" si="63"/>
        <v>0.19081261666264973</v>
      </c>
      <c r="H121" s="230">
        <f t="shared" si="63"/>
        <v>0.25171775987655221</v>
      </c>
      <c r="I121" s="230">
        <f t="shared" si="63"/>
        <v>0.31835151048072652</v>
      </c>
      <c r="J121" s="230">
        <f t="shared" si="63"/>
        <v>0.39093263388666838</v>
      </c>
      <c r="K121" s="230">
        <f t="shared" si="63"/>
        <v>0.46967568503715329</v>
      </c>
      <c r="L121" s="230">
        <f t="shared" si="63"/>
        <v>0.5547901845652583</v>
      </c>
      <c r="M121" s="230">
        <f t="shared" si="63"/>
        <v>0.64647977977524618</v>
      </c>
      <c r="N121" s="230">
        <f t="shared" si="63"/>
        <v>0.76823703697710577</v>
      </c>
      <c r="O121" s="230">
        <f t="shared" si="63"/>
        <v>0.90081596441629086</v>
      </c>
      <c r="P121" s="230">
        <f t="shared" si="63"/>
        <v>1.0439863723582472</v>
      </c>
      <c r="Q121" s="230">
        <f t="shared" si="63"/>
        <v>1.1974003381058369</v>
      </c>
      <c r="R121" s="230">
        <f t="shared" si="63"/>
        <v>1.3605908748855136</v>
      </c>
      <c r="S121" s="230">
        <f t="shared" si="63"/>
        <v>1.5357340983136805</v>
      </c>
      <c r="T121" s="230">
        <f t="shared" si="63"/>
        <v>1.7231283037941769</v>
      </c>
      <c r="U121" s="230">
        <f t="shared" si="63"/>
        <v>1.9230705736415674</v>
      </c>
      <c r="V121" s="230">
        <f t="shared" si="63"/>
        <v>2.1358565102658811</v>
      </c>
      <c r="W121" s="230">
        <f t="shared" si="63"/>
        <v>2.361779965533338</v>
      </c>
      <c r="X121" s="230">
        <f t="shared" si="63"/>
        <v>2.6566327817340363</v>
      </c>
      <c r="Y121" s="230">
        <f t="shared" si="63"/>
        <v>2.9718172596419259</v>
      </c>
      <c r="Z121" s="230">
        <f t="shared" si="63"/>
        <v>3.3078074098267543</v>
      </c>
      <c r="AA121" s="230">
        <f t="shared" si="63"/>
        <v>3.6650749778780827</v>
      </c>
      <c r="AB121" s="230">
        <f t="shared" si="63"/>
        <v>4.0440890515104062</v>
      </c>
      <c r="AC121" s="230">
        <f t="shared" si="63"/>
        <v>4.4453576898170022</v>
      </c>
      <c r="AD121" s="230">
        <f t="shared" si="63"/>
        <v>4.8693555519087326</v>
      </c>
      <c r="AE121" s="230">
        <f t="shared" si="63"/>
        <v>5.316554768519536</v>
      </c>
      <c r="AF121" s="230">
        <f t="shared" si="63"/>
        <v>5.7874245778189373</v>
      </c>
      <c r="AG121" s="230">
        <f t="shared" si="63"/>
        <v>6.2824309570709653</v>
      </c>
      <c r="AH121" s="245"/>
      <c r="AI121" s="133"/>
      <c r="AJ121" s="211"/>
      <c r="AL121" s="108"/>
      <c r="AM121" s="2"/>
      <c r="AN121" s="2"/>
      <c r="AO121" s="2"/>
      <c r="BC121" s="1"/>
      <c r="BD121" s="2"/>
      <c r="BE121" s="2"/>
      <c r="BF121" s="2"/>
      <c r="BG121" s="2"/>
      <c r="BH121" s="2"/>
      <c r="BI121" s="2"/>
      <c r="BJ121" s="2"/>
      <c r="BK121" s="2"/>
    </row>
    <row r="122" spans="1:63" outlineLevel="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I122" s="134"/>
      <c r="AJ122" s="211"/>
      <c r="AL122" s="108"/>
      <c r="AM122" s="132"/>
      <c r="AN122" s="2"/>
      <c r="AO122" s="2"/>
    </row>
    <row r="123" spans="1:63" s="200" customFormat="1" ht="16" thickBot="1">
      <c r="A123" s="200" t="s">
        <v>1330</v>
      </c>
      <c r="B123" s="215"/>
      <c r="C123" s="222">
        <f>C124</f>
        <v>2.5000000000000001E-2</v>
      </c>
      <c r="D123" s="222">
        <f t="shared" ref="D123:AG123" si="64">D124</f>
        <v>3.1255416735465176E-2</v>
      </c>
      <c r="E123" s="222">
        <f t="shared" si="64"/>
        <v>3.7510833470930344E-2</v>
      </c>
      <c r="F123" s="222">
        <f t="shared" si="64"/>
        <v>4.3766250206395518E-2</v>
      </c>
      <c r="G123" s="222">
        <f t="shared" si="64"/>
        <v>5.0021666941860693E-2</v>
      </c>
      <c r="H123" s="222">
        <f t="shared" si="64"/>
        <v>5.6277083677325861E-2</v>
      </c>
      <c r="I123" s="222">
        <f t="shared" si="64"/>
        <v>6.2532500412791042E-2</v>
      </c>
      <c r="J123" s="222">
        <f t="shared" si="64"/>
        <v>6.8787917148256203E-2</v>
      </c>
      <c r="K123" s="222">
        <f t="shared" si="64"/>
        <v>7.5043333883721378E-2</v>
      </c>
      <c r="L123" s="222">
        <f t="shared" si="64"/>
        <v>8.1298750619186552E-2</v>
      </c>
      <c r="M123" s="222">
        <f t="shared" si="64"/>
        <v>8.7554167354651713E-2</v>
      </c>
      <c r="N123" s="222">
        <f t="shared" si="64"/>
        <v>0.10073866108940137</v>
      </c>
      <c r="O123" s="222">
        <f t="shared" si="64"/>
        <v>0.11392315482415102</v>
      </c>
      <c r="P123" s="222">
        <f t="shared" si="64"/>
        <v>0.12710764855890069</v>
      </c>
      <c r="Q123" s="222">
        <f t="shared" si="64"/>
        <v>0.14029214229365033</v>
      </c>
      <c r="R123" s="222">
        <f t="shared" si="64"/>
        <v>0.1534766360284</v>
      </c>
      <c r="S123" s="222">
        <f t="shared" si="64"/>
        <v>0.16666112976314967</v>
      </c>
      <c r="T123" s="222">
        <f t="shared" si="64"/>
        <v>0.17984562349789934</v>
      </c>
      <c r="U123" s="222">
        <f t="shared" si="64"/>
        <v>0.19303011723264898</v>
      </c>
      <c r="V123" s="222">
        <f t="shared" si="64"/>
        <v>0.20621461096739863</v>
      </c>
      <c r="W123" s="222">
        <f t="shared" si="64"/>
        <v>0.2193991047021483</v>
      </c>
      <c r="X123" s="222">
        <f t="shared" si="64"/>
        <v>0.24145919423193346</v>
      </c>
      <c r="Y123" s="222">
        <f t="shared" si="64"/>
        <v>0.26351928376171863</v>
      </c>
      <c r="Z123" s="222">
        <f t="shared" si="64"/>
        <v>0.28557937329150385</v>
      </c>
      <c r="AA123" s="222">
        <f t="shared" si="64"/>
        <v>0.30763946282128896</v>
      </c>
      <c r="AB123" s="222">
        <f t="shared" si="64"/>
        <v>0.32969955235107418</v>
      </c>
      <c r="AC123" s="222">
        <f t="shared" si="64"/>
        <v>0.35175964188085934</v>
      </c>
      <c r="AD123" s="222">
        <f t="shared" si="64"/>
        <v>0.37381973141064451</v>
      </c>
      <c r="AE123" s="222">
        <f t="shared" si="64"/>
        <v>0.39587982094042967</v>
      </c>
      <c r="AF123" s="222">
        <f t="shared" si="64"/>
        <v>0.41793991047021484</v>
      </c>
      <c r="AG123" s="222">
        <f t="shared" si="64"/>
        <v>0.44</v>
      </c>
      <c r="AJ123" s="231" t="s">
        <v>1331</v>
      </c>
      <c r="AL123" s="217"/>
      <c r="AM123" s="218"/>
      <c r="AN123" s="218"/>
      <c r="AO123" s="218"/>
    </row>
    <row r="124" spans="1:63" ht="16" outlineLevel="1" thickTop="1">
      <c r="A124" t="s">
        <v>1332</v>
      </c>
      <c r="B124" s="54" t="s">
        <v>462</v>
      </c>
      <c r="C124" s="214">
        <v>2.5000000000000001E-2</v>
      </c>
      <c r="D124" s="110">
        <f>$C124+($M124-$C124)/10*(D$1-$C$1)</f>
        <v>3.1255416735465176E-2</v>
      </c>
      <c r="E124" s="110">
        <f t="shared" ref="E124:L124" si="65">$C124+($M124-$C124)/10*(E$1-$C$1)</f>
        <v>3.7510833470930344E-2</v>
      </c>
      <c r="F124" s="110">
        <f t="shared" si="65"/>
        <v>4.3766250206395518E-2</v>
      </c>
      <c r="G124" s="110">
        <f t="shared" si="65"/>
        <v>5.0021666941860693E-2</v>
      </c>
      <c r="H124" s="110">
        <f t="shared" si="65"/>
        <v>5.6277083677325861E-2</v>
      </c>
      <c r="I124" s="110">
        <f t="shared" si="65"/>
        <v>6.2532500412791042E-2</v>
      </c>
      <c r="J124" s="110">
        <f t="shared" si="65"/>
        <v>6.8787917148256203E-2</v>
      </c>
      <c r="K124" s="110">
        <f t="shared" si="65"/>
        <v>7.5043333883721378E-2</v>
      </c>
      <c r="L124" s="110">
        <f t="shared" si="65"/>
        <v>8.1298750619186552E-2</v>
      </c>
      <c r="M124" s="121">
        <f>(M$52-$C$52)/($AG$52-$C$52)*($AG124-$C124)+$C124</f>
        <v>8.7554167354651713E-2</v>
      </c>
      <c r="N124" s="121">
        <f>$M124+($W124-$M124)/10*(N$1-$M$1)</f>
        <v>0.10073866108940137</v>
      </c>
      <c r="O124" s="121">
        <f t="shared" ref="O124:U124" si="66">$M124+($W124-$M124)/10*(O$1-$M$1)</f>
        <v>0.11392315482415102</v>
      </c>
      <c r="P124" s="121">
        <f t="shared" si="66"/>
        <v>0.12710764855890069</v>
      </c>
      <c r="Q124" s="121">
        <f t="shared" si="66"/>
        <v>0.14029214229365033</v>
      </c>
      <c r="R124" s="121">
        <f t="shared" si="66"/>
        <v>0.1534766360284</v>
      </c>
      <c r="S124" s="121">
        <f t="shared" si="66"/>
        <v>0.16666112976314967</v>
      </c>
      <c r="T124" s="121">
        <f t="shared" si="66"/>
        <v>0.17984562349789934</v>
      </c>
      <c r="U124" s="121">
        <f t="shared" si="66"/>
        <v>0.19303011723264898</v>
      </c>
      <c r="V124" s="121">
        <f>$M124+($W124-$M124)/10*(V$1-$M$1)</f>
        <v>0.20621461096739863</v>
      </c>
      <c r="W124" s="121">
        <f>(W$52-$C$52)/($AG$52-$C$52)*($AG124-$C124)+$C124</f>
        <v>0.2193991047021483</v>
      </c>
      <c r="X124" s="110">
        <f>$W124+($AG124-$W124)/10*(X$1-$W$1)</f>
        <v>0.24145919423193346</v>
      </c>
      <c r="Y124" s="110">
        <f t="shared" ref="Y124:AF124" si="67">$W124+($AG124-$W124)/10*(Y$1-$W$1)</f>
        <v>0.26351928376171863</v>
      </c>
      <c r="Z124" s="110">
        <f t="shared" si="67"/>
        <v>0.28557937329150385</v>
      </c>
      <c r="AA124" s="110">
        <f t="shared" si="67"/>
        <v>0.30763946282128896</v>
      </c>
      <c r="AB124" s="110">
        <f t="shared" si="67"/>
        <v>0.32969955235107418</v>
      </c>
      <c r="AC124" s="110">
        <f t="shared" si="67"/>
        <v>0.35175964188085934</v>
      </c>
      <c r="AD124" s="110">
        <f t="shared" si="67"/>
        <v>0.37381973141064451</v>
      </c>
      <c r="AE124" s="110">
        <f t="shared" si="67"/>
        <v>0.39587982094042967</v>
      </c>
      <c r="AF124" s="110">
        <f t="shared" si="67"/>
        <v>0.41793991047021484</v>
      </c>
      <c r="AG124" s="214">
        <v>0.44</v>
      </c>
      <c r="AJ124" s="211" t="s">
        <v>1436</v>
      </c>
    </row>
    <row r="125" spans="1:63" outlineLevel="1">
      <c r="A125" t="s">
        <v>1437</v>
      </c>
      <c r="B125" s="54" t="s">
        <v>462</v>
      </c>
      <c r="C125" s="214">
        <v>0.08</v>
      </c>
      <c r="D125" s="110">
        <f t="shared" ref="D125:AF125" si="68">C125-($C$125-$AG$125)/($AG$1-$C$1)</f>
        <v>0.10400000000000001</v>
      </c>
      <c r="E125" s="110">
        <f t="shared" si="68"/>
        <v>0.128</v>
      </c>
      <c r="F125" s="110">
        <f t="shared" si="68"/>
        <v>0.152</v>
      </c>
      <c r="G125" s="110">
        <f t="shared" si="68"/>
        <v>0.17599999999999999</v>
      </c>
      <c r="H125" s="110">
        <f t="shared" si="68"/>
        <v>0.19999999999999998</v>
      </c>
      <c r="I125" s="110">
        <f t="shared" si="68"/>
        <v>0.22399999999999998</v>
      </c>
      <c r="J125" s="110">
        <f t="shared" si="68"/>
        <v>0.24799999999999997</v>
      </c>
      <c r="K125" s="110">
        <f t="shared" si="68"/>
        <v>0.27199999999999996</v>
      </c>
      <c r="L125" s="110">
        <f t="shared" si="68"/>
        <v>0.29599999999999999</v>
      </c>
      <c r="M125" s="110">
        <f t="shared" si="68"/>
        <v>0.32</v>
      </c>
      <c r="N125" s="110">
        <f t="shared" si="68"/>
        <v>0.34400000000000003</v>
      </c>
      <c r="O125" s="110">
        <f t="shared" si="68"/>
        <v>0.36800000000000005</v>
      </c>
      <c r="P125" s="110">
        <f t="shared" si="68"/>
        <v>0.39200000000000007</v>
      </c>
      <c r="Q125" s="110">
        <f t="shared" si="68"/>
        <v>0.41600000000000009</v>
      </c>
      <c r="R125" s="110">
        <f t="shared" si="68"/>
        <v>0.44000000000000011</v>
      </c>
      <c r="S125" s="110">
        <f t="shared" si="68"/>
        <v>0.46400000000000013</v>
      </c>
      <c r="T125" s="110">
        <f t="shared" si="68"/>
        <v>0.48800000000000016</v>
      </c>
      <c r="U125" s="110">
        <f t="shared" si="68"/>
        <v>0.51200000000000012</v>
      </c>
      <c r="V125" s="110">
        <f t="shared" si="68"/>
        <v>0.53600000000000014</v>
      </c>
      <c r="W125" s="110">
        <f t="shared" si="68"/>
        <v>0.56000000000000016</v>
      </c>
      <c r="X125" s="110">
        <f t="shared" si="68"/>
        <v>0.58400000000000019</v>
      </c>
      <c r="Y125" s="110">
        <f t="shared" si="68"/>
        <v>0.60800000000000021</v>
      </c>
      <c r="Z125" s="110">
        <f t="shared" si="68"/>
        <v>0.63200000000000023</v>
      </c>
      <c r="AA125" s="110">
        <f t="shared" si="68"/>
        <v>0.65600000000000025</v>
      </c>
      <c r="AB125" s="110">
        <f t="shared" si="68"/>
        <v>0.68000000000000027</v>
      </c>
      <c r="AC125" s="110">
        <f t="shared" si="68"/>
        <v>0.70400000000000029</v>
      </c>
      <c r="AD125" s="110">
        <f t="shared" si="68"/>
        <v>0.72800000000000031</v>
      </c>
      <c r="AE125" s="110">
        <f t="shared" si="68"/>
        <v>0.75200000000000033</v>
      </c>
      <c r="AF125" s="110">
        <f t="shared" si="68"/>
        <v>0.77600000000000036</v>
      </c>
      <c r="AG125" s="214">
        <v>0.8</v>
      </c>
      <c r="AI125" s="134"/>
      <c r="AJ125" s="211" t="s">
        <v>1438</v>
      </c>
      <c r="AL125" s="54" t="s">
        <v>1439</v>
      </c>
    </row>
    <row r="126" spans="1:63" outlineLevel="1">
      <c r="A126" t="s">
        <v>1440</v>
      </c>
      <c r="B126" s="176" t="s">
        <v>462</v>
      </c>
      <c r="C126" s="110">
        <f>1-C125</f>
        <v>0.92</v>
      </c>
      <c r="D126" s="110">
        <f t="shared" ref="D126:AG126" si="69">1-D125</f>
        <v>0.89600000000000002</v>
      </c>
      <c r="E126" s="110">
        <f t="shared" si="69"/>
        <v>0.872</v>
      </c>
      <c r="F126" s="110">
        <f t="shared" si="69"/>
        <v>0.84799999999999998</v>
      </c>
      <c r="G126" s="110">
        <f t="shared" si="69"/>
        <v>0.82400000000000007</v>
      </c>
      <c r="H126" s="110">
        <f t="shared" si="69"/>
        <v>0.8</v>
      </c>
      <c r="I126" s="110">
        <f t="shared" si="69"/>
        <v>0.77600000000000002</v>
      </c>
      <c r="J126" s="110">
        <f t="shared" si="69"/>
        <v>0.752</v>
      </c>
      <c r="K126" s="110">
        <f t="shared" si="69"/>
        <v>0.72799999999999998</v>
      </c>
      <c r="L126" s="110">
        <f t="shared" si="69"/>
        <v>0.70399999999999996</v>
      </c>
      <c r="M126" s="110">
        <f t="shared" si="69"/>
        <v>0.67999999999999994</v>
      </c>
      <c r="N126" s="110">
        <f t="shared" si="69"/>
        <v>0.65599999999999992</v>
      </c>
      <c r="O126" s="110">
        <f t="shared" si="69"/>
        <v>0.6319999999999999</v>
      </c>
      <c r="P126" s="110">
        <f t="shared" si="69"/>
        <v>0.60799999999999987</v>
      </c>
      <c r="Q126" s="110">
        <f t="shared" si="69"/>
        <v>0.58399999999999985</v>
      </c>
      <c r="R126" s="110">
        <f t="shared" si="69"/>
        <v>0.55999999999999983</v>
      </c>
      <c r="S126" s="110">
        <f t="shared" si="69"/>
        <v>0.53599999999999981</v>
      </c>
      <c r="T126" s="110">
        <f t="shared" si="69"/>
        <v>0.51199999999999979</v>
      </c>
      <c r="U126" s="110">
        <f t="shared" si="69"/>
        <v>0.48799999999999988</v>
      </c>
      <c r="V126" s="110">
        <f t="shared" si="69"/>
        <v>0.46399999999999986</v>
      </c>
      <c r="W126" s="110">
        <f t="shared" si="69"/>
        <v>0.43999999999999984</v>
      </c>
      <c r="X126" s="110">
        <f t="shared" si="69"/>
        <v>0.41599999999999981</v>
      </c>
      <c r="Y126" s="110">
        <f t="shared" si="69"/>
        <v>0.39199999999999979</v>
      </c>
      <c r="Z126" s="110">
        <f t="shared" si="69"/>
        <v>0.36799999999999977</v>
      </c>
      <c r="AA126" s="110">
        <f t="shared" si="69"/>
        <v>0.34399999999999975</v>
      </c>
      <c r="AB126" s="110">
        <f t="shared" si="69"/>
        <v>0.31999999999999973</v>
      </c>
      <c r="AC126" s="110">
        <f t="shared" si="69"/>
        <v>0.29599999999999971</v>
      </c>
      <c r="AD126" s="110">
        <f t="shared" si="69"/>
        <v>0.27199999999999969</v>
      </c>
      <c r="AE126" s="110">
        <f t="shared" si="69"/>
        <v>0.24799999999999967</v>
      </c>
      <c r="AF126" s="110">
        <f t="shared" si="69"/>
        <v>0.22399999999999964</v>
      </c>
      <c r="AG126" s="110">
        <f t="shared" si="69"/>
        <v>0.19999999999999996</v>
      </c>
      <c r="AI126" s="134"/>
      <c r="AJ126" s="211"/>
      <c r="BD126" s="760"/>
      <c r="BE126" s="760"/>
    </row>
    <row r="127" spans="1:63" outlineLevel="1">
      <c r="A127" t="s">
        <v>1333</v>
      </c>
      <c r="B127" s="54" t="s">
        <v>462</v>
      </c>
      <c r="C127" s="110">
        <f>C124*C125</f>
        <v>2E-3</v>
      </c>
      <c r="D127" s="110">
        <f t="shared" ref="D127:AG127" si="70">D124*D125</f>
        <v>3.2505633404883785E-3</v>
      </c>
      <c r="E127" s="110">
        <f t="shared" si="70"/>
        <v>4.8013866842790843E-3</v>
      </c>
      <c r="F127" s="110">
        <f t="shared" si="70"/>
        <v>6.652470031372119E-3</v>
      </c>
      <c r="G127" s="110">
        <f t="shared" si="70"/>
        <v>8.8038133817674811E-3</v>
      </c>
      <c r="H127" s="110">
        <f t="shared" si="70"/>
        <v>1.125541673546517E-2</v>
      </c>
      <c r="I127" s="110">
        <f t="shared" si="70"/>
        <v>1.4007280092465192E-2</v>
      </c>
      <c r="J127" s="110">
        <f t="shared" si="70"/>
        <v>1.7059403452767536E-2</v>
      </c>
      <c r="K127" s="110">
        <f t="shared" si="70"/>
        <v>2.0411786816372211E-2</v>
      </c>
      <c r="L127" s="110">
        <f t="shared" si="70"/>
        <v>2.4064430183279219E-2</v>
      </c>
      <c r="M127" s="110">
        <f t="shared" si="70"/>
        <v>2.8017333553488549E-2</v>
      </c>
      <c r="N127" s="110">
        <f t="shared" si="70"/>
        <v>3.4654099414754072E-2</v>
      </c>
      <c r="O127" s="110">
        <f t="shared" si="70"/>
        <v>4.1923720975287584E-2</v>
      </c>
      <c r="P127" s="110">
        <f t="shared" si="70"/>
        <v>4.9826198235089082E-2</v>
      </c>
      <c r="Q127" s="110">
        <f t="shared" si="70"/>
        <v>5.8361531194158552E-2</v>
      </c>
      <c r="R127" s="110">
        <f t="shared" si="70"/>
        <v>6.752971985249602E-2</v>
      </c>
      <c r="S127" s="110">
        <f t="shared" si="70"/>
        <v>7.7330764210101474E-2</v>
      </c>
      <c r="T127" s="110">
        <f t="shared" si="70"/>
        <v>8.7764664266974907E-2</v>
      </c>
      <c r="U127" s="110">
        <f t="shared" si="70"/>
        <v>9.8831420023116304E-2</v>
      </c>
      <c r="V127" s="110">
        <f t="shared" si="70"/>
        <v>0.11053103147852569</v>
      </c>
      <c r="W127" s="110">
        <f t="shared" si="70"/>
        <v>0.12286349863320307</v>
      </c>
      <c r="X127" s="110">
        <f t="shared" si="70"/>
        <v>0.14101216943144917</v>
      </c>
      <c r="Y127" s="110">
        <f t="shared" si="70"/>
        <v>0.16021972452712499</v>
      </c>
      <c r="Z127" s="110">
        <f t="shared" si="70"/>
        <v>0.18048616392023051</v>
      </c>
      <c r="AA127" s="110">
        <f t="shared" si="70"/>
        <v>0.20181148761076564</v>
      </c>
      <c r="AB127" s="110">
        <f t="shared" si="70"/>
        <v>0.22419569559873054</v>
      </c>
      <c r="AC127" s="110">
        <f t="shared" si="70"/>
        <v>0.24763878788412508</v>
      </c>
      <c r="AD127" s="110">
        <f t="shared" si="70"/>
        <v>0.27214076446694929</v>
      </c>
      <c r="AE127" s="110">
        <f t="shared" si="70"/>
        <v>0.29770162534720324</v>
      </c>
      <c r="AF127" s="110">
        <f t="shared" si="70"/>
        <v>0.32432137052488685</v>
      </c>
      <c r="AG127" s="110">
        <f t="shared" si="70"/>
        <v>0.35200000000000004</v>
      </c>
      <c r="AI127" s="134"/>
      <c r="AJ127" s="211"/>
      <c r="BD127" s="203"/>
      <c r="BE127" s="203"/>
    </row>
    <row r="128" spans="1:63" outlineLevel="1">
      <c r="A128" t="s">
        <v>1334</v>
      </c>
      <c r="B128" s="54" t="s">
        <v>462</v>
      </c>
      <c r="C128" s="110">
        <f>C124*C126</f>
        <v>2.3000000000000003E-2</v>
      </c>
      <c r="D128" s="110">
        <f t="shared" ref="D128:AG128" si="71">D124*D126</f>
        <v>2.8004853394976797E-2</v>
      </c>
      <c r="E128" s="110">
        <f t="shared" si="71"/>
        <v>3.2709446786651261E-2</v>
      </c>
      <c r="F128" s="110">
        <f t="shared" si="71"/>
        <v>3.7113780175023398E-2</v>
      </c>
      <c r="G128" s="110">
        <f t="shared" si="71"/>
        <v>4.1217853560093214E-2</v>
      </c>
      <c r="H128" s="110">
        <f t="shared" si="71"/>
        <v>4.5021666941860689E-2</v>
      </c>
      <c r="I128" s="110">
        <f t="shared" si="71"/>
        <v>4.852522032032585E-2</v>
      </c>
      <c r="J128" s="110">
        <f t="shared" si="71"/>
        <v>5.1728513695488663E-2</v>
      </c>
      <c r="K128" s="110">
        <f t="shared" si="71"/>
        <v>5.4631547067349163E-2</v>
      </c>
      <c r="L128" s="110">
        <f t="shared" si="71"/>
        <v>5.7234320435907329E-2</v>
      </c>
      <c r="M128" s="110">
        <f t="shared" si="71"/>
        <v>5.9536833801163161E-2</v>
      </c>
      <c r="N128" s="110">
        <f t="shared" si="71"/>
        <v>6.6084561674647282E-2</v>
      </c>
      <c r="O128" s="110">
        <f t="shared" si="71"/>
        <v>7.1999433848863439E-2</v>
      </c>
      <c r="P128" s="110">
        <f t="shared" si="71"/>
        <v>7.7281450323811604E-2</v>
      </c>
      <c r="Q128" s="110">
        <f t="shared" si="71"/>
        <v>8.1930611099491776E-2</v>
      </c>
      <c r="R128" s="110">
        <f t="shared" si="71"/>
        <v>8.594691617590397E-2</v>
      </c>
      <c r="S128" s="110">
        <f t="shared" si="71"/>
        <v>8.9330365553048199E-2</v>
      </c>
      <c r="T128" s="110">
        <f t="shared" si="71"/>
        <v>9.2080959230924422E-2</v>
      </c>
      <c r="U128" s="110">
        <f t="shared" si="71"/>
        <v>9.4198697209532681E-2</v>
      </c>
      <c r="V128" s="110">
        <f t="shared" si="71"/>
        <v>9.5683579488872933E-2</v>
      </c>
      <c r="W128" s="110">
        <f t="shared" si="71"/>
        <v>9.6535606068945221E-2</v>
      </c>
      <c r="X128" s="110">
        <f t="shared" si="71"/>
        <v>0.10044702480048427</v>
      </c>
      <c r="Y128" s="110">
        <f t="shared" si="71"/>
        <v>0.10329955923459365</v>
      </c>
      <c r="Z128" s="110">
        <f t="shared" si="71"/>
        <v>0.10509320937127335</v>
      </c>
      <c r="AA128" s="110">
        <f t="shared" si="71"/>
        <v>0.10582797521052333</v>
      </c>
      <c r="AB128" s="110">
        <f t="shared" si="71"/>
        <v>0.10550385675234365</v>
      </c>
      <c r="AC128" s="110">
        <f t="shared" si="71"/>
        <v>0.10412085399673426</v>
      </c>
      <c r="AD128" s="110">
        <f t="shared" si="71"/>
        <v>0.10167896694369519</v>
      </c>
      <c r="AE128" s="110">
        <f t="shared" si="71"/>
        <v>9.8178195593226422E-2</v>
      </c>
      <c r="AF128" s="110">
        <f t="shared" si="71"/>
        <v>9.3618539945327969E-2</v>
      </c>
      <c r="AG128" s="110">
        <f t="shared" si="71"/>
        <v>8.7999999999999981E-2</v>
      </c>
      <c r="AI128" s="134"/>
      <c r="AJ128" s="211"/>
      <c r="BD128" s="203"/>
      <c r="BE128" s="203"/>
    </row>
    <row r="129" spans="1:63" outlineLevel="1">
      <c r="B129" s="176"/>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D129" s="203"/>
      <c r="BE129" s="203"/>
    </row>
    <row r="130" spans="1:63" ht="16" outlineLevel="1">
      <c r="A130" t="s">
        <v>1441</v>
      </c>
      <c r="B130" s="54" t="s">
        <v>462</v>
      </c>
      <c r="C130" s="214">
        <v>0.52</v>
      </c>
      <c r="D130" s="110">
        <f>C130</f>
        <v>0.52</v>
      </c>
      <c r="E130" s="110">
        <f t="shared" ref="E130:T130" si="72">D130</f>
        <v>0.52</v>
      </c>
      <c r="F130" s="110">
        <f t="shared" si="72"/>
        <v>0.52</v>
      </c>
      <c r="G130" s="110">
        <f t="shared" si="72"/>
        <v>0.52</v>
      </c>
      <c r="H130" s="110">
        <f t="shared" si="72"/>
        <v>0.52</v>
      </c>
      <c r="I130" s="110">
        <f t="shared" si="72"/>
        <v>0.52</v>
      </c>
      <c r="J130" s="110">
        <f t="shared" si="72"/>
        <v>0.52</v>
      </c>
      <c r="K130" s="110">
        <f t="shared" si="72"/>
        <v>0.52</v>
      </c>
      <c r="L130" s="110">
        <f t="shared" si="72"/>
        <v>0.52</v>
      </c>
      <c r="M130" s="110">
        <f t="shared" si="72"/>
        <v>0.52</v>
      </c>
      <c r="N130" s="110">
        <f t="shared" si="72"/>
        <v>0.52</v>
      </c>
      <c r="O130" s="110">
        <f t="shared" si="72"/>
        <v>0.52</v>
      </c>
      <c r="P130" s="110">
        <f t="shared" si="72"/>
        <v>0.52</v>
      </c>
      <c r="Q130" s="110">
        <f t="shared" si="72"/>
        <v>0.52</v>
      </c>
      <c r="R130" s="110">
        <f t="shared" si="72"/>
        <v>0.52</v>
      </c>
      <c r="S130" s="110">
        <f t="shared" si="72"/>
        <v>0.52</v>
      </c>
      <c r="T130" s="110">
        <f t="shared" si="72"/>
        <v>0.52</v>
      </c>
      <c r="U130" s="110">
        <f t="shared" ref="T130:AG132" si="73">T130</f>
        <v>0.52</v>
      </c>
      <c r="V130" s="110">
        <f t="shared" si="73"/>
        <v>0.52</v>
      </c>
      <c r="W130" s="110">
        <f t="shared" si="73"/>
        <v>0.52</v>
      </c>
      <c r="X130" s="110">
        <f t="shared" si="73"/>
        <v>0.52</v>
      </c>
      <c r="Y130" s="110">
        <f t="shared" si="73"/>
        <v>0.52</v>
      </c>
      <c r="Z130" s="110">
        <f t="shared" si="73"/>
        <v>0.52</v>
      </c>
      <c r="AA130" s="110">
        <f t="shared" si="73"/>
        <v>0.52</v>
      </c>
      <c r="AB130" s="110">
        <f t="shared" si="73"/>
        <v>0.52</v>
      </c>
      <c r="AC130" s="110">
        <f t="shared" si="73"/>
        <v>0.52</v>
      </c>
      <c r="AD130" s="110">
        <f t="shared" si="73"/>
        <v>0.52</v>
      </c>
      <c r="AE130" s="110">
        <f t="shared" si="73"/>
        <v>0.52</v>
      </c>
      <c r="AF130" s="110">
        <f t="shared" si="73"/>
        <v>0.52</v>
      </c>
      <c r="AG130" s="110">
        <f t="shared" si="73"/>
        <v>0.52</v>
      </c>
      <c r="AI130" s="133" t="s">
        <v>1442</v>
      </c>
      <c r="AJ130" s="232" t="s">
        <v>1443</v>
      </c>
      <c r="BD130" s="203"/>
      <c r="BE130" s="203"/>
    </row>
    <row r="131" spans="1:63" ht="16" outlineLevel="1">
      <c r="A131" t="s">
        <v>1444</v>
      </c>
      <c r="B131" s="54" t="s">
        <v>462</v>
      </c>
      <c r="C131" s="214">
        <v>0.12</v>
      </c>
      <c r="D131" s="110">
        <f t="shared" ref="D131:S132" si="74">C131</f>
        <v>0.12</v>
      </c>
      <c r="E131" s="110">
        <f t="shared" si="74"/>
        <v>0.12</v>
      </c>
      <c r="F131" s="110">
        <f t="shared" si="74"/>
        <v>0.12</v>
      </c>
      <c r="G131" s="110">
        <f t="shared" si="74"/>
        <v>0.12</v>
      </c>
      <c r="H131" s="110">
        <f t="shared" si="74"/>
        <v>0.12</v>
      </c>
      <c r="I131" s="110">
        <f t="shared" si="74"/>
        <v>0.12</v>
      </c>
      <c r="J131" s="110">
        <f t="shared" si="74"/>
        <v>0.12</v>
      </c>
      <c r="K131" s="110">
        <f t="shared" si="74"/>
        <v>0.12</v>
      </c>
      <c r="L131" s="110">
        <f t="shared" si="74"/>
        <v>0.12</v>
      </c>
      <c r="M131" s="110">
        <f t="shared" si="74"/>
        <v>0.12</v>
      </c>
      <c r="N131" s="110">
        <f t="shared" si="74"/>
        <v>0.12</v>
      </c>
      <c r="O131" s="110">
        <f t="shared" si="74"/>
        <v>0.12</v>
      </c>
      <c r="P131" s="110">
        <f t="shared" si="74"/>
        <v>0.12</v>
      </c>
      <c r="Q131" s="110">
        <f t="shared" si="74"/>
        <v>0.12</v>
      </c>
      <c r="R131" s="110">
        <f t="shared" si="74"/>
        <v>0.12</v>
      </c>
      <c r="S131" s="110">
        <f t="shared" si="74"/>
        <v>0.12</v>
      </c>
      <c r="T131" s="110">
        <f t="shared" si="73"/>
        <v>0.12</v>
      </c>
      <c r="U131" s="110">
        <f t="shared" si="73"/>
        <v>0.12</v>
      </c>
      <c r="V131" s="110">
        <f t="shared" si="73"/>
        <v>0.12</v>
      </c>
      <c r="W131" s="110">
        <f t="shared" si="73"/>
        <v>0.12</v>
      </c>
      <c r="X131" s="110">
        <f t="shared" si="73"/>
        <v>0.12</v>
      </c>
      <c r="Y131" s="110">
        <f t="shared" si="73"/>
        <v>0.12</v>
      </c>
      <c r="Z131" s="110">
        <f t="shared" si="73"/>
        <v>0.12</v>
      </c>
      <c r="AA131" s="110">
        <f t="shared" si="73"/>
        <v>0.12</v>
      </c>
      <c r="AB131" s="110">
        <f t="shared" si="73"/>
        <v>0.12</v>
      </c>
      <c r="AC131" s="110">
        <f t="shared" si="73"/>
        <v>0.12</v>
      </c>
      <c r="AD131" s="110">
        <f t="shared" si="73"/>
        <v>0.12</v>
      </c>
      <c r="AE131" s="110">
        <f t="shared" si="73"/>
        <v>0.12</v>
      </c>
      <c r="AF131" s="110">
        <f t="shared" si="73"/>
        <v>0.12</v>
      </c>
      <c r="AG131" s="110">
        <f t="shared" si="73"/>
        <v>0.12</v>
      </c>
      <c r="AI131" s="133" t="s">
        <v>1442</v>
      </c>
      <c r="AJ131" s="232" t="s">
        <v>1443</v>
      </c>
      <c r="AL131" s="1"/>
      <c r="BC131" s="1"/>
      <c r="BD131" s="762"/>
      <c r="BE131" s="760"/>
      <c r="BF131" s="6"/>
      <c r="BG131" s="6"/>
      <c r="BH131" s="6"/>
      <c r="BI131" s="6"/>
      <c r="BJ131" s="6"/>
    </row>
    <row r="132" spans="1:63" outlineLevel="1">
      <c r="A132" t="s">
        <v>1445</v>
      </c>
      <c r="B132" s="54" t="s">
        <v>462</v>
      </c>
      <c r="C132" s="121">
        <f>1-C130-C131</f>
        <v>0.36</v>
      </c>
      <c r="D132" s="110">
        <f t="shared" si="74"/>
        <v>0.36</v>
      </c>
      <c r="E132" s="110">
        <f t="shared" si="74"/>
        <v>0.36</v>
      </c>
      <c r="F132" s="110">
        <f t="shared" si="74"/>
        <v>0.36</v>
      </c>
      <c r="G132" s="110">
        <f t="shared" si="74"/>
        <v>0.36</v>
      </c>
      <c r="H132" s="110">
        <f t="shared" si="74"/>
        <v>0.36</v>
      </c>
      <c r="I132" s="110">
        <f t="shared" si="74"/>
        <v>0.36</v>
      </c>
      <c r="J132" s="110">
        <f t="shared" si="74"/>
        <v>0.36</v>
      </c>
      <c r="K132" s="110">
        <f t="shared" si="74"/>
        <v>0.36</v>
      </c>
      <c r="L132" s="110">
        <f t="shared" si="74"/>
        <v>0.36</v>
      </c>
      <c r="M132" s="110">
        <f t="shared" si="74"/>
        <v>0.36</v>
      </c>
      <c r="N132" s="110">
        <f t="shared" si="74"/>
        <v>0.36</v>
      </c>
      <c r="O132" s="110">
        <f t="shared" si="74"/>
        <v>0.36</v>
      </c>
      <c r="P132" s="110">
        <f t="shared" si="74"/>
        <v>0.36</v>
      </c>
      <c r="Q132" s="110">
        <f t="shared" si="74"/>
        <v>0.36</v>
      </c>
      <c r="R132" s="110">
        <f t="shared" si="74"/>
        <v>0.36</v>
      </c>
      <c r="S132" s="110">
        <f t="shared" si="74"/>
        <v>0.36</v>
      </c>
      <c r="T132" s="110">
        <f t="shared" si="73"/>
        <v>0.36</v>
      </c>
      <c r="U132" s="110">
        <f t="shared" si="73"/>
        <v>0.36</v>
      </c>
      <c r="V132" s="110">
        <f t="shared" si="73"/>
        <v>0.36</v>
      </c>
      <c r="W132" s="110">
        <f t="shared" si="73"/>
        <v>0.36</v>
      </c>
      <c r="X132" s="110">
        <f t="shared" si="73"/>
        <v>0.36</v>
      </c>
      <c r="Y132" s="110">
        <f t="shared" si="73"/>
        <v>0.36</v>
      </c>
      <c r="Z132" s="110">
        <f t="shared" si="73"/>
        <v>0.36</v>
      </c>
      <c r="AA132" s="110">
        <f t="shared" si="73"/>
        <v>0.36</v>
      </c>
      <c r="AB132" s="110">
        <f t="shared" si="73"/>
        <v>0.36</v>
      </c>
      <c r="AC132" s="110">
        <f t="shared" si="73"/>
        <v>0.36</v>
      </c>
      <c r="AD132" s="110">
        <f t="shared" si="73"/>
        <v>0.36</v>
      </c>
      <c r="AE132" s="110">
        <f t="shared" si="73"/>
        <v>0.36</v>
      </c>
      <c r="AF132" s="110">
        <f t="shared" si="73"/>
        <v>0.36</v>
      </c>
      <c r="AG132" s="110">
        <f t="shared" si="73"/>
        <v>0.36</v>
      </c>
      <c r="AI132" s="133"/>
      <c r="AJ132" s="223"/>
      <c r="BC132" s="1"/>
      <c r="BD132" s="41"/>
      <c r="BF132" s="6"/>
      <c r="BG132" s="6"/>
      <c r="BH132" s="6"/>
      <c r="BI132" s="6"/>
      <c r="BJ132" s="6"/>
    </row>
    <row r="133" spans="1:63" outlineLevel="1">
      <c r="A133" t="s">
        <v>1268</v>
      </c>
      <c r="B133" s="54" t="s">
        <v>462</v>
      </c>
      <c r="C133" s="110">
        <f>SUM(C130:C132)</f>
        <v>1</v>
      </c>
      <c r="D133" s="110">
        <f t="shared" ref="D133:AG133" si="75">SUM(D130:D132)</f>
        <v>1</v>
      </c>
      <c r="E133" s="110">
        <f t="shared" si="75"/>
        <v>1</v>
      </c>
      <c r="F133" s="110">
        <f t="shared" si="75"/>
        <v>1</v>
      </c>
      <c r="G133" s="110">
        <f t="shared" si="75"/>
        <v>1</v>
      </c>
      <c r="H133" s="110">
        <f t="shared" si="75"/>
        <v>1</v>
      </c>
      <c r="I133" s="110">
        <f t="shared" si="75"/>
        <v>1</v>
      </c>
      <c r="J133" s="110">
        <f t="shared" si="75"/>
        <v>1</v>
      </c>
      <c r="K133" s="110">
        <f t="shared" si="75"/>
        <v>1</v>
      </c>
      <c r="L133" s="110">
        <f t="shared" si="75"/>
        <v>1</v>
      </c>
      <c r="M133" s="110">
        <f t="shared" si="75"/>
        <v>1</v>
      </c>
      <c r="N133" s="110">
        <f t="shared" si="75"/>
        <v>1</v>
      </c>
      <c r="O133" s="110">
        <f t="shared" si="75"/>
        <v>1</v>
      </c>
      <c r="P133" s="110">
        <f t="shared" si="75"/>
        <v>1</v>
      </c>
      <c r="Q133" s="110">
        <f t="shared" si="75"/>
        <v>1</v>
      </c>
      <c r="R133" s="110">
        <f t="shared" si="75"/>
        <v>1</v>
      </c>
      <c r="S133" s="110">
        <f t="shared" si="75"/>
        <v>1</v>
      </c>
      <c r="T133" s="110">
        <f t="shared" si="75"/>
        <v>1</v>
      </c>
      <c r="U133" s="110">
        <f t="shared" si="75"/>
        <v>1</v>
      </c>
      <c r="V133" s="110">
        <f t="shared" si="75"/>
        <v>1</v>
      </c>
      <c r="W133" s="110">
        <f t="shared" si="75"/>
        <v>1</v>
      </c>
      <c r="X133" s="110">
        <f t="shared" si="75"/>
        <v>1</v>
      </c>
      <c r="Y133" s="110">
        <f t="shared" si="75"/>
        <v>1</v>
      </c>
      <c r="Z133" s="110">
        <f t="shared" si="75"/>
        <v>1</v>
      </c>
      <c r="AA133" s="110">
        <f t="shared" si="75"/>
        <v>1</v>
      </c>
      <c r="AB133" s="110">
        <f t="shared" si="75"/>
        <v>1</v>
      </c>
      <c r="AC133" s="110">
        <f t="shared" si="75"/>
        <v>1</v>
      </c>
      <c r="AD133" s="110">
        <f t="shared" si="75"/>
        <v>1</v>
      </c>
      <c r="AE133" s="110">
        <f t="shared" si="75"/>
        <v>1</v>
      </c>
      <c r="AF133" s="110">
        <f t="shared" si="75"/>
        <v>1</v>
      </c>
      <c r="AG133" s="110">
        <f t="shared" si="75"/>
        <v>1</v>
      </c>
      <c r="AI133" s="133"/>
      <c r="AJ133" s="211"/>
      <c r="BC133" s="1"/>
      <c r="BD133" s="41"/>
      <c r="BF133" s="6"/>
      <c r="BG133" s="6"/>
      <c r="BH133" s="6"/>
      <c r="BI133" s="6"/>
      <c r="BJ133" s="6"/>
    </row>
    <row r="134" spans="1:63" outlineLevel="1">
      <c r="C134" s="214"/>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I134" s="133"/>
      <c r="AJ134" s="211"/>
      <c r="BC134" s="1"/>
      <c r="BD134" s="41"/>
      <c r="BF134" s="6"/>
      <c r="BG134" s="6"/>
      <c r="BH134" s="6"/>
      <c r="BI134" s="6"/>
      <c r="BJ134" s="6"/>
    </row>
    <row r="135" spans="1:63" outlineLevel="1">
      <c r="A135" t="s">
        <v>1335</v>
      </c>
      <c r="B135" s="54" t="s">
        <v>462</v>
      </c>
      <c r="C135" s="110">
        <f>C130*C128</f>
        <v>1.1960000000000002E-2</v>
      </c>
      <c r="D135" s="110">
        <f t="shared" ref="D135:AG135" si="76">D130*D128</f>
        <v>1.4562523765387934E-2</v>
      </c>
      <c r="E135" s="110">
        <f t="shared" si="76"/>
        <v>1.7008912329058656E-2</v>
      </c>
      <c r="F135" s="110">
        <f t="shared" si="76"/>
        <v>1.9299165691012168E-2</v>
      </c>
      <c r="G135" s="110">
        <f t="shared" si="76"/>
        <v>2.1433283851248472E-2</v>
      </c>
      <c r="H135" s="110">
        <f t="shared" si="76"/>
        <v>2.3411266809767559E-2</v>
      </c>
      <c r="I135" s="110">
        <f t="shared" si="76"/>
        <v>2.5233114566569442E-2</v>
      </c>
      <c r="J135" s="110">
        <f t="shared" si="76"/>
        <v>2.6898827121654107E-2</v>
      </c>
      <c r="K135" s="110">
        <f t="shared" si="76"/>
        <v>2.8408404475021565E-2</v>
      </c>
      <c r="L135" s="110">
        <f t="shared" si="76"/>
        <v>2.9761846626671813E-2</v>
      </c>
      <c r="M135" s="110">
        <f t="shared" si="76"/>
        <v>3.0959153576604843E-2</v>
      </c>
      <c r="N135" s="110">
        <f t="shared" si="76"/>
        <v>3.4363972070816588E-2</v>
      </c>
      <c r="O135" s="110">
        <f t="shared" si="76"/>
        <v>3.7439705601408989E-2</v>
      </c>
      <c r="P135" s="110">
        <f t="shared" si="76"/>
        <v>4.0186354168382038E-2</v>
      </c>
      <c r="Q135" s="110">
        <f t="shared" si="76"/>
        <v>4.2603917771735722E-2</v>
      </c>
      <c r="R135" s="110">
        <f t="shared" si="76"/>
        <v>4.4692396411470069E-2</v>
      </c>
      <c r="S135" s="110">
        <f t="shared" si="76"/>
        <v>4.6451790087585064E-2</v>
      </c>
      <c r="T135" s="110">
        <f t="shared" si="76"/>
        <v>4.7882098800080701E-2</v>
      </c>
      <c r="U135" s="110">
        <f t="shared" si="76"/>
        <v>4.8983322548956994E-2</v>
      </c>
      <c r="V135" s="110">
        <f t="shared" si="76"/>
        <v>4.9755461334213928E-2</v>
      </c>
      <c r="W135" s="110">
        <f t="shared" si="76"/>
        <v>5.0198515155851518E-2</v>
      </c>
      <c r="X135" s="110">
        <f t="shared" si="76"/>
        <v>5.2232452896251821E-2</v>
      </c>
      <c r="Y135" s="110">
        <f t="shared" si="76"/>
        <v>5.3715770801988701E-2</v>
      </c>
      <c r="Z135" s="110">
        <f t="shared" si="76"/>
        <v>5.4648468873062142E-2</v>
      </c>
      <c r="AA135" s="110">
        <f t="shared" si="76"/>
        <v>5.5030547109472132E-2</v>
      </c>
      <c r="AB135" s="110">
        <f t="shared" si="76"/>
        <v>5.4862005511218705E-2</v>
      </c>
      <c r="AC135" s="110">
        <f t="shared" si="76"/>
        <v>5.4142844078301819E-2</v>
      </c>
      <c r="AD135" s="110">
        <f t="shared" si="76"/>
        <v>5.2873062810721502E-2</v>
      </c>
      <c r="AE135" s="110">
        <f t="shared" si="76"/>
        <v>5.1052661708477741E-2</v>
      </c>
      <c r="AF135" s="110">
        <f t="shared" si="76"/>
        <v>4.8681640771570549E-2</v>
      </c>
      <c r="AG135" s="110">
        <f t="shared" si="76"/>
        <v>4.5759999999999995E-2</v>
      </c>
      <c r="AI135" s="133"/>
      <c r="AJ135" s="211"/>
      <c r="BD135" s="203"/>
      <c r="BE135" s="203"/>
    </row>
    <row r="136" spans="1:63" outlineLevel="1">
      <c r="A136" t="s">
        <v>1336</v>
      </c>
      <c r="B136" s="54" t="s">
        <v>462</v>
      </c>
      <c r="C136" s="110">
        <f>C128*C131</f>
        <v>2.7600000000000003E-3</v>
      </c>
      <c r="D136" s="110">
        <f t="shared" ref="D136:AG136" si="77">D128*D131</f>
        <v>3.3605824073972158E-3</v>
      </c>
      <c r="E136" s="110">
        <f t="shared" si="77"/>
        <v>3.9251336143981512E-3</v>
      </c>
      <c r="F136" s="110">
        <f t="shared" si="77"/>
        <v>4.4536536210028075E-3</v>
      </c>
      <c r="G136" s="110">
        <f t="shared" si="77"/>
        <v>4.9461424272111854E-3</v>
      </c>
      <c r="H136" s="110">
        <f t="shared" si="77"/>
        <v>5.4026000330232825E-3</v>
      </c>
      <c r="I136" s="110">
        <f t="shared" si="77"/>
        <v>5.8230264384391021E-3</v>
      </c>
      <c r="J136" s="110">
        <f t="shared" si="77"/>
        <v>6.2074216434586391E-3</v>
      </c>
      <c r="K136" s="110">
        <f t="shared" si="77"/>
        <v>6.5557856480818995E-3</v>
      </c>
      <c r="L136" s="110">
        <f t="shared" si="77"/>
        <v>6.868118452308879E-3</v>
      </c>
      <c r="M136" s="110">
        <f t="shared" si="77"/>
        <v>7.1444200561395794E-3</v>
      </c>
      <c r="N136" s="110">
        <f t="shared" si="77"/>
        <v>7.9301474009576736E-3</v>
      </c>
      <c r="O136" s="110">
        <f t="shared" si="77"/>
        <v>8.6399320618636127E-3</v>
      </c>
      <c r="P136" s="110">
        <f t="shared" si="77"/>
        <v>9.2737740388573915E-3</v>
      </c>
      <c r="Q136" s="110">
        <f t="shared" si="77"/>
        <v>9.8316733319390136E-3</v>
      </c>
      <c r="R136" s="110">
        <f t="shared" si="77"/>
        <v>1.0313629941108475E-2</v>
      </c>
      <c r="S136" s="110">
        <f t="shared" si="77"/>
        <v>1.0719643866365784E-2</v>
      </c>
      <c r="T136" s="110">
        <f t="shared" si="77"/>
        <v>1.104971510771093E-2</v>
      </c>
      <c r="U136" s="110">
        <f t="shared" si="77"/>
        <v>1.1303843665143922E-2</v>
      </c>
      <c r="V136" s="110">
        <f t="shared" si="77"/>
        <v>1.1482029538664751E-2</v>
      </c>
      <c r="W136" s="110">
        <f t="shared" si="77"/>
        <v>1.1584272728273426E-2</v>
      </c>
      <c r="X136" s="110">
        <f t="shared" si="77"/>
        <v>1.2053642976058113E-2</v>
      </c>
      <c r="Y136" s="110">
        <f t="shared" si="77"/>
        <v>1.2395947108151237E-2</v>
      </c>
      <c r="Z136" s="110">
        <f t="shared" si="77"/>
        <v>1.2611185124552803E-2</v>
      </c>
      <c r="AA136" s="110">
        <f t="shared" si="77"/>
        <v>1.2699357025262798E-2</v>
      </c>
      <c r="AB136" s="110">
        <f t="shared" si="77"/>
        <v>1.2660462810281237E-2</v>
      </c>
      <c r="AC136" s="110">
        <f t="shared" si="77"/>
        <v>1.2494502479608111E-2</v>
      </c>
      <c r="AD136" s="110">
        <f t="shared" si="77"/>
        <v>1.2201476033243421E-2</v>
      </c>
      <c r="AE136" s="110">
        <f t="shared" si="77"/>
        <v>1.178138347118717E-2</v>
      </c>
      <c r="AF136" s="110">
        <f t="shared" si="77"/>
        <v>1.1234224793439355E-2</v>
      </c>
      <c r="AG136" s="110">
        <f t="shared" si="77"/>
        <v>1.0559999999999996E-2</v>
      </c>
      <c r="AI136" s="133"/>
      <c r="AJ136" s="211"/>
      <c r="AL136" s="1"/>
      <c r="BC136" s="1"/>
      <c r="BD136" s="762"/>
      <c r="BE136" s="760"/>
      <c r="BF136" s="6"/>
      <c r="BG136" s="6"/>
      <c r="BH136" s="6"/>
      <c r="BI136" s="6"/>
      <c r="BJ136" s="6"/>
    </row>
    <row r="137" spans="1:63" outlineLevel="1">
      <c r="A137" t="s">
        <v>1337</v>
      </c>
      <c r="B137" s="54" t="s">
        <v>462</v>
      </c>
      <c r="C137" s="110">
        <f>C128*C132</f>
        <v>8.2800000000000009E-3</v>
      </c>
      <c r="D137" s="110">
        <f t="shared" ref="D137:AG137" si="78">D128*D132</f>
        <v>1.0081747222191647E-2</v>
      </c>
      <c r="E137" s="110">
        <f t="shared" si="78"/>
        <v>1.1775400843194454E-2</v>
      </c>
      <c r="F137" s="110">
        <f t="shared" si="78"/>
        <v>1.3360960863008423E-2</v>
      </c>
      <c r="G137" s="110">
        <f t="shared" si="78"/>
        <v>1.4838427281633556E-2</v>
      </c>
      <c r="H137" s="110">
        <f t="shared" si="78"/>
        <v>1.6207800099069847E-2</v>
      </c>
      <c r="I137" s="110">
        <f t="shared" si="78"/>
        <v>1.7469079315317305E-2</v>
      </c>
      <c r="J137" s="110">
        <f t="shared" si="78"/>
        <v>1.8622264930375918E-2</v>
      </c>
      <c r="K137" s="110">
        <f t="shared" si="78"/>
        <v>1.9667356944245699E-2</v>
      </c>
      <c r="L137" s="110">
        <f t="shared" si="78"/>
        <v>2.0604355356926639E-2</v>
      </c>
      <c r="M137" s="110">
        <f t="shared" si="78"/>
        <v>2.1433260168418736E-2</v>
      </c>
      <c r="N137" s="110">
        <f t="shared" si="78"/>
        <v>2.3790442202873022E-2</v>
      </c>
      <c r="O137" s="110">
        <f t="shared" si="78"/>
        <v>2.5919796185590836E-2</v>
      </c>
      <c r="P137" s="110">
        <f t="shared" si="78"/>
        <v>2.7821322116572178E-2</v>
      </c>
      <c r="Q137" s="110">
        <f t="shared" si="78"/>
        <v>2.9495019995817037E-2</v>
      </c>
      <c r="R137" s="110">
        <f t="shared" si="78"/>
        <v>3.0940889823325428E-2</v>
      </c>
      <c r="S137" s="110">
        <f t="shared" si="78"/>
        <v>3.215893159909735E-2</v>
      </c>
      <c r="T137" s="110">
        <f t="shared" si="78"/>
        <v>3.3149145323132789E-2</v>
      </c>
      <c r="U137" s="110">
        <f t="shared" si="78"/>
        <v>3.3911530995431767E-2</v>
      </c>
      <c r="V137" s="110">
        <f t="shared" si="78"/>
        <v>3.4446088615994255E-2</v>
      </c>
      <c r="W137" s="110">
        <f t="shared" si="78"/>
        <v>3.4752818184820275E-2</v>
      </c>
      <c r="X137" s="110">
        <f t="shared" si="78"/>
        <v>3.6160928928174338E-2</v>
      </c>
      <c r="Y137" s="110">
        <f t="shared" si="78"/>
        <v>3.7187841324453713E-2</v>
      </c>
      <c r="Z137" s="110">
        <f t="shared" si="78"/>
        <v>3.7833555373658408E-2</v>
      </c>
      <c r="AA137" s="110">
        <f t="shared" si="78"/>
        <v>3.8098071075788394E-2</v>
      </c>
      <c r="AB137" s="110">
        <f t="shared" si="78"/>
        <v>3.7981388430843713E-2</v>
      </c>
      <c r="AC137" s="110">
        <f t="shared" si="78"/>
        <v>3.748350743882433E-2</v>
      </c>
      <c r="AD137" s="110">
        <f t="shared" si="78"/>
        <v>3.6604428099730267E-2</v>
      </c>
      <c r="AE137" s="110">
        <f t="shared" si="78"/>
        <v>3.5344150413561509E-2</v>
      </c>
      <c r="AF137" s="110">
        <f t="shared" si="78"/>
        <v>3.3702674380318071E-2</v>
      </c>
      <c r="AG137" s="110">
        <f t="shared" si="78"/>
        <v>3.1679999999999993E-2</v>
      </c>
      <c r="AI137" s="134"/>
      <c r="AJ137" s="211"/>
      <c r="BC137" s="1"/>
      <c r="BD137" s="41"/>
      <c r="BF137" s="6"/>
      <c r="BG137" s="6"/>
      <c r="BH137" s="6"/>
      <c r="BI137" s="6"/>
      <c r="BJ137" s="6"/>
    </row>
    <row r="138" spans="1:63" outlineLevel="1">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I138" s="134"/>
      <c r="AJ138" s="211"/>
      <c r="BC138" s="1"/>
      <c r="BD138" s="41"/>
      <c r="BF138" s="6"/>
      <c r="BG138" s="6"/>
      <c r="BH138" s="6"/>
      <c r="BI138" s="6"/>
      <c r="BJ138" s="6"/>
    </row>
    <row r="139" spans="1:63" outlineLevel="1">
      <c r="A139" t="s">
        <v>1621</v>
      </c>
      <c r="C139" s="230">
        <f>('Overall recycling rates'!F86*'Yearly BTX'!D5+'Overall recycling rates'!G86*'Yearly BTX'!D6+'Overall recycling rates'!H86*'Yearly BTX'!D7)/'Yearly BTX'!D4</f>
        <v>0.70806073640898437</v>
      </c>
      <c r="D139" s="230">
        <f>C139-($C139-$AG139)/($AG$1-$C$1)</f>
        <v>0.71779204519535156</v>
      </c>
      <c r="E139" s="230">
        <f t="shared" ref="E139:AF139" si="79">D139-($C139-$AG139)/($AG$1-$C$1)</f>
        <v>0.72752335398171875</v>
      </c>
      <c r="F139" s="230">
        <f t="shared" si="79"/>
        <v>0.73725466276808593</v>
      </c>
      <c r="G139" s="230">
        <f t="shared" si="79"/>
        <v>0.74698597155445312</v>
      </c>
      <c r="H139" s="230">
        <f t="shared" si="79"/>
        <v>0.75671728034082031</v>
      </c>
      <c r="I139" s="230">
        <f t="shared" si="79"/>
        <v>0.7664485891271875</v>
      </c>
      <c r="J139" s="230">
        <f t="shared" si="79"/>
        <v>0.77617989791355468</v>
      </c>
      <c r="K139" s="230">
        <f t="shared" si="79"/>
        <v>0.78591120669992187</v>
      </c>
      <c r="L139" s="230">
        <f t="shared" si="79"/>
        <v>0.79564251548628906</v>
      </c>
      <c r="M139" s="230">
        <f t="shared" si="79"/>
        <v>0.80537382427265625</v>
      </c>
      <c r="N139" s="230">
        <f t="shared" si="79"/>
        <v>0.81510513305902343</v>
      </c>
      <c r="O139" s="230">
        <f t="shared" si="79"/>
        <v>0.82483644184539062</v>
      </c>
      <c r="P139" s="230">
        <f t="shared" si="79"/>
        <v>0.83456775063175781</v>
      </c>
      <c r="Q139" s="230">
        <f t="shared" si="79"/>
        <v>0.844299059418125</v>
      </c>
      <c r="R139" s="230">
        <f t="shared" si="79"/>
        <v>0.85403036820449219</v>
      </c>
      <c r="S139" s="230">
        <f t="shared" si="79"/>
        <v>0.86376167699085937</v>
      </c>
      <c r="T139" s="230">
        <f t="shared" si="79"/>
        <v>0.87349298577722656</v>
      </c>
      <c r="U139" s="230">
        <f t="shared" si="79"/>
        <v>0.88322429456359375</v>
      </c>
      <c r="V139" s="230">
        <f t="shared" si="79"/>
        <v>0.89295560334996094</v>
      </c>
      <c r="W139" s="230">
        <f t="shared" si="79"/>
        <v>0.90268691213632812</v>
      </c>
      <c r="X139" s="230">
        <f t="shared" si="79"/>
        <v>0.91241822092269531</v>
      </c>
      <c r="Y139" s="230">
        <f t="shared" si="79"/>
        <v>0.9221495297090625</v>
      </c>
      <c r="Z139" s="230">
        <f t="shared" si="79"/>
        <v>0.93188083849542969</v>
      </c>
      <c r="AA139" s="230">
        <f t="shared" si="79"/>
        <v>0.94161214728179687</v>
      </c>
      <c r="AB139" s="230">
        <f t="shared" si="79"/>
        <v>0.95134345606816406</v>
      </c>
      <c r="AC139" s="230">
        <f t="shared" si="79"/>
        <v>0.96107476485453125</v>
      </c>
      <c r="AD139" s="230">
        <f t="shared" si="79"/>
        <v>0.97080607364089844</v>
      </c>
      <c r="AE139" s="230">
        <f t="shared" si="79"/>
        <v>0.98053738242726562</v>
      </c>
      <c r="AF139" s="230">
        <f t="shared" si="79"/>
        <v>0.99026869121363281</v>
      </c>
      <c r="AG139" s="230">
        <f>'Overall recycling rates'!F95</f>
        <v>1</v>
      </c>
      <c r="AI139" s="133"/>
      <c r="AJ139" s="211" t="s">
        <v>1571</v>
      </c>
      <c r="AL139" s="108"/>
      <c r="AM139" s="207"/>
      <c r="AN139" s="207"/>
      <c r="AO139" s="207"/>
      <c r="BC139" s="1"/>
      <c r="BD139" s="207"/>
      <c r="BE139" s="207"/>
      <c r="BF139" s="207"/>
      <c r="BG139" s="207"/>
      <c r="BH139" s="207"/>
      <c r="BI139" s="207"/>
      <c r="BJ139" s="207"/>
      <c r="BK139" s="207"/>
    </row>
    <row r="140" spans="1:63" outlineLevel="1">
      <c r="A140" t="s">
        <v>1629</v>
      </c>
      <c r="B140" s="54" t="s">
        <v>462</v>
      </c>
      <c r="C140" s="110">
        <f>C127*C$139</f>
        <v>1.4161214728179688E-3</v>
      </c>
      <c r="D140" s="110">
        <f t="shared" ref="D140:AG141" si="80">D127*D$139</f>
        <v>2.3332285082061873E-3</v>
      </c>
      <c r="E140" s="110">
        <f t="shared" si="80"/>
        <v>3.4931209443098831E-3</v>
      </c>
      <c r="F140" s="110">
        <f t="shared" si="80"/>
        <v>4.90456454955405E-3</v>
      </c>
      <c r="G140" s="110">
        <f t="shared" si="80"/>
        <v>6.5763250923636775E-3</v>
      </c>
      <c r="H140" s="110">
        <f t="shared" si="80"/>
        <v>8.5171683411637573E-3</v>
      </c>
      <c r="I140" s="110">
        <f t="shared" si="80"/>
        <v>1.0735860064379286E-2</v>
      </c>
      <c r="J140" s="110">
        <f t="shared" si="80"/>
        <v>1.3241166030435248E-2</v>
      </c>
      <c r="K140" s="110">
        <f t="shared" si="80"/>
        <v>1.6041852007756641E-2</v>
      </c>
      <c r="L140" s="110">
        <f t="shared" si="80"/>
        <v>1.9146683764768458E-2</v>
      </c>
      <c r="M140" s="110">
        <f t="shared" si="80"/>
        <v>2.2564427069895681E-2</v>
      </c>
      <c r="N140" s="110">
        <f t="shared" si="80"/>
        <v>2.8246734314503745E-2</v>
      </c>
      <c r="O140" s="110">
        <f t="shared" si="80"/>
        <v>3.4580212838175181E-2</v>
      </c>
      <c r="P140" s="110">
        <f t="shared" si="80"/>
        <v>4.1583338183590356E-2</v>
      </c>
      <c r="Q140" s="110">
        <f t="shared" si="80"/>
        <v>4.9274585893429625E-2</v>
      </c>
      <c r="R140" s="110">
        <f t="shared" si="80"/>
        <v>5.7672431510373379E-2</v>
      </c>
      <c r="S140" s="110">
        <f t="shared" si="80"/>
        <v>6.6795350577101981E-2</v>
      </c>
      <c r="T140" s="110">
        <f t="shared" si="80"/>
        <v>7.6661818636295773E-2</v>
      </c>
      <c r="U140" s="110">
        <f t="shared" si="80"/>
        <v>8.7290311230635131E-2</v>
      </c>
      <c r="V140" s="110">
        <f t="shared" si="80"/>
        <v>9.8699303902800434E-2</v>
      </c>
      <c r="W140" s="110">
        <f t="shared" si="80"/>
        <v>0.11090727219547206</v>
      </c>
      <c r="X140" s="110">
        <f t="shared" si="80"/>
        <v>0.12866207276109254</v>
      </c>
      <c r="Y140" s="110">
        <f t="shared" si="80"/>
        <v>0.14774654362280384</v>
      </c>
      <c r="Z140" s="110">
        <f t="shared" si="80"/>
        <v>0.16819159777080797</v>
      </c>
      <c r="AA140" s="110">
        <f t="shared" si="80"/>
        <v>0.19002814819530678</v>
      </c>
      <c r="AB140" s="110">
        <f t="shared" si="80"/>
        <v>0.21328710788650238</v>
      </c>
      <c r="AC140" s="110">
        <f t="shared" si="80"/>
        <v>0.23799938983459665</v>
      </c>
      <c r="AD140" s="110">
        <f t="shared" si="80"/>
        <v>0.26419590702979157</v>
      </c>
      <c r="AE140" s="110">
        <f t="shared" si="80"/>
        <v>0.29190757246228916</v>
      </c>
      <c r="AF140" s="110">
        <f t="shared" si="80"/>
        <v>0.32116529912229136</v>
      </c>
      <c r="AG140" s="110">
        <f t="shared" si="80"/>
        <v>0.35200000000000004</v>
      </c>
      <c r="AI140" s="133"/>
      <c r="AJ140"/>
      <c r="AL140" s="108"/>
      <c r="AM140" s="2"/>
      <c r="AN140" s="2"/>
      <c r="AO140" s="2"/>
      <c r="AV140" s="41"/>
    </row>
    <row r="141" spans="1:63" outlineLevel="1">
      <c r="A141" t="s">
        <v>1630</v>
      </c>
      <c r="B141" s="54" t="s">
        <v>462</v>
      </c>
      <c r="C141" s="110">
        <f>C128*C$139</f>
        <v>1.6285396937406642E-2</v>
      </c>
      <c r="D141" s="110">
        <f t="shared" si="80"/>
        <v>2.0101660993776381E-2</v>
      </c>
      <c r="E141" s="110">
        <f t="shared" si="80"/>
        <v>2.3796886433111078E-2</v>
      </c>
      <c r="F141" s="110">
        <f t="shared" si="80"/>
        <v>2.7362307486985749E-2</v>
      </c>
      <c r="G141" s="110">
        <f t="shared" si="80"/>
        <v>3.0789158386975404E-2</v>
      </c>
      <c r="H141" s="110">
        <f t="shared" si="80"/>
        <v>3.4068673364655036E-2</v>
      </c>
      <c r="I141" s="110">
        <f t="shared" si="80"/>
        <v>3.7192086651599676E-2</v>
      </c>
      <c r="J141" s="110">
        <f t="shared" si="80"/>
        <v>4.0150632479384309E-2</v>
      </c>
      <c r="K141" s="110">
        <f t="shared" si="80"/>
        <v>4.2935545079583956E-2</v>
      </c>
      <c r="L141" s="110">
        <f t="shared" si="80"/>
        <v>4.5538058683773627E-2</v>
      </c>
      <c r="M141" s="110">
        <f t="shared" si="80"/>
        <v>4.7949407523528317E-2</v>
      </c>
      <c r="N141" s="110">
        <f t="shared" si="80"/>
        <v>5.3865865436960612E-2</v>
      </c>
      <c r="O141" s="110">
        <f t="shared" si="80"/>
        <v>5.9387756830779098E-2</v>
      </c>
      <c r="P141" s="110">
        <f t="shared" si="80"/>
        <v>6.4496606162303377E-2</v>
      </c>
      <c r="Q141" s="110">
        <f t="shared" si="80"/>
        <v>6.9173937888853093E-2</v>
      </c>
      <c r="R141" s="110">
        <f t="shared" si="80"/>
        <v>7.3401276467747897E-2</v>
      </c>
      <c r="S141" s="110">
        <f t="shared" si="80"/>
        <v>7.7160146356307413E-2</v>
      </c>
      <c r="T141" s="110">
        <f t="shared" si="80"/>
        <v>8.0432072011851249E-2</v>
      </c>
      <c r="U141" s="110">
        <f t="shared" si="80"/>
        <v>8.3198577891699071E-2</v>
      </c>
      <c r="V141" s="110">
        <f t="shared" si="80"/>
        <v>8.5441188453170475E-2</v>
      </c>
      <c r="W141" s="110">
        <f t="shared" si="80"/>
        <v>8.7141428153585138E-2</v>
      </c>
      <c r="X141" s="110">
        <f t="shared" si="80"/>
        <v>9.164969566543571E-2</v>
      </c>
      <c r="Y141" s="110">
        <f t="shared" si="80"/>
        <v>9.5257639967333982E-2</v>
      </c>
      <c r="Z141" s="110">
        <f t="shared" si="80"/>
        <v>9.7934348069077956E-2</v>
      </c>
      <c r="AA141" s="110">
        <f t="shared" si="80"/>
        <v>9.9648906980465635E-2</v>
      </c>
      <c r="AB141" s="110">
        <f t="shared" si="80"/>
        <v>0.10037040371129512</v>
      </c>
      <c r="AC141" s="110">
        <f t="shared" si="80"/>
        <v>0.10006792527136436</v>
      </c>
      <c r="AD141" s="110">
        <f t="shared" si="80"/>
        <v>9.8710558670471432E-2</v>
      </c>
      <c r="AE141" s="110">
        <f t="shared" si="80"/>
        <v>9.6267390918414339E-2</v>
      </c>
      <c r="AF141" s="110">
        <f t="shared" si="80"/>
        <v>9.2707509024991128E-2</v>
      </c>
      <c r="AG141" s="110">
        <f t="shared" si="80"/>
        <v>8.7999999999999981E-2</v>
      </c>
      <c r="AH141" s="245"/>
      <c r="AI141" s="133"/>
      <c r="AJ141" s="211"/>
      <c r="AL141" s="108"/>
      <c r="AM141" s="2"/>
      <c r="AN141" s="2"/>
      <c r="AO141" s="2"/>
      <c r="AV141" s="41"/>
    </row>
    <row r="142" spans="1:63" outlineLevel="1">
      <c r="A142" t="s">
        <v>1631</v>
      </c>
      <c r="B142" s="176" t="s">
        <v>462</v>
      </c>
      <c r="C142" s="110">
        <f>SUM(C140:C141)</f>
        <v>1.7701518410224611E-2</v>
      </c>
      <c r="D142" s="110">
        <f t="shared" ref="D142:AG142" si="81">SUM(D140:D141)</f>
        <v>2.243488950198257E-2</v>
      </c>
      <c r="E142" s="110">
        <f t="shared" si="81"/>
        <v>2.7290007377420961E-2</v>
      </c>
      <c r="F142" s="110">
        <f t="shared" si="81"/>
        <v>3.2266872036539801E-2</v>
      </c>
      <c r="G142" s="110">
        <f t="shared" si="81"/>
        <v>3.736548347933908E-2</v>
      </c>
      <c r="H142" s="110">
        <f t="shared" si="81"/>
        <v>4.2585841705818792E-2</v>
      </c>
      <c r="I142" s="110">
        <f t="shared" si="81"/>
        <v>4.7927946715978963E-2</v>
      </c>
      <c r="J142" s="110">
        <f t="shared" si="81"/>
        <v>5.3391798509819559E-2</v>
      </c>
      <c r="K142" s="110">
        <f t="shared" si="81"/>
        <v>5.8977397087340594E-2</v>
      </c>
      <c r="L142" s="110">
        <f t="shared" si="81"/>
        <v>6.4684742448542082E-2</v>
      </c>
      <c r="M142" s="110">
        <f t="shared" si="81"/>
        <v>7.0513834593424002E-2</v>
      </c>
      <c r="N142" s="110">
        <f t="shared" si="81"/>
        <v>8.2112599751464357E-2</v>
      </c>
      <c r="O142" s="110">
        <f t="shared" si="81"/>
        <v>9.3967969668954279E-2</v>
      </c>
      <c r="P142" s="110">
        <f t="shared" si="81"/>
        <v>0.10607994434589374</v>
      </c>
      <c r="Q142" s="110">
        <f t="shared" si="81"/>
        <v>0.11844852378228271</v>
      </c>
      <c r="R142" s="110">
        <f t="shared" si="81"/>
        <v>0.13107370797812129</v>
      </c>
      <c r="S142" s="110">
        <f t="shared" si="81"/>
        <v>0.14395549693340939</v>
      </c>
      <c r="T142" s="110">
        <f t="shared" si="81"/>
        <v>0.15709389064814702</v>
      </c>
      <c r="U142" s="110">
        <f t="shared" si="81"/>
        <v>0.1704888891223342</v>
      </c>
      <c r="V142" s="110">
        <f t="shared" si="81"/>
        <v>0.18414049235597091</v>
      </c>
      <c r="W142" s="110">
        <f t="shared" si="81"/>
        <v>0.19804870034905719</v>
      </c>
      <c r="X142" s="110">
        <f t="shared" si="81"/>
        <v>0.22031176842652825</v>
      </c>
      <c r="Y142" s="110">
        <f t="shared" si="81"/>
        <v>0.24300418359013781</v>
      </c>
      <c r="Z142" s="110">
        <f t="shared" si="81"/>
        <v>0.26612594583988591</v>
      </c>
      <c r="AA142" s="110">
        <f t="shared" si="81"/>
        <v>0.28967705517577241</v>
      </c>
      <c r="AB142" s="110">
        <f t="shared" si="81"/>
        <v>0.31365751159779748</v>
      </c>
      <c r="AC142" s="110">
        <f t="shared" si="81"/>
        <v>0.338067315105961</v>
      </c>
      <c r="AD142" s="110">
        <f t="shared" si="81"/>
        <v>0.36290646570026297</v>
      </c>
      <c r="AE142" s="110">
        <f t="shared" si="81"/>
        <v>0.38817496338070351</v>
      </c>
      <c r="AF142" s="110">
        <f t="shared" si="81"/>
        <v>0.4138728081472825</v>
      </c>
      <c r="AG142" s="110">
        <f t="shared" si="81"/>
        <v>0.44</v>
      </c>
      <c r="AI142" s="133"/>
      <c r="AJ142" s="211"/>
      <c r="AL142" s="108"/>
      <c r="AM142" s="2"/>
      <c r="AN142" s="2"/>
      <c r="AO142" s="2"/>
    </row>
    <row r="143" spans="1:63" outlineLevel="1">
      <c r="A143" t="s">
        <v>1632</v>
      </c>
      <c r="B143" s="54" t="s">
        <v>462</v>
      </c>
      <c r="C143" s="110">
        <f>C130*C141</f>
        <v>8.468406407451454E-3</v>
      </c>
      <c r="D143" s="110">
        <f t="shared" ref="D143:AG143" si="82">D130*D141</f>
        <v>1.0452863716763719E-2</v>
      </c>
      <c r="E143" s="110">
        <f t="shared" si="82"/>
        <v>1.2374380945217761E-2</v>
      </c>
      <c r="F143" s="110">
        <f t="shared" si="82"/>
        <v>1.422839989323259E-2</v>
      </c>
      <c r="G143" s="110">
        <f t="shared" si="82"/>
        <v>1.6010362361227212E-2</v>
      </c>
      <c r="H143" s="110">
        <f t="shared" si="82"/>
        <v>1.7715710149620621E-2</v>
      </c>
      <c r="I143" s="110">
        <f t="shared" si="82"/>
        <v>1.9339885058831833E-2</v>
      </c>
      <c r="J143" s="110">
        <f t="shared" si="82"/>
        <v>2.0878328889279842E-2</v>
      </c>
      <c r="K143" s="110">
        <f t="shared" si="82"/>
        <v>2.2326483441383656E-2</v>
      </c>
      <c r="L143" s="110">
        <f t="shared" si="82"/>
        <v>2.3679790515562286E-2</v>
      </c>
      <c r="M143" s="110">
        <f t="shared" si="82"/>
        <v>2.4933691912234726E-2</v>
      </c>
      <c r="N143" s="110">
        <f t="shared" si="82"/>
        <v>2.8010250027219519E-2</v>
      </c>
      <c r="O143" s="110">
        <f t="shared" si="82"/>
        <v>3.0881633552005131E-2</v>
      </c>
      <c r="P143" s="110">
        <f t="shared" si="82"/>
        <v>3.3538235204397755E-2</v>
      </c>
      <c r="Q143" s="110">
        <f t="shared" si="82"/>
        <v>3.597044770220361E-2</v>
      </c>
      <c r="R143" s="110">
        <f t="shared" si="82"/>
        <v>3.8168663763228909E-2</v>
      </c>
      <c r="S143" s="110">
        <f t="shared" si="82"/>
        <v>4.0123276105279854E-2</v>
      </c>
      <c r="T143" s="110">
        <f t="shared" si="82"/>
        <v>4.1824677446162653E-2</v>
      </c>
      <c r="U143" s="110">
        <f t="shared" si="82"/>
        <v>4.3263260503683516E-2</v>
      </c>
      <c r="V143" s="110">
        <f t="shared" si="82"/>
        <v>4.4429417995648646E-2</v>
      </c>
      <c r="W143" s="110">
        <f t="shared" si="82"/>
        <v>4.5313542639864271E-2</v>
      </c>
      <c r="X143" s="110">
        <f t="shared" si="82"/>
        <v>4.7657841746026573E-2</v>
      </c>
      <c r="Y143" s="110">
        <f t="shared" si="82"/>
        <v>4.953397278301367E-2</v>
      </c>
      <c r="Z143" s="110">
        <f t="shared" si="82"/>
        <v>5.0925860995920537E-2</v>
      </c>
      <c r="AA143" s="110">
        <f t="shared" si="82"/>
        <v>5.1817431629842134E-2</v>
      </c>
      <c r="AB143" s="110">
        <f t="shared" si="82"/>
        <v>5.2192609929873464E-2</v>
      </c>
      <c r="AC143" s="110">
        <f t="shared" si="82"/>
        <v>5.2035321141109474E-2</v>
      </c>
      <c r="AD143" s="110">
        <f t="shared" si="82"/>
        <v>5.1329490508645145E-2</v>
      </c>
      <c r="AE143" s="110">
        <f t="shared" si="82"/>
        <v>5.005904327757546E-2</v>
      </c>
      <c r="AF143" s="110">
        <f t="shared" si="82"/>
        <v>4.8207904692995386E-2</v>
      </c>
      <c r="AG143" s="110">
        <f t="shared" si="82"/>
        <v>4.5759999999999995E-2</v>
      </c>
      <c r="AI143" s="133"/>
      <c r="AJ143" s="211"/>
      <c r="BD143" s="203"/>
      <c r="BE143" s="203"/>
    </row>
    <row r="144" spans="1:63" outlineLevel="1">
      <c r="A144" t="s">
        <v>1633</v>
      </c>
      <c r="B144" s="54" t="s">
        <v>462</v>
      </c>
      <c r="C144" s="110">
        <f>C131*C141</f>
        <v>1.9542476324887971E-3</v>
      </c>
      <c r="D144" s="110">
        <f t="shared" ref="D144:AG144" si="83">D131*D141</f>
        <v>2.4121993192531654E-3</v>
      </c>
      <c r="E144" s="110">
        <f t="shared" si="83"/>
        <v>2.8556263719733293E-3</v>
      </c>
      <c r="F144" s="110">
        <f t="shared" si="83"/>
        <v>3.2834768984382899E-3</v>
      </c>
      <c r="G144" s="110">
        <f t="shared" si="83"/>
        <v>3.6946990064370485E-3</v>
      </c>
      <c r="H144" s="110">
        <f t="shared" si="83"/>
        <v>4.0882408037586039E-3</v>
      </c>
      <c r="I144" s="110">
        <f t="shared" si="83"/>
        <v>4.4630503981919608E-3</v>
      </c>
      <c r="J144" s="110">
        <f t="shared" si="83"/>
        <v>4.8180758975261166E-3</v>
      </c>
      <c r="K144" s="110">
        <f t="shared" si="83"/>
        <v>5.1522654095500749E-3</v>
      </c>
      <c r="L144" s="110">
        <f t="shared" si="83"/>
        <v>5.4645670420528352E-3</v>
      </c>
      <c r="M144" s="110">
        <f t="shared" si="83"/>
        <v>5.7539289028233978E-3</v>
      </c>
      <c r="N144" s="110">
        <f t="shared" si="83"/>
        <v>6.4639038524352734E-3</v>
      </c>
      <c r="O144" s="110">
        <f t="shared" si="83"/>
        <v>7.1265308196934917E-3</v>
      </c>
      <c r="P144" s="110">
        <f t="shared" si="83"/>
        <v>7.7395927394764046E-3</v>
      </c>
      <c r="Q144" s="110">
        <f t="shared" si="83"/>
        <v>8.3008725466623707E-3</v>
      </c>
      <c r="R144" s="110">
        <f t="shared" si="83"/>
        <v>8.8081531761297471E-3</v>
      </c>
      <c r="S144" s="110">
        <f t="shared" si="83"/>
        <v>9.2592175627568898E-3</v>
      </c>
      <c r="T144" s="110">
        <f t="shared" si="83"/>
        <v>9.6518486414221491E-3</v>
      </c>
      <c r="U144" s="110">
        <f t="shared" si="83"/>
        <v>9.9838293470038888E-3</v>
      </c>
      <c r="V144" s="110">
        <f t="shared" si="83"/>
        <v>1.0252942614380457E-2</v>
      </c>
      <c r="W144" s="110">
        <f t="shared" si="83"/>
        <v>1.0456971378430217E-2</v>
      </c>
      <c r="X144" s="110">
        <f t="shared" si="83"/>
        <v>1.0997963479852284E-2</v>
      </c>
      <c r="Y144" s="110">
        <f t="shared" si="83"/>
        <v>1.1430916796080078E-2</v>
      </c>
      <c r="Z144" s="110">
        <f t="shared" si="83"/>
        <v>1.1752121768289355E-2</v>
      </c>
      <c r="AA144" s="110">
        <f t="shared" si="83"/>
        <v>1.1957868837655875E-2</v>
      </c>
      <c r="AB144" s="110">
        <f t="shared" si="83"/>
        <v>1.2044448445355413E-2</v>
      </c>
      <c r="AC144" s="110">
        <f t="shared" si="83"/>
        <v>1.2008151032563722E-2</v>
      </c>
      <c r="AD144" s="110">
        <f t="shared" si="83"/>
        <v>1.1845267040456572E-2</v>
      </c>
      <c r="AE144" s="110">
        <f t="shared" si="83"/>
        <v>1.155208691020972E-2</v>
      </c>
      <c r="AF144" s="110">
        <f t="shared" si="83"/>
        <v>1.1124901082998935E-2</v>
      </c>
      <c r="AG144" s="110">
        <f t="shared" si="83"/>
        <v>1.0559999999999996E-2</v>
      </c>
      <c r="AI144" s="133"/>
      <c r="AJ144" s="211"/>
      <c r="AL144" s="1"/>
      <c r="BC144" s="1"/>
      <c r="BD144" s="762"/>
      <c r="BE144" s="760"/>
      <c r="BF144" s="6"/>
      <c r="BG144" s="6"/>
      <c r="BH144" s="6"/>
      <c r="BI144" s="6"/>
      <c r="BJ144" s="6"/>
    </row>
    <row r="145" spans="1:63" outlineLevel="1">
      <c r="A145" t="s">
        <v>1634</v>
      </c>
      <c r="B145" s="54" t="s">
        <v>462</v>
      </c>
      <c r="C145" s="110">
        <f>C132*C141</f>
        <v>5.8627428974663909E-3</v>
      </c>
      <c r="D145" s="110">
        <f t="shared" ref="D145:AG145" si="84">D132*D141</f>
        <v>7.2365979577594967E-3</v>
      </c>
      <c r="E145" s="110">
        <f t="shared" si="84"/>
        <v>8.5668791159199884E-3</v>
      </c>
      <c r="F145" s="110">
        <f t="shared" si="84"/>
        <v>9.8504306953148702E-3</v>
      </c>
      <c r="G145" s="110">
        <f t="shared" si="84"/>
        <v>1.1084097019311144E-2</v>
      </c>
      <c r="H145" s="110">
        <f t="shared" si="84"/>
        <v>1.2264722411275812E-2</v>
      </c>
      <c r="I145" s="110">
        <f t="shared" si="84"/>
        <v>1.3389151194575883E-2</v>
      </c>
      <c r="J145" s="110">
        <f t="shared" si="84"/>
        <v>1.4454227692578351E-2</v>
      </c>
      <c r="K145" s="110">
        <f t="shared" si="84"/>
        <v>1.5456796228650224E-2</v>
      </c>
      <c r="L145" s="110">
        <f t="shared" si="84"/>
        <v>1.6393701126158504E-2</v>
      </c>
      <c r="M145" s="110">
        <f t="shared" si="84"/>
        <v>1.7261786708470193E-2</v>
      </c>
      <c r="N145" s="110">
        <f t="shared" si="84"/>
        <v>1.9391711557305819E-2</v>
      </c>
      <c r="O145" s="110">
        <f t="shared" si="84"/>
        <v>2.1379592459080474E-2</v>
      </c>
      <c r="P145" s="110">
        <f t="shared" si="84"/>
        <v>2.3218778218429215E-2</v>
      </c>
      <c r="Q145" s="110">
        <f t="shared" si="84"/>
        <v>2.4902617639987114E-2</v>
      </c>
      <c r="R145" s="110">
        <f t="shared" si="84"/>
        <v>2.6424459528389243E-2</v>
      </c>
      <c r="S145" s="110">
        <f t="shared" si="84"/>
        <v>2.7777652688270666E-2</v>
      </c>
      <c r="T145" s="110">
        <f t="shared" si="84"/>
        <v>2.8955545924266447E-2</v>
      </c>
      <c r="U145" s="110">
        <f t="shared" si="84"/>
        <v>2.9951488041011665E-2</v>
      </c>
      <c r="V145" s="110">
        <f t="shared" si="84"/>
        <v>3.0758827843141368E-2</v>
      </c>
      <c r="W145" s="110">
        <f t="shared" si="84"/>
        <v>3.1370914135290646E-2</v>
      </c>
      <c r="X145" s="110">
        <f t="shared" si="84"/>
        <v>3.2993890439556854E-2</v>
      </c>
      <c r="Y145" s="110">
        <f t="shared" si="84"/>
        <v>3.4292750388240235E-2</v>
      </c>
      <c r="Z145" s="110">
        <f t="shared" si="84"/>
        <v>3.5256365304868066E-2</v>
      </c>
      <c r="AA145" s="110">
        <f t="shared" si="84"/>
        <v>3.5873606512967629E-2</v>
      </c>
      <c r="AB145" s="110">
        <f t="shared" si="84"/>
        <v>3.6133345336066242E-2</v>
      </c>
      <c r="AC145" s="110">
        <f t="shared" si="84"/>
        <v>3.6024453097691173E-2</v>
      </c>
      <c r="AD145" s="110">
        <f t="shared" si="84"/>
        <v>3.5535801121369712E-2</v>
      </c>
      <c r="AE145" s="110">
        <f t="shared" si="84"/>
        <v>3.4656260730629163E-2</v>
      </c>
      <c r="AF145" s="110">
        <f t="shared" si="84"/>
        <v>3.3374703248996808E-2</v>
      </c>
      <c r="AG145" s="110">
        <f t="shared" si="84"/>
        <v>3.1679999999999993E-2</v>
      </c>
      <c r="AI145" s="134"/>
      <c r="AJ145" s="211"/>
      <c r="BC145" s="1"/>
      <c r="BD145" s="41"/>
      <c r="BF145" s="6"/>
      <c r="BG145" s="6"/>
      <c r="BH145" s="6"/>
      <c r="BI145" s="6"/>
      <c r="BJ145" s="6"/>
    </row>
    <row r="146" spans="1:63" outlineLevel="1">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I146" s="134"/>
      <c r="AJ146" s="211"/>
      <c r="BC146" s="1"/>
      <c r="BD146" s="41"/>
      <c r="BF146" s="6"/>
      <c r="BG146" s="6"/>
      <c r="BH146" s="6"/>
      <c r="BI146" s="6"/>
      <c r="BJ146" s="6"/>
    </row>
    <row r="147" spans="1:63" s="1" customFormat="1" outlineLevel="1">
      <c r="A147" s="1" t="s">
        <v>228</v>
      </c>
      <c r="B147" s="65"/>
      <c r="C147" s="300">
        <f>C43*C140</f>
        <v>3.7144399482949425E-3</v>
      </c>
      <c r="D147" s="300">
        <f t="shared" ref="D147:AG147" si="85">D43*D140</f>
        <v>6.3251324312517676E-3</v>
      </c>
      <c r="E147" s="300">
        <f t="shared" si="85"/>
        <v>9.7613239132800008E-3</v>
      </c>
      <c r="F147" s="300">
        <f t="shared" si="85"/>
        <v>1.4091015689636537E-2</v>
      </c>
      <c r="G147" s="300">
        <f t="shared" si="85"/>
        <v>1.9374772395244152E-2</v>
      </c>
      <c r="H147" s="300">
        <f t="shared" si="85"/>
        <v>2.5664072696353547E-2</v>
      </c>
      <c r="I147" s="300">
        <f t="shared" si="85"/>
        <v>3.3070933602022456E-2</v>
      </c>
      <c r="J147" s="300">
        <f t="shared" si="85"/>
        <v>4.1678984381861538E-2</v>
      </c>
      <c r="K147" s="300">
        <f t="shared" si="85"/>
        <v>5.1573720106399462E-2</v>
      </c>
      <c r="L147" s="300">
        <f t="shared" si="85"/>
        <v>6.2842305059712028E-2</v>
      </c>
      <c r="M147" s="300">
        <f t="shared" si="85"/>
        <v>7.5573360022217373E-2</v>
      </c>
      <c r="N147" s="300">
        <f t="shared" si="85"/>
        <v>9.6355777930325778E-2</v>
      </c>
      <c r="O147" s="300">
        <f t="shared" si="85"/>
        <v>0.11991673753780317</v>
      </c>
      <c r="P147" s="300">
        <f t="shared" si="85"/>
        <v>0.14660800155796647</v>
      </c>
      <c r="Q147" s="300">
        <f t="shared" si="85"/>
        <v>0.17628683863585737</v>
      </c>
      <c r="R147" s="300">
        <f t="shared" si="85"/>
        <v>0.20897505660251176</v>
      </c>
      <c r="S147" s="300">
        <f t="shared" si="85"/>
        <v>0.2451051573264208</v>
      </c>
      <c r="T147" s="300">
        <f t="shared" si="85"/>
        <v>0.28484990307483254</v>
      </c>
      <c r="U147" s="300">
        <f t="shared" si="85"/>
        <v>0.32838584727732112</v>
      </c>
      <c r="V147" s="300">
        <f t="shared" si="85"/>
        <v>0.37589328964028323</v>
      </c>
      <c r="W147" s="300">
        <f t="shared" si="85"/>
        <v>0.42755622616854538</v>
      </c>
      <c r="X147" s="300">
        <f t="shared" si="85"/>
        <v>0.5020209881932518</v>
      </c>
      <c r="Y147" s="300">
        <f t="shared" si="85"/>
        <v>0.58342112559343662</v>
      </c>
      <c r="Z147" s="300">
        <f t="shared" si="85"/>
        <v>0.67404816142089663</v>
      </c>
      <c r="AA147" s="300">
        <f t="shared" si="85"/>
        <v>0.77281054526555149</v>
      </c>
      <c r="AB147" s="300">
        <f t="shared" si="85"/>
        <v>0.880105861534629</v>
      </c>
      <c r="AC147" s="300">
        <f t="shared" si="85"/>
        <v>0.99635078658782605</v>
      </c>
      <c r="AD147" s="300">
        <f t="shared" si="85"/>
        <v>1.1219657862199099</v>
      </c>
      <c r="AE147" s="300">
        <f t="shared" si="85"/>
        <v>1.2573814707674766</v>
      </c>
      <c r="AF147" s="300">
        <f t="shared" si="85"/>
        <v>1.4030385767440325</v>
      </c>
      <c r="AG147" s="300">
        <f t="shared" si="85"/>
        <v>1.559387938966057</v>
      </c>
      <c r="AH147" s="245"/>
      <c r="AI147" s="423"/>
      <c r="AJ147" s="424"/>
      <c r="AL147" s="221"/>
      <c r="AM147" s="124"/>
      <c r="AN147" s="124"/>
      <c r="AO147" s="124"/>
      <c r="BD147" s="124"/>
      <c r="BE147" s="124"/>
      <c r="BF147" s="124"/>
      <c r="BG147" s="124"/>
      <c r="BH147" s="124"/>
      <c r="BI147" s="124"/>
      <c r="BJ147" s="124"/>
      <c r="BK147" s="124"/>
    </row>
    <row r="148" spans="1:63" outlineLevel="1">
      <c r="A148" s="4" t="s">
        <v>474</v>
      </c>
      <c r="C148" s="230">
        <f>C$147*'BTX recycling rates'!E58</f>
        <v>0</v>
      </c>
      <c r="D148" s="230">
        <f>D$147*'BTX recycling rates'!F58</f>
        <v>0</v>
      </c>
      <c r="E148" s="230">
        <f>E$147*'BTX recycling rates'!G58</f>
        <v>0</v>
      </c>
      <c r="F148" s="230">
        <f>F$147*'BTX recycling rates'!H58</f>
        <v>0</v>
      </c>
      <c r="G148" s="230">
        <f>G$147*'BTX recycling rates'!I58</f>
        <v>0</v>
      </c>
      <c r="H148" s="230">
        <f>H$147*'BTX recycling rates'!J58</f>
        <v>0</v>
      </c>
      <c r="I148" s="230">
        <f>I$147*'BTX recycling rates'!K58</f>
        <v>0</v>
      </c>
      <c r="J148" s="230">
        <f>J$147*'BTX recycling rates'!L58</f>
        <v>0</v>
      </c>
      <c r="K148" s="230">
        <f>K$147*'BTX recycling rates'!M58</f>
        <v>0</v>
      </c>
      <c r="L148" s="230">
        <f>L$147*'BTX recycling rates'!N58</f>
        <v>0</v>
      </c>
      <c r="M148" s="230">
        <f>M$147*'BTX recycling rates'!O58</f>
        <v>0</v>
      </c>
      <c r="N148" s="230">
        <f>N$147*'BTX recycling rates'!P58</f>
        <v>0</v>
      </c>
      <c r="O148" s="230">
        <f>O$147*'BTX recycling rates'!Q58</f>
        <v>0</v>
      </c>
      <c r="P148" s="230">
        <f>P$147*'BTX recycling rates'!R58</f>
        <v>0</v>
      </c>
      <c r="Q148" s="230">
        <f>Q$147*'BTX recycling rates'!S58</f>
        <v>0</v>
      </c>
      <c r="R148" s="230">
        <f>R$147*'BTX recycling rates'!T58</f>
        <v>0</v>
      </c>
      <c r="S148" s="230">
        <f>S$147*'BTX recycling rates'!U58</f>
        <v>0</v>
      </c>
      <c r="T148" s="230">
        <f>T$147*'BTX recycling rates'!V58</f>
        <v>0</v>
      </c>
      <c r="U148" s="230">
        <f>U$147*'BTX recycling rates'!W58</f>
        <v>0</v>
      </c>
      <c r="V148" s="230">
        <f>V$147*'BTX recycling rates'!X58</f>
        <v>0</v>
      </c>
      <c r="W148" s="230">
        <f>W$147*'BTX recycling rates'!Y58</f>
        <v>0</v>
      </c>
      <c r="X148" s="230">
        <f>X$147*'BTX recycling rates'!Z58</f>
        <v>0</v>
      </c>
      <c r="Y148" s="230">
        <f>Y$147*'BTX recycling rates'!AA58</f>
        <v>0</v>
      </c>
      <c r="Z148" s="230">
        <f>Z$147*'BTX recycling rates'!AB58</f>
        <v>0</v>
      </c>
      <c r="AA148" s="230">
        <f>AA$147*'BTX recycling rates'!AC58</f>
        <v>0</v>
      </c>
      <c r="AB148" s="230">
        <f>AB$147*'BTX recycling rates'!AD58</f>
        <v>0</v>
      </c>
      <c r="AC148" s="230">
        <f>AC$147*'BTX recycling rates'!AE58</f>
        <v>0</v>
      </c>
      <c r="AD148" s="230">
        <f>AD$147*'BTX recycling rates'!AF58</f>
        <v>0</v>
      </c>
      <c r="AE148" s="230">
        <f>AE$147*'BTX recycling rates'!AG58</f>
        <v>0</v>
      </c>
      <c r="AF148" s="230">
        <f>AF$147*'BTX recycling rates'!AH58</f>
        <v>0</v>
      </c>
      <c r="AG148" s="230">
        <f>AG$147*'BTX recycling rates'!AI58</f>
        <v>0</v>
      </c>
      <c r="AH148" s="245"/>
      <c r="AI148" s="133"/>
      <c r="AJ148" s="211"/>
      <c r="AL148" s="108"/>
      <c r="AM148" s="2"/>
      <c r="AN148" s="2"/>
      <c r="AO148" s="2"/>
      <c r="BC148" s="1"/>
      <c r="BD148" s="2"/>
      <c r="BE148" s="2"/>
      <c r="BF148" s="2"/>
      <c r="BG148" s="2"/>
      <c r="BH148" s="2"/>
      <c r="BI148" s="2"/>
      <c r="BJ148" s="2"/>
      <c r="BK148" s="2"/>
    </row>
    <row r="149" spans="1:63" outlineLevel="1">
      <c r="A149" s="4" t="s">
        <v>478</v>
      </c>
      <c r="C149" s="230">
        <f>C$147*'BTX recycling rates'!E59</f>
        <v>2.211651266923706E-3</v>
      </c>
      <c r="D149" s="230">
        <f>D$147*'BTX recycling rates'!F59</f>
        <v>3.640572406995292E-3</v>
      </c>
      <c r="E149" s="230">
        <f>E$147*'BTX recycling rates'!G59</f>
        <v>5.4246135945556035E-3</v>
      </c>
      <c r="F149" s="230">
        <f>F$147*'BTX recycling rates'!H59</f>
        <v>7.5510633695609532E-3</v>
      </c>
      <c r="G149" s="230">
        <f>G$147*'BTX recycling rates'!I59</f>
        <v>9.9979741520496521E-3</v>
      </c>
      <c r="H149" s="230">
        <f>H$147*'BTX recycling rates'!J59</f>
        <v>1.2734081872236491E-2</v>
      </c>
      <c r="I149" s="230">
        <f>I$147*'BTX recycling rates'!K59</f>
        <v>1.5752872189054971E-2</v>
      </c>
      <c r="J149" s="230">
        <f>J$147*'BTX recycling rates'!L59</f>
        <v>1.9025979130040605E-2</v>
      </c>
      <c r="K149" s="230">
        <f>K$147*'BTX recycling rates'!M59</f>
        <v>2.2519212138061441E-2</v>
      </c>
      <c r="L149" s="230">
        <f>L$147*'BTX recycling rates'!N59</f>
        <v>2.6192288979086074E-2</v>
      </c>
      <c r="M149" s="230">
        <f>M$147*'BTX recycling rates'!O59</f>
        <v>2.9998585657674062E-2</v>
      </c>
      <c r="N149" s="230">
        <f>N$147*'BTX recycling rates'!P59</f>
        <v>3.6335690303496884E-2</v>
      </c>
      <c r="O149" s="230">
        <f>O$147*'BTX recycling rates'!Q59</f>
        <v>4.2840483334115928E-2</v>
      </c>
      <c r="P149" s="230">
        <f>P$147*'BTX recycling rates'!R59</f>
        <v>4.9466211212687898E-2</v>
      </c>
      <c r="Q149" s="230">
        <f>Q$147*'BTX recycling rates'!S59</f>
        <v>5.5981164024821853E-2</v>
      </c>
      <c r="R149" s="230">
        <f>R$147*'BTX recycling rates'!T59</f>
        <v>6.2213948148839342E-2</v>
      </c>
      <c r="S149" s="230">
        <f>S$147*'BTX recycling rates'!U59</f>
        <v>6.8105555165509243E-2</v>
      </c>
      <c r="T149" s="230">
        <f>T$147*'BTX recycling rates'!V59</f>
        <v>7.3495623846788802E-2</v>
      </c>
      <c r="U149" s="230">
        <f>U$147*'BTX recycling rates'!W59</f>
        <v>7.8210980420247406E-2</v>
      </c>
      <c r="V149" s="230">
        <f>V$147*'BTX recycling rates'!X59</f>
        <v>8.2065252547420531E-2</v>
      </c>
      <c r="W149" s="230">
        <f>W$147*'BTX recycling rates'!Y59</f>
        <v>8.4858487636505095E-2</v>
      </c>
      <c r="X149" s="230">
        <f>X$147*'BTX recycling rates'!Z59</f>
        <v>8.9673978043679978E-2</v>
      </c>
      <c r="Y149" s="230">
        <f>Y$147*'BTX recycling rates'!AA59</f>
        <v>9.2634804674377583E-2</v>
      </c>
      <c r="Z149" s="230">
        <f>Z$147*'BTX recycling rates'!AB59</f>
        <v>9.3646385785193104E-2</v>
      </c>
      <c r="AA149" s="230">
        <f>AA$147*'BTX recycling rates'!AC59</f>
        <v>9.2029347375134185E-2</v>
      </c>
      <c r="AB149" s="230">
        <f>AB$147*'BTX recycling rates'!AD59</f>
        <v>8.7338749617940067E-2</v>
      </c>
      <c r="AC149" s="230">
        <f>AC$147*'BTX recycling rates'!AE59</f>
        <v>7.9099604431399684E-2</v>
      </c>
      <c r="AD149" s="230">
        <f>AD$147*'BTX recycling rates'!AF59</f>
        <v>6.6804069713856953E-2</v>
      </c>
      <c r="AE149" s="230">
        <f>AE$147*'BTX recycling rates'!AG59</f>
        <v>4.9911325557181974E-2</v>
      </c>
      <c r="AF149" s="230">
        <f>AF$147*'BTX recycling rates'!AH59</f>
        <v>2.7846567172018628E-2</v>
      </c>
      <c r="AG149" s="230">
        <f>AG$147*'BTX recycling rates'!AI59</f>
        <v>0</v>
      </c>
      <c r="AH149" s="245"/>
      <c r="AI149" s="133"/>
      <c r="AJ149" s="211"/>
      <c r="AL149" s="108"/>
      <c r="AM149" s="2"/>
      <c r="AN149" s="2"/>
      <c r="AO149" s="2"/>
      <c r="BC149" s="1"/>
      <c r="BD149" s="2"/>
      <c r="BE149" s="2"/>
      <c r="BF149" s="2"/>
      <c r="BG149" s="2"/>
      <c r="BH149" s="2"/>
      <c r="BI149" s="2"/>
      <c r="BJ149" s="2"/>
      <c r="BK149" s="2"/>
    </row>
    <row r="150" spans="1:63" outlineLevel="1">
      <c r="A150" s="4" t="s">
        <v>745</v>
      </c>
      <c r="C150" s="230">
        <f>C$147*'BTX recycling rates'!E60</f>
        <v>0</v>
      </c>
      <c r="D150" s="230">
        <f>D$147*'BTX recycling rates'!F60</f>
        <v>1.0818639405176825E-4</v>
      </c>
      <c r="E150" s="230">
        <f>E$147*'BTX recycling rates'!G60</f>
        <v>3.3391947024896169E-4</v>
      </c>
      <c r="F150" s="230">
        <f>F$147*'BTX recycling rates'!H60</f>
        <v>7.2304707888320302E-4</v>
      </c>
      <c r="G150" s="230">
        <f>G$147*'BTX recycling rates'!I60</f>
        <v>1.3255607112089395E-3</v>
      </c>
      <c r="H150" s="230">
        <f>H$147*'BTX recycling rates'!J60</f>
        <v>2.1948184578575304E-3</v>
      </c>
      <c r="I150" s="230">
        <f>I$147*'BTX recycling rates'!K60</f>
        <v>3.3939131803634344E-3</v>
      </c>
      <c r="J150" s="230">
        <f>J$147*'BTX recycling rates'!L60</f>
        <v>4.9902027410750026E-3</v>
      </c>
      <c r="K150" s="230">
        <f>K$147*'BTX recycling rates'!M60</f>
        <v>7.0570219571416204E-3</v>
      </c>
      <c r="L150" s="230">
        <f>L$147*'BTX recycling rates'!N60</f>
        <v>9.6738119035230299E-3</v>
      </c>
      <c r="M150" s="230">
        <f>M$147*'BTX recycling rates'!O60</f>
        <v>1.2926226282287808E-2</v>
      </c>
      <c r="N150" s="230">
        <f>N$147*'BTX recycling rates'!P60</f>
        <v>1.8128984177014397E-2</v>
      </c>
      <c r="O150" s="230">
        <f>O$147*'BTX recycling rates'!Q60</f>
        <v>2.4612972888726884E-2</v>
      </c>
      <c r="P150" s="230">
        <f>P$147*'BTX recycling rates'!R60</f>
        <v>3.259898280409522E-2</v>
      </c>
      <c r="Q150" s="230">
        <f>Q$147*'BTX recycling rates'!S60</f>
        <v>4.2213459777054728E-2</v>
      </c>
      <c r="R150" s="230">
        <f>R$147*'BTX recycling rates'!T60</f>
        <v>5.3615299125323576E-2</v>
      </c>
      <c r="S150" s="230">
        <f>S$147*'BTX recycling rates'!U60</f>
        <v>6.7077281743209899E-2</v>
      </c>
      <c r="T150" s="230">
        <f>T$147*'BTX recycling rates'!V60</f>
        <v>8.2826254044229053E-2</v>
      </c>
      <c r="U150" s="230">
        <f>U$147*'BTX recycling rates'!W60</f>
        <v>0.10110204949743141</v>
      </c>
      <c r="V150" s="230">
        <f>V$147*'BTX recycling rates'!X60</f>
        <v>0.12215779826469664</v>
      </c>
      <c r="W150" s="230">
        <f>W$147*'BTX recycling rates'!Y60</f>
        <v>0.1462602304894445</v>
      </c>
      <c r="X150" s="230">
        <f>X$147*'BTX recycling rates'!Z60</f>
        <v>0.18032012165220057</v>
      </c>
      <c r="Y150" s="230">
        <f>Y$147*'BTX recycling rates'!AA60</f>
        <v>0.21953706527214958</v>
      </c>
      <c r="Z150" s="230">
        <f>Z$147*'BTX recycling rates'!AB60</f>
        <v>0.26516841161207816</v>
      </c>
      <c r="AA150" s="230">
        <f>AA$147*'BTX recycling rates'!AC60</f>
        <v>0.31723953451863929</v>
      </c>
      <c r="AB150" s="230">
        <f>AB$147*'BTX recycling rates'!AD60</f>
        <v>0.37633788927804651</v>
      </c>
      <c r="AC150" s="230">
        <f>AC$147*'BTX recycling rates'!AE60</f>
        <v>0.44308662301738294</v>
      </c>
      <c r="AD150" s="230">
        <f>AD$147*'BTX recycling rates'!AF60</f>
        <v>0.51813914055666932</v>
      </c>
      <c r="AE150" s="230">
        <f>AE$147*'BTX recycling rates'!AG60</f>
        <v>0.60218247205960673</v>
      </c>
      <c r="AF150" s="230">
        <f>AF$147*'BTX recycling rates'!AH60</f>
        <v>0.695938131496046</v>
      </c>
      <c r="AG150" s="230">
        <f>AG$147*'BTX recycling rates'!AI60</f>
        <v>0.80016296834042411</v>
      </c>
      <c r="AH150" s="245"/>
      <c r="AI150" s="133"/>
      <c r="AJ150" s="211"/>
      <c r="AL150" s="108"/>
      <c r="AM150" s="2"/>
      <c r="AN150" s="2"/>
      <c r="AO150" s="2"/>
      <c r="BC150" s="1"/>
      <c r="BD150" s="2"/>
      <c r="BE150" s="2"/>
      <c r="BF150" s="2"/>
      <c r="BG150" s="2"/>
      <c r="BH150" s="2"/>
      <c r="BI150" s="2"/>
      <c r="BJ150" s="2"/>
      <c r="BK150" s="2"/>
    </row>
    <row r="151" spans="1:63" outlineLevel="1">
      <c r="A151" s="4" t="s">
        <v>1561</v>
      </c>
      <c r="C151" s="230">
        <f>C$147*'BTX recycling rates'!E61</f>
        <v>1.502788681371236E-3</v>
      </c>
      <c r="D151" s="230">
        <f>D$147*'BTX recycling rates'!F61</f>
        <v>2.5763736302047069E-3</v>
      </c>
      <c r="E151" s="230">
        <f>E$147*'BTX recycling rates'!G61</f>
        <v>4.0027908484754357E-3</v>
      </c>
      <c r="F151" s="230">
        <f>F$147*'BTX recycling rates'!H61</f>
        <v>5.816905241192381E-3</v>
      </c>
      <c r="G151" s="230">
        <f>G$147*'BTX recycling rates'!I61</f>
        <v>8.0512375319855591E-3</v>
      </c>
      <c r="H151" s="230">
        <f>H$147*'BTX recycling rates'!J61</f>
        <v>1.0735172366259524E-2</v>
      </c>
      <c r="I151" s="230">
        <f>I$147*'BTX recycling rates'!K61</f>
        <v>1.3924148232604051E-2</v>
      </c>
      <c r="J151" s="230">
        <f>J$147*'BTX recycling rates'!L61</f>
        <v>1.7662802510745926E-2</v>
      </c>
      <c r="K151" s="230">
        <f>K$147*'BTX recycling rates'!M61</f>
        <v>2.1997486011196402E-2</v>
      </c>
      <c r="L151" s="230">
        <f>L$147*'BTX recycling rates'!N61</f>
        <v>2.6976204177102919E-2</v>
      </c>
      <c r="M151" s="230">
        <f>M$147*'BTX recycling rates'!O61</f>
        <v>3.26485480822555E-2</v>
      </c>
      <c r="N151" s="230">
        <f>N$147*'BTX recycling rates'!P61</f>
        <v>4.1891103449814497E-2</v>
      </c>
      <c r="O151" s="230">
        <f>O$147*'BTX recycling rates'!Q61</f>
        <v>5.2463281314960357E-2</v>
      </c>
      <c r="P151" s="230">
        <f>P$147*'BTX recycling rates'!R61</f>
        <v>6.4542807541183342E-2</v>
      </c>
      <c r="Q151" s="230">
        <f>Q$147*'BTX recycling rates'!S61</f>
        <v>7.809221483398078E-2</v>
      </c>
      <c r="R151" s="230">
        <f>R$147*'BTX recycling rates'!T61</f>
        <v>9.314580932834883E-2</v>
      </c>
      <c r="S151" s="230">
        <f>S$147*'BTX recycling rates'!U61</f>
        <v>0.10992232041770165</v>
      </c>
      <c r="T151" s="230">
        <f>T$147*'BTX recycling rates'!V61</f>
        <v>0.1285280251838147</v>
      </c>
      <c r="U151" s="230">
        <f>U$147*'BTX recycling rates'!W61</f>
        <v>0.14907281735964231</v>
      </c>
      <c r="V151" s="230">
        <f>V$147*'BTX recycling rates'!X61</f>
        <v>0.17167023882816607</v>
      </c>
      <c r="W151" s="230">
        <f>W$147*'BTX recycling rates'!Y61</f>
        <v>0.1964375080425958</v>
      </c>
      <c r="X151" s="230">
        <f>X$147*'BTX recycling rates'!Z61</f>
        <v>0.23202688849737124</v>
      </c>
      <c r="Y151" s="230">
        <f>Y$147*'BTX recycling rates'!AA61</f>
        <v>0.27124925564690944</v>
      </c>
      <c r="Z151" s="230">
        <f>Z$147*'BTX recycling rates'!AB61</f>
        <v>0.3152333640236254</v>
      </c>
      <c r="AA151" s="230">
        <f>AA$147*'BTX recycling rates'!AC61</f>
        <v>0.36354166337177801</v>
      </c>
      <c r="AB151" s="230">
        <f>AB$147*'BTX recycling rates'!AD61</f>
        <v>0.41642922263864246</v>
      </c>
      <c r="AC151" s="230">
        <f>AC$147*'BTX recycling rates'!AE61</f>
        <v>0.47416455913904348</v>
      </c>
      <c r="AD151" s="230">
        <f>AD$147*'BTX recycling rates'!AF61</f>
        <v>0.53702257594938374</v>
      </c>
      <c r="AE151" s="230">
        <f>AE$147*'BTX recycling rates'!AG61</f>
        <v>0.60528767315068799</v>
      </c>
      <c r="AF151" s="230">
        <f>AF$147*'BTX recycling rates'!AH61</f>
        <v>0.67925387807596804</v>
      </c>
      <c r="AG151" s="230">
        <f>AG$147*'BTX recycling rates'!AI61</f>
        <v>0.75922497062563288</v>
      </c>
      <c r="AH151" s="245"/>
      <c r="AI151" s="133"/>
      <c r="AJ151" s="211"/>
      <c r="AL151" s="108"/>
      <c r="AM151" s="2"/>
      <c r="AN151" s="2"/>
      <c r="AO151" s="2"/>
      <c r="BC151" s="1"/>
      <c r="BD151" s="2"/>
      <c r="BE151" s="2"/>
      <c r="BF151" s="2"/>
      <c r="BG151" s="2"/>
      <c r="BH151" s="2"/>
      <c r="BI151" s="2"/>
      <c r="BJ151" s="2"/>
      <c r="BK151" s="2"/>
    </row>
    <row r="152" spans="1:63" s="1" customFormat="1" outlineLevel="1">
      <c r="A152" s="1" t="s">
        <v>1562</v>
      </c>
      <c r="B152" s="65"/>
      <c r="C152" s="300">
        <f t="shared" ref="C152:AG152" si="86">C147-$C147</f>
        <v>0</v>
      </c>
      <c r="D152" s="300">
        <f t="shared" si="86"/>
        <v>2.6106924829568251E-3</v>
      </c>
      <c r="E152" s="300">
        <f t="shared" si="86"/>
        <v>6.0468839649850583E-3</v>
      </c>
      <c r="F152" s="300">
        <f t="shared" si="86"/>
        <v>1.0376575741341595E-2</v>
      </c>
      <c r="G152" s="300">
        <f t="shared" si="86"/>
        <v>1.5660332446949209E-2</v>
      </c>
      <c r="H152" s="300">
        <f t="shared" si="86"/>
        <v>2.1949632748058605E-2</v>
      </c>
      <c r="I152" s="300">
        <f t="shared" si="86"/>
        <v>2.9356493653727514E-2</v>
      </c>
      <c r="J152" s="300">
        <f t="shared" si="86"/>
        <v>3.7964544433566595E-2</v>
      </c>
      <c r="K152" s="300">
        <f t="shared" si="86"/>
        <v>4.785928015810452E-2</v>
      </c>
      <c r="L152" s="300">
        <f t="shared" si="86"/>
        <v>5.9127865111417086E-2</v>
      </c>
      <c r="M152" s="300">
        <f t="shared" si="86"/>
        <v>7.185892007392243E-2</v>
      </c>
      <c r="N152" s="300">
        <f t="shared" si="86"/>
        <v>9.2641337982030836E-2</v>
      </c>
      <c r="O152" s="300">
        <f t="shared" si="86"/>
        <v>0.11620229758950823</v>
      </c>
      <c r="P152" s="300">
        <f t="shared" si="86"/>
        <v>0.14289356160967154</v>
      </c>
      <c r="Q152" s="300">
        <f t="shared" si="86"/>
        <v>0.17257239868756241</v>
      </c>
      <c r="R152" s="300">
        <f t="shared" si="86"/>
        <v>0.2052606166542168</v>
      </c>
      <c r="S152" s="300">
        <f t="shared" si="86"/>
        <v>0.24139071737812584</v>
      </c>
      <c r="T152" s="300">
        <f t="shared" si="86"/>
        <v>0.28113546312653759</v>
      </c>
      <c r="U152" s="300">
        <f t="shared" si="86"/>
        <v>0.32467140732902616</v>
      </c>
      <c r="V152" s="300">
        <f t="shared" si="86"/>
        <v>0.37217884969198828</v>
      </c>
      <c r="W152" s="300">
        <f t="shared" si="86"/>
        <v>0.42384178622025043</v>
      </c>
      <c r="X152" s="300">
        <f t="shared" si="86"/>
        <v>0.49830654824495685</v>
      </c>
      <c r="Y152" s="300">
        <f t="shared" si="86"/>
        <v>0.57970668564514172</v>
      </c>
      <c r="Z152" s="300">
        <f t="shared" si="86"/>
        <v>0.67033372147260173</v>
      </c>
      <c r="AA152" s="300">
        <f t="shared" si="86"/>
        <v>0.76909610531725658</v>
      </c>
      <c r="AB152" s="300">
        <f t="shared" si="86"/>
        <v>0.8763914215863341</v>
      </c>
      <c r="AC152" s="300">
        <f t="shared" si="86"/>
        <v>0.99263634663953115</v>
      </c>
      <c r="AD152" s="300">
        <f t="shared" si="86"/>
        <v>1.118251346271615</v>
      </c>
      <c r="AE152" s="300">
        <f t="shared" si="86"/>
        <v>1.2536670308191817</v>
      </c>
      <c r="AF152" s="300">
        <f t="shared" si="86"/>
        <v>1.3993241367957376</v>
      </c>
      <c r="AG152" s="300">
        <f t="shared" si="86"/>
        <v>1.5556734990177621</v>
      </c>
      <c r="AH152" s="245"/>
      <c r="AI152" s="423"/>
      <c r="AJ152" s="424"/>
      <c r="AL152" s="221"/>
      <c r="AM152" s="124"/>
      <c r="AN152" s="124"/>
      <c r="AO152" s="124"/>
      <c r="BD152" s="124"/>
      <c r="BE152" s="124"/>
      <c r="BF152" s="124"/>
      <c r="BG152" s="124"/>
      <c r="BH152" s="124"/>
      <c r="BI152" s="124"/>
      <c r="BJ152" s="124"/>
      <c r="BK152" s="124"/>
    </row>
    <row r="153" spans="1:63" outlineLevel="1">
      <c r="A153" s="4" t="s">
        <v>474</v>
      </c>
      <c r="C153" s="230">
        <f t="shared" ref="C153:AG153" si="87">C148-$C148</f>
        <v>0</v>
      </c>
      <c r="D153" s="230">
        <f t="shared" si="87"/>
        <v>0</v>
      </c>
      <c r="E153" s="230">
        <f t="shared" si="87"/>
        <v>0</v>
      </c>
      <c r="F153" s="230">
        <f t="shared" si="87"/>
        <v>0</v>
      </c>
      <c r="G153" s="230">
        <f t="shared" si="87"/>
        <v>0</v>
      </c>
      <c r="H153" s="230">
        <f t="shared" si="87"/>
        <v>0</v>
      </c>
      <c r="I153" s="230">
        <f t="shared" si="87"/>
        <v>0</v>
      </c>
      <c r="J153" s="230">
        <f t="shared" si="87"/>
        <v>0</v>
      </c>
      <c r="K153" s="230">
        <f t="shared" si="87"/>
        <v>0</v>
      </c>
      <c r="L153" s="230">
        <f t="shared" si="87"/>
        <v>0</v>
      </c>
      <c r="M153" s="230">
        <f t="shared" si="87"/>
        <v>0</v>
      </c>
      <c r="N153" s="230">
        <f t="shared" si="87"/>
        <v>0</v>
      </c>
      <c r="O153" s="230">
        <f t="shared" si="87"/>
        <v>0</v>
      </c>
      <c r="P153" s="230">
        <f t="shared" si="87"/>
        <v>0</v>
      </c>
      <c r="Q153" s="230">
        <f t="shared" si="87"/>
        <v>0</v>
      </c>
      <c r="R153" s="230">
        <f t="shared" si="87"/>
        <v>0</v>
      </c>
      <c r="S153" s="230">
        <f t="shared" si="87"/>
        <v>0</v>
      </c>
      <c r="T153" s="230">
        <f t="shared" si="87"/>
        <v>0</v>
      </c>
      <c r="U153" s="230">
        <f t="shared" si="87"/>
        <v>0</v>
      </c>
      <c r="V153" s="230">
        <f t="shared" si="87"/>
        <v>0</v>
      </c>
      <c r="W153" s="230">
        <f t="shared" si="87"/>
        <v>0</v>
      </c>
      <c r="X153" s="230">
        <f t="shared" si="87"/>
        <v>0</v>
      </c>
      <c r="Y153" s="230">
        <f t="shared" si="87"/>
        <v>0</v>
      </c>
      <c r="Z153" s="230">
        <f t="shared" si="87"/>
        <v>0</v>
      </c>
      <c r="AA153" s="230">
        <f t="shared" si="87"/>
        <v>0</v>
      </c>
      <c r="AB153" s="230">
        <f t="shared" si="87"/>
        <v>0</v>
      </c>
      <c r="AC153" s="230">
        <f t="shared" si="87"/>
        <v>0</v>
      </c>
      <c r="AD153" s="230">
        <f t="shared" si="87"/>
        <v>0</v>
      </c>
      <c r="AE153" s="230">
        <f t="shared" si="87"/>
        <v>0</v>
      </c>
      <c r="AF153" s="230">
        <f t="shared" si="87"/>
        <v>0</v>
      </c>
      <c r="AG153" s="230">
        <f t="shared" si="87"/>
        <v>0</v>
      </c>
      <c r="AH153" s="245"/>
      <c r="AI153" s="133"/>
      <c r="AJ153" s="211"/>
      <c r="AL153" s="108"/>
      <c r="AM153" s="2"/>
      <c r="AN153" s="2"/>
      <c r="AO153" s="2"/>
      <c r="BC153" s="1"/>
      <c r="BD153" s="2"/>
      <c r="BE153" s="2"/>
      <c r="BF153" s="2"/>
      <c r="BG153" s="2"/>
      <c r="BH153" s="2"/>
      <c r="BI153" s="2"/>
      <c r="BJ153" s="2"/>
      <c r="BK153" s="2"/>
    </row>
    <row r="154" spans="1:63" outlineLevel="1">
      <c r="A154" s="4" t="s">
        <v>478</v>
      </c>
      <c r="C154" s="230">
        <f t="shared" ref="C154:AG154" si="88">C149-$C149</f>
        <v>0</v>
      </c>
      <c r="D154" s="230">
        <f t="shared" si="88"/>
        <v>1.4289211400715859E-3</v>
      </c>
      <c r="E154" s="230">
        <f t="shared" si="88"/>
        <v>3.2129623276318975E-3</v>
      </c>
      <c r="F154" s="230">
        <f t="shared" si="88"/>
        <v>5.3394121026372476E-3</v>
      </c>
      <c r="G154" s="230">
        <f t="shared" si="88"/>
        <v>7.7863228851259465E-3</v>
      </c>
      <c r="H154" s="230">
        <f t="shared" si="88"/>
        <v>1.0522430605312785E-2</v>
      </c>
      <c r="I154" s="230">
        <f t="shared" si="88"/>
        <v>1.3541220922131265E-2</v>
      </c>
      <c r="J154" s="230">
        <f t="shared" si="88"/>
        <v>1.6814327863116898E-2</v>
      </c>
      <c r="K154" s="230">
        <f t="shared" si="88"/>
        <v>2.0307560871137734E-2</v>
      </c>
      <c r="L154" s="230">
        <f t="shared" si="88"/>
        <v>2.3980637712162366E-2</v>
      </c>
      <c r="M154" s="230">
        <f t="shared" si="88"/>
        <v>2.7786934390750355E-2</v>
      </c>
      <c r="N154" s="230">
        <f t="shared" si="88"/>
        <v>3.4124039036573177E-2</v>
      </c>
      <c r="O154" s="230">
        <f t="shared" si="88"/>
        <v>4.0628832067192221E-2</v>
      </c>
      <c r="P154" s="230">
        <f t="shared" si="88"/>
        <v>4.7254559945764191E-2</v>
      </c>
      <c r="Q154" s="230">
        <f t="shared" si="88"/>
        <v>5.3769512757898145E-2</v>
      </c>
      <c r="R154" s="230">
        <f t="shared" si="88"/>
        <v>6.0002296881915634E-2</v>
      </c>
      <c r="S154" s="230">
        <f t="shared" si="88"/>
        <v>6.5893903898585543E-2</v>
      </c>
      <c r="T154" s="230">
        <f t="shared" si="88"/>
        <v>7.1283972579865101E-2</v>
      </c>
      <c r="U154" s="230">
        <f t="shared" si="88"/>
        <v>7.5999329153323705E-2</v>
      </c>
      <c r="V154" s="230">
        <f t="shared" si="88"/>
        <v>7.985360128049683E-2</v>
      </c>
      <c r="W154" s="230">
        <f t="shared" si="88"/>
        <v>8.2646836369581395E-2</v>
      </c>
      <c r="X154" s="230">
        <f t="shared" si="88"/>
        <v>8.7462326776756277E-2</v>
      </c>
      <c r="Y154" s="230">
        <f t="shared" si="88"/>
        <v>9.0423153407453882E-2</v>
      </c>
      <c r="Z154" s="230">
        <f t="shared" si="88"/>
        <v>9.1434734518269403E-2</v>
      </c>
      <c r="AA154" s="230">
        <f t="shared" si="88"/>
        <v>8.9817696108210485E-2</v>
      </c>
      <c r="AB154" s="230">
        <f t="shared" si="88"/>
        <v>8.5127098351016367E-2</v>
      </c>
      <c r="AC154" s="230">
        <f t="shared" si="88"/>
        <v>7.6887953164475983E-2</v>
      </c>
      <c r="AD154" s="230">
        <f t="shared" si="88"/>
        <v>6.4592418446933253E-2</v>
      </c>
      <c r="AE154" s="230">
        <f t="shared" si="88"/>
        <v>4.7699674290258266E-2</v>
      </c>
      <c r="AF154" s="230">
        <f t="shared" si="88"/>
        <v>2.563491590509492E-2</v>
      </c>
      <c r="AG154" s="230">
        <f t="shared" si="88"/>
        <v>-2.211651266923706E-3</v>
      </c>
      <c r="AH154" s="245"/>
      <c r="AI154" s="133"/>
      <c r="AJ154" s="211"/>
      <c r="AL154" s="108"/>
      <c r="AM154" s="2"/>
      <c r="AN154" s="2"/>
      <c r="AO154" s="2"/>
      <c r="BC154" s="1"/>
      <c r="BD154" s="2"/>
      <c r="BE154" s="2"/>
      <c r="BF154" s="2"/>
      <c r="BG154" s="2"/>
      <c r="BH154" s="2"/>
      <c r="BI154" s="2"/>
      <c r="BJ154" s="2"/>
      <c r="BK154" s="2"/>
    </row>
    <row r="155" spans="1:63" outlineLevel="1">
      <c r="A155" s="4" t="s">
        <v>745</v>
      </c>
      <c r="C155" s="230">
        <f t="shared" ref="C155:AG155" si="89">C150-$C150</f>
        <v>0</v>
      </c>
      <c r="D155" s="230">
        <f t="shared" si="89"/>
        <v>1.0818639405176825E-4</v>
      </c>
      <c r="E155" s="230">
        <f t="shared" si="89"/>
        <v>3.3391947024896169E-4</v>
      </c>
      <c r="F155" s="230">
        <f t="shared" si="89"/>
        <v>7.2304707888320302E-4</v>
      </c>
      <c r="G155" s="230">
        <f t="shared" si="89"/>
        <v>1.3255607112089395E-3</v>
      </c>
      <c r="H155" s="230">
        <f t="shared" si="89"/>
        <v>2.1948184578575304E-3</v>
      </c>
      <c r="I155" s="230">
        <f t="shared" si="89"/>
        <v>3.3939131803634344E-3</v>
      </c>
      <c r="J155" s="230">
        <f t="shared" si="89"/>
        <v>4.9902027410750026E-3</v>
      </c>
      <c r="K155" s="230">
        <f t="shared" si="89"/>
        <v>7.0570219571416204E-3</v>
      </c>
      <c r="L155" s="230">
        <f t="shared" si="89"/>
        <v>9.6738119035230299E-3</v>
      </c>
      <c r="M155" s="230">
        <f t="shared" si="89"/>
        <v>1.2926226282287808E-2</v>
      </c>
      <c r="N155" s="230">
        <f t="shared" si="89"/>
        <v>1.8128984177014397E-2</v>
      </c>
      <c r="O155" s="230">
        <f t="shared" si="89"/>
        <v>2.4612972888726884E-2</v>
      </c>
      <c r="P155" s="230">
        <f t="shared" si="89"/>
        <v>3.259898280409522E-2</v>
      </c>
      <c r="Q155" s="230">
        <f t="shared" si="89"/>
        <v>4.2213459777054728E-2</v>
      </c>
      <c r="R155" s="230">
        <f t="shared" si="89"/>
        <v>5.3615299125323576E-2</v>
      </c>
      <c r="S155" s="230">
        <f t="shared" si="89"/>
        <v>6.7077281743209899E-2</v>
      </c>
      <c r="T155" s="230">
        <f t="shared" si="89"/>
        <v>8.2826254044229053E-2</v>
      </c>
      <c r="U155" s="230">
        <f t="shared" si="89"/>
        <v>0.10110204949743141</v>
      </c>
      <c r="V155" s="230">
        <f t="shared" si="89"/>
        <v>0.12215779826469664</v>
      </c>
      <c r="W155" s="230">
        <f t="shared" si="89"/>
        <v>0.1462602304894445</v>
      </c>
      <c r="X155" s="230">
        <f t="shared" si="89"/>
        <v>0.18032012165220057</v>
      </c>
      <c r="Y155" s="230">
        <f t="shared" si="89"/>
        <v>0.21953706527214958</v>
      </c>
      <c r="Z155" s="230">
        <f t="shared" si="89"/>
        <v>0.26516841161207816</v>
      </c>
      <c r="AA155" s="230">
        <f t="shared" si="89"/>
        <v>0.31723953451863929</v>
      </c>
      <c r="AB155" s="230">
        <f t="shared" si="89"/>
        <v>0.37633788927804651</v>
      </c>
      <c r="AC155" s="230">
        <f t="shared" si="89"/>
        <v>0.44308662301738294</v>
      </c>
      <c r="AD155" s="230">
        <f t="shared" si="89"/>
        <v>0.51813914055666932</v>
      </c>
      <c r="AE155" s="230">
        <f t="shared" si="89"/>
        <v>0.60218247205960673</v>
      </c>
      <c r="AF155" s="230">
        <f t="shared" si="89"/>
        <v>0.695938131496046</v>
      </c>
      <c r="AG155" s="230">
        <f t="shared" si="89"/>
        <v>0.80016296834042411</v>
      </c>
      <c r="AH155" s="245"/>
      <c r="AI155" s="133"/>
      <c r="AJ155" s="211"/>
      <c r="AL155" s="108"/>
      <c r="AM155" s="2"/>
      <c r="AN155" s="2"/>
      <c r="AO155" s="2"/>
      <c r="BC155" s="1"/>
      <c r="BD155" s="2"/>
      <c r="BE155" s="2"/>
      <c r="BF155" s="2"/>
      <c r="BG155" s="2"/>
      <c r="BH155" s="2"/>
      <c r="BI155" s="2"/>
      <c r="BJ155" s="2"/>
      <c r="BK155" s="2"/>
    </row>
    <row r="156" spans="1:63" outlineLevel="1">
      <c r="A156" s="4" t="s">
        <v>1561</v>
      </c>
      <c r="C156" s="230">
        <f t="shared" ref="C156:AG156" si="90">C151-$C151</f>
        <v>0</v>
      </c>
      <c r="D156" s="230">
        <f t="shared" si="90"/>
        <v>1.0735849488334708E-3</v>
      </c>
      <c r="E156" s="230">
        <f t="shared" si="90"/>
        <v>2.5000021671041997E-3</v>
      </c>
      <c r="F156" s="230">
        <f t="shared" si="90"/>
        <v>4.314116559821145E-3</v>
      </c>
      <c r="G156" s="230">
        <f t="shared" si="90"/>
        <v>6.548448850614323E-3</v>
      </c>
      <c r="H156" s="230">
        <f t="shared" si="90"/>
        <v>9.2323836848882887E-3</v>
      </c>
      <c r="I156" s="230">
        <f t="shared" si="90"/>
        <v>1.2421359551232816E-2</v>
      </c>
      <c r="J156" s="230">
        <f t="shared" si="90"/>
        <v>1.6160013829374691E-2</v>
      </c>
      <c r="K156" s="230">
        <f t="shared" si="90"/>
        <v>2.0494697329825166E-2</v>
      </c>
      <c r="L156" s="230">
        <f t="shared" si="90"/>
        <v>2.5473415495731684E-2</v>
      </c>
      <c r="M156" s="230">
        <f t="shared" si="90"/>
        <v>3.1145759400884265E-2</v>
      </c>
      <c r="N156" s="230">
        <f t="shared" si="90"/>
        <v>4.0388314768443262E-2</v>
      </c>
      <c r="O156" s="230">
        <f t="shared" si="90"/>
        <v>5.0960492633589122E-2</v>
      </c>
      <c r="P156" s="230">
        <f t="shared" si="90"/>
        <v>6.30400188598121E-2</v>
      </c>
      <c r="Q156" s="230">
        <f t="shared" si="90"/>
        <v>7.6589426152609538E-2</v>
      </c>
      <c r="R156" s="230">
        <f t="shared" si="90"/>
        <v>9.1643020646977588E-2</v>
      </c>
      <c r="S156" s="230">
        <f t="shared" si="90"/>
        <v>0.10841953173633041</v>
      </c>
      <c r="T156" s="230">
        <f t="shared" si="90"/>
        <v>0.12702523650244346</v>
      </c>
      <c r="U156" s="230">
        <f t="shared" si="90"/>
        <v>0.14757002867827107</v>
      </c>
      <c r="V156" s="230">
        <f t="shared" si="90"/>
        <v>0.17016745014679482</v>
      </c>
      <c r="W156" s="230">
        <f t="shared" si="90"/>
        <v>0.19493471936122456</v>
      </c>
      <c r="X156" s="230">
        <f t="shared" si="90"/>
        <v>0.230524099816</v>
      </c>
      <c r="Y156" s="230">
        <f t="shared" si="90"/>
        <v>0.26974646696553822</v>
      </c>
      <c r="Z156" s="230">
        <f t="shared" si="90"/>
        <v>0.31373057534225418</v>
      </c>
      <c r="AA156" s="230">
        <f t="shared" si="90"/>
        <v>0.3620388746904068</v>
      </c>
      <c r="AB156" s="230">
        <f t="shared" si="90"/>
        <v>0.41492643395727125</v>
      </c>
      <c r="AC156" s="230">
        <f t="shared" si="90"/>
        <v>0.47266177045767227</v>
      </c>
      <c r="AD156" s="230">
        <f t="shared" si="90"/>
        <v>0.53551978726801253</v>
      </c>
      <c r="AE156" s="230">
        <f t="shared" si="90"/>
        <v>0.60378488446931677</v>
      </c>
      <c r="AF156" s="230">
        <f t="shared" si="90"/>
        <v>0.67775108939459683</v>
      </c>
      <c r="AG156" s="230">
        <f t="shared" si="90"/>
        <v>0.75772218194426166</v>
      </c>
      <c r="AH156" s="245"/>
      <c r="AI156" s="133"/>
      <c r="AJ156" s="211"/>
      <c r="AL156" s="108"/>
      <c r="AM156" s="2"/>
      <c r="AN156" s="2"/>
      <c r="AO156" s="2"/>
      <c r="BC156" s="1"/>
      <c r="BD156" s="2"/>
      <c r="BE156" s="2"/>
      <c r="BF156" s="2"/>
      <c r="BG156" s="2"/>
      <c r="BH156" s="2"/>
      <c r="BI156" s="2"/>
      <c r="BJ156" s="2"/>
      <c r="BK156" s="2"/>
    </row>
    <row r="157" spans="1:63" s="1" customFormat="1" outlineLevel="1">
      <c r="A157" s="1" t="s">
        <v>1569</v>
      </c>
      <c r="B157" s="65"/>
      <c r="C157" s="300">
        <f>C43*C143</f>
        <v>2.2212350890803759E-2</v>
      </c>
      <c r="D157" s="300">
        <f t="shared" ref="D157:AG157" si="91">D43*D143</f>
        <v>2.8336593292007922E-2</v>
      </c>
      <c r="E157" s="300">
        <f t="shared" si="91"/>
        <v>3.4579489962794405E-2</v>
      </c>
      <c r="F157" s="300">
        <f t="shared" si="91"/>
        <v>4.0878778148040307E-2</v>
      </c>
      <c r="G157" s="300">
        <f t="shared" si="91"/>
        <v>4.7168764067694408E-2</v>
      </c>
      <c r="H157" s="300">
        <f t="shared" si="91"/>
        <v>5.338127120841539E-2</v>
      </c>
      <c r="I157" s="300">
        <f t="shared" si="91"/>
        <v>5.9574924674500464E-2</v>
      </c>
      <c r="J157" s="300">
        <f t="shared" si="91"/>
        <v>6.5718346986625556E-2</v>
      </c>
      <c r="K157" s="300">
        <f t="shared" si="91"/>
        <v>7.1778483395141854E-2</v>
      </c>
      <c r="L157" s="300">
        <f t="shared" si="91"/>
        <v>7.772064539276817E-2</v>
      </c>
      <c r="M157" s="300">
        <f t="shared" si="91"/>
        <v>8.3508562824550187E-2</v>
      </c>
      <c r="N157" s="300">
        <f t="shared" si="91"/>
        <v>9.5549078394164877E-2</v>
      </c>
      <c r="O157" s="300">
        <f t="shared" si="91"/>
        <v>0.10709086039245549</v>
      </c>
      <c r="P157" s="300">
        <f t="shared" si="91"/>
        <v>0.11824384125654758</v>
      </c>
      <c r="Q157" s="300">
        <f t="shared" si="91"/>
        <v>0.12868939220417583</v>
      </c>
      <c r="R157" s="300">
        <f t="shared" si="91"/>
        <v>0.1383034920060259</v>
      </c>
      <c r="S157" s="300">
        <f t="shared" si="91"/>
        <v>0.14723213243538785</v>
      </c>
      <c r="T157" s="300">
        <f t="shared" si="91"/>
        <v>0.15540663564476101</v>
      </c>
      <c r="U157" s="300">
        <f t="shared" si="91"/>
        <v>0.1627562355568222</v>
      </c>
      <c r="V157" s="300">
        <f t="shared" si="91"/>
        <v>0.16920808381419308</v>
      </c>
      <c r="W157" s="300">
        <f t="shared" si="91"/>
        <v>0.17468725812029132</v>
      </c>
      <c r="X157" s="300">
        <f t="shared" si="91"/>
        <v>0.18595407562665095</v>
      </c>
      <c r="Y157" s="300">
        <f t="shared" si="91"/>
        <v>0.19559960894895725</v>
      </c>
      <c r="Z157" s="300">
        <f t="shared" si="91"/>
        <v>0.20409154457199785</v>
      </c>
      <c r="AA157" s="300">
        <f t="shared" si="91"/>
        <v>0.21073224136753307</v>
      </c>
      <c r="AB157" s="300">
        <f t="shared" si="91"/>
        <v>0.21536708141082661</v>
      </c>
      <c r="AC157" s="300">
        <f t="shared" si="91"/>
        <v>0.21783851288579262</v>
      </c>
      <c r="AD157" s="300">
        <f t="shared" si="91"/>
        <v>0.21798192417986792</v>
      </c>
      <c r="AE157" s="300">
        <f t="shared" si="91"/>
        <v>0.21562754583799668</v>
      </c>
      <c r="AF157" s="300">
        <f t="shared" si="91"/>
        <v>0.21060042966384609</v>
      </c>
      <c r="AG157" s="300">
        <f t="shared" si="91"/>
        <v>0.20272043206558737</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C$157*'BTX recycling rates'!E62</f>
        <v>0</v>
      </c>
      <c r="D158" s="230">
        <f>D$157*'BTX recycling rates'!F62</f>
        <v>0</v>
      </c>
      <c r="E158" s="230">
        <f>E$157*'BTX recycling rates'!G62</f>
        <v>0</v>
      </c>
      <c r="F158" s="230">
        <f>F$157*'BTX recycling rates'!H62</f>
        <v>0</v>
      </c>
      <c r="G158" s="230">
        <f>G$157*'BTX recycling rates'!I62</f>
        <v>0</v>
      </c>
      <c r="H158" s="230">
        <f>H$157*'BTX recycling rates'!J62</f>
        <v>0</v>
      </c>
      <c r="I158" s="230">
        <f>I$157*'BTX recycling rates'!K62</f>
        <v>0</v>
      </c>
      <c r="J158" s="230">
        <f>J$157*'BTX recycling rates'!L62</f>
        <v>0</v>
      </c>
      <c r="K158" s="230">
        <f>K$157*'BTX recycling rates'!M62</f>
        <v>0</v>
      </c>
      <c r="L158" s="230">
        <f>L$157*'BTX recycling rates'!N62</f>
        <v>0</v>
      </c>
      <c r="M158" s="230">
        <f>M$157*'BTX recycling rates'!O62</f>
        <v>0</v>
      </c>
      <c r="N158" s="230">
        <f>N$157*'BTX recycling rates'!P62</f>
        <v>0</v>
      </c>
      <c r="O158" s="230">
        <f>O$157*'BTX recycling rates'!Q62</f>
        <v>0</v>
      </c>
      <c r="P158" s="230">
        <f>P$157*'BTX recycling rates'!R62</f>
        <v>0</v>
      </c>
      <c r="Q158" s="230">
        <f>Q$157*'BTX recycling rates'!S62</f>
        <v>0</v>
      </c>
      <c r="R158" s="230">
        <f>R$157*'BTX recycling rates'!T62</f>
        <v>0</v>
      </c>
      <c r="S158" s="230">
        <f>S$157*'BTX recycling rates'!U62</f>
        <v>0</v>
      </c>
      <c r="T158" s="230">
        <f>T$157*'BTX recycling rates'!V62</f>
        <v>0</v>
      </c>
      <c r="U158" s="230">
        <f>U$157*'BTX recycling rates'!W62</f>
        <v>0</v>
      </c>
      <c r="V158" s="230">
        <f>V$157*'BTX recycling rates'!X62</f>
        <v>0</v>
      </c>
      <c r="W158" s="230">
        <f>W$157*'BTX recycling rates'!Y62</f>
        <v>0</v>
      </c>
      <c r="X158" s="230">
        <f>X$157*'BTX recycling rates'!Z62</f>
        <v>0</v>
      </c>
      <c r="Y158" s="230">
        <f>Y$157*'BTX recycling rates'!AA62</f>
        <v>0</v>
      </c>
      <c r="Z158" s="230">
        <f>Z$157*'BTX recycling rates'!AB62</f>
        <v>0</v>
      </c>
      <c r="AA158" s="230">
        <f>AA$157*'BTX recycling rates'!AC62</f>
        <v>0</v>
      </c>
      <c r="AB158" s="230">
        <f>AB$157*'BTX recycling rates'!AD62</f>
        <v>0</v>
      </c>
      <c r="AC158" s="230">
        <f>AC$157*'BTX recycling rates'!AE62</f>
        <v>0</v>
      </c>
      <c r="AD158" s="230">
        <f>AD$157*'BTX recycling rates'!AF62</f>
        <v>0</v>
      </c>
      <c r="AE158" s="230">
        <f>AE$157*'BTX recycling rates'!AG62</f>
        <v>0</v>
      </c>
      <c r="AF158" s="230">
        <f>AF$157*'BTX recycling rates'!AH62</f>
        <v>0</v>
      </c>
      <c r="AG158" s="230">
        <f>AG$157*'BTX recycling rates'!AI62</f>
        <v>0</v>
      </c>
      <c r="AH158" s="245"/>
      <c r="AI158" s="133"/>
      <c r="AJ158" s="211"/>
      <c r="AL158" s="108"/>
      <c r="AM158" s="2"/>
      <c r="AN158" s="2"/>
      <c r="AO158" s="2"/>
      <c r="BC158" s="1"/>
      <c r="BD158" s="2"/>
      <c r="BE158" s="2"/>
      <c r="BF158" s="2"/>
      <c r="BG158" s="2"/>
      <c r="BH158" s="2"/>
      <c r="BI158" s="2"/>
      <c r="BJ158" s="2"/>
      <c r="BK158" s="2"/>
    </row>
    <row r="159" spans="1:63" outlineLevel="1">
      <c r="A159" s="4" t="s">
        <v>478</v>
      </c>
      <c r="C159" s="230">
        <f>C$157*'BTX recycling rates'!E63</f>
        <v>1.3225674576203765E-2</v>
      </c>
      <c r="D159" s="230">
        <f>D$157*'BTX recycling rates'!F63</f>
        <v>1.630976438333891E-2</v>
      </c>
      <c r="E159" s="230">
        <f>E$157*'BTX recycling rates'!G63</f>
        <v>1.9216693658713226E-2</v>
      </c>
      <c r="F159" s="230">
        <f>F$157*'BTX recycling rates'!H63</f>
        <v>2.1906032259484193E-2</v>
      </c>
      <c r="G159" s="230">
        <f>G$157*'BTX recycling rates'!I63</f>
        <v>2.4340522526535433E-2</v>
      </c>
      <c r="H159" s="230">
        <f>H$157*'BTX recycling rates'!J63</f>
        <v>2.6486890294251907E-2</v>
      </c>
      <c r="I159" s="230">
        <f>I$157*'BTX recycling rates'!K63</f>
        <v>2.8377674043426171E-2</v>
      </c>
      <c r="J159" s="230">
        <f>J$157*'BTX recycling rates'!L63</f>
        <v>2.9999672899238227E-2</v>
      </c>
      <c r="K159" s="230">
        <f>K$157*'BTX recycling rates'!M63</f>
        <v>3.1341444658031396E-2</v>
      </c>
      <c r="L159" s="230">
        <f>L$157*'BTX recycling rates'!N63</f>
        <v>3.2393490369810235E-2</v>
      </c>
      <c r="M159" s="230">
        <f>M$157*'BTX recycling rates'!O63</f>
        <v>3.3148437151729833E-2</v>
      </c>
      <c r="N159" s="230">
        <f>N$157*'BTX recycling rates'!P63</f>
        <v>3.6031484524211781E-2</v>
      </c>
      <c r="O159" s="230">
        <f>O$157*'BTX recycling rates'!Q63</f>
        <v>3.8258414247075691E-2</v>
      </c>
      <c r="P159" s="230">
        <f>P$157*'BTX recycling rates'!R63</f>
        <v>3.9896013614804583E-2</v>
      </c>
      <c r="Q159" s="230">
        <f>Q$157*'BTX recycling rates'!S63</f>
        <v>4.086624973811994E-2</v>
      </c>
      <c r="R159" s="230">
        <f>R$157*'BTX recycling rates'!T63</f>
        <v>4.1174322047595475E-2</v>
      </c>
      <c r="S159" s="230">
        <f>S$157*'BTX recycling rates'!U63</f>
        <v>4.0910302447695529E-2</v>
      </c>
      <c r="T159" s="230">
        <f>T$157*'BTX recycling rates'!V63</f>
        <v>4.0097284616739837E-2</v>
      </c>
      <c r="U159" s="230">
        <f>U$157*'BTX recycling rates'!W63</f>
        <v>3.87633171707851E-2</v>
      </c>
      <c r="V159" s="230">
        <f>V$157*'BTX recycling rates'!X63</f>
        <v>3.6941612191495554E-2</v>
      </c>
      <c r="W159" s="230">
        <f>W$157*'BTX recycling rates'!Y63</f>
        <v>3.467075352005778E-2</v>
      </c>
      <c r="X159" s="230">
        <f>X$157*'BTX recycling rates'!Z63</f>
        <v>3.3216224195905544E-2</v>
      </c>
      <c r="Y159" s="230">
        <f>Y$157*'BTX recycling rates'!AA63</f>
        <v>3.1057037146093928E-2</v>
      </c>
      <c r="Z159" s="230">
        <f>Z$157*'BTX recycling rates'!AB63</f>
        <v>2.8354703139010336E-2</v>
      </c>
      <c r="AA159" s="230">
        <f>AA$157*'BTX recycling rates'!AC63</f>
        <v>2.5094831796439E-2</v>
      </c>
      <c r="AB159" s="230">
        <f>AB$157*'BTX recycling rates'!AD63</f>
        <v>2.1372305788860603E-2</v>
      </c>
      <c r="AC159" s="230">
        <f>AC$157*'BTX recycling rates'!AE63</f>
        <v>1.7294049877956002E-2</v>
      </c>
      <c r="AD159" s="230">
        <f>AD$157*'BTX recycling rates'!AF63</f>
        <v>1.2979076401549335E-2</v>
      </c>
      <c r="AE159" s="230">
        <f>AE$157*'BTX recycling rates'!AG63</f>
        <v>8.5592613615082126E-3</v>
      </c>
      <c r="AF159" s="230">
        <f>AF$157*'BTX recycling rates'!AH63</f>
        <v>4.179855855923612E-3</v>
      </c>
      <c r="AG159" s="230">
        <f>AG$157*'BTX recycling rates'!AI63</f>
        <v>0</v>
      </c>
      <c r="AH159" s="245"/>
      <c r="AI159" s="133"/>
      <c r="AJ159" s="211"/>
      <c r="AL159" s="108"/>
      <c r="AM159" s="2"/>
      <c r="AN159" s="2"/>
      <c r="AO159" s="2"/>
      <c r="BC159" s="1"/>
      <c r="BD159" s="2"/>
      <c r="BE159" s="2"/>
      <c r="BF159" s="2"/>
      <c r="BG159" s="2"/>
      <c r="BH159" s="2"/>
      <c r="BI159" s="2"/>
      <c r="BJ159" s="2"/>
      <c r="BK159" s="2"/>
    </row>
    <row r="160" spans="1:63" outlineLevel="1">
      <c r="A160" s="4" t="s">
        <v>745</v>
      </c>
      <c r="C160" s="230">
        <f>C$157*'BTX recycling rates'!E64</f>
        <v>0</v>
      </c>
      <c r="D160" s="230">
        <f>D$157*'BTX recycling rates'!F64</f>
        <v>4.8467504535192182E-4</v>
      </c>
      <c r="E160" s="230">
        <f>E$157*'BTX recycling rates'!G64</f>
        <v>1.1829097233569468E-3</v>
      </c>
      <c r="F160" s="230">
        <f>F$157*'BTX recycling rates'!H64</f>
        <v>2.0975976309495865E-3</v>
      </c>
      <c r="G160" s="230">
        <f>G$157*'BTX recycling rates'!I64</f>
        <v>3.2271378041977645E-3</v>
      </c>
      <c r="H160" s="230">
        <f>H$157*'BTX recycling rates'!J64</f>
        <v>4.5652223923436644E-3</v>
      </c>
      <c r="I160" s="230">
        <f>I$157*'BTX recycling rates'!K64</f>
        <v>6.1138921720547022E-3</v>
      </c>
      <c r="J160" s="230">
        <f>J$157*'BTX recycling rates'!L64</f>
        <v>7.8684229027014881E-3</v>
      </c>
      <c r="K160" s="230">
        <f>K$157*'BTX recycling rates'!M64</f>
        <v>9.8217140885865153E-3</v>
      </c>
      <c r="L160" s="230">
        <f>L$157*'BTX recycling rates'!N64</f>
        <v>1.1964152235276051E-2</v>
      </c>
      <c r="M160" s="230">
        <f>M$157*'BTX recycling rates'!O64</f>
        <v>1.4283480041928026E-2</v>
      </c>
      <c r="N160" s="230">
        <f>N$157*'BTX recycling rates'!P64</f>
        <v>1.7977206635067293E-2</v>
      </c>
      <c r="O160" s="230">
        <f>O$157*'BTX recycling rates'!Q64</f>
        <v>2.1980454918889131E-2</v>
      </c>
      <c r="P160" s="230">
        <f>P$157*'BTX recycling rates'!R64</f>
        <v>2.6292077559547804E-2</v>
      </c>
      <c r="Q160" s="230">
        <f>Q$157*'BTX recycling rates'!S64</f>
        <v>3.0815825637249938E-2</v>
      </c>
      <c r="R160" s="230">
        <f>R$157*'BTX recycling rates'!T64</f>
        <v>3.5483579784759585E-2</v>
      </c>
      <c r="S160" s="230">
        <f>S$157*'BTX recycling rates'!U64</f>
        <v>4.0292629240231574E-2</v>
      </c>
      <c r="T160" s="230">
        <f>T$157*'BTX recycling rates'!V64</f>
        <v>4.5187831714621984E-2</v>
      </c>
      <c r="U160" s="230">
        <f>U$157*'BTX recycling rates'!W64</f>
        <v>5.0108703282164421E-2</v>
      </c>
      <c r="V160" s="230">
        <f>V$157*'BTX recycling rates'!X64</f>
        <v>5.4989241726317147E-2</v>
      </c>
      <c r="W160" s="230">
        <f>W$157*'BTX recycling rates'!Y64</f>
        <v>5.9757751314258721E-2</v>
      </c>
      <c r="X160" s="230">
        <f>X$157*'BTX recycling rates'!Z64</f>
        <v>6.6792549170897261E-2</v>
      </c>
      <c r="Y160" s="230">
        <f>Y$157*'BTX recycling rates'!AA64</f>
        <v>7.3602689778083763E-2</v>
      </c>
      <c r="Z160" s="230">
        <f>Z$157*'BTX recycling rates'!AB64</f>
        <v>8.0288967161530417E-2</v>
      </c>
      <c r="AA160" s="230">
        <f>AA$157*'BTX recycling rates'!AC64</f>
        <v>8.6505804778497161E-2</v>
      </c>
      <c r="AB160" s="230">
        <f>AB$157*'BTX recycling rates'!AD64</f>
        <v>9.2092095258627743E-2</v>
      </c>
      <c r="AC160" s="230">
        <f>AC$157*'BTX recycling rates'!AE64</f>
        <v>9.6874848032436789E-2</v>
      </c>
      <c r="AD160" s="230">
        <f>AD$157*'BTX recycling rates'!AF64</f>
        <v>0.10066703302243847</v>
      </c>
      <c r="AE160" s="230">
        <f>AE$157*'BTX recycling rates'!AG64</f>
        <v>0.1032678877617111</v>
      </c>
      <c r="AF160" s="230">
        <f>AF$157*'BTX recycling rates'!AH64</f>
        <v>0.10446246592352998</v>
      </c>
      <c r="AG160" s="230">
        <f>AG$157*'BTX recycling rates'!AI64</f>
        <v>0.10402118588425512</v>
      </c>
      <c r="AH160" s="245"/>
      <c r="AI160" s="133"/>
      <c r="AJ160" s="211"/>
      <c r="AL160" s="108"/>
      <c r="AM160" s="2"/>
      <c r="AN160" s="2"/>
      <c r="AO160" s="2"/>
      <c r="BC160" s="1"/>
      <c r="BD160" s="2"/>
      <c r="BE160" s="2"/>
      <c r="BF160" s="2"/>
      <c r="BG160" s="2"/>
      <c r="BH160" s="2"/>
      <c r="BI160" s="2"/>
      <c r="BJ160" s="2"/>
      <c r="BK160" s="2"/>
    </row>
    <row r="161" spans="1:63" outlineLevel="1">
      <c r="A161" s="4" t="s">
        <v>1561</v>
      </c>
      <c r="C161" s="230">
        <f>C$157*'BTX recycling rates'!E65</f>
        <v>8.9866763145999926E-3</v>
      </c>
      <c r="D161" s="230">
        <f>D$157*'BTX recycling rates'!F65</f>
        <v>1.1542153863317087E-2</v>
      </c>
      <c r="E161" s="230">
        <f>E$157*'BTX recycling rates'!G65</f>
        <v>1.417988658072423E-2</v>
      </c>
      <c r="F161" s="230">
        <f>F$157*'BTX recycling rates'!H65</f>
        <v>1.6875148257606526E-2</v>
      </c>
      <c r="G161" s="230">
        <f>G$157*'BTX recycling rates'!I65</f>
        <v>1.9601103736961209E-2</v>
      </c>
      <c r="H161" s="230">
        <f>H$157*'BTX recycling rates'!J65</f>
        <v>2.2329158521819815E-2</v>
      </c>
      <c r="I161" s="230">
        <f>I$157*'BTX recycling rates'!K65</f>
        <v>2.508335845901959E-2</v>
      </c>
      <c r="J161" s="230">
        <f>J$157*'BTX recycling rates'!L65</f>
        <v>2.7850251184685839E-2</v>
      </c>
      <c r="K161" s="230">
        <f>K$157*'BTX recycling rates'!M65</f>
        <v>3.0615324648523939E-2</v>
      </c>
      <c r="L161" s="230">
        <f>L$157*'BTX recycling rates'!N65</f>
        <v>3.3363002787681881E-2</v>
      </c>
      <c r="M161" s="230">
        <f>M$157*'BTX recycling rates'!O65</f>
        <v>3.6076645630892322E-2</v>
      </c>
      <c r="N161" s="230">
        <f>N$157*'BTX recycling rates'!P65</f>
        <v>4.1540387234885803E-2</v>
      </c>
      <c r="O161" s="230">
        <f>O$157*'BTX recycling rates'!Q65</f>
        <v>4.6851991226490669E-2</v>
      </c>
      <c r="P161" s="230">
        <f>P$157*'BTX recycling rates'!R65</f>
        <v>5.2055750082195186E-2</v>
      </c>
      <c r="Q161" s="230">
        <f>Q$157*'BTX recycling rates'!S65</f>
        <v>5.700731682880595E-2</v>
      </c>
      <c r="R161" s="230">
        <f>R$157*'BTX recycling rates'!T65</f>
        <v>6.1645590173670842E-2</v>
      </c>
      <c r="S161" s="230">
        <f>S$157*'BTX recycling rates'!U65</f>
        <v>6.6029200747460742E-2</v>
      </c>
      <c r="T161" s="230">
        <f>T$157*'BTX recycling rates'!V65</f>
        <v>7.0121519313399189E-2</v>
      </c>
      <c r="U161" s="230">
        <f>U$157*'BTX recycling rates'!W65</f>
        <v>7.3884215103872677E-2</v>
      </c>
      <c r="V161" s="230">
        <f>V$157*'BTX recycling rates'!X65</f>
        <v>7.7277229896380389E-2</v>
      </c>
      <c r="W161" s="230">
        <f>W$157*'BTX recycling rates'!Y65</f>
        <v>8.0258753285974815E-2</v>
      </c>
      <c r="X161" s="230">
        <f>X$157*'BTX recycling rates'!Z65</f>
        <v>8.5945302259848144E-2</v>
      </c>
      <c r="Y161" s="230">
        <f>Y$157*'BTX recycling rates'!AA65</f>
        <v>9.0939882024779553E-2</v>
      </c>
      <c r="Z161" s="230">
        <f>Z$157*'BTX recycling rates'!AB65</f>
        <v>9.5447874271457109E-2</v>
      </c>
      <c r="AA161" s="230">
        <f>AA$157*'BTX recycling rates'!AC65</f>
        <v>9.9131604792596917E-2</v>
      </c>
      <c r="AB161" s="230">
        <f>AB$157*'BTX recycling rates'!AD65</f>
        <v>0.10190268036333827</v>
      </c>
      <c r="AC161" s="230">
        <f>AC$157*'BTX recycling rates'!AE65</f>
        <v>0.10366961497539984</v>
      </c>
      <c r="AD161" s="230">
        <f>AD$157*'BTX recycling rates'!AF65</f>
        <v>0.10433581475588014</v>
      </c>
      <c r="AE161" s="230">
        <f>AE$157*'BTX recycling rates'!AG65</f>
        <v>0.10380039671477738</v>
      </c>
      <c r="AF161" s="230">
        <f>AF$157*'BTX recycling rates'!AH65</f>
        <v>0.10195810788439252</v>
      </c>
      <c r="AG161" s="230">
        <f>AG$157*'BTX recycling rates'!AI65</f>
        <v>9.8699246181332259E-2</v>
      </c>
      <c r="AH161" s="245"/>
      <c r="AI161" s="133"/>
      <c r="AJ161" s="211"/>
      <c r="AL161" s="108"/>
      <c r="AM161" s="2"/>
      <c r="AN161" s="2"/>
      <c r="AO161" s="2"/>
      <c r="BC161" s="1"/>
      <c r="BD161" s="2"/>
      <c r="BE161" s="2"/>
      <c r="BF161" s="2"/>
      <c r="BG161" s="2"/>
      <c r="BH161" s="2"/>
      <c r="BI161" s="2"/>
      <c r="BJ161" s="2"/>
      <c r="BK161" s="2"/>
    </row>
    <row r="162" spans="1:63" s="1" customFormat="1" outlineLevel="1">
      <c r="A162" s="1" t="s">
        <v>1570</v>
      </c>
      <c r="B162" s="65"/>
      <c r="C162" s="300">
        <f t="shared" ref="C162:AG162" si="92">C157-$C157</f>
        <v>0</v>
      </c>
      <c r="D162" s="300">
        <f t="shared" si="92"/>
        <v>6.1242424012041621E-3</v>
      </c>
      <c r="E162" s="300">
        <f t="shared" si="92"/>
        <v>1.2367139071990645E-2</v>
      </c>
      <c r="F162" s="300">
        <f t="shared" si="92"/>
        <v>1.8666427257236547E-2</v>
      </c>
      <c r="G162" s="300">
        <f t="shared" si="92"/>
        <v>2.4956413176890648E-2</v>
      </c>
      <c r="H162" s="300">
        <f t="shared" si="92"/>
        <v>3.1168920317611631E-2</v>
      </c>
      <c r="I162" s="300">
        <f t="shared" si="92"/>
        <v>3.7362573783696701E-2</v>
      </c>
      <c r="J162" s="300">
        <f t="shared" si="92"/>
        <v>4.35059960958218E-2</v>
      </c>
      <c r="K162" s="300">
        <f t="shared" si="92"/>
        <v>4.9566132504338098E-2</v>
      </c>
      <c r="L162" s="300">
        <f t="shared" si="92"/>
        <v>5.5508294501964414E-2</v>
      </c>
      <c r="M162" s="300">
        <f t="shared" si="92"/>
        <v>6.1296211933746431E-2</v>
      </c>
      <c r="N162" s="300">
        <f t="shared" si="92"/>
        <v>7.3336727503361121E-2</v>
      </c>
      <c r="O162" s="300">
        <f t="shared" si="92"/>
        <v>8.4878509501651739E-2</v>
      </c>
      <c r="P162" s="300">
        <f t="shared" si="92"/>
        <v>9.6031490365743821E-2</v>
      </c>
      <c r="Q162" s="300">
        <f t="shared" si="92"/>
        <v>0.10647704131337207</v>
      </c>
      <c r="R162" s="300">
        <f t="shared" si="92"/>
        <v>0.11609114111522215</v>
      </c>
      <c r="S162" s="300">
        <f t="shared" si="92"/>
        <v>0.1250197815445841</v>
      </c>
      <c r="T162" s="300">
        <f t="shared" si="92"/>
        <v>0.13319428475395725</v>
      </c>
      <c r="U162" s="300">
        <f t="shared" si="92"/>
        <v>0.14054388466601844</v>
      </c>
      <c r="V162" s="300">
        <f t="shared" si="92"/>
        <v>0.14699573292338933</v>
      </c>
      <c r="W162" s="300">
        <f t="shared" si="92"/>
        <v>0.15247490722948756</v>
      </c>
      <c r="X162" s="300">
        <f t="shared" si="92"/>
        <v>0.16374172473584719</v>
      </c>
      <c r="Y162" s="300">
        <f t="shared" si="92"/>
        <v>0.1733872580581535</v>
      </c>
      <c r="Z162" s="300">
        <f t="shared" si="92"/>
        <v>0.1818791936811941</v>
      </c>
      <c r="AA162" s="300">
        <f t="shared" si="92"/>
        <v>0.18851989047672932</v>
      </c>
      <c r="AB162" s="300">
        <f t="shared" si="92"/>
        <v>0.19315473052002285</v>
      </c>
      <c r="AC162" s="300">
        <f t="shared" si="92"/>
        <v>0.19562616199498886</v>
      </c>
      <c r="AD162" s="300">
        <f t="shared" si="92"/>
        <v>0.19576957328906416</v>
      </c>
      <c r="AE162" s="300">
        <f t="shared" si="92"/>
        <v>0.19341519494719292</v>
      </c>
      <c r="AF162" s="300">
        <f t="shared" si="92"/>
        <v>0.18838807877304234</v>
      </c>
      <c r="AG162" s="300">
        <f t="shared" si="92"/>
        <v>0.18050808117478362</v>
      </c>
      <c r="AH162" s="245"/>
      <c r="AI162" s="423"/>
      <c r="AJ162" s="424"/>
      <c r="AL162" s="221"/>
      <c r="AM162" s="124"/>
      <c r="AN162" s="124"/>
      <c r="AO162" s="124"/>
      <c r="BD162" s="124"/>
      <c r="BE162" s="124"/>
      <c r="BF162" s="124"/>
      <c r="BG162" s="124"/>
      <c r="BH162" s="124"/>
      <c r="BI162" s="124"/>
      <c r="BJ162" s="124"/>
      <c r="BK162" s="124"/>
    </row>
    <row r="163" spans="1:63" outlineLevel="1">
      <c r="A163" s="4" t="s">
        <v>474</v>
      </c>
      <c r="C163" s="230">
        <f t="shared" ref="C163:AG163" si="93">C158-$C158</f>
        <v>0</v>
      </c>
      <c r="D163" s="230">
        <f t="shared" si="93"/>
        <v>0</v>
      </c>
      <c r="E163" s="230">
        <f t="shared" si="93"/>
        <v>0</v>
      </c>
      <c r="F163" s="230">
        <f t="shared" si="93"/>
        <v>0</v>
      </c>
      <c r="G163" s="230">
        <f t="shared" si="93"/>
        <v>0</v>
      </c>
      <c r="H163" s="230">
        <f t="shared" si="93"/>
        <v>0</v>
      </c>
      <c r="I163" s="230">
        <f t="shared" si="93"/>
        <v>0</v>
      </c>
      <c r="J163" s="230">
        <f t="shared" si="93"/>
        <v>0</v>
      </c>
      <c r="K163" s="230">
        <f t="shared" si="93"/>
        <v>0</v>
      </c>
      <c r="L163" s="230">
        <f t="shared" si="93"/>
        <v>0</v>
      </c>
      <c r="M163" s="230">
        <f t="shared" si="93"/>
        <v>0</v>
      </c>
      <c r="N163" s="230">
        <f t="shared" si="93"/>
        <v>0</v>
      </c>
      <c r="O163" s="230">
        <f t="shared" si="93"/>
        <v>0</v>
      </c>
      <c r="P163" s="230">
        <f t="shared" si="93"/>
        <v>0</v>
      </c>
      <c r="Q163" s="230">
        <f t="shared" si="93"/>
        <v>0</v>
      </c>
      <c r="R163" s="230">
        <f t="shared" si="93"/>
        <v>0</v>
      </c>
      <c r="S163" s="230">
        <f t="shared" si="93"/>
        <v>0</v>
      </c>
      <c r="T163" s="230">
        <f t="shared" si="93"/>
        <v>0</v>
      </c>
      <c r="U163" s="230">
        <f t="shared" si="93"/>
        <v>0</v>
      </c>
      <c r="V163" s="230">
        <f t="shared" si="93"/>
        <v>0</v>
      </c>
      <c r="W163" s="230">
        <f t="shared" si="93"/>
        <v>0</v>
      </c>
      <c r="X163" s="230">
        <f t="shared" si="93"/>
        <v>0</v>
      </c>
      <c r="Y163" s="230">
        <f t="shared" si="93"/>
        <v>0</v>
      </c>
      <c r="Z163" s="230">
        <f t="shared" si="93"/>
        <v>0</v>
      </c>
      <c r="AA163" s="230">
        <f t="shared" si="93"/>
        <v>0</v>
      </c>
      <c r="AB163" s="230">
        <f t="shared" si="93"/>
        <v>0</v>
      </c>
      <c r="AC163" s="230">
        <f t="shared" si="93"/>
        <v>0</v>
      </c>
      <c r="AD163" s="230">
        <f t="shared" si="93"/>
        <v>0</v>
      </c>
      <c r="AE163" s="230">
        <f t="shared" si="93"/>
        <v>0</v>
      </c>
      <c r="AF163" s="230">
        <f t="shared" si="93"/>
        <v>0</v>
      </c>
      <c r="AG163" s="230">
        <f t="shared" si="93"/>
        <v>0</v>
      </c>
      <c r="AH163" s="245"/>
      <c r="AI163" s="133"/>
      <c r="AJ163" s="211"/>
      <c r="AL163" s="108"/>
      <c r="AM163" s="2"/>
      <c r="AN163" s="2"/>
      <c r="AO163" s="2"/>
      <c r="BC163" s="1"/>
      <c r="BD163" s="2"/>
      <c r="BE163" s="2"/>
      <c r="BF163" s="2"/>
      <c r="BG163" s="2"/>
      <c r="BH163" s="2"/>
      <c r="BI163" s="2"/>
      <c r="BJ163" s="2"/>
      <c r="BK163" s="2"/>
    </row>
    <row r="164" spans="1:63" outlineLevel="1">
      <c r="A164" s="4" t="s">
        <v>478</v>
      </c>
      <c r="C164" s="230">
        <f t="shared" ref="C164:AG164" si="94">C159-$C159</f>
        <v>0</v>
      </c>
      <c r="D164" s="230">
        <f t="shared" si="94"/>
        <v>3.0840898071351451E-3</v>
      </c>
      <c r="E164" s="230">
        <f t="shared" si="94"/>
        <v>5.9910190825094613E-3</v>
      </c>
      <c r="F164" s="230">
        <f t="shared" si="94"/>
        <v>8.6803576832804284E-3</v>
      </c>
      <c r="G164" s="230">
        <f t="shared" si="94"/>
        <v>1.1114847950331668E-2</v>
      </c>
      <c r="H164" s="230">
        <f t="shared" si="94"/>
        <v>1.3261215718048142E-2</v>
      </c>
      <c r="I164" s="230">
        <f t="shared" si="94"/>
        <v>1.5151999467222406E-2</v>
      </c>
      <c r="J164" s="230">
        <f t="shared" si="94"/>
        <v>1.6773998323034462E-2</v>
      </c>
      <c r="K164" s="230">
        <f t="shared" si="94"/>
        <v>1.8115770081827631E-2</v>
      </c>
      <c r="L164" s="230">
        <f t="shared" si="94"/>
        <v>1.916781579360647E-2</v>
      </c>
      <c r="M164" s="230">
        <f t="shared" si="94"/>
        <v>1.9922762575526068E-2</v>
      </c>
      <c r="N164" s="230">
        <f t="shared" si="94"/>
        <v>2.2805809948008016E-2</v>
      </c>
      <c r="O164" s="230">
        <f t="shared" si="94"/>
        <v>2.5032739670871926E-2</v>
      </c>
      <c r="P164" s="230">
        <f t="shared" si="94"/>
        <v>2.6670339038600818E-2</v>
      </c>
      <c r="Q164" s="230">
        <f t="shared" si="94"/>
        <v>2.7640575161916175E-2</v>
      </c>
      <c r="R164" s="230">
        <f t="shared" si="94"/>
        <v>2.794864747139171E-2</v>
      </c>
      <c r="S164" s="230">
        <f t="shared" si="94"/>
        <v>2.7684627871491764E-2</v>
      </c>
      <c r="T164" s="230">
        <f t="shared" si="94"/>
        <v>2.6871610040536072E-2</v>
      </c>
      <c r="U164" s="230">
        <f t="shared" si="94"/>
        <v>2.5537642594581335E-2</v>
      </c>
      <c r="V164" s="230">
        <f t="shared" si="94"/>
        <v>2.3715937615291789E-2</v>
      </c>
      <c r="W164" s="230">
        <f t="shared" si="94"/>
        <v>2.1445078943854015E-2</v>
      </c>
      <c r="X164" s="230">
        <f t="shared" si="94"/>
        <v>1.9990549619701779E-2</v>
      </c>
      <c r="Y164" s="230">
        <f t="shared" si="94"/>
        <v>1.7831362569890163E-2</v>
      </c>
      <c r="Z164" s="230">
        <f t="shared" si="94"/>
        <v>1.5129028562806571E-2</v>
      </c>
      <c r="AA164" s="230">
        <f t="shared" si="94"/>
        <v>1.1869157220235235E-2</v>
      </c>
      <c r="AB164" s="230">
        <f t="shared" si="94"/>
        <v>8.146631212656838E-3</v>
      </c>
      <c r="AC164" s="230">
        <f t="shared" si="94"/>
        <v>4.0683753017522369E-3</v>
      </c>
      <c r="AD164" s="230">
        <f t="shared" si="94"/>
        <v>-2.4659817465443046E-4</v>
      </c>
      <c r="AE164" s="230">
        <f t="shared" si="94"/>
        <v>-4.6664132146955525E-3</v>
      </c>
      <c r="AF164" s="230">
        <f t="shared" si="94"/>
        <v>-9.0458187202801521E-3</v>
      </c>
      <c r="AG164" s="230">
        <f t="shared" si="94"/>
        <v>-1.3225674576203765E-2</v>
      </c>
      <c r="AH164" s="245"/>
      <c r="AI164" s="133"/>
      <c r="AJ164" s="211"/>
      <c r="AL164" s="108"/>
      <c r="AM164" s="2"/>
      <c r="AN164" s="2"/>
      <c r="AO164" s="2"/>
      <c r="BC164" s="1"/>
      <c r="BD164" s="2"/>
      <c r="BE164" s="2"/>
      <c r="BF164" s="2"/>
      <c r="BG164" s="2"/>
      <c r="BH164" s="2"/>
      <c r="BI164" s="2"/>
      <c r="BJ164" s="2"/>
      <c r="BK164" s="2"/>
    </row>
    <row r="165" spans="1:63" outlineLevel="1">
      <c r="A165" s="4" t="s">
        <v>745</v>
      </c>
      <c r="C165" s="230">
        <f t="shared" ref="C165:AG165" si="95">C160-$C160</f>
        <v>0</v>
      </c>
      <c r="D165" s="230">
        <f t="shared" si="95"/>
        <v>4.8467504535192182E-4</v>
      </c>
      <c r="E165" s="230">
        <f t="shared" si="95"/>
        <v>1.1829097233569468E-3</v>
      </c>
      <c r="F165" s="230">
        <f t="shared" si="95"/>
        <v>2.0975976309495865E-3</v>
      </c>
      <c r="G165" s="230">
        <f t="shared" si="95"/>
        <v>3.2271378041977645E-3</v>
      </c>
      <c r="H165" s="230">
        <f t="shared" si="95"/>
        <v>4.5652223923436644E-3</v>
      </c>
      <c r="I165" s="230">
        <f t="shared" si="95"/>
        <v>6.1138921720547022E-3</v>
      </c>
      <c r="J165" s="230">
        <f t="shared" si="95"/>
        <v>7.8684229027014881E-3</v>
      </c>
      <c r="K165" s="230">
        <f t="shared" si="95"/>
        <v>9.8217140885865153E-3</v>
      </c>
      <c r="L165" s="230">
        <f t="shared" si="95"/>
        <v>1.1964152235276051E-2</v>
      </c>
      <c r="M165" s="230">
        <f t="shared" si="95"/>
        <v>1.4283480041928026E-2</v>
      </c>
      <c r="N165" s="230">
        <f t="shared" si="95"/>
        <v>1.7977206635067293E-2</v>
      </c>
      <c r="O165" s="230">
        <f t="shared" si="95"/>
        <v>2.1980454918889131E-2</v>
      </c>
      <c r="P165" s="230">
        <f t="shared" si="95"/>
        <v>2.6292077559547804E-2</v>
      </c>
      <c r="Q165" s="230">
        <f t="shared" si="95"/>
        <v>3.0815825637249938E-2</v>
      </c>
      <c r="R165" s="230">
        <f t="shared" si="95"/>
        <v>3.5483579784759585E-2</v>
      </c>
      <c r="S165" s="230">
        <f t="shared" si="95"/>
        <v>4.0292629240231574E-2</v>
      </c>
      <c r="T165" s="230">
        <f t="shared" si="95"/>
        <v>4.5187831714621984E-2</v>
      </c>
      <c r="U165" s="230">
        <f t="shared" si="95"/>
        <v>5.0108703282164421E-2</v>
      </c>
      <c r="V165" s="230">
        <f t="shared" si="95"/>
        <v>5.4989241726317147E-2</v>
      </c>
      <c r="W165" s="230">
        <f t="shared" si="95"/>
        <v>5.9757751314258721E-2</v>
      </c>
      <c r="X165" s="230">
        <f t="shared" si="95"/>
        <v>6.6792549170897261E-2</v>
      </c>
      <c r="Y165" s="230">
        <f t="shared" si="95"/>
        <v>7.3602689778083763E-2</v>
      </c>
      <c r="Z165" s="230">
        <f t="shared" si="95"/>
        <v>8.0288967161530417E-2</v>
      </c>
      <c r="AA165" s="230">
        <f t="shared" si="95"/>
        <v>8.6505804778497161E-2</v>
      </c>
      <c r="AB165" s="230">
        <f t="shared" si="95"/>
        <v>9.2092095258627743E-2</v>
      </c>
      <c r="AC165" s="230">
        <f t="shared" si="95"/>
        <v>9.6874848032436789E-2</v>
      </c>
      <c r="AD165" s="230">
        <f t="shared" si="95"/>
        <v>0.10066703302243847</v>
      </c>
      <c r="AE165" s="230">
        <f t="shared" si="95"/>
        <v>0.1032678877617111</v>
      </c>
      <c r="AF165" s="230">
        <f t="shared" si="95"/>
        <v>0.10446246592352998</v>
      </c>
      <c r="AG165" s="230">
        <f t="shared" si="95"/>
        <v>0.10402118588425512</v>
      </c>
      <c r="AH165" s="245"/>
      <c r="AI165" s="133"/>
      <c r="AJ165" s="211"/>
      <c r="AL165" s="108"/>
      <c r="AM165" s="2"/>
      <c r="AN165" s="2"/>
      <c r="AO165" s="2"/>
      <c r="BC165" s="1"/>
      <c r="BD165" s="2"/>
      <c r="BE165" s="2"/>
      <c r="BF165" s="2"/>
      <c r="BG165" s="2"/>
      <c r="BH165" s="2"/>
      <c r="BI165" s="2"/>
      <c r="BJ165" s="2"/>
      <c r="BK165" s="2"/>
    </row>
    <row r="166" spans="1:63" outlineLevel="1">
      <c r="A166" s="4" t="s">
        <v>1561</v>
      </c>
      <c r="C166" s="230">
        <f t="shared" ref="C166:AG166" si="96">C161-$C161</f>
        <v>0</v>
      </c>
      <c r="D166" s="230">
        <f t="shared" si="96"/>
        <v>2.5554775487170948E-3</v>
      </c>
      <c r="E166" s="230">
        <f t="shared" si="96"/>
        <v>5.1932102661242374E-3</v>
      </c>
      <c r="F166" s="230">
        <f t="shared" si="96"/>
        <v>7.8884719430065333E-3</v>
      </c>
      <c r="G166" s="230">
        <f t="shared" si="96"/>
        <v>1.0614427422361216E-2</v>
      </c>
      <c r="H166" s="230">
        <f t="shared" si="96"/>
        <v>1.3342482207219822E-2</v>
      </c>
      <c r="I166" s="230">
        <f t="shared" si="96"/>
        <v>1.6096682144419595E-2</v>
      </c>
      <c r="J166" s="230">
        <f t="shared" si="96"/>
        <v>1.8863574870085845E-2</v>
      </c>
      <c r="K166" s="230">
        <f t="shared" si="96"/>
        <v>2.1628648333923944E-2</v>
      </c>
      <c r="L166" s="230">
        <f t="shared" si="96"/>
        <v>2.437632647308189E-2</v>
      </c>
      <c r="M166" s="230">
        <f t="shared" si="96"/>
        <v>2.7089969316292331E-2</v>
      </c>
      <c r="N166" s="230">
        <f t="shared" si="96"/>
        <v>3.2553710920285812E-2</v>
      </c>
      <c r="O166" s="230">
        <f t="shared" si="96"/>
        <v>3.7865314911890678E-2</v>
      </c>
      <c r="P166" s="230">
        <f t="shared" si="96"/>
        <v>4.3069073767595195E-2</v>
      </c>
      <c r="Q166" s="230">
        <f t="shared" si="96"/>
        <v>4.8020640514205959E-2</v>
      </c>
      <c r="R166" s="230">
        <f t="shared" si="96"/>
        <v>5.2658913859070851E-2</v>
      </c>
      <c r="S166" s="230">
        <f t="shared" si="96"/>
        <v>5.7042524432860751E-2</v>
      </c>
      <c r="T166" s="230">
        <f t="shared" si="96"/>
        <v>6.1134842998799198E-2</v>
      </c>
      <c r="U166" s="230">
        <f t="shared" si="96"/>
        <v>6.489753878927268E-2</v>
      </c>
      <c r="V166" s="230">
        <f t="shared" si="96"/>
        <v>6.8290553581780392E-2</v>
      </c>
      <c r="W166" s="230">
        <f t="shared" si="96"/>
        <v>7.1272076971374818E-2</v>
      </c>
      <c r="X166" s="230">
        <f t="shared" si="96"/>
        <v>7.6958625945248146E-2</v>
      </c>
      <c r="Y166" s="230">
        <f t="shared" si="96"/>
        <v>8.1953205710179555E-2</v>
      </c>
      <c r="Z166" s="230">
        <f t="shared" si="96"/>
        <v>8.6461197956857111E-2</v>
      </c>
      <c r="AA166" s="230">
        <f t="shared" si="96"/>
        <v>9.0144928477996919E-2</v>
      </c>
      <c r="AB166" s="230">
        <f t="shared" si="96"/>
        <v>9.2916004048738274E-2</v>
      </c>
      <c r="AC166" s="230">
        <f t="shared" si="96"/>
        <v>9.468293866079984E-2</v>
      </c>
      <c r="AD166" s="230">
        <f t="shared" si="96"/>
        <v>9.5349138441280137E-2</v>
      </c>
      <c r="AE166" s="230">
        <f t="shared" si="96"/>
        <v>9.4813720400177381E-2</v>
      </c>
      <c r="AF166" s="230">
        <f t="shared" si="96"/>
        <v>9.2971431569792526E-2</v>
      </c>
      <c r="AG166" s="230">
        <f t="shared" si="96"/>
        <v>8.9712569866732261E-2</v>
      </c>
      <c r="AH166" s="245"/>
      <c r="AI166" s="133"/>
      <c r="AJ166" s="211"/>
      <c r="AL166" s="108"/>
      <c r="AM166" s="2"/>
      <c r="AN166" s="2"/>
      <c r="AO166" s="2"/>
      <c r="BC166" s="1"/>
      <c r="BD166" s="2"/>
      <c r="BE166" s="2"/>
      <c r="BF166" s="2"/>
      <c r="BG166" s="2"/>
      <c r="BH166" s="2"/>
      <c r="BI166" s="2"/>
      <c r="BJ166" s="2"/>
      <c r="BK166" s="2"/>
    </row>
    <row r="167" spans="1:63" s="1" customFormat="1" outlineLevel="1">
      <c r="A167" s="1" t="s">
        <v>1578</v>
      </c>
      <c r="B167" s="65"/>
      <c r="C167" s="300">
        <f>C43*C144</f>
        <v>5.1259271286470216E-3</v>
      </c>
      <c r="D167" s="300">
        <f t="shared" ref="D167:AG167" si="97">D43*D144</f>
        <v>6.5392138366172107E-3</v>
      </c>
      <c r="E167" s="300">
        <f t="shared" si="97"/>
        <v>7.9798822991064017E-3</v>
      </c>
      <c r="F167" s="300">
        <f t="shared" si="97"/>
        <v>9.433564188009301E-3</v>
      </c>
      <c r="G167" s="300">
        <f t="shared" si="97"/>
        <v>1.088509940023717E-2</v>
      </c>
      <c r="H167" s="300">
        <f t="shared" si="97"/>
        <v>1.2318754894249703E-2</v>
      </c>
      <c r="I167" s="300">
        <f t="shared" si="97"/>
        <v>1.3748059540269336E-2</v>
      </c>
      <c r="J167" s="300">
        <f t="shared" si="97"/>
        <v>1.5165772381528973E-2</v>
      </c>
      <c r="K167" s="300">
        <f t="shared" si="97"/>
        <v>1.656426539887889E-2</v>
      </c>
      <c r="L167" s="300">
        <f t="shared" si="97"/>
        <v>1.7935533552177269E-2</v>
      </c>
      <c r="M167" s="300">
        <f t="shared" si="97"/>
        <v>1.9271206805665426E-2</v>
      </c>
      <c r="N167" s="300">
        <f t="shared" si="97"/>
        <v>2.2049787321730355E-2</v>
      </c>
      <c r="O167" s="300">
        <f t="shared" si="97"/>
        <v>2.4713275475182036E-2</v>
      </c>
      <c r="P167" s="300">
        <f t="shared" si="97"/>
        <v>2.7287040289972517E-2</v>
      </c>
      <c r="Q167" s="300">
        <f t="shared" si="97"/>
        <v>2.9697552047117496E-2</v>
      </c>
      <c r="R167" s="300">
        <f t="shared" si="97"/>
        <v>3.1916190462929046E-2</v>
      </c>
      <c r="S167" s="300">
        <f t="shared" si="97"/>
        <v>3.397664594662797E-2</v>
      </c>
      <c r="T167" s="300">
        <f t="shared" si="97"/>
        <v>3.5863069764175616E-2</v>
      </c>
      <c r="U167" s="300">
        <f t="shared" si="97"/>
        <v>3.7559131282343589E-2</v>
      </c>
      <c r="V167" s="300">
        <f t="shared" si="97"/>
        <v>3.9048019341736864E-2</v>
      </c>
      <c r="W167" s="300">
        <f t="shared" si="97"/>
        <v>4.0312444181605685E-2</v>
      </c>
      <c r="X167" s="300">
        <f t="shared" si="97"/>
        <v>4.2912478990765598E-2</v>
      </c>
      <c r="Y167" s="300">
        <f t="shared" si="97"/>
        <v>4.5138371295913214E-2</v>
      </c>
      <c r="Z167" s="300">
        <f t="shared" si="97"/>
        <v>4.7098048747384123E-2</v>
      </c>
      <c r="AA167" s="300">
        <f t="shared" si="97"/>
        <v>4.8630517238661471E-2</v>
      </c>
      <c r="AB167" s="300">
        <f t="shared" si="97"/>
        <v>4.9700095710190753E-2</v>
      </c>
      <c r="AC167" s="300">
        <f t="shared" si="97"/>
        <v>5.0270426050567515E-2</v>
      </c>
      <c r="AD167" s="300">
        <f t="shared" si="97"/>
        <v>5.0303520964584902E-2</v>
      </c>
      <c r="AE167" s="300">
        <f t="shared" si="97"/>
        <v>4.976020288569153E-2</v>
      </c>
      <c r="AF167" s="300">
        <f t="shared" si="97"/>
        <v>4.8600099153195256E-2</v>
      </c>
      <c r="AG167" s="300">
        <f t="shared" si="97"/>
        <v>4.678163816898169E-2</v>
      </c>
      <c r="AH167" s="245"/>
      <c r="AI167" s="423"/>
      <c r="AJ167" s="424"/>
      <c r="AL167" s="221"/>
      <c r="AM167" s="124"/>
      <c r="AN167" s="124"/>
      <c r="AO167" s="124"/>
      <c r="BD167" s="124"/>
      <c r="BE167" s="124"/>
      <c r="BF167" s="124"/>
      <c r="BG167" s="124"/>
      <c r="BH167" s="124"/>
      <c r="BI167" s="124"/>
      <c r="BJ167" s="124"/>
      <c r="BK167" s="124"/>
    </row>
    <row r="168" spans="1:63" outlineLevel="1">
      <c r="A168" s="4" t="s">
        <v>474</v>
      </c>
      <c r="C168" s="230">
        <f>C$167*'BTX recycling rates'!E66</f>
        <v>0</v>
      </c>
      <c r="D168" s="230">
        <f>D$167*'BTX recycling rates'!F66</f>
        <v>0</v>
      </c>
      <c r="E168" s="230">
        <f>E$167*'BTX recycling rates'!G66</f>
        <v>0</v>
      </c>
      <c r="F168" s="230">
        <f>F$167*'BTX recycling rates'!H66</f>
        <v>0</v>
      </c>
      <c r="G168" s="230">
        <f>G$167*'BTX recycling rates'!I66</f>
        <v>0</v>
      </c>
      <c r="H168" s="230">
        <f>H$167*'BTX recycling rates'!J66</f>
        <v>0</v>
      </c>
      <c r="I168" s="230">
        <f>I$167*'BTX recycling rates'!K66</f>
        <v>0</v>
      </c>
      <c r="J168" s="230">
        <f>J$167*'BTX recycling rates'!L66</f>
        <v>0</v>
      </c>
      <c r="K168" s="230">
        <f>K$167*'BTX recycling rates'!M66</f>
        <v>0</v>
      </c>
      <c r="L168" s="230">
        <f>L$167*'BTX recycling rates'!N66</f>
        <v>0</v>
      </c>
      <c r="M168" s="230">
        <f>M$167*'BTX recycling rates'!O66</f>
        <v>0</v>
      </c>
      <c r="N168" s="230">
        <f>N$167*'BTX recycling rates'!P66</f>
        <v>0</v>
      </c>
      <c r="O168" s="230">
        <f>O$167*'BTX recycling rates'!Q66</f>
        <v>0</v>
      </c>
      <c r="P168" s="230">
        <f>P$167*'BTX recycling rates'!R66</f>
        <v>0</v>
      </c>
      <c r="Q168" s="230">
        <f>Q$167*'BTX recycling rates'!S66</f>
        <v>0</v>
      </c>
      <c r="R168" s="230">
        <f>R$167*'BTX recycling rates'!T66</f>
        <v>0</v>
      </c>
      <c r="S168" s="230">
        <f>S$167*'BTX recycling rates'!U66</f>
        <v>0</v>
      </c>
      <c r="T168" s="230">
        <f>T$167*'BTX recycling rates'!V66</f>
        <v>0</v>
      </c>
      <c r="U168" s="230">
        <f>U$167*'BTX recycling rates'!W66</f>
        <v>0</v>
      </c>
      <c r="V168" s="230">
        <f>V$167*'BTX recycling rates'!X66</f>
        <v>0</v>
      </c>
      <c r="W168" s="230">
        <f>W$167*'BTX recycling rates'!Y66</f>
        <v>0</v>
      </c>
      <c r="X168" s="230">
        <f>X$167*'BTX recycling rates'!Z66</f>
        <v>0</v>
      </c>
      <c r="Y168" s="230">
        <f>Y$167*'BTX recycling rates'!AA66</f>
        <v>0</v>
      </c>
      <c r="Z168" s="230">
        <f>Z$167*'BTX recycling rates'!AB66</f>
        <v>0</v>
      </c>
      <c r="AA168" s="230">
        <f>AA$167*'BTX recycling rates'!AC66</f>
        <v>0</v>
      </c>
      <c r="AB168" s="230">
        <f>AB$167*'BTX recycling rates'!AD66</f>
        <v>0</v>
      </c>
      <c r="AC168" s="230">
        <f>AC$167*'BTX recycling rates'!AE66</f>
        <v>0</v>
      </c>
      <c r="AD168" s="230">
        <f>AD$167*'BTX recycling rates'!AF66</f>
        <v>0</v>
      </c>
      <c r="AE168" s="230">
        <f>AE$167*'BTX recycling rates'!AG66</f>
        <v>0</v>
      </c>
      <c r="AF168" s="230">
        <f>AF$167*'BTX recycling rates'!AH66</f>
        <v>0</v>
      </c>
      <c r="AG168" s="230">
        <f>AG$167*'BTX recycling rates'!AI66</f>
        <v>0</v>
      </c>
      <c r="AH168" s="245"/>
      <c r="AI168" s="133"/>
      <c r="AJ168" s="211"/>
      <c r="AL168" s="108"/>
      <c r="AM168" s="2"/>
      <c r="AN168" s="2"/>
      <c r="AO168" s="2"/>
      <c r="BC168" s="1"/>
      <c r="BD168" s="2"/>
      <c r="BE168" s="2"/>
      <c r="BF168" s="2"/>
      <c r="BG168" s="2"/>
      <c r="BH168" s="2"/>
      <c r="BI168" s="2"/>
      <c r="BJ168" s="2"/>
      <c r="BK168" s="2"/>
    </row>
    <row r="169" spans="1:63" outlineLevel="1">
      <c r="A169" s="4" t="s">
        <v>478</v>
      </c>
      <c r="C169" s="230">
        <f>C$167*'BTX recycling rates'!E67</f>
        <v>3.0520787483547152E-3</v>
      </c>
      <c r="D169" s="230">
        <f>D$167*'BTX recycling rates'!F67</f>
        <v>3.7637917807705167E-3</v>
      </c>
      <c r="E169" s="230">
        <f>E$167*'BTX recycling rates'!G67</f>
        <v>4.4346216135492059E-3</v>
      </c>
      <c r="F169" s="230">
        <f>F$167*'BTX recycling rates'!H67</f>
        <v>5.0552382137271212E-3</v>
      </c>
      <c r="G169" s="230">
        <f>G$167*'BTX recycling rates'!I67</f>
        <v>5.6170436599697147E-3</v>
      </c>
      <c r="H169" s="230">
        <f>H$167*'BTX recycling rates'!J67</f>
        <v>6.112359298673516E-3</v>
      </c>
      <c r="I169" s="230">
        <f>I$167*'BTX recycling rates'!K67</f>
        <v>6.5486940100214237E-3</v>
      </c>
      <c r="J169" s="230">
        <f>J$167*'BTX recycling rates'!L67</f>
        <v>6.9230014382857434E-3</v>
      </c>
      <c r="K169" s="230">
        <f>K$167*'BTX recycling rates'!M67</f>
        <v>7.232641074930323E-3</v>
      </c>
      <c r="L169" s="230">
        <f>L$167*'BTX recycling rates'!N67</f>
        <v>7.4754208545715932E-3</v>
      </c>
      <c r="M169" s="230">
        <f>M$167*'BTX recycling rates'!O67</f>
        <v>7.6496393427068843E-3</v>
      </c>
      <c r="N169" s="230">
        <f>N$167*'BTX recycling rates'!P67</f>
        <v>8.3149579671257957E-3</v>
      </c>
      <c r="O169" s="230">
        <f>O$167*'BTX recycling rates'!Q67</f>
        <v>8.8288648262482353E-3</v>
      </c>
      <c r="P169" s="230">
        <f>P$167*'BTX recycling rates'!R67</f>
        <v>9.2067723726472119E-3</v>
      </c>
      <c r="Q169" s="230">
        <f>Q$167*'BTX recycling rates'!S67</f>
        <v>9.430673016489215E-3</v>
      </c>
      <c r="R169" s="230">
        <f>R$167*'BTX recycling rates'!T67</f>
        <v>9.5017666263681848E-3</v>
      </c>
      <c r="S169" s="230">
        <f>S$167*'BTX recycling rates'!U67</f>
        <v>9.4408390263912775E-3</v>
      </c>
      <c r="T169" s="230">
        <f>T$167*'BTX recycling rates'!V67</f>
        <v>9.2532195269399604E-3</v>
      </c>
      <c r="U169" s="230">
        <f>U$167*'BTX recycling rates'!W67</f>
        <v>8.9453808855657936E-3</v>
      </c>
      <c r="V169" s="230">
        <f>V$167*'BTX recycling rates'!X67</f>
        <v>8.524987428806665E-3</v>
      </c>
      <c r="W169" s="230">
        <f>W$167*'BTX recycling rates'!Y67</f>
        <v>8.0009431200133325E-3</v>
      </c>
      <c r="X169" s="230">
        <f>X$167*'BTX recycling rates'!Z67</f>
        <v>7.6652825067474329E-3</v>
      </c>
      <c r="Y169" s="230">
        <f>Y$167*'BTX recycling rates'!AA67</f>
        <v>7.1670085721755221E-3</v>
      </c>
      <c r="Z169" s="230">
        <f>Z$167*'BTX recycling rates'!AB67</f>
        <v>6.5433930320793086E-3</v>
      </c>
      <c r="AA169" s="230">
        <f>AA$167*'BTX recycling rates'!AC67</f>
        <v>5.7911150299474606E-3</v>
      </c>
      <c r="AB169" s="230">
        <f>AB$167*'BTX recycling rates'!AD67</f>
        <v>4.9320705666601383E-3</v>
      </c>
      <c r="AC169" s="230">
        <f>AC$167*'BTX recycling rates'!AE67</f>
        <v>3.9909345872206148E-3</v>
      </c>
      <c r="AD169" s="230">
        <f>AD$167*'BTX recycling rates'!AF67</f>
        <v>2.9951714772806157E-3</v>
      </c>
      <c r="AE169" s="230">
        <f>AE$167*'BTX recycling rates'!AG67</f>
        <v>1.9752141603480485E-3</v>
      </c>
      <c r="AF169" s="230">
        <f>AF$167*'BTX recycling rates'!AH67</f>
        <v>9.6458212059775668E-4</v>
      </c>
      <c r="AG169" s="230">
        <f>AG$167*'BTX recycling rates'!AI67</f>
        <v>0</v>
      </c>
      <c r="AH169" s="245"/>
      <c r="AI169" s="133"/>
      <c r="AJ169" s="211"/>
      <c r="AL169" s="108"/>
      <c r="AM169" s="2"/>
      <c r="AN169" s="2"/>
      <c r="AO169" s="2"/>
      <c r="BC169" s="1"/>
      <c r="BD169" s="2"/>
      <c r="BE169" s="2"/>
      <c r="BF169" s="2"/>
      <c r="BG169" s="2"/>
      <c r="BH169" s="2"/>
      <c r="BI169" s="2"/>
      <c r="BJ169" s="2"/>
      <c r="BK169" s="2"/>
    </row>
    <row r="170" spans="1:63" outlineLevel="1">
      <c r="A170" s="4" t="s">
        <v>745</v>
      </c>
      <c r="C170" s="230">
        <f>C$167*'BTX recycling rates'!E68</f>
        <v>0</v>
      </c>
      <c r="D170" s="230">
        <f>D$167*'BTX recycling rates'!F68</f>
        <v>1.1184808738890501E-4</v>
      </c>
      <c r="E170" s="230">
        <f>E$167*'BTX recycling rates'!G68</f>
        <v>2.7297916692852625E-4</v>
      </c>
      <c r="F170" s="230">
        <f>F$167*'BTX recycling rates'!H68</f>
        <v>4.8406099175759686E-4</v>
      </c>
      <c r="G170" s="230">
        <f>G$167*'BTX recycling rates'!I68</f>
        <v>7.4472410866102256E-4</v>
      </c>
      <c r="H170" s="230">
        <f>H$167*'BTX recycling rates'!J68</f>
        <v>1.0535128597716147E-3</v>
      </c>
      <c r="I170" s="230">
        <f>I$167*'BTX recycling rates'!K68</f>
        <v>1.4108981935510849E-3</v>
      </c>
      <c r="J170" s="230">
        <f>J$167*'BTX recycling rates'!L68</f>
        <v>1.8157899006234204E-3</v>
      </c>
      <c r="K170" s="230">
        <f>K$167*'BTX recycling rates'!M68</f>
        <v>2.266549405058427E-3</v>
      </c>
      <c r="L170" s="230">
        <f>L$167*'BTX recycling rates'!N68</f>
        <v>2.7609582081406267E-3</v>
      </c>
      <c r="M170" s="230">
        <f>M$167*'BTX recycling rates'!O68</f>
        <v>3.2961877019833902E-3</v>
      </c>
      <c r="N170" s="230">
        <f>N$167*'BTX recycling rates'!P68</f>
        <v>4.1485861465539904E-3</v>
      </c>
      <c r="O170" s="230">
        <f>O$167*'BTX recycling rates'!Q68</f>
        <v>5.0724126735897995E-3</v>
      </c>
      <c r="P170" s="230">
        <f>P$167*'BTX recycling rates'!R68</f>
        <v>6.0674025137418004E-3</v>
      </c>
      <c r="Q170" s="230">
        <f>Q$167*'BTX recycling rates'!S68</f>
        <v>7.1113443778269081E-3</v>
      </c>
      <c r="R170" s="230">
        <f>R$167*'BTX recycling rates'!T68</f>
        <v>8.1885184118675944E-3</v>
      </c>
      <c r="S170" s="230">
        <f>S$167*'BTX recycling rates'!U68</f>
        <v>9.2982990554380564E-3</v>
      </c>
      <c r="T170" s="230">
        <f>T$167*'BTX recycling rates'!V68</f>
        <v>1.0427961164912765E-2</v>
      </c>
      <c r="U170" s="230">
        <f>U$167*'BTX recycling rates'!W68</f>
        <v>1.1563546911268714E-2</v>
      </c>
      <c r="V170" s="230">
        <f>V$167*'BTX recycling rates'!X68</f>
        <v>1.2689825013765496E-2</v>
      </c>
      <c r="W170" s="230">
        <f>W$167*'BTX recycling rates'!Y68</f>
        <v>1.3790250303290473E-2</v>
      </c>
      <c r="X170" s="230">
        <f>X$167*'BTX recycling rates'!Z68</f>
        <v>1.5413665193283983E-2</v>
      </c>
      <c r="Y170" s="230">
        <f>Y$167*'BTX recycling rates'!AA68</f>
        <v>1.6985236102634717E-2</v>
      </c>
      <c r="Z170" s="230">
        <f>Z$167*'BTX recycling rates'!AB68</f>
        <v>1.8528223191122406E-2</v>
      </c>
      <c r="AA170" s="230">
        <f>AA$167*'BTX recycling rates'!AC68</f>
        <v>1.9962878025807033E-2</v>
      </c>
      <c r="AB170" s="230">
        <f>AB$167*'BTX recycling rates'!AD68</f>
        <v>2.1252021982760248E-2</v>
      </c>
      <c r="AC170" s="230">
        <f>AC$167*'BTX recycling rates'!AE68</f>
        <v>2.2355734161331561E-2</v>
      </c>
      <c r="AD170" s="230">
        <f>AD$167*'BTX recycling rates'!AF68</f>
        <v>2.3230853774408877E-2</v>
      </c>
      <c r="AE170" s="230">
        <f>AE$167*'BTX recycling rates'!AG68</f>
        <v>2.3831051021933326E-2</v>
      </c>
      <c r="AF170" s="230">
        <f>AF$167*'BTX recycling rates'!AH68</f>
        <v>2.4106722905429995E-2</v>
      </c>
      <c r="AG170" s="230">
        <f>AG$167*'BTX recycling rates'!AI68</f>
        <v>2.400488905021271E-2</v>
      </c>
      <c r="AH170" s="245"/>
      <c r="AI170" s="133"/>
      <c r="AJ170" s="211"/>
      <c r="AL170" s="108"/>
      <c r="AM170" s="2"/>
      <c r="AN170" s="2"/>
      <c r="AO170" s="2"/>
      <c r="BC170" s="1"/>
      <c r="BD170" s="2"/>
      <c r="BE170" s="2"/>
      <c r="BF170" s="2"/>
      <c r="BG170" s="2"/>
      <c r="BH170" s="2"/>
      <c r="BI170" s="2"/>
      <c r="BJ170" s="2"/>
      <c r="BK170" s="2"/>
    </row>
    <row r="171" spans="1:63" outlineLevel="1">
      <c r="A171" s="4" t="s">
        <v>1561</v>
      </c>
      <c r="C171" s="230">
        <f>C$167*'BTX recycling rates'!E69</f>
        <v>2.073848380292306E-3</v>
      </c>
      <c r="D171" s="230">
        <f>D$167*'BTX recycling rates'!F69</f>
        <v>2.6635739684577886E-3</v>
      </c>
      <c r="E171" s="230">
        <f>E$167*'BTX recycling rates'!G69</f>
        <v>3.2722815186286688E-3</v>
      </c>
      <c r="F171" s="230">
        <f>F$167*'BTX recycling rates'!H69</f>
        <v>3.8942649825245827E-3</v>
      </c>
      <c r="G171" s="230">
        <f>G$167*'BTX recycling rates'!I69</f>
        <v>4.5233316316064323E-3</v>
      </c>
      <c r="H171" s="230">
        <f>H$167*'BTX recycling rates'!J69</f>
        <v>5.1528827358045719E-3</v>
      </c>
      <c r="I171" s="230">
        <f>I$167*'BTX recycling rates'!K69</f>
        <v>5.7884673366968278E-3</v>
      </c>
      <c r="J171" s="230">
        <f>J$167*'BTX recycling rates'!L69</f>
        <v>6.4269810426198079E-3</v>
      </c>
      <c r="K171" s="230">
        <f>K$167*'BTX recycling rates'!M69</f>
        <v>7.0650749188901395E-3</v>
      </c>
      <c r="L171" s="230">
        <f>L$167*'BTX recycling rates'!N69</f>
        <v>7.6991544894650489E-3</v>
      </c>
      <c r="M171" s="230">
        <f>M$167*'BTX recycling rates'!O69</f>
        <v>8.32537976097515E-3</v>
      </c>
      <c r="N171" s="230">
        <f>N$167*'BTX recycling rates'!P69</f>
        <v>9.5862432080505693E-3</v>
      </c>
      <c r="O171" s="230">
        <f>O$167*'BTX recycling rates'!Q69</f>
        <v>1.0811997975344E-2</v>
      </c>
      <c r="P171" s="230">
        <f>P$167*'BTX recycling rates'!R69</f>
        <v>1.2012865403583504E-2</v>
      </c>
      <c r="Q171" s="230">
        <f>Q$167*'BTX recycling rates'!S69</f>
        <v>1.3155534652801372E-2</v>
      </c>
      <c r="R171" s="230">
        <f>R$167*'BTX recycling rates'!T69</f>
        <v>1.4225905424693267E-2</v>
      </c>
      <c r="S171" s="230">
        <f>S$167*'BTX recycling rates'!U69</f>
        <v>1.5237507864798636E-2</v>
      </c>
      <c r="T171" s="230">
        <f>T$167*'BTX recycling rates'!V69</f>
        <v>1.6181889072322889E-2</v>
      </c>
      <c r="U171" s="230">
        <f>U$167*'BTX recycling rates'!W69</f>
        <v>1.7050203485509081E-2</v>
      </c>
      <c r="V171" s="230">
        <f>V$167*'BTX recycling rates'!X69</f>
        <v>1.7833206899164705E-2</v>
      </c>
      <c r="W171" s="230">
        <f>W$167*'BTX recycling rates'!Y69</f>
        <v>1.8521250758301879E-2</v>
      </c>
      <c r="X171" s="230">
        <f>X$167*'BTX recycling rates'!Z69</f>
        <v>1.9833531290734185E-2</v>
      </c>
      <c r="Y171" s="230">
        <f>Y$167*'BTX recycling rates'!AA69</f>
        <v>2.0986126621102975E-2</v>
      </c>
      <c r="Z171" s="230">
        <f>Z$167*'BTX recycling rates'!AB69</f>
        <v>2.2026432524182411E-2</v>
      </c>
      <c r="AA171" s="230">
        <f>AA$167*'BTX recycling rates'!AC69</f>
        <v>2.2876524182906977E-2</v>
      </c>
      <c r="AB171" s="230">
        <f>AB$167*'BTX recycling rates'!AD69</f>
        <v>2.351600316077037E-2</v>
      </c>
      <c r="AC171" s="230">
        <f>AC$167*'BTX recycling rates'!AE69</f>
        <v>2.392375730201534E-2</v>
      </c>
      <c r="AD171" s="230">
        <f>AD$167*'BTX recycling rates'!AF69</f>
        <v>2.4077495712895414E-2</v>
      </c>
      <c r="AE171" s="230">
        <f>AE$167*'BTX recycling rates'!AG69</f>
        <v>2.3953937703410158E-2</v>
      </c>
      <c r="AF171" s="230">
        <f>AF$167*'BTX recycling rates'!AH69</f>
        <v>2.3528794127167508E-2</v>
      </c>
      <c r="AG171" s="230">
        <f>AG$167*'BTX recycling rates'!AI69</f>
        <v>2.2776749118768976E-2</v>
      </c>
      <c r="AH171" s="245"/>
      <c r="AI171" s="133"/>
      <c r="AJ171" s="211"/>
      <c r="AL171" s="108"/>
      <c r="AM171" s="2"/>
      <c r="AN171" s="2"/>
      <c r="AO171" s="2"/>
      <c r="BC171" s="1"/>
      <c r="BD171" s="2"/>
      <c r="BE171" s="2"/>
      <c r="BF171" s="2"/>
      <c r="BG171" s="2"/>
      <c r="BH171" s="2"/>
      <c r="BI171" s="2"/>
      <c r="BJ171" s="2"/>
      <c r="BK171" s="2"/>
    </row>
    <row r="172" spans="1:63" s="1" customFormat="1" outlineLevel="1">
      <c r="A172" s="1" t="s">
        <v>1579</v>
      </c>
      <c r="B172" s="65"/>
      <c r="C172" s="300">
        <f t="shared" ref="C172:AG172" si="98">C167-$C167</f>
        <v>0</v>
      </c>
      <c r="D172" s="300">
        <f t="shared" si="98"/>
        <v>1.4132867079701891E-3</v>
      </c>
      <c r="E172" s="300">
        <f t="shared" si="98"/>
        <v>2.8539551704593802E-3</v>
      </c>
      <c r="F172" s="300">
        <f t="shared" si="98"/>
        <v>4.3076370593622794E-3</v>
      </c>
      <c r="G172" s="300">
        <f t="shared" si="98"/>
        <v>5.7591722715901487E-3</v>
      </c>
      <c r="H172" s="300">
        <f t="shared" si="98"/>
        <v>7.1928277656026817E-3</v>
      </c>
      <c r="I172" s="300">
        <f t="shared" si="98"/>
        <v>8.6221324116223137E-3</v>
      </c>
      <c r="J172" s="300">
        <f t="shared" si="98"/>
        <v>1.003984525288195E-2</v>
      </c>
      <c r="K172" s="300">
        <f t="shared" si="98"/>
        <v>1.1438338270231867E-2</v>
      </c>
      <c r="L172" s="300">
        <f t="shared" si="98"/>
        <v>1.2809606423530247E-2</v>
      </c>
      <c r="M172" s="300">
        <f t="shared" si="98"/>
        <v>1.4145279677018403E-2</v>
      </c>
      <c r="N172" s="300">
        <f t="shared" si="98"/>
        <v>1.6923860193083333E-2</v>
      </c>
      <c r="O172" s="300">
        <f t="shared" si="98"/>
        <v>1.9587348346535013E-2</v>
      </c>
      <c r="P172" s="300">
        <f t="shared" si="98"/>
        <v>2.2161113161325494E-2</v>
      </c>
      <c r="Q172" s="300">
        <f t="shared" si="98"/>
        <v>2.4571624918470474E-2</v>
      </c>
      <c r="R172" s="300">
        <f t="shared" si="98"/>
        <v>2.6790263334282024E-2</v>
      </c>
      <c r="S172" s="300">
        <f t="shared" si="98"/>
        <v>2.8850718817980948E-2</v>
      </c>
      <c r="T172" s="300">
        <f t="shared" si="98"/>
        <v>3.0737142635528594E-2</v>
      </c>
      <c r="U172" s="300">
        <f t="shared" si="98"/>
        <v>3.243320415369657E-2</v>
      </c>
      <c r="V172" s="300">
        <f t="shared" si="98"/>
        <v>3.3922092213089845E-2</v>
      </c>
      <c r="W172" s="300">
        <f t="shared" si="98"/>
        <v>3.5186517052958666E-2</v>
      </c>
      <c r="X172" s="300">
        <f t="shared" si="98"/>
        <v>3.7786551862118579E-2</v>
      </c>
      <c r="Y172" s="300">
        <f t="shared" si="98"/>
        <v>4.0012444167266195E-2</v>
      </c>
      <c r="Z172" s="300">
        <f t="shared" si="98"/>
        <v>4.1972121618737104E-2</v>
      </c>
      <c r="AA172" s="300">
        <f t="shared" si="98"/>
        <v>4.3504590110014452E-2</v>
      </c>
      <c r="AB172" s="300">
        <f t="shared" si="98"/>
        <v>4.4574168581543734E-2</v>
      </c>
      <c r="AC172" s="300">
        <f t="shared" si="98"/>
        <v>4.5144498921920496E-2</v>
      </c>
      <c r="AD172" s="300">
        <f t="shared" si="98"/>
        <v>4.5177593835937883E-2</v>
      </c>
      <c r="AE172" s="300">
        <f t="shared" si="98"/>
        <v>4.4634275757044511E-2</v>
      </c>
      <c r="AF172" s="300">
        <f t="shared" si="98"/>
        <v>4.3474172024548237E-2</v>
      </c>
      <c r="AG172" s="300">
        <f t="shared" si="98"/>
        <v>4.1655711040334671E-2</v>
      </c>
      <c r="AH172" s="245"/>
      <c r="AI172" s="423"/>
      <c r="AJ172" s="424"/>
      <c r="AL172" s="221"/>
      <c r="AM172" s="124"/>
      <c r="AN172" s="124"/>
      <c r="AO172" s="124"/>
      <c r="BD172" s="124"/>
      <c r="BE172" s="124"/>
      <c r="BF172" s="124"/>
      <c r="BG172" s="124"/>
      <c r="BH172" s="124"/>
      <c r="BI172" s="124"/>
      <c r="BJ172" s="124"/>
      <c r="BK172" s="124"/>
    </row>
    <row r="173" spans="1:63" outlineLevel="1">
      <c r="A173" s="4" t="s">
        <v>474</v>
      </c>
      <c r="C173" s="230">
        <f t="shared" ref="C173:R176" si="99">C168-$C168</f>
        <v>0</v>
      </c>
      <c r="D173" s="230">
        <f t="shared" ref="D173:AG173" si="100">D168-$C168</f>
        <v>0</v>
      </c>
      <c r="E173" s="230">
        <f t="shared" si="100"/>
        <v>0</v>
      </c>
      <c r="F173" s="230">
        <f t="shared" si="100"/>
        <v>0</v>
      </c>
      <c r="G173" s="230">
        <f t="shared" si="100"/>
        <v>0</v>
      </c>
      <c r="H173" s="230">
        <f t="shared" si="100"/>
        <v>0</v>
      </c>
      <c r="I173" s="230">
        <f t="shared" si="100"/>
        <v>0</v>
      </c>
      <c r="J173" s="230">
        <f t="shared" si="100"/>
        <v>0</v>
      </c>
      <c r="K173" s="230">
        <f t="shared" si="100"/>
        <v>0</v>
      </c>
      <c r="L173" s="230">
        <f t="shared" si="100"/>
        <v>0</v>
      </c>
      <c r="M173" s="230">
        <f t="shared" si="100"/>
        <v>0</v>
      </c>
      <c r="N173" s="230">
        <f t="shared" si="100"/>
        <v>0</v>
      </c>
      <c r="O173" s="230">
        <f t="shared" si="100"/>
        <v>0</v>
      </c>
      <c r="P173" s="230">
        <f t="shared" si="100"/>
        <v>0</v>
      </c>
      <c r="Q173" s="230">
        <f t="shared" si="100"/>
        <v>0</v>
      </c>
      <c r="R173" s="230">
        <f t="shared" si="100"/>
        <v>0</v>
      </c>
      <c r="S173" s="230">
        <f t="shared" si="100"/>
        <v>0</v>
      </c>
      <c r="T173" s="230">
        <f t="shared" si="100"/>
        <v>0</v>
      </c>
      <c r="U173" s="230">
        <f t="shared" si="100"/>
        <v>0</v>
      </c>
      <c r="V173" s="230">
        <f t="shared" si="100"/>
        <v>0</v>
      </c>
      <c r="W173" s="230">
        <f t="shared" si="100"/>
        <v>0</v>
      </c>
      <c r="X173" s="230">
        <f t="shared" si="100"/>
        <v>0</v>
      </c>
      <c r="Y173" s="230">
        <f t="shared" si="100"/>
        <v>0</v>
      </c>
      <c r="Z173" s="230">
        <f t="shared" si="100"/>
        <v>0</v>
      </c>
      <c r="AA173" s="230">
        <f t="shared" si="100"/>
        <v>0</v>
      </c>
      <c r="AB173" s="230">
        <f t="shared" si="100"/>
        <v>0</v>
      </c>
      <c r="AC173" s="230">
        <f t="shared" si="100"/>
        <v>0</v>
      </c>
      <c r="AD173" s="230">
        <f t="shared" si="100"/>
        <v>0</v>
      </c>
      <c r="AE173" s="230">
        <f t="shared" si="100"/>
        <v>0</v>
      </c>
      <c r="AF173" s="230">
        <f t="shared" si="100"/>
        <v>0</v>
      </c>
      <c r="AG173" s="230">
        <f t="shared" si="100"/>
        <v>0</v>
      </c>
      <c r="AH173" s="245"/>
      <c r="AI173" s="133"/>
      <c r="AJ173" s="211"/>
      <c r="AL173" s="108"/>
      <c r="AM173" s="2"/>
      <c r="AN173" s="2"/>
      <c r="AO173" s="2"/>
      <c r="BC173" s="1"/>
      <c r="BD173" s="2"/>
      <c r="BE173" s="2"/>
      <c r="BF173" s="2"/>
      <c r="BG173" s="2"/>
      <c r="BH173" s="2"/>
      <c r="BI173" s="2"/>
      <c r="BJ173" s="2"/>
      <c r="BK173" s="2"/>
    </row>
    <row r="174" spans="1:63" outlineLevel="1">
      <c r="A174" s="4" t="s">
        <v>478</v>
      </c>
      <c r="C174" s="230">
        <f t="shared" si="99"/>
        <v>0</v>
      </c>
      <c r="D174" s="230">
        <f t="shared" si="99"/>
        <v>7.1171303241580148E-4</v>
      </c>
      <c r="E174" s="230">
        <f t="shared" si="99"/>
        <v>1.3825428651944908E-3</v>
      </c>
      <c r="F174" s="230">
        <f t="shared" si="99"/>
        <v>2.003159465372406E-3</v>
      </c>
      <c r="G174" s="230">
        <f t="shared" si="99"/>
        <v>2.5649649116149995E-3</v>
      </c>
      <c r="H174" s="230">
        <f t="shared" si="99"/>
        <v>3.0602805503188008E-3</v>
      </c>
      <c r="I174" s="230">
        <f t="shared" si="99"/>
        <v>3.4966152616667085E-3</v>
      </c>
      <c r="J174" s="230">
        <f t="shared" si="99"/>
        <v>3.8709226899310283E-3</v>
      </c>
      <c r="K174" s="230">
        <f t="shared" si="99"/>
        <v>4.1805623265756073E-3</v>
      </c>
      <c r="L174" s="230">
        <f t="shared" si="99"/>
        <v>4.4233421062168776E-3</v>
      </c>
      <c r="M174" s="230">
        <f t="shared" si="99"/>
        <v>4.5975605943521687E-3</v>
      </c>
      <c r="N174" s="230">
        <f t="shared" si="99"/>
        <v>5.2628792187710809E-3</v>
      </c>
      <c r="O174" s="230">
        <f t="shared" si="99"/>
        <v>5.7767860778935205E-3</v>
      </c>
      <c r="P174" s="230">
        <f t="shared" si="99"/>
        <v>6.1546936242924972E-3</v>
      </c>
      <c r="Q174" s="230">
        <f t="shared" si="99"/>
        <v>6.3785942681345003E-3</v>
      </c>
      <c r="R174" s="230">
        <f t="shared" si="99"/>
        <v>6.44968787801347E-3</v>
      </c>
      <c r="S174" s="230">
        <f t="shared" ref="S174:AG174" si="101">S169-$C169</f>
        <v>6.3887602780365628E-3</v>
      </c>
      <c r="T174" s="230">
        <f t="shared" si="101"/>
        <v>6.2011407785852457E-3</v>
      </c>
      <c r="U174" s="230">
        <f t="shared" si="101"/>
        <v>5.8933021372110789E-3</v>
      </c>
      <c r="V174" s="230">
        <f t="shared" si="101"/>
        <v>5.4729086804519503E-3</v>
      </c>
      <c r="W174" s="230">
        <f t="shared" si="101"/>
        <v>4.9488643716586178E-3</v>
      </c>
      <c r="X174" s="230">
        <f t="shared" si="101"/>
        <v>4.6132037583927182E-3</v>
      </c>
      <c r="Y174" s="230">
        <f t="shared" si="101"/>
        <v>4.1149298238208065E-3</v>
      </c>
      <c r="Z174" s="230">
        <f t="shared" si="101"/>
        <v>3.4913142837245934E-3</v>
      </c>
      <c r="AA174" s="230">
        <f t="shared" si="101"/>
        <v>2.7390362815927455E-3</v>
      </c>
      <c r="AB174" s="230">
        <f t="shared" si="101"/>
        <v>1.8799918183054231E-3</v>
      </c>
      <c r="AC174" s="230">
        <f t="shared" si="101"/>
        <v>9.3885583886589965E-4</v>
      </c>
      <c r="AD174" s="230">
        <f t="shared" si="101"/>
        <v>-5.6907271074099503E-5</v>
      </c>
      <c r="AE174" s="230">
        <f t="shared" si="101"/>
        <v>-1.0768645880066667E-3</v>
      </c>
      <c r="AF174" s="230">
        <f t="shared" si="101"/>
        <v>-2.0874966277569587E-3</v>
      </c>
      <c r="AG174" s="230">
        <f t="shared" si="101"/>
        <v>-3.0520787483547152E-3</v>
      </c>
      <c r="AH174" s="245"/>
      <c r="AI174" s="133"/>
      <c r="AJ174" s="211"/>
      <c r="AL174" s="108"/>
      <c r="AM174" s="2"/>
      <c r="AN174" s="2"/>
      <c r="AO174" s="2"/>
      <c r="BC174" s="1"/>
      <c r="BD174" s="2"/>
      <c r="BE174" s="2"/>
      <c r="BF174" s="2"/>
      <c r="BG174" s="2"/>
      <c r="BH174" s="2"/>
      <c r="BI174" s="2"/>
      <c r="BJ174" s="2"/>
      <c r="BK174" s="2"/>
    </row>
    <row r="175" spans="1:63" outlineLevel="1">
      <c r="A175" s="4" t="s">
        <v>745</v>
      </c>
      <c r="C175" s="230">
        <f t="shared" si="99"/>
        <v>0</v>
      </c>
      <c r="D175" s="230">
        <f t="shared" si="99"/>
        <v>1.1184808738890501E-4</v>
      </c>
      <c r="E175" s="230">
        <f t="shared" si="99"/>
        <v>2.7297916692852625E-4</v>
      </c>
      <c r="F175" s="230">
        <f t="shared" si="99"/>
        <v>4.8406099175759686E-4</v>
      </c>
      <c r="G175" s="230">
        <f t="shared" si="99"/>
        <v>7.4472410866102256E-4</v>
      </c>
      <c r="H175" s="230">
        <f t="shared" si="99"/>
        <v>1.0535128597716147E-3</v>
      </c>
      <c r="I175" s="230">
        <f t="shared" si="99"/>
        <v>1.4108981935510849E-3</v>
      </c>
      <c r="J175" s="230">
        <f t="shared" si="99"/>
        <v>1.8157899006234204E-3</v>
      </c>
      <c r="K175" s="230">
        <f t="shared" si="99"/>
        <v>2.266549405058427E-3</v>
      </c>
      <c r="L175" s="230">
        <f t="shared" si="99"/>
        <v>2.7609582081406267E-3</v>
      </c>
      <c r="M175" s="230">
        <f t="shared" si="99"/>
        <v>3.2961877019833902E-3</v>
      </c>
      <c r="N175" s="230">
        <f t="shared" si="99"/>
        <v>4.1485861465539904E-3</v>
      </c>
      <c r="O175" s="230">
        <f t="shared" si="99"/>
        <v>5.0724126735897995E-3</v>
      </c>
      <c r="P175" s="230">
        <f t="shared" si="99"/>
        <v>6.0674025137418004E-3</v>
      </c>
      <c r="Q175" s="230">
        <f t="shared" si="99"/>
        <v>7.1113443778269081E-3</v>
      </c>
      <c r="R175" s="230">
        <f t="shared" si="99"/>
        <v>8.1885184118675944E-3</v>
      </c>
      <c r="S175" s="230">
        <f t="shared" ref="S175:AG175" si="102">S170-$C170</f>
        <v>9.2982990554380564E-3</v>
      </c>
      <c r="T175" s="230">
        <f t="shared" si="102"/>
        <v>1.0427961164912765E-2</v>
      </c>
      <c r="U175" s="230">
        <f t="shared" si="102"/>
        <v>1.1563546911268714E-2</v>
      </c>
      <c r="V175" s="230">
        <f t="shared" si="102"/>
        <v>1.2689825013765496E-2</v>
      </c>
      <c r="W175" s="230">
        <f t="shared" si="102"/>
        <v>1.3790250303290473E-2</v>
      </c>
      <c r="X175" s="230">
        <f t="shared" si="102"/>
        <v>1.5413665193283983E-2</v>
      </c>
      <c r="Y175" s="230">
        <f t="shared" si="102"/>
        <v>1.6985236102634717E-2</v>
      </c>
      <c r="Z175" s="230">
        <f t="shared" si="102"/>
        <v>1.8528223191122406E-2</v>
      </c>
      <c r="AA175" s="230">
        <f t="shared" si="102"/>
        <v>1.9962878025807033E-2</v>
      </c>
      <c r="AB175" s="230">
        <f t="shared" si="102"/>
        <v>2.1252021982760248E-2</v>
      </c>
      <c r="AC175" s="230">
        <f t="shared" si="102"/>
        <v>2.2355734161331561E-2</v>
      </c>
      <c r="AD175" s="230">
        <f t="shared" si="102"/>
        <v>2.3230853774408877E-2</v>
      </c>
      <c r="AE175" s="230">
        <f t="shared" si="102"/>
        <v>2.3831051021933326E-2</v>
      </c>
      <c r="AF175" s="230">
        <f t="shared" si="102"/>
        <v>2.4106722905429995E-2</v>
      </c>
      <c r="AG175" s="230">
        <f t="shared" si="102"/>
        <v>2.400488905021271E-2</v>
      </c>
      <c r="AH175" s="245"/>
      <c r="AI175" s="133"/>
      <c r="AJ175" s="211"/>
      <c r="AL175" s="108"/>
      <c r="AM175" s="2"/>
      <c r="AN175" s="2"/>
      <c r="AO175" s="2"/>
      <c r="BC175" s="1"/>
      <c r="BD175" s="2"/>
      <c r="BE175" s="2"/>
      <c r="BF175" s="2"/>
      <c r="BG175" s="2"/>
      <c r="BH175" s="2"/>
      <c r="BI175" s="2"/>
      <c r="BJ175" s="2"/>
      <c r="BK175" s="2"/>
    </row>
    <row r="176" spans="1:63" outlineLevel="1">
      <c r="A176" s="4" t="s">
        <v>1561</v>
      </c>
      <c r="C176" s="230">
        <f t="shared" si="99"/>
        <v>0</v>
      </c>
      <c r="D176" s="230">
        <f t="shared" si="99"/>
        <v>5.8972558816548261E-4</v>
      </c>
      <c r="E176" s="230">
        <f t="shared" si="99"/>
        <v>1.1984331383363628E-3</v>
      </c>
      <c r="F176" s="230">
        <f t="shared" si="99"/>
        <v>1.8204166022322767E-3</v>
      </c>
      <c r="G176" s="230">
        <f t="shared" si="99"/>
        <v>2.4494832513141263E-3</v>
      </c>
      <c r="H176" s="230">
        <f t="shared" si="99"/>
        <v>3.0790343555122659E-3</v>
      </c>
      <c r="I176" s="230">
        <f t="shared" si="99"/>
        <v>3.7146189564045218E-3</v>
      </c>
      <c r="J176" s="230">
        <f t="shared" si="99"/>
        <v>4.3531326623275019E-3</v>
      </c>
      <c r="K176" s="230">
        <f t="shared" si="99"/>
        <v>4.9912265385978335E-3</v>
      </c>
      <c r="L176" s="230">
        <f t="shared" si="99"/>
        <v>5.625306109172743E-3</v>
      </c>
      <c r="M176" s="230">
        <f t="shared" si="99"/>
        <v>6.251531380682844E-3</v>
      </c>
      <c r="N176" s="230">
        <f t="shared" si="99"/>
        <v>7.5123948277582633E-3</v>
      </c>
      <c r="O176" s="230">
        <f t="shared" si="99"/>
        <v>8.7381495950516943E-3</v>
      </c>
      <c r="P176" s="230">
        <f t="shared" si="99"/>
        <v>9.9390170232911985E-3</v>
      </c>
      <c r="Q176" s="230">
        <f t="shared" si="99"/>
        <v>1.1081686272509066E-2</v>
      </c>
      <c r="R176" s="230">
        <f t="shared" si="99"/>
        <v>1.2152057044400961E-2</v>
      </c>
      <c r="S176" s="230">
        <f t="shared" ref="S176:AG176" si="103">S171-$C171</f>
        <v>1.316365948450633E-2</v>
      </c>
      <c r="T176" s="230">
        <f t="shared" si="103"/>
        <v>1.4108040692030583E-2</v>
      </c>
      <c r="U176" s="230">
        <f t="shared" si="103"/>
        <v>1.4976355105216775E-2</v>
      </c>
      <c r="V176" s="230">
        <f t="shared" si="103"/>
        <v>1.5759358518872398E-2</v>
      </c>
      <c r="W176" s="230">
        <f t="shared" si="103"/>
        <v>1.6447402378009575E-2</v>
      </c>
      <c r="X176" s="230">
        <f t="shared" si="103"/>
        <v>1.775968291044188E-2</v>
      </c>
      <c r="Y176" s="230">
        <f t="shared" si="103"/>
        <v>1.8912278240810668E-2</v>
      </c>
      <c r="Z176" s="230">
        <f t="shared" si="103"/>
        <v>1.9952584143890104E-2</v>
      </c>
      <c r="AA176" s="230">
        <f t="shared" si="103"/>
        <v>2.0802675802614669E-2</v>
      </c>
      <c r="AB176" s="230">
        <f t="shared" si="103"/>
        <v>2.1442154780478062E-2</v>
      </c>
      <c r="AC176" s="230">
        <f t="shared" si="103"/>
        <v>2.1849908921723032E-2</v>
      </c>
      <c r="AD176" s="230">
        <f t="shared" si="103"/>
        <v>2.2003647332603106E-2</v>
      </c>
      <c r="AE176" s="230">
        <f t="shared" si="103"/>
        <v>2.188008932311785E-2</v>
      </c>
      <c r="AF176" s="230">
        <f t="shared" si="103"/>
        <v>2.1454945746875204E-2</v>
      </c>
      <c r="AG176" s="230">
        <f t="shared" si="103"/>
        <v>2.0702900738476672E-2</v>
      </c>
      <c r="AH176" s="245"/>
      <c r="AI176" s="133"/>
      <c r="AJ176" s="211"/>
      <c r="AL176" s="108"/>
      <c r="AM176" s="2"/>
      <c r="AN176" s="2"/>
      <c r="AO176" s="2"/>
      <c r="BC176" s="1"/>
      <c r="BD176" s="2"/>
      <c r="BE176" s="2"/>
      <c r="BF176" s="2"/>
      <c r="BG176" s="2"/>
      <c r="BH176" s="2"/>
      <c r="BI176" s="2"/>
      <c r="BJ176" s="2"/>
      <c r="BK176" s="2"/>
    </row>
    <row r="177" spans="1:63" s="1" customFormat="1" outlineLevel="1">
      <c r="A177" s="1" t="s">
        <v>1567</v>
      </c>
      <c r="B177" s="65"/>
      <c r="C177" s="300">
        <f>C43*C145</f>
        <v>1.5377781385941062E-2</v>
      </c>
      <c r="D177" s="300">
        <f t="shared" ref="D177:AG177" si="104">D43*D145</f>
        <v>1.9617641509851635E-2</v>
      </c>
      <c r="E177" s="300">
        <f t="shared" si="104"/>
        <v>2.3939646897319204E-2</v>
      </c>
      <c r="F177" s="300">
        <f t="shared" si="104"/>
        <v>2.8300692564027907E-2</v>
      </c>
      <c r="G177" s="300">
        <f t="shared" si="104"/>
        <v>3.2655298200711509E-2</v>
      </c>
      <c r="H177" s="300">
        <f t="shared" si="104"/>
        <v>3.695626468274911E-2</v>
      </c>
      <c r="I177" s="300">
        <f t="shared" si="104"/>
        <v>4.1244178620808016E-2</v>
      </c>
      <c r="J177" s="300">
        <f t="shared" si="104"/>
        <v>4.5497317144586921E-2</v>
      </c>
      <c r="K177" s="300">
        <f t="shared" si="104"/>
        <v>4.9692796196636663E-2</v>
      </c>
      <c r="L177" s="300">
        <f t="shared" si="104"/>
        <v>5.3806600656531797E-2</v>
      </c>
      <c r="M177" s="300">
        <f t="shared" si="104"/>
        <v>5.7813620416996281E-2</v>
      </c>
      <c r="N177" s="300">
        <f t="shared" si="104"/>
        <v>6.614936196519107E-2</v>
      </c>
      <c r="O177" s="300">
        <f t="shared" si="104"/>
        <v>7.4139826425546104E-2</v>
      </c>
      <c r="P177" s="300">
        <f t="shared" si="104"/>
        <v>8.186112086991755E-2</v>
      </c>
      <c r="Q177" s="300">
        <f t="shared" si="104"/>
        <v>8.9092656141352491E-2</v>
      </c>
      <c r="R177" s="300">
        <f t="shared" si="104"/>
        <v>9.5748571388787146E-2</v>
      </c>
      <c r="S177" s="300">
        <f t="shared" si="104"/>
        <v>0.1019299378398839</v>
      </c>
      <c r="T177" s="300">
        <f t="shared" si="104"/>
        <v>0.10758920929252684</v>
      </c>
      <c r="U177" s="300">
        <f t="shared" si="104"/>
        <v>0.11267739384703075</v>
      </c>
      <c r="V177" s="300">
        <f t="shared" si="104"/>
        <v>0.11714405802521058</v>
      </c>
      <c r="W177" s="300">
        <f t="shared" si="104"/>
        <v>0.12093733254481705</v>
      </c>
      <c r="X177" s="300">
        <f t="shared" si="104"/>
        <v>0.12873743697229681</v>
      </c>
      <c r="Y177" s="300">
        <f t="shared" si="104"/>
        <v>0.13541511388773966</v>
      </c>
      <c r="Z177" s="300">
        <f t="shared" si="104"/>
        <v>0.14129414624215236</v>
      </c>
      <c r="AA177" s="300">
        <f t="shared" si="104"/>
        <v>0.14589155171598442</v>
      </c>
      <c r="AB177" s="300">
        <f t="shared" si="104"/>
        <v>0.14910028713057227</v>
      </c>
      <c r="AC177" s="300">
        <f t="shared" si="104"/>
        <v>0.15081127815170256</v>
      </c>
      <c r="AD177" s="300">
        <f t="shared" si="104"/>
        <v>0.15091056289375468</v>
      </c>
      <c r="AE177" s="300">
        <f t="shared" si="104"/>
        <v>0.14928060865707463</v>
      </c>
      <c r="AF177" s="300">
        <f t="shared" si="104"/>
        <v>0.14580029745958578</v>
      </c>
      <c r="AG177" s="300">
        <f t="shared" si="104"/>
        <v>0.14034491450694508</v>
      </c>
      <c r="AH177" s="245"/>
      <c r="AI177" s="423"/>
      <c r="AJ177" s="424"/>
      <c r="AL177" s="221"/>
      <c r="AM177" s="124"/>
      <c r="AN177" s="124"/>
      <c r="AO177" s="124"/>
      <c r="BD177" s="124"/>
      <c r="BE177" s="124"/>
      <c r="BF177" s="124"/>
      <c r="BG177" s="124"/>
      <c r="BH177" s="124"/>
      <c r="BI177" s="124"/>
      <c r="BJ177" s="124"/>
      <c r="BK177" s="124"/>
    </row>
    <row r="178" spans="1:63" outlineLevel="1">
      <c r="A178" s="4" t="s">
        <v>474</v>
      </c>
      <c r="C178" s="230">
        <f>C$177*'BTX recycling rates'!E70</f>
        <v>0</v>
      </c>
      <c r="D178" s="230">
        <f>D$177*'BTX recycling rates'!F70</f>
        <v>0</v>
      </c>
      <c r="E178" s="230">
        <f>E$177*'BTX recycling rates'!G70</f>
        <v>0</v>
      </c>
      <c r="F178" s="230">
        <f>F$177*'BTX recycling rates'!H70</f>
        <v>0</v>
      </c>
      <c r="G178" s="230">
        <f>G$177*'BTX recycling rates'!I70</f>
        <v>0</v>
      </c>
      <c r="H178" s="230">
        <f>H$177*'BTX recycling rates'!J70</f>
        <v>0</v>
      </c>
      <c r="I178" s="230">
        <f>I$177*'BTX recycling rates'!K70</f>
        <v>0</v>
      </c>
      <c r="J178" s="230">
        <f>J$177*'BTX recycling rates'!L70</f>
        <v>0</v>
      </c>
      <c r="K178" s="230">
        <f>K$177*'BTX recycling rates'!M70</f>
        <v>0</v>
      </c>
      <c r="L178" s="230">
        <f>L$177*'BTX recycling rates'!N70</f>
        <v>0</v>
      </c>
      <c r="M178" s="230">
        <f>M$177*'BTX recycling rates'!O70</f>
        <v>0</v>
      </c>
      <c r="N178" s="230">
        <f>N$177*'BTX recycling rates'!P70</f>
        <v>0</v>
      </c>
      <c r="O178" s="230">
        <f>O$177*'BTX recycling rates'!Q70</f>
        <v>0</v>
      </c>
      <c r="P178" s="230">
        <f>P$177*'BTX recycling rates'!R70</f>
        <v>0</v>
      </c>
      <c r="Q178" s="230">
        <f>Q$177*'BTX recycling rates'!S70</f>
        <v>0</v>
      </c>
      <c r="R178" s="230">
        <f>R$177*'BTX recycling rates'!T70</f>
        <v>0</v>
      </c>
      <c r="S178" s="230">
        <f>S$177*'BTX recycling rates'!U70</f>
        <v>0</v>
      </c>
      <c r="T178" s="230">
        <f>T$177*'BTX recycling rates'!V70</f>
        <v>0</v>
      </c>
      <c r="U178" s="230">
        <f>U$177*'BTX recycling rates'!W70</f>
        <v>0</v>
      </c>
      <c r="V178" s="230">
        <f>V$177*'BTX recycling rates'!X70</f>
        <v>0</v>
      </c>
      <c r="W178" s="230">
        <f>W$177*'BTX recycling rates'!Y70</f>
        <v>0</v>
      </c>
      <c r="X178" s="230">
        <f>X$177*'BTX recycling rates'!Z70</f>
        <v>0</v>
      </c>
      <c r="Y178" s="230">
        <f>Y$177*'BTX recycling rates'!AA70</f>
        <v>0</v>
      </c>
      <c r="Z178" s="230">
        <f>Z$177*'BTX recycling rates'!AB70</f>
        <v>0</v>
      </c>
      <c r="AA178" s="230">
        <f>AA$177*'BTX recycling rates'!AC70</f>
        <v>0</v>
      </c>
      <c r="AB178" s="230">
        <f>AB$177*'BTX recycling rates'!AD70</f>
        <v>0</v>
      </c>
      <c r="AC178" s="230">
        <f>AC$177*'BTX recycling rates'!AE70</f>
        <v>0</v>
      </c>
      <c r="AD178" s="230">
        <f>AD$177*'BTX recycling rates'!AF70</f>
        <v>0</v>
      </c>
      <c r="AE178" s="230">
        <f>AE$177*'BTX recycling rates'!AG70</f>
        <v>0</v>
      </c>
      <c r="AF178" s="230">
        <f>AF$177*'BTX recycling rates'!AH70</f>
        <v>0</v>
      </c>
      <c r="AG178" s="230">
        <f>AG$177*'BTX recycling rates'!AI70</f>
        <v>0</v>
      </c>
      <c r="AH178" s="245"/>
      <c r="AI178" s="133"/>
      <c r="AJ178" s="211"/>
      <c r="AL178" s="108"/>
      <c r="AM178" s="2"/>
      <c r="AN178" s="2"/>
      <c r="AO178" s="2"/>
      <c r="BC178" s="1"/>
      <c r="BD178" s="2"/>
      <c r="BE178" s="2"/>
      <c r="BF178" s="2"/>
      <c r="BG178" s="2"/>
      <c r="BH178" s="2"/>
      <c r="BI178" s="2"/>
      <c r="BJ178" s="2"/>
      <c r="BK178" s="2"/>
    </row>
    <row r="179" spans="1:63" outlineLevel="1">
      <c r="A179" s="4" t="s">
        <v>478</v>
      </c>
      <c r="C179" s="230">
        <f>C$177*'BTX recycling rates'!E71</f>
        <v>9.1562362450641442E-3</v>
      </c>
      <c r="D179" s="230">
        <f>D$177*'BTX recycling rates'!F71</f>
        <v>1.1291375342311552E-2</v>
      </c>
      <c r="E179" s="230">
        <f>E$177*'BTX recycling rates'!G71</f>
        <v>1.3303864840647618E-2</v>
      </c>
      <c r="F179" s="230">
        <f>F$177*'BTX recycling rates'!H71</f>
        <v>1.5165714641181365E-2</v>
      </c>
      <c r="G179" s="230">
        <f>G$177*'BTX recycling rates'!I71</f>
        <v>1.6851130979909142E-2</v>
      </c>
      <c r="H179" s="230">
        <f>H$177*'BTX recycling rates'!J71</f>
        <v>1.833707789602055E-2</v>
      </c>
      <c r="I179" s="230">
        <f>I$177*'BTX recycling rates'!K71</f>
        <v>1.9646082030064273E-2</v>
      </c>
      <c r="J179" s="230">
        <f>J$177*'BTX recycling rates'!L71</f>
        <v>2.0769004314857231E-2</v>
      </c>
      <c r="K179" s="230">
        <f>K$177*'BTX recycling rates'!M71</f>
        <v>2.1697923224790965E-2</v>
      </c>
      <c r="L179" s="230">
        <f>L$177*'BTX recycling rates'!N71</f>
        <v>2.2426262563714775E-2</v>
      </c>
      <c r="M179" s="230">
        <f>M$177*'BTX recycling rates'!O71</f>
        <v>2.2948918028120654E-2</v>
      </c>
      <c r="N179" s="230">
        <f>N$177*'BTX recycling rates'!P71</f>
        <v>2.4944873901377389E-2</v>
      </c>
      <c r="O179" s="230">
        <f>O$177*'BTX recycling rates'!Q71</f>
        <v>2.6486594478744706E-2</v>
      </c>
      <c r="P179" s="230">
        <f>P$177*'BTX recycling rates'!R71</f>
        <v>2.7620317117941634E-2</v>
      </c>
      <c r="Q179" s="230">
        <f>Q$177*'BTX recycling rates'!S71</f>
        <v>2.8292019049467647E-2</v>
      </c>
      <c r="R179" s="230">
        <f>R$177*'BTX recycling rates'!T71</f>
        <v>2.8505299879104554E-2</v>
      </c>
      <c r="S179" s="230">
        <f>S$177*'BTX recycling rates'!U71</f>
        <v>2.8322517079173829E-2</v>
      </c>
      <c r="T179" s="230">
        <f>T$177*'BTX recycling rates'!V71</f>
        <v>2.7759658580819881E-2</v>
      </c>
      <c r="U179" s="230">
        <f>U$177*'BTX recycling rates'!W71</f>
        <v>2.6836142656697377E-2</v>
      </c>
      <c r="V179" s="230">
        <f>V$177*'BTX recycling rates'!X71</f>
        <v>2.5574962286419995E-2</v>
      </c>
      <c r="W179" s="230">
        <f>W$177*'BTX recycling rates'!Y71</f>
        <v>2.4002829360039998E-2</v>
      </c>
      <c r="X179" s="230">
        <f>X$177*'BTX recycling rates'!Z71</f>
        <v>2.29958475202423E-2</v>
      </c>
      <c r="Y179" s="230">
        <f>Y$177*'BTX recycling rates'!AA71</f>
        <v>2.1501025716526571E-2</v>
      </c>
      <c r="Z179" s="230">
        <f>Z$177*'BTX recycling rates'!AB71</f>
        <v>1.9630179096237925E-2</v>
      </c>
      <c r="AA179" s="230">
        <f>AA$177*'BTX recycling rates'!AC71</f>
        <v>1.7373345089842382E-2</v>
      </c>
      <c r="AB179" s="230">
        <f>AB$177*'BTX recycling rates'!AD71</f>
        <v>1.4796211699980417E-2</v>
      </c>
      <c r="AC179" s="230">
        <f>AC$177*'BTX recycling rates'!AE71</f>
        <v>1.1972803761661845E-2</v>
      </c>
      <c r="AD179" s="230">
        <f>AD$177*'BTX recycling rates'!AF71</f>
        <v>8.9855144318418453E-3</v>
      </c>
      <c r="AE179" s="230">
        <f>AE$177*'BTX recycling rates'!AG71</f>
        <v>5.9256424810441473E-3</v>
      </c>
      <c r="AF179" s="230">
        <f>AF$177*'BTX recycling rates'!AH71</f>
        <v>2.8937463617932702E-3</v>
      </c>
      <c r="AG179" s="230">
        <f>AG$177*'BTX recycling rates'!AI71</f>
        <v>0</v>
      </c>
      <c r="AH179" s="245"/>
      <c r="AI179" s="133"/>
      <c r="AJ179" s="211"/>
      <c r="AL179" s="108"/>
      <c r="AM179" s="2"/>
      <c r="AN179" s="2"/>
      <c r="AO179" s="2"/>
      <c r="BC179" s="1"/>
      <c r="BD179" s="2"/>
      <c r="BE179" s="2"/>
      <c r="BF179" s="2"/>
      <c r="BG179" s="2"/>
      <c r="BH179" s="2"/>
      <c r="BI179" s="2"/>
      <c r="BJ179" s="2"/>
      <c r="BK179" s="2"/>
    </row>
    <row r="180" spans="1:63" outlineLevel="1">
      <c r="A180" s="4" t="s">
        <v>745</v>
      </c>
      <c r="C180" s="230">
        <f>C$177*'BTX recycling rates'!E72</f>
        <v>0</v>
      </c>
      <c r="D180" s="230">
        <f>D$177*'BTX recycling rates'!F72</f>
        <v>3.3554426216671505E-4</v>
      </c>
      <c r="E180" s="230">
        <f>E$177*'BTX recycling rates'!G72</f>
        <v>8.1893750078557864E-4</v>
      </c>
      <c r="F180" s="230">
        <f>F$177*'BTX recycling rates'!H72</f>
        <v>1.4521829752727909E-3</v>
      </c>
      <c r="G180" s="230">
        <f>G$177*'BTX recycling rates'!I72</f>
        <v>2.2341723259830673E-3</v>
      </c>
      <c r="H180" s="230">
        <f>H$177*'BTX recycling rates'!J72</f>
        <v>3.160538579314844E-3</v>
      </c>
      <c r="I180" s="230">
        <f>I$177*'BTX recycling rates'!K72</f>
        <v>4.2326945806532559E-3</v>
      </c>
      <c r="J180" s="230">
        <f>J$177*'BTX recycling rates'!L72</f>
        <v>5.4473697018702612E-3</v>
      </c>
      <c r="K180" s="230">
        <f>K$177*'BTX recycling rates'!M72</f>
        <v>6.7996482151752797E-3</v>
      </c>
      <c r="L180" s="230">
        <f>L$177*'BTX recycling rates'!N72</f>
        <v>8.2828746244218796E-3</v>
      </c>
      <c r="M180" s="230">
        <f>M$177*'BTX recycling rates'!O72</f>
        <v>9.8885631059501718E-3</v>
      </c>
      <c r="N180" s="230">
        <f>N$177*'BTX recycling rates'!P72</f>
        <v>1.2445758439661971E-2</v>
      </c>
      <c r="O180" s="230">
        <f>O$177*'BTX recycling rates'!Q72</f>
        <v>1.5217238020769398E-2</v>
      </c>
      <c r="P180" s="230">
        <f>P$177*'BTX recycling rates'!R72</f>
        <v>1.8202207541225403E-2</v>
      </c>
      <c r="Q180" s="230">
        <f>Q$177*'BTX recycling rates'!S72</f>
        <v>2.1334033133480725E-2</v>
      </c>
      <c r="R180" s="230">
        <f>R$177*'BTX recycling rates'!T72</f>
        <v>2.4565555235602787E-2</v>
      </c>
      <c r="S180" s="230">
        <f>S$177*'BTX recycling rates'!U72</f>
        <v>2.7894897166314166E-2</v>
      </c>
      <c r="T180" s="230">
        <f>T$177*'BTX recycling rates'!V72</f>
        <v>3.1283883494738297E-2</v>
      </c>
      <c r="U180" s="230">
        <f>U$177*'BTX recycling rates'!W72</f>
        <v>3.4690640733806136E-2</v>
      </c>
      <c r="V180" s="230">
        <f>V$177*'BTX recycling rates'!X72</f>
        <v>3.8069475041296479E-2</v>
      </c>
      <c r="W180" s="230">
        <f>W$177*'BTX recycling rates'!Y72</f>
        <v>4.1370750909871419E-2</v>
      </c>
      <c r="X180" s="230">
        <f>X$177*'BTX recycling rates'!Z72</f>
        <v>4.6240995579851951E-2</v>
      </c>
      <c r="Y180" s="230">
        <f>Y$177*'BTX recycling rates'!AA72</f>
        <v>5.0955708307904156E-2</v>
      </c>
      <c r="Z180" s="230">
        <f>Z$177*'BTX recycling rates'!AB72</f>
        <v>5.5584669573367211E-2</v>
      </c>
      <c r="AA180" s="230">
        <f>AA$177*'BTX recycling rates'!AC72</f>
        <v>5.98886340774211E-2</v>
      </c>
      <c r="AB180" s="230">
        <f>AB$177*'BTX recycling rates'!AD72</f>
        <v>6.3756065948280746E-2</v>
      </c>
      <c r="AC180" s="230">
        <f>AC$177*'BTX recycling rates'!AE72</f>
        <v>6.7067202483994684E-2</v>
      </c>
      <c r="AD180" s="230">
        <f>AD$177*'BTX recycling rates'!AF72</f>
        <v>6.9692561323226612E-2</v>
      </c>
      <c r="AE180" s="230">
        <f>AE$177*'BTX recycling rates'!AG72</f>
        <v>7.1493153065799994E-2</v>
      </c>
      <c r="AF180" s="230">
        <f>AF$177*'BTX recycling rates'!AH72</f>
        <v>7.2320168716290004E-2</v>
      </c>
      <c r="AG180" s="230">
        <f>AG$177*'BTX recycling rates'!AI72</f>
        <v>7.2014667150638145E-2</v>
      </c>
      <c r="AH180" s="245"/>
      <c r="AI180" s="133"/>
      <c r="AJ180" s="211"/>
      <c r="AL180" s="108"/>
      <c r="AM180" s="2"/>
      <c r="AN180" s="2"/>
      <c r="AO180" s="2"/>
      <c r="BC180" s="1"/>
      <c r="BD180" s="2"/>
      <c r="BE180" s="2"/>
      <c r="BF180" s="2"/>
      <c r="BG180" s="2"/>
      <c r="BH180" s="2"/>
      <c r="BI180" s="2"/>
      <c r="BJ180" s="2"/>
      <c r="BK180" s="2"/>
    </row>
    <row r="181" spans="1:63" outlineLevel="1">
      <c r="A181" s="4" t="s">
        <v>1561</v>
      </c>
      <c r="C181" s="230">
        <f>C$177*'BTX recycling rates'!E73</f>
        <v>6.221545140876918E-3</v>
      </c>
      <c r="D181" s="230">
        <f>D$177*'BTX recycling rates'!F73</f>
        <v>7.9907219053733675E-3</v>
      </c>
      <c r="E181" s="230">
        <f>E$177*'BTX recycling rates'!G73</f>
        <v>9.8168445558860055E-3</v>
      </c>
      <c r="F181" s="230">
        <f>F$177*'BTX recycling rates'!H73</f>
        <v>1.1682794947573748E-2</v>
      </c>
      <c r="G181" s="230">
        <f>G$177*'BTX recycling rates'!I73</f>
        <v>1.3569994894819297E-2</v>
      </c>
      <c r="H181" s="230">
        <f>H$177*'BTX recycling rates'!J73</f>
        <v>1.5458648207413717E-2</v>
      </c>
      <c r="I181" s="230">
        <f>I$177*'BTX recycling rates'!K73</f>
        <v>1.7365402010090486E-2</v>
      </c>
      <c r="J181" s="230">
        <f>J$177*'BTX recycling rates'!L73</f>
        <v>1.9280943127859426E-2</v>
      </c>
      <c r="K181" s="230">
        <f>K$177*'BTX recycling rates'!M73</f>
        <v>2.1195224756670416E-2</v>
      </c>
      <c r="L181" s="230">
        <f>L$177*'BTX recycling rates'!N73</f>
        <v>2.3097463468395144E-2</v>
      </c>
      <c r="M181" s="230">
        <f>M$177*'BTX recycling rates'!O73</f>
        <v>2.4976139282925452E-2</v>
      </c>
      <c r="N181" s="230">
        <f>N$177*'BTX recycling rates'!P73</f>
        <v>2.875872962415171E-2</v>
      </c>
      <c r="O181" s="230">
        <f>O$177*'BTX recycling rates'!Q73</f>
        <v>3.2435993926031997E-2</v>
      </c>
      <c r="P181" s="230">
        <f>P$177*'BTX recycling rates'!R73</f>
        <v>3.6038596210750513E-2</v>
      </c>
      <c r="Q181" s="230">
        <f>Q$177*'BTX recycling rates'!S73</f>
        <v>3.9466603958404116E-2</v>
      </c>
      <c r="R181" s="230">
        <f>R$177*'BTX recycling rates'!T73</f>
        <v>4.2677716274079805E-2</v>
      </c>
      <c r="S181" s="230">
        <f>S$177*'BTX recycling rates'!U73</f>
        <v>4.5712523594395905E-2</v>
      </c>
      <c r="T181" s="230">
        <f>T$177*'BTX recycling rates'!V73</f>
        <v>4.8545667216968666E-2</v>
      </c>
      <c r="U181" s="230">
        <f>U$177*'BTX recycling rates'!W73</f>
        <v>5.1150610456527239E-2</v>
      </c>
      <c r="V181" s="230">
        <f>V$177*'BTX recycling rates'!X73</f>
        <v>5.3499620697494102E-2</v>
      </c>
      <c r="W181" s="230">
        <f>W$177*'BTX recycling rates'!Y73</f>
        <v>5.5563752274905634E-2</v>
      </c>
      <c r="X181" s="230">
        <f>X$177*'BTX recycling rates'!Z73</f>
        <v>5.9500593872202558E-2</v>
      </c>
      <c r="Y181" s="230">
        <f>Y$177*'BTX recycling rates'!AA73</f>
        <v>6.2958379863308933E-2</v>
      </c>
      <c r="Z181" s="230">
        <f>Z$177*'BTX recycling rates'!AB73</f>
        <v>6.6079297572547227E-2</v>
      </c>
      <c r="AA181" s="230">
        <f>AA$177*'BTX recycling rates'!AC73</f>
        <v>6.8629572548720943E-2</v>
      </c>
      <c r="AB181" s="230">
        <f>AB$177*'BTX recycling rates'!AD73</f>
        <v>7.0548009482311116E-2</v>
      </c>
      <c r="AC181" s="230">
        <f>AC$177*'BTX recycling rates'!AE73</f>
        <v>7.1771271906046027E-2</v>
      </c>
      <c r="AD181" s="230">
        <f>AD$177*'BTX recycling rates'!AF73</f>
        <v>7.2232487138686227E-2</v>
      </c>
      <c r="AE181" s="230">
        <f>AE$177*'BTX recycling rates'!AG73</f>
        <v>7.1861813110230502E-2</v>
      </c>
      <c r="AF181" s="230">
        <f>AF$177*'BTX recycling rates'!AH73</f>
        <v>7.0586382381502527E-2</v>
      </c>
      <c r="AG181" s="230">
        <f>AG$177*'BTX recycling rates'!AI73</f>
        <v>6.8330247356306939E-2</v>
      </c>
      <c r="AH181" s="245"/>
      <c r="AI181" s="133"/>
      <c r="AJ181" s="211"/>
      <c r="AL181" s="108"/>
      <c r="AM181" s="2"/>
      <c r="AN181" s="2"/>
      <c r="AO181" s="2"/>
      <c r="BC181" s="1"/>
      <c r="BD181" s="2"/>
      <c r="BE181" s="2"/>
      <c r="BF181" s="2"/>
      <c r="BG181" s="2"/>
      <c r="BH181" s="2"/>
      <c r="BI181" s="2"/>
      <c r="BJ181" s="2"/>
      <c r="BK181" s="2"/>
    </row>
    <row r="182" spans="1:63" s="1" customFormat="1" outlineLevel="1">
      <c r="A182" s="1" t="s">
        <v>1568</v>
      </c>
      <c r="B182" s="65"/>
      <c r="C182" s="300">
        <f t="shared" ref="C182:AG182" si="105">C177-$C177</f>
        <v>0</v>
      </c>
      <c r="D182" s="300">
        <f t="shared" si="105"/>
        <v>4.2398601239105726E-3</v>
      </c>
      <c r="E182" s="300">
        <f t="shared" si="105"/>
        <v>8.5618655113781413E-3</v>
      </c>
      <c r="F182" s="300">
        <f t="shared" si="105"/>
        <v>1.2922911178086844E-2</v>
      </c>
      <c r="G182" s="300">
        <f t="shared" si="105"/>
        <v>1.7277516814770445E-2</v>
      </c>
      <c r="H182" s="300">
        <f t="shared" si="105"/>
        <v>2.1578483296808046E-2</v>
      </c>
      <c r="I182" s="300">
        <f t="shared" si="105"/>
        <v>2.5866397234866952E-2</v>
      </c>
      <c r="J182" s="300">
        <f t="shared" si="105"/>
        <v>3.0119535758645857E-2</v>
      </c>
      <c r="K182" s="300">
        <f t="shared" si="105"/>
        <v>3.4315014810695599E-2</v>
      </c>
      <c r="L182" s="300">
        <f t="shared" si="105"/>
        <v>3.8428819270590733E-2</v>
      </c>
      <c r="M182" s="300">
        <f t="shared" si="105"/>
        <v>4.2435839031055217E-2</v>
      </c>
      <c r="N182" s="300">
        <f t="shared" si="105"/>
        <v>5.0771580579250006E-2</v>
      </c>
      <c r="O182" s="300">
        <f t="shared" si="105"/>
        <v>5.876204503960504E-2</v>
      </c>
      <c r="P182" s="300">
        <f t="shared" si="105"/>
        <v>6.6483339483976486E-2</v>
      </c>
      <c r="Q182" s="300">
        <f t="shared" si="105"/>
        <v>7.3714874755411428E-2</v>
      </c>
      <c r="R182" s="300">
        <f t="shared" si="105"/>
        <v>8.0370790002846082E-2</v>
      </c>
      <c r="S182" s="300">
        <f t="shared" si="105"/>
        <v>8.6552156453942833E-2</v>
      </c>
      <c r="T182" s="300">
        <f t="shared" si="105"/>
        <v>9.2211427906585777E-2</v>
      </c>
      <c r="U182" s="300">
        <f t="shared" si="105"/>
        <v>9.7299612461089688E-2</v>
      </c>
      <c r="V182" s="300">
        <f t="shared" si="105"/>
        <v>0.10176627663926952</v>
      </c>
      <c r="W182" s="300">
        <f t="shared" si="105"/>
        <v>0.10555955115887598</v>
      </c>
      <c r="X182" s="300">
        <f t="shared" si="105"/>
        <v>0.11335965558635575</v>
      </c>
      <c r="Y182" s="300">
        <f t="shared" si="105"/>
        <v>0.1200373325017986</v>
      </c>
      <c r="Z182" s="300">
        <f t="shared" si="105"/>
        <v>0.1259163648562113</v>
      </c>
      <c r="AA182" s="300">
        <f t="shared" si="105"/>
        <v>0.13051377033004335</v>
      </c>
      <c r="AB182" s="300">
        <f t="shared" si="105"/>
        <v>0.13372250574463121</v>
      </c>
      <c r="AC182" s="300">
        <f t="shared" si="105"/>
        <v>0.1354334967657615</v>
      </c>
      <c r="AD182" s="300">
        <f t="shared" si="105"/>
        <v>0.13553278150781362</v>
      </c>
      <c r="AE182" s="300">
        <f t="shared" si="105"/>
        <v>0.13390282727113356</v>
      </c>
      <c r="AF182" s="300">
        <f t="shared" si="105"/>
        <v>0.13042251607364472</v>
      </c>
      <c r="AG182" s="300">
        <f t="shared" si="105"/>
        <v>0.12496713312100402</v>
      </c>
      <c r="AH182" s="245"/>
      <c r="AI182" s="423"/>
      <c r="AJ182" s="424"/>
      <c r="AL182" s="221"/>
      <c r="AM182" s="124"/>
      <c r="AN182" s="124"/>
      <c r="AO182" s="124"/>
      <c r="BD182" s="124"/>
      <c r="BE182" s="124"/>
      <c r="BF182" s="124"/>
      <c r="BG182" s="124"/>
      <c r="BH182" s="124"/>
      <c r="BI182" s="124"/>
      <c r="BJ182" s="124"/>
      <c r="BK182" s="124"/>
    </row>
    <row r="183" spans="1:63" outlineLevel="1">
      <c r="A183" s="4" t="s">
        <v>474</v>
      </c>
      <c r="C183" s="230">
        <f t="shared" ref="C183:R186" si="106">C178-$C178</f>
        <v>0</v>
      </c>
      <c r="D183" s="230">
        <f t="shared" ref="D183:AG183" si="107">D178-$C178</f>
        <v>0</v>
      </c>
      <c r="E183" s="230">
        <f t="shared" si="107"/>
        <v>0</v>
      </c>
      <c r="F183" s="230">
        <f t="shared" si="107"/>
        <v>0</v>
      </c>
      <c r="G183" s="230">
        <f t="shared" si="107"/>
        <v>0</v>
      </c>
      <c r="H183" s="230">
        <f t="shared" si="107"/>
        <v>0</v>
      </c>
      <c r="I183" s="230">
        <f t="shared" si="107"/>
        <v>0</v>
      </c>
      <c r="J183" s="230">
        <f t="shared" si="107"/>
        <v>0</v>
      </c>
      <c r="K183" s="230">
        <f t="shared" si="107"/>
        <v>0</v>
      </c>
      <c r="L183" s="230">
        <f t="shared" si="107"/>
        <v>0</v>
      </c>
      <c r="M183" s="230">
        <f t="shared" si="107"/>
        <v>0</v>
      </c>
      <c r="N183" s="230">
        <f t="shared" si="107"/>
        <v>0</v>
      </c>
      <c r="O183" s="230">
        <f t="shared" si="107"/>
        <v>0</v>
      </c>
      <c r="P183" s="230">
        <f t="shared" si="107"/>
        <v>0</v>
      </c>
      <c r="Q183" s="230">
        <f t="shared" si="107"/>
        <v>0</v>
      </c>
      <c r="R183" s="230">
        <f t="shared" si="107"/>
        <v>0</v>
      </c>
      <c r="S183" s="230">
        <f t="shared" si="107"/>
        <v>0</v>
      </c>
      <c r="T183" s="230">
        <f t="shared" si="107"/>
        <v>0</v>
      </c>
      <c r="U183" s="230">
        <f t="shared" si="107"/>
        <v>0</v>
      </c>
      <c r="V183" s="230">
        <f t="shared" si="107"/>
        <v>0</v>
      </c>
      <c r="W183" s="230">
        <f t="shared" si="107"/>
        <v>0</v>
      </c>
      <c r="X183" s="230">
        <f t="shared" si="107"/>
        <v>0</v>
      </c>
      <c r="Y183" s="230">
        <f t="shared" si="107"/>
        <v>0</v>
      </c>
      <c r="Z183" s="230">
        <f t="shared" si="107"/>
        <v>0</v>
      </c>
      <c r="AA183" s="230">
        <f t="shared" si="107"/>
        <v>0</v>
      </c>
      <c r="AB183" s="230">
        <f t="shared" si="107"/>
        <v>0</v>
      </c>
      <c r="AC183" s="230">
        <f t="shared" si="107"/>
        <v>0</v>
      </c>
      <c r="AD183" s="230">
        <f t="shared" si="107"/>
        <v>0</v>
      </c>
      <c r="AE183" s="230">
        <f t="shared" si="107"/>
        <v>0</v>
      </c>
      <c r="AF183" s="230">
        <f t="shared" si="107"/>
        <v>0</v>
      </c>
      <c r="AG183" s="230">
        <f t="shared" si="107"/>
        <v>0</v>
      </c>
      <c r="AH183" s="245"/>
      <c r="AI183" s="133"/>
      <c r="AJ183" s="211"/>
      <c r="AL183" s="108"/>
      <c r="AM183" s="2"/>
      <c r="AN183" s="2"/>
      <c r="AO183" s="2"/>
      <c r="BC183" s="1"/>
      <c r="BD183" s="2"/>
      <c r="BE183" s="2"/>
      <c r="BF183" s="2"/>
      <c r="BG183" s="2"/>
      <c r="BH183" s="2"/>
      <c r="BI183" s="2"/>
      <c r="BJ183" s="2"/>
      <c r="BK183" s="2"/>
    </row>
    <row r="184" spans="1:63" outlineLevel="1">
      <c r="A184" s="4" t="s">
        <v>478</v>
      </c>
      <c r="C184" s="230">
        <f t="shared" si="106"/>
        <v>0</v>
      </c>
      <c r="D184" s="230">
        <f t="shared" si="106"/>
        <v>2.1351390972474075E-3</v>
      </c>
      <c r="E184" s="230">
        <f t="shared" si="106"/>
        <v>4.1476285955834736E-3</v>
      </c>
      <c r="F184" s="230">
        <f t="shared" si="106"/>
        <v>6.009478396117221E-3</v>
      </c>
      <c r="G184" s="230">
        <f t="shared" si="106"/>
        <v>7.6948947348449981E-3</v>
      </c>
      <c r="H184" s="230">
        <f t="shared" si="106"/>
        <v>9.1808416509564054E-3</v>
      </c>
      <c r="I184" s="230">
        <f t="shared" si="106"/>
        <v>1.0489845785000129E-2</v>
      </c>
      <c r="J184" s="230">
        <f t="shared" si="106"/>
        <v>1.1612768069793087E-2</v>
      </c>
      <c r="K184" s="230">
        <f t="shared" si="106"/>
        <v>1.254168697972682E-2</v>
      </c>
      <c r="L184" s="230">
        <f t="shared" si="106"/>
        <v>1.3270026318650631E-2</v>
      </c>
      <c r="M184" s="230">
        <f t="shared" si="106"/>
        <v>1.379268178305651E-2</v>
      </c>
      <c r="N184" s="230">
        <f t="shared" si="106"/>
        <v>1.5788637656313245E-2</v>
      </c>
      <c r="O184" s="230">
        <f t="shared" si="106"/>
        <v>1.7330358233680562E-2</v>
      </c>
      <c r="P184" s="230">
        <f t="shared" si="106"/>
        <v>1.846408087287749E-2</v>
      </c>
      <c r="Q184" s="230">
        <f t="shared" si="106"/>
        <v>1.9135782804403503E-2</v>
      </c>
      <c r="R184" s="230">
        <f t="shared" si="106"/>
        <v>1.934906363404041E-2</v>
      </c>
      <c r="S184" s="230">
        <f t="shared" ref="S184:AG184" si="108">S179-$C179</f>
        <v>1.9166280834109685E-2</v>
      </c>
      <c r="T184" s="230">
        <f t="shared" si="108"/>
        <v>1.8603422335755737E-2</v>
      </c>
      <c r="U184" s="230">
        <f t="shared" si="108"/>
        <v>1.7679906411633233E-2</v>
      </c>
      <c r="V184" s="230">
        <f t="shared" si="108"/>
        <v>1.6418726041355851E-2</v>
      </c>
      <c r="W184" s="230">
        <f t="shared" si="108"/>
        <v>1.4846593114975853E-2</v>
      </c>
      <c r="X184" s="230">
        <f t="shared" si="108"/>
        <v>1.3839611275178156E-2</v>
      </c>
      <c r="Y184" s="230">
        <f t="shared" si="108"/>
        <v>1.2344789471462427E-2</v>
      </c>
      <c r="Z184" s="230">
        <f t="shared" si="108"/>
        <v>1.0473942851173781E-2</v>
      </c>
      <c r="AA184" s="230">
        <f t="shared" si="108"/>
        <v>8.2171088447782377E-3</v>
      </c>
      <c r="AB184" s="230">
        <f t="shared" si="108"/>
        <v>5.6399754549162733E-3</v>
      </c>
      <c r="AC184" s="230">
        <f t="shared" si="108"/>
        <v>2.8165675165977011E-3</v>
      </c>
      <c r="AD184" s="230">
        <f t="shared" si="108"/>
        <v>-1.7072181322229894E-4</v>
      </c>
      <c r="AE184" s="230">
        <f t="shared" si="108"/>
        <v>-3.2305937640199969E-3</v>
      </c>
      <c r="AF184" s="230">
        <f t="shared" si="108"/>
        <v>-6.2624898832708744E-3</v>
      </c>
      <c r="AG184" s="230">
        <f t="shared" si="108"/>
        <v>-9.1562362450641442E-3</v>
      </c>
      <c r="AH184" s="245"/>
      <c r="AI184" s="133"/>
      <c r="AJ184" s="211"/>
      <c r="AL184" s="108"/>
      <c r="AM184" s="2"/>
      <c r="AN184" s="2"/>
      <c r="AO184" s="2"/>
      <c r="BC184" s="1"/>
      <c r="BD184" s="2"/>
      <c r="BE184" s="2"/>
      <c r="BF184" s="2"/>
      <c r="BG184" s="2"/>
      <c r="BH184" s="2"/>
      <c r="BI184" s="2"/>
      <c r="BJ184" s="2"/>
      <c r="BK184" s="2"/>
    </row>
    <row r="185" spans="1:63" outlineLevel="1">
      <c r="A185" s="4" t="s">
        <v>745</v>
      </c>
      <c r="C185" s="230">
        <f t="shared" si="106"/>
        <v>0</v>
      </c>
      <c r="D185" s="230">
        <f t="shared" si="106"/>
        <v>3.3554426216671505E-4</v>
      </c>
      <c r="E185" s="230">
        <f t="shared" si="106"/>
        <v>8.1893750078557864E-4</v>
      </c>
      <c r="F185" s="230">
        <f t="shared" si="106"/>
        <v>1.4521829752727909E-3</v>
      </c>
      <c r="G185" s="230">
        <f t="shared" si="106"/>
        <v>2.2341723259830673E-3</v>
      </c>
      <c r="H185" s="230">
        <f t="shared" si="106"/>
        <v>3.160538579314844E-3</v>
      </c>
      <c r="I185" s="230">
        <f t="shared" si="106"/>
        <v>4.2326945806532559E-3</v>
      </c>
      <c r="J185" s="230">
        <f t="shared" si="106"/>
        <v>5.4473697018702612E-3</v>
      </c>
      <c r="K185" s="230">
        <f t="shared" si="106"/>
        <v>6.7996482151752797E-3</v>
      </c>
      <c r="L185" s="230">
        <f t="shared" si="106"/>
        <v>8.2828746244218796E-3</v>
      </c>
      <c r="M185" s="230">
        <f t="shared" si="106"/>
        <v>9.8885631059501718E-3</v>
      </c>
      <c r="N185" s="230">
        <f t="shared" si="106"/>
        <v>1.2445758439661971E-2</v>
      </c>
      <c r="O185" s="230">
        <f t="shared" si="106"/>
        <v>1.5217238020769398E-2</v>
      </c>
      <c r="P185" s="230">
        <f t="shared" si="106"/>
        <v>1.8202207541225403E-2</v>
      </c>
      <c r="Q185" s="230">
        <f t="shared" si="106"/>
        <v>2.1334033133480725E-2</v>
      </c>
      <c r="R185" s="230">
        <f t="shared" si="106"/>
        <v>2.4565555235602787E-2</v>
      </c>
      <c r="S185" s="230">
        <f t="shared" ref="S185:AG185" si="109">S180-$C180</f>
        <v>2.7894897166314166E-2</v>
      </c>
      <c r="T185" s="230">
        <f t="shared" si="109"/>
        <v>3.1283883494738297E-2</v>
      </c>
      <c r="U185" s="230">
        <f t="shared" si="109"/>
        <v>3.4690640733806136E-2</v>
      </c>
      <c r="V185" s="230">
        <f t="shared" si="109"/>
        <v>3.8069475041296479E-2</v>
      </c>
      <c r="W185" s="230">
        <f t="shared" si="109"/>
        <v>4.1370750909871419E-2</v>
      </c>
      <c r="X185" s="230">
        <f t="shared" si="109"/>
        <v>4.6240995579851951E-2</v>
      </c>
      <c r="Y185" s="230">
        <f t="shared" si="109"/>
        <v>5.0955708307904156E-2</v>
      </c>
      <c r="Z185" s="230">
        <f t="shared" si="109"/>
        <v>5.5584669573367211E-2</v>
      </c>
      <c r="AA185" s="230">
        <f t="shared" si="109"/>
        <v>5.98886340774211E-2</v>
      </c>
      <c r="AB185" s="230">
        <f t="shared" si="109"/>
        <v>6.3756065948280746E-2</v>
      </c>
      <c r="AC185" s="230">
        <f t="shared" si="109"/>
        <v>6.7067202483994684E-2</v>
      </c>
      <c r="AD185" s="230">
        <f t="shared" si="109"/>
        <v>6.9692561323226612E-2</v>
      </c>
      <c r="AE185" s="230">
        <f t="shared" si="109"/>
        <v>7.1493153065799994E-2</v>
      </c>
      <c r="AF185" s="230">
        <f t="shared" si="109"/>
        <v>7.2320168716290004E-2</v>
      </c>
      <c r="AG185" s="230">
        <f t="shared" si="109"/>
        <v>7.2014667150638145E-2</v>
      </c>
      <c r="AH185" s="245"/>
      <c r="AI185" s="133"/>
      <c r="AJ185" s="211"/>
      <c r="AL185" s="108"/>
      <c r="AM185" s="2"/>
      <c r="AN185" s="2"/>
      <c r="AO185" s="2"/>
      <c r="BC185" s="1"/>
      <c r="BD185" s="2"/>
      <c r="BE185" s="2"/>
      <c r="BF185" s="2"/>
      <c r="BG185" s="2"/>
      <c r="BH185" s="2"/>
      <c r="BI185" s="2"/>
      <c r="BJ185" s="2"/>
      <c r="BK185" s="2"/>
    </row>
    <row r="186" spans="1:63" outlineLevel="1">
      <c r="A186" s="4" t="s">
        <v>1561</v>
      </c>
      <c r="C186" s="230">
        <f t="shared" si="106"/>
        <v>0</v>
      </c>
      <c r="D186" s="230">
        <f t="shared" si="106"/>
        <v>1.7691767644964496E-3</v>
      </c>
      <c r="E186" s="230">
        <f t="shared" si="106"/>
        <v>3.5952994150090876E-3</v>
      </c>
      <c r="F186" s="230">
        <f t="shared" si="106"/>
        <v>5.4612498066968305E-3</v>
      </c>
      <c r="G186" s="230">
        <f t="shared" si="106"/>
        <v>7.348449753942379E-3</v>
      </c>
      <c r="H186" s="230">
        <f t="shared" si="106"/>
        <v>9.2371030665367986E-3</v>
      </c>
      <c r="I186" s="230">
        <f t="shared" si="106"/>
        <v>1.1143856869213568E-2</v>
      </c>
      <c r="J186" s="230">
        <f t="shared" si="106"/>
        <v>1.3059397986982508E-2</v>
      </c>
      <c r="K186" s="230">
        <f t="shared" si="106"/>
        <v>1.4973679615793498E-2</v>
      </c>
      <c r="L186" s="230">
        <f t="shared" si="106"/>
        <v>1.6875918327518225E-2</v>
      </c>
      <c r="M186" s="230">
        <f t="shared" si="106"/>
        <v>1.8754594142048532E-2</v>
      </c>
      <c r="N186" s="230">
        <f t="shared" si="106"/>
        <v>2.253718448327479E-2</v>
      </c>
      <c r="O186" s="230">
        <f t="shared" si="106"/>
        <v>2.6214448785155081E-2</v>
      </c>
      <c r="P186" s="230">
        <f t="shared" si="106"/>
        <v>2.9817051069873597E-2</v>
      </c>
      <c r="Q186" s="230">
        <f t="shared" si="106"/>
        <v>3.32450588175272E-2</v>
      </c>
      <c r="R186" s="230">
        <f t="shared" si="106"/>
        <v>3.6456171133202889E-2</v>
      </c>
      <c r="S186" s="230">
        <f t="shared" ref="S186:AG186" si="110">S181-$C181</f>
        <v>3.9490978453518989E-2</v>
      </c>
      <c r="T186" s="230">
        <f t="shared" si="110"/>
        <v>4.232412207609175E-2</v>
      </c>
      <c r="U186" s="230">
        <f t="shared" si="110"/>
        <v>4.4929065315650323E-2</v>
      </c>
      <c r="V186" s="230">
        <f t="shared" si="110"/>
        <v>4.7278075556617186E-2</v>
      </c>
      <c r="W186" s="230">
        <f t="shared" si="110"/>
        <v>4.9342207134028718E-2</v>
      </c>
      <c r="X186" s="230">
        <f t="shared" si="110"/>
        <v>5.3279048731325641E-2</v>
      </c>
      <c r="Y186" s="230">
        <f t="shared" si="110"/>
        <v>5.6736834722432017E-2</v>
      </c>
      <c r="Z186" s="230">
        <f t="shared" si="110"/>
        <v>5.9857752431670311E-2</v>
      </c>
      <c r="AA186" s="230">
        <f t="shared" si="110"/>
        <v>6.2408027407844027E-2</v>
      </c>
      <c r="AB186" s="230">
        <f t="shared" si="110"/>
        <v>6.43264643414342E-2</v>
      </c>
      <c r="AC186" s="230">
        <f t="shared" si="110"/>
        <v>6.5549726765169111E-2</v>
      </c>
      <c r="AD186" s="230">
        <f t="shared" si="110"/>
        <v>6.6010941997809311E-2</v>
      </c>
      <c r="AE186" s="230">
        <f t="shared" si="110"/>
        <v>6.5640267969353586E-2</v>
      </c>
      <c r="AF186" s="230">
        <f t="shared" si="110"/>
        <v>6.4364837240625611E-2</v>
      </c>
      <c r="AG186" s="230">
        <f t="shared" si="110"/>
        <v>6.2108702215430023E-2</v>
      </c>
      <c r="AH186" s="245"/>
      <c r="AI186" s="133"/>
      <c r="AJ186" s="211"/>
      <c r="AL186" s="108"/>
      <c r="AM186" s="2"/>
      <c r="AN186" s="2"/>
      <c r="AO186" s="2"/>
      <c r="BC186" s="1"/>
      <c r="BD186" s="2"/>
      <c r="BE186" s="2"/>
      <c r="BF186" s="2"/>
      <c r="BG186" s="2"/>
      <c r="BH186" s="2"/>
      <c r="BI186" s="2"/>
      <c r="BJ186" s="2"/>
      <c r="BK186" s="2"/>
    </row>
    <row r="187" spans="1:63" outlineLevel="1">
      <c r="C187" s="110"/>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J187" s="211"/>
      <c r="AM187" s="123"/>
      <c r="AN187" s="123"/>
    </row>
    <row r="188" spans="1:63" s="200" customFormat="1" ht="16" thickBot="1">
      <c r="A188" s="200" t="s">
        <v>1339</v>
      </c>
      <c r="B188" s="215"/>
      <c r="C188" s="224">
        <f>C189</f>
        <v>0.13</v>
      </c>
      <c r="D188" s="224">
        <f t="shared" ref="D188:AG188" si="111">D189</f>
        <v>0.13557711853523402</v>
      </c>
      <c r="E188" s="224">
        <f t="shared" si="111"/>
        <v>0.14115423707046801</v>
      </c>
      <c r="F188" s="224">
        <f t="shared" si="111"/>
        <v>0.14673135560570202</v>
      </c>
      <c r="G188" s="224">
        <f t="shared" si="111"/>
        <v>0.15230847414093604</v>
      </c>
      <c r="H188" s="224">
        <f t="shared" si="111"/>
        <v>0.15788559267617003</v>
      </c>
      <c r="I188" s="224">
        <f t="shared" si="111"/>
        <v>0.16346271121140404</v>
      </c>
      <c r="J188" s="224">
        <f t="shared" si="111"/>
        <v>0.16903982974663806</v>
      </c>
      <c r="K188" s="224">
        <f t="shared" si="111"/>
        <v>0.17461694828187208</v>
      </c>
      <c r="L188" s="224">
        <f t="shared" si="111"/>
        <v>0.18019406681710606</v>
      </c>
      <c r="M188" s="224">
        <f t="shared" si="111"/>
        <v>0.18577118535234008</v>
      </c>
      <c r="N188" s="224">
        <f t="shared" si="111"/>
        <v>0.19752603518814099</v>
      </c>
      <c r="O188" s="224">
        <f t="shared" si="111"/>
        <v>0.20928088502394188</v>
      </c>
      <c r="P188" s="224">
        <f t="shared" si="111"/>
        <v>0.22103573485974279</v>
      </c>
      <c r="Q188" s="224">
        <f t="shared" si="111"/>
        <v>0.2327905846955437</v>
      </c>
      <c r="R188" s="224">
        <f t="shared" si="111"/>
        <v>0.24454543453134459</v>
      </c>
      <c r="S188" s="224">
        <f t="shared" si="111"/>
        <v>0.25630028436714547</v>
      </c>
      <c r="T188" s="224">
        <f t="shared" si="111"/>
        <v>0.26805513420294641</v>
      </c>
      <c r="U188" s="224">
        <f t="shared" si="111"/>
        <v>0.27980998403874729</v>
      </c>
      <c r="V188" s="224">
        <f t="shared" si="111"/>
        <v>0.29156483387454823</v>
      </c>
      <c r="W188" s="224">
        <f t="shared" si="111"/>
        <v>0.30331968371034912</v>
      </c>
      <c r="X188" s="224">
        <f t="shared" si="111"/>
        <v>0.3229877153393142</v>
      </c>
      <c r="Y188" s="224">
        <f t="shared" si="111"/>
        <v>0.34265574696827927</v>
      </c>
      <c r="Z188" s="224">
        <f t="shared" si="111"/>
        <v>0.36232377859724441</v>
      </c>
      <c r="AA188" s="224">
        <f t="shared" si="111"/>
        <v>0.38199181022620948</v>
      </c>
      <c r="AB188" s="224">
        <f t="shared" si="111"/>
        <v>0.40165984185517456</v>
      </c>
      <c r="AC188" s="224">
        <f t="shared" si="111"/>
        <v>0.42132787348413964</v>
      </c>
      <c r="AD188" s="224">
        <f t="shared" si="111"/>
        <v>0.44099590511310471</v>
      </c>
      <c r="AE188" s="224">
        <f t="shared" si="111"/>
        <v>0.46066393674206985</v>
      </c>
      <c r="AF188" s="224">
        <f t="shared" si="111"/>
        <v>0.48033196837103487</v>
      </c>
      <c r="AG188" s="224">
        <f t="shared" si="111"/>
        <v>0.5</v>
      </c>
      <c r="AJ188" s="231" t="s">
        <v>1340</v>
      </c>
      <c r="AL188" s="217"/>
      <c r="AM188" s="225"/>
      <c r="AN188" s="225"/>
      <c r="AO188" s="225"/>
    </row>
    <row r="189" spans="1:63" ht="16" outlineLevel="1" thickTop="1">
      <c r="A189" t="s">
        <v>1341</v>
      </c>
      <c r="B189" s="54" t="s">
        <v>462</v>
      </c>
      <c r="C189" s="214">
        <v>0.13</v>
      </c>
      <c r="D189" s="110">
        <f>$C189+($M189-$C189)/10*(D$1-$C$1)</f>
        <v>0.13557711853523402</v>
      </c>
      <c r="E189" s="110">
        <f t="shared" ref="E189:L189" si="112">$C189+($M189-$C189)/10*(E$1-$C$1)</f>
        <v>0.14115423707046801</v>
      </c>
      <c r="F189" s="110">
        <f t="shared" si="112"/>
        <v>0.14673135560570202</v>
      </c>
      <c r="G189" s="110">
        <f t="shared" si="112"/>
        <v>0.15230847414093604</v>
      </c>
      <c r="H189" s="110">
        <f t="shared" si="112"/>
        <v>0.15788559267617003</v>
      </c>
      <c r="I189" s="110">
        <f t="shared" si="112"/>
        <v>0.16346271121140404</v>
      </c>
      <c r="J189" s="110">
        <f t="shared" si="112"/>
        <v>0.16903982974663806</v>
      </c>
      <c r="K189" s="110">
        <f t="shared" si="112"/>
        <v>0.17461694828187208</v>
      </c>
      <c r="L189" s="110">
        <f t="shared" si="112"/>
        <v>0.18019406681710606</v>
      </c>
      <c r="M189" s="121">
        <f>(M$52-$C$52)/($AG$52-$C$52)*($AG189-$C189)+$C189</f>
        <v>0.18577118535234008</v>
      </c>
      <c r="N189" s="121">
        <f>$M189+($W189-$M189)/10*(N$1-$M$1)</f>
        <v>0.19752603518814099</v>
      </c>
      <c r="O189" s="121">
        <f t="shared" ref="O189:U189" si="113">$M189+($W189-$M189)/10*(O$1-$M$1)</f>
        <v>0.20928088502394188</v>
      </c>
      <c r="P189" s="121">
        <f t="shared" si="113"/>
        <v>0.22103573485974279</v>
      </c>
      <c r="Q189" s="121">
        <f t="shared" si="113"/>
        <v>0.2327905846955437</v>
      </c>
      <c r="R189" s="121">
        <f t="shared" si="113"/>
        <v>0.24454543453134459</v>
      </c>
      <c r="S189" s="121">
        <f t="shared" si="113"/>
        <v>0.25630028436714547</v>
      </c>
      <c r="T189" s="121">
        <f t="shared" si="113"/>
        <v>0.26805513420294641</v>
      </c>
      <c r="U189" s="121">
        <f t="shared" si="113"/>
        <v>0.27980998403874729</v>
      </c>
      <c r="V189" s="121">
        <f>$M189+($W189-$M189)/10*(V$1-$M$1)</f>
        <v>0.29156483387454823</v>
      </c>
      <c r="W189" s="121">
        <f>(W$52-$C$52)/($AG$52-$C$52)*($AG189-$C189)+$C189</f>
        <v>0.30331968371034912</v>
      </c>
      <c r="X189" s="110">
        <f>$W189+($AG189-$W189)/10*(X$1-$W$1)</f>
        <v>0.3229877153393142</v>
      </c>
      <c r="Y189" s="110">
        <f t="shared" ref="Y189:AF189" si="114">$W189+($AG189-$W189)/10*(Y$1-$W$1)</f>
        <v>0.34265574696827927</v>
      </c>
      <c r="Z189" s="110">
        <f t="shared" si="114"/>
        <v>0.36232377859724441</v>
      </c>
      <c r="AA189" s="110">
        <f t="shared" si="114"/>
        <v>0.38199181022620948</v>
      </c>
      <c r="AB189" s="110">
        <f t="shared" si="114"/>
        <v>0.40165984185517456</v>
      </c>
      <c r="AC189" s="110">
        <f t="shared" si="114"/>
        <v>0.42132787348413964</v>
      </c>
      <c r="AD189" s="110">
        <f t="shared" si="114"/>
        <v>0.44099590511310471</v>
      </c>
      <c r="AE189" s="110">
        <f t="shared" si="114"/>
        <v>0.46066393674206985</v>
      </c>
      <c r="AF189" s="110">
        <f t="shared" si="114"/>
        <v>0.48033196837103487</v>
      </c>
      <c r="AG189" s="214">
        <v>0.5</v>
      </c>
      <c r="AJ189" s="211" t="s">
        <v>1342</v>
      </c>
    </row>
    <row r="190" spans="1:63" outlineLevel="1">
      <c r="A190" t="s">
        <v>1453</v>
      </c>
      <c r="B190" s="54" t="s">
        <v>462</v>
      </c>
      <c r="C190" s="214">
        <v>0.05</v>
      </c>
      <c r="D190" s="110">
        <f t="shared" ref="D190:AF190" si="115">C190-($C$190-$AG$190)/($AG$1-$C$1)</f>
        <v>5.8333333333333334E-2</v>
      </c>
      <c r="E190" s="110">
        <f t="shared" si="115"/>
        <v>6.6666666666666666E-2</v>
      </c>
      <c r="F190" s="110">
        <f t="shared" si="115"/>
        <v>7.4999999999999997E-2</v>
      </c>
      <c r="G190" s="110">
        <f t="shared" si="115"/>
        <v>8.3333333333333329E-2</v>
      </c>
      <c r="H190" s="110">
        <f t="shared" si="115"/>
        <v>9.166666666666666E-2</v>
      </c>
      <c r="I190" s="110">
        <f t="shared" si="115"/>
        <v>9.9999999999999992E-2</v>
      </c>
      <c r="J190" s="110">
        <f t="shared" si="115"/>
        <v>0.10833333333333332</v>
      </c>
      <c r="K190" s="110">
        <f t="shared" si="115"/>
        <v>0.11666666666666665</v>
      </c>
      <c r="L190" s="110">
        <f t="shared" si="115"/>
        <v>0.12499999999999999</v>
      </c>
      <c r="M190" s="110">
        <f t="shared" si="115"/>
        <v>0.13333333333333333</v>
      </c>
      <c r="N190" s="110">
        <f t="shared" si="115"/>
        <v>0.14166666666666666</v>
      </c>
      <c r="O190" s="110">
        <f t="shared" si="115"/>
        <v>0.15</v>
      </c>
      <c r="P190" s="110">
        <f t="shared" si="115"/>
        <v>0.15833333333333333</v>
      </c>
      <c r="Q190" s="110">
        <f t="shared" si="115"/>
        <v>0.16666666666666666</v>
      </c>
      <c r="R190" s="110">
        <f t="shared" si="115"/>
        <v>0.17499999999999999</v>
      </c>
      <c r="S190" s="110">
        <f t="shared" si="115"/>
        <v>0.18333333333333332</v>
      </c>
      <c r="T190" s="110">
        <f t="shared" si="115"/>
        <v>0.19166666666666665</v>
      </c>
      <c r="U190" s="110">
        <f t="shared" si="115"/>
        <v>0.19999999999999998</v>
      </c>
      <c r="V190" s="110">
        <f t="shared" si="115"/>
        <v>0.20833333333333331</v>
      </c>
      <c r="W190" s="110">
        <f t="shared" si="115"/>
        <v>0.21666666666666665</v>
      </c>
      <c r="X190" s="110">
        <f t="shared" si="115"/>
        <v>0.22499999999999998</v>
      </c>
      <c r="Y190" s="110">
        <f t="shared" si="115"/>
        <v>0.23333333333333331</v>
      </c>
      <c r="Z190" s="110">
        <f t="shared" si="115"/>
        <v>0.24166666666666664</v>
      </c>
      <c r="AA190" s="110">
        <f t="shared" si="115"/>
        <v>0.24999999999999997</v>
      </c>
      <c r="AB190" s="110">
        <f t="shared" si="115"/>
        <v>0.2583333333333333</v>
      </c>
      <c r="AC190" s="110">
        <f t="shared" si="115"/>
        <v>0.26666666666666666</v>
      </c>
      <c r="AD190" s="110">
        <f t="shared" si="115"/>
        <v>0.27500000000000002</v>
      </c>
      <c r="AE190" s="110">
        <f t="shared" si="115"/>
        <v>0.28333333333333338</v>
      </c>
      <c r="AF190" s="110">
        <f t="shared" si="115"/>
        <v>0.29166666666666674</v>
      </c>
      <c r="AG190" s="214">
        <v>0.3</v>
      </c>
      <c r="AI190" s="135"/>
      <c r="AJ190" s="211" t="s">
        <v>1454</v>
      </c>
      <c r="AM190" s="123"/>
      <c r="AN190" s="123"/>
    </row>
    <row r="191" spans="1:63" ht="14.5" customHeight="1" outlineLevel="1">
      <c r="A191" t="s">
        <v>1455</v>
      </c>
      <c r="B191" s="176" t="s">
        <v>462</v>
      </c>
      <c r="C191" s="110">
        <f>1-C190</f>
        <v>0.95</v>
      </c>
      <c r="D191" s="110">
        <f t="shared" ref="D191:AG191" si="116">1-D190</f>
        <v>0.94166666666666665</v>
      </c>
      <c r="E191" s="110">
        <f t="shared" si="116"/>
        <v>0.93333333333333335</v>
      </c>
      <c r="F191" s="110">
        <f t="shared" si="116"/>
        <v>0.92500000000000004</v>
      </c>
      <c r="G191" s="110">
        <f t="shared" si="116"/>
        <v>0.91666666666666663</v>
      </c>
      <c r="H191" s="110">
        <f t="shared" si="116"/>
        <v>0.90833333333333333</v>
      </c>
      <c r="I191" s="110">
        <f t="shared" si="116"/>
        <v>0.9</v>
      </c>
      <c r="J191" s="110">
        <f t="shared" si="116"/>
        <v>0.89166666666666672</v>
      </c>
      <c r="K191" s="110">
        <f t="shared" si="116"/>
        <v>0.8833333333333333</v>
      </c>
      <c r="L191" s="110">
        <f t="shared" si="116"/>
        <v>0.875</v>
      </c>
      <c r="M191" s="110">
        <f t="shared" si="116"/>
        <v>0.8666666666666667</v>
      </c>
      <c r="N191" s="110">
        <f t="shared" si="116"/>
        <v>0.85833333333333339</v>
      </c>
      <c r="O191" s="110">
        <f t="shared" si="116"/>
        <v>0.85</v>
      </c>
      <c r="P191" s="110">
        <f t="shared" si="116"/>
        <v>0.84166666666666667</v>
      </c>
      <c r="Q191" s="110">
        <f t="shared" si="116"/>
        <v>0.83333333333333337</v>
      </c>
      <c r="R191" s="110">
        <f t="shared" si="116"/>
        <v>0.82499999999999996</v>
      </c>
      <c r="S191" s="110">
        <f t="shared" si="116"/>
        <v>0.81666666666666665</v>
      </c>
      <c r="T191" s="110">
        <f t="shared" si="116"/>
        <v>0.80833333333333335</v>
      </c>
      <c r="U191" s="110">
        <f t="shared" si="116"/>
        <v>0.8</v>
      </c>
      <c r="V191" s="110">
        <f t="shared" si="116"/>
        <v>0.79166666666666674</v>
      </c>
      <c r="W191" s="110">
        <f t="shared" si="116"/>
        <v>0.78333333333333333</v>
      </c>
      <c r="X191" s="110">
        <f t="shared" si="116"/>
        <v>0.77500000000000002</v>
      </c>
      <c r="Y191" s="110">
        <f t="shared" si="116"/>
        <v>0.76666666666666672</v>
      </c>
      <c r="Z191" s="110">
        <f t="shared" si="116"/>
        <v>0.7583333333333333</v>
      </c>
      <c r="AA191" s="110">
        <f t="shared" si="116"/>
        <v>0.75</v>
      </c>
      <c r="AB191" s="110">
        <f t="shared" si="116"/>
        <v>0.7416666666666667</v>
      </c>
      <c r="AC191" s="110">
        <f t="shared" si="116"/>
        <v>0.73333333333333339</v>
      </c>
      <c r="AD191" s="110">
        <f t="shared" si="116"/>
        <v>0.72499999999999998</v>
      </c>
      <c r="AE191" s="110">
        <f t="shared" si="116"/>
        <v>0.71666666666666656</v>
      </c>
      <c r="AF191" s="110">
        <f t="shared" si="116"/>
        <v>0.70833333333333326</v>
      </c>
      <c r="AG191" s="110">
        <f t="shared" si="116"/>
        <v>0.7</v>
      </c>
      <c r="AI191" s="135" t="s">
        <v>1456</v>
      </c>
      <c r="AJ191" s="211"/>
    </row>
    <row r="192" spans="1:63" outlineLevel="1">
      <c r="A192" t="s">
        <v>1343</v>
      </c>
      <c r="B192" s="54" t="s">
        <v>462</v>
      </c>
      <c r="C192" s="110">
        <f>C189*C190</f>
        <v>6.5000000000000006E-3</v>
      </c>
      <c r="D192" s="110">
        <f t="shared" ref="D192:AG192" si="117">D189*D190</f>
        <v>7.9086652478886511E-3</v>
      </c>
      <c r="E192" s="110">
        <f t="shared" si="117"/>
        <v>9.4102824713645332E-3</v>
      </c>
      <c r="F192" s="110">
        <f t="shared" si="117"/>
        <v>1.1004851670427652E-2</v>
      </c>
      <c r="G192" s="110">
        <f t="shared" si="117"/>
        <v>1.2692372845078003E-2</v>
      </c>
      <c r="H192" s="110">
        <f t="shared" si="117"/>
        <v>1.4472845995315585E-2</v>
      </c>
      <c r="I192" s="110">
        <f t="shared" si="117"/>
        <v>1.6346271121140402E-2</v>
      </c>
      <c r="J192" s="110">
        <f t="shared" si="117"/>
        <v>1.8312648222552456E-2</v>
      </c>
      <c r="K192" s="110">
        <f t="shared" si="117"/>
        <v>2.037197729955174E-2</v>
      </c>
      <c r="L192" s="110">
        <f t="shared" si="117"/>
        <v>2.2524258352138254E-2</v>
      </c>
      <c r="M192" s="110">
        <f t="shared" si="117"/>
        <v>2.4769491380312009E-2</v>
      </c>
      <c r="N192" s="110">
        <f t="shared" si="117"/>
        <v>2.7982854984986639E-2</v>
      </c>
      <c r="O192" s="110">
        <f t="shared" si="117"/>
        <v>3.1392132753591283E-2</v>
      </c>
      <c r="P192" s="110">
        <f t="shared" si="117"/>
        <v>3.4997324686125937E-2</v>
      </c>
      <c r="Q192" s="110">
        <f t="shared" si="117"/>
        <v>3.8798430782590612E-2</v>
      </c>
      <c r="R192" s="110">
        <f t="shared" si="117"/>
        <v>4.2795451042985301E-2</v>
      </c>
      <c r="S192" s="110">
        <f t="shared" si="117"/>
        <v>4.6988385467309997E-2</v>
      </c>
      <c r="T192" s="110">
        <f t="shared" si="117"/>
        <v>5.1377234055564727E-2</v>
      </c>
      <c r="U192" s="110">
        <f t="shared" si="117"/>
        <v>5.5961996807749458E-2</v>
      </c>
      <c r="V192" s="110">
        <f t="shared" si="117"/>
        <v>6.0742673723864209E-2</v>
      </c>
      <c r="W192" s="110">
        <f t="shared" si="117"/>
        <v>6.5719264803908967E-2</v>
      </c>
      <c r="X192" s="110">
        <f t="shared" si="117"/>
        <v>7.2672235951345684E-2</v>
      </c>
      <c r="Y192" s="110">
        <f t="shared" si="117"/>
        <v>7.9953007625931827E-2</v>
      </c>
      <c r="Z192" s="110">
        <f t="shared" si="117"/>
        <v>8.7561579827667393E-2</v>
      </c>
      <c r="AA192" s="110">
        <f t="shared" si="117"/>
        <v>9.5497952556552357E-2</v>
      </c>
      <c r="AB192" s="110">
        <f t="shared" si="117"/>
        <v>0.10376212581258674</v>
      </c>
      <c r="AC192" s="110">
        <f t="shared" si="117"/>
        <v>0.11235409959577057</v>
      </c>
      <c r="AD192" s="110">
        <f t="shared" si="117"/>
        <v>0.12127387390610381</v>
      </c>
      <c r="AE192" s="110">
        <f t="shared" si="117"/>
        <v>0.13052144874358648</v>
      </c>
      <c r="AF192" s="110">
        <f t="shared" si="117"/>
        <v>0.14009682410821853</v>
      </c>
      <c r="AG192" s="110">
        <f t="shared" si="117"/>
        <v>0.15</v>
      </c>
      <c r="AI192" s="134"/>
      <c r="AJ192" s="211"/>
      <c r="BD192" s="203"/>
      <c r="BE192" s="203"/>
    </row>
    <row r="193" spans="1:63" outlineLevel="1">
      <c r="A193" t="s">
        <v>1344</v>
      </c>
      <c r="B193" s="54" t="s">
        <v>462</v>
      </c>
      <c r="C193" s="110">
        <f>C189*C191</f>
        <v>0.1235</v>
      </c>
      <c r="D193" s="110">
        <f t="shared" ref="D193:AG193" si="118">D189*D191</f>
        <v>0.12766845328734536</v>
      </c>
      <c r="E193" s="110">
        <f t="shared" si="118"/>
        <v>0.13174395459910349</v>
      </c>
      <c r="F193" s="110">
        <f t="shared" si="118"/>
        <v>0.13572650393527438</v>
      </c>
      <c r="G193" s="110">
        <f t="shared" si="118"/>
        <v>0.13961610129585802</v>
      </c>
      <c r="H193" s="110">
        <f t="shared" si="118"/>
        <v>0.14341274668085444</v>
      </c>
      <c r="I193" s="110">
        <f t="shared" si="118"/>
        <v>0.14711644009026364</v>
      </c>
      <c r="J193" s="110">
        <f t="shared" si="118"/>
        <v>0.15072718152408562</v>
      </c>
      <c r="K193" s="110">
        <f t="shared" si="118"/>
        <v>0.15424497098232032</v>
      </c>
      <c r="L193" s="110">
        <f t="shared" si="118"/>
        <v>0.15766980846496781</v>
      </c>
      <c r="M193" s="110">
        <f t="shared" si="118"/>
        <v>0.16100169397202807</v>
      </c>
      <c r="N193" s="110">
        <f t="shared" si="118"/>
        <v>0.16954318020315437</v>
      </c>
      <c r="O193" s="110">
        <f t="shared" si="118"/>
        <v>0.17788875227035059</v>
      </c>
      <c r="P193" s="110">
        <f t="shared" si="118"/>
        <v>0.18603841017361686</v>
      </c>
      <c r="Q193" s="110">
        <f t="shared" si="118"/>
        <v>0.1939921539129531</v>
      </c>
      <c r="R193" s="110">
        <f t="shared" si="118"/>
        <v>0.20174998348835926</v>
      </c>
      <c r="S193" s="110">
        <f t="shared" si="118"/>
        <v>0.20931189889983545</v>
      </c>
      <c r="T193" s="110">
        <f t="shared" si="118"/>
        <v>0.2166779001473817</v>
      </c>
      <c r="U193" s="110">
        <f t="shared" si="118"/>
        <v>0.22384798723099786</v>
      </c>
      <c r="V193" s="110">
        <f t="shared" si="118"/>
        <v>0.23082216015068405</v>
      </c>
      <c r="W193" s="110">
        <f t="shared" si="118"/>
        <v>0.23760041890644015</v>
      </c>
      <c r="X193" s="110">
        <f t="shared" si="118"/>
        <v>0.2503154793879685</v>
      </c>
      <c r="Y193" s="110">
        <f t="shared" si="118"/>
        <v>0.26270273934234745</v>
      </c>
      <c r="Z193" s="110">
        <f t="shared" si="118"/>
        <v>0.27476219876957697</v>
      </c>
      <c r="AA193" s="110">
        <f t="shared" si="118"/>
        <v>0.28649385766965713</v>
      </c>
      <c r="AB193" s="110">
        <f t="shared" si="118"/>
        <v>0.2978977160425878</v>
      </c>
      <c r="AC193" s="110">
        <f t="shared" si="118"/>
        <v>0.30897377388836911</v>
      </c>
      <c r="AD193" s="110">
        <f t="shared" si="118"/>
        <v>0.31972203120700093</v>
      </c>
      <c r="AE193" s="110">
        <f t="shared" si="118"/>
        <v>0.33014248799848334</v>
      </c>
      <c r="AF193" s="110">
        <f t="shared" si="118"/>
        <v>0.34023514426281631</v>
      </c>
      <c r="AG193" s="110">
        <f t="shared" si="118"/>
        <v>0.35</v>
      </c>
      <c r="AI193" s="134"/>
      <c r="AJ193" s="211"/>
      <c r="BD193" s="203"/>
      <c r="BE193" s="203"/>
    </row>
    <row r="194" spans="1:63" outlineLevel="1">
      <c r="C194" s="110"/>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J194" s="211"/>
    </row>
    <row r="195" spans="1:63" outlineLevel="1">
      <c r="A195" t="s">
        <v>1441</v>
      </c>
      <c r="B195" s="54" t="s">
        <v>462</v>
      </c>
      <c r="C195" s="106">
        <v>0.5</v>
      </c>
      <c r="D195" s="110">
        <f>C195</f>
        <v>0.5</v>
      </c>
      <c r="E195" s="110">
        <f t="shared" ref="E195:AG195" si="119">D195</f>
        <v>0.5</v>
      </c>
      <c r="F195" s="110">
        <f t="shared" si="119"/>
        <v>0.5</v>
      </c>
      <c r="G195" s="110">
        <f t="shared" si="119"/>
        <v>0.5</v>
      </c>
      <c r="H195" s="110">
        <f t="shared" si="119"/>
        <v>0.5</v>
      </c>
      <c r="I195" s="110">
        <f t="shared" si="119"/>
        <v>0.5</v>
      </c>
      <c r="J195" s="110">
        <f t="shared" si="119"/>
        <v>0.5</v>
      </c>
      <c r="K195" s="110">
        <f t="shared" si="119"/>
        <v>0.5</v>
      </c>
      <c r="L195" s="110">
        <f t="shared" si="119"/>
        <v>0.5</v>
      </c>
      <c r="M195" s="110">
        <f t="shared" si="119"/>
        <v>0.5</v>
      </c>
      <c r="N195" s="110">
        <f t="shared" si="119"/>
        <v>0.5</v>
      </c>
      <c r="O195" s="110">
        <f t="shared" si="119"/>
        <v>0.5</v>
      </c>
      <c r="P195" s="110">
        <f t="shared" si="119"/>
        <v>0.5</v>
      </c>
      <c r="Q195" s="110">
        <f t="shared" si="119"/>
        <v>0.5</v>
      </c>
      <c r="R195" s="110">
        <f t="shared" si="119"/>
        <v>0.5</v>
      </c>
      <c r="S195" s="110">
        <f t="shared" si="119"/>
        <v>0.5</v>
      </c>
      <c r="T195" s="110">
        <f t="shared" si="119"/>
        <v>0.5</v>
      </c>
      <c r="U195" s="110">
        <f t="shared" si="119"/>
        <v>0.5</v>
      </c>
      <c r="V195" s="110">
        <f t="shared" si="119"/>
        <v>0.5</v>
      </c>
      <c r="W195" s="110">
        <f t="shared" si="119"/>
        <v>0.5</v>
      </c>
      <c r="X195" s="110">
        <f t="shared" si="119"/>
        <v>0.5</v>
      </c>
      <c r="Y195" s="110">
        <f t="shared" si="119"/>
        <v>0.5</v>
      </c>
      <c r="Z195" s="110">
        <f t="shared" si="119"/>
        <v>0.5</v>
      </c>
      <c r="AA195" s="110">
        <f t="shared" si="119"/>
        <v>0.5</v>
      </c>
      <c r="AB195" s="110">
        <f t="shared" si="119"/>
        <v>0.5</v>
      </c>
      <c r="AC195" s="110">
        <f t="shared" si="119"/>
        <v>0.5</v>
      </c>
      <c r="AD195" s="110">
        <f t="shared" si="119"/>
        <v>0.5</v>
      </c>
      <c r="AE195" s="110">
        <f t="shared" si="119"/>
        <v>0.5</v>
      </c>
      <c r="AF195" s="110">
        <f t="shared" si="119"/>
        <v>0.5</v>
      </c>
      <c r="AG195" s="110">
        <f t="shared" si="119"/>
        <v>0.5</v>
      </c>
      <c r="AI195" s="54"/>
      <c r="AJ195" s="211" t="s">
        <v>1457</v>
      </c>
    </row>
    <row r="196" spans="1:63" outlineLevel="1">
      <c r="A196" t="s">
        <v>1445</v>
      </c>
      <c r="B196" s="54" t="s">
        <v>462</v>
      </c>
      <c r="C196" s="121">
        <f>1-C195</f>
        <v>0.5</v>
      </c>
      <c r="D196" s="110">
        <f t="shared" ref="D196:AG196" si="120">C196</f>
        <v>0.5</v>
      </c>
      <c r="E196" s="110">
        <f t="shared" si="120"/>
        <v>0.5</v>
      </c>
      <c r="F196" s="110">
        <f t="shared" si="120"/>
        <v>0.5</v>
      </c>
      <c r="G196" s="110">
        <f t="shared" si="120"/>
        <v>0.5</v>
      </c>
      <c r="H196" s="110">
        <f t="shared" si="120"/>
        <v>0.5</v>
      </c>
      <c r="I196" s="110">
        <f t="shared" si="120"/>
        <v>0.5</v>
      </c>
      <c r="J196" s="110">
        <f t="shared" si="120"/>
        <v>0.5</v>
      </c>
      <c r="K196" s="110">
        <f t="shared" si="120"/>
        <v>0.5</v>
      </c>
      <c r="L196" s="110">
        <f t="shared" si="120"/>
        <v>0.5</v>
      </c>
      <c r="M196" s="110">
        <f t="shared" si="120"/>
        <v>0.5</v>
      </c>
      <c r="N196" s="110">
        <f t="shared" si="120"/>
        <v>0.5</v>
      </c>
      <c r="O196" s="110">
        <f t="shared" si="120"/>
        <v>0.5</v>
      </c>
      <c r="P196" s="110">
        <f t="shared" si="120"/>
        <v>0.5</v>
      </c>
      <c r="Q196" s="110">
        <f t="shared" si="120"/>
        <v>0.5</v>
      </c>
      <c r="R196" s="110">
        <f t="shared" si="120"/>
        <v>0.5</v>
      </c>
      <c r="S196" s="110">
        <f t="shared" si="120"/>
        <v>0.5</v>
      </c>
      <c r="T196" s="110">
        <f t="shared" si="120"/>
        <v>0.5</v>
      </c>
      <c r="U196" s="110">
        <f t="shared" si="120"/>
        <v>0.5</v>
      </c>
      <c r="V196" s="110">
        <f t="shared" si="120"/>
        <v>0.5</v>
      </c>
      <c r="W196" s="110">
        <f t="shared" si="120"/>
        <v>0.5</v>
      </c>
      <c r="X196" s="110">
        <f t="shared" si="120"/>
        <v>0.5</v>
      </c>
      <c r="Y196" s="110">
        <f t="shared" si="120"/>
        <v>0.5</v>
      </c>
      <c r="Z196" s="110">
        <f t="shared" si="120"/>
        <v>0.5</v>
      </c>
      <c r="AA196" s="110">
        <f t="shared" si="120"/>
        <v>0.5</v>
      </c>
      <c r="AB196" s="110">
        <f t="shared" si="120"/>
        <v>0.5</v>
      </c>
      <c r="AC196" s="110">
        <f t="shared" si="120"/>
        <v>0.5</v>
      </c>
      <c r="AD196" s="110">
        <f t="shared" si="120"/>
        <v>0.5</v>
      </c>
      <c r="AE196" s="110">
        <f t="shared" si="120"/>
        <v>0.5</v>
      </c>
      <c r="AF196" s="110">
        <f t="shared" si="120"/>
        <v>0.5</v>
      </c>
      <c r="AG196" s="110">
        <f t="shared" si="120"/>
        <v>0.5</v>
      </c>
      <c r="AJ196" s="223"/>
    </row>
    <row r="197" spans="1:63" outlineLevel="1">
      <c r="A197" t="s">
        <v>1268</v>
      </c>
      <c r="B197" s="54" t="s">
        <v>462</v>
      </c>
      <c r="C197" s="110">
        <f t="shared" ref="C197:AG197" si="121">SUM(C195:C196)</f>
        <v>1</v>
      </c>
      <c r="D197" s="110">
        <f t="shared" si="121"/>
        <v>1</v>
      </c>
      <c r="E197" s="110">
        <f t="shared" si="121"/>
        <v>1</v>
      </c>
      <c r="F197" s="110">
        <f t="shared" si="121"/>
        <v>1</v>
      </c>
      <c r="G197" s="110">
        <f t="shared" si="121"/>
        <v>1</v>
      </c>
      <c r="H197" s="110">
        <f t="shared" si="121"/>
        <v>1</v>
      </c>
      <c r="I197" s="110">
        <f t="shared" si="121"/>
        <v>1</v>
      </c>
      <c r="J197" s="110">
        <f t="shared" si="121"/>
        <v>1</v>
      </c>
      <c r="K197" s="110">
        <f t="shared" si="121"/>
        <v>1</v>
      </c>
      <c r="L197" s="110">
        <f t="shared" si="121"/>
        <v>1</v>
      </c>
      <c r="M197" s="110">
        <f t="shared" si="121"/>
        <v>1</v>
      </c>
      <c r="N197" s="110">
        <f t="shared" si="121"/>
        <v>1</v>
      </c>
      <c r="O197" s="110">
        <f t="shared" si="121"/>
        <v>1</v>
      </c>
      <c r="P197" s="110">
        <f t="shared" si="121"/>
        <v>1</v>
      </c>
      <c r="Q197" s="110">
        <f t="shared" si="121"/>
        <v>1</v>
      </c>
      <c r="R197" s="110">
        <f t="shared" si="121"/>
        <v>1</v>
      </c>
      <c r="S197" s="110">
        <f t="shared" si="121"/>
        <v>1</v>
      </c>
      <c r="T197" s="110">
        <f t="shared" si="121"/>
        <v>1</v>
      </c>
      <c r="U197" s="110">
        <f t="shared" si="121"/>
        <v>1</v>
      </c>
      <c r="V197" s="110">
        <f t="shared" si="121"/>
        <v>1</v>
      </c>
      <c r="W197" s="110">
        <f t="shared" si="121"/>
        <v>1</v>
      </c>
      <c r="X197" s="110">
        <f t="shared" si="121"/>
        <v>1</v>
      </c>
      <c r="Y197" s="110">
        <f t="shared" si="121"/>
        <v>1</v>
      </c>
      <c r="Z197" s="110">
        <f t="shared" si="121"/>
        <v>1</v>
      </c>
      <c r="AA197" s="110">
        <f t="shared" si="121"/>
        <v>1</v>
      </c>
      <c r="AB197" s="110">
        <f t="shared" si="121"/>
        <v>1</v>
      </c>
      <c r="AC197" s="110">
        <f t="shared" si="121"/>
        <v>1</v>
      </c>
      <c r="AD197" s="110">
        <f t="shared" si="121"/>
        <v>1</v>
      </c>
      <c r="AE197" s="110">
        <f t="shared" si="121"/>
        <v>1</v>
      </c>
      <c r="AF197" s="110">
        <f t="shared" si="121"/>
        <v>1</v>
      </c>
      <c r="AG197" s="110">
        <f t="shared" si="121"/>
        <v>1</v>
      </c>
      <c r="AH197" s="131"/>
      <c r="AI197" s="54"/>
      <c r="AJ197" s="223"/>
    </row>
    <row r="198" spans="1:63" outlineLevel="1">
      <c r="C198" s="214"/>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31"/>
      <c r="AI198" s="131"/>
      <c r="AJ198" s="223"/>
    </row>
    <row r="199" spans="1:63" outlineLevel="1">
      <c r="A199" t="s">
        <v>1345</v>
      </c>
      <c r="B199" s="54" t="s">
        <v>462</v>
      </c>
      <c r="C199" s="110">
        <f>C195*C193</f>
        <v>6.1749999999999999E-2</v>
      </c>
      <c r="D199" s="110">
        <f t="shared" ref="D199:AG199" si="122">D195*D193</f>
        <v>6.3834226643672679E-2</v>
      </c>
      <c r="E199" s="110">
        <f t="shared" si="122"/>
        <v>6.5871977299551743E-2</v>
      </c>
      <c r="F199" s="110">
        <f t="shared" si="122"/>
        <v>6.7863251967637192E-2</v>
      </c>
      <c r="G199" s="110">
        <f t="shared" si="122"/>
        <v>6.9808050647929012E-2</v>
      </c>
      <c r="H199" s="110">
        <f t="shared" si="122"/>
        <v>7.1706373340427218E-2</v>
      </c>
      <c r="I199" s="110">
        <f t="shared" si="122"/>
        <v>7.3558220045131822E-2</v>
      </c>
      <c r="J199" s="110">
        <f t="shared" si="122"/>
        <v>7.5363590762042812E-2</v>
      </c>
      <c r="K199" s="110">
        <f t="shared" si="122"/>
        <v>7.7122485491160159E-2</v>
      </c>
      <c r="L199" s="110">
        <f t="shared" si="122"/>
        <v>7.8834904232483904E-2</v>
      </c>
      <c r="M199" s="110">
        <f t="shared" si="122"/>
        <v>8.0500846986014035E-2</v>
      </c>
      <c r="N199" s="110">
        <f t="shared" si="122"/>
        <v>8.4771590101577185E-2</v>
      </c>
      <c r="O199" s="110">
        <f t="shared" si="122"/>
        <v>8.8944376135175293E-2</v>
      </c>
      <c r="P199" s="110">
        <f t="shared" si="122"/>
        <v>9.3019205086808429E-2</v>
      </c>
      <c r="Q199" s="110">
        <f t="shared" si="122"/>
        <v>9.6996076956476551E-2</v>
      </c>
      <c r="R199" s="110">
        <f t="shared" si="122"/>
        <v>0.10087499174417963</v>
      </c>
      <c r="S199" s="110">
        <f t="shared" si="122"/>
        <v>0.10465594944991773</v>
      </c>
      <c r="T199" s="110">
        <f t="shared" si="122"/>
        <v>0.10833895007369085</v>
      </c>
      <c r="U199" s="110">
        <f t="shared" si="122"/>
        <v>0.11192399361549893</v>
      </c>
      <c r="V199" s="110">
        <f t="shared" si="122"/>
        <v>0.11541108007534202</v>
      </c>
      <c r="W199" s="110">
        <f t="shared" si="122"/>
        <v>0.11880020945322008</v>
      </c>
      <c r="X199" s="110">
        <f t="shared" si="122"/>
        <v>0.12515773969398425</v>
      </c>
      <c r="Y199" s="110">
        <f t="shared" si="122"/>
        <v>0.13135136967117372</v>
      </c>
      <c r="Z199" s="110">
        <f t="shared" si="122"/>
        <v>0.13738109938478849</v>
      </c>
      <c r="AA199" s="110">
        <f t="shared" si="122"/>
        <v>0.14324692883482856</v>
      </c>
      <c r="AB199" s="110">
        <f t="shared" si="122"/>
        <v>0.1489488580212939</v>
      </c>
      <c r="AC199" s="110">
        <f t="shared" si="122"/>
        <v>0.15448688694418455</v>
      </c>
      <c r="AD199" s="110">
        <f t="shared" si="122"/>
        <v>0.15986101560350047</v>
      </c>
      <c r="AE199" s="110">
        <f t="shared" si="122"/>
        <v>0.16507124399924167</v>
      </c>
      <c r="AF199" s="110">
        <f t="shared" si="122"/>
        <v>0.17011757213140816</v>
      </c>
      <c r="AG199" s="110">
        <f t="shared" si="122"/>
        <v>0.17499999999999999</v>
      </c>
      <c r="AH199" s="131"/>
      <c r="AI199" s="131"/>
      <c r="AJ199" s="211"/>
    </row>
    <row r="200" spans="1:63" outlineLevel="1">
      <c r="A200" t="s">
        <v>1346</v>
      </c>
      <c r="B200" s="54" t="s">
        <v>462</v>
      </c>
      <c r="C200" s="110">
        <f>C193*C196</f>
        <v>6.1749999999999999E-2</v>
      </c>
      <c r="D200" s="110">
        <f t="shared" ref="D200:AG200" si="123">D193*D196</f>
        <v>6.3834226643672679E-2</v>
      </c>
      <c r="E200" s="110">
        <f t="shared" si="123"/>
        <v>6.5871977299551743E-2</v>
      </c>
      <c r="F200" s="110">
        <f t="shared" si="123"/>
        <v>6.7863251967637192E-2</v>
      </c>
      <c r="G200" s="110">
        <f t="shared" si="123"/>
        <v>6.9808050647929012E-2</v>
      </c>
      <c r="H200" s="110">
        <f t="shared" si="123"/>
        <v>7.1706373340427218E-2</v>
      </c>
      <c r="I200" s="110">
        <f t="shared" si="123"/>
        <v>7.3558220045131822E-2</v>
      </c>
      <c r="J200" s="110">
        <f t="shared" si="123"/>
        <v>7.5363590762042812E-2</v>
      </c>
      <c r="K200" s="110">
        <f t="shared" si="123"/>
        <v>7.7122485491160159E-2</v>
      </c>
      <c r="L200" s="110">
        <f t="shared" si="123"/>
        <v>7.8834904232483904E-2</v>
      </c>
      <c r="M200" s="110">
        <f t="shared" si="123"/>
        <v>8.0500846986014035E-2</v>
      </c>
      <c r="N200" s="110">
        <f t="shared" si="123"/>
        <v>8.4771590101577185E-2</v>
      </c>
      <c r="O200" s="110">
        <f t="shared" si="123"/>
        <v>8.8944376135175293E-2</v>
      </c>
      <c r="P200" s="110">
        <f t="shared" si="123"/>
        <v>9.3019205086808429E-2</v>
      </c>
      <c r="Q200" s="110">
        <f t="shared" si="123"/>
        <v>9.6996076956476551E-2</v>
      </c>
      <c r="R200" s="110">
        <f t="shared" si="123"/>
        <v>0.10087499174417963</v>
      </c>
      <c r="S200" s="110">
        <f t="shared" si="123"/>
        <v>0.10465594944991773</v>
      </c>
      <c r="T200" s="110">
        <f t="shared" si="123"/>
        <v>0.10833895007369085</v>
      </c>
      <c r="U200" s="110">
        <f t="shared" si="123"/>
        <v>0.11192399361549893</v>
      </c>
      <c r="V200" s="110">
        <f t="shared" si="123"/>
        <v>0.11541108007534202</v>
      </c>
      <c r="W200" s="110">
        <f t="shared" si="123"/>
        <v>0.11880020945322008</v>
      </c>
      <c r="X200" s="110">
        <f t="shared" si="123"/>
        <v>0.12515773969398425</v>
      </c>
      <c r="Y200" s="110">
        <f t="shared" si="123"/>
        <v>0.13135136967117372</v>
      </c>
      <c r="Z200" s="110">
        <f t="shared" si="123"/>
        <v>0.13738109938478849</v>
      </c>
      <c r="AA200" s="110">
        <f t="shared" si="123"/>
        <v>0.14324692883482856</v>
      </c>
      <c r="AB200" s="110">
        <f t="shared" si="123"/>
        <v>0.1489488580212939</v>
      </c>
      <c r="AC200" s="110">
        <f t="shared" si="123"/>
        <v>0.15448688694418455</v>
      </c>
      <c r="AD200" s="110">
        <f t="shared" si="123"/>
        <v>0.15986101560350047</v>
      </c>
      <c r="AE200" s="110">
        <f t="shared" si="123"/>
        <v>0.16507124399924167</v>
      </c>
      <c r="AF200" s="110">
        <f t="shared" si="123"/>
        <v>0.17011757213140816</v>
      </c>
      <c r="AG200" s="110">
        <f t="shared" si="123"/>
        <v>0.17499999999999999</v>
      </c>
      <c r="AJ200" s="211"/>
    </row>
    <row r="201" spans="1:63" outlineLevel="1">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J201" s="211"/>
    </row>
    <row r="202" spans="1:63" outlineLevel="1">
      <c r="A202" t="s">
        <v>1621</v>
      </c>
      <c r="C202" s="230">
        <f>('Overall recycling rates'!F87*'Yearly BTX'!D5+'Overall recycling rates'!G87*'Yearly BTX'!D6+'Overall recycling rates'!H87*'Yearly BTX'!D7)/'Yearly BTX'!D4</f>
        <v>0.99999999999999989</v>
      </c>
      <c r="D202" s="230">
        <f>C202-($C202-$AG202)/($AG$1-$C$1)</f>
        <v>0.99999999999999989</v>
      </c>
      <c r="E202" s="230">
        <f t="shared" ref="E202:AF202" si="124">D202-($C202-$AG202)/($AG$1-$C$1)</f>
        <v>0.99999999999999989</v>
      </c>
      <c r="F202" s="230">
        <f t="shared" si="124"/>
        <v>0.99999999999999989</v>
      </c>
      <c r="G202" s="230">
        <f t="shared" si="124"/>
        <v>0.99999999999999989</v>
      </c>
      <c r="H202" s="230">
        <f t="shared" si="124"/>
        <v>0.99999999999999989</v>
      </c>
      <c r="I202" s="230">
        <f t="shared" si="124"/>
        <v>0.99999999999999989</v>
      </c>
      <c r="J202" s="230">
        <f t="shared" si="124"/>
        <v>0.99999999999999989</v>
      </c>
      <c r="K202" s="230">
        <f t="shared" si="124"/>
        <v>0.99999999999999989</v>
      </c>
      <c r="L202" s="230">
        <f t="shared" si="124"/>
        <v>0.99999999999999989</v>
      </c>
      <c r="M202" s="230">
        <f t="shared" si="124"/>
        <v>0.99999999999999989</v>
      </c>
      <c r="N202" s="230">
        <f t="shared" si="124"/>
        <v>0.99999999999999989</v>
      </c>
      <c r="O202" s="230">
        <f t="shared" si="124"/>
        <v>0.99999999999999989</v>
      </c>
      <c r="P202" s="230">
        <f t="shared" si="124"/>
        <v>0.99999999999999989</v>
      </c>
      <c r="Q202" s="230">
        <f t="shared" si="124"/>
        <v>0.99999999999999989</v>
      </c>
      <c r="R202" s="230">
        <f t="shared" si="124"/>
        <v>0.99999999999999989</v>
      </c>
      <c r="S202" s="230">
        <f t="shared" si="124"/>
        <v>0.99999999999999989</v>
      </c>
      <c r="T202" s="230">
        <f t="shared" si="124"/>
        <v>0.99999999999999989</v>
      </c>
      <c r="U202" s="230">
        <f t="shared" si="124"/>
        <v>0.99999999999999989</v>
      </c>
      <c r="V202" s="230">
        <f t="shared" si="124"/>
        <v>0.99999999999999989</v>
      </c>
      <c r="W202" s="230">
        <f t="shared" si="124"/>
        <v>0.99999999999999989</v>
      </c>
      <c r="X202" s="230">
        <f t="shared" si="124"/>
        <v>0.99999999999999989</v>
      </c>
      <c r="Y202" s="230">
        <f t="shared" si="124"/>
        <v>0.99999999999999989</v>
      </c>
      <c r="Z202" s="230">
        <f t="shared" si="124"/>
        <v>0.99999999999999989</v>
      </c>
      <c r="AA202" s="230">
        <f t="shared" si="124"/>
        <v>0.99999999999999989</v>
      </c>
      <c r="AB202" s="230">
        <f t="shared" si="124"/>
        <v>0.99999999999999989</v>
      </c>
      <c r="AC202" s="230">
        <f t="shared" si="124"/>
        <v>0.99999999999999989</v>
      </c>
      <c r="AD202" s="230">
        <f t="shared" si="124"/>
        <v>0.99999999999999989</v>
      </c>
      <c r="AE202" s="230">
        <f t="shared" si="124"/>
        <v>0.99999999999999989</v>
      </c>
      <c r="AF202" s="230">
        <f t="shared" si="124"/>
        <v>0.99999999999999989</v>
      </c>
      <c r="AG202" s="230">
        <f>'Overall recycling rates'!F96</f>
        <v>1</v>
      </c>
      <c r="AI202" s="133"/>
      <c r="AJ202" s="211" t="s">
        <v>1571</v>
      </c>
      <c r="AL202" s="108"/>
      <c r="AM202" s="207"/>
      <c r="AN202" s="207"/>
      <c r="AO202" s="207"/>
      <c r="BC202" s="1"/>
      <c r="BD202" s="207"/>
      <c r="BE202" s="207"/>
      <c r="BF202" s="207"/>
      <c r="BG202" s="207"/>
      <c r="BH202" s="207"/>
      <c r="BI202" s="207"/>
      <c r="BJ202" s="207"/>
      <c r="BK202" s="207"/>
    </row>
    <row r="203" spans="1:63" outlineLevel="1">
      <c r="A203" t="s">
        <v>1629</v>
      </c>
      <c r="B203" s="54" t="s">
        <v>462</v>
      </c>
      <c r="C203" s="110">
        <f>C192*C$202</f>
        <v>6.4999999999999997E-3</v>
      </c>
      <c r="D203" s="110">
        <f>D192*D$139</f>
        <v>5.6767770030473966E-3</v>
      </c>
      <c r="E203" s="110">
        <f t="shared" ref="E203:AG203" si="125">E192*E$139</f>
        <v>6.8462002654825025E-3</v>
      </c>
      <c r="F203" s="110">
        <f t="shared" si="125"/>
        <v>8.1133782070939454E-3</v>
      </c>
      <c r="G203" s="110">
        <f t="shared" si="125"/>
        <v>9.4810244610119502E-3</v>
      </c>
      <c r="H203" s="110">
        <f t="shared" si="125"/>
        <v>1.0951852660366742E-2</v>
      </c>
      <c r="I203" s="110">
        <f t="shared" si="125"/>
        <v>1.2528576438288551E-2</v>
      </c>
      <c r="J203" s="110">
        <f t="shared" si="125"/>
        <v>1.4213909427907604E-2</v>
      </c>
      <c r="K203" s="110">
        <f t="shared" si="125"/>
        <v>1.6010565262354125E-2</v>
      </c>
      <c r="L203" s="110">
        <f t="shared" si="125"/>
        <v>1.7921257574758338E-2</v>
      </c>
      <c r="M203" s="110">
        <f t="shared" si="125"/>
        <v>1.9948699998250476E-2</v>
      </c>
      <c r="N203" s="110">
        <f t="shared" si="125"/>
        <v>2.2808968735908892E-2</v>
      </c>
      <c r="O203" s="110">
        <f t="shared" si="125"/>
        <v>2.5893375082410377E-2</v>
      </c>
      <c r="P203" s="110">
        <f t="shared" si="125"/>
        <v>2.9207638541429413E-2</v>
      </c>
      <c r="Q203" s="110">
        <f t="shared" si="125"/>
        <v>3.2757478616640481E-2</v>
      </c>
      <c r="R203" s="110">
        <f t="shared" si="125"/>
        <v>3.6548614811718054E-2</v>
      </c>
      <c r="S203" s="110">
        <f t="shared" si="125"/>
        <v>4.0586766630336606E-2</v>
      </c>
      <c r="T203" s="110">
        <f t="shared" si="125"/>
        <v>4.4877653576170642E-2</v>
      </c>
      <c r="U203" s="110">
        <f t="shared" si="125"/>
        <v>4.9426995152894601E-2</v>
      </c>
      <c r="V203" s="110">
        <f t="shared" si="125"/>
        <v>5.4240510864182981E-2</v>
      </c>
      <c r="W203" s="110">
        <f t="shared" si="125"/>
        <v>5.9323920213710253E-2</v>
      </c>
      <c r="X203" s="110">
        <f t="shared" si="125"/>
        <v>6.6307472237201168E-2</v>
      </c>
      <c r="Y203" s="110">
        <f t="shared" si="125"/>
        <v>7.3728628381078118E-2</v>
      </c>
      <c r="Z203" s="110">
        <f t="shared" si="125"/>
        <v>8.1596958429791186E-2</v>
      </c>
      <c r="AA203" s="110">
        <f t="shared" si="125"/>
        <v>8.9922032167790433E-2</v>
      </c>
      <c r="AB203" s="110">
        <f t="shared" si="125"/>
        <v>9.8713419379525935E-2</v>
      </c>
      <c r="AC203" s="110">
        <f t="shared" si="125"/>
        <v>0.10798068984944778</v>
      </c>
      <c r="AD203" s="110">
        <f t="shared" si="125"/>
        <v>0.11773341336200605</v>
      </c>
      <c r="AE203" s="110">
        <f t="shared" si="125"/>
        <v>0.1279811597016508</v>
      </c>
      <c r="AF203" s="110">
        <f t="shared" si="125"/>
        <v>0.13873349865283208</v>
      </c>
      <c r="AG203" s="110">
        <f t="shared" si="125"/>
        <v>0.15</v>
      </c>
      <c r="AI203" s="133"/>
      <c r="AJ203"/>
      <c r="AL203" s="108"/>
      <c r="AM203" s="2"/>
      <c r="AN203" s="2"/>
      <c r="AO203" s="2"/>
      <c r="AV203" s="41"/>
    </row>
    <row r="204" spans="1:63" outlineLevel="1">
      <c r="A204" t="s">
        <v>1630</v>
      </c>
      <c r="B204" s="54" t="s">
        <v>462</v>
      </c>
      <c r="C204" s="110">
        <f>C193*C$202</f>
        <v>0.12349999999999998</v>
      </c>
      <c r="D204" s="110">
        <f t="shared" ref="D204:AG204" si="126">D190*D$139</f>
        <v>4.1871202636395509E-2</v>
      </c>
      <c r="E204" s="110">
        <f t="shared" si="126"/>
        <v>4.8501556932114581E-2</v>
      </c>
      <c r="F204" s="110">
        <f t="shared" si="126"/>
        <v>5.5294099707606445E-2</v>
      </c>
      <c r="G204" s="110">
        <f t="shared" si="126"/>
        <v>6.2248830962871093E-2</v>
      </c>
      <c r="H204" s="110">
        <f t="shared" si="126"/>
        <v>6.9365750697908526E-2</v>
      </c>
      <c r="I204" s="110">
        <f t="shared" si="126"/>
        <v>7.6644858912718744E-2</v>
      </c>
      <c r="J204" s="110">
        <f t="shared" si="126"/>
        <v>8.4086155607301746E-2</v>
      </c>
      <c r="K204" s="110">
        <f t="shared" si="126"/>
        <v>9.1689640781657547E-2</v>
      </c>
      <c r="L204" s="110">
        <f t="shared" si="126"/>
        <v>9.9455314435786119E-2</v>
      </c>
      <c r="M204" s="110">
        <f t="shared" si="126"/>
        <v>0.1073831765696875</v>
      </c>
      <c r="N204" s="110">
        <f t="shared" si="126"/>
        <v>0.11547322718336166</v>
      </c>
      <c r="O204" s="110">
        <f t="shared" si="126"/>
        <v>0.12372546627680858</v>
      </c>
      <c r="P204" s="110">
        <f t="shared" si="126"/>
        <v>0.13213989385002831</v>
      </c>
      <c r="Q204" s="110">
        <f t="shared" si="126"/>
        <v>0.14071650990302081</v>
      </c>
      <c r="R204" s="110">
        <f t="shared" si="126"/>
        <v>0.14945531443578614</v>
      </c>
      <c r="S204" s="110">
        <f t="shared" si="126"/>
        <v>0.15835630744832421</v>
      </c>
      <c r="T204" s="110">
        <f t="shared" si="126"/>
        <v>0.16741948894063508</v>
      </c>
      <c r="U204" s="110">
        <f t="shared" si="126"/>
        <v>0.17664485891271872</v>
      </c>
      <c r="V204" s="110">
        <f t="shared" si="126"/>
        <v>0.18603241736457518</v>
      </c>
      <c r="W204" s="110">
        <f t="shared" si="126"/>
        <v>0.1955821642962044</v>
      </c>
      <c r="X204" s="110">
        <f t="shared" si="126"/>
        <v>0.20529409970760643</v>
      </c>
      <c r="Y204" s="110">
        <f t="shared" si="126"/>
        <v>0.21516822359878124</v>
      </c>
      <c r="Z204" s="110">
        <f t="shared" si="126"/>
        <v>0.22520453596972881</v>
      </c>
      <c r="AA204" s="110">
        <f t="shared" si="126"/>
        <v>0.23540303682044919</v>
      </c>
      <c r="AB204" s="110">
        <f t="shared" si="126"/>
        <v>0.24576372615094236</v>
      </c>
      <c r="AC204" s="110">
        <f t="shared" si="126"/>
        <v>0.25628660396120834</v>
      </c>
      <c r="AD204" s="110">
        <f t="shared" si="126"/>
        <v>0.26697167025124707</v>
      </c>
      <c r="AE204" s="110">
        <f t="shared" si="126"/>
        <v>0.27781892502105865</v>
      </c>
      <c r="AF204" s="110">
        <f t="shared" si="126"/>
        <v>0.28882836827064295</v>
      </c>
      <c r="AG204" s="110">
        <f t="shared" si="126"/>
        <v>0.3</v>
      </c>
      <c r="AH204" s="245"/>
      <c r="AI204" s="133"/>
      <c r="AJ204" s="211"/>
      <c r="AL204" s="108"/>
      <c r="AM204" s="2"/>
      <c r="AN204" s="2"/>
      <c r="AO204" s="2"/>
      <c r="AV204" s="41"/>
    </row>
    <row r="205" spans="1:63" outlineLevel="1">
      <c r="A205" t="s">
        <v>1631</v>
      </c>
      <c r="B205" s="176" t="s">
        <v>462</v>
      </c>
      <c r="C205" s="110">
        <f>SUM(C203:C204)</f>
        <v>0.12999999999999998</v>
      </c>
      <c r="D205" s="110">
        <f t="shared" ref="D205:AG205" si="127">SUM(D203:D204)</f>
        <v>4.7547979639442906E-2</v>
      </c>
      <c r="E205" s="110">
        <f t="shared" si="127"/>
        <v>5.5347757197597082E-2</v>
      </c>
      <c r="F205" s="110">
        <f t="shared" si="127"/>
        <v>6.3407477914700389E-2</v>
      </c>
      <c r="G205" s="110">
        <f t="shared" si="127"/>
        <v>7.1729855423883049E-2</v>
      </c>
      <c r="H205" s="110">
        <f t="shared" si="127"/>
        <v>8.0317603358275272E-2</v>
      </c>
      <c r="I205" s="110">
        <f t="shared" si="127"/>
        <v>8.9173435351007302E-2</v>
      </c>
      <c r="J205" s="110">
        <f t="shared" si="127"/>
        <v>9.8300065035209355E-2</v>
      </c>
      <c r="K205" s="110">
        <f t="shared" si="127"/>
        <v>0.10770020604401168</v>
      </c>
      <c r="L205" s="110">
        <f t="shared" si="127"/>
        <v>0.11737657201054445</v>
      </c>
      <c r="M205" s="110">
        <f t="shared" si="127"/>
        <v>0.12733187656793798</v>
      </c>
      <c r="N205" s="110">
        <f t="shared" si="127"/>
        <v>0.13828219591927055</v>
      </c>
      <c r="O205" s="110">
        <f t="shared" si="127"/>
        <v>0.14961884135921896</v>
      </c>
      <c r="P205" s="110">
        <f t="shared" si="127"/>
        <v>0.16134753239145772</v>
      </c>
      <c r="Q205" s="110">
        <f t="shared" si="127"/>
        <v>0.17347398851966128</v>
      </c>
      <c r="R205" s="110">
        <f t="shared" si="127"/>
        <v>0.1860039292475042</v>
      </c>
      <c r="S205" s="110">
        <f t="shared" si="127"/>
        <v>0.19894307407866083</v>
      </c>
      <c r="T205" s="110">
        <f t="shared" si="127"/>
        <v>0.2122971425168057</v>
      </c>
      <c r="U205" s="110">
        <f t="shared" si="127"/>
        <v>0.22607185406561331</v>
      </c>
      <c r="V205" s="110">
        <f t="shared" si="127"/>
        <v>0.24027292822875818</v>
      </c>
      <c r="W205" s="110">
        <f t="shared" si="127"/>
        <v>0.25490608450991464</v>
      </c>
      <c r="X205" s="110">
        <f t="shared" si="127"/>
        <v>0.27160157194480761</v>
      </c>
      <c r="Y205" s="110">
        <f t="shared" si="127"/>
        <v>0.28889685197985937</v>
      </c>
      <c r="Z205" s="110">
        <f t="shared" si="127"/>
        <v>0.30680149439951998</v>
      </c>
      <c r="AA205" s="110">
        <f t="shared" si="127"/>
        <v>0.32532506898823965</v>
      </c>
      <c r="AB205" s="110">
        <f t="shared" si="127"/>
        <v>0.34447714553046827</v>
      </c>
      <c r="AC205" s="110">
        <f t="shared" si="127"/>
        <v>0.36426729381065615</v>
      </c>
      <c r="AD205" s="110">
        <f t="shared" si="127"/>
        <v>0.38470508361325312</v>
      </c>
      <c r="AE205" s="110">
        <f t="shared" si="127"/>
        <v>0.40580008472270945</v>
      </c>
      <c r="AF205" s="110">
        <f t="shared" si="127"/>
        <v>0.42756186692347503</v>
      </c>
      <c r="AG205" s="110">
        <f t="shared" si="127"/>
        <v>0.44999999999999996</v>
      </c>
      <c r="AI205" s="133"/>
      <c r="AJ205" s="211"/>
      <c r="AL205" s="108"/>
      <c r="AM205" s="2"/>
      <c r="AN205" s="2"/>
      <c r="AO205" s="2"/>
    </row>
    <row r="206" spans="1:63" outlineLevel="1">
      <c r="A206" t="s">
        <v>1635</v>
      </c>
      <c r="B206" s="54" t="s">
        <v>462</v>
      </c>
      <c r="C206" s="110">
        <f>C195*C204</f>
        <v>6.1749999999999992E-2</v>
      </c>
      <c r="D206" s="110">
        <f t="shared" ref="D206:AG206" si="128">D192*D204</f>
        <v>3.3114532517776484E-4</v>
      </c>
      <c r="E206" s="110">
        <f t="shared" si="128"/>
        <v>4.5641335103216679E-4</v>
      </c>
      <c r="F206" s="110">
        <f t="shared" si="128"/>
        <v>6.0850336553204597E-4</v>
      </c>
      <c r="G206" s="110">
        <f t="shared" si="128"/>
        <v>7.9008537175099581E-4</v>
      </c>
      <c r="H206" s="110">
        <f t="shared" si="128"/>
        <v>1.0039198272002847E-3</v>
      </c>
      <c r="I206" s="110">
        <f t="shared" si="128"/>
        <v>1.252857643828855E-3</v>
      </c>
      <c r="J206" s="110">
        <f t="shared" si="128"/>
        <v>1.5398401880233237E-3</v>
      </c>
      <c r="K206" s="110">
        <f t="shared" si="128"/>
        <v>1.867899280607981E-3</v>
      </c>
      <c r="L206" s="110">
        <f t="shared" si="128"/>
        <v>2.2401571968447918E-3</v>
      </c>
      <c r="M206" s="110">
        <f t="shared" si="128"/>
        <v>2.6598266664333969E-3</v>
      </c>
      <c r="N206" s="110">
        <f t="shared" si="128"/>
        <v>3.2312705709204264E-3</v>
      </c>
      <c r="O206" s="110">
        <f t="shared" si="128"/>
        <v>3.8840062623615563E-3</v>
      </c>
      <c r="P206" s="110">
        <f t="shared" si="128"/>
        <v>4.6245427690596568E-3</v>
      </c>
      <c r="Q206" s="110">
        <f t="shared" si="128"/>
        <v>5.4595797694400794E-3</v>
      </c>
      <c r="R206" s="110">
        <f t="shared" si="128"/>
        <v>6.3960075920506598E-3</v>
      </c>
      <c r="S206" s="110">
        <f t="shared" si="128"/>
        <v>7.4409072155617109E-3</v>
      </c>
      <c r="T206" s="110">
        <f t="shared" si="128"/>
        <v>8.6015502687660384E-3</v>
      </c>
      <c r="U206" s="110">
        <f t="shared" si="128"/>
        <v>9.8853990305789192E-3</v>
      </c>
      <c r="V206" s="110">
        <f t="shared" si="128"/>
        <v>1.130010643003812E-2</v>
      </c>
      <c r="W206" s="110">
        <f t="shared" si="128"/>
        <v>1.2853516046303887E-2</v>
      </c>
      <c r="X206" s="110">
        <f t="shared" si="128"/>
        <v>1.4919181253370261E-2</v>
      </c>
      <c r="Y206" s="110">
        <f t="shared" si="128"/>
        <v>1.7203346622251561E-2</v>
      </c>
      <c r="Z206" s="110">
        <f t="shared" si="128"/>
        <v>1.9719264953866202E-2</v>
      </c>
      <c r="AA206" s="110">
        <f t="shared" si="128"/>
        <v>2.2480508041947605E-2</v>
      </c>
      <c r="AB206" s="110">
        <f t="shared" si="128"/>
        <v>2.5500966673044197E-2</v>
      </c>
      <c r="AC206" s="110">
        <f t="shared" si="128"/>
        <v>2.879485062651941E-2</v>
      </c>
      <c r="AD206" s="110">
        <f t="shared" si="128"/>
        <v>3.2376688674551665E-2</v>
      </c>
      <c r="AE206" s="110">
        <f t="shared" si="128"/>
        <v>3.6261328582134406E-2</v>
      </c>
      <c r="AF206" s="110">
        <f t="shared" si="128"/>
        <v>4.0463937107076034E-2</v>
      </c>
      <c r="AG206" s="110">
        <f t="shared" si="128"/>
        <v>4.4999999999999998E-2</v>
      </c>
      <c r="AI206" s="133"/>
      <c r="AJ206" s="211"/>
      <c r="BD206" s="203"/>
      <c r="BE206" s="203"/>
    </row>
    <row r="207" spans="1:63" outlineLevel="1">
      <c r="A207" t="s">
        <v>1636</v>
      </c>
      <c r="B207" s="54" t="s">
        <v>462</v>
      </c>
      <c r="C207" s="110">
        <f>C196*C204</f>
        <v>6.1749999999999992E-2</v>
      </c>
      <c r="D207" s="110">
        <f t="shared" ref="D207:AG207" si="129">D194*D204</f>
        <v>0</v>
      </c>
      <c r="E207" s="110">
        <f t="shared" si="129"/>
        <v>0</v>
      </c>
      <c r="F207" s="110">
        <f t="shared" si="129"/>
        <v>0</v>
      </c>
      <c r="G207" s="110">
        <f t="shared" si="129"/>
        <v>0</v>
      </c>
      <c r="H207" s="110">
        <f t="shared" si="129"/>
        <v>0</v>
      </c>
      <c r="I207" s="110">
        <f t="shared" si="129"/>
        <v>0</v>
      </c>
      <c r="J207" s="110">
        <f t="shared" si="129"/>
        <v>0</v>
      </c>
      <c r="K207" s="110">
        <f t="shared" si="129"/>
        <v>0</v>
      </c>
      <c r="L207" s="110">
        <f t="shared" si="129"/>
        <v>0</v>
      </c>
      <c r="M207" s="110">
        <f t="shared" si="129"/>
        <v>0</v>
      </c>
      <c r="N207" s="110">
        <f t="shared" si="129"/>
        <v>0</v>
      </c>
      <c r="O207" s="110">
        <f t="shared" si="129"/>
        <v>0</v>
      </c>
      <c r="P207" s="110">
        <f t="shared" si="129"/>
        <v>0</v>
      </c>
      <c r="Q207" s="110">
        <f t="shared" si="129"/>
        <v>0</v>
      </c>
      <c r="R207" s="110">
        <f t="shared" si="129"/>
        <v>0</v>
      </c>
      <c r="S207" s="110">
        <f t="shared" si="129"/>
        <v>0</v>
      </c>
      <c r="T207" s="110">
        <f t="shared" si="129"/>
        <v>0</v>
      </c>
      <c r="U207" s="110">
        <f t="shared" si="129"/>
        <v>0</v>
      </c>
      <c r="V207" s="110">
        <f t="shared" si="129"/>
        <v>0</v>
      </c>
      <c r="W207" s="110">
        <f t="shared" si="129"/>
        <v>0</v>
      </c>
      <c r="X207" s="110">
        <f t="shared" si="129"/>
        <v>0</v>
      </c>
      <c r="Y207" s="110">
        <f t="shared" si="129"/>
        <v>0</v>
      </c>
      <c r="Z207" s="110">
        <f t="shared" si="129"/>
        <v>0</v>
      </c>
      <c r="AA207" s="110">
        <f t="shared" si="129"/>
        <v>0</v>
      </c>
      <c r="AB207" s="110">
        <f t="shared" si="129"/>
        <v>0</v>
      </c>
      <c r="AC207" s="110">
        <f t="shared" si="129"/>
        <v>0</v>
      </c>
      <c r="AD207" s="110">
        <f t="shared" si="129"/>
        <v>0</v>
      </c>
      <c r="AE207" s="110">
        <f t="shared" si="129"/>
        <v>0</v>
      </c>
      <c r="AF207" s="110">
        <f t="shared" si="129"/>
        <v>0</v>
      </c>
      <c r="AG207" s="110">
        <f t="shared" si="129"/>
        <v>0</v>
      </c>
      <c r="AI207" s="134"/>
      <c r="AJ207" s="211"/>
      <c r="BC207" s="1"/>
      <c r="BD207" s="41"/>
      <c r="BF207" s="6"/>
      <c r="BG207" s="6"/>
      <c r="BH207" s="6"/>
      <c r="BI207" s="6"/>
      <c r="BJ207" s="6"/>
    </row>
    <row r="208" spans="1:63" outlineLevel="1">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I208" s="134"/>
      <c r="AJ208" s="211"/>
      <c r="BC208" s="1"/>
      <c r="BD208" s="41"/>
      <c r="BF208" s="6"/>
      <c r="BG208" s="6"/>
      <c r="BH208" s="6"/>
      <c r="BI208" s="6"/>
      <c r="BJ208" s="6"/>
    </row>
    <row r="209" spans="1:63" s="1" customFormat="1" outlineLevel="1">
      <c r="A209" s="1" t="s">
        <v>228</v>
      </c>
      <c r="B209" s="65"/>
      <c r="C209" s="300">
        <f>C203*C45</f>
        <v>0.11016660035716574</v>
      </c>
      <c r="D209" s="300">
        <f t="shared" ref="D209:AG209" si="130">D203*D45</f>
        <v>9.9439273087778765E-2</v>
      </c>
      <c r="E209" s="300">
        <f t="shared" si="130"/>
        <v>0.12361992003147491</v>
      </c>
      <c r="F209" s="300">
        <f t="shared" si="130"/>
        <v>0.15062162288814759</v>
      </c>
      <c r="G209" s="300">
        <f t="shared" si="130"/>
        <v>0.18048967387741766</v>
      </c>
      <c r="H209" s="300">
        <f t="shared" si="130"/>
        <v>0.21323657377331556</v>
      </c>
      <c r="I209" s="300">
        <f t="shared" si="130"/>
        <v>0.24937625460296697</v>
      </c>
      <c r="J209" s="300">
        <f t="shared" si="130"/>
        <v>0.28910007074250993</v>
      </c>
      <c r="K209" s="300">
        <f t="shared" si="130"/>
        <v>0.33260163240338747</v>
      </c>
      <c r="L209" s="300">
        <f t="shared" si="130"/>
        <v>0.38007629312422203</v>
      </c>
      <c r="M209" s="300">
        <f t="shared" si="130"/>
        <v>0.43172060552946318</v>
      </c>
      <c r="N209" s="300">
        <f t="shared" si="130"/>
        <v>0.50275792441018419</v>
      </c>
      <c r="O209" s="300">
        <f t="shared" si="130"/>
        <v>0.58020913563809495</v>
      </c>
      <c r="P209" s="300">
        <f t="shared" si="130"/>
        <v>0.66406532734238877</v>
      </c>
      <c r="Q209" s="300">
        <f t="shared" si="130"/>
        <v>0.75425364487707969</v>
      </c>
      <c r="R209" s="300">
        <f t="shared" si="130"/>
        <v>0.85063429553083492</v>
      </c>
      <c r="S209" s="300">
        <f t="shared" si="130"/>
        <v>0.95471532923315072</v>
      </c>
      <c r="T209" s="300">
        <f t="shared" si="130"/>
        <v>1.0668159101109038</v>
      </c>
      <c r="U209" s="300">
        <f t="shared" si="130"/>
        <v>1.1872600208194943</v>
      </c>
      <c r="V209" s="300">
        <f t="shared" si="130"/>
        <v>1.3163763073780306</v>
      </c>
      <c r="W209" s="300">
        <f t="shared" si="130"/>
        <v>1.454497915545053</v>
      </c>
      <c r="X209" s="300">
        <f t="shared" si="130"/>
        <v>1.6422141217630135</v>
      </c>
      <c r="Y209" s="300">
        <f t="shared" si="130"/>
        <v>1.8443551870355308</v>
      </c>
      <c r="Z209" s="300">
        <f t="shared" si="130"/>
        <v>2.0614864993459401</v>
      </c>
      <c r="AA209" s="300">
        <f t="shared" si="130"/>
        <v>2.2941813733258702</v>
      </c>
      <c r="AB209" s="300">
        <f t="shared" si="130"/>
        <v>2.5430207967815703</v>
      </c>
      <c r="AC209" s="300">
        <f t="shared" si="130"/>
        <v>2.8086197176088277</v>
      </c>
      <c r="AD209" s="300">
        <f t="shared" si="130"/>
        <v>3.0915817220077484</v>
      </c>
      <c r="AE209" s="300">
        <f t="shared" si="130"/>
        <v>3.3925182660394317</v>
      </c>
      <c r="AF209" s="300">
        <f t="shared" si="130"/>
        <v>3.7120484316855018</v>
      </c>
      <c r="AG209" s="300">
        <f t="shared" si="130"/>
        <v>4.0507986713806412</v>
      </c>
      <c r="AH209" s="245"/>
      <c r="AI209" s="423"/>
      <c r="AJ209" s="424"/>
      <c r="AL209" s="221"/>
      <c r="AM209" s="124"/>
      <c r="AN209" s="124"/>
      <c r="AO209" s="124"/>
      <c r="BD209" s="124"/>
      <c r="BE209" s="124"/>
      <c r="BF209" s="124"/>
      <c r="BG209" s="124"/>
      <c r="BH209" s="124"/>
      <c r="BI209" s="124"/>
      <c r="BJ209" s="124"/>
      <c r="BK209" s="124"/>
    </row>
    <row r="210" spans="1:63" outlineLevel="1">
      <c r="A210" s="4" t="s">
        <v>474</v>
      </c>
      <c r="C210" s="230">
        <f>C$209*'BTX recycling rates'!E74</f>
        <v>0.10125733896785366</v>
      </c>
      <c r="D210" s="230">
        <f>D$209*'BTX recycling rates'!F74</f>
        <v>9.139753926436972E-2</v>
      </c>
      <c r="E210" s="230">
        <f>E$209*'BTX recycling rates'!G74</f>
        <v>0.11362267788262405</v>
      </c>
      <c r="F210" s="230">
        <f>F$209*'BTX recycling rates'!H74</f>
        <v>0.13844073135802593</v>
      </c>
      <c r="G210" s="230">
        <f>G$209*'BTX recycling rates'!I74</f>
        <v>0.16589332909204449</v>
      </c>
      <c r="H210" s="230">
        <f>H$209*'BTX recycling rates'!J74</f>
        <v>0.19599196091108134</v>
      </c>
      <c r="I210" s="230">
        <f>I$209*'BTX recycling rates'!K74</f>
        <v>0.22920899674675266</v>
      </c>
      <c r="J210" s="230">
        <f>J$209*'BTX recycling rates'!L74</f>
        <v>0.26572031599321944</v>
      </c>
      <c r="K210" s="230">
        <f>K$209*'BTX recycling rates'!M74</f>
        <v>0.30570387144873595</v>
      </c>
      <c r="L210" s="230">
        <f>L$209*'BTX recycling rates'!N74</f>
        <v>0.34933921825446784</v>
      </c>
      <c r="M210" s="230">
        <f>M$209*'BTX recycling rates'!O74</f>
        <v>0.39680701366637455</v>
      </c>
      <c r="N210" s="230">
        <f>N$209*'BTX recycling rates'!P74</f>
        <v>0.46209948755548835</v>
      </c>
      <c r="O210" s="230">
        <f>O$209*'BTX recycling rates'!Q74</f>
        <v>0.53328715716995945</v>
      </c>
      <c r="P210" s="230">
        <f>P$209*'BTX recycling rates'!R74</f>
        <v>0.61036183134912603</v>
      </c>
      <c r="Q210" s="230">
        <f>Q$209*'BTX recycling rates'!S74</f>
        <v>0.69325654726069508</v>
      </c>
      <c r="R210" s="230">
        <f>R$209*'BTX recycling rates'!T74</f>
        <v>0.78184281734209538</v>
      </c>
      <c r="S210" s="230">
        <f>S$209*'BTX recycling rates'!U74</f>
        <v>0.87750673431468162</v>
      </c>
      <c r="T210" s="230">
        <f>T$209*'BTX recycling rates'!V74</f>
        <v>0.9805416512462326</v>
      </c>
      <c r="U210" s="230">
        <f>U$209*'BTX recycling rates'!W74</f>
        <v>1.0912453500547814</v>
      </c>
      <c r="V210" s="230">
        <f>V$209*'BTX recycling rates'!X74</f>
        <v>1.2099198988921036</v>
      </c>
      <c r="W210" s="230">
        <f>W$209*'BTX recycling rates'!Y74</f>
        <v>1.3368715017518678</v>
      </c>
      <c r="X210" s="230">
        <f>X$209*'BTX recycling rates'!Z74</f>
        <v>1.509406947714145</v>
      </c>
      <c r="Y210" s="230">
        <f>Y$209*'BTX recycling rates'!AA74</f>
        <v>1.6952007028020133</v>
      </c>
      <c r="Z210" s="230">
        <f>Z$209*'BTX recycling rates'!AB74</f>
        <v>1.8947724316188217</v>
      </c>
      <c r="AA210" s="230">
        <f>AA$209*'BTX recycling rates'!AC74</f>
        <v>2.108649084381804</v>
      </c>
      <c r="AB210" s="230">
        <f>AB$209*'BTX recycling rates'!AD74</f>
        <v>2.3373646639470236</v>
      </c>
      <c r="AC210" s="230">
        <f>AC$209*'BTX recycling rates'!AE74</f>
        <v>2.5814843868803856</v>
      </c>
      <c r="AD210" s="230">
        <f>AD$209*'BTX recycling rates'!AF74</f>
        <v>2.8415630268815626</v>
      </c>
      <c r="AE210" s="230">
        <f>AE$209*'BTX recycling rates'!AG74</f>
        <v>3.1181625910692445</v>
      </c>
      <c r="AF210" s="230">
        <f>AF$209*'BTX recycling rates'!AH74</f>
        <v>3.4118520957683343</v>
      </c>
      <c r="AG210" s="230">
        <f>AG$209*'BTX recycling rates'!AI74</f>
        <v>3.7232073317023371</v>
      </c>
      <c r="AH210" s="245"/>
      <c r="AI210" s="133"/>
      <c r="AJ210" s="211"/>
      <c r="AL210" s="108"/>
      <c r="AM210" s="2"/>
      <c r="AN210" s="2"/>
      <c r="AO210" s="2"/>
      <c r="BC210" s="1"/>
      <c r="BD210" s="2"/>
      <c r="BE210" s="2"/>
      <c r="BF210" s="2"/>
      <c r="BG210" s="2"/>
      <c r="BH210" s="2"/>
      <c r="BI210" s="2"/>
      <c r="BJ210" s="2"/>
      <c r="BK210" s="2"/>
    </row>
    <row r="211" spans="1:63" outlineLevel="1">
      <c r="A211" s="4" t="s">
        <v>478</v>
      </c>
      <c r="C211" s="230">
        <f>C$209*'BTX recycling rates'!E75</f>
        <v>0</v>
      </c>
      <c r="D211" s="230">
        <f>D$209*'BTX recycling rates'!F75</f>
        <v>0</v>
      </c>
      <c r="E211" s="230">
        <f>E$209*'BTX recycling rates'!G75</f>
        <v>0</v>
      </c>
      <c r="F211" s="230">
        <f>F$209*'BTX recycling rates'!H75</f>
        <v>0</v>
      </c>
      <c r="G211" s="230">
        <f>G$209*'BTX recycling rates'!I75</f>
        <v>0</v>
      </c>
      <c r="H211" s="230">
        <f>H$209*'BTX recycling rates'!J75</f>
        <v>0</v>
      </c>
      <c r="I211" s="230">
        <f>I$209*'BTX recycling rates'!K75</f>
        <v>0</v>
      </c>
      <c r="J211" s="230">
        <f>J$209*'BTX recycling rates'!L75</f>
        <v>0</v>
      </c>
      <c r="K211" s="230">
        <f>K$209*'BTX recycling rates'!M75</f>
        <v>0</v>
      </c>
      <c r="L211" s="230">
        <f>L$209*'BTX recycling rates'!N75</f>
        <v>0</v>
      </c>
      <c r="M211" s="230">
        <f>M$209*'BTX recycling rates'!O75</f>
        <v>0</v>
      </c>
      <c r="N211" s="230">
        <f>N$209*'BTX recycling rates'!P75</f>
        <v>0</v>
      </c>
      <c r="O211" s="230">
        <f>O$209*'BTX recycling rates'!Q75</f>
        <v>0</v>
      </c>
      <c r="P211" s="230">
        <f>P$209*'BTX recycling rates'!R75</f>
        <v>0</v>
      </c>
      <c r="Q211" s="230">
        <f>Q$209*'BTX recycling rates'!S75</f>
        <v>0</v>
      </c>
      <c r="R211" s="230">
        <f>R$209*'BTX recycling rates'!T75</f>
        <v>0</v>
      </c>
      <c r="S211" s="230">
        <f>S$209*'BTX recycling rates'!U75</f>
        <v>0</v>
      </c>
      <c r="T211" s="230">
        <f>T$209*'BTX recycling rates'!V75</f>
        <v>0</v>
      </c>
      <c r="U211" s="230">
        <f>U$209*'BTX recycling rates'!W75</f>
        <v>0</v>
      </c>
      <c r="V211" s="230">
        <f>V$209*'BTX recycling rates'!X75</f>
        <v>0</v>
      </c>
      <c r="W211" s="230">
        <f>W$209*'BTX recycling rates'!Y75</f>
        <v>0</v>
      </c>
      <c r="X211" s="230">
        <f>X$209*'BTX recycling rates'!Z75</f>
        <v>0</v>
      </c>
      <c r="Y211" s="230">
        <f>Y$209*'BTX recycling rates'!AA75</f>
        <v>0</v>
      </c>
      <c r="Z211" s="230">
        <f>Z$209*'BTX recycling rates'!AB75</f>
        <v>0</v>
      </c>
      <c r="AA211" s="230">
        <f>AA$209*'BTX recycling rates'!AC75</f>
        <v>0</v>
      </c>
      <c r="AB211" s="230">
        <f>AB$209*'BTX recycling rates'!AD75</f>
        <v>0</v>
      </c>
      <c r="AC211" s="230">
        <f>AC$209*'BTX recycling rates'!AE75</f>
        <v>0</v>
      </c>
      <c r="AD211" s="230">
        <f>AD$209*'BTX recycling rates'!AF75</f>
        <v>0</v>
      </c>
      <c r="AE211" s="230">
        <f>AE$209*'BTX recycling rates'!AG75</f>
        <v>0</v>
      </c>
      <c r="AF211" s="230">
        <f>AF$209*'BTX recycling rates'!AH75</f>
        <v>0</v>
      </c>
      <c r="AG211" s="230">
        <f>AG$209*'BTX recycling rates'!AI75</f>
        <v>0</v>
      </c>
      <c r="AH211" s="245"/>
      <c r="AI211" s="133"/>
      <c r="AJ211" s="211"/>
      <c r="AL211" s="108"/>
      <c r="AM211" s="2"/>
      <c r="AN211" s="2"/>
      <c r="AO211" s="2"/>
      <c r="BC211" s="1"/>
      <c r="BD211" s="2"/>
      <c r="BE211" s="2"/>
      <c r="BF211" s="2"/>
      <c r="BG211" s="2"/>
      <c r="BH211" s="2"/>
      <c r="BI211" s="2"/>
      <c r="BJ211" s="2"/>
      <c r="BK211" s="2"/>
    </row>
    <row r="212" spans="1:63" outlineLevel="1">
      <c r="A212" s="4" t="s">
        <v>745</v>
      </c>
      <c r="C212" s="230">
        <f>C$209*'BTX recycling rates'!E76</f>
        <v>0</v>
      </c>
      <c r="D212" s="230">
        <f>D$209*'BTX recycling rates'!F76</f>
        <v>0</v>
      </c>
      <c r="E212" s="230">
        <f>E$209*'BTX recycling rates'!G76</f>
        <v>0</v>
      </c>
      <c r="F212" s="230">
        <f>F$209*'BTX recycling rates'!H76</f>
        <v>0</v>
      </c>
      <c r="G212" s="230">
        <f>G$209*'BTX recycling rates'!I76</f>
        <v>0</v>
      </c>
      <c r="H212" s="230">
        <f>H$209*'BTX recycling rates'!J76</f>
        <v>0</v>
      </c>
      <c r="I212" s="230">
        <f>I$209*'BTX recycling rates'!K76</f>
        <v>0</v>
      </c>
      <c r="J212" s="230">
        <f>J$209*'BTX recycling rates'!L76</f>
        <v>0</v>
      </c>
      <c r="K212" s="230">
        <f>K$209*'BTX recycling rates'!M76</f>
        <v>0</v>
      </c>
      <c r="L212" s="230">
        <f>L$209*'BTX recycling rates'!N76</f>
        <v>0</v>
      </c>
      <c r="M212" s="230">
        <f>M$209*'BTX recycling rates'!O76</f>
        <v>0</v>
      </c>
      <c r="N212" s="230">
        <f>N$209*'BTX recycling rates'!P76</f>
        <v>0</v>
      </c>
      <c r="O212" s="230">
        <f>O$209*'BTX recycling rates'!Q76</f>
        <v>0</v>
      </c>
      <c r="P212" s="230">
        <f>P$209*'BTX recycling rates'!R76</f>
        <v>0</v>
      </c>
      <c r="Q212" s="230">
        <f>Q$209*'BTX recycling rates'!S76</f>
        <v>0</v>
      </c>
      <c r="R212" s="230">
        <f>R$209*'BTX recycling rates'!T76</f>
        <v>0</v>
      </c>
      <c r="S212" s="230">
        <f>S$209*'BTX recycling rates'!U76</f>
        <v>0</v>
      </c>
      <c r="T212" s="230">
        <f>T$209*'BTX recycling rates'!V76</f>
        <v>0</v>
      </c>
      <c r="U212" s="230">
        <f>U$209*'BTX recycling rates'!W76</f>
        <v>0</v>
      </c>
      <c r="V212" s="230">
        <f>V$209*'BTX recycling rates'!X76</f>
        <v>0</v>
      </c>
      <c r="W212" s="230">
        <f>W$209*'BTX recycling rates'!Y76</f>
        <v>0</v>
      </c>
      <c r="X212" s="230">
        <f>X$209*'BTX recycling rates'!Z76</f>
        <v>0</v>
      </c>
      <c r="Y212" s="230">
        <f>Y$209*'BTX recycling rates'!AA76</f>
        <v>0</v>
      </c>
      <c r="Z212" s="230">
        <f>Z$209*'BTX recycling rates'!AB76</f>
        <v>0</v>
      </c>
      <c r="AA212" s="230">
        <f>AA$209*'BTX recycling rates'!AC76</f>
        <v>0</v>
      </c>
      <c r="AB212" s="230">
        <f>AB$209*'BTX recycling rates'!AD76</f>
        <v>0</v>
      </c>
      <c r="AC212" s="230">
        <f>AC$209*'BTX recycling rates'!AE76</f>
        <v>0</v>
      </c>
      <c r="AD212" s="230">
        <f>AD$209*'BTX recycling rates'!AF76</f>
        <v>0</v>
      </c>
      <c r="AE212" s="230">
        <f>AE$209*'BTX recycling rates'!AG76</f>
        <v>0</v>
      </c>
      <c r="AF212" s="230">
        <f>AF$209*'BTX recycling rates'!AH76</f>
        <v>0</v>
      </c>
      <c r="AG212" s="230">
        <f>AG$209*'BTX recycling rates'!AI76</f>
        <v>0</v>
      </c>
      <c r="AH212" s="245"/>
      <c r="AI212" s="133"/>
      <c r="AJ212" s="211"/>
      <c r="AL212" s="108"/>
      <c r="AM212" s="2"/>
      <c r="AN212" s="2"/>
      <c r="AO212" s="2"/>
      <c r="BC212" s="1"/>
      <c r="BD212" s="2"/>
      <c r="BE212" s="2"/>
      <c r="BF212" s="2"/>
      <c r="BG212" s="2"/>
      <c r="BH212" s="2"/>
      <c r="BI212" s="2"/>
      <c r="BJ212" s="2"/>
      <c r="BK212" s="2"/>
    </row>
    <row r="213" spans="1:63" outlineLevel="1">
      <c r="A213" s="4" t="s">
        <v>1561</v>
      </c>
      <c r="C213" s="230">
        <f>C$209*'BTX recycling rates'!E77</f>
        <v>8.9092613893120808E-3</v>
      </c>
      <c r="D213" s="230">
        <f>D$209*'BTX recycling rates'!F77</f>
        <v>8.0417338234090498E-3</v>
      </c>
      <c r="E213" s="230">
        <f>E$209*'BTX recycling rates'!G77</f>
        <v>9.9972421488508691E-3</v>
      </c>
      <c r="F213" s="230">
        <f>F$209*'BTX recycling rates'!H77</f>
        <v>1.2180891530121661E-2</v>
      </c>
      <c r="G213" s="230">
        <f>G$209*'BTX recycling rates'!I77</f>
        <v>1.4596344785373172E-2</v>
      </c>
      <c r="H213" s="230">
        <f>H$209*'BTX recycling rates'!J77</f>
        <v>1.7244612862234221E-2</v>
      </c>
      <c r="I213" s="230">
        <f>I$209*'BTX recycling rates'!K77</f>
        <v>2.0167257856214305E-2</v>
      </c>
      <c r="J213" s="230">
        <f>J$209*'BTX recycling rates'!L77</f>
        <v>2.3379754749290504E-2</v>
      </c>
      <c r="K213" s="230">
        <f>K$209*'BTX recycling rates'!M77</f>
        <v>2.689776095465151E-2</v>
      </c>
      <c r="L213" s="230">
        <f>L$209*'BTX recycling rates'!N77</f>
        <v>3.0737074869754188E-2</v>
      </c>
      <c r="M213" s="230">
        <f>M$209*'BTX recycling rates'!O77</f>
        <v>3.4913591863088622E-2</v>
      </c>
      <c r="N213" s="230">
        <f>N$209*'BTX recycling rates'!P77</f>
        <v>4.0658436854695841E-2</v>
      </c>
      <c r="O213" s="230">
        <f>O$209*'BTX recycling rates'!Q77</f>
        <v>4.6921978468135457E-2</v>
      </c>
      <c r="P213" s="230">
        <f>P$209*'BTX recycling rates'!R77</f>
        <v>5.3703495993262775E-2</v>
      </c>
      <c r="Q213" s="230">
        <f>Q$209*'BTX recycling rates'!S77</f>
        <v>6.0997097616384624E-2</v>
      </c>
      <c r="R213" s="230">
        <f>R$209*'BTX recycling rates'!T77</f>
        <v>6.8791478188739513E-2</v>
      </c>
      <c r="S213" s="230">
        <f>S$209*'BTX recycling rates'!U77</f>
        <v>7.7208594918469084E-2</v>
      </c>
      <c r="T213" s="230">
        <f>T$209*'BTX recycling rates'!V77</f>
        <v>8.6274258864671258E-2</v>
      </c>
      <c r="U213" s="230">
        <f>U$209*'BTX recycling rates'!W77</f>
        <v>9.6014670764712956E-2</v>
      </c>
      <c r="V213" s="230">
        <f>V$209*'BTX recycling rates'!X77</f>
        <v>0.10645640848592693</v>
      </c>
      <c r="W213" s="230">
        <f>W$209*'BTX recycling rates'!Y77</f>
        <v>0.11762641379318522</v>
      </c>
      <c r="X213" s="230">
        <f>X$209*'BTX recycling rates'!Z77</f>
        <v>0.13280717404886863</v>
      </c>
      <c r="Y213" s="230">
        <f>Y$209*'BTX recycling rates'!AA77</f>
        <v>0.14915448423351763</v>
      </c>
      <c r="Z213" s="230">
        <f>Z$209*'BTX recycling rates'!AB77</f>
        <v>0.16671406772711833</v>
      </c>
      <c r="AA213" s="230">
        <f>AA$209*'BTX recycling rates'!AC77</f>
        <v>0.18553228894406618</v>
      </c>
      <c r="AB213" s="230">
        <f>AB$209*'BTX recycling rates'!AD77</f>
        <v>0.20565613283454662</v>
      </c>
      <c r="AC213" s="230">
        <f>AC$209*'BTX recycling rates'!AE77</f>
        <v>0.22713533072844191</v>
      </c>
      <c r="AD213" s="230">
        <f>AD$209*'BTX recycling rates'!AF77</f>
        <v>0.25001869512618591</v>
      </c>
      <c r="AE213" s="230">
        <f>AE$209*'BTX recycling rates'!AG77</f>
        <v>0.27435567497018726</v>
      </c>
      <c r="AF213" s="230">
        <f>AF$209*'BTX recycling rates'!AH77</f>
        <v>0.30019633591716777</v>
      </c>
      <c r="AG213" s="230">
        <f>AG$209*'BTX recycling rates'!AI77</f>
        <v>0.32759133967830367</v>
      </c>
      <c r="AH213" s="245"/>
      <c r="AI213" s="133"/>
      <c r="AJ213" s="211"/>
      <c r="AL213" s="108"/>
      <c r="AM213" s="2"/>
      <c r="AN213" s="2"/>
      <c r="AO213" s="2"/>
      <c r="BC213" s="1"/>
      <c r="BD213" s="2"/>
      <c r="BE213" s="2"/>
      <c r="BF213" s="2"/>
      <c r="BG213" s="2"/>
      <c r="BH213" s="2"/>
      <c r="BI213" s="2"/>
      <c r="BJ213" s="2"/>
      <c r="BK213" s="2"/>
    </row>
    <row r="214" spans="1:63" s="1" customFormat="1" outlineLevel="1">
      <c r="A214" s="1" t="s">
        <v>1562</v>
      </c>
      <c r="B214" s="65"/>
      <c r="C214" s="300">
        <f t="shared" ref="C214:AG214" si="131">C209-$C209</f>
        <v>0</v>
      </c>
      <c r="D214" s="300">
        <f t="shared" si="131"/>
        <v>-1.072732726938698E-2</v>
      </c>
      <c r="E214" s="300">
        <f t="shared" si="131"/>
        <v>1.3453319674309169E-2</v>
      </c>
      <c r="F214" s="300">
        <f t="shared" si="131"/>
        <v>4.0455022530981849E-2</v>
      </c>
      <c r="G214" s="300">
        <f t="shared" si="131"/>
        <v>7.0323073520251911E-2</v>
      </c>
      <c r="H214" s="300">
        <f t="shared" si="131"/>
        <v>0.10306997341614982</v>
      </c>
      <c r="I214" s="300">
        <f t="shared" si="131"/>
        <v>0.13920965424580123</v>
      </c>
      <c r="J214" s="300">
        <f t="shared" si="131"/>
        <v>0.17893347038534418</v>
      </c>
      <c r="K214" s="300">
        <f t="shared" si="131"/>
        <v>0.22243503204622173</v>
      </c>
      <c r="L214" s="300">
        <f t="shared" si="131"/>
        <v>0.26990969276705629</v>
      </c>
      <c r="M214" s="300">
        <f t="shared" si="131"/>
        <v>0.32155400517229743</v>
      </c>
      <c r="N214" s="300">
        <f t="shared" si="131"/>
        <v>0.39259132405301844</v>
      </c>
      <c r="O214" s="300">
        <f t="shared" si="131"/>
        <v>0.47004253528092921</v>
      </c>
      <c r="P214" s="300">
        <f t="shared" si="131"/>
        <v>0.55389872698522302</v>
      </c>
      <c r="Q214" s="300">
        <f t="shared" si="131"/>
        <v>0.64408704451991394</v>
      </c>
      <c r="R214" s="300">
        <f t="shared" si="131"/>
        <v>0.74046769517366917</v>
      </c>
      <c r="S214" s="300">
        <f t="shared" si="131"/>
        <v>0.84454872887598498</v>
      </c>
      <c r="T214" s="300">
        <f t="shared" si="131"/>
        <v>0.95664930975373808</v>
      </c>
      <c r="U214" s="300">
        <f t="shared" si="131"/>
        <v>1.0770934204623286</v>
      </c>
      <c r="V214" s="300">
        <f t="shared" si="131"/>
        <v>1.2062097070208648</v>
      </c>
      <c r="W214" s="300">
        <f t="shared" si="131"/>
        <v>1.3443313151878873</v>
      </c>
      <c r="X214" s="300">
        <f t="shared" si="131"/>
        <v>1.5320475214058478</v>
      </c>
      <c r="Y214" s="300">
        <f t="shared" si="131"/>
        <v>1.7341885866783651</v>
      </c>
      <c r="Z214" s="300">
        <f t="shared" si="131"/>
        <v>1.9513198989887743</v>
      </c>
      <c r="AA214" s="300">
        <f t="shared" si="131"/>
        <v>2.1840147729687045</v>
      </c>
      <c r="AB214" s="300">
        <f t="shared" si="131"/>
        <v>2.4328541964244046</v>
      </c>
      <c r="AC214" s="300">
        <f t="shared" si="131"/>
        <v>2.6984531172516619</v>
      </c>
      <c r="AD214" s="300">
        <f t="shared" si="131"/>
        <v>2.9814151216505826</v>
      </c>
      <c r="AE214" s="300">
        <f t="shared" si="131"/>
        <v>3.282351665682266</v>
      </c>
      <c r="AF214" s="300">
        <f t="shared" si="131"/>
        <v>3.6018818313283361</v>
      </c>
      <c r="AG214" s="300">
        <f t="shared" si="131"/>
        <v>3.9406320710234755</v>
      </c>
      <c r="AH214" s="245"/>
      <c r="AI214" s="423"/>
      <c r="AJ214" s="424"/>
      <c r="AL214" s="221"/>
      <c r="AM214" s="124"/>
      <c r="AN214" s="124"/>
      <c r="AO214" s="124"/>
      <c r="BD214" s="124"/>
      <c r="BE214" s="124"/>
      <c r="BF214" s="124"/>
      <c r="BG214" s="124"/>
      <c r="BH214" s="124"/>
      <c r="BI214" s="124"/>
      <c r="BJ214" s="124"/>
      <c r="BK214" s="124"/>
    </row>
    <row r="215" spans="1:63" outlineLevel="1">
      <c r="A215" s="4" t="s">
        <v>474</v>
      </c>
      <c r="C215" s="230">
        <f t="shared" ref="C215:AG215" si="132">C210-$C210</f>
        <v>0</v>
      </c>
      <c r="D215" s="230">
        <f t="shared" si="132"/>
        <v>-9.8597997034839402E-3</v>
      </c>
      <c r="E215" s="230">
        <f t="shared" si="132"/>
        <v>1.2365338914770388E-2</v>
      </c>
      <c r="F215" s="230">
        <f t="shared" si="132"/>
        <v>3.7183392390172265E-2</v>
      </c>
      <c r="G215" s="230">
        <f t="shared" si="132"/>
        <v>6.4635990124190829E-2</v>
      </c>
      <c r="H215" s="230">
        <f t="shared" si="132"/>
        <v>9.4734621943227681E-2</v>
      </c>
      <c r="I215" s="230">
        <f t="shared" si="132"/>
        <v>0.127951657778899</v>
      </c>
      <c r="J215" s="230">
        <f t="shared" si="132"/>
        <v>0.16446297702536578</v>
      </c>
      <c r="K215" s="230">
        <f t="shared" si="132"/>
        <v>0.20444653248088229</v>
      </c>
      <c r="L215" s="230">
        <f t="shared" si="132"/>
        <v>0.24808187928661418</v>
      </c>
      <c r="M215" s="230">
        <f t="shared" si="132"/>
        <v>0.29554967469852089</v>
      </c>
      <c r="N215" s="230">
        <f t="shared" si="132"/>
        <v>0.36084214858763469</v>
      </c>
      <c r="O215" s="230">
        <f t="shared" si="132"/>
        <v>0.43202981820210579</v>
      </c>
      <c r="P215" s="230">
        <f t="shared" si="132"/>
        <v>0.50910449238127242</v>
      </c>
      <c r="Q215" s="230">
        <f t="shared" si="132"/>
        <v>0.59199920829284136</v>
      </c>
      <c r="R215" s="230">
        <f t="shared" si="132"/>
        <v>0.68058547837424177</v>
      </c>
      <c r="S215" s="230">
        <f t="shared" si="132"/>
        <v>0.77624939534682791</v>
      </c>
      <c r="T215" s="230">
        <f t="shared" si="132"/>
        <v>0.87928431227837889</v>
      </c>
      <c r="U215" s="230">
        <f t="shared" si="132"/>
        <v>0.98998801108692769</v>
      </c>
      <c r="V215" s="230">
        <f t="shared" si="132"/>
        <v>1.1086625599242499</v>
      </c>
      <c r="W215" s="230">
        <f t="shared" si="132"/>
        <v>1.235614162784014</v>
      </c>
      <c r="X215" s="230">
        <f t="shared" si="132"/>
        <v>1.4081496087462912</v>
      </c>
      <c r="Y215" s="230">
        <f t="shared" si="132"/>
        <v>1.5939433638341596</v>
      </c>
      <c r="Z215" s="230">
        <f t="shared" si="132"/>
        <v>1.793515092650968</v>
      </c>
      <c r="AA215" s="230">
        <f t="shared" si="132"/>
        <v>2.0073917454139503</v>
      </c>
      <c r="AB215" s="230">
        <f t="shared" si="132"/>
        <v>2.2361073249791699</v>
      </c>
      <c r="AC215" s="230">
        <f t="shared" si="132"/>
        <v>2.4802270479125319</v>
      </c>
      <c r="AD215" s="230">
        <f t="shared" si="132"/>
        <v>2.7403056879137089</v>
      </c>
      <c r="AE215" s="230">
        <f t="shared" si="132"/>
        <v>3.0169052521013908</v>
      </c>
      <c r="AF215" s="230">
        <f t="shared" si="132"/>
        <v>3.3105947568004805</v>
      </c>
      <c r="AG215" s="230">
        <f t="shared" si="132"/>
        <v>3.6219499927344834</v>
      </c>
      <c r="AH215" s="245"/>
      <c r="AI215" s="133"/>
      <c r="AJ215" s="211"/>
      <c r="AL215" s="108"/>
      <c r="AM215" s="2"/>
      <c r="AN215" s="2"/>
      <c r="AO215" s="2"/>
      <c r="BC215" s="1"/>
      <c r="BD215" s="2"/>
      <c r="BE215" s="2"/>
      <c r="BF215" s="2"/>
      <c r="BG215" s="2"/>
      <c r="BH215" s="2"/>
      <c r="BI215" s="2"/>
      <c r="BJ215" s="2"/>
      <c r="BK215" s="2"/>
    </row>
    <row r="216" spans="1:63" outlineLevel="1">
      <c r="A216" s="4" t="s">
        <v>478</v>
      </c>
      <c r="C216" s="230">
        <f t="shared" ref="C216:AG216" si="133">C211-$C211</f>
        <v>0</v>
      </c>
      <c r="D216" s="230">
        <f t="shared" si="133"/>
        <v>0</v>
      </c>
      <c r="E216" s="230">
        <f t="shared" si="133"/>
        <v>0</v>
      </c>
      <c r="F216" s="230">
        <f t="shared" si="133"/>
        <v>0</v>
      </c>
      <c r="G216" s="230">
        <f t="shared" si="133"/>
        <v>0</v>
      </c>
      <c r="H216" s="230">
        <f t="shared" si="133"/>
        <v>0</v>
      </c>
      <c r="I216" s="230">
        <f t="shared" si="133"/>
        <v>0</v>
      </c>
      <c r="J216" s="230">
        <f t="shared" si="133"/>
        <v>0</v>
      </c>
      <c r="K216" s="230">
        <f t="shared" si="133"/>
        <v>0</v>
      </c>
      <c r="L216" s="230">
        <f t="shared" si="133"/>
        <v>0</v>
      </c>
      <c r="M216" s="230">
        <f t="shared" si="133"/>
        <v>0</v>
      </c>
      <c r="N216" s="230">
        <f t="shared" si="133"/>
        <v>0</v>
      </c>
      <c r="O216" s="230">
        <f t="shared" si="133"/>
        <v>0</v>
      </c>
      <c r="P216" s="230">
        <f t="shared" si="133"/>
        <v>0</v>
      </c>
      <c r="Q216" s="230">
        <f t="shared" si="133"/>
        <v>0</v>
      </c>
      <c r="R216" s="230">
        <f t="shared" si="133"/>
        <v>0</v>
      </c>
      <c r="S216" s="230">
        <f t="shared" si="133"/>
        <v>0</v>
      </c>
      <c r="T216" s="230">
        <f t="shared" si="133"/>
        <v>0</v>
      </c>
      <c r="U216" s="230">
        <f t="shared" si="133"/>
        <v>0</v>
      </c>
      <c r="V216" s="230">
        <f t="shared" si="133"/>
        <v>0</v>
      </c>
      <c r="W216" s="230">
        <f t="shared" si="133"/>
        <v>0</v>
      </c>
      <c r="X216" s="230">
        <f t="shared" si="133"/>
        <v>0</v>
      </c>
      <c r="Y216" s="230">
        <f t="shared" si="133"/>
        <v>0</v>
      </c>
      <c r="Z216" s="230">
        <f t="shared" si="133"/>
        <v>0</v>
      </c>
      <c r="AA216" s="230">
        <f t="shared" si="133"/>
        <v>0</v>
      </c>
      <c r="AB216" s="230">
        <f t="shared" si="133"/>
        <v>0</v>
      </c>
      <c r="AC216" s="230">
        <f t="shared" si="133"/>
        <v>0</v>
      </c>
      <c r="AD216" s="230">
        <f t="shared" si="133"/>
        <v>0</v>
      </c>
      <c r="AE216" s="230">
        <f t="shared" si="133"/>
        <v>0</v>
      </c>
      <c r="AF216" s="230">
        <f t="shared" si="133"/>
        <v>0</v>
      </c>
      <c r="AG216" s="230">
        <f t="shared" si="133"/>
        <v>0</v>
      </c>
      <c r="AH216" s="245"/>
      <c r="AI216" s="133"/>
      <c r="AJ216" s="211"/>
      <c r="AL216" s="108"/>
      <c r="AM216" s="2"/>
      <c r="AN216" s="2"/>
      <c r="AO216" s="2"/>
      <c r="BC216" s="1"/>
      <c r="BD216" s="2"/>
      <c r="BE216" s="2"/>
      <c r="BF216" s="2"/>
      <c r="BG216" s="2"/>
      <c r="BH216" s="2"/>
      <c r="BI216" s="2"/>
      <c r="BJ216" s="2"/>
      <c r="BK216" s="2"/>
    </row>
    <row r="217" spans="1:63" outlineLevel="1">
      <c r="A217" s="4" t="s">
        <v>745</v>
      </c>
      <c r="C217" s="230">
        <f t="shared" ref="C217:AG217" si="134">C212-$C212</f>
        <v>0</v>
      </c>
      <c r="D217" s="230">
        <f t="shared" si="134"/>
        <v>0</v>
      </c>
      <c r="E217" s="230">
        <f t="shared" si="134"/>
        <v>0</v>
      </c>
      <c r="F217" s="230">
        <f t="shared" si="134"/>
        <v>0</v>
      </c>
      <c r="G217" s="230">
        <f t="shared" si="134"/>
        <v>0</v>
      </c>
      <c r="H217" s="230">
        <f t="shared" si="134"/>
        <v>0</v>
      </c>
      <c r="I217" s="230">
        <f t="shared" si="134"/>
        <v>0</v>
      </c>
      <c r="J217" s="230">
        <f t="shared" si="134"/>
        <v>0</v>
      </c>
      <c r="K217" s="230">
        <f t="shared" si="134"/>
        <v>0</v>
      </c>
      <c r="L217" s="230">
        <f t="shared" si="134"/>
        <v>0</v>
      </c>
      <c r="M217" s="230">
        <f t="shared" si="134"/>
        <v>0</v>
      </c>
      <c r="N217" s="230">
        <f t="shared" si="134"/>
        <v>0</v>
      </c>
      <c r="O217" s="230">
        <f t="shared" si="134"/>
        <v>0</v>
      </c>
      <c r="P217" s="230">
        <f t="shared" si="134"/>
        <v>0</v>
      </c>
      <c r="Q217" s="230">
        <f t="shared" si="134"/>
        <v>0</v>
      </c>
      <c r="R217" s="230">
        <f t="shared" si="134"/>
        <v>0</v>
      </c>
      <c r="S217" s="230">
        <f t="shared" si="134"/>
        <v>0</v>
      </c>
      <c r="T217" s="230">
        <f t="shared" si="134"/>
        <v>0</v>
      </c>
      <c r="U217" s="230">
        <f t="shared" si="134"/>
        <v>0</v>
      </c>
      <c r="V217" s="230">
        <f t="shared" si="134"/>
        <v>0</v>
      </c>
      <c r="W217" s="230">
        <f t="shared" si="134"/>
        <v>0</v>
      </c>
      <c r="X217" s="230">
        <f t="shared" si="134"/>
        <v>0</v>
      </c>
      <c r="Y217" s="230">
        <f t="shared" si="134"/>
        <v>0</v>
      </c>
      <c r="Z217" s="230">
        <f t="shared" si="134"/>
        <v>0</v>
      </c>
      <c r="AA217" s="230">
        <f t="shared" si="134"/>
        <v>0</v>
      </c>
      <c r="AB217" s="230">
        <f t="shared" si="134"/>
        <v>0</v>
      </c>
      <c r="AC217" s="230">
        <f t="shared" si="134"/>
        <v>0</v>
      </c>
      <c r="AD217" s="230">
        <f t="shared" si="134"/>
        <v>0</v>
      </c>
      <c r="AE217" s="230">
        <f t="shared" si="134"/>
        <v>0</v>
      </c>
      <c r="AF217" s="230">
        <f t="shared" si="134"/>
        <v>0</v>
      </c>
      <c r="AG217" s="230">
        <f t="shared" si="134"/>
        <v>0</v>
      </c>
      <c r="AH217" s="245"/>
      <c r="AI217" s="133"/>
      <c r="AJ217" s="211"/>
      <c r="AL217" s="108"/>
      <c r="AM217" s="2"/>
      <c r="AN217" s="2"/>
      <c r="AO217" s="2"/>
      <c r="BC217" s="1"/>
      <c r="BD217" s="2"/>
      <c r="BE217" s="2"/>
      <c r="BF217" s="2"/>
      <c r="BG217" s="2"/>
      <c r="BH217" s="2"/>
      <c r="BI217" s="2"/>
      <c r="BJ217" s="2"/>
      <c r="BK217" s="2"/>
    </row>
    <row r="218" spans="1:63" outlineLevel="1">
      <c r="A218" s="4" t="s">
        <v>1561</v>
      </c>
      <c r="C218" s="230">
        <f t="shared" ref="C218:AG218" si="135">C213-$C213</f>
        <v>0</v>
      </c>
      <c r="D218" s="230">
        <f t="shared" si="135"/>
        <v>-8.6752756590303091E-4</v>
      </c>
      <c r="E218" s="230">
        <f t="shared" si="135"/>
        <v>1.0879807595387883E-3</v>
      </c>
      <c r="F218" s="230">
        <f t="shared" si="135"/>
        <v>3.2716301408095803E-3</v>
      </c>
      <c r="G218" s="230">
        <f t="shared" si="135"/>
        <v>5.6870833960610909E-3</v>
      </c>
      <c r="H218" s="230">
        <f t="shared" si="135"/>
        <v>8.3353514729221402E-3</v>
      </c>
      <c r="I218" s="230">
        <f t="shared" si="135"/>
        <v>1.1257996466902224E-2</v>
      </c>
      <c r="J218" s="230">
        <f t="shared" si="135"/>
        <v>1.4470493359978423E-2</v>
      </c>
      <c r="K218" s="230">
        <f t="shared" si="135"/>
        <v>1.798849956533943E-2</v>
      </c>
      <c r="L218" s="230">
        <f t="shared" si="135"/>
        <v>2.1827813480442108E-2</v>
      </c>
      <c r="M218" s="230">
        <f t="shared" si="135"/>
        <v>2.6004330473776541E-2</v>
      </c>
      <c r="N218" s="230">
        <f t="shared" si="135"/>
        <v>3.1749175465383764E-2</v>
      </c>
      <c r="O218" s="230">
        <f t="shared" si="135"/>
        <v>3.801271707882338E-2</v>
      </c>
      <c r="P218" s="230">
        <f t="shared" si="135"/>
        <v>4.4794234603950697E-2</v>
      </c>
      <c r="Q218" s="230">
        <f t="shared" si="135"/>
        <v>5.208783622707254E-2</v>
      </c>
      <c r="R218" s="230">
        <f t="shared" si="135"/>
        <v>5.9882216799427429E-2</v>
      </c>
      <c r="S218" s="230">
        <f t="shared" si="135"/>
        <v>6.8299333529157E-2</v>
      </c>
      <c r="T218" s="230">
        <f t="shared" si="135"/>
        <v>7.7364997475359173E-2</v>
      </c>
      <c r="U218" s="230">
        <f t="shared" si="135"/>
        <v>8.7105409375400872E-2</v>
      </c>
      <c r="V218" s="230">
        <f t="shared" si="135"/>
        <v>9.7547147096614842E-2</v>
      </c>
      <c r="W218" s="230">
        <f t="shared" si="135"/>
        <v>0.10871715240387314</v>
      </c>
      <c r="X218" s="230">
        <f t="shared" si="135"/>
        <v>0.12389791265955655</v>
      </c>
      <c r="Y218" s="230">
        <f t="shared" si="135"/>
        <v>0.14024522284420554</v>
      </c>
      <c r="Z218" s="230">
        <f t="shared" si="135"/>
        <v>0.15780480633780625</v>
      </c>
      <c r="AA218" s="230">
        <f t="shared" si="135"/>
        <v>0.17662302755475409</v>
      </c>
      <c r="AB218" s="230">
        <f t="shared" si="135"/>
        <v>0.19674687144523453</v>
      </c>
      <c r="AC218" s="230">
        <f t="shared" si="135"/>
        <v>0.21822606933912983</v>
      </c>
      <c r="AD218" s="230">
        <f t="shared" si="135"/>
        <v>0.24110943373687382</v>
      </c>
      <c r="AE218" s="230">
        <f t="shared" si="135"/>
        <v>0.26544641358087517</v>
      </c>
      <c r="AF218" s="230">
        <f t="shared" si="135"/>
        <v>0.29128707452785568</v>
      </c>
      <c r="AG218" s="230">
        <f t="shared" si="135"/>
        <v>0.31868207828899159</v>
      </c>
      <c r="AH218" s="245"/>
      <c r="AI218" s="133"/>
      <c r="AJ218" s="211"/>
      <c r="AL218" s="108"/>
      <c r="AM218" s="2"/>
      <c r="AN218" s="2"/>
      <c r="AO218" s="2"/>
      <c r="BC218" s="1"/>
      <c r="BD218" s="2"/>
      <c r="BE218" s="2"/>
      <c r="BF218" s="2"/>
      <c r="BG218" s="2"/>
      <c r="BH218" s="2"/>
      <c r="BI218" s="2"/>
      <c r="BJ218" s="2"/>
      <c r="BK218" s="2"/>
    </row>
    <row r="219" spans="1:63" s="1" customFormat="1" outlineLevel="1">
      <c r="A219" s="1" t="s">
        <v>1569</v>
      </c>
      <c r="B219" s="65"/>
      <c r="C219" s="300">
        <f>C203*C45</f>
        <v>0.11016660035716574</v>
      </c>
      <c r="D219" s="300">
        <f t="shared" ref="D219:AG219" si="136">D203*D45</f>
        <v>9.9439273087778765E-2</v>
      </c>
      <c r="E219" s="300">
        <f t="shared" si="136"/>
        <v>0.12361992003147491</v>
      </c>
      <c r="F219" s="300">
        <f t="shared" si="136"/>
        <v>0.15062162288814759</v>
      </c>
      <c r="G219" s="300">
        <f t="shared" si="136"/>
        <v>0.18048967387741766</v>
      </c>
      <c r="H219" s="300">
        <f t="shared" si="136"/>
        <v>0.21323657377331556</v>
      </c>
      <c r="I219" s="300">
        <f t="shared" si="136"/>
        <v>0.24937625460296697</v>
      </c>
      <c r="J219" s="300">
        <f t="shared" si="136"/>
        <v>0.28910007074250993</v>
      </c>
      <c r="K219" s="300">
        <f t="shared" si="136"/>
        <v>0.33260163240338747</v>
      </c>
      <c r="L219" s="300">
        <f t="shared" si="136"/>
        <v>0.38007629312422203</v>
      </c>
      <c r="M219" s="300">
        <f t="shared" si="136"/>
        <v>0.43172060552946318</v>
      </c>
      <c r="N219" s="300">
        <f t="shared" si="136"/>
        <v>0.50275792441018419</v>
      </c>
      <c r="O219" s="300">
        <f t="shared" si="136"/>
        <v>0.58020913563809495</v>
      </c>
      <c r="P219" s="300">
        <f t="shared" si="136"/>
        <v>0.66406532734238877</v>
      </c>
      <c r="Q219" s="300">
        <f t="shared" si="136"/>
        <v>0.75425364487707969</v>
      </c>
      <c r="R219" s="300">
        <f t="shared" si="136"/>
        <v>0.85063429553083492</v>
      </c>
      <c r="S219" s="300">
        <f t="shared" si="136"/>
        <v>0.95471532923315072</v>
      </c>
      <c r="T219" s="300">
        <f t="shared" si="136"/>
        <v>1.0668159101109038</v>
      </c>
      <c r="U219" s="300">
        <f t="shared" si="136"/>
        <v>1.1872600208194943</v>
      </c>
      <c r="V219" s="300">
        <f t="shared" si="136"/>
        <v>1.3163763073780306</v>
      </c>
      <c r="W219" s="300">
        <f t="shared" si="136"/>
        <v>1.454497915545053</v>
      </c>
      <c r="X219" s="300">
        <f t="shared" si="136"/>
        <v>1.6422141217630135</v>
      </c>
      <c r="Y219" s="300">
        <f t="shared" si="136"/>
        <v>1.8443551870355308</v>
      </c>
      <c r="Z219" s="300">
        <f t="shared" si="136"/>
        <v>2.0614864993459401</v>
      </c>
      <c r="AA219" s="300">
        <f t="shared" si="136"/>
        <v>2.2941813733258702</v>
      </c>
      <c r="AB219" s="300">
        <f t="shared" si="136"/>
        <v>2.5430207967815703</v>
      </c>
      <c r="AC219" s="300">
        <f t="shared" si="136"/>
        <v>2.8086197176088277</v>
      </c>
      <c r="AD219" s="300">
        <f t="shared" si="136"/>
        <v>3.0915817220077484</v>
      </c>
      <c r="AE219" s="300">
        <f t="shared" si="136"/>
        <v>3.3925182660394317</v>
      </c>
      <c r="AF219" s="300">
        <f t="shared" si="136"/>
        <v>3.7120484316855018</v>
      </c>
      <c r="AG219" s="300">
        <f t="shared" si="136"/>
        <v>4.0507986713806412</v>
      </c>
      <c r="AH219" s="245"/>
      <c r="AI219" s="423"/>
      <c r="AJ219" s="424"/>
      <c r="AL219" s="221"/>
      <c r="AM219" s="124"/>
      <c r="AN219" s="124"/>
      <c r="AO219" s="124"/>
      <c r="BD219" s="124"/>
      <c r="BE219" s="124"/>
      <c r="BF219" s="124"/>
      <c r="BG219" s="124"/>
      <c r="BH219" s="124"/>
      <c r="BI219" s="124"/>
      <c r="BJ219" s="124"/>
      <c r="BK219" s="124"/>
    </row>
    <row r="220" spans="1:63" outlineLevel="1">
      <c r="A220" s="4" t="s">
        <v>474</v>
      </c>
      <c r="C220" s="230">
        <f>C$219*'BTX recycling rates'!E78</f>
        <v>0.10125733896785366</v>
      </c>
      <c r="D220" s="230">
        <f>D$219*'BTX recycling rates'!F78</f>
        <v>9.139753926436972E-2</v>
      </c>
      <c r="E220" s="230">
        <f>E$219*'BTX recycling rates'!G78</f>
        <v>0.11362267788262405</v>
      </c>
      <c r="F220" s="230">
        <f>F$219*'BTX recycling rates'!H78</f>
        <v>0.13844073135802593</v>
      </c>
      <c r="G220" s="230">
        <f>G$219*'BTX recycling rates'!I78</f>
        <v>0.16589332909204449</v>
      </c>
      <c r="H220" s="230">
        <f>H$219*'BTX recycling rates'!J78</f>
        <v>0.19599196091108134</v>
      </c>
      <c r="I220" s="230">
        <f>I$219*'BTX recycling rates'!K78</f>
        <v>0.22920899674675266</v>
      </c>
      <c r="J220" s="230">
        <f>J$219*'BTX recycling rates'!L78</f>
        <v>0.26572031599321944</v>
      </c>
      <c r="K220" s="230">
        <f>K$219*'BTX recycling rates'!M78</f>
        <v>0.30570387144873595</v>
      </c>
      <c r="L220" s="230">
        <f>L$219*'BTX recycling rates'!N78</f>
        <v>0.34933921825446784</v>
      </c>
      <c r="M220" s="230">
        <f>M$219*'BTX recycling rates'!O78</f>
        <v>0.39680701366637455</v>
      </c>
      <c r="N220" s="230">
        <f>N$219*'BTX recycling rates'!P78</f>
        <v>0.46209948755548835</v>
      </c>
      <c r="O220" s="230">
        <f>O$219*'BTX recycling rates'!Q78</f>
        <v>0.53328715716995945</v>
      </c>
      <c r="P220" s="230">
        <f>P$219*'BTX recycling rates'!R78</f>
        <v>0.61036183134912603</v>
      </c>
      <c r="Q220" s="230">
        <f>Q$219*'BTX recycling rates'!S78</f>
        <v>0.69325654726069508</v>
      </c>
      <c r="R220" s="230">
        <f>R$219*'BTX recycling rates'!T78</f>
        <v>0.78184281734209538</v>
      </c>
      <c r="S220" s="230">
        <f>S$219*'BTX recycling rates'!U78</f>
        <v>0.87750673431468162</v>
      </c>
      <c r="T220" s="230">
        <f>T$219*'BTX recycling rates'!V78</f>
        <v>0.9805416512462326</v>
      </c>
      <c r="U220" s="230">
        <f>U$219*'BTX recycling rates'!W78</f>
        <v>1.0912453500547814</v>
      </c>
      <c r="V220" s="230">
        <f>V$219*'BTX recycling rates'!X78</f>
        <v>1.2099198988921036</v>
      </c>
      <c r="W220" s="230">
        <f>W$219*'BTX recycling rates'!Y78</f>
        <v>1.3368715017518678</v>
      </c>
      <c r="X220" s="230">
        <f>X$219*'BTX recycling rates'!Z78</f>
        <v>1.509406947714145</v>
      </c>
      <c r="Y220" s="230">
        <f>Y$219*'BTX recycling rates'!AA78</f>
        <v>1.6952007028020133</v>
      </c>
      <c r="Z220" s="230">
        <f>Z$219*'BTX recycling rates'!AB78</f>
        <v>1.8947724316188217</v>
      </c>
      <c r="AA220" s="230">
        <f>AA$219*'BTX recycling rates'!AC78</f>
        <v>2.108649084381804</v>
      </c>
      <c r="AB220" s="230">
        <f>AB$219*'BTX recycling rates'!AD78</f>
        <v>2.3373646639470236</v>
      </c>
      <c r="AC220" s="230">
        <f>AC$219*'BTX recycling rates'!AE78</f>
        <v>2.5814843868803856</v>
      </c>
      <c r="AD220" s="230">
        <f>AD$219*'BTX recycling rates'!AF78</f>
        <v>2.8415630268815626</v>
      </c>
      <c r="AE220" s="230">
        <f>AE$219*'BTX recycling rates'!AG78</f>
        <v>3.1181625910692445</v>
      </c>
      <c r="AF220" s="230">
        <f>AF$219*'BTX recycling rates'!AH78</f>
        <v>3.4118520957683343</v>
      </c>
      <c r="AG220" s="230">
        <f>AG$219*'BTX recycling rates'!AI78</f>
        <v>3.7232073317023371</v>
      </c>
      <c r="AH220" s="245"/>
      <c r="AI220" s="133"/>
      <c r="AJ220" s="211"/>
      <c r="AL220" s="108"/>
      <c r="AM220" s="2"/>
      <c r="AN220" s="2"/>
      <c r="AO220" s="2"/>
      <c r="BC220" s="1"/>
      <c r="BD220" s="2"/>
      <c r="BE220" s="2"/>
      <c r="BF220" s="2"/>
      <c r="BG220" s="2"/>
      <c r="BH220" s="2"/>
      <c r="BI220" s="2"/>
      <c r="BJ220" s="2"/>
      <c r="BK220" s="2"/>
    </row>
    <row r="221" spans="1:63" outlineLevel="1">
      <c r="A221" s="4" t="s">
        <v>478</v>
      </c>
      <c r="C221" s="230">
        <f>C$219*'BTX recycling rates'!E79</f>
        <v>0</v>
      </c>
      <c r="D221" s="230">
        <f>D$219*'BTX recycling rates'!F79</f>
        <v>0</v>
      </c>
      <c r="E221" s="230">
        <f>E$219*'BTX recycling rates'!G79</f>
        <v>0</v>
      </c>
      <c r="F221" s="230">
        <f>F$219*'BTX recycling rates'!H79</f>
        <v>0</v>
      </c>
      <c r="G221" s="230">
        <f>G$219*'BTX recycling rates'!I79</f>
        <v>0</v>
      </c>
      <c r="H221" s="230">
        <f>H$219*'BTX recycling rates'!J79</f>
        <v>0</v>
      </c>
      <c r="I221" s="230">
        <f>I$219*'BTX recycling rates'!K79</f>
        <v>0</v>
      </c>
      <c r="J221" s="230">
        <f>J$219*'BTX recycling rates'!L79</f>
        <v>0</v>
      </c>
      <c r="K221" s="230">
        <f>K$219*'BTX recycling rates'!M79</f>
        <v>0</v>
      </c>
      <c r="L221" s="230">
        <f>L$219*'BTX recycling rates'!N79</f>
        <v>0</v>
      </c>
      <c r="M221" s="230">
        <f>M$219*'BTX recycling rates'!O79</f>
        <v>0</v>
      </c>
      <c r="N221" s="230">
        <f>N$219*'BTX recycling rates'!P79</f>
        <v>0</v>
      </c>
      <c r="O221" s="230">
        <f>O$219*'BTX recycling rates'!Q79</f>
        <v>0</v>
      </c>
      <c r="P221" s="230">
        <f>P$219*'BTX recycling rates'!R79</f>
        <v>0</v>
      </c>
      <c r="Q221" s="230">
        <f>Q$219*'BTX recycling rates'!S79</f>
        <v>0</v>
      </c>
      <c r="R221" s="230">
        <f>R$219*'BTX recycling rates'!T79</f>
        <v>0</v>
      </c>
      <c r="S221" s="230">
        <f>S$219*'BTX recycling rates'!U79</f>
        <v>0</v>
      </c>
      <c r="T221" s="230">
        <f>T$219*'BTX recycling rates'!V79</f>
        <v>0</v>
      </c>
      <c r="U221" s="230">
        <f>U$219*'BTX recycling rates'!W79</f>
        <v>0</v>
      </c>
      <c r="V221" s="230">
        <f>V$219*'BTX recycling rates'!X79</f>
        <v>0</v>
      </c>
      <c r="W221" s="230">
        <f>W$219*'BTX recycling rates'!Y79</f>
        <v>0</v>
      </c>
      <c r="X221" s="230">
        <f>X$219*'BTX recycling rates'!Z79</f>
        <v>0</v>
      </c>
      <c r="Y221" s="230">
        <f>Y$219*'BTX recycling rates'!AA79</f>
        <v>0</v>
      </c>
      <c r="Z221" s="230">
        <f>Z$219*'BTX recycling rates'!AB79</f>
        <v>0</v>
      </c>
      <c r="AA221" s="230">
        <f>AA$219*'BTX recycling rates'!AC79</f>
        <v>0</v>
      </c>
      <c r="AB221" s="230">
        <f>AB$219*'BTX recycling rates'!AD79</f>
        <v>0</v>
      </c>
      <c r="AC221" s="230">
        <f>AC$219*'BTX recycling rates'!AE79</f>
        <v>0</v>
      </c>
      <c r="AD221" s="230">
        <f>AD$219*'BTX recycling rates'!AF79</f>
        <v>0</v>
      </c>
      <c r="AE221" s="230">
        <f>AE$219*'BTX recycling rates'!AG79</f>
        <v>0</v>
      </c>
      <c r="AF221" s="230">
        <f>AF$219*'BTX recycling rates'!AH79</f>
        <v>0</v>
      </c>
      <c r="AG221" s="230">
        <f>AG$219*'BTX recycling rates'!AI79</f>
        <v>0</v>
      </c>
      <c r="AH221" s="245"/>
      <c r="AI221" s="133"/>
      <c r="AJ221" s="211"/>
      <c r="AL221" s="108"/>
      <c r="AM221" s="2"/>
      <c r="AN221" s="2"/>
      <c r="AO221" s="2"/>
      <c r="BC221" s="1"/>
      <c r="BD221" s="2"/>
      <c r="BE221" s="2"/>
      <c r="BF221" s="2"/>
      <c r="BG221" s="2"/>
      <c r="BH221" s="2"/>
      <c r="BI221" s="2"/>
      <c r="BJ221" s="2"/>
      <c r="BK221" s="2"/>
    </row>
    <row r="222" spans="1:63" outlineLevel="1">
      <c r="A222" s="4" t="s">
        <v>745</v>
      </c>
      <c r="C222" s="230">
        <f>C$219*'BTX recycling rates'!E80</f>
        <v>0</v>
      </c>
      <c r="D222" s="230">
        <f>D$219*'BTX recycling rates'!F80</f>
        <v>0</v>
      </c>
      <c r="E222" s="230">
        <f>E$219*'BTX recycling rates'!G80</f>
        <v>0</v>
      </c>
      <c r="F222" s="230">
        <f>F$219*'BTX recycling rates'!H80</f>
        <v>0</v>
      </c>
      <c r="G222" s="230">
        <f>G$219*'BTX recycling rates'!I80</f>
        <v>0</v>
      </c>
      <c r="H222" s="230">
        <f>H$219*'BTX recycling rates'!J80</f>
        <v>0</v>
      </c>
      <c r="I222" s="230">
        <f>I$219*'BTX recycling rates'!K80</f>
        <v>0</v>
      </c>
      <c r="J222" s="230">
        <f>J$219*'BTX recycling rates'!L80</f>
        <v>0</v>
      </c>
      <c r="K222" s="230">
        <f>K$219*'BTX recycling rates'!M80</f>
        <v>0</v>
      </c>
      <c r="L222" s="230">
        <f>L$219*'BTX recycling rates'!N80</f>
        <v>0</v>
      </c>
      <c r="M222" s="230">
        <f>M$219*'BTX recycling rates'!O80</f>
        <v>0</v>
      </c>
      <c r="N222" s="230">
        <f>N$219*'BTX recycling rates'!P80</f>
        <v>0</v>
      </c>
      <c r="O222" s="230">
        <f>O$219*'BTX recycling rates'!Q80</f>
        <v>0</v>
      </c>
      <c r="P222" s="230">
        <f>P$219*'BTX recycling rates'!R80</f>
        <v>0</v>
      </c>
      <c r="Q222" s="230">
        <f>Q$219*'BTX recycling rates'!S80</f>
        <v>0</v>
      </c>
      <c r="R222" s="230">
        <f>R$219*'BTX recycling rates'!T80</f>
        <v>0</v>
      </c>
      <c r="S222" s="230">
        <f>S$219*'BTX recycling rates'!U80</f>
        <v>0</v>
      </c>
      <c r="T222" s="230">
        <f>T$219*'BTX recycling rates'!V80</f>
        <v>0</v>
      </c>
      <c r="U222" s="230">
        <f>U$219*'BTX recycling rates'!W80</f>
        <v>0</v>
      </c>
      <c r="V222" s="230">
        <f>V$219*'BTX recycling rates'!X80</f>
        <v>0</v>
      </c>
      <c r="W222" s="230">
        <f>W$219*'BTX recycling rates'!Y80</f>
        <v>0</v>
      </c>
      <c r="X222" s="230">
        <f>X$219*'BTX recycling rates'!Z80</f>
        <v>0</v>
      </c>
      <c r="Y222" s="230">
        <f>Y$219*'BTX recycling rates'!AA80</f>
        <v>0</v>
      </c>
      <c r="Z222" s="230">
        <f>Z$219*'BTX recycling rates'!AB80</f>
        <v>0</v>
      </c>
      <c r="AA222" s="230">
        <f>AA$219*'BTX recycling rates'!AC80</f>
        <v>0</v>
      </c>
      <c r="AB222" s="230">
        <f>AB$219*'BTX recycling rates'!AD80</f>
        <v>0</v>
      </c>
      <c r="AC222" s="230">
        <f>AC$219*'BTX recycling rates'!AE80</f>
        <v>0</v>
      </c>
      <c r="AD222" s="230">
        <f>AD$219*'BTX recycling rates'!AF80</f>
        <v>0</v>
      </c>
      <c r="AE222" s="230">
        <f>AE$219*'BTX recycling rates'!AG80</f>
        <v>0</v>
      </c>
      <c r="AF222" s="230">
        <f>AF$219*'BTX recycling rates'!AH80</f>
        <v>0</v>
      </c>
      <c r="AG222" s="230">
        <f>AG$219*'BTX recycling rates'!AI80</f>
        <v>0</v>
      </c>
      <c r="AH222" s="245"/>
      <c r="AI222" s="133"/>
      <c r="AJ222" s="211"/>
      <c r="AL222" s="108"/>
      <c r="AM222" s="2"/>
      <c r="AN222" s="2"/>
      <c r="AO222" s="2"/>
      <c r="BC222" s="1"/>
      <c r="BD222" s="2"/>
      <c r="BE222" s="2"/>
      <c r="BF222" s="2"/>
      <c r="BG222" s="2"/>
      <c r="BH222" s="2"/>
      <c r="BI222" s="2"/>
      <c r="BJ222" s="2"/>
      <c r="BK222" s="2"/>
    </row>
    <row r="223" spans="1:63" outlineLevel="1">
      <c r="A223" s="4" t="s">
        <v>1561</v>
      </c>
      <c r="C223" s="230">
        <f>C$219*'BTX recycling rates'!E81</f>
        <v>8.9092613893120808E-3</v>
      </c>
      <c r="D223" s="230">
        <f>D$219*'BTX recycling rates'!F81</f>
        <v>8.0417338234090498E-3</v>
      </c>
      <c r="E223" s="230">
        <f>E$219*'BTX recycling rates'!G81</f>
        <v>9.9972421488508691E-3</v>
      </c>
      <c r="F223" s="230">
        <f>F$219*'BTX recycling rates'!H81</f>
        <v>1.2180891530121661E-2</v>
      </c>
      <c r="G223" s="230">
        <f>G$219*'BTX recycling rates'!I81</f>
        <v>1.4596344785373172E-2</v>
      </c>
      <c r="H223" s="230">
        <f>H$219*'BTX recycling rates'!J81</f>
        <v>1.7244612862234221E-2</v>
      </c>
      <c r="I223" s="230">
        <f>I$219*'BTX recycling rates'!K81</f>
        <v>2.0167257856214305E-2</v>
      </c>
      <c r="J223" s="230">
        <f>J$219*'BTX recycling rates'!L81</f>
        <v>2.3379754749290504E-2</v>
      </c>
      <c r="K223" s="230">
        <f>K$219*'BTX recycling rates'!M81</f>
        <v>2.689776095465151E-2</v>
      </c>
      <c r="L223" s="230">
        <f>L$219*'BTX recycling rates'!N81</f>
        <v>3.0737074869754188E-2</v>
      </c>
      <c r="M223" s="230">
        <f>M$219*'BTX recycling rates'!O81</f>
        <v>3.4913591863088622E-2</v>
      </c>
      <c r="N223" s="230">
        <f>N$219*'BTX recycling rates'!P81</f>
        <v>4.0658436854695841E-2</v>
      </c>
      <c r="O223" s="230">
        <f>O$219*'BTX recycling rates'!Q81</f>
        <v>4.6921978468135457E-2</v>
      </c>
      <c r="P223" s="230">
        <f>P$219*'BTX recycling rates'!R81</f>
        <v>5.3703495993262775E-2</v>
      </c>
      <c r="Q223" s="230">
        <f>Q$219*'BTX recycling rates'!S81</f>
        <v>6.0997097616384624E-2</v>
      </c>
      <c r="R223" s="230">
        <f>R$219*'BTX recycling rates'!T81</f>
        <v>6.8791478188739513E-2</v>
      </c>
      <c r="S223" s="230">
        <f>S$219*'BTX recycling rates'!U81</f>
        <v>7.7208594918469084E-2</v>
      </c>
      <c r="T223" s="230">
        <f>T$219*'BTX recycling rates'!V81</f>
        <v>8.6274258864671258E-2</v>
      </c>
      <c r="U223" s="230">
        <f>U$219*'BTX recycling rates'!W81</f>
        <v>9.6014670764712956E-2</v>
      </c>
      <c r="V223" s="230">
        <f>V$219*'BTX recycling rates'!X81</f>
        <v>0.10645640848592693</v>
      </c>
      <c r="W223" s="230">
        <f>W$219*'BTX recycling rates'!Y81</f>
        <v>0.11762641379318522</v>
      </c>
      <c r="X223" s="230">
        <f>X$219*'BTX recycling rates'!Z81</f>
        <v>0.13280717404886863</v>
      </c>
      <c r="Y223" s="230">
        <f>Y$219*'BTX recycling rates'!AA81</f>
        <v>0.14915448423351763</v>
      </c>
      <c r="Z223" s="230">
        <f>Z$219*'BTX recycling rates'!AB81</f>
        <v>0.16671406772711833</v>
      </c>
      <c r="AA223" s="230">
        <f>AA$219*'BTX recycling rates'!AC81</f>
        <v>0.18553228894406618</v>
      </c>
      <c r="AB223" s="230">
        <f>AB$219*'BTX recycling rates'!AD81</f>
        <v>0.20565613283454662</v>
      </c>
      <c r="AC223" s="230">
        <f>AC$219*'BTX recycling rates'!AE81</f>
        <v>0.22713533072844191</v>
      </c>
      <c r="AD223" s="230">
        <f>AD$219*'BTX recycling rates'!AF81</f>
        <v>0.25001869512618591</v>
      </c>
      <c r="AE223" s="230">
        <f>AE$219*'BTX recycling rates'!AG81</f>
        <v>0.27435567497018726</v>
      </c>
      <c r="AF223" s="230">
        <f>AF$219*'BTX recycling rates'!AH81</f>
        <v>0.30019633591716777</v>
      </c>
      <c r="AG223" s="230">
        <f>AG$219*'BTX recycling rates'!AI81</f>
        <v>0.32759133967830367</v>
      </c>
      <c r="AH223" s="245"/>
      <c r="AI223" s="133"/>
      <c r="AJ223" s="211"/>
      <c r="AL223" s="108"/>
      <c r="AM223" s="2"/>
      <c r="AN223" s="2"/>
      <c r="AO223" s="2"/>
      <c r="BC223" s="1"/>
      <c r="BD223" s="2"/>
      <c r="BE223" s="2"/>
      <c r="BF223" s="2"/>
      <c r="BG223" s="2"/>
      <c r="BH223" s="2"/>
      <c r="BI223" s="2"/>
      <c r="BJ223" s="2"/>
      <c r="BK223" s="2"/>
    </row>
    <row r="224" spans="1:63" s="1" customFormat="1" outlineLevel="1">
      <c r="A224" s="1" t="s">
        <v>1570</v>
      </c>
      <c r="B224" s="65"/>
      <c r="C224" s="300">
        <f t="shared" ref="C224:AG224" si="137">C219-$C219</f>
        <v>0</v>
      </c>
      <c r="D224" s="300">
        <f t="shared" si="137"/>
        <v>-1.072732726938698E-2</v>
      </c>
      <c r="E224" s="300">
        <f t="shared" si="137"/>
        <v>1.3453319674309169E-2</v>
      </c>
      <c r="F224" s="300">
        <f t="shared" si="137"/>
        <v>4.0455022530981849E-2</v>
      </c>
      <c r="G224" s="300">
        <f t="shared" si="137"/>
        <v>7.0323073520251911E-2</v>
      </c>
      <c r="H224" s="300">
        <f t="shared" si="137"/>
        <v>0.10306997341614982</v>
      </c>
      <c r="I224" s="300">
        <f t="shared" si="137"/>
        <v>0.13920965424580123</v>
      </c>
      <c r="J224" s="300">
        <f t="shared" si="137"/>
        <v>0.17893347038534418</v>
      </c>
      <c r="K224" s="300">
        <f t="shared" si="137"/>
        <v>0.22243503204622173</v>
      </c>
      <c r="L224" s="300">
        <f t="shared" si="137"/>
        <v>0.26990969276705629</v>
      </c>
      <c r="M224" s="300">
        <f t="shared" si="137"/>
        <v>0.32155400517229743</v>
      </c>
      <c r="N224" s="300">
        <f t="shared" si="137"/>
        <v>0.39259132405301844</v>
      </c>
      <c r="O224" s="300">
        <f t="shared" si="137"/>
        <v>0.47004253528092921</v>
      </c>
      <c r="P224" s="300">
        <f t="shared" si="137"/>
        <v>0.55389872698522302</v>
      </c>
      <c r="Q224" s="300">
        <f t="shared" si="137"/>
        <v>0.64408704451991394</v>
      </c>
      <c r="R224" s="300">
        <f t="shared" si="137"/>
        <v>0.74046769517366917</v>
      </c>
      <c r="S224" s="300">
        <f t="shared" si="137"/>
        <v>0.84454872887598498</v>
      </c>
      <c r="T224" s="300">
        <f t="shared" si="137"/>
        <v>0.95664930975373808</v>
      </c>
      <c r="U224" s="300">
        <f t="shared" si="137"/>
        <v>1.0770934204623286</v>
      </c>
      <c r="V224" s="300">
        <f t="shared" si="137"/>
        <v>1.2062097070208648</v>
      </c>
      <c r="W224" s="300">
        <f t="shared" si="137"/>
        <v>1.3443313151878873</v>
      </c>
      <c r="X224" s="300">
        <f t="shared" si="137"/>
        <v>1.5320475214058478</v>
      </c>
      <c r="Y224" s="300">
        <f t="shared" si="137"/>
        <v>1.7341885866783651</v>
      </c>
      <c r="Z224" s="300">
        <f t="shared" si="137"/>
        <v>1.9513198989887743</v>
      </c>
      <c r="AA224" s="300">
        <f t="shared" si="137"/>
        <v>2.1840147729687045</v>
      </c>
      <c r="AB224" s="300">
        <f t="shared" si="137"/>
        <v>2.4328541964244046</v>
      </c>
      <c r="AC224" s="300">
        <f t="shared" si="137"/>
        <v>2.6984531172516619</v>
      </c>
      <c r="AD224" s="300">
        <f t="shared" si="137"/>
        <v>2.9814151216505826</v>
      </c>
      <c r="AE224" s="300">
        <f t="shared" si="137"/>
        <v>3.282351665682266</v>
      </c>
      <c r="AF224" s="300">
        <f t="shared" si="137"/>
        <v>3.6018818313283361</v>
      </c>
      <c r="AG224" s="300">
        <f t="shared" si="137"/>
        <v>3.9406320710234755</v>
      </c>
      <c r="AH224" s="245"/>
      <c r="AI224" s="423"/>
      <c r="AJ224" s="424"/>
      <c r="AL224" s="221"/>
      <c r="AM224" s="124"/>
      <c r="AN224" s="124"/>
      <c r="AO224" s="124"/>
      <c r="BD224" s="124"/>
      <c r="BE224" s="124"/>
      <c r="BF224" s="124"/>
      <c r="BG224" s="124"/>
      <c r="BH224" s="124"/>
      <c r="BI224" s="124"/>
      <c r="BJ224" s="124"/>
      <c r="BK224" s="124"/>
    </row>
    <row r="225" spans="1:63" outlineLevel="1">
      <c r="A225" s="4" t="s">
        <v>474</v>
      </c>
      <c r="C225" s="230">
        <f t="shared" ref="C225:AG225" si="138">C220-$C220</f>
        <v>0</v>
      </c>
      <c r="D225" s="230">
        <f t="shared" si="138"/>
        <v>-9.8597997034839402E-3</v>
      </c>
      <c r="E225" s="230">
        <f t="shared" si="138"/>
        <v>1.2365338914770388E-2</v>
      </c>
      <c r="F225" s="230">
        <f t="shared" si="138"/>
        <v>3.7183392390172265E-2</v>
      </c>
      <c r="G225" s="230">
        <f t="shared" si="138"/>
        <v>6.4635990124190829E-2</v>
      </c>
      <c r="H225" s="230">
        <f t="shared" si="138"/>
        <v>9.4734621943227681E-2</v>
      </c>
      <c r="I225" s="230">
        <f t="shared" si="138"/>
        <v>0.127951657778899</v>
      </c>
      <c r="J225" s="230">
        <f t="shared" si="138"/>
        <v>0.16446297702536578</v>
      </c>
      <c r="K225" s="230">
        <f t="shared" si="138"/>
        <v>0.20444653248088229</v>
      </c>
      <c r="L225" s="230">
        <f t="shared" si="138"/>
        <v>0.24808187928661418</v>
      </c>
      <c r="M225" s="230">
        <f t="shared" si="138"/>
        <v>0.29554967469852089</v>
      </c>
      <c r="N225" s="230">
        <f t="shared" si="138"/>
        <v>0.36084214858763469</v>
      </c>
      <c r="O225" s="230">
        <f t="shared" si="138"/>
        <v>0.43202981820210579</v>
      </c>
      <c r="P225" s="230">
        <f t="shared" si="138"/>
        <v>0.50910449238127242</v>
      </c>
      <c r="Q225" s="230">
        <f t="shared" si="138"/>
        <v>0.59199920829284136</v>
      </c>
      <c r="R225" s="230">
        <f t="shared" si="138"/>
        <v>0.68058547837424177</v>
      </c>
      <c r="S225" s="230">
        <f t="shared" si="138"/>
        <v>0.77624939534682791</v>
      </c>
      <c r="T225" s="230">
        <f t="shared" si="138"/>
        <v>0.87928431227837889</v>
      </c>
      <c r="U225" s="230">
        <f t="shared" si="138"/>
        <v>0.98998801108692769</v>
      </c>
      <c r="V225" s="230">
        <f t="shared" si="138"/>
        <v>1.1086625599242499</v>
      </c>
      <c r="W225" s="230">
        <f t="shared" si="138"/>
        <v>1.235614162784014</v>
      </c>
      <c r="X225" s="230">
        <f t="shared" si="138"/>
        <v>1.4081496087462912</v>
      </c>
      <c r="Y225" s="230">
        <f t="shared" si="138"/>
        <v>1.5939433638341596</v>
      </c>
      <c r="Z225" s="230">
        <f t="shared" si="138"/>
        <v>1.793515092650968</v>
      </c>
      <c r="AA225" s="230">
        <f t="shared" si="138"/>
        <v>2.0073917454139503</v>
      </c>
      <c r="AB225" s="230">
        <f t="shared" si="138"/>
        <v>2.2361073249791699</v>
      </c>
      <c r="AC225" s="230">
        <f t="shared" si="138"/>
        <v>2.4802270479125319</v>
      </c>
      <c r="AD225" s="230">
        <f t="shared" si="138"/>
        <v>2.7403056879137089</v>
      </c>
      <c r="AE225" s="230">
        <f t="shared" si="138"/>
        <v>3.0169052521013908</v>
      </c>
      <c r="AF225" s="230">
        <f t="shared" si="138"/>
        <v>3.3105947568004805</v>
      </c>
      <c r="AG225" s="230">
        <f t="shared" si="138"/>
        <v>3.6219499927344834</v>
      </c>
      <c r="AH225" s="245"/>
      <c r="AI225" s="133"/>
      <c r="AJ225" s="211"/>
      <c r="AL225" s="108"/>
      <c r="AM225" s="2"/>
      <c r="AN225" s="2"/>
      <c r="AO225" s="2"/>
      <c r="BC225" s="1"/>
      <c r="BD225" s="2"/>
      <c r="BE225" s="2"/>
      <c r="BF225" s="2"/>
      <c r="BG225" s="2"/>
      <c r="BH225" s="2"/>
      <c r="BI225" s="2"/>
      <c r="BJ225" s="2"/>
      <c r="BK225" s="2"/>
    </row>
    <row r="226" spans="1:63" outlineLevel="1">
      <c r="A226" s="4" t="s">
        <v>478</v>
      </c>
      <c r="C226" s="230">
        <f t="shared" ref="C226:AG226" si="139">C221-$C221</f>
        <v>0</v>
      </c>
      <c r="D226" s="230">
        <f t="shared" si="139"/>
        <v>0</v>
      </c>
      <c r="E226" s="230">
        <f t="shared" si="139"/>
        <v>0</v>
      </c>
      <c r="F226" s="230">
        <f t="shared" si="139"/>
        <v>0</v>
      </c>
      <c r="G226" s="230">
        <f t="shared" si="139"/>
        <v>0</v>
      </c>
      <c r="H226" s="230">
        <f t="shared" si="139"/>
        <v>0</v>
      </c>
      <c r="I226" s="230">
        <f t="shared" si="139"/>
        <v>0</v>
      </c>
      <c r="J226" s="230">
        <f t="shared" si="139"/>
        <v>0</v>
      </c>
      <c r="K226" s="230">
        <f t="shared" si="139"/>
        <v>0</v>
      </c>
      <c r="L226" s="230">
        <f t="shared" si="139"/>
        <v>0</v>
      </c>
      <c r="M226" s="230">
        <f t="shared" si="139"/>
        <v>0</v>
      </c>
      <c r="N226" s="230">
        <f t="shared" si="139"/>
        <v>0</v>
      </c>
      <c r="O226" s="230">
        <f t="shared" si="139"/>
        <v>0</v>
      </c>
      <c r="P226" s="230">
        <f t="shared" si="139"/>
        <v>0</v>
      </c>
      <c r="Q226" s="230">
        <f t="shared" si="139"/>
        <v>0</v>
      </c>
      <c r="R226" s="230">
        <f t="shared" si="139"/>
        <v>0</v>
      </c>
      <c r="S226" s="230">
        <f t="shared" si="139"/>
        <v>0</v>
      </c>
      <c r="T226" s="230">
        <f t="shared" si="139"/>
        <v>0</v>
      </c>
      <c r="U226" s="230">
        <f t="shared" si="139"/>
        <v>0</v>
      </c>
      <c r="V226" s="230">
        <f t="shared" si="139"/>
        <v>0</v>
      </c>
      <c r="W226" s="230">
        <f t="shared" si="139"/>
        <v>0</v>
      </c>
      <c r="X226" s="230">
        <f t="shared" si="139"/>
        <v>0</v>
      </c>
      <c r="Y226" s="230">
        <f t="shared" si="139"/>
        <v>0</v>
      </c>
      <c r="Z226" s="230">
        <f t="shared" si="139"/>
        <v>0</v>
      </c>
      <c r="AA226" s="230">
        <f t="shared" si="139"/>
        <v>0</v>
      </c>
      <c r="AB226" s="230">
        <f t="shared" si="139"/>
        <v>0</v>
      </c>
      <c r="AC226" s="230">
        <f t="shared" si="139"/>
        <v>0</v>
      </c>
      <c r="AD226" s="230">
        <f t="shared" si="139"/>
        <v>0</v>
      </c>
      <c r="AE226" s="230">
        <f t="shared" si="139"/>
        <v>0</v>
      </c>
      <c r="AF226" s="230">
        <f t="shared" si="139"/>
        <v>0</v>
      </c>
      <c r="AG226" s="230">
        <f t="shared" si="139"/>
        <v>0</v>
      </c>
      <c r="AH226" s="245"/>
      <c r="AI226" s="133"/>
      <c r="AJ226" s="211"/>
      <c r="AL226" s="108"/>
      <c r="AM226" s="2"/>
      <c r="AN226" s="2"/>
      <c r="AO226" s="2"/>
      <c r="BC226" s="1"/>
      <c r="BD226" s="2"/>
      <c r="BE226" s="2"/>
      <c r="BF226" s="2"/>
      <c r="BG226" s="2"/>
      <c r="BH226" s="2"/>
      <c r="BI226" s="2"/>
      <c r="BJ226" s="2"/>
      <c r="BK226" s="2"/>
    </row>
    <row r="227" spans="1:63" outlineLevel="1">
      <c r="A227" s="4" t="s">
        <v>745</v>
      </c>
      <c r="C227" s="230">
        <f t="shared" ref="C227:AG227" si="140">C222-$C222</f>
        <v>0</v>
      </c>
      <c r="D227" s="230">
        <f t="shared" si="140"/>
        <v>0</v>
      </c>
      <c r="E227" s="230">
        <f t="shared" si="140"/>
        <v>0</v>
      </c>
      <c r="F227" s="230">
        <f t="shared" si="140"/>
        <v>0</v>
      </c>
      <c r="G227" s="230">
        <f t="shared" si="140"/>
        <v>0</v>
      </c>
      <c r="H227" s="230">
        <f t="shared" si="140"/>
        <v>0</v>
      </c>
      <c r="I227" s="230">
        <f t="shared" si="140"/>
        <v>0</v>
      </c>
      <c r="J227" s="230">
        <f t="shared" si="140"/>
        <v>0</v>
      </c>
      <c r="K227" s="230">
        <f t="shared" si="140"/>
        <v>0</v>
      </c>
      <c r="L227" s="230">
        <f t="shared" si="140"/>
        <v>0</v>
      </c>
      <c r="M227" s="230">
        <f t="shared" si="140"/>
        <v>0</v>
      </c>
      <c r="N227" s="230">
        <f t="shared" si="140"/>
        <v>0</v>
      </c>
      <c r="O227" s="230">
        <f t="shared" si="140"/>
        <v>0</v>
      </c>
      <c r="P227" s="230">
        <f t="shared" si="140"/>
        <v>0</v>
      </c>
      <c r="Q227" s="230">
        <f t="shared" si="140"/>
        <v>0</v>
      </c>
      <c r="R227" s="230">
        <f t="shared" si="140"/>
        <v>0</v>
      </c>
      <c r="S227" s="230">
        <f t="shared" si="140"/>
        <v>0</v>
      </c>
      <c r="T227" s="230">
        <f t="shared" si="140"/>
        <v>0</v>
      </c>
      <c r="U227" s="230">
        <f t="shared" si="140"/>
        <v>0</v>
      </c>
      <c r="V227" s="230">
        <f t="shared" si="140"/>
        <v>0</v>
      </c>
      <c r="W227" s="230">
        <f t="shared" si="140"/>
        <v>0</v>
      </c>
      <c r="X227" s="230">
        <f t="shared" si="140"/>
        <v>0</v>
      </c>
      <c r="Y227" s="230">
        <f t="shared" si="140"/>
        <v>0</v>
      </c>
      <c r="Z227" s="230">
        <f t="shared" si="140"/>
        <v>0</v>
      </c>
      <c r="AA227" s="230">
        <f t="shared" si="140"/>
        <v>0</v>
      </c>
      <c r="AB227" s="230">
        <f t="shared" si="140"/>
        <v>0</v>
      </c>
      <c r="AC227" s="230">
        <f t="shared" si="140"/>
        <v>0</v>
      </c>
      <c r="AD227" s="230">
        <f t="shared" si="140"/>
        <v>0</v>
      </c>
      <c r="AE227" s="230">
        <f t="shared" si="140"/>
        <v>0</v>
      </c>
      <c r="AF227" s="230">
        <f t="shared" si="140"/>
        <v>0</v>
      </c>
      <c r="AG227" s="230">
        <f t="shared" si="140"/>
        <v>0</v>
      </c>
      <c r="AH227" s="245"/>
      <c r="AI227" s="133"/>
      <c r="AJ227" s="211"/>
      <c r="AL227" s="108"/>
      <c r="AM227" s="2"/>
      <c r="AN227" s="2"/>
      <c r="AO227" s="2"/>
      <c r="BC227" s="1"/>
      <c r="BD227" s="2"/>
      <c r="BE227" s="2"/>
      <c r="BF227" s="2"/>
      <c r="BG227" s="2"/>
      <c r="BH227" s="2"/>
      <c r="BI227" s="2"/>
      <c r="BJ227" s="2"/>
      <c r="BK227" s="2"/>
    </row>
    <row r="228" spans="1:63" outlineLevel="1">
      <c r="A228" s="4" t="s">
        <v>1561</v>
      </c>
      <c r="C228" s="230">
        <f t="shared" ref="C228:AG228" si="141">C223-$C223</f>
        <v>0</v>
      </c>
      <c r="D228" s="230">
        <f t="shared" si="141"/>
        <v>-8.6752756590303091E-4</v>
      </c>
      <c r="E228" s="230">
        <f t="shared" si="141"/>
        <v>1.0879807595387883E-3</v>
      </c>
      <c r="F228" s="230">
        <f t="shared" si="141"/>
        <v>3.2716301408095803E-3</v>
      </c>
      <c r="G228" s="230">
        <f t="shared" si="141"/>
        <v>5.6870833960610909E-3</v>
      </c>
      <c r="H228" s="230">
        <f t="shared" si="141"/>
        <v>8.3353514729221402E-3</v>
      </c>
      <c r="I228" s="230">
        <f t="shared" si="141"/>
        <v>1.1257996466902224E-2</v>
      </c>
      <c r="J228" s="230">
        <f t="shared" si="141"/>
        <v>1.4470493359978423E-2</v>
      </c>
      <c r="K228" s="230">
        <f t="shared" si="141"/>
        <v>1.798849956533943E-2</v>
      </c>
      <c r="L228" s="230">
        <f t="shared" si="141"/>
        <v>2.1827813480442108E-2</v>
      </c>
      <c r="M228" s="230">
        <f t="shared" si="141"/>
        <v>2.6004330473776541E-2</v>
      </c>
      <c r="N228" s="230">
        <f t="shared" si="141"/>
        <v>3.1749175465383764E-2</v>
      </c>
      <c r="O228" s="230">
        <f t="shared" si="141"/>
        <v>3.801271707882338E-2</v>
      </c>
      <c r="P228" s="230">
        <f t="shared" si="141"/>
        <v>4.4794234603950697E-2</v>
      </c>
      <c r="Q228" s="230">
        <f t="shared" si="141"/>
        <v>5.208783622707254E-2</v>
      </c>
      <c r="R228" s="230">
        <f t="shared" si="141"/>
        <v>5.9882216799427429E-2</v>
      </c>
      <c r="S228" s="230">
        <f t="shared" si="141"/>
        <v>6.8299333529157E-2</v>
      </c>
      <c r="T228" s="230">
        <f t="shared" si="141"/>
        <v>7.7364997475359173E-2</v>
      </c>
      <c r="U228" s="230">
        <f t="shared" si="141"/>
        <v>8.7105409375400872E-2</v>
      </c>
      <c r="V228" s="230">
        <f t="shared" si="141"/>
        <v>9.7547147096614842E-2</v>
      </c>
      <c r="W228" s="230">
        <f t="shared" si="141"/>
        <v>0.10871715240387314</v>
      </c>
      <c r="X228" s="230">
        <f t="shared" si="141"/>
        <v>0.12389791265955655</v>
      </c>
      <c r="Y228" s="230">
        <f t="shared" si="141"/>
        <v>0.14024522284420554</v>
      </c>
      <c r="Z228" s="230">
        <f t="shared" si="141"/>
        <v>0.15780480633780625</v>
      </c>
      <c r="AA228" s="230">
        <f t="shared" si="141"/>
        <v>0.17662302755475409</v>
      </c>
      <c r="AB228" s="230">
        <f t="shared" si="141"/>
        <v>0.19674687144523453</v>
      </c>
      <c r="AC228" s="230">
        <f t="shared" si="141"/>
        <v>0.21822606933912983</v>
      </c>
      <c r="AD228" s="230">
        <f t="shared" si="141"/>
        <v>0.24110943373687382</v>
      </c>
      <c r="AE228" s="230">
        <f t="shared" si="141"/>
        <v>0.26544641358087517</v>
      </c>
      <c r="AF228" s="230">
        <f t="shared" si="141"/>
        <v>0.29128707452785568</v>
      </c>
      <c r="AG228" s="230">
        <f t="shared" si="141"/>
        <v>0.31868207828899159</v>
      </c>
      <c r="AH228" s="245"/>
      <c r="AI228" s="133"/>
      <c r="AJ228" s="211"/>
      <c r="AL228" s="108"/>
      <c r="AM228" s="2"/>
      <c r="AN228" s="2"/>
      <c r="AO228" s="2"/>
      <c r="BC228" s="1"/>
      <c r="BD228" s="2"/>
      <c r="BE228" s="2"/>
      <c r="BF228" s="2"/>
      <c r="BG228" s="2"/>
      <c r="BH228" s="2"/>
      <c r="BI228" s="2"/>
      <c r="BJ228" s="2"/>
      <c r="BK228" s="2"/>
    </row>
    <row r="229" spans="1:63" s="1" customFormat="1" outlineLevel="1">
      <c r="A229" s="1" t="s">
        <v>1637</v>
      </c>
      <c r="B229" s="65"/>
      <c r="C229" s="300">
        <f>C203*C45</f>
        <v>0.11016660035716574</v>
      </c>
      <c r="D229" s="300">
        <f t="shared" ref="D229:AG229" si="142">D203*D45</f>
        <v>9.9439273087778765E-2</v>
      </c>
      <c r="E229" s="300">
        <f t="shared" si="142"/>
        <v>0.12361992003147491</v>
      </c>
      <c r="F229" s="300">
        <f t="shared" si="142"/>
        <v>0.15062162288814759</v>
      </c>
      <c r="G229" s="300">
        <f t="shared" si="142"/>
        <v>0.18048967387741766</v>
      </c>
      <c r="H229" s="300">
        <f t="shared" si="142"/>
        <v>0.21323657377331556</v>
      </c>
      <c r="I229" s="300">
        <f t="shared" si="142"/>
        <v>0.24937625460296697</v>
      </c>
      <c r="J229" s="300">
        <f t="shared" si="142"/>
        <v>0.28910007074250993</v>
      </c>
      <c r="K229" s="300">
        <f t="shared" si="142"/>
        <v>0.33260163240338747</v>
      </c>
      <c r="L229" s="300">
        <f t="shared" si="142"/>
        <v>0.38007629312422203</v>
      </c>
      <c r="M229" s="300">
        <f t="shared" si="142"/>
        <v>0.43172060552946318</v>
      </c>
      <c r="N229" s="300">
        <f t="shared" si="142"/>
        <v>0.50275792441018419</v>
      </c>
      <c r="O229" s="300">
        <f t="shared" si="142"/>
        <v>0.58020913563809495</v>
      </c>
      <c r="P229" s="300">
        <f t="shared" si="142"/>
        <v>0.66406532734238877</v>
      </c>
      <c r="Q229" s="300">
        <f t="shared" si="142"/>
        <v>0.75425364487707969</v>
      </c>
      <c r="R229" s="300">
        <f t="shared" si="142"/>
        <v>0.85063429553083492</v>
      </c>
      <c r="S229" s="300">
        <f t="shared" si="142"/>
        <v>0.95471532923315072</v>
      </c>
      <c r="T229" s="300">
        <f t="shared" si="142"/>
        <v>1.0668159101109038</v>
      </c>
      <c r="U229" s="300">
        <f t="shared" si="142"/>
        <v>1.1872600208194943</v>
      </c>
      <c r="V229" s="300">
        <f t="shared" si="142"/>
        <v>1.3163763073780306</v>
      </c>
      <c r="W229" s="300">
        <f t="shared" si="142"/>
        <v>1.454497915545053</v>
      </c>
      <c r="X229" s="300">
        <f t="shared" si="142"/>
        <v>1.6422141217630135</v>
      </c>
      <c r="Y229" s="300">
        <f t="shared" si="142"/>
        <v>1.8443551870355308</v>
      </c>
      <c r="Z229" s="300">
        <f t="shared" si="142"/>
        <v>2.0614864993459401</v>
      </c>
      <c r="AA229" s="300">
        <f t="shared" si="142"/>
        <v>2.2941813733258702</v>
      </c>
      <c r="AB229" s="300">
        <f t="shared" si="142"/>
        <v>2.5430207967815703</v>
      </c>
      <c r="AC229" s="300">
        <f t="shared" si="142"/>
        <v>2.8086197176088277</v>
      </c>
      <c r="AD229" s="300">
        <f t="shared" si="142"/>
        <v>3.0915817220077484</v>
      </c>
      <c r="AE229" s="300">
        <f t="shared" si="142"/>
        <v>3.3925182660394317</v>
      </c>
      <c r="AF229" s="300">
        <f t="shared" si="142"/>
        <v>3.7120484316855018</v>
      </c>
      <c r="AG229" s="300">
        <f t="shared" si="142"/>
        <v>4.0507986713806412</v>
      </c>
      <c r="AH229" s="245"/>
      <c r="AI229" s="423"/>
      <c r="AJ229" s="424"/>
      <c r="AL229" s="221"/>
      <c r="AM229" s="124"/>
      <c r="AN229" s="124"/>
      <c r="AO229" s="124"/>
      <c r="BD229" s="124"/>
      <c r="BE229" s="124"/>
      <c r="BF229" s="124"/>
      <c r="BG229" s="124"/>
      <c r="BH229" s="124"/>
      <c r="BI229" s="124"/>
      <c r="BJ229" s="124"/>
      <c r="BK229" s="124"/>
    </row>
    <row r="230" spans="1:63" outlineLevel="1">
      <c r="A230" s="4" t="s">
        <v>474</v>
      </c>
      <c r="C230" s="230">
        <f>C$229*'BTX recycling rates'!E82</f>
        <v>0.10125733896785366</v>
      </c>
      <c r="D230" s="230">
        <f>D$229*'BTX recycling rates'!F82</f>
        <v>9.139753926436972E-2</v>
      </c>
      <c r="E230" s="230">
        <f>E$229*'BTX recycling rates'!G82</f>
        <v>0.11362267788262405</v>
      </c>
      <c r="F230" s="230">
        <f>F$229*'BTX recycling rates'!H82</f>
        <v>0.13844073135802593</v>
      </c>
      <c r="G230" s="230">
        <f>G$229*'BTX recycling rates'!I82</f>
        <v>0.16589332909204449</v>
      </c>
      <c r="H230" s="230">
        <f>H$229*'BTX recycling rates'!J82</f>
        <v>0.19599196091108134</v>
      </c>
      <c r="I230" s="230">
        <f>I$229*'BTX recycling rates'!K82</f>
        <v>0.22920899674675266</v>
      </c>
      <c r="J230" s="230">
        <f>J$229*'BTX recycling rates'!L82</f>
        <v>0.26572031599321944</v>
      </c>
      <c r="K230" s="230">
        <f>K$229*'BTX recycling rates'!M82</f>
        <v>0.30570387144873595</v>
      </c>
      <c r="L230" s="230">
        <f>L$229*'BTX recycling rates'!N82</f>
        <v>0.34933921825446784</v>
      </c>
      <c r="M230" s="230">
        <f>M$229*'BTX recycling rates'!O82</f>
        <v>0.39680701366637455</v>
      </c>
      <c r="N230" s="230">
        <f>N$229*'BTX recycling rates'!P82</f>
        <v>0.46209948755548835</v>
      </c>
      <c r="O230" s="230">
        <f>O$229*'BTX recycling rates'!Q82</f>
        <v>0.53328715716995945</v>
      </c>
      <c r="P230" s="230">
        <f>P$229*'BTX recycling rates'!R82</f>
        <v>0.61036183134912603</v>
      </c>
      <c r="Q230" s="230">
        <f>Q$229*'BTX recycling rates'!S82</f>
        <v>0.69325654726069508</v>
      </c>
      <c r="R230" s="230">
        <f>R$229*'BTX recycling rates'!T82</f>
        <v>0.78184281734209538</v>
      </c>
      <c r="S230" s="230">
        <f>S$229*'BTX recycling rates'!U82</f>
        <v>0.87750673431468162</v>
      </c>
      <c r="T230" s="230">
        <f>T$229*'BTX recycling rates'!V82</f>
        <v>0.9805416512462326</v>
      </c>
      <c r="U230" s="230">
        <f>U$229*'BTX recycling rates'!W82</f>
        <v>1.0912453500547814</v>
      </c>
      <c r="V230" s="230">
        <f>V$229*'BTX recycling rates'!X82</f>
        <v>1.2099198988921036</v>
      </c>
      <c r="W230" s="230">
        <f>W$229*'BTX recycling rates'!Y82</f>
        <v>1.3368715017518678</v>
      </c>
      <c r="X230" s="230">
        <f>X$229*'BTX recycling rates'!Z82</f>
        <v>1.509406947714145</v>
      </c>
      <c r="Y230" s="230">
        <f>Y$229*'BTX recycling rates'!AA82</f>
        <v>1.6952007028020133</v>
      </c>
      <c r="Z230" s="230">
        <f>Z$229*'BTX recycling rates'!AB82</f>
        <v>1.8947724316188217</v>
      </c>
      <c r="AA230" s="230">
        <f>AA$229*'BTX recycling rates'!AC82</f>
        <v>2.108649084381804</v>
      </c>
      <c r="AB230" s="230">
        <f>AB$229*'BTX recycling rates'!AD82</f>
        <v>2.3373646639470236</v>
      </c>
      <c r="AC230" s="230">
        <f>AC$229*'BTX recycling rates'!AE82</f>
        <v>2.5814843868803856</v>
      </c>
      <c r="AD230" s="230">
        <f>AD$229*'BTX recycling rates'!AF82</f>
        <v>2.8415630268815626</v>
      </c>
      <c r="AE230" s="230">
        <f>AE$229*'BTX recycling rates'!AG82</f>
        <v>3.1181625910692445</v>
      </c>
      <c r="AF230" s="230">
        <f>AF$229*'BTX recycling rates'!AH82</f>
        <v>3.4118520957683343</v>
      </c>
      <c r="AG230" s="230">
        <f>AG$229*'BTX recycling rates'!AI82</f>
        <v>3.7232073317023371</v>
      </c>
      <c r="AH230" s="245"/>
      <c r="AI230" s="133"/>
      <c r="AJ230" s="211"/>
      <c r="AL230" s="108"/>
      <c r="AM230" s="2"/>
      <c r="AN230" s="2"/>
      <c r="AO230" s="2"/>
      <c r="BC230" s="1"/>
      <c r="BD230" s="2"/>
      <c r="BE230" s="2"/>
      <c r="BF230" s="2"/>
      <c r="BG230" s="2"/>
      <c r="BH230" s="2"/>
      <c r="BI230" s="2"/>
      <c r="BJ230" s="2"/>
      <c r="BK230" s="2"/>
    </row>
    <row r="231" spans="1:63" outlineLevel="1">
      <c r="A231" s="4" t="s">
        <v>478</v>
      </c>
      <c r="C231" s="230">
        <f>C$229*'BTX recycling rates'!E83</f>
        <v>0</v>
      </c>
      <c r="D231" s="230">
        <f>D$229*'BTX recycling rates'!F83</f>
        <v>0</v>
      </c>
      <c r="E231" s="230">
        <f>E$229*'BTX recycling rates'!G83</f>
        <v>0</v>
      </c>
      <c r="F231" s="230">
        <f>F$229*'BTX recycling rates'!H83</f>
        <v>0</v>
      </c>
      <c r="G231" s="230">
        <f>G$229*'BTX recycling rates'!I83</f>
        <v>0</v>
      </c>
      <c r="H231" s="230">
        <f>H$229*'BTX recycling rates'!J83</f>
        <v>0</v>
      </c>
      <c r="I231" s="230">
        <f>I$229*'BTX recycling rates'!K83</f>
        <v>0</v>
      </c>
      <c r="J231" s="230">
        <f>J$229*'BTX recycling rates'!L83</f>
        <v>0</v>
      </c>
      <c r="K231" s="230">
        <f>K$229*'BTX recycling rates'!M83</f>
        <v>0</v>
      </c>
      <c r="L231" s="230">
        <f>L$229*'BTX recycling rates'!N83</f>
        <v>0</v>
      </c>
      <c r="M231" s="230">
        <f>M$229*'BTX recycling rates'!O83</f>
        <v>0</v>
      </c>
      <c r="N231" s="230">
        <f>N$229*'BTX recycling rates'!P83</f>
        <v>0</v>
      </c>
      <c r="O231" s="230">
        <f>O$229*'BTX recycling rates'!Q83</f>
        <v>0</v>
      </c>
      <c r="P231" s="230">
        <f>P$229*'BTX recycling rates'!R83</f>
        <v>0</v>
      </c>
      <c r="Q231" s="230">
        <f>Q$229*'BTX recycling rates'!S83</f>
        <v>0</v>
      </c>
      <c r="R231" s="230">
        <f>R$229*'BTX recycling rates'!T83</f>
        <v>0</v>
      </c>
      <c r="S231" s="230">
        <f>S$229*'BTX recycling rates'!U83</f>
        <v>0</v>
      </c>
      <c r="T231" s="230">
        <f>T$229*'BTX recycling rates'!V83</f>
        <v>0</v>
      </c>
      <c r="U231" s="230">
        <f>U$229*'BTX recycling rates'!W83</f>
        <v>0</v>
      </c>
      <c r="V231" s="230">
        <f>V$229*'BTX recycling rates'!X83</f>
        <v>0</v>
      </c>
      <c r="W231" s="230">
        <f>W$229*'BTX recycling rates'!Y83</f>
        <v>0</v>
      </c>
      <c r="X231" s="230">
        <f>X$229*'BTX recycling rates'!Z83</f>
        <v>0</v>
      </c>
      <c r="Y231" s="230">
        <f>Y$229*'BTX recycling rates'!AA83</f>
        <v>0</v>
      </c>
      <c r="Z231" s="230">
        <f>Z$229*'BTX recycling rates'!AB83</f>
        <v>0</v>
      </c>
      <c r="AA231" s="230">
        <f>AA$229*'BTX recycling rates'!AC83</f>
        <v>0</v>
      </c>
      <c r="AB231" s="230">
        <f>AB$229*'BTX recycling rates'!AD83</f>
        <v>0</v>
      </c>
      <c r="AC231" s="230">
        <f>AC$229*'BTX recycling rates'!AE83</f>
        <v>0</v>
      </c>
      <c r="AD231" s="230">
        <f>AD$229*'BTX recycling rates'!AF83</f>
        <v>0</v>
      </c>
      <c r="AE231" s="230">
        <f>AE$229*'BTX recycling rates'!AG83</f>
        <v>0</v>
      </c>
      <c r="AF231" s="230">
        <f>AF$229*'BTX recycling rates'!AH83</f>
        <v>0</v>
      </c>
      <c r="AG231" s="230">
        <f>AG$229*'BTX recycling rates'!AI83</f>
        <v>0</v>
      </c>
      <c r="AH231" s="245"/>
      <c r="AI231" s="133"/>
      <c r="AJ231" s="211"/>
      <c r="AL231" s="108"/>
      <c r="AM231" s="2"/>
      <c r="AN231" s="2"/>
      <c r="AO231" s="2"/>
      <c r="BC231" s="1"/>
      <c r="BD231" s="2"/>
      <c r="BE231" s="2"/>
      <c r="BF231" s="2"/>
      <c r="BG231" s="2"/>
      <c r="BH231" s="2"/>
      <c r="BI231" s="2"/>
      <c r="BJ231" s="2"/>
      <c r="BK231" s="2"/>
    </row>
    <row r="232" spans="1:63" outlineLevel="1">
      <c r="A232" s="4" t="s">
        <v>745</v>
      </c>
      <c r="C232" s="230">
        <f>C$229*'BTX recycling rates'!E84</f>
        <v>0</v>
      </c>
      <c r="D232" s="230">
        <f>D$229*'BTX recycling rates'!F84</f>
        <v>0</v>
      </c>
      <c r="E232" s="230">
        <f>E$229*'BTX recycling rates'!G84</f>
        <v>0</v>
      </c>
      <c r="F232" s="230">
        <f>F$229*'BTX recycling rates'!H84</f>
        <v>0</v>
      </c>
      <c r="G232" s="230">
        <f>G$229*'BTX recycling rates'!I84</f>
        <v>0</v>
      </c>
      <c r="H232" s="230">
        <f>H$229*'BTX recycling rates'!J84</f>
        <v>0</v>
      </c>
      <c r="I232" s="230">
        <f>I$229*'BTX recycling rates'!K84</f>
        <v>0</v>
      </c>
      <c r="J232" s="230">
        <f>J$229*'BTX recycling rates'!L84</f>
        <v>0</v>
      </c>
      <c r="K232" s="230">
        <f>K$229*'BTX recycling rates'!M84</f>
        <v>0</v>
      </c>
      <c r="L232" s="230">
        <f>L$229*'BTX recycling rates'!N84</f>
        <v>0</v>
      </c>
      <c r="M232" s="230">
        <f>M$229*'BTX recycling rates'!O84</f>
        <v>0</v>
      </c>
      <c r="N232" s="230">
        <f>N$229*'BTX recycling rates'!P84</f>
        <v>0</v>
      </c>
      <c r="O232" s="230">
        <f>O$229*'BTX recycling rates'!Q84</f>
        <v>0</v>
      </c>
      <c r="P232" s="230">
        <f>P$229*'BTX recycling rates'!R84</f>
        <v>0</v>
      </c>
      <c r="Q232" s="230">
        <f>Q$229*'BTX recycling rates'!S84</f>
        <v>0</v>
      </c>
      <c r="R232" s="230">
        <f>R$229*'BTX recycling rates'!T84</f>
        <v>0</v>
      </c>
      <c r="S232" s="230">
        <f>S$229*'BTX recycling rates'!U84</f>
        <v>0</v>
      </c>
      <c r="T232" s="230">
        <f>T$229*'BTX recycling rates'!V84</f>
        <v>0</v>
      </c>
      <c r="U232" s="230">
        <f>U$229*'BTX recycling rates'!W84</f>
        <v>0</v>
      </c>
      <c r="V232" s="230">
        <f>V$229*'BTX recycling rates'!X84</f>
        <v>0</v>
      </c>
      <c r="W232" s="230">
        <f>W$229*'BTX recycling rates'!Y84</f>
        <v>0</v>
      </c>
      <c r="X232" s="230">
        <f>X$229*'BTX recycling rates'!Z84</f>
        <v>0</v>
      </c>
      <c r="Y232" s="230">
        <f>Y$229*'BTX recycling rates'!AA84</f>
        <v>0</v>
      </c>
      <c r="Z232" s="230">
        <f>Z$229*'BTX recycling rates'!AB84</f>
        <v>0</v>
      </c>
      <c r="AA232" s="230">
        <f>AA$229*'BTX recycling rates'!AC84</f>
        <v>0</v>
      </c>
      <c r="AB232" s="230">
        <f>AB$229*'BTX recycling rates'!AD84</f>
        <v>0</v>
      </c>
      <c r="AC232" s="230">
        <f>AC$229*'BTX recycling rates'!AE84</f>
        <v>0</v>
      </c>
      <c r="AD232" s="230">
        <f>AD$229*'BTX recycling rates'!AF84</f>
        <v>0</v>
      </c>
      <c r="AE232" s="230">
        <f>AE$229*'BTX recycling rates'!AG84</f>
        <v>0</v>
      </c>
      <c r="AF232" s="230">
        <f>AF$229*'BTX recycling rates'!AH84</f>
        <v>0</v>
      </c>
      <c r="AG232" s="230">
        <f>AG$229*'BTX recycling rates'!AI84</f>
        <v>0</v>
      </c>
      <c r="AH232" s="245"/>
      <c r="AI232" s="133"/>
      <c r="AJ232" s="211"/>
      <c r="AL232" s="108"/>
      <c r="AM232" s="2"/>
      <c r="AN232" s="2"/>
      <c r="AO232" s="2"/>
      <c r="BC232" s="1"/>
      <c r="BD232" s="2"/>
      <c r="BE232" s="2"/>
      <c r="BF232" s="2"/>
      <c r="BG232" s="2"/>
      <c r="BH232" s="2"/>
      <c r="BI232" s="2"/>
      <c r="BJ232" s="2"/>
      <c r="BK232" s="2"/>
    </row>
    <row r="233" spans="1:63" outlineLevel="1">
      <c r="A233" s="4" t="s">
        <v>1561</v>
      </c>
      <c r="C233" s="230">
        <f>C$229*'BTX recycling rates'!E85</f>
        <v>8.9092613893120808E-3</v>
      </c>
      <c r="D233" s="230">
        <f>D$229*'BTX recycling rates'!F85</f>
        <v>8.0417338234090498E-3</v>
      </c>
      <c r="E233" s="230">
        <f>E$229*'BTX recycling rates'!G85</f>
        <v>9.9972421488508691E-3</v>
      </c>
      <c r="F233" s="230">
        <f>F$229*'BTX recycling rates'!H85</f>
        <v>1.2180891530121661E-2</v>
      </c>
      <c r="G233" s="230">
        <f>G$229*'BTX recycling rates'!I85</f>
        <v>1.4596344785373172E-2</v>
      </c>
      <c r="H233" s="230">
        <f>H$229*'BTX recycling rates'!J85</f>
        <v>1.7244612862234221E-2</v>
      </c>
      <c r="I233" s="230">
        <f>I$229*'BTX recycling rates'!K85</f>
        <v>2.0167257856214305E-2</v>
      </c>
      <c r="J233" s="230">
        <f>J$229*'BTX recycling rates'!L85</f>
        <v>2.3379754749290504E-2</v>
      </c>
      <c r="K233" s="230">
        <f>K$229*'BTX recycling rates'!M85</f>
        <v>2.689776095465151E-2</v>
      </c>
      <c r="L233" s="230">
        <f>L$229*'BTX recycling rates'!N85</f>
        <v>3.0737074869754188E-2</v>
      </c>
      <c r="M233" s="230">
        <f>M$229*'BTX recycling rates'!O85</f>
        <v>3.4913591863088622E-2</v>
      </c>
      <c r="N233" s="230">
        <f>N$229*'BTX recycling rates'!P85</f>
        <v>4.0658436854695841E-2</v>
      </c>
      <c r="O233" s="230">
        <f>O$229*'BTX recycling rates'!Q85</f>
        <v>4.6921978468135457E-2</v>
      </c>
      <c r="P233" s="230">
        <f>P$229*'BTX recycling rates'!R85</f>
        <v>5.3703495993262775E-2</v>
      </c>
      <c r="Q233" s="230">
        <f>Q$229*'BTX recycling rates'!S85</f>
        <v>6.0997097616384624E-2</v>
      </c>
      <c r="R233" s="230">
        <f>R$229*'BTX recycling rates'!T85</f>
        <v>6.8791478188739513E-2</v>
      </c>
      <c r="S233" s="230">
        <f>S$229*'BTX recycling rates'!U85</f>
        <v>7.7208594918469084E-2</v>
      </c>
      <c r="T233" s="230">
        <f>T$229*'BTX recycling rates'!V85</f>
        <v>8.6274258864671258E-2</v>
      </c>
      <c r="U233" s="230">
        <f>U$229*'BTX recycling rates'!W85</f>
        <v>9.6014670764712956E-2</v>
      </c>
      <c r="V233" s="230">
        <f>V$229*'BTX recycling rates'!X85</f>
        <v>0.10645640848592693</v>
      </c>
      <c r="W233" s="230">
        <f>W$229*'BTX recycling rates'!Y85</f>
        <v>0.11762641379318522</v>
      </c>
      <c r="X233" s="230">
        <f>X$229*'BTX recycling rates'!Z85</f>
        <v>0.13280717404886863</v>
      </c>
      <c r="Y233" s="230">
        <f>Y$229*'BTX recycling rates'!AA85</f>
        <v>0.14915448423351763</v>
      </c>
      <c r="Z233" s="230">
        <f>Z$229*'BTX recycling rates'!AB85</f>
        <v>0.16671406772711833</v>
      </c>
      <c r="AA233" s="230">
        <f>AA$229*'BTX recycling rates'!AC85</f>
        <v>0.18553228894406618</v>
      </c>
      <c r="AB233" s="230">
        <f>AB$229*'BTX recycling rates'!AD85</f>
        <v>0.20565613283454662</v>
      </c>
      <c r="AC233" s="230">
        <f>AC$229*'BTX recycling rates'!AE85</f>
        <v>0.22713533072844191</v>
      </c>
      <c r="AD233" s="230">
        <f>AD$229*'BTX recycling rates'!AF85</f>
        <v>0.25001869512618591</v>
      </c>
      <c r="AE233" s="230">
        <f>AE$229*'BTX recycling rates'!AG85</f>
        <v>0.27435567497018726</v>
      </c>
      <c r="AF233" s="230">
        <f>AF$229*'BTX recycling rates'!AH85</f>
        <v>0.30019633591716777</v>
      </c>
      <c r="AG233" s="230">
        <f>AG$229*'BTX recycling rates'!AI85</f>
        <v>0.32759133967830367</v>
      </c>
      <c r="AH233" s="245"/>
      <c r="AI233" s="133"/>
      <c r="AJ233" s="211"/>
      <c r="AL233" s="108"/>
      <c r="AM233" s="2"/>
      <c r="AN233" s="2"/>
      <c r="AO233" s="2"/>
      <c r="BC233" s="1"/>
      <c r="BD233" s="2"/>
      <c r="BE233" s="2"/>
      <c r="BF233" s="2"/>
      <c r="BG233" s="2"/>
      <c r="BH233" s="2"/>
      <c r="BI233" s="2"/>
      <c r="BJ233" s="2"/>
      <c r="BK233" s="2"/>
    </row>
    <row r="234" spans="1:63" s="1" customFormat="1" outlineLevel="1">
      <c r="A234" s="1" t="s">
        <v>1638</v>
      </c>
      <c r="B234" s="65"/>
      <c r="C234" s="300">
        <f t="shared" ref="C234:AG234" si="143">C229-$C229</f>
        <v>0</v>
      </c>
      <c r="D234" s="300">
        <f t="shared" si="143"/>
        <v>-1.072732726938698E-2</v>
      </c>
      <c r="E234" s="300">
        <f t="shared" si="143"/>
        <v>1.3453319674309169E-2</v>
      </c>
      <c r="F234" s="300">
        <f t="shared" si="143"/>
        <v>4.0455022530981849E-2</v>
      </c>
      <c r="G234" s="300">
        <f t="shared" si="143"/>
        <v>7.0323073520251911E-2</v>
      </c>
      <c r="H234" s="300">
        <f t="shared" si="143"/>
        <v>0.10306997341614982</v>
      </c>
      <c r="I234" s="300">
        <f t="shared" si="143"/>
        <v>0.13920965424580123</v>
      </c>
      <c r="J234" s="300">
        <f t="shared" si="143"/>
        <v>0.17893347038534418</v>
      </c>
      <c r="K234" s="300">
        <f t="shared" si="143"/>
        <v>0.22243503204622173</v>
      </c>
      <c r="L234" s="300">
        <f t="shared" si="143"/>
        <v>0.26990969276705629</v>
      </c>
      <c r="M234" s="300">
        <f t="shared" si="143"/>
        <v>0.32155400517229743</v>
      </c>
      <c r="N234" s="300">
        <f t="shared" si="143"/>
        <v>0.39259132405301844</v>
      </c>
      <c r="O234" s="300">
        <f t="shared" si="143"/>
        <v>0.47004253528092921</v>
      </c>
      <c r="P234" s="300">
        <f t="shared" si="143"/>
        <v>0.55389872698522302</v>
      </c>
      <c r="Q234" s="300">
        <f t="shared" si="143"/>
        <v>0.64408704451991394</v>
      </c>
      <c r="R234" s="300">
        <f t="shared" si="143"/>
        <v>0.74046769517366917</v>
      </c>
      <c r="S234" s="300">
        <f t="shared" si="143"/>
        <v>0.84454872887598498</v>
      </c>
      <c r="T234" s="300">
        <f t="shared" si="143"/>
        <v>0.95664930975373808</v>
      </c>
      <c r="U234" s="300">
        <f t="shared" si="143"/>
        <v>1.0770934204623286</v>
      </c>
      <c r="V234" s="300">
        <f t="shared" si="143"/>
        <v>1.2062097070208648</v>
      </c>
      <c r="W234" s="300">
        <f t="shared" si="143"/>
        <v>1.3443313151878873</v>
      </c>
      <c r="X234" s="300">
        <f t="shared" si="143"/>
        <v>1.5320475214058478</v>
      </c>
      <c r="Y234" s="300">
        <f t="shared" si="143"/>
        <v>1.7341885866783651</v>
      </c>
      <c r="Z234" s="300">
        <f t="shared" si="143"/>
        <v>1.9513198989887743</v>
      </c>
      <c r="AA234" s="300">
        <f t="shared" si="143"/>
        <v>2.1840147729687045</v>
      </c>
      <c r="AB234" s="300">
        <f t="shared" si="143"/>
        <v>2.4328541964244046</v>
      </c>
      <c r="AC234" s="300">
        <f t="shared" si="143"/>
        <v>2.6984531172516619</v>
      </c>
      <c r="AD234" s="300">
        <f t="shared" si="143"/>
        <v>2.9814151216505826</v>
      </c>
      <c r="AE234" s="300">
        <f t="shared" si="143"/>
        <v>3.282351665682266</v>
      </c>
      <c r="AF234" s="300">
        <f t="shared" si="143"/>
        <v>3.6018818313283361</v>
      </c>
      <c r="AG234" s="300">
        <f t="shared" si="143"/>
        <v>3.9406320710234755</v>
      </c>
      <c r="AH234" s="245"/>
      <c r="AI234" s="423"/>
      <c r="AJ234" s="424"/>
      <c r="AL234" s="221"/>
      <c r="AM234" s="124"/>
      <c r="AN234" s="124"/>
      <c r="AO234" s="124"/>
      <c r="BD234" s="124"/>
      <c r="BE234" s="124"/>
      <c r="BF234" s="124"/>
      <c r="BG234" s="124"/>
      <c r="BH234" s="124"/>
      <c r="BI234" s="124"/>
      <c r="BJ234" s="124"/>
      <c r="BK234" s="124"/>
    </row>
    <row r="235" spans="1:63" outlineLevel="1">
      <c r="A235" s="4" t="s">
        <v>474</v>
      </c>
      <c r="C235" s="230">
        <f t="shared" ref="C235:AG235" si="144">C230-$C230</f>
        <v>0</v>
      </c>
      <c r="D235" s="230">
        <f t="shared" si="144"/>
        <v>-9.8597997034839402E-3</v>
      </c>
      <c r="E235" s="230">
        <f t="shared" si="144"/>
        <v>1.2365338914770388E-2</v>
      </c>
      <c r="F235" s="230">
        <f t="shared" si="144"/>
        <v>3.7183392390172265E-2</v>
      </c>
      <c r="G235" s="230">
        <f t="shared" si="144"/>
        <v>6.4635990124190829E-2</v>
      </c>
      <c r="H235" s="230">
        <f t="shared" si="144"/>
        <v>9.4734621943227681E-2</v>
      </c>
      <c r="I235" s="230">
        <f t="shared" si="144"/>
        <v>0.127951657778899</v>
      </c>
      <c r="J235" s="230">
        <f t="shared" si="144"/>
        <v>0.16446297702536578</v>
      </c>
      <c r="K235" s="230">
        <f t="shared" si="144"/>
        <v>0.20444653248088229</v>
      </c>
      <c r="L235" s="230">
        <f t="shared" si="144"/>
        <v>0.24808187928661418</v>
      </c>
      <c r="M235" s="230">
        <f t="shared" si="144"/>
        <v>0.29554967469852089</v>
      </c>
      <c r="N235" s="230">
        <f t="shared" si="144"/>
        <v>0.36084214858763469</v>
      </c>
      <c r="O235" s="230">
        <f t="shared" si="144"/>
        <v>0.43202981820210579</v>
      </c>
      <c r="P235" s="230">
        <f t="shared" si="144"/>
        <v>0.50910449238127242</v>
      </c>
      <c r="Q235" s="230">
        <f t="shared" si="144"/>
        <v>0.59199920829284136</v>
      </c>
      <c r="R235" s="230">
        <f t="shared" si="144"/>
        <v>0.68058547837424177</v>
      </c>
      <c r="S235" s="230">
        <f t="shared" si="144"/>
        <v>0.77624939534682791</v>
      </c>
      <c r="T235" s="230">
        <f t="shared" si="144"/>
        <v>0.87928431227837889</v>
      </c>
      <c r="U235" s="230">
        <f t="shared" si="144"/>
        <v>0.98998801108692769</v>
      </c>
      <c r="V235" s="230">
        <f t="shared" si="144"/>
        <v>1.1086625599242499</v>
      </c>
      <c r="W235" s="230">
        <f t="shared" si="144"/>
        <v>1.235614162784014</v>
      </c>
      <c r="X235" s="230">
        <f t="shared" si="144"/>
        <v>1.4081496087462912</v>
      </c>
      <c r="Y235" s="230">
        <f t="shared" si="144"/>
        <v>1.5939433638341596</v>
      </c>
      <c r="Z235" s="230">
        <f t="shared" si="144"/>
        <v>1.793515092650968</v>
      </c>
      <c r="AA235" s="230">
        <f t="shared" si="144"/>
        <v>2.0073917454139503</v>
      </c>
      <c r="AB235" s="230">
        <f t="shared" si="144"/>
        <v>2.2361073249791699</v>
      </c>
      <c r="AC235" s="230">
        <f t="shared" si="144"/>
        <v>2.4802270479125319</v>
      </c>
      <c r="AD235" s="230">
        <f t="shared" si="144"/>
        <v>2.7403056879137089</v>
      </c>
      <c r="AE235" s="230">
        <f t="shared" si="144"/>
        <v>3.0169052521013908</v>
      </c>
      <c r="AF235" s="230">
        <f t="shared" si="144"/>
        <v>3.3105947568004805</v>
      </c>
      <c r="AG235" s="230">
        <f t="shared" si="144"/>
        <v>3.6219499927344834</v>
      </c>
      <c r="AH235" s="245"/>
      <c r="AI235" s="133"/>
      <c r="AJ235" s="211"/>
      <c r="AL235" s="108"/>
      <c r="AM235" s="2"/>
      <c r="AN235" s="2"/>
      <c r="AO235" s="2"/>
      <c r="BC235" s="1"/>
      <c r="BD235" s="2"/>
      <c r="BE235" s="2"/>
      <c r="BF235" s="2"/>
      <c r="BG235" s="2"/>
      <c r="BH235" s="2"/>
      <c r="BI235" s="2"/>
      <c r="BJ235" s="2"/>
      <c r="BK235" s="2"/>
    </row>
    <row r="236" spans="1:63" outlineLevel="1">
      <c r="A236" s="4" t="s">
        <v>478</v>
      </c>
      <c r="C236" s="230">
        <f t="shared" ref="C236:AG236" si="145">C231-$C231</f>
        <v>0</v>
      </c>
      <c r="D236" s="230">
        <f t="shared" si="145"/>
        <v>0</v>
      </c>
      <c r="E236" s="230">
        <f t="shared" si="145"/>
        <v>0</v>
      </c>
      <c r="F236" s="230">
        <f t="shared" si="145"/>
        <v>0</v>
      </c>
      <c r="G236" s="230">
        <f t="shared" si="145"/>
        <v>0</v>
      </c>
      <c r="H236" s="230">
        <f t="shared" si="145"/>
        <v>0</v>
      </c>
      <c r="I236" s="230">
        <f t="shared" si="145"/>
        <v>0</v>
      </c>
      <c r="J236" s="230">
        <f t="shared" si="145"/>
        <v>0</v>
      </c>
      <c r="K236" s="230">
        <f t="shared" si="145"/>
        <v>0</v>
      </c>
      <c r="L236" s="230">
        <f t="shared" si="145"/>
        <v>0</v>
      </c>
      <c r="M236" s="230">
        <f t="shared" si="145"/>
        <v>0</v>
      </c>
      <c r="N236" s="230">
        <f t="shared" si="145"/>
        <v>0</v>
      </c>
      <c r="O236" s="230">
        <f t="shared" si="145"/>
        <v>0</v>
      </c>
      <c r="P236" s="230">
        <f t="shared" si="145"/>
        <v>0</v>
      </c>
      <c r="Q236" s="230">
        <f t="shared" si="145"/>
        <v>0</v>
      </c>
      <c r="R236" s="230">
        <f t="shared" si="145"/>
        <v>0</v>
      </c>
      <c r="S236" s="230">
        <f t="shared" si="145"/>
        <v>0</v>
      </c>
      <c r="T236" s="230">
        <f t="shared" si="145"/>
        <v>0</v>
      </c>
      <c r="U236" s="230">
        <f t="shared" si="145"/>
        <v>0</v>
      </c>
      <c r="V236" s="230">
        <f t="shared" si="145"/>
        <v>0</v>
      </c>
      <c r="W236" s="230">
        <f t="shared" si="145"/>
        <v>0</v>
      </c>
      <c r="X236" s="230">
        <f t="shared" si="145"/>
        <v>0</v>
      </c>
      <c r="Y236" s="230">
        <f t="shared" si="145"/>
        <v>0</v>
      </c>
      <c r="Z236" s="230">
        <f t="shared" si="145"/>
        <v>0</v>
      </c>
      <c r="AA236" s="230">
        <f t="shared" si="145"/>
        <v>0</v>
      </c>
      <c r="AB236" s="230">
        <f t="shared" si="145"/>
        <v>0</v>
      </c>
      <c r="AC236" s="230">
        <f t="shared" si="145"/>
        <v>0</v>
      </c>
      <c r="AD236" s="230">
        <f t="shared" si="145"/>
        <v>0</v>
      </c>
      <c r="AE236" s="230">
        <f t="shared" si="145"/>
        <v>0</v>
      </c>
      <c r="AF236" s="230">
        <f t="shared" si="145"/>
        <v>0</v>
      </c>
      <c r="AG236" s="230">
        <f t="shared" si="145"/>
        <v>0</v>
      </c>
      <c r="AH236" s="245"/>
      <c r="AI236" s="133"/>
      <c r="AJ236" s="211"/>
      <c r="AL236" s="108"/>
      <c r="AM236" s="2"/>
      <c r="AN236" s="2"/>
      <c r="AO236" s="2"/>
      <c r="BC236" s="1"/>
      <c r="BD236" s="2"/>
      <c r="BE236" s="2"/>
      <c r="BF236" s="2"/>
      <c r="BG236" s="2"/>
      <c r="BH236" s="2"/>
      <c r="BI236" s="2"/>
      <c r="BJ236" s="2"/>
      <c r="BK236" s="2"/>
    </row>
    <row r="237" spans="1:63" outlineLevel="1">
      <c r="A237" s="4" t="s">
        <v>745</v>
      </c>
      <c r="C237" s="230">
        <f t="shared" ref="C237:AG237" si="146">C232-$C232</f>
        <v>0</v>
      </c>
      <c r="D237" s="230">
        <f t="shared" si="146"/>
        <v>0</v>
      </c>
      <c r="E237" s="230">
        <f t="shared" si="146"/>
        <v>0</v>
      </c>
      <c r="F237" s="230">
        <f t="shared" si="146"/>
        <v>0</v>
      </c>
      <c r="G237" s="230">
        <f t="shared" si="146"/>
        <v>0</v>
      </c>
      <c r="H237" s="230">
        <f t="shared" si="146"/>
        <v>0</v>
      </c>
      <c r="I237" s="230">
        <f t="shared" si="146"/>
        <v>0</v>
      </c>
      <c r="J237" s="230">
        <f t="shared" si="146"/>
        <v>0</v>
      </c>
      <c r="K237" s="230">
        <f t="shared" si="146"/>
        <v>0</v>
      </c>
      <c r="L237" s="230">
        <f t="shared" si="146"/>
        <v>0</v>
      </c>
      <c r="M237" s="230">
        <f t="shared" si="146"/>
        <v>0</v>
      </c>
      <c r="N237" s="230">
        <f t="shared" si="146"/>
        <v>0</v>
      </c>
      <c r="O237" s="230">
        <f t="shared" si="146"/>
        <v>0</v>
      </c>
      <c r="P237" s="230">
        <f t="shared" si="146"/>
        <v>0</v>
      </c>
      <c r="Q237" s="230">
        <f t="shared" si="146"/>
        <v>0</v>
      </c>
      <c r="R237" s="230">
        <f t="shared" si="146"/>
        <v>0</v>
      </c>
      <c r="S237" s="230">
        <f t="shared" si="146"/>
        <v>0</v>
      </c>
      <c r="T237" s="230">
        <f t="shared" si="146"/>
        <v>0</v>
      </c>
      <c r="U237" s="230">
        <f t="shared" si="146"/>
        <v>0</v>
      </c>
      <c r="V237" s="230">
        <f t="shared" si="146"/>
        <v>0</v>
      </c>
      <c r="W237" s="230">
        <f t="shared" si="146"/>
        <v>0</v>
      </c>
      <c r="X237" s="230">
        <f t="shared" si="146"/>
        <v>0</v>
      </c>
      <c r="Y237" s="230">
        <f t="shared" si="146"/>
        <v>0</v>
      </c>
      <c r="Z237" s="230">
        <f t="shared" si="146"/>
        <v>0</v>
      </c>
      <c r="AA237" s="230">
        <f t="shared" si="146"/>
        <v>0</v>
      </c>
      <c r="AB237" s="230">
        <f t="shared" si="146"/>
        <v>0</v>
      </c>
      <c r="AC237" s="230">
        <f t="shared" si="146"/>
        <v>0</v>
      </c>
      <c r="AD237" s="230">
        <f t="shared" si="146"/>
        <v>0</v>
      </c>
      <c r="AE237" s="230">
        <f t="shared" si="146"/>
        <v>0</v>
      </c>
      <c r="AF237" s="230">
        <f t="shared" si="146"/>
        <v>0</v>
      </c>
      <c r="AG237" s="230">
        <f t="shared" si="146"/>
        <v>0</v>
      </c>
      <c r="AH237" s="245"/>
      <c r="AI237" s="133"/>
      <c r="AJ237" s="211"/>
      <c r="AL237" s="108"/>
      <c r="AM237" s="2"/>
      <c r="AN237" s="2"/>
      <c r="AO237" s="2"/>
      <c r="BC237" s="1"/>
      <c r="BD237" s="2"/>
      <c r="BE237" s="2"/>
      <c r="BF237" s="2"/>
      <c r="BG237" s="2"/>
      <c r="BH237" s="2"/>
      <c r="BI237" s="2"/>
      <c r="BJ237" s="2"/>
      <c r="BK237" s="2"/>
    </row>
    <row r="238" spans="1:63" outlineLevel="1">
      <c r="A238" s="4" t="s">
        <v>1561</v>
      </c>
      <c r="C238" s="230">
        <f t="shared" ref="C238:AG238" si="147">C233-$C233</f>
        <v>0</v>
      </c>
      <c r="D238" s="230">
        <f t="shared" si="147"/>
        <v>-8.6752756590303091E-4</v>
      </c>
      <c r="E238" s="230">
        <f t="shared" si="147"/>
        <v>1.0879807595387883E-3</v>
      </c>
      <c r="F238" s="230">
        <f t="shared" si="147"/>
        <v>3.2716301408095803E-3</v>
      </c>
      <c r="G238" s="230">
        <f t="shared" si="147"/>
        <v>5.6870833960610909E-3</v>
      </c>
      <c r="H238" s="230">
        <f t="shared" si="147"/>
        <v>8.3353514729221402E-3</v>
      </c>
      <c r="I238" s="230">
        <f t="shared" si="147"/>
        <v>1.1257996466902224E-2</v>
      </c>
      <c r="J238" s="230">
        <f t="shared" si="147"/>
        <v>1.4470493359978423E-2</v>
      </c>
      <c r="K238" s="230">
        <f t="shared" si="147"/>
        <v>1.798849956533943E-2</v>
      </c>
      <c r="L238" s="230">
        <f t="shared" si="147"/>
        <v>2.1827813480442108E-2</v>
      </c>
      <c r="M238" s="230">
        <f t="shared" si="147"/>
        <v>2.6004330473776541E-2</v>
      </c>
      <c r="N238" s="230">
        <f t="shared" si="147"/>
        <v>3.1749175465383764E-2</v>
      </c>
      <c r="O238" s="230">
        <f t="shared" si="147"/>
        <v>3.801271707882338E-2</v>
      </c>
      <c r="P238" s="230">
        <f t="shared" si="147"/>
        <v>4.4794234603950697E-2</v>
      </c>
      <c r="Q238" s="230">
        <f t="shared" si="147"/>
        <v>5.208783622707254E-2</v>
      </c>
      <c r="R238" s="230">
        <f t="shared" si="147"/>
        <v>5.9882216799427429E-2</v>
      </c>
      <c r="S238" s="230">
        <f t="shared" si="147"/>
        <v>6.8299333529157E-2</v>
      </c>
      <c r="T238" s="230">
        <f t="shared" si="147"/>
        <v>7.7364997475359173E-2</v>
      </c>
      <c r="U238" s="230">
        <f t="shared" si="147"/>
        <v>8.7105409375400872E-2</v>
      </c>
      <c r="V238" s="230">
        <f t="shared" si="147"/>
        <v>9.7547147096614842E-2</v>
      </c>
      <c r="W238" s="230">
        <f t="shared" si="147"/>
        <v>0.10871715240387314</v>
      </c>
      <c r="X238" s="230">
        <f t="shared" si="147"/>
        <v>0.12389791265955655</v>
      </c>
      <c r="Y238" s="230">
        <f t="shared" si="147"/>
        <v>0.14024522284420554</v>
      </c>
      <c r="Z238" s="230">
        <f t="shared" si="147"/>
        <v>0.15780480633780625</v>
      </c>
      <c r="AA238" s="230">
        <f t="shared" si="147"/>
        <v>0.17662302755475409</v>
      </c>
      <c r="AB238" s="230">
        <f t="shared" si="147"/>
        <v>0.19674687144523453</v>
      </c>
      <c r="AC238" s="230">
        <f t="shared" si="147"/>
        <v>0.21822606933912983</v>
      </c>
      <c r="AD238" s="230">
        <f t="shared" si="147"/>
        <v>0.24110943373687382</v>
      </c>
      <c r="AE238" s="230">
        <f t="shared" si="147"/>
        <v>0.26544641358087517</v>
      </c>
      <c r="AF238" s="230">
        <f t="shared" si="147"/>
        <v>0.29128707452785568</v>
      </c>
      <c r="AG238" s="230">
        <f t="shared" si="147"/>
        <v>0.31868207828899159</v>
      </c>
      <c r="AH238" s="245"/>
      <c r="AI238" s="133"/>
      <c r="AJ238" s="211"/>
      <c r="AL238" s="108"/>
      <c r="AM238" s="2"/>
      <c r="AN238" s="2"/>
      <c r="AO238" s="2"/>
      <c r="BC238" s="1"/>
      <c r="BD238" s="2"/>
      <c r="BE238" s="2"/>
      <c r="BF238" s="2"/>
      <c r="BG238" s="2"/>
      <c r="BH238" s="2"/>
      <c r="BI238" s="2"/>
      <c r="BJ238" s="2"/>
      <c r="BK238" s="2"/>
    </row>
    <row r="239" spans="1:63" outlineLevel="1">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J239" s="211"/>
    </row>
    <row r="240" spans="1:63" s="200" customFormat="1" ht="16" thickBot="1">
      <c r="A240" s="200" t="s">
        <v>1347</v>
      </c>
      <c r="B240" s="215"/>
      <c r="C240" s="224">
        <f>C241</f>
        <v>1.6E-2</v>
      </c>
      <c r="D240" s="224">
        <f t="shared" ref="D240:AG240" si="148">D241</f>
        <v>2.329547397581962E-2</v>
      </c>
      <c r="E240" s="224">
        <f t="shared" si="148"/>
        <v>3.059094795163924E-2</v>
      </c>
      <c r="F240" s="224">
        <f t="shared" si="148"/>
        <v>3.7886421927458863E-2</v>
      </c>
      <c r="G240" s="224">
        <f t="shared" si="148"/>
        <v>4.5181895903278479E-2</v>
      </c>
      <c r="H240" s="224">
        <f t="shared" si="148"/>
        <v>5.2477369879098103E-2</v>
      </c>
      <c r="I240" s="224">
        <f t="shared" si="148"/>
        <v>5.9772843854917726E-2</v>
      </c>
      <c r="J240" s="224">
        <f t="shared" si="148"/>
        <v>6.7068317830737342E-2</v>
      </c>
      <c r="K240" s="224">
        <f t="shared" si="148"/>
        <v>7.4363791806556973E-2</v>
      </c>
      <c r="L240" s="224">
        <f t="shared" si="148"/>
        <v>8.1659265782376589E-2</v>
      </c>
      <c r="M240" s="224">
        <f t="shared" si="148"/>
        <v>8.8954739758196205E-2</v>
      </c>
      <c r="N240" s="224">
        <f t="shared" si="148"/>
        <v>0.10433135413800063</v>
      </c>
      <c r="O240" s="224">
        <f t="shared" si="148"/>
        <v>0.11970796851780505</v>
      </c>
      <c r="P240" s="224">
        <f t="shared" si="148"/>
        <v>0.1350845828976095</v>
      </c>
      <c r="Q240" s="224">
        <f t="shared" si="148"/>
        <v>0.15046119727741392</v>
      </c>
      <c r="R240" s="224">
        <f t="shared" si="148"/>
        <v>0.16583781165721834</v>
      </c>
      <c r="S240" s="224">
        <f t="shared" si="148"/>
        <v>0.18121442603702276</v>
      </c>
      <c r="T240" s="224">
        <f t="shared" si="148"/>
        <v>0.19659104041682718</v>
      </c>
      <c r="U240" s="224">
        <f t="shared" si="148"/>
        <v>0.2119676547966316</v>
      </c>
      <c r="V240" s="224">
        <f t="shared" si="148"/>
        <v>0.22734426917643602</v>
      </c>
      <c r="W240" s="224">
        <f t="shared" si="148"/>
        <v>0.24272088355624044</v>
      </c>
      <c r="X240" s="224">
        <f t="shared" si="148"/>
        <v>0.26844879520061637</v>
      </c>
      <c r="Y240" s="224">
        <f t="shared" si="148"/>
        <v>0.29417670684499236</v>
      </c>
      <c r="Z240" s="224">
        <f t="shared" si="148"/>
        <v>0.3199046184893683</v>
      </c>
      <c r="AA240" s="224">
        <f t="shared" si="148"/>
        <v>0.34563253013374429</v>
      </c>
      <c r="AB240" s="224">
        <f t="shared" si="148"/>
        <v>0.37136044177812022</v>
      </c>
      <c r="AC240" s="224">
        <f t="shared" si="148"/>
        <v>0.39708835342249615</v>
      </c>
      <c r="AD240" s="224">
        <f t="shared" si="148"/>
        <v>0.42281626506687209</v>
      </c>
      <c r="AE240" s="224">
        <f t="shared" si="148"/>
        <v>0.44854417671124808</v>
      </c>
      <c r="AF240" s="224">
        <f t="shared" si="148"/>
        <v>0.47427208835562407</v>
      </c>
      <c r="AG240" s="224">
        <f t="shared" si="148"/>
        <v>0.5</v>
      </c>
      <c r="AJ240" s="231" t="s">
        <v>1312</v>
      </c>
      <c r="AL240" s="217"/>
      <c r="AM240" s="225"/>
      <c r="AN240" s="225"/>
      <c r="AO240" s="225"/>
    </row>
    <row r="241" spans="1:63" ht="16" outlineLevel="1" thickTop="1">
      <c r="A241" t="s">
        <v>1348</v>
      </c>
      <c r="B241" s="54" t="s">
        <v>462</v>
      </c>
      <c r="C241" s="113">
        <v>1.6E-2</v>
      </c>
      <c r="D241" s="110">
        <f>$C241+($M241-$C241)/10*(D$1-$C$1)</f>
        <v>2.329547397581962E-2</v>
      </c>
      <c r="E241" s="110">
        <f t="shared" ref="E241:L241" si="149">$C241+($M241-$C241)/10*(E$1-$C$1)</f>
        <v>3.059094795163924E-2</v>
      </c>
      <c r="F241" s="110">
        <f t="shared" si="149"/>
        <v>3.7886421927458863E-2</v>
      </c>
      <c r="G241" s="110">
        <f t="shared" si="149"/>
        <v>4.5181895903278479E-2</v>
      </c>
      <c r="H241" s="110">
        <f t="shared" si="149"/>
        <v>5.2477369879098103E-2</v>
      </c>
      <c r="I241" s="110">
        <f t="shared" si="149"/>
        <v>5.9772843854917726E-2</v>
      </c>
      <c r="J241" s="110">
        <f t="shared" si="149"/>
        <v>6.7068317830737342E-2</v>
      </c>
      <c r="K241" s="110">
        <f t="shared" si="149"/>
        <v>7.4363791806556973E-2</v>
      </c>
      <c r="L241" s="110">
        <f t="shared" si="149"/>
        <v>8.1659265782376589E-2</v>
      </c>
      <c r="M241" s="121">
        <f>(M$52-$C$52)/($AG$52-$C$52)*($AG241-$C241)+$C241</f>
        <v>8.8954739758196205E-2</v>
      </c>
      <c r="N241" s="121">
        <f>$M241+($W241-$M241)/10*(N$1-$M$1)</f>
        <v>0.10433135413800063</v>
      </c>
      <c r="O241" s="121">
        <f t="shared" ref="O241:U241" si="150">$M241+($W241-$M241)/10*(O$1-$M$1)</f>
        <v>0.11970796851780505</v>
      </c>
      <c r="P241" s="121">
        <f t="shared" si="150"/>
        <v>0.1350845828976095</v>
      </c>
      <c r="Q241" s="121">
        <f t="shared" si="150"/>
        <v>0.15046119727741392</v>
      </c>
      <c r="R241" s="121">
        <f t="shared" si="150"/>
        <v>0.16583781165721834</v>
      </c>
      <c r="S241" s="121">
        <f t="shared" si="150"/>
        <v>0.18121442603702276</v>
      </c>
      <c r="T241" s="121">
        <f t="shared" si="150"/>
        <v>0.19659104041682718</v>
      </c>
      <c r="U241" s="121">
        <f t="shared" si="150"/>
        <v>0.2119676547966316</v>
      </c>
      <c r="V241" s="121">
        <f>$M241+($W241-$M241)/10*(V$1-$M$1)</f>
        <v>0.22734426917643602</v>
      </c>
      <c r="W241" s="121">
        <f>(W$52-$C$52)/($AG$52-$C$52)*($AG241-$C241)+$C241</f>
        <v>0.24272088355624044</v>
      </c>
      <c r="X241" s="23">
        <f t="shared" ref="X241:AF241" si="151">$W241+($AG241-$W241)/10*(X$1-$W$1)</f>
        <v>0.26844879520061637</v>
      </c>
      <c r="Y241" s="23">
        <f t="shared" si="151"/>
        <v>0.29417670684499236</v>
      </c>
      <c r="Z241" s="23">
        <f t="shared" si="151"/>
        <v>0.3199046184893683</v>
      </c>
      <c r="AA241" s="23">
        <f t="shared" si="151"/>
        <v>0.34563253013374429</v>
      </c>
      <c r="AB241" s="23">
        <f t="shared" si="151"/>
        <v>0.37136044177812022</v>
      </c>
      <c r="AC241" s="23">
        <f t="shared" si="151"/>
        <v>0.39708835342249615</v>
      </c>
      <c r="AD241" s="23">
        <f t="shared" si="151"/>
        <v>0.42281626506687209</v>
      </c>
      <c r="AE241" s="23">
        <f t="shared" si="151"/>
        <v>0.44854417671124808</v>
      </c>
      <c r="AF241" s="23">
        <f t="shared" si="151"/>
        <v>0.47427208835562407</v>
      </c>
      <c r="AG241" s="106">
        <v>0.5</v>
      </c>
      <c r="AJ241" s="211" t="s">
        <v>1349</v>
      </c>
    </row>
    <row r="242" spans="1:63" outlineLevel="1">
      <c r="C242" s="113"/>
      <c r="D242" s="110"/>
      <c r="E242" s="110"/>
      <c r="F242" s="110"/>
      <c r="G242" s="110"/>
      <c r="H242" s="110"/>
      <c r="I242" s="110"/>
      <c r="J242" s="110"/>
      <c r="K242" s="110"/>
      <c r="L242" s="110"/>
      <c r="M242" s="121"/>
      <c r="N242" s="121"/>
      <c r="O242" s="121"/>
      <c r="P242" s="121"/>
      <c r="Q242" s="121"/>
      <c r="R242" s="121"/>
      <c r="S242" s="121"/>
      <c r="T242" s="121"/>
      <c r="U242" s="121"/>
      <c r="V242" s="121"/>
      <c r="W242" s="121"/>
      <c r="X242" s="23"/>
      <c r="Y242" s="23"/>
      <c r="Z242" s="23"/>
      <c r="AA242" s="23"/>
      <c r="AB242" s="23"/>
      <c r="AC242" s="23"/>
      <c r="AD242" s="23"/>
      <c r="AE242" s="23"/>
      <c r="AF242" s="23"/>
      <c r="AG242" s="106"/>
      <c r="AJ242" s="211"/>
    </row>
    <row r="243" spans="1:63" outlineLevel="1">
      <c r="A243" t="s">
        <v>1621</v>
      </c>
      <c r="C243" s="504">
        <f>('Overall recycling rates'!F85*'Yearly BTX'!D5+'Overall recycling rates'!G85*'Yearly BTX'!D6+'Overall recycling rates'!H85*'Yearly BTX'!D7)/'Yearly BTX'!D4</f>
        <v>0.30412868877343519</v>
      </c>
      <c r="D243" s="504">
        <f>C243-($C243-$AG243)/($AG$1-$C$1)</f>
        <v>0.32065773248098733</v>
      </c>
      <c r="E243" s="504">
        <f t="shared" ref="E243:AF243" si="152">D243-($C243-$AG243)/($AG$1-$C$1)</f>
        <v>0.33718677618853948</v>
      </c>
      <c r="F243" s="504">
        <f t="shared" si="152"/>
        <v>0.35371581989609163</v>
      </c>
      <c r="G243" s="504">
        <f t="shared" si="152"/>
        <v>0.37024486360364378</v>
      </c>
      <c r="H243" s="504">
        <f t="shared" si="152"/>
        <v>0.38677390731119593</v>
      </c>
      <c r="I243" s="504">
        <f t="shared" si="152"/>
        <v>0.40330295101874808</v>
      </c>
      <c r="J243" s="504">
        <f t="shared" si="152"/>
        <v>0.41983199472630023</v>
      </c>
      <c r="K243" s="504">
        <f t="shared" si="152"/>
        <v>0.43636103843385238</v>
      </c>
      <c r="L243" s="504">
        <f t="shared" si="152"/>
        <v>0.45289008214140453</v>
      </c>
      <c r="M243" s="504">
        <f t="shared" si="152"/>
        <v>0.46941912584895668</v>
      </c>
      <c r="N243" s="504">
        <f t="shared" si="152"/>
        <v>0.48594816955650882</v>
      </c>
      <c r="O243" s="504">
        <f t="shared" si="152"/>
        <v>0.50247721326406103</v>
      </c>
      <c r="P243" s="504">
        <f t="shared" si="152"/>
        <v>0.51900625697161318</v>
      </c>
      <c r="Q243" s="504">
        <f t="shared" si="152"/>
        <v>0.53553530067916533</v>
      </c>
      <c r="R243" s="504">
        <f t="shared" si="152"/>
        <v>0.55206434438671748</v>
      </c>
      <c r="S243" s="504">
        <f t="shared" si="152"/>
        <v>0.56859338809426963</v>
      </c>
      <c r="T243" s="504">
        <f t="shared" si="152"/>
        <v>0.58512243180182177</v>
      </c>
      <c r="U243" s="504">
        <f t="shared" si="152"/>
        <v>0.60165147550937392</v>
      </c>
      <c r="V243" s="504">
        <f t="shared" si="152"/>
        <v>0.61818051921692607</v>
      </c>
      <c r="W243" s="504">
        <f t="shared" si="152"/>
        <v>0.63470956292447822</v>
      </c>
      <c r="X243" s="504">
        <f t="shared" si="152"/>
        <v>0.65123860663203037</v>
      </c>
      <c r="Y243" s="504">
        <f t="shared" si="152"/>
        <v>0.66776765033958252</v>
      </c>
      <c r="Z243" s="504">
        <f t="shared" si="152"/>
        <v>0.68429669404713467</v>
      </c>
      <c r="AA243" s="504">
        <f t="shared" si="152"/>
        <v>0.70082573775468682</v>
      </c>
      <c r="AB243" s="504">
        <f t="shared" si="152"/>
        <v>0.71735478146223897</v>
      </c>
      <c r="AC243" s="504">
        <f t="shared" si="152"/>
        <v>0.73388382516979112</v>
      </c>
      <c r="AD243" s="504">
        <f t="shared" si="152"/>
        <v>0.75041286887734326</v>
      </c>
      <c r="AE243" s="504">
        <f t="shared" si="152"/>
        <v>0.76694191258489541</v>
      </c>
      <c r="AF243" s="504">
        <f t="shared" si="152"/>
        <v>0.78347095629244756</v>
      </c>
      <c r="AG243" s="504">
        <f>'Overall recycling rates'!F94</f>
        <v>0.8</v>
      </c>
      <c r="AI243" s="133"/>
      <c r="AJ243" s="211" t="s">
        <v>1582</v>
      </c>
      <c r="AL243" s="108"/>
      <c r="AM243" s="207"/>
      <c r="AN243" s="207"/>
      <c r="AO243" s="207"/>
      <c r="BC243" s="1"/>
      <c r="BD243" s="207"/>
      <c r="BE243" s="207"/>
      <c r="BF243" s="207"/>
      <c r="BG243" s="207"/>
      <c r="BH243" s="207"/>
      <c r="BI243" s="207"/>
      <c r="BJ243" s="207"/>
      <c r="BK243" s="207"/>
    </row>
    <row r="244" spans="1:63" outlineLevel="1">
      <c r="A244" t="s">
        <v>1639</v>
      </c>
      <c r="B244" s="54" t="s">
        <v>462</v>
      </c>
      <c r="C244" s="110">
        <f>C241*C243</f>
        <v>4.8660590203749628E-3</v>
      </c>
      <c r="D244" s="110">
        <f t="shared" ref="D244:AG244" si="153">D241*D243</f>
        <v>7.4698738621561704E-3</v>
      </c>
      <c r="E244" s="110">
        <f t="shared" si="153"/>
        <v>1.0314863120364641E-2</v>
      </c>
      <c r="F244" s="110">
        <f t="shared" si="153"/>
        <v>1.3401026795000376E-2</v>
      </c>
      <c r="G244" s="110">
        <f t="shared" si="153"/>
        <v>1.6728364886063371E-2</v>
      </c>
      <c r="H244" s="110">
        <f t="shared" si="153"/>
        <v>2.0296877393553635E-2</v>
      </c>
      <c r="I244" s="110">
        <f t="shared" si="153"/>
        <v>2.4106564317471161E-2</v>
      </c>
      <c r="J244" s="110">
        <f t="shared" si="153"/>
        <v>2.8157425657815947E-2</v>
      </c>
      <c r="K244" s="110">
        <f t="shared" si="153"/>
        <v>3.2449461414588002E-2</v>
      </c>
      <c r="L244" s="110">
        <f t="shared" si="153"/>
        <v>3.698267158778732E-2</v>
      </c>
      <c r="M244" s="110">
        <f t="shared" si="153"/>
        <v>4.1757056177413897E-2</v>
      </c>
      <c r="N244" s="110">
        <f t="shared" si="153"/>
        <v>5.0699630570713299E-2</v>
      </c>
      <c r="O244" s="110">
        <f t="shared" si="153"/>
        <v>6.0150526426328628E-2</v>
      </c>
      <c r="P244" s="110">
        <f t="shared" si="153"/>
        <v>7.0109743744259892E-2</v>
      </c>
      <c r="Q244" s="110">
        <f t="shared" si="153"/>
        <v>8.0577282524507077E-2</v>
      </c>
      <c r="R244" s="110">
        <f t="shared" si="153"/>
        <v>9.1553142767070175E-2</v>
      </c>
      <c r="S244" s="110">
        <f t="shared" si="153"/>
        <v>0.1030373244719492</v>
      </c>
      <c r="T244" s="110">
        <f t="shared" si="153"/>
        <v>0.11502982763914416</v>
      </c>
      <c r="U244" s="110">
        <f t="shared" si="153"/>
        <v>0.12753065226865501</v>
      </c>
      <c r="V244" s="110">
        <f t="shared" si="153"/>
        <v>0.14053979836048183</v>
      </c>
      <c r="W244" s="110">
        <f t="shared" si="153"/>
        <v>0.15405726591462454</v>
      </c>
      <c r="X244" s="110">
        <f t="shared" si="153"/>
        <v>0.17482421933849668</v>
      </c>
      <c r="Y244" s="110">
        <f t="shared" si="153"/>
        <v>0.19644168831451672</v>
      </c>
      <c r="Z244" s="110">
        <f t="shared" si="153"/>
        <v>0.21890967284268459</v>
      </c>
      <c r="AA244" s="110">
        <f t="shared" si="153"/>
        <v>0.24222817292300036</v>
      </c>
      <c r="AB244" s="110">
        <f t="shared" si="153"/>
        <v>0.26639718855546396</v>
      </c>
      <c r="AC244" s="110">
        <f t="shared" si="153"/>
        <v>0.29141671974007538</v>
      </c>
      <c r="AD244" s="110">
        <f t="shared" si="153"/>
        <v>0.31728676647683468</v>
      </c>
      <c r="AE244" s="110">
        <f t="shared" si="153"/>
        <v>0.34400732876574192</v>
      </c>
      <c r="AF244" s="110">
        <f t="shared" si="153"/>
        <v>0.37157840660679697</v>
      </c>
      <c r="AG244" s="110">
        <f t="shared" si="153"/>
        <v>0.4</v>
      </c>
      <c r="AJ244" s="211" t="s">
        <v>1349</v>
      </c>
    </row>
    <row r="245" spans="1:63" outlineLevel="1">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I245" s="134"/>
      <c r="AJ245" s="211"/>
      <c r="BC245" s="1"/>
      <c r="BD245" s="41"/>
      <c r="BF245" s="6"/>
      <c r="BG245" s="6"/>
      <c r="BH245" s="6"/>
      <c r="BI245" s="6"/>
      <c r="BJ245" s="6"/>
    </row>
    <row r="246" spans="1:63" s="1" customFormat="1" outlineLevel="1">
      <c r="A246" s="1" t="s">
        <v>228</v>
      </c>
      <c r="B246" s="65"/>
      <c r="C246" s="300">
        <f>C244*C44</f>
        <v>5.8032631521489249E-3</v>
      </c>
      <c r="D246" s="300">
        <f t="shared" ref="D246:AG246" si="154">D244*D44</f>
        <v>9.2072020939203067E-3</v>
      </c>
      <c r="E246" s="300">
        <f t="shared" si="154"/>
        <v>1.3105712288989702E-2</v>
      </c>
      <c r="F246" s="300">
        <f t="shared" si="154"/>
        <v>1.7505800631190116E-2</v>
      </c>
      <c r="G246" s="300">
        <f t="shared" si="154"/>
        <v>2.2408298815568436E-2</v>
      </c>
      <c r="H246" s="300">
        <f t="shared" si="154"/>
        <v>2.7807479950100883E-2</v>
      </c>
      <c r="I246" s="300">
        <f t="shared" si="154"/>
        <v>3.376346351391521E-2</v>
      </c>
      <c r="J246" s="300">
        <f t="shared" si="154"/>
        <v>4.0298223521213511E-2</v>
      </c>
      <c r="K246" s="300">
        <f t="shared" si="154"/>
        <v>4.7433318025234851E-2</v>
      </c>
      <c r="L246" s="300">
        <f t="shared" si="154"/>
        <v>5.5189807843438347E-2</v>
      </c>
      <c r="M246" s="300">
        <f t="shared" si="154"/>
        <v>6.358817390274786E-2</v>
      </c>
      <c r="N246" s="300">
        <f t="shared" si="154"/>
        <v>7.863508681544254E-2</v>
      </c>
      <c r="O246" s="300">
        <f t="shared" si="154"/>
        <v>9.4840456104715795E-2</v>
      </c>
      <c r="P246" s="300">
        <f t="shared" si="154"/>
        <v>0.11216336772790965</v>
      </c>
      <c r="Q246" s="300">
        <f t="shared" si="154"/>
        <v>0.13055029849066793</v>
      </c>
      <c r="R246" s="300">
        <f t="shared" si="154"/>
        <v>0.14993517285234059</v>
      </c>
      <c r="S246" s="300">
        <f t="shared" si="154"/>
        <v>0.17054630538812571</v>
      </c>
      <c r="T246" s="300">
        <f t="shared" si="154"/>
        <v>0.19241020943845857</v>
      </c>
      <c r="U246" s="300">
        <f t="shared" si="154"/>
        <v>0.21555322103826982</v>
      </c>
      <c r="V246" s="300">
        <f t="shared" si="154"/>
        <v>0.24000147622154303</v>
      </c>
      <c r="W246" s="300">
        <f t="shared" si="154"/>
        <v>0.26578088807622108</v>
      </c>
      <c r="X246" s="300">
        <f t="shared" si="154"/>
        <v>0.3046682577046575</v>
      </c>
      <c r="Y246" s="300">
        <f t="shared" si="154"/>
        <v>0.34578039497076074</v>
      </c>
      <c r="Z246" s="300">
        <f t="shared" si="154"/>
        <v>0.38916141827404682</v>
      </c>
      <c r="AA246" s="300">
        <f t="shared" si="154"/>
        <v>0.43485512296718665</v>
      </c>
      <c r="AB246" s="300">
        <f t="shared" si="154"/>
        <v>0.48290494673261225</v>
      </c>
      <c r="AC246" s="300">
        <f t="shared" si="154"/>
        <v>0.53335897708623259</v>
      </c>
      <c r="AD246" s="300">
        <f t="shared" si="154"/>
        <v>0.58626133883074849</v>
      </c>
      <c r="AE246" s="300">
        <f t="shared" si="154"/>
        <v>0.64165583726377518</v>
      </c>
      <c r="AF246" s="300">
        <f t="shared" si="154"/>
        <v>0.69958592673131836</v>
      </c>
      <c r="AG246" s="300">
        <f t="shared" si="154"/>
        <v>0.76009467890014637</v>
      </c>
      <c r="AH246" s="245"/>
      <c r="AI246" s="423"/>
      <c r="AJ246" s="424"/>
      <c r="AL246" s="221"/>
      <c r="AM246" s="124"/>
      <c r="AN246" s="124"/>
      <c r="AO246" s="124"/>
      <c r="BD246" s="124"/>
      <c r="BE246" s="124"/>
      <c r="BF246" s="124"/>
      <c r="BG246" s="124"/>
      <c r="BH246" s="124"/>
      <c r="BI246" s="124"/>
      <c r="BJ246" s="124"/>
      <c r="BK246" s="124"/>
    </row>
    <row r="247" spans="1:63" outlineLevel="1">
      <c r="A247" s="4" t="s">
        <v>474</v>
      </c>
      <c r="C247" s="230">
        <f>C$246*'BTX recycling rates'!E86</f>
        <v>0</v>
      </c>
      <c r="D247" s="230">
        <f>D$246*'BTX recycling rates'!F86</f>
        <v>1.8305658884860726E-4</v>
      </c>
      <c r="E247" s="230">
        <f>E$246*'BTX recycling rates'!G86</f>
        <v>5.2113268755942497E-4</v>
      </c>
      <c r="F247" s="230">
        <f>F$246*'BTX recycling rates'!H86</f>
        <v>1.0441452623459258E-3</v>
      </c>
      <c r="G247" s="230">
        <f>G$246*'BTX recycling rates'!I86</f>
        <v>1.7820774221027973E-3</v>
      </c>
      <c r="H247" s="230">
        <f>H$246*'BTX recycling rates'!J86</f>
        <v>2.7643264328382445E-3</v>
      </c>
      <c r="I247" s="230">
        <f>I$246*'BTX recycling rates'!K86</f>
        <v>4.0276890170486742E-3</v>
      </c>
      <c r="J247" s="230">
        <f>J$246*'BTX recycling rates'!L86</f>
        <v>5.608434225122738E-3</v>
      </c>
      <c r="K247" s="230">
        <f>K$246*'BTX recycling rates'!M86</f>
        <v>7.5445124865493622E-3</v>
      </c>
      <c r="L247" s="230">
        <f>L$246*'BTX recycling rates'!N86</f>
        <v>9.8754997163915219E-3</v>
      </c>
      <c r="M247" s="230">
        <f>M$246*'BTX recycling rates'!O86</f>
        <v>1.2642531452019856E-2</v>
      </c>
      <c r="N247" s="230">
        <f>N$246*'BTX recycling rates'!P86</f>
        <v>1.7197556511037694E-2</v>
      </c>
      <c r="O247" s="230">
        <f>O$246*'BTX recycling rates'!Q86</f>
        <v>2.262729137769998E-2</v>
      </c>
      <c r="P247" s="230">
        <f>P$246*'BTX recycling rates'!R86</f>
        <v>2.8990258131383066E-2</v>
      </c>
      <c r="Q247" s="230">
        <f>Q$246*'BTX recycling rates'!S86</f>
        <v>3.633821534438713E-2</v>
      </c>
      <c r="R247" s="230">
        <f>R$246*'BTX recycling rates'!T86</f>
        <v>4.4714921554017989E-2</v>
      </c>
      <c r="S247" s="230">
        <f>S$246*'BTX recycling rates'!U86</f>
        <v>5.4252528986104158E-2</v>
      </c>
      <c r="T247" s="230">
        <f>T$246*'BTX recycling rates'!V86</f>
        <v>6.5033139935750647E-2</v>
      </c>
      <c r="U247" s="230">
        <f>U$246*'BTX recycling rates'!W86</f>
        <v>7.7140901786408325E-2</v>
      </c>
      <c r="V247" s="230">
        <f>V$246*'BTX recycling rates'!X86</f>
        <v>9.0661980810692461E-2</v>
      </c>
      <c r="W247" s="230">
        <f>W$246*'BTX recycling rates'!Y86</f>
        <v>0.10568453316456038</v>
      </c>
      <c r="X247" s="230">
        <f>X$246*'BTX recycling rates'!Z86</f>
        <v>0.1272050031872865</v>
      </c>
      <c r="Y247" s="230">
        <f>Y$246*'BTX recycling rates'!AA86</f>
        <v>0.15124489903280147</v>
      </c>
      <c r="Z247" s="230">
        <f>Z$246*'BTX recycling rates'!AB86</f>
        <v>0.17795709308029478</v>
      </c>
      <c r="AA247" s="230">
        <f>AA$246*'BTX recycling rates'!AC86</f>
        <v>0.20749781219103247</v>
      </c>
      <c r="AB247" s="230">
        <f>AB$246*'BTX recycling rates'!AD86</f>
        <v>0.24002658838498273</v>
      </c>
      <c r="AC247" s="230">
        <f>AC$246*'BTX recycling rates'!AE86</f>
        <v>0.27570881180973744</v>
      </c>
      <c r="AD247" s="230">
        <f>AD$246*'BTX recycling rates'!AF86</f>
        <v>0.31471156966762553</v>
      </c>
      <c r="AE247" s="230">
        <f>AE$246*'BTX recycling rates'!AG86</f>
        <v>0.35720528043282596</v>
      </c>
      <c r="AF247" s="230">
        <f>AF$246*'BTX recycling rates'!AH86</f>
        <v>0.40336364395826668</v>
      </c>
      <c r="AG247" s="230">
        <f>AG$246*'BTX recycling rates'!AI86</f>
        <v>0.4533635876635595</v>
      </c>
      <c r="AH247" s="245"/>
      <c r="AI247" s="133"/>
      <c r="AJ247" s="211"/>
      <c r="AL247" s="108"/>
      <c r="AM247" s="2"/>
      <c r="AN247" s="2"/>
      <c r="AO247" s="2"/>
      <c r="BC247" s="1"/>
      <c r="BD247" s="2"/>
      <c r="BE247" s="2"/>
      <c r="BF247" s="2"/>
      <c r="BG247" s="2"/>
      <c r="BH247" s="2"/>
      <c r="BI247" s="2"/>
      <c r="BJ247" s="2"/>
      <c r="BK247" s="2"/>
    </row>
    <row r="248" spans="1:63" outlineLevel="1">
      <c r="A248" s="4" t="s">
        <v>478</v>
      </c>
      <c r="C248" s="230">
        <f>C$246*'BTX recycling rates'!E87</f>
        <v>3.156453720645372E-3</v>
      </c>
      <c r="D248" s="230">
        <f>D$246*'BTX recycling rates'!F87</f>
        <v>4.9400058276678994E-3</v>
      </c>
      <c r="E248" s="230">
        <f>E$246*'BTX recycling rates'!G87</f>
        <v>6.9350727203402662E-3</v>
      </c>
      <c r="F248" s="230">
        <f>F$246*'BTX recycling rates'!H87</f>
        <v>9.1343710917065647E-3</v>
      </c>
      <c r="G248" s="230">
        <f>G$246*'BTX recycling rates'!I87</f>
        <v>1.152723435312865E-2</v>
      </c>
      <c r="H248" s="230">
        <f>H$246*'BTX recycling rates'!J87</f>
        <v>1.409964588826842E-2</v>
      </c>
      <c r="I248" s="230">
        <f>I$246*'BTX recycling rates'!K87</f>
        <v>1.6870659570915682E-2</v>
      </c>
      <c r="J248" s="230">
        <f>J$246*'BTX recycling rates'!L87</f>
        <v>1.9838777251657416E-2</v>
      </c>
      <c r="K248" s="230">
        <f>K$246*'BTX recycling rates'!M87</f>
        <v>2.3001651011949446E-2</v>
      </c>
      <c r="L248" s="230">
        <f>L$246*'BTX recycling rates'!N87</f>
        <v>2.6356059685511104E-2</v>
      </c>
      <c r="M248" s="230">
        <f>M$246*'BTX recycling rates'!O87</f>
        <v>2.9897888326342478E-2</v>
      </c>
      <c r="N248" s="230">
        <f>N$246*'BTX recycling rates'!P87</f>
        <v>3.6392868439507411E-2</v>
      </c>
      <c r="O248" s="230">
        <f>O$246*'BTX recycling rates'!Q87</f>
        <v>4.3193566766082402E-2</v>
      </c>
      <c r="P248" s="230">
        <f>P$246*'BTX recycling rates'!R87</f>
        <v>5.0256027376284859E-2</v>
      </c>
      <c r="Q248" s="230">
        <f>Q$246*'BTX recycling rates'!S87</f>
        <v>5.7531944278220198E-2</v>
      </c>
      <c r="R248" s="230">
        <f>R$246*'BTX recycling rates'!T87</f>
        <v>6.4969150869752024E-2</v>
      </c>
      <c r="S248" s="230">
        <f>S$246*'BTX recycling rates'!U87</f>
        <v>7.2642822346105002E-2</v>
      </c>
      <c r="T248" s="230">
        <f>T$246*'BTX recycling rates'!V87</f>
        <v>8.0536932712561515E-2</v>
      </c>
      <c r="U248" s="230">
        <f>U$246*'BTX recycling rates'!W87</f>
        <v>8.8634601134220267E-2</v>
      </c>
      <c r="V248" s="230">
        <f>V$246*'BTX recycling rates'!X87</f>
        <v>9.6918089307436839E-2</v>
      </c>
      <c r="W248" s="230">
        <f>W$246*'BTX recycling rates'!Y87</f>
        <v>0.10536879973629268</v>
      </c>
      <c r="X248" s="230">
        <f>X$246*'BTX recycling rates'!Z87</f>
        <v>0.11853936931579515</v>
      </c>
      <c r="Y248" s="230">
        <f>Y$246*'BTX recycling rates'!AA87</f>
        <v>0.13198570704535287</v>
      </c>
      <c r="Z248" s="230">
        <f>Z$246*'BTX recycling rates'!AB87</f>
        <v>0.14567511807556013</v>
      </c>
      <c r="AA248" s="230">
        <f>AA$246*'BTX recycling rates'!AC87</f>
        <v>0.15957348787019288</v>
      </c>
      <c r="AB248" s="230">
        <f>AB$246*'BTX recycling rates'!AD87</f>
        <v>0.17364528166530632</v>
      </c>
      <c r="AC248" s="230">
        <f>AC$246*'BTX recycling rates'!AE87</f>
        <v>0.18785532135663255</v>
      </c>
      <c r="AD248" s="230">
        <f>AD$246*'BTX recycling rates'!AF87</f>
        <v>0.20216564414306992</v>
      </c>
      <c r="AE248" s="230">
        <f>AE$246*'BTX recycling rates'!AG87</f>
        <v>0.21653687807039326</v>
      </c>
      <c r="AF248" s="230">
        <f>AF$246*'BTX recycling rates'!AH87</f>
        <v>0.23092824342956098</v>
      </c>
      <c r="AG248" s="230">
        <f>AG$246*'BTX recycling rates'!AI87</f>
        <v>0.24529755545543858</v>
      </c>
      <c r="AH248" s="245"/>
      <c r="AI248" s="133"/>
      <c r="AJ248" s="211"/>
      <c r="AL248" s="108"/>
      <c r="AM248" s="2"/>
      <c r="AN248" s="2"/>
      <c r="AO248" s="2"/>
      <c r="BC248" s="1"/>
      <c r="BD248" s="2"/>
      <c r="BE248" s="2"/>
      <c r="BF248" s="2"/>
      <c r="BG248" s="2"/>
      <c r="BH248" s="2"/>
      <c r="BI248" s="2"/>
      <c r="BJ248" s="2"/>
      <c r="BK248" s="2"/>
    </row>
    <row r="249" spans="1:63" outlineLevel="1">
      <c r="A249" s="4" t="s">
        <v>745</v>
      </c>
      <c r="C249" s="230">
        <f>C$246*'BTX recycling rates'!E88</f>
        <v>2.4693112381940522E-3</v>
      </c>
      <c r="D249" s="230">
        <f>D$246*'BTX recycling rates'!F88</f>
        <v>3.8099461300005739E-3</v>
      </c>
      <c r="E249" s="230">
        <f>E$246*'BTX recycling rates'!G88</f>
        <v>5.2697723024113319E-3</v>
      </c>
      <c r="F249" s="230">
        <f>F$246*'BTX recycling rates'!H88</f>
        <v>6.8341608848242232E-3</v>
      </c>
      <c r="G249" s="230">
        <f>G$246*'BTX recycling rates'!I88</f>
        <v>8.4858165010810466E-3</v>
      </c>
      <c r="H249" s="230">
        <f>H$246*'BTX recycling rates'!J88</f>
        <v>1.0204997921216531E-2</v>
      </c>
      <c r="I249" s="230">
        <f>I$246*'BTX recycling rates'!K88</f>
        <v>1.1995626186363212E-2</v>
      </c>
      <c r="J249" s="230">
        <f>J$246*'BTX recycling rates'!L88</f>
        <v>1.3845701901736267E-2</v>
      </c>
      <c r="K249" s="230">
        <f>K$246*'BTX recycling rates'!M88</f>
        <v>1.5742058952062144E-2</v>
      </c>
      <c r="L249" s="230">
        <f>L$246*'BTX recycling rates'!N88</f>
        <v>1.7670362820006127E-2</v>
      </c>
      <c r="M249" s="230">
        <f>M$246*'BTX recycling rates'!O88</f>
        <v>1.9615114186021364E-2</v>
      </c>
      <c r="N249" s="230">
        <f>N$246*'BTX recycling rates'!P88</f>
        <v>2.3336363427856482E-2</v>
      </c>
      <c r="O249" s="230">
        <f>O$246*'BTX recycling rates'!Q88</f>
        <v>2.7035650975196251E-2</v>
      </c>
      <c r="P249" s="230">
        <f>P$246*'BTX recycling rates'!R88</f>
        <v>3.0661119289093739E-2</v>
      </c>
      <c r="Q249" s="230">
        <f>Q$246*'BTX recycling rates'!S88</f>
        <v>3.4159526859797132E-2</v>
      </c>
      <c r="R249" s="230">
        <f>R$246*'BTX recycling rates'!T88</f>
        <v>3.7477000247814092E-2</v>
      </c>
      <c r="S249" s="230">
        <f>S$246*'BTX recycling rates'!U88</f>
        <v>4.0632898077171221E-2</v>
      </c>
      <c r="T249" s="230">
        <f>T$246*'BTX recycling rates'!V88</f>
        <v>4.3590173160127067E-2</v>
      </c>
      <c r="U249" s="230">
        <f>U$246*'BTX recycling rates'!W88</f>
        <v>4.6310499043372491E-2</v>
      </c>
      <c r="V249" s="230">
        <f>V$246*'BTX recycling rates'!X88</f>
        <v>4.8754275772924516E-2</v>
      </c>
      <c r="W249" s="230">
        <f>W$246*'BTX recycling rates'!Y88</f>
        <v>5.0880637204894316E-2</v>
      </c>
      <c r="X249" s="230">
        <f>X$246*'BTX recycling rates'!Z88</f>
        <v>5.4759550007302649E-2</v>
      </c>
      <c r="Y249" s="230">
        <f>Y$246*'BTX recycling rates'!AA88</f>
        <v>5.8102074641752904E-2</v>
      </c>
      <c r="Z249" s="230">
        <f>Z$246*'BTX recycling rates'!AB88</f>
        <v>6.0836996819983918E-2</v>
      </c>
      <c r="AA249" s="230">
        <f>AA$246*'BTX recycling rates'!AC88</f>
        <v>6.2890990212760359E-2</v>
      </c>
      <c r="AB249" s="230">
        <f>AB$246*'BTX recycling rates'!AD88</f>
        <v>6.4188630751207842E-2</v>
      </c>
      <c r="AC249" s="230">
        <f>AC$246*'BTX recycling rates'!AE88</f>
        <v>6.4653024558944158E-2</v>
      </c>
      <c r="AD249" s="230">
        <f>AD$246*'BTX recycling rates'!AF88</f>
        <v>6.4204592654792489E-2</v>
      </c>
      <c r="AE249" s="230">
        <f>AE$246*'BTX recycling rates'!AG88</f>
        <v>6.2761659186108681E-2</v>
      </c>
      <c r="AF249" s="230">
        <f>AF$246*'BTX recycling rates'!AH88</f>
        <v>6.0240467417250934E-2</v>
      </c>
      <c r="AG249" s="230">
        <f>AG$246*'BTX recycling rates'!AI88</f>
        <v>5.655519790529915E-2</v>
      </c>
      <c r="AH249" s="245"/>
      <c r="AI249" s="133"/>
      <c r="AJ249" s="211"/>
      <c r="AL249" s="108"/>
      <c r="AM249" s="2"/>
      <c r="AN249" s="2"/>
      <c r="AO249" s="2"/>
      <c r="BC249" s="1"/>
      <c r="BD249" s="2"/>
      <c r="BE249" s="2"/>
      <c r="BF249" s="2"/>
      <c r="BG249" s="2"/>
      <c r="BH249" s="2"/>
      <c r="BI249" s="2"/>
      <c r="BJ249" s="2"/>
      <c r="BK249" s="2"/>
    </row>
    <row r="250" spans="1:63" outlineLevel="1">
      <c r="A250" s="4" t="s">
        <v>1561</v>
      </c>
      <c r="C250" s="230">
        <f>C$246*'BTX recycling rates'!E89</f>
        <v>1.7749819330950106E-4</v>
      </c>
      <c r="D250" s="230">
        <f>D$246*'BTX recycling rates'!F89</f>
        <v>2.7419354740322691E-4</v>
      </c>
      <c r="E250" s="230">
        <f>E$246*'BTX recycling rates'!G89</f>
        <v>3.7973457867867969E-4</v>
      </c>
      <c r="F250" s="230">
        <f>F$246*'BTX recycling rates'!H89</f>
        <v>4.931233923134037E-4</v>
      </c>
      <c r="G250" s="230">
        <f>G$246*'BTX recycling rates'!I89</f>
        <v>6.13170539255942E-4</v>
      </c>
      <c r="H250" s="230">
        <f>H$246*'BTX recycling rates'!J89</f>
        <v>7.3850970777768936E-4</v>
      </c>
      <c r="I250" s="230">
        <f>I$246*'BTX recycling rates'!K89</f>
        <v>8.6948873958764175E-4</v>
      </c>
      <c r="J250" s="230">
        <f>J$246*'BTX recycling rates'!L89</f>
        <v>1.0053101426970871E-3</v>
      </c>
      <c r="K250" s="230">
        <f>K$246*'BTX recycling rates'!M89</f>
        <v>1.1450955746738986E-3</v>
      </c>
      <c r="L250" s="230">
        <f>L$246*'BTX recycling rates'!N89</f>
        <v>1.2878856215295968E-3</v>
      </c>
      <c r="M250" s="230">
        <f>M$246*'BTX recycling rates'!O89</f>
        <v>1.4326399383641599E-3</v>
      </c>
      <c r="N250" s="230">
        <f>N$246*'BTX recycling rates'!P89</f>
        <v>1.7082984370409521E-3</v>
      </c>
      <c r="O250" s="230">
        <f>O$246*'BTX recycling rates'!Q89</f>
        <v>1.9839469857371641E-3</v>
      </c>
      <c r="P250" s="230">
        <f>P$246*'BTX recycling rates'!R89</f>
        <v>2.2559629311479806E-3</v>
      </c>
      <c r="Q250" s="230">
        <f>Q$246*'BTX recycling rates'!S89</f>
        <v>2.5206120082634708E-3</v>
      </c>
      <c r="R250" s="230">
        <f>R$246*'BTX recycling rates'!T89</f>
        <v>2.7741001807564825E-3</v>
      </c>
      <c r="S250" s="230">
        <f>S$246*'BTX recycling rates'!U89</f>
        <v>3.0180559787453187E-3</v>
      </c>
      <c r="T250" s="230">
        <f>T$246*'BTX recycling rates'!V89</f>
        <v>3.2499636300193538E-3</v>
      </c>
      <c r="U250" s="230">
        <f>U$246*'BTX recycling rates'!W89</f>
        <v>3.467219074268725E-3</v>
      </c>
      <c r="V250" s="230">
        <f>V$246*'BTX recycling rates'!X89</f>
        <v>3.66713033048921E-3</v>
      </c>
      <c r="W250" s="230">
        <f>W$246*'BTX recycling rates'!Y89</f>
        <v>3.8469179704737119E-3</v>
      </c>
      <c r="X250" s="230">
        <f>X$246*'BTX recycling rates'!Z89</f>
        <v>4.1643351942732085E-3</v>
      </c>
      <c r="Y250" s="230">
        <f>Y$246*'BTX recycling rates'!AA89</f>
        <v>4.4477142508534927E-3</v>
      </c>
      <c r="Z250" s="230">
        <f>Z$246*'BTX recycling rates'!AB89</f>
        <v>4.6922102982079822E-3</v>
      </c>
      <c r="AA250" s="230">
        <f>AA$246*'BTX recycling rates'!AC89</f>
        <v>4.8928326932009512E-3</v>
      </c>
      <c r="AB250" s="230">
        <f>AB$246*'BTX recycling rates'!AD89</f>
        <v>5.0444459311153635E-3</v>
      </c>
      <c r="AC250" s="230">
        <f>AC$246*'BTX recycling rates'!AE89</f>
        <v>5.141819360918432E-3</v>
      </c>
      <c r="AD250" s="230">
        <f>AD$246*'BTX recycling rates'!AF89</f>
        <v>5.1795323652605082E-3</v>
      </c>
      <c r="AE250" s="230">
        <f>AE$246*'BTX recycling rates'!AG89</f>
        <v>5.1520195744472292E-3</v>
      </c>
      <c r="AF250" s="230">
        <f>AF$246*'BTX recycling rates'!AH89</f>
        <v>5.0535719262396472E-3</v>
      </c>
      <c r="AG250" s="230">
        <f>AG$246*'BTX recycling rates'!AI89</f>
        <v>4.8783378758492498E-3</v>
      </c>
      <c r="AH250" s="245"/>
      <c r="AI250" s="133"/>
      <c r="AJ250" s="211"/>
      <c r="AL250" s="108"/>
      <c r="AM250" s="2"/>
      <c r="AN250" s="2"/>
      <c r="AO250" s="2"/>
      <c r="BC250" s="1"/>
      <c r="BD250" s="2"/>
      <c r="BE250" s="2"/>
      <c r="BF250" s="2"/>
      <c r="BG250" s="2"/>
      <c r="BH250" s="2"/>
      <c r="BI250" s="2"/>
      <c r="BJ250" s="2"/>
      <c r="BK250" s="2"/>
    </row>
    <row r="251" spans="1:63" s="1" customFormat="1" outlineLevel="1">
      <c r="A251" s="1" t="s">
        <v>1562</v>
      </c>
      <c r="B251" s="65"/>
      <c r="C251" s="300">
        <f t="shared" ref="C251:AG251" si="155">C246-$C246</f>
        <v>0</v>
      </c>
      <c r="D251" s="300">
        <f t="shared" si="155"/>
        <v>3.4039389417713818E-3</v>
      </c>
      <c r="E251" s="300">
        <f t="shared" si="155"/>
        <v>7.3024491368407773E-3</v>
      </c>
      <c r="F251" s="300">
        <f t="shared" si="155"/>
        <v>1.1702537479041191E-2</v>
      </c>
      <c r="G251" s="300">
        <f t="shared" si="155"/>
        <v>1.6605035663419511E-2</v>
      </c>
      <c r="H251" s="300">
        <f t="shared" si="155"/>
        <v>2.2004216797951958E-2</v>
      </c>
      <c r="I251" s="300">
        <f t="shared" si="155"/>
        <v>2.7960200361766285E-2</v>
      </c>
      <c r="J251" s="300">
        <f t="shared" si="155"/>
        <v>3.449496036906459E-2</v>
      </c>
      <c r="K251" s="300">
        <f t="shared" si="155"/>
        <v>4.1630054873085923E-2</v>
      </c>
      <c r="L251" s="300">
        <f t="shared" si="155"/>
        <v>4.9386544691289419E-2</v>
      </c>
      <c r="M251" s="300">
        <f t="shared" si="155"/>
        <v>5.7784910750598939E-2</v>
      </c>
      <c r="N251" s="300">
        <f t="shared" si="155"/>
        <v>7.2831823663293618E-2</v>
      </c>
      <c r="O251" s="300">
        <f t="shared" si="155"/>
        <v>8.9037192952566874E-2</v>
      </c>
      <c r="P251" s="300">
        <f t="shared" si="155"/>
        <v>0.10636010457576073</v>
      </c>
      <c r="Q251" s="300">
        <f t="shared" si="155"/>
        <v>0.12474703533851901</v>
      </c>
      <c r="R251" s="300">
        <f t="shared" si="155"/>
        <v>0.14413190970019166</v>
      </c>
      <c r="S251" s="300">
        <f t="shared" si="155"/>
        <v>0.16474304223597677</v>
      </c>
      <c r="T251" s="300">
        <f t="shared" si="155"/>
        <v>0.18660694628630964</v>
      </c>
      <c r="U251" s="300">
        <f t="shared" si="155"/>
        <v>0.20974995788612089</v>
      </c>
      <c r="V251" s="300">
        <f t="shared" si="155"/>
        <v>0.23419821306939409</v>
      </c>
      <c r="W251" s="300">
        <f t="shared" si="155"/>
        <v>0.25997762492407217</v>
      </c>
      <c r="X251" s="300">
        <f t="shared" si="155"/>
        <v>0.29886499455250859</v>
      </c>
      <c r="Y251" s="300">
        <f t="shared" si="155"/>
        <v>0.33997713181861183</v>
      </c>
      <c r="Z251" s="300">
        <f t="shared" si="155"/>
        <v>0.38335815512189791</v>
      </c>
      <c r="AA251" s="300">
        <f t="shared" si="155"/>
        <v>0.42905185981503774</v>
      </c>
      <c r="AB251" s="300">
        <f t="shared" si="155"/>
        <v>0.47710168358046334</v>
      </c>
      <c r="AC251" s="300">
        <f t="shared" si="155"/>
        <v>0.52755571393408363</v>
      </c>
      <c r="AD251" s="300">
        <f t="shared" si="155"/>
        <v>0.58045807567859953</v>
      </c>
      <c r="AE251" s="300">
        <f t="shared" si="155"/>
        <v>0.63585257411162621</v>
      </c>
      <c r="AF251" s="300">
        <f t="shared" si="155"/>
        <v>0.6937826635791694</v>
      </c>
      <c r="AG251" s="300">
        <f t="shared" si="155"/>
        <v>0.75429141574799741</v>
      </c>
      <c r="AH251" s="245"/>
      <c r="AI251" s="423"/>
      <c r="AJ251" s="424"/>
      <c r="AL251" s="221"/>
      <c r="AM251" s="124"/>
      <c r="AN251" s="124"/>
      <c r="AO251" s="124"/>
      <c r="BD251" s="124"/>
      <c r="BE251" s="124"/>
      <c r="BF251" s="124"/>
      <c r="BG251" s="124"/>
      <c r="BH251" s="124"/>
      <c r="BI251" s="124"/>
      <c r="BJ251" s="124"/>
      <c r="BK251" s="124"/>
    </row>
    <row r="252" spans="1:63" outlineLevel="1">
      <c r="A252" s="4" t="s">
        <v>474</v>
      </c>
      <c r="C252" s="230">
        <f t="shared" ref="C252:AG252" si="156">C247-$C247</f>
        <v>0</v>
      </c>
      <c r="D252" s="230">
        <f t="shared" si="156"/>
        <v>1.8305658884860726E-4</v>
      </c>
      <c r="E252" s="230">
        <f t="shared" si="156"/>
        <v>5.2113268755942497E-4</v>
      </c>
      <c r="F252" s="230">
        <f t="shared" si="156"/>
        <v>1.0441452623459258E-3</v>
      </c>
      <c r="G252" s="230">
        <f t="shared" si="156"/>
        <v>1.7820774221027973E-3</v>
      </c>
      <c r="H252" s="230">
        <f t="shared" si="156"/>
        <v>2.7643264328382445E-3</v>
      </c>
      <c r="I252" s="230">
        <f t="shared" si="156"/>
        <v>4.0276890170486742E-3</v>
      </c>
      <c r="J252" s="230">
        <f t="shared" si="156"/>
        <v>5.608434225122738E-3</v>
      </c>
      <c r="K252" s="230">
        <f t="shared" si="156"/>
        <v>7.5445124865493622E-3</v>
      </c>
      <c r="L252" s="230">
        <f t="shared" si="156"/>
        <v>9.8754997163915219E-3</v>
      </c>
      <c r="M252" s="230">
        <f t="shared" si="156"/>
        <v>1.2642531452019856E-2</v>
      </c>
      <c r="N252" s="230">
        <f t="shared" si="156"/>
        <v>1.7197556511037694E-2</v>
      </c>
      <c r="O252" s="230">
        <f t="shared" si="156"/>
        <v>2.262729137769998E-2</v>
      </c>
      <c r="P252" s="230">
        <f t="shared" si="156"/>
        <v>2.8990258131383066E-2</v>
      </c>
      <c r="Q252" s="230">
        <f t="shared" si="156"/>
        <v>3.633821534438713E-2</v>
      </c>
      <c r="R252" s="230">
        <f t="shared" si="156"/>
        <v>4.4714921554017989E-2</v>
      </c>
      <c r="S252" s="230">
        <f t="shared" si="156"/>
        <v>5.4252528986104158E-2</v>
      </c>
      <c r="T252" s="230">
        <f t="shared" si="156"/>
        <v>6.5033139935750647E-2</v>
      </c>
      <c r="U252" s="230">
        <f t="shared" si="156"/>
        <v>7.7140901786408325E-2</v>
      </c>
      <c r="V252" s="230">
        <f t="shared" si="156"/>
        <v>9.0661980810692461E-2</v>
      </c>
      <c r="W252" s="230">
        <f t="shared" si="156"/>
        <v>0.10568453316456038</v>
      </c>
      <c r="X252" s="230">
        <f t="shared" si="156"/>
        <v>0.1272050031872865</v>
      </c>
      <c r="Y252" s="230">
        <f t="shared" si="156"/>
        <v>0.15124489903280147</v>
      </c>
      <c r="Z252" s="230">
        <f t="shared" si="156"/>
        <v>0.17795709308029478</v>
      </c>
      <c r="AA252" s="230">
        <f t="shared" si="156"/>
        <v>0.20749781219103247</v>
      </c>
      <c r="AB252" s="230">
        <f t="shared" si="156"/>
        <v>0.24002658838498273</v>
      </c>
      <c r="AC252" s="230">
        <f t="shared" si="156"/>
        <v>0.27570881180973744</v>
      </c>
      <c r="AD252" s="230">
        <f t="shared" si="156"/>
        <v>0.31471156966762553</v>
      </c>
      <c r="AE252" s="230">
        <f t="shared" si="156"/>
        <v>0.35720528043282596</v>
      </c>
      <c r="AF252" s="230">
        <f t="shared" si="156"/>
        <v>0.40336364395826668</v>
      </c>
      <c r="AG252" s="230">
        <f t="shared" si="156"/>
        <v>0.4533635876635595</v>
      </c>
      <c r="AH252" s="245"/>
      <c r="AI252" s="133"/>
      <c r="AJ252" s="211"/>
      <c r="AL252" s="108"/>
      <c r="AM252" s="2"/>
      <c r="AN252" s="2"/>
      <c r="AO252" s="2"/>
      <c r="BC252" s="1"/>
      <c r="BD252" s="2"/>
      <c r="BE252" s="2"/>
      <c r="BF252" s="2"/>
      <c r="BG252" s="2"/>
      <c r="BH252" s="2"/>
      <c r="BI252" s="2"/>
      <c r="BJ252" s="2"/>
      <c r="BK252" s="2"/>
    </row>
    <row r="253" spans="1:63" outlineLevel="1">
      <c r="A253" s="4" t="s">
        <v>478</v>
      </c>
      <c r="C253" s="230">
        <f t="shared" ref="C253:AG253" si="157">C248-$C248</f>
        <v>0</v>
      </c>
      <c r="D253" s="230">
        <f t="shared" si="157"/>
        <v>1.7835521070225274E-3</v>
      </c>
      <c r="E253" s="230">
        <f t="shared" si="157"/>
        <v>3.7786189996948942E-3</v>
      </c>
      <c r="F253" s="230">
        <f t="shared" si="157"/>
        <v>5.9779173710611932E-3</v>
      </c>
      <c r="G253" s="230">
        <f t="shared" si="157"/>
        <v>8.3707806324832788E-3</v>
      </c>
      <c r="H253" s="230">
        <f t="shared" si="157"/>
        <v>1.0943192167623048E-2</v>
      </c>
      <c r="I253" s="230">
        <f t="shared" si="157"/>
        <v>1.3714205850270311E-2</v>
      </c>
      <c r="J253" s="230">
        <f t="shared" si="157"/>
        <v>1.6682323531012042E-2</v>
      </c>
      <c r="K253" s="230">
        <f t="shared" si="157"/>
        <v>1.9845197291304073E-2</v>
      </c>
      <c r="L253" s="230">
        <f t="shared" si="157"/>
        <v>2.3199605964865731E-2</v>
      </c>
      <c r="M253" s="230">
        <f t="shared" si="157"/>
        <v>2.6741434605697105E-2</v>
      </c>
      <c r="N253" s="230">
        <f t="shared" si="157"/>
        <v>3.3236414718862038E-2</v>
      </c>
      <c r="O253" s="230">
        <f t="shared" si="157"/>
        <v>4.0037113045437028E-2</v>
      </c>
      <c r="P253" s="230">
        <f t="shared" si="157"/>
        <v>4.7099573655639486E-2</v>
      </c>
      <c r="Q253" s="230">
        <f t="shared" si="157"/>
        <v>5.4375490557574825E-2</v>
      </c>
      <c r="R253" s="230">
        <f t="shared" si="157"/>
        <v>6.181269714910665E-2</v>
      </c>
      <c r="S253" s="230">
        <f t="shared" si="157"/>
        <v>6.9486368625459635E-2</v>
      </c>
      <c r="T253" s="230">
        <f t="shared" si="157"/>
        <v>7.7380478991916149E-2</v>
      </c>
      <c r="U253" s="230">
        <f t="shared" si="157"/>
        <v>8.5478147413574901E-2</v>
      </c>
      <c r="V253" s="230">
        <f t="shared" si="157"/>
        <v>9.3761635586791472E-2</v>
      </c>
      <c r="W253" s="230">
        <f t="shared" si="157"/>
        <v>0.10221234601564731</v>
      </c>
      <c r="X253" s="230">
        <f t="shared" si="157"/>
        <v>0.11538291559514978</v>
      </c>
      <c r="Y253" s="230">
        <f t="shared" si="157"/>
        <v>0.12882925332470749</v>
      </c>
      <c r="Z253" s="230">
        <f t="shared" si="157"/>
        <v>0.14251866435491475</v>
      </c>
      <c r="AA253" s="230">
        <f t="shared" si="157"/>
        <v>0.1564170341495475</v>
      </c>
      <c r="AB253" s="230">
        <f t="shared" si="157"/>
        <v>0.17048882794466094</v>
      </c>
      <c r="AC253" s="230">
        <f t="shared" si="157"/>
        <v>0.18469886763598717</v>
      </c>
      <c r="AD253" s="230">
        <f t="shared" si="157"/>
        <v>0.19900919042242454</v>
      </c>
      <c r="AE253" s="230">
        <f t="shared" si="157"/>
        <v>0.21338042434974788</v>
      </c>
      <c r="AF253" s="230">
        <f t="shared" si="157"/>
        <v>0.2277717897089156</v>
      </c>
      <c r="AG253" s="230">
        <f t="shared" si="157"/>
        <v>0.2421411017347932</v>
      </c>
      <c r="AH253" s="245"/>
      <c r="AI253" s="133"/>
      <c r="AJ253" s="211"/>
      <c r="AL253" s="108"/>
      <c r="AM253" s="2"/>
      <c r="AN253" s="2"/>
      <c r="AO253" s="2"/>
      <c r="BC253" s="1"/>
      <c r="BD253" s="2"/>
      <c r="BE253" s="2"/>
      <c r="BF253" s="2"/>
      <c r="BG253" s="2"/>
      <c r="BH253" s="2"/>
      <c r="BI253" s="2"/>
      <c r="BJ253" s="2"/>
      <c r="BK253" s="2"/>
    </row>
    <row r="254" spans="1:63" outlineLevel="1">
      <c r="A254" s="4" t="s">
        <v>745</v>
      </c>
      <c r="C254" s="230">
        <f t="shared" ref="C254:AG254" si="158">C249-$C249</f>
        <v>0</v>
      </c>
      <c r="D254" s="230">
        <f t="shared" si="158"/>
        <v>1.3406348918065217E-3</v>
      </c>
      <c r="E254" s="230">
        <f t="shared" si="158"/>
        <v>2.8004610642172797E-3</v>
      </c>
      <c r="F254" s="230">
        <f t="shared" si="158"/>
        <v>4.3648496466301709E-3</v>
      </c>
      <c r="G254" s="230">
        <f t="shared" si="158"/>
        <v>6.0165052628869944E-3</v>
      </c>
      <c r="H254" s="230">
        <f t="shared" si="158"/>
        <v>7.7356866830224783E-3</v>
      </c>
      <c r="I254" s="230">
        <f t="shared" si="158"/>
        <v>9.5263149481691588E-3</v>
      </c>
      <c r="J254" s="230">
        <f t="shared" si="158"/>
        <v>1.1376390663542214E-2</v>
      </c>
      <c r="K254" s="230">
        <f t="shared" si="158"/>
        <v>1.3272747713868091E-2</v>
      </c>
      <c r="L254" s="230">
        <f t="shared" si="158"/>
        <v>1.5201051581812074E-2</v>
      </c>
      <c r="M254" s="230">
        <f t="shared" si="158"/>
        <v>1.7145802947827311E-2</v>
      </c>
      <c r="N254" s="230">
        <f t="shared" si="158"/>
        <v>2.0867052189662429E-2</v>
      </c>
      <c r="O254" s="230">
        <f t="shared" si="158"/>
        <v>2.4566339737002198E-2</v>
      </c>
      <c r="P254" s="230">
        <f t="shared" si="158"/>
        <v>2.8191808050899686E-2</v>
      </c>
      <c r="Q254" s="230">
        <f t="shared" si="158"/>
        <v>3.1690215621603082E-2</v>
      </c>
      <c r="R254" s="230">
        <f t="shared" si="158"/>
        <v>3.5007689009620042E-2</v>
      </c>
      <c r="S254" s="230">
        <f t="shared" si="158"/>
        <v>3.8163586838977172E-2</v>
      </c>
      <c r="T254" s="230">
        <f t="shared" si="158"/>
        <v>4.1120861921933018E-2</v>
      </c>
      <c r="U254" s="230">
        <f t="shared" si="158"/>
        <v>4.3841187805178441E-2</v>
      </c>
      <c r="V254" s="230">
        <f t="shared" si="158"/>
        <v>4.6284964534730466E-2</v>
      </c>
      <c r="W254" s="230">
        <f t="shared" si="158"/>
        <v>4.8411325966700267E-2</v>
      </c>
      <c r="X254" s="230">
        <f t="shared" si="158"/>
        <v>5.2290238769108599E-2</v>
      </c>
      <c r="Y254" s="230">
        <f t="shared" si="158"/>
        <v>5.5632763403558855E-2</v>
      </c>
      <c r="Z254" s="230">
        <f t="shared" si="158"/>
        <v>5.8367685581789869E-2</v>
      </c>
      <c r="AA254" s="230">
        <f t="shared" si="158"/>
        <v>6.0421678974566309E-2</v>
      </c>
      <c r="AB254" s="230">
        <f t="shared" si="158"/>
        <v>6.1719319513013793E-2</v>
      </c>
      <c r="AC254" s="230">
        <f t="shared" si="158"/>
        <v>6.2183713320750109E-2</v>
      </c>
      <c r="AD254" s="230">
        <f t="shared" si="158"/>
        <v>6.1735281416598439E-2</v>
      </c>
      <c r="AE254" s="230">
        <f t="shared" si="158"/>
        <v>6.0292347947914632E-2</v>
      </c>
      <c r="AF254" s="230">
        <f t="shared" si="158"/>
        <v>5.7771156179056884E-2</v>
      </c>
      <c r="AG254" s="230">
        <f t="shared" si="158"/>
        <v>5.40858866671051E-2</v>
      </c>
      <c r="AH254" s="245"/>
      <c r="AI254" s="133"/>
      <c r="AJ254" s="211"/>
      <c r="AL254" s="108"/>
      <c r="AM254" s="2"/>
      <c r="AN254" s="2"/>
      <c r="AO254" s="2"/>
      <c r="BC254" s="1"/>
      <c r="BD254" s="2"/>
      <c r="BE254" s="2"/>
      <c r="BF254" s="2"/>
      <c r="BG254" s="2"/>
      <c r="BH254" s="2"/>
      <c r="BI254" s="2"/>
      <c r="BJ254" s="2"/>
      <c r="BK254" s="2"/>
    </row>
    <row r="255" spans="1:63" outlineLevel="1">
      <c r="A255" s="4" t="s">
        <v>1561</v>
      </c>
      <c r="C255" s="230">
        <f t="shared" ref="C255:AG255" si="159">C250-$C250</f>
        <v>0</v>
      </c>
      <c r="D255" s="230">
        <f t="shared" si="159"/>
        <v>9.6695354093725852E-5</v>
      </c>
      <c r="E255" s="230">
        <f t="shared" si="159"/>
        <v>2.0223638536917863E-4</v>
      </c>
      <c r="F255" s="230">
        <f t="shared" si="159"/>
        <v>3.1562519900390265E-4</v>
      </c>
      <c r="G255" s="230">
        <f t="shared" si="159"/>
        <v>4.3567234594644094E-4</v>
      </c>
      <c r="H255" s="230">
        <f t="shared" si="159"/>
        <v>5.6101151446818825E-4</v>
      </c>
      <c r="I255" s="230">
        <f t="shared" si="159"/>
        <v>6.9199054627814074E-4</v>
      </c>
      <c r="J255" s="230">
        <f t="shared" si="159"/>
        <v>8.2781194938758604E-4</v>
      </c>
      <c r="K255" s="230">
        <f t="shared" si="159"/>
        <v>9.6759738136439747E-4</v>
      </c>
      <c r="L255" s="230">
        <f t="shared" si="159"/>
        <v>1.1103874282200957E-3</v>
      </c>
      <c r="M255" s="230">
        <f t="shared" si="159"/>
        <v>1.2551417450546588E-3</v>
      </c>
      <c r="N255" s="230">
        <f t="shared" si="159"/>
        <v>1.5308002437314509E-3</v>
      </c>
      <c r="O255" s="230">
        <f t="shared" si="159"/>
        <v>1.806448792427663E-3</v>
      </c>
      <c r="P255" s="230">
        <f t="shared" si="159"/>
        <v>2.0784647378384795E-3</v>
      </c>
      <c r="Q255" s="230">
        <f t="shared" si="159"/>
        <v>2.3431138149539697E-3</v>
      </c>
      <c r="R255" s="230">
        <f t="shared" si="159"/>
        <v>2.5966019874469814E-3</v>
      </c>
      <c r="S255" s="230">
        <f t="shared" si="159"/>
        <v>2.8405577854358176E-3</v>
      </c>
      <c r="T255" s="230">
        <f t="shared" si="159"/>
        <v>3.0724654367098527E-3</v>
      </c>
      <c r="U255" s="230">
        <f t="shared" si="159"/>
        <v>3.2897208809592239E-3</v>
      </c>
      <c r="V255" s="230">
        <f t="shared" si="159"/>
        <v>3.4896321371797089E-3</v>
      </c>
      <c r="W255" s="230">
        <f t="shared" si="159"/>
        <v>3.6694197771642107E-3</v>
      </c>
      <c r="X255" s="230">
        <f t="shared" si="159"/>
        <v>3.9868370009637074E-3</v>
      </c>
      <c r="Y255" s="230">
        <f t="shared" si="159"/>
        <v>4.2702160575439916E-3</v>
      </c>
      <c r="Z255" s="230">
        <f t="shared" si="159"/>
        <v>4.5147121048984811E-3</v>
      </c>
      <c r="AA255" s="230">
        <f t="shared" si="159"/>
        <v>4.7153344998914501E-3</v>
      </c>
      <c r="AB255" s="230">
        <f t="shared" si="159"/>
        <v>4.8669477378058624E-3</v>
      </c>
      <c r="AC255" s="230">
        <f t="shared" si="159"/>
        <v>4.9643211676089309E-3</v>
      </c>
      <c r="AD255" s="230">
        <f t="shared" si="159"/>
        <v>5.0020341719510071E-3</v>
      </c>
      <c r="AE255" s="230">
        <f t="shared" si="159"/>
        <v>4.9745213811377281E-3</v>
      </c>
      <c r="AF255" s="230">
        <f t="shared" si="159"/>
        <v>4.8760737329301461E-3</v>
      </c>
      <c r="AG255" s="230">
        <f t="shared" si="159"/>
        <v>4.7008396825397487E-3</v>
      </c>
      <c r="AH255" s="245"/>
      <c r="AI255" s="133"/>
      <c r="AJ255" s="211"/>
      <c r="AL255" s="108"/>
      <c r="AM255" s="2"/>
      <c r="AN255" s="2"/>
      <c r="AO255" s="2"/>
      <c r="BC255" s="1"/>
      <c r="BD255" s="2"/>
      <c r="BE255" s="2"/>
      <c r="BF255" s="2"/>
      <c r="BG255" s="2"/>
      <c r="BH255" s="2"/>
      <c r="BI255" s="2"/>
      <c r="BJ255" s="2"/>
      <c r="BK255" s="2"/>
    </row>
    <row r="256" spans="1:63" outlineLevel="1">
      <c r="AJ256" s="211"/>
    </row>
    <row r="257" spans="1:63" s="200" customFormat="1" ht="16" thickBot="1">
      <c r="A257" s="200" t="s">
        <v>1351</v>
      </c>
      <c r="B257" s="215"/>
      <c r="C257" s="224">
        <f>C258</f>
        <v>0.05</v>
      </c>
      <c r="D257" s="224">
        <f t="shared" ref="D257:AG257" si="160">D258</f>
        <v>5.2260994000770548E-2</v>
      </c>
      <c r="E257" s="224">
        <f t="shared" si="160"/>
        <v>5.4521988001541094E-2</v>
      </c>
      <c r="F257" s="224">
        <f t="shared" si="160"/>
        <v>5.6782982002311633E-2</v>
      </c>
      <c r="G257" s="224">
        <f t="shared" si="160"/>
        <v>5.9043976003082178E-2</v>
      </c>
      <c r="H257" s="224">
        <f t="shared" si="160"/>
        <v>6.1304970003852724E-2</v>
      </c>
      <c r="I257" s="224">
        <f t="shared" si="160"/>
        <v>6.3565964004623277E-2</v>
      </c>
      <c r="J257" s="224">
        <f t="shared" si="160"/>
        <v>6.5826958005393815E-2</v>
      </c>
      <c r="K257" s="224">
        <f t="shared" si="160"/>
        <v>6.8087952006164354E-2</v>
      </c>
      <c r="L257" s="224">
        <f t="shared" si="160"/>
        <v>7.0348946006934907E-2</v>
      </c>
      <c r="M257" s="224">
        <f t="shared" si="160"/>
        <v>7.2609940007705445E-2</v>
      </c>
      <c r="N257" s="224">
        <f t="shared" si="160"/>
        <v>7.7375419670867973E-2</v>
      </c>
      <c r="O257" s="224">
        <f t="shared" si="160"/>
        <v>8.2140899334030501E-2</v>
      </c>
      <c r="P257" s="224">
        <f t="shared" si="160"/>
        <v>8.6906378997193029E-2</v>
      </c>
      <c r="Q257" s="224">
        <f t="shared" si="160"/>
        <v>9.1671858660355557E-2</v>
      </c>
      <c r="R257" s="224">
        <f t="shared" si="160"/>
        <v>9.6437338323518085E-2</v>
      </c>
      <c r="S257" s="224">
        <f t="shared" si="160"/>
        <v>0.10120281798668061</v>
      </c>
      <c r="T257" s="224">
        <f t="shared" si="160"/>
        <v>0.10596829764984314</v>
      </c>
      <c r="U257" s="224">
        <f t="shared" si="160"/>
        <v>0.11073377731300567</v>
      </c>
      <c r="V257" s="224">
        <f t="shared" si="160"/>
        <v>0.1154992569761682</v>
      </c>
      <c r="W257" s="224">
        <f t="shared" si="160"/>
        <v>0.12026473663933072</v>
      </c>
      <c r="X257" s="224">
        <f t="shared" si="160"/>
        <v>0.12823826297539764</v>
      </c>
      <c r="Y257" s="224">
        <f t="shared" si="160"/>
        <v>0.13621178931146458</v>
      </c>
      <c r="Z257" s="224">
        <f t="shared" si="160"/>
        <v>0.14418531564753151</v>
      </c>
      <c r="AA257" s="224">
        <f t="shared" si="160"/>
        <v>0.15215884198359844</v>
      </c>
      <c r="AB257" s="224">
        <f t="shared" si="160"/>
        <v>0.16013236831966537</v>
      </c>
      <c r="AC257" s="224">
        <f t="shared" si="160"/>
        <v>0.16810589465573231</v>
      </c>
      <c r="AD257" s="224">
        <f t="shared" si="160"/>
        <v>0.17607942099179924</v>
      </c>
      <c r="AE257" s="224">
        <f t="shared" si="160"/>
        <v>0.18405294732786615</v>
      </c>
      <c r="AF257" s="224">
        <f t="shared" si="160"/>
        <v>0.19202647366393311</v>
      </c>
      <c r="AG257" s="224">
        <f t="shared" si="160"/>
        <v>0.2</v>
      </c>
      <c r="AJ257" s="231" t="s">
        <v>1331</v>
      </c>
      <c r="AL257" s="217"/>
      <c r="AM257" s="225"/>
      <c r="AN257" s="225"/>
      <c r="AO257" s="225"/>
    </row>
    <row r="258" spans="1:63" ht="16" outlineLevel="2" thickTop="1">
      <c r="A258" t="s">
        <v>1352</v>
      </c>
      <c r="B258" s="54" t="s">
        <v>462</v>
      </c>
      <c r="C258" s="113">
        <v>0.05</v>
      </c>
      <c r="D258" s="110">
        <f>$C258+($M258-$C258)/10*(D$1-$C$1)</f>
        <v>5.2260994000770548E-2</v>
      </c>
      <c r="E258" s="110">
        <f t="shared" ref="E258:L258" si="161">$C258+($M258-$C258)/10*(E$1-$C$1)</f>
        <v>5.4521988001541094E-2</v>
      </c>
      <c r="F258" s="110">
        <f t="shared" si="161"/>
        <v>5.6782982002311633E-2</v>
      </c>
      <c r="G258" s="110">
        <f t="shared" si="161"/>
        <v>5.9043976003082178E-2</v>
      </c>
      <c r="H258" s="110">
        <f t="shared" si="161"/>
        <v>6.1304970003852724E-2</v>
      </c>
      <c r="I258" s="110">
        <f t="shared" si="161"/>
        <v>6.3565964004623277E-2</v>
      </c>
      <c r="J258" s="110">
        <f t="shared" si="161"/>
        <v>6.5826958005393815E-2</v>
      </c>
      <c r="K258" s="110">
        <f t="shared" si="161"/>
        <v>6.8087952006164354E-2</v>
      </c>
      <c r="L258" s="110">
        <f t="shared" si="161"/>
        <v>7.0348946006934907E-2</v>
      </c>
      <c r="M258" s="121">
        <f>(M$52-$C$52)/($AG$52-$C$52)*($AG258-$C258)+$C258</f>
        <v>7.2609940007705445E-2</v>
      </c>
      <c r="N258" s="121">
        <f>$M258+($W258-$M258)/10*(N$1-$M$1)</f>
        <v>7.7375419670867973E-2</v>
      </c>
      <c r="O258" s="121">
        <f t="shared" ref="O258:U258" si="162">$M258+($W258-$M258)/10*(O$1-$M$1)</f>
        <v>8.2140899334030501E-2</v>
      </c>
      <c r="P258" s="121">
        <f t="shared" si="162"/>
        <v>8.6906378997193029E-2</v>
      </c>
      <c r="Q258" s="121">
        <f t="shared" si="162"/>
        <v>9.1671858660355557E-2</v>
      </c>
      <c r="R258" s="121">
        <f t="shared" si="162"/>
        <v>9.6437338323518085E-2</v>
      </c>
      <c r="S258" s="121">
        <f t="shared" si="162"/>
        <v>0.10120281798668061</v>
      </c>
      <c r="T258" s="121">
        <f t="shared" si="162"/>
        <v>0.10596829764984314</v>
      </c>
      <c r="U258" s="121">
        <f t="shared" si="162"/>
        <v>0.11073377731300567</v>
      </c>
      <c r="V258" s="121">
        <f>$M258+($W258-$M258)/10*(V$1-$M$1)</f>
        <v>0.1154992569761682</v>
      </c>
      <c r="W258" s="121">
        <f>(W$52-$C$52)/($AG$52-$C$52)*($AG258-$C258)+$C258</f>
        <v>0.12026473663933072</v>
      </c>
      <c r="X258" s="23">
        <f t="shared" ref="X258:AF258" si="163">$W258+($AG258-$W258)/10*(X$1-$W$1)</f>
        <v>0.12823826297539764</v>
      </c>
      <c r="Y258" s="23">
        <f t="shared" si="163"/>
        <v>0.13621178931146458</v>
      </c>
      <c r="Z258" s="23">
        <f t="shared" si="163"/>
        <v>0.14418531564753151</v>
      </c>
      <c r="AA258" s="23">
        <f t="shared" si="163"/>
        <v>0.15215884198359844</v>
      </c>
      <c r="AB258" s="23">
        <f t="shared" si="163"/>
        <v>0.16013236831966537</v>
      </c>
      <c r="AC258" s="23">
        <f t="shared" si="163"/>
        <v>0.16810589465573231</v>
      </c>
      <c r="AD258" s="23">
        <f t="shared" si="163"/>
        <v>0.17607942099179924</v>
      </c>
      <c r="AE258" s="23">
        <f t="shared" si="163"/>
        <v>0.18405294732786615</v>
      </c>
      <c r="AF258" s="23">
        <f t="shared" si="163"/>
        <v>0.19202647366393311</v>
      </c>
      <c r="AG258" s="106">
        <v>0.2</v>
      </c>
      <c r="AJ258" s="211" t="s">
        <v>1353</v>
      </c>
    </row>
    <row r="259" spans="1:63" outlineLevel="2">
      <c r="C259" s="113"/>
      <c r="D259" s="110"/>
      <c r="E259" s="110"/>
      <c r="F259" s="110"/>
      <c r="G259" s="110"/>
      <c r="H259" s="110"/>
      <c r="I259" s="110"/>
      <c r="J259" s="110"/>
      <c r="K259" s="110"/>
      <c r="L259" s="110"/>
      <c r="M259" s="121"/>
      <c r="N259" s="121"/>
      <c r="O259" s="121"/>
      <c r="P259" s="121"/>
      <c r="Q259" s="121"/>
      <c r="R259" s="121"/>
      <c r="S259" s="121"/>
      <c r="T259" s="121"/>
      <c r="U259" s="121"/>
      <c r="V259" s="121"/>
      <c r="W259" s="121"/>
      <c r="X259" s="23"/>
      <c r="Y259" s="23"/>
      <c r="Z259" s="23"/>
      <c r="AA259" s="23"/>
      <c r="AB259" s="23"/>
      <c r="AC259" s="23"/>
      <c r="AD259" s="23"/>
      <c r="AE259" s="23"/>
      <c r="AF259" s="23"/>
      <c r="AG259" s="106"/>
      <c r="AJ259" s="211"/>
    </row>
    <row r="260" spans="1:63" outlineLevel="1">
      <c r="A260" t="s">
        <v>1621</v>
      </c>
      <c r="C260" s="504">
        <f>('Overall recycling rates'!F88*'Yearly BTX'!D5+'Overall recycling rates'!G88*'Yearly BTX'!D6+'Overall recycling rates'!H88*'Yearly BTX'!D7)/'Yearly BTX'!D4</f>
        <v>1.0000000000000004</v>
      </c>
      <c r="D260" s="504">
        <f>C260-($C260-$AG260)/($AG$1-$C$1)</f>
        <v>1.0000000000000004</v>
      </c>
      <c r="E260" s="504">
        <f t="shared" ref="E260:AF260" si="164">D260-($C260-$AG260)/($AG$1-$C$1)</f>
        <v>1.0000000000000004</v>
      </c>
      <c r="F260" s="504">
        <f t="shared" si="164"/>
        <v>1.0000000000000004</v>
      </c>
      <c r="G260" s="504">
        <f t="shared" si="164"/>
        <v>1.0000000000000004</v>
      </c>
      <c r="H260" s="504">
        <f t="shared" si="164"/>
        <v>1.0000000000000004</v>
      </c>
      <c r="I260" s="504">
        <f t="shared" si="164"/>
        <v>1.0000000000000004</v>
      </c>
      <c r="J260" s="504">
        <f t="shared" si="164"/>
        <v>1.0000000000000004</v>
      </c>
      <c r="K260" s="504">
        <f t="shared" si="164"/>
        <v>1.0000000000000004</v>
      </c>
      <c r="L260" s="504">
        <f t="shared" si="164"/>
        <v>1.0000000000000004</v>
      </c>
      <c r="M260" s="504">
        <f t="shared" si="164"/>
        <v>1.0000000000000004</v>
      </c>
      <c r="N260" s="504">
        <f t="shared" si="164"/>
        <v>1.0000000000000004</v>
      </c>
      <c r="O260" s="504">
        <f t="shared" si="164"/>
        <v>1.0000000000000004</v>
      </c>
      <c r="P260" s="504">
        <f t="shared" si="164"/>
        <v>1.0000000000000004</v>
      </c>
      <c r="Q260" s="504">
        <f t="shared" si="164"/>
        <v>1.0000000000000004</v>
      </c>
      <c r="R260" s="504">
        <f t="shared" si="164"/>
        <v>1.0000000000000004</v>
      </c>
      <c r="S260" s="504">
        <f t="shared" si="164"/>
        <v>1.0000000000000004</v>
      </c>
      <c r="T260" s="504">
        <f t="shared" si="164"/>
        <v>1.0000000000000004</v>
      </c>
      <c r="U260" s="504">
        <f t="shared" si="164"/>
        <v>1.0000000000000004</v>
      </c>
      <c r="V260" s="504">
        <f t="shared" si="164"/>
        <v>1.0000000000000004</v>
      </c>
      <c r="W260" s="504">
        <f t="shared" si="164"/>
        <v>1.0000000000000004</v>
      </c>
      <c r="X260" s="504">
        <f t="shared" si="164"/>
        <v>1.0000000000000004</v>
      </c>
      <c r="Y260" s="504">
        <f t="shared" si="164"/>
        <v>1.0000000000000004</v>
      </c>
      <c r="Z260" s="504">
        <f t="shared" si="164"/>
        <v>1.0000000000000004</v>
      </c>
      <c r="AA260" s="504">
        <f t="shared" si="164"/>
        <v>1.0000000000000004</v>
      </c>
      <c r="AB260" s="504">
        <f t="shared" si="164"/>
        <v>1.0000000000000004</v>
      </c>
      <c r="AC260" s="504">
        <f t="shared" si="164"/>
        <v>1.0000000000000004</v>
      </c>
      <c r="AD260" s="504">
        <f t="shared" si="164"/>
        <v>1.0000000000000004</v>
      </c>
      <c r="AE260" s="504">
        <f t="shared" si="164"/>
        <v>1.0000000000000004</v>
      </c>
      <c r="AF260" s="504">
        <f t="shared" si="164"/>
        <v>1.0000000000000004</v>
      </c>
      <c r="AG260" s="504">
        <f>'Overall recycling rates'!F97</f>
        <v>1</v>
      </c>
      <c r="AI260" s="133"/>
      <c r="AJ260" s="211" t="s">
        <v>1582</v>
      </c>
      <c r="AL260" s="108"/>
      <c r="AM260" s="207"/>
      <c r="AN260" s="207"/>
      <c r="AO260" s="207"/>
      <c r="BC260" s="1"/>
      <c r="BD260" s="207"/>
      <c r="BE260" s="207"/>
      <c r="BF260" s="207"/>
      <c r="BG260" s="207"/>
      <c r="BH260" s="207"/>
      <c r="BI260" s="207"/>
      <c r="BJ260" s="207"/>
      <c r="BK260" s="207"/>
    </row>
    <row r="261" spans="1:63" outlineLevel="1">
      <c r="A261" t="s">
        <v>1639</v>
      </c>
      <c r="B261" s="54" t="s">
        <v>462</v>
      </c>
      <c r="C261" s="110">
        <f>C258*C260</f>
        <v>5.0000000000000024E-2</v>
      </c>
      <c r="D261" s="110">
        <f t="shared" ref="D261:AG261" si="165">D258*D260</f>
        <v>5.2260994000770569E-2</v>
      </c>
      <c r="E261" s="110">
        <f t="shared" si="165"/>
        <v>5.4521988001541115E-2</v>
      </c>
      <c r="F261" s="110">
        <f t="shared" si="165"/>
        <v>5.678298200231166E-2</v>
      </c>
      <c r="G261" s="110">
        <f t="shared" si="165"/>
        <v>5.9043976003082206E-2</v>
      </c>
      <c r="H261" s="110">
        <f t="shared" si="165"/>
        <v>6.1304970003852752E-2</v>
      </c>
      <c r="I261" s="110">
        <f t="shared" si="165"/>
        <v>6.3565964004623304E-2</v>
      </c>
      <c r="J261" s="110">
        <f t="shared" si="165"/>
        <v>6.5826958005393843E-2</v>
      </c>
      <c r="K261" s="110">
        <f t="shared" si="165"/>
        <v>6.8087952006164382E-2</v>
      </c>
      <c r="L261" s="110">
        <f t="shared" si="165"/>
        <v>7.0348946006934934E-2</v>
      </c>
      <c r="M261" s="110">
        <f t="shared" si="165"/>
        <v>7.2609940007705473E-2</v>
      </c>
      <c r="N261" s="110">
        <f t="shared" si="165"/>
        <v>7.7375419670868001E-2</v>
      </c>
      <c r="O261" s="110">
        <f t="shared" si="165"/>
        <v>8.2140899334030543E-2</v>
      </c>
      <c r="P261" s="110">
        <f t="shared" si="165"/>
        <v>8.6906378997193071E-2</v>
      </c>
      <c r="Q261" s="110">
        <f t="shared" si="165"/>
        <v>9.1671858660355598E-2</v>
      </c>
      <c r="R261" s="110">
        <f t="shared" si="165"/>
        <v>9.6437338323518126E-2</v>
      </c>
      <c r="S261" s="110">
        <f t="shared" si="165"/>
        <v>0.10120281798668065</v>
      </c>
      <c r="T261" s="110">
        <f t="shared" si="165"/>
        <v>0.10596829764984318</v>
      </c>
      <c r="U261" s="110">
        <f t="shared" si="165"/>
        <v>0.11073377731300572</v>
      </c>
      <c r="V261" s="110">
        <f t="shared" si="165"/>
        <v>0.11549925697616825</v>
      </c>
      <c r="W261" s="110">
        <f t="shared" si="165"/>
        <v>0.12026473663933078</v>
      </c>
      <c r="X261" s="110">
        <f t="shared" si="165"/>
        <v>0.1282382629753977</v>
      </c>
      <c r="Y261" s="110">
        <f t="shared" si="165"/>
        <v>0.13621178931146463</v>
      </c>
      <c r="Z261" s="110">
        <f t="shared" si="165"/>
        <v>0.14418531564753156</v>
      </c>
      <c r="AA261" s="110">
        <f t="shared" si="165"/>
        <v>0.1521588419835985</v>
      </c>
      <c r="AB261" s="110">
        <f t="shared" si="165"/>
        <v>0.16013236831966546</v>
      </c>
      <c r="AC261" s="110">
        <f t="shared" si="165"/>
        <v>0.16810589465573239</v>
      </c>
      <c r="AD261" s="110">
        <f t="shared" si="165"/>
        <v>0.17607942099179932</v>
      </c>
      <c r="AE261" s="110">
        <f t="shared" si="165"/>
        <v>0.18405294732786623</v>
      </c>
      <c r="AF261" s="110">
        <f t="shared" si="165"/>
        <v>0.19202647366393319</v>
      </c>
      <c r="AG261" s="110">
        <f t="shared" si="165"/>
        <v>0.2</v>
      </c>
      <c r="AJ261" s="211" t="s">
        <v>1349</v>
      </c>
    </row>
    <row r="262" spans="1:63" outlineLevel="1">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J262" s="211"/>
    </row>
    <row r="263" spans="1:63" s="1" customFormat="1" outlineLevel="1">
      <c r="A263" s="1" t="s">
        <v>228</v>
      </c>
      <c r="B263" s="65"/>
      <c r="C263" s="300">
        <f>C261*C46</f>
        <v>0.932943764462136</v>
      </c>
      <c r="D263" s="300">
        <f t="shared" ref="D263:AG263" si="166">D261*D46</f>
        <v>1.0078192353879303</v>
      </c>
      <c r="E263" s="300">
        <f t="shared" si="166"/>
        <v>1.08382562066178</v>
      </c>
      <c r="F263" s="300">
        <f t="shared" si="166"/>
        <v>1.1605201046417486</v>
      </c>
      <c r="G263" s="300">
        <f t="shared" si="166"/>
        <v>1.2374326168248078</v>
      </c>
      <c r="H263" s="300">
        <f t="shared" si="166"/>
        <v>1.3140704781747665</v>
      </c>
      <c r="I263" s="300">
        <f t="shared" si="166"/>
        <v>1.3929222623040205</v>
      </c>
      <c r="J263" s="300">
        <f t="shared" si="166"/>
        <v>1.4739654750131554</v>
      </c>
      <c r="K263" s="300">
        <f t="shared" si="166"/>
        <v>1.5571729594436001</v>
      </c>
      <c r="L263" s="300">
        <f t="shared" si="166"/>
        <v>1.6425128124551709</v>
      </c>
      <c r="M263" s="300">
        <f t="shared" si="166"/>
        <v>1.7299483116658347</v>
      </c>
      <c r="N263" s="300">
        <f t="shared" si="166"/>
        <v>1.8776090212103245</v>
      </c>
      <c r="O263" s="300">
        <f t="shared" si="166"/>
        <v>2.0263022408016971</v>
      </c>
      <c r="P263" s="300">
        <f t="shared" si="166"/>
        <v>2.1752785926454301</v>
      </c>
      <c r="Q263" s="300">
        <f t="shared" si="166"/>
        <v>2.3237631430391117</v>
      </c>
      <c r="R263" s="300">
        <f t="shared" si="166"/>
        <v>2.4709619215352689</v>
      </c>
      <c r="S263" s="300">
        <f t="shared" si="166"/>
        <v>2.6207821248443146</v>
      </c>
      <c r="T263" s="300">
        <f t="shared" si="166"/>
        <v>2.773219023702449</v>
      </c>
      <c r="U263" s="300">
        <f t="shared" si="166"/>
        <v>2.9282666445954595</v>
      </c>
      <c r="V263" s="300">
        <f t="shared" si="166"/>
        <v>3.0859177545538574</v>
      </c>
      <c r="W263" s="300">
        <f t="shared" si="166"/>
        <v>3.2461638465828653</v>
      </c>
      <c r="X263" s="300">
        <f t="shared" si="166"/>
        <v>3.4965022171913009</v>
      </c>
      <c r="Y263" s="300">
        <f t="shared" si="166"/>
        <v>3.7512151684389212</v>
      </c>
      <c r="Z263" s="300">
        <f t="shared" si="166"/>
        <v>4.0102959893122367</v>
      </c>
      <c r="AA263" s="300">
        <f t="shared" si="166"/>
        <v>4.2737361033098855</v>
      </c>
      <c r="AB263" s="300">
        <f t="shared" si="166"/>
        <v>4.5415250469280952</v>
      </c>
      <c r="AC263" s="300">
        <f t="shared" si="166"/>
        <v>4.8136959584043648</v>
      </c>
      <c r="AD263" s="300">
        <f t="shared" si="166"/>
        <v>5.0902424450172026</v>
      </c>
      <c r="AE263" s="300">
        <f t="shared" si="166"/>
        <v>5.3711564278238244</v>
      </c>
      <c r="AF263" s="300">
        <f t="shared" si="166"/>
        <v>5.6564281229768092</v>
      </c>
      <c r="AG263" s="300">
        <f t="shared" si="166"/>
        <v>5.9460460237433903</v>
      </c>
      <c r="AH263" s="245"/>
      <c r="AI263" s="423"/>
      <c r="AJ263" s="424"/>
      <c r="AL263" s="221"/>
      <c r="AM263" s="124"/>
      <c r="AN263" s="124"/>
      <c r="AO263" s="124"/>
      <c r="BD263" s="124"/>
      <c r="BE263" s="124"/>
      <c r="BF263" s="124"/>
      <c r="BG263" s="124"/>
      <c r="BH263" s="124"/>
      <c r="BI263" s="124"/>
      <c r="BJ263" s="124"/>
      <c r="BK263" s="124"/>
    </row>
    <row r="264" spans="1:63" outlineLevel="1">
      <c r="A264" s="4" t="s">
        <v>474</v>
      </c>
      <c r="C264" s="230">
        <f>C$263*'BTX recycling rates'!E90</f>
        <v>0</v>
      </c>
      <c r="D264" s="230">
        <f>D$263*'BTX recycling rates'!F90</f>
        <v>0</v>
      </c>
      <c r="E264" s="230">
        <f>E$263*'BTX recycling rates'!G90</f>
        <v>0</v>
      </c>
      <c r="F264" s="230">
        <f>F$263*'BTX recycling rates'!H90</f>
        <v>0</v>
      </c>
      <c r="G264" s="230">
        <f>G$263*'BTX recycling rates'!I90</f>
        <v>0</v>
      </c>
      <c r="H264" s="230">
        <f>H$263*'BTX recycling rates'!J90</f>
        <v>0</v>
      </c>
      <c r="I264" s="230">
        <f>I$263*'BTX recycling rates'!K90</f>
        <v>0</v>
      </c>
      <c r="J264" s="230">
        <f>J$263*'BTX recycling rates'!L90</f>
        <v>0</v>
      </c>
      <c r="K264" s="230">
        <f>K$263*'BTX recycling rates'!M90</f>
        <v>0</v>
      </c>
      <c r="L264" s="230">
        <f>L$263*'BTX recycling rates'!N90</f>
        <v>0</v>
      </c>
      <c r="M264" s="230">
        <f>M$263*'BTX recycling rates'!O90</f>
        <v>0</v>
      </c>
      <c r="N264" s="230">
        <f>N$263*'BTX recycling rates'!P90</f>
        <v>0</v>
      </c>
      <c r="O264" s="230">
        <f>O$263*'BTX recycling rates'!Q90</f>
        <v>0</v>
      </c>
      <c r="P264" s="230">
        <f>P$263*'BTX recycling rates'!R90</f>
        <v>0</v>
      </c>
      <c r="Q264" s="230">
        <f>Q$263*'BTX recycling rates'!S90</f>
        <v>0</v>
      </c>
      <c r="R264" s="230">
        <f>R$263*'BTX recycling rates'!T90</f>
        <v>0</v>
      </c>
      <c r="S264" s="230">
        <f>S$263*'BTX recycling rates'!U90</f>
        <v>0</v>
      </c>
      <c r="T264" s="230">
        <f>T$263*'BTX recycling rates'!V90</f>
        <v>0</v>
      </c>
      <c r="U264" s="230">
        <f>U$263*'BTX recycling rates'!W90</f>
        <v>0</v>
      </c>
      <c r="V264" s="230">
        <f>V$263*'BTX recycling rates'!X90</f>
        <v>0</v>
      </c>
      <c r="W264" s="230">
        <f>W$263*'BTX recycling rates'!Y90</f>
        <v>0</v>
      </c>
      <c r="X264" s="230">
        <f>X$263*'BTX recycling rates'!Z90</f>
        <v>0</v>
      </c>
      <c r="Y264" s="230">
        <f>Y$263*'BTX recycling rates'!AA90</f>
        <v>0</v>
      </c>
      <c r="Z264" s="230">
        <f>Z$263*'BTX recycling rates'!AB90</f>
        <v>0</v>
      </c>
      <c r="AA264" s="230">
        <f>AA$263*'BTX recycling rates'!AC90</f>
        <v>0</v>
      </c>
      <c r="AB264" s="230">
        <f>AB$263*'BTX recycling rates'!AD90</f>
        <v>0</v>
      </c>
      <c r="AC264" s="230">
        <f>AC$263*'BTX recycling rates'!AE90</f>
        <v>0</v>
      </c>
      <c r="AD264" s="230">
        <f>AD$263*'BTX recycling rates'!AF90</f>
        <v>0</v>
      </c>
      <c r="AE264" s="230">
        <f>AE$263*'BTX recycling rates'!AG90</f>
        <v>0</v>
      </c>
      <c r="AF264" s="230">
        <f>AF$263*'BTX recycling rates'!AH90</f>
        <v>0</v>
      </c>
      <c r="AG264" s="230">
        <f>AG$263*'BTX recycling rates'!AI90</f>
        <v>0</v>
      </c>
      <c r="AH264" s="245"/>
      <c r="AI264" s="133"/>
      <c r="AJ264" s="211"/>
      <c r="AL264" s="108"/>
      <c r="AM264" s="2"/>
      <c r="AN264" s="2"/>
      <c r="AO264" s="2"/>
      <c r="BC264" s="1"/>
      <c r="BD264" s="2"/>
      <c r="BE264" s="2"/>
      <c r="BF264" s="2"/>
      <c r="BG264" s="2"/>
      <c r="BH264" s="2"/>
      <c r="BI264" s="2"/>
      <c r="BJ264" s="2"/>
      <c r="BK264" s="2"/>
    </row>
    <row r="265" spans="1:63" outlineLevel="1">
      <c r="A265" s="4" t="s">
        <v>478</v>
      </c>
      <c r="C265" s="230">
        <f>C$263*'BTX recycling rates'!E91</f>
        <v>0.26788424563705671</v>
      </c>
      <c r="D265" s="230">
        <f>D$263*'BTX recycling rates'!F91</f>
        <v>0.28938388989186303</v>
      </c>
      <c r="E265" s="230">
        <f>E$263*'BTX recycling rates'!G91</f>
        <v>0.31120826340533336</v>
      </c>
      <c r="F265" s="230">
        <f>F$263*'BTX recycling rates'!H91</f>
        <v>0.33323021667637753</v>
      </c>
      <c r="G265" s="230">
        <f>G$263*'BTX recycling rates'!I91</f>
        <v>0.35531477427893382</v>
      </c>
      <c r="H265" s="230">
        <f>H$263*'BTX recycling rates'!J91</f>
        <v>0.37732046900245997</v>
      </c>
      <c r="I265" s="230">
        <f>I$263*'BTX recycling rates'!K91</f>
        <v>0.39996186660135941</v>
      </c>
      <c r="J265" s="230">
        <f>J$263*'BTX recycling rates'!L91</f>
        <v>0.42323250812079399</v>
      </c>
      <c r="K265" s="230">
        <f>K$263*'BTX recycling rates'!M91</f>
        <v>0.44712459577610675</v>
      </c>
      <c r="L265" s="230">
        <f>L$263*'BTX recycling rates'!N91</f>
        <v>0.47162896894158041</v>
      </c>
      <c r="M265" s="230">
        <f>M$263*'BTX recycling rates'!O91</f>
        <v>0.49673508320073062</v>
      </c>
      <c r="N265" s="230">
        <f>N$263*'BTX recycling rates'!P91</f>
        <v>0.53913418515449429</v>
      </c>
      <c r="O265" s="230">
        <f>O$263*'BTX recycling rates'!Q91</f>
        <v>0.58182976068529224</v>
      </c>
      <c r="P265" s="230">
        <f>P$263*'BTX recycling rates'!R91</f>
        <v>0.62460663443869291</v>
      </c>
      <c r="Q265" s="230">
        <f>Q$263*'BTX recycling rates'!S91</f>
        <v>0.66724229297048132</v>
      </c>
      <c r="R265" s="230">
        <f>R$263*'BTX recycling rates'!T91</f>
        <v>0.70950875665050062</v>
      </c>
      <c r="S265" s="230">
        <f>S$263*'BTX recycling rates'!U91</f>
        <v>0.75252793280392349</v>
      </c>
      <c r="T265" s="230">
        <f>T$263*'BTX recycling rates'!V91</f>
        <v>0.79629846347616207</v>
      </c>
      <c r="U265" s="230">
        <f>U$263*'BTX recycling rates'!W91</f>
        <v>0.84081863344020091</v>
      </c>
      <c r="V265" s="230">
        <f>V$263*'BTX recycling rates'!X91</f>
        <v>0.88608636583069278</v>
      </c>
      <c r="W265" s="230">
        <f>W$263*'BTX recycling rates'!Y91</f>
        <v>0.93209921796034478</v>
      </c>
      <c r="X265" s="230">
        <f>X$263*'BTX recycling rates'!Z91</f>
        <v>1.003981048483231</v>
      </c>
      <c r="Y265" s="230">
        <f>Y$263*'BTX recycling rates'!AA91</f>
        <v>1.077118990337953</v>
      </c>
      <c r="Z265" s="230">
        <f>Z$263*'BTX recycling rates'!AB91</f>
        <v>1.1515111165329228</v>
      </c>
      <c r="AA265" s="230">
        <f>AA$263*'BTX recycling rates'!AC91</f>
        <v>1.2271549644228186</v>
      </c>
      <c r="AB265" s="230">
        <f>AB$263*'BTX recycling rates'!AD91</f>
        <v>1.3040475295309268</v>
      </c>
      <c r="AC265" s="230">
        <f>AC$263*'BTX recycling rates'!AE91</f>
        <v>1.3821983271271838</v>
      </c>
      <c r="AD265" s="230">
        <f>AD$263*'BTX recycling rates'!AF91</f>
        <v>1.4616055216139479</v>
      </c>
      <c r="AE265" s="230">
        <f>AE$263*'BTX recycling rates'!AG91</f>
        <v>1.5422667932142118</v>
      </c>
      <c r="AF265" s="230">
        <f>AF$263*'BTX recycling rates'!AH91</f>
        <v>1.6241793326068936</v>
      </c>
      <c r="AG265" s="230">
        <f>AG$263*'BTX recycling rates'!AI91</f>
        <v>1.7073398357638794</v>
      </c>
      <c r="AH265" s="245"/>
      <c r="AI265" s="133"/>
      <c r="AJ265" s="211"/>
      <c r="AL265" s="108"/>
      <c r="AM265" s="2"/>
      <c r="AN265" s="2"/>
      <c r="AO265" s="2"/>
      <c r="BC265" s="1"/>
      <c r="BD265" s="2"/>
      <c r="BE265" s="2"/>
      <c r="BF265" s="2"/>
      <c r="BG265" s="2"/>
      <c r="BH265" s="2"/>
      <c r="BI265" s="2"/>
      <c r="BJ265" s="2"/>
      <c r="BK265" s="2"/>
    </row>
    <row r="266" spans="1:63" outlineLevel="1">
      <c r="A266" s="4" t="s">
        <v>745</v>
      </c>
      <c r="C266" s="230">
        <f>C$263*'BTX recycling rates'!E92</f>
        <v>0.51944039042749968</v>
      </c>
      <c r="D266" s="230">
        <f>D$263*'BTX recycling rates'!F92</f>
        <v>0.56112923099074674</v>
      </c>
      <c r="E266" s="230">
        <f>E$263*'BTX recycling rates'!G92</f>
        <v>0.60344773714893196</v>
      </c>
      <c r="F266" s="230">
        <f>F$263*'BTX recycling rates'!H92</f>
        <v>0.64614935992590417</v>
      </c>
      <c r="G266" s="230">
        <f>G$263*'BTX recycling rates'!I92</f>
        <v>0.68897237550194057</v>
      </c>
      <c r="H266" s="230">
        <f>H$263*'BTX recycling rates'!J92</f>
        <v>0.73164247217609735</v>
      </c>
      <c r="I266" s="230">
        <f>I$263*'BTX recycling rates'!K92</f>
        <v>0.77554522719115271</v>
      </c>
      <c r="J266" s="230">
        <f>J$263*'BTX recycling rates'!L92</f>
        <v>0.82066811632413483</v>
      </c>
      <c r="K266" s="230">
        <f>K$263*'BTX recycling rates'!M92</f>
        <v>0.86699601929689163</v>
      </c>
      <c r="L266" s="230">
        <f>L$263*'BTX recycling rates'!N92</f>
        <v>0.91451117321714148</v>
      </c>
      <c r="M266" s="230">
        <f>M$263*'BTX recycling rates'!O92</f>
        <v>0.96319313195598877</v>
      </c>
      <c r="N266" s="230">
        <f>N$263*'BTX recycling rates'!P92</f>
        <v>1.0454070225872332</v>
      </c>
      <c r="O266" s="230">
        <f>O$263*'BTX recycling rates'!Q92</f>
        <v>1.1281957896926047</v>
      </c>
      <c r="P266" s="230">
        <f>P$263*'BTX recycling rates'!R92</f>
        <v>1.2111421979477552</v>
      </c>
      <c r="Q266" s="230">
        <f>Q$263*'BTX recycling rates'!S92</f>
        <v>1.2938147831205735</v>
      </c>
      <c r="R266" s="230">
        <f>R$263*'BTX recycling rates'!T92</f>
        <v>1.3757714817824447</v>
      </c>
      <c r="S266" s="230">
        <f>S$263*'BTX recycling rates'!U92</f>
        <v>1.4591877260033861</v>
      </c>
      <c r="T266" s="230">
        <f>T$263*'BTX recycling rates'!V92</f>
        <v>1.5440608826443729</v>
      </c>
      <c r="U266" s="230">
        <f>U$263*'BTX recycling rates'!W92</f>
        <v>1.6303876257980208</v>
      </c>
      <c r="V266" s="230">
        <f>V$263*'BTX recycling rates'!X92</f>
        <v>1.7181639283228902</v>
      </c>
      <c r="W266" s="230">
        <f>W$263*'BTX recycling rates'!Y92</f>
        <v>1.8073850537312557</v>
      </c>
      <c r="X266" s="230">
        <f>X$263*'BTX recycling rates'!Z92</f>
        <v>1.946767367994108</v>
      </c>
      <c r="Y266" s="230">
        <f>Y$263*'BTX recycling rates'!AA92</f>
        <v>2.0885853423275162</v>
      </c>
      <c r="Z266" s="230">
        <f>Z$263*'BTX recycling rates'!AB92</f>
        <v>2.2328352402024425</v>
      </c>
      <c r="AA266" s="230">
        <f>AA$263*'BTX recycling rates'!AC92</f>
        <v>2.3795122864315856</v>
      </c>
      <c r="AB266" s="230">
        <f>AB$263*'BTX recycling rates'!AD92</f>
        <v>2.5286106551906129</v>
      </c>
      <c r="AC266" s="230">
        <f>AC$263*'BTX recycling rates'!AE92</f>
        <v>2.6801487970439419</v>
      </c>
      <c r="AD266" s="230">
        <f>AD$263*'BTX recycling rates'!AF92</f>
        <v>2.834123152679775</v>
      </c>
      <c r="AE266" s="230">
        <f>AE$263*'BTX recycling rates'!AG92</f>
        <v>2.9905292239393226</v>
      </c>
      <c r="AF266" s="230">
        <f>AF$263*'BTX recycling rates'!AH92</f>
        <v>3.1493615634143728</v>
      </c>
      <c r="AG266" s="230">
        <f>AG$263*'BTX recycling rates'!AI92</f>
        <v>3.3106137644360683</v>
      </c>
      <c r="AH266" s="245"/>
      <c r="AI266" s="133"/>
      <c r="AJ266" s="211"/>
      <c r="AL266" s="108"/>
      <c r="AM266" s="2"/>
      <c r="AN266" s="2"/>
      <c r="AO266" s="2"/>
      <c r="BC266" s="1"/>
      <c r="BD266" s="2"/>
      <c r="BE266" s="2"/>
      <c r="BF266" s="2"/>
      <c r="BG266" s="2"/>
      <c r="BH266" s="2"/>
      <c r="BI266" s="2"/>
      <c r="BJ266" s="2"/>
      <c r="BK266" s="2"/>
    </row>
    <row r="267" spans="1:63" outlineLevel="1">
      <c r="A267" s="4" t="s">
        <v>1561</v>
      </c>
      <c r="C267" s="230">
        <f>C$263*'BTX recycling rates'!E93</f>
        <v>0.14561912839757954</v>
      </c>
      <c r="D267" s="230">
        <f>D$263*'BTX recycling rates'!F93</f>
        <v>0.15730611450532042</v>
      </c>
      <c r="E267" s="230">
        <f>E$263*'BTX recycling rates'!G93</f>
        <v>0.16916962010751455</v>
      </c>
      <c r="F267" s="230">
        <f>F$263*'BTX recycling rates'!H93</f>
        <v>0.18114052803946679</v>
      </c>
      <c r="G267" s="230">
        <f>G$263*'BTX recycling rates'!I93</f>
        <v>0.19314546704393326</v>
      </c>
      <c r="H267" s="230">
        <f>H$263*'BTX recycling rates'!J93</f>
        <v>0.20510753699620901</v>
      </c>
      <c r="I267" s="230">
        <f>I$263*'BTX recycling rates'!K93</f>
        <v>0.21741516851150822</v>
      </c>
      <c r="J267" s="230">
        <f>J$263*'BTX recycling rates'!L93</f>
        <v>0.23006485056822648</v>
      </c>
      <c r="K267" s="230">
        <f>K$263*'BTX recycling rates'!M93</f>
        <v>0.24305234437060161</v>
      </c>
      <c r="L267" s="230">
        <f>L$263*'BTX recycling rates'!N93</f>
        <v>0.25637267029644883</v>
      </c>
      <c r="M267" s="230">
        <f>M$263*'BTX recycling rates'!O93</f>
        <v>0.27002009650911513</v>
      </c>
      <c r="N267" s="230">
        <f>N$263*'BTX recycling rates'!P93</f>
        <v>0.29306781346859689</v>
      </c>
      <c r="O267" s="230">
        <f>O$263*'BTX recycling rates'!Q93</f>
        <v>0.31627669042379991</v>
      </c>
      <c r="P267" s="230">
        <f>P$263*'BTX recycling rates'!R93</f>
        <v>0.33952976025898179</v>
      </c>
      <c r="Q267" s="230">
        <f>Q$263*'BTX recycling rates'!S93</f>
        <v>0.36270606694805657</v>
      </c>
      <c r="R267" s="230">
        <f>R$263*'BTX recycling rates'!T93</f>
        <v>0.38568168310232342</v>
      </c>
      <c r="S267" s="230">
        <f>S$263*'BTX recycling rates'!U93</f>
        <v>0.40906646603700458</v>
      </c>
      <c r="T267" s="230">
        <f>T$263*'BTX recycling rates'!V93</f>
        <v>0.43285967758191379</v>
      </c>
      <c r="U267" s="230">
        <f>U$263*'BTX recycling rates'!W93</f>
        <v>0.45706038535723742</v>
      </c>
      <c r="V267" s="230">
        <f>V$263*'BTX recycling rates'!X93</f>
        <v>0.48166746040027408</v>
      </c>
      <c r="W267" s="230">
        <f>W$263*'BTX recycling rates'!Y93</f>
        <v>0.50667957489126436</v>
      </c>
      <c r="X267" s="230">
        <f>X$263*'BTX recycling rates'!Z93</f>
        <v>0.54575380071396151</v>
      </c>
      <c r="Y267" s="230">
        <f>Y$263*'BTX recycling rates'!AA93</f>
        <v>0.58551083577345142</v>
      </c>
      <c r="Z267" s="230">
        <f>Z$263*'BTX recycling rates'!AB93</f>
        <v>0.62594963257687097</v>
      </c>
      <c r="AA267" s="230">
        <f>AA$263*'BTX recycling rates'!AC93</f>
        <v>0.66706885245548087</v>
      </c>
      <c r="AB267" s="230">
        <f>AB$263*'BTX recycling rates'!AD93</f>
        <v>0.70886686220655504</v>
      </c>
      <c r="AC267" s="230">
        <f>AC$263*'BTX recycling rates'!AE93</f>
        <v>0.75134883423323851</v>
      </c>
      <c r="AD267" s="230">
        <f>AD$263*'BTX recycling rates'!AF93</f>
        <v>0.7945137707234794</v>
      </c>
      <c r="AE267" s="230">
        <f>AE$263*'BTX recycling rates'!AG93</f>
        <v>0.83836041067028944</v>
      </c>
      <c r="AF267" s="230">
        <f>AF$263*'BTX recycling rates'!AH93</f>
        <v>0.88288722695554223</v>
      </c>
      <c r="AG267" s="230">
        <f>AG$263*'BTX recycling rates'!AI93</f>
        <v>0.92809242354344212</v>
      </c>
      <c r="AH267" s="245"/>
      <c r="AI267" s="133"/>
      <c r="AJ267" s="211"/>
      <c r="AL267" s="108"/>
      <c r="AM267" s="2"/>
      <c r="AN267" s="2"/>
      <c r="AO267" s="2"/>
      <c r="BC267" s="1"/>
      <c r="BD267" s="2"/>
      <c r="BE267" s="2"/>
      <c r="BF267" s="2"/>
      <c r="BG267" s="2"/>
      <c r="BH267" s="2"/>
      <c r="BI267" s="2"/>
      <c r="BJ267" s="2"/>
      <c r="BK267" s="2"/>
    </row>
    <row r="268" spans="1:63" s="1" customFormat="1" outlineLevel="1">
      <c r="A268" s="1" t="s">
        <v>1562</v>
      </c>
      <c r="B268" s="65"/>
      <c r="C268" s="300">
        <f t="shared" ref="C268:AG268" si="167">C263-$C263</f>
        <v>0</v>
      </c>
      <c r="D268" s="300">
        <f t="shared" si="167"/>
        <v>7.4875470925794274E-2</v>
      </c>
      <c r="E268" s="300">
        <f t="shared" si="167"/>
        <v>0.150881856199644</v>
      </c>
      <c r="F268" s="300">
        <f t="shared" si="167"/>
        <v>0.22757634017961259</v>
      </c>
      <c r="G268" s="300">
        <f t="shared" si="167"/>
        <v>0.30448885236267176</v>
      </c>
      <c r="H268" s="300">
        <f t="shared" si="167"/>
        <v>0.38112671371263052</v>
      </c>
      <c r="I268" s="300">
        <f t="shared" si="167"/>
        <v>0.45997849784188449</v>
      </c>
      <c r="J268" s="300">
        <f t="shared" si="167"/>
        <v>0.54102171055101944</v>
      </c>
      <c r="K268" s="300">
        <f t="shared" si="167"/>
        <v>0.62422919498146412</v>
      </c>
      <c r="L268" s="300">
        <f t="shared" si="167"/>
        <v>0.70956904799303488</v>
      </c>
      <c r="M268" s="300">
        <f t="shared" si="167"/>
        <v>0.79700454720369873</v>
      </c>
      <c r="N268" s="300">
        <f t="shared" si="167"/>
        <v>0.94466525674818846</v>
      </c>
      <c r="O268" s="300">
        <f t="shared" si="167"/>
        <v>1.093358476339561</v>
      </c>
      <c r="P268" s="300">
        <f t="shared" si="167"/>
        <v>1.242334828183294</v>
      </c>
      <c r="Q268" s="300">
        <f t="shared" si="167"/>
        <v>1.3908193785769756</v>
      </c>
      <c r="R268" s="300">
        <f t="shared" si="167"/>
        <v>1.5380181570731328</v>
      </c>
      <c r="S268" s="300">
        <f t="shared" si="167"/>
        <v>1.6878383603821785</v>
      </c>
      <c r="T268" s="300">
        <f t="shared" si="167"/>
        <v>1.8402752592403129</v>
      </c>
      <c r="U268" s="300">
        <f t="shared" si="167"/>
        <v>1.9953228801333234</v>
      </c>
      <c r="V268" s="300">
        <f t="shared" si="167"/>
        <v>2.1529739900917213</v>
      </c>
      <c r="W268" s="300">
        <f t="shared" si="167"/>
        <v>2.3132200821207292</v>
      </c>
      <c r="X268" s="300">
        <f t="shared" si="167"/>
        <v>2.5635584527291648</v>
      </c>
      <c r="Y268" s="300">
        <f t="shared" si="167"/>
        <v>2.8182714039767851</v>
      </c>
      <c r="Z268" s="300">
        <f t="shared" si="167"/>
        <v>3.0773522248501006</v>
      </c>
      <c r="AA268" s="300">
        <f t="shared" si="167"/>
        <v>3.3407923388477494</v>
      </c>
      <c r="AB268" s="300">
        <f t="shared" si="167"/>
        <v>3.6085812824659591</v>
      </c>
      <c r="AC268" s="300">
        <f t="shared" si="167"/>
        <v>3.8807521939422287</v>
      </c>
      <c r="AD268" s="300">
        <f t="shared" si="167"/>
        <v>4.1572986805550665</v>
      </c>
      <c r="AE268" s="300">
        <f t="shared" si="167"/>
        <v>4.4382126633616883</v>
      </c>
      <c r="AF268" s="300">
        <f t="shared" si="167"/>
        <v>4.7234843585146731</v>
      </c>
      <c r="AG268" s="300">
        <f t="shared" si="167"/>
        <v>5.0131022592812542</v>
      </c>
      <c r="AH268" s="245"/>
      <c r="AI268" s="423"/>
      <c r="AJ268" s="424"/>
      <c r="AL268" s="221"/>
      <c r="AM268" s="124"/>
      <c r="AN268" s="124"/>
      <c r="AO268" s="124"/>
      <c r="BD268" s="124"/>
      <c r="BE268" s="124"/>
      <c r="BF268" s="124"/>
      <c r="BG268" s="124"/>
      <c r="BH268" s="124"/>
      <c r="BI268" s="124"/>
      <c r="BJ268" s="124"/>
      <c r="BK268" s="124"/>
    </row>
    <row r="269" spans="1:63" outlineLevel="1">
      <c r="A269" s="4" t="s">
        <v>474</v>
      </c>
      <c r="C269" s="230">
        <f t="shared" ref="C269:AG269" si="168">C264-$C264</f>
        <v>0</v>
      </c>
      <c r="D269" s="230">
        <f t="shared" si="168"/>
        <v>0</v>
      </c>
      <c r="E269" s="230">
        <f t="shared" si="168"/>
        <v>0</v>
      </c>
      <c r="F269" s="230">
        <f t="shared" si="168"/>
        <v>0</v>
      </c>
      <c r="G269" s="230">
        <f t="shared" si="168"/>
        <v>0</v>
      </c>
      <c r="H269" s="230">
        <f t="shared" si="168"/>
        <v>0</v>
      </c>
      <c r="I269" s="230">
        <f t="shared" si="168"/>
        <v>0</v>
      </c>
      <c r="J269" s="230">
        <f t="shared" si="168"/>
        <v>0</v>
      </c>
      <c r="K269" s="230">
        <f t="shared" si="168"/>
        <v>0</v>
      </c>
      <c r="L269" s="230">
        <f t="shared" si="168"/>
        <v>0</v>
      </c>
      <c r="M269" s="230">
        <f t="shared" si="168"/>
        <v>0</v>
      </c>
      <c r="N269" s="230">
        <f t="shared" si="168"/>
        <v>0</v>
      </c>
      <c r="O269" s="230">
        <f t="shared" si="168"/>
        <v>0</v>
      </c>
      <c r="P269" s="230">
        <f t="shared" si="168"/>
        <v>0</v>
      </c>
      <c r="Q269" s="230">
        <f t="shared" si="168"/>
        <v>0</v>
      </c>
      <c r="R269" s="230">
        <f t="shared" si="168"/>
        <v>0</v>
      </c>
      <c r="S269" s="230">
        <f t="shared" si="168"/>
        <v>0</v>
      </c>
      <c r="T269" s="230">
        <f t="shared" si="168"/>
        <v>0</v>
      </c>
      <c r="U269" s="230">
        <f t="shared" si="168"/>
        <v>0</v>
      </c>
      <c r="V269" s="230">
        <f t="shared" si="168"/>
        <v>0</v>
      </c>
      <c r="W269" s="230">
        <f t="shared" si="168"/>
        <v>0</v>
      </c>
      <c r="X269" s="230">
        <f t="shared" si="168"/>
        <v>0</v>
      </c>
      <c r="Y269" s="230">
        <f t="shared" si="168"/>
        <v>0</v>
      </c>
      <c r="Z269" s="230">
        <f t="shared" si="168"/>
        <v>0</v>
      </c>
      <c r="AA269" s="230">
        <f t="shared" si="168"/>
        <v>0</v>
      </c>
      <c r="AB269" s="230">
        <f t="shared" si="168"/>
        <v>0</v>
      </c>
      <c r="AC269" s="230">
        <f t="shared" si="168"/>
        <v>0</v>
      </c>
      <c r="AD269" s="230">
        <f t="shared" si="168"/>
        <v>0</v>
      </c>
      <c r="AE269" s="230">
        <f t="shared" si="168"/>
        <v>0</v>
      </c>
      <c r="AF269" s="230">
        <f t="shared" si="168"/>
        <v>0</v>
      </c>
      <c r="AG269" s="230">
        <f t="shared" si="168"/>
        <v>0</v>
      </c>
      <c r="AH269" s="245"/>
      <c r="AI269" s="133"/>
      <c r="AJ269" s="211"/>
      <c r="AL269" s="108"/>
      <c r="AM269" s="2"/>
      <c r="AN269" s="2"/>
      <c r="AO269" s="2"/>
      <c r="BC269" s="1"/>
      <c r="BD269" s="2"/>
      <c r="BE269" s="2"/>
      <c r="BF269" s="2"/>
      <c r="BG269" s="2"/>
      <c r="BH269" s="2"/>
      <c r="BI269" s="2"/>
      <c r="BJ269" s="2"/>
      <c r="BK269" s="2"/>
    </row>
    <row r="270" spans="1:63" outlineLevel="1">
      <c r="A270" s="4" t="s">
        <v>478</v>
      </c>
      <c r="C270" s="230">
        <f t="shared" ref="C270:AG270" si="169">C265-$C265</f>
        <v>0</v>
      </c>
      <c r="D270" s="230">
        <f t="shared" si="169"/>
        <v>2.1499644254806327E-2</v>
      </c>
      <c r="E270" s="230">
        <f t="shared" si="169"/>
        <v>4.3324017768276657E-2</v>
      </c>
      <c r="F270" s="230">
        <f t="shared" si="169"/>
        <v>6.5345971039320827E-2</v>
      </c>
      <c r="G270" s="230">
        <f t="shared" si="169"/>
        <v>8.7430528641877114E-2</v>
      </c>
      <c r="H270" s="230">
        <f t="shared" si="169"/>
        <v>0.10943622336540326</v>
      </c>
      <c r="I270" s="230">
        <f t="shared" si="169"/>
        <v>0.1320776209643027</v>
      </c>
      <c r="J270" s="230">
        <f t="shared" si="169"/>
        <v>0.15534826248373729</v>
      </c>
      <c r="K270" s="230">
        <f t="shared" si="169"/>
        <v>0.17924035013905004</v>
      </c>
      <c r="L270" s="230">
        <f t="shared" si="169"/>
        <v>0.2037447233045237</v>
      </c>
      <c r="M270" s="230">
        <f t="shared" si="169"/>
        <v>0.22885083756367391</v>
      </c>
      <c r="N270" s="230">
        <f t="shared" si="169"/>
        <v>0.27124993951743759</v>
      </c>
      <c r="O270" s="230">
        <f t="shared" si="169"/>
        <v>0.31394551504823554</v>
      </c>
      <c r="P270" s="230">
        <f t="shared" si="169"/>
        <v>0.3567223888016362</v>
      </c>
      <c r="Q270" s="230">
        <f t="shared" si="169"/>
        <v>0.39935804733342462</v>
      </c>
      <c r="R270" s="230">
        <f t="shared" si="169"/>
        <v>0.44162451101344391</v>
      </c>
      <c r="S270" s="230">
        <f t="shared" si="169"/>
        <v>0.48464368716686679</v>
      </c>
      <c r="T270" s="230">
        <f t="shared" si="169"/>
        <v>0.52841421783910536</v>
      </c>
      <c r="U270" s="230">
        <f t="shared" si="169"/>
        <v>0.57293438780314421</v>
      </c>
      <c r="V270" s="230">
        <f t="shared" si="169"/>
        <v>0.61820212019363607</v>
      </c>
      <c r="W270" s="230">
        <f t="shared" si="169"/>
        <v>0.66421497232328808</v>
      </c>
      <c r="X270" s="230">
        <f t="shared" si="169"/>
        <v>0.73609680284617429</v>
      </c>
      <c r="Y270" s="230">
        <f t="shared" si="169"/>
        <v>0.80923474470089629</v>
      </c>
      <c r="Z270" s="230">
        <f t="shared" si="169"/>
        <v>0.88362687089586611</v>
      </c>
      <c r="AA270" s="230">
        <f t="shared" si="169"/>
        <v>0.95927071878576187</v>
      </c>
      <c r="AB270" s="230">
        <f t="shared" si="169"/>
        <v>1.0361632838938701</v>
      </c>
      <c r="AC270" s="230">
        <f t="shared" si="169"/>
        <v>1.1143140814901271</v>
      </c>
      <c r="AD270" s="230">
        <f t="shared" si="169"/>
        <v>1.1937212759768911</v>
      </c>
      <c r="AE270" s="230">
        <f t="shared" si="169"/>
        <v>1.2743825475771551</v>
      </c>
      <c r="AF270" s="230">
        <f t="shared" si="169"/>
        <v>1.3562950869698369</v>
      </c>
      <c r="AG270" s="230">
        <f t="shared" si="169"/>
        <v>1.4394555901268227</v>
      </c>
      <c r="AH270" s="245"/>
      <c r="AI270" s="133"/>
      <c r="AJ270" s="211"/>
      <c r="AL270" s="108"/>
      <c r="AM270" s="2"/>
      <c r="AN270" s="2"/>
      <c r="AO270" s="2"/>
      <c r="BC270" s="1"/>
      <c r="BD270" s="2"/>
      <c r="BE270" s="2"/>
      <c r="BF270" s="2"/>
      <c r="BG270" s="2"/>
      <c r="BH270" s="2"/>
      <c r="BI270" s="2"/>
      <c r="BJ270" s="2"/>
      <c r="BK270" s="2"/>
    </row>
    <row r="271" spans="1:63" outlineLevel="1">
      <c r="A271" s="4" t="s">
        <v>745</v>
      </c>
      <c r="C271" s="230">
        <f t="shared" ref="C271:AG271" si="170">C266-$C266</f>
        <v>0</v>
      </c>
      <c r="D271" s="230">
        <f t="shared" si="170"/>
        <v>4.1688840563247065E-2</v>
      </c>
      <c r="E271" s="230">
        <f t="shared" si="170"/>
        <v>8.4007346721432286E-2</v>
      </c>
      <c r="F271" s="230">
        <f t="shared" si="170"/>
        <v>0.12670896949840449</v>
      </c>
      <c r="G271" s="230">
        <f t="shared" si="170"/>
        <v>0.16953198507444089</v>
      </c>
      <c r="H271" s="230">
        <f t="shared" si="170"/>
        <v>0.21220208174859767</v>
      </c>
      <c r="I271" s="230">
        <f t="shared" si="170"/>
        <v>0.25610483676365303</v>
      </c>
      <c r="J271" s="230">
        <f t="shared" si="170"/>
        <v>0.30122772589663516</v>
      </c>
      <c r="K271" s="230">
        <f t="shared" si="170"/>
        <v>0.34755562886939195</v>
      </c>
      <c r="L271" s="230">
        <f t="shared" si="170"/>
        <v>0.39507078278964181</v>
      </c>
      <c r="M271" s="230">
        <f t="shared" si="170"/>
        <v>0.44375274152848909</v>
      </c>
      <c r="N271" s="230">
        <f t="shared" si="170"/>
        <v>0.52596663215973349</v>
      </c>
      <c r="O271" s="230">
        <f t="shared" si="170"/>
        <v>0.60875539926510502</v>
      </c>
      <c r="P271" s="230">
        <f t="shared" si="170"/>
        <v>0.69170180752025556</v>
      </c>
      <c r="Q271" s="230">
        <f t="shared" si="170"/>
        <v>0.77437439269307384</v>
      </c>
      <c r="R271" s="230">
        <f t="shared" si="170"/>
        <v>0.85633109135494501</v>
      </c>
      <c r="S271" s="230">
        <f t="shared" si="170"/>
        <v>0.93974733557588641</v>
      </c>
      <c r="T271" s="230">
        <f t="shared" si="170"/>
        <v>1.0246204922168731</v>
      </c>
      <c r="U271" s="230">
        <f t="shared" si="170"/>
        <v>1.1109472353705212</v>
      </c>
      <c r="V271" s="230">
        <f t="shared" si="170"/>
        <v>1.1987235378953907</v>
      </c>
      <c r="W271" s="230">
        <f t="shared" si="170"/>
        <v>1.2879446633037559</v>
      </c>
      <c r="X271" s="230">
        <f t="shared" si="170"/>
        <v>1.4273269775666084</v>
      </c>
      <c r="Y271" s="230">
        <f t="shared" si="170"/>
        <v>1.5691449519000167</v>
      </c>
      <c r="Z271" s="230">
        <f t="shared" si="170"/>
        <v>1.7133948497749429</v>
      </c>
      <c r="AA271" s="230">
        <f t="shared" si="170"/>
        <v>1.8600718960040861</v>
      </c>
      <c r="AB271" s="230">
        <f t="shared" si="170"/>
        <v>2.0091702647631133</v>
      </c>
      <c r="AC271" s="230">
        <f t="shared" si="170"/>
        <v>2.1607084066164424</v>
      </c>
      <c r="AD271" s="230">
        <f t="shared" si="170"/>
        <v>2.3146827622522754</v>
      </c>
      <c r="AE271" s="230">
        <f t="shared" si="170"/>
        <v>2.4710888335118231</v>
      </c>
      <c r="AF271" s="230">
        <f t="shared" si="170"/>
        <v>2.6299211729868732</v>
      </c>
      <c r="AG271" s="230">
        <f t="shared" si="170"/>
        <v>2.7911733740085687</v>
      </c>
      <c r="AH271" s="245"/>
      <c r="AI271" s="133"/>
      <c r="AJ271" s="211"/>
      <c r="AL271" s="108"/>
      <c r="AM271" s="2"/>
      <c r="AN271" s="2"/>
      <c r="AO271" s="2"/>
      <c r="BC271" s="1"/>
      <c r="BD271" s="2"/>
      <c r="BE271" s="2"/>
      <c r="BF271" s="2"/>
      <c r="BG271" s="2"/>
      <c r="BH271" s="2"/>
      <c r="BI271" s="2"/>
      <c r="BJ271" s="2"/>
      <c r="BK271" s="2"/>
    </row>
    <row r="272" spans="1:63" outlineLevel="1">
      <c r="A272" s="4" t="s">
        <v>1561</v>
      </c>
      <c r="C272" s="230">
        <f t="shared" ref="C272:AG272" si="171">C267-$C267</f>
        <v>0</v>
      </c>
      <c r="D272" s="230">
        <f t="shared" si="171"/>
        <v>1.1686986107740882E-2</v>
      </c>
      <c r="E272" s="230">
        <f t="shared" si="171"/>
        <v>2.3550491709935006E-2</v>
      </c>
      <c r="F272" s="230">
        <f t="shared" si="171"/>
        <v>3.5521399641887247E-2</v>
      </c>
      <c r="G272" s="230">
        <f t="shared" si="171"/>
        <v>4.7526338646353722E-2</v>
      </c>
      <c r="H272" s="230">
        <f t="shared" si="171"/>
        <v>5.9488408598629472E-2</v>
      </c>
      <c r="I272" s="230">
        <f t="shared" si="171"/>
        <v>7.1796040113928677E-2</v>
      </c>
      <c r="J272" s="230">
        <f t="shared" si="171"/>
        <v>8.4445722170646942E-2</v>
      </c>
      <c r="K272" s="230">
        <f t="shared" si="171"/>
        <v>9.7433215973022069E-2</v>
      </c>
      <c r="L272" s="230">
        <f t="shared" si="171"/>
        <v>0.1107535418988693</v>
      </c>
      <c r="M272" s="230">
        <f t="shared" si="171"/>
        <v>0.12440096811153559</v>
      </c>
      <c r="N272" s="230">
        <f t="shared" si="171"/>
        <v>0.14744868507101735</v>
      </c>
      <c r="O272" s="230">
        <f t="shared" si="171"/>
        <v>0.17065756202622037</v>
      </c>
      <c r="P272" s="230">
        <f t="shared" si="171"/>
        <v>0.19391063186140226</v>
      </c>
      <c r="Q272" s="230">
        <f t="shared" si="171"/>
        <v>0.21708693855047703</v>
      </c>
      <c r="R272" s="230">
        <f t="shared" si="171"/>
        <v>0.24006255470474389</v>
      </c>
      <c r="S272" s="230">
        <f t="shared" si="171"/>
        <v>0.26344733763942507</v>
      </c>
      <c r="T272" s="230">
        <f t="shared" si="171"/>
        <v>0.28724054918433428</v>
      </c>
      <c r="U272" s="230">
        <f t="shared" si="171"/>
        <v>0.31144125695965785</v>
      </c>
      <c r="V272" s="230">
        <f t="shared" si="171"/>
        <v>0.33604833200269457</v>
      </c>
      <c r="W272" s="230">
        <f t="shared" si="171"/>
        <v>0.36106044649368485</v>
      </c>
      <c r="X272" s="230">
        <f t="shared" si="171"/>
        <v>0.400134672316382</v>
      </c>
      <c r="Y272" s="230">
        <f t="shared" si="171"/>
        <v>0.43989170737587191</v>
      </c>
      <c r="Z272" s="230">
        <f t="shared" si="171"/>
        <v>0.48033050417929146</v>
      </c>
      <c r="AA272" s="230">
        <f t="shared" si="171"/>
        <v>0.52144972405790135</v>
      </c>
      <c r="AB272" s="230">
        <f t="shared" si="171"/>
        <v>0.56324773380897553</v>
      </c>
      <c r="AC272" s="230">
        <f t="shared" si="171"/>
        <v>0.60572970583565899</v>
      </c>
      <c r="AD272" s="230">
        <f t="shared" si="171"/>
        <v>0.64889464232589988</v>
      </c>
      <c r="AE272" s="230">
        <f t="shared" si="171"/>
        <v>0.69274128227270992</v>
      </c>
      <c r="AF272" s="230">
        <f t="shared" si="171"/>
        <v>0.73726809855796271</v>
      </c>
      <c r="AG272" s="230">
        <f t="shared" si="171"/>
        <v>0.78247329514586261</v>
      </c>
      <c r="AH272" s="245"/>
      <c r="AI272" s="133"/>
      <c r="AJ272" s="211"/>
      <c r="AL272" s="108"/>
      <c r="AM272" s="2"/>
      <c r="AN272" s="2"/>
      <c r="AO272" s="2"/>
      <c r="BC272" s="1"/>
      <c r="BD272" s="2"/>
      <c r="BE272" s="2"/>
      <c r="BF272" s="2"/>
      <c r="BG272" s="2"/>
      <c r="BH272" s="2"/>
      <c r="BI272" s="2"/>
      <c r="BJ272" s="2"/>
      <c r="BK272" s="2"/>
    </row>
    <row r="273" spans="1:41" outlineLevel="2">
      <c r="C273" s="113"/>
      <c r="D273" s="110"/>
      <c r="E273" s="110"/>
      <c r="F273" s="110"/>
      <c r="G273" s="110"/>
      <c r="H273" s="110"/>
      <c r="I273" s="110"/>
      <c r="J273" s="110"/>
      <c r="K273" s="110"/>
      <c r="L273" s="110"/>
      <c r="M273" s="121"/>
      <c r="N273" s="121"/>
      <c r="O273" s="121"/>
      <c r="P273" s="121"/>
      <c r="Q273" s="121"/>
      <c r="R273" s="121"/>
      <c r="S273" s="121"/>
      <c r="T273" s="121"/>
      <c r="U273" s="121"/>
      <c r="V273" s="121"/>
      <c r="W273" s="121"/>
      <c r="X273" s="23"/>
      <c r="Y273" s="23"/>
      <c r="Z273" s="23"/>
      <c r="AA273" s="23"/>
      <c r="AB273" s="23"/>
      <c r="AC273" s="23"/>
      <c r="AD273" s="23"/>
      <c r="AE273" s="23"/>
      <c r="AF273" s="23"/>
      <c r="AG273" s="106"/>
      <c r="AJ273" s="211"/>
    </row>
    <row r="274" spans="1:41" s="200" customFormat="1" ht="16" thickBot="1">
      <c r="A274" s="227" t="s">
        <v>1640</v>
      </c>
      <c r="B274" s="228"/>
      <c r="C274" s="229">
        <f>(C42*C66+C43*C142+C45*C205+C44*C244+C46*C261)/C47</f>
        <v>0.11866936746243609</v>
      </c>
      <c r="D274" s="229">
        <f t="shared" ref="D274:AG274" si="172">(D42*D66+D43*D142+D45*D205+D44*D244+D46*D261)/D47</f>
        <v>0.10295196589194812</v>
      </c>
      <c r="E274" s="229">
        <f t="shared" si="172"/>
        <v>0.10884570987021745</v>
      </c>
      <c r="F274" s="229">
        <f t="shared" si="172"/>
        <v>0.11479676816420607</v>
      </c>
      <c r="G274" s="229">
        <f t="shared" si="172"/>
        <v>0.12080579071262977</v>
      </c>
      <c r="H274" s="229">
        <f t="shared" si="172"/>
        <v>0.12687342745420435</v>
      </c>
      <c r="I274" s="229">
        <f t="shared" si="172"/>
        <v>0.13300032832764569</v>
      </c>
      <c r="J274" s="229">
        <f t="shared" si="172"/>
        <v>0.13918714327166962</v>
      </c>
      <c r="K274" s="229">
        <f t="shared" si="172"/>
        <v>0.14543452222499184</v>
      </c>
      <c r="L274" s="229">
        <f t="shared" si="172"/>
        <v>0.15174311512632835</v>
      </c>
      <c r="M274" s="229">
        <f t="shared" si="172"/>
        <v>0.15811357191439487</v>
      </c>
      <c r="N274" s="229">
        <f t="shared" si="172"/>
        <v>0.16930332771089218</v>
      </c>
      <c r="O274" s="229">
        <f t="shared" si="172"/>
        <v>0.18057519083701526</v>
      </c>
      <c r="P274" s="229">
        <f t="shared" si="172"/>
        <v>0.19192416733333928</v>
      </c>
      <c r="Q274" s="229">
        <f t="shared" si="172"/>
        <v>0.20335812947162471</v>
      </c>
      <c r="R274" s="229">
        <f t="shared" si="172"/>
        <v>0.21487848497719286</v>
      </c>
      <c r="S274" s="229">
        <f t="shared" si="172"/>
        <v>0.22648664115805672</v>
      </c>
      <c r="T274" s="229">
        <f t="shared" si="172"/>
        <v>0.23818400490507619</v>
      </c>
      <c r="U274" s="229">
        <f t="shared" si="172"/>
        <v>0.24997198269211238</v>
      </c>
      <c r="V274" s="229">
        <f t="shared" si="172"/>
        <v>0.26185198057618203</v>
      </c>
      <c r="W274" s="229">
        <f t="shared" si="172"/>
        <v>0.27382540419761203</v>
      </c>
      <c r="X274" s="229">
        <f t="shared" si="172"/>
        <v>0.2921231272290421</v>
      </c>
      <c r="Y274" s="229">
        <f t="shared" si="172"/>
        <v>0.3105478813692687</v>
      </c>
      <c r="Z274" s="229">
        <f t="shared" si="172"/>
        <v>0.32909502761695586</v>
      </c>
      <c r="AA274" s="229">
        <f t="shared" si="172"/>
        <v>0.34777500239060721</v>
      </c>
      <c r="AB274" s="229">
        <f t="shared" si="172"/>
        <v>0.36659025941553908</v>
      </c>
      <c r="AC274" s="229">
        <f t="shared" si="172"/>
        <v>0.38554325060075822</v>
      </c>
      <c r="AD274" s="229">
        <f t="shared" si="172"/>
        <v>0.40463642604064054</v>
      </c>
      <c r="AE274" s="229">
        <f t="shared" si="172"/>
        <v>0.42387223401661128</v>
      </c>
      <c r="AF274" s="229">
        <f t="shared" si="172"/>
        <v>0.44325312099881981</v>
      </c>
      <c r="AG274" s="229">
        <f t="shared" si="172"/>
        <v>0.46278153164781666</v>
      </c>
      <c r="AJ274" s="479" t="s">
        <v>1585</v>
      </c>
      <c r="AL274" s="217"/>
      <c r="AM274" s="225"/>
      <c r="AN274" s="225"/>
      <c r="AO274" s="225"/>
    </row>
    <row r="275" spans="1:41" s="200" customFormat="1" ht="17" thickTop="1" thickBot="1">
      <c r="A275" s="227" t="s">
        <v>1356</v>
      </c>
      <c r="B275" s="228"/>
      <c r="C275" s="229">
        <f t="shared" ref="C275:AG275" si="173">(C14*C49+C123*C15+C17*C188+C240*C16+C257*C18)/C19</f>
        <v>0.10392620862112158</v>
      </c>
      <c r="D275" s="229">
        <f t="shared" si="173"/>
        <v>0.10914907209487128</v>
      </c>
      <c r="E275" s="229">
        <f t="shared" si="173"/>
        <v>0.11437193556862101</v>
      </c>
      <c r="F275" s="229">
        <f t="shared" si="173"/>
        <v>0.11959479904237068</v>
      </c>
      <c r="G275" s="229">
        <f t="shared" si="173"/>
        <v>0.12481766251612042</v>
      </c>
      <c r="H275" s="229">
        <f t="shared" si="173"/>
        <v>0.13004052598987015</v>
      </c>
      <c r="I275" s="229">
        <f t="shared" si="173"/>
        <v>0.13526338946361988</v>
      </c>
      <c r="J275" s="229">
        <f t="shared" si="173"/>
        <v>0.14048625293736958</v>
      </c>
      <c r="K275" s="229">
        <f t="shared" si="173"/>
        <v>0.1457091164111193</v>
      </c>
      <c r="L275" s="229">
        <f t="shared" si="173"/>
        <v>0.15093197988486898</v>
      </c>
      <c r="M275" s="229">
        <f t="shared" si="173"/>
        <v>0.15615484335861871</v>
      </c>
      <c r="N275" s="229">
        <f t="shared" si="173"/>
        <v>0.16716303252636805</v>
      </c>
      <c r="O275" s="229">
        <f t="shared" si="173"/>
        <v>0.17817122169411745</v>
      </c>
      <c r="P275" s="229">
        <f t="shared" si="173"/>
        <v>0.18917941086186682</v>
      </c>
      <c r="Q275" s="229">
        <f t="shared" si="173"/>
        <v>0.20018760002961619</v>
      </c>
      <c r="R275" s="229">
        <f t="shared" si="173"/>
        <v>0.21119578919736562</v>
      </c>
      <c r="S275" s="229">
        <f t="shared" si="173"/>
        <v>0.22220397836511507</v>
      </c>
      <c r="T275" s="229">
        <f t="shared" si="173"/>
        <v>0.23321216753286442</v>
      </c>
      <c r="U275" s="229">
        <f t="shared" si="173"/>
        <v>0.24422035670061382</v>
      </c>
      <c r="V275" s="229">
        <f t="shared" si="173"/>
        <v>0.25522854586836319</v>
      </c>
      <c r="W275" s="229">
        <f t="shared" si="173"/>
        <v>0.26623673503611256</v>
      </c>
      <c r="X275" s="229">
        <f t="shared" si="173"/>
        <v>0.28465546566672584</v>
      </c>
      <c r="Y275" s="229">
        <f t="shared" si="173"/>
        <v>0.30307419629733917</v>
      </c>
      <c r="Z275" s="229">
        <f t="shared" si="173"/>
        <v>0.32149292692795245</v>
      </c>
      <c r="AA275" s="229">
        <f t="shared" si="173"/>
        <v>0.33991165755856578</v>
      </c>
      <c r="AB275" s="229">
        <f t="shared" si="173"/>
        <v>0.35833038818917906</v>
      </c>
      <c r="AC275" s="229">
        <f t="shared" si="173"/>
        <v>0.37674911881979239</v>
      </c>
      <c r="AD275" s="229">
        <f t="shared" si="173"/>
        <v>0.39516784945040562</v>
      </c>
      <c r="AE275" s="229">
        <f t="shared" si="173"/>
        <v>0.4135865800810189</v>
      </c>
      <c r="AF275" s="229">
        <f t="shared" si="173"/>
        <v>0.43200531071163223</v>
      </c>
      <c r="AG275" s="229">
        <f t="shared" si="173"/>
        <v>0.45042404134224556</v>
      </c>
      <c r="AJ275" s="226" t="s">
        <v>1357</v>
      </c>
      <c r="AL275" s="217"/>
      <c r="AM275" s="225"/>
      <c r="AN275" s="225"/>
      <c r="AO275" s="225"/>
    </row>
    <row r="276" spans="1:41" ht="16" thickTop="1">
      <c r="B276" s="130"/>
      <c r="C276" s="113"/>
      <c r="D276" s="23"/>
      <c r="E276" s="23"/>
      <c r="F276" s="23"/>
      <c r="G276" s="23"/>
      <c r="H276" s="23"/>
      <c r="I276" s="23"/>
      <c r="J276" s="23"/>
      <c r="K276" s="23"/>
      <c r="L276" s="23"/>
      <c r="M276" s="126"/>
      <c r="N276" s="110"/>
      <c r="O276" s="110"/>
      <c r="P276" s="110"/>
      <c r="Q276" s="110"/>
      <c r="R276" s="110"/>
      <c r="S276" s="110"/>
      <c r="T276" s="110"/>
      <c r="U276" s="110"/>
      <c r="V276" s="110"/>
      <c r="W276" s="126"/>
      <c r="X276" s="110"/>
      <c r="Y276" s="110"/>
      <c r="Z276" s="110"/>
      <c r="AA276" s="110"/>
      <c r="AB276" s="110"/>
      <c r="AC276" s="110"/>
      <c r="AD276" s="110"/>
      <c r="AE276" s="110"/>
      <c r="AF276" s="110"/>
      <c r="AG276" s="113"/>
    </row>
    <row r="277" spans="1:41">
      <c r="A277" t="s">
        <v>1641</v>
      </c>
      <c r="B277" s="130"/>
      <c r="C277" s="230">
        <f>C263+C246+C229+C219+C209+C177+C167+C157+C147+C112+C102+C92+C82+C72</f>
        <v>6.1470184945809105</v>
      </c>
      <c r="D277" s="230">
        <f t="shared" ref="D277:AG277" si="174">D263+D246+D229+D219+D209+D177+D167+D157+D147+D112+D102+D92+D82+D72</f>
        <v>6.5918673772683558</v>
      </c>
      <c r="E277" s="230">
        <f t="shared" si="174"/>
        <v>7.1488048815287524</v>
      </c>
      <c r="F277" s="230">
        <f t="shared" si="174"/>
        <v>7.7187271428009527</v>
      </c>
      <c r="G277" s="230">
        <f t="shared" si="174"/>
        <v>8.2987524751611126</v>
      </c>
      <c r="H277" s="230">
        <f t="shared" si="174"/>
        <v>8.8857564734805656</v>
      </c>
      <c r="I277" s="230">
        <f t="shared" si="174"/>
        <v>9.4968403576145057</v>
      </c>
      <c r="J277" s="230">
        <f t="shared" si="174"/>
        <v>10.132414840923506</v>
      </c>
      <c r="K277" s="230">
        <f t="shared" si="174"/>
        <v>10.792867488508211</v>
      </c>
      <c r="L277" s="230">
        <f t="shared" si="174"/>
        <v>11.478560707668674</v>
      </c>
      <c r="M277" s="230">
        <f t="shared" si="174"/>
        <v>12.18982971377074</v>
      </c>
      <c r="N277" s="230">
        <f t="shared" si="174"/>
        <v>13.356020014020505</v>
      </c>
      <c r="O277" s="230">
        <f t="shared" si="174"/>
        <v>14.547915820586532</v>
      </c>
      <c r="P277" s="230">
        <f t="shared" si="174"/>
        <v>15.761365552630705</v>
      </c>
      <c r="Q277" s="230">
        <f t="shared" si="174"/>
        <v>16.990567755239745</v>
      </c>
      <c r="R277" s="230">
        <f t="shared" si="174"/>
        <v>18.229960967784073</v>
      </c>
      <c r="S277" s="230">
        <f t="shared" si="174"/>
        <v>19.508782585754233</v>
      </c>
      <c r="T277" s="230">
        <f t="shared" si="174"/>
        <v>20.827944787428695</v>
      </c>
      <c r="U277" s="230">
        <f t="shared" si="174"/>
        <v>22.18836639306538</v>
      </c>
      <c r="V277" s="230">
        <f t="shared" si="174"/>
        <v>23.590972316525136</v>
      </c>
      <c r="W277" s="230">
        <f t="shared" si="174"/>
        <v>25.036692995614104</v>
      </c>
      <c r="X277" s="230">
        <f t="shared" si="174"/>
        <v>27.226871936462267</v>
      </c>
      <c r="Y277" s="230">
        <f t="shared" si="174"/>
        <v>29.487706240608638</v>
      </c>
      <c r="Z277" s="230">
        <f t="shared" si="174"/>
        <v>31.823946228548404</v>
      </c>
      <c r="AA277" s="230">
        <f t="shared" si="174"/>
        <v>34.234730551775755</v>
      </c>
      <c r="AB277" s="230">
        <f t="shared" si="174"/>
        <v>36.721742865197712</v>
      </c>
      <c r="AC277" s="230">
        <f t="shared" si="174"/>
        <v>39.287048989869859</v>
      </c>
      <c r="AD277" s="230">
        <f t="shared" si="174"/>
        <v>41.932428759326513</v>
      </c>
      <c r="AE277" s="230">
        <f t="shared" si="174"/>
        <v>44.659675631633803</v>
      </c>
      <c r="AF277" s="230">
        <f t="shared" si="174"/>
        <v>47.470595845121537</v>
      </c>
      <c r="AG277" s="230">
        <f t="shared" si="174"/>
        <v>50.367007543324213</v>
      </c>
      <c r="AH277" s="245"/>
      <c r="AI277" s="23">
        <f>(AG277/C277)^(1/30)-1</f>
        <v>7.2628637188090872E-2</v>
      </c>
      <c r="AJ277" s="517">
        <f>AG277-C277</f>
        <v>44.219989048743301</v>
      </c>
    </row>
    <row r="278" spans="1:41">
      <c r="A278" t="s">
        <v>1642</v>
      </c>
      <c r="B278" s="130"/>
      <c r="C278" s="230">
        <f>C277</f>
        <v>6.1470184945809105</v>
      </c>
      <c r="D278" s="230">
        <f>C278*(1+$AI$278)</f>
        <v>6.2496737034404113</v>
      </c>
      <c r="E278" s="230">
        <f t="shared" ref="E278:AG278" si="175">D278*(1+$AI$278)</f>
        <v>6.3540432542878662</v>
      </c>
      <c r="F278" s="230">
        <f t="shared" si="175"/>
        <v>6.4601557766344735</v>
      </c>
      <c r="G278" s="230">
        <f t="shared" si="175"/>
        <v>6.5680403781042687</v>
      </c>
      <c r="H278" s="230">
        <f t="shared" si="175"/>
        <v>6.6777266524186096</v>
      </c>
      <c r="I278" s="230">
        <f t="shared" si="175"/>
        <v>6.7892446875139996</v>
      </c>
      <c r="J278" s="230">
        <f t="shared" si="175"/>
        <v>6.9026250737954831</v>
      </c>
      <c r="K278" s="230">
        <f t="shared" si="175"/>
        <v>7.0178989125278672</v>
      </c>
      <c r="L278" s="230">
        <f t="shared" si="175"/>
        <v>7.1350978243670822</v>
      </c>
      <c r="M278" s="230">
        <f>L278*(1+$AI$278)</f>
        <v>7.2542539580340124</v>
      </c>
      <c r="N278" s="230">
        <f t="shared" si="175"/>
        <v>7.3753999991331796</v>
      </c>
      <c r="O278" s="230">
        <f t="shared" si="175"/>
        <v>7.4985691791187028</v>
      </c>
      <c r="P278" s="230">
        <f t="shared" si="175"/>
        <v>7.6237952844099848</v>
      </c>
      <c r="Q278" s="230">
        <f t="shared" si="175"/>
        <v>7.7511126656596314</v>
      </c>
      <c r="R278" s="230">
        <f t="shared" si="175"/>
        <v>7.8805562471761466</v>
      </c>
      <c r="S278" s="230">
        <f t="shared" si="175"/>
        <v>8.0121615365039869</v>
      </c>
      <c r="T278" s="230">
        <f t="shared" si="175"/>
        <v>8.1459646341636027</v>
      </c>
      <c r="U278" s="230">
        <f t="shared" si="175"/>
        <v>8.2820022435541336</v>
      </c>
      <c r="V278" s="230">
        <f t="shared" si="175"/>
        <v>8.420311681021488</v>
      </c>
      <c r="W278" s="230">
        <f t="shared" si="175"/>
        <v>8.5609308860945461</v>
      </c>
      <c r="X278" s="230">
        <f t="shared" si="175"/>
        <v>8.7038984318923251</v>
      </c>
      <c r="Y278" s="230">
        <f t="shared" si="175"/>
        <v>8.8492535357049267</v>
      </c>
      <c r="Z278" s="230">
        <f t="shared" si="175"/>
        <v>8.9970360697511982</v>
      </c>
      <c r="AA278" s="230">
        <f t="shared" si="175"/>
        <v>9.1472865721160428</v>
      </c>
      <c r="AB278" s="230">
        <f t="shared" si="175"/>
        <v>9.3000462578703793</v>
      </c>
      <c r="AC278" s="230">
        <f t="shared" si="175"/>
        <v>9.4553570303768133</v>
      </c>
      <c r="AD278" s="230">
        <f t="shared" si="175"/>
        <v>9.6132614927841047</v>
      </c>
      <c r="AE278" s="230">
        <f t="shared" si="175"/>
        <v>9.7738029597135991</v>
      </c>
      <c r="AF278" s="230">
        <f t="shared" si="175"/>
        <v>9.9370254691408153</v>
      </c>
      <c r="AG278" s="230">
        <f t="shared" si="175"/>
        <v>10.102973794475467</v>
      </c>
      <c r="AI278" s="214">
        <v>1.67E-2</v>
      </c>
      <c r="AJ278" s="3" t="s">
        <v>1360</v>
      </c>
    </row>
    <row r="279" spans="1:41">
      <c r="B279" s="51"/>
    </row>
    <row r="280" spans="1:41" s="58" customFormat="1">
      <c r="A280" s="58" t="s">
        <v>1361</v>
      </c>
      <c r="B280" s="303"/>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c r="AA280" s="304"/>
      <c r="AB280" s="304"/>
      <c r="AC280" s="304"/>
      <c r="AD280" s="304"/>
      <c r="AE280" s="304"/>
      <c r="AF280" s="304"/>
      <c r="AG280" s="304"/>
      <c r="AI280" s="305"/>
      <c r="AJ280" s="306"/>
    </row>
    <row r="281" spans="1:41" s="190" customFormat="1" outlineLevel="1">
      <c r="A281" s="344" t="s">
        <v>1362</v>
      </c>
      <c r="B281" s="318" t="s">
        <v>462</v>
      </c>
      <c r="C281" s="319">
        <v>0.84</v>
      </c>
      <c r="D281" s="320">
        <f>-($C281-$AG281)/30+C281</f>
        <v>0.83566666666666667</v>
      </c>
      <c r="E281" s="320">
        <f t="shared" ref="E281:T281" si="176">-($C281-$AG281)/30+D281</f>
        <v>0.83133333333333337</v>
      </c>
      <c r="F281" s="320">
        <f t="shared" si="176"/>
        <v>0.82700000000000007</v>
      </c>
      <c r="G281" s="320">
        <f t="shared" si="176"/>
        <v>0.82266666666666677</v>
      </c>
      <c r="H281" s="320">
        <f t="shared" si="176"/>
        <v>0.81833333333333347</v>
      </c>
      <c r="I281" s="320">
        <f t="shared" si="176"/>
        <v>0.81400000000000017</v>
      </c>
      <c r="J281" s="320">
        <f t="shared" si="176"/>
        <v>0.80966666666666687</v>
      </c>
      <c r="K281" s="320">
        <f t="shared" si="176"/>
        <v>0.80533333333333357</v>
      </c>
      <c r="L281" s="320">
        <f t="shared" si="176"/>
        <v>0.80100000000000027</v>
      </c>
      <c r="M281" s="320">
        <f t="shared" si="176"/>
        <v>0.79666666666666697</v>
      </c>
      <c r="N281" s="320">
        <f t="shared" si="176"/>
        <v>0.79233333333333367</v>
      </c>
      <c r="O281" s="320">
        <f t="shared" si="176"/>
        <v>0.78800000000000037</v>
      </c>
      <c r="P281" s="320">
        <f t="shared" si="176"/>
        <v>0.78366666666666707</v>
      </c>
      <c r="Q281" s="320">
        <f t="shared" si="176"/>
        <v>0.77933333333333377</v>
      </c>
      <c r="R281" s="320">
        <f t="shared" si="176"/>
        <v>0.77500000000000047</v>
      </c>
      <c r="S281" s="320">
        <f t="shared" si="176"/>
        <v>0.77066666666666717</v>
      </c>
      <c r="T281" s="320">
        <f t="shared" si="176"/>
        <v>0.76633333333333387</v>
      </c>
      <c r="U281" s="320">
        <f t="shared" ref="T281:AF287" si="177">-($C281-$AG281)/30+T281</f>
        <v>0.76200000000000057</v>
      </c>
      <c r="V281" s="320">
        <f t="shared" si="177"/>
        <v>0.75766666666666727</v>
      </c>
      <c r="W281" s="320">
        <f t="shared" si="177"/>
        <v>0.75333333333333397</v>
      </c>
      <c r="X281" s="320">
        <f t="shared" si="177"/>
        <v>0.74900000000000067</v>
      </c>
      <c r="Y281" s="320">
        <f t="shared" si="177"/>
        <v>0.74466666666666737</v>
      </c>
      <c r="Z281" s="320">
        <f t="shared" si="177"/>
        <v>0.74033333333333406</v>
      </c>
      <c r="AA281" s="320">
        <f t="shared" si="177"/>
        <v>0.73600000000000076</v>
      </c>
      <c r="AB281" s="320">
        <f t="shared" si="177"/>
        <v>0.73166666666666746</v>
      </c>
      <c r="AC281" s="320">
        <f t="shared" si="177"/>
        <v>0.72733333333333416</v>
      </c>
      <c r="AD281" s="320">
        <f t="shared" si="177"/>
        <v>0.72300000000000086</v>
      </c>
      <c r="AE281" s="320">
        <f t="shared" si="177"/>
        <v>0.71866666666666756</v>
      </c>
      <c r="AF281" s="320">
        <f t="shared" si="177"/>
        <v>0.71433333333333426</v>
      </c>
      <c r="AG281" s="319">
        <v>0.71</v>
      </c>
      <c r="AI281" s="321"/>
      <c r="AJ281" s="322" t="s">
        <v>1363</v>
      </c>
    </row>
    <row r="282" spans="1:41" outlineLevel="1">
      <c r="A282" s="3" t="s">
        <v>90</v>
      </c>
      <c r="B282" s="302" t="s">
        <v>462</v>
      </c>
      <c r="C282" s="296">
        <v>0.16</v>
      </c>
      <c r="D282" s="317">
        <f t="shared" ref="D282:S287" si="178">-($C282-$AG282)/30+C282</f>
        <v>0.16206666666666666</v>
      </c>
      <c r="E282" s="317">
        <f t="shared" si="178"/>
        <v>0.16413333333333333</v>
      </c>
      <c r="F282" s="317">
        <f t="shared" si="178"/>
        <v>0.16619999999999999</v>
      </c>
      <c r="G282" s="317">
        <f t="shared" si="178"/>
        <v>0.16826666666666665</v>
      </c>
      <c r="H282" s="317">
        <f t="shared" si="178"/>
        <v>0.17033333333333331</v>
      </c>
      <c r="I282" s="317">
        <f t="shared" si="178"/>
        <v>0.17239999999999997</v>
      </c>
      <c r="J282" s="317">
        <f t="shared" si="178"/>
        <v>0.17446666666666663</v>
      </c>
      <c r="K282" s="317">
        <f t="shared" si="178"/>
        <v>0.17653333333333329</v>
      </c>
      <c r="L282" s="317">
        <f t="shared" si="178"/>
        <v>0.17859999999999995</v>
      </c>
      <c r="M282" s="317">
        <f t="shared" si="178"/>
        <v>0.18066666666666661</v>
      </c>
      <c r="N282" s="317">
        <f t="shared" si="178"/>
        <v>0.18273333333333328</v>
      </c>
      <c r="O282" s="317">
        <f t="shared" si="178"/>
        <v>0.18479999999999994</v>
      </c>
      <c r="P282" s="317">
        <f t="shared" si="178"/>
        <v>0.1868666666666666</v>
      </c>
      <c r="Q282" s="317">
        <f t="shared" si="178"/>
        <v>0.18893333333333326</v>
      </c>
      <c r="R282" s="317">
        <f t="shared" si="178"/>
        <v>0.19099999999999992</v>
      </c>
      <c r="S282" s="317">
        <f t="shared" si="178"/>
        <v>0.19306666666666658</v>
      </c>
      <c r="T282" s="317">
        <f t="shared" si="177"/>
        <v>0.19513333333333324</v>
      </c>
      <c r="U282" s="317">
        <f t="shared" si="177"/>
        <v>0.1971999999999999</v>
      </c>
      <c r="V282" s="317">
        <f t="shared" si="177"/>
        <v>0.19926666666666656</v>
      </c>
      <c r="W282" s="317">
        <f t="shared" si="177"/>
        <v>0.20133333333333323</v>
      </c>
      <c r="X282" s="317">
        <f t="shared" si="177"/>
        <v>0.20339999999999989</v>
      </c>
      <c r="Y282" s="317">
        <f t="shared" si="177"/>
        <v>0.20546666666666655</v>
      </c>
      <c r="Z282" s="317">
        <f t="shared" si="177"/>
        <v>0.20753333333333321</v>
      </c>
      <c r="AA282" s="317">
        <f t="shared" si="177"/>
        <v>0.20959999999999987</v>
      </c>
      <c r="AB282" s="317">
        <f t="shared" si="177"/>
        <v>0.21166666666666653</v>
      </c>
      <c r="AC282" s="317">
        <f t="shared" si="177"/>
        <v>0.21373333333333319</v>
      </c>
      <c r="AD282" s="317">
        <f t="shared" si="177"/>
        <v>0.21579999999999985</v>
      </c>
      <c r="AE282" s="317">
        <f t="shared" si="177"/>
        <v>0.21786666666666651</v>
      </c>
      <c r="AF282" s="317">
        <f t="shared" si="177"/>
        <v>0.21993333333333318</v>
      </c>
      <c r="AG282" s="296">
        <v>0.222</v>
      </c>
      <c r="AI282" s="214"/>
      <c r="AJ282" s="211" t="s">
        <v>1363</v>
      </c>
    </row>
    <row r="283" spans="1:41" outlineLevel="1">
      <c r="A283" s="3" t="s">
        <v>33</v>
      </c>
      <c r="B283" s="302" t="s">
        <v>462</v>
      </c>
      <c r="C283" s="296">
        <v>0.37</v>
      </c>
      <c r="D283" s="317">
        <f t="shared" si="178"/>
        <v>0.36270000000000002</v>
      </c>
      <c r="E283" s="317">
        <f t="shared" si="178"/>
        <v>0.35540000000000005</v>
      </c>
      <c r="F283" s="317">
        <f t="shared" si="178"/>
        <v>0.34810000000000008</v>
      </c>
      <c r="G283" s="317">
        <f t="shared" si="178"/>
        <v>0.3408000000000001</v>
      </c>
      <c r="H283" s="317">
        <f t="shared" si="178"/>
        <v>0.33350000000000013</v>
      </c>
      <c r="I283" s="317">
        <f t="shared" si="178"/>
        <v>0.32620000000000016</v>
      </c>
      <c r="J283" s="317">
        <f t="shared" si="178"/>
        <v>0.31890000000000018</v>
      </c>
      <c r="K283" s="317">
        <f t="shared" si="178"/>
        <v>0.31160000000000021</v>
      </c>
      <c r="L283" s="317">
        <f t="shared" si="178"/>
        <v>0.30430000000000024</v>
      </c>
      <c r="M283" s="317">
        <f t="shared" si="178"/>
        <v>0.29700000000000026</v>
      </c>
      <c r="N283" s="317">
        <f t="shared" si="178"/>
        <v>0.28970000000000029</v>
      </c>
      <c r="O283" s="317">
        <f t="shared" si="178"/>
        <v>0.28240000000000032</v>
      </c>
      <c r="P283" s="317">
        <f t="shared" si="178"/>
        <v>0.27510000000000034</v>
      </c>
      <c r="Q283" s="317">
        <f t="shared" si="178"/>
        <v>0.26780000000000037</v>
      </c>
      <c r="R283" s="317">
        <f t="shared" si="178"/>
        <v>0.2605000000000004</v>
      </c>
      <c r="S283" s="317">
        <f t="shared" si="178"/>
        <v>0.25320000000000042</v>
      </c>
      <c r="T283" s="317">
        <f t="shared" si="177"/>
        <v>0.24590000000000042</v>
      </c>
      <c r="U283" s="317">
        <f t="shared" si="177"/>
        <v>0.23860000000000042</v>
      </c>
      <c r="V283" s="317">
        <f t="shared" si="177"/>
        <v>0.23130000000000042</v>
      </c>
      <c r="W283" s="317">
        <f t="shared" si="177"/>
        <v>0.22400000000000042</v>
      </c>
      <c r="X283" s="317">
        <f t="shared" si="177"/>
        <v>0.21670000000000042</v>
      </c>
      <c r="Y283" s="317">
        <f t="shared" si="177"/>
        <v>0.20940000000000042</v>
      </c>
      <c r="Z283" s="317">
        <f t="shared" si="177"/>
        <v>0.20210000000000042</v>
      </c>
      <c r="AA283" s="317">
        <f t="shared" si="177"/>
        <v>0.19480000000000042</v>
      </c>
      <c r="AB283" s="317">
        <f t="shared" si="177"/>
        <v>0.18750000000000042</v>
      </c>
      <c r="AC283" s="317">
        <f t="shared" si="177"/>
        <v>0.18020000000000042</v>
      </c>
      <c r="AD283" s="317">
        <f t="shared" si="177"/>
        <v>0.17290000000000041</v>
      </c>
      <c r="AE283" s="317">
        <f t="shared" si="177"/>
        <v>0.16560000000000041</v>
      </c>
      <c r="AF283" s="317">
        <f t="shared" si="177"/>
        <v>0.15830000000000041</v>
      </c>
      <c r="AG283" s="296">
        <v>0.151</v>
      </c>
      <c r="AI283" s="214"/>
      <c r="AJ283" s="211" t="s">
        <v>1363</v>
      </c>
    </row>
    <row r="284" spans="1:41" outlineLevel="1">
      <c r="A284" s="3" t="s">
        <v>451</v>
      </c>
      <c r="B284" s="302" t="s">
        <v>462</v>
      </c>
      <c r="C284" s="296">
        <v>0.08</v>
      </c>
      <c r="D284" s="317">
        <f t="shared" si="178"/>
        <v>8.0100000000000005E-2</v>
      </c>
      <c r="E284" s="317">
        <f t="shared" si="178"/>
        <v>8.0200000000000007E-2</v>
      </c>
      <c r="F284" s="317">
        <f t="shared" si="178"/>
        <v>8.030000000000001E-2</v>
      </c>
      <c r="G284" s="317">
        <f t="shared" si="178"/>
        <v>8.0400000000000013E-2</v>
      </c>
      <c r="H284" s="317">
        <f t="shared" si="178"/>
        <v>8.0500000000000016E-2</v>
      </c>
      <c r="I284" s="317">
        <f t="shared" si="178"/>
        <v>8.0600000000000019E-2</v>
      </c>
      <c r="J284" s="317">
        <f t="shared" si="178"/>
        <v>8.0700000000000022E-2</v>
      </c>
      <c r="K284" s="317">
        <f t="shared" si="178"/>
        <v>8.0800000000000025E-2</v>
      </c>
      <c r="L284" s="317">
        <f t="shared" si="178"/>
        <v>8.0900000000000027E-2</v>
      </c>
      <c r="M284" s="317">
        <f t="shared" si="178"/>
        <v>8.100000000000003E-2</v>
      </c>
      <c r="N284" s="317">
        <f t="shared" si="178"/>
        <v>8.1100000000000033E-2</v>
      </c>
      <c r="O284" s="317">
        <f t="shared" si="178"/>
        <v>8.1200000000000036E-2</v>
      </c>
      <c r="P284" s="317">
        <f t="shared" si="178"/>
        <v>8.1300000000000039E-2</v>
      </c>
      <c r="Q284" s="317">
        <f t="shared" si="178"/>
        <v>8.1400000000000042E-2</v>
      </c>
      <c r="R284" s="317">
        <f t="shared" si="178"/>
        <v>8.1500000000000045E-2</v>
      </c>
      <c r="S284" s="317">
        <f t="shared" si="178"/>
        <v>8.1600000000000047E-2</v>
      </c>
      <c r="T284" s="317">
        <f t="shared" si="177"/>
        <v>8.170000000000005E-2</v>
      </c>
      <c r="U284" s="317">
        <f t="shared" si="177"/>
        <v>8.1800000000000053E-2</v>
      </c>
      <c r="V284" s="317">
        <f t="shared" si="177"/>
        <v>8.1900000000000056E-2</v>
      </c>
      <c r="W284" s="317">
        <f t="shared" si="177"/>
        <v>8.2000000000000059E-2</v>
      </c>
      <c r="X284" s="317">
        <f t="shared" si="177"/>
        <v>8.2100000000000062E-2</v>
      </c>
      <c r="Y284" s="317">
        <f t="shared" si="177"/>
        <v>8.2200000000000065E-2</v>
      </c>
      <c r="Z284" s="317">
        <f t="shared" si="177"/>
        <v>8.2300000000000068E-2</v>
      </c>
      <c r="AA284" s="317">
        <f t="shared" si="177"/>
        <v>8.240000000000007E-2</v>
      </c>
      <c r="AB284" s="317">
        <f t="shared" si="177"/>
        <v>8.2500000000000073E-2</v>
      </c>
      <c r="AC284" s="317">
        <f t="shared" si="177"/>
        <v>8.2600000000000076E-2</v>
      </c>
      <c r="AD284" s="317">
        <f t="shared" si="177"/>
        <v>8.2700000000000079E-2</v>
      </c>
      <c r="AE284" s="317">
        <f t="shared" si="177"/>
        <v>8.2800000000000082E-2</v>
      </c>
      <c r="AF284" s="317">
        <f t="shared" si="177"/>
        <v>8.2900000000000085E-2</v>
      </c>
      <c r="AG284" s="296">
        <v>8.3000000000000004E-2</v>
      </c>
      <c r="AI284" s="214"/>
      <c r="AJ284" s="211" t="s">
        <v>1363</v>
      </c>
    </row>
    <row r="285" spans="1:41" outlineLevel="1">
      <c r="A285" s="3" t="s">
        <v>452</v>
      </c>
      <c r="B285" s="302" t="s">
        <v>462</v>
      </c>
      <c r="C285" s="296">
        <v>0.27</v>
      </c>
      <c r="D285" s="317">
        <f t="shared" si="178"/>
        <v>0.27313333333333334</v>
      </c>
      <c r="E285" s="317">
        <f t="shared" si="178"/>
        <v>0.27626666666666666</v>
      </c>
      <c r="F285" s="317">
        <f t="shared" si="178"/>
        <v>0.27939999999999998</v>
      </c>
      <c r="G285" s="317">
        <f t="shared" si="178"/>
        <v>0.2825333333333333</v>
      </c>
      <c r="H285" s="317">
        <f t="shared" si="178"/>
        <v>0.28566666666666662</v>
      </c>
      <c r="I285" s="317">
        <f t="shared" si="178"/>
        <v>0.28879999999999995</v>
      </c>
      <c r="J285" s="317">
        <f t="shared" si="178"/>
        <v>0.29193333333333327</v>
      </c>
      <c r="K285" s="317">
        <f t="shared" si="178"/>
        <v>0.29506666666666659</v>
      </c>
      <c r="L285" s="317">
        <f t="shared" si="178"/>
        <v>0.29819999999999991</v>
      </c>
      <c r="M285" s="317">
        <f t="shared" si="178"/>
        <v>0.30133333333333323</v>
      </c>
      <c r="N285" s="317">
        <f t="shared" si="178"/>
        <v>0.30446666666666655</v>
      </c>
      <c r="O285" s="317">
        <f t="shared" si="178"/>
        <v>0.30759999999999987</v>
      </c>
      <c r="P285" s="317">
        <f t="shared" si="178"/>
        <v>0.31073333333333319</v>
      </c>
      <c r="Q285" s="317">
        <f t="shared" si="178"/>
        <v>0.31386666666666652</v>
      </c>
      <c r="R285" s="317">
        <f t="shared" si="178"/>
        <v>0.31699999999999984</v>
      </c>
      <c r="S285" s="317">
        <f t="shared" si="178"/>
        <v>0.32013333333333316</v>
      </c>
      <c r="T285" s="317">
        <f t="shared" si="177"/>
        <v>0.32326666666666648</v>
      </c>
      <c r="U285" s="317">
        <f t="shared" si="177"/>
        <v>0.3263999999999998</v>
      </c>
      <c r="V285" s="317">
        <f t="shared" si="177"/>
        <v>0.32953333333333312</v>
      </c>
      <c r="W285" s="317">
        <f t="shared" si="177"/>
        <v>0.33266666666666644</v>
      </c>
      <c r="X285" s="317">
        <f t="shared" si="177"/>
        <v>0.33579999999999977</v>
      </c>
      <c r="Y285" s="317">
        <f t="shared" si="177"/>
        <v>0.33893333333333309</v>
      </c>
      <c r="Z285" s="317">
        <f t="shared" si="177"/>
        <v>0.34206666666666641</v>
      </c>
      <c r="AA285" s="317">
        <f t="shared" si="177"/>
        <v>0.34519999999999973</v>
      </c>
      <c r="AB285" s="317">
        <f t="shared" si="177"/>
        <v>0.34833333333333305</v>
      </c>
      <c r="AC285" s="317">
        <f t="shared" si="177"/>
        <v>0.35146666666666637</v>
      </c>
      <c r="AD285" s="317">
        <f t="shared" si="177"/>
        <v>0.35459999999999969</v>
      </c>
      <c r="AE285" s="317">
        <f t="shared" si="177"/>
        <v>0.35773333333333301</v>
      </c>
      <c r="AF285" s="317">
        <f t="shared" si="177"/>
        <v>0.36086666666666634</v>
      </c>
      <c r="AG285" s="296">
        <v>0.36399999999999999</v>
      </c>
      <c r="AI285" s="214"/>
      <c r="AJ285" s="211" t="s">
        <v>1363</v>
      </c>
    </row>
    <row r="286" spans="1:41" outlineLevel="1">
      <c r="A286" s="3" t="s">
        <v>1364</v>
      </c>
      <c r="B286" s="302" t="s">
        <v>462</v>
      </c>
      <c r="C286" s="296">
        <v>7.0000000000000007E-2</v>
      </c>
      <c r="D286" s="317">
        <f t="shared" si="178"/>
        <v>7.1266666666666673E-2</v>
      </c>
      <c r="E286" s="317">
        <f t="shared" si="178"/>
        <v>7.2533333333333339E-2</v>
      </c>
      <c r="F286" s="317">
        <f t="shared" si="178"/>
        <v>7.3800000000000004E-2</v>
      </c>
      <c r="G286" s="317">
        <f t="shared" si="178"/>
        <v>7.506666666666667E-2</v>
      </c>
      <c r="H286" s="317">
        <f t="shared" si="178"/>
        <v>7.6333333333333336E-2</v>
      </c>
      <c r="I286" s="317">
        <f t="shared" si="178"/>
        <v>7.7600000000000002E-2</v>
      </c>
      <c r="J286" s="317">
        <f t="shared" si="178"/>
        <v>7.8866666666666668E-2</v>
      </c>
      <c r="K286" s="317">
        <f t="shared" si="178"/>
        <v>8.0133333333333334E-2</v>
      </c>
      <c r="L286" s="317">
        <f t="shared" si="178"/>
        <v>8.14E-2</v>
      </c>
      <c r="M286" s="317">
        <f t="shared" si="178"/>
        <v>8.2666666666666666E-2</v>
      </c>
      <c r="N286" s="317">
        <f t="shared" si="178"/>
        <v>8.3933333333333332E-2</v>
      </c>
      <c r="O286" s="317">
        <f t="shared" si="178"/>
        <v>8.5199999999999998E-2</v>
      </c>
      <c r="P286" s="317">
        <f t="shared" si="178"/>
        <v>8.6466666666666664E-2</v>
      </c>
      <c r="Q286" s="317">
        <f t="shared" si="178"/>
        <v>8.773333333333333E-2</v>
      </c>
      <c r="R286" s="317">
        <f t="shared" si="178"/>
        <v>8.8999999999999996E-2</v>
      </c>
      <c r="S286" s="317">
        <f t="shared" si="178"/>
        <v>9.0266666666666662E-2</v>
      </c>
      <c r="T286" s="317">
        <f t="shared" si="177"/>
        <v>9.1533333333333328E-2</v>
      </c>
      <c r="U286" s="317">
        <f t="shared" si="177"/>
        <v>9.2799999999999994E-2</v>
      </c>
      <c r="V286" s="317">
        <f t="shared" si="177"/>
        <v>9.406666666666666E-2</v>
      </c>
      <c r="W286" s="317">
        <f t="shared" si="177"/>
        <v>9.5333333333333325E-2</v>
      </c>
      <c r="X286" s="317">
        <f t="shared" si="177"/>
        <v>9.6599999999999991E-2</v>
      </c>
      <c r="Y286" s="317">
        <f t="shared" si="177"/>
        <v>9.7866666666666657E-2</v>
      </c>
      <c r="Z286" s="317">
        <f t="shared" si="177"/>
        <v>9.9133333333333323E-2</v>
      </c>
      <c r="AA286" s="317">
        <f t="shared" si="177"/>
        <v>0.10039999999999999</v>
      </c>
      <c r="AB286" s="317">
        <f t="shared" si="177"/>
        <v>0.10166666666666666</v>
      </c>
      <c r="AC286" s="317">
        <f t="shared" si="177"/>
        <v>0.10293333333333332</v>
      </c>
      <c r="AD286" s="317">
        <f t="shared" si="177"/>
        <v>0.10419999999999999</v>
      </c>
      <c r="AE286" s="317">
        <f t="shared" si="177"/>
        <v>0.10546666666666665</v>
      </c>
      <c r="AF286" s="317">
        <f t="shared" si="177"/>
        <v>0.10673333333333332</v>
      </c>
      <c r="AG286" s="296">
        <v>0.108</v>
      </c>
      <c r="AI286" s="214"/>
      <c r="AJ286" s="211" t="s">
        <v>1363</v>
      </c>
    </row>
    <row r="287" spans="1:41" outlineLevel="1">
      <c r="A287" s="3" t="s">
        <v>1365</v>
      </c>
      <c r="B287" s="302" t="s">
        <v>462</v>
      </c>
      <c r="C287" s="296">
        <v>0.05</v>
      </c>
      <c r="D287" s="317">
        <f t="shared" si="178"/>
        <v>5.0733333333333339E-2</v>
      </c>
      <c r="E287" s="317">
        <f t="shared" si="178"/>
        <v>5.1466666666666674E-2</v>
      </c>
      <c r="F287" s="317">
        <f t="shared" si="178"/>
        <v>5.220000000000001E-2</v>
      </c>
      <c r="G287" s="317">
        <f t="shared" si="178"/>
        <v>5.2933333333333346E-2</v>
      </c>
      <c r="H287" s="317">
        <f t="shared" si="178"/>
        <v>5.3666666666666682E-2</v>
      </c>
      <c r="I287" s="317">
        <f t="shared" si="178"/>
        <v>5.4400000000000018E-2</v>
      </c>
      <c r="J287" s="317">
        <f t="shared" si="178"/>
        <v>5.5133333333333354E-2</v>
      </c>
      <c r="K287" s="317">
        <f t="shared" si="178"/>
        <v>5.5866666666666689E-2</v>
      </c>
      <c r="L287" s="317">
        <f t="shared" si="178"/>
        <v>5.6600000000000025E-2</v>
      </c>
      <c r="M287" s="317">
        <f t="shared" si="178"/>
        <v>5.7333333333333361E-2</v>
      </c>
      <c r="N287" s="317">
        <f t="shared" si="178"/>
        <v>5.8066666666666697E-2</v>
      </c>
      <c r="O287" s="317">
        <f t="shared" si="178"/>
        <v>5.8800000000000033E-2</v>
      </c>
      <c r="P287" s="317">
        <f t="shared" si="178"/>
        <v>5.9533333333333369E-2</v>
      </c>
      <c r="Q287" s="317">
        <f t="shared" si="178"/>
        <v>6.0266666666666704E-2</v>
      </c>
      <c r="R287" s="317">
        <f t="shared" si="178"/>
        <v>6.100000000000004E-2</v>
      </c>
      <c r="S287" s="317">
        <f t="shared" si="178"/>
        <v>6.1733333333333376E-2</v>
      </c>
      <c r="T287" s="317">
        <f t="shared" si="177"/>
        <v>6.2466666666666712E-2</v>
      </c>
      <c r="U287" s="317">
        <f t="shared" si="177"/>
        <v>6.3200000000000048E-2</v>
      </c>
      <c r="V287" s="317">
        <f t="shared" si="177"/>
        <v>6.3933333333333384E-2</v>
      </c>
      <c r="W287" s="317">
        <f t="shared" si="177"/>
        <v>6.4666666666666719E-2</v>
      </c>
      <c r="X287" s="317">
        <f t="shared" si="177"/>
        <v>6.5400000000000055E-2</v>
      </c>
      <c r="Y287" s="317">
        <f t="shared" si="177"/>
        <v>6.6133333333333391E-2</v>
      </c>
      <c r="Z287" s="317">
        <f t="shared" si="177"/>
        <v>6.6866666666666727E-2</v>
      </c>
      <c r="AA287" s="317">
        <f t="shared" si="177"/>
        <v>6.7600000000000063E-2</v>
      </c>
      <c r="AB287" s="317">
        <f t="shared" si="177"/>
        <v>6.8333333333333399E-2</v>
      </c>
      <c r="AC287" s="317">
        <f t="shared" si="177"/>
        <v>6.9066666666666734E-2</v>
      </c>
      <c r="AD287" s="317">
        <f t="shared" si="177"/>
        <v>6.980000000000007E-2</v>
      </c>
      <c r="AE287" s="317">
        <f t="shared" si="177"/>
        <v>7.0533333333333406E-2</v>
      </c>
      <c r="AF287" s="317">
        <f t="shared" si="177"/>
        <v>7.1266666666666742E-2</v>
      </c>
      <c r="AG287" s="296">
        <v>7.1999999999999995E-2</v>
      </c>
      <c r="AI287" s="214"/>
      <c r="AJ287" s="211" t="s">
        <v>1363</v>
      </c>
    </row>
    <row r="288" spans="1:41" s="58" customFormat="1" outlineLevel="1">
      <c r="A288" s="306" t="s">
        <v>1366</v>
      </c>
      <c r="B288" s="303"/>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c r="AC288" s="304"/>
      <c r="AD288" s="304"/>
      <c r="AE288" s="304"/>
      <c r="AF288" s="304"/>
      <c r="AG288" s="304"/>
      <c r="AI288" s="305"/>
      <c r="AJ288" s="306"/>
    </row>
    <row r="289" spans="1:36" s="58" customFormat="1" outlineLevel="1">
      <c r="A289" s="307" t="s">
        <v>1367</v>
      </c>
      <c r="B289" s="308" t="s">
        <v>462</v>
      </c>
      <c r="C289" s="337">
        <v>0.84</v>
      </c>
      <c r="D289" s="338">
        <f>-($C289-$AG289)/30+C289</f>
        <v>0.84399999999999997</v>
      </c>
      <c r="E289" s="338">
        <f t="shared" ref="E289:T290" si="179">-($C289-$AG289)/30+D289</f>
        <v>0.84799999999999998</v>
      </c>
      <c r="F289" s="338">
        <f t="shared" si="179"/>
        <v>0.85199999999999998</v>
      </c>
      <c r="G289" s="338">
        <f t="shared" si="179"/>
        <v>0.85599999999999998</v>
      </c>
      <c r="H289" s="338">
        <f t="shared" si="179"/>
        <v>0.86</v>
      </c>
      <c r="I289" s="338">
        <f t="shared" si="179"/>
        <v>0.86399999999999999</v>
      </c>
      <c r="J289" s="338">
        <f t="shared" si="179"/>
        <v>0.86799999999999999</v>
      </c>
      <c r="K289" s="338">
        <f t="shared" si="179"/>
        <v>0.872</v>
      </c>
      <c r="L289" s="338">
        <f t="shared" si="179"/>
        <v>0.876</v>
      </c>
      <c r="M289" s="338">
        <f t="shared" si="179"/>
        <v>0.88</v>
      </c>
      <c r="N289" s="338">
        <f t="shared" si="179"/>
        <v>0.88400000000000001</v>
      </c>
      <c r="O289" s="338">
        <f t="shared" si="179"/>
        <v>0.88800000000000001</v>
      </c>
      <c r="P289" s="338">
        <f t="shared" si="179"/>
        <v>0.89200000000000002</v>
      </c>
      <c r="Q289" s="338">
        <f t="shared" si="179"/>
        <v>0.89600000000000002</v>
      </c>
      <c r="R289" s="338">
        <f t="shared" si="179"/>
        <v>0.9</v>
      </c>
      <c r="S289" s="338">
        <f t="shared" si="179"/>
        <v>0.90400000000000003</v>
      </c>
      <c r="T289" s="338">
        <f t="shared" si="179"/>
        <v>0.90800000000000003</v>
      </c>
      <c r="U289" s="338">
        <f t="shared" ref="U289:AF290" si="180">-($C289-$AG289)/30+T289</f>
        <v>0.91200000000000003</v>
      </c>
      <c r="V289" s="338">
        <f t="shared" si="180"/>
        <v>0.91600000000000004</v>
      </c>
      <c r="W289" s="338">
        <f t="shared" si="180"/>
        <v>0.92</v>
      </c>
      <c r="X289" s="338">
        <f t="shared" si="180"/>
        <v>0.92400000000000004</v>
      </c>
      <c r="Y289" s="338">
        <f t="shared" si="180"/>
        <v>0.92800000000000005</v>
      </c>
      <c r="Z289" s="338">
        <f t="shared" si="180"/>
        <v>0.93200000000000005</v>
      </c>
      <c r="AA289" s="338">
        <f t="shared" si="180"/>
        <v>0.93600000000000005</v>
      </c>
      <c r="AB289" s="338">
        <f t="shared" si="180"/>
        <v>0.94000000000000006</v>
      </c>
      <c r="AC289" s="338">
        <f t="shared" si="180"/>
        <v>0.94400000000000006</v>
      </c>
      <c r="AD289" s="338">
        <f t="shared" si="180"/>
        <v>0.94800000000000006</v>
      </c>
      <c r="AE289" s="338">
        <f t="shared" si="180"/>
        <v>0.95200000000000007</v>
      </c>
      <c r="AF289" s="338">
        <f t="shared" si="180"/>
        <v>0.95600000000000007</v>
      </c>
      <c r="AG289" s="337">
        <v>0.96</v>
      </c>
      <c r="AI289" s="305"/>
      <c r="AJ289" s="339" t="s">
        <v>1363</v>
      </c>
    </row>
    <row r="290" spans="1:36" s="58" customFormat="1" outlineLevel="1">
      <c r="A290" s="307" t="s">
        <v>1368</v>
      </c>
      <c r="B290" s="308" t="s">
        <v>462</v>
      </c>
      <c r="C290" s="337">
        <v>0.22</v>
      </c>
      <c r="D290" s="338">
        <f>-($C290-$AG290)/30+C290</f>
        <v>0.22666666666666666</v>
      </c>
      <c r="E290" s="338">
        <f t="shared" si="179"/>
        <v>0.23333333333333331</v>
      </c>
      <c r="F290" s="338">
        <f t="shared" si="179"/>
        <v>0.23999999999999996</v>
      </c>
      <c r="G290" s="338">
        <f t="shared" si="179"/>
        <v>0.24666666666666662</v>
      </c>
      <c r="H290" s="338">
        <f t="shared" si="179"/>
        <v>0.2533333333333333</v>
      </c>
      <c r="I290" s="338">
        <f t="shared" si="179"/>
        <v>0.25999999999999995</v>
      </c>
      <c r="J290" s="338">
        <f t="shared" si="179"/>
        <v>0.26666666666666661</v>
      </c>
      <c r="K290" s="338">
        <f t="shared" si="179"/>
        <v>0.27333333333333326</v>
      </c>
      <c r="L290" s="338">
        <f t="shared" si="179"/>
        <v>0.27999999999999992</v>
      </c>
      <c r="M290" s="338">
        <f t="shared" si="179"/>
        <v>0.28666666666666657</v>
      </c>
      <c r="N290" s="338">
        <f t="shared" si="179"/>
        <v>0.29333333333333322</v>
      </c>
      <c r="O290" s="338">
        <f t="shared" si="179"/>
        <v>0.29999999999999988</v>
      </c>
      <c r="P290" s="338">
        <f t="shared" si="179"/>
        <v>0.30666666666666653</v>
      </c>
      <c r="Q290" s="338">
        <f t="shared" si="179"/>
        <v>0.31333333333333319</v>
      </c>
      <c r="R290" s="338">
        <f t="shared" si="179"/>
        <v>0.31999999999999984</v>
      </c>
      <c r="S290" s="338">
        <f t="shared" si="179"/>
        <v>0.32666666666666649</v>
      </c>
      <c r="T290" s="338">
        <f t="shared" si="179"/>
        <v>0.33333333333333315</v>
      </c>
      <c r="U290" s="338">
        <f t="shared" si="180"/>
        <v>0.3399999999999998</v>
      </c>
      <c r="V290" s="338">
        <f t="shared" si="180"/>
        <v>0.34666666666666646</v>
      </c>
      <c r="W290" s="338">
        <f t="shared" si="180"/>
        <v>0.35333333333333311</v>
      </c>
      <c r="X290" s="338">
        <f t="shared" si="180"/>
        <v>0.35999999999999976</v>
      </c>
      <c r="Y290" s="338">
        <f t="shared" si="180"/>
        <v>0.36666666666666642</v>
      </c>
      <c r="Z290" s="338">
        <f t="shared" si="180"/>
        <v>0.37333333333333307</v>
      </c>
      <c r="AA290" s="338">
        <f t="shared" si="180"/>
        <v>0.37999999999999973</v>
      </c>
      <c r="AB290" s="338">
        <f t="shared" si="180"/>
        <v>0.38666666666666638</v>
      </c>
      <c r="AC290" s="338">
        <f t="shared" si="180"/>
        <v>0.39333333333333304</v>
      </c>
      <c r="AD290" s="338">
        <f t="shared" si="180"/>
        <v>0.39999999999999969</v>
      </c>
      <c r="AE290" s="338">
        <f t="shared" si="180"/>
        <v>0.40666666666666634</v>
      </c>
      <c r="AF290" s="338">
        <f t="shared" si="180"/>
        <v>0.413333333333333</v>
      </c>
      <c r="AG290" s="337">
        <v>0.42</v>
      </c>
      <c r="AI290" s="305"/>
      <c r="AJ290" s="339" t="s">
        <v>1363</v>
      </c>
    </row>
    <row r="291" spans="1:36" s="62" customFormat="1" outlineLevel="1">
      <c r="A291" s="311" t="s">
        <v>1369</v>
      </c>
      <c r="B291" s="312" t="s">
        <v>462</v>
      </c>
      <c r="C291" s="340">
        <f>1-C290</f>
        <v>0.78</v>
      </c>
      <c r="D291" s="340">
        <f t="shared" ref="D291:AG291" si="181">1-D290</f>
        <v>0.77333333333333332</v>
      </c>
      <c r="E291" s="340">
        <f t="shared" si="181"/>
        <v>0.76666666666666672</v>
      </c>
      <c r="F291" s="340">
        <f t="shared" si="181"/>
        <v>0.76</v>
      </c>
      <c r="G291" s="340">
        <f t="shared" si="181"/>
        <v>0.75333333333333341</v>
      </c>
      <c r="H291" s="340">
        <f t="shared" si="181"/>
        <v>0.7466666666666667</v>
      </c>
      <c r="I291" s="340">
        <f t="shared" si="181"/>
        <v>0.74</v>
      </c>
      <c r="J291" s="340">
        <f t="shared" si="181"/>
        <v>0.73333333333333339</v>
      </c>
      <c r="K291" s="340">
        <f t="shared" si="181"/>
        <v>0.72666666666666679</v>
      </c>
      <c r="L291" s="340">
        <f t="shared" si="181"/>
        <v>0.72000000000000008</v>
      </c>
      <c r="M291" s="340">
        <f t="shared" si="181"/>
        <v>0.71333333333333337</v>
      </c>
      <c r="N291" s="340">
        <f t="shared" si="181"/>
        <v>0.70666666666666678</v>
      </c>
      <c r="O291" s="340">
        <f t="shared" si="181"/>
        <v>0.70000000000000018</v>
      </c>
      <c r="P291" s="340">
        <f t="shared" si="181"/>
        <v>0.69333333333333347</v>
      </c>
      <c r="Q291" s="340">
        <f t="shared" si="181"/>
        <v>0.68666666666666676</v>
      </c>
      <c r="R291" s="340">
        <f t="shared" si="181"/>
        <v>0.68000000000000016</v>
      </c>
      <c r="S291" s="340">
        <f t="shared" si="181"/>
        <v>0.67333333333333356</v>
      </c>
      <c r="T291" s="340">
        <f t="shared" si="181"/>
        <v>0.66666666666666685</v>
      </c>
      <c r="U291" s="340">
        <f t="shared" si="181"/>
        <v>0.66000000000000014</v>
      </c>
      <c r="V291" s="340">
        <f t="shared" si="181"/>
        <v>0.65333333333333354</v>
      </c>
      <c r="W291" s="340">
        <f t="shared" si="181"/>
        <v>0.64666666666666694</v>
      </c>
      <c r="X291" s="340">
        <f t="shared" si="181"/>
        <v>0.64000000000000024</v>
      </c>
      <c r="Y291" s="340">
        <f t="shared" si="181"/>
        <v>0.63333333333333353</v>
      </c>
      <c r="Z291" s="340">
        <f t="shared" si="181"/>
        <v>0.62666666666666693</v>
      </c>
      <c r="AA291" s="340">
        <f t="shared" si="181"/>
        <v>0.62000000000000033</v>
      </c>
      <c r="AB291" s="340">
        <f t="shared" si="181"/>
        <v>0.61333333333333362</v>
      </c>
      <c r="AC291" s="340">
        <f t="shared" si="181"/>
        <v>0.60666666666666691</v>
      </c>
      <c r="AD291" s="340">
        <f t="shared" si="181"/>
        <v>0.60000000000000031</v>
      </c>
      <c r="AE291" s="340">
        <f t="shared" si="181"/>
        <v>0.59333333333333371</v>
      </c>
      <c r="AF291" s="340">
        <f t="shared" si="181"/>
        <v>0.586666666666667</v>
      </c>
      <c r="AG291" s="340">
        <f t="shared" si="181"/>
        <v>0.58000000000000007</v>
      </c>
      <c r="AI291" s="342"/>
      <c r="AJ291" s="341" t="s">
        <v>1363</v>
      </c>
    </row>
    <row r="292" spans="1:36" s="1" customFormat="1" outlineLevel="1">
      <c r="A292" t="s">
        <v>1370</v>
      </c>
      <c r="B292" s="302" t="s">
        <v>462</v>
      </c>
      <c r="C292" s="296">
        <v>0.95</v>
      </c>
      <c r="D292" s="317">
        <f t="shared" ref="D292:S307" si="182">-($C292-$AG292)/30+C292</f>
        <v>0.94499999999999995</v>
      </c>
      <c r="E292" s="317">
        <f t="shared" si="182"/>
        <v>0.94</v>
      </c>
      <c r="F292" s="317">
        <f t="shared" si="182"/>
        <v>0.93499999999999994</v>
      </c>
      <c r="G292" s="317">
        <f t="shared" si="182"/>
        <v>0.92999999999999994</v>
      </c>
      <c r="H292" s="317">
        <f t="shared" si="182"/>
        <v>0.92499999999999993</v>
      </c>
      <c r="I292" s="317">
        <f t="shared" si="182"/>
        <v>0.91999999999999993</v>
      </c>
      <c r="J292" s="317">
        <f t="shared" si="182"/>
        <v>0.91499999999999992</v>
      </c>
      <c r="K292" s="317">
        <f t="shared" si="182"/>
        <v>0.90999999999999992</v>
      </c>
      <c r="L292" s="317">
        <f t="shared" si="182"/>
        <v>0.90499999999999992</v>
      </c>
      <c r="M292" s="317">
        <f t="shared" si="182"/>
        <v>0.89999999999999991</v>
      </c>
      <c r="N292" s="317">
        <f t="shared" si="182"/>
        <v>0.89499999999999991</v>
      </c>
      <c r="O292" s="317">
        <f t="shared" si="182"/>
        <v>0.8899999999999999</v>
      </c>
      <c r="P292" s="317">
        <f t="shared" si="182"/>
        <v>0.8849999999999999</v>
      </c>
      <c r="Q292" s="317">
        <f t="shared" si="182"/>
        <v>0.87999999999999989</v>
      </c>
      <c r="R292" s="317">
        <f t="shared" si="182"/>
        <v>0.87499999999999989</v>
      </c>
      <c r="S292" s="317">
        <f t="shared" si="182"/>
        <v>0.86999999999999988</v>
      </c>
      <c r="T292" s="317">
        <f t="shared" ref="T292:AF306" si="183">-($C292-$AG292)/30+S292</f>
        <v>0.86499999999999988</v>
      </c>
      <c r="U292" s="317">
        <f t="shared" si="183"/>
        <v>0.85999999999999988</v>
      </c>
      <c r="V292" s="317">
        <f t="shared" si="183"/>
        <v>0.85499999999999987</v>
      </c>
      <c r="W292" s="317">
        <f t="shared" si="183"/>
        <v>0.84999999999999987</v>
      </c>
      <c r="X292" s="317">
        <f t="shared" si="183"/>
        <v>0.84499999999999986</v>
      </c>
      <c r="Y292" s="317">
        <f t="shared" si="183"/>
        <v>0.83999999999999986</v>
      </c>
      <c r="Z292" s="317">
        <f t="shared" si="183"/>
        <v>0.83499999999999985</v>
      </c>
      <c r="AA292" s="317">
        <f t="shared" si="183"/>
        <v>0.82999999999999985</v>
      </c>
      <c r="AB292" s="317">
        <f t="shared" si="183"/>
        <v>0.82499999999999984</v>
      </c>
      <c r="AC292" s="317">
        <f t="shared" si="183"/>
        <v>0.81999999999999984</v>
      </c>
      <c r="AD292" s="317">
        <f t="shared" si="183"/>
        <v>0.81499999999999984</v>
      </c>
      <c r="AE292" s="317">
        <f t="shared" si="183"/>
        <v>0.80999999999999983</v>
      </c>
      <c r="AF292" s="317">
        <f t="shared" si="183"/>
        <v>0.80499999999999983</v>
      </c>
      <c r="AG292" s="296">
        <v>0.8</v>
      </c>
      <c r="AI292" s="316"/>
      <c r="AJ292" s="211" t="s">
        <v>1363</v>
      </c>
    </row>
    <row r="293" spans="1:36" s="1" customFormat="1" outlineLevel="1">
      <c r="A293" t="s">
        <v>1371</v>
      </c>
      <c r="B293" s="302" t="s">
        <v>462</v>
      </c>
      <c r="C293" s="296">
        <v>0.05</v>
      </c>
      <c r="D293" s="317">
        <f t="shared" si="182"/>
        <v>5.5000000000000007E-2</v>
      </c>
      <c r="E293" s="317">
        <f t="shared" si="182"/>
        <v>6.0000000000000012E-2</v>
      </c>
      <c r="F293" s="317">
        <f t="shared" si="182"/>
        <v>6.5000000000000016E-2</v>
      </c>
      <c r="G293" s="317">
        <f t="shared" si="182"/>
        <v>7.0000000000000021E-2</v>
      </c>
      <c r="H293" s="317">
        <f t="shared" si="182"/>
        <v>7.5000000000000025E-2</v>
      </c>
      <c r="I293" s="317">
        <f t="shared" si="182"/>
        <v>8.0000000000000029E-2</v>
      </c>
      <c r="J293" s="317">
        <f t="shared" si="182"/>
        <v>8.5000000000000034E-2</v>
      </c>
      <c r="K293" s="317">
        <f t="shared" si="182"/>
        <v>9.0000000000000038E-2</v>
      </c>
      <c r="L293" s="317">
        <f t="shared" si="182"/>
        <v>9.5000000000000043E-2</v>
      </c>
      <c r="M293" s="317">
        <f t="shared" si="182"/>
        <v>0.10000000000000005</v>
      </c>
      <c r="N293" s="317">
        <f t="shared" si="182"/>
        <v>0.10500000000000005</v>
      </c>
      <c r="O293" s="317">
        <f t="shared" si="182"/>
        <v>0.11000000000000006</v>
      </c>
      <c r="P293" s="317">
        <f t="shared" si="182"/>
        <v>0.11500000000000006</v>
      </c>
      <c r="Q293" s="317">
        <f t="shared" si="182"/>
        <v>0.12000000000000006</v>
      </c>
      <c r="R293" s="317">
        <f t="shared" si="182"/>
        <v>0.12500000000000006</v>
      </c>
      <c r="S293" s="317">
        <f t="shared" si="182"/>
        <v>0.13000000000000006</v>
      </c>
      <c r="T293" s="317">
        <f t="shared" si="183"/>
        <v>0.13500000000000006</v>
      </c>
      <c r="U293" s="317">
        <f t="shared" si="183"/>
        <v>0.14000000000000007</v>
      </c>
      <c r="V293" s="317">
        <f t="shared" si="183"/>
        <v>0.14500000000000007</v>
      </c>
      <c r="W293" s="317">
        <f t="shared" si="183"/>
        <v>0.15000000000000008</v>
      </c>
      <c r="X293" s="317">
        <f t="shared" si="183"/>
        <v>0.15500000000000008</v>
      </c>
      <c r="Y293" s="317">
        <f t="shared" si="183"/>
        <v>0.16000000000000009</v>
      </c>
      <c r="Z293" s="317">
        <f t="shared" si="183"/>
        <v>0.16500000000000009</v>
      </c>
      <c r="AA293" s="317">
        <f t="shared" si="183"/>
        <v>0.1700000000000001</v>
      </c>
      <c r="AB293" s="317">
        <f t="shared" si="183"/>
        <v>0.1750000000000001</v>
      </c>
      <c r="AC293" s="317">
        <f t="shared" si="183"/>
        <v>0.1800000000000001</v>
      </c>
      <c r="AD293" s="317">
        <f t="shared" si="183"/>
        <v>0.18500000000000011</v>
      </c>
      <c r="AE293" s="317">
        <f t="shared" si="183"/>
        <v>0.19000000000000011</v>
      </c>
      <c r="AF293" s="317">
        <f t="shared" si="183"/>
        <v>0.19500000000000012</v>
      </c>
      <c r="AG293" s="296">
        <v>0.2</v>
      </c>
      <c r="AI293" s="435" t="s">
        <v>1506</v>
      </c>
      <c r="AJ293" s="211" t="s">
        <v>1363</v>
      </c>
    </row>
    <row r="294" spans="1:36" s="1" customFormat="1" outlineLevel="1">
      <c r="A294" t="s">
        <v>1372</v>
      </c>
      <c r="B294" s="302" t="s">
        <v>462</v>
      </c>
      <c r="C294" s="296">
        <v>0.15</v>
      </c>
      <c r="D294" s="317">
        <f t="shared" si="182"/>
        <v>0.15633333333333332</v>
      </c>
      <c r="E294" s="317">
        <f t="shared" si="182"/>
        <v>0.16266666666666665</v>
      </c>
      <c r="F294" s="317">
        <f t="shared" si="182"/>
        <v>0.16899999999999998</v>
      </c>
      <c r="G294" s="317">
        <f t="shared" si="182"/>
        <v>0.17533333333333331</v>
      </c>
      <c r="H294" s="317">
        <f t="shared" si="182"/>
        <v>0.18166666666666664</v>
      </c>
      <c r="I294" s="317">
        <f t="shared" si="182"/>
        <v>0.18799999999999997</v>
      </c>
      <c r="J294" s="317">
        <f t="shared" si="182"/>
        <v>0.1943333333333333</v>
      </c>
      <c r="K294" s="317">
        <f t="shared" si="182"/>
        <v>0.20066666666666663</v>
      </c>
      <c r="L294" s="317">
        <f t="shared" si="182"/>
        <v>0.20699999999999996</v>
      </c>
      <c r="M294" s="317">
        <f t="shared" si="182"/>
        <v>0.21333333333333329</v>
      </c>
      <c r="N294" s="317">
        <f t="shared" si="182"/>
        <v>0.21966666666666662</v>
      </c>
      <c r="O294" s="317">
        <f t="shared" si="182"/>
        <v>0.22599999999999995</v>
      </c>
      <c r="P294" s="317">
        <f t="shared" si="182"/>
        <v>0.23233333333333328</v>
      </c>
      <c r="Q294" s="317">
        <f t="shared" si="182"/>
        <v>0.23866666666666661</v>
      </c>
      <c r="R294" s="317">
        <f t="shared" si="182"/>
        <v>0.24499999999999994</v>
      </c>
      <c r="S294" s="317">
        <f t="shared" si="182"/>
        <v>0.2513333333333333</v>
      </c>
      <c r="T294" s="317">
        <f t="shared" si="183"/>
        <v>0.25766666666666665</v>
      </c>
      <c r="U294" s="317">
        <f t="shared" si="183"/>
        <v>0.26400000000000001</v>
      </c>
      <c r="V294" s="317">
        <f t="shared" si="183"/>
        <v>0.27033333333333337</v>
      </c>
      <c r="W294" s="317">
        <f t="shared" si="183"/>
        <v>0.27666666666666673</v>
      </c>
      <c r="X294" s="317">
        <f t="shared" si="183"/>
        <v>0.28300000000000008</v>
      </c>
      <c r="Y294" s="317">
        <f t="shared" si="183"/>
        <v>0.28933333333333344</v>
      </c>
      <c r="Z294" s="317">
        <f t="shared" si="183"/>
        <v>0.2956666666666668</v>
      </c>
      <c r="AA294" s="317">
        <f t="shared" si="183"/>
        <v>0.30200000000000016</v>
      </c>
      <c r="AB294" s="317">
        <f t="shared" si="183"/>
        <v>0.30833333333333351</v>
      </c>
      <c r="AC294" s="317">
        <f t="shared" si="183"/>
        <v>0.31466666666666687</v>
      </c>
      <c r="AD294" s="317">
        <f t="shared" si="183"/>
        <v>0.32100000000000023</v>
      </c>
      <c r="AE294" s="317">
        <f t="shared" si="183"/>
        <v>0.32733333333333359</v>
      </c>
      <c r="AF294" s="317">
        <f t="shared" si="183"/>
        <v>0.33366666666666694</v>
      </c>
      <c r="AG294" s="296">
        <v>0.34</v>
      </c>
      <c r="AI294" s="316"/>
      <c r="AJ294" s="211" t="s">
        <v>1363</v>
      </c>
    </row>
    <row r="295" spans="1:36" s="1" customFormat="1" outlineLevel="1">
      <c r="A295" t="s">
        <v>1373</v>
      </c>
      <c r="B295" s="302" t="s">
        <v>462</v>
      </c>
      <c r="C295" s="296">
        <v>0.85</v>
      </c>
      <c r="D295" s="317">
        <f t="shared" si="182"/>
        <v>0.84366666666666668</v>
      </c>
      <c r="E295" s="317">
        <f t="shared" si="182"/>
        <v>0.83733333333333337</v>
      </c>
      <c r="F295" s="317">
        <f t="shared" si="182"/>
        <v>0.83100000000000007</v>
      </c>
      <c r="G295" s="317">
        <f t="shared" si="182"/>
        <v>0.82466666666666677</v>
      </c>
      <c r="H295" s="317">
        <f t="shared" si="182"/>
        <v>0.81833333333333347</v>
      </c>
      <c r="I295" s="317">
        <f t="shared" si="182"/>
        <v>0.81200000000000017</v>
      </c>
      <c r="J295" s="317">
        <f t="shared" si="182"/>
        <v>0.80566666666666686</v>
      </c>
      <c r="K295" s="317">
        <f t="shared" si="182"/>
        <v>0.79933333333333356</v>
      </c>
      <c r="L295" s="317">
        <f t="shared" si="182"/>
        <v>0.79300000000000026</v>
      </c>
      <c r="M295" s="317">
        <f t="shared" si="182"/>
        <v>0.78666666666666696</v>
      </c>
      <c r="N295" s="317">
        <f t="shared" si="182"/>
        <v>0.78033333333333366</v>
      </c>
      <c r="O295" s="317">
        <f t="shared" si="182"/>
        <v>0.77400000000000035</v>
      </c>
      <c r="P295" s="317">
        <f t="shared" si="182"/>
        <v>0.76766666666666705</v>
      </c>
      <c r="Q295" s="317">
        <f t="shared" si="182"/>
        <v>0.76133333333333375</v>
      </c>
      <c r="R295" s="317">
        <f t="shared" si="182"/>
        <v>0.75500000000000045</v>
      </c>
      <c r="S295" s="317">
        <f t="shared" si="182"/>
        <v>0.74866666666666715</v>
      </c>
      <c r="T295" s="317">
        <f t="shared" si="183"/>
        <v>0.74233333333333384</v>
      </c>
      <c r="U295" s="317">
        <f t="shared" si="183"/>
        <v>0.73600000000000054</v>
      </c>
      <c r="V295" s="317">
        <f t="shared" si="183"/>
        <v>0.72966666666666724</v>
      </c>
      <c r="W295" s="317">
        <f t="shared" si="183"/>
        <v>0.72333333333333394</v>
      </c>
      <c r="X295" s="317">
        <f t="shared" si="183"/>
        <v>0.71700000000000064</v>
      </c>
      <c r="Y295" s="317">
        <f t="shared" si="183"/>
        <v>0.71066666666666733</v>
      </c>
      <c r="Z295" s="317">
        <f t="shared" si="183"/>
        <v>0.70433333333333403</v>
      </c>
      <c r="AA295" s="317">
        <f t="shared" si="183"/>
        <v>0.69800000000000073</v>
      </c>
      <c r="AB295" s="317">
        <f t="shared" si="183"/>
        <v>0.69166666666666743</v>
      </c>
      <c r="AC295" s="317">
        <f t="shared" si="183"/>
        <v>0.68533333333333413</v>
      </c>
      <c r="AD295" s="317">
        <f t="shared" si="183"/>
        <v>0.67900000000000083</v>
      </c>
      <c r="AE295" s="317">
        <f t="shared" si="183"/>
        <v>0.67266666666666752</v>
      </c>
      <c r="AF295" s="317">
        <f t="shared" si="183"/>
        <v>0.66633333333333422</v>
      </c>
      <c r="AG295" s="296">
        <v>0.66</v>
      </c>
      <c r="AI295" s="316"/>
      <c r="AJ295" s="211" t="s">
        <v>1363</v>
      </c>
    </row>
    <row r="296" spans="1:36" s="1" customFormat="1" outlineLevel="1">
      <c r="A296" t="s">
        <v>1374</v>
      </c>
      <c r="B296" s="302" t="s">
        <v>462</v>
      </c>
      <c r="C296" s="296">
        <v>0</v>
      </c>
      <c r="D296" s="317">
        <f t="shared" si="182"/>
        <v>0</v>
      </c>
      <c r="E296" s="317">
        <f t="shared" si="182"/>
        <v>0</v>
      </c>
      <c r="F296" s="317">
        <f t="shared" si="182"/>
        <v>0</v>
      </c>
      <c r="G296" s="317">
        <f t="shared" si="182"/>
        <v>0</v>
      </c>
      <c r="H296" s="317">
        <f t="shared" si="182"/>
        <v>0</v>
      </c>
      <c r="I296" s="317">
        <f t="shared" si="182"/>
        <v>0</v>
      </c>
      <c r="J296" s="317">
        <f t="shared" si="182"/>
        <v>0</v>
      </c>
      <c r="K296" s="317">
        <f t="shared" si="182"/>
        <v>0</v>
      </c>
      <c r="L296" s="317">
        <f t="shared" si="182"/>
        <v>0</v>
      </c>
      <c r="M296" s="317">
        <f t="shared" si="182"/>
        <v>0</v>
      </c>
      <c r="N296" s="317">
        <f t="shared" si="182"/>
        <v>0</v>
      </c>
      <c r="O296" s="317">
        <f t="shared" si="182"/>
        <v>0</v>
      </c>
      <c r="P296" s="317">
        <f t="shared" si="182"/>
        <v>0</v>
      </c>
      <c r="Q296" s="317">
        <f t="shared" si="182"/>
        <v>0</v>
      </c>
      <c r="R296" s="317">
        <f t="shared" si="182"/>
        <v>0</v>
      </c>
      <c r="S296" s="317">
        <f t="shared" si="182"/>
        <v>0</v>
      </c>
      <c r="T296" s="317">
        <f t="shared" si="183"/>
        <v>0</v>
      </c>
      <c r="U296" s="317">
        <f t="shared" si="183"/>
        <v>0</v>
      </c>
      <c r="V296" s="317">
        <f t="shared" si="183"/>
        <v>0</v>
      </c>
      <c r="W296" s="317">
        <f t="shared" si="183"/>
        <v>0</v>
      </c>
      <c r="X296" s="317">
        <f t="shared" si="183"/>
        <v>0</v>
      </c>
      <c r="Y296" s="317">
        <f t="shared" si="183"/>
        <v>0</v>
      </c>
      <c r="Z296" s="317">
        <f t="shared" si="183"/>
        <v>0</v>
      </c>
      <c r="AA296" s="317">
        <f t="shared" si="183"/>
        <v>0</v>
      </c>
      <c r="AB296" s="317">
        <f t="shared" si="183"/>
        <v>0</v>
      </c>
      <c r="AC296" s="317">
        <f t="shared" si="183"/>
        <v>0</v>
      </c>
      <c r="AD296" s="317">
        <f t="shared" si="183"/>
        <v>0</v>
      </c>
      <c r="AE296" s="317">
        <f t="shared" si="183"/>
        <v>0</v>
      </c>
      <c r="AF296" s="317">
        <f t="shared" si="183"/>
        <v>0</v>
      </c>
      <c r="AG296" s="296">
        <v>0</v>
      </c>
      <c r="AI296" s="316"/>
      <c r="AJ296" s="211" t="s">
        <v>1363</v>
      </c>
    </row>
    <row r="297" spans="1:36" s="1" customFormat="1" outlineLevel="1">
      <c r="A297" t="s">
        <v>1375</v>
      </c>
      <c r="B297" s="302" t="s">
        <v>462</v>
      </c>
      <c r="C297" s="296">
        <v>1</v>
      </c>
      <c r="D297" s="317">
        <f t="shared" si="182"/>
        <v>1</v>
      </c>
      <c r="E297" s="317">
        <f t="shared" si="182"/>
        <v>1</v>
      </c>
      <c r="F297" s="317">
        <f t="shared" si="182"/>
        <v>1</v>
      </c>
      <c r="G297" s="317">
        <f t="shared" si="182"/>
        <v>1</v>
      </c>
      <c r="H297" s="317">
        <f t="shared" si="182"/>
        <v>1</v>
      </c>
      <c r="I297" s="317">
        <f t="shared" si="182"/>
        <v>1</v>
      </c>
      <c r="J297" s="317">
        <f t="shared" si="182"/>
        <v>1</v>
      </c>
      <c r="K297" s="317">
        <f t="shared" si="182"/>
        <v>1</v>
      </c>
      <c r="L297" s="317">
        <f t="shared" si="182"/>
        <v>1</v>
      </c>
      <c r="M297" s="317">
        <f t="shared" si="182"/>
        <v>1</v>
      </c>
      <c r="N297" s="317">
        <f t="shared" si="182"/>
        <v>1</v>
      </c>
      <c r="O297" s="317">
        <f t="shared" si="182"/>
        <v>1</v>
      </c>
      <c r="P297" s="317">
        <f t="shared" si="182"/>
        <v>1</v>
      </c>
      <c r="Q297" s="317">
        <f t="shared" si="182"/>
        <v>1</v>
      </c>
      <c r="R297" s="317">
        <f t="shared" si="182"/>
        <v>1</v>
      </c>
      <c r="S297" s="317">
        <f t="shared" si="182"/>
        <v>1</v>
      </c>
      <c r="T297" s="317">
        <f t="shared" si="183"/>
        <v>1</v>
      </c>
      <c r="U297" s="317">
        <f t="shared" si="183"/>
        <v>1</v>
      </c>
      <c r="V297" s="317">
        <f t="shared" si="183"/>
        <v>1</v>
      </c>
      <c r="W297" s="317">
        <f t="shared" si="183"/>
        <v>1</v>
      </c>
      <c r="X297" s="317">
        <f t="shared" si="183"/>
        <v>1</v>
      </c>
      <c r="Y297" s="317">
        <f t="shared" si="183"/>
        <v>1</v>
      </c>
      <c r="Z297" s="317">
        <f t="shared" si="183"/>
        <v>1</v>
      </c>
      <c r="AA297" s="317">
        <f t="shared" si="183"/>
        <v>1</v>
      </c>
      <c r="AB297" s="317">
        <f t="shared" si="183"/>
        <v>1</v>
      </c>
      <c r="AC297" s="317">
        <f t="shared" si="183"/>
        <v>1</v>
      </c>
      <c r="AD297" s="317">
        <f t="shared" si="183"/>
        <v>1</v>
      </c>
      <c r="AE297" s="317">
        <f t="shared" si="183"/>
        <v>1</v>
      </c>
      <c r="AF297" s="317">
        <f t="shared" si="183"/>
        <v>1</v>
      </c>
      <c r="AG297" s="296">
        <v>1</v>
      </c>
      <c r="AI297" s="316"/>
      <c r="AJ297" s="211" t="s">
        <v>1363</v>
      </c>
    </row>
    <row r="298" spans="1:36" s="1" customFormat="1" outlineLevel="1">
      <c r="A298" t="s">
        <v>1376</v>
      </c>
      <c r="B298" s="302" t="s">
        <v>462</v>
      </c>
      <c r="C298" s="296">
        <v>0.8</v>
      </c>
      <c r="D298" s="317">
        <f t="shared" si="182"/>
        <v>0.80333333333333334</v>
      </c>
      <c r="E298" s="317">
        <f t="shared" si="182"/>
        <v>0.80666666666666664</v>
      </c>
      <c r="F298" s="317">
        <f t="shared" si="182"/>
        <v>0.80999999999999994</v>
      </c>
      <c r="G298" s="317">
        <f t="shared" si="182"/>
        <v>0.81333333333333324</v>
      </c>
      <c r="H298" s="317">
        <f t="shared" si="182"/>
        <v>0.81666666666666654</v>
      </c>
      <c r="I298" s="317">
        <f t="shared" si="182"/>
        <v>0.81999999999999984</v>
      </c>
      <c r="J298" s="317">
        <f t="shared" si="182"/>
        <v>0.82333333333333314</v>
      </c>
      <c r="K298" s="317">
        <f t="shared" si="182"/>
        <v>0.82666666666666644</v>
      </c>
      <c r="L298" s="317">
        <f t="shared" si="182"/>
        <v>0.82999999999999974</v>
      </c>
      <c r="M298" s="317">
        <f t="shared" si="182"/>
        <v>0.83333333333333304</v>
      </c>
      <c r="N298" s="317">
        <f t="shared" si="182"/>
        <v>0.83666666666666634</v>
      </c>
      <c r="O298" s="317">
        <f t="shared" si="182"/>
        <v>0.83999999999999964</v>
      </c>
      <c r="P298" s="317">
        <f t="shared" si="182"/>
        <v>0.84333333333333294</v>
      </c>
      <c r="Q298" s="317">
        <f t="shared" si="182"/>
        <v>0.84666666666666623</v>
      </c>
      <c r="R298" s="317">
        <f t="shared" si="182"/>
        <v>0.84999999999999953</v>
      </c>
      <c r="S298" s="317">
        <f t="shared" si="182"/>
        <v>0.85333333333333283</v>
      </c>
      <c r="T298" s="317">
        <f t="shared" si="183"/>
        <v>0.85666666666666613</v>
      </c>
      <c r="U298" s="317">
        <f t="shared" si="183"/>
        <v>0.85999999999999943</v>
      </c>
      <c r="V298" s="317">
        <f t="shared" si="183"/>
        <v>0.86333333333333273</v>
      </c>
      <c r="W298" s="317">
        <f t="shared" si="183"/>
        <v>0.86666666666666603</v>
      </c>
      <c r="X298" s="317">
        <f t="shared" si="183"/>
        <v>0.86999999999999933</v>
      </c>
      <c r="Y298" s="317">
        <f t="shared" si="183"/>
        <v>0.87333333333333263</v>
      </c>
      <c r="Z298" s="317">
        <f t="shared" si="183"/>
        <v>0.87666666666666593</v>
      </c>
      <c r="AA298" s="317">
        <f t="shared" si="183"/>
        <v>0.87999999999999923</v>
      </c>
      <c r="AB298" s="317">
        <f t="shared" si="183"/>
        <v>0.88333333333333253</v>
      </c>
      <c r="AC298" s="317">
        <f t="shared" si="183"/>
        <v>0.88666666666666583</v>
      </c>
      <c r="AD298" s="317">
        <f t="shared" si="183"/>
        <v>0.88999999999999913</v>
      </c>
      <c r="AE298" s="317">
        <f t="shared" si="183"/>
        <v>0.89333333333333242</v>
      </c>
      <c r="AF298" s="317">
        <f t="shared" si="183"/>
        <v>0.89666666666666572</v>
      </c>
      <c r="AG298" s="296">
        <v>0.9</v>
      </c>
      <c r="AI298" s="316"/>
      <c r="AJ298" s="211" t="s">
        <v>1363</v>
      </c>
    </row>
    <row r="299" spans="1:36" s="1" customFormat="1" outlineLevel="1">
      <c r="A299" t="s">
        <v>1377</v>
      </c>
      <c r="B299" s="302" t="s">
        <v>462</v>
      </c>
      <c r="C299" s="296">
        <v>0.2</v>
      </c>
      <c r="D299" s="317">
        <f t="shared" si="182"/>
        <v>0.19666666666666668</v>
      </c>
      <c r="E299" s="317">
        <f t="shared" si="182"/>
        <v>0.19333333333333336</v>
      </c>
      <c r="F299" s="317">
        <f t="shared" si="182"/>
        <v>0.19000000000000003</v>
      </c>
      <c r="G299" s="317">
        <f t="shared" si="182"/>
        <v>0.1866666666666667</v>
      </c>
      <c r="H299" s="317">
        <f t="shared" si="182"/>
        <v>0.18333333333333338</v>
      </c>
      <c r="I299" s="317">
        <f t="shared" si="182"/>
        <v>0.18000000000000005</v>
      </c>
      <c r="J299" s="317">
        <f t="shared" si="182"/>
        <v>0.17666666666666672</v>
      </c>
      <c r="K299" s="317">
        <f t="shared" si="182"/>
        <v>0.17333333333333339</v>
      </c>
      <c r="L299" s="317">
        <f t="shared" si="182"/>
        <v>0.17000000000000007</v>
      </c>
      <c r="M299" s="317">
        <f t="shared" si="182"/>
        <v>0.16666666666666674</v>
      </c>
      <c r="N299" s="317">
        <f t="shared" si="182"/>
        <v>0.16333333333333341</v>
      </c>
      <c r="O299" s="317">
        <f t="shared" si="182"/>
        <v>0.16000000000000009</v>
      </c>
      <c r="P299" s="317">
        <f t="shared" si="182"/>
        <v>0.15666666666666676</v>
      </c>
      <c r="Q299" s="317">
        <f t="shared" si="182"/>
        <v>0.15333333333333343</v>
      </c>
      <c r="R299" s="317">
        <f t="shared" si="182"/>
        <v>0.15000000000000011</v>
      </c>
      <c r="S299" s="317">
        <f t="shared" si="182"/>
        <v>0.14666666666666678</v>
      </c>
      <c r="T299" s="317">
        <f t="shared" si="183"/>
        <v>0.14333333333333345</v>
      </c>
      <c r="U299" s="317">
        <f t="shared" si="183"/>
        <v>0.14000000000000012</v>
      </c>
      <c r="V299" s="317">
        <f t="shared" si="183"/>
        <v>0.1366666666666668</v>
      </c>
      <c r="W299" s="317">
        <f t="shared" si="183"/>
        <v>0.13333333333333347</v>
      </c>
      <c r="X299" s="317">
        <f t="shared" si="183"/>
        <v>0.13000000000000014</v>
      </c>
      <c r="Y299" s="317">
        <f t="shared" si="183"/>
        <v>0.12666666666666682</v>
      </c>
      <c r="Z299" s="317">
        <f t="shared" si="183"/>
        <v>0.12333333333333349</v>
      </c>
      <c r="AA299" s="317">
        <f t="shared" si="183"/>
        <v>0.12000000000000016</v>
      </c>
      <c r="AB299" s="317">
        <f t="shared" si="183"/>
        <v>0.11666666666666684</v>
      </c>
      <c r="AC299" s="317">
        <f t="shared" si="183"/>
        <v>0.11333333333333351</v>
      </c>
      <c r="AD299" s="317">
        <f t="shared" si="183"/>
        <v>0.11000000000000018</v>
      </c>
      <c r="AE299" s="317">
        <f t="shared" si="183"/>
        <v>0.10666666666666685</v>
      </c>
      <c r="AF299" s="317">
        <f t="shared" si="183"/>
        <v>0.10333333333333353</v>
      </c>
      <c r="AG299" s="296">
        <v>0.1</v>
      </c>
      <c r="AI299" s="316"/>
      <c r="AJ299" s="211" t="s">
        <v>1363</v>
      </c>
    </row>
    <row r="300" spans="1:36" s="1" customFormat="1" outlineLevel="1">
      <c r="A300" t="s">
        <v>1378</v>
      </c>
      <c r="B300" s="302" t="s">
        <v>462</v>
      </c>
      <c r="C300" s="296">
        <v>0.95</v>
      </c>
      <c r="D300" s="317">
        <f t="shared" si="182"/>
        <v>0.94866666666666666</v>
      </c>
      <c r="E300" s="317">
        <f t="shared" si="182"/>
        <v>0.94733333333333336</v>
      </c>
      <c r="F300" s="317">
        <f t="shared" si="182"/>
        <v>0.94600000000000006</v>
      </c>
      <c r="G300" s="317">
        <f t="shared" si="182"/>
        <v>0.94466666666666677</v>
      </c>
      <c r="H300" s="317">
        <f t="shared" si="182"/>
        <v>0.94333333333333347</v>
      </c>
      <c r="I300" s="317">
        <f t="shared" si="182"/>
        <v>0.94200000000000017</v>
      </c>
      <c r="J300" s="317">
        <f t="shared" si="182"/>
        <v>0.94066666666666687</v>
      </c>
      <c r="K300" s="317">
        <f t="shared" si="182"/>
        <v>0.93933333333333358</v>
      </c>
      <c r="L300" s="317">
        <f t="shared" si="182"/>
        <v>0.93800000000000028</v>
      </c>
      <c r="M300" s="317">
        <f t="shared" si="182"/>
        <v>0.93666666666666698</v>
      </c>
      <c r="N300" s="317">
        <f t="shared" si="182"/>
        <v>0.93533333333333368</v>
      </c>
      <c r="O300" s="317">
        <f t="shared" si="182"/>
        <v>0.93400000000000039</v>
      </c>
      <c r="P300" s="317">
        <f t="shared" si="182"/>
        <v>0.93266666666666709</v>
      </c>
      <c r="Q300" s="317">
        <f t="shared" si="182"/>
        <v>0.93133333333333379</v>
      </c>
      <c r="R300" s="317">
        <f t="shared" si="182"/>
        <v>0.93000000000000049</v>
      </c>
      <c r="S300" s="317">
        <f t="shared" si="182"/>
        <v>0.9286666666666672</v>
      </c>
      <c r="T300" s="317">
        <f t="shared" si="183"/>
        <v>0.9273333333333339</v>
      </c>
      <c r="U300" s="317">
        <f t="shared" si="183"/>
        <v>0.9260000000000006</v>
      </c>
      <c r="V300" s="317">
        <f t="shared" si="183"/>
        <v>0.9246666666666673</v>
      </c>
      <c r="W300" s="317">
        <f t="shared" si="183"/>
        <v>0.92333333333333401</v>
      </c>
      <c r="X300" s="317">
        <f t="shared" si="183"/>
        <v>0.92200000000000071</v>
      </c>
      <c r="Y300" s="317">
        <f t="shared" si="183"/>
        <v>0.92066666666666741</v>
      </c>
      <c r="Z300" s="317">
        <f t="shared" si="183"/>
        <v>0.91933333333333411</v>
      </c>
      <c r="AA300" s="317">
        <f t="shared" si="183"/>
        <v>0.91800000000000082</v>
      </c>
      <c r="AB300" s="317">
        <f t="shared" si="183"/>
        <v>0.91666666666666752</v>
      </c>
      <c r="AC300" s="317">
        <f t="shared" si="183"/>
        <v>0.91533333333333422</v>
      </c>
      <c r="AD300" s="317">
        <f t="shared" si="183"/>
        <v>0.91400000000000092</v>
      </c>
      <c r="AE300" s="317">
        <f t="shared" si="183"/>
        <v>0.91266666666666763</v>
      </c>
      <c r="AF300" s="317">
        <f t="shared" si="183"/>
        <v>0.91133333333333433</v>
      </c>
      <c r="AG300" s="296">
        <v>0.91</v>
      </c>
      <c r="AI300" s="316"/>
      <c r="AJ300" s="211" t="s">
        <v>1363</v>
      </c>
    </row>
    <row r="301" spans="1:36" s="1" customFormat="1" outlineLevel="1">
      <c r="A301" t="s">
        <v>1379</v>
      </c>
      <c r="B301" s="302" t="s">
        <v>462</v>
      </c>
      <c r="C301" s="296">
        <v>0.05</v>
      </c>
      <c r="D301" s="317">
        <f t="shared" si="182"/>
        <v>5.1333333333333335E-2</v>
      </c>
      <c r="E301" s="317">
        <f t="shared" si="182"/>
        <v>5.2666666666666667E-2</v>
      </c>
      <c r="F301" s="317">
        <f t="shared" si="182"/>
        <v>5.3999999999999999E-2</v>
      </c>
      <c r="G301" s="317">
        <f t="shared" si="182"/>
        <v>5.5333333333333332E-2</v>
      </c>
      <c r="H301" s="317">
        <f t="shared" si="182"/>
        <v>5.6666666666666664E-2</v>
      </c>
      <c r="I301" s="317">
        <f t="shared" si="182"/>
        <v>5.7999999999999996E-2</v>
      </c>
      <c r="J301" s="317">
        <f t="shared" si="182"/>
        <v>5.9333333333333328E-2</v>
      </c>
      <c r="K301" s="317">
        <f t="shared" si="182"/>
        <v>6.066666666666666E-2</v>
      </c>
      <c r="L301" s="317">
        <f t="shared" si="182"/>
        <v>6.1999999999999993E-2</v>
      </c>
      <c r="M301" s="317">
        <f t="shared" si="182"/>
        <v>6.3333333333333325E-2</v>
      </c>
      <c r="N301" s="317">
        <f t="shared" si="182"/>
        <v>6.4666666666666664E-2</v>
      </c>
      <c r="O301" s="317">
        <f t="shared" si="182"/>
        <v>6.6000000000000003E-2</v>
      </c>
      <c r="P301" s="317">
        <f t="shared" si="182"/>
        <v>6.7333333333333342E-2</v>
      </c>
      <c r="Q301" s="317">
        <f t="shared" si="182"/>
        <v>6.8666666666666681E-2</v>
      </c>
      <c r="R301" s="317">
        <f t="shared" si="182"/>
        <v>7.0000000000000021E-2</v>
      </c>
      <c r="S301" s="317">
        <f t="shared" si="182"/>
        <v>7.133333333333336E-2</v>
      </c>
      <c r="T301" s="317">
        <f t="shared" si="183"/>
        <v>7.2666666666666699E-2</v>
      </c>
      <c r="U301" s="317">
        <f t="shared" si="183"/>
        <v>7.4000000000000038E-2</v>
      </c>
      <c r="V301" s="317">
        <f t="shared" si="183"/>
        <v>7.5333333333333377E-2</v>
      </c>
      <c r="W301" s="317">
        <f t="shared" si="183"/>
        <v>7.6666666666666716E-2</v>
      </c>
      <c r="X301" s="317">
        <f t="shared" si="183"/>
        <v>7.8000000000000055E-2</v>
      </c>
      <c r="Y301" s="317">
        <f t="shared" si="183"/>
        <v>7.9333333333333395E-2</v>
      </c>
      <c r="Z301" s="317">
        <f t="shared" si="183"/>
        <v>8.0666666666666734E-2</v>
      </c>
      <c r="AA301" s="317">
        <f t="shared" si="183"/>
        <v>8.2000000000000073E-2</v>
      </c>
      <c r="AB301" s="317">
        <f t="shared" si="183"/>
        <v>8.3333333333333412E-2</v>
      </c>
      <c r="AC301" s="317">
        <f t="shared" si="183"/>
        <v>8.4666666666666751E-2</v>
      </c>
      <c r="AD301" s="317">
        <f t="shared" si="183"/>
        <v>8.600000000000009E-2</v>
      </c>
      <c r="AE301" s="317">
        <f t="shared" si="183"/>
        <v>8.7333333333333429E-2</v>
      </c>
      <c r="AF301" s="317">
        <f t="shared" si="183"/>
        <v>8.8666666666666769E-2</v>
      </c>
      <c r="AG301" s="296">
        <v>0.09</v>
      </c>
      <c r="AI301" s="316"/>
      <c r="AJ301" s="211" t="s">
        <v>1363</v>
      </c>
    </row>
    <row r="302" spans="1:36" s="1" customFormat="1" outlineLevel="1">
      <c r="A302" t="s">
        <v>1380</v>
      </c>
      <c r="B302" s="302"/>
      <c r="C302" s="296">
        <v>0.27</v>
      </c>
      <c r="D302" s="317">
        <f t="shared" si="182"/>
        <v>0.26600000000000001</v>
      </c>
      <c r="E302" s="317">
        <f t="shared" si="182"/>
        <v>0.26200000000000001</v>
      </c>
      <c r="F302" s="317">
        <f t="shared" si="182"/>
        <v>0.25800000000000001</v>
      </c>
      <c r="G302" s="317">
        <f t="shared" si="182"/>
        <v>0.254</v>
      </c>
      <c r="H302" s="317">
        <f t="shared" si="182"/>
        <v>0.25</v>
      </c>
      <c r="I302" s="317">
        <f t="shared" si="182"/>
        <v>0.246</v>
      </c>
      <c r="J302" s="317">
        <f t="shared" si="182"/>
        <v>0.24199999999999999</v>
      </c>
      <c r="K302" s="317">
        <f t="shared" si="182"/>
        <v>0.23799999999999999</v>
      </c>
      <c r="L302" s="317">
        <f t="shared" si="182"/>
        <v>0.23399999999999999</v>
      </c>
      <c r="M302" s="317">
        <f t="shared" si="182"/>
        <v>0.22999999999999998</v>
      </c>
      <c r="N302" s="317">
        <f t="shared" si="182"/>
        <v>0.22599999999999998</v>
      </c>
      <c r="O302" s="317">
        <f t="shared" si="182"/>
        <v>0.22199999999999998</v>
      </c>
      <c r="P302" s="317">
        <f t="shared" si="182"/>
        <v>0.21799999999999997</v>
      </c>
      <c r="Q302" s="317">
        <f t="shared" si="182"/>
        <v>0.21399999999999997</v>
      </c>
      <c r="R302" s="317">
        <f t="shared" si="182"/>
        <v>0.20999999999999996</v>
      </c>
      <c r="S302" s="317">
        <f t="shared" si="182"/>
        <v>0.20599999999999996</v>
      </c>
      <c r="T302" s="317">
        <f t="shared" si="183"/>
        <v>0.20199999999999996</v>
      </c>
      <c r="U302" s="317">
        <f t="shared" si="183"/>
        <v>0.19799999999999995</v>
      </c>
      <c r="V302" s="317">
        <f t="shared" si="183"/>
        <v>0.19399999999999995</v>
      </c>
      <c r="W302" s="317">
        <f t="shared" si="183"/>
        <v>0.18999999999999995</v>
      </c>
      <c r="X302" s="317">
        <f t="shared" si="183"/>
        <v>0.18599999999999994</v>
      </c>
      <c r="Y302" s="317">
        <f t="shared" si="183"/>
        <v>0.18199999999999994</v>
      </c>
      <c r="Z302" s="317">
        <f t="shared" si="183"/>
        <v>0.17799999999999994</v>
      </c>
      <c r="AA302" s="317">
        <f t="shared" si="183"/>
        <v>0.17399999999999993</v>
      </c>
      <c r="AB302" s="317">
        <f t="shared" si="183"/>
        <v>0.16999999999999993</v>
      </c>
      <c r="AC302" s="317">
        <f t="shared" si="183"/>
        <v>0.16599999999999993</v>
      </c>
      <c r="AD302" s="317">
        <f t="shared" si="183"/>
        <v>0.16199999999999992</v>
      </c>
      <c r="AE302" s="317">
        <f t="shared" si="183"/>
        <v>0.15799999999999992</v>
      </c>
      <c r="AF302" s="317">
        <f t="shared" si="183"/>
        <v>0.15399999999999991</v>
      </c>
      <c r="AG302" s="296">
        <v>0.15</v>
      </c>
      <c r="AI302" s="316"/>
      <c r="AJ302" s="211"/>
    </row>
    <row r="303" spans="1:36" s="67" customFormat="1" outlineLevel="1">
      <c r="A303" s="345" t="s">
        <v>1381</v>
      </c>
      <c r="B303" s="308" t="s">
        <v>462</v>
      </c>
      <c r="C303" s="337">
        <v>0.16</v>
      </c>
      <c r="D303" s="338">
        <f t="shared" si="182"/>
        <v>0.16533333333333333</v>
      </c>
      <c r="E303" s="338">
        <f t="shared" si="182"/>
        <v>0.17066666666666666</v>
      </c>
      <c r="F303" s="338">
        <f t="shared" si="182"/>
        <v>0.17599999999999999</v>
      </c>
      <c r="G303" s="338">
        <f t="shared" si="182"/>
        <v>0.18133333333333332</v>
      </c>
      <c r="H303" s="338">
        <f t="shared" si="182"/>
        <v>0.18666666666666665</v>
      </c>
      <c r="I303" s="338">
        <f t="shared" si="182"/>
        <v>0.19199999999999998</v>
      </c>
      <c r="J303" s="338">
        <f t="shared" si="182"/>
        <v>0.19733333333333331</v>
      </c>
      <c r="K303" s="338">
        <f t="shared" si="182"/>
        <v>0.20266666666666663</v>
      </c>
      <c r="L303" s="338">
        <f t="shared" si="182"/>
        <v>0.20799999999999996</v>
      </c>
      <c r="M303" s="338">
        <f t="shared" si="182"/>
        <v>0.21333333333333329</v>
      </c>
      <c r="N303" s="338">
        <f t="shared" si="182"/>
        <v>0.21866666666666662</v>
      </c>
      <c r="O303" s="338">
        <f t="shared" si="182"/>
        <v>0.22399999999999995</v>
      </c>
      <c r="P303" s="338">
        <f t="shared" si="182"/>
        <v>0.22933333333333328</v>
      </c>
      <c r="Q303" s="338">
        <f t="shared" si="182"/>
        <v>0.23466666666666661</v>
      </c>
      <c r="R303" s="338">
        <f t="shared" si="182"/>
        <v>0.23999999999999994</v>
      </c>
      <c r="S303" s="338">
        <f t="shared" si="182"/>
        <v>0.24533333333333326</v>
      </c>
      <c r="T303" s="338">
        <f t="shared" si="183"/>
        <v>0.25066666666666659</v>
      </c>
      <c r="U303" s="338">
        <f t="shared" si="183"/>
        <v>0.25599999999999995</v>
      </c>
      <c r="V303" s="338">
        <f t="shared" si="183"/>
        <v>0.26133333333333331</v>
      </c>
      <c r="W303" s="338">
        <f t="shared" si="183"/>
        <v>0.26666666666666666</v>
      </c>
      <c r="X303" s="338">
        <f t="shared" si="183"/>
        <v>0.27200000000000002</v>
      </c>
      <c r="Y303" s="338">
        <f t="shared" si="183"/>
        <v>0.27733333333333338</v>
      </c>
      <c r="Z303" s="338">
        <f t="shared" si="183"/>
        <v>0.28266666666666673</v>
      </c>
      <c r="AA303" s="338">
        <f t="shared" si="183"/>
        <v>0.28800000000000009</v>
      </c>
      <c r="AB303" s="338">
        <f t="shared" si="183"/>
        <v>0.29333333333333345</v>
      </c>
      <c r="AC303" s="338">
        <f t="shared" si="183"/>
        <v>0.2986666666666668</v>
      </c>
      <c r="AD303" s="338">
        <f t="shared" si="183"/>
        <v>0.30400000000000016</v>
      </c>
      <c r="AE303" s="338">
        <f t="shared" si="183"/>
        <v>0.30933333333333352</v>
      </c>
      <c r="AF303" s="338">
        <f t="shared" si="183"/>
        <v>0.31466666666666687</v>
      </c>
      <c r="AG303" s="337">
        <v>0.32</v>
      </c>
      <c r="AI303" s="337"/>
      <c r="AJ303" s="339" t="s">
        <v>1363</v>
      </c>
    </row>
    <row r="304" spans="1:36" outlineLevel="1">
      <c r="A304" s="346" t="s">
        <v>1382</v>
      </c>
      <c r="B304" s="302" t="s">
        <v>462</v>
      </c>
      <c r="C304" s="296">
        <v>0.37</v>
      </c>
      <c r="D304" s="317">
        <f t="shared" si="182"/>
        <v>0.37166666666666665</v>
      </c>
      <c r="E304" s="317">
        <f t="shared" si="182"/>
        <v>0.37333333333333329</v>
      </c>
      <c r="F304" s="317">
        <f t="shared" si="182"/>
        <v>0.37499999999999994</v>
      </c>
      <c r="G304" s="317">
        <f t="shared" si="182"/>
        <v>0.37666666666666659</v>
      </c>
      <c r="H304" s="317">
        <f t="shared" si="182"/>
        <v>0.37833333333333324</v>
      </c>
      <c r="I304" s="317">
        <f t="shared" si="182"/>
        <v>0.37999999999999989</v>
      </c>
      <c r="J304" s="317">
        <f t="shared" si="182"/>
        <v>0.38166666666666654</v>
      </c>
      <c r="K304" s="317">
        <f t="shared" si="182"/>
        <v>0.38333333333333319</v>
      </c>
      <c r="L304" s="317">
        <f t="shared" si="182"/>
        <v>0.38499999999999984</v>
      </c>
      <c r="M304" s="317">
        <f t="shared" si="182"/>
        <v>0.38666666666666649</v>
      </c>
      <c r="N304" s="317">
        <f t="shared" si="182"/>
        <v>0.38833333333333314</v>
      </c>
      <c r="O304" s="317">
        <f t="shared" si="182"/>
        <v>0.38999999999999979</v>
      </c>
      <c r="P304" s="317">
        <f t="shared" si="182"/>
        <v>0.39166666666666644</v>
      </c>
      <c r="Q304" s="317">
        <f t="shared" si="182"/>
        <v>0.39333333333333309</v>
      </c>
      <c r="R304" s="317">
        <f t="shared" si="182"/>
        <v>0.39499999999999974</v>
      </c>
      <c r="S304" s="317">
        <f t="shared" si="182"/>
        <v>0.39666666666666639</v>
      </c>
      <c r="T304" s="317">
        <f t="shared" si="183"/>
        <v>0.39833333333333304</v>
      </c>
      <c r="U304" s="317">
        <f t="shared" si="183"/>
        <v>0.39999999999999969</v>
      </c>
      <c r="V304" s="317">
        <f t="shared" si="183"/>
        <v>0.40166666666666634</v>
      </c>
      <c r="W304" s="317">
        <f t="shared" si="183"/>
        <v>0.40333333333333299</v>
      </c>
      <c r="X304" s="317">
        <f t="shared" si="183"/>
        <v>0.40499999999999964</v>
      </c>
      <c r="Y304" s="317">
        <f t="shared" si="183"/>
        <v>0.40666666666666629</v>
      </c>
      <c r="Z304" s="317">
        <f t="shared" si="183"/>
        <v>0.40833333333333294</v>
      </c>
      <c r="AA304" s="317">
        <f t="shared" si="183"/>
        <v>0.40999999999999959</v>
      </c>
      <c r="AB304" s="317">
        <f t="shared" si="183"/>
        <v>0.41166666666666624</v>
      </c>
      <c r="AC304" s="317">
        <f t="shared" si="183"/>
        <v>0.41333333333333289</v>
      </c>
      <c r="AD304" s="317">
        <f t="shared" si="183"/>
        <v>0.41499999999999954</v>
      </c>
      <c r="AE304" s="317">
        <f t="shared" si="183"/>
        <v>0.41666666666666619</v>
      </c>
      <c r="AF304" s="317">
        <f t="shared" si="183"/>
        <v>0.41833333333333284</v>
      </c>
      <c r="AG304" s="296">
        <v>0.42</v>
      </c>
      <c r="AI304" s="296"/>
      <c r="AJ304" s="211" t="s">
        <v>1363</v>
      </c>
    </row>
    <row r="305" spans="1:36" outlineLevel="1">
      <c r="A305" s="346" t="s">
        <v>1383</v>
      </c>
      <c r="B305" s="302" t="s">
        <v>462</v>
      </c>
      <c r="C305" s="296">
        <v>0.08</v>
      </c>
      <c r="D305" s="317">
        <f t="shared" si="182"/>
        <v>7.7666666666666662E-2</v>
      </c>
      <c r="E305" s="317">
        <f t="shared" si="182"/>
        <v>7.5333333333333322E-2</v>
      </c>
      <c r="F305" s="317">
        <f t="shared" si="182"/>
        <v>7.2999999999999982E-2</v>
      </c>
      <c r="G305" s="317">
        <f t="shared" si="182"/>
        <v>7.0666666666666642E-2</v>
      </c>
      <c r="H305" s="317">
        <f t="shared" si="182"/>
        <v>6.8333333333333302E-2</v>
      </c>
      <c r="I305" s="317">
        <f t="shared" si="182"/>
        <v>6.5999999999999961E-2</v>
      </c>
      <c r="J305" s="317">
        <f t="shared" si="182"/>
        <v>6.3666666666666621E-2</v>
      </c>
      <c r="K305" s="317">
        <f t="shared" si="182"/>
        <v>6.1333333333333288E-2</v>
      </c>
      <c r="L305" s="317">
        <f t="shared" si="182"/>
        <v>5.8999999999999955E-2</v>
      </c>
      <c r="M305" s="317">
        <f t="shared" si="182"/>
        <v>5.6666666666666622E-2</v>
      </c>
      <c r="N305" s="317">
        <f t="shared" si="182"/>
        <v>5.4333333333333289E-2</v>
      </c>
      <c r="O305" s="317">
        <f t="shared" si="182"/>
        <v>5.1999999999999956E-2</v>
      </c>
      <c r="P305" s="317">
        <f t="shared" si="182"/>
        <v>4.9666666666666623E-2</v>
      </c>
      <c r="Q305" s="317">
        <f t="shared" si="182"/>
        <v>4.733333333333329E-2</v>
      </c>
      <c r="R305" s="317">
        <f t="shared" si="182"/>
        <v>4.4999999999999957E-2</v>
      </c>
      <c r="S305" s="317">
        <f t="shared" si="182"/>
        <v>4.2666666666666624E-2</v>
      </c>
      <c r="T305" s="317">
        <f t="shared" si="183"/>
        <v>4.0333333333333291E-2</v>
      </c>
      <c r="U305" s="317">
        <f t="shared" si="183"/>
        <v>3.7999999999999957E-2</v>
      </c>
      <c r="V305" s="317">
        <f t="shared" si="183"/>
        <v>3.5666666666666624E-2</v>
      </c>
      <c r="W305" s="317">
        <f t="shared" si="183"/>
        <v>3.3333333333333291E-2</v>
      </c>
      <c r="X305" s="317">
        <f t="shared" si="183"/>
        <v>3.0999999999999958E-2</v>
      </c>
      <c r="Y305" s="317">
        <f t="shared" si="183"/>
        <v>2.8666666666666625E-2</v>
      </c>
      <c r="Z305" s="317">
        <f t="shared" si="183"/>
        <v>2.6333333333333292E-2</v>
      </c>
      <c r="AA305" s="317">
        <f t="shared" si="183"/>
        <v>2.3999999999999959E-2</v>
      </c>
      <c r="AB305" s="317">
        <f t="shared" si="183"/>
        <v>2.1666666666666626E-2</v>
      </c>
      <c r="AC305" s="317">
        <f t="shared" si="183"/>
        <v>1.9333333333333293E-2</v>
      </c>
      <c r="AD305" s="317">
        <f t="shared" si="183"/>
        <v>1.699999999999996E-2</v>
      </c>
      <c r="AE305" s="317">
        <f t="shared" si="183"/>
        <v>1.4666666666666626E-2</v>
      </c>
      <c r="AF305" s="317">
        <f t="shared" si="183"/>
        <v>1.2333333333333293E-2</v>
      </c>
      <c r="AG305" s="296">
        <v>0.01</v>
      </c>
      <c r="AI305" s="296"/>
      <c r="AJ305" s="211" t="s">
        <v>1363</v>
      </c>
    </row>
    <row r="306" spans="1:36" outlineLevel="1">
      <c r="A306" s="346" t="s">
        <v>1384</v>
      </c>
      <c r="B306" s="302" t="s">
        <v>462</v>
      </c>
      <c r="C306" s="296">
        <v>0.27</v>
      </c>
      <c r="D306" s="317">
        <f t="shared" si="182"/>
        <v>0.26633333333333337</v>
      </c>
      <c r="E306" s="317">
        <f t="shared" si="182"/>
        <v>0.26266666666666671</v>
      </c>
      <c r="F306" s="317">
        <f t="shared" si="182"/>
        <v>0.25900000000000006</v>
      </c>
      <c r="G306" s="317">
        <f t="shared" si="182"/>
        <v>0.25533333333333341</v>
      </c>
      <c r="H306" s="317">
        <f t="shared" si="182"/>
        <v>0.25166666666666676</v>
      </c>
      <c r="I306" s="317">
        <f t="shared" si="182"/>
        <v>0.24800000000000008</v>
      </c>
      <c r="J306" s="317">
        <f t="shared" si="182"/>
        <v>0.2443333333333334</v>
      </c>
      <c r="K306" s="317">
        <f t="shared" si="182"/>
        <v>0.24066666666666672</v>
      </c>
      <c r="L306" s="317">
        <f t="shared" si="182"/>
        <v>0.23700000000000004</v>
      </c>
      <c r="M306" s="317">
        <f t="shared" si="182"/>
        <v>0.23333333333333336</v>
      </c>
      <c r="N306" s="317">
        <f t="shared" si="182"/>
        <v>0.22966666666666669</v>
      </c>
      <c r="O306" s="317">
        <f t="shared" si="182"/>
        <v>0.22600000000000001</v>
      </c>
      <c r="P306" s="317">
        <f t="shared" si="182"/>
        <v>0.22233333333333333</v>
      </c>
      <c r="Q306" s="317">
        <f t="shared" si="182"/>
        <v>0.21866666666666665</v>
      </c>
      <c r="R306" s="317">
        <f t="shared" si="182"/>
        <v>0.21499999999999997</v>
      </c>
      <c r="S306" s="317">
        <f t="shared" si="182"/>
        <v>0.21133333333333329</v>
      </c>
      <c r="T306" s="317">
        <f t="shared" si="183"/>
        <v>0.20766666666666661</v>
      </c>
      <c r="U306" s="317">
        <f t="shared" si="183"/>
        <v>0.20399999999999993</v>
      </c>
      <c r="V306" s="317">
        <f t="shared" si="183"/>
        <v>0.20033333333333325</v>
      </c>
      <c r="W306" s="317">
        <f t="shared" si="183"/>
        <v>0.19666666666666657</v>
      </c>
      <c r="X306" s="317">
        <f t="shared" si="183"/>
        <v>0.19299999999999989</v>
      </c>
      <c r="Y306" s="317">
        <f t="shared" si="183"/>
        <v>0.18933333333333321</v>
      </c>
      <c r="Z306" s="317">
        <f t="shared" si="183"/>
        <v>0.18566666666666654</v>
      </c>
      <c r="AA306" s="317">
        <f t="shared" si="183"/>
        <v>0.18199999999999986</v>
      </c>
      <c r="AB306" s="317">
        <f t="shared" si="183"/>
        <v>0.17833333333333318</v>
      </c>
      <c r="AC306" s="317">
        <f t="shared" si="183"/>
        <v>0.1746666666666665</v>
      </c>
      <c r="AD306" s="317">
        <f t="shared" si="183"/>
        <v>0.17099999999999982</v>
      </c>
      <c r="AE306" s="317">
        <f t="shared" si="183"/>
        <v>0.16733333333333314</v>
      </c>
      <c r="AF306" s="317">
        <f t="shared" si="183"/>
        <v>0.16366666666666646</v>
      </c>
      <c r="AG306" s="296">
        <v>0.16</v>
      </c>
      <c r="AI306" s="296"/>
      <c r="AJ306" s="211" t="s">
        <v>1363</v>
      </c>
    </row>
    <row r="307" spans="1:36" outlineLevel="1">
      <c r="A307" s="346" t="s">
        <v>1385</v>
      </c>
      <c r="B307" s="302" t="s">
        <v>462</v>
      </c>
      <c r="C307" s="296">
        <v>7.0000000000000007E-2</v>
      </c>
      <c r="D307" s="317">
        <f t="shared" si="182"/>
        <v>6.9666666666666668E-2</v>
      </c>
      <c r="E307" s="317">
        <f t="shared" si="182"/>
        <v>6.933333333333333E-2</v>
      </c>
      <c r="F307" s="317">
        <f t="shared" si="182"/>
        <v>6.8999999999999992E-2</v>
      </c>
      <c r="G307" s="317">
        <f t="shared" si="182"/>
        <v>6.8666666666666654E-2</v>
      </c>
      <c r="H307" s="317">
        <f t="shared" si="182"/>
        <v>6.8333333333333315E-2</v>
      </c>
      <c r="I307" s="317">
        <f t="shared" si="182"/>
        <v>6.7999999999999977E-2</v>
      </c>
      <c r="J307" s="317">
        <f t="shared" si="182"/>
        <v>6.7666666666666639E-2</v>
      </c>
      <c r="K307" s="317">
        <f t="shared" si="182"/>
        <v>6.7333333333333301E-2</v>
      </c>
      <c r="L307" s="317">
        <f t="shared" si="182"/>
        <v>6.6999999999999962E-2</v>
      </c>
      <c r="M307" s="317">
        <f t="shared" si="182"/>
        <v>6.6666666666666624E-2</v>
      </c>
      <c r="N307" s="317">
        <f t="shared" si="182"/>
        <v>6.6333333333333286E-2</v>
      </c>
      <c r="O307" s="317">
        <f t="shared" si="182"/>
        <v>6.5999999999999948E-2</v>
      </c>
      <c r="P307" s="317">
        <f t="shared" si="182"/>
        <v>6.5666666666666609E-2</v>
      </c>
      <c r="Q307" s="317">
        <f t="shared" si="182"/>
        <v>6.5333333333333271E-2</v>
      </c>
      <c r="R307" s="317">
        <f t="shared" si="182"/>
        <v>6.4999999999999933E-2</v>
      </c>
      <c r="S307" s="317">
        <f t="shared" ref="S307:AF307" si="184">-($C307-$AG307)/30+R307</f>
        <v>6.4666666666666595E-2</v>
      </c>
      <c r="T307" s="317">
        <f t="shared" si="184"/>
        <v>6.4333333333333256E-2</v>
      </c>
      <c r="U307" s="317">
        <f t="shared" si="184"/>
        <v>6.3999999999999918E-2</v>
      </c>
      <c r="V307" s="317">
        <f t="shared" si="184"/>
        <v>6.366666666666658E-2</v>
      </c>
      <c r="W307" s="317">
        <f t="shared" si="184"/>
        <v>6.3333333333333242E-2</v>
      </c>
      <c r="X307" s="317">
        <f t="shared" si="184"/>
        <v>6.2999999999999903E-2</v>
      </c>
      <c r="Y307" s="317">
        <f t="shared" si="184"/>
        <v>6.2666666666666565E-2</v>
      </c>
      <c r="Z307" s="317">
        <f t="shared" si="184"/>
        <v>6.2333333333333234E-2</v>
      </c>
      <c r="AA307" s="317">
        <f t="shared" si="184"/>
        <v>6.1999999999999902E-2</v>
      </c>
      <c r="AB307" s="317">
        <f t="shared" si="184"/>
        <v>6.1666666666666571E-2</v>
      </c>
      <c r="AC307" s="317">
        <f t="shared" si="184"/>
        <v>6.133333333333324E-2</v>
      </c>
      <c r="AD307" s="317">
        <f t="shared" si="184"/>
        <v>6.0999999999999908E-2</v>
      </c>
      <c r="AE307" s="317">
        <f t="shared" si="184"/>
        <v>6.0666666666666577E-2</v>
      </c>
      <c r="AF307" s="317">
        <f t="shared" si="184"/>
        <v>6.0333333333333246E-2</v>
      </c>
      <c r="AG307" s="296">
        <v>0.06</v>
      </c>
      <c r="AI307" s="296"/>
      <c r="AJ307" s="211" t="s">
        <v>1363</v>
      </c>
    </row>
    <row r="308" spans="1:36" s="68" customFormat="1" outlineLevel="1">
      <c r="A308" s="347" t="s">
        <v>1386</v>
      </c>
      <c r="B308" s="312" t="s">
        <v>462</v>
      </c>
      <c r="C308" s="314">
        <v>0.05</v>
      </c>
      <c r="D308" s="340">
        <f t="shared" ref="D308:AF308" si="185">-($C308-$AG308)/30+C308</f>
        <v>4.9333333333333333E-2</v>
      </c>
      <c r="E308" s="340">
        <f t="shared" si="185"/>
        <v>4.8666666666666664E-2</v>
      </c>
      <c r="F308" s="340">
        <f t="shared" si="185"/>
        <v>4.7999999999999994E-2</v>
      </c>
      <c r="G308" s="340">
        <f t="shared" si="185"/>
        <v>4.7333333333333324E-2</v>
      </c>
      <c r="H308" s="340">
        <f t="shared" si="185"/>
        <v>4.6666666666666655E-2</v>
      </c>
      <c r="I308" s="340">
        <f t="shared" si="185"/>
        <v>4.5999999999999985E-2</v>
      </c>
      <c r="J308" s="340">
        <f t="shared" si="185"/>
        <v>4.5333333333333316E-2</v>
      </c>
      <c r="K308" s="340">
        <f t="shared" si="185"/>
        <v>4.4666666666666646E-2</v>
      </c>
      <c r="L308" s="340">
        <f t="shared" si="185"/>
        <v>4.3999999999999977E-2</v>
      </c>
      <c r="M308" s="340">
        <f t="shared" si="185"/>
        <v>4.3333333333333307E-2</v>
      </c>
      <c r="N308" s="340">
        <f t="shared" si="185"/>
        <v>4.2666666666666637E-2</v>
      </c>
      <c r="O308" s="340">
        <f t="shared" si="185"/>
        <v>4.1999999999999968E-2</v>
      </c>
      <c r="P308" s="340">
        <f t="shared" si="185"/>
        <v>4.1333333333333298E-2</v>
      </c>
      <c r="Q308" s="340">
        <f t="shared" si="185"/>
        <v>4.0666666666666629E-2</v>
      </c>
      <c r="R308" s="340">
        <f t="shared" si="185"/>
        <v>3.9999999999999959E-2</v>
      </c>
      <c r="S308" s="340">
        <f t="shared" si="185"/>
        <v>3.933333333333329E-2</v>
      </c>
      <c r="T308" s="340">
        <f t="shared" si="185"/>
        <v>3.866666666666662E-2</v>
      </c>
      <c r="U308" s="340">
        <f t="shared" si="185"/>
        <v>3.799999999999995E-2</v>
      </c>
      <c r="V308" s="340">
        <f t="shared" si="185"/>
        <v>3.7333333333333281E-2</v>
      </c>
      <c r="W308" s="340">
        <f t="shared" si="185"/>
        <v>3.6666666666666611E-2</v>
      </c>
      <c r="X308" s="340">
        <f t="shared" si="185"/>
        <v>3.5999999999999942E-2</v>
      </c>
      <c r="Y308" s="340">
        <f t="shared" si="185"/>
        <v>3.5333333333333272E-2</v>
      </c>
      <c r="Z308" s="340">
        <f t="shared" si="185"/>
        <v>3.4666666666666603E-2</v>
      </c>
      <c r="AA308" s="340">
        <f t="shared" si="185"/>
        <v>3.3999999999999933E-2</v>
      </c>
      <c r="AB308" s="340">
        <f t="shared" si="185"/>
        <v>3.3333333333333263E-2</v>
      </c>
      <c r="AC308" s="340">
        <f t="shared" si="185"/>
        <v>3.2666666666666594E-2</v>
      </c>
      <c r="AD308" s="340">
        <f t="shared" si="185"/>
        <v>3.1999999999999924E-2</v>
      </c>
      <c r="AE308" s="340">
        <f t="shared" si="185"/>
        <v>3.1333333333333255E-2</v>
      </c>
      <c r="AF308" s="340">
        <f t="shared" si="185"/>
        <v>3.0666666666666589E-2</v>
      </c>
      <c r="AG308" s="314">
        <v>0.03</v>
      </c>
      <c r="AI308" s="314"/>
      <c r="AJ308" s="341" t="s">
        <v>1363</v>
      </c>
    </row>
    <row r="309" spans="1:36" s="58" customFormat="1" outlineLevel="1">
      <c r="A309" s="58" t="s">
        <v>1361</v>
      </c>
      <c r="B309" s="303"/>
      <c r="C309" s="304">
        <f>C32</f>
        <v>70.764479384937346</v>
      </c>
      <c r="D309" s="304">
        <f t="shared" ref="D309:AG309" si="186">D32</f>
        <v>73.13661085387929</v>
      </c>
      <c r="E309" s="304">
        <f t="shared" si="186"/>
        <v>75.390666744568932</v>
      </c>
      <c r="F309" s="304">
        <f t="shared" si="186"/>
        <v>77.511176043347206</v>
      </c>
      <c r="G309" s="304">
        <f t="shared" si="186"/>
        <v>79.483286841213982</v>
      </c>
      <c r="H309" s="304">
        <f t="shared" si="186"/>
        <v>81.292939605458415</v>
      </c>
      <c r="I309" s="304">
        <f t="shared" si="186"/>
        <v>83.105945681537463</v>
      </c>
      <c r="J309" s="304">
        <f t="shared" si="186"/>
        <v>84.920663560469848</v>
      </c>
      <c r="K309" s="304">
        <f t="shared" si="186"/>
        <v>86.735410058637726</v>
      </c>
      <c r="L309" s="304">
        <f t="shared" si="186"/>
        <v>88.548462506721251</v>
      </c>
      <c r="M309" s="304">
        <f t="shared" si="186"/>
        <v>90.358061086572363</v>
      </c>
      <c r="N309" s="304">
        <f t="shared" si="186"/>
        <v>92.030546196497212</v>
      </c>
      <c r="O309" s="304">
        <f t="shared" si="186"/>
        <v>93.556641933394388</v>
      </c>
      <c r="P309" s="304">
        <f t="shared" si="186"/>
        <v>94.927727566993539</v>
      </c>
      <c r="Q309" s="304">
        <f t="shared" si="186"/>
        <v>96.135917662760136</v>
      </c>
      <c r="R309" s="304">
        <f t="shared" si="186"/>
        <v>97.174136783080243</v>
      </c>
      <c r="S309" s="304">
        <f t="shared" si="186"/>
        <v>98.212816631838891</v>
      </c>
      <c r="T309" s="304">
        <f t="shared" si="186"/>
        <v>99.251725793738956</v>
      </c>
      <c r="U309" s="304">
        <f t="shared" si="186"/>
        <v>100.29063007523018</v>
      </c>
      <c r="V309" s="304">
        <f t="shared" si="186"/>
        <v>101.32929257839319</v>
      </c>
      <c r="W309" s="304">
        <f t="shared" si="186"/>
        <v>102.3674737772773</v>
      </c>
      <c r="X309" s="304">
        <f t="shared" si="186"/>
        <v>103.40607054116425</v>
      </c>
      <c r="Y309" s="304">
        <f t="shared" si="186"/>
        <v>104.44487435528823</v>
      </c>
      <c r="Z309" s="304">
        <f t="shared" si="186"/>
        <v>105.48367434845207</v>
      </c>
      <c r="AA309" s="304">
        <f t="shared" si="186"/>
        <v>106.52225735327879</v>
      </c>
      <c r="AB309" s="304">
        <f t="shared" si="186"/>
        <v>107.56040796833885</v>
      </c>
      <c r="AC309" s="304">
        <f t="shared" si="186"/>
        <v>108.59893533250059</v>
      </c>
      <c r="AD309" s="304">
        <f t="shared" si="186"/>
        <v>109.63765057252257</v>
      </c>
      <c r="AE309" s="304">
        <f t="shared" si="186"/>
        <v>110.67636279881994</v>
      </c>
      <c r="AF309" s="304">
        <f t="shared" si="186"/>
        <v>111.71487915509033</v>
      </c>
      <c r="AG309" s="304">
        <f t="shared" si="186"/>
        <v>112.75300486939346</v>
      </c>
      <c r="AI309" s="305"/>
      <c r="AJ309" s="306"/>
    </row>
    <row r="310" spans="1:36" s="58" customFormat="1" outlineLevel="1">
      <c r="A310" s="307" t="s">
        <v>3</v>
      </c>
      <c r="B310" s="308" t="s">
        <v>704</v>
      </c>
      <c r="C310" s="309">
        <v>0</v>
      </c>
      <c r="D310" s="309">
        <v>0</v>
      </c>
      <c r="E310" s="309">
        <v>0</v>
      </c>
      <c r="F310" s="309">
        <v>0</v>
      </c>
      <c r="G310" s="309">
        <v>0</v>
      </c>
      <c r="H310" s="309">
        <v>0</v>
      </c>
      <c r="I310" s="309">
        <v>0</v>
      </c>
      <c r="J310" s="309">
        <v>0</v>
      </c>
      <c r="K310" s="309">
        <v>0</v>
      </c>
      <c r="L310" s="309">
        <v>0</v>
      </c>
      <c r="M310" s="309">
        <v>0</v>
      </c>
      <c r="N310" s="309">
        <v>0</v>
      </c>
      <c r="O310" s="309">
        <v>0</v>
      </c>
      <c r="P310" s="309">
        <v>0</v>
      </c>
      <c r="Q310" s="309">
        <v>0</v>
      </c>
      <c r="R310" s="309">
        <v>0</v>
      </c>
      <c r="S310" s="309">
        <v>0</v>
      </c>
      <c r="T310" s="309">
        <v>0</v>
      </c>
      <c r="U310" s="309">
        <v>0</v>
      </c>
      <c r="V310" s="309">
        <v>0</v>
      </c>
      <c r="W310" s="309">
        <v>0</v>
      </c>
      <c r="X310" s="309">
        <v>0</v>
      </c>
      <c r="Y310" s="309">
        <v>0</v>
      </c>
      <c r="Z310" s="309">
        <v>0</v>
      </c>
      <c r="AA310" s="309">
        <v>0</v>
      </c>
      <c r="AB310" s="309">
        <v>0</v>
      </c>
      <c r="AC310" s="309">
        <v>0</v>
      </c>
      <c r="AD310" s="309">
        <v>0</v>
      </c>
      <c r="AE310" s="309">
        <v>0</v>
      </c>
      <c r="AF310" s="309">
        <v>0</v>
      </c>
      <c r="AG310" s="309">
        <v>0</v>
      </c>
      <c r="AI310" s="305"/>
      <c r="AJ310" s="306"/>
    </row>
    <row r="311" spans="1:36" outlineLevel="1">
      <c r="A311" s="310" t="s">
        <v>51</v>
      </c>
      <c r="B311" s="302" t="s">
        <v>704</v>
      </c>
      <c r="C311" s="249">
        <f t="shared" ref="C311:AG311" si="187">C278</f>
        <v>6.1470184945809105</v>
      </c>
      <c r="D311" s="249">
        <f t="shared" si="187"/>
        <v>6.2496737034404113</v>
      </c>
      <c r="E311" s="249">
        <f t="shared" si="187"/>
        <v>6.3540432542878662</v>
      </c>
      <c r="F311" s="249">
        <f t="shared" si="187"/>
        <v>6.4601557766344735</v>
      </c>
      <c r="G311" s="249">
        <f t="shared" si="187"/>
        <v>6.5680403781042687</v>
      </c>
      <c r="H311" s="249">
        <f t="shared" si="187"/>
        <v>6.6777266524186096</v>
      </c>
      <c r="I311" s="249">
        <f t="shared" si="187"/>
        <v>6.7892446875139996</v>
      </c>
      <c r="J311" s="249">
        <f t="shared" si="187"/>
        <v>6.9026250737954831</v>
      </c>
      <c r="K311" s="249">
        <f t="shared" si="187"/>
        <v>7.0178989125278672</v>
      </c>
      <c r="L311" s="249">
        <f t="shared" si="187"/>
        <v>7.1350978243670822</v>
      </c>
      <c r="M311" s="249">
        <f t="shared" si="187"/>
        <v>7.2542539580340124</v>
      </c>
      <c r="N311" s="249">
        <f t="shared" si="187"/>
        <v>7.3753999991331796</v>
      </c>
      <c r="O311" s="249">
        <f t="shared" si="187"/>
        <v>7.4985691791187028</v>
      </c>
      <c r="P311" s="249">
        <f t="shared" si="187"/>
        <v>7.6237952844099848</v>
      </c>
      <c r="Q311" s="249">
        <f t="shared" si="187"/>
        <v>7.7511126656596314</v>
      </c>
      <c r="R311" s="249">
        <f t="shared" si="187"/>
        <v>7.8805562471761466</v>
      </c>
      <c r="S311" s="249">
        <f t="shared" si="187"/>
        <v>8.0121615365039869</v>
      </c>
      <c r="T311" s="249">
        <f t="shared" si="187"/>
        <v>8.1459646341636027</v>
      </c>
      <c r="U311" s="249">
        <f t="shared" si="187"/>
        <v>8.2820022435541336</v>
      </c>
      <c r="V311" s="249">
        <f t="shared" si="187"/>
        <v>8.420311681021488</v>
      </c>
      <c r="W311" s="249">
        <f t="shared" si="187"/>
        <v>8.5609308860945461</v>
      </c>
      <c r="X311" s="249">
        <f t="shared" si="187"/>
        <v>8.7038984318923251</v>
      </c>
      <c r="Y311" s="249">
        <f t="shared" si="187"/>
        <v>8.8492535357049267</v>
      </c>
      <c r="Z311" s="249">
        <f t="shared" si="187"/>
        <v>8.9970360697511982</v>
      </c>
      <c r="AA311" s="249">
        <f t="shared" si="187"/>
        <v>9.1472865721160428</v>
      </c>
      <c r="AB311" s="249">
        <f t="shared" si="187"/>
        <v>9.3000462578703793</v>
      </c>
      <c r="AC311" s="249">
        <f t="shared" si="187"/>
        <v>9.4553570303768133</v>
      </c>
      <c r="AD311" s="249">
        <f t="shared" si="187"/>
        <v>9.6132614927841047</v>
      </c>
      <c r="AE311" s="249">
        <f t="shared" si="187"/>
        <v>9.7738029597135991</v>
      </c>
      <c r="AF311" s="249">
        <f t="shared" si="187"/>
        <v>9.9370254691408153</v>
      </c>
      <c r="AG311" s="249">
        <f t="shared" si="187"/>
        <v>10.102973794475467</v>
      </c>
      <c r="AI311" s="296"/>
    </row>
    <row r="312" spans="1:36" s="68" customFormat="1" outlineLevel="1">
      <c r="A312" s="311" t="s">
        <v>1387</v>
      </c>
      <c r="B312" s="312" t="s">
        <v>704</v>
      </c>
      <c r="C312" s="313">
        <f>C309-C310-C311</f>
        <v>64.61746089035644</v>
      </c>
      <c r="D312" s="313">
        <f t="shared" ref="D312:AG312" si="188">D309-D310-D311</f>
        <v>66.886937150438882</v>
      </c>
      <c r="E312" s="313">
        <f t="shared" si="188"/>
        <v>69.036623490281073</v>
      </c>
      <c r="F312" s="313">
        <f t="shared" si="188"/>
        <v>71.051020266712726</v>
      </c>
      <c r="G312" s="313">
        <f t="shared" si="188"/>
        <v>72.91524646310971</v>
      </c>
      <c r="H312" s="313">
        <f t="shared" si="188"/>
        <v>74.615212953039801</v>
      </c>
      <c r="I312" s="313">
        <f t="shared" si="188"/>
        <v>76.316700994023464</v>
      </c>
      <c r="J312" s="313">
        <f t="shared" si="188"/>
        <v>78.018038486674371</v>
      </c>
      <c r="K312" s="313">
        <f t="shared" si="188"/>
        <v>79.717511146109857</v>
      </c>
      <c r="L312" s="313">
        <f t="shared" si="188"/>
        <v>81.413364682354171</v>
      </c>
      <c r="M312" s="313">
        <f t="shared" si="188"/>
        <v>83.10380712853835</v>
      </c>
      <c r="N312" s="313">
        <f t="shared" si="188"/>
        <v>84.655146197364033</v>
      </c>
      <c r="O312" s="313">
        <f t="shared" si="188"/>
        <v>86.058072754275685</v>
      </c>
      <c r="P312" s="313">
        <f t="shared" si="188"/>
        <v>87.30393228258356</v>
      </c>
      <c r="Q312" s="313">
        <f t="shared" si="188"/>
        <v>88.384804997100503</v>
      </c>
      <c r="R312" s="313">
        <f t="shared" si="188"/>
        <v>89.293580535904098</v>
      </c>
      <c r="S312" s="313">
        <f t="shared" si="188"/>
        <v>90.200655095334909</v>
      </c>
      <c r="T312" s="313">
        <f t="shared" si="188"/>
        <v>91.105761159575351</v>
      </c>
      <c r="U312" s="313">
        <f t="shared" si="188"/>
        <v>92.008627831676051</v>
      </c>
      <c r="V312" s="313">
        <f t="shared" si="188"/>
        <v>92.908980897371706</v>
      </c>
      <c r="W312" s="313">
        <f t="shared" si="188"/>
        <v>93.806542891182744</v>
      </c>
      <c r="X312" s="313">
        <f t="shared" si="188"/>
        <v>94.702172109271928</v>
      </c>
      <c r="Y312" s="313">
        <f t="shared" si="188"/>
        <v>95.595620819583303</v>
      </c>
      <c r="Z312" s="313">
        <f t="shared" si="188"/>
        <v>96.486638278700866</v>
      </c>
      <c r="AA312" s="313">
        <f t="shared" si="188"/>
        <v>97.374970781162745</v>
      </c>
      <c r="AB312" s="313">
        <f t="shared" si="188"/>
        <v>98.260361710468473</v>
      </c>
      <c r="AC312" s="313">
        <f t="shared" si="188"/>
        <v>99.143578302123771</v>
      </c>
      <c r="AD312" s="313">
        <f t="shared" si="188"/>
        <v>100.02438907973847</v>
      </c>
      <c r="AE312" s="313">
        <f t="shared" si="188"/>
        <v>100.90255983910635</v>
      </c>
      <c r="AF312" s="313">
        <f t="shared" si="188"/>
        <v>101.77785368594951</v>
      </c>
      <c r="AG312" s="313">
        <f t="shared" si="188"/>
        <v>102.65003107491799</v>
      </c>
      <c r="AI312" s="314"/>
      <c r="AJ312" s="315"/>
    </row>
    <row r="313" spans="1:36" outlineLevel="1">
      <c r="A313" s="112" t="s">
        <v>90</v>
      </c>
      <c r="B313" s="302" t="s">
        <v>704</v>
      </c>
      <c r="C313" s="230">
        <f>C282*C$312</f>
        <v>10.33879374245703</v>
      </c>
      <c r="D313" s="230">
        <f t="shared" ref="D313:AG313" si="189">D282*D$312</f>
        <v>10.840142947514462</v>
      </c>
      <c r="E313" s="230">
        <f t="shared" si="189"/>
        <v>11.331211135538133</v>
      </c>
      <c r="F313" s="230">
        <f t="shared" si="189"/>
        <v>11.808679568327655</v>
      </c>
      <c r="G313" s="230">
        <f t="shared" si="189"/>
        <v>12.269205471525925</v>
      </c>
      <c r="H313" s="230">
        <f t="shared" si="189"/>
        <v>12.709457939667777</v>
      </c>
      <c r="I313" s="230">
        <f t="shared" si="189"/>
        <v>13.156999251369642</v>
      </c>
      <c r="J313" s="230">
        <f t="shared" si="189"/>
        <v>13.611547114641786</v>
      </c>
      <c r="K313" s="230">
        <f t="shared" si="189"/>
        <v>14.072797967659923</v>
      </c>
      <c r="L313" s="230">
        <f t="shared" si="189"/>
        <v>14.540426932268451</v>
      </c>
      <c r="M313" s="230">
        <f t="shared" si="189"/>
        <v>15.01408782122259</v>
      </c>
      <c r="N313" s="230">
        <f t="shared" si="189"/>
        <v>15.469317048464983</v>
      </c>
      <c r="O313" s="230">
        <f t="shared" si="189"/>
        <v>15.903531844990141</v>
      </c>
      <c r="P313" s="230">
        <f t="shared" si="189"/>
        <v>16.314194812538776</v>
      </c>
      <c r="Q313" s="230">
        <f t="shared" si="189"/>
        <v>16.698835824118849</v>
      </c>
      <c r="R313" s="230">
        <f t="shared" si="189"/>
        <v>17.055073882357675</v>
      </c>
      <c r="S313" s="230">
        <f t="shared" si="189"/>
        <v>17.414739810405987</v>
      </c>
      <c r="T313" s="230">
        <f t="shared" si="189"/>
        <v>17.77777086093846</v>
      </c>
      <c r="U313" s="230">
        <f t="shared" si="189"/>
        <v>18.14410140840651</v>
      </c>
      <c r="V313" s="230">
        <f t="shared" si="189"/>
        <v>18.513662926816259</v>
      </c>
      <c r="W313" s="230">
        <f t="shared" si="189"/>
        <v>18.886383968758114</v>
      </c>
      <c r="X313" s="230">
        <f t="shared" si="189"/>
        <v>19.262421807025898</v>
      </c>
      <c r="Y313" s="230">
        <f t="shared" si="189"/>
        <v>19.64171355773037</v>
      </c>
      <c r="Z313" s="230">
        <f t="shared" si="189"/>
        <v>20.024193664106374</v>
      </c>
      <c r="AA313" s="230">
        <f t="shared" si="189"/>
        <v>20.409793875731697</v>
      </c>
      <c r="AB313" s="230">
        <f t="shared" si="189"/>
        <v>20.798443228715815</v>
      </c>
      <c r="AC313" s="230">
        <f t="shared" si="189"/>
        <v>21.19028746910724</v>
      </c>
      <c r="AD313" s="230">
        <f t="shared" si="189"/>
        <v>21.585263163407546</v>
      </c>
      <c r="AE313" s="230">
        <f t="shared" si="189"/>
        <v>21.983304370279953</v>
      </c>
      <c r="AF313" s="230">
        <f t="shared" si="189"/>
        <v>22.384342620663144</v>
      </c>
      <c r="AG313" s="230">
        <f t="shared" si="189"/>
        <v>22.788306898631795</v>
      </c>
      <c r="AI313" s="214"/>
    </row>
    <row r="314" spans="1:36" outlineLevel="1">
      <c r="A314" s="112" t="s">
        <v>33</v>
      </c>
      <c r="B314" s="302" t="s">
        <v>704</v>
      </c>
      <c r="C314" s="230">
        <f t="shared" ref="C314:AG314" si="190">C283*C$312</f>
        <v>23.908460529431881</v>
      </c>
      <c r="D314" s="230">
        <f t="shared" si="190"/>
        <v>24.259892104464186</v>
      </c>
      <c r="E314" s="230">
        <f t="shared" si="190"/>
        <v>24.535615988445898</v>
      </c>
      <c r="F314" s="230">
        <f t="shared" si="190"/>
        <v>24.732860154842705</v>
      </c>
      <c r="G314" s="230">
        <f t="shared" si="190"/>
        <v>24.849515994627797</v>
      </c>
      <c r="H314" s="230">
        <f t="shared" si="190"/>
        <v>24.884173519838782</v>
      </c>
      <c r="I314" s="230">
        <f t="shared" si="190"/>
        <v>24.894507864250464</v>
      </c>
      <c r="J314" s="230">
        <f t="shared" si="190"/>
        <v>24.879952473400472</v>
      </c>
      <c r="K314" s="230">
        <f t="shared" si="190"/>
        <v>24.839976473127848</v>
      </c>
      <c r="L314" s="230">
        <f t="shared" si="190"/>
        <v>24.774086872840392</v>
      </c>
      <c r="M314" s="230">
        <f t="shared" si="190"/>
        <v>24.681830717175913</v>
      </c>
      <c r="N314" s="230">
        <f t="shared" si="190"/>
        <v>24.524595853376386</v>
      </c>
      <c r="O314" s="230">
        <f t="shared" si="190"/>
        <v>24.30279974580748</v>
      </c>
      <c r="P314" s="230">
        <f t="shared" si="190"/>
        <v>24.017311770938768</v>
      </c>
      <c r="Q314" s="230">
        <f t="shared" si="190"/>
        <v>23.669450778223549</v>
      </c>
      <c r="R314" s="230">
        <f t="shared" si="190"/>
        <v>23.260977729603052</v>
      </c>
      <c r="S314" s="230">
        <f t="shared" si="190"/>
        <v>22.838805870138838</v>
      </c>
      <c r="T314" s="230">
        <f t="shared" si="190"/>
        <v>22.402906669139618</v>
      </c>
      <c r="U314" s="230">
        <f t="shared" si="190"/>
        <v>21.953258600637945</v>
      </c>
      <c r="V314" s="230">
        <f t="shared" si="190"/>
        <v>21.489847281562113</v>
      </c>
      <c r="W314" s="230">
        <f t="shared" si="190"/>
        <v>21.012665607624974</v>
      </c>
      <c r="X314" s="230">
        <f t="shared" si="190"/>
        <v>20.521960696079265</v>
      </c>
      <c r="Y314" s="230">
        <f t="shared" si="190"/>
        <v>20.017722999620783</v>
      </c>
      <c r="Z314" s="230">
        <f t="shared" si="190"/>
        <v>19.499949596125486</v>
      </c>
      <c r="AA314" s="230">
        <f t="shared" si="190"/>
        <v>18.968644308170543</v>
      </c>
      <c r="AB314" s="230">
        <f t="shared" si="190"/>
        <v>18.42381782071288</v>
      </c>
      <c r="AC314" s="230">
        <f t="shared" si="190"/>
        <v>17.865672810042746</v>
      </c>
      <c r="AD314" s="230">
        <f t="shared" si="190"/>
        <v>17.294216871886825</v>
      </c>
      <c r="AE314" s="230">
        <f t="shared" si="190"/>
        <v>16.709463909356053</v>
      </c>
      <c r="AF314" s="230">
        <f t="shared" si="190"/>
        <v>16.111434238485849</v>
      </c>
      <c r="AG314" s="230">
        <f t="shared" si="190"/>
        <v>15.500154692312616</v>
      </c>
      <c r="AI314" s="214"/>
    </row>
    <row r="315" spans="1:36" outlineLevel="1">
      <c r="A315" s="112" t="s">
        <v>451</v>
      </c>
      <c r="B315" s="302" t="s">
        <v>704</v>
      </c>
      <c r="C315" s="230">
        <f t="shared" ref="C315:AG315" si="191">C284*C$312</f>
        <v>5.169396871228515</v>
      </c>
      <c r="D315" s="230">
        <f t="shared" si="191"/>
        <v>5.3576436657501549</v>
      </c>
      <c r="E315" s="230">
        <f t="shared" si="191"/>
        <v>5.5367372039205422</v>
      </c>
      <c r="F315" s="230">
        <f t="shared" si="191"/>
        <v>5.7053969274170324</v>
      </c>
      <c r="G315" s="230">
        <f t="shared" si="191"/>
        <v>5.8623858156340214</v>
      </c>
      <c r="H315" s="230">
        <f t="shared" si="191"/>
        <v>6.0065246427197048</v>
      </c>
      <c r="I315" s="230">
        <f t="shared" si="191"/>
        <v>6.1511261001182929</v>
      </c>
      <c r="J315" s="230">
        <f t="shared" si="191"/>
        <v>6.2960557058746236</v>
      </c>
      <c r="K315" s="230">
        <f t="shared" si="191"/>
        <v>6.4411749006056782</v>
      </c>
      <c r="L315" s="230">
        <f t="shared" si="191"/>
        <v>6.5863412028024548</v>
      </c>
      <c r="M315" s="230">
        <f t="shared" si="191"/>
        <v>6.7314083774116087</v>
      </c>
      <c r="N315" s="230">
        <f t="shared" si="191"/>
        <v>6.8655323566062263</v>
      </c>
      <c r="O315" s="230">
        <f t="shared" si="191"/>
        <v>6.9879155076471884</v>
      </c>
      <c r="P315" s="230">
        <f t="shared" si="191"/>
        <v>7.097809694574047</v>
      </c>
      <c r="Q315" s="230">
        <f t="shared" si="191"/>
        <v>7.1945231267639844</v>
      </c>
      <c r="R315" s="230">
        <f t="shared" si="191"/>
        <v>7.2774268136761879</v>
      </c>
      <c r="S315" s="230">
        <f t="shared" si="191"/>
        <v>7.3603734557793326</v>
      </c>
      <c r="T315" s="230">
        <f t="shared" si="191"/>
        <v>7.4433406867373106</v>
      </c>
      <c r="U315" s="230">
        <f t="shared" si="191"/>
        <v>7.526305756631106</v>
      </c>
      <c r="V315" s="230">
        <f t="shared" si="191"/>
        <v>7.6092455354947477</v>
      </c>
      <c r="W315" s="230">
        <f t="shared" si="191"/>
        <v>7.6921365170769906</v>
      </c>
      <c r="X315" s="230">
        <f t="shared" si="191"/>
        <v>7.7750483301712308</v>
      </c>
      <c r="Y315" s="230">
        <f t="shared" si="191"/>
        <v>7.8579600313697533</v>
      </c>
      <c r="Z315" s="230">
        <f t="shared" si="191"/>
        <v>7.9408503303370876</v>
      </c>
      <c r="AA315" s="230">
        <f t="shared" si="191"/>
        <v>8.0236975923678173</v>
      </c>
      <c r="AB315" s="230">
        <f t="shared" si="191"/>
        <v>8.1064798411136554</v>
      </c>
      <c r="AC315" s="230">
        <f t="shared" si="191"/>
        <v>8.1892595677554318</v>
      </c>
      <c r="AD315" s="230">
        <f t="shared" si="191"/>
        <v>8.2720169768943794</v>
      </c>
      <c r="AE315" s="230">
        <f t="shared" si="191"/>
        <v>8.3547319546780141</v>
      </c>
      <c r="AF315" s="230">
        <f t="shared" si="191"/>
        <v>8.4373840705652228</v>
      </c>
      <c r="AG315" s="230">
        <f t="shared" si="191"/>
        <v>8.5199525792181934</v>
      </c>
      <c r="AI315" s="214"/>
    </row>
    <row r="316" spans="1:36" outlineLevel="1">
      <c r="A316" s="112" t="s">
        <v>452</v>
      </c>
      <c r="B316" s="302" t="s">
        <v>704</v>
      </c>
      <c r="C316" s="230">
        <f t="shared" ref="C316:AG316" si="192">C285*C$312</f>
        <v>17.446714440396239</v>
      </c>
      <c r="D316" s="230">
        <f t="shared" si="192"/>
        <v>18.269052100356539</v>
      </c>
      <c r="E316" s="230">
        <f t="shared" si="192"/>
        <v>19.072517849581651</v>
      </c>
      <c r="F316" s="230">
        <f t="shared" si="192"/>
        <v>19.851655062519534</v>
      </c>
      <c r="G316" s="230">
        <f t="shared" si="192"/>
        <v>20.600987634043928</v>
      </c>
      <c r="H316" s="230">
        <f t="shared" si="192"/>
        <v>21.315079166918366</v>
      </c>
      <c r="I316" s="230">
        <f t="shared" si="192"/>
        <v>22.040263247073973</v>
      </c>
      <c r="J316" s="230">
        <f t="shared" si="192"/>
        <v>22.776066035543131</v>
      </c>
      <c r="K316" s="230">
        <f t="shared" si="192"/>
        <v>23.521980288845477</v>
      </c>
      <c r="L316" s="230">
        <f t="shared" si="192"/>
        <v>24.277465348278007</v>
      </c>
      <c r="M316" s="230">
        <f t="shared" si="192"/>
        <v>25.041947214732883</v>
      </c>
      <c r="N316" s="230">
        <f t="shared" si="192"/>
        <v>25.774670178890759</v>
      </c>
      <c r="O316" s="230">
        <f t="shared" si="192"/>
        <v>26.471463179215188</v>
      </c>
      <c r="P316" s="230">
        <f t="shared" si="192"/>
        <v>27.128241891274786</v>
      </c>
      <c r="Q316" s="230">
        <f t="shared" si="192"/>
        <v>27.741044128423265</v>
      </c>
      <c r="R316" s="230">
        <f t="shared" si="192"/>
        <v>28.306065029881584</v>
      </c>
      <c r="S316" s="230">
        <f t="shared" si="192"/>
        <v>28.876236384519867</v>
      </c>
      <c r="T316" s="230">
        <f t="shared" si="192"/>
        <v>29.451455724185376</v>
      </c>
      <c r="U316" s="230">
        <f t="shared" si="192"/>
        <v>30.031616124259045</v>
      </c>
      <c r="V316" s="230">
        <f t="shared" si="192"/>
        <v>30.616606171713869</v>
      </c>
      <c r="W316" s="230">
        <f t="shared" si="192"/>
        <v>31.20630993513344</v>
      </c>
      <c r="X316" s="230">
        <f t="shared" si="192"/>
        <v>31.800989394293492</v>
      </c>
      <c r="Y316" s="230">
        <f t="shared" si="192"/>
        <v>32.400542416450747</v>
      </c>
      <c r="Z316" s="230">
        <f t="shared" si="192"/>
        <v>33.004862733867583</v>
      </c>
      <c r="AA316" s="230">
        <f t="shared" si="192"/>
        <v>33.613839913657351</v>
      </c>
      <c r="AB316" s="230">
        <f t="shared" si="192"/>
        <v>34.227359329146488</v>
      </c>
      <c r="AC316" s="230">
        <f t="shared" si="192"/>
        <v>34.845662987253071</v>
      </c>
      <c r="AD316" s="230">
        <f t="shared" si="192"/>
        <v>35.468648367675229</v>
      </c>
      <c r="AE316" s="230">
        <f t="shared" si="192"/>
        <v>36.096209073109613</v>
      </c>
      <c r="AF316" s="230">
        <f t="shared" si="192"/>
        <v>36.728234800136278</v>
      </c>
      <c r="AG316" s="230">
        <f t="shared" si="192"/>
        <v>37.364611311270146</v>
      </c>
      <c r="AI316" s="214"/>
    </row>
    <row r="317" spans="1:36" outlineLevel="1">
      <c r="A317" s="112" t="s">
        <v>1364</v>
      </c>
      <c r="B317" s="302" t="s">
        <v>704</v>
      </c>
      <c r="C317" s="230">
        <f t="shared" ref="C317:AG317" si="193">C286*C$312</f>
        <v>4.5232222623249516</v>
      </c>
      <c r="D317" s="230">
        <f t="shared" si="193"/>
        <v>4.7668090542546118</v>
      </c>
      <c r="E317" s="230">
        <f t="shared" si="193"/>
        <v>5.0074564238283878</v>
      </c>
      <c r="F317" s="230">
        <f t="shared" si="193"/>
        <v>5.2435652956833998</v>
      </c>
      <c r="G317" s="230">
        <f t="shared" si="193"/>
        <v>5.4735045011641024</v>
      </c>
      <c r="H317" s="230">
        <f t="shared" si="193"/>
        <v>5.6956279220820383</v>
      </c>
      <c r="I317" s="230">
        <f t="shared" si="193"/>
        <v>5.9221759971362209</v>
      </c>
      <c r="J317" s="230">
        <f t="shared" si="193"/>
        <v>6.1530226353157191</v>
      </c>
      <c r="K317" s="230">
        <f t="shared" si="193"/>
        <v>6.3880298931749362</v>
      </c>
      <c r="L317" s="230">
        <f t="shared" si="193"/>
        <v>6.6270478851436296</v>
      </c>
      <c r="M317" s="230">
        <f t="shared" si="193"/>
        <v>6.869914722625837</v>
      </c>
      <c r="N317" s="230">
        <f t="shared" si="193"/>
        <v>7.1053886041654213</v>
      </c>
      <c r="O317" s="230">
        <f t="shared" si="193"/>
        <v>7.3321477986642885</v>
      </c>
      <c r="P317" s="230">
        <f t="shared" si="193"/>
        <v>7.548880011367392</v>
      </c>
      <c r="Q317" s="230">
        <f t="shared" si="193"/>
        <v>7.7542935584122841</v>
      </c>
      <c r="R317" s="230">
        <f t="shared" si="193"/>
        <v>7.9471286676954644</v>
      </c>
      <c r="S317" s="230">
        <f t="shared" si="193"/>
        <v>8.142112466605564</v>
      </c>
      <c r="T317" s="230">
        <f t="shared" si="193"/>
        <v>8.3392140048064629</v>
      </c>
      <c r="U317" s="230">
        <f t="shared" si="193"/>
        <v>8.5384006627795372</v>
      </c>
      <c r="V317" s="230">
        <f t="shared" si="193"/>
        <v>8.7396381364127649</v>
      </c>
      <c r="W317" s="230">
        <f t="shared" si="193"/>
        <v>8.9428904222927539</v>
      </c>
      <c r="X317" s="230">
        <f t="shared" si="193"/>
        <v>9.1482298257556671</v>
      </c>
      <c r="Y317" s="230">
        <f t="shared" si="193"/>
        <v>9.3556247575432181</v>
      </c>
      <c r="Z317" s="230">
        <f t="shared" si="193"/>
        <v>9.5650420746952118</v>
      </c>
      <c r="AA317" s="230">
        <f t="shared" si="193"/>
        <v>9.7764470664287391</v>
      </c>
      <c r="AB317" s="230">
        <f t="shared" si="193"/>
        <v>9.9898034405642928</v>
      </c>
      <c r="AC317" s="230">
        <f t="shared" si="193"/>
        <v>10.205178993231939</v>
      </c>
      <c r="AD317" s="230">
        <f t="shared" si="193"/>
        <v>10.422541342108747</v>
      </c>
      <c r="AE317" s="230">
        <f t="shared" si="193"/>
        <v>10.641856644364415</v>
      </c>
      <c r="AF317" s="230">
        <f t="shared" si="193"/>
        <v>10.863089583413677</v>
      </c>
      <c r="AG317" s="230">
        <f t="shared" si="193"/>
        <v>11.086203356091143</v>
      </c>
      <c r="AI317" s="214"/>
    </row>
    <row r="318" spans="1:36" outlineLevel="1">
      <c r="A318" s="112" t="s">
        <v>1365</v>
      </c>
      <c r="B318" s="302" t="s">
        <v>704</v>
      </c>
      <c r="C318" s="230">
        <f t="shared" ref="C318:AG318" si="194">C287*C$312</f>
        <v>3.2308730445178222</v>
      </c>
      <c r="D318" s="230">
        <f t="shared" si="194"/>
        <v>3.393397278098933</v>
      </c>
      <c r="E318" s="230">
        <f t="shared" si="194"/>
        <v>3.5530848889664663</v>
      </c>
      <c r="F318" s="230">
        <f t="shared" si="194"/>
        <v>3.7088632579224052</v>
      </c>
      <c r="G318" s="230">
        <f t="shared" si="194"/>
        <v>3.8596470461139414</v>
      </c>
      <c r="H318" s="230">
        <f t="shared" si="194"/>
        <v>4.0043497618131374</v>
      </c>
      <c r="I318" s="230">
        <f t="shared" si="194"/>
        <v>4.1516285340748782</v>
      </c>
      <c r="J318" s="230">
        <f t="shared" si="194"/>
        <v>4.3013945218986489</v>
      </c>
      <c r="K318" s="230">
        <f t="shared" si="194"/>
        <v>4.4535516226960059</v>
      </c>
      <c r="L318" s="230">
        <f t="shared" si="194"/>
        <v>4.6079964410212479</v>
      </c>
      <c r="M318" s="230">
        <f t="shared" si="194"/>
        <v>4.7646182753695348</v>
      </c>
      <c r="N318" s="230">
        <f t="shared" si="194"/>
        <v>4.9156421558602741</v>
      </c>
      <c r="O318" s="230">
        <f t="shared" si="194"/>
        <v>5.0602146779514134</v>
      </c>
      <c r="P318" s="230">
        <f t="shared" si="194"/>
        <v>5.1974941018898111</v>
      </c>
      <c r="Q318" s="230">
        <f t="shared" si="194"/>
        <v>5.3266575811585932</v>
      </c>
      <c r="R318" s="230">
        <f t="shared" si="194"/>
        <v>5.4469084126901537</v>
      </c>
      <c r="S318" s="230">
        <f t="shared" si="194"/>
        <v>5.5683871078853455</v>
      </c>
      <c r="T318" s="230">
        <f t="shared" si="194"/>
        <v>5.6910732137681448</v>
      </c>
      <c r="U318" s="230">
        <f t="shared" si="194"/>
        <v>5.8149452789619307</v>
      </c>
      <c r="V318" s="230">
        <f t="shared" si="194"/>
        <v>5.9399808453719691</v>
      </c>
      <c r="W318" s="230">
        <f t="shared" si="194"/>
        <v>6.0661564402964894</v>
      </c>
      <c r="X318" s="230">
        <f t="shared" si="194"/>
        <v>6.1935220559463895</v>
      </c>
      <c r="Y318" s="230">
        <f t="shared" si="194"/>
        <v>6.3220570568684478</v>
      </c>
      <c r="Z318" s="230">
        <f t="shared" si="194"/>
        <v>6.4517398795691374</v>
      </c>
      <c r="AA318" s="230">
        <f t="shared" si="194"/>
        <v>6.5825480248066075</v>
      </c>
      <c r="AB318" s="230">
        <f t="shared" si="194"/>
        <v>6.7144580502153524</v>
      </c>
      <c r="AC318" s="230">
        <f t="shared" si="194"/>
        <v>6.8475164747333555</v>
      </c>
      <c r="AD318" s="230">
        <f t="shared" si="194"/>
        <v>6.9817023577657524</v>
      </c>
      <c r="AE318" s="230">
        <f t="shared" si="194"/>
        <v>7.1169938873183085</v>
      </c>
      <c r="AF318" s="230">
        <f t="shared" si="194"/>
        <v>7.2533683726853431</v>
      </c>
      <c r="AG318" s="230">
        <f t="shared" si="194"/>
        <v>7.3908022373940945</v>
      </c>
      <c r="AI318" s="214"/>
    </row>
    <row r="319" spans="1:36" s="58" customFormat="1">
      <c r="A319" s="58" t="s">
        <v>1366</v>
      </c>
      <c r="B319" s="303"/>
      <c r="C319" s="304">
        <f>C47</f>
        <v>70.764479384937346</v>
      </c>
      <c r="D319" s="304">
        <f t="shared" ref="D319:AG319" si="195">D47</f>
        <v>73.13661085387929</v>
      </c>
      <c r="E319" s="304">
        <f t="shared" si="195"/>
        <v>75.390666744568932</v>
      </c>
      <c r="F319" s="304">
        <f t="shared" si="195"/>
        <v>77.511176043347206</v>
      </c>
      <c r="G319" s="304">
        <f t="shared" si="195"/>
        <v>79.483286841213982</v>
      </c>
      <c r="H319" s="304">
        <f t="shared" si="195"/>
        <v>81.292939605458415</v>
      </c>
      <c r="I319" s="304">
        <f t="shared" si="195"/>
        <v>83.105945681537463</v>
      </c>
      <c r="J319" s="304">
        <f t="shared" si="195"/>
        <v>84.920663560469848</v>
      </c>
      <c r="K319" s="304">
        <f t="shared" si="195"/>
        <v>86.735410058637726</v>
      </c>
      <c r="L319" s="304">
        <f t="shared" si="195"/>
        <v>88.548462506721251</v>
      </c>
      <c r="M319" s="304">
        <f t="shared" si="195"/>
        <v>90.358061086572363</v>
      </c>
      <c r="N319" s="304">
        <f t="shared" si="195"/>
        <v>92.030546196497212</v>
      </c>
      <c r="O319" s="304">
        <f t="shared" si="195"/>
        <v>93.556641933394388</v>
      </c>
      <c r="P319" s="304">
        <f t="shared" si="195"/>
        <v>94.934764778396357</v>
      </c>
      <c r="Q319" s="304">
        <f t="shared" si="195"/>
        <v>96.150171217402942</v>
      </c>
      <c r="R319" s="304">
        <f t="shared" si="195"/>
        <v>97.195748011778804</v>
      </c>
      <c r="S319" s="304">
        <f t="shared" si="195"/>
        <v>98.241939602368916</v>
      </c>
      <c r="T319" s="304">
        <f t="shared" si="195"/>
        <v>99.288514590563977</v>
      </c>
      <c r="U319" s="304">
        <f t="shared" si="195"/>
        <v>100.33523872964443</v>
      </c>
      <c r="V319" s="304">
        <f t="shared" si="195"/>
        <v>101.38187499767295</v>
      </c>
      <c r="W319" s="304">
        <f t="shared" si="195"/>
        <v>102.42818367287526</v>
      </c>
      <c r="X319" s="304">
        <f t="shared" si="195"/>
        <v>103.47506211587536</v>
      </c>
      <c r="Y319" s="304">
        <f t="shared" si="195"/>
        <v>104.52230174975102</v>
      </c>
      <c r="Z319" s="304">
        <f t="shared" si="195"/>
        <v>105.58142119952514</v>
      </c>
      <c r="AA319" s="304">
        <f t="shared" si="195"/>
        <v>106.64070846287231</v>
      </c>
      <c r="AB319" s="304">
        <f t="shared" si="195"/>
        <v>107.69994773827553</v>
      </c>
      <c r="AC319" s="304">
        <f t="shared" si="195"/>
        <v>108.75994912386435</v>
      </c>
      <c r="AD319" s="304">
        <f t="shared" si="195"/>
        <v>109.82052364083079</v>
      </c>
      <c r="AE319" s="304">
        <f t="shared" si="195"/>
        <v>110.88148015027035</v>
      </c>
      <c r="AF319" s="304">
        <f t="shared" si="195"/>
        <v>111.94262540104081</v>
      </c>
      <c r="AG319" s="304">
        <f t="shared" si="195"/>
        <v>113.00376407913288</v>
      </c>
      <c r="AI319" s="305"/>
      <c r="AJ319" s="306"/>
    </row>
    <row r="320" spans="1:36" s="58" customFormat="1">
      <c r="A320" s="307" t="s">
        <v>3</v>
      </c>
      <c r="B320" s="308" t="s">
        <v>704</v>
      </c>
      <c r="C320" s="309">
        <f>C319-C309</f>
        <v>0</v>
      </c>
      <c r="D320" s="309">
        <f t="shared" ref="D320:AG320" si="196">D319-D309</f>
        <v>0</v>
      </c>
      <c r="E320" s="309">
        <f t="shared" si="196"/>
        <v>0</v>
      </c>
      <c r="F320" s="309">
        <f t="shared" si="196"/>
        <v>0</v>
      </c>
      <c r="G320" s="309">
        <f t="shared" si="196"/>
        <v>0</v>
      </c>
      <c r="H320" s="309">
        <f t="shared" si="196"/>
        <v>0</v>
      </c>
      <c r="I320" s="309">
        <f t="shared" si="196"/>
        <v>0</v>
      </c>
      <c r="J320" s="309">
        <f t="shared" si="196"/>
        <v>0</v>
      </c>
      <c r="K320" s="309">
        <f t="shared" si="196"/>
        <v>0</v>
      </c>
      <c r="L320" s="309">
        <f t="shared" si="196"/>
        <v>0</v>
      </c>
      <c r="M320" s="309">
        <f t="shared" si="196"/>
        <v>0</v>
      </c>
      <c r="N320" s="309">
        <f t="shared" si="196"/>
        <v>0</v>
      </c>
      <c r="O320" s="309">
        <f t="shared" si="196"/>
        <v>0</v>
      </c>
      <c r="P320" s="309">
        <f t="shared" si="196"/>
        <v>7.0372114028174337E-3</v>
      </c>
      <c r="Q320" s="309">
        <f t="shared" si="196"/>
        <v>1.4253554642806421E-2</v>
      </c>
      <c r="R320" s="309">
        <f t="shared" si="196"/>
        <v>2.1611228698560581E-2</v>
      </c>
      <c r="S320" s="309">
        <f t="shared" si="196"/>
        <v>2.9122970530025327E-2</v>
      </c>
      <c r="T320" s="309">
        <f t="shared" si="196"/>
        <v>3.6788796825021564E-2</v>
      </c>
      <c r="U320" s="309">
        <f t="shared" si="196"/>
        <v>4.4608654414247439E-2</v>
      </c>
      <c r="V320" s="309">
        <f t="shared" si="196"/>
        <v>5.2582419279758597E-2</v>
      </c>
      <c r="W320" s="309">
        <f t="shared" si="196"/>
        <v>6.0709895597966579E-2</v>
      </c>
      <c r="X320" s="309">
        <f t="shared" si="196"/>
        <v>6.8991574711105841E-2</v>
      </c>
      <c r="Y320" s="309">
        <f t="shared" si="196"/>
        <v>7.7427394462787902E-2</v>
      </c>
      <c r="Z320" s="309">
        <f t="shared" si="196"/>
        <v>9.7746851073068797E-2</v>
      </c>
      <c r="AA320" s="309">
        <f t="shared" si="196"/>
        <v>0.11845110959352212</v>
      </c>
      <c r="AB320" s="309">
        <f t="shared" si="196"/>
        <v>0.13953976993667538</v>
      </c>
      <c r="AC320" s="309">
        <f t="shared" si="196"/>
        <v>0.16101379136375726</v>
      </c>
      <c r="AD320" s="309">
        <f t="shared" si="196"/>
        <v>0.18287306830821137</v>
      </c>
      <c r="AE320" s="309">
        <f t="shared" si="196"/>
        <v>0.20511735145041143</v>
      </c>
      <c r="AF320" s="309">
        <f t="shared" si="196"/>
        <v>0.22774624595048465</v>
      </c>
      <c r="AG320" s="309">
        <f t="shared" si="196"/>
        <v>0.25075920973941379</v>
      </c>
      <c r="AI320" s="305"/>
      <c r="AJ320" s="306"/>
    </row>
    <row r="321" spans="1:36">
      <c r="A321" s="310" t="s">
        <v>51</v>
      </c>
      <c r="B321" s="302" t="s">
        <v>704</v>
      </c>
      <c r="C321" s="249">
        <f>C277</f>
        <v>6.1470184945809105</v>
      </c>
      <c r="D321" s="249">
        <f t="shared" ref="D321:AG321" si="197">D277</f>
        <v>6.5918673772683558</v>
      </c>
      <c r="E321" s="249">
        <f t="shared" si="197"/>
        <v>7.1488048815287524</v>
      </c>
      <c r="F321" s="249">
        <f t="shared" si="197"/>
        <v>7.7187271428009527</v>
      </c>
      <c r="G321" s="249">
        <f t="shared" si="197"/>
        <v>8.2987524751611126</v>
      </c>
      <c r="H321" s="249">
        <f t="shared" si="197"/>
        <v>8.8857564734805656</v>
      </c>
      <c r="I321" s="249">
        <f t="shared" si="197"/>
        <v>9.4968403576145057</v>
      </c>
      <c r="J321" s="249">
        <f t="shared" si="197"/>
        <v>10.132414840923506</v>
      </c>
      <c r="K321" s="249">
        <f t="shared" si="197"/>
        <v>10.792867488508211</v>
      </c>
      <c r="L321" s="249">
        <f t="shared" si="197"/>
        <v>11.478560707668674</v>
      </c>
      <c r="M321" s="249">
        <f t="shared" si="197"/>
        <v>12.18982971377074</v>
      </c>
      <c r="N321" s="249">
        <f t="shared" si="197"/>
        <v>13.356020014020505</v>
      </c>
      <c r="O321" s="249">
        <f t="shared" si="197"/>
        <v>14.547915820586532</v>
      </c>
      <c r="P321" s="249">
        <f t="shared" si="197"/>
        <v>15.761365552630705</v>
      </c>
      <c r="Q321" s="249">
        <f t="shared" si="197"/>
        <v>16.990567755239745</v>
      </c>
      <c r="R321" s="249">
        <f t="shared" si="197"/>
        <v>18.229960967784073</v>
      </c>
      <c r="S321" s="249">
        <f t="shared" si="197"/>
        <v>19.508782585754233</v>
      </c>
      <c r="T321" s="249">
        <f t="shared" si="197"/>
        <v>20.827944787428695</v>
      </c>
      <c r="U321" s="249">
        <f t="shared" si="197"/>
        <v>22.18836639306538</v>
      </c>
      <c r="V321" s="249">
        <f t="shared" si="197"/>
        <v>23.590972316525136</v>
      </c>
      <c r="W321" s="249">
        <f t="shared" si="197"/>
        <v>25.036692995614104</v>
      </c>
      <c r="X321" s="249">
        <f t="shared" si="197"/>
        <v>27.226871936462267</v>
      </c>
      <c r="Y321" s="249">
        <f t="shared" si="197"/>
        <v>29.487706240608638</v>
      </c>
      <c r="Z321" s="249">
        <f t="shared" si="197"/>
        <v>31.823946228548404</v>
      </c>
      <c r="AA321" s="249">
        <f t="shared" si="197"/>
        <v>34.234730551775755</v>
      </c>
      <c r="AB321" s="249">
        <f t="shared" si="197"/>
        <v>36.721742865197712</v>
      </c>
      <c r="AC321" s="249">
        <f t="shared" si="197"/>
        <v>39.287048989869859</v>
      </c>
      <c r="AD321" s="249">
        <f t="shared" si="197"/>
        <v>41.932428759326513</v>
      </c>
      <c r="AE321" s="249">
        <f t="shared" si="197"/>
        <v>44.659675631633803</v>
      </c>
      <c r="AF321" s="249">
        <f t="shared" si="197"/>
        <v>47.470595845121537</v>
      </c>
      <c r="AG321" s="249">
        <f t="shared" si="197"/>
        <v>50.367007543324213</v>
      </c>
      <c r="AI321" s="296"/>
    </row>
    <row r="322" spans="1:36" s="68" customFormat="1">
      <c r="A322" s="311" t="s">
        <v>1387</v>
      </c>
      <c r="B322" s="312" t="s">
        <v>704</v>
      </c>
      <c r="C322" s="313">
        <f>C319-C321</f>
        <v>64.61746089035644</v>
      </c>
      <c r="D322" s="313">
        <f t="shared" ref="D322:AG322" si="198">D319-D321</f>
        <v>66.544743476610932</v>
      </c>
      <c r="E322" s="313">
        <f t="shared" si="198"/>
        <v>68.241861863040185</v>
      </c>
      <c r="F322" s="313">
        <f t="shared" si="198"/>
        <v>69.792448900546248</v>
      </c>
      <c r="G322" s="313">
        <f t="shared" si="198"/>
        <v>71.184534366052873</v>
      </c>
      <c r="H322" s="313">
        <f t="shared" si="198"/>
        <v>72.407183131977845</v>
      </c>
      <c r="I322" s="313">
        <f t="shared" si="198"/>
        <v>73.609105323922961</v>
      </c>
      <c r="J322" s="313">
        <f t="shared" si="198"/>
        <v>74.788248719546345</v>
      </c>
      <c r="K322" s="313">
        <f t="shared" si="198"/>
        <v>75.942542570129518</v>
      </c>
      <c r="L322" s="313">
        <f t="shared" si="198"/>
        <v>77.069901799052573</v>
      </c>
      <c r="M322" s="313">
        <f t="shared" si="198"/>
        <v>78.168231372801628</v>
      </c>
      <c r="N322" s="313">
        <f t="shared" si="198"/>
        <v>78.674526182476711</v>
      </c>
      <c r="O322" s="313">
        <f t="shared" si="198"/>
        <v>79.008726112807864</v>
      </c>
      <c r="P322" s="313">
        <f t="shared" si="198"/>
        <v>79.17339922576565</v>
      </c>
      <c r="Q322" s="313">
        <f t="shared" si="198"/>
        <v>79.159603462163204</v>
      </c>
      <c r="R322" s="313">
        <f t="shared" si="198"/>
        <v>78.965787043994737</v>
      </c>
      <c r="S322" s="313">
        <f t="shared" si="198"/>
        <v>78.733157016614683</v>
      </c>
      <c r="T322" s="313">
        <f t="shared" si="198"/>
        <v>78.460569803135286</v>
      </c>
      <c r="U322" s="313">
        <f t="shared" si="198"/>
        <v>78.146872336579051</v>
      </c>
      <c r="V322" s="313">
        <f t="shared" si="198"/>
        <v>77.790902681147813</v>
      </c>
      <c r="W322" s="313">
        <f t="shared" si="198"/>
        <v>77.39149067726116</v>
      </c>
      <c r="X322" s="313">
        <f t="shared" si="198"/>
        <v>76.248190179413086</v>
      </c>
      <c r="Y322" s="313">
        <f t="shared" si="198"/>
        <v>75.034595509142378</v>
      </c>
      <c r="Z322" s="313">
        <f t="shared" si="198"/>
        <v>73.75747497097673</v>
      </c>
      <c r="AA322" s="313">
        <f t="shared" si="198"/>
        <v>72.405977911096556</v>
      </c>
      <c r="AB322" s="313">
        <f t="shared" si="198"/>
        <v>70.978204873077814</v>
      </c>
      <c r="AC322" s="313">
        <f t="shared" si="198"/>
        <v>69.472900133994486</v>
      </c>
      <c r="AD322" s="313">
        <f t="shared" si="198"/>
        <v>67.888094881504273</v>
      </c>
      <c r="AE322" s="313">
        <f t="shared" si="198"/>
        <v>66.221804518636546</v>
      </c>
      <c r="AF322" s="313">
        <f t="shared" si="198"/>
        <v>64.472029555919278</v>
      </c>
      <c r="AG322" s="313">
        <f t="shared" si="198"/>
        <v>62.636756535808665</v>
      </c>
      <c r="AI322" s="314"/>
      <c r="AJ322" s="315"/>
    </row>
    <row r="323" spans="1:36" s="58" customFormat="1" outlineLevel="1">
      <c r="A323" s="307" t="s">
        <v>1367</v>
      </c>
      <c r="B323" s="308" t="s">
        <v>462</v>
      </c>
      <c r="C323" s="309">
        <f>C319*C289</f>
        <v>59.44216268334737</v>
      </c>
      <c r="D323" s="309">
        <f t="shared" ref="D323:AG323" si="199">D319*D289</f>
        <v>61.727299560674119</v>
      </c>
      <c r="E323" s="309">
        <f t="shared" si="199"/>
        <v>63.931285399394454</v>
      </c>
      <c r="F323" s="309">
        <f t="shared" si="199"/>
        <v>66.039521988931824</v>
      </c>
      <c r="G323" s="309">
        <f t="shared" si="199"/>
        <v>68.037693536079161</v>
      </c>
      <c r="H323" s="309">
        <f t="shared" si="199"/>
        <v>69.911928060694237</v>
      </c>
      <c r="I323" s="309">
        <f t="shared" si="199"/>
        <v>71.803537068848371</v>
      </c>
      <c r="J323" s="309">
        <f t="shared" si="199"/>
        <v>73.711135970487831</v>
      </c>
      <c r="K323" s="309">
        <f t="shared" si="199"/>
        <v>75.633277571132098</v>
      </c>
      <c r="L323" s="309">
        <f t="shared" si="199"/>
        <v>77.568453155887809</v>
      </c>
      <c r="M323" s="309">
        <f t="shared" si="199"/>
        <v>79.515093756183674</v>
      </c>
      <c r="N323" s="309">
        <f t="shared" si="199"/>
        <v>81.355002837703537</v>
      </c>
      <c r="O323" s="309">
        <f t="shared" si="199"/>
        <v>83.078298036854221</v>
      </c>
      <c r="P323" s="309">
        <f t="shared" si="199"/>
        <v>84.681810182329556</v>
      </c>
      <c r="Q323" s="309">
        <f t="shared" si="199"/>
        <v>86.150553410793037</v>
      </c>
      <c r="R323" s="309">
        <f t="shared" si="199"/>
        <v>87.476173210600919</v>
      </c>
      <c r="S323" s="309">
        <f t="shared" si="199"/>
        <v>88.810713400541502</v>
      </c>
      <c r="T323" s="309">
        <f t="shared" si="199"/>
        <v>90.153971248232097</v>
      </c>
      <c r="U323" s="309">
        <f t="shared" si="199"/>
        <v>91.505737721435722</v>
      </c>
      <c r="V323" s="309">
        <f t="shared" si="199"/>
        <v>92.865797497868428</v>
      </c>
      <c r="W323" s="309">
        <f t="shared" si="199"/>
        <v>94.233928979045245</v>
      </c>
      <c r="X323" s="309">
        <f t="shared" si="199"/>
        <v>95.610957395068837</v>
      </c>
      <c r="Y323" s="309">
        <f t="shared" si="199"/>
        <v>96.996696023768948</v>
      </c>
      <c r="Z323" s="309">
        <f t="shared" si="199"/>
        <v>98.40188455795743</v>
      </c>
      <c r="AA323" s="309">
        <f t="shared" si="199"/>
        <v>99.81570312124849</v>
      </c>
      <c r="AB323" s="309">
        <f t="shared" si="199"/>
        <v>101.237950873979</v>
      </c>
      <c r="AC323" s="309">
        <f t="shared" si="199"/>
        <v>102.66939197292795</v>
      </c>
      <c r="AD323" s="309">
        <f t="shared" si="199"/>
        <v>104.10985641150759</v>
      </c>
      <c r="AE323" s="309">
        <f t="shared" si="199"/>
        <v>105.55916910305739</v>
      </c>
      <c r="AF323" s="309">
        <f t="shared" si="199"/>
        <v>107.01714988339502</v>
      </c>
      <c r="AG323" s="309">
        <f t="shared" si="199"/>
        <v>108.48361351596756</v>
      </c>
      <c r="AI323" s="305"/>
      <c r="AJ323" s="339" t="s">
        <v>1363</v>
      </c>
    </row>
    <row r="324" spans="1:36" s="58" customFormat="1" outlineLevel="1">
      <c r="A324" s="307" t="s">
        <v>1368</v>
      </c>
      <c r="B324" s="308" t="s">
        <v>462</v>
      </c>
      <c r="C324" s="309">
        <f>C323*C290</f>
        <v>13.077275790336421</v>
      </c>
      <c r="D324" s="309">
        <f t="shared" ref="D324:AG324" si="200">D323*D290</f>
        <v>13.991521233752799</v>
      </c>
      <c r="E324" s="309">
        <f t="shared" si="200"/>
        <v>14.917299926525372</v>
      </c>
      <c r="F324" s="309">
        <f t="shared" si="200"/>
        <v>15.849485277343636</v>
      </c>
      <c r="G324" s="309">
        <f t="shared" si="200"/>
        <v>16.782631072232856</v>
      </c>
      <c r="H324" s="309">
        <f t="shared" si="200"/>
        <v>17.711021775375873</v>
      </c>
      <c r="I324" s="309">
        <f t="shared" si="200"/>
        <v>18.668919637900572</v>
      </c>
      <c r="J324" s="309">
        <f t="shared" si="200"/>
        <v>19.656302925463418</v>
      </c>
      <c r="K324" s="309">
        <f t="shared" si="200"/>
        <v>20.673095869442768</v>
      </c>
      <c r="L324" s="309">
        <f t="shared" si="200"/>
        <v>21.71916688364858</v>
      </c>
      <c r="M324" s="309">
        <f t="shared" si="200"/>
        <v>22.794326876772647</v>
      </c>
      <c r="N324" s="309">
        <f t="shared" si="200"/>
        <v>23.864134165726362</v>
      </c>
      <c r="O324" s="309">
        <f t="shared" si="200"/>
        <v>24.923489411056256</v>
      </c>
      <c r="P324" s="309">
        <f t="shared" si="200"/>
        <v>25.969088455914385</v>
      </c>
      <c r="Q324" s="309">
        <f t="shared" si="200"/>
        <v>26.993840068715141</v>
      </c>
      <c r="R324" s="309">
        <f t="shared" si="200"/>
        <v>27.992375427392279</v>
      </c>
      <c r="S324" s="309">
        <f t="shared" si="200"/>
        <v>29.011499710843541</v>
      </c>
      <c r="T324" s="309">
        <f t="shared" si="200"/>
        <v>30.051323749410681</v>
      </c>
      <c r="U324" s="309">
        <f t="shared" si="200"/>
        <v>31.111950825288126</v>
      </c>
      <c r="V324" s="309">
        <f t="shared" si="200"/>
        <v>32.193476465927702</v>
      </c>
      <c r="W324" s="309">
        <f t="shared" si="200"/>
        <v>33.295988239262634</v>
      </c>
      <c r="X324" s="309">
        <f t="shared" si="200"/>
        <v>34.419944662224758</v>
      </c>
      <c r="Y324" s="309">
        <f t="shared" si="200"/>
        <v>35.565455208715257</v>
      </c>
      <c r="Z324" s="309">
        <f t="shared" si="200"/>
        <v>36.73670356830408</v>
      </c>
      <c r="AA324" s="309">
        <f t="shared" si="200"/>
        <v>37.9299671860744</v>
      </c>
      <c r="AB324" s="309">
        <f t="shared" si="200"/>
        <v>39.145341004605186</v>
      </c>
      <c r="AC324" s="309">
        <f t="shared" si="200"/>
        <v>40.383294176018296</v>
      </c>
      <c r="AD324" s="309">
        <f t="shared" si="200"/>
        <v>41.643942564603002</v>
      </c>
      <c r="AE324" s="309">
        <f t="shared" si="200"/>
        <v>42.927395435243305</v>
      </c>
      <c r="AF324" s="309">
        <f t="shared" si="200"/>
        <v>44.233755285136574</v>
      </c>
      <c r="AG324" s="309">
        <f t="shared" si="200"/>
        <v>45.563117676706376</v>
      </c>
      <c r="AI324" s="305"/>
      <c r="AJ324" s="339" t="s">
        <v>1363</v>
      </c>
    </row>
    <row r="325" spans="1:36" s="62" customFormat="1" outlineLevel="1">
      <c r="A325" s="311" t="s">
        <v>1369</v>
      </c>
      <c r="B325" s="312" t="s">
        <v>462</v>
      </c>
      <c r="C325" s="313">
        <f>C323*C291</f>
        <v>46.364886893010947</v>
      </c>
      <c r="D325" s="313">
        <f t="shared" ref="D325:AG325" si="201">D323*D291</f>
        <v>47.73577832692132</v>
      </c>
      <c r="E325" s="313">
        <f t="shared" si="201"/>
        <v>49.013985472869088</v>
      </c>
      <c r="F325" s="313">
        <f t="shared" si="201"/>
        <v>50.190036711588185</v>
      </c>
      <c r="G325" s="313">
        <f t="shared" si="201"/>
        <v>51.255062463846308</v>
      </c>
      <c r="H325" s="313">
        <f t="shared" si="201"/>
        <v>52.200906285318368</v>
      </c>
      <c r="I325" s="313">
        <f t="shared" si="201"/>
        <v>53.134617430947792</v>
      </c>
      <c r="J325" s="313">
        <f t="shared" si="201"/>
        <v>54.054833045024417</v>
      </c>
      <c r="K325" s="313">
        <f t="shared" si="201"/>
        <v>54.960181701689336</v>
      </c>
      <c r="L325" s="313">
        <f t="shared" si="201"/>
        <v>55.849286272239226</v>
      </c>
      <c r="M325" s="313">
        <f t="shared" si="201"/>
        <v>56.720766879411023</v>
      </c>
      <c r="N325" s="313">
        <f t="shared" si="201"/>
        <v>57.490868671977175</v>
      </c>
      <c r="O325" s="313">
        <f t="shared" si="201"/>
        <v>58.154808625797969</v>
      </c>
      <c r="P325" s="313">
        <f t="shared" si="201"/>
        <v>58.712721726415168</v>
      </c>
      <c r="Q325" s="313">
        <f t="shared" si="201"/>
        <v>59.156713342077893</v>
      </c>
      <c r="R325" s="313">
        <f t="shared" si="201"/>
        <v>59.483797783208637</v>
      </c>
      <c r="S325" s="313">
        <f t="shared" si="201"/>
        <v>59.799213689697964</v>
      </c>
      <c r="T325" s="313">
        <f t="shared" si="201"/>
        <v>60.102647498821412</v>
      </c>
      <c r="U325" s="313">
        <f t="shared" si="201"/>
        <v>60.393786896147589</v>
      </c>
      <c r="V325" s="313">
        <f t="shared" si="201"/>
        <v>60.672321031940726</v>
      </c>
      <c r="W325" s="313">
        <f t="shared" si="201"/>
        <v>60.937940739782618</v>
      </c>
      <c r="X325" s="313">
        <f t="shared" si="201"/>
        <v>61.191012732844079</v>
      </c>
      <c r="Y325" s="313">
        <f t="shared" si="201"/>
        <v>61.431240815053684</v>
      </c>
      <c r="Z325" s="313">
        <f t="shared" si="201"/>
        <v>61.665180989653351</v>
      </c>
      <c r="AA325" s="313">
        <f t="shared" si="201"/>
        <v>61.885735935174097</v>
      </c>
      <c r="AB325" s="313">
        <f t="shared" si="201"/>
        <v>62.092609869373817</v>
      </c>
      <c r="AC325" s="313">
        <f t="shared" si="201"/>
        <v>62.286097796909651</v>
      </c>
      <c r="AD325" s="313">
        <f t="shared" si="201"/>
        <v>62.465913846904591</v>
      </c>
      <c r="AE325" s="313">
        <f t="shared" si="201"/>
        <v>62.631773667814088</v>
      </c>
      <c r="AF325" s="313">
        <f t="shared" si="201"/>
        <v>62.783394598258447</v>
      </c>
      <c r="AG325" s="313">
        <f t="shared" si="201"/>
        <v>62.920495839261193</v>
      </c>
      <c r="AI325" s="342"/>
      <c r="AJ325" s="341" t="s">
        <v>1363</v>
      </c>
    </row>
    <row r="326" spans="1:36" s="1" customFormat="1" outlineLevel="1">
      <c r="A326" t="s">
        <v>1370</v>
      </c>
      <c r="B326" s="302" t="s">
        <v>704</v>
      </c>
      <c r="C326" s="249">
        <f>C292*C323</f>
        <v>56.470054549179999</v>
      </c>
      <c r="D326" s="249">
        <f t="shared" ref="D326:AG326" si="202">D292*D323</f>
        <v>58.332298084837042</v>
      </c>
      <c r="E326" s="249">
        <f t="shared" si="202"/>
        <v>60.095408275430785</v>
      </c>
      <c r="F326" s="249">
        <f t="shared" si="202"/>
        <v>61.746953059651254</v>
      </c>
      <c r="G326" s="249">
        <f t="shared" si="202"/>
        <v>63.275054988553613</v>
      </c>
      <c r="H326" s="249">
        <f t="shared" si="202"/>
        <v>64.668533456142171</v>
      </c>
      <c r="I326" s="249">
        <f t="shared" si="202"/>
        <v>66.059254103340493</v>
      </c>
      <c r="J326" s="249">
        <f t="shared" si="202"/>
        <v>67.445689412996359</v>
      </c>
      <c r="K326" s="249">
        <f t="shared" si="202"/>
        <v>68.826282589730198</v>
      </c>
      <c r="L326" s="249">
        <f t="shared" si="202"/>
        <v>70.199450106078459</v>
      </c>
      <c r="M326" s="249">
        <f t="shared" si="202"/>
        <v>71.563584380565302</v>
      </c>
      <c r="N326" s="249">
        <f t="shared" si="202"/>
        <v>72.812727539744657</v>
      </c>
      <c r="O326" s="249">
        <f t="shared" si="202"/>
        <v>73.939685252800246</v>
      </c>
      <c r="P326" s="249">
        <f t="shared" si="202"/>
        <v>74.943402011361655</v>
      </c>
      <c r="Q326" s="249">
        <f t="shared" si="202"/>
        <v>75.812487001497857</v>
      </c>
      <c r="R326" s="249">
        <f t="shared" si="202"/>
        <v>76.541651559275792</v>
      </c>
      <c r="S326" s="249">
        <f t="shared" si="202"/>
        <v>77.265320658471097</v>
      </c>
      <c r="T326" s="249">
        <f t="shared" si="202"/>
        <v>77.983185129720752</v>
      </c>
      <c r="U326" s="249">
        <f t="shared" si="202"/>
        <v>78.694934440434707</v>
      </c>
      <c r="V326" s="249">
        <f t="shared" si="202"/>
        <v>79.400256860677487</v>
      </c>
      <c r="W326" s="249">
        <f t="shared" si="202"/>
        <v>80.098839632188444</v>
      </c>
      <c r="X326" s="249">
        <f t="shared" si="202"/>
        <v>80.791258998833158</v>
      </c>
      <c r="Y326" s="249">
        <f t="shared" si="202"/>
        <v>81.477224659965898</v>
      </c>
      <c r="Z326" s="249">
        <f t="shared" si="202"/>
        <v>82.165573605894437</v>
      </c>
      <c r="AA326" s="249">
        <f t="shared" si="202"/>
        <v>82.847033590636229</v>
      </c>
      <c r="AB326" s="249">
        <f t="shared" si="202"/>
        <v>83.521309471032666</v>
      </c>
      <c r="AC326" s="249">
        <f t="shared" si="202"/>
        <v>84.188901417800906</v>
      </c>
      <c r="AD326" s="249">
        <f t="shared" si="202"/>
        <v>84.849532975378665</v>
      </c>
      <c r="AE326" s="249">
        <f t="shared" si="202"/>
        <v>85.502926973476463</v>
      </c>
      <c r="AF326" s="249">
        <f t="shared" si="202"/>
        <v>86.148805656132978</v>
      </c>
      <c r="AG326" s="249">
        <f t="shared" si="202"/>
        <v>86.786890812774061</v>
      </c>
      <c r="AI326" s="316"/>
      <c r="AJ326" s="211" t="s">
        <v>1363</v>
      </c>
    </row>
    <row r="327" spans="1:36" s="1" customFormat="1" outlineLevel="1">
      <c r="A327" t="s">
        <v>1371</v>
      </c>
      <c r="B327" s="302" t="s">
        <v>704</v>
      </c>
      <c r="C327" s="249">
        <f>C293*C323</f>
        <v>2.9721081341673687</v>
      </c>
      <c r="D327" s="249">
        <f t="shared" ref="D327:AG327" si="203">D293*D323</f>
        <v>3.395001475837077</v>
      </c>
      <c r="E327" s="249">
        <f t="shared" si="203"/>
        <v>3.8358771239636682</v>
      </c>
      <c r="F327" s="249">
        <f t="shared" si="203"/>
        <v>4.29256892928057</v>
      </c>
      <c r="G327" s="249">
        <f t="shared" si="203"/>
        <v>4.7626385475255431</v>
      </c>
      <c r="H327" s="249">
        <f t="shared" si="203"/>
        <v>5.2433946045520692</v>
      </c>
      <c r="I327" s="249">
        <f t="shared" si="203"/>
        <v>5.744282965507872</v>
      </c>
      <c r="J327" s="249">
        <f t="shared" si="203"/>
        <v>6.2654465574914679</v>
      </c>
      <c r="K327" s="249">
        <f t="shared" si="203"/>
        <v>6.8069949814018917</v>
      </c>
      <c r="L327" s="249">
        <f t="shared" si="203"/>
        <v>7.3690030498093453</v>
      </c>
      <c r="M327" s="249">
        <f t="shared" si="203"/>
        <v>7.9515093756183708</v>
      </c>
      <c r="N327" s="249">
        <f t="shared" si="203"/>
        <v>8.5422752979588754</v>
      </c>
      <c r="O327" s="249">
        <f t="shared" si="203"/>
        <v>9.1386127840539686</v>
      </c>
      <c r="P327" s="249">
        <f t="shared" si="203"/>
        <v>9.7384081709679045</v>
      </c>
      <c r="Q327" s="249">
        <f t="shared" si="203"/>
        <v>10.33806640929517</v>
      </c>
      <c r="R327" s="249">
        <f t="shared" si="203"/>
        <v>10.93452165132512</v>
      </c>
      <c r="S327" s="249">
        <f t="shared" si="203"/>
        <v>11.545392742070401</v>
      </c>
      <c r="T327" s="249">
        <f t="shared" si="203"/>
        <v>12.170786118511339</v>
      </c>
      <c r="U327" s="249">
        <f t="shared" si="203"/>
        <v>12.810803281001007</v>
      </c>
      <c r="V327" s="249">
        <f t="shared" si="203"/>
        <v>13.465540637190928</v>
      </c>
      <c r="W327" s="249">
        <f t="shared" si="203"/>
        <v>14.135089346856795</v>
      </c>
      <c r="X327" s="249">
        <f t="shared" si="203"/>
        <v>14.819698396235678</v>
      </c>
      <c r="Y327" s="249">
        <f t="shared" si="203"/>
        <v>15.51947136380304</v>
      </c>
      <c r="Z327" s="249">
        <f t="shared" si="203"/>
        <v>16.236310952062986</v>
      </c>
      <c r="AA327" s="249">
        <f t="shared" si="203"/>
        <v>16.968669530612253</v>
      </c>
      <c r="AB327" s="249">
        <f t="shared" si="203"/>
        <v>17.716641402946337</v>
      </c>
      <c r="AC327" s="249">
        <f t="shared" si="203"/>
        <v>18.480490555127041</v>
      </c>
      <c r="AD327" s="249">
        <f t="shared" si="203"/>
        <v>19.260323436128918</v>
      </c>
      <c r="AE327" s="249">
        <f t="shared" si="203"/>
        <v>20.056242129580916</v>
      </c>
      <c r="AF327" s="249">
        <f t="shared" si="203"/>
        <v>20.868344227262043</v>
      </c>
      <c r="AG327" s="249">
        <f t="shared" si="203"/>
        <v>21.696722703193515</v>
      </c>
      <c r="AI327" s="316"/>
      <c r="AJ327" s="211" t="s">
        <v>1363</v>
      </c>
    </row>
    <row r="328" spans="1:36" s="1" customFormat="1" outlineLevel="1">
      <c r="A328" t="s">
        <v>1372</v>
      </c>
      <c r="B328" s="302" t="s">
        <v>704</v>
      </c>
      <c r="C328" s="249">
        <f>C326*C294</f>
        <v>8.4705081823769994</v>
      </c>
      <c r="D328" s="249">
        <f t="shared" ref="D328:AG328" si="204">D326*D294</f>
        <v>9.1192826005961898</v>
      </c>
      <c r="E328" s="249">
        <f t="shared" si="204"/>
        <v>9.7755197461367409</v>
      </c>
      <c r="F328" s="249">
        <f t="shared" si="204"/>
        <v>10.435235067081061</v>
      </c>
      <c r="G328" s="249">
        <f t="shared" si="204"/>
        <v>11.094226307993065</v>
      </c>
      <c r="H328" s="249">
        <f t="shared" si="204"/>
        <v>11.74811691119916</v>
      </c>
      <c r="I328" s="249">
        <f t="shared" si="204"/>
        <v>12.419139771428011</v>
      </c>
      <c r="J328" s="249">
        <f t="shared" si="204"/>
        <v>13.10694564259229</v>
      </c>
      <c r="K328" s="249">
        <f t="shared" si="204"/>
        <v>13.811140706339192</v>
      </c>
      <c r="L328" s="249">
        <f t="shared" si="204"/>
        <v>14.531286171958238</v>
      </c>
      <c r="M328" s="249">
        <f t="shared" si="204"/>
        <v>15.266898001187261</v>
      </c>
      <c r="N328" s="249">
        <f t="shared" si="204"/>
        <v>15.994529149563906</v>
      </c>
      <c r="O328" s="249">
        <f t="shared" si="204"/>
        <v>16.710368867132853</v>
      </c>
      <c r="P328" s="249">
        <f t="shared" si="204"/>
        <v>17.411850400639686</v>
      </c>
      <c r="Q328" s="249">
        <f t="shared" si="204"/>
        <v>18.093913564357486</v>
      </c>
      <c r="R328" s="249">
        <f t="shared" si="204"/>
        <v>18.752704632022564</v>
      </c>
      <c r="S328" s="249">
        <f t="shared" si="204"/>
        <v>19.419350592162399</v>
      </c>
      <c r="T328" s="249">
        <f t="shared" si="204"/>
        <v>20.093667368424711</v>
      </c>
      <c r="U328" s="249">
        <f t="shared" si="204"/>
        <v>20.775462692274765</v>
      </c>
      <c r="V328" s="249">
        <f t="shared" si="204"/>
        <v>21.464536104669818</v>
      </c>
      <c r="W328" s="249">
        <f t="shared" si="204"/>
        <v>22.160678964905475</v>
      </c>
      <c r="X328" s="249">
        <f t="shared" si="204"/>
        <v>22.863926296669792</v>
      </c>
      <c r="Y328" s="249">
        <f t="shared" si="204"/>
        <v>23.574077001616807</v>
      </c>
      <c r="Z328" s="249">
        <f t="shared" si="204"/>
        <v>24.293621262809467</v>
      </c>
      <c r="AA328" s="249">
        <f t="shared" si="204"/>
        <v>25.019804144372156</v>
      </c>
      <c r="AB328" s="249">
        <f t="shared" si="204"/>
        <v>25.752403753568419</v>
      </c>
      <c r="AC328" s="249">
        <f t="shared" si="204"/>
        <v>26.491440979468035</v>
      </c>
      <c r="AD328" s="249">
        <f t="shared" si="204"/>
        <v>27.236700085096572</v>
      </c>
      <c r="AE328" s="249">
        <f t="shared" si="204"/>
        <v>27.987958095984652</v>
      </c>
      <c r="AF328" s="249">
        <f t="shared" si="204"/>
        <v>28.744984820596393</v>
      </c>
      <c r="AG328" s="249">
        <f t="shared" si="204"/>
        <v>29.507542876343184</v>
      </c>
      <c r="AI328" s="316"/>
      <c r="AJ328" s="211" t="s">
        <v>1363</v>
      </c>
    </row>
    <row r="329" spans="1:36" s="1" customFormat="1" outlineLevel="1">
      <c r="A329" t="s">
        <v>1373</v>
      </c>
      <c r="B329" s="302" t="s">
        <v>704</v>
      </c>
      <c r="C329" s="249">
        <f>C326*C295</f>
        <v>47.999546366802996</v>
      </c>
      <c r="D329" s="249">
        <f t="shared" ref="D329:AG329" si="205">D326*D295</f>
        <v>49.213015484240849</v>
      </c>
      <c r="E329" s="249">
        <f t="shared" si="205"/>
        <v>50.319888529294047</v>
      </c>
      <c r="F329" s="249">
        <f t="shared" si="205"/>
        <v>51.311717992570195</v>
      </c>
      <c r="G329" s="249">
        <f t="shared" si="205"/>
        <v>52.180828680560552</v>
      </c>
      <c r="H329" s="249">
        <f t="shared" si="205"/>
        <v>52.920416544943016</v>
      </c>
      <c r="I329" s="249">
        <f t="shared" si="205"/>
        <v>53.640114331912493</v>
      </c>
      <c r="J329" s="249">
        <f t="shared" si="205"/>
        <v>54.338743770404079</v>
      </c>
      <c r="K329" s="249">
        <f t="shared" si="205"/>
        <v>55.015141883391024</v>
      </c>
      <c r="L329" s="249">
        <f t="shared" si="205"/>
        <v>55.668163934120237</v>
      </c>
      <c r="M329" s="249">
        <f t="shared" si="205"/>
        <v>56.296686379378059</v>
      </c>
      <c r="N329" s="249">
        <f t="shared" si="205"/>
        <v>56.818198390180768</v>
      </c>
      <c r="O329" s="249">
        <f t="shared" si="205"/>
        <v>57.229316385667417</v>
      </c>
      <c r="P329" s="249">
        <f t="shared" si="205"/>
        <v>57.531551610721991</v>
      </c>
      <c r="Q329" s="249">
        <f t="shared" si="205"/>
        <v>57.7185734371404</v>
      </c>
      <c r="R329" s="249">
        <f t="shared" si="205"/>
        <v>57.788946927253257</v>
      </c>
      <c r="S329" s="249">
        <f t="shared" si="205"/>
        <v>57.84597006630873</v>
      </c>
      <c r="T329" s="249">
        <f t="shared" si="205"/>
        <v>57.889517761296077</v>
      </c>
      <c r="U329" s="249">
        <f t="shared" si="205"/>
        <v>57.919471748159985</v>
      </c>
      <c r="V329" s="249">
        <f t="shared" si="205"/>
        <v>57.935720756007719</v>
      </c>
      <c r="W329" s="249">
        <f t="shared" si="205"/>
        <v>57.938160667283022</v>
      </c>
      <c r="X329" s="249">
        <f t="shared" si="205"/>
        <v>57.927332702163426</v>
      </c>
      <c r="Y329" s="249">
        <f t="shared" si="205"/>
        <v>57.903147658349155</v>
      </c>
      <c r="Z329" s="249">
        <f t="shared" si="205"/>
        <v>57.871952343085042</v>
      </c>
      <c r="AA329" s="249">
        <f t="shared" si="205"/>
        <v>57.827229446264148</v>
      </c>
      <c r="AB329" s="249">
        <f t="shared" si="205"/>
        <v>57.768905717464321</v>
      </c>
      <c r="AC329" s="249">
        <f t="shared" si="205"/>
        <v>57.697460438332953</v>
      </c>
      <c r="AD329" s="249">
        <f t="shared" si="205"/>
        <v>57.612832890282185</v>
      </c>
      <c r="AE329" s="249">
        <f t="shared" si="205"/>
        <v>57.51496887749191</v>
      </c>
      <c r="AF329" s="249">
        <f t="shared" si="205"/>
        <v>57.403820835536685</v>
      </c>
      <c r="AG329" s="249">
        <f t="shared" si="205"/>
        <v>57.279347936430881</v>
      </c>
      <c r="AI329" s="316"/>
      <c r="AJ329" s="211" t="s">
        <v>1363</v>
      </c>
    </row>
    <row r="330" spans="1:36" s="1" customFormat="1" outlineLevel="1">
      <c r="A330" t="s">
        <v>1374</v>
      </c>
      <c r="B330" s="302" t="s">
        <v>704</v>
      </c>
      <c r="C330" s="249">
        <f>C296*C329</f>
        <v>0</v>
      </c>
      <c r="D330" s="249">
        <f t="shared" ref="D330:AG330" si="206">D296*D329</f>
        <v>0</v>
      </c>
      <c r="E330" s="249">
        <f t="shared" si="206"/>
        <v>0</v>
      </c>
      <c r="F330" s="249">
        <f t="shared" si="206"/>
        <v>0</v>
      </c>
      <c r="G330" s="249">
        <f t="shared" si="206"/>
        <v>0</v>
      </c>
      <c r="H330" s="249">
        <f t="shared" si="206"/>
        <v>0</v>
      </c>
      <c r="I330" s="249">
        <f t="shared" si="206"/>
        <v>0</v>
      </c>
      <c r="J330" s="249">
        <f t="shared" si="206"/>
        <v>0</v>
      </c>
      <c r="K330" s="249">
        <f t="shared" si="206"/>
        <v>0</v>
      </c>
      <c r="L330" s="249">
        <f t="shared" si="206"/>
        <v>0</v>
      </c>
      <c r="M330" s="249">
        <f t="shared" si="206"/>
        <v>0</v>
      </c>
      <c r="N330" s="249">
        <f t="shared" si="206"/>
        <v>0</v>
      </c>
      <c r="O330" s="249">
        <f t="shared" si="206"/>
        <v>0</v>
      </c>
      <c r="P330" s="249">
        <f t="shared" si="206"/>
        <v>0</v>
      </c>
      <c r="Q330" s="249">
        <f t="shared" si="206"/>
        <v>0</v>
      </c>
      <c r="R330" s="249">
        <f t="shared" si="206"/>
        <v>0</v>
      </c>
      <c r="S330" s="249">
        <f t="shared" si="206"/>
        <v>0</v>
      </c>
      <c r="T330" s="249">
        <f t="shared" si="206"/>
        <v>0</v>
      </c>
      <c r="U330" s="249">
        <f t="shared" si="206"/>
        <v>0</v>
      </c>
      <c r="V330" s="249">
        <f t="shared" si="206"/>
        <v>0</v>
      </c>
      <c r="W330" s="249">
        <f t="shared" si="206"/>
        <v>0</v>
      </c>
      <c r="X330" s="249">
        <f t="shared" si="206"/>
        <v>0</v>
      </c>
      <c r="Y330" s="249">
        <f t="shared" si="206"/>
        <v>0</v>
      </c>
      <c r="Z330" s="249">
        <f t="shared" si="206"/>
        <v>0</v>
      </c>
      <c r="AA330" s="249">
        <f t="shared" si="206"/>
        <v>0</v>
      </c>
      <c r="AB330" s="249">
        <f t="shared" si="206"/>
        <v>0</v>
      </c>
      <c r="AC330" s="249">
        <f t="shared" si="206"/>
        <v>0</v>
      </c>
      <c r="AD330" s="249">
        <f t="shared" si="206"/>
        <v>0</v>
      </c>
      <c r="AE330" s="249">
        <f t="shared" si="206"/>
        <v>0</v>
      </c>
      <c r="AF330" s="249">
        <f t="shared" si="206"/>
        <v>0</v>
      </c>
      <c r="AG330" s="249">
        <f t="shared" si="206"/>
        <v>0</v>
      </c>
      <c r="AI330" s="316"/>
      <c r="AJ330" s="211" t="s">
        <v>1363</v>
      </c>
    </row>
    <row r="331" spans="1:36" s="1" customFormat="1" outlineLevel="1">
      <c r="A331" t="s">
        <v>1388</v>
      </c>
      <c r="B331" s="302" t="s">
        <v>704</v>
      </c>
      <c r="C331" s="249">
        <f>C297*C329</f>
        <v>47.999546366802996</v>
      </c>
      <c r="D331" s="249">
        <f t="shared" ref="D331:AG331" si="207">D297*D329</f>
        <v>49.213015484240849</v>
      </c>
      <c r="E331" s="249">
        <f t="shared" si="207"/>
        <v>50.319888529294047</v>
      </c>
      <c r="F331" s="249">
        <f t="shared" si="207"/>
        <v>51.311717992570195</v>
      </c>
      <c r="G331" s="249">
        <f t="shared" si="207"/>
        <v>52.180828680560552</v>
      </c>
      <c r="H331" s="249">
        <f t="shared" si="207"/>
        <v>52.920416544943016</v>
      </c>
      <c r="I331" s="249">
        <f t="shared" si="207"/>
        <v>53.640114331912493</v>
      </c>
      <c r="J331" s="249">
        <f t="shared" si="207"/>
        <v>54.338743770404079</v>
      </c>
      <c r="K331" s="249">
        <f t="shared" si="207"/>
        <v>55.015141883391024</v>
      </c>
      <c r="L331" s="249">
        <f t="shared" si="207"/>
        <v>55.668163934120237</v>
      </c>
      <c r="M331" s="249">
        <f t="shared" si="207"/>
        <v>56.296686379378059</v>
      </c>
      <c r="N331" s="249">
        <f t="shared" si="207"/>
        <v>56.818198390180768</v>
      </c>
      <c r="O331" s="249">
        <f t="shared" si="207"/>
        <v>57.229316385667417</v>
      </c>
      <c r="P331" s="249">
        <f t="shared" si="207"/>
        <v>57.531551610721991</v>
      </c>
      <c r="Q331" s="249">
        <f t="shared" si="207"/>
        <v>57.7185734371404</v>
      </c>
      <c r="R331" s="249">
        <f t="shared" si="207"/>
        <v>57.788946927253257</v>
      </c>
      <c r="S331" s="249">
        <f t="shared" si="207"/>
        <v>57.84597006630873</v>
      </c>
      <c r="T331" s="249">
        <f t="shared" si="207"/>
        <v>57.889517761296077</v>
      </c>
      <c r="U331" s="249">
        <f t="shared" si="207"/>
        <v>57.919471748159985</v>
      </c>
      <c r="V331" s="249">
        <f t="shared" si="207"/>
        <v>57.935720756007719</v>
      </c>
      <c r="W331" s="249">
        <f t="shared" si="207"/>
        <v>57.938160667283022</v>
      </c>
      <c r="X331" s="249">
        <f t="shared" si="207"/>
        <v>57.927332702163426</v>
      </c>
      <c r="Y331" s="249">
        <f t="shared" si="207"/>
        <v>57.903147658349155</v>
      </c>
      <c r="Z331" s="249">
        <f t="shared" si="207"/>
        <v>57.871952343085042</v>
      </c>
      <c r="AA331" s="249">
        <f t="shared" si="207"/>
        <v>57.827229446264148</v>
      </c>
      <c r="AB331" s="249">
        <f t="shared" si="207"/>
        <v>57.768905717464321</v>
      </c>
      <c r="AC331" s="249">
        <f t="shared" si="207"/>
        <v>57.697460438332953</v>
      </c>
      <c r="AD331" s="249">
        <f t="shared" si="207"/>
        <v>57.612832890282185</v>
      </c>
      <c r="AE331" s="249">
        <f t="shared" si="207"/>
        <v>57.51496887749191</v>
      </c>
      <c r="AF331" s="249">
        <f t="shared" si="207"/>
        <v>57.403820835536685</v>
      </c>
      <c r="AG331" s="249">
        <f t="shared" si="207"/>
        <v>57.279347936430881</v>
      </c>
      <c r="AI331" s="316"/>
      <c r="AJ331" s="211" t="s">
        <v>1363</v>
      </c>
    </row>
    <row r="332" spans="1:36" s="1" customFormat="1" outlineLevel="1">
      <c r="A332" t="s">
        <v>1376</v>
      </c>
      <c r="B332" s="302" t="s">
        <v>704</v>
      </c>
      <c r="C332" s="249">
        <f>C298*(C330+C328)</f>
        <v>6.7764065459016001</v>
      </c>
      <c r="D332" s="249">
        <f t="shared" ref="D332:AG332" si="208">D298*(D330+D328)</f>
        <v>7.3258236891456061</v>
      </c>
      <c r="E332" s="249">
        <f t="shared" si="208"/>
        <v>7.885585928550304</v>
      </c>
      <c r="F332" s="249">
        <f t="shared" si="208"/>
        <v>8.4525404043356591</v>
      </c>
      <c r="G332" s="249">
        <f t="shared" si="208"/>
        <v>9.0233040638343578</v>
      </c>
      <c r="H332" s="249">
        <f t="shared" si="208"/>
        <v>9.5942954774793119</v>
      </c>
      <c r="I332" s="249">
        <f t="shared" si="208"/>
        <v>10.183694612570967</v>
      </c>
      <c r="J332" s="249">
        <f t="shared" si="208"/>
        <v>10.791385245734316</v>
      </c>
      <c r="K332" s="249">
        <f t="shared" si="208"/>
        <v>11.417209650573728</v>
      </c>
      <c r="L332" s="249">
        <f t="shared" si="208"/>
        <v>12.060967522725333</v>
      </c>
      <c r="M332" s="249">
        <f t="shared" si="208"/>
        <v>12.722415000989379</v>
      </c>
      <c r="N332" s="249">
        <f t="shared" si="208"/>
        <v>13.382089388468463</v>
      </c>
      <c r="O332" s="249">
        <f t="shared" si="208"/>
        <v>14.03670984839159</v>
      </c>
      <c r="P332" s="249">
        <f t="shared" si="208"/>
        <v>14.683993837872794</v>
      </c>
      <c r="Q332" s="249">
        <f t="shared" si="208"/>
        <v>15.319513484489329</v>
      </c>
      <c r="R332" s="249">
        <f t="shared" si="208"/>
        <v>15.93979893721917</v>
      </c>
      <c r="S332" s="249">
        <f t="shared" si="208"/>
        <v>16.571179171978571</v>
      </c>
      <c r="T332" s="249">
        <f t="shared" si="208"/>
        <v>17.213575045617159</v>
      </c>
      <c r="U332" s="249">
        <f t="shared" si="208"/>
        <v>17.866897915356287</v>
      </c>
      <c r="V332" s="249">
        <f t="shared" si="208"/>
        <v>18.531049503698263</v>
      </c>
      <c r="W332" s="249">
        <f t="shared" si="208"/>
        <v>19.20592176958473</v>
      </c>
      <c r="X332" s="249">
        <f t="shared" si="208"/>
        <v>19.891615878102705</v>
      </c>
      <c r="Y332" s="249">
        <f t="shared" si="208"/>
        <v>20.58802724807866</v>
      </c>
      <c r="Z332" s="249">
        <f t="shared" si="208"/>
        <v>21.297407973729616</v>
      </c>
      <c r="AA332" s="249">
        <f t="shared" si="208"/>
        <v>22.017427647047477</v>
      </c>
      <c r="AB332" s="249">
        <f t="shared" si="208"/>
        <v>22.747956648985415</v>
      </c>
      <c r="AC332" s="249">
        <f t="shared" si="208"/>
        <v>23.489077668461636</v>
      </c>
      <c r="AD332" s="249">
        <f t="shared" si="208"/>
        <v>24.240663075735924</v>
      </c>
      <c r="AE332" s="249">
        <f t="shared" si="208"/>
        <v>25.002575899079599</v>
      </c>
      <c r="AF332" s="249">
        <f t="shared" si="208"/>
        <v>25.774669722468072</v>
      </c>
      <c r="AG332" s="249">
        <f t="shared" si="208"/>
        <v>26.556788588708866</v>
      </c>
      <c r="AH332" s="249"/>
      <c r="AI332" s="316"/>
      <c r="AJ332" s="211" t="s">
        <v>1363</v>
      </c>
    </row>
    <row r="333" spans="1:36" s="1" customFormat="1" outlineLevel="1">
      <c r="A333" t="s">
        <v>1377</v>
      </c>
      <c r="B333" s="302" t="s">
        <v>704</v>
      </c>
      <c r="C333" s="249">
        <f>C299*(C330+C328)</f>
        <v>1.6941016364754</v>
      </c>
      <c r="D333" s="249">
        <f t="shared" ref="D333:AG333" si="209">D299*(D330+D328)</f>
        <v>1.7934589114505841</v>
      </c>
      <c r="E333" s="249">
        <f t="shared" si="209"/>
        <v>1.8899338175864369</v>
      </c>
      <c r="F333" s="249">
        <f t="shared" si="209"/>
        <v>1.9826946627454018</v>
      </c>
      <c r="G333" s="249">
        <f t="shared" si="209"/>
        <v>2.0709222441587056</v>
      </c>
      <c r="H333" s="249">
        <f t="shared" si="209"/>
        <v>2.1538214337198465</v>
      </c>
      <c r="I333" s="249">
        <f t="shared" si="209"/>
        <v>2.2354451588570425</v>
      </c>
      <c r="J333" s="249">
        <f t="shared" si="209"/>
        <v>2.3155603968579719</v>
      </c>
      <c r="K333" s="249">
        <f t="shared" si="209"/>
        <v>2.3939310557654605</v>
      </c>
      <c r="L333" s="249">
        <f t="shared" si="209"/>
        <v>2.4703186492329015</v>
      </c>
      <c r="M333" s="249">
        <f t="shared" si="209"/>
        <v>2.5444830001978782</v>
      </c>
      <c r="N333" s="249">
        <f t="shared" si="209"/>
        <v>2.6124397610954393</v>
      </c>
      <c r="O333" s="249">
        <f t="shared" si="209"/>
        <v>2.6736590187412581</v>
      </c>
      <c r="P333" s="249">
        <f t="shared" si="209"/>
        <v>2.7278565627668856</v>
      </c>
      <c r="Q333" s="249">
        <f t="shared" si="209"/>
        <v>2.7744000798681494</v>
      </c>
      <c r="R333" s="249">
        <f t="shared" si="209"/>
        <v>2.8129056948033866</v>
      </c>
      <c r="S333" s="249">
        <f t="shared" si="209"/>
        <v>2.8481714201838209</v>
      </c>
      <c r="T333" s="249">
        <f t="shared" si="209"/>
        <v>2.8800923228075441</v>
      </c>
      <c r="U333" s="249">
        <f t="shared" si="209"/>
        <v>2.9085647769184697</v>
      </c>
      <c r="V333" s="249">
        <f t="shared" si="209"/>
        <v>2.9334866009715448</v>
      </c>
      <c r="W333" s="249">
        <f t="shared" si="209"/>
        <v>2.9547571953207332</v>
      </c>
      <c r="X333" s="249">
        <f t="shared" si="209"/>
        <v>2.9723104185670763</v>
      </c>
      <c r="Y333" s="249">
        <f t="shared" si="209"/>
        <v>2.9860497535381323</v>
      </c>
      <c r="Z333" s="249">
        <f t="shared" si="209"/>
        <v>2.9962132890798379</v>
      </c>
      <c r="AA333" s="249">
        <f t="shared" si="209"/>
        <v>3.0023764973246627</v>
      </c>
      <c r="AB333" s="249">
        <f t="shared" si="209"/>
        <v>3.0044471045829866</v>
      </c>
      <c r="AC333" s="249">
        <f t="shared" si="209"/>
        <v>3.0023633110063819</v>
      </c>
      <c r="AD333" s="249">
        <f t="shared" si="209"/>
        <v>2.9960370093606277</v>
      </c>
      <c r="AE333" s="249">
        <f t="shared" si="209"/>
        <v>2.9853821969050349</v>
      </c>
      <c r="AF333" s="249">
        <f t="shared" si="209"/>
        <v>2.9703150981282995</v>
      </c>
      <c r="AG333" s="249">
        <f t="shared" si="209"/>
        <v>2.9507542876343185</v>
      </c>
      <c r="AI333" s="316"/>
      <c r="AJ333" s="211" t="s">
        <v>1363</v>
      </c>
    </row>
    <row r="334" spans="1:36" s="1" customFormat="1" outlineLevel="1">
      <c r="A334" t="s">
        <v>1378</v>
      </c>
      <c r="B334" s="302" t="s">
        <v>704</v>
      </c>
      <c r="C334" s="249">
        <f>C327*C300</f>
        <v>2.8235027274590001</v>
      </c>
      <c r="D334" s="249">
        <f t="shared" ref="D334:AG334" si="210">D327*D300</f>
        <v>3.2207247334107736</v>
      </c>
      <c r="E334" s="249">
        <f t="shared" si="210"/>
        <v>3.6338542621015817</v>
      </c>
      <c r="F334" s="249">
        <f t="shared" si="210"/>
        <v>4.0607702070994192</v>
      </c>
      <c r="G334" s="249">
        <f t="shared" si="210"/>
        <v>4.4991058812291298</v>
      </c>
      <c r="H334" s="249">
        <f t="shared" si="210"/>
        <v>4.9462689102941191</v>
      </c>
      <c r="I334" s="249">
        <f t="shared" si="210"/>
        <v>5.4111145535084164</v>
      </c>
      <c r="J334" s="249">
        <f t="shared" si="210"/>
        <v>5.8936967284136426</v>
      </c>
      <c r="K334" s="249">
        <f t="shared" si="210"/>
        <v>6.3940372858635124</v>
      </c>
      <c r="L334" s="249">
        <f t="shared" si="210"/>
        <v>6.9121248607211676</v>
      </c>
      <c r="M334" s="249">
        <f t="shared" si="210"/>
        <v>7.44791378182921</v>
      </c>
      <c r="N334" s="249">
        <f t="shared" si="210"/>
        <v>7.989874828690871</v>
      </c>
      <c r="O334" s="249">
        <f t="shared" si="210"/>
        <v>8.5354643403064099</v>
      </c>
      <c r="P334" s="249">
        <f t="shared" si="210"/>
        <v>9.0826886874560699</v>
      </c>
      <c r="Q334" s="249">
        <f t="shared" si="210"/>
        <v>9.6281858491902401</v>
      </c>
      <c r="R334" s="249">
        <f t="shared" si="210"/>
        <v>10.169105135732368</v>
      </c>
      <c r="S334" s="249">
        <f t="shared" si="210"/>
        <v>10.721821393136052</v>
      </c>
      <c r="T334" s="249">
        <f t="shared" si="210"/>
        <v>11.286375660566188</v>
      </c>
      <c r="U334" s="249">
        <f t="shared" si="210"/>
        <v>11.86280383820694</v>
      </c>
      <c r="V334" s="249">
        <f t="shared" si="210"/>
        <v>12.451136575855887</v>
      </c>
      <c r="W334" s="249">
        <f t="shared" si="210"/>
        <v>13.051399163597782</v>
      </c>
      <c r="X334" s="249">
        <f t="shared" si="210"/>
        <v>13.663761921329305</v>
      </c>
      <c r="Y334" s="249">
        <f t="shared" si="210"/>
        <v>14.288259968941343</v>
      </c>
      <c r="Z334" s="249">
        <f t="shared" si="210"/>
        <v>14.926581868596585</v>
      </c>
      <c r="AA334" s="249">
        <f t="shared" si="210"/>
        <v>15.577238629102062</v>
      </c>
      <c r="AB334" s="249">
        <f t="shared" si="210"/>
        <v>16.240254619367491</v>
      </c>
      <c r="AC334" s="249">
        <f t="shared" si="210"/>
        <v>16.915809021459633</v>
      </c>
      <c r="AD334" s="249">
        <f t="shared" si="210"/>
        <v>17.603935620621847</v>
      </c>
      <c r="AE334" s="249">
        <f t="shared" si="210"/>
        <v>18.304663650264203</v>
      </c>
      <c r="AF334" s="249">
        <f t="shared" si="210"/>
        <v>19.018017705778163</v>
      </c>
      <c r="AG334" s="249">
        <f t="shared" si="210"/>
        <v>19.744017659906099</v>
      </c>
      <c r="AI334" s="316"/>
      <c r="AJ334" s="211" t="s">
        <v>1363</v>
      </c>
    </row>
    <row r="335" spans="1:36" s="1" customFormat="1" outlineLevel="1">
      <c r="A335" t="s">
        <v>1389</v>
      </c>
      <c r="B335" s="302" t="s">
        <v>704</v>
      </c>
      <c r="C335" s="249">
        <f>C327*C301</f>
        <v>0.14860540670836844</v>
      </c>
      <c r="D335" s="249">
        <f t="shared" ref="D335:AG335" si="211">D327*D301</f>
        <v>0.17427674242630328</v>
      </c>
      <c r="E335" s="249">
        <f t="shared" si="211"/>
        <v>0.20202286186208654</v>
      </c>
      <c r="F335" s="249">
        <f t="shared" si="211"/>
        <v>0.23179872218115077</v>
      </c>
      <c r="G335" s="249">
        <f t="shared" si="211"/>
        <v>0.26353266629641336</v>
      </c>
      <c r="H335" s="249">
        <f t="shared" si="211"/>
        <v>0.29712569425795055</v>
      </c>
      <c r="I335" s="249">
        <f t="shared" si="211"/>
        <v>0.33316841199945657</v>
      </c>
      <c r="J335" s="249">
        <f t="shared" si="211"/>
        <v>0.37174982907782705</v>
      </c>
      <c r="K335" s="249">
        <f t="shared" si="211"/>
        <v>0.41295769553838141</v>
      </c>
      <c r="L335" s="249">
        <f t="shared" si="211"/>
        <v>0.45687818908817934</v>
      </c>
      <c r="M335" s="249">
        <f t="shared" si="211"/>
        <v>0.50359559378916341</v>
      </c>
      <c r="N335" s="249">
        <f t="shared" si="211"/>
        <v>0.55240046926800723</v>
      </c>
      <c r="O335" s="249">
        <f t="shared" si="211"/>
        <v>0.60314844374756194</v>
      </c>
      <c r="P335" s="249">
        <f t="shared" si="211"/>
        <v>0.65571948351183895</v>
      </c>
      <c r="Q335" s="249">
        <f t="shared" si="211"/>
        <v>0.70988056010493517</v>
      </c>
      <c r="R335" s="249">
        <f t="shared" si="211"/>
        <v>0.76541651559275869</v>
      </c>
      <c r="S335" s="249">
        <f t="shared" si="211"/>
        <v>0.82357134893435557</v>
      </c>
      <c r="T335" s="249">
        <f t="shared" si="211"/>
        <v>0.88441045794515771</v>
      </c>
      <c r="U335" s="249">
        <f t="shared" si="211"/>
        <v>0.947999442794075</v>
      </c>
      <c r="V335" s="249">
        <f t="shared" si="211"/>
        <v>1.0144040613350505</v>
      </c>
      <c r="W335" s="249">
        <f t="shared" si="211"/>
        <v>1.0836901832590216</v>
      </c>
      <c r="X335" s="249">
        <f t="shared" si="211"/>
        <v>1.1559364749063836</v>
      </c>
      <c r="Y335" s="249">
        <f t="shared" si="211"/>
        <v>1.2312113948617087</v>
      </c>
      <c r="Z335" s="249">
        <f t="shared" si="211"/>
        <v>1.3097290834664153</v>
      </c>
      <c r="AA335" s="249">
        <f t="shared" si="211"/>
        <v>1.391430901510206</v>
      </c>
      <c r="AB335" s="249">
        <f t="shared" si="211"/>
        <v>1.4763867835788629</v>
      </c>
      <c r="AC335" s="249">
        <f t="shared" si="211"/>
        <v>1.5646815336674245</v>
      </c>
      <c r="AD335" s="249">
        <f t="shared" si="211"/>
        <v>1.6563878155070886</v>
      </c>
      <c r="AE335" s="249">
        <f t="shared" si="211"/>
        <v>1.7515784793167353</v>
      </c>
      <c r="AF335" s="249">
        <f t="shared" si="211"/>
        <v>1.8503265214839033</v>
      </c>
      <c r="AG335" s="249">
        <f t="shared" si="211"/>
        <v>1.9527050432874162</v>
      </c>
      <c r="AI335" s="316"/>
      <c r="AJ335" s="211" t="s">
        <v>1363</v>
      </c>
    </row>
    <row r="336" spans="1:36" s="1" customFormat="1" outlineLevel="1">
      <c r="A336" t="s">
        <v>1380</v>
      </c>
      <c r="B336" s="302" t="s">
        <v>704</v>
      </c>
      <c r="C336" s="249">
        <f t="shared" ref="C336:AG336" si="212">C332*C302</f>
        <v>1.8296297673934321</v>
      </c>
      <c r="D336" s="249">
        <f t="shared" si="212"/>
        <v>1.9486691013127313</v>
      </c>
      <c r="E336" s="249">
        <f t="shared" si="212"/>
        <v>2.0660235132801796</v>
      </c>
      <c r="F336" s="249">
        <f t="shared" si="212"/>
        <v>2.1807554243186003</v>
      </c>
      <c r="G336" s="249">
        <f t="shared" si="212"/>
        <v>2.2919192322139268</v>
      </c>
      <c r="H336" s="249">
        <f t="shared" si="212"/>
        <v>2.398573869369828</v>
      </c>
      <c r="I336" s="249">
        <f t="shared" si="212"/>
        <v>2.505188874692458</v>
      </c>
      <c r="J336" s="249">
        <f t="shared" si="212"/>
        <v>2.6115152294677046</v>
      </c>
      <c r="K336" s="249">
        <f t="shared" si="212"/>
        <v>2.7172958968365473</v>
      </c>
      <c r="L336" s="249">
        <f t="shared" si="212"/>
        <v>2.8222664003177278</v>
      </c>
      <c r="M336" s="249">
        <f t="shared" si="212"/>
        <v>2.9261554502275571</v>
      </c>
      <c r="N336" s="249">
        <f t="shared" si="212"/>
        <v>3.0243522017938722</v>
      </c>
      <c r="O336" s="249">
        <f t="shared" si="212"/>
        <v>3.1161495863429325</v>
      </c>
      <c r="P336" s="249">
        <f t="shared" si="212"/>
        <v>3.2011106566562688</v>
      </c>
      <c r="Q336" s="249">
        <f t="shared" si="212"/>
        <v>3.2783758856807159</v>
      </c>
      <c r="R336" s="249">
        <f t="shared" si="212"/>
        <v>3.347357776816025</v>
      </c>
      <c r="S336" s="249">
        <f t="shared" si="212"/>
        <v>3.4136629094275848</v>
      </c>
      <c r="T336" s="249">
        <f t="shared" si="212"/>
        <v>3.4771421592146652</v>
      </c>
      <c r="U336" s="249">
        <f t="shared" si="212"/>
        <v>3.5376457872405438</v>
      </c>
      <c r="V336" s="249">
        <f t="shared" si="212"/>
        <v>3.5950236037174621</v>
      </c>
      <c r="W336" s="249">
        <f t="shared" si="212"/>
        <v>3.6491251362210977</v>
      </c>
      <c r="X336" s="249">
        <f t="shared" si="212"/>
        <v>3.6998405533271019</v>
      </c>
      <c r="Y336" s="249">
        <f t="shared" si="212"/>
        <v>3.7470209591503147</v>
      </c>
      <c r="Z336" s="249">
        <f t="shared" si="212"/>
        <v>3.7909386193238701</v>
      </c>
      <c r="AA336" s="249">
        <f t="shared" si="212"/>
        <v>3.8310324105862597</v>
      </c>
      <c r="AB336" s="249">
        <f t="shared" si="212"/>
        <v>3.867152630327519</v>
      </c>
      <c r="AC336" s="249">
        <f t="shared" si="212"/>
        <v>3.8991868929646301</v>
      </c>
      <c r="AD336" s="249">
        <f t="shared" si="212"/>
        <v>3.9269874182692179</v>
      </c>
      <c r="AE336" s="249">
        <f t="shared" si="212"/>
        <v>3.9504069920545746</v>
      </c>
      <c r="AF336" s="249">
        <f t="shared" si="212"/>
        <v>3.969299137260081</v>
      </c>
      <c r="AG336" s="249">
        <f t="shared" si="212"/>
        <v>3.9835182883063296</v>
      </c>
      <c r="AI336" s="316"/>
      <c r="AJ336" s="211"/>
    </row>
    <row r="337" spans="1:36" s="67" customFormat="1">
      <c r="A337" s="345" t="s">
        <v>1381</v>
      </c>
      <c r="B337" s="308" t="s">
        <v>704</v>
      </c>
      <c r="C337" s="309">
        <f>C303*C$322</f>
        <v>10.33879374245703</v>
      </c>
      <c r="D337" s="309">
        <f t="shared" ref="D337:AG342" si="213">D303*D$322</f>
        <v>11.002064254799674</v>
      </c>
      <c r="E337" s="309">
        <f t="shared" si="213"/>
        <v>11.646611091292192</v>
      </c>
      <c r="F337" s="309">
        <f t="shared" si="213"/>
        <v>12.283471006496139</v>
      </c>
      <c r="G337" s="309">
        <f t="shared" si="213"/>
        <v>12.908128898377587</v>
      </c>
      <c r="H337" s="309">
        <f t="shared" si="213"/>
        <v>13.516007517969197</v>
      </c>
      <c r="I337" s="309">
        <f t="shared" si="213"/>
        <v>14.132948222193207</v>
      </c>
      <c r="J337" s="309">
        <f t="shared" si="213"/>
        <v>14.758214413990476</v>
      </c>
      <c r="K337" s="309">
        <f t="shared" si="213"/>
        <v>15.391021960879581</v>
      </c>
      <c r="L337" s="309">
        <f t="shared" si="213"/>
        <v>16.030539574202933</v>
      </c>
      <c r="M337" s="309">
        <f t="shared" si="213"/>
        <v>16.675889359531009</v>
      </c>
      <c r="N337" s="309">
        <f t="shared" si="213"/>
        <v>17.20349639190157</v>
      </c>
      <c r="O337" s="309">
        <f t="shared" si="213"/>
        <v>17.697954649268958</v>
      </c>
      <c r="P337" s="309">
        <f t="shared" si="213"/>
        <v>18.157099555775584</v>
      </c>
      <c r="Q337" s="309">
        <f t="shared" si="213"/>
        <v>18.576120279120961</v>
      </c>
      <c r="R337" s="309">
        <f t="shared" si="213"/>
        <v>18.951788890558731</v>
      </c>
      <c r="S337" s="309">
        <f t="shared" si="213"/>
        <v>19.315867854742798</v>
      </c>
      <c r="T337" s="309">
        <f t="shared" si="213"/>
        <v>19.66744949731924</v>
      </c>
      <c r="U337" s="309">
        <f t="shared" si="213"/>
        <v>20.005599318164233</v>
      </c>
      <c r="V337" s="309">
        <f t="shared" si="213"/>
        <v>20.329355900673292</v>
      </c>
      <c r="W337" s="309">
        <f t="shared" si="213"/>
        <v>20.637730847269644</v>
      </c>
      <c r="X337" s="309">
        <f t="shared" si="213"/>
        <v>20.739507728800362</v>
      </c>
      <c r="Y337" s="309">
        <f t="shared" si="213"/>
        <v>20.809594487868821</v>
      </c>
      <c r="Z337" s="309">
        <f t="shared" si="213"/>
        <v>20.848779591796095</v>
      </c>
      <c r="AA337" s="309">
        <f t="shared" si="213"/>
        <v>20.852921638395816</v>
      </c>
      <c r="AB337" s="309">
        <f t="shared" si="213"/>
        <v>20.820273429436167</v>
      </c>
      <c r="AC337" s="309">
        <f t="shared" si="213"/>
        <v>20.749239506686362</v>
      </c>
      <c r="AD337" s="309">
        <f t="shared" si="213"/>
        <v>20.63798084397731</v>
      </c>
      <c r="AE337" s="309">
        <f t="shared" si="213"/>
        <v>20.484611531098249</v>
      </c>
      <c r="AF337" s="309">
        <f t="shared" si="213"/>
        <v>20.287198633595946</v>
      </c>
      <c r="AG337" s="309">
        <f t="shared" si="213"/>
        <v>20.043762091458774</v>
      </c>
      <c r="AI337" s="337"/>
      <c r="AJ337" s="348"/>
    </row>
    <row r="338" spans="1:36">
      <c r="A338" s="346" t="s">
        <v>1382</v>
      </c>
      <c r="B338" s="302" t="s">
        <v>704</v>
      </c>
      <c r="C338" s="249">
        <f t="shared" ref="C338:R342" si="214">C304*C$322</f>
        <v>23.908460529431881</v>
      </c>
      <c r="D338" s="249">
        <f t="shared" si="214"/>
        <v>24.732462992140395</v>
      </c>
      <c r="E338" s="249">
        <f t="shared" si="214"/>
        <v>25.476961762201668</v>
      </c>
      <c r="F338" s="249">
        <f t="shared" si="214"/>
        <v>26.172168337704839</v>
      </c>
      <c r="G338" s="249">
        <f t="shared" si="214"/>
        <v>26.812841277879912</v>
      </c>
      <c r="H338" s="249">
        <f t="shared" si="214"/>
        <v>27.394050951598278</v>
      </c>
      <c r="I338" s="249">
        <f t="shared" si="214"/>
        <v>27.971460023090717</v>
      </c>
      <c r="J338" s="249">
        <f t="shared" si="214"/>
        <v>28.544181594626846</v>
      </c>
      <c r="K338" s="249">
        <f t="shared" si="214"/>
        <v>29.111307985216303</v>
      </c>
      <c r="L338" s="249">
        <f t="shared" si="214"/>
        <v>29.671912192635229</v>
      </c>
      <c r="M338" s="249">
        <f t="shared" si="214"/>
        <v>30.225049464149951</v>
      </c>
      <c r="N338" s="249">
        <f t="shared" si="214"/>
        <v>30.551941000861774</v>
      </c>
      <c r="O338" s="249">
        <f t="shared" si="214"/>
        <v>30.81340318399505</v>
      </c>
      <c r="P338" s="249">
        <f t="shared" si="214"/>
        <v>31.009581363424861</v>
      </c>
      <c r="Q338" s="249">
        <f t="shared" si="214"/>
        <v>31.136110695117509</v>
      </c>
      <c r="R338" s="249">
        <f t="shared" si="214"/>
        <v>31.191485882377901</v>
      </c>
      <c r="S338" s="249">
        <f t="shared" si="213"/>
        <v>31.230818949923801</v>
      </c>
      <c r="T338" s="249">
        <f t="shared" si="213"/>
        <v>31.253460304915532</v>
      </c>
      <c r="U338" s="249">
        <f t="shared" si="213"/>
        <v>31.258748934631598</v>
      </c>
      <c r="V338" s="249">
        <f t="shared" si="213"/>
        <v>31.246012576927679</v>
      </c>
      <c r="W338" s="249">
        <f t="shared" si="213"/>
        <v>31.214567906495308</v>
      </c>
      <c r="X338" s="249">
        <f t="shared" si="213"/>
        <v>30.880517022662271</v>
      </c>
      <c r="Y338" s="249">
        <f t="shared" si="213"/>
        <v>30.514068840384539</v>
      </c>
      <c r="Z338" s="249">
        <f t="shared" si="213"/>
        <v>30.117635613148803</v>
      </c>
      <c r="AA338" s="249">
        <f t="shared" si="213"/>
        <v>29.686450943549559</v>
      </c>
      <c r="AB338" s="249">
        <f t="shared" si="213"/>
        <v>29.21936100608367</v>
      </c>
      <c r="AC338" s="249">
        <f t="shared" si="213"/>
        <v>28.715465388717689</v>
      </c>
      <c r="AD338" s="249">
        <f t="shared" si="213"/>
        <v>28.17355937582424</v>
      </c>
      <c r="AE338" s="249">
        <f t="shared" si="213"/>
        <v>27.592418549431862</v>
      </c>
      <c r="AF338" s="249">
        <f t="shared" si="213"/>
        <v>26.970799030892866</v>
      </c>
      <c r="AG338" s="249">
        <f t="shared" si="213"/>
        <v>26.307437745039639</v>
      </c>
      <c r="AI338" s="296"/>
    </row>
    <row r="339" spans="1:36">
      <c r="A339" s="346" t="s">
        <v>1383</v>
      </c>
      <c r="B339" s="302" t="s">
        <v>704</v>
      </c>
      <c r="C339" s="249">
        <f t="shared" si="214"/>
        <v>5.169396871228515</v>
      </c>
      <c r="D339" s="249">
        <f t="shared" si="213"/>
        <v>5.168308410016782</v>
      </c>
      <c r="E339" s="249">
        <f t="shared" si="213"/>
        <v>5.1408869270156927</v>
      </c>
      <c r="F339" s="249">
        <f t="shared" si="213"/>
        <v>5.0948487697398752</v>
      </c>
      <c r="G339" s="249">
        <f t="shared" si="213"/>
        <v>5.0303737618677342</v>
      </c>
      <c r="H339" s="249">
        <f t="shared" si="213"/>
        <v>4.9478241806851502</v>
      </c>
      <c r="I339" s="249">
        <f t="shared" si="213"/>
        <v>4.8582009513789126</v>
      </c>
      <c r="J339" s="249">
        <f t="shared" si="213"/>
        <v>4.7615185018111141</v>
      </c>
      <c r="K339" s="249">
        <f t="shared" si="213"/>
        <v>4.6578092776346072</v>
      </c>
      <c r="L339" s="249">
        <f t="shared" si="213"/>
        <v>4.5471242061440984</v>
      </c>
      <c r="M339" s="249">
        <f t="shared" si="213"/>
        <v>4.4295331111254219</v>
      </c>
      <c r="N339" s="249">
        <f t="shared" si="213"/>
        <v>4.2746492559145643</v>
      </c>
      <c r="O339" s="249">
        <f t="shared" si="213"/>
        <v>4.1084537578660054</v>
      </c>
      <c r="P339" s="249">
        <f t="shared" si="213"/>
        <v>3.9322788282130237</v>
      </c>
      <c r="Q339" s="249">
        <f t="shared" si="213"/>
        <v>3.7468878972090547</v>
      </c>
      <c r="R339" s="249">
        <f t="shared" si="213"/>
        <v>3.5534604169797599</v>
      </c>
      <c r="S339" s="249">
        <f t="shared" si="213"/>
        <v>3.3592813660422229</v>
      </c>
      <c r="T339" s="249">
        <f t="shared" si="213"/>
        <v>3.1645763153931199</v>
      </c>
      <c r="U339" s="249">
        <f t="shared" si="213"/>
        <v>2.9695811487900006</v>
      </c>
      <c r="V339" s="249">
        <f t="shared" si="213"/>
        <v>2.774542195627602</v>
      </c>
      <c r="W339" s="249">
        <f t="shared" si="213"/>
        <v>2.579716355908702</v>
      </c>
      <c r="X339" s="249">
        <f t="shared" si="213"/>
        <v>2.3636938955618025</v>
      </c>
      <c r="Y339" s="249">
        <f t="shared" si="213"/>
        <v>2.1509917379287451</v>
      </c>
      <c r="Z339" s="249">
        <f t="shared" si="213"/>
        <v>1.9422801742357174</v>
      </c>
      <c r="AA339" s="249">
        <f t="shared" si="213"/>
        <v>1.7377434698663143</v>
      </c>
      <c r="AB339" s="249">
        <f t="shared" si="213"/>
        <v>1.5378611055833498</v>
      </c>
      <c r="AC339" s="249">
        <f t="shared" si="213"/>
        <v>1.3431427359238906</v>
      </c>
      <c r="AD339" s="249">
        <f t="shared" si="213"/>
        <v>1.1540976129855698</v>
      </c>
      <c r="AE339" s="249">
        <f t="shared" si="213"/>
        <v>0.97125313294000004</v>
      </c>
      <c r="AF339" s="249">
        <f t="shared" si="213"/>
        <v>0.79515503118966857</v>
      </c>
      <c r="AG339" s="249">
        <f t="shared" si="213"/>
        <v>0.62636756535808669</v>
      </c>
      <c r="AI339" s="296"/>
    </row>
    <row r="340" spans="1:36">
      <c r="A340" s="346" t="s">
        <v>1384</v>
      </c>
      <c r="B340" s="302" t="s">
        <v>704</v>
      </c>
      <c r="C340" s="249">
        <f t="shared" si="214"/>
        <v>17.446714440396239</v>
      </c>
      <c r="D340" s="249">
        <f t="shared" si="213"/>
        <v>17.723083345937379</v>
      </c>
      <c r="E340" s="249">
        <f t="shared" si="213"/>
        <v>17.924862382691892</v>
      </c>
      <c r="F340" s="249">
        <f t="shared" si="213"/>
        <v>18.076244265241481</v>
      </c>
      <c r="G340" s="249">
        <f t="shared" si="213"/>
        <v>18.175784441465506</v>
      </c>
      <c r="H340" s="249">
        <f t="shared" si="213"/>
        <v>18.222474421547766</v>
      </c>
      <c r="I340" s="249">
        <f t="shared" si="213"/>
        <v>18.255058120332901</v>
      </c>
      <c r="J340" s="249">
        <f t="shared" si="213"/>
        <v>18.273262103809163</v>
      </c>
      <c r="K340" s="249">
        <f t="shared" si="213"/>
        <v>18.27683857854451</v>
      </c>
      <c r="L340" s="249">
        <f t="shared" si="213"/>
        <v>18.265566726375464</v>
      </c>
      <c r="M340" s="249">
        <f t="shared" si="213"/>
        <v>18.239253986987048</v>
      </c>
      <c r="N340" s="249">
        <f t="shared" si="213"/>
        <v>18.068916179908818</v>
      </c>
      <c r="O340" s="249">
        <f t="shared" si="213"/>
        <v>17.855972101494579</v>
      </c>
      <c r="P340" s="249">
        <f t="shared" si="213"/>
        <v>17.602885761195228</v>
      </c>
      <c r="Q340" s="249">
        <f t="shared" si="213"/>
        <v>17.309566623726351</v>
      </c>
      <c r="R340" s="249">
        <f t="shared" si="213"/>
        <v>16.977644214458866</v>
      </c>
      <c r="S340" s="249">
        <f t="shared" si="213"/>
        <v>16.6389405161779</v>
      </c>
      <c r="T340" s="249">
        <f t="shared" si="213"/>
        <v>16.293644995784422</v>
      </c>
      <c r="U340" s="249">
        <f t="shared" si="213"/>
        <v>15.941961956662121</v>
      </c>
      <c r="V340" s="249">
        <f t="shared" si="213"/>
        <v>15.584110837123273</v>
      </c>
      <c r="W340" s="249">
        <f t="shared" si="213"/>
        <v>15.220326499861354</v>
      </c>
      <c r="X340" s="249">
        <f t="shared" si="213"/>
        <v>14.715900704626717</v>
      </c>
      <c r="Y340" s="249">
        <f t="shared" si="213"/>
        <v>14.206550083064281</v>
      </c>
      <c r="Z340" s="249">
        <f t="shared" si="213"/>
        <v>13.694304519611336</v>
      </c>
      <c r="AA340" s="249">
        <f t="shared" si="213"/>
        <v>13.177887979819563</v>
      </c>
      <c r="AB340" s="249">
        <f t="shared" si="213"/>
        <v>12.657779869032199</v>
      </c>
      <c r="AC340" s="249">
        <f t="shared" si="213"/>
        <v>12.134599890071025</v>
      </c>
      <c r="AD340" s="249">
        <f t="shared" si="213"/>
        <v>11.608864224737218</v>
      </c>
      <c r="AE340" s="249">
        <f t="shared" si="213"/>
        <v>11.081115289451835</v>
      </c>
      <c r="AF340" s="249">
        <f t="shared" si="213"/>
        <v>10.551922170652109</v>
      </c>
      <c r="AG340" s="249">
        <f t="shared" si="213"/>
        <v>10.021881045729387</v>
      </c>
      <c r="AI340" s="296"/>
    </row>
    <row r="341" spans="1:36">
      <c r="A341" s="346" t="s">
        <v>1385</v>
      </c>
      <c r="B341" s="302" t="s">
        <v>704</v>
      </c>
      <c r="C341" s="249">
        <f t="shared" si="214"/>
        <v>4.5232222623249516</v>
      </c>
      <c r="D341" s="249">
        <f t="shared" si="213"/>
        <v>4.635950462203895</v>
      </c>
      <c r="E341" s="249">
        <f t="shared" si="213"/>
        <v>4.7314357558374525</v>
      </c>
      <c r="F341" s="249">
        <f t="shared" si="213"/>
        <v>4.8156789741376906</v>
      </c>
      <c r="G341" s="249">
        <f t="shared" si="213"/>
        <v>4.8880046931356294</v>
      </c>
      <c r="H341" s="249">
        <f t="shared" si="213"/>
        <v>4.9478241806851511</v>
      </c>
      <c r="I341" s="249">
        <f t="shared" si="213"/>
        <v>5.0054191620267598</v>
      </c>
      <c r="J341" s="249">
        <f t="shared" si="213"/>
        <v>5.0606714966893005</v>
      </c>
      <c r="K341" s="249">
        <f t="shared" si="213"/>
        <v>5.1134645330553852</v>
      </c>
      <c r="L341" s="249">
        <f t="shared" si="213"/>
        <v>5.1636834205365192</v>
      </c>
      <c r="M341" s="249">
        <f t="shared" si="213"/>
        <v>5.2112154248534388</v>
      </c>
      <c r="N341" s="249">
        <f t="shared" si="213"/>
        <v>5.2187435701042846</v>
      </c>
      <c r="O341" s="249">
        <f t="shared" si="213"/>
        <v>5.2145759234453148</v>
      </c>
      <c r="P341" s="249">
        <f t="shared" si="213"/>
        <v>5.1990532158252734</v>
      </c>
      <c r="Q341" s="249">
        <f t="shared" si="213"/>
        <v>5.1717607595279915</v>
      </c>
      <c r="R341" s="249">
        <f t="shared" si="213"/>
        <v>5.1327761578596522</v>
      </c>
      <c r="S341" s="249">
        <f t="shared" si="213"/>
        <v>5.0914108204077442</v>
      </c>
      <c r="T341" s="249">
        <f t="shared" si="213"/>
        <v>5.0476299906683639</v>
      </c>
      <c r="U341" s="249">
        <f t="shared" si="213"/>
        <v>5.0013998295410529</v>
      </c>
      <c r="V341" s="249">
        <f t="shared" si="213"/>
        <v>4.952687470699737</v>
      </c>
      <c r="W341" s="249">
        <f t="shared" si="213"/>
        <v>4.9014610762265329</v>
      </c>
      <c r="X341" s="249">
        <f t="shared" si="213"/>
        <v>4.8036359813030174</v>
      </c>
      <c r="Y341" s="249">
        <f t="shared" si="213"/>
        <v>4.7021679852395817</v>
      </c>
      <c r="Z341" s="249">
        <f t="shared" si="213"/>
        <v>4.5975492731908751</v>
      </c>
      <c r="AA341" s="249">
        <f t="shared" si="213"/>
        <v>4.4891706304879797</v>
      </c>
      <c r="AB341" s="249">
        <f t="shared" si="213"/>
        <v>4.3769893005064588</v>
      </c>
      <c r="AC341" s="249">
        <f t="shared" si="213"/>
        <v>4.2610045415516549</v>
      </c>
      <c r="AD341" s="249">
        <f t="shared" si="213"/>
        <v>4.1411737877717547</v>
      </c>
      <c r="AE341" s="249">
        <f t="shared" si="213"/>
        <v>4.017456140797278</v>
      </c>
      <c r="AF341" s="249">
        <f t="shared" si="213"/>
        <v>3.8898124498737907</v>
      </c>
      <c r="AG341" s="249">
        <f t="shared" si="213"/>
        <v>3.7582053921485197</v>
      </c>
      <c r="AI341" s="296"/>
    </row>
    <row r="342" spans="1:36" s="68" customFormat="1">
      <c r="A342" s="347" t="s">
        <v>1386</v>
      </c>
      <c r="B342" s="312" t="s">
        <v>704</v>
      </c>
      <c r="C342" s="313">
        <f t="shared" si="214"/>
        <v>3.2308730445178222</v>
      </c>
      <c r="D342" s="313">
        <f t="shared" si="213"/>
        <v>3.2828740115128059</v>
      </c>
      <c r="E342" s="313">
        <f t="shared" si="213"/>
        <v>3.3211039440012886</v>
      </c>
      <c r="F342" s="313">
        <f t="shared" si="213"/>
        <v>3.3500375472262194</v>
      </c>
      <c r="G342" s="313">
        <f t="shared" si="213"/>
        <v>3.3694012933265021</v>
      </c>
      <c r="H342" s="313">
        <f t="shared" si="213"/>
        <v>3.3790018794922987</v>
      </c>
      <c r="I342" s="313">
        <f t="shared" si="213"/>
        <v>3.3860188449004549</v>
      </c>
      <c r="J342" s="313">
        <f t="shared" si="213"/>
        <v>3.3904006086194332</v>
      </c>
      <c r="K342" s="313">
        <f t="shared" si="213"/>
        <v>3.3921002347991167</v>
      </c>
      <c r="L342" s="313">
        <f t="shared" si="213"/>
        <v>3.3910756791583112</v>
      </c>
      <c r="M342" s="313">
        <f t="shared" si="213"/>
        <v>3.387290026154735</v>
      </c>
      <c r="N342" s="313">
        <f t="shared" si="213"/>
        <v>3.3567797837856705</v>
      </c>
      <c r="O342" s="313">
        <f t="shared" si="213"/>
        <v>3.3183664967379278</v>
      </c>
      <c r="P342" s="313">
        <f t="shared" si="213"/>
        <v>3.2725005013316442</v>
      </c>
      <c r="Q342" s="313">
        <f t="shared" si="213"/>
        <v>3.2191572074613006</v>
      </c>
      <c r="R342" s="313">
        <f t="shared" si="213"/>
        <v>3.1586314817597865</v>
      </c>
      <c r="S342" s="313">
        <f t="shared" si="213"/>
        <v>3.0968375093201743</v>
      </c>
      <c r="T342" s="313">
        <f t="shared" si="213"/>
        <v>3.0338086990545605</v>
      </c>
      <c r="U342" s="313">
        <f t="shared" si="213"/>
        <v>2.9695811487900001</v>
      </c>
      <c r="V342" s="313">
        <f t="shared" si="213"/>
        <v>2.9041937000961808</v>
      </c>
      <c r="W342" s="313">
        <f t="shared" si="213"/>
        <v>2.8376879914995716</v>
      </c>
      <c r="X342" s="313">
        <f t="shared" si="213"/>
        <v>2.7449348464588668</v>
      </c>
      <c r="Y342" s="313">
        <f t="shared" si="213"/>
        <v>2.6512223746563595</v>
      </c>
      <c r="Z342" s="313">
        <f t="shared" si="213"/>
        <v>2.5569257989938552</v>
      </c>
      <c r="AA342" s="313">
        <f t="shared" si="213"/>
        <v>2.4618032489772781</v>
      </c>
      <c r="AB342" s="313">
        <f t="shared" si="213"/>
        <v>2.3659401624359222</v>
      </c>
      <c r="AC342" s="313">
        <f t="shared" si="213"/>
        <v>2.269448071043815</v>
      </c>
      <c r="AD342" s="313">
        <f t="shared" si="213"/>
        <v>2.1724190362081317</v>
      </c>
      <c r="AE342" s="313">
        <f t="shared" si="213"/>
        <v>2.0749498749172735</v>
      </c>
      <c r="AF342" s="313">
        <f t="shared" si="213"/>
        <v>1.9771422397148528</v>
      </c>
      <c r="AG342" s="313">
        <f t="shared" si="213"/>
        <v>1.8791026960742598</v>
      </c>
      <c r="AI342" s="314"/>
      <c r="AJ342" s="315"/>
    </row>
    <row r="343" spans="1:36" s="181" customFormat="1">
      <c r="B343" s="176"/>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J343" s="323"/>
    </row>
    <row r="344" spans="1:36" s="181" customFormat="1">
      <c r="A344" s="181" t="s">
        <v>1643</v>
      </c>
      <c r="B344" s="350" t="s">
        <v>704</v>
      </c>
      <c r="C344" s="230">
        <f>C277</f>
        <v>6.1470184945809105</v>
      </c>
      <c r="D344" s="230">
        <f t="shared" ref="D344:AG344" si="215">D277</f>
        <v>6.5918673772683558</v>
      </c>
      <c r="E344" s="230">
        <f t="shared" si="215"/>
        <v>7.1488048815287524</v>
      </c>
      <c r="F344" s="230">
        <f t="shared" si="215"/>
        <v>7.7187271428009527</v>
      </c>
      <c r="G344" s="230">
        <f t="shared" si="215"/>
        <v>8.2987524751611126</v>
      </c>
      <c r="H344" s="230">
        <f t="shared" si="215"/>
        <v>8.8857564734805656</v>
      </c>
      <c r="I344" s="230">
        <f t="shared" si="215"/>
        <v>9.4968403576145057</v>
      </c>
      <c r="J344" s="230">
        <f t="shared" si="215"/>
        <v>10.132414840923506</v>
      </c>
      <c r="K344" s="230">
        <f t="shared" si="215"/>
        <v>10.792867488508211</v>
      </c>
      <c r="L344" s="230">
        <f t="shared" si="215"/>
        <v>11.478560707668674</v>
      </c>
      <c r="M344" s="230">
        <f t="shared" si="215"/>
        <v>12.18982971377074</v>
      </c>
      <c r="N344" s="230">
        <f t="shared" si="215"/>
        <v>13.356020014020505</v>
      </c>
      <c r="O344" s="230">
        <f t="shared" si="215"/>
        <v>14.547915820586532</v>
      </c>
      <c r="P344" s="230">
        <f t="shared" si="215"/>
        <v>15.761365552630705</v>
      </c>
      <c r="Q344" s="230">
        <f t="shared" si="215"/>
        <v>16.990567755239745</v>
      </c>
      <c r="R344" s="230">
        <f t="shared" si="215"/>
        <v>18.229960967784073</v>
      </c>
      <c r="S344" s="230">
        <f t="shared" si="215"/>
        <v>19.508782585754233</v>
      </c>
      <c r="T344" s="230">
        <f t="shared" si="215"/>
        <v>20.827944787428695</v>
      </c>
      <c r="U344" s="230">
        <f t="shared" si="215"/>
        <v>22.18836639306538</v>
      </c>
      <c r="V344" s="230">
        <f t="shared" si="215"/>
        <v>23.590972316525136</v>
      </c>
      <c r="W344" s="230">
        <f t="shared" si="215"/>
        <v>25.036692995614104</v>
      </c>
      <c r="X344" s="230">
        <f t="shared" si="215"/>
        <v>27.226871936462267</v>
      </c>
      <c r="Y344" s="230">
        <f t="shared" si="215"/>
        <v>29.487706240608638</v>
      </c>
      <c r="Z344" s="230">
        <f t="shared" si="215"/>
        <v>31.823946228548404</v>
      </c>
      <c r="AA344" s="230">
        <f t="shared" si="215"/>
        <v>34.234730551775755</v>
      </c>
      <c r="AB344" s="230">
        <f t="shared" si="215"/>
        <v>36.721742865197712</v>
      </c>
      <c r="AC344" s="230">
        <f t="shared" si="215"/>
        <v>39.287048989869859</v>
      </c>
      <c r="AD344" s="230">
        <f t="shared" si="215"/>
        <v>41.932428759326513</v>
      </c>
      <c r="AE344" s="230">
        <f t="shared" si="215"/>
        <v>44.659675631633803</v>
      </c>
      <c r="AF344" s="230">
        <f t="shared" si="215"/>
        <v>47.470595845121537</v>
      </c>
      <c r="AG344" s="230">
        <f t="shared" si="215"/>
        <v>50.367007543324213</v>
      </c>
      <c r="AI344" s="763" t="s">
        <v>1391</v>
      </c>
      <c r="AJ344" s="323"/>
    </row>
    <row r="345" spans="1:36" s="181" customFormat="1">
      <c r="A345" s="181" t="s">
        <v>1644</v>
      </c>
      <c r="B345" s="349" t="s">
        <v>704</v>
      </c>
      <c r="C345" s="249">
        <f>C344/(1-C302)</f>
        <v>8.4205732802478224</v>
      </c>
      <c r="D345" s="249">
        <f t="shared" ref="D345:AG345" si="216">D344/(1-D302)</f>
        <v>8.9807457455972148</v>
      </c>
      <c r="E345" s="249">
        <f t="shared" si="216"/>
        <v>9.6867274817462778</v>
      </c>
      <c r="F345" s="249">
        <f t="shared" si="216"/>
        <v>10.402597227494546</v>
      </c>
      <c r="G345" s="249">
        <f t="shared" si="216"/>
        <v>11.124333076623476</v>
      </c>
      <c r="H345" s="249">
        <f t="shared" si="216"/>
        <v>11.847675297974087</v>
      </c>
      <c r="I345" s="249">
        <f t="shared" si="216"/>
        <v>12.595278988878654</v>
      </c>
      <c r="J345" s="249">
        <f t="shared" si="216"/>
        <v>13.367301900954493</v>
      </c>
      <c r="K345" s="249">
        <f t="shared" si="216"/>
        <v>14.163868095155133</v>
      </c>
      <c r="L345" s="249">
        <f t="shared" si="216"/>
        <v>14.985066198000879</v>
      </c>
      <c r="M345" s="249">
        <f t="shared" si="216"/>
        <v>15.83094768022174</v>
      </c>
      <c r="N345" s="249">
        <f t="shared" si="216"/>
        <v>17.255839811396001</v>
      </c>
      <c r="O345" s="249">
        <f t="shared" si="216"/>
        <v>18.699120592013536</v>
      </c>
      <c r="P345" s="249">
        <f t="shared" si="216"/>
        <v>20.155198916407549</v>
      </c>
      <c r="Q345" s="249">
        <f t="shared" si="216"/>
        <v>21.616498416335553</v>
      </c>
      <c r="R345" s="249">
        <f t="shared" si="216"/>
        <v>23.075899959220344</v>
      </c>
      <c r="S345" s="249">
        <f t="shared" si="216"/>
        <v>24.570255145786184</v>
      </c>
      <c r="T345" s="249">
        <f t="shared" si="216"/>
        <v>26.100181437880568</v>
      </c>
      <c r="U345" s="249">
        <f t="shared" si="216"/>
        <v>27.666292260680024</v>
      </c>
      <c r="V345" s="249">
        <f t="shared" si="216"/>
        <v>29.269196422487759</v>
      </c>
      <c r="W345" s="249">
        <f t="shared" si="216"/>
        <v>30.90949752544951</v>
      </c>
      <c r="X345" s="249">
        <f t="shared" si="216"/>
        <v>33.448245622189518</v>
      </c>
      <c r="Y345" s="249">
        <f t="shared" si="216"/>
        <v>36.048540636440876</v>
      </c>
      <c r="Z345" s="249">
        <f t="shared" si="216"/>
        <v>38.715263051762044</v>
      </c>
      <c r="AA345" s="249">
        <f t="shared" si="216"/>
        <v>41.446405026362896</v>
      </c>
      <c r="AB345" s="249">
        <f t="shared" si="216"/>
        <v>44.24306369300929</v>
      </c>
      <c r="AC345" s="249">
        <f t="shared" si="216"/>
        <v>47.106773369148506</v>
      </c>
      <c r="AD345" s="249">
        <f t="shared" si="216"/>
        <v>50.038697803492255</v>
      </c>
      <c r="AE345" s="249">
        <f t="shared" si="216"/>
        <v>53.039994811916628</v>
      </c>
      <c r="AF345" s="249">
        <f t="shared" si="216"/>
        <v>56.111815419765406</v>
      </c>
      <c r="AG345" s="249">
        <f t="shared" si="216"/>
        <v>59.255302992146134</v>
      </c>
      <c r="AI345" s="763"/>
      <c r="AJ345" s="323"/>
    </row>
    <row r="346" spans="1:36" s="181" customFormat="1">
      <c r="A346" s="181" t="s">
        <v>1645</v>
      </c>
      <c r="B346" s="349" t="s">
        <v>704</v>
      </c>
      <c r="C346" s="249">
        <f>C334</f>
        <v>2.8235027274590001</v>
      </c>
      <c r="D346" s="249">
        <f t="shared" ref="D346:AG346" si="217">D334</f>
        <v>3.2207247334107736</v>
      </c>
      <c r="E346" s="249">
        <f t="shared" si="217"/>
        <v>3.6338542621015817</v>
      </c>
      <c r="F346" s="249">
        <f t="shared" si="217"/>
        <v>4.0607702070994192</v>
      </c>
      <c r="G346" s="249">
        <f t="shared" si="217"/>
        <v>4.4991058812291298</v>
      </c>
      <c r="H346" s="249">
        <f t="shared" si="217"/>
        <v>4.9462689102941191</v>
      </c>
      <c r="I346" s="249">
        <f t="shared" si="217"/>
        <v>5.4111145535084164</v>
      </c>
      <c r="J346" s="249">
        <f t="shared" si="217"/>
        <v>5.8936967284136426</v>
      </c>
      <c r="K346" s="249">
        <f t="shared" si="217"/>
        <v>6.3940372858635124</v>
      </c>
      <c r="L346" s="249">
        <f t="shared" si="217"/>
        <v>6.9121248607211676</v>
      </c>
      <c r="M346" s="249">
        <f t="shared" si="217"/>
        <v>7.44791378182921</v>
      </c>
      <c r="N346" s="249">
        <f t="shared" si="217"/>
        <v>7.989874828690871</v>
      </c>
      <c r="O346" s="249">
        <f t="shared" si="217"/>
        <v>8.5354643403064099</v>
      </c>
      <c r="P346" s="249">
        <f t="shared" si="217"/>
        <v>9.0826886874560699</v>
      </c>
      <c r="Q346" s="249">
        <f t="shared" si="217"/>
        <v>9.6281858491902401</v>
      </c>
      <c r="R346" s="249">
        <f t="shared" si="217"/>
        <v>10.169105135732368</v>
      </c>
      <c r="S346" s="249">
        <f t="shared" si="217"/>
        <v>10.721821393136052</v>
      </c>
      <c r="T346" s="249">
        <f t="shared" si="217"/>
        <v>11.286375660566188</v>
      </c>
      <c r="U346" s="249">
        <f t="shared" si="217"/>
        <v>11.86280383820694</v>
      </c>
      <c r="V346" s="249">
        <f t="shared" si="217"/>
        <v>12.451136575855887</v>
      </c>
      <c r="W346" s="249">
        <f t="shared" si="217"/>
        <v>13.051399163597782</v>
      </c>
      <c r="X346" s="249">
        <f t="shared" si="217"/>
        <v>13.663761921329305</v>
      </c>
      <c r="Y346" s="249">
        <f t="shared" si="217"/>
        <v>14.288259968941343</v>
      </c>
      <c r="Z346" s="249">
        <f t="shared" si="217"/>
        <v>14.926581868596585</v>
      </c>
      <c r="AA346" s="249">
        <f t="shared" si="217"/>
        <v>15.577238629102062</v>
      </c>
      <c r="AB346" s="249">
        <f t="shared" si="217"/>
        <v>16.240254619367491</v>
      </c>
      <c r="AC346" s="249">
        <f t="shared" si="217"/>
        <v>16.915809021459633</v>
      </c>
      <c r="AD346" s="249">
        <f t="shared" si="217"/>
        <v>17.603935620621847</v>
      </c>
      <c r="AE346" s="249">
        <f t="shared" si="217"/>
        <v>18.304663650264203</v>
      </c>
      <c r="AF346" s="249">
        <f t="shared" si="217"/>
        <v>19.018017705778163</v>
      </c>
      <c r="AG346" s="249">
        <f t="shared" si="217"/>
        <v>19.744017659906099</v>
      </c>
      <c r="AI346" s="763"/>
      <c r="AJ346" s="323"/>
    </row>
    <row r="347" spans="1:36" s="181" customFormat="1">
      <c r="A347" s="181" t="s">
        <v>1646</v>
      </c>
      <c r="B347" s="349" t="s">
        <v>704</v>
      </c>
      <c r="C347" s="249">
        <f>C345-C346</f>
        <v>5.5970705527888223</v>
      </c>
      <c r="D347" s="249">
        <f t="shared" ref="D347:AG347" si="218">D345-D346</f>
        <v>5.7600210121864412</v>
      </c>
      <c r="E347" s="249">
        <f t="shared" si="218"/>
        <v>6.0528732196446962</v>
      </c>
      <c r="F347" s="249">
        <f t="shared" si="218"/>
        <v>6.3418270203951268</v>
      </c>
      <c r="G347" s="249">
        <f t="shared" si="218"/>
        <v>6.6252271953943458</v>
      </c>
      <c r="H347" s="249">
        <f t="shared" si="218"/>
        <v>6.9014063876799678</v>
      </c>
      <c r="I347" s="249">
        <f t="shared" si="218"/>
        <v>7.1841644353702376</v>
      </c>
      <c r="J347" s="249">
        <f t="shared" si="218"/>
        <v>7.4736051725408501</v>
      </c>
      <c r="K347" s="249">
        <f t="shared" si="218"/>
        <v>7.7698308092916202</v>
      </c>
      <c r="L347" s="249">
        <f t="shared" si="218"/>
        <v>8.0729413372797119</v>
      </c>
      <c r="M347" s="249">
        <f t="shared" si="218"/>
        <v>8.3830338983925294</v>
      </c>
      <c r="N347" s="249">
        <f t="shared" si="218"/>
        <v>9.26596498270513</v>
      </c>
      <c r="O347" s="249">
        <f t="shared" si="218"/>
        <v>10.163656251707126</v>
      </c>
      <c r="P347" s="249">
        <f t="shared" si="218"/>
        <v>11.072510228951479</v>
      </c>
      <c r="Q347" s="249">
        <f t="shared" si="218"/>
        <v>11.988312567145313</v>
      </c>
      <c r="R347" s="249">
        <f t="shared" si="218"/>
        <v>12.906794823487976</v>
      </c>
      <c r="S347" s="249">
        <f t="shared" si="218"/>
        <v>13.848433752650132</v>
      </c>
      <c r="T347" s="249">
        <f t="shared" si="218"/>
        <v>14.81380577731438</v>
      </c>
      <c r="U347" s="249">
        <f t="shared" si="218"/>
        <v>15.803488422473084</v>
      </c>
      <c r="V347" s="249">
        <f t="shared" si="218"/>
        <v>16.818059846631872</v>
      </c>
      <c r="W347" s="249">
        <f t="shared" si="218"/>
        <v>17.858098361851727</v>
      </c>
      <c r="X347" s="249">
        <f t="shared" si="218"/>
        <v>19.784483700860214</v>
      </c>
      <c r="Y347" s="249">
        <f t="shared" si="218"/>
        <v>21.760280667499533</v>
      </c>
      <c r="Z347" s="249">
        <f t="shared" si="218"/>
        <v>23.788681183165458</v>
      </c>
      <c r="AA347" s="249">
        <f t="shared" si="218"/>
        <v>25.869166397260834</v>
      </c>
      <c r="AB347" s="249">
        <f t="shared" si="218"/>
        <v>28.002809073641799</v>
      </c>
      <c r="AC347" s="249">
        <f t="shared" si="218"/>
        <v>30.190964347688872</v>
      </c>
      <c r="AD347" s="249">
        <f t="shared" si="218"/>
        <v>32.434762182870408</v>
      </c>
      <c r="AE347" s="249">
        <f t="shared" si="218"/>
        <v>34.735331161652425</v>
      </c>
      <c r="AF347" s="249">
        <f t="shared" si="218"/>
        <v>37.093797713987243</v>
      </c>
      <c r="AG347" s="249">
        <f t="shared" si="218"/>
        <v>39.511285332240035</v>
      </c>
      <c r="AI347" s="763"/>
      <c r="AJ347" s="323"/>
    </row>
    <row r="348" spans="1:36" s="181" customFormat="1">
      <c r="A348" s="181" t="s">
        <v>1647</v>
      </c>
      <c r="B348" s="349" t="s">
        <v>704</v>
      </c>
      <c r="C348" s="249">
        <f>(C347)/(1-C299)</f>
        <v>6.9963381909860276</v>
      </c>
      <c r="D348" s="249">
        <f t="shared" ref="D348:AG348" si="219">(D345-D334)/(1-D299)</f>
        <v>7.1701506375764827</v>
      </c>
      <c r="E348" s="249">
        <f t="shared" si="219"/>
        <v>7.5035618425347472</v>
      </c>
      <c r="F348" s="249">
        <f t="shared" si="219"/>
        <v>7.8294160745618857</v>
      </c>
      <c r="G348" s="249">
        <f t="shared" si="219"/>
        <v>8.1457711418782957</v>
      </c>
      <c r="H348" s="249">
        <f t="shared" si="219"/>
        <v>8.4507016991999606</v>
      </c>
      <c r="I348" s="249">
        <f t="shared" si="219"/>
        <v>8.7611761406954116</v>
      </c>
      <c r="J348" s="249">
        <f t="shared" si="219"/>
        <v>9.0772532460010336</v>
      </c>
      <c r="K348" s="249">
        <f t="shared" si="219"/>
        <v>9.3989888822076058</v>
      </c>
      <c r="L348" s="249">
        <f t="shared" si="219"/>
        <v>9.7264353461201356</v>
      </c>
      <c r="M348" s="249">
        <f t="shared" si="219"/>
        <v>10.059640678071036</v>
      </c>
      <c r="N348" s="249">
        <f t="shared" si="219"/>
        <v>11.074858545065894</v>
      </c>
      <c r="O348" s="249">
        <f t="shared" si="219"/>
        <v>12.099590775841818</v>
      </c>
      <c r="P348" s="249">
        <f t="shared" si="219"/>
        <v>13.129458769507684</v>
      </c>
      <c r="Q348" s="249">
        <f t="shared" si="219"/>
        <v>14.159424291903914</v>
      </c>
      <c r="R348" s="249">
        <f t="shared" si="219"/>
        <v>15.184464498221152</v>
      </c>
      <c r="S348" s="249">
        <f t="shared" si="219"/>
        <v>16.228633303886873</v>
      </c>
      <c r="T348" s="249">
        <f t="shared" si="219"/>
        <v>17.292380284802782</v>
      </c>
      <c r="U348" s="249">
        <f t="shared" si="219"/>
        <v>18.376149328457078</v>
      </c>
      <c r="V348" s="249">
        <f t="shared" si="219"/>
        <v>19.480378200731902</v>
      </c>
      <c r="W348" s="249">
        <f t="shared" si="219"/>
        <v>20.605498109828922</v>
      </c>
      <c r="X348" s="249">
        <f t="shared" si="219"/>
        <v>22.74078586305772</v>
      </c>
      <c r="Y348" s="249">
        <f t="shared" si="219"/>
        <v>24.916351909350613</v>
      </c>
      <c r="Z348" s="249">
        <f t="shared" si="219"/>
        <v>27.135377775473913</v>
      </c>
      <c r="AA348" s="249">
        <f t="shared" si="219"/>
        <v>29.396779996887314</v>
      </c>
      <c r="AB348" s="249">
        <f t="shared" si="219"/>
        <v>31.701293290915249</v>
      </c>
      <c r="AC348" s="249">
        <f t="shared" si="219"/>
        <v>34.049959790626552</v>
      </c>
      <c r="AD348" s="249">
        <f t="shared" si="219"/>
        <v>36.443553014461138</v>
      </c>
      <c r="AE348" s="249">
        <f t="shared" si="219"/>
        <v>38.882833389909443</v>
      </c>
      <c r="AF348" s="249">
        <f t="shared" si="219"/>
        <v>41.368547636417006</v>
      </c>
      <c r="AG348" s="249">
        <f t="shared" si="219"/>
        <v>43.90142814693337</v>
      </c>
      <c r="AI348" s="763"/>
      <c r="AJ348" s="323"/>
    </row>
    <row r="349" spans="1:36" s="181" customFormat="1">
      <c r="A349" s="181" t="s">
        <v>1648</v>
      </c>
      <c r="B349" s="349" t="s">
        <v>704</v>
      </c>
      <c r="C349" s="249">
        <f>IF(C328&gt;C348,C348,C328)</f>
        <v>6.9963381909860276</v>
      </c>
      <c r="D349" s="249">
        <f t="shared" ref="D349:AG349" si="220">IF(D328&gt;D348,D348,D328)</f>
        <v>7.1701506375764827</v>
      </c>
      <c r="E349" s="249">
        <f t="shared" si="220"/>
        <v>7.5035618425347472</v>
      </c>
      <c r="F349" s="249">
        <f t="shared" si="220"/>
        <v>7.8294160745618857</v>
      </c>
      <c r="G349" s="249">
        <f t="shared" si="220"/>
        <v>8.1457711418782957</v>
      </c>
      <c r="H349" s="249">
        <f t="shared" si="220"/>
        <v>8.4507016991999606</v>
      </c>
      <c r="I349" s="249">
        <f t="shared" si="220"/>
        <v>8.7611761406954116</v>
      </c>
      <c r="J349" s="249">
        <f t="shared" si="220"/>
        <v>9.0772532460010336</v>
      </c>
      <c r="K349" s="249">
        <f t="shared" si="220"/>
        <v>9.3989888822076058</v>
      </c>
      <c r="L349" s="249">
        <f t="shared" si="220"/>
        <v>9.7264353461201356</v>
      </c>
      <c r="M349" s="249">
        <f t="shared" si="220"/>
        <v>10.059640678071036</v>
      </c>
      <c r="N349" s="249">
        <f t="shared" si="220"/>
        <v>11.074858545065894</v>
      </c>
      <c r="O349" s="249">
        <f t="shared" si="220"/>
        <v>12.099590775841818</v>
      </c>
      <c r="P349" s="249">
        <f t="shared" si="220"/>
        <v>13.129458769507684</v>
      </c>
      <c r="Q349" s="249">
        <f t="shared" si="220"/>
        <v>14.159424291903914</v>
      </c>
      <c r="R349" s="249">
        <f t="shared" si="220"/>
        <v>15.184464498221152</v>
      </c>
      <c r="S349" s="249">
        <f t="shared" si="220"/>
        <v>16.228633303886873</v>
      </c>
      <c r="T349" s="249">
        <f t="shared" si="220"/>
        <v>17.292380284802782</v>
      </c>
      <c r="U349" s="249">
        <f t="shared" si="220"/>
        <v>18.376149328457078</v>
      </c>
      <c r="V349" s="249">
        <f t="shared" si="220"/>
        <v>19.480378200731902</v>
      </c>
      <c r="W349" s="249">
        <f t="shared" si="220"/>
        <v>20.605498109828922</v>
      </c>
      <c r="X349" s="249">
        <f t="shared" si="220"/>
        <v>22.74078586305772</v>
      </c>
      <c r="Y349" s="249">
        <f t="shared" si="220"/>
        <v>23.574077001616807</v>
      </c>
      <c r="Z349" s="249">
        <f t="shared" si="220"/>
        <v>24.293621262809467</v>
      </c>
      <c r="AA349" s="249">
        <f t="shared" si="220"/>
        <v>25.019804144372156</v>
      </c>
      <c r="AB349" s="249">
        <f t="shared" si="220"/>
        <v>25.752403753568419</v>
      </c>
      <c r="AC349" s="249">
        <f t="shared" si="220"/>
        <v>26.491440979468035</v>
      </c>
      <c r="AD349" s="249">
        <f t="shared" si="220"/>
        <v>27.236700085096572</v>
      </c>
      <c r="AE349" s="249">
        <f t="shared" si="220"/>
        <v>27.987958095984652</v>
      </c>
      <c r="AF349" s="249">
        <f t="shared" si="220"/>
        <v>28.744984820596393</v>
      </c>
      <c r="AG349" s="249">
        <f t="shared" si="220"/>
        <v>29.507542876343184</v>
      </c>
      <c r="AI349" s="763"/>
      <c r="AJ349" s="323"/>
    </row>
    <row r="350" spans="1:36" s="181" customFormat="1">
      <c r="A350" s="181" t="s">
        <v>1649</v>
      </c>
      <c r="B350" s="349" t="s">
        <v>704</v>
      </c>
      <c r="C350" s="249">
        <f>IF(C348-C349&lt;0,0,C348-C349)</f>
        <v>0</v>
      </c>
      <c r="D350" s="249">
        <f t="shared" ref="D350:AG350" si="221">IF(D348-D349&lt;0,0,D348-D349)</f>
        <v>0</v>
      </c>
      <c r="E350" s="249">
        <f t="shared" si="221"/>
        <v>0</v>
      </c>
      <c r="F350" s="249">
        <f t="shared" si="221"/>
        <v>0</v>
      </c>
      <c r="G350" s="249">
        <f t="shared" si="221"/>
        <v>0</v>
      </c>
      <c r="H350" s="249">
        <f t="shared" si="221"/>
        <v>0</v>
      </c>
      <c r="I350" s="249">
        <f t="shared" si="221"/>
        <v>0</v>
      </c>
      <c r="J350" s="249">
        <f t="shared" si="221"/>
        <v>0</v>
      </c>
      <c r="K350" s="249">
        <f t="shared" si="221"/>
        <v>0</v>
      </c>
      <c r="L350" s="249">
        <f t="shared" si="221"/>
        <v>0</v>
      </c>
      <c r="M350" s="249">
        <f t="shared" si="221"/>
        <v>0</v>
      </c>
      <c r="N350" s="249">
        <f t="shared" si="221"/>
        <v>0</v>
      </c>
      <c r="O350" s="249">
        <f t="shared" si="221"/>
        <v>0</v>
      </c>
      <c r="P350" s="249">
        <f t="shared" si="221"/>
        <v>0</v>
      </c>
      <c r="Q350" s="249">
        <f t="shared" si="221"/>
        <v>0</v>
      </c>
      <c r="R350" s="249">
        <f t="shared" si="221"/>
        <v>0</v>
      </c>
      <c r="S350" s="249">
        <f t="shared" si="221"/>
        <v>0</v>
      </c>
      <c r="T350" s="249">
        <f t="shared" si="221"/>
        <v>0</v>
      </c>
      <c r="U350" s="249">
        <f t="shared" si="221"/>
        <v>0</v>
      </c>
      <c r="V350" s="249">
        <f t="shared" si="221"/>
        <v>0</v>
      </c>
      <c r="W350" s="249">
        <f t="shared" si="221"/>
        <v>0</v>
      </c>
      <c r="X350" s="249">
        <f t="shared" si="221"/>
        <v>0</v>
      </c>
      <c r="Y350" s="249">
        <f t="shared" si="221"/>
        <v>1.3422749077338061</v>
      </c>
      <c r="Z350" s="249">
        <f t="shared" si="221"/>
        <v>2.8417565126644462</v>
      </c>
      <c r="AA350" s="249">
        <f t="shared" si="221"/>
        <v>4.3769758525151587</v>
      </c>
      <c r="AB350" s="249">
        <f t="shared" si="221"/>
        <v>5.9488895373468296</v>
      </c>
      <c r="AC350" s="249">
        <f t="shared" si="221"/>
        <v>7.5585188111585175</v>
      </c>
      <c r="AD350" s="249">
        <f t="shared" si="221"/>
        <v>9.2068529293645653</v>
      </c>
      <c r="AE350" s="249">
        <f t="shared" si="221"/>
        <v>10.894875293924791</v>
      </c>
      <c r="AF350" s="249">
        <f t="shared" si="221"/>
        <v>12.623562815820613</v>
      </c>
      <c r="AG350" s="249">
        <f t="shared" si="221"/>
        <v>14.393885270590186</v>
      </c>
      <c r="AI350" s="763"/>
      <c r="AJ350" s="323"/>
    </row>
    <row r="351" spans="1:36" s="181" customFormat="1">
      <c r="A351" s="181" t="s">
        <v>1650</v>
      </c>
      <c r="B351" s="349" t="s">
        <v>704</v>
      </c>
      <c r="C351" s="249">
        <f>C345*C302+C299*C348+C335+IF(C328&gt;C348,C328-C348,0)</f>
        <v>5.2955978219634581</v>
      </c>
      <c r="D351" s="249">
        <f t="shared" ref="D351:AG351" si="222">D345*D302+D299*D348+D335+IF(D328&gt;D348,D328-D348,0)</f>
        <v>5.9224166991649119</v>
      </c>
      <c r="E351" s="249">
        <f t="shared" si="222"/>
        <v>6.4625919885716572</v>
      </c>
      <c r="F351" s="249">
        <f t="shared" si="222"/>
        <v>7.0090768535606776</v>
      </c>
      <c r="G351" s="249">
        <f t="shared" si="222"/>
        <v>7.5581123803574943</v>
      </c>
      <c r="H351" s="249">
        <f t="shared" si="222"/>
        <v>8.1057550422706655</v>
      </c>
      <c r="I351" s="249">
        <f t="shared" si="222"/>
        <v>8.6665823793213796</v>
      </c>
      <c r="J351" s="249">
        <f t="shared" si="222"/>
        <v>9.2399773591602532</v>
      </c>
      <c r="K351" s="249">
        <f t="shared" si="222"/>
        <v>9.8252681992328732</v>
      </c>
      <c r="L351" s="249">
        <f t="shared" si="222"/>
        <v>10.421728514098911</v>
      </c>
      <c r="M351" s="249">
        <f t="shared" si="222"/>
        <v>11.028577663034895</v>
      </c>
      <c r="N351" s="249">
        <f t="shared" si="222"/>
        <v>11.180784433502279</v>
      </c>
      <c r="O351" s="249">
        <f t="shared" si="222"/>
        <v>11.301065830600294</v>
      </c>
      <c r="P351" s="249">
        <f t="shared" si="222"/>
        <v>11.388893018976891</v>
      </c>
      <c r="Q351" s="249">
        <f t="shared" si="222"/>
        <v>11.441412218412916</v>
      </c>
      <c r="R351" s="249">
        <f t="shared" si="222"/>
        <v>11.457265315563617</v>
      </c>
      <c r="S351" s="249">
        <f t="shared" si="222"/>
        <v>11.455960748478578</v>
      </c>
      <c r="T351" s="249">
        <f t="shared" si="222"/>
        <v>11.436508699507362</v>
      </c>
      <c r="U351" s="249">
        <f t="shared" si="222"/>
        <v>11.397899580210398</v>
      </c>
      <c r="V351" s="249">
        <f t="shared" si="222"/>
        <v>11.33910442533562</v>
      </c>
      <c r="W351" s="249">
        <f t="shared" si="222"/>
        <v>11.259075316148172</v>
      </c>
      <c r="X351" s="249">
        <f t="shared" si="222"/>
        <v>10.45675275644321</v>
      </c>
      <c r="Y351" s="249">
        <f t="shared" si="222"/>
        <v>10.948117032545028</v>
      </c>
      <c r="Z351" s="249">
        <f t="shared" si="222"/>
        <v>11.547742498988509</v>
      </c>
      <c r="AA351" s="249">
        <f t="shared" si="222"/>
        <v>12.130718975723831</v>
      </c>
      <c r="AB351" s="249">
        <f t="shared" si="222"/>
        <v>12.696191828663888</v>
      </c>
      <c r="AC351" s="249">
        <f t="shared" si="222"/>
        <v>13.243401355883755</v>
      </c>
      <c r="AD351" s="249">
        <f t="shared" si="222"/>
        <v>13.77144769126356</v>
      </c>
      <c r="AE351" s="249">
        <f t="shared" si="222"/>
        <v>14.279399887856574</v>
      </c>
      <c r="AF351" s="249">
        <f t="shared" si="222"/>
        <v>14.766296018557536</v>
      </c>
      <c r="AG351" s="249">
        <f t="shared" si="222"/>
        <v>15.231143306802672</v>
      </c>
      <c r="AI351" s="763"/>
      <c r="AJ351" s="323"/>
    </row>
    <row r="352" spans="1:36" s="181" customFormat="1">
      <c r="A352" s="181" t="s">
        <v>1651</v>
      </c>
      <c r="B352" s="349" t="s">
        <v>704</v>
      </c>
      <c r="C352" s="249">
        <f>C331-C350</f>
        <v>47.999546366802996</v>
      </c>
      <c r="D352" s="249">
        <f t="shared" ref="D352:AF352" si="223">D331-D350</f>
        <v>49.213015484240849</v>
      </c>
      <c r="E352" s="249">
        <f t="shared" si="223"/>
        <v>50.319888529294047</v>
      </c>
      <c r="F352" s="249">
        <f t="shared" si="223"/>
        <v>51.311717992570195</v>
      </c>
      <c r="G352" s="249">
        <f t="shared" si="223"/>
        <v>52.180828680560552</v>
      </c>
      <c r="H352" s="249">
        <f t="shared" si="223"/>
        <v>52.920416544943016</v>
      </c>
      <c r="I352" s="249">
        <f t="shared" si="223"/>
        <v>53.640114331912493</v>
      </c>
      <c r="J352" s="249">
        <f t="shared" si="223"/>
        <v>54.338743770404079</v>
      </c>
      <c r="K352" s="249">
        <f t="shared" si="223"/>
        <v>55.015141883391024</v>
      </c>
      <c r="L352" s="249">
        <f t="shared" si="223"/>
        <v>55.668163934120237</v>
      </c>
      <c r="M352" s="249">
        <f t="shared" si="223"/>
        <v>56.296686379378059</v>
      </c>
      <c r="N352" s="249">
        <f t="shared" si="223"/>
        <v>56.818198390180768</v>
      </c>
      <c r="O352" s="249">
        <f t="shared" si="223"/>
        <v>57.229316385667417</v>
      </c>
      <c r="P352" s="249">
        <f t="shared" si="223"/>
        <v>57.531551610721991</v>
      </c>
      <c r="Q352" s="249">
        <f t="shared" si="223"/>
        <v>57.7185734371404</v>
      </c>
      <c r="R352" s="249">
        <f t="shared" si="223"/>
        <v>57.788946927253257</v>
      </c>
      <c r="S352" s="249">
        <f t="shared" si="223"/>
        <v>57.84597006630873</v>
      </c>
      <c r="T352" s="249">
        <f t="shared" si="223"/>
        <v>57.889517761296077</v>
      </c>
      <c r="U352" s="249">
        <f t="shared" si="223"/>
        <v>57.919471748159985</v>
      </c>
      <c r="V352" s="249">
        <f t="shared" si="223"/>
        <v>57.935720756007719</v>
      </c>
      <c r="W352" s="249">
        <f t="shared" si="223"/>
        <v>57.938160667283022</v>
      </c>
      <c r="X352" s="249">
        <f t="shared" si="223"/>
        <v>57.927332702163426</v>
      </c>
      <c r="Y352" s="249">
        <f t="shared" si="223"/>
        <v>56.560872750615346</v>
      </c>
      <c r="Z352" s="249">
        <f t="shared" si="223"/>
        <v>55.030195830420595</v>
      </c>
      <c r="AA352" s="249">
        <f t="shared" si="223"/>
        <v>53.45025359374899</v>
      </c>
      <c r="AB352" s="249">
        <f t="shared" si="223"/>
        <v>51.820016180117491</v>
      </c>
      <c r="AC352" s="249">
        <f t="shared" si="223"/>
        <v>50.138941627174432</v>
      </c>
      <c r="AD352" s="249">
        <f t="shared" si="223"/>
        <v>48.40597996091762</v>
      </c>
      <c r="AE352" s="249">
        <f t="shared" si="223"/>
        <v>46.620093583567119</v>
      </c>
      <c r="AF352" s="249">
        <f t="shared" si="223"/>
        <v>44.780258019716072</v>
      </c>
      <c r="AG352" s="249">
        <f>AG331-AG350</f>
        <v>42.885462665840691</v>
      </c>
      <c r="AI352" s="763"/>
      <c r="AJ352" s="323"/>
    </row>
    <row r="353" spans="1:37" s="181" customFormat="1">
      <c r="B353" s="350"/>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c r="AG353" s="327"/>
      <c r="AJ353" s="323"/>
    </row>
    <row r="354" spans="1:37" s="181" customFormat="1">
      <c r="A354" s="181" t="s">
        <v>1400</v>
      </c>
      <c r="B354" s="350" t="s">
        <v>462</v>
      </c>
      <c r="C354" s="296">
        <v>0.8</v>
      </c>
      <c r="D354" s="317">
        <f>C354</f>
        <v>0.8</v>
      </c>
      <c r="E354" s="317">
        <f t="shared" ref="E354:AG354" si="224">D354</f>
        <v>0.8</v>
      </c>
      <c r="F354" s="317">
        <f t="shared" si="224"/>
        <v>0.8</v>
      </c>
      <c r="G354" s="317">
        <f t="shared" si="224"/>
        <v>0.8</v>
      </c>
      <c r="H354" s="317">
        <f t="shared" si="224"/>
        <v>0.8</v>
      </c>
      <c r="I354" s="317">
        <f t="shared" si="224"/>
        <v>0.8</v>
      </c>
      <c r="J354" s="317">
        <f t="shared" si="224"/>
        <v>0.8</v>
      </c>
      <c r="K354" s="317">
        <f t="shared" si="224"/>
        <v>0.8</v>
      </c>
      <c r="L354" s="317">
        <f t="shared" si="224"/>
        <v>0.8</v>
      </c>
      <c r="M354" s="317">
        <f>L354</f>
        <v>0.8</v>
      </c>
      <c r="N354" s="317">
        <f t="shared" si="224"/>
        <v>0.8</v>
      </c>
      <c r="O354" s="317">
        <f t="shared" si="224"/>
        <v>0.8</v>
      </c>
      <c r="P354" s="317">
        <f t="shared" si="224"/>
        <v>0.8</v>
      </c>
      <c r="Q354" s="317">
        <f t="shared" si="224"/>
        <v>0.8</v>
      </c>
      <c r="R354" s="317">
        <f t="shared" si="224"/>
        <v>0.8</v>
      </c>
      <c r="S354" s="317">
        <f t="shared" si="224"/>
        <v>0.8</v>
      </c>
      <c r="T354" s="317">
        <f t="shared" si="224"/>
        <v>0.8</v>
      </c>
      <c r="U354" s="317">
        <f t="shared" si="224"/>
        <v>0.8</v>
      </c>
      <c r="V354" s="317">
        <f t="shared" si="224"/>
        <v>0.8</v>
      </c>
      <c r="W354" s="317">
        <f t="shared" si="224"/>
        <v>0.8</v>
      </c>
      <c r="X354" s="317">
        <f t="shared" si="224"/>
        <v>0.8</v>
      </c>
      <c r="Y354" s="317">
        <f t="shared" si="224"/>
        <v>0.8</v>
      </c>
      <c r="Z354" s="317">
        <f t="shared" si="224"/>
        <v>0.8</v>
      </c>
      <c r="AA354" s="317">
        <f t="shared" si="224"/>
        <v>0.8</v>
      </c>
      <c r="AB354" s="317">
        <f t="shared" si="224"/>
        <v>0.8</v>
      </c>
      <c r="AC354" s="317">
        <f t="shared" si="224"/>
        <v>0.8</v>
      </c>
      <c r="AD354" s="317">
        <f t="shared" si="224"/>
        <v>0.8</v>
      </c>
      <c r="AE354" s="317">
        <f t="shared" si="224"/>
        <v>0.8</v>
      </c>
      <c r="AF354" s="317">
        <f t="shared" si="224"/>
        <v>0.8</v>
      </c>
      <c r="AG354" s="317">
        <f t="shared" si="224"/>
        <v>0.8</v>
      </c>
      <c r="AJ354" s="323" t="s">
        <v>1401</v>
      </c>
    </row>
    <row r="355" spans="1:37" s="181" customFormat="1">
      <c r="B355" s="350"/>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c r="AG355" s="327"/>
      <c r="AJ355" s="323"/>
    </row>
    <row r="356" spans="1:37" s="181" customFormat="1">
      <c r="A356" s="181" t="s">
        <v>1402</v>
      </c>
      <c r="B356" s="350" t="s">
        <v>704</v>
      </c>
      <c r="C356" s="327">
        <f>C290*C351*C354</f>
        <v>0.9320252166655687</v>
      </c>
      <c r="D356" s="327">
        <f t="shared" ref="D356:AG356" si="225">D290*D351*D354</f>
        <v>1.0739315614485707</v>
      </c>
      <c r="E356" s="327">
        <f t="shared" si="225"/>
        <v>1.206350504533376</v>
      </c>
      <c r="F356" s="327">
        <f t="shared" si="225"/>
        <v>1.3457427558836499</v>
      </c>
      <c r="G356" s="327">
        <f t="shared" si="225"/>
        <v>1.4914675097238788</v>
      </c>
      <c r="H356" s="327">
        <f t="shared" si="225"/>
        <v>1.6427663552335217</v>
      </c>
      <c r="I356" s="327">
        <f t="shared" si="225"/>
        <v>1.8026491348988465</v>
      </c>
      <c r="J356" s="327">
        <f t="shared" si="225"/>
        <v>1.9711951699541872</v>
      </c>
      <c r="K356" s="327">
        <f t="shared" si="225"/>
        <v>2.1484586462322546</v>
      </c>
      <c r="L356" s="327">
        <f t="shared" si="225"/>
        <v>2.3344671871581553</v>
      </c>
      <c r="M356" s="327">
        <f t="shared" si="225"/>
        <v>2.5292204773893352</v>
      </c>
      <c r="N356" s="327">
        <f t="shared" si="225"/>
        <v>2.6237574137285335</v>
      </c>
      <c r="O356" s="327">
        <f t="shared" si="225"/>
        <v>2.7122557993440695</v>
      </c>
      <c r="P356" s="327">
        <f t="shared" si="225"/>
        <v>2.7940750873223297</v>
      </c>
      <c r="Q356" s="327">
        <f t="shared" si="225"/>
        <v>2.8679806627488365</v>
      </c>
      <c r="R356" s="327">
        <f t="shared" si="225"/>
        <v>2.9330599207842845</v>
      </c>
      <c r="S356" s="327">
        <f t="shared" si="225"/>
        <v>2.9938244089357333</v>
      </c>
      <c r="T356" s="327">
        <f t="shared" si="225"/>
        <v>3.0497356532019619</v>
      </c>
      <c r="U356" s="327">
        <f t="shared" si="225"/>
        <v>3.1002286858172265</v>
      </c>
      <c r="V356" s="327">
        <f t="shared" si="225"/>
        <v>3.1447116272930771</v>
      </c>
      <c r="W356" s="327">
        <f t="shared" si="225"/>
        <v>3.1825652893645482</v>
      </c>
      <c r="X356" s="327">
        <f t="shared" si="225"/>
        <v>3.0115447938556428</v>
      </c>
      <c r="Y356" s="327">
        <f t="shared" si="225"/>
        <v>3.2114476628798729</v>
      </c>
      <c r="Z356" s="327">
        <f t="shared" si="225"/>
        <v>3.4489257596978988</v>
      </c>
      <c r="AA356" s="327">
        <f t="shared" si="225"/>
        <v>3.6877385686200421</v>
      </c>
      <c r="AB356" s="327">
        <f t="shared" si="225"/>
        <v>3.9273553390000266</v>
      </c>
      <c r="AC356" s="327">
        <f t="shared" si="225"/>
        <v>4.1672569599847522</v>
      </c>
      <c r="AD356" s="327">
        <f t="shared" si="225"/>
        <v>4.4068632612043359</v>
      </c>
      <c r="AE356" s="327">
        <f t="shared" si="225"/>
        <v>4.6455647635160018</v>
      </c>
      <c r="AF356" s="327">
        <f t="shared" si="225"/>
        <v>4.8827218834696886</v>
      </c>
      <c r="AG356" s="327">
        <f t="shared" si="225"/>
        <v>5.1176641510856982</v>
      </c>
      <c r="AJ356" s="323"/>
    </row>
    <row r="357" spans="1:37" s="181" customFormat="1">
      <c r="A357" s="181" t="s">
        <v>1403</v>
      </c>
      <c r="B357" s="350" t="s">
        <v>704</v>
      </c>
      <c r="C357" s="327">
        <f>C351*C354-C356</f>
        <v>3.304453040905198</v>
      </c>
      <c r="D357" s="327">
        <f t="shared" ref="D357:AG357" si="226">D351*D354-D356</f>
        <v>3.6640017978833588</v>
      </c>
      <c r="E357" s="327">
        <f t="shared" si="226"/>
        <v>3.9637230863239501</v>
      </c>
      <c r="F357" s="327">
        <f t="shared" si="226"/>
        <v>4.2615187269648924</v>
      </c>
      <c r="G357" s="327">
        <f t="shared" si="226"/>
        <v>4.5550223945621173</v>
      </c>
      <c r="H357" s="327">
        <f t="shared" si="226"/>
        <v>4.8418376785830111</v>
      </c>
      <c r="I357" s="327">
        <f t="shared" si="226"/>
        <v>5.1306167685582578</v>
      </c>
      <c r="J357" s="327">
        <f t="shared" si="226"/>
        <v>5.4207867173740159</v>
      </c>
      <c r="K357" s="327">
        <f t="shared" si="226"/>
        <v>5.711755913154045</v>
      </c>
      <c r="L357" s="327">
        <f t="shared" si="226"/>
        <v>6.0029156241209733</v>
      </c>
      <c r="M357" s="327">
        <f t="shared" si="226"/>
        <v>6.2936416530385806</v>
      </c>
      <c r="N357" s="327">
        <f t="shared" si="226"/>
        <v>6.3208701330732904</v>
      </c>
      <c r="O357" s="327">
        <f t="shared" si="226"/>
        <v>6.3285968651361664</v>
      </c>
      <c r="P357" s="327">
        <f t="shared" si="226"/>
        <v>6.3170393278591828</v>
      </c>
      <c r="Q357" s="327">
        <f t="shared" si="226"/>
        <v>6.2851491119814966</v>
      </c>
      <c r="R357" s="327">
        <f t="shared" si="226"/>
        <v>6.2327523316666102</v>
      </c>
      <c r="S357" s="327">
        <f t="shared" si="226"/>
        <v>6.1709441898471287</v>
      </c>
      <c r="T357" s="327">
        <f t="shared" si="226"/>
        <v>6.0994713064039274</v>
      </c>
      <c r="U357" s="327">
        <f t="shared" si="226"/>
        <v>6.0180909783510916</v>
      </c>
      <c r="V357" s="327">
        <f t="shared" si="226"/>
        <v>5.9265719129754189</v>
      </c>
      <c r="W357" s="327">
        <f t="shared" si="226"/>
        <v>5.8246949635539895</v>
      </c>
      <c r="X357" s="327">
        <f t="shared" si="226"/>
        <v>5.3538574112989252</v>
      </c>
      <c r="Y357" s="327">
        <f t="shared" si="226"/>
        <v>5.5470459631561493</v>
      </c>
      <c r="Z357" s="327">
        <f t="shared" si="226"/>
        <v>5.7892682394929089</v>
      </c>
      <c r="AA357" s="327">
        <f t="shared" si="226"/>
        <v>6.0168366119590226</v>
      </c>
      <c r="AB357" s="327">
        <f t="shared" si="226"/>
        <v>6.2295981239310851</v>
      </c>
      <c r="AC357" s="327">
        <f t="shared" si="226"/>
        <v>6.4274641247222517</v>
      </c>
      <c r="AD357" s="327">
        <f t="shared" si="226"/>
        <v>6.6102948918065128</v>
      </c>
      <c r="AE357" s="327">
        <f t="shared" si="226"/>
        <v>6.7779551467692576</v>
      </c>
      <c r="AF357" s="327">
        <f t="shared" si="226"/>
        <v>6.9303149313763406</v>
      </c>
      <c r="AG357" s="327">
        <f t="shared" si="226"/>
        <v>7.0672504943564398</v>
      </c>
      <c r="AJ357" s="323"/>
    </row>
    <row r="358" spans="1:37" s="181" customFormat="1">
      <c r="B358" s="176"/>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c r="AG358" s="327"/>
      <c r="AJ358" s="323"/>
    </row>
    <row r="359" spans="1:37" s="181" customFormat="1">
      <c r="B359" s="210" t="s">
        <v>492</v>
      </c>
      <c r="C359" s="331">
        <v>0</v>
      </c>
      <c r="D359" s="331">
        <f>C359+1</f>
        <v>1</v>
      </c>
      <c r="E359" s="331">
        <f t="shared" ref="E359:AG359" si="227">D359+1</f>
        <v>2</v>
      </c>
      <c r="F359" s="331">
        <f t="shared" si="227"/>
        <v>3</v>
      </c>
      <c r="G359" s="331">
        <f t="shared" si="227"/>
        <v>4</v>
      </c>
      <c r="H359" s="331">
        <f t="shared" si="227"/>
        <v>5</v>
      </c>
      <c r="I359" s="331">
        <f t="shared" si="227"/>
        <v>6</v>
      </c>
      <c r="J359" s="331">
        <f t="shared" si="227"/>
        <v>7</v>
      </c>
      <c r="K359" s="331">
        <f t="shared" si="227"/>
        <v>8</v>
      </c>
      <c r="L359" s="331">
        <f t="shared" si="227"/>
        <v>9</v>
      </c>
      <c r="M359" s="331">
        <f t="shared" si="227"/>
        <v>10</v>
      </c>
      <c r="N359" s="331">
        <f t="shared" si="227"/>
        <v>11</v>
      </c>
      <c r="O359" s="331">
        <f t="shared" si="227"/>
        <v>12</v>
      </c>
      <c r="P359" s="331">
        <f t="shared" si="227"/>
        <v>13</v>
      </c>
      <c r="Q359" s="331">
        <f t="shared" si="227"/>
        <v>14</v>
      </c>
      <c r="R359" s="331">
        <f t="shared" si="227"/>
        <v>15</v>
      </c>
      <c r="S359" s="331">
        <f t="shared" si="227"/>
        <v>16</v>
      </c>
      <c r="T359" s="331">
        <f t="shared" si="227"/>
        <v>17</v>
      </c>
      <c r="U359" s="331">
        <f t="shared" si="227"/>
        <v>18</v>
      </c>
      <c r="V359" s="331">
        <f t="shared" si="227"/>
        <v>19</v>
      </c>
      <c r="W359" s="331">
        <f t="shared" si="227"/>
        <v>20</v>
      </c>
      <c r="X359" s="331">
        <f t="shared" si="227"/>
        <v>21</v>
      </c>
      <c r="Y359" s="331">
        <f t="shared" si="227"/>
        <v>22</v>
      </c>
      <c r="Z359" s="331">
        <f t="shared" si="227"/>
        <v>23</v>
      </c>
      <c r="AA359" s="331">
        <f t="shared" si="227"/>
        <v>24</v>
      </c>
      <c r="AB359" s="331">
        <f t="shared" si="227"/>
        <v>25</v>
      </c>
      <c r="AC359" s="331">
        <f t="shared" si="227"/>
        <v>26</v>
      </c>
      <c r="AD359" s="331">
        <f t="shared" si="227"/>
        <v>27</v>
      </c>
      <c r="AE359" s="331">
        <f t="shared" si="227"/>
        <v>28</v>
      </c>
      <c r="AF359" s="331">
        <f t="shared" si="227"/>
        <v>29</v>
      </c>
      <c r="AG359" s="331">
        <f t="shared" si="227"/>
        <v>30</v>
      </c>
      <c r="AJ359" s="323" t="s">
        <v>493</v>
      </c>
      <c r="AK359" s="181">
        <f>'Propylene Recycling HC'!AK199</f>
        <v>1.9</v>
      </c>
    </row>
    <row r="360" spans="1:37" s="181" customFormat="1">
      <c r="A360" s="181" t="s">
        <v>1404</v>
      </c>
      <c r="B360" s="176"/>
      <c r="C360" s="333">
        <f>$AK$361/((1+EXP(-$AK$360*(C359-$AK$362)))^$AK$359)</f>
        <v>4.6088632748610021E-5</v>
      </c>
      <c r="D360" s="333">
        <f t="shared" ref="D360:AG360" si="228">$AK$361/((1+EXP(-$AK$360*(D359-$AK$362)))^$AK$359)</f>
        <v>8.924759460408035E-5</v>
      </c>
      <c r="E360" s="333">
        <f t="shared" si="228"/>
        <v>1.7252431976790472E-4</v>
      </c>
      <c r="F360" s="333">
        <f t="shared" si="228"/>
        <v>3.3269643715580369E-4</v>
      </c>
      <c r="G360" s="333">
        <f t="shared" si="228"/>
        <v>6.393827369910735E-4</v>
      </c>
      <c r="H360" s="333">
        <f t="shared" si="228"/>
        <v>1.2229053771654547E-3</v>
      </c>
      <c r="I360" s="333">
        <f t="shared" si="228"/>
        <v>2.3234018804222717E-3</v>
      </c>
      <c r="J360" s="333">
        <f t="shared" si="228"/>
        <v>4.3736281679830789E-3</v>
      </c>
      <c r="K360" s="333">
        <f t="shared" si="228"/>
        <v>8.1294184230466908E-3</v>
      </c>
      <c r="L360" s="333">
        <f t="shared" si="228"/>
        <v>1.4853985082038716E-2</v>
      </c>
      <c r="M360" s="333">
        <f t="shared" si="228"/>
        <v>2.6531412096832362E-2</v>
      </c>
      <c r="N360" s="333">
        <f t="shared" si="228"/>
        <v>4.6014759335105015E-2</v>
      </c>
      <c r="O360" s="333">
        <f t="shared" si="228"/>
        <v>7.6910635328419796E-2</v>
      </c>
      <c r="P360" s="333">
        <f t="shared" si="228"/>
        <v>0.12294065829885638</v>
      </c>
      <c r="Q360" s="333">
        <f t="shared" si="228"/>
        <v>0.18666754187878853</v>
      </c>
      <c r="R360" s="333">
        <f t="shared" si="228"/>
        <v>0.26794336563407328</v>
      </c>
      <c r="S360" s="333">
        <f t="shared" si="228"/>
        <v>0.36297326582455031</v>
      </c>
      <c r="T360" s="333">
        <f t="shared" si="228"/>
        <v>0.46484396312424381</v>
      </c>
      <c r="U360" s="333">
        <f t="shared" si="228"/>
        <v>0.56546260593861253</v>
      </c>
      <c r="V360" s="333">
        <f t="shared" si="228"/>
        <v>0.6578403022607352</v>
      </c>
      <c r="W360" s="333">
        <f t="shared" si="228"/>
        <v>0.73754668886795227</v>
      </c>
      <c r="X360" s="333">
        <f t="shared" si="228"/>
        <v>0.80293052021410605</v>
      </c>
      <c r="Y360" s="333">
        <f t="shared" si="228"/>
        <v>0.85447682949112158</v>
      </c>
      <c r="Z360" s="333">
        <f t="shared" si="228"/>
        <v>0.89389910336617451</v>
      </c>
      <c r="AA360" s="333">
        <f t="shared" si="228"/>
        <v>0.92337223319290385</v>
      </c>
      <c r="AB360" s="333">
        <f t="shared" si="228"/>
        <v>0.94504210708611314</v>
      </c>
      <c r="AC360" s="333">
        <f t="shared" si="228"/>
        <v>0.96078240575184182</v>
      </c>
      <c r="AD360" s="333">
        <f t="shared" si="228"/>
        <v>0.97211605463477313</v>
      </c>
      <c r="AE360" s="333">
        <f t="shared" si="228"/>
        <v>0.98022577885232642</v>
      </c>
      <c r="AF360" s="333">
        <f t="shared" si="228"/>
        <v>0.98600279580400285</v>
      </c>
      <c r="AG360" s="333">
        <f t="shared" si="228"/>
        <v>0.9901050637460882</v>
      </c>
      <c r="AI360" s="176" t="s">
        <v>494</v>
      </c>
      <c r="AJ360" s="323" t="s">
        <v>495</v>
      </c>
      <c r="AK360" s="181">
        <f>'Propylene Recycling HC'!AK200</f>
        <v>0.35</v>
      </c>
    </row>
    <row r="361" spans="1:37" s="181" customFormat="1">
      <c r="B361" s="176"/>
      <c r="C361" s="329">
        <v>0</v>
      </c>
      <c r="D361" s="329">
        <v>0</v>
      </c>
      <c r="E361" s="329">
        <v>0</v>
      </c>
      <c r="F361" s="329">
        <v>0</v>
      </c>
      <c r="G361" s="329">
        <v>0</v>
      </c>
      <c r="H361" s="329">
        <v>0</v>
      </c>
      <c r="I361" s="329">
        <v>0</v>
      </c>
      <c r="J361" s="329">
        <v>0</v>
      </c>
      <c r="K361" s="329">
        <v>0</v>
      </c>
      <c r="L361" s="329">
        <v>0</v>
      </c>
      <c r="M361" s="329">
        <f>C360</f>
        <v>4.6088632748610021E-5</v>
      </c>
      <c r="N361" s="329">
        <v>0</v>
      </c>
      <c r="O361" s="329">
        <v>0</v>
      </c>
      <c r="P361" s="329">
        <v>0</v>
      </c>
      <c r="Q361" s="329">
        <v>0</v>
      </c>
      <c r="R361" s="329">
        <f t="shared" ref="R361:AG361" si="229">C360</f>
        <v>4.6088632748610021E-5</v>
      </c>
      <c r="S361" s="329">
        <f t="shared" si="229"/>
        <v>8.924759460408035E-5</v>
      </c>
      <c r="T361" s="329">
        <f t="shared" si="229"/>
        <v>1.7252431976790472E-4</v>
      </c>
      <c r="U361" s="329">
        <f t="shared" si="229"/>
        <v>3.3269643715580369E-4</v>
      </c>
      <c r="V361" s="329">
        <f t="shared" si="229"/>
        <v>6.393827369910735E-4</v>
      </c>
      <c r="W361" s="329">
        <f t="shared" si="229"/>
        <v>1.2229053771654547E-3</v>
      </c>
      <c r="X361" s="329">
        <f t="shared" si="229"/>
        <v>2.3234018804222717E-3</v>
      </c>
      <c r="Y361" s="329">
        <f t="shared" si="229"/>
        <v>4.3736281679830789E-3</v>
      </c>
      <c r="Z361" s="329">
        <f t="shared" si="229"/>
        <v>8.1294184230466908E-3</v>
      </c>
      <c r="AA361" s="329">
        <f t="shared" si="229"/>
        <v>1.4853985082038716E-2</v>
      </c>
      <c r="AB361" s="329">
        <f t="shared" si="229"/>
        <v>2.6531412096832362E-2</v>
      </c>
      <c r="AC361" s="329">
        <f t="shared" si="229"/>
        <v>4.6014759335105015E-2</v>
      </c>
      <c r="AD361" s="329">
        <f t="shared" si="229"/>
        <v>7.6910635328419796E-2</v>
      </c>
      <c r="AE361" s="329">
        <f t="shared" si="229"/>
        <v>0.12294065829885638</v>
      </c>
      <c r="AF361" s="329">
        <f t="shared" si="229"/>
        <v>0.18666754187878853</v>
      </c>
      <c r="AG361" s="329">
        <f t="shared" si="229"/>
        <v>0.26794336563407328</v>
      </c>
      <c r="AI361" s="176" t="s">
        <v>496</v>
      </c>
      <c r="AJ361" s="323" t="s">
        <v>497</v>
      </c>
      <c r="AK361" s="181">
        <f>'Propylene Recycling HC'!AK201</f>
        <v>1</v>
      </c>
    </row>
    <row r="362" spans="1:37" s="181" customFormat="1">
      <c r="B362" s="176"/>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c r="AG362" s="327"/>
      <c r="AJ362" s="323" t="s">
        <v>498</v>
      </c>
      <c r="AK362" s="181">
        <f>'Propylene Recycling HC'!AK202</f>
        <v>15</v>
      </c>
    </row>
    <row r="363" spans="1:37" s="181" customFormat="1">
      <c r="A363" s="181" t="s">
        <v>1460</v>
      </c>
      <c r="B363" s="176" t="s">
        <v>462</v>
      </c>
      <c r="C363" s="328">
        <f>('Overall recycling rates'!G12+'Overall recycling rates'!G15)*'Overall recycling rates'!G57/(SUMPRODUCT('Overall recycling rates'!C57:I57,'Overall recycling rates'!C12:I12)+SUMPRODUCT('Overall recycling rates'!C15:I15,'Overall recycling rates'!C57:I57))</f>
        <v>8.5469247930390777E-2</v>
      </c>
      <c r="D363" s="328">
        <f>C363</f>
        <v>8.5469247930390777E-2</v>
      </c>
      <c r="E363" s="328">
        <f t="shared" ref="E363:AG363" si="230">D363</f>
        <v>8.5469247930390777E-2</v>
      </c>
      <c r="F363" s="328">
        <f t="shared" si="230"/>
        <v>8.5469247930390777E-2</v>
      </c>
      <c r="G363" s="328">
        <f t="shared" si="230"/>
        <v>8.5469247930390777E-2</v>
      </c>
      <c r="H363" s="328">
        <f t="shared" si="230"/>
        <v>8.5469247930390777E-2</v>
      </c>
      <c r="I363" s="328">
        <f t="shared" si="230"/>
        <v>8.5469247930390777E-2</v>
      </c>
      <c r="J363" s="328">
        <f t="shared" si="230"/>
        <v>8.5469247930390777E-2</v>
      </c>
      <c r="K363" s="328">
        <f t="shared" si="230"/>
        <v>8.5469247930390777E-2</v>
      </c>
      <c r="L363" s="328">
        <f t="shared" si="230"/>
        <v>8.5469247930390777E-2</v>
      </c>
      <c r="M363" s="328">
        <f t="shared" si="230"/>
        <v>8.5469247930390777E-2</v>
      </c>
      <c r="N363" s="328">
        <f t="shared" si="230"/>
        <v>8.5469247930390777E-2</v>
      </c>
      <c r="O363" s="328">
        <f t="shared" si="230"/>
        <v>8.5469247930390777E-2</v>
      </c>
      <c r="P363" s="328">
        <f t="shared" si="230"/>
        <v>8.5469247930390777E-2</v>
      </c>
      <c r="Q363" s="328">
        <f t="shared" si="230"/>
        <v>8.5469247930390777E-2</v>
      </c>
      <c r="R363" s="328">
        <f t="shared" si="230"/>
        <v>8.5469247930390777E-2</v>
      </c>
      <c r="S363" s="328">
        <f t="shared" si="230"/>
        <v>8.5469247930390777E-2</v>
      </c>
      <c r="T363" s="328">
        <f t="shared" si="230"/>
        <v>8.5469247930390777E-2</v>
      </c>
      <c r="U363" s="328">
        <f t="shared" si="230"/>
        <v>8.5469247930390777E-2</v>
      </c>
      <c r="V363" s="328">
        <f t="shared" si="230"/>
        <v>8.5469247930390777E-2</v>
      </c>
      <c r="W363" s="328">
        <f t="shared" si="230"/>
        <v>8.5469247930390777E-2</v>
      </c>
      <c r="X363" s="328">
        <f t="shared" si="230"/>
        <v>8.5469247930390777E-2</v>
      </c>
      <c r="Y363" s="328">
        <f t="shared" si="230"/>
        <v>8.5469247930390777E-2</v>
      </c>
      <c r="Z363" s="328">
        <f t="shared" si="230"/>
        <v>8.5469247930390777E-2</v>
      </c>
      <c r="AA363" s="328">
        <f t="shared" si="230"/>
        <v>8.5469247930390777E-2</v>
      </c>
      <c r="AB363" s="328">
        <f t="shared" si="230"/>
        <v>8.5469247930390777E-2</v>
      </c>
      <c r="AC363" s="328">
        <f t="shared" si="230"/>
        <v>8.5469247930390777E-2</v>
      </c>
      <c r="AD363" s="328">
        <f t="shared" si="230"/>
        <v>8.5469247930390777E-2</v>
      </c>
      <c r="AE363" s="328">
        <f t="shared" si="230"/>
        <v>8.5469247930390777E-2</v>
      </c>
      <c r="AF363" s="328">
        <f t="shared" si="230"/>
        <v>8.5469247930390777E-2</v>
      </c>
      <c r="AG363" s="328">
        <f t="shared" si="230"/>
        <v>8.5469247930390777E-2</v>
      </c>
      <c r="AI363" s="176" t="s">
        <v>1516</v>
      </c>
      <c r="AJ363" s="323"/>
    </row>
    <row r="364" spans="1:37" s="300" customFormat="1" ht="16" thickBot="1">
      <c r="A364" s="334" t="s">
        <v>1407</v>
      </c>
      <c r="B364" s="335" t="s">
        <v>704</v>
      </c>
      <c r="C364" s="336">
        <f>C363*(C356*C360+C357*C361)</f>
        <v>3.6713971786805374E-6</v>
      </c>
      <c r="D364" s="336">
        <f t="shared" ref="D364:AG364" si="231">D363*(D356*D360+D357*D361)</f>
        <v>8.1918691807742126E-6</v>
      </c>
      <c r="E364" s="336">
        <f t="shared" si="231"/>
        <v>1.7788270148439697E-5</v>
      </c>
      <c r="F364" s="336">
        <f t="shared" si="231"/>
        <v>3.8266618193931967E-5</v>
      </c>
      <c r="G364" s="336">
        <f t="shared" si="231"/>
        <v>8.1505062716887266E-5</v>
      </c>
      <c r="H364" s="336">
        <f t="shared" si="231"/>
        <v>1.7170325838728308E-4</v>
      </c>
      <c r="I364" s="336">
        <f t="shared" si="231"/>
        <v>3.5796900409637062E-4</v>
      </c>
      <c r="J364" s="336">
        <f t="shared" si="231"/>
        <v>7.3685386651147042E-4</v>
      </c>
      <c r="K364" s="336">
        <f t="shared" si="231"/>
        <v>1.4927818931201613E-3</v>
      </c>
      <c r="L364" s="336">
        <f t="shared" si="231"/>
        <v>2.9637436729587317E-3</v>
      </c>
      <c r="M364" s="336">
        <f>M363*(M356*M360+M357*M361)</f>
        <v>5.7601021966935595E-3</v>
      </c>
      <c r="N364" s="336">
        <f t="shared" si="231"/>
        <v>1.0318836142898555E-2</v>
      </c>
      <c r="O364" s="336">
        <f t="shared" si="231"/>
        <v>1.7828997655701811E-2</v>
      </c>
      <c r="P364" s="336">
        <f t="shared" si="231"/>
        <v>2.9359150810980388E-2</v>
      </c>
      <c r="Q364" s="336">
        <f t="shared" si="231"/>
        <v>4.5756722596116454E-2</v>
      </c>
      <c r="R364" s="336">
        <f t="shared" si="231"/>
        <v>6.7194316397979639E-2</v>
      </c>
      <c r="S364" s="336">
        <f t="shared" si="231"/>
        <v>9.2924641961733098E-2</v>
      </c>
      <c r="T364" s="336">
        <f t="shared" si="231"/>
        <v>0.12125552243366119</v>
      </c>
      <c r="U364" s="336">
        <f t="shared" si="231"/>
        <v>0.15000413597015239</v>
      </c>
      <c r="V364" s="336">
        <f t="shared" si="231"/>
        <v>0.17713564839723506</v>
      </c>
      <c r="W364" s="336">
        <f t="shared" si="231"/>
        <v>0.20122995475769459</v>
      </c>
      <c r="X364" s="336">
        <f t="shared" si="231"/>
        <v>0.20773304045820737</v>
      </c>
      <c r="Y364" s="336">
        <f t="shared" si="231"/>
        <v>0.2366103594609322</v>
      </c>
      <c r="Z364" s="336">
        <f t="shared" si="231"/>
        <v>0.26752344922838939</v>
      </c>
      <c r="AA364" s="336">
        <f t="shared" si="231"/>
        <v>0.29867479958722148</v>
      </c>
      <c r="AB364" s="336">
        <f t="shared" si="231"/>
        <v>0.33134685558212773</v>
      </c>
      <c r="AC364" s="336">
        <f t="shared" si="231"/>
        <v>0.36748232903207367</v>
      </c>
      <c r="AD364" s="336">
        <f t="shared" si="231"/>
        <v>0.40960149957525932</v>
      </c>
      <c r="AE364" s="336">
        <f t="shared" si="231"/>
        <v>0.4604218647806716</v>
      </c>
      <c r="AF364" s="336">
        <f t="shared" si="231"/>
        <v>0.52204978007729408</v>
      </c>
      <c r="AG364" s="336">
        <f t="shared" si="231"/>
        <v>0.59492135597398943</v>
      </c>
      <c r="AJ364" s="326"/>
    </row>
    <row r="365" spans="1:37" s="230" customFormat="1">
      <c r="A365" s="325" t="s">
        <v>1408</v>
      </c>
      <c r="B365" s="324" t="s">
        <v>462</v>
      </c>
      <c r="C365" s="330">
        <v>0.5</v>
      </c>
      <c r="D365" s="330">
        <v>0.5</v>
      </c>
      <c r="E365" s="330">
        <v>0.5</v>
      </c>
      <c r="F365" s="330">
        <v>0.5</v>
      </c>
      <c r="G365" s="330">
        <v>0.5</v>
      </c>
      <c r="H365" s="330">
        <v>0.5</v>
      </c>
      <c r="I365" s="330">
        <v>0.5</v>
      </c>
      <c r="J365" s="330">
        <v>0.5</v>
      </c>
      <c r="K365" s="330">
        <v>0.5</v>
      </c>
      <c r="L365" s="330">
        <v>0.5</v>
      </c>
      <c r="M365" s="330">
        <v>0.5</v>
      </c>
      <c r="N365" s="330">
        <v>0.5</v>
      </c>
      <c r="O365" s="330">
        <v>0.5</v>
      </c>
      <c r="P365" s="330">
        <v>0.5</v>
      </c>
      <c r="Q365" s="330">
        <v>0.5</v>
      </c>
      <c r="R365" s="330">
        <v>0.5</v>
      </c>
      <c r="S365" s="330">
        <v>0.5</v>
      </c>
      <c r="T365" s="330">
        <v>0.5</v>
      </c>
      <c r="U365" s="330">
        <v>0.5</v>
      </c>
      <c r="V365" s="330">
        <v>0.5</v>
      </c>
      <c r="W365" s="330">
        <v>0.5</v>
      </c>
      <c r="X365" s="330">
        <v>0.5</v>
      </c>
      <c r="Y365" s="330">
        <v>0.5</v>
      </c>
      <c r="Z365" s="330">
        <v>0.5</v>
      </c>
      <c r="AA365" s="330">
        <v>0.5</v>
      </c>
      <c r="AB365" s="330">
        <v>0.5</v>
      </c>
      <c r="AC365" s="330">
        <v>0.5</v>
      </c>
      <c r="AD365" s="330">
        <v>0.5</v>
      </c>
      <c r="AE365" s="330">
        <v>0.5</v>
      </c>
      <c r="AF365" s="330">
        <v>0.5</v>
      </c>
      <c r="AG365" s="330">
        <v>0.5</v>
      </c>
      <c r="AJ365" s="230" t="s">
        <v>1410</v>
      </c>
    </row>
    <row r="366" spans="1:37" s="230" customFormat="1" ht="16" thickBot="1">
      <c r="A366" s="301" t="s">
        <v>1411</v>
      </c>
      <c r="B366" s="335" t="s">
        <v>704</v>
      </c>
      <c r="C366" s="336">
        <f>C365*(C356*C360+C357*C361)</f>
        <v>2.1477883961671542E-5</v>
      </c>
      <c r="D366" s="336">
        <f t="shared" ref="D366:AG366" si="232">D365*(D356*D360+D357*D361)</f>
        <v>4.7922904314344524E-5</v>
      </c>
      <c r="E366" s="336">
        <f t="shared" si="232"/>
        <v>1.0406240009814467E-4</v>
      </c>
      <c r="F366" s="336">
        <f t="shared" si="232"/>
        <v>2.2386191010536138E-4</v>
      </c>
      <c r="G366" s="336">
        <f t="shared" si="232"/>
        <v>4.7680928925025707E-4</v>
      </c>
      <c r="H366" s="336">
        <f t="shared" si="232"/>
        <v>1.0044739046207846E-3</v>
      </c>
      <c r="I366" s="336">
        <f t="shared" si="232"/>
        <v>2.0941391948827806E-3</v>
      </c>
      <c r="J366" s="336">
        <f t="shared" si="232"/>
        <v>4.3106373599519129E-3</v>
      </c>
      <c r="K366" s="336">
        <f t="shared" si="232"/>
        <v>8.7328596499172215E-3</v>
      </c>
      <c r="L366" s="336">
        <f t="shared" si="232"/>
        <v>1.7338070386278062E-2</v>
      </c>
      <c r="M366" s="336">
        <f t="shared" si="232"/>
        <v>3.3696928054080887E-2</v>
      </c>
      <c r="N366" s="336">
        <f t="shared" si="232"/>
        <v>6.0365782973208014E-2</v>
      </c>
      <c r="O366" s="336">
        <f t="shared" si="232"/>
        <v>0.10430065835037174</v>
      </c>
      <c r="P366" s="336">
        <f t="shared" si="232"/>
        <v>0.17175271528592093</v>
      </c>
      <c r="Q366" s="336">
        <f t="shared" si="232"/>
        <v>0.26767945023561207</v>
      </c>
      <c r="R366" s="336">
        <f t="shared" si="232"/>
        <v>0.39309060290728837</v>
      </c>
      <c r="S366" s="336">
        <f t="shared" si="232"/>
        <v>0.54361448247101851</v>
      </c>
      <c r="T366" s="336">
        <f t="shared" si="232"/>
        <v>0.70935175732689282</v>
      </c>
      <c r="U366" s="336">
        <f t="shared" si="232"/>
        <v>0.87753279455741284</v>
      </c>
      <c r="V366" s="336">
        <f t="shared" si="232"/>
        <v>1.0362536975960095</v>
      </c>
      <c r="W366" s="336">
        <f t="shared" si="232"/>
        <v>1.1772067710340888</v>
      </c>
      <c r="X366" s="336">
        <f t="shared" si="232"/>
        <v>1.2152501951777592</v>
      </c>
      <c r="Y366" s="336">
        <f t="shared" si="232"/>
        <v>1.3841841667639112</v>
      </c>
      <c r="Z366" s="336">
        <f t="shared" si="232"/>
        <v>1.5650275140262735</v>
      </c>
      <c r="AA366" s="336">
        <f t="shared" si="232"/>
        <v>1.7472646994066974</v>
      </c>
      <c r="AB366" s="336">
        <f t="shared" si="232"/>
        <v>1.9383980999340753</v>
      </c>
      <c r="AC366" s="336">
        <f t="shared" si="232"/>
        <v>2.1497926911171867</v>
      </c>
      <c r="AD366" s="336">
        <f t="shared" si="232"/>
        <v>2.3961922533169679</v>
      </c>
      <c r="AE366" s="336">
        <f t="shared" si="232"/>
        <v>2.6934943030951652</v>
      </c>
      <c r="AF366" s="336">
        <f t="shared" si="232"/>
        <v>3.0540211404601934</v>
      </c>
      <c r="AG366" s="336">
        <f t="shared" si="232"/>
        <v>3.4803240368893542</v>
      </c>
      <c r="AJ366" s="325"/>
    </row>
    <row r="367" spans="1:37" s="230" customFormat="1">
      <c r="A367" s="326"/>
      <c r="B367" s="324"/>
      <c r="AJ367" s="325"/>
    </row>
    <row r="368" spans="1:37" s="230" customFormat="1">
      <c r="A368" s="326" t="s">
        <v>1412</v>
      </c>
      <c r="B368" s="324" t="s">
        <v>704</v>
      </c>
      <c r="C368" s="230">
        <f>SUM(C337:C338)-SUM(C364,C366)</f>
        <v>34.24722912260777</v>
      </c>
      <c r="D368" s="230">
        <f t="shared" ref="D368:AG368" si="233">SUM(D337:D338)-SUM(D364,D366)</f>
        <v>35.734471132166576</v>
      </c>
      <c r="E368" s="230">
        <f t="shared" si="233"/>
        <v>37.123451002823614</v>
      </c>
      <c r="F368" s="230">
        <f t="shared" si="233"/>
        <v>38.455377215672677</v>
      </c>
      <c r="G368" s="230">
        <f t="shared" si="233"/>
        <v>39.720411861905525</v>
      </c>
      <c r="H368" s="230">
        <f t="shared" si="233"/>
        <v>40.908882292404463</v>
      </c>
      <c r="I368" s="230">
        <f t="shared" si="233"/>
        <v>42.10195613708494</v>
      </c>
      <c r="J368" s="230">
        <f t="shared" si="233"/>
        <v>43.297348517390859</v>
      </c>
      <c r="K368" s="230">
        <f t="shared" si="233"/>
        <v>44.492104304552846</v>
      </c>
      <c r="L368" s="230">
        <f t="shared" si="233"/>
        <v>45.682149952778929</v>
      </c>
      <c r="M368" s="230">
        <f t="shared" si="233"/>
        <v>46.861481793430187</v>
      </c>
      <c r="N368" s="230">
        <f t="shared" si="233"/>
        <v>47.684752773647233</v>
      </c>
      <c r="O368" s="230">
        <f t="shared" si="233"/>
        <v>48.389228177257934</v>
      </c>
      <c r="P368" s="230">
        <f t="shared" si="233"/>
        <v>48.965569053103543</v>
      </c>
      <c r="Q368" s="230">
        <f t="shared" si="233"/>
        <v>49.398794801406737</v>
      </c>
      <c r="R368" s="230">
        <f t="shared" si="233"/>
        <v>49.682989853631369</v>
      </c>
      <c r="S368" s="230">
        <f t="shared" si="233"/>
        <v>49.910147680233848</v>
      </c>
      <c r="T368" s="230">
        <f t="shared" si="233"/>
        <v>50.090302522474218</v>
      </c>
      <c r="U368" s="230">
        <f t="shared" si="233"/>
        <v>50.23681132226826</v>
      </c>
      <c r="V368" s="230">
        <f t="shared" si="233"/>
        <v>50.361979131607733</v>
      </c>
      <c r="W368" s="230">
        <f t="shared" si="233"/>
        <v>50.473862027973169</v>
      </c>
      <c r="X368" s="230">
        <f t="shared" si="233"/>
        <v>50.197041515826669</v>
      </c>
      <c r="Y368" s="230">
        <f t="shared" si="233"/>
        <v>49.702868802028519</v>
      </c>
      <c r="Z368" s="230">
        <f t="shared" si="233"/>
        <v>49.133864241690233</v>
      </c>
      <c r="AA368" s="230">
        <f t="shared" si="233"/>
        <v>48.493433082951455</v>
      </c>
      <c r="AB368" s="230">
        <f t="shared" si="233"/>
        <v>47.769889480003634</v>
      </c>
      <c r="AC368" s="230">
        <f t="shared" si="233"/>
        <v>46.947429875254791</v>
      </c>
      <c r="AD368" s="230">
        <f t="shared" si="233"/>
        <v>46.005746466909322</v>
      </c>
      <c r="AE368" s="230">
        <f t="shared" si="233"/>
        <v>44.923113912654273</v>
      </c>
      <c r="AF368" s="230">
        <f t="shared" si="233"/>
        <v>43.681926743951323</v>
      </c>
      <c r="AG368" s="230">
        <f t="shared" si="233"/>
        <v>42.275954443635065</v>
      </c>
      <c r="AJ368" s="325"/>
    </row>
    <row r="369" spans="1:36" s="230" customFormat="1">
      <c r="A369" s="326"/>
      <c r="B369" s="324"/>
      <c r="AJ369" s="325"/>
    </row>
    <row r="370" spans="1:36" s="230" customFormat="1">
      <c r="A370" s="325" t="s">
        <v>1413</v>
      </c>
      <c r="B370" s="324" t="s">
        <v>704</v>
      </c>
      <c r="C370" s="327">
        <f>C290*C289*C200</f>
        <v>1.1411399999999999E-2</v>
      </c>
      <c r="D370" s="327">
        <f t="shared" ref="D370:AG370" si="234">D290*D289*D200</f>
        <v>1.2211913118445541E-2</v>
      </c>
      <c r="E370" s="327">
        <f t="shared" si="234"/>
        <v>1.3033868575004636E-2</v>
      </c>
      <c r="F370" s="327">
        <f t="shared" si="234"/>
        <v>1.387667776234245E-2</v>
      </c>
      <c r="G370" s="327">
        <f t="shared" si="234"/>
        <v>1.4739737200808048E-2</v>
      </c>
      <c r="H370" s="327">
        <f t="shared" si="234"/>
        <v>1.5622428538434407E-2</v>
      </c>
      <c r="I370" s="327">
        <f t="shared" si="234"/>
        <v>1.652411855093841E-2</v>
      </c>
      <c r="J370" s="327">
        <f t="shared" si="234"/>
        <v>1.7444159141720841E-2</v>
      </c>
      <c r="K370" s="327">
        <f t="shared" si="234"/>
        <v>1.8381887341866382E-2</v>
      </c>
      <c r="L370" s="327">
        <f t="shared" si="234"/>
        <v>1.9336625310143647E-2</v>
      </c>
      <c r="M370" s="327">
        <f t="shared" si="234"/>
        <v>2.0307680333005135E-2</v>
      </c>
      <c r="N370" s="327">
        <f t="shared" si="234"/>
        <v>2.1981838457272966E-2</v>
      </c>
      <c r="O370" s="327">
        <f t="shared" si="234"/>
        <v>2.3694781802410692E-2</v>
      </c>
      <c r="P370" s="327">
        <f t="shared" si="234"/>
        <v>2.5445093487479479E-2</v>
      </c>
      <c r="Q370" s="327">
        <f t="shared" si="234"/>
        <v>2.7231325285274256E-2</v>
      </c>
      <c r="R370" s="327">
        <f t="shared" si="234"/>
        <v>2.905199762232372E-2</v>
      </c>
      <c r="S370" s="327">
        <f t="shared" si="234"/>
        <v>3.0905599578890351E-2</v>
      </c>
      <c r="T370" s="327">
        <f t="shared" si="234"/>
        <v>3.2790588888970414E-2</v>
      </c>
      <c r="U370" s="327">
        <f t="shared" si="234"/>
        <v>3.4705391940293893E-2</v>
      </c>
      <c r="V370" s="327">
        <f t="shared" si="234"/>
        <v>3.6648403774324587E-2</v>
      </c>
      <c r="W370" s="327">
        <f t="shared" si="234"/>
        <v>3.8617988086260047E-2</v>
      </c>
      <c r="X370" s="327">
        <f t="shared" si="234"/>
        <v>4.1632470531806902E-2</v>
      </c>
      <c r="Y370" s="327">
        <f t="shared" si="234"/>
        <v>4.4694492720111348E-2</v>
      </c>
      <c r="Z370" s="327">
        <f t="shared" si="234"/>
        <v>4.7801295593939176E-2</v>
      </c>
      <c r="AA370" s="327">
        <f t="shared" si="234"/>
        <v>5.0950067647971789E-2</v>
      </c>
      <c r="AB370" s="327">
        <f t="shared" si="234"/>
        <v>5.4137944928806254E-2</v>
      </c>
      <c r="AC370" s="327">
        <f t="shared" si="234"/>
        <v>5.7362011034955314E-2</v>
      </c>
      <c r="AD370" s="327">
        <f t="shared" si="234"/>
        <v>6.0619297116847333E-2</v>
      </c>
      <c r="AE370" s="327">
        <f t="shared" si="234"/>
        <v>6.3906781876826357E-2</v>
      </c>
      <c r="AF370" s="327">
        <f t="shared" si="234"/>
        <v>6.7221391569152106E-2</v>
      </c>
      <c r="AG370" s="327">
        <f t="shared" si="234"/>
        <v>7.0559999999999984E-2</v>
      </c>
      <c r="AJ370" s="325"/>
    </row>
    <row r="371" spans="1:36" s="230" customFormat="1">
      <c r="A371" s="230" t="s">
        <v>1414</v>
      </c>
      <c r="B371" s="324" t="s">
        <v>704</v>
      </c>
      <c r="C371" s="327">
        <f>C291*C289*C200</f>
        <v>4.0458599999999997E-2</v>
      </c>
      <c r="D371" s="327">
        <f t="shared" ref="D371:AG371" si="235">D291*D289*D200</f>
        <v>4.1664174168814197E-2</v>
      </c>
      <c r="E371" s="327">
        <f t="shared" si="235"/>
        <v>4.282556817501524E-2</v>
      </c>
      <c r="F371" s="327">
        <f t="shared" si="235"/>
        <v>4.3942812914084431E-2</v>
      </c>
      <c r="G371" s="327">
        <f t="shared" si="235"/>
        <v>4.501595415381919E-2</v>
      </c>
      <c r="H371" s="327">
        <f t="shared" si="235"/>
        <v>4.6045052534332997E-2</v>
      </c>
      <c r="I371" s="327">
        <f t="shared" si="235"/>
        <v>4.7030183568055488E-2</v>
      </c>
      <c r="J371" s="327">
        <f t="shared" si="235"/>
        <v>4.7971437639732321E-2</v>
      </c>
      <c r="K371" s="327">
        <f t="shared" si="235"/>
        <v>4.886892000642528E-2</v>
      </c>
      <c r="L371" s="327">
        <f t="shared" si="235"/>
        <v>4.9722750797512254E-2</v>
      </c>
      <c r="M371" s="327">
        <f t="shared" si="235"/>
        <v>5.0533065014687212E-2</v>
      </c>
      <c r="N371" s="327">
        <f t="shared" si="235"/>
        <v>5.2956247192521268E-2</v>
      </c>
      <c r="O371" s="327">
        <f t="shared" si="235"/>
        <v>5.5287824205624975E-2</v>
      </c>
      <c r="P371" s="327">
        <f t="shared" si="235"/>
        <v>5.7528037449953634E-2</v>
      </c>
      <c r="Q371" s="327">
        <f t="shared" si="235"/>
        <v>5.9677159667728727E-2</v>
      </c>
      <c r="R371" s="327">
        <f t="shared" si="235"/>
        <v>6.1735494947437956E-2</v>
      </c>
      <c r="S371" s="327">
        <f t="shared" si="235"/>
        <v>6.3703378723835274E-2</v>
      </c>
      <c r="T371" s="327">
        <f t="shared" si="235"/>
        <v>6.5581177777940883E-2</v>
      </c>
      <c r="U371" s="327">
        <f t="shared" si="235"/>
        <v>6.7369290237041135E-2</v>
      </c>
      <c r="V371" s="327">
        <f t="shared" si="235"/>
        <v>6.9068145574688711E-2</v>
      </c>
      <c r="W371" s="327">
        <f t="shared" si="235"/>
        <v>7.0678204610702441E-2</v>
      </c>
      <c r="X371" s="327">
        <f t="shared" si="235"/>
        <v>7.4013280945434551E-2</v>
      </c>
      <c r="Y371" s="327">
        <f t="shared" si="235"/>
        <v>7.7199578334737867E-2</v>
      </c>
      <c r="Z371" s="327">
        <f t="shared" si="235"/>
        <v>8.023788903268371E-2</v>
      </c>
      <c r="AA371" s="327">
        <f t="shared" si="235"/>
        <v>8.3129057741427773E-2</v>
      </c>
      <c r="AB371" s="327">
        <f t="shared" si="235"/>
        <v>8.5873981611210029E-2</v>
      </c>
      <c r="AC371" s="327">
        <f t="shared" si="235"/>
        <v>8.8473610240354911E-2</v>
      </c>
      <c r="AD371" s="327">
        <f t="shared" si="235"/>
        <v>9.0928945675271114E-2</v>
      </c>
      <c r="AE371" s="327">
        <f t="shared" si="235"/>
        <v>9.3241042410451724E-2</v>
      </c>
      <c r="AF371" s="327">
        <f t="shared" si="235"/>
        <v>9.5411007388474092E-2</v>
      </c>
      <c r="AG371" s="327">
        <f t="shared" si="235"/>
        <v>9.7440000000000013E-2</v>
      </c>
      <c r="AJ371" s="325"/>
    </row>
    <row r="372" spans="1:36" s="230" customFormat="1">
      <c r="B372" s="324"/>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c r="AA372" s="317"/>
      <c r="AB372" s="317"/>
      <c r="AC372" s="317"/>
      <c r="AD372" s="317"/>
      <c r="AE372" s="317"/>
      <c r="AF372" s="317"/>
      <c r="AG372" s="317"/>
      <c r="AJ372" s="325"/>
    </row>
    <row r="373" spans="1:36" s="230" customFormat="1">
      <c r="A373" s="351" t="s">
        <v>233</v>
      </c>
      <c r="B373" s="352" t="s">
        <v>704</v>
      </c>
      <c r="C373" s="304">
        <f>C351-C364-C366</f>
        <v>5.2955726726823178</v>
      </c>
      <c r="D373" s="353">
        <f t="shared" ref="D373:AG373" si="236">D351-D364-D366</f>
        <v>5.9223605843914164</v>
      </c>
      <c r="E373" s="353">
        <f t="shared" si="236"/>
        <v>6.4624701379014109</v>
      </c>
      <c r="F373" s="353">
        <f t="shared" si="236"/>
        <v>7.0088147250323782</v>
      </c>
      <c r="G373" s="353">
        <f t="shared" si="236"/>
        <v>7.5575540660055269</v>
      </c>
      <c r="H373" s="353">
        <f t="shared" si="236"/>
        <v>8.1045788651076585</v>
      </c>
      <c r="I373" s="353">
        <f t="shared" si="236"/>
        <v>8.6641302711224011</v>
      </c>
      <c r="J373" s="353">
        <f t="shared" si="236"/>
        <v>9.2349298679337899</v>
      </c>
      <c r="K373" s="353">
        <f t="shared" si="236"/>
        <v>9.8150425576898357</v>
      </c>
      <c r="L373" s="353">
        <f t="shared" si="236"/>
        <v>10.401426700039673</v>
      </c>
      <c r="M373" s="353">
        <f t="shared" si="236"/>
        <v>10.98912063278412</v>
      </c>
      <c r="N373" s="353">
        <f t="shared" si="236"/>
        <v>11.110099814386173</v>
      </c>
      <c r="O373" s="353">
        <f t="shared" si="236"/>
        <v>11.17893617459422</v>
      </c>
      <c r="P373" s="353">
        <f t="shared" si="236"/>
        <v>11.187781152879989</v>
      </c>
      <c r="Q373" s="353">
        <f t="shared" si="236"/>
        <v>11.127976045581187</v>
      </c>
      <c r="R373" s="353">
        <f t="shared" si="236"/>
        <v>10.996980396258349</v>
      </c>
      <c r="S373" s="353">
        <f t="shared" si="236"/>
        <v>10.819421624045827</v>
      </c>
      <c r="T373" s="353">
        <f t="shared" si="236"/>
        <v>10.605901419746809</v>
      </c>
      <c r="U373" s="353">
        <f t="shared" si="236"/>
        <v>10.370362649682834</v>
      </c>
      <c r="V373" s="353">
        <f t="shared" si="236"/>
        <v>10.125715079342376</v>
      </c>
      <c r="W373" s="353">
        <f t="shared" si="236"/>
        <v>9.8806385903563889</v>
      </c>
      <c r="X373" s="353">
        <f t="shared" si="236"/>
        <v>9.0337695208072439</v>
      </c>
      <c r="Y373" s="353">
        <f t="shared" si="236"/>
        <v>9.3273225063201846</v>
      </c>
      <c r="Z373" s="353">
        <f t="shared" si="236"/>
        <v>9.7151915357338456</v>
      </c>
      <c r="AA373" s="353">
        <f t="shared" si="236"/>
        <v>10.084779476729912</v>
      </c>
      <c r="AB373" s="353">
        <f t="shared" si="236"/>
        <v>10.426446873147686</v>
      </c>
      <c r="AC373" s="353">
        <f t="shared" si="236"/>
        <v>10.726126335734495</v>
      </c>
      <c r="AD373" s="353">
        <f t="shared" si="236"/>
        <v>10.965653938371332</v>
      </c>
      <c r="AE373" s="353">
        <f t="shared" si="236"/>
        <v>11.125483719980735</v>
      </c>
      <c r="AF373" s="353">
        <f t="shared" si="236"/>
        <v>11.190225098020049</v>
      </c>
      <c r="AG373" s="354">
        <f t="shared" si="236"/>
        <v>11.155897913939327</v>
      </c>
      <c r="AI373" s="230" t="s">
        <v>1415</v>
      </c>
      <c r="AJ373" s="325"/>
    </row>
    <row r="374" spans="1:36" s="230" customFormat="1">
      <c r="A374" s="355" t="s">
        <v>234</v>
      </c>
      <c r="B374" s="356" t="s">
        <v>704</v>
      </c>
      <c r="C374" s="357">
        <f>C352+C373</f>
        <v>53.295119039485314</v>
      </c>
      <c r="D374" s="357">
        <f t="shared" ref="D374:AG374" si="237">D352+D373</f>
        <v>55.135376068632269</v>
      </c>
      <c r="E374" s="357">
        <f t="shared" si="237"/>
        <v>56.78235866719546</v>
      </c>
      <c r="F374" s="357">
        <f t="shared" si="237"/>
        <v>58.320532717602575</v>
      </c>
      <c r="G374" s="357">
        <f t="shared" si="237"/>
        <v>59.738382746566081</v>
      </c>
      <c r="H374" s="357">
        <f t="shared" si="237"/>
        <v>61.024995410050678</v>
      </c>
      <c r="I374" s="357">
        <f t="shared" si="237"/>
        <v>62.304244603034896</v>
      </c>
      <c r="J374" s="357">
        <f t="shared" si="237"/>
        <v>63.573673638337866</v>
      </c>
      <c r="K374" s="357">
        <f t="shared" si="237"/>
        <v>64.83018444108086</v>
      </c>
      <c r="L374" s="357">
        <f t="shared" si="237"/>
        <v>66.069590634159908</v>
      </c>
      <c r="M374" s="357">
        <f t="shared" si="237"/>
        <v>67.285807012162181</v>
      </c>
      <c r="N374" s="357">
        <f t="shared" si="237"/>
        <v>67.928298204566943</v>
      </c>
      <c r="O374" s="357">
        <f t="shared" si="237"/>
        <v>68.408252560261644</v>
      </c>
      <c r="P374" s="357">
        <f t="shared" si="237"/>
        <v>68.719332763601983</v>
      </c>
      <c r="Q374" s="357">
        <f t="shared" si="237"/>
        <v>68.846549482721585</v>
      </c>
      <c r="R374" s="357">
        <f t="shared" si="237"/>
        <v>68.785927323511601</v>
      </c>
      <c r="S374" s="357">
        <f t="shared" si="237"/>
        <v>68.665391690354554</v>
      </c>
      <c r="T374" s="357">
        <f t="shared" si="237"/>
        <v>68.495419181042891</v>
      </c>
      <c r="U374" s="357">
        <f t="shared" si="237"/>
        <v>68.289834397842824</v>
      </c>
      <c r="V374" s="357">
        <f t="shared" si="237"/>
        <v>68.061435835350096</v>
      </c>
      <c r="W374" s="357">
        <f t="shared" si="237"/>
        <v>67.818799257639412</v>
      </c>
      <c r="X374" s="357">
        <f t="shared" si="237"/>
        <v>66.961102222970666</v>
      </c>
      <c r="Y374" s="357">
        <f t="shared" si="237"/>
        <v>65.888195256935532</v>
      </c>
      <c r="Z374" s="357">
        <f t="shared" si="237"/>
        <v>64.745387366154446</v>
      </c>
      <c r="AA374" s="357">
        <f t="shared" si="237"/>
        <v>63.535033070478903</v>
      </c>
      <c r="AB374" s="357">
        <f t="shared" si="237"/>
        <v>62.246463053265174</v>
      </c>
      <c r="AC374" s="357">
        <f t="shared" si="237"/>
        <v>60.865067962908924</v>
      </c>
      <c r="AD374" s="357">
        <f t="shared" si="237"/>
        <v>59.371633899288952</v>
      </c>
      <c r="AE374" s="357">
        <f t="shared" si="237"/>
        <v>57.745577303547854</v>
      </c>
      <c r="AF374" s="357">
        <f t="shared" si="237"/>
        <v>55.970483117736123</v>
      </c>
      <c r="AG374" s="358">
        <f t="shared" si="237"/>
        <v>54.041360579780019</v>
      </c>
      <c r="AI374" s="230" t="s">
        <v>1416</v>
      </c>
      <c r="AJ374" s="325"/>
    </row>
    <row r="375" spans="1:36" s="230" customFormat="1">
      <c r="A375" s="433"/>
      <c r="B375" s="434"/>
      <c r="C375" s="433"/>
      <c r="D375" s="43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c r="AA375" s="433"/>
      <c r="AB375" s="433"/>
      <c r="AC375" s="433"/>
      <c r="AD375" s="433"/>
      <c r="AE375" s="433"/>
      <c r="AF375" s="433"/>
      <c r="AG375" s="433"/>
      <c r="AJ375" s="325"/>
    </row>
    <row r="376" spans="1:36">
      <c r="B376" s="1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I376" s="23"/>
    </row>
    <row r="377" spans="1:36">
      <c r="B377" s="1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c r="AF377" s="230"/>
      <c r="AG377" s="230"/>
      <c r="AI377" s="214"/>
    </row>
  </sheetData>
  <mergeCells count="5">
    <mergeCell ref="BD126:BE126"/>
    <mergeCell ref="BD131:BE131"/>
    <mergeCell ref="BD136:BE136"/>
    <mergeCell ref="BD144:BE144"/>
    <mergeCell ref="AI344:AI352"/>
  </mergeCells>
  <hyperlinks>
    <hyperlink ref="AJ130" r:id="rId1" xr:uid="{E33DF46D-C9BC-4BA0-9DE5-BD81EE35E8EB}"/>
    <hyperlink ref="AJ131" r:id="rId2" xr:uid="{83873675-651C-4A59-B152-3B0208BAF631}"/>
  </hyperlinks>
  <pageMargins left="0.7" right="0.7" top="0.75" bottom="0.75" header="0.3" footer="0.3"/>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22ECF-7E8F-4C61-8BE1-3057FBEBDEC7}">
  <sheetPr>
    <tabColor theme="4"/>
  </sheetPr>
  <dimension ref="A1:BL265"/>
  <sheetViews>
    <sheetView zoomScale="70" zoomScaleNormal="70" workbookViewId="0">
      <pane xSplit="2" ySplit="6" topLeftCell="C152" activePane="bottomRight" state="frozen"/>
      <selection pane="topRight" activeCell="C1" sqref="C1"/>
      <selection pane="bottomLeft" activeCell="A4" sqref="A4"/>
      <selection pane="bottomRight" activeCell="A156" sqref="A156"/>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1652</v>
      </c>
      <c r="B21" s="54" t="s">
        <v>462</v>
      </c>
      <c r="C21" s="159">
        <f>'Overall recycling rates'!I76</f>
        <v>1.0476241033911266E-3</v>
      </c>
      <c r="D21" s="159">
        <f>C21</f>
        <v>1.0476241033911266E-3</v>
      </c>
      <c r="E21" s="159">
        <f t="shared" ref="E21:T21" si="10">D21</f>
        <v>1.0476241033911266E-3</v>
      </c>
      <c r="F21" s="159">
        <f t="shared" si="10"/>
        <v>1.0476241033911266E-3</v>
      </c>
      <c r="G21" s="159">
        <f t="shared" si="10"/>
        <v>1.0476241033911266E-3</v>
      </c>
      <c r="H21" s="159">
        <f t="shared" si="10"/>
        <v>1.0476241033911266E-3</v>
      </c>
      <c r="I21" s="159">
        <f t="shared" si="10"/>
        <v>1.0476241033911266E-3</v>
      </c>
      <c r="J21" s="159">
        <f t="shared" si="10"/>
        <v>1.0476241033911266E-3</v>
      </c>
      <c r="K21" s="159">
        <f t="shared" si="10"/>
        <v>1.0476241033911266E-3</v>
      </c>
      <c r="L21" s="159">
        <f t="shared" si="10"/>
        <v>1.0476241033911266E-3</v>
      </c>
      <c r="M21" s="159">
        <f t="shared" si="10"/>
        <v>1.0476241033911266E-3</v>
      </c>
      <c r="N21" s="159">
        <f t="shared" si="10"/>
        <v>1.0476241033911266E-3</v>
      </c>
      <c r="O21" s="159">
        <f t="shared" si="10"/>
        <v>1.0476241033911266E-3</v>
      </c>
      <c r="P21" s="159">
        <f t="shared" si="10"/>
        <v>1.0476241033911266E-3</v>
      </c>
      <c r="Q21" s="159">
        <f t="shared" si="10"/>
        <v>1.0476241033911266E-3</v>
      </c>
      <c r="R21" s="159">
        <f t="shared" si="10"/>
        <v>1.0476241033911266E-3</v>
      </c>
      <c r="S21" s="159">
        <f t="shared" si="10"/>
        <v>1.0476241033911266E-3</v>
      </c>
      <c r="T21" s="159">
        <f t="shared" si="10"/>
        <v>1.0476241033911266E-3</v>
      </c>
      <c r="U21" s="159">
        <f t="shared" ref="T21:AG25" si="11">T21</f>
        <v>1.0476241033911266E-3</v>
      </c>
      <c r="V21" s="159">
        <f t="shared" si="11"/>
        <v>1.0476241033911266E-3</v>
      </c>
      <c r="W21" s="159">
        <f t="shared" si="11"/>
        <v>1.0476241033911266E-3</v>
      </c>
      <c r="X21" s="159">
        <f t="shared" si="11"/>
        <v>1.0476241033911266E-3</v>
      </c>
      <c r="Y21" s="159">
        <f t="shared" si="11"/>
        <v>1.0476241033911266E-3</v>
      </c>
      <c r="Z21" s="159">
        <f t="shared" si="11"/>
        <v>1.0476241033911266E-3</v>
      </c>
      <c r="AA21" s="159">
        <f t="shared" si="11"/>
        <v>1.0476241033911266E-3</v>
      </c>
      <c r="AB21" s="159">
        <f t="shared" si="11"/>
        <v>1.0476241033911266E-3</v>
      </c>
      <c r="AC21" s="159">
        <f t="shared" si="11"/>
        <v>1.0476241033911266E-3</v>
      </c>
      <c r="AD21" s="159">
        <f t="shared" si="11"/>
        <v>1.0476241033911266E-3</v>
      </c>
      <c r="AE21" s="159">
        <f t="shared" si="11"/>
        <v>1.0476241033911266E-3</v>
      </c>
      <c r="AF21" s="159">
        <f t="shared" si="11"/>
        <v>1.0476241033911266E-3</v>
      </c>
      <c r="AG21" s="159">
        <f>AF21</f>
        <v>1.0476241033911266E-3</v>
      </c>
      <c r="AI21" s="54" t="s">
        <v>1263</v>
      </c>
      <c r="AJ21" s="211"/>
      <c r="AM21" s="115"/>
      <c r="AN21" s="115"/>
      <c r="AO21" s="115"/>
      <c r="AP21" s="115"/>
      <c r="AQ21" s="115"/>
    </row>
    <row r="22" spans="1:64" outlineLevel="1">
      <c r="A22" t="s">
        <v>1653</v>
      </c>
      <c r="B22" s="54" t="s">
        <v>462</v>
      </c>
      <c r="C22" s="159">
        <f>'Overall recycling rates'!I78</f>
        <v>0.16227944004324302</v>
      </c>
      <c r="D22" s="159">
        <f t="shared" ref="D22:S25" si="12">C22</f>
        <v>0.16227944004324302</v>
      </c>
      <c r="E22" s="159">
        <f t="shared" si="12"/>
        <v>0.16227944004324302</v>
      </c>
      <c r="F22" s="159">
        <f t="shared" si="12"/>
        <v>0.16227944004324302</v>
      </c>
      <c r="G22" s="159">
        <f t="shared" si="12"/>
        <v>0.16227944004324302</v>
      </c>
      <c r="H22" s="159">
        <f t="shared" si="12"/>
        <v>0.16227944004324302</v>
      </c>
      <c r="I22" s="159">
        <f t="shared" si="12"/>
        <v>0.16227944004324302</v>
      </c>
      <c r="J22" s="159">
        <f t="shared" si="12"/>
        <v>0.16227944004324302</v>
      </c>
      <c r="K22" s="159">
        <f t="shared" si="12"/>
        <v>0.16227944004324302</v>
      </c>
      <c r="L22" s="159">
        <f t="shared" si="12"/>
        <v>0.16227944004324302</v>
      </c>
      <c r="M22" s="159">
        <f t="shared" si="12"/>
        <v>0.16227944004324302</v>
      </c>
      <c r="N22" s="159">
        <f t="shared" si="12"/>
        <v>0.16227944004324302</v>
      </c>
      <c r="O22" s="159">
        <f t="shared" si="12"/>
        <v>0.16227944004324302</v>
      </c>
      <c r="P22" s="159">
        <f t="shared" si="12"/>
        <v>0.16227944004324302</v>
      </c>
      <c r="Q22" s="159">
        <f t="shared" si="12"/>
        <v>0.16227944004324302</v>
      </c>
      <c r="R22" s="159">
        <f t="shared" si="12"/>
        <v>0.16227944004324302</v>
      </c>
      <c r="S22" s="159">
        <f t="shared" si="12"/>
        <v>0.16227944004324302</v>
      </c>
      <c r="T22" s="159">
        <f t="shared" si="11"/>
        <v>0.16227944004324302</v>
      </c>
      <c r="U22" s="159">
        <f t="shared" si="11"/>
        <v>0.16227944004324302</v>
      </c>
      <c r="V22" s="159">
        <f t="shared" si="11"/>
        <v>0.16227944004324302</v>
      </c>
      <c r="W22" s="159">
        <f t="shared" si="11"/>
        <v>0.16227944004324302</v>
      </c>
      <c r="X22" s="159">
        <f t="shared" si="11"/>
        <v>0.16227944004324302</v>
      </c>
      <c r="Y22" s="159">
        <f t="shared" si="11"/>
        <v>0.16227944004324302</v>
      </c>
      <c r="Z22" s="159">
        <f t="shared" si="11"/>
        <v>0.16227944004324302</v>
      </c>
      <c r="AA22" s="159">
        <f t="shared" si="11"/>
        <v>0.16227944004324302</v>
      </c>
      <c r="AB22" s="159">
        <f t="shared" si="11"/>
        <v>0.16227944004324302</v>
      </c>
      <c r="AC22" s="159">
        <f t="shared" si="11"/>
        <v>0.16227944004324302</v>
      </c>
      <c r="AD22" s="159">
        <f t="shared" si="11"/>
        <v>0.16227944004324302</v>
      </c>
      <c r="AE22" s="159">
        <f t="shared" si="11"/>
        <v>0.16227944004324302</v>
      </c>
      <c r="AF22" s="159">
        <f t="shared" si="11"/>
        <v>0.16227944004324302</v>
      </c>
      <c r="AG22" s="159">
        <f t="shared" si="11"/>
        <v>0.16227944004324302</v>
      </c>
      <c r="AI22" s="54" t="s">
        <v>1263</v>
      </c>
      <c r="AJ22" s="211"/>
      <c r="AM22" s="120"/>
      <c r="AN22" s="115"/>
      <c r="AO22" s="116"/>
      <c r="AP22" s="117"/>
      <c r="AQ22" s="116"/>
    </row>
    <row r="23" spans="1:64" outlineLevel="1">
      <c r="A23" t="s">
        <v>1654</v>
      </c>
      <c r="B23" s="54" t="s">
        <v>462</v>
      </c>
      <c r="C23" s="159">
        <f>'Overall recycling rates'!I77</f>
        <v>4.6533696757873619E-3</v>
      </c>
      <c r="D23" s="159">
        <f t="shared" si="12"/>
        <v>4.6533696757873619E-3</v>
      </c>
      <c r="E23" s="159">
        <f t="shared" si="12"/>
        <v>4.6533696757873619E-3</v>
      </c>
      <c r="F23" s="159">
        <f t="shared" si="12"/>
        <v>4.6533696757873619E-3</v>
      </c>
      <c r="G23" s="159">
        <f t="shared" si="12"/>
        <v>4.6533696757873619E-3</v>
      </c>
      <c r="H23" s="159">
        <f t="shared" si="12"/>
        <v>4.6533696757873619E-3</v>
      </c>
      <c r="I23" s="159">
        <f t="shared" si="12"/>
        <v>4.6533696757873619E-3</v>
      </c>
      <c r="J23" s="159">
        <f t="shared" si="12"/>
        <v>4.6533696757873619E-3</v>
      </c>
      <c r="K23" s="159">
        <f t="shared" si="12"/>
        <v>4.6533696757873619E-3</v>
      </c>
      <c r="L23" s="159">
        <f t="shared" si="12"/>
        <v>4.6533696757873619E-3</v>
      </c>
      <c r="M23" s="159">
        <f t="shared" si="12"/>
        <v>4.6533696757873619E-3</v>
      </c>
      <c r="N23" s="159">
        <f t="shared" si="12"/>
        <v>4.6533696757873619E-3</v>
      </c>
      <c r="O23" s="159">
        <f t="shared" si="12"/>
        <v>4.6533696757873619E-3</v>
      </c>
      <c r="P23" s="159">
        <f t="shared" si="12"/>
        <v>4.6533696757873619E-3</v>
      </c>
      <c r="Q23" s="159">
        <f t="shared" si="12"/>
        <v>4.6533696757873619E-3</v>
      </c>
      <c r="R23" s="159">
        <f t="shared" si="12"/>
        <v>4.6533696757873619E-3</v>
      </c>
      <c r="S23" s="159">
        <f t="shared" si="12"/>
        <v>4.6533696757873619E-3</v>
      </c>
      <c r="T23" s="159">
        <f t="shared" si="11"/>
        <v>4.6533696757873619E-3</v>
      </c>
      <c r="U23" s="159">
        <f t="shared" si="11"/>
        <v>4.6533696757873619E-3</v>
      </c>
      <c r="V23" s="159">
        <f t="shared" si="11"/>
        <v>4.6533696757873619E-3</v>
      </c>
      <c r="W23" s="159">
        <f t="shared" si="11"/>
        <v>4.6533696757873619E-3</v>
      </c>
      <c r="X23" s="159">
        <f t="shared" si="11"/>
        <v>4.6533696757873619E-3</v>
      </c>
      <c r="Y23" s="159">
        <f t="shared" si="11"/>
        <v>4.6533696757873619E-3</v>
      </c>
      <c r="Z23" s="159">
        <f t="shared" si="11"/>
        <v>4.6533696757873619E-3</v>
      </c>
      <c r="AA23" s="159">
        <f t="shared" si="11"/>
        <v>4.6533696757873619E-3</v>
      </c>
      <c r="AB23" s="159">
        <f t="shared" si="11"/>
        <v>4.6533696757873619E-3</v>
      </c>
      <c r="AC23" s="159">
        <f t="shared" si="11"/>
        <v>4.6533696757873619E-3</v>
      </c>
      <c r="AD23" s="159">
        <f t="shared" si="11"/>
        <v>4.6533696757873619E-3</v>
      </c>
      <c r="AE23" s="159">
        <f t="shared" si="11"/>
        <v>4.6533696757873619E-3</v>
      </c>
      <c r="AF23" s="159">
        <f t="shared" si="11"/>
        <v>4.6533696757873619E-3</v>
      </c>
      <c r="AG23" s="159">
        <f t="shared" si="11"/>
        <v>4.6533696757873619E-3</v>
      </c>
      <c r="AI23" s="54" t="s">
        <v>1263</v>
      </c>
      <c r="AJ23" s="211"/>
      <c r="AM23" s="120"/>
      <c r="AN23" s="115"/>
      <c r="AO23" s="116"/>
      <c r="AP23" s="117"/>
      <c r="AQ23" s="116"/>
    </row>
    <row r="24" spans="1:64" outlineLevel="1">
      <c r="A24" t="s">
        <v>1655</v>
      </c>
      <c r="B24" s="54" t="s">
        <v>462</v>
      </c>
      <c r="C24" s="159">
        <f>'Overall recycling rates'!I79</f>
        <v>3.9083279961407251E-3</v>
      </c>
      <c r="D24" s="159">
        <f t="shared" si="12"/>
        <v>3.9083279961407251E-3</v>
      </c>
      <c r="E24" s="159">
        <f t="shared" si="12"/>
        <v>3.9083279961407251E-3</v>
      </c>
      <c r="F24" s="159">
        <f t="shared" si="12"/>
        <v>3.9083279961407251E-3</v>
      </c>
      <c r="G24" s="159">
        <f t="shared" si="12"/>
        <v>3.9083279961407251E-3</v>
      </c>
      <c r="H24" s="159">
        <f t="shared" si="12"/>
        <v>3.9083279961407251E-3</v>
      </c>
      <c r="I24" s="159">
        <f t="shared" si="12"/>
        <v>3.9083279961407251E-3</v>
      </c>
      <c r="J24" s="159">
        <f t="shared" si="12"/>
        <v>3.9083279961407251E-3</v>
      </c>
      <c r="K24" s="159">
        <f t="shared" si="12"/>
        <v>3.9083279961407251E-3</v>
      </c>
      <c r="L24" s="159">
        <f t="shared" si="12"/>
        <v>3.9083279961407251E-3</v>
      </c>
      <c r="M24" s="159">
        <f t="shared" si="12"/>
        <v>3.9083279961407251E-3</v>
      </c>
      <c r="N24" s="159">
        <f t="shared" si="12"/>
        <v>3.9083279961407251E-3</v>
      </c>
      <c r="O24" s="159">
        <f t="shared" si="12"/>
        <v>3.9083279961407251E-3</v>
      </c>
      <c r="P24" s="159">
        <f t="shared" si="12"/>
        <v>3.9083279961407251E-3</v>
      </c>
      <c r="Q24" s="159">
        <f t="shared" si="12"/>
        <v>3.9083279961407251E-3</v>
      </c>
      <c r="R24" s="159">
        <f t="shared" si="12"/>
        <v>3.9083279961407251E-3</v>
      </c>
      <c r="S24" s="159">
        <f t="shared" si="12"/>
        <v>3.9083279961407251E-3</v>
      </c>
      <c r="T24" s="159">
        <f t="shared" si="11"/>
        <v>3.9083279961407251E-3</v>
      </c>
      <c r="U24" s="159">
        <f t="shared" si="11"/>
        <v>3.9083279961407251E-3</v>
      </c>
      <c r="V24" s="159">
        <f t="shared" si="11"/>
        <v>3.9083279961407251E-3</v>
      </c>
      <c r="W24" s="159">
        <f t="shared" si="11"/>
        <v>3.9083279961407251E-3</v>
      </c>
      <c r="X24" s="159">
        <f t="shared" si="11"/>
        <v>3.9083279961407251E-3</v>
      </c>
      <c r="Y24" s="159">
        <f t="shared" si="11"/>
        <v>3.9083279961407251E-3</v>
      </c>
      <c r="Z24" s="159">
        <f t="shared" si="11"/>
        <v>3.9083279961407251E-3</v>
      </c>
      <c r="AA24" s="159">
        <f t="shared" si="11"/>
        <v>3.9083279961407251E-3</v>
      </c>
      <c r="AB24" s="159">
        <f t="shared" si="11"/>
        <v>3.9083279961407251E-3</v>
      </c>
      <c r="AC24" s="159">
        <f t="shared" si="11"/>
        <v>3.9083279961407251E-3</v>
      </c>
      <c r="AD24" s="159">
        <f t="shared" si="11"/>
        <v>3.9083279961407251E-3</v>
      </c>
      <c r="AE24" s="159">
        <f t="shared" si="11"/>
        <v>3.9083279961407251E-3</v>
      </c>
      <c r="AF24" s="159">
        <f t="shared" si="11"/>
        <v>3.9083279961407251E-3</v>
      </c>
      <c r="AG24" s="159">
        <f t="shared" si="11"/>
        <v>3.9083279961407251E-3</v>
      </c>
      <c r="AI24" s="54" t="s">
        <v>1263</v>
      </c>
      <c r="AJ24" s="211"/>
      <c r="AM24" s="120"/>
      <c r="AN24" s="115"/>
      <c r="AO24" s="477"/>
      <c r="AP24" s="478"/>
      <c r="AQ24" s="477"/>
    </row>
    <row r="25" spans="1:64" outlineLevel="1">
      <c r="A25" t="s">
        <v>1656</v>
      </c>
      <c r="B25" s="54" t="s">
        <v>462</v>
      </c>
      <c r="C25" s="159">
        <f>'Overall recycling rates'!I80</f>
        <v>2.8150027488846749E-2</v>
      </c>
      <c r="D25" s="159">
        <f>C25</f>
        <v>2.8150027488846749E-2</v>
      </c>
      <c r="E25" s="159">
        <f t="shared" si="12"/>
        <v>2.8150027488846749E-2</v>
      </c>
      <c r="F25" s="159">
        <f t="shared" si="12"/>
        <v>2.8150027488846749E-2</v>
      </c>
      <c r="G25" s="159">
        <f t="shared" si="12"/>
        <v>2.8150027488846749E-2</v>
      </c>
      <c r="H25" s="159">
        <f t="shared" si="12"/>
        <v>2.8150027488846749E-2</v>
      </c>
      <c r="I25" s="159">
        <f t="shared" si="12"/>
        <v>2.8150027488846749E-2</v>
      </c>
      <c r="J25" s="159">
        <f t="shared" si="12"/>
        <v>2.8150027488846749E-2</v>
      </c>
      <c r="K25" s="159">
        <f t="shared" si="12"/>
        <v>2.8150027488846749E-2</v>
      </c>
      <c r="L25" s="159">
        <f t="shared" si="12"/>
        <v>2.8150027488846749E-2</v>
      </c>
      <c r="M25" s="159">
        <f t="shared" si="12"/>
        <v>2.8150027488846749E-2</v>
      </c>
      <c r="N25" s="159">
        <f t="shared" si="12"/>
        <v>2.8150027488846749E-2</v>
      </c>
      <c r="O25" s="159">
        <f t="shared" si="12"/>
        <v>2.8150027488846749E-2</v>
      </c>
      <c r="P25" s="159">
        <f t="shared" si="12"/>
        <v>2.8150027488846749E-2</v>
      </c>
      <c r="Q25" s="159">
        <f t="shared" si="12"/>
        <v>2.8150027488846749E-2</v>
      </c>
      <c r="R25" s="159">
        <f t="shared" si="12"/>
        <v>2.8150027488846749E-2</v>
      </c>
      <c r="S25" s="159">
        <f t="shared" si="12"/>
        <v>2.8150027488846749E-2</v>
      </c>
      <c r="T25" s="159">
        <f t="shared" si="11"/>
        <v>2.8150027488846749E-2</v>
      </c>
      <c r="U25" s="159">
        <f t="shared" si="11"/>
        <v>2.8150027488846749E-2</v>
      </c>
      <c r="V25" s="159">
        <f t="shared" si="11"/>
        <v>2.8150027488846749E-2</v>
      </c>
      <c r="W25" s="159">
        <f t="shared" si="11"/>
        <v>2.8150027488846749E-2</v>
      </c>
      <c r="X25" s="159">
        <f t="shared" si="11"/>
        <v>2.8150027488846749E-2</v>
      </c>
      <c r="Y25" s="159">
        <f t="shared" si="11"/>
        <v>2.8150027488846749E-2</v>
      </c>
      <c r="Z25" s="159">
        <f t="shared" si="11"/>
        <v>2.8150027488846749E-2</v>
      </c>
      <c r="AA25" s="159">
        <f t="shared" si="11"/>
        <v>2.8150027488846749E-2</v>
      </c>
      <c r="AB25" s="159">
        <f t="shared" si="11"/>
        <v>2.8150027488846749E-2</v>
      </c>
      <c r="AC25" s="159">
        <f t="shared" si="11"/>
        <v>2.8150027488846749E-2</v>
      </c>
      <c r="AD25" s="159">
        <f t="shared" si="11"/>
        <v>2.8150027488846749E-2</v>
      </c>
      <c r="AE25" s="159">
        <f t="shared" si="11"/>
        <v>2.8150027488846749E-2</v>
      </c>
      <c r="AF25" s="159">
        <f t="shared" si="11"/>
        <v>2.8150027488846749E-2</v>
      </c>
      <c r="AG25" s="159">
        <f t="shared" si="11"/>
        <v>2.8150027488846749E-2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1657</v>
      </c>
      <c r="B27" s="54" t="s">
        <v>1658</v>
      </c>
      <c r="C27" s="204">
        <f>C14*C21</f>
        <v>0.20115072098267078</v>
      </c>
      <c r="D27" s="204">
        <f t="shared" ref="D27:AG27" si="13">D14*D21</f>
        <v>0.20789359480002442</v>
      </c>
      <c r="E27" s="204">
        <f t="shared" si="13"/>
        <v>0.21430083430052396</v>
      </c>
      <c r="F27" s="204">
        <f t="shared" si="13"/>
        <v>0.2203284625401023</v>
      </c>
      <c r="G27" s="204">
        <f t="shared" si="13"/>
        <v>0.22593426240320497</v>
      </c>
      <c r="H27" s="204">
        <f t="shared" si="13"/>
        <v>0.23107826913398199</v>
      </c>
      <c r="I27" s="204">
        <f t="shared" si="13"/>
        <v>0.23623180778104069</v>
      </c>
      <c r="J27" s="204">
        <f t="shared" si="13"/>
        <v>0.24139021229274113</v>
      </c>
      <c r="K27" s="204">
        <f t="shared" si="13"/>
        <v>0.24654869815570568</v>
      </c>
      <c r="L27" s="204">
        <f t="shared" si="13"/>
        <v>0.25170236861694878</v>
      </c>
      <c r="M27" s="204">
        <f>M14*M21</f>
        <v>0.25684622132652934</v>
      </c>
      <c r="N27" s="204">
        <f t="shared" si="13"/>
        <v>0.26160032378892623</v>
      </c>
      <c r="O27" s="204">
        <f t="shared" si="13"/>
        <v>0.26593830889718367</v>
      </c>
      <c r="P27" s="204">
        <f t="shared" si="13"/>
        <v>0.269835671898008</v>
      </c>
      <c r="Q27" s="204">
        <f t="shared" si="13"/>
        <v>0.27326999814416847</v>
      </c>
      <c r="R27" s="204">
        <f t="shared" si="13"/>
        <v>0.27622117543545271</v>
      </c>
      <c r="S27" s="204">
        <f t="shared" si="13"/>
        <v>0.27917366236482666</v>
      </c>
      <c r="T27" s="204">
        <f t="shared" si="13"/>
        <v>0.28212680112551652</v>
      </c>
      <c r="U27" s="204">
        <f t="shared" si="13"/>
        <v>0.28507992601345894</v>
      </c>
      <c r="V27" s="204">
        <f t="shared" si="13"/>
        <v>0.28803236363731821</v>
      </c>
      <c r="W27" s="204">
        <f t="shared" si="13"/>
        <v>0.29098343313548009</v>
      </c>
      <c r="X27" s="204">
        <f t="shared" si="13"/>
        <v>0.29393568389294977</v>
      </c>
      <c r="Y27" s="204">
        <f t="shared" si="13"/>
        <v>0.296888523198584</v>
      </c>
      <c r="Z27" s="204">
        <f t="shared" si="13"/>
        <v>0.29984135164299386</v>
      </c>
      <c r="AA27" s="204">
        <f t="shared" si="13"/>
        <v>0.30279356328981216</v>
      </c>
      <c r="AB27" s="204">
        <f t="shared" si="13"/>
        <v>0.30574454585229227</v>
      </c>
      <c r="AC27" s="204">
        <f t="shared" si="13"/>
        <v>0.30869659933840649</v>
      </c>
      <c r="AD27" s="204">
        <f t="shared" si="13"/>
        <v>0.31164918686879095</v>
      </c>
      <c r="AE27" s="204">
        <f t="shared" si="13"/>
        <v>0.31460176583254862</v>
      </c>
      <c r="AF27" s="204">
        <f t="shared" si="13"/>
        <v>0.31755378802831352</v>
      </c>
      <c r="AG27" s="204">
        <f t="shared" si="13"/>
        <v>0.32050469980944618</v>
      </c>
      <c r="AI27" s="245"/>
      <c r="AM27" s="120"/>
      <c r="AN27" s="115"/>
      <c r="AO27" s="115"/>
      <c r="AP27" s="115"/>
      <c r="AQ27" s="115"/>
      <c r="BD27" s="205"/>
      <c r="BE27" s="205"/>
      <c r="BF27" s="205"/>
      <c r="BG27" s="205"/>
      <c r="BH27" s="205"/>
      <c r="BI27" s="205"/>
      <c r="BJ27" s="205"/>
      <c r="BK27" s="205"/>
      <c r="BL27" s="205"/>
    </row>
    <row r="28" spans="1:64" outlineLevel="1">
      <c r="A28" t="s">
        <v>1659</v>
      </c>
      <c r="B28" s="54" t="s">
        <v>1658</v>
      </c>
      <c r="C28" s="204">
        <f t="shared" ref="C28:AG31" si="14">C15*C22</f>
        <v>2.9411849599012854</v>
      </c>
      <c r="D28" s="204">
        <f t="shared" si="14"/>
        <v>3.0397778904223811</v>
      </c>
      <c r="E28" s="204">
        <f t="shared" si="14"/>
        <v>3.1334632441774799</v>
      </c>
      <c r="F28" s="204">
        <f t="shared" si="14"/>
        <v>3.2215979992284023</v>
      </c>
      <c r="G28" s="204">
        <f t="shared" si="14"/>
        <v>3.3035648654918082</v>
      </c>
      <c r="H28" s="204">
        <f t="shared" si="14"/>
        <v>3.378779486430183</v>
      </c>
      <c r="I28" s="204">
        <f t="shared" si="14"/>
        <v>3.4541334811111408</v>
      </c>
      <c r="J28" s="204">
        <f t="shared" si="14"/>
        <v>3.5295586234759417</v>
      </c>
      <c r="K28" s="204">
        <f t="shared" si="14"/>
        <v>3.6049849553423923</v>
      </c>
      <c r="L28" s="204">
        <f t="shared" si="14"/>
        <v>3.6803408773835642</v>
      </c>
      <c r="M28" s="204">
        <f t="shared" si="14"/>
        <v>3.7555532462553085</v>
      </c>
      <c r="N28" s="204">
        <f t="shared" si="14"/>
        <v>3.8250667662264144</v>
      </c>
      <c r="O28" s="204">
        <f t="shared" si="14"/>
        <v>3.8884959028178847</v>
      </c>
      <c r="P28" s="204">
        <f t="shared" si="14"/>
        <v>3.9454823525074576</v>
      </c>
      <c r="Q28" s="204">
        <f t="shared" si="14"/>
        <v>3.9956983728789273</v>
      </c>
      <c r="R28" s="204">
        <f t="shared" si="14"/>
        <v>4.0388498874284329</v>
      </c>
      <c r="S28" s="204">
        <f t="shared" si="14"/>
        <v>4.0820205512399124</v>
      </c>
      <c r="T28" s="204">
        <f t="shared" si="14"/>
        <v>4.1252007459964162</v>
      </c>
      <c r="U28" s="204">
        <f t="shared" si="14"/>
        <v>4.1683807379084241</v>
      </c>
      <c r="V28" s="204">
        <f t="shared" si="14"/>
        <v>4.2115506807846899</v>
      </c>
      <c r="W28" s="204">
        <f t="shared" si="14"/>
        <v>4.2547006192050691</v>
      </c>
      <c r="X28" s="204">
        <f t="shared" si="14"/>
        <v>4.2978678297589656</v>
      </c>
      <c r="Y28" s="204">
        <f t="shared" si="14"/>
        <v>4.3410436459445059</v>
      </c>
      <c r="Z28" s="204">
        <f t="shared" si="14"/>
        <v>4.3842193033194308</v>
      </c>
      <c r="AA28" s="204">
        <f t="shared" si="14"/>
        <v>4.4273859420053316</v>
      </c>
      <c r="AB28" s="204">
        <f t="shared" si="14"/>
        <v>4.4705346092698415</v>
      </c>
      <c r="AC28" s="204">
        <f t="shared" si="14"/>
        <v>4.5136989353620729</v>
      </c>
      <c r="AD28" s="204">
        <f t="shared" si="14"/>
        <v>4.5568710701410815</v>
      </c>
      <c r="AE28" s="204">
        <f t="shared" si="14"/>
        <v>4.6000430796606162</v>
      </c>
      <c r="AF28" s="204">
        <f t="shared" si="14"/>
        <v>4.6432069482317191</v>
      </c>
      <c r="AG28" s="204">
        <f t="shared" si="14"/>
        <v>4.6863545805457516</v>
      </c>
      <c r="AM28" s="206"/>
      <c r="BD28" s="205"/>
      <c r="BE28" s="205"/>
      <c r="BF28" s="205"/>
      <c r="BG28" s="205"/>
      <c r="BH28" s="205"/>
      <c r="BI28" s="205"/>
      <c r="BJ28" s="205"/>
      <c r="BK28" s="205"/>
      <c r="BL28" s="205"/>
    </row>
    <row r="29" spans="1:64" outlineLevel="1">
      <c r="A29" t="s">
        <v>1660</v>
      </c>
      <c r="B29" s="54" t="s">
        <v>1658</v>
      </c>
      <c r="C29" s="204">
        <f t="shared" si="14"/>
        <v>6.6351314561166497E-2</v>
      </c>
      <c r="D29" s="204">
        <f t="shared" si="14"/>
        <v>6.8575510127137307E-2</v>
      </c>
      <c r="E29" s="204">
        <f t="shared" si="14"/>
        <v>7.0688993794953747E-2</v>
      </c>
      <c r="F29" s="204">
        <f t="shared" si="14"/>
        <v>7.2677259387183404E-2</v>
      </c>
      <c r="G29" s="204">
        <f t="shared" si="14"/>
        <v>7.4526381221132559E-2</v>
      </c>
      <c r="H29" s="204">
        <f t="shared" si="14"/>
        <v>7.6223176574542931E-2</v>
      </c>
      <c r="I29" s="204">
        <f t="shared" si="14"/>
        <v>7.7923116113430183E-2</v>
      </c>
      <c r="J29" s="204">
        <f t="shared" si="14"/>
        <v>7.9624660700083991E-2</v>
      </c>
      <c r="K29" s="204">
        <f t="shared" si="14"/>
        <v>8.1326232121159733E-2</v>
      </c>
      <c r="L29" s="204">
        <f t="shared" si="14"/>
        <v>8.3026215140102E-2</v>
      </c>
      <c r="M29" s="204">
        <f t="shared" si="14"/>
        <v>8.4722959688281321E-2</v>
      </c>
      <c r="N29" s="204">
        <f t="shared" si="14"/>
        <v>8.6291141728084636E-2</v>
      </c>
      <c r="O29" s="204">
        <f t="shared" si="14"/>
        <v>8.7722063839989192E-2</v>
      </c>
      <c r="P29" s="204">
        <f t="shared" si="14"/>
        <v>8.9007642918023044E-2</v>
      </c>
      <c r="Q29" s="204">
        <f t="shared" si="14"/>
        <v>9.0140485295875108E-2</v>
      </c>
      <c r="R29" s="204">
        <f t="shared" si="14"/>
        <v>9.1113956789405787E-2</v>
      </c>
      <c r="S29" s="204">
        <f t="shared" si="14"/>
        <v>9.2087860278449188E-2</v>
      </c>
      <c r="T29" s="204">
        <f t="shared" si="14"/>
        <v>9.3061978779720639E-2</v>
      </c>
      <c r="U29" s="204">
        <f t="shared" si="14"/>
        <v>9.4036092704945645E-2</v>
      </c>
      <c r="V29" s="204">
        <f t="shared" si="14"/>
        <v>9.5009979930136296E-2</v>
      </c>
      <c r="W29" s="204">
        <f t="shared" si="14"/>
        <v>9.5983415867168187E-2</v>
      </c>
      <c r="X29" s="204">
        <f t="shared" si="14"/>
        <v>9.695724145285517E-2</v>
      </c>
      <c r="Y29" s="204">
        <f t="shared" si="14"/>
        <v>9.7931261176272391E-2</v>
      </c>
      <c r="Z29" s="204">
        <f t="shared" si="14"/>
        <v>9.8905277317020285E-2</v>
      </c>
      <c r="AA29" s="204">
        <f t="shared" si="14"/>
        <v>9.9879090001718809E-2</v>
      </c>
      <c r="AB29" s="204">
        <f t="shared" si="14"/>
        <v>0.10085249726226007</v>
      </c>
      <c r="AC29" s="204">
        <f t="shared" si="14"/>
        <v>0.10182625777627496</v>
      </c>
      <c r="AD29" s="204">
        <f t="shared" si="14"/>
        <v>0.10280019444943654</v>
      </c>
      <c r="AE29" s="204">
        <f t="shared" si="14"/>
        <v>0.1037741282968218</v>
      </c>
      <c r="AF29" s="204">
        <f t="shared" si="14"/>
        <v>0.10474787848944286</v>
      </c>
      <c r="AG29" s="204">
        <f t="shared" si="14"/>
        <v>0.10572126240214111</v>
      </c>
      <c r="BD29" s="205"/>
      <c r="BE29" s="205"/>
      <c r="BF29" s="205"/>
      <c r="BG29" s="205"/>
      <c r="BH29" s="205"/>
      <c r="BI29" s="205"/>
      <c r="BJ29" s="205"/>
      <c r="BK29" s="205"/>
      <c r="BL29" s="205"/>
    </row>
    <row r="30" spans="1:64" outlineLevel="1">
      <c r="A30" t="s">
        <v>1661</v>
      </c>
      <c r="B30" s="54" t="s">
        <v>1658</v>
      </c>
      <c r="C30" s="204">
        <f t="shared" si="14"/>
        <v>0.14284140955223965</v>
      </c>
      <c r="D30" s="204">
        <f t="shared" si="14"/>
        <v>0.14762966780852829</v>
      </c>
      <c r="E30" s="204">
        <f t="shared" si="14"/>
        <v>0.15217958499062473</v>
      </c>
      <c r="F30" s="204">
        <f t="shared" si="14"/>
        <v>0.15645993213425954</v>
      </c>
      <c r="G30" s="204">
        <f t="shared" si="14"/>
        <v>0.16044072996685751</v>
      </c>
      <c r="H30" s="204">
        <f t="shared" si="14"/>
        <v>0.16409359866442336</v>
      </c>
      <c r="I30" s="204">
        <f t="shared" si="14"/>
        <v>0.16775323617867927</v>
      </c>
      <c r="J30" s="204">
        <f t="shared" si="14"/>
        <v>0.17141632904701354</v>
      </c>
      <c r="K30" s="204">
        <f t="shared" si="14"/>
        <v>0.17507947968461252</v>
      </c>
      <c r="L30" s="204">
        <f t="shared" si="14"/>
        <v>0.17873921080292712</v>
      </c>
      <c r="M30" s="204">
        <f t="shared" si="14"/>
        <v>0.1823919701267622</v>
      </c>
      <c r="N30" s="204">
        <f t="shared" si="14"/>
        <v>0.18576795950212738</v>
      </c>
      <c r="O30" s="204">
        <f t="shared" si="14"/>
        <v>0.18884845508500678</v>
      </c>
      <c r="P30" s="204">
        <f t="shared" si="14"/>
        <v>0.19161605552837008</v>
      </c>
      <c r="Q30" s="204">
        <f t="shared" si="14"/>
        <v>0.1940548437140017</v>
      </c>
      <c r="R30" s="204">
        <f t="shared" si="14"/>
        <v>0.19615053754033365</v>
      </c>
      <c r="S30" s="204">
        <f t="shared" si="14"/>
        <v>0.1982471613685558</v>
      </c>
      <c r="T30" s="204">
        <f t="shared" si="14"/>
        <v>0.20034424807607323</v>
      </c>
      <c r="U30" s="204">
        <f t="shared" si="14"/>
        <v>0.20244132493225722</v>
      </c>
      <c r="V30" s="204">
        <f t="shared" si="14"/>
        <v>0.20453791374758371</v>
      </c>
      <c r="W30" s="204">
        <f t="shared" si="14"/>
        <v>0.2066335310277245</v>
      </c>
      <c r="X30" s="204">
        <f t="shared" si="14"/>
        <v>0.20872998714524924</v>
      </c>
      <c r="Y30" s="204">
        <f t="shared" si="14"/>
        <v>0.21082686120335611</v>
      </c>
      <c r="Z30" s="204">
        <f t="shared" si="14"/>
        <v>0.21292372754867625</v>
      </c>
      <c r="AA30" s="204">
        <f t="shared" si="14"/>
        <v>0.2150201558928948</v>
      </c>
      <c r="AB30" s="204">
        <f t="shared" si="14"/>
        <v>0.21711571143815708</v>
      </c>
      <c r="AC30" s="204">
        <f t="shared" si="14"/>
        <v>0.21921202746909235</v>
      </c>
      <c r="AD30" s="204">
        <f t="shared" si="14"/>
        <v>0.22130872273623389</v>
      </c>
      <c r="AE30" s="204">
        <f t="shared" si="14"/>
        <v>0.22340541192003144</v>
      </c>
      <c r="AF30" s="204">
        <f t="shared" si="14"/>
        <v>0.22550170573102349</v>
      </c>
      <c r="AG30" s="204">
        <f t="shared" si="14"/>
        <v>0.22759721101294395</v>
      </c>
      <c r="BD30" s="205"/>
      <c r="BE30" s="205"/>
      <c r="BF30" s="205"/>
      <c r="BG30" s="205"/>
      <c r="BH30" s="205"/>
      <c r="BI30" s="205"/>
      <c r="BJ30" s="205"/>
      <c r="BK30" s="205"/>
      <c r="BL30" s="205"/>
    </row>
    <row r="31" spans="1:64" outlineLevel="1">
      <c r="A31" s="181" t="s">
        <v>1662</v>
      </c>
      <c r="B31" s="176" t="s">
        <v>1658</v>
      </c>
      <c r="C31" s="204">
        <f t="shared" si="14"/>
        <v>2.9123825679515898</v>
      </c>
      <c r="D31" s="204">
        <f t="shared" si="14"/>
        <v>3.0100099991018356</v>
      </c>
      <c r="E31" s="204">
        <f t="shared" si="14"/>
        <v>3.1027779123302115</v>
      </c>
      <c r="F31" s="204">
        <f t="shared" si="14"/>
        <v>3.1900495826741282</v>
      </c>
      <c r="G31" s="204">
        <f t="shared" si="14"/>
        <v>3.2712137650393118</v>
      </c>
      <c r="H31" s="204">
        <f t="shared" si="14"/>
        <v>3.3456918253661807</v>
      </c>
      <c r="I31" s="204">
        <f t="shared" si="14"/>
        <v>3.4203078945785381</v>
      </c>
      <c r="J31" s="204">
        <f t="shared" si="14"/>
        <v>3.4949944147407672</v>
      </c>
      <c r="K31" s="204">
        <f t="shared" si="14"/>
        <v>3.5696821127561122</v>
      </c>
      <c r="L31" s="204">
        <f t="shared" si="14"/>
        <v>3.6443000904544598</v>
      </c>
      <c r="M31" s="204">
        <f t="shared" si="14"/>
        <v>3.718775920768703</v>
      </c>
      <c r="N31" s="204">
        <f t="shared" si="14"/>
        <v>3.7876087097843243</v>
      </c>
      <c r="O31" s="204">
        <f t="shared" si="14"/>
        <v>3.8504166984785884</v>
      </c>
      <c r="P31" s="204">
        <f t="shared" si="14"/>
        <v>3.9068450921185898</v>
      </c>
      <c r="Q31" s="204">
        <f t="shared" si="14"/>
        <v>3.9565693577991397</v>
      </c>
      <c r="R31" s="204">
        <f t="shared" si="14"/>
        <v>3.9992982988443542</v>
      </c>
      <c r="S31" s="204">
        <f t="shared" si="14"/>
        <v>4.0420462016269356</v>
      </c>
      <c r="T31" s="204">
        <f t="shared" si="14"/>
        <v>4.0848035420200457</v>
      </c>
      <c r="U31" s="204">
        <f t="shared" si="14"/>
        <v>4.1275606815550718</v>
      </c>
      <c r="V31" s="204">
        <f t="shared" si="14"/>
        <v>4.1703078704624046</v>
      </c>
      <c r="W31" s="204">
        <f t="shared" si="14"/>
        <v>4.2130352508131841</v>
      </c>
      <c r="X31" s="204">
        <f t="shared" si="14"/>
        <v>4.2557797341551922</v>
      </c>
      <c r="Y31" s="204">
        <f t="shared" si="14"/>
        <v>4.2985327388557435</v>
      </c>
      <c r="Z31" s="204">
        <f t="shared" si="14"/>
        <v>4.3412855863008772</v>
      </c>
      <c r="AA31" s="204">
        <f t="shared" si="14"/>
        <v>4.3840295033750696</v>
      </c>
      <c r="AB31" s="204">
        <f t="shared" si="14"/>
        <v>4.4267556250181377</v>
      </c>
      <c r="AC31" s="204">
        <f t="shared" si="14"/>
        <v>4.4694972521453922</v>
      </c>
      <c r="AD31" s="204">
        <f t="shared" si="14"/>
        <v>4.5122466114906343</v>
      </c>
      <c r="AE31" s="204">
        <f t="shared" si="14"/>
        <v>4.5549958468030418</v>
      </c>
      <c r="AF31" s="204">
        <f t="shared" si="14"/>
        <v>4.597737020889574</v>
      </c>
      <c r="AG31" s="204">
        <f t="shared" si="14"/>
        <v>4.6404621177172114</v>
      </c>
      <c r="AL31" s="108"/>
      <c r="AM31" s="207"/>
      <c r="AN31" s="207"/>
      <c r="AO31" s="207"/>
    </row>
    <row r="32" spans="1:64" s="1" customFormat="1" ht="16" thickBot="1">
      <c r="A32" s="200" t="s">
        <v>1663</v>
      </c>
      <c r="B32" s="219" t="s">
        <v>1658</v>
      </c>
      <c r="C32" s="216">
        <f>SUM(C27:C31)</f>
        <v>6.2639109729489517</v>
      </c>
      <c r="D32" s="216">
        <f t="shared" ref="D32:AG32" si="15">SUM(D27:D31)</f>
        <v>6.4738866622599067</v>
      </c>
      <c r="E32" s="216">
        <f t="shared" si="15"/>
        <v>6.673410569593794</v>
      </c>
      <c r="F32" s="216">
        <f t="shared" si="15"/>
        <v>6.8611132359640763</v>
      </c>
      <c r="G32" s="216">
        <f t="shared" si="15"/>
        <v>7.0356800041223151</v>
      </c>
      <c r="H32" s="216">
        <f t="shared" si="15"/>
        <v>7.1958663561693115</v>
      </c>
      <c r="I32" s="216">
        <f t="shared" si="15"/>
        <v>7.3563495357628295</v>
      </c>
      <c r="J32" s="216">
        <f t="shared" si="15"/>
        <v>7.5169842402565479</v>
      </c>
      <c r="K32" s="216">
        <f t="shared" si="15"/>
        <v>7.677621478059983</v>
      </c>
      <c r="L32" s="216">
        <f t="shared" si="15"/>
        <v>7.8381087623980026</v>
      </c>
      <c r="M32" s="216">
        <f t="shared" si="15"/>
        <v>7.9982903181655836</v>
      </c>
      <c r="N32" s="216">
        <f t="shared" si="15"/>
        <v>8.1463349010298778</v>
      </c>
      <c r="O32" s="216">
        <f t="shared" si="15"/>
        <v>8.2814214291186534</v>
      </c>
      <c r="P32" s="216">
        <f t="shared" si="15"/>
        <v>8.4027868149704492</v>
      </c>
      <c r="Q32" s="216">
        <f t="shared" si="15"/>
        <v>8.5097330578321113</v>
      </c>
      <c r="R32" s="216">
        <f t="shared" si="15"/>
        <v>8.6016338560379779</v>
      </c>
      <c r="S32" s="216">
        <f t="shared" si="15"/>
        <v>8.69357543687868</v>
      </c>
      <c r="T32" s="216">
        <f t="shared" si="15"/>
        <v>8.7855373159977717</v>
      </c>
      <c r="U32" s="216">
        <f t="shared" si="15"/>
        <v>8.8774987631141578</v>
      </c>
      <c r="V32" s="216">
        <f t="shared" si="15"/>
        <v>8.9694388085621313</v>
      </c>
      <c r="W32" s="216">
        <f t="shared" si="15"/>
        <v>9.0613362500486261</v>
      </c>
      <c r="X32" s="216">
        <f t="shared" si="15"/>
        <v>9.1532704764052113</v>
      </c>
      <c r="Y32" s="216">
        <f t="shared" si="15"/>
        <v>9.2452230303784617</v>
      </c>
      <c r="Z32" s="216">
        <f t="shared" si="15"/>
        <v>9.3371752461289983</v>
      </c>
      <c r="AA32" s="216">
        <f t="shared" si="15"/>
        <v>9.4291082545648273</v>
      </c>
      <c r="AB32" s="216">
        <f t="shared" si="15"/>
        <v>9.5210029888406886</v>
      </c>
      <c r="AC32" s="216">
        <f t="shared" si="15"/>
        <v>9.6129310720912393</v>
      </c>
      <c r="AD32" s="216">
        <f t="shared" si="15"/>
        <v>9.7048757856861769</v>
      </c>
      <c r="AE32" s="216">
        <f t="shared" si="15"/>
        <v>9.7968202325130598</v>
      </c>
      <c r="AF32" s="216">
        <f t="shared" si="15"/>
        <v>9.8887473413700739</v>
      </c>
      <c r="AG32" s="216">
        <f t="shared" si="15"/>
        <v>9.9806398714874938</v>
      </c>
      <c r="AJ32" s="162"/>
      <c r="AL32" s="221"/>
      <c r="AM32" s="124"/>
      <c r="AN32" s="124"/>
      <c r="AO32" s="124"/>
    </row>
    <row r="33" spans="1:64" ht="16" outlineLevel="1" thickTop="1">
      <c r="AL33" s="108"/>
      <c r="AM33" s="2"/>
      <c r="AN33" s="2"/>
      <c r="AO33" s="2"/>
    </row>
    <row r="34" spans="1:64" outlineLevel="1">
      <c r="A34" t="s">
        <v>1664</v>
      </c>
      <c r="B34" s="176" t="s">
        <v>1658</v>
      </c>
      <c r="C34" s="107">
        <f>C32</f>
        <v>6.2639109729489517</v>
      </c>
      <c r="D34" s="107">
        <f t="shared" ref="D34:AG34" si="16">D32</f>
        <v>6.4738866622599067</v>
      </c>
      <c r="E34" s="107">
        <f t="shared" si="16"/>
        <v>6.673410569593794</v>
      </c>
      <c r="F34" s="107">
        <f t="shared" si="16"/>
        <v>6.8611132359640763</v>
      </c>
      <c r="G34" s="107">
        <f t="shared" si="16"/>
        <v>7.0356800041223151</v>
      </c>
      <c r="H34" s="107">
        <f t="shared" si="16"/>
        <v>7.1958663561693115</v>
      </c>
      <c r="I34" s="107">
        <f t="shared" si="16"/>
        <v>7.3563495357628295</v>
      </c>
      <c r="J34" s="107">
        <f t="shared" si="16"/>
        <v>7.5169842402565479</v>
      </c>
      <c r="K34" s="107">
        <f t="shared" si="16"/>
        <v>7.677621478059983</v>
      </c>
      <c r="L34" s="107">
        <f t="shared" si="16"/>
        <v>7.8381087623980026</v>
      </c>
      <c r="M34" s="107">
        <f t="shared" si="16"/>
        <v>7.9982903181655836</v>
      </c>
      <c r="N34" s="107">
        <f t="shared" si="16"/>
        <v>8.1463349010298778</v>
      </c>
      <c r="O34" s="107">
        <f t="shared" si="16"/>
        <v>8.2814214291186534</v>
      </c>
      <c r="P34" s="107">
        <f t="shared" si="16"/>
        <v>8.4027868149704492</v>
      </c>
      <c r="Q34" s="107">
        <f t="shared" si="16"/>
        <v>8.5097330578321113</v>
      </c>
      <c r="R34" s="107">
        <f t="shared" si="16"/>
        <v>8.6016338560379779</v>
      </c>
      <c r="S34" s="107">
        <f t="shared" si="16"/>
        <v>8.69357543687868</v>
      </c>
      <c r="T34" s="107">
        <f t="shared" si="16"/>
        <v>8.7855373159977717</v>
      </c>
      <c r="U34" s="107">
        <f t="shared" si="16"/>
        <v>8.8774987631141578</v>
      </c>
      <c r="V34" s="107">
        <f t="shared" si="16"/>
        <v>8.9694388085621313</v>
      </c>
      <c r="W34" s="107">
        <f t="shared" si="16"/>
        <v>9.0613362500486261</v>
      </c>
      <c r="X34" s="107">
        <f t="shared" si="16"/>
        <v>9.1532704764052113</v>
      </c>
      <c r="Y34" s="107">
        <f t="shared" si="16"/>
        <v>9.2452230303784617</v>
      </c>
      <c r="Z34" s="107">
        <f t="shared" si="16"/>
        <v>9.3371752461289983</v>
      </c>
      <c r="AA34" s="107">
        <f t="shared" si="16"/>
        <v>9.4291082545648273</v>
      </c>
      <c r="AB34" s="107">
        <f t="shared" si="16"/>
        <v>9.5210029888406886</v>
      </c>
      <c r="AC34" s="107">
        <f t="shared" si="16"/>
        <v>9.6129310720912393</v>
      </c>
      <c r="AD34" s="107">
        <f t="shared" si="16"/>
        <v>9.7048757856861769</v>
      </c>
      <c r="AE34" s="107">
        <f t="shared" si="16"/>
        <v>9.7968202325130598</v>
      </c>
      <c r="AF34" s="107">
        <f t="shared" si="16"/>
        <v>9.8887473413700739</v>
      </c>
      <c r="AG34" s="107">
        <f t="shared" si="16"/>
        <v>9.9806398714874938</v>
      </c>
      <c r="AL34" s="108"/>
      <c r="AM34" s="2"/>
      <c r="AN34" s="2"/>
      <c r="AO34" s="2"/>
    </row>
    <row r="35" spans="1:64" outlineLevel="1">
      <c r="AL35" s="108"/>
      <c r="AM35" s="2"/>
      <c r="AN35" s="2"/>
      <c r="AO35" s="2"/>
    </row>
    <row r="36" spans="1:64" outlineLevel="1">
      <c r="A36" t="s">
        <v>1665</v>
      </c>
      <c r="B36" s="54" t="s">
        <v>462</v>
      </c>
      <c r="C36" s="205">
        <f>'Yearly Butadiene'!AJ25/'Yearly Butadiene'!AJ18</f>
        <v>1</v>
      </c>
      <c r="D36" s="205">
        <f>'Yearly Butadiene'!AK25/'Yearly Butadiene'!AK18</f>
        <v>1</v>
      </c>
      <c r="E36" s="205">
        <f>'Yearly Butadiene'!AL25/'Yearly Butadiene'!AL18</f>
        <v>1</v>
      </c>
      <c r="F36" s="205">
        <f>'Yearly Butadiene'!AM25/'Yearly Butadiene'!AM18</f>
        <v>1</v>
      </c>
      <c r="G36" s="205">
        <f>'Yearly Butadiene'!AN25/'Yearly Butadiene'!AN18</f>
        <v>1</v>
      </c>
      <c r="H36" s="205">
        <f>'Yearly Butadiene'!AO25/'Yearly Butadiene'!AO18</f>
        <v>1</v>
      </c>
      <c r="I36" s="205">
        <f>'Yearly Butadiene'!AP25/'Yearly Butadiene'!AP18</f>
        <v>1</v>
      </c>
      <c r="J36" s="205">
        <f>'Yearly Butadiene'!AQ25/'Yearly Butadiene'!AQ18</f>
        <v>1</v>
      </c>
      <c r="K36" s="205">
        <f>'Yearly Butadiene'!AR25/'Yearly Butadiene'!AR18</f>
        <v>1</v>
      </c>
      <c r="L36" s="205">
        <f>'Yearly Butadiene'!AS25/'Yearly Butadiene'!AS18</f>
        <v>1</v>
      </c>
      <c r="M36" s="205">
        <f>'Yearly Butadiene'!AT25/'Yearly Butadiene'!AT18</f>
        <v>1</v>
      </c>
      <c r="N36" s="205">
        <f>'Yearly Butadiene'!AU25/'Yearly Butadiene'!AU18</f>
        <v>1</v>
      </c>
      <c r="O36" s="205">
        <f>'Yearly Butadiene'!AV25/'Yearly Butadiene'!AV18</f>
        <v>1</v>
      </c>
      <c r="P36" s="205">
        <f>'Yearly Butadiene'!AW25/'Yearly Butadiene'!AW18</f>
        <v>1</v>
      </c>
      <c r="Q36" s="205">
        <f>'Yearly Butadiene'!AX25/'Yearly Butadiene'!AX18</f>
        <v>1</v>
      </c>
      <c r="R36" s="205">
        <f>'Yearly Butadiene'!AY25/'Yearly Butadiene'!AY18</f>
        <v>1</v>
      </c>
      <c r="S36" s="205">
        <f>'Yearly Butadiene'!AZ25/'Yearly Butadiene'!AZ18</f>
        <v>1</v>
      </c>
      <c r="T36" s="205">
        <f>'Yearly Butadiene'!BA25/'Yearly Butadiene'!BA18</f>
        <v>1</v>
      </c>
      <c r="U36" s="205">
        <f>'Yearly Butadiene'!BB25/'Yearly Butadiene'!BB18</f>
        <v>1</v>
      </c>
      <c r="V36" s="205">
        <f>'Yearly Butadiene'!BC25/'Yearly Butadiene'!BC18</f>
        <v>1</v>
      </c>
      <c r="W36" s="205">
        <f>'Yearly Butadiene'!BD25/'Yearly Butadiene'!BD18</f>
        <v>1</v>
      </c>
      <c r="X36" s="205">
        <f>'Yearly Butadiene'!BE25/'Yearly Butadiene'!BE18</f>
        <v>1</v>
      </c>
      <c r="Y36" s="205">
        <f>'Yearly Butadiene'!BF25/'Yearly Butadiene'!BF18</f>
        <v>1</v>
      </c>
      <c r="Z36" s="205">
        <f>'Yearly Butadiene'!BG25/'Yearly Butadiene'!BG18</f>
        <v>1</v>
      </c>
      <c r="AA36" s="205">
        <f>'Yearly Butadiene'!BH25/'Yearly Butadiene'!BH18</f>
        <v>1</v>
      </c>
      <c r="AB36" s="205">
        <f>'Yearly Butadiene'!BI25/'Yearly Butadiene'!BI18</f>
        <v>1</v>
      </c>
      <c r="AC36" s="205">
        <f>'Yearly Butadiene'!BJ25/'Yearly Butadiene'!BJ18</f>
        <v>1</v>
      </c>
      <c r="AD36" s="205">
        <f>'Yearly Butadiene'!BK25/'Yearly Butadiene'!BK18</f>
        <v>1</v>
      </c>
      <c r="AE36" s="205">
        <f>'Yearly Butadiene'!BL25/'Yearly Butadiene'!BL18</f>
        <v>1</v>
      </c>
      <c r="AF36" s="205">
        <f>'Yearly Butadiene'!BM25/'Yearly Butadiene'!BM18</f>
        <v>1</v>
      </c>
      <c r="AG36" s="205">
        <f>'Yearly Butadiene'!BN25/'Yearly Butadiene'!BN18</f>
        <v>1</v>
      </c>
      <c r="AL36" s="108"/>
      <c r="AM36" s="207"/>
      <c r="AN36" s="207"/>
      <c r="AO36" s="207"/>
      <c r="BC36" s="1"/>
      <c r="BD36" s="578"/>
      <c r="BE36" s="578"/>
      <c r="BF36" s="578"/>
      <c r="BG36" s="578"/>
      <c r="BH36" s="578"/>
      <c r="BI36" s="578"/>
      <c r="BJ36" s="578"/>
      <c r="BK36" s="578"/>
    </row>
    <row r="37" spans="1:64" outlineLevel="1">
      <c r="A37" t="s">
        <v>1666</v>
      </c>
      <c r="B37" s="54" t="s">
        <v>462</v>
      </c>
      <c r="C37" s="205">
        <f>'Yearly Butadiene'!AJ17/'Yearly Butadiene'!AJ10</f>
        <v>1</v>
      </c>
      <c r="D37" s="205">
        <f>'Yearly Butadiene'!AK17/'Yearly Butadiene'!AK10</f>
        <v>1</v>
      </c>
      <c r="E37" s="205">
        <f>'Yearly Butadiene'!AL17/'Yearly Butadiene'!AL10</f>
        <v>1</v>
      </c>
      <c r="F37" s="205">
        <f>'Yearly Butadiene'!AM17/'Yearly Butadiene'!AM10</f>
        <v>1</v>
      </c>
      <c r="G37" s="205">
        <f>'Yearly Butadiene'!AN17/'Yearly Butadiene'!AN10</f>
        <v>1</v>
      </c>
      <c r="H37" s="205">
        <f>'Yearly Butadiene'!AO17/'Yearly Butadiene'!AO10</f>
        <v>1</v>
      </c>
      <c r="I37" s="205">
        <f>'Yearly Butadiene'!AP17/'Yearly Butadiene'!AP10</f>
        <v>1</v>
      </c>
      <c r="J37" s="205">
        <f>'Yearly Butadiene'!AQ17/'Yearly Butadiene'!AQ10</f>
        <v>1</v>
      </c>
      <c r="K37" s="205">
        <f>'Yearly Butadiene'!AR17/'Yearly Butadiene'!AR10</f>
        <v>1</v>
      </c>
      <c r="L37" s="205">
        <f>'Yearly Butadiene'!AS17/'Yearly Butadiene'!AS10</f>
        <v>1</v>
      </c>
      <c r="M37" s="205">
        <f>'Yearly Butadiene'!AT17/'Yearly Butadiene'!AT10</f>
        <v>1</v>
      </c>
      <c r="N37" s="205">
        <f>'Yearly Butadiene'!AU17/'Yearly Butadiene'!AU10</f>
        <v>1</v>
      </c>
      <c r="O37" s="205">
        <f>'Yearly Butadiene'!AV17/'Yearly Butadiene'!AV10</f>
        <v>1</v>
      </c>
      <c r="P37" s="205">
        <f>'Yearly Butadiene'!AW17/'Yearly Butadiene'!AW10</f>
        <v>1</v>
      </c>
      <c r="Q37" s="205">
        <f>'Yearly Butadiene'!AX17/'Yearly Butadiene'!AX10</f>
        <v>1</v>
      </c>
      <c r="R37" s="205">
        <f>'Yearly Butadiene'!AY17/'Yearly Butadiene'!AY10</f>
        <v>1</v>
      </c>
      <c r="S37" s="205">
        <f>'Yearly Butadiene'!AZ17/'Yearly Butadiene'!AZ10</f>
        <v>1</v>
      </c>
      <c r="T37" s="205">
        <f>'Yearly Butadiene'!BA17/'Yearly Butadiene'!BA10</f>
        <v>1</v>
      </c>
      <c r="U37" s="205">
        <f>'Yearly Butadiene'!BB17/'Yearly Butadiene'!BB10</f>
        <v>1</v>
      </c>
      <c r="V37" s="205">
        <f>'Yearly Butadiene'!BC17/'Yearly Butadiene'!BC10</f>
        <v>1</v>
      </c>
      <c r="W37" s="205">
        <f>'Yearly Butadiene'!BD17/'Yearly Butadiene'!BD10</f>
        <v>1</v>
      </c>
      <c r="X37" s="205">
        <f>'Yearly Butadiene'!BE17/'Yearly Butadiene'!BE10</f>
        <v>1</v>
      </c>
      <c r="Y37" s="205">
        <f>'Yearly Butadiene'!BF17/'Yearly Butadiene'!BF10</f>
        <v>1</v>
      </c>
      <c r="Z37" s="205">
        <f>'Yearly Butadiene'!BG17/'Yearly Butadiene'!BG10</f>
        <v>1</v>
      </c>
      <c r="AA37" s="205">
        <f>'Yearly Butadiene'!BH17/'Yearly Butadiene'!BH10</f>
        <v>1</v>
      </c>
      <c r="AB37" s="205">
        <f>'Yearly Butadiene'!BI17/'Yearly Butadiene'!BI10</f>
        <v>1</v>
      </c>
      <c r="AC37" s="205">
        <f>'Yearly Butadiene'!BJ17/'Yearly Butadiene'!BJ10</f>
        <v>1</v>
      </c>
      <c r="AD37" s="205">
        <f>'Yearly Butadiene'!BK17/'Yearly Butadiene'!BK10</f>
        <v>1</v>
      </c>
      <c r="AE37" s="205">
        <f>'Yearly Butadiene'!BL17/'Yearly Butadiene'!BL10</f>
        <v>1</v>
      </c>
      <c r="AF37" s="205">
        <f>'Yearly Butadiene'!BM17/'Yearly Butadiene'!BM10</f>
        <v>1</v>
      </c>
      <c r="AG37" s="205">
        <f>'Yearly Butadiene'!BN17/'Yearly Butadiene'!BN10</f>
        <v>1</v>
      </c>
      <c r="AL37" s="108"/>
      <c r="AM37" s="207"/>
      <c r="AN37" s="207"/>
      <c r="AO37" s="207"/>
      <c r="BL37" s="1"/>
    </row>
    <row r="38" spans="1:64" outlineLevel="1">
      <c r="A38" t="s">
        <v>1667</v>
      </c>
      <c r="B38" s="54" t="s">
        <v>462</v>
      </c>
      <c r="C38" s="205">
        <f>'Yearly Butadiene'!AJ29/'Yearly Butadiene'!AJ26</f>
        <v>1</v>
      </c>
      <c r="D38" s="205">
        <f>'Yearly Butadiene'!AK29/'Yearly Butadiene'!AK26</f>
        <v>1</v>
      </c>
      <c r="E38" s="205">
        <f>'Yearly Butadiene'!AL29/'Yearly Butadiene'!AL26</f>
        <v>1</v>
      </c>
      <c r="F38" s="205">
        <f>'Yearly Butadiene'!AM29/'Yearly Butadiene'!AM26</f>
        <v>1</v>
      </c>
      <c r="G38" s="205">
        <f>'Yearly Butadiene'!AN29/'Yearly Butadiene'!AN26</f>
        <v>1</v>
      </c>
      <c r="H38" s="205">
        <f>'Yearly Butadiene'!AO29/'Yearly Butadiene'!AO26</f>
        <v>1</v>
      </c>
      <c r="I38" s="205">
        <f>'Yearly Butadiene'!AP29/'Yearly Butadiene'!AP26</f>
        <v>1</v>
      </c>
      <c r="J38" s="205">
        <f>'Yearly Butadiene'!AQ29/'Yearly Butadiene'!AQ26</f>
        <v>1</v>
      </c>
      <c r="K38" s="205">
        <f>'Yearly Butadiene'!AR29/'Yearly Butadiene'!AR26</f>
        <v>1</v>
      </c>
      <c r="L38" s="205">
        <f>'Yearly Butadiene'!AS29/'Yearly Butadiene'!AS26</f>
        <v>1</v>
      </c>
      <c r="M38" s="205">
        <f>'Yearly Butadiene'!AT29/'Yearly Butadiene'!AT26</f>
        <v>1</v>
      </c>
      <c r="N38" s="205">
        <f>'Yearly Butadiene'!AU29/'Yearly Butadiene'!AU26</f>
        <v>1</v>
      </c>
      <c r="O38" s="205">
        <f>'Yearly Butadiene'!AV29/'Yearly Butadiene'!AV26</f>
        <v>1</v>
      </c>
      <c r="P38" s="205">
        <f>'Yearly Butadiene'!AW29/'Yearly Butadiene'!AW26</f>
        <v>1</v>
      </c>
      <c r="Q38" s="205">
        <f>'Yearly Butadiene'!AX29/'Yearly Butadiene'!AX26</f>
        <v>1</v>
      </c>
      <c r="R38" s="205">
        <f>'Yearly Butadiene'!AY29/'Yearly Butadiene'!AY26</f>
        <v>1</v>
      </c>
      <c r="S38" s="205">
        <f>'Yearly Butadiene'!AZ29/'Yearly Butadiene'!AZ26</f>
        <v>1</v>
      </c>
      <c r="T38" s="205">
        <f>'Yearly Butadiene'!BA29/'Yearly Butadiene'!BA26</f>
        <v>1</v>
      </c>
      <c r="U38" s="205">
        <f>'Yearly Butadiene'!BB29/'Yearly Butadiene'!BB26</f>
        <v>1</v>
      </c>
      <c r="V38" s="205">
        <f>'Yearly Butadiene'!BC29/'Yearly Butadiene'!BC26</f>
        <v>1</v>
      </c>
      <c r="W38" s="205">
        <f>'Yearly Butadiene'!BD29/'Yearly Butadiene'!BD26</f>
        <v>1</v>
      </c>
      <c r="X38" s="205">
        <f>'Yearly Butadiene'!BE29/'Yearly Butadiene'!BE26</f>
        <v>1</v>
      </c>
      <c r="Y38" s="205">
        <f>'Yearly Butadiene'!BF29/'Yearly Butadiene'!BF26</f>
        <v>1</v>
      </c>
      <c r="Z38" s="205">
        <f>'Yearly Butadiene'!BG29/'Yearly Butadiene'!BG26</f>
        <v>1</v>
      </c>
      <c r="AA38" s="205">
        <f>'Yearly Butadiene'!BH29/'Yearly Butadiene'!BH26</f>
        <v>1</v>
      </c>
      <c r="AB38" s="205">
        <f>'Yearly Butadiene'!BI29/'Yearly Butadiene'!BI26</f>
        <v>1</v>
      </c>
      <c r="AC38" s="205">
        <f>'Yearly Butadiene'!BJ29/'Yearly Butadiene'!BJ26</f>
        <v>1</v>
      </c>
      <c r="AD38" s="205">
        <f>'Yearly Butadiene'!BK29/'Yearly Butadiene'!BK26</f>
        <v>1</v>
      </c>
      <c r="AE38" s="205">
        <f>'Yearly Butadiene'!BL29/'Yearly Butadiene'!BL26</f>
        <v>1</v>
      </c>
      <c r="AF38" s="205">
        <f>'Yearly Butadiene'!BM29/'Yearly Butadiene'!BM26</f>
        <v>1</v>
      </c>
      <c r="AG38" s="205">
        <f>'Yearly Butadiene'!BN29/'Yearly Butadiene'!BN26</f>
        <v>1</v>
      </c>
      <c r="AL38" s="108"/>
      <c r="AM38" s="207"/>
      <c r="AN38" s="207"/>
      <c r="AO38" s="207"/>
      <c r="BD38" s="41"/>
      <c r="BE38" s="41"/>
      <c r="BF38" s="41"/>
      <c r="BG38" s="41"/>
      <c r="BH38" s="41"/>
      <c r="BI38" s="41"/>
      <c r="BJ38" s="41"/>
      <c r="BK38" s="41"/>
      <c r="BL38" s="118"/>
    </row>
    <row r="39" spans="1:64" outlineLevel="1">
      <c r="A39" t="s">
        <v>1668</v>
      </c>
      <c r="B39" s="54" t="s">
        <v>462</v>
      </c>
      <c r="C39" s="205">
        <f>'Yearly Butadiene'!AJ35/'Yearly Butadiene'!AJ30</f>
        <v>1</v>
      </c>
      <c r="D39" s="205">
        <f>'Yearly Butadiene'!AK35/'Yearly Butadiene'!AK30</f>
        <v>1</v>
      </c>
      <c r="E39" s="205">
        <f>'Yearly Butadiene'!AL35/'Yearly Butadiene'!AL30</f>
        <v>1</v>
      </c>
      <c r="F39" s="205">
        <f>'Yearly Butadiene'!AM35/'Yearly Butadiene'!AM30</f>
        <v>1</v>
      </c>
      <c r="G39" s="205">
        <f>'Yearly Butadiene'!AN35/'Yearly Butadiene'!AN30</f>
        <v>1</v>
      </c>
      <c r="H39" s="205">
        <f>'Yearly Butadiene'!AO35/'Yearly Butadiene'!AO30</f>
        <v>1</v>
      </c>
      <c r="I39" s="205">
        <f>'Yearly Butadiene'!AP35/'Yearly Butadiene'!AP30</f>
        <v>1</v>
      </c>
      <c r="J39" s="205">
        <f>'Yearly Butadiene'!AQ35/'Yearly Butadiene'!AQ30</f>
        <v>1</v>
      </c>
      <c r="K39" s="205">
        <f>'Yearly Butadiene'!AR35/'Yearly Butadiene'!AR30</f>
        <v>1</v>
      </c>
      <c r="L39" s="205">
        <f>'Yearly Butadiene'!AS35/'Yearly Butadiene'!AS30</f>
        <v>1</v>
      </c>
      <c r="M39" s="205">
        <f>'Yearly Butadiene'!AT35/'Yearly Butadiene'!AT30</f>
        <v>1</v>
      </c>
      <c r="N39" s="205">
        <f>'Yearly Butadiene'!AU35/'Yearly Butadiene'!AU30</f>
        <v>1</v>
      </c>
      <c r="O39" s="205">
        <f>'Yearly Butadiene'!AV35/'Yearly Butadiene'!AV30</f>
        <v>1</v>
      </c>
      <c r="P39" s="205">
        <f>'Yearly Butadiene'!AW35/'Yearly Butadiene'!AW30</f>
        <v>1</v>
      </c>
      <c r="Q39" s="205">
        <f>'Yearly Butadiene'!AX35/'Yearly Butadiene'!AX30</f>
        <v>1</v>
      </c>
      <c r="R39" s="205">
        <f>'Yearly Butadiene'!AY35/'Yearly Butadiene'!AY30</f>
        <v>1</v>
      </c>
      <c r="S39" s="205">
        <f>'Yearly Butadiene'!AZ35/'Yearly Butadiene'!AZ30</f>
        <v>1</v>
      </c>
      <c r="T39" s="205">
        <f>'Yearly Butadiene'!BA35/'Yearly Butadiene'!BA30</f>
        <v>1</v>
      </c>
      <c r="U39" s="205">
        <f>'Yearly Butadiene'!BB35/'Yearly Butadiene'!BB30</f>
        <v>1</v>
      </c>
      <c r="V39" s="205">
        <f>'Yearly Butadiene'!BC35/'Yearly Butadiene'!BC30</f>
        <v>1</v>
      </c>
      <c r="W39" s="205">
        <f>'Yearly Butadiene'!BD35/'Yearly Butadiene'!BD30</f>
        <v>1</v>
      </c>
      <c r="X39" s="205">
        <f>'Yearly Butadiene'!BE35/'Yearly Butadiene'!BE30</f>
        <v>1</v>
      </c>
      <c r="Y39" s="205">
        <f>'Yearly Butadiene'!BF35/'Yearly Butadiene'!BF30</f>
        <v>1</v>
      </c>
      <c r="Z39" s="205">
        <f>'Yearly Butadiene'!BG35/'Yearly Butadiene'!BG30</f>
        <v>1</v>
      </c>
      <c r="AA39" s="205">
        <f>'Yearly Butadiene'!BH35/'Yearly Butadiene'!BH30</f>
        <v>1</v>
      </c>
      <c r="AB39" s="205">
        <f>'Yearly Butadiene'!BI35/'Yearly Butadiene'!BI30</f>
        <v>1</v>
      </c>
      <c r="AC39" s="205">
        <f>'Yearly Butadiene'!BJ35/'Yearly Butadiene'!BJ30</f>
        <v>1</v>
      </c>
      <c r="AD39" s="205">
        <f>'Yearly Butadiene'!BK35/'Yearly Butadiene'!BK30</f>
        <v>1</v>
      </c>
      <c r="AE39" s="205">
        <f>'Yearly Butadiene'!BL35/'Yearly Butadiene'!BL30</f>
        <v>1</v>
      </c>
      <c r="AF39" s="205">
        <f>'Yearly Butadiene'!BM35/'Yearly Butadiene'!BM30</f>
        <v>1</v>
      </c>
      <c r="AG39" s="205">
        <f>'Yearly Butadiene'!BN35/'Yearly Butadiene'!BN30</f>
        <v>1</v>
      </c>
      <c r="AL39" s="108"/>
      <c r="AM39" s="207"/>
      <c r="AN39" s="207"/>
      <c r="AO39" s="207"/>
      <c r="BD39" s="41"/>
      <c r="BE39" s="41"/>
      <c r="BF39" s="41"/>
      <c r="BG39" s="41"/>
      <c r="BH39" s="41"/>
      <c r="BI39" s="41"/>
      <c r="BJ39" s="41"/>
      <c r="BK39" s="41"/>
      <c r="BL39" s="118"/>
    </row>
    <row r="40" spans="1:64" outlineLevel="1">
      <c r="A40" t="s">
        <v>1669</v>
      </c>
      <c r="B40" s="176" t="s">
        <v>462</v>
      </c>
      <c r="C40" s="159">
        <f>'Yearly Butadiene'!AJ39/'Yearly Butadiene'!AJ36</f>
        <v>1</v>
      </c>
      <c r="D40" s="159">
        <f>'Yearly Butadiene'!AK39/'Yearly Butadiene'!AK36</f>
        <v>1</v>
      </c>
      <c r="E40" s="159">
        <f>'Yearly Butadiene'!AL39/'Yearly Butadiene'!AL36</f>
        <v>1</v>
      </c>
      <c r="F40" s="159">
        <f>'Yearly Butadiene'!AM39/'Yearly Butadiene'!AM36</f>
        <v>1</v>
      </c>
      <c r="G40" s="159">
        <f>'Yearly Butadiene'!AN39/'Yearly Butadiene'!AN36</f>
        <v>1</v>
      </c>
      <c r="H40" s="159">
        <f>'Yearly Butadiene'!AO39/'Yearly Butadiene'!AO36</f>
        <v>1</v>
      </c>
      <c r="I40" s="159">
        <f>'Yearly Butadiene'!AP39/'Yearly Butadiene'!AP36</f>
        <v>1</v>
      </c>
      <c r="J40" s="159">
        <f>'Yearly Butadiene'!AQ39/'Yearly Butadiene'!AQ36</f>
        <v>1</v>
      </c>
      <c r="K40" s="159">
        <f>'Yearly Butadiene'!AR39/'Yearly Butadiene'!AR36</f>
        <v>1</v>
      </c>
      <c r="L40" s="159">
        <f>'Yearly Butadiene'!AS39/'Yearly Butadiene'!AS36</f>
        <v>1</v>
      </c>
      <c r="M40" s="159">
        <f>'Yearly Butadiene'!AT39/'Yearly Butadiene'!AT36</f>
        <v>1</v>
      </c>
      <c r="N40" s="159">
        <f>'Yearly Butadiene'!AU39/'Yearly Butadiene'!AU36</f>
        <v>1</v>
      </c>
      <c r="O40" s="159">
        <f>'Yearly Butadiene'!AV39/'Yearly Butadiene'!AV36</f>
        <v>1</v>
      </c>
      <c r="P40" s="159">
        <f>'Yearly Butadiene'!AW39/'Yearly Butadiene'!AW36</f>
        <v>1</v>
      </c>
      <c r="Q40" s="159">
        <f>'Yearly Butadiene'!AX39/'Yearly Butadiene'!AX36</f>
        <v>1</v>
      </c>
      <c r="R40" s="159">
        <f>'Yearly Butadiene'!AY39/'Yearly Butadiene'!AY36</f>
        <v>1</v>
      </c>
      <c r="S40" s="159">
        <f>'Yearly Butadiene'!AZ39/'Yearly Butadiene'!AZ36</f>
        <v>1</v>
      </c>
      <c r="T40" s="159">
        <f>'Yearly Butadiene'!BA39/'Yearly Butadiene'!BA36</f>
        <v>1</v>
      </c>
      <c r="U40" s="159">
        <f>'Yearly Butadiene'!BB39/'Yearly Butadiene'!BB36</f>
        <v>1</v>
      </c>
      <c r="V40" s="159">
        <f>'Yearly Butadiene'!BC39/'Yearly Butadiene'!BC36</f>
        <v>1</v>
      </c>
      <c r="W40" s="159">
        <f>'Yearly Butadiene'!BD39/'Yearly Butadiene'!BD36</f>
        <v>1</v>
      </c>
      <c r="X40" s="159">
        <f>'Yearly Butadiene'!BE39/'Yearly Butadiene'!BE36</f>
        <v>1</v>
      </c>
      <c r="Y40" s="159">
        <f>'Yearly Butadiene'!BF39/'Yearly Butadiene'!BF36</f>
        <v>1</v>
      </c>
      <c r="Z40" s="159">
        <f>'Yearly Butadiene'!BG39/'Yearly Butadiene'!BG36</f>
        <v>1</v>
      </c>
      <c r="AA40" s="159">
        <f>'Yearly Butadiene'!BH39/'Yearly Butadiene'!BH36</f>
        <v>1</v>
      </c>
      <c r="AB40" s="159">
        <f>'Yearly Butadiene'!BI39/'Yearly Butadiene'!BI36</f>
        <v>1</v>
      </c>
      <c r="AC40" s="159">
        <f>'Yearly Butadiene'!BJ39/'Yearly Butadiene'!BJ36</f>
        <v>1</v>
      </c>
      <c r="AD40" s="159">
        <f>'Yearly Butadiene'!BK39/'Yearly Butadiene'!BK36</f>
        <v>1</v>
      </c>
      <c r="AE40" s="159">
        <f>'Yearly Butadiene'!BL39/'Yearly Butadiene'!BL36</f>
        <v>1</v>
      </c>
      <c r="AF40" s="159">
        <f>'Yearly Butadiene'!BM39/'Yearly Butadiene'!BM36</f>
        <v>1</v>
      </c>
      <c r="AG40" s="159">
        <f>'Yearly Butadiene'!BN39/'Yearly Butadiene'!BN36</f>
        <v>1</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1670</v>
      </c>
      <c r="B42" s="54" t="s">
        <v>1658</v>
      </c>
      <c r="C42" s="107">
        <f>C27*C36</f>
        <v>0.20115072098267078</v>
      </c>
      <c r="D42" s="107">
        <f t="shared" ref="D42:AF42" si="17">D27*D36</f>
        <v>0.20789359480002442</v>
      </c>
      <c r="E42" s="107">
        <f t="shared" si="17"/>
        <v>0.21430083430052396</v>
      </c>
      <c r="F42" s="107">
        <f t="shared" si="17"/>
        <v>0.2203284625401023</v>
      </c>
      <c r="G42" s="107">
        <f t="shared" si="17"/>
        <v>0.22593426240320497</v>
      </c>
      <c r="H42" s="107">
        <f t="shared" si="17"/>
        <v>0.23107826913398199</v>
      </c>
      <c r="I42" s="107">
        <f t="shared" si="17"/>
        <v>0.23623180778104069</v>
      </c>
      <c r="J42" s="107">
        <f t="shared" si="17"/>
        <v>0.24139021229274113</v>
      </c>
      <c r="K42" s="107">
        <f t="shared" si="17"/>
        <v>0.24654869815570568</v>
      </c>
      <c r="L42" s="107">
        <f t="shared" si="17"/>
        <v>0.25170236861694878</v>
      </c>
      <c r="M42" s="107">
        <f t="shared" si="17"/>
        <v>0.25684622132652934</v>
      </c>
      <c r="N42" s="107">
        <f t="shared" si="17"/>
        <v>0.26160032378892623</v>
      </c>
      <c r="O42" s="107">
        <f t="shared" si="17"/>
        <v>0.26593830889718367</v>
      </c>
      <c r="P42" s="107">
        <f t="shared" si="17"/>
        <v>0.269835671898008</v>
      </c>
      <c r="Q42" s="107">
        <f t="shared" si="17"/>
        <v>0.27326999814416847</v>
      </c>
      <c r="R42" s="107">
        <f t="shared" si="17"/>
        <v>0.27622117543545271</v>
      </c>
      <c r="S42" s="107">
        <f t="shared" si="17"/>
        <v>0.27917366236482666</v>
      </c>
      <c r="T42" s="107">
        <f t="shared" si="17"/>
        <v>0.28212680112551652</v>
      </c>
      <c r="U42" s="107">
        <f t="shared" si="17"/>
        <v>0.28507992601345894</v>
      </c>
      <c r="V42" s="107">
        <f t="shared" si="17"/>
        <v>0.28803236363731821</v>
      </c>
      <c r="W42" s="107">
        <f t="shared" si="17"/>
        <v>0.29098343313548009</v>
      </c>
      <c r="X42" s="107">
        <f t="shared" si="17"/>
        <v>0.29393568389294977</v>
      </c>
      <c r="Y42" s="107">
        <f t="shared" si="17"/>
        <v>0.296888523198584</v>
      </c>
      <c r="Z42" s="107">
        <f t="shared" si="17"/>
        <v>0.29984135164299386</v>
      </c>
      <c r="AA42" s="107">
        <f t="shared" si="17"/>
        <v>0.30279356328981216</v>
      </c>
      <c r="AB42" s="107">
        <f t="shared" si="17"/>
        <v>0.30574454585229227</v>
      </c>
      <c r="AC42" s="107">
        <f t="shared" si="17"/>
        <v>0.30869659933840649</v>
      </c>
      <c r="AD42" s="107">
        <f t="shared" si="17"/>
        <v>0.31164918686879095</v>
      </c>
      <c r="AE42" s="107">
        <f t="shared" si="17"/>
        <v>0.31460176583254862</v>
      </c>
      <c r="AF42" s="107">
        <f t="shared" si="17"/>
        <v>0.31755378802831352</v>
      </c>
      <c r="AG42" s="107">
        <f>AG27*AG36</f>
        <v>0.32050469980944618</v>
      </c>
      <c r="AI42" s="210" t="s">
        <v>1301</v>
      </c>
      <c r="AJ42" s="211" t="s">
        <v>1302</v>
      </c>
      <c r="BD42" s="41"/>
      <c r="BE42" s="41"/>
      <c r="BF42" s="41"/>
      <c r="BG42" s="41"/>
      <c r="BH42" s="41"/>
      <c r="BI42" s="41"/>
      <c r="BJ42" s="41"/>
      <c r="BK42" s="41"/>
      <c r="BL42" s="118"/>
    </row>
    <row r="43" spans="1:64" outlineLevel="1">
      <c r="A43" t="s">
        <v>1671</v>
      </c>
      <c r="B43" s="54" t="s">
        <v>1658</v>
      </c>
      <c r="C43" s="107">
        <f>C28*$C$37</f>
        <v>2.9411849599012854</v>
      </c>
      <c r="D43" s="107">
        <f t="shared" ref="D43:O43" si="18">D28*$C$37</f>
        <v>3.0397778904223811</v>
      </c>
      <c r="E43" s="107">
        <f t="shared" si="18"/>
        <v>3.1334632441774799</v>
      </c>
      <c r="F43" s="107">
        <f t="shared" si="18"/>
        <v>3.2215979992284023</v>
      </c>
      <c r="G43" s="107">
        <f t="shared" si="18"/>
        <v>3.3035648654918082</v>
      </c>
      <c r="H43" s="107">
        <f t="shared" si="18"/>
        <v>3.378779486430183</v>
      </c>
      <c r="I43" s="107">
        <f t="shared" si="18"/>
        <v>3.4541334811111408</v>
      </c>
      <c r="J43" s="107">
        <f t="shared" si="18"/>
        <v>3.5295586234759417</v>
      </c>
      <c r="K43" s="107">
        <f t="shared" si="18"/>
        <v>3.6049849553423923</v>
      </c>
      <c r="L43" s="107">
        <f t="shared" si="18"/>
        <v>3.6803408773835642</v>
      </c>
      <c r="M43" s="107">
        <f t="shared" si="18"/>
        <v>3.7555532462553085</v>
      </c>
      <c r="N43" s="107">
        <f t="shared" si="18"/>
        <v>3.8250667662264144</v>
      </c>
      <c r="O43" s="107">
        <f t="shared" si="18"/>
        <v>3.8884959028178847</v>
      </c>
      <c r="P43" s="107">
        <f t="shared" ref="P43:AG43" si="19">D37*P28</f>
        <v>3.9454823525074576</v>
      </c>
      <c r="Q43" s="107">
        <f t="shared" si="19"/>
        <v>3.9956983728789273</v>
      </c>
      <c r="R43" s="107">
        <f t="shared" si="19"/>
        <v>4.0388498874284329</v>
      </c>
      <c r="S43" s="107">
        <f t="shared" si="19"/>
        <v>4.0820205512399124</v>
      </c>
      <c r="T43" s="107">
        <f t="shared" si="19"/>
        <v>4.1252007459964162</v>
      </c>
      <c r="U43" s="107">
        <f t="shared" si="19"/>
        <v>4.1683807379084241</v>
      </c>
      <c r="V43" s="107">
        <f t="shared" si="19"/>
        <v>4.2115506807846899</v>
      </c>
      <c r="W43" s="107">
        <f t="shared" si="19"/>
        <v>4.2547006192050691</v>
      </c>
      <c r="X43" s="107">
        <f t="shared" si="19"/>
        <v>4.2978678297589656</v>
      </c>
      <c r="Y43" s="107">
        <f t="shared" si="19"/>
        <v>4.3410436459445059</v>
      </c>
      <c r="Z43" s="107">
        <f t="shared" si="19"/>
        <v>4.3842193033194308</v>
      </c>
      <c r="AA43" s="107">
        <f t="shared" si="19"/>
        <v>4.4273859420053316</v>
      </c>
      <c r="AB43" s="107">
        <f t="shared" si="19"/>
        <v>4.4705346092698415</v>
      </c>
      <c r="AC43" s="107">
        <f t="shared" si="19"/>
        <v>4.5136989353620729</v>
      </c>
      <c r="AD43" s="107">
        <f t="shared" si="19"/>
        <v>4.5568710701410815</v>
      </c>
      <c r="AE43" s="107">
        <f t="shared" si="19"/>
        <v>4.6000430796606162</v>
      </c>
      <c r="AF43" s="107">
        <f t="shared" si="19"/>
        <v>4.6432069482317191</v>
      </c>
      <c r="AG43" s="107">
        <f t="shared" si="19"/>
        <v>4.6863545805457516</v>
      </c>
      <c r="AI43" s="210" t="s">
        <v>1304</v>
      </c>
      <c r="AJ43" s="211" t="s">
        <v>1302</v>
      </c>
      <c r="BD43" s="41"/>
      <c r="BE43" s="41"/>
      <c r="BF43" s="41"/>
      <c r="BG43" s="41"/>
      <c r="BH43" s="41"/>
      <c r="BI43" s="41"/>
      <c r="BJ43" s="41"/>
      <c r="BK43" s="41"/>
      <c r="BL43" s="118"/>
    </row>
    <row r="44" spans="1:64" outlineLevel="1">
      <c r="A44" t="s">
        <v>1672</v>
      </c>
      <c r="B44" s="54" t="s">
        <v>1658</v>
      </c>
      <c r="C44" s="107">
        <f t="shared" ref="C44:AG44" si="20">C29</f>
        <v>6.6351314561166497E-2</v>
      </c>
      <c r="D44" s="107">
        <f t="shared" si="20"/>
        <v>6.8575510127137307E-2</v>
      </c>
      <c r="E44" s="107">
        <f t="shared" si="20"/>
        <v>7.0688993794953747E-2</v>
      </c>
      <c r="F44" s="107">
        <f t="shared" si="20"/>
        <v>7.2677259387183404E-2</v>
      </c>
      <c r="G44" s="107">
        <f t="shared" si="20"/>
        <v>7.4526381221132559E-2</v>
      </c>
      <c r="H44" s="107">
        <f t="shared" si="20"/>
        <v>7.6223176574542931E-2</v>
      </c>
      <c r="I44" s="107">
        <f t="shared" si="20"/>
        <v>7.7923116113430183E-2</v>
      </c>
      <c r="J44" s="107">
        <f t="shared" si="20"/>
        <v>7.9624660700083991E-2</v>
      </c>
      <c r="K44" s="107">
        <f t="shared" si="20"/>
        <v>8.1326232121159733E-2</v>
      </c>
      <c r="L44" s="107">
        <f t="shared" si="20"/>
        <v>8.3026215140102E-2</v>
      </c>
      <c r="M44" s="107">
        <f t="shared" si="20"/>
        <v>8.4722959688281321E-2</v>
      </c>
      <c r="N44" s="107">
        <f t="shared" si="20"/>
        <v>8.6291141728084636E-2</v>
      </c>
      <c r="O44" s="107">
        <f t="shared" si="20"/>
        <v>8.7722063839989192E-2</v>
      </c>
      <c r="P44" s="107">
        <f t="shared" si="20"/>
        <v>8.9007642918023044E-2</v>
      </c>
      <c r="Q44" s="107">
        <f t="shared" si="20"/>
        <v>9.0140485295875108E-2</v>
      </c>
      <c r="R44" s="107">
        <f t="shared" si="20"/>
        <v>9.1113956789405787E-2</v>
      </c>
      <c r="S44" s="107">
        <f t="shared" si="20"/>
        <v>9.2087860278449188E-2</v>
      </c>
      <c r="T44" s="107">
        <f t="shared" si="20"/>
        <v>9.3061978779720639E-2</v>
      </c>
      <c r="U44" s="107">
        <f t="shared" si="20"/>
        <v>9.4036092704945645E-2</v>
      </c>
      <c r="V44" s="107">
        <f t="shared" si="20"/>
        <v>9.5009979930136296E-2</v>
      </c>
      <c r="W44" s="107">
        <f t="shared" si="20"/>
        <v>9.5983415867168187E-2</v>
      </c>
      <c r="X44" s="107">
        <f t="shared" si="20"/>
        <v>9.695724145285517E-2</v>
      </c>
      <c r="Y44" s="107">
        <f t="shared" si="20"/>
        <v>9.7931261176272391E-2</v>
      </c>
      <c r="Z44" s="107">
        <f t="shared" si="20"/>
        <v>9.8905277317020285E-2</v>
      </c>
      <c r="AA44" s="107">
        <f t="shared" si="20"/>
        <v>9.9879090001718809E-2</v>
      </c>
      <c r="AB44" s="107">
        <f t="shared" si="20"/>
        <v>0.10085249726226007</v>
      </c>
      <c r="AC44" s="107">
        <f t="shared" si="20"/>
        <v>0.10182625777627496</v>
      </c>
      <c r="AD44" s="107">
        <f t="shared" si="20"/>
        <v>0.10280019444943654</v>
      </c>
      <c r="AE44" s="107">
        <f t="shared" si="20"/>
        <v>0.1037741282968218</v>
      </c>
      <c r="AF44" s="107">
        <f t="shared" si="20"/>
        <v>0.10474787848944286</v>
      </c>
      <c r="AG44" s="107">
        <f t="shared" si="20"/>
        <v>0.10572126240214111</v>
      </c>
      <c r="AI44" s="210" t="s">
        <v>1306</v>
      </c>
      <c r="AJ44" s="211" t="s">
        <v>1302</v>
      </c>
      <c r="BD44" s="41"/>
      <c r="BE44" s="41"/>
      <c r="BF44" s="41"/>
      <c r="BG44" s="41"/>
      <c r="BH44" s="41"/>
      <c r="BI44" s="41"/>
      <c r="BJ44" s="41"/>
      <c r="BK44" s="41"/>
      <c r="BL44" s="118"/>
    </row>
    <row r="45" spans="1:64" outlineLevel="1">
      <c r="A45" t="s">
        <v>1673</v>
      </c>
      <c r="B45" s="54" t="s">
        <v>1658</v>
      </c>
      <c r="C45" s="262">
        <f t="shared" ref="C45:H45" si="21">C30*$C$39</f>
        <v>0.14284140955223965</v>
      </c>
      <c r="D45" s="262">
        <f t="shared" si="21"/>
        <v>0.14762966780852829</v>
      </c>
      <c r="E45" s="262">
        <f t="shared" si="21"/>
        <v>0.15217958499062473</v>
      </c>
      <c r="F45" s="262">
        <f t="shared" si="21"/>
        <v>0.15645993213425954</v>
      </c>
      <c r="G45" s="262">
        <f t="shared" si="21"/>
        <v>0.16044072996685751</v>
      </c>
      <c r="H45" s="262">
        <f t="shared" si="21"/>
        <v>0.16409359866442336</v>
      </c>
      <c r="I45" s="262">
        <f t="shared" ref="I45:AG46" si="22">I30*D39</f>
        <v>0.16775323617867927</v>
      </c>
      <c r="J45" s="262">
        <f t="shared" si="22"/>
        <v>0.17141632904701354</v>
      </c>
      <c r="K45" s="262">
        <f t="shared" si="22"/>
        <v>0.17507947968461252</v>
      </c>
      <c r="L45" s="262">
        <f t="shared" si="22"/>
        <v>0.17873921080292712</v>
      </c>
      <c r="M45" s="262">
        <f t="shared" si="22"/>
        <v>0.1823919701267622</v>
      </c>
      <c r="N45" s="262">
        <f t="shared" si="22"/>
        <v>0.18576795950212738</v>
      </c>
      <c r="O45" s="262">
        <f t="shared" si="22"/>
        <v>0.18884845508500678</v>
      </c>
      <c r="P45" s="262">
        <f t="shared" si="22"/>
        <v>0.19161605552837008</v>
      </c>
      <c r="Q45" s="262">
        <f t="shared" si="22"/>
        <v>0.1940548437140017</v>
      </c>
      <c r="R45" s="262">
        <f t="shared" si="22"/>
        <v>0.19615053754033365</v>
      </c>
      <c r="S45" s="262">
        <f t="shared" si="22"/>
        <v>0.1982471613685558</v>
      </c>
      <c r="T45" s="262">
        <f t="shared" si="22"/>
        <v>0.20034424807607323</v>
      </c>
      <c r="U45" s="262">
        <f t="shared" si="22"/>
        <v>0.20244132493225722</v>
      </c>
      <c r="V45" s="262">
        <f t="shared" si="22"/>
        <v>0.20453791374758371</v>
      </c>
      <c r="W45" s="262">
        <f t="shared" si="22"/>
        <v>0.2066335310277245</v>
      </c>
      <c r="X45" s="262">
        <f t="shared" si="22"/>
        <v>0.20872998714524924</v>
      </c>
      <c r="Y45" s="262">
        <f t="shared" si="22"/>
        <v>0.21082686120335611</v>
      </c>
      <c r="Z45" s="262">
        <f t="shared" si="22"/>
        <v>0.21292372754867625</v>
      </c>
      <c r="AA45" s="262">
        <f t="shared" si="22"/>
        <v>0.2150201558928948</v>
      </c>
      <c r="AB45" s="262">
        <f t="shared" si="22"/>
        <v>0.21711571143815708</v>
      </c>
      <c r="AC45" s="262">
        <f t="shared" si="22"/>
        <v>0.21921202746909235</v>
      </c>
      <c r="AD45" s="262">
        <f t="shared" si="22"/>
        <v>0.22130872273623389</v>
      </c>
      <c r="AE45" s="262">
        <f t="shared" si="22"/>
        <v>0.22340541192003144</v>
      </c>
      <c r="AF45" s="262">
        <f t="shared" si="22"/>
        <v>0.22550170573102349</v>
      </c>
      <c r="AG45" s="262">
        <f t="shared" si="22"/>
        <v>0.22759721101294395</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1674</v>
      </c>
      <c r="B46" s="176" t="s">
        <v>1658</v>
      </c>
      <c r="C46" s="107">
        <f t="shared" ref="C46:H46" si="23">C31*$C$40</f>
        <v>2.9123825679515898</v>
      </c>
      <c r="D46" s="107">
        <f t="shared" si="23"/>
        <v>3.0100099991018356</v>
      </c>
      <c r="E46" s="107">
        <f t="shared" si="23"/>
        <v>3.1027779123302115</v>
      </c>
      <c r="F46" s="107">
        <f t="shared" si="23"/>
        <v>3.1900495826741282</v>
      </c>
      <c r="G46" s="107">
        <f t="shared" si="23"/>
        <v>3.2712137650393118</v>
      </c>
      <c r="H46" s="107">
        <f t="shared" si="23"/>
        <v>3.3456918253661807</v>
      </c>
      <c r="I46" s="107">
        <f t="shared" si="22"/>
        <v>3.4203078945785381</v>
      </c>
      <c r="J46" s="107">
        <f t="shared" si="22"/>
        <v>3.4949944147407672</v>
      </c>
      <c r="K46" s="107">
        <f t="shared" si="22"/>
        <v>3.5696821127561122</v>
      </c>
      <c r="L46" s="107">
        <f t="shared" si="22"/>
        <v>3.6443000904544598</v>
      </c>
      <c r="M46" s="107">
        <f t="shared" si="22"/>
        <v>3.718775920768703</v>
      </c>
      <c r="N46" s="107">
        <f t="shared" si="22"/>
        <v>3.7876087097843243</v>
      </c>
      <c r="O46" s="107">
        <f t="shared" si="22"/>
        <v>3.8504166984785884</v>
      </c>
      <c r="P46" s="107">
        <f t="shared" si="22"/>
        <v>3.9068450921185898</v>
      </c>
      <c r="Q46" s="107">
        <f t="shared" si="22"/>
        <v>3.9565693577991397</v>
      </c>
      <c r="R46" s="107">
        <f t="shared" si="22"/>
        <v>3.9992982988443542</v>
      </c>
      <c r="S46" s="107">
        <f t="shared" si="22"/>
        <v>4.0420462016269356</v>
      </c>
      <c r="T46" s="107">
        <f t="shared" si="22"/>
        <v>4.0848035420200457</v>
      </c>
      <c r="U46" s="107">
        <f t="shared" si="22"/>
        <v>4.1275606815550718</v>
      </c>
      <c r="V46" s="107">
        <f t="shared" si="22"/>
        <v>4.1703078704624046</v>
      </c>
      <c r="W46" s="107">
        <f t="shared" si="22"/>
        <v>4.2130352508131841</v>
      </c>
      <c r="X46" s="107">
        <f t="shared" si="22"/>
        <v>4.2557797341551922</v>
      </c>
      <c r="Y46" s="107">
        <f t="shared" si="22"/>
        <v>4.2985327388557435</v>
      </c>
      <c r="Z46" s="107">
        <f t="shared" si="22"/>
        <v>4.3412855863008772</v>
      </c>
      <c r="AA46" s="107">
        <f t="shared" si="22"/>
        <v>4.3840295033750696</v>
      </c>
      <c r="AB46" s="107">
        <f t="shared" si="22"/>
        <v>4.4267556250181377</v>
      </c>
      <c r="AC46" s="107">
        <f t="shared" si="22"/>
        <v>4.4694972521453922</v>
      </c>
      <c r="AD46" s="107">
        <f t="shared" si="22"/>
        <v>4.5122466114906343</v>
      </c>
      <c r="AE46" s="107">
        <f t="shared" si="22"/>
        <v>4.5549958468030418</v>
      </c>
      <c r="AF46" s="107">
        <f t="shared" si="22"/>
        <v>4.597737020889574</v>
      </c>
      <c r="AG46" s="107">
        <f t="shared" si="22"/>
        <v>4.6404621177172114</v>
      </c>
      <c r="AI46" s="210" t="s">
        <v>1308</v>
      </c>
      <c r="AJ46" s="211" t="s">
        <v>1302</v>
      </c>
      <c r="AL46" s="108"/>
      <c r="AM46" s="2"/>
      <c r="AN46" s="2"/>
      <c r="AO46" s="2"/>
    </row>
    <row r="47" spans="1:64" s="1" customFormat="1" ht="16" thickBot="1">
      <c r="A47" s="200" t="s">
        <v>1675</v>
      </c>
      <c r="B47" s="215" t="s">
        <v>1658</v>
      </c>
      <c r="C47" s="216">
        <f>SUM(C42:C46)</f>
        <v>6.2639109729489517</v>
      </c>
      <c r="D47" s="216">
        <f t="shared" ref="D47:AF47" si="24">SUM(D42:D46)</f>
        <v>6.4738866622599067</v>
      </c>
      <c r="E47" s="216">
        <f t="shared" si="24"/>
        <v>6.673410569593794</v>
      </c>
      <c r="F47" s="216">
        <f t="shared" si="24"/>
        <v>6.8611132359640763</v>
      </c>
      <c r="G47" s="216">
        <f t="shared" si="24"/>
        <v>7.0356800041223151</v>
      </c>
      <c r="H47" s="216">
        <f t="shared" si="24"/>
        <v>7.1958663561693115</v>
      </c>
      <c r="I47" s="216">
        <f t="shared" si="24"/>
        <v>7.3563495357628295</v>
      </c>
      <c r="J47" s="216">
        <f t="shared" si="24"/>
        <v>7.5169842402565479</v>
      </c>
      <c r="K47" s="216">
        <f t="shared" si="24"/>
        <v>7.677621478059983</v>
      </c>
      <c r="L47" s="216">
        <f t="shared" si="24"/>
        <v>7.8381087623980026</v>
      </c>
      <c r="M47" s="216">
        <f t="shared" si="24"/>
        <v>7.9982903181655836</v>
      </c>
      <c r="N47" s="216">
        <f t="shared" si="24"/>
        <v>8.1463349010298778</v>
      </c>
      <c r="O47" s="216">
        <f t="shared" si="24"/>
        <v>8.2814214291186534</v>
      </c>
      <c r="P47" s="216">
        <f t="shared" si="24"/>
        <v>8.4027868149704492</v>
      </c>
      <c r="Q47" s="216">
        <f t="shared" si="24"/>
        <v>8.5097330578321113</v>
      </c>
      <c r="R47" s="216">
        <f t="shared" si="24"/>
        <v>8.6016338560379779</v>
      </c>
      <c r="S47" s="216">
        <f t="shared" si="24"/>
        <v>8.69357543687868</v>
      </c>
      <c r="T47" s="216">
        <f t="shared" si="24"/>
        <v>8.7855373159977717</v>
      </c>
      <c r="U47" s="216">
        <f t="shared" si="24"/>
        <v>8.8774987631141578</v>
      </c>
      <c r="V47" s="216">
        <f t="shared" si="24"/>
        <v>8.9694388085621313</v>
      </c>
      <c r="W47" s="216">
        <f t="shared" si="24"/>
        <v>9.0613362500486261</v>
      </c>
      <c r="X47" s="216">
        <f t="shared" si="24"/>
        <v>9.1532704764052113</v>
      </c>
      <c r="Y47" s="216">
        <f t="shared" si="24"/>
        <v>9.2452230303784617</v>
      </c>
      <c r="Z47" s="216">
        <f t="shared" si="24"/>
        <v>9.3371752461289983</v>
      </c>
      <c r="AA47" s="216">
        <f t="shared" si="24"/>
        <v>9.4291082545648273</v>
      </c>
      <c r="AB47" s="216">
        <f t="shared" si="24"/>
        <v>9.5210029888406886</v>
      </c>
      <c r="AC47" s="216">
        <f t="shared" si="24"/>
        <v>9.6129310720912393</v>
      </c>
      <c r="AD47" s="216">
        <f t="shared" si="24"/>
        <v>9.7048757856861769</v>
      </c>
      <c r="AE47" s="216">
        <f t="shared" si="24"/>
        <v>9.7968202325130598</v>
      </c>
      <c r="AF47" s="216">
        <f t="shared" si="24"/>
        <v>9.8887473413700739</v>
      </c>
      <c r="AG47" s="216">
        <f>SUM(AG42:AG46)</f>
        <v>9.9806398714874938</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v>
      </c>
      <c r="D49" s="222">
        <f t="shared" ref="D49:AG49" si="25">D52</f>
        <v>0</v>
      </c>
      <c r="E49" s="222">
        <f t="shared" si="25"/>
        <v>0</v>
      </c>
      <c r="F49" s="222">
        <f t="shared" si="25"/>
        <v>0</v>
      </c>
      <c r="G49" s="222">
        <f t="shared" si="25"/>
        <v>0</v>
      </c>
      <c r="H49" s="222">
        <f t="shared" si="25"/>
        <v>0</v>
      </c>
      <c r="I49" s="222">
        <f t="shared" si="25"/>
        <v>0</v>
      </c>
      <c r="J49" s="222">
        <f t="shared" si="25"/>
        <v>0</v>
      </c>
      <c r="K49" s="222">
        <f t="shared" si="25"/>
        <v>0</v>
      </c>
      <c r="L49" s="222">
        <f t="shared" si="25"/>
        <v>0</v>
      </c>
      <c r="M49" s="222">
        <f t="shared" si="25"/>
        <v>0</v>
      </c>
      <c r="N49" s="222">
        <f t="shared" si="25"/>
        <v>0</v>
      </c>
      <c r="O49" s="222">
        <f t="shared" si="25"/>
        <v>0</v>
      </c>
      <c r="P49" s="222">
        <f t="shared" si="25"/>
        <v>0</v>
      </c>
      <c r="Q49" s="222">
        <f t="shared" si="25"/>
        <v>0</v>
      </c>
      <c r="R49" s="222">
        <f t="shared" si="25"/>
        <v>0</v>
      </c>
      <c r="S49" s="222">
        <f t="shared" si="25"/>
        <v>0</v>
      </c>
      <c r="T49" s="222">
        <f t="shared" si="25"/>
        <v>0</v>
      </c>
      <c r="U49" s="222">
        <f t="shared" si="25"/>
        <v>0</v>
      </c>
      <c r="V49" s="222">
        <f t="shared" si="25"/>
        <v>0</v>
      </c>
      <c r="W49" s="222">
        <f t="shared" si="25"/>
        <v>0</v>
      </c>
      <c r="X49" s="222">
        <f t="shared" si="25"/>
        <v>0</v>
      </c>
      <c r="Y49" s="222">
        <f t="shared" si="25"/>
        <v>0</v>
      </c>
      <c r="Z49" s="222">
        <f t="shared" si="25"/>
        <v>0</v>
      </c>
      <c r="AA49" s="222">
        <f t="shared" si="25"/>
        <v>0</v>
      </c>
      <c r="AB49" s="222">
        <f t="shared" si="25"/>
        <v>0</v>
      </c>
      <c r="AC49" s="222">
        <f t="shared" si="25"/>
        <v>0</v>
      </c>
      <c r="AD49" s="222">
        <f t="shared" si="25"/>
        <v>0</v>
      </c>
      <c r="AE49" s="222">
        <f t="shared" si="25"/>
        <v>0</v>
      </c>
      <c r="AF49" s="222">
        <f t="shared" si="25"/>
        <v>0</v>
      </c>
      <c r="AG49" s="222">
        <f t="shared" si="25"/>
        <v>0</v>
      </c>
      <c r="AJ49" s="231" t="s">
        <v>1312</v>
      </c>
      <c r="AL49" s="217"/>
      <c r="AM49" s="218"/>
      <c r="AN49" s="218"/>
      <c r="AO49" s="218"/>
    </row>
    <row r="50" spans="1:63" ht="16" outlineLevel="1" thickTop="1">
      <c r="A50" t="s">
        <v>1313</v>
      </c>
      <c r="B50" s="54" t="s">
        <v>462</v>
      </c>
      <c r="C50" s="113">
        <v>0</v>
      </c>
      <c r="D50" s="110">
        <f>$C50+($M50-$C50)/10*(D$1-$C$1)</f>
        <v>0</v>
      </c>
      <c r="E50" s="110">
        <f t="shared" ref="E50:L51" si="26">$C50+($M50-$C50)/10*(E$1-$C$1)</f>
        <v>0</v>
      </c>
      <c r="F50" s="110">
        <f t="shared" si="26"/>
        <v>0</v>
      </c>
      <c r="G50" s="110">
        <f t="shared" si="26"/>
        <v>0</v>
      </c>
      <c r="H50" s="110">
        <f t="shared" si="26"/>
        <v>0</v>
      </c>
      <c r="I50" s="110">
        <f t="shared" si="26"/>
        <v>0</v>
      </c>
      <c r="J50" s="110">
        <f t="shared" si="26"/>
        <v>0</v>
      </c>
      <c r="K50" s="110">
        <f t="shared" si="26"/>
        <v>0</v>
      </c>
      <c r="L50" s="110">
        <f t="shared" si="26"/>
        <v>0</v>
      </c>
      <c r="M50" s="113">
        <v>0</v>
      </c>
      <c r="N50" s="110">
        <f>$M50+($W50-$M50)/10*(N$1-$M$1)</f>
        <v>0</v>
      </c>
      <c r="O50" s="110">
        <f t="shared" ref="O50:U51" si="27">$M50+($W50-$M50)/10*(O$1-$M$1)</f>
        <v>0</v>
      </c>
      <c r="P50" s="110">
        <f t="shared" si="27"/>
        <v>0</v>
      </c>
      <c r="Q50" s="110">
        <f t="shared" si="27"/>
        <v>0</v>
      </c>
      <c r="R50" s="110">
        <f t="shared" si="27"/>
        <v>0</v>
      </c>
      <c r="S50" s="110">
        <f t="shared" si="27"/>
        <v>0</v>
      </c>
      <c r="T50" s="110">
        <f t="shared" si="27"/>
        <v>0</v>
      </c>
      <c r="U50" s="110">
        <f t="shared" si="27"/>
        <v>0</v>
      </c>
      <c r="V50" s="110">
        <f>$M50+($W50-$M50)/10*(V$1-$M$1)</f>
        <v>0</v>
      </c>
      <c r="W50" s="113">
        <v>0</v>
      </c>
      <c r="X50" s="110">
        <f>$W50+($AG50-$W50)/10*(X$1-$W$1)</f>
        <v>0</v>
      </c>
      <c r="Y50" s="110">
        <f t="shared" ref="Y50:AF51" si="28">$W50+($AG50-$W50)/10*(Y$1-$W$1)</f>
        <v>0</v>
      </c>
      <c r="Z50" s="110">
        <f t="shared" si="28"/>
        <v>0</v>
      </c>
      <c r="AA50" s="110">
        <f t="shared" si="28"/>
        <v>0</v>
      </c>
      <c r="AB50" s="110">
        <f t="shared" si="28"/>
        <v>0</v>
      </c>
      <c r="AC50" s="110">
        <f t="shared" si="28"/>
        <v>0</v>
      </c>
      <c r="AD50" s="110">
        <f t="shared" si="28"/>
        <v>0</v>
      </c>
      <c r="AE50" s="110">
        <f t="shared" si="28"/>
        <v>0</v>
      </c>
      <c r="AF50" s="110">
        <f t="shared" si="28"/>
        <v>0</v>
      </c>
      <c r="AG50" s="110">
        <v>0</v>
      </c>
      <c r="AI50" s="133"/>
      <c r="AJ50" s="211" t="s">
        <v>1431</v>
      </c>
      <c r="AL50" s="108"/>
      <c r="AM50" s="2"/>
      <c r="AN50" s="2"/>
      <c r="AO50" s="2"/>
      <c r="AV50" s="41"/>
    </row>
    <row r="51" spans="1:63" outlineLevel="1">
      <c r="A51" t="s">
        <v>1315</v>
      </c>
      <c r="B51" s="54" t="s">
        <v>462</v>
      </c>
      <c r="C51" s="113">
        <v>0</v>
      </c>
      <c r="D51" s="110">
        <f>$C51+($M51-$C51)/10*(D$1-$C$1)</f>
        <v>0</v>
      </c>
      <c r="E51" s="110">
        <f t="shared" si="26"/>
        <v>0</v>
      </c>
      <c r="F51" s="110">
        <f t="shared" si="26"/>
        <v>0</v>
      </c>
      <c r="G51" s="110">
        <f t="shared" si="26"/>
        <v>0</v>
      </c>
      <c r="H51" s="110">
        <f t="shared" si="26"/>
        <v>0</v>
      </c>
      <c r="I51" s="110">
        <f t="shared" si="26"/>
        <v>0</v>
      </c>
      <c r="J51" s="110">
        <f t="shared" si="26"/>
        <v>0</v>
      </c>
      <c r="K51" s="110">
        <f t="shared" si="26"/>
        <v>0</v>
      </c>
      <c r="L51" s="110">
        <f t="shared" si="26"/>
        <v>0</v>
      </c>
      <c r="M51" s="113">
        <v>0</v>
      </c>
      <c r="N51" s="110">
        <f>$M51+($W51-$M51)/10*(N$1-$M$1)</f>
        <v>0</v>
      </c>
      <c r="O51" s="110">
        <f t="shared" si="27"/>
        <v>0</v>
      </c>
      <c r="P51" s="110">
        <f t="shared" si="27"/>
        <v>0</v>
      </c>
      <c r="Q51" s="110">
        <f t="shared" si="27"/>
        <v>0</v>
      </c>
      <c r="R51" s="110">
        <f t="shared" si="27"/>
        <v>0</v>
      </c>
      <c r="S51" s="110">
        <f t="shared" si="27"/>
        <v>0</v>
      </c>
      <c r="T51" s="110">
        <f t="shared" si="27"/>
        <v>0</v>
      </c>
      <c r="U51" s="110">
        <f t="shared" si="27"/>
        <v>0</v>
      </c>
      <c r="V51" s="110">
        <f>$M51+($W51-$M51)/10*(V$1-$M$1)</f>
        <v>0</v>
      </c>
      <c r="W51" s="113">
        <v>0</v>
      </c>
      <c r="X51" s="110">
        <f>$W51+($AG51-$W51)/10*(X$1-$W$1)</f>
        <v>0</v>
      </c>
      <c r="Y51" s="110">
        <f t="shared" si="28"/>
        <v>0</v>
      </c>
      <c r="Z51" s="110">
        <f t="shared" si="28"/>
        <v>0</v>
      </c>
      <c r="AA51" s="110">
        <f t="shared" si="28"/>
        <v>0</v>
      </c>
      <c r="AB51" s="110">
        <f t="shared" si="28"/>
        <v>0</v>
      </c>
      <c r="AC51" s="110">
        <f t="shared" si="28"/>
        <v>0</v>
      </c>
      <c r="AD51" s="110">
        <f t="shared" si="28"/>
        <v>0</v>
      </c>
      <c r="AE51" s="110">
        <f t="shared" si="28"/>
        <v>0</v>
      </c>
      <c r="AF51" s="110">
        <f t="shared" si="28"/>
        <v>0</v>
      </c>
      <c r="AG51" s="110">
        <v>0</v>
      </c>
      <c r="AI51" s="133"/>
      <c r="AJ51" s="211" t="s">
        <v>1431</v>
      </c>
      <c r="AL51" s="108"/>
      <c r="AM51" s="2"/>
      <c r="AN51" s="2"/>
      <c r="AO51" s="2"/>
      <c r="AV51" s="41"/>
    </row>
    <row r="52" spans="1:63" outlineLevel="1">
      <c r="A52" t="s">
        <v>1316</v>
      </c>
      <c r="B52" s="176" t="s">
        <v>462</v>
      </c>
      <c r="C52" s="110">
        <f>C50+C51</f>
        <v>0</v>
      </c>
      <c r="D52" s="110">
        <f t="shared" ref="D52:AF52" si="29">D50+D51</f>
        <v>0</v>
      </c>
      <c r="E52" s="110">
        <f t="shared" si="29"/>
        <v>0</v>
      </c>
      <c r="F52" s="110">
        <f t="shared" si="29"/>
        <v>0</v>
      </c>
      <c r="G52" s="110">
        <f t="shared" si="29"/>
        <v>0</v>
      </c>
      <c r="H52" s="110">
        <f t="shared" si="29"/>
        <v>0</v>
      </c>
      <c r="I52" s="110">
        <f t="shared" si="29"/>
        <v>0</v>
      </c>
      <c r="J52" s="110">
        <f t="shared" si="29"/>
        <v>0</v>
      </c>
      <c r="K52" s="110">
        <f t="shared" si="29"/>
        <v>0</v>
      </c>
      <c r="L52" s="110">
        <f t="shared" si="29"/>
        <v>0</v>
      </c>
      <c r="M52" s="110">
        <f t="shared" si="29"/>
        <v>0</v>
      </c>
      <c r="N52" s="110">
        <f t="shared" si="29"/>
        <v>0</v>
      </c>
      <c r="O52" s="110">
        <f t="shared" si="29"/>
        <v>0</v>
      </c>
      <c r="P52" s="110">
        <f t="shared" si="29"/>
        <v>0</v>
      </c>
      <c r="Q52" s="110">
        <f t="shared" si="29"/>
        <v>0</v>
      </c>
      <c r="R52" s="110">
        <f t="shared" si="29"/>
        <v>0</v>
      </c>
      <c r="S52" s="110">
        <f t="shared" si="29"/>
        <v>0</v>
      </c>
      <c r="T52" s="110">
        <f t="shared" si="29"/>
        <v>0</v>
      </c>
      <c r="U52" s="110">
        <f t="shared" si="29"/>
        <v>0</v>
      </c>
      <c r="V52" s="110">
        <f t="shared" si="29"/>
        <v>0</v>
      </c>
      <c r="W52" s="110">
        <f t="shared" si="29"/>
        <v>0</v>
      </c>
      <c r="X52" s="110">
        <f t="shared" si="29"/>
        <v>0</v>
      </c>
      <c r="Y52" s="110">
        <f t="shared" si="29"/>
        <v>0</v>
      </c>
      <c r="Z52" s="110">
        <f t="shared" si="29"/>
        <v>0</v>
      </c>
      <c r="AA52" s="110">
        <f t="shared" si="29"/>
        <v>0</v>
      </c>
      <c r="AB52" s="110">
        <f t="shared" si="29"/>
        <v>0</v>
      </c>
      <c r="AC52" s="110">
        <f t="shared" si="29"/>
        <v>0</v>
      </c>
      <c r="AD52" s="110">
        <f t="shared" si="29"/>
        <v>0</v>
      </c>
      <c r="AE52" s="110">
        <f t="shared" si="29"/>
        <v>0</v>
      </c>
      <c r="AF52" s="110">
        <f t="shared" si="29"/>
        <v>0</v>
      </c>
      <c r="AG52" s="110">
        <f>AG50+AG51</f>
        <v>0</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HC'!C570</f>
        <v>0</v>
      </c>
      <c r="D54" s="110">
        <f>'Ethylene Recycling HC'!D570</f>
        <v>0</v>
      </c>
      <c r="E54" s="110">
        <f>'Ethylene Recycling HC'!E570</f>
        <v>0</v>
      </c>
      <c r="F54" s="110">
        <f>'Ethylene Recycling HC'!F570</f>
        <v>0</v>
      </c>
      <c r="G54" s="110">
        <f>'Ethylene Recycling HC'!G570</f>
        <v>0</v>
      </c>
      <c r="H54" s="110">
        <f>'Ethylene Recycling HC'!H570</f>
        <v>0</v>
      </c>
      <c r="I54" s="110">
        <f>'Ethylene Recycling HC'!I570</f>
        <v>0</v>
      </c>
      <c r="J54" s="110">
        <f>'Ethylene Recycling HC'!J570</f>
        <v>0</v>
      </c>
      <c r="K54" s="110">
        <f>'Ethylene Recycling HC'!K570</f>
        <v>0</v>
      </c>
      <c r="L54" s="110">
        <f>'Ethylene Recycling HC'!L570</f>
        <v>0</v>
      </c>
      <c r="M54" s="110">
        <f>'Ethylene Recycling HC'!M570</f>
        <v>0</v>
      </c>
      <c r="N54" s="110">
        <f>'Ethylene Recycling HC'!N570</f>
        <v>0</v>
      </c>
      <c r="O54" s="110">
        <f>'Ethylene Recycling HC'!O570</f>
        <v>0</v>
      </c>
      <c r="P54" s="110">
        <f>'Ethylene Recycling HC'!P570</f>
        <v>0</v>
      </c>
      <c r="Q54" s="110">
        <f>'Ethylene Recycling HC'!Q570</f>
        <v>0</v>
      </c>
      <c r="R54" s="110">
        <f>'Ethylene Recycling HC'!R570</f>
        <v>0</v>
      </c>
      <c r="S54" s="110">
        <f>'Ethylene Recycling HC'!S570</f>
        <v>0</v>
      </c>
      <c r="T54" s="110">
        <f>'Ethylene Recycling HC'!T570</f>
        <v>0</v>
      </c>
      <c r="U54" s="110">
        <f>'Ethylene Recycling HC'!U570</f>
        <v>0</v>
      </c>
      <c r="V54" s="110">
        <f>'Ethylene Recycling HC'!V570</f>
        <v>0</v>
      </c>
      <c r="W54" s="110">
        <f>'Ethylene Recycling HC'!W570</f>
        <v>0</v>
      </c>
      <c r="X54" s="110">
        <f>'Ethylene Recycling HC'!X570</f>
        <v>0</v>
      </c>
      <c r="Y54" s="110">
        <f>'Ethylene Recycling HC'!Y570</f>
        <v>0</v>
      </c>
      <c r="Z54" s="110">
        <f>'Ethylene Recycling HC'!Z570</f>
        <v>0</v>
      </c>
      <c r="AA54" s="110">
        <f>'Ethylene Recycling HC'!AA570</f>
        <v>0</v>
      </c>
      <c r="AB54" s="110">
        <f>'Ethylene Recycling HC'!AB570</f>
        <v>0</v>
      </c>
      <c r="AC54" s="110">
        <f>'Ethylene Recycling HC'!AC570</f>
        <v>0</v>
      </c>
      <c r="AD54" s="110">
        <f>'Ethylene Recycling HC'!AD570</f>
        <v>0</v>
      </c>
      <c r="AE54" s="110">
        <f>'Ethylene Recycling HC'!AE570</f>
        <v>0</v>
      </c>
      <c r="AF54" s="110">
        <f>'Ethylene Recycling HC'!AF570</f>
        <v>0</v>
      </c>
      <c r="AG54" s="110">
        <f>'Ethylene Recycling HC'!AG570</f>
        <v>0</v>
      </c>
      <c r="AI54" s="133"/>
      <c r="AJ54" s="211" t="s">
        <v>1432</v>
      </c>
      <c r="AL54" s="108"/>
      <c r="AM54" s="2"/>
      <c r="AN54" s="2"/>
      <c r="AO54" s="2"/>
      <c r="AV54" s="41"/>
    </row>
    <row r="55" spans="1:63" outlineLevel="1">
      <c r="A55" t="s">
        <v>1318</v>
      </c>
      <c r="C55" s="110">
        <v>0</v>
      </c>
      <c r="D55" s="110">
        <v>0</v>
      </c>
      <c r="E55" s="110">
        <v>0</v>
      </c>
      <c r="F55" s="110">
        <v>0</v>
      </c>
      <c r="G55" s="110">
        <v>0</v>
      </c>
      <c r="H55" s="110">
        <v>0</v>
      </c>
      <c r="I55" s="110">
        <v>0</v>
      </c>
      <c r="J55" s="110">
        <v>0</v>
      </c>
      <c r="K55" s="110">
        <v>0</v>
      </c>
      <c r="L55" s="110">
        <v>0</v>
      </c>
      <c r="M55" s="110">
        <v>0</v>
      </c>
      <c r="N55" s="110">
        <v>0</v>
      </c>
      <c r="O55" s="110">
        <v>0</v>
      </c>
      <c r="P55" s="110">
        <v>0</v>
      </c>
      <c r="Q55" s="110">
        <v>0</v>
      </c>
      <c r="R55" s="110">
        <v>0</v>
      </c>
      <c r="S55" s="110">
        <v>0</v>
      </c>
      <c r="T55" s="110">
        <v>0</v>
      </c>
      <c r="U55" s="110">
        <v>0</v>
      </c>
      <c r="V55" s="110">
        <v>0</v>
      </c>
      <c r="W55" s="110">
        <v>0</v>
      </c>
      <c r="X55" s="110">
        <v>0</v>
      </c>
      <c r="Y55" s="110">
        <v>0</v>
      </c>
      <c r="Z55" s="110">
        <v>0</v>
      </c>
      <c r="AA55" s="110">
        <v>0</v>
      </c>
      <c r="AB55" s="110">
        <v>0</v>
      </c>
      <c r="AC55" s="110">
        <v>0</v>
      </c>
      <c r="AD55" s="110">
        <v>0</v>
      </c>
      <c r="AE55" s="110">
        <v>0</v>
      </c>
      <c r="AF55" s="110">
        <v>0</v>
      </c>
      <c r="AG55" s="110">
        <v>0</v>
      </c>
      <c r="AI55" s="133"/>
      <c r="AJ55" s="211" t="s">
        <v>1432</v>
      </c>
      <c r="AL55" s="108"/>
      <c r="AM55" s="2"/>
      <c r="AN55" s="2"/>
      <c r="AO55" s="2"/>
      <c r="AV55" s="41"/>
    </row>
    <row r="56" spans="1:63" outlineLevel="1">
      <c r="A56" t="s">
        <v>1433</v>
      </c>
      <c r="B56" s="54" t="s">
        <v>462</v>
      </c>
      <c r="C56" s="110">
        <v>0</v>
      </c>
      <c r="D56" s="110">
        <v>0</v>
      </c>
      <c r="E56" s="110">
        <v>0</v>
      </c>
      <c r="F56" s="110">
        <v>0</v>
      </c>
      <c r="G56" s="110">
        <v>0</v>
      </c>
      <c r="H56" s="110">
        <v>0</v>
      </c>
      <c r="I56" s="110">
        <v>0</v>
      </c>
      <c r="J56" s="110">
        <v>0</v>
      </c>
      <c r="K56" s="110">
        <v>0</v>
      </c>
      <c r="L56" s="110">
        <v>0</v>
      </c>
      <c r="M56" s="110">
        <v>0</v>
      </c>
      <c r="N56" s="110">
        <v>0</v>
      </c>
      <c r="O56" s="110">
        <v>0</v>
      </c>
      <c r="P56" s="110">
        <v>0</v>
      </c>
      <c r="Q56" s="110">
        <v>0</v>
      </c>
      <c r="R56" s="110">
        <v>0</v>
      </c>
      <c r="S56" s="110">
        <v>0</v>
      </c>
      <c r="T56" s="110">
        <v>0</v>
      </c>
      <c r="U56" s="110">
        <v>0</v>
      </c>
      <c r="V56" s="110">
        <v>0</v>
      </c>
      <c r="W56" s="110">
        <v>0</v>
      </c>
      <c r="X56" s="110">
        <v>0</v>
      </c>
      <c r="Y56" s="110">
        <v>0</v>
      </c>
      <c r="Z56" s="110">
        <v>0</v>
      </c>
      <c r="AA56" s="110">
        <v>0</v>
      </c>
      <c r="AB56" s="110">
        <v>0</v>
      </c>
      <c r="AC56" s="110">
        <v>0</v>
      </c>
      <c r="AD56" s="110">
        <v>0</v>
      </c>
      <c r="AE56" s="110">
        <v>0</v>
      </c>
      <c r="AF56" s="110">
        <v>0</v>
      </c>
      <c r="AG56" s="110">
        <v>0</v>
      </c>
      <c r="AI56" s="133"/>
      <c r="AJ56" s="211" t="s">
        <v>1432</v>
      </c>
      <c r="AL56" s="108"/>
      <c r="AM56" s="2"/>
      <c r="AN56" s="2"/>
      <c r="AO56" s="2"/>
      <c r="AV56" s="41"/>
    </row>
    <row r="57" spans="1:63" outlineLevel="1">
      <c r="A57" t="s">
        <v>1319</v>
      </c>
      <c r="B57" s="54" t="s">
        <v>462</v>
      </c>
      <c r="C57" s="110">
        <v>0</v>
      </c>
      <c r="D57" s="110">
        <v>0</v>
      </c>
      <c r="E57" s="110">
        <v>0</v>
      </c>
      <c r="F57" s="110">
        <v>0</v>
      </c>
      <c r="G57" s="110">
        <v>0</v>
      </c>
      <c r="H57" s="110">
        <v>0</v>
      </c>
      <c r="I57" s="110">
        <v>0</v>
      </c>
      <c r="J57" s="110">
        <v>0</v>
      </c>
      <c r="K57" s="110">
        <v>0</v>
      </c>
      <c r="L57" s="110">
        <v>0</v>
      </c>
      <c r="M57" s="110">
        <v>0</v>
      </c>
      <c r="N57" s="110">
        <v>0</v>
      </c>
      <c r="O57" s="110">
        <v>0</v>
      </c>
      <c r="P57" s="110">
        <v>0</v>
      </c>
      <c r="Q57" s="110">
        <v>0</v>
      </c>
      <c r="R57" s="110">
        <v>0</v>
      </c>
      <c r="S57" s="110">
        <v>0</v>
      </c>
      <c r="T57" s="110">
        <v>0</v>
      </c>
      <c r="U57" s="110">
        <v>0</v>
      </c>
      <c r="V57" s="110">
        <v>0</v>
      </c>
      <c r="W57" s="110">
        <v>0</v>
      </c>
      <c r="X57" s="110">
        <v>0</v>
      </c>
      <c r="Y57" s="110">
        <v>0</v>
      </c>
      <c r="Z57" s="110">
        <v>0</v>
      </c>
      <c r="AA57" s="110">
        <v>0</v>
      </c>
      <c r="AB57" s="110">
        <v>0</v>
      </c>
      <c r="AC57" s="110">
        <v>0</v>
      </c>
      <c r="AD57" s="110">
        <v>0</v>
      </c>
      <c r="AE57" s="110">
        <v>0</v>
      </c>
      <c r="AF57" s="110">
        <v>0</v>
      </c>
      <c r="AG57" s="110">
        <v>0</v>
      </c>
      <c r="AI57" s="133"/>
      <c r="AJ57" s="211" t="s">
        <v>1432</v>
      </c>
      <c r="AL57" s="108"/>
      <c r="AM57" s="2"/>
      <c r="AN57" s="2"/>
      <c r="AO57" s="2"/>
      <c r="AV57" s="41"/>
    </row>
    <row r="58" spans="1:63" outlineLevel="1">
      <c r="A58" t="s">
        <v>1317</v>
      </c>
      <c r="B58" s="54" t="s">
        <v>462</v>
      </c>
      <c r="C58" s="110">
        <v>0</v>
      </c>
      <c r="D58" s="110">
        <v>0</v>
      </c>
      <c r="E58" s="110">
        <v>0</v>
      </c>
      <c r="F58" s="110">
        <v>0</v>
      </c>
      <c r="G58" s="110">
        <v>0</v>
      </c>
      <c r="H58" s="110">
        <v>0</v>
      </c>
      <c r="I58" s="110">
        <v>0</v>
      </c>
      <c r="J58" s="110">
        <v>0</v>
      </c>
      <c r="K58" s="110">
        <v>0</v>
      </c>
      <c r="L58" s="110">
        <v>0</v>
      </c>
      <c r="M58" s="110">
        <v>0</v>
      </c>
      <c r="N58" s="110">
        <v>0</v>
      </c>
      <c r="O58" s="110">
        <v>0</v>
      </c>
      <c r="P58" s="110">
        <v>0</v>
      </c>
      <c r="Q58" s="110">
        <v>0</v>
      </c>
      <c r="R58" s="110">
        <v>0</v>
      </c>
      <c r="S58" s="110">
        <v>0</v>
      </c>
      <c r="T58" s="110">
        <v>0</v>
      </c>
      <c r="U58" s="110">
        <v>0</v>
      </c>
      <c r="V58" s="110">
        <v>0</v>
      </c>
      <c r="W58" s="110">
        <v>0</v>
      </c>
      <c r="X58" s="110">
        <v>0</v>
      </c>
      <c r="Y58" s="110">
        <v>0</v>
      </c>
      <c r="Z58" s="110">
        <v>0</v>
      </c>
      <c r="AA58" s="110">
        <v>0</v>
      </c>
      <c r="AB58" s="110">
        <v>0</v>
      </c>
      <c r="AC58" s="110">
        <v>0</v>
      </c>
      <c r="AD58" s="110">
        <v>0</v>
      </c>
      <c r="AE58" s="110">
        <v>0</v>
      </c>
      <c r="AF58" s="110">
        <v>0</v>
      </c>
      <c r="AG58" s="110">
        <v>0</v>
      </c>
      <c r="AH58" s="271"/>
      <c r="AI58" s="133"/>
      <c r="AJ58" s="211"/>
      <c r="AL58" s="108"/>
      <c r="AM58" s="2"/>
      <c r="AN58" s="2"/>
      <c r="AO58" s="2"/>
    </row>
    <row r="59" spans="1:63" outlineLevel="1">
      <c r="A59" t="s">
        <v>1318</v>
      </c>
      <c r="B59" s="54" t="s">
        <v>462</v>
      </c>
      <c r="C59" s="110">
        <v>0</v>
      </c>
      <c r="D59" s="110">
        <v>0</v>
      </c>
      <c r="E59" s="110">
        <v>0</v>
      </c>
      <c r="F59" s="110">
        <v>0</v>
      </c>
      <c r="G59" s="110">
        <v>0</v>
      </c>
      <c r="H59" s="110">
        <v>0</v>
      </c>
      <c r="I59" s="110">
        <v>0</v>
      </c>
      <c r="J59" s="110">
        <v>0</v>
      </c>
      <c r="K59" s="110">
        <v>0</v>
      </c>
      <c r="L59" s="110">
        <v>0</v>
      </c>
      <c r="M59" s="110">
        <v>0</v>
      </c>
      <c r="N59" s="110">
        <v>0</v>
      </c>
      <c r="O59" s="110">
        <v>0</v>
      </c>
      <c r="P59" s="110">
        <v>0</v>
      </c>
      <c r="Q59" s="110">
        <v>0</v>
      </c>
      <c r="R59" s="110">
        <v>0</v>
      </c>
      <c r="S59" s="110">
        <v>0</v>
      </c>
      <c r="T59" s="110">
        <v>0</v>
      </c>
      <c r="U59" s="110">
        <v>0</v>
      </c>
      <c r="V59" s="110">
        <v>0</v>
      </c>
      <c r="W59" s="110">
        <v>0</v>
      </c>
      <c r="X59" s="110">
        <v>0</v>
      </c>
      <c r="Y59" s="110">
        <v>0</v>
      </c>
      <c r="Z59" s="110">
        <v>0</v>
      </c>
      <c r="AA59" s="110">
        <v>0</v>
      </c>
      <c r="AB59" s="110">
        <v>0</v>
      </c>
      <c r="AC59" s="110">
        <v>0</v>
      </c>
      <c r="AD59" s="110">
        <v>0</v>
      </c>
      <c r="AE59" s="110">
        <v>0</v>
      </c>
      <c r="AF59" s="110">
        <v>0</v>
      </c>
      <c r="AG59" s="110">
        <v>0</v>
      </c>
      <c r="AH59" s="271"/>
      <c r="AJ59" s="211"/>
      <c r="AL59" s="108"/>
      <c r="AM59" s="2"/>
      <c r="AN59" s="2"/>
      <c r="AO59" s="2"/>
      <c r="BC59" s="1"/>
      <c r="BD59" s="2"/>
      <c r="BE59" s="2"/>
      <c r="BF59" s="2"/>
      <c r="BG59" s="2"/>
      <c r="BH59" s="2"/>
      <c r="BI59" s="2"/>
      <c r="BJ59" s="2"/>
      <c r="BK59" s="2"/>
    </row>
    <row r="60" spans="1:63" outlineLevel="1">
      <c r="A60" t="s">
        <v>1433</v>
      </c>
      <c r="C60" s="110">
        <v>0</v>
      </c>
      <c r="D60" s="110">
        <v>0</v>
      </c>
      <c r="E60" s="110">
        <v>0</v>
      </c>
      <c r="F60" s="110">
        <v>0</v>
      </c>
      <c r="G60" s="110">
        <v>0</v>
      </c>
      <c r="H60" s="110">
        <v>0</v>
      </c>
      <c r="I60" s="110">
        <v>0</v>
      </c>
      <c r="J60" s="110">
        <v>0</v>
      </c>
      <c r="K60" s="110">
        <v>0</v>
      </c>
      <c r="L60" s="110">
        <v>0</v>
      </c>
      <c r="M60" s="110">
        <v>0</v>
      </c>
      <c r="N60" s="110">
        <v>0</v>
      </c>
      <c r="O60" s="110">
        <v>0</v>
      </c>
      <c r="P60" s="110">
        <v>0</v>
      </c>
      <c r="Q60" s="110">
        <v>0</v>
      </c>
      <c r="R60" s="110">
        <v>0</v>
      </c>
      <c r="S60" s="110">
        <v>0</v>
      </c>
      <c r="T60" s="110">
        <v>0</v>
      </c>
      <c r="U60" s="110">
        <v>0</v>
      </c>
      <c r="V60" s="110">
        <v>0</v>
      </c>
      <c r="W60" s="110">
        <v>0</v>
      </c>
      <c r="X60" s="110">
        <v>0</v>
      </c>
      <c r="Y60" s="110">
        <v>0</v>
      </c>
      <c r="Z60" s="110">
        <v>0</v>
      </c>
      <c r="AA60" s="110">
        <v>0</v>
      </c>
      <c r="AB60" s="110">
        <v>0</v>
      </c>
      <c r="AC60" s="110">
        <v>0</v>
      </c>
      <c r="AD60" s="110">
        <v>0</v>
      </c>
      <c r="AE60" s="110">
        <v>0</v>
      </c>
      <c r="AF60" s="110">
        <v>0</v>
      </c>
      <c r="AG60" s="110">
        <v>0</v>
      </c>
      <c r="AH60" s="271"/>
      <c r="AJ60" s="211"/>
      <c r="AL60" s="108"/>
      <c r="AM60" s="2"/>
      <c r="AN60" s="2"/>
      <c r="AO60" s="2"/>
      <c r="BC60" s="1"/>
      <c r="BD60" s="2"/>
      <c r="BE60" s="2"/>
      <c r="BF60" s="2"/>
      <c r="BG60" s="2"/>
      <c r="BH60" s="2"/>
      <c r="BI60" s="2"/>
      <c r="BJ60" s="2"/>
      <c r="BK60" s="2"/>
    </row>
    <row r="61" spans="1:63" outlineLevel="1">
      <c r="A61" t="s">
        <v>1319</v>
      </c>
      <c r="B61" s="54" t="s">
        <v>462</v>
      </c>
      <c r="C61" s="110">
        <v>0</v>
      </c>
      <c r="D61" s="110">
        <v>0</v>
      </c>
      <c r="E61" s="110">
        <v>0</v>
      </c>
      <c r="F61" s="110">
        <v>0</v>
      </c>
      <c r="G61" s="110">
        <v>0</v>
      </c>
      <c r="H61" s="110">
        <v>0</v>
      </c>
      <c r="I61" s="110">
        <v>0</v>
      </c>
      <c r="J61" s="110">
        <v>0</v>
      </c>
      <c r="K61" s="110">
        <v>0</v>
      </c>
      <c r="L61" s="110">
        <v>0</v>
      </c>
      <c r="M61" s="110">
        <v>0</v>
      </c>
      <c r="N61" s="110">
        <v>0</v>
      </c>
      <c r="O61" s="110">
        <v>0</v>
      </c>
      <c r="P61" s="110">
        <v>0</v>
      </c>
      <c r="Q61" s="110">
        <v>0</v>
      </c>
      <c r="R61" s="110">
        <v>0</v>
      </c>
      <c r="S61" s="110">
        <v>0</v>
      </c>
      <c r="T61" s="110">
        <v>0</v>
      </c>
      <c r="U61" s="110">
        <v>0</v>
      </c>
      <c r="V61" s="110">
        <v>0</v>
      </c>
      <c r="W61" s="110">
        <v>0</v>
      </c>
      <c r="X61" s="110">
        <v>0</v>
      </c>
      <c r="Y61" s="110">
        <v>0</v>
      </c>
      <c r="Z61" s="110">
        <v>0</v>
      </c>
      <c r="AA61" s="110">
        <v>0</v>
      </c>
      <c r="AB61" s="110">
        <v>0</v>
      </c>
      <c r="AC61" s="110">
        <v>0</v>
      </c>
      <c r="AD61" s="110">
        <v>0</v>
      </c>
      <c r="AE61" s="110">
        <v>0</v>
      </c>
      <c r="AF61" s="110">
        <v>0</v>
      </c>
      <c r="AG61" s="110">
        <v>0</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1676</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1677</v>
      </c>
      <c r="B64" s="54" t="s">
        <v>462</v>
      </c>
      <c r="C64" s="110">
        <f>C50*C$63</f>
        <v>0</v>
      </c>
      <c r="D64" s="110">
        <f t="shared" ref="D64:AG65" si="31">D50*D$63</f>
        <v>0</v>
      </c>
      <c r="E64" s="110">
        <f t="shared" si="31"/>
        <v>0</v>
      </c>
      <c r="F64" s="110">
        <f t="shared" si="31"/>
        <v>0</v>
      </c>
      <c r="G64" s="110">
        <f t="shared" si="31"/>
        <v>0</v>
      </c>
      <c r="H64" s="110">
        <f t="shared" si="31"/>
        <v>0</v>
      </c>
      <c r="I64" s="110">
        <f t="shared" si="31"/>
        <v>0</v>
      </c>
      <c r="J64" s="110">
        <f t="shared" si="31"/>
        <v>0</v>
      </c>
      <c r="K64" s="110">
        <f t="shared" si="31"/>
        <v>0</v>
      </c>
      <c r="L64" s="110">
        <f t="shared" si="31"/>
        <v>0</v>
      </c>
      <c r="M64" s="110">
        <f>M50*M$63</f>
        <v>0</v>
      </c>
      <c r="N64" s="110">
        <f t="shared" si="31"/>
        <v>0</v>
      </c>
      <c r="O64" s="110">
        <f t="shared" si="31"/>
        <v>0</v>
      </c>
      <c r="P64" s="110">
        <f t="shared" si="31"/>
        <v>0</v>
      </c>
      <c r="Q64" s="110">
        <f t="shared" si="31"/>
        <v>0</v>
      </c>
      <c r="R64" s="110">
        <f t="shared" si="31"/>
        <v>0</v>
      </c>
      <c r="S64" s="110">
        <f t="shared" si="31"/>
        <v>0</v>
      </c>
      <c r="T64" s="110">
        <f t="shared" si="31"/>
        <v>0</v>
      </c>
      <c r="U64" s="110">
        <f t="shared" si="31"/>
        <v>0</v>
      </c>
      <c r="V64" s="110">
        <f t="shared" si="31"/>
        <v>0</v>
      </c>
      <c r="W64" s="110">
        <f t="shared" si="31"/>
        <v>0</v>
      </c>
      <c r="X64" s="110">
        <f t="shared" si="31"/>
        <v>0</v>
      </c>
      <c r="Y64" s="110">
        <f t="shared" si="31"/>
        <v>0</v>
      </c>
      <c r="Z64" s="110">
        <f t="shared" si="31"/>
        <v>0</v>
      </c>
      <c r="AA64" s="110">
        <f t="shared" si="31"/>
        <v>0</v>
      </c>
      <c r="AB64" s="110">
        <f t="shared" si="31"/>
        <v>0</v>
      </c>
      <c r="AC64" s="110">
        <f t="shared" si="31"/>
        <v>0</v>
      </c>
      <c r="AD64" s="110">
        <f t="shared" si="31"/>
        <v>0</v>
      </c>
      <c r="AE64" s="110">
        <f t="shared" si="31"/>
        <v>0</v>
      </c>
      <c r="AF64" s="110">
        <f t="shared" si="31"/>
        <v>0</v>
      </c>
      <c r="AG64" s="110">
        <f t="shared" si="31"/>
        <v>0</v>
      </c>
      <c r="AI64" s="133"/>
      <c r="AJ64" s="211"/>
      <c r="AL64" s="108"/>
      <c r="AM64" s="2"/>
      <c r="AN64" s="2"/>
      <c r="AO64" s="2"/>
      <c r="AV64" s="41"/>
    </row>
    <row r="65" spans="1:63" outlineLevel="1">
      <c r="A65" t="s">
        <v>1678</v>
      </c>
      <c r="B65" s="54" t="s">
        <v>462</v>
      </c>
      <c r="C65" s="110">
        <f>C51*C$63</f>
        <v>0</v>
      </c>
      <c r="D65" s="110">
        <f t="shared" si="31"/>
        <v>0</v>
      </c>
      <c r="E65" s="110">
        <f t="shared" si="31"/>
        <v>0</v>
      </c>
      <c r="F65" s="110">
        <f t="shared" si="31"/>
        <v>0</v>
      </c>
      <c r="G65" s="110">
        <f t="shared" si="31"/>
        <v>0</v>
      </c>
      <c r="H65" s="110">
        <f t="shared" si="31"/>
        <v>0</v>
      </c>
      <c r="I65" s="110">
        <f t="shared" si="31"/>
        <v>0</v>
      </c>
      <c r="J65" s="110">
        <f t="shared" si="31"/>
        <v>0</v>
      </c>
      <c r="K65" s="110">
        <f t="shared" si="31"/>
        <v>0</v>
      </c>
      <c r="L65" s="110">
        <f t="shared" si="31"/>
        <v>0</v>
      </c>
      <c r="M65" s="110">
        <f t="shared" si="31"/>
        <v>0</v>
      </c>
      <c r="N65" s="110">
        <f t="shared" si="31"/>
        <v>0</v>
      </c>
      <c r="O65" s="110">
        <f t="shared" si="31"/>
        <v>0</v>
      </c>
      <c r="P65" s="110">
        <f t="shared" si="31"/>
        <v>0</v>
      </c>
      <c r="Q65" s="110">
        <f t="shared" si="31"/>
        <v>0</v>
      </c>
      <c r="R65" s="110">
        <f t="shared" si="31"/>
        <v>0</v>
      </c>
      <c r="S65" s="110">
        <f t="shared" si="31"/>
        <v>0</v>
      </c>
      <c r="T65" s="110">
        <f t="shared" si="31"/>
        <v>0</v>
      </c>
      <c r="U65" s="110">
        <f t="shared" si="31"/>
        <v>0</v>
      </c>
      <c r="V65" s="110">
        <f t="shared" si="31"/>
        <v>0</v>
      </c>
      <c r="W65" s="110">
        <f t="shared" si="31"/>
        <v>0</v>
      </c>
      <c r="X65" s="110">
        <f t="shared" si="31"/>
        <v>0</v>
      </c>
      <c r="Y65" s="110">
        <f t="shared" si="31"/>
        <v>0</v>
      </c>
      <c r="Z65" s="110">
        <f t="shared" si="31"/>
        <v>0</v>
      </c>
      <c r="AA65" s="110">
        <f t="shared" si="31"/>
        <v>0</v>
      </c>
      <c r="AB65" s="110">
        <f t="shared" si="31"/>
        <v>0</v>
      </c>
      <c r="AC65" s="110">
        <f t="shared" si="31"/>
        <v>0</v>
      </c>
      <c r="AD65" s="110">
        <f t="shared" si="31"/>
        <v>0</v>
      </c>
      <c r="AE65" s="110">
        <f t="shared" si="31"/>
        <v>0</v>
      </c>
      <c r="AF65" s="110">
        <f t="shared" si="31"/>
        <v>0</v>
      </c>
      <c r="AG65" s="110">
        <f t="shared" si="31"/>
        <v>0</v>
      </c>
      <c r="AH65" s="245"/>
      <c r="AI65" s="133"/>
      <c r="AJ65" s="211"/>
      <c r="AL65" s="108"/>
      <c r="AM65" s="2"/>
      <c r="AN65" s="2"/>
      <c r="AO65" s="2"/>
      <c r="AV65" s="41"/>
    </row>
    <row r="66" spans="1:63" outlineLevel="1">
      <c r="A66" t="s">
        <v>1679</v>
      </c>
      <c r="B66" s="176" t="s">
        <v>462</v>
      </c>
      <c r="C66" s="110">
        <f>SUM(C64:C65)</f>
        <v>0</v>
      </c>
      <c r="D66" s="110">
        <f t="shared" ref="D66:AG66" si="32">SUM(D64:D65)</f>
        <v>0</v>
      </c>
      <c r="E66" s="110">
        <f t="shared" si="32"/>
        <v>0</v>
      </c>
      <c r="F66" s="110">
        <f t="shared" si="32"/>
        <v>0</v>
      </c>
      <c r="G66" s="110">
        <f t="shared" si="32"/>
        <v>0</v>
      </c>
      <c r="H66" s="110">
        <f t="shared" si="32"/>
        <v>0</v>
      </c>
      <c r="I66" s="110">
        <f t="shared" si="32"/>
        <v>0</v>
      </c>
      <c r="J66" s="110">
        <f t="shared" si="32"/>
        <v>0</v>
      </c>
      <c r="K66" s="110">
        <f t="shared" si="32"/>
        <v>0</v>
      </c>
      <c r="L66" s="110">
        <f t="shared" si="32"/>
        <v>0</v>
      </c>
      <c r="M66" s="110">
        <f t="shared" si="32"/>
        <v>0</v>
      </c>
      <c r="N66" s="110">
        <f t="shared" si="32"/>
        <v>0</v>
      </c>
      <c r="O66" s="110">
        <f t="shared" si="32"/>
        <v>0</v>
      </c>
      <c r="P66" s="110">
        <f t="shared" si="32"/>
        <v>0</v>
      </c>
      <c r="Q66" s="110">
        <f t="shared" si="32"/>
        <v>0</v>
      </c>
      <c r="R66" s="110">
        <f t="shared" si="32"/>
        <v>0</v>
      </c>
      <c r="S66" s="110">
        <f t="shared" si="32"/>
        <v>0</v>
      </c>
      <c r="T66" s="110">
        <f t="shared" si="32"/>
        <v>0</v>
      </c>
      <c r="U66" s="110">
        <f t="shared" si="32"/>
        <v>0</v>
      </c>
      <c r="V66" s="110">
        <f t="shared" si="32"/>
        <v>0</v>
      </c>
      <c r="W66" s="110">
        <f t="shared" si="32"/>
        <v>0</v>
      </c>
      <c r="X66" s="110">
        <f t="shared" si="32"/>
        <v>0</v>
      </c>
      <c r="Y66" s="110">
        <f t="shared" si="32"/>
        <v>0</v>
      </c>
      <c r="Z66" s="110">
        <f t="shared" si="32"/>
        <v>0</v>
      </c>
      <c r="AA66" s="110">
        <f t="shared" si="32"/>
        <v>0</v>
      </c>
      <c r="AB66" s="110">
        <f t="shared" si="32"/>
        <v>0</v>
      </c>
      <c r="AC66" s="110">
        <f t="shared" si="32"/>
        <v>0</v>
      </c>
      <c r="AD66" s="110">
        <f t="shared" si="32"/>
        <v>0</v>
      </c>
      <c r="AE66" s="110">
        <f t="shared" si="32"/>
        <v>0</v>
      </c>
      <c r="AF66" s="110">
        <f t="shared" si="32"/>
        <v>0</v>
      </c>
      <c r="AG66" s="110">
        <f t="shared" si="32"/>
        <v>0</v>
      </c>
      <c r="AI66" s="133"/>
      <c r="AJ66" s="211"/>
      <c r="AL66" s="108"/>
      <c r="AM66" s="2"/>
      <c r="AN66" s="2"/>
      <c r="AO66" s="2"/>
    </row>
    <row r="67" spans="1:63" outlineLevel="1">
      <c r="A67" t="s">
        <v>1680</v>
      </c>
      <c r="B67" s="54" t="s">
        <v>462</v>
      </c>
      <c r="C67" s="110">
        <f>C$63*C58</f>
        <v>0</v>
      </c>
      <c r="D67" s="110">
        <f t="shared" ref="D67:AG70" si="33">D$63*D58</f>
        <v>0</v>
      </c>
      <c r="E67" s="110">
        <f t="shared" si="33"/>
        <v>0</v>
      </c>
      <c r="F67" s="110">
        <f t="shared" si="33"/>
        <v>0</v>
      </c>
      <c r="G67" s="110">
        <f t="shared" si="33"/>
        <v>0</v>
      </c>
      <c r="H67" s="110">
        <f t="shared" si="33"/>
        <v>0</v>
      </c>
      <c r="I67" s="110">
        <f t="shared" si="33"/>
        <v>0</v>
      </c>
      <c r="J67" s="110">
        <f t="shared" si="33"/>
        <v>0</v>
      </c>
      <c r="K67" s="110">
        <f t="shared" si="33"/>
        <v>0</v>
      </c>
      <c r="L67" s="110">
        <f t="shared" si="33"/>
        <v>0</v>
      </c>
      <c r="M67" s="110">
        <f t="shared" si="33"/>
        <v>0</v>
      </c>
      <c r="N67" s="110">
        <f t="shared" si="33"/>
        <v>0</v>
      </c>
      <c r="O67" s="110">
        <f t="shared" si="33"/>
        <v>0</v>
      </c>
      <c r="P67" s="110">
        <f t="shared" si="33"/>
        <v>0</v>
      </c>
      <c r="Q67" s="110">
        <f t="shared" si="33"/>
        <v>0</v>
      </c>
      <c r="R67" s="110">
        <f t="shared" si="33"/>
        <v>0</v>
      </c>
      <c r="S67" s="110">
        <f t="shared" si="33"/>
        <v>0</v>
      </c>
      <c r="T67" s="110">
        <f t="shared" si="33"/>
        <v>0</v>
      </c>
      <c r="U67" s="110">
        <f t="shared" si="33"/>
        <v>0</v>
      </c>
      <c r="V67" s="110">
        <f t="shared" si="33"/>
        <v>0</v>
      </c>
      <c r="W67" s="110">
        <f t="shared" si="33"/>
        <v>0</v>
      </c>
      <c r="X67" s="110">
        <f t="shared" si="33"/>
        <v>0</v>
      </c>
      <c r="Y67" s="110">
        <f t="shared" si="33"/>
        <v>0</v>
      </c>
      <c r="Z67" s="110">
        <f t="shared" si="33"/>
        <v>0</v>
      </c>
      <c r="AA67" s="110">
        <f t="shared" si="33"/>
        <v>0</v>
      </c>
      <c r="AB67" s="110">
        <f t="shared" si="33"/>
        <v>0</v>
      </c>
      <c r="AC67" s="110">
        <f t="shared" si="33"/>
        <v>0</v>
      </c>
      <c r="AD67" s="110">
        <f t="shared" si="33"/>
        <v>0</v>
      </c>
      <c r="AE67" s="110">
        <f t="shared" si="33"/>
        <v>0</v>
      </c>
      <c r="AF67" s="110">
        <f t="shared" si="33"/>
        <v>0</v>
      </c>
      <c r="AG67" s="110">
        <f t="shared" si="33"/>
        <v>0</v>
      </c>
      <c r="AI67" s="133"/>
      <c r="AJ67" s="211"/>
      <c r="AL67" s="108"/>
      <c r="AM67" s="2"/>
      <c r="AN67" s="2"/>
      <c r="AO67" s="2"/>
    </row>
    <row r="68" spans="1:63" outlineLevel="1">
      <c r="A68" t="s">
        <v>1681</v>
      </c>
      <c r="B68" s="54" t="s">
        <v>462</v>
      </c>
      <c r="C68" s="110">
        <f t="shared" ref="C68:R70" si="34">C$63*C59</f>
        <v>0</v>
      </c>
      <c r="D68" s="110">
        <f t="shared" si="34"/>
        <v>0</v>
      </c>
      <c r="E68" s="110">
        <f t="shared" si="34"/>
        <v>0</v>
      </c>
      <c r="F68" s="110">
        <f t="shared" si="34"/>
        <v>0</v>
      </c>
      <c r="G68" s="110">
        <f t="shared" si="34"/>
        <v>0</v>
      </c>
      <c r="H68" s="110">
        <f t="shared" si="34"/>
        <v>0</v>
      </c>
      <c r="I68" s="110">
        <f t="shared" si="34"/>
        <v>0</v>
      </c>
      <c r="J68" s="110">
        <f t="shared" si="34"/>
        <v>0</v>
      </c>
      <c r="K68" s="110">
        <f t="shared" si="34"/>
        <v>0</v>
      </c>
      <c r="L68" s="110">
        <f t="shared" si="34"/>
        <v>0</v>
      </c>
      <c r="M68" s="110">
        <f t="shared" si="34"/>
        <v>0</v>
      </c>
      <c r="N68" s="110">
        <f t="shared" si="34"/>
        <v>0</v>
      </c>
      <c r="O68" s="110">
        <f t="shared" si="34"/>
        <v>0</v>
      </c>
      <c r="P68" s="110">
        <f t="shared" si="34"/>
        <v>0</v>
      </c>
      <c r="Q68" s="110">
        <f t="shared" si="34"/>
        <v>0</v>
      </c>
      <c r="R68" s="110">
        <f t="shared" si="34"/>
        <v>0</v>
      </c>
      <c r="S68" s="110">
        <f t="shared" si="33"/>
        <v>0</v>
      </c>
      <c r="T68" s="110">
        <f t="shared" si="33"/>
        <v>0</v>
      </c>
      <c r="U68" s="110">
        <f t="shared" si="33"/>
        <v>0</v>
      </c>
      <c r="V68" s="110">
        <f t="shared" si="33"/>
        <v>0</v>
      </c>
      <c r="W68" s="110">
        <f t="shared" si="33"/>
        <v>0</v>
      </c>
      <c r="X68" s="110">
        <f t="shared" si="33"/>
        <v>0</v>
      </c>
      <c r="Y68" s="110">
        <f t="shared" si="33"/>
        <v>0</v>
      </c>
      <c r="Z68" s="110">
        <f t="shared" si="33"/>
        <v>0</v>
      </c>
      <c r="AA68" s="110">
        <f t="shared" si="33"/>
        <v>0</v>
      </c>
      <c r="AB68" s="110">
        <f t="shared" si="33"/>
        <v>0</v>
      </c>
      <c r="AC68" s="110">
        <f t="shared" si="33"/>
        <v>0</v>
      </c>
      <c r="AD68" s="110">
        <f t="shared" si="33"/>
        <v>0</v>
      </c>
      <c r="AE68" s="110">
        <f t="shared" si="33"/>
        <v>0</v>
      </c>
      <c r="AF68" s="110">
        <f t="shared" si="33"/>
        <v>0</v>
      </c>
      <c r="AG68" s="110">
        <f t="shared" si="33"/>
        <v>0</v>
      </c>
      <c r="AI68" s="133"/>
      <c r="AJ68" s="211"/>
      <c r="AL68" s="108"/>
      <c r="AM68" s="2"/>
      <c r="AN68" s="2"/>
      <c r="AO68" s="2"/>
      <c r="BC68" s="1"/>
      <c r="BD68" s="2"/>
      <c r="BE68" s="2"/>
      <c r="BF68" s="2"/>
      <c r="BG68" s="2"/>
      <c r="BH68" s="2"/>
      <c r="BI68" s="2"/>
      <c r="BJ68" s="2"/>
      <c r="BK68" s="2"/>
    </row>
    <row r="69" spans="1:63" outlineLevel="1">
      <c r="A69" t="s">
        <v>1682</v>
      </c>
      <c r="C69" s="110">
        <f t="shared" si="34"/>
        <v>0</v>
      </c>
      <c r="D69" s="110">
        <f t="shared" si="33"/>
        <v>0</v>
      </c>
      <c r="E69" s="110">
        <f t="shared" si="33"/>
        <v>0</v>
      </c>
      <c r="F69" s="110">
        <f t="shared" si="33"/>
        <v>0</v>
      </c>
      <c r="G69" s="110">
        <f t="shared" si="33"/>
        <v>0</v>
      </c>
      <c r="H69" s="110">
        <f t="shared" si="33"/>
        <v>0</v>
      </c>
      <c r="I69" s="110">
        <f t="shared" si="33"/>
        <v>0</v>
      </c>
      <c r="J69" s="110">
        <f t="shared" si="33"/>
        <v>0</v>
      </c>
      <c r="K69" s="110">
        <f t="shared" si="33"/>
        <v>0</v>
      </c>
      <c r="L69" s="110">
        <f t="shared" si="33"/>
        <v>0</v>
      </c>
      <c r="M69" s="110">
        <f t="shared" si="33"/>
        <v>0</v>
      </c>
      <c r="N69" s="110">
        <f t="shared" si="33"/>
        <v>0</v>
      </c>
      <c r="O69" s="110">
        <f t="shared" si="33"/>
        <v>0</v>
      </c>
      <c r="P69" s="110">
        <f t="shared" si="33"/>
        <v>0</v>
      </c>
      <c r="Q69" s="110">
        <f t="shared" si="33"/>
        <v>0</v>
      </c>
      <c r="R69" s="110">
        <f t="shared" si="33"/>
        <v>0</v>
      </c>
      <c r="S69" s="110">
        <f t="shared" si="33"/>
        <v>0</v>
      </c>
      <c r="T69" s="110">
        <f t="shared" si="33"/>
        <v>0</v>
      </c>
      <c r="U69" s="110">
        <f t="shared" si="33"/>
        <v>0</v>
      </c>
      <c r="V69" s="110">
        <f t="shared" si="33"/>
        <v>0</v>
      </c>
      <c r="W69" s="110">
        <f t="shared" si="33"/>
        <v>0</v>
      </c>
      <c r="X69" s="110">
        <f t="shared" si="33"/>
        <v>0</v>
      </c>
      <c r="Y69" s="110">
        <f t="shared" si="33"/>
        <v>0</v>
      </c>
      <c r="Z69" s="110">
        <f t="shared" si="33"/>
        <v>0</v>
      </c>
      <c r="AA69" s="110">
        <f t="shared" si="33"/>
        <v>0</v>
      </c>
      <c r="AB69" s="110">
        <f t="shared" si="33"/>
        <v>0</v>
      </c>
      <c r="AC69" s="110">
        <f t="shared" si="33"/>
        <v>0</v>
      </c>
      <c r="AD69" s="110">
        <f t="shared" si="33"/>
        <v>0</v>
      </c>
      <c r="AE69" s="110">
        <f t="shared" si="33"/>
        <v>0</v>
      </c>
      <c r="AF69" s="110">
        <f t="shared" si="33"/>
        <v>0</v>
      </c>
      <c r="AG69" s="110">
        <f t="shared" si="33"/>
        <v>0</v>
      </c>
      <c r="AI69" s="133"/>
      <c r="AJ69" s="211"/>
      <c r="AL69" s="108"/>
      <c r="AM69" s="2"/>
      <c r="AN69" s="2"/>
      <c r="AO69" s="2"/>
      <c r="BC69" s="1"/>
      <c r="BD69" s="2"/>
      <c r="BE69" s="2"/>
      <c r="BF69" s="2"/>
      <c r="BG69" s="2"/>
      <c r="BH69" s="2"/>
      <c r="BI69" s="2"/>
      <c r="BJ69" s="2"/>
      <c r="BK69" s="2"/>
    </row>
    <row r="70" spans="1:63" outlineLevel="1">
      <c r="A70" t="s">
        <v>1683</v>
      </c>
      <c r="B70" s="54" t="s">
        <v>462</v>
      </c>
      <c r="C70" s="110">
        <f t="shared" si="34"/>
        <v>0</v>
      </c>
      <c r="D70" s="110">
        <f t="shared" si="33"/>
        <v>0</v>
      </c>
      <c r="E70" s="110">
        <f t="shared" si="33"/>
        <v>0</v>
      </c>
      <c r="F70" s="110">
        <f t="shared" si="33"/>
        <v>0</v>
      </c>
      <c r="G70" s="110">
        <f t="shared" si="33"/>
        <v>0</v>
      </c>
      <c r="H70" s="110">
        <f t="shared" si="33"/>
        <v>0</v>
      </c>
      <c r="I70" s="110">
        <f t="shared" si="33"/>
        <v>0</v>
      </c>
      <c r="J70" s="110">
        <f t="shared" si="33"/>
        <v>0</v>
      </c>
      <c r="K70" s="110">
        <f t="shared" si="33"/>
        <v>0</v>
      </c>
      <c r="L70" s="110">
        <f t="shared" si="33"/>
        <v>0</v>
      </c>
      <c r="M70" s="110">
        <f t="shared" si="33"/>
        <v>0</v>
      </c>
      <c r="N70" s="110">
        <f t="shared" si="33"/>
        <v>0</v>
      </c>
      <c r="O70" s="110">
        <f t="shared" si="33"/>
        <v>0</v>
      </c>
      <c r="P70" s="110">
        <f t="shared" si="33"/>
        <v>0</v>
      </c>
      <c r="Q70" s="110">
        <f t="shared" si="33"/>
        <v>0</v>
      </c>
      <c r="R70" s="110">
        <f t="shared" si="33"/>
        <v>0</v>
      </c>
      <c r="S70" s="110">
        <f t="shared" si="33"/>
        <v>0</v>
      </c>
      <c r="T70" s="110">
        <f t="shared" si="33"/>
        <v>0</v>
      </c>
      <c r="U70" s="110">
        <f t="shared" si="33"/>
        <v>0</v>
      </c>
      <c r="V70" s="110">
        <f t="shared" si="33"/>
        <v>0</v>
      </c>
      <c r="W70" s="110">
        <f t="shared" si="33"/>
        <v>0</v>
      </c>
      <c r="X70" s="110">
        <f t="shared" si="33"/>
        <v>0</v>
      </c>
      <c r="Y70" s="110">
        <f t="shared" si="33"/>
        <v>0</v>
      </c>
      <c r="Z70" s="110">
        <f t="shared" si="33"/>
        <v>0</v>
      </c>
      <c r="AA70" s="110">
        <f t="shared" si="33"/>
        <v>0</v>
      </c>
      <c r="AB70" s="110">
        <f t="shared" si="33"/>
        <v>0</v>
      </c>
      <c r="AC70" s="110">
        <f t="shared" si="33"/>
        <v>0</v>
      </c>
      <c r="AD70" s="110">
        <f t="shared" si="33"/>
        <v>0</v>
      </c>
      <c r="AE70" s="110">
        <f t="shared" si="33"/>
        <v>0</v>
      </c>
      <c r="AF70" s="110">
        <f t="shared" si="33"/>
        <v>0</v>
      </c>
      <c r="AG70" s="110">
        <f t="shared" si="33"/>
        <v>0</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v>
      </c>
      <c r="D72" s="300">
        <f t="shared" ref="D72:AG72" si="35">D42*D64</f>
        <v>0</v>
      </c>
      <c r="E72" s="300">
        <f t="shared" si="35"/>
        <v>0</v>
      </c>
      <c r="F72" s="300">
        <f t="shared" si="35"/>
        <v>0</v>
      </c>
      <c r="G72" s="300">
        <f t="shared" si="35"/>
        <v>0</v>
      </c>
      <c r="H72" s="300">
        <f t="shared" si="35"/>
        <v>0</v>
      </c>
      <c r="I72" s="300">
        <f t="shared" si="35"/>
        <v>0</v>
      </c>
      <c r="J72" s="300">
        <f t="shared" si="35"/>
        <v>0</v>
      </c>
      <c r="K72" s="300">
        <f t="shared" si="35"/>
        <v>0</v>
      </c>
      <c r="L72" s="300">
        <f t="shared" si="35"/>
        <v>0</v>
      </c>
      <c r="M72" s="300">
        <f t="shared" si="35"/>
        <v>0</v>
      </c>
      <c r="N72" s="300">
        <f t="shared" si="35"/>
        <v>0</v>
      </c>
      <c r="O72" s="300">
        <f t="shared" si="35"/>
        <v>0</v>
      </c>
      <c r="P72" s="300">
        <f t="shared" si="35"/>
        <v>0</v>
      </c>
      <c r="Q72" s="300">
        <f t="shared" si="35"/>
        <v>0</v>
      </c>
      <c r="R72" s="300">
        <f t="shared" si="35"/>
        <v>0</v>
      </c>
      <c r="S72" s="300">
        <f t="shared" si="35"/>
        <v>0</v>
      </c>
      <c r="T72" s="300">
        <f t="shared" si="35"/>
        <v>0</v>
      </c>
      <c r="U72" s="300">
        <f t="shared" si="35"/>
        <v>0</v>
      </c>
      <c r="V72" s="300">
        <f t="shared" si="35"/>
        <v>0</v>
      </c>
      <c r="W72" s="300">
        <f t="shared" si="35"/>
        <v>0</v>
      </c>
      <c r="X72" s="300">
        <f t="shared" si="35"/>
        <v>0</v>
      </c>
      <c r="Y72" s="300">
        <f t="shared" si="35"/>
        <v>0</v>
      </c>
      <c r="Z72" s="300">
        <f t="shared" si="35"/>
        <v>0</v>
      </c>
      <c r="AA72" s="300">
        <f t="shared" si="35"/>
        <v>0</v>
      </c>
      <c r="AB72" s="300">
        <f t="shared" si="35"/>
        <v>0</v>
      </c>
      <c r="AC72" s="300">
        <f t="shared" si="35"/>
        <v>0</v>
      </c>
      <c r="AD72" s="300">
        <f t="shared" si="35"/>
        <v>0</v>
      </c>
      <c r="AE72" s="300">
        <f t="shared" si="35"/>
        <v>0</v>
      </c>
      <c r="AF72" s="300">
        <f t="shared" si="35"/>
        <v>0</v>
      </c>
      <c r="AG72" s="300">
        <f t="shared" si="35"/>
        <v>0</v>
      </c>
      <c r="AH72" s="245"/>
      <c r="AI72" s="423"/>
      <c r="AJ72" s="424"/>
      <c r="AL72" s="221"/>
      <c r="AM72" s="124"/>
      <c r="AN72" s="124"/>
      <c r="AO72" s="124"/>
      <c r="BD72" s="124"/>
      <c r="BE72" s="124"/>
      <c r="BF72" s="124"/>
      <c r="BG72" s="124"/>
      <c r="BH72" s="124"/>
      <c r="BI72" s="124"/>
      <c r="BJ72" s="124"/>
      <c r="BK72" s="124"/>
    </row>
    <row r="73" spans="1:63" s="1" customFormat="1" outlineLevel="1">
      <c r="A73" s="1" t="s">
        <v>1562</v>
      </c>
      <c r="B73" s="65"/>
      <c r="C73" s="300">
        <f t="shared" ref="C73:AG73" si="36">C72-$C72</f>
        <v>0</v>
      </c>
      <c r="D73" s="300">
        <f t="shared" si="36"/>
        <v>0</v>
      </c>
      <c r="E73" s="300">
        <f t="shared" si="36"/>
        <v>0</v>
      </c>
      <c r="F73" s="300">
        <f t="shared" si="36"/>
        <v>0</v>
      </c>
      <c r="G73" s="300">
        <f t="shared" si="36"/>
        <v>0</v>
      </c>
      <c r="H73" s="300">
        <f t="shared" si="36"/>
        <v>0</v>
      </c>
      <c r="I73" s="300">
        <f t="shared" si="36"/>
        <v>0</v>
      </c>
      <c r="J73" s="300">
        <f t="shared" si="36"/>
        <v>0</v>
      </c>
      <c r="K73" s="300">
        <f t="shared" si="36"/>
        <v>0</v>
      </c>
      <c r="L73" s="300">
        <f t="shared" si="36"/>
        <v>0</v>
      </c>
      <c r="M73" s="300">
        <f t="shared" si="36"/>
        <v>0</v>
      </c>
      <c r="N73" s="300">
        <f t="shared" si="36"/>
        <v>0</v>
      </c>
      <c r="O73" s="300">
        <f t="shared" si="36"/>
        <v>0</v>
      </c>
      <c r="P73" s="300">
        <f t="shared" si="36"/>
        <v>0</v>
      </c>
      <c r="Q73" s="300">
        <f t="shared" si="36"/>
        <v>0</v>
      </c>
      <c r="R73" s="300">
        <f t="shared" si="36"/>
        <v>0</v>
      </c>
      <c r="S73" s="300">
        <f t="shared" si="36"/>
        <v>0</v>
      </c>
      <c r="T73" s="300">
        <f t="shared" si="36"/>
        <v>0</v>
      </c>
      <c r="U73" s="300">
        <f t="shared" si="36"/>
        <v>0</v>
      </c>
      <c r="V73" s="300">
        <f t="shared" si="36"/>
        <v>0</v>
      </c>
      <c r="W73" s="300">
        <f t="shared" si="36"/>
        <v>0</v>
      </c>
      <c r="X73" s="300">
        <f t="shared" si="36"/>
        <v>0</v>
      </c>
      <c r="Y73" s="300">
        <f t="shared" si="36"/>
        <v>0</v>
      </c>
      <c r="Z73" s="300">
        <f t="shared" si="36"/>
        <v>0</v>
      </c>
      <c r="AA73" s="300">
        <f t="shared" si="36"/>
        <v>0</v>
      </c>
      <c r="AB73" s="300">
        <f t="shared" si="36"/>
        <v>0</v>
      </c>
      <c r="AC73" s="300">
        <f t="shared" si="36"/>
        <v>0</v>
      </c>
      <c r="AD73" s="300">
        <f t="shared" si="36"/>
        <v>0</v>
      </c>
      <c r="AE73" s="300">
        <f t="shared" si="36"/>
        <v>0</v>
      </c>
      <c r="AF73" s="300">
        <f t="shared" si="36"/>
        <v>0</v>
      </c>
      <c r="AG73" s="300">
        <f t="shared" si="36"/>
        <v>0</v>
      </c>
      <c r="AH73" s="245"/>
      <c r="AI73" s="423"/>
      <c r="AJ73" s="424"/>
      <c r="AL73" s="221"/>
      <c r="AM73" s="124"/>
      <c r="AN73" s="124"/>
      <c r="AO73" s="124"/>
      <c r="BD73" s="124"/>
      <c r="BE73" s="124"/>
      <c r="BF73" s="124"/>
      <c r="BG73" s="124"/>
      <c r="BH73" s="124"/>
      <c r="BI73" s="124"/>
      <c r="BJ73" s="124"/>
      <c r="BK73" s="124"/>
    </row>
    <row r="74" spans="1:63" s="1" customFormat="1" outlineLevel="1">
      <c r="A74" s="1" t="s">
        <v>1563</v>
      </c>
      <c r="B74" s="65"/>
      <c r="C74" s="300">
        <f t="shared" ref="C74:AG74" si="37">C42*C67</f>
        <v>0</v>
      </c>
      <c r="D74" s="300">
        <f t="shared" si="37"/>
        <v>0</v>
      </c>
      <c r="E74" s="300">
        <f t="shared" si="37"/>
        <v>0</v>
      </c>
      <c r="F74" s="300">
        <f t="shared" si="37"/>
        <v>0</v>
      </c>
      <c r="G74" s="300">
        <f t="shared" si="37"/>
        <v>0</v>
      </c>
      <c r="H74" s="300">
        <f t="shared" si="37"/>
        <v>0</v>
      </c>
      <c r="I74" s="300">
        <f t="shared" si="37"/>
        <v>0</v>
      </c>
      <c r="J74" s="300">
        <f t="shared" si="37"/>
        <v>0</v>
      </c>
      <c r="K74" s="300">
        <f t="shared" si="37"/>
        <v>0</v>
      </c>
      <c r="L74" s="300">
        <f t="shared" si="37"/>
        <v>0</v>
      </c>
      <c r="M74" s="300">
        <f t="shared" si="37"/>
        <v>0</v>
      </c>
      <c r="N74" s="300">
        <f t="shared" si="37"/>
        <v>0</v>
      </c>
      <c r="O74" s="300">
        <f t="shared" si="37"/>
        <v>0</v>
      </c>
      <c r="P74" s="300">
        <f t="shared" si="37"/>
        <v>0</v>
      </c>
      <c r="Q74" s="300">
        <f t="shared" si="37"/>
        <v>0</v>
      </c>
      <c r="R74" s="300">
        <f t="shared" si="37"/>
        <v>0</v>
      </c>
      <c r="S74" s="300">
        <f t="shared" si="37"/>
        <v>0</v>
      </c>
      <c r="T74" s="300">
        <f t="shared" si="37"/>
        <v>0</v>
      </c>
      <c r="U74" s="300">
        <f t="shared" si="37"/>
        <v>0</v>
      </c>
      <c r="V74" s="300">
        <f t="shared" si="37"/>
        <v>0</v>
      </c>
      <c r="W74" s="300">
        <f t="shared" si="37"/>
        <v>0</v>
      </c>
      <c r="X74" s="300">
        <f t="shared" si="37"/>
        <v>0</v>
      </c>
      <c r="Y74" s="300">
        <f t="shared" si="37"/>
        <v>0</v>
      </c>
      <c r="Z74" s="300">
        <f t="shared" si="37"/>
        <v>0</v>
      </c>
      <c r="AA74" s="300">
        <f t="shared" si="37"/>
        <v>0</v>
      </c>
      <c r="AB74" s="300">
        <f t="shared" si="37"/>
        <v>0</v>
      </c>
      <c r="AC74" s="300">
        <f t="shared" si="37"/>
        <v>0</v>
      </c>
      <c r="AD74" s="300">
        <f t="shared" si="37"/>
        <v>0</v>
      </c>
      <c r="AE74" s="300">
        <f t="shared" si="37"/>
        <v>0</v>
      </c>
      <c r="AF74" s="300">
        <f t="shared" si="37"/>
        <v>0</v>
      </c>
      <c r="AG74" s="300">
        <f t="shared" si="37"/>
        <v>0</v>
      </c>
      <c r="AH74" s="245"/>
      <c r="AI74" s="423"/>
      <c r="AJ74" s="424"/>
      <c r="AL74" s="221"/>
      <c r="AM74" s="124"/>
      <c r="AN74" s="124"/>
      <c r="AO74" s="124"/>
      <c r="BD74" s="124"/>
      <c r="BE74" s="124"/>
      <c r="BF74" s="124"/>
      <c r="BG74" s="124"/>
      <c r="BH74" s="124"/>
      <c r="BI74" s="124"/>
      <c r="BJ74" s="124"/>
      <c r="BK74" s="124"/>
    </row>
    <row r="75" spans="1:63" s="1" customFormat="1" outlineLevel="1">
      <c r="A75" s="1" t="s">
        <v>1564</v>
      </c>
      <c r="B75" s="65"/>
      <c r="C75" s="300">
        <f t="shared" ref="C75:AG75" si="38">C74-$C74</f>
        <v>0</v>
      </c>
      <c r="D75" s="300">
        <f t="shared" si="38"/>
        <v>0</v>
      </c>
      <c r="E75" s="300">
        <f t="shared" si="38"/>
        <v>0</v>
      </c>
      <c r="F75" s="300">
        <f t="shared" si="38"/>
        <v>0</v>
      </c>
      <c r="G75" s="300">
        <f t="shared" si="38"/>
        <v>0</v>
      </c>
      <c r="H75" s="300">
        <f t="shared" si="38"/>
        <v>0</v>
      </c>
      <c r="I75" s="300">
        <f t="shared" si="38"/>
        <v>0</v>
      </c>
      <c r="J75" s="300">
        <f t="shared" si="38"/>
        <v>0</v>
      </c>
      <c r="K75" s="300">
        <f t="shared" si="38"/>
        <v>0</v>
      </c>
      <c r="L75" s="300">
        <f t="shared" si="38"/>
        <v>0</v>
      </c>
      <c r="M75" s="300">
        <f t="shared" si="38"/>
        <v>0</v>
      </c>
      <c r="N75" s="300">
        <f t="shared" si="38"/>
        <v>0</v>
      </c>
      <c r="O75" s="300">
        <f t="shared" si="38"/>
        <v>0</v>
      </c>
      <c r="P75" s="300">
        <f t="shared" si="38"/>
        <v>0</v>
      </c>
      <c r="Q75" s="300">
        <f t="shared" si="38"/>
        <v>0</v>
      </c>
      <c r="R75" s="300">
        <f t="shared" si="38"/>
        <v>0</v>
      </c>
      <c r="S75" s="300">
        <f t="shared" si="38"/>
        <v>0</v>
      </c>
      <c r="T75" s="300">
        <f t="shared" si="38"/>
        <v>0</v>
      </c>
      <c r="U75" s="300">
        <f t="shared" si="38"/>
        <v>0</v>
      </c>
      <c r="V75" s="300">
        <f t="shared" si="38"/>
        <v>0</v>
      </c>
      <c r="W75" s="300">
        <f t="shared" si="38"/>
        <v>0</v>
      </c>
      <c r="X75" s="300">
        <f t="shared" si="38"/>
        <v>0</v>
      </c>
      <c r="Y75" s="300">
        <f t="shared" si="38"/>
        <v>0</v>
      </c>
      <c r="Z75" s="300">
        <f t="shared" si="38"/>
        <v>0</v>
      </c>
      <c r="AA75" s="300">
        <f t="shared" si="38"/>
        <v>0</v>
      </c>
      <c r="AB75" s="300">
        <f t="shared" si="38"/>
        <v>0</v>
      </c>
      <c r="AC75" s="300">
        <f t="shared" si="38"/>
        <v>0</v>
      </c>
      <c r="AD75" s="300">
        <f t="shared" si="38"/>
        <v>0</v>
      </c>
      <c r="AE75" s="300">
        <f t="shared" si="38"/>
        <v>0</v>
      </c>
      <c r="AF75" s="300">
        <f t="shared" si="38"/>
        <v>0</v>
      </c>
      <c r="AG75" s="300">
        <f t="shared" si="38"/>
        <v>0</v>
      </c>
      <c r="AH75" s="245"/>
      <c r="AI75" s="423"/>
      <c r="AJ75" s="424"/>
      <c r="AL75" s="221"/>
      <c r="AM75" s="124"/>
      <c r="AN75" s="124"/>
      <c r="AO75" s="124"/>
      <c r="BD75" s="124"/>
      <c r="BE75" s="124"/>
      <c r="BF75" s="124"/>
      <c r="BG75" s="124"/>
      <c r="BH75" s="124"/>
      <c r="BI75" s="124"/>
      <c r="BJ75" s="124"/>
      <c r="BK75" s="124"/>
    </row>
    <row r="76" spans="1:63" s="1" customFormat="1" outlineLevel="1">
      <c r="A76" s="1" t="s">
        <v>1565</v>
      </c>
      <c r="B76" s="65"/>
      <c r="C76" s="300">
        <f t="shared" ref="C76:AG76" si="39">C50*C69</f>
        <v>0</v>
      </c>
      <c r="D76" s="300">
        <f t="shared" si="39"/>
        <v>0</v>
      </c>
      <c r="E76" s="300">
        <f t="shared" si="39"/>
        <v>0</v>
      </c>
      <c r="F76" s="300">
        <f t="shared" si="39"/>
        <v>0</v>
      </c>
      <c r="G76" s="300">
        <f t="shared" si="39"/>
        <v>0</v>
      </c>
      <c r="H76" s="300">
        <f t="shared" si="39"/>
        <v>0</v>
      </c>
      <c r="I76" s="300">
        <f t="shared" si="39"/>
        <v>0</v>
      </c>
      <c r="J76" s="300">
        <f t="shared" si="39"/>
        <v>0</v>
      </c>
      <c r="K76" s="300">
        <f t="shared" si="39"/>
        <v>0</v>
      </c>
      <c r="L76" s="300">
        <f t="shared" si="39"/>
        <v>0</v>
      </c>
      <c r="M76" s="300">
        <f t="shared" si="39"/>
        <v>0</v>
      </c>
      <c r="N76" s="300">
        <f t="shared" si="39"/>
        <v>0</v>
      </c>
      <c r="O76" s="300">
        <f t="shared" si="39"/>
        <v>0</v>
      </c>
      <c r="P76" s="300">
        <f t="shared" si="39"/>
        <v>0</v>
      </c>
      <c r="Q76" s="300">
        <f t="shared" si="39"/>
        <v>0</v>
      </c>
      <c r="R76" s="300">
        <f t="shared" si="39"/>
        <v>0</v>
      </c>
      <c r="S76" s="300">
        <f t="shared" si="39"/>
        <v>0</v>
      </c>
      <c r="T76" s="300">
        <f t="shared" si="39"/>
        <v>0</v>
      </c>
      <c r="U76" s="300">
        <f t="shared" si="39"/>
        <v>0</v>
      </c>
      <c r="V76" s="300">
        <f t="shared" si="39"/>
        <v>0</v>
      </c>
      <c r="W76" s="300">
        <f t="shared" si="39"/>
        <v>0</v>
      </c>
      <c r="X76" s="300">
        <f t="shared" si="39"/>
        <v>0</v>
      </c>
      <c r="Y76" s="300">
        <f t="shared" si="39"/>
        <v>0</v>
      </c>
      <c r="Z76" s="300">
        <f t="shared" si="39"/>
        <v>0</v>
      </c>
      <c r="AA76" s="300">
        <f t="shared" si="39"/>
        <v>0</v>
      </c>
      <c r="AB76" s="300">
        <f t="shared" si="39"/>
        <v>0</v>
      </c>
      <c r="AC76" s="300">
        <f t="shared" si="39"/>
        <v>0</v>
      </c>
      <c r="AD76" s="300">
        <f t="shared" si="39"/>
        <v>0</v>
      </c>
      <c r="AE76" s="300">
        <f t="shared" si="39"/>
        <v>0</v>
      </c>
      <c r="AF76" s="300">
        <f t="shared" si="39"/>
        <v>0</v>
      </c>
      <c r="AG76" s="300">
        <f t="shared" si="39"/>
        <v>0</v>
      </c>
      <c r="AH76" s="245"/>
      <c r="AI76" s="423"/>
      <c r="AJ76" s="424"/>
      <c r="AL76" s="221"/>
      <c r="AM76" s="124"/>
      <c r="AN76" s="124"/>
      <c r="AO76" s="124"/>
      <c r="BD76" s="124"/>
      <c r="BE76" s="124"/>
      <c r="BF76" s="124"/>
      <c r="BG76" s="124"/>
      <c r="BH76" s="124"/>
      <c r="BI76" s="124"/>
      <c r="BJ76" s="124"/>
      <c r="BK76" s="124"/>
    </row>
    <row r="77" spans="1:63" s="1" customFormat="1" outlineLevel="1">
      <c r="A77" s="1" t="s">
        <v>1566</v>
      </c>
      <c r="B77" s="65"/>
      <c r="C77" s="300">
        <f t="shared" ref="C77:AG77" si="40">C76-$C76</f>
        <v>0</v>
      </c>
      <c r="D77" s="300">
        <f t="shared" si="40"/>
        <v>0</v>
      </c>
      <c r="E77" s="300">
        <f t="shared" si="40"/>
        <v>0</v>
      </c>
      <c r="F77" s="300">
        <f t="shared" si="40"/>
        <v>0</v>
      </c>
      <c r="G77" s="300">
        <f t="shared" si="40"/>
        <v>0</v>
      </c>
      <c r="H77" s="300">
        <f t="shared" si="40"/>
        <v>0</v>
      </c>
      <c r="I77" s="300">
        <f t="shared" si="40"/>
        <v>0</v>
      </c>
      <c r="J77" s="300">
        <f t="shared" si="40"/>
        <v>0</v>
      </c>
      <c r="K77" s="300">
        <f t="shared" si="40"/>
        <v>0</v>
      </c>
      <c r="L77" s="300">
        <f t="shared" si="40"/>
        <v>0</v>
      </c>
      <c r="M77" s="300">
        <f t="shared" si="40"/>
        <v>0</v>
      </c>
      <c r="N77" s="300">
        <f t="shared" si="40"/>
        <v>0</v>
      </c>
      <c r="O77" s="300">
        <f t="shared" si="40"/>
        <v>0</v>
      </c>
      <c r="P77" s="300">
        <f t="shared" si="40"/>
        <v>0</v>
      </c>
      <c r="Q77" s="300">
        <f t="shared" si="40"/>
        <v>0</v>
      </c>
      <c r="R77" s="300">
        <f t="shared" si="40"/>
        <v>0</v>
      </c>
      <c r="S77" s="300">
        <f t="shared" si="40"/>
        <v>0</v>
      </c>
      <c r="T77" s="300">
        <f t="shared" si="40"/>
        <v>0</v>
      </c>
      <c r="U77" s="300">
        <f t="shared" si="40"/>
        <v>0</v>
      </c>
      <c r="V77" s="300">
        <f t="shared" si="40"/>
        <v>0</v>
      </c>
      <c r="W77" s="300">
        <f t="shared" si="40"/>
        <v>0</v>
      </c>
      <c r="X77" s="300">
        <f t="shared" si="40"/>
        <v>0</v>
      </c>
      <c r="Y77" s="300">
        <f t="shared" si="40"/>
        <v>0</v>
      </c>
      <c r="Z77" s="300">
        <f t="shared" si="40"/>
        <v>0</v>
      </c>
      <c r="AA77" s="300">
        <f t="shared" si="40"/>
        <v>0</v>
      </c>
      <c r="AB77" s="300">
        <f t="shared" si="40"/>
        <v>0</v>
      </c>
      <c r="AC77" s="300">
        <f t="shared" si="40"/>
        <v>0</v>
      </c>
      <c r="AD77" s="300">
        <f t="shared" si="40"/>
        <v>0</v>
      </c>
      <c r="AE77" s="300">
        <f t="shared" si="40"/>
        <v>0</v>
      </c>
      <c r="AF77" s="300">
        <f t="shared" si="40"/>
        <v>0</v>
      </c>
      <c r="AG77" s="300">
        <f t="shared" si="40"/>
        <v>0</v>
      </c>
      <c r="AH77" s="245"/>
      <c r="AI77" s="423"/>
      <c r="AJ77" s="424"/>
      <c r="AL77" s="221"/>
      <c r="AM77" s="124"/>
      <c r="AN77" s="124"/>
      <c r="AO77" s="124"/>
      <c r="BD77" s="124"/>
      <c r="BE77" s="124"/>
      <c r="BF77" s="124"/>
      <c r="BG77" s="124"/>
      <c r="BH77" s="124"/>
      <c r="BI77" s="124"/>
      <c r="BJ77" s="124"/>
      <c r="BK77" s="124"/>
    </row>
    <row r="78" spans="1:63" s="1" customFormat="1" outlineLevel="1">
      <c r="A78" s="1" t="s">
        <v>1567</v>
      </c>
      <c r="B78" s="65"/>
      <c r="C78" s="300">
        <f t="shared" ref="C78:AG78" si="41">C42*C68</f>
        <v>0</v>
      </c>
      <c r="D78" s="300">
        <f t="shared" si="41"/>
        <v>0</v>
      </c>
      <c r="E78" s="300">
        <f t="shared" si="41"/>
        <v>0</v>
      </c>
      <c r="F78" s="300">
        <f t="shared" si="41"/>
        <v>0</v>
      </c>
      <c r="G78" s="300">
        <f t="shared" si="41"/>
        <v>0</v>
      </c>
      <c r="H78" s="300">
        <f t="shared" si="41"/>
        <v>0</v>
      </c>
      <c r="I78" s="300">
        <f t="shared" si="41"/>
        <v>0</v>
      </c>
      <c r="J78" s="300">
        <f t="shared" si="41"/>
        <v>0</v>
      </c>
      <c r="K78" s="300">
        <f t="shared" si="41"/>
        <v>0</v>
      </c>
      <c r="L78" s="300">
        <f t="shared" si="41"/>
        <v>0</v>
      </c>
      <c r="M78" s="300">
        <f t="shared" si="41"/>
        <v>0</v>
      </c>
      <c r="N78" s="300">
        <f t="shared" si="41"/>
        <v>0</v>
      </c>
      <c r="O78" s="300">
        <f t="shared" si="41"/>
        <v>0</v>
      </c>
      <c r="P78" s="300">
        <f t="shared" si="41"/>
        <v>0</v>
      </c>
      <c r="Q78" s="300">
        <f t="shared" si="41"/>
        <v>0</v>
      </c>
      <c r="R78" s="300">
        <f t="shared" si="41"/>
        <v>0</v>
      </c>
      <c r="S78" s="300">
        <f t="shared" si="41"/>
        <v>0</v>
      </c>
      <c r="T78" s="300">
        <f t="shared" si="41"/>
        <v>0</v>
      </c>
      <c r="U78" s="300">
        <f t="shared" si="41"/>
        <v>0</v>
      </c>
      <c r="V78" s="300">
        <f t="shared" si="41"/>
        <v>0</v>
      </c>
      <c r="W78" s="300">
        <f t="shared" si="41"/>
        <v>0</v>
      </c>
      <c r="X78" s="300">
        <f t="shared" si="41"/>
        <v>0</v>
      </c>
      <c r="Y78" s="300">
        <f t="shared" si="41"/>
        <v>0</v>
      </c>
      <c r="Z78" s="300">
        <f t="shared" si="41"/>
        <v>0</v>
      </c>
      <c r="AA78" s="300">
        <f t="shared" si="41"/>
        <v>0</v>
      </c>
      <c r="AB78" s="300">
        <f t="shared" si="41"/>
        <v>0</v>
      </c>
      <c r="AC78" s="300">
        <f t="shared" si="41"/>
        <v>0</v>
      </c>
      <c r="AD78" s="300">
        <f t="shared" si="41"/>
        <v>0</v>
      </c>
      <c r="AE78" s="300">
        <f t="shared" si="41"/>
        <v>0</v>
      </c>
      <c r="AF78" s="300">
        <f t="shared" si="41"/>
        <v>0</v>
      </c>
      <c r="AG78" s="300">
        <f t="shared" si="41"/>
        <v>0</v>
      </c>
      <c r="AH78" s="245"/>
      <c r="AI78" s="423"/>
      <c r="AJ78" s="424"/>
      <c r="AL78" s="221"/>
      <c r="AM78" s="124"/>
      <c r="AN78" s="124"/>
      <c r="AO78" s="124"/>
      <c r="BD78" s="124"/>
      <c r="BE78" s="124"/>
      <c r="BF78" s="124"/>
      <c r="BG78" s="124"/>
      <c r="BH78" s="124"/>
      <c r="BI78" s="124"/>
      <c r="BJ78" s="124"/>
      <c r="BK78" s="124"/>
    </row>
    <row r="79" spans="1:63" s="1" customFormat="1" outlineLevel="1">
      <c r="A79" s="1" t="s">
        <v>1568</v>
      </c>
      <c r="B79" s="65"/>
      <c r="C79" s="300">
        <f t="shared" ref="C79:AG79" si="42">C78-$C78</f>
        <v>0</v>
      </c>
      <c r="D79" s="300">
        <f t="shared" si="42"/>
        <v>0</v>
      </c>
      <c r="E79" s="300">
        <f t="shared" si="42"/>
        <v>0</v>
      </c>
      <c r="F79" s="300">
        <f t="shared" si="42"/>
        <v>0</v>
      </c>
      <c r="G79" s="300">
        <f t="shared" si="42"/>
        <v>0</v>
      </c>
      <c r="H79" s="300">
        <f t="shared" si="42"/>
        <v>0</v>
      </c>
      <c r="I79" s="300">
        <f t="shared" si="42"/>
        <v>0</v>
      </c>
      <c r="J79" s="300">
        <f t="shared" si="42"/>
        <v>0</v>
      </c>
      <c r="K79" s="300">
        <f t="shared" si="42"/>
        <v>0</v>
      </c>
      <c r="L79" s="300">
        <f t="shared" si="42"/>
        <v>0</v>
      </c>
      <c r="M79" s="300">
        <f t="shared" si="42"/>
        <v>0</v>
      </c>
      <c r="N79" s="300">
        <f t="shared" si="42"/>
        <v>0</v>
      </c>
      <c r="O79" s="300">
        <f t="shared" si="42"/>
        <v>0</v>
      </c>
      <c r="P79" s="300">
        <f t="shared" si="42"/>
        <v>0</v>
      </c>
      <c r="Q79" s="300">
        <f t="shared" si="42"/>
        <v>0</v>
      </c>
      <c r="R79" s="300">
        <f t="shared" si="42"/>
        <v>0</v>
      </c>
      <c r="S79" s="300">
        <f t="shared" si="42"/>
        <v>0</v>
      </c>
      <c r="T79" s="300">
        <f t="shared" si="42"/>
        <v>0</v>
      </c>
      <c r="U79" s="300">
        <f t="shared" si="42"/>
        <v>0</v>
      </c>
      <c r="V79" s="300">
        <f t="shared" si="42"/>
        <v>0</v>
      </c>
      <c r="W79" s="300">
        <f t="shared" si="42"/>
        <v>0</v>
      </c>
      <c r="X79" s="300">
        <f t="shared" si="42"/>
        <v>0</v>
      </c>
      <c r="Y79" s="300">
        <f t="shared" si="42"/>
        <v>0</v>
      </c>
      <c r="Z79" s="300">
        <f t="shared" si="42"/>
        <v>0</v>
      </c>
      <c r="AA79" s="300">
        <f t="shared" si="42"/>
        <v>0</v>
      </c>
      <c r="AB79" s="300">
        <f t="shared" si="42"/>
        <v>0</v>
      </c>
      <c r="AC79" s="300">
        <f t="shared" si="42"/>
        <v>0</v>
      </c>
      <c r="AD79" s="300">
        <f t="shared" si="42"/>
        <v>0</v>
      </c>
      <c r="AE79" s="300">
        <f t="shared" si="42"/>
        <v>0</v>
      </c>
      <c r="AF79" s="300">
        <f t="shared" si="42"/>
        <v>0</v>
      </c>
      <c r="AG79" s="300">
        <f t="shared" si="42"/>
        <v>0</v>
      </c>
      <c r="AH79" s="245"/>
      <c r="AI79" s="423"/>
      <c r="AJ79" s="424"/>
      <c r="AL79" s="221"/>
      <c r="AM79" s="124"/>
      <c r="AN79" s="124"/>
      <c r="AO79" s="124"/>
      <c r="BD79" s="124"/>
      <c r="BE79" s="124"/>
      <c r="BF79" s="124"/>
      <c r="BG79" s="124"/>
      <c r="BH79" s="124"/>
      <c r="BI79" s="124"/>
      <c r="BJ79" s="124"/>
      <c r="BK79" s="124"/>
    </row>
    <row r="80" spans="1:63" s="1" customFormat="1" outlineLevel="1">
      <c r="A80" s="1" t="s">
        <v>1569</v>
      </c>
      <c r="B80" s="65"/>
      <c r="C80" s="300">
        <f t="shared" ref="C80:AG80" si="43">C42*C70</f>
        <v>0</v>
      </c>
      <c r="D80" s="300">
        <f t="shared" si="43"/>
        <v>0</v>
      </c>
      <c r="E80" s="300">
        <f t="shared" si="43"/>
        <v>0</v>
      </c>
      <c r="F80" s="300">
        <f t="shared" si="43"/>
        <v>0</v>
      </c>
      <c r="G80" s="300">
        <f t="shared" si="43"/>
        <v>0</v>
      </c>
      <c r="H80" s="300">
        <f t="shared" si="43"/>
        <v>0</v>
      </c>
      <c r="I80" s="300">
        <f t="shared" si="43"/>
        <v>0</v>
      </c>
      <c r="J80" s="300">
        <f t="shared" si="43"/>
        <v>0</v>
      </c>
      <c r="K80" s="300">
        <f t="shared" si="43"/>
        <v>0</v>
      </c>
      <c r="L80" s="300">
        <f t="shared" si="43"/>
        <v>0</v>
      </c>
      <c r="M80" s="300">
        <f t="shared" si="43"/>
        <v>0</v>
      </c>
      <c r="N80" s="300">
        <f t="shared" si="43"/>
        <v>0</v>
      </c>
      <c r="O80" s="300">
        <f t="shared" si="43"/>
        <v>0</v>
      </c>
      <c r="P80" s="300">
        <f t="shared" si="43"/>
        <v>0</v>
      </c>
      <c r="Q80" s="300">
        <f t="shared" si="43"/>
        <v>0</v>
      </c>
      <c r="R80" s="300">
        <f t="shared" si="43"/>
        <v>0</v>
      </c>
      <c r="S80" s="300">
        <f t="shared" si="43"/>
        <v>0</v>
      </c>
      <c r="T80" s="300">
        <f t="shared" si="43"/>
        <v>0</v>
      </c>
      <c r="U80" s="300">
        <f t="shared" si="43"/>
        <v>0</v>
      </c>
      <c r="V80" s="300">
        <f t="shared" si="43"/>
        <v>0</v>
      </c>
      <c r="W80" s="300">
        <f t="shared" si="43"/>
        <v>0</v>
      </c>
      <c r="X80" s="300">
        <f t="shared" si="43"/>
        <v>0</v>
      </c>
      <c r="Y80" s="300">
        <f t="shared" si="43"/>
        <v>0</v>
      </c>
      <c r="Z80" s="300">
        <f t="shared" si="43"/>
        <v>0</v>
      </c>
      <c r="AA80" s="300">
        <f t="shared" si="43"/>
        <v>0</v>
      </c>
      <c r="AB80" s="300">
        <f t="shared" si="43"/>
        <v>0</v>
      </c>
      <c r="AC80" s="300">
        <f t="shared" si="43"/>
        <v>0</v>
      </c>
      <c r="AD80" s="300">
        <f t="shared" si="43"/>
        <v>0</v>
      </c>
      <c r="AE80" s="300">
        <f t="shared" si="43"/>
        <v>0</v>
      </c>
      <c r="AF80" s="300">
        <f t="shared" si="43"/>
        <v>0</v>
      </c>
      <c r="AG80" s="300">
        <f t="shared" si="43"/>
        <v>0</v>
      </c>
      <c r="AH80" s="245"/>
      <c r="AI80" s="423"/>
      <c r="AJ80" s="424"/>
      <c r="AL80" s="221"/>
      <c r="AM80" s="124"/>
      <c r="AN80" s="124"/>
      <c r="AO80" s="124"/>
      <c r="BD80" s="124"/>
      <c r="BE80" s="124"/>
      <c r="BF80" s="124"/>
      <c r="BG80" s="124"/>
      <c r="BH80" s="124"/>
      <c r="BI80" s="124"/>
      <c r="BJ80" s="124"/>
      <c r="BK80" s="124"/>
    </row>
    <row r="81" spans="1:63" s="1" customFormat="1" outlineLevel="1">
      <c r="A81" s="1" t="s">
        <v>1570</v>
      </c>
      <c r="B81" s="65"/>
      <c r="C81" s="300">
        <f t="shared" ref="C81:AG81" si="44">C80-$C80</f>
        <v>0</v>
      </c>
      <c r="D81" s="300">
        <f t="shared" si="44"/>
        <v>0</v>
      </c>
      <c r="E81" s="300">
        <f t="shared" si="44"/>
        <v>0</v>
      </c>
      <c r="F81" s="300">
        <f t="shared" si="44"/>
        <v>0</v>
      </c>
      <c r="G81" s="300">
        <f t="shared" si="44"/>
        <v>0</v>
      </c>
      <c r="H81" s="300">
        <f t="shared" si="44"/>
        <v>0</v>
      </c>
      <c r="I81" s="300">
        <f t="shared" si="44"/>
        <v>0</v>
      </c>
      <c r="J81" s="300">
        <f t="shared" si="44"/>
        <v>0</v>
      </c>
      <c r="K81" s="300">
        <f t="shared" si="44"/>
        <v>0</v>
      </c>
      <c r="L81" s="300">
        <f t="shared" si="44"/>
        <v>0</v>
      </c>
      <c r="M81" s="300">
        <f t="shared" si="44"/>
        <v>0</v>
      </c>
      <c r="N81" s="300">
        <f t="shared" si="44"/>
        <v>0</v>
      </c>
      <c r="O81" s="300">
        <f t="shared" si="44"/>
        <v>0</v>
      </c>
      <c r="P81" s="300">
        <f t="shared" si="44"/>
        <v>0</v>
      </c>
      <c r="Q81" s="300">
        <f t="shared" si="44"/>
        <v>0</v>
      </c>
      <c r="R81" s="300">
        <f t="shared" si="44"/>
        <v>0</v>
      </c>
      <c r="S81" s="300">
        <f t="shared" si="44"/>
        <v>0</v>
      </c>
      <c r="T81" s="300">
        <f t="shared" si="44"/>
        <v>0</v>
      </c>
      <c r="U81" s="300">
        <f t="shared" si="44"/>
        <v>0</v>
      </c>
      <c r="V81" s="300">
        <f t="shared" si="44"/>
        <v>0</v>
      </c>
      <c r="W81" s="300">
        <f t="shared" si="44"/>
        <v>0</v>
      </c>
      <c r="X81" s="300">
        <f t="shared" si="44"/>
        <v>0</v>
      </c>
      <c r="Y81" s="300">
        <f t="shared" si="44"/>
        <v>0</v>
      </c>
      <c r="Z81" s="300">
        <f t="shared" si="44"/>
        <v>0</v>
      </c>
      <c r="AA81" s="300">
        <f t="shared" si="44"/>
        <v>0</v>
      </c>
      <c r="AB81" s="300">
        <f t="shared" si="44"/>
        <v>0</v>
      </c>
      <c r="AC81" s="300">
        <f t="shared" si="44"/>
        <v>0</v>
      </c>
      <c r="AD81" s="300">
        <f t="shared" si="44"/>
        <v>0</v>
      </c>
      <c r="AE81" s="300">
        <f t="shared" si="44"/>
        <v>0</v>
      </c>
      <c r="AF81" s="300">
        <f t="shared" si="44"/>
        <v>0</v>
      </c>
      <c r="AG81" s="300">
        <f t="shared" si="44"/>
        <v>0</v>
      </c>
      <c r="AH81" s="245"/>
      <c r="AI81" s="423"/>
      <c r="AJ81" s="424"/>
      <c r="AL81" s="221"/>
      <c r="AM81" s="124"/>
      <c r="AN81" s="124"/>
      <c r="AO81" s="124"/>
      <c r="BD81" s="124"/>
      <c r="BE81" s="124"/>
      <c r="BF81" s="124"/>
      <c r="BG81" s="124"/>
      <c r="BH81" s="124"/>
      <c r="BI81" s="124"/>
      <c r="BJ81" s="124"/>
      <c r="BK81" s="124"/>
    </row>
    <row r="82" spans="1:63" outlineLevel="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I82" s="134"/>
      <c r="AJ82" s="211"/>
      <c r="AL82" s="108"/>
      <c r="AM82" s="132"/>
      <c r="AN82" s="2"/>
      <c r="AO82" s="2"/>
    </row>
    <row r="83" spans="1:63" s="200" customFormat="1" ht="16" thickBot="1">
      <c r="A83" s="200" t="s">
        <v>1330</v>
      </c>
      <c r="B83" s="215"/>
      <c r="C83" s="222">
        <f>C84</f>
        <v>0.1</v>
      </c>
      <c r="D83" s="222">
        <f t="shared" ref="D83:AG83" si="45">D84</f>
        <v>0.11333333333333334</v>
      </c>
      <c r="E83" s="222">
        <f t="shared" si="45"/>
        <v>0.12666666666666668</v>
      </c>
      <c r="F83" s="222">
        <f t="shared" si="45"/>
        <v>0.14000000000000001</v>
      </c>
      <c r="G83" s="222">
        <f t="shared" si="45"/>
        <v>0.15333333333333332</v>
      </c>
      <c r="H83" s="222">
        <f t="shared" si="45"/>
        <v>0.16666666666666669</v>
      </c>
      <c r="I83" s="222">
        <f t="shared" si="45"/>
        <v>0.18</v>
      </c>
      <c r="J83" s="222">
        <f t="shared" si="45"/>
        <v>0.19333333333333333</v>
      </c>
      <c r="K83" s="222">
        <f t="shared" si="45"/>
        <v>0.20666666666666667</v>
      </c>
      <c r="L83" s="222">
        <f t="shared" si="45"/>
        <v>0.22</v>
      </c>
      <c r="M83" s="222">
        <f t="shared" si="45"/>
        <v>0.23333333333333334</v>
      </c>
      <c r="N83" s="222">
        <f t="shared" si="45"/>
        <v>0.24666666666666667</v>
      </c>
      <c r="O83" s="222">
        <f t="shared" si="45"/>
        <v>0.26</v>
      </c>
      <c r="P83" s="222">
        <f t="shared" si="45"/>
        <v>0.27333333333333332</v>
      </c>
      <c r="Q83" s="222">
        <f t="shared" si="45"/>
        <v>0.28666666666666668</v>
      </c>
      <c r="R83" s="222">
        <f t="shared" si="45"/>
        <v>0.30000000000000004</v>
      </c>
      <c r="S83" s="222">
        <f t="shared" si="45"/>
        <v>0.31333333333333335</v>
      </c>
      <c r="T83" s="222">
        <f t="shared" si="45"/>
        <v>0.32666666666666666</v>
      </c>
      <c r="U83" s="222">
        <f t="shared" si="45"/>
        <v>0.34</v>
      </c>
      <c r="V83" s="222">
        <f t="shared" si="45"/>
        <v>0.35333333333333339</v>
      </c>
      <c r="W83" s="222">
        <f t="shared" si="45"/>
        <v>0.3666666666666667</v>
      </c>
      <c r="X83" s="222">
        <f t="shared" si="45"/>
        <v>0.38</v>
      </c>
      <c r="Y83" s="222">
        <f t="shared" si="45"/>
        <v>0.39333333333333337</v>
      </c>
      <c r="Z83" s="222">
        <f t="shared" si="45"/>
        <v>0.40666666666666668</v>
      </c>
      <c r="AA83" s="222">
        <f t="shared" si="45"/>
        <v>0.42000000000000004</v>
      </c>
      <c r="AB83" s="222">
        <f t="shared" si="45"/>
        <v>0.43333333333333335</v>
      </c>
      <c r="AC83" s="222">
        <f t="shared" si="45"/>
        <v>0.44666666666666666</v>
      </c>
      <c r="AD83" s="222">
        <f t="shared" si="45"/>
        <v>0.46</v>
      </c>
      <c r="AE83" s="222">
        <f t="shared" si="45"/>
        <v>0.47333333333333333</v>
      </c>
      <c r="AF83" s="222">
        <f t="shared" si="45"/>
        <v>0.48666666666666669</v>
      </c>
      <c r="AG83" s="222">
        <f t="shared" si="45"/>
        <v>0.5</v>
      </c>
      <c r="AJ83" s="231" t="s">
        <v>1331</v>
      </c>
      <c r="AL83" s="217"/>
      <c r="AM83" s="218"/>
      <c r="AN83" s="218"/>
      <c r="AO83" s="218"/>
    </row>
    <row r="84" spans="1:63" ht="16" outlineLevel="1" thickTop="1">
      <c r="A84" t="s">
        <v>1332</v>
      </c>
      <c r="B84" s="54" t="s">
        <v>462</v>
      </c>
      <c r="C84" s="214">
        <v>0.1</v>
      </c>
      <c r="D84" s="110">
        <f>$C84+($M84-$C84)/10*(D$1-$C$1)</f>
        <v>0.11333333333333334</v>
      </c>
      <c r="E84" s="110">
        <f t="shared" ref="E84:L84" si="46">$C84+($M84-$C84)/10*(E$1-$C$1)</f>
        <v>0.12666666666666668</v>
      </c>
      <c r="F84" s="110">
        <f t="shared" si="46"/>
        <v>0.14000000000000001</v>
      </c>
      <c r="G84" s="110">
        <f t="shared" si="46"/>
        <v>0.15333333333333332</v>
      </c>
      <c r="H84" s="110">
        <f t="shared" si="46"/>
        <v>0.16666666666666669</v>
      </c>
      <c r="I84" s="110">
        <f t="shared" si="46"/>
        <v>0.18</v>
      </c>
      <c r="J84" s="110">
        <f t="shared" si="46"/>
        <v>0.19333333333333333</v>
      </c>
      <c r="K84" s="110">
        <f t="shared" si="46"/>
        <v>0.20666666666666667</v>
      </c>
      <c r="L84" s="110">
        <f t="shared" si="46"/>
        <v>0.22</v>
      </c>
      <c r="M84" s="121">
        <f>C84+(AG84-C84)/3</f>
        <v>0.23333333333333334</v>
      </c>
      <c r="N84" s="121">
        <f>$M84+($W84-$M84)/10*(N$1-$M$1)</f>
        <v>0.24666666666666667</v>
      </c>
      <c r="O84" s="121">
        <f t="shared" ref="O84:U84" si="47">$M84+($W84-$M84)/10*(O$1-$M$1)</f>
        <v>0.26</v>
      </c>
      <c r="P84" s="121">
        <f t="shared" si="47"/>
        <v>0.27333333333333332</v>
      </c>
      <c r="Q84" s="121">
        <f t="shared" si="47"/>
        <v>0.28666666666666668</v>
      </c>
      <c r="R84" s="121">
        <f t="shared" si="47"/>
        <v>0.30000000000000004</v>
      </c>
      <c r="S84" s="121">
        <f t="shared" si="47"/>
        <v>0.31333333333333335</v>
      </c>
      <c r="T84" s="121">
        <f t="shared" si="47"/>
        <v>0.32666666666666666</v>
      </c>
      <c r="U84" s="121">
        <f t="shared" si="47"/>
        <v>0.34</v>
      </c>
      <c r="V84" s="121">
        <f>$M84+($W84-$M84)/10*(V$1-$M$1)</f>
        <v>0.35333333333333339</v>
      </c>
      <c r="W84" s="121">
        <f>C84+(AG84-C84)*2/3</f>
        <v>0.3666666666666667</v>
      </c>
      <c r="X84" s="110">
        <f>$W84+($AG84-$W84)/10*(X$1-$W$1)</f>
        <v>0.38</v>
      </c>
      <c r="Y84" s="110">
        <f t="shared" ref="Y84:AF84" si="48">$W84+($AG84-$W84)/10*(Y$1-$W$1)</f>
        <v>0.39333333333333337</v>
      </c>
      <c r="Z84" s="110">
        <f t="shared" si="48"/>
        <v>0.40666666666666668</v>
      </c>
      <c r="AA84" s="110">
        <f t="shared" si="48"/>
        <v>0.42000000000000004</v>
      </c>
      <c r="AB84" s="110">
        <f t="shared" si="48"/>
        <v>0.43333333333333335</v>
      </c>
      <c r="AC84" s="110">
        <f t="shared" si="48"/>
        <v>0.44666666666666666</v>
      </c>
      <c r="AD84" s="110">
        <f t="shared" si="48"/>
        <v>0.46</v>
      </c>
      <c r="AE84" s="110">
        <f t="shared" si="48"/>
        <v>0.47333333333333333</v>
      </c>
      <c r="AF84" s="110">
        <f t="shared" si="48"/>
        <v>0.48666666666666669</v>
      </c>
      <c r="AG84" s="214">
        <v>0.5</v>
      </c>
      <c r="AJ84" s="211" t="s">
        <v>1684</v>
      </c>
    </row>
    <row r="85" spans="1:63" outlineLevel="1">
      <c r="A85" t="s">
        <v>1437</v>
      </c>
      <c r="B85" s="54" t="s">
        <v>462</v>
      </c>
      <c r="C85" s="214">
        <v>0</v>
      </c>
      <c r="D85" s="110">
        <f t="shared" ref="D85:AF85" si="49">C85-($C$85-$AG$85)/($AG$1-$C$1)</f>
        <v>0.01</v>
      </c>
      <c r="E85" s="110">
        <f t="shared" si="49"/>
        <v>0.02</v>
      </c>
      <c r="F85" s="110">
        <f t="shared" si="49"/>
        <v>0.03</v>
      </c>
      <c r="G85" s="110">
        <f t="shared" si="49"/>
        <v>0.04</v>
      </c>
      <c r="H85" s="110">
        <f t="shared" si="49"/>
        <v>0.05</v>
      </c>
      <c r="I85" s="110">
        <f t="shared" si="49"/>
        <v>6.0000000000000005E-2</v>
      </c>
      <c r="J85" s="110">
        <f t="shared" si="49"/>
        <v>7.0000000000000007E-2</v>
      </c>
      <c r="K85" s="110">
        <f t="shared" si="49"/>
        <v>0.08</v>
      </c>
      <c r="L85" s="110">
        <f t="shared" si="49"/>
        <v>0.09</v>
      </c>
      <c r="M85" s="110">
        <f t="shared" si="49"/>
        <v>9.9999999999999992E-2</v>
      </c>
      <c r="N85" s="110">
        <f t="shared" si="49"/>
        <v>0.10999999999999999</v>
      </c>
      <c r="O85" s="110">
        <f t="shared" si="49"/>
        <v>0.11999999999999998</v>
      </c>
      <c r="P85" s="110">
        <f t="shared" si="49"/>
        <v>0.12999999999999998</v>
      </c>
      <c r="Q85" s="110">
        <f t="shared" si="49"/>
        <v>0.13999999999999999</v>
      </c>
      <c r="R85" s="110">
        <f t="shared" si="49"/>
        <v>0.15</v>
      </c>
      <c r="S85" s="110">
        <f t="shared" si="49"/>
        <v>0.16</v>
      </c>
      <c r="T85" s="110">
        <f t="shared" si="49"/>
        <v>0.17</v>
      </c>
      <c r="U85" s="110">
        <f t="shared" si="49"/>
        <v>0.18000000000000002</v>
      </c>
      <c r="V85" s="110">
        <f t="shared" si="49"/>
        <v>0.19000000000000003</v>
      </c>
      <c r="W85" s="110">
        <f t="shared" si="49"/>
        <v>0.20000000000000004</v>
      </c>
      <c r="X85" s="110">
        <f t="shared" si="49"/>
        <v>0.21000000000000005</v>
      </c>
      <c r="Y85" s="110">
        <f t="shared" si="49"/>
        <v>0.22000000000000006</v>
      </c>
      <c r="Z85" s="110">
        <f t="shared" si="49"/>
        <v>0.23000000000000007</v>
      </c>
      <c r="AA85" s="110">
        <f t="shared" si="49"/>
        <v>0.24000000000000007</v>
      </c>
      <c r="AB85" s="110">
        <f t="shared" si="49"/>
        <v>0.25000000000000006</v>
      </c>
      <c r="AC85" s="110">
        <f t="shared" si="49"/>
        <v>0.26000000000000006</v>
      </c>
      <c r="AD85" s="110">
        <f t="shared" si="49"/>
        <v>0.27000000000000007</v>
      </c>
      <c r="AE85" s="110">
        <f t="shared" si="49"/>
        <v>0.28000000000000008</v>
      </c>
      <c r="AF85" s="110">
        <f t="shared" si="49"/>
        <v>0.29000000000000009</v>
      </c>
      <c r="AG85" s="214">
        <v>0.3</v>
      </c>
      <c r="AI85" s="134"/>
      <c r="AJ85" s="211" t="s">
        <v>1217</v>
      </c>
      <c r="AL85" s="54" t="s">
        <v>1439</v>
      </c>
    </row>
    <row r="86" spans="1:63" outlineLevel="1">
      <c r="A86" t="s">
        <v>1440</v>
      </c>
      <c r="B86" s="176" t="s">
        <v>462</v>
      </c>
      <c r="C86" s="110">
        <f>1-C85</f>
        <v>1</v>
      </c>
      <c r="D86" s="110">
        <f t="shared" ref="D86:AG86" si="50">1-D85</f>
        <v>0.99</v>
      </c>
      <c r="E86" s="110">
        <f t="shared" si="50"/>
        <v>0.98</v>
      </c>
      <c r="F86" s="110">
        <f t="shared" si="50"/>
        <v>0.97</v>
      </c>
      <c r="G86" s="110">
        <f t="shared" si="50"/>
        <v>0.96</v>
      </c>
      <c r="H86" s="110">
        <f t="shared" si="50"/>
        <v>0.95</v>
      </c>
      <c r="I86" s="110">
        <f t="shared" si="50"/>
        <v>0.94</v>
      </c>
      <c r="J86" s="110">
        <f t="shared" si="50"/>
        <v>0.92999999999999994</v>
      </c>
      <c r="K86" s="110">
        <f t="shared" si="50"/>
        <v>0.92</v>
      </c>
      <c r="L86" s="110">
        <f t="shared" si="50"/>
        <v>0.91</v>
      </c>
      <c r="M86" s="110">
        <f t="shared" si="50"/>
        <v>0.9</v>
      </c>
      <c r="N86" s="110">
        <f t="shared" si="50"/>
        <v>0.89</v>
      </c>
      <c r="O86" s="110">
        <f t="shared" si="50"/>
        <v>0.88</v>
      </c>
      <c r="P86" s="110">
        <f t="shared" si="50"/>
        <v>0.87</v>
      </c>
      <c r="Q86" s="110">
        <f t="shared" si="50"/>
        <v>0.86</v>
      </c>
      <c r="R86" s="110">
        <f t="shared" si="50"/>
        <v>0.85</v>
      </c>
      <c r="S86" s="110">
        <f t="shared" si="50"/>
        <v>0.84</v>
      </c>
      <c r="T86" s="110">
        <f t="shared" si="50"/>
        <v>0.83</v>
      </c>
      <c r="U86" s="110">
        <f t="shared" si="50"/>
        <v>0.82</v>
      </c>
      <c r="V86" s="110">
        <f t="shared" si="50"/>
        <v>0.80999999999999994</v>
      </c>
      <c r="W86" s="110">
        <f t="shared" si="50"/>
        <v>0.79999999999999993</v>
      </c>
      <c r="X86" s="110">
        <f t="shared" si="50"/>
        <v>0.78999999999999992</v>
      </c>
      <c r="Y86" s="110">
        <f t="shared" si="50"/>
        <v>0.77999999999999992</v>
      </c>
      <c r="Z86" s="110">
        <f t="shared" si="50"/>
        <v>0.76999999999999991</v>
      </c>
      <c r="AA86" s="110">
        <f t="shared" si="50"/>
        <v>0.7599999999999999</v>
      </c>
      <c r="AB86" s="110">
        <f t="shared" si="50"/>
        <v>0.75</v>
      </c>
      <c r="AC86" s="110">
        <f t="shared" si="50"/>
        <v>0.74</v>
      </c>
      <c r="AD86" s="110">
        <f t="shared" si="50"/>
        <v>0.73</v>
      </c>
      <c r="AE86" s="110">
        <f t="shared" si="50"/>
        <v>0.72</v>
      </c>
      <c r="AF86" s="110">
        <f t="shared" si="50"/>
        <v>0.71</v>
      </c>
      <c r="AG86" s="110">
        <f t="shared" si="50"/>
        <v>0.7</v>
      </c>
      <c r="AI86" s="134"/>
      <c r="AJ86" s="211"/>
      <c r="BD86" s="760"/>
      <c r="BE86" s="760"/>
    </row>
    <row r="87" spans="1:63" outlineLevel="1">
      <c r="A87" t="s">
        <v>1333</v>
      </c>
      <c r="B87" s="54" t="s">
        <v>462</v>
      </c>
      <c r="C87" s="110">
        <f>C84*C85</f>
        <v>0</v>
      </c>
      <c r="D87" s="110">
        <f t="shared" ref="D87:AG87" si="51">D84*D85</f>
        <v>1.1333333333333334E-3</v>
      </c>
      <c r="E87" s="110">
        <f t="shared" si="51"/>
        <v>2.5333333333333336E-3</v>
      </c>
      <c r="F87" s="110">
        <f t="shared" si="51"/>
        <v>4.2000000000000006E-3</v>
      </c>
      <c r="G87" s="110">
        <f t="shared" si="51"/>
        <v>6.1333333333333327E-3</v>
      </c>
      <c r="H87" s="110">
        <f t="shared" si="51"/>
        <v>8.333333333333335E-3</v>
      </c>
      <c r="I87" s="110">
        <f t="shared" si="51"/>
        <v>1.0800000000000001E-2</v>
      </c>
      <c r="J87" s="110">
        <f t="shared" si="51"/>
        <v>1.3533333333333335E-2</v>
      </c>
      <c r="K87" s="110">
        <f t="shared" si="51"/>
        <v>1.6533333333333334E-2</v>
      </c>
      <c r="L87" s="110">
        <f t="shared" si="51"/>
        <v>1.9799999999999998E-2</v>
      </c>
      <c r="M87" s="110">
        <f t="shared" si="51"/>
        <v>2.3333333333333331E-2</v>
      </c>
      <c r="N87" s="110">
        <f t="shared" si="51"/>
        <v>2.7133333333333332E-2</v>
      </c>
      <c r="O87" s="110">
        <f t="shared" si="51"/>
        <v>3.1199999999999995E-2</v>
      </c>
      <c r="P87" s="110">
        <f t="shared" si="51"/>
        <v>3.5533333333333326E-2</v>
      </c>
      <c r="Q87" s="110">
        <f t="shared" si="51"/>
        <v>4.0133333333333333E-2</v>
      </c>
      <c r="R87" s="110">
        <f t="shared" si="51"/>
        <v>4.5000000000000005E-2</v>
      </c>
      <c r="S87" s="110">
        <f t="shared" si="51"/>
        <v>5.0133333333333335E-2</v>
      </c>
      <c r="T87" s="110">
        <f t="shared" si="51"/>
        <v>5.5533333333333337E-2</v>
      </c>
      <c r="U87" s="110">
        <f t="shared" si="51"/>
        <v>6.1200000000000011E-2</v>
      </c>
      <c r="V87" s="110">
        <f t="shared" si="51"/>
        <v>6.713333333333335E-2</v>
      </c>
      <c r="W87" s="110">
        <f t="shared" si="51"/>
        <v>7.3333333333333348E-2</v>
      </c>
      <c r="X87" s="110">
        <f t="shared" si="51"/>
        <v>7.9800000000000024E-2</v>
      </c>
      <c r="Y87" s="110">
        <f t="shared" si="51"/>
        <v>8.6533333333333365E-2</v>
      </c>
      <c r="Z87" s="110">
        <f t="shared" si="51"/>
        <v>9.3533333333333357E-2</v>
      </c>
      <c r="AA87" s="110">
        <f t="shared" si="51"/>
        <v>0.10080000000000004</v>
      </c>
      <c r="AB87" s="110">
        <f t="shared" si="51"/>
        <v>0.10833333333333336</v>
      </c>
      <c r="AC87" s="110">
        <f t="shared" si="51"/>
        <v>0.11613333333333337</v>
      </c>
      <c r="AD87" s="110">
        <f t="shared" si="51"/>
        <v>0.12420000000000003</v>
      </c>
      <c r="AE87" s="110">
        <f t="shared" si="51"/>
        <v>0.13253333333333336</v>
      </c>
      <c r="AF87" s="110">
        <f t="shared" si="51"/>
        <v>0.14113333333333339</v>
      </c>
      <c r="AG87" s="110">
        <f t="shared" si="51"/>
        <v>0.15</v>
      </c>
      <c r="AI87" s="134"/>
      <c r="AJ87" s="211"/>
      <c r="BD87" s="203"/>
      <c r="BE87" s="203"/>
    </row>
    <row r="88" spans="1:63" outlineLevel="1">
      <c r="A88" t="s">
        <v>1334</v>
      </c>
      <c r="B88" s="54" t="s">
        <v>462</v>
      </c>
      <c r="C88" s="110">
        <f>C84*C86</f>
        <v>0.1</v>
      </c>
      <c r="D88" s="110">
        <f t="shared" ref="D88:AG88" si="52">D84*D86</f>
        <v>0.11220000000000001</v>
      </c>
      <c r="E88" s="110">
        <f t="shared" si="52"/>
        <v>0.12413333333333335</v>
      </c>
      <c r="F88" s="110">
        <f t="shared" si="52"/>
        <v>0.1358</v>
      </c>
      <c r="G88" s="110">
        <f t="shared" si="52"/>
        <v>0.14719999999999997</v>
      </c>
      <c r="H88" s="110">
        <f t="shared" si="52"/>
        <v>0.15833333333333335</v>
      </c>
      <c r="I88" s="110">
        <f t="shared" si="52"/>
        <v>0.16919999999999999</v>
      </c>
      <c r="J88" s="110">
        <f t="shared" si="52"/>
        <v>0.17979999999999999</v>
      </c>
      <c r="K88" s="110">
        <f t="shared" si="52"/>
        <v>0.19013333333333335</v>
      </c>
      <c r="L88" s="110">
        <f t="shared" si="52"/>
        <v>0.20020000000000002</v>
      </c>
      <c r="M88" s="110">
        <f t="shared" si="52"/>
        <v>0.21000000000000002</v>
      </c>
      <c r="N88" s="110">
        <f t="shared" si="52"/>
        <v>0.21953333333333333</v>
      </c>
      <c r="O88" s="110">
        <f t="shared" si="52"/>
        <v>0.2288</v>
      </c>
      <c r="P88" s="110">
        <f t="shared" si="52"/>
        <v>0.23779999999999998</v>
      </c>
      <c r="Q88" s="110">
        <f t="shared" si="52"/>
        <v>0.24653333333333335</v>
      </c>
      <c r="R88" s="110">
        <f t="shared" si="52"/>
        <v>0.255</v>
      </c>
      <c r="S88" s="110">
        <f t="shared" si="52"/>
        <v>0.26319999999999999</v>
      </c>
      <c r="T88" s="110">
        <f t="shared" si="52"/>
        <v>0.27113333333333334</v>
      </c>
      <c r="U88" s="110">
        <f t="shared" si="52"/>
        <v>0.27879999999999999</v>
      </c>
      <c r="V88" s="110">
        <f t="shared" si="52"/>
        <v>0.28620000000000001</v>
      </c>
      <c r="W88" s="110">
        <f t="shared" si="52"/>
        <v>0.29333333333333333</v>
      </c>
      <c r="X88" s="110">
        <f t="shared" si="52"/>
        <v>0.30019999999999997</v>
      </c>
      <c r="Y88" s="110">
        <f t="shared" si="52"/>
        <v>0.30680000000000002</v>
      </c>
      <c r="Z88" s="110">
        <f t="shared" si="52"/>
        <v>0.31313333333333332</v>
      </c>
      <c r="AA88" s="110">
        <f t="shared" si="52"/>
        <v>0.31919999999999998</v>
      </c>
      <c r="AB88" s="110">
        <f t="shared" si="52"/>
        <v>0.32500000000000001</v>
      </c>
      <c r="AC88" s="110">
        <f t="shared" si="52"/>
        <v>0.33053333333333335</v>
      </c>
      <c r="AD88" s="110">
        <f t="shared" si="52"/>
        <v>0.33579999999999999</v>
      </c>
      <c r="AE88" s="110">
        <f t="shared" si="52"/>
        <v>0.34079999999999999</v>
      </c>
      <c r="AF88" s="110">
        <f t="shared" si="52"/>
        <v>0.34553333333333336</v>
      </c>
      <c r="AG88" s="110">
        <f t="shared" si="52"/>
        <v>0.35</v>
      </c>
      <c r="AI88" s="134"/>
      <c r="AJ88" s="211"/>
      <c r="BD88" s="203"/>
      <c r="BE88" s="203"/>
    </row>
    <row r="89" spans="1:63" outlineLevel="1">
      <c r="B89" s="176"/>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I89" s="134"/>
      <c r="AJ89" s="211"/>
      <c r="BD89" s="203"/>
      <c r="BE89" s="203"/>
    </row>
    <row r="90" spans="1:63" ht="16" outlineLevel="1">
      <c r="A90" t="s">
        <v>1441</v>
      </c>
      <c r="B90" s="54" t="s">
        <v>462</v>
      </c>
      <c r="C90" s="214">
        <v>0.9</v>
      </c>
      <c r="D90" s="110">
        <f>C90</f>
        <v>0.9</v>
      </c>
      <c r="E90" s="110">
        <f t="shared" ref="E90:T90" si="53">D90</f>
        <v>0.9</v>
      </c>
      <c r="F90" s="110">
        <f t="shared" si="53"/>
        <v>0.9</v>
      </c>
      <c r="G90" s="110">
        <f t="shared" si="53"/>
        <v>0.9</v>
      </c>
      <c r="H90" s="110">
        <f t="shared" si="53"/>
        <v>0.9</v>
      </c>
      <c r="I90" s="110">
        <f t="shared" si="53"/>
        <v>0.9</v>
      </c>
      <c r="J90" s="110">
        <f t="shared" si="53"/>
        <v>0.9</v>
      </c>
      <c r="K90" s="110">
        <f t="shared" si="53"/>
        <v>0.9</v>
      </c>
      <c r="L90" s="110">
        <f t="shared" si="53"/>
        <v>0.9</v>
      </c>
      <c r="M90" s="110">
        <f t="shared" si="53"/>
        <v>0.9</v>
      </c>
      <c r="N90" s="110">
        <f t="shared" si="53"/>
        <v>0.9</v>
      </c>
      <c r="O90" s="110">
        <f t="shared" si="53"/>
        <v>0.9</v>
      </c>
      <c r="P90" s="110">
        <f t="shared" si="53"/>
        <v>0.9</v>
      </c>
      <c r="Q90" s="110">
        <f t="shared" si="53"/>
        <v>0.9</v>
      </c>
      <c r="R90" s="110">
        <f t="shared" si="53"/>
        <v>0.9</v>
      </c>
      <c r="S90" s="110">
        <f t="shared" si="53"/>
        <v>0.9</v>
      </c>
      <c r="T90" s="110">
        <f t="shared" si="53"/>
        <v>0.9</v>
      </c>
      <c r="U90" s="110">
        <f t="shared" ref="T90:AG92" si="54">T90</f>
        <v>0.9</v>
      </c>
      <c r="V90" s="110">
        <f t="shared" si="54"/>
        <v>0.9</v>
      </c>
      <c r="W90" s="110">
        <f t="shared" si="54"/>
        <v>0.9</v>
      </c>
      <c r="X90" s="110">
        <f t="shared" si="54"/>
        <v>0.9</v>
      </c>
      <c r="Y90" s="110">
        <f t="shared" si="54"/>
        <v>0.9</v>
      </c>
      <c r="Z90" s="110">
        <f t="shared" si="54"/>
        <v>0.9</v>
      </c>
      <c r="AA90" s="110">
        <f t="shared" si="54"/>
        <v>0.9</v>
      </c>
      <c r="AB90" s="110">
        <f t="shared" si="54"/>
        <v>0.9</v>
      </c>
      <c r="AC90" s="110">
        <f t="shared" si="54"/>
        <v>0.9</v>
      </c>
      <c r="AD90" s="110">
        <f t="shared" si="54"/>
        <v>0.9</v>
      </c>
      <c r="AE90" s="110">
        <f t="shared" si="54"/>
        <v>0.9</v>
      </c>
      <c r="AF90" s="110">
        <f t="shared" si="54"/>
        <v>0.9</v>
      </c>
      <c r="AG90" s="110">
        <f t="shared" si="54"/>
        <v>0.9</v>
      </c>
      <c r="AI90" s="133" t="s">
        <v>1442</v>
      </c>
      <c r="AJ90" s="597" t="s">
        <v>1685</v>
      </c>
      <c r="BD90" s="203"/>
      <c r="BE90" s="203"/>
    </row>
    <row r="91" spans="1:63" ht="16" outlineLevel="1">
      <c r="A91" t="s">
        <v>1444</v>
      </c>
      <c r="B91" s="54" t="s">
        <v>462</v>
      </c>
      <c r="C91" s="214">
        <v>0</v>
      </c>
      <c r="D91" s="110">
        <f t="shared" ref="D91:S92" si="55">C91</f>
        <v>0</v>
      </c>
      <c r="E91" s="110">
        <f t="shared" si="55"/>
        <v>0</v>
      </c>
      <c r="F91" s="110">
        <f t="shared" si="55"/>
        <v>0</v>
      </c>
      <c r="G91" s="110">
        <f t="shared" si="55"/>
        <v>0</v>
      </c>
      <c r="H91" s="110">
        <f t="shared" si="55"/>
        <v>0</v>
      </c>
      <c r="I91" s="110">
        <f t="shared" si="55"/>
        <v>0</v>
      </c>
      <c r="J91" s="110">
        <f t="shared" si="55"/>
        <v>0</v>
      </c>
      <c r="K91" s="110">
        <f t="shared" si="55"/>
        <v>0</v>
      </c>
      <c r="L91" s="110">
        <f t="shared" si="55"/>
        <v>0</v>
      </c>
      <c r="M91" s="110">
        <f t="shared" si="55"/>
        <v>0</v>
      </c>
      <c r="N91" s="110">
        <f t="shared" si="55"/>
        <v>0</v>
      </c>
      <c r="O91" s="110">
        <f t="shared" si="55"/>
        <v>0</v>
      </c>
      <c r="P91" s="110">
        <f t="shared" si="55"/>
        <v>0</v>
      </c>
      <c r="Q91" s="110">
        <f t="shared" si="55"/>
        <v>0</v>
      </c>
      <c r="R91" s="110">
        <f t="shared" si="55"/>
        <v>0</v>
      </c>
      <c r="S91" s="110">
        <f t="shared" si="55"/>
        <v>0</v>
      </c>
      <c r="T91" s="110">
        <f t="shared" si="54"/>
        <v>0</v>
      </c>
      <c r="U91" s="110">
        <f t="shared" si="54"/>
        <v>0</v>
      </c>
      <c r="V91" s="110">
        <f t="shared" si="54"/>
        <v>0</v>
      </c>
      <c r="W91" s="110">
        <f t="shared" si="54"/>
        <v>0</v>
      </c>
      <c r="X91" s="110">
        <f t="shared" si="54"/>
        <v>0</v>
      </c>
      <c r="Y91" s="110">
        <f t="shared" si="54"/>
        <v>0</v>
      </c>
      <c r="Z91" s="110">
        <f t="shared" si="54"/>
        <v>0</v>
      </c>
      <c r="AA91" s="110">
        <f t="shared" si="54"/>
        <v>0</v>
      </c>
      <c r="AB91" s="110">
        <f t="shared" si="54"/>
        <v>0</v>
      </c>
      <c r="AC91" s="110">
        <f t="shared" si="54"/>
        <v>0</v>
      </c>
      <c r="AD91" s="110">
        <f t="shared" si="54"/>
        <v>0</v>
      </c>
      <c r="AE91" s="110">
        <f t="shared" si="54"/>
        <v>0</v>
      </c>
      <c r="AF91" s="110">
        <f t="shared" si="54"/>
        <v>0</v>
      </c>
      <c r="AG91" s="110">
        <f t="shared" si="54"/>
        <v>0</v>
      </c>
      <c r="AI91" s="133" t="s">
        <v>1442</v>
      </c>
      <c r="AJ91" s="232"/>
      <c r="AL91" s="1"/>
      <c r="BC91" s="1"/>
      <c r="BD91" s="762"/>
      <c r="BE91" s="760"/>
      <c r="BF91" s="6"/>
      <c r="BG91" s="6"/>
      <c r="BH91" s="6"/>
      <c r="BI91" s="6"/>
      <c r="BJ91" s="6"/>
    </row>
    <row r="92" spans="1:63" outlineLevel="1">
      <c r="A92" t="s">
        <v>1445</v>
      </c>
      <c r="B92" s="54" t="s">
        <v>462</v>
      </c>
      <c r="C92" s="121">
        <f>1-C90-C91</f>
        <v>9.9999999999999978E-2</v>
      </c>
      <c r="D92" s="110">
        <f t="shared" si="55"/>
        <v>9.9999999999999978E-2</v>
      </c>
      <c r="E92" s="110">
        <f t="shared" si="55"/>
        <v>9.9999999999999978E-2</v>
      </c>
      <c r="F92" s="110">
        <f t="shared" si="55"/>
        <v>9.9999999999999978E-2</v>
      </c>
      <c r="G92" s="110">
        <f t="shared" si="55"/>
        <v>9.9999999999999978E-2</v>
      </c>
      <c r="H92" s="110">
        <f t="shared" si="55"/>
        <v>9.9999999999999978E-2</v>
      </c>
      <c r="I92" s="110">
        <f t="shared" si="55"/>
        <v>9.9999999999999978E-2</v>
      </c>
      <c r="J92" s="110">
        <f t="shared" si="55"/>
        <v>9.9999999999999978E-2</v>
      </c>
      <c r="K92" s="110">
        <f t="shared" si="55"/>
        <v>9.9999999999999978E-2</v>
      </c>
      <c r="L92" s="110">
        <f t="shared" si="55"/>
        <v>9.9999999999999978E-2</v>
      </c>
      <c r="M92" s="110">
        <f t="shared" si="55"/>
        <v>9.9999999999999978E-2</v>
      </c>
      <c r="N92" s="110">
        <f t="shared" si="55"/>
        <v>9.9999999999999978E-2</v>
      </c>
      <c r="O92" s="110">
        <f t="shared" si="55"/>
        <v>9.9999999999999978E-2</v>
      </c>
      <c r="P92" s="110">
        <f t="shared" si="55"/>
        <v>9.9999999999999978E-2</v>
      </c>
      <c r="Q92" s="110">
        <f t="shared" si="55"/>
        <v>9.9999999999999978E-2</v>
      </c>
      <c r="R92" s="110">
        <f t="shared" si="55"/>
        <v>9.9999999999999978E-2</v>
      </c>
      <c r="S92" s="110">
        <f t="shared" si="55"/>
        <v>9.9999999999999978E-2</v>
      </c>
      <c r="T92" s="110">
        <f t="shared" si="54"/>
        <v>9.9999999999999978E-2</v>
      </c>
      <c r="U92" s="110">
        <f t="shared" si="54"/>
        <v>9.9999999999999978E-2</v>
      </c>
      <c r="V92" s="110">
        <f t="shared" si="54"/>
        <v>9.9999999999999978E-2</v>
      </c>
      <c r="W92" s="110">
        <f t="shared" si="54"/>
        <v>9.9999999999999978E-2</v>
      </c>
      <c r="X92" s="110">
        <f t="shared" si="54"/>
        <v>9.9999999999999978E-2</v>
      </c>
      <c r="Y92" s="110">
        <f t="shared" si="54"/>
        <v>9.9999999999999978E-2</v>
      </c>
      <c r="Z92" s="110">
        <f t="shared" si="54"/>
        <v>9.9999999999999978E-2</v>
      </c>
      <c r="AA92" s="110">
        <f t="shared" si="54"/>
        <v>9.9999999999999978E-2</v>
      </c>
      <c r="AB92" s="110">
        <f t="shared" si="54"/>
        <v>9.9999999999999978E-2</v>
      </c>
      <c r="AC92" s="110">
        <f t="shared" si="54"/>
        <v>9.9999999999999978E-2</v>
      </c>
      <c r="AD92" s="110">
        <f t="shared" si="54"/>
        <v>9.9999999999999978E-2</v>
      </c>
      <c r="AE92" s="110">
        <f t="shared" si="54"/>
        <v>9.9999999999999978E-2</v>
      </c>
      <c r="AF92" s="110">
        <f t="shared" si="54"/>
        <v>9.9999999999999978E-2</v>
      </c>
      <c r="AG92" s="110">
        <f t="shared" si="54"/>
        <v>9.9999999999999978E-2</v>
      </c>
      <c r="AI92" s="133"/>
      <c r="AJ92" s="223"/>
      <c r="BC92" s="1"/>
      <c r="BD92" s="41"/>
      <c r="BF92" s="6"/>
      <c r="BG92" s="6"/>
      <c r="BH92" s="6"/>
      <c r="BI92" s="6"/>
      <c r="BJ92" s="6"/>
    </row>
    <row r="93" spans="1:63" outlineLevel="1">
      <c r="A93" t="s">
        <v>1268</v>
      </c>
      <c r="B93" s="54" t="s">
        <v>462</v>
      </c>
      <c r="C93" s="110">
        <f>SUM(C90:C92)</f>
        <v>1</v>
      </c>
      <c r="D93" s="110">
        <f t="shared" ref="D93:AG93" si="56">SUM(D90:D92)</f>
        <v>1</v>
      </c>
      <c r="E93" s="110">
        <f t="shared" si="56"/>
        <v>1</v>
      </c>
      <c r="F93" s="110">
        <f t="shared" si="56"/>
        <v>1</v>
      </c>
      <c r="G93" s="110">
        <f t="shared" si="56"/>
        <v>1</v>
      </c>
      <c r="H93" s="110">
        <f t="shared" si="56"/>
        <v>1</v>
      </c>
      <c r="I93" s="110">
        <f t="shared" si="56"/>
        <v>1</v>
      </c>
      <c r="J93" s="110">
        <f t="shared" si="56"/>
        <v>1</v>
      </c>
      <c r="K93" s="110">
        <f t="shared" si="56"/>
        <v>1</v>
      </c>
      <c r="L93" s="110">
        <f t="shared" si="56"/>
        <v>1</v>
      </c>
      <c r="M93" s="110">
        <f t="shared" si="56"/>
        <v>1</v>
      </c>
      <c r="N93" s="110">
        <f t="shared" si="56"/>
        <v>1</v>
      </c>
      <c r="O93" s="110">
        <f t="shared" si="56"/>
        <v>1</v>
      </c>
      <c r="P93" s="110">
        <f t="shared" si="56"/>
        <v>1</v>
      </c>
      <c r="Q93" s="110">
        <f t="shared" si="56"/>
        <v>1</v>
      </c>
      <c r="R93" s="110">
        <f t="shared" si="56"/>
        <v>1</v>
      </c>
      <c r="S93" s="110">
        <f t="shared" si="56"/>
        <v>1</v>
      </c>
      <c r="T93" s="110">
        <f t="shared" si="56"/>
        <v>1</v>
      </c>
      <c r="U93" s="110">
        <f t="shared" si="56"/>
        <v>1</v>
      </c>
      <c r="V93" s="110">
        <f t="shared" si="56"/>
        <v>1</v>
      </c>
      <c r="W93" s="110">
        <f t="shared" si="56"/>
        <v>1</v>
      </c>
      <c r="X93" s="110">
        <f t="shared" si="56"/>
        <v>1</v>
      </c>
      <c r="Y93" s="110">
        <f t="shared" si="56"/>
        <v>1</v>
      </c>
      <c r="Z93" s="110">
        <f t="shared" si="56"/>
        <v>1</v>
      </c>
      <c r="AA93" s="110">
        <f t="shared" si="56"/>
        <v>1</v>
      </c>
      <c r="AB93" s="110">
        <f t="shared" si="56"/>
        <v>1</v>
      </c>
      <c r="AC93" s="110">
        <f t="shared" si="56"/>
        <v>1</v>
      </c>
      <c r="AD93" s="110">
        <f t="shared" si="56"/>
        <v>1</v>
      </c>
      <c r="AE93" s="110">
        <f t="shared" si="56"/>
        <v>1</v>
      </c>
      <c r="AF93" s="110">
        <f t="shared" si="56"/>
        <v>1</v>
      </c>
      <c r="AG93" s="110">
        <f t="shared" si="56"/>
        <v>1</v>
      </c>
      <c r="AI93" s="133"/>
      <c r="AJ93" s="211"/>
      <c r="BC93" s="1"/>
      <c r="BD93" s="41"/>
      <c r="BF93" s="6"/>
      <c r="BG93" s="6"/>
      <c r="BH93" s="6"/>
      <c r="BI93" s="6"/>
      <c r="BJ93" s="6"/>
    </row>
    <row r="94" spans="1:63" outlineLevel="1">
      <c r="C94" s="214"/>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I94" s="133"/>
      <c r="AJ94" s="211"/>
      <c r="BC94" s="1"/>
      <c r="BD94" s="41"/>
      <c r="BF94" s="6"/>
      <c r="BG94" s="6"/>
      <c r="BH94" s="6"/>
      <c r="BI94" s="6"/>
      <c r="BJ94" s="6"/>
    </row>
    <row r="95" spans="1:63" outlineLevel="1">
      <c r="A95" t="s">
        <v>1335</v>
      </c>
      <c r="B95" s="54" t="s">
        <v>462</v>
      </c>
      <c r="C95" s="110">
        <f>C90*C88</f>
        <v>9.0000000000000011E-2</v>
      </c>
      <c r="D95" s="110">
        <f t="shared" ref="D95:AG95" si="57">D90*D88</f>
        <v>0.10098000000000001</v>
      </c>
      <c r="E95" s="110">
        <f t="shared" si="57"/>
        <v>0.11172000000000001</v>
      </c>
      <c r="F95" s="110">
        <f t="shared" si="57"/>
        <v>0.12222000000000001</v>
      </c>
      <c r="G95" s="110">
        <f t="shared" si="57"/>
        <v>0.13247999999999999</v>
      </c>
      <c r="H95" s="110">
        <f t="shared" si="57"/>
        <v>0.14250000000000002</v>
      </c>
      <c r="I95" s="110">
        <f t="shared" si="57"/>
        <v>0.15228</v>
      </c>
      <c r="J95" s="110">
        <f t="shared" si="57"/>
        <v>0.16181999999999999</v>
      </c>
      <c r="K95" s="110">
        <f t="shared" si="57"/>
        <v>0.17112000000000002</v>
      </c>
      <c r="L95" s="110">
        <f t="shared" si="57"/>
        <v>0.18018000000000001</v>
      </c>
      <c r="M95" s="110">
        <f t="shared" si="57"/>
        <v>0.18900000000000003</v>
      </c>
      <c r="N95" s="110">
        <f t="shared" si="57"/>
        <v>0.19758000000000001</v>
      </c>
      <c r="O95" s="110">
        <f t="shared" si="57"/>
        <v>0.20592000000000002</v>
      </c>
      <c r="P95" s="110">
        <f t="shared" si="57"/>
        <v>0.21401999999999999</v>
      </c>
      <c r="Q95" s="110">
        <f t="shared" si="57"/>
        <v>0.22188000000000002</v>
      </c>
      <c r="R95" s="110">
        <f t="shared" si="57"/>
        <v>0.22950000000000001</v>
      </c>
      <c r="S95" s="110">
        <f t="shared" si="57"/>
        <v>0.23688000000000001</v>
      </c>
      <c r="T95" s="110">
        <f t="shared" si="57"/>
        <v>0.24402000000000001</v>
      </c>
      <c r="U95" s="110">
        <f t="shared" si="57"/>
        <v>0.25091999999999998</v>
      </c>
      <c r="V95" s="110">
        <f t="shared" si="57"/>
        <v>0.25758000000000003</v>
      </c>
      <c r="W95" s="110">
        <f t="shared" si="57"/>
        <v>0.26400000000000001</v>
      </c>
      <c r="X95" s="110">
        <f t="shared" si="57"/>
        <v>0.27017999999999998</v>
      </c>
      <c r="Y95" s="110">
        <f t="shared" si="57"/>
        <v>0.27612000000000003</v>
      </c>
      <c r="Z95" s="110">
        <f t="shared" si="57"/>
        <v>0.28182000000000001</v>
      </c>
      <c r="AA95" s="110">
        <f t="shared" si="57"/>
        <v>0.28727999999999998</v>
      </c>
      <c r="AB95" s="110">
        <f t="shared" si="57"/>
        <v>0.29250000000000004</v>
      </c>
      <c r="AC95" s="110">
        <f t="shared" si="57"/>
        <v>0.29748000000000002</v>
      </c>
      <c r="AD95" s="110">
        <f t="shared" si="57"/>
        <v>0.30221999999999999</v>
      </c>
      <c r="AE95" s="110">
        <f t="shared" si="57"/>
        <v>0.30671999999999999</v>
      </c>
      <c r="AF95" s="110">
        <f t="shared" si="57"/>
        <v>0.31098000000000003</v>
      </c>
      <c r="AG95" s="110">
        <f t="shared" si="57"/>
        <v>0.315</v>
      </c>
      <c r="AI95" s="133"/>
      <c r="AJ95" s="211"/>
      <c r="BD95" s="203"/>
      <c r="BE95" s="203"/>
    </row>
    <row r="96" spans="1:63" outlineLevel="1">
      <c r="A96" t="s">
        <v>1336</v>
      </c>
      <c r="B96" s="54" t="s">
        <v>462</v>
      </c>
      <c r="C96" s="110">
        <f>C88*C91</f>
        <v>0</v>
      </c>
      <c r="D96" s="110">
        <f t="shared" ref="D96:AG96" si="58">D88*D91</f>
        <v>0</v>
      </c>
      <c r="E96" s="110">
        <f t="shared" si="58"/>
        <v>0</v>
      </c>
      <c r="F96" s="110">
        <f t="shared" si="58"/>
        <v>0</v>
      </c>
      <c r="G96" s="110">
        <f t="shared" si="58"/>
        <v>0</v>
      </c>
      <c r="H96" s="110">
        <f t="shared" si="58"/>
        <v>0</v>
      </c>
      <c r="I96" s="110">
        <f t="shared" si="58"/>
        <v>0</v>
      </c>
      <c r="J96" s="110">
        <f t="shared" si="58"/>
        <v>0</v>
      </c>
      <c r="K96" s="110">
        <f t="shared" si="58"/>
        <v>0</v>
      </c>
      <c r="L96" s="110">
        <f t="shared" si="58"/>
        <v>0</v>
      </c>
      <c r="M96" s="110">
        <f t="shared" si="58"/>
        <v>0</v>
      </c>
      <c r="N96" s="110">
        <f t="shared" si="58"/>
        <v>0</v>
      </c>
      <c r="O96" s="110">
        <f t="shared" si="58"/>
        <v>0</v>
      </c>
      <c r="P96" s="110">
        <f t="shared" si="58"/>
        <v>0</v>
      </c>
      <c r="Q96" s="110">
        <f t="shared" si="58"/>
        <v>0</v>
      </c>
      <c r="R96" s="110">
        <f t="shared" si="58"/>
        <v>0</v>
      </c>
      <c r="S96" s="110">
        <f t="shared" si="58"/>
        <v>0</v>
      </c>
      <c r="T96" s="110">
        <f t="shared" si="58"/>
        <v>0</v>
      </c>
      <c r="U96" s="110">
        <f t="shared" si="58"/>
        <v>0</v>
      </c>
      <c r="V96" s="110">
        <f t="shared" si="58"/>
        <v>0</v>
      </c>
      <c r="W96" s="110">
        <f t="shared" si="58"/>
        <v>0</v>
      </c>
      <c r="X96" s="110">
        <f t="shared" si="58"/>
        <v>0</v>
      </c>
      <c r="Y96" s="110">
        <f t="shared" si="58"/>
        <v>0</v>
      </c>
      <c r="Z96" s="110">
        <f t="shared" si="58"/>
        <v>0</v>
      </c>
      <c r="AA96" s="110">
        <f t="shared" si="58"/>
        <v>0</v>
      </c>
      <c r="AB96" s="110">
        <f t="shared" si="58"/>
        <v>0</v>
      </c>
      <c r="AC96" s="110">
        <f t="shared" si="58"/>
        <v>0</v>
      </c>
      <c r="AD96" s="110">
        <f t="shared" si="58"/>
        <v>0</v>
      </c>
      <c r="AE96" s="110">
        <f t="shared" si="58"/>
        <v>0</v>
      </c>
      <c r="AF96" s="110">
        <f t="shared" si="58"/>
        <v>0</v>
      </c>
      <c r="AG96" s="110">
        <f t="shared" si="58"/>
        <v>0</v>
      </c>
      <c r="AI96" s="133"/>
      <c r="AJ96" s="211"/>
      <c r="AL96" s="1"/>
      <c r="BC96" s="1"/>
      <c r="BD96" s="762"/>
      <c r="BE96" s="760"/>
      <c r="BF96" s="6"/>
      <c r="BG96" s="6"/>
      <c r="BH96" s="6"/>
      <c r="BI96" s="6"/>
      <c r="BJ96" s="6"/>
    </row>
    <row r="97" spans="1:63" outlineLevel="1">
      <c r="A97" t="s">
        <v>1337</v>
      </c>
      <c r="B97" s="54" t="s">
        <v>462</v>
      </c>
      <c r="C97" s="110">
        <f>C88*C92</f>
        <v>9.9999999999999985E-3</v>
      </c>
      <c r="D97" s="110">
        <f t="shared" ref="D97:AG97" si="59">D88*D92</f>
        <v>1.1219999999999999E-2</v>
      </c>
      <c r="E97" s="110">
        <f t="shared" si="59"/>
        <v>1.2413333333333332E-2</v>
      </c>
      <c r="F97" s="110">
        <f t="shared" si="59"/>
        <v>1.3579999999999997E-2</v>
      </c>
      <c r="G97" s="110">
        <f t="shared" si="59"/>
        <v>1.4719999999999994E-2</v>
      </c>
      <c r="H97" s="110">
        <f t="shared" si="59"/>
        <v>1.5833333333333331E-2</v>
      </c>
      <c r="I97" s="110">
        <f t="shared" si="59"/>
        <v>1.6919999999999994E-2</v>
      </c>
      <c r="J97" s="110">
        <f t="shared" si="59"/>
        <v>1.7979999999999996E-2</v>
      </c>
      <c r="K97" s="110">
        <f t="shared" si="59"/>
        <v>1.901333333333333E-2</v>
      </c>
      <c r="L97" s="110">
        <f t="shared" si="59"/>
        <v>2.0019999999999996E-2</v>
      </c>
      <c r="M97" s="110">
        <f t="shared" si="59"/>
        <v>2.0999999999999998E-2</v>
      </c>
      <c r="N97" s="110">
        <f t="shared" si="59"/>
        <v>2.1953333333333328E-2</v>
      </c>
      <c r="O97" s="110">
        <f t="shared" si="59"/>
        <v>2.2879999999999994E-2</v>
      </c>
      <c r="P97" s="110">
        <f t="shared" si="59"/>
        <v>2.3779999999999992E-2</v>
      </c>
      <c r="Q97" s="110">
        <f t="shared" si="59"/>
        <v>2.4653333333333329E-2</v>
      </c>
      <c r="R97" s="110">
        <f t="shared" si="59"/>
        <v>2.5499999999999995E-2</v>
      </c>
      <c r="S97" s="110">
        <f t="shared" si="59"/>
        <v>2.6319999999999993E-2</v>
      </c>
      <c r="T97" s="110">
        <f t="shared" si="59"/>
        <v>2.7113333333333326E-2</v>
      </c>
      <c r="U97" s="110">
        <f t="shared" si="59"/>
        <v>2.7879999999999992E-2</v>
      </c>
      <c r="V97" s="110">
        <f t="shared" si="59"/>
        <v>2.8619999999999996E-2</v>
      </c>
      <c r="W97" s="110">
        <f t="shared" si="59"/>
        <v>2.9333333333333326E-2</v>
      </c>
      <c r="X97" s="110">
        <f t="shared" si="59"/>
        <v>3.0019999999999991E-2</v>
      </c>
      <c r="Y97" s="110">
        <f t="shared" si="59"/>
        <v>3.0679999999999995E-2</v>
      </c>
      <c r="Z97" s="110">
        <f t="shared" si="59"/>
        <v>3.1313333333333325E-2</v>
      </c>
      <c r="AA97" s="110">
        <f t="shared" si="59"/>
        <v>3.191999999999999E-2</v>
      </c>
      <c r="AB97" s="110">
        <f t="shared" si="59"/>
        <v>3.2499999999999994E-2</v>
      </c>
      <c r="AC97" s="110">
        <f t="shared" si="59"/>
        <v>3.305333333333333E-2</v>
      </c>
      <c r="AD97" s="110">
        <f t="shared" si="59"/>
        <v>3.3579999999999992E-2</v>
      </c>
      <c r="AE97" s="110">
        <f t="shared" si="59"/>
        <v>3.4079999999999992E-2</v>
      </c>
      <c r="AF97" s="110">
        <f t="shared" si="59"/>
        <v>3.4553333333333325E-2</v>
      </c>
      <c r="AG97" s="110">
        <f t="shared" si="59"/>
        <v>3.4999999999999989E-2</v>
      </c>
      <c r="AI97" s="134"/>
      <c r="AJ97" s="211"/>
      <c r="BC97" s="1"/>
      <c r="BD97" s="41"/>
      <c r="BF97" s="6"/>
      <c r="BG97" s="6"/>
      <c r="BH97" s="6"/>
      <c r="BI97" s="6"/>
      <c r="BJ97" s="6"/>
    </row>
    <row r="98" spans="1:63" outlineLevel="1">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I98" s="134"/>
      <c r="AJ98" s="211"/>
      <c r="BC98" s="1"/>
      <c r="BD98" s="41"/>
      <c r="BF98" s="6"/>
      <c r="BG98" s="6"/>
      <c r="BH98" s="6"/>
      <c r="BI98" s="6"/>
      <c r="BJ98" s="6"/>
    </row>
    <row r="99" spans="1:63" outlineLevel="1">
      <c r="A99" t="s">
        <v>1676</v>
      </c>
      <c r="C99" s="230">
        <v>1</v>
      </c>
      <c r="D99" s="230">
        <v>1</v>
      </c>
      <c r="E99" s="230">
        <v>1</v>
      </c>
      <c r="F99" s="230">
        <v>1</v>
      </c>
      <c r="G99" s="230">
        <v>1</v>
      </c>
      <c r="H99" s="230">
        <v>1</v>
      </c>
      <c r="I99" s="230">
        <v>1</v>
      </c>
      <c r="J99" s="230">
        <v>1</v>
      </c>
      <c r="K99" s="230">
        <v>1</v>
      </c>
      <c r="L99" s="230">
        <v>1</v>
      </c>
      <c r="M99" s="230">
        <v>1</v>
      </c>
      <c r="N99" s="230">
        <v>1</v>
      </c>
      <c r="O99" s="230">
        <v>1</v>
      </c>
      <c r="P99" s="230">
        <v>1</v>
      </c>
      <c r="Q99" s="230">
        <v>1</v>
      </c>
      <c r="R99" s="230">
        <v>1</v>
      </c>
      <c r="S99" s="230">
        <v>1</v>
      </c>
      <c r="T99" s="230">
        <v>1</v>
      </c>
      <c r="U99" s="230">
        <v>1</v>
      </c>
      <c r="V99" s="230">
        <v>1</v>
      </c>
      <c r="W99" s="230">
        <v>1</v>
      </c>
      <c r="X99" s="230">
        <v>1</v>
      </c>
      <c r="Y99" s="230">
        <v>1</v>
      </c>
      <c r="Z99" s="230">
        <v>1</v>
      </c>
      <c r="AA99" s="230">
        <v>1</v>
      </c>
      <c r="AB99" s="230">
        <v>1</v>
      </c>
      <c r="AC99" s="230">
        <v>1</v>
      </c>
      <c r="AD99" s="230">
        <v>1</v>
      </c>
      <c r="AE99" s="230">
        <v>1</v>
      </c>
      <c r="AF99" s="230">
        <v>1</v>
      </c>
      <c r="AG99" s="230">
        <v>1</v>
      </c>
      <c r="AI99" s="133"/>
      <c r="AJ99" s="211" t="s">
        <v>1686</v>
      </c>
      <c r="AL99" s="108"/>
      <c r="AM99" s="207"/>
      <c r="AN99" s="207"/>
      <c r="AO99" s="207"/>
      <c r="BC99" s="1"/>
      <c r="BD99" s="207"/>
      <c r="BE99" s="207"/>
      <c r="BF99" s="207"/>
      <c r="BG99" s="207"/>
      <c r="BH99" s="207"/>
      <c r="BI99" s="207"/>
      <c r="BJ99" s="207"/>
      <c r="BK99" s="207"/>
    </row>
    <row r="100" spans="1:63" outlineLevel="1">
      <c r="A100" t="s">
        <v>1687</v>
      </c>
      <c r="B100" s="54" t="s">
        <v>462</v>
      </c>
      <c r="C100" s="110">
        <f>C87*C$99</f>
        <v>0</v>
      </c>
      <c r="D100" s="110">
        <f t="shared" ref="D100:AG101" si="60">D87*D$99</f>
        <v>1.1333333333333334E-3</v>
      </c>
      <c r="E100" s="110">
        <f t="shared" si="60"/>
        <v>2.5333333333333336E-3</v>
      </c>
      <c r="F100" s="110">
        <f t="shared" si="60"/>
        <v>4.2000000000000006E-3</v>
      </c>
      <c r="G100" s="110">
        <f t="shared" si="60"/>
        <v>6.1333333333333327E-3</v>
      </c>
      <c r="H100" s="110">
        <f t="shared" si="60"/>
        <v>8.333333333333335E-3</v>
      </c>
      <c r="I100" s="110">
        <f t="shared" si="60"/>
        <v>1.0800000000000001E-2</v>
      </c>
      <c r="J100" s="110">
        <f t="shared" si="60"/>
        <v>1.3533333333333335E-2</v>
      </c>
      <c r="K100" s="110">
        <f t="shared" si="60"/>
        <v>1.6533333333333334E-2</v>
      </c>
      <c r="L100" s="110">
        <f t="shared" si="60"/>
        <v>1.9799999999999998E-2</v>
      </c>
      <c r="M100" s="110">
        <f t="shared" si="60"/>
        <v>2.3333333333333331E-2</v>
      </c>
      <c r="N100" s="110">
        <f t="shared" si="60"/>
        <v>2.7133333333333332E-2</v>
      </c>
      <c r="O100" s="110">
        <f t="shared" si="60"/>
        <v>3.1199999999999995E-2</v>
      </c>
      <c r="P100" s="110">
        <f t="shared" si="60"/>
        <v>3.5533333333333326E-2</v>
      </c>
      <c r="Q100" s="110">
        <f t="shared" si="60"/>
        <v>4.0133333333333333E-2</v>
      </c>
      <c r="R100" s="110">
        <f t="shared" si="60"/>
        <v>4.5000000000000005E-2</v>
      </c>
      <c r="S100" s="110">
        <f t="shared" si="60"/>
        <v>5.0133333333333335E-2</v>
      </c>
      <c r="T100" s="110">
        <f t="shared" si="60"/>
        <v>5.5533333333333337E-2</v>
      </c>
      <c r="U100" s="110">
        <f t="shared" si="60"/>
        <v>6.1200000000000011E-2</v>
      </c>
      <c r="V100" s="110">
        <f t="shared" si="60"/>
        <v>6.713333333333335E-2</v>
      </c>
      <c r="W100" s="110">
        <f t="shared" si="60"/>
        <v>7.3333333333333348E-2</v>
      </c>
      <c r="X100" s="110">
        <f t="shared" si="60"/>
        <v>7.9800000000000024E-2</v>
      </c>
      <c r="Y100" s="110">
        <f t="shared" si="60"/>
        <v>8.6533333333333365E-2</v>
      </c>
      <c r="Z100" s="110">
        <f t="shared" si="60"/>
        <v>9.3533333333333357E-2</v>
      </c>
      <c r="AA100" s="110">
        <f t="shared" si="60"/>
        <v>0.10080000000000004</v>
      </c>
      <c r="AB100" s="110">
        <f t="shared" si="60"/>
        <v>0.10833333333333336</v>
      </c>
      <c r="AC100" s="110">
        <f t="shared" si="60"/>
        <v>0.11613333333333337</v>
      </c>
      <c r="AD100" s="110">
        <f t="shared" si="60"/>
        <v>0.12420000000000003</v>
      </c>
      <c r="AE100" s="110">
        <f t="shared" si="60"/>
        <v>0.13253333333333336</v>
      </c>
      <c r="AF100" s="110">
        <f t="shared" si="60"/>
        <v>0.14113333333333339</v>
      </c>
      <c r="AG100" s="110">
        <f t="shared" si="60"/>
        <v>0.15</v>
      </c>
      <c r="AI100" s="133"/>
      <c r="AJ100"/>
      <c r="AL100" s="108"/>
      <c r="AM100" s="2"/>
      <c r="AN100" s="2"/>
      <c r="AO100" s="2"/>
      <c r="AV100" s="41"/>
    </row>
    <row r="101" spans="1:63" outlineLevel="1">
      <c r="A101" t="s">
        <v>1688</v>
      </c>
      <c r="B101" s="54" t="s">
        <v>462</v>
      </c>
      <c r="C101" s="110">
        <f>C88*C$99</f>
        <v>0.1</v>
      </c>
      <c r="D101" s="110">
        <f t="shared" si="60"/>
        <v>0.11220000000000001</v>
      </c>
      <c r="E101" s="110">
        <f t="shared" si="60"/>
        <v>0.12413333333333335</v>
      </c>
      <c r="F101" s="110">
        <f t="shared" si="60"/>
        <v>0.1358</v>
      </c>
      <c r="G101" s="110">
        <f t="shared" si="60"/>
        <v>0.14719999999999997</v>
      </c>
      <c r="H101" s="110">
        <f t="shared" si="60"/>
        <v>0.15833333333333335</v>
      </c>
      <c r="I101" s="110">
        <f t="shared" si="60"/>
        <v>0.16919999999999999</v>
      </c>
      <c r="J101" s="110">
        <f t="shared" si="60"/>
        <v>0.17979999999999999</v>
      </c>
      <c r="K101" s="110">
        <f t="shared" si="60"/>
        <v>0.19013333333333335</v>
      </c>
      <c r="L101" s="110">
        <f t="shared" si="60"/>
        <v>0.20020000000000002</v>
      </c>
      <c r="M101" s="110">
        <f t="shared" si="60"/>
        <v>0.21000000000000002</v>
      </c>
      <c r="N101" s="110">
        <f t="shared" si="60"/>
        <v>0.21953333333333333</v>
      </c>
      <c r="O101" s="110">
        <f t="shared" si="60"/>
        <v>0.2288</v>
      </c>
      <c r="P101" s="110">
        <f t="shared" si="60"/>
        <v>0.23779999999999998</v>
      </c>
      <c r="Q101" s="110">
        <f t="shared" si="60"/>
        <v>0.24653333333333335</v>
      </c>
      <c r="R101" s="110">
        <f t="shared" si="60"/>
        <v>0.255</v>
      </c>
      <c r="S101" s="110">
        <f t="shared" si="60"/>
        <v>0.26319999999999999</v>
      </c>
      <c r="T101" s="110">
        <f t="shared" si="60"/>
        <v>0.27113333333333334</v>
      </c>
      <c r="U101" s="110">
        <f t="shared" si="60"/>
        <v>0.27879999999999999</v>
      </c>
      <c r="V101" s="110">
        <f t="shared" si="60"/>
        <v>0.28620000000000001</v>
      </c>
      <c r="W101" s="110">
        <f t="shared" si="60"/>
        <v>0.29333333333333333</v>
      </c>
      <c r="X101" s="110">
        <f t="shared" si="60"/>
        <v>0.30019999999999997</v>
      </c>
      <c r="Y101" s="110">
        <f t="shared" si="60"/>
        <v>0.30680000000000002</v>
      </c>
      <c r="Z101" s="110">
        <f t="shared" si="60"/>
        <v>0.31313333333333332</v>
      </c>
      <c r="AA101" s="110">
        <f t="shared" si="60"/>
        <v>0.31919999999999998</v>
      </c>
      <c r="AB101" s="110">
        <f t="shared" si="60"/>
        <v>0.32500000000000001</v>
      </c>
      <c r="AC101" s="110">
        <f t="shared" si="60"/>
        <v>0.33053333333333335</v>
      </c>
      <c r="AD101" s="110">
        <f t="shared" si="60"/>
        <v>0.33579999999999999</v>
      </c>
      <c r="AE101" s="110">
        <f t="shared" si="60"/>
        <v>0.34079999999999999</v>
      </c>
      <c r="AF101" s="110">
        <f t="shared" si="60"/>
        <v>0.34553333333333336</v>
      </c>
      <c r="AG101" s="110">
        <f t="shared" si="60"/>
        <v>0.35</v>
      </c>
      <c r="AH101" s="245"/>
      <c r="AI101" s="133"/>
      <c r="AJ101" s="211"/>
      <c r="AL101" s="108"/>
      <c r="AM101" s="2"/>
      <c r="AN101" s="2"/>
      <c r="AO101" s="2"/>
      <c r="AV101" s="41"/>
    </row>
    <row r="102" spans="1:63" outlineLevel="1">
      <c r="A102" t="s">
        <v>1689</v>
      </c>
      <c r="B102" s="176" t="s">
        <v>462</v>
      </c>
      <c r="C102" s="110">
        <f>SUM(C100:C101)</f>
        <v>0.1</v>
      </c>
      <c r="D102" s="110">
        <f t="shared" ref="D102:AG102" si="61">SUM(D100:D101)</f>
        <v>0.11333333333333334</v>
      </c>
      <c r="E102" s="110">
        <f t="shared" si="61"/>
        <v>0.12666666666666668</v>
      </c>
      <c r="F102" s="110">
        <f t="shared" si="61"/>
        <v>0.14000000000000001</v>
      </c>
      <c r="G102" s="110">
        <f t="shared" si="61"/>
        <v>0.15333333333333329</v>
      </c>
      <c r="H102" s="110">
        <f t="shared" si="61"/>
        <v>0.16666666666666669</v>
      </c>
      <c r="I102" s="110">
        <f t="shared" si="61"/>
        <v>0.18</v>
      </c>
      <c r="J102" s="110">
        <f t="shared" si="61"/>
        <v>0.19333333333333333</v>
      </c>
      <c r="K102" s="110">
        <f t="shared" si="61"/>
        <v>0.20666666666666669</v>
      </c>
      <c r="L102" s="110">
        <f t="shared" si="61"/>
        <v>0.22000000000000003</v>
      </c>
      <c r="M102" s="110">
        <f t="shared" si="61"/>
        <v>0.23333333333333334</v>
      </c>
      <c r="N102" s="110">
        <f t="shared" si="61"/>
        <v>0.24666666666666667</v>
      </c>
      <c r="O102" s="110">
        <f t="shared" si="61"/>
        <v>0.26</v>
      </c>
      <c r="P102" s="110">
        <f t="shared" si="61"/>
        <v>0.27333333333333332</v>
      </c>
      <c r="Q102" s="110">
        <f t="shared" si="61"/>
        <v>0.28666666666666668</v>
      </c>
      <c r="R102" s="110">
        <f t="shared" si="61"/>
        <v>0.3</v>
      </c>
      <c r="S102" s="110">
        <f t="shared" si="61"/>
        <v>0.31333333333333335</v>
      </c>
      <c r="T102" s="110">
        <f t="shared" si="61"/>
        <v>0.32666666666666666</v>
      </c>
      <c r="U102" s="110">
        <f t="shared" si="61"/>
        <v>0.34</v>
      </c>
      <c r="V102" s="110">
        <f t="shared" si="61"/>
        <v>0.35333333333333339</v>
      </c>
      <c r="W102" s="110">
        <f t="shared" si="61"/>
        <v>0.3666666666666667</v>
      </c>
      <c r="X102" s="110">
        <f t="shared" si="61"/>
        <v>0.38</v>
      </c>
      <c r="Y102" s="110">
        <f t="shared" si="61"/>
        <v>0.39333333333333337</v>
      </c>
      <c r="Z102" s="110">
        <f t="shared" si="61"/>
        <v>0.40666666666666668</v>
      </c>
      <c r="AA102" s="110">
        <f t="shared" si="61"/>
        <v>0.42000000000000004</v>
      </c>
      <c r="AB102" s="110">
        <f t="shared" si="61"/>
        <v>0.43333333333333335</v>
      </c>
      <c r="AC102" s="110">
        <f t="shared" si="61"/>
        <v>0.44666666666666671</v>
      </c>
      <c r="AD102" s="110">
        <f t="shared" si="61"/>
        <v>0.46</v>
      </c>
      <c r="AE102" s="110">
        <f t="shared" si="61"/>
        <v>0.47333333333333338</v>
      </c>
      <c r="AF102" s="110">
        <f t="shared" si="61"/>
        <v>0.48666666666666675</v>
      </c>
      <c r="AG102" s="110">
        <f t="shared" si="61"/>
        <v>0.5</v>
      </c>
      <c r="AI102" s="133"/>
      <c r="AJ102" s="211"/>
      <c r="AL102" s="108"/>
      <c r="AM102" s="2"/>
      <c r="AN102" s="2"/>
      <c r="AO102" s="2"/>
    </row>
    <row r="103" spans="1:63" outlineLevel="1">
      <c r="A103" t="s">
        <v>1690</v>
      </c>
      <c r="B103" s="54" t="s">
        <v>462</v>
      </c>
      <c r="C103" s="110">
        <f>C90*C101</f>
        <v>9.0000000000000011E-2</v>
      </c>
      <c r="D103" s="110">
        <f t="shared" ref="D103:AG103" si="62">D90*D101</f>
        <v>0.10098000000000001</v>
      </c>
      <c r="E103" s="110">
        <f t="shared" si="62"/>
        <v>0.11172000000000001</v>
      </c>
      <c r="F103" s="110">
        <f t="shared" si="62"/>
        <v>0.12222000000000001</v>
      </c>
      <c r="G103" s="110">
        <f t="shared" si="62"/>
        <v>0.13247999999999999</v>
      </c>
      <c r="H103" s="110">
        <f t="shared" si="62"/>
        <v>0.14250000000000002</v>
      </c>
      <c r="I103" s="110">
        <f t="shared" si="62"/>
        <v>0.15228</v>
      </c>
      <c r="J103" s="110">
        <f t="shared" si="62"/>
        <v>0.16181999999999999</v>
      </c>
      <c r="K103" s="110">
        <f t="shared" si="62"/>
        <v>0.17112000000000002</v>
      </c>
      <c r="L103" s="110">
        <f t="shared" si="62"/>
        <v>0.18018000000000001</v>
      </c>
      <c r="M103" s="110">
        <f t="shared" si="62"/>
        <v>0.18900000000000003</v>
      </c>
      <c r="N103" s="110">
        <f t="shared" si="62"/>
        <v>0.19758000000000001</v>
      </c>
      <c r="O103" s="110">
        <f t="shared" si="62"/>
        <v>0.20592000000000002</v>
      </c>
      <c r="P103" s="110">
        <f t="shared" si="62"/>
        <v>0.21401999999999999</v>
      </c>
      <c r="Q103" s="110">
        <f t="shared" si="62"/>
        <v>0.22188000000000002</v>
      </c>
      <c r="R103" s="110">
        <f t="shared" si="62"/>
        <v>0.22950000000000001</v>
      </c>
      <c r="S103" s="110">
        <f t="shared" si="62"/>
        <v>0.23688000000000001</v>
      </c>
      <c r="T103" s="110">
        <f t="shared" si="62"/>
        <v>0.24402000000000001</v>
      </c>
      <c r="U103" s="110">
        <f t="shared" si="62"/>
        <v>0.25091999999999998</v>
      </c>
      <c r="V103" s="110">
        <f t="shared" si="62"/>
        <v>0.25758000000000003</v>
      </c>
      <c r="W103" s="110">
        <f t="shared" si="62"/>
        <v>0.26400000000000001</v>
      </c>
      <c r="X103" s="110">
        <f t="shared" si="62"/>
        <v>0.27017999999999998</v>
      </c>
      <c r="Y103" s="110">
        <f t="shared" si="62"/>
        <v>0.27612000000000003</v>
      </c>
      <c r="Z103" s="110">
        <f t="shared" si="62"/>
        <v>0.28182000000000001</v>
      </c>
      <c r="AA103" s="110">
        <f t="shared" si="62"/>
        <v>0.28727999999999998</v>
      </c>
      <c r="AB103" s="110">
        <f t="shared" si="62"/>
        <v>0.29250000000000004</v>
      </c>
      <c r="AC103" s="110">
        <f t="shared" si="62"/>
        <v>0.29748000000000002</v>
      </c>
      <c r="AD103" s="110">
        <f t="shared" si="62"/>
        <v>0.30221999999999999</v>
      </c>
      <c r="AE103" s="110">
        <f t="shared" si="62"/>
        <v>0.30671999999999999</v>
      </c>
      <c r="AF103" s="110">
        <f t="shared" si="62"/>
        <v>0.31098000000000003</v>
      </c>
      <c r="AG103" s="110">
        <f t="shared" si="62"/>
        <v>0.315</v>
      </c>
      <c r="AI103" s="133"/>
      <c r="AJ103" s="211"/>
      <c r="BD103" s="203"/>
      <c r="BE103" s="203"/>
    </row>
    <row r="104" spans="1:63" outlineLevel="1">
      <c r="A104" t="s">
        <v>1691</v>
      </c>
      <c r="B104" s="54" t="s">
        <v>462</v>
      </c>
      <c r="C104" s="110">
        <f>C91*C101</f>
        <v>0</v>
      </c>
      <c r="D104" s="110">
        <f t="shared" ref="D104:AG104" si="63">D91*D101</f>
        <v>0</v>
      </c>
      <c r="E104" s="110">
        <f t="shared" si="63"/>
        <v>0</v>
      </c>
      <c r="F104" s="110">
        <f t="shared" si="63"/>
        <v>0</v>
      </c>
      <c r="G104" s="110">
        <f t="shared" si="63"/>
        <v>0</v>
      </c>
      <c r="H104" s="110">
        <f t="shared" si="63"/>
        <v>0</v>
      </c>
      <c r="I104" s="110">
        <f t="shared" si="63"/>
        <v>0</v>
      </c>
      <c r="J104" s="110">
        <f t="shared" si="63"/>
        <v>0</v>
      </c>
      <c r="K104" s="110">
        <f t="shared" si="63"/>
        <v>0</v>
      </c>
      <c r="L104" s="110">
        <f t="shared" si="63"/>
        <v>0</v>
      </c>
      <c r="M104" s="110">
        <f t="shared" si="63"/>
        <v>0</v>
      </c>
      <c r="N104" s="110">
        <f t="shared" si="63"/>
        <v>0</v>
      </c>
      <c r="O104" s="110">
        <f t="shared" si="63"/>
        <v>0</v>
      </c>
      <c r="P104" s="110">
        <f t="shared" si="63"/>
        <v>0</v>
      </c>
      <c r="Q104" s="110">
        <f t="shared" si="63"/>
        <v>0</v>
      </c>
      <c r="R104" s="110">
        <f t="shared" si="63"/>
        <v>0</v>
      </c>
      <c r="S104" s="110">
        <f t="shared" si="63"/>
        <v>0</v>
      </c>
      <c r="T104" s="110">
        <f t="shared" si="63"/>
        <v>0</v>
      </c>
      <c r="U104" s="110">
        <f t="shared" si="63"/>
        <v>0</v>
      </c>
      <c r="V104" s="110">
        <f t="shared" si="63"/>
        <v>0</v>
      </c>
      <c r="W104" s="110">
        <f t="shared" si="63"/>
        <v>0</v>
      </c>
      <c r="X104" s="110">
        <f t="shared" si="63"/>
        <v>0</v>
      </c>
      <c r="Y104" s="110">
        <f t="shared" si="63"/>
        <v>0</v>
      </c>
      <c r="Z104" s="110">
        <f t="shared" si="63"/>
        <v>0</v>
      </c>
      <c r="AA104" s="110">
        <f t="shared" si="63"/>
        <v>0</v>
      </c>
      <c r="AB104" s="110">
        <f t="shared" si="63"/>
        <v>0</v>
      </c>
      <c r="AC104" s="110">
        <f t="shared" si="63"/>
        <v>0</v>
      </c>
      <c r="AD104" s="110">
        <f t="shared" si="63"/>
        <v>0</v>
      </c>
      <c r="AE104" s="110">
        <f t="shared" si="63"/>
        <v>0</v>
      </c>
      <c r="AF104" s="110">
        <f t="shared" si="63"/>
        <v>0</v>
      </c>
      <c r="AG104" s="110">
        <f t="shared" si="63"/>
        <v>0</v>
      </c>
      <c r="AI104" s="133"/>
      <c r="AJ104" s="211"/>
      <c r="AL104" s="1"/>
      <c r="BC104" s="1"/>
      <c r="BD104" s="762"/>
      <c r="BE104" s="760"/>
      <c r="BF104" s="6"/>
      <c r="BG104" s="6"/>
      <c r="BH104" s="6"/>
      <c r="BI104" s="6"/>
      <c r="BJ104" s="6"/>
    </row>
    <row r="105" spans="1:63" outlineLevel="1">
      <c r="A105" t="s">
        <v>1692</v>
      </c>
      <c r="B105" s="54" t="s">
        <v>462</v>
      </c>
      <c r="C105" s="110">
        <f>C92*C101</f>
        <v>9.9999999999999985E-3</v>
      </c>
      <c r="D105" s="110">
        <f t="shared" ref="D105:AG105" si="64">D92*D101</f>
        <v>1.1219999999999999E-2</v>
      </c>
      <c r="E105" s="110">
        <f t="shared" si="64"/>
        <v>1.2413333333333332E-2</v>
      </c>
      <c r="F105" s="110">
        <f t="shared" si="64"/>
        <v>1.3579999999999997E-2</v>
      </c>
      <c r="G105" s="110">
        <f t="shared" si="64"/>
        <v>1.4719999999999994E-2</v>
      </c>
      <c r="H105" s="110">
        <f t="shared" si="64"/>
        <v>1.5833333333333331E-2</v>
      </c>
      <c r="I105" s="110">
        <f t="shared" si="64"/>
        <v>1.6919999999999994E-2</v>
      </c>
      <c r="J105" s="110">
        <f t="shared" si="64"/>
        <v>1.7979999999999996E-2</v>
      </c>
      <c r="K105" s="110">
        <f t="shared" si="64"/>
        <v>1.901333333333333E-2</v>
      </c>
      <c r="L105" s="110">
        <f t="shared" si="64"/>
        <v>2.0019999999999996E-2</v>
      </c>
      <c r="M105" s="110">
        <f t="shared" si="64"/>
        <v>2.0999999999999998E-2</v>
      </c>
      <c r="N105" s="110">
        <f t="shared" si="64"/>
        <v>2.1953333333333328E-2</v>
      </c>
      <c r="O105" s="110">
        <f t="shared" si="64"/>
        <v>2.2879999999999994E-2</v>
      </c>
      <c r="P105" s="110">
        <f t="shared" si="64"/>
        <v>2.3779999999999992E-2</v>
      </c>
      <c r="Q105" s="110">
        <f t="shared" si="64"/>
        <v>2.4653333333333329E-2</v>
      </c>
      <c r="R105" s="110">
        <f t="shared" si="64"/>
        <v>2.5499999999999995E-2</v>
      </c>
      <c r="S105" s="110">
        <f t="shared" si="64"/>
        <v>2.6319999999999993E-2</v>
      </c>
      <c r="T105" s="110">
        <f t="shared" si="64"/>
        <v>2.7113333333333326E-2</v>
      </c>
      <c r="U105" s="110">
        <f t="shared" si="64"/>
        <v>2.7879999999999992E-2</v>
      </c>
      <c r="V105" s="110">
        <f t="shared" si="64"/>
        <v>2.8619999999999996E-2</v>
      </c>
      <c r="W105" s="110">
        <f t="shared" si="64"/>
        <v>2.9333333333333326E-2</v>
      </c>
      <c r="X105" s="110">
        <f t="shared" si="64"/>
        <v>3.0019999999999991E-2</v>
      </c>
      <c r="Y105" s="110">
        <f t="shared" si="64"/>
        <v>3.0679999999999995E-2</v>
      </c>
      <c r="Z105" s="110">
        <f t="shared" si="64"/>
        <v>3.1313333333333325E-2</v>
      </c>
      <c r="AA105" s="110">
        <f t="shared" si="64"/>
        <v>3.191999999999999E-2</v>
      </c>
      <c r="AB105" s="110">
        <f t="shared" si="64"/>
        <v>3.2499999999999994E-2</v>
      </c>
      <c r="AC105" s="110">
        <f t="shared" si="64"/>
        <v>3.305333333333333E-2</v>
      </c>
      <c r="AD105" s="110">
        <f t="shared" si="64"/>
        <v>3.3579999999999992E-2</v>
      </c>
      <c r="AE105" s="110">
        <f t="shared" si="64"/>
        <v>3.4079999999999992E-2</v>
      </c>
      <c r="AF105" s="110">
        <f t="shared" si="64"/>
        <v>3.4553333333333325E-2</v>
      </c>
      <c r="AG105" s="110">
        <f t="shared" si="64"/>
        <v>3.4999999999999989E-2</v>
      </c>
      <c r="AI105" s="134"/>
      <c r="AJ105" s="211"/>
      <c r="BC105" s="1"/>
      <c r="BD105" s="41"/>
      <c r="BF105" s="6"/>
      <c r="BG105" s="6"/>
      <c r="BH105" s="6"/>
      <c r="BI105" s="6"/>
      <c r="BJ105" s="6"/>
    </row>
    <row r="106" spans="1:63" outlineLevel="1">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I106" s="134"/>
      <c r="AJ106" s="211"/>
      <c r="BC106" s="1"/>
      <c r="BD106" s="41"/>
      <c r="BF106" s="6"/>
      <c r="BG106" s="6"/>
      <c r="BH106" s="6"/>
      <c r="BI106" s="6"/>
      <c r="BJ106" s="6"/>
    </row>
    <row r="107" spans="1:63" s="1" customFormat="1" outlineLevel="1">
      <c r="A107" s="1" t="s">
        <v>228</v>
      </c>
      <c r="B107" s="65"/>
      <c r="C107" s="300">
        <f t="shared" ref="C107:AG107" si="65">C43*C100</f>
        <v>0</v>
      </c>
      <c r="D107" s="300">
        <f t="shared" si="65"/>
        <v>3.4450816091453657E-3</v>
      </c>
      <c r="E107" s="300">
        <f t="shared" si="65"/>
        <v>7.938106885249617E-3</v>
      </c>
      <c r="F107" s="300">
        <f t="shared" si="65"/>
        <v>1.3530711596759292E-2</v>
      </c>
      <c r="G107" s="300">
        <f t="shared" si="65"/>
        <v>2.0261864508349756E-2</v>
      </c>
      <c r="H107" s="300">
        <f t="shared" si="65"/>
        <v>2.8156495720251532E-2</v>
      </c>
      <c r="I107" s="300">
        <f t="shared" si="65"/>
        <v>3.7304641596000325E-2</v>
      </c>
      <c r="J107" s="300">
        <f t="shared" si="65"/>
        <v>4.7766693371041086E-2</v>
      </c>
      <c r="K107" s="300">
        <f t="shared" si="65"/>
        <v>5.9602417928327552E-2</v>
      </c>
      <c r="L107" s="300">
        <f t="shared" si="65"/>
        <v>7.2870749372194565E-2</v>
      </c>
      <c r="M107" s="300">
        <f t="shared" si="65"/>
        <v>8.7629575745957186E-2</v>
      </c>
      <c r="N107" s="300">
        <f t="shared" si="65"/>
        <v>0.10378681159027671</v>
      </c>
      <c r="O107" s="300">
        <f t="shared" si="65"/>
        <v>0.12132107216791799</v>
      </c>
      <c r="P107" s="300">
        <f t="shared" si="65"/>
        <v>0.14019613959243163</v>
      </c>
      <c r="Q107" s="300">
        <f t="shared" si="65"/>
        <v>0.1603606946982076</v>
      </c>
      <c r="R107" s="300">
        <f t="shared" si="65"/>
        <v>0.18174824493427949</v>
      </c>
      <c r="S107" s="300">
        <f t="shared" si="65"/>
        <v>0.20464529696882761</v>
      </c>
      <c r="T107" s="300">
        <f t="shared" si="65"/>
        <v>0.22908614809433434</v>
      </c>
      <c r="U107" s="300">
        <f t="shared" si="65"/>
        <v>0.25510490115999562</v>
      </c>
      <c r="V107" s="300">
        <f t="shared" si="65"/>
        <v>0.28273543570334558</v>
      </c>
      <c r="W107" s="300">
        <f t="shared" si="65"/>
        <v>0.31201137874170515</v>
      </c>
      <c r="X107" s="300">
        <f t="shared" si="65"/>
        <v>0.34296985281476555</v>
      </c>
      <c r="Y107" s="300">
        <f t="shared" si="65"/>
        <v>0.37564497682906473</v>
      </c>
      <c r="Z107" s="300">
        <f t="shared" si="65"/>
        <v>0.41007064550381084</v>
      </c>
      <c r="AA107" s="300">
        <f t="shared" si="65"/>
        <v>0.44628050295413763</v>
      </c>
      <c r="AB107" s="300">
        <f t="shared" si="65"/>
        <v>0.48430791600423295</v>
      </c>
      <c r="AC107" s="300">
        <f t="shared" si="65"/>
        <v>0.52419090302671556</v>
      </c>
      <c r="AD107" s="300">
        <f t="shared" si="65"/>
        <v>0.56596338691152248</v>
      </c>
      <c r="AE107" s="300">
        <f t="shared" si="65"/>
        <v>0.60965904282435379</v>
      </c>
      <c r="AF107" s="300">
        <f t="shared" si="65"/>
        <v>0.65531127396043687</v>
      </c>
      <c r="AG107" s="300">
        <f t="shared" si="65"/>
        <v>0.70295318708186272</v>
      </c>
      <c r="AH107" s="245"/>
      <c r="AI107" s="423"/>
      <c r="AJ107" s="424"/>
      <c r="AL107" s="221"/>
      <c r="AM107" s="124"/>
      <c r="AN107" s="124"/>
      <c r="AO107" s="124"/>
      <c r="BD107" s="124"/>
      <c r="BE107" s="124"/>
      <c r="BF107" s="124"/>
      <c r="BG107" s="124"/>
      <c r="BH107" s="124"/>
      <c r="BI107" s="124"/>
      <c r="BJ107" s="124"/>
      <c r="BK107" s="124"/>
    </row>
    <row r="108" spans="1:63" s="1" customFormat="1" outlineLevel="1">
      <c r="A108" s="1" t="s">
        <v>1562</v>
      </c>
      <c r="B108" s="65"/>
      <c r="C108" s="300">
        <f t="shared" ref="C108:AG108" si="66">C107-$C107</f>
        <v>0</v>
      </c>
      <c r="D108" s="300">
        <f t="shared" si="66"/>
        <v>3.4450816091453657E-3</v>
      </c>
      <c r="E108" s="300">
        <f t="shared" si="66"/>
        <v>7.938106885249617E-3</v>
      </c>
      <c r="F108" s="300">
        <f t="shared" si="66"/>
        <v>1.3530711596759292E-2</v>
      </c>
      <c r="G108" s="300">
        <f t="shared" si="66"/>
        <v>2.0261864508349756E-2</v>
      </c>
      <c r="H108" s="300">
        <f t="shared" si="66"/>
        <v>2.8156495720251532E-2</v>
      </c>
      <c r="I108" s="300">
        <f t="shared" si="66"/>
        <v>3.7304641596000325E-2</v>
      </c>
      <c r="J108" s="300">
        <f t="shared" si="66"/>
        <v>4.7766693371041086E-2</v>
      </c>
      <c r="K108" s="300">
        <f t="shared" si="66"/>
        <v>5.9602417928327552E-2</v>
      </c>
      <c r="L108" s="300">
        <f t="shared" si="66"/>
        <v>7.2870749372194565E-2</v>
      </c>
      <c r="M108" s="300">
        <f t="shared" si="66"/>
        <v>8.7629575745957186E-2</v>
      </c>
      <c r="N108" s="300">
        <f t="shared" si="66"/>
        <v>0.10378681159027671</v>
      </c>
      <c r="O108" s="300">
        <f t="shared" si="66"/>
        <v>0.12132107216791799</v>
      </c>
      <c r="P108" s="300">
        <f t="shared" si="66"/>
        <v>0.14019613959243163</v>
      </c>
      <c r="Q108" s="300">
        <f t="shared" si="66"/>
        <v>0.1603606946982076</v>
      </c>
      <c r="R108" s="300">
        <f t="shared" si="66"/>
        <v>0.18174824493427949</v>
      </c>
      <c r="S108" s="300">
        <f t="shared" si="66"/>
        <v>0.20464529696882761</v>
      </c>
      <c r="T108" s="300">
        <f t="shared" si="66"/>
        <v>0.22908614809433434</v>
      </c>
      <c r="U108" s="300">
        <f t="shared" si="66"/>
        <v>0.25510490115999562</v>
      </c>
      <c r="V108" s="300">
        <f t="shared" si="66"/>
        <v>0.28273543570334558</v>
      </c>
      <c r="W108" s="300">
        <f t="shared" si="66"/>
        <v>0.31201137874170515</v>
      </c>
      <c r="X108" s="300">
        <f t="shared" si="66"/>
        <v>0.34296985281476555</v>
      </c>
      <c r="Y108" s="300">
        <f t="shared" si="66"/>
        <v>0.37564497682906473</v>
      </c>
      <c r="Z108" s="300">
        <f t="shared" si="66"/>
        <v>0.41007064550381084</v>
      </c>
      <c r="AA108" s="300">
        <f t="shared" si="66"/>
        <v>0.44628050295413763</v>
      </c>
      <c r="AB108" s="300">
        <f t="shared" si="66"/>
        <v>0.48430791600423295</v>
      </c>
      <c r="AC108" s="300">
        <f t="shared" si="66"/>
        <v>0.52419090302671556</v>
      </c>
      <c r="AD108" s="300">
        <f t="shared" si="66"/>
        <v>0.56596338691152248</v>
      </c>
      <c r="AE108" s="300">
        <f t="shared" si="66"/>
        <v>0.60965904282435379</v>
      </c>
      <c r="AF108" s="300">
        <f t="shared" si="66"/>
        <v>0.65531127396043687</v>
      </c>
      <c r="AG108" s="300">
        <f t="shared" si="66"/>
        <v>0.70295318708186272</v>
      </c>
      <c r="AH108" s="245"/>
      <c r="AI108" s="423"/>
      <c r="AJ108" s="424"/>
      <c r="AL108" s="221"/>
      <c r="AM108" s="124"/>
      <c r="AN108" s="124"/>
      <c r="AO108" s="124"/>
      <c r="BD108" s="124"/>
      <c r="BE108" s="124"/>
      <c r="BF108" s="124"/>
      <c r="BG108" s="124"/>
      <c r="BH108" s="124"/>
      <c r="BI108" s="124"/>
      <c r="BJ108" s="124"/>
      <c r="BK108" s="124"/>
    </row>
    <row r="109" spans="1:63" s="1" customFormat="1" outlineLevel="1">
      <c r="A109" s="1" t="s">
        <v>1569</v>
      </c>
      <c r="B109" s="65"/>
      <c r="C109" s="300">
        <f t="shared" ref="C109:AG109" si="67">C43*C103</f>
        <v>0.26470664639111574</v>
      </c>
      <c r="D109" s="300">
        <f t="shared" si="67"/>
        <v>0.30695677137485211</v>
      </c>
      <c r="E109" s="300">
        <f t="shared" si="67"/>
        <v>0.35007051363950809</v>
      </c>
      <c r="F109" s="300">
        <f t="shared" si="67"/>
        <v>0.39374370746569537</v>
      </c>
      <c r="G109" s="300">
        <f t="shared" si="67"/>
        <v>0.43765627338035468</v>
      </c>
      <c r="H109" s="300">
        <f t="shared" si="67"/>
        <v>0.48147607681630111</v>
      </c>
      <c r="I109" s="300">
        <f t="shared" si="67"/>
        <v>0.52599544650360452</v>
      </c>
      <c r="J109" s="300">
        <f t="shared" si="67"/>
        <v>0.57115317645087682</v>
      </c>
      <c r="K109" s="300">
        <f t="shared" si="67"/>
        <v>0.61688502555819025</v>
      </c>
      <c r="L109" s="300">
        <f t="shared" si="67"/>
        <v>0.66312381928697062</v>
      </c>
      <c r="M109" s="300">
        <f t="shared" si="67"/>
        <v>0.70979956354225338</v>
      </c>
      <c r="N109" s="300">
        <f t="shared" si="67"/>
        <v>0.755756691671015</v>
      </c>
      <c r="O109" s="300">
        <f t="shared" si="67"/>
        <v>0.80071907630825889</v>
      </c>
      <c r="P109" s="300">
        <f t="shared" si="67"/>
        <v>0.84441213308364604</v>
      </c>
      <c r="Q109" s="300">
        <f t="shared" si="67"/>
        <v>0.8865655549743765</v>
      </c>
      <c r="R109" s="300">
        <f t="shared" si="67"/>
        <v>0.9269160491648254</v>
      </c>
      <c r="S109" s="300">
        <f t="shared" si="67"/>
        <v>0.96694902817771045</v>
      </c>
      <c r="T109" s="300">
        <f t="shared" si="67"/>
        <v>1.0066314860380456</v>
      </c>
      <c r="U109" s="300">
        <f t="shared" si="67"/>
        <v>1.0459300947559818</v>
      </c>
      <c r="V109" s="300">
        <f t="shared" si="67"/>
        <v>1.0848112243565204</v>
      </c>
      <c r="W109" s="300">
        <f t="shared" si="67"/>
        <v>1.1232409634701384</v>
      </c>
      <c r="X109" s="300">
        <f t="shared" si="67"/>
        <v>1.1611979302442772</v>
      </c>
      <c r="Y109" s="300">
        <f t="shared" si="67"/>
        <v>1.1986489715181972</v>
      </c>
      <c r="Z109" s="300">
        <f t="shared" si="67"/>
        <v>1.2355606840614821</v>
      </c>
      <c r="AA109" s="300">
        <f t="shared" si="67"/>
        <v>1.2718994334192917</v>
      </c>
      <c r="AB109" s="300">
        <f t="shared" si="67"/>
        <v>1.3076313732114289</v>
      </c>
      <c r="AC109" s="300">
        <f t="shared" si="67"/>
        <v>1.3427351592915096</v>
      </c>
      <c r="AD109" s="300">
        <f t="shared" si="67"/>
        <v>1.3771775748180377</v>
      </c>
      <c r="AE109" s="300">
        <f t="shared" si="67"/>
        <v>1.4109252133935042</v>
      </c>
      <c r="AF109" s="300">
        <f t="shared" si="67"/>
        <v>1.4439444967611001</v>
      </c>
      <c r="AG109" s="300">
        <f t="shared" si="67"/>
        <v>1.4762016928719117</v>
      </c>
      <c r="AH109" s="245"/>
      <c r="AI109" s="423"/>
      <c r="AJ109" s="424"/>
      <c r="AL109" s="221"/>
      <c r="AM109" s="124"/>
      <c r="AN109" s="124"/>
      <c r="AO109" s="124"/>
      <c r="BD109" s="124"/>
      <c r="BE109" s="124"/>
      <c r="BF109" s="124"/>
      <c r="BG109" s="124"/>
      <c r="BH109" s="124"/>
      <c r="BI109" s="124"/>
      <c r="BJ109" s="124"/>
      <c r="BK109" s="124"/>
    </row>
    <row r="110" spans="1:63" s="1" customFormat="1" outlineLevel="1">
      <c r="A110" s="1" t="s">
        <v>1570</v>
      </c>
      <c r="B110" s="65"/>
      <c r="C110" s="300">
        <f t="shared" ref="C110:AG110" si="68">C109-$C109</f>
        <v>0</v>
      </c>
      <c r="D110" s="300">
        <f t="shared" si="68"/>
        <v>4.225012498373637E-2</v>
      </c>
      <c r="E110" s="300">
        <f t="shared" si="68"/>
        <v>8.5363867248392344E-2</v>
      </c>
      <c r="F110" s="300">
        <f t="shared" si="68"/>
        <v>0.12903706107457963</v>
      </c>
      <c r="G110" s="300">
        <f t="shared" si="68"/>
        <v>0.17294962698923894</v>
      </c>
      <c r="H110" s="300">
        <f t="shared" si="68"/>
        <v>0.21676943042518537</v>
      </c>
      <c r="I110" s="300">
        <f t="shared" si="68"/>
        <v>0.26128880011248878</v>
      </c>
      <c r="J110" s="300">
        <f t="shared" si="68"/>
        <v>0.30644653005976108</v>
      </c>
      <c r="K110" s="300">
        <f t="shared" si="68"/>
        <v>0.35217837916707451</v>
      </c>
      <c r="L110" s="300">
        <f t="shared" si="68"/>
        <v>0.39841717289585488</v>
      </c>
      <c r="M110" s="300">
        <f t="shared" si="68"/>
        <v>0.44509291715113763</v>
      </c>
      <c r="N110" s="300">
        <f t="shared" si="68"/>
        <v>0.49105004527989926</v>
      </c>
      <c r="O110" s="300">
        <f t="shared" si="68"/>
        <v>0.53601242991714315</v>
      </c>
      <c r="P110" s="300">
        <f t="shared" si="68"/>
        <v>0.5797054866925303</v>
      </c>
      <c r="Q110" s="300">
        <f t="shared" si="68"/>
        <v>0.62185890858326076</v>
      </c>
      <c r="R110" s="300">
        <f t="shared" si="68"/>
        <v>0.66220940277370965</v>
      </c>
      <c r="S110" s="300">
        <f t="shared" si="68"/>
        <v>0.7022423817865947</v>
      </c>
      <c r="T110" s="300">
        <f t="shared" si="68"/>
        <v>0.7419248396469299</v>
      </c>
      <c r="U110" s="300">
        <f t="shared" si="68"/>
        <v>0.78122344836486601</v>
      </c>
      <c r="V110" s="300">
        <f t="shared" si="68"/>
        <v>0.8201045779654047</v>
      </c>
      <c r="W110" s="300">
        <f t="shared" si="68"/>
        <v>0.85853431707902261</v>
      </c>
      <c r="X110" s="300">
        <f t="shared" si="68"/>
        <v>0.89649128385316146</v>
      </c>
      <c r="Y110" s="300">
        <f t="shared" si="68"/>
        <v>0.93394232512708142</v>
      </c>
      <c r="Z110" s="300">
        <f t="shared" si="68"/>
        <v>0.97085403767036638</v>
      </c>
      <c r="AA110" s="300">
        <f t="shared" si="68"/>
        <v>1.0071927870281758</v>
      </c>
      <c r="AB110" s="300">
        <f t="shared" si="68"/>
        <v>1.042924726820313</v>
      </c>
      <c r="AC110" s="300">
        <f t="shared" si="68"/>
        <v>1.0780285129003939</v>
      </c>
      <c r="AD110" s="300">
        <f t="shared" si="68"/>
        <v>1.1124709284269221</v>
      </c>
      <c r="AE110" s="300">
        <f t="shared" si="68"/>
        <v>1.1462185670023883</v>
      </c>
      <c r="AF110" s="300">
        <f t="shared" si="68"/>
        <v>1.1792378503699843</v>
      </c>
      <c r="AG110" s="300">
        <f t="shared" si="68"/>
        <v>1.2114950464807959</v>
      </c>
      <c r="AH110" s="245"/>
      <c r="AI110" s="423"/>
      <c r="AJ110" s="424"/>
      <c r="AL110" s="221"/>
      <c r="AM110" s="124"/>
      <c r="AN110" s="124"/>
      <c r="AO110" s="124"/>
      <c r="BD110" s="124"/>
      <c r="BE110" s="124"/>
      <c r="BF110" s="124"/>
      <c r="BG110" s="124"/>
      <c r="BH110" s="124"/>
      <c r="BI110" s="124"/>
      <c r="BJ110" s="124"/>
      <c r="BK110" s="124"/>
    </row>
    <row r="111" spans="1:63" s="1" customFormat="1" outlineLevel="1">
      <c r="A111" s="1" t="s">
        <v>1578</v>
      </c>
      <c r="B111" s="65"/>
      <c r="C111" s="300">
        <f t="shared" ref="C111:AG111" si="69">C43*C104</f>
        <v>0</v>
      </c>
      <c r="D111" s="300">
        <f t="shared" si="69"/>
        <v>0</v>
      </c>
      <c r="E111" s="300">
        <f t="shared" si="69"/>
        <v>0</v>
      </c>
      <c r="F111" s="300">
        <f t="shared" si="69"/>
        <v>0</v>
      </c>
      <c r="G111" s="300">
        <f t="shared" si="69"/>
        <v>0</v>
      </c>
      <c r="H111" s="300">
        <f t="shared" si="69"/>
        <v>0</v>
      </c>
      <c r="I111" s="300">
        <f t="shared" si="69"/>
        <v>0</v>
      </c>
      <c r="J111" s="300">
        <f t="shared" si="69"/>
        <v>0</v>
      </c>
      <c r="K111" s="300">
        <f t="shared" si="69"/>
        <v>0</v>
      </c>
      <c r="L111" s="300">
        <f t="shared" si="69"/>
        <v>0</v>
      </c>
      <c r="M111" s="300">
        <f t="shared" si="69"/>
        <v>0</v>
      </c>
      <c r="N111" s="300">
        <f t="shared" si="69"/>
        <v>0</v>
      </c>
      <c r="O111" s="300">
        <f t="shared" si="69"/>
        <v>0</v>
      </c>
      <c r="P111" s="300">
        <f t="shared" si="69"/>
        <v>0</v>
      </c>
      <c r="Q111" s="300">
        <f t="shared" si="69"/>
        <v>0</v>
      </c>
      <c r="R111" s="300">
        <f t="shared" si="69"/>
        <v>0</v>
      </c>
      <c r="S111" s="300">
        <f t="shared" si="69"/>
        <v>0</v>
      </c>
      <c r="T111" s="300">
        <f t="shared" si="69"/>
        <v>0</v>
      </c>
      <c r="U111" s="300">
        <f t="shared" si="69"/>
        <v>0</v>
      </c>
      <c r="V111" s="300">
        <f t="shared" si="69"/>
        <v>0</v>
      </c>
      <c r="W111" s="300">
        <f t="shared" si="69"/>
        <v>0</v>
      </c>
      <c r="X111" s="300">
        <f t="shared" si="69"/>
        <v>0</v>
      </c>
      <c r="Y111" s="300">
        <f t="shared" si="69"/>
        <v>0</v>
      </c>
      <c r="Z111" s="300">
        <f t="shared" si="69"/>
        <v>0</v>
      </c>
      <c r="AA111" s="300">
        <f t="shared" si="69"/>
        <v>0</v>
      </c>
      <c r="AB111" s="300">
        <f t="shared" si="69"/>
        <v>0</v>
      </c>
      <c r="AC111" s="300">
        <f t="shared" si="69"/>
        <v>0</v>
      </c>
      <c r="AD111" s="300">
        <f t="shared" si="69"/>
        <v>0</v>
      </c>
      <c r="AE111" s="300">
        <f t="shared" si="69"/>
        <v>0</v>
      </c>
      <c r="AF111" s="300">
        <f t="shared" si="69"/>
        <v>0</v>
      </c>
      <c r="AG111" s="300">
        <f t="shared" si="69"/>
        <v>0</v>
      </c>
      <c r="AH111" s="245"/>
      <c r="AI111" s="423"/>
      <c r="AJ111" s="424"/>
      <c r="AL111" s="221"/>
      <c r="AM111" s="124"/>
      <c r="AN111" s="124"/>
      <c r="AO111" s="124"/>
      <c r="BD111" s="124"/>
      <c r="BE111" s="124"/>
      <c r="BF111" s="124"/>
      <c r="BG111" s="124"/>
      <c r="BH111" s="124"/>
      <c r="BI111" s="124"/>
      <c r="BJ111" s="124"/>
      <c r="BK111" s="124"/>
    </row>
    <row r="112" spans="1:63" s="1" customFormat="1" outlineLevel="1">
      <c r="A112" s="1" t="s">
        <v>1579</v>
      </c>
      <c r="B112" s="65"/>
      <c r="C112" s="300">
        <f t="shared" ref="C112:AG112" si="70">C111-$C111</f>
        <v>0</v>
      </c>
      <c r="D112" s="300">
        <f t="shared" si="70"/>
        <v>0</v>
      </c>
      <c r="E112" s="300">
        <f t="shared" si="70"/>
        <v>0</v>
      </c>
      <c r="F112" s="300">
        <f t="shared" si="70"/>
        <v>0</v>
      </c>
      <c r="G112" s="300">
        <f t="shared" si="70"/>
        <v>0</v>
      </c>
      <c r="H112" s="300">
        <f t="shared" si="70"/>
        <v>0</v>
      </c>
      <c r="I112" s="300">
        <f t="shared" si="70"/>
        <v>0</v>
      </c>
      <c r="J112" s="300">
        <f t="shared" si="70"/>
        <v>0</v>
      </c>
      <c r="K112" s="300">
        <f t="shared" si="70"/>
        <v>0</v>
      </c>
      <c r="L112" s="300">
        <f t="shared" si="70"/>
        <v>0</v>
      </c>
      <c r="M112" s="300">
        <f t="shared" si="70"/>
        <v>0</v>
      </c>
      <c r="N112" s="300">
        <f t="shared" si="70"/>
        <v>0</v>
      </c>
      <c r="O112" s="300">
        <f t="shared" si="70"/>
        <v>0</v>
      </c>
      <c r="P112" s="300">
        <f t="shared" si="70"/>
        <v>0</v>
      </c>
      <c r="Q112" s="300">
        <f t="shared" si="70"/>
        <v>0</v>
      </c>
      <c r="R112" s="300">
        <f t="shared" si="70"/>
        <v>0</v>
      </c>
      <c r="S112" s="300">
        <f t="shared" si="70"/>
        <v>0</v>
      </c>
      <c r="T112" s="300">
        <f t="shared" si="70"/>
        <v>0</v>
      </c>
      <c r="U112" s="300">
        <f t="shared" si="70"/>
        <v>0</v>
      </c>
      <c r="V112" s="300">
        <f t="shared" si="70"/>
        <v>0</v>
      </c>
      <c r="W112" s="300">
        <f t="shared" si="70"/>
        <v>0</v>
      </c>
      <c r="X112" s="300">
        <f t="shared" si="70"/>
        <v>0</v>
      </c>
      <c r="Y112" s="300">
        <f t="shared" si="70"/>
        <v>0</v>
      </c>
      <c r="Z112" s="300">
        <f t="shared" si="70"/>
        <v>0</v>
      </c>
      <c r="AA112" s="300">
        <f t="shared" si="70"/>
        <v>0</v>
      </c>
      <c r="AB112" s="300">
        <f t="shared" si="70"/>
        <v>0</v>
      </c>
      <c r="AC112" s="300">
        <f t="shared" si="70"/>
        <v>0</v>
      </c>
      <c r="AD112" s="300">
        <f t="shared" si="70"/>
        <v>0</v>
      </c>
      <c r="AE112" s="300">
        <f t="shared" si="70"/>
        <v>0</v>
      </c>
      <c r="AF112" s="300">
        <f t="shared" si="70"/>
        <v>0</v>
      </c>
      <c r="AG112" s="300">
        <f t="shared" si="70"/>
        <v>0</v>
      </c>
      <c r="AH112" s="245"/>
      <c r="AI112" s="423"/>
      <c r="AJ112" s="424"/>
      <c r="AL112" s="221"/>
      <c r="AM112" s="124"/>
      <c r="AN112" s="124"/>
      <c r="AO112" s="124"/>
      <c r="BD112" s="124"/>
      <c r="BE112" s="124"/>
      <c r="BF112" s="124"/>
      <c r="BG112" s="124"/>
      <c r="BH112" s="124"/>
      <c r="BI112" s="124"/>
      <c r="BJ112" s="124"/>
      <c r="BK112" s="124"/>
    </row>
    <row r="113" spans="1:63" s="1" customFormat="1" outlineLevel="1">
      <c r="A113" s="1" t="s">
        <v>1567</v>
      </c>
      <c r="B113" s="65"/>
      <c r="C113" s="300">
        <f t="shared" ref="C113:AG113" si="71">C43*C105</f>
        <v>2.941184959901285E-2</v>
      </c>
      <c r="D113" s="300">
        <f t="shared" si="71"/>
        <v>3.4106307930539113E-2</v>
      </c>
      <c r="E113" s="300">
        <f t="shared" si="71"/>
        <v>3.8896723737723113E-2</v>
      </c>
      <c r="F113" s="300">
        <f t="shared" si="71"/>
        <v>4.3749300829521692E-2</v>
      </c>
      <c r="G113" s="300">
        <f t="shared" si="71"/>
        <v>4.8628474820039395E-2</v>
      </c>
      <c r="H113" s="300">
        <f t="shared" si="71"/>
        <v>5.3497341868477891E-2</v>
      </c>
      <c r="I113" s="300">
        <f t="shared" si="71"/>
        <v>5.8443938500400479E-2</v>
      </c>
      <c r="J113" s="300">
        <f t="shared" si="71"/>
        <v>6.3461464050097421E-2</v>
      </c>
      <c r="K113" s="300">
        <f t="shared" si="71"/>
        <v>6.8542780617576668E-2</v>
      </c>
      <c r="L113" s="300">
        <f t="shared" si="71"/>
        <v>7.3680424365218947E-2</v>
      </c>
      <c r="M113" s="300">
        <f t="shared" si="71"/>
        <v>7.8866618171361466E-2</v>
      </c>
      <c r="N113" s="300">
        <f t="shared" si="71"/>
        <v>8.3972965741223871E-2</v>
      </c>
      <c r="O113" s="300">
        <f t="shared" si="71"/>
        <v>8.8968786256473184E-2</v>
      </c>
      <c r="P113" s="300">
        <f t="shared" si="71"/>
        <v>9.382357034262731E-2</v>
      </c>
      <c r="Q113" s="300">
        <f t="shared" si="71"/>
        <v>9.850728388604181E-2</v>
      </c>
      <c r="R113" s="300">
        <f t="shared" si="71"/>
        <v>0.10299067212942502</v>
      </c>
      <c r="S113" s="300">
        <f t="shared" si="71"/>
        <v>0.10743878090863446</v>
      </c>
      <c r="T113" s="300">
        <f t="shared" si="71"/>
        <v>0.11184794289311613</v>
      </c>
      <c r="U113" s="300">
        <f t="shared" si="71"/>
        <v>0.11621445497288684</v>
      </c>
      <c r="V113" s="300">
        <f t="shared" si="71"/>
        <v>0.12053458048405781</v>
      </c>
      <c r="W113" s="300">
        <f t="shared" si="71"/>
        <v>0.124804551496682</v>
      </c>
      <c r="X113" s="300">
        <f t="shared" si="71"/>
        <v>0.12902199224936411</v>
      </c>
      <c r="Y113" s="300">
        <f t="shared" si="71"/>
        <v>0.13318321905757741</v>
      </c>
      <c r="Z113" s="300">
        <f t="shared" si="71"/>
        <v>0.13728452045127573</v>
      </c>
      <c r="AA113" s="300">
        <f t="shared" si="71"/>
        <v>0.14132215926881014</v>
      </c>
      <c r="AB113" s="300">
        <f t="shared" si="71"/>
        <v>0.14529237480126983</v>
      </c>
      <c r="AC113" s="300">
        <f t="shared" si="71"/>
        <v>0.14919279547683437</v>
      </c>
      <c r="AD113" s="300">
        <f t="shared" si="71"/>
        <v>0.15301973053533749</v>
      </c>
      <c r="AE113" s="300">
        <f t="shared" si="71"/>
        <v>0.15676946815483375</v>
      </c>
      <c r="AF113" s="300">
        <f t="shared" si="71"/>
        <v>0.16043827741789995</v>
      </c>
      <c r="AG113" s="300">
        <f t="shared" si="71"/>
        <v>0.16402241031910125</v>
      </c>
      <c r="AH113" s="245"/>
      <c r="AI113" s="423"/>
      <c r="AJ113" s="424"/>
      <c r="AL113" s="221"/>
      <c r="AM113" s="124"/>
      <c r="AN113" s="124"/>
      <c r="AO113" s="124"/>
      <c r="BD113" s="124"/>
      <c r="BE113" s="124"/>
      <c r="BF113" s="124"/>
      <c r="BG113" s="124"/>
      <c r="BH113" s="124"/>
      <c r="BI113" s="124"/>
      <c r="BJ113" s="124"/>
      <c r="BK113" s="124"/>
    </row>
    <row r="114" spans="1:63" s="1" customFormat="1" outlineLevel="1">
      <c r="A114" s="1" t="s">
        <v>1568</v>
      </c>
      <c r="B114" s="65"/>
      <c r="C114" s="300">
        <f t="shared" ref="C114:AG114" si="72">C113-$C113</f>
        <v>0</v>
      </c>
      <c r="D114" s="300">
        <f t="shared" si="72"/>
        <v>4.6944583315262634E-3</v>
      </c>
      <c r="E114" s="300">
        <f t="shared" si="72"/>
        <v>9.4848741387102628E-3</v>
      </c>
      <c r="F114" s="300">
        <f t="shared" si="72"/>
        <v>1.4337451230508842E-2</v>
      </c>
      <c r="G114" s="300">
        <f t="shared" si="72"/>
        <v>1.9216625221026545E-2</v>
      </c>
      <c r="H114" s="300">
        <f t="shared" si="72"/>
        <v>2.4085492269465041E-2</v>
      </c>
      <c r="I114" s="300">
        <f t="shared" si="72"/>
        <v>2.9032088901387629E-2</v>
      </c>
      <c r="J114" s="300">
        <f t="shared" si="72"/>
        <v>3.4049614451084571E-2</v>
      </c>
      <c r="K114" s="300">
        <f t="shared" si="72"/>
        <v>3.9130931018563818E-2</v>
      </c>
      <c r="L114" s="300">
        <f t="shared" si="72"/>
        <v>4.4268574766206097E-2</v>
      </c>
      <c r="M114" s="300">
        <f t="shared" si="72"/>
        <v>4.9454768572348616E-2</v>
      </c>
      <c r="N114" s="300">
        <f t="shared" si="72"/>
        <v>5.4561116142211021E-2</v>
      </c>
      <c r="O114" s="300">
        <f t="shared" si="72"/>
        <v>5.9556936657460334E-2</v>
      </c>
      <c r="P114" s="300">
        <f t="shared" si="72"/>
        <v>6.4411720743614453E-2</v>
      </c>
      <c r="Q114" s="300">
        <f t="shared" si="72"/>
        <v>6.9095434287028967E-2</v>
      </c>
      <c r="R114" s="300">
        <f t="shared" si="72"/>
        <v>7.3578822530412175E-2</v>
      </c>
      <c r="S114" s="300">
        <f t="shared" si="72"/>
        <v>7.80269313096216E-2</v>
      </c>
      <c r="T114" s="300">
        <f t="shared" si="72"/>
        <v>8.2436093294103285E-2</v>
      </c>
      <c r="U114" s="300">
        <f t="shared" si="72"/>
        <v>8.6802605373873992E-2</v>
      </c>
      <c r="V114" s="300">
        <f t="shared" si="72"/>
        <v>9.1122730885044967E-2</v>
      </c>
      <c r="W114" s="300">
        <f t="shared" si="72"/>
        <v>9.5392701897669158E-2</v>
      </c>
      <c r="X114" s="300">
        <f t="shared" si="72"/>
        <v>9.9610142650351258E-2</v>
      </c>
      <c r="Y114" s="300">
        <f t="shared" si="72"/>
        <v>0.10377136945856455</v>
      </c>
      <c r="Z114" s="300">
        <f t="shared" si="72"/>
        <v>0.10787267085226288</v>
      </c>
      <c r="AA114" s="300">
        <f t="shared" si="72"/>
        <v>0.11191030966979729</v>
      </c>
      <c r="AB114" s="300">
        <f t="shared" si="72"/>
        <v>0.11588052520225697</v>
      </c>
      <c r="AC114" s="300">
        <f t="shared" si="72"/>
        <v>0.11978094587782151</v>
      </c>
      <c r="AD114" s="300">
        <f t="shared" si="72"/>
        <v>0.12360788093632463</v>
      </c>
      <c r="AE114" s="300">
        <f t="shared" si="72"/>
        <v>0.1273576185558209</v>
      </c>
      <c r="AF114" s="300">
        <f t="shared" si="72"/>
        <v>0.1310264278188871</v>
      </c>
      <c r="AG114" s="300">
        <f t="shared" si="72"/>
        <v>0.1346105607200884</v>
      </c>
      <c r="AH114" s="245"/>
      <c r="AI114" s="423"/>
      <c r="AJ114" s="424"/>
      <c r="AL114" s="221"/>
      <c r="AM114" s="124"/>
      <c r="AN114" s="124"/>
      <c r="AO114" s="124"/>
      <c r="BD114" s="124"/>
      <c r="BE114" s="124"/>
      <c r="BF114" s="124"/>
      <c r="BG114" s="124"/>
      <c r="BH114" s="124"/>
      <c r="BI114" s="124"/>
      <c r="BJ114" s="124"/>
      <c r="BK114" s="124"/>
    </row>
    <row r="115" spans="1:63" outlineLevel="1">
      <c r="C115" s="110"/>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J115" s="211"/>
      <c r="AM115" s="123"/>
      <c r="AN115" s="123"/>
    </row>
    <row r="116" spans="1:63" s="200" customFormat="1" ht="16" thickBot="1">
      <c r="A116" s="200" t="s">
        <v>1339</v>
      </c>
      <c r="B116" s="215"/>
      <c r="C116" s="224">
        <f>C117</f>
        <v>0</v>
      </c>
      <c r="D116" s="224">
        <f t="shared" ref="D116:AG116" si="73">D117</f>
        <v>0</v>
      </c>
      <c r="E116" s="224">
        <f t="shared" si="73"/>
        <v>0</v>
      </c>
      <c r="F116" s="224">
        <f t="shared" si="73"/>
        <v>0</v>
      </c>
      <c r="G116" s="224">
        <f t="shared" si="73"/>
        <v>0</v>
      </c>
      <c r="H116" s="224">
        <f t="shared" si="73"/>
        <v>0</v>
      </c>
      <c r="I116" s="224">
        <f t="shared" si="73"/>
        <v>0</v>
      </c>
      <c r="J116" s="224">
        <f t="shared" si="73"/>
        <v>0</v>
      </c>
      <c r="K116" s="224">
        <f t="shared" si="73"/>
        <v>0</v>
      </c>
      <c r="L116" s="224">
        <f t="shared" si="73"/>
        <v>0</v>
      </c>
      <c r="M116" s="224">
        <f t="shared" si="73"/>
        <v>0</v>
      </c>
      <c r="N116" s="224">
        <f t="shared" si="73"/>
        <v>0</v>
      </c>
      <c r="O116" s="224">
        <f t="shared" si="73"/>
        <v>0</v>
      </c>
      <c r="P116" s="224">
        <f t="shared" si="73"/>
        <v>0</v>
      </c>
      <c r="Q116" s="224">
        <f t="shared" si="73"/>
        <v>0</v>
      </c>
      <c r="R116" s="224">
        <f t="shared" si="73"/>
        <v>0</v>
      </c>
      <c r="S116" s="224">
        <f t="shared" si="73"/>
        <v>0</v>
      </c>
      <c r="T116" s="224">
        <f t="shared" si="73"/>
        <v>0</v>
      </c>
      <c r="U116" s="224">
        <f t="shared" si="73"/>
        <v>0</v>
      </c>
      <c r="V116" s="224">
        <f t="shared" si="73"/>
        <v>0</v>
      </c>
      <c r="W116" s="224">
        <f t="shared" si="73"/>
        <v>0</v>
      </c>
      <c r="X116" s="224">
        <f t="shared" si="73"/>
        <v>0</v>
      </c>
      <c r="Y116" s="224">
        <f t="shared" si="73"/>
        <v>0</v>
      </c>
      <c r="Z116" s="224">
        <f t="shared" si="73"/>
        <v>0</v>
      </c>
      <c r="AA116" s="224">
        <f t="shared" si="73"/>
        <v>0</v>
      </c>
      <c r="AB116" s="224">
        <f t="shared" si="73"/>
        <v>0</v>
      </c>
      <c r="AC116" s="224">
        <f t="shared" si="73"/>
        <v>0</v>
      </c>
      <c r="AD116" s="224">
        <f t="shared" si="73"/>
        <v>0</v>
      </c>
      <c r="AE116" s="224">
        <f t="shared" si="73"/>
        <v>0</v>
      </c>
      <c r="AF116" s="224">
        <f t="shared" si="73"/>
        <v>0</v>
      </c>
      <c r="AG116" s="224">
        <f t="shared" si="73"/>
        <v>0</v>
      </c>
      <c r="AJ116" s="231" t="s">
        <v>1340</v>
      </c>
      <c r="AL116" s="217"/>
      <c r="AM116" s="225"/>
      <c r="AN116" s="225"/>
      <c r="AO116" s="225"/>
    </row>
    <row r="117" spans="1:63" ht="16" outlineLevel="1" thickTop="1">
      <c r="A117" t="s">
        <v>1341</v>
      </c>
      <c r="B117" s="54" t="s">
        <v>462</v>
      </c>
      <c r="C117" s="214">
        <v>0</v>
      </c>
      <c r="D117" s="110">
        <f>$C117+($M117-$C117)/10*(D$1-$C$1)</f>
        <v>0</v>
      </c>
      <c r="E117" s="110">
        <f t="shared" ref="E117:L117" si="74">$C117+($M117-$C117)/10*(E$1-$C$1)</f>
        <v>0</v>
      </c>
      <c r="F117" s="110">
        <f t="shared" si="74"/>
        <v>0</v>
      </c>
      <c r="G117" s="110">
        <f t="shared" si="74"/>
        <v>0</v>
      </c>
      <c r="H117" s="110">
        <f t="shared" si="74"/>
        <v>0</v>
      </c>
      <c r="I117" s="110">
        <f t="shared" si="74"/>
        <v>0</v>
      </c>
      <c r="J117" s="110">
        <f t="shared" si="74"/>
        <v>0</v>
      </c>
      <c r="K117" s="110">
        <f t="shared" si="74"/>
        <v>0</v>
      </c>
      <c r="L117" s="110">
        <f t="shared" si="74"/>
        <v>0</v>
      </c>
      <c r="M117" s="121">
        <v>0</v>
      </c>
      <c r="N117" s="121">
        <f>$M117+($W117-$M117)/10*(N$1-$M$1)</f>
        <v>0</v>
      </c>
      <c r="O117" s="121">
        <f t="shared" ref="O117:U117" si="75">$M117+($W117-$M117)/10*(O$1-$M$1)</f>
        <v>0</v>
      </c>
      <c r="P117" s="121">
        <f t="shared" si="75"/>
        <v>0</v>
      </c>
      <c r="Q117" s="121">
        <f t="shared" si="75"/>
        <v>0</v>
      </c>
      <c r="R117" s="121">
        <f t="shared" si="75"/>
        <v>0</v>
      </c>
      <c r="S117" s="121">
        <f t="shared" si="75"/>
        <v>0</v>
      </c>
      <c r="T117" s="121">
        <f t="shared" si="75"/>
        <v>0</v>
      </c>
      <c r="U117" s="121">
        <f t="shared" si="75"/>
        <v>0</v>
      </c>
      <c r="V117" s="121">
        <f>$M117+($W117-$M117)/10*(V$1-$M$1)</f>
        <v>0</v>
      </c>
      <c r="W117" s="121">
        <v>0</v>
      </c>
      <c r="X117" s="110">
        <f>$W117+($AG117-$W117)/10*(X$1-$W$1)</f>
        <v>0</v>
      </c>
      <c r="Y117" s="110">
        <f t="shared" ref="Y117:AF117" si="76">$W117+($AG117-$W117)/10*(Y$1-$W$1)</f>
        <v>0</v>
      </c>
      <c r="Z117" s="110">
        <f t="shared" si="76"/>
        <v>0</v>
      </c>
      <c r="AA117" s="110">
        <f t="shared" si="76"/>
        <v>0</v>
      </c>
      <c r="AB117" s="110">
        <f t="shared" si="76"/>
        <v>0</v>
      </c>
      <c r="AC117" s="110">
        <f t="shared" si="76"/>
        <v>0</v>
      </c>
      <c r="AD117" s="110">
        <f t="shared" si="76"/>
        <v>0</v>
      </c>
      <c r="AE117" s="110">
        <f t="shared" si="76"/>
        <v>0</v>
      </c>
      <c r="AF117" s="110">
        <f t="shared" si="76"/>
        <v>0</v>
      </c>
      <c r="AG117" s="214">
        <v>0</v>
      </c>
      <c r="AJ117" s="211" t="s">
        <v>1342</v>
      </c>
    </row>
    <row r="118" spans="1:63" outlineLevel="1">
      <c r="A118" t="s">
        <v>1453</v>
      </c>
      <c r="B118" s="54" t="s">
        <v>462</v>
      </c>
      <c r="C118" s="214">
        <v>0</v>
      </c>
      <c r="D118" s="110">
        <f t="shared" ref="D118:L118" si="77">C118-($C$118-$AG$118)/($AG$1-$C$1)</f>
        <v>0</v>
      </c>
      <c r="E118" s="110">
        <f t="shared" si="77"/>
        <v>0</v>
      </c>
      <c r="F118" s="110">
        <f t="shared" si="77"/>
        <v>0</v>
      </c>
      <c r="G118" s="110">
        <f t="shared" si="77"/>
        <v>0</v>
      </c>
      <c r="H118" s="110">
        <f t="shared" si="77"/>
        <v>0</v>
      </c>
      <c r="I118" s="110">
        <f t="shared" si="77"/>
        <v>0</v>
      </c>
      <c r="J118" s="110">
        <f t="shared" si="77"/>
        <v>0</v>
      </c>
      <c r="K118" s="110">
        <f t="shared" si="77"/>
        <v>0</v>
      </c>
      <c r="L118" s="110">
        <f t="shared" si="77"/>
        <v>0</v>
      </c>
      <c r="M118" s="110">
        <v>0</v>
      </c>
      <c r="N118" s="110">
        <f t="shared" ref="N118:V118" si="78">M118-($C$118-$AG$118)/($AG$1-$C$1)</f>
        <v>0</v>
      </c>
      <c r="O118" s="110">
        <f t="shared" si="78"/>
        <v>0</v>
      </c>
      <c r="P118" s="110">
        <f t="shared" si="78"/>
        <v>0</v>
      </c>
      <c r="Q118" s="110">
        <f t="shared" si="78"/>
        <v>0</v>
      </c>
      <c r="R118" s="110">
        <f t="shared" si="78"/>
        <v>0</v>
      </c>
      <c r="S118" s="110">
        <f t="shared" si="78"/>
        <v>0</v>
      </c>
      <c r="T118" s="110">
        <f t="shared" si="78"/>
        <v>0</v>
      </c>
      <c r="U118" s="110">
        <f t="shared" si="78"/>
        <v>0</v>
      </c>
      <c r="V118" s="110">
        <f t="shared" si="78"/>
        <v>0</v>
      </c>
      <c r="W118" s="110">
        <v>0</v>
      </c>
      <c r="X118" s="110">
        <f t="shared" ref="X118:AF118" si="79">W118-($C$118-$AG$118)/($AG$1-$C$1)</f>
        <v>0</v>
      </c>
      <c r="Y118" s="110">
        <f t="shared" si="79"/>
        <v>0</v>
      </c>
      <c r="Z118" s="110">
        <f t="shared" si="79"/>
        <v>0</v>
      </c>
      <c r="AA118" s="110">
        <f t="shared" si="79"/>
        <v>0</v>
      </c>
      <c r="AB118" s="110">
        <f t="shared" si="79"/>
        <v>0</v>
      </c>
      <c r="AC118" s="110">
        <f t="shared" si="79"/>
        <v>0</v>
      </c>
      <c r="AD118" s="110">
        <f t="shared" si="79"/>
        <v>0</v>
      </c>
      <c r="AE118" s="110">
        <f t="shared" si="79"/>
        <v>0</v>
      </c>
      <c r="AF118" s="110">
        <f t="shared" si="79"/>
        <v>0</v>
      </c>
      <c r="AG118" s="214">
        <v>0</v>
      </c>
      <c r="AI118" s="135"/>
      <c r="AJ118" s="211" t="s">
        <v>1454</v>
      </c>
      <c r="AM118" s="123"/>
      <c r="AN118" s="123"/>
    </row>
    <row r="119" spans="1:63" ht="14.5" customHeight="1" outlineLevel="1">
      <c r="A119" t="s">
        <v>1455</v>
      </c>
      <c r="B119" s="176" t="s">
        <v>462</v>
      </c>
      <c r="C119" s="110">
        <v>0</v>
      </c>
      <c r="D119" s="110">
        <f t="shared" ref="D119:AF119" si="80">1-D118</f>
        <v>1</v>
      </c>
      <c r="E119" s="110">
        <f t="shared" si="80"/>
        <v>1</v>
      </c>
      <c r="F119" s="110">
        <f t="shared" si="80"/>
        <v>1</v>
      </c>
      <c r="G119" s="110">
        <f t="shared" si="80"/>
        <v>1</v>
      </c>
      <c r="H119" s="110">
        <f t="shared" si="80"/>
        <v>1</v>
      </c>
      <c r="I119" s="110">
        <f t="shared" si="80"/>
        <v>1</v>
      </c>
      <c r="J119" s="110">
        <f t="shared" si="80"/>
        <v>1</v>
      </c>
      <c r="K119" s="110">
        <f t="shared" si="80"/>
        <v>1</v>
      </c>
      <c r="L119" s="110">
        <f t="shared" si="80"/>
        <v>1</v>
      </c>
      <c r="M119" s="110">
        <v>0</v>
      </c>
      <c r="N119" s="110">
        <f t="shared" si="80"/>
        <v>1</v>
      </c>
      <c r="O119" s="110">
        <f t="shared" si="80"/>
        <v>1</v>
      </c>
      <c r="P119" s="110">
        <f t="shared" si="80"/>
        <v>1</v>
      </c>
      <c r="Q119" s="110">
        <f t="shared" si="80"/>
        <v>1</v>
      </c>
      <c r="R119" s="110">
        <f t="shared" si="80"/>
        <v>1</v>
      </c>
      <c r="S119" s="110">
        <f t="shared" si="80"/>
        <v>1</v>
      </c>
      <c r="T119" s="110">
        <f t="shared" si="80"/>
        <v>1</v>
      </c>
      <c r="U119" s="110">
        <f t="shared" si="80"/>
        <v>1</v>
      </c>
      <c r="V119" s="110">
        <f t="shared" si="80"/>
        <v>1</v>
      </c>
      <c r="W119" s="110">
        <v>0</v>
      </c>
      <c r="X119" s="110">
        <f t="shared" si="80"/>
        <v>1</v>
      </c>
      <c r="Y119" s="110">
        <f t="shared" si="80"/>
        <v>1</v>
      </c>
      <c r="Z119" s="110">
        <f t="shared" si="80"/>
        <v>1</v>
      </c>
      <c r="AA119" s="110">
        <f t="shared" si="80"/>
        <v>1</v>
      </c>
      <c r="AB119" s="110">
        <f t="shared" si="80"/>
        <v>1</v>
      </c>
      <c r="AC119" s="110">
        <f t="shared" si="80"/>
        <v>1</v>
      </c>
      <c r="AD119" s="110">
        <f t="shared" si="80"/>
        <v>1</v>
      </c>
      <c r="AE119" s="110">
        <f t="shared" si="80"/>
        <v>1</v>
      </c>
      <c r="AF119" s="110">
        <f t="shared" si="80"/>
        <v>1</v>
      </c>
      <c r="AG119" s="110">
        <v>0</v>
      </c>
      <c r="AI119" s="135" t="s">
        <v>1456</v>
      </c>
      <c r="AJ119" s="211"/>
    </row>
    <row r="120" spans="1:63" outlineLevel="1">
      <c r="A120" t="s">
        <v>1343</v>
      </c>
      <c r="B120" s="54" t="s">
        <v>462</v>
      </c>
      <c r="C120" s="110">
        <f>C117*C118</f>
        <v>0</v>
      </c>
      <c r="D120" s="110">
        <f t="shared" ref="D120:AG120" si="81">D117*D118</f>
        <v>0</v>
      </c>
      <c r="E120" s="110">
        <f t="shared" si="81"/>
        <v>0</v>
      </c>
      <c r="F120" s="110">
        <f t="shared" si="81"/>
        <v>0</v>
      </c>
      <c r="G120" s="110">
        <f t="shared" si="81"/>
        <v>0</v>
      </c>
      <c r="H120" s="110">
        <f t="shared" si="81"/>
        <v>0</v>
      </c>
      <c r="I120" s="110">
        <f t="shared" si="81"/>
        <v>0</v>
      </c>
      <c r="J120" s="110">
        <f t="shared" si="81"/>
        <v>0</v>
      </c>
      <c r="K120" s="110">
        <f t="shared" si="81"/>
        <v>0</v>
      </c>
      <c r="L120" s="110">
        <f t="shared" si="81"/>
        <v>0</v>
      </c>
      <c r="M120" s="110">
        <f t="shared" si="81"/>
        <v>0</v>
      </c>
      <c r="N120" s="110">
        <f t="shared" si="81"/>
        <v>0</v>
      </c>
      <c r="O120" s="110">
        <f t="shared" si="81"/>
        <v>0</v>
      </c>
      <c r="P120" s="110">
        <f t="shared" si="81"/>
        <v>0</v>
      </c>
      <c r="Q120" s="110">
        <f t="shared" si="81"/>
        <v>0</v>
      </c>
      <c r="R120" s="110">
        <f t="shared" si="81"/>
        <v>0</v>
      </c>
      <c r="S120" s="110">
        <f t="shared" si="81"/>
        <v>0</v>
      </c>
      <c r="T120" s="110">
        <f t="shared" si="81"/>
        <v>0</v>
      </c>
      <c r="U120" s="110">
        <f t="shared" si="81"/>
        <v>0</v>
      </c>
      <c r="V120" s="110">
        <f t="shared" si="81"/>
        <v>0</v>
      </c>
      <c r="W120" s="110">
        <f t="shared" si="81"/>
        <v>0</v>
      </c>
      <c r="X120" s="110">
        <f t="shared" si="81"/>
        <v>0</v>
      </c>
      <c r="Y120" s="110">
        <f t="shared" si="81"/>
        <v>0</v>
      </c>
      <c r="Z120" s="110">
        <f t="shared" si="81"/>
        <v>0</v>
      </c>
      <c r="AA120" s="110">
        <f t="shared" si="81"/>
        <v>0</v>
      </c>
      <c r="AB120" s="110">
        <f t="shared" si="81"/>
        <v>0</v>
      </c>
      <c r="AC120" s="110">
        <f t="shared" si="81"/>
        <v>0</v>
      </c>
      <c r="AD120" s="110">
        <f t="shared" si="81"/>
        <v>0</v>
      </c>
      <c r="AE120" s="110">
        <f t="shared" si="81"/>
        <v>0</v>
      </c>
      <c r="AF120" s="110">
        <f t="shared" si="81"/>
        <v>0</v>
      </c>
      <c r="AG120" s="110">
        <f t="shared" si="81"/>
        <v>0</v>
      </c>
      <c r="AI120" s="134"/>
      <c r="AJ120" s="211"/>
      <c r="BD120" s="203"/>
      <c r="BE120" s="203"/>
    </row>
    <row r="121" spans="1:63" outlineLevel="1">
      <c r="A121" t="s">
        <v>1344</v>
      </c>
      <c r="B121" s="54" t="s">
        <v>462</v>
      </c>
      <c r="C121" s="110">
        <f>C117*C119</f>
        <v>0</v>
      </c>
      <c r="D121" s="110">
        <f t="shared" ref="D121:AG121" si="82">D117*D119</f>
        <v>0</v>
      </c>
      <c r="E121" s="110">
        <f t="shared" si="82"/>
        <v>0</v>
      </c>
      <c r="F121" s="110">
        <f t="shared" si="82"/>
        <v>0</v>
      </c>
      <c r="G121" s="110">
        <f t="shared" si="82"/>
        <v>0</v>
      </c>
      <c r="H121" s="110">
        <f t="shared" si="82"/>
        <v>0</v>
      </c>
      <c r="I121" s="110">
        <f t="shared" si="82"/>
        <v>0</v>
      </c>
      <c r="J121" s="110">
        <f t="shared" si="82"/>
        <v>0</v>
      </c>
      <c r="K121" s="110">
        <f t="shared" si="82"/>
        <v>0</v>
      </c>
      <c r="L121" s="110">
        <f t="shared" si="82"/>
        <v>0</v>
      </c>
      <c r="M121" s="110">
        <f t="shared" si="82"/>
        <v>0</v>
      </c>
      <c r="N121" s="110">
        <f t="shared" si="82"/>
        <v>0</v>
      </c>
      <c r="O121" s="110">
        <f t="shared" si="82"/>
        <v>0</v>
      </c>
      <c r="P121" s="110">
        <f t="shared" si="82"/>
        <v>0</v>
      </c>
      <c r="Q121" s="110">
        <f t="shared" si="82"/>
        <v>0</v>
      </c>
      <c r="R121" s="110">
        <f t="shared" si="82"/>
        <v>0</v>
      </c>
      <c r="S121" s="110">
        <f t="shared" si="82"/>
        <v>0</v>
      </c>
      <c r="T121" s="110">
        <f t="shared" si="82"/>
        <v>0</v>
      </c>
      <c r="U121" s="110">
        <f t="shared" si="82"/>
        <v>0</v>
      </c>
      <c r="V121" s="110">
        <f t="shared" si="82"/>
        <v>0</v>
      </c>
      <c r="W121" s="110">
        <f t="shared" si="82"/>
        <v>0</v>
      </c>
      <c r="X121" s="110">
        <f t="shared" si="82"/>
        <v>0</v>
      </c>
      <c r="Y121" s="110">
        <f t="shared" si="82"/>
        <v>0</v>
      </c>
      <c r="Z121" s="110">
        <f t="shared" si="82"/>
        <v>0</v>
      </c>
      <c r="AA121" s="110">
        <f t="shared" si="82"/>
        <v>0</v>
      </c>
      <c r="AB121" s="110">
        <f t="shared" si="82"/>
        <v>0</v>
      </c>
      <c r="AC121" s="110">
        <f t="shared" si="82"/>
        <v>0</v>
      </c>
      <c r="AD121" s="110">
        <f t="shared" si="82"/>
        <v>0</v>
      </c>
      <c r="AE121" s="110">
        <f t="shared" si="82"/>
        <v>0</v>
      </c>
      <c r="AF121" s="110">
        <f t="shared" si="82"/>
        <v>0</v>
      </c>
      <c r="AG121" s="110">
        <f t="shared" si="82"/>
        <v>0</v>
      </c>
      <c r="AI121" s="134"/>
      <c r="AJ121" s="211"/>
      <c r="BD121" s="203"/>
      <c r="BE121" s="203"/>
    </row>
    <row r="122" spans="1:63" outlineLevel="1">
      <c r="C122" s="110"/>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J122" s="211"/>
    </row>
    <row r="123" spans="1:63" outlineLevel="1">
      <c r="A123" t="s">
        <v>1441</v>
      </c>
      <c r="B123" s="54" t="s">
        <v>462</v>
      </c>
      <c r="C123" s="106">
        <v>0.5</v>
      </c>
      <c r="D123" s="110">
        <f>C123</f>
        <v>0.5</v>
      </c>
      <c r="E123" s="110">
        <f t="shared" ref="E123:AG123" si="83">D123</f>
        <v>0.5</v>
      </c>
      <c r="F123" s="110">
        <f t="shared" si="83"/>
        <v>0.5</v>
      </c>
      <c r="G123" s="110">
        <f t="shared" si="83"/>
        <v>0.5</v>
      </c>
      <c r="H123" s="110">
        <f t="shared" si="83"/>
        <v>0.5</v>
      </c>
      <c r="I123" s="110">
        <f t="shared" si="83"/>
        <v>0.5</v>
      </c>
      <c r="J123" s="110">
        <f t="shared" si="83"/>
        <v>0.5</v>
      </c>
      <c r="K123" s="110">
        <f t="shared" si="83"/>
        <v>0.5</v>
      </c>
      <c r="L123" s="110">
        <f t="shared" si="83"/>
        <v>0.5</v>
      </c>
      <c r="M123" s="110">
        <f t="shared" si="83"/>
        <v>0.5</v>
      </c>
      <c r="N123" s="110">
        <f t="shared" si="83"/>
        <v>0.5</v>
      </c>
      <c r="O123" s="110">
        <f t="shared" si="83"/>
        <v>0.5</v>
      </c>
      <c r="P123" s="110">
        <f t="shared" si="83"/>
        <v>0.5</v>
      </c>
      <c r="Q123" s="110">
        <f t="shared" si="83"/>
        <v>0.5</v>
      </c>
      <c r="R123" s="110">
        <f t="shared" si="83"/>
        <v>0.5</v>
      </c>
      <c r="S123" s="110">
        <f t="shared" si="83"/>
        <v>0.5</v>
      </c>
      <c r="T123" s="110">
        <f t="shared" si="83"/>
        <v>0.5</v>
      </c>
      <c r="U123" s="110">
        <f t="shared" si="83"/>
        <v>0.5</v>
      </c>
      <c r="V123" s="110">
        <f t="shared" si="83"/>
        <v>0.5</v>
      </c>
      <c r="W123" s="110">
        <f t="shared" si="83"/>
        <v>0.5</v>
      </c>
      <c r="X123" s="110">
        <f t="shared" si="83"/>
        <v>0.5</v>
      </c>
      <c r="Y123" s="110">
        <f t="shared" si="83"/>
        <v>0.5</v>
      </c>
      <c r="Z123" s="110">
        <f t="shared" si="83"/>
        <v>0.5</v>
      </c>
      <c r="AA123" s="110">
        <f t="shared" si="83"/>
        <v>0.5</v>
      </c>
      <c r="AB123" s="110">
        <f t="shared" si="83"/>
        <v>0.5</v>
      </c>
      <c r="AC123" s="110">
        <f t="shared" si="83"/>
        <v>0.5</v>
      </c>
      <c r="AD123" s="110">
        <f t="shared" si="83"/>
        <v>0.5</v>
      </c>
      <c r="AE123" s="110">
        <f t="shared" si="83"/>
        <v>0.5</v>
      </c>
      <c r="AF123" s="110">
        <f t="shared" si="83"/>
        <v>0.5</v>
      </c>
      <c r="AG123" s="110">
        <f t="shared" si="83"/>
        <v>0.5</v>
      </c>
      <c r="AI123" s="54"/>
      <c r="AJ123" s="211" t="s">
        <v>1457</v>
      </c>
    </row>
    <row r="124" spans="1:63" outlineLevel="1">
      <c r="A124" t="s">
        <v>1445</v>
      </c>
      <c r="B124" s="54" t="s">
        <v>462</v>
      </c>
      <c r="C124" s="121">
        <f>1-C123</f>
        <v>0.5</v>
      </c>
      <c r="D124" s="110">
        <f t="shared" ref="D124:AG124" si="84">C124</f>
        <v>0.5</v>
      </c>
      <c r="E124" s="110">
        <f t="shared" si="84"/>
        <v>0.5</v>
      </c>
      <c r="F124" s="110">
        <f t="shared" si="84"/>
        <v>0.5</v>
      </c>
      <c r="G124" s="110">
        <f t="shared" si="84"/>
        <v>0.5</v>
      </c>
      <c r="H124" s="110">
        <f t="shared" si="84"/>
        <v>0.5</v>
      </c>
      <c r="I124" s="110">
        <f t="shared" si="84"/>
        <v>0.5</v>
      </c>
      <c r="J124" s="110">
        <f t="shared" si="84"/>
        <v>0.5</v>
      </c>
      <c r="K124" s="110">
        <f t="shared" si="84"/>
        <v>0.5</v>
      </c>
      <c r="L124" s="110">
        <f t="shared" si="84"/>
        <v>0.5</v>
      </c>
      <c r="M124" s="110">
        <f t="shared" si="84"/>
        <v>0.5</v>
      </c>
      <c r="N124" s="110">
        <f t="shared" si="84"/>
        <v>0.5</v>
      </c>
      <c r="O124" s="110">
        <f t="shared" si="84"/>
        <v>0.5</v>
      </c>
      <c r="P124" s="110">
        <f t="shared" si="84"/>
        <v>0.5</v>
      </c>
      <c r="Q124" s="110">
        <f t="shared" si="84"/>
        <v>0.5</v>
      </c>
      <c r="R124" s="110">
        <f t="shared" si="84"/>
        <v>0.5</v>
      </c>
      <c r="S124" s="110">
        <f t="shared" si="84"/>
        <v>0.5</v>
      </c>
      <c r="T124" s="110">
        <f t="shared" si="84"/>
        <v>0.5</v>
      </c>
      <c r="U124" s="110">
        <f t="shared" si="84"/>
        <v>0.5</v>
      </c>
      <c r="V124" s="110">
        <f t="shared" si="84"/>
        <v>0.5</v>
      </c>
      <c r="W124" s="110">
        <f t="shared" si="84"/>
        <v>0.5</v>
      </c>
      <c r="X124" s="110">
        <f t="shared" si="84"/>
        <v>0.5</v>
      </c>
      <c r="Y124" s="110">
        <f t="shared" si="84"/>
        <v>0.5</v>
      </c>
      <c r="Z124" s="110">
        <f t="shared" si="84"/>
        <v>0.5</v>
      </c>
      <c r="AA124" s="110">
        <f t="shared" si="84"/>
        <v>0.5</v>
      </c>
      <c r="AB124" s="110">
        <f t="shared" si="84"/>
        <v>0.5</v>
      </c>
      <c r="AC124" s="110">
        <f t="shared" si="84"/>
        <v>0.5</v>
      </c>
      <c r="AD124" s="110">
        <f t="shared" si="84"/>
        <v>0.5</v>
      </c>
      <c r="AE124" s="110">
        <f t="shared" si="84"/>
        <v>0.5</v>
      </c>
      <c r="AF124" s="110">
        <f t="shared" si="84"/>
        <v>0.5</v>
      </c>
      <c r="AG124" s="110">
        <f t="shared" si="84"/>
        <v>0.5</v>
      </c>
      <c r="AJ124" s="223"/>
    </row>
    <row r="125" spans="1:63" outlineLevel="1">
      <c r="A125" t="s">
        <v>1268</v>
      </c>
      <c r="B125" s="54" t="s">
        <v>462</v>
      </c>
      <c r="C125" s="110">
        <f t="shared" ref="C125:AG125" si="85">SUM(C123:C124)</f>
        <v>1</v>
      </c>
      <c r="D125" s="110">
        <f t="shared" si="85"/>
        <v>1</v>
      </c>
      <c r="E125" s="110">
        <f t="shared" si="85"/>
        <v>1</v>
      </c>
      <c r="F125" s="110">
        <f t="shared" si="85"/>
        <v>1</v>
      </c>
      <c r="G125" s="110">
        <f t="shared" si="85"/>
        <v>1</v>
      </c>
      <c r="H125" s="110">
        <f t="shared" si="85"/>
        <v>1</v>
      </c>
      <c r="I125" s="110">
        <f t="shared" si="85"/>
        <v>1</v>
      </c>
      <c r="J125" s="110">
        <f t="shared" si="85"/>
        <v>1</v>
      </c>
      <c r="K125" s="110">
        <f t="shared" si="85"/>
        <v>1</v>
      </c>
      <c r="L125" s="110">
        <f t="shared" si="85"/>
        <v>1</v>
      </c>
      <c r="M125" s="110">
        <f t="shared" si="85"/>
        <v>1</v>
      </c>
      <c r="N125" s="110">
        <f t="shared" si="85"/>
        <v>1</v>
      </c>
      <c r="O125" s="110">
        <f t="shared" si="85"/>
        <v>1</v>
      </c>
      <c r="P125" s="110">
        <f t="shared" si="85"/>
        <v>1</v>
      </c>
      <c r="Q125" s="110">
        <f t="shared" si="85"/>
        <v>1</v>
      </c>
      <c r="R125" s="110">
        <f t="shared" si="85"/>
        <v>1</v>
      </c>
      <c r="S125" s="110">
        <f t="shared" si="85"/>
        <v>1</v>
      </c>
      <c r="T125" s="110">
        <f t="shared" si="85"/>
        <v>1</v>
      </c>
      <c r="U125" s="110">
        <f t="shared" si="85"/>
        <v>1</v>
      </c>
      <c r="V125" s="110">
        <f t="shared" si="85"/>
        <v>1</v>
      </c>
      <c r="W125" s="110">
        <f t="shared" si="85"/>
        <v>1</v>
      </c>
      <c r="X125" s="110">
        <f t="shared" si="85"/>
        <v>1</v>
      </c>
      <c r="Y125" s="110">
        <f t="shared" si="85"/>
        <v>1</v>
      </c>
      <c r="Z125" s="110">
        <f t="shared" si="85"/>
        <v>1</v>
      </c>
      <c r="AA125" s="110">
        <f t="shared" si="85"/>
        <v>1</v>
      </c>
      <c r="AB125" s="110">
        <f t="shared" si="85"/>
        <v>1</v>
      </c>
      <c r="AC125" s="110">
        <f t="shared" si="85"/>
        <v>1</v>
      </c>
      <c r="AD125" s="110">
        <f t="shared" si="85"/>
        <v>1</v>
      </c>
      <c r="AE125" s="110">
        <f t="shared" si="85"/>
        <v>1</v>
      </c>
      <c r="AF125" s="110">
        <f t="shared" si="85"/>
        <v>1</v>
      </c>
      <c r="AG125" s="110">
        <f t="shared" si="85"/>
        <v>1</v>
      </c>
      <c r="AH125" s="131"/>
      <c r="AI125" s="54"/>
      <c r="AJ125" s="223"/>
    </row>
    <row r="126" spans="1:63" outlineLevel="1">
      <c r="C126" s="214"/>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31"/>
      <c r="AI126" s="131"/>
      <c r="AJ126" s="223"/>
    </row>
    <row r="127" spans="1:63" outlineLevel="1">
      <c r="A127" t="s">
        <v>1345</v>
      </c>
      <c r="B127" s="54" t="s">
        <v>462</v>
      </c>
      <c r="C127" s="110">
        <f>C123*C121</f>
        <v>0</v>
      </c>
      <c r="D127" s="110">
        <f t="shared" ref="D127:AG127" si="86">D123*D121</f>
        <v>0</v>
      </c>
      <c r="E127" s="110">
        <f t="shared" si="86"/>
        <v>0</v>
      </c>
      <c r="F127" s="110">
        <f t="shared" si="86"/>
        <v>0</v>
      </c>
      <c r="G127" s="110">
        <f t="shared" si="86"/>
        <v>0</v>
      </c>
      <c r="H127" s="110">
        <f t="shared" si="86"/>
        <v>0</v>
      </c>
      <c r="I127" s="110">
        <f t="shared" si="86"/>
        <v>0</v>
      </c>
      <c r="J127" s="110">
        <f t="shared" si="86"/>
        <v>0</v>
      </c>
      <c r="K127" s="110">
        <f t="shared" si="86"/>
        <v>0</v>
      </c>
      <c r="L127" s="110">
        <f t="shared" si="86"/>
        <v>0</v>
      </c>
      <c r="M127" s="110">
        <f t="shared" si="86"/>
        <v>0</v>
      </c>
      <c r="N127" s="110">
        <f t="shared" si="86"/>
        <v>0</v>
      </c>
      <c r="O127" s="110">
        <f t="shared" si="86"/>
        <v>0</v>
      </c>
      <c r="P127" s="110">
        <f t="shared" si="86"/>
        <v>0</v>
      </c>
      <c r="Q127" s="110">
        <f t="shared" si="86"/>
        <v>0</v>
      </c>
      <c r="R127" s="110">
        <f t="shared" si="86"/>
        <v>0</v>
      </c>
      <c r="S127" s="110">
        <f t="shared" si="86"/>
        <v>0</v>
      </c>
      <c r="T127" s="110">
        <f t="shared" si="86"/>
        <v>0</v>
      </c>
      <c r="U127" s="110">
        <f t="shared" si="86"/>
        <v>0</v>
      </c>
      <c r="V127" s="110">
        <f t="shared" si="86"/>
        <v>0</v>
      </c>
      <c r="W127" s="110">
        <f t="shared" si="86"/>
        <v>0</v>
      </c>
      <c r="X127" s="110">
        <f t="shared" si="86"/>
        <v>0</v>
      </c>
      <c r="Y127" s="110">
        <f t="shared" si="86"/>
        <v>0</v>
      </c>
      <c r="Z127" s="110">
        <f t="shared" si="86"/>
        <v>0</v>
      </c>
      <c r="AA127" s="110">
        <f t="shared" si="86"/>
        <v>0</v>
      </c>
      <c r="AB127" s="110">
        <f t="shared" si="86"/>
        <v>0</v>
      </c>
      <c r="AC127" s="110">
        <f t="shared" si="86"/>
        <v>0</v>
      </c>
      <c r="AD127" s="110">
        <f t="shared" si="86"/>
        <v>0</v>
      </c>
      <c r="AE127" s="110">
        <f t="shared" si="86"/>
        <v>0</v>
      </c>
      <c r="AF127" s="110">
        <f t="shared" si="86"/>
        <v>0</v>
      </c>
      <c r="AG127" s="110">
        <f t="shared" si="86"/>
        <v>0</v>
      </c>
      <c r="AH127" s="131"/>
      <c r="AI127" s="131"/>
      <c r="AJ127" s="211"/>
    </row>
    <row r="128" spans="1:63" outlineLevel="1">
      <c r="A128" t="s">
        <v>1346</v>
      </c>
      <c r="B128" s="54" t="s">
        <v>462</v>
      </c>
      <c r="C128" s="110">
        <f>C121*C124</f>
        <v>0</v>
      </c>
      <c r="D128" s="110">
        <f t="shared" ref="D128:AG128" si="87">D121*D124</f>
        <v>0</v>
      </c>
      <c r="E128" s="110">
        <f t="shared" si="87"/>
        <v>0</v>
      </c>
      <c r="F128" s="110">
        <f t="shared" si="87"/>
        <v>0</v>
      </c>
      <c r="G128" s="110">
        <f t="shared" si="87"/>
        <v>0</v>
      </c>
      <c r="H128" s="110">
        <f t="shared" si="87"/>
        <v>0</v>
      </c>
      <c r="I128" s="110">
        <f t="shared" si="87"/>
        <v>0</v>
      </c>
      <c r="J128" s="110">
        <f t="shared" si="87"/>
        <v>0</v>
      </c>
      <c r="K128" s="110">
        <f t="shared" si="87"/>
        <v>0</v>
      </c>
      <c r="L128" s="110">
        <f t="shared" si="87"/>
        <v>0</v>
      </c>
      <c r="M128" s="110">
        <f t="shared" si="87"/>
        <v>0</v>
      </c>
      <c r="N128" s="110">
        <f t="shared" si="87"/>
        <v>0</v>
      </c>
      <c r="O128" s="110">
        <f t="shared" si="87"/>
        <v>0</v>
      </c>
      <c r="P128" s="110">
        <f t="shared" si="87"/>
        <v>0</v>
      </c>
      <c r="Q128" s="110">
        <f t="shared" si="87"/>
        <v>0</v>
      </c>
      <c r="R128" s="110">
        <f t="shared" si="87"/>
        <v>0</v>
      </c>
      <c r="S128" s="110">
        <f t="shared" si="87"/>
        <v>0</v>
      </c>
      <c r="T128" s="110">
        <f t="shared" si="87"/>
        <v>0</v>
      </c>
      <c r="U128" s="110">
        <f t="shared" si="87"/>
        <v>0</v>
      </c>
      <c r="V128" s="110">
        <f t="shared" si="87"/>
        <v>0</v>
      </c>
      <c r="W128" s="110">
        <f t="shared" si="87"/>
        <v>0</v>
      </c>
      <c r="X128" s="110">
        <f t="shared" si="87"/>
        <v>0</v>
      </c>
      <c r="Y128" s="110">
        <f t="shared" si="87"/>
        <v>0</v>
      </c>
      <c r="Z128" s="110">
        <f t="shared" si="87"/>
        <v>0</v>
      </c>
      <c r="AA128" s="110">
        <f t="shared" si="87"/>
        <v>0</v>
      </c>
      <c r="AB128" s="110">
        <f t="shared" si="87"/>
        <v>0</v>
      </c>
      <c r="AC128" s="110">
        <f t="shared" si="87"/>
        <v>0</v>
      </c>
      <c r="AD128" s="110">
        <f t="shared" si="87"/>
        <v>0</v>
      </c>
      <c r="AE128" s="110">
        <f t="shared" si="87"/>
        <v>0</v>
      </c>
      <c r="AF128" s="110">
        <f t="shared" si="87"/>
        <v>0</v>
      </c>
      <c r="AG128" s="110">
        <f t="shared" si="87"/>
        <v>0</v>
      </c>
      <c r="AJ128" s="211"/>
    </row>
    <row r="129" spans="1:63" outlineLevel="1">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J129" s="211"/>
    </row>
    <row r="130" spans="1:63" outlineLevel="1">
      <c r="A130" t="s">
        <v>1676</v>
      </c>
      <c r="C130" s="230">
        <f>('Overall recycling rates'!F87*'Yearly BTX'!D5+'Overall recycling rates'!G87*'Yearly BTX'!D6+'Overall recycling rates'!H87*'Yearly BTX'!D7)/'Yearly BTX'!D4</f>
        <v>0.99999999999999989</v>
      </c>
      <c r="D130" s="230">
        <f>C130-($C130-$AG130)/($AG$1-$C$1)</f>
        <v>0.99999999999999989</v>
      </c>
      <c r="E130" s="230">
        <f t="shared" ref="E130:AF130" si="88">D130-($C130-$AG130)/($AG$1-$C$1)</f>
        <v>0.99999999999999989</v>
      </c>
      <c r="F130" s="230">
        <f t="shared" si="88"/>
        <v>0.99999999999999989</v>
      </c>
      <c r="G130" s="230">
        <f t="shared" si="88"/>
        <v>0.99999999999999989</v>
      </c>
      <c r="H130" s="230">
        <f t="shared" si="88"/>
        <v>0.99999999999999989</v>
      </c>
      <c r="I130" s="230">
        <f t="shared" si="88"/>
        <v>0.99999999999999989</v>
      </c>
      <c r="J130" s="230">
        <f t="shared" si="88"/>
        <v>0.99999999999999989</v>
      </c>
      <c r="K130" s="230">
        <f t="shared" si="88"/>
        <v>0.99999999999999989</v>
      </c>
      <c r="L130" s="230">
        <f t="shared" si="88"/>
        <v>0.99999999999999989</v>
      </c>
      <c r="M130" s="230">
        <f t="shared" si="88"/>
        <v>0.99999999999999989</v>
      </c>
      <c r="N130" s="230">
        <f t="shared" si="88"/>
        <v>0.99999999999999989</v>
      </c>
      <c r="O130" s="230">
        <f t="shared" si="88"/>
        <v>0.99999999999999989</v>
      </c>
      <c r="P130" s="230">
        <f t="shared" si="88"/>
        <v>0.99999999999999989</v>
      </c>
      <c r="Q130" s="230">
        <f t="shared" si="88"/>
        <v>0.99999999999999989</v>
      </c>
      <c r="R130" s="230">
        <f t="shared" si="88"/>
        <v>0.99999999999999989</v>
      </c>
      <c r="S130" s="230">
        <f t="shared" si="88"/>
        <v>0.99999999999999989</v>
      </c>
      <c r="T130" s="230">
        <f t="shared" si="88"/>
        <v>0.99999999999999989</v>
      </c>
      <c r="U130" s="230">
        <f t="shared" si="88"/>
        <v>0.99999999999999989</v>
      </c>
      <c r="V130" s="230">
        <f t="shared" si="88"/>
        <v>0.99999999999999989</v>
      </c>
      <c r="W130" s="230">
        <f t="shared" si="88"/>
        <v>0.99999999999999989</v>
      </c>
      <c r="X130" s="230">
        <f t="shared" si="88"/>
        <v>0.99999999999999989</v>
      </c>
      <c r="Y130" s="230">
        <f t="shared" si="88"/>
        <v>0.99999999999999989</v>
      </c>
      <c r="Z130" s="230">
        <f t="shared" si="88"/>
        <v>0.99999999999999989</v>
      </c>
      <c r="AA130" s="230">
        <f t="shared" si="88"/>
        <v>0.99999999999999989</v>
      </c>
      <c r="AB130" s="230">
        <f t="shared" si="88"/>
        <v>0.99999999999999989</v>
      </c>
      <c r="AC130" s="230">
        <f t="shared" si="88"/>
        <v>0.99999999999999989</v>
      </c>
      <c r="AD130" s="230">
        <f t="shared" si="88"/>
        <v>0.99999999999999989</v>
      </c>
      <c r="AE130" s="230">
        <f t="shared" si="88"/>
        <v>0.99999999999999989</v>
      </c>
      <c r="AF130" s="230">
        <f t="shared" si="88"/>
        <v>0.99999999999999989</v>
      </c>
      <c r="AG130" s="230">
        <f>'Overall recycling rates'!F96</f>
        <v>1</v>
      </c>
      <c r="AI130" s="133"/>
      <c r="AJ130" s="211" t="s">
        <v>1571</v>
      </c>
      <c r="AL130" s="108"/>
      <c r="AM130" s="207"/>
      <c r="AN130" s="207"/>
      <c r="AO130" s="207"/>
      <c r="BC130" s="1"/>
      <c r="BD130" s="207"/>
      <c r="BE130" s="207"/>
      <c r="BF130" s="207"/>
      <c r="BG130" s="207"/>
      <c r="BH130" s="207"/>
      <c r="BI130" s="207"/>
      <c r="BJ130" s="207"/>
      <c r="BK130" s="207"/>
    </row>
    <row r="131" spans="1:63" outlineLevel="1">
      <c r="A131" t="s">
        <v>1687</v>
      </c>
      <c r="B131" s="54" t="s">
        <v>462</v>
      </c>
      <c r="C131" s="110">
        <f>C120*C$130</f>
        <v>0</v>
      </c>
      <c r="D131" s="110">
        <f>D120*D$99</f>
        <v>0</v>
      </c>
      <c r="E131" s="110">
        <f t="shared" ref="E131:AG131" si="89">E120*E$99</f>
        <v>0</v>
      </c>
      <c r="F131" s="110">
        <f t="shared" si="89"/>
        <v>0</v>
      </c>
      <c r="G131" s="110">
        <f t="shared" si="89"/>
        <v>0</v>
      </c>
      <c r="H131" s="110">
        <f t="shared" si="89"/>
        <v>0</v>
      </c>
      <c r="I131" s="110">
        <f t="shared" si="89"/>
        <v>0</v>
      </c>
      <c r="J131" s="110">
        <f t="shared" si="89"/>
        <v>0</v>
      </c>
      <c r="K131" s="110">
        <f t="shared" si="89"/>
        <v>0</v>
      </c>
      <c r="L131" s="110">
        <f t="shared" si="89"/>
        <v>0</v>
      </c>
      <c r="M131" s="110">
        <f t="shared" si="89"/>
        <v>0</v>
      </c>
      <c r="N131" s="110">
        <f t="shared" si="89"/>
        <v>0</v>
      </c>
      <c r="O131" s="110">
        <f t="shared" si="89"/>
        <v>0</v>
      </c>
      <c r="P131" s="110">
        <f t="shared" si="89"/>
        <v>0</v>
      </c>
      <c r="Q131" s="110">
        <f t="shared" si="89"/>
        <v>0</v>
      </c>
      <c r="R131" s="110">
        <f t="shared" si="89"/>
        <v>0</v>
      </c>
      <c r="S131" s="110">
        <f t="shared" si="89"/>
        <v>0</v>
      </c>
      <c r="T131" s="110">
        <f t="shared" si="89"/>
        <v>0</v>
      </c>
      <c r="U131" s="110">
        <f t="shared" si="89"/>
        <v>0</v>
      </c>
      <c r="V131" s="110">
        <f t="shared" si="89"/>
        <v>0</v>
      </c>
      <c r="W131" s="110">
        <f t="shared" si="89"/>
        <v>0</v>
      </c>
      <c r="X131" s="110">
        <f t="shared" si="89"/>
        <v>0</v>
      </c>
      <c r="Y131" s="110">
        <f t="shared" si="89"/>
        <v>0</v>
      </c>
      <c r="Z131" s="110">
        <f t="shared" si="89"/>
        <v>0</v>
      </c>
      <c r="AA131" s="110">
        <f t="shared" si="89"/>
        <v>0</v>
      </c>
      <c r="AB131" s="110">
        <f t="shared" si="89"/>
        <v>0</v>
      </c>
      <c r="AC131" s="110">
        <f t="shared" si="89"/>
        <v>0</v>
      </c>
      <c r="AD131" s="110">
        <f t="shared" si="89"/>
        <v>0</v>
      </c>
      <c r="AE131" s="110">
        <f t="shared" si="89"/>
        <v>0</v>
      </c>
      <c r="AF131" s="110">
        <f t="shared" si="89"/>
        <v>0</v>
      </c>
      <c r="AG131" s="110">
        <f t="shared" si="89"/>
        <v>0</v>
      </c>
      <c r="AI131" s="133"/>
      <c r="AJ131"/>
      <c r="AL131" s="108"/>
      <c r="AM131" s="2"/>
      <c r="AN131" s="2"/>
      <c r="AO131" s="2"/>
      <c r="AV131" s="41"/>
    </row>
    <row r="132" spans="1:63" outlineLevel="1">
      <c r="A132" t="s">
        <v>1688</v>
      </c>
      <c r="B132" s="54" t="s">
        <v>462</v>
      </c>
      <c r="C132" s="110">
        <f>C121*C$130</f>
        <v>0</v>
      </c>
      <c r="D132" s="110">
        <f t="shared" ref="D132:AG132" si="90">D118*D$99</f>
        <v>0</v>
      </c>
      <c r="E132" s="110">
        <f t="shared" si="90"/>
        <v>0</v>
      </c>
      <c r="F132" s="110">
        <f t="shared" si="90"/>
        <v>0</v>
      </c>
      <c r="G132" s="110">
        <f t="shared" si="90"/>
        <v>0</v>
      </c>
      <c r="H132" s="110">
        <f t="shared" si="90"/>
        <v>0</v>
      </c>
      <c r="I132" s="110">
        <f t="shared" si="90"/>
        <v>0</v>
      </c>
      <c r="J132" s="110">
        <f t="shared" si="90"/>
        <v>0</v>
      </c>
      <c r="K132" s="110">
        <f t="shared" si="90"/>
        <v>0</v>
      </c>
      <c r="L132" s="110">
        <f t="shared" si="90"/>
        <v>0</v>
      </c>
      <c r="M132" s="110">
        <f t="shared" si="90"/>
        <v>0</v>
      </c>
      <c r="N132" s="110">
        <f t="shared" si="90"/>
        <v>0</v>
      </c>
      <c r="O132" s="110">
        <f t="shared" si="90"/>
        <v>0</v>
      </c>
      <c r="P132" s="110">
        <f t="shared" si="90"/>
        <v>0</v>
      </c>
      <c r="Q132" s="110">
        <f t="shared" si="90"/>
        <v>0</v>
      </c>
      <c r="R132" s="110">
        <f t="shared" si="90"/>
        <v>0</v>
      </c>
      <c r="S132" s="110">
        <f t="shared" si="90"/>
        <v>0</v>
      </c>
      <c r="T132" s="110">
        <f t="shared" si="90"/>
        <v>0</v>
      </c>
      <c r="U132" s="110">
        <f t="shared" si="90"/>
        <v>0</v>
      </c>
      <c r="V132" s="110">
        <f t="shared" si="90"/>
        <v>0</v>
      </c>
      <c r="W132" s="110">
        <f t="shared" si="90"/>
        <v>0</v>
      </c>
      <c r="X132" s="110">
        <f t="shared" si="90"/>
        <v>0</v>
      </c>
      <c r="Y132" s="110">
        <f t="shared" si="90"/>
        <v>0</v>
      </c>
      <c r="Z132" s="110">
        <f t="shared" si="90"/>
        <v>0</v>
      </c>
      <c r="AA132" s="110">
        <f t="shared" si="90"/>
        <v>0</v>
      </c>
      <c r="AB132" s="110">
        <f t="shared" si="90"/>
        <v>0</v>
      </c>
      <c r="AC132" s="110">
        <f t="shared" si="90"/>
        <v>0</v>
      </c>
      <c r="AD132" s="110">
        <f t="shared" si="90"/>
        <v>0</v>
      </c>
      <c r="AE132" s="110">
        <f t="shared" si="90"/>
        <v>0</v>
      </c>
      <c r="AF132" s="110">
        <f t="shared" si="90"/>
        <v>0</v>
      </c>
      <c r="AG132" s="110">
        <f t="shared" si="90"/>
        <v>0</v>
      </c>
      <c r="AH132" s="245"/>
      <c r="AI132" s="133"/>
      <c r="AJ132" s="211"/>
      <c r="AL132" s="108"/>
      <c r="AM132" s="2"/>
      <c r="AN132" s="2"/>
      <c r="AO132" s="2"/>
      <c r="AV132" s="41"/>
    </row>
    <row r="133" spans="1:63" outlineLevel="1">
      <c r="A133" t="s">
        <v>1689</v>
      </c>
      <c r="B133" s="176" t="s">
        <v>462</v>
      </c>
      <c r="C133" s="110">
        <f>SUM(C131:C132)</f>
        <v>0</v>
      </c>
      <c r="D133" s="110">
        <f t="shared" ref="D133:AG133" si="91">SUM(D131:D132)</f>
        <v>0</v>
      </c>
      <c r="E133" s="110">
        <f t="shared" si="91"/>
        <v>0</v>
      </c>
      <c r="F133" s="110">
        <f t="shared" si="91"/>
        <v>0</v>
      </c>
      <c r="G133" s="110">
        <f t="shared" si="91"/>
        <v>0</v>
      </c>
      <c r="H133" s="110">
        <f t="shared" si="91"/>
        <v>0</v>
      </c>
      <c r="I133" s="110">
        <f t="shared" si="91"/>
        <v>0</v>
      </c>
      <c r="J133" s="110">
        <f t="shared" si="91"/>
        <v>0</v>
      </c>
      <c r="K133" s="110">
        <f t="shared" si="91"/>
        <v>0</v>
      </c>
      <c r="L133" s="110">
        <f t="shared" si="91"/>
        <v>0</v>
      </c>
      <c r="M133" s="110">
        <f t="shared" si="91"/>
        <v>0</v>
      </c>
      <c r="N133" s="110">
        <f t="shared" si="91"/>
        <v>0</v>
      </c>
      <c r="O133" s="110">
        <f t="shared" si="91"/>
        <v>0</v>
      </c>
      <c r="P133" s="110">
        <f t="shared" si="91"/>
        <v>0</v>
      </c>
      <c r="Q133" s="110">
        <f t="shared" si="91"/>
        <v>0</v>
      </c>
      <c r="R133" s="110">
        <f t="shared" si="91"/>
        <v>0</v>
      </c>
      <c r="S133" s="110">
        <f t="shared" si="91"/>
        <v>0</v>
      </c>
      <c r="T133" s="110">
        <f t="shared" si="91"/>
        <v>0</v>
      </c>
      <c r="U133" s="110">
        <f t="shared" si="91"/>
        <v>0</v>
      </c>
      <c r="V133" s="110">
        <f t="shared" si="91"/>
        <v>0</v>
      </c>
      <c r="W133" s="110">
        <f t="shared" si="91"/>
        <v>0</v>
      </c>
      <c r="X133" s="110">
        <f t="shared" si="91"/>
        <v>0</v>
      </c>
      <c r="Y133" s="110">
        <f t="shared" si="91"/>
        <v>0</v>
      </c>
      <c r="Z133" s="110">
        <f t="shared" si="91"/>
        <v>0</v>
      </c>
      <c r="AA133" s="110">
        <f t="shared" si="91"/>
        <v>0</v>
      </c>
      <c r="AB133" s="110">
        <f t="shared" si="91"/>
        <v>0</v>
      </c>
      <c r="AC133" s="110">
        <f t="shared" si="91"/>
        <v>0</v>
      </c>
      <c r="AD133" s="110">
        <f t="shared" si="91"/>
        <v>0</v>
      </c>
      <c r="AE133" s="110">
        <f t="shared" si="91"/>
        <v>0</v>
      </c>
      <c r="AF133" s="110">
        <f t="shared" si="91"/>
        <v>0</v>
      </c>
      <c r="AG133" s="110">
        <f t="shared" si="91"/>
        <v>0</v>
      </c>
      <c r="AI133" s="133"/>
      <c r="AJ133" s="211"/>
      <c r="AL133" s="108"/>
      <c r="AM133" s="2"/>
      <c r="AN133" s="2"/>
      <c r="AO133" s="2"/>
    </row>
    <row r="134" spans="1:63" outlineLevel="1">
      <c r="A134" t="s">
        <v>1693</v>
      </c>
      <c r="B134" s="54" t="s">
        <v>462</v>
      </c>
      <c r="C134" s="110">
        <f>C123*C132</f>
        <v>0</v>
      </c>
      <c r="D134" s="110">
        <f t="shared" ref="D134:AG134" si="92">D120*D132</f>
        <v>0</v>
      </c>
      <c r="E134" s="110">
        <f t="shared" si="92"/>
        <v>0</v>
      </c>
      <c r="F134" s="110">
        <f t="shared" si="92"/>
        <v>0</v>
      </c>
      <c r="G134" s="110">
        <f t="shared" si="92"/>
        <v>0</v>
      </c>
      <c r="H134" s="110">
        <f t="shared" si="92"/>
        <v>0</v>
      </c>
      <c r="I134" s="110">
        <f t="shared" si="92"/>
        <v>0</v>
      </c>
      <c r="J134" s="110">
        <f t="shared" si="92"/>
        <v>0</v>
      </c>
      <c r="K134" s="110">
        <f t="shared" si="92"/>
        <v>0</v>
      </c>
      <c r="L134" s="110">
        <f t="shared" si="92"/>
        <v>0</v>
      </c>
      <c r="M134" s="110">
        <f t="shared" si="92"/>
        <v>0</v>
      </c>
      <c r="N134" s="110">
        <f t="shared" si="92"/>
        <v>0</v>
      </c>
      <c r="O134" s="110">
        <f t="shared" si="92"/>
        <v>0</v>
      </c>
      <c r="P134" s="110">
        <f t="shared" si="92"/>
        <v>0</v>
      </c>
      <c r="Q134" s="110">
        <f t="shared" si="92"/>
        <v>0</v>
      </c>
      <c r="R134" s="110">
        <f t="shared" si="92"/>
        <v>0</v>
      </c>
      <c r="S134" s="110">
        <f t="shared" si="92"/>
        <v>0</v>
      </c>
      <c r="T134" s="110">
        <f t="shared" si="92"/>
        <v>0</v>
      </c>
      <c r="U134" s="110">
        <f t="shared" si="92"/>
        <v>0</v>
      </c>
      <c r="V134" s="110">
        <f t="shared" si="92"/>
        <v>0</v>
      </c>
      <c r="W134" s="110">
        <f t="shared" si="92"/>
        <v>0</v>
      </c>
      <c r="X134" s="110">
        <f t="shared" si="92"/>
        <v>0</v>
      </c>
      <c r="Y134" s="110">
        <f t="shared" si="92"/>
        <v>0</v>
      </c>
      <c r="Z134" s="110">
        <f t="shared" si="92"/>
        <v>0</v>
      </c>
      <c r="AA134" s="110">
        <f t="shared" si="92"/>
        <v>0</v>
      </c>
      <c r="AB134" s="110">
        <f t="shared" si="92"/>
        <v>0</v>
      </c>
      <c r="AC134" s="110">
        <f t="shared" si="92"/>
        <v>0</v>
      </c>
      <c r="AD134" s="110">
        <f t="shared" si="92"/>
        <v>0</v>
      </c>
      <c r="AE134" s="110">
        <f t="shared" si="92"/>
        <v>0</v>
      </c>
      <c r="AF134" s="110">
        <f t="shared" si="92"/>
        <v>0</v>
      </c>
      <c r="AG134" s="110">
        <f t="shared" si="92"/>
        <v>0</v>
      </c>
      <c r="AI134" s="133"/>
      <c r="AJ134" s="211"/>
      <c r="BD134" s="203"/>
      <c r="BE134" s="203"/>
    </row>
    <row r="135" spans="1:63" outlineLevel="1">
      <c r="A135" t="s">
        <v>1694</v>
      </c>
      <c r="B135" s="54" t="s">
        <v>462</v>
      </c>
      <c r="C135" s="110">
        <f>C124*C132</f>
        <v>0</v>
      </c>
      <c r="D135" s="110">
        <f t="shared" ref="D135:AG135" si="93">D122*D132</f>
        <v>0</v>
      </c>
      <c r="E135" s="110">
        <f t="shared" si="93"/>
        <v>0</v>
      </c>
      <c r="F135" s="110">
        <f t="shared" si="93"/>
        <v>0</v>
      </c>
      <c r="G135" s="110">
        <f t="shared" si="93"/>
        <v>0</v>
      </c>
      <c r="H135" s="110">
        <f t="shared" si="93"/>
        <v>0</v>
      </c>
      <c r="I135" s="110">
        <f t="shared" si="93"/>
        <v>0</v>
      </c>
      <c r="J135" s="110">
        <f t="shared" si="93"/>
        <v>0</v>
      </c>
      <c r="K135" s="110">
        <f t="shared" si="93"/>
        <v>0</v>
      </c>
      <c r="L135" s="110">
        <f t="shared" si="93"/>
        <v>0</v>
      </c>
      <c r="M135" s="110">
        <f t="shared" si="93"/>
        <v>0</v>
      </c>
      <c r="N135" s="110">
        <f t="shared" si="93"/>
        <v>0</v>
      </c>
      <c r="O135" s="110">
        <f t="shared" si="93"/>
        <v>0</v>
      </c>
      <c r="P135" s="110">
        <f t="shared" si="93"/>
        <v>0</v>
      </c>
      <c r="Q135" s="110">
        <f t="shared" si="93"/>
        <v>0</v>
      </c>
      <c r="R135" s="110">
        <f t="shared" si="93"/>
        <v>0</v>
      </c>
      <c r="S135" s="110">
        <f t="shared" si="93"/>
        <v>0</v>
      </c>
      <c r="T135" s="110">
        <f t="shared" si="93"/>
        <v>0</v>
      </c>
      <c r="U135" s="110">
        <f t="shared" si="93"/>
        <v>0</v>
      </c>
      <c r="V135" s="110">
        <f t="shared" si="93"/>
        <v>0</v>
      </c>
      <c r="W135" s="110">
        <f t="shared" si="93"/>
        <v>0</v>
      </c>
      <c r="X135" s="110">
        <f t="shared" si="93"/>
        <v>0</v>
      </c>
      <c r="Y135" s="110">
        <f t="shared" si="93"/>
        <v>0</v>
      </c>
      <c r="Z135" s="110">
        <f t="shared" si="93"/>
        <v>0</v>
      </c>
      <c r="AA135" s="110">
        <f t="shared" si="93"/>
        <v>0</v>
      </c>
      <c r="AB135" s="110">
        <f t="shared" si="93"/>
        <v>0</v>
      </c>
      <c r="AC135" s="110">
        <f t="shared" si="93"/>
        <v>0</v>
      </c>
      <c r="AD135" s="110">
        <f t="shared" si="93"/>
        <v>0</v>
      </c>
      <c r="AE135" s="110">
        <f t="shared" si="93"/>
        <v>0</v>
      </c>
      <c r="AF135" s="110">
        <f t="shared" si="93"/>
        <v>0</v>
      </c>
      <c r="AG135" s="110">
        <f t="shared" si="93"/>
        <v>0</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 t="shared" ref="C137:AG137" si="94">C131*C45</f>
        <v>0</v>
      </c>
      <c r="D137" s="300">
        <f t="shared" si="94"/>
        <v>0</v>
      </c>
      <c r="E137" s="300">
        <f t="shared" si="94"/>
        <v>0</v>
      </c>
      <c r="F137" s="300">
        <f t="shared" si="94"/>
        <v>0</v>
      </c>
      <c r="G137" s="300">
        <f t="shared" si="94"/>
        <v>0</v>
      </c>
      <c r="H137" s="300">
        <f t="shared" si="94"/>
        <v>0</v>
      </c>
      <c r="I137" s="300">
        <f t="shared" si="94"/>
        <v>0</v>
      </c>
      <c r="J137" s="300">
        <f t="shared" si="94"/>
        <v>0</v>
      </c>
      <c r="K137" s="300">
        <f t="shared" si="94"/>
        <v>0</v>
      </c>
      <c r="L137" s="300">
        <f t="shared" si="94"/>
        <v>0</v>
      </c>
      <c r="M137" s="300">
        <f t="shared" si="94"/>
        <v>0</v>
      </c>
      <c r="N137" s="300">
        <f t="shared" si="94"/>
        <v>0</v>
      </c>
      <c r="O137" s="300">
        <f t="shared" si="94"/>
        <v>0</v>
      </c>
      <c r="P137" s="300">
        <f t="shared" si="94"/>
        <v>0</v>
      </c>
      <c r="Q137" s="300">
        <f t="shared" si="94"/>
        <v>0</v>
      </c>
      <c r="R137" s="300">
        <f t="shared" si="94"/>
        <v>0</v>
      </c>
      <c r="S137" s="300">
        <f t="shared" si="94"/>
        <v>0</v>
      </c>
      <c r="T137" s="300">
        <f t="shared" si="94"/>
        <v>0</v>
      </c>
      <c r="U137" s="300">
        <f t="shared" si="94"/>
        <v>0</v>
      </c>
      <c r="V137" s="300">
        <f t="shared" si="94"/>
        <v>0</v>
      </c>
      <c r="W137" s="300">
        <f t="shared" si="94"/>
        <v>0</v>
      </c>
      <c r="X137" s="300">
        <f t="shared" si="94"/>
        <v>0</v>
      </c>
      <c r="Y137" s="300">
        <f t="shared" si="94"/>
        <v>0</v>
      </c>
      <c r="Z137" s="300">
        <f t="shared" si="94"/>
        <v>0</v>
      </c>
      <c r="AA137" s="300">
        <f t="shared" si="94"/>
        <v>0</v>
      </c>
      <c r="AB137" s="300">
        <f t="shared" si="94"/>
        <v>0</v>
      </c>
      <c r="AC137" s="300">
        <f t="shared" si="94"/>
        <v>0</v>
      </c>
      <c r="AD137" s="300">
        <f t="shared" si="94"/>
        <v>0</v>
      </c>
      <c r="AE137" s="300">
        <f t="shared" si="94"/>
        <v>0</v>
      </c>
      <c r="AF137" s="300">
        <f t="shared" si="94"/>
        <v>0</v>
      </c>
      <c r="AG137" s="300">
        <f t="shared" si="94"/>
        <v>0</v>
      </c>
      <c r="AH137" s="245"/>
      <c r="AI137" s="423"/>
      <c r="AJ137" s="424"/>
      <c r="AL137" s="221"/>
      <c r="AM137" s="124"/>
      <c r="AN137" s="124"/>
      <c r="AO137" s="124"/>
      <c r="BD137" s="124"/>
      <c r="BE137" s="124"/>
      <c r="BF137" s="124"/>
      <c r="BG137" s="124"/>
      <c r="BH137" s="124"/>
      <c r="BI137" s="124"/>
      <c r="BJ137" s="124"/>
      <c r="BK137" s="124"/>
    </row>
    <row r="138" spans="1:63" s="1" customFormat="1" outlineLevel="1">
      <c r="A138" s="1" t="s">
        <v>1562</v>
      </c>
      <c r="B138" s="65"/>
      <c r="C138" s="300">
        <f t="shared" ref="C138:AG138" si="95">C137-$C137</f>
        <v>0</v>
      </c>
      <c r="D138" s="300">
        <f t="shared" si="95"/>
        <v>0</v>
      </c>
      <c r="E138" s="300">
        <f t="shared" si="95"/>
        <v>0</v>
      </c>
      <c r="F138" s="300">
        <f t="shared" si="95"/>
        <v>0</v>
      </c>
      <c r="G138" s="300">
        <f t="shared" si="95"/>
        <v>0</v>
      </c>
      <c r="H138" s="300">
        <f t="shared" si="95"/>
        <v>0</v>
      </c>
      <c r="I138" s="300">
        <f t="shared" si="95"/>
        <v>0</v>
      </c>
      <c r="J138" s="300">
        <f t="shared" si="95"/>
        <v>0</v>
      </c>
      <c r="K138" s="300">
        <f t="shared" si="95"/>
        <v>0</v>
      </c>
      <c r="L138" s="300">
        <f t="shared" si="95"/>
        <v>0</v>
      </c>
      <c r="M138" s="300">
        <f t="shared" si="95"/>
        <v>0</v>
      </c>
      <c r="N138" s="300">
        <f t="shared" si="95"/>
        <v>0</v>
      </c>
      <c r="O138" s="300">
        <f t="shared" si="95"/>
        <v>0</v>
      </c>
      <c r="P138" s="300">
        <f t="shared" si="95"/>
        <v>0</v>
      </c>
      <c r="Q138" s="300">
        <f t="shared" si="95"/>
        <v>0</v>
      </c>
      <c r="R138" s="300">
        <f t="shared" si="95"/>
        <v>0</v>
      </c>
      <c r="S138" s="300">
        <f t="shared" si="95"/>
        <v>0</v>
      </c>
      <c r="T138" s="300">
        <f t="shared" si="95"/>
        <v>0</v>
      </c>
      <c r="U138" s="300">
        <f t="shared" si="95"/>
        <v>0</v>
      </c>
      <c r="V138" s="300">
        <f t="shared" si="95"/>
        <v>0</v>
      </c>
      <c r="W138" s="300">
        <f t="shared" si="95"/>
        <v>0</v>
      </c>
      <c r="X138" s="300">
        <f t="shared" si="95"/>
        <v>0</v>
      </c>
      <c r="Y138" s="300">
        <f t="shared" si="95"/>
        <v>0</v>
      </c>
      <c r="Z138" s="300">
        <f t="shared" si="95"/>
        <v>0</v>
      </c>
      <c r="AA138" s="300">
        <f t="shared" si="95"/>
        <v>0</v>
      </c>
      <c r="AB138" s="300">
        <f t="shared" si="95"/>
        <v>0</v>
      </c>
      <c r="AC138" s="300">
        <f t="shared" si="95"/>
        <v>0</v>
      </c>
      <c r="AD138" s="300">
        <f t="shared" si="95"/>
        <v>0</v>
      </c>
      <c r="AE138" s="300">
        <f t="shared" si="95"/>
        <v>0</v>
      </c>
      <c r="AF138" s="300">
        <f t="shared" si="95"/>
        <v>0</v>
      </c>
      <c r="AG138" s="300">
        <f t="shared" si="95"/>
        <v>0</v>
      </c>
      <c r="AH138" s="245"/>
      <c r="AI138" s="423"/>
      <c r="AJ138" s="424"/>
      <c r="AL138" s="221"/>
      <c r="AM138" s="124"/>
      <c r="AN138" s="124"/>
      <c r="AO138" s="124"/>
      <c r="BD138" s="124"/>
      <c r="BE138" s="124"/>
      <c r="BF138" s="124"/>
      <c r="BG138" s="124"/>
      <c r="BH138" s="124"/>
      <c r="BI138" s="124"/>
      <c r="BJ138" s="124"/>
      <c r="BK138" s="124"/>
    </row>
    <row r="139" spans="1:63" s="1" customFormat="1" outlineLevel="1">
      <c r="A139" s="1" t="s">
        <v>1569</v>
      </c>
      <c r="B139" s="65"/>
      <c r="C139" s="300">
        <f t="shared" ref="C139:AG139" si="96">C131*C45</f>
        <v>0</v>
      </c>
      <c r="D139" s="300">
        <f t="shared" si="96"/>
        <v>0</v>
      </c>
      <c r="E139" s="300">
        <f t="shared" si="96"/>
        <v>0</v>
      </c>
      <c r="F139" s="300">
        <f t="shared" si="96"/>
        <v>0</v>
      </c>
      <c r="G139" s="300">
        <f t="shared" si="96"/>
        <v>0</v>
      </c>
      <c r="H139" s="300">
        <f t="shared" si="96"/>
        <v>0</v>
      </c>
      <c r="I139" s="300">
        <f t="shared" si="96"/>
        <v>0</v>
      </c>
      <c r="J139" s="300">
        <f t="shared" si="96"/>
        <v>0</v>
      </c>
      <c r="K139" s="300">
        <f t="shared" si="96"/>
        <v>0</v>
      </c>
      <c r="L139" s="300">
        <f t="shared" si="96"/>
        <v>0</v>
      </c>
      <c r="M139" s="300">
        <f t="shared" si="96"/>
        <v>0</v>
      </c>
      <c r="N139" s="300">
        <f t="shared" si="96"/>
        <v>0</v>
      </c>
      <c r="O139" s="300">
        <f t="shared" si="96"/>
        <v>0</v>
      </c>
      <c r="P139" s="300">
        <f t="shared" si="96"/>
        <v>0</v>
      </c>
      <c r="Q139" s="300">
        <f t="shared" si="96"/>
        <v>0</v>
      </c>
      <c r="R139" s="300">
        <f t="shared" si="96"/>
        <v>0</v>
      </c>
      <c r="S139" s="300">
        <f t="shared" si="96"/>
        <v>0</v>
      </c>
      <c r="T139" s="300">
        <f t="shared" si="96"/>
        <v>0</v>
      </c>
      <c r="U139" s="300">
        <f t="shared" si="96"/>
        <v>0</v>
      </c>
      <c r="V139" s="300">
        <f t="shared" si="96"/>
        <v>0</v>
      </c>
      <c r="W139" s="300">
        <f t="shared" si="96"/>
        <v>0</v>
      </c>
      <c r="X139" s="300">
        <f t="shared" si="96"/>
        <v>0</v>
      </c>
      <c r="Y139" s="300">
        <f t="shared" si="96"/>
        <v>0</v>
      </c>
      <c r="Z139" s="300">
        <f t="shared" si="96"/>
        <v>0</v>
      </c>
      <c r="AA139" s="300">
        <f t="shared" si="96"/>
        <v>0</v>
      </c>
      <c r="AB139" s="300">
        <f t="shared" si="96"/>
        <v>0</v>
      </c>
      <c r="AC139" s="300">
        <f t="shared" si="96"/>
        <v>0</v>
      </c>
      <c r="AD139" s="300">
        <f t="shared" si="96"/>
        <v>0</v>
      </c>
      <c r="AE139" s="300">
        <f t="shared" si="96"/>
        <v>0</v>
      </c>
      <c r="AF139" s="300">
        <f t="shared" si="96"/>
        <v>0</v>
      </c>
      <c r="AG139" s="300">
        <f t="shared" si="96"/>
        <v>0</v>
      </c>
      <c r="AH139" s="245"/>
      <c r="AI139" s="423"/>
      <c r="AJ139" s="424"/>
      <c r="AL139" s="221"/>
      <c r="AM139" s="124"/>
      <c r="AN139" s="124"/>
      <c r="AO139" s="124"/>
      <c r="BD139" s="124"/>
      <c r="BE139" s="124"/>
      <c r="BF139" s="124"/>
      <c r="BG139" s="124"/>
      <c r="BH139" s="124"/>
      <c r="BI139" s="124"/>
      <c r="BJ139" s="124"/>
      <c r="BK139" s="124"/>
    </row>
    <row r="140" spans="1:63" s="1" customFormat="1" outlineLevel="1">
      <c r="A140" s="1" t="s">
        <v>1570</v>
      </c>
      <c r="B140" s="65"/>
      <c r="C140" s="300">
        <f t="shared" ref="C140:AG140" si="97">C139-$C139</f>
        <v>0</v>
      </c>
      <c r="D140" s="300">
        <f t="shared" si="97"/>
        <v>0</v>
      </c>
      <c r="E140" s="300">
        <f t="shared" si="97"/>
        <v>0</v>
      </c>
      <c r="F140" s="300">
        <f t="shared" si="97"/>
        <v>0</v>
      </c>
      <c r="G140" s="300">
        <f t="shared" si="97"/>
        <v>0</v>
      </c>
      <c r="H140" s="300">
        <f t="shared" si="97"/>
        <v>0</v>
      </c>
      <c r="I140" s="300">
        <f t="shared" si="97"/>
        <v>0</v>
      </c>
      <c r="J140" s="300">
        <f t="shared" si="97"/>
        <v>0</v>
      </c>
      <c r="K140" s="300">
        <f t="shared" si="97"/>
        <v>0</v>
      </c>
      <c r="L140" s="300">
        <f t="shared" si="97"/>
        <v>0</v>
      </c>
      <c r="M140" s="300">
        <f t="shared" si="97"/>
        <v>0</v>
      </c>
      <c r="N140" s="300">
        <f t="shared" si="97"/>
        <v>0</v>
      </c>
      <c r="O140" s="300">
        <f t="shared" si="97"/>
        <v>0</v>
      </c>
      <c r="P140" s="300">
        <f t="shared" si="97"/>
        <v>0</v>
      </c>
      <c r="Q140" s="300">
        <f t="shared" si="97"/>
        <v>0</v>
      </c>
      <c r="R140" s="300">
        <f t="shared" si="97"/>
        <v>0</v>
      </c>
      <c r="S140" s="300">
        <f t="shared" si="97"/>
        <v>0</v>
      </c>
      <c r="T140" s="300">
        <f t="shared" si="97"/>
        <v>0</v>
      </c>
      <c r="U140" s="300">
        <f t="shared" si="97"/>
        <v>0</v>
      </c>
      <c r="V140" s="300">
        <f t="shared" si="97"/>
        <v>0</v>
      </c>
      <c r="W140" s="300">
        <f t="shared" si="97"/>
        <v>0</v>
      </c>
      <c r="X140" s="300">
        <f t="shared" si="97"/>
        <v>0</v>
      </c>
      <c r="Y140" s="300">
        <f t="shared" si="97"/>
        <v>0</v>
      </c>
      <c r="Z140" s="300">
        <f t="shared" si="97"/>
        <v>0</v>
      </c>
      <c r="AA140" s="300">
        <f t="shared" si="97"/>
        <v>0</v>
      </c>
      <c r="AB140" s="300">
        <f t="shared" si="97"/>
        <v>0</v>
      </c>
      <c r="AC140" s="300">
        <f t="shared" si="97"/>
        <v>0</v>
      </c>
      <c r="AD140" s="300">
        <f t="shared" si="97"/>
        <v>0</v>
      </c>
      <c r="AE140" s="300">
        <f t="shared" si="97"/>
        <v>0</v>
      </c>
      <c r="AF140" s="300">
        <f t="shared" si="97"/>
        <v>0</v>
      </c>
      <c r="AG140" s="300">
        <f t="shared" si="97"/>
        <v>0</v>
      </c>
      <c r="AH140" s="245"/>
      <c r="AI140" s="423"/>
      <c r="AJ140" s="424"/>
      <c r="AL140" s="221"/>
      <c r="AM140" s="124"/>
      <c r="AN140" s="124"/>
      <c r="AO140" s="124"/>
      <c r="BD140" s="124"/>
      <c r="BE140" s="124"/>
      <c r="BF140" s="124"/>
      <c r="BG140" s="124"/>
      <c r="BH140" s="124"/>
      <c r="BI140" s="124"/>
      <c r="BJ140" s="124"/>
      <c r="BK140" s="124"/>
    </row>
    <row r="141" spans="1:63" s="1" customFormat="1" outlineLevel="1">
      <c r="A141" s="1" t="s">
        <v>1637</v>
      </c>
      <c r="B141" s="65"/>
      <c r="C141" s="300">
        <f t="shared" ref="C141:AG141" si="98">C131*C45</f>
        <v>0</v>
      </c>
      <c r="D141" s="300">
        <f t="shared" si="98"/>
        <v>0</v>
      </c>
      <c r="E141" s="300">
        <f t="shared" si="98"/>
        <v>0</v>
      </c>
      <c r="F141" s="300">
        <f t="shared" si="98"/>
        <v>0</v>
      </c>
      <c r="G141" s="300">
        <f t="shared" si="98"/>
        <v>0</v>
      </c>
      <c r="H141" s="300">
        <f t="shared" si="98"/>
        <v>0</v>
      </c>
      <c r="I141" s="300">
        <f t="shared" si="98"/>
        <v>0</v>
      </c>
      <c r="J141" s="300">
        <f t="shared" si="98"/>
        <v>0</v>
      </c>
      <c r="K141" s="300">
        <f t="shared" si="98"/>
        <v>0</v>
      </c>
      <c r="L141" s="300">
        <f t="shared" si="98"/>
        <v>0</v>
      </c>
      <c r="M141" s="300">
        <f t="shared" si="98"/>
        <v>0</v>
      </c>
      <c r="N141" s="300">
        <f t="shared" si="98"/>
        <v>0</v>
      </c>
      <c r="O141" s="300">
        <f t="shared" si="98"/>
        <v>0</v>
      </c>
      <c r="P141" s="300">
        <f t="shared" si="98"/>
        <v>0</v>
      </c>
      <c r="Q141" s="300">
        <f t="shared" si="98"/>
        <v>0</v>
      </c>
      <c r="R141" s="300">
        <f t="shared" si="98"/>
        <v>0</v>
      </c>
      <c r="S141" s="300">
        <f t="shared" si="98"/>
        <v>0</v>
      </c>
      <c r="T141" s="300">
        <f t="shared" si="98"/>
        <v>0</v>
      </c>
      <c r="U141" s="300">
        <f t="shared" si="98"/>
        <v>0</v>
      </c>
      <c r="V141" s="300">
        <f t="shared" si="98"/>
        <v>0</v>
      </c>
      <c r="W141" s="300">
        <f t="shared" si="98"/>
        <v>0</v>
      </c>
      <c r="X141" s="300">
        <f t="shared" si="98"/>
        <v>0</v>
      </c>
      <c r="Y141" s="300">
        <f t="shared" si="98"/>
        <v>0</v>
      </c>
      <c r="Z141" s="300">
        <f t="shared" si="98"/>
        <v>0</v>
      </c>
      <c r="AA141" s="300">
        <f t="shared" si="98"/>
        <v>0</v>
      </c>
      <c r="AB141" s="300">
        <f t="shared" si="98"/>
        <v>0</v>
      </c>
      <c r="AC141" s="300">
        <f t="shared" si="98"/>
        <v>0</v>
      </c>
      <c r="AD141" s="300">
        <f t="shared" si="98"/>
        <v>0</v>
      </c>
      <c r="AE141" s="300">
        <f t="shared" si="98"/>
        <v>0</v>
      </c>
      <c r="AF141" s="300">
        <f t="shared" si="98"/>
        <v>0</v>
      </c>
      <c r="AG141" s="300">
        <f t="shared" si="98"/>
        <v>0</v>
      </c>
      <c r="AH141" s="245"/>
      <c r="AI141" s="423"/>
      <c r="AJ141" s="424"/>
      <c r="AL141" s="221"/>
      <c r="AM141" s="124"/>
      <c r="AN141" s="124"/>
      <c r="AO141" s="124"/>
      <c r="BD141" s="124"/>
      <c r="BE141" s="124"/>
      <c r="BF141" s="124"/>
      <c r="BG141" s="124"/>
      <c r="BH141" s="124"/>
      <c r="BI141" s="124"/>
      <c r="BJ141" s="124"/>
      <c r="BK141" s="124"/>
    </row>
    <row r="142" spans="1:63" s="1" customFormat="1" outlineLevel="1">
      <c r="A142" s="1" t="s">
        <v>1638</v>
      </c>
      <c r="B142" s="65"/>
      <c r="C142" s="300">
        <f t="shared" ref="C142:AG142" si="99">C141-$C141</f>
        <v>0</v>
      </c>
      <c r="D142" s="300">
        <f t="shared" si="99"/>
        <v>0</v>
      </c>
      <c r="E142" s="300">
        <f t="shared" si="99"/>
        <v>0</v>
      </c>
      <c r="F142" s="300">
        <f t="shared" si="99"/>
        <v>0</v>
      </c>
      <c r="G142" s="300">
        <f t="shared" si="99"/>
        <v>0</v>
      </c>
      <c r="H142" s="300">
        <f t="shared" si="99"/>
        <v>0</v>
      </c>
      <c r="I142" s="300">
        <f t="shared" si="99"/>
        <v>0</v>
      </c>
      <c r="J142" s="300">
        <f t="shared" si="99"/>
        <v>0</v>
      </c>
      <c r="K142" s="300">
        <f t="shared" si="99"/>
        <v>0</v>
      </c>
      <c r="L142" s="300">
        <f t="shared" si="99"/>
        <v>0</v>
      </c>
      <c r="M142" s="300">
        <f t="shared" si="99"/>
        <v>0</v>
      </c>
      <c r="N142" s="300">
        <f t="shared" si="99"/>
        <v>0</v>
      </c>
      <c r="O142" s="300">
        <f t="shared" si="99"/>
        <v>0</v>
      </c>
      <c r="P142" s="300">
        <f t="shared" si="99"/>
        <v>0</v>
      </c>
      <c r="Q142" s="300">
        <f t="shared" si="99"/>
        <v>0</v>
      </c>
      <c r="R142" s="300">
        <f t="shared" si="99"/>
        <v>0</v>
      </c>
      <c r="S142" s="300">
        <f t="shared" si="99"/>
        <v>0</v>
      </c>
      <c r="T142" s="300">
        <f t="shared" si="99"/>
        <v>0</v>
      </c>
      <c r="U142" s="300">
        <f t="shared" si="99"/>
        <v>0</v>
      </c>
      <c r="V142" s="300">
        <f t="shared" si="99"/>
        <v>0</v>
      </c>
      <c r="W142" s="300">
        <f t="shared" si="99"/>
        <v>0</v>
      </c>
      <c r="X142" s="300">
        <f t="shared" si="99"/>
        <v>0</v>
      </c>
      <c r="Y142" s="300">
        <f t="shared" si="99"/>
        <v>0</v>
      </c>
      <c r="Z142" s="300">
        <f t="shared" si="99"/>
        <v>0</v>
      </c>
      <c r="AA142" s="300">
        <f t="shared" si="99"/>
        <v>0</v>
      </c>
      <c r="AB142" s="300">
        <f t="shared" si="99"/>
        <v>0</v>
      </c>
      <c r="AC142" s="300">
        <f t="shared" si="99"/>
        <v>0</v>
      </c>
      <c r="AD142" s="300">
        <f t="shared" si="99"/>
        <v>0</v>
      </c>
      <c r="AE142" s="300">
        <f t="shared" si="99"/>
        <v>0</v>
      </c>
      <c r="AF142" s="300">
        <f t="shared" si="99"/>
        <v>0</v>
      </c>
      <c r="AG142" s="300">
        <f t="shared" si="99"/>
        <v>0</v>
      </c>
      <c r="AH142" s="245"/>
      <c r="AI142" s="423"/>
      <c r="AJ142" s="424"/>
      <c r="AL142" s="221"/>
      <c r="AM142" s="124"/>
      <c r="AN142" s="124"/>
      <c r="AO142" s="124"/>
      <c r="BD142" s="124"/>
      <c r="BE142" s="124"/>
      <c r="BF142" s="124"/>
      <c r="BG142" s="124"/>
      <c r="BH142" s="124"/>
      <c r="BI142" s="124"/>
      <c r="BJ142" s="124"/>
      <c r="BK142" s="124"/>
    </row>
    <row r="143" spans="1:63" outlineLevel="1">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J143" s="211"/>
    </row>
    <row r="144" spans="1:63" s="200" customFormat="1" ht="16" thickBot="1">
      <c r="A144" s="200" t="s">
        <v>1347</v>
      </c>
      <c r="B144" s="215"/>
      <c r="C144" s="224">
        <f>C145</f>
        <v>0</v>
      </c>
      <c r="D144" s="224">
        <f t="shared" ref="D144:AG144" si="100">D145</f>
        <v>9.9999999999999985E-3</v>
      </c>
      <c r="E144" s="224">
        <f t="shared" si="100"/>
        <v>1.9999999999999997E-2</v>
      </c>
      <c r="F144" s="224">
        <f t="shared" si="100"/>
        <v>2.9999999999999995E-2</v>
      </c>
      <c r="G144" s="224">
        <f t="shared" si="100"/>
        <v>3.9999999999999994E-2</v>
      </c>
      <c r="H144" s="224">
        <f t="shared" si="100"/>
        <v>4.9999999999999989E-2</v>
      </c>
      <c r="I144" s="224">
        <f t="shared" si="100"/>
        <v>5.9999999999999991E-2</v>
      </c>
      <c r="J144" s="224">
        <f t="shared" si="100"/>
        <v>6.9999999999999993E-2</v>
      </c>
      <c r="K144" s="224">
        <f t="shared" si="100"/>
        <v>7.9999999999999988E-2</v>
      </c>
      <c r="L144" s="224">
        <f t="shared" si="100"/>
        <v>8.9999999999999983E-2</v>
      </c>
      <c r="M144" s="224">
        <f t="shared" si="100"/>
        <v>9.9999999999999992E-2</v>
      </c>
      <c r="N144" s="224">
        <f t="shared" si="100"/>
        <v>0.10999999999999999</v>
      </c>
      <c r="O144" s="224">
        <f t="shared" si="100"/>
        <v>0.12</v>
      </c>
      <c r="P144" s="224">
        <f t="shared" si="100"/>
        <v>0.12999999999999998</v>
      </c>
      <c r="Q144" s="224">
        <f t="shared" si="100"/>
        <v>0.13999999999999999</v>
      </c>
      <c r="R144" s="224">
        <f t="shared" si="100"/>
        <v>0.14999999999999997</v>
      </c>
      <c r="S144" s="224">
        <f t="shared" si="100"/>
        <v>0.15999999999999998</v>
      </c>
      <c r="T144" s="224">
        <f t="shared" si="100"/>
        <v>0.16999999999999998</v>
      </c>
      <c r="U144" s="224">
        <f t="shared" si="100"/>
        <v>0.18</v>
      </c>
      <c r="V144" s="224">
        <f t="shared" si="100"/>
        <v>0.18999999999999997</v>
      </c>
      <c r="W144" s="224">
        <f t="shared" si="100"/>
        <v>0.19999999999999998</v>
      </c>
      <c r="X144" s="224">
        <f t="shared" si="100"/>
        <v>0.21</v>
      </c>
      <c r="Y144" s="224">
        <f t="shared" si="100"/>
        <v>0.21999999999999997</v>
      </c>
      <c r="Z144" s="224">
        <f t="shared" si="100"/>
        <v>0.22999999999999998</v>
      </c>
      <c r="AA144" s="224">
        <f t="shared" si="100"/>
        <v>0.24</v>
      </c>
      <c r="AB144" s="224">
        <f t="shared" si="100"/>
        <v>0.25</v>
      </c>
      <c r="AC144" s="224">
        <f t="shared" si="100"/>
        <v>0.26</v>
      </c>
      <c r="AD144" s="224">
        <f t="shared" si="100"/>
        <v>0.27</v>
      </c>
      <c r="AE144" s="224">
        <f t="shared" si="100"/>
        <v>0.27999999999999997</v>
      </c>
      <c r="AF144" s="224">
        <f t="shared" si="100"/>
        <v>0.28999999999999998</v>
      </c>
      <c r="AG144" s="224">
        <f t="shared" si="100"/>
        <v>0.3</v>
      </c>
      <c r="AJ144" s="231" t="s">
        <v>1312</v>
      </c>
      <c r="AL144" s="217"/>
      <c r="AM144" s="225"/>
      <c r="AN144" s="225"/>
      <c r="AO144" s="225"/>
    </row>
    <row r="145" spans="1:63" ht="16" outlineLevel="1" thickTop="1">
      <c r="A145" t="s">
        <v>1348</v>
      </c>
      <c r="B145" s="54" t="s">
        <v>462</v>
      </c>
      <c r="C145" s="113">
        <v>0</v>
      </c>
      <c r="D145" s="110">
        <f>$C145+($M145-$C145)/10*(D$1-$C$1)</f>
        <v>9.9999999999999985E-3</v>
      </c>
      <c r="E145" s="110">
        <f t="shared" ref="E145:L145" si="101">$C145+($M145-$C145)/10*(E$1-$C$1)</f>
        <v>1.9999999999999997E-2</v>
      </c>
      <c r="F145" s="110">
        <f t="shared" si="101"/>
        <v>2.9999999999999995E-2</v>
      </c>
      <c r="G145" s="110">
        <f t="shared" si="101"/>
        <v>3.9999999999999994E-2</v>
      </c>
      <c r="H145" s="110">
        <f t="shared" si="101"/>
        <v>4.9999999999999989E-2</v>
      </c>
      <c r="I145" s="110">
        <f t="shared" si="101"/>
        <v>5.9999999999999991E-2</v>
      </c>
      <c r="J145" s="110">
        <f t="shared" si="101"/>
        <v>6.9999999999999993E-2</v>
      </c>
      <c r="K145" s="110">
        <f t="shared" si="101"/>
        <v>7.9999999999999988E-2</v>
      </c>
      <c r="L145" s="110">
        <f t="shared" si="101"/>
        <v>8.9999999999999983E-2</v>
      </c>
      <c r="M145" s="121">
        <f>C145+(AG145-C145)/3</f>
        <v>9.9999999999999992E-2</v>
      </c>
      <c r="N145" s="121">
        <f>$M145+($W145-$M145)/10*(N$1-$M$1)</f>
        <v>0.10999999999999999</v>
      </c>
      <c r="O145" s="121">
        <f t="shared" ref="O145:U145" si="102">$M145+($W145-$M145)/10*(O$1-$M$1)</f>
        <v>0.12</v>
      </c>
      <c r="P145" s="121">
        <f t="shared" si="102"/>
        <v>0.12999999999999998</v>
      </c>
      <c r="Q145" s="121">
        <f t="shared" si="102"/>
        <v>0.13999999999999999</v>
      </c>
      <c r="R145" s="121">
        <f t="shared" si="102"/>
        <v>0.14999999999999997</v>
      </c>
      <c r="S145" s="121">
        <f t="shared" si="102"/>
        <v>0.15999999999999998</v>
      </c>
      <c r="T145" s="121">
        <f t="shared" si="102"/>
        <v>0.16999999999999998</v>
      </c>
      <c r="U145" s="121">
        <f t="shared" si="102"/>
        <v>0.18</v>
      </c>
      <c r="V145" s="121">
        <f>$M145+($W145-$M145)/10*(V$1-$M$1)</f>
        <v>0.18999999999999997</v>
      </c>
      <c r="W145" s="121">
        <f>C145+(AG145-C145)*2/3</f>
        <v>0.19999999999999998</v>
      </c>
      <c r="X145" s="23">
        <f t="shared" ref="X145:AF145" si="103">$W145+($AG145-$W145)/10*(X$1-$W$1)</f>
        <v>0.21</v>
      </c>
      <c r="Y145" s="23">
        <f t="shared" si="103"/>
        <v>0.21999999999999997</v>
      </c>
      <c r="Z145" s="23">
        <f t="shared" si="103"/>
        <v>0.22999999999999998</v>
      </c>
      <c r="AA145" s="23">
        <f t="shared" si="103"/>
        <v>0.24</v>
      </c>
      <c r="AB145" s="23">
        <f t="shared" si="103"/>
        <v>0.25</v>
      </c>
      <c r="AC145" s="23">
        <f t="shared" si="103"/>
        <v>0.26</v>
      </c>
      <c r="AD145" s="23">
        <f t="shared" si="103"/>
        <v>0.27</v>
      </c>
      <c r="AE145" s="23">
        <f t="shared" si="103"/>
        <v>0.27999999999999997</v>
      </c>
      <c r="AF145" s="23">
        <f t="shared" si="103"/>
        <v>0.28999999999999998</v>
      </c>
      <c r="AG145" s="106">
        <v>0.3</v>
      </c>
      <c r="AJ145" s="211" t="s">
        <v>1217</v>
      </c>
    </row>
    <row r="146" spans="1:63" outlineLevel="1">
      <c r="C146" s="113"/>
      <c r="D146" s="110"/>
      <c r="E146" s="110"/>
      <c r="F146" s="110"/>
      <c r="G146" s="110"/>
      <c r="H146" s="110"/>
      <c r="I146" s="110"/>
      <c r="J146" s="110"/>
      <c r="K146" s="110"/>
      <c r="L146" s="110"/>
      <c r="M146" s="121"/>
      <c r="N146" s="121"/>
      <c r="O146" s="121"/>
      <c r="P146" s="121"/>
      <c r="Q146" s="121"/>
      <c r="R146" s="121"/>
      <c r="S146" s="121"/>
      <c r="T146" s="121"/>
      <c r="U146" s="121"/>
      <c r="V146" s="121"/>
      <c r="W146" s="121"/>
      <c r="X146" s="23"/>
      <c r="Y146" s="23"/>
      <c r="Z146" s="23"/>
      <c r="AA146" s="23"/>
      <c r="AB146" s="23"/>
      <c r="AC146" s="23"/>
      <c r="AD146" s="23"/>
      <c r="AE146" s="23"/>
      <c r="AF146" s="23"/>
      <c r="AG146" s="106"/>
      <c r="AJ146" s="211"/>
    </row>
    <row r="147" spans="1:63" outlineLevel="1">
      <c r="A147" t="s">
        <v>1676</v>
      </c>
      <c r="C147" s="504">
        <v>1</v>
      </c>
      <c r="D147" s="504">
        <f>C147-($C147-$AG147)/($AG$1-$C$1)</f>
        <v>1</v>
      </c>
      <c r="E147" s="504">
        <f t="shared" ref="E147:AF147" si="104">D147-($C147-$AG147)/($AG$1-$C$1)</f>
        <v>1</v>
      </c>
      <c r="F147" s="504">
        <f t="shared" si="104"/>
        <v>1</v>
      </c>
      <c r="G147" s="504">
        <f t="shared" si="104"/>
        <v>1</v>
      </c>
      <c r="H147" s="504">
        <f t="shared" si="104"/>
        <v>1</v>
      </c>
      <c r="I147" s="504">
        <f t="shared" si="104"/>
        <v>1</v>
      </c>
      <c r="J147" s="504">
        <f t="shared" si="104"/>
        <v>1</v>
      </c>
      <c r="K147" s="504">
        <f t="shared" si="104"/>
        <v>1</v>
      </c>
      <c r="L147" s="504">
        <f t="shared" si="104"/>
        <v>1</v>
      </c>
      <c r="M147" s="504">
        <f t="shared" si="104"/>
        <v>1</v>
      </c>
      <c r="N147" s="504">
        <f t="shared" si="104"/>
        <v>1</v>
      </c>
      <c r="O147" s="504">
        <f t="shared" si="104"/>
        <v>1</v>
      </c>
      <c r="P147" s="504">
        <f t="shared" si="104"/>
        <v>1</v>
      </c>
      <c r="Q147" s="504">
        <f t="shared" si="104"/>
        <v>1</v>
      </c>
      <c r="R147" s="504">
        <f t="shared" si="104"/>
        <v>1</v>
      </c>
      <c r="S147" s="504">
        <f t="shared" si="104"/>
        <v>1</v>
      </c>
      <c r="T147" s="504">
        <f t="shared" si="104"/>
        <v>1</v>
      </c>
      <c r="U147" s="504">
        <f t="shared" si="104"/>
        <v>1</v>
      </c>
      <c r="V147" s="504">
        <f t="shared" si="104"/>
        <v>1</v>
      </c>
      <c r="W147" s="504">
        <f t="shared" si="104"/>
        <v>1</v>
      </c>
      <c r="X147" s="504">
        <f t="shared" si="104"/>
        <v>1</v>
      </c>
      <c r="Y147" s="504">
        <f t="shared" si="104"/>
        <v>1</v>
      </c>
      <c r="Z147" s="504">
        <f t="shared" si="104"/>
        <v>1</v>
      </c>
      <c r="AA147" s="504">
        <f t="shared" si="104"/>
        <v>1</v>
      </c>
      <c r="AB147" s="504">
        <f t="shared" si="104"/>
        <v>1</v>
      </c>
      <c r="AC147" s="504">
        <f t="shared" si="104"/>
        <v>1</v>
      </c>
      <c r="AD147" s="504">
        <f t="shared" si="104"/>
        <v>1</v>
      </c>
      <c r="AE147" s="504">
        <f t="shared" si="104"/>
        <v>1</v>
      </c>
      <c r="AF147" s="504">
        <f t="shared" si="104"/>
        <v>1</v>
      </c>
      <c r="AG147" s="504">
        <v>1</v>
      </c>
      <c r="AI147" s="133"/>
      <c r="AJ147" s="211"/>
      <c r="AL147" s="108"/>
      <c r="AM147" s="207"/>
      <c r="AN147" s="207"/>
      <c r="AO147" s="207"/>
      <c r="BC147" s="1"/>
      <c r="BD147" s="207"/>
      <c r="BE147" s="207"/>
      <c r="BF147" s="207"/>
      <c r="BG147" s="207"/>
      <c r="BH147" s="207"/>
      <c r="BI147" s="207"/>
      <c r="BJ147" s="207"/>
      <c r="BK147" s="207"/>
    </row>
    <row r="148" spans="1:63" outlineLevel="1">
      <c r="A148" t="s">
        <v>1695</v>
      </c>
      <c r="B148" s="54" t="s">
        <v>462</v>
      </c>
      <c r="C148" s="110">
        <f>C145*C147</f>
        <v>0</v>
      </c>
      <c r="D148" s="110">
        <f t="shared" ref="D148:AG148" si="105">D145*D147</f>
        <v>9.9999999999999985E-3</v>
      </c>
      <c r="E148" s="110">
        <f t="shared" si="105"/>
        <v>1.9999999999999997E-2</v>
      </c>
      <c r="F148" s="110">
        <f t="shared" si="105"/>
        <v>2.9999999999999995E-2</v>
      </c>
      <c r="G148" s="110">
        <f t="shared" si="105"/>
        <v>3.9999999999999994E-2</v>
      </c>
      <c r="H148" s="110">
        <f t="shared" si="105"/>
        <v>4.9999999999999989E-2</v>
      </c>
      <c r="I148" s="110">
        <f t="shared" si="105"/>
        <v>5.9999999999999991E-2</v>
      </c>
      <c r="J148" s="110">
        <f t="shared" si="105"/>
        <v>6.9999999999999993E-2</v>
      </c>
      <c r="K148" s="110">
        <f t="shared" si="105"/>
        <v>7.9999999999999988E-2</v>
      </c>
      <c r="L148" s="110">
        <f t="shared" si="105"/>
        <v>8.9999999999999983E-2</v>
      </c>
      <c r="M148" s="110">
        <f t="shared" si="105"/>
        <v>9.9999999999999992E-2</v>
      </c>
      <c r="N148" s="110">
        <f t="shared" si="105"/>
        <v>0.10999999999999999</v>
      </c>
      <c r="O148" s="110">
        <f t="shared" si="105"/>
        <v>0.12</v>
      </c>
      <c r="P148" s="110">
        <f t="shared" si="105"/>
        <v>0.12999999999999998</v>
      </c>
      <c r="Q148" s="110">
        <f t="shared" si="105"/>
        <v>0.13999999999999999</v>
      </c>
      <c r="R148" s="110">
        <f t="shared" si="105"/>
        <v>0.14999999999999997</v>
      </c>
      <c r="S148" s="110">
        <f t="shared" si="105"/>
        <v>0.15999999999999998</v>
      </c>
      <c r="T148" s="110">
        <f t="shared" si="105"/>
        <v>0.16999999999999998</v>
      </c>
      <c r="U148" s="110">
        <f t="shared" si="105"/>
        <v>0.18</v>
      </c>
      <c r="V148" s="110">
        <f t="shared" si="105"/>
        <v>0.18999999999999997</v>
      </c>
      <c r="W148" s="110">
        <f t="shared" si="105"/>
        <v>0.19999999999999998</v>
      </c>
      <c r="X148" s="110">
        <f t="shared" si="105"/>
        <v>0.21</v>
      </c>
      <c r="Y148" s="110">
        <f t="shared" si="105"/>
        <v>0.21999999999999997</v>
      </c>
      <c r="Z148" s="110">
        <f t="shared" si="105"/>
        <v>0.22999999999999998</v>
      </c>
      <c r="AA148" s="110">
        <f t="shared" si="105"/>
        <v>0.24</v>
      </c>
      <c r="AB148" s="110">
        <f t="shared" si="105"/>
        <v>0.25</v>
      </c>
      <c r="AC148" s="110">
        <f t="shared" si="105"/>
        <v>0.26</v>
      </c>
      <c r="AD148" s="110">
        <f t="shared" si="105"/>
        <v>0.27</v>
      </c>
      <c r="AE148" s="110">
        <f t="shared" si="105"/>
        <v>0.27999999999999997</v>
      </c>
      <c r="AF148" s="110">
        <f t="shared" si="105"/>
        <v>0.28999999999999998</v>
      </c>
      <c r="AG148" s="110">
        <f t="shared" si="105"/>
        <v>0.3</v>
      </c>
      <c r="AJ148" s="211"/>
    </row>
    <row r="149" spans="1:63" outlineLevel="1">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I149" s="134"/>
      <c r="AJ149" s="211"/>
      <c r="BC149" s="1"/>
      <c r="BD149" s="41"/>
      <c r="BF149" s="6"/>
      <c r="BG149" s="6"/>
      <c r="BH149" s="6"/>
      <c r="BI149" s="6"/>
      <c r="BJ149" s="6"/>
    </row>
    <row r="150" spans="1:63" s="1" customFormat="1" outlineLevel="1">
      <c r="A150" s="1" t="s">
        <v>228</v>
      </c>
      <c r="B150" s="65"/>
      <c r="C150" s="300">
        <f t="shared" ref="C150:AG150" si="106">C148*C44</f>
        <v>0</v>
      </c>
      <c r="D150" s="300">
        <f t="shared" si="106"/>
        <v>6.8575510127137293E-4</v>
      </c>
      <c r="E150" s="300">
        <f t="shared" si="106"/>
        <v>1.4137798758990748E-3</v>
      </c>
      <c r="F150" s="300">
        <f t="shared" si="106"/>
        <v>2.1803177816155017E-3</v>
      </c>
      <c r="G150" s="300">
        <f t="shared" si="106"/>
        <v>2.9810552488453018E-3</v>
      </c>
      <c r="H150" s="300">
        <f t="shared" si="106"/>
        <v>3.8111588287271458E-3</v>
      </c>
      <c r="I150" s="300">
        <f t="shared" si="106"/>
        <v>4.67538696680581E-3</v>
      </c>
      <c r="J150" s="300">
        <f t="shared" si="106"/>
        <v>5.5737262490058786E-3</v>
      </c>
      <c r="K150" s="300">
        <f t="shared" si="106"/>
        <v>6.5060985696927774E-3</v>
      </c>
      <c r="L150" s="300">
        <f t="shared" si="106"/>
        <v>7.4723593626091784E-3</v>
      </c>
      <c r="M150" s="300">
        <f t="shared" si="106"/>
        <v>8.4722959688281318E-3</v>
      </c>
      <c r="N150" s="300">
        <f t="shared" si="106"/>
        <v>9.4920255900893084E-3</v>
      </c>
      <c r="O150" s="300">
        <f t="shared" si="106"/>
        <v>1.0526647660798702E-2</v>
      </c>
      <c r="P150" s="300">
        <f t="shared" si="106"/>
        <v>1.1570993579342994E-2</v>
      </c>
      <c r="Q150" s="300">
        <f t="shared" si="106"/>
        <v>1.2619667941422514E-2</v>
      </c>
      <c r="R150" s="300">
        <f t="shared" si="106"/>
        <v>1.3667093518410865E-2</v>
      </c>
      <c r="S150" s="300">
        <f t="shared" si="106"/>
        <v>1.4734057644551869E-2</v>
      </c>
      <c r="T150" s="300">
        <f t="shared" si="106"/>
        <v>1.5820536392552507E-2</v>
      </c>
      <c r="U150" s="300">
        <f t="shared" si="106"/>
        <v>1.6926496686890214E-2</v>
      </c>
      <c r="V150" s="300">
        <f t="shared" si="106"/>
        <v>1.8051896186725893E-2</v>
      </c>
      <c r="W150" s="300">
        <f t="shared" si="106"/>
        <v>1.9196683173433635E-2</v>
      </c>
      <c r="X150" s="300">
        <f t="shared" si="106"/>
        <v>2.0361020705099583E-2</v>
      </c>
      <c r="Y150" s="300">
        <f t="shared" si="106"/>
        <v>2.1544877458779924E-2</v>
      </c>
      <c r="Z150" s="300">
        <f t="shared" si="106"/>
        <v>2.2748213782914663E-2</v>
      </c>
      <c r="AA150" s="300">
        <f t="shared" si="106"/>
        <v>2.3970981600412514E-2</v>
      </c>
      <c r="AB150" s="300">
        <f t="shared" si="106"/>
        <v>2.5213124315565019E-2</v>
      </c>
      <c r="AC150" s="300">
        <f t="shared" si="106"/>
        <v>2.6474827021831491E-2</v>
      </c>
      <c r="AD150" s="300">
        <f t="shared" si="106"/>
        <v>2.7756052501347869E-2</v>
      </c>
      <c r="AE150" s="300">
        <f t="shared" si="106"/>
        <v>2.9056755923110099E-2</v>
      </c>
      <c r="AF150" s="300">
        <f t="shared" si="106"/>
        <v>3.0376884761938429E-2</v>
      </c>
      <c r="AG150" s="300">
        <f t="shared" si="106"/>
        <v>3.1716378720642334E-2</v>
      </c>
      <c r="AH150" s="245"/>
      <c r="AI150" s="423"/>
      <c r="AJ150" s="424"/>
      <c r="AL150" s="221"/>
      <c r="AM150" s="124"/>
      <c r="AN150" s="124"/>
      <c r="AO150" s="124"/>
      <c r="BD150" s="124"/>
      <c r="BE150" s="124"/>
      <c r="BF150" s="124"/>
      <c r="BG150" s="124"/>
      <c r="BH150" s="124"/>
      <c r="BI150" s="124"/>
      <c r="BJ150" s="124"/>
      <c r="BK150" s="124"/>
    </row>
    <row r="151" spans="1:63" s="1" customFormat="1" outlineLevel="1">
      <c r="A151" s="1" t="s">
        <v>1562</v>
      </c>
      <c r="B151" s="65"/>
      <c r="C151" s="300">
        <f t="shared" ref="C151:AG151" si="107">C150-$C150</f>
        <v>0</v>
      </c>
      <c r="D151" s="300">
        <f t="shared" si="107"/>
        <v>6.8575510127137293E-4</v>
      </c>
      <c r="E151" s="300">
        <f t="shared" si="107"/>
        <v>1.4137798758990748E-3</v>
      </c>
      <c r="F151" s="300">
        <f t="shared" si="107"/>
        <v>2.1803177816155017E-3</v>
      </c>
      <c r="G151" s="300">
        <f t="shared" si="107"/>
        <v>2.9810552488453018E-3</v>
      </c>
      <c r="H151" s="300">
        <f t="shared" si="107"/>
        <v>3.8111588287271458E-3</v>
      </c>
      <c r="I151" s="300">
        <f t="shared" si="107"/>
        <v>4.67538696680581E-3</v>
      </c>
      <c r="J151" s="300">
        <f t="shared" si="107"/>
        <v>5.5737262490058786E-3</v>
      </c>
      <c r="K151" s="300">
        <f t="shared" si="107"/>
        <v>6.5060985696927774E-3</v>
      </c>
      <c r="L151" s="300">
        <f t="shared" si="107"/>
        <v>7.4723593626091784E-3</v>
      </c>
      <c r="M151" s="300">
        <f t="shared" si="107"/>
        <v>8.4722959688281318E-3</v>
      </c>
      <c r="N151" s="300">
        <f t="shared" si="107"/>
        <v>9.4920255900893084E-3</v>
      </c>
      <c r="O151" s="300">
        <f t="shared" si="107"/>
        <v>1.0526647660798702E-2</v>
      </c>
      <c r="P151" s="300">
        <f t="shared" si="107"/>
        <v>1.1570993579342994E-2</v>
      </c>
      <c r="Q151" s="300">
        <f t="shared" si="107"/>
        <v>1.2619667941422514E-2</v>
      </c>
      <c r="R151" s="300">
        <f t="shared" si="107"/>
        <v>1.3667093518410865E-2</v>
      </c>
      <c r="S151" s="300">
        <f t="shared" si="107"/>
        <v>1.4734057644551869E-2</v>
      </c>
      <c r="T151" s="300">
        <f t="shared" si="107"/>
        <v>1.5820536392552507E-2</v>
      </c>
      <c r="U151" s="300">
        <f t="shared" si="107"/>
        <v>1.6926496686890214E-2</v>
      </c>
      <c r="V151" s="300">
        <f t="shared" si="107"/>
        <v>1.8051896186725893E-2</v>
      </c>
      <c r="W151" s="300">
        <f t="shared" si="107"/>
        <v>1.9196683173433635E-2</v>
      </c>
      <c r="X151" s="300">
        <f t="shared" si="107"/>
        <v>2.0361020705099583E-2</v>
      </c>
      <c r="Y151" s="300">
        <f t="shared" si="107"/>
        <v>2.1544877458779924E-2</v>
      </c>
      <c r="Z151" s="300">
        <f t="shared" si="107"/>
        <v>2.2748213782914663E-2</v>
      </c>
      <c r="AA151" s="300">
        <f t="shared" si="107"/>
        <v>2.3970981600412514E-2</v>
      </c>
      <c r="AB151" s="300">
        <f t="shared" si="107"/>
        <v>2.5213124315565019E-2</v>
      </c>
      <c r="AC151" s="300">
        <f t="shared" si="107"/>
        <v>2.6474827021831491E-2</v>
      </c>
      <c r="AD151" s="300">
        <f t="shared" si="107"/>
        <v>2.7756052501347869E-2</v>
      </c>
      <c r="AE151" s="300">
        <f t="shared" si="107"/>
        <v>2.9056755923110099E-2</v>
      </c>
      <c r="AF151" s="300">
        <f t="shared" si="107"/>
        <v>3.0376884761938429E-2</v>
      </c>
      <c r="AG151" s="300">
        <f t="shared" si="107"/>
        <v>3.1716378720642334E-2</v>
      </c>
      <c r="AH151" s="245"/>
      <c r="AI151" s="423"/>
      <c r="AJ151" s="424"/>
      <c r="AL151" s="221"/>
      <c r="AM151" s="124"/>
      <c r="AN151" s="124"/>
      <c r="AO151" s="124"/>
      <c r="BD151" s="124"/>
      <c r="BE151" s="124"/>
      <c r="BF151" s="124"/>
      <c r="BG151" s="124"/>
      <c r="BH151" s="124"/>
      <c r="BI151" s="124"/>
      <c r="BJ151" s="124"/>
      <c r="BK151" s="124"/>
    </row>
    <row r="152" spans="1:63" outlineLevel="1">
      <c r="AJ152" s="211"/>
    </row>
    <row r="153" spans="1:63" s="200" customFormat="1" ht="16" thickBot="1">
      <c r="A153" s="200" t="s">
        <v>1351</v>
      </c>
      <c r="B153" s="215"/>
      <c r="C153" s="224">
        <f>C154</f>
        <v>0</v>
      </c>
      <c r="D153" s="224">
        <f t="shared" ref="D153:AG153" si="108">D154</f>
        <v>0</v>
      </c>
      <c r="E153" s="224">
        <f t="shared" si="108"/>
        <v>0</v>
      </c>
      <c r="F153" s="224">
        <f t="shared" si="108"/>
        <v>0</v>
      </c>
      <c r="G153" s="224">
        <f t="shared" si="108"/>
        <v>0</v>
      </c>
      <c r="H153" s="224">
        <f t="shared" si="108"/>
        <v>0</v>
      </c>
      <c r="I153" s="224">
        <f t="shared" si="108"/>
        <v>0</v>
      </c>
      <c r="J153" s="224">
        <f t="shared" si="108"/>
        <v>0</v>
      </c>
      <c r="K153" s="224">
        <f t="shared" si="108"/>
        <v>0</v>
      </c>
      <c r="L153" s="224">
        <f t="shared" si="108"/>
        <v>0</v>
      </c>
      <c r="M153" s="224">
        <f t="shared" si="108"/>
        <v>0</v>
      </c>
      <c r="N153" s="224">
        <f t="shared" si="108"/>
        <v>0</v>
      </c>
      <c r="O153" s="224">
        <f t="shared" si="108"/>
        <v>0</v>
      </c>
      <c r="P153" s="224">
        <f t="shared" si="108"/>
        <v>0</v>
      </c>
      <c r="Q153" s="224">
        <f t="shared" si="108"/>
        <v>0</v>
      </c>
      <c r="R153" s="224">
        <f t="shared" si="108"/>
        <v>0</v>
      </c>
      <c r="S153" s="224">
        <f t="shared" si="108"/>
        <v>0</v>
      </c>
      <c r="T153" s="224">
        <f t="shared" si="108"/>
        <v>0</v>
      </c>
      <c r="U153" s="224">
        <f t="shared" si="108"/>
        <v>0</v>
      </c>
      <c r="V153" s="224">
        <f t="shared" si="108"/>
        <v>0</v>
      </c>
      <c r="W153" s="224">
        <f t="shared" si="108"/>
        <v>0</v>
      </c>
      <c r="X153" s="224">
        <f t="shared" si="108"/>
        <v>0</v>
      </c>
      <c r="Y153" s="224">
        <f t="shared" si="108"/>
        <v>0</v>
      </c>
      <c r="Z153" s="224">
        <f t="shared" si="108"/>
        <v>0</v>
      </c>
      <c r="AA153" s="224">
        <f t="shared" si="108"/>
        <v>0</v>
      </c>
      <c r="AB153" s="224">
        <f t="shared" si="108"/>
        <v>0</v>
      </c>
      <c r="AC153" s="224">
        <f t="shared" si="108"/>
        <v>0</v>
      </c>
      <c r="AD153" s="224">
        <f t="shared" si="108"/>
        <v>0</v>
      </c>
      <c r="AE153" s="224">
        <f t="shared" si="108"/>
        <v>0</v>
      </c>
      <c r="AF153" s="224">
        <f t="shared" si="108"/>
        <v>0</v>
      </c>
      <c r="AG153" s="224">
        <f t="shared" si="108"/>
        <v>0</v>
      </c>
      <c r="AJ153" s="231" t="s">
        <v>1331</v>
      </c>
      <c r="AL153" s="217"/>
      <c r="AM153" s="225"/>
      <c r="AN153" s="225"/>
      <c r="AO153" s="225"/>
    </row>
    <row r="154" spans="1:63" ht="16" outlineLevel="2" thickTop="1">
      <c r="A154" t="s">
        <v>1352</v>
      </c>
      <c r="B154" s="54" t="s">
        <v>462</v>
      </c>
      <c r="C154" s="113">
        <v>0</v>
      </c>
      <c r="D154" s="110">
        <f>$C154+($M154-$C154)/10*(D$1-$C$1)</f>
        <v>0</v>
      </c>
      <c r="E154" s="110">
        <f t="shared" ref="E154:L154" si="109">$C154+($M154-$C154)/10*(E$1-$C$1)</f>
        <v>0</v>
      </c>
      <c r="F154" s="110">
        <f t="shared" si="109"/>
        <v>0</v>
      </c>
      <c r="G154" s="110">
        <f t="shared" si="109"/>
        <v>0</v>
      </c>
      <c r="H154" s="110">
        <f t="shared" si="109"/>
        <v>0</v>
      </c>
      <c r="I154" s="110">
        <f t="shared" si="109"/>
        <v>0</v>
      </c>
      <c r="J154" s="110">
        <f t="shared" si="109"/>
        <v>0</v>
      </c>
      <c r="K154" s="110">
        <f t="shared" si="109"/>
        <v>0</v>
      </c>
      <c r="L154" s="110">
        <f t="shared" si="109"/>
        <v>0</v>
      </c>
      <c r="M154" s="121">
        <v>0</v>
      </c>
      <c r="N154" s="121">
        <f>$M154+($W154-$M154)/10*(N$1-$M$1)</f>
        <v>0</v>
      </c>
      <c r="O154" s="121">
        <f t="shared" ref="O154:U154" si="110">$M154+($W154-$M154)/10*(O$1-$M$1)</f>
        <v>0</v>
      </c>
      <c r="P154" s="121">
        <f t="shared" si="110"/>
        <v>0</v>
      </c>
      <c r="Q154" s="121">
        <f t="shared" si="110"/>
        <v>0</v>
      </c>
      <c r="R154" s="121">
        <f t="shared" si="110"/>
        <v>0</v>
      </c>
      <c r="S154" s="121">
        <f t="shared" si="110"/>
        <v>0</v>
      </c>
      <c r="T154" s="121">
        <f t="shared" si="110"/>
        <v>0</v>
      </c>
      <c r="U154" s="121">
        <f t="shared" si="110"/>
        <v>0</v>
      </c>
      <c r="V154" s="121">
        <f>$M154+($W154-$M154)/10*(V$1-$M$1)</f>
        <v>0</v>
      </c>
      <c r="W154" s="121">
        <v>0</v>
      </c>
      <c r="X154" s="23">
        <f t="shared" ref="X154:AF154" si="111">$W154+($AG154-$W154)/10*(X$1-$W$1)</f>
        <v>0</v>
      </c>
      <c r="Y154" s="23">
        <f t="shared" si="111"/>
        <v>0</v>
      </c>
      <c r="Z154" s="23">
        <f t="shared" si="111"/>
        <v>0</v>
      </c>
      <c r="AA154" s="23">
        <f t="shared" si="111"/>
        <v>0</v>
      </c>
      <c r="AB154" s="23">
        <f t="shared" si="111"/>
        <v>0</v>
      </c>
      <c r="AC154" s="23">
        <f t="shared" si="111"/>
        <v>0</v>
      </c>
      <c r="AD154" s="23">
        <f t="shared" si="111"/>
        <v>0</v>
      </c>
      <c r="AE154" s="23">
        <f t="shared" si="111"/>
        <v>0</v>
      </c>
      <c r="AF154" s="23">
        <f t="shared" si="111"/>
        <v>0</v>
      </c>
      <c r="AG154" s="106">
        <v>0</v>
      </c>
      <c r="AJ154" s="211" t="s">
        <v>1217</v>
      </c>
    </row>
    <row r="155" spans="1:63" outlineLevel="2">
      <c r="C155" s="113"/>
      <c r="D155" s="110"/>
      <c r="E155" s="110"/>
      <c r="F155" s="110"/>
      <c r="G155" s="110"/>
      <c r="H155" s="110"/>
      <c r="I155" s="110"/>
      <c r="J155" s="110"/>
      <c r="K155" s="110"/>
      <c r="L155" s="110"/>
      <c r="M155" s="121"/>
      <c r="N155" s="121"/>
      <c r="O155" s="121"/>
      <c r="P155" s="121"/>
      <c r="Q155" s="121"/>
      <c r="R155" s="121"/>
      <c r="S155" s="121"/>
      <c r="T155" s="121"/>
      <c r="U155" s="121"/>
      <c r="V155" s="121"/>
      <c r="W155" s="121"/>
      <c r="X155" s="23"/>
      <c r="Y155" s="23"/>
      <c r="Z155" s="23"/>
      <c r="AA155" s="23"/>
      <c r="AB155" s="23"/>
      <c r="AC155" s="23"/>
      <c r="AD155" s="23"/>
      <c r="AE155" s="23"/>
      <c r="AF155" s="23"/>
      <c r="AG155" s="106"/>
      <c r="AJ155" s="211"/>
    </row>
    <row r="156" spans="1:63" outlineLevel="1">
      <c r="A156" t="s">
        <v>1676</v>
      </c>
      <c r="C156" s="504">
        <f>('Overall recycling rates'!F88*'Yearly BTX'!D5+'Overall recycling rates'!G88*'Yearly BTX'!D6+'Overall recycling rates'!H88*'Yearly BTX'!D7)/'Yearly BTX'!D4</f>
        <v>1.0000000000000004</v>
      </c>
      <c r="D156" s="504">
        <f>C156-($C156-$AG156)/($AG$1-$C$1)</f>
        <v>1.0000000000000004</v>
      </c>
      <c r="E156" s="504">
        <f t="shared" ref="E156:AF156" si="112">D156-($C156-$AG156)/($AG$1-$C$1)</f>
        <v>1.0000000000000004</v>
      </c>
      <c r="F156" s="504">
        <f t="shared" si="112"/>
        <v>1.0000000000000004</v>
      </c>
      <c r="G156" s="504">
        <f t="shared" si="112"/>
        <v>1.0000000000000004</v>
      </c>
      <c r="H156" s="504">
        <f t="shared" si="112"/>
        <v>1.0000000000000004</v>
      </c>
      <c r="I156" s="504">
        <f t="shared" si="112"/>
        <v>1.0000000000000004</v>
      </c>
      <c r="J156" s="504">
        <f t="shared" si="112"/>
        <v>1.0000000000000004</v>
      </c>
      <c r="K156" s="504">
        <f t="shared" si="112"/>
        <v>1.0000000000000004</v>
      </c>
      <c r="L156" s="504">
        <f t="shared" si="112"/>
        <v>1.0000000000000004</v>
      </c>
      <c r="M156" s="504">
        <f t="shared" si="112"/>
        <v>1.0000000000000004</v>
      </c>
      <c r="N156" s="504">
        <f t="shared" si="112"/>
        <v>1.0000000000000004</v>
      </c>
      <c r="O156" s="504">
        <f t="shared" si="112"/>
        <v>1.0000000000000004</v>
      </c>
      <c r="P156" s="504">
        <f t="shared" si="112"/>
        <v>1.0000000000000004</v>
      </c>
      <c r="Q156" s="504">
        <f t="shared" si="112"/>
        <v>1.0000000000000004</v>
      </c>
      <c r="R156" s="504">
        <f t="shared" si="112"/>
        <v>1.0000000000000004</v>
      </c>
      <c r="S156" s="504">
        <f t="shared" si="112"/>
        <v>1.0000000000000004</v>
      </c>
      <c r="T156" s="504">
        <f t="shared" si="112"/>
        <v>1.0000000000000004</v>
      </c>
      <c r="U156" s="504">
        <f t="shared" si="112"/>
        <v>1.0000000000000004</v>
      </c>
      <c r="V156" s="504">
        <f t="shared" si="112"/>
        <v>1.0000000000000004</v>
      </c>
      <c r="W156" s="504">
        <f t="shared" si="112"/>
        <v>1.0000000000000004</v>
      </c>
      <c r="X156" s="504">
        <f t="shared" si="112"/>
        <v>1.0000000000000004</v>
      </c>
      <c r="Y156" s="504">
        <f t="shared" si="112"/>
        <v>1.0000000000000004</v>
      </c>
      <c r="Z156" s="504">
        <f t="shared" si="112"/>
        <v>1.0000000000000004</v>
      </c>
      <c r="AA156" s="504">
        <f t="shared" si="112"/>
        <v>1.0000000000000004</v>
      </c>
      <c r="AB156" s="504">
        <f t="shared" si="112"/>
        <v>1.0000000000000004</v>
      </c>
      <c r="AC156" s="504">
        <f t="shared" si="112"/>
        <v>1.0000000000000004</v>
      </c>
      <c r="AD156" s="504">
        <f t="shared" si="112"/>
        <v>1.0000000000000004</v>
      </c>
      <c r="AE156" s="504">
        <f t="shared" si="112"/>
        <v>1.0000000000000004</v>
      </c>
      <c r="AF156" s="504">
        <f t="shared" si="112"/>
        <v>1.0000000000000004</v>
      </c>
      <c r="AG156" s="504">
        <f>'Overall recycling rates'!F97</f>
        <v>1</v>
      </c>
      <c r="AI156" s="133"/>
      <c r="AJ156" s="211"/>
      <c r="AL156" s="108"/>
      <c r="AM156" s="207"/>
      <c r="AN156" s="207"/>
      <c r="AO156" s="207"/>
      <c r="BC156" s="1"/>
      <c r="BD156" s="207"/>
      <c r="BE156" s="207"/>
      <c r="BF156" s="207"/>
      <c r="BG156" s="207"/>
      <c r="BH156" s="207"/>
      <c r="BI156" s="207"/>
      <c r="BJ156" s="207"/>
      <c r="BK156" s="207"/>
    </row>
    <row r="157" spans="1:63" outlineLevel="1">
      <c r="A157" t="s">
        <v>1695</v>
      </c>
      <c r="B157" s="54" t="s">
        <v>462</v>
      </c>
      <c r="C157" s="110">
        <f>C154*C156</f>
        <v>0</v>
      </c>
      <c r="D157" s="110">
        <f t="shared" ref="D157:AG157" si="113">D154*D156</f>
        <v>0</v>
      </c>
      <c r="E157" s="110">
        <f t="shared" si="113"/>
        <v>0</v>
      </c>
      <c r="F157" s="110">
        <f t="shared" si="113"/>
        <v>0</v>
      </c>
      <c r="G157" s="110">
        <f t="shared" si="113"/>
        <v>0</v>
      </c>
      <c r="H157" s="110">
        <f t="shared" si="113"/>
        <v>0</v>
      </c>
      <c r="I157" s="110">
        <f t="shared" si="113"/>
        <v>0</v>
      </c>
      <c r="J157" s="110">
        <f t="shared" si="113"/>
        <v>0</v>
      </c>
      <c r="K157" s="110">
        <f t="shared" si="113"/>
        <v>0</v>
      </c>
      <c r="L157" s="110">
        <f t="shared" si="113"/>
        <v>0</v>
      </c>
      <c r="M157" s="110">
        <f t="shared" si="113"/>
        <v>0</v>
      </c>
      <c r="N157" s="110">
        <f t="shared" si="113"/>
        <v>0</v>
      </c>
      <c r="O157" s="110">
        <f t="shared" si="113"/>
        <v>0</v>
      </c>
      <c r="P157" s="110">
        <f t="shared" si="113"/>
        <v>0</v>
      </c>
      <c r="Q157" s="110">
        <f t="shared" si="113"/>
        <v>0</v>
      </c>
      <c r="R157" s="110">
        <f t="shared" si="113"/>
        <v>0</v>
      </c>
      <c r="S157" s="110">
        <f t="shared" si="113"/>
        <v>0</v>
      </c>
      <c r="T157" s="110">
        <f t="shared" si="113"/>
        <v>0</v>
      </c>
      <c r="U157" s="110">
        <f t="shared" si="113"/>
        <v>0</v>
      </c>
      <c r="V157" s="110">
        <f t="shared" si="113"/>
        <v>0</v>
      </c>
      <c r="W157" s="110">
        <f t="shared" si="113"/>
        <v>0</v>
      </c>
      <c r="X157" s="110">
        <f t="shared" si="113"/>
        <v>0</v>
      </c>
      <c r="Y157" s="110">
        <f t="shared" si="113"/>
        <v>0</v>
      </c>
      <c r="Z157" s="110">
        <f t="shared" si="113"/>
        <v>0</v>
      </c>
      <c r="AA157" s="110">
        <f t="shared" si="113"/>
        <v>0</v>
      </c>
      <c r="AB157" s="110">
        <f t="shared" si="113"/>
        <v>0</v>
      </c>
      <c r="AC157" s="110">
        <f t="shared" si="113"/>
        <v>0</v>
      </c>
      <c r="AD157" s="110">
        <f t="shared" si="113"/>
        <v>0</v>
      </c>
      <c r="AE157" s="110">
        <f t="shared" si="113"/>
        <v>0</v>
      </c>
      <c r="AF157" s="110">
        <f t="shared" si="113"/>
        <v>0</v>
      </c>
      <c r="AG157" s="110">
        <f t="shared" si="113"/>
        <v>0</v>
      </c>
      <c r="AJ157" s="211"/>
    </row>
    <row r="158" spans="1:63" outlineLevel="1">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J158" s="211"/>
    </row>
    <row r="159" spans="1:63" s="1" customFormat="1" outlineLevel="1">
      <c r="A159" s="1" t="s">
        <v>228</v>
      </c>
      <c r="B159" s="65"/>
      <c r="C159" s="300">
        <f t="shared" ref="C159:AG159" si="114">C157*C46</f>
        <v>0</v>
      </c>
      <c r="D159" s="300">
        <f t="shared" si="114"/>
        <v>0</v>
      </c>
      <c r="E159" s="300">
        <f t="shared" si="114"/>
        <v>0</v>
      </c>
      <c r="F159" s="300">
        <f t="shared" si="114"/>
        <v>0</v>
      </c>
      <c r="G159" s="300">
        <f t="shared" si="114"/>
        <v>0</v>
      </c>
      <c r="H159" s="300">
        <f t="shared" si="114"/>
        <v>0</v>
      </c>
      <c r="I159" s="300">
        <f t="shared" si="114"/>
        <v>0</v>
      </c>
      <c r="J159" s="300">
        <f t="shared" si="114"/>
        <v>0</v>
      </c>
      <c r="K159" s="300">
        <f t="shared" si="114"/>
        <v>0</v>
      </c>
      <c r="L159" s="300">
        <f t="shared" si="114"/>
        <v>0</v>
      </c>
      <c r="M159" s="300">
        <f t="shared" si="114"/>
        <v>0</v>
      </c>
      <c r="N159" s="300">
        <f t="shared" si="114"/>
        <v>0</v>
      </c>
      <c r="O159" s="300">
        <f t="shared" si="114"/>
        <v>0</v>
      </c>
      <c r="P159" s="300">
        <f t="shared" si="114"/>
        <v>0</v>
      </c>
      <c r="Q159" s="300">
        <f t="shared" si="114"/>
        <v>0</v>
      </c>
      <c r="R159" s="300">
        <f t="shared" si="114"/>
        <v>0</v>
      </c>
      <c r="S159" s="300">
        <f t="shared" si="114"/>
        <v>0</v>
      </c>
      <c r="T159" s="300">
        <f t="shared" si="114"/>
        <v>0</v>
      </c>
      <c r="U159" s="300">
        <f t="shared" si="114"/>
        <v>0</v>
      </c>
      <c r="V159" s="300">
        <f t="shared" si="114"/>
        <v>0</v>
      </c>
      <c r="W159" s="300">
        <f t="shared" si="114"/>
        <v>0</v>
      </c>
      <c r="X159" s="300">
        <f t="shared" si="114"/>
        <v>0</v>
      </c>
      <c r="Y159" s="300">
        <f t="shared" si="114"/>
        <v>0</v>
      </c>
      <c r="Z159" s="300">
        <f t="shared" si="114"/>
        <v>0</v>
      </c>
      <c r="AA159" s="300">
        <f t="shared" si="114"/>
        <v>0</v>
      </c>
      <c r="AB159" s="300">
        <f t="shared" si="114"/>
        <v>0</v>
      </c>
      <c r="AC159" s="300">
        <f t="shared" si="114"/>
        <v>0</v>
      </c>
      <c r="AD159" s="300">
        <f t="shared" si="114"/>
        <v>0</v>
      </c>
      <c r="AE159" s="300">
        <f t="shared" si="114"/>
        <v>0</v>
      </c>
      <c r="AF159" s="300">
        <f t="shared" si="114"/>
        <v>0</v>
      </c>
      <c r="AG159" s="300">
        <f t="shared" si="114"/>
        <v>0</v>
      </c>
      <c r="AH159" s="245"/>
      <c r="AI159" s="423"/>
      <c r="AJ159" s="424"/>
      <c r="AL159" s="221"/>
      <c r="AM159" s="124"/>
      <c r="AN159" s="124"/>
      <c r="AO159" s="124"/>
      <c r="BD159" s="124"/>
      <c r="BE159" s="124"/>
      <c r="BF159" s="124"/>
      <c r="BG159" s="124"/>
      <c r="BH159" s="124"/>
      <c r="BI159" s="124"/>
      <c r="BJ159" s="124"/>
      <c r="BK159" s="124"/>
    </row>
    <row r="160" spans="1:63" s="1" customFormat="1" outlineLevel="1">
      <c r="A160" s="1" t="s">
        <v>1562</v>
      </c>
      <c r="B160" s="65"/>
      <c r="C160" s="300">
        <f t="shared" ref="C160:AG160" si="115">C159-$C159</f>
        <v>0</v>
      </c>
      <c r="D160" s="300">
        <f t="shared" si="115"/>
        <v>0</v>
      </c>
      <c r="E160" s="300">
        <f t="shared" si="115"/>
        <v>0</v>
      </c>
      <c r="F160" s="300">
        <f t="shared" si="115"/>
        <v>0</v>
      </c>
      <c r="G160" s="300">
        <f t="shared" si="115"/>
        <v>0</v>
      </c>
      <c r="H160" s="300">
        <f t="shared" si="115"/>
        <v>0</v>
      </c>
      <c r="I160" s="300">
        <f t="shared" si="115"/>
        <v>0</v>
      </c>
      <c r="J160" s="300">
        <f t="shared" si="115"/>
        <v>0</v>
      </c>
      <c r="K160" s="300">
        <f t="shared" si="115"/>
        <v>0</v>
      </c>
      <c r="L160" s="300">
        <f t="shared" si="115"/>
        <v>0</v>
      </c>
      <c r="M160" s="300">
        <f t="shared" si="115"/>
        <v>0</v>
      </c>
      <c r="N160" s="300">
        <f t="shared" si="115"/>
        <v>0</v>
      </c>
      <c r="O160" s="300">
        <f t="shared" si="115"/>
        <v>0</v>
      </c>
      <c r="P160" s="300">
        <f t="shared" si="115"/>
        <v>0</v>
      </c>
      <c r="Q160" s="300">
        <f t="shared" si="115"/>
        <v>0</v>
      </c>
      <c r="R160" s="300">
        <f t="shared" si="115"/>
        <v>0</v>
      </c>
      <c r="S160" s="300">
        <f t="shared" si="115"/>
        <v>0</v>
      </c>
      <c r="T160" s="300">
        <f t="shared" si="115"/>
        <v>0</v>
      </c>
      <c r="U160" s="300">
        <f t="shared" si="115"/>
        <v>0</v>
      </c>
      <c r="V160" s="300">
        <f t="shared" si="115"/>
        <v>0</v>
      </c>
      <c r="W160" s="300">
        <f t="shared" si="115"/>
        <v>0</v>
      </c>
      <c r="X160" s="300">
        <f t="shared" si="115"/>
        <v>0</v>
      </c>
      <c r="Y160" s="300">
        <f t="shared" si="115"/>
        <v>0</v>
      </c>
      <c r="Z160" s="300">
        <f t="shared" si="115"/>
        <v>0</v>
      </c>
      <c r="AA160" s="300">
        <f t="shared" si="115"/>
        <v>0</v>
      </c>
      <c r="AB160" s="300">
        <f t="shared" si="115"/>
        <v>0</v>
      </c>
      <c r="AC160" s="300">
        <f t="shared" si="115"/>
        <v>0</v>
      </c>
      <c r="AD160" s="300">
        <f t="shared" si="115"/>
        <v>0</v>
      </c>
      <c r="AE160" s="300">
        <f t="shared" si="115"/>
        <v>0</v>
      </c>
      <c r="AF160" s="300">
        <f t="shared" si="115"/>
        <v>0</v>
      </c>
      <c r="AG160" s="300">
        <f t="shared" si="115"/>
        <v>0</v>
      </c>
      <c r="AH160" s="245"/>
      <c r="AI160" s="423"/>
      <c r="AJ160" s="424"/>
      <c r="AL160" s="221"/>
      <c r="AM160" s="124"/>
      <c r="AN160" s="124"/>
      <c r="AO160" s="124"/>
      <c r="BD160" s="124"/>
      <c r="BE160" s="124"/>
      <c r="BF160" s="124"/>
      <c r="BG160" s="124"/>
      <c r="BH160" s="124"/>
      <c r="BI160" s="124"/>
      <c r="BJ160" s="124"/>
      <c r="BK160" s="124"/>
    </row>
    <row r="161" spans="1:41" outlineLevel="2">
      <c r="C161" s="113"/>
      <c r="D161" s="110"/>
      <c r="E161" s="110"/>
      <c r="F161" s="110"/>
      <c r="G161" s="110"/>
      <c r="H161" s="110"/>
      <c r="I161" s="110"/>
      <c r="J161" s="110"/>
      <c r="K161" s="110"/>
      <c r="L161" s="110"/>
      <c r="M161" s="121"/>
      <c r="N161" s="121"/>
      <c r="O161" s="121"/>
      <c r="P161" s="121"/>
      <c r="Q161" s="121"/>
      <c r="R161" s="121"/>
      <c r="S161" s="121"/>
      <c r="T161" s="121"/>
      <c r="U161" s="121"/>
      <c r="V161" s="121"/>
      <c r="W161" s="121"/>
      <c r="X161" s="23"/>
      <c r="Y161" s="23"/>
      <c r="Z161" s="23"/>
      <c r="AA161" s="23"/>
      <c r="AB161" s="23"/>
      <c r="AC161" s="23"/>
      <c r="AD161" s="23"/>
      <c r="AE161" s="23"/>
      <c r="AF161" s="23"/>
      <c r="AG161" s="106"/>
      <c r="AJ161" s="211"/>
    </row>
    <row r="162" spans="1:41" s="200" customFormat="1" ht="16" thickBot="1">
      <c r="A162" s="227" t="s">
        <v>1696</v>
      </c>
      <c r="B162" s="228"/>
      <c r="C162" s="229">
        <f t="shared" ref="C162:AG162" si="116">(C42*C66+C43*C102+C45*C133+C44*C148+C46*C157)/C47</f>
        <v>4.6954450224515588E-2</v>
      </c>
      <c r="D162" s="229">
        <f t="shared" si="116"/>
        <v>5.3320969924936491E-2</v>
      </c>
      <c r="E162" s="229">
        <f t="shared" si="116"/>
        <v>5.9687489625357387E-2</v>
      </c>
      <c r="F162" s="229">
        <f t="shared" si="116"/>
        <v>6.6054009325778276E-2</v>
      </c>
      <c r="G162" s="229">
        <f t="shared" si="116"/>
        <v>7.2420529026199151E-2</v>
      </c>
      <c r="H162" s="229">
        <f t="shared" si="116"/>
        <v>7.8787048726620096E-2</v>
      </c>
      <c r="I162" s="229">
        <f t="shared" si="116"/>
        <v>8.5153568427040957E-2</v>
      </c>
      <c r="J162" s="229">
        <f t="shared" si="116"/>
        <v>9.1520088127461874E-2</v>
      </c>
      <c r="K162" s="229">
        <f t="shared" si="116"/>
        <v>9.7886607827882777E-2</v>
      </c>
      <c r="L162" s="229">
        <f t="shared" si="116"/>
        <v>0.10425312752830367</v>
      </c>
      <c r="M162" s="229">
        <f t="shared" si="116"/>
        <v>0.11061964722872458</v>
      </c>
      <c r="N162" s="229">
        <f t="shared" si="116"/>
        <v>0.11698616692914546</v>
      </c>
      <c r="O162" s="229">
        <f t="shared" si="116"/>
        <v>0.12335268662956636</v>
      </c>
      <c r="P162" s="229">
        <f t="shared" si="116"/>
        <v>0.12971920632998724</v>
      </c>
      <c r="Q162" s="229">
        <f t="shared" si="116"/>
        <v>0.13608572603040819</v>
      </c>
      <c r="R162" s="229">
        <f t="shared" si="116"/>
        <v>0.14245224573082907</v>
      </c>
      <c r="S162" s="229">
        <f t="shared" si="116"/>
        <v>0.14881876543124994</v>
      </c>
      <c r="T162" s="229">
        <f t="shared" si="116"/>
        <v>0.15518528513167085</v>
      </c>
      <c r="U162" s="229">
        <f t="shared" si="116"/>
        <v>0.16155180483209178</v>
      </c>
      <c r="V162" s="229">
        <f t="shared" si="116"/>
        <v>0.16791832453251268</v>
      </c>
      <c r="W162" s="229">
        <f t="shared" si="116"/>
        <v>0.17428484423293356</v>
      </c>
      <c r="X162" s="229">
        <f t="shared" si="116"/>
        <v>0.18065136393335446</v>
      </c>
      <c r="Y162" s="229">
        <f t="shared" si="116"/>
        <v>0.18701788363377536</v>
      </c>
      <c r="Z162" s="229">
        <f t="shared" si="116"/>
        <v>0.19338440333419624</v>
      </c>
      <c r="AA162" s="229">
        <f t="shared" si="116"/>
        <v>0.19975092303461714</v>
      </c>
      <c r="AB162" s="229">
        <f t="shared" si="116"/>
        <v>0.20611744273503801</v>
      </c>
      <c r="AC162" s="229">
        <f t="shared" si="116"/>
        <v>0.21248396243545895</v>
      </c>
      <c r="AD162" s="229">
        <f t="shared" si="116"/>
        <v>0.21885048213587985</v>
      </c>
      <c r="AE162" s="229">
        <f t="shared" si="116"/>
        <v>0.22521700183630072</v>
      </c>
      <c r="AF162" s="229">
        <f t="shared" si="116"/>
        <v>0.23158352153672163</v>
      </c>
      <c r="AG162" s="229">
        <f t="shared" si="116"/>
        <v>0.23795004123714253</v>
      </c>
      <c r="AJ162" s="479" t="s">
        <v>1585</v>
      </c>
      <c r="AL162" s="217"/>
      <c r="AM162" s="225"/>
      <c r="AN162" s="225"/>
      <c r="AO162" s="225"/>
    </row>
    <row r="163" spans="1:41" s="200" customFormat="1" ht="17" thickTop="1" thickBot="1">
      <c r="A163" s="227"/>
      <c r="B163" s="228"/>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c r="AG163" s="229"/>
      <c r="AJ163" s="226" t="s">
        <v>1357</v>
      </c>
      <c r="AL163" s="217"/>
      <c r="AM163" s="225"/>
      <c r="AN163" s="225"/>
      <c r="AO163" s="225"/>
    </row>
    <row r="164" spans="1:41" ht="16" thickTop="1">
      <c r="B164" s="130"/>
      <c r="C164" s="113"/>
      <c r="D164" s="23"/>
      <c r="E164" s="23"/>
      <c r="F164" s="23"/>
      <c r="G164" s="23"/>
      <c r="H164" s="23"/>
      <c r="I164" s="23"/>
      <c r="J164" s="23"/>
      <c r="K164" s="23"/>
      <c r="L164" s="23"/>
      <c r="M164" s="126"/>
      <c r="N164" s="110"/>
      <c r="O164" s="110"/>
      <c r="P164" s="110"/>
      <c r="Q164" s="110"/>
      <c r="R164" s="110"/>
      <c r="S164" s="110"/>
      <c r="T164" s="110"/>
      <c r="U164" s="110"/>
      <c r="V164" s="110"/>
      <c r="W164" s="126"/>
      <c r="X164" s="110"/>
      <c r="Y164" s="110"/>
      <c r="Z164" s="110"/>
      <c r="AA164" s="110"/>
      <c r="AB164" s="110"/>
      <c r="AC164" s="110"/>
      <c r="AD164" s="110"/>
      <c r="AE164" s="110"/>
      <c r="AF164" s="110"/>
      <c r="AG164" s="113"/>
    </row>
    <row r="165" spans="1:41">
      <c r="A165" t="s">
        <v>1697</v>
      </c>
      <c r="B165" s="130"/>
      <c r="C165" s="230">
        <f t="shared" ref="C165:AG165" si="117">C159+C150+C141+C139+C137+C113+C111+C109+C107+C80+C78+C76+C74+C72</f>
        <v>0.29411849599012857</v>
      </c>
      <c r="D165" s="230">
        <f t="shared" si="117"/>
        <v>0.34519391601580796</v>
      </c>
      <c r="E165" s="230">
        <f t="shared" si="117"/>
        <v>0.39831912413837989</v>
      </c>
      <c r="F165" s="230">
        <f t="shared" si="117"/>
        <v>0.45320403767359185</v>
      </c>
      <c r="G165" s="230">
        <f t="shared" si="117"/>
        <v>0.50952766795758908</v>
      </c>
      <c r="H165" s="230">
        <f t="shared" si="117"/>
        <v>0.56694107323375775</v>
      </c>
      <c r="I165" s="230">
        <f t="shared" si="117"/>
        <v>0.62641941356681119</v>
      </c>
      <c r="J165" s="230">
        <f t="shared" si="117"/>
        <v>0.68795506012102126</v>
      </c>
      <c r="K165" s="230">
        <f t="shared" si="117"/>
        <v>0.75153632267378723</v>
      </c>
      <c r="L165" s="230">
        <f t="shared" si="117"/>
        <v>0.81714735238699321</v>
      </c>
      <c r="M165" s="230">
        <f t="shared" si="117"/>
        <v>0.88476805342840015</v>
      </c>
      <c r="N165" s="230">
        <f t="shared" si="117"/>
        <v>0.95300849459260484</v>
      </c>
      <c r="O165" s="230">
        <f t="shared" si="117"/>
        <v>1.0215355823934487</v>
      </c>
      <c r="P165" s="230">
        <f t="shared" si="117"/>
        <v>1.0900028365980481</v>
      </c>
      <c r="Q165" s="230">
        <f t="shared" si="117"/>
        <v>1.1580532015000484</v>
      </c>
      <c r="R165" s="230">
        <f t="shared" si="117"/>
        <v>1.2253220597469408</v>
      </c>
      <c r="S165" s="230">
        <f t="shared" si="117"/>
        <v>1.2937671636997243</v>
      </c>
      <c r="T165" s="230">
        <f t="shared" si="117"/>
        <v>1.3633861134180485</v>
      </c>
      <c r="U165" s="230">
        <f t="shared" si="117"/>
        <v>1.4341759475757545</v>
      </c>
      <c r="V165" s="230">
        <f t="shared" si="117"/>
        <v>1.5061331367306496</v>
      </c>
      <c r="W165" s="230">
        <f t="shared" si="117"/>
        <v>1.5792535768819591</v>
      </c>
      <c r="X165" s="230">
        <f t="shared" si="117"/>
        <v>1.6535507960135065</v>
      </c>
      <c r="Y165" s="230">
        <f t="shared" si="117"/>
        <v>1.7290220448636191</v>
      </c>
      <c r="Z165" s="230">
        <f t="shared" si="117"/>
        <v>1.8056640637994834</v>
      </c>
      <c r="AA165" s="230">
        <f t="shared" si="117"/>
        <v>1.883473077242652</v>
      </c>
      <c r="AB165" s="230">
        <f t="shared" si="117"/>
        <v>1.9624447883324967</v>
      </c>
      <c r="AC165" s="230">
        <f t="shared" si="117"/>
        <v>2.0425936848168909</v>
      </c>
      <c r="AD165" s="230">
        <f t="shared" si="117"/>
        <v>2.1239167447662455</v>
      </c>
      <c r="AE165" s="230">
        <f t="shared" si="117"/>
        <v>2.2064104802958018</v>
      </c>
      <c r="AF165" s="230">
        <f t="shared" si="117"/>
        <v>2.2900709329013753</v>
      </c>
      <c r="AG165" s="230">
        <f t="shared" si="117"/>
        <v>2.3748936689935181</v>
      </c>
      <c r="AH165" s="245"/>
      <c r="AI165" s="23">
        <f>(AG165/C165)^(1/30)-1</f>
        <v>7.2105180199317553E-2</v>
      </c>
      <c r="AJ165" s="517">
        <f>AG165-C165</f>
        <v>2.0807751730033894</v>
      </c>
    </row>
    <row r="166" spans="1:41">
      <c r="A166" t="s">
        <v>1698</v>
      </c>
      <c r="B166" s="130"/>
      <c r="C166" s="230">
        <f>C165</f>
        <v>0.29411849599012857</v>
      </c>
      <c r="D166" s="230">
        <f>C166*(1+$AI$166)</f>
        <v>0.29903027487316369</v>
      </c>
      <c r="E166" s="230">
        <f t="shared" ref="E166:AG166" si="118">D166*(1+$AI$166)</f>
        <v>0.30402408046354551</v>
      </c>
      <c r="F166" s="230">
        <f t="shared" si="118"/>
        <v>0.3091012826072867</v>
      </c>
      <c r="G166" s="230">
        <f t="shared" si="118"/>
        <v>0.31426327402682835</v>
      </c>
      <c r="H166" s="230">
        <f t="shared" si="118"/>
        <v>0.31951147070307639</v>
      </c>
      <c r="I166" s="230">
        <f t="shared" si="118"/>
        <v>0.32484731226381774</v>
      </c>
      <c r="J166" s="230">
        <f t="shared" si="118"/>
        <v>0.3302722623786235</v>
      </c>
      <c r="K166" s="230">
        <f t="shared" si="118"/>
        <v>0.33578780916034651</v>
      </c>
      <c r="L166" s="230">
        <f t="shared" si="118"/>
        <v>0.34139546557332429</v>
      </c>
      <c r="M166" s="230">
        <f>L166*(1+$AI$166)</f>
        <v>0.34709676984839877</v>
      </c>
      <c r="N166" s="230">
        <f t="shared" si="118"/>
        <v>0.35289328590486702</v>
      </c>
      <c r="O166" s="230">
        <f t="shared" si="118"/>
        <v>0.3587866037794783</v>
      </c>
      <c r="P166" s="230">
        <f t="shared" si="118"/>
        <v>0.36477834006259557</v>
      </c>
      <c r="Q166" s="230">
        <f t="shared" si="118"/>
        <v>0.3708701383416409</v>
      </c>
      <c r="R166" s="230">
        <f t="shared" si="118"/>
        <v>0.37706366965194626</v>
      </c>
      <c r="S166" s="230">
        <f t="shared" si="118"/>
        <v>0.38336063293513373</v>
      </c>
      <c r="T166" s="230">
        <f t="shared" si="118"/>
        <v>0.38976275550515044</v>
      </c>
      <c r="U166" s="230">
        <f t="shared" si="118"/>
        <v>0.39627179352208641</v>
      </c>
      <c r="V166" s="230">
        <f t="shared" si="118"/>
        <v>0.40288953247390524</v>
      </c>
      <c r="W166" s="230">
        <f t="shared" si="118"/>
        <v>0.40961778766621942</v>
      </c>
      <c r="X166" s="230">
        <f t="shared" si="118"/>
        <v>0.41645840472024526</v>
      </c>
      <c r="Y166" s="230">
        <f t="shared" si="118"/>
        <v>0.42341326007907332</v>
      </c>
      <c r="Z166" s="230">
        <f t="shared" si="118"/>
        <v>0.43048426152239383</v>
      </c>
      <c r="AA166" s="230">
        <f t="shared" si="118"/>
        <v>0.43767334868981778</v>
      </c>
      <c r="AB166" s="230">
        <f t="shared" si="118"/>
        <v>0.44498249361293768</v>
      </c>
      <c r="AC166" s="230">
        <f t="shared" si="118"/>
        <v>0.45241370125627373</v>
      </c>
      <c r="AD166" s="230">
        <f t="shared" si="118"/>
        <v>0.45996901006725349</v>
      </c>
      <c r="AE166" s="230">
        <f t="shared" si="118"/>
        <v>0.46765049253537661</v>
      </c>
      <c r="AF166" s="230">
        <f t="shared" si="118"/>
        <v>0.47546025576071738</v>
      </c>
      <c r="AG166" s="230">
        <f t="shared" si="118"/>
        <v>0.48340044203192134</v>
      </c>
      <c r="AI166" s="214">
        <v>1.67E-2</v>
      </c>
      <c r="AJ166" s="3" t="s">
        <v>1360</v>
      </c>
    </row>
    <row r="167" spans="1:41">
      <c r="B167" s="51"/>
    </row>
    <row r="168" spans="1:41" s="58" customFormat="1">
      <c r="A168" s="58" t="s">
        <v>1361</v>
      </c>
      <c r="B168" s="303"/>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c r="AA168" s="304"/>
      <c r="AB168" s="304"/>
      <c r="AC168" s="304"/>
      <c r="AD168" s="304"/>
      <c r="AE168" s="304"/>
      <c r="AF168" s="304"/>
      <c r="AG168" s="304"/>
      <c r="AI168" s="305"/>
      <c r="AJ168" s="306"/>
    </row>
    <row r="169" spans="1:41" s="190" customFormat="1" outlineLevel="1">
      <c r="A169" s="344" t="s">
        <v>1362</v>
      </c>
      <c r="B169" s="318" t="s">
        <v>462</v>
      </c>
      <c r="C169" s="319">
        <v>0.84</v>
      </c>
      <c r="D169" s="320">
        <f>-($C169-$AG169)/30+C169</f>
        <v>0.83566666666666667</v>
      </c>
      <c r="E169" s="320">
        <f t="shared" ref="E169:T169" si="119">-($C169-$AG169)/30+D169</f>
        <v>0.83133333333333337</v>
      </c>
      <c r="F169" s="320">
        <f t="shared" si="119"/>
        <v>0.82700000000000007</v>
      </c>
      <c r="G169" s="320">
        <f t="shared" si="119"/>
        <v>0.82266666666666677</v>
      </c>
      <c r="H169" s="320">
        <f t="shared" si="119"/>
        <v>0.81833333333333347</v>
      </c>
      <c r="I169" s="320">
        <f t="shared" si="119"/>
        <v>0.81400000000000017</v>
      </c>
      <c r="J169" s="320">
        <f t="shared" si="119"/>
        <v>0.80966666666666687</v>
      </c>
      <c r="K169" s="320">
        <f t="shared" si="119"/>
        <v>0.80533333333333357</v>
      </c>
      <c r="L169" s="320">
        <f t="shared" si="119"/>
        <v>0.80100000000000027</v>
      </c>
      <c r="M169" s="320">
        <f t="shared" si="119"/>
        <v>0.79666666666666697</v>
      </c>
      <c r="N169" s="320">
        <f t="shared" si="119"/>
        <v>0.79233333333333367</v>
      </c>
      <c r="O169" s="320">
        <f t="shared" si="119"/>
        <v>0.78800000000000037</v>
      </c>
      <c r="P169" s="320">
        <f t="shared" si="119"/>
        <v>0.78366666666666707</v>
      </c>
      <c r="Q169" s="320">
        <f t="shared" si="119"/>
        <v>0.77933333333333377</v>
      </c>
      <c r="R169" s="320">
        <f t="shared" si="119"/>
        <v>0.77500000000000047</v>
      </c>
      <c r="S169" s="320">
        <f t="shared" si="119"/>
        <v>0.77066666666666717</v>
      </c>
      <c r="T169" s="320">
        <f t="shared" si="119"/>
        <v>0.76633333333333387</v>
      </c>
      <c r="U169" s="320">
        <f t="shared" ref="T169:AF175" si="120">-($C169-$AG169)/30+T169</f>
        <v>0.76200000000000057</v>
      </c>
      <c r="V169" s="320">
        <f t="shared" si="120"/>
        <v>0.75766666666666727</v>
      </c>
      <c r="W169" s="320">
        <f t="shared" si="120"/>
        <v>0.75333333333333397</v>
      </c>
      <c r="X169" s="320">
        <f t="shared" si="120"/>
        <v>0.74900000000000067</v>
      </c>
      <c r="Y169" s="320">
        <f t="shared" si="120"/>
        <v>0.74466666666666737</v>
      </c>
      <c r="Z169" s="320">
        <f t="shared" si="120"/>
        <v>0.74033333333333406</v>
      </c>
      <c r="AA169" s="320">
        <f t="shared" si="120"/>
        <v>0.73600000000000076</v>
      </c>
      <c r="AB169" s="320">
        <f t="shared" si="120"/>
        <v>0.73166666666666746</v>
      </c>
      <c r="AC169" s="320">
        <f t="shared" si="120"/>
        <v>0.72733333333333416</v>
      </c>
      <c r="AD169" s="320">
        <f t="shared" si="120"/>
        <v>0.72300000000000086</v>
      </c>
      <c r="AE169" s="320">
        <f t="shared" si="120"/>
        <v>0.71866666666666756</v>
      </c>
      <c r="AF169" s="320">
        <f t="shared" si="120"/>
        <v>0.71433333333333426</v>
      </c>
      <c r="AG169" s="319">
        <v>0.71</v>
      </c>
      <c r="AI169" s="321"/>
      <c r="AJ169" s="322" t="s">
        <v>1363</v>
      </c>
    </row>
    <row r="170" spans="1:41" outlineLevel="1">
      <c r="A170" s="3" t="s">
        <v>90</v>
      </c>
      <c r="B170" s="302" t="s">
        <v>462</v>
      </c>
      <c r="C170" s="296">
        <v>0.16</v>
      </c>
      <c r="D170" s="317">
        <f t="shared" ref="D170:S175" si="121">-($C170-$AG170)/30+C170</f>
        <v>0.16206666666666666</v>
      </c>
      <c r="E170" s="317">
        <f t="shared" si="121"/>
        <v>0.16413333333333333</v>
      </c>
      <c r="F170" s="317">
        <f t="shared" si="121"/>
        <v>0.16619999999999999</v>
      </c>
      <c r="G170" s="317">
        <f t="shared" si="121"/>
        <v>0.16826666666666665</v>
      </c>
      <c r="H170" s="317">
        <f t="shared" si="121"/>
        <v>0.17033333333333331</v>
      </c>
      <c r="I170" s="317">
        <f t="shared" si="121"/>
        <v>0.17239999999999997</v>
      </c>
      <c r="J170" s="317">
        <f t="shared" si="121"/>
        <v>0.17446666666666663</v>
      </c>
      <c r="K170" s="317">
        <f t="shared" si="121"/>
        <v>0.17653333333333329</v>
      </c>
      <c r="L170" s="317">
        <f t="shared" si="121"/>
        <v>0.17859999999999995</v>
      </c>
      <c r="M170" s="317">
        <f t="shared" si="121"/>
        <v>0.18066666666666661</v>
      </c>
      <c r="N170" s="317">
        <f t="shared" si="121"/>
        <v>0.18273333333333328</v>
      </c>
      <c r="O170" s="317">
        <f t="shared" si="121"/>
        <v>0.18479999999999994</v>
      </c>
      <c r="P170" s="317">
        <f t="shared" si="121"/>
        <v>0.1868666666666666</v>
      </c>
      <c r="Q170" s="317">
        <f t="shared" si="121"/>
        <v>0.18893333333333326</v>
      </c>
      <c r="R170" s="317">
        <f t="shared" si="121"/>
        <v>0.19099999999999992</v>
      </c>
      <c r="S170" s="317">
        <f t="shared" si="121"/>
        <v>0.19306666666666658</v>
      </c>
      <c r="T170" s="317">
        <f t="shared" si="120"/>
        <v>0.19513333333333324</v>
      </c>
      <c r="U170" s="317">
        <f t="shared" si="120"/>
        <v>0.1971999999999999</v>
      </c>
      <c r="V170" s="317">
        <f t="shared" si="120"/>
        <v>0.19926666666666656</v>
      </c>
      <c r="W170" s="317">
        <f t="shared" si="120"/>
        <v>0.20133333333333323</v>
      </c>
      <c r="X170" s="317">
        <f t="shared" si="120"/>
        <v>0.20339999999999989</v>
      </c>
      <c r="Y170" s="317">
        <f t="shared" si="120"/>
        <v>0.20546666666666655</v>
      </c>
      <c r="Z170" s="317">
        <f t="shared" si="120"/>
        <v>0.20753333333333321</v>
      </c>
      <c r="AA170" s="317">
        <f t="shared" si="120"/>
        <v>0.20959999999999987</v>
      </c>
      <c r="AB170" s="317">
        <f t="shared" si="120"/>
        <v>0.21166666666666653</v>
      </c>
      <c r="AC170" s="317">
        <f t="shared" si="120"/>
        <v>0.21373333333333319</v>
      </c>
      <c r="AD170" s="317">
        <f t="shared" si="120"/>
        <v>0.21579999999999985</v>
      </c>
      <c r="AE170" s="317">
        <f t="shared" si="120"/>
        <v>0.21786666666666651</v>
      </c>
      <c r="AF170" s="317">
        <f t="shared" si="120"/>
        <v>0.21993333333333318</v>
      </c>
      <c r="AG170" s="296">
        <v>0.222</v>
      </c>
      <c r="AI170" s="214"/>
      <c r="AJ170" s="211" t="s">
        <v>1363</v>
      </c>
    </row>
    <row r="171" spans="1:41" outlineLevel="1">
      <c r="A171" s="3" t="s">
        <v>33</v>
      </c>
      <c r="B171" s="302" t="s">
        <v>462</v>
      </c>
      <c r="C171" s="296">
        <v>0.37</v>
      </c>
      <c r="D171" s="317">
        <f t="shared" si="121"/>
        <v>0.36270000000000002</v>
      </c>
      <c r="E171" s="317">
        <f t="shared" si="121"/>
        <v>0.35540000000000005</v>
      </c>
      <c r="F171" s="317">
        <f t="shared" si="121"/>
        <v>0.34810000000000008</v>
      </c>
      <c r="G171" s="317">
        <f t="shared" si="121"/>
        <v>0.3408000000000001</v>
      </c>
      <c r="H171" s="317">
        <f t="shared" si="121"/>
        <v>0.33350000000000013</v>
      </c>
      <c r="I171" s="317">
        <f t="shared" si="121"/>
        <v>0.32620000000000016</v>
      </c>
      <c r="J171" s="317">
        <f t="shared" si="121"/>
        <v>0.31890000000000018</v>
      </c>
      <c r="K171" s="317">
        <f t="shared" si="121"/>
        <v>0.31160000000000021</v>
      </c>
      <c r="L171" s="317">
        <f t="shared" si="121"/>
        <v>0.30430000000000024</v>
      </c>
      <c r="M171" s="317">
        <f t="shared" si="121"/>
        <v>0.29700000000000026</v>
      </c>
      <c r="N171" s="317">
        <f t="shared" si="121"/>
        <v>0.28970000000000029</v>
      </c>
      <c r="O171" s="317">
        <f t="shared" si="121"/>
        <v>0.28240000000000032</v>
      </c>
      <c r="P171" s="317">
        <f t="shared" si="121"/>
        <v>0.27510000000000034</v>
      </c>
      <c r="Q171" s="317">
        <f t="shared" si="121"/>
        <v>0.26780000000000037</v>
      </c>
      <c r="R171" s="317">
        <f t="shared" si="121"/>
        <v>0.2605000000000004</v>
      </c>
      <c r="S171" s="317">
        <f t="shared" si="121"/>
        <v>0.25320000000000042</v>
      </c>
      <c r="T171" s="317">
        <f t="shared" si="120"/>
        <v>0.24590000000000042</v>
      </c>
      <c r="U171" s="317">
        <f t="shared" si="120"/>
        <v>0.23860000000000042</v>
      </c>
      <c r="V171" s="317">
        <f t="shared" si="120"/>
        <v>0.23130000000000042</v>
      </c>
      <c r="W171" s="317">
        <f t="shared" si="120"/>
        <v>0.22400000000000042</v>
      </c>
      <c r="X171" s="317">
        <f t="shared" si="120"/>
        <v>0.21670000000000042</v>
      </c>
      <c r="Y171" s="317">
        <f t="shared" si="120"/>
        <v>0.20940000000000042</v>
      </c>
      <c r="Z171" s="317">
        <f t="shared" si="120"/>
        <v>0.20210000000000042</v>
      </c>
      <c r="AA171" s="317">
        <f t="shared" si="120"/>
        <v>0.19480000000000042</v>
      </c>
      <c r="AB171" s="317">
        <f t="shared" si="120"/>
        <v>0.18750000000000042</v>
      </c>
      <c r="AC171" s="317">
        <f t="shared" si="120"/>
        <v>0.18020000000000042</v>
      </c>
      <c r="AD171" s="317">
        <f t="shared" si="120"/>
        <v>0.17290000000000041</v>
      </c>
      <c r="AE171" s="317">
        <f t="shared" si="120"/>
        <v>0.16560000000000041</v>
      </c>
      <c r="AF171" s="317">
        <f t="shared" si="120"/>
        <v>0.15830000000000041</v>
      </c>
      <c r="AG171" s="296">
        <v>0.151</v>
      </c>
      <c r="AI171" s="214"/>
      <c r="AJ171" s="211" t="s">
        <v>1363</v>
      </c>
    </row>
    <row r="172" spans="1:41" outlineLevel="1">
      <c r="A172" s="3" t="s">
        <v>451</v>
      </c>
      <c r="B172" s="302" t="s">
        <v>462</v>
      </c>
      <c r="C172" s="296">
        <v>0.08</v>
      </c>
      <c r="D172" s="317">
        <f t="shared" si="121"/>
        <v>8.0100000000000005E-2</v>
      </c>
      <c r="E172" s="317">
        <f t="shared" si="121"/>
        <v>8.0200000000000007E-2</v>
      </c>
      <c r="F172" s="317">
        <f t="shared" si="121"/>
        <v>8.030000000000001E-2</v>
      </c>
      <c r="G172" s="317">
        <f t="shared" si="121"/>
        <v>8.0400000000000013E-2</v>
      </c>
      <c r="H172" s="317">
        <f t="shared" si="121"/>
        <v>8.0500000000000016E-2</v>
      </c>
      <c r="I172" s="317">
        <f t="shared" si="121"/>
        <v>8.0600000000000019E-2</v>
      </c>
      <c r="J172" s="317">
        <f t="shared" si="121"/>
        <v>8.0700000000000022E-2</v>
      </c>
      <c r="K172" s="317">
        <f t="shared" si="121"/>
        <v>8.0800000000000025E-2</v>
      </c>
      <c r="L172" s="317">
        <f t="shared" si="121"/>
        <v>8.0900000000000027E-2</v>
      </c>
      <c r="M172" s="317">
        <f t="shared" si="121"/>
        <v>8.100000000000003E-2</v>
      </c>
      <c r="N172" s="317">
        <f t="shared" si="121"/>
        <v>8.1100000000000033E-2</v>
      </c>
      <c r="O172" s="317">
        <f t="shared" si="121"/>
        <v>8.1200000000000036E-2</v>
      </c>
      <c r="P172" s="317">
        <f t="shared" si="121"/>
        <v>8.1300000000000039E-2</v>
      </c>
      <c r="Q172" s="317">
        <f t="shared" si="121"/>
        <v>8.1400000000000042E-2</v>
      </c>
      <c r="R172" s="317">
        <f t="shared" si="121"/>
        <v>8.1500000000000045E-2</v>
      </c>
      <c r="S172" s="317">
        <f t="shared" si="121"/>
        <v>8.1600000000000047E-2</v>
      </c>
      <c r="T172" s="317">
        <f t="shared" si="120"/>
        <v>8.170000000000005E-2</v>
      </c>
      <c r="U172" s="317">
        <f t="shared" si="120"/>
        <v>8.1800000000000053E-2</v>
      </c>
      <c r="V172" s="317">
        <f t="shared" si="120"/>
        <v>8.1900000000000056E-2</v>
      </c>
      <c r="W172" s="317">
        <f t="shared" si="120"/>
        <v>8.2000000000000059E-2</v>
      </c>
      <c r="X172" s="317">
        <f t="shared" si="120"/>
        <v>8.2100000000000062E-2</v>
      </c>
      <c r="Y172" s="317">
        <f t="shared" si="120"/>
        <v>8.2200000000000065E-2</v>
      </c>
      <c r="Z172" s="317">
        <f t="shared" si="120"/>
        <v>8.2300000000000068E-2</v>
      </c>
      <c r="AA172" s="317">
        <f t="shared" si="120"/>
        <v>8.240000000000007E-2</v>
      </c>
      <c r="AB172" s="317">
        <f t="shared" si="120"/>
        <v>8.2500000000000073E-2</v>
      </c>
      <c r="AC172" s="317">
        <f t="shared" si="120"/>
        <v>8.2600000000000076E-2</v>
      </c>
      <c r="AD172" s="317">
        <f t="shared" si="120"/>
        <v>8.2700000000000079E-2</v>
      </c>
      <c r="AE172" s="317">
        <f t="shared" si="120"/>
        <v>8.2800000000000082E-2</v>
      </c>
      <c r="AF172" s="317">
        <f t="shared" si="120"/>
        <v>8.2900000000000085E-2</v>
      </c>
      <c r="AG172" s="296">
        <v>8.3000000000000004E-2</v>
      </c>
      <c r="AI172" s="214"/>
      <c r="AJ172" s="211" t="s">
        <v>1363</v>
      </c>
    </row>
    <row r="173" spans="1:41" outlineLevel="1">
      <c r="A173" s="3" t="s">
        <v>452</v>
      </c>
      <c r="B173" s="302" t="s">
        <v>462</v>
      </c>
      <c r="C173" s="296">
        <v>0.27</v>
      </c>
      <c r="D173" s="317">
        <f t="shared" si="121"/>
        <v>0.27313333333333334</v>
      </c>
      <c r="E173" s="317">
        <f t="shared" si="121"/>
        <v>0.27626666666666666</v>
      </c>
      <c r="F173" s="317">
        <f t="shared" si="121"/>
        <v>0.27939999999999998</v>
      </c>
      <c r="G173" s="317">
        <f t="shared" si="121"/>
        <v>0.2825333333333333</v>
      </c>
      <c r="H173" s="317">
        <f t="shared" si="121"/>
        <v>0.28566666666666662</v>
      </c>
      <c r="I173" s="317">
        <f t="shared" si="121"/>
        <v>0.28879999999999995</v>
      </c>
      <c r="J173" s="317">
        <f t="shared" si="121"/>
        <v>0.29193333333333327</v>
      </c>
      <c r="K173" s="317">
        <f t="shared" si="121"/>
        <v>0.29506666666666659</v>
      </c>
      <c r="L173" s="317">
        <f t="shared" si="121"/>
        <v>0.29819999999999991</v>
      </c>
      <c r="M173" s="317">
        <f t="shared" si="121"/>
        <v>0.30133333333333323</v>
      </c>
      <c r="N173" s="317">
        <f t="shared" si="121"/>
        <v>0.30446666666666655</v>
      </c>
      <c r="O173" s="317">
        <f t="shared" si="121"/>
        <v>0.30759999999999987</v>
      </c>
      <c r="P173" s="317">
        <f t="shared" si="121"/>
        <v>0.31073333333333319</v>
      </c>
      <c r="Q173" s="317">
        <f t="shared" si="121"/>
        <v>0.31386666666666652</v>
      </c>
      <c r="R173" s="317">
        <f t="shared" si="121"/>
        <v>0.31699999999999984</v>
      </c>
      <c r="S173" s="317">
        <f t="shared" si="121"/>
        <v>0.32013333333333316</v>
      </c>
      <c r="T173" s="317">
        <f t="shared" si="120"/>
        <v>0.32326666666666648</v>
      </c>
      <c r="U173" s="317">
        <f t="shared" si="120"/>
        <v>0.3263999999999998</v>
      </c>
      <c r="V173" s="317">
        <f t="shared" si="120"/>
        <v>0.32953333333333312</v>
      </c>
      <c r="W173" s="317">
        <f t="shared" si="120"/>
        <v>0.33266666666666644</v>
      </c>
      <c r="X173" s="317">
        <f t="shared" si="120"/>
        <v>0.33579999999999977</v>
      </c>
      <c r="Y173" s="317">
        <f t="shared" si="120"/>
        <v>0.33893333333333309</v>
      </c>
      <c r="Z173" s="317">
        <f t="shared" si="120"/>
        <v>0.34206666666666641</v>
      </c>
      <c r="AA173" s="317">
        <f t="shared" si="120"/>
        <v>0.34519999999999973</v>
      </c>
      <c r="AB173" s="317">
        <f t="shared" si="120"/>
        <v>0.34833333333333305</v>
      </c>
      <c r="AC173" s="317">
        <f t="shared" si="120"/>
        <v>0.35146666666666637</v>
      </c>
      <c r="AD173" s="317">
        <f t="shared" si="120"/>
        <v>0.35459999999999969</v>
      </c>
      <c r="AE173" s="317">
        <f t="shared" si="120"/>
        <v>0.35773333333333301</v>
      </c>
      <c r="AF173" s="317">
        <f t="shared" si="120"/>
        <v>0.36086666666666634</v>
      </c>
      <c r="AG173" s="296">
        <v>0.36399999999999999</v>
      </c>
      <c r="AI173" s="214"/>
      <c r="AJ173" s="211" t="s">
        <v>1363</v>
      </c>
    </row>
    <row r="174" spans="1:41" outlineLevel="1">
      <c r="A174" s="3" t="s">
        <v>1364</v>
      </c>
      <c r="B174" s="302" t="s">
        <v>462</v>
      </c>
      <c r="C174" s="296">
        <v>7.0000000000000007E-2</v>
      </c>
      <c r="D174" s="317">
        <f t="shared" si="121"/>
        <v>7.1266666666666673E-2</v>
      </c>
      <c r="E174" s="317">
        <f t="shared" si="121"/>
        <v>7.2533333333333339E-2</v>
      </c>
      <c r="F174" s="317">
        <f t="shared" si="121"/>
        <v>7.3800000000000004E-2</v>
      </c>
      <c r="G174" s="317">
        <f t="shared" si="121"/>
        <v>7.506666666666667E-2</v>
      </c>
      <c r="H174" s="317">
        <f t="shared" si="121"/>
        <v>7.6333333333333336E-2</v>
      </c>
      <c r="I174" s="317">
        <f t="shared" si="121"/>
        <v>7.7600000000000002E-2</v>
      </c>
      <c r="J174" s="317">
        <f t="shared" si="121"/>
        <v>7.8866666666666668E-2</v>
      </c>
      <c r="K174" s="317">
        <f t="shared" si="121"/>
        <v>8.0133333333333334E-2</v>
      </c>
      <c r="L174" s="317">
        <f t="shared" si="121"/>
        <v>8.14E-2</v>
      </c>
      <c r="M174" s="317">
        <f t="shared" si="121"/>
        <v>8.2666666666666666E-2</v>
      </c>
      <c r="N174" s="317">
        <f t="shared" si="121"/>
        <v>8.3933333333333332E-2</v>
      </c>
      <c r="O174" s="317">
        <f t="shared" si="121"/>
        <v>8.5199999999999998E-2</v>
      </c>
      <c r="P174" s="317">
        <f t="shared" si="121"/>
        <v>8.6466666666666664E-2</v>
      </c>
      <c r="Q174" s="317">
        <f t="shared" si="121"/>
        <v>8.773333333333333E-2</v>
      </c>
      <c r="R174" s="317">
        <f t="shared" si="121"/>
        <v>8.8999999999999996E-2</v>
      </c>
      <c r="S174" s="317">
        <f t="shared" si="121"/>
        <v>9.0266666666666662E-2</v>
      </c>
      <c r="T174" s="317">
        <f t="shared" si="120"/>
        <v>9.1533333333333328E-2</v>
      </c>
      <c r="U174" s="317">
        <f t="shared" si="120"/>
        <v>9.2799999999999994E-2</v>
      </c>
      <c r="V174" s="317">
        <f t="shared" si="120"/>
        <v>9.406666666666666E-2</v>
      </c>
      <c r="W174" s="317">
        <f t="shared" si="120"/>
        <v>9.5333333333333325E-2</v>
      </c>
      <c r="X174" s="317">
        <f t="shared" si="120"/>
        <v>9.6599999999999991E-2</v>
      </c>
      <c r="Y174" s="317">
        <f t="shared" si="120"/>
        <v>9.7866666666666657E-2</v>
      </c>
      <c r="Z174" s="317">
        <f t="shared" si="120"/>
        <v>9.9133333333333323E-2</v>
      </c>
      <c r="AA174" s="317">
        <f t="shared" si="120"/>
        <v>0.10039999999999999</v>
      </c>
      <c r="AB174" s="317">
        <f t="shared" si="120"/>
        <v>0.10166666666666666</v>
      </c>
      <c r="AC174" s="317">
        <f t="shared" si="120"/>
        <v>0.10293333333333332</v>
      </c>
      <c r="AD174" s="317">
        <f t="shared" si="120"/>
        <v>0.10419999999999999</v>
      </c>
      <c r="AE174" s="317">
        <f t="shared" si="120"/>
        <v>0.10546666666666665</v>
      </c>
      <c r="AF174" s="317">
        <f t="shared" si="120"/>
        <v>0.10673333333333332</v>
      </c>
      <c r="AG174" s="296">
        <v>0.108</v>
      </c>
      <c r="AI174" s="214"/>
      <c r="AJ174" s="211" t="s">
        <v>1363</v>
      </c>
    </row>
    <row r="175" spans="1:41" outlineLevel="1">
      <c r="A175" s="3" t="s">
        <v>1365</v>
      </c>
      <c r="B175" s="302" t="s">
        <v>462</v>
      </c>
      <c r="C175" s="296">
        <v>0.05</v>
      </c>
      <c r="D175" s="317">
        <f t="shared" si="121"/>
        <v>5.0733333333333339E-2</v>
      </c>
      <c r="E175" s="317">
        <f t="shared" si="121"/>
        <v>5.1466666666666674E-2</v>
      </c>
      <c r="F175" s="317">
        <f t="shared" si="121"/>
        <v>5.220000000000001E-2</v>
      </c>
      <c r="G175" s="317">
        <f t="shared" si="121"/>
        <v>5.2933333333333346E-2</v>
      </c>
      <c r="H175" s="317">
        <f t="shared" si="121"/>
        <v>5.3666666666666682E-2</v>
      </c>
      <c r="I175" s="317">
        <f t="shared" si="121"/>
        <v>5.4400000000000018E-2</v>
      </c>
      <c r="J175" s="317">
        <f t="shared" si="121"/>
        <v>5.5133333333333354E-2</v>
      </c>
      <c r="K175" s="317">
        <f t="shared" si="121"/>
        <v>5.5866666666666689E-2</v>
      </c>
      <c r="L175" s="317">
        <f t="shared" si="121"/>
        <v>5.6600000000000025E-2</v>
      </c>
      <c r="M175" s="317">
        <f t="shared" si="121"/>
        <v>5.7333333333333361E-2</v>
      </c>
      <c r="N175" s="317">
        <f t="shared" si="121"/>
        <v>5.8066666666666697E-2</v>
      </c>
      <c r="O175" s="317">
        <f t="shared" si="121"/>
        <v>5.8800000000000033E-2</v>
      </c>
      <c r="P175" s="317">
        <f t="shared" si="121"/>
        <v>5.9533333333333369E-2</v>
      </c>
      <c r="Q175" s="317">
        <f t="shared" si="121"/>
        <v>6.0266666666666704E-2</v>
      </c>
      <c r="R175" s="317">
        <f t="shared" si="121"/>
        <v>6.100000000000004E-2</v>
      </c>
      <c r="S175" s="317">
        <f t="shared" si="121"/>
        <v>6.1733333333333376E-2</v>
      </c>
      <c r="T175" s="317">
        <f t="shared" si="120"/>
        <v>6.2466666666666712E-2</v>
      </c>
      <c r="U175" s="317">
        <f t="shared" si="120"/>
        <v>6.3200000000000048E-2</v>
      </c>
      <c r="V175" s="317">
        <f t="shared" si="120"/>
        <v>6.3933333333333384E-2</v>
      </c>
      <c r="W175" s="317">
        <f t="shared" si="120"/>
        <v>6.4666666666666719E-2</v>
      </c>
      <c r="X175" s="317">
        <f t="shared" si="120"/>
        <v>6.5400000000000055E-2</v>
      </c>
      <c r="Y175" s="317">
        <f t="shared" si="120"/>
        <v>6.6133333333333391E-2</v>
      </c>
      <c r="Z175" s="317">
        <f t="shared" si="120"/>
        <v>6.6866666666666727E-2</v>
      </c>
      <c r="AA175" s="317">
        <f t="shared" si="120"/>
        <v>6.7600000000000063E-2</v>
      </c>
      <c r="AB175" s="317">
        <f t="shared" si="120"/>
        <v>6.8333333333333399E-2</v>
      </c>
      <c r="AC175" s="317">
        <f t="shared" si="120"/>
        <v>6.9066666666666734E-2</v>
      </c>
      <c r="AD175" s="317">
        <f t="shared" si="120"/>
        <v>6.980000000000007E-2</v>
      </c>
      <c r="AE175" s="317">
        <f t="shared" si="120"/>
        <v>7.0533333333333406E-2</v>
      </c>
      <c r="AF175" s="317">
        <f t="shared" si="120"/>
        <v>7.1266666666666742E-2</v>
      </c>
      <c r="AG175" s="296">
        <v>7.1999999999999995E-2</v>
      </c>
      <c r="AI175" s="214"/>
      <c r="AJ175" s="211" t="s">
        <v>1363</v>
      </c>
    </row>
    <row r="176" spans="1:41" s="58" customFormat="1" outlineLevel="1">
      <c r="A176" s="306" t="s">
        <v>1366</v>
      </c>
      <c r="B176" s="303"/>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c r="AC176" s="304"/>
      <c r="AD176" s="304"/>
      <c r="AE176" s="304"/>
      <c r="AF176" s="304"/>
      <c r="AG176" s="304"/>
      <c r="AI176" s="305"/>
      <c r="AJ176" s="306"/>
    </row>
    <row r="177" spans="1:36" s="58" customFormat="1" outlineLevel="1">
      <c r="A177" s="307" t="s">
        <v>1367</v>
      </c>
      <c r="B177" s="308" t="s">
        <v>462</v>
      </c>
      <c r="C177" s="337">
        <v>0.84</v>
      </c>
      <c r="D177" s="338">
        <f>-($C177-$AG177)/30+C177</f>
        <v>0.84399999999999997</v>
      </c>
      <c r="E177" s="338">
        <f t="shared" ref="E177:T178" si="122">-($C177-$AG177)/30+D177</f>
        <v>0.84799999999999998</v>
      </c>
      <c r="F177" s="338">
        <f t="shared" si="122"/>
        <v>0.85199999999999998</v>
      </c>
      <c r="G177" s="338">
        <f t="shared" si="122"/>
        <v>0.85599999999999998</v>
      </c>
      <c r="H177" s="338">
        <f t="shared" si="122"/>
        <v>0.86</v>
      </c>
      <c r="I177" s="338">
        <f t="shared" si="122"/>
        <v>0.86399999999999999</v>
      </c>
      <c r="J177" s="338">
        <f t="shared" si="122"/>
        <v>0.86799999999999999</v>
      </c>
      <c r="K177" s="338">
        <f t="shared" si="122"/>
        <v>0.872</v>
      </c>
      <c r="L177" s="338">
        <f t="shared" si="122"/>
        <v>0.876</v>
      </c>
      <c r="M177" s="338">
        <f t="shared" si="122"/>
        <v>0.88</v>
      </c>
      <c r="N177" s="338">
        <f t="shared" si="122"/>
        <v>0.88400000000000001</v>
      </c>
      <c r="O177" s="338">
        <f t="shared" si="122"/>
        <v>0.88800000000000001</v>
      </c>
      <c r="P177" s="338">
        <f t="shared" si="122"/>
        <v>0.89200000000000002</v>
      </c>
      <c r="Q177" s="338">
        <f t="shared" si="122"/>
        <v>0.89600000000000002</v>
      </c>
      <c r="R177" s="338">
        <f t="shared" si="122"/>
        <v>0.9</v>
      </c>
      <c r="S177" s="338">
        <f t="shared" si="122"/>
        <v>0.90400000000000003</v>
      </c>
      <c r="T177" s="338">
        <f t="shared" si="122"/>
        <v>0.90800000000000003</v>
      </c>
      <c r="U177" s="338">
        <f t="shared" ref="U177:AF178" si="123">-($C177-$AG177)/30+T177</f>
        <v>0.91200000000000003</v>
      </c>
      <c r="V177" s="338">
        <f t="shared" si="123"/>
        <v>0.91600000000000004</v>
      </c>
      <c r="W177" s="338">
        <f t="shared" si="123"/>
        <v>0.92</v>
      </c>
      <c r="X177" s="338">
        <f t="shared" si="123"/>
        <v>0.92400000000000004</v>
      </c>
      <c r="Y177" s="338">
        <f t="shared" si="123"/>
        <v>0.92800000000000005</v>
      </c>
      <c r="Z177" s="338">
        <f t="shared" si="123"/>
        <v>0.93200000000000005</v>
      </c>
      <c r="AA177" s="338">
        <f t="shared" si="123"/>
        <v>0.93600000000000005</v>
      </c>
      <c r="AB177" s="338">
        <f t="shared" si="123"/>
        <v>0.94000000000000006</v>
      </c>
      <c r="AC177" s="338">
        <f t="shared" si="123"/>
        <v>0.94400000000000006</v>
      </c>
      <c r="AD177" s="338">
        <f t="shared" si="123"/>
        <v>0.94800000000000006</v>
      </c>
      <c r="AE177" s="338">
        <f t="shared" si="123"/>
        <v>0.95200000000000007</v>
      </c>
      <c r="AF177" s="338">
        <f t="shared" si="123"/>
        <v>0.95600000000000007</v>
      </c>
      <c r="AG177" s="337">
        <v>0.96</v>
      </c>
      <c r="AI177" s="305"/>
      <c r="AJ177" s="339" t="s">
        <v>1363</v>
      </c>
    </row>
    <row r="178" spans="1:36" s="58" customFormat="1" outlineLevel="1">
      <c r="A178" s="307" t="s">
        <v>1368</v>
      </c>
      <c r="B178" s="308" t="s">
        <v>462</v>
      </c>
      <c r="C178" s="337">
        <v>0.22</v>
      </c>
      <c r="D178" s="338">
        <f>-($C178-$AG178)/30+C178</f>
        <v>0.22666666666666666</v>
      </c>
      <c r="E178" s="338">
        <f t="shared" si="122"/>
        <v>0.23333333333333331</v>
      </c>
      <c r="F178" s="338">
        <f t="shared" si="122"/>
        <v>0.23999999999999996</v>
      </c>
      <c r="G178" s="338">
        <f t="shared" si="122"/>
        <v>0.24666666666666662</v>
      </c>
      <c r="H178" s="338">
        <f t="shared" si="122"/>
        <v>0.2533333333333333</v>
      </c>
      <c r="I178" s="338">
        <f t="shared" si="122"/>
        <v>0.25999999999999995</v>
      </c>
      <c r="J178" s="338">
        <f t="shared" si="122"/>
        <v>0.26666666666666661</v>
      </c>
      <c r="K178" s="338">
        <f t="shared" si="122"/>
        <v>0.27333333333333326</v>
      </c>
      <c r="L178" s="338">
        <f t="shared" si="122"/>
        <v>0.27999999999999992</v>
      </c>
      <c r="M178" s="338">
        <f t="shared" si="122"/>
        <v>0.28666666666666657</v>
      </c>
      <c r="N178" s="338">
        <f t="shared" si="122"/>
        <v>0.29333333333333322</v>
      </c>
      <c r="O178" s="338">
        <f t="shared" si="122"/>
        <v>0.29999999999999988</v>
      </c>
      <c r="P178" s="338">
        <f t="shared" si="122"/>
        <v>0.30666666666666653</v>
      </c>
      <c r="Q178" s="338">
        <f t="shared" si="122"/>
        <v>0.31333333333333319</v>
      </c>
      <c r="R178" s="338">
        <f t="shared" si="122"/>
        <v>0.31999999999999984</v>
      </c>
      <c r="S178" s="338">
        <f t="shared" si="122"/>
        <v>0.32666666666666649</v>
      </c>
      <c r="T178" s="338">
        <f t="shared" si="122"/>
        <v>0.33333333333333315</v>
      </c>
      <c r="U178" s="338">
        <f t="shared" si="123"/>
        <v>0.3399999999999998</v>
      </c>
      <c r="V178" s="338">
        <f t="shared" si="123"/>
        <v>0.34666666666666646</v>
      </c>
      <c r="W178" s="338">
        <f t="shared" si="123"/>
        <v>0.35333333333333311</v>
      </c>
      <c r="X178" s="338">
        <f t="shared" si="123"/>
        <v>0.35999999999999976</v>
      </c>
      <c r="Y178" s="338">
        <f t="shared" si="123"/>
        <v>0.36666666666666642</v>
      </c>
      <c r="Z178" s="338">
        <f t="shared" si="123"/>
        <v>0.37333333333333307</v>
      </c>
      <c r="AA178" s="338">
        <f t="shared" si="123"/>
        <v>0.37999999999999973</v>
      </c>
      <c r="AB178" s="338">
        <f t="shared" si="123"/>
        <v>0.38666666666666638</v>
      </c>
      <c r="AC178" s="338">
        <f t="shared" si="123"/>
        <v>0.39333333333333304</v>
      </c>
      <c r="AD178" s="338">
        <f t="shared" si="123"/>
        <v>0.39999999999999969</v>
      </c>
      <c r="AE178" s="338">
        <f t="shared" si="123"/>
        <v>0.40666666666666634</v>
      </c>
      <c r="AF178" s="338">
        <f t="shared" si="123"/>
        <v>0.413333333333333</v>
      </c>
      <c r="AG178" s="337">
        <v>0.42</v>
      </c>
      <c r="AI178" s="305"/>
      <c r="AJ178" s="339" t="s">
        <v>1363</v>
      </c>
    </row>
    <row r="179" spans="1:36" s="62" customFormat="1" outlineLevel="1">
      <c r="A179" s="311" t="s">
        <v>1369</v>
      </c>
      <c r="B179" s="312" t="s">
        <v>462</v>
      </c>
      <c r="C179" s="340">
        <f>1-C178</f>
        <v>0.78</v>
      </c>
      <c r="D179" s="340">
        <f t="shared" ref="D179:AG179" si="124">1-D178</f>
        <v>0.77333333333333332</v>
      </c>
      <c r="E179" s="340">
        <f t="shared" si="124"/>
        <v>0.76666666666666672</v>
      </c>
      <c r="F179" s="340">
        <f t="shared" si="124"/>
        <v>0.76</v>
      </c>
      <c r="G179" s="340">
        <f t="shared" si="124"/>
        <v>0.75333333333333341</v>
      </c>
      <c r="H179" s="340">
        <f t="shared" si="124"/>
        <v>0.7466666666666667</v>
      </c>
      <c r="I179" s="340">
        <f t="shared" si="124"/>
        <v>0.74</v>
      </c>
      <c r="J179" s="340">
        <f t="shared" si="124"/>
        <v>0.73333333333333339</v>
      </c>
      <c r="K179" s="340">
        <f t="shared" si="124"/>
        <v>0.72666666666666679</v>
      </c>
      <c r="L179" s="340">
        <f t="shared" si="124"/>
        <v>0.72000000000000008</v>
      </c>
      <c r="M179" s="340">
        <f t="shared" si="124"/>
        <v>0.71333333333333337</v>
      </c>
      <c r="N179" s="340">
        <f t="shared" si="124"/>
        <v>0.70666666666666678</v>
      </c>
      <c r="O179" s="340">
        <f t="shared" si="124"/>
        <v>0.70000000000000018</v>
      </c>
      <c r="P179" s="340">
        <f t="shared" si="124"/>
        <v>0.69333333333333347</v>
      </c>
      <c r="Q179" s="340">
        <f t="shared" si="124"/>
        <v>0.68666666666666676</v>
      </c>
      <c r="R179" s="340">
        <f t="shared" si="124"/>
        <v>0.68000000000000016</v>
      </c>
      <c r="S179" s="340">
        <f t="shared" si="124"/>
        <v>0.67333333333333356</v>
      </c>
      <c r="T179" s="340">
        <f t="shared" si="124"/>
        <v>0.66666666666666685</v>
      </c>
      <c r="U179" s="340">
        <f t="shared" si="124"/>
        <v>0.66000000000000014</v>
      </c>
      <c r="V179" s="340">
        <f t="shared" si="124"/>
        <v>0.65333333333333354</v>
      </c>
      <c r="W179" s="340">
        <f t="shared" si="124"/>
        <v>0.64666666666666694</v>
      </c>
      <c r="X179" s="340">
        <f t="shared" si="124"/>
        <v>0.64000000000000024</v>
      </c>
      <c r="Y179" s="340">
        <f t="shared" si="124"/>
        <v>0.63333333333333353</v>
      </c>
      <c r="Z179" s="340">
        <f t="shared" si="124"/>
        <v>0.62666666666666693</v>
      </c>
      <c r="AA179" s="340">
        <f t="shared" si="124"/>
        <v>0.62000000000000033</v>
      </c>
      <c r="AB179" s="340">
        <f t="shared" si="124"/>
        <v>0.61333333333333362</v>
      </c>
      <c r="AC179" s="340">
        <f t="shared" si="124"/>
        <v>0.60666666666666691</v>
      </c>
      <c r="AD179" s="340">
        <f t="shared" si="124"/>
        <v>0.60000000000000031</v>
      </c>
      <c r="AE179" s="340">
        <f t="shared" si="124"/>
        <v>0.59333333333333371</v>
      </c>
      <c r="AF179" s="340">
        <f t="shared" si="124"/>
        <v>0.586666666666667</v>
      </c>
      <c r="AG179" s="340">
        <f t="shared" si="124"/>
        <v>0.58000000000000007</v>
      </c>
      <c r="AI179" s="342"/>
      <c r="AJ179" s="341" t="s">
        <v>1363</v>
      </c>
    </row>
    <row r="180" spans="1:36" s="1" customFormat="1" outlineLevel="1">
      <c r="A180" t="s">
        <v>1370</v>
      </c>
      <c r="B180" s="302" t="s">
        <v>462</v>
      </c>
      <c r="C180" s="296">
        <v>0.95</v>
      </c>
      <c r="D180" s="317">
        <f t="shared" ref="D180:S195" si="125">-($C180-$AG180)/30+C180</f>
        <v>0.94499999999999995</v>
      </c>
      <c r="E180" s="317">
        <f t="shared" si="125"/>
        <v>0.94</v>
      </c>
      <c r="F180" s="317">
        <f t="shared" si="125"/>
        <v>0.93499999999999994</v>
      </c>
      <c r="G180" s="317">
        <f t="shared" si="125"/>
        <v>0.92999999999999994</v>
      </c>
      <c r="H180" s="317">
        <f t="shared" si="125"/>
        <v>0.92499999999999993</v>
      </c>
      <c r="I180" s="317">
        <f t="shared" si="125"/>
        <v>0.91999999999999993</v>
      </c>
      <c r="J180" s="317">
        <f t="shared" si="125"/>
        <v>0.91499999999999992</v>
      </c>
      <c r="K180" s="317">
        <f t="shared" si="125"/>
        <v>0.90999999999999992</v>
      </c>
      <c r="L180" s="317">
        <f t="shared" si="125"/>
        <v>0.90499999999999992</v>
      </c>
      <c r="M180" s="317">
        <f t="shared" si="125"/>
        <v>0.89999999999999991</v>
      </c>
      <c r="N180" s="317">
        <f t="shared" si="125"/>
        <v>0.89499999999999991</v>
      </c>
      <c r="O180" s="317">
        <f t="shared" si="125"/>
        <v>0.8899999999999999</v>
      </c>
      <c r="P180" s="317">
        <f t="shared" si="125"/>
        <v>0.8849999999999999</v>
      </c>
      <c r="Q180" s="317">
        <f t="shared" si="125"/>
        <v>0.87999999999999989</v>
      </c>
      <c r="R180" s="317">
        <f t="shared" si="125"/>
        <v>0.87499999999999989</v>
      </c>
      <c r="S180" s="317">
        <f t="shared" si="125"/>
        <v>0.86999999999999988</v>
      </c>
      <c r="T180" s="317">
        <f t="shared" ref="T180:AF194" si="126">-($C180-$AG180)/30+S180</f>
        <v>0.86499999999999988</v>
      </c>
      <c r="U180" s="317">
        <f t="shared" si="126"/>
        <v>0.85999999999999988</v>
      </c>
      <c r="V180" s="317">
        <f t="shared" si="126"/>
        <v>0.85499999999999987</v>
      </c>
      <c r="W180" s="317">
        <f t="shared" si="126"/>
        <v>0.84999999999999987</v>
      </c>
      <c r="X180" s="317">
        <f t="shared" si="126"/>
        <v>0.84499999999999986</v>
      </c>
      <c r="Y180" s="317">
        <f t="shared" si="126"/>
        <v>0.83999999999999986</v>
      </c>
      <c r="Z180" s="317">
        <f t="shared" si="126"/>
        <v>0.83499999999999985</v>
      </c>
      <c r="AA180" s="317">
        <f t="shared" si="126"/>
        <v>0.82999999999999985</v>
      </c>
      <c r="AB180" s="317">
        <f t="shared" si="126"/>
        <v>0.82499999999999984</v>
      </c>
      <c r="AC180" s="317">
        <f t="shared" si="126"/>
        <v>0.81999999999999984</v>
      </c>
      <c r="AD180" s="317">
        <f t="shared" si="126"/>
        <v>0.81499999999999984</v>
      </c>
      <c r="AE180" s="317">
        <f t="shared" si="126"/>
        <v>0.80999999999999983</v>
      </c>
      <c r="AF180" s="317">
        <f t="shared" si="126"/>
        <v>0.80499999999999983</v>
      </c>
      <c r="AG180" s="296">
        <v>0.8</v>
      </c>
      <c r="AI180" s="316"/>
      <c r="AJ180" s="211" t="s">
        <v>1363</v>
      </c>
    </row>
    <row r="181" spans="1:36" s="1" customFormat="1" outlineLevel="1">
      <c r="A181" t="s">
        <v>1371</v>
      </c>
      <c r="B181" s="302" t="s">
        <v>462</v>
      </c>
      <c r="C181" s="296">
        <v>0.05</v>
      </c>
      <c r="D181" s="317">
        <f t="shared" si="125"/>
        <v>5.5000000000000007E-2</v>
      </c>
      <c r="E181" s="317">
        <f t="shared" si="125"/>
        <v>6.0000000000000012E-2</v>
      </c>
      <c r="F181" s="317">
        <f t="shared" si="125"/>
        <v>6.5000000000000016E-2</v>
      </c>
      <c r="G181" s="317">
        <f t="shared" si="125"/>
        <v>7.0000000000000021E-2</v>
      </c>
      <c r="H181" s="317">
        <f t="shared" si="125"/>
        <v>7.5000000000000025E-2</v>
      </c>
      <c r="I181" s="317">
        <f t="shared" si="125"/>
        <v>8.0000000000000029E-2</v>
      </c>
      <c r="J181" s="317">
        <f t="shared" si="125"/>
        <v>8.5000000000000034E-2</v>
      </c>
      <c r="K181" s="317">
        <f t="shared" si="125"/>
        <v>9.0000000000000038E-2</v>
      </c>
      <c r="L181" s="317">
        <f t="shared" si="125"/>
        <v>9.5000000000000043E-2</v>
      </c>
      <c r="M181" s="317">
        <f t="shared" si="125"/>
        <v>0.10000000000000005</v>
      </c>
      <c r="N181" s="317">
        <f t="shared" si="125"/>
        <v>0.10500000000000005</v>
      </c>
      <c r="O181" s="317">
        <f t="shared" si="125"/>
        <v>0.11000000000000006</v>
      </c>
      <c r="P181" s="317">
        <f t="shared" si="125"/>
        <v>0.11500000000000006</v>
      </c>
      <c r="Q181" s="317">
        <f t="shared" si="125"/>
        <v>0.12000000000000006</v>
      </c>
      <c r="R181" s="317">
        <f t="shared" si="125"/>
        <v>0.12500000000000006</v>
      </c>
      <c r="S181" s="317">
        <f t="shared" si="125"/>
        <v>0.13000000000000006</v>
      </c>
      <c r="T181" s="317">
        <f t="shared" si="126"/>
        <v>0.13500000000000006</v>
      </c>
      <c r="U181" s="317">
        <f t="shared" si="126"/>
        <v>0.14000000000000007</v>
      </c>
      <c r="V181" s="317">
        <f t="shared" si="126"/>
        <v>0.14500000000000007</v>
      </c>
      <c r="W181" s="317">
        <f t="shared" si="126"/>
        <v>0.15000000000000008</v>
      </c>
      <c r="X181" s="317">
        <f t="shared" si="126"/>
        <v>0.15500000000000008</v>
      </c>
      <c r="Y181" s="317">
        <f t="shared" si="126"/>
        <v>0.16000000000000009</v>
      </c>
      <c r="Z181" s="317">
        <f t="shared" si="126"/>
        <v>0.16500000000000009</v>
      </c>
      <c r="AA181" s="317">
        <f t="shared" si="126"/>
        <v>0.1700000000000001</v>
      </c>
      <c r="AB181" s="317">
        <f t="shared" si="126"/>
        <v>0.1750000000000001</v>
      </c>
      <c r="AC181" s="317">
        <f t="shared" si="126"/>
        <v>0.1800000000000001</v>
      </c>
      <c r="AD181" s="317">
        <f t="shared" si="126"/>
        <v>0.18500000000000011</v>
      </c>
      <c r="AE181" s="317">
        <f t="shared" si="126"/>
        <v>0.19000000000000011</v>
      </c>
      <c r="AF181" s="317">
        <f t="shared" si="126"/>
        <v>0.19500000000000012</v>
      </c>
      <c r="AG181" s="296">
        <v>0.2</v>
      </c>
      <c r="AI181" s="435" t="s">
        <v>1506</v>
      </c>
      <c r="AJ181" s="211" t="s">
        <v>1363</v>
      </c>
    </row>
    <row r="182" spans="1:36" s="1" customFormat="1" outlineLevel="1">
      <c r="A182" t="s">
        <v>1372</v>
      </c>
      <c r="B182" s="302" t="s">
        <v>462</v>
      </c>
      <c r="C182" s="296">
        <v>0.15</v>
      </c>
      <c r="D182" s="317">
        <f t="shared" si="125"/>
        <v>0.15633333333333332</v>
      </c>
      <c r="E182" s="317">
        <f t="shared" si="125"/>
        <v>0.16266666666666665</v>
      </c>
      <c r="F182" s="317">
        <f t="shared" si="125"/>
        <v>0.16899999999999998</v>
      </c>
      <c r="G182" s="317">
        <f t="shared" si="125"/>
        <v>0.17533333333333331</v>
      </c>
      <c r="H182" s="317">
        <f t="shared" si="125"/>
        <v>0.18166666666666664</v>
      </c>
      <c r="I182" s="317">
        <f t="shared" si="125"/>
        <v>0.18799999999999997</v>
      </c>
      <c r="J182" s="317">
        <f t="shared" si="125"/>
        <v>0.1943333333333333</v>
      </c>
      <c r="K182" s="317">
        <f t="shared" si="125"/>
        <v>0.20066666666666663</v>
      </c>
      <c r="L182" s="317">
        <f t="shared" si="125"/>
        <v>0.20699999999999996</v>
      </c>
      <c r="M182" s="317">
        <f t="shared" si="125"/>
        <v>0.21333333333333329</v>
      </c>
      <c r="N182" s="317">
        <f t="shared" si="125"/>
        <v>0.21966666666666662</v>
      </c>
      <c r="O182" s="317">
        <f t="shared" si="125"/>
        <v>0.22599999999999995</v>
      </c>
      <c r="P182" s="317">
        <f t="shared" si="125"/>
        <v>0.23233333333333328</v>
      </c>
      <c r="Q182" s="317">
        <f t="shared" si="125"/>
        <v>0.23866666666666661</v>
      </c>
      <c r="R182" s="317">
        <f t="shared" si="125"/>
        <v>0.24499999999999994</v>
      </c>
      <c r="S182" s="317">
        <f t="shared" si="125"/>
        <v>0.2513333333333333</v>
      </c>
      <c r="T182" s="317">
        <f t="shared" si="126"/>
        <v>0.25766666666666665</v>
      </c>
      <c r="U182" s="317">
        <f t="shared" si="126"/>
        <v>0.26400000000000001</v>
      </c>
      <c r="V182" s="317">
        <f t="shared" si="126"/>
        <v>0.27033333333333337</v>
      </c>
      <c r="W182" s="317">
        <f t="shared" si="126"/>
        <v>0.27666666666666673</v>
      </c>
      <c r="X182" s="317">
        <f t="shared" si="126"/>
        <v>0.28300000000000008</v>
      </c>
      <c r="Y182" s="317">
        <f t="shared" si="126"/>
        <v>0.28933333333333344</v>
      </c>
      <c r="Z182" s="317">
        <f t="shared" si="126"/>
        <v>0.2956666666666668</v>
      </c>
      <c r="AA182" s="317">
        <f t="shared" si="126"/>
        <v>0.30200000000000016</v>
      </c>
      <c r="AB182" s="317">
        <f t="shared" si="126"/>
        <v>0.30833333333333351</v>
      </c>
      <c r="AC182" s="317">
        <f t="shared" si="126"/>
        <v>0.31466666666666687</v>
      </c>
      <c r="AD182" s="317">
        <f t="shared" si="126"/>
        <v>0.32100000000000023</v>
      </c>
      <c r="AE182" s="317">
        <f t="shared" si="126"/>
        <v>0.32733333333333359</v>
      </c>
      <c r="AF182" s="317">
        <f t="shared" si="126"/>
        <v>0.33366666666666694</v>
      </c>
      <c r="AG182" s="296">
        <v>0.34</v>
      </c>
      <c r="AI182" s="316"/>
      <c r="AJ182" s="211" t="s">
        <v>1363</v>
      </c>
    </row>
    <row r="183" spans="1:36" s="1" customFormat="1" outlineLevel="1">
      <c r="A183" t="s">
        <v>1373</v>
      </c>
      <c r="B183" s="302" t="s">
        <v>462</v>
      </c>
      <c r="C183" s="296">
        <v>0.85</v>
      </c>
      <c r="D183" s="317">
        <f t="shared" si="125"/>
        <v>0.84366666666666668</v>
      </c>
      <c r="E183" s="317">
        <f t="shared" si="125"/>
        <v>0.83733333333333337</v>
      </c>
      <c r="F183" s="317">
        <f t="shared" si="125"/>
        <v>0.83100000000000007</v>
      </c>
      <c r="G183" s="317">
        <f t="shared" si="125"/>
        <v>0.82466666666666677</v>
      </c>
      <c r="H183" s="317">
        <f t="shared" si="125"/>
        <v>0.81833333333333347</v>
      </c>
      <c r="I183" s="317">
        <f t="shared" si="125"/>
        <v>0.81200000000000017</v>
      </c>
      <c r="J183" s="317">
        <f t="shared" si="125"/>
        <v>0.80566666666666686</v>
      </c>
      <c r="K183" s="317">
        <f t="shared" si="125"/>
        <v>0.79933333333333356</v>
      </c>
      <c r="L183" s="317">
        <f t="shared" si="125"/>
        <v>0.79300000000000026</v>
      </c>
      <c r="M183" s="317">
        <f t="shared" si="125"/>
        <v>0.78666666666666696</v>
      </c>
      <c r="N183" s="317">
        <f t="shared" si="125"/>
        <v>0.78033333333333366</v>
      </c>
      <c r="O183" s="317">
        <f t="shared" si="125"/>
        <v>0.77400000000000035</v>
      </c>
      <c r="P183" s="317">
        <f t="shared" si="125"/>
        <v>0.76766666666666705</v>
      </c>
      <c r="Q183" s="317">
        <f t="shared" si="125"/>
        <v>0.76133333333333375</v>
      </c>
      <c r="R183" s="317">
        <f t="shared" si="125"/>
        <v>0.75500000000000045</v>
      </c>
      <c r="S183" s="317">
        <f t="shared" si="125"/>
        <v>0.74866666666666715</v>
      </c>
      <c r="T183" s="317">
        <f t="shared" si="126"/>
        <v>0.74233333333333384</v>
      </c>
      <c r="U183" s="317">
        <f t="shared" si="126"/>
        <v>0.73600000000000054</v>
      </c>
      <c r="V183" s="317">
        <f t="shared" si="126"/>
        <v>0.72966666666666724</v>
      </c>
      <c r="W183" s="317">
        <f t="shared" si="126"/>
        <v>0.72333333333333394</v>
      </c>
      <c r="X183" s="317">
        <f t="shared" si="126"/>
        <v>0.71700000000000064</v>
      </c>
      <c r="Y183" s="317">
        <f t="shared" si="126"/>
        <v>0.71066666666666733</v>
      </c>
      <c r="Z183" s="317">
        <f t="shared" si="126"/>
        <v>0.70433333333333403</v>
      </c>
      <c r="AA183" s="317">
        <f t="shared" si="126"/>
        <v>0.69800000000000073</v>
      </c>
      <c r="AB183" s="317">
        <f t="shared" si="126"/>
        <v>0.69166666666666743</v>
      </c>
      <c r="AC183" s="317">
        <f t="shared" si="126"/>
        <v>0.68533333333333413</v>
      </c>
      <c r="AD183" s="317">
        <f t="shared" si="126"/>
        <v>0.67900000000000083</v>
      </c>
      <c r="AE183" s="317">
        <f t="shared" si="126"/>
        <v>0.67266666666666752</v>
      </c>
      <c r="AF183" s="317">
        <f t="shared" si="126"/>
        <v>0.66633333333333422</v>
      </c>
      <c r="AG183" s="296">
        <v>0.66</v>
      </c>
      <c r="AI183" s="316"/>
      <c r="AJ183" s="211" t="s">
        <v>1363</v>
      </c>
    </row>
    <row r="184" spans="1:36" s="1" customFormat="1" outlineLevel="1">
      <c r="A184" t="s">
        <v>1374</v>
      </c>
      <c r="B184" s="302" t="s">
        <v>462</v>
      </c>
      <c r="C184" s="296">
        <v>0</v>
      </c>
      <c r="D184" s="317">
        <f t="shared" si="125"/>
        <v>0</v>
      </c>
      <c r="E184" s="317">
        <f t="shared" si="125"/>
        <v>0</v>
      </c>
      <c r="F184" s="317">
        <f t="shared" si="125"/>
        <v>0</v>
      </c>
      <c r="G184" s="317">
        <f t="shared" si="125"/>
        <v>0</v>
      </c>
      <c r="H184" s="317">
        <f t="shared" si="125"/>
        <v>0</v>
      </c>
      <c r="I184" s="317">
        <f t="shared" si="125"/>
        <v>0</v>
      </c>
      <c r="J184" s="317">
        <f t="shared" si="125"/>
        <v>0</v>
      </c>
      <c r="K184" s="317">
        <f t="shared" si="125"/>
        <v>0</v>
      </c>
      <c r="L184" s="317">
        <f t="shared" si="125"/>
        <v>0</v>
      </c>
      <c r="M184" s="317">
        <f t="shared" si="125"/>
        <v>0</v>
      </c>
      <c r="N184" s="317">
        <f t="shared" si="125"/>
        <v>0</v>
      </c>
      <c r="O184" s="317">
        <f t="shared" si="125"/>
        <v>0</v>
      </c>
      <c r="P184" s="317">
        <f t="shared" si="125"/>
        <v>0</v>
      </c>
      <c r="Q184" s="317">
        <f t="shared" si="125"/>
        <v>0</v>
      </c>
      <c r="R184" s="317">
        <f t="shared" si="125"/>
        <v>0</v>
      </c>
      <c r="S184" s="317">
        <f t="shared" si="125"/>
        <v>0</v>
      </c>
      <c r="T184" s="317">
        <f t="shared" si="126"/>
        <v>0</v>
      </c>
      <c r="U184" s="317">
        <f t="shared" si="126"/>
        <v>0</v>
      </c>
      <c r="V184" s="317">
        <f t="shared" si="126"/>
        <v>0</v>
      </c>
      <c r="W184" s="317">
        <f t="shared" si="126"/>
        <v>0</v>
      </c>
      <c r="X184" s="317">
        <f t="shared" si="126"/>
        <v>0</v>
      </c>
      <c r="Y184" s="317">
        <f t="shared" si="126"/>
        <v>0</v>
      </c>
      <c r="Z184" s="317">
        <f t="shared" si="126"/>
        <v>0</v>
      </c>
      <c r="AA184" s="317">
        <f t="shared" si="126"/>
        <v>0</v>
      </c>
      <c r="AB184" s="317">
        <f t="shared" si="126"/>
        <v>0</v>
      </c>
      <c r="AC184" s="317">
        <f t="shared" si="126"/>
        <v>0</v>
      </c>
      <c r="AD184" s="317">
        <f t="shared" si="126"/>
        <v>0</v>
      </c>
      <c r="AE184" s="317">
        <f t="shared" si="126"/>
        <v>0</v>
      </c>
      <c r="AF184" s="317">
        <f t="shared" si="126"/>
        <v>0</v>
      </c>
      <c r="AG184" s="296">
        <v>0</v>
      </c>
      <c r="AI184" s="316"/>
      <c r="AJ184" s="211" t="s">
        <v>1363</v>
      </c>
    </row>
    <row r="185" spans="1:36" s="1" customFormat="1" outlineLevel="1">
      <c r="A185" t="s">
        <v>1375</v>
      </c>
      <c r="B185" s="302" t="s">
        <v>462</v>
      </c>
      <c r="C185" s="296">
        <v>1</v>
      </c>
      <c r="D185" s="317">
        <f t="shared" si="125"/>
        <v>1</v>
      </c>
      <c r="E185" s="317">
        <f t="shared" si="125"/>
        <v>1</v>
      </c>
      <c r="F185" s="317">
        <f t="shared" si="125"/>
        <v>1</v>
      </c>
      <c r="G185" s="317">
        <f t="shared" si="125"/>
        <v>1</v>
      </c>
      <c r="H185" s="317">
        <f t="shared" si="125"/>
        <v>1</v>
      </c>
      <c r="I185" s="317">
        <f t="shared" si="125"/>
        <v>1</v>
      </c>
      <c r="J185" s="317">
        <f t="shared" si="125"/>
        <v>1</v>
      </c>
      <c r="K185" s="317">
        <f t="shared" si="125"/>
        <v>1</v>
      </c>
      <c r="L185" s="317">
        <f t="shared" si="125"/>
        <v>1</v>
      </c>
      <c r="M185" s="317">
        <f t="shared" si="125"/>
        <v>1</v>
      </c>
      <c r="N185" s="317">
        <f t="shared" si="125"/>
        <v>1</v>
      </c>
      <c r="O185" s="317">
        <f t="shared" si="125"/>
        <v>1</v>
      </c>
      <c r="P185" s="317">
        <f t="shared" si="125"/>
        <v>1</v>
      </c>
      <c r="Q185" s="317">
        <f t="shared" si="125"/>
        <v>1</v>
      </c>
      <c r="R185" s="317">
        <f t="shared" si="125"/>
        <v>1</v>
      </c>
      <c r="S185" s="317">
        <f t="shared" si="125"/>
        <v>1</v>
      </c>
      <c r="T185" s="317">
        <f t="shared" si="126"/>
        <v>1</v>
      </c>
      <c r="U185" s="317">
        <f t="shared" si="126"/>
        <v>1</v>
      </c>
      <c r="V185" s="317">
        <f t="shared" si="126"/>
        <v>1</v>
      </c>
      <c r="W185" s="317">
        <f t="shared" si="126"/>
        <v>1</v>
      </c>
      <c r="X185" s="317">
        <f t="shared" si="126"/>
        <v>1</v>
      </c>
      <c r="Y185" s="317">
        <f t="shared" si="126"/>
        <v>1</v>
      </c>
      <c r="Z185" s="317">
        <f t="shared" si="126"/>
        <v>1</v>
      </c>
      <c r="AA185" s="317">
        <f t="shared" si="126"/>
        <v>1</v>
      </c>
      <c r="AB185" s="317">
        <f t="shared" si="126"/>
        <v>1</v>
      </c>
      <c r="AC185" s="317">
        <f t="shared" si="126"/>
        <v>1</v>
      </c>
      <c r="AD185" s="317">
        <f t="shared" si="126"/>
        <v>1</v>
      </c>
      <c r="AE185" s="317">
        <f t="shared" si="126"/>
        <v>1</v>
      </c>
      <c r="AF185" s="317">
        <f t="shared" si="126"/>
        <v>1</v>
      </c>
      <c r="AG185" s="296">
        <v>1</v>
      </c>
      <c r="AI185" s="316"/>
      <c r="AJ185" s="211" t="s">
        <v>1363</v>
      </c>
    </row>
    <row r="186" spans="1:36" s="1" customFormat="1" outlineLevel="1">
      <c r="A186" t="s">
        <v>1376</v>
      </c>
      <c r="B186" s="302" t="s">
        <v>462</v>
      </c>
      <c r="C186" s="296">
        <v>0.8</v>
      </c>
      <c r="D186" s="317">
        <f t="shared" si="125"/>
        <v>0.80333333333333334</v>
      </c>
      <c r="E186" s="317">
        <f t="shared" si="125"/>
        <v>0.80666666666666664</v>
      </c>
      <c r="F186" s="317">
        <f t="shared" si="125"/>
        <v>0.80999999999999994</v>
      </c>
      <c r="G186" s="317">
        <f t="shared" si="125"/>
        <v>0.81333333333333324</v>
      </c>
      <c r="H186" s="317">
        <f t="shared" si="125"/>
        <v>0.81666666666666654</v>
      </c>
      <c r="I186" s="317">
        <f t="shared" si="125"/>
        <v>0.81999999999999984</v>
      </c>
      <c r="J186" s="317">
        <f t="shared" si="125"/>
        <v>0.82333333333333314</v>
      </c>
      <c r="K186" s="317">
        <f t="shared" si="125"/>
        <v>0.82666666666666644</v>
      </c>
      <c r="L186" s="317">
        <f t="shared" si="125"/>
        <v>0.82999999999999974</v>
      </c>
      <c r="M186" s="317">
        <f t="shared" si="125"/>
        <v>0.83333333333333304</v>
      </c>
      <c r="N186" s="317">
        <f t="shared" si="125"/>
        <v>0.83666666666666634</v>
      </c>
      <c r="O186" s="317">
        <f t="shared" si="125"/>
        <v>0.83999999999999964</v>
      </c>
      <c r="P186" s="317">
        <f t="shared" si="125"/>
        <v>0.84333333333333294</v>
      </c>
      <c r="Q186" s="317">
        <f t="shared" si="125"/>
        <v>0.84666666666666623</v>
      </c>
      <c r="R186" s="317">
        <f t="shared" si="125"/>
        <v>0.84999999999999953</v>
      </c>
      <c r="S186" s="317">
        <f t="shared" si="125"/>
        <v>0.85333333333333283</v>
      </c>
      <c r="T186" s="317">
        <f t="shared" si="126"/>
        <v>0.85666666666666613</v>
      </c>
      <c r="U186" s="317">
        <f t="shared" si="126"/>
        <v>0.85999999999999943</v>
      </c>
      <c r="V186" s="317">
        <f t="shared" si="126"/>
        <v>0.86333333333333273</v>
      </c>
      <c r="W186" s="317">
        <f t="shared" si="126"/>
        <v>0.86666666666666603</v>
      </c>
      <c r="X186" s="317">
        <f t="shared" si="126"/>
        <v>0.86999999999999933</v>
      </c>
      <c r="Y186" s="317">
        <f t="shared" si="126"/>
        <v>0.87333333333333263</v>
      </c>
      <c r="Z186" s="317">
        <f t="shared" si="126"/>
        <v>0.87666666666666593</v>
      </c>
      <c r="AA186" s="317">
        <f t="shared" si="126"/>
        <v>0.87999999999999923</v>
      </c>
      <c r="AB186" s="317">
        <f t="shared" si="126"/>
        <v>0.88333333333333253</v>
      </c>
      <c r="AC186" s="317">
        <f t="shared" si="126"/>
        <v>0.88666666666666583</v>
      </c>
      <c r="AD186" s="317">
        <f t="shared" si="126"/>
        <v>0.88999999999999913</v>
      </c>
      <c r="AE186" s="317">
        <f t="shared" si="126"/>
        <v>0.89333333333333242</v>
      </c>
      <c r="AF186" s="317">
        <f t="shared" si="126"/>
        <v>0.89666666666666572</v>
      </c>
      <c r="AG186" s="296">
        <v>0.9</v>
      </c>
      <c r="AI186" s="316"/>
      <c r="AJ186" s="211" t="s">
        <v>1363</v>
      </c>
    </row>
    <row r="187" spans="1:36" s="1" customFormat="1" outlineLevel="1">
      <c r="A187" t="s">
        <v>1377</v>
      </c>
      <c r="B187" s="302" t="s">
        <v>462</v>
      </c>
      <c r="C187" s="296">
        <v>0.2</v>
      </c>
      <c r="D187" s="317">
        <f t="shared" si="125"/>
        <v>0.19666666666666668</v>
      </c>
      <c r="E187" s="317">
        <f t="shared" si="125"/>
        <v>0.19333333333333336</v>
      </c>
      <c r="F187" s="317">
        <f t="shared" si="125"/>
        <v>0.19000000000000003</v>
      </c>
      <c r="G187" s="317">
        <f t="shared" si="125"/>
        <v>0.1866666666666667</v>
      </c>
      <c r="H187" s="317">
        <f t="shared" si="125"/>
        <v>0.18333333333333338</v>
      </c>
      <c r="I187" s="317">
        <f t="shared" si="125"/>
        <v>0.18000000000000005</v>
      </c>
      <c r="J187" s="317">
        <f t="shared" si="125"/>
        <v>0.17666666666666672</v>
      </c>
      <c r="K187" s="317">
        <f t="shared" si="125"/>
        <v>0.17333333333333339</v>
      </c>
      <c r="L187" s="317">
        <f t="shared" si="125"/>
        <v>0.17000000000000007</v>
      </c>
      <c r="M187" s="317">
        <f t="shared" si="125"/>
        <v>0.16666666666666674</v>
      </c>
      <c r="N187" s="317">
        <f t="shared" si="125"/>
        <v>0.16333333333333341</v>
      </c>
      <c r="O187" s="317">
        <f t="shared" si="125"/>
        <v>0.16000000000000009</v>
      </c>
      <c r="P187" s="317">
        <f t="shared" si="125"/>
        <v>0.15666666666666676</v>
      </c>
      <c r="Q187" s="317">
        <f t="shared" si="125"/>
        <v>0.15333333333333343</v>
      </c>
      <c r="R187" s="317">
        <f t="shared" si="125"/>
        <v>0.15000000000000011</v>
      </c>
      <c r="S187" s="317">
        <f t="shared" si="125"/>
        <v>0.14666666666666678</v>
      </c>
      <c r="T187" s="317">
        <f t="shared" si="126"/>
        <v>0.14333333333333345</v>
      </c>
      <c r="U187" s="317">
        <f t="shared" si="126"/>
        <v>0.14000000000000012</v>
      </c>
      <c r="V187" s="317">
        <f t="shared" si="126"/>
        <v>0.1366666666666668</v>
      </c>
      <c r="W187" s="317">
        <f t="shared" si="126"/>
        <v>0.13333333333333347</v>
      </c>
      <c r="X187" s="317">
        <f t="shared" si="126"/>
        <v>0.13000000000000014</v>
      </c>
      <c r="Y187" s="317">
        <f t="shared" si="126"/>
        <v>0.12666666666666682</v>
      </c>
      <c r="Z187" s="317">
        <f t="shared" si="126"/>
        <v>0.12333333333333349</v>
      </c>
      <c r="AA187" s="317">
        <f t="shared" si="126"/>
        <v>0.12000000000000016</v>
      </c>
      <c r="AB187" s="317">
        <f t="shared" si="126"/>
        <v>0.11666666666666684</v>
      </c>
      <c r="AC187" s="317">
        <f t="shared" si="126"/>
        <v>0.11333333333333351</v>
      </c>
      <c r="AD187" s="317">
        <f t="shared" si="126"/>
        <v>0.11000000000000018</v>
      </c>
      <c r="AE187" s="317">
        <f t="shared" si="126"/>
        <v>0.10666666666666685</v>
      </c>
      <c r="AF187" s="317">
        <f t="shared" si="126"/>
        <v>0.10333333333333353</v>
      </c>
      <c r="AG187" s="296">
        <v>0.1</v>
      </c>
      <c r="AI187" s="316"/>
      <c r="AJ187" s="211" t="s">
        <v>1363</v>
      </c>
    </row>
    <row r="188" spans="1:36" s="1" customFormat="1" outlineLevel="1">
      <c r="A188" t="s">
        <v>1378</v>
      </c>
      <c r="B188" s="302" t="s">
        <v>462</v>
      </c>
      <c r="C188" s="296">
        <v>0.95</v>
      </c>
      <c r="D188" s="317">
        <f t="shared" si="125"/>
        <v>0.94866666666666666</v>
      </c>
      <c r="E188" s="317">
        <f t="shared" si="125"/>
        <v>0.94733333333333336</v>
      </c>
      <c r="F188" s="317">
        <f t="shared" si="125"/>
        <v>0.94600000000000006</v>
      </c>
      <c r="G188" s="317">
        <f t="shared" si="125"/>
        <v>0.94466666666666677</v>
      </c>
      <c r="H188" s="317">
        <f t="shared" si="125"/>
        <v>0.94333333333333347</v>
      </c>
      <c r="I188" s="317">
        <f t="shared" si="125"/>
        <v>0.94200000000000017</v>
      </c>
      <c r="J188" s="317">
        <f t="shared" si="125"/>
        <v>0.94066666666666687</v>
      </c>
      <c r="K188" s="317">
        <f t="shared" si="125"/>
        <v>0.93933333333333358</v>
      </c>
      <c r="L188" s="317">
        <f t="shared" si="125"/>
        <v>0.93800000000000028</v>
      </c>
      <c r="M188" s="317">
        <f t="shared" si="125"/>
        <v>0.93666666666666698</v>
      </c>
      <c r="N188" s="317">
        <f t="shared" si="125"/>
        <v>0.93533333333333368</v>
      </c>
      <c r="O188" s="317">
        <f t="shared" si="125"/>
        <v>0.93400000000000039</v>
      </c>
      <c r="P188" s="317">
        <f t="shared" si="125"/>
        <v>0.93266666666666709</v>
      </c>
      <c r="Q188" s="317">
        <f t="shared" si="125"/>
        <v>0.93133333333333379</v>
      </c>
      <c r="R188" s="317">
        <f t="shared" si="125"/>
        <v>0.93000000000000049</v>
      </c>
      <c r="S188" s="317">
        <f t="shared" si="125"/>
        <v>0.9286666666666672</v>
      </c>
      <c r="T188" s="317">
        <f t="shared" si="126"/>
        <v>0.9273333333333339</v>
      </c>
      <c r="U188" s="317">
        <f t="shared" si="126"/>
        <v>0.9260000000000006</v>
      </c>
      <c r="V188" s="317">
        <f t="shared" si="126"/>
        <v>0.9246666666666673</v>
      </c>
      <c r="W188" s="317">
        <f t="shared" si="126"/>
        <v>0.92333333333333401</v>
      </c>
      <c r="X188" s="317">
        <f t="shared" si="126"/>
        <v>0.92200000000000071</v>
      </c>
      <c r="Y188" s="317">
        <f t="shared" si="126"/>
        <v>0.92066666666666741</v>
      </c>
      <c r="Z188" s="317">
        <f t="shared" si="126"/>
        <v>0.91933333333333411</v>
      </c>
      <c r="AA188" s="317">
        <f t="shared" si="126"/>
        <v>0.91800000000000082</v>
      </c>
      <c r="AB188" s="317">
        <f t="shared" si="126"/>
        <v>0.91666666666666752</v>
      </c>
      <c r="AC188" s="317">
        <f t="shared" si="126"/>
        <v>0.91533333333333422</v>
      </c>
      <c r="AD188" s="317">
        <f t="shared" si="126"/>
        <v>0.91400000000000092</v>
      </c>
      <c r="AE188" s="317">
        <f t="shared" si="126"/>
        <v>0.91266666666666763</v>
      </c>
      <c r="AF188" s="317">
        <f t="shared" si="126"/>
        <v>0.91133333333333433</v>
      </c>
      <c r="AG188" s="296">
        <v>0.91</v>
      </c>
      <c r="AI188" s="316"/>
      <c r="AJ188" s="211" t="s">
        <v>1363</v>
      </c>
    </row>
    <row r="189" spans="1:36" s="1" customFormat="1" outlineLevel="1">
      <c r="A189" t="s">
        <v>1379</v>
      </c>
      <c r="B189" s="302" t="s">
        <v>462</v>
      </c>
      <c r="C189" s="296">
        <v>0.05</v>
      </c>
      <c r="D189" s="317">
        <f t="shared" si="125"/>
        <v>5.1333333333333335E-2</v>
      </c>
      <c r="E189" s="317">
        <f t="shared" si="125"/>
        <v>5.2666666666666667E-2</v>
      </c>
      <c r="F189" s="317">
        <f t="shared" si="125"/>
        <v>5.3999999999999999E-2</v>
      </c>
      <c r="G189" s="317">
        <f t="shared" si="125"/>
        <v>5.5333333333333332E-2</v>
      </c>
      <c r="H189" s="317">
        <f t="shared" si="125"/>
        <v>5.6666666666666664E-2</v>
      </c>
      <c r="I189" s="317">
        <f t="shared" si="125"/>
        <v>5.7999999999999996E-2</v>
      </c>
      <c r="J189" s="317">
        <f t="shared" si="125"/>
        <v>5.9333333333333328E-2</v>
      </c>
      <c r="K189" s="317">
        <f t="shared" si="125"/>
        <v>6.066666666666666E-2</v>
      </c>
      <c r="L189" s="317">
        <f t="shared" si="125"/>
        <v>6.1999999999999993E-2</v>
      </c>
      <c r="M189" s="317">
        <f t="shared" si="125"/>
        <v>6.3333333333333325E-2</v>
      </c>
      <c r="N189" s="317">
        <f t="shared" si="125"/>
        <v>6.4666666666666664E-2</v>
      </c>
      <c r="O189" s="317">
        <f t="shared" si="125"/>
        <v>6.6000000000000003E-2</v>
      </c>
      <c r="P189" s="317">
        <f t="shared" si="125"/>
        <v>6.7333333333333342E-2</v>
      </c>
      <c r="Q189" s="317">
        <f t="shared" si="125"/>
        <v>6.8666666666666681E-2</v>
      </c>
      <c r="R189" s="317">
        <f t="shared" si="125"/>
        <v>7.0000000000000021E-2</v>
      </c>
      <c r="S189" s="317">
        <f t="shared" si="125"/>
        <v>7.133333333333336E-2</v>
      </c>
      <c r="T189" s="317">
        <f t="shared" si="126"/>
        <v>7.2666666666666699E-2</v>
      </c>
      <c r="U189" s="317">
        <f t="shared" si="126"/>
        <v>7.4000000000000038E-2</v>
      </c>
      <c r="V189" s="317">
        <f t="shared" si="126"/>
        <v>7.5333333333333377E-2</v>
      </c>
      <c r="W189" s="317">
        <f t="shared" si="126"/>
        <v>7.6666666666666716E-2</v>
      </c>
      <c r="X189" s="317">
        <f t="shared" si="126"/>
        <v>7.8000000000000055E-2</v>
      </c>
      <c r="Y189" s="317">
        <f t="shared" si="126"/>
        <v>7.9333333333333395E-2</v>
      </c>
      <c r="Z189" s="317">
        <f t="shared" si="126"/>
        <v>8.0666666666666734E-2</v>
      </c>
      <c r="AA189" s="317">
        <f t="shared" si="126"/>
        <v>8.2000000000000073E-2</v>
      </c>
      <c r="AB189" s="317">
        <f t="shared" si="126"/>
        <v>8.3333333333333412E-2</v>
      </c>
      <c r="AC189" s="317">
        <f t="shared" si="126"/>
        <v>8.4666666666666751E-2</v>
      </c>
      <c r="AD189" s="317">
        <f t="shared" si="126"/>
        <v>8.600000000000009E-2</v>
      </c>
      <c r="AE189" s="317">
        <f t="shared" si="126"/>
        <v>8.7333333333333429E-2</v>
      </c>
      <c r="AF189" s="317">
        <f t="shared" si="126"/>
        <v>8.8666666666666769E-2</v>
      </c>
      <c r="AG189" s="296">
        <v>0.09</v>
      </c>
      <c r="AI189" s="316"/>
      <c r="AJ189" s="211" t="s">
        <v>1363</v>
      </c>
    </row>
    <row r="190" spans="1:36" s="1" customFormat="1" outlineLevel="1">
      <c r="A190" t="s">
        <v>1380</v>
      </c>
      <c r="B190" s="302"/>
      <c r="C190" s="296">
        <v>0.27</v>
      </c>
      <c r="D190" s="317">
        <f t="shared" si="125"/>
        <v>0.26600000000000001</v>
      </c>
      <c r="E190" s="317">
        <f t="shared" si="125"/>
        <v>0.26200000000000001</v>
      </c>
      <c r="F190" s="317">
        <f t="shared" si="125"/>
        <v>0.25800000000000001</v>
      </c>
      <c r="G190" s="317">
        <f t="shared" si="125"/>
        <v>0.254</v>
      </c>
      <c r="H190" s="317">
        <f t="shared" si="125"/>
        <v>0.25</v>
      </c>
      <c r="I190" s="317">
        <f t="shared" si="125"/>
        <v>0.246</v>
      </c>
      <c r="J190" s="317">
        <f t="shared" si="125"/>
        <v>0.24199999999999999</v>
      </c>
      <c r="K190" s="317">
        <f t="shared" si="125"/>
        <v>0.23799999999999999</v>
      </c>
      <c r="L190" s="317">
        <f t="shared" si="125"/>
        <v>0.23399999999999999</v>
      </c>
      <c r="M190" s="317">
        <f t="shared" si="125"/>
        <v>0.22999999999999998</v>
      </c>
      <c r="N190" s="317">
        <f t="shared" si="125"/>
        <v>0.22599999999999998</v>
      </c>
      <c r="O190" s="317">
        <f t="shared" si="125"/>
        <v>0.22199999999999998</v>
      </c>
      <c r="P190" s="317">
        <f t="shared" si="125"/>
        <v>0.21799999999999997</v>
      </c>
      <c r="Q190" s="317">
        <f t="shared" si="125"/>
        <v>0.21399999999999997</v>
      </c>
      <c r="R190" s="317">
        <f t="shared" si="125"/>
        <v>0.20999999999999996</v>
      </c>
      <c r="S190" s="317">
        <f t="shared" si="125"/>
        <v>0.20599999999999996</v>
      </c>
      <c r="T190" s="317">
        <f t="shared" si="126"/>
        <v>0.20199999999999996</v>
      </c>
      <c r="U190" s="317">
        <f t="shared" si="126"/>
        <v>0.19799999999999995</v>
      </c>
      <c r="V190" s="317">
        <f t="shared" si="126"/>
        <v>0.19399999999999995</v>
      </c>
      <c r="W190" s="317">
        <f t="shared" si="126"/>
        <v>0.18999999999999995</v>
      </c>
      <c r="X190" s="317">
        <f t="shared" si="126"/>
        <v>0.18599999999999994</v>
      </c>
      <c r="Y190" s="317">
        <f t="shared" si="126"/>
        <v>0.18199999999999994</v>
      </c>
      <c r="Z190" s="317">
        <f t="shared" si="126"/>
        <v>0.17799999999999994</v>
      </c>
      <c r="AA190" s="317">
        <f t="shared" si="126"/>
        <v>0.17399999999999993</v>
      </c>
      <c r="AB190" s="317">
        <f t="shared" si="126"/>
        <v>0.16999999999999993</v>
      </c>
      <c r="AC190" s="317">
        <f t="shared" si="126"/>
        <v>0.16599999999999993</v>
      </c>
      <c r="AD190" s="317">
        <f t="shared" si="126"/>
        <v>0.16199999999999992</v>
      </c>
      <c r="AE190" s="317">
        <f t="shared" si="126"/>
        <v>0.15799999999999992</v>
      </c>
      <c r="AF190" s="317">
        <f t="shared" si="126"/>
        <v>0.15399999999999991</v>
      </c>
      <c r="AG190" s="296">
        <v>0.15</v>
      </c>
      <c r="AI190" s="316"/>
      <c r="AJ190" s="211"/>
    </row>
    <row r="191" spans="1:36" s="67" customFormat="1" outlineLevel="1">
      <c r="A191" s="345" t="s">
        <v>1381</v>
      </c>
      <c r="B191" s="308" t="s">
        <v>462</v>
      </c>
      <c r="C191" s="337">
        <v>0.16</v>
      </c>
      <c r="D191" s="338">
        <f t="shared" si="125"/>
        <v>0.16533333333333333</v>
      </c>
      <c r="E191" s="338">
        <f t="shared" si="125"/>
        <v>0.17066666666666666</v>
      </c>
      <c r="F191" s="338">
        <f t="shared" si="125"/>
        <v>0.17599999999999999</v>
      </c>
      <c r="G191" s="338">
        <f t="shared" si="125"/>
        <v>0.18133333333333332</v>
      </c>
      <c r="H191" s="338">
        <f t="shared" si="125"/>
        <v>0.18666666666666665</v>
      </c>
      <c r="I191" s="338">
        <f t="shared" si="125"/>
        <v>0.19199999999999998</v>
      </c>
      <c r="J191" s="338">
        <f t="shared" si="125"/>
        <v>0.19733333333333331</v>
      </c>
      <c r="K191" s="338">
        <f t="shared" si="125"/>
        <v>0.20266666666666663</v>
      </c>
      <c r="L191" s="338">
        <f t="shared" si="125"/>
        <v>0.20799999999999996</v>
      </c>
      <c r="M191" s="338">
        <f t="shared" si="125"/>
        <v>0.21333333333333329</v>
      </c>
      <c r="N191" s="338">
        <f t="shared" si="125"/>
        <v>0.21866666666666662</v>
      </c>
      <c r="O191" s="338">
        <f t="shared" si="125"/>
        <v>0.22399999999999995</v>
      </c>
      <c r="P191" s="338">
        <f t="shared" si="125"/>
        <v>0.22933333333333328</v>
      </c>
      <c r="Q191" s="338">
        <f t="shared" si="125"/>
        <v>0.23466666666666661</v>
      </c>
      <c r="R191" s="338">
        <f t="shared" si="125"/>
        <v>0.23999999999999994</v>
      </c>
      <c r="S191" s="338">
        <f t="shared" si="125"/>
        <v>0.24533333333333326</v>
      </c>
      <c r="T191" s="338">
        <f t="shared" si="126"/>
        <v>0.25066666666666659</v>
      </c>
      <c r="U191" s="338">
        <f t="shared" si="126"/>
        <v>0.25599999999999995</v>
      </c>
      <c r="V191" s="338">
        <f t="shared" si="126"/>
        <v>0.26133333333333331</v>
      </c>
      <c r="W191" s="338">
        <f t="shared" si="126"/>
        <v>0.26666666666666666</v>
      </c>
      <c r="X191" s="338">
        <f t="shared" si="126"/>
        <v>0.27200000000000002</v>
      </c>
      <c r="Y191" s="338">
        <f t="shared" si="126"/>
        <v>0.27733333333333338</v>
      </c>
      <c r="Z191" s="338">
        <f t="shared" si="126"/>
        <v>0.28266666666666673</v>
      </c>
      <c r="AA191" s="338">
        <f t="shared" si="126"/>
        <v>0.28800000000000009</v>
      </c>
      <c r="AB191" s="338">
        <f t="shared" si="126"/>
        <v>0.29333333333333345</v>
      </c>
      <c r="AC191" s="338">
        <f t="shared" si="126"/>
        <v>0.2986666666666668</v>
      </c>
      <c r="AD191" s="338">
        <f t="shared" si="126"/>
        <v>0.30400000000000016</v>
      </c>
      <c r="AE191" s="338">
        <f t="shared" si="126"/>
        <v>0.30933333333333352</v>
      </c>
      <c r="AF191" s="338">
        <f t="shared" si="126"/>
        <v>0.31466666666666687</v>
      </c>
      <c r="AG191" s="337">
        <v>0.32</v>
      </c>
      <c r="AI191" s="337"/>
      <c r="AJ191" s="339" t="s">
        <v>1363</v>
      </c>
    </row>
    <row r="192" spans="1:36" outlineLevel="1">
      <c r="A192" s="346" t="s">
        <v>1382</v>
      </c>
      <c r="B192" s="302" t="s">
        <v>462</v>
      </c>
      <c r="C192" s="296">
        <v>0.37</v>
      </c>
      <c r="D192" s="317">
        <f t="shared" si="125"/>
        <v>0.37166666666666665</v>
      </c>
      <c r="E192" s="317">
        <f t="shared" si="125"/>
        <v>0.37333333333333329</v>
      </c>
      <c r="F192" s="317">
        <f t="shared" si="125"/>
        <v>0.37499999999999994</v>
      </c>
      <c r="G192" s="317">
        <f t="shared" si="125"/>
        <v>0.37666666666666659</v>
      </c>
      <c r="H192" s="317">
        <f t="shared" si="125"/>
        <v>0.37833333333333324</v>
      </c>
      <c r="I192" s="317">
        <f t="shared" si="125"/>
        <v>0.37999999999999989</v>
      </c>
      <c r="J192" s="317">
        <f t="shared" si="125"/>
        <v>0.38166666666666654</v>
      </c>
      <c r="K192" s="317">
        <f t="shared" si="125"/>
        <v>0.38333333333333319</v>
      </c>
      <c r="L192" s="317">
        <f t="shared" si="125"/>
        <v>0.38499999999999984</v>
      </c>
      <c r="M192" s="317">
        <f t="shared" si="125"/>
        <v>0.38666666666666649</v>
      </c>
      <c r="N192" s="317">
        <f t="shared" si="125"/>
        <v>0.38833333333333314</v>
      </c>
      <c r="O192" s="317">
        <f t="shared" si="125"/>
        <v>0.38999999999999979</v>
      </c>
      <c r="P192" s="317">
        <f t="shared" si="125"/>
        <v>0.39166666666666644</v>
      </c>
      <c r="Q192" s="317">
        <f t="shared" si="125"/>
        <v>0.39333333333333309</v>
      </c>
      <c r="R192" s="317">
        <f t="shared" si="125"/>
        <v>0.39499999999999974</v>
      </c>
      <c r="S192" s="317">
        <f t="shared" si="125"/>
        <v>0.39666666666666639</v>
      </c>
      <c r="T192" s="317">
        <f t="shared" si="126"/>
        <v>0.39833333333333304</v>
      </c>
      <c r="U192" s="317">
        <f t="shared" si="126"/>
        <v>0.39999999999999969</v>
      </c>
      <c r="V192" s="317">
        <f t="shared" si="126"/>
        <v>0.40166666666666634</v>
      </c>
      <c r="W192" s="317">
        <f t="shared" si="126"/>
        <v>0.40333333333333299</v>
      </c>
      <c r="X192" s="317">
        <f t="shared" si="126"/>
        <v>0.40499999999999964</v>
      </c>
      <c r="Y192" s="317">
        <f t="shared" si="126"/>
        <v>0.40666666666666629</v>
      </c>
      <c r="Z192" s="317">
        <f t="shared" si="126"/>
        <v>0.40833333333333294</v>
      </c>
      <c r="AA192" s="317">
        <f t="shared" si="126"/>
        <v>0.40999999999999959</v>
      </c>
      <c r="AB192" s="317">
        <f t="shared" si="126"/>
        <v>0.41166666666666624</v>
      </c>
      <c r="AC192" s="317">
        <f t="shared" si="126"/>
        <v>0.41333333333333289</v>
      </c>
      <c r="AD192" s="317">
        <f t="shared" si="126"/>
        <v>0.41499999999999954</v>
      </c>
      <c r="AE192" s="317">
        <f t="shared" si="126"/>
        <v>0.41666666666666619</v>
      </c>
      <c r="AF192" s="317">
        <f t="shared" si="126"/>
        <v>0.41833333333333284</v>
      </c>
      <c r="AG192" s="296">
        <v>0.42</v>
      </c>
      <c r="AI192" s="296"/>
      <c r="AJ192" s="211" t="s">
        <v>1363</v>
      </c>
    </row>
    <row r="193" spans="1:36" outlineLevel="1">
      <c r="A193" s="346" t="s">
        <v>1383</v>
      </c>
      <c r="B193" s="302" t="s">
        <v>462</v>
      </c>
      <c r="C193" s="296">
        <v>0.08</v>
      </c>
      <c r="D193" s="317">
        <f t="shared" si="125"/>
        <v>7.7666666666666662E-2</v>
      </c>
      <c r="E193" s="317">
        <f t="shared" si="125"/>
        <v>7.5333333333333322E-2</v>
      </c>
      <c r="F193" s="317">
        <f t="shared" si="125"/>
        <v>7.2999999999999982E-2</v>
      </c>
      <c r="G193" s="317">
        <f t="shared" si="125"/>
        <v>7.0666666666666642E-2</v>
      </c>
      <c r="H193" s="317">
        <f t="shared" si="125"/>
        <v>6.8333333333333302E-2</v>
      </c>
      <c r="I193" s="317">
        <f t="shared" si="125"/>
        <v>6.5999999999999961E-2</v>
      </c>
      <c r="J193" s="317">
        <f t="shared" si="125"/>
        <v>6.3666666666666621E-2</v>
      </c>
      <c r="K193" s="317">
        <f t="shared" si="125"/>
        <v>6.1333333333333288E-2</v>
      </c>
      <c r="L193" s="317">
        <f t="shared" si="125"/>
        <v>5.8999999999999955E-2</v>
      </c>
      <c r="M193" s="317">
        <f t="shared" si="125"/>
        <v>5.6666666666666622E-2</v>
      </c>
      <c r="N193" s="317">
        <f t="shared" si="125"/>
        <v>5.4333333333333289E-2</v>
      </c>
      <c r="O193" s="317">
        <f t="shared" si="125"/>
        <v>5.1999999999999956E-2</v>
      </c>
      <c r="P193" s="317">
        <f t="shared" si="125"/>
        <v>4.9666666666666623E-2</v>
      </c>
      <c r="Q193" s="317">
        <f t="shared" si="125"/>
        <v>4.733333333333329E-2</v>
      </c>
      <c r="R193" s="317">
        <f t="shared" si="125"/>
        <v>4.4999999999999957E-2</v>
      </c>
      <c r="S193" s="317">
        <f t="shared" si="125"/>
        <v>4.2666666666666624E-2</v>
      </c>
      <c r="T193" s="317">
        <f t="shared" si="126"/>
        <v>4.0333333333333291E-2</v>
      </c>
      <c r="U193" s="317">
        <f t="shared" si="126"/>
        <v>3.7999999999999957E-2</v>
      </c>
      <c r="V193" s="317">
        <f t="shared" si="126"/>
        <v>3.5666666666666624E-2</v>
      </c>
      <c r="W193" s="317">
        <f t="shared" si="126"/>
        <v>3.3333333333333291E-2</v>
      </c>
      <c r="X193" s="317">
        <f t="shared" si="126"/>
        <v>3.0999999999999958E-2</v>
      </c>
      <c r="Y193" s="317">
        <f t="shared" si="126"/>
        <v>2.8666666666666625E-2</v>
      </c>
      <c r="Z193" s="317">
        <f t="shared" si="126"/>
        <v>2.6333333333333292E-2</v>
      </c>
      <c r="AA193" s="317">
        <f t="shared" si="126"/>
        <v>2.3999999999999959E-2</v>
      </c>
      <c r="AB193" s="317">
        <f t="shared" si="126"/>
        <v>2.1666666666666626E-2</v>
      </c>
      <c r="AC193" s="317">
        <f t="shared" si="126"/>
        <v>1.9333333333333293E-2</v>
      </c>
      <c r="AD193" s="317">
        <f t="shared" si="126"/>
        <v>1.699999999999996E-2</v>
      </c>
      <c r="AE193" s="317">
        <f t="shared" si="126"/>
        <v>1.4666666666666626E-2</v>
      </c>
      <c r="AF193" s="317">
        <f t="shared" si="126"/>
        <v>1.2333333333333293E-2</v>
      </c>
      <c r="AG193" s="296">
        <v>0.01</v>
      </c>
      <c r="AI193" s="296"/>
      <c r="AJ193" s="211" t="s">
        <v>1363</v>
      </c>
    </row>
    <row r="194" spans="1:36" outlineLevel="1">
      <c r="A194" s="346" t="s">
        <v>1384</v>
      </c>
      <c r="B194" s="302" t="s">
        <v>462</v>
      </c>
      <c r="C194" s="296">
        <v>0.27</v>
      </c>
      <c r="D194" s="317">
        <f t="shared" si="125"/>
        <v>0.26633333333333337</v>
      </c>
      <c r="E194" s="317">
        <f t="shared" si="125"/>
        <v>0.26266666666666671</v>
      </c>
      <c r="F194" s="317">
        <f t="shared" si="125"/>
        <v>0.25900000000000006</v>
      </c>
      <c r="G194" s="317">
        <f t="shared" si="125"/>
        <v>0.25533333333333341</v>
      </c>
      <c r="H194" s="317">
        <f t="shared" si="125"/>
        <v>0.25166666666666676</v>
      </c>
      <c r="I194" s="317">
        <f t="shared" si="125"/>
        <v>0.24800000000000008</v>
      </c>
      <c r="J194" s="317">
        <f t="shared" si="125"/>
        <v>0.2443333333333334</v>
      </c>
      <c r="K194" s="317">
        <f t="shared" si="125"/>
        <v>0.24066666666666672</v>
      </c>
      <c r="L194" s="317">
        <f t="shared" si="125"/>
        <v>0.23700000000000004</v>
      </c>
      <c r="M194" s="317">
        <f t="shared" si="125"/>
        <v>0.23333333333333336</v>
      </c>
      <c r="N194" s="317">
        <f t="shared" si="125"/>
        <v>0.22966666666666669</v>
      </c>
      <c r="O194" s="317">
        <f t="shared" si="125"/>
        <v>0.22600000000000001</v>
      </c>
      <c r="P194" s="317">
        <f t="shared" si="125"/>
        <v>0.22233333333333333</v>
      </c>
      <c r="Q194" s="317">
        <f t="shared" si="125"/>
        <v>0.21866666666666665</v>
      </c>
      <c r="R194" s="317">
        <f t="shared" si="125"/>
        <v>0.21499999999999997</v>
      </c>
      <c r="S194" s="317">
        <f t="shared" si="125"/>
        <v>0.21133333333333329</v>
      </c>
      <c r="T194" s="317">
        <f t="shared" si="126"/>
        <v>0.20766666666666661</v>
      </c>
      <c r="U194" s="317">
        <f t="shared" si="126"/>
        <v>0.20399999999999993</v>
      </c>
      <c r="V194" s="317">
        <f t="shared" si="126"/>
        <v>0.20033333333333325</v>
      </c>
      <c r="W194" s="317">
        <f t="shared" si="126"/>
        <v>0.19666666666666657</v>
      </c>
      <c r="X194" s="317">
        <f t="shared" si="126"/>
        <v>0.19299999999999989</v>
      </c>
      <c r="Y194" s="317">
        <f t="shared" si="126"/>
        <v>0.18933333333333321</v>
      </c>
      <c r="Z194" s="317">
        <f t="shared" si="126"/>
        <v>0.18566666666666654</v>
      </c>
      <c r="AA194" s="317">
        <f t="shared" si="126"/>
        <v>0.18199999999999986</v>
      </c>
      <c r="AB194" s="317">
        <f t="shared" si="126"/>
        <v>0.17833333333333318</v>
      </c>
      <c r="AC194" s="317">
        <f t="shared" si="126"/>
        <v>0.1746666666666665</v>
      </c>
      <c r="AD194" s="317">
        <f t="shared" si="126"/>
        <v>0.17099999999999982</v>
      </c>
      <c r="AE194" s="317">
        <f t="shared" si="126"/>
        <v>0.16733333333333314</v>
      </c>
      <c r="AF194" s="317">
        <f t="shared" si="126"/>
        <v>0.16366666666666646</v>
      </c>
      <c r="AG194" s="296">
        <v>0.16</v>
      </c>
      <c r="AI194" s="296"/>
      <c r="AJ194" s="211" t="s">
        <v>1363</v>
      </c>
    </row>
    <row r="195" spans="1:36" outlineLevel="1">
      <c r="A195" s="346" t="s">
        <v>1385</v>
      </c>
      <c r="B195" s="302" t="s">
        <v>462</v>
      </c>
      <c r="C195" s="296">
        <v>7.0000000000000007E-2</v>
      </c>
      <c r="D195" s="317">
        <f t="shared" si="125"/>
        <v>6.9666666666666668E-2</v>
      </c>
      <c r="E195" s="317">
        <f t="shared" si="125"/>
        <v>6.933333333333333E-2</v>
      </c>
      <c r="F195" s="317">
        <f t="shared" si="125"/>
        <v>6.8999999999999992E-2</v>
      </c>
      <c r="G195" s="317">
        <f t="shared" si="125"/>
        <v>6.8666666666666654E-2</v>
      </c>
      <c r="H195" s="317">
        <f t="shared" si="125"/>
        <v>6.8333333333333315E-2</v>
      </c>
      <c r="I195" s="317">
        <f t="shared" si="125"/>
        <v>6.7999999999999977E-2</v>
      </c>
      <c r="J195" s="317">
        <f t="shared" si="125"/>
        <v>6.7666666666666639E-2</v>
      </c>
      <c r="K195" s="317">
        <f t="shared" si="125"/>
        <v>6.7333333333333301E-2</v>
      </c>
      <c r="L195" s="317">
        <f t="shared" si="125"/>
        <v>6.6999999999999962E-2</v>
      </c>
      <c r="M195" s="317">
        <f t="shared" si="125"/>
        <v>6.6666666666666624E-2</v>
      </c>
      <c r="N195" s="317">
        <f t="shared" si="125"/>
        <v>6.6333333333333286E-2</v>
      </c>
      <c r="O195" s="317">
        <f t="shared" si="125"/>
        <v>6.5999999999999948E-2</v>
      </c>
      <c r="P195" s="317">
        <f t="shared" si="125"/>
        <v>6.5666666666666609E-2</v>
      </c>
      <c r="Q195" s="317">
        <f t="shared" si="125"/>
        <v>6.5333333333333271E-2</v>
      </c>
      <c r="R195" s="317">
        <f t="shared" si="125"/>
        <v>6.4999999999999933E-2</v>
      </c>
      <c r="S195" s="317">
        <f t="shared" ref="S195:AF195" si="127">-($C195-$AG195)/30+R195</f>
        <v>6.4666666666666595E-2</v>
      </c>
      <c r="T195" s="317">
        <f t="shared" si="127"/>
        <v>6.4333333333333256E-2</v>
      </c>
      <c r="U195" s="317">
        <f t="shared" si="127"/>
        <v>6.3999999999999918E-2</v>
      </c>
      <c r="V195" s="317">
        <f t="shared" si="127"/>
        <v>6.366666666666658E-2</v>
      </c>
      <c r="W195" s="317">
        <f t="shared" si="127"/>
        <v>6.3333333333333242E-2</v>
      </c>
      <c r="X195" s="317">
        <f t="shared" si="127"/>
        <v>6.2999999999999903E-2</v>
      </c>
      <c r="Y195" s="317">
        <f t="shared" si="127"/>
        <v>6.2666666666666565E-2</v>
      </c>
      <c r="Z195" s="317">
        <f t="shared" si="127"/>
        <v>6.2333333333333234E-2</v>
      </c>
      <c r="AA195" s="317">
        <f t="shared" si="127"/>
        <v>6.1999999999999902E-2</v>
      </c>
      <c r="AB195" s="317">
        <f t="shared" si="127"/>
        <v>6.1666666666666571E-2</v>
      </c>
      <c r="AC195" s="317">
        <f t="shared" si="127"/>
        <v>6.133333333333324E-2</v>
      </c>
      <c r="AD195" s="317">
        <f t="shared" si="127"/>
        <v>6.0999999999999908E-2</v>
      </c>
      <c r="AE195" s="317">
        <f t="shared" si="127"/>
        <v>6.0666666666666577E-2</v>
      </c>
      <c r="AF195" s="317">
        <f t="shared" si="127"/>
        <v>6.0333333333333246E-2</v>
      </c>
      <c r="AG195" s="296">
        <v>0.06</v>
      </c>
      <c r="AI195" s="296"/>
      <c r="AJ195" s="211" t="s">
        <v>1363</v>
      </c>
    </row>
    <row r="196" spans="1:36" s="68" customFormat="1" outlineLevel="1">
      <c r="A196" s="347" t="s">
        <v>1386</v>
      </c>
      <c r="B196" s="312" t="s">
        <v>462</v>
      </c>
      <c r="C196" s="314">
        <v>0.05</v>
      </c>
      <c r="D196" s="340">
        <f t="shared" ref="D196:AF196" si="128">-($C196-$AG196)/30+C196</f>
        <v>4.9333333333333333E-2</v>
      </c>
      <c r="E196" s="340">
        <f t="shared" si="128"/>
        <v>4.8666666666666664E-2</v>
      </c>
      <c r="F196" s="340">
        <f t="shared" si="128"/>
        <v>4.7999999999999994E-2</v>
      </c>
      <c r="G196" s="340">
        <f t="shared" si="128"/>
        <v>4.7333333333333324E-2</v>
      </c>
      <c r="H196" s="340">
        <f t="shared" si="128"/>
        <v>4.6666666666666655E-2</v>
      </c>
      <c r="I196" s="340">
        <f t="shared" si="128"/>
        <v>4.5999999999999985E-2</v>
      </c>
      <c r="J196" s="340">
        <f t="shared" si="128"/>
        <v>4.5333333333333316E-2</v>
      </c>
      <c r="K196" s="340">
        <f t="shared" si="128"/>
        <v>4.4666666666666646E-2</v>
      </c>
      <c r="L196" s="340">
        <f t="shared" si="128"/>
        <v>4.3999999999999977E-2</v>
      </c>
      <c r="M196" s="340">
        <f t="shared" si="128"/>
        <v>4.3333333333333307E-2</v>
      </c>
      <c r="N196" s="340">
        <f t="shared" si="128"/>
        <v>4.2666666666666637E-2</v>
      </c>
      <c r="O196" s="340">
        <f t="shared" si="128"/>
        <v>4.1999999999999968E-2</v>
      </c>
      <c r="P196" s="340">
        <f t="shared" si="128"/>
        <v>4.1333333333333298E-2</v>
      </c>
      <c r="Q196" s="340">
        <f t="shared" si="128"/>
        <v>4.0666666666666629E-2</v>
      </c>
      <c r="R196" s="340">
        <f t="shared" si="128"/>
        <v>3.9999999999999959E-2</v>
      </c>
      <c r="S196" s="340">
        <f t="shared" si="128"/>
        <v>3.933333333333329E-2</v>
      </c>
      <c r="T196" s="340">
        <f t="shared" si="128"/>
        <v>3.866666666666662E-2</v>
      </c>
      <c r="U196" s="340">
        <f t="shared" si="128"/>
        <v>3.799999999999995E-2</v>
      </c>
      <c r="V196" s="340">
        <f t="shared" si="128"/>
        <v>3.7333333333333281E-2</v>
      </c>
      <c r="W196" s="340">
        <f t="shared" si="128"/>
        <v>3.6666666666666611E-2</v>
      </c>
      <c r="X196" s="340">
        <f t="shared" si="128"/>
        <v>3.5999999999999942E-2</v>
      </c>
      <c r="Y196" s="340">
        <f t="shared" si="128"/>
        <v>3.5333333333333272E-2</v>
      </c>
      <c r="Z196" s="340">
        <f t="shared" si="128"/>
        <v>3.4666666666666603E-2</v>
      </c>
      <c r="AA196" s="340">
        <f t="shared" si="128"/>
        <v>3.3999999999999933E-2</v>
      </c>
      <c r="AB196" s="340">
        <f t="shared" si="128"/>
        <v>3.3333333333333263E-2</v>
      </c>
      <c r="AC196" s="340">
        <f t="shared" si="128"/>
        <v>3.2666666666666594E-2</v>
      </c>
      <c r="AD196" s="340">
        <f t="shared" si="128"/>
        <v>3.1999999999999924E-2</v>
      </c>
      <c r="AE196" s="340">
        <f t="shared" si="128"/>
        <v>3.1333333333333255E-2</v>
      </c>
      <c r="AF196" s="340">
        <f t="shared" si="128"/>
        <v>3.0666666666666589E-2</v>
      </c>
      <c r="AG196" s="314">
        <v>0.03</v>
      </c>
      <c r="AI196" s="314"/>
      <c r="AJ196" s="341" t="s">
        <v>1363</v>
      </c>
    </row>
    <row r="197" spans="1:36" s="58" customFormat="1" outlineLevel="1">
      <c r="A197" s="58" t="s">
        <v>1361</v>
      </c>
      <c r="B197" s="303"/>
      <c r="C197" s="304">
        <f t="shared" ref="C197:AG197" si="129">C32</f>
        <v>6.2639109729489517</v>
      </c>
      <c r="D197" s="304">
        <f t="shared" si="129"/>
        <v>6.4738866622599067</v>
      </c>
      <c r="E197" s="304">
        <f t="shared" si="129"/>
        <v>6.673410569593794</v>
      </c>
      <c r="F197" s="304">
        <f t="shared" si="129"/>
        <v>6.8611132359640763</v>
      </c>
      <c r="G197" s="304">
        <f t="shared" si="129"/>
        <v>7.0356800041223151</v>
      </c>
      <c r="H197" s="304">
        <f t="shared" si="129"/>
        <v>7.1958663561693115</v>
      </c>
      <c r="I197" s="304">
        <f t="shared" si="129"/>
        <v>7.3563495357628295</v>
      </c>
      <c r="J197" s="304">
        <f t="shared" si="129"/>
        <v>7.5169842402565479</v>
      </c>
      <c r="K197" s="304">
        <f t="shared" si="129"/>
        <v>7.677621478059983</v>
      </c>
      <c r="L197" s="304">
        <f t="shared" si="129"/>
        <v>7.8381087623980026</v>
      </c>
      <c r="M197" s="304">
        <f t="shared" si="129"/>
        <v>7.9982903181655836</v>
      </c>
      <c r="N197" s="304">
        <f t="shared" si="129"/>
        <v>8.1463349010298778</v>
      </c>
      <c r="O197" s="304">
        <f t="shared" si="129"/>
        <v>8.2814214291186534</v>
      </c>
      <c r="P197" s="304">
        <f t="shared" si="129"/>
        <v>8.4027868149704492</v>
      </c>
      <c r="Q197" s="304">
        <f t="shared" si="129"/>
        <v>8.5097330578321113</v>
      </c>
      <c r="R197" s="304">
        <f t="shared" si="129"/>
        <v>8.6016338560379779</v>
      </c>
      <c r="S197" s="304">
        <f t="shared" si="129"/>
        <v>8.69357543687868</v>
      </c>
      <c r="T197" s="304">
        <f t="shared" si="129"/>
        <v>8.7855373159977717</v>
      </c>
      <c r="U197" s="304">
        <f t="shared" si="129"/>
        <v>8.8774987631141578</v>
      </c>
      <c r="V197" s="304">
        <f t="shared" si="129"/>
        <v>8.9694388085621313</v>
      </c>
      <c r="W197" s="304">
        <f t="shared" si="129"/>
        <v>9.0613362500486261</v>
      </c>
      <c r="X197" s="304">
        <f t="shared" si="129"/>
        <v>9.1532704764052113</v>
      </c>
      <c r="Y197" s="304">
        <f t="shared" si="129"/>
        <v>9.2452230303784617</v>
      </c>
      <c r="Z197" s="304">
        <f t="shared" si="129"/>
        <v>9.3371752461289983</v>
      </c>
      <c r="AA197" s="304">
        <f t="shared" si="129"/>
        <v>9.4291082545648273</v>
      </c>
      <c r="AB197" s="304">
        <f t="shared" si="129"/>
        <v>9.5210029888406886</v>
      </c>
      <c r="AC197" s="304">
        <f t="shared" si="129"/>
        <v>9.6129310720912393</v>
      </c>
      <c r="AD197" s="304">
        <f t="shared" si="129"/>
        <v>9.7048757856861769</v>
      </c>
      <c r="AE197" s="304">
        <f t="shared" si="129"/>
        <v>9.7968202325130598</v>
      </c>
      <c r="AF197" s="304">
        <f t="shared" si="129"/>
        <v>9.8887473413700739</v>
      </c>
      <c r="AG197" s="304">
        <f t="shared" si="129"/>
        <v>9.9806398714874938</v>
      </c>
      <c r="AI197" s="305"/>
      <c r="AJ197" s="306"/>
    </row>
    <row r="198" spans="1:36" s="58" customFormat="1" outlineLevel="1">
      <c r="A198" s="307" t="s">
        <v>3</v>
      </c>
      <c r="B198" s="308" t="s">
        <v>704</v>
      </c>
      <c r="C198" s="309">
        <v>0</v>
      </c>
      <c r="D198" s="309">
        <v>0</v>
      </c>
      <c r="E198" s="309">
        <v>0</v>
      </c>
      <c r="F198" s="309">
        <v>0</v>
      </c>
      <c r="G198" s="309">
        <v>0</v>
      </c>
      <c r="H198" s="309">
        <v>0</v>
      </c>
      <c r="I198" s="309">
        <v>0</v>
      </c>
      <c r="J198" s="309">
        <v>0</v>
      </c>
      <c r="K198" s="309">
        <v>0</v>
      </c>
      <c r="L198" s="309">
        <v>0</v>
      </c>
      <c r="M198" s="309">
        <v>0</v>
      </c>
      <c r="N198" s="309">
        <v>0</v>
      </c>
      <c r="O198" s="309">
        <v>0</v>
      </c>
      <c r="P198" s="309">
        <v>0</v>
      </c>
      <c r="Q198" s="309">
        <v>0</v>
      </c>
      <c r="R198" s="309">
        <v>0</v>
      </c>
      <c r="S198" s="309">
        <v>0</v>
      </c>
      <c r="T198" s="309">
        <v>0</v>
      </c>
      <c r="U198" s="309">
        <v>0</v>
      </c>
      <c r="V198" s="309">
        <v>0</v>
      </c>
      <c r="W198" s="309">
        <v>0</v>
      </c>
      <c r="X198" s="309">
        <v>0</v>
      </c>
      <c r="Y198" s="309">
        <v>0</v>
      </c>
      <c r="Z198" s="309">
        <v>0</v>
      </c>
      <c r="AA198" s="309">
        <v>0</v>
      </c>
      <c r="AB198" s="309">
        <v>0</v>
      </c>
      <c r="AC198" s="309">
        <v>0</v>
      </c>
      <c r="AD198" s="309">
        <v>0</v>
      </c>
      <c r="AE198" s="309">
        <v>0</v>
      </c>
      <c r="AF198" s="309">
        <v>0</v>
      </c>
      <c r="AG198" s="309">
        <v>0</v>
      </c>
      <c r="AI198" s="305"/>
      <c r="AJ198" s="306"/>
    </row>
    <row r="199" spans="1:36" outlineLevel="1">
      <c r="A199" s="310" t="s">
        <v>51</v>
      </c>
      <c r="B199" s="302" t="s">
        <v>704</v>
      </c>
      <c r="C199" s="249">
        <f t="shared" ref="C199:AG199" si="130">C166</f>
        <v>0.29411849599012857</v>
      </c>
      <c r="D199" s="249">
        <f t="shared" si="130"/>
        <v>0.29903027487316369</v>
      </c>
      <c r="E199" s="249">
        <f t="shared" si="130"/>
        <v>0.30402408046354551</v>
      </c>
      <c r="F199" s="249">
        <f t="shared" si="130"/>
        <v>0.3091012826072867</v>
      </c>
      <c r="G199" s="249">
        <f t="shared" si="130"/>
        <v>0.31426327402682835</v>
      </c>
      <c r="H199" s="249">
        <f t="shared" si="130"/>
        <v>0.31951147070307639</v>
      </c>
      <c r="I199" s="249">
        <f t="shared" si="130"/>
        <v>0.32484731226381774</v>
      </c>
      <c r="J199" s="249">
        <f t="shared" si="130"/>
        <v>0.3302722623786235</v>
      </c>
      <c r="K199" s="249">
        <f t="shared" si="130"/>
        <v>0.33578780916034651</v>
      </c>
      <c r="L199" s="249">
        <f t="shared" si="130"/>
        <v>0.34139546557332429</v>
      </c>
      <c r="M199" s="249">
        <f t="shared" si="130"/>
        <v>0.34709676984839877</v>
      </c>
      <c r="N199" s="249">
        <f t="shared" si="130"/>
        <v>0.35289328590486702</v>
      </c>
      <c r="O199" s="249">
        <f t="shared" si="130"/>
        <v>0.3587866037794783</v>
      </c>
      <c r="P199" s="249">
        <f t="shared" si="130"/>
        <v>0.36477834006259557</v>
      </c>
      <c r="Q199" s="249">
        <f t="shared" si="130"/>
        <v>0.3708701383416409</v>
      </c>
      <c r="R199" s="249">
        <f t="shared" si="130"/>
        <v>0.37706366965194626</v>
      </c>
      <c r="S199" s="249">
        <f t="shared" si="130"/>
        <v>0.38336063293513373</v>
      </c>
      <c r="T199" s="249">
        <f t="shared" si="130"/>
        <v>0.38976275550515044</v>
      </c>
      <c r="U199" s="249">
        <f t="shared" si="130"/>
        <v>0.39627179352208641</v>
      </c>
      <c r="V199" s="249">
        <f t="shared" si="130"/>
        <v>0.40288953247390524</v>
      </c>
      <c r="W199" s="249">
        <f t="shared" si="130"/>
        <v>0.40961778766621942</v>
      </c>
      <c r="X199" s="249">
        <f t="shared" si="130"/>
        <v>0.41645840472024526</v>
      </c>
      <c r="Y199" s="249">
        <f t="shared" si="130"/>
        <v>0.42341326007907332</v>
      </c>
      <c r="Z199" s="249">
        <f t="shared" si="130"/>
        <v>0.43048426152239383</v>
      </c>
      <c r="AA199" s="249">
        <f t="shared" si="130"/>
        <v>0.43767334868981778</v>
      </c>
      <c r="AB199" s="249">
        <f t="shared" si="130"/>
        <v>0.44498249361293768</v>
      </c>
      <c r="AC199" s="249">
        <f t="shared" si="130"/>
        <v>0.45241370125627373</v>
      </c>
      <c r="AD199" s="249">
        <f t="shared" si="130"/>
        <v>0.45996901006725349</v>
      </c>
      <c r="AE199" s="249">
        <f t="shared" si="130"/>
        <v>0.46765049253537661</v>
      </c>
      <c r="AF199" s="249">
        <f t="shared" si="130"/>
        <v>0.47546025576071738</v>
      </c>
      <c r="AG199" s="249">
        <f t="shared" si="130"/>
        <v>0.48340044203192134</v>
      </c>
      <c r="AI199" s="296"/>
    </row>
    <row r="200" spans="1:36" s="68" customFormat="1" outlineLevel="1">
      <c r="A200" s="311" t="s">
        <v>1387</v>
      </c>
      <c r="B200" s="312" t="s">
        <v>704</v>
      </c>
      <c r="C200" s="313">
        <f>C197-C198-C199</f>
        <v>5.9697924769588235</v>
      </c>
      <c r="D200" s="313">
        <f t="shared" ref="D200:AG200" si="131">D197-D198-D199</f>
        <v>6.1748563873867433</v>
      </c>
      <c r="E200" s="313">
        <f t="shared" si="131"/>
        <v>6.3693864891302487</v>
      </c>
      <c r="F200" s="313">
        <f t="shared" si="131"/>
        <v>6.5520119533567893</v>
      </c>
      <c r="G200" s="313">
        <f t="shared" si="131"/>
        <v>6.7214167300954868</v>
      </c>
      <c r="H200" s="313">
        <f t="shared" si="131"/>
        <v>6.8763548854662346</v>
      </c>
      <c r="I200" s="313">
        <f t="shared" si="131"/>
        <v>7.0315022234990119</v>
      </c>
      <c r="J200" s="313">
        <f t="shared" si="131"/>
        <v>7.1867119778779243</v>
      </c>
      <c r="K200" s="313">
        <f t="shared" si="131"/>
        <v>7.3418336688996364</v>
      </c>
      <c r="L200" s="313">
        <f t="shared" si="131"/>
        <v>7.4967132968246784</v>
      </c>
      <c r="M200" s="313">
        <f t="shared" si="131"/>
        <v>7.6511935483171847</v>
      </c>
      <c r="N200" s="313">
        <f t="shared" si="131"/>
        <v>7.793441615125011</v>
      </c>
      <c r="O200" s="313">
        <f t="shared" si="131"/>
        <v>7.9226348253391752</v>
      </c>
      <c r="P200" s="313">
        <f t="shared" si="131"/>
        <v>8.0380084749078531</v>
      </c>
      <c r="Q200" s="313">
        <f t="shared" si="131"/>
        <v>8.1388629194904709</v>
      </c>
      <c r="R200" s="313">
        <f t="shared" si="131"/>
        <v>8.2245701863860319</v>
      </c>
      <c r="S200" s="313">
        <f t="shared" si="131"/>
        <v>8.3102148039435466</v>
      </c>
      <c r="T200" s="313">
        <f t="shared" si="131"/>
        <v>8.3957745604926206</v>
      </c>
      <c r="U200" s="313">
        <f t="shared" si="131"/>
        <v>8.4812269695920719</v>
      </c>
      <c r="V200" s="313">
        <f t="shared" si="131"/>
        <v>8.5665492760882263</v>
      </c>
      <c r="W200" s="313">
        <f t="shared" si="131"/>
        <v>8.6517184623824068</v>
      </c>
      <c r="X200" s="313">
        <f t="shared" si="131"/>
        <v>8.736812071684966</v>
      </c>
      <c r="Y200" s="313">
        <f t="shared" si="131"/>
        <v>8.8218097702993887</v>
      </c>
      <c r="Z200" s="313">
        <f t="shared" si="131"/>
        <v>8.9066909846066054</v>
      </c>
      <c r="AA200" s="313">
        <f t="shared" si="131"/>
        <v>8.9914349058750087</v>
      </c>
      <c r="AB200" s="313">
        <f t="shared" si="131"/>
        <v>9.0760204952277501</v>
      </c>
      <c r="AC200" s="313">
        <f t="shared" si="131"/>
        <v>9.160517370834965</v>
      </c>
      <c r="AD200" s="313">
        <f t="shared" si="131"/>
        <v>9.244906775618924</v>
      </c>
      <c r="AE200" s="313">
        <f t="shared" si="131"/>
        <v>9.329169739977683</v>
      </c>
      <c r="AF200" s="313">
        <f t="shared" si="131"/>
        <v>9.4132870856093565</v>
      </c>
      <c r="AG200" s="313">
        <f t="shared" si="131"/>
        <v>9.497239429455572</v>
      </c>
      <c r="AI200" s="314"/>
      <c r="AJ200" s="315"/>
    </row>
    <row r="201" spans="1:36" outlineLevel="1">
      <c r="A201" s="112" t="s">
        <v>90</v>
      </c>
      <c r="B201" s="302" t="s">
        <v>704</v>
      </c>
      <c r="C201" s="230">
        <f>C170*C$200</f>
        <v>0.95516679631341184</v>
      </c>
      <c r="D201" s="230">
        <f t="shared" ref="D201:AG201" si="132">D170*D$200</f>
        <v>1.0007383918491448</v>
      </c>
      <c r="E201" s="230">
        <f t="shared" si="132"/>
        <v>1.0454286357492448</v>
      </c>
      <c r="F201" s="230">
        <f t="shared" si="132"/>
        <v>1.0889443866478983</v>
      </c>
      <c r="G201" s="230">
        <f t="shared" si="132"/>
        <v>1.1309903884507337</v>
      </c>
      <c r="H201" s="230">
        <f t="shared" si="132"/>
        <v>1.1712724488244151</v>
      </c>
      <c r="I201" s="230">
        <f t="shared" si="132"/>
        <v>1.2122309833312295</v>
      </c>
      <c r="J201" s="230">
        <f t="shared" si="132"/>
        <v>1.2538416830737682</v>
      </c>
      <c r="K201" s="230">
        <f t="shared" si="132"/>
        <v>1.2960783703497489</v>
      </c>
      <c r="L201" s="230">
        <f t="shared" si="132"/>
        <v>1.3389129948128873</v>
      </c>
      <c r="M201" s="230">
        <f t="shared" si="132"/>
        <v>1.382315634395971</v>
      </c>
      <c r="N201" s="230">
        <f t="shared" si="132"/>
        <v>1.4241215644705099</v>
      </c>
      <c r="O201" s="230">
        <f t="shared" si="132"/>
        <v>1.464102915722679</v>
      </c>
      <c r="P201" s="230">
        <f t="shared" si="132"/>
        <v>1.5020358503444469</v>
      </c>
      <c r="Q201" s="230">
        <f t="shared" si="132"/>
        <v>1.537702500922399</v>
      </c>
      <c r="R201" s="230">
        <f t="shared" si="132"/>
        <v>1.5708929055997314</v>
      </c>
      <c r="S201" s="230">
        <f t="shared" si="132"/>
        <v>1.6044254714813666</v>
      </c>
      <c r="T201" s="230">
        <f t="shared" si="132"/>
        <v>1.6382954759041259</v>
      </c>
      <c r="U201" s="230">
        <f t="shared" si="132"/>
        <v>1.6724979584035558</v>
      </c>
      <c r="V201" s="230">
        <f t="shared" si="132"/>
        <v>1.7070277190818464</v>
      </c>
      <c r="W201" s="230">
        <f t="shared" si="132"/>
        <v>1.7418793170929903</v>
      </c>
      <c r="X201" s="230">
        <f t="shared" si="132"/>
        <v>1.777067575380721</v>
      </c>
      <c r="Y201" s="230">
        <f t="shared" si="132"/>
        <v>1.8125878474708468</v>
      </c>
      <c r="Z201" s="230">
        <f t="shared" si="132"/>
        <v>1.8484352690053565</v>
      </c>
      <c r="AA201" s="230">
        <f t="shared" si="132"/>
        <v>1.8846047562714006</v>
      </c>
      <c r="AB201" s="230">
        <f t="shared" si="132"/>
        <v>1.9210910048232059</v>
      </c>
      <c r="AC201" s="230">
        <f t="shared" si="132"/>
        <v>1.9579079127264585</v>
      </c>
      <c r="AD201" s="230">
        <f t="shared" si="132"/>
        <v>1.9950508821785624</v>
      </c>
      <c r="AE201" s="230">
        <f t="shared" si="132"/>
        <v>2.0325151140164697</v>
      </c>
      <c r="AF201" s="230">
        <f t="shared" si="132"/>
        <v>2.0702956063616829</v>
      </c>
      <c r="AG201" s="230">
        <f t="shared" si="132"/>
        <v>2.108387153339137</v>
      </c>
      <c r="AI201" s="214"/>
    </row>
    <row r="202" spans="1:36" outlineLevel="1">
      <c r="A202" s="112" t="s">
        <v>33</v>
      </c>
      <c r="B202" s="302" t="s">
        <v>704</v>
      </c>
      <c r="C202" s="230">
        <f t="shared" ref="C202:AG206" si="133">C171*C$200</f>
        <v>2.2088232164747645</v>
      </c>
      <c r="D202" s="230">
        <f t="shared" si="133"/>
        <v>2.2396204117051721</v>
      </c>
      <c r="E202" s="230">
        <f t="shared" si="133"/>
        <v>2.2636799582368905</v>
      </c>
      <c r="F202" s="230">
        <f t="shared" si="133"/>
        <v>2.2807553609634987</v>
      </c>
      <c r="G202" s="230">
        <f t="shared" si="133"/>
        <v>2.2906588216165424</v>
      </c>
      <c r="H202" s="230">
        <f t="shared" si="133"/>
        <v>2.2932643543029902</v>
      </c>
      <c r="I202" s="230">
        <f t="shared" si="133"/>
        <v>2.2936760253053787</v>
      </c>
      <c r="J202" s="230">
        <f t="shared" si="133"/>
        <v>2.2918424497452712</v>
      </c>
      <c r="K202" s="230">
        <f t="shared" si="133"/>
        <v>2.2877153712291283</v>
      </c>
      <c r="L202" s="230">
        <f t="shared" si="133"/>
        <v>2.2812498562237513</v>
      </c>
      <c r="M202" s="230">
        <f t="shared" si="133"/>
        <v>2.272404483850206</v>
      </c>
      <c r="N202" s="230">
        <f t="shared" si="133"/>
        <v>2.2577600359017178</v>
      </c>
      <c r="O202" s="230">
        <f t="shared" si="133"/>
        <v>2.2373520746757856</v>
      </c>
      <c r="P202" s="230">
        <f t="shared" si="133"/>
        <v>2.2112561314471533</v>
      </c>
      <c r="Q202" s="230">
        <f t="shared" si="133"/>
        <v>2.1795874898395513</v>
      </c>
      <c r="R202" s="230">
        <f t="shared" si="133"/>
        <v>2.1425005335535645</v>
      </c>
      <c r="S202" s="230">
        <f t="shared" si="133"/>
        <v>2.1041463883585094</v>
      </c>
      <c r="T202" s="230">
        <f t="shared" si="133"/>
        <v>2.0645209644251388</v>
      </c>
      <c r="U202" s="230">
        <f t="shared" si="133"/>
        <v>2.0236207549446719</v>
      </c>
      <c r="V202" s="230">
        <f t="shared" si="133"/>
        <v>1.9814428475592103</v>
      </c>
      <c r="W202" s="230">
        <f t="shared" si="133"/>
        <v>1.9379849355736627</v>
      </c>
      <c r="X202" s="230">
        <f t="shared" si="133"/>
        <v>1.8932671759341357</v>
      </c>
      <c r="Y202" s="230">
        <f t="shared" si="133"/>
        <v>1.8472869659006956</v>
      </c>
      <c r="Z202" s="230">
        <f t="shared" si="133"/>
        <v>1.8000422479889986</v>
      </c>
      <c r="AA202" s="230">
        <f t="shared" si="133"/>
        <v>1.7515315196644554</v>
      </c>
      <c r="AB202" s="230">
        <f t="shared" si="133"/>
        <v>1.701753842855207</v>
      </c>
      <c r="AC202" s="230">
        <f t="shared" si="133"/>
        <v>1.6507252302244646</v>
      </c>
      <c r="AD202" s="230">
        <f t="shared" si="133"/>
        <v>1.5984443815045157</v>
      </c>
      <c r="AE202" s="230">
        <f t="shared" si="133"/>
        <v>1.5449105089403081</v>
      </c>
      <c r="AF202" s="230">
        <f t="shared" si="133"/>
        <v>1.4901233456519649</v>
      </c>
      <c r="AG202" s="230">
        <f t="shared" si="133"/>
        <v>1.4340831538477914</v>
      </c>
      <c r="AI202" s="214"/>
    </row>
    <row r="203" spans="1:36" outlineLevel="1">
      <c r="A203" s="112" t="s">
        <v>451</v>
      </c>
      <c r="B203" s="302" t="s">
        <v>704</v>
      </c>
      <c r="C203" s="230">
        <f t="shared" si="133"/>
        <v>0.47758339815670592</v>
      </c>
      <c r="D203" s="230">
        <f t="shared" si="133"/>
        <v>0.49460599662967814</v>
      </c>
      <c r="E203" s="230">
        <f t="shared" si="133"/>
        <v>0.51082479642824596</v>
      </c>
      <c r="F203" s="230">
        <f t="shared" si="133"/>
        <v>0.52612655985455026</v>
      </c>
      <c r="G203" s="230">
        <f t="shared" si="133"/>
        <v>0.54040190509967723</v>
      </c>
      <c r="H203" s="230">
        <f t="shared" si="133"/>
        <v>0.55354656828003201</v>
      </c>
      <c r="I203" s="230">
        <f t="shared" si="133"/>
        <v>0.56673907921402045</v>
      </c>
      <c r="J203" s="230">
        <f t="shared" si="133"/>
        <v>0.57996765661474869</v>
      </c>
      <c r="K203" s="230">
        <f t="shared" si="133"/>
        <v>0.59322016044709081</v>
      </c>
      <c r="L203" s="230">
        <f t="shared" si="133"/>
        <v>0.60648410571311673</v>
      </c>
      <c r="M203" s="230">
        <f t="shared" si="133"/>
        <v>0.61974667741369216</v>
      </c>
      <c r="N203" s="230">
        <f t="shared" si="133"/>
        <v>0.6320481149866386</v>
      </c>
      <c r="O203" s="230">
        <f t="shared" si="133"/>
        <v>0.64331794781754126</v>
      </c>
      <c r="P203" s="230">
        <f t="shared" si="133"/>
        <v>0.65349008901000882</v>
      </c>
      <c r="Q203" s="230">
        <f t="shared" si="133"/>
        <v>0.66250344164652464</v>
      </c>
      <c r="R203" s="230">
        <f t="shared" si="133"/>
        <v>0.67030247019046196</v>
      </c>
      <c r="S203" s="230">
        <f t="shared" si="133"/>
        <v>0.67811352800179381</v>
      </c>
      <c r="T203" s="230">
        <f t="shared" si="133"/>
        <v>0.68593478159224752</v>
      </c>
      <c r="U203" s="230">
        <f t="shared" si="133"/>
        <v>0.69376436611263192</v>
      </c>
      <c r="V203" s="230">
        <f t="shared" si="133"/>
        <v>0.7016003857116262</v>
      </c>
      <c r="W203" s="230">
        <f t="shared" si="133"/>
        <v>0.70944091391535791</v>
      </c>
      <c r="X203" s="230">
        <f t="shared" si="133"/>
        <v>0.71729227108533622</v>
      </c>
      <c r="Y203" s="230">
        <f t="shared" si="133"/>
        <v>0.72515276311861032</v>
      </c>
      <c r="Z203" s="230">
        <f t="shared" si="133"/>
        <v>0.73302066803312427</v>
      </c>
      <c r="AA203" s="230">
        <f t="shared" si="133"/>
        <v>0.74089423624410133</v>
      </c>
      <c r="AB203" s="230">
        <f t="shared" si="133"/>
        <v>0.74877169085629003</v>
      </c>
      <c r="AC203" s="230">
        <f t="shared" si="133"/>
        <v>0.75665873483096879</v>
      </c>
      <c r="AD203" s="230">
        <f t="shared" si="133"/>
        <v>0.76455379034368576</v>
      </c>
      <c r="AE203" s="230">
        <f t="shared" si="133"/>
        <v>0.77245525447015295</v>
      </c>
      <c r="AF203" s="230">
        <f t="shared" si="133"/>
        <v>0.78036149939701649</v>
      </c>
      <c r="AG203" s="230">
        <f t="shared" si="133"/>
        <v>0.78827087264481255</v>
      </c>
      <c r="AI203" s="214"/>
    </row>
    <row r="204" spans="1:36" outlineLevel="1">
      <c r="A204" s="112" t="s">
        <v>452</v>
      </c>
      <c r="B204" s="302" t="s">
        <v>704</v>
      </c>
      <c r="C204" s="230">
        <f t="shared" si="133"/>
        <v>1.6118439687788824</v>
      </c>
      <c r="D204" s="230">
        <f t="shared" si="133"/>
        <v>1.6865591079415658</v>
      </c>
      <c r="E204" s="230">
        <f t="shared" si="133"/>
        <v>1.7596491740637166</v>
      </c>
      <c r="F204" s="230">
        <f t="shared" si="133"/>
        <v>1.8306321397678869</v>
      </c>
      <c r="G204" s="230">
        <f t="shared" si="133"/>
        <v>1.8990242734763114</v>
      </c>
      <c r="H204" s="230">
        <f t="shared" si="133"/>
        <v>1.9643453789481875</v>
      </c>
      <c r="I204" s="230">
        <f t="shared" si="133"/>
        <v>2.0306978421465143</v>
      </c>
      <c r="J204" s="230">
        <f t="shared" si="133"/>
        <v>2.0980407834084951</v>
      </c>
      <c r="K204" s="230">
        <f t="shared" si="133"/>
        <v>2.1663303879033187</v>
      </c>
      <c r="L204" s="230">
        <f t="shared" si="133"/>
        <v>2.2355199051131183</v>
      </c>
      <c r="M204" s="230">
        <f t="shared" si="133"/>
        <v>2.3055596558929108</v>
      </c>
      <c r="N204" s="230">
        <f t="shared" si="133"/>
        <v>2.372843190418394</v>
      </c>
      <c r="O204" s="230">
        <f t="shared" si="133"/>
        <v>2.4370024722743291</v>
      </c>
      <c r="P204" s="230">
        <f t="shared" si="133"/>
        <v>2.4976771667696993</v>
      </c>
      <c r="Q204" s="230">
        <f t="shared" si="133"/>
        <v>2.5545177749974077</v>
      </c>
      <c r="R204" s="230">
        <f t="shared" si="133"/>
        <v>2.6071887490843708</v>
      </c>
      <c r="S204" s="230">
        <f t="shared" si="133"/>
        <v>2.6603767659024591</v>
      </c>
      <c r="T204" s="230">
        <f t="shared" si="133"/>
        <v>2.7140740562552463</v>
      </c>
      <c r="U204" s="230">
        <f t="shared" si="133"/>
        <v>2.7682724828748504</v>
      </c>
      <c r="V204" s="230">
        <f t="shared" si="133"/>
        <v>2.8229635381136049</v>
      </c>
      <c r="W204" s="230">
        <f t="shared" si="133"/>
        <v>2.8781383418192119</v>
      </c>
      <c r="X204" s="230">
        <f t="shared" si="133"/>
        <v>2.9338214936718097</v>
      </c>
      <c r="Y204" s="230">
        <f t="shared" si="133"/>
        <v>2.9900053914801372</v>
      </c>
      <c r="Z204" s="230">
        <f t="shared" si="133"/>
        <v>3.0466820961344303</v>
      </c>
      <c r="AA204" s="230">
        <f t="shared" si="133"/>
        <v>3.1038433295080505</v>
      </c>
      <c r="AB204" s="230">
        <f t="shared" si="133"/>
        <v>3.1614804725043304</v>
      </c>
      <c r="AC204" s="230">
        <f t="shared" si="133"/>
        <v>3.2196165052694599</v>
      </c>
      <c r="AD204" s="230">
        <f t="shared" si="133"/>
        <v>3.2782439426344676</v>
      </c>
      <c r="AE204" s="230">
        <f t="shared" si="133"/>
        <v>3.3373549883146802</v>
      </c>
      <c r="AF204" s="230">
        <f t="shared" si="133"/>
        <v>3.3969415329602266</v>
      </c>
      <c r="AG204" s="230">
        <f t="shared" si="133"/>
        <v>3.4569951523218281</v>
      </c>
      <c r="AI204" s="214"/>
    </row>
    <row r="205" spans="1:36" outlineLevel="1">
      <c r="A205" s="112" t="s">
        <v>1364</v>
      </c>
      <c r="B205" s="302" t="s">
        <v>704</v>
      </c>
      <c r="C205" s="230">
        <f t="shared" si="133"/>
        <v>0.41788547338711768</v>
      </c>
      <c r="D205" s="230">
        <f t="shared" si="133"/>
        <v>0.44006143187442859</v>
      </c>
      <c r="E205" s="230">
        <f t="shared" si="133"/>
        <v>0.46199283334491409</v>
      </c>
      <c r="F205" s="230">
        <f t="shared" si="133"/>
        <v>0.4835384821577311</v>
      </c>
      <c r="G205" s="230">
        <f t="shared" si="133"/>
        <v>0.50455434920583453</v>
      </c>
      <c r="H205" s="230">
        <f t="shared" si="133"/>
        <v>0.52489508959058928</v>
      </c>
      <c r="I205" s="230">
        <f t="shared" si="133"/>
        <v>0.54564457254352339</v>
      </c>
      <c r="J205" s="230">
        <f t="shared" si="133"/>
        <v>0.56679201798863899</v>
      </c>
      <c r="K205" s="230">
        <f t="shared" si="133"/>
        <v>0.58832560466782424</v>
      </c>
      <c r="L205" s="230">
        <f t="shared" si="133"/>
        <v>0.61023246236152884</v>
      </c>
      <c r="M205" s="230">
        <f t="shared" si="133"/>
        <v>0.63249866666088728</v>
      </c>
      <c r="N205" s="230">
        <f t="shared" si="133"/>
        <v>0.65412953289615927</v>
      </c>
      <c r="O205" s="230">
        <f t="shared" si="133"/>
        <v>0.67500848711889772</v>
      </c>
      <c r="P205" s="230">
        <f t="shared" si="133"/>
        <v>0.69501979946369896</v>
      </c>
      <c r="Q205" s="230">
        <f t="shared" si="133"/>
        <v>0.71404957346996401</v>
      </c>
      <c r="R205" s="230">
        <f t="shared" si="133"/>
        <v>0.73198674658835683</v>
      </c>
      <c r="S205" s="230">
        <f t="shared" si="133"/>
        <v>0.75013538963597082</v>
      </c>
      <c r="T205" s="230">
        <f t="shared" si="133"/>
        <v>0.76849323143709114</v>
      </c>
      <c r="U205" s="230">
        <f t="shared" si="133"/>
        <v>0.78705786277814427</v>
      </c>
      <c r="V205" s="230">
        <f t="shared" si="133"/>
        <v>0.80582673523736581</v>
      </c>
      <c r="W205" s="230">
        <f t="shared" si="133"/>
        <v>0.824797160080456</v>
      </c>
      <c r="X205" s="230">
        <f t="shared" si="133"/>
        <v>0.84397604612476762</v>
      </c>
      <c r="Y205" s="230">
        <f t="shared" si="133"/>
        <v>0.86336111618663347</v>
      </c>
      <c r="Z205" s="230">
        <f t="shared" si="133"/>
        <v>0.88294996627400135</v>
      </c>
      <c r="AA205" s="230">
        <f t="shared" si="133"/>
        <v>0.90274006454985078</v>
      </c>
      <c r="AB205" s="230">
        <f t="shared" si="133"/>
        <v>0.92272875034815449</v>
      </c>
      <c r="AC205" s="230">
        <f t="shared" si="133"/>
        <v>0.9429225880379456</v>
      </c>
      <c r="AD205" s="230">
        <f t="shared" si="133"/>
        <v>0.96331928601949179</v>
      </c>
      <c r="AE205" s="230">
        <f t="shared" si="133"/>
        <v>0.98391643524297945</v>
      </c>
      <c r="AF205" s="230">
        <f t="shared" si="133"/>
        <v>1.0047115082707052</v>
      </c>
      <c r="AG205" s="230">
        <f t="shared" si="133"/>
        <v>1.0257018583812019</v>
      </c>
      <c r="AI205" s="214"/>
    </row>
    <row r="206" spans="1:36" outlineLevel="1">
      <c r="A206" s="112" t="s">
        <v>1365</v>
      </c>
      <c r="B206" s="302" t="s">
        <v>704</v>
      </c>
      <c r="C206" s="230">
        <f t="shared" si="133"/>
        <v>0.2984896238479412</v>
      </c>
      <c r="D206" s="230">
        <f t="shared" si="133"/>
        <v>0.31327104738675415</v>
      </c>
      <c r="E206" s="230">
        <f t="shared" si="133"/>
        <v>0.32781109130723685</v>
      </c>
      <c r="F206" s="230">
        <f t="shared" si="133"/>
        <v>0.34201502396522449</v>
      </c>
      <c r="G206" s="230">
        <f t="shared" si="133"/>
        <v>0.35578699224638788</v>
      </c>
      <c r="H206" s="230">
        <f t="shared" si="133"/>
        <v>0.36903104552002136</v>
      </c>
      <c r="I206" s="230">
        <f t="shared" si="133"/>
        <v>0.38251372095834635</v>
      </c>
      <c r="J206" s="230">
        <f t="shared" si="133"/>
        <v>0.39622738704700305</v>
      </c>
      <c r="K206" s="230">
        <f t="shared" si="133"/>
        <v>0.41016377430252654</v>
      </c>
      <c r="L206" s="230">
        <f t="shared" si="133"/>
        <v>0.42431397260027698</v>
      </c>
      <c r="M206" s="230">
        <f t="shared" si="133"/>
        <v>0.4386684301035188</v>
      </c>
      <c r="N206" s="230">
        <f t="shared" si="133"/>
        <v>0.45253917645159253</v>
      </c>
      <c r="O206" s="230">
        <f t="shared" si="133"/>
        <v>0.46585092772994374</v>
      </c>
      <c r="P206" s="230">
        <f t="shared" si="133"/>
        <v>0.4785294378728478</v>
      </c>
      <c r="Q206" s="230">
        <f t="shared" si="133"/>
        <v>0.49050213861462605</v>
      </c>
      <c r="R206" s="230">
        <f t="shared" si="133"/>
        <v>0.50169878136954826</v>
      </c>
      <c r="S206" s="230">
        <f t="shared" si="133"/>
        <v>0.51301726056344865</v>
      </c>
      <c r="T206" s="230">
        <f t="shared" si="133"/>
        <v>0.52445605087877278</v>
      </c>
      <c r="U206" s="230">
        <f t="shared" si="133"/>
        <v>0.53601354447821936</v>
      </c>
      <c r="V206" s="230">
        <f t="shared" si="133"/>
        <v>0.54768805038457435</v>
      </c>
      <c r="W206" s="230">
        <f t="shared" si="133"/>
        <v>0.55947779390072938</v>
      </c>
      <c r="X206" s="230">
        <f t="shared" si="133"/>
        <v>0.57138750948819728</v>
      </c>
      <c r="Y206" s="230">
        <f t="shared" si="133"/>
        <v>0.58341568614246675</v>
      </c>
      <c r="Z206" s="230">
        <f t="shared" si="133"/>
        <v>0.59556073717069558</v>
      </c>
      <c r="AA206" s="230">
        <f t="shared" si="133"/>
        <v>0.60782099963715119</v>
      </c>
      <c r="AB206" s="230">
        <f t="shared" si="133"/>
        <v>0.62019473384056356</v>
      </c>
      <c r="AC206" s="230">
        <f t="shared" si="133"/>
        <v>0.63268639974566887</v>
      </c>
      <c r="AD206" s="230">
        <f t="shared" si="133"/>
        <v>0.64529449293820151</v>
      </c>
      <c r="AE206" s="230">
        <f t="shared" si="133"/>
        <v>0.65801743899309328</v>
      </c>
      <c r="AF206" s="230">
        <f t="shared" si="133"/>
        <v>0.67085359296776081</v>
      </c>
      <c r="AG206" s="230">
        <f t="shared" si="133"/>
        <v>0.68380123892080114</v>
      </c>
      <c r="AI206" s="214"/>
    </row>
    <row r="207" spans="1:36" s="58" customFormat="1">
      <c r="A207" s="58" t="s">
        <v>1366</v>
      </c>
      <c r="B207" s="303"/>
      <c r="C207" s="304">
        <f t="shared" ref="C207:AG207" si="134">C47</f>
        <v>6.2639109729489517</v>
      </c>
      <c r="D207" s="304">
        <f t="shared" si="134"/>
        <v>6.4738866622599067</v>
      </c>
      <c r="E207" s="304">
        <f t="shared" si="134"/>
        <v>6.673410569593794</v>
      </c>
      <c r="F207" s="304">
        <f t="shared" si="134"/>
        <v>6.8611132359640763</v>
      </c>
      <c r="G207" s="304">
        <f t="shared" si="134"/>
        <v>7.0356800041223151</v>
      </c>
      <c r="H207" s="304">
        <f t="shared" si="134"/>
        <v>7.1958663561693115</v>
      </c>
      <c r="I207" s="304">
        <f t="shared" si="134"/>
        <v>7.3563495357628295</v>
      </c>
      <c r="J207" s="304">
        <f t="shared" si="134"/>
        <v>7.5169842402565479</v>
      </c>
      <c r="K207" s="304">
        <f t="shared" si="134"/>
        <v>7.677621478059983</v>
      </c>
      <c r="L207" s="304">
        <f t="shared" si="134"/>
        <v>7.8381087623980026</v>
      </c>
      <c r="M207" s="304">
        <f t="shared" si="134"/>
        <v>7.9982903181655836</v>
      </c>
      <c r="N207" s="304">
        <f t="shared" si="134"/>
        <v>8.1463349010298778</v>
      </c>
      <c r="O207" s="304">
        <f t="shared" si="134"/>
        <v>8.2814214291186534</v>
      </c>
      <c r="P207" s="304">
        <f t="shared" si="134"/>
        <v>8.4027868149704492</v>
      </c>
      <c r="Q207" s="304">
        <f t="shared" si="134"/>
        <v>8.5097330578321113</v>
      </c>
      <c r="R207" s="304">
        <f t="shared" si="134"/>
        <v>8.6016338560379779</v>
      </c>
      <c r="S207" s="304">
        <f t="shared" si="134"/>
        <v>8.69357543687868</v>
      </c>
      <c r="T207" s="304">
        <f t="shared" si="134"/>
        <v>8.7855373159977717</v>
      </c>
      <c r="U207" s="304">
        <f t="shared" si="134"/>
        <v>8.8774987631141578</v>
      </c>
      <c r="V207" s="304">
        <f t="shared" si="134"/>
        <v>8.9694388085621313</v>
      </c>
      <c r="W207" s="304">
        <f t="shared" si="134"/>
        <v>9.0613362500486261</v>
      </c>
      <c r="X207" s="304">
        <f t="shared" si="134"/>
        <v>9.1532704764052113</v>
      </c>
      <c r="Y207" s="304">
        <f t="shared" si="134"/>
        <v>9.2452230303784617</v>
      </c>
      <c r="Z207" s="304">
        <f t="shared" si="134"/>
        <v>9.3371752461289983</v>
      </c>
      <c r="AA207" s="304">
        <f t="shared" si="134"/>
        <v>9.4291082545648273</v>
      </c>
      <c r="AB207" s="304">
        <f t="shared" si="134"/>
        <v>9.5210029888406886</v>
      </c>
      <c r="AC207" s="304">
        <f t="shared" si="134"/>
        <v>9.6129310720912393</v>
      </c>
      <c r="AD207" s="304">
        <f t="shared" si="134"/>
        <v>9.7048757856861769</v>
      </c>
      <c r="AE207" s="304">
        <f t="shared" si="134"/>
        <v>9.7968202325130598</v>
      </c>
      <c r="AF207" s="304">
        <f t="shared" si="134"/>
        <v>9.8887473413700739</v>
      </c>
      <c r="AG207" s="304">
        <f t="shared" si="134"/>
        <v>9.9806398714874938</v>
      </c>
      <c r="AI207" s="305"/>
      <c r="AJ207" s="306"/>
    </row>
    <row r="208" spans="1:36" s="58" customFormat="1">
      <c r="A208" s="307" t="s">
        <v>3</v>
      </c>
      <c r="B208" s="308" t="s">
        <v>704</v>
      </c>
      <c r="C208" s="309">
        <f>C207-C197</f>
        <v>0</v>
      </c>
      <c r="D208" s="309">
        <f t="shared" ref="D208:AG208" si="135">D207-D197</f>
        <v>0</v>
      </c>
      <c r="E208" s="309">
        <f t="shared" si="135"/>
        <v>0</v>
      </c>
      <c r="F208" s="309">
        <f t="shared" si="135"/>
        <v>0</v>
      </c>
      <c r="G208" s="309">
        <f t="shared" si="135"/>
        <v>0</v>
      </c>
      <c r="H208" s="309">
        <f t="shared" si="135"/>
        <v>0</v>
      </c>
      <c r="I208" s="309">
        <f t="shared" si="135"/>
        <v>0</v>
      </c>
      <c r="J208" s="309">
        <f t="shared" si="135"/>
        <v>0</v>
      </c>
      <c r="K208" s="309">
        <f t="shared" si="135"/>
        <v>0</v>
      </c>
      <c r="L208" s="309">
        <f t="shared" si="135"/>
        <v>0</v>
      </c>
      <c r="M208" s="309">
        <f t="shared" si="135"/>
        <v>0</v>
      </c>
      <c r="N208" s="309">
        <f t="shared" si="135"/>
        <v>0</v>
      </c>
      <c r="O208" s="309">
        <f t="shared" si="135"/>
        <v>0</v>
      </c>
      <c r="P208" s="309">
        <f t="shared" si="135"/>
        <v>0</v>
      </c>
      <c r="Q208" s="309">
        <f t="shared" si="135"/>
        <v>0</v>
      </c>
      <c r="R208" s="309">
        <f t="shared" si="135"/>
        <v>0</v>
      </c>
      <c r="S208" s="309">
        <f t="shared" si="135"/>
        <v>0</v>
      </c>
      <c r="T208" s="309">
        <f t="shared" si="135"/>
        <v>0</v>
      </c>
      <c r="U208" s="309">
        <f t="shared" si="135"/>
        <v>0</v>
      </c>
      <c r="V208" s="309">
        <f t="shared" si="135"/>
        <v>0</v>
      </c>
      <c r="W208" s="309">
        <f t="shared" si="135"/>
        <v>0</v>
      </c>
      <c r="X208" s="309">
        <f t="shared" si="135"/>
        <v>0</v>
      </c>
      <c r="Y208" s="309">
        <f t="shared" si="135"/>
        <v>0</v>
      </c>
      <c r="Z208" s="309">
        <f t="shared" si="135"/>
        <v>0</v>
      </c>
      <c r="AA208" s="309">
        <f t="shared" si="135"/>
        <v>0</v>
      </c>
      <c r="AB208" s="309">
        <f t="shared" si="135"/>
        <v>0</v>
      </c>
      <c r="AC208" s="309">
        <f t="shared" si="135"/>
        <v>0</v>
      </c>
      <c r="AD208" s="309">
        <f t="shared" si="135"/>
        <v>0</v>
      </c>
      <c r="AE208" s="309">
        <f t="shared" si="135"/>
        <v>0</v>
      </c>
      <c r="AF208" s="309">
        <f t="shared" si="135"/>
        <v>0</v>
      </c>
      <c r="AG208" s="309">
        <f t="shared" si="135"/>
        <v>0</v>
      </c>
      <c r="AI208" s="305"/>
      <c r="AJ208" s="306"/>
    </row>
    <row r="209" spans="1:36">
      <c r="A209" s="310" t="s">
        <v>51</v>
      </c>
      <c r="B209" s="302" t="s">
        <v>704</v>
      </c>
      <c r="C209" s="249">
        <f>C165</f>
        <v>0.29411849599012857</v>
      </c>
      <c r="D209" s="249">
        <f t="shared" ref="D209:AG209" si="136">D165</f>
        <v>0.34519391601580796</v>
      </c>
      <c r="E209" s="249">
        <f t="shared" si="136"/>
        <v>0.39831912413837989</v>
      </c>
      <c r="F209" s="249">
        <f t="shared" si="136"/>
        <v>0.45320403767359185</v>
      </c>
      <c r="G209" s="249">
        <f t="shared" si="136"/>
        <v>0.50952766795758908</v>
      </c>
      <c r="H209" s="249">
        <f t="shared" si="136"/>
        <v>0.56694107323375775</v>
      </c>
      <c r="I209" s="249">
        <f t="shared" si="136"/>
        <v>0.62641941356681119</v>
      </c>
      <c r="J209" s="249">
        <f t="shared" si="136"/>
        <v>0.68795506012102126</v>
      </c>
      <c r="K209" s="249">
        <f t="shared" si="136"/>
        <v>0.75153632267378723</v>
      </c>
      <c r="L209" s="249">
        <f t="shared" si="136"/>
        <v>0.81714735238699321</v>
      </c>
      <c r="M209" s="249">
        <f t="shared" si="136"/>
        <v>0.88476805342840015</v>
      </c>
      <c r="N209" s="249">
        <f t="shared" si="136"/>
        <v>0.95300849459260484</v>
      </c>
      <c r="O209" s="249">
        <f t="shared" si="136"/>
        <v>1.0215355823934487</v>
      </c>
      <c r="P209" s="249">
        <f t="shared" si="136"/>
        <v>1.0900028365980481</v>
      </c>
      <c r="Q209" s="249">
        <f t="shared" si="136"/>
        <v>1.1580532015000484</v>
      </c>
      <c r="R209" s="249">
        <f t="shared" si="136"/>
        <v>1.2253220597469408</v>
      </c>
      <c r="S209" s="249">
        <f t="shared" si="136"/>
        <v>1.2937671636997243</v>
      </c>
      <c r="T209" s="249">
        <f t="shared" si="136"/>
        <v>1.3633861134180485</v>
      </c>
      <c r="U209" s="249">
        <f t="shared" si="136"/>
        <v>1.4341759475757545</v>
      </c>
      <c r="V209" s="249">
        <f t="shared" si="136"/>
        <v>1.5061331367306496</v>
      </c>
      <c r="W209" s="249">
        <f t="shared" si="136"/>
        <v>1.5792535768819591</v>
      </c>
      <c r="X209" s="249">
        <f t="shared" si="136"/>
        <v>1.6535507960135065</v>
      </c>
      <c r="Y209" s="249">
        <f t="shared" si="136"/>
        <v>1.7290220448636191</v>
      </c>
      <c r="Z209" s="249">
        <f t="shared" si="136"/>
        <v>1.8056640637994834</v>
      </c>
      <c r="AA209" s="249">
        <f t="shared" si="136"/>
        <v>1.883473077242652</v>
      </c>
      <c r="AB209" s="249">
        <f t="shared" si="136"/>
        <v>1.9624447883324967</v>
      </c>
      <c r="AC209" s="249">
        <f t="shared" si="136"/>
        <v>2.0425936848168909</v>
      </c>
      <c r="AD209" s="249">
        <f t="shared" si="136"/>
        <v>2.1239167447662455</v>
      </c>
      <c r="AE209" s="249">
        <f t="shared" si="136"/>
        <v>2.2064104802958018</v>
      </c>
      <c r="AF209" s="249">
        <f t="shared" si="136"/>
        <v>2.2900709329013753</v>
      </c>
      <c r="AG209" s="249">
        <f t="shared" si="136"/>
        <v>2.3748936689935181</v>
      </c>
      <c r="AI209" s="296"/>
    </row>
    <row r="210" spans="1:36" s="68" customFormat="1">
      <c r="A210" s="311" t="s">
        <v>1387</v>
      </c>
      <c r="B210" s="312" t="s">
        <v>704</v>
      </c>
      <c r="C210" s="313">
        <f>C207-C209</f>
        <v>5.9697924769588235</v>
      </c>
      <c r="D210" s="313">
        <f t="shared" ref="D210:AG210" si="137">D207-D209</f>
        <v>6.1286927462440985</v>
      </c>
      <c r="E210" s="313">
        <f t="shared" si="137"/>
        <v>6.2750914454554145</v>
      </c>
      <c r="F210" s="313">
        <f t="shared" si="137"/>
        <v>6.4079091982904846</v>
      </c>
      <c r="G210" s="313">
        <f t="shared" si="137"/>
        <v>6.526152336164726</v>
      </c>
      <c r="H210" s="313">
        <f t="shared" si="137"/>
        <v>6.6289252829355538</v>
      </c>
      <c r="I210" s="313">
        <f t="shared" si="137"/>
        <v>6.7299301221960182</v>
      </c>
      <c r="J210" s="313">
        <f t="shared" si="137"/>
        <v>6.8290291801355263</v>
      </c>
      <c r="K210" s="313">
        <f t="shared" si="137"/>
        <v>6.926085155386196</v>
      </c>
      <c r="L210" s="313">
        <f t="shared" si="137"/>
        <v>7.0209614100110098</v>
      </c>
      <c r="M210" s="313">
        <f t="shared" si="137"/>
        <v>7.113522264737183</v>
      </c>
      <c r="N210" s="313">
        <f t="shared" si="137"/>
        <v>7.1933264064372731</v>
      </c>
      <c r="O210" s="313">
        <f t="shared" si="137"/>
        <v>7.2598858467252043</v>
      </c>
      <c r="P210" s="313">
        <f t="shared" si="137"/>
        <v>7.3127839783724014</v>
      </c>
      <c r="Q210" s="313">
        <f t="shared" si="137"/>
        <v>7.3516798563320629</v>
      </c>
      <c r="R210" s="313">
        <f t="shared" si="137"/>
        <v>7.3763117962910369</v>
      </c>
      <c r="S210" s="313">
        <f t="shared" si="137"/>
        <v>7.3998082731789552</v>
      </c>
      <c r="T210" s="313">
        <f t="shared" si="137"/>
        <v>7.4221512025797232</v>
      </c>
      <c r="U210" s="313">
        <f t="shared" si="137"/>
        <v>7.4433228155384032</v>
      </c>
      <c r="V210" s="313">
        <f t="shared" si="137"/>
        <v>7.4633056718314812</v>
      </c>
      <c r="W210" s="313">
        <f t="shared" si="137"/>
        <v>7.4820826731666674</v>
      </c>
      <c r="X210" s="313">
        <f t="shared" si="137"/>
        <v>7.4997196803917046</v>
      </c>
      <c r="Y210" s="313">
        <f t="shared" si="137"/>
        <v>7.5162009855148426</v>
      </c>
      <c r="Z210" s="313">
        <f t="shared" si="137"/>
        <v>7.5315111823295151</v>
      </c>
      <c r="AA210" s="313">
        <f t="shared" si="137"/>
        <v>7.5456351773221755</v>
      </c>
      <c r="AB210" s="313">
        <f t="shared" si="137"/>
        <v>7.5585582005081919</v>
      </c>
      <c r="AC210" s="313">
        <f t="shared" si="137"/>
        <v>7.570337387274348</v>
      </c>
      <c r="AD210" s="313">
        <f t="shared" si="137"/>
        <v>7.5809590409199314</v>
      </c>
      <c r="AE210" s="313">
        <f t="shared" si="137"/>
        <v>7.5904097522172584</v>
      </c>
      <c r="AF210" s="313">
        <f t="shared" si="137"/>
        <v>7.5986764084686982</v>
      </c>
      <c r="AG210" s="313">
        <f t="shared" si="137"/>
        <v>7.6057462024939753</v>
      </c>
      <c r="AI210" s="314"/>
      <c r="AJ210" s="315"/>
    </row>
    <row r="211" spans="1:36" s="58" customFormat="1" outlineLevel="1">
      <c r="A211" s="307" t="s">
        <v>1367</v>
      </c>
      <c r="B211" s="308" t="s">
        <v>462</v>
      </c>
      <c r="C211" s="309">
        <f>C207*C177</f>
        <v>5.2616852172771189</v>
      </c>
      <c r="D211" s="309">
        <f t="shared" ref="D211:AG211" si="138">D207*D177</f>
        <v>5.4639603429473613</v>
      </c>
      <c r="E211" s="309">
        <f t="shared" si="138"/>
        <v>5.659052163015537</v>
      </c>
      <c r="F211" s="309">
        <f t="shared" si="138"/>
        <v>5.8456684770413929</v>
      </c>
      <c r="G211" s="309">
        <f t="shared" si="138"/>
        <v>6.0225420835287018</v>
      </c>
      <c r="H211" s="309">
        <f t="shared" si="138"/>
        <v>6.1884450663056079</v>
      </c>
      <c r="I211" s="309">
        <f t="shared" si="138"/>
        <v>6.355885998899085</v>
      </c>
      <c r="J211" s="309">
        <f t="shared" si="138"/>
        <v>6.5247423205426838</v>
      </c>
      <c r="K211" s="309">
        <f t="shared" si="138"/>
        <v>6.6948859288683051</v>
      </c>
      <c r="L211" s="309">
        <f t="shared" si="138"/>
        <v>6.8661832758606502</v>
      </c>
      <c r="M211" s="309">
        <f t="shared" si="138"/>
        <v>7.0384954799857136</v>
      </c>
      <c r="N211" s="309">
        <f t="shared" si="138"/>
        <v>7.2013600525104122</v>
      </c>
      <c r="O211" s="309">
        <f t="shared" si="138"/>
        <v>7.3539022290573639</v>
      </c>
      <c r="P211" s="309">
        <f t="shared" si="138"/>
        <v>7.4952858389536408</v>
      </c>
      <c r="Q211" s="309">
        <f t="shared" si="138"/>
        <v>7.624720819817572</v>
      </c>
      <c r="R211" s="309">
        <f t="shared" si="138"/>
        <v>7.7414704704341801</v>
      </c>
      <c r="S211" s="309">
        <f t="shared" si="138"/>
        <v>7.8589921949383266</v>
      </c>
      <c r="T211" s="309">
        <f t="shared" si="138"/>
        <v>7.9772678829259771</v>
      </c>
      <c r="U211" s="309">
        <f t="shared" si="138"/>
        <v>8.0962788719601129</v>
      </c>
      <c r="V211" s="309">
        <f t="shared" si="138"/>
        <v>8.2160059486429127</v>
      </c>
      <c r="W211" s="309">
        <f t="shared" si="138"/>
        <v>8.3364293500447371</v>
      </c>
      <c r="X211" s="309">
        <f t="shared" si="138"/>
        <v>8.4576219201984149</v>
      </c>
      <c r="Y211" s="309">
        <f t="shared" si="138"/>
        <v>8.5795669721912127</v>
      </c>
      <c r="Z211" s="309">
        <f t="shared" si="138"/>
        <v>8.7022473293922271</v>
      </c>
      <c r="AA211" s="309">
        <f t="shared" si="138"/>
        <v>8.8256453262726779</v>
      </c>
      <c r="AB211" s="309">
        <f t="shared" si="138"/>
        <v>8.9497428095102478</v>
      </c>
      <c r="AC211" s="309">
        <f t="shared" si="138"/>
        <v>9.0746069320541309</v>
      </c>
      <c r="AD211" s="309">
        <f t="shared" si="138"/>
        <v>9.2002222448304956</v>
      </c>
      <c r="AE211" s="309">
        <f t="shared" si="138"/>
        <v>9.3265728613524335</v>
      </c>
      <c r="AF211" s="309">
        <f t="shared" si="138"/>
        <v>9.4536424583497922</v>
      </c>
      <c r="AG211" s="309">
        <f t="shared" si="138"/>
        <v>9.5814142766279939</v>
      </c>
      <c r="AI211" s="305"/>
      <c r="AJ211" s="339" t="s">
        <v>1363</v>
      </c>
    </row>
    <row r="212" spans="1:36" s="58" customFormat="1" outlineLevel="1">
      <c r="A212" s="307" t="s">
        <v>1368</v>
      </c>
      <c r="B212" s="308" t="s">
        <v>462</v>
      </c>
      <c r="C212" s="309">
        <f>C211*C178</f>
        <v>1.1575707478009662</v>
      </c>
      <c r="D212" s="309">
        <f t="shared" ref="D212:AG212" si="139">D211*D178</f>
        <v>1.2384976777347352</v>
      </c>
      <c r="E212" s="309">
        <f t="shared" si="139"/>
        <v>1.3204455047036252</v>
      </c>
      <c r="F212" s="309">
        <f t="shared" si="139"/>
        <v>1.402960434489934</v>
      </c>
      <c r="G212" s="309">
        <f t="shared" si="139"/>
        <v>1.4855603806037461</v>
      </c>
      <c r="H212" s="309">
        <f t="shared" si="139"/>
        <v>1.5677394167974203</v>
      </c>
      <c r="I212" s="309">
        <f t="shared" si="139"/>
        <v>1.6525303597137617</v>
      </c>
      <c r="J212" s="309">
        <f t="shared" si="139"/>
        <v>1.7399312854780487</v>
      </c>
      <c r="K212" s="309">
        <f t="shared" si="139"/>
        <v>1.829935487224003</v>
      </c>
      <c r="L212" s="309">
        <f t="shared" si="139"/>
        <v>1.9225313172409815</v>
      </c>
      <c r="M212" s="309">
        <f t="shared" si="139"/>
        <v>2.0177020375959041</v>
      </c>
      <c r="N212" s="309">
        <f t="shared" si="139"/>
        <v>2.112398948736387</v>
      </c>
      <c r="O212" s="309">
        <f t="shared" si="139"/>
        <v>2.2061706687172085</v>
      </c>
      <c r="P212" s="309">
        <f t="shared" si="139"/>
        <v>2.298554323945782</v>
      </c>
      <c r="Q212" s="309">
        <f t="shared" si="139"/>
        <v>2.3890791902095048</v>
      </c>
      <c r="R212" s="309">
        <f t="shared" si="139"/>
        <v>2.4772705505389365</v>
      </c>
      <c r="S212" s="309">
        <f t="shared" si="139"/>
        <v>2.5672707836798518</v>
      </c>
      <c r="T212" s="309">
        <f t="shared" si="139"/>
        <v>2.6590892943086577</v>
      </c>
      <c r="U212" s="309">
        <f t="shared" si="139"/>
        <v>2.7527348164664369</v>
      </c>
      <c r="V212" s="309">
        <f t="shared" si="139"/>
        <v>2.8482153955295413</v>
      </c>
      <c r="W212" s="309">
        <f t="shared" si="139"/>
        <v>2.9455383703491385</v>
      </c>
      <c r="X212" s="309">
        <f t="shared" si="139"/>
        <v>3.0447438912714273</v>
      </c>
      <c r="Y212" s="309">
        <f t="shared" si="139"/>
        <v>3.1458412231367761</v>
      </c>
      <c r="Z212" s="309">
        <f t="shared" si="139"/>
        <v>3.2488390029730958</v>
      </c>
      <c r="AA212" s="309">
        <f t="shared" si="139"/>
        <v>3.3537452239836152</v>
      </c>
      <c r="AB212" s="309">
        <f t="shared" si="139"/>
        <v>3.4605672196772934</v>
      </c>
      <c r="AC212" s="309">
        <f t="shared" si="139"/>
        <v>3.569345393274622</v>
      </c>
      <c r="AD212" s="309">
        <f t="shared" si="139"/>
        <v>3.6800888979321953</v>
      </c>
      <c r="AE212" s="309">
        <f t="shared" si="139"/>
        <v>3.7928062969499865</v>
      </c>
      <c r="AF212" s="309">
        <f t="shared" si="139"/>
        <v>3.9075055494512441</v>
      </c>
      <c r="AG212" s="309">
        <f t="shared" si="139"/>
        <v>4.0241939961837572</v>
      </c>
      <c r="AI212" s="305"/>
      <c r="AJ212" s="339" t="s">
        <v>1363</v>
      </c>
    </row>
    <row r="213" spans="1:36" s="62" customFormat="1" outlineLevel="1">
      <c r="A213" s="311" t="s">
        <v>1369</v>
      </c>
      <c r="B213" s="312" t="s">
        <v>462</v>
      </c>
      <c r="C213" s="313">
        <f>C211*C179</f>
        <v>4.1041144694761531</v>
      </c>
      <c r="D213" s="313">
        <f t="shared" ref="D213:AG213" si="140">D211*D179</f>
        <v>4.2254626652126257</v>
      </c>
      <c r="E213" s="313">
        <f t="shared" si="140"/>
        <v>4.3386066583119121</v>
      </c>
      <c r="F213" s="313">
        <f t="shared" si="140"/>
        <v>4.4427080425514589</v>
      </c>
      <c r="G213" s="313">
        <f t="shared" si="140"/>
        <v>4.5369817029249555</v>
      </c>
      <c r="H213" s="313">
        <f t="shared" si="140"/>
        <v>4.6207056495081877</v>
      </c>
      <c r="I213" s="313">
        <f t="shared" si="140"/>
        <v>4.7033556391853226</v>
      </c>
      <c r="J213" s="313">
        <f t="shared" si="140"/>
        <v>4.7848110350646351</v>
      </c>
      <c r="K213" s="313">
        <f t="shared" si="140"/>
        <v>4.8649504416443028</v>
      </c>
      <c r="L213" s="313">
        <f t="shared" si="140"/>
        <v>4.943651958619669</v>
      </c>
      <c r="M213" s="313">
        <f t="shared" si="140"/>
        <v>5.0207934423898095</v>
      </c>
      <c r="N213" s="313">
        <f t="shared" si="140"/>
        <v>5.0889611037740252</v>
      </c>
      <c r="O213" s="313">
        <f t="shared" si="140"/>
        <v>5.1477315603401559</v>
      </c>
      <c r="P213" s="313">
        <f t="shared" si="140"/>
        <v>5.1967315150078583</v>
      </c>
      <c r="Q213" s="313">
        <f t="shared" si="140"/>
        <v>5.2356416296080672</v>
      </c>
      <c r="R213" s="313">
        <f t="shared" si="140"/>
        <v>5.2641999198952441</v>
      </c>
      <c r="S213" s="313">
        <f t="shared" si="140"/>
        <v>5.2917214112584752</v>
      </c>
      <c r="T213" s="313">
        <f t="shared" si="140"/>
        <v>5.3181785886173198</v>
      </c>
      <c r="U213" s="313">
        <f t="shared" si="140"/>
        <v>5.3435440554936759</v>
      </c>
      <c r="V213" s="313">
        <f t="shared" si="140"/>
        <v>5.3677905531133714</v>
      </c>
      <c r="W213" s="313">
        <f t="shared" si="140"/>
        <v>5.3908909796955991</v>
      </c>
      <c r="X213" s="313">
        <f t="shared" si="140"/>
        <v>5.4128780289269871</v>
      </c>
      <c r="Y213" s="313">
        <f t="shared" si="140"/>
        <v>5.4337257490544362</v>
      </c>
      <c r="Z213" s="313">
        <f t="shared" si="140"/>
        <v>5.4534083264191313</v>
      </c>
      <c r="AA213" s="313">
        <f t="shared" si="140"/>
        <v>5.4719001022890632</v>
      </c>
      <c r="AB213" s="313">
        <f t="shared" si="140"/>
        <v>5.4891755898329544</v>
      </c>
      <c r="AC213" s="313">
        <f t="shared" si="140"/>
        <v>5.5052615387795081</v>
      </c>
      <c r="AD213" s="313">
        <f t="shared" si="140"/>
        <v>5.5201333468982998</v>
      </c>
      <c r="AE213" s="313">
        <f t="shared" si="140"/>
        <v>5.5337665644024474</v>
      </c>
      <c r="AF213" s="313">
        <f t="shared" si="140"/>
        <v>5.5461369088985482</v>
      </c>
      <c r="AG213" s="313">
        <f t="shared" si="140"/>
        <v>5.5572202804442368</v>
      </c>
      <c r="AI213" s="342"/>
      <c r="AJ213" s="341" t="s">
        <v>1363</v>
      </c>
    </row>
    <row r="214" spans="1:36" s="1" customFormat="1" outlineLevel="1">
      <c r="A214" t="s">
        <v>1370</v>
      </c>
      <c r="B214" s="302" t="s">
        <v>704</v>
      </c>
      <c r="C214" s="249">
        <f>C180*C211</f>
        <v>4.998600956413263</v>
      </c>
      <c r="D214" s="249">
        <f t="shared" ref="D214:AG214" si="141">D180*D211</f>
        <v>5.1634425240852559</v>
      </c>
      <c r="E214" s="249">
        <f t="shared" si="141"/>
        <v>5.3195090332346044</v>
      </c>
      <c r="F214" s="249">
        <f t="shared" si="141"/>
        <v>5.4657000260337023</v>
      </c>
      <c r="G214" s="249">
        <f t="shared" si="141"/>
        <v>5.6009641376816921</v>
      </c>
      <c r="H214" s="249">
        <f t="shared" si="141"/>
        <v>5.7243116863326868</v>
      </c>
      <c r="I214" s="249">
        <f t="shared" si="141"/>
        <v>5.8474151189871577</v>
      </c>
      <c r="J214" s="249">
        <f t="shared" si="141"/>
        <v>5.9701392232965551</v>
      </c>
      <c r="K214" s="249">
        <f t="shared" si="141"/>
        <v>6.0923461952701574</v>
      </c>
      <c r="L214" s="249">
        <f t="shared" si="141"/>
        <v>6.213895864653888</v>
      </c>
      <c r="M214" s="249">
        <f t="shared" si="141"/>
        <v>6.3346459319871418</v>
      </c>
      <c r="N214" s="249">
        <f t="shared" si="141"/>
        <v>6.4452172469968181</v>
      </c>
      <c r="O214" s="249">
        <f t="shared" si="141"/>
        <v>6.5449729838610535</v>
      </c>
      <c r="P214" s="249">
        <f t="shared" si="141"/>
        <v>6.6333279674739716</v>
      </c>
      <c r="Q214" s="249">
        <f t="shared" si="141"/>
        <v>6.7097543214394628</v>
      </c>
      <c r="R214" s="249">
        <f t="shared" si="141"/>
        <v>6.7737866616299067</v>
      </c>
      <c r="S214" s="249">
        <f t="shared" si="141"/>
        <v>6.8373232095963434</v>
      </c>
      <c r="T214" s="249">
        <f t="shared" si="141"/>
        <v>6.9003367187309692</v>
      </c>
      <c r="U214" s="249">
        <f t="shared" si="141"/>
        <v>6.9627998298856957</v>
      </c>
      <c r="V214" s="249">
        <f t="shared" si="141"/>
        <v>7.024685086089689</v>
      </c>
      <c r="W214" s="249">
        <f t="shared" si="141"/>
        <v>7.0859649475380255</v>
      </c>
      <c r="X214" s="249">
        <f t="shared" si="141"/>
        <v>7.1466905225676598</v>
      </c>
      <c r="Y214" s="249">
        <f t="shared" si="141"/>
        <v>7.2068362566406172</v>
      </c>
      <c r="Z214" s="249">
        <f t="shared" si="141"/>
        <v>7.2663765200425088</v>
      </c>
      <c r="AA214" s="249">
        <f t="shared" si="141"/>
        <v>7.3252856208063211</v>
      </c>
      <c r="AB214" s="249">
        <f t="shared" si="141"/>
        <v>7.3835378178459532</v>
      </c>
      <c r="AC214" s="249">
        <f t="shared" si="141"/>
        <v>7.4411776842843862</v>
      </c>
      <c r="AD214" s="249">
        <f t="shared" si="141"/>
        <v>7.4981811295368521</v>
      </c>
      <c r="AE214" s="249">
        <f t="shared" si="141"/>
        <v>7.5545240176954698</v>
      </c>
      <c r="AF214" s="249">
        <f t="shared" si="141"/>
        <v>7.6101821789715807</v>
      </c>
      <c r="AG214" s="249">
        <f t="shared" si="141"/>
        <v>7.6651314213023953</v>
      </c>
      <c r="AI214" s="316"/>
      <c r="AJ214" s="211" t="s">
        <v>1363</v>
      </c>
    </row>
    <row r="215" spans="1:36" s="1" customFormat="1" outlineLevel="1">
      <c r="A215" t="s">
        <v>1371</v>
      </c>
      <c r="B215" s="302" t="s">
        <v>704</v>
      </c>
      <c r="C215" s="249">
        <f>C181*C211</f>
        <v>0.26308426086385595</v>
      </c>
      <c r="D215" s="249">
        <f t="shared" ref="D215:AG215" si="142">D181*D211</f>
        <v>0.30051781886210494</v>
      </c>
      <c r="E215" s="249">
        <f t="shared" si="142"/>
        <v>0.33954312978093226</v>
      </c>
      <c r="F215" s="249">
        <f t="shared" si="142"/>
        <v>0.37996845100769061</v>
      </c>
      <c r="G215" s="249">
        <f t="shared" si="142"/>
        <v>0.42157794584700925</v>
      </c>
      <c r="H215" s="249">
        <f t="shared" si="142"/>
        <v>0.46413337997292076</v>
      </c>
      <c r="I215" s="249">
        <f t="shared" si="142"/>
        <v>0.50847087991192697</v>
      </c>
      <c r="J215" s="249">
        <f t="shared" si="142"/>
        <v>0.55460309724612833</v>
      </c>
      <c r="K215" s="249">
        <f t="shared" si="142"/>
        <v>0.60253973359814772</v>
      </c>
      <c r="L215" s="249">
        <f t="shared" si="142"/>
        <v>0.65228741120676204</v>
      </c>
      <c r="M215" s="249">
        <f t="shared" si="142"/>
        <v>0.70384954799857169</v>
      </c>
      <c r="N215" s="249">
        <f t="shared" si="142"/>
        <v>0.7561428055135937</v>
      </c>
      <c r="O215" s="249">
        <f t="shared" si="142"/>
        <v>0.80892924519631049</v>
      </c>
      <c r="P215" s="249">
        <f t="shared" si="142"/>
        <v>0.86195787147966918</v>
      </c>
      <c r="Q215" s="249">
        <f t="shared" si="142"/>
        <v>0.91496649837810917</v>
      </c>
      <c r="R215" s="249">
        <f t="shared" si="142"/>
        <v>0.96768380880427296</v>
      </c>
      <c r="S215" s="249">
        <f t="shared" si="142"/>
        <v>1.0216689853419829</v>
      </c>
      <c r="T215" s="249">
        <f t="shared" si="142"/>
        <v>1.0769311641950075</v>
      </c>
      <c r="U215" s="249">
        <f t="shared" si="142"/>
        <v>1.1334790420744163</v>
      </c>
      <c r="V215" s="249">
        <f t="shared" si="142"/>
        <v>1.191320862553223</v>
      </c>
      <c r="W215" s="249">
        <f t="shared" si="142"/>
        <v>1.2504644025067113</v>
      </c>
      <c r="X215" s="249">
        <f t="shared" si="142"/>
        <v>1.3109313976307551</v>
      </c>
      <c r="Y215" s="249">
        <f t="shared" si="142"/>
        <v>1.3727307155505948</v>
      </c>
      <c r="Z215" s="249">
        <f t="shared" si="142"/>
        <v>1.4358708093497183</v>
      </c>
      <c r="AA215" s="249">
        <f t="shared" si="142"/>
        <v>1.500359705466356</v>
      </c>
      <c r="AB215" s="249">
        <f t="shared" si="142"/>
        <v>1.5662049916642942</v>
      </c>
      <c r="AC215" s="249">
        <f t="shared" si="142"/>
        <v>1.6334292477697445</v>
      </c>
      <c r="AD215" s="249">
        <f t="shared" si="142"/>
        <v>1.7020411152936428</v>
      </c>
      <c r="AE215" s="249">
        <f t="shared" si="142"/>
        <v>1.7720488436569635</v>
      </c>
      <c r="AF215" s="249">
        <f t="shared" si="142"/>
        <v>1.8434602793782107</v>
      </c>
      <c r="AG215" s="249">
        <f t="shared" si="142"/>
        <v>1.9162828553255988</v>
      </c>
      <c r="AI215" s="316"/>
      <c r="AJ215" s="211" t="s">
        <v>1363</v>
      </c>
    </row>
    <row r="216" spans="1:36" s="1" customFormat="1" outlineLevel="1">
      <c r="A216" t="s">
        <v>1372</v>
      </c>
      <c r="B216" s="302" t="s">
        <v>704</v>
      </c>
      <c r="C216" s="249">
        <f>C214*C182</f>
        <v>0.74979014346198947</v>
      </c>
      <c r="D216" s="249">
        <f t="shared" ref="D216:AG216" si="143">D214*D182</f>
        <v>0.80721818126532829</v>
      </c>
      <c r="E216" s="249">
        <f t="shared" si="143"/>
        <v>0.86530680273949556</v>
      </c>
      <c r="F216" s="249">
        <f t="shared" si="143"/>
        <v>0.92370330439969561</v>
      </c>
      <c r="G216" s="249">
        <f t="shared" si="143"/>
        <v>0.98203571214018992</v>
      </c>
      <c r="H216" s="249">
        <f t="shared" si="143"/>
        <v>1.0399166230171046</v>
      </c>
      <c r="I216" s="249">
        <f t="shared" si="143"/>
        <v>1.0993140423695855</v>
      </c>
      <c r="J216" s="249">
        <f t="shared" si="143"/>
        <v>1.1601970557272969</v>
      </c>
      <c r="K216" s="249">
        <f t="shared" si="143"/>
        <v>1.2225308031842115</v>
      </c>
      <c r="L216" s="249">
        <f t="shared" si="143"/>
        <v>1.2862764439833545</v>
      </c>
      <c r="M216" s="249">
        <f t="shared" si="143"/>
        <v>1.3513911321572567</v>
      </c>
      <c r="N216" s="249">
        <f t="shared" si="143"/>
        <v>1.4157993885903009</v>
      </c>
      <c r="O216" s="249">
        <f t="shared" si="143"/>
        <v>1.4791638943525978</v>
      </c>
      <c r="P216" s="249">
        <f t="shared" si="143"/>
        <v>1.5411431977764525</v>
      </c>
      <c r="Q216" s="249">
        <f t="shared" si="143"/>
        <v>1.6013946980502181</v>
      </c>
      <c r="R216" s="249">
        <f t="shared" si="143"/>
        <v>1.6595777320993268</v>
      </c>
      <c r="S216" s="249">
        <f t="shared" si="143"/>
        <v>1.7184472333452141</v>
      </c>
      <c r="T216" s="249">
        <f t="shared" si="143"/>
        <v>1.7779867611930129</v>
      </c>
      <c r="U216" s="249">
        <f t="shared" si="143"/>
        <v>1.8381791550898237</v>
      </c>
      <c r="V216" s="249">
        <f t="shared" si="143"/>
        <v>1.8990065349395795</v>
      </c>
      <c r="W216" s="249">
        <f t="shared" si="143"/>
        <v>1.9604503021521875</v>
      </c>
      <c r="X216" s="249">
        <f t="shared" si="143"/>
        <v>2.0225134178866484</v>
      </c>
      <c r="Y216" s="249">
        <f t="shared" si="143"/>
        <v>2.0851779569213527</v>
      </c>
      <c r="Z216" s="249">
        <f t="shared" si="143"/>
        <v>2.1484253244259026</v>
      </c>
      <c r="AA216" s="249">
        <f t="shared" si="143"/>
        <v>2.2122362574835099</v>
      </c>
      <c r="AB216" s="249">
        <f t="shared" si="143"/>
        <v>2.2765908271691702</v>
      </c>
      <c r="AC216" s="249">
        <f t="shared" si="143"/>
        <v>2.341490577988155</v>
      </c>
      <c r="AD216" s="249">
        <f t="shared" si="143"/>
        <v>2.4069161425813315</v>
      </c>
      <c r="AE216" s="249">
        <f t="shared" si="143"/>
        <v>2.4728475284589857</v>
      </c>
      <c r="AF216" s="249">
        <f t="shared" si="143"/>
        <v>2.5392641203835193</v>
      </c>
      <c r="AG216" s="249">
        <f t="shared" si="143"/>
        <v>2.6061446832428148</v>
      </c>
      <c r="AI216" s="316"/>
      <c r="AJ216" s="211" t="s">
        <v>1363</v>
      </c>
    </row>
    <row r="217" spans="1:36" s="1" customFormat="1" outlineLevel="1">
      <c r="A217" t="s">
        <v>1373</v>
      </c>
      <c r="B217" s="302" t="s">
        <v>704</v>
      </c>
      <c r="C217" s="249">
        <f>C214*C183</f>
        <v>4.2488108129512732</v>
      </c>
      <c r="D217" s="249">
        <f t="shared" ref="D217:AG217" si="144">D214*D183</f>
        <v>4.3562243428199272</v>
      </c>
      <c r="E217" s="249">
        <f t="shared" si="144"/>
        <v>4.4542022304951088</v>
      </c>
      <c r="F217" s="249">
        <f t="shared" si="144"/>
        <v>4.5419967216340069</v>
      </c>
      <c r="G217" s="249">
        <f t="shared" si="144"/>
        <v>4.6189284255415028</v>
      </c>
      <c r="H217" s="249">
        <f t="shared" si="144"/>
        <v>4.6843950633155824</v>
      </c>
      <c r="I217" s="249">
        <f t="shared" si="144"/>
        <v>4.7481010766175729</v>
      </c>
      <c r="J217" s="249">
        <f t="shared" si="144"/>
        <v>4.8099421675692593</v>
      </c>
      <c r="K217" s="249">
        <f t="shared" si="144"/>
        <v>4.8698153920859468</v>
      </c>
      <c r="L217" s="249">
        <f t="shared" si="144"/>
        <v>4.9276194206705348</v>
      </c>
      <c r="M217" s="249">
        <f t="shared" si="144"/>
        <v>4.9832547998298864</v>
      </c>
      <c r="N217" s="249">
        <f t="shared" si="144"/>
        <v>5.0294178584065188</v>
      </c>
      <c r="O217" s="249">
        <f t="shared" si="144"/>
        <v>5.0658090895084573</v>
      </c>
      <c r="P217" s="249">
        <f t="shared" si="144"/>
        <v>5.0921847696975213</v>
      </c>
      <c r="Q217" s="249">
        <f t="shared" si="144"/>
        <v>5.108359623389247</v>
      </c>
      <c r="R217" s="249">
        <f t="shared" si="144"/>
        <v>5.1142089295305828</v>
      </c>
      <c r="S217" s="249">
        <f t="shared" si="144"/>
        <v>5.1188759762511324</v>
      </c>
      <c r="T217" s="249">
        <f t="shared" si="144"/>
        <v>5.1223499575379599</v>
      </c>
      <c r="U217" s="249">
        <f t="shared" si="144"/>
        <v>5.1246206747958762</v>
      </c>
      <c r="V217" s="249">
        <f t="shared" si="144"/>
        <v>5.1256785511501137</v>
      </c>
      <c r="W217" s="249">
        <f t="shared" si="144"/>
        <v>5.1255146453858424</v>
      </c>
      <c r="X217" s="249">
        <f t="shared" si="144"/>
        <v>5.1241771046810163</v>
      </c>
      <c r="Y217" s="249">
        <f t="shared" si="144"/>
        <v>5.1216582997192699</v>
      </c>
      <c r="Z217" s="249">
        <f t="shared" si="144"/>
        <v>5.1179511956166124</v>
      </c>
      <c r="AA217" s="249">
        <f t="shared" si="144"/>
        <v>5.1130493633228173</v>
      </c>
      <c r="AB217" s="249">
        <f t="shared" si="144"/>
        <v>5.1069469906767901</v>
      </c>
      <c r="AC217" s="249">
        <f t="shared" si="144"/>
        <v>5.0996871062962388</v>
      </c>
      <c r="AD217" s="249">
        <f t="shared" si="144"/>
        <v>5.0912649869555286</v>
      </c>
      <c r="AE217" s="249">
        <f t="shared" si="144"/>
        <v>5.0816764892364921</v>
      </c>
      <c r="AF217" s="249">
        <f t="shared" si="144"/>
        <v>5.0709180585880702</v>
      </c>
      <c r="AG217" s="249">
        <f t="shared" si="144"/>
        <v>5.0589867380595814</v>
      </c>
      <c r="AI217" s="316"/>
      <c r="AJ217" s="211" t="s">
        <v>1363</v>
      </c>
    </row>
    <row r="218" spans="1:36" s="1" customFormat="1" outlineLevel="1">
      <c r="A218" t="s">
        <v>1374</v>
      </c>
      <c r="B218" s="302" t="s">
        <v>704</v>
      </c>
      <c r="C218" s="249">
        <f>C184*C217</f>
        <v>0</v>
      </c>
      <c r="D218" s="249">
        <f t="shared" ref="D218:AG218" si="145">D184*D217</f>
        <v>0</v>
      </c>
      <c r="E218" s="249">
        <f t="shared" si="145"/>
        <v>0</v>
      </c>
      <c r="F218" s="249">
        <f t="shared" si="145"/>
        <v>0</v>
      </c>
      <c r="G218" s="249">
        <f t="shared" si="145"/>
        <v>0</v>
      </c>
      <c r="H218" s="249">
        <f t="shared" si="145"/>
        <v>0</v>
      </c>
      <c r="I218" s="249">
        <f t="shared" si="145"/>
        <v>0</v>
      </c>
      <c r="J218" s="249">
        <f t="shared" si="145"/>
        <v>0</v>
      </c>
      <c r="K218" s="249">
        <f t="shared" si="145"/>
        <v>0</v>
      </c>
      <c r="L218" s="249">
        <f t="shared" si="145"/>
        <v>0</v>
      </c>
      <c r="M218" s="249">
        <f t="shared" si="145"/>
        <v>0</v>
      </c>
      <c r="N218" s="249">
        <f t="shared" si="145"/>
        <v>0</v>
      </c>
      <c r="O218" s="249">
        <f t="shared" si="145"/>
        <v>0</v>
      </c>
      <c r="P218" s="249">
        <f t="shared" si="145"/>
        <v>0</v>
      </c>
      <c r="Q218" s="249">
        <f t="shared" si="145"/>
        <v>0</v>
      </c>
      <c r="R218" s="249">
        <f t="shared" si="145"/>
        <v>0</v>
      </c>
      <c r="S218" s="249">
        <f t="shared" si="145"/>
        <v>0</v>
      </c>
      <c r="T218" s="249">
        <f t="shared" si="145"/>
        <v>0</v>
      </c>
      <c r="U218" s="249">
        <f t="shared" si="145"/>
        <v>0</v>
      </c>
      <c r="V218" s="249">
        <f t="shared" si="145"/>
        <v>0</v>
      </c>
      <c r="W218" s="249">
        <f t="shared" si="145"/>
        <v>0</v>
      </c>
      <c r="X218" s="249">
        <f t="shared" si="145"/>
        <v>0</v>
      </c>
      <c r="Y218" s="249">
        <f t="shared" si="145"/>
        <v>0</v>
      </c>
      <c r="Z218" s="249">
        <f t="shared" si="145"/>
        <v>0</v>
      </c>
      <c r="AA218" s="249">
        <f t="shared" si="145"/>
        <v>0</v>
      </c>
      <c r="AB218" s="249">
        <f t="shared" si="145"/>
        <v>0</v>
      </c>
      <c r="AC218" s="249">
        <f t="shared" si="145"/>
        <v>0</v>
      </c>
      <c r="AD218" s="249">
        <f t="shared" si="145"/>
        <v>0</v>
      </c>
      <c r="AE218" s="249">
        <f t="shared" si="145"/>
        <v>0</v>
      </c>
      <c r="AF218" s="249">
        <f t="shared" si="145"/>
        <v>0</v>
      </c>
      <c r="AG218" s="249">
        <f t="shared" si="145"/>
        <v>0</v>
      </c>
      <c r="AI218" s="316"/>
      <c r="AJ218" s="211" t="s">
        <v>1363</v>
      </c>
    </row>
    <row r="219" spans="1:36" s="1" customFormat="1" outlineLevel="1">
      <c r="A219" t="s">
        <v>1388</v>
      </c>
      <c r="B219" s="302" t="s">
        <v>704</v>
      </c>
      <c r="C219" s="249">
        <f>C185*C217</f>
        <v>4.2488108129512732</v>
      </c>
      <c r="D219" s="249">
        <f t="shared" ref="D219:AG219" si="146">D185*D217</f>
        <v>4.3562243428199272</v>
      </c>
      <c r="E219" s="249">
        <f t="shared" si="146"/>
        <v>4.4542022304951088</v>
      </c>
      <c r="F219" s="249">
        <f t="shared" si="146"/>
        <v>4.5419967216340069</v>
      </c>
      <c r="G219" s="249">
        <f t="shared" si="146"/>
        <v>4.6189284255415028</v>
      </c>
      <c r="H219" s="249">
        <f t="shared" si="146"/>
        <v>4.6843950633155824</v>
      </c>
      <c r="I219" s="249">
        <f t="shared" si="146"/>
        <v>4.7481010766175729</v>
      </c>
      <c r="J219" s="249">
        <f t="shared" si="146"/>
        <v>4.8099421675692593</v>
      </c>
      <c r="K219" s="249">
        <f t="shared" si="146"/>
        <v>4.8698153920859468</v>
      </c>
      <c r="L219" s="249">
        <f t="shared" si="146"/>
        <v>4.9276194206705348</v>
      </c>
      <c r="M219" s="249">
        <f t="shared" si="146"/>
        <v>4.9832547998298864</v>
      </c>
      <c r="N219" s="249">
        <f t="shared" si="146"/>
        <v>5.0294178584065188</v>
      </c>
      <c r="O219" s="249">
        <f t="shared" si="146"/>
        <v>5.0658090895084573</v>
      </c>
      <c r="P219" s="249">
        <f t="shared" si="146"/>
        <v>5.0921847696975213</v>
      </c>
      <c r="Q219" s="249">
        <f t="shared" si="146"/>
        <v>5.108359623389247</v>
      </c>
      <c r="R219" s="249">
        <f t="shared" si="146"/>
        <v>5.1142089295305828</v>
      </c>
      <c r="S219" s="249">
        <f t="shared" si="146"/>
        <v>5.1188759762511324</v>
      </c>
      <c r="T219" s="249">
        <f t="shared" si="146"/>
        <v>5.1223499575379599</v>
      </c>
      <c r="U219" s="249">
        <f t="shared" si="146"/>
        <v>5.1246206747958762</v>
      </c>
      <c r="V219" s="249">
        <f t="shared" si="146"/>
        <v>5.1256785511501137</v>
      </c>
      <c r="W219" s="249">
        <f t="shared" si="146"/>
        <v>5.1255146453858424</v>
      </c>
      <c r="X219" s="249">
        <f t="shared" si="146"/>
        <v>5.1241771046810163</v>
      </c>
      <c r="Y219" s="249">
        <f t="shared" si="146"/>
        <v>5.1216582997192699</v>
      </c>
      <c r="Z219" s="249">
        <f t="shared" si="146"/>
        <v>5.1179511956166124</v>
      </c>
      <c r="AA219" s="249">
        <f t="shared" si="146"/>
        <v>5.1130493633228173</v>
      </c>
      <c r="AB219" s="249">
        <f t="shared" si="146"/>
        <v>5.1069469906767901</v>
      </c>
      <c r="AC219" s="249">
        <f t="shared" si="146"/>
        <v>5.0996871062962388</v>
      </c>
      <c r="AD219" s="249">
        <f t="shared" si="146"/>
        <v>5.0912649869555286</v>
      </c>
      <c r="AE219" s="249">
        <f t="shared" si="146"/>
        <v>5.0816764892364921</v>
      </c>
      <c r="AF219" s="249">
        <f t="shared" si="146"/>
        <v>5.0709180585880702</v>
      </c>
      <c r="AG219" s="249">
        <f t="shared" si="146"/>
        <v>5.0589867380595814</v>
      </c>
      <c r="AI219" s="316"/>
      <c r="AJ219" s="211" t="s">
        <v>1363</v>
      </c>
    </row>
    <row r="220" spans="1:36" s="1" customFormat="1" outlineLevel="1">
      <c r="A220" t="s">
        <v>1376</v>
      </c>
      <c r="B220" s="302" t="s">
        <v>704</v>
      </c>
      <c r="C220" s="249">
        <f>C186*(C218+C216)</f>
        <v>0.59983211476959164</v>
      </c>
      <c r="D220" s="249">
        <f t="shared" ref="D220:AG220" si="147">D186*(D218+D216)</f>
        <v>0.6484652722831471</v>
      </c>
      <c r="E220" s="249">
        <f t="shared" si="147"/>
        <v>0.69801415420985968</v>
      </c>
      <c r="F220" s="249">
        <f t="shared" si="147"/>
        <v>0.74819967656375341</v>
      </c>
      <c r="G220" s="249">
        <f t="shared" si="147"/>
        <v>0.79872237920735434</v>
      </c>
      <c r="H220" s="249">
        <f t="shared" si="147"/>
        <v>0.84926524213063537</v>
      </c>
      <c r="I220" s="249">
        <f t="shared" si="147"/>
        <v>0.90143751474306</v>
      </c>
      <c r="J220" s="249">
        <f t="shared" si="147"/>
        <v>0.95522890921547421</v>
      </c>
      <c r="K220" s="249">
        <f t="shared" si="147"/>
        <v>1.0106254639656145</v>
      </c>
      <c r="L220" s="249">
        <f t="shared" si="147"/>
        <v>1.067609448506184</v>
      </c>
      <c r="M220" s="249">
        <f t="shared" si="147"/>
        <v>1.1261592767977135</v>
      </c>
      <c r="N220" s="249">
        <f t="shared" si="147"/>
        <v>1.1845521551205513</v>
      </c>
      <c r="O220" s="249">
        <f t="shared" si="147"/>
        <v>1.2424976712561815</v>
      </c>
      <c r="P220" s="249">
        <f t="shared" si="147"/>
        <v>1.2996974301248077</v>
      </c>
      <c r="Q220" s="249">
        <f t="shared" si="147"/>
        <v>1.3558475110158505</v>
      </c>
      <c r="R220" s="249">
        <f t="shared" si="147"/>
        <v>1.4106410722844269</v>
      </c>
      <c r="S220" s="249">
        <f t="shared" si="147"/>
        <v>1.4664083057879151</v>
      </c>
      <c r="T220" s="249">
        <f t="shared" si="147"/>
        <v>1.5231419920886802</v>
      </c>
      <c r="U220" s="249">
        <f t="shared" si="147"/>
        <v>1.5808340733772472</v>
      </c>
      <c r="V220" s="249">
        <f t="shared" si="147"/>
        <v>1.6394756418311691</v>
      </c>
      <c r="W220" s="249">
        <f t="shared" si="147"/>
        <v>1.6990569285318946</v>
      </c>
      <c r="X220" s="249">
        <f t="shared" si="147"/>
        <v>1.7595866735613828</v>
      </c>
      <c r="Y220" s="249">
        <f t="shared" si="147"/>
        <v>1.8210554157113132</v>
      </c>
      <c r="Z220" s="249">
        <f t="shared" si="147"/>
        <v>1.8834528677467064</v>
      </c>
      <c r="AA220" s="249">
        <f t="shared" si="147"/>
        <v>1.946767906585487</v>
      </c>
      <c r="AB220" s="249">
        <f t="shared" si="147"/>
        <v>2.0109885639994318</v>
      </c>
      <c r="AC220" s="249">
        <f t="shared" si="147"/>
        <v>2.076121645816162</v>
      </c>
      <c r="AD220" s="249">
        <f t="shared" si="147"/>
        <v>2.142155366897383</v>
      </c>
      <c r="AE220" s="249">
        <f t="shared" si="147"/>
        <v>2.2090771254233581</v>
      </c>
      <c r="AF220" s="249">
        <f t="shared" si="147"/>
        <v>2.2768734946105531</v>
      </c>
      <c r="AG220" s="249">
        <f t="shared" si="147"/>
        <v>2.3455302149185333</v>
      </c>
      <c r="AH220" s="249"/>
      <c r="AI220" s="316"/>
      <c r="AJ220" s="211" t="s">
        <v>1363</v>
      </c>
    </row>
    <row r="221" spans="1:36" s="1" customFormat="1" outlineLevel="1">
      <c r="A221" t="s">
        <v>1377</v>
      </c>
      <c r="B221" s="302" t="s">
        <v>704</v>
      </c>
      <c r="C221" s="249">
        <f>C187*(C218+C216)</f>
        <v>0.14995802869239791</v>
      </c>
      <c r="D221" s="249">
        <f t="shared" ref="D221:AG221" si="148">D187*(D218+D216)</f>
        <v>0.15875290898218125</v>
      </c>
      <c r="E221" s="249">
        <f t="shared" si="148"/>
        <v>0.16729264852963582</v>
      </c>
      <c r="F221" s="249">
        <f t="shared" si="148"/>
        <v>0.1755036278359422</v>
      </c>
      <c r="G221" s="249">
        <f t="shared" si="148"/>
        <v>0.1833133329328355</v>
      </c>
      <c r="H221" s="249">
        <f t="shared" si="148"/>
        <v>0.19065138088646924</v>
      </c>
      <c r="I221" s="249">
        <f t="shared" si="148"/>
        <v>0.19787652762652544</v>
      </c>
      <c r="J221" s="249">
        <f t="shared" si="148"/>
        <v>0.20496814651182252</v>
      </c>
      <c r="K221" s="249">
        <f t="shared" si="148"/>
        <v>0.21190533921859672</v>
      </c>
      <c r="L221" s="249">
        <f t="shared" si="148"/>
        <v>0.21866699547717036</v>
      </c>
      <c r="M221" s="249">
        <f t="shared" si="148"/>
        <v>0.22523185535954288</v>
      </c>
      <c r="N221" s="249">
        <f t="shared" si="148"/>
        <v>0.23124723346974926</v>
      </c>
      <c r="O221" s="249">
        <f t="shared" si="148"/>
        <v>0.23666622309641577</v>
      </c>
      <c r="P221" s="249">
        <f t="shared" si="148"/>
        <v>0.24144576765164436</v>
      </c>
      <c r="Q221" s="249">
        <f t="shared" si="148"/>
        <v>0.24554718703436693</v>
      </c>
      <c r="R221" s="249">
        <f t="shared" si="148"/>
        <v>0.24893665981489921</v>
      </c>
      <c r="S221" s="249">
        <f t="shared" si="148"/>
        <v>0.25203892755729829</v>
      </c>
      <c r="T221" s="249">
        <f t="shared" si="148"/>
        <v>0.25484476910433207</v>
      </c>
      <c r="U221" s="249">
        <f t="shared" si="148"/>
        <v>0.25734508171257553</v>
      </c>
      <c r="V221" s="249">
        <f t="shared" si="148"/>
        <v>0.25953089310840943</v>
      </c>
      <c r="W221" s="249">
        <f t="shared" si="148"/>
        <v>0.26139337362029191</v>
      </c>
      <c r="X221" s="249">
        <f t="shared" si="148"/>
        <v>0.26292674432526458</v>
      </c>
      <c r="Y221" s="249">
        <f t="shared" si="148"/>
        <v>0.26412254121003831</v>
      </c>
      <c r="Z221" s="249">
        <f t="shared" si="148"/>
        <v>0.264972456679195</v>
      </c>
      <c r="AA221" s="249">
        <f t="shared" si="148"/>
        <v>0.26546835089802157</v>
      </c>
      <c r="AB221" s="249">
        <f t="shared" si="148"/>
        <v>0.2656022631697369</v>
      </c>
      <c r="AC221" s="249">
        <f t="shared" si="148"/>
        <v>0.26536893217199131</v>
      </c>
      <c r="AD221" s="249">
        <f t="shared" si="148"/>
        <v>0.2647607756839469</v>
      </c>
      <c r="AE221" s="249">
        <f t="shared" si="148"/>
        <v>0.2637704030356256</v>
      </c>
      <c r="AF221" s="249">
        <f t="shared" si="148"/>
        <v>0.26239062577296418</v>
      </c>
      <c r="AG221" s="249">
        <f t="shared" si="148"/>
        <v>0.26061446832428148</v>
      </c>
      <c r="AI221" s="316"/>
      <c r="AJ221" s="211" t="s">
        <v>1363</v>
      </c>
    </row>
    <row r="222" spans="1:36" s="1" customFormat="1" outlineLevel="1">
      <c r="A222" t="s">
        <v>1378</v>
      </c>
      <c r="B222" s="302" t="s">
        <v>704</v>
      </c>
      <c r="C222" s="249">
        <f>C215*C188</f>
        <v>0.24993004782066314</v>
      </c>
      <c r="D222" s="249">
        <f t="shared" ref="D222:AG222" si="149">D215*D188</f>
        <v>0.28509123749385024</v>
      </c>
      <c r="E222" s="249">
        <f t="shared" si="149"/>
        <v>0.32166052494580316</v>
      </c>
      <c r="F222" s="249">
        <f t="shared" si="149"/>
        <v>0.35945015465327534</v>
      </c>
      <c r="G222" s="249">
        <f t="shared" si="149"/>
        <v>0.39825063284347478</v>
      </c>
      <c r="H222" s="249">
        <f t="shared" si="149"/>
        <v>0.43783248844112199</v>
      </c>
      <c r="I222" s="249">
        <f t="shared" si="149"/>
        <v>0.4789795688770353</v>
      </c>
      <c r="J222" s="249">
        <f t="shared" si="149"/>
        <v>0.52169664680952488</v>
      </c>
      <c r="K222" s="249">
        <f t="shared" si="149"/>
        <v>0.56598565642652687</v>
      </c>
      <c r="L222" s="249">
        <f t="shared" si="149"/>
        <v>0.61184559171194297</v>
      </c>
      <c r="M222" s="249">
        <f t="shared" si="149"/>
        <v>0.65927240995866232</v>
      </c>
      <c r="N222" s="249">
        <f t="shared" si="149"/>
        <v>0.70724557075704819</v>
      </c>
      <c r="O222" s="249">
        <f t="shared" si="149"/>
        <v>0.75553991501335427</v>
      </c>
      <c r="P222" s="249">
        <f t="shared" si="149"/>
        <v>0.8039193748000385</v>
      </c>
      <c r="Q222" s="249">
        <f t="shared" si="149"/>
        <v>0.85213879882281274</v>
      </c>
      <c r="R222" s="249">
        <f t="shared" si="149"/>
        <v>0.8999459421879743</v>
      </c>
      <c r="S222" s="249">
        <f t="shared" si="149"/>
        <v>0.94878993105425535</v>
      </c>
      <c r="T222" s="249">
        <f t="shared" si="149"/>
        <v>0.99867416626350414</v>
      </c>
      <c r="U222" s="249">
        <f t="shared" si="149"/>
        <v>1.0496015929609102</v>
      </c>
      <c r="V222" s="249">
        <f t="shared" si="149"/>
        <v>1.1015746909075477</v>
      </c>
      <c r="W222" s="249">
        <f t="shared" si="149"/>
        <v>1.1545954649811976</v>
      </c>
      <c r="X222" s="249">
        <f t="shared" si="149"/>
        <v>1.208678748615557</v>
      </c>
      <c r="Y222" s="249">
        <f t="shared" si="149"/>
        <v>1.2638274121169153</v>
      </c>
      <c r="Z222" s="249">
        <f t="shared" si="149"/>
        <v>1.3200438973955089</v>
      </c>
      <c r="AA222" s="249">
        <f t="shared" si="149"/>
        <v>1.3773302096181159</v>
      </c>
      <c r="AB222" s="249">
        <f t="shared" si="149"/>
        <v>1.4356879090256043</v>
      </c>
      <c r="AC222" s="249">
        <f t="shared" si="149"/>
        <v>1.495132238125241</v>
      </c>
      <c r="AD222" s="249">
        <f t="shared" si="149"/>
        <v>1.5556655793783911</v>
      </c>
      <c r="AE222" s="249">
        <f t="shared" si="149"/>
        <v>1.6172899113109236</v>
      </c>
      <c r="AF222" s="249">
        <f t="shared" si="149"/>
        <v>1.6800068012733445</v>
      </c>
      <c r="AG222" s="249">
        <f t="shared" si="149"/>
        <v>1.743817398346295</v>
      </c>
      <c r="AI222" s="316"/>
      <c r="AJ222" s="211" t="s">
        <v>1363</v>
      </c>
    </row>
    <row r="223" spans="1:36" s="1" customFormat="1" outlineLevel="1">
      <c r="A223" t="s">
        <v>1389</v>
      </c>
      <c r="B223" s="302" t="s">
        <v>704</v>
      </c>
      <c r="C223" s="249">
        <f>C215*C189</f>
        <v>1.3154213043192798E-2</v>
      </c>
      <c r="D223" s="249">
        <f t="shared" ref="D223:AG223" si="150">D215*D189</f>
        <v>1.542658136825472E-2</v>
      </c>
      <c r="E223" s="249">
        <f t="shared" si="150"/>
        <v>1.7882604835129098E-2</v>
      </c>
      <c r="F223" s="249">
        <f t="shared" si="150"/>
        <v>2.0518296354415294E-2</v>
      </c>
      <c r="G223" s="249">
        <f t="shared" si="150"/>
        <v>2.3327313003534512E-2</v>
      </c>
      <c r="H223" s="249">
        <f t="shared" si="150"/>
        <v>2.6300891531798841E-2</v>
      </c>
      <c r="I223" s="249">
        <f t="shared" si="150"/>
        <v>2.9491311034891762E-2</v>
      </c>
      <c r="J223" s="249">
        <f t="shared" si="150"/>
        <v>3.2906450436603611E-2</v>
      </c>
      <c r="K223" s="249">
        <f t="shared" si="150"/>
        <v>3.6554077171620958E-2</v>
      </c>
      <c r="L223" s="249">
        <f t="shared" si="150"/>
        <v>4.0441819494819238E-2</v>
      </c>
      <c r="M223" s="249">
        <f t="shared" si="150"/>
        <v>4.4577138039909536E-2</v>
      </c>
      <c r="N223" s="249">
        <f t="shared" si="150"/>
        <v>4.8897234756545727E-2</v>
      </c>
      <c r="O223" s="249">
        <f t="shared" si="150"/>
        <v>5.3389330182956496E-2</v>
      </c>
      <c r="P223" s="249">
        <f t="shared" si="150"/>
        <v>5.8038496679631069E-2</v>
      </c>
      <c r="Q223" s="249">
        <f t="shared" si="150"/>
        <v>6.2827699555296837E-2</v>
      </c>
      <c r="R223" s="249">
        <f t="shared" si="150"/>
        <v>6.7737866616299131E-2</v>
      </c>
      <c r="S223" s="249">
        <f t="shared" si="150"/>
        <v>7.2879054287728146E-2</v>
      </c>
      <c r="T223" s="249">
        <f t="shared" si="150"/>
        <v>7.825699793150391E-2</v>
      </c>
      <c r="U223" s="249">
        <f t="shared" si="150"/>
        <v>8.387744911350685E-2</v>
      </c>
      <c r="V223" s="249">
        <f t="shared" si="150"/>
        <v>8.9746171645676179E-2</v>
      </c>
      <c r="W223" s="249">
        <f t="shared" si="150"/>
        <v>9.5868937525514591E-2</v>
      </c>
      <c r="X223" s="249">
        <f t="shared" si="150"/>
        <v>0.10225264901519897</v>
      </c>
      <c r="Y223" s="249">
        <f t="shared" si="150"/>
        <v>0.1089033034336806</v>
      </c>
      <c r="Z223" s="249">
        <f t="shared" si="150"/>
        <v>0.11582691195421072</v>
      </c>
      <c r="AA223" s="249">
        <f t="shared" si="150"/>
        <v>0.1230294958482413</v>
      </c>
      <c r="AB223" s="249">
        <f t="shared" si="150"/>
        <v>0.1305170826386913</v>
      </c>
      <c r="AC223" s="249">
        <f t="shared" si="150"/>
        <v>0.13829700964450517</v>
      </c>
      <c r="AD223" s="249">
        <f t="shared" si="150"/>
        <v>0.14637553591525343</v>
      </c>
      <c r="AE223" s="249">
        <f t="shared" si="150"/>
        <v>0.15475893234604166</v>
      </c>
      <c r="AF223" s="249">
        <f t="shared" si="150"/>
        <v>0.16345347810486821</v>
      </c>
      <c r="AG223" s="249">
        <f t="shared" si="150"/>
        <v>0.17246545697930388</v>
      </c>
      <c r="AI223" s="316"/>
      <c r="AJ223" s="211" t="s">
        <v>1363</v>
      </c>
    </row>
    <row r="224" spans="1:36" s="1" customFormat="1" outlineLevel="1">
      <c r="A224" t="s">
        <v>1380</v>
      </c>
      <c r="B224" s="302" t="s">
        <v>704</v>
      </c>
      <c r="C224" s="249">
        <f t="shared" ref="C224:AG224" si="151">C220*C190</f>
        <v>0.16195467098778976</v>
      </c>
      <c r="D224" s="249">
        <f t="shared" si="151"/>
        <v>0.17249176242731715</v>
      </c>
      <c r="E224" s="249">
        <f t="shared" si="151"/>
        <v>0.18287970840298323</v>
      </c>
      <c r="F224" s="249">
        <f t="shared" si="151"/>
        <v>0.19303551655344839</v>
      </c>
      <c r="G224" s="249">
        <f t="shared" si="151"/>
        <v>0.202875484318668</v>
      </c>
      <c r="H224" s="249">
        <f t="shared" si="151"/>
        <v>0.21231631053265884</v>
      </c>
      <c r="I224" s="249">
        <f t="shared" si="151"/>
        <v>0.22175362862679276</v>
      </c>
      <c r="J224" s="249">
        <f t="shared" si="151"/>
        <v>0.23116539603014474</v>
      </c>
      <c r="K224" s="249">
        <f t="shared" si="151"/>
        <v>0.24052886042381624</v>
      </c>
      <c r="L224" s="249">
        <f t="shared" si="151"/>
        <v>0.24982061095044705</v>
      </c>
      <c r="M224" s="249">
        <f t="shared" si="151"/>
        <v>0.25901663366347411</v>
      </c>
      <c r="N224" s="249">
        <f t="shared" si="151"/>
        <v>0.2677087870572446</v>
      </c>
      <c r="O224" s="249">
        <f t="shared" si="151"/>
        <v>0.27583448301887226</v>
      </c>
      <c r="P224" s="249">
        <f t="shared" si="151"/>
        <v>0.28333403976720806</v>
      </c>
      <c r="Q224" s="249">
        <f t="shared" si="151"/>
        <v>0.290151367357392</v>
      </c>
      <c r="R224" s="249">
        <f t="shared" si="151"/>
        <v>0.29623462517972959</v>
      </c>
      <c r="S224" s="249">
        <f t="shared" si="151"/>
        <v>0.30208011099231047</v>
      </c>
      <c r="T224" s="249">
        <f t="shared" si="151"/>
        <v>0.30767468240191331</v>
      </c>
      <c r="U224" s="249">
        <f t="shared" si="151"/>
        <v>0.31300514652869488</v>
      </c>
      <c r="V224" s="249">
        <f t="shared" si="151"/>
        <v>0.31805827451524671</v>
      </c>
      <c r="W224" s="249">
        <f t="shared" si="151"/>
        <v>0.32282081642105986</v>
      </c>
      <c r="X224" s="249">
        <f t="shared" si="151"/>
        <v>0.3272831212824171</v>
      </c>
      <c r="Y224" s="249">
        <f t="shared" si="151"/>
        <v>0.33143208565945892</v>
      </c>
      <c r="Z224" s="249">
        <f t="shared" si="151"/>
        <v>0.33525461045891364</v>
      </c>
      <c r="AA224" s="249">
        <f t="shared" si="151"/>
        <v>0.33873761574587463</v>
      </c>
      <c r="AB224" s="249">
        <f t="shared" si="151"/>
        <v>0.34186805587990327</v>
      </c>
      <c r="AC224" s="249">
        <f t="shared" si="151"/>
        <v>0.34463619320548272</v>
      </c>
      <c r="AD224" s="249">
        <f t="shared" si="151"/>
        <v>0.34702916943737588</v>
      </c>
      <c r="AE224" s="249">
        <f t="shared" si="151"/>
        <v>0.34903418581689039</v>
      </c>
      <c r="AF224" s="249">
        <f t="shared" si="151"/>
        <v>0.350638518170025</v>
      </c>
      <c r="AG224" s="249">
        <f t="shared" si="151"/>
        <v>0.35182953223777996</v>
      </c>
      <c r="AI224" s="316"/>
      <c r="AJ224" s="211"/>
    </row>
    <row r="225" spans="1:36" s="67" customFormat="1">
      <c r="A225" s="345" t="s">
        <v>1381</v>
      </c>
      <c r="B225" s="308" t="s">
        <v>704</v>
      </c>
      <c r="C225" s="309">
        <f>C191*C$210</f>
        <v>0.95516679631341184</v>
      </c>
      <c r="D225" s="309">
        <f t="shared" ref="D225:AG230" si="152">D191*D$210</f>
        <v>1.0132772007123576</v>
      </c>
      <c r="E225" s="309">
        <f t="shared" si="152"/>
        <v>1.0709489400243908</v>
      </c>
      <c r="F225" s="309">
        <f t="shared" si="152"/>
        <v>1.1277920188991253</v>
      </c>
      <c r="G225" s="309">
        <f t="shared" si="152"/>
        <v>1.1834089569578703</v>
      </c>
      <c r="H225" s="309">
        <f t="shared" si="152"/>
        <v>1.23739938614797</v>
      </c>
      <c r="I225" s="309">
        <f t="shared" si="152"/>
        <v>1.2921465834616352</v>
      </c>
      <c r="J225" s="309">
        <f t="shared" si="152"/>
        <v>1.3475950915467436</v>
      </c>
      <c r="K225" s="309">
        <f t="shared" si="152"/>
        <v>1.4036865914916021</v>
      </c>
      <c r="L225" s="309">
        <f t="shared" si="152"/>
        <v>1.4603599732822898</v>
      </c>
      <c r="M225" s="309">
        <f t="shared" si="152"/>
        <v>1.5175514164772654</v>
      </c>
      <c r="N225" s="309">
        <f t="shared" si="152"/>
        <v>1.5729407075409501</v>
      </c>
      <c r="O225" s="309">
        <f t="shared" si="152"/>
        <v>1.6262144296664454</v>
      </c>
      <c r="P225" s="309">
        <f t="shared" si="152"/>
        <v>1.677065125706737</v>
      </c>
      <c r="Q225" s="309">
        <f t="shared" si="152"/>
        <v>1.7251942062859236</v>
      </c>
      <c r="R225" s="309">
        <f t="shared" si="152"/>
        <v>1.7703148311098484</v>
      </c>
      <c r="S225" s="309">
        <f t="shared" si="152"/>
        <v>1.8154196296865699</v>
      </c>
      <c r="T225" s="309">
        <f t="shared" si="152"/>
        <v>1.8604859014466502</v>
      </c>
      <c r="U225" s="309">
        <f t="shared" si="152"/>
        <v>1.9054906407778309</v>
      </c>
      <c r="V225" s="309">
        <f t="shared" si="152"/>
        <v>1.9504105489052936</v>
      </c>
      <c r="W225" s="309">
        <f t="shared" si="152"/>
        <v>1.9952220461777779</v>
      </c>
      <c r="X225" s="309">
        <f t="shared" si="152"/>
        <v>2.0399237530665437</v>
      </c>
      <c r="Y225" s="309">
        <f t="shared" si="152"/>
        <v>2.0844930733161169</v>
      </c>
      <c r="Z225" s="309">
        <f t="shared" si="152"/>
        <v>2.12890716087181</v>
      </c>
      <c r="AA225" s="309">
        <f t="shared" si="152"/>
        <v>2.1731429310687873</v>
      </c>
      <c r="AB225" s="309">
        <f t="shared" si="152"/>
        <v>2.2171770721490707</v>
      </c>
      <c r="AC225" s="309">
        <f t="shared" si="152"/>
        <v>2.2610074329992731</v>
      </c>
      <c r="AD225" s="309">
        <f t="shared" si="152"/>
        <v>2.3046115484396603</v>
      </c>
      <c r="AE225" s="309">
        <f t="shared" si="152"/>
        <v>2.3479667500192067</v>
      </c>
      <c r="AF225" s="309">
        <f t="shared" si="152"/>
        <v>2.3910501765314853</v>
      </c>
      <c r="AG225" s="309">
        <f t="shared" si="152"/>
        <v>2.433838784798072</v>
      </c>
      <c r="AI225" s="337"/>
      <c r="AJ225" s="348"/>
    </row>
    <row r="226" spans="1:36">
      <c r="A226" s="346" t="s">
        <v>1382</v>
      </c>
      <c r="B226" s="302" t="s">
        <v>704</v>
      </c>
      <c r="C226" s="249">
        <f t="shared" ref="C226:R230" si="153">C192*C$210</f>
        <v>2.2088232164747645</v>
      </c>
      <c r="D226" s="249">
        <f t="shared" si="153"/>
        <v>2.2778308040207231</v>
      </c>
      <c r="E226" s="249">
        <f t="shared" si="153"/>
        <v>2.3427008063033545</v>
      </c>
      <c r="F226" s="249">
        <f t="shared" si="153"/>
        <v>2.4029659493589315</v>
      </c>
      <c r="G226" s="249">
        <f t="shared" si="153"/>
        <v>2.4581840466220464</v>
      </c>
      <c r="H226" s="249">
        <f t="shared" si="153"/>
        <v>2.5079433987106174</v>
      </c>
      <c r="I226" s="249">
        <f t="shared" si="153"/>
        <v>2.5573734464344864</v>
      </c>
      <c r="J226" s="249">
        <f t="shared" si="153"/>
        <v>2.6064128037517249</v>
      </c>
      <c r="K226" s="249">
        <f t="shared" si="153"/>
        <v>2.6549993095647073</v>
      </c>
      <c r="L226" s="249">
        <f t="shared" si="153"/>
        <v>2.7030701428542376</v>
      </c>
      <c r="M226" s="249">
        <f t="shared" si="153"/>
        <v>2.7505619423650427</v>
      </c>
      <c r="N226" s="249">
        <f t="shared" si="153"/>
        <v>2.7934084211664731</v>
      </c>
      <c r="O226" s="249">
        <f t="shared" si="153"/>
        <v>2.831355480222828</v>
      </c>
      <c r="P226" s="249">
        <f t="shared" si="153"/>
        <v>2.8641737248625221</v>
      </c>
      <c r="Q226" s="249">
        <f t="shared" si="153"/>
        <v>2.8916607434906094</v>
      </c>
      <c r="R226" s="249">
        <f t="shared" si="153"/>
        <v>2.9136431595349577</v>
      </c>
      <c r="S226" s="249">
        <f t="shared" si="152"/>
        <v>2.9352572816943168</v>
      </c>
      <c r="T226" s="249">
        <f t="shared" si="152"/>
        <v>2.9564902290275876</v>
      </c>
      <c r="U226" s="249">
        <f t="shared" si="152"/>
        <v>2.9773291262153592</v>
      </c>
      <c r="V226" s="249">
        <f t="shared" si="152"/>
        <v>2.997761111518976</v>
      </c>
      <c r="W226" s="249">
        <f t="shared" si="152"/>
        <v>3.0177733448438868</v>
      </c>
      <c r="X226" s="249">
        <f t="shared" si="152"/>
        <v>3.0373864705586375</v>
      </c>
      <c r="Y226" s="249">
        <f t="shared" si="152"/>
        <v>3.0565884007760333</v>
      </c>
      <c r="Z226" s="249">
        <f t="shared" si="152"/>
        <v>3.0753670661178822</v>
      </c>
      <c r="AA226" s="249">
        <f t="shared" si="152"/>
        <v>3.0937104227020886</v>
      </c>
      <c r="AB226" s="249">
        <f t="shared" si="152"/>
        <v>3.1116064592092023</v>
      </c>
      <c r="AC226" s="249">
        <f t="shared" si="152"/>
        <v>3.1290727867400605</v>
      </c>
      <c r="AD226" s="249">
        <f t="shared" si="152"/>
        <v>3.1460980019817679</v>
      </c>
      <c r="AE226" s="249">
        <f t="shared" si="152"/>
        <v>3.1626707300905208</v>
      </c>
      <c r="AF226" s="249">
        <f t="shared" si="152"/>
        <v>3.1787796308760683</v>
      </c>
      <c r="AG226" s="249">
        <f t="shared" si="152"/>
        <v>3.1944134050474693</v>
      </c>
      <c r="AI226" s="296"/>
    </row>
    <row r="227" spans="1:36">
      <c r="A227" s="346" t="s">
        <v>1383</v>
      </c>
      <c r="B227" s="302" t="s">
        <v>704</v>
      </c>
      <c r="C227" s="249">
        <f t="shared" si="153"/>
        <v>0.47758339815670592</v>
      </c>
      <c r="D227" s="249">
        <f t="shared" si="152"/>
        <v>0.47599513662495829</v>
      </c>
      <c r="E227" s="249">
        <f t="shared" si="152"/>
        <v>0.47272355555764117</v>
      </c>
      <c r="F227" s="249">
        <f t="shared" si="152"/>
        <v>0.46777737147520526</v>
      </c>
      <c r="G227" s="249">
        <f t="shared" si="152"/>
        <v>0.46118143175564047</v>
      </c>
      <c r="H227" s="249">
        <f t="shared" si="152"/>
        <v>0.45297656100059597</v>
      </c>
      <c r="I227" s="249">
        <f t="shared" si="152"/>
        <v>0.44417538806493695</v>
      </c>
      <c r="J227" s="249">
        <f t="shared" si="152"/>
        <v>0.43478152446862822</v>
      </c>
      <c r="K227" s="249">
        <f t="shared" si="152"/>
        <v>0.42479988953035303</v>
      </c>
      <c r="L227" s="249">
        <f t="shared" si="152"/>
        <v>0.41423672319064925</v>
      </c>
      <c r="M227" s="249">
        <f t="shared" si="152"/>
        <v>0.40309959500177339</v>
      </c>
      <c r="N227" s="249">
        <f t="shared" si="152"/>
        <v>0.39083740141642487</v>
      </c>
      <c r="O227" s="249">
        <f t="shared" si="152"/>
        <v>0.37751406402971033</v>
      </c>
      <c r="P227" s="249">
        <f t="shared" si="152"/>
        <v>0.36320160425916226</v>
      </c>
      <c r="Q227" s="249">
        <f t="shared" si="152"/>
        <v>0.34797951319971732</v>
      </c>
      <c r="R227" s="249">
        <f t="shared" si="152"/>
        <v>0.33193403083309636</v>
      </c>
      <c r="S227" s="249">
        <f t="shared" si="152"/>
        <v>0.31572515298896842</v>
      </c>
      <c r="T227" s="249">
        <f t="shared" si="152"/>
        <v>0.29936009850404854</v>
      </c>
      <c r="U227" s="249">
        <f t="shared" si="152"/>
        <v>0.28284626699045901</v>
      </c>
      <c r="V227" s="249">
        <f t="shared" si="152"/>
        <v>0.26619123562865582</v>
      </c>
      <c r="W227" s="249">
        <f t="shared" si="152"/>
        <v>0.24940275577222193</v>
      </c>
      <c r="X227" s="249">
        <f t="shared" si="152"/>
        <v>0.23249131009214252</v>
      </c>
      <c r="Y227" s="249">
        <f t="shared" si="152"/>
        <v>0.21546442825142517</v>
      </c>
      <c r="Z227" s="249">
        <f t="shared" si="152"/>
        <v>0.19832979446801025</v>
      </c>
      <c r="AA227" s="249">
        <f t="shared" si="152"/>
        <v>0.1810952442557319</v>
      </c>
      <c r="AB227" s="249">
        <f t="shared" si="152"/>
        <v>0.16376876101101051</v>
      </c>
      <c r="AC227" s="249">
        <f t="shared" si="152"/>
        <v>0.14635985615397043</v>
      </c>
      <c r="AD227" s="249">
        <f t="shared" si="152"/>
        <v>0.12887630369563852</v>
      </c>
      <c r="AE227" s="249">
        <f t="shared" si="152"/>
        <v>0.11132600969918616</v>
      </c>
      <c r="AF227" s="249">
        <f t="shared" si="152"/>
        <v>9.3717009037780311E-2</v>
      </c>
      <c r="AG227" s="249">
        <f t="shared" si="152"/>
        <v>7.6057462024939751E-2</v>
      </c>
      <c r="AI227" s="296"/>
    </row>
    <row r="228" spans="1:36">
      <c r="A228" s="346" t="s">
        <v>1384</v>
      </c>
      <c r="B228" s="302" t="s">
        <v>704</v>
      </c>
      <c r="C228" s="249">
        <f t="shared" si="153"/>
        <v>1.6118439687788824</v>
      </c>
      <c r="D228" s="249">
        <f t="shared" si="152"/>
        <v>1.6322751680830119</v>
      </c>
      <c r="E228" s="249">
        <f t="shared" si="152"/>
        <v>1.6482573530062892</v>
      </c>
      <c r="F228" s="249">
        <f t="shared" si="152"/>
        <v>1.6596484823572359</v>
      </c>
      <c r="G228" s="249">
        <f t="shared" si="152"/>
        <v>1.6663442298340605</v>
      </c>
      <c r="H228" s="249">
        <f t="shared" si="152"/>
        <v>1.6682795295387818</v>
      </c>
      <c r="I228" s="249">
        <f t="shared" si="152"/>
        <v>1.6690226703046132</v>
      </c>
      <c r="J228" s="249">
        <f t="shared" si="152"/>
        <v>1.668559463013114</v>
      </c>
      <c r="K228" s="249">
        <f t="shared" si="152"/>
        <v>1.6668778273962783</v>
      </c>
      <c r="L228" s="249">
        <f t="shared" si="152"/>
        <v>1.6639678541726097</v>
      </c>
      <c r="M228" s="249">
        <f t="shared" si="152"/>
        <v>1.6598218617720095</v>
      </c>
      <c r="N228" s="249">
        <f t="shared" si="152"/>
        <v>1.6520672980117606</v>
      </c>
      <c r="O228" s="249">
        <f t="shared" si="152"/>
        <v>1.6407342013598962</v>
      </c>
      <c r="P228" s="249">
        <f t="shared" si="152"/>
        <v>1.6258756378581305</v>
      </c>
      <c r="Q228" s="249">
        <f t="shared" si="152"/>
        <v>1.607567328584611</v>
      </c>
      <c r="R228" s="249">
        <f t="shared" si="152"/>
        <v>1.5859070362025727</v>
      </c>
      <c r="S228" s="249">
        <f t="shared" si="152"/>
        <v>1.5638261483984854</v>
      </c>
      <c r="T228" s="249">
        <f t="shared" si="152"/>
        <v>1.5413333997357221</v>
      </c>
      <c r="U228" s="249">
        <f t="shared" si="152"/>
        <v>1.5184378543698338</v>
      </c>
      <c r="V228" s="249">
        <f t="shared" si="152"/>
        <v>1.4951489029235727</v>
      </c>
      <c r="W228" s="249">
        <f t="shared" si="152"/>
        <v>1.4714762590561106</v>
      </c>
      <c r="X228" s="249">
        <f t="shared" si="152"/>
        <v>1.4474458983155982</v>
      </c>
      <c r="Y228" s="249">
        <f t="shared" si="152"/>
        <v>1.4230673865908092</v>
      </c>
      <c r="Z228" s="249">
        <f t="shared" si="152"/>
        <v>1.3983505761858457</v>
      </c>
      <c r="AA228" s="249">
        <f t="shared" si="152"/>
        <v>1.3733056022726349</v>
      </c>
      <c r="AB228" s="249">
        <f t="shared" si="152"/>
        <v>1.3479428790906265</v>
      </c>
      <c r="AC228" s="249">
        <f t="shared" si="152"/>
        <v>1.3222855969772516</v>
      </c>
      <c r="AD228" s="249">
        <f t="shared" si="152"/>
        <v>1.2963439959973069</v>
      </c>
      <c r="AE228" s="249">
        <f t="shared" si="152"/>
        <v>1.270128565204353</v>
      </c>
      <c r="AF228" s="249">
        <f t="shared" si="152"/>
        <v>1.2436500388527088</v>
      </c>
      <c r="AG228" s="249">
        <f t="shared" si="152"/>
        <v>1.216919392399036</v>
      </c>
      <c r="AI228" s="296"/>
    </row>
    <row r="229" spans="1:36">
      <c r="A229" s="346" t="s">
        <v>1385</v>
      </c>
      <c r="B229" s="302" t="s">
        <v>704</v>
      </c>
      <c r="C229" s="249">
        <f t="shared" si="153"/>
        <v>0.41788547338711768</v>
      </c>
      <c r="D229" s="249">
        <f t="shared" si="152"/>
        <v>0.42696559465500555</v>
      </c>
      <c r="E229" s="249">
        <f t="shared" si="152"/>
        <v>0.43507300688490874</v>
      </c>
      <c r="F229" s="249">
        <f t="shared" si="152"/>
        <v>0.44214573468204338</v>
      </c>
      <c r="G229" s="249">
        <f t="shared" si="152"/>
        <v>0.4481291270833111</v>
      </c>
      <c r="H229" s="249">
        <f t="shared" si="152"/>
        <v>0.45297656100059608</v>
      </c>
      <c r="I229" s="249">
        <f t="shared" si="152"/>
        <v>0.45763524830932906</v>
      </c>
      <c r="J229" s="249">
        <f t="shared" si="152"/>
        <v>0.4620976411891704</v>
      </c>
      <c r="K229" s="249">
        <f t="shared" si="152"/>
        <v>0.4663564004626703</v>
      </c>
      <c r="L229" s="249">
        <f t="shared" si="152"/>
        <v>0.47040441447073739</v>
      </c>
      <c r="M229" s="249">
        <f t="shared" si="152"/>
        <v>0.47423481764914521</v>
      </c>
      <c r="N229" s="249">
        <f t="shared" si="152"/>
        <v>0.47715731829367208</v>
      </c>
      <c r="O229" s="249">
        <f t="shared" si="152"/>
        <v>0.47915246588386312</v>
      </c>
      <c r="P229" s="249">
        <f t="shared" si="152"/>
        <v>0.48020614791312061</v>
      </c>
      <c r="Q229" s="249">
        <f t="shared" si="152"/>
        <v>0.4803097506136943</v>
      </c>
      <c r="R229" s="249">
        <f t="shared" si="152"/>
        <v>0.4794602667589169</v>
      </c>
      <c r="S229" s="249">
        <f t="shared" si="152"/>
        <v>0.47852093499890525</v>
      </c>
      <c r="T229" s="249">
        <f t="shared" si="152"/>
        <v>0.47749172736596163</v>
      </c>
      <c r="U229" s="249">
        <f t="shared" si="152"/>
        <v>0.47637266019445718</v>
      </c>
      <c r="V229" s="249">
        <f t="shared" si="152"/>
        <v>0.475163794439937</v>
      </c>
      <c r="W229" s="249">
        <f t="shared" si="152"/>
        <v>0.47386523596722158</v>
      </c>
      <c r="X229" s="249">
        <f t="shared" si="152"/>
        <v>0.47248233986467664</v>
      </c>
      <c r="Y229" s="249">
        <f t="shared" si="152"/>
        <v>0.47101526175892938</v>
      </c>
      <c r="Z229" s="249">
        <f t="shared" si="152"/>
        <v>0.46946419703187237</v>
      </c>
      <c r="AA229" s="249">
        <f t="shared" si="152"/>
        <v>0.46782938099397414</v>
      </c>
      <c r="AB229" s="249">
        <f t="shared" si="152"/>
        <v>0.4661110890313378</v>
      </c>
      <c r="AC229" s="249">
        <f t="shared" si="152"/>
        <v>0.46431402641949265</v>
      </c>
      <c r="AD229" s="249">
        <f t="shared" si="152"/>
        <v>0.46243850149611515</v>
      </c>
      <c r="AE229" s="249">
        <f t="shared" si="152"/>
        <v>0.46048485830117969</v>
      </c>
      <c r="AF229" s="249">
        <f t="shared" si="152"/>
        <v>0.45845347664427744</v>
      </c>
      <c r="AG229" s="249">
        <f t="shared" si="152"/>
        <v>0.45634477214963848</v>
      </c>
      <c r="AI229" s="296"/>
    </row>
    <row r="230" spans="1:36" s="68" customFormat="1">
      <c r="A230" s="347" t="s">
        <v>1386</v>
      </c>
      <c r="B230" s="312" t="s">
        <v>704</v>
      </c>
      <c r="C230" s="313">
        <f t="shared" si="153"/>
        <v>0.2984896238479412</v>
      </c>
      <c r="D230" s="313">
        <f t="shared" si="152"/>
        <v>0.3023488421480422</v>
      </c>
      <c r="E230" s="313">
        <f t="shared" si="152"/>
        <v>0.30538778367883013</v>
      </c>
      <c r="F230" s="313">
        <f t="shared" si="152"/>
        <v>0.3075796415179432</v>
      </c>
      <c r="G230" s="313">
        <f t="shared" si="152"/>
        <v>0.30890454391179695</v>
      </c>
      <c r="H230" s="313">
        <f t="shared" si="152"/>
        <v>0.30934984653699243</v>
      </c>
      <c r="I230" s="313">
        <f t="shared" si="152"/>
        <v>0.30957678562101676</v>
      </c>
      <c r="J230" s="313">
        <f t="shared" si="152"/>
        <v>0.30958265616614372</v>
      </c>
      <c r="K230" s="313">
        <f t="shared" si="152"/>
        <v>0.30936513694058326</v>
      </c>
      <c r="L230" s="313">
        <f t="shared" si="152"/>
        <v>0.30892230204048426</v>
      </c>
      <c r="M230" s="313">
        <f t="shared" si="152"/>
        <v>0.30825263147194443</v>
      </c>
      <c r="N230" s="313">
        <f t="shared" si="152"/>
        <v>0.30691526000799013</v>
      </c>
      <c r="O230" s="313">
        <f t="shared" si="152"/>
        <v>0.30491520556245832</v>
      </c>
      <c r="P230" s="313">
        <f t="shared" si="152"/>
        <v>0.30226173777272569</v>
      </c>
      <c r="Q230" s="313">
        <f t="shared" si="152"/>
        <v>0.29896831415750363</v>
      </c>
      <c r="R230" s="313">
        <f t="shared" si="152"/>
        <v>0.29505247185164118</v>
      </c>
      <c r="S230" s="313">
        <f t="shared" si="152"/>
        <v>0.29105912541170526</v>
      </c>
      <c r="T230" s="313">
        <f t="shared" si="152"/>
        <v>0.28698984649974896</v>
      </c>
      <c r="U230" s="313">
        <f t="shared" si="152"/>
        <v>0.28284626699045895</v>
      </c>
      <c r="V230" s="313">
        <f t="shared" si="152"/>
        <v>0.27863007841504156</v>
      </c>
      <c r="W230" s="313">
        <f t="shared" si="152"/>
        <v>0.27434303134944404</v>
      </c>
      <c r="X230" s="313">
        <f t="shared" si="152"/>
        <v>0.26998990849410093</v>
      </c>
      <c r="Y230" s="313">
        <f t="shared" si="152"/>
        <v>0.26557243482152398</v>
      </c>
      <c r="Z230" s="313">
        <f t="shared" si="152"/>
        <v>0.26109238765408938</v>
      </c>
      <c r="AA230" s="313">
        <f t="shared" si="152"/>
        <v>0.25655159602895344</v>
      </c>
      <c r="AB230" s="313">
        <f t="shared" si="152"/>
        <v>0.25195194001693921</v>
      </c>
      <c r="AC230" s="313">
        <f t="shared" si="152"/>
        <v>0.24729768798429483</v>
      </c>
      <c r="AD230" s="313">
        <f t="shared" si="152"/>
        <v>0.24259068930943722</v>
      </c>
      <c r="AE230" s="313">
        <f t="shared" si="152"/>
        <v>0.23783283890280685</v>
      </c>
      <c r="AF230" s="313">
        <f t="shared" si="152"/>
        <v>0.23302607652637281</v>
      </c>
      <c r="AG230" s="313">
        <f t="shared" si="152"/>
        <v>0.22817238607481924</v>
      </c>
      <c r="AI230" s="314"/>
      <c r="AJ230" s="315"/>
    </row>
    <row r="231" spans="1:36" s="181" customFormat="1">
      <c r="B231" s="176"/>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J231" s="323"/>
    </row>
    <row r="232" spans="1:36" s="181" customFormat="1">
      <c r="A232" s="181" t="s">
        <v>1699</v>
      </c>
      <c r="B232" s="350" t="s">
        <v>704</v>
      </c>
      <c r="C232" s="230">
        <f>C165</f>
        <v>0.29411849599012857</v>
      </c>
      <c r="D232" s="230">
        <f t="shared" ref="D232:AG232" si="154">D165</f>
        <v>0.34519391601580796</v>
      </c>
      <c r="E232" s="230">
        <f t="shared" si="154"/>
        <v>0.39831912413837989</v>
      </c>
      <c r="F232" s="230">
        <f t="shared" si="154"/>
        <v>0.45320403767359185</v>
      </c>
      <c r="G232" s="230">
        <f t="shared" si="154"/>
        <v>0.50952766795758908</v>
      </c>
      <c r="H232" s="230">
        <f t="shared" si="154"/>
        <v>0.56694107323375775</v>
      </c>
      <c r="I232" s="230">
        <f t="shared" si="154"/>
        <v>0.62641941356681119</v>
      </c>
      <c r="J232" s="230">
        <f t="shared" si="154"/>
        <v>0.68795506012102126</v>
      </c>
      <c r="K232" s="230">
        <f t="shared" si="154"/>
        <v>0.75153632267378723</v>
      </c>
      <c r="L232" s="230">
        <f t="shared" si="154"/>
        <v>0.81714735238699321</v>
      </c>
      <c r="M232" s="230">
        <f t="shared" si="154"/>
        <v>0.88476805342840015</v>
      </c>
      <c r="N232" s="230">
        <f t="shared" si="154"/>
        <v>0.95300849459260484</v>
      </c>
      <c r="O232" s="230">
        <f t="shared" si="154"/>
        <v>1.0215355823934487</v>
      </c>
      <c r="P232" s="230">
        <f t="shared" si="154"/>
        <v>1.0900028365980481</v>
      </c>
      <c r="Q232" s="230">
        <f t="shared" si="154"/>
        <v>1.1580532015000484</v>
      </c>
      <c r="R232" s="230">
        <f t="shared" si="154"/>
        <v>1.2253220597469408</v>
      </c>
      <c r="S232" s="230">
        <f t="shared" si="154"/>
        <v>1.2937671636997243</v>
      </c>
      <c r="T232" s="230">
        <f t="shared" si="154"/>
        <v>1.3633861134180485</v>
      </c>
      <c r="U232" s="230">
        <f t="shared" si="154"/>
        <v>1.4341759475757545</v>
      </c>
      <c r="V232" s="230">
        <f t="shared" si="154"/>
        <v>1.5061331367306496</v>
      </c>
      <c r="W232" s="230">
        <f t="shared" si="154"/>
        <v>1.5792535768819591</v>
      </c>
      <c r="X232" s="230">
        <f t="shared" si="154"/>
        <v>1.6535507960135065</v>
      </c>
      <c r="Y232" s="230">
        <f t="shared" si="154"/>
        <v>1.7290220448636191</v>
      </c>
      <c r="Z232" s="230">
        <f t="shared" si="154"/>
        <v>1.8056640637994834</v>
      </c>
      <c r="AA232" s="230">
        <f t="shared" si="154"/>
        <v>1.883473077242652</v>
      </c>
      <c r="AB232" s="230">
        <f t="shared" si="154"/>
        <v>1.9624447883324967</v>
      </c>
      <c r="AC232" s="230">
        <f t="shared" si="154"/>
        <v>2.0425936848168909</v>
      </c>
      <c r="AD232" s="230">
        <f t="shared" si="154"/>
        <v>2.1239167447662455</v>
      </c>
      <c r="AE232" s="230">
        <f t="shared" si="154"/>
        <v>2.2064104802958018</v>
      </c>
      <c r="AF232" s="230">
        <f t="shared" si="154"/>
        <v>2.2900709329013753</v>
      </c>
      <c r="AG232" s="230">
        <f t="shared" si="154"/>
        <v>2.3748936689935181</v>
      </c>
      <c r="AI232" s="763" t="s">
        <v>1391</v>
      </c>
      <c r="AJ232" s="323"/>
    </row>
    <row r="233" spans="1:36" s="181" customFormat="1">
      <c r="A233" s="181" t="s">
        <v>1700</v>
      </c>
      <c r="B233" s="349" t="s">
        <v>704</v>
      </c>
      <c r="C233" s="249">
        <f>C232/(1-C190)</f>
        <v>0.40290204930154599</v>
      </c>
      <c r="D233" s="249">
        <f t="shared" ref="D233:AG233" si="155">D232/(1-D190)</f>
        <v>0.47029143871363482</v>
      </c>
      <c r="E233" s="249">
        <f t="shared" si="155"/>
        <v>0.53972781048560958</v>
      </c>
      <c r="F233" s="249">
        <f t="shared" si="155"/>
        <v>0.61078711276764397</v>
      </c>
      <c r="G233" s="249">
        <f t="shared" si="155"/>
        <v>0.68301295972867171</v>
      </c>
      <c r="H233" s="249">
        <f t="shared" si="155"/>
        <v>0.75592143097834363</v>
      </c>
      <c r="I233" s="249">
        <f t="shared" si="155"/>
        <v>0.83079497820531989</v>
      </c>
      <c r="J233" s="249">
        <f t="shared" si="155"/>
        <v>0.90759242760029191</v>
      </c>
      <c r="K233" s="249">
        <f t="shared" si="155"/>
        <v>0.9862681399918467</v>
      </c>
      <c r="L233" s="249">
        <f t="shared" si="155"/>
        <v>1.066772000505213</v>
      </c>
      <c r="M233" s="249">
        <f t="shared" si="155"/>
        <v>1.1490494200368833</v>
      </c>
      <c r="N233" s="249">
        <f t="shared" si="155"/>
        <v>1.231277124796647</v>
      </c>
      <c r="O233" s="249">
        <f t="shared" si="155"/>
        <v>1.3130277408656152</v>
      </c>
      <c r="P233" s="249">
        <f t="shared" si="155"/>
        <v>1.393865519946353</v>
      </c>
      <c r="Q233" s="249">
        <f t="shared" si="155"/>
        <v>1.4733501291349216</v>
      </c>
      <c r="R233" s="249">
        <f t="shared" si="155"/>
        <v>1.5510405819581528</v>
      </c>
      <c r="S233" s="249">
        <f t="shared" si="155"/>
        <v>1.6294296772036829</v>
      </c>
      <c r="T233" s="249">
        <f t="shared" si="155"/>
        <v>1.7085039015263765</v>
      </c>
      <c r="U233" s="249">
        <f t="shared" si="155"/>
        <v>1.7882493111917137</v>
      </c>
      <c r="V233" s="249">
        <f t="shared" si="155"/>
        <v>1.8686515344052723</v>
      </c>
      <c r="W233" s="249">
        <f t="shared" si="155"/>
        <v>1.9496957739283445</v>
      </c>
      <c r="X233" s="249">
        <f t="shared" si="155"/>
        <v>2.0313891842917768</v>
      </c>
      <c r="Y233" s="249">
        <f t="shared" si="155"/>
        <v>2.1137188812513679</v>
      </c>
      <c r="Z233" s="249">
        <f t="shared" si="155"/>
        <v>2.1966716104616584</v>
      </c>
      <c r="AA233" s="249">
        <f t="shared" si="155"/>
        <v>2.2802337496884406</v>
      </c>
      <c r="AB233" s="249">
        <f t="shared" si="155"/>
        <v>2.3643913112439718</v>
      </c>
      <c r="AC233" s="249">
        <f t="shared" si="155"/>
        <v>2.4491530993008284</v>
      </c>
      <c r="AD233" s="249">
        <f t="shared" si="155"/>
        <v>2.5345068553296484</v>
      </c>
      <c r="AE233" s="249">
        <f t="shared" si="155"/>
        <v>2.6204400003513082</v>
      </c>
      <c r="AF233" s="249">
        <f t="shared" si="155"/>
        <v>2.7069396369992615</v>
      </c>
      <c r="AG233" s="249">
        <f t="shared" si="155"/>
        <v>2.7939925517570803</v>
      </c>
      <c r="AI233" s="763"/>
      <c r="AJ233" s="323"/>
    </row>
    <row r="234" spans="1:36" s="181" customFormat="1">
      <c r="A234" s="181" t="s">
        <v>1701</v>
      </c>
      <c r="B234" s="349" t="s">
        <v>704</v>
      </c>
      <c r="C234" s="249">
        <f>C222</f>
        <v>0.24993004782066314</v>
      </c>
      <c r="D234" s="249">
        <f t="shared" ref="D234:AG234" si="156">D222</f>
        <v>0.28509123749385024</v>
      </c>
      <c r="E234" s="249">
        <f t="shared" si="156"/>
        <v>0.32166052494580316</v>
      </c>
      <c r="F234" s="249">
        <f t="shared" si="156"/>
        <v>0.35945015465327534</v>
      </c>
      <c r="G234" s="249">
        <f t="shared" si="156"/>
        <v>0.39825063284347478</v>
      </c>
      <c r="H234" s="249">
        <f t="shared" si="156"/>
        <v>0.43783248844112199</v>
      </c>
      <c r="I234" s="249">
        <f t="shared" si="156"/>
        <v>0.4789795688770353</v>
      </c>
      <c r="J234" s="249">
        <f t="shared" si="156"/>
        <v>0.52169664680952488</v>
      </c>
      <c r="K234" s="249">
        <f t="shared" si="156"/>
        <v>0.56598565642652687</v>
      </c>
      <c r="L234" s="249">
        <f t="shared" si="156"/>
        <v>0.61184559171194297</v>
      </c>
      <c r="M234" s="249">
        <f t="shared" si="156"/>
        <v>0.65927240995866232</v>
      </c>
      <c r="N234" s="249">
        <f t="shared" si="156"/>
        <v>0.70724557075704819</v>
      </c>
      <c r="O234" s="249">
        <f t="shared" si="156"/>
        <v>0.75553991501335427</v>
      </c>
      <c r="P234" s="249">
        <f t="shared" si="156"/>
        <v>0.8039193748000385</v>
      </c>
      <c r="Q234" s="249">
        <f t="shared" si="156"/>
        <v>0.85213879882281274</v>
      </c>
      <c r="R234" s="249">
        <f t="shared" si="156"/>
        <v>0.8999459421879743</v>
      </c>
      <c r="S234" s="249">
        <f t="shared" si="156"/>
        <v>0.94878993105425535</v>
      </c>
      <c r="T234" s="249">
        <f t="shared" si="156"/>
        <v>0.99867416626350414</v>
      </c>
      <c r="U234" s="249">
        <f t="shared" si="156"/>
        <v>1.0496015929609102</v>
      </c>
      <c r="V234" s="249">
        <f t="shared" si="156"/>
        <v>1.1015746909075477</v>
      </c>
      <c r="W234" s="249">
        <f t="shared" si="156"/>
        <v>1.1545954649811976</v>
      </c>
      <c r="X234" s="249">
        <f t="shared" si="156"/>
        <v>1.208678748615557</v>
      </c>
      <c r="Y234" s="249">
        <f t="shared" si="156"/>
        <v>1.2638274121169153</v>
      </c>
      <c r="Z234" s="249">
        <f t="shared" si="156"/>
        <v>1.3200438973955089</v>
      </c>
      <c r="AA234" s="249">
        <f t="shared" si="156"/>
        <v>1.3773302096181159</v>
      </c>
      <c r="AB234" s="249">
        <f t="shared" si="156"/>
        <v>1.4356879090256043</v>
      </c>
      <c r="AC234" s="249">
        <f t="shared" si="156"/>
        <v>1.495132238125241</v>
      </c>
      <c r="AD234" s="249">
        <f t="shared" si="156"/>
        <v>1.5556655793783911</v>
      </c>
      <c r="AE234" s="249">
        <f t="shared" si="156"/>
        <v>1.6172899113109236</v>
      </c>
      <c r="AF234" s="249">
        <f t="shared" si="156"/>
        <v>1.6800068012733445</v>
      </c>
      <c r="AG234" s="249">
        <f t="shared" si="156"/>
        <v>1.743817398346295</v>
      </c>
      <c r="AI234" s="763"/>
      <c r="AJ234" s="323"/>
    </row>
    <row r="235" spans="1:36" s="181" customFormat="1">
      <c r="A235" s="181" t="s">
        <v>1702</v>
      </c>
      <c r="B235" s="349" t="s">
        <v>704</v>
      </c>
      <c r="C235" s="249">
        <f>C233-C234</f>
        <v>0.15297200148088286</v>
      </c>
      <c r="D235" s="249">
        <f t="shared" ref="D235:AG235" si="157">D233-D234</f>
        <v>0.18520020121978459</v>
      </c>
      <c r="E235" s="249">
        <f t="shared" si="157"/>
        <v>0.21806728553980642</v>
      </c>
      <c r="F235" s="249">
        <f t="shared" si="157"/>
        <v>0.25133695811436862</v>
      </c>
      <c r="G235" s="249">
        <f t="shared" si="157"/>
        <v>0.28476232688519693</v>
      </c>
      <c r="H235" s="249">
        <f t="shared" si="157"/>
        <v>0.31808894253722164</v>
      </c>
      <c r="I235" s="249">
        <f t="shared" si="157"/>
        <v>0.35181540932828459</v>
      </c>
      <c r="J235" s="249">
        <f t="shared" si="157"/>
        <v>0.38589578079076703</v>
      </c>
      <c r="K235" s="249">
        <f t="shared" si="157"/>
        <v>0.42028248356531983</v>
      </c>
      <c r="L235" s="249">
        <f t="shared" si="157"/>
        <v>0.45492640879327007</v>
      </c>
      <c r="M235" s="249">
        <f t="shared" si="157"/>
        <v>0.48977701007822094</v>
      </c>
      <c r="N235" s="249">
        <f t="shared" si="157"/>
        <v>0.52403155403959878</v>
      </c>
      <c r="O235" s="249">
        <f t="shared" si="157"/>
        <v>0.55748782585226098</v>
      </c>
      <c r="P235" s="249">
        <f t="shared" si="157"/>
        <v>0.58994614514631449</v>
      </c>
      <c r="Q235" s="249">
        <f t="shared" si="157"/>
        <v>0.62121133031210884</v>
      </c>
      <c r="R235" s="249">
        <f t="shared" si="157"/>
        <v>0.65109463977017845</v>
      </c>
      <c r="S235" s="249">
        <f t="shared" si="157"/>
        <v>0.68063974614942757</v>
      </c>
      <c r="T235" s="249">
        <f t="shared" si="157"/>
        <v>0.70982973526287241</v>
      </c>
      <c r="U235" s="249">
        <f t="shared" si="157"/>
        <v>0.73864771823080355</v>
      </c>
      <c r="V235" s="249">
        <f t="shared" si="157"/>
        <v>0.76707684349772465</v>
      </c>
      <c r="W235" s="249">
        <f t="shared" si="157"/>
        <v>0.79510030894714689</v>
      </c>
      <c r="X235" s="249">
        <f t="shared" si="157"/>
        <v>0.82271043567621982</v>
      </c>
      <c r="Y235" s="249">
        <f t="shared" si="157"/>
        <v>0.84989146913445257</v>
      </c>
      <c r="Z235" s="249">
        <f t="shared" si="157"/>
        <v>0.87662771306614951</v>
      </c>
      <c r="AA235" s="249">
        <f t="shared" si="157"/>
        <v>0.90290354007032469</v>
      </c>
      <c r="AB235" s="249">
        <f t="shared" si="157"/>
        <v>0.92870340221836756</v>
      </c>
      <c r="AC235" s="249">
        <f t="shared" si="157"/>
        <v>0.95402086117558738</v>
      </c>
      <c r="AD235" s="249">
        <f t="shared" si="157"/>
        <v>0.97884127595125725</v>
      </c>
      <c r="AE235" s="249">
        <f t="shared" si="157"/>
        <v>1.0031500890403846</v>
      </c>
      <c r="AF235" s="249">
        <f t="shared" si="157"/>
        <v>1.0269328357259171</v>
      </c>
      <c r="AG235" s="249">
        <f t="shared" si="157"/>
        <v>1.0501751534107853</v>
      </c>
      <c r="AI235" s="763"/>
      <c r="AJ235" s="323"/>
    </row>
    <row r="236" spans="1:36" s="181" customFormat="1">
      <c r="A236" s="181" t="s">
        <v>1703</v>
      </c>
      <c r="B236" s="349" t="s">
        <v>704</v>
      </c>
      <c r="C236" s="249">
        <f>(C235)/(1-C187)</f>
        <v>0.19121500185110357</v>
      </c>
      <c r="D236" s="249">
        <f t="shared" ref="D236:AG236" si="158">(D233-D222)/(1-D187)</f>
        <v>0.23053966956819658</v>
      </c>
      <c r="E236" s="249">
        <f t="shared" si="158"/>
        <v>0.27033134571050382</v>
      </c>
      <c r="F236" s="249">
        <f t="shared" si="158"/>
        <v>0.31029254088193658</v>
      </c>
      <c r="G236" s="249">
        <f t="shared" si="158"/>
        <v>0.35011761502278316</v>
      </c>
      <c r="H236" s="249">
        <f t="shared" si="158"/>
        <v>0.38949666433129182</v>
      </c>
      <c r="I236" s="249">
        <f t="shared" si="158"/>
        <v>0.42904318210766418</v>
      </c>
      <c r="J236" s="249">
        <f t="shared" si="158"/>
        <v>0.46869932889566851</v>
      </c>
      <c r="K236" s="249">
        <f t="shared" si="158"/>
        <v>0.5084062301193385</v>
      </c>
      <c r="L236" s="249">
        <f t="shared" si="158"/>
        <v>0.54810410697984346</v>
      </c>
      <c r="M236" s="249">
        <f t="shared" si="158"/>
        <v>0.58773241209386518</v>
      </c>
      <c r="N236" s="249">
        <f t="shared" si="158"/>
        <v>0.62633253470868389</v>
      </c>
      <c r="O236" s="249">
        <f t="shared" si="158"/>
        <v>0.66367598315745369</v>
      </c>
      <c r="P236" s="249">
        <f t="shared" si="158"/>
        <v>0.69954088357270494</v>
      </c>
      <c r="Q236" s="249">
        <f t="shared" si="158"/>
        <v>0.73371416965997116</v>
      </c>
      <c r="R236" s="249">
        <f t="shared" si="158"/>
        <v>0.7659936938472689</v>
      </c>
      <c r="S236" s="249">
        <f t="shared" si="158"/>
        <v>0.79762470251886053</v>
      </c>
      <c r="T236" s="249">
        <f t="shared" si="158"/>
        <v>0.82859502170763322</v>
      </c>
      <c r="U236" s="249">
        <f t="shared" si="158"/>
        <v>0.8588926956172136</v>
      </c>
      <c r="V236" s="249">
        <f t="shared" si="158"/>
        <v>0.88850599632941096</v>
      </c>
      <c r="W236" s="249">
        <f t="shared" si="158"/>
        <v>0.91742343340055432</v>
      </c>
      <c r="X236" s="249">
        <f t="shared" si="158"/>
        <v>0.94564417893818387</v>
      </c>
      <c r="Y236" s="249">
        <f t="shared" si="158"/>
        <v>0.97315817076464051</v>
      </c>
      <c r="Z236" s="249">
        <f t="shared" si="158"/>
        <v>0.99995556623515169</v>
      </c>
      <c r="AA236" s="249">
        <f t="shared" si="158"/>
        <v>1.0260267500799145</v>
      </c>
      <c r="AB236" s="249">
        <f t="shared" si="158"/>
        <v>1.0513623421340013</v>
      </c>
      <c r="AC236" s="249">
        <f t="shared" si="158"/>
        <v>1.0759633772657002</v>
      </c>
      <c r="AD236" s="249">
        <f t="shared" si="158"/>
        <v>1.0998216583721994</v>
      </c>
      <c r="AE236" s="249">
        <f t="shared" si="158"/>
        <v>1.1229292041496846</v>
      </c>
      <c r="AF236" s="249">
        <f t="shared" si="158"/>
        <v>1.1452782554564134</v>
      </c>
      <c r="AG236" s="249">
        <f t="shared" si="158"/>
        <v>1.1668612815675392</v>
      </c>
      <c r="AI236" s="763"/>
      <c r="AJ236" s="323"/>
    </row>
    <row r="237" spans="1:36" s="181" customFormat="1">
      <c r="A237" s="181" t="s">
        <v>1704</v>
      </c>
      <c r="B237" s="349" t="s">
        <v>704</v>
      </c>
      <c r="C237" s="249">
        <f>IF(C216&gt;C236,C236,C216)</f>
        <v>0.19121500185110357</v>
      </c>
      <c r="D237" s="249">
        <f t="shared" ref="D237:AG237" si="159">IF(D216&gt;D236,D236,D216)</f>
        <v>0.23053966956819658</v>
      </c>
      <c r="E237" s="249">
        <f t="shared" si="159"/>
        <v>0.27033134571050382</v>
      </c>
      <c r="F237" s="249">
        <f t="shared" si="159"/>
        <v>0.31029254088193658</v>
      </c>
      <c r="G237" s="249">
        <f t="shared" si="159"/>
        <v>0.35011761502278316</v>
      </c>
      <c r="H237" s="249">
        <f t="shared" si="159"/>
        <v>0.38949666433129182</v>
      </c>
      <c r="I237" s="249">
        <f t="shared" si="159"/>
        <v>0.42904318210766418</v>
      </c>
      <c r="J237" s="249">
        <f t="shared" si="159"/>
        <v>0.46869932889566851</v>
      </c>
      <c r="K237" s="249">
        <f t="shared" si="159"/>
        <v>0.5084062301193385</v>
      </c>
      <c r="L237" s="249">
        <f t="shared" si="159"/>
        <v>0.54810410697984346</v>
      </c>
      <c r="M237" s="249">
        <f t="shared" si="159"/>
        <v>0.58773241209386518</v>
      </c>
      <c r="N237" s="249">
        <f t="shared" si="159"/>
        <v>0.62633253470868389</v>
      </c>
      <c r="O237" s="249">
        <f t="shared" si="159"/>
        <v>0.66367598315745369</v>
      </c>
      <c r="P237" s="249">
        <f t="shared" si="159"/>
        <v>0.69954088357270494</v>
      </c>
      <c r="Q237" s="249">
        <f t="shared" si="159"/>
        <v>0.73371416965997116</v>
      </c>
      <c r="R237" s="249">
        <f t="shared" si="159"/>
        <v>0.7659936938472689</v>
      </c>
      <c r="S237" s="249">
        <f t="shared" si="159"/>
        <v>0.79762470251886053</v>
      </c>
      <c r="T237" s="249">
        <f t="shared" si="159"/>
        <v>0.82859502170763322</v>
      </c>
      <c r="U237" s="249">
        <f t="shared" si="159"/>
        <v>0.8588926956172136</v>
      </c>
      <c r="V237" s="249">
        <f t="shared" si="159"/>
        <v>0.88850599632941096</v>
      </c>
      <c r="W237" s="249">
        <f t="shared" si="159"/>
        <v>0.91742343340055432</v>
      </c>
      <c r="X237" s="249">
        <f t="shared" si="159"/>
        <v>0.94564417893818387</v>
      </c>
      <c r="Y237" s="249">
        <f t="shared" si="159"/>
        <v>0.97315817076464051</v>
      </c>
      <c r="Z237" s="249">
        <f t="shared" si="159"/>
        <v>0.99995556623515169</v>
      </c>
      <c r="AA237" s="249">
        <f t="shared" si="159"/>
        <v>1.0260267500799145</v>
      </c>
      <c r="AB237" s="249">
        <f t="shared" si="159"/>
        <v>1.0513623421340013</v>
      </c>
      <c r="AC237" s="249">
        <f t="shared" si="159"/>
        <v>1.0759633772657002</v>
      </c>
      <c r="AD237" s="249">
        <f t="shared" si="159"/>
        <v>1.0998216583721994</v>
      </c>
      <c r="AE237" s="249">
        <f t="shared" si="159"/>
        <v>1.1229292041496846</v>
      </c>
      <c r="AF237" s="249">
        <f t="shared" si="159"/>
        <v>1.1452782554564134</v>
      </c>
      <c r="AG237" s="249">
        <f t="shared" si="159"/>
        <v>1.1668612815675392</v>
      </c>
      <c r="AI237" s="763"/>
      <c r="AJ237" s="323"/>
    </row>
    <row r="238" spans="1:36" s="181" customFormat="1">
      <c r="A238" s="181" t="s">
        <v>1705</v>
      </c>
      <c r="B238" s="349" t="s">
        <v>704</v>
      </c>
      <c r="C238" s="249">
        <f>IF(C236-C237&lt;0,0,C236-C237)</f>
        <v>0</v>
      </c>
      <c r="D238" s="249">
        <f t="shared" ref="D238:AG238" si="160">IF(D236-D237&lt;0,0,D236-D237)</f>
        <v>0</v>
      </c>
      <c r="E238" s="249">
        <f t="shared" si="160"/>
        <v>0</v>
      </c>
      <c r="F238" s="249">
        <f t="shared" si="160"/>
        <v>0</v>
      </c>
      <c r="G238" s="249">
        <f t="shared" si="160"/>
        <v>0</v>
      </c>
      <c r="H238" s="249">
        <f t="shared" si="160"/>
        <v>0</v>
      </c>
      <c r="I238" s="249">
        <f t="shared" si="160"/>
        <v>0</v>
      </c>
      <c r="J238" s="249">
        <f t="shared" si="160"/>
        <v>0</v>
      </c>
      <c r="K238" s="249">
        <f t="shared" si="160"/>
        <v>0</v>
      </c>
      <c r="L238" s="249">
        <f t="shared" si="160"/>
        <v>0</v>
      </c>
      <c r="M238" s="249">
        <f t="shared" si="160"/>
        <v>0</v>
      </c>
      <c r="N238" s="249">
        <f t="shared" si="160"/>
        <v>0</v>
      </c>
      <c r="O238" s="249">
        <f t="shared" si="160"/>
        <v>0</v>
      </c>
      <c r="P238" s="249">
        <f t="shared" si="160"/>
        <v>0</v>
      </c>
      <c r="Q238" s="249">
        <f t="shared" si="160"/>
        <v>0</v>
      </c>
      <c r="R238" s="249">
        <f t="shared" si="160"/>
        <v>0</v>
      </c>
      <c r="S238" s="249">
        <f t="shared" si="160"/>
        <v>0</v>
      </c>
      <c r="T238" s="249">
        <f t="shared" si="160"/>
        <v>0</v>
      </c>
      <c r="U238" s="249">
        <f t="shared" si="160"/>
        <v>0</v>
      </c>
      <c r="V238" s="249">
        <f t="shared" si="160"/>
        <v>0</v>
      </c>
      <c r="W238" s="249">
        <f t="shared" si="160"/>
        <v>0</v>
      </c>
      <c r="X238" s="249">
        <f t="shared" si="160"/>
        <v>0</v>
      </c>
      <c r="Y238" s="249">
        <f t="shared" si="160"/>
        <v>0</v>
      </c>
      <c r="Z238" s="249">
        <f t="shared" si="160"/>
        <v>0</v>
      </c>
      <c r="AA238" s="249">
        <f t="shared" si="160"/>
        <v>0</v>
      </c>
      <c r="AB238" s="249">
        <f t="shared" si="160"/>
        <v>0</v>
      </c>
      <c r="AC238" s="249">
        <f t="shared" si="160"/>
        <v>0</v>
      </c>
      <c r="AD238" s="249">
        <f t="shared" si="160"/>
        <v>0</v>
      </c>
      <c r="AE238" s="249">
        <f t="shared" si="160"/>
        <v>0</v>
      </c>
      <c r="AF238" s="249">
        <f t="shared" si="160"/>
        <v>0</v>
      </c>
      <c r="AG238" s="249">
        <f t="shared" si="160"/>
        <v>0</v>
      </c>
      <c r="AI238" s="763"/>
      <c r="AJ238" s="323"/>
    </row>
    <row r="239" spans="1:36" s="181" customFormat="1">
      <c r="A239" s="181" t="s">
        <v>1706</v>
      </c>
      <c r="B239" s="349" t="s">
        <v>704</v>
      </c>
      <c r="C239" s="249">
        <f>C233*C190+C187*C236+C223+IF(C216&gt;C236,C216-C236,0)</f>
        <v>0.7187559083357169</v>
      </c>
      <c r="D239" s="249">
        <f t="shared" ref="D239:AG239" si="161">D233*D190+D187*D236+D223+IF(D216&gt;D236,D216-D236,0)</f>
        <v>0.76254208411162527</v>
      </c>
      <c r="E239" s="249">
        <f t="shared" si="161"/>
        <v>0.80653080838204805</v>
      </c>
      <c r="F239" s="249">
        <f t="shared" si="161"/>
        <v>0.85046771773379448</v>
      </c>
      <c r="G239" s="249">
        <f t="shared" si="161"/>
        <v>0.89408599002961009</v>
      </c>
      <c r="H239" s="249">
        <f t="shared" si="161"/>
        <v>0.93710892975626769</v>
      </c>
      <c r="I239" s="249">
        <f t="shared" si="161"/>
        <v>0.98136550871470152</v>
      </c>
      <c r="J239" s="249">
        <f t="shared" si="161"/>
        <v>1.0268450928524042</v>
      </c>
      <c r="K239" s="249">
        <f t="shared" si="161"/>
        <v>1.0735342141085722</v>
      </c>
      <c r="L239" s="249">
        <f t="shared" si="161"/>
        <v>1.1214165028031235</v>
      </c>
      <c r="M239" s="249">
        <f t="shared" si="161"/>
        <v>1.1704726267274284</v>
      </c>
      <c r="N239" s="249">
        <f t="shared" si="161"/>
        <v>1.21893369951129</v>
      </c>
      <c r="O239" s="249">
        <f t="shared" si="161"/>
        <v>1.2665575571554597</v>
      </c>
      <c r="P239" s="249">
        <f t="shared" si="161"/>
        <v>1.313098232658074</v>
      </c>
      <c r="Q239" s="249">
        <f t="shared" si="161"/>
        <v>1.3583079949282792</v>
      </c>
      <c r="R239" s="249">
        <f t="shared" si="161"/>
        <v>1.4019394811566595</v>
      </c>
      <c r="S239" s="249">
        <f t="shared" si="161"/>
        <v>1.4463490549874733</v>
      </c>
      <c r="T239" s="249">
        <f t="shared" si="161"/>
        <v>1.4915318119699723</v>
      </c>
      <c r="U239" s="249">
        <f t="shared" si="161"/>
        <v>1.5374822495884861</v>
      </c>
      <c r="V239" s="249">
        <f t="shared" si="161"/>
        <v>1.5841942607621537</v>
      </c>
      <c r="W239" s="249">
        <f t="shared" si="161"/>
        <v>1.6316611277769404</v>
      </c>
      <c r="X239" s="249">
        <f t="shared" si="161"/>
        <v>1.6798940195038976</v>
      </c>
      <c r="Y239" s="249">
        <f t="shared" si="161"/>
        <v>1.7288866276083297</v>
      </c>
      <c r="Z239" s="249">
        <f t="shared" si="161"/>
        <v>1.7786320699761391</v>
      </c>
      <c r="AA239" s="249">
        <f t="shared" si="161"/>
        <v>1.829122885707215</v>
      </c>
      <c r="AB239" s="249">
        <f t="shared" si="161"/>
        <v>1.880351030500969</v>
      </c>
      <c r="AC239" s="249">
        <f t="shared" si="161"/>
        <v>1.9323261409410102</v>
      </c>
      <c r="AD239" s="249">
        <f t="shared" si="161"/>
        <v>1.9850405131087305</v>
      </c>
      <c r="AE239" s="249">
        <f t="shared" si="161"/>
        <v>2.0384858918201489</v>
      </c>
      <c r="AF239" s="249">
        <f t="shared" si="161"/>
        <v>2.0926534668603565</v>
      </c>
      <c r="AG239" s="249">
        <f t="shared" si="161"/>
        <v>2.1475338695748953</v>
      </c>
      <c r="AI239" s="763"/>
      <c r="AJ239" s="323"/>
    </row>
    <row r="240" spans="1:36" s="181" customFormat="1">
      <c r="A240" s="181" t="s">
        <v>1707</v>
      </c>
      <c r="B240" s="349" t="s">
        <v>704</v>
      </c>
      <c r="C240" s="249">
        <f>C219-C238</f>
        <v>4.2488108129512732</v>
      </c>
      <c r="D240" s="249">
        <f t="shared" ref="D240:AF240" si="162">D219-D238</f>
        <v>4.3562243428199272</v>
      </c>
      <c r="E240" s="249">
        <f t="shared" si="162"/>
        <v>4.4542022304951088</v>
      </c>
      <c r="F240" s="249">
        <f t="shared" si="162"/>
        <v>4.5419967216340069</v>
      </c>
      <c r="G240" s="249">
        <f t="shared" si="162"/>
        <v>4.6189284255415028</v>
      </c>
      <c r="H240" s="249">
        <f t="shared" si="162"/>
        <v>4.6843950633155824</v>
      </c>
      <c r="I240" s="249">
        <f t="shared" si="162"/>
        <v>4.7481010766175729</v>
      </c>
      <c r="J240" s="249">
        <f t="shared" si="162"/>
        <v>4.8099421675692593</v>
      </c>
      <c r="K240" s="249">
        <f t="shared" si="162"/>
        <v>4.8698153920859468</v>
      </c>
      <c r="L240" s="249">
        <f t="shared" si="162"/>
        <v>4.9276194206705348</v>
      </c>
      <c r="M240" s="249">
        <f t="shared" si="162"/>
        <v>4.9832547998298864</v>
      </c>
      <c r="N240" s="249">
        <f t="shared" si="162"/>
        <v>5.0294178584065188</v>
      </c>
      <c r="O240" s="249">
        <f t="shared" si="162"/>
        <v>5.0658090895084573</v>
      </c>
      <c r="P240" s="249">
        <f t="shared" si="162"/>
        <v>5.0921847696975213</v>
      </c>
      <c r="Q240" s="249">
        <f t="shared" si="162"/>
        <v>5.108359623389247</v>
      </c>
      <c r="R240" s="249">
        <f t="shared" si="162"/>
        <v>5.1142089295305828</v>
      </c>
      <c r="S240" s="249">
        <f t="shared" si="162"/>
        <v>5.1188759762511324</v>
      </c>
      <c r="T240" s="249">
        <f t="shared" si="162"/>
        <v>5.1223499575379599</v>
      </c>
      <c r="U240" s="249">
        <f t="shared" si="162"/>
        <v>5.1246206747958762</v>
      </c>
      <c r="V240" s="249">
        <f t="shared" si="162"/>
        <v>5.1256785511501137</v>
      </c>
      <c r="W240" s="249">
        <f t="shared" si="162"/>
        <v>5.1255146453858424</v>
      </c>
      <c r="X240" s="249">
        <f t="shared" si="162"/>
        <v>5.1241771046810163</v>
      </c>
      <c r="Y240" s="249">
        <f t="shared" si="162"/>
        <v>5.1216582997192699</v>
      </c>
      <c r="Z240" s="249">
        <f t="shared" si="162"/>
        <v>5.1179511956166124</v>
      </c>
      <c r="AA240" s="249">
        <f t="shared" si="162"/>
        <v>5.1130493633228173</v>
      </c>
      <c r="AB240" s="249">
        <f t="shared" si="162"/>
        <v>5.1069469906767901</v>
      </c>
      <c r="AC240" s="249">
        <f t="shared" si="162"/>
        <v>5.0996871062962388</v>
      </c>
      <c r="AD240" s="249">
        <f t="shared" si="162"/>
        <v>5.0912649869555286</v>
      </c>
      <c r="AE240" s="249">
        <f t="shared" si="162"/>
        <v>5.0816764892364921</v>
      </c>
      <c r="AF240" s="249">
        <f t="shared" si="162"/>
        <v>5.0709180585880702</v>
      </c>
      <c r="AG240" s="249">
        <f>AG219-AG238</f>
        <v>5.0589867380595814</v>
      </c>
      <c r="AI240" s="763"/>
      <c r="AJ240" s="323"/>
    </row>
    <row r="241" spans="1:37" s="181" customFormat="1">
      <c r="B241" s="350"/>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c r="AG241" s="327"/>
      <c r="AJ241" s="323"/>
    </row>
    <row r="242" spans="1:37" s="181" customFormat="1">
      <c r="A242" s="181" t="s">
        <v>1400</v>
      </c>
      <c r="B242" s="350" t="s">
        <v>462</v>
      </c>
      <c r="C242" s="296">
        <v>0.8</v>
      </c>
      <c r="D242" s="317">
        <f>C242</f>
        <v>0.8</v>
      </c>
      <c r="E242" s="317">
        <f t="shared" ref="E242:AG242" si="163">D242</f>
        <v>0.8</v>
      </c>
      <c r="F242" s="317">
        <f t="shared" si="163"/>
        <v>0.8</v>
      </c>
      <c r="G242" s="317">
        <f t="shared" si="163"/>
        <v>0.8</v>
      </c>
      <c r="H242" s="317">
        <f t="shared" si="163"/>
        <v>0.8</v>
      </c>
      <c r="I242" s="317">
        <f t="shared" si="163"/>
        <v>0.8</v>
      </c>
      <c r="J242" s="317">
        <f t="shared" si="163"/>
        <v>0.8</v>
      </c>
      <c r="K242" s="317">
        <f t="shared" si="163"/>
        <v>0.8</v>
      </c>
      <c r="L242" s="317">
        <f t="shared" si="163"/>
        <v>0.8</v>
      </c>
      <c r="M242" s="317">
        <f>L242</f>
        <v>0.8</v>
      </c>
      <c r="N242" s="317">
        <f t="shared" si="163"/>
        <v>0.8</v>
      </c>
      <c r="O242" s="317">
        <f t="shared" si="163"/>
        <v>0.8</v>
      </c>
      <c r="P242" s="317">
        <f t="shared" si="163"/>
        <v>0.8</v>
      </c>
      <c r="Q242" s="317">
        <f t="shared" si="163"/>
        <v>0.8</v>
      </c>
      <c r="R242" s="317">
        <f t="shared" si="163"/>
        <v>0.8</v>
      </c>
      <c r="S242" s="317">
        <f t="shared" si="163"/>
        <v>0.8</v>
      </c>
      <c r="T242" s="317">
        <f t="shared" si="163"/>
        <v>0.8</v>
      </c>
      <c r="U242" s="317">
        <f t="shared" si="163"/>
        <v>0.8</v>
      </c>
      <c r="V242" s="317">
        <f t="shared" si="163"/>
        <v>0.8</v>
      </c>
      <c r="W242" s="317">
        <f t="shared" si="163"/>
        <v>0.8</v>
      </c>
      <c r="X242" s="317">
        <f t="shared" si="163"/>
        <v>0.8</v>
      </c>
      <c r="Y242" s="317">
        <f t="shared" si="163"/>
        <v>0.8</v>
      </c>
      <c r="Z242" s="317">
        <f t="shared" si="163"/>
        <v>0.8</v>
      </c>
      <c r="AA242" s="317">
        <f t="shared" si="163"/>
        <v>0.8</v>
      </c>
      <c r="AB242" s="317">
        <f t="shared" si="163"/>
        <v>0.8</v>
      </c>
      <c r="AC242" s="317">
        <f t="shared" si="163"/>
        <v>0.8</v>
      </c>
      <c r="AD242" s="317">
        <f t="shared" si="163"/>
        <v>0.8</v>
      </c>
      <c r="AE242" s="317">
        <f t="shared" si="163"/>
        <v>0.8</v>
      </c>
      <c r="AF242" s="317">
        <f t="shared" si="163"/>
        <v>0.8</v>
      </c>
      <c r="AG242" s="317">
        <f t="shared" si="163"/>
        <v>0.8</v>
      </c>
      <c r="AJ242" s="323" t="s">
        <v>1401</v>
      </c>
    </row>
    <row r="243" spans="1:37" s="181" customFormat="1">
      <c r="B243" s="350"/>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c r="AG243" s="327"/>
      <c r="AJ243" s="323"/>
    </row>
    <row r="244" spans="1:37" s="181" customFormat="1">
      <c r="A244" s="181" t="s">
        <v>1402</v>
      </c>
      <c r="B244" s="350" t="s">
        <v>704</v>
      </c>
      <c r="C244" s="327">
        <f>C178*C239*C242</f>
        <v>0.12650103986708619</v>
      </c>
      <c r="D244" s="327">
        <f t="shared" ref="D244:AG244" si="164">D178*D239*D242</f>
        <v>0.13827429791890805</v>
      </c>
      <c r="E244" s="327">
        <f t="shared" si="164"/>
        <v>0.15055241756464896</v>
      </c>
      <c r="F244" s="327">
        <f t="shared" si="164"/>
        <v>0.16328980180488853</v>
      </c>
      <c r="G244" s="327">
        <f t="shared" si="164"/>
        <v>0.17643296869917635</v>
      </c>
      <c r="H244" s="327">
        <f t="shared" si="164"/>
        <v>0.18992074309727025</v>
      </c>
      <c r="I244" s="327">
        <f t="shared" si="164"/>
        <v>0.2041240258126579</v>
      </c>
      <c r="J244" s="327">
        <f t="shared" si="164"/>
        <v>0.21906028647517953</v>
      </c>
      <c r="K244" s="327">
        <f t="shared" si="164"/>
        <v>0.23474614815174105</v>
      </c>
      <c r="L244" s="327">
        <f t="shared" si="164"/>
        <v>0.25119729662789964</v>
      </c>
      <c r="M244" s="327">
        <f t="shared" si="164"/>
        <v>0.26842838906282351</v>
      </c>
      <c r="N244" s="327">
        <f t="shared" si="164"/>
        <v>0.28604310815198264</v>
      </c>
      <c r="O244" s="327">
        <f t="shared" si="164"/>
        <v>0.30397381371731025</v>
      </c>
      <c r="P244" s="327">
        <f t="shared" si="164"/>
        <v>0.32214676641211404</v>
      </c>
      <c r="Q244" s="327">
        <f t="shared" si="164"/>
        <v>0.34048253739535522</v>
      </c>
      <c r="R244" s="327">
        <f t="shared" si="164"/>
        <v>0.35889650717610466</v>
      </c>
      <c r="S244" s="327">
        <f t="shared" si="164"/>
        <v>0.37797921970339288</v>
      </c>
      <c r="T244" s="327">
        <f t="shared" si="164"/>
        <v>0.39774181652532575</v>
      </c>
      <c r="U244" s="327">
        <f t="shared" si="164"/>
        <v>0.41819517188806804</v>
      </c>
      <c r="V244" s="327">
        <f t="shared" si="164"/>
        <v>0.43934987498470374</v>
      </c>
      <c r="W244" s="327">
        <f t="shared" si="164"/>
        <v>0.46121621211828157</v>
      </c>
      <c r="X244" s="327">
        <f t="shared" si="164"/>
        <v>0.48380947761712223</v>
      </c>
      <c r="Y244" s="327">
        <f t="shared" si="164"/>
        <v>0.50714007743177636</v>
      </c>
      <c r="Z244" s="327">
        <f t="shared" si="164"/>
        <v>0.53121811156620646</v>
      </c>
      <c r="AA244" s="327">
        <f t="shared" si="164"/>
        <v>0.55605335725499294</v>
      </c>
      <c r="AB244" s="327">
        <f t="shared" si="164"/>
        <v>0.58165525210163271</v>
      </c>
      <c r="AC244" s="327">
        <f t="shared" si="164"/>
        <v>0.60803862568277078</v>
      </c>
      <c r="AD244" s="327">
        <f t="shared" si="164"/>
        <v>0.63521296419479334</v>
      </c>
      <c r="AE244" s="327">
        <f t="shared" si="164"/>
        <v>0.66318741013882132</v>
      </c>
      <c r="AF244" s="327">
        <f t="shared" si="164"/>
        <v>0.69197074637515732</v>
      </c>
      <c r="AG244" s="327">
        <f t="shared" si="164"/>
        <v>0.72157138017716482</v>
      </c>
      <c r="AJ244" s="323"/>
    </row>
    <row r="245" spans="1:37" s="181" customFormat="1">
      <c r="A245" s="181" t="s">
        <v>1403</v>
      </c>
      <c r="B245" s="350" t="s">
        <v>704</v>
      </c>
      <c r="C245" s="327">
        <f>C239*C242-C244</f>
        <v>0.44850368680148733</v>
      </c>
      <c r="D245" s="327">
        <f t="shared" ref="D245:AG245" si="165">D239*D242-D244</f>
        <v>0.47175936937039226</v>
      </c>
      <c r="E245" s="327">
        <f t="shared" si="165"/>
        <v>0.49467222914098952</v>
      </c>
      <c r="F245" s="327">
        <f t="shared" si="165"/>
        <v>0.51708437238214711</v>
      </c>
      <c r="G245" s="327">
        <f t="shared" si="165"/>
        <v>0.53883582332451174</v>
      </c>
      <c r="H245" s="327">
        <f t="shared" si="165"/>
        <v>0.55976640070774397</v>
      </c>
      <c r="I245" s="327">
        <f t="shared" si="165"/>
        <v>0.58096838115910343</v>
      </c>
      <c r="J245" s="327">
        <f t="shared" si="165"/>
        <v>0.60241578780674387</v>
      </c>
      <c r="K245" s="327">
        <f t="shared" si="165"/>
        <v>0.62408122313511671</v>
      </c>
      <c r="L245" s="327">
        <f t="shared" si="165"/>
        <v>0.64593590561459924</v>
      </c>
      <c r="M245" s="327">
        <f t="shared" si="165"/>
        <v>0.66794971231911926</v>
      </c>
      <c r="N245" s="327">
        <f t="shared" si="165"/>
        <v>0.68910385145704944</v>
      </c>
      <c r="O245" s="327">
        <f t="shared" si="165"/>
        <v>0.70927223200705747</v>
      </c>
      <c r="P245" s="327">
        <f t="shared" si="165"/>
        <v>0.72833181971434513</v>
      </c>
      <c r="Q245" s="327">
        <f t="shared" si="165"/>
        <v>0.74616385854726808</v>
      </c>
      <c r="R245" s="327">
        <f t="shared" si="165"/>
        <v>0.76265507774922303</v>
      </c>
      <c r="S245" s="327">
        <f t="shared" si="165"/>
        <v>0.77910002428658576</v>
      </c>
      <c r="T245" s="327">
        <f t="shared" si="165"/>
        <v>0.79548363305065228</v>
      </c>
      <c r="U245" s="327">
        <f t="shared" si="165"/>
        <v>0.81179062778272093</v>
      </c>
      <c r="V245" s="327">
        <f t="shared" si="165"/>
        <v>0.82800553362501939</v>
      </c>
      <c r="W245" s="327">
        <f t="shared" si="165"/>
        <v>0.84411269010327084</v>
      </c>
      <c r="X245" s="327">
        <f t="shared" si="165"/>
        <v>0.86010573798599599</v>
      </c>
      <c r="Y245" s="327">
        <f t="shared" si="165"/>
        <v>0.87596922465488747</v>
      </c>
      <c r="Z245" s="327">
        <f t="shared" si="165"/>
        <v>0.89168754441470499</v>
      </c>
      <c r="AA245" s="327">
        <f t="shared" si="165"/>
        <v>0.90724495131077909</v>
      </c>
      <c r="AB245" s="327">
        <f t="shared" si="165"/>
        <v>0.92262557229914255</v>
      </c>
      <c r="AC245" s="327">
        <f t="shared" si="165"/>
        <v>0.93782228707003745</v>
      </c>
      <c r="AD245" s="327">
        <f t="shared" si="165"/>
        <v>0.95281944629219117</v>
      </c>
      <c r="AE245" s="327">
        <f t="shared" si="165"/>
        <v>0.96760130331729788</v>
      </c>
      <c r="AF245" s="327">
        <f t="shared" si="165"/>
        <v>0.98215202711312799</v>
      </c>
      <c r="AG245" s="327">
        <f t="shared" si="165"/>
        <v>0.99645571548275158</v>
      </c>
      <c r="AJ245" s="323"/>
    </row>
    <row r="246" spans="1:37" s="181" customFormat="1">
      <c r="B246" s="176"/>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c r="AG246" s="327"/>
      <c r="AJ246" s="323"/>
    </row>
    <row r="247" spans="1:37" s="181" customFormat="1">
      <c r="B247" s="210" t="s">
        <v>492</v>
      </c>
      <c r="C247" s="331">
        <v>0</v>
      </c>
      <c r="D247" s="331">
        <f>C247+1</f>
        <v>1</v>
      </c>
      <c r="E247" s="331">
        <f t="shared" ref="E247:AG247" si="166">D247+1</f>
        <v>2</v>
      </c>
      <c r="F247" s="331">
        <f t="shared" si="166"/>
        <v>3</v>
      </c>
      <c r="G247" s="331">
        <f t="shared" si="166"/>
        <v>4</v>
      </c>
      <c r="H247" s="331">
        <f t="shared" si="166"/>
        <v>5</v>
      </c>
      <c r="I247" s="331">
        <f t="shared" si="166"/>
        <v>6</v>
      </c>
      <c r="J247" s="331">
        <f t="shared" si="166"/>
        <v>7</v>
      </c>
      <c r="K247" s="331">
        <f t="shared" si="166"/>
        <v>8</v>
      </c>
      <c r="L247" s="331">
        <f t="shared" si="166"/>
        <v>9</v>
      </c>
      <c r="M247" s="331">
        <f t="shared" si="166"/>
        <v>10</v>
      </c>
      <c r="N247" s="331">
        <f t="shared" si="166"/>
        <v>11</v>
      </c>
      <c r="O247" s="331">
        <f t="shared" si="166"/>
        <v>12</v>
      </c>
      <c r="P247" s="331">
        <f t="shared" si="166"/>
        <v>13</v>
      </c>
      <c r="Q247" s="331">
        <f t="shared" si="166"/>
        <v>14</v>
      </c>
      <c r="R247" s="331">
        <f t="shared" si="166"/>
        <v>15</v>
      </c>
      <c r="S247" s="331">
        <f t="shared" si="166"/>
        <v>16</v>
      </c>
      <c r="T247" s="331">
        <f t="shared" si="166"/>
        <v>17</v>
      </c>
      <c r="U247" s="331">
        <f t="shared" si="166"/>
        <v>18</v>
      </c>
      <c r="V247" s="331">
        <f t="shared" si="166"/>
        <v>19</v>
      </c>
      <c r="W247" s="331">
        <f t="shared" si="166"/>
        <v>20</v>
      </c>
      <c r="X247" s="331">
        <f t="shared" si="166"/>
        <v>21</v>
      </c>
      <c r="Y247" s="331">
        <f t="shared" si="166"/>
        <v>22</v>
      </c>
      <c r="Z247" s="331">
        <f t="shared" si="166"/>
        <v>23</v>
      </c>
      <c r="AA247" s="331">
        <f t="shared" si="166"/>
        <v>24</v>
      </c>
      <c r="AB247" s="331">
        <f t="shared" si="166"/>
        <v>25</v>
      </c>
      <c r="AC247" s="331">
        <f t="shared" si="166"/>
        <v>26</v>
      </c>
      <c r="AD247" s="331">
        <f t="shared" si="166"/>
        <v>27</v>
      </c>
      <c r="AE247" s="331">
        <f t="shared" si="166"/>
        <v>28</v>
      </c>
      <c r="AF247" s="331">
        <f t="shared" si="166"/>
        <v>29</v>
      </c>
      <c r="AG247" s="331">
        <f t="shared" si="166"/>
        <v>30</v>
      </c>
      <c r="AJ247" s="323" t="s">
        <v>493</v>
      </c>
      <c r="AK247" s="181">
        <f>'Propylene Recycling HC'!AK199</f>
        <v>1.9</v>
      </c>
    </row>
    <row r="248" spans="1:37" s="181" customFormat="1">
      <c r="A248" s="181" t="s">
        <v>1404</v>
      </c>
      <c r="B248" s="176"/>
      <c r="C248" s="333">
        <f>$AK$249/((1+EXP(-$AK$248*(C247-$AK$250)))^$AK$247)</f>
        <v>4.6088632748610021E-5</v>
      </c>
      <c r="D248" s="333">
        <f t="shared" ref="D248:AG248" si="167">$AK$249/((1+EXP(-$AK$248*(D247-$AK$250)))^$AK$247)</f>
        <v>8.924759460408035E-5</v>
      </c>
      <c r="E248" s="333">
        <f t="shared" si="167"/>
        <v>1.7252431976790472E-4</v>
      </c>
      <c r="F248" s="333">
        <f t="shared" si="167"/>
        <v>3.3269643715580369E-4</v>
      </c>
      <c r="G248" s="333">
        <f t="shared" si="167"/>
        <v>6.393827369910735E-4</v>
      </c>
      <c r="H248" s="333">
        <f t="shared" si="167"/>
        <v>1.2229053771654547E-3</v>
      </c>
      <c r="I248" s="333">
        <f t="shared" si="167"/>
        <v>2.3234018804222717E-3</v>
      </c>
      <c r="J248" s="333">
        <f t="shared" si="167"/>
        <v>4.3736281679830789E-3</v>
      </c>
      <c r="K248" s="333">
        <f t="shared" si="167"/>
        <v>8.1294184230466908E-3</v>
      </c>
      <c r="L248" s="333">
        <f t="shared" si="167"/>
        <v>1.4853985082038716E-2</v>
      </c>
      <c r="M248" s="333">
        <f t="shared" si="167"/>
        <v>2.6531412096832362E-2</v>
      </c>
      <c r="N248" s="333">
        <f t="shared" si="167"/>
        <v>4.6014759335105015E-2</v>
      </c>
      <c r="O248" s="333">
        <f t="shared" si="167"/>
        <v>7.6910635328419796E-2</v>
      </c>
      <c r="P248" s="333">
        <f t="shared" si="167"/>
        <v>0.12294065829885638</v>
      </c>
      <c r="Q248" s="333">
        <f t="shared" si="167"/>
        <v>0.18666754187878853</v>
      </c>
      <c r="R248" s="333">
        <f t="shared" si="167"/>
        <v>0.26794336563407328</v>
      </c>
      <c r="S248" s="333">
        <f t="shared" si="167"/>
        <v>0.36297326582455031</v>
      </c>
      <c r="T248" s="333">
        <f t="shared" si="167"/>
        <v>0.46484396312424381</v>
      </c>
      <c r="U248" s="333">
        <f t="shared" si="167"/>
        <v>0.56546260593861253</v>
      </c>
      <c r="V248" s="333">
        <f t="shared" si="167"/>
        <v>0.6578403022607352</v>
      </c>
      <c r="W248" s="333">
        <f t="shared" si="167"/>
        <v>0.73754668886795227</v>
      </c>
      <c r="X248" s="333">
        <f t="shared" si="167"/>
        <v>0.80293052021410605</v>
      </c>
      <c r="Y248" s="333">
        <f t="shared" si="167"/>
        <v>0.85447682949112158</v>
      </c>
      <c r="Z248" s="333">
        <f t="shared" si="167"/>
        <v>0.89389910336617451</v>
      </c>
      <c r="AA248" s="333">
        <f t="shared" si="167"/>
        <v>0.92337223319290385</v>
      </c>
      <c r="AB248" s="333">
        <f t="shared" si="167"/>
        <v>0.94504210708611314</v>
      </c>
      <c r="AC248" s="333">
        <f t="shared" si="167"/>
        <v>0.96078240575184182</v>
      </c>
      <c r="AD248" s="333">
        <f t="shared" si="167"/>
        <v>0.97211605463477313</v>
      </c>
      <c r="AE248" s="333">
        <f t="shared" si="167"/>
        <v>0.98022577885232642</v>
      </c>
      <c r="AF248" s="333">
        <f t="shared" si="167"/>
        <v>0.98600279580400285</v>
      </c>
      <c r="AG248" s="333">
        <f t="shared" si="167"/>
        <v>0.9901050637460882</v>
      </c>
      <c r="AI248" s="176" t="s">
        <v>494</v>
      </c>
      <c r="AJ248" s="323" t="s">
        <v>495</v>
      </c>
      <c r="AK248" s="181">
        <f>'Propylene Recycling HC'!AK200</f>
        <v>0.35</v>
      </c>
    </row>
    <row r="249" spans="1:37" s="181" customFormat="1">
      <c r="B249" s="176"/>
      <c r="C249" s="329">
        <v>0</v>
      </c>
      <c r="D249" s="329">
        <v>0</v>
      </c>
      <c r="E249" s="329">
        <v>0</v>
      </c>
      <c r="F249" s="329">
        <v>0</v>
      </c>
      <c r="G249" s="329">
        <v>0</v>
      </c>
      <c r="H249" s="329">
        <v>0</v>
      </c>
      <c r="I249" s="329">
        <v>0</v>
      </c>
      <c r="J249" s="329">
        <v>0</v>
      </c>
      <c r="K249" s="329">
        <v>0</v>
      </c>
      <c r="L249" s="329">
        <v>0</v>
      </c>
      <c r="M249" s="329">
        <f>C248</f>
        <v>4.6088632748610021E-5</v>
      </c>
      <c r="N249" s="329">
        <v>0</v>
      </c>
      <c r="O249" s="329">
        <v>0</v>
      </c>
      <c r="P249" s="329">
        <v>0</v>
      </c>
      <c r="Q249" s="329">
        <v>0</v>
      </c>
      <c r="R249" s="329">
        <f t="shared" ref="R249:AG249" si="168">C248</f>
        <v>4.6088632748610021E-5</v>
      </c>
      <c r="S249" s="329">
        <f t="shared" si="168"/>
        <v>8.924759460408035E-5</v>
      </c>
      <c r="T249" s="329">
        <f t="shared" si="168"/>
        <v>1.7252431976790472E-4</v>
      </c>
      <c r="U249" s="329">
        <f t="shared" si="168"/>
        <v>3.3269643715580369E-4</v>
      </c>
      <c r="V249" s="329">
        <f t="shared" si="168"/>
        <v>6.393827369910735E-4</v>
      </c>
      <c r="W249" s="329">
        <f t="shared" si="168"/>
        <v>1.2229053771654547E-3</v>
      </c>
      <c r="X249" s="329">
        <f t="shared" si="168"/>
        <v>2.3234018804222717E-3</v>
      </c>
      <c r="Y249" s="329">
        <f t="shared" si="168"/>
        <v>4.3736281679830789E-3</v>
      </c>
      <c r="Z249" s="329">
        <f t="shared" si="168"/>
        <v>8.1294184230466908E-3</v>
      </c>
      <c r="AA249" s="329">
        <f t="shared" si="168"/>
        <v>1.4853985082038716E-2</v>
      </c>
      <c r="AB249" s="329">
        <f t="shared" si="168"/>
        <v>2.6531412096832362E-2</v>
      </c>
      <c r="AC249" s="329">
        <f t="shared" si="168"/>
        <v>4.6014759335105015E-2</v>
      </c>
      <c r="AD249" s="329">
        <f t="shared" si="168"/>
        <v>7.6910635328419796E-2</v>
      </c>
      <c r="AE249" s="329">
        <f t="shared" si="168"/>
        <v>0.12294065829885638</v>
      </c>
      <c r="AF249" s="329">
        <f t="shared" si="168"/>
        <v>0.18666754187878853</v>
      </c>
      <c r="AG249" s="329">
        <f t="shared" si="168"/>
        <v>0.26794336563407328</v>
      </c>
      <c r="AI249" s="176" t="s">
        <v>496</v>
      </c>
      <c r="AJ249" s="323" t="s">
        <v>497</v>
      </c>
      <c r="AK249" s="181">
        <f>'Propylene Recycling HC'!AK201</f>
        <v>1</v>
      </c>
    </row>
    <row r="250" spans="1:37" s="181" customFormat="1">
      <c r="B250" s="176"/>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c r="AG250" s="327"/>
      <c r="AJ250" s="323" t="s">
        <v>498</v>
      </c>
      <c r="AK250" s="181">
        <f>'Propylene Recycling HC'!AK202</f>
        <v>15</v>
      </c>
    </row>
    <row r="251" spans="1:37" s="181" customFormat="1">
      <c r="A251" s="181" t="s">
        <v>1460</v>
      </c>
      <c r="B251" s="176" t="s">
        <v>462</v>
      </c>
      <c r="C251" s="328">
        <v>0</v>
      </c>
      <c r="D251" s="328">
        <f>C251</f>
        <v>0</v>
      </c>
      <c r="E251" s="328">
        <f t="shared" ref="E251:AG251" si="169">D251</f>
        <v>0</v>
      </c>
      <c r="F251" s="328">
        <f t="shared" si="169"/>
        <v>0</v>
      </c>
      <c r="G251" s="328">
        <f t="shared" si="169"/>
        <v>0</v>
      </c>
      <c r="H251" s="328">
        <f t="shared" si="169"/>
        <v>0</v>
      </c>
      <c r="I251" s="328">
        <f t="shared" si="169"/>
        <v>0</v>
      </c>
      <c r="J251" s="328">
        <f t="shared" si="169"/>
        <v>0</v>
      </c>
      <c r="K251" s="328">
        <f t="shared" si="169"/>
        <v>0</v>
      </c>
      <c r="L251" s="328">
        <f t="shared" si="169"/>
        <v>0</v>
      </c>
      <c r="M251" s="328">
        <v>0</v>
      </c>
      <c r="N251" s="328">
        <f t="shared" si="169"/>
        <v>0</v>
      </c>
      <c r="O251" s="328">
        <f t="shared" si="169"/>
        <v>0</v>
      </c>
      <c r="P251" s="328">
        <f t="shared" si="169"/>
        <v>0</v>
      </c>
      <c r="Q251" s="328">
        <f t="shared" si="169"/>
        <v>0</v>
      </c>
      <c r="R251" s="328">
        <f t="shared" si="169"/>
        <v>0</v>
      </c>
      <c r="S251" s="328">
        <f t="shared" si="169"/>
        <v>0</v>
      </c>
      <c r="T251" s="328">
        <f t="shared" si="169"/>
        <v>0</v>
      </c>
      <c r="U251" s="328">
        <f t="shared" si="169"/>
        <v>0</v>
      </c>
      <c r="V251" s="328">
        <f t="shared" si="169"/>
        <v>0</v>
      </c>
      <c r="W251" s="328">
        <f t="shared" si="169"/>
        <v>0</v>
      </c>
      <c r="X251" s="328">
        <f t="shared" si="169"/>
        <v>0</v>
      </c>
      <c r="Y251" s="328">
        <f t="shared" si="169"/>
        <v>0</v>
      </c>
      <c r="Z251" s="328">
        <f t="shared" si="169"/>
        <v>0</v>
      </c>
      <c r="AA251" s="328">
        <f t="shared" si="169"/>
        <v>0</v>
      </c>
      <c r="AB251" s="328">
        <f t="shared" si="169"/>
        <v>0</v>
      </c>
      <c r="AC251" s="328">
        <f t="shared" si="169"/>
        <v>0</v>
      </c>
      <c r="AD251" s="328">
        <f t="shared" si="169"/>
        <v>0</v>
      </c>
      <c r="AE251" s="328">
        <f t="shared" si="169"/>
        <v>0</v>
      </c>
      <c r="AF251" s="328">
        <f t="shared" si="169"/>
        <v>0</v>
      </c>
      <c r="AG251" s="328">
        <f t="shared" si="169"/>
        <v>0</v>
      </c>
      <c r="AI251" s="176" t="s">
        <v>1516</v>
      </c>
      <c r="AJ251" s="323"/>
    </row>
    <row r="252" spans="1:37" s="300" customFormat="1" ht="16" thickBot="1">
      <c r="A252" s="334" t="s">
        <v>1407</v>
      </c>
      <c r="B252" s="335" t="s">
        <v>704</v>
      </c>
      <c r="C252" s="336">
        <f>C251*(C244*C248+C245*C249)</f>
        <v>0</v>
      </c>
      <c r="D252" s="336">
        <f t="shared" ref="D252:AG252" si="170">D251*(D244*D248+D245*D249)</f>
        <v>0</v>
      </c>
      <c r="E252" s="336">
        <f t="shared" si="170"/>
        <v>0</v>
      </c>
      <c r="F252" s="336">
        <f t="shared" si="170"/>
        <v>0</v>
      </c>
      <c r="G252" s="336">
        <f t="shared" si="170"/>
        <v>0</v>
      </c>
      <c r="H252" s="336">
        <f t="shared" si="170"/>
        <v>0</v>
      </c>
      <c r="I252" s="336">
        <f t="shared" si="170"/>
        <v>0</v>
      </c>
      <c r="J252" s="336">
        <f t="shared" si="170"/>
        <v>0</v>
      </c>
      <c r="K252" s="336">
        <f t="shared" si="170"/>
        <v>0</v>
      </c>
      <c r="L252" s="336">
        <f t="shared" si="170"/>
        <v>0</v>
      </c>
      <c r="M252" s="336">
        <f>M251*(M244*M248+M245*M249)</f>
        <v>0</v>
      </c>
      <c r="N252" s="336">
        <f t="shared" si="170"/>
        <v>0</v>
      </c>
      <c r="O252" s="336">
        <f t="shared" si="170"/>
        <v>0</v>
      </c>
      <c r="P252" s="336">
        <f t="shared" si="170"/>
        <v>0</v>
      </c>
      <c r="Q252" s="336">
        <f t="shared" si="170"/>
        <v>0</v>
      </c>
      <c r="R252" s="336">
        <f t="shared" si="170"/>
        <v>0</v>
      </c>
      <c r="S252" s="336">
        <f t="shared" si="170"/>
        <v>0</v>
      </c>
      <c r="T252" s="336">
        <f t="shared" si="170"/>
        <v>0</v>
      </c>
      <c r="U252" s="336">
        <f t="shared" si="170"/>
        <v>0</v>
      </c>
      <c r="V252" s="336">
        <f t="shared" si="170"/>
        <v>0</v>
      </c>
      <c r="W252" s="336">
        <f t="shared" si="170"/>
        <v>0</v>
      </c>
      <c r="X252" s="336">
        <f t="shared" si="170"/>
        <v>0</v>
      </c>
      <c r="Y252" s="336">
        <f t="shared" si="170"/>
        <v>0</v>
      </c>
      <c r="Z252" s="336">
        <f t="shared" si="170"/>
        <v>0</v>
      </c>
      <c r="AA252" s="336">
        <f t="shared" si="170"/>
        <v>0</v>
      </c>
      <c r="AB252" s="336">
        <f t="shared" si="170"/>
        <v>0</v>
      </c>
      <c r="AC252" s="336">
        <f t="shared" si="170"/>
        <v>0</v>
      </c>
      <c r="AD252" s="336">
        <f t="shared" si="170"/>
        <v>0</v>
      </c>
      <c r="AE252" s="336">
        <f t="shared" si="170"/>
        <v>0</v>
      </c>
      <c r="AF252" s="336">
        <f t="shared" si="170"/>
        <v>0</v>
      </c>
      <c r="AG252" s="336">
        <f t="shared" si="170"/>
        <v>0</v>
      </c>
      <c r="AJ252" s="326"/>
    </row>
    <row r="253" spans="1:37" s="230" customFormat="1">
      <c r="A253" s="325" t="s">
        <v>1408</v>
      </c>
      <c r="B253" s="324" t="s">
        <v>462</v>
      </c>
      <c r="C253" s="330">
        <v>0</v>
      </c>
      <c r="D253" s="330">
        <v>0.5</v>
      </c>
      <c r="E253" s="330">
        <v>0.5</v>
      </c>
      <c r="F253" s="330">
        <v>0.5</v>
      </c>
      <c r="G253" s="330">
        <v>0.5</v>
      </c>
      <c r="H253" s="330">
        <v>0.5</v>
      </c>
      <c r="I253" s="330">
        <v>0.5</v>
      </c>
      <c r="J253" s="330">
        <v>0.5</v>
      </c>
      <c r="K253" s="330">
        <v>0.5</v>
      </c>
      <c r="L253" s="330">
        <v>0.5</v>
      </c>
      <c r="M253" s="330">
        <v>0</v>
      </c>
      <c r="N253" s="330">
        <v>0.5</v>
      </c>
      <c r="O253" s="330">
        <v>0.5</v>
      </c>
      <c r="P253" s="330">
        <v>0.5</v>
      </c>
      <c r="Q253" s="330">
        <v>0.5</v>
      </c>
      <c r="R253" s="330">
        <v>0.5</v>
      </c>
      <c r="S253" s="330">
        <v>0.5</v>
      </c>
      <c r="T253" s="330">
        <v>0.5</v>
      </c>
      <c r="U253" s="330">
        <v>0.5</v>
      </c>
      <c r="V253" s="330">
        <v>0.5</v>
      </c>
      <c r="W253" s="330">
        <v>0</v>
      </c>
      <c r="X253" s="330">
        <v>0.5</v>
      </c>
      <c r="Y253" s="330">
        <v>0.5</v>
      </c>
      <c r="Z253" s="330">
        <v>0.5</v>
      </c>
      <c r="AA253" s="330">
        <v>0.5</v>
      </c>
      <c r="AB253" s="330">
        <v>0.5</v>
      </c>
      <c r="AC253" s="330">
        <v>0.5</v>
      </c>
      <c r="AD253" s="330">
        <v>0.5</v>
      </c>
      <c r="AE253" s="330">
        <v>0.5</v>
      </c>
      <c r="AF253" s="330">
        <v>0.5</v>
      </c>
      <c r="AG253" s="330">
        <v>0</v>
      </c>
      <c r="AJ253" s="230" t="s">
        <v>1410</v>
      </c>
    </row>
    <row r="254" spans="1:37" s="230" customFormat="1" ht="16" thickBot="1">
      <c r="A254" s="301" t="s">
        <v>1411</v>
      </c>
      <c r="B254" s="335" t="s">
        <v>704</v>
      </c>
      <c r="C254" s="336">
        <f>C253*(C244*C248+C245*C249)</f>
        <v>0</v>
      </c>
      <c r="D254" s="336">
        <f t="shared" ref="D254:AG254" si="171">D253*(D244*D248+D245*D249)</f>
        <v>6.1703242424152686E-6</v>
      </c>
      <c r="E254" s="336">
        <f t="shared" si="171"/>
        <v>1.2986976714877305E-5</v>
      </c>
      <c r="F254" s="336">
        <f t="shared" si="171"/>
        <v>2.7162967642181868E-5</v>
      </c>
      <c r="G254" s="336">
        <f t="shared" si="171"/>
        <v>5.640409721116989E-5</v>
      </c>
      <c r="H254" s="336">
        <f t="shared" si="171"/>
        <v>1.1612754898445536E-4</v>
      </c>
      <c r="I254" s="336">
        <f t="shared" si="171"/>
        <v>2.3713107270624683E-4</v>
      </c>
      <c r="J254" s="336">
        <f t="shared" si="171"/>
        <v>4.7904411970714391E-4</v>
      </c>
      <c r="K254" s="336">
        <f t="shared" si="171"/>
        <v>9.5417483076200575E-4</v>
      </c>
      <c r="L254" s="336">
        <f t="shared" si="171"/>
        <v>1.8656404483796377E-3</v>
      </c>
      <c r="M254" s="336">
        <f t="shared" si="171"/>
        <v>0</v>
      </c>
      <c r="N254" s="336">
        <f t="shared" si="171"/>
        <v>6.5811023905394481E-3</v>
      </c>
      <c r="O254" s="336">
        <f t="shared" si="171"/>
        <v>1.168940956810053E-2</v>
      </c>
      <c r="P254" s="336">
        <f t="shared" si="171"/>
        <v>1.9802467765776606E-2</v>
      </c>
      <c r="Q254" s="336">
        <f t="shared" si="171"/>
        <v>3.1778519154121825E-2</v>
      </c>
      <c r="R254" s="336">
        <f t="shared" si="171"/>
        <v>4.8099543888435535E-2</v>
      </c>
      <c r="S254" s="336">
        <f t="shared" si="171"/>
        <v>6.8632942296339636E-2</v>
      </c>
      <c r="T254" s="336">
        <f t="shared" si="171"/>
        <v>9.2512561283273412E-2</v>
      </c>
      <c r="U254" s="336">
        <f t="shared" si="171"/>
        <v>0.11837190576817636</v>
      </c>
      <c r="V254" s="336">
        <f t="shared" si="171"/>
        <v>0.14477573350124331</v>
      </c>
      <c r="W254" s="336">
        <f t="shared" si="171"/>
        <v>0</v>
      </c>
      <c r="X254" s="336">
        <f t="shared" si="171"/>
        <v>0.19523188341831474</v>
      </c>
      <c r="Y254" s="336">
        <f t="shared" si="171"/>
        <v>0.21858530457351152</v>
      </c>
      <c r="Z254" s="336">
        <f t="shared" si="171"/>
        <v>0.24105214738603528</v>
      </c>
      <c r="AA254" s="336">
        <f t="shared" si="171"/>
        <v>0.26346021661773983</v>
      </c>
      <c r="AB254" s="336">
        <f t="shared" si="171"/>
        <v>0.28708363215678784</v>
      </c>
      <c r="AC254" s="336">
        <f t="shared" si="171"/>
        <v>0.31367324020608084</v>
      </c>
      <c r="AD254" s="336">
        <f t="shared" si="171"/>
        <v>0.34539133478675377</v>
      </c>
      <c r="AE254" s="336">
        <f t="shared" si="171"/>
        <v>0.38451546841452172</v>
      </c>
      <c r="AF254" s="336">
        <f t="shared" si="171"/>
        <v>0.43281049759648227</v>
      </c>
      <c r="AG254" s="336">
        <f t="shared" si="171"/>
        <v>0</v>
      </c>
      <c r="AJ254" s="325"/>
    </row>
    <row r="255" spans="1:37" s="230" customFormat="1">
      <c r="A255" s="326"/>
      <c r="B255" s="324"/>
      <c r="AJ255" s="325"/>
    </row>
    <row r="256" spans="1:37" s="230" customFormat="1">
      <c r="A256" s="326" t="s">
        <v>1412</v>
      </c>
      <c r="B256" s="324" t="s">
        <v>704</v>
      </c>
      <c r="C256" s="230">
        <f>SUM(C225:C226)-SUM(C252,C254)</f>
        <v>3.1639900127881764</v>
      </c>
      <c r="D256" s="230">
        <f t="shared" ref="D256:AG256" si="172">SUM(D225:D226)-SUM(D252,D254)</f>
        <v>3.2911018344088387</v>
      </c>
      <c r="E256" s="230">
        <f t="shared" si="172"/>
        <v>3.4136367593510304</v>
      </c>
      <c r="F256" s="230">
        <f t="shared" si="172"/>
        <v>3.5307308052904145</v>
      </c>
      <c r="G256" s="230">
        <f t="shared" si="172"/>
        <v>3.6415365994827056</v>
      </c>
      <c r="H256" s="230">
        <f t="shared" si="172"/>
        <v>3.7452266573096029</v>
      </c>
      <c r="I256" s="230">
        <f t="shared" si="172"/>
        <v>3.8492828988234153</v>
      </c>
      <c r="J256" s="230">
        <f t="shared" si="172"/>
        <v>3.9535288511787612</v>
      </c>
      <c r="K256" s="230">
        <f t="shared" si="172"/>
        <v>4.0577317262255468</v>
      </c>
      <c r="L256" s="230">
        <f t="shared" si="172"/>
        <v>4.1615644756881487</v>
      </c>
      <c r="M256" s="230">
        <f t="shared" si="172"/>
        <v>4.2681133588423084</v>
      </c>
      <c r="N256" s="230">
        <f t="shared" si="172"/>
        <v>4.3597680263168836</v>
      </c>
      <c r="O256" s="230">
        <f t="shared" si="172"/>
        <v>4.4458805003211728</v>
      </c>
      <c r="P256" s="230">
        <f t="shared" si="172"/>
        <v>4.5214363828034827</v>
      </c>
      <c r="Q256" s="230">
        <f t="shared" si="172"/>
        <v>4.5850764306224114</v>
      </c>
      <c r="R256" s="230">
        <f t="shared" si="172"/>
        <v>4.6358584467563713</v>
      </c>
      <c r="S256" s="230">
        <f t="shared" si="172"/>
        <v>4.682043969084547</v>
      </c>
      <c r="T256" s="230">
        <f t="shared" si="172"/>
        <v>4.7244635691909647</v>
      </c>
      <c r="U256" s="230">
        <f t="shared" si="172"/>
        <v>4.7644478612250136</v>
      </c>
      <c r="V256" s="230">
        <f t="shared" si="172"/>
        <v>4.8033959269230264</v>
      </c>
      <c r="W256" s="230">
        <f t="shared" si="172"/>
        <v>5.0129953910216649</v>
      </c>
      <c r="X256" s="230">
        <f t="shared" si="172"/>
        <v>4.8820783402068662</v>
      </c>
      <c r="Y256" s="230">
        <f t="shared" si="172"/>
        <v>4.9224961695186389</v>
      </c>
      <c r="Z256" s="230">
        <f t="shared" si="172"/>
        <v>4.963222079603657</v>
      </c>
      <c r="AA256" s="230">
        <f t="shared" si="172"/>
        <v>5.0033931371531359</v>
      </c>
      <c r="AB256" s="230">
        <f t="shared" si="172"/>
        <v>5.0416998992014843</v>
      </c>
      <c r="AC256" s="230">
        <f t="shared" si="172"/>
        <v>5.0764069795332531</v>
      </c>
      <c r="AD256" s="230">
        <f t="shared" si="172"/>
        <v>5.1053182156346741</v>
      </c>
      <c r="AE256" s="230">
        <f t="shared" si="172"/>
        <v>5.1261220116952053</v>
      </c>
      <c r="AF256" s="230">
        <f t="shared" si="172"/>
        <v>5.1370193098110715</v>
      </c>
      <c r="AG256" s="230">
        <f t="shared" si="172"/>
        <v>5.6282521898455418</v>
      </c>
      <c r="AJ256" s="325"/>
    </row>
    <row r="257" spans="1:36" s="230" customFormat="1">
      <c r="A257" s="326"/>
      <c r="B257" s="324"/>
      <c r="AJ257" s="325"/>
    </row>
    <row r="258" spans="1:36" s="230" customFormat="1">
      <c r="A258" s="325" t="s">
        <v>1413</v>
      </c>
      <c r="B258" s="324" t="s">
        <v>704</v>
      </c>
      <c r="C258" s="327">
        <f t="shared" ref="C258:AG258" si="173">C178*C177*C128</f>
        <v>0</v>
      </c>
      <c r="D258" s="327">
        <f t="shared" si="173"/>
        <v>0</v>
      </c>
      <c r="E258" s="327">
        <f t="shared" si="173"/>
        <v>0</v>
      </c>
      <c r="F258" s="327">
        <f t="shared" si="173"/>
        <v>0</v>
      </c>
      <c r="G258" s="327">
        <f t="shared" si="173"/>
        <v>0</v>
      </c>
      <c r="H258" s="327">
        <f t="shared" si="173"/>
        <v>0</v>
      </c>
      <c r="I258" s="327">
        <f t="shared" si="173"/>
        <v>0</v>
      </c>
      <c r="J258" s="327">
        <f t="shared" si="173"/>
        <v>0</v>
      </c>
      <c r="K258" s="327">
        <f t="shared" si="173"/>
        <v>0</v>
      </c>
      <c r="L258" s="327">
        <f t="shared" si="173"/>
        <v>0</v>
      </c>
      <c r="M258" s="327">
        <f t="shared" si="173"/>
        <v>0</v>
      </c>
      <c r="N258" s="327">
        <f t="shared" si="173"/>
        <v>0</v>
      </c>
      <c r="O258" s="327">
        <f t="shared" si="173"/>
        <v>0</v>
      </c>
      <c r="P258" s="327">
        <f t="shared" si="173"/>
        <v>0</v>
      </c>
      <c r="Q258" s="327">
        <f t="shared" si="173"/>
        <v>0</v>
      </c>
      <c r="R258" s="327">
        <f t="shared" si="173"/>
        <v>0</v>
      </c>
      <c r="S258" s="327">
        <f t="shared" si="173"/>
        <v>0</v>
      </c>
      <c r="T258" s="327">
        <f t="shared" si="173"/>
        <v>0</v>
      </c>
      <c r="U258" s="327">
        <f t="shared" si="173"/>
        <v>0</v>
      </c>
      <c r="V258" s="327">
        <f t="shared" si="173"/>
        <v>0</v>
      </c>
      <c r="W258" s="327">
        <f t="shared" si="173"/>
        <v>0</v>
      </c>
      <c r="X258" s="327">
        <f t="shared" si="173"/>
        <v>0</v>
      </c>
      <c r="Y258" s="327">
        <f t="shared" si="173"/>
        <v>0</v>
      </c>
      <c r="Z258" s="327">
        <f t="shared" si="173"/>
        <v>0</v>
      </c>
      <c r="AA258" s="327">
        <f t="shared" si="173"/>
        <v>0</v>
      </c>
      <c r="AB258" s="327">
        <f t="shared" si="173"/>
        <v>0</v>
      </c>
      <c r="AC258" s="327">
        <f t="shared" si="173"/>
        <v>0</v>
      </c>
      <c r="AD258" s="327">
        <f t="shared" si="173"/>
        <v>0</v>
      </c>
      <c r="AE258" s="327">
        <f t="shared" si="173"/>
        <v>0</v>
      </c>
      <c r="AF258" s="327">
        <f t="shared" si="173"/>
        <v>0</v>
      </c>
      <c r="AG258" s="327">
        <f t="shared" si="173"/>
        <v>0</v>
      </c>
      <c r="AJ258" s="325"/>
    </row>
    <row r="259" spans="1:36" s="230" customFormat="1">
      <c r="A259" s="230" t="s">
        <v>1414</v>
      </c>
      <c r="B259" s="324" t="s">
        <v>704</v>
      </c>
      <c r="C259" s="327">
        <f t="shared" ref="C259:AG259" si="174">C179*C177*C128</f>
        <v>0</v>
      </c>
      <c r="D259" s="327">
        <f t="shared" si="174"/>
        <v>0</v>
      </c>
      <c r="E259" s="327">
        <f t="shared" si="174"/>
        <v>0</v>
      </c>
      <c r="F259" s="327">
        <f t="shared" si="174"/>
        <v>0</v>
      </c>
      <c r="G259" s="327">
        <f t="shared" si="174"/>
        <v>0</v>
      </c>
      <c r="H259" s="327">
        <f t="shared" si="174"/>
        <v>0</v>
      </c>
      <c r="I259" s="327">
        <f t="shared" si="174"/>
        <v>0</v>
      </c>
      <c r="J259" s="327">
        <f t="shared" si="174"/>
        <v>0</v>
      </c>
      <c r="K259" s="327">
        <f t="shared" si="174"/>
        <v>0</v>
      </c>
      <c r="L259" s="327">
        <f t="shared" si="174"/>
        <v>0</v>
      </c>
      <c r="M259" s="327">
        <f t="shared" si="174"/>
        <v>0</v>
      </c>
      <c r="N259" s="327">
        <f t="shared" si="174"/>
        <v>0</v>
      </c>
      <c r="O259" s="327">
        <f t="shared" si="174"/>
        <v>0</v>
      </c>
      <c r="P259" s="327">
        <f t="shared" si="174"/>
        <v>0</v>
      </c>
      <c r="Q259" s="327">
        <f t="shared" si="174"/>
        <v>0</v>
      </c>
      <c r="R259" s="327">
        <f t="shared" si="174"/>
        <v>0</v>
      </c>
      <c r="S259" s="327">
        <f t="shared" si="174"/>
        <v>0</v>
      </c>
      <c r="T259" s="327">
        <f t="shared" si="174"/>
        <v>0</v>
      </c>
      <c r="U259" s="327">
        <f t="shared" si="174"/>
        <v>0</v>
      </c>
      <c r="V259" s="327">
        <f t="shared" si="174"/>
        <v>0</v>
      </c>
      <c r="W259" s="327">
        <f t="shared" si="174"/>
        <v>0</v>
      </c>
      <c r="X259" s="327">
        <f t="shared" si="174"/>
        <v>0</v>
      </c>
      <c r="Y259" s="327">
        <f t="shared" si="174"/>
        <v>0</v>
      </c>
      <c r="Z259" s="327">
        <f t="shared" si="174"/>
        <v>0</v>
      </c>
      <c r="AA259" s="327">
        <f t="shared" si="174"/>
        <v>0</v>
      </c>
      <c r="AB259" s="327">
        <f t="shared" si="174"/>
        <v>0</v>
      </c>
      <c r="AC259" s="327">
        <f t="shared" si="174"/>
        <v>0</v>
      </c>
      <c r="AD259" s="327">
        <f t="shared" si="174"/>
        <v>0</v>
      </c>
      <c r="AE259" s="327">
        <f t="shared" si="174"/>
        <v>0</v>
      </c>
      <c r="AF259" s="327">
        <f t="shared" si="174"/>
        <v>0</v>
      </c>
      <c r="AG259" s="327">
        <f t="shared" si="174"/>
        <v>0</v>
      </c>
      <c r="AJ259" s="325"/>
    </row>
    <row r="260" spans="1:36" s="230" customFormat="1">
      <c r="B260" s="324"/>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c r="AA260" s="317"/>
      <c r="AB260" s="317"/>
      <c r="AC260" s="317"/>
      <c r="AD260" s="317"/>
      <c r="AE260" s="317"/>
      <c r="AF260" s="317"/>
      <c r="AG260" s="317"/>
      <c r="AJ260" s="325"/>
    </row>
    <row r="261" spans="1:36" s="230" customFormat="1">
      <c r="A261" s="351" t="s">
        <v>233</v>
      </c>
      <c r="B261" s="352" t="s">
        <v>704</v>
      </c>
      <c r="C261" s="304">
        <f>C239+C240</f>
        <v>4.9675667212869898</v>
      </c>
      <c r="D261" s="304">
        <f t="shared" ref="D261:AG261" si="175">D239+D240</f>
        <v>5.1187664269315523</v>
      </c>
      <c r="E261" s="304">
        <f t="shared" si="175"/>
        <v>5.2607330388771567</v>
      </c>
      <c r="F261" s="304">
        <f t="shared" si="175"/>
        <v>5.3924644393678012</v>
      </c>
      <c r="G261" s="304">
        <f t="shared" si="175"/>
        <v>5.5130144155711127</v>
      </c>
      <c r="H261" s="304">
        <f t="shared" si="175"/>
        <v>5.6215039930718502</v>
      </c>
      <c r="I261" s="304">
        <f t="shared" si="175"/>
        <v>5.7294665853322746</v>
      </c>
      <c r="J261" s="304">
        <f t="shared" si="175"/>
        <v>5.836787260421664</v>
      </c>
      <c r="K261" s="304">
        <f t="shared" si="175"/>
        <v>5.943349606194519</v>
      </c>
      <c r="L261" s="304">
        <f t="shared" si="175"/>
        <v>6.0490359234736584</v>
      </c>
      <c r="M261" s="304">
        <f t="shared" si="175"/>
        <v>6.1537274265573148</v>
      </c>
      <c r="N261" s="304">
        <f t="shared" si="175"/>
        <v>6.2483515579178093</v>
      </c>
      <c r="O261" s="304">
        <f t="shared" si="175"/>
        <v>6.3323666466639175</v>
      </c>
      <c r="P261" s="304">
        <f t="shared" si="175"/>
        <v>6.4052830023555956</v>
      </c>
      <c r="Q261" s="304">
        <f t="shared" si="175"/>
        <v>6.4666676183175262</v>
      </c>
      <c r="R261" s="304">
        <f t="shared" si="175"/>
        <v>6.5161484106872418</v>
      </c>
      <c r="S261" s="304">
        <f t="shared" si="175"/>
        <v>6.5652250312386062</v>
      </c>
      <c r="T261" s="304">
        <f t="shared" si="175"/>
        <v>6.6138817695079322</v>
      </c>
      <c r="U261" s="304">
        <f t="shared" si="175"/>
        <v>6.6621029243843619</v>
      </c>
      <c r="V261" s="304">
        <f t="shared" si="175"/>
        <v>6.7098728119122679</v>
      </c>
      <c r="W261" s="304">
        <f t="shared" si="175"/>
        <v>6.7571757731627828</v>
      </c>
      <c r="X261" s="304">
        <f t="shared" si="175"/>
        <v>6.8040711241849134</v>
      </c>
      <c r="Y261" s="304">
        <f t="shared" si="175"/>
        <v>6.8505449273275998</v>
      </c>
      <c r="Z261" s="304">
        <f t="shared" si="175"/>
        <v>6.896583265592751</v>
      </c>
      <c r="AA261" s="304">
        <f t="shared" si="175"/>
        <v>6.9421722490300324</v>
      </c>
      <c r="AB261" s="304">
        <f t="shared" si="175"/>
        <v>6.9872980211777591</v>
      </c>
      <c r="AC261" s="304">
        <f t="shared" si="175"/>
        <v>7.0320132472372485</v>
      </c>
      <c r="AD261" s="304">
        <f t="shared" si="175"/>
        <v>7.076305500064259</v>
      </c>
      <c r="AE261" s="304">
        <f t="shared" si="175"/>
        <v>7.120162381056641</v>
      </c>
      <c r="AF261" s="304">
        <f t="shared" si="175"/>
        <v>7.1635715254484271</v>
      </c>
      <c r="AG261" s="304">
        <f t="shared" si="175"/>
        <v>7.2065206076344772</v>
      </c>
      <c r="AI261" s="230" t="s">
        <v>1415</v>
      </c>
      <c r="AJ261" s="325"/>
    </row>
    <row r="262" spans="1:36" s="230" customFormat="1">
      <c r="A262" s="355" t="s">
        <v>234</v>
      </c>
      <c r="B262" s="356" t="s">
        <v>704</v>
      </c>
      <c r="C262" s="357">
        <f>C261</f>
        <v>4.9675667212869898</v>
      </c>
      <c r="D262" s="357">
        <f t="shared" ref="D262:AG262" si="176">D261</f>
        <v>5.1187664269315523</v>
      </c>
      <c r="E262" s="357">
        <f t="shared" si="176"/>
        <v>5.2607330388771567</v>
      </c>
      <c r="F262" s="357">
        <f t="shared" si="176"/>
        <v>5.3924644393678012</v>
      </c>
      <c r="G262" s="357">
        <f t="shared" si="176"/>
        <v>5.5130144155711127</v>
      </c>
      <c r="H262" s="357">
        <f t="shared" si="176"/>
        <v>5.6215039930718502</v>
      </c>
      <c r="I262" s="357">
        <f t="shared" si="176"/>
        <v>5.7294665853322746</v>
      </c>
      <c r="J262" s="357">
        <f t="shared" si="176"/>
        <v>5.836787260421664</v>
      </c>
      <c r="K262" s="357">
        <f t="shared" si="176"/>
        <v>5.943349606194519</v>
      </c>
      <c r="L262" s="357">
        <f t="shared" si="176"/>
        <v>6.0490359234736584</v>
      </c>
      <c r="M262" s="357">
        <f t="shared" si="176"/>
        <v>6.1537274265573148</v>
      </c>
      <c r="N262" s="357">
        <f t="shared" si="176"/>
        <v>6.2483515579178093</v>
      </c>
      <c r="O262" s="357">
        <f t="shared" si="176"/>
        <v>6.3323666466639175</v>
      </c>
      <c r="P262" s="357">
        <f t="shared" si="176"/>
        <v>6.4052830023555956</v>
      </c>
      <c r="Q262" s="357">
        <f t="shared" si="176"/>
        <v>6.4666676183175262</v>
      </c>
      <c r="R262" s="357">
        <f t="shared" si="176"/>
        <v>6.5161484106872418</v>
      </c>
      <c r="S262" s="357">
        <f t="shared" si="176"/>
        <v>6.5652250312386062</v>
      </c>
      <c r="T262" s="357">
        <f t="shared" si="176"/>
        <v>6.6138817695079322</v>
      </c>
      <c r="U262" s="357">
        <f t="shared" si="176"/>
        <v>6.6621029243843619</v>
      </c>
      <c r="V262" s="357">
        <f t="shared" si="176"/>
        <v>6.7098728119122679</v>
      </c>
      <c r="W262" s="357">
        <f t="shared" si="176"/>
        <v>6.7571757731627828</v>
      </c>
      <c r="X262" s="357">
        <f t="shared" si="176"/>
        <v>6.8040711241849134</v>
      </c>
      <c r="Y262" s="357">
        <f t="shared" si="176"/>
        <v>6.8505449273275998</v>
      </c>
      <c r="Z262" s="357">
        <f t="shared" si="176"/>
        <v>6.896583265592751</v>
      </c>
      <c r="AA262" s="357">
        <f t="shared" si="176"/>
        <v>6.9421722490300324</v>
      </c>
      <c r="AB262" s="357">
        <f t="shared" si="176"/>
        <v>6.9872980211777591</v>
      </c>
      <c r="AC262" s="357">
        <f t="shared" si="176"/>
        <v>7.0320132472372485</v>
      </c>
      <c r="AD262" s="357">
        <f t="shared" si="176"/>
        <v>7.076305500064259</v>
      </c>
      <c r="AE262" s="357">
        <f t="shared" si="176"/>
        <v>7.120162381056641</v>
      </c>
      <c r="AF262" s="357">
        <f t="shared" si="176"/>
        <v>7.1635715254484271</v>
      </c>
      <c r="AG262" s="357">
        <f t="shared" si="176"/>
        <v>7.2065206076344772</v>
      </c>
      <c r="AI262" s="230" t="s">
        <v>1416</v>
      </c>
      <c r="AJ262" s="325"/>
    </row>
    <row r="263" spans="1:36" s="230" customFormat="1">
      <c r="A263" s="433"/>
      <c r="B263" s="434"/>
      <c r="C263" s="433"/>
      <c r="D263" s="43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c r="AA263" s="433"/>
      <c r="AB263" s="433"/>
      <c r="AC263" s="433"/>
      <c r="AD263" s="433"/>
      <c r="AE263" s="433"/>
      <c r="AF263" s="433"/>
      <c r="AG263" s="433"/>
      <c r="AJ263" s="325"/>
    </row>
    <row r="264" spans="1:36">
      <c r="B264" s="1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30"/>
      <c r="AI264" s="23"/>
    </row>
    <row r="265" spans="1:36">
      <c r="B265" s="1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30"/>
      <c r="AI265" s="214"/>
    </row>
  </sheetData>
  <mergeCells count="5">
    <mergeCell ref="BD86:BE86"/>
    <mergeCell ref="BD91:BE91"/>
    <mergeCell ref="BD96:BE96"/>
    <mergeCell ref="BD104:BE104"/>
    <mergeCell ref="AI232:AI240"/>
  </mergeCells>
  <hyperlinks>
    <hyperlink ref="AJ90" r:id="rId1" xr:uid="{E6898401-9604-4F2C-BEE2-DBBE22AB5F8B}"/>
  </hyperlinks>
  <pageMargins left="0.7" right="0.7" top="0.75" bottom="0.75" header="0.3" footer="0.3"/>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E35C1-BD42-4AAF-A80B-283340664C69}">
  <sheetPr>
    <tabColor theme="4"/>
  </sheetPr>
  <dimension ref="A1:BL265"/>
  <sheetViews>
    <sheetView zoomScale="70" zoomScaleNormal="70" workbookViewId="0">
      <pane xSplit="2" ySplit="6" topLeftCell="C175" activePane="bottomRight" state="frozen"/>
      <selection pane="topRight" activeCell="C1" sqref="C1"/>
      <selection pane="bottomLeft" activeCell="A4" sqref="A4"/>
      <selection pane="bottomRight" activeCell="C192" sqref="C192"/>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1652</v>
      </c>
      <c r="B21" s="54" t="s">
        <v>462</v>
      </c>
      <c r="C21" s="159">
        <f>'Overall recycling rates'!I76</f>
        <v>1.0476241033911266E-3</v>
      </c>
      <c r="D21" s="159">
        <f>C21</f>
        <v>1.0476241033911266E-3</v>
      </c>
      <c r="E21" s="159">
        <f t="shared" ref="E21:T21" si="10">D21</f>
        <v>1.0476241033911266E-3</v>
      </c>
      <c r="F21" s="159">
        <f t="shared" si="10"/>
        <v>1.0476241033911266E-3</v>
      </c>
      <c r="G21" s="159">
        <f t="shared" si="10"/>
        <v>1.0476241033911266E-3</v>
      </c>
      <c r="H21" s="159">
        <f t="shared" si="10"/>
        <v>1.0476241033911266E-3</v>
      </c>
      <c r="I21" s="159">
        <f t="shared" si="10"/>
        <v>1.0476241033911266E-3</v>
      </c>
      <c r="J21" s="159">
        <f t="shared" si="10"/>
        <v>1.0476241033911266E-3</v>
      </c>
      <c r="K21" s="159">
        <f t="shared" si="10"/>
        <v>1.0476241033911266E-3</v>
      </c>
      <c r="L21" s="159">
        <f t="shared" si="10"/>
        <v>1.0476241033911266E-3</v>
      </c>
      <c r="M21" s="159">
        <f t="shared" si="10"/>
        <v>1.0476241033911266E-3</v>
      </c>
      <c r="N21" s="159">
        <f t="shared" si="10"/>
        <v>1.0476241033911266E-3</v>
      </c>
      <c r="O21" s="159">
        <f t="shared" si="10"/>
        <v>1.0476241033911266E-3</v>
      </c>
      <c r="P21" s="159">
        <f t="shared" si="10"/>
        <v>1.0476241033911266E-3</v>
      </c>
      <c r="Q21" s="159">
        <f t="shared" si="10"/>
        <v>1.0476241033911266E-3</v>
      </c>
      <c r="R21" s="159">
        <f t="shared" si="10"/>
        <v>1.0476241033911266E-3</v>
      </c>
      <c r="S21" s="159">
        <f t="shared" si="10"/>
        <v>1.0476241033911266E-3</v>
      </c>
      <c r="T21" s="159">
        <f t="shared" si="10"/>
        <v>1.0476241033911266E-3</v>
      </c>
      <c r="U21" s="159">
        <f t="shared" ref="T21:AG25" si="11">T21</f>
        <v>1.0476241033911266E-3</v>
      </c>
      <c r="V21" s="159">
        <f t="shared" si="11"/>
        <v>1.0476241033911266E-3</v>
      </c>
      <c r="W21" s="159">
        <f t="shared" si="11"/>
        <v>1.0476241033911266E-3</v>
      </c>
      <c r="X21" s="159">
        <f t="shared" si="11"/>
        <v>1.0476241033911266E-3</v>
      </c>
      <c r="Y21" s="159">
        <f t="shared" si="11"/>
        <v>1.0476241033911266E-3</v>
      </c>
      <c r="Z21" s="159">
        <f t="shared" si="11"/>
        <v>1.0476241033911266E-3</v>
      </c>
      <c r="AA21" s="159">
        <f t="shared" si="11"/>
        <v>1.0476241033911266E-3</v>
      </c>
      <c r="AB21" s="159">
        <f t="shared" si="11"/>
        <v>1.0476241033911266E-3</v>
      </c>
      <c r="AC21" s="159">
        <f t="shared" si="11"/>
        <v>1.0476241033911266E-3</v>
      </c>
      <c r="AD21" s="159">
        <f t="shared" si="11"/>
        <v>1.0476241033911266E-3</v>
      </c>
      <c r="AE21" s="159">
        <f t="shared" si="11"/>
        <v>1.0476241033911266E-3</v>
      </c>
      <c r="AF21" s="159">
        <f t="shared" si="11"/>
        <v>1.0476241033911266E-3</v>
      </c>
      <c r="AG21" s="159">
        <f>AF21</f>
        <v>1.0476241033911266E-3</v>
      </c>
      <c r="AI21" s="54" t="s">
        <v>1263</v>
      </c>
      <c r="AJ21" s="211"/>
      <c r="AM21" s="115"/>
      <c r="AN21" s="115"/>
      <c r="AO21" s="115"/>
      <c r="AP21" s="115"/>
      <c r="AQ21" s="115"/>
    </row>
    <row r="22" spans="1:64" outlineLevel="1">
      <c r="A22" t="s">
        <v>1653</v>
      </c>
      <c r="B22" s="54" t="s">
        <v>462</v>
      </c>
      <c r="C22" s="159">
        <f>'Overall recycling rates'!I78</f>
        <v>0.16227944004324302</v>
      </c>
      <c r="D22" s="159">
        <f t="shared" ref="D22:S25" si="12">C22</f>
        <v>0.16227944004324302</v>
      </c>
      <c r="E22" s="159">
        <f t="shared" si="12"/>
        <v>0.16227944004324302</v>
      </c>
      <c r="F22" s="159">
        <f t="shared" si="12"/>
        <v>0.16227944004324302</v>
      </c>
      <c r="G22" s="159">
        <f t="shared" si="12"/>
        <v>0.16227944004324302</v>
      </c>
      <c r="H22" s="159">
        <f t="shared" si="12"/>
        <v>0.16227944004324302</v>
      </c>
      <c r="I22" s="159">
        <f t="shared" si="12"/>
        <v>0.16227944004324302</v>
      </c>
      <c r="J22" s="159">
        <f t="shared" si="12"/>
        <v>0.16227944004324302</v>
      </c>
      <c r="K22" s="159">
        <f t="shared" si="12"/>
        <v>0.16227944004324302</v>
      </c>
      <c r="L22" s="159">
        <f t="shared" si="12"/>
        <v>0.16227944004324302</v>
      </c>
      <c r="M22" s="159">
        <f t="shared" si="12"/>
        <v>0.16227944004324302</v>
      </c>
      <c r="N22" s="159">
        <f t="shared" si="12"/>
        <v>0.16227944004324302</v>
      </c>
      <c r="O22" s="159">
        <f t="shared" si="12"/>
        <v>0.16227944004324302</v>
      </c>
      <c r="P22" s="159">
        <f t="shared" si="12"/>
        <v>0.16227944004324302</v>
      </c>
      <c r="Q22" s="159">
        <f t="shared" si="12"/>
        <v>0.16227944004324302</v>
      </c>
      <c r="R22" s="159">
        <f t="shared" si="12"/>
        <v>0.16227944004324302</v>
      </c>
      <c r="S22" s="159">
        <f t="shared" si="12"/>
        <v>0.16227944004324302</v>
      </c>
      <c r="T22" s="159">
        <f t="shared" si="11"/>
        <v>0.16227944004324302</v>
      </c>
      <c r="U22" s="159">
        <f t="shared" si="11"/>
        <v>0.16227944004324302</v>
      </c>
      <c r="V22" s="159">
        <f t="shared" si="11"/>
        <v>0.16227944004324302</v>
      </c>
      <c r="W22" s="159">
        <f t="shared" si="11"/>
        <v>0.16227944004324302</v>
      </c>
      <c r="X22" s="159">
        <f t="shared" si="11"/>
        <v>0.16227944004324302</v>
      </c>
      <c r="Y22" s="159">
        <f t="shared" si="11"/>
        <v>0.16227944004324302</v>
      </c>
      <c r="Z22" s="159">
        <f t="shared" si="11"/>
        <v>0.16227944004324302</v>
      </c>
      <c r="AA22" s="159">
        <f t="shared" si="11"/>
        <v>0.16227944004324302</v>
      </c>
      <c r="AB22" s="159">
        <f t="shared" si="11"/>
        <v>0.16227944004324302</v>
      </c>
      <c r="AC22" s="159">
        <f t="shared" si="11"/>
        <v>0.16227944004324302</v>
      </c>
      <c r="AD22" s="159">
        <f t="shared" si="11"/>
        <v>0.16227944004324302</v>
      </c>
      <c r="AE22" s="159">
        <f t="shared" si="11"/>
        <v>0.16227944004324302</v>
      </c>
      <c r="AF22" s="159">
        <f t="shared" si="11"/>
        <v>0.16227944004324302</v>
      </c>
      <c r="AG22" s="159">
        <f t="shared" si="11"/>
        <v>0.16227944004324302</v>
      </c>
      <c r="AI22" s="54" t="s">
        <v>1263</v>
      </c>
      <c r="AJ22" s="211"/>
      <c r="AM22" s="120"/>
      <c r="AN22" s="115"/>
      <c r="AO22" s="116"/>
      <c r="AP22" s="117"/>
      <c r="AQ22" s="116"/>
    </row>
    <row r="23" spans="1:64" outlineLevel="1">
      <c r="A23" t="s">
        <v>1654</v>
      </c>
      <c r="B23" s="54" t="s">
        <v>462</v>
      </c>
      <c r="C23" s="159">
        <f>'Overall recycling rates'!I77</f>
        <v>4.6533696757873619E-3</v>
      </c>
      <c r="D23" s="159">
        <f t="shared" si="12"/>
        <v>4.6533696757873619E-3</v>
      </c>
      <c r="E23" s="159">
        <f t="shared" si="12"/>
        <v>4.6533696757873619E-3</v>
      </c>
      <c r="F23" s="159">
        <f t="shared" si="12"/>
        <v>4.6533696757873619E-3</v>
      </c>
      <c r="G23" s="159">
        <f t="shared" si="12"/>
        <v>4.6533696757873619E-3</v>
      </c>
      <c r="H23" s="159">
        <f t="shared" si="12"/>
        <v>4.6533696757873619E-3</v>
      </c>
      <c r="I23" s="159">
        <f t="shared" si="12"/>
        <v>4.6533696757873619E-3</v>
      </c>
      <c r="J23" s="159">
        <f t="shared" si="12"/>
        <v>4.6533696757873619E-3</v>
      </c>
      <c r="K23" s="159">
        <f t="shared" si="12"/>
        <v>4.6533696757873619E-3</v>
      </c>
      <c r="L23" s="159">
        <f t="shared" si="12"/>
        <v>4.6533696757873619E-3</v>
      </c>
      <c r="M23" s="159">
        <f t="shared" si="12"/>
        <v>4.6533696757873619E-3</v>
      </c>
      <c r="N23" s="159">
        <f t="shared" si="12"/>
        <v>4.6533696757873619E-3</v>
      </c>
      <c r="O23" s="159">
        <f t="shared" si="12"/>
        <v>4.6533696757873619E-3</v>
      </c>
      <c r="P23" s="159">
        <f t="shared" si="12"/>
        <v>4.6533696757873619E-3</v>
      </c>
      <c r="Q23" s="159">
        <f t="shared" si="12"/>
        <v>4.6533696757873619E-3</v>
      </c>
      <c r="R23" s="159">
        <f t="shared" si="12"/>
        <v>4.6533696757873619E-3</v>
      </c>
      <c r="S23" s="159">
        <f t="shared" si="12"/>
        <v>4.6533696757873619E-3</v>
      </c>
      <c r="T23" s="159">
        <f t="shared" si="11"/>
        <v>4.6533696757873619E-3</v>
      </c>
      <c r="U23" s="159">
        <f t="shared" si="11"/>
        <v>4.6533696757873619E-3</v>
      </c>
      <c r="V23" s="159">
        <f t="shared" si="11"/>
        <v>4.6533696757873619E-3</v>
      </c>
      <c r="W23" s="159">
        <f t="shared" si="11"/>
        <v>4.6533696757873619E-3</v>
      </c>
      <c r="X23" s="159">
        <f t="shared" si="11"/>
        <v>4.6533696757873619E-3</v>
      </c>
      <c r="Y23" s="159">
        <f t="shared" si="11"/>
        <v>4.6533696757873619E-3</v>
      </c>
      <c r="Z23" s="159">
        <f t="shared" si="11"/>
        <v>4.6533696757873619E-3</v>
      </c>
      <c r="AA23" s="159">
        <f t="shared" si="11"/>
        <v>4.6533696757873619E-3</v>
      </c>
      <c r="AB23" s="159">
        <f t="shared" si="11"/>
        <v>4.6533696757873619E-3</v>
      </c>
      <c r="AC23" s="159">
        <f t="shared" si="11"/>
        <v>4.6533696757873619E-3</v>
      </c>
      <c r="AD23" s="159">
        <f t="shared" si="11"/>
        <v>4.6533696757873619E-3</v>
      </c>
      <c r="AE23" s="159">
        <f t="shared" si="11"/>
        <v>4.6533696757873619E-3</v>
      </c>
      <c r="AF23" s="159">
        <f t="shared" si="11"/>
        <v>4.6533696757873619E-3</v>
      </c>
      <c r="AG23" s="159">
        <f t="shared" si="11"/>
        <v>4.6533696757873619E-3</v>
      </c>
      <c r="AI23" s="54" t="s">
        <v>1263</v>
      </c>
      <c r="AJ23" s="211"/>
      <c r="AM23" s="120"/>
      <c r="AN23" s="115"/>
      <c r="AO23" s="116"/>
      <c r="AP23" s="117"/>
      <c r="AQ23" s="116"/>
    </row>
    <row r="24" spans="1:64" outlineLevel="1">
      <c r="A24" t="s">
        <v>1655</v>
      </c>
      <c r="B24" s="54" t="s">
        <v>462</v>
      </c>
      <c r="C24" s="159">
        <f>'Overall recycling rates'!I79</f>
        <v>3.9083279961407251E-3</v>
      </c>
      <c r="D24" s="159">
        <f t="shared" si="12"/>
        <v>3.9083279961407251E-3</v>
      </c>
      <c r="E24" s="159">
        <f t="shared" si="12"/>
        <v>3.9083279961407251E-3</v>
      </c>
      <c r="F24" s="159">
        <f t="shared" si="12"/>
        <v>3.9083279961407251E-3</v>
      </c>
      <c r="G24" s="159">
        <f t="shared" si="12"/>
        <v>3.9083279961407251E-3</v>
      </c>
      <c r="H24" s="159">
        <f t="shared" si="12"/>
        <v>3.9083279961407251E-3</v>
      </c>
      <c r="I24" s="159">
        <f t="shared" si="12"/>
        <v>3.9083279961407251E-3</v>
      </c>
      <c r="J24" s="159">
        <f t="shared" si="12"/>
        <v>3.9083279961407251E-3</v>
      </c>
      <c r="K24" s="159">
        <f t="shared" si="12"/>
        <v>3.9083279961407251E-3</v>
      </c>
      <c r="L24" s="159">
        <f t="shared" si="12"/>
        <v>3.9083279961407251E-3</v>
      </c>
      <c r="M24" s="159">
        <f t="shared" si="12"/>
        <v>3.9083279961407251E-3</v>
      </c>
      <c r="N24" s="159">
        <f t="shared" si="12"/>
        <v>3.9083279961407251E-3</v>
      </c>
      <c r="O24" s="159">
        <f t="shared" si="12"/>
        <v>3.9083279961407251E-3</v>
      </c>
      <c r="P24" s="159">
        <f t="shared" si="12"/>
        <v>3.9083279961407251E-3</v>
      </c>
      <c r="Q24" s="159">
        <f t="shared" si="12"/>
        <v>3.9083279961407251E-3</v>
      </c>
      <c r="R24" s="159">
        <f t="shared" si="12"/>
        <v>3.9083279961407251E-3</v>
      </c>
      <c r="S24" s="159">
        <f t="shared" si="12"/>
        <v>3.9083279961407251E-3</v>
      </c>
      <c r="T24" s="159">
        <f t="shared" si="11"/>
        <v>3.9083279961407251E-3</v>
      </c>
      <c r="U24" s="159">
        <f t="shared" si="11"/>
        <v>3.9083279961407251E-3</v>
      </c>
      <c r="V24" s="159">
        <f t="shared" si="11"/>
        <v>3.9083279961407251E-3</v>
      </c>
      <c r="W24" s="159">
        <f t="shared" si="11"/>
        <v>3.9083279961407251E-3</v>
      </c>
      <c r="X24" s="159">
        <f t="shared" si="11"/>
        <v>3.9083279961407251E-3</v>
      </c>
      <c r="Y24" s="159">
        <f t="shared" si="11"/>
        <v>3.9083279961407251E-3</v>
      </c>
      <c r="Z24" s="159">
        <f t="shared" si="11"/>
        <v>3.9083279961407251E-3</v>
      </c>
      <c r="AA24" s="159">
        <f t="shared" si="11"/>
        <v>3.9083279961407251E-3</v>
      </c>
      <c r="AB24" s="159">
        <f t="shared" si="11"/>
        <v>3.9083279961407251E-3</v>
      </c>
      <c r="AC24" s="159">
        <f t="shared" si="11"/>
        <v>3.9083279961407251E-3</v>
      </c>
      <c r="AD24" s="159">
        <f t="shared" si="11"/>
        <v>3.9083279961407251E-3</v>
      </c>
      <c r="AE24" s="159">
        <f t="shared" si="11"/>
        <v>3.9083279961407251E-3</v>
      </c>
      <c r="AF24" s="159">
        <f t="shared" si="11"/>
        <v>3.9083279961407251E-3</v>
      </c>
      <c r="AG24" s="159">
        <f t="shared" si="11"/>
        <v>3.9083279961407251E-3</v>
      </c>
      <c r="AI24" s="54" t="s">
        <v>1263</v>
      </c>
      <c r="AJ24" s="211"/>
      <c r="AM24" s="120"/>
      <c r="AN24" s="115"/>
      <c r="AO24" s="477"/>
      <c r="AP24" s="478"/>
      <c r="AQ24" s="477"/>
    </row>
    <row r="25" spans="1:64" outlineLevel="1">
      <c r="A25" t="s">
        <v>1656</v>
      </c>
      <c r="B25" s="54" t="s">
        <v>462</v>
      </c>
      <c r="C25" s="159">
        <f>'Overall recycling rates'!I80</f>
        <v>2.8150027488846749E-2</v>
      </c>
      <c r="D25" s="159">
        <f>C25</f>
        <v>2.8150027488846749E-2</v>
      </c>
      <c r="E25" s="159">
        <f t="shared" si="12"/>
        <v>2.8150027488846749E-2</v>
      </c>
      <c r="F25" s="159">
        <f t="shared" si="12"/>
        <v>2.8150027488846749E-2</v>
      </c>
      <c r="G25" s="159">
        <f t="shared" si="12"/>
        <v>2.8150027488846749E-2</v>
      </c>
      <c r="H25" s="159">
        <f t="shared" si="12"/>
        <v>2.8150027488846749E-2</v>
      </c>
      <c r="I25" s="159">
        <f t="shared" si="12"/>
        <v>2.8150027488846749E-2</v>
      </c>
      <c r="J25" s="159">
        <f t="shared" si="12"/>
        <v>2.8150027488846749E-2</v>
      </c>
      <c r="K25" s="159">
        <f t="shared" si="12"/>
        <v>2.8150027488846749E-2</v>
      </c>
      <c r="L25" s="159">
        <f t="shared" si="12"/>
        <v>2.8150027488846749E-2</v>
      </c>
      <c r="M25" s="159">
        <f t="shared" si="12"/>
        <v>2.8150027488846749E-2</v>
      </c>
      <c r="N25" s="159">
        <f t="shared" si="12"/>
        <v>2.8150027488846749E-2</v>
      </c>
      <c r="O25" s="159">
        <f t="shared" si="12"/>
        <v>2.8150027488846749E-2</v>
      </c>
      <c r="P25" s="159">
        <f t="shared" si="12"/>
        <v>2.8150027488846749E-2</v>
      </c>
      <c r="Q25" s="159">
        <f t="shared" si="12"/>
        <v>2.8150027488846749E-2</v>
      </c>
      <c r="R25" s="159">
        <f t="shared" si="12"/>
        <v>2.8150027488846749E-2</v>
      </c>
      <c r="S25" s="159">
        <f t="shared" si="12"/>
        <v>2.8150027488846749E-2</v>
      </c>
      <c r="T25" s="159">
        <f t="shared" si="11"/>
        <v>2.8150027488846749E-2</v>
      </c>
      <c r="U25" s="159">
        <f t="shared" si="11"/>
        <v>2.8150027488846749E-2</v>
      </c>
      <c r="V25" s="159">
        <f t="shared" si="11"/>
        <v>2.8150027488846749E-2</v>
      </c>
      <c r="W25" s="159">
        <f t="shared" si="11"/>
        <v>2.8150027488846749E-2</v>
      </c>
      <c r="X25" s="159">
        <f t="shared" si="11"/>
        <v>2.8150027488846749E-2</v>
      </c>
      <c r="Y25" s="159">
        <f t="shared" si="11"/>
        <v>2.8150027488846749E-2</v>
      </c>
      <c r="Z25" s="159">
        <f t="shared" si="11"/>
        <v>2.8150027488846749E-2</v>
      </c>
      <c r="AA25" s="159">
        <f t="shared" si="11"/>
        <v>2.8150027488846749E-2</v>
      </c>
      <c r="AB25" s="159">
        <f t="shared" si="11"/>
        <v>2.8150027488846749E-2</v>
      </c>
      <c r="AC25" s="159">
        <f t="shared" si="11"/>
        <v>2.8150027488846749E-2</v>
      </c>
      <c r="AD25" s="159">
        <f t="shared" si="11"/>
        <v>2.8150027488846749E-2</v>
      </c>
      <c r="AE25" s="159">
        <f t="shared" si="11"/>
        <v>2.8150027488846749E-2</v>
      </c>
      <c r="AF25" s="159">
        <f t="shared" si="11"/>
        <v>2.8150027488846749E-2</v>
      </c>
      <c r="AG25" s="159">
        <f t="shared" si="11"/>
        <v>2.8150027488846749E-2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1657</v>
      </c>
      <c r="B27" s="54" t="s">
        <v>1658</v>
      </c>
      <c r="C27" s="598">
        <f>C14*C21</f>
        <v>0.20115072098267078</v>
      </c>
      <c r="D27" s="598">
        <f t="shared" ref="D27:AG27" si="13">D14*D21</f>
        <v>0.20789359480002442</v>
      </c>
      <c r="E27" s="598">
        <f t="shared" si="13"/>
        <v>0.21430083430052396</v>
      </c>
      <c r="F27" s="598">
        <f t="shared" si="13"/>
        <v>0.2203284625401023</v>
      </c>
      <c r="G27" s="598">
        <f t="shared" si="13"/>
        <v>0.22593426240320497</v>
      </c>
      <c r="H27" s="598">
        <f t="shared" si="13"/>
        <v>0.23107826913398199</v>
      </c>
      <c r="I27" s="598">
        <f t="shared" si="13"/>
        <v>0.23623180778104069</v>
      </c>
      <c r="J27" s="598">
        <f t="shared" si="13"/>
        <v>0.24139021229274113</v>
      </c>
      <c r="K27" s="598">
        <f t="shared" si="13"/>
        <v>0.24654869815570568</v>
      </c>
      <c r="L27" s="598">
        <f t="shared" si="13"/>
        <v>0.25170236861694878</v>
      </c>
      <c r="M27" s="598">
        <f>M14*M21</f>
        <v>0.25684622132652934</v>
      </c>
      <c r="N27" s="598">
        <f t="shared" si="13"/>
        <v>0.26160032378892623</v>
      </c>
      <c r="O27" s="598">
        <f t="shared" si="13"/>
        <v>0.26593830889718367</v>
      </c>
      <c r="P27" s="598">
        <f t="shared" si="13"/>
        <v>0.269835671898008</v>
      </c>
      <c r="Q27" s="598">
        <f t="shared" si="13"/>
        <v>0.27326999814416847</v>
      </c>
      <c r="R27" s="598">
        <f t="shared" si="13"/>
        <v>0.27622117543545271</v>
      </c>
      <c r="S27" s="598">
        <f t="shared" si="13"/>
        <v>0.27917366236482666</v>
      </c>
      <c r="T27" s="598">
        <f t="shared" si="13"/>
        <v>0.28212680112551652</v>
      </c>
      <c r="U27" s="598">
        <f t="shared" si="13"/>
        <v>0.28507992601345894</v>
      </c>
      <c r="V27" s="598">
        <f t="shared" si="13"/>
        <v>0.28803236363731821</v>
      </c>
      <c r="W27" s="598">
        <f t="shared" si="13"/>
        <v>0.29098343313548009</v>
      </c>
      <c r="X27" s="598">
        <f t="shared" si="13"/>
        <v>0.29393568389294977</v>
      </c>
      <c r="Y27" s="598">
        <f t="shared" si="13"/>
        <v>0.296888523198584</v>
      </c>
      <c r="Z27" s="598">
        <f t="shared" si="13"/>
        <v>0.29984135164299386</v>
      </c>
      <c r="AA27" s="598">
        <f t="shared" si="13"/>
        <v>0.30279356328981216</v>
      </c>
      <c r="AB27" s="598">
        <f t="shared" si="13"/>
        <v>0.30574454585229227</v>
      </c>
      <c r="AC27" s="598">
        <f t="shared" si="13"/>
        <v>0.30869659933840649</v>
      </c>
      <c r="AD27" s="598">
        <f t="shared" si="13"/>
        <v>0.31164918686879095</v>
      </c>
      <c r="AE27" s="598">
        <f t="shared" si="13"/>
        <v>0.31460176583254862</v>
      </c>
      <c r="AF27" s="598">
        <f t="shared" si="13"/>
        <v>0.31755378802831352</v>
      </c>
      <c r="AG27" s="598">
        <f t="shared" si="13"/>
        <v>0.32050469980944618</v>
      </c>
      <c r="AI27" s="245"/>
      <c r="AM27" s="120"/>
      <c r="AN27" s="115"/>
      <c r="AO27" s="115"/>
      <c r="AP27" s="115"/>
      <c r="AQ27" s="115"/>
      <c r="BD27" s="205"/>
      <c r="BE27" s="205"/>
      <c r="BF27" s="205"/>
      <c r="BG27" s="205"/>
      <c r="BH27" s="205"/>
      <c r="BI27" s="205"/>
      <c r="BJ27" s="205"/>
      <c r="BK27" s="205"/>
      <c r="BL27" s="205"/>
    </row>
    <row r="28" spans="1:64" outlineLevel="1">
      <c r="A28" t="s">
        <v>1659</v>
      </c>
      <c r="B28" s="54" t="s">
        <v>1658</v>
      </c>
      <c r="C28" s="598">
        <f t="shared" ref="C28:AG31" si="14">C15*C22</f>
        <v>2.9411849599012854</v>
      </c>
      <c r="D28" s="598">
        <f t="shared" si="14"/>
        <v>3.0397778904223811</v>
      </c>
      <c r="E28" s="598">
        <f t="shared" si="14"/>
        <v>3.1334632441774799</v>
      </c>
      <c r="F28" s="598">
        <f t="shared" si="14"/>
        <v>3.2215979992284023</v>
      </c>
      <c r="G28" s="598">
        <f t="shared" si="14"/>
        <v>3.3035648654918082</v>
      </c>
      <c r="H28" s="598">
        <f t="shared" si="14"/>
        <v>3.378779486430183</v>
      </c>
      <c r="I28" s="598">
        <f t="shared" si="14"/>
        <v>3.4541334811111408</v>
      </c>
      <c r="J28" s="598">
        <f t="shared" si="14"/>
        <v>3.5295586234759417</v>
      </c>
      <c r="K28" s="598">
        <f t="shared" si="14"/>
        <v>3.6049849553423923</v>
      </c>
      <c r="L28" s="598">
        <f t="shared" si="14"/>
        <v>3.6803408773835642</v>
      </c>
      <c r="M28" s="598">
        <f t="shared" si="14"/>
        <v>3.7555532462553085</v>
      </c>
      <c r="N28" s="598">
        <f t="shared" si="14"/>
        <v>3.8250667662264144</v>
      </c>
      <c r="O28" s="598">
        <f t="shared" si="14"/>
        <v>3.8884959028178847</v>
      </c>
      <c r="P28" s="598">
        <f t="shared" si="14"/>
        <v>3.9454823525074576</v>
      </c>
      <c r="Q28" s="598">
        <f t="shared" si="14"/>
        <v>3.9956983728789273</v>
      </c>
      <c r="R28" s="598">
        <f t="shared" si="14"/>
        <v>4.0388498874284329</v>
      </c>
      <c r="S28" s="598">
        <f t="shared" si="14"/>
        <v>4.0820205512399124</v>
      </c>
      <c r="T28" s="598">
        <f t="shared" si="14"/>
        <v>4.1252007459964162</v>
      </c>
      <c r="U28" s="598">
        <f t="shared" si="14"/>
        <v>4.1683807379084241</v>
      </c>
      <c r="V28" s="598">
        <f t="shared" si="14"/>
        <v>4.2115506807846899</v>
      </c>
      <c r="W28" s="598">
        <f t="shared" si="14"/>
        <v>4.2547006192050691</v>
      </c>
      <c r="X28" s="598">
        <f t="shared" si="14"/>
        <v>4.2978678297589656</v>
      </c>
      <c r="Y28" s="598">
        <f t="shared" si="14"/>
        <v>4.3410436459445059</v>
      </c>
      <c r="Z28" s="598">
        <f t="shared" si="14"/>
        <v>4.3842193033194308</v>
      </c>
      <c r="AA28" s="598">
        <f t="shared" si="14"/>
        <v>4.4273859420053316</v>
      </c>
      <c r="AB28" s="598">
        <f t="shared" si="14"/>
        <v>4.4705346092698415</v>
      </c>
      <c r="AC28" s="598">
        <f t="shared" si="14"/>
        <v>4.5136989353620729</v>
      </c>
      <c r="AD28" s="598">
        <f t="shared" si="14"/>
        <v>4.5568710701410815</v>
      </c>
      <c r="AE28" s="598">
        <f t="shared" si="14"/>
        <v>4.6000430796606162</v>
      </c>
      <c r="AF28" s="598">
        <f t="shared" si="14"/>
        <v>4.6432069482317191</v>
      </c>
      <c r="AG28" s="598">
        <f t="shared" si="14"/>
        <v>4.6863545805457516</v>
      </c>
      <c r="AM28" s="206"/>
      <c r="BD28" s="205"/>
      <c r="BE28" s="205"/>
      <c r="BF28" s="205"/>
      <c r="BG28" s="205"/>
      <c r="BH28" s="205"/>
      <c r="BI28" s="205"/>
      <c r="BJ28" s="205"/>
      <c r="BK28" s="205"/>
      <c r="BL28" s="205"/>
    </row>
    <row r="29" spans="1:64" outlineLevel="1">
      <c r="A29" t="s">
        <v>1660</v>
      </c>
      <c r="B29" s="54" t="s">
        <v>1658</v>
      </c>
      <c r="C29" s="599">
        <f t="shared" si="14"/>
        <v>6.6351314561166497E-2</v>
      </c>
      <c r="D29" s="598">
        <f t="shared" si="14"/>
        <v>6.8575510127137307E-2</v>
      </c>
      <c r="E29" s="598">
        <f t="shared" si="14"/>
        <v>7.0688993794953747E-2</v>
      </c>
      <c r="F29" s="598">
        <f t="shared" si="14"/>
        <v>7.2677259387183404E-2</v>
      </c>
      <c r="G29" s="598">
        <f t="shared" si="14"/>
        <v>7.4526381221132559E-2</v>
      </c>
      <c r="H29" s="598">
        <f t="shared" si="14"/>
        <v>7.6223176574542931E-2</v>
      </c>
      <c r="I29" s="598">
        <f t="shared" si="14"/>
        <v>7.7923116113430183E-2</v>
      </c>
      <c r="J29" s="598">
        <f t="shared" si="14"/>
        <v>7.9624660700083991E-2</v>
      </c>
      <c r="K29" s="598">
        <f t="shared" si="14"/>
        <v>8.1326232121159733E-2</v>
      </c>
      <c r="L29" s="598">
        <f t="shared" si="14"/>
        <v>8.3026215140102E-2</v>
      </c>
      <c r="M29" s="598">
        <f t="shared" si="14"/>
        <v>8.4722959688281321E-2</v>
      </c>
      <c r="N29" s="598">
        <f t="shared" si="14"/>
        <v>8.6291141728084636E-2</v>
      </c>
      <c r="O29" s="598">
        <f t="shared" si="14"/>
        <v>8.7722063839989192E-2</v>
      </c>
      <c r="P29" s="598">
        <f t="shared" si="14"/>
        <v>8.9007642918023044E-2</v>
      </c>
      <c r="Q29" s="598">
        <f t="shared" si="14"/>
        <v>9.0140485295875108E-2</v>
      </c>
      <c r="R29" s="598">
        <f t="shared" si="14"/>
        <v>9.1113956789405787E-2</v>
      </c>
      <c r="S29" s="598">
        <f t="shared" si="14"/>
        <v>9.2087860278449188E-2</v>
      </c>
      <c r="T29" s="598">
        <f t="shared" si="14"/>
        <v>9.3061978779720639E-2</v>
      </c>
      <c r="U29" s="598">
        <f t="shared" si="14"/>
        <v>9.4036092704945645E-2</v>
      </c>
      <c r="V29" s="598">
        <f t="shared" si="14"/>
        <v>9.5009979930136296E-2</v>
      </c>
      <c r="W29" s="598">
        <f t="shared" si="14"/>
        <v>9.5983415867168187E-2</v>
      </c>
      <c r="X29" s="598">
        <f t="shared" si="14"/>
        <v>9.695724145285517E-2</v>
      </c>
      <c r="Y29" s="598">
        <f t="shared" si="14"/>
        <v>9.7931261176272391E-2</v>
      </c>
      <c r="Z29" s="598">
        <f t="shared" si="14"/>
        <v>9.8905277317020285E-2</v>
      </c>
      <c r="AA29" s="598">
        <f t="shared" si="14"/>
        <v>9.9879090001718809E-2</v>
      </c>
      <c r="AB29" s="598">
        <f t="shared" si="14"/>
        <v>0.10085249726226007</v>
      </c>
      <c r="AC29" s="598">
        <f t="shared" si="14"/>
        <v>0.10182625777627496</v>
      </c>
      <c r="AD29" s="598">
        <f t="shared" si="14"/>
        <v>0.10280019444943654</v>
      </c>
      <c r="AE29" s="598">
        <f t="shared" si="14"/>
        <v>0.1037741282968218</v>
      </c>
      <c r="AF29" s="598">
        <f t="shared" si="14"/>
        <v>0.10474787848944286</v>
      </c>
      <c r="AG29" s="598">
        <f t="shared" si="14"/>
        <v>0.10572126240214111</v>
      </c>
      <c r="BD29" s="205"/>
      <c r="BE29" s="205"/>
      <c r="BF29" s="205"/>
      <c r="BG29" s="205"/>
      <c r="BH29" s="205"/>
      <c r="BI29" s="205"/>
      <c r="BJ29" s="205"/>
      <c r="BK29" s="205"/>
      <c r="BL29" s="205"/>
    </row>
    <row r="30" spans="1:64" outlineLevel="1">
      <c r="A30" t="s">
        <v>1661</v>
      </c>
      <c r="B30" s="54" t="s">
        <v>1658</v>
      </c>
      <c r="C30" s="599">
        <f t="shared" si="14"/>
        <v>0.14284140955223965</v>
      </c>
      <c r="D30" s="598">
        <f t="shared" si="14"/>
        <v>0.14762966780852829</v>
      </c>
      <c r="E30" s="598">
        <f t="shared" si="14"/>
        <v>0.15217958499062473</v>
      </c>
      <c r="F30" s="598">
        <f t="shared" si="14"/>
        <v>0.15645993213425954</v>
      </c>
      <c r="G30" s="598">
        <f t="shared" si="14"/>
        <v>0.16044072996685751</v>
      </c>
      <c r="H30" s="598">
        <f t="shared" si="14"/>
        <v>0.16409359866442336</v>
      </c>
      <c r="I30" s="598">
        <f t="shared" si="14"/>
        <v>0.16775323617867927</v>
      </c>
      <c r="J30" s="598">
        <f t="shared" si="14"/>
        <v>0.17141632904701354</v>
      </c>
      <c r="K30" s="598">
        <f t="shared" si="14"/>
        <v>0.17507947968461252</v>
      </c>
      <c r="L30" s="598">
        <f t="shared" si="14"/>
        <v>0.17873921080292712</v>
      </c>
      <c r="M30" s="598">
        <f t="shared" si="14"/>
        <v>0.1823919701267622</v>
      </c>
      <c r="N30" s="598">
        <f t="shared" si="14"/>
        <v>0.18576795950212738</v>
      </c>
      <c r="O30" s="598">
        <f t="shared" si="14"/>
        <v>0.18884845508500678</v>
      </c>
      <c r="P30" s="598">
        <f t="shared" si="14"/>
        <v>0.19161605552837008</v>
      </c>
      <c r="Q30" s="598">
        <f t="shared" si="14"/>
        <v>0.1940548437140017</v>
      </c>
      <c r="R30" s="598">
        <f t="shared" si="14"/>
        <v>0.19615053754033365</v>
      </c>
      <c r="S30" s="598">
        <f t="shared" si="14"/>
        <v>0.1982471613685558</v>
      </c>
      <c r="T30" s="598">
        <f t="shared" si="14"/>
        <v>0.20034424807607323</v>
      </c>
      <c r="U30" s="598">
        <f t="shared" si="14"/>
        <v>0.20244132493225722</v>
      </c>
      <c r="V30" s="598">
        <f t="shared" si="14"/>
        <v>0.20453791374758371</v>
      </c>
      <c r="W30" s="598">
        <f t="shared" si="14"/>
        <v>0.2066335310277245</v>
      </c>
      <c r="X30" s="598">
        <f t="shared" si="14"/>
        <v>0.20872998714524924</v>
      </c>
      <c r="Y30" s="598">
        <f t="shared" si="14"/>
        <v>0.21082686120335611</v>
      </c>
      <c r="Z30" s="598">
        <f t="shared" si="14"/>
        <v>0.21292372754867625</v>
      </c>
      <c r="AA30" s="598">
        <f t="shared" si="14"/>
        <v>0.2150201558928948</v>
      </c>
      <c r="AB30" s="598">
        <f t="shared" si="14"/>
        <v>0.21711571143815708</v>
      </c>
      <c r="AC30" s="598">
        <f t="shared" si="14"/>
        <v>0.21921202746909235</v>
      </c>
      <c r="AD30" s="598">
        <f t="shared" si="14"/>
        <v>0.22130872273623389</v>
      </c>
      <c r="AE30" s="598">
        <f t="shared" si="14"/>
        <v>0.22340541192003144</v>
      </c>
      <c r="AF30" s="598">
        <f t="shared" si="14"/>
        <v>0.22550170573102349</v>
      </c>
      <c r="AG30" s="598">
        <f t="shared" si="14"/>
        <v>0.22759721101294395</v>
      </c>
      <c r="BD30" s="205"/>
      <c r="BE30" s="205"/>
      <c r="BF30" s="205"/>
      <c r="BG30" s="205"/>
      <c r="BH30" s="205"/>
      <c r="BI30" s="205"/>
      <c r="BJ30" s="205"/>
      <c r="BK30" s="205"/>
      <c r="BL30" s="205"/>
    </row>
    <row r="31" spans="1:64" outlineLevel="1">
      <c r="A31" s="181" t="s">
        <v>1662</v>
      </c>
      <c r="B31" s="176" t="s">
        <v>1658</v>
      </c>
      <c r="C31" s="598">
        <f t="shared" si="14"/>
        <v>2.9123825679515898</v>
      </c>
      <c r="D31" s="598">
        <f t="shared" si="14"/>
        <v>3.0100099991018356</v>
      </c>
      <c r="E31" s="598">
        <f t="shared" si="14"/>
        <v>3.1027779123302115</v>
      </c>
      <c r="F31" s="598">
        <f t="shared" si="14"/>
        <v>3.1900495826741282</v>
      </c>
      <c r="G31" s="598">
        <f t="shared" si="14"/>
        <v>3.2712137650393118</v>
      </c>
      <c r="H31" s="598">
        <f t="shared" si="14"/>
        <v>3.3456918253661807</v>
      </c>
      <c r="I31" s="598">
        <f t="shared" si="14"/>
        <v>3.4203078945785381</v>
      </c>
      <c r="J31" s="598">
        <f t="shared" si="14"/>
        <v>3.4949944147407672</v>
      </c>
      <c r="K31" s="598">
        <f t="shared" si="14"/>
        <v>3.5696821127561122</v>
      </c>
      <c r="L31" s="598">
        <f t="shared" si="14"/>
        <v>3.6443000904544598</v>
      </c>
      <c r="M31" s="598">
        <f t="shared" si="14"/>
        <v>3.718775920768703</v>
      </c>
      <c r="N31" s="598">
        <f t="shared" si="14"/>
        <v>3.7876087097843243</v>
      </c>
      <c r="O31" s="598">
        <f t="shared" si="14"/>
        <v>3.8504166984785884</v>
      </c>
      <c r="P31" s="598">
        <f t="shared" si="14"/>
        <v>3.9068450921185898</v>
      </c>
      <c r="Q31" s="598">
        <f t="shared" si="14"/>
        <v>3.9565693577991397</v>
      </c>
      <c r="R31" s="598">
        <f t="shared" si="14"/>
        <v>3.9992982988443542</v>
      </c>
      <c r="S31" s="598">
        <f t="shared" si="14"/>
        <v>4.0420462016269356</v>
      </c>
      <c r="T31" s="598">
        <f t="shared" si="14"/>
        <v>4.0848035420200457</v>
      </c>
      <c r="U31" s="598">
        <f t="shared" si="14"/>
        <v>4.1275606815550718</v>
      </c>
      <c r="V31" s="598">
        <f t="shared" si="14"/>
        <v>4.1703078704624046</v>
      </c>
      <c r="W31" s="598">
        <f t="shared" si="14"/>
        <v>4.2130352508131841</v>
      </c>
      <c r="X31" s="598">
        <f t="shared" si="14"/>
        <v>4.2557797341551922</v>
      </c>
      <c r="Y31" s="598">
        <f t="shared" si="14"/>
        <v>4.2985327388557435</v>
      </c>
      <c r="Z31" s="598">
        <f t="shared" si="14"/>
        <v>4.3412855863008772</v>
      </c>
      <c r="AA31" s="598">
        <f t="shared" si="14"/>
        <v>4.3840295033750696</v>
      </c>
      <c r="AB31" s="598">
        <f t="shared" si="14"/>
        <v>4.4267556250181377</v>
      </c>
      <c r="AC31" s="598">
        <f t="shared" si="14"/>
        <v>4.4694972521453922</v>
      </c>
      <c r="AD31" s="598">
        <f t="shared" si="14"/>
        <v>4.5122466114906343</v>
      </c>
      <c r="AE31" s="598">
        <f t="shared" si="14"/>
        <v>4.5549958468030418</v>
      </c>
      <c r="AF31" s="598">
        <f t="shared" si="14"/>
        <v>4.597737020889574</v>
      </c>
      <c r="AG31" s="598">
        <f t="shared" si="14"/>
        <v>4.6404621177172114</v>
      </c>
      <c r="AL31" s="108"/>
      <c r="AM31" s="207"/>
      <c r="AN31" s="207"/>
      <c r="AO31" s="207"/>
    </row>
    <row r="32" spans="1:64" s="1" customFormat="1" ht="16" thickBot="1">
      <c r="A32" s="200" t="s">
        <v>1663</v>
      </c>
      <c r="B32" s="219" t="s">
        <v>1658</v>
      </c>
      <c r="C32" s="216">
        <f>SUM(C27:C31)</f>
        <v>6.2639109729489517</v>
      </c>
      <c r="D32" s="216">
        <f t="shared" ref="D32:AG32" si="15">SUM(D27:D31)</f>
        <v>6.4738866622599067</v>
      </c>
      <c r="E32" s="216">
        <f t="shared" si="15"/>
        <v>6.673410569593794</v>
      </c>
      <c r="F32" s="216">
        <f t="shared" si="15"/>
        <v>6.8611132359640763</v>
      </c>
      <c r="G32" s="216">
        <f t="shared" si="15"/>
        <v>7.0356800041223151</v>
      </c>
      <c r="H32" s="216">
        <f t="shared" si="15"/>
        <v>7.1958663561693115</v>
      </c>
      <c r="I32" s="216">
        <f t="shared" si="15"/>
        <v>7.3563495357628295</v>
      </c>
      <c r="J32" s="216">
        <f t="shared" si="15"/>
        <v>7.5169842402565479</v>
      </c>
      <c r="K32" s="216">
        <f t="shared" si="15"/>
        <v>7.677621478059983</v>
      </c>
      <c r="L32" s="216">
        <f t="shared" si="15"/>
        <v>7.8381087623980026</v>
      </c>
      <c r="M32" s="216">
        <f t="shared" si="15"/>
        <v>7.9982903181655836</v>
      </c>
      <c r="N32" s="216">
        <f t="shared" si="15"/>
        <v>8.1463349010298778</v>
      </c>
      <c r="O32" s="216">
        <f t="shared" si="15"/>
        <v>8.2814214291186534</v>
      </c>
      <c r="P32" s="216">
        <f t="shared" si="15"/>
        <v>8.4027868149704492</v>
      </c>
      <c r="Q32" s="216">
        <f t="shared" si="15"/>
        <v>8.5097330578321113</v>
      </c>
      <c r="R32" s="216">
        <f t="shared" si="15"/>
        <v>8.6016338560379779</v>
      </c>
      <c r="S32" s="216">
        <f t="shared" si="15"/>
        <v>8.69357543687868</v>
      </c>
      <c r="T32" s="216">
        <f t="shared" si="15"/>
        <v>8.7855373159977717</v>
      </c>
      <c r="U32" s="216">
        <f t="shared" si="15"/>
        <v>8.8774987631141578</v>
      </c>
      <c r="V32" s="216">
        <f t="shared" si="15"/>
        <v>8.9694388085621313</v>
      </c>
      <c r="W32" s="216">
        <f t="shared" si="15"/>
        <v>9.0613362500486261</v>
      </c>
      <c r="X32" s="216">
        <f t="shared" si="15"/>
        <v>9.1532704764052113</v>
      </c>
      <c r="Y32" s="216">
        <f t="shared" si="15"/>
        <v>9.2452230303784617</v>
      </c>
      <c r="Z32" s="216">
        <f t="shared" si="15"/>
        <v>9.3371752461289983</v>
      </c>
      <c r="AA32" s="216">
        <f t="shared" si="15"/>
        <v>9.4291082545648273</v>
      </c>
      <c r="AB32" s="216">
        <f t="shared" si="15"/>
        <v>9.5210029888406886</v>
      </c>
      <c r="AC32" s="216">
        <f t="shared" si="15"/>
        <v>9.6129310720912393</v>
      </c>
      <c r="AD32" s="216">
        <f t="shared" si="15"/>
        <v>9.7048757856861769</v>
      </c>
      <c r="AE32" s="216">
        <f t="shared" si="15"/>
        <v>9.7968202325130598</v>
      </c>
      <c r="AF32" s="216">
        <f t="shared" si="15"/>
        <v>9.8887473413700739</v>
      </c>
      <c r="AG32" s="216">
        <f t="shared" si="15"/>
        <v>9.9806398714874938</v>
      </c>
      <c r="AJ32" s="162"/>
      <c r="AL32" s="221"/>
      <c r="AM32" s="124"/>
      <c r="AN32" s="124"/>
      <c r="AO32" s="124"/>
    </row>
    <row r="33" spans="1:64" ht="16" outlineLevel="1" thickTop="1">
      <c r="AL33" s="108"/>
      <c r="AM33" s="2"/>
      <c r="AN33" s="2"/>
      <c r="AO33" s="2"/>
    </row>
    <row r="34" spans="1:64" outlineLevel="1">
      <c r="A34" t="s">
        <v>1664</v>
      </c>
      <c r="B34" s="176" t="s">
        <v>1658</v>
      </c>
      <c r="C34" s="107">
        <f>C32</f>
        <v>6.2639109729489517</v>
      </c>
      <c r="D34" s="107">
        <f t="shared" ref="D34:AG34" si="16">D32</f>
        <v>6.4738866622599067</v>
      </c>
      <c r="E34" s="107">
        <f t="shared" si="16"/>
        <v>6.673410569593794</v>
      </c>
      <c r="F34" s="107">
        <f t="shared" si="16"/>
        <v>6.8611132359640763</v>
      </c>
      <c r="G34" s="107">
        <f t="shared" si="16"/>
        <v>7.0356800041223151</v>
      </c>
      <c r="H34" s="107">
        <f t="shared" si="16"/>
        <v>7.1958663561693115</v>
      </c>
      <c r="I34" s="107">
        <f t="shared" si="16"/>
        <v>7.3563495357628295</v>
      </c>
      <c r="J34" s="107">
        <f t="shared" si="16"/>
        <v>7.5169842402565479</v>
      </c>
      <c r="K34" s="107">
        <f t="shared" si="16"/>
        <v>7.677621478059983</v>
      </c>
      <c r="L34" s="107">
        <f t="shared" si="16"/>
        <v>7.8381087623980026</v>
      </c>
      <c r="M34" s="107">
        <f t="shared" si="16"/>
        <v>7.9982903181655836</v>
      </c>
      <c r="N34" s="107">
        <f t="shared" si="16"/>
        <v>8.1463349010298778</v>
      </c>
      <c r="O34" s="107">
        <f t="shared" si="16"/>
        <v>8.2814214291186534</v>
      </c>
      <c r="P34" s="107">
        <f t="shared" si="16"/>
        <v>8.4027868149704492</v>
      </c>
      <c r="Q34" s="107">
        <f t="shared" si="16"/>
        <v>8.5097330578321113</v>
      </c>
      <c r="R34" s="107">
        <f t="shared" si="16"/>
        <v>8.6016338560379779</v>
      </c>
      <c r="S34" s="107">
        <f t="shared" si="16"/>
        <v>8.69357543687868</v>
      </c>
      <c r="T34" s="107">
        <f t="shared" si="16"/>
        <v>8.7855373159977717</v>
      </c>
      <c r="U34" s="107">
        <f t="shared" si="16"/>
        <v>8.8774987631141578</v>
      </c>
      <c r="V34" s="107">
        <f t="shared" si="16"/>
        <v>8.9694388085621313</v>
      </c>
      <c r="W34" s="107">
        <f t="shared" si="16"/>
        <v>9.0613362500486261</v>
      </c>
      <c r="X34" s="107">
        <f t="shared" si="16"/>
        <v>9.1532704764052113</v>
      </c>
      <c r="Y34" s="107">
        <f t="shared" si="16"/>
        <v>9.2452230303784617</v>
      </c>
      <c r="Z34" s="107">
        <f t="shared" si="16"/>
        <v>9.3371752461289983</v>
      </c>
      <c r="AA34" s="107">
        <f t="shared" si="16"/>
        <v>9.4291082545648273</v>
      </c>
      <c r="AB34" s="107">
        <f t="shared" si="16"/>
        <v>9.5210029888406886</v>
      </c>
      <c r="AC34" s="107">
        <f t="shared" si="16"/>
        <v>9.6129310720912393</v>
      </c>
      <c r="AD34" s="107">
        <f t="shared" si="16"/>
        <v>9.7048757856861769</v>
      </c>
      <c r="AE34" s="107">
        <f t="shared" si="16"/>
        <v>9.7968202325130598</v>
      </c>
      <c r="AF34" s="107">
        <f t="shared" si="16"/>
        <v>9.8887473413700739</v>
      </c>
      <c r="AG34" s="107">
        <f t="shared" si="16"/>
        <v>9.9806398714874938</v>
      </c>
      <c r="AL34" s="108"/>
      <c r="AM34" s="2"/>
      <c r="AN34" s="2"/>
      <c r="AO34" s="2"/>
    </row>
    <row r="35" spans="1:64" outlineLevel="1">
      <c r="AL35" s="108"/>
      <c r="AM35" s="2"/>
      <c r="AN35" s="2"/>
      <c r="AO35" s="2"/>
    </row>
    <row r="36" spans="1:64" outlineLevel="1">
      <c r="A36" t="s">
        <v>1665</v>
      </c>
      <c r="B36" s="54" t="s">
        <v>462</v>
      </c>
      <c r="C36" s="205">
        <f>'Yearly Butadiene'!D25/'Yearly Butadiene'!D18</f>
        <v>1</v>
      </c>
      <c r="D36" s="205">
        <f>'Yearly Butadiene'!E25/'Yearly Butadiene'!E18</f>
        <v>1</v>
      </c>
      <c r="E36" s="205">
        <f>'Yearly Butadiene'!F25/'Yearly Butadiene'!F18</f>
        <v>1</v>
      </c>
      <c r="F36" s="205">
        <f>'Yearly Butadiene'!G25/'Yearly Butadiene'!G18</f>
        <v>1</v>
      </c>
      <c r="G36" s="205">
        <f>'Yearly Butadiene'!H25/'Yearly Butadiene'!H18</f>
        <v>1</v>
      </c>
      <c r="H36" s="205">
        <f>'Yearly Butadiene'!I25/'Yearly Butadiene'!I18</f>
        <v>1</v>
      </c>
      <c r="I36" s="205">
        <f>'Yearly Butadiene'!J25/'Yearly Butadiene'!J18</f>
        <v>1</v>
      </c>
      <c r="J36" s="205">
        <f>'Yearly Butadiene'!K25/'Yearly Butadiene'!K18</f>
        <v>1</v>
      </c>
      <c r="K36" s="205">
        <f>'Yearly Butadiene'!L25/'Yearly Butadiene'!L18</f>
        <v>1</v>
      </c>
      <c r="L36" s="205">
        <f>'Yearly Butadiene'!M25/'Yearly Butadiene'!M18</f>
        <v>1</v>
      </c>
      <c r="M36" s="205">
        <f>'Yearly Butadiene'!N25/'Yearly Butadiene'!N18</f>
        <v>1</v>
      </c>
      <c r="N36" s="205">
        <f>'Yearly Butadiene'!O25/'Yearly Butadiene'!O18</f>
        <v>1</v>
      </c>
      <c r="O36" s="205">
        <f>'Yearly Butadiene'!P25/'Yearly Butadiene'!P18</f>
        <v>1</v>
      </c>
      <c r="P36" s="205">
        <f>'Yearly Butadiene'!Q25/'Yearly Butadiene'!Q18</f>
        <v>1</v>
      </c>
      <c r="Q36" s="205">
        <f>'Yearly Butadiene'!R25/'Yearly Butadiene'!R18</f>
        <v>1</v>
      </c>
      <c r="R36" s="205">
        <f>'Yearly Butadiene'!S25/'Yearly Butadiene'!S18</f>
        <v>1</v>
      </c>
      <c r="S36" s="205">
        <f>'Yearly Butadiene'!T25/'Yearly Butadiene'!T18</f>
        <v>1</v>
      </c>
      <c r="T36" s="205">
        <f>'Yearly Butadiene'!U25/'Yearly Butadiene'!U18</f>
        <v>1</v>
      </c>
      <c r="U36" s="205">
        <f>'Yearly Butadiene'!V25/'Yearly Butadiene'!V18</f>
        <v>1</v>
      </c>
      <c r="V36" s="205">
        <f>'Yearly Butadiene'!W25/'Yearly Butadiene'!W18</f>
        <v>1</v>
      </c>
      <c r="W36" s="205">
        <f>'Yearly Butadiene'!X25/'Yearly Butadiene'!X18</f>
        <v>1</v>
      </c>
      <c r="X36" s="205">
        <f>'Yearly Butadiene'!Y25/'Yearly Butadiene'!Y18</f>
        <v>1</v>
      </c>
      <c r="Y36" s="205">
        <f>'Yearly Butadiene'!Z25/'Yearly Butadiene'!Z18</f>
        <v>1</v>
      </c>
      <c r="Z36" s="205">
        <f>'Yearly Butadiene'!AA25/'Yearly Butadiene'!AA18</f>
        <v>1</v>
      </c>
      <c r="AA36" s="205">
        <f>'Yearly Butadiene'!AB25/'Yearly Butadiene'!AB18</f>
        <v>1</v>
      </c>
      <c r="AB36" s="205">
        <f>'Yearly Butadiene'!AC25/'Yearly Butadiene'!AC18</f>
        <v>1</v>
      </c>
      <c r="AC36" s="205">
        <f>'Yearly Butadiene'!AD25/'Yearly Butadiene'!AD18</f>
        <v>1</v>
      </c>
      <c r="AD36" s="205">
        <f>'Yearly Butadiene'!AE25/'Yearly Butadiene'!AE18</f>
        <v>1</v>
      </c>
      <c r="AE36" s="205">
        <f>'Yearly Butadiene'!AF25/'Yearly Butadiene'!AF18</f>
        <v>1</v>
      </c>
      <c r="AF36" s="205">
        <f>'Yearly Butadiene'!AG25/'Yearly Butadiene'!AG18</f>
        <v>1</v>
      </c>
      <c r="AG36" s="205">
        <f>'Yearly Butadiene'!AH25/'Yearly Butadiene'!AH18</f>
        <v>1</v>
      </c>
      <c r="AL36" s="108"/>
      <c r="AM36" s="207"/>
      <c r="AN36" s="207"/>
      <c r="AO36" s="207"/>
      <c r="BC36" s="1"/>
      <c r="BD36" s="578"/>
      <c r="BE36" s="578"/>
      <c r="BF36" s="578"/>
      <c r="BG36" s="578"/>
      <c r="BH36" s="578"/>
      <c r="BI36" s="578"/>
      <c r="BJ36" s="578"/>
      <c r="BK36" s="578"/>
    </row>
    <row r="37" spans="1:64" outlineLevel="1">
      <c r="A37" t="s">
        <v>1666</v>
      </c>
      <c r="B37" s="54" t="s">
        <v>462</v>
      </c>
      <c r="C37" s="205">
        <f>'Yearly Butadiene'!D17/'Yearly Butadiene'!D10</f>
        <v>1</v>
      </c>
      <c r="D37" s="205">
        <f>'Yearly Butadiene'!E17/'Yearly Butadiene'!E10</f>
        <v>1</v>
      </c>
      <c r="E37" s="205">
        <f>'Yearly Butadiene'!F17/'Yearly Butadiene'!F10</f>
        <v>1</v>
      </c>
      <c r="F37" s="205">
        <f>'Yearly Butadiene'!G17/'Yearly Butadiene'!G10</f>
        <v>1</v>
      </c>
      <c r="G37" s="205">
        <f>'Yearly Butadiene'!H17/'Yearly Butadiene'!H10</f>
        <v>1</v>
      </c>
      <c r="H37" s="205">
        <f>'Yearly Butadiene'!I17/'Yearly Butadiene'!I10</f>
        <v>1</v>
      </c>
      <c r="I37" s="205">
        <f>'Yearly Butadiene'!J17/'Yearly Butadiene'!J10</f>
        <v>1</v>
      </c>
      <c r="J37" s="205">
        <f>'Yearly Butadiene'!K17/'Yearly Butadiene'!K10</f>
        <v>1</v>
      </c>
      <c r="K37" s="205">
        <f>'Yearly Butadiene'!L17/'Yearly Butadiene'!L10</f>
        <v>1</v>
      </c>
      <c r="L37" s="205">
        <f>'Yearly Butadiene'!M17/'Yearly Butadiene'!M10</f>
        <v>1</v>
      </c>
      <c r="M37" s="205">
        <f>'Yearly Butadiene'!N17/'Yearly Butadiene'!N10</f>
        <v>1</v>
      </c>
      <c r="N37" s="205">
        <f>'Yearly Butadiene'!O17/'Yearly Butadiene'!O10</f>
        <v>1</v>
      </c>
      <c r="O37" s="205">
        <f>'Yearly Butadiene'!P17/'Yearly Butadiene'!P10</f>
        <v>1</v>
      </c>
      <c r="P37" s="205">
        <f>'Yearly Butadiene'!Q17/'Yearly Butadiene'!Q10</f>
        <v>1</v>
      </c>
      <c r="Q37" s="205">
        <f>'Yearly Butadiene'!R17/'Yearly Butadiene'!R10</f>
        <v>1</v>
      </c>
      <c r="R37" s="205">
        <f>'Yearly Butadiene'!S17/'Yearly Butadiene'!S10</f>
        <v>1</v>
      </c>
      <c r="S37" s="205">
        <f>'Yearly Butadiene'!T17/'Yearly Butadiene'!T10</f>
        <v>1</v>
      </c>
      <c r="T37" s="205">
        <f>'Yearly Butadiene'!U17/'Yearly Butadiene'!U10</f>
        <v>1</v>
      </c>
      <c r="U37" s="205">
        <f>'Yearly Butadiene'!V17/'Yearly Butadiene'!V10</f>
        <v>1</v>
      </c>
      <c r="V37" s="205">
        <f>'Yearly Butadiene'!W17/'Yearly Butadiene'!W10</f>
        <v>1</v>
      </c>
      <c r="W37" s="205">
        <f>'Yearly Butadiene'!X17/'Yearly Butadiene'!X10</f>
        <v>1</v>
      </c>
      <c r="X37" s="205">
        <f>'Yearly Butadiene'!Y17/'Yearly Butadiene'!Y10</f>
        <v>1</v>
      </c>
      <c r="Y37" s="205">
        <f>'Yearly Butadiene'!Z17/'Yearly Butadiene'!Z10</f>
        <v>1</v>
      </c>
      <c r="Z37" s="205">
        <f>'Yearly Butadiene'!AA17/'Yearly Butadiene'!AA10</f>
        <v>1</v>
      </c>
      <c r="AA37" s="205">
        <f>'Yearly Butadiene'!AB17/'Yearly Butadiene'!AB10</f>
        <v>1</v>
      </c>
      <c r="AB37" s="205">
        <f>'Yearly Butadiene'!AC17/'Yearly Butadiene'!AC10</f>
        <v>1</v>
      </c>
      <c r="AC37" s="205">
        <f>'Yearly Butadiene'!AD17/'Yearly Butadiene'!AD10</f>
        <v>1</v>
      </c>
      <c r="AD37" s="205">
        <f>'Yearly Butadiene'!AE17/'Yearly Butadiene'!AE10</f>
        <v>1</v>
      </c>
      <c r="AE37" s="205">
        <f>'Yearly Butadiene'!AF17/'Yearly Butadiene'!AF10</f>
        <v>1</v>
      </c>
      <c r="AF37" s="205">
        <f>'Yearly Butadiene'!AG17/'Yearly Butadiene'!AG10</f>
        <v>1</v>
      </c>
      <c r="AG37" s="205">
        <f>'Yearly Butadiene'!AH17/'Yearly Butadiene'!AH10</f>
        <v>1</v>
      </c>
      <c r="AL37" s="108"/>
      <c r="AM37" s="207"/>
      <c r="AN37" s="207"/>
      <c r="AO37" s="207"/>
      <c r="BL37" s="1"/>
    </row>
    <row r="38" spans="1:64" outlineLevel="1">
      <c r="A38" t="s">
        <v>1667</v>
      </c>
      <c r="B38" s="54" t="s">
        <v>462</v>
      </c>
      <c r="C38" s="205">
        <f>'Yearly Butadiene'!D29/'Yearly Butadiene'!D26</f>
        <v>1</v>
      </c>
      <c r="D38" s="205">
        <f>'Yearly Butadiene'!E29/'Yearly Butadiene'!E26</f>
        <v>1</v>
      </c>
      <c r="E38" s="205">
        <f>'Yearly Butadiene'!F29/'Yearly Butadiene'!F26</f>
        <v>1</v>
      </c>
      <c r="F38" s="205">
        <f>'Yearly Butadiene'!G29/'Yearly Butadiene'!G26</f>
        <v>1</v>
      </c>
      <c r="G38" s="205">
        <f>'Yearly Butadiene'!H29/'Yearly Butadiene'!H26</f>
        <v>1</v>
      </c>
      <c r="H38" s="205">
        <f>'Yearly Butadiene'!I29/'Yearly Butadiene'!I26</f>
        <v>1</v>
      </c>
      <c r="I38" s="205">
        <f>'Yearly Butadiene'!J29/'Yearly Butadiene'!J26</f>
        <v>1</v>
      </c>
      <c r="J38" s="205">
        <f>'Yearly Butadiene'!K29/'Yearly Butadiene'!K26</f>
        <v>1</v>
      </c>
      <c r="K38" s="205">
        <f>'Yearly Butadiene'!L29/'Yearly Butadiene'!L26</f>
        <v>1</v>
      </c>
      <c r="L38" s="205">
        <f>'Yearly Butadiene'!M29/'Yearly Butadiene'!M26</f>
        <v>1</v>
      </c>
      <c r="M38" s="205">
        <f>'Yearly Butadiene'!N29/'Yearly Butadiene'!N26</f>
        <v>1</v>
      </c>
      <c r="N38" s="205">
        <f>'Yearly Butadiene'!O29/'Yearly Butadiene'!O26</f>
        <v>1</v>
      </c>
      <c r="O38" s="205">
        <f>'Yearly Butadiene'!P29/'Yearly Butadiene'!P26</f>
        <v>1</v>
      </c>
      <c r="P38" s="205">
        <f>'Yearly Butadiene'!Q29/'Yearly Butadiene'!Q26</f>
        <v>1</v>
      </c>
      <c r="Q38" s="205">
        <f>'Yearly Butadiene'!R29/'Yearly Butadiene'!R26</f>
        <v>1</v>
      </c>
      <c r="R38" s="205">
        <f>'Yearly Butadiene'!S29/'Yearly Butadiene'!S26</f>
        <v>1</v>
      </c>
      <c r="S38" s="205">
        <f>'Yearly Butadiene'!T29/'Yearly Butadiene'!T26</f>
        <v>1</v>
      </c>
      <c r="T38" s="205">
        <f>'Yearly Butadiene'!U29/'Yearly Butadiene'!U26</f>
        <v>1</v>
      </c>
      <c r="U38" s="205">
        <f>'Yearly Butadiene'!V29/'Yearly Butadiene'!V26</f>
        <v>1</v>
      </c>
      <c r="V38" s="205">
        <f>'Yearly Butadiene'!W29/'Yearly Butadiene'!W26</f>
        <v>1</v>
      </c>
      <c r="W38" s="205">
        <f>'Yearly Butadiene'!X29/'Yearly Butadiene'!X26</f>
        <v>1</v>
      </c>
      <c r="X38" s="205">
        <f>'Yearly Butadiene'!Y29/'Yearly Butadiene'!Y26</f>
        <v>1</v>
      </c>
      <c r="Y38" s="205">
        <f>'Yearly Butadiene'!Z29/'Yearly Butadiene'!Z26</f>
        <v>1</v>
      </c>
      <c r="Z38" s="205">
        <f>'Yearly Butadiene'!AA29/'Yearly Butadiene'!AA26</f>
        <v>1</v>
      </c>
      <c r="AA38" s="205">
        <f>'Yearly Butadiene'!AB29/'Yearly Butadiene'!AB26</f>
        <v>1</v>
      </c>
      <c r="AB38" s="205">
        <f>'Yearly Butadiene'!AC29/'Yearly Butadiene'!AC26</f>
        <v>1</v>
      </c>
      <c r="AC38" s="205">
        <f>'Yearly Butadiene'!AD29/'Yearly Butadiene'!AD26</f>
        <v>1</v>
      </c>
      <c r="AD38" s="205">
        <f>'Yearly Butadiene'!AE29/'Yearly Butadiene'!AE26</f>
        <v>1</v>
      </c>
      <c r="AE38" s="205">
        <f>'Yearly Butadiene'!AF29/'Yearly Butadiene'!AF26</f>
        <v>1</v>
      </c>
      <c r="AF38" s="205">
        <f>'Yearly Butadiene'!AG29/'Yearly Butadiene'!AG26</f>
        <v>1</v>
      </c>
      <c r="AG38" s="205">
        <f>'Yearly Butadiene'!AH29/'Yearly Butadiene'!AH26</f>
        <v>1</v>
      </c>
      <c r="AL38" s="108"/>
      <c r="AM38" s="207"/>
      <c r="AN38" s="207"/>
      <c r="AO38" s="207"/>
      <c r="BD38" s="41"/>
      <c r="BE38" s="41"/>
      <c r="BF38" s="41"/>
      <c r="BG38" s="41"/>
      <c r="BH38" s="41"/>
      <c r="BI38" s="41"/>
      <c r="BJ38" s="41"/>
      <c r="BK38" s="41"/>
      <c r="BL38" s="118"/>
    </row>
    <row r="39" spans="1:64" outlineLevel="1">
      <c r="A39" t="s">
        <v>1668</v>
      </c>
      <c r="B39" s="54" t="s">
        <v>462</v>
      </c>
      <c r="C39" s="205">
        <f>'Yearly Butadiene'!D35/'Yearly Butadiene'!D30</f>
        <v>1</v>
      </c>
      <c r="D39" s="205">
        <f>'Yearly Butadiene'!E35/'Yearly Butadiene'!E30</f>
        <v>1</v>
      </c>
      <c r="E39" s="205">
        <f>'Yearly Butadiene'!F35/'Yearly Butadiene'!F30</f>
        <v>1</v>
      </c>
      <c r="F39" s="205">
        <f>'Yearly Butadiene'!G35/'Yearly Butadiene'!G30</f>
        <v>1</v>
      </c>
      <c r="G39" s="205">
        <f>'Yearly Butadiene'!H35/'Yearly Butadiene'!H30</f>
        <v>1</v>
      </c>
      <c r="H39" s="205">
        <f>'Yearly Butadiene'!I35/'Yearly Butadiene'!I30</f>
        <v>1</v>
      </c>
      <c r="I39" s="205">
        <f>'Yearly Butadiene'!J35/'Yearly Butadiene'!J30</f>
        <v>1</v>
      </c>
      <c r="J39" s="205">
        <f>'Yearly Butadiene'!K35/'Yearly Butadiene'!K30</f>
        <v>1</v>
      </c>
      <c r="K39" s="205">
        <f>'Yearly Butadiene'!L35/'Yearly Butadiene'!L30</f>
        <v>1</v>
      </c>
      <c r="L39" s="205">
        <f>'Yearly Butadiene'!M35/'Yearly Butadiene'!M30</f>
        <v>1</v>
      </c>
      <c r="M39" s="205">
        <f>'Yearly Butadiene'!N35/'Yearly Butadiene'!N30</f>
        <v>1</v>
      </c>
      <c r="N39" s="205">
        <f>'Yearly Butadiene'!O35/'Yearly Butadiene'!O30</f>
        <v>1</v>
      </c>
      <c r="O39" s="205">
        <f>'Yearly Butadiene'!P35/'Yearly Butadiene'!P30</f>
        <v>1</v>
      </c>
      <c r="P39" s="205">
        <f>'Yearly Butadiene'!Q35/'Yearly Butadiene'!Q30</f>
        <v>1</v>
      </c>
      <c r="Q39" s="205">
        <f>'Yearly Butadiene'!R35/'Yearly Butadiene'!R30</f>
        <v>1</v>
      </c>
      <c r="R39" s="205">
        <f>'Yearly Butadiene'!S35/'Yearly Butadiene'!S30</f>
        <v>1</v>
      </c>
      <c r="S39" s="205">
        <f>'Yearly Butadiene'!T35/'Yearly Butadiene'!T30</f>
        <v>1</v>
      </c>
      <c r="T39" s="205">
        <f>'Yearly Butadiene'!U35/'Yearly Butadiene'!U30</f>
        <v>1</v>
      </c>
      <c r="U39" s="205">
        <f>'Yearly Butadiene'!V35/'Yearly Butadiene'!V30</f>
        <v>1</v>
      </c>
      <c r="V39" s="205">
        <f>'Yearly Butadiene'!W35/'Yearly Butadiene'!W30</f>
        <v>1</v>
      </c>
      <c r="W39" s="205">
        <f>'Yearly Butadiene'!X35/'Yearly Butadiene'!X30</f>
        <v>1</v>
      </c>
      <c r="X39" s="205">
        <f>'Yearly Butadiene'!Y35/'Yearly Butadiene'!Y30</f>
        <v>1</v>
      </c>
      <c r="Y39" s="205">
        <f>'Yearly Butadiene'!Z35/'Yearly Butadiene'!Z30</f>
        <v>1</v>
      </c>
      <c r="Z39" s="205">
        <f>'Yearly Butadiene'!AA35/'Yearly Butadiene'!AA30</f>
        <v>1</v>
      </c>
      <c r="AA39" s="205">
        <f>'Yearly Butadiene'!AB35/'Yearly Butadiene'!AB30</f>
        <v>1</v>
      </c>
      <c r="AB39" s="205">
        <f>'Yearly Butadiene'!AC35/'Yearly Butadiene'!AC30</f>
        <v>1</v>
      </c>
      <c r="AC39" s="205">
        <f>'Yearly Butadiene'!AD35/'Yearly Butadiene'!AD30</f>
        <v>1</v>
      </c>
      <c r="AD39" s="205">
        <f>'Yearly Butadiene'!AE35/'Yearly Butadiene'!AE30</f>
        <v>1</v>
      </c>
      <c r="AE39" s="205">
        <f>'Yearly Butadiene'!AF35/'Yearly Butadiene'!AF30</f>
        <v>1</v>
      </c>
      <c r="AF39" s="205">
        <f>'Yearly Butadiene'!AG35/'Yearly Butadiene'!AG30</f>
        <v>1</v>
      </c>
      <c r="AG39" s="205">
        <f>'Yearly Butadiene'!AH35/'Yearly Butadiene'!AH30</f>
        <v>1</v>
      </c>
      <c r="AL39" s="108"/>
      <c r="AM39" s="207"/>
      <c r="AN39" s="207"/>
      <c r="AO39" s="207"/>
      <c r="BD39" s="41"/>
      <c r="BE39" s="41"/>
      <c r="BF39" s="41"/>
      <c r="BG39" s="41"/>
      <c r="BH39" s="41"/>
      <c r="BI39" s="41"/>
      <c r="BJ39" s="41"/>
      <c r="BK39" s="41"/>
      <c r="BL39" s="118"/>
    </row>
    <row r="40" spans="1:64" outlineLevel="1">
      <c r="A40" t="s">
        <v>1669</v>
      </c>
      <c r="B40" s="176" t="s">
        <v>462</v>
      </c>
      <c r="C40" s="159">
        <f>'Yearly Butadiene'!D39/'Yearly Butadiene'!D36</f>
        <v>1</v>
      </c>
      <c r="D40" s="159">
        <f>'Yearly Butadiene'!E39/'Yearly Butadiene'!E36</f>
        <v>1</v>
      </c>
      <c r="E40" s="159">
        <f>'Yearly Butadiene'!F39/'Yearly Butadiene'!F36</f>
        <v>1</v>
      </c>
      <c r="F40" s="159">
        <f>'Yearly Butadiene'!G39/'Yearly Butadiene'!G36</f>
        <v>1</v>
      </c>
      <c r="G40" s="159">
        <f>'Yearly Butadiene'!H39/'Yearly Butadiene'!H36</f>
        <v>1</v>
      </c>
      <c r="H40" s="159">
        <f>'Yearly Butadiene'!I39/'Yearly Butadiene'!I36</f>
        <v>1</v>
      </c>
      <c r="I40" s="159">
        <f>'Yearly Butadiene'!J39/'Yearly Butadiene'!J36</f>
        <v>1</v>
      </c>
      <c r="J40" s="159">
        <f>'Yearly Butadiene'!K39/'Yearly Butadiene'!K36</f>
        <v>1</v>
      </c>
      <c r="K40" s="159">
        <f>'Yearly Butadiene'!L39/'Yearly Butadiene'!L36</f>
        <v>1</v>
      </c>
      <c r="L40" s="159">
        <f>'Yearly Butadiene'!M39/'Yearly Butadiene'!M36</f>
        <v>1</v>
      </c>
      <c r="M40" s="159">
        <f>'Yearly Butadiene'!N39/'Yearly Butadiene'!N36</f>
        <v>1</v>
      </c>
      <c r="N40" s="159">
        <f>'Yearly Butadiene'!O39/'Yearly Butadiene'!O36</f>
        <v>1</v>
      </c>
      <c r="O40" s="159">
        <f>'Yearly Butadiene'!P39/'Yearly Butadiene'!P36</f>
        <v>1</v>
      </c>
      <c r="P40" s="159">
        <f>'Yearly Butadiene'!Q39/'Yearly Butadiene'!Q36</f>
        <v>1</v>
      </c>
      <c r="Q40" s="159">
        <f>'Yearly Butadiene'!R39/'Yearly Butadiene'!R36</f>
        <v>1</v>
      </c>
      <c r="R40" s="159">
        <f>'Yearly Butadiene'!S39/'Yearly Butadiene'!S36</f>
        <v>1</v>
      </c>
      <c r="S40" s="159">
        <f>'Yearly Butadiene'!T39/'Yearly Butadiene'!T36</f>
        <v>1</v>
      </c>
      <c r="T40" s="159">
        <f>'Yearly Butadiene'!U39/'Yearly Butadiene'!U36</f>
        <v>1</v>
      </c>
      <c r="U40" s="159">
        <f>'Yearly Butadiene'!V39/'Yearly Butadiene'!V36</f>
        <v>1</v>
      </c>
      <c r="V40" s="159">
        <f>'Yearly Butadiene'!W39/'Yearly Butadiene'!W36</f>
        <v>1</v>
      </c>
      <c r="W40" s="159">
        <f>'Yearly Butadiene'!X39/'Yearly Butadiene'!X36</f>
        <v>1</v>
      </c>
      <c r="X40" s="159">
        <f>'Yearly Butadiene'!Y39/'Yearly Butadiene'!Y36</f>
        <v>1</v>
      </c>
      <c r="Y40" s="159">
        <f>'Yearly Butadiene'!Z39/'Yearly Butadiene'!Z36</f>
        <v>1</v>
      </c>
      <c r="Z40" s="159">
        <f>'Yearly Butadiene'!AA39/'Yearly Butadiene'!AA36</f>
        <v>1</v>
      </c>
      <c r="AA40" s="159">
        <f>'Yearly Butadiene'!AB39/'Yearly Butadiene'!AB36</f>
        <v>1</v>
      </c>
      <c r="AB40" s="159">
        <f>'Yearly Butadiene'!AC39/'Yearly Butadiene'!AC36</f>
        <v>1</v>
      </c>
      <c r="AC40" s="159">
        <f>'Yearly Butadiene'!AD39/'Yearly Butadiene'!AD36</f>
        <v>1</v>
      </c>
      <c r="AD40" s="159">
        <f>'Yearly Butadiene'!AE39/'Yearly Butadiene'!AE36</f>
        <v>1</v>
      </c>
      <c r="AE40" s="159">
        <f>'Yearly Butadiene'!AF39/'Yearly Butadiene'!AF36</f>
        <v>1</v>
      </c>
      <c r="AF40" s="159">
        <f>'Yearly Butadiene'!AG39/'Yearly Butadiene'!AG36</f>
        <v>1</v>
      </c>
      <c r="AG40" s="159">
        <f>'Yearly Butadiene'!AH39/'Yearly Butadiene'!AH36</f>
        <v>1</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1670</v>
      </c>
      <c r="B42" s="54" t="s">
        <v>1658</v>
      </c>
      <c r="C42" s="107">
        <f>C27*C36</f>
        <v>0.20115072098267078</v>
      </c>
      <c r="D42" s="107">
        <f t="shared" ref="D42:AF42" si="17">D27*D36</f>
        <v>0.20789359480002442</v>
      </c>
      <c r="E42" s="107">
        <f t="shared" si="17"/>
        <v>0.21430083430052396</v>
      </c>
      <c r="F42" s="107">
        <f t="shared" si="17"/>
        <v>0.2203284625401023</v>
      </c>
      <c r="G42" s="107">
        <f t="shared" si="17"/>
        <v>0.22593426240320497</v>
      </c>
      <c r="H42" s="107">
        <f t="shared" si="17"/>
        <v>0.23107826913398199</v>
      </c>
      <c r="I42" s="107">
        <f t="shared" si="17"/>
        <v>0.23623180778104069</v>
      </c>
      <c r="J42" s="107">
        <f t="shared" si="17"/>
        <v>0.24139021229274113</v>
      </c>
      <c r="K42" s="107">
        <f t="shared" si="17"/>
        <v>0.24654869815570568</v>
      </c>
      <c r="L42" s="107">
        <f t="shared" si="17"/>
        <v>0.25170236861694878</v>
      </c>
      <c r="M42" s="107">
        <f t="shared" si="17"/>
        <v>0.25684622132652934</v>
      </c>
      <c r="N42" s="107">
        <f t="shared" si="17"/>
        <v>0.26160032378892623</v>
      </c>
      <c r="O42" s="107">
        <f t="shared" si="17"/>
        <v>0.26593830889718367</v>
      </c>
      <c r="P42" s="107">
        <f t="shared" si="17"/>
        <v>0.269835671898008</v>
      </c>
      <c r="Q42" s="107">
        <f t="shared" si="17"/>
        <v>0.27326999814416847</v>
      </c>
      <c r="R42" s="107">
        <f t="shared" si="17"/>
        <v>0.27622117543545271</v>
      </c>
      <c r="S42" s="107">
        <f t="shared" si="17"/>
        <v>0.27917366236482666</v>
      </c>
      <c r="T42" s="107">
        <f t="shared" si="17"/>
        <v>0.28212680112551652</v>
      </c>
      <c r="U42" s="107">
        <f t="shared" si="17"/>
        <v>0.28507992601345894</v>
      </c>
      <c r="V42" s="107">
        <f t="shared" si="17"/>
        <v>0.28803236363731821</v>
      </c>
      <c r="W42" s="107">
        <f t="shared" si="17"/>
        <v>0.29098343313548009</v>
      </c>
      <c r="X42" s="107">
        <f t="shared" si="17"/>
        <v>0.29393568389294977</v>
      </c>
      <c r="Y42" s="107">
        <f t="shared" si="17"/>
        <v>0.296888523198584</v>
      </c>
      <c r="Z42" s="107">
        <f t="shared" si="17"/>
        <v>0.29984135164299386</v>
      </c>
      <c r="AA42" s="107">
        <f t="shared" si="17"/>
        <v>0.30279356328981216</v>
      </c>
      <c r="AB42" s="107">
        <f t="shared" si="17"/>
        <v>0.30574454585229227</v>
      </c>
      <c r="AC42" s="107">
        <f t="shared" si="17"/>
        <v>0.30869659933840649</v>
      </c>
      <c r="AD42" s="107">
        <f t="shared" si="17"/>
        <v>0.31164918686879095</v>
      </c>
      <c r="AE42" s="107">
        <f t="shared" si="17"/>
        <v>0.31460176583254862</v>
      </c>
      <c r="AF42" s="107">
        <f t="shared" si="17"/>
        <v>0.31755378802831352</v>
      </c>
      <c r="AG42" s="107">
        <f>AG27*AG36</f>
        <v>0.32050469980944618</v>
      </c>
      <c r="AI42" s="210" t="s">
        <v>1301</v>
      </c>
      <c r="AJ42" s="211" t="s">
        <v>1302</v>
      </c>
      <c r="BD42" s="41"/>
      <c r="BE42" s="41"/>
      <c r="BF42" s="41"/>
      <c r="BG42" s="41"/>
      <c r="BH42" s="41"/>
      <c r="BI42" s="41"/>
      <c r="BJ42" s="41"/>
      <c r="BK42" s="41"/>
      <c r="BL42" s="118"/>
    </row>
    <row r="43" spans="1:64" outlineLevel="1">
      <c r="A43" t="s">
        <v>1671</v>
      </c>
      <c r="B43" s="54" t="s">
        <v>1658</v>
      </c>
      <c r="C43" s="107">
        <f>C28*$C$37</f>
        <v>2.9411849599012854</v>
      </c>
      <c r="D43" s="107">
        <f t="shared" ref="D43:O43" si="18">D28*$C$37</f>
        <v>3.0397778904223811</v>
      </c>
      <c r="E43" s="107">
        <f t="shared" si="18"/>
        <v>3.1334632441774799</v>
      </c>
      <c r="F43" s="107">
        <f t="shared" si="18"/>
        <v>3.2215979992284023</v>
      </c>
      <c r="G43" s="107">
        <f t="shared" si="18"/>
        <v>3.3035648654918082</v>
      </c>
      <c r="H43" s="107">
        <f t="shared" si="18"/>
        <v>3.378779486430183</v>
      </c>
      <c r="I43" s="107">
        <f t="shared" si="18"/>
        <v>3.4541334811111408</v>
      </c>
      <c r="J43" s="107">
        <f t="shared" si="18"/>
        <v>3.5295586234759417</v>
      </c>
      <c r="K43" s="107">
        <f t="shared" si="18"/>
        <v>3.6049849553423923</v>
      </c>
      <c r="L43" s="107">
        <f t="shared" si="18"/>
        <v>3.6803408773835642</v>
      </c>
      <c r="M43" s="107">
        <f t="shared" si="18"/>
        <v>3.7555532462553085</v>
      </c>
      <c r="N43" s="107">
        <f t="shared" si="18"/>
        <v>3.8250667662264144</v>
      </c>
      <c r="O43" s="107">
        <f t="shared" si="18"/>
        <v>3.8884959028178847</v>
      </c>
      <c r="P43" s="107">
        <f t="shared" ref="P43:AG43" si="19">D37*P28</f>
        <v>3.9454823525074576</v>
      </c>
      <c r="Q43" s="107">
        <f t="shared" si="19"/>
        <v>3.9956983728789273</v>
      </c>
      <c r="R43" s="107">
        <f t="shared" si="19"/>
        <v>4.0388498874284329</v>
      </c>
      <c r="S43" s="107">
        <f t="shared" si="19"/>
        <v>4.0820205512399124</v>
      </c>
      <c r="T43" s="107">
        <f t="shared" si="19"/>
        <v>4.1252007459964162</v>
      </c>
      <c r="U43" s="107">
        <f t="shared" si="19"/>
        <v>4.1683807379084241</v>
      </c>
      <c r="V43" s="107">
        <f t="shared" si="19"/>
        <v>4.2115506807846899</v>
      </c>
      <c r="W43" s="107">
        <f t="shared" si="19"/>
        <v>4.2547006192050691</v>
      </c>
      <c r="X43" s="107">
        <f t="shared" si="19"/>
        <v>4.2978678297589656</v>
      </c>
      <c r="Y43" s="107">
        <f t="shared" si="19"/>
        <v>4.3410436459445059</v>
      </c>
      <c r="Z43" s="107">
        <f t="shared" si="19"/>
        <v>4.3842193033194308</v>
      </c>
      <c r="AA43" s="107">
        <f t="shared" si="19"/>
        <v>4.4273859420053316</v>
      </c>
      <c r="AB43" s="107">
        <f t="shared" si="19"/>
        <v>4.4705346092698415</v>
      </c>
      <c r="AC43" s="107">
        <f t="shared" si="19"/>
        <v>4.5136989353620729</v>
      </c>
      <c r="AD43" s="107">
        <f t="shared" si="19"/>
        <v>4.5568710701410815</v>
      </c>
      <c r="AE43" s="107">
        <f t="shared" si="19"/>
        <v>4.6000430796606162</v>
      </c>
      <c r="AF43" s="107">
        <f t="shared" si="19"/>
        <v>4.6432069482317191</v>
      </c>
      <c r="AG43" s="107">
        <f t="shared" si="19"/>
        <v>4.6863545805457516</v>
      </c>
      <c r="AI43" s="210" t="s">
        <v>1304</v>
      </c>
      <c r="AJ43" s="211" t="s">
        <v>1302</v>
      </c>
      <c r="BD43" s="41"/>
      <c r="BE43" s="41"/>
      <c r="BF43" s="41"/>
      <c r="BG43" s="41"/>
      <c r="BH43" s="41"/>
      <c r="BI43" s="41"/>
      <c r="BJ43" s="41"/>
      <c r="BK43" s="41"/>
      <c r="BL43" s="118"/>
    </row>
    <row r="44" spans="1:64" outlineLevel="1">
      <c r="A44" t="s">
        <v>1672</v>
      </c>
      <c r="B44" s="54" t="s">
        <v>1658</v>
      </c>
      <c r="C44" s="107">
        <f t="shared" ref="C44:AG44" si="20">C29</f>
        <v>6.6351314561166497E-2</v>
      </c>
      <c r="D44" s="107">
        <f t="shared" si="20"/>
        <v>6.8575510127137307E-2</v>
      </c>
      <c r="E44" s="107">
        <f t="shared" si="20"/>
        <v>7.0688993794953747E-2</v>
      </c>
      <c r="F44" s="107">
        <f t="shared" si="20"/>
        <v>7.2677259387183404E-2</v>
      </c>
      <c r="G44" s="107">
        <f t="shared" si="20"/>
        <v>7.4526381221132559E-2</v>
      </c>
      <c r="H44" s="107">
        <f t="shared" si="20"/>
        <v>7.6223176574542931E-2</v>
      </c>
      <c r="I44" s="107">
        <f t="shared" si="20"/>
        <v>7.7923116113430183E-2</v>
      </c>
      <c r="J44" s="107">
        <f t="shared" si="20"/>
        <v>7.9624660700083991E-2</v>
      </c>
      <c r="K44" s="107">
        <f t="shared" si="20"/>
        <v>8.1326232121159733E-2</v>
      </c>
      <c r="L44" s="107">
        <f t="shared" si="20"/>
        <v>8.3026215140102E-2</v>
      </c>
      <c r="M44" s="107">
        <f t="shared" si="20"/>
        <v>8.4722959688281321E-2</v>
      </c>
      <c r="N44" s="107">
        <f t="shared" si="20"/>
        <v>8.6291141728084636E-2</v>
      </c>
      <c r="O44" s="107">
        <f t="shared" si="20"/>
        <v>8.7722063839989192E-2</v>
      </c>
      <c r="P44" s="107">
        <f t="shared" si="20"/>
        <v>8.9007642918023044E-2</v>
      </c>
      <c r="Q44" s="107">
        <f t="shared" si="20"/>
        <v>9.0140485295875108E-2</v>
      </c>
      <c r="R44" s="107">
        <f t="shared" si="20"/>
        <v>9.1113956789405787E-2</v>
      </c>
      <c r="S44" s="107">
        <f t="shared" si="20"/>
        <v>9.2087860278449188E-2</v>
      </c>
      <c r="T44" s="107">
        <f t="shared" si="20"/>
        <v>9.3061978779720639E-2</v>
      </c>
      <c r="U44" s="107">
        <f t="shared" si="20"/>
        <v>9.4036092704945645E-2</v>
      </c>
      <c r="V44" s="107">
        <f t="shared" si="20"/>
        <v>9.5009979930136296E-2</v>
      </c>
      <c r="W44" s="107">
        <f t="shared" si="20"/>
        <v>9.5983415867168187E-2</v>
      </c>
      <c r="X44" s="107">
        <f t="shared" si="20"/>
        <v>9.695724145285517E-2</v>
      </c>
      <c r="Y44" s="107">
        <f t="shared" si="20"/>
        <v>9.7931261176272391E-2</v>
      </c>
      <c r="Z44" s="107">
        <f t="shared" si="20"/>
        <v>9.8905277317020285E-2</v>
      </c>
      <c r="AA44" s="107">
        <f t="shared" si="20"/>
        <v>9.9879090001718809E-2</v>
      </c>
      <c r="AB44" s="107">
        <f t="shared" si="20"/>
        <v>0.10085249726226007</v>
      </c>
      <c r="AC44" s="107">
        <f t="shared" si="20"/>
        <v>0.10182625777627496</v>
      </c>
      <c r="AD44" s="107">
        <f t="shared" si="20"/>
        <v>0.10280019444943654</v>
      </c>
      <c r="AE44" s="107">
        <f t="shared" si="20"/>
        <v>0.1037741282968218</v>
      </c>
      <c r="AF44" s="107">
        <f t="shared" si="20"/>
        <v>0.10474787848944286</v>
      </c>
      <c r="AG44" s="107">
        <f t="shared" si="20"/>
        <v>0.10572126240214111</v>
      </c>
      <c r="AI44" s="210" t="s">
        <v>1306</v>
      </c>
      <c r="AJ44" s="211" t="s">
        <v>1302</v>
      </c>
      <c r="BD44" s="41"/>
      <c r="BE44" s="41"/>
      <c r="BF44" s="41"/>
      <c r="BG44" s="41"/>
      <c r="BH44" s="41"/>
      <c r="BI44" s="41"/>
      <c r="BJ44" s="41"/>
      <c r="BK44" s="41"/>
      <c r="BL44" s="118"/>
    </row>
    <row r="45" spans="1:64" outlineLevel="1">
      <c r="A45" t="s">
        <v>1673</v>
      </c>
      <c r="B45" s="54" t="s">
        <v>1658</v>
      </c>
      <c r="C45" s="262">
        <f t="shared" ref="C45:H45" si="21">C30*$C$39</f>
        <v>0.14284140955223965</v>
      </c>
      <c r="D45" s="262">
        <f t="shared" si="21"/>
        <v>0.14762966780852829</v>
      </c>
      <c r="E45" s="262">
        <f t="shared" si="21"/>
        <v>0.15217958499062473</v>
      </c>
      <c r="F45" s="262">
        <f t="shared" si="21"/>
        <v>0.15645993213425954</v>
      </c>
      <c r="G45" s="262">
        <f t="shared" si="21"/>
        <v>0.16044072996685751</v>
      </c>
      <c r="H45" s="262">
        <f t="shared" si="21"/>
        <v>0.16409359866442336</v>
      </c>
      <c r="I45" s="262">
        <f t="shared" ref="I45:AG46" si="22">I30*D39</f>
        <v>0.16775323617867927</v>
      </c>
      <c r="J45" s="262">
        <f t="shared" si="22"/>
        <v>0.17141632904701354</v>
      </c>
      <c r="K45" s="262">
        <f t="shared" si="22"/>
        <v>0.17507947968461252</v>
      </c>
      <c r="L45" s="262">
        <f t="shared" si="22"/>
        <v>0.17873921080292712</v>
      </c>
      <c r="M45" s="262">
        <f t="shared" si="22"/>
        <v>0.1823919701267622</v>
      </c>
      <c r="N45" s="262">
        <f t="shared" si="22"/>
        <v>0.18576795950212738</v>
      </c>
      <c r="O45" s="262">
        <f t="shared" si="22"/>
        <v>0.18884845508500678</v>
      </c>
      <c r="P45" s="262">
        <f t="shared" si="22"/>
        <v>0.19161605552837008</v>
      </c>
      <c r="Q45" s="262">
        <f t="shared" si="22"/>
        <v>0.1940548437140017</v>
      </c>
      <c r="R45" s="262">
        <f t="shared" si="22"/>
        <v>0.19615053754033365</v>
      </c>
      <c r="S45" s="262">
        <f t="shared" si="22"/>
        <v>0.1982471613685558</v>
      </c>
      <c r="T45" s="262">
        <f t="shared" si="22"/>
        <v>0.20034424807607323</v>
      </c>
      <c r="U45" s="262">
        <f t="shared" si="22"/>
        <v>0.20244132493225722</v>
      </c>
      <c r="V45" s="262">
        <f t="shared" si="22"/>
        <v>0.20453791374758371</v>
      </c>
      <c r="W45" s="262">
        <f t="shared" si="22"/>
        <v>0.2066335310277245</v>
      </c>
      <c r="X45" s="262">
        <f t="shared" si="22"/>
        <v>0.20872998714524924</v>
      </c>
      <c r="Y45" s="262">
        <f t="shared" si="22"/>
        <v>0.21082686120335611</v>
      </c>
      <c r="Z45" s="262">
        <f t="shared" si="22"/>
        <v>0.21292372754867625</v>
      </c>
      <c r="AA45" s="262">
        <f t="shared" si="22"/>
        <v>0.2150201558928948</v>
      </c>
      <c r="AB45" s="262">
        <f t="shared" si="22"/>
        <v>0.21711571143815708</v>
      </c>
      <c r="AC45" s="262">
        <f t="shared" si="22"/>
        <v>0.21921202746909235</v>
      </c>
      <c r="AD45" s="262">
        <f t="shared" si="22"/>
        <v>0.22130872273623389</v>
      </c>
      <c r="AE45" s="262">
        <f t="shared" si="22"/>
        <v>0.22340541192003144</v>
      </c>
      <c r="AF45" s="262">
        <f t="shared" si="22"/>
        <v>0.22550170573102349</v>
      </c>
      <c r="AG45" s="262">
        <f t="shared" si="22"/>
        <v>0.22759721101294395</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1674</v>
      </c>
      <c r="B46" s="176" t="s">
        <v>1658</v>
      </c>
      <c r="C46" s="107">
        <f t="shared" ref="C46:H46" si="23">C31*$C$40</f>
        <v>2.9123825679515898</v>
      </c>
      <c r="D46" s="107">
        <f t="shared" si="23"/>
        <v>3.0100099991018356</v>
      </c>
      <c r="E46" s="107">
        <f t="shared" si="23"/>
        <v>3.1027779123302115</v>
      </c>
      <c r="F46" s="107">
        <f t="shared" si="23"/>
        <v>3.1900495826741282</v>
      </c>
      <c r="G46" s="107">
        <f t="shared" si="23"/>
        <v>3.2712137650393118</v>
      </c>
      <c r="H46" s="107">
        <f t="shared" si="23"/>
        <v>3.3456918253661807</v>
      </c>
      <c r="I46" s="107">
        <f t="shared" si="22"/>
        <v>3.4203078945785381</v>
      </c>
      <c r="J46" s="107">
        <f t="shared" si="22"/>
        <v>3.4949944147407672</v>
      </c>
      <c r="K46" s="107">
        <f t="shared" si="22"/>
        <v>3.5696821127561122</v>
      </c>
      <c r="L46" s="107">
        <f t="shared" si="22"/>
        <v>3.6443000904544598</v>
      </c>
      <c r="M46" s="107">
        <f t="shared" si="22"/>
        <v>3.718775920768703</v>
      </c>
      <c r="N46" s="107">
        <f t="shared" si="22"/>
        <v>3.7876087097843243</v>
      </c>
      <c r="O46" s="107">
        <f t="shared" si="22"/>
        <v>3.8504166984785884</v>
      </c>
      <c r="P46" s="107">
        <f t="shared" si="22"/>
        <v>3.9068450921185898</v>
      </c>
      <c r="Q46" s="107">
        <f t="shared" si="22"/>
        <v>3.9565693577991397</v>
      </c>
      <c r="R46" s="107">
        <f t="shared" si="22"/>
        <v>3.9992982988443542</v>
      </c>
      <c r="S46" s="107">
        <f t="shared" si="22"/>
        <v>4.0420462016269356</v>
      </c>
      <c r="T46" s="107">
        <f t="shared" si="22"/>
        <v>4.0848035420200457</v>
      </c>
      <c r="U46" s="107">
        <f t="shared" si="22"/>
        <v>4.1275606815550718</v>
      </c>
      <c r="V46" s="107">
        <f t="shared" si="22"/>
        <v>4.1703078704624046</v>
      </c>
      <c r="W46" s="107">
        <f t="shared" si="22"/>
        <v>4.2130352508131841</v>
      </c>
      <c r="X46" s="107">
        <f t="shared" si="22"/>
        <v>4.2557797341551922</v>
      </c>
      <c r="Y46" s="107">
        <f t="shared" si="22"/>
        <v>4.2985327388557435</v>
      </c>
      <c r="Z46" s="107">
        <f t="shared" si="22"/>
        <v>4.3412855863008772</v>
      </c>
      <c r="AA46" s="107">
        <f t="shared" si="22"/>
        <v>4.3840295033750696</v>
      </c>
      <c r="AB46" s="107">
        <f t="shared" si="22"/>
        <v>4.4267556250181377</v>
      </c>
      <c r="AC46" s="107">
        <f t="shared" si="22"/>
        <v>4.4694972521453922</v>
      </c>
      <c r="AD46" s="107">
        <f t="shared" si="22"/>
        <v>4.5122466114906343</v>
      </c>
      <c r="AE46" s="107">
        <f t="shared" si="22"/>
        <v>4.5549958468030418</v>
      </c>
      <c r="AF46" s="107">
        <f t="shared" si="22"/>
        <v>4.597737020889574</v>
      </c>
      <c r="AG46" s="107">
        <f t="shared" si="22"/>
        <v>4.6404621177172114</v>
      </c>
      <c r="AI46" s="210" t="s">
        <v>1308</v>
      </c>
      <c r="AJ46" s="211" t="s">
        <v>1302</v>
      </c>
      <c r="AL46" s="108"/>
      <c r="AM46" s="2"/>
      <c r="AN46" s="2"/>
      <c r="AO46" s="2"/>
    </row>
    <row r="47" spans="1:64" s="1" customFormat="1" ht="16" thickBot="1">
      <c r="A47" s="200" t="s">
        <v>1675</v>
      </c>
      <c r="B47" s="215" t="s">
        <v>1658</v>
      </c>
      <c r="C47" s="216">
        <f>SUM(C42:C46)</f>
        <v>6.2639109729489517</v>
      </c>
      <c r="D47" s="216">
        <f t="shared" ref="D47:AF47" si="24">SUM(D42:D46)</f>
        <v>6.4738866622599067</v>
      </c>
      <c r="E47" s="216">
        <f t="shared" si="24"/>
        <v>6.673410569593794</v>
      </c>
      <c r="F47" s="216">
        <f t="shared" si="24"/>
        <v>6.8611132359640763</v>
      </c>
      <c r="G47" s="216">
        <f t="shared" si="24"/>
        <v>7.0356800041223151</v>
      </c>
      <c r="H47" s="216">
        <f t="shared" si="24"/>
        <v>7.1958663561693115</v>
      </c>
      <c r="I47" s="216">
        <f t="shared" si="24"/>
        <v>7.3563495357628295</v>
      </c>
      <c r="J47" s="216">
        <f t="shared" si="24"/>
        <v>7.5169842402565479</v>
      </c>
      <c r="K47" s="216">
        <f t="shared" si="24"/>
        <v>7.677621478059983</v>
      </c>
      <c r="L47" s="216">
        <f t="shared" si="24"/>
        <v>7.8381087623980026</v>
      </c>
      <c r="M47" s="216">
        <f t="shared" si="24"/>
        <v>7.9982903181655836</v>
      </c>
      <c r="N47" s="216">
        <f t="shared" si="24"/>
        <v>8.1463349010298778</v>
      </c>
      <c r="O47" s="216">
        <f t="shared" si="24"/>
        <v>8.2814214291186534</v>
      </c>
      <c r="P47" s="216">
        <f t="shared" si="24"/>
        <v>8.4027868149704492</v>
      </c>
      <c r="Q47" s="216">
        <f t="shared" si="24"/>
        <v>8.5097330578321113</v>
      </c>
      <c r="R47" s="216">
        <f t="shared" si="24"/>
        <v>8.6016338560379779</v>
      </c>
      <c r="S47" s="216">
        <f t="shared" si="24"/>
        <v>8.69357543687868</v>
      </c>
      <c r="T47" s="216">
        <f t="shared" si="24"/>
        <v>8.7855373159977717</v>
      </c>
      <c r="U47" s="216">
        <f t="shared" si="24"/>
        <v>8.8774987631141578</v>
      </c>
      <c r="V47" s="216">
        <f t="shared" si="24"/>
        <v>8.9694388085621313</v>
      </c>
      <c r="W47" s="216">
        <f t="shared" si="24"/>
        <v>9.0613362500486261</v>
      </c>
      <c r="X47" s="216">
        <f t="shared" si="24"/>
        <v>9.1532704764052113</v>
      </c>
      <c r="Y47" s="216">
        <f t="shared" si="24"/>
        <v>9.2452230303784617</v>
      </c>
      <c r="Z47" s="216">
        <f t="shared" si="24"/>
        <v>9.3371752461289983</v>
      </c>
      <c r="AA47" s="216">
        <f t="shared" si="24"/>
        <v>9.4291082545648273</v>
      </c>
      <c r="AB47" s="216">
        <f t="shared" si="24"/>
        <v>9.5210029888406886</v>
      </c>
      <c r="AC47" s="216">
        <f t="shared" si="24"/>
        <v>9.6129310720912393</v>
      </c>
      <c r="AD47" s="216">
        <f t="shared" si="24"/>
        <v>9.7048757856861769</v>
      </c>
      <c r="AE47" s="216">
        <f t="shared" si="24"/>
        <v>9.7968202325130598</v>
      </c>
      <c r="AF47" s="216">
        <f t="shared" si="24"/>
        <v>9.8887473413700739</v>
      </c>
      <c r="AG47" s="216">
        <f>SUM(AG42:AG46)</f>
        <v>9.9806398714874938</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v>
      </c>
      <c r="D49" s="222">
        <f t="shared" ref="D49:AG49" si="25">D52</f>
        <v>0</v>
      </c>
      <c r="E49" s="222">
        <f t="shared" si="25"/>
        <v>0</v>
      </c>
      <c r="F49" s="222">
        <f t="shared" si="25"/>
        <v>0</v>
      </c>
      <c r="G49" s="222">
        <f t="shared" si="25"/>
        <v>0</v>
      </c>
      <c r="H49" s="222">
        <f t="shared" si="25"/>
        <v>0</v>
      </c>
      <c r="I49" s="222">
        <f t="shared" si="25"/>
        <v>0</v>
      </c>
      <c r="J49" s="222">
        <f t="shared" si="25"/>
        <v>0</v>
      </c>
      <c r="K49" s="222">
        <f t="shared" si="25"/>
        <v>0</v>
      </c>
      <c r="L49" s="222">
        <f t="shared" si="25"/>
        <v>0</v>
      </c>
      <c r="M49" s="222">
        <f t="shared" si="25"/>
        <v>0</v>
      </c>
      <c r="N49" s="222">
        <f t="shared" si="25"/>
        <v>0</v>
      </c>
      <c r="O49" s="222">
        <f t="shared" si="25"/>
        <v>0</v>
      </c>
      <c r="P49" s="222">
        <f t="shared" si="25"/>
        <v>0</v>
      </c>
      <c r="Q49" s="222">
        <f t="shared" si="25"/>
        <v>0</v>
      </c>
      <c r="R49" s="222">
        <f t="shared" si="25"/>
        <v>0</v>
      </c>
      <c r="S49" s="222">
        <f t="shared" si="25"/>
        <v>0</v>
      </c>
      <c r="T49" s="222">
        <f t="shared" si="25"/>
        <v>0</v>
      </c>
      <c r="U49" s="222">
        <f t="shared" si="25"/>
        <v>0</v>
      </c>
      <c r="V49" s="222">
        <f t="shared" si="25"/>
        <v>0</v>
      </c>
      <c r="W49" s="222">
        <f t="shared" si="25"/>
        <v>0</v>
      </c>
      <c r="X49" s="222">
        <f t="shared" si="25"/>
        <v>0</v>
      </c>
      <c r="Y49" s="222">
        <f t="shared" si="25"/>
        <v>0</v>
      </c>
      <c r="Z49" s="222">
        <f t="shared" si="25"/>
        <v>0</v>
      </c>
      <c r="AA49" s="222">
        <f t="shared" si="25"/>
        <v>0</v>
      </c>
      <c r="AB49" s="222">
        <f t="shared" si="25"/>
        <v>0</v>
      </c>
      <c r="AC49" s="222">
        <f t="shared" si="25"/>
        <v>0</v>
      </c>
      <c r="AD49" s="222">
        <f t="shared" si="25"/>
        <v>0</v>
      </c>
      <c r="AE49" s="222">
        <f t="shared" si="25"/>
        <v>0</v>
      </c>
      <c r="AF49" s="222">
        <f t="shared" si="25"/>
        <v>0</v>
      </c>
      <c r="AG49" s="222">
        <f t="shared" si="25"/>
        <v>0</v>
      </c>
      <c r="AJ49" s="231" t="s">
        <v>1312</v>
      </c>
      <c r="AL49" s="217"/>
      <c r="AM49" s="218"/>
      <c r="AN49" s="218"/>
      <c r="AO49" s="218"/>
    </row>
    <row r="50" spans="1:63" ht="16" outlineLevel="1" thickTop="1">
      <c r="A50" t="s">
        <v>1313</v>
      </c>
      <c r="B50" s="54" t="s">
        <v>462</v>
      </c>
      <c r="C50" s="113">
        <v>0</v>
      </c>
      <c r="D50" s="110">
        <f>$C50+($M50-$C50)/10*(D$1-$C$1)</f>
        <v>0</v>
      </c>
      <c r="E50" s="110">
        <f t="shared" ref="E50:L51" si="26">$C50+($M50-$C50)/10*(E$1-$C$1)</f>
        <v>0</v>
      </c>
      <c r="F50" s="110">
        <f t="shared" si="26"/>
        <v>0</v>
      </c>
      <c r="G50" s="110">
        <f t="shared" si="26"/>
        <v>0</v>
      </c>
      <c r="H50" s="110">
        <f t="shared" si="26"/>
        <v>0</v>
      </c>
      <c r="I50" s="110">
        <f t="shared" si="26"/>
        <v>0</v>
      </c>
      <c r="J50" s="110">
        <f t="shared" si="26"/>
        <v>0</v>
      </c>
      <c r="K50" s="110">
        <f t="shared" si="26"/>
        <v>0</v>
      </c>
      <c r="L50" s="110">
        <f t="shared" si="26"/>
        <v>0</v>
      </c>
      <c r="M50" s="113">
        <v>0</v>
      </c>
      <c r="N50" s="110">
        <f>$M50+($W50-$M50)/10*(N$1-$M$1)</f>
        <v>0</v>
      </c>
      <c r="O50" s="110">
        <f t="shared" ref="O50:U51" si="27">$M50+($W50-$M50)/10*(O$1-$M$1)</f>
        <v>0</v>
      </c>
      <c r="P50" s="110">
        <f t="shared" si="27"/>
        <v>0</v>
      </c>
      <c r="Q50" s="110">
        <f t="shared" si="27"/>
        <v>0</v>
      </c>
      <c r="R50" s="110">
        <f t="shared" si="27"/>
        <v>0</v>
      </c>
      <c r="S50" s="110">
        <f t="shared" si="27"/>
        <v>0</v>
      </c>
      <c r="T50" s="110">
        <f t="shared" si="27"/>
        <v>0</v>
      </c>
      <c r="U50" s="110">
        <f t="shared" si="27"/>
        <v>0</v>
      </c>
      <c r="V50" s="110">
        <f>$M50+($W50-$M50)/10*(V$1-$M$1)</f>
        <v>0</v>
      </c>
      <c r="W50" s="113">
        <v>0</v>
      </c>
      <c r="X50" s="110">
        <f>$W50+($AG50-$W50)/10*(X$1-$W$1)</f>
        <v>0</v>
      </c>
      <c r="Y50" s="110">
        <f t="shared" ref="Y50:AF51" si="28">$W50+($AG50-$W50)/10*(Y$1-$W$1)</f>
        <v>0</v>
      </c>
      <c r="Z50" s="110">
        <f t="shared" si="28"/>
        <v>0</v>
      </c>
      <c r="AA50" s="110">
        <f t="shared" si="28"/>
        <v>0</v>
      </c>
      <c r="AB50" s="110">
        <f t="shared" si="28"/>
        <v>0</v>
      </c>
      <c r="AC50" s="110">
        <f t="shared" si="28"/>
        <v>0</v>
      </c>
      <c r="AD50" s="110">
        <f t="shared" si="28"/>
        <v>0</v>
      </c>
      <c r="AE50" s="110">
        <f t="shared" si="28"/>
        <v>0</v>
      </c>
      <c r="AF50" s="110">
        <f t="shared" si="28"/>
        <v>0</v>
      </c>
      <c r="AG50" s="110">
        <v>0</v>
      </c>
      <c r="AI50" s="133"/>
      <c r="AJ50" s="211" t="s">
        <v>1431</v>
      </c>
      <c r="AL50" s="108"/>
      <c r="AM50" s="2"/>
      <c r="AN50" s="2"/>
      <c r="AO50" s="2"/>
      <c r="AV50" s="41"/>
    </row>
    <row r="51" spans="1:63" outlineLevel="1">
      <c r="A51" t="s">
        <v>1315</v>
      </c>
      <c r="B51" s="54" t="s">
        <v>462</v>
      </c>
      <c r="C51" s="113">
        <v>0</v>
      </c>
      <c r="D51" s="110">
        <f>$C51+($M51-$C51)/10*(D$1-$C$1)</f>
        <v>0</v>
      </c>
      <c r="E51" s="110">
        <f t="shared" si="26"/>
        <v>0</v>
      </c>
      <c r="F51" s="110">
        <f t="shared" si="26"/>
        <v>0</v>
      </c>
      <c r="G51" s="110">
        <f t="shared" si="26"/>
        <v>0</v>
      </c>
      <c r="H51" s="110">
        <f t="shared" si="26"/>
        <v>0</v>
      </c>
      <c r="I51" s="110">
        <f t="shared" si="26"/>
        <v>0</v>
      </c>
      <c r="J51" s="110">
        <f t="shared" si="26"/>
        <v>0</v>
      </c>
      <c r="K51" s="110">
        <f t="shared" si="26"/>
        <v>0</v>
      </c>
      <c r="L51" s="110">
        <f t="shared" si="26"/>
        <v>0</v>
      </c>
      <c r="M51" s="113">
        <v>0</v>
      </c>
      <c r="N51" s="110">
        <f>$M51+($W51-$M51)/10*(N$1-$M$1)</f>
        <v>0</v>
      </c>
      <c r="O51" s="110">
        <f t="shared" si="27"/>
        <v>0</v>
      </c>
      <c r="P51" s="110">
        <f t="shared" si="27"/>
        <v>0</v>
      </c>
      <c r="Q51" s="110">
        <f t="shared" si="27"/>
        <v>0</v>
      </c>
      <c r="R51" s="110">
        <f t="shared" si="27"/>
        <v>0</v>
      </c>
      <c r="S51" s="110">
        <f t="shared" si="27"/>
        <v>0</v>
      </c>
      <c r="T51" s="110">
        <f t="shared" si="27"/>
        <v>0</v>
      </c>
      <c r="U51" s="110">
        <f t="shared" si="27"/>
        <v>0</v>
      </c>
      <c r="V51" s="110">
        <f>$M51+($W51-$M51)/10*(V$1-$M$1)</f>
        <v>0</v>
      </c>
      <c r="W51" s="113">
        <v>0</v>
      </c>
      <c r="X51" s="110">
        <f>$W51+($AG51-$W51)/10*(X$1-$W$1)</f>
        <v>0</v>
      </c>
      <c r="Y51" s="110">
        <f t="shared" si="28"/>
        <v>0</v>
      </c>
      <c r="Z51" s="110">
        <f t="shared" si="28"/>
        <v>0</v>
      </c>
      <c r="AA51" s="110">
        <f t="shared" si="28"/>
        <v>0</v>
      </c>
      <c r="AB51" s="110">
        <f t="shared" si="28"/>
        <v>0</v>
      </c>
      <c r="AC51" s="110">
        <f t="shared" si="28"/>
        <v>0</v>
      </c>
      <c r="AD51" s="110">
        <f t="shared" si="28"/>
        <v>0</v>
      </c>
      <c r="AE51" s="110">
        <f t="shared" si="28"/>
        <v>0</v>
      </c>
      <c r="AF51" s="110">
        <f t="shared" si="28"/>
        <v>0</v>
      </c>
      <c r="AG51" s="110">
        <v>0</v>
      </c>
      <c r="AI51" s="133"/>
      <c r="AJ51" s="211" t="s">
        <v>1431</v>
      </c>
      <c r="AL51" s="108"/>
      <c r="AM51" s="2"/>
      <c r="AN51" s="2"/>
      <c r="AO51" s="2"/>
      <c r="AV51" s="41"/>
    </row>
    <row r="52" spans="1:63" outlineLevel="1">
      <c r="A52" t="s">
        <v>1316</v>
      </c>
      <c r="B52" s="176" t="s">
        <v>462</v>
      </c>
      <c r="C52" s="110">
        <f>C50+C51</f>
        <v>0</v>
      </c>
      <c r="D52" s="110">
        <f t="shared" ref="D52:AF52" si="29">D50+D51</f>
        <v>0</v>
      </c>
      <c r="E52" s="110">
        <f t="shared" si="29"/>
        <v>0</v>
      </c>
      <c r="F52" s="110">
        <f t="shared" si="29"/>
        <v>0</v>
      </c>
      <c r="G52" s="110">
        <f t="shared" si="29"/>
        <v>0</v>
      </c>
      <c r="H52" s="110">
        <f t="shared" si="29"/>
        <v>0</v>
      </c>
      <c r="I52" s="110">
        <f t="shared" si="29"/>
        <v>0</v>
      </c>
      <c r="J52" s="110">
        <f t="shared" si="29"/>
        <v>0</v>
      </c>
      <c r="K52" s="110">
        <f t="shared" si="29"/>
        <v>0</v>
      </c>
      <c r="L52" s="110">
        <f t="shared" si="29"/>
        <v>0</v>
      </c>
      <c r="M52" s="110">
        <f t="shared" si="29"/>
        <v>0</v>
      </c>
      <c r="N52" s="110">
        <f t="shared" si="29"/>
        <v>0</v>
      </c>
      <c r="O52" s="110">
        <f t="shared" si="29"/>
        <v>0</v>
      </c>
      <c r="P52" s="110">
        <f t="shared" si="29"/>
        <v>0</v>
      </c>
      <c r="Q52" s="110">
        <f t="shared" si="29"/>
        <v>0</v>
      </c>
      <c r="R52" s="110">
        <f t="shared" si="29"/>
        <v>0</v>
      </c>
      <c r="S52" s="110">
        <f t="shared" si="29"/>
        <v>0</v>
      </c>
      <c r="T52" s="110">
        <f t="shared" si="29"/>
        <v>0</v>
      </c>
      <c r="U52" s="110">
        <f t="shared" si="29"/>
        <v>0</v>
      </c>
      <c r="V52" s="110">
        <f t="shared" si="29"/>
        <v>0</v>
      </c>
      <c r="W52" s="110">
        <f t="shared" si="29"/>
        <v>0</v>
      </c>
      <c r="X52" s="110">
        <f t="shared" si="29"/>
        <v>0</v>
      </c>
      <c r="Y52" s="110">
        <f t="shared" si="29"/>
        <v>0</v>
      </c>
      <c r="Z52" s="110">
        <f t="shared" si="29"/>
        <v>0</v>
      </c>
      <c r="AA52" s="110">
        <f t="shared" si="29"/>
        <v>0</v>
      </c>
      <c r="AB52" s="110">
        <f t="shared" si="29"/>
        <v>0</v>
      </c>
      <c r="AC52" s="110">
        <f t="shared" si="29"/>
        <v>0</v>
      </c>
      <c r="AD52" s="110">
        <f t="shared" si="29"/>
        <v>0</v>
      </c>
      <c r="AE52" s="110">
        <f t="shared" si="29"/>
        <v>0</v>
      </c>
      <c r="AF52" s="110">
        <f t="shared" si="29"/>
        <v>0</v>
      </c>
      <c r="AG52" s="110">
        <f>AG50+AG51</f>
        <v>0</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HC'!C570</f>
        <v>0</v>
      </c>
      <c r="D54" s="110">
        <f>'Ethylene Recycling HC'!D570</f>
        <v>0</v>
      </c>
      <c r="E54" s="110">
        <f>'Ethylene Recycling HC'!E570</f>
        <v>0</v>
      </c>
      <c r="F54" s="110">
        <f>'Ethylene Recycling HC'!F570</f>
        <v>0</v>
      </c>
      <c r="G54" s="110">
        <f>'Ethylene Recycling HC'!G570</f>
        <v>0</v>
      </c>
      <c r="H54" s="110">
        <f>'Ethylene Recycling HC'!H570</f>
        <v>0</v>
      </c>
      <c r="I54" s="110">
        <f>'Ethylene Recycling HC'!I570</f>
        <v>0</v>
      </c>
      <c r="J54" s="110">
        <f>'Ethylene Recycling HC'!J570</f>
        <v>0</v>
      </c>
      <c r="K54" s="110">
        <f>'Ethylene Recycling HC'!K570</f>
        <v>0</v>
      </c>
      <c r="L54" s="110">
        <f>'Ethylene Recycling HC'!L570</f>
        <v>0</v>
      </c>
      <c r="M54" s="110">
        <f>'Ethylene Recycling HC'!M570</f>
        <v>0</v>
      </c>
      <c r="N54" s="110">
        <f>'Ethylene Recycling HC'!N570</f>
        <v>0</v>
      </c>
      <c r="O54" s="110">
        <f>'Ethylene Recycling HC'!O570</f>
        <v>0</v>
      </c>
      <c r="P54" s="110">
        <f>'Ethylene Recycling HC'!P570</f>
        <v>0</v>
      </c>
      <c r="Q54" s="110">
        <f>'Ethylene Recycling HC'!Q570</f>
        <v>0</v>
      </c>
      <c r="R54" s="110">
        <f>'Ethylene Recycling HC'!R570</f>
        <v>0</v>
      </c>
      <c r="S54" s="110">
        <f>'Ethylene Recycling HC'!S570</f>
        <v>0</v>
      </c>
      <c r="T54" s="110">
        <f>'Ethylene Recycling HC'!T570</f>
        <v>0</v>
      </c>
      <c r="U54" s="110">
        <f>'Ethylene Recycling HC'!U570</f>
        <v>0</v>
      </c>
      <c r="V54" s="110">
        <f>'Ethylene Recycling HC'!V570</f>
        <v>0</v>
      </c>
      <c r="W54" s="110">
        <f>'Ethylene Recycling HC'!W570</f>
        <v>0</v>
      </c>
      <c r="X54" s="110">
        <f>'Ethylene Recycling HC'!X570</f>
        <v>0</v>
      </c>
      <c r="Y54" s="110">
        <f>'Ethylene Recycling HC'!Y570</f>
        <v>0</v>
      </c>
      <c r="Z54" s="110">
        <f>'Ethylene Recycling HC'!Z570</f>
        <v>0</v>
      </c>
      <c r="AA54" s="110">
        <f>'Ethylene Recycling HC'!AA570</f>
        <v>0</v>
      </c>
      <c r="AB54" s="110">
        <f>'Ethylene Recycling HC'!AB570</f>
        <v>0</v>
      </c>
      <c r="AC54" s="110">
        <f>'Ethylene Recycling HC'!AC570</f>
        <v>0</v>
      </c>
      <c r="AD54" s="110">
        <f>'Ethylene Recycling HC'!AD570</f>
        <v>0</v>
      </c>
      <c r="AE54" s="110">
        <f>'Ethylene Recycling HC'!AE570</f>
        <v>0</v>
      </c>
      <c r="AF54" s="110">
        <f>'Ethylene Recycling HC'!AF570</f>
        <v>0</v>
      </c>
      <c r="AG54" s="110">
        <f>'Ethylene Recycling HC'!AG570</f>
        <v>0</v>
      </c>
      <c r="AI54" s="133"/>
      <c r="AJ54" s="211" t="s">
        <v>1432</v>
      </c>
      <c r="AL54" s="108"/>
      <c r="AM54" s="2"/>
      <c r="AN54" s="2"/>
      <c r="AO54" s="2"/>
      <c r="AV54" s="41"/>
    </row>
    <row r="55" spans="1:63" outlineLevel="1">
      <c r="A55" t="s">
        <v>1318</v>
      </c>
      <c r="C55" s="110">
        <v>0</v>
      </c>
      <c r="D55" s="110">
        <v>0</v>
      </c>
      <c r="E55" s="110">
        <v>0</v>
      </c>
      <c r="F55" s="110">
        <v>0</v>
      </c>
      <c r="G55" s="110">
        <v>0</v>
      </c>
      <c r="H55" s="110">
        <v>0</v>
      </c>
      <c r="I55" s="110">
        <v>0</v>
      </c>
      <c r="J55" s="110">
        <v>0</v>
      </c>
      <c r="K55" s="110">
        <v>0</v>
      </c>
      <c r="L55" s="110">
        <v>0</v>
      </c>
      <c r="M55" s="110">
        <v>0</v>
      </c>
      <c r="N55" s="110">
        <v>0</v>
      </c>
      <c r="O55" s="110">
        <v>0</v>
      </c>
      <c r="P55" s="110">
        <v>0</v>
      </c>
      <c r="Q55" s="110">
        <v>0</v>
      </c>
      <c r="R55" s="110">
        <v>0</v>
      </c>
      <c r="S55" s="110">
        <v>0</v>
      </c>
      <c r="T55" s="110">
        <v>0</v>
      </c>
      <c r="U55" s="110">
        <v>0</v>
      </c>
      <c r="V55" s="110">
        <v>0</v>
      </c>
      <c r="W55" s="110">
        <v>0</v>
      </c>
      <c r="X55" s="110">
        <v>0</v>
      </c>
      <c r="Y55" s="110">
        <v>0</v>
      </c>
      <c r="Z55" s="110">
        <v>0</v>
      </c>
      <c r="AA55" s="110">
        <v>0</v>
      </c>
      <c r="AB55" s="110">
        <v>0</v>
      </c>
      <c r="AC55" s="110">
        <v>0</v>
      </c>
      <c r="AD55" s="110">
        <v>0</v>
      </c>
      <c r="AE55" s="110">
        <v>0</v>
      </c>
      <c r="AF55" s="110">
        <v>0</v>
      </c>
      <c r="AG55" s="110">
        <v>0</v>
      </c>
      <c r="AI55" s="133"/>
      <c r="AJ55" s="211" t="s">
        <v>1432</v>
      </c>
      <c r="AL55" s="108"/>
      <c r="AM55" s="2"/>
      <c r="AN55" s="2"/>
      <c r="AO55" s="2"/>
      <c r="AV55" s="41"/>
    </row>
    <row r="56" spans="1:63" outlineLevel="1">
      <c r="A56" t="s">
        <v>1433</v>
      </c>
      <c r="B56" s="54" t="s">
        <v>462</v>
      </c>
      <c r="C56" s="110">
        <v>0</v>
      </c>
      <c r="D56" s="110">
        <v>0</v>
      </c>
      <c r="E56" s="110">
        <v>0</v>
      </c>
      <c r="F56" s="110">
        <v>0</v>
      </c>
      <c r="G56" s="110">
        <v>0</v>
      </c>
      <c r="H56" s="110">
        <v>0</v>
      </c>
      <c r="I56" s="110">
        <v>0</v>
      </c>
      <c r="J56" s="110">
        <v>0</v>
      </c>
      <c r="K56" s="110">
        <v>0</v>
      </c>
      <c r="L56" s="110">
        <v>0</v>
      </c>
      <c r="M56" s="110">
        <v>0</v>
      </c>
      <c r="N56" s="110">
        <v>0</v>
      </c>
      <c r="O56" s="110">
        <v>0</v>
      </c>
      <c r="P56" s="110">
        <v>0</v>
      </c>
      <c r="Q56" s="110">
        <v>0</v>
      </c>
      <c r="R56" s="110">
        <v>0</v>
      </c>
      <c r="S56" s="110">
        <v>0</v>
      </c>
      <c r="T56" s="110">
        <v>0</v>
      </c>
      <c r="U56" s="110">
        <v>0</v>
      </c>
      <c r="V56" s="110">
        <v>0</v>
      </c>
      <c r="W56" s="110">
        <v>0</v>
      </c>
      <c r="X56" s="110">
        <v>0</v>
      </c>
      <c r="Y56" s="110">
        <v>0</v>
      </c>
      <c r="Z56" s="110">
        <v>0</v>
      </c>
      <c r="AA56" s="110">
        <v>0</v>
      </c>
      <c r="AB56" s="110">
        <v>0</v>
      </c>
      <c r="AC56" s="110">
        <v>0</v>
      </c>
      <c r="AD56" s="110">
        <v>0</v>
      </c>
      <c r="AE56" s="110">
        <v>0</v>
      </c>
      <c r="AF56" s="110">
        <v>0</v>
      </c>
      <c r="AG56" s="110">
        <v>0</v>
      </c>
      <c r="AI56" s="133"/>
      <c r="AJ56" s="211" t="s">
        <v>1432</v>
      </c>
      <c r="AL56" s="108"/>
      <c r="AM56" s="2"/>
      <c r="AN56" s="2"/>
      <c r="AO56" s="2"/>
      <c r="AV56" s="41"/>
    </row>
    <row r="57" spans="1:63" outlineLevel="1">
      <c r="A57" t="s">
        <v>1319</v>
      </c>
      <c r="B57" s="54" t="s">
        <v>462</v>
      </c>
      <c r="C57" s="110">
        <v>0</v>
      </c>
      <c r="D57" s="110">
        <v>0</v>
      </c>
      <c r="E57" s="110">
        <v>0</v>
      </c>
      <c r="F57" s="110">
        <v>0</v>
      </c>
      <c r="G57" s="110">
        <v>0</v>
      </c>
      <c r="H57" s="110">
        <v>0</v>
      </c>
      <c r="I57" s="110">
        <v>0</v>
      </c>
      <c r="J57" s="110">
        <v>0</v>
      </c>
      <c r="K57" s="110">
        <v>0</v>
      </c>
      <c r="L57" s="110">
        <v>0</v>
      </c>
      <c r="M57" s="110">
        <v>0</v>
      </c>
      <c r="N57" s="110">
        <v>0</v>
      </c>
      <c r="O57" s="110">
        <v>0</v>
      </c>
      <c r="P57" s="110">
        <v>0</v>
      </c>
      <c r="Q57" s="110">
        <v>0</v>
      </c>
      <c r="R57" s="110">
        <v>0</v>
      </c>
      <c r="S57" s="110">
        <v>0</v>
      </c>
      <c r="T57" s="110">
        <v>0</v>
      </c>
      <c r="U57" s="110">
        <v>0</v>
      </c>
      <c r="V57" s="110">
        <v>0</v>
      </c>
      <c r="W57" s="110">
        <v>0</v>
      </c>
      <c r="X57" s="110">
        <v>0</v>
      </c>
      <c r="Y57" s="110">
        <v>0</v>
      </c>
      <c r="Z57" s="110">
        <v>0</v>
      </c>
      <c r="AA57" s="110">
        <v>0</v>
      </c>
      <c r="AB57" s="110">
        <v>0</v>
      </c>
      <c r="AC57" s="110">
        <v>0</v>
      </c>
      <c r="AD57" s="110">
        <v>0</v>
      </c>
      <c r="AE57" s="110">
        <v>0</v>
      </c>
      <c r="AF57" s="110">
        <v>0</v>
      </c>
      <c r="AG57" s="110">
        <v>0</v>
      </c>
      <c r="AI57" s="133"/>
      <c r="AJ57" s="211" t="s">
        <v>1432</v>
      </c>
      <c r="AL57" s="108"/>
      <c r="AM57" s="2"/>
      <c r="AN57" s="2"/>
      <c r="AO57" s="2"/>
      <c r="AV57" s="41"/>
    </row>
    <row r="58" spans="1:63" outlineLevel="1">
      <c r="A58" t="s">
        <v>1317</v>
      </c>
      <c r="B58" s="54" t="s">
        <v>462</v>
      </c>
      <c r="C58" s="110">
        <v>0</v>
      </c>
      <c r="D58" s="110">
        <v>0</v>
      </c>
      <c r="E58" s="110">
        <v>0</v>
      </c>
      <c r="F58" s="110">
        <v>0</v>
      </c>
      <c r="G58" s="110">
        <v>0</v>
      </c>
      <c r="H58" s="110">
        <v>0</v>
      </c>
      <c r="I58" s="110">
        <v>0</v>
      </c>
      <c r="J58" s="110">
        <v>0</v>
      </c>
      <c r="K58" s="110">
        <v>0</v>
      </c>
      <c r="L58" s="110">
        <v>0</v>
      </c>
      <c r="M58" s="110">
        <v>0</v>
      </c>
      <c r="N58" s="110">
        <v>0</v>
      </c>
      <c r="O58" s="110">
        <v>0</v>
      </c>
      <c r="P58" s="110">
        <v>0</v>
      </c>
      <c r="Q58" s="110">
        <v>0</v>
      </c>
      <c r="R58" s="110">
        <v>0</v>
      </c>
      <c r="S58" s="110">
        <v>0</v>
      </c>
      <c r="T58" s="110">
        <v>0</v>
      </c>
      <c r="U58" s="110">
        <v>0</v>
      </c>
      <c r="V58" s="110">
        <v>0</v>
      </c>
      <c r="W58" s="110">
        <v>0</v>
      </c>
      <c r="X58" s="110">
        <v>0</v>
      </c>
      <c r="Y58" s="110">
        <v>0</v>
      </c>
      <c r="Z58" s="110">
        <v>0</v>
      </c>
      <c r="AA58" s="110">
        <v>0</v>
      </c>
      <c r="AB58" s="110">
        <v>0</v>
      </c>
      <c r="AC58" s="110">
        <v>0</v>
      </c>
      <c r="AD58" s="110">
        <v>0</v>
      </c>
      <c r="AE58" s="110">
        <v>0</v>
      </c>
      <c r="AF58" s="110">
        <v>0</v>
      </c>
      <c r="AG58" s="110">
        <v>0</v>
      </c>
      <c r="AH58" s="271"/>
      <c r="AI58" s="133"/>
      <c r="AJ58" s="211"/>
      <c r="AL58" s="108"/>
      <c r="AM58" s="2"/>
      <c r="AN58" s="2"/>
      <c r="AO58" s="2"/>
    </row>
    <row r="59" spans="1:63" outlineLevel="1">
      <c r="A59" t="s">
        <v>1318</v>
      </c>
      <c r="B59" s="54" t="s">
        <v>462</v>
      </c>
      <c r="C59" s="110">
        <v>0</v>
      </c>
      <c r="D59" s="110">
        <v>0</v>
      </c>
      <c r="E59" s="110">
        <v>0</v>
      </c>
      <c r="F59" s="110">
        <v>0</v>
      </c>
      <c r="G59" s="110">
        <v>0</v>
      </c>
      <c r="H59" s="110">
        <v>0</v>
      </c>
      <c r="I59" s="110">
        <v>0</v>
      </c>
      <c r="J59" s="110">
        <v>0</v>
      </c>
      <c r="K59" s="110">
        <v>0</v>
      </c>
      <c r="L59" s="110">
        <v>0</v>
      </c>
      <c r="M59" s="110">
        <v>0</v>
      </c>
      <c r="N59" s="110">
        <v>0</v>
      </c>
      <c r="O59" s="110">
        <v>0</v>
      </c>
      <c r="P59" s="110">
        <v>0</v>
      </c>
      <c r="Q59" s="110">
        <v>0</v>
      </c>
      <c r="R59" s="110">
        <v>0</v>
      </c>
      <c r="S59" s="110">
        <v>0</v>
      </c>
      <c r="T59" s="110">
        <v>0</v>
      </c>
      <c r="U59" s="110">
        <v>0</v>
      </c>
      <c r="V59" s="110">
        <v>0</v>
      </c>
      <c r="W59" s="110">
        <v>0</v>
      </c>
      <c r="X59" s="110">
        <v>0</v>
      </c>
      <c r="Y59" s="110">
        <v>0</v>
      </c>
      <c r="Z59" s="110">
        <v>0</v>
      </c>
      <c r="AA59" s="110">
        <v>0</v>
      </c>
      <c r="AB59" s="110">
        <v>0</v>
      </c>
      <c r="AC59" s="110">
        <v>0</v>
      </c>
      <c r="AD59" s="110">
        <v>0</v>
      </c>
      <c r="AE59" s="110">
        <v>0</v>
      </c>
      <c r="AF59" s="110">
        <v>0</v>
      </c>
      <c r="AG59" s="110">
        <v>0</v>
      </c>
      <c r="AH59" s="271"/>
      <c r="AJ59" s="211"/>
      <c r="AL59" s="108"/>
      <c r="AM59" s="2"/>
      <c r="AN59" s="2"/>
      <c r="AO59" s="2"/>
      <c r="BC59" s="1"/>
      <c r="BD59" s="2"/>
      <c r="BE59" s="2"/>
      <c r="BF59" s="2"/>
      <c r="BG59" s="2"/>
      <c r="BH59" s="2"/>
      <c r="BI59" s="2"/>
      <c r="BJ59" s="2"/>
      <c r="BK59" s="2"/>
    </row>
    <row r="60" spans="1:63" outlineLevel="1">
      <c r="A60" t="s">
        <v>1433</v>
      </c>
      <c r="C60" s="110">
        <v>0</v>
      </c>
      <c r="D60" s="110">
        <v>0</v>
      </c>
      <c r="E60" s="110">
        <v>0</v>
      </c>
      <c r="F60" s="110">
        <v>0</v>
      </c>
      <c r="G60" s="110">
        <v>0</v>
      </c>
      <c r="H60" s="110">
        <v>0</v>
      </c>
      <c r="I60" s="110">
        <v>0</v>
      </c>
      <c r="J60" s="110">
        <v>0</v>
      </c>
      <c r="K60" s="110">
        <v>0</v>
      </c>
      <c r="L60" s="110">
        <v>0</v>
      </c>
      <c r="M60" s="110">
        <v>0</v>
      </c>
      <c r="N60" s="110">
        <v>0</v>
      </c>
      <c r="O60" s="110">
        <v>0</v>
      </c>
      <c r="P60" s="110">
        <v>0</v>
      </c>
      <c r="Q60" s="110">
        <v>0</v>
      </c>
      <c r="R60" s="110">
        <v>0</v>
      </c>
      <c r="S60" s="110">
        <v>0</v>
      </c>
      <c r="T60" s="110">
        <v>0</v>
      </c>
      <c r="U60" s="110">
        <v>0</v>
      </c>
      <c r="V60" s="110">
        <v>0</v>
      </c>
      <c r="W60" s="110">
        <v>0</v>
      </c>
      <c r="X60" s="110">
        <v>0</v>
      </c>
      <c r="Y60" s="110">
        <v>0</v>
      </c>
      <c r="Z60" s="110">
        <v>0</v>
      </c>
      <c r="AA60" s="110">
        <v>0</v>
      </c>
      <c r="AB60" s="110">
        <v>0</v>
      </c>
      <c r="AC60" s="110">
        <v>0</v>
      </c>
      <c r="AD60" s="110">
        <v>0</v>
      </c>
      <c r="AE60" s="110">
        <v>0</v>
      </c>
      <c r="AF60" s="110">
        <v>0</v>
      </c>
      <c r="AG60" s="110">
        <v>0</v>
      </c>
      <c r="AH60" s="271"/>
      <c r="AJ60" s="211"/>
      <c r="AL60" s="108"/>
      <c r="AM60" s="2"/>
      <c r="AN60" s="2"/>
      <c r="AO60" s="2"/>
      <c r="BC60" s="1"/>
      <c r="BD60" s="2"/>
      <c r="BE60" s="2"/>
      <c r="BF60" s="2"/>
      <c r="BG60" s="2"/>
      <c r="BH60" s="2"/>
      <c r="BI60" s="2"/>
      <c r="BJ60" s="2"/>
      <c r="BK60" s="2"/>
    </row>
    <row r="61" spans="1:63" outlineLevel="1">
      <c r="A61" t="s">
        <v>1319</v>
      </c>
      <c r="B61" s="54" t="s">
        <v>462</v>
      </c>
      <c r="C61" s="110">
        <v>0</v>
      </c>
      <c r="D61" s="110">
        <v>0</v>
      </c>
      <c r="E61" s="110">
        <v>0</v>
      </c>
      <c r="F61" s="110">
        <v>0</v>
      </c>
      <c r="G61" s="110">
        <v>0</v>
      </c>
      <c r="H61" s="110">
        <v>0</v>
      </c>
      <c r="I61" s="110">
        <v>0</v>
      </c>
      <c r="J61" s="110">
        <v>0</v>
      </c>
      <c r="K61" s="110">
        <v>0</v>
      </c>
      <c r="L61" s="110">
        <v>0</v>
      </c>
      <c r="M61" s="110">
        <v>0</v>
      </c>
      <c r="N61" s="110">
        <v>0</v>
      </c>
      <c r="O61" s="110">
        <v>0</v>
      </c>
      <c r="P61" s="110">
        <v>0</v>
      </c>
      <c r="Q61" s="110">
        <v>0</v>
      </c>
      <c r="R61" s="110">
        <v>0</v>
      </c>
      <c r="S61" s="110">
        <v>0</v>
      </c>
      <c r="T61" s="110">
        <v>0</v>
      </c>
      <c r="U61" s="110">
        <v>0</v>
      </c>
      <c r="V61" s="110">
        <v>0</v>
      </c>
      <c r="W61" s="110">
        <v>0</v>
      </c>
      <c r="X61" s="110">
        <v>0</v>
      </c>
      <c r="Y61" s="110">
        <v>0</v>
      </c>
      <c r="Z61" s="110">
        <v>0</v>
      </c>
      <c r="AA61" s="110">
        <v>0</v>
      </c>
      <c r="AB61" s="110">
        <v>0</v>
      </c>
      <c r="AC61" s="110">
        <v>0</v>
      </c>
      <c r="AD61" s="110">
        <v>0</v>
      </c>
      <c r="AE61" s="110">
        <v>0</v>
      </c>
      <c r="AF61" s="110">
        <v>0</v>
      </c>
      <c r="AG61" s="110">
        <v>0</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1676</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1677</v>
      </c>
      <c r="B64" s="54" t="s">
        <v>462</v>
      </c>
      <c r="C64" s="110">
        <f>C50*C$63</f>
        <v>0</v>
      </c>
      <c r="D64" s="110">
        <f t="shared" ref="D64:AG65" si="31">D50*D$63</f>
        <v>0</v>
      </c>
      <c r="E64" s="110">
        <f t="shared" si="31"/>
        <v>0</v>
      </c>
      <c r="F64" s="110">
        <f t="shared" si="31"/>
        <v>0</v>
      </c>
      <c r="G64" s="110">
        <f t="shared" si="31"/>
        <v>0</v>
      </c>
      <c r="H64" s="110">
        <f t="shared" si="31"/>
        <v>0</v>
      </c>
      <c r="I64" s="110">
        <f t="shared" si="31"/>
        <v>0</v>
      </c>
      <c r="J64" s="110">
        <f t="shared" si="31"/>
        <v>0</v>
      </c>
      <c r="K64" s="110">
        <f t="shared" si="31"/>
        <v>0</v>
      </c>
      <c r="L64" s="110">
        <f t="shared" si="31"/>
        <v>0</v>
      </c>
      <c r="M64" s="110">
        <f>M50*M$63</f>
        <v>0</v>
      </c>
      <c r="N64" s="110">
        <f t="shared" si="31"/>
        <v>0</v>
      </c>
      <c r="O64" s="110">
        <f t="shared" si="31"/>
        <v>0</v>
      </c>
      <c r="P64" s="110">
        <f t="shared" si="31"/>
        <v>0</v>
      </c>
      <c r="Q64" s="110">
        <f t="shared" si="31"/>
        <v>0</v>
      </c>
      <c r="R64" s="110">
        <f t="shared" si="31"/>
        <v>0</v>
      </c>
      <c r="S64" s="110">
        <f t="shared" si="31"/>
        <v>0</v>
      </c>
      <c r="T64" s="110">
        <f t="shared" si="31"/>
        <v>0</v>
      </c>
      <c r="U64" s="110">
        <f t="shared" si="31"/>
        <v>0</v>
      </c>
      <c r="V64" s="110">
        <f t="shared" si="31"/>
        <v>0</v>
      </c>
      <c r="W64" s="110">
        <f t="shared" si="31"/>
        <v>0</v>
      </c>
      <c r="X64" s="110">
        <f t="shared" si="31"/>
        <v>0</v>
      </c>
      <c r="Y64" s="110">
        <f t="shared" si="31"/>
        <v>0</v>
      </c>
      <c r="Z64" s="110">
        <f t="shared" si="31"/>
        <v>0</v>
      </c>
      <c r="AA64" s="110">
        <f t="shared" si="31"/>
        <v>0</v>
      </c>
      <c r="AB64" s="110">
        <f t="shared" si="31"/>
        <v>0</v>
      </c>
      <c r="AC64" s="110">
        <f t="shared" si="31"/>
        <v>0</v>
      </c>
      <c r="AD64" s="110">
        <f t="shared" si="31"/>
        <v>0</v>
      </c>
      <c r="AE64" s="110">
        <f t="shared" si="31"/>
        <v>0</v>
      </c>
      <c r="AF64" s="110">
        <f t="shared" si="31"/>
        <v>0</v>
      </c>
      <c r="AG64" s="110">
        <f t="shared" si="31"/>
        <v>0</v>
      </c>
      <c r="AI64" s="133"/>
      <c r="AJ64" s="211"/>
      <c r="AL64" s="108"/>
      <c r="AM64" s="2"/>
      <c r="AN64" s="2"/>
      <c r="AO64" s="2"/>
      <c r="AV64" s="41"/>
    </row>
    <row r="65" spans="1:63" outlineLevel="1">
      <c r="A65" t="s">
        <v>1678</v>
      </c>
      <c r="B65" s="54" t="s">
        <v>462</v>
      </c>
      <c r="C65" s="110">
        <f>C51*C$63</f>
        <v>0</v>
      </c>
      <c r="D65" s="110">
        <f t="shared" si="31"/>
        <v>0</v>
      </c>
      <c r="E65" s="110">
        <f t="shared" si="31"/>
        <v>0</v>
      </c>
      <c r="F65" s="110">
        <f t="shared" si="31"/>
        <v>0</v>
      </c>
      <c r="G65" s="110">
        <f t="shared" si="31"/>
        <v>0</v>
      </c>
      <c r="H65" s="110">
        <f t="shared" si="31"/>
        <v>0</v>
      </c>
      <c r="I65" s="110">
        <f t="shared" si="31"/>
        <v>0</v>
      </c>
      <c r="J65" s="110">
        <f t="shared" si="31"/>
        <v>0</v>
      </c>
      <c r="K65" s="110">
        <f t="shared" si="31"/>
        <v>0</v>
      </c>
      <c r="L65" s="110">
        <f t="shared" si="31"/>
        <v>0</v>
      </c>
      <c r="M65" s="110">
        <f t="shared" si="31"/>
        <v>0</v>
      </c>
      <c r="N65" s="110">
        <f t="shared" si="31"/>
        <v>0</v>
      </c>
      <c r="O65" s="110">
        <f t="shared" si="31"/>
        <v>0</v>
      </c>
      <c r="P65" s="110">
        <f t="shared" si="31"/>
        <v>0</v>
      </c>
      <c r="Q65" s="110">
        <f t="shared" si="31"/>
        <v>0</v>
      </c>
      <c r="R65" s="110">
        <f t="shared" si="31"/>
        <v>0</v>
      </c>
      <c r="S65" s="110">
        <f t="shared" si="31"/>
        <v>0</v>
      </c>
      <c r="T65" s="110">
        <f t="shared" si="31"/>
        <v>0</v>
      </c>
      <c r="U65" s="110">
        <f t="shared" si="31"/>
        <v>0</v>
      </c>
      <c r="V65" s="110">
        <f t="shared" si="31"/>
        <v>0</v>
      </c>
      <c r="W65" s="110">
        <f t="shared" si="31"/>
        <v>0</v>
      </c>
      <c r="X65" s="110">
        <f t="shared" si="31"/>
        <v>0</v>
      </c>
      <c r="Y65" s="110">
        <f t="shared" si="31"/>
        <v>0</v>
      </c>
      <c r="Z65" s="110">
        <f t="shared" si="31"/>
        <v>0</v>
      </c>
      <c r="AA65" s="110">
        <f t="shared" si="31"/>
        <v>0</v>
      </c>
      <c r="AB65" s="110">
        <f t="shared" si="31"/>
        <v>0</v>
      </c>
      <c r="AC65" s="110">
        <f t="shared" si="31"/>
        <v>0</v>
      </c>
      <c r="AD65" s="110">
        <f t="shared" si="31"/>
        <v>0</v>
      </c>
      <c r="AE65" s="110">
        <f t="shared" si="31"/>
        <v>0</v>
      </c>
      <c r="AF65" s="110">
        <f t="shared" si="31"/>
        <v>0</v>
      </c>
      <c r="AG65" s="110">
        <f t="shared" si="31"/>
        <v>0</v>
      </c>
      <c r="AH65" s="245"/>
      <c r="AI65" s="133"/>
      <c r="AJ65" s="211"/>
      <c r="AL65" s="108"/>
      <c r="AM65" s="2"/>
      <c r="AN65" s="2"/>
      <c r="AO65" s="2"/>
      <c r="AV65" s="41"/>
    </row>
    <row r="66" spans="1:63" outlineLevel="1">
      <c r="A66" t="s">
        <v>1679</v>
      </c>
      <c r="B66" s="176" t="s">
        <v>462</v>
      </c>
      <c r="C66" s="110">
        <f>SUM(C64:C65)</f>
        <v>0</v>
      </c>
      <c r="D66" s="110">
        <f t="shared" ref="D66:AG66" si="32">SUM(D64:D65)</f>
        <v>0</v>
      </c>
      <c r="E66" s="110">
        <f t="shared" si="32"/>
        <v>0</v>
      </c>
      <c r="F66" s="110">
        <f t="shared" si="32"/>
        <v>0</v>
      </c>
      <c r="G66" s="110">
        <f t="shared" si="32"/>
        <v>0</v>
      </c>
      <c r="H66" s="110">
        <f t="shared" si="32"/>
        <v>0</v>
      </c>
      <c r="I66" s="110">
        <f t="shared" si="32"/>
        <v>0</v>
      </c>
      <c r="J66" s="110">
        <f t="shared" si="32"/>
        <v>0</v>
      </c>
      <c r="K66" s="110">
        <f t="shared" si="32"/>
        <v>0</v>
      </c>
      <c r="L66" s="110">
        <f t="shared" si="32"/>
        <v>0</v>
      </c>
      <c r="M66" s="110">
        <f t="shared" si="32"/>
        <v>0</v>
      </c>
      <c r="N66" s="110">
        <f t="shared" si="32"/>
        <v>0</v>
      </c>
      <c r="O66" s="110">
        <f t="shared" si="32"/>
        <v>0</v>
      </c>
      <c r="P66" s="110">
        <f t="shared" si="32"/>
        <v>0</v>
      </c>
      <c r="Q66" s="110">
        <f t="shared" si="32"/>
        <v>0</v>
      </c>
      <c r="R66" s="110">
        <f t="shared" si="32"/>
        <v>0</v>
      </c>
      <c r="S66" s="110">
        <f t="shared" si="32"/>
        <v>0</v>
      </c>
      <c r="T66" s="110">
        <f t="shared" si="32"/>
        <v>0</v>
      </c>
      <c r="U66" s="110">
        <f t="shared" si="32"/>
        <v>0</v>
      </c>
      <c r="V66" s="110">
        <f t="shared" si="32"/>
        <v>0</v>
      </c>
      <c r="W66" s="110">
        <f t="shared" si="32"/>
        <v>0</v>
      </c>
      <c r="X66" s="110">
        <f t="shared" si="32"/>
        <v>0</v>
      </c>
      <c r="Y66" s="110">
        <f t="shared" si="32"/>
        <v>0</v>
      </c>
      <c r="Z66" s="110">
        <f t="shared" si="32"/>
        <v>0</v>
      </c>
      <c r="AA66" s="110">
        <f t="shared" si="32"/>
        <v>0</v>
      </c>
      <c r="AB66" s="110">
        <f t="shared" si="32"/>
        <v>0</v>
      </c>
      <c r="AC66" s="110">
        <f t="shared" si="32"/>
        <v>0</v>
      </c>
      <c r="AD66" s="110">
        <f t="shared" si="32"/>
        <v>0</v>
      </c>
      <c r="AE66" s="110">
        <f t="shared" si="32"/>
        <v>0</v>
      </c>
      <c r="AF66" s="110">
        <f t="shared" si="32"/>
        <v>0</v>
      </c>
      <c r="AG66" s="110">
        <f t="shared" si="32"/>
        <v>0</v>
      </c>
      <c r="AI66" s="133"/>
      <c r="AJ66" s="211"/>
      <c r="AL66" s="108"/>
      <c r="AM66" s="2"/>
      <c r="AN66" s="2"/>
      <c r="AO66" s="2"/>
    </row>
    <row r="67" spans="1:63" outlineLevel="1">
      <c r="A67" t="s">
        <v>1680</v>
      </c>
      <c r="B67" s="54" t="s">
        <v>462</v>
      </c>
      <c r="C67" s="110">
        <f>C$63*C58</f>
        <v>0</v>
      </c>
      <c r="D67" s="110">
        <f t="shared" ref="D67:AG70" si="33">D$63*D58</f>
        <v>0</v>
      </c>
      <c r="E67" s="110">
        <f t="shared" si="33"/>
        <v>0</v>
      </c>
      <c r="F67" s="110">
        <f t="shared" si="33"/>
        <v>0</v>
      </c>
      <c r="G67" s="110">
        <f t="shared" si="33"/>
        <v>0</v>
      </c>
      <c r="H67" s="110">
        <f t="shared" si="33"/>
        <v>0</v>
      </c>
      <c r="I67" s="110">
        <f t="shared" si="33"/>
        <v>0</v>
      </c>
      <c r="J67" s="110">
        <f t="shared" si="33"/>
        <v>0</v>
      </c>
      <c r="K67" s="110">
        <f t="shared" si="33"/>
        <v>0</v>
      </c>
      <c r="L67" s="110">
        <f t="shared" si="33"/>
        <v>0</v>
      </c>
      <c r="M67" s="110">
        <f t="shared" si="33"/>
        <v>0</v>
      </c>
      <c r="N67" s="110">
        <f t="shared" si="33"/>
        <v>0</v>
      </c>
      <c r="O67" s="110">
        <f t="shared" si="33"/>
        <v>0</v>
      </c>
      <c r="P67" s="110">
        <f t="shared" si="33"/>
        <v>0</v>
      </c>
      <c r="Q67" s="110">
        <f t="shared" si="33"/>
        <v>0</v>
      </c>
      <c r="R67" s="110">
        <f t="shared" si="33"/>
        <v>0</v>
      </c>
      <c r="S67" s="110">
        <f t="shared" si="33"/>
        <v>0</v>
      </c>
      <c r="T67" s="110">
        <f t="shared" si="33"/>
        <v>0</v>
      </c>
      <c r="U67" s="110">
        <f t="shared" si="33"/>
        <v>0</v>
      </c>
      <c r="V67" s="110">
        <f t="shared" si="33"/>
        <v>0</v>
      </c>
      <c r="W67" s="110">
        <f t="shared" si="33"/>
        <v>0</v>
      </c>
      <c r="X67" s="110">
        <f t="shared" si="33"/>
        <v>0</v>
      </c>
      <c r="Y67" s="110">
        <f t="shared" si="33"/>
        <v>0</v>
      </c>
      <c r="Z67" s="110">
        <f t="shared" si="33"/>
        <v>0</v>
      </c>
      <c r="AA67" s="110">
        <f t="shared" si="33"/>
        <v>0</v>
      </c>
      <c r="AB67" s="110">
        <f t="shared" si="33"/>
        <v>0</v>
      </c>
      <c r="AC67" s="110">
        <f t="shared" si="33"/>
        <v>0</v>
      </c>
      <c r="AD67" s="110">
        <f t="shared" si="33"/>
        <v>0</v>
      </c>
      <c r="AE67" s="110">
        <f t="shared" si="33"/>
        <v>0</v>
      </c>
      <c r="AF67" s="110">
        <f t="shared" si="33"/>
        <v>0</v>
      </c>
      <c r="AG67" s="110">
        <f t="shared" si="33"/>
        <v>0</v>
      </c>
      <c r="AI67" s="133"/>
      <c r="AJ67" s="211"/>
      <c r="AL67" s="108"/>
      <c r="AM67" s="2"/>
      <c r="AN67" s="2"/>
      <c r="AO67" s="2"/>
    </row>
    <row r="68" spans="1:63" outlineLevel="1">
      <c r="A68" t="s">
        <v>1681</v>
      </c>
      <c r="B68" s="54" t="s">
        <v>462</v>
      </c>
      <c r="C68" s="110">
        <f t="shared" ref="C68:R70" si="34">C$63*C59</f>
        <v>0</v>
      </c>
      <c r="D68" s="110">
        <f t="shared" si="34"/>
        <v>0</v>
      </c>
      <c r="E68" s="110">
        <f t="shared" si="34"/>
        <v>0</v>
      </c>
      <c r="F68" s="110">
        <f t="shared" si="34"/>
        <v>0</v>
      </c>
      <c r="G68" s="110">
        <f t="shared" si="34"/>
        <v>0</v>
      </c>
      <c r="H68" s="110">
        <f t="shared" si="34"/>
        <v>0</v>
      </c>
      <c r="I68" s="110">
        <f t="shared" si="34"/>
        <v>0</v>
      </c>
      <c r="J68" s="110">
        <f t="shared" si="34"/>
        <v>0</v>
      </c>
      <c r="K68" s="110">
        <f t="shared" si="34"/>
        <v>0</v>
      </c>
      <c r="L68" s="110">
        <f t="shared" si="34"/>
        <v>0</v>
      </c>
      <c r="M68" s="110">
        <f t="shared" si="34"/>
        <v>0</v>
      </c>
      <c r="N68" s="110">
        <f t="shared" si="34"/>
        <v>0</v>
      </c>
      <c r="O68" s="110">
        <f t="shared" si="34"/>
        <v>0</v>
      </c>
      <c r="P68" s="110">
        <f t="shared" si="34"/>
        <v>0</v>
      </c>
      <c r="Q68" s="110">
        <f t="shared" si="34"/>
        <v>0</v>
      </c>
      <c r="R68" s="110">
        <f t="shared" si="34"/>
        <v>0</v>
      </c>
      <c r="S68" s="110">
        <f t="shared" si="33"/>
        <v>0</v>
      </c>
      <c r="T68" s="110">
        <f t="shared" si="33"/>
        <v>0</v>
      </c>
      <c r="U68" s="110">
        <f t="shared" si="33"/>
        <v>0</v>
      </c>
      <c r="V68" s="110">
        <f t="shared" si="33"/>
        <v>0</v>
      </c>
      <c r="W68" s="110">
        <f t="shared" si="33"/>
        <v>0</v>
      </c>
      <c r="X68" s="110">
        <f t="shared" si="33"/>
        <v>0</v>
      </c>
      <c r="Y68" s="110">
        <f t="shared" si="33"/>
        <v>0</v>
      </c>
      <c r="Z68" s="110">
        <f t="shared" si="33"/>
        <v>0</v>
      </c>
      <c r="AA68" s="110">
        <f t="shared" si="33"/>
        <v>0</v>
      </c>
      <c r="AB68" s="110">
        <f t="shared" si="33"/>
        <v>0</v>
      </c>
      <c r="AC68" s="110">
        <f t="shared" si="33"/>
        <v>0</v>
      </c>
      <c r="AD68" s="110">
        <f t="shared" si="33"/>
        <v>0</v>
      </c>
      <c r="AE68" s="110">
        <f t="shared" si="33"/>
        <v>0</v>
      </c>
      <c r="AF68" s="110">
        <f t="shared" si="33"/>
        <v>0</v>
      </c>
      <c r="AG68" s="110">
        <f t="shared" si="33"/>
        <v>0</v>
      </c>
      <c r="AI68" s="133"/>
      <c r="AJ68" s="211"/>
      <c r="AL68" s="108"/>
      <c r="AM68" s="2"/>
      <c r="AN68" s="2"/>
      <c r="AO68" s="2"/>
      <c r="BC68" s="1"/>
      <c r="BD68" s="2"/>
      <c r="BE68" s="2"/>
      <c r="BF68" s="2"/>
      <c r="BG68" s="2"/>
      <c r="BH68" s="2"/>
      <c r="BI68" s="2"/>
      <c r="BJ68" s="2"/>
      <c r="BK68" s="2"/>
    </row>
    <row r="69" spans="1:63" outlineLevel="1">
      <c r="A69" t="s">
        <v>1682</v>
      </c>
      <c r="C69" s="110">
        <f t="shared" si="34"/>
        <v>0</v>
      </c>
      <c r="D69" s="110">
        <f t="shared" si="33"/>
        <v>0</v>
      </c>
      <c r="E69" s="110">
        <f t="shared" si="33"/>
        <v>0</v>
      </c>
      <c r="F69" s="110">
        <f t="shared" si="33"/>
        <v>0</v>
      </c>
      <c r="G69" s="110">
        <f t="shared" si="33"/>
        <v>0</v>
      </c>
      <c r="H69" s="110">
        <f t="shared" si="33"/>
        <v>0</v>
      </c>
      <c r="I69" s="110">
        <f t="shared" si="33"/>
        <v>0</v>
      </c>
      <c r="J69" s="110">
        <f t="shared" si="33"/>
        <v>0</v>
      </c>
      <c r="K69" s="110">
        <f t="shared" si="33"/>
        <v>0</v>
      </c>
      <c r="L69" s="110">
        <f t="shared" si="33"/>
        <v>0</v>
      </c>
      <c r="M69" s="110">
        <f t="shared" si="33"/>
        <v>0</v>
      </c>
      <c r="N69" s="110">
        <f t="shared" si="33"/>
        <v>0</v>
      </c>
      <c r="O69" s="110">
        <f t="shared" si="33"/>
        <v>0</v>
      </c>
      <c r="P69" s="110">
        <f t="shared" si="33"/>
        <v>0</v>
      </c>
      <c r="Q69" s="110">
        <f t="shared" si="33"/>
        <v>0</v>
      </c>
      <c r="R69" s="110">
        <f t="shared" si="33"/>
        <v>0</v>
      </c>
      <c r="S69" s="110">
        <f t="shared" si="33"/>
        <v>0</v>
      </c>
      <c r="T69" s="110">
        <f t="shared" si="33"/>
        <v>0</v>
      </c>
      <c r="U69" s="110">
        <f t="shared" si="33"/>
        <v>0</v>
      </c>
      <c r="V69" s="110">
        <f t="shared" si="33"/>
        <v>0</v>
      </c>
      <c r="W69" s="110">
        <f t="shared" si="33"/>
        <v>0</v>
      </c>
      <c r="X69" s="110">
        <f t="shared" si="33"/>
        <v>0</v>
      </c>
      <c r="Y69" s="110">
        <f t="shared" si="33"/>
        <v>0</v>
      </c>
      <c r="Z69" s="110">
        <f t="shared" si="33"/>
        <v>0</v>
      </c>
      <c r="AA69" s="110">
        <f t="shared" si="33"/>
        <v>0</v>
      </c>
      <c r="AB69" s="110">
        <f t="shared" si="33"/>
        <v>0</v>
      </c>
      <c r="AC69" s="110">
        <f t="shared" si="33"/>
        <v>0</v>
      </c>
      <c r="AD69" s="110">
        <f t="shared" si="33"/>
        <v>0</v>
      </c>
      <c r="AE69" s="110">
        <f t="shared" si="33"/>
        <v>0</v>
      </c>
      <c r="AF69" s="110">
        <f t="shared" si="33"/>
        <v>0</v>
      </c>
      <c r="AG69" s="110">
        <f t="shared" si="33"/>
        <v>0</v>
      </c>
      <c r="AI69" s="133"/>
      <c r="AJ69" s="211"/>
      <c r="AL69" s="108"/>
      <c r="AM69" s="2"/>
      <c r="AN69" s="2"/>
      <c r="AO69" s="2"/>
      <c r="BC69" s="1"/>
      <c r="BD69" s="2"/>
      <c r="BE69" s="2"/>
      <c r="BF69" s="2"/>
      <c r="BG69" s="2"/>
      <c r="BH69" s="2"/>
      <c r="BI69" s="2"/>
      <c r="BJ69" s="2"/>
      <c r="BK69" s="2"/>
    </row>
    <row r="70" spans="1:63" outlineLevel="1">
      <c r="A70" t="s">
        <v>1683</v>
      </c>
      <c r="B70" s="54" t="s">
        <v>462</v>
      </c>
      <c r="C70" s="110">
        <f t="shared" si="34"/>
        <v>0</v>
      </c>
      <c r="D70" s="110">
        <f t="shared" si="33"/>
        <v>0</v>
      </c>
      <c r="E70" s="110">
        <f t="shared" si="33"/>
        <v>0</v>
      </c>
      <c r="F70" s="110">
        <f t="shared" si="33"/>
        <v>0</v>
      </c>
      <c r="G70" s="110">
        <f t="shared" si="33"/>
        <v>0</v>
      </c>
      <c r="H70" s="110">
        <f t="shared" si="33"/>
        <v>0</v>
      </c>
      <c r="I70" s="110">
        <f t="shared" si="33"/>
        <v>0</v>
      </c>
      <c r="J70" s="110">
        <f t="shared" si="33"/>
        <v>0</v>
      </c>
      <c r="K70" s="110">
        <f t="shared" si="33"/>
        <v>0</v>
      </c>
      <c r="L70" s="110">
        <f t="shared" si="33"/>
        <v>0</v>
      </c>
      <c r="M70" s="110">
        <f t="shared" si="33"/>
        <v>0</v>
      </c>
      <c r="N70" s="110">
        <f t="shared" si="33"/>
        <v>0</v>
      </c>
      <c r="O70" s="110">
        <f t="shared" si="33"/>
        <v>0</v>
      </c>
      <c r="P70" s="110">
        <f t="shared" si="33"/>
        <v>0</v>
      </c>
      <c r="Q70" s="110">
        <f t="shared" si="33"/>
        <v>0</v>
      </c>
      <c r="R70" s="110">
        <f t="shared" si="33"/>
        <v>0</v>
      </c>
      <c r="S70" s="110">
        <f t="shared" si="33"/>
        <v>0</v>
      </c>
      <c r="T70" s="110">
        <f t="shared" si="33"/>
        <v>0</v>
      </c>
      <c r="U70" s="110">
        <f t="shared" si="33"/>
        <v>0</v>
      </c>
      <c r="V70" s="110">
        <f t="shared" si="33"/>
        <v>0</v>
      </c>
      <c r="W70" s="110">
        <f t="shared" si="33"/>
        <v>0</v>
      </c>
      <c r="X70" s="110">
        <f t="shared" si="33"/>
        <v>0</v>
      </c>
      <c r="Y70" s="110">
        <f t="shared" si="33"/>
        <v>0</v>
      </c>
      <c r="Z70" s="110">
        <f t="shared" si="33"/>
        <v>0</v>
      </c>
      <c r="AA70" s="110">
        <f t="shared" si="33"/>
        <v>0</v>
      </c>
      <c r="AB70" s="110">
        <f t="shared" si="33"/>
        <v>0</v>
      </c>
      <c r="AC70" s="110">
        <f t="shared" si="33"/>
        <v>0</v>
      </c>
      <c r="AD70" s="110">
        <f t="shared" si="33"/>
        <v>0</v>
      </c>
      <c r="AE70" s="110">
        <f t="shared" si="33"/>
        <v>0</v>
      </c>
      <c r="AF70" s="110">
        <f t="shared" si="33"/>
        <v>0</v>
      </c>
      <c r="AG70" s="110">
        <f t="shared" si="33"/>
        <v>0</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v>
      </c>
      <c r="D72" s="300">
        <f t="shared" ref="D72:AG72" si="35">D42*D64</f>
        <v>0</v>
      </c>
      <c r="E72" s="300">
        <f t="shared" si="35"/>
        <v>0</v>
      </c>
      <c r="F72" s="300">
        <f t="shared" si="35"/>
        <v>0</v>
      </c>
      <c r="G72" s="300">
        <f t="shared" si="35"/>
        <v>0</v>
      </c>
      <c r="H72" s="300">
        <f t="shared" si="35"/>
        <v>0</v>
      </c>
      <c r="I72" s="300">
        <f t="shared" si="35"/>
        <v>0</v>
      </c>
      <c r="J72" s="300">
        <f t="shared" si="35"/>
        <v>0</v>
      </c>
      <c r="K72" s="300">
        <f t="shared" si="35"/>
        <v>0</v>
      </c>
      <c r="L72" s="300">
        <f t="shared" si="35"/>
        <v>0</v>
      </c>
      <c r="M72" s="300">
        <f t="shared" si="35"/>
        <v>0</v>
      </c>
      <c r="N72" s="300">
        <f t="shared" si="35"/>
        <v>0</v>
      </c>
      <c r="O72" s="300">
        <f t="shared" si="35"/>
        <v>0</v>
      </c>
      <c r="P72" s="300">
        <f t="shared" si="35"/>
        <v>0</v>
      </c>
      <c r="Q72" s="300">
        <f t="shared" si="35"/>
        <v>0</v>
      </c>
      <c r="R72" s="300">
        <f t="shared" si="35"/>
        <v>0</v>
      </c>
      <c r="S72" s="300">
        <f t="shared" si="35"/>
        <v>0</v>
      </c>
      <c r="T72" s="300">
        <f t="shared" si="35"/>
        <v>0</v>
      </c>
      <c r="U72" s="300">
        <f t="shared" si="35"/>
        <v>0</v>
      </c>
      <c r="V72" s="300">
        <f t="shared" si="35"/>
        <v>0</v>
      </c>
      <c r="W72" s="300">
        <f t="shared" si="35"/>
        <v>0</v>
      </c>
      <c r="X72" s="300">
        <f t="shared" si="35"/>
        <v>0</v>
      </c>
      <c r="Y72" s="300">
        <f t="shared" si="35"/>
        <v>0</v>
      </c>
      <c r="Z72" s="300">
        <f t="shared" si="35"/>
        <v>0</v>
      </c>
      <c r="AA72" s="300">
        <f t="shared" si="35"/>
        <v>0</v>
      </c>
      <c r="AB72" s="300">
        <f t="shared" si="35"/>
        <v>0</v>
      </c>
      <c r="AC72" s="300">
        <f t="shared" si="35"/>
        <v>0</v>
      </c>
      <c r="AD72" s="300">
        <f t="shared" si="35"/>
        <v>0</v>
      </c>
      <c r="AE72" s="300">
        <f t="shared" si="35"/>
        <v>0</v>
      </c>
      <c r="AF72" s="300">
        <f t="shared" si="35"/>
        <v>0</v>
      </c>
      <c r="AG72" s="300">
        <f t="shared" si="35"/>
        <v>0</v>
      </c>
      <c r="AH72" s="245"/>
      <c r="AI72" s="423"/>
      <c r="AJ72" s="424"/>
      <c r="AL72" s="221"/>
      <c r="AM72" s="124"/>
      <c r="AN72" s="124"/>
      <c r="AO72" s="124"/>
      <c r="BD72" s="124"/>
      <c r="BE72" s="124"/>
      <c r="BF72" s="124"/>
      <c r="BG72" s="124"/>
      <c r="BH72" s="124"/>
      <c r="BI72" s="124"/>
      <c r="BJ72" s="124"/>
      <c r="BK72" s="124"/>
    </row>
    <row r="73" spans="1:63" s="1" customFormat="1" outlineLevel="1">
      <c r="A73" s="1" t="s">
        <v>1562</v>
      </c>
      <c r="B73" s="65"/>
      <c r="C73" s="300">
        <f t="shared" ref="C73:AG73" si="36">C72-$C72</f>
        <v>0</v>
      </c>
      <c r="D73" s="300">
        <f t="shared" si="36"/>
        <v>0</v>
      </c>
      <c r="E73" s="300">
        <f t="shared" si="36"/>
        <v>0</v>
      </c>
      <c r="F73" s="300">
        <f t="shared" si="36"/>
        <v>0</v>
      </c>
      <c r="G73" s="300">
        <f t="shared" si="36"/>
        <v>0</v>
      </c>
      <c r="H73" s="300">
        <f t="shared" si="36"/>
        <v>0</v>
      </c>
      <c r="I73" s="300">
        <f t="shared" si="36"/>
        <v>0</v>
      </c>
      <c r="J73" s="300">
        <f t="shared" si="36"/>
        <v>0</v>
      </c>
      <c r="K73" s="300">
        <f t="shared" si="36"/>
        <v>0</v>
      </c>
      <c r="L73" s="300">
        <f t="shared" si="36"/>
        <v>0</v>
      </c>
      <c r="M73" s="300">
        <f t="shared" si="36"/>
        <v>0</v>
      </c>
      <c r="N73" s="300">
        <f t="shared" si="36"/>
        <v>0</v>
      </c>
      <c r="O73" s="300">
        <f t="shared" si="36"/>
        <v>0</v>
      </c>
      <c r="P73" s="300">
        <f t="shared" si="36"/>
        <v>0</v>
      </c>
      <c r="Q73" s="300">
        <f t="shared" si="36"/>
        <v>0</v>
      </c>
      <c r="R73" s="300">
        <f t="shared" si="36"/>
        <v>0</v>
      </c>
      <c r="S73" s="300">
        <f t="shared" si="36"/>
        <v>0</v>
      </c>
      <c r="T73" s="300">
        <f t="shared" si="36"/>
        <v>0</v>
      </c>
      <c r="U73" s="300">
        <f t="shared" si="36"/>
        <v>0</v>
      </c>
      <c r="V73" s="300">
        <f t="shared" si="36"/>
        <v>0</v>
      </c>
      <c r="W73" s="300">
        <f t="shared" si="36"/>
        <v>0</v>
      </c>
      <c r="X73" s="300">
        <f t="shared" si="36"/>
        <v>0</v>
      </c>
      <c r="Y73" s="300">
        <f t="shared" si="36"/>
        <v>0</v>
      </c>
      <c r="Z73" s="300">
        <f t="shared" si="36"/>
        <v>0</v>
      </c>
      <c r="AA73" s="300">
        <f t="shared" si="36"/>
        <v>0</v>
      </c>
      <c r="AB73" s="300">
        <f t="shared" si="36"/>
        <v>0</v>
      </c>
      <c r="AC73" s="300">
        <f t="shared" si="36"/>
        <v>0</v>
      </c>
      <c r="AD73" s="300">
        <f t="shared" si="36"/>
        <v>0</v>
      </c>
      <c r="AE73" s="300">
        <f t="shared" si="36"/>
        <v>0</v>
      </c>
      <c r="AF73" s="300">
        <f t="shared" si="36"/>
        <v>0</v>
      </c>
      <c r="AG73" s="300">
        <f t="shared" si="36"/>
        <v>0</v>
      </c>
      <c r="AH73" s="245"/>
      <c r="AI73" s="423"/>
      <c r="AJ73" s="424"/>
      <c r="AL73" s="221"/>
      <c r="AM73" s="124"/>
      <c r="AN73" s="124"/>
      <c r="AO73" s="124"/>
      <c r="BD73" s="124"/>
      <c r="BE73" s="124"/>
      <c r="BF73" s="124"/>
      <c r="BG73" s="124"/>
      <c r="BH73" s="124"/>
      <c r="BI73" s="124"/>
      <c r="BJ73" s="124"/>
      <c r="BK73" s="124"/>
    </row>
    <row r="74" spans="1:63" s="1" customFormat="1" outlineLevel="1">
      <c r="A74" s="1" t="s">
        <v>1563</v>
      </c>
      <c r="B74" s="65"/>
      <c r="C74" s="300">
        <f t="shared" ref="C74:AG74" si="37">C42*C67</f>
        <v>0</v>
      </c>
      <c r="D74" s="300">
        <f t="shared" si="37"/>
        <v>0</v>
      </c>
      <c r="E74" s="300">
        <f t="shared" si="37"/>
        <v>0</v>
      </c>
      <c r="F74" s="300">
        <f t="shared" si="37"/>
        <v>0</v>
      </c>
      <c r="G74" s="300">
        <f t="shared" si="37"/>
        <v>0</v>
      </c>
      <c r="H74" s="300">
        <f t="shared" si="37"/>
        <v>0</v>
      </c>
      <c r="I74" s="300">
        <f t="shared" si="37"/>
        <v>0</v>
      </c>
      <c r="J74" s="300">
        <f t="shared" si="37"/>
        <v>0</v>
      </c>
      <c r="K74" s="300">
        <f t="shared" si="37"/>
        <v>0</v>
      </c>
      <c r="L74" s="300">
        <f t="shared" si="37"/>
        <v>0</v>
      </c>
      <c r="M74" s="300">
        <f t="shared" si="37"/>
        <v>0</v>
      </c>
      <c r="N74" s="300">
        <f t="shared" si="37"/>
        <v>0</v>
      </c>
      <c r="O74" s="300">
        <f t="shared" si="37"/>
        <v>0</v>
      </c>
      <c r="P74" s="300">
        <f t="shared" si="37"/>
        <v>0</v>
      </c>
      <c r="Q74" s="300">
        <f t="shared" si="37"/>
        <v>0</v>
      </c>
      <c r="R74" s="300">
        <f t="shared" si="37"/>
        <v>0</v>
      </c>
      <c r="S74" s="300">
        <f t="shared" si="37"/>
        <v>0</v>
      </c>
      <c r="T74" s="300">
        <f t="shared" si="37"/>
        <v>0</v>
      </c>
      <c r="U74" s="300">
        <f t="shared" si="37"/>
        <v>0</v>
      </c>
      <c r="V74" s="300">
        <f t="shared" si="37"/>
        <v>0</v>
      </c>
      <c r="W74" s="300">
        <f t="shared" si="37"/>
        <v>0</v>
      </c>
      <c r="X74" s="300">
        <f t="shared" si="37"/>
        <v>0</v>
      </c>
      <c r="Y74" s="300">
        <f t="shared" si="37"/>
        <v>0</v>
      </c>
      <c r="Z74" s="300">
        <f t="shared" si="37"/>
        <v>0</v>
      </c>
      <c r="AA74" s="300">
        <f t="shared" si="37"/>
        <v>0</v>
      </c>
      <c r="AB74" s="300">
        <f t="shared" si="37"/>
        <v>0</v>
      </c>
      <c r="AC74" s="300">
        <f t="shared" si="37"/>
        <v>0</v>
      </c>
      <c r="AD74" s="300">
        <f t="shared" si="37"/>
        <v>0</v>
      </c>
      <c r="AE74" s="300">
        <f t="shared" si="37"/>
        <v>0</v>
      </c>
      <c r="AF74" s="300">
        <f t="shared" si="37"/>
        <v>0</v>
      </c>
      <c r="AG74" s="300">
        <f t="shared" si="37"/>
        <v>0</v>
      </c>
      <c r="AH74" s="245"/>
      <c r="AI74" s="423"/>
      <c r="AJ74" s="424"/>
      <c r="AL74" s="221"/>
      <c r="AM74" s="124"/>
      <c r="AN74" s="124"/>
      <c r="AO74" s="124"/>
      <c r="BD74" s="124"/>
      <c r="BE74" s="124"/>
      <c r="BF74" s="124"/>
      <c r="BG74" s="124"/>
      <c r="BH74" s="124"/>
      <c r="BI74" s="124"/>
      <c r="BJ74" s="124"/>
      <c r="BK74" s="124"/>
    </row>
    <row r="75" spans="1:63" s="1" customFormat="1" outlineLevel="1">
      <c r="A75" s="1" t="s">
        <v>1564</v>
      </c>
      <c r="B75" s="65"/>
      <c r="C75" s="300">
        <f t="shared" ref="C75:AG75" si="38">C74-$C74</f>
        <v>0</v>
      </c>
      <c r="D75" s="300">
        <f t="shared" si="38"/>
        <v>0</v>
      </c>
      <c r="E75" s="300">
        <f t="shared" si="38"/>
        <v>0</v>
      </c>
      <c r="F75" s="300">
        <f t="shared" si="38"/>
        <v>0</v>
      </c>
      <c r="G75" s="300">
        <f t="shared" si="38"/>
        <v>0</v>
      </c>
      <c r="H75" s="300">
        <f t="shared" si="38"/>
        <v>0</v>
      </c>
      <c r="I75" s="300">
        <f t="shared" si="38"/>
        <v>0</v>
      </c>
      <c r="J75" s="300">
        <f t="shared" si="38"/>
        <v>0</v>
      </c>
      <c r="K75" s="300">
        <f t="shared" si="38"/>
        <v>0</v>
      </c>
      <c r="L75" s="300">
        <f t="shared" si="38"/>
        <v>0</v>
      </c>
      <c r="M75" s="300">
        <f t="shared" si="38"/>
        <v>0</v>
      </c>
      <c r="N75" s="300">
        <f t="shared" si="38"/>
        <v>0</v>
      </c>
      <c r="O75" s="300">
        <f t="shared" si="38"/>
        <v>0</v>
      </c>
      <c r="P75" s="300">
        <f t="shared" si="38"/>
        <v>0</v>
      </c>
      <c r="Q75" s="300">
        <f t="shared" si="38"/>
        <v>0</v>
      </c>
      <c r="R75" s="300">
        <f t="shared" si="38"/>
        <v>0</v>
      </c>
      <c r="S75" s="300">
        <f t="shared" si="38"/>
        <v>0</v>
      </c>
      <c r="T75" s="300">
        <f t="shared" si="38"/>
        <v>0</v>
      </c>
      <c r="U75" s="300">
        <f t="shared" si="38"/>
        <v>0</v>
      </c>
      <c r="V75" s="300">
        <f t="shared" si="38"/>
        <v>0</v>
      </c>
      <c r="W75" s="300">
        <f t="shared" si="38"/>
        <v>0</v>
      </c>
      <c r="X75" s="300">
        <f t="shared" si="38"/>
        <v>0</v>
      </c>
      <c r="Y75" s="300">
        <f t="shared" si="38"/>
        <v>0</v>
      </c>
      <c r="Z75" s="300">
        <f t="shared" si="38"/>
        <v>0</v>
      </c>
      <c r="AA75" s="300">
        <f t="shared" si="38"/>
        <v>0</v>
      </c>
      <c r="AB75" s="300">
        <f t="shared" si="38"/>
        <v>0</v>
      </c>
      <c r="AC75" s="300">
        <f t="shared" si="38"/>
        <v>0</v>
      </c>
      <c r="AD75" s="300">
        <f t="shared" si="38"/>
        <v>0</v>
      </c>
      <c r="AE75" s="300">
        <f t="shared" si="38"/>
        <v>0</v>
      </c>
      <c r="AF75" s="300">
        <f t="shared" si="38"/>
        <v>0</v>
      </c>
      <c r="AG75" s="300">
        <f t="shared" si="38"/>
        <v>0</v>
      </c>
      <c r="AH75" s="245"/>
      <c r="AI75" s="423"/>
      <c r="AJ75" s="424"/>
      <c r="AL75" s="221"/>
      <c r="AM75" s="124"/>
      <c r="AN75" s="124"/>
      <c r="AO75" s="124"/>
      <c r="BD75" s="124"/>
      <c r="BE75" s="124"/>
      <c r="BF75" s="124"/>
      <c r="BG75" s="124"/>
      <c r="BH75" s="124"/>
      <c r="BI75" s="124"/>
      <c r="BJ75" s="124"/>
      <c r="BK75" s="124"/>
    </row>
    <row r="76" spans="1:63" s="1" customFormat="1" outlineLevel="1">
      <c r="A76" s="1" t="s">
        <v>1565</v>
      </c>
      <c r="B76" s="65"/>
      <c r="C76" s="300">
        <f t="shared" ref="C76:AG76" si="39">C50*C69</f>
        <v>0</v>
      </c>
      <c r="D76" s="300">
        <f t="shared" si="39"/>
        <v>0</v>
      </c>
      <c r="E76" s="300">
        <f t="shared" si="39"/>
        <v>0</v>
      </c>
      <c r="F76" s="300">
        <f t="shared" si="39"/>
        <v>0</v>
      </c>
      <c r="G76" s="300">
        <f t="shared" si="39"/>
        <v>0</v>
      </c>
      <c r="H76" s="300">
        <f t="shared" si="39"/>
        <v>0</v>
      </c>
      <c r="I76" s="300">
        <f t="shared" si="39"/>
        <v>0</v>
      </c>
      <c r="J76" s="300">
        <f t="shared" si="39"/>
        <v>0</v>
      </c>
      <c r="K76" s="300">
        <f t="shared" si="39"/>
        <v>0</v>
      </c>
      <c r="L76" s="300">
        <f t="shared" si="39"/>
        <v>0</v>
      </c>
      <c r="M76" s="300">
        <f t="shared" si="39"/>
        <v>0</v>
      </c>
      <c r="N76" s="300">
        <f t="shared" si="39"/>
        <v>0</v>
      </c>
      <c r="O76" s="300">
        <f t="shared" si="39"/>
        <v>0</v>
      </c>
      <c r="P76" s="300">
        <f t="shared" si="39"/>
        <v>0</v>
      </c>
      <c r="Q76" s="300">
        <f t="shared" si="39"/>
        <v>0</v>
      </c>
      <c r="R76" s="300">
        <f t="shared" si="39"/>
        <v>0</v>
      </c>
      <c r="S76" s="300">
        <f t="shared" si="39"/>
        <v>0</v>
      </c>
      <c r="T76" s="300">
        <f t="shared" si="39"/>
        <v>0</v>
      </c>
      <c r="U76" s="300">
        <f t="shared" si="39"/>
        <v>0</v>
      </c>
      <c r="V76" s="300">
        <f t="shared" si="39"/>
        <v>0</v>
      </c>
      <c r="W76" s="300">
        <f t="shared" si="39"/>
        <v>0</v>
      </c>
      <c r="X76" s="300">
        <f t="shared" si="39"/>
        <v>0</v>
      </c>
      <c r="Y76" s="300">
        <f t="shared" si="39"/>
        <v>0</v>
      </c>
      <c r="Z76" s="300">
        <f t="shared" si="39"/>
        <v>0</v>
      </c>
      <c r="AA76" s="300">
        <f t="shared" si="39"/>
        <v>0</v>
      </c>
      <c r="AB76" s="300">
        <f t="shared" si="39"/>
        <v>0</v>
      </c>
      <c r="AC76" s="300">
        <f t="shared" si="39"/>
        <v>0</v>
      </c>
      <c r="AD76" s="300">
        <f t="shared" si="39"/>
        <v>0</v>
      </c>
      <c r="AE76" s="300">
        <f t="shared" si="39"/>
        <v>0</v>
      </c>
      <c r="AF76" s="300">
        <f t="shared" si="39"/>
        <v>0</v>
      </c>
      <c r="AG76" s="300">
        <f t="shared" si="39"/>
        <v>0</v>
      </c>
      <c r="AH76" s="245"/>
      <c r="AI76" s="423"/>
      <c r="AJ76" s="424"/>
      <c r="AL76" s="221"/>
      <c r="AM76" s="124"/>
      <c r="AN76" s="124"/>
      <c r="AO76" s="124"/>
      <c r="BD76" s="124"/>
      <c r="BE76" s="124"/>
      <c r="BF76" s="124"/>
      <c r="BG76" s="124"/>
      <c r="BH76" s="124"/>
      <c r="BI76" s="124"/>
      <c r="BJ76" s="124"/>
      <c r="BK76" s="124"/>
    </row>
    <row r="77" spans="1:63" s="1" customFormat="1" outlineLevel="1">
      <c r="A77" s="1" t="s">
        <v>1566</v>
      </c>
      <c r="B77" s="65"/>
      <c r="C77" s="300">
        <f t="shared" ref="C77:AG77" si="40">C76-$C76</f>
        <v>0</v>
      </c>
      <c r="D77" s="300">
        <f t="shared" si="40"/>
        <v>0</v>
      </c>
      <c r="E77" s="300">
        <f t="shared" si="40"/>
        <v>0</v>
      </c>
      <c r="F77" s="300">
        <f t="shared" si="40"/>
        <v>0</v>
      </c>
      <c r="G77" s="300">
        <f t="shared" si="40"/>
        <v>0</v>
      </c>
      <c r="H77" s="300">
        <f t="shared" si="40"/>
        <v>0</v>
      </c>
      <c r="I77" s="300">
        <f t="shared" si="40"/>
        <v>0</v>
      </c>
      <c r="J77" s="300">
        <f t="shared" si="40"/>
        <v>0</v>
      </c>
      <c r="K77" s="300">
        <f t="shared" si="40"/>
        <v>0</v>
      </c>
      <c r="L77" s="300">
        <f t="shared" si="40"/>
        <v>0</v>
      </c>
      <c r="M77" s="300">
        <f t="shared" si="40"/>
        <v>0</v>
      </c>
      <c r="N77" s="300">
        <f t="shared" si="40"/>
        <v>0</v>
      </c>
      <c r="O77" s="300">
        <f t="shared" si="40"/>
        <v>0</v>
      </c>
      <c r="P77" s="300">
        <f t="shared" si="40"/>
        <v>0</v>
      </c>
      <c r="Q77" s="300">
        <f t="shared" si="40"/>
        <v>0</v>
      </c>
      <c r="R77" s="300">
        <f t="shared" si="40"/>
        <v>0</v>
      </c>
      <c r="S77" s="300">
        <f t="shared" si="40"/>
        <v>0</v>
      </c>
      <c r="T77" s="300">
        <f t="shared" si="40"/>
        <v>0</v>
      </c>
      <c r="U77" s="300">
        <f t="shared" si="40"/>
        <v>0</v>
      </c>
      <c r="V77" s="300">
        <f t="shared" si="40"/>
        <v>0</v>
      </c>
      <c r="W77" s="300">
        <f t="shared" si="40"/>
        <v>0</v>
      </c>
      <c r="X77" s="300">
        <f t="shared" si="40"/>
        <v>0</v>
      </c>
      <c r="Y77" s="300">
        <f t="shared" si="40"/>
        <v>0</v>
      </c>
      <c r="Z77" s="300">
        <f t="shared" si="40"/>
        <v>0</v>
      </c>
      <c r="AA77" s="300">
        <f t="shared" si="40"/>
        <v>0</v>
      </c>
      <c r="AB77" s="300">
        <f t="shared" si="40"/>
        <v>0</v>
      </c>
      <c r="AC77" s="300">
        <f t="shared" si="40"/>
        <v>0</v>
      </c>
      <c r="AD77" s="300">
        <f t="shared" si="40"/>
        <v>0</v>
      </c>
      <c r="AE77" s="300">
        <f t="shared" si="40"/>
        <v>0</v>
      </c>
      <c r="AF77" s="300">
        <f t="shared" si="40"/>
        <v>0</v>
      </c>
      <c r="AG77" s="300">
        <f t="shared" si="40"/>
        <v>0</v>
      </c>
      <c r="AH77" s="245"/>
      <c r="AI77" s="423"/>
      <c r="AJ77" s="424"/>
      <c r="AL77" s="221"/>
      <c r="AM77" s="124"/>
      <c r="AN77" s="124"/>
      <c r="AO77" s="124"/>
      <c r="BD77" s="124"/>
      <c r="BE77" s="124"/>
      <c r="BF77" s="124"/>
      <c r="BG77" s="124"/>
      <c r="BH77" s="124"/>
      <c r="BI77" s="124"/>
      <c r="BJ77" s="124"/>
      <c r="BK77" s="124"/>
    </row>
    <row r="78" spans="1:63" s="1" customFormat="1" outlineLevel="1">
      <c r="A78" s="1" t="s">
        <v>1567</v>
      </c>
      <c r="B78" s="65"/>
      <c r="C78" s="300">
        <f t="shared" ref="C78:AG78" si="41">C42*C68</f>
        <v>0</v>
      </c>
      <c r="D78" s="300">
        <f t="shared" si="41"/>
        <v>0</v>
      </c>
      <c r="E78" s="300">
        <f t="shared" si="41"/>
        <v>0</v>
      </c>
      <c r="F78" s="300">
        <f t="shared" si="41"/>
        <v>0</v>
      </c>
      <c r="G78" s="300">
        <f t="shared" si="41"/>
        <v>0</v>
      </c>
      <c r="H78" s="300">
        <f t="shared" si="41"/>
        <v>0</v>
      </c>
      <c r="I78" s="300">
        <f t="shared" si="41"/>
        <v>0</v>
      </c>
      <c r="J78" s="300">
        <f t="shared" si="41"/>
        <v>0</v>
      </c>
      <c r="K78" s="300">
        <f t="shared" si="41"/>
        <v>0</v>
      </c>
      <c r="L78" s="300">
        <f t="shared" si="41"/>
        <v>0</v>
      </c>
      <c r="M78" s="300">
        <f t="shared" si="41"/>
        <v>0</v>
      </c>
      <c r="N78" s="300">
        <f t="shared" si="41"/>
        <v>0</v>
      </c>
      <c r="O78" s="300">
        <f t="shared" si="41"/>
        <v>0</v>
      </c>
      <c r="P78" s="300">
        <f t="shared" si="41"/>
        <v>0</v>
      </c>
      <c r="Q78" s="300">
        <f t="shared" si="41"/>
        <v>0</v>
      </c>
      <c r="R78" s="300">
        <f t="shared" si="41"/>
        <v>0</v>
      </c>
      <c r="S78" s="300">
        <f t="shared" si="41"/>
        <v>0</v>
      </c>
      <c r="T78" s="300">
        <f t="shared" si="41"/>
        <v>0</v>
      </c>
      <c r="U78" s="300">
        <f t="shared" si="41"/>
        <v>0</v>
      </c>
      <c r="V78" s="300">
        <f t="shared" si="41"/>
        <v>0</v>
      </c>
      <c r="W78" s="300">
        <f t="shared" si="41"/>
        <v>0</v>
      </c>
      <c r="X78" s="300">
        <f t="shared" si="41"/>
        <v>0</v>
      </c>
      <c r="Y78" s="300">
        <f t="shared" si="41"/>
        <v>0</v>
      </c>
      <c r="Z78" s="300">
        <f t="shared" si="41"/>
        <v>0</v>
      </c>
      <c r="AA78" s="300">
        <f t="shared" si="41"/>
        <v>0</v>
      </c>
      <c r="AB78" s="300">
        <f t="shared" si="41"/>
        <v>0</v>
      </c>
      <c r="AC78" s="300">
        <f t="shared" si="41"/>
        <v>0</v>
      </c>
      <c r="AD78" s="300">
        <f t="shared" si="41"/>
        <v>0</v>
      </c>
      <c r="AE78" s="300">
        <f t="shared" si="41"/>
        <v>0</v>
      </c>
      <c r="AF78" s="300">
        <f t="shared" si="41"/>
        <v>0</v>
      </c>
      <c r="AG78" s="300">
        <f t="shared" si="41"/>
        <v>0</v>
      </c>
      <c r="AH78" s="245"/>
      <c r="AI78" s="423"/>
      <c r="AJ78" s="424"/>
      <c r="AL78" s="221"/>
      <c r="AM78" s="124"/>
      <c r="AN78" s="124"/>
      <c r="AO78" s="124"/>
      <c r="BD78" s="124"/>
      <c r="BE78" s="124"/>
      <c r="BF78" s="124"/>
      <c r="BG78" s="124"/>
      <c r="BH78" s="124"/>
      <c r="BI78" s="124"/>
      <c r="BJ78" s="124"/>
      <c r="BK78" s="124"/>
    </row>
    <row r="79" spans="1:63" s="1" customFormat="1" outlineLevel="1">
      <c r="A79" s="1" t="s">
        <v>1568</v>
      </c>
      <c r="B79" s="65"/>
      <c r="C79" s="300">
        <f t="shared" ref="C79:AG79" si="42">C78-$C78</f>
        <v>0</v>
      </c>
      <c r="D79" s="300">
        <f t="shared" si="42"/>
        <v>0</v>
      </c>
      <c r="E79" s="300">
        <f t="shared" si="42"/>
        <v>0</v>
      </c>
      <c r="F79" s="300">
        <f t="shared" si="42"/>
        <v>0</v>
      </c>
      <c r="G79" s="300">
        <f t="shared" si="42"/>
        <v>0</v>
      </c>
      <c r="H79" s="300">
        <f t="shared" si="42"/>
        <v>0</v>
      </c>
      <c r="I79" s="300">
        <f t="shared" si="42"/>
        <v>0</v>
      </c>
      <c r="J79" s="300">
        <f t="shared" si="42"/>
        <v>0</v>
      </c>
      <c r="K79" s="300">
        <f t="shared" si="42"/>
        <v>0</v>
      </c>
      <c r="L79" s="300">
        <f t="shared" si="42"/>
        <v>0</v>
      </c>
      <c r="M79" s="300">
        <f t="shared" si="42"/>
        <v>0</v>
      </c>
      <c r="N79" s="300">
        <f t="shared" si="42"/>
        <v>0</v>
      </c>
      <c r="O79" s="300">
        <f t="shared" si="42"/>
        <v>0</v>
      </c>
      <c r="P79" s="300">
        <f t="shared" si="42"/>
        <v>0</v>
      </c>
      <c r="Q79" s="300">
        <f t="shared" si="42"/>
        <v>0</v>
      </c>
      <c r="R79" s="300">
        <f t="shared" si="42"/>
        <v>0</v>
      </c>
      <c r="S79" s="300">
        <f t="shared" si="42"/>
        <v>0</v>
      </c>
      <c r="T79" s="300">
        <f t="shared" si="42"/>
        <v>0</v>
      </c>
      <c r="U79" s="300">
        <f t="shared" si="42"/>
        <v>0</v>
      </c>
      <c r="V79" s="300">
        <f t="shared" si="42"/>
        <v>0</v>
      </c>
      <c r="W79" s="300">
        <f t="shared" si="42"/>
        <v>0</v>
      </c>
      <c r="X79" s="300">
        <f t="shared" si="42"/>
        <v>0</v>
      </c>
      <c r="Y79" s="300">
        <f t="shared" si="42"/>
        <v>0</v>
      </c>
      <c r="Z79" s="300">
        <f t="shared" si="42"/>
        <v>0</v>
      </c>
      <c r="AA79" s="300">
        <f t="shared" si="42"/>
        <v>0</v>
      </c>
      <c r="AB79" s="300">
        <f t="shared" si="42"/>
        <v>0</v>
      </c>
      <c r="AC79" s="300">
        <f t="shared" si="42"/>
        <v>0</v>
      </c>
      <c r="AD79" s="300">
        <f t="shared" si="42"/>
        <v>0</v>
      </c>
      <c r="AE79" s="300">
        <f t="shared" si="42"/>
        <v>0</v>
      </c>
      <c r="AF79" s="300">
        <f t="shared" si="42"/>
        <v>0</v>
      </c>
      <c r="AG79" s="300">
        <f t="shared" si="42"/>
        <v>0</v>
      </c>
      <c r="AH79" s="245"/>
      <c r="AI79" s="423"/>
      <c r="AJ79" s="424"/>
      <c r="AL79" s="221"/>
      <c r="AM79" s="124"/>
      <c r="AN79" s="124"/>
      <c r="AO79" s="124"/>
      <c r="BD79" s="124"/>
      <c r="BE79" s="124"/>
      <c r="BF79" s="124"/>
      <c r="BG79" s="124"/>
      <c r="BH79" s="124"/>
      <c r="BI79" s="124"/>
      <c r="BJ79" s="124"/>
      <c r="BK79" s="124"/>
    </row>
    <row r="80" spans="1:63" s="1" customFormat="1" outlineLevel="1">
      <c r="A80" s="1" t="s">
        <v>1569</v>
      </c>
      <c r="B80" s="65"/>
      <c r="C80" s="300">
        <f t="shared" ref="C80:AG80" si="43">C42*C70</f>
        <v>0</v>
      </c>
      <c r="D80" s="300">
        <f t="shared" si="43"/>
        <v>0</v>
      </c>
      <c r="E80" s="300">
        <f t="shared" si="43"/>
        <v>0</v>
      </c>
      <c r="F80" s="300">
        <f t="shared" si="43"/>
        <v>0</v>
      </c>
      <c r="G80" s="300">
        <f t="shared" si="43"/>
        <v>0</v>
      </c>
      <c r="H80" s="300">
        <f t="shared" si="43"/>
        <v>0</v>
      </c>
      <c r="I80" s="300">
        <f t="shared" si="43"/>
        <v>0</v>
      </c>
      <c r="J80" s="300">
        <f t="shared" si="43"/>
        <v>0</v>
      </c>
      <c r="K80" s="300">
        <f t="shared" si="43"/>
        <v>0</v>
      </c>
      <c r="L80" s="300">
        <f t="shared" si="43"/>
        <v>0</v>
      </c>
      <c r="M80" s="300">
        <f t="shared" si="43"/>
        <v>0</v>
      </c>
      <c r="N80" s="300">
        <f t="shared" si="43"/>
        <v>0</v>
      </c>
      <c r="O80" s="300">
        <f t="shared" si="43"/>
        <v>0</v>
      </c>
      <c r="P80" s="300">
        <f t="shared" si="43"/>
        <v>0</v>
      </c>
      <c r="Q80" s="300">
        <f t="shared" si="43"/>
        <v>0</v>
      </c>
      <c r="R80" s="300">
        <f t="shared" si="43"/>
        <v>0</v>
      </c>
      <c r="S80" s="300">
        <f t="shared" si="43"/>
        <v>0</v>
      </c>
      <c r="T80" s="300">
        <f t="shared" si="43"/>
        <v>0</v>
      </c>
      <c r="U80" s="300">
        <f t="shared" si="43"/>
        <v>0</v>
      </c>
      <c r="V80" s="300">
        <f t="shared" si="43"/>
        <v>0</v>
      </c>
      <c r="W80" s="300">
        <f t="shared" si="43"/>
        <v>0</v>
      </c>
      <c r="X80" s="300">
        <f t="shared" si="43"/>
        <v>0</v>
      </c>
      <c r="Y80" s="300">
        <f t="shared" si="43"/>
        <v>0</v>
      </c>
      <c r="Z80" s="300">
        <f t="shared" si="43"/>
        <v>0</v>
      </c>
      <c r="AA80" s="300">
        <f t="shared" si="43"/>
        <v>0</v>
      </c>
      <c r="AB80" s="300">
        <f t="shared" si="43"/>
        <v>0</v>
      </c>
      <c r="AC80" s="300">
        <f t="shared" si="43"/>
        <v>0</v>
      </c>
      <c r="AD80" s="300">
        <f t="shared" si="43"/>
        <v>0</v>
      </c>
      <c r="AE80" s="300">
        <f t="shared" si="43"/>
        <v>0</v>
      </c>
      <c r="AF80" s="300">
        <f t="shared" si="43"/>
        <v>0</v>
      </c>
      <c r="AG80" s="300">
        <f t="shared" si="43"/>
        <v>0</v>
      </c>
      <c r="AH80" s="245"/>
      <c r="AI80" s="423"/>
      <c r="AJ80" s="424"/>
      <c r="AL80" s="221"/>
      <c r="AM80" s="124"/>
      <c r="AN80" s="124"/>
      <c r="AO80" s="124"/>
      <c r="BD80" s="124"/>
      <c r="BE80" s="124"/>
      <c r="BF80" s="124"/>
      <c r="BG80" s="124"/>
      <c r="BH80" s="124"/>
      <c r="BI80" s="124"/>
      <c r="BJ80" s="124"/>
      <c r="BK80" s="124"/>
    </row>
    <row r="81" spans="1:63" s="1" customFormat="1" outlineLevel="1">
      <c r="A81" s="1" t="s">
        <v>1570</v>
      </c>
      <c r="B81" s="65"/>
      <c r="C81" s="300">
        <f t="shared" ref="C81:AG81" si="44">C80-$C80</f>
        <v>0</v>
      </c>
      <c r="D81" s="300">
        <f t="shared" si="44"/>
        <v>0</v>
      </c>
      <c r="E81" s="300">
        <f t="shared" si="44"/>
        <v>0</v>
      </c>
      <c r="F81" s="300">
        <f t="shared" si="44"/>
        <v>0</v>
      </c>
      <c r="G81" s="300">
        <f t="shared" si="44"/>
        <v>0</v>
      </c>
      <c r="H81" s="300">
        <f t="shared" si="44"/>
        <v>0</v>
      </c>
      <c r="I81" s="300">
        <f t="shared" si="44"/>
        <v>0</v>
      </c>
      <c r="J81" s="300">
        <f t="shared" si="44"/>
        <v>0</v>
      </c>
      <c r="K81" s="300">
        <f t="shared" si="44"/>
        <v>0</v>
      </c>
      <c r="L81" s="300">
        <f t="shared" si="44"/>
        <v>0</v>
      </c>
      <c r="M81" s="300">
        <f t="shared" si="44"/>
        <v>0</v>
      </c>
      <c r="N81" s="300">
        <f t="shared" si="44"/>
        <v>0</v>
      </c>
      <c r="O81" s="300">
        <f t="shared" si="44"/>
        <v>0</v>
      </c>
      <c r="P81" s="300">
        <f t="shared" si="44"/>
        <v>0</v>
      </c>
      <c r="Q81" s="300">
        <f t="shared" si="44"/>
        <v>0</v>
      </c>
      <c r="R81" s="300">
        <f t="shared" si="44"/>
        <v>0</v>
      </c>
      <c r="S81" s="300">
        <f t="shared" si="44"/>
        <v>0</v>
      </c>
      <c r="T81" s="300">
        <f t="shared" si="44"/>
        <v>0</v>
      </c>
      <c r="U81" s="300">
        <f t="shared" si="44"/>
        <v>0</v>
      </c>
      <c r="V81" s="300">
        <f t="shared" si="44"/>
        <v>0</v>
      </c>
      <c r="W81" s="300">
        <f t="shared" si="44"/>
        <v>0</v>
      </c>
      <c r="X81" s="300">
        <f t="shared" si="44"/>
        <v>0</v>
      </c>
      <c r="Y81" s="300">
        <f t="shared" si="44"/>
        <v>0</v>
      </c>
      <c r="Z81" s="300">
        <f t="shared" si="44"/>
        <v>0</v>
      </c>
      <c r="AA81" s="300">
        <f t="shared" si="44"/>
        <v>0</v>
      </c>
      <c r="AB81" s="300">
        <f t="shared" si="44"/>
        <v>0</v>
      </c>
      <c r="AC81" s="300">
        <f t="shared" si="44"/>
        <v>0</v>
      </c>
      <c r="AD81" s="300">
        <f t="shared" si="44"/>
        <v>0</v>
      </c>
      <c r="AE81" s="300">
        <f t="shared" si="44"/>
        <v>0</v>
      </c>
      <c r="AF81" s="300">
        <f t="shared" si="44"/>
        <v>0</v>
      </c>
      <c r="AG81" s="300">
        <f t="shared" si="44"/>
        <v>0</v>
      </c>
      <c r="AH81" s="245"/>
      <c r="AI81" s="423"/>
      <c r="AJ81" s="424"/>
      <c r="AL81" s="221"/>
      <c r="AM81" s="124"/>
      <c r="AN81" s="124"/>
      <c r="AO81" s="124"/>
      <c r="BD81" s="124"/>
      <c r="BE81" s="124"/>
      <c r="BF81" s="124"/>
      <c r="BG81" s="124"/>
      <c r="BH81" s="124"/>
      <c r="BI81" s="124"/>
      <c r="BJ81" s="124"/>
      <c r="BK81" s="124"/>
    </row>
    <row r="82" spans="1:63" outlineLevel="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I82" s="134"/>
      <c r="AJ82" s="211"/>
      <c r="AL82" s="108"/>
      <c r="AM82" s="132"/>
      <c r="AN82" s="2"/>
      <c r="AO82" s="2"/>
    </row>
    <row r="83" spans="1:63" s="200" customFormat="1" ht="16" thickBot="1">
      <c r="A83" s="200" t="s">
        <v>1330</v>
      </c>
      <c r="B83" s="215"/>
      <c r="C83" s="222">
        <f>C84</f>
        <v>0.1</v>
      </c>
      <c r="D83" s="222">
        <f t="shared" ref="D83:AG83" si="45">D84</f>
        <v>0.11333333333333334</v>
      </c>
      <c r="E83" s="222">
        <f t="shared" si="45"/>
        <v>0.12666666666666668</v>
      </c>
      <c r="F83" s="222">
        <f t="shared" si="45"/>
        <v>0.14000000000000001</v>
      </c>
      <c r="G83" s="222">
        <f t="shared" si="45"/>
        <v>0.15333333333333332</v>
      </c>
      <c r="H83" s="222">
        <f t="shared" si="45"/>
        <v>0.16666666666666669</v>
      </c>
      <c r="I83" s="222">
        <f t="shared" si="45"/>
        <v>0.18</v>
      </c>
      <c r="J83" s="222">
        <f t="shared" si="45"/>
        <v>0.19333333333333333</v>
      </c>
      <c r="K83" s="222">
        <f t="shared" si="45"/>
        <v>0.20666666666666667</v>
      </c>
      <c r="L83" s="222">
        <f t="shared" si="45"/>
        <v>0.22</v>
      </c>
      <c r="M83" s="222">
        <f t="shared" si="45"/>
        <v>0.23333333333333334</v>
      </c>
      <c r="N83" s="222">
        <f t="shared" si="45"/>
        <v>0.24666666666666667</v>
      </c>
      <c r="O83" s="222">
        <f t="shared" si="45"/>
        <v>0.26</v>
      </c>
      <c r="P83" s="222">
        <f t="shared" si="45"/>
        <v>0.27333333333333332</v>
      </c>
      <c r="Q83" s="222">
        <f t="shared" si="45"/>
        <v>0.28666666666666668</v>
      </c>
      <c r="R83" s="222">
        <f t="shared" si="45"/>
        <v>0.30000000000000004</v>
      </c>
      <c r="S83" s="222">
        <f t="shared" si="45"/>
        <v>0.31333333333333335</v>
      </c>
      <c r="T83" s="222">
        <f t="shared" si="45"/>
        <v>0.32666666666666666</v>
      </c>
      <c r="U83" s="222">
        <f t="shared" si="45"/>
        <v>0.34</v>
      </c>
      <c r="V83" s="222">
        <f t="shared" si="45"/>
        <v>0.35333333333333339</v>
      </c>
      <c r="W83" s="222">
        <f t="shared" si="45"/>
        <v>0.3666666666666667</v>
      </c>
      <c r="X83" s="222">
        <f t="shared" si="45"/>
        <v>0.38</v>
      </c>
      <c r="Y83" s="222">
        <f t="shared" si="45"/>
        <v>0.39333333333333337</v>
      </c>
      <c r="Z83" s="222">
        <f t="shared" si="45"/>
        <v>0.40666666666666668</v>
      </c>
      <c r="AA83" s="222">
        <f t="shared" si="45"/>
        <v>0.42000000000000004</v>
      </c>
      <c r="AB83" s="222">
        <f t="shared" si="45"/>
        <v>0.43333333333333335</v>
      </c>
      <c r="AC83" s="222">
        <f t="shared" si="45"/>
        <v>0.44666666666666666</v>
      </c>
      <c r="AD83" s="222">
        <f t="shared" si="45"/>
        <v>0.46</v>
      </c>
      <c r="AE83" s="222">
        <f t="shared" si="45"/>
        <v>0.47333333333333333</v>
      </c>
      <c r="AF83" s="222">
        <f t="shared" si="45"/>
        <v>0.48666666666666669</v>
      </c>
      <c r="AG83" s="222">
        <f t="shared" si="45"/>
        <v>0.5</v>
      </c>
      <c r="AJ83" s="231" t="s">
        <v>1331</v>
      </c>
      <c r="AL83" s="217"/>
      <c r="AM83" s="218"/>
      <c r="AN83" s="218"/>
      <c r="AO83" s="218"/>
    </row>
    <row r="84" spans="1:63" ht="16" outlineLevel="1" thickTop="1">
      <c r="A84" t="s">
        <v>1332</v>
      </c>
      <c r="B84" s="54" t="s">
        <v>462</v>
      </c>
      <c r="C84" s="214">
        <v>0.1</v>
      </c>
      <c r="D84" s="110">
        <f>$C84+($M84-$C84)/10*(D$1-$C$1)</f>
        <v>0.11333333333333334</v>
      </c>
      <c r="E84" s="110">
        <f t="shared" ref="E84:L84" si="46">$C84+($M84-$C84)/10*(E$1-$C$1)</f>
        <v>0.12666666666666668</v>
      </c>
      <c r="F84" s="110">
        <f t="shared" si="46"/>
        <v>0.14000000000000001</v>
      </c>
      <c r="G84" s="110">
        <f t="shared" si="46"/>
        <v>0.15333333333333332</v>
      </c>
      <c r="H84" s="110">
        <f t="shared" si="46"/>
        <v>0.16666666666666669</v>
      </c>
      <c r="I84" s="110">
        <f t="shared" si="46"/>
        <v>0.18</v>
      </c>
      <c r="J84" s="110">
        <f t="shared" si="46"/>
        <v>0.19333333333333333</v>
      </c>
      <c r="K84" s="110">
        <f t="shared" si="46"/>
        <v>0.20666666666666667</v>
      </c>
      <c r="L84" s="110">
        <f t="shared" si="46"/>
        <v>0.22</v>
      </c>
      <c r="M84" s="121">
        <f>C84+(AG84-C84)/3</f>
        <v>0.23333333333333334</v>
      </c>
      <c r="N84" s="121">
        <f>$M84+($W84-$M84)/10*(N$1-$M$1)</f>
        <v>0.24666666666666667</v>
      </c>
      <c r="O84" s="121">
        <f t="shared" ref="O84:U84" si="47">$M84+($W84-$M84)/10*(O$1-$M$1)</f>
        <v>0.26</v>
      </c>
      <c r="P84" s="121">
        <f t="shared" si="47"/>
        <v>0.27333333333333332</v>
      </c>
      <c r="Q84" s="121">
        <f t="shared" si="47"/>
        <v>0.28666666666666668</v>
      </c>
      <c r="R84" s="121">
        <f t="shared" si="47"/>
        <v>0.30000000000000004</v>
      </c>
      <c r="S84" s="121">
        <f t="shared" si="47"/>
        <v>0.31333333333333335</v>
      </c>
      <c r="T84" s="121">
        <f t="shared" si="47"/>
        <v>0.32666666666666666</v>
      </c>
      <c r="U84" s="121">
        <f t="shared" si="47"/>
        <v>0.34</v>
      </c>
      <c r="V84" s="121">
        <f>$M84+($W84-$M84)/10*(V$1-$M$1)</f>
        <v>0.35333333333333339</v>
      </c>
      <c r="W84" s="121">
        <f>C84+(AG84-C84)*2/3</f>
        <v>0.3666666666666667</v>
      </c>
      <c r="X84" s="110">
        <f>$W84+($AG84-$W84)/10*(X$1-$W$1)</f>
        <v>0.38</v>
      </c>
      <c r="Y84" s="110">
        <f t="shared" ref="Y84:AF84" si="48">$W84+($AG84-$W84)/10*(Y$1-$W$1)</f>
        <v>0.39333333333333337</v>
      </c>
      <c r="Z84" s="110">
        <f t="shared" si="48"/>
        <v>0.40666666666666668</v>
      </c>
      <c r="AA84" s="110">
        <f t="shared" si="48"/>
        <v>0.42000000000000004</v>
      </c>
      <c r="AB84" s="110">
        <f t="shared" si="48"/>
        <v>0.43333333333333335</v>
      </c>
      <c r="AC84" s="110">
        <f t="shared" si="48"/>
        <v>0.44666666666666666</v>
      </c>
      <c r="AD84" s="110">
        <f t="shared" si="48"/>
        <v>0.46</v>
      </c>
      <c r="AE84" s="110">
        <f t="shared" si="48"/>
        <v>0.47333333333333333</v>
      </c>
      <c r="AF84" s="110">
        <f t="shared" si="48"/>
        <v>0.48666666666666669</v>
      </c>
      <c r="AG84" s="214">
        <v>0.5</v>
      </c>
      <c r="AJ84" s="211" t="s">
        <v>1684</v>
      </c>
    </row>
    <row r="85" spans="1:63" outlineLevel="1">
      <c r="A85" t="s">
        <v>1437</v>
      </c>
      <c r="B85" s="54" t="s">
        <v>462</v>
      </c>
      <c r="C85" s="214">
        <v>0</v>
      </c>
      <c r="D85" s="110">
        <f t="shared" ref="D85:AF85" si="49">C85-($C$85-$AG$85)/($AG$1-$C$1)</f>
        <v>0.01</v>
      </c>
      <c r="E85" s="110">
        <f t="shared" si="49"/>
        <v>0.02</v>
      </c>
      <c r="F85" s="110">
        <f t="shared" si="49"/>
        <v>0.03</v>
      </c>
      <c r="G85" s="110">
        <f t="shared" si="49"/>
        <v>0.04</v>
      </c>
      <c r="H85" s="110">
        <f t="shared" si="49"/>
        <v>0.05</v>
      </c>
      <c r="I85" s="110">
        <f t="shared" si="49"/>
        <v>6.0000000000000005E-2</v>
      </c>
      <c r="J85" s="110">
        <f t="shared" si="49"/>
        <v>7.0000000000000007E-2</v>
      </c>
      <c r="K85" s="110">
        <f t="shared" si="49"/>
        <v>0.08</v>
      </c>
      <c r="L85" s="110">
        <f t="shared" si="49"/>
        <v>0.09</v>
      </c>
      <c r="M85" s="110">
        <f t="shared" si="49"/>
        <v>9.9999999999999992E-2</v>
      </c>
      <c r="N85" s="110">
        <f t="shared" si="49"/>
        <v>0.10999999999999999</v>
      </c>
      <c r="O85" s="110">
        <f t="shared" si="49"/>
        <v>0.11999999999999998</v>
      </c>
      <c r="P85" s="110">
        <f t="shared" si="49"/>
        <v>0.12999999999999998</v>
      </c>
      <c r="Q85" s="110">
        <f t="shared" si="49"/>
        <v>0.13999999999999999</v>
      </c>
      <c r="R85" s="110">
        <f t="shared" si="49"/>
        <v>0.15</v>
      </c>
      <c r="S85" s="110">
        <f t="shared" si="49"/>
        <v>0.16</v>
      </c>
      <c r="T85" s="110">
        <f t="shared" si="49"/>
        <v>0.17</v>
      </c>
      <c r="U85" s="110">
        <f t="shared" si="49"/>
        <v>0.18000000000000002</v>
      </c>
      <c r="V85" s="110">
        <f t="shared" si="49"/>
        <v>0.19000000000000003</v>
      </c>
      <c r="W85" s="110">
        <f t="shared" si="49"/>
        <v>0.20000000000000004</v>
      </c>
      <c r="X85" s="110">
        <f t="shared" si="49"/>
        <v>0.21000000000000005</v>
      </c>
      <c r="Y85" s="110">
        <f t="shared" si="49"/>
        <v>0.22000000000000006</v>
      </c>
      <c r="Z85" s="110">
        <f t="shared" si="49"/>
        <v>0.23000000000000007</v>
      </c>
      <c r="AA85" s="110">
        <f t="shared" si="49"/>
        <v>0.24000000000000007</v>
      </c>
      <c r="AB85" s="110">
        <f t="shared" si="49"/>
        <v>0.25000000000000006</v>
      </c>
      <c r="AC85" s="110">
        <f t="shared" si="49"/>
        <v>0.26000000000000006</v>
      </c>
      <c r="AD85" s="110">
        <f t="shared" si="49"/>
        <v>0.27000000000000007</v>
      </c>
      <c r="AE85" s="110">
        <f t="shared" si="49"/>
        <v>0.28000000000000008</v>
      </c>
      <c r="AF85" s="110">
        <f t="shared" si="49"/>
        <v>0.29000000000000009</v>
      </c>
      <c r="AG85" s="214">
        <v>0.3</v>
      </c>
      <c r="AI85" s="134"/>
      <c r="AJ85" s="211" t="s">
        <v>1217</v>
      </c>
      <c r="AL85" s="54" t="s">
        <v>1439</v>
      </c>
    </row>
    <row r="86" spans="1:63" outlineLevel="1">
      <c r="A86" t="s">
        <v>1440</v>
      </c>
      <c r="B86" s="176" t="s">
        <v>462</v>
      </c>
      <c r="C86" s="110">
        <f>1-C85</f>
        <v>1</v>
      </c>
      <c r="D86" s="110">
        <f t="shared" ref="D86:AG86" si="50">1-D85</f>
        <v>0.99</v>
      </c>
      <c r="E86" s="110">
        <f t="shared" si="50"/>
        <v>0.98</v>
      </c>
      <c r="F86" s="110">
        <f t="shared" si="50"/>
        <v>0.97</v>
      </c>
      <c r="G86" s="110">
        <f t="shared" si="50"/>
        <v>0.96</v>
      </c>
      <c r="H86" s="110">
        <f t="shared" si="50"/>
        <v>0.95</v>
      </c>
      <c r="I86" s="110">
        <f t="shared" si="50"/>
        <v>0.94</v>
      </c>
      <c r="J86" s="110">
        <f t="shared" si="50"/>
        <v>0.92999999999999994</v>
      </c>
      <c r="K86" s="110">
        <f t="shared" si="50"/>
        <v>0.92</v>
      </c>
      <c r="L86" s="110">
        <f t="shared" si="50"/>
        <v>0.91</v>
      </c>
      <c r="M86" s="110">
        <f t="shared" si="50"/>
        <v>0.9</v>
      </c>
      <c r="N86" s="110">
        <f t="shared" si="50"/>
        <v>0.89</v>
      </c>
      <c r="O86" s="110">
        <f t="shared" si="50"/>
        <v>0.88</v>
      </c>
      <c r="P86" s="110">
        <f t="shared" si="50"/>
        <v>0.87</v>
      </c>
      <c r="Q86" s="110">
        <f t="shared" si="50"/>
        <v>0.86</v>
      </c>
      <c r="R86" s="110">
        <f t="shared" si="50"/>
        <v>0.85</v>
      </c>
      <c r="S86" s="110">
        <f t="shared" si="50"/>
        <v>0.84</v>
      </c>
      <c r="T86" s="110">
        <f t="shared" si="50"/>
        <v>0.83</v>
      </c>
      <c r="U86" s="110">
        <f t="shared" si="50"/>
        <v>0.82</v>
      </c>
      <c r="V86" s="110">
        <f t="shared" si="50"/>
        <v>0.80999999999999994</v>
      </c>
      <c r="W86" s="110">
        <f t="shared" si="50"/>
        <v>0.79999999999999993</v>
      </c>
      <c r="X86" s="110">
        <f t="shared" si="50"/>
        <v>0.78999999999999992</v>
      </c>
      <c r="Y86" s="110">
        <f t="shared" si="50"/>
        <v>0.77999999999999992</v>
      </c>
      <c r="Z86" s="110">
        <f t="shared" si="50"/>
        <v>0.76999999999999991</v>
      </c>
      <c r="AA86" s="110">
        <f t="shared" si="50"/>
        <v>0.7599999999999999</v>
      </c>
      <c r="AB86" s="110">
        <f t="shared" si="50"/>
        <v>0.75</v>
      </c>
      <c r="AC86" s="110">
        <f t="shared" si="50"/>
        <v>0.74</v>
      </c>
      <c r="AD86" s="110">
        <f t="shared" si="50"/>
        <v>0.73</v>
      </c>
      <c r="AE86" s="110">
        <f t="shared" si="50"/>
        <v>0.72</v>
      </c>
      <c r="AF86" s="110">
        <f t="shared" si="50"/>
        <v>0.71</v>
      </c>
      <c r="AG86" s="110">
        <f t="shared" si="50"/>
        <v>0.7</v>
      </c>
      <c r="AI86" s="134"/>
      <c r="AJ86" s="211"/>
      <c r="BD86" s="760"/>
      <c r="BE86" s="760"/>
    </row>
    <row r="87" spans="1:63" outlineLevel="1">
      <c r="A87" t="s">
        <v>1333</v>
      </c>
      <c r="B87" s="54" t="s">
        <v>462</v>
      </c>
      <c r="C87" s="110">
        <f>C84*C85</f>
        <v>0</v>
      </c>
      <c r="D87" s="110">
        <f t="shared" ref="D87:AG87" si="51">D84*D85</f>
        <v>1.1333333333333334E-3</v>
      </c>
      <c r="E87" s="110">
        <f t="shared" si="51"/>
        <v>2.5333333333333336E-3</v>
      </c>
      <c r="F87" s="110">
        <f t="shared" si="51"/>
        <v>4.2000000000000006E-3</v>
      </c>
      <c r="G87" s="110">
        <f t="shared" si="51"/>
        <v>6.1333333333333327E-3</v>
      </c>
      <c r="H87" s="110">
        <f t="shared" si="51"/>
        <v>8.333333333333335E-3</v>
      </c>
      <c r="I87" s="110">
        <f t="shared" si="51"/>
        <v>1.0800000000000001E-2</v>
      </c>
      <c r="J87" s="110">
        <f t="shared" si="51"/>
        <v>1.3533333333333335E-2</v>
      </c>
      <c r="K87" s="110">
        <f t="shared" si="51"/>
        <v>1.6533333333333334E-2</v>
      </c>
      <c r="L87" s="110">
        <f t="shared" si="51"/>
        <v>1.9799999999999998E-2</v>
      </c>
      <c r="M87" s="110">
        <f t="shared" si="51"/>
        <v>2.3333333333333331E-2</v>
      </c>
      <c r="N87" s="110">
        <f t="shared" si="51"/>
        <v>2.7133333333333332E-2</v>
      </c>
      <c r="O87" s="110">
        <f t="shared" si="51"/>
        <v>3.1199999999999995E-2</v>
      </c>
      <c r="P87" s="110">
        <f t="shared" si="51"/>
        <v>3.5533333333333326E-2</v>
      </c>
      <c r="Q87" s="110">
        <f t="shared" si="51"/>
        <v>4.0133333333333333E-2</v>
      </c>
      <c r="R87" s="110">
        <f t="shared" si="51"/>
        <v>4.5000000000000005E-2</v>
      </c>
      <c r="S87" s="110">
        <f t="shared" si="51"/>
        <v>5.0133333333333335E-2</v>
      </c>
      <c r="T87" s="110">
        <f t="shared" si="51"/>
        <v>5.5533333333333337E-2</v>
      </c>
      <c r="U87" s="110">
        <f t="shared" si="51"/>
        <v>6.1200000000000011E-2</v>
      </c>
      <c r="V87" s="110">
        <f t="shared" si="51"/>
        <v>6.713333333333335E-2</v>
      </c>
      <c r="W87" s="110">
        <f t="shared" si="51"/>
        <v>7.3333333333333348E-2</v>
      </c>
      <c r="X87" s="110">
        <f t="shared" si="51"/>
        <v>7.9800000000000024E-2</v>
      </c>
      <c r="Y87" s="110">
        <f t="shared" si="51"/>
        <v>8.6533333333333365E-2</v>
      </c>
      <c r="Z87" s="110">
        <f t="shared" si="51"/>
        <v>9.3533333333333357E-2</v>
      </c>
      <c r="AA87" s="110">
        <f t="shared" si="51"/>
        <v>0.10080000000000004</v>
      </c>
      <c r="AB87" s="110">
        <f t="shared" si="51"/>
        <v>0.10833333333333336</v>
      </c>
      <c r="AC87" s="110">
        <f t="shared" si="51"/>
        <v>0.11613333333333337</v>
      </c>
      <c r="AD87" s="110">
        <f t="shared" si="51"/>
        <v>0.12420000000000003</v>
      </c>
      <c r="AE87" s="110">
        <f t="shared" si="51"/>
        <v>0.13253333333333336</v>
      </c>
      <c r="AF87" s="110">
        <f t="shared" si="51"/>
        <v>0.14113333333333339</v>
      </c>
      <c r="AG87" s="110">
        <f t="shared" si="51"/>
        <v>0.15</v>
      </c>
      <c r="AI87" s="134"/>
      <c r="AJ87" s="211"/>
      <c r="BD87" s="203"/>
      <c r="BE87" s="203"/>
    </row>
    <row r="88" spans="1:63" outlineLevel="1">
      <c r="A88" t="s">
        <v>1334</v>
      </c>
      <c r="B88" s="54" t="s">
        <v>462</v>
      </c>
      <c r="C88" s="110">
        <f>C84*C86</f>
        <v>0.1</v>
      </c>
      <c r="D88" s="110">
        <f t="shared" ref="D88:AG88" si="52">D84*D86</f>
        <v>0.11220000000000001</v>
      </c>
      <c r="E88" s="110">
        <f t="shared" si="52"/>
        <v>0.12413333333333335</v>
      </c>
      <c r="F88" s="110">
        <f t="shared" si="52"/>
        <v>0.1358</v>
      </c>
      <c r="G88" s="110">
        <f t="shared" si="52"/>
        <v>0.14719999999999997</v>
      </c>
      <c r="H88" s="110">
        <f t="shared" si="52"/>
        <v>0.15833333333333335</v>
      </c>
      <c r="I88" s="110">
        <f t="shared" si="52"/>
        <v>0.16919999999999999</v>
      </c>
      <c r="J88" s="110">
        <f t="shared" si="52"/>
        <v>0.17979999999999999</v>
      </c>
      <c r="K88" s="110">
        <f t="shared" si="52"/>
        <v>0.19013333333333335</v>
      </c>
      <c r="L88" s="110">
        <f t="shared" si="52"/>
        <v>0.20020000000000002</v>
      </c>
      <c r="M88" s="110">
        <f t="shared" si="52"/>
        <v>0.21000000000000002</v>
      </c>
      <c r="N88" s="110">
        <f t="shared" si="52"/>
        <v>0.21953333333333333</v>
      </c>
      <c r="O88" s="110">
        <f t="shared" si="52"/>
        <v>0.2288</v>
      </c>
      <c r="P88" s="110">
        <f t="shared" si="52"/>
        <v>0.23779999999999998</v>
      </c>
      <c r="Q88" s="110">
        <f t="shared" si="52"/>
        <v>0.24653333333333335</v>
      </c>
      <c r="R88" s="110">
        <f t="shared" si="52"/>
        <v>0.255</v>
      </c>
      <c r="S88" s="110">
        <f t="shared" si="52"/>
        <v>0.26319999999999999</v>
      </c>
      <c r="T88" s="110">
        <f t="shared" si="52"/>
        <v>0.27113333333333334</v>
      </c>
      <c r="U88" s="110">
        <f t="shared" si="52"/>
        <v>0.27879999999999999</v>
      </c>
      <c r="V88" s="110">
        <f t="shared" si="52"/>
        <v>0.28620000000000001</v>
      </c>
      <c r="W88" s="110">
        <f t="shared" si="52"/>
        <v>0.29333333333333333</v>
      </c>
      <c r="X88" s="110">
        <f t="shared" si="52"/>
        <v>0.30019999999999997</v>
      </c>
      <c r="Y88" s="110">
        <f t="shared" si="52"/>
        <v>0.30680000000000002</v>
      </c>
      <c r="Z88" s="110">
        <f t="shared" si="52"/>
        <v>0.31313333333333332</v>
      </c>
      <c r="AA88" s="110">
        <f t="shared" si="52"/>
        <v>0.31919999999999998</v>
      </c>
      <c r="AB88" s="110">
        <f t="shared" si="52"/>
        <v>0.32500000000000001</v>
      </c>
      <c r="AC88" s="110">
        <f t="shared" si="52"/>
        <v>0.33053333333333335</v>
      </c>
      <c r="AD88" s="110">
        <f t="shared" si="52"/>
        <v>0.33579999999999999</v>
      </c>
      <c r="AE88" s="110">
        <f t="shared" si="52"/>
        <v>0.34079999999999999</v>
      </c>
      <c r="AF88" s="110">
        <f t="shared" si="52"/>
        <v>0.34553333333333336</v>
      </c>
      <c r="AG88" s="110">
        <f t="shared" si="52"/>
        <v>0.35</v>
      </c>
      <c r="AI88" s="134"/>
      <c r="AJ88" s="211"/>
      <c r="BD88" s="203"/>
      <c r="BE88" s="203"/>
    </row>
    <row r="89" spans="1:63" outlineLevel="1">
      <c r="B89" s="176"/>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I89" s="134"/>
      <c r="AJ89" s="211"/>
      <c r="BD89" s="203"/>
      <c r="BE89" s="203"/>
    </row>
    <row r="90" spans="1:63" ht="16" outlineLevel="1">
      <c r="A90" t="s">
        <v>1441</v>
      </c>
      <c r="B90" s="54" t="s">
        <v>462</v>
      </c>
      <c r="C90" s="214">
        <v>0.9</v>
      </c>
      <c r="D90" s="110">
        <f>C90</f>
        <v>0.9</v>
      </c>
      <c r="E90" s="110">
        <f t="shared" ref="E90:AG92" si="53">D90</f>
        <v>0.9</v>
      </c>
      <c r="F90" s="110">
        <f t="shared" si="53"/>
        <v>0.9</v>
      </c>
      <c r="G90" s="110">
        <f t="shared" si="53"/>
        <v>0.9</v>
      </c>
      <c r="H90" s="110">
        <f t="shared" si="53"/>
        <v>0.9</v>
      </c>
      <c r="I90" s="110">
        <f t="shared" si="53"/>
        <v>0.9</v>
      </c>
      <c r="J90" s="110">
        <f t="shared" si="53"/>
        <v>0.9</v>
      </c>
      <c r="K90" s="110">
        <f t="shared" si="53"/>
        <v>0.9</v>
      </c>
      <c r="L90" s="110">
        <f t="shared" si="53"/>
        <v>0.9</v>
      </c>
      <c r="M90" s="110">
        <f t="shared" si="53"/>
        <v>0.9</v>
      </c>
      <c r="N90" s="110">
        <f t="shared" si="53"/>
        <v>0.9</v>
      </c>
      <c r="O90" s="110">
        <f t="shared" si="53"/>
        <v>0.9</v>
      </c>
      <c r="P90" s="110">
        <f t="shared" si="53"/>
        <v>0.9</v>
      </c>
      <c r="Q90" s="110">
        <f t="shared" si="53"/>
        <v>0.9</v>
      </c>
      <c r="R90" s="110">
        <f t="shared" si="53"/>
        <v>0.9</v>
      </c>
      <c r="S90" s="110">
        <f t="shared" si="53"/>
        <v>0.9</v>
      </c>
      <c r="T90" s="110">
        <f t="shared" si="53"/>
        <v>0.9</v>
      </c>
      <c r="U90" s="110">
        <f t="shared" si="53"/>
        <v>0.9</v>
      </c>
      <c r="V90" s="110">
        <f t="shared" si="53"/>
        <v>0.9</v>
      </c>
      <c r="W90" s="110">
        <f t="shared" si="53"/>
        <v>0.9</v>
      </c>
      <c r="X90" s="110">
        <f t="shared" si="53"/>
        <v>0.9</v>
      </c>
      <c r="Y90" s="110">
        <f t="shared" si="53"/>
        <v>0.9</v>
      </c>
      <c r="Z90" s="110">
        <f t="shared" si="53"/>
        <v>0.9</v>
      </c>
      <c r="AA90" s="110">
        <f t="shared" si="53"/>
        <v>0.9</v>
      </c>
      <c r="AB90" s="110">
        <f t="shared" si="53"/>
        <v>0.9</v>
      </c>
      <c r="AC90" s="110">
        <f t="shared" si="53"/>
        <v>0.9</v>
      </c>
      <c r="AD90" s="110">
        <f t="shared" si="53"/>
        <v>0.9</v>
      </c>
      <c r="AE90" s="110">
        <f t="shared" si="53"/>
        <v>0.9</v>
      </c>
      <c r="AF90" s="110">
        <f t="shared" si="53"/>
        <v>0.9</v>
      </c>
      <c r="AG90" s="110">
        <f t="shared" si="53"/>
        <v>0.9</v>
      </c>
      <c r="AI90" s="133" t="s">
        <v>1442</v>
      </c>
      <c r="AJ90" s="597" t="s">
        <v>1685</v>
      </c>
      <c r="BD90" s="203"/>
      <c r="BE90" s="203"/>
    </row>
    <row r="91" spans="1:63" ht="16" outlineLevel="1">
      <c r="A91" t="s">
        <v>1444</v>
      </c>
      <c r="B91" s="54" t="s">
        <v>462</v>
      </c>
      <c r="C91" s="214">
        <v>0</v>
      </c>
      <c r="D91" s="110">
        <f t="shared" ref="D91:S92" si="54">C91</f>
        <v>0</v>
      </c>
      <c r="E91" s="110">
        <f t="shared" si="54"/>
        <v>0</v>
      </c>
      <c r="F91" s="110">
        <f t="shared" si="54"/>
        <v>0</v>
      </c>
      <c r="G91" s="110">
        <f t="shared" si="54"/>
        <v>0</v>
      </c>
      <c r="H91" s="110">
        <f t="shared" si="54"/>
        <v>0</v>
      </c>
      <c r="I91" s="110">
        <f t="shared" si="54"/>
        <v>0</v>
      </c>
      <c r="J91" s="110">
        <f t="shared" si="54"/>
        <v>0</v>
      </c>
      <c r="K91" s="110">
        <f t="shared" si="54"/>
        <v>0</v>
      </c>
      <c r="L91" s="110">
        <f t="shared" si="54"/>
        <v>0</v>
      </c>
      <c r="M91" s="110">
        <f t="shared" si="54"/>
        <v>0</v>
      </c>
      <c r="N91" s="110">
        <f t="shared" si="54"/>
        <v>0</v>
      </c>
      <c r="O91" s="110">
        <f t="shared" si="54"/>
        <v>0</v>
      </c>
      <c r="P91" s="110">
        <f t="shared" si="54"/>
        <v>0</v>
      </c>
      <c r="Q91" s="110">
        <f t="shared" si="54"/>
        <v>0</v>
      </c>
      <c r="R91" s="110">
        <f t="shared" si="54"/>
        <v>0</v>
      </c>
      <c r="S91" s="110">
        <f t="shared" si="54"/>
        <v>0</v>
      </c>
      <c r="T91" s="110">
        <f t="shared" si="53"/>
        <v>0</v>
      </c>
      <c r="U91" s="110">
        <f t="shared" si="53"/>
        <v>0</v>
      </c>
      <c r="V91" s="110">
        <f t="shared" si="53"/>
        <v>0</v>
      </c>
      <c r="W91" s="110">
        <f t="shared" si="53"/>
        <v>0</v>
      </c>
      <c r="X91" s="110">
        <f t="shared" si="53"/>
        <v>0</v>
      </c>
      <c r="Y91" s="110">
        <f t="shared" si="53"/>
        <v>0</v>
      </c>
      <c r="Z91" s="110">
        <f t="shared" si="53"/>
        <v>0</v>
      </c>
      <c r="AA91" s="110">
        <f t="shared" si="53"/>
        <v>0</v>
      </c>
      <c r="AB91" s="110">
        <f t="shared" si="53"/>
        <v>0</v>
      </c>
      <c r="AC91" s="110">
        <f t="shared" si="53"/>
        <v>0</v>
      </c>
      <c r="AD91" s="110">
        <f t="shared" si="53"/>
        <v>0</v>
      </c>
      <c r="AE91" s="110">
        <f t="shared" si="53"/>
        <v>0</v>
      </c>
      <c r="AF91" s="110">
        <f t="shared" si="53"/>
        <v>0</v>
      </c>
      <c r="AG91" s="110">
        <f t="shared" si="53"/>
        <v>0</v>
      </c>
      <c r="AI91" s="133" t="s">
        <v>1442</v>
      </c>
      <c r="AJ91" s="232"/>
      <c r="AL91" s="1"/>
      <c r="BC91" s="1"/>
      <c r="BD91" s="762"/>
      <c r="BE91" s="760"/>
      <c r="BF91" s="6"/>
      <c r="BG91" s="6"/>
      <c r="BH91" s="6"/>
      <c r="BI91" s="6"/>
      <c r="BJ91" s="6"/>
    </row>
    <row r="92" spans="1:63" outlineLevel="1">
      <c r="A92" t="s">
        <v>1445</v>
      </c>
      <c r="B92" s="54" t="s">
        <v>462</v>
      </c>
      <c r="C92" s="121">
        <f>1-C90-C91</f>
        <v>9.9999999999999978E-2</v>
      </c>
      <c r="D92" s="110">
        <f t="shared" si="54"/>
        <v>9.9999999999999978E-2</v>
      </c>
      <c r="E92" s="110">
        <f t="shared" si="54"/>
        <v>9.9999999999999978E-2</v>
      </c>
      <c r="F92" s="110">
        <f t="shared" si="54"/>
        <v>9.9999999999999978E-2</v>
      </c>
      <c r="G92" s="110">
        <f t="shared" si="54"/>
        <v>9.9999999999999978E-2</v>
      </c>
      <c r="H92" s="110">
        <f t="shared" si="54"/>
        <v>9.9999999999999978E-2</v>
      </c>
      <c r="I92" s="110">
        <f t="shared" si="54"/>
        <v>9.9999999999999978E-2</v>
      </c>
      <c r="J92" s="110">
        <f t="shared" si="54"/>
        <v>9.9999999999999978E-2</v>
      </c>
      <c r="K92" s="110">
        <f t="shared" si="54"/>
        <v>9.9999999999999978E-2</v>
      </c>
      <c r="L92" s="110">
        <f t="shared" si="54"/>
        <v>9.9999999999999978E-2</v>
      </c>
      <c r="M92" s="110">
        <f t="shared" si="54"/>
        <v>9.9999999999999978E-2</v>
      </c>
      <c r="N92" s="110">
        <f t="shared" si="54"/>
        <v>9.9999999999999978E-2</v>
      </c>
      <c r="O92" s="110">
        <f t="shared" si="54"/>
        <v>9.9999999999999978E-2</v>
      </c>
      <c r="P92" s="110">
        <f t="shared" si="54"/>
        <v>9.9999999999999978E-2</v>
      </c>
      <c r="Q92" s="110">
        <f t="shared" si="54"/>
        <v>9.9999999999999978E-2</v>
      </c>
      <c r="R92" s="110">
        <f t="shared" si="54"/>
        <v>9.9999999999999978E-2</v>
      </c>
      <c r="S92" s="110">
        <f t="shared" si="54"/>
        <v>9.9999999999999978E-2</v>
      </c>
      <c r="T92" s="110">
        <f t="shared" si="53"/>
        <v>9.9999999999999978E-2</v>
      </c>
      <c r="U92" s="110">
        <f t="shared" si="53"/>
        <v>9.9999999999999978E-2</v>
      </c>
      <c r="V92" s="110">
        <f t="shared" si="53"/>
        <v>9.9999999999999978E-2</v>
      </c>
      <c r="W92" s="110">
        <f t="shared" si="53"/>
        <v>9.9999999999999978E-2</v>
      </c>
      <c r="X92" s="110">
        <f t="shared" si="53"/>
        <v>9.9999999999999978E-2</v>
      </c>
      <c r="Y92" s="110">
        <f t="shared" si="53"/>
        <v>9.9999999999999978E-2</v>
      </c>
      <c r="Z92" s="110">
        <f t="shared" si="53"/>
        <v>9.9999999999999978E-2</v>
      </c>
      <c r="AA92" s="110">
        <f t="shared" si="53"/>
        <v>9.9999999999999978E-2</v>
      </c>
      <c r="AB92" s="110">
        <f t="shared" si="53"/>
        <v>9.9999999999999978E-2</v>
      </c>
      <c r="AC92" s="110">
        <f t="shared" si="53"/>
        <v>9.9999999999999978E-2</v>
      </c>
      <c r="AD92" s="110">
        <f t="shared" si="53"/>
        <v>9.9999999999999978E-2</v>
      </c>
      <c r="AE92" s="110">
        <f t="shared" si="53"/>
        <v>9.9999999999999978E-2</v>
      </c>
      <c r="AF92" s="110">
        <f t="shared" si="53"/>
        <v>9.9999999999999978E-2</v>
      </c>
      <c r="AG92" s="110">
        <f t="shared" si="53"/>
        <v>9.9999999999999978E-2</v>
      </c>
      <c r="AI92" s="133"/>
      <c r="AJ92" s="223"/>
      <c r="BC92" s="1"/>
      <c r="BD92" s="41"/>
      <c r="BF92" s="6"/>
      <c r="BG92" s="6"/>
      <c r="BH92" s="6"/>
      <c r="BI92" s="6"/>
      <c r="BJ92" s="6"/>
    </row>
    <row r="93" spans="1:63" outlineLevel="1">
      <c r="A93" t="s">
        <v>1268</v>
      </c>
      <c r="B93" s="54" t="s">
        <v>462</v>
      </c>
      <c r="C93" s="110">
        <f>SUM(C90:C92)</f>
        <v>1</v>
      </c>
      <c r="D93" s="110">
        <f t="shared" ref="D93:AG93" si="55">SUM(D90:D92)</f>
        <v>1</v>
      </c>
      <c r="E93" s="110">
        <f t="shared" si="55"/>
        <v>1</v>
      </c>
      <c r="F93" s="110">
        <f t="shared" si="55"/>
        <v>1</v>
      </c>
      <c r="G93" s="110">
        <f t="shared" si="55"/>
        <v>1</v>
      </c>
      <c r="H93" s="110">
        <f t="shared" si="55"/>
        <v>1</v>
      </c>
      <c r="I93" s="110">
        <f t="shared" si="55"/>
        <v>1</v>
      </c>
      <c r="J93" s="110">
        <f t="shared" si="55"/>
        <v>1</v>
      </c>
      <c r="K93" s="110">
        <f t="shared" si="55"/>
        <v>1</v>
      </c>
      <c r="L93" s="110">
        <f t="shared" si="55"/>
        <v>1</v>
      </c>
      <c r="M93" s="110">
        <f t="shared" si="55"/>
        <v>1</v>
      </c>
      <c r="N93" s="110">
        <f t="shared" si="55"/>
        <v>1</v>
      </c>
      <c r="O93" s="110">
        <f t="shared" si="55"/>
        <v>1</v>
      </c>
      <c r="P93" s="110">
        <f t="shared" si="55"/>
        <v>1</v>
      </c>
      <c r="Q93" s="110">
        <f t="shared" si="55"/>
        <v>1</v>
      </c>
      <c r="R93" s="110">
        <f t="shared" si="55"/>
        <v>1</v>
      </c>
      <c r="S93" s="110">
        <f t="shared" si="55"/>
        <v>1</v>
      </c>
      <c r="T93" s="110">
        <f t="shared" si="55"/>
        <v>1</v>
      </c>
      <c r="U93" s="110">
        <f t="shared" si="55"/>
        <v>1</v>
      </c>
      <c r="V93" s="110">
        <f t="shared" si="55"/>
        <v>1</v>
      </c>
      <c r="W93" s="110">
        <f t="shared" si="55"/>
        <v>1</v>
      </c>
      <c r="X93" s="110">
        <f t="shared" si="55"/>
        <v>1</v>
      </c>
      <c r="Y93" s="110">
        <f t="shared" si="55"/>
        <v>1</v>
      </c>
      <c r="Z93" s="110">
        <f t="shared" si="55"/>
        <v>1</v>
      </c>
      <c r="AA93" s="110">
        <f t="shared" si="55"/>
        <v>1</v>
      </c>
      <c r="AB93" s="110">
        <f t="shared" si="55"/>
        <v>1</v>
      </c>
      <c r="AC93" s="110">
        <f t="shared" si="55"/>
        <v>1</v>
      </c>
      <c r="AD93" s="110">
        <f t="shared" si="55"/>
        <v>1</v>
      </c>
      <c r="AE93" s="110">
        <f t="shared" si="55"/>
        <v>1</v>
      </c>
      <c r="AF93" s="110">
        <f t="shared" si="55"/>
        <v>1</v>
      </c>
      <c r="AG93" s="110">
        <f t="shared" si="55"/>
        <v>1</v>
      </c>
      <c r="AI93" s="133"/>
      <c r="AJ93" s="211"/>
      <c r="BC93" s="1"/>
      <c r="BD93" s="41"/>
      <c r="BF93" s="6"/>
      <c r="BG93" s="6"/>
      <c r="BH93" s="6"/>
      <c r="BI93" s="6"/>
      <c r="BJ93" s="6"/>
    </row>
    <row r="94" spans="1:63" outlineLevel="1">
      <c r="C94" s="214"/>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I94" s="133"/>
      <c r="AJ94" s="211"/>
      <c r="BC94" s="1"/>
      <c r="BD94" s="41"/>
      <c r="BF94" s="6"/>
      <c r="BG94" s="6"/>
      <c r="BH94" s="6"/>
      <c r="BI94" s="6"/>
      <c r="BJ94" s="6"/>
    </row>
    <row r="95" spans="1:63" outlineLevel="1">
      <c r="A95" t="s">
        <v>1335</v>
      </c>
      <c r="B95" s="54" t="s">
        <v>462</v>
      </c>
      <c r="C95" s="110">
        <f>C90*C88</f>
        <v>9.0000000000000011E-2</v>
      </c>
      <c r="D95" s="110">
        <f t="shared" ref="D95:AG95" si="56">D90*D88</f>
        <v>0.10098000000000001</v>
      </c>
      <c r="E95" s="110">
        <f t="shared" si="56"/>
        <v>0.11172000000000001</v>
      </c>
      <c r="F95" s="110">
        <f t="shared" si="56"/>
        <v>0.12222000000000001</v>
      </c>
      <c r="G95" s="110">
        <f t="shared" si="56"/>
        <v>0.13247999999999999</v>
      </c>
      <c r="H95" s="110">
        <f t="shared" si="56"/>
        <v>0.14250000000000002</v>
      </c>
      <c r="I95" s="110">
        <f t="shared" si="56"/>
        <v>0.15228</v>
      </c>
      <c r="J95" s="110">
        <f t="shared" si="56"/>
        <v>0.16181999999999999</v>
      </c>
      <c r="K95" s="110">
        <f t="shared" si="56"/>
        <v>0.17112000000000002</v>
      </c>
      <c r="L95" s="110">
        <f t="shared" si="56"/>
        <v>0.18018000000000001</v>
      </c>
      <c r="M95" s="110">
        <f t="shared" si="56"/>
        <v>0.18900000000000003</v>
      </c>
      <c r="N95" s="110">
        <f t="shared" si="56"/>
        <v>0.19758000000000001</v>
      </c>
      <c r="O95" s="110">
        <f t="shared" si="56"/>
        <v>0.20592000000000002</v>
      </c>
      <c r="P95" s="110">
        <f t="shared" si="56"/>
        <v>0.21401999999999999</v>
      </c>
      <c r="Q95" s="110">
        <f t="shared" si="56"/>
        <v>0.22188000000000002</v>
      </c>
      <c r="R95" s="110">
        <f t="shared" si="56"/>
        <v>0.22950000000000001</v>
      </c>
      <c r="S95" s="110">
        <f t="shared" si="56"/>
        <v>0.23688000000000001</v>
      </c>
      <c r="T95" s="110">
        <f t="shared" si="56"/>
        <v>0.24402000000000001</v>
      </c>
      <c r="U95" s="110">
        <f t="shared" si="56"/>
        <v>0.25091999999999998</v>
      </c>
      <c r="V95" s="110">
        <f t="shared" si="56"/>
        <v>0.25758000000000003</v>
      </c>
      <c r="W95" s="110">
        <f t="shared" si="56"/>
        <v>0.26400000000000001</v>
      </c>
      <c r="X95" s="110">
        <f t="shared" si="56"/>
        <v>0.27017999999999998</v>
      </c>
      <c r="Y95" s="110">
        <f t="shared" si="56"/>
        <v>0.27612000000000003</v>
      </c>
      <c r="Z95" s="110">
        <f t="shared" si="56"/>
        <v>0.28182000000000001</v>
      </c>
      <c r="AA95" s="110">
        <f t="shared" si="56"/>
        <v>0.28727999999999998</v>
      </c>
      <c r="AB95" s="110">
        <f t="shared" si="56"/>
        <v>0.29250000000000004</v>
      </c>
      <c r="AC95" s="110">
        <f t="shared" si="56"/>
        <v>0.29748000000000002</v>
      </c>
      <c r="AD95" s="110">
        <f t="shared" si="56"/>
        <v>0.30221999999999999</v>
      </c>
      <c r="AE95" s="110">
        <f t="shared" si="56"/>
        <v>0.30671999999999999</v>
      </c>
      <c r="AF95" s="110">
        <f t="shared" si="56"/>
        <v>0.31098000000000003</v>
      </c>
      <c r="AG95" s="110">
        <f t="shared" si="56"/>
        <v>0.315</v>
      </c>
      <c r="AI95" s="133"/>
      <c r="AJ95" s="211"/>
      <c r="BD95" s="203"/>
      <c r="BE95" s="203"/>
    </row>
    <row r="96" spans="1:63" outlineLevel="1">
      <c r="A96" t="s">
        <v>1336</v>
      </c>
      <c r="B96" s="54" t="s">
        <v>462</v>
      </c>
      <c r="C96" s="110">
        <f>C88*C91</f>
        <v>0</v>
      </c>
      <c r="D96" s="110">
        <f t="shared" ref="D96:AG96" si="57">D88*D91</f>
        <v>0</v>
      </c>
      <c r="E96" s="110">
        <f t="shared" si="57"/>
        <v>0</v>
      </c>
      <c r="F96" s="110">
        <f t="shared" si="57"/>
        <v>0</v>
      </c>
      <c r="G96" s="110">
        <f t="shared" si="57"/>
        <v>0</v>
      </c>
      <c r="H96" s="110">
        <f t="shared" si="57"/>
        <v>0</v>
      </c>
      <c r="I96" s="110">
        <f t="shared" si="57"/>
        <v>0</v>
      </c>
      <c r="J96" s="110">
        <f t="shared" si="57"/>
        <v>0</v>
      </c>
      <c r="K96" s="110">
        <f t="shared" si="57"/>
        <v>0</v>
      </c>
      <c r="L96" s="110">
        <f t="shared" si="57"/>
        <v>0</v>
      </c>
      <c r="M96" s="110">
        <f t="shared" si="57"/>
        <v>0</v>
      </c>
      <c r="N96" s="110">
        <f t="shared" si="57"/>
        <v>0</v>
      </c>
      <c r="O96" s="110">
        <f t="shared" si="57"/>
        <v>0</v>
      </c>
      <c r="P96" s="110">
        <f t="shared" si="57"/>
        <v>0</v>
      </c>
      <c r="Q96" s="110">
        <f t="shared" si="57"/>
        <v>0</v>
      </c>
      <c r="R96" s="110">
        <f t="shared" si="57"/>
        <v>0</v>
      </c>
      <c r="S96" s="110">
        <f t="shared" si="57"/>
        <v>0</v>
      </c>
      <c r="T96" s="110">
        <f t="shared" si="57"/>
        <v>0</v>
      </c>
      <c r="U96" s="110">
        <f t="shared" si="57"/>
        <v>0</v>
      </c>
      <c r="V96" s="110">
        <f t="shared" si="57"/>
        <v>0</v>
      </c>
      <c r="W96" s="110">
        <f t="shared" si="57"/>
        <v>0</v>
      </c>
      <c r="X96" s="110">
        <f t="shared" si="57"/>
        <v>0</v>
      </c>
      <c r="Y96" s="110">
        <f t="shared" si="57"/>
        <v>0</v>
      </c>
      <c r="Z96" s="110">
        <f t="shared" si="57"/>
        <v>0</v>
      </c>
      <c r="AA96" s="110">
        <f t="shared" si="57"/>
        <v>0</v>
      </c>
      <c r="AB96" s="110">
        <f t="shared" si="57"/>
        <v>0</v>
      </c>
      <c r="AC96" s="110">
        <f t="shared" si="57"/>
        <v>0</v>
      </c>
      <c r="AD96" s="110">
        <f t="shared" si="57"/>
        <v>0</v>
      </c>
      <c r="AE96" s="110">
        <f t="shared" si="57"/>
        <v>0</v>
      </c>
      <c r="AF96" s="110">
        <f t="shared" si="57"/>
        <v>0</v>
      </c>
      <c r="AG96" s="110">
        <f t="shared" si="57"/>
        <v>0</v>
      </c>
      <c r="AI96" s="133"/>
      <c r="AJ96" s="211"/>
      <c r="AL96" s="1"/>
      <c r="BC96" s="1"/>
      <c r="BD96" s="762"/>
      <c r="BE96" s="760"/>
      <c r="BF96" s="6"/>
      <c r="BG96" s="6"/>
      <c r="BH96" s="6"/>
      <c r="BI96" s="6"/>
      <c r="BJ96" s="6"/>
    </row>
    <row r="97" spans="1:63" outlineLevel="1">
      <c r="A97" t="s">
        <v>1337</v>
      </c>
      <c r="B97" s="54" t="s">
        <v>462</v>
      </c>
      <c r="C97" s="110">
        <f>C88*C92</f>
        <v>9.9999999999999985E-3</v>
      </c>
      <c r="D97" s="110">
        <f t="shared" ref="D97:AG97" si="58">D88*D92</f>
        <v>1.1219999999999999E-2</v>
      </c>
      <c r="E97" s="110">
        <f t="shared" si="58"/>
        <v>1.2413333333333332E-2</v>
      </c>
      <c r="F97" s="110">
        <f t="shared" si="58"/>
        <v>1.3579999999999997E-2</v>
      </c>
      <c r="G97" s="110">
        <f t="shared" si="58"/>
        <v>1.4719999999999994E-2</v>
      </c>
      <c r="H97" s="110">
        <f t="shared" si="58"/>
        <v>1.5833333333333331E-2</v>
      </c>
      <c r="I97" s="110">
        <f t="shared" si="58"/>
        <v>1.6919999999999994E-2</v>
      </c>
      <c r="J97" s="110">
        <f t="shared" si="58"/>
        <v>1.7979999999999996E-2</v>
      </c>
      <c r="K97" s="110">
        <f t="shared" si="58"/>
        <v>1.901333333333333E-2</v>
      </c>
      <c r="L97" s="110">
        <f t="shared" si="58"/>
        <v>2.0019999999999996E-2</v>
      </c>
      <c r="M97" s="110">
        <f t="shared" si="58"/>
        <v>2.0999999999999998E-2</v>
      </c>
      <c r="N97" s="110">
        <f t="shared" si="58"/>
        <v>2.1953333333333328E-2</v>
      </c>
      <c r="O97" s="110">
        <f t="shared" si="58"/>
        <v>2.2879999999999994E-2</v>
      </c>
      <c r="P97" s="110">
        <f t="shared" si="58"/>
        <v>2.3779999999999992E-2</v>
      </c>
      <c r="Q97" s="110">
        <f t="shared" si="58"/>
        <v>2.4653333333333329E-2</v>
      </c>
      <c r="R97" s="110">
        <f t="shared" si="58"/>
        <v>2.5499999999999995E-2</v>
      </c>
      <c r="S97" s="110">
        <f t="shared" si="58"/>
        <v>2.6319999999999993E-2</v>
      </c>
      <c r="T97" s="110">
        <f t="shared" si="58"/>
        <v>2.7113333333333326E-2</v>
      </c>
      <c r="U97" s="110">
        <f t="shared" si="58"/>
        <v>2.7879999999999992E-2</v>
      </c>
      <c r="V97" s="110">
        <f t="shared" si="58"/>
        <v>2.8619999999999996E-2</v>
      </c>
      <c r="W97" s="110">
        <f t="shared" si="58"/>
        <v>2.9333333333333326E-2</v>
      </c>
      <c r="X97" s="110">
        <f t="shared" si="58"/>
        <v>3.0019999999999991E-2</v>
      </c>
      <c r="Y97" s="110">
        <f t="shared" si="58"/>
        <v>3.0679999999999995E-2</v>
      </c>
      <c r="Z97" s="110">
        <f t="shared" si="58"/>
        <v>3.1313333333333325E-2</v>
      </c>
      <c r="AA97" s="110">
        <f t="shared" si="58"/>
        <v>3.191999999999999E-2</v>
      </c>
      <c r="AB97" s="110">
        <f t="shared" si="58"/>
        <v>3.2499999999999994E-2</v>
      </c>
      <c r="AC97" s="110">
        <f t="shared" si="58"/>
        <v>3.305333333333333E-2</v>
      </c>
      <c r="AD97" s="110">
        <f t="shared" si="58"/>
        <v>3.3579999999999992E-2</v>
      </c>
      <c r="AE97" s="110">
        <f t="shared" si="58"/>
        <v>3.4079999999999992E-2</v>
      </c>
      <c r="AF97" s="110">
        <f t="shared" si="58"/>
        <v>3.4553333333333325E-2</v>
      </c>
      <c r="AG97" s="110">
        <f t="shared" si="58"/>
        <v>3.4999999999999989E-2</v>
      </c>
      <c r="AI97" s="134"/>
      <c r="AJ97" s="211"/>
      <c r="BC97" s="1"/>
      <c r="BD97" s="41"/>
      <c r="BF97" s="6"/>
      <c r="BG97" s="6"/>
      <c r="BH97" s="6"/>
      <c r="BI97" s="6"/>
      <c r="BJ97" s="6"/>
    </row>
    <row r="98" spans="1:63" outlineLevel="1">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I98" s="134"/>
      <c r="AJ98" s="211"/>
      <c r="BC98" s="1"/>
      <c r="BD98" s="41"/>
      <c r="BF98" s="6"/>
      <c r="BG98" s="6"/>
      <c r="BH98" s="6"/>
      <c r="BI98" s="6"/>
      <c r="BJ98" s="6"/>
    </row>
    <row r="99" spans="1:63" outlineLevel="1">
      <c r="A99" t="s">
        <v>1676</v>
      </c>
      <c r="C99" s="230">
        <v>1</v>
      </c>
      <c r="D99" s="230">
        <v>1</v>
      </c>
      <c r="E99" s="230">
        <v>1</v>
      </c>
      <c r="F99" s="230">
        <v>1</v>
      </c>
      <c r="G99" s="230">
        <v>1</v>
      </c>
      <c r="H99" s="230">
        <v>1</v>
      </c>
      <c r="I99" s="230">
        <v>1</v>
      </c>
      <c r="J99" s="230">
        <v>1</v>
      </c>
      <c r="K99" s="230">
        <v>1</v>
      </c>
      <c r="L99" s="230">
        <v>1</v>
      </c>
      <c r="M99" s="230">
        <v>1</v>
      </c>
      <c r="N99" s="230">
        <v>1</v>
      </c>
      <c r="O99" s="230">
        <v>1</v>
      </c>
      <c r="P99" s="230">
        <v>1</v>
      </c>
      <c r="Q99" s="230">
        <v>1</v>
      </c>
      <c r="R99" s="230">
        <v>1</v>
      </c>
      <c r="S99" s="230">
        <v>1</v>
      </c>
      <c r="T99" s="230">
        <v>1</v>
      </c>
      <c r="U99" s="230">
        <v>1</v>
      </c>
      <c r="V99" s="230">
        <v>1</v>
      </c>
      <c r="W99" s="230">
        <v>1</v>
      </c>
      <c r="X99" s="230">
        <v>1</v>
      </c>
      <c r="Y99" s="230">
        <v>1</v>
      </c>
      <c r="Z99" s="230">
        <v>1</v>
      </c>
      <c r="AA99" s="230">
        <v>1</v>
      </c>
      <c r="AB99" s="230">
        <v>1</v>
      </c>
      <c r="AC99" s="230">
        <v>1</v>
      </c>
      <c r="AD99" s="230">
        <v>1</v>
      </c>
      <c r="AE99" s="230">
        <v>1</v>
      </c>
      <c r="AF99" s="230">
        <v>1</v>
      </c>
      <c r="AG99" s="230">
        <v>1</v>
      </c>
      <c r="AI99" s="133"/>
      <c r="AJ99" s="211" t="s">
        <v>1686</v>
      </c>
      <c r="AL99" s="108"/>
      <c r="AM99" s="207"/>
      <c r="AN99" s="207"/>
      <c r="AO99" s="207"/>
      <c r="BC99" s="1"/>
      <c r="BD99" s="207"/>
      <c r="BE99" s="207"/>
      <c r="BF99" s="207"/>
      <c r="BG99" s="207"/>
      <c r="BH99" s="207"/>
      <c r="BI99" s="207"/>
      <c r="BJ99" s="207"/>
      <c r="BK99" s="207"/>
    </row>
    <row r="100" spans="1:63" outlineLevel="1">
      <c r="A100" t="s">
        <v>1687</v>
      </c>
      <c r="B100" s="54" t="s">
        <v>462</v>
      </c>
      <c r="C100" s="110">
        <f>C87*C$99</f>
        <v>0</v>
      </c>
      <c r="D100" s="110">
        <f t="shared" ref="D100:AG101" si="59">D87*D$99</f>
        <v>1.1333333333333334E-3</v>
      </c>
      <c r="E100" s="110">
        <f t="shared" si="59"/>
        <v>2.5333333333333336E-3</v>
      </c>
      <c r="F100" s="110">
        <f t="shared" si="59"/>
        <v>4.2000000000000006E-3</v>
      </c>
      <c r="G100" s="110">
        <f t="shared" si="59"/>
        <v>6.1333333333333327E-3</v>
      </c>
      <c r="H100" s="110">
        <f t="shared" si="59"/>
        <v>8.333333333333335E-3</v>
      </c>
      <c r="I100" s="110">
        <f t="shared" si="59"/>
        <v>1.0800000000000001E-2</v>
      </c>
      <c r="J100" s="110">
        <f t="shared" si="59"/>
        <v>1.3533333333333335E-2</v>
      </c>
      <c r="K100" s="110">
        <f t="shared" si="59"/>
        <v>1.6533333333333334E-2</v>
      </c>
      <c r="L100" s="110">
        <f t="shared" si="59"/>
        <v>1.9799999999999998E-2</v>
      </c>
      <c r="M100" s="110">
        <f t="shared" si="59"/>
        <v>2.3333333333333331E-2</v>
      </c>
      <c r="N100" s="110">
        <f t="shared" si="59"/>
        <v>2.7133333333333332E-2</v>
      </c>
      <c r="O100" s="110">
        <f t="shared" si="59"/>
        <v>3.1199999999999995E-2</v>
      </c>
      <c r="P100" s="110">
        <f t="shared" si="59"/>
        <v>3.5533333333333326E-2</v>
      </c>
      <c r="Q100" s="110">
        <f t="shared" si="59"/>
        <v>4.0133333333333333E-2</v>
      </c>
      <c r="R100" s="110">
        <f t="shared" si="59"/>
        <v>4.5000000000000005E-2</v>
      </c>
      <c r="S100" s="110">
        <f t="shared" si="59"/>
        <v>5.0133333333333335E-2</v>
      </c>
      <c r="T100" s="110">
        <f t="shared" si="59"/>
        <v>5.5533333333333337E-2</v>
      </c>
      <c r="U100" s="110">
        <f t="shared" si="59"/>
        <v>6.1200000000000011E-2</v>
      </c>
      <c r="V100" s="110">
        <f t="shared" si="59"/>
        <v>6.713333333333335E-2</v>
      </c>
      <c r="W100" s="110">
        <f t="shared" si="59"/>
        <v>7.3333333333333348E-2</v>
      </c>
      <c r="X100" s="110">
        <f t="shared" si="59"/>
        <v>7.9800000000000024E-2</v>
      </c>
      <c r="Y100" s="110">
        <f t="shared" si="59"/>
        <v>8.6533333333333365E-2</v>
      </c>
      <c r="Z100" s="110">
        <f t="shared" si="59"/>
        <v>9.3533333333333357E-2</v>
      </c>
      <c r="AA100" s="110">
        <f t="shared" si="59"/>
        <v>0.10080000000000004</v>
      </c>
      <c r="AB100" s="110">
        <f t="shared" si="59"/>
        <v>0.10833333333333336</v>
      </c>
      <c r="AC100" s="110">
        <f t="shared" si="59"/>
        <v>0.11613333333333337</v>
      </c>
      <c r="AD100" s="110">
        <f t="shared" si="59"/>
        <v>0.12420000000000003</v>
      </c>
      <c r="AE100" s="110">
        <f t="shared" si="59"/>
        <v>0.13253333333333336</v>
      </c>
      <c r="AF100" s="110">
        <f t="shared" si="59"/>
        <v>0.14113333333333339</v>
      </c>
      <c r="AG100" s="110">
        <f t="shared" si="59"/>
        <v>0.15</v>
      </c>
      <c r="AI100" s="133"/>
      <c r="AJ100"/>
      <c r="AL100" s="108"/>
      <c r="AM100" s="2"/>
      <c r="AN100" s="2"/>
      <c r="AO100" s="2"/>
      <c r="AV100" s="41"/>
    </row>
    <row r="101" spans="1:63" outlineLevel="1">
      <c r="A101" t="s">
        <v>1688</v>
      </c>
      <c r="B101" s="54" t="s">
        <v>462</v>
      </c>
      <c r="C101" s="110">
        <f>C88*C$99</f>
        <v>0.1</v>
      </c>
      <c r="D101" s="110">
        <f t="shared" si="59"/>
        <v>0.11220000000000001</v>
      </c>
      <c r="E101" s="110">
        <f t="shared" si="59"/>
        <v>0.12413333333333335</v>
      </c>
      <c r="F101" s="110">
        <f t="shared" si="59"/>
        <v>0.1358</v>
      </c>
      <c r="G101" s="110">
        <f t="shared" si="59"/>
        <v>0.14719999999999997</v>
      </c>
      <c r="H101" s="110">
        <f t="shared" si="59"/>
        <v>0.15833333333333335</v>
      </c>
      <c r="I101" s="110">
        <f t="shared" si="59"/>
        <v>0.16919999999999999</v>
      </c>
      <c r="J101" s="110">
        <f t="shared" si="59"/>
        <v>0.17979999999999999</v>
      </c>
      <c r="K101" s="110">
        <f t="shared" si="59"/>
        <v>0.19013333333333335</v>
      </c>
      <c r="L101" s="110">
        <f t="shared" si="59"/>
        <v>0.20020000000000002</v>
      </c>
      <c r="M101" s="110">
        <f t="shared" si="59"/>
        <v>0.21000000000000002</v>
      </c>
      <c r="N101" s="110">
        <f t="shared" si="59"/>
        <v>0.21953333333333333</v>
      </c>
      <c r="O101" s="110">
        <f t="shared" si="59"/>
        <v>0.2288</v>
      </c>
      <c r="P101" s="110">
        <f t="shared" si="59"/>
        <v>0.23779999999999998</v>
      </c>
      <c r="Q101" s="110">
        <f t="shared" si="59"/>
        <v>0.24653333333333335</v>
      </c>
      <c r="R101" s="110">
        <f t="shared" si="59"/>
        <v>0.255</v>
      </c>
      <c r="S101" s="110">
        <f t="shared" si="59"/>
        <v>0.26319999999999999</v>
      </c>
      <c r="T101" s="110">
        <f t="shared" si="59"/>
        <v>0.27113333333333334</v>
      </c>
      <c r="U101" s="110">
        <f t="shared" si="59"/>
        <v>0.27879999999999999</v>
      </c>
      <c r="V101" s="110">
        <f t="shared" si="59"/>
        <v>0.28620000000000001</v>
      </c>
      <c r="W101" s="110">
        <f t="shared" si="59"/>
        <v>0.29333333333333333</v>
      </c>
      <c r="X101" s="110">
        <f t="shared" si="59"/>
        <v>0.30019999999999997</v>
      </c>
      <c r="Y101" s="110">
        <f t="shared" si="59"/>
        <v>0.30680000000000002</v>
      </c>
      <c r="Z101" s="110">
        <f t="shared" si="59"/>
        <v>0.31313333333333332</v>
      </c>
      <c r="AA101" s="110">
        <f t="shared" si="59"/>
        <v>0.31919999999999998</v>
      </c>
      <c r="AB101" s="110">
        <f t="shared" si="59"/>
        <v>0.32500000000000001</v>
      </c>
      <c r="AC101" s="110">
        <f t="shared" si="59"/>
        <v>0.33053333333333335</v>
      </c>
      <c r="AD101" s="110">
        <f t="shared" si="59"/>
        <v>0.33579999999999999</v>
      </c>
      <c r="AE101" s="110">
        <f t="shared" si="59"/>
        <v>0.34079999999999999</v>
      </c>
      <c r="AF101" s="110">
        <f t="shared" si="59"/>
        <v>0.34553333333333336</v>
      </c>
      <c r="AG101" s="110">
        <f t="shared" si="59"/>
        <v>0.35</v>
      </c>
      <c r="AH101" s="245"/>
      <c r="AI101" s="133"/>
      <c r="AJ101" s="211"/>
      <c r="AL101" s="108"/>
      <c r="AM101" s="2"/>
      <c r="AN101" s="2"/>
      <c r="AO101" s="2"/>
      <c r="AV101" s="41"/>
    </row>
    <row r="102" spans="1:63" outlineLevel="1">
      <c r="A102" t="s">
        <v>1689</v>
      </c>
      <c r="B102" s="176" t="s">
        <v>462</v>
      </c>
      <c r="C102" s="110">
        <f>SUM(C100:C101)</f>
        <v>0.1</v>
      </c>
      <c r="D102" s="110">
        <f t="shared" ref="D102:AG102" si="60">SUM(D100:D101)</f>
        <v>0.11333333333333334</v>
      </c>
      <c r="E102" s="110">
        <f t="shared" si="60"/>
        <v>0.12666666666666668</v>
      </c>
      <c r="F102" s="110">
        <f t="shared" si="60"/>
        <v>0.14000000000000001</v>
      </c>
      <c r="G102" s="110">
        <f t="shared" si="60"/>
        <v>0.15333333333333329</v>
      </c>
      <c r="H102" s="110">
        <f t="shared" si="60"/>
        <v>0.16666666666666669</v>
      </c>
      <c r="I102" s="110">
        <f t="shared" si="60"/>
        <v>0.18</v>
      </c>
      <c r="J102" s="110">
        <f t="shared" si="60"/>
        <v>0.19333333333333333</v>
      </c>
      <c r="K102" s="110">
        <f t="shared" si="60"/>
        <v>0.20666666666666669</v>
      </c>
      <c r="L102" s="110">
        <f t="shared" si="60"/>
        <v>0.22000000000000003</v>
      </c>
      <c r="M102" s="110">
        <f t="shared" si="60"/>
        <v>0.23333333333333334</v>
      </c>
      <c r="N102" s="110">
        <f t="shared" si="60"/>
        <v>0.24666666666666667</v>
      </c>
      <c r="O102" s="110">
        <f t="shared" si="60"/>
        <v>0.26</v>
      </c>
      <c r="P102" s="110">
        <f t="shared" si="60"/>
        <v>0.27333333333333332</v>
      </c>
      <c r="Q102" s="110">
        <f t="shared" si="60"/>
        <v>0.28666666666666668</v>
      </c>
      <c r="R102" s="110">
        <f t="shared" si="60"/>
        <v>0.3</v>
      </c>
      <c r="S102" s="110">
        <f t="shared" si="60"/>
        <v>0.31333333333333335</v>
      </c>
      <c r="T102" s="110">
        <f t="shared" si="60"/>
        <v>0.32666666666666666</v>
      </c>
      <c r="U102" s="110">
        <f t="shared" si="60"/>
        <v>0.34</v>
      </c>
      <c r="V102" s="110">
        <f t="shared" si="60"/>
        <v>0.35333333333333339</v>
      </c>
      <c r="W102" s="110">
        <f t="shared" si="60"/>
        <v>0.3666666666666667</v>
      </c>
      <c r="X102" s="110">
        <f t="shared" si="60"/>
        <v>0.38</v>
      </c>
      <c r="Y102" s="110">
        <f t="shared" si="60"/>
        <v>0.39333333333333337</v>
      </c>
      <c r="Z102" s="110">
        <f t="shared" si="60"/>
        <v>0.40666666666666668</v>
      </c>
      <c r="AA102" s="110">
        <f t="shared" si="60"/>
        <v>0.42000000000000004</v>
      </c>
      <c r="AB102" s="110">
        <f t="shared" si="60"/>
        <v>0.43333333333333335</v>
      </c>
      <c r="AC102" s="110">
        <f t="shared" si="60"/>
        <v>0.44666666666666671</v>
      </c>
      <c r="AD102" s="110">
        <f t="shared" si="60"/>
        <v>0.46</v>
      </c>
      <c r="AE102" s="110">
        <f t="shared" si="60"/>
        <v>0.47333333333333338</v>
      </c>
      <c r="AF102" s="110">
        <f t="shared" si="60"/>
        <v>0.48666666666666675</v>
      </c>
      <c r="AG102" s="110">
        <f t="shared" si="60"/>
        <v>0.5</v>
      </c>
      <c r="AI102" s="133"/>
      <c r="AJ102" s="211"/>
      <c r="AL102" s="108"/>
      <c r="AM102" s="2"/>
      <c r="AN102" s="2"/>
      <c r="AO102" s="2"/>
    </row>
    <row r="103" spans="1:63" outlineLevel="1">
      <c r="A103" t="s">
        <v>1690</v>
      </c>
      <c r="B103" s="54" t="s">
        <v>462</v>
      </c>
      <c r="C103" s="110">
        <f>C90*C101</f>
        <v>9.0000000000000011E-2</v>
      </c>
      <c r="D103" s="110">
        <f t="shared" ref="D103:AG103" si="61">D90*D101</f>
        <v>0.10098000000000001</v>
      </c>
      <c r="E103" s="110">
        <f t="shared" si="61"/>
        <v>0.11172000000000001</v>
      </c>
      <c r="F103" s="110">
        <f t="shared" si="61"/>
        <v>0.12222000000000001</v>
      </c>
      <c r="G103" s="110">
        <f t="shared" si="61"/>
        <v>0.13247999999999999</v>
      </c>
      <c r="H103" s="110">
        <f t="shared" si="61"/>
        <v>0.14250000000000002</v>
      </c>
      <c r="I103" s="110">
        <f t="shared" si="61"/>
        <v>0.15228</v>
      </c>
      <c r="J103" s="110">
        <f t="shared" si="61"/>
        <v>0.16181999999999999</v>
      </c>
      <c r="K103" s="110">
        <f t="shared" si="61"/>
        <v>0.17112000000000002</v>
      </c>
      <c r="L103" s="110">
        <f t="shared" si="61"/>
        <v>0.18018000000000001</v>
      </c>
      <c r="M103" s="110">
        <f t="shared" si="61"/>
        <v>0.18900000000000003</v>
      </c>
      <c r="N103" s="110">
        <f t="shared" si="61"/>
        <v>0.19758000000000001</v>
      </c>
      <c r="O103" s="110">
        <f t="shared" si="61"/>
        <v>0.20592000000000002</v>
      </c>
      <c r="P103" s="110">
        <f t="shared" si="61"/>
        <v>0.21401999999999999</v>
      </c>
      <c r="Q103" s="110">
        <f t="shared" si="61"/>
        <v>0.22188000000000002</v>
      </c>
      <c r="R103" s="110">
        <f t="shared" si="61"/>
        <v>0.22950000000000001</v>
      </c>
      <c r="S103" s="110">
        <f t="shared" si="61"/>
        <v>0.23688000000000001</v>
      </c>
      <c r="T103" s="110">
        <f t="shared" si="61"/>
        <v>0.24402000000000001</v>
      </c>
      <c r="U103" s="110">
        <f t="shared" si="61"/>
        <v>0.25091999999999998</v>
      </c>
      <c r="V103" s="110">
        <f t="shared" si="61"/>
        <v>0.25758000000000003</v>
      </c>
      <c r="W103" s="110">
        <f t="shared" si="61"/>
        <v>0.26400000000000001</v>
      </c>
      <c r="X103" s="110">
        <f t="shared" si="61"/>
        <v>0.27017999999999998</v>
      </c>
      <c r="Y103" s="110">
        <f t="shared" si="61"/>
        <v>0.27612000000000003</v>
      </c>
      <c r="Z103" s="110">
        <f t="shared" si="61"/>
        <v>0.28182000000000001</v>
      </c>
      <c r="AA103" s="110">
        <f t="shared" si="61"/>
        <v>0.28727999999999998</v>
      </c>
      <c r="AB103" s="110">
        <f t="shared" si="61"/>
        <v>0.29250000000000004</v>
      </c>
      <c r="AC103" s="110">
        <f t="shared" si="61"/>
        <v>0.29748000000000002</v>
      </c>
      <c r="AD103" s="110">
        <f t="shared" si="61"/>
        <v>0.30221999999999999</v>
      </c>
      <c r="AE103" s="110">
        <f t="shared" si="61"/>
        <v>0.30671999999999999</v>
      </c>
      <c r="AF103" s="110">
        <f t="shared" si="61"/>
        <v>0.31098000000000003</v>
      </c>
      <c r="AG103" s="110">
        <f t="shared" si="61"/>
        <v>0.315</v>
      </c>
      <c r="AI103" s="133"/>
      <c r="AJ103" s="211"/>
      <c r="BD103" s="203"/>
      <c r="BE103" s="203"/>
    </row>
    <row r="104" spans="1:63" outlineLevel="1">
      <c r="A104" t="s">
        <v>1691</v>
      </c>
      <c r="B104" s="54" t="s">
        <v>462</v>
      </c>
      <c r="C104" s="110">
        <f>C91*C101</f>
        <v>0</v>
      </c>
      <c r="D104" s="110">
        <f t="shared" ref="D104:AG104" si="62">D91*D101</f>
        <v>0</v>
      </c>
      <c r="E104" s="110">
        <f t="shared" si="62"/>
        <v>0</v>
      </c>
      <c r="F104" s="110">
        <f t="shared" si="62"/>
        <v>0</v>
      </c>
      <c r="G104" s="110">
        <f t="shared" si="62"/>
        <v>0</v>
      </c>
      <c r="H104" s="110">
        <f t="shared" si="62"/>
        <v>0</v>
      </c>
      <c r="I104" s="110">
        <f t="shared" si="62"/>
        <v>0</v>
      </c>
      <c r="J104" s="110">
        <f t="shared" si="62"/>
        <v>0</v>
      </c>
      <c r="K104" s="110">
        <f t="shared" si="62"/>
        <v>0</v>
      </c>
      <c r="L104" s="110">
        <f t="shared" si="62"/>
        <v>0</v>
      </c>
      <c r="M104" s="110">
        <f t="shared" si="62"/>
        <v>0</v>
      </c>
      <c r="N104" s="110">
        <f t="shared" si="62"/>
        <v>0</v>
      </c>
      <c r="O104" s="110">
        <f t="shared" si="62"/>
        <v>0</v>
      </c>
      <c r="P104" s="110">
        <f t="shared" si="62"/>
        <v>0</v>
      </c>
      <c r="Q104" s="110">
        <f t="shared" si="62"/>
        <v>0</v>
      </c>
      <c r="R104" s="110">
        <f t="shared" si="62"/>
        <v>0</v>
      </c>
      <c r="S104" s="110">
        <f t="shared" si="62"/>
        <v>0</v>
      </c>
      <c r="T104" s="110">
        <f t="shared" si="62"/>
        <v>0</v>
      </c>
      <c r="U104" s="110">
        <f t="shared" si="62"/>
        <v>0</v>
      </c>
      <c r="V104" s="110">
        <f t="shared" si="62"/>
        <v>0</v>
      </c>
      <c r="W104" s="110">
        <f t="shared" si="62"/>
        <v>0</v>
      </c>
      <c r="X104" s="110">
        <f t="shared" si="62"/>
        <v>0</v>
      </c>
      <c r="Y104" s="110">
        <f t="shared" si="62"/>
        <v>0</v>
      </c>
      <c r="Z104" s="110">
        <f t="shared" si="62"/>
        <v>0</v>
      </c>
      <c r="AA104" s="110">
        <f t="shared" si="62"/>
        <v>0</v>
      </c>
      <c r="AB104" s="110">
        <f t="shared" si="62"/>
        <v>0</v>
      </c>
      <c r="AC104" s="110">
        <f t="shared" si="62"/>
        <v>0</v>
      </c>
      <c r="AD104" s="110">
        <f t="shared" si="62"/>
        <v>0</v>
      </c>
      <c r="AE104" s="110">
        <f t="shared" si="62"/>
        <v>0</v>
      </c>
      <c r="AF104" s="110">
        <f t="shared" si="62"/>
        <v>0</v>
      </c>
      <c r="AG104" s="110">
        <f t="shared" si="62"/>
        <v>0</v>
      </c>
      <c r="AI104" s="133"/>
      <c r="AJ104" s="211"/>
      <c r="AL104" s="1"/>
      <c r="BC104" s="1"/>
      <c r="BD104" s="762"/>
      <c r="BE104" s="760"/>
      <c r="BF104" s="6"/>
      <c r="BG104" s="6"/>
      <c r="BH104" s="6"/>
      <c r="BI104" s="6"/>
      <c r="BJ104" s="6"/>
    </row>
    <row r="105" spans="1:63" outlineLevel="1">
      <c r="A105" t="s">
        <v>1692</v>
      </c>
      <c r="B105" s="54" t="s">
        <v>462</v>
      </c>
      <c r="C105" s="110">
        <f>C92*C101</f>
        <v>9.9999999999999985E-3</v>
      </c>
      <c r="D105" s="110">
        <f t="shared" ref="D105:AG105" si="63">D92*D101</f>
        <v>1.1219999999999999E-2</v>
      </c>
      <c r="E105" s="110">
        <f t="shared" si="63"/>
        <v>1.2413333333333332E-2</v>
      </c>
      <c r="F105" s="110">
        <f t="shared" si="63"/>
        <v>1.3579999999999997E-2</v>
      </c>
      <c r="G105" s="110">
        <f t="shared" si="63"/>
        <v>1.4719999999999994E-2</v>
      </c>
      <c r="H105" s="110">
        <f t="shared" si="63"/>
        <v>1.5833333333333331E-2</v>
      </c>
      <c r="I105" s="110">
        <f t="shared" si="63"/>
        <v>1.6919999999999994E-2</v>
      </c>
      <c r="J105" s="110">
        <f t="shared" si="63"/>
        <v>1.7979999999999996E-2</v>
      </c>
      <c r="K105" s="110">
        <f t="shared" si="63"/>
        <v>1.901333333333333E-2</v>
      </c>
      <c r="L105" s="110">
        <f t="shared" si="63"/>
        <v>2.0019999999999996E-2</v>
      </c>
      <c r="M105" s="110">
        <f t="shared" si="63"/>
        <v>2.0999999999999998E-2</v>
      </c>
      <c r="N105" s="110">
        <f t="shared" si="63"/>
        <v>2.1953333333333328E-2</v>
      </c>
      <c r="O105" s="110">
        <f t="shared" si="63"/>
        <v>2.2879999999999994E-2</v>
      </c>
      <c r="P105" s="110">
        <f t="shared" si="63"/>
        <v>2.3779999999999992E-2</v>
      </c>
      <c r="Q105" s="110">
        <f t="shared" si="63"/>
        <v>2.4653333333333329E-2</v>
      </c>
      <c r="R105" s="110">
        <f t="shared" si="63"/>
        <v>2.5499999999999995E-2</v>
      </c>
      <c r="S105" s="110">
        <f t="shared" si="63"/>
        <v>2.6319999999999993E-2</v>
      </c>
      <c r="T105" s="110">
        <f t="shared" si="63"/>
        <v>2.7113333333333326E-2</v>
      </c>
      <c r="U105" s="110">
        <f t="shared" si="63"/>
        <v>2.7879999999999992E-2</v>
      </c>
      <c r="V105" s="110">
        <f t="shared" si="63"/>
        <v>2.8619999999999996E-2</v>
      </c>
      <c r="W105" s="110">
        <f t="shared" si="63"/>
        <v>2.9333333333333326E-2</v>
      </c>
      <c r="X105" s="110">
        <f t="shared" si="63"/>
        <v>3.0019999999999991E-2</v>
      </c>
      <c r="Y105" s="110">
        <f t="shared" si="63"/>
        <v>3.0679999999999995E-2</v>
      </c>
      <c r="Z105" s="110">
        <f t="shared" si="63"/>
        <v>3.1313333333333325E-2</v>
      </c>
      <c r="AA105" s="110">
        <f t="shared" si="63"/>
        <v>3.191999999999999E-2</v>
      </c>
      <c r="AB105" s="110">
        <f t="shared" si="63"/>
        <v>3.2499999999999994E-2</v>
      </c>
      <c r="AC105" s="110">
        <f t="shared" si="63"/>
        <v>3.305333333333333E-2</v>
      </c>
      <c r="AD105" s="110">
        <f t="shared" si="63"/>
        <v>3.3579999999999992E-2</v>
      </c>
      <c r="AE105" s="110">
        <f t="shared" si="63"/>
        <v>3.4079999999999992E-2</v>
      </c>
      <c r="AF105" s="110">
        <f t="shared" si="63"/>
        <v>3.4553333333333325E-2</v>
      </c>
      <c r="AG105" s="110">
        <f t="shared" si="63"/>
        <v>3.4999999999999989E-2</v>
      </c>
      <c r="AI105" s="134"/>
      <c r="AJ105" s="211"/>
      <c r="BC105" s="1"/>
      <c r="BD105" s="41"/>
      <c r="BF105" s="6"/>
      <c r="BG105" s="6"/>
      <c r="BH105" s="6"/>
      <c r="BI105" s="6"/>
      <c r="BJ105" s="6"/>
    </row>
    <row r="106" spans="1:63" outlineLevel="1">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I106" s="134"/>
      <c r="AJ106" s="211"/>
      <c r="BC106" s="1"/>
      <c r="BD106" s="41"/>
      <c r="BF106" s="6"/>
      <c r="BG106" s="6"/>
      <c r="BH106" s="6"/>
      <c r="BI106" s="6"/>
      <c r="BJ106" s="6"/>
    </row>
    <row r="107" spans="1:63" s="1" customFormat="1" outlineLevel="1">
      <c r="A107" s="1" t="s">
        <v>228</v>
      </c>
      <c r="B107" s="65"/>
      <c r="C107" s="300">
        <f t="shared" ref="C107:AG107" si="64">C43*C100</f>
        <v>0</v>
      </c>
      <c r="D107" s="300">
        <f t="shared" si="64"/>
        <v>3.4450816091453657E-3</v>
      </c>
      <c r="E107" s="300">
        <f t="shared" si="64"/>
        <v>7.938106885249617E-3</v>
      </c>
      <c r="F107" s="300">
        <f t="shared" si="64"/>
        <v>1.3530711596759292E-2</v>
      </c>
      <c r="G107" s="300">
        <f t="shared" si="64"/>
        <v>2.0261864508349756E-2</v>
      </c>
      <c r="H107" s="300">
        <f t="shared" si="64"/>
        <v>2.8156495720251532E-2</v>
      </c>
      <c r="I107" s="300">
        <f t="shared" si="64"/>
        <v>3.7304641596000325E-2</v>
      </c>
      <c r="J107" s="300">
        <f t="shared" si="64"/>
        <v>4.7766693371041086E-2</v>
      </c>
      <c r="K107" s="300">
        <f t="shared" si="64"/>
        <v>5.9602417928327552E-2</v>
      </c>
      <c r="L107" s="300">
        <f t="shared" si="64"/>
        <v>7.2870749372194565E-2</v>
      </c>
      <c r="M107" s="300">
        <f t="shared" si="64"/>
        <v>8.7629575745957186E-2</v>
      </c>
      <c r="N107" s="300">
        <f t="shared" si="64"/>
        <v>0.10378681159027671</v>
      </c>
      <c r="O107" s="300">
        <f t="shared" si="64"/>
        <v>0.12132107216791799</v>
      </c>
      <c r="P107" s="300">
        <f t="shared" si="64"/>
        <v>0.14019613959243163</v>
      </c>
      <c r="Q107" s="300">
        <f t="shared" si="64"/>
        <v>0.1603606946982076</v>
      </c>
      <c r="R107" s="300">
        <f t="shared" si="64"/>
        <v>0.18174824493427949</v>
      </c>
      <c r="S107" s="300">
        <f t="shared" si="64"/>
        <v>0.20464529696882761</v>
      </c>
      <c r="T107" s="300">
        <f t="shared" si="64"/>
        <v>0.22908614809433434</v>
      </c>
      <c r="U107" s="300">
        <f t="shared" si="64"/>
        <v>0.25510490115999562</v>
      </c>
      <c r="V107" s="300">
        <f t="shared" si="64"/>
        <v>0.28273543570334558</v>
      </c>
      <c r="W107" s="300">
        <f t="shared" si="64"/>
        <v>0.31201137874170515</v>
      </c>
      <c r="X107" s="300">
        <f t="shared" si="64"/>
        <v>0.34296985281476555</v>
      </c>
      <c r="Y107" s="300">
        <f t="shared" si="64"/>
        <v>0.37564497682906473</v>
      </c>
      <c r="Z107" s="300">
        <f t="shared" si="64"/>
        <v>0.41007064550381084</v>
      </c>
      <c r="AA107" s="300">
        <f t="shared" si="64"/>
        <v>0.44628050295413763</v>
      </c>
      <c r="AB107" s="300">
        <f t="shared" si="64"/>
        <v>0.48430791600423295</v>
      </c>
      <c r="AC107" s="300">
        <f t="shared" si="64"/>
        <v>0.52419090302671556</v>
      </c>
      <c r="AD107" s="300">
        <f t="shared" si="64"/>
        <v>0.56596338691152248</v>
      </c>
      <c r="AE107" s="300">
        <f t="shared" si="64"/>
        <v>0.60965904282435379</v>
      </c>
      <c r="AF107" s="300">
        <f t="shared" si="64"/>
        <v>0.65531127396043687</v>
      </c>
      <c r="AG107" s="300">
        <f t="shared" si="64"/>
        <v>0.70295318708186272</v>
      </c>
      <c r="AH107" s="245"/>
      <c r="AI107" s="423"/>
      <c r="AJ107" s="424"/>
      <c r="AL107" s="221"/>
      <c r="AM107" s="124"/>
      <c r="AN107" s="124"/>
      <c r="AO107" s="124"/>
      <c r="BD107" s="124"/>
      <c r="BE107" s="124"/>
      <c r="BF107" s="124"/>
      <c r="BG107" s="124"/>
      <c r="BH107" s="124"/>
      <c r="BI107" s="124"/>
      <c r="BJ107" s="124"/>
      <c r="BK107" s="124"/>
    </row>
    <row r="108" spans="1:63" s="1" customFormat="1" outlineLevel="1">
      <c r="A108" s="1" t="s">
        <v>1562</v>
      </c>
      <c r="B108" s="65"/>
      <c r="C108" s="300">
        <f t="shared" ref="C108:AG108" si="65">C107-$C107</f>
        <v>0</v>
      </c>
      <c r="D108" s="300">
        <f t="shared" si="65"/>
        <v>3.4450816091453657E-3</v>
      </c>
      <c r="E108" s="300">
        <f t="shared" si="65"/>
        <v>7.938106885249617E-3</v>
      </c>
      <c r="F108" s="300">
        <f t="shared" si="65"/>
        <v>1.3530711596759292E-2</v>
      </c>
      <c r="G108" s="300">
        <f t="shared" si="65"/>
        <v>2.0261864508349756E-2</v>
      </c>
      <c r="H108" s="300">
        <f t="shared" si="65"/>
        <v>2.8156495720251532E-2</v>
      </c>
      <c r="I108" s="300">
        <f t="shared" si="65"/>
        <v>3.7304641596000325E-2</v>
      </c>
      <c r="J108" s="300">
        <f t="shared" si="65"/>
        <v>4.7766693371041086E-2</v>
      </c>
      <c r="K108" s="300">
        <f t="shared" si="65"/>
        <v>5.9602417928327552E-2</v>
      </c>
      <c r="L108" s="300">
        <f t="shared" si="65"/>
        <v>7.2870749372194565E-2</v>
      </c>
      <c r="M108" s="300">
        <f t="shared" si="65"/>
        <v>8.7629575745957186E-2</v>
      </c>
      <c r="N108" s="300">
        <f t="shared" si="65"/>
        <v>0.10378681159027671</v>
      </c>
      <c r="O108" s="300">
        <f t="shared" si="65"/>
        <v>0.12132107216791799</v>
      </c>
      <c r="P108" s="300">
        <f t="shared" si="65"/>
        <v>0.14019613959243163</v>
      </c>
      <c r="Q108" s="300">
        <f t="shared" si="65"/>
        <v>0.1603606946982076</v>
      </c>
      <c r="R108" s="300">
        <f t="shared" si="65"/>
        <v>0.18174824493427949</v>
      </c>
      <c r="S108" s="300">
        <f t="shared" si="65"/>
        <v>0.20464529696882761</v>
      </c>
      <c r="T108" s="300">
        <f t="shared" si="65"/>
        <v>0.22908614809433434</v>
      </c>
      <c r="U108" s="300">
        <f t="shared" si="65"/>
        <v>0.25510490115999562</v>
      </c>
      <c r="V108" s="300">
        <f t="shared" si="65"/>
        <v>0.28273543570334558</v>
      </c>
      <c r="W108" s="300">
        <f t="shared" si="65"/>
        <v>0.31201137874170515</v>
      </c>
      <c r="X108" s="300">
        <f t="shared" si="65"/>
        <v>0.34296985281476555</v>
      </c>
      <c r="Y108" s="300">
        <f t="shared" si="65"/>
        <v>0.37564497682906473</v>
      </c>
      <c r="Z108" s="300">
        <f t="shared" si="65"/>
        <v>0.41007064550381084</v>
      </c>
      <c r="AA108" s="300">
        <f t="shared" si="65"/>
        <v>0.44628050295413763</v>
      </c>
      <c r="AB108" s="300">
        <f t="shared" si="65"/>
        <v>0.48430791600423295</v>
      </c>
      <c r="AC108" s="300">
        <f t="shared" si="65"/>
        <v>0.52419090302671556</v>
      </c>
      <c r="AD108" s="300">
        <f t="shared" si="65"/>
        <v>0.56596338691152248</v>
      </c>
      <c r="AE108" s="300">
        <f t="shared" si="65"/>
        <v>0.60965904282435379</v>
      </c>
      <c r="AF108" s="300">
        <f t="shared" si="65"/>
        <v>0.65531127396043687</v>
      </c>
      <c r="AG108" s="300">
        <f t="shared" si="65"/>
        <v>0.70295318708186272</v>
      </c>
      <c r="AH108" s="245"/>
      <c r="AI108" s="423"/>
      <c r="AJ108" s="424"/>
      <c r="AL108" s="221"/>
      <c r="AM108" s="124"/>
      <c r="AN108" s="124"/>
      <c r="AO108" s="124"/>
      <c r="BD108" s="124"/>
      <c r="BE108" s="124"/>
      <c r="BF108" s="124"/>
      <c r="BG108" s="124"/>
      <c r="BH108" s="124"/>
      <c r="BI108" s="124"/>
      <c r="BJ108" s="124"/>
      <c r="BK108" s="124"/>
    </row>
    <row r="109" spans="1:63" s="1" customFormat="1" outlineLevel="1">
      <c r="A109" s="1" t="s">
        <v>1569</v>
      </c>
      <c r="B109" s="65"/>
      <c r="C109" s="300">
        <f t="shared" ref="C109:AG109" si="66">C43*C103</f>
        <v>0.26470664639111574</v>
      </c>
      <c r="D109" s="300">
        <f t="shared" si="66"/>
        <v>0.30695677137485211</v>
      </c>
      <c r="E109" s="300">
        <f t="shared" si="66"/>
        <v>0.35007051363950809</v>
      </c>
      <c r="F109" s="300">
        <f t="shared" si="66"/>
        <v>0.39374370746569537</v>
      </c>
      <c r="G109" s="300">
        <f t="shared" si="66"/>
        <v>0.43765627338035468</v>
      </c>
      <c r="H109" s="300">
        <f t="shared" si="66"/>
        <v>0.48147607681630111</v>
      </c>
      <c r="I109" s="300">
        <f t="shared" si="66"/>
        <v>0.52599544650360452</v>
      </c>
      <c r="J109" s="300">
        <f t="shared" si="66"/>
        <v>0.57115317645087682</v>
      </c>
      <c r="K109" s="300">
        <f t="shared" si="66"/>
        <v>0.61688502555819025</v>
      </c>
      <c r="L109" s="300">
        <f t="shared" si="66"/>
        <v>0.66312381928697062</v>
      </c>
      <c r="M109" s="300">
        <f t="shared" si="66"/>
        <v>0.70979956354225338</v>
      </c>
      <c r="N109" s="300">
        <f t="shared" si="66"/>
        <v>0.755756691671015</v>
      </c>
      <c r="O109" s="300">
        <f t="shared" si="66"/>
        <v>0.80071907630825889</v>
      </c>
      <c r="P109" s="300">
        <f t="shared" si="66"/>
        <v>0.84441213308364604</v>
      </c>
      <c r="Q109" s="300">
        <f t="shared" si="66"/>
        <v>0.8865655549743765</v>
      </c>
      <c r="R109" s="300">
        <f t="shared" si="66"/>
        <v>0.9269160491648254</v>
      </c>
      <c r="S109" s="300">
        <f t="shared" si="66"/>
        <v>0.96694902817771045</v>
      </c>
      <c r="T109" s="300">
        <f t="shared" si="66"/>
        <v>1.0066314860380456</v>
      </c>
      <c r="U109" s="300">
        <f t="shared" si="66"/>
        <v>1.0459300947559818</v>
      </c>
      <c r="V109" s="300">
        <f t="shared" si="66"/>
        <v>1.0848112243565204</v>
      </c>
      <c r="W109" s="300">
        <f t="shared" si="66"/>
        <v>1.1232409634701384</v>
      </c>
      <c r="X109" s="300">
        <f t="shared" si="66"/>
        <v>1.1611979302442772</v>
      </c>
      <c r="Y109" s="300">
        <f t="shared" si="66"/>
        <v>1.1986489715181972</v>
      </c>
      <c r="Z109" s="300">
        <f t="shared" si="66"/>
        <v>1.2355606840614821</v>
      </c>
      <c r="AA109" s="300">
        <f t="shared" si="66"/>
        <v>1.2718994334192917</v>
      </c>
      <c r="AB109" s="300">
        <f t="shared" si="66"/>
        <v>1.3076313732114289</v>
      </c>
      <c r="AC109" s="300">
        <f t="shared" si="66"/>
        <v>1.3427351592915096</v>
      </c>
      <c r="AD109" s="300">
        <f t="shared" si="66"/>
        <v>1.3771775748180377</v>
      </c>
      <c r="AE109" s="300">
        <f t="shared" si="66"/>
        <v>1.4109252133935042</v>
      </c>
      <c r="AF109" s="300">
        <f t="shared" si="66"/>
        <v>1.4439444967611001</v>
      </c>
      <c r="AG109" s="300">
        <f t="shared" si="66"/>
        <v>1.4762016928719117</v>
      </c>
      <c r="AH109" s="245"/>
      <c r="AI109" s="423"/>
      <c r="AJ109" s="424"/>
      <c r="AL109" s="221"/>
      <c r="AM109" s="124"/>
      <c r="AN109" s="124"/>
      <c r="AO109" s="124"/>
      <c r="BD109" s="124"/>
      <c r="BE109" s="124"/>
      <c r="BF109" s="124"/>
      <c r="BG109" s="124"/>
      <c r="BH109" s="124"/>
      <c r="BI109" s="124"/>
      <c r="BJ109" s="124"/>
      <c r="BK109" s="124"/>
    </row>
    <row r="110" spans="1:63" s="1" customFormat="1" outlineLevel="1">
      <c r="A110" s="1" t="s">
        <v>1570</v>
      </c>
      <c r="B110" s="65"/>
      <c r="C110" s="300">
        <f t="shared" ref="C110:AG110" si="67">C109-$C109</f>
        <v>0</v>
      </c>
      <c r="D110" s="300">
        <f t="shared" si="67"/>
        <v>4.225012498373637E-2</v>
      </c>
      <c r="E110" s="300">
        <f t="shared" si="67"/>
        <v>8.5363867248392344E-2</v>
      </c>
      <c r="F110" s="300">
        <f t="shared" si="67"/>
        <v>0.12903706107457963</v>
      </c>
      <c r="G110" s="300">
        <f t="shared" si="67"/>
        <v>0.17294962698923894</v>
      </c>
      <c r="H110" s="300">
        <f t="shared" si="67"/>
        <v>0.21676943042518537</v>
      </c>
      <c r="I110" s="300">
        <f t="shared" si="67"/>
        <v>0.26128880011248878</v>
      </c>
      <c r="J110" s="300">
        <f t="shared" si="67"/>
        <v>0.30644653005976108</v>
      </c>
      <c r="K110" s="300">
        <f t="shared" si="67"/>
        <v>0.35217837916707451</v>
      </c>
      <c r="L110" s="300">
        <f t="shared" si="67"/>
        <v>0.39841717289585488</v>
      </c>
      <c r="M110" s="300">
        <f t="shared" si="67"/>
        <v>0.44509291715113763</v>
      </c>
      <c r="N110" s="300">
        <f t="shared" si="67"/>
        <v>0.49105004527989926</v>
      </c>
      <c r="O110" s="300">
        <f t="shared" si="67"/>
        <v>0.53601242991714315</v>
      </c>
      <c r="P110" s="300">
        <f t="shared" si="67"/>
        <v>0.5797054866925303</v>
      </c>
      <c r="Q110" s="300">
        <f t="shared" si="67"/>
        <v>0.62185890858326076</v>
      </c>
      <c r="R110" s="300">
        <f t="shared" si="67"/>
        <v>0.66220940277370965</v>
      </c>
      <c r="S110" s="300">
        <f t="shared" si="67"/>
        <v>0.7022423817865947</v>
      </c>
      <c r="T110" s="300">
        <f t="shared" si="67"/>
        <v>0.7419248396469299</v>
      </c>
      <c r="U110" s="300">
        <f t="shared" si="67"/>
        <v>0.78122344836486601</v>
      </c>
      <c r="V110" s="300">
        <f t="shared" si="67"/>
        <v>0.8201045779654047</v>
      </c>
      <c r="W110" s="300">
        <f t="shared" si="67"/>
        <v>0.85853431707902261</v>
      </c>
      <c r="X110" s="300">
        <f t="shared" si="67"/>
        <v>0.89649128385316146</v>
      </c>
      <c r="Y110" s="300">
        <f t="shared" si="67"/>
        <v>0.93394232512708142</v>
      </c>
      <c r="Z110" s="300">
        <f t="shared" si="67"/>
        <v>0.97085403767036638</v>
      </c>
      <c r="AA110" s="300">
        <f t="shared" si="67"/>
        <v>1.0071927870281758</v>
      </c>
      <c r="AB110" s="300">
        <f t="shared" si="67"/>
        <v>1.042924726820313</v>
      </c>
      <c r="AC110" s="300">
        <f t="shared" si="67"/>
        <v>1.0780285129003939</v>
      </c>
      <c r="AD110" s="300">
        <f t="shared" si="67"/>
        <v>1.1124709284269221</v>
      </c>
      <c r="AE110" s="300">
        <f t="shared" si="67"/>
        <v>1.1462185670023883</v>
      </c>
      <c r="AF110" s="300">
        <f t="shared" si="67"/>
        <v>1.1792378503699843</v>
      </c>
      <c r="AG110" s="300">
        <f t="shared" si="67"/>
        <v>1.2114950464807959</v>
      </c>
      <c r="AH110" s="245"/>
      <c r="AI110" s="423"/>
      <c r="AJ110" s="424"/>
      <c r="AL110" s="221"/>
      <c r="AM110" s="124"/>
      <c r="AN110" s="124"/>
      <c r="AO110" s="124"/>
      <c r="BD110" s="124"/>
      <c r="BE110" s="124"/>
      <c r="BF110" s="124"/>
      <c r="BG110" s="124"/>
      <c r="BH110" s="124"/>
      <c r="BI110" s="124"/>
      <c r="BJ110" s="124"/>
      <c r="BK110" s="124"/>
    </row>
    <row r="111" spans="1:63" s="1" customFormat="1" outlineLevel="1">
      <c r="A111" s="1" t="s">
        <v>1578</v>
      </c>
      <c r="B111" s="65"/>
      <c r="C111" s="300">
        <f t="shared" ref="C111:AG111" si="68">C43*C104</f>
        <v>0</v>
      </c>
      <c r="D111" s="300">
        <f t="shared" si="68"/>
        <v>0</v>
      </c>
      <c r="E111" s="300">
        <f t="shared" si="68"/>
        <v>0</v>
      </c>
      <c r="F111" s="300">
        <f t="shared" si="68"/>
        <v>0</v>
      </c>
      <c r="G111" s="300">
        <f t="shared" si="68"/>
        <v>0</v>
      </c>
      <c r="H111" s="300">
        <f t="shared" si="68"/>
        <v>0</v>
      </c>
      <c r="I111" s="300">
        <f t="shared" si="68"/>
        <v>0</v>
      </c>
      <c r="J111" s="300">
        <f t="shared" si="68"/>
        <v>0</v>
      </c>
      <c r="K111" s="300">
        <f t="shared" si="68"/>
        <v>0</v>
      </c>
      <c r="L111" s="300">
        <f t="shared" si="68"/>
        <v>0</v>
      </c>
      <c r="M111" s="300">
        <f t="shared" si="68"/>
        <v>0</v>
      </c>
      <c r="N111" s="300">
        <f t="shared" si="68"/>
        <v>0</v>
      </c>
      <c r="O111" s="300">
        <f t="shared" si="68"/>
        <v>0</v>
      </c>
      <c r="P111" s="300">
        <f t="shared" si="68"/>
        <v>0</v>
      </c>
      <c r="Q111" s="300">
        <f t="shared" si="68"/>
        <v>0</v>
      </c>
      <c r="R111" s="300">
        <f t="shared" si="68"/>
        <v>0</v>
      </c>
      <c r="S111" s="300">
        <f t="shared" si="68"/>
        <v>0</v>
      </c>
      <c r="T111" s="300">
        <f t="shared" si="68"/>
        <v>0</v>
      </c>
      <c r="U111" s="300">
        <f t="shared" si="68"/>
        <v>0</v>
      </c>
      <c r="V111" s="300">
        <f t="shared" si="68"/>
        <v>0</v>
      </c>
      <c r="W111" s="300">
        <f t="shared" si="68"/>
        <v>0</v>
      </c>
      <c r="X111" s="300">
        <f t="shared" si="68"/>
        <v>0</v>
      </c>
      <c r="Y111" s="300">
        <f t="shared" si="68"/>
        <v>0</v>
      </c>
      <c r="Z111" s="300">
        <f t="shared" si="68"/>
        <v>0</v>
      </c>
      <c r="AA111" s="300">
        <f t="shared" si="68"/>
        <v>0</v>
      </c>
      <c r="AB111" s="300">
        <f t="shared" si="68"/>
        <v>0</v>
      </c>
      <c r="AC111" s="300">
        <f t="shared" si="68"/>
        <v>0</v>
      </c>
      <c r="AD111" s="300">
        <f t="shared" si="68"/>
        <v>0</v>
      </c>
      <c r="AE111" s="300">
        <f t="shared" si="68"/>
        <v>0</v>
      </c>
      <c r="AF111" s="300">
        <f t="shared" si="68"/>
        <v>0</v>
      </c>
      <c r="AG111" s="300">
        <f t="shared" si="68"/>
        <v>0</v>
      </c>
      <c r="AH111" s="245"/>
      <c r="AI111" s="423"/>
      <c r="AJ111" s="424"/>
      <c r="AL111" s="221"/>
      <c r="AM111" s="124"/>
      <c r="AN111" s="124"/>
      <c r="AO111" s="124"/>
      <c r="BD111" s="124"/>
      <c r="BE111" s="124"/>
      <c r="BF111" s="124"/>
      <c r="BG111" s="124"/>
      <c r="BH111" s="124"/>
      <c r="BI111" s="124"/>
      <c r="BJ111" s="124"/>
      <c r="BK111" s="124"/>
    </row>
    <row r="112" spans="1:63" s="1" customFormat="1" outlineLevel="1">
      <c r="A112" s="1" t="s">
        <v>1579</v>
      </c>
      <c r="B112" s="65"/>
      <c r="C112" s="300">
        <f t="shared" ref="C112:AG112" si="69">C111-$C111</f>
        <v>0</v>
      </c>
      <c r="D112" s="300">
        <f t="shared" si="69"/>
        <v>0</v>
      </c>
      <c r="E112" s="300">
        <f t="shared" si="69"/>
        <v>0</v>
      </c>
      <c r="F112" s="300">
        <f t="shared" si="69"/>
        <v>0</v>
      </c>
      <c r="G112" s="300">
        <f t="shared" si="69"/>
        <v>0</v>
      </c>
      <c r="H112" s="300">
        <f t="shared" si="69"/>
        <v>0</v>
      </c>
      <c r="I112" s="300">
        <f t="shared" si="69"/>
        <v>0</v>
      </c>
      <c r="J112" s="300">
        <f t="shared" si="69"/>
        <v>0</v>
      </c>
      <c r="K112" s="300">
        <f t="shared" si="69"/>
        <v>0</v>
      </c>
      <c r="L112" s="300">
        <f t="shared" si="69"/>
        <v>0</v>
      </c>
      <c r="M112" s="300">
        <f t="shared" si="69"/>
        <v>0</v>
      </c>
      <c r="N112" s="300">
        <f t="shared" si="69"/>
        <v>0</v>
      </c>
      <c r="O112" s="300">
        <f t="shared" si="69"/>
        <v>0</v>
      </c>
      <c r="P112" s="300">
        <f t="shared" si="69"/>
        <v>0</v>
      </c>
      <c r="Q112" s="300">
        <f t="shared" si="69"/>
        <v>0</v>
      </c>
      <c r="R112" s="300">
        <f t="shared" si="69"/>
        <v>0</v>
      </c>
      <c r="S112" s="300">
        <f t="shared" si="69"/>
        <v>0</v>
      </c>
      <c r="T112" s="300">
        <f t="shared" si="69"/>
        <v>0</v>
      </c>
      <c r="U112" s="300">
        <f t="shared" si="69"/>
        <v>0</v>
      </c>
      <c r="V112" s="300">
        <f t="shared" si="69"/>
        <v>0</v>
      </c>
      <c r="W112" s="300">
        <f t="shared" si="69"/>
        <v>0</v>
      </c>
      <c r="X112" s="300">
        <f t="shared" si="69"/>
        <v>0</v>
      </c>
      <c r="Y112" s="300">
        <f t="shared" si="69"/>
        <v>0</v>
      </c>
      <c r="Z112" s="300">
        <f t="shared" si="69"/>
        <v>0</v>
      </c>
      <c r="AA112" s="300">
        <f t="shared" si="69"/>
        <v>0</v>
      </c>
      <c r="AB112" s="300">
        <f t="shared" si="69"/>
        <v>0</v>
      </c>
      <c r="AC112" s="300">
        <f t="shared" si="69"/>
        <v>0</v>
      </c>
      <c r="AD112" s="300">
        <f t="shared" si="69"/>
        <v>0</v>
      </c>
      <c r="AE112" s="300">
        <f t="shared" si="69"/>
        <v>0</v>
      </c>
      <c r="AF112" s="300">
        <f t="shared" si="69"/>
        <v>0</v>
      </c>
      <c r="AG112" s="300">
        <f t="shared" si="69"/>
        <v>0</v>
      </c>
      <c r="AH112" s="245"/>
      <c r="AI112" s="423"/>
      <c r="AJ112" s="424"/>
      <c r="AL112" s="221"/>
      <c r="AM112" s="124"/>
      <c r="AN112" s="124"/>
      <c r="AO112" s="124"/>
      <c r="BD112" s="124"/>
      <c r="BE112" s="124"/>
      <c r="BF112" s="124"/>
      <c r="BG112" s="124"/>
      <c r="BH112" s="124"/>
      <c r="BI112" s="124"/>
      <c r="BJ112" s="124"/>
      <c r="BK112" s="124"/>
    </row>
    <row r="113" spans="1:63" s="1" customFormat="1" outlineLevel="1">
      <c r="A113" s="1" t="s">
        <v>1567</v>
      </c>
      <c r="B113" s="65"/>
      <c r="C113" s="300">
        <f t="shared" ref="C113:AG113" si="70">C43*C105</f>
        <v>2.941184959901285E-2</v>
      </c>
      <c r="D113" s="300">
        <f t="shared" si="70"/>
        <v>3.4106307930539113E-2</v>
      </c>
      <c r="E113" s="300">
        <f t="shared" si="70"/>
        <v>3.8896723737723113E-2</v>
      </c>
      <c r="F113" s="300">
        <f t="shared" si="70"/>
        <v>4.3749300829521692E-2</v>
      </c>
      <c r="G113" s="300">
        <f t="shared" si="70"/>
        <v>4.8628474820039395E-2</v>
      </c>
      <c r="H113" s="300">
        <f t="shared" si="70"/>
        <v>5.3497341868477891E-2</v>
      </c>
      <c r="I113" s="300">
        <f t="shared" si="70"/>
        <v>5.8443938500400479E-2</v>
      </c>
      <c r="J113" s="300">
        <f t="shared" si="70"/>
        <v>6.3461464050097421E-2</v>
      </c>
      <c r="K113" s="300">
        <f t="shared" si="70"/>
        <v>6.8542780617576668E-2</v>
      </c>
      <c r="L113" s="300">
        <f t="shared" si="70"/>
        <v>7.3680424365218947E-2</v>
      </c>
      <c r="M113" s="300">
        <f t="shared" si="70"/>
        <v>7.8866618171361466E-2</v>
      </c>
      <c r="N113" s="300">
        <f t="shared" si="70"/>
        <v>8.3972965741223871E-2</v>
      </c>
      <c r="O113" s="300">
        <f t="shared" si="70"/>
        <v>8.8968786256473184E-2</v>
      </c>
      <c r="P113" s="300">
        <f t="shared" si="70"/>
        <v>9.382357034262731E-2</v>
      </c>
      <c r="Q113" s="300">
        <f t="shared" si="70"/>
        <v>9.850728388604181E-2</v>
      </c>
      <c r="R113" s="300">
        <f t="shared" si="70"/>
        <v>0.10299067212942502</v>
      </c>
      <c r="S113" s="300">
        <f t="shared" si="70"/>
        <v>0.10743878090863446</v>
      </c>
      <c r="T113" s="300">
        <f t="shared" si="70"/>
        <v>0.11184794289311613</v>
      </c>
      <c r="U113" s="300">
        <f t="shared" si="70"/>
        <v>0.11621445497288684</v>
      </c>
      <c r="V113" s="300">
        <f t="shared" si="70"/>
        <v>0.12053458048405781</v>
      </c>
      <c r="W113" s="300">
        <f t="shared" si="70"/>
        <v>0.124804551496682</v>
      </c>
      <c r="X113" s="300">
        <f t="shared" si="70"/>
        <v>0.12902199224936411</v>
      </c>
      <c r="Y113" s="300">
        <f t="shared" si="70"/>
        <v>0.13318321905757741</v>
      </c>
      <c r="Z113" s="300">
        <f t="shared" si="70"/>
        <v>0.13728452045127573</v>
      </c>
      <c r="AA113" s="300">
        <f t="shared" si="70"/>
        <v>0.14132215926881014</v>
      </c>
      <c r="AB113" s="300">
        <f t="shared" si="70"/>
        <v>0.14529237480126983</v>
      </c>
      <c r="AC113" s="300">
        <f t="shared" si="70"/>
        <v>0.14919279547683437</v>
      </c>
      <c r="AD113" s="300">
        <f t="shared" si="70"/>
        <v>0.15301973053533749</v>
      </c>
      <c r="AE113" s="300">
        <f t="shared" si="70"/>
        <v>0.15676946815483375</v>
      </c>
      <c r="AF113" s="300">
        <f t="shared" si="70"/>
        <v>0.16043827741789995</v>
      </c>
      <c r="AG113" s="300">
        <f t="shared" si="70"/>
        <v>0.16402241031910125</v>
      </c>
      <c r="AH113" s="245"/>
      <c r="AI113" s="423"/>
      <c r="AJ113" s="424"/>
      <c r="AL113" s="221"/>
      <c r="AM113" s="124"/>
      <c r="AN113" s="124"/>
      <c r="AO113" s="124"/>
      <c r="BD113" s="124"/>
      <c r="BE113" s="124"/>
      <c r="BF113" s="124"/>
      <c r="BG113" s="124"/>
      <c r="BH113" s="124"/>
      <c r="BI113" s="124"/>
      <c r="BJ113" s="124"/>
      <c r="BK113" s="124"/>
    </row>
    <row r="114" spans="1:63" s="1" customFormat="1" outlineLevel="1">
      <c r="A114" s="1" t="s">
        <v>1568</v>
      </c>
      <c r="B114" s="65"/>
      <c r="C114" s="300">
        <f t="shared" ref="C114:AG114" si="71">C113-$C113</f>
        <v>0</v>
      </c>
      <c r="D114" s="300">
        <f t="shared" si="71"/>
        <v>4.6944583315262634E-3</v>
      </c>
      <c r="E114" s="300">
        <f t="shared" si="71"/>
        <v>9.4848741387102628E-3</v>
      </c>
      <c r="F114" s="300">
        <f t="shared" si="71"/>
        <v>1.4337451230508842E-2</v>
      </c>
      <c r="G114" s="300">
        <f t="shared" si="71"/>
        <v>1.9216625221026545E-2</v>
      </c>
      <c r="H114" s="300">
        <f t="shared" si="71"/>
        <v>2.4085492269465041E-2</v>
      </c>
      <c r="I114" s="300">
        <f t="shared" si="71"/>
        <v>2.9032088901387629E-2</v>
      </c>
      <c r="J114" s="300">
        <f t="shared" si="71"/>
        <v>3.4049614451084571E-2</v>
      </c>
      <c r="K114" s="300">
        <f t="shared" si="71"/>
        <v>3.9130931018563818E-2</v>
      </c>
      <c r="L114" s="300">
        <f t="shared" si="71"/>
        <v>4.4268574766206097E-2</v>
      </c>
      <c r="M114" s="300">
        <f t="shared" si="71"/>
        <v>4.9454768572348616E-2</v>
      </c>
      <c r="N114" s="300">
        <f t="shared" si="71"/>
        <v>5.4561116142211021E-2</v>
      </c>
      <c r="O114" s="300">
        <f t="shared" si="71"/>
        <v>5.9556936657460334E-2</v>
      </c>
      <c r="P114" s="300">
        <f t="shared" si="71"/>
        <v>6.4411720743614453E-2</v>
      </c>
      <c r="Q114" s="300">
        <f t="shared" si="71"/>
        <v>6.9095434287028967E-2</v>
      </c>
      <c r="R114" s="300">
        <f t="shared" si="71"/>
        <v>7.3578822530412175E-2</v>
      </c>
      <c r="S114" s="300">
        <f t="shared" si="71"/>
        <v>7.80269313096216E-2</v>
      </c>
      <c r="T114" s="300">
        <f t="shared" si="71"/>
        <v>8.2436093294103285E-2</v>
      </c>
      <c r="U114" s="300">
        <f t="shared" si="71"/>
        <v>8.6802605373873992E-2</v>
      </c>
      <c r="V114" s="300">
        <f t="shared" si="71"/>
        <v>9.1122730885044967E-2</v>
      </c>
      <c r="W114" s="300">
        <f t="shared" si="71"/>
        <v>9.5392701897669158E-2</v>
      </c>
      <c r="X114" s="300">
        <f t="shared" si="71"/>
        <v>9.9610142650351258E-2</v>
      </c>
      <c r="Y114" s="300">
        <f t="shared" si="71"/>
        <v>0.10377136945856455</v>
      </c>
      <c r="Z114" s="300">
        <f t="shared" si="71"/>
        <v>0.10787267085226288</v>
      </c>
      <c r="AA114" s="300">
        <f t="shared" si="71"/>
        <v>0.11191030966979729</v>
      </c>
      <c r="AB114" s="300">
        <f t="shared" si="71"/>
        <v>0.11588052520225697</v>
      </c>
      <c r="AC114" s="300">
        <f t="shared" si="71"/>
        <v>0.11978094587782151</v>
      </c>
      <c r="AD114" s="300">
        <f t="shared" si="71"/>
        <v>0.12360788093632463</v>
      </c>
      <c r="AE114" s="300">
        <f t="shared" si="71"/>
        <v>0.1273576185558209</v>
      </c>
      <c r="AF114" s="300">
        <f t="shared" si="71"/>
        <v>0.1310264278188871</v>
      </c>
      <c r="AG114" s="300">
        <f t="shared" si="71"/>
        <v>0.1346105607200884</v>
      </c>
      <c r="AH114" s="245"/>
      <c r="AI114" s="423"/>
      <c r="AJ114" s="424"/>
      <c r="AL114" s="221"/>
      <c r="AM114" s="124"/>
      <c r="AN114" s="124"/>
      <c r="AO114" s="124"/>
      <c r="BD114" s="124"/>
      <c r="BE114" s="124"/>
      <c r="BF114" s="124"/>
      <c r="BG114" s="124"/>
      <c r="BH114" s="124"/>
      <c r="BI114" s="124"/>
      <c r="BJ114" s="124"/>
      <c r="BK114" s="124"/>
    </row>
    <row r="115" spans="1:63" outlineLevel="1">
      <c r="C115" s="110"/>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J115" s="211"/>
      <c r="AM115" s="123"/>
      <c r="AN115" s="123"/>
    </row>
    <row r="116" spans="1:63" s="200" customFormat="1" ht="16" thickBot="1">
      <c r="A116" s="200" t="s">
        <v>1339</v>
      </c>
      <c r="B116" s="215"/>
      <c r="C116" s="224">
        <f>C117</f>
        <v>0</v>
      </c>
      <c r="D116" s="224">
        <f t="shared" ref="D116:AG116" si="72">D117</f>
        <v>0</v>
      </c>
      <c r="E116" s="224">
        <f t="shared" si="72"/>
        <v>0</v>
      </c>
      <c r="F116" s="224">
        <f t="shared" si="72"/>
        <v>0</v>
      </c>
      <c r="G116" s="224">
        <f t="shared" si="72"/>
        <v>0</v>
      </c>
      <c r="H116" s="224">
        <f t="shared" si="72"/>
        <v>0</v>
      </c>
      <c r="I116" s="224">
        <f t="shared" si="72"/>
        <v>0</v>
      </c>
      <c r="J116" s="224">
        <f t="shared" si="72"/>
        <v>0</v>
      </c>
      <c r="K116" s="224">
        <f t="shared" si="72"/>
        <v>0</v>
      </c>
      <c r="L116" s="224">
        <f t="shared" si="72"/>
        <v>0</v>
      </c>
      <c r="M116" s="224">
        <f t="shared" si="72"/>
        <v>0</v>
      </c>
      <c r="N116" s="224">
        <f t="shared" si="72"/>
        <v>0</v>
      </c>
      <c r="O116" s="224">
        <f t="shared" si="72"/>
        <v>0</v>
      </c>
      <c r="P116" s="224">
        <f t="shared" si="72"/>
        <v>0</v>
      </c>
      <c r="Q116" s="224">
        <f t="shared" si="72"/>
        <v>0</v>
      </c>
      <c r="R116" s="224">
        <f t="shared" si="72"/>
        <v>0</v>
      </c>
      <c r="S116" s="224">
        <f t="shared" si="72"/>
        <v>0</v>
      </c>
      <c r="T116" s="224">
        <f t="shared" si="72"/>
        <v>0</v>
      </c>
      <c r="U116" s="224">
        <f t="shared" si="72"/>
        <v>0</v>
      </c>
      <c r="V116" s="224">
        <f t="shared" si="72"/>
        <v>0</v>
      </c>
      <c r="W116" s="224">
        <f t="shared" si="72"/>
        <v>0</v>
      </c>
      <c r="X116" s="224">
        <f t="shared" si="72"/>
        <v>0</v>
      </c>
      <c r="Y116" s="224">
        <f t="shared" si="72"/>
        <v>0</v>
      </c>
      <c r="Z116" s="224">
        <f t="shared" si="72"/>
        <v>0</v>
      </c>
      <c r="AA116" s="224">
        <f t="shared" si="72"/>
        <v>0</v>
      </c>
      <c r="AB116" s="224">
        <f t="shared" si="72"/>
        <v>0</v>
      </c>
      <c r="AC116" s="224">
        <f t="shared" si="72"/>
        <v>0</v>
      </c>
      <c r="AD116" s="224">
        <f t="shared" si="72"/>
        <v>0</v>
      </c>
      <c r="AE116" s="224">
        <f t="shared" si="72"/>
        <v>0</v>
      </c>
      <c r="AF116" s="224">
        <f t="shared" si="72"/>
        <v>0</v>
      </c>
      <c r="AG116" s="224">
        <f t="shared" si="72"/>
        <v>0</v>
      </c>
      <c r="AJ116" s="231" t="s">
        <v>1340</v>
      </c>
      <c r="AL116" s="217"/>
      <c r="AM116" s="225"/>
      <c r="AN116" s="225"/>
      <c r="AO116" s="225"/>
    </row>
    <row r="117" spans="1:63" ht="16" outlineLevel="1" thickTop="1">
      <c r="A117" t="s">
        <v>1341</v>
      </c>
      <c r="B117" s="54" t="s">
        <v>462</v>
      </c>
      <c r="C117" s="214">
        <v>0</v>
      </c>
      <c r="D117" s="110">
        <f>$C117+($M117-$C117)/10*(D$1-$C$1)</f>
        <v>0</v>
      </c>
      <c r="E117" s="110">
        <f t="shared" ref="E117:L117" si="73">$C117+($M117-$C117)/10*(E$1-$C$1)</f>
        <v>0</v>
      </c>
      <c r="F117" s="110">
        <f t="shared" si="73"/>
        <v>0</v>
      </c>
      <c r="G117" s="110">
        <f t="shared" si="73"/>
        <v>0</v>
      </c>
      <c r="H117" s="110">
        <f t="shared" si="73"/>
        <v>0</v>
      </c>
      <c r="I117" s="110">
        <f t="shared" si="73"/>
        <v>0</v>
      </c>
      <c r="J117" s="110">
        <f t="shared" si="73"/>
        <v>0</v>
      </c>
      <c r="K117" s="110">
        <f t="shared" si="73"/>
        <v>0</v>
      </c>
      <c r="L117" s="110">
        <f t="shared" si="73"/>
        <v>0</v>
      </c>
      <c r="M117" s="121">
        <v>0</v>
      </c>
      <c r="N117" s="121">
        <f>$M117+($W117-$M117)/10*(N$1-$M$1)</f>
        <v>0</v>
      </c>
      <c r="O117" s="121">
        <f t="shared" ref="O117:U117" si="74">$M117+($W117-$M117)/10*(O$1-$M$1)</f>
        <v>0</v>
      </c>
      <c r="P117" s="121">
        <f t="shared" si="74"/>
        <v>0</v>
      </c>
      <c r="Q117" s="121">
        <f t="shared" si="74"/>
        <v>0</v>
      </c>
      <c r="R117" s="121">
        <f t="shared" si="74"/>
        <v>0</v>
      </c>
      <c r="S117" s="121">
        <f t="shared" si="74"/>
        <v>0</v>
      </c>
      <c r="T117" s="121">
        <f t="shared" si="74"/>
        <v>0</v>
      </c>
      <c r="U117" s="121">
        <f t="shared" si="74"/>
        <v>0</v>
      </c>
      <c r="V117" s="121">
        <f>$M117+($W117-$M117)/10*(V$1-$M$1)</f>
        <v>0</v>
      </c>
      <c r="W117" s="121">
        <v>0</v>
      </c>
      <c r="X117" s="110">
        <f>$W117+($AG117-$W117)/10*(X$1-$W$1)</f>
        <v>0</v>
      </c>
      <c r="Y117" s="110">
        <f t="shared" ref="Y117:AF117" si="75">$W117+($AG117-$W117)/10*(Y$1-$W$1)</f>
        <v>0</v>
      </c>
      <c r="Z117" s="110">
        <f t="shared" si="75"/>
        <v>0</v>
      </c>
      <c r="AA117" s="110">
        <f t="shared" si="75"/>
        <v>0</v>
      </c>
      <c r="AB117" s="110">
        <f t="shared" si="75"/>
        <v>0</v>
      </c>
      <c r="AC117" s="110">
        <f t="shared" si="75"/>
        <v>0</v>
      </c>
      <c r="AD117" s="110">
        <f t="shared" si="75"/>
        <v>0</v>
      </c>
      <c r="AE117" s="110">
        <f t="shared" si="75"/>
        <v>0</v>
      </c>
      <c r="AF117" s="110">
        <f t="shared" si="75"/>
        <v>0</v>
      </c>
      <c r="AG117" s="214">
        <v>0</v>
      </c>
      <c r="AJ117" s="211" t="s">
        <v>1342</v>
      </c>
    </row>
    <row r="118" spans="1:63" outlineLevel="1">
      <c r="A118" t="s">
        <v>1453</v>
      </c>
      <c r="B118" s="54" t="s">
        <v>462</v>
      </c>
      <c r="C118" s="214">
        <v>0</v>
      </c>
      <c r="D118" s="110">
        <f t="shared" ref="D118:L118" si="76">C118-($C$118-$AG$118)/($AG$1-$C$1)</f>
        <v>0</v>
      </c>
      <c r="E118" s="110">
        <f t="shared" si="76"/>
        <v>0</v>
      </c>
      <c r="F118" s="110">
        <f t="shared" si="76"/>
        <v>0</v>
      </c>
      <c r="G118" s="110">
        <f t="shared" si="76"/>
        <v>0</v>
      </c>
      <c r="H118" s="110">
        <f t="shared" si="76"/>
        <v>0</v>
      </c>
      <c r="I118" s="110">
        <f t="shared" si="76"/>
        <v>0</v>
      </c>
      <c r="J118" s="110">
        <f t="shared" si="76"/>
        <v>0</v>
      </c>
      <c r="K118" s="110">
        <f t="shared" si="76"/>
        <v>0</v>
      </c>
      <c r="L118" s="110">
        <f t="shared" si="76"/>
        <v>0</v>
      </c>
      <c r="M118" s="110">
        <v>0</v>
      </c>
      <c r="N118" s="110">
        <f t="shared" ref="N118:V118" si="77">M118-($C$118-$AG$118)/($AG$1-$C$1)</f>
        <v>0</v>
      </c>
      <c r="O118" s="110">
        <f t="shared" si="77"/>
        <v>0</v>
      </c>
      <c r="P118" s="110">
        <f t="shared" si="77"/>
        <v>0</v>
      </c>
      <c r="Q118" s="110">
        <f t="shared" si="77"/>
        <v>0</v>
      </c>
      <c r="R118" s="110">
        <f t="shared" si="77"/>
        <v>0</v>
      </c>
      <c r="S118" s="110">
        <f t="shared" si="77"/>
        <v>0</v>
      </c>
      <c r="T118" s="110">
        <f t="shared" si="77"/>
        <v>0</v>
      </c>
      <c r="U118" s="110">
        <f t="shared" si="77"/>
        <v>0</v>
      </c>
      <c r="V118" s="110">
        <f t="shared" si="77"/>
        <v>0</v>
      </c>
      <c r="W118" s="110">
        <v>0</v>
      </c>
      <c r="X118" s="110">
        <f t="shared" ref="X118:AF118" si="78">W118-($C$118-$AG$118)/($AG$1-$C$1)</f>
        <v>0</v>
      </c>
      <c r="Y118" s="110">
        <f t="shared" si="78"/>
        <v>0</v>
      </c>
      <c r="Z118" s="110">
        <f t="shared" si="78"/>
        <v>0</v>
      </c>
      <c r="AA118" s="110">
        <f t="shared" si="78"/>
        <v>0</v>
      </c>
      <c r="AB118" s="110">
        <f t="shared" si="78"/>
        <v>0</v>
      </c>
      <c r="AC118" s="110">
        <f t="shared" si="78"/>
        <v>0</v>
      </c>
      <c r="AD118" s="110">
        <f t="shared" si="78"/>
        <v>0</v>
      </c>
      <c r="AE118" s="110">
        <f t="shared" si="78"/>
        <v>0</v>
      </c>
      <c r="AF118" s="110">
        <f t="shared" si="78"/>
        <v>0</v>
      </c>
      <c r="AG118" s="214">
        <v>0</v>
      </c>
      <c r="AI118" s="135"/>
      <c r="AJ118" s="211" t="s">
        <v>1454</v>
      </c>
      <c r="AM118" s="123"/>
      <c r="AN118" s="123"/>
    </row>
    <row r="119" spans="1:63" ht="14.5" customHeight="1" outlineLevel="1">
      <c r="A119" t="s">
        <v>1455</v>
      </c>
      <c r="B119" s="176" t="s">
        <v>462</v>
      </c>
      <c r="C119" s="110">
        <v>0</v>
      </c>
      <c r="D119" s="110">
        <f t="shared" ref="D119:AF119" si="79">1-D118</f>
        <v>1</v>
      </c>
      <c r="E119" s="110">
        <f t="shared" si="79"/>
        <v>1</v>
      </c>
      <c r="F119" s="110">
        <f t="shared" si="79"/>
        <v>1</v>
      </c>
      <c r="G119" s="110">
        <f t="shared" si="79"/>
        <v>1</v>
      </c>
      <c r="H119" s="110">
        <f t="shared" si="79"/>
        <v>1</v>
      </c>
      <c r="I119" s="110">
        <f t="shared" si="79"/>
        <v>1</v>
      </c>
      <c r="J119" s="110">
        <f t="shared" si="79"/>
        <v>1</v>
      </c>
      <c r="K119" s="110">
        <f t="shared" si="79"/>
        <v>1</v>
      </c>
      <c r="L119" s="110">
        <f t="shared" si="79"/>
        <v>1</v>
      </c>
      <c r="M119" s="110">
        <v>0</v>
      </c>
      <c r="N119" s="110">
        <f t="shared" si="79"/>
        <v>1</v>
      </c>
      <c r="O119" s="110">
        <f t="shared" si="79"/>
        <v>1</v>
      </c>
      <c r="P119" s="110">
        <f t="shared" si="79"/>
        <v>1</v>
      </c>
      <c r="Q119" s="110">
        <f t="shared" si="79"/>
        <v>1</v>
      </c>
      <c r="R119" s="110">
        <f t="shared" si="79"/>
        <v>1</v>
      </c>
      <c r="S119" s="110">
        <f t="shared" si="79"/>
        <v>1</v>
      </c>
      <c r="T119" s="110">
        <f t="shared" si="79"/>
        <v>1</v>
      </c>
      <c r="U119" s="110">
        <f t="shared" si="79"/>
        <v>1</v>
      </c>
      <c r="V119" s="110">
        <f t="shared" si="79"/>
        <v>1</v>
      </c>
      <c r="W119" s="110">
        <v>0</v>
      </c>
      <c r="X119" s="110">
        <f t="shared" si="79"/>
        <v>1</v>
      </c>
      <c r="Y119" s="110">
        <f t="shared" si="79"/>
        <v>1</v>
      </c>
      <c r="Z119" s="110">
        <f t="shared" si="79"/>
        <v>1</v>
      </c>
      <c r="AA119" s="110">
        <f t="shared" si="79"/>
        <v>1</v>
      </c>
      <c r="AB119" s="110">
        <f t="shared" si="79"/>
        <v>1</v>
      </c>
      <c r="AC119" s="110">
        <f t="shared" si="79"/>
        <v>1</v>
      </c>
      <c r="AD119" s="110">
        <f t="shared" si="79"/>
        <v>1</v>
      </c>
      <c r="AE119" s="110">
        <f t="shared" si="79"/>
        <v>1</v>
      </c>
      <c r="AF119" s="110">
        <f t="shared" si="79"/>
        <v>1</v>
      </c>
      <c r="AG119" s="110">
        <v>0</v>
      </c>
      <c r="AI119" s="135" t="s">
        <v>1456</v>
      </c>
      <c r="AJ119" s="211"/>
    </row>
    <row r="120" spans="1:63" outlineLevel="1">
      <c r="A120" t="s">
        <v>1343</v>
      </c>
      <c r="B120" s="54" t="s">
        <v>462</v>
      </c>
      <c r="C120" s="110">
        <f>C117*C118</f>
        <v>0</v>
      </c>
      <c r="D120" s="110">
        <f t="shared" ref="D120:AG120" si="80">D117*D118</f>
        <v>0</v>
      </c>
      <c r="E120" s="110">
        <f t="shared" si="80"/>
        <v>0</v>
      </c>
      <c r="F120" s="110">
        <f t="shared" si="80"/>
        <v>0</v>
      </c>
      <c r="G120" s="110">
        <f t="shared" si="80"/>
        <v>0</v>
      </c>
      <c r="H120" s="110">
        <f t="shared" si="80"/>
        <v>0</v>
      </c>
      <c r="I120" s="110">
        <f t="shared" si="80"/>
        <v>0</v>
      </c>
      <c r="J120" s="110">
        <f t="shared" si="80"/>
        <v>0</v>
      </c>
      <c r="K120" s="110">
        <f t="shared" si="80"/>
        <v>0</v>
      </c>
      <c r="L120" s="110">
        <f t="shared" si="80"/>
        <v>0</v>
      </c>
      <c r="M120" s="110">
        <f t="shared" si="80"/>
        <v>0</v>
      </c>
      <c r="N120" s="110">
        <f t="shared" si="80"/>
        <v>0</v>
      </c>
      <c r="O120" s="110">
        <f t="shared" si="80"/>
        <v>0</v>
      </c>
      <c r="P120" s="110">
        <f t="shared" si="80"/>
        <v>0</v>
      </c>
      <c r="Q120" s="110">
        <f t="shared" si="80"/>
        <v>0</v>
      </c>
      <c r="R120" s="110">
        <f t="shared" si="80"/>
        <v>0</v>
      </c>
      <c r="S120" s="110">
        <f t="shared" si="80"/>
        <v>0</v>
      </c>
      <c r="T120" s="110">
        <f t="shared" si="80"/>
        <v>0</v>
      </c>
      <c r="U120" s="110">
        <f t="shared" si="80"/>
        <v>0</v>
      </c>
      <c r="V120" s="110">
        <f t="shared" si="80"/>
        <v>0</v>
      </c>
      <c r="W120" s="110">
        <f t="shared" si="80"/>
        <v>0</v>
      </c>
      <c r="X120" s="110">
        <f t="shared" si="80"/>
        <v>0</v>
      </c>
      <c r="Y120" s="110">
        <f t="shared" si="80"/>
        <v>0</v>
      </c>
      <c r="Z120" s="110">
        <f t="shared" si="80"/>
        <v>0</v>
      </c>
      <c r="AA120" s="110">
        <f t="shared" si="80"/>
        <v>0</v>
      </c>
      <c r="AB120" s="110">
        <f t="shared" si="80"/>
        <v>0</v>
      </c>
      <c r="AC120" s="110">
        <f t="shared" si="80"/>
        <v>0</v>
      </c>
      <c r="AD120" s="110">
        <f t="shared" si="80"/>
        <v>0</v>
      </c>
      <c r="AE120" s="110">
        <f t="shared" si="80"/>
        <v>0</v>
      </c>
      <c r="AF120" s="110">
        <f t="shared" si="80"/>
        <v>0</v>
      </c>
      <c r="AG120" s="110">
        <f t="shared" si="80"/>
        <v>0</v>
      </c>
      <c r="AI120" s="134"/>
      <c r="AJ120" s="211"/>
      <c r="BD120" s="203"/>
      <c r="BE120" s="203"/>
    </row>
    <row r="121" spans="1:63" outlineLevel="1">
      <c r="A121" t="s">
        <v>1344</v>
      </c>
      <c r="B121" s="54" t="s">
        <v>462</v>
      </c>
      <c r="C121" s="110">
        <f>C117*C119</f>
        <v>0</v>
      </c>
      <c r="D121" s="110">
        <f t="shared" ref="D121:AG121" si="81">D117*D119</f>
        <v>0</v>
      </c>
      <c r="E121" s="110">
        <f t="shared" si="81"/>
        <v>0</v>
      </c>
      <c r="F121" s="110">
        <f t="shared" si="81"/>
        <v>0</v>
      </c>
      <c r="G121" s="110">
        <f t="shared" si="81"/>
        <v>0</v>
      </c>
      <c r="H121" s="110">
        <f t="shared" si="81"/>
        <v>0</v>
      </c>
      <c r="I121" s="110">
        <f t="shared" si="81"/>
        <v>0</v>
      </c>
      <c r="J121" s="110">
        <f t="shared" si="81"/>
        <v>0</v>
      </c>
      <c r="K121" s="110">
        <f t="shared" si="81"/>
        <v>0</v>
      </c>
      <c r="L121" s="110">
        <f t="shared" si="81"/>
        <v>0</v>
      </c>
      <c r="M121" s="110">
        <f t="shared" si="81"/>
        <v>0</v>
      </c>
      <c r="N121" s="110">
        <f t="shared" si="81"/>
        <v>0</v>
      </c>
      <c r="O121" s="110">
        <f t="shared" si="81"/>
        <v>0</v>
      </c>
      <c r="P121" s="110">
        <f t="shared" si="81"/>
        <v>0</v>
      </c>
      <c r="Q121" s="110">
        <f t="shared" si="81"/>
        <v>0</v>
      </c>
      <c r="R121" s="110">
        <f t="shared" si="81"/>
        <v>0</v>
      </c>
      <c r="S121" s="110">
        <f t="shared" si="81"/>
        <v>0</v>
      </c>
      <c r="T121" s="110">
        <f t="shared" si="81"/>
        <v>0</v>
      </c>
      <c r="U121" s="110">
        <f t="shared" si="81"/>
        <v>0</v>
      </c>
      <c r="V121" s="110">
        <f t="shared" si="81"/>
        <v>0</v>
      </c>
      <c r="W121" s="110">
        <f t="shared" si="81"/>
        <v>0</v>
      </c>
      <c r="X121" s="110">
        <f t="shared" si="81"/>
        <v>0</v>
      </c>
      <c r="Y121" s="110">
        <f t="shared" si="81"/>
        <v>0</v>
      </c>
      <c r="Z121" s="110">
        <f t="shared" si="81"/>
        <v>0</v>
      </c>
      <c r="AA121" s="110">
        <f t="shared" si="81"/>
        <v>0</v>
      </c>
      <c r="AB121" s="110">
        <f t="shared" si="81"/>
        <v>0</v>
      </c>
      <c r="AC121" s="110">
        <f t="shared" si="81"/>
        <v>0</v>
      </c>
      <c r="AD121" s="110">
        <f t="shared" si="81"/>
        <v>0</v>
      </c>
      <c r="AE121" s="110">
        <f t="shared" si="81"/>
        <v>0</v>
      </c>
      <c r="AF121" s="110">
        <f t="shared" si="81"/>
        <v>0</v>
      </c>
      <c r="AG121" s="110">
        <f t="shared" si="81"/>
        <v>0</v>
      </c>
      <c r="AI121" s="134"/>
      <c r="AJ121" s="211"/>
      <c r="BD121" s="203"/>
      <c r="BE121" s="203"/>
    </row>
    <row r="122" spans="1:63" outlineLevel="1">
      <c r="C122" s="110"/>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J122" s="211"/>
    </row>
    <row r="123" spans="1:63" outlineLevel="1">
      <c r="A123" t="s">
        <v>1441</v>
      </c>
      <c r="B123" s="54" t="s">
        <v>462</v>
      </c>
      <c r="C123" s="106">
        <v>0.5</v>
      </c>
      <c r="D123" s="110">
        <f>C123</f>
        <v>0.5</v>
      </c>
      <c r="E123" s="110">
        <f t="shared" ref="E123:AG123" si="82">D123</f>
        <v>0.5</v>
      </c>
      <c r="F123" s="110">
        <f t="shared" si="82"/>
        <v>0.5</v>
      </c>
      <c r="G123" s="110">
        <f t="shared" si="82"/>
        <v>0.5</v>
      </c>
      <c r="H123" s="110">
        <f t="shared" si="82"/>
        <v>0.5</v>
      </c>
      <c r="I123" s="110">
        <f t="shared" si="82"/>
        <v>0.5</v>
      </c>
      <c r="J123" s="110">
        <f t="shared" si="82"/>
        <v>0.5</v>
      </c>
      <c r="K123" s="110">
        <f t="shared" si="82"/>
        <v>0.5</v>
      </c>
      <c r="L123" s="110">
        <f t="shared" si="82"/>
        <v>0.5</v>
      </c>
      <c r="M123" s="110">
        <f t="shared" si="82"/>
        <v>0.5</v>
      </c>
      <c r="N123" s="110">
        <f t="shared" si="82"/>
        <v>0.5</v>
      </c>
      <c r="O123" s="110">
        <f t="shared" si="82"/>
        <v>0.5</v>
      </c>
      <c r="P123" s="110">
        <f t="shared" si="82"/>
        <v>0.5</v>
      </c>
      <c r="Q123" s="110">
        <f t="shared" si="82"/>
        <v>0.5</v>
      </c>
      <c r="R123" s="110">
        <f t="shared" si="82"/>
        <v>0.5</v>
      </c>
      <c r="S123" s="110">
        <f t="shared" si="82"/>
        <v>0.5</v>
      </c>
      <c r="T123" s="110">
        <f t="shared" si="82"/>
        <v>0.5</v>
      </c>
      <c r="U123" s="110">
        <f t="shared" si="82"/>
        <v>0.5</v>
      </c>
      <c r="V123" s="110">
        <f t="shared" si="82"/>
        <v>0.5</v>
      </c>
      <c r="W123" s="110">
        <f t="shared" si="82"/>
        <v>0.5</v>
      </c>
      <c r="X123" s="110">
        <f t="shared" si="82"/>
        <v>0.5</v>
      </c>
      <c r="Y123" s="110">
        <f t="shared" si="82"/>
        <v>0.5</v>
      </c>
      <c r="Z123" s="110">
        <f t="shared" si="82"/>
        <v>0.5</v>
      </c>
      <c r="AA123" s="110">
        <f t="shared" si="82"/>
        <v>0.5</v>
      </c>
      <c r="AB123" s="110">
        <f t="shared" si="82"/>
        <v>0.5</v>
      </c>
      <c r="AC123" s="110">
        <f t="shared" si="82"/>
        <v>0.5</v>
      </c>
      <c r="AD123" s="110">
        <f t="shared" si="82"/>
        <v>0.5</v>
      </c>
      <c r="AE123" s="110">
        <f t="shared" si="82"/>
        <v>0.5</v>
      </c>
      <c r="AF123" s="110">
        <f t="shared" si="82"/>
        <v>0.5</v>
      </c>
      <c r="AG123" s="110">
        <f t="shared" si="82"/>
        <v>0.5</v>
      </c>
      <c r="AI123" s="54"/>
      <c r="AJ123" s="211" t="s">
        <v>1457</v>
      </c>
    </row>
    <row r="124" spans="1:63" outlineLevel="1">
      <c r="A124" t="s">
        <v>1445</v>
      </c>
      <c r="B124" s="54" t="s">
        <v>462</v>
      </c>
      <c r="C124" s="121">
        <f>1-C123</f>
        <v>0.5</v>
      </c>
      <c r="D124" s="110">
        <f t="shared" ref="D124:AG124" si="83">C124</f>
        <v>0.5</v>
      </c>
      <c r="E124" s="110">
        <f t="shared" si="83"/>
        <v>0.5</v>
      </c>
      <c r="F124" s="110">
        <f t="shared" si="83"/>
        <v>0.5</v>
      </c>
      <c r="G124" s="110">
        <f t="shared" si="83"/>
        <v>0.5</v>
      </c>
      <c r="H124" s="110">
        <f t="shared" si="83"/>
        <v>0.5</v>
      </c>
      <c r="I124" s="110">
        <f t="shared" si="83"/>
        <v>0.5</v>
      </c>
      <c r="J124" s="110">
        <f t="shared" si="83"/>
        <v>0.5</v>
      </c>
      <c r="K124" s="110">
        <f t="shared" si="83"/>
        <v>0.5</v>
      </c>
      <c r="L124" s="110">
        <f t="shared" si="83"/>
        <v>0.5</v>
      </c>
      <c r="M124" s="110">
        <f t="shared" si="83"/>
        <v>0.5</v>
      </c>
      <c r="N124" s="110">
        <f t="shared" si="83"/>
        <v>0.5</v>
      </c>
      <c r="O124" s="110">
        <f t="shared" si="83"/>
        <v>0.5</v>
      </c>
      <c r="P124" s="110">
        <f t="shared" si="83"/>
        <v>0.5</v>
      </c>
      <c r="Q124" s="110">
        <f t="shared" si="83"/>
        <v>0.5</v>
      </c>
      <c r="R124" s="110">
        <f t="shared" si="83"/>
        <v>0.5</v>
      </c>
      <c r="S124" s="110">
        <f t="shared" si="83"/>
        <v>0.5</v>
      </c>
      <c r="T124" s="110">
        <f t="shared" si="83"/>
        <v>0.5</v>
      </c>
      <c r="U124" s="110">
        <f t="shared" si="83"/>
        <v>0.5</v>
      </c>
      <c r="V124" s="110">
        <f t="shared" si="83"/>
        <v>0.5</v>
      </c>
      <c r="W124" s="110">
        <f t="shared" si="83"/>
        <v>0.5</v>
      </c>
      <c r="X124" s="110">
        <f t="shared" si="83"/>
        <v>0.5</v>
      </c>
      <c r="Y124" s="110">
        <f t="shared" si="83"/>
        <v>0.5</v>
      </c>
      <c r="Z124" s="110">
        <f t="shared" si="83"/>
        <v>0.5</v>
      </c>
      <c r="AA124" s="110">
        <f t="shared" si="83"/>
        <v>0.5</v>
      </c>
      <c r="AB124" s="110">
        <f t="shared" si="83"/>
        <v>0.5</v>
      </c>
      <c r="AC124" s="110">
        <f t="shared" si="83"/>
        <v>0.5</v>
      </c>
      <c r="AD124" s="110">
        <f t="shared" si="83"/>
        <v>0.5</v>
      </c>
      <c r="AE124" s="110">
        <f t="shared" si="83"/>
        <v>0.5</v>
      </c>
      <c r="AF124" s="110">
        <f t="shared" si="83"/>
        <v>0.5</v>
      </c>
      <c r="AG124" s="110">
        <f t="shared" si="83"/>
        <v>0.5</v>
      </c>
      <c r="AJ124" s="223"/>
    </row>
    <row r="125" spans="1:63" outlineLevel="1">
      <c r="A125" t="s">
        <v>1268</v>
      </c>
      <c r="B125" s="54" t="s">
        <v>462</v>
      </c>
      <c r="C125" s="110">
        <f t="shared" ref="C125:AG125" si="84">SUM(C123:C124)</f>
        <v>1</v>
      </c>
      <c r="D125" s="110">
        <f t="shared" si="84"/>
        <v>1</v>
      </c>
      <c r="E125" s="110">
        <f t="shared" si="84"/>
        <v>1</v>
      </c>
      <c r="F125" s="110">
        <f t="shared" si="84"/>
        <v>1</v>
      </c>
      <c r="G125" s="110">
        <f t="shared" si="84"/>
        <v>1</v>
      </c>
      <c r="H125" s="110">
        <f t="shared" si="84"/>
        <v>1</v>
      </c>
      <c r="I125" s="110">
        <f t="shared" si="84"/>
        <v>1</v>
      </c>
      <c r="J125" s="110">
        <f t="shared" si="84"/>
        <v>1</v>
      </c>
      <c r="K125" s="110">
        <f t="shared" si="84"/>
        <v>1</v>
      </c>
      <c r="L125" s="110">
        <f t="shared" si="84"/>
        <v>1</v>
      </c>
      <c r="M125" s="110">
        <f t="shared" si="84"/>
        <v>1</v>
      </c>
      <c r="N125" s="110">
        <f t="shared" si="84"/>
        <v>1</v>
      </c>
      <c r="O125" s="110">
        <f t="shared" si="84"/>
        <v>1</v>
      </c>
      <c r="P125" s="110">
        <f t="shared" si="84"/>
        <v>1</v>
      </c>
      <c r="Q125" s="110">
        <f t="shared" si="84"/>
        <v>1</v>
      </c>
      <c r="R125" s="110">
        <f t="shared" si="84"/>
        <v>1</v>
      </c>
      <c r="S125" s="110">
        <f t="shared" si="84"/>
        <v>1</v>
      </c>
      <c r="T125" s="110">
        <f t="shared" si="84"/>
        <v>1</v>
      </c>
      <c r="U125" s="110">
        <f t="shared" si="84"/>
        <v>1</v>
      </c>
      <c r="V125" s="110">
        <f t="shared" si="84"/>
        <v>1</v>
      </c>
      <c r="W125" s="110">
        <f t="shared" si="84"/>
        <v>1</v>
      </c>
      <c r="X125" s="110">
        <f t="shared" si="84"/>
        <v>1</v>
      </c>
      <c r="Y125" s="110">
        <f t="shared" si="84"/>
        <v>1</v>
      </c>
      <c r="Z125" s="110">
        <f t="shared" si="84"/>
        <v>1</v>
      </c>
      <c r="AA125" s="110">
        <f t="shared" si="84"/>
        <v>1</v>
      </c>
      <c r="AB125" s="110">
        <f t="shared" si="84"/>
        <v>1</v>
      </c>
      <c r="AC125" s="110">
        <f t="shared" si="84"/>
        <v>1</v>
      </c>
      <c r="AD125" s="110">
        <f t="shared" si="84"/>
        <v>1</v>
      </c>
      <c r="AE125" s="110">
        <f t="shared" si="84"/>
        <v>1</v>
      </c>
      <c r="AF125" s="110">
        <f t="shared" si="84"/>
        <v>1</v>
      </c>
      <c r="AG125" s="110">
        <f t="shared" si="84"/>
        <v>1</v>
      </c>
      <c r="AH125" s="131"/>
      <c r="AI125" s="54"/>
      <c r="AJ125" s="223"/>
    </row>
    <row r="126" spans="1:63" outlineLevel="1">
      <c r="C126" s="214"/>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31"/>
      <c r="AI126" s="131"/>
      <c r="AJ126" s="223"/>
    </row>
    <row r="127" spans="1:63" outlineLevel="1">
      <c r="A127" t="s">
        <v>1345</v>
      </c>
      <c r="B127" s="54" t="s">
        <v>462</v>
      </c>
      <c r="C127" s="110">
        <f>C123*C121</f>
        <v>0</v>
      </c>
      <c r="D127" s="110">
        <f t="shared" ref="D127:AG127" si="85">D123*D121</f>
        <v>0</v>
      </c>
      <c r="E127" s="110">
        <f t="shared" si="85"/>
        <v>0</v>
      </c>
      <c r="F127" s="110">
        <f t="shared" si="85"/>
        <v>0</v>
      </c>
      <c r="G127" s="110">
        <f t="shared" si="85"/>
        <v>0</v>
      </c>
      <c r="H127" s="110">
        <f t="shared" si="85"/>
        <v>0</v>
      </c>
      <c r="I127" s="110">
        <f t="shared" si="85"/>
        <v>0</v>
      </c>
      <c r="J127" s="110">
        <f t="shared" si="85"/>
        <v>0</v>
      </c>
      <c r="K127" s="110">
        <f t="shared" si="85"/>
        <v>0</v>
      </c>
      <c r="L127" s="110">
        <f t="shared" si="85"/>
        <v>0</v>
      </c>
      <c r="M127" s="110">
        <f t="shared" si="85"/>
        <v>0</v>
      </c>
      <c r="N127" s="110">
        <f t="shared" si="85"/>
        <v>0</v>
      </c>
      <c r="O127" s="110">
        <f t="shared" si="85"/>
        <v>0</v>
      </c>
      <c r="P127" s="110">
        <f t="shared" si="85"/>
        <v>0</v>
      </c>
      <c r="Q127" s="110">
        <f t="shared" si="85"/>
        <v>0</v>
      </c>
      <c r="R127" s="110">
        <f t="shared" si="85"/>
        <v>0</v>
      </c>
      <c r="S127" s="110">
        <f t="shared" si="85"/>
        <v>0</v>
      </c>
      <c r="T127" s="110">
        <f t="shared" si="85"/>
        <v>0</v>
      </c>
      <c r="U127" s="110">
        <f t="shared" si="85"/>
        <v>0</v>
      </c>
      <c r="V127" s="110">
        <f t="shared" si="85"/>
        <v>0</v>
      </c>
      <c r="W127" s="110">
        <f t="shared" si="85"/>
        <v>0</v>
      </c>
      <c r="X127" s="110">
        <f t="shared" si="85"/>
        <v>0</v>
      </c>
      <c r="Y127" s="110">
        <f t="shared" si="85"/>
        <v>0</v>
      </c>
      <c r="Z127" s="110">
        <f t="shared" si="85"/>
        <v>0</v>
      </c>
      <c r="AA127" s="110">
        <f t="shared" si="85"/>
        <v>0</v>
      </c>
      <c r="AB127" s="110">
        <f t="shared" si="85"/>
        <v>0</v>
      </c>
      <c r="AC127" s="110">
        <f t="shared" si="85"/>
        <v>0</v>
      </c>
      <c r="AD127" s="110">
        <f t="shared" si="85"/>
        <v>0</v>
      </c>
      <c r="AE127" s="110">
        <f t="shared" si="85"/>
        <v>0</v>
      </c>
      <c r="AF127" s="110">
        <f t="shared" si="85"/>
        <v>0</v>
      </c>
      <c r="AG127" s="110">
        <f t="shared" si="85"/>
        <v>0</v>
      </c>
      <c r="AH127" s="131"/>
      <c r="AI127" s="131"/>
      <c r="AJ127" s="211"/>
    </row>
    <row r="128" spans="1:63" outlineLevel="1">
      <c r="A128" t="s">
        <v>1346</v>
      </c>
      <c r="B128" s="54" t="s">
        <v>462</v>
      </c>
      <c r="C128" s="110">
        <f>C121*C124</f>
        <v>0</v>
      </c>
      <c r="D128" s="110">
        <f t="shared" ref="D128:AG128" si="86">D121*D124</f>
        <v>0</v>
      </c>
      <c r="E128" s="110">
        <f t="shared" si="86"/>
        <v>0</v>
      </c>
      <c r="F128" s="110">
        <f t="shared" si="86"/>
        <v>0</v>
      </c>
      <c r="G128" s="110">
        <f t="shared" si="86"/>
        <v>0</v>
      </c>
      <c r="H128" s="110">
        <f t="shared" si="86"/>
        <v>0</v>
      </c>
      <c r="I128" s="110">
        <f t="shared" si="86"/>
        <v>0</v>
      </c>
      <c r="J128" s="110">
        <f t="shared" si="86"/>
        <v>0</v>
      </c>
      <c r="K128" s="110">
        <f t="shared" si="86"/>
        <v>0</v>
      </c>
      <c r="L128" s="110">
        <f t="shared" si="86"/>
        <v>0</v>
      </c>
      <c r="M128" s="110">
        <f t="shared" si="86"/>
        <v>0</v>
      </c>
      <c r="N128" s="110">
        <f t="shared" si="86"/>
        <v>0</v>
      </c>
      <c r="O128" s="110">
        <f t="shared" si="86"/>
        <v>0</v>
      </c>
      <c r="P128" s="110">
        <f t="shared" si="86"/>
        <v>0</v>
      </c>
      <c r="Q128" s="110">
        <f t="shared" si="86"/>
        <v>0</v>
      </c>
      <c r="R128" s="110">
        <f t="shared" si="86"/>
        <v>0</v>
      </c>
      <c r="S128" s="110">
        <f t="shared" si="86"/>
        <v>0</v>
      </c>
      <c r="T128" s="110">
        <f t="shared" si="86"/>
        <v>0</v>
      </c>
      <c r="U128" s="110">
        <f t="shared" si="86"/>
        <v>0</v>
      </c>
      <c r="V128" s="110">
        <f t="shared" si="86"/>
        <v>0</v>
      </c>
      <c r="W128" s="110">
        <f t="shared" si="86"/>
        <v>0</v>
      </c>
      <c r="X128" s="110">
        <f t="shared" si="86"/>
        <v>0</v>
      </c>
      <c r="Y128" s="110">
        <f t="shared" si="86"/>
        <v>0</v>
      </c>
      <c r="Z128" s="110">
        <f t="shared" si="86"/>
        <v>0</v>
      </c>
      <c r="AA128" s="110">
        <f t="shared" si="86"/>
        <v>0</v>
      </c>
      <c r="AB128" s="110">
        <f t="shared" si="86"/>
        <v>0</v>
      </c>
      <c r="AC128" s="110">
        <f t="shared" si="86"/>
        <v>0</v>
      </c>
      <c r="AD128" s="110">
        <f t="shared" si="86"/>
        <v>0</v>
      </c>
      <c r="AE128" s="110">
        <f t="shared" si="86"/>
        <v>0</v>
      </c>
      <c r="AF128" s="110">
        <f t="shared" si="86"/>
        <v>0</v>
      </c>
      <c r="AG128" s="110">
        <f t="shared" si="86"/>
        <v>0</v>
      </c>
      <c r="AJ128" s="211"/>
    </row>
    <row r="129" spans="1:63" outlineLevel="1">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J129" s="211"/>
    </row>
    <row r="130" spans="1:63" outlineLevel="1">
      <c r="A130" t="s">
        <v>1676</v>
      </c>
      <c r="C130" s="230">
        <f>('Overall recycling rates'!F87*'Yearly BTX'!D5+'Overall recycling rates'!G87*'Yearly BTX'!D6+'Overall recycling rates'!H87*'Yearly BTX'!D7)/'Yearly BTX'!D4</f>
        <v>0.99999999999999989</v>
      </c>
      <c r="D130" s="230">
        <f>C130-($C130-$AG130)/($AG$1-$C$1)</f>
        <v>0.99999999999999989</v>
      </c>
      <c r="E130" s="230">
        <f t="shared" ref="E130:AF130" si="87">D130-($C130-$AG130)/($AG$1-$C$1)</f>
        <v>0.99999999999999989</v>
      </c>
      <c r="F130" s="230">
        <f t="shared" si="87"/>
        <v>0.99999999999999989</v>
      </c>
      <c r="G130" s="230">
        <f t="shared" si="87"/>
        <v>0.99999999999999989</v>
      </c>
      <c r="H130" s="230">
        <f t="shared" si="87"/>
        <v>0.99999999999999989</v>
      </c>
      <c r="I130" s="230">
        <f t="shared" si="87"/>
        <v>0.99999999999999989</v>
      </c>
      <c r="J130" s="230">
        <f t="shared" si="87"/>
        <v>0.99999999999999989</v>
      </c>
      <c r="K130" s="230">
        <f t="shared" si="87"/>
        <v>0.99999999999999989</v>
      </c>
      <c r="L130" s="230">
        <f t="shared" si="87"/>
        <v>0.99999999999999989</v>
      </c>
      <c r="M130" s="230">
        <f t="shared" si="87"/>
        <v>0.99999999999999989</v>
      </c>
      <c r="N130" s="230">
        <f t="shared" si="87"/>
        <v>0.99999999999999989</v>
      </c>
      <c r="O130" s="230">
        <f t="shared" si="87"/>
        <v>0.99999999999999989</v>
      </c>
      <c r="P130" s="230">
        <f t="shared" si="87"/>
        <v>0.99999999999999989</v>
      </c>
      <c r="Q130" s="230">
        <f t="shared" si="87"/>
        <v>0.99999999999999989</v>
      </c>
      <c r="R130" s="230">
        <f t="shared" si="87"/>
        <v>0.99999999999999989</v>
      </c>
      <c r="S130" s="230">
        <f t="shared" si="87"/>
        <v>0.99999999999999989</v>
      </c>
      <c r="T130" s="230">
        <f t="shared" si="87"/>
        <v>0.99999999999999989</v>
      </c>
      <c r="U130" s="230">
        <f t="shared" si="87"/>
        <v>0.99999999999999989</v>
      </c>
      <c r="V130" s="230">
        <f t="shared" si="87"/>
        <v>0.99999999999999989</v>
      </c>
      <c r="W130" s="230">
        <f t="shared" si="87"/>
        <v>0.99999999999999989</v>
      </c>
      <c r="X130" s="230">
        <f t="shared" si="87"/>
        <v>0.99999999999999989</v>
      </c>
      <c r="Y130" s="230">
        <f t="shared" si="87"/>
        <v>0.99999999999999989</v>
      </c>
      <c r="Z130" s="230">
        <f t="shared" si="87"/>
        <v>0.99999999999999989</v>
      </c>
      <c r="AA130" s="230">
        <f t="shared" si="87"/>
        <v>0.99999999999999989</v>
      </c>
      <c r="AB130" s="230">
        <f t="shared" si="87"/>
        <v>0.99999999999999989</v>
      </c>
      <c r="AC130" s="230">
        <f t="shared" si="87"/>
        <v>0.99999999999999989</v>
      </c>
      <c r="AD130" s="230">
        <f t="shared" si="87"/>
        <v>0.99999999999999989</v>
      </c>
      <c r="AE130" s="230">
        <f t="shared" si="87"/>
        <v>0.99999999999999989</v>
      </c>
      <c r="AF130" s="230">
        <f t="shared" si="87"/>
        <v>0.99999999999999989</v>
      </c>
      <c r="AG130" s="230">
        <f>'Overall recycling rates'!F96</f>
        <v>1</v>
      </c>
      <c r="AI130" s="133"/>
      <c r="AJ130" s="211" t="s">
        <v>1571</v>
      </c>
      <c r="AL130" s="108"/>
      <c r="AM130" s="207"/>
      <c r="AN130" s="207"/>
      <c r="AO130" s="207"/>
      <c r="BC130" s="1"/>
      <c r="BD130" s="207"/>
      <c r="BE130" s="207"/>
      <c r="BF130" s="207"/>
      <c r="BG130" s="207"/>
      <c r="BH130" s="207"/>
      <c r="BI130" s="207"/>
      <c r="BJ130" s="207"/>
      <c r="BK130" s="207"/>
    </row>
    <row r="131" spans="1:63" outlineLevel="1">
      <c r="A131" t="s">
        <v>1687</v>
      </c>
      <c r="B131" s="54" t="s">
        <v>462</v>
      </c>
      <c r="C131" s="110">
        <f>C120*C$130</f>
        <v>0</v>
      </c>
      <c r="D131" s="110">
        <f>D120*D$99</f>
        <v>0</v>
      </c>
      <c r="E131" s="110">
        <f t="shared" ref="E131:AG131" si="88">E120*E$99</f>
        <v>0</v>
      </c>
      <c r="F131" s="110">
        <f t="shared" si="88"/>
        <v>0</v>
      </c>
      <c r="G131" s="110">
        <f t="shared" si="88"/>
        <v>0</v>
      </c>
      <c r="H131" s="110">
        <f t="shared" si="88"/>
        <v>0</v>
      </c>
      <c r="I131" s="110">
        <f t="shared" si="88"/>
        <v>0</v>
      </c>
      <c r="J131" s="110">
        <f t="shared" si="88"/>
        <v>0</v>
      </c>
      <c r="K131" s="110">
        <f t="shared" si="88"/>
        <v>0</v>
      </c>
      <c r="L131" s="110">
        <f t="shared" si="88"/>
        <v>0</v>
      </c>
      <c r="M131" s="110">
        <f t="shared" si="88"/>
        <v>0</v>
      </c>
      <c r="N131" s="110">
        <f t="shared" si="88"/>
        <v>0</v>
      </c>
      <c r="O131" s="110">
        <f t="shared" si="88"/>
        <v>0</v>
      </c>
      <c r="P131" s="110">
        <f t="shared" si="88"/>
        <v>0</v>
      </c>
      <c r="Q131" s="110">
        <f t="shared" si="88"/>
        <v>0</v>
      </c>
      <c r="R131" s="110">
        <f t="shared" si="88"/>
        <v>0</v>
      </c>
      <c r="S131" s="110">
        <f t="shared" si="88"/>
        <v>0</v>
      </c>
      <c r="T131" s="110">
        <f t="shared" si="88"/>
        <v>0</v>
      </c>
      <c r="U131" s="110">
        <f t="shared" si="88"/>
        <v>0</v>
      </c>
      <c r="V131" s="110">
        <f t="shared" si="88"/>
        <v>0</v>
      </c>
      <c r="W131" s="110">
        <f t="shared" si="88"/>
        <v>0</v>
      </c>
      <c r="X131" s="110">
        <f t="shared" si="88"/>
        <v>0</v>
      </c>
      <c r="Y131" s="110">
        <f t="shared" si="88"/>
        <v>0</v>
      </c>
      <c r="Z131" s="110">
        <f t="shared" si="88"/>
        <v>0</v>
      </c>
      <c r="AA131" s="110">
        <f t="shared" si="88"/>
        <v>0</v>
      </c>
      <c r="AB131" s="110">
        <f t="shared" si="88"/>
        <v>0</v>
      </c>
      <c r="AC131" s="110">
        <f t="shared" si="88"/>
        <v>0</v>
      </c>
      <c r="AD131" s="110">
        <f t="shared" si="88"/>
        <v>0</v>
      </c>
      <c r="AE131" s="110">
        <f t="shared" si="88"/>
        <v>0</v>
      </c>
      <c r="AF131" s="110">
        <f t="shared" si="88"/>
        <v>0</v>
      </c>
      <c r="AG131" s="110">
        <f t="shared" si="88"/>
        <v>0</v>
      </c>
      <c r="AI131" s="133"/>
      <c r="AJ131"/>
      <c r="AL131" s="108"/>
      <c r="AM131" s="2"/>
      <c r="AN131" s="2"/>
      <c r="AO131" s="2"/>
      <c r="AV131" s="41"/>
    </row>
    <row r="132" spans="1:63" outlineLevel="1">
      <c r="A132" t="s">
        <v>1688</v>
      </c>
      <c r="B132" s="54" t="s">
        <v>462</v>
      </c>
      <c r="C132" s="110">
        <f>C121*C$130</f>
        <v>0</v>
      </c>
      <c r="D132" s="110">
        <f t="shared" ref="D132:AG132" si="89">D118*D$99</f>
        <v>0</v>
      </c>
      <c r="E132" s="110">
        <f t="shared" si="89"/>
        <v>0</v>
      </c>
      <c r="F132" s="110">
        <f t="shared" si="89"/>
        <v>0</v>
      </c>
      <c r="G132" s="110">
        <f t="shared" si="89"/>
        <v>0</v>
      </c>
      <c r="H132" s="110">
        <f t="shared" si="89"/>
        <v>0</v>
      </c>
      <c r="I132" s="110">
        <f t="shared" si="89"/>
        <v>0</v>
      </c>
      <c r="J132" s="110">
        <f t="shared" si="89"/>
        <v>0</v>
      </c>
      <c r="K132" s="110">
        <f t="shared" si="89"/>
        <v>0</v>
      </c>
      <c r="L132" s="110">
        <f t="shared" si="89"/>
        <v>0</v>
      </c>
      <c r="M132" s="110">
        <f t="shared" si="89"/>
        <v>0</v>
      </c>
      <c r="N132" s="110">
        <f t="shared" si="89"/>
        <v>0</v>
      </c>
      <c r="O132" s="110">
        <f t="shared" si="89"/>
        <v>0</v>
      </c>
      <c r="P132" s="110">
        <f t="shared" si="89"/>
        <v>0</v>
      </c>
      <c r="Q132" s="110">
        <f t="shared" si="89"/>
        <v>0</v>
      </c>
      <c r="R132" s="110">
        <f t="shared" si="89"/>
        <v>0</v>
      </c>
      <c r="S132" s="110">
        <f t="shared" si="89"/>
        <v>0</v>
      </c>
      <c r="T132" s="110">
        <f t="shared" si="89"/>
        <v>0</v>
      </c>
      <c r="U132" s="110">
        <f t="shared" si="89"/>
        <v>0</v>
      </c>
      <c r="V132" s="110">
        <f t="shared" si="89"/>
        <v>0</v>
      </c>
      <c r="W132" s="110">
        <f t="shared" si="89"/>
        <v>0</v>
      </c>
      <c r="X132" s="110">
        <f t="shared" si="89"/>
        <v>0</v>
      </c>
      <c r="Y132" s="110">
        <f t="shared" si="89"/>
        <v>0</v>
      </c>
      <c r="Z132" s="110">
        <f t="shared" si="89"/>
        <v>0</v>
      </c>
      <c r="AA132" s="110">
        <f t="shared" si="89"/>
        <v>0</v>
      </c>
      <c r="AB132" s="110">
        <f t="shared" si="89"/>
        <v>0</v>
      </c>
      <c r="AC132" s="110">
        <f t="shared" si="89"/>
        <v>0</v>
      </c>
      <c r="AD132" s="110">
        <f t="shared" si="89"/>
        <v>0</v>
      </c>
      <c r="AE132" s="110">
        <f t="shared" si="89"/>
        <v>0</v>
      </c>
      <c r="AF132" s="110">
        <f t="shared" si="89"/>
        <v>0</v>
      </c>
      <c r="AG132" s="110">
        <f t="shared" si="89"/>
        <v>0</v>
      </c>
      <c r="AH132" s="245"/>
      <c r="AI132" s="133"/>
      <c r="AJ132" s="211"/>
      <c r="AL132" s="108"/>
      <c r="AM132" s="2"/>
      <c r="AN132" s="2"/>
      <c r="AO132" s="2"/>
      <c r="AV132" s="41"/>
    </row>
    <row r="133" spans="1:63" outlineLevel="1">
      <c r="A133" t="s">
        <v>1689</v>
      </c>
      <c r="B133" s="176" t="s">
        <v>462</v>
      </c>
      <c r="C133" s="110">
        <f>SUM(C131:C132)</f>
        <v>0</v>
      </c>
      <c r="D133" s="110">
        <f t="shared" ref="D133:AG133" si="90">SUM(D131:D132)</f>
        <v>0</v>
      </c>
      <c r="E133" s="110">
        <f t="shared" si="90"/>
        <v>0</v>
      </c>
      <c r="F133" s="110">
        <f t="shared" si="90"/>
        <v>0</v>
      </c>
      <c r="G133" s="110">
        <f t="shared" si="90"/>
        <v>0</v>
      </c>
      <c r="H133" s="110">
        <f t="shared" si="90"/>
        <v>0</v>
      </c>
      <c r="I133" s="110">
        <f t="shared" si="90"/>
        <v>0</v>
      </c>
      <c r="J133" s="110">
        <f t="shared" si="90"/>
        <v>0</v>
      </c>
      <c r="K133" s="110">
        <f t="shared" si="90"/>
        <v>0</v>
      </c>
      <c r="L133" s="110">
        <f t="shared" si="90"/>
        <v>0</v>
      </c>
      <c r="M133" s="110">
        <f t="shared" si="90"/>
        <v>0</v>
      </c>
      <c r="N133" s="110">
        <f t="shared" si="90"/>
        <v>0</v>
      </c>
      <c r="O133" s="110">
        <f t="shared" si="90"/>
        <v>0</v>
      </c>
      <c r="P133" s="110">
        <f t="shared" si="90"/>
        <v>0</v>
      </c>
      <c r="Q133" s="110">
        <f t="shared" si="90"/>
        <v>0</v>
      </c>
      <c r="R133" s="110">
        <f t="shared" si="90"/>
        <v>0</v>
      </c>
      <c r="S133" s="110">
        <f t="shared" si="90"/>
        <v>0</v>
      </c>
      <c r="T133" s="110">
        <f t="shared" si="90"/>
        <v>0</v>
      </c>
      <c r="U133" s="110">
        <f t="shared" si="90"/>
        <v>0</v>
      </c>
      <c r="V133" s="110">
        <f t="shared" si="90"/>
        <v>0</v>
      </c>
      <c r="W133" s="110">
        <f t="shared" si="90"/>
        <v>0</v>
      </c>
      <c r="X133" s="110">
        <f t="shared" si="90"/>
        <v>0</v>
      </c>
      <c r="Y133" s="110">
        <f t="shared" si="90"/>
        <v>0</v>
      </c>
      <c r="Z133" s="110">
        <f t="shared" si="90"/>
        <v>0</v>
      </c>
      <c r="AA133" s="110">
        <f t="shared" si="90"/>
        <v>0</v>
      </c>
      <c r="AB133" s="110">
        <f t="shared" si="90"/>
        <v>0</v>
      </c>
      <c r="AC133" s="110">
        <f t="shared" si="90"/>
        <v>0</v>
      </c>
      <c r="AD133" s="110">
        <f t="shared" si="90"/>
        <v>0</v>
      </c>
      <c r="AE133" s="110">
        <f t="shared" si="90"/>
        <v>0</v>
      </c>
      <c r="AF133" s="110">
        <f t="shared" si="90"/>
        <v>0</v>
      </c>
      <c r="AG133" s="110">
        <f t="shared" si="90"/>
        <v>0</v>
      </c>
      <c r="AI133" s="133"/>
      <c r="AJ133" s="211"/>
      <c r="AL133" s="108"/>
      <c r="AM133" s="2"/>
      <c r="AN133" s="2"/>
      <c r="AO133" s="2"/>
    </row>
    <row r="134" spans="1:63" outlineLevel="1">
      <c r="A134" t="s">
        <v>1693</v>
      </c>
      <c r="B134" s="54" t="s">
        <v>462</v>
      </c>
      <c r="C134" s="110">
        <f>C123*C132</f>
        <v>0</v>
      </c>
      <c r="D134" s="110">
        <f t="shared" ref="D134:AG134" si="91">D120*D132</f>
        <v>0</v>
      </c>
      <c r="E134" s="110">
        <f t="shared" si="91"/>
        <v>0</v>
      </c>
      <c r="F134" s="110">
        <f t="shared" si="91"/>
        <v>0</v>
      </c>
      <c r="G134" s="110">
        <f t="shared" si="91"/>
        <v>0</v>
      </c>
      <c r="H134" s="110">
        <f t="shared" si="91"/>
        <v>0</v>
      </c>
      <c r="I134" s="110">
        <f t="shared" si="91"/>
        <v>0</v>
      </c>
      <c r="J134" s="110">
        <f t="shared" si="91"/>
        <v>0</v>
      </c>
      <c r="K134" s="110">
        <f t="shared" si="91"/>
        <v>0</v>
      </c>
      <c r="L134" s="110">
        <f t="shared" si="91"/>
        <v>0</v>
      </c>
      <c r="M134" s="110">
        <f t="shared" si="91"/>
        <v>0</v>
      </c>
      <c r="N134" s="110">
        <f t="shared" si="91"/>
        <v>0</v>
      </c>
      <c r="O134" s="110">
        <f t="shared" si="91"/>
        <v>0</v>
      </c>
      <c r="P134" s="110">
        <f t="shared" si="91"/>
        <v>0</v>
      </c>
      <c r="Q134" s="110">
        <f t="shared" si="91"/>
        <v>0</v>
      </c>
      <c r="R134" s="110">
        <f t="shared" si="91"/>
        <v>0</v>
      </c>
      <c r="S134" s="110">
        <f t="shared" si="91"/>
        <v>0</v>
      </c>
      <c r="T134" s="110">
        <f t="shared" si="91"/>
        <v>0</v>
      </c>
      <c r="U134" s="110">
        <f t="shared" si="91"/>
        <v>0</v>
      </c>
      <c r="V134" s="110">
        <f t="shared" si="91"/>
        <v>0</v>
      </c>
      <c r="W134" s="110">
        <f t="shared" si="91"/>
        <v>0</v>
      </c>
      <c r="X134" s="110">
        <f t="shared" si="91"/>
        <v>0</v>
      </c>
      <c r="Y134" s="110">
        <f t="shared" si="91"/>
        <v>0</v>
      </c>
      <c r="Z134" s="110">
        <f t="shared" si="91"/>
        <v>0</v>
      </c>
      <c r="AA134" s="110">
        <f t="shared" si="91"/>
        <v>0</v>
      </c>
      <c r="AB134" s="110">
        <f t="shared" si="91"/>
        <v>0</v>
      </c>
      <c r="AC134" s="110">
        <f t="shared" si="91"/>
        <v>0</v>
      </c>
      <c r="AD134" s="110">
        <f t="shared" si="91"/>
        <v>0</v>
      </c>
      <c r="AE134" s="110">
        <f t="shared" si="91"/>
        <v>0</v>
      </c>
      <c r="AF134" s="110">
        <f t="shared" si="91"/>
        <v>0</v>
      </c>
      <c r="AG134" s="110">
        <f t="shared" si="91"/>
        <v>0</v>
      </c>
      <c r="AI134" s="133"/>
      <c r="AJ134" s="211"/>
      <c r="BD134" s="203"/>
      <c r="BE134" s="203"/>
    </row>
    <row r="135" spans="1:63" outlineLevel="1">
      <c r="A135" t="s">
        <v>1694</v>
      </c>
      <c r="B135" s="54" t="s">
        <v>462</v>
      </c>
      <c r="C135" s="110">
        <f>C124*C132</f>
        <v>0</v>
      </c>
      <c r="D135" s="110">
        <f t="shared" ref="D135:AG135" si="92">D122*D132</f>
        <v>0</v>
      </c>
      <c r="E135" s="110">
        <f t="shared" si="92"/>
        <v>0</v>
      </c>
      <c r="F135" s="110">
        <f t="shared" si="92"/>
        <v>0</v>
      </c>
      <c r="G135" s="110">
        <f t="shared" si="92"/>
        <v>0</v>
      </c>
      <c r="H135" s="110">
        <f t="shared" si="92"/>
        <v>0</v>
      </c>
      <c r="I135" s="110">
        <f t="shared" si="92"/>
        <v>0</v>
      </c>
      <c r="J135" s="110">
        <f t="shared" si="92"/>
        <v>0</v>
      </c>
      <c r="K135" s="110">
        <f t="shared" si="92"/>
        <v>0</v>
      </c>
      <c r="L135" s="110">
        <f t="shared" si="92"/>
        <v>0</v>
      </c>
      <c r="M135" s="110">
        <f t="shared" si="92"/>
        <v>0</v>
      </c>
      <c r="N135" s="110">
        <f t="shared" si="92"/>
        <v>0</v>
      </c>
      <c r="O135" s="110">
        <f t="shared" si="92"/>
        <v>0</v>
      </c>
      <c r="P135" s="110">
        <f t="shared" si="92"/>
        <v>0</v>
      </c>
      <c r="Q135" s="110">
        <f t="shared" si="92"/>
        <v>0</v>
      </c>
      <c r="R135" s="110">
        <f t="shared" si="92"/>
        <v>0</v>
      </c>
      <c r="S135" s="110">
        <f t="shared" si="92"/>
        <v>0</v>
      </c>
      <c r="T135" s="110">
        <f t="shared" si="92"/>
        <v>0</v>
      </c>
      <c r="U135" s="110">
        <f t="shared" si="92"/>
        <v>0</v>
      </c>
      <c r="V135" s="110">
        <f t="shared" si="92"/>
        <v>0</v>
      </c>
      <c r="W135" s="110">
        <f t="shared" si="92"/>
        <v>0</v>
      </c>
      <c r="X135" s="110">
        <f t="shared" si="92"/>
        <v>0</v>
      </c>
      <c r="Y135" s="110">
        <f t="shared" si="92"/>
        <v>0</v>
      </c>
      <c r="Z135" s="110">
        <f t="shared" si="92"/>
        <v>0</v>
      </c>
      <c r="AA135" s="110">
        <f t="shared" si="92"/>
        <v>0</v>
      </c>
      <c r="AB135" s="110">
        <f t="shared" si="92"/>
        <v>0</v>
      </c>
      <c r="AC135" s="110">
        <f t="shared" si="92"/>
        <v>0</v>
      </c>
      <c r="AD135" s="110">
        <f t="shared" si="92"/>
        <v>0</v>
      </c>
      <c r="AE135" s="110">
        <f t="shared" si="92"/>
        <v>0</v>
      </c>
      <c r="AF135" s="110">
        <f t="shared" si="92"/>
        <v>0</v>
      </c>
      <c r="AG135" s="110">
        <f t="shared" si="92"/>
        <v>0</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 t="shared" ref="C137:AG137" si="93">C131*C45</f>
        <v>0</v>
      </c>
      <c r="D137" s="300">
        <f t="shared" si="93"/>
        <v>0</v>
      </c>
      <c r="E137" s="300">
        <f t="shared" si="93"/>
        <v>0</v>
      </c>
      <c r="F137" s="300">
        <f t="shared" si="93"/>
        <v>0</v>
      </c>
      <c r="G137" s="300">
        <f t="shared" si="93"/>
        <v>0</v>
      </c>
      <c r="H137" s="300">
        <f t="shared" si="93"/>
        <v>0</v>
      </c>
      <c r="I137" s="300">
        <f t="shared" si="93"/>
        <v>0</v>
      </c>
      <c r="J137" s="300">
        <f t="shared" si="93"/>
        <v>0</v>
      </c>
      <c r="K137" s="300">
        <f t="shared" si="93"/>
        <v>0</v>
      </c>
      <c r="L137" s="300">
        <f t="shared" si="93"/>
        <v>0</v>
      </c>
      <c r="M137" s="300">
        <f t="shared" si="93"/>
        <v>0</v>
      </c>
      <c r="N137" s="300">
        <f t="shared" si="93"/>
        <v>0</v>
      </c>
      <c r="O137" s="300">
        <f t="shared" si="93"/>
        <v>0</v>
      </c>
      <c r="P137" s="300">
        <f t="shared" si="93"/>
        <v>0</v>
      </c>
      <c r="Q137" s="300">
        <f t="shared" si="93"/>
        <v>0</v>
      </c>
      <c r="R137" s="300">
        <f t="shared" si="93"/>
        <v>0</v>
      </c>
      <c r="S137" s="300">
        <f t="shared" si="93"/>
        <v>0</v>
      </c>
      <c r="T137" s="300">
        <f t="shared" si="93"/>
        <v>0</v>
      </c>
      <c r="U137" s="300">
        <f t="shared" si="93"/>
        <v>0</v>
      </c>
      <c r="V137" s="300">
        <f t="shared" si="93"/>
        <v>0</v>
      </c>
      <c r="W137" s="300">
        <f t="shared" si="93"/>
        <v>0</v>
      </c>
      <c r="X137" s="300">
        <f t="shared" si="93"/>
        <v>0</v>
      </c>
      <c r="Y137" s="300">
        <f t="shared" si="93"/>
        <v>0</v>
      </c>
      <c r="Z137" s="300">
        <f t="shared" si="93"/>
        <v>0</v>
      </c>
      <c r="AA137" s="300">
        <f t="shared" si="93"/>
        <v>0</v>
      </c>
      <c r="AB137" s="300">
        <f t="shared" si="93"/>
        <v>0</v>
      </c>
      <c r="AC137" s="300">
        <f t="shared" si="93"/>
        <v>0</v>
      </c>
      <c r="AD137" s="300">
        <f t="shared" si="93"/>
        <v>0</v>
      </c>
      <c r="AE137" s="300">
        <f t="shared" si="93"/>
        <v>0</v>
      </c>
      <c r="AF137" s="300">
        <f t="shared" si="93"/>
        <v>0</v>
      </c>
      <c r="AG137" s="300">
        <f t="shared" si="93"/>
        <v>0</v>
      </c>
      <c r="AH137" s="245"/>
      <c r="AI137" s="423"/>
      <c r="AJ137" s="424"/>
      <c r="AL137" s="221"/>
      <c r="AM137" s="124"/>
      <c r="AN137" s="124"/>
      <c r="AO137" s="124"/>
      <c r="BD137" s="124"/>
      <c r="BE137" s="124"/>
      <c r="BF137" s="124"/>
      <c r="BG137" s="124"/>
      <c r="BH137" s="124"/>
      <c r="BI137" s="124"/>
      <c r="BJ137" s="124"/>
      <c r="BK137" s="124"/>
    </row>
    <row r="138" spans="1:63" s="1" customFormat="1" outlineLevel="1">
      <c r="A138" s="1" t="s">
        <v>1562</v>
      </c>
      <c r="B138" s="65"/>
      <c r="C138" s="300">
        <f t="shared" ref="C138:AG138" si="94">C137-$C137</f>
        <v>0</v>
      </c>
      <c r="D138" s="300">
        <f t="shared" si="94"/>
        <v>0</v>
      </c>
      <c r="E138" s="300">
        <f t="shared" si="94"/>
        <v>0</v>
      </c>
      <c r="F138" s="300">
        <f t="shared" si="94"/>
        <v>0</v>
      </c>
      <c r="G138" s="300">
        <f t="shared" si="94"/>
        <v>0</v>
      </c>
      <c r="H138" s="300">
        <f t="shared" si="94"/>
        <v>0</v>
      </c>
      <c r="I138" s="300">
        <f t="shared" si="94"/>
        <v>0</v>
      </c>
      <c r="J138" s="300">
        <f t="shared" si="94"/>
        <v>0</v>
      </c>
      <c r="K138" s="300">
        <f t="shared" si="94"/>
        <v>0</v>
      </c>
      <c r="L138" s="300">
        <f t="shared" si="94"/>
        <v>0</v>
      </c>
      <c r="M138" s="300">
        <f t="shared" si="94"/>
        <v>0</v>
      </c>
      <c r="N138" s="300">
        <f t="shared" si="94"/>
        <v>0</v>
      </c>
      <c r="O138" s="300">
        <f t="shared" si="94"/>
        <v>0</v>
      </c>
      <c r="P138" s="300">
        <f t="shared" si="94"/>
        <v>0</v>
      </c>
      <c r="Q138" s="300">
        <f t="shared" si="94"/>
        <v>0</v>
      </c>
      <c r="R138" s="300">
        <f t="shared" si="94"/>
        <v>0</v>
      </c>
      <c r="S138" s="300">
        <f t="shared" si="94"/>
        <v>0</v>
      </c>
      <c r="T138" s="300">
        <f t="shared" si="94"/>
        <v>0</v>
      </c>
      <c r="U138" s="300">
        <f t="shared" si="94"/>
        <v>0</v>
      </c>
      <c r="V138" s="300">
        <f t="shared" si="94"/>
        <v>0</v>
      </c>
      <c r="W138" s="300">
        <f t="shared" si="94"/>
        <v>0</v>
      </c>
      <c r="X138" s="300">
        <f t="shared" si="94"/>
        <v>0</v>
      </c>
      <c r="Y138" s="300">
        <f t="shared" si="94"/>
        <v>0</v>
      </c>
      <c r="Z138" s="300">
        <f t="shared" si="94"/>
        <v>0</v>
      </c>
      <c r="AA138" s="300">
        <f t="shared" si="94"/>
        <v>0</v>
      </c>
      <c r="AB138" s="300">
        <f t="shared" si="94"/>
        <v>0</v>
      </c>
      <c r="AC138" s="300">
        <f t="shared" si="94"/>
        <v>0</v>
      </c>
      <c r="AD138" s="300">
        <f t="shared" si="94"/>
        <v>0</v>
      </c>
      <c r="AE138" s="300">
        <f t="shared" si="94"/>
        <v>0</v>
      </c>
      <c r="AF138" s="300">
        <f t="shared" si="94"/>
        <v>0</v>
      </c>
      <c r="AG138" s="300">
        <f t="shared" si="94"/>
        <v>0</v>
      </c>
      <c r="AH138" s="245"/>
      <c r="AI138" s="423"/>
      <c r="AJ138" s="424"/>
      <c r="AL138" s="221"/>
      <c r="AM138" s="124"/>
      <c r="AN138" s="124"/>
      <c r="AO138" s="124"/>
      <c r="BD138" s="124"/>
      <c r="BE138" s="124"/>
      <c r="BF138" s="124"/>
      <c r="BG138" s="124"/>
      <c r="BH138" s="124"/>
      <c r="BI138" s="124"/>
      <c r="BJ138" s="124"/>
      <c r="BK138" s="124"/>
    </row>
    <row r="139" spans="1:63" s="1" customFormat="1" outlineLevel="1">
      <c r="A139" s="1" t="s">
        <v>1569</v>
      </c>
      <c r="B139" s="65"/>
      <c r="C139" s="300">
        <f t="shared" ref="C139:AG139" si="95">C131*C45</f>
        <v>0</v>
      </c>
      <c r="D139" s="300">
        <f t="shared" si="95"/>
        <v>0</v>
      </c>
      <c r="E139" s="300">
        <f t="shared" si="95"/>
        <v>0</v>
      </c>
      <c r="F139" s="300">
        <f t="shared" si="95"/>
        <v>0</v>
      </c>
      <c r="G139" s="300">
        <f t="shared" si="95"/>
        <v>0</v>
      </c>
      <c r="H139" s="300">
        <f t="shared" si="95"/>
        <v>0</v>
      </c>
      <c r="I139" s="300">
        <f t="shared" si="95"/>
        <v>0</v>
      </c>
      <c r="J139" s="300">
        <f t="shared" si="95"/>
        <v>0</v>
      </c>
      <c r="K139" s="300">
        <f t="shared" si="95"/>
        <v>0</v>
      </c>
      <c r="L139" s="300">
        <f t="shared" si="95"/>
        <v>0</v>
      </c>
      <c r="M139" s="300">
        <f t="shared" si="95"/>
        <v>0</v>
      </c>
      <c r="N139" s="300">
        <f t="shared" si="95"/>
        <v>0</v>
      </c>
      <c r="O139" s="300">
        <f t="shared" si="95"/>
        <v>0</v>
      </c>
      <c r="P139" s="300">
        <f t="shared" si="95"/>
        <v>0</v>
      </c>
      <c r="Q139" s="300">
        <f t="shared" si="95"/>
        <v>0</v>
      </c>
      <c r="R139" s="300">
        <f t="shared" si="95"/>
        <v>0</v>
      </c>
      <c r="S139" s="300">
        <f t="shared" si="95"/>
        <v>0</v>
      </c>
      <c r="T139" s="300">
        <f t="shared" si="95"/>
        <v>0</v>
      </c>
      <c r="U139" s="300">
        <f t="shared" si="95"/>
        <v>0</v>
      </c>
      <c r="V139" s="300">
        <f t="shared" si="95"/>
        <v>0</v>
      </c>
      <c r="W139" s="300">
        <f t="shared" si="95"/>
        <v>0</v>
      </c>
      <c r="X139" s="300">
        <f t="shared" si="95"/>
        <v>0</v>
      </c>
      <c r="Y139" s="300">
        <f t="shared" si="95"/>
        <v>0</v>
      </c>
      <c r="Z139" s="300">
        <f t="shared" si="95"/>
        <v>0</v>
      </c>
      <c r="AA139" s="300">
        <f t="shared" si="95"/>
        <v>0</v>
      </c>
      <c r="AB139" s="300">
        <f t="shared" si="95"/>
        <v>0</v>
      </c>
      <c r="AC139" s="300">
        <f t="shared" si="95"/>
        <v>0</v>
      </c>
      <c r="AD139" s="300">
        <f t="shared" si="95"/>
        <v>0</v>
      </c>
      <c r="AE139" s="300">
        <f t="shared" si="95"/>
        <v>0</v>
      </c>
      <c r="AF139" s="300">
        <f t="shared" si="95"/>
        <v>0</v>
      </c>
      <c r="AG139" s="300">
        <f t="shared" si="95"/>
        <v>0</v>
      </c>
      <c r="AH139" s="245"/>
      <c r="AI139" s="423"/>
      <c r="AJ139" s="424"/>
      <c r="AL139" s="221"/>
      <c r="AM139" s="124"/>
      <c r="AN139" s="124"/>
      <c r="AO139" s="124"/>
      <c r="BD139" s="124"/>
      <c r="BE139" s="124"/>
      <c r="BF139" s="124"/>
      <c r="BG139" s="124"/>
      <c r="BH139" s="124"/>
      <c r="BI139" s="124"/>
      <c r="BJ139" s="124"/>
      <c r="BK139" s="124"/>
    </row>
    <row r="140" spans="1:63" s="1" customFormat="1" outlineLevel="1">
      <c r="A140" s="1" t="s">
        <v>1570</v>
      </c>
      <c r="B140" s="65"/>
      <c r="C140" s="300">
        <f t="shared" ref="C140:AG140" si="96">C139-$C139</f>
        <v>0</v>
      </c>
      <c r="D140" s="300">
        <f t="shared" si="96"/>
        <v>0</v>
      </c>
      <c r="E140" s="300">
        <f t="shared" si="96"/>
        <v>0</v>
      </c>
      <c r="F140" s="300">
        <f t="shared" si="96"/>
        <v>0</v>
      </c>
      <c r="G140" s="300">
        <f t="shared" si="96"/>
        <v>0</v>
      </c>
      <c r="H140" s="300">
        <f t="shared" si="96"/>
        <v>0</v>
      </c>
      <c r="I140" s="300">
        <f t="shared" si="96"/>
        <v>0</v>
      </c>
      <c r="J140" s="300">
        <f t="shared" si="96"/>
        <v>0</v>
      </c>
      <c r="K140" s="300">
        <f t="shared" si="96"/>
        <v>0</v>
      </c>
      <c r="L140" s="300">
        <f t="shared" si="96"/>
        <v>0</v>
      </c>
      <c r="M140" s="300">
        <f t="shared" si="96"/>
        <v>0</v>
      </c>
      <c r="N140" s="300">
        <f t="shared" si="96"/>
        <v>0</v>
      </c>
      <c r="O140" s="300">
        <f t="shared" si="96"/>
        <v>0</v>
      </c>
      <c r="P140" s="300">
        <f t="shared" si="96"/>
        <v>0</v>
      </c>
      <c r="Q140" s="300">
        <f t="shared" si="96"/>
        <v>0</v>
      </c>
      <c r="R140" s="300">
        <f t="shared" si="96"/>
        <v>0</v>
      </c>
      <c r="S140" s="300">
        <f t="shared" si="96"/>
        <v>0</v>
      </c>
      <c r="T140" s="300">
        <f t="shared" si="96"/>
        <v>0</v>
      </c>
      <c r="U140" s="300">
        <f t="shared" si="96"/>
        <v>0</v>
      </c>
      <c r="V140" s="300">
        <f t="shared" si="96"/>
        <v>0</v>
      </c>
      <c r="W140" s="300">
        <f t="shared" si="96"/>
        <v>0</v>
      </c>
      <c r="X140" s="300">
        <f t="shared" si="96"/>
        <v>0</v>
      </c>
      <c r="Y140" s="300">
        <f t="shared" si="96"/>
        <v>0</v>
      </c>
      <c r="Z140" s="300">
        <f t="shared" si="96"/>
        <v>0</v>
      </c>
      <c r="AA140" s="300">
        <f t="shared" si="96"/>
        <v>0</v>
      </c>
      <c r="AB140" s="300">
        <f t="shared" si="96"/>
        <v>0</v>
      </c>
      <c r="AC140" s="300">
        <f t="shared" si="96"/>
        <v>0</v>
      </c>
      <c r="AD140" s="300">
        <f t="shared" si="96"/>
        <v>0</v>
      </c>
      <c r="AE140" s="300">
        <f t="shared" si="96"/>
        <v>0</v>
      </c>
      <c r="AF140" s="300">
        <f t="shared" si="96"/>
        <v>0</v>
      </c>
      <c r="AG140" s="300">
        <f t="shared" si="96"/>
        <v>0</v>
      </c>
      <c r="AH140" s="245"/>
      <c r="AI140" s="423"/>
      <c r="AJ140" s="424"/>
      <c r="AL140" s="221"/>
      <c r="AM140" s="124"/>
      <c r="AN140" s="124"/>
      <c r="AO140" s="124"/>
      <c r="BD140" s="124"/>
      <c r="BE140" s="124"/>
      <c r="BF140" s="124"/>
      <c r="BG140" s="124"/>
      <c r="BH140" s="124"/>
      <c r="BI140" s="124"/>
      <c r="BJ140" s="124"/>
      <c r="BK140" s="124"/>
    </row>
    <row r="141" spans="1:63" s="1" customFormat="1" outlineLevel="1">
      <c r="A141" s="1" t="s">
        <v>1637</v>
      </c>
      <c r="B141" s="65"/>
      <c r="C141" s="300">
        <f t="shared" ref="C141:AG141" si="97">C131*C45</f>
        <v>0</v>
      </c>
      <c r="D141" s="300">
        <f t="shared" si="97"/>
        <v>0</v>
      </c>
      <c r="E141" s="300">
        <f t="shared" si="97"/>
        <v>0</v>
      </c>
      <c r="F141" s="300">
        <f t="shared" si="97"/>
        <v>0</v>
      </c>
      <c r="G141" s="300">
        <f t="shared" si="97"/>
        <v>0</v>
      </c>
      <c r="H141" s="300">
        <f t="shared" si="97"/>
        <v>0</v>
      </c>
      <c r="I141" s="300">
        <f t="shared" si="97"/>
        <v>0</v>
      </c>
      <c r="J141" s="300">
        <f t="shared" si="97"/>
        <v>0</v>
      </c>
      <c r="K141" s="300">
        <f t="shared" si="97"/>
        <v>0</v>
      </c>
      <c r="L141" s="300">
        <f t="shared" si="97"/>
        <v>0</v>
      </c>
      <c r="M141" s="300">
        <f t="shared" si="97"/>
        <v>0</v>
      </c>
      <c r="N141" s="300">
        <f t="shared" si="97"/>
        <v>0</v>
      </c>
      <c r="O141" s="300">
        <f t="shared" si="97"/>
        <v>0</v>
      </c>
      <c r="P141" s="300">
        <f t="shared" si="97"/>
        <v>0</v>
      </c>
      <c r="Q141" s="300">
        <f t="shared" si="97"/>
        <v>0</v>
      </c>
      <c r="R141" s="300">
        <f t="shared" si="97"/>
        <v>0</v>
      </c>
      <c r="S141" s="300">
        <f t="shared" si="97"/>
        <v>0</v>
      </c>
      <c r="T141" s="300">
        <f t="shared" si="97"/>
        <v>0</v>
      </c>
      <c r="U141" s="300">
        <f t="shared" si="97"/>
        <v>0</v>
      </c>
      <c r="V141" s="300">
        <f t="shared" si="97"/>
        <v>0</v>
      </c>
      <c r="W141" s="300">
        <f t="shared" si="97"/>
        <v>0</v>
      </c>
      <c r="X141" s="300">
        <f t="shared" si="97"/>
        <v>0</v>
      </c>
      <c r="Y141" s="300">
        <f t="shared" si="97"/>
        <v>0</v>
      </c>
      <c r="Z141" s="300">
        <f t="shared" si="97"/>
        <v>0</v>
      </c>
      <c r="AA141" s="300">
        <f t="shared" si="97"/>
        <v>0</v>
      </c>
      <c r="AB141" s="300">
        <f t="shared" si="97"/>
        <v>0</v>
      </c>
      <c r="AC141" s="300">
        <f t="shared" si="97"/>
        <v>0</v>
      </c>
      <c r="AD141" s="300">
        <f t="shared" si="97"/>
        <v>0</v>
      </c>
      <c r="AE141" s="300">
        <f t="shared" si="97"/>
        <v>0</v>
      </c>
      <c r="AF141" s="300">
        <f t="shared" si="97"/>
        <v>0</v>
      </c>
      <c r="AG141" s="300">
        <f t="shared" si="97"/>
        <v>0</v>
      </c>
      <c r="AH141" s="245"/>
      <c r="AI141" s="423"/>
      <c r="AJ141" s="424"/>
      <c r="AL141" s="221"/>
      <c r="AM141" s="124"/>
      <c r="AN141" s="124"/>
      <c r="AO141" s="124"/>
      <c r="BD141" s="124"/>
      <c r="BE141" s="124"/>
      <c r="BF141" s="124"/>
      <c r="BG141" s="124"/>
      <c r="BH141" s="124"/>
      <c r="BI141" s="124"/>
      <c r="BJ141" s="124"/>
      <c r="BK141" s="124"/>
    </row>
    <row r="142" spans="1:63" s="1" customFormat="1" outlineLevel="1">
      <c r="A142" s="1" t="s">
        <v>1638</v>
      </c>
      <c r="B142" s="65"/>
      <c r="C142" s="300">
        <f t="shared" ref="C142:AG142" si="98">C141-$C141</f>
        <v>0</v>
      </c>
      <c r="D142" s="300">
        <f t="shared" si="98"/>
        <v>0</v>
      </c>
      <c r="E142" s="300">
        <f t="shared" si="98"/>
        <v>0</v>
      </c>
      <c r="F142" s="300">
        <f t="shared" si="98"/>
        <v>0</v>
      </c>
      <c r="G142" s="300">
        <f t="shared" si="98"/>
        <v>0</v>
      </c>
      <c r="H142" s="300">
        <f t="shared" si="98"/>
        <v>0</v>
      </c>
      <c r="I142" s="300">
        <f t="shared" si="98"/>
        <v>0</v>
      </c>
      <c r="J142" s="300">
        <f t="shared" si="98"/>
        <v>0</v>
      </c>
      <c r="K142" s="300">
        <f t="shared" si="98"/>
        <v>0</v>
      </c>
      <c r="L142" s="300">
        <f t="shared" si="98"/>
        <v>0</v>
      </c>
      <c r="M142" s="300">
        <f t="shared" si="98"/>
        <v>0</v>
      </c>
      <c r="N142" s="300">
        <f t="shared" si="98"/>
        <v>0</v>
      </c>
      <c r="O142" s="300">
        <f t="shared" si="98"/>
        <v>0</v>
      </c>
      <c r="P142" s="300">
        <f t="shared" si="98"/>
        <v>0</v>
      </c>
      <c r="Q142" s="300">
        <f t="shared" si="98"/>
        <v>0</v>
      </c>
      <c r="R142" s="300">
        <f t="shared" si="98"/>
        <v>0</v>
      </c>
      <c r="S142" s="300">
        <f t="shared" si="98"/>
        <v>0</v>
      </c>
      <c r="T142" s="300">
        <f t="shared" si="98"/>
        <v>0</v>
      </c>
      <c r="U142" s="300">
        <f t="shared" si="98"/>
        <v>0</v>
      </c>
      <c r="V142" s="300">
        <f t="shared" si="98"/>
        <v>0</v>
      </c>
      <c r="W142" s="300">
        <f t="shared" si="98"/>
        <v>0</v>
      </c>
      <c r="X142" s="300">
        <f t="shared" si="98"/>
        <v>0</v>
      </c>
      <c r="Y142" s="300">
        <f t="shared" si="98"/>
        <v>0</v>
      </c>
      <c r="Z142" s="300">
        <f t="shared" si="98"/>
        <v>0</v>
      </c>
      <c r="AA142" s="300">
        <f t="shared" si="98"/>
        <v>0</v>
      </c>
      <c r="AB142" s="300">
        <f t="shared" si="98"/>
        <v>0</v>
      </c>
      <c r="AC142" s="300">
        <f t="shared" si="98"/>
        <v>0</v>
      </c>
      <c r="AD142" s="300">
        <f t="shared" si="98"/>
        <v>0</v>
      </c>
      <c r="AE142" s="300">
        <f t="shared" si="98"/>
        <v>0</v>
      </c>
      <c r="AF142" s="300">
        <f t="shared" si="98"/>
        <v>0</v>
      </c>
      <c r="AG142" s="300">
        <f t="shared" si="98"/>
        <v>0</v>
      </c>
      <c r="AH142" s="245"/>
      <c r="AI142" s="423"/>
      <c r="AJ142" s="424"/>
      <c r="AL142" s="221"/>
      <c r="AM142" s="124"/>
      <c r="AN142" s="124"/>
      <c r="AO142" s="124"/>
      <c r="BD142" s="124"/>
      <c r="BE142" s="124"/>
      <c r="BF142" s="124"/>
      <c r="BG142" s="124"/>
      <c r="BH142" s="124"/>
      <c r="BI142" s="124"/>
      <c r="BJ142" s="124"/>
      <c r="BK142" s="124"/>
    </row>
    <row r="143" spans="1:63" outlineLevel="1">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J143" s="211"/>
    </row>
    <row r="144" spans="1:63" s="200" customFormat="1" ht="16" thickBot="1">
      <c r="A144" s="200" t="s">
        <v>1347</v>
      </c>
      <c r="B144" s="215"/>
      <c r="C144" s="224">
        <f>C145</f>
        <v>0</v>
      </c>
      <c r="D144" s="224">
        <f t="shared" ref="D144:AG144" si="99">D145</f>
        <v>9.9999999999999985E-3</v>
      </c>
      <c r="E144" s="224">
        <f t="shared" si="99"/>
        <v>1.9999999999999997E-2</v>
      </c>
      <c r="F144" s="224">
        <f t="shared" si="99"/>
        <v>2.9999999999999995E-2</v>
      </c>
      <c r="G144" s="224">
        <f t="shared" si="99"/>
        <v>3.9999999999999994E-2</v>
      </c>
      <c r="H144" s="224">
        <f t="shared" si="99"/>
        <v>4.9999999999999989E-2</v>
      </c>
      <c r="I144" s="224">
        <f t="shared" si="99"/>
        <v>5.9999999999999991E-2</v>
      </c>
      <c r="J144" s="224">
        <f t="shared" si="99"/>
        <v>6.9999999999999993E-2</v>
      </c>
      <c r="K144" s="224">
        <f t="shared" si="99"/>
        <v>7.9999999999999988E-2</v>
      </c>
      <c r="L144" s="224">
        <f t="shared" si="99"/>
        <v>8.9999999999999983E-2</v>
      </c>
      <c r="M144" s="224">
        <f t="shared" si="99"/>
        <v>9.9999999999999992E-2</v>
      </c>
      <c r="N144" s="224">
        <f t="shared" si="99"/>
        <v>0.10999999999999999</v>
      </c>
      <c r="O144" s="224">
        <f t="shared" si="99"/>
        <v>0.12</v>
      </c>
      <c r="P144" s="224">
        <f t="shared" si="99"/>
        <v>0.12999999999999998</v>
      </c>
      <c r="Q144" s="224">
        <f t="shared" si="99"/>
        <v>0.13999999999999999</v>
      </c>
      <c r="R144" s="224">
        <f t="shared" si="99"/>
        <v>0.14999999999999997</v>
      </c>
      <c r="S144" s="224">
        <f t="shared" si="99"/>
        <v>0.15999999999999998</v>
      </c>
      <c r="T144" s="224">
        <f t="shared" si="99"/>
        <v>0.16999999999999998</v>
      </c>
      <c r="U144" s="224">
        <f t="shared" si="99"/>
        <v>0.18</v>
      </c>
      <c r="V144" s="224">
        <f t="shared" si="99"/>
        <v>0.18999999999999997</v>
      </c>
      <c r="W144" s="224">
        <f t="shared" si="99"/>
        <v>0.19999999999999998</v>
      </c>
      <c r="X144" s="224">
        <f t="shared" si="99"/>
        <v>0.21</v>
      </c>
      <c r="Y144" s="224">
        <f t="shared" si="99"/>
        <v>0.21999999999999997</v>
      </c>
      <c r="Z144" s="224">
        <f t="shared" si="99"/>
        <v>0.22999999999999998</v>
      </c>
      <c r="AA144" s="224">
        <f t="shared" si="99"/>
        <v>0.24</v>
      </c>
      <c r="AB144" s="224">
        <f t="shared" si="99"/>
        <v>0.25</v>
      </c>
      <c r="AC144" s="224">
        <f t="shared" si="99"/>
        <v>0.26</v>
      </c>
      <c r="AD144" s="224">
        <f t="shared" si="99"/>
        <v>0.27</v>
      </c>
      <c r="AE144" s="224">
        <f t="shared" si="99"/>
        <v>0.27999999999999997</v>
      </c>
      <c r="AF144" s="224">
        <f t="shared" si="99"/>
        <v>0.28999999999999998</v>
      </c>
      <c r="AG144" s="224">
        <f t="shared" si="99"/>
        <v>0.3</v>
      </c>
      <c r="AJ144" s="231" t="s">
        <v>1312</v>
      </c>
      <c r="AL144" s="217"/>
      <c r="AM144" s="225"/>
      <c r="AN144" s="225"/>
      <c r="AO144" s="225"/>
    </row>
    <row r="145" spans="1:63" ht="16" outlineLevel="1" thickTop="1">
      <c r="A145" t="s">
        <v>1348</v>
      </c>
      <c r="B145" s="54" t="s">
        <v>462</v>
      </c>
      <c r="C145" s="113">
        <v>0</v>
      </c>
      <c r="D145" s="110">
        <f>$C145+($M145-$C145)/10*(D$1-$C$1)</f>
        <v>9.9999999999999985E-3</v>
      </c>
      <c r="E145" s="110">
        <f t="shared" ref="E145:L145" si="100">$C145+($M145-$C145)/10*(E$1-$C$1)</f>
        <v>1.9999999999999997E-2</v>
      </c>
      <c r="F145" s="110">
        <f t="shared" si="100"/>
        <v>2.9999999999999995E-2</v>
      </c>
      <c r="G145" s="110">
        <f t="shared" si="100"/>
        <v>3.9999999999999994E-2</v>
      </c>
      <c r="H145" s="110">
        <f t="shared" si="100"/>
        <v>4.9999999999999989E-2</v>
      </c>
      <c r="I145" s="110">
        <f t="shared" si="100"/>
        <v>5.9999999999999991E-2</v>
      </c>
      <c r="J145" s="110">
        <f t="shared" si="100"/>
        <v>6.9999999999999993E-2</v>
      </c>
      <c r="K145" s="110">
        <f t="shared" si="100"/>
        <v>7.9999999999999988E-2</v>
      </c>
      <c r="L145" s="110">
        <f t="shared" si="100"/>
        <v>8.9999999999999983E-2</v>
      </c>
      <c r="M145" s="121">
        <f>C145+(AG145-C145)/3</f>
        <v>9.9999999999999992E-2</v>
      </c>
      <c r="N145" s="121">
        <f>$M145+($W145-$M145)/10*(N$1-$M$1)</f>
        <v>0.10999999999999999</v>
      </c>
      <c r="O145" s="121">
        <f t="shared" ref="O145:U145" si="101">$M145+($W145-$M145)/10*(O$1-$M$1)</f>
        <v>0.12</v>
      </c>
      <c r="P145" s="121">
        <f t="shared" si="101"/>
        <v>0.12999999999999998</v>
      </c>
      <c r="Q145" s="121">
        <f t="shared" si="101"/>
        <v>0.13999999999999999</v>
      </c>
      <c r="R145" s="121">
        <f t="shared" si="101"/>
        <v>0.14999999999999997</v>
      </c>
      <c r="S145" s="121">
        <f t="shared" si="101"/>
        <v>0.15999999999999998</v>
      </c>
      <c r="T145" s="121">
        <f t="shared" si="101"/>
        <v>0.16999999999999998</v>
      </c>
      <c r="U145" s="121">
        <f t="shared" si="101"/>
        <v>0.18</v>
      </c>
      <c r="V145" s="121">
        <f>$M145+($W145-$M145)/10*(V$1-$M$1)</f>
        <v>0.18999999999999997</v>
      </c>
      <c r="W145" s="121">
        <f>C145+(AG145-C145)*2/3</f>
        <v>0.19999999999999998</v>
      </c>
      <c r="X145" s="23">
        <f t="shared" ref="X145:AF145" si="102">$W145+($AG145-$W145)/10*(X$1-$W$1)</f>
        <v>0.21</v>
      </c>
      <c r="Y145" s="23">
        <f t="shared" si="102"/>
        <v>0.21999999999999997</v>
      </c>
      <c r="Z145" s="23">
        <f t="shared" si="102"/>
        <v>0.22999999999999998</v>
      </c>
      <c r="AA145" s="23">
        <f t="shared" si="102"/>
        <v>0.24</v>
      </c>
      <c r="AB145" s="23">
        <f t="shared" si="102"/>
        <v>0.25</v>
      </c>
      <c r="AC145" s="23">
        <f t="shared" si="102"/>
        <v>0.26</v>
      </c>
      <c r="AD145" s="23">
        <f t="shared" si="102"/>
        <v>0.27</v>
      </c>
      <c r="AE145" s="23">
        <f t="shared" si="102"/>
        <v>0.27999999999999997</v>
      </c>
      <c r="AF145" s="23">
        <f t="shared" si="102"/>
        <v>0.28999999999999998</v>
      </c>
      <c r="AG145" s="106">
        <v>0.3</v>
      </c>
      <c r="AJ145" s="211" t="s">
        <v>1217</v>
      </c>
    </row>
    <row r="146" spans="1:63" outlineLevel="1">
      <c r="C146" s="113"/>
      <c r="D146" s="110"/>
      <c r="E146" s="110"/>
      <c r="F146" s="110"/>
      <c r="G146" s="110"/>
      <c r="H146" s="110"/>
      <c r="I146" s="110"/>
      <c r="J146" s="110"/>
      <c r="K146" s="110"/>
      <c r="L146" s="110"/>
      <c r="M146" s="121"/>
      <c r="N146" s="121"/>
      <c r="O146" s="121"/>
      <c r="P146" s="121"/>
      <c r="Q146" s="121"/>
      <c r="R146" s="121"/>
      <c r="S146" s="121"/>
      <c r="T146" s="121"/>
      <c r="U146" s="121"/>
      <c r="V146" s="121"/>
      <c r="W146" s="121"/>
      <c r="X146" s="23"/>
      <c r="Y146" s="23"/>
      <c r="Z146" s="23"/>
      <c r="AA146" s="23"/>
      <c r="AB146" s="23"/>
      <c r="AC146" s="23"/>
      <c r="AD146" s="23"/>
      <c r="AE146" s="23"/>
      <c r="AF146" s="23"/>
      <c r="AG146" s="106"/>
      <c r="AJ146" s="211"/>
    </row>
    <row r="147" spans="1:63" outlineLevel="1">
      <c r="A147" t="s">
        <v>1676</v>
      </c>
      <c r="C147" s="504">
        <v>1</v>
      </c>
      <c r="D147" s="504">
        <f>C147-($C147-$AG147)/($AG$1-$C$1)</f>
        <v>1</v>
      </c>
      <c r="E147" s="504">
        <f t="shared" ref="E147:AF147" si="103">D147-($C147-$AG147)/($AG$1-$C$1)</f>
        <v>1</v>
      </c>
      <c r="F147" s="504">
        <f t="shared" si="103"/>
        <v>1</v>
      </c>
      <c r="G147" s="504">
        <f t="shared" si="103"/>
        <v>1</v>
      </c>
      <c r="H147" s="504">
        <f t="shared" si="103"/>
        <v>1</v>
      </c>
      <c r="I147" s="504">
        <f t="shared" si="103"/>
        <v>1</v>
      </c>
      <c r="J147" s="504">
        <f t="shared" si="103"/>
        <v>1</v>
      </c>
      <c r="K147" s="504">
        <f t="shared" si="103"/>
        <v>1</v>
      </c>
      <c r="L147" s="504">
        <f t="shared" si="103"/>
        <v>1</v>
      </c>
      <c r="M147" s="504">
        <f t="shared" si="103"/>
        <v>1</v>
      </c>
      <c r="N147" s="504">
        <f t="shared" si="103"/>
        <v>1</v>
      </c>
      <c r="O147" s="504">
        <f t="shared" si="103"/>
        <v>1</v>
      </c>
      <c r="P147" s="504">
        <f t="shared" si="103"/>
        <v>1</v>
      </c>
      <c r="Q147" s="504">
        <f t="shared" si="103"/>
        <v>1</v>
      </c>
      <c r="R147" s="504">
        <f t="shared" si="103"/>
        <v>1</v>
      </c>
      <c r="S147" s="504">
        <f t="shared" si="103"/>
        <v>1</v>
      </c>
      <c r="T147" s="504">
        <f t="shared" si="103"/>
        <v>1</v>
      </c>
      <c r="U147" s="504">
        <f t="shared" si="103"/>
        <v>1</v>
      </c>
      <c r="V147" s="504">
        <f t="shared" si="103"/>
        <v>1</v>
      </c>
      <c r="W147" s="504">
        <f t="shared" si="103"/>
        <v>1</v>
      </c>
      <c r="X147" s="504">
        <f t="shared" si="103"/>
        <v>1</v>
      </c>
      <c r="Y147" s="504">
        <f t="shared" si="103"/>
        <v>1</v>
      </c>
      <c r="Z147" s="504">
        <f t="shared" si="103"/>
        <v>1</v>
      </c>
      <c r="AA147" s="504">
        <f t="shared" si="103"/>
        <v>1</v>
      </c>
      <c r="AB147" s="504">
        <f t="shared" si="103"/>
        <v>1</v>
      </c>
      <c r="AC147" s="504">
        <f t="shared" si="103"/>
        <v>1</v>
      </c>
      <c r="AD147" s="504">
        <f t="shared" si="103"/>
        <v>1</v>
      </c>
      <c r="AE147" s="504">
        <f t="shared" si="103"/>
        <v>1</v>
      </c>
      <c r="AF147" s="504">
        <f t="shared" si="103"/>
        <v>1</v>
      </c>
      <c r="AG147" s="504">
        <v>1</v>
      </c>
      <c r="AI147" s="133"/>
      <c r="AJ147" s="211"/>
      <c r="AL147" s="108"/>
      <c r="AM147" s="207"/>
      <c r="AN147" s="207"/>
      <c r="AO147" s="207"/>
      <c r="BC147" s="1"/>
      <c r="BD147" s="207"/>
      <c r="BE147" s="207"/>
      <c r="BF147" s="207"/>
      <c r="BG147" s="207"/>
      <c r="BH147" s="207"/>
      <c r="BI147" s="207"/>
      <c r="BJ147" s="207"/>
      <c r="BK147" s="207"/>
    </row>
    <row r="148" spans="1:63" outlineLevel="1">
      <c r="A148" t="s">
        <v>1695</v>
      </c>
      <c r="B148" s="54" t="s">
        <v>462</v>
      </c>
      <c r="C148" s="110">
        <f>C145*C147</f>
        <v>0</v>
      </c>
      <c r="D148" s="110">
        <f t="shared" ref="D148:AG148" si="104">D145*D147</f>
        <v>9.9999999999999985E-3</v>
      </c>
      <c r="E148" s="110">
        <f t="shared" si="104"/>
        <v>1.9999999999999997E-2</v>
      </c>
      <c r="F148" s="110">
        <f t="shared" si="104"/>
        <v>2.9999999999999995E-2</v>
      </c>
      <c r="G148" s="110">
        <f t="shared" si="104"/>
        <v>3.9999999999999994E-2</v>
      </c>
      <c r="H148" s="110">
        <f t="shared" si="104"/>
        <v>4.9999999999999989E-2</v>
      </c>
      <c r="I148" s="110">
        <f t="shared" si="104"/>
        <v>5.9999999999999991E-2</v>
      </c>
      <c r="J148" s="110">
        <f t="shared" si="104"/>
        <v>6.9999999999999993E-2</v>
      </c>
      <c r="K148" s="110">
        <f t="shared" si="104"/>
        <v>7.9999999999999988E-2</v>
      </c>
      <c r="L148" s="110">
        <f t="shared" si="104"/>
        <v>8.9999999999999983E-2</v>
      </c>
      <c r="M148" s="110">
        <f t="shared" si="104"/>
        <v>9.9999999999999992E-2</v>
      </c>
      <c r="N148" s="110">
        <f t="shared" si="104"/>
        <v>0.10999999999999999</v>
      </c>
      <c r="O148" s="110">
        <f t="shared" si="104"/>
        <v>0.12</v>
      </c>
      <c r="P148" s="110">
        <f t="shared" si="104"/>
        <v>0.12999999999999998</v>
      </c>
      <c r="Q148" s="110">
        <f t="shared" si="104"/>
        <v>0.13999999999999999</v>
      </c>
      <c r="R148" s="110">
        <f t="shared" si="104"/>
        <v>0.14999999999999997</v>
      </c>
      <c r="S148" s="110">
        <f t="shared" si="104"/>
        <v>0.15999999999999998</v>
      </c>
      <c r="T148" s="110">
        <f t="shared" si="104"/>
        <v>0.16999999999999998</v>
      </c>
      <c r="U148" s="110">
        <f t="shared" si="104"/>
        <v>0.18</v>
      </c>
      <c r="V148" s="110">
        <f t="shared" si="104"/>
        <v>0.18999999999999997</v>
      </c>
      <c r="W148" s="110">
        <f t="shared" si="104"/>
        <v>0.19999999999999998</v>
      </c>
      <c r="X148" s="110">
        <f t="shared" si="104"/>
        <v>0.21</v>
      </c>
      <c r="Y148" s="110">
        <f t="shared" si="104"/>
        <v>0.21999999999999997</v>
      </c>
      <c r="Z148" s="110">
        <f t="shared" si="104"/>
        <v>0.22999999999999998</v>
      </c>
      <c r="AA148" s="110">
        <f t="shared" si="104"/>
        <v>0.24</v>
      </c>
      <c r="AB148" s="110">
        <f t="shared" si="104"/>
        <v>0.25</v>
      </c>
      <c r="AC148" s="110">
        <f t="shared" si="104"/>
        <v>0.26</v>
      </c>
      <c r="AD148" s="110">
        <f t="shared" si="104"/>
        <v>0.27</v>
      </c>
      <c r="AE148" s="110">
        <f t="shared" si="104"/>
        <v>0.27999999999999997</v>
      </c>
      <c r="AF148" s="110">
        <f t="shared" si="104"/>
        <v>0.28999999999999998</v>
      </c>
      <c r="AG148" s="110">
        <f t="shared" si="104"/>
        <v>0.3</v>
      </c>
      <c r="AJ148" s="211"/>
    </row>
    <row r="149" spans="1:63" outlineLevel="1">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I149" s="134"/>
      <c r="AJ149" s="211"/>
      <c r="BC149" s="1"/>
      <c r="BD149" s="41"/>
      <c r="BF149" s="6"/>
      <c r="BG149" s="6"/>
      <c r="BH149" s="6"/>
      <c r="BI149" s="6"/>
      <c r="BJ149" s="6"/>
    </row>
    <row r="150" spans="1:63" s="1" customFormat="1" outlineLevel="1">
      <c r="A150" s="1" t="s">
        <v>228</v>
      </c>
      <c r="B150" s="65"/>
      <c r="C150" s="300">
        <f t="shared" ref="C150:AG150" si="105">C148*C44</f>
        <v>0</v>
      </c>
      <c r="D150" s="300">
        <f t="shared" si="105"/>
        <v>6.8575510127137293E-4</v>
      </c>
      <c r="E150" s="300">
        <f t="shared" si="105"/>
        <v>1.4137798758990748E-3</v>
      </c>
      <c r="F150" s="300">
        <f t="shared" si="105"/>
        <v>2.1803177816155017E-3</v>
      </c>
      <c r="G150" s="300">
        <f t="shared" si="105"/>
        <v>2.9810552488453018E-3</v>
      </c>
      <c r="H150" s="300">
        <f t="shared" si="105"/>
        <v>3.8111588287271458E-3</v>
      </c>
      <c r="I150" s="300">
        <f t="shared" si="105"/>
        <v>4.67538696680581E-3</v>
      </c>
      <c r="J150" s="300">
        <f t="shared" si="105"/>
        <v>5.5737262490058786E-3</v>
      </c>
      <c r="K150" s="300">
        <f t="shared" si="105"/>
        <v>6.5060985696927774E-3</v>
      </c>
      <c r="L150" s="300">
        <f t="shared" si="105"/>
        <v>7.4723593626091784E-3</v>
      </c>
      <c r="M150" s="300">
        <f t="shared" si="105"/>
        <v>8.4722959688281318E-3</v>
      </c>
      <c r="N150" s="300">
        <f t="shared" si="105"/>
        <v>9.4920255900893084E-3</v>
      </c>
      <c r="O150" s="300">
        <f t="shared" si="105"/>
        <v>1.0526647660798702E-2</v>
      </c>
      <c r="P150" s="300">
        <f t="shared" si="105"/>
        <v>1.1570993579342994E-2</v>
      </c>
      <c r="Q150" s="300">
        <f t="shared" si="105"/>
        <v>1.2619667941422514E-2</v>
      </c>
      <c r="R150" s="300">
        <f t="shared" si="105"/>
        <v>1.3667093518410865E-2</v>
      </c>
      <c r="S150" s="300">
        <f t="shared" si="105"/>
        <v>1.4734057644551869E-2</v>
      </c>
      <c r="T150" s="300">
        <f t="shared" si="105"/>
        <v>1.5820536392552507E-2</v>
      </c>
      <c r="U150" s="300">
        <f t="shared" si="105"/>
        <v>1.6926496686890214E-2</v>
      </c>
      <c r="V150" s="300">
        <f t="shared" si="105"/>
        <v>1.8051896186725893E-2</v>
      </c>
      <c r="W150" s="300">
        <f t="shared" si="105"/>
        <v>1.9196683173433635E-2</v>
      </c>
      <c r="X150" s="300">
        <f t="shared" si="105"/>
        <v>2.0361020705099583E-2</v>
      </c>
      <c r="Y150" s="300">
        <f t="shared" si="105"/>
        <v>2.1544877458779924E-2</v>
      </c>
      <c r="Z150" s="300">
        <f t="shared" si="105"/>
        <v>2.2748213782914663E-2</v>
      </c>
      <c r="AA150" s="300">
        <f t="shared" si="105"/>
        <v>2.3970981600412514E-2</v>
      </c>
      <c r="AB150" s="300">
        <f t="shared" si="105"/>
        <v>2.5213124315565019E-2</v>
      </c>
      <c r="AC150" s="300">
        <f t="shared" si="105"/>
        <v>2.6474827021831491E-2</v>
      </c>
      <c r="AD150" s="300">
        <f t="shared" si="105"/>
        <v>2.7756052501347869E-2</v>
      </c>
      <c r="AE150" s="300">
        <f t="shared" si="105"/>
        <v>2.9056755923110099E-2</v>
      </c>
      <c r="AF150" s="300">
        <f t="shared" si="105"/>
        <v>3.0376884761938429E-2</v>
      </c>
      <c r="AG150" s="300">
        <f t="shared" si="105"/>
        <v>3.1716378720642334E-2</v>
      </c>
      <c r="AH150" s="245"/>
      <c r="AI150" s="423"/>
      <c r="AJ150" s="424"/>
      <c r="AL150" s="221"/>
      <c r="AM150" s="124"/>
      <c r="AN150" s="124"/>
      <c r="AO150" s="124"/>
      <c r="BD150" s="124"/>
      <c r="BE150" s="124"/>
      <c r="BF150" s="124"/>
      <c r="BG150" s="124"/>
      <c r="BH150" s="124"/>
      <c r="BI150" s="124"/>
      <c r="BJ150" s="124"/>
      <c r="BK150" s="124"/>
    </row>
    <row r="151" spans="1:63" s="1" customFormat="1" outlineLevel="1">
      <c r="A151" s="1" t="s">
        <v>1562</v>
      </c>
      <c r="B151" s="65"/>
      <c r="C151" s="300">
        <f t="shared" ref="C151:AG151" si="106">C150-$C150</f>
        <v>0</v>
      </c>
      <c r="D151" s="300">
        <f t="shared" si="106"/>
        <v>6.8575510127137293E-4</v>
      </c>
      <c r="E151" s="300">
        <f t="shared" si="106"/>
        <v>1.4137798758990748E-3</v>
      </c>
      <c r="F151" s="300">
        <f t="shared" si="106"/>
        <v>2.1803177816155017E-3</v>
      </c>
      <c r="G151" s="300">
        <f t="shared" si="106"/>
        <v>2.9810552488453018E-3</v>
      </c>
      <c r="H151" s="300">
        <f t="shared" si="106"/>
        <v>3.8111588287271458E-3</v>
      </c>
      <c r="I151" s="300">
        <f t="shared" si="106"/>
        <v>4.67538696680581E-3</v>
      </c>
      <c r="J151" s="300">
        <f t="shared" si="106"/>
        <v>5.5737262490058786E-3</v>
      </c>
      <c r="K151" s="300">
        <f t="shared" si="106"/>
        <v>6.5060985696927774E-3</v>
      </c>
      <c r="L151" s="300">
        <f t="shared" si="106"/>
        <v>7.4723593626091784E-3</v>
      </c>
      <c r="M151" s="300">
        <f t="shared" si="106"/>
        <v>8.4722959688281318E-3</v>
      </c>
      <c r="N151" s="300">
        <f t="shared" si="106"/>
        <v>9.4920255900893084E-3</v>
      </c>
      <c r="O151" s="300">
        <f t="shared" si="106"/>
        <v>1.0526647660798702E-2</v>
      </c>
      <c r="P151" s="300">
        <f t="shared" si="106"/>
        <v>1.1570993579342994E-2</v>
      </c>
      <c r="Q151" s="300">
        <f t="shared" si="106"/>
        <v>1.2619667941422514E-2</v>
      </c>
      <c r="R151" s="300">
        <f t="shared" si="106"/>
        <v>1.3667093518410865E-2</v>
      </c>
      <c r="S151" s="300">
        <f t="shared" si="106"/>
        <v>1.4734057644551869E-2</v>
      </c>
      <c r="T151" s="300">
        <f t="shared" si="106"/>
        <v>1.5820536392552507E-2</v>
      </c>
      <c r="U151" s="300">
        <f t="shared" si="106"/>
        <v>1.6926496686890214E-2</v>
      </c>
      <c r="V151" s="300">
        <f t="shared" si="106"/>
        <v>1.8051896186725893E-2</v>
      </c>
      <c r="W151" s="300">
        <f t="shared" si="106"/>
        <v>1.9196683173433635E-2</v>
      </c>
      <c r="X151" s="300">
        <f t="shared" si="106"/>
        <v>2.0361020705099583E-2</v>
      </c>
      <c r="Y151" s="300">
        <f t="shared" si="106"/>
        <v>2.1544877458779924E-2</v>
      </c>
      <c r="Z151" s="300">
        <f t="shared" si="106"/>
        <v>2.2748213782914663E-2</v>
      </c>
      <c r="AA151" s="300">
        <f t="shared" si="106"/>
        <v>2.3970981600412514E-2</v>
      </c>
      <c r="AB151" s="300">
        <f t="shared" si="106"/>
        <v>2.5213124315565019E-2</v>
      </c>
      <c r="AC151" s="300">
        <f t="shared" si="106"/>
        <v>2.6474827021831491E-2</v>
      </c>
      <c r="AD151" s="300">
        <f t="shared" si="106"/>
        <v>2.7756052501347869E-2</v>
      </c>
      <c r="AE151" s="300">
        <f t="shared" si="106"/>
        <v>2.9056755923110099E-2</v>
      </c>
      <c r="AF151" s="300">
        <f t="shared" si="106"/>
        <v>3.0376884761938429E-2</v>
      </c>
      <c r="AG151" s="300">
        <f t="shared" si="106"/>
        <v>3.1716378720642334E-2</v>
      </c>
      <c r="AH151" s="245"/>
      <c r="AI151" s="423"/>
      <c r="AJ151" s="424"/>
      <c r="AL151" s="221"/>
      <c r="AM151" s="124"/>
      <c r="AN151" s="124"/>
      <c r="AO151" s="124"/>
      <c r="BD151" s="124"/>
      <c r="BE151" s="124"/>
      <c r="BF151" s="124"/>
      <c r="BG151" s="124"/>
      <c r="BH151" s="124"/>
      <c r="BI151" s="124"/>
      <c r="BJ151" s="124"/>
      <c r="BK151" s="124"/>
    </row>
    <row r="152" spans="1:63" outlineLevel="1">
      <c r="AJ152" s="211"/>
    </row>
    <row r="153" spans="1:63" s="200" customFormat="1" ht="16" thickBot="1">
      <c r="A153" s="200" t="s">
        <v>1351</v>
      </c>
      <c r="B153" s="215"/>
      <c r="C153" s="224">
        <f>C154</f>
        <v>0</v>
      </c>
      <c r="D153" s="224">
        <f t="shared" ref="D153:AG153" si="107">D154</f>
        <v>0</v>
      </c>
      <c r="E153" s="224">
        <f t="shared" si="107"/>
        <v>0</v>
      </c>
      <c r="F153" s="224">
        <f t="shared" si="107"/>
        <v>0</v>
      </c>
      <c r="G153" s="224">
        <f t="shared" si="107"/>
        <v>0</v>
      </c>
      <c r="H153" s="224">
        <f t="shared" si="107"/>
        <v>0</v>
      </c>
      <c r="I153" s="224">
        <f t="shared" si="107"/>
        <v>0</v>
      </c>
      <c r="J153" s="224">
        <f t="shared" si="107"/>
        <v>0</v>
      </c>
      <c r="K153" s="224">
        <f t="shared" si="107"/>
        <v>0</v>
      </c>
      <c r="L153" s="224">
        <f t="shared" si="107"/>
        <v>0</v>
      </c>
      <c r="M153" s="224">
        <f t="shared" si="107"/>
        <v>0</v>
      </c>
      <c r="N153" s="224">
        <f t="shared" si="107"/>
        <v>0</v>
      </c>
      <c r="O153" s="224">
        <f t="shared" si="107"/>
        <v>0</v>
      </c>
      <c r="P153" s="224">
        <f t="shared" si="107"/>
        <v>0</v>
      </c>
      <c r="Q153" s="224">
        <f t="shared" si="107"/>
        <v>0</v>
      </c>
      <c r="R153" s="224">
        <f t="shared" si="107"/>
        <v>0</v>
      </c>
      <c r="S153" s="224">
        <f t="shared" si="107"/>
        <v>0</v>
      </c>
      <c r="T153" s="224">
        <f t="shared" si="107"/>
        <v>0</v>
      </c>
      <c r="U153" s="224">
        <f t="shared" si="107"/>
        <v>0</v>
      </c>
      <c r="V153" s="224">
        <f t="shared" si="107"/>
        <v>0</v>
      </c>
      <c r="W153" s="224">
        <f t="shared" si="107"/>
        <v>0</v>
      </c>
      <c r="X153" s="224">
        <f t="shared" si="107"/>
        <v>0</v>
      </c>
      <c r="Y153" s="224">
        <f t="shared" si="107"/>
        <v>0</v>
      </c>
      <c r="Z153" s="224">
        <f t="shared" si="107"/>
        <v>0</v>
      </c>
      <c r="AA153" s="224">
        <f t="shared" si="107"/>
        <v>0</v>
      </c>
      <c r="AB153" s="224">
        <f t="shared" si="107"/>
        <v>0</v>
      </c>
      <c r="AC153" s="224">
        <f t="shared" si="107"/>
        <v>0</v>
      </c>
      <c r="AD153" s="224">
        <f t="shared" si="107"/>
        <v>0</v>
      </c>
      <c r="AE153" s="224">
        <f t="shared" si="107"/>
        <v>0</v>
      </c>
      <c r="AF153" s="224">
        <f t="shared" si="107"/>
        <v>0</v>
      </c>
      <c r="AG153" s="224">
        <f t="shared" si="107"/>
        <v>0</v>
      </c>
      <c r="AJ153" s="231" t="s">
        <v>1331</v>
      </c>
      <c r="AL153" s="217"/>
      <c r="AM153" s="225"/>
      <c r="AN153" s="225"/>
      <c r="AO153" s="225"/>
    </row>
    <row r="154" spans="1:63" ht="16" outlineLevel="2" thickTop="1">
      <c r="A154" t="s">
        <v>1352</v>
      </c>
      <c r="B154" s="54" t="s">
        <v>462</v>
      </c>
      <c r="C154" s="113">
        <v>0</v>
      </c>
      <c r="D154" s="110">
        <f>$C154+($M154-$C154)/10*(D$1-$C$1)</f>
        <v>0</v>
      </c>
      <c r="E154" s="110">
        <f t="shared" ref="E154:L154" si="108">$C154+($M154-$C154)/10*(E$1-$C$1)</f>
        <v>0</v>
      </c>
      <c r="F154" s="110">
        <f t="shared" si="108"/>
        <v>0</v>
      </c>
      <c r="G154" s="110">
        <f t="shared" si="108"/>
        <v>0</v>
      </c>
      <c r="H154" s="110">
        <f t="shared" si="108"/>
        <v>0</v>
      </c>
      <c r="I154" s="110">
        <f t="shared" si="108"/>
        <v>0</v>
      </c>
      <c r="J154" s="110">
        <f t="shared" si="108"/>
        <v>0</v>
      </c>
      <c r="K154" s="110">
        <f t="shared" si="108"/>
        <v>0</v>
      </c>
      <c r="L154" s="110">
        <f t="shared" si="108"/>
        <v>0</v>
      </c>
      <c r="M154" s="121">
        <v>0</v>
      </c>
      <c r="N154" s="121">
        <f>$M154+($W154-$M154)/10*(N$1-$M$1)</f>
        <v>0</v>
      </c>
      <c r="O154" s="121">
        <f t="shared" ref="O154:U154" si="109">$M154+($W154-$M154)/10*(O$1-$M$1)</f>
        <v>0</v>
      </c>
      <c r="P154" s="121">
        <f t="shared" si="109"/>
        <v>0</v>
      </c>
      <c r="Q154" s="121">
        <f t="shared" si="109"/>
        <v>0</v>
      </c>
      <c r="R154" s="121">
        <f t="shared" si="109"/>
        <v>0</v>
      </c>
      <c r="S154" s="121">
        <f t="shared" si="109"/>
        <v>0</v>
      </c>
      <c r="T154" s="121">
        <f t="shared" si="109"/>
        <v>0</v>
      </c>
      <c r="U154" s="121">
        <f t="shared" si="109"/>
        <v>0</v>
      </c>
      <c r="V154" s="121">
        <f>$M154+($W154-$M154)/10*(V$1-$M$1)</f>
        <v>0</v>
      </c>
      <c r="W154" s="121">
        <v>0</v>
      </c>
      <c r="X154" s="23">
        <f t="shared" ref="X154:AF154" si="110">$W154+($AG154-$W154)/10*(X$1-$W$1)</f>
        <v>0</v>
      </c>
      <c r="Y154" s="23">
        <f t="shared" si="110"/>
        <v>0</v>
      </c>
      <c r="Z154" s="23">
        <f t="shared" si="110"/>
        <v>0</v>
      </c>
      <c r="AA154" s="23">
        <f t="shared" si="110"/>
        <v>0</v>
      </c>
      <c r="AB154" s="23">
        <f t="shared" si="110"/>
        <v>0</v>
      </c>
      <c r="AC154" s="23">
        <f t="shared" si="110"/>
        <v>0</v>
      </c>
      <c r="AD154" s="23">
        <f t="shared" si="110"/>
        <v>0</v>
      </c>
      <c r="AE154" s="23">
        <f t="shared" si="110"/>
        <v>0</v>
      </c>
      <c r="AF154" s="23">
        <f t="shared" si="110"/>
        <v>0</v>
      </c>
      <c r="AG154" s="106">
        <v>0</v>
      </c>
      <c r="AJ154" s="211" t="s">
        <v>1217</v>
      </c>
    </row>
    <row r="155" spans="1:63" outlineLevel="2">
      <c r="C155" s="113"/>
      <c r="D155" s="110"/>
      <c r="E155" s="110"/>
      <c r="F155" s="110"/>
      <c r="G155" s="110"/>
      <c r="H155" s="110"/>
      <c r="I155" s="110"/>
      <c r="J155" s="110"/>
      <c r="K155" s="110"/>
      <c r="L155" s="110"/>
      <c r="M155" s="121"/>
      <c r="N155" s="121"/>
      <c r="O155" s="121"/>
      <c r="P155" s="121"/>
      <c r="Q155" s="121"/>
      <c r="R155" s="121"/>
      <c r="S155" s="121"/>
      <c r="T155" s="121"/>
      <c r="U155" s="121"/>
      <c r="V155" s="121"/>
      <c r="W155" s="121"/>
      <c r="X155" s="23"/>
      <c r="Y155" s="23"/>
      <c r="Z155" s="23"/>
      <c r="AA155" s="23"/>
      <c r="AB155" s="23"/>
      <c r="AC155" s="23"/>
      <c r="AD155" s="23"/>
      <c r="AE155" s="23"/>
      <c r="AF155" s="23"/>
      <c r="AG155" s="106"/>
      <c r="AJ155" s="211"/>
    </row>
    <row r="156" spans="1:63" outlineLevel="1">
      <c r="A156" t="s">
        <v>1676</v>
      </c>
      <c r="C156" s="504">
        <f>('Overall recycling rates'!F88*'Yearly BTX'!D5+'Overall recycling rates'!G88*'Yearly BTX'!D6+'Overall recycling rates'!H88*'Yearly BTX'!D7)/'Yearly BTX'!D4</f>
        <v>1.0000000000000004</v>
      </c>
      <c r="D156" s="504">
        <f>C156-($C156-$AG156)/($AG$1-$C$1)</f>
        <v>1.0000000000000004</v>
      </c>
      <c r="E156" s="504">
        <f t="shared" ref="E156:AF156" si="111">D156-($C156-$AG156)/($AG$1-$C$1)</f>
        <v>1.0000000000000004</v>
      </c>
      <c r="F156" s="504">
        <f t="shared" si="111"/>
        <v>1.0000000000000004</v>
      </c>
      <c r="G156" s="504">
        <f t="shared" si="111"/>
        <v>1.0000000000000004</v>
      </c>
      <c r="H156" s="504">
        <f t="shared" si="111"/>
        <v>1.0000000000000004</v>
      </c>
      <c r="I156" s="504">
        <f t="shared" si="111"/>
        <v>1.0000000000000004</v>
      </c>
      <c r="J156" s="504">
        <f t="shared" si="111"/>
        <v>1.0000000000000004</v>
      </c>
      <c r="K156" s="504">
        <f t="shared" si="111"/>
        <v>1.0000000000000004</v>
      </c>
      <c r="L156" s="504">
        <f t="shared" si="111"/>
        <v>1.0000000000000004</v>
      </c>
      <c r="M156" s="504">
        <f t="shared" si="111"/>
        <v>1.0000000000000004</v>
      </c>
      <c r="N156" s="504">
        <f t="shared" si="111"/>
        <v>1.0000000000000004</v>
      </c>
      <c r="O156" s="504">
        <f t="shared" si="111"/>
        <v>1.0000000000000004</v>
      </c>
      <c r="P156" s="504">
        <f t="shared" si="111"/>
        <v>1.0000000000000004</v>
      </c>
      <c r="Q156" s="504">
        <f t="shared" si="111"/>
        <v>1.0000000000000004</v>
      </c>
      <c r="R156" s="504">
        <f t="shared" si="111"/>
        <v>1.0000000000000004</v>
      </c>
      <c r="S156" s="504">
        <f t="shared" si="111"/>
        <v>1.0000000000000004</v>
      </c>
      <c r="T156" s="504">
        <f t="shared" si="111"/>
        <v>1.0000000000000004</v>
      </c>
      <c r="U156" s="504">
        <f t="shared" si="111"/>
        <v>1.0000000000000004</v>
      </c>
      <c r="V156" s="504">
        <f t="shared" si="111"/>
        <v>1.0000000000000004</v>
      </c>
      <c r="W156" s="504">
        <f t="shared" si="111"/>
        <v>1.0000000000000004</v>
      </c>
      <c r="X156" s="504">
        <f t="shared" si="111"/>
        <v>1.0000000000000004</v>
      </c>
      <c r="Y156" s="504">
        <f t="shared" si="111"/>
        <v>1.0000000000000004</v>
      </c>
      <c r="Z156" s="504">
        <f t="shared" si="111"/>
        <v>1.0000000000000004</v>
      </c>
      <c r="AA156" s="504">
        <f t="shared" si="111"/>
        <v>1.0000000000000004</v>
      </c>
      <c r="AB156" s="504">
        <f t="shared" si="111"/>
        <v>1.0000000000000004</v>
      </c>
      <c r="AC156" s="504">
        <f t="shared" si="111"/>
        <v>1.0000000000000004</v>
      </c>
      <c r="AD156" s="504">
        <f t="shared" si="111"/>
        <v>1.0000000000000004</v>
      </c>
      <c r="AE156" s="504">
        <f t="shared" si="111"/>
        <v>1.0000000000000004</v>
      </c>
      <c r="AF156" s="504">
        <f t="shared" si="111"/>
        <v>1.0000000000000004</v>
      </c>
      <c r="AG156" s="504">
        <f>'Overall recycling rates'!F97</f>
        <v>1</v>
      </c>
      <c r="AI156" s="133"/>
      <c r="AJ156" s="211"/>
      <c r="AL156" s="108"/>
      <c r="AM156" s="207"/>
      <c r="AN156" s="207"/>
      <c r="AO156" s="207"/>
      <c r="BC156" s="1"/>
      <c r="BD156" s="207"/>
      <c r="BE156" s="207"/>
      <c r="BF156" s="207"/>
      <c r="BG156" s="207"/>
      <c r="BH156" s="207"/>
      <c r="BI156" s="207"/>
      <c r="BJ156" s="207"/>
      <c r="BK156" s="207"/>
    </row>
    <row r="157" spans="1:63" outlineLevel="1">
      <c r="A157" t="s">
        <v>1695</v>
      </c>
      <c r="B157" s="54" t="s">
        <v>462</v>
      </c>
      <c r="C157" s="110">
        <f>C154*C156</f>
        <v>0</v>
      </c>
      <c r="D157" s="110">
        <f t="shared" ref="D157:AG157" si="112">D154*D156</f>
        <v>0</v>
      </c>
      <c r="E157" s="110">
        <f t="shared" si="112"/>
        <v>0</v>
      </c>
      <c r="F157" s="110">
        <f t="shared" si="112"/>
        <v>0</v>
      </c>
      <c r="G157" s="110">
        <f t="shared" si="112"/>
        <v>0</v>
      </c>
      <c r="H157" s="110">
        <f t="shared" si="112"/>
        <v>0</v>
      </c>
      <c r="I157" s="110">
        <f t="shared" si="112"/>
        <v>0</v>
      </c>
      <c r="J157" s="110">
        <f t="shared" si="112"/>
        <v>0</v>
      </c>
      <c r="K157" s="110">
        <f t="shared" si="112"/>
        <v>0</v>
      </c>
      <c r="L157" s="110">
        <f t="shared" si="112"/>
        <v>0</v>
      </c>
      <c r="M157" s="110">
        <f t="shared" si="112"/>
        <v>0</v>
      </c>
      <c r="N157" s="110">
        <f t="shared" si="112"/>
        <v>0</v>
      </c>
      <c r="O157" s="110">
        <f t="shared" si="112"/>
        <v>0</v>
      </c>
      <c r="P157" s="110">
        <f t="shared" si="112"/>
        <v>0</v>
      </c>
      <c r="Q157" s="110">
        <f t="shared" si="112"/>
        <v>0</v>
      </c>
      <c r="R157" s="110">
        <f t="shared" si="112"/>
        <v>0</v>
      </c>
      <c r="S157" s="110">
        <f t="shared" si="112"/>
        <v>0</v>
      </c>
      <c r="T157" s="110">
        <f t="shared" si="112"/>
        <v>0</v>
      </c>
      <c r="U157" s="110">
        <f t="shared" si="112"/>
        <v>0</v>
      </c>
      <c r="V157" s="110">
        <f t="shared" si="112"/>
        <v>0</v>
      </c>
      <c r="W157" s="110">
        <f t="shared" si="112"/>
        <v>0</v>
      </c>
      <c r="X157" s="110">
        <f t="shared" si="112"/>
        <v>0</v>
      </c>
      <c r="Y157" s="110">
        <f t="shared" si="112"/>
        <v>0</v>
      </c>
      <c r="Z157" s="110">
        <f t="shared" si="112"/>
        <v>0</v>
      </c>
      <c r="AA157" s="110">
        <f t="shared" si="112"/>
        <v>0</v>
      </c>
      <c r="AB157" s="110">
        <f t="shared" si="112"/>
        <v>0</v>
      </c>
      <c r="AC157" s="110">
        <f t="shared" si="112"/>
        <v>0</v>
      </c>
      <c r="AD157" s="110">
        <f t="shared" si="112"/>
        <v>0</v>
      </c>
      <c r="AE157" s="110">
        <f t="shared" si="112"/>
        <v>0</v>
      </c>
      <c r="AF157" s="110">
        <f t="shared" si="112"/>
        <v>0</v>
      </c>
      <c r="AG157" s="110">
        <f t="shared" si="112"/>
        <v>0</v>
      </c>
      <c r="AJ157" s="211"/>
    </row>
    <row r="158" spans="1:63" outlineLevel="1">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J158" s="211"/>
    </row>
    <row r="159" spans="1:63" s="1" customFormat="1" outlineLevel="1">
      <c r="A159" s="1" t="s">
        <v>228</v>
      </c>
      <c r="B159" s="65"/>
      <c r="C159" s="300">
        <f t="shared" ref="C159:AG159" si="113">C157*C46</f>
        <v>0</v>
      </c>
      <c r="D159" s="300">
        <f t="shared" si="113"/>
        <v>0</v>
      </c>
      <c r="E159" s="300">
        <f t="shared" si="113"/>
        <v>0</v>
      </c>
      <c r="F159" s="300">
        <f t="shared" si="113"/>
        <v>0</v>
      </c>
      <c r="G159" s="300">
        <f t="shared" si="113"/>
        <v>0</v>
      </c>
      <c r="H159" s="300">
        <f t="shared" si="113"/>
        <v>0</v>
      </c>
      <c r="I159" s="300">
        <f t="shared" si="113"/>
        <v>0</v>
      </c>
      <c r="J159" s="300">
        <f t="shared" si="113"/>
        <v>0</v>
      </c>
      <c r="K159" s="300">
        <f t="shared" si="113"/>
        <v>0</v>
      </c>
      <c r="L159" s="300">
        <f t="shared" si="113"/>
        <v>0</v>
      </c>
      <c r="M159" s="300">
        <f t="shared" si="113"/>
        <v>0</v>
      </c>
      <c r="N159" s="300">
        <f t="shared" si="113"/>
        <v>0</v>
      </c>
      <c r="O159" s="300">
        <f t="shared" si="113"/>
        <v>0</v>
      </c>
      <c r="P159" s="300">
        <f t="shared" si="113"/>
        <v>0</v>
      </c>
      <c r="Q159" s="300">
        <f t="shared" si="113"/>
        <v>0</v>
      </c>
      <c r="R159" s="300">
        <f t="shared" si="113"/>
        <v>0</v>
      </c>
      <c r="S159" s="300">
        <f t="shared" si="113"/>
        <v>0</v>
      </c>
      <c r="T159" s="300">
        <f t="shared" si="113"/>
        <v>0</v>
      </c>
      <c r="U159" s="300">
        <f t="shared" si="113"/>
        <v>0</v>
      </c>
      <c r="V159" s="300">
        <f t="shared" si="113"/>
        <v>0</v>
      </c>
      <c r="W159" s="300">
        <f t="shared" si="113"/>
        <v>0</v>
      </c>
      <c r="X159" s="300">
        <f t="shared" si="113"/>
        <v>0</v>
      </c>
      <c r="Y159" s="300">
        <f t="shared" si="113"/>
        <v>0</v>
      </c>
      <c r="Z159" s="300">
        <f t="shared" si="113"/>
        <v>0</v>
      </c>
      <c r="AA159" s="300">
        <f t="shared" si="113"/>
        <v>0</v>
      </c>
      <c r="AB159" s="300">
        <f t="shared" si="113"/>
        <v>0</v>
      </c>
      <c r="AC159" s="300">
        <f t="shared" si="113"/>
        <v>0</v>
      </c>
      <c r="AD159" s="300">
        <f t="shared" si="113"/>
        <v>0</v>
      </c>
      <c r="AE159" s="300">
        <f t="shared" si="113"/>
        <v>0</v>
      </c>
      <c r="AF159" s="300">
        <f t="shared" si="113"/>
        <v>0</v>
      </c>
      <c r="AG159" s="300">
        <f t="shared" si="113"/>
        <v>0</v>
      </c>
      <c r="AH159" s="245"/>
      <c r="AI159" s="423"/>
      <c r="AJ159" s="424"/>
      <c r="AL159" s="221"/>
      <c r="AM159" s="124"/>
      <c r="AN159" s="124"/>
      <c r="AO159" s="124"/>
      <c r="BD159" s="124"/>
      <c r="BE159" s="124"/>
      <c r="BF159" s="124"/>
      <c r="BG159" s="124"/>
      <c r="BH159" s="124"/>
      <c r="BI159" s="124"/>
      <c r="BJ159" s="124"/>
      <c r="BK159" s="124"/>
    </row>
    <row r="160" spans="1:63" s="1" customFormat="1" outlineLevel="1">
      <c r="A160" s="1" t="s">
        <v>1562</v>
      </c>
      <c r="B160" s="65"/>
      <c r="C160" s="300">
        <f t="shared" ref="C160:AG160" si="114">C159-$C159</f>
        <v>0</v>
      </c>
      <c r="D160" s="300">
        <f t="shared" si="114"/>
        <v>0</v>
      </c>
      <c r="E160" s="300">
        <f t="shared" si="114"/>
        <v>0</v>
      </c>
      <c r="F160" s="300">
        <f t="shared" si="114"/>
        <v>0</v>
      </c>
      <c r="G160" s="300">
        <f t="shared" si="114"/>
        <v>0</v>
      </c>
      <c r="H160" s="300">
        <f t="shared" si="114"/>
        <v>0</v>
      </c>
      <c r="I160" s="300">
        <f t="shared" si="114"/>
        <v>0</v>
      </c>
      <c r="J160" s="300">
        <f t="shared" si="114"/>
        <v>0</v>
      </c>
      <c r="K160" s="300">
        <f t="shared" si="114"/>
        <v>0</v>
      </c>
      <c r="L160" s="300">
        <f t="shared" si="114"/>
        <v>0</v>
      </c>
      <c r="M160" s="300">
        <f t="shared" si="114"/>
        <v>0</v>
      </c>
      <c r="N160" s="300">
        <f t="shared" si="114"/>
        <v>0</v>
      </c>
      <c r="O160" s="300">
        <f t="shared" si="114"/>
        <v>0</v>
      </c>
      <c r="P160" s="300">
        <f t="shared" si="114"/>
        <v>0</v>
      </c>
      <c r="Q160" s="300">
        <f t="shared" si="114"/>
        <v>0</v>
      </c>
      <c r="R160" s="300">
        <f t="shared" si="114"/>
        <v>0</v>
      </c>
      <c r="S160" s="300">
        <f t="shared" si="114"/>
        <v>0</v>
      </c>
      <c r="T160" s="300">
        <f t="shared" si="114"/>
        <v>0</v>
      </c>
      <c r="U160" s="300">
        <f t="shared" si="114"/>
        <v>0</v>
      </c>
      <c r="V160" s="300">
        <f t="shared" si="114"/>
        <v>0</v>
      </c>
      <c r="W160" s="300">
        <f t="shared" si="114"/>
        <v>0</v>
      </c>
      <c r="X160" s="300">
        <f t="shared" si="114"/>
        <v>0</v>
      </c>
      <c r="Y160" s="300">
        <f t="shared" si="114"/>
        <v>0</v>
      </c>
      <c r="Z160" s="300">
        <f t="shared" si="114"/>
        <v>0</v>
      </c>
      <c r="AA160" s="300">
        <f t="shared" si="114"/>
        <v>0</v>
      </c>
      <c r="AB160" s="300">
        <f t="shared" si="114"/>
        <v>0</v>
      </c>
      <c r="AC160" s="300">
        <f t="shared" si="114"/>
        <v>0</v>
      </c>
      <c r="AD160" s="300">
        <f t="shared" si="114"/>
        <v>0</v>
      </c>
      <c r="AE160" s="300">
        <f t="shared" si="114"/>
        <v>0</v>
      </c>
      <c r="AF160" s="300">
        <f t="shared" si="114"/>
        <v>0</v>
      </c>
      <c r="AG160" s="300">
        <f t="shared" si="114"/>
        <v>0</v>
      </c>
      <c r="AH160" s="245"/>
      <c r="AI160" s="423"/>
      <c r="AJ160" s="424"/>
      <c r="AL160" s="221"/>
      <c r="AM160" s="124"/>
      <c r="AN160" s="124"/>
      <c r="AO160" s="124"/>
      <c r="BD160" s="124"/>
      <c r="BE160" s="124"/>
      <c r="BF160" s="124"/>
      <c r="BG160" s="124"/>
      <c r="BH160" s="124"/>
      <c r="BI160" s="124"/>
      <c r="BJ160" s="124"/>
      <c r="BK160" s="124"/>
    </row>
    <row r="161" spans="1:41" outlineLevel="2">
      <c r="C161" s="113"/>
      <c r="D161" s="110"/>
      <c r="E161" s="110"/>
      <c r="F161" s="110"/>
      <c r="G161" s="110"/>
      <c r="H161" s="110"/>
      <c r="I161" s="110"/>
      <c r="J161" s="110"/>
      <c r="K161" s="110"/>
      <c r="L161" s="110"/>
      <c r="M161" s="121"/>
      <c r="N161" s="121"/>
      <c r="O161" s="121"/>
      <c r="P161" s="121"/>
      <c r="Q161" s="121"/>
      <c r="R161" s="121"/>
      <c r="S161" s="121"/>
      <c r="T161" s="121"/>
      <c r="U161" s="121"/>
      <c r="V161" s="121"/>
      <c r="W161" s="121"/>
      <c r="X161" s="23"/>
      <c r="Y161" s="23"/>
      <c r="Z161" s="23"/>
      <c r="AA161" s="23"/>
      <c r="AB161" s="23"/>
      <c r="AC161" s="23"/>
      <c r="AD161" s="23"/>
      <c r="AE161" s="23"/>
      <c r="AF161" s="23"/>
      <c r="AG161" s="106"/>
      <c r="AJ161" s="211"/>
    </row>
    <row r="162" spans="1:41" s="200" customFormat="1" ht="16" thickBot="1">
      <c r="A162" s="227" t="s">
        <v>1696</v>
      </c>
      <c r="B162" s="228"/>
      <c r="C162" s="229">
        <f t="shared" ref="C162:AG162" si="115">(C42*C66+C43*C102+C45*C133+C44*C148+C46*C157)/C47</f>
        <v>4.6954450224515588E-2</v>
      </c>
      <c r="D162" s="229">
        <f t="shared" si="115"/>
        <v>5.3320969924936491E-2</v>
      </c>
      <c r="E162" s="229">
        <f t="shared" si="115"/>
        <v>5.9687489625357387E-2</v>
      </c>
      <c r="F162" s="229">
        <f t="shared" si="115"/>
        <v>6.6054009325778276E-2</v>
      </c>
      <c r="G162" s="229">
        <f t="shared" si="115"/>
        <v>7.2420529026199151E-2</v>
      </c>
      <c r="H162" s="229">
        <f t="shared" si="115"/>
        <v>7.8787048726620096E-2</v>
      </c>
      <c r="I162" s="229">
        <f t="shared" si="115"/>
        <v>8.5153568427040957E-2</v>
      </c>
      <c r="J162" s="229">
        <f t="shared" si="115"/>
        <v>9.1520088127461874E-2</v>
      </c>
      <c r="K162" s="229">
        <f t="shared" si="115"/>
        <v>9.7886607827882777E-2</v>
      </c>
      <c r="L162" s="229">
        <f t="shared" si="115"/>
        <v>0.10425312752830367</v>
      </c>
      <c r="M162" s="229">
        <f t="shared" si="115"/>
        <v>0.11061964722872458</v>
      </c>
      <c r="N162" s="229">
        <f t="shared" si="115"/>
        <v>0.11698616692914546</v>
      </c>
      <c r="O162" s="229">
        <f t="shared" si="115"/>
        <v>0.12335268662956636</v>
      </c>
      <c r="P162" s="229">
        <f t="shared" si="115"/>
        <v>0.12971920632998724</v>
      </c>
      <c r="Q162" s="229">
        <f t="shared" si="115"/>
        <v>0.13608572603040819</v>
      </c>
      <c r="R162" s="229">
        <f t="shared" si="115"/>
        <v>0.14245224573082907</v>
      </c>
      <c r="S162" s="229">
        <f t="shared" si="115"/>
        <v>0.14881876543124994</v>
      </c>
      <c r="T162" s="229">
        <f t="shared" si="115"/>
        <v>0.15518528513167085</v>
      </c>
      <c r="U162" s="229">
        <f t="shared" si="115"/>
        <v>0.16155180483209178</v>
      </c>
      <c r="V162" s="229">
        <f t="shared" si="115"/>
        <v>0.16791832453251268</v>
      </c>
      <c r="W162" s="229">
        <f t="shared" si="115"/>
        <v>0.17428484423293356</v>
      </c>
      <c r="X162" s="229">
        <f t="shared" si="115"/>
        <v>0.18065136393335446</v>
      </c>
      <c r="Y162" s="229">
        <f t="shared" si="115"/>
        <v>0.18701788363377536</v>
      </c>
      <c r="Z162" s="229">
        <f t="shared" si="115"/>
        <v>0.19338440333419624</v>
      </c>
      <c r="AA162" s="229">
        <f t="shared" si="115"/>
        <v>0.19975092303461714</v>
      </c>
      <c r="AB162" s="229">
        <f t="shared" si="115"/>
        <v>0.20611744273503801</v>
      </c>
      <c r="AC162" s="229">
        <f t="shared" si="115"/>
        <v>0.21248396243545895</v>
      </c>
      <c r="AD162" s="229">
        <f t="shared" si="115"/>
        <v>0.21885048213587985</v>
      </c>
      <c r="AE162" s="229">
        <f t="shared" si="115"/>
        <v>0.22521700183630072</v>
      </c>
      <c r="AF162" s="229">
        <f t="shared" si="115"/>
        <v>0.23158352153672163</v>
      </c>
      <c r="AG162" s="229">
        <f t="shared" si="115"/>
        <v>0.23795004123714253</v>
      </c>
      <c r="AJ162" s="479" t="s">
        <v>1585</v>
      </c>
      <c r="AL162" s="217"/>
      <c r="AM162" s="225"/>
      <c r="AN162" s="225"/>
      <c r="AO162" s="225"/>
    </row>
    <row r="163" spans="1:41" s="200" customFormat="1" ht="17" thickTop="1" thickBot="1">
      <c r="A163" s="227"/>
      <c r="B163" s="228"/>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c r="AG163" s="229"/>
      <c r="AJ163" s="226" t="s">
        <v>1357</v>
      </c>
      <c r="AL163" s="217"/>
      <c r="AM163" s="225"/>
      <c r="AN163" s="225"/>
      <c r="AO163" s="225"/>
    </row>
    <row r="164" spans="1:41" ht="16" thickTop="1">
      <c r="B164" s="130"/>
      <c r="C164" s="113"/>
      <c r="D164" s="23"/>
      <c r="E164" s="23"/>
      <c r="F164" s="23"/>
      <c r="G164" s="23"/>
      <c r="H164" s="23"/>
      <c r="I164" s="23"/>
      <c r="J164" s="23"/>
      <c r="K164" s="23"/>
      <c r="L164" s="23"/>
      <c r="M164" s="126"/>
      <c r="N164" s="110"/>
      <c r="O164" s="110"/>
      <c r="P164" s="110"/>
      <c r="Q164" s="110"/>
      <c r="R164" s="110"/>
      <c r="S164" s="110"/>
      <c r="T164" s="110"/>
      <c r="U164" s="110"/>
      <c r="V164" s="110"/>
      <c r="W164" s="126"/>
      <c r="X164" s="110"/>
      <c r="Y164" s="110"/>
      <c r="Z164" s="110"/>
      <c r="AA164" s="110"/>
      <c r="AB164" s="110"/>
      <c r="AC164" s="110"/>
      <c r="AD164" s="110"/>
      <c r="AE164" s="110"/>
      <c r="AF164" s="110"/>
      <c r="AG164" s="113"/>
    </row>
    <row r="165" spans="1:41">
      <c r="A165" t="s">
        <v>1697</v>
      </c>
      <c r="B165" s="130"/>
      <c r="C165" s="230">
        <f t="shared" ref="C165:AG165" si="116">C159+C150+C141+C139+C137+C113+C111+C109+C107+C80+C78+C76+C74+C72</f>
        <v>0.29411849599012857</v>
      </c>
      <c r="D165" s="230">
        <f t="shared" si="116"/>
        <v>0.34519391601580796</v>
      </c>
      <c r="E165" s="230">
        <f t="shared" si="116"/>
        <v>0.39831912413837989</v>
      </c>
      <c r="F165" s="230">
        <f t="shared" si="116"/>
        <v>0.45320403767359185</v>
      </c>
      <c r="G165" s="230">
        <f t="shared" si="116"/>
        <v>0.50952766795758908</v>
      </c>
      <c r="H165" s="230">
        <f t="shared" si="116"/>
        <v>0.56694107323375775</v>
      </c>
      <c r="I165" s="230">
        <f t="shared" si="116"/>
        <v>0.62641941356681119</v>
      </c>
      <c r="J165" s="230">
        <f t="shared" si="116"/>
        <v>0.68795506012102126</v>
      </c>
      <c r="K165" s="230">
        <f t="shared" si="116"/>
        <v>0.75153632267378723</v>
      </c>
      <c r="L165" s="230">
        <f t="shared" si="116"/>
        <v>0.81714735238699321</v>
      </c>
      <c r="M165" s="230">
        <f t="shared" si="116"/>
        <v>0.88476805342840015</v>
      </c>
      <c r="N165" s="230">
        <f t="shared" si="116"/>
        <v>0.95300849459260484</v>
      </c>
      <c r="O165" s="230">
        <f t="shared" si="116"/>
        <v>1.0215355823934487</v>
      </c>
      <c r="P165" s="230">
        <f t="shared" si="116"/>
        <v>1.0900028365980481</v>
      </c>
      <c r="Q165" s="230">
        <f t="shared" si="116"/>
        <v>1.1580532015000484</v>
      </c>
      <c r="R165" s="230">
        <f t="shared" si="116"/>
        <v>1.2253220597469408</v>
      </c>
      <c r="S165" s="230">
        <f t="shared" si="116"/>
        <v>1.2937671636997243</v>
      </c>
      <c r="T165" s="230">
        <f t="shared" si="116"/>
        <v>1.3633861134180485</v>
      </c>
      <c r="U165" s="230">
        <f t="shared" si="116"/>
        <v>1.4341759475757545</v>
      </c>
      <c r="V165" s="230">
        <f t="shared" si="116"/>
        <v>1.5061331367306496</v>
      </c>
      <c r="W165" s="230">
        <f t="shared" si="116"/>
        <v>1.5792535768819591</v>
      </c>
      <c r="X165" s="230">
        <f t="shared" si="116"/>
        <v>1.6535507960135065</v>
      </c>
      <c r="Y165" s="230">
        <f t="shared" si="116"/>
        <v>1.7290220448636191</v>
      </c>
      <c r="Z165" s="230">
        <f t="shared" si="116"/>
        <v>1.8056640637994834</v>
      </c>
      <c r="AA165" s="230">
        <f t="shared" si="116"/>
        <v>1.883473077242652</v>
      </c>
      <c r="AB165" s="230">
        <f t="shared" si="116"/>
        <v>1.9624447883324967</v>
      </c>
      <c r="AC165" s="230">
        <f t="shared" si="116"/>
        <v>2.0425936848168909</v>
      </c>
      <c r="AD165" s="230">
        <f t="shared" si="116"/>
        <v>2.1239167447662455</v>
      </c>
      <c r="AE165" s="230">
        <f t="shared" si="116"/>
        <v>2.2064104802958018</v>
      </c>
      <c r="AF165" s="230">
        <f t="shared" si="116"/>
        <v>2.2900709329013753</v>
      </c>
      <c r="AG165" s="230">
        <f t="shared" si="116"/>
        <v>2.3748936689935181</v>
      </c>
      <c r="AH165" s="245"/>
      <c r="AI165" s="23">
        <f>(AG165/C165)^(1/30)-1</f>
        <v>7.2105180199317553E-2</v>
      </c>
      <c r="AJ165" s="517">
        <f>AG165-C165</f>
        <v>2.0807751730033894</v>
      </c>
    </row>
    <row r="166" spans="1:41">
      <c r="A166" t="s">
        <v>1698</v>
      </c>
      <c r="B166" s="130"/>
      <c r="C166" s="230">
        <f>C165</f>
        <v>0.29411849599012857</v>
      </c>
      <c r="D166" s="230">
        <f>C166*(1+$AI$166)</f>
        <v>0.29903027487316369</v>
      </c>
      <c r="E166" s="230">
        <f t="shared" ref="E166:AG166" si="117">D166*(1+$AI$166)</f>
        <v>0.30402408046354551</v>
      </c>
      <c r="F166" s="230">
        <f t="shared" si="117"/>
        <v>0.3091012826072867</v>
      </c>
      <c r="G166" s="230">
        <f t="shared" si="117"/>
        <v>0.31426327402682835</v>
      </c>
      <c r="H166" s="230">
        <f t="shared" si="117"/>
        <v>0.31951147070307639</v>
      </c>
      <c r="I166" s="230">
        <f t="shared" si="117"/>
        <v>0.32484731226381774</v>
      </c>
      <c r="J166" s="230">
        <f t="shared" si="117"/>
        <v>0.3302722623786235</v>
      </c>
      <c r="K166" s="230">
        <f t="shared" si="117"/>
        <v>0.33578780916034651</v>
      </c>
      <c r="L166" s="230">
        <f t="shared" si="117"/>
        <v>0.34139546557332429</v>
      </c>
      <c r="M166" s="230">
        <f>L166*(1+$AI$166)</f>
        <v>0.34709676984839877</v>
      </c>
      <c r="N166" s="230">
        <f t="shared" si="117"/>
        <v>0.35289328590486702</v>
      </c>
      <c r="O166" s="230">
        <f t="shared" si="117"/>
        <v>0.3587866037794783</v>
      </c>
      <c r="P166" s="230">
        <f t="shared" si="117"/>
        <v>0.36477834006259557</v>
      </c>
      <c r="Q166" s="230">
        <f t="shared" si="117"/>
        <v>0.3708701383416409</v>
      </c>
      <c r="R166" s="230">
        <f t="shared" si="117"/>
        <v>0.37706366965194626</v>
      </c>
      <c r="S166" s="230">
        <f t="shared" si="117"/>
        <v>0.38336063293513373</v>
      </c>
      <c r="T166" s="230">
        <f t="shared" si="117"/>
        <v>0.38976275550515044</v>
      </c>
      <c r="U166" s="230">
        <f t="shared" si="117"/>
        <v>0.39627179352208641</v>
      </c>
      <c r="V166" s="230">
        <f t="shared" si="117"/>
        <v>0.40288953247390524</v>
      </c>
      <c r="W166" s="230">
        <f t="shared" si="117"/>
        <v>0.40961778766621942</v>
      </c>
      <c r="X166" s="230">
        <f t="shared" si="117"/>
        <v>0.41645840472024526</v>
      </c>
      <c r="Y166" s="230">
        <f t="shared" si="117"/>
        <v>0.42341326007907332</v>
      </c>
      <c r="Z166" s="230">
        <f t="shared" si="117"/>
        <v>0.43048426152239383</v>
      </c>
      <c r="AA166" s="230">
        <f t="shared" si="117"/>
        <v>0.43767334868981778</v>
      </c>
      <c r="AB166" s="230">
        <f t="shared" si="117"/>
        <v>0.44498249361293768</v>
      </c>
      <c r="AC166" s="230">
        <f t="shared" si="117"/>
        <v>0.45241370125627373</v>
      </c>
      <c r="AD166" s="230">
        <f t="shared" si="117"/>
        <v>0.45996901006725349</v>
      </c>
      <c r="AE166" s="230">
        <f t="shared" si="117"/>
        <v>0.46765049253537661</v>
      </c>
      <c r="AF166" s="230">
        <f t="shared" si="117"/>
        <v>0.47546025576071738</v>
      </c>
      <c r="AG166" s="230">
        <f t="shared" si="117"/>
        <v>0.48340044203192134</v>
      </c>
      <c r="AI166" s="214">
        <v>1.67E-2</v>
      </c>
      <c r="AJ166" s="3" t="s">
        <v>1360</v>
      </c>
    </row>
    <row r="167" spans="1:41">
      <c r="B167" s="51"/>
    </row>
    <row r="168" spans="1:41" s="58" customFormat="1">
      <c r="A168" s="58" t="s">
        <v>1361</v>
      </c>
      <c r="B168" s="303"/>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c r="AA168" s="304"/>
      <c r="AB168" s="304"/>
      <c r="AC168" s="304"/>
      <c r="AD168" s="304"/>
      <c r="AE168" s="304"/>
      <c r="AF168" s="304"/>
      <c r="AG168" s="304"/>
      <c r="AI168" s="305"/>
      <c r="AJ168" s="306"/>
    </row>
    <row r="169" spans="1:41" s="190" customFormat="1" outlineLevel="1">
      <c r="A169" s="344" t="s">
        <v>1362</v>
      </c>
      <c r="B169" s="318" t="s">
        <v>462</v>
      </c>
      <c r="C169" s="319">
        <v>0.84</v>
      </c>
      <c r="D169" s="320">
        <f>-($C169-$AG169)/30+C169</f>
        <v>0.83566666666666667</v>
      </c>
      <c r="E169" s="320">
        <f t="shared" ref="E169:AF175" si="118">-($C169-$AG169)/30+D169</f>
        <v>0.83133333333333337</v>
      </c>
      <c r="F169" s="320">
        <f t="shared" si="118"/>
        <v>0.82700000000000007</v>
      </c>
      <c r="G169" s="320">
        <f t="shared" si="118"/>
        <v>0.82266666666666677</v>
      </c>
      <c r="H169" s="320">
        <f t="shared" si="118"/>
        <v>0.81833333333333347</v>
      </c>
      <c r="I169" s="320">
        <f t="shared" si="118"/>
        <v>0.81400000000000017</v>
      </c>
      <c r="J169" s="320">
        <f t="shared" si="118"/>
        <v>0.80966666666666687</v>
      </c>
      <c r="K169" s="320">
        <f t="shared" si="118"/>
        <v>0.80533333333333357</v>
      </c>
      <c r="L169" s="320">
        <f t="shared" si="118"/>
        <v>0.80100000000000027</v>
      </c>
      <c r="M169" s="320">
        <f t="shared" si="118"/>
        <v>0.79666666666666697</v>
      </c>
      <c r="N169" s="320">
        <f t="shared" si="118"/>
        <v>0.79233333333333367</v>
      </c>
      <c r="O169" s="320">
        <f t="shared" si="118"/>
        <v>0.78800000000000037</v>
      </c>
      <c r="P169" s="320">
        <f t="shared" si="118"/>
        <v>0.78366666666666707</v>
      </c>
      <c r="Q169" s="320">
        <f t="shared" si="118"/>
        <v>0.77933333333333377</v>
      </c>
      <c r="R169" s="320">
        <f t="shared" si="118"/>
        <v>0.77500000000000047</v>
      </c>
      <c r="S169" s="320">
        <f t="shared" si="118"/>
        <v>0.77066666666666717</v>
      </c>
      <c r="T169" s="320">
        <f t="shared" si="118"/>
        <v>0.76633333333333387</v>
      </c>
      <c r="U169" s="320">
        <f t="shared" si="118"/>
        <v>0.76200000000000057</v>
      </c>
      <c r="V169" s="320">
        <f t="shared" si="118"/>
        <v>0.75766666666666727</v>
      </c>
      <c r="W169" s="320">
        <f t="shared" si="118"/>
        <v>0.75333333333333397</v>
      </c>
      <c r="X169" s="320">
        <f t="shared" si="118"/>
        <v>0.74900000000000067</v>
      </c>
      <c r="Y169" s="320">
        <f t="shared" si="118"/>
        <v>0.74466666666666737</v>
      </c>
      <c r="Z169" s="320">
        <f t="shared" si="118"/>
        <v>0.74033333333333406</v>
      </c>
      <c r="AA169" s="320">
        <f t="shared" si="118"/>
        <v>0.73600000000000076</v>
      </c>
      <c r="AB169" s="320">
        <f t="shared" si="118"/>
        <v>0.73166666666666746</v>
      </c>
      <c r="AC169" s="320">
        <f t="shared" si="118"/>
        <v>0.72733333333333416</v>
      </c>
      <c r="AD169" s="320">
        <f t="shared" si="118"/>
        <v>0.72300000000000086</v>
      </c>
      <c r="AE169" s="320">
        <f t="shared" si="118"/>
        <v>0.71866666666666756</v>
      </c>
      <c r="AF169" s="320">
        <f t="shared" si="118"/>
        <v>0.71433333333333426</v>
      </c>
      <c r="AG169" s="319">
        <v>0.71</v>
      </c>
      <c r="AI169" s="321"/>
      <c r="AJ169" s="322" t="s">
        <v>1363</v>
      </c>
    </row>
    <row r="170" spans="1:41" outlineLevel="1">
      <c r="A170" s="3" t="s">
        <v>90</v>
      </c>
      <c r="B170" s="302" t="s">
        <v>462</v>
      </c>
      <c r="C170" s="296">
        <v>0.16</v>
      </c>
      <c r="D170" s="317">
        <f t="shared" ref="D170:S175" si="119">-($C170-$AG170)/30+C170</f>
        <v>0.16206666666666666</v>
      </c>
      <c r="E170" s="317">
        <f t="shared" si="119"/>
        <v>0.16413333333333333</v>
      </c>
      <c r="F170" s="317">
        <f t="shared" si="119"/>
        <v>0.16619999999999999</v>
      </c>
      <c r="G170" s="317">
        <f t="shared" si="119"/>
        <v>0.16826666666666665</v>
      </c>
      <c r="H170" s="317">
        <f t="shared" si="119"/>
        <v>0.17033333333333331</v>
      </c>
      <c r="I170" s="317">
        <f t="shared" si="119"/>
        <v>0.17239999999999997</v>
      </c>
      <c r="J170" s="317">
        <f t="shared" si="119"/>
        <v>0.17446666666666663</v>
      </c>
      <c r="K170" s="317">
        <f t="shared" si="119"/>
        <v>0.17653333333333329</v>
      </c>
      <c r="L170" s="317">
        <f t="shared" si="119"/>
        <v>0.17859999999999995</v>
      </c>
      <c r="M170" s="317">
        <f t="shared" si="119"/>
        <v>0.18066666666666661</v>
      </c>
      <c r="N170" s="317">
        <f t="shared" si="119"/>
        <v>0.18273333333333328</v>
      </c>
      <c r="O170" s="317">
        <f t="shared" si="119"/>
        <v>0.18479999999999994</v>
      </c>
      <c r="P170" s="317">
        <f t="shared" si="119"/>
        <v>0.1868666666666666</v>
      </c>
      <c r="Q170" s="317">
        <f t="shared" si="119"/>
        <v>0.18893333333333326</v>
      </c>
      <c r="R170" s="317">
        <f t="shared" si="119"/>
        <v>0.19099999999999992</v>
      </c>
      <c r="S170" s="317">
        <f t="shared" si="119"/>
        <v>0.19306666666666658</v>
      </c>
      <c r="T170" s="317">
        <f t="shared" si="118"/>
        <v>0.19513333333333324</v>
      </c>
      <c r="U170" s="317">
        <f t="shared" si="118"/>
        <v>0.1971999999999999</v>
      </c>
      <c r="V170" s="317">
        <f t="shared" si="118"/>
        <v>0.19926666666666656</v>
      </c>
      <c r="W170" s="317">
        <f t="shared" si="118"/>
        <v>0.20133333333333323</v>
      </c>
      <c r="X170" s="317">
        <f t="shared" si="118"/>
        <v>0.20339999999999989</v>
      </c>
      <c r="Y170" s="317">
        <f t="shared" si="118"/>
        <v>0.20546666666666655</v>
      </c>
      <c r="Z170" s="317">
        <f t="shared" si="118"/>
        <v>0.20753333333333321</v>
      </c>
      <c r="AA170" s="317">
        <f t="shared" si="118"/>
        <v>0.20959999999999987</v>
      </c>
      <c r="AB170" s="317">
        <f t="shared" si="118"/>
        <v>0.21166666666666653</v>
      </c>
      <c r="AC170" s="317">
        <f t="shared" si="118"/>
        <v>0.21373333333333319</v>
      </c>
      <c r="AD170" s="317">
        <f t="shared" si="118"/>
        <v>0.21579999999999985</v>
      </c>
      <c r="AE170" s="317">
        <f t="shared" si="118"/>
        <v>0.21786666666666651</v>
      </c>
      <c r="AF170" s="317">
        <f t="shared" si="118"/>
        <v>0.21993333333333318</v>
      </c>
      <c r="AG170" s="296">
        <v>0.222</v>
      </c>
      <c r="AI170" s="214"/>
      <c r="AJ170" s="211" t="s">
        <v>1363</v>
      </c>
    </row>
    <row r="171" spans="1:41" outlineLevel="1">
      <c r="A171" s="3" t="s">
        <v>33</v>
      </c>
      <c r="B171" s="302" t="s">
        <v>462</v>
      </c>
      <c r="C171" s="296">
        <v>0.37</v>
      </c>
      <c r="D171" s="317">
        <f t="shared" si="119"/>
        <v>0.36270000000000002</v>
      </c>
      <c r="E171" s="317">
        <f t="shared" si="119"/>
        <v>0.35540000000000005</v>
      </c>
      <c r="F171" s="317">
        <f t="shared" si="119"/>
        <v>0.34810000000000008</v>
      </c>
      <c r="G171" s="317">
        <f t="shared" si="119"/>
        <v>0.3408000000000001</v>
      </c>
      <c r="H171" s="317">
        <f t="shared" si="119"/>
        <v>0.33350000000000013</v>
      </c>
      <c r="I171" s="317">
        <f t="shared" si="119"/>
        <v>0.32620000000000016</v>
      </c>
      <c r="J171" s="317">
        <f t="shared" si="119"/>
        <v>0.31890000000000018</v>
      </c>
      <c r="K171" s="317">
        <f t="shared" si="119"/>
        <v>0.31160000000000021</v>
      </c>
      <c r="L171" s="317">
        <f t="shared" si="119"/>
        <v>0.30430000000000024</v>
      </c>
      <c r="M171" s="317">
        <f t="shared" si="119"/>
        <v>0.29700000000000026</v>
      </c>
      <c r="N171" s="317">
        <f t="shared" si="119"/>
        <v>0.28970000000000029</v>
      </c>
      <c r="O171" s="317">
        <f t="shared" si="119"/>
        <v>0.28240000000000032</v>
      </c>
      <c r="P171" s="317">
        <f t="shared" si="119"/>
        <v>0.27510000000000034</v>
      </c>
      <c r="Q171" s="317">
        <f t="shared" si="119"/>
        <v>0.26780000000000037</v>
      </c>
      <c r="R171" s="317">
        <f t="shared" si="119"/>
        <v>0.2605000000000004</v>
      </c>
      <c r="S171" s="317">
        <f t="shared" si="119"/>
        <v>0.25320000000000042</v>
      </c>
      <c r="T171" s="317">
        <f t="shared" si="118"/>
        <v>0.24590000000000042</v>
      </c>
      <c r="U171" s="317">
        <f t="shared" si="118"/>
        <v>0.23860000000000042</v>
      </c>
      <c r="V171" s="317">
        <f t="shared" si="118"/>
        <v>0.23130000000000042</v>
      </c>
      <c r="W171" s="317">
        <f t="shared" si="118"/>
        <v>0.22400000000000042</v>
      </c>
      <c r="X171" s="317">
        <f t="shared" si="118"/>
        <v>0.21670000000000042</v>
      </c>
      <c r="Y171" s="317">
        <f t="shared" si="118"/>
        <v>0.20940000000000042</v>
      </c>
      <c r="Z171" s="317">
        <f t="shared" si="118"/>
        <v>0.20210000000000042</v>
      </c>
      <c r="AA171" s="317">
        <f t="shared" si="118"/>
        <v>0.19480000000000042</v>
      </c>
      <c r="AB171" s="317">
        <f t="shared" si="118"/>
        <v>0.18750000000000042</v>
      </c>
      <c r="AC171" s="317">
        <f t="shared" si="118"/>
        <v>0.18020000000000042</v>
      </c>
      <c r="AD171" s="317">
        <f t="shared" si="118"/>
        <v>0.17290000000000041</v>
      </c>
      <c r="AE171" s="317">
        <f t="shared" si="118"/>
        <v>0.16560000000000041</v>
      </c>
      <c r="AF171" s="317">
        <f t="shared" si="118"/>
        <v>0.15830000000000041</v>
      </c>
      <c r="AG171" s="296">
        <v>0.151</v>
      </c>
      <c r="AI171" s="214"/>
      <c r="AJ171" s="211" t="s">
        <v>1363</v>
      </c>
    </row>
    <row r="172" spans="1:41" outlineLevel="1">
      <c r="A172" s="3" t="s">
        <v>451</v>
      </c>
      <c r="B172" s="302" t="s">
        <v>462</v>
      </c>
      <c r="C172" s="296">
        <v>0.08</v>
      </c>
      <c r="D172" s="317">
        <f t="shared" si="119"/>
        <v>8.0100000000000005E-2</v>
      </c>
      <c r="E172" s="317">
        <f t="shared" si="119"/>
        <v>8.0200000000000007E-2</v>
      </c>
      <c r="F172" s="317">
        <f t="shared" si="119"/>
        <v>8.030000000000001E-2</v>
      </c>
      <c r="G172" s="317">
        <f t="shared" si="119"/>
        <v>8.0400000000000013E-2</v>
      </c>
      <c r="H172" s="317">
        <f t="shared" si="119"/>
        <v>8.0500000000000016E-2</v>
      </c>
      <c r="I172" s="317">
        <f t="shared" si="119"/>
        <v>8.0600000000000019E-2</v>
      </c>
      <c r="J172" s="317">
        <f t="shared" si="119"/>
        <v>8.0700000000000022E-2</v>
      </c>
      <c r="K172" s="317">
        <f t="shared" si="119"/>
        <v>8.0800000000000025E-2</v>
      </c>
      <c r="L172" s="317">
        <f t="shared" si="119"/>
        <v>8.0900000000000027E-2</v>
      </c>
      <c r="M172" s="317">
        <f t="shared" si="119"/>
        <v>8.100000000000003E-2</v>
      </c>
      <c r="N172" s="317">
        <f t="shared" si="119"/>
        <v>8.1100000000000033E-2</v>
      </c>
      <c r="O172" s="317">
        <f t="shared" si="119"/>
        <v>8.1200000000000036E-2</v>
      </c>
      <c r="P172" s="317">
        <f t="shared" si="119"/>
        <v>8.1300000000000039E-2</v>
      </c>
      <c r="Q172" s="317">
        <f t="shared" si="119"/>
        <v>8.1400000000000042E-2</v>
      </c>
      <c r="R172" s="317">
        <f t="shared" si="119"/>
        <v>8.1500000000000045E-2</v>
      </c>
      <c r="S172" s="317">
        <f t="shared" si="119"/>
        <v>8.1600000000000047E-2</v>
      </c>
      <c r="T172" s="317">
        <f t="shared" si="118"/>
        <v>8.170000000000005E-2</v>
      </c>
      <c r="U172" s="317">
        <f t="shared" si="118"/>
        <v>8.1800000000000053E-2</v>
      </c>
      <c r="V172" s="317">
        <f t="shared" si="118"/>
        <v>8.1900000000000056E-2</v>
      </c>
      <c r="W172" s="317">
        <f t="shared" si="118"/>
        <v>8.2000000000000059E-2</v>
      </c>
      <c r="X172" s="317">
        <f t="shared" si="118"/>
        <v>8.2100000000000062E-2</v>
      </c>
      <c r="Y172" s="317">
        <f t="shared" si="118"/>
        <v>8.2200000000000065E-2</v>
      </c>
      <c r="Z172" s="317">
        <f t="shared" si="118"/>
        <v>8.2300000000000068E-2</v>
      </c>
      <c r="AA172" s="317">
        <f t="shared" si="118"/>
        <v>8.240000000000007E-2</v>
      </c>
      <c r="AB172" s="317">
        <f t="shared" si="118"/>
        <v>8.2500000000000073E-2</v>
      </c>
      <c r="AC172" s="317">
        <f t="shared" si="118"/>
        <v>8.2600000000000076E-2</v>
      </c>
      <c r="AD172" s="317">
        <f t="shared" si="118"/>
        <v>8.2700000000000079E-2</v>
      </c>
      <c r="AE172" s="317">
        <f t="shared" si="118"/>
        <v>8.2800000000000082E-2</v>
      </c>
      <c r="AF172" s="317">
        <f t="shared" si="118"/>
        <v>8.2900000000000085E-2</v>
      </c>
      <c r="AG172" s="296">
        <v>8.3000000000000004E-2</v>
      </c>
      <c r="AI172" s="214"/>
      <c r="AJ172" s="211" t="s">
        <v>1363</v>
      </c>
    </row>
    <row r="173" spans="1:41" outlineLevel="1">
      <c r="A173" s="3" t="s">
        <v>452</v>
      </c>
      <c r="B173" s="302" t="s">
        <v>462</v>
      </c>
      <c r="C173" s="296">
        <v>0.27</v>
      </c>
      <c r="D173" s="317">
        <f t="shared" si="119"/>
        <v>0.27313333333333334</v>
      </c>
      <c r="E173" s="317">
        <f t="shared" si="119"/>
        <v>0.27626666666666666</v>
      </c>
      <c r="F173" s="317">
        <f t="shared" si="119"/>
        <v>0.27939999999999998</v>
      </c>
      <c r="G173" s="317">
        <f t="shared" si="119"/>
        <v>0.2825333333333333</v>
      </c>
      <c r="H173" s="317">
        <f t="shared" si="119"/>
        <v>0.28566666666666662</v>
      </c>
      <c r="I173" s="317">
        <f t="shared" si="119"/>
        <v>0.28879999999999995</v>
      </c>
      <c r="J173" s="317">
        <f t="shared" si="119"/>
        <v>0.29193333333333327</v>
      </c>
      <c r="K173" s="317">
        <f t="shared" si="119"/>
        <v>0.29506666666666659</v>
      </c>
      <c r="L173" s="317">
        <f t="shared" si="119"/>
        <v>0.29819999999999991</v>
      </c>
      <c r="M173" s="317">
        <f t="shared" si="119"/>
        <v>0.30133333333333323</v>
      </c>
      <c r="N173" s="317">
        <f t="shared" si="119"/>
        <v>0.30446666666666655</v>
      </c>
      <c r="O173" s="317">
        <f t="shared" si="119"/>
        <v>0.30759999999999987</v>
      </c>
      <c r="P173" s="317">
        <f t="shared" si="119"/>
        <v>0.31073333333333319</v>
      </c>
      <c r="Q173" s="317">
        <f t="shared" si="119"/>
        <v>0.31386666666666652</v>
      </c>
      <c r="R173" s="317">
        <f t="shared" si="119"/>
        <v>0.31699999999999984</v>
      </c>
      <c r="S173" s="317">
        <f t="shared" si="119"/>
        <v>0.32013333333333316</v>
      </c>
      <c r="T173" s="317">
        <f t="shared" si="118"/>
        <v>0.32326666666666648</v>
      </c>
      <c r="U173" s="317">
        <f t="shared" si="118"/>
        <v>0.3263999999999998</v>
      </c>
      <c r="V173" s="317">
        <f t="shared" si="118"/>
        <v>0.32953333333333312</v>
      </c>
      <c r="W173" s="317">
        <f t="shared" si="118"/>
        <v>0.33266666666666644</v>
      </c>
      <c r="X173" s="317">
        <f t="shared" si="118"/>
        <v>0.33579999999999977</v>
      </c>
      <c r="Y173" s="317">
        <f t="shared" si="118"/>
        <v>0.33893333333333309</v>
      </c>
      <c r="Z173" s="317">
        <f t="shared" si="118"/>
        <v>0.34206666666666641</v>
      </c>
      <c r="AA173" s="317">
        <f t="shared" si="118"/>
        <v>0.34519999999999973</v>
      </c>
      <c r="AB173" s="317">
        <f t="shared" si="118"/>
        <v>0.34833333333333305</v>
      </c>
      <c r="AC173" s="317">
        <f t="shared" si="118"/>
        <v>0.35146666666666637</v>
      </c>
      <c r="AD173" s="317">
        <f t="shared" si="118"/>
        <v>0.35459999999999969</v>
      </c>
      <c r="AE173" s="317">
        <f t="shared" si="118"/>
        <v>0.35773333333333301</v>
      </c>
      <c r="AF173" s="317">
        <f t="shared" si="118"/>
        <v>0.36086666666666634</v>
      </c>
      <c r="AG173" s="296">
        <v>0.36399999999999999</v>
      </c>
      <c r="AI173" s="214"/>
      <c r="AJ173" s="211" t="s">
        <v>1363</v>
      </c>
    </row>
    <row r="174" spans="1:41" outlineLevel="1">
      <c r="A174" s="3" t="s">
        <v>1364</v>
      </c>
      <c r="B174" s="302" t="s">
        <v>462</v>
      </c>
      <c r="C174" s="296">
        <v>7.0000000000000007E-2</v>
      </c>
      <c r="D174" s="317">
        <f t="shared" si="119"/>
        <v>7.1266666666666673E-2</v>
      </c>
      <c r="E174" s="317">
        <f t="shared" si="119"/>
        <v>7.2533333333333339E-2</v>
      </c>
      <c r="F174" s="317">
        <f t="shared" si="119"/>
        <v>7.3800000000000004E-2</v>
      </c>
      <c r="G174" s="317">
        <f t="shared" si="119"/>
        <v>7.506666666666667E-2</v>
      </c>
      <c r="H174" s="317">
        <f t="shared" si="119"/>
        <v>7.6333333333333336E-2</v>
      </c>
      <c r="I174" s="317">
        <f t="shared" si="119"/>
        <v>7.7600000000000002E-2</v>
      </c>
      <c r="J174" s="317">
        <f t="shared" si="119"/>
        <v>7.8866666666666668E-2</v>
      </c>
      <c r="K174" s="317">
        <f t="shared" si="119"/>
        <v>8.0133333333333334E-2</v>
      </c>
      <c r="L174" s="317">
        <f t="shared" si="119"/>
        <v>8.14E-2</v>
      </c>
      <c r="M174" s="317">
        <f t="shared" si="119"/>
        <v>8.2666666666666666E-2</v>
      </c>
      <c r="N174" s="317">
        <f t="shared" si="119"/>
        <v>8.3933333333333332E-2</v>
      </c>
      <c r="O174" s="317">
        <f t="shared" si="119"/>
        <v>8.5199999999999998E-2</v>
      </c>
      <c r="P174" s="317">
        <f t="shared" si="119"/>
        <v>8.6466666666666664E-2</v>
      </c>
      <c r="Q174" s="317">
        <f t="shared" si="119"/>
        <v>8.773333333333333E-2</v>
      </c>
      <c r="R174" s="317">
        <f t="shared" si="119"/>
        <v>8.8999999999999996E-2</v>
      </c>
      <c r="S174" s="317">
        <f t="shared" si="119"/>
        <v>9.0266666666666662E-2</v>
      </c>
      <c r="T174" s="317">
        <f t="shared" si="118"/>
        <v>9.1533333333333328E-2</v>
      </c>
      <c r="U174" s="317">
        <f t="shared" si="118"/>
        <v>9.2799999999999994E-2</v>
      </c>
      <c r="V174" s="317">
        <f t="shared" si="118"/>
        <v>9.406666666666666E-2</v>
      </c>
      <c r="W174" s="317">
        <f t="shared" si="118"/>
        <v>9.5333333333333325E-2</v>
      </c>
      <c r="X174" s="317">
        <f t="shared" si="118"/>
        <v>9.6599999999999991E-2</v>
      </c>
      <c r="Y174" s="317">
        <f t="shared" si="118"/>
        <v>9.7866666666666657E-2</v>
      </c>
      <c r="Z174" s="317">
        <f t="shared" si="118"/>
        <v>9.9133333333333323E-2</v>
      </c>
      <c r="AA174" s="317">
        <f t="shared" si="118"/>
        <v>0.10039999999999999</v>
      </c>
      <c r="AB174" s="317">
        <f t="shared" si="118"/>
        <v>0.10166666666666666</v>
      </c>
      <c r="AC174" s="317">
        <f t="shared" si="118"/>
        <v>0.10293333333333332</v>
      </c>
      <c r="AD174" s="317">
        <f t="shared" si="118"/>
        <v>0.10419999999999999</v>
      </c>
      <c r="AE174" s="317">
        <f t="shared" si="118"/>
        <v>0.10546666666666665</v>
      </c>
      <c r="AF174" s="317">
        <f t="shared" si="118"/>
        <v>0.10673333333333332</v>
      </c>
      <c r="AG174" s="296">
        <v>0.108</v>
      </c>
      <c r="AI174" s="214"/>
      <c r="AJ174" s="211" t="s">
        <v>1363</v>
      </c>
    </row>
    <row r="175" spans="1:41" outlineLevel="1">
      <c r="A175" s="3" t="s">
        <v>1365</v>
      </c>
      <c r="B175" s="302" t="s">
        <v>462</v>
      </c>
      <c r="C175" s="296">
        <v>0.05</v>
      </c>
      <c r="D175" s="317">
        <f t="shared" si="119"/>
        <v>5.0733333333333339E-2</v>
      </c>
      <c r="E175" s="317">
        <f t="shared" si="119"/>
        <v>5.1466666666666674E-2</v>
      </c>
      <c r="F175" s="317">
        <f t="shared" si="119"/>
        <v>5.220000000000001E-2</v>
      </c>
      <c r="G175" s="317">
        <f t="shared" si="119"/>
        <v>5.2933333333333346E-2</v>
      </c>
      <c r="H175" s="317">
        <f t="shared" si="119"/>
        <v>5.3666666666666682E-2</v>
      </c>
      <c r="I175" s="317">
        <f t="shared" si="119"/>
        <v>5.4400000000000018E-2</v>
      </c>
      <c r="J175" s="317">
        <f t="shared" si="119"/>
        <v>5.5133333333333354E-2</v>
      </c>
      <c r="K175" s="317">
        <f t="shared" si="119"/>
        <v>5.5866666666666689E-2</v>
      </c>
      <c r="L175" s="317">
        <f t="shared" si="119"/>
        <v>5.6600000000000025E-2</v>
      </c>
      <c r="M175" s="317">
        <f t="shared" si="119"/>
        <v>5.7333333333333361E-2</v>
      </c>
      <c r="N175" s="317">
        <f t="shared" si="119"/>
        <v>5.8066666666666697E-2</v>
      </c>
      <c r="O175" s="317">
        <f t="shared" si="119"/>
        <v>5.8800000000000033E-2</v>
      </c>
      <c r="P175" s="317">
        <f t="shared" si="119"/>
        <v>5.9533333333333369E-2</v>
      </c>
      <c r="Q175" s="317">
        <f t="shared" si="119"/>
        <v>6.0266666666666704E-2</v>
      </c>
      <c r="R175" s="317">
        <f t="shared" si="119"/>
        <v>6.100000000000004E-2</v>
      </c>
      <c r="S175" s="317">
        <f t="shared" si="119"/>
        <v>6.1733333333333376E-2</v>
      </c>
      <c r="T175" s="317">
        <f t="shared" si="118"/>
        <v>6.2466666666666712E-2</v>
      </c>
      <c r="U175" s="317">
        <f t="shared" si="118"/>
        <v>6.3200000000000048E-2</v>
      </c>
      <c r="V175" s="317">
        <f t="shared" si="118"/>
        <v>6.3933333333333384E-2</v>
      </c>
      <c r="W175" s="317">
        <f t="shared" si="118"/>
        <v>6.4666666666666719E-2</v>
      </c>
      <c r="X175" s="317">
        <f t="shared" si="118"/>
        <v>6.5400000000000055E-2</v>
      </c>
      <c r="Y175" s="317">
        <f t="shared" si="118"/>
        <v>6.6133333333333391E-2</v>
      </c>
      <c r="Z175" s="317">
        <f t="shared" si="118"/>
        <v>6.6866666666666727E-2</v>
      </c>
      <c r="AA175" s="317">
        <f t="shared" si="118"/>
        <v>6.7600000000000063E-2</v>
      </c>
      <c r="AB175" s="317">
        <f t="shared" si="118"/>
        <v>6.8333333333333399E-2</v>
      </c>
      <c r="AC175" s="317">
        <f t="shared" si="118"/>
        <v>6.9066666666666734E-2</v>
      </c>
      <c r="AD175" s="317">
        <f t="shared" si="118"/>
        <v>6.980000000000007E-2</v>
      </c>
      <c r="AE175" s="317">
        <f t="shared" si="118"/>
        <v>7.0533333333333406E-2</v>
      </c>
      <c r="AF175" s="317">
        <f t="shared" si="118"/>
        <v>7.1266666666666742E-2</v>
      </c>
      <c r="AG175" s="296">
        <v>7.1999999999999995E-2</v>
      </c>
      <c r="AI175" s="214"/>
      <c r="AJ175" s="211" t="s">
        <v>1363</v>
      </c>
    </row>
    <row r="176" spans="1:41" s="58" customFormat="1" outlineLevel="1">
      <c r="A176" s="306" t="s">
        <v>1366</v>
      </c>
      <c r="B176" s="303"/>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c r="AC176" s="304"/>
      <c r="AD176" s="304"/>
      <c r="AE176" s="304"/>
      <c r="AF176" s="304"/>
      <c r="AG176" s="304"/>
      <c r="AI176" s="305"/>
      <c r="AJ176" s="306"/>
    </row>
    <row r="177" spans="1:36" s="58" customFormat="1" outlineLevel="1">
      <c r="A177" s="307" t="s">
        <v>1367</v>
      </c>
      <c r="B177" s="308" t="s">
        <v>462</v>
      </c>
      <c r="C177" s="337">
        <v>0.84</v>
      </c>
      <c r="D177" s="338">
        <f>-($C177-$AG177)/30+C177</f>
        <v>0.84399999999999997</v>
      </c>
      <c r="E177" s="338">
        <f t="shared" ref="E177:T178" si="120">-($C177-$AG177)/30+D177</f>
        <v>0.84799999999999998</v>
      </c>
      <c r="F177" s="338">
        <f t="shared" si="120"/>
        <v>0.85199999999999998</v>
      </c>
      <c r="G177" s="338">
        <f t="shared" si="120"/>
        <v>0.85599999999999998</v>
      </c>
      <c r="H177" s="338">
        <f t="shared" si="120"/>
        <v>0.86</v>
      </c>
      <c r="I177" s="338">
        <f t="shared" si="120"/>
        <v>0.86399999999999999</v>
      </c>
      <c r="J177" s="338">
        <f t="shared" si="120"/>
        <v>0.86799999999999999</v>
      </c>
      <c r="K177" s="338">
        <f t="shared" si="120"/>
        <v>0.872</v>
      </c>
      <c r="L177" s="338">
        <f t="shared" si="120"/>
        <v>0.876</v>
      </c>
      <c r="M177" s="338">
        <f t="shared" si="120"/>
        <v>0.88</v>
      </c>
      <c r="N177" s="338">
        <f t="shared" si="120"/>
        <v>0.88400000000000001</v>
      </c>
      <c r="O177" s="338">
        <f t="shared" si="120"/>
        <v>0.88800000000000001</v>
      </c>
      <c r="P177" s="338">
        <f t="shared" si="120"/>
        <v>0.89200000000000002</v>
      </c>
      <c r="Q177" s="338">
        <f t="shared" si="120"/>
        <v>0.89600000000000002</v>
      </c>
      <c r="R177" s="338">
        <f t="shared" si="120"/>
        <v>0.9</v>
      </c>
      <c r="S177" s="338">
        <f t="shared" si="120"/>
        <v>0.90400000000000003</v>
      </c>
      <c r="T177" s="338">
        <f t="shared" si="120"/>
        <v>0.90800000000000003</v>
      </c>
      <c r="U177" s="338">
        <f t="shared" ref="U177:AF178" si="121">-($C177-$AG177)/30+T177</f>
        <v>0.91200000000000003</v>
      </c>
      <c r="V177" s="338">
        <f t="shared" si="121"/>
        <v>0.91600000000000004</v>
      </c>
      <c r="W177" s="338">
        <f t="shared" si="121"/>
        <v>0.92</v>
      </c>
      <c r="X177" s="338">
        <f t="shared" si="121"/>
        <v>0.92400000000000004</v>
      </c>
      <c r="Y177" s="338">
        <f t="shared" si="121"/>
        <v>0.92800000000000005</v>
      </c>
      <c r="Z177" s="338">
        <f t="shared" si="121"/>
        <v>0.93200000000000005</v>
      </c>
      <c r="AA177" s="338">
        <f t="shared" si="121"/>
        <v>0.93600000000000005</v>
      </c>
      <c r="AB177" s="338">
        <f t="shared" si="121"/>
        <v>0.94000000000000006</v>
      </c>
      <c r="AC177" s="338">
        <f t="shared" si="121"/>
        <v>0.94400000000000006</v>
      </c>
      <c r="AD177" s="338">
        <f t="shared" si="121"/>
        <v>0.94800000000000006</v>
      </c>
      <c r="AE177" s="338">
        <f t="shared" si="121"/>
        <v>0.95200000000000007</v>
      </c>
      <c r="AF177" s="338">
        <f t="shared" si="121"/>
        <v>0.95600000000000007</v>
      </c>
      <c r="AG177" s="337">
        <v>0.96</v>
      </c>
      <c r="AI177" s="305"/>
      <c r="AJ177" s="339" t="s">
        <v>1363</v>
      </c>
    </row>
    <row r="178" spans="1:36" s="58" customFormat="1" outlineLevel="1">
      <c r="A178" s="307" t="s">
        <v>1368</v>
      </c>
      <c r="B178" s="308" t="s">
        <v>462</v>
      </c>
      <c r="C178" s="337">
        <v>0.22</v>
      </c>
      <c r="D178" s="338">
        <f>-($C178-$AG178)/30+C178</f>
        <v>0.22666666666666666</v>
      </c>
      <c r="E178" s="338">
        <f t="shared" si="120"/>
        <v>0.23333333333333331</v>
      </c>
      <c r="F178" s="338">
        <f t="shared" si="120"/>
        <v>0.23999999999999996</v>
      </c>
      <c r="G178" s="338">
        <f t="shared" si="120"/>
        <v>0.24666666666666662</v>
      </c>
      <c r="H178" s="338">
        <f t="shared" si="120"/>
        <v>0.2533333333333333</v>
      </c>
      <c r="I178" s="338">
        <f t="shared" si="120"/>
        <v>0.25999999999999995</v>
      </c>
      <c r="J178" s="338">
        <f t="shared" si="120"/>
        <v>0.26666666666666661</v>
      </c>
      <c r="K178" s="338">
        <f t="shared" si="120"/>
        <v>0.27333333333333326</v>
      </c>
      <c r="L178" s="338">
        <f t="shared" si="120"/>
        <v>0.27999999999999992</v>
      </c>
      <c r="M178" s="338">
        <f t="shared" si="120"/>
        <v>0.28666666666666657</v>
      </c>
      <c r="N178" s="338">
        <f t="shared" si="120"/>
        <v>0.29333333333333322</v>
      </c>
      <c r="O178" s="338">
        <f t="shared" si="120"/>
        <v>0.29999999999999988</v>
      </c>
      <c r="P178" s="338">
        <f t="shared" si="120"/>
        <v>0.30666666666666653</v>
      </c>
      <c r="Q178" s="338">
        <f t="shared" si="120"/>
        <v>0.31333333333333319</v>
      </c>
      <c r="R178" s="338">
        <f t="shared" si="120"/>
        <v>0.31999999999999984</v>
      </c>
      <c r="S178" s="338">
        <f t="shared" si="120"/>
        <v>0.32666666666666649</v>
      </c>
      <c r="T178" s="338">
        <f t="shared" si="120"/>
        <v>0.33333333333333315</v>
      </c>
      <c r="U178" s="338">
        <f t="shared" si="121"/>
        <v>0.3399999999999998</v>
      </c>
      <c r="V178" s="338">
        <f t="shared" si="121"/>
        <v>0.34666666666666646</v>
      </c>
      <c r="W178" s="338">
        <f t="shared" si="121"/>
        <v>0.35333333333333311</v>
      </c>
      <c r="X178" s="338">
        <f t="shared" si="121"/>
        <v>0.35999999999999976</v>
      </c>
      <c r="Y178" s="338">
        <f t="shared" si="121"/>
        <v>0.36666666666666642</v>
      </c>
      <c r="Z178" s="338">
        <f t="shared" si="121"/>
        <v>0.37333333333333307</v>
      </c>
      <c r="AA178" s="338">
        <f t="shared" si="121"/>
        <v>0.37999999999999973</v>
      </c>
      <c r="AB178" s="338">
        <f t="shared" si="121"/>
        <v>0.38666666666666638</v>
      </c>
      <c r="AC178" s="338">
        <f t="shared" si="121"/>
        <v>0.39333333333333304</v>
      </c>
      <c r="AD178" s="338">
        <f t="shared" si="121"/>
        <v>0.39999999999999969</v>
      </c>
      <c r="AE178" s="338">
        <f t="shared" si="121"/>
        <v>0.40666666666666634</v>
      </c>
      <c r="AF178" s="338">
        <f t="shared" si="121"/>
        <v>0.413333333333333</v>
      </c>
      <c r="AG178" s="337">
        <v>0.42</v>
      </c>
      <c r="AI178" s="305"/>
      <c r="AJ178" s="339" t="s">
        <v>1363</v>
      </c>
    </row>
    <row r="179" spans="1:36" s="62" customFormat="1" outlineLevel="1">
      <c r="A179" s="311" t="s">
        <v>1369</v>
      </c>
      <c r="B179" s="312" t="s">
        <v>462</v>
      </c>
      <c r="C179" s="340">
        <f>1-C178</f>
        <v>0.78</v>
      </c>
      <c r="D179" s="340">
        <f t="shared" ref="D179:AG179" si="122">1-D178</f>
        <v>0.77333333333333332</v>
      </c>
      <c r="E179" s="340">
        <f t="shared" si="122"/>
        <v>0.76666666666666672</v>
      </c>
      <c r="F179" s="340">
        <f t="shared" si="122"/>
        <v>0.76</v>
      </c>
      <c r="G179" s="340">
        <f t="shared" si="122"/>
        <v>0.75333333333333341</v>
      </c>
      <c r="H179" s="340">
        <f t="shared" si="122"/>
        <v>0.7466666666666667</v>
      </c>
      <c r="I179" s="340">
        <f t="shared" si="122"/>
        <v>0.74</v>
      </c>
      <c r="J179" s="340">
        <f t="shared" si="122"/>
        <v>0.73333333333333339</v>
      </c>
      <c r="K179" s="340">
        <f t="shared" si="122"/>
        <v>0.72666666666666679</v>
      </c>
      <c r="L179" s="340">
        <f t="shared" si="122"/>
        <v>0.72000000000000008</v>
      </c>
      <c r="M179" s="340">
        <f t="shared" si="122"/>
        <v>0.71333333333333337</v>
      </c>
      <c r="N179" s="340">
        <f t="shared" si="122"/>
        <v>0.70666666666666678</v>
      </c>
      <c r="O179" s="340">
        <f t="shared" si="122"/>
        <v>0.70000000000000018</v>
      </c>
      <c r="P179" s="340">
        <f t="shared" si="122"/>
        <v>0.69333333333333347</v>
      </c>
      <c r="Q179" s="340">
        <f t="shared" si="122"/>
        <v>0.68666666666666676</v>
      </c>
      <c r="R179" s="340">
        <f t="shared" si="122"/>
        <v>0.68000000000000016</v>
      </c>
      <c r="S179" s="340">
        <f t="shared" si="122"/>
        <v>0.67333333333333356</v>
      </c>
      <c r="T179" s="340">
        <f t="shared" si="122"/>
        <v>0.66666666666666685</v>
      </c>
      <c r="U179" s="340">
        <f t="shared" si="122"/>
        <v>0.66000000000000014</v>
      </c>
      <c r="V179" s="340">
        <f t="shared" si="122"/>
        <v>0.65333333333333354</v>
      </c>
      <c r="W179" s="340">
        <f t="shared" si="122"/>
        <v>0.64666666666666694</v>
      </c>
      <c r="X179" s="340">
        <f t="shared" si="122"/>
        <v>0.64000000000000024</v>
      </c>
      <c r="Y179" s="340">
        <f t="shared" si="122"/>
        <v>0.63333333333333353</v>
      </c>
      <c r="Z179" s="340">
        <f t="shared" si="122"/>
        <v>0.62666666666666693</v>
      </c>
      <c r="AA179" s="340">
        <f t="shared" si="122"/>
        <v>0.62000000000000033</v>
      </c>
      <c r="AB179" s="340">
        <f t="shared" si="122"/>
        <v>0.61333333333333362</v>
      </c>
      <c r="AC179" s="340">
        <f t="shared" si="122"/>
        <v>0.60666666666666691</v>
      </c>
      <c r="AD179" s="340">
        <f t="shared" si="122"/>
        <v>0.60000000000000031</v>
      </c>
      <c r="AE179" s="340">
        <f t="shared" si="122"/>
        <v>0.59333333333333371</v>
      </c>
      <c r="AF179" s="340">
        <f t="shared" si="122"/>
        <v>0.586666666666667</v>
      </c>
      <c r="AG179" s="340">
        <f t="shared" si="122"/>
        <v>0.58000000000000007</v>
      </c>
      <c r="AI179" s="342"/>
      <c r="AJ179" s="341" t="s">
        <v>1363</v>
      </c>
    </row>
    <row r="180" spans="1:36" s="1" customFormat="1" outlineLevel="1">
      <c r="A180" t="s">
        <v>1370</v>
      </c>
      <c r="B180" s="302" t="s">
        <v>462</v>
      </c>
      <c r="C180" s="296">
        <v>0.95</v>
      </c>
      <c r="D180" s="317">
        <f t="shared" ref="D180:S195" si="123">-($C180-$AG180)/30+C180</f>
        <v>0.94499999999999995</v>
      </c>
      <c r="E180" s="317">
        <f t="shared" si="123"/>
        <v>0.94</v>
      </c>
      <c r="F180" s="317">
        <f t="shared" si="123"/>
        <v>0.93499999999999994</v>
      </c>
      <c r="G180" s="317">
        <f t="shared" si="123"/>
        <v>0.92999999999999994</v>
      </c>
      <c r="H180" s="317">
        <f t="shared" si="123"/>
        <v>0.92499999999999993</v>
      </c>
      <c r="I180" s="317">
        <f t="shared" si="123"/>
        <v>0.91999999999999993</v>
      </c>
      <c r="J180" s="317">
        <f t="shared" si="123"/>
        <v>0.91499999999999992</v>
      </c>
      <c r="K180" s="317">
        <f t="shared" si="123"/>
        <v>0.90999999999999992</v>
      </c>
      <c r="L180" s="317">
        <f t="shared" si="123"/>
        <v>0.90499999999999992</v>
      </c>
      <c r="M180" s="317">
        <f t="shared" si="123"/>
        <v>0.89999999999999991</v>
      </c>
      <c r="N180" s="317">
        <f t="shared" si="123"/>
        <v>0.89499999999999991</v>
      </c>
      <c r="O180" s="317">
        <f t="shared" si="123"/>
        <v>0.8899999999999999</v>
      </c>
      <c r="P180" s="317">
        <f t="shared" si="123"/>
        <v>0.8849999999999999</v>
      </c>
      <c r="Q180" s="317">
        <f t="shared" si="123"/>
        <v>0.87999999999999989</v>
      </c>
      <c r="R180" s="317">
        <f t="shared" si="123"/>
        <v>0.87499999999999989</v>
      </c>
      <c r="S180" s="317">
        <f t="shared" si="123"/>
        <v>0.86999999999999988</v>
      </c>
      <c r="T180" s="317">
        <f t="shared" ref="T180:AF194" si="124">-($C180-$AG180)/30+S180</f>
        <v>0.86499999999999988</v>
      </c>
      <c r="U180" s="317">
        <f t="shared" si="124"/>
        <v>0.85999999999999988</v>
      </c>
      <c r="V180" s="317">
        <f t="shared" si="124"/>
        <v>0.85499999999999987</v>
      </c>
      <c r="W180" s="317">
        <f t="shared" si="124"/>
        <v>0.84999999999999987</v>
      </c>
      <c r="X180" s="317">
        <f t="shared" si="124"/>
        <v>0.84499999999999986</v>
      </c>
      <c r="Y180" s="317">
        <f t="shared" si="124"/>
        <v>0.83999999999999986</v>
      </c>
      <c r="Z180" s="317">
        <f t="shared" si="124"/>
        <v>0.83499999999999985</v>
      </c>
      <c r="AA180" s="317">
        <f t="shared" si="124"/>
        <v>0.82999999999999985</v>
      </c>
      <c r="AB180" s="317">
        <f t="shared" si="124"/>
        <v>0.82499999999999984</v>
      </c>
      <c r="AC180" s="317">
        <f t="shared" si="124"/>
        <v>0.81999999999999984</v>
      </c>
      <c r="AD180" s="317">
        <f t="shared" si="124"/>
        <v>0.81499999999999984</v>
      </c>
      <c r="AE180" s="317">
        <f t="shared" si="124"/>
        <v>0.80999999999999983</v>
      </c>
      <c r="AF180" s="317">
        <f t="shared" si="124"/>
        <v>0.80499999999999983</v>
      </c>
      <c r="AG180" s="296">
        <v>0.8</v>
      </c>
      <c r="AI180" s="316"/>
      <c r="AJ180" s="211" t="s">
        <v>1363</v>
      </c>
    </row>
    <row r="181" spans="1:36" s="1" customFormat="1" outlineLevel="1">
      <c r="A181" t="s">
        <v>1371</v>
      </c>
      <c r="B181" s="302" t="s">
        <v>462</v>
      </c>
      <c r="C181" s="296">
        <v>0.05</v>
      </c>
      <c r="D181" s="317">
        <f t="shared" si="123"/>
        <v>5.5000000000000007E-2</v>
      </c>
      <c r="E181" s="317">
        <f t="shared" si="123"/>
        <v>6.0000000000000012E-2</v>
      </c>
      <c r="F181" s="317">
        <f t="shared" si="123"/>
        <v>6.5000000000000016E-2</v>
      </c>
      <c r="G181" s="317">
        <f t="shared" si="123"/>
        <v>7.0000000000000021E-2</v>
      </c>
      <c r="H181" s="317">
        <f t="shared" si="123"/>
        <v>7.5000000000000025E-2</v>
      </c>
      <c r="I181" s="317">
        <f t="shared" si="123"/>
        <v>8.0000000000000029E-2</v>
      </c>
      <c r="J181" s="317">
        <f t="shared" si="123"/>
        <v>8.5000000000000034E-2</v>
      </c>
      <c r="K181" s="317">
        <f t="shared" si="123"/>
        <v>9.0000000000000038E-2</v>
      </c>
      <c r="L181" s="317">
        <f t="shared" si="123"/>
        <v>9.5000000000000043E-2</v>
      </c>
      <c r="M181" s="317">
        <f t="shared" si="123"/>
        <v>0.10000000000000005</v>
      </c>
      <c r="N181" s="317">
        <f t="shared" si="123"/>
        <v>0.10500000000000005</v>
      </c>
      <c r="O181" s="317">
        <f t="shared" si="123"/>
        <v>0.11000000000000006</v>
      </c>
      <c r="P181" s="317">
        <f t="shared" si="123"/>
        <v>0.11500000000000006</v>
      </c>
      <c r="Q181" s="317">
        <f t="shared" si="123"/>
        <v>0.12000000000000006</v>
      </c>
      <c r="R181" s="317">
        <f t="shared" si="123"/>
        <v>0.12500000000000006</v>
      </c>
      <c r="S181" s="317">
        <f t="shared" si="123"/>
        <v>0.13000000000000006</v>
      </c>
      <c r="T181" s="317">
        <f t="shared" si="124"/>
        <v>0.13500000000000006</v>
      </c>
      <c r="U181" s="317">
        <f t="shared" si="124"/>
        <v>0.14000000000000007</v>
      </c>
      <c r="V181" s="317">
        <f t="shared" si="124"/>
        <v>0.14500000000000007</v>
      </c>
      <c r="W181" s="317">
        <f t="shared" si="124"/>
        <v>0.15000000000000008</v>
      </c>
      <c r="X181" s="317">
        <f t="shared" si="124"/>
        <v>0.15500000000000008</v>
      </c>
      <c r="Y181" s="317">
        <f t="shared" si="124"/>
        <v>0.16000000000000009</v>
      </c>
      <c r="Z181" s="317">
        <f t="shared" si="124"/>
        <v>0.16500000000000009</v>
      </c>
      <c r="AA181" s="317">
        <f t="shared" si="124"/>
        <v>0.1700000000000001</v>
      </c>
      <c r="AB181" s="317">
        <f t="shared" si="124"/>
        <v>0.1750000000000001</v>
      </c>
      <c r="AC181" s="317">
        <f t="shared" si="124"/>
        <v>0.1800000000000001</v>
      </c>
      <c r="AD181" s="317">
        <f t="shared" si="124"/>
        <v>0.18500000000000011</v>
      </c>
      <c r="AE181" s="317">
        <f t="shared" si="124"/>
        <v>0.19000000000000011</v>
      </c>
      <c r="AF181" s="317">
        <f t="shared" si="124"/>
        <v>0.19500000000000012</v>
      </c>
      <c r="AG181" s="296">
        <v>0.2</v>
      </c>
      <c r="AI181" s="435" t="s">
        <v>1506</v>
      </c>
      <c r="AJ181" s="211" t="s">
        <v>1363</v>
      </c>
    </row>
    <row r="182" spans="1:36" s="1" customFormat="1" outlineLevel="1">
      <c r="A182" t="s">
        <v>1372</v>
      </c>
      <c r="B182" s="302" t="s">
        <v>462</v>
      </c>
      <c r="C182" s="296">
        <v>0.15</v>
      </c>
      <c r="D182" s="317">
        <f t="shared" si="123"/>
        <v>0.15633333333333332</v>
      </c>
      <c r="E182" s="317">
        <f t="shared" si="123"/>
        <v>0.16266666666666665</v>
      </c>
      <c r="F182" s="317">
        <f t="shared" si="123"/>
        <v>0.16899999999999998</v>
      </c>
      <c r="G182" s="317">
        <f t="shared" si="123"/>
        <v>0.17533333333333331</v>
      </c>
      <c r="H182" s="317">
        <f t="shared" si="123"/>
        <v>0.18166666666666664</v>
      </c>
      <c r="I182" s="317">
        <f t="shared" si="123"/>
        <v>0.18799999999999997</v>
      </c>
      <c r="J182" s="317">
        <f t="shared" si="123"/>
        <v>0.1943333333333333</v>
      </c>
      <c r="K182" s="317">
        <f t="shared" si="123"/>
        <v>0.20066666666666663</v>
      </c>
      <c r="L182" s="317">
        <f t="shared" si="123"/>
        <v>0.20699999999999996</v>
      </c>
      <c r="M182" s="317">
        <f t="shared" si="123"/>
        <v>0.21333333333333329</v>
      </c>
      <c r="N182" s="317">
        <f t="shared" si="123"/>
        <v>0.21966666666666662</v>
      </c>
      <c r="O182" s="317">
        <f t="shared" si="123"/>
        <v>0.22599999999999995</v>
      </c>
      <c r="P182" s="317">
        <f t="shared" si="123"/>
        <v>0.23233333333333328</v>
      </c>
      <c r="Q182" s="317">
        <f t="shared" si="123"/>
        <v>0.23866666666666661</v>
      </c>
      <c r="R182" s="317">
        <f t="shared" si="123"/>
        <v>0.24499999999999994</v>
      </c>
      <c r="S182" s="317">
        <f t="shared" si="123"/>
        <v>0.2513333333333333</v>
      </c>
      <c r="T182" s="317">
        <f t="shared" si="124"/>
        <v>0.25766666666666665</v>
      </c>
      <c r="U182" s="317">
        <f t="shared" si="124"/>
        <v>0.26400000000000001</v>
      </c>
      <c r="V182" s="317">
        <f t="shared" si="124"/>
        <v>0.27033333333333337</v>
      </c>
      <c r="W182" s="317">
        <f t="shared" si="124"/>
        <v>0.27666666666666673</v>
      </c>
      <c r="X182" s="317">
        <f t="shared" si="124"/>
        <v>0.28300000000000008</v>
      </c>
      <c r="Y182" s="317">
        <f t="shared" si="124"/>
        <v>0.28933333333333344</v>
      </c>
      <c r="Z182" s="317">
        <f t="shared" si="124"/>
        <v>0.2956666666666668</v>
      </c>
      <c r="AA182" s="317">
        <f t="shared" si="124"/>
        <v>0.30200000000000016</v>
      </c>
      <c r="AB182" s="317">
        <f t="shared" si="124"/>
        <v>0.30833333333333351</v>
      </c>
      <c r="AC182" s="317">
        <f t="shared" si="124"/>
        <v>0.31466666666666687</v>
      </c>
      <c r="AD182" s="317">
        <f t="shared" si="124"/>
        <v>0.32100000000000023</v>
      </c>
      <c r="AE182" s="317">
        <f t="shared" si="124"/>
        <v>0.32733333333333359</v>
      </c>
      <c r="AF182" s="317">
        <f t="shared" si="124"/>
        <v>0.33366666666666694</v>
      </c>
      <c r="AG182" s="296">
        <v>0.34</v>
      </c>
      <c r="AI182" s="316"/>
      <c r="AJ182" s="211" t="s">
        <v>1363</v>
      </c>
    </row>
    <row r="183" spans="1:36" s="1" customFormat="1" outlineLevel="1">
      <c r="A183" t="s">
        <v>1373</v>
      </c>
      <c r="B183" s="302" t="s">
        <v>462</v>
      </c>
      <c r="C183" s="296">
        <v>0.85</v>
      </c>
      <c r="D183" s="317">
        <f t="shared" si="123"/>
        <v>0.84366666666666668</v>
      </c>
      <c r="E183" s="317">
        <f t="shared" si="123"/>
        <v>0.83733333333333337</v>
      </c>
      <c r="F183" s="317">
        <f t="shared" si="123"/>
        <v>0.83100000000000007</v>
      </c>
      <c r="G183" s="317">
        <f t="shared" si="123"/>
        <v>0.82466666666666677</v>
      </c>
      <c r="H183" s="317">
        <f t="shared" si="123"/>
        <v>0.81833333333333347</v>
      </c>
      <c r="I183" s="317">
        <f t="shared" si="123"/>
        <v>0.81200000000000017</v>
      </c>
      <c r="J183" s="317">
        <f t="shared" si="123"/>
        <v>0.80566666666666686</v>
      </c>
      <c r="K183" s="317">
        <f t="shared" si="123"/>
        <v>0.79933333333333356</v>
      </c>
      <c r="L183" s="317">
        <f t="shared" si="123"/>
        <v>0.79300000000000026</v>
      </c>
      <c r="M183" s="317">
        <f t="shared" si="123"/>
        <v>0.78666666666666696</v>
      </c>
      <c r="N183" s="317">
        <f t="shared" si="123"/>
        <v>0.78033333333333366</v>
      </c>
      <c r="O183" s="317">
        <f t="shared" si="123"/>
        <v>0.77400000000000035</v>
      </c>
      <c r="P183" s="317">
        <f t="shared" si="123"/>
        <v>0.76766666666666705</v>
      </c>
      <c r="Q183" s="317">
        <f t="shared" si="123"/>
        <v>0.76133333333333375</v>
      </c>
      <c r="R183" s="317">
        <f t="shared" si="123"/>
        <v>0.75500000000000045</v>
      </c>
      <c r="S183" s="317">
        <f t="shared" si="123"/>
        <v>0.74866666666666715</v>
      </c>
      <c r="T183" s="317">
        <f t="shared" si="124"/>
        <v>0.74233333333333384</v>
      </c>
      <c r="U183" s="317">
        <f t="shared" si="124"/>
        <v>0.73600000000000054</v>
      </c>
      <c r="V183" s="317">
        <f t="shared" si="124"/>
        <v>0.72966666666666724</v>
      </c>
      <c r="W183" s="317">
        <f t="shared" si="124"/>
        <v>0.72333333333333394</v>
      </c>
      <c r="X183" s="317">
        <f t="shared" si="124"/>
        <v>0.71700000000000064</v>
      </c>
      <c r="Y183" s="317">
        <f t="shared" si="124"/>
        <v>0.71066666666666733</v>
      </c>
      <c r="Z183" s="317">
        <f t="shared" si="124"/>
        <v>0.70433333333333403</v>
      </c>
      <c r="AA183" s="317">
        <f t="shared" si="124"/>
        <v>0.69800000000000073</v>
      </c>
      <c r="AB183" s="317">
        <f t="shared" si="124"/>
        <v>0.69166666666666743</v>
      </c>
      <c r="AC183" s="317">
        <f t="shared" si="124"/>
        <v>0.68533333333333413</v>
      </c>
      <c r="AD183" s="317">
        <f t="shared" si="124"/>
        <v>0.67900000000000083</v>
      </c>
      <c r="AE183" s="317">
        <f t="shared" si="124"/>
        <v>0.67266666666666752</v>
      </c>
      <c r="AF183" s="317">
        <f t="shared" si="124"/>
        <v>0.66633333333333422</v>
      </c>
      <c r="AG183" s="296">
        <v>0.66</v>
      </c>
      <c r="AI183" s="316"/>
      <c r="AJ183" s="211" t="s">
        <v>1363</v>
      </c>
    </row>
    <row r="184" spans="1:36" s="1" customFormat="1" outlineLevel="1">
      <c r="A184" t="s">
        <v>1374</v>
      </c>
      <c r="B184" s="302" t="s">
        <v>462</v>
      </c>
      <c r="C184" s="296">
        <v>0</v>
      </c>
      <c r="D184" s="317">
        <f t="shared" si="123"/>
        <v>0</v>
      </c>
      <c r="E184" s="317">
        <f t="shared" si="123"/>
        <v>0</v>
      </c>
      <c r="F184" s="317">
        <f t="shared" si="123"/>
        <v>0</v>
      </c>
      <c r="G184" s="317">
        <f t="shared" si="123"/>
        <v>0</v>
      </c>
      <c r="H184" s="317">
        <f t="shared" si="123"/>
        <v>0</v>
      </c>
      <c r="I184" s="317">
        <f t="shared" si="123"/>
        <v>0</v>
      </c>
      <c r="J184" s="317">
        <f t="shared" si="123"/>
        <v>0</v>
      </c>
      <c r="K184" s="317">
        <f t="shared" si="123"/>
        <v>0</v>
      </c>
      <c r="L184" s="317">
        <f t="shared" si="123"/>
        <v>0</v>
      </c>
      <c r="M184" s="317">
        <f t="shared" si="123"/>
        <v>0</v>
      </c>
      <c r="N184" s="317">
        <f t="shared" si="123"/>
        <v>0</v>
      </c>
      <c r="O184" s="317">
        <f t="shared" si="123"/>
        <v>0</v>
      </c>
      <c r="P184" s="317">
        <f t="shared" si="123"/>
        <v>0</v>
      </c>
      <c r="Q184" s="317">
        <f t="shared" si="123"/>
        <v>0</v>
      </c>
      <c r="R184" s="317">
        <f t="shared" si="123"/>
        <v>0</v>
      </c>
      <c r="S184" s="317">
        <f t="shared" si="123"/>
        <v>0</v>
      </c>
      <c r="T184" s="317">
        <f t="shared" si="124"/>
        <v>0</v>
      </c>
      <c r="U184" s="317">
        <f t="shared" si="124"/>
        <v>0</v>
      </c>
      <c r="V184" s="317">
        <f t="shared" si="124"/>
        <v>0</v>
      </c>
      <c r="W184" s="317">
        <f t="shared" si="124"/>
        <v>0</v>
      </c>
      <c r="X184" s="317">
        <f t="shared" si="124"/>
        <v>0</v>
      </c>
      <c r="Y184" s="317">
        <f t="shared" si="124"/>
        <v>0</v>
      </c>
      <c r="Z184" s="317">
        <f t="shared" si="124"/>
        <v>0</v>
      </c>
      <c r="AA184" s="317">
        <f t="shared" si="124"/>
        <v>0</v>
      </c>
      <c r="AB184" s="317">
        <f t="shared" si="124"/>
        <v>0</v>
      </c>
      <c r="AC184" s="317">
        <f t="shared" si="124"/>
        <v>0</v>
      </c>
      <c r="AD184" s="317">
        <f t="shared" si="124"/>
        <v>0</v>
      </c>
      <c r="AE184" s="317">
        <f t="shared" si="124"/>
        <v>0</v>
      </c>
      <c r="AF184" s="317">
        <f t="shared" si="124"/>
        <v>0</v>
      </c>
      <c r="AG184" s="296">
        <v>0</v>
      </c>
      <c r="AI184" s="316"/>
      <c r="AJ184" s="211" t="s">
        <v>1363</v>
      </c>
    </row>
    <row r="185" spans="1:36" s="1" customFormat="1" outlineLevel="1">
      <c r="A185" t="s">
        <v>1375</v>
      </c>
      <c r="B185" s="302" t="s">
        <v>462</v>
      </c>
      <c r="C185" s="296">
        <v>1</v>
      </c>
      <c r="D185" s="317">
        <f t="shared" si="123"/>
        <v>1</v>
      </c>
      <c r="E185" s="317">
        <f t="shared" si="123"/>
        <v>1</v>
      </c>
      <c r="F185" s="317">
        <f t="shared" si="123"/>
        <v>1</v>
      </c>
      <c r="G185" s="317">
        <f t="shared" si="123"/>
        <v>1</v>
      </c>
      <c r="H185" s="317">
        <f t="shared" si="123"/>
        <v>1</v>
      </c>
      <c r="I185" s="317">
        <f t="shared" si="123"/>
        <v>1</v>
      </c>
      <c r="J185" s="317">
        <f t="shared" si="123"/>
        <v>1</v>
      </c>
      <c r="K185" s="317">
        <f t="shared" si="123"/>
        <v>1</v>
      </c>
      <c r="L185" s="317">
        <f t="shared" si="123"/>
        <v>1</v>
      </c>
      <c r="M185" s="317">
        <f t="shared" si="123"/>
        <v>1</v>
      </c>
      <c r="N185" s="317">
        <f t="shared" si="123"/>
        <v>1</v>
      </c>
      <c r="O185" s="317">
        <f t="shared" si="123"/>
        <v>1</v>
      </c>
      <c r="P185" s="317">
        <f t="shared" si="123"/>
        <v>1</v>
      </c>
      <c r="Q185" s="317">
        <f t="shared" si="123"/>
        <v>1</v>
      </c>
      <c r="R185" s="317">
        <f t="shared" si="123"/>
        <v>1</v>
      </c>
      <c r="S185" s="317">
        <f t="shared" si="123"/>
        <v>1</v>
      </c>
      <c r="T185" s="317">
        <f t="shared" si="124"/>
        <v>1</v>
      </c>
      <c r="U185" s="317">
        <f t="shared" si="124"/>
        <v>1</v>
      </c>
      <c r="V185" s="317">
        <f t="shared" si="124"/>
        <v>1</v>
      </c>
      <c r="W185" s="317">
        <f t="shared" si="124"/>
        <v>1</v>
      </c>
      <c r="X185" s="317">
        <f t="shared" si="124"/>
        <v>1</v>
      </c>
      <c r="Y185" s="317">
        <f t="shared" si="124"/>
        <v>1</v>
      </c>
      <c r="Z185" s="317">
        <f t="shared" si="124"/>
        <v>1</v>
      </c>
      <c r="AA185" s="317">
        <f t="shared" si="124"/>
        <v>1</v>
      </c>
      <c r="AB185" s="317">
        <f t="shared" si="124"/>
        <v>1</v>
      </c>
      <c r="AC185" s="317">
        <f t="shared" si="124"/>
        <v>1</v>
      </c>
      <c r="AD185" s="317">
        <f t="shared" si="124"/>
        <v>1</v>
      </c>
      <c r="AE185" s="317">
        <f t="shared" si="124"/>
        <v>1</v>
      </c>
      <c r="AF185" s="317">
        <f t="shared" si="124"/>
        <v>1</v>
      </c>
      <c r="AG185" s="296">
        <v>1</v>
      </c>
      <c r="AI185" s="316"/>
      <c r="AJ185" s="211" t="s">
        <v>1363</v>
      </c>
    </row>
    <row r="186" spans="1:36" s="1" customFormat="1" outlineLevel="1">
      <c r="A186" t="s">
        <v>1376</v>
      </c>
      <c r="B186" s="302" t="s">
        <v>462</v>
      </c>
      <c r="C186" s="296">
        <v>0.8</v>
      </c>
      <c r="D186" s="317">
        <f t="shared" si="123"/>
        <v>0.80333333333333334</v>
      </c>
      <c r="E186" s="317">
        <f t="shared" si="123"/>
        <v>0.80666666666666664</v>
      </c>
      <c r="F186" s="317">
        <f t="shared" si="123"/>
        <v>0.80999999999999994</v>
      </c>
      <c r="G186" s="317">
        <f t="shared" si="123"/>
        <v>0.81333333333333324</v>
      </c>
      <c r="H186" s="317">
        <f t="shared" si="123"/>
        <v>0.81666666666666654</v>
      </c>
      <c r="I186" s="317">
        <f t="shared" si="123"/>
        <v>0.81999999999999984</v>
      </c>
      <c r="J186" s="317">
        <f t="shared" si="123"/>
        <v>0.82333333333333314</v>
      </c>
      <c r="K186" s="317">
        <f t="shared" si="123"/>
        <v>0.82666666666666644</v>
      </c>
      <c r="L186" s="317">
        <f t="shared" si="123"/>
        <v>0.82999999999999974</v>
      </c>
      <c r="M186" s="317">
        <f t="shared" si="123"/>
        <v>0.83333333333333304</v>
      </c>
      <c r="N186" s="317">
        <f t="shared" si="123"/>
        <v>0.83666666666666634</v>
      </c>
      <c r="O186" s="317">
        <f t="shared" si="123"/>
        <v>0.83999999999999964</v>
      </c>
      <c r="P186" s="317">
        <f t="shared" si="123"/>
        <v>0.84333333333333294</v>
      </c>
      <c r="Q186" s="317">
        <f t="shared" si="123"/>
        <v>0.84666666666666623</v>
      </c>
      <c r="R186" s="317">
        <f t="shared" si="123"/>
        <v>0.84999999999999953</v>
      </c>
      <c r="S186" s="317">
        <f t="shared" si="123"/>
        <v>0.85333333333333283</v>
      </c>
      <c r="T186" s="317">
        <f t="shared" si="124"/>
        <v>0.85666666666666613</v>
      </c>
      <c r="U186" s="317">
        <f t="shared" si="124"/>
        <v>0.85999999999999943</v>
      </c>
      <c r="V186" s="317">
        <f t="shared" si="124"/>
        <v>0.86333333333333273</v>
      </c>
      <c r="W186" s="317">
        <f t="shared" si="124"/>
        <v>0.86666666666666603</v>
      </c>
      <c r="X186" s="317">
        <f t="shared" si="124"/>
        <v>0.86999999999999933</v>
      </c>
      <c r="Y186" s="317">
        <f t="shared" si="124"/>
        <v>0.87333333333333263</v>
      </c>
      <c r="Z186" s="317">
        <f t="shared" si="124"/>
        <v>0.87666666666666593</v>
      </c>
      <c r="AA186" s="317">
        <f t="shared" si="124"/>
        <v>0.87999999999999923</v>
      </c>
      <c r="AB186" s="317">
        <f t="shared" si="124"/>
        <v>0.88333333333333253</v>
      </c>
      <c r="AC186" s="317">
        <f t="shared" si="124"/>
        <v>0.88666666666666583</v>
      </c>
      <c r="AD186" s="317">
        <f t="shared" si="124"/>
        <v>0.88999999999999913</v>
      </c>
      <c r="AE186" s="317">
        <f t="shared" si="124"/>
        <v>0.89333333333333242</v>
      </c>
      <c r="AF186" s="317">
        <f t="shared" si="124"/>
        <v>0.89666666666666572</v>
      </c>
      <c r="AG186" s="296">
        <v>0.9</v>
      </c>
      <c r="AI186" s="316"/>
      <c r="AJ186" s="211" t="s">
        <v>1363</v>
      </c>
    </row>
    <row r="187" spans="1:36" s="1" customFormat="1" outlineLevel="1">
      <c r="A187" t="s">
        <v>1377</v>
      </c>
      <c r="B187" s="302" t="s">
        <v>462</v>
      </c>
      <c r="C187" s="296">
        <v>0.2</v>
      </c>
      <c r="D187" s="317">
        <f t="shared" si="123"/>
        <v>0.19666666666666668</v>
      </c>
      <c r="E187" s="317">
        <f t="shared" si="123"/>
        <v>0.19333333333333336</v>
      </c>
      <c r="F187" s="317">
        <f t="shared" si="123"/>
        <v>0.19000000000000003</v>
      </c>
      <c r="G187" s="317">
        <f t="shared" si="123"/>
        <v>0.1866666666666667</v>
      </c>
      <c r="H187" s="317">
        <f t="shared" si="123"/>
        <v>0.18333333333333338</v>
      </c>
      <c r="I187" s="317">
        <f t="shared" si="123"/>
        <v>0.18000000000000005</v>
      </c>
      <c r="J187" s="317">
        <f t="shared" si="123"/>
        <v>0.17666666666666672</v>
      </c>
      <c r="K187" s="317">
        <f t="shared" si="123"/>
        <v>0.17333333333333339</v>
      </c>
      <c r="L187" s="317">
        <f t="shared" si="123"/>
        <v>0.17000000000000007</v>
      </c>
      <c r="M187" s="317">
        <f t="shared" si="123"/>
        <v>0.16666666666666674</v>
      </c>
      <c r="N187" s="317">
        <f t="shared" si="123"/>
        <v>0.16333333333333341</v>
      </c>
      <c r="O187" s="317">
        <f t="shared" si="123"/>
        <v>0.16000000000000009</v>
      </c>
      <c r="P187" s="317">
        <f t="shared" si="123"/>
        <v>0.15666666666666676</v>
      </c>
      <c r="Q187" s="317">
        <f t="shared" si="123"/>
        <v>0.15333333333333343</v>
      </c>
      <c r="R187" s="317">
        <f t="shared" si="123"/>
        <v>0.15000000000000011</v>
      </c>
      <c r="S187" s="317">
        <f t="shared" si="123"/>
        <v>0.14666666666666678</v>
      </c>
      <c r="T187" s="317">
        <f t="shared" si="124"/>
        <v>0.14333333333333345</v>
      </c>
      <c r="U187" s="317">
        <f t="shared" si="124"/>
        <v>0.14000000000000012</v>
      </c>
      <c r="V187" s="317">
        <f t="shared" si="124"/>
        <v>0.1366666666666668</v>
      </c>
      <c r="W187" s="317">
        <f t="shared" si="124"/>
        <v>0.13333333333333347</v>
      </c>
      <c r="X187" s="317">
        <f t="shared" si="124"/>
        <v>0.13000000000000014</v>
      </c>
      <c r="Y187" s="317">
        <f t="shared" si="124"/>
        <v>0.12666666666666682</v>
      </c>
      <c r="Z187" s="317">
        <f t="shared" si="124"/>
        <v>0.12333333333333349</v>
      </c>
      <c r="AA187" s="317">
        <f t="shared" si="124"/>
        <v>0.12000000000000016</v>
      </c>
      <c r="AB187" s="317">
        <f t="shared" si="124"/>
        <v>0.11666666666666684</v>
      </c>
      <c r="AC187" s="317">
        <f t="shared" si="124"/>
        <v>0.11333333333333351</v>
      </c>
      <c r="AD187" s="317">
        <f t="shared" si="124"/>
        <v>0.11000000000000018</v>
      </c>
      <c r="AE187" s="317">
        <f t="shared" si="124"/>
        <v>0.10666666666666685</v>
      </c>
      <c r="AF187" s="317">
        <f t="shared" si="124"/>
        <v>0.10333333333333353</v>
      </c>
      <c r="AG187" s="296">
        <v>0.1</v>
      </c>
      <c r="AI187" s="316"/>
      <c r="AJ187" s="211" t="s">
        <v>1363</v>
      </c>
    </row>
    <row r="188" spans="1:36" s="1" customFormat="1" outlineLevel="1">
      <c r="A188" t="s">
        <v>1378</v>
      </c>
      <c r="B188" s="302" t="s">
        <v>462</v>
      </c>
      <c r="C188" s="296">
        <v>0.95</v>
      </c>
      <c r="D188" s="317">
        <f t="shared" si="123"/>
        <v>0.94866666666666666</v>
      </c>
      <c r="E188" s="317">
        <f t="shared" si="123"/>
        <v>0.94733333333333336</v>
      </c>
      <c r="F188" s="317">
        <f t="shared" si="123"/>
        <v>0.94600000000000006</v>
      </c>
      <c r="G188" s="317">
        <f t="shared" si="123"/>
        <v>0.94466666666666677</v>
      </c>
      <c r="H188" s="317">
        <f t="shared" si="123"/>
        <v>0.94333333333333347</v>
      </c>
      <c r="I188" s="317">
        <f t="shared" si="123"/>
        <v>0.94200000000000017</v>
      </c>
      <c r="J188" s="317">
        <f t="shared" si="123"/>
        <v>0.94066666666666687</v>
      </c>
      <c r="K188" s="317">
        <f t="shared" si="123"/>
        <v>0.93933333333333358</v>
      </c>
      <c r="L188" s="317">
        <f t="shared" si="123"/>
        <v>0.93800000000000028</v>
      </c>
      <c r="M188" s="317">
        <f t="shared" si="123"/>
        <v>0.93666666666666698</v>
      </c>
      <c r="N188" s="317">
        <f t="shared" si="123"/>
        <v>0.93533333333333368</v>
      </c>
      <c r="O188" s="317">
        <f t="shared" si="123"/>
        <v>0.93400000000000039</v>
      </c>
      <c r="P188" s="317">
        <f t="shared" si="123"/>
        <v>0.93266666666666709</v>
      </c>
      <c r="Q188" s="317">
        <f t="shared" si="123"/>
        <v>0.93133333333333379</v>
      </c>
      <c r="R188" s="317">
        <f t="shared" si="123"/>
        <v>0.93000000000000049</v>
      </c>
      <c r="S188" s="317">
        <f t="shared" si="123"/>
        <v>0.9286666666666672</v>
      </c>
      <c r="T188" s="317">
        <f t="shared" si="124"/>
        <v>0.9273333333333339</v>
      </c>
      <c r="U188" s="317">
        <f t="shared" si="124"/>
        <v>0.9260000000000006</v>
      </c>
      <c r="V188" s="317">
        <f t="shared" si="124"/>
        <v>0.9246666666666673</v>
      </c>
      <c r="W188" s="317">
        <f t="shared" si="124"/>
        <v>0.92333333333333401</v>
      </c>
      <c r="X188" s="317">
        <f t="shared" si="124"/>
        <v>0.92200000000000071</v>
      </c>
      <c r="Y188" s="317">
        <f t="shared" si="124"/>
        <v>0.92066666666666741</v>
      </c>
      <c r="Z188" s="317">
        <f t="shared" si="124"/>
        <v>0.91933333333333411</v>
      </c>
      <c r="AA188" s="317">
        <f t="shared" si="124"/>
        <v>0.91800000000000082</v>
      </c>
      <c r="AB188" s="317">
        <f t="shared" si="124"/>
        <v>0.91666666666666752</v>
      </c>
      <c r="AC188" s="317">
        <f t="shared" si="124"/>
        <v>0.91533333333333422</v>
      </c>
      <c r="AD188" s="317">
        <f t="shared" si="124"/>
        <v>0.91400000000000092</v>
      </c>
      <c r="AE188" s="317">
        <f t="shared" si="124"/>
        <v>0.91266666666666763</v>
      </c>
      <c r="AF188" s="317">
        <f t="shared" si="124"/>
        <v>0.91133333333333433</v>
      </c>
      <c r="AG188" s="296">
        <v>0.91</v>
      </c>
      <c r="AI188" s="316"/>
      <c r="AJ188" s="211" t="s">
        <v>1363</v>
      </c>
    </row>
    <row r="189" spans="1:36" s="1" customFormat="1" outlineLevel="1">
      <c r="A189" t="s">
        <v>1379</v>
      </c>
      <c r="B189" s="302" t="s">
        <v>462</v>
      </c>
      <c r="C189" s="296">
        <v>0.05</v>
      </c>
      <c r="D189" s="317">
        <f t="shared" si="123"/>
        <v>5.1333333333333335E-2</v>
      </c>
      <c r="E189" s="317">
        <f t="shared" si="123"/>
        <v>5.2666666666666667E-2</v>
      </c>
      <c r="F189" s="317">
        <f t="shared" si="123"/>
        <v>5.3999999999999999E-2</v>
      </c>
      <c r="G189" s="317">
        <f t="shared" si="123"/>
        <v>5.5333333333333332E-2</v>
      </c>
      <c r="H189" s="317">
        <f t="shared" si="123"/>
        <v>5.6666666666666664E-2</v>
      </c>
      <c r="I189" s="317">
        <f t="shared" si="123"/>
        <v>5.7999999999999996E-2</v>
      </c>
      <c r="J189" s="317">
        <f t="shared" si="123"/>
        <v>5.9333333333333328E-2</v>
      </c>
      <c r="K189" s="317">
        <f t="shared" si="123"/>
        <v>6.066666666666666E-2</v>
      </c>
      <c r="L189" s="317">
        <f t="shared" si="123"/>
        <v>6.1999999999999993E-2</v>
      </c>
      <c r="M189" s="317">
        <f t="shared" si="123"/>
        <v>6.3333333333333325E-2</v>
      </c>
      <c r="N189" s="317">
        <f t="shared" si="123"/>
        <v>6.4666666666666664E-2</v>
      </c>
      <c r="O189" s="317">
        <f t="shared" si="123"/>
        <v>6.6000000000000003E-2</v>
      </c>
      <c r="P189" s="317">
        <f t="shared" si="123"/>
        <v>6.7333333333333342E-2</v>
      </c>
      <c r="Q189" s="317">
        <f t="shared" si="123"/>
        <v>6.8666666666666681E-2</v>
      </c>
      <c r="R189" s="317">
        <f t="shared" si="123"/>
        <v>7.0000000000000021E-2</v>
      </c>
      <c r="S189" s="317">
        <f t="shared" si="123"/>
        <v>7.133333333333336E-2</v>
      </c>
      <c r="T189" s="317">
        <f t="shared" si="124"/>
        <v>7.2666666666666699E-2</v>
      </c>
      <c r="U189" s="317">
        <f t="shared" si="124"/>
        <v>7.4000000000000038E-2</v>
      </c>
      <c r="V189" s="317">
        <f t="shared" si="124"/>
        <v>7.5333333333333377E-2</v>
      </c>
      <c r="W189" s="317">
        <f t="shared" si="124"/>
        <v>7.6666666666666716E-2</v>
      </c>
      <c r="X189" s="317">
        <f t="shared" si="124"/>
        <v>7.8000000000000055E-2</v>
      </c>
      <c r="Y189" s="317">
        <f t="shared" si="124"/>
        <v>7.9333333333333395E-2</v>
      </c>
      <c r="Z189" s="317">
        <f t="shared" si="124"/>
        <v>8.0666666666666734E-2</v>
      </c>
      <c r="AA189" s="317">
        <f t="shared" si="124"/>
        <v>8.2000000000000073E-2</v>
      </c>
      <c r="AB189" s="317">
        <f t="shared" si="124"/>
        <v>8.3333333333333412E-2</v>
      </c>
      <c r="AC189" s="317">
        <f t="shared" si="124"/>
        <v>8.4666666666666751E-2</v>
      </c>
      <c r="AD189" s="317">
        <f t="shared" si="124"/>
        <v>8.600000000000009E-2</v>
      </c>
      <c r="AE189" s="317">
        <f t="shared" si="124"/>
        <v>8.7333333333333429E-2</v>
      </c>
      <c r="AF189" s="317">
        <f t="shared" si="124"/>
        <v>8.8666666666666769E-2</v>
      </c>
      <c r="AG189" s="296">
        <v>0.09</v>
      </c>
      <c r="AI189" s="316"/>
      <c r="AJ189" s="211" t="s">
        <v>1363</v>
      </c>
    </row>
    <row r="190" spans="1:36" s="1" customFormat="1" outlineLevel="1">
      <c r="A190" t="s">
        <v>1380</v>
      </c>
      <c r="B190" s="302"/>
      <c r="C190" s="296">
        <v>0.27</v>
      </c>
      <c r="D190" s="317">
        <f t="shared" si="123"/>
        <v>0.26600000000000001</v>
      </c>
      <c r="E190" s="317">
        <f t="shared" si="123"/>
        <v>0.26200000000000001</v>
      </c>
      <c r="F190" s="317">
        <f t="shared" si="123"/>
        <v>0.25800000000000001</v>
      </c>
      <c r="G190" s="317">
        <f t="shared" si="123"/>
        <v>0.254</v>
      </c>
      <c r="H190" s="317">
        <f t="shared" si="123"/>
        <v>0.25</v>
      </c>
      <c r="I190" s="317">
        <f t="shared" si="123"/>
        <v>0.246</v>
      </c>
      <c r="J190" s="317">
        <f t="shared" si="123"/>
        <v>0.24199999999999999</v>
      </c>
      <c r="K190" s="317">
        <f t="shared" si="123"/>
        <v>0.23799999999999999</v>
      </c>
      <c r="L190" s="317">
        <f t="shared" si="123"/>
        <v>0.23399999999999999</v>
      </c>
      <c r="M190" s="317">
        <f t="shared" si="123"/>
        <v>0.22999999999999998</v>
      </c>
      <c r="N190" s="317">
        <f t="shared" si="123"/>
        <v>0.22599999999999998</v>
      </c>
      <c r="O190" s="317">
        <f t="shared" si="123"/>
        <v>0.22199999999999998</v>
      </c>
      <c r="P190" s="317">
        <f t="shared" si="123"/>
        <v>0.21799999999999997</v>
      </c>
      <c r="Q190" s="317">
        <f t="shared" si="123"/>
        <v>0.21399999999999997</v>
      </c>
      <c r="R190" s="317">
        <f t="shared" si="123"/>
        <v>0.20999999999999996</v>
      </c>
      <c r="S190" s="317">
        <f t="shared" si="123"/>
        <v>0.20599999999999996</v>
      </c>
      <c r="T190" s="317">
        <f t="shared" si="124"/>
        <v>0.20199999999999996</v>
      </c>
      <c r="U190" s="317">
        <f t="shared" si="124"/>
        <v>0.19799999999999995</v>
      </c>
      <c r="V190" s="317">
        <f t="shared" si="124"/>
        <v>0.19399999999999995</v>
      </c>
      <c r="W190" s="317">
        <f t="shared" si="124"/>
        <v>0.18999999999999995</v>
      </c>
      <c r="X190" s="317">
        <f t="shared" si="124"/>
        <v>0.18599999999999994</v>
      </c>
      <c r="Y190" s="317">
        <f t="shared" si="124"/>
        <v>0.18199999999999994</v>
      </c>
      <c r="Z190" s="317">
        <f t="shared" si="124"/>
        <v>0.17799999999999994</v>
      </c>
      <c r="AA190" s="317">
        <f t="shared" si="124"/>
        <v>0.17399999999999993</v>
      </c>
      <c r="AB190" s="317">
        <f t="shared" si="124"/>
        <v>0.16999999999999993</v>
      </c>
      <c r="AC190" s="317">
        <f t="shared" si="124"/>
        <v>0.16599999999999993</v>
      </c>
      <c r="AD190" s="317">
        <f t="shared" si="124"/>
        <v>0.16199999999999992</v>
      </c>
      <c r="AE190" s="317">
        <f t="shared" si="124"/>
        <v>0.15799999999999992</v>
      </c>
      <c r="AF190" s="317">
        <f t="shared" si="124"/>
        <v>0.15399999999999991</v>
      </c>
      <c r="AG190" s="296">
        <v>0.15</v>
      </c>
      <c r="AI190" s="316"/>
      <c r="AJ190" s="211"/>
    </row>
    <row r="191" spans="1:36" s="67" customFormat="1" outlineLevel="1">
      <c r="A191" s="345" t="s">
        <v>1381</v>
      </c>
      <c r="B191" s="308" t="s">
        <v>462</v>
      </c>
      <c r="C191" s="337">
        <v>0.16</v>
      </c>
      <c r="D191" s="338">
        <f t="shared" si="123"/>
        <v>0.16533333333333333</v>
      </c>
      <c r="E191" s="338">
        <f t="shared" si="123"/>
        <v>0.17066666666666666</v>
      </c>
      <c r="F191" s="338">
        <f t="shared" si="123"/>
        <v>0.17599999999999999</v>
      </c>
      <c r="G191" s="338">
        <f t="shared" si="123"/>
        <v>0.18133333333333332</v>
      </c>
      <c r="H191" s="338">
        <f t="shared" si="123"/>
        <v>0.18666666666666665</v>
      </c>
      <c r="I191" s="338">
        <f t="shared" si="123"/>
        <v>0.19199999999999998</v>
      </c>
      <c r="J191" s="338">
        <f t="shared" si="123"/>
        <v>0.19733333333333331</v>
      </c>
      <c r="K191" s="338">
        <f t="shared" si="123"/>
        <v>0.20266666666666663</v>
      </c>
      <c r="L191" s="338">
        <f t="shared" si="123"/>
        <v>0.20799999999999996</v>
      </c>
      <c r="M191" s="338">
        <f t="shared" si="123"/>
        <v>0.21333333333333329</v>
      </c>
      <c r="N191" s="338">
        <f t="shared" si="123"/>
        <v>0.21866666666666662</v>
      </c>
      <c r="O191" s="338">
        <f t="shared" si="123"/>
        <v>0.22399999999999995</v>
      </c>
      <c r="P191" s="338">
        <f t="shared" si="123"/>
        <v>0.22933333333333328</v>
      </c>
      <c r="Q191" s="338">
        <f t="shared" si="123"/>
        <v>0.23466666666666661</v>
      </c>
      <c r="R191" s="338">
        <f t="shared" si="123"/>
        <v>0.23999999999999994</v>
      </c>
      <c r="S191" s="338">
        <f t="shared" si="123"/>
        <v>0.24533333333333326</v>
      </c>
      <c r="T191" s="338">
        <f t="shared" si="124"/>
        <v>0.25066666666666659</v>
      </c>
      <c r="U191" s="338">
        <f t="shared" si="124"/>
        <v>0.25599999999999995</v>
      </c>
      <c r="V191" s="338">
        <f t="shared" si="124"/>
        <v>0.26133333333333331</v>
      </c>
      <c r="W191" s="338">
        <f t="shared" si="124"/>
        <v>0.26666666666666666</v>
      </c>
      <c r="X191" s="338">
        <f t="shared" si="124"/>
        <v>0.27200000000000002</v>
      </c>
      <c r="Y191" s="338">
        <f t="shared" si="124"/>
        <v>0.27733333333333338</v>
      </c>
      <c r="Z191" s="338">
        <f t="shared" si="124"/>
        <v>0.28266666666666673</v>
      </c>
      <c r="AA191" s="338">
        <f t="shared" si="124"/>
        <v>0.28800000000000009</v>
      </c>
      <c r="AB191" s="338">
        <f t="shared" si="124"/>
        <v>0.29333333333333345</v>
      </c>
      <c r="AC191" s="338">
        <f t="shared" si="124"/>
        <v>0.2986666666666668</v>
      </c>
      <c r="AD191" s="338">
        <f t="shared" si="124"/>
        <v>0.30400000000000016</v>
      </c>
      <c r="AE191" s="338">
        <f t="shared" si="124"/>
        <v>0.30933333333333352</v>
      </c>
      <c r="AF191" s="338">
        <f t="shared" si="124"/>
        <v>0.31466666666666687</v>
      </c>
      <c r="AG191" s="337">
        <v>0.32</v>
      </c>
      <c r="AI191" s="337"/>
      <c r="AJ191" s="339" t="s">
        <v>1363</v>
      </c>
    </row>
    <row r="192" spans="1:36" outlineLevel="1">
      <c r="A192" s="346" t="s">
        <v>1382</v>
      </c>
      <c r="B192" s="302" t="s">
        <v>462</v>
      </c>
      <c r="C192" s="296">
        <v>0.37</v>
      </c>
      <c r="D192" s="317">
        <f t="shared" si="123"/>
        <v>0.37166666666666665</v>
      </c>
      <c r="E192" s="317">
        <f t="shared" si="123"/>
        <v>0.37333333333333329</v>
      </c>
      <c r="F192" s="317">
        <f t="shared" si="123"/>
        <v>0.37499999999999994</v>
      </c>
      <c r="G192" s="317">
        <f t="shared" si="123"/>
        <v>0.37666666666666659</v>
      </c>
      <c r="H192" s="317">
        <f t="shared" si="123"/>
        <v>0.37833333333333324</v>
      </c>
      <c r="I192" s="317">
        <f t="shared" si="123"/>
        <v>0.37999999999999989</v>
      </c>
      <c r="J192" s="317">
        <f t="shared" si="123"/>
        <v>0.38166666666666654</v>
      </c>
      <c r="K192" s="317">
        <f t="shared" si="123"/>
        <v>0.38333333333333319</v>
      </c>
      <c r="L192" s="317">
        <f t="shared" si="123"/>
        <v>0.38499999999999984</v>
      </c>
      <c r="M192" s="317">
        <f t="shared" si="123"/>
        <v>0.38666666666666649</v>
      </c>
      <c r="N192" s="317">
        <f t="shared" si="123"/>
        <v>0.38833333333333314</v>
      </c>
      <c r="O192" s="317">
        <f t="shared" si="123"/>
        <v>0.38999999999999979</v>
      </c>
      <c r="P192" s="317">
        <f t="shared" si="123"/>
        <v>0.39166666666666644</v>
      </c>
      <c r="Q192" s="317">
        <f t="shared" si="123"/>
        <v>0.39333333333333309</v>
      </c>
      <c r="R192" s="317">
        <f t="shared" si="123"/>
        <v>0.39499999999999974</v>
      </c>
      <c r="S192" s="317">
        <f t="shared" si="123"/>
        <v>0.39666666666666639</v>
      </c>
      <c r="T192" s="317">
        <f t="shared" si="124"/>
        <v>0.39833333333333304</v>
      </c>
      <c r="U192" s="317">
        <f t="shared" si="124"/>
        <v>0.39999999999999969</v>
      </c>
      <c r="V192" s="317">
        <f t="shared" si="124"/>
        <v>0.40166666666666634</v>
      </c>
      <c r="W192" s="317">
        <f t="shared" si="124"/>
        <v>0.40333333333333299</v>
      </c>
      <c r="X192" s="317">
        <f t="shared" si="124"/>
        <v>0.40499999999999964</v>
      </c>
      <c r="Y192" s="317">
        <f t="shared" si="124"/>
        <v>0.40666666666666629</v>
      </c>
      <c r="Z192" s="317">
        <f t="shared" si="124"/>
        <v>0.40833333333333294</v>
      </c>
      <c r="AA192" s="317">
        <f t="shared" si="124"/>
        <v>0.40999999999999959</v>
      </c>
      <c r="AB192" s="317">
        <f t="shared" si="124"/>
        <v>0.41166666666666624</v>
      </c>
      <c r="AC192" s="317">
        <f t="shared" si="124"/>
        <v>0.41333333333333289</v>
      </c>
      <c r="AD192" s="317">
        <f t="shared" si="124"/>
        <v>0.41499999999999954</v>
      </c>
      <c r="AE192" s="317">
        <f t="shared" si="124"/>
        <v>0.41666666666666619</v>
      </c>
      <c r="AF192" s="317">
        <f t="shared" si="124"/>
        <v>0.41833333333333284</v>
      </c>
      <c r="AG192" s="296">
        <v>0.42</v>
      </c>
      <c r="AI192" s="296"/>
      <c r="AJ192" s="211" t="s">
        <v>1363</v>
      </c>
    </row>
    <row r="193" spans="1:36" outlineLevel="1">
      <c r="A193" s="346" t="s">
        <v>1383</v>
      </c>
      <c r="B193" s="302" t="s">
        <v>462</v>
      </c>
      <c r="C193" s="296">
        <v>0.08</v>
      </c>
      <c r="D193" s="317">
        <f t="shared" si="123"/>
        <v>7.7666666666666662E-2</v>
      </c>
      <c r="E193" s="317">
        <f t="shared" si="123"/>
        <v>7.5333333333333322E-2</v>
      </c>
      <c r="F193" s="317">
        <f t="shared" si="123"/>
        <v>7.2999999999999982E-2</v>
      </c>
      <c r="G193" s="317">
        <f t="shared" si="123"/>
        <v>7.0666666666666642E-2</v>
      </c>
      <c r="H193" s="317">
        <f t="shared" si="123"/>
        <v>6.8333333333333302E-2</v>
      </c>
      <c r="I193" s="317">
        <f t="shared" si="123"/>
        <v>6.5999999999999961E-2</v>
      </c>
      <c r="J193" s="317">
        <f t="shared" si="123"/>
        <v>6.3666666666666621E-2</v>
      </c>
      <c r="K193" s="317">
        <f t="shared" si="123"/>
        <v>6.1333333333333288E-2</v>
      </c>
      <c r="L193" s="317">
        <f t="shared" si="123"/>
        <v>5.8999999999999955E-2</v>
      </c>
      <c r="M193" s="317">
        <f t="shared" si="123"/>
        <v>5.6666666666666622E-2</v>
      </c>
      <c r="N193" s="317">
        <f t="shared" si="123"/>
        <v>5.4333333333333289E-2</v>
      </c>
      <c r="O193" s="317">
        <f t="shared" si="123"/>
        <v>5.1999999999999956E-2</v>
      </c>
      <c r="P193" s="317">
        <f t="shared" si="123"/>
        <v>4.9666666666666623E-2</v>
      </c>
      <c r="Q193" s="317">
        <f t="shared" si="123"/>
        <v>4.733333333333329E-2</v>
      </c>
      <c r="R193" s="317">
        <f t="shared" si="123"/>
        <v>4.4999999999999957E-2</v>
      </c>
      <c r="S193" s="317">
        <f t="shared" si="123"/>
        <v>4.2666666666666624E-2</v>
      </c>
      <c r="T193" s="317">
        <f t="shared" si="124"/>
        <v>4.0333333333333291E-2</v>
      </c>
      <c r="U193" s="317">
        <f t="shared" si="124"/>
        <v>3.7999999999999957E-2</v>
      </c>
      <c r="V193" s="317">
        <f t="shared" si="124"/>
        <v>3.5666666666666624E-2</v>
      </c>
      <c r="W193" s="317">
        <f t="shared" si="124"/>
        <v>3.3333333333333291E-2</v>
      </c>
      <c r="X193" s="317">
        <f t="shared" si="124"/>
        <v>3.0999999999999958E-2</v>
      </c>
      <c r="Y193" s="317">
        <f t="shared" si="124"/>
        <v>2.8666666666666625E-2</v>
      </c>
      <c r="Z193" s="317">
        <f t="shared" si="124"/>
        <v>2.6333333333333292E-2</v>
      </c>
      <c r="AA193" s="317">
        <f t="shared" si="124"/>
        <v>2.3999999999999959E-2</v>
      </c>
      <c r="AB193" s="317">
        <f t="shared" si="124"/>
        <v>2.1666666666666626E-2</v>
      </c>
      <c r="AC193" s="317">
        <f t="shared" si="124"/>
        <v>1.9333333333333293E-2</v>
      </c>
      <c r="AD193" s="317">
        <f t="shared" si="124"/>
        <v>1.699999999999996E-2</v>
      </c>
      <c r="AE193" s="317">
        <f t="shared" si="124"/>
        <v>1.4666666666666626E-2</v>
      </c>
      <c r="AF193" s="317">
        <f t="shared" si="124"/>
        <v>1.2333333333333293E-2</v>
      </c>
      <c r="AG193" s="296">
        <v>0.01</v>
      </c>
      <c r="AI193" s="296"/>
      <c r="AJ193" s="211" t="s">
        <v>1363</v>
      </c>
    </row>
    <row r="194" spans="1:36" outlineLevel="1">
      <c r="A194" s="346" t="s">
        <v>1384</v>
      </c>
      <c r="B194" s="302" t="s">
        <v>462</v>
      </c>
      <c r="C194" s="296">
        <v>0.27</v>
      </c>
      <c r="D194" s="317">
        <f t="shared" si="123"/>
        <v>0.26633333333333337</v>
      </c>
      <c r="E194" s="317">
        <f t="shared" si="123"/>
        <v>0.26266666666666671</v>
      </c>
      <c r="F194" s="317">
        <f t="shared" si="123"/>
        <v>0.25900000000000006</v>
      </c>
      <c r="G194" s="317">
        <f t="shared" si="123"/>
        <v>0.25533333333333341</v>
      </c>
      <c r="H194" s="317">
        <f t="shared" si="123"/>
        <v>0.25166666666666676</v>
      </c>
      <c r="I194" s="317">
        <f t="shared" si="123"/>
        <v>0.24800000000000008</v>
      </c>
      <c r="J194" s="317">
        <f t="shared" si="123"/>
        <v>0.2443333333333334</v>
      </c>
      <c r="K194" s="317">
        <f t="shared" si="123"/>
        <v>0.24066666666666672</v>
      </c>
      <c r="L194" s="317">
        <f t="shared" si="123"/>
        <v>0.23700000000000004</v>
      </c>
      <c r="M194" s="317">
        <f t="shared" si="123"/>
        <v>0.23333333333333336</v>
      </c>
      <c r="N194" s="317">
        <f t="shared" si="123"/>
        <v>0.22966666666666669</v>
      </c>
      <c r="O194" s="317">
        <f t="shared" si="123"/>
        <v>0.22600000000000001</v>
      </c>
      <c r="P194" s="317">
        <f t="shared" si="123"/>
        <v>0.22233333333333333</v>
      </c>
      <c r="Q194" s="317">
        <f t="shared" si="123"/>
        <v>0.21866666666666665</v>
      </c>
      <c r="R194" s="317">
        <f t="shared" si="123"/>
        <v>0.21499999999999997</v>
      </c>
      <c r="S194" s="317">
        <f t="shared" si="123"/>
        <v>0.21133333333333329</v>
      </c>
      <c r="T194" s="317">
        <f t="shared" si="124"/>
        <v>0.20766666666666661</v>
      </c>
      <c r="U194" s="317">
        <f t="shared" si="124"/>
        <v>0.20399999999999993</v>
      </c>
      <c r="V194" s="317">
        <f t="shared" si="124"/>
        <v>0.20033333333333325</v>
      </c>
      <c r="W194" s="317">
        <f t="shared" si="124"/>
        <v>0.19666666666666657</v>
      </c>
      <c r="X194" s="317">
        <f t="shared" si="124"/>
        <v>0.19299999999999989</v>
      </c>
      <c r="Y194" s="317">
        <f t="shared" si="124"/>
        <v>0.18933333333333321</v>
      </c>
      <c r="Z194" s="317">
        <f t="shared" si="124"/>
        <v>0.18566666666666654</v>
      </c>
      <c r="AA194" s="317">
        <f t="shared" si="124"/>
        <v>0.18199999999999986</v>
      </c>
      <c r="AB194" s="317">
        <f t="shared" si="124"/>
        <v>0.17833333333333318</v>
      </c>
      <c r="AC194" s="317">
        <f t="shared" si="124"/>
        <v>0.1746666666666665</v>
      </c>
      <c r="AD194" s="317">
        <f t="shared" si="124"/>
        <v>0.17099999999999982</v>
      </c>
      <c r="AE194" s="317">
        <f t="shared" si="124"/>
        <v>0.16733333333333314</v>
      </c>
      <c r="AF194" s="317">
        <f t="shared" si="124"/>
        <v>0.16366666666666646</v>
      </c>
      <c r="AG194" s="296">
        <v>0.16</v>
      </c>
      <c r="AI194" s="296"/>
      <c r="AJ194" s="211" t="s">
        <v>1363</v>
      </c>
    </row>
    <row r="195" spans="1:36" outlineLevel="1">
      <c r="A195" s="346" t="s">
        <v>1385</v>
      </c>
      <c r="B195" s="302" t="s">
        <v>462</v>
      </c>
      <c r="C195" s="296">
        <v>7.0000000000000007E-2</v>
      </c>
      <c r="D195" s="317">
        <f t="shared" si="123"/>
        <v>6.9666666666666668E-2</v>
      </c>
      <c r="E195" s="317">
        <f t="shared" si="123"/>
        <v>6.933333333333333E-2</v>
      </c>
      <c r="F195" s="317">
        <f t="shared" si="123"/>
        <v>6.8999999999999992E-2</v>
      </c>
      <c r="G195" s="317">
        <f t="shared" si="123"/>
        <v>6.8666666666666654E-2</v>
      </c>
      <c r="H195" s="317">
        <f t="shared" si="123"/>
        <v>6.8333333333333315E-2</v>
      </c>
      <c r="I195" s="317">
        <f t="shared" si="123"/>
        <v>6.7999999999999977E-2</v>
      </c>
      <c r="J195" s="317">
        <f t="shared" si="123"/>
        <v>6.7666666666666639E-2</v>
      </c>
      <c r="K195" s="317">
        <f t="shared" si="123"/>
        <v>6.7333333333333301E-2</v>
      </c>
      <c r="L195" s="317">
        <f t="shared" si="123"/>
        <v>6.6999999999999962E-2</v>
      </c>
      <c r="M195" s="317">
        <f t="shared" si="123"/>
        <v>6.6666666666666624E-2</v>
      </c>
      <c r="N195" s="317">
        <f t="shared" si="123"/>
        <v>6.6333333333333286E-2</v>
      </c>
      <c r="O195" s="317">
        <f t="shared" si="123"/>
        <v>6.5999999999999948E-2</v>
      </c>
      <c r="P195" s="317">
        <f t="shared" si="123"/>
        <v>6.5666666666666609E-2</v>
      </c>
      <c r="Q195" s="317">
        <f t="shared" si="123"/>
        <v>6.5333333333333271E-2</v>
      </c>
      <c r="R195" s="317">
        <f t="shared" si="123"/>
        <v>6.4999999999999933E-2</v>
      </c>
      <c r="S195" s="317">
        <f t="shared" ref="S195:AF195" si="125">-($C195-$AG195)/30+R195</f>
        <v>6.4666666666666595E-2</v>
      </c>
      <c r="T195" s="317">
        <f t="shared" si="125"/>
        <v>6.4333333333333256E-2</v>
      </c>
      <c r="U195" s="317">
        <f t="shared" si="125"/>
        <v>6.3999999999999918E-2</v>
      </c>
      <c r="V195" s="317">
        <f t="shared" si="125"/>
        <v>6.366666666666658E-2</v>
      </c>
      <c r="W195" s="317">
        <f t="shared" si="125"/>
        <v>6.3333333333333242E-2</v>
      </c>
      <c r="X195" s="317">
        <f t="shared" si="125"/>
        <v>6.2999999999999903E-2</v>
      </c>
      <c r="Y195" s="317">
        <f t="shared" si="125"/>
        <v>6.2666666666666565E-2</v>
      </c>
      <c r="Z195" s="317">
        <f t="shared" si="125"/>
        <v>6.2333333333333234E-2</v>
      </c>
      <c r="AA195" s="317">
        <f t="shared" si="125"/>
        <v>6.1999999999999902E-2</v>
      </c>
      <c r="AB195" s="317">
        <f t="shared" si="125"/>
        <v>6.1666666666666571E-2</v>
      </c>
      <c r="AC195" s="317">
        <f t="shared" si="125"/>
        <v>6.133333333333324E-2</v>
      </c>
      <c r="AD195" s="317">
        <f t="shared" si="125"/>
        <v>6.0999999999999908E-2</v>
      </c>
      <c r="AE195" s="317">
        <f t="shared" si="125"/>
        <v>6.0666666666666577E-2</v>
      </c>
      <c r="AF195" s="317">
        <f t="shared" si="125"/>
        <v>6.0333333333333246E-2</v>
      </c>
      <c r="AG195" s="296">
        <v>0.06</v>
      </c>
      <c r="AI195" s="296"/>
      <c r="AJ195" s="211" t="s">
        <v>1363</v>
      </c>
    </row>
    <row r="196" spans="1:36" s="68" customFormat="1" outlineLevel="1">
      <c r="A196" s="347" t="s">
        <v>1386</v>
      </c>
      <c r="B196" s="312" t="s">
        <v>462</v>
      </c>
      <c r="C196" s="314">
        <v>0.05</v>
      </c>
      <c r="D196" s="340">
        <f t="shared" ref="D196:AF196" si="126">-($C196-$AG196)/30+C196</f>
        <v>4.9333333333333333E-2</v>
      </c>
      <c r="E196" s="340">
        <f t="shared" si="126"/>
        <v>4.8666666666666664E-2</v>
      </c>
      <c r="F196" s="340">
        <f t="shared" si="126"/>
        <v>4.7999999999999994E-2</v>
      </c>
      <c r="G196" s="340">
        <f t="shared" si="126"/>
        <v>4.7333333333333324E-2</v>
      </c>
      <c r="H196" s="340">
        <f t="shared" si="126"/>
        <v>4.6666666666666655E-2</v>
      </c>
      <c r="I196" s="340">
        <f t="shared" si="126"/>
        <v>4.5999999999999985E-2</v>
      </c>
      <c r="J196" s="340">
        <f t="shared" si="126"/>
        <v>4.5333333333333316E-2</v>
      </c>
      <c r="K196" s="340">
        <f t="shared" si="126"/>
        <v>4.4666666666666646E-2</v>
      </c>
      <c r="L196" s="340">
        <f t="shared" si="126"/>
        <v>4.3999999999999977E-2</v>
      </c>
      <c r="M196" s="340">
        <f t="shared" si="126"/>
        <v>4.3333333333333307E-2</v>
      </c>
      <c r="N196" s="340">
        <f t="shared" si="126"/>
        <v>4.2666666666666637E-2</v>
      </c>
      <c r="O196" s="340">
        <f t="shared" si="126"/>
        <v>4.1999999999999968E-2</v>
      </c>
      <c r="P196" s="340">
        <f t="shared" si="126"/>
        <v>4.1333333333333298E-2</v>
      </c>
      <c r="Q196" s="340">
        <f t="shared" si="126"/>
        <v>4.0666666666666629E-2</v>
      </c>
      <c r="R196" s="340">
        <f t="shared" si="126"/>
        <v>3.9999999999999959E-2</v>
      </c>
      <c r="S196" s="340">
        <f t="shared" si="126"/>
        <v>3.933333333333329E-2</v>
      </c>
      <c r="T196" s="340">
        <f t="shared" si="126"/>
        <v>3.866666666666662E-2</v>
      </c>
      <c r="U196" s="340">
        <f t="shared" si="126"/>
        <v>3.799999999999995E-2</v>
      </c>
      <c r="V196" s="340">
        <f t="shared" si="126"/>
        <v>3.7333333333333281E-2</v>
      </c>
      <c r="W196" s="340">
        <f t="shared" si="126"/>
        <v>3.6666666666666611E-2</v>
      </c>
      <c r="X196" s="340">
        <f t="shared" si="126"/>
        <v>3.5999999999999942E-2</v>
      </c>
      <c r="Y196" s="340">
        <f t="shared" si="126"/>
        <v>3.5333333333333272E-2</v>
      </c>
      <c r="Z196" s="340">
        <f t="shared" si="126"/>
        <v>3.4666666666666603E-2</v>
      </c>
      <c r="AA196" s="340">
        <f t="shared" si="126"/>
        <v>3.3999999999999933E-2</v>
      </c>
      <c r="AB196" s="340">
        <f t="shared" si="126"/>
        <v>3.3333333333333263E-2</v>
      </c>
      <c r="AC196" s="340">
        <f t="shared" si="126"/>
        <v>3.2666666666666594E-2</v>
      </c>
      <c r="AD196" s="340">
        <f t="shared" si="126"/>
        <v>3.1999999999999924E-2</v>
      </c>
      <c r="AE196" s="340">
        <f t="shared" si="126"/>
        <v>3.1333333333333255E-2</v>
      </c>
      <c r="AF196" s="340">
        <f t="shared" si="126"/>
        <v>3.0666666666666589E-2</v>
      </c>
      <c r="AG196" s="314">
        <v>0.03</v>
      </c>
      <c r="AI196" s="314"/>
      <c r="AJ196" s="341" t="s">
        <v>1363</v>
      </c>
    </row>
    <row r="197" spans="1:36" s="58" customFormat="1" outlineLevel="1">
      <c r="A197" s="58" t="s">
        <v>1361</v>
      </c>
      <c r="B197" s="303"/>
      <c r="C197" s="304">
        <f t="shared" ref="C197:AG197" si="127">C32</f>
        <v>6.2639109729489517</v>
      </c>
      <c r="D197" s="304">
        <f t="shared" si="127"/>
        <v>6.4738866622599067</v>
      </c>
      <c r="E197" s="304">
        <f t="shared" si="127"/>
        <v>6.673410569593794</v>
      </c>
      <c r="F197" s="304">
        <f t="shared" si="127"/>
        <v>6.8611132359640763</v>
      </c>
      <c r="G197" s="304">
        <f t="shared" si="127"/>
        <v>7.0356800041223151</v>
      </c>
      <c r="H197" s="304">
        <f t="shared" si="127"/>
        <v>7.1958663561693115</v>
      </c>
      <c r="I197" s="304">
        <f t="shared" si="127"/>
        <v>7.3563495357628295</v>
      </c>
      <c r="J197" s="304">
        <f t="shared" si="127"/>
        <v>7.5169842402565479</v>
      </c>
      <c r="K197" s="304">
        <f t="shared" si="127"/>
        <v>7.677621478059983</v>
      </c>
      <c r="L197" s="304">
        <f t="shared" si="127"/>
        <v>7.8381087623980026</v>
      </c>
      <c r="M197" s="304">
        <f t="shared" si="127"/>
        <v>7.9982903181655836</v>
      </c>
      <c r="N197" s="304">
        <f t="shared" si="127"/>
        <v>8.1463349010298778</v>
      </c>
      <c r="O197" s="304">
        <f t="shared" si="127"/>
        <v>8.2814214291186534</v>
      </c>
      <c r="P197" s="304">
        <f t="shared" si="127"/>
        <v>8.4027868149704492</v>
      </c>
      <c r="Q197" s="304">
        <f t="shared" si="127"/>
        <v>8.5097330578321113</v>
      </c>
      <c r="R197" s="304">
        <f t="shared" si="127"/>
        <v>8.6016338560379779</v>
      </c>
      <c r="S197" s="304">
        <f t="shared" si="127"/>
        <v>8.69357543687868</v>
      </c>
      <c r="T197" s="304">
        <f t="shared" si="127"/>
        <v>8.7855373159977717</v>
      </c>
      <c r="U197" s="304">
        <f t="shared" si="127"/>
        <v>8.8774987631141578</v>
      </c>
      <c r="V197" s="304">
        <f t="shared" si="127"/>
        <v>8.9694388085621313</v>
      </c>
      <c r="W197" s="304">
        <f t="shared" si="127"/>
        <v>9.0613362500486261</v>
      </c>
      <c r="X197" s="304">
        <f t="shared" si="127"/>
        <v>9.1532704764052113</v>
      </c>
      <c r="Y197" s="304">
        <f t="shared" si="127"/>
        <v>9.2452230303784617</v>
      </c>
      <c r="Z197" s="304">
        <f t="shared" si="127"/>
        <v>9.3371752461289983</v>
      </c>
      <c r="AA197" s="304">
        <f t="shared" si="127"/>
        <v>9.4291082545648273</v>
      </c>
      <c r="AB197" s="304">
        <f t="shared" si="127"/>
        <v>9.5210029888406886</v>
      </c>
      <c r="AC197" s="304">
        <f t="shared" si="127"/>
        <v>9.6129310720912393</v>
      </c>
      <c r="AD197" s="304">
        <f t="shared" si="127"/>
        <v>9.7048757856861769</v>
      </c>
      <c r="AE197" s="304">
        <f t="shared" si="127"/>
        <v>9.7968202325130598</v>
      </c>
      <c r="AF197" s="304">
        <f t="shared" si="127"/>
        <v>9.8887473413700739</v>
      </c>
      <c r="AG197" s="304">
        <f t="shared" si="127"/>
        <v>9.9806398714874938</v>
      </c>
      <c r="AI197" s="305"/>
      <c r="AJ197" s="306"/>
    </row>
    <row r="198" spans="1:36" s="58" customFormat="1" outlineLevel="1">
      <c r="A198" s="307" t="s">
        <v>3</v>
      </c>
      <c r="B198" s="308" t="s">
        <v>704</v>
      </c>
      <c r="C198" s="309">
        <v>0</v>
      </c>
      <c r="D198" s="309">
        <v>0</v>
      </c>
      <c r="E198" s="309">
        <v>0</v>
      </c>
      <c r="F198" s="309">
        <v>0</v>
      </c>
      <c r="G198" s="309">
        <v>0</v>
      </c>
      <c r="H198" s="309">
        <v>0</v>
      </c>
      <c r="I198" s="309">
        <v>0</v>
      </c>
      <c r="J198" s="309">
        <v>0</v>
      </c>
      <c r="K198" s="309">
        <v>0</v>
      </c>
      <c r="L198" s="309">
        <v>0</v>
      </c>
      <c r="M198" s="309">
        <v>0</v>
      </c>
      <c r="N198" s="309">
        <v>0</v>
      </c>
      <c r="O198" s="309">
        <v>0</v>
      </c>
      <c r="P198" s="309">
        <v>0</v>
      </c>
      <c r="Q198" s="309">
        <v>0</v>
      </c>
      <c r="R198" s="309">
        <v>0</v>
      </c>
      <c r="S198" s="309">
        <v>0</v>
      </c>
      <c r="T198" s="309">
        <v>0</v>
      </c>
      <c r="U198" s="309">
        <v>0</v>
      </c>
      <c r="V198" s="309">
        <v>0</v>
      </c>
      <c r="W198" s="309">
        <v>0</v>
      </c>
      <c r="X198" s="309">
        <v>0</v>
      </c>
      <c r="Y198" s="309">
        <v>0</v>
      </c>
      <c r="Z198" s="309">
        <v>0</v>
      </c>
      <c r="AA198" s="309">
        <v>0</v>
      </c>
      <c r="AB198" s="309">
        <v>0</v>
      </c>
      <c r="AC198" s="309">
        <v>0</v>
      </c>
      <c r="AD198" s="309">
        <v>0</v>
      </c>
      <c r="AE198" s="309">
        <v>0</v>
      </c>
      <c r="AF198" s="309">
        <v>0</v>
      </c>
      <c r="AG198" s="309">
        <v>0</v>
      </c>
      <c r="AI198" s="305"/>
      <c r="AJ198" s="306"/>
    </row>
    <row r="199" spans="1:36" outlineLevel="1">
      <c r="A199" s="310" t="s">
        <v>51</v>
      </c>
      <c r="B199" s="302" t="s">
        <v>704</v>
      </c>
      <c r="C199" s="249">
        <f t="shared" ref="C199:AG199" si="128">C166</f>
        <v>0.29411849599012857</v>
      </c>
      <c r="D199" s="249">
        <f t="shared" si="128"/>
        <v>0.29903027487316369</v>
      </c>
      <c r="E199" s="249">
        <f t="shared" si="128"/>
        <v>0.30402408046354551</v>
      </c>
      <c r="F199" s="249">
        <f t="shared" si="128"/>
        <v>0.3091012826072867</v>
      </c>
      <c r="G199" s="249">
        <f t="shared" si="128"/>
        <v>0.31426327402682835</v>
      </c>
      <c r="H199" s="249">
        <f t="shared" si="128"/>
        <v>0.31951147070307639</v>
      </c>
      <c r="I199" s="249">
        <f t="shared" si="128"/>
        <v>0.32484731226381774</v>
      </c>
      <c r="J199" s="249">
        <f t="shared" si="128"/>
        <v>0.3302722623786235</v>
      </c>
      <c r="K199" s="249">
        <f t="shared" si="128"/>
        <v>0.33578780916034651</v>
      </c>
      <c r="L199" s="249">
        <f t="shared" si="128"/>
        <v>0.34139546557332429</v>
      </c>
      <c r="M199" s="249">
        <f t="shared" si="128"/>
        <v>0.34709676984839877</v>
      </c>
      <c r="N199" s="249">
        <f t="shared" si="128"/>
        <v>0.35289328590486702</v>
      </c>
      <c r="O199" s="249">
        <f t="shared" si="128"/>
        <v>0.3587866037794783</v>
      </c>
      <c r="P199" s="249">
        <f t="shared" si="128"/>
        <v>0.36477834006259557</v>
      </c>
      <c r="Q199" s="249">
        <f t="shared" si="128"/>
        <v>0.3708701383416409</v>
      </c>
      <c r="R199" s="249">
        <f t="shared" si="128"/>
        <v>0.37706366965194626</v>
      </c>
      <c r="S199" s="249">
        <f t="shared" si="128"/>
        <v>0.38336063293513373</v>
      </c>
      <c r="T199" s="249">
        <f t="shared" si="128"/>
        <v>0.38976275550515044</v>
      </c>
      <c r="U199" s="249">
        <f t="shared" si="128"/>
        <v>0.39627179352208641</v>
      </c>
      <c r="V199" s="249">
        <f t="shared" si="128"/>
        <v>0.40288953247390524</v>
      </c>
      <c r="W199" s="249">
        <f t="shared" si="128"/>
        <v>0.40961778766621942</v>
      </c>
      <c r="X199" s="249">
        <f t="shared" si="128"/>
        <v>0.41645840472024526</v>
      </c>
      <c r="Y199" s="249">
        <f t="shared" si="128"/>
        <v>0.42341326007907332</v>
      </c>
      <c r="Z199" s="249">
        <f t="shared" si="128"/>
        <v>0.43048426152239383</v>
      </c>
      <c r="AA199" s="249">
        <f t="shared" si="128"/>
        <v>0.43767334868981778</v>
      </c>
      <c r="AB199" s="249">
        <f t="shared" si="128"/>
        <v>0.44498249361293768</v>
      </c>
      <c r="AC199" s="249">
        <f t="shared" si="128"/>
        <v>0.45241370125627373</v>
      </c>
      <c r="AD199" s="249">
        <f t="shared" si="128"/>
        <v>0.45996901006725349</v>
      </c>
      <c r="AE199" s="249">
        <f t="shared" si="128"/>
        <v>0.46765049253537661</v>
      </c>
      <c r="AF199" s="249">
        <f t="shared" si="128"/>
        <v>0.47546025576071738</v>
      </c>
      <c r="AG199" s="249">
        <f t="shared" si="128"/>
        <v>0.48340044203192134</v>
      </c>
      <c r="AI199" s="296"/>
    </row>
    <row r="200" spans="1:36" s="68" customFormat="1" outlineLevel="1">
      <c r="A200" s="311" t="s">
        <v>1387</v>
      </c>
      <c r="B200" s="312" t="s">
        <v>704</v>
      </c>
      <c r="C200" s="313">
        <f>C197-C198-C199</f>
        <v>5.9697924769588235</v>
      </c>
      <c r="D200" s="313">
        <f t="shared" ref="D200:AG200" si="129">D197-D198-D199</f>
        <v>6.1748563873867433</v>
      </c>
      <c r="E200" s="313">
        <f t="shared" si="129"/>
        <v>6.3693864891302487</v>
      </c>
      <c r="F200" s="313">
        <f t="shared" si="129"/>
        <v>6.5520119533567893</v>
      </c>
      <c r="G200" s="313">
        <f t="shared" si="129"/>
        <v>6.7214167300954868</v>
      </c>
      <c r="H200" s="313">
        <f t="shared" si="129"/>
        <v>6.8763548854662346</v>
      </c>
      <c r="I200" s="313">
        <f t="shared" si="129"/>
        <v>7.0315022234990119</v>
      </c>
      <c r="J200" s="313">
        <f t="shared" si="129"/>
        <v>7.1867119778779243</v>
      </c>
      <c r="K200" s="313">
        <f t="shared" si="129"/>
        <v>7.3418336688996364</v>
      </c>
      <c r="L200" s="313">
        <f t="shared" si="129"/>
        <v>7.4967132968246784</v>
      </c>
      <c r="M200" s="313">
        <f t="shared" si="129"/>
        <v>7.6511935483171847</v>
      </c>
      <c r="N200" s="313">
        <f t="shared" si="129"/>
        <v>7.793441615125011</v>
      </c>
      <c r="O200" s="313">
        <f t="shared" si="129"/>
        <v>7.9226348253391752</v>
      </c>
      <c r="P200" s="313">
        <f t="shared" si="129"/>
        <v>8.0380084749078531</v>
      </c>
      <c r="Q200" s="313">
        <f t="shared" si="129"/>
        <v>8.1388629194904709</v>
      </c>
      <c r="R200" s="313">
        <f t="shared" si="129"/>
        <v>8.2245701863860319</v>
      </c>
      <c r="S200" s="313">
        <f t="shared" si="129"/>
        <v>8.3102148039435466</v>
      </c>
      <c r="T200" s="313">
        <f t="shared" si="129"/>
        <v>8.3957745604926206</v>
      </c>
      <c r="U200" s="313">
        <f t="shared" si="129"/>
        <v>8.4812269695920719</v>
      </c>
      <c r="V200" s="313">
        <f t="shared" si="129"/>
        <v>8.5665492760882263</v>
      </c>
      <c r="W200" s="313">
        <f t="shared" si="129"/>
        <v>8.6517184623824068</v>
      </c>
      <c r="X200" s="313">
        <f t="shared" si="129"/>
        <v>8.736812071684966</v>
      </c>
      <c r="Y200" s="313">
        <f t="shared" si="129"/>
        <v>8.8218097702993887</v>
      </c>
      <c r="Z200" s="313">
        <f t="shared" si="129"/>
        <v>8.9066909846066054</v>
      </c>
      <c r="AA200" s="313">
        <f t="shared" si="129"/>
        <v>8.9914349058750087</v>
      </c>
      <c r="AB200" s="313">
        <f t="shared" si="129"/>
        <v>9.0760204952277501</v>
      </c>
      <c r="AC200" s="313">
        <f t="shared" si="129"/>
        <v>9.160517370834965</v>
      </c>
      <c r="AD200" s="313">
        <f t="shared" si="129"/>
        <v>9.244906775618924</v>
      </c>
      <c r="AE200" s="313">
        <f t="shared" si="129"/>
        <v>9.329169739977683</v>
      </c>
      <c r="AF200" s="313">
        <f t="shared" si="129"/>
        <v>9.4132870856093565</v>
      </c>
      <c r="AG200" s="313">
        <f t="shared" si="129"/>
        <v>9.497239429455572</v>
      </c>
      <c r="AI200" s="314"/>
      <c r="AJ200" s="315"/>
    </row>
    <row r="201" spans="1:36" outlineLevel="1">
      <c r="A201" s="112" t="s">
        <v>90</v>
      </c>
      <c r="B201" s="302" t="s">
        <v>704</v>
      </c>
      <c r="C201" s="230">
        <f>C170*C$200</f>
        <v>0.95516679631341184</v>
      </c>
      <c r="D201" s="230">
        <f t="shared" ref="D201:AG201" si="130">D170*D$200</f>
        <v>1.0007383918491448</v>
      </c>
      <c r="E201" s="230">
        <f t="shared" si="130"/>
        <v>1.0454286357492448</v>
      </c>
      <c r="F201" s="230">
        <f t="shared" si="130"/>
        <v>1.0889443866478983</v>
      </c>
      <c r="G201" s="230">
        <f t="shared" si="130"/>
        <v>1.1309903884507337</v>
      </c>
      <c r="H201" s="230">
        <f t="shared" si="130"/>
        <v>1.1712724488244151</v>
      </c>
      <c r="I201" s="230">
        <f t="shared" si="130"/>
        <v>1.2122309833312295</v>
      </c>
      <c r="J201" s="230">
        <f t="shared" si="130"/>
        <v>1.2538416830737682</v>
      </c>
      <c r="K201" s="230">
        <f t="shared" si="130"/>
        <v>1.2960783703497489</v>
      </c>
      <c r="L201" s="230">
        <f t="shared" si="130"/>
        <v>1.3389129948128873</v>
      </c>
      <c r="M201" s="230">
        <f t="shared" si="130"/>
        <v>1.382315634395971</v>
      </c>
      <c r="N201" s="230">
        <f t="shared" si="130"/>
        <v>1.4241215644705099</v>
      </c>
      <c r="O201" s="230">
        <f t="shared" si="130"/>
        <v>1.464102915722679</v>
      </c>
      <c r="P201" s="230">
        <f t="shared" si="130"/>
        <v>1.5020358503444469</v>
      </c>
      <c r="Q201" s="230">
        <f t="shared" si="130"/>
        <v>1.537702500922399</v>
      </c>
      <c r="R201" s="230">
        <f t="shared" si="130"/>
        <v>1.5708929055997314</v>
      </c>
      <c r="S201" s="230">
        <f t="shared" si="130"/>
        <v>1.6044254714813666</v>
      </c>
      <c r="T201" s="230">
        <f t="shared" si="130"/>
        <v>1.6382954759041259</v>
      </c>
      <c r="U201" s="230">
        <f t="shared" si="130"/>
        <v>1.6724979584035558</v>
      </c>
      <c r="V201" s="230">
        <f t="shared" si="130"/>
        <v>1.7070277190818464</v>
      </c>
      <c r="W201" s="230">
        <f t="shared" si="130"/>
        <v>1.7418793170929903</v>
      </c>
      <c r="X201" s="230">
        <f t="shared" si="130"/>
        <v>1.777067575380721</v>
      </c>
      <c r="Y201" s="230">
        <f t="shared" si="130"/>
        <v>1.8125878474708468</v>
      </c>
      <c r="Z201" s="230">
        <f t="shared" si="130"/>
        <v>1.8484352690053565</v>
      </c>
      <c r="AA201" s="230">
        <f t="shared" si="130"/>
        <v>1.8846047562714006</v>
      </c>
      <c r="AB201" s="230">
        <f t="shared" si="130"/>
        <v>1.9210910048232059</v>
      </c>
      <c r="AC201" s="230">
        <f t="shared" si="130"/>
        <v>1.9579079127264585</v>
      </c>
      <c r="AD201" s="230">
        <f t="shared" si="130"/>
        <v>1.9950508821785624</v>
      </c>
      <c r="AE201" s="230">
        <f t="shared" si="130"/>
        <v>2.0325151140164697</v>
      </c>
      <c r="AF201" s="230">
        <f t="shared" si="130"/>
        <v>2.0702956063616829</v>
      </c>
      <c r="AG201" s="230">
        <f t="shared" si="130"/>
        <v>2.108387153339137</v>
      </c>
      <c r="AI201" s="214"/>
    </row>
    <row r="202" spans="1:36" outlineLevel="1">
      <c r="A202" s="112" t="s">
        <v>33</v>
      </c>
      <c r="B202" s="302" t="s">
        <v>704</v>
      </c>
      <c r="C202" s="230">
        <f t="shared" ref="C202:AG206" si="131">C171*C$200</f>
        <v>2.2088232164747645</v>
      </c>
      <c r="D202" s="230">
        <f t="shared" si="131"/>
        <v>2.2396204117051721</v>
      </c>
      <c r="E202" s="230">
        <f t="shared" si="131"/>
        <v>2.2636799582368905</v>
      </c>
      <c r="F202" s="230">
        <f t="shared" si="131"/>
        <v>2.2807553609634987</v>
      </c>
      <c r="G202" s="230">
        <f t="shared" si="131"/>
        <v>2.2906588216165424</v>
      </c>
      <c r="H202" s="230">
        <f t="shared" si="131"/>
        <v>2.2932643543029902</v>
      </c>
      <c r="I202" s="230">
        <f t="shared" si="131"/>
        <v>2.2936760253053787</v>
      </c>
      <c r="J202" s="230">
        <f t="shared" si="131"/>
        <v>2.2918424497452712</v>
      </c>
      <c r="K202" s="230">
        <f t="shared" si="131"/>
        <v>2.2877153712291283</v>
      </c>
      <c r="L202" s="230">
        <f t="shared" si="131"/>
        <v>2.2812498562237513</v>
      </c>
      <c r="M202" s="230">
        <f t="shared" si="131"/>
        <v>2.272404483850206</v>
      </c>
      <c r="N202" s="230">
        <f t="shared" si="131"/>
        <v>2.2577600359017178</v>
      </c>
      <c r="O202" s="230">
        <f t="shared" si="131"/>
        <v>2.2373520746757856</v>
      </c>
      <c r="P202" s="230">
        <f t="shared" si="131"/>
        <v>2.2112561314471533</v>
      </c>
      <c r="Q202" s="230">
        <f t="shared" si="131"/>
        <v>2.1795874898395513</v>
      </c>
      <c r="R202" s="230">
        <f t="shared" si="131"/>
        <v>2.1425005335535645</v>
      </c>
      <c r="S202" s="230">
        <f t="shared" si="131"/>
        <v>2.1041463883585094</v>
      </c>
      <c r="T202" s="230">
        <f t="shared" si="131"/>
        <v>2.0645209644251388</v>
      </c>
      <c r="U202" s="230">
        <f t="shared" si="131"/>
        <v>2.0236207549446719</v>
      </c>
      <c r="V202" s="230">
        <f t="shared" si="131"/>
        <v>1.9814428475592103</v>
      </c>
      <c r="W202" s="230">
        <f t="shared" si="131"/>
        <v>1.9379849355736627</v>
      </c>
      <c r="X202" s="230">
        <f t="shared" si="131"/>
        <v>1.8932671759341357</v>
      </c>
      <c r="Y202" s="230">
        <f t="shared" si="131"/>
        <v>1.8472869659006956</v>
      </c>
      <c r="Z202" s="230">
        <f t="shared" si="131"/>
        <v>1.8000422479889986</v>
      </c>
      <c r="AA202" s="230">
        <f t="shared" si="131"/>
        <v>1.7515315196644554</v>
      </c>
      <c r="AB202" s="230">
        <f t="shared" si="131"/>
        <v>1.701753842855207</v>
      </c>
      <c r="AC202" s="230">
        <f t="shared" si="131"/>
        <v>1.6507252302244646</v>
      </c>
      <c r="AD202" s="230">
        <f t="shared" si="131"/>
        <v>1.5984443815045157</v>
      </c>
      <c r="AE202" s="230">
        <f t="shared" si="131"/>
        <v>1.5449105089403081</v>
      </c>
      <c r="AF202" s="230">
        <f t="shared" si="131"/>
        <v>1.4901233456519649</v>
      </c>
      <c r="AG202" s="230">
        <f t="shared" si="131"/>
        <v>1.4340831538477914</v>
      </c>
      <c r="AI202" s="214"/>
    </row>
    <row r="203" spans="1:36" outlineLevel="1">
      <c r="A203" s="112" t="s">
        <v>451</v>
      </c>
      <c r="B203" s="302" t="s">
        <v>704</v>
      </c>
      <c r="C203" s="230">
        <f t="shared" si="131"/>
        <v>0.47758339815670592</v>
      </c>
      <c r="D203" s="230">
        <f t="shared" si="131"/>
        <v>0.49460599662967814</v>
      </c>
      <c r="E203" s="230">
        <f t="shared" si="131"/>
        <v>0.51082479642824596</v>
      </c>
      <c r="F203" s="230">
        <f t="shared" si="131"/>
        <v>0.52612655985455026</v>
      </c>
      <c r="G203" s="230">
        <f t="shared" si="131"/>
        <v>0.54040190509967723</v>
      </c>
      <c r="H203" s="230">
        <f t="shared" si="131"/>
        <v>0.55354656828003201</v>
      </c>
      <c r="I203" s="230">
        <f t="shared" si="131"/>
        <v>0.56673907921402045</v>
      </c>
      <c r="J203" s="230">
        <f t="shared" si="131"/>
        <v>0.57996765661474869</v>
      </c>
      <c r="K203" s="230">
        <f t="shared" si="131"/>
        <v>0.59322016044709081</v>
      </c>
      <c r="L203" s="230">
        <f t="shared" si="131"/>
        <v>0.60648410571311673</v>
      </c>
      <c r="M203" s="230">
        <f t="shared" si="131"/>
        <v>0.61974667741369216</v>
      </c>
      <c r="N203" s="230">
        <f t="shared" si="131"/>
        <v>0.6320481149866386</v>
      </c>
      <c r="O203" s="230">
        <f t="shared" si="131"/>
        <v>0.64331794781754126</v>
      </c>
      <c r="P203" s="230">
        <f t="shared" si="131"/>
        <v>0.65349008901000882</v>
      </c>
      <c r="Q203" s="230">
        <f t="shared" si="131"/>
        <v>0.66250344164652464</v>
      </c>
      <c r="R203" s="230">
        <f t="shared" si="131"/>
        <v>0.67030247019046196</v>
      </c>
      <c r="S203" s="230">
        <f t="shared" si="131"/>
        <v>0.67811352800179381</v>
      </c>
      <c r="T203" s="230">
        <f t="shared" si="131"/>
        <v>0.68593478159224752</v>
      </c>
      <c r="U203" s="230">
        <f t="shared" si="131"/>
        <v>0.69376436611263192</v>
      </c>
      <c r="V203" s="230">
        <f t="shared" si="131"/>
        <v>0.7016003857116262</v>
      </c>
      <c r="W203" s="230">
        <f t="shared" si="131"/>
        <v>0.70944091391535791</v>
      </c>
      <c r="X203" s="230">
        <f t="shared" si="131"/>
        <v>0.71729227108533622</v>
      </c>
      <c r="Y203" s="230">
        <f t="shared" si="131"/>
        <v>0.72515276311861032</v>
      </c>
      <c r="Z203" s="230">
        <f t="shared" si="131"/>
        <v>0.73302066803312427</v>
      </c>
      <c r="AA203" s="230">
        <f t="shared" si="131"/>
        <v>0.74089423624410133</v>
      </c>
      <c r="AB203" s="230">
        <f t="shared" si="131"/>
        <v>0.74877169085629003</v>
      </c>
      <c r="AC203" s="230">
        <f t="shared" si="131"/>
        <v>0.75665873483096879</v>
      </c>
      <c r="AD203" s="230">
        <f t="shared" si="131"/>
        <v>0.76455379034368576</v>
      </c>
      <c r="AE203" s="230">
        <f t="shared" si="131"/>
        <v>0.77245525447015295</v>
      </c>
      <c r="AF203" s="230">
        <f t="shared" si="131"/>
        <v>0.78036149939701649</v>
      </c>
      <c r="AG203" s="230">
        <f t="shared" si="131"/>
        <v>0.78827087264481255</v>
      </c>
      <c r="AI203" s="214"/>
    </row>
    <row r="204" spans="1:36" outlineLevel="1">
      <c r="A204" s="112" t="s">
        <v>452</v>
      </c>
      <c r="B204" s="302" t="s">
        <v>704</v>
      </c>
      <c r="C204" s="230">
        <f t="shared" si="131"/>
        <v>1.6118439687788824</v>
      </c>
      <c r="D204" s="230">
        <f t="shared" si="131"/>
        <v>1.6865591079415658</v>
      </c>
      <c r="E204" s="230">
        <f t="shared" si="131"/>
        <v>1.7596491740637166</v>
      </c>
      <c r="F204" s="230">
        <f t="shared" si="131"/>
        <v>1.8306321397678869</v>
      </c>
      <c r="G204" s="230">
        <f t="shared" si="131"/>
        <v>1.8990242734763114</v>
      </c>
      <c r="H204" s="230">
        <f t="shared" si="131"/>
        <v>1.9643453789481875</v>
      </c>
      <c r="I204" s="230">
        <f t="shared" si="131"/>
        <v>2.0306978421465143</v>
      </c>
      <c r="J204" s="230">
        <f t="shared" si="131"/>
        <v>2.0980407834084951</v>
      </c>
      <c r="K204" s="230">
        <f t="shared" si="131"/>
        <v>2.1663303879033187</v>
      </c>
      <c r="L204" s="230">
        <f t="shared" si="131"/>
        <v>2.2355199051131183</v>
      </c>
      <c r="M204" s="230">
        <f t="shared" si="131"/>
        <v>2.3055596558929108</v>
      </c>
      <c r="N204" s="230">
        <f t="shared" si="131"/>
        <v>2.372843190418394</v>
      </c>
      <c r="O204" s="230">
        <f t="shared" si="131"/>
        <v>2.4370024722743291</v>
      </c>
      <c r="P204" s="230">
        <f t="shared" si="131"/>
        <v>2.4976771667696993</v>
      </c>
      <c r="Q204" s="230">
        <f t="shared" si="131"/>
        <v>2.5545177749974077</v>
      </c>
      <c r="R204" s="230">
        <f t="shared" si="131"/>
        <v>2.6071887490843708</v>
      </c>
      <c r="S204" s="230">
        <f t="shared" si="131"/>
        <v>2.6603767659024591</v>
      </c>
      <c r="T204" s="230">
        <f t="shared" si="131"/>
        <v>2.7140740562552463</v>
      </c>
      <c r="U204" s="230">
        <f t="shared" si="131"/>
        <v>2.7682724828748504</v>
      </c>
      <c r="V204" s="230">
        <f t="shared" si="131"/>
        <v>2.8229635381136049</v>
      </c>
      <c r="W204" s="230">
        <f t="shared" si="131"/>
        <v>2.8781383418192119</v>
      </c>
      <c r="X204" s="230">
        <f t="shared" si="131"/>
        <v>2.9338214936718097</v>
      </c>
      <c r="Y204" s="230">
        <f t="shared" si="131"/>
        <v>2.9900053914801372</v>
      </c>
      <c r="Z204" s="230">
        <f t="shared" si="131"/>
        <v>3.0466820961344303</v>
      </c>
      <c r="AA204" s="230">
        <f t="shared" si="131"/>
        <v>3.1038433295080505</v>
      </c>
      <c r="AB204" s="230">
        <f t="shared" si="131"/>
        <v>3.1614804725043304</v>
      </c>
      <c r="AC204" s="230">
        <f t="shared" si="131"/>
        <v>3.2196165052694599</v>
      </c>
      <c r="AD204" s="230">
        <f t="shared" si="131"/>
        <v>3.2782439426344676</v>
      </c>
      <c r="AE204" s="230">
        <f t="shared" si="131"/>
        <v>3.3373549883146802</v>
      </c>
      <c r="AF204" s="230">
        <f t="shared" si="131"/>
        <v>3.3969415329602266</v>
      </c>
      <c r="AG204" s="230">
        <f t="shared" si="131"/>
        <v>3.4569951523218281</v>
      </c>
      <c r="AI204" s="214"/>
    </row>
    <row r="205" spans="1:36" outlineLevel="1">
      <c r="A205" s="112" t="s">
        <v>1364</v>
      </c>
      <c r="B205" s="302" t="s">
        <v>704</v>
      </c>
      <c r="C205" s="230">
        <f t="shared" si="131"/>
        <v>0.41788547338711768</v>
      </c>
      <c r="D205" s="230">
        <f t="shared" si="131"/>
        <v>0.44006143187442859</v>
      </c>
      <c r="E205" s="230">
        <f t="shared" si="131"/>
        <v>0.46199283334491409</v>
      </c>
      <c r="F205" s="230">
        <f t="shared" si="131"/>
        <v>0.4835384821577311</v>
      </c>
      <c r="G205" s="230">
        <f t="shared" si="131"/>
        <v>0.50455434920583453</v>
      </c>
      <c r="H205" s="230">
        <f t="shared" si="131"/>
        <v>0.52489508959058928</v>
      </c>
      <c r="I205" s="230">
        <f t="shared" si="131"/>
        <v>0.54564457254352339</v>
      </c>
      <c r="J205" s="230">
        <f t="shared" si="131"/>
        <v>0.56679201798863899</v>
      </c>
      <c r="K205" s="230">
        <f t="shared" si="131"/>
        <v>0.58832560466782424</v>
      </c>
      <c r="L205" s="230">
        <f t="shared" si="131"/>
        <v>0.61023246236152884</v>
      </c>
      <c r="M205" s="230">
        <f t="shared" si="131"/>
        <v>0.63249866666088728</v>
      </c>
      <c r="N205" s="230">
        <f t="shared" si="131"/>
        <v>0.65412953289615927</v>
      </c>
      <c r="O205" s="230">
        <f t="shared" si="131"/>
        <v>0.67500848711889772</v>
      </c>
      <c r="P205" s="230">
        <f t="shared" si="131"/>
        <v>0.69501979946369896</v>
      </c>
      <c r="Q205" s="230">
        <f t="shared" si="131"/>
        <v>0.71404957346996401</v>
      </c>
      <c r="R205" s="230">
        <f t="shared" si="131"/>
        <v>0.73198674658835683</v>
      </c>
      <c r="S205" s="230">
        <f t="shared" si="131"/>
        <v>0.75013538963597082</v>
      </c>
      <c r="T205" s="230">
        <f t="shared" si="131"/>
        <v>0.76849323143709114</v>
      </c>
      <c r="U205" s="230">
        <f t="shared" si="131"/>
        <v>0.78705786277814427</v>
      </c>
      <c r="V205" s="230">
        <f t="shared" si="131"/>
        <v>0.80582673523736581</v>
      </c>
      <c r="W205" s="230">
        <f t="shared" si="131"/>
        <v>0.824797160080456</v>
      </c>
      <c r="X205" s="230">
        <f t="shared" si="131"/>
        <v>0.84397604612476762</v>
      </c>
      <c r="Y205" s="230">
        <f t="shared" si="131"/>
        <v>0.86336111618663347</v>
      </c>
      <c r="Z205" s="230">
        <f t="shared" si="131"/>
        <v>0.88294996627400135</v>
      </c>
      <c r="AA205" s="230">
        <f t="shared" si="131"/>
        <v>0.90274006454985078</v>
      </c>
      <c r="AB205" s="230">
        <f t="shared" si="131"/>
        <v>0.92272875034815449</v>
      </c>
      <c r="AC205" s="230">
        <f t="shared" si="131"/>
        <v>0.9429225880379456</v>
      </c>
      <c r="AD205" s="230">
        <f t="shared" si="131"/>
        <v>0.96331928601949179</v>
      </c>
      <c r="AE205" s="230">
        <f t="shared" si="131"/>
        <v>0.98391643524297945</v>
      </c>
      <c r="AF205" s="230">
        <f t="shared" si="131"/>
        <v>1.0047115082707052</v>
      </c>
      <c r="AG205" s="230">
        <f t="shared" si="131"/>
        <v>1.0257018583812019</v>
      </c>
      <c r="AI205" s="214"/>
    </row>
    <row r="206" spans="1:36" outlineLevel="1">
      <c r="A206" s="112" t="s">
        <v>1365</v>
      </c>
      <c r="B206" s="302" t="s">
        <v>704</v>
      </c>
      <c r="C206" s="230">
        <f t="shared" si="131"/>
        <v>0.2984896238479412</v>
      </c>
      <c r="D206" s="230">
        <f t="shared" si="131"/>
        <v>0.31327104738675415</v>
      </c>
      <c r="E206" s="230">
        <f t="shared" si="131"/>
        <v>0.32781109130723685</v>
      </c>
      <c r="F206" s="230">
        <f t="shared" si="131"/>
        <v>0.34201502396522449</v>
      </c>
      <c r="G206" s="230">
        <f t="shared" si="131"/>
        <v>0.35578699224638788</v>
      </c>
      <c r="H206" s="230">
        <f t="shared" si="131"/>
        <v>0.36903104552002136</v>
      </c>
      <c r="I206" s="230">
        <f t="shared" si="131"/>
        <v>0.38251372095834635</v>
      </c>
      <c r="J206" s="230">
        <f t="shared" si="131"/>
        <v>0.39622738704700305</v>
      </c>
      <c r="K206" s="230">
        <f t="shared" si="131"/>
        <v>0.41016377430252654</v>
      </c>
      <c r="L206" s="230">
        <f t="shared" si="131"/>
        <v>0.42431397260027698</v>
      </c>
      <c r="M206" s="230">
        <f t="shared" si="131"/>
        <v>0.4386684301035188</v>
      </c>
      <c r="N206" s="230">
        <f t="shared" si="131"/>
        <v>0.45253917645159253</v>
      </c>
      <c r="O206" s="230">
        <f t="shared" si="131"/>
        <v>0.46585092772994374</v>
      </c>
      <c r="P206" s="230">
        <f t="shared" si="131"/>
        <v>0.4785294378728478</v>
      </c>
      <c r="Q206" s="230">
        <f t="shared" si="131"/>
        <v>0.49050213861462605</v>
      </c>
      <c r="R206" s="230">
        <f t="shared" si="131"/>
        <v>0.50169878136954826</v>
      </c>
      <c r="S206" s="230">
        <f t="shared" si="131"/>
        <v>0.51301726056344865</v>
      </c>
      <c r="T206" s="230">
        <f t="shared" si="131"/>
        <v>0.52445605087877278</v>
      </c>
      <c r="U206" s="230">
        <f t="shared" si="131"/>
        <v>0.53601354447821936</v>
      </c>
      <c r="V206" s="230">
        <f t="shared" si="131"/>
        <v>0.54768805038457435</v>
      </c>
      <c r="W206" s="230">
        <f t="shared" si="131"/>
        <v>0.55947779390072938</v>
      </c>
      <c r="X206" s="230">
        <f t="shared" si="131"/>
        <v>0.57138750948819728</v>
      </c>
      <c r="Y206" s="230">
        <f t="shared" si="131"/>
        <v>0.58341568614246675</v>
      </c>
      <c r="Z206" s="230">
        <f t="shared" si="131"/>
        <v>0.59556073717069558</v>
      </c>
      <c r="AA206" s="230">
        <f t="shared" si="131"/>
        <v>0.60782099963715119</v>
      </c>
      <c r="AB206" s="230">
        <f t="shared" si="131"/>
        <v>0.62019473384056356</v>
      </c>
      <c r="AC206" s="230">
        <f t="shared" si="131"/>
        <v>0.63268639974566887</v>
      </c>
      <c r="AD206" s="230">
        <f t="shared" si="131"/>
        <v>0.64529449293820151</v>
      </c>
      <c r="AE206" s="230">
        <f t="shared" si="131"/>
        <v>0.65801743899309328</v>
      </c>
      <c r="AF206" s="230">
        <f t="shared" si="131"/>
        <v>0.67085359296776081</v>
      </c>
      <c r="AG206" s="230">
        <f t="shared" si="131"/>
        <v>0.68380123892080114</v>
      </c>
      <c r="AI206" s="214"/>
    </row>
    <row r="207" spans="1:36" s="58" customFormat="1">
      <c r="A207" s="58" t="s">
        <v>1366</v>
      </c>
      <c r="B207" s="303"/>
      <c r="C207" s="304">
        <f t="shared" ref="C207:AG207" si="132">C47</f>
        <v>6.2639109729489517</v>
      </c>
      <c r="D207" s="304">
        <f t="shared" si="132"/>
        <v>6.4738866622599067</v>
      </c>
      <c r="E207" s="304">
        <f t="shared" si="132"/>
        <v>6.673410569593794</v>
      </c>
      <c r="F207" s="304">
        <f t="shared" si="132"/>
        <v>6.8611132359640763</v>
      </c>
      <c r="G207" s="304">
        <f t="shared" si="132"/>
        <v>7.0356800041223151</v>
      </c>
      <c r="H207" s="304">
        <f t="shared" si="132"/>
        <v>7.1958663561693115</v>
      </c>
      <c r="I207" s="304">
        <f t="shared" si="132"/>
        <v>7.3563495357628295</v>
      </c>
      <c r="J207" s="304">
        <f t="shared" si="132"/>
        <v>7.5169842402565479</v>
      </c>
      <c r="K207" s="304">
        <f t="shared" si="132"/>
        <v>7.677621478059983</v>
      </c>
      <c r="L207" s="304">
        <f t="shared" si="132"/>
        <v>7.8381087623980026</v>
      </c>
      <c r="M207" s="304">
        <f t="shared" si="132"/>
        <v>7.9982903181655836</v>
      </c>
      <c r="N207" s="304">
        <f t="shared" si="132"/>
        <v>8.1463349010298778</v>
      </c>
      <c r="O207" s="304">
        <f t="shared" si="132"/>
        <v>8.2814214291186534</v>
      </c>
      <c r="P207" s="304">
        <f t="shared" si="132"/>
        <v>8.4027868149704492</v>
      </c>
      <c r="Q207" s="304">
        <f t="shared" si="132"/>
        <v>8.5097330578321113</v>
      </c>
      <c r="R207" s="304">
        <f t="shared" si="132"/>
        <v>8.6016338560379779</v>
      </c>
      <c r="S207" s="304">
        <f t="shared" si="132"/>
        <v>8.69357543687868</v>
      </c>
      <c r="T207" s="304">
        <f t="shared" si="132"/>
        <v>8.7855373159977717</v>
      </c>
      <c r="U207" s="304">
        <f t="shared" si="132"/>
        <v>8.8774987631141578</v>
      </c>
      <c r="V207" s="304">
        <f t="shared" si="132"/>
        <v>8.9694388085621313</v>
      </c>
      <c r="W207" s="304">
        <f t="shared" si="132"/>
        <v>9.0613362500486261</v>
      </c>
      <c r="X207" s="304">
        <f t="shared" si="132"/>
        <v>9.1532704764052113</v>
      </c>
      <c r="Y207" s="304">
        <f t="shared" si="132"/>
        <v>9.2452230303784617</v>
      </c>
      <c r="Z207" s="304">
        <f t="shared" si="132"/>
        <v>9.3371752461289983</v>
      </c>
      <c r="AA207" s="304">
        <f t="shared" si="132"/>
        <v>9.4291082545648273</v>
      </c>
      <c r="AB207" s="304">
        <f t="shared" si="132"/>
        <v>9.5210029888406886</v>
      </c>
      <c r="AC207" s="304">
        <f t="shared" si="132"/>
        <v>9.6129310720912393</v>
      </c>
      <c r="AD207" s="304">
        <f t="shared" si="132"/>
        <v>9.7048757856861769</v>
      </c>
      <c r="AE207" s="304">
        <f t="shared" si="132"/>
        <v>9.7968202325130598</v>
      </c>
      <c r="AF207" s="304">
        <f t="shared" si="132"/>
        <v>9.8887473413700739</v>
      </c>
      <c r="AG207" s="304">
        <f t="shared" si="132"/>
        <v>9.9806398714874938</v>
      </c>
      <c r="AI207" s="305"/>
      <c r="AJ207" s="306"/>
    </row>
    <row r="208" spans="1:36" s="58" customFormat="1">
      <c r="A208" s="307" t="s">
        <v>3</v>
      </c>
      <c r="B208" s="308" t="s">
        <v>704</v>
      </c>
      <c r="C208" s="309">
        <f>C207-C197</f>
        <v>0</v>
      </c>
      <c r="D208" s="309">
        <f t="shared" ref="D208:AG208" si="133">D207-D197</f>
        <v>0</v>
      </c>
      <c r="E208" s="309">
        <f t="shared" si="133"/>
        <v>0</v>
      </c>
      <c r="F208" s="309">
        <f t="shared" si="133"/>
        <v>0</v>
      </c>
      <c r="G208" s="309">
        <f t="shared" si="133"/>
        <v>0</v>
      </c>
      <c r="H208" s="309">
        <f t="shared" si="133"/>
        <v>0</v>
      </c>
      <c r="I208" s="309">
        <f t="shared" si="133"/>
        <v>0</v>
      </c>
      <c r="J208" s="309">
        <f t="shared" si="133"/>
        <v>0</v>
      </c>
      <c r="K208" s="309">
        <f t="shared" si="133"/>
        <v>0</v>
      </c>
      <c r="L208" s="309">
        <f t="shared" si="133"/>
        <v>0</v>
      </c>
      <c r="M208" s="309">
        <f t="shared" si="133"/>
        <v>0</v>
      </c>
      <c r="N208" s="309">
        <f t="shared" si="133"/>
        <v>0</v>
      </c>
      <c r="O208" s="309">
        <f t="shared" si="133"/>
        <v>0</v>
      </c>
      <c r="P208" s="309">
        <f t="shared" si="133"/>
        <v>0</v>
      </c>
      <c r="Q208" s="309">
        <f t="shared" si="133"/>
        <v>0</v>
      </c>
      <c r="R208" s="309">
        <f t="shared" si="133"/>
        <v>0</v>
      </c>
      <c r="S208" s="309">
        <f t="shared" si="133"/>
        <v>0</v>
      </c>
      <c r="T208" s="309">
        <f t="shared" si="133"/>
        <v>0</v>
      </c>
      <c r="U208" s="309">
        <f t="shared" si="133"/>
        <v>0</v>
      </c>
      <c r="V208" s="309">
        <f t="shared" si="133"/>
        <v>0</v>
      </c>
      <c r="W208" s="309">
        <f t="shared" si="133"/>
        <v>0</v>
      </c>
      <c r="X208" s="309">
        <f t="shared" si="133"/>
        <v>0</v>
      </c>
      <c r="Y208" s="309">
        <f t="shared" si="133"/>
        <v>0</v>
      </c>
      <c r="Z208" s="309">
        <f t="shared" si="133"/>
        <v>0</v>
      </c>
      <c r="AA208" s="309">
        <f t="shared" si="133"/>
        <v>0</v>
      </c>
      <c r="AB208" s="309">
        <f t="shared" si="133"/>
        <v>0</v>
      </c>
      <c r="AC208" s="309">
        <f t="shared" si="133"/>
        <v>0</v>
      </c>
      <c r="AD208" s="309">
        <f t="shared" si="133"/>
        <v>0</v>
      </c>
      <c r="AE208" s="309">
        <f t="shared" si="133"/>
        <v>0</v>
      </c>
      <c r="AF208" s="309">
        <f t="shared" si="133"/>
        <v>0</v>
      </c>
      <c r="AG208" s="309">
        <f t="shared" si="133"/>
        <v>0</v>
      </c>
      <c r="AI208" s="305"/>
      <c r="AJ208" s="306"/>
    </row>
    <row r="209" spans="1:36">
      <c r="A209" s="310" t="s">
        <v>51</v>
      </c>
      <c r="B209" s="302" t="s">
        <v>704</v>
      </c>
      <c r="C209" s="249">
        <f>C165</f>
        <v>0.29411849599012857</v>
      </c>
      <c r="D209" s="249">
        <f t="shared" ref="D209:AG209" si="134">D165</f>
        <v>0.34519391601580796</v>
      </c>
      <c r="E209" s="249">
        <f t="shared" si="134"/>
        <v>0.39831912413837989</v>
      </c>
      <c r="F209" s="249">
        <f t="shared" si="134"/>
        <v>0.45320403767359185</v>
      </c>
      <c r="G209" s="249">
        <f t="shared" si="134"/>
        <v>0.50952766795758908</v>
      </c>
      <c r="H209" s="249">
        <f t="shared" si="134"/>
        <v>0.56694107323375775</v>
      </c>
      <c r="I209" s="249">
        <f t="shared" si="134"/>
        <v>0.62641941356681119</v>
      </c>
      <c r="J209" s="249">
        <f t="shared" si="134"/>
        <v>0.68795506012102126</v>
      </c>
      <c r="K209" s="249">
        <f t="shared" si="134"/>
        <v>0.75153632267378723</v>
      </c>
      <c r="L209" s="249">
        <f t="shared" si="134"/>
        <v>0.81714735238699321</v>
      </c>
      <c r="M209" s="249">
        <f t="shared" si="134"/>
        <v>0.88476805342840015</v>
      </c>
      <c r="N209" s="249">
        <f t="shared" si="134"/>
        <v>0.95300849459260484</v>
      </c>
      <c r="O209" s="249">
        <f t="shared" si="134"/>
        <v>1.0215355823934487</v>
      </c>
      <c r="P209" s="249">
        <f t="shared" si="134"/>
        <v>1.0900028365980481</v>
      </c>
      <c r="Q209" s="249">
        <f t="shared" si="134"/>
        <v>1.1580532015000484</v>
      </c>
      <c r="R209" s="249">
        <f t="shared" si="134"/>
        <v>1.2253220597469408</v>
      </c>
      <c r="S209" s="249">
        <f t="shared" si="134"/>
        <v>1.2937671636997243</v>
      </c>
      <c r="T209" s="249">
        <f t="shared" si="134"/>
        <v>1.3633861134180485</v>
      </c>
      <c r="U209" s="249">
        <f t="shared" si="134"/>
        <v>1.4341759475757545</v>
      </c>
      <c r="V209" s="249">
        <f t="shared" si="134"/>
        <v>1.5061331367306496</v>
      </c>
      <c r="W209" s="249">
        <f t="shared" si="134"/>
        <v>1.5792535768819591</v>
      </c>
      <c r="X209" s="249">
        <f t="shared" si="134"/>
        <v>1.6535507960135065</v>
      </c>
      <c r="Y209" s="249">
        <f t="shared" si="134"/>
        <v>1.7290220448636191</v>
      </c>
      <c r="Z209" s="249">
        <f t="shared" si="134"/>
        <v>1.8056640637994834</v>
      </c>
      <c r="AA209" s="249">
        <f t="shared" si="134"/>
        <v>1.883473077242652</v>
      </c>
      <c r="AB209" s="249">
        <f t="shared" si="134"/>
        <v>1.9624447883324967</v>
      </c>
      <c r="AC209" s="249">
        <f t="shared" si="134"/>
        <v>2.0425936848168909</v>
      </c>
      <c r="AD209" s="249">
        <f t="shared" si="134"/>
        <v>2.1239167447662455</v>
      </c>
      <c r="AE209" s="249">
        <f t="shared" si="134"/>
        <v>2.2064104802958018</v>
      </c>
      <c r="AF209" s="249">
        <f t="shared" si="134"/>
        <v>2.2900709329013753</v>
      </c>
      <c r="AG209" s="249">
        <f t="shared" si="134"/>
        <v>2.3748936689935181</v>
      </c>
      <c r="AI209" s="296"/>
    </row>
    <row r="210" spans="1:36" s="68" customFormat="1">
      <c r="A210" s="311" t="s">
        <v>1387</v>
      </c>
      <c r="B210" s="312" t="s">
        <v>704</v>
      </c>
      <c r="C210" s="313">
        <f>C207-C209</f>
        <v>5.9697924769588235</v>
      </c>
      <c r="D210" s="313">
        <f t="shared" ref="D210:AG210" si="135">D207-D209</f>
        <v>6.1286927462440985</v>
      </c>
      <c r="E210" s="313">
        <f t="shared" si="135"/>
        <v>6.2750914454554145</v>
      </c>
      <c r="F210" s="313">
        <f t="shared" si="135"/>
        <v>6.4079091982904846</v>
      </c>
      <c r="G210" s="313">
        <f t="shared" si="135"/>
        <v>6.526152336164726</v>
      </c>
      <c r="H210" s="313">
        <f t="shared" si="135"/>
        <v>6.6289252829355538</v>
      </c>
      <c r="I210" s="313">
        <f t="shared" si="135"/>
        <v>6.7299301221960182</v>
      </c>
      <c r="J210" s="313">
        <f t="shared" si="135"/>
        <v>6.8290291801355263</v>
      </c>
      <c r="K210" s="313">
        <f t="shared" si="135"/>
        <v>6.926085155386196</v>
      </c>
      <c r="L210" s="313">
        <f t="shared" si="135"/>
        <v>7.0209614100110098</v>
      </c>
      <c r="M210" s="313">
        <f t="shared" si="135"/>
        <v>7.113522264737183</v>
      </c>
      <c r="N210" s="313">
        <f t="shared" si="135"/>
        <v>7.1933264064372731</v>
      </c>
      <c r="O210" s="313">
        <f t="shared" si="135"/>
        <v>7.2598858467252043</v>
      </c>
      <c r="P210" s="313">
        <f t="shared" si="135"/>
        <v>7.3127839783724014</v>
      </c>
      <c r="Q210" s="313">
        <f t="shared" si="135"/>
        <v>7.3516798563320629</v>
      </c>
      <c r="R210" s="313">
        <f t="shared" si="135"/>
        <v>7.3763117962910369</v>
      </c>
      <c r="S210" s="313">
        <f t="shared" si="135"/>
        <v>7.3998082731789552</v>
      </c>
      <c r="T210" s="313">
        <f t="shared" si="135"/>
        <v>7.4221512025797232</v>
      </c>
      <c r="U210" s="313">
        <f t="shared" si="135"/>
        <v>7.4433228155384032</v>
      </c>
      <c r="V210" s="313">
        <f t="shared" si="135"/>
        <v>7.4633056718314812</v>
      </c>
      <c r="W210" s="313">
        <f t="shared" si="135"/>
        <v>7.4820826731666674</v>
      </c>
      <c r="X210" s="313">
        <f t="shared" si="135"/>
        <v>7.4997196803917046</v>
      </c>
      <c r="Y210" s="313">
        <f t="shared" si="135"/>
        <v>7.5162009855148426</v>
      </c>
      <c r="Z210" s="313">
        <f t="shared" si="135"/>
        <v>7.5315111823295151</v>
      </c>
      <c r="AA210" s="313">
        <f t="shared" si="135"/>
        <v>7.5456351773221755</v>
      </c>
      <c r="AB210" s="313">
        <f t="shared" si="135"/>
        <v>7.5585582005081919</v>
      </c>
      <c r="AC210" s="313">
        <f t="shared" si="135"/>
        <v>7.570337387274348</v>
      </c>
      <c r="AD210" s="313">
        <f t="shared" si="135"/>
        <v>7.5809590409199314</v>
      </c>
      <c r="AE210" s="313">
        <f t="shared" si="135"/>
        <v>7.5904097522172584</v>
      </c>
      <c r="AF210" s="313">
        <f t="shared" si="135"/>
        <v>7.5986764084686982</v>
      </c>
      <c r="AG210" s="313">
        <f t="shared" si="135"/>
        <v>7.6057462024939753</v>
      </c>
      <c r="AI210" s="314"/>
      <c r="AJ210" s="315"/>
    </row>
    <row r="211" spans="1:36" s="58" customFormat="1" outlineLevel="1">
      <c r="A211" s="307" t="s">
        <v>1367</v>
      </c>
      <c r="B211" s="308" t="s">
        <v>462</v>
      </c>
      <c r="C211" s="309">
        <f>C207*C177</f>
        <v>5.2616852172771189</v>
      </c>
      <c r="D211" s="309">
        <f t="shared" ref="D211:AG211" si="136">D207*D177</f>
        <v>5.4639603429473613</v>
      </c>
      <c r="E211" s="309">
        <f t="shared" si="136"/>
        <v>5.659052163015537</v>
      </c>
      <c r="F211" s="309">
        <f t="shared" si="136"/>
        <v>5.8456684770413929</v>
      </c>
      <c r="G211" s="309">
        <f t="shared" si="136"/>
        <v>6.0225420835287018</v>
      </c>
      <c r="H211" s="309">
        <f t="shared" si="136"/>
        <v>6.1884450663056079</v>
      </c>
      <c r="I211" s="309">
        <f t="shared" si="136"/>
        <v>6.355885998899085</v>
      </c>
      <c r="J211" s="309">
        <f t="shared" si="136"/>
        <v>6.5247423205426838</v>
      </c>
      <c r="K211" s="309">
        <f t="shared" si="136"/>
        <v>6.6948859288683051</v>
      </c>
      <c r="L211" s="309">
        <f t="shared" si="136"/>
        <v>6.8661832758606502</v>
      </c>
      <c r="M211" s="309">
        <f t="shared" si="136"/>
        <v>7.0384954799857136</v>
      </c>
      <c r="N211" s="309">
        <f t="shared" si="136"/>
        <v>7.2013600525104122</v>
      </c>
      <c r="O211" s="309">
        <f t="shared" si="136"/>
        <v>7.3539022290573639</v>
      </c>
      <c r="P211" s="309">
        <f t="shared" si="136"/>
        <v>7.4952858389536408</v>
      </c>
      <c r="Q211" s="309">
        <f t="shared" si="136"/>
        <v>7.624720819817572</v>
      </c>
      <c r="R211" s="309">
        <f t="shared" si="136"/>
        <v>7.7414704704341801</v>
      </c>
      <c r="S211" s="309">
        <f t="shared" si="136"/>
        <v>7.8589921949383266</v>
      </c>
      <c r="T211" s="309">
        <f t="shared" si="136"/>
        <v>7.9772678829259771</v>
      </c>
      <c r="U211" s="309">
        <f t="shared" si="136"/>
        <v>8.0962788719601129</v>
      </c>
      <c r="V211" s="309">
        <f t="shared" si="136"/>
        <v>8.2160059486429127</v>
      </c>
      <c r="W211" s="309">
        <f t="shared" si="136"/>
        <v>8.3364293500447371</v>
      </c>
      <c r="X211" s="309">
        <f t="shared" si="136"/>
        <v>8.4576219201984149</v>
      </c>
      <c r="Y211" s="309">
        <f t="shared" si="136"/>
        <v>8.5795669721912127</v>
      </c>
      <c r="Z211" s="309">
        <f t="shared" si="136"/>
        <v>8.7022473293922271</v>
      </c>
      <c r="AA211" s="309">
        <f t="shared" si="136"/>
        <v>8.8256453262726779</v>
      </c>
      <c r="AB211" s="309">
        <f t="shared" si="136"/>
        <v>8.9497428095102478</v>
      </c>
      <c r="AC211" s="309">
        <f t="shared" si="136"/>
        <v>9.0746069320541309</v>
      </c>
      <c r="AD211" s="309">
        <f t="shared" si="136"/>
        <v>9.2002222448304956</v>
      </c>
      <c r="AE211" s="309">
        <f t="shared" si="136"/>
        <v>9.3265728613524335</v>
      </c>
      <c r="AF211" s="309">
        <f t="shared" si="136"/>
        <v>9.4536424583497922</v>
      </c>
      <c r="AG211" s="309">
        <f t="shared" si="136"/>
        <v>9.5814142766279939</v>
      </c>
      <c r="AI211" s="305"/>
      <c r="AJ211" s="339" t="s">
        <v>1363</v>
      </c>
    </row>
    <row r="212" spans="1:36" s="58" customFormat="1" outlineLevel="1">
      <c r="A212" s="307" t="s">
        <v>1368</v>
      </c>
      <c r="B212" s="308" t="s">
        <v>462</v>
      </c>
      <c r="C212" s="309">
        <f>C211*C178</f>
        <v>1.1575707478009662</v>
      </c>
      <c r="D212" s="309">
        <f t="shared" ref="D212:AG212" si="137">D211*D178</f>
        <v>1.2384976777347352</v>
      </c>
      <c r="E212" s="309">
        <f t="shared" si="137"/>
        <v>1.3204455047036252</v>
      </c>
      <c r="F212" s="309">
        <f t="shared" si="137"/>
        <v>1.402960434489934</v>
      </c>
      <c r="G212" s="309">
        <f t="shared" si="137"/>
        <v>1.4855603806037461</v>
      </c>
      <c r="H212" s="309">
        <f t="shared" si="137"/>
        <v>1.5677394167974203</v>
      </c>
      <c r="I212" s="309">
        <f t="shared" si="137"/>
        <v>1.6525303597137617</v>
      </c>
      <c r="J212" s="309">
        <f t="shared" si="137"/>
        <v>1.7399312854780487</v>
      </c>
      <c r="K212" s="309">
        <f t="shared" si="137"/>
        <v>1.829935487224003</v>
      </c>
      <c r="L212" s="309">
        <f t="shared" si="137"/>
        <v>1.9225313172409815</v>
      </c>
      <c r="M212" s="309">
        <f t="shared" si="137"/>
        <v>2.0177020375959041</v>
      </c>
      <c r="N212" s="309">
        <f t="shared" si="137"/>
        <v>2.112398948736387</v>
      </c>
      <c r="O212" s="309">
        <f t="shared" si="137"/>
        <v>2.2061706687172085</v>
      </c>
      <c r="P212" s="309">
        <f t="shared" si="137"/>
        <v>2.298554323945782</v>
      </c>
      <c r="Q212" s="309">
        <f t="shared" si="137"/>
        <v>2.3890791902095048</v>
      </c>
      <c r="R212" s="309">
        <f t="shared" si="137"/>
        <v>2.4772705505389365</v>
      </c>
      <c r="S212" s="309">
        <f t="shared" si="137"/>
        <v>2.5672707836798518</v>
      </c>
      <c r="T212" s="309">
        <f t="shared" si="137"/>
        <v>2.6590892943086577</v>
      </c>
      <c r="U212" s="309">
        <f t="shared" si="137"/>
        <v>2.7527348164664369</v>
      </c>
      <c r="V212" s="309">
        <f t="shared" si="137"/>
        <v>2.8482153955295413</v>
      </c>
      <c r="W212" s="309">
        <f t="shared" si="137"/>
        <v>2.9455383703491385</v>
      </c>
      <c r="X212" s="309">
        <f t="shared" si="137"/>
        <v>3.0447438912714273</v>
      </c>
      <c r="Y212" s="309">
        <f t="shared" si="137"/>
        <v>3.1458412231367761</v>
      </c>
      <c r="Z212" s="309">
        <f t="shared" si="137"/>
        <v>3.2488390029730958</v>
      </c>
      <c r="AA212" s="309">
        <f t="shared" si="137"/>
        <v>3.3537452239836152</v>
      </c>
      <c r="AB212" s="309">
        <f t="shared" si="137"/>
        <v>3.4605672196772934</v>
      </c>
      <c r="AC212" s="309">
        <f t="shared" si="137"/>
        <v>3.569345393274622</v>
      </c>
      <c r="AD212" s="309">
        <f t="shared" si="137"/>
        <v>3.6800888979321953</v>
      </c>
      <c r="AE212" s="309">
        <f t="shared" si="137"/>
        <v>3.7928062969499865</v>
      </c>
      <c r="AF212" s="309">
        <f t="shared" si="137"/>
        <v>3.9075055494512441</v>
      </c>
      <c r="AG212" s="309">
        <f t="shared" si="137"/>
        <v>4.0241939961837572</v>
      </c>
      <c r="AI212" s="305"/>
      <c r="AJ212" s="339" t="s">
        <v>1363</v>
      </c>
    </row>
    <row r="213" spans="1:36" s="62" customFormat="1" outlineLevel="1">
      <c r="A213" s="311" t="s">
        <v>1369</v>
      </c>
      <c r="B213" s="312" t="s">
        <v>462</v>
      </c>
      <c r="C213" s="313">
        <f>C211*C179</f>
        <v>4.1041144694761531</v>
      </c>
      <c r="D213" s="313">
        <f t="shared" ref="D213:AG213" si="138">D211*D179</f>
        <v>4.2254626652126257</v>
      </c>
      <c r="E213" s="313">
        <f t="shared" si="138"/>
        <v>4.3386066583119121</v>
      </c>
      <c r="F213" s="313">
        <f t="shared" si="138"/>
        <v>4.4427080425514589</v>
      </c>
      <c r="G213" s="313">
        <f t="shared" si="138"/>
        <v>4.5369817029249555</v>
      </c>
      <c r="H213" s="313">
        <f t="shared" si="138"/>
        <v>4.6207056495081877</v>
      </c>
      <c r="I213" s="313">
        <f t="shared" si="138"/>
        <v>4.7033556391853226</v>
      </c>
      <c r="J213" s="313">
        <f t="shared" si="138"/>
        <v>4.7848110350646351</v>
      </c>
      <c r="K213" s="313">
        <f t="shared" si="138"/>
        <v>4.8649504416443028</v>
      </c>
      <c r="L213" s="313">
        <f t="shared" si="138"/>
        <v>4.943651958619669</v>
      </c>
      <c r="M213" s="313">
        <f t="shared" si="138"/>
        <v>5.0207934423898095</v>
      </c>
      <c r="N213" s="313">
        <f t="shared" si="138"/>
        <v>5.0889611037740252</v>
      </c>
      <c r="O213" s="313">
        <f t="shared" si="138"/>
        <v>5.1477315603401559</v>
      </c>
      <c r="P213" s="313">
        <f t="shared" si="138"/>
        <v>5.1967315150078583</v>
      </c>
      <c r="Q213" s="313">
        <f t="shared" si="138"/>
        <v>5.2356416296080672</v>
      </c>
      <c r="R213" s="313">
        <f t="shared" si="138"/>
        <v>5.2641999198952441</v>
      </c>
      <c r="S213" s="313">
        <f t="shared" si="138"/>
        <v>5.2917214112584752</v>
      </c>
      <c r="T213" s="313">
        <f t="shared" si="138"/>
        <v>5.3181785886173198</v>
      </c>
      <c r="U213" s="313">
        <f t="shared" si="138"/>
        <v>5.3435440554936759</v>
      </c>
      <c r="V213" s="313">
        <f t="shared" si="138"/>
        <v>5.3677905531133714</v>
      </c>
      <c r="W213" s="313">
        <f t="shared" si="138"/>
        <v>5.3908909796955991</v>
      </c>
      <c r="X213" s="313">
        <f t="shared" si="138"/>
        <v>5.4128780289269871</v>
      </c>
      <c r="Y213" s="313">
        <f t="shared" si="138"/>
        <v>5.4337257490544362</v>
      </c>
      <c r="Z213" s="313">
        <f t="shared" si="138"/>
        <v>5.4534083264191313</v>
      </c>
      <c r="AA213" s="313">
        <f t="shared" si="138"/>
        <v>5.4719001022890632</v>
      </c>
      <c r="AB213" s="313">
        <f t="shared" si="138"/>
        <v>5.4891755898329544</v>
      </c>
      <c r="AC213" s="313">
        <f t="shared" si="138"/>
        <v>5.5052615387795081</v>
      </c>
      <c r="AD213" s="313">
        <f t="shared" si="138"/>
        <v>5.5201333468982998</v>
      </c>
      <c r="AE213" s="313">
        <f t="shared" si="138"/>
        <v>5.5337665644024474</v>
      </c>
      <c r="AF213" s="313">
        <f t="shared" si="138"/>
        <v>5.5461369088985482</v>
      </c>
      <c r="AG213" s="313">
        <f t="shared" si="138"/>
        <v>5.5572202804442368</v>
      </c>
      <c r="AI213" s="342"/>
      <c r="AJ213" s="341" t="s">
        <v>1363</v>
      </c>
    </row>
    <row r="214" spans="1:36" s="1" customFormat="1" outlineLevel="1">
      <c r="A214" t="s">
        <v>1370</v>
      </c>
      <c r="B214" s="302" t="s">
        <v>704</v>
      </c>
      <c r="C214" s="249">
        <f>C180*C211</f>
        <v>4.998600956413263</v>
      </c>
      <c r="D214" s="249">
        <f t="shared" ref="D214:AG214" si="139">D180*D211</f>
        <v>5.1634425240852559</v>
      </c>
      <c r="E214" s="249">
        <f t="shared" si="139"/>
        <v>5.3195090332346044</v>
      </c>
      <c r="F214" s="249">
        <f t="shared" si="139"/>
        <v>5.4657000260337023</v>
      </c>
      <c r="G214" s="249">
        <f t="shared" si="139"/>
        <v>5.6009641376816921</v>
      </c>
      <c r="H214" s="249">
        <f t="shared" si="139"/>
        <v>5.7243116863326868</v>
      </c>
      <c r="I214" s="249">
        <f t="shared" si="139"/>
        <v>5.8474151189871577</v>
      </c>
      <c r="J214" s="249">
        <f t="shared" si="139"/>
        <v>5.9701392232965551</v>
      </c>
      <c r="K214" s="249">
        <f t="shared" si="139"/>
        <v>6.0923461952701574</v>
      </c>
      <c r="L214" s="249">
        <f t="shared" si="139"/>
        <v>6.213895864653888</v>
      </c>
      <c r="M214" s="249">
        <f t="shared" si="139"/>
        <v>6.3346459319871418</v>
      </c>
      <c r="N214" s="249">
        <f t="shared" si="139"/>
        <v>6.4452172469968181</v>
      </c>
      <c r="O214" s="249">
        <f t="shared" si="139"/>
        <v>6.5449729838610535</v>
      </c>
      <c r="P214" s="249">
        <f t="shared" si="139"/>
        <v>6.6333279674739716</v>
      </c>
      <c r="Q214" s="249">
        <f t="shared" si="139"/>
        <v>6.7097543214394628</v>
      </c>
      <c r="R214" s="249">
        <f t="shared" si="139"/>
        <v>6.7737866616299067</v>
      </c>
      <c r="S214" s="249">
        <f t="shared" si="139"/>
        <v>6.8373232095963434</v>
      </c>
      <c r="T214" s="249">
        <f t="shared" si="139"/>
        <v>6.9003367187309692</v>
      </c>
      <c r="U214" s="249">
        <f t="shared" si="139"/>
        <v>6.9627998298856957</v>
      </c>
      <c r="V214" s="249">
        <f t="shared" si="139"/>
        <v>7.024685086089689</v>
      </c>
      <c r="W214" s="249">
        <f t="shared" si="139"/>
        <v>7.0859649475380255</v>
      </c>
      <c r="X214" s="249">
        <f t="shared" si="139"/>
        <v>7.1466905225676598</v>
      </c>
      <c r="Y214" s="249">
        <f t="shared" si="139"/>
        <v>7.2068362566406172</v>
      </c>
      <c r="Z214" s="249">
        <f t="shared" si="139"/>
        <v>7.2663765200425088</v>
      </c>
      <c r="AA214" s="249">
        <f t="shared" si="139"/>
        <v>7.3252856208063211</v>
      </c>
      <c r="AB214" s="249">
        <f t="shared" si="139"/>
        <v>7.3835378178459532</v>
      </c>
      <c r="AC214" s="249">
        <f t="shared" si="139"/>
        <v>7.4411776842843862</v>
      </c>
      <c r="AD214" s="249">
        <f t="shared" si="139"/>
        <v>7.4981811295368521</v>
      </c>
      <c r="AE214" s="249">
        <f t="shared" si="139"/>
        <v>7.5545240176954698</v>
      </c>
      <c r="AF214" s="249">
        <f t="shared" si="139"/>
        <v>7.6101821789715807</v>
      </c>
      <c r="AG214" s="249">
        <f t="shared" si="139"/>
        <v>7.6651314213023953</v>
      </c>
      <c r="AI214" s="316"/>
      <c r="AJ214" s="211" t="s">
        <v>1363</v>
      </c>
    </row>
    <row r="215" spans="1:36" s="1" customFormat="1" outlineLevel="1">
      <c r="A215" t="s">
        <v>1371</v>
      </c>
      <c r="B215" s="302" t="s">
        <v>704</v>
      </c>
      <c r="C215" s="249">
        <f>C181*C211</f>
        <v>0.26308426086385595</v>
      </c>
      <c r="D215" s="249">
        <f t="shared" ref="D215:AG215" si="140">D181*D211</f>
        <v>0.30051781886210494</v>
      </c>
      <c r="E215" s="249">
        <f t="shared" si="140"/>
        <v>0.33954312978093226</v>
      </c>
      <c r="F215" s="249">
        <f t="shared" si="140"/>
        <v>0.37996845100769061</v>
      </c>
      <c r="G215" s="249">
        <f t="shared" si="140"/>
        <v>0.42157794584700925</v>
      </c>
      <c r="H215" s="249">
        <f t="shared" si="140"/>
        <v>0.46413337997292076</v>
      </c>
      <c r="I215" s="249">
        <f t="shared" si="140"/>
        <v>0.50847087991192697</v>
      </c>
      <c r="J215" s="249">
        <f t="shared" si="140"/>
        <v>0.55460309724612833</v>
      </c>
      <c r="K215" s="249">
        <f t="shared" si="140"/>
        <v>0.60253973359814772</v>
      </c>
      <c r="L215" s="249">
        <f t="shared" si="140"/>
        <v>0.65228741120676204</v>
      </c>
      <c r="M215" s="249">
        <f t="shared" si="140"/>
        <v>0.70384954799857169</v>
      </c>
      <c r="N215" s="249">
        <f t="shared" si="140"/>
        <v>0.7561428055135937</v>
      </c>
      <c r="O215" s="249">
        <f t="shared" si="140"/>
        <v>0.80892924519631049</v>
      </c>
      <c r="P215" s="249">
        <f t="shared" si="140"/>
        <v>0.86195787147966918</v>
      </c>
      <c r="Q215" s="249">
        <f t="shared" si="140"/>
        <v>0.91496649837810917</v>
      </c>
      <c r="R215" s="249">
        <f t="shared" si="140"/>
        <v>0.96768380880427296</v>
      </c>
      <c r="S215" s="249">
        <f t="shared" si="140"/>
        <v>1.0216689853419829</v>
      </c>
      <c r="T215" s="249">
        <f t="shared" si="140"/>
        <v>1.0769311641950075</v>
      </c>
      <c r="U215" s="249">
        <f t="shared" si="140"/>
        <v>1.1334790420744163</v>
      </c>
      <c r="V215" s="249">
        <f t="shared" si="140"/>
        <v>1.191320862553223</v>
      </c>
      <c r="W215" s="249">
        <f t="shared" si="140"/>
        <v>1.2504644025067113</v>
      </c>
      <c r="X215" s="249">
        <f t="shared" si="140"/>
        <v>1.3109313976307551</v>
      </c>
      <c r="Y215" s="249">
        <f t="shared" si="140"/>
        <v>1.3727307155505948</v>
      </c>
      <c r="Z215" s="249">
        <f t="shared" si="140"/>
        <v>1.4358708093497183</v>
      </c>
      <c r="AA215" s="249">
        <f t="shared" si="140"/>
        <v>1.500359705466356</v>
      </c>
      <c r="AB215" s="249">
        <f t="shared" si="140"/>
        <v>1.5662049916642942</v>
      </c>
      <c r="AC215" s="249">
        <f t="shared" si="140"/>
        <v>1.6334292477697445</v>
      </c>
      <c r="AD215" s="249">
        <f t="shared" si="140"/>
        <v>1.7020411152936428</v>
      </c>
      <c r="AE215" s="249">
        <f t="shared" si="140"/>
        <v>1.7720488436569635</v>
      </c>
      <c r="AF215" s="249">
        <f t="shared" si="140"/>
        <v>1.8434602793782107</v>
      </c>
      <c r="AG215" s="249">
        <f t="shared" si="140"/>
        <v>1.9162828553255988</v>
      </c>
      <c r="AI215" s="316"/>
      <c r="AJ215" s="211" t="s">
        <v>1363</v>
      </c>
    </row>
    <row r="216" spans="1:36" s="1" customFormat="1" outlineLevel="1">
      <c r="A216" t="s">
        <v>1372</v>
      </c>
      <c r="B216" s="302" t="s">
        <v>704</v>
      </c>
      <c r="C216" s="249">
        <f>C214*C182</f>
        <v>0.74979014346198947</v>
      </c>
      <c r="D216" s="249">
        <f t="shared" ref="D216:AG216" si="141">D214*D182</f>
        <v>0.80721818126532829</v>
      </c>
      <c r="E216" s="249">
        <f t="shared" si="141"/>
        <v>0.86530680273949556</v>
      </c>
      <c r="F216" s="249">
        <f t="shared" si="141"/>
        <v>0.92370330439969561</v>
      </c>
      <c r="G216" s="249">
        <f t="shared" si="141"/>
        <v>0.98203571214018992</v>
      </c>
      <c r="H216" s="249">
        <f t="shared" si="141"/>
        <v>1.0399166230171046</v>
      </c>
      <c r="I216" s="249">
        <f t="shared" si="141"/>
        <v>1.0993140423695855</v>
      </c>
      <c r="J216" s="249">
        <f t="shared" si="141"/>
        <v>1.1601970557272969</v>
      </c>
      <c r="K216" s="249">
        <f t="shared" si="141"/>
        <v>1.2225308031842115</v>
      </c>
      <c r="L216" s="249">
        <f t="shared" si="141"/>
        <v>1.2862764439833545</v>
      </c>
      <c r="M216" s="249">
        <f t="shared" si="141"/>
        <v>1.3513911321572567</v>
      </c>
      <c r="N216" s="249">
        <f t="shared" si="141"/>
        <v>1.4157993885903009</v>
      </c>
      <c r="O216" s="249">
        <f t="shared" si="141"/>
        <v>1.4791638943525978</v>
      </c>
      <c r="P216" s="249">
        <f t="shared" si="141"/>
        <v>1.5411431977764525</v>
      </c>
      <c r="Q216" s="249">
        <f t="shared" si="141"/>
        <v>1.6013946980502181</v>
      </c>
      <c r="R216" s="249">
        <f t="shared" si="141"/>
        <v>1.6595777320993268</v>
      </c>
      <c r="S216" s="249">
        <f t="shared" si="141"/>
        <v>1.7184472333452141</v>
      </c>
      <c r="T216" s="249">
        <f t="shared" si="141"/>
        <v>1.7779867611930129</v>
      </c>
      <c r="U216" s="249">
        <f t="shared" si="141"/>
        <v>1.8381791550898237</v>
      </c>
      <c r="V216" s="249">
        <f t="shared" si="141"/>
        <v>1.8990065349395795</v>
      </c>
      <c r="W216" s="249">
        <f t="shared" si="141"/>
        <v>1.9604503021521875</v>
      </c>
      <c r="X216" s="249">
        <f t="shared" si="141"/>
        <v>2.0225134178866484</v>
      </c>
      <c r="Y216" s="249">
        <f t="shared" si="141"/>
        <v>2.0851779569213527</v>
      </c>
      <c r="Z216" s="249">
        <f t="shared" si="141"/>
        <v>2.1484253244259026</v>
      </c>
      <c r="AA216" s="249">
        <f t="shared" si="141"/>
        <v>2.2122362574835099</v>
      </c>
      <c r="AB216" s="249">
        <f t="shared" si="141"/>
        <v>2.2765908271691702</v>
      </c>
      <c r="AC216" s="249">
        <f t="shared" si="141"/>
        <v>2.341490577988155</v>
      </c>
      <c r="AD216" s="249">
        <f t="shared" si="141"/>
        <v>2.4069161425813315</v>
      </c>
      <c r="AE216" s="249">
        <f t="shared" si="141"/>
        <v>2.4728475284589857</v>
      </c>
      <c r="AF216" s="249">
        <f t="shared" si="141"/>
        <v>2.5392641203835193</v>
      </c>
      <c r="AG216" s="249">
        <f t="shared" si="141"/>
        <v>2.6061446832428148</v>
      </c>
      <c r="AI216" s="316"/>
      <c r="AJ216" s="211" t="s">
        <v>1363</v>
      </c>
    </row>
    <row r="217" spans="1:36" s="1" customFormat="1" outlineLevel="1">
      <c r="A217" t="s">
        <v>1373</v>
      </c>
      <c r="B217" s="302" t="s">
        <v>704</v>
      </c>
      <c r="C217" s="249">
        <f>C214*C183</f>
        <v>4.2488108129512732</v>
      </c>
      <c r="D217" s="249">
        <f t="shared" ref="D217:AG217" si="142">D214*D183</f>
        <v>4.3562243428199272</v>
      </c>
      <c r="E217" s="249">
        <f t="shared" si="142"/>
        <v>4.4542022304951088</v>
      </c>
      <c r="F217" s="249">
        <f t="shared" si="142"/>
        <v>4.5419967216340069</v>
      </c>
      <c r="G217" s="249">
        <f t="shared" si="142"/>
        <v>4.6189284255415028</v>
      </c>
      <c r="H217" s="249">
        <f t="shared" si="142"/>
        <v>4.6843950633155824</v>
      </c>
      <c r="I217" s="249">
        <f t="shared" si="142"/>
        <v>4.7481010766175729</v>
      </c>
      <c r="J217" s="249">
        <f t="shared" si="142"/>
        <v>4.8099421675692593</v>
      </c>
      <c r="K217" s="249">
        <f t="shared" si="142"/>
        <v>4.8698153920859468</v>
      </c>
      <c r="L217" s="249">
        <f t="shared" si="142"/>
        <v>4.9276194206705348</v>
      </c>
      <c r="M217" s="249">
        <f t="shared" si="142"/>
        <v>4.9832547998298864</v>
      </c>
      <c r="N217" s="249">
        <f t="shared" si="142"/>
        <v>5.0294178584065188</v>
      </c>
      <c r="O217" s="249">
        <f t="shared" si="142"/>
        <v>5.0658090895084573</v>
      </c>
      <c r="P217" s="249">
        <f t="shared" si="142"/>
        <v>5.0921847696975213</v>
      </c>
      <c r="Q217" s="249">
        <f t="shared" si="142"/>
        <v>5.108359623389247</v>
      </c>
      <c r="R217" s="249">
        <f t="shared" si="142"/>
        <v>5.1142089295305828</v>
      </c>
      <c r="S217" s="249">
        <f t="shared" si="142"/>
        <v>5.1188759762511324</v>
      </c>
      <c r="T217" s="249">
        <f t="shared" si="142"/>
        <v>5.1223499575379599</v>
      </c>
      <c r="U217" s="249">
        <f t="shared" si="142"/>
        <v>5.1246206747958762</v>
      </c>
      <c r="V217" s="249">
        <f t="shared" si="142"/>
        <v>5.1256785511501137</v>
      </c>
      <c r="W217" s="249">
        <f t="shared" si="142"/>
        <v>5.1255146453858424</v>
      </c>
      <c r="X217" s="249">
        <f t="shared" si="142"/>
        <v>5.1241771046810163</v>
      </c>
      <c r="Y217" s="249">
        <f t="shared" si="142"/>
        <v>5.1216582997192699</v>
      </c>
      <c r="Z217" s="249">
        <f t="shared" si="142"/>
        <v>5.1179511956166124</v>
      </c>
      <c r="AA217" s="249">
        <f t="shared" si="142"/>
        <v>5.1130493633228173</v>
      </c>
      <c r="AB217" s="249">
        <f t="shared" si="142"/>
        <v>5.1069469906767901</v>
      </c>
      <c r="AC217" s="249">
        <f t="shared" si="142"/>
        <v>5.0996871062962388</v>
      </c>
      <c r="AD217" s="249">
        <f t="shared" si="142"/>
        <v>5.0912649869555286</v>
      </c>
      <c r="AE217" s="249">
        <f t="shared" si="142"/>
        <v>5.0816764892364921</v>
      </c>
      <c r="AF217" s="249">
        <f t="shared" si="142"/>
        <v>5.0709180585880702</v>
      </c>
      <c r="AG217" s="249">
        <f t="shared" si="142"/>
        <v>5.0589867380595814</v>
      </c>
      <c r="AI217" s="316"/>
      <c r="AJ217" s="211" t="s">
        <v>1363</v>
      </c>
    </row>
    <row r="218" spans="1:36" s="1" customFormat="1" outlineLevel="1">
      <c r="A218" t="s">
        <v>1374</v>
      </c>
      <c r="B218" s="302" t="s">
        <v>704</v>
      </c>
      <c r="C218" s="249">
        <f>C184*C217</f>
        <v>0</v>
      </c>
      <c r="D218" s="249">
        <f t="shared" ref="D218:AG218" si="143">D184*D217</f>
        <v>0</v>
      </c>
      <c r="E218" s="249">
        <f t="shared" si="143"/>
        <v>0</v>
      </c>
      <c r="F218" s="249">
        <f t="shared" si="143"/>
        <v>0</v>
      </c>
      <c r="G218" s="249">
        <f t="shared" si="143"/>
        <v>0</v>
      </c>
      <c r="H218" s="249">
        <f t="shared" si="143"/>
        <v>0</v>
      </c>
      <c r="I218" s="249">
        <f t="shared" si="143"/>
        <v>0</v>
      </c>
      <c r="J218" s="249">
        <f t="shared" si="143"/>
        <v>0</v>
      </c>
      <c r="K218" s="249">
        <f t="shared" si="143"/>
        <v>0</v>
      </c>
      <c r="L218" s="249">
        <f t="shared" si="143"/>
        <v>0</v>
      </c>
      <c r="M218" s="249">
        <f t="shared" si="143"/>
        <v>0</v>
      </c>
      <c r="N218" s="249">
        <f t="shared" si="143"/>
        <v>0</v>
      </c>
      <c r="O218" s="249">
        <f t="shared" si="143"/>
        <v>0</v>
      </c>
      <c r="P218" s="249">
        <f t="shared" si="143"/>
        <v>0</v>
      </c>
      <c r="Q218" s="249">
        <f t="shared" si="143"/>
        <v>0</v>
      </c>
      <c r="R218" s="249">
        <f t="shared" si="143"/>
        <v>0</v>
      </c>
      <c r="S218" s="249">
        <f t="shared" si="143"/>
        <v>0</v>
      </c>
      <c r="T218" s="249">
        <f t="shared" si="143"/>
        <v>0</v>
      </c>
      <c r="U218" s="249">
        <f t="shared" si="143"/>
        <v>0</v>
      </c>
      <c r="V218" s="249">
        <f t="shared" si="143"/>
        <v>0</v>
      </c>
      <c r="W218" s="249">
        <f t="shared" si="143"/>
        <v>0</v>
      </c>
      <c r="X218" s="249">
        <f t="shared" si="143"/>
        <v>0</v>
      </c>
      <c r="Y218" s="249">
        <f t="shared" si="143"/>
        <v>0</v>
      </c>
      <c r="Z218" s="249">
        <f t="shared" si="143"/>
        <v>0</v>
      </c>
      <c r="AA218" s="249">
        <f t="shared" si="143"/>
        <v>0</v>
      </c>
      <c r="AB218" s="249">
        <f t="shared" si="143"/>
        <v>0</v>
      </c>
      <c r="AC218" s="249">
        <f t="shared" si="143"/>
        <v>0</v>
      </c>
      <c r="AD218" s="249">
        <f t="shared" si="143"/>
        <v>0</v>
      </c>
      <c r="AE218" s="249">
        <f t="shared" si="143"/>
        <v>0</v>
      </c>
      <c r="AF218" s="249">
        <f t="shared" si="143"/>
        <v>0</v>
      </c>
      <c r="AG218" s="249">
        <f t="shared" si="143"/>
        <v>0</v>
      </c>
      <c r="AI218" s="316"/>
      <c r="AJ218" s="211" t="s">
        <v>1363</v>
      </c>
    </row>
    <row r="219" spans="1:36" s="1" customFormat="1" outlineLevel="1">
      <c r="A219" t="s">
        <v>1388</v>
      </c>
      <c r="B219" s="302" t="s">
        <v>704</v>
      </c>
      <c r="C219" s="249">
        <f>C185*C217</f>
        <v>4.2488108129512732</v>
      </c>
      <c r="D219" s="249">
        <f t="shared" ref="D219:AG219" si="144">D185*D217</f>
        <v>4.3562243428199272</v>
      </c>
      <c r="E219" s="249">
        <f t="shared" si="144"/>
        <v>4.4542022304951088</v>
      </c>
      <c r="F219" s="249">
        <f t="shared" si="144"/>
        <v>4.5419967216340069</v>
      </c>
      <c r="G219" s="249">
        <f t="shared" si="144"/>
        <v>4.6189284255415028</v>
      </c>
      <c r="H219" s="249">
        <f t="shared" si="144"/>
        <v>4.6843950633155824</v>
      </c>
      <c r="I219" s="249">
        <f t="shared" si="144"/>
        <v>4.7481010766175729</v>
      </c>
      <c r="J219" s="249">
        <f t="shared" si="144"/>
        <v>4.8099421675692593</v>
      </c>
      <c r="K219" s="249">
        <f t="shared" si="144"/>
        <v>4.8698153920859468</v>
      </c>
      <c r="L219" s="249">
        <f t="shared" si="144"/>
        <v>4.9276194206705348</v>
      </c>
      <c r="M219" s="249">
        <f t="shared" si="144"/>
        <v>4.9832547998298864</v>
      </c>
      <c r="N219" s="249">
        <f t="shared" si="144"/>
        <v>5.0294178584065188</v>
      </c>
      <c r="O219" s="249">
        <f t="shared" si="144"/>
        <v>5.0658090895084573</v>
      </c>
      <c r="P219" s="249">
        <f t="shared" si="144"/>
        <v>5.0921847696975213</v>
      </c>
      <c r="Q219" s="249">
        <f t="shared" si="144"/>
        <v>5.108359623389247</v>
      </c>
      <c r="R219" s="249">
        <f t="shared" si="144"/>
        <v>5.1142089295305828</v>
      </c>
      <c r="S219" s="249">
        <f t="shared" si="144"/>
        <v>5.1188759762511324</v>
      </c>
      <c r="T219" s="249">
        <f t="shared" si="144"/>
        <v>5.1223499575379599</v>
      </c>
      <c r="U219" s="249">
        <f t="shared" si="144"/>
        <v>5.1246206747958762</v>
      </c>
      <c r="V219" s="249">
        <f t="shared" si="144"/>
        <v>5.1256785511501137</v>
      </c>
      <c r="W219" s="249">
        <f t="shared" si="144"/>
        <v>5.1255146453858424</v>
      </c>
      <c r="X219" s="249">
        <f t="shared" si="144"/>
        <v>5.1241771046810163</v>
      </c>
      <c r="Y219" s="249">
        <f t="shared" si="144"/>
        <v>5.1216582997192699</v>
      </c>
      <c r="Z219" s="249">
        <f t="shared" si="144"/>
        <v>5.1179511956166124</v>
      </c>
      <c r="AA219" s="249">
        <f t="shared" si="144"/>
        <v>5.1130493633228173</v>
      </c>
      <c r="AB219" s="249">
        <f t="shared" si="144"/>
        <v>5.1069469906767901</v>
      </c>
      <c r="AC219" s="249">
        <f t="shared" si="144"/>
        <v>5.0996871062962388</v>
      </c>
      <c r="AD219" s="249">
        <f t="shared" si="144"/>
        <v>5.0912649869555286</v>
      </c>
      <c r="AE219" s="249">
        <f t="shared" si="144"/>
        <v>5.0816764892364921</v>
      </c>
      <c r="AF219" s="249">
        <f t="shared" si="144"/>
        <v>5.0709180585880702</v>
      </c>
      <c r="AG219" s="249">
        <f t="shared" si="144"/>
        <v>5.0589867380595814</v>
      </c>
      <c r="AI219" s="316"/>
      <c r="AJ219" s="211" t="s">
        <v>1363</v>
      </c>
    </row>
    <row r="220" spans="1:36" s="1" customFormat="1" outlineLevel="1">
      <c r="A220" t="s">
        <v>1376</v>
      </c>
      <c r="B220" s="302" t="s">
        <v>704</v>
      </c>
      <c r="C220" s="249">
        <f>C186*(C218+C216)</f>
        <v>0.59983211476959164</v>
      </c>
      <c r="D220" s="249">
        <f t="shared" ref="D220:AG220" si="145">D186*(D218+D216)</f>
        <v>0.6484652722831471</v>
      </c>
      <c r="E220" s="249">
        <f t="shared" si="145"/>
        <v>0.69801415420985968</v>
      </c>
      <c r="F220" s="249">
        <f t="shared" si="145"/>
        <v>0.74819967656375341</v>
      </c>
      <c r="G220" s="249">
        <f t="shared" si="145"/>
        <v>0.79872237920735434</v>
      </c>
      <c r="H220" s="249">
        <f t="shared" si="145"/>
        <v>0.84926524213063537</v>
      </c>
      <c r="I220" s="249">
        <f t="shared" si="145"/>
        <v>0.90143751474306</v>
      </c>
      <c r="J220" s="249">
        <f t="shared" si="145"/>
        <v>0.95522890921547421</v>
      </c>
      <c r="K220" s="249">
        <f t="shared" si="145"/>
        <v>1.0106254639656145</v>
      </c>
      <c r="L220" s="249">
        <f t="shared" si="145"/>
        <v>1.067609448506184</v>
      </c>
      <c r="M220" s="249">
        <f t="shared" si="145"/>
        <v>1.1261592767977135</v>
      </c>
      <c r="N220" s="249">
        <f t="shared" si="145"/>
        <v>1.1845521551205513</v>
      </c>
      <c r="O220" s="249">
        <f t="shared" si="145"/>
        <v>1.2424976712561815</v>
      </c>
      <c r="P220" s="249">
        <f t="shared" si="145"/>
        <v>1.2996974301248077</v>
      </c>
      <c r="Q220" s="249">
        <f t="shared" si="145"/>
        <v>1.3558475110158505</v>
      </c>
      <c r="R220" s="249">
        <f t="shared" si="145"/>
        <v>1.4106410722844269</v>
      </c>
      <c r="S220" s="249">
        <f t="shared" si="145"/>
        <v>1.4664083057879151</v>
      </c>
      <c r="T220" s="249">
        <f t="shared" si="145"/>
        <v>1.5231419920886802</v>
      </c>
      <c r="U220" s="249">
        <f t="shared" si="145"/>
        <v>1.5808340733772472</v>
      </c>
      <c r="V220" s="249">
        <f t="shared" si="145"/>
        <v>1.6394756418311691</v>
      </c>
      <c r="W220" s="249">
        <f t="shared" si="145"/>
        <v>1.6990569285318946</v>
      </c>
      <c r="X220" s="249">
        <f t="shared" si="145"/>
        <v>1.7595866735613828</v>
      </c>
      <c r="Y220" s="249">
        <f t="shared" si="145"/>
        <v>1.8210554157113132</v>
      </c>
      <c r="Z220" s="249">
        <f t="shared" si="145"/>
        <v>1.8834528677467064</v>
      </c>
      <c r="AA220" s="249">
        <f t="shared" si="145"/>
        <v>1.946767906585487</v>
      </c>
      <c r="AB220" s="249">
        <f t="shared" si="145"/>
        <v>2.0109885639994318</v>
      </c>
      <c r="AC220" s="249">
        <f t="shared" si="145"/>
        <v>2.076121645816162</v>
      </c>
      <c r="AD220" s="249">
        <f t="shared" si="145"/>
        <v>2.142155366897383</v>
      </c>
      <c r="AE220" s="249">
        <f t="shared" si="145"/>
        <v>2.2090771254233581</v>
      </c>
      <c r="AF220" s="249">
        <f t="shared" si="145"/>
        <v>2.2768734946105531</v>
      </c>
      <c r="AG220" s="249">
        <f t="shared" si="145"/>
        <v>2.3455302149185333</v>
      </c>
      <c r="AH220" s="249"/>
      <c r="AI220" s="316"/>
      <c r="AJ220" s="211" t="s">
        <v>1363</v>
      </c>
    </row>
    <row r="221" spans="1:36" s="1" customFormat="1" outlineLevel="1">
      <c r="A221" t="s">
        <v>1377</v>
      </c>
      <c r="B221" s="302" t="s">
        <v>704</v>
      </c>
      <c r="C221" s="249">
        <f>C187*(C218+C216)</f>
        <v>0.14995802869239791</v>
      </c>
      <c r="D221" s="249">
        <f t="shared" ref="D221:AG221" si="146">D187*(D218+D216)</f>
        <v>0.15875290898218125</v>
      </c>
      <c r="E221" s="249">
        <f t="shared" si="146"/>
        <v>0.16729264852963582</v>
      </c>
      <c r="F221" s="249">
        <f t="shared" si="146"/>
        <v>0.1755036278359422</v>
      </c>
      <c r="G221" s="249">
        <f t="shared" si="146"/>
        <v>0.1833133329328355</v>
      </c>
      <c r="H221" s="249">
        <f t="shared" si="146"/>
        <v>0.19065138088646924</v>
      </c>
      <c r="I221" s="249">
        <f t="shared" si="146"/>
        <v>0.19787652762652544</v>
      </c>
      <c r="J221" s="249">
        <f t="shared" si="146"/>
        <v>0.20496814651182252</v>
      </c>
      <c r="K221" s="249">
        <f t="shared" si="146"/>
        <v>0.21190533921859672</v>
      </c>
      <c r="L221" s="249">
        <f t="shared" si="146"/>
        <v>0.21866699547717036</v>
      </c>
      <c r="M221" s="249">
        <f t="shared" si="146"/>
        <v>0.22523185535954288</v>
      </c>
      <c r="N221" s="249">
        <f t="shared" si="146"/>
        <v>0.23124723346974926</v>
      </c>
      <c r="O221" s="249">
        <f t="shared" si="146"/>
        <v>0.23666622309641577</v>
      </c>
      <c r="P221" s="249">
        <f t="shared" si="146"/>
        <v>0.24144576765164436</v>
      </c>
      <c r="Q221" s="249">
        <f t="shared" si="146"/>
        <v>0.24554718703436693</v>
      </c>
      <c r="R221" s="249">
        <f t="shared" si="146"/>
        <v>0.24893665981489921</v>
      </c>
      <c r="S221" s="249">
        <f t="shared" si="146"/>
        <v>0.25203892755729829</v>
      </c>
      <c r="T221" s="249">
        <f t="shared" si="146"/>
        <v>0.25484476910433207</v>
      </c>
      <c r="U221" s="249">
        <f t="shared" si="146"/>
        <v>0.25734508171257553</v>
      </c>
      <c r="V221" s="249">
        <f t="shared" si="146"/>
        <v>0.25953089310840943</v>
      </c>
      <c r="W221" s="249">
        <f t="shared" si="146"/>
        <v>0.26139337362029191</v>
      </c>
      <c r="X221" s="249">
        <f t="shared" si="146"/>
        <v>0.26292674432526458</v>
      </c>
      <c r="Y221" s="249">
        <f t="shared" si="146"/>
        <v>0.26412254121003831</v>
      </c>
      <c r="Z221" s="249">
        <f t="shared" si="146"/>
        <v>0.264972456679195</v>
      </c>
      <c r="AA221" s="249">
        <f t="shared" si="146"/>
        <v>0.26546835089802157</v>
      </c>
      <c r="AB221" s="249">
        <f t="shared" si="146"/>
        <v>0.2656022631697369</v>
      </c>
      <c r="AC221" s="249">
        <f t="shared" si="146"/>
        <v>0.26536893217199131</v>
      </c>
      <c r="AD221" s="249">
        <f t="shared" si="146"/>
        <v>0.2647607756839469</v>
      </c>
      <c r="AE221" s="249">
        <f t="shared" si="146"/>
        <v>0.2637704030356256</v>
      </c>
      <c r="AF221" s="249">
        <f t="shared" si="146"/>
        <v>0.26239062577296418</v>
      </c>
      <c r="AG221" s="249">
        <f t="shared" si="146"/>
        <v>0.26061446832428148</v>
      </c>
      <c r="AI221" s="316"/>
      <c r="AJ221" s="211" t="s">
        <v>1363</v>
      </c>
    </row>
    <row r="222" spans="1:36" s="1" customFormat="1" outlineLevel="1">
      <c r="A222" t="s">
        <v>1378</v>
      </c>
      <c r="B222" s="302" t="s">
        <v>704</v>
      </c>
      <c r="C222" s="249">
        <f>C215*C188</f>
        <v>0.24993004782066314</v>
      </c>
      <c r="D222" s="249">
        <f t="shared" ref="D222:AG222" si="147">D215*D188</f>
        <v>0.28509123749385024</v>
      </c>
      <c r="E222" s="249">
        <f t="shared" si="147"/>
        <v>0.32166052494580316</v>
      </c>
      <c r="F222" s="249">
        <f t="shared" si="147"/>
        <v>0.35945015465327534</v>
      </c>
      <c r="G222" s="249">
        <f t="shared" si="147"/>
        <v>0.39825063284347478</v>
      </c>
      <c r="H222" s="249">
        <f t="shared" si="147"/>
        <v>0.43783248844112199</v>
      </c>
      <c r="I222" s="249">
        <f t="shared" si="147"/>
        <v>0.4789795688770353</v>
      </c>
      <c r="J222" s="249">
        <f t="shared" si="147"/>
        <v>0.52169664680952488</v>
      </c>
      <c r="K222" s="249">
        <f t="shared" si="147"/>
        <v>0.56598565642652687</v>
      </c>
      <c r="L222" s="249">
        <f t="shared" si="147"/>
        <v>0.61184559171194297</v>
      </c>
      <c r="M222" s="249">
        <f t="shared" si="147"/>
        <v>0.65927240995866232</v>
      </c>
      <c r="N222" s="249">
        <f t="shared" si="147"/>
        <v>0.70724557075704819</v>
      </c>
      <c r="O222" s="249">
        <f t="shared" si="147"/>
        <v>0.75553991501335427</v>
      </c>
      <c r="P222" s="249">
        <f t="shared" si="147"/>
        <v>0.8039193748000385</v>
      </c>
      <c r="Q222" s="249">
        <f t="shared" si="147"/>
        <v>0.85213879882281274</v>
      </c>
      <c r="R222" s="249">
        <f t="shared" si="147"/>
        <v>0.8999459421879743</v>
      </c>
      <c r="S222" s="249">
        <f t="shared" si="147"/>
        <v>0.94878993105425535</v>
      </c>
      <c r="T222" s="249">
        <f t="shared" si="147"/>
        <v>0.99867416626350414</v>
      </c>
      <c r="U222" s="249">
        <f t="shared" si="147"/>
        <v>1.0496015929609102</v>
      </c>
      <c r="V222" s="249">
        <f t="shared" si="147"/>
        <v>1.1015746909075477</v>
      </c>
      <c r="W222" s="249">
        <f t="shared" si="147"/>
        <v>1.1545954649811976</v>
      </c>
      <c r="X222" s="249">
        <f t="shared" si="147"/>
        <v>1.208678748615557</v>
      </c>
      <c r="Y222" s="249">
        <f t="shared" si="147"/>
        <v>1.2638274121169153</v>
      </c>
      <c r="Z222" s="249">
        <f t="shared" si="147"/>
        <v>1.3200438973955089</v>
      </c>
      <c r="AA222" s="249">
        <f t="shared" si="147"/>
        <v>1.3773302096181159</v>
      </c>
      <c r="AB222" s="249">
        <f t="shared" si="147"/>
        <v>1.4356879090256043</v>
      </c>
      <c r="AC222" s="249">
        <f t="shared" si="147"/>
        <v>1.495132238125241</v>
      </c>
      <c r="AD222" s="249">
        <f t="shared" si="147"/>
        <v>1.5556655793783911</v>
      </c>
      <c r="AE222" s="249">
        <f t="shared" si="147"/>
        <v>1.6172899113109236</v>
      </c>
      <c r="AF222" s="249">
        <f t="shared" si="147"/>
        <v>1.6800068012733445</v>
      </c>
      <c r="AG222" s="249">
        <f t="shared" si="147"/>
        <v>1.743817398346295</v>
      </c>
      <c r="AI222" s="316"/>
      <c r="AJ222" s="211" t="s">
        <v>1363</v>
      </c>
    </row>
    <row r="223" spans="1:36" s="1" customFormat="1" outlineLevel="1">
      <c r="A223" t="s">
        <v>1389</v>
      </c>
      <c r="B223" s="302" t="s">
        <v>704</v>
      </c>
      <c r="C223" s="249">
        <f>C215*C189</f>
        <v>1.3154213043192798E-2</v>
      </c>
      <c r="D223" s="249">
        <f t="shared" ref="D223:AG223" si="148">D215*D189</f>
        <v>1.542658136825472E-2</v>
      </c>
      <c r="E223" s="249">
        <f t="shared" si="148"/>
        <v>1.7882604835129098E-2</v>
      </c>
      <c r="F223" s="249">
        <f t="shared" si="148"/>
        <v>2.0518296354415294E-2</v>
      </c>
      <c r="G223" s="249">
        <f t="shared" si="148"/>
        <v>2.3327313003534512E-2</v>
      </c>
      <c r="H223" s="249">
        <f t="shared" si="148"/>
        <v>2.6300891531798841E-2</v>
      </c>
      <c r="I223" s="249">
        <f t="shared" si="148"/>
        <v>2.9491311034891762E-2</v>
      </c>
      <c r="J223" s="249">
        <f t="shared" si="148"/>
        <v>3.2906450436603611E-2</v>
      </c>
      <c r="K223" s="249">
        <f t="shared" si="148"/>
        <v>3.6554077171620958E-2</v>
      </c>
      <c r="L223" s="249">
        <f t="shared" si="148"/>
        <v>4.0441819494819238E-2</v>
      </c>
      <c r="M223" s="249">
        <f t="shared" si="148"/>
        <v>4.4577138039909536E-2</v>
      </c>
      <c r="N223" s="249">
        <f t="shared" si="148"/>
        <v>4.8897234756545727E-2</v>
      </c>
      <c r="O223" s="249">
        <f t="shared" si="148"/>
        <v>5.3389330182956496E-2</v>
      </c>
      <c r="P223" s="249">
        <f t="shared" si="148"/>
        <v>5.8038496679631069E-2</v>
      </c>
      <c r="Q223" s="249">
        <f t="shared" si="148"/>
        <v>6.2827699555296837E-2</v>
      </c>
      <c r="R223" s="249">
        <f t="shared" si="148"/>
        <v>6.7737866616299131E-2</v>
      </c>
      <c r="S223" s="249">
        <f t="shared" si="148"/>
        <v>7.2879054287728146E-2</v>
      </c>
      <c r="T223" s="249">
        <f t="shared" si="148"/>
        <v>7.825699793150391E-2</v>
      </c>
      <c r="U223" s="249">
        <f t="shared" si="148"/>
        <v>8.387744911350685E-2</v>
      </c>
      <c r="V223" s="249">
        <f t="shared" si="148"/>
        <v>8.9746171645676179E-2</v>
      </c>
      <c r="W223" s="249">
        <f t="shared" si="148"/>
        <v>9.5868937525514591E-2</v>
      </c>
      <c r="X223" s="249">
        <f t="shared" si="148"/>
        <v>0.10225264901519897</v>
      </c>
      <c r="Y223" s="249">
        <f t="shared" si="148"/>
        <v>0.1089033034336806</v>
      </c>
      <c r="Z223" s="249">
        <f t="shared" si="148"/>
        <v>0.11582691195421072</v>
      </c>
      <c r="AA223" s="249">
        <f t="shared" si="148"/>
        <v>0.1230294958482413</v>
      </c>
      <c r="AB223" s="249">
        <f t="shared" si="148"/>
        <v>0.1305170826386913</v>
      </c>
      <c r="AC223" s="249">
        <f t="shared" si="148"/>
        <v>0.13829700964450517</v>
      </c>
      <c r="AD223" s="249">
        <f t="shared" si="148"/>
        <v>0.14637553591525343</v>
      </c>
      <c r="AE223" s="249">
        <f t="shared" si="148"/>
        <v>0.15475893234604166</v>
      </c>
      <c r="AF223" s="249">
        <f t="shared" si="148"/>
        <v>0.16345347810486821</v>
      </c>
      <c r="AG223" s="249">
        <f t="shared" si="148"/>
        <v>0.17246545697930388</v>
      </c>
      <c r="AI223" s="316"/>
      <c r="AJ223" s="211" t="s">
        <v>1363</v>
      </c>
    </row>
    <row r="224" spans="1:36" s="1" customFormat="1" outlineLevel="1">
      <c r="A224" t="s">
        <v>1380</v>
      </c>
      <c r="B224" s="302" t="s">
        <v>704</v>
      </c>
      <c r="C224" s="249">
        <f t="shared" ref="C224:AG224" si="149">C220*C190</f>
        <v>0.16195467098778976</v>
      </c>
      <c r="D224" s="249">
        <f t="shared" si="149"/>
        <v>0.17249176242731715</v>
      </c>
      <c r="E224" s="249">
        <f t="shared" si="149"/>
        <v>0.18287970840298323</v>
      </c>
      <c r="F224" s="249">
        <f t="shared" si="149"/>
        <v>0.19303551655344839</v>
      </c>
      <c r="G224" s="249">
        <f t="shared" si="149"/>
        <v>0.202875484318668</v>
      </c>
      <c r="H224" s="249">
        <f t="shared" si="149"/>
        <v>0.21231631053265884</v>
      </c>
      <c r="I224" s="249">
        <f t="shared" si="149"/>
        <v>0.22175362862679276</v>
      </c>
      <c r="J224" s="249">
        <f t="shared" si="149"/>
        <v>0.23116539603014474</v>
      </c>
      <c r="K224" s="249">
        <f t="shared" si="149"/>
        <v>0.24052886042381624</v>
      </c>
      <c r="L224" s="249">
        <f t="shared" si="149"/>
        <v>0.24982061095044705</v>
      </c>
      <c r="M224" s="249">
        <f t="shared" si="149"/>
        <v>0.25901663366347411</v>
      </c>
      <c r="N224" s="249">
        <f t="shared" si="149"/>
        <v>0.2677087870572446</v>
      </c>
      <c r="O224" s="249">
        <f t="shared" si="149"/>
        <v>0.27583448301887226</v>
      </c>
      <c r="P224" s="249">
        <f t="shared" si="149"/>
        <v>0.28333403976720806</v>
      </c>
      <c r="Q224" s="249">
        <f t="shared" si="149"/>
        <v>0.290151367357392</v>
      </c>
      <c r="R224" s="249">
        <f t="shared" si="149"/>
        <v>0.29623462517972959</v>
      </c>
      <c r="S224" s="249">
        <f t="shared" si="149"/>
        <v>0.30208011099231047</v>
      </c>
      <c r="T224" s="249">
        <f t="shared" si="149"/>
        <v>0.30767468240191331</v>
      </c>
      <c r="U224" s="249">
        <f t="shared" si="149"/>
        <v>0.31300514652869488</v>
      </c>
      <c r="V224" s="249">
        <f t="shared" si="149"/>
        <v>0.31805827451524671</v>
      </c>
      <c r="W224" s="249">
        <f t="shared" si="149"/>
        <v>0.32282081642105986</v>
      </c>
      <c r="X224" s="249">
        <f t="shared" si="149"/>
        <v>0.3272831212824171</v>
      </c>
      <c r="Y224" s="249">
        <f t="shared" si="149"/>
        <v>0.33143208565945892</v>
      </c>
      <c r="Z224" s="249">
        <f t="shared" si="149"/>
        <v>0.33525461045891364</v>
      </c>
      <c r="AA224" s="249">
        <f t="shared" si="149"/>
        <v>0.33873761574587463</v>
      </c>
      <c r="AB224" s="249">
        <f t="shared" si="149"/>
        <v>0.34186805587990327</v>
      </c>
      <c r="AC224" s="249">
        <f t="shared" si="149"/>
        <v>0.34463619320548272</v>
      </c>
      <c r="AD224" s="249">
        <f t="shared" si="149"/>
        <v>0.34702916943737588</v>
      </c>
      <c r="AE224" s="249">
        <f t="shared" si="149"/>
        <v>0.34903418581689039</v>
      </c>
      <c r="AF224" s="249">
        <f t="shared" si="149"/>
        <v>0.350638518170025</v>
      </c>
      <c r="AG224" s="249">
        <f t="shared" si="149"/>
        <v>0.35182953223777996</v>
      </c>
      <c r="AI224" s="316"/>
      <c r="AJ224" s="211"/>
    </row>
    <row r="225" spans="1:36" s="67" customFormat="1">
      <c r="A225" s="345" t="s">
        <v>1381</v>
      </c>
      <c r="B225" s="308" t="s">
        <v>704</v>
      </c>
      <c r="C225" s="309">
        <f>C191*C$210</f>
        <v>0.95516679631341184</v>
      </c>
      <c r="D225" s="309">
        <f t="shared" ref="D225:AG230" si="150">D191*D$210</f>
        <v>1.0132772007123576</v>
      </c>
      <c r="E225" s="309">
        <f t="shared" si="150"/>
        <v>1.0709489400243908</v>
      </c>
      <c r="F225" s="309">
        <f t="shared" si="150"/>
        <v>1.1277920188991253</v>
      </c>
      <c r="G225" s="309">
        <f t="shared" si="150"/>
        <v>1.1834089569578703</v>
      </c>
      <c r="H225" s="309">
        <f t="shared" si="150"/>
        <v>1.23739938614797</v>
      </c>
      <c r="I225" s="309">
        <f t="shared" si="150"/>
        <v>1.2921465834616352</v>
      </c>
      <c r="J225" s="309">
        <f t="shared" si="150"/>
        <v>1.3475950915467436</v>
      </c>
      <c r="K225" s="309">
        <f t="shared" si="150"/>
        <v>1.4036865914916021</v>
      </c>
      <c r="L225" s="309">
        <f t="shared" si="150"/>
        <v>1.4603599732822898</v>
      </c>
      <c r="M225" s="309">
        <f t="shared" si="150"/>
        <v>1.5175514164772654</v>
      </c>
      <c r="N225" s="309">
        <f t="shared" si="150"/>
        <v>1.5729407075409501</v>
      </c>
      <c r="O225" s="309">
        <f t="shared" si="150"/>
        <v>1.6262144296664454</v>
      </c>
      <c r="P225" s="309">
        <f t="shared" si="150"/>
        <v>1.677065125706737</v>
      </c>
      <c r="Q225" s="309">
        <f t="shared" si="150"/>
        <v>1.7251942062859236</v>
      </c>
      <c r="R225" s="309">
        <f t="shared" si="150"/>
        <v>1.7703148311098484</v>
      </c>
      <c r="S225" s="309">
        <f t="shared" si="150"/>
        <v>1.8154196296865699</v>
      </c>
      <c r="T225" s="309">
        <f t="shared" si="150"/>
        <v>1.8604859014466502</v>
      </c>
      <c r="U225" s="309">
        <f t="shared" si="150"/>
        <v>1.9054906407778309</v>
      </c>
      <c r="V225" s="309">
        <f t="shared" si="150"/>
        <v>1.9504105489052936</v>
      </c>
      <c r="W225" s="309">
        <f t="shared" si="150"/>
        <v>1.9952220461777779</v>
      </c>
      <c r="X225" s="309">
        <f t="shared" si="150"/>
        <v>2.0399237530665437</v>
      </c>
      <c r="Y225" s="309">
        <f t="shared" si="150"/>
        <v>2.0844930733161169</v>
      </c>
      <c r="Z225" s="309">
        <f t="shared" si="150"/>
        <v>2.12890716087181</v>
      </c>
      <c r="AA225" s="309">
        <f t="shared" si="150"/>
        <v>2.1731429310687873</v>
      </c>
      <c r="AB225" s="309">
        <f t="shared" si="150"/>
        <v>2.2171770721490707</v>
      </c>
      <c r="AC225" s="309">
        <f t="shared" si="150"/>
        <v>2.2610074329992731</v>
      </c>
      <c r="AD225" s="309">
        <f t="shared" si="150"/>
        <v>2.3046115484396603</v>
      </c>
      <c r="AE225" s="309">
        <f t="shared" si="150"/>
        <v>2.3479667500192067</v>
      </c>
      <c r="AF225" s="309">
        <f t="shared" si="150"/>
        <v>2.3910501765314853</v>
      </c>
      <c r="AG225" s="309">
        <f t="shared" si="150"/>
        <v>2.433838784798072</v>
      </c>
      <c r="AI225" s="337"/>
      <c r="AJ225" s="348"/>
    </row>
    <row r="226" spans="1:36">
      <c r="A226" s="346" t="s">
        <v>1382</v>
      </c>
      <c r="B226" s="302" t="s">
        <v>704</v>
      </c>
      <c r="C226" s="249">
        <f t="shared" ref="C226:R230" si="151">C192*C$210</f>
        <v>2.2088232164747645</v>
      </c>
      <c r="D226" s="249">
        <f t="shared" si="151"/>
        <v>2.2778308040207231</v>
      </c>
      <c r="E226" s="249">
        <f t="shared" si="151"/>
        <v>2.3427008063033545</v>
      </c>
      <c r="F226" s="249">
        <f t="shared" si="151"/>
        <v>2.4029659493589315</v>
      </c>
      <c r="G226" s="249">
        <f t="shared" si="151"/>
        <v>2.4581840466220464</v>
      </c>
      <c r="H226" s="249">
        <f t="shared" si="151"/>
        <v>2.5079433987106174</v>
      </c>
      <c r="I226" s="249">
        <f t="shared" si="151"/>
        <v>2.5573734464344864</v>
      </c>
      <c r="J226" s="249">
        <f t="shared" si="151"/>
        <v>2.6064128037517249</v>
      </c>
      <c r="K226" s="249">
        <f t="shared" si="151"/>
        <v>2.6549993095647073</v>
      </c>
      <c r="L226" s="249">
        <f t="shared" si="151"/>
        <v>2.7030701428542376</v>
      </c>
      <c r="M226" s="249">
        <f t="shared" si="151"/>
        <v>2.7505619423650427</v>
      </c>
      <c r="N226" s="249">
        <f t="shared" si="151"/>
        <v>2.7934084211664731</v>
      </c>
      <c r="O226" s="249">
        <f t="shared" si="151"/>
        <v>2.831355480222828</v>
      </c>
      <c r="P226" s="249">
        <f t="shared" si="151"/>
        <v>2.8641737248625221</v>
      </c>
      <c r="Q226" s="249">
        <f t="shared" si="151"/>
        <v>2.8916607434906094</v>
      </c>
      <c r="R226" s="249">
        <f t="shared" si="151"/>
        <v>2.9136431595349577</v>
      </c>
      <c r="S226" s="249">
        <f t="shared" si="150"/>
        <v>2.9352572816943168</v>
      </c>
      <c r="T226" s="249">
        <f t="shared" si="150"/>
        <v>2.9564902290275876</v>
      </c>
      <c r="U226" s="249">
        <f t="shared" si="150"/>
        <v>2.9773291262153592</v>
      </c>
      <c r="V226" s="249">
        <f t="shared" si="150"/>
        <v>2.997761111518976</v>
      </c>
      <c r="W226" s="249">
        <f t="shared" si="150"/>
        <v>3.0177733448438868</v>
      </c>
      <c r="X226" s="249">
        <f t="shared" si="150"/>
        <v>3.0373864705586375</v>
      </c>
      <c r="Y226" s="249">
        <f t="shared" si="150"/>
        <v>3.0565884007760333</v>
      </c>
      <c r="Z226" s="249">
        <f t="shared" si="150"/>
        <v>3.0753670661178822</v>
      </c>
      <c r="AA226" s="249">
        <f t="shared" si="150"/>
        <v>3.0937104227020886</v>
      </c>
      <c r="AB226" s="249">
        <f t="shared" si="150"/>
        <v>3.1116064592092023</v>
      </c>
      <c r="AC226" s="249">
        <f t="shared" si="150"/>
        <v>3.1290727867400605</v>
      </c>
      <c r="AD226" s="249">
        <f t="shared" si="150"/>
        <v>3.1460980019817679</v>
      </c>
      <c r="AE226" s="249">
        <f t="shared" si="150"/>
        <v>3.1626707300905208</v>
      </c>
      <c r="AF226" s="249">
        <f t="shared" si="150"/>
        <v>3.1787796308760683</v>
      </c>
      <c r="AG226" s="249">
        <f t="shared" si="150"/>
        <v>3.1944134050474693</v>
      </c>
      <c r="AI226" s="296"/>
    </row>
    <row r="227" spans="1:36">
      <c r="A227" s="346" t="s">
        <v>1383</v>
      </c>
      <c r="B227" s="302" t="s">
        <v>704</v>
      </c>
      <c r="C227" s="249">
        <f t="shared" si="151"/>
        <v>0.47758339815670592</v>
      </c>
      <c r="D227" s="249">
        <f t="shared" si="150"/>
        <v>0.47599513662495829</v>
      </c>
      <c r="E227" s="249">
        <f t="shared" si="150"/>
        <v>0.47272355555764117</v>
      </c>
      <c r="F227" s="249">
        <f t="shared" si="150"/>
        <v>0.46777737147520526</v>
      </c>
      <c r="G227" s="249">
        <f t="shared" si="150"/>
        <v>0.46118143175564047</v>
      </c>
      <c r="H227" s="249">
        <f t="shared" si="150"/>
        <v>0.45297656100059597</v>
      </c>
      <c r="I227" s="249">
        <f t="shared" si="150"/>
        <v>0.44417538806493695</v>
      </c>
      <c r="J227" s="249">
        <f t="shared" si="150"/>
        <v>0.43478152446862822</v>
      </c>
      <c r="K227" s="249">
        <f t="shared" si="150"/>
        <v>0.42479988953035303</v>
      </c>
      <c r="L227" s="249">
        <f t="shared" si="150"/>
        <v>0.41423672319064925</v>
      </c>
      <c r="M227" s="249">
        <f t="shared" si="150"/>
        <v>0.40309959500177339</v>
      </c>
      <c r="N227" s="249">
        <f t="shared" si="150"/>
        <v>0.39083740141642487</v>
      </c>
      <c r="O227" s="249">
        <f t="shared" si="150"/>
        <v>0.37751406402971033</v>
      </c>
      <c r="P227" s="249">
        <f t="shared" si="150"/>
        <v>0.36320160425916226</v>
      </c>
      <c r="Q227" s="249">
        <f t="shared" si="150"/>
        <v>0.34797951319971732</v>
      </c>
      <c r="R227" s="249">
        <f t="shared" si="150"/>
        <v>0.33193403083309636</v>
      </c>
      <c r="S227" s="249">
        <f t="shared" si="150"/>
        <v>0.31572515298896842</v>
      </c>
      <c r="T227" s="249">
        <f t="shared" si="150"/>
        <v>0.29936009850404854</v>
      </c>
      <c r="U227" s="249">
        <f t="shared" si="150"/>
        <v>0.28284626699045901</v>
      </c>
      <c r="V227" s="249">
        <f t="shared" si="150"/>
        <v>0.26619123562865582</v>
      </c>
      <c r="W227" s="249">
        <f t="shared" si="150"/>
        <v>0.24940275577222193</v>
      </c>
      <c r="X227" s="249">
        <f t="shared" si="150"/>
        <v>0.23249131009214252</v>
      </c>
      <c r="Y227" s="249">
        <f t="shared" si="150"/>
        <v>0.21546442825142517</v>
      </c>
      <c r="Z227" s="249">
        <f t="shared" si="150"/>
        <v>0.19832979446801025</v>
      </c>
      <c r="AA227" s="249">
        <f t="shared" si="150"/>
        <v>0.1810952442557319</v>
      </c>
      <c r="AB227" s="249">
        <f t="shared" si="150"/>
        <v>0.16376876101101051</v>
      </c>
      <c r="AC227" s="249">
        <f t="shared" si="150"/>
        <v>0.14635985615397043</v>
      </c>
      <c r="AD227" s="249">
        <f t="shared" si="150"/>
        <v>0.12887630369563852</v>
      </c>
      <c r="AE227" s="249">
        <f t="shared" si="150"/>
        <v>0.11132600969918616</v>
      </c>
      <c r="AF227" s="249">
        <f t="shared" si="150"/>
        <v>9.3717009037780311E-2</v>
      </c>
      <c r="AG227" s="249">
        <f t="shared" si="150"/>
        <v>7.6057462024939751E-2</v>
      </c>
      <c r="AI227" s="296"/>
    </row>
    <row r="228" spans="1:36">
      <c r="A228" s="346" t="s">
        <v>1384</v>
      </c>
      <c r="B228" s="302" t="s">
        <v>704</v>
      </c>
      <c r="C228" s="249">
        <f t="shared" si="151"/>
        <v>1.6118439687788824</v>
      </c>
      <c r="D228" s="249">
        <f t="shared" si="150"/>
        <v>1.6322751680830119</v>
      </c>
      <c r="E228" s="249">
        <f t="shared" si="150"/>
        <v>1.6482573530062892</v>
      </c>
      <c r="F228" s="249">
        <f t="shared" si="150"/>
        <v>1.6596484823572359</v>
      </c>
      <c r="G228" s="249">
        <f t="shared" si="150"/>
        <v>1.6663442298340605</v>
      </c>
      <c r="H228" s="249">
        <f t="shared" si="150"/>
        <v>1.6682795295387818</v>
      </c>
      <c r="I228" s="249">
        <f t="shared" si="150"/>
        <v>1.6690226703046132</v>
      </c>
      <c r="J228" s="249">
        <f t="shared" si="150"/>
        <v>1.668559463013114</v>
      </c>
      <c r="K228" s="249">
        <f t="shared" si="150"/>
        <v>1.6668778273962783</v>
      </c>
      <c r="L228" s="249">
        <f t="shared" si="150"/>
        <v>1.6639678541726097</v>
      </c>
      <c r="M228" s="249">
        <f t="shared" si="150"/>
        <v>1.6598218617720095</v>
      </c>
      <c r="N228" s="249">
        <f t="shared" si="150"/>
        <v>1.6520672980117606</v>
      </c>
      <c r="O228" s="249">
        <f t="shared" si="150"/>
        <v>1.6407342013598962</v>
      </c>
      <c r="P228" s="249">
        <f t="shared" si="150"/>
        <v>1.6258756378581305</v>
      </c>
      <c r="Q228" s="249">
        <f t="shared" si="150"/>
        <v>1.607567328584611</v>
      </c>
      <c r="R228" s="249">
        <f t="shared" si="150"/>
        <v>1.5859070362025727</v>
      </c>
      <c r="S228" s="249">
        <f t="shared" si="150"/>
        <v>1.5638261483984854</v>
      </c>
      <c r="T228" s="249">
        <f t="shared" si="150"/>
        <v>1.5413333997357221</v>
      </c>
      <c r="U228" s="249">
        <f t="shared" si="150"/>
        <v>1.5184378543698338</v>
      </c>
      <c r="V228" s="249">
        <f t="shared" si="150"/>
        <v>1.4951489029235727</v>
      </c>
      <c r="W228" s="249">
        <f t="shared" si="150"/>
        <v>1.4714762590561106</v>
      </c>
      <c r="X228" s="249">
        <f t="shared" si="150"/>
        <v>1.4474458983155982</v>
      </c>
      <c r="Y228" s="249">
        <f t="shared" si="150"/>
        <v>1.4230673865908092</v>
      </c>
      <c r="Z228" s="249">
        <f t="shared" si="150"/>
        <v>1.3983505761858457</v>
      </c>
      <c r="AA228" s="249">
        <f t="shared" si="150"/>
        <v>1.3733056022726349</v>
      </c>
      <c r="AB228" s="249">
        <f t="shared" si="150"/>
        <v>1.3479428790906265</v>
      </c>
      <c r="AC228" s="249">
        <f t="shared" si="150"/>
        <v>1.3222855969772516</v>
      </c>
      <c r="AD228" s="249">
        <f t="shared" si="150"/>
        <v>1.2963439959973069</v>
      </c>
      <c r="AE228" s="249">
        <f t="shared" si="150"/>
        <v>1.270128565204353</v>
      </c>
      <c r="AF228" s="249">
        <f t="shared" si="150"/>
        <v>1.2436500388527088</v>
      </c>
      <c r="AG228" s="249">
        <f t="shared" si="150"/>
        <v>1.216919392399036</v>
      </c>
      <c r="AI228" s="296"/>
    </row>
    <row r="229" spans="1:36">
      <c r="A229" s="346" t="s">
        <v>1385</v>
      </c>
      <c r="B229" s="302" t="s">
        <v>704</v>
      </c>
      <c r="C229" s="249">
        <f t="shared" si="151"/>
        <v>0.41788547338711768</v>
      </c>
      <c r="D229" s="249">
        <f t="shared" si="150"/>
        <v>0.42696559465500555</v>
      </c>
      <c r="E229" s="249">
        <f t="shared" si="150"/>
        <v>0.43507300688490874</v>
      </c>
      <c r="F229" s="249">
        <f t="shared" si="150"/>
        <v>0.44214573468204338</v>
      </c>
      <c r="G229" s="249">
        <f t="shared" si="150"/>
        <v>0.4481291270833111</v>
      </c>
      <c r="H229" s="249">
        <f t="shared" si="150"/>
        <v>0.45297656100059608</v>
      </c>
      <c r="I229" s="249">
        <f t="shared" si="150"/>
        <v>0.45763524830932906</v>
      </c>
      <c r="J229" s="249">
        <f t="shared" si="150"/>
        <v>0.4620976411891704</v>
      </c>
      <c r="K229" s="249">
        <f t="shared" si="150"/>
        <v>0.4663564004626703</v>
      </c>
      <c r="L229" s="249">
        <f t="shared" si="150"/>
        <v>0.47040441447073739</v>
      </c>
      <c r="M229" s="249">
        <f t="shared" si="150"/>
        <v>0.47423481764914521</v>
      </c>
      <c r="N229" s="249">
        <f t="shared" si="150"/>
        <v>0.47715731829367208</v>
      </c>
      <c r="O229" s="249">
        <f t="shared" si="150"/>
        <v>0.47915246588386312</v>
      </c>
      <c r="P229" s="249">
        <f t="shared" si="150"/>
        <v>0.48020614791312061</v>
      </c>
      <c r="Q229" s="249">
        <f t="shared" si="150"/>
        <v>0.4803097506136943</v>
      </c>
      <c r="R229" s="249">
        <f t="shared" si="150"/>
        <v>0.4794602667589169</v>
      </c>
      <c r="S229" s="249">
        <f t="shared" si="150"/>
        <v>0.47852093499890525</v>
      </c>
      <c r="T229" s="249">
        <f t="shared" si="150"/>
        <v>0.47749172736596163</v>
      </c>
      <c r="U229" s="249">
        <f t="shared" si="150"/>
        <v>0.47637266019445718</v>
      </c>
      <c r="V229" s="249">
        <f t="shared" si="150"/>
        <v>0.475163794439937</v>
      </c>
      <c r="W229" s="249">
        <f t="shared" si="150"/>
        <v>0.47386523596722158</v>
      </c>
      <c r="X229" s="249">
        <f t="shared" si="150"/>
        <v>0.47248233986467664</v>
      </c>
      <c r="Y229" s="249">
        <f t="shared" si="150"/>
        <v>0.47101526175892938</v>
      </c>
      <c r="Z229" s="249">
        <f t="shared" si="150"/>
        <v>0.46946419703187237</v>
      </c>
      <c r="AA229" s="249">
        <f t="shared" si="150"/>
        <v>0.46782938099397414</v>
      </c>
      <c r="AB229" s="249">
        <f t="shared" si="150"/>
        <v>0.4661110890313378</v>
      </c>
      <c r="AC229" s="249">
        <f t="shared" si="150"/>
        <v>0.46431402641949265</v>
      </c>
      <c r="AD229" s="249">
        <f t="shared" si="150"/>
        <v>0.46243850149611515</v>
      </c>
      <c r="AE229" s="249">
        <f t="shared" si="150"/>
        <v>0.46048485830117969</v>
      </c>
      <c r="AF229" s="249">
        <f t="shared" si="150"/>
        <v>0.45845347664427744</v>
      </c>
      <c r="AG229" s="249">
        <f t="shared" si="150"/>
        <v>0.45634477214963848</v>
      </c>
      <c r="AI229" s="296"/>
    </row>
    <row r="230" spans="1:36" s="68" customFormat="1">
      <c r="A230" s="347" t="s">
        <v>1386</v>
      </c>
      <c r="B230" s="312" t="s">
        <v>704</v>
      </c>
      <c r="C230" s="313">
        <f t="shared" si="151"/>
        <v>0.2984896238479412</v>
      </c>
      <c r="D230" s="313">
        <f t="shared" si="150"/>
        <v>0.3023488421480422</v>
      </c>
      <c r="E230" s="313">
        <f t="shared" si="150"/>
        <v>0.30538778367883013</v>
      </c>
      <c r="F230" s="313">
        <f t="shared" si="150"/>
        <v>0.3075796415179432</v>
      </c>
      <c r="G230" s="313">
        <f t="shared" si="150"/>
        <v>0.30890454391179695</v>
      </c>
      <c r="H230" s="313">
        <f t="shared" si="150"/>
        <v>0.30934984653699243</v>
      </c>
      <c r="I230" s="313">
        <f t="shared" si="150"/>
        <v>0.30957678562101676</v>
      </c>
      <c r="J230" s="313">
        <f t="shared" si="150"/>
        <v>0.30958265616614372</v>
      </c>
      <c r="K230" s="313">
        <f t="shared" si="150"/>
        <v>0.30936513694058326</v>
      </c>
      <c r="L230" s="313">
        <f t="shared" si="150"/>
        <v>0.30892230204048426</v>
      </c>
      <c r="M230" s="313">
        <f t="shared" si="150"/>
        <v>0.30825263147194443</v>
      </c>
      <c r="N230" s="313">
        <f t="shared" si="150"/>
        <v>0.30691526000799013</v>
      </c>
      <c r="O230" s="313">
        <f t="shared" si="150"/>
        <v>0.30491520556245832</v>
      </c>
      <c r="P230" s="313">
        <f t="shared" si="150"/>
        <v>0.30226173777272569</v>
      </c>
      <c r="Q230" s="313">
        <f t="shared" si="150"/>
        <v>0.29896831415750363</v>
      </c>
      <c r="R230" s="313">
        <f t="shared" si="150"/>
        <v>0.29505247185164118</v>
      </c>
      <c r="S230" s="313">
        <f t="shared" si="150"/>
        <v>0.29105912541170526</v>
      </c>
      <c r="T230" s="313">
        <f t="shared" si="150"/>
        <v>0.28698984649974896</v>
      </c>
      <c r="U230" s="313">
        <f t="shared" si="150"/>
        <v>0.28284626699045895</v>
      </c>
      <c r="V230" s="313">
        <f t="shared" si="150"/>
        <v>0.27863007841504156</v>
      </c>
      <c r="W230" s="313">
        <f t="shared" si="150"/>
        <v>0.27434303134944404</v>
      </c>
      <c r="X230" s="313">
        <f t="shared" si="150"/>
        <v>0.26998990849410093</v>
      </c>
      <c r="Y230" s="313">
        <f t="shared" si="150"/>
        <v>0.26557243482152398</v>
      </c>
      <c r="Z230" s="313">
        <f t="shared" si="150"/>
        <v>0.26109238765408938</v>
      </c>
      <c r="AA230" s="313">
        <f t="shared" si="150"/>
        <v>0.25655159602895344</v>
      </c>
      <c r="AB230" s="313">
        <f t="shared" si="150"/>
        <v>0.25195194001693921</v>
      </c>
      <c r="AC230" s="313">
        <f t="shared" si="150"/>
        <v>0.24729768798429483</v>
      </c>
      <c r="AD230" s="313">
        <f t="shared" si="150"/>
        <v>0.24259068930943722</v>
      </c>
      <c r="AE230" s="313">
        <f t="shared" si="150"/>
        <v>0.23783283890280685</v>
      </c>
      <c r="AF230" s="313">
        <f t="shared" si="150"/>
        <v>0.23302607652637281</v>
      </c>
      <c r="AG230" s="313">
        <f t="shared" si="150"/>
        <v>0.22817238607481924</v>
      </c>
      <c r="AI230" s="314"/>
      <c r="AJ230" s="315"/>
    </row>
    <row r="231" spans="1:36" s="181" customFormat="1">
      <c r="B231" s="176"/>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J231" s="323"/>
    </row>
    <row r="232" spans="1:36" s="181" customFormat="1">
      <c r="A232" s="181" t="s">
        <v>1699</v>
      </c>
      <c r="B232" s="350" t="s">
        <v>704</v>
      </c>
      <c r="C232" s="230">
        <f>C165</f>
        <v>0.29411849599012857</v>
      </c>
      <c r="D232" s="230">
        <f t="shared" ref="D232:AG232" si="152">D165</f>
        <v>0.34519391601580796</v>
      </c>
      <c r="E232" s="230">
        <f t="shared" si="152"/>
        <v>0.39831912413837989</v>
      </c>
      <c r="F232" s="230">
        <f t="shared" si="152"/>
        <v>0.45320403767359185</v>
      </c>
      <c r="G232" s="230">
        <f t="shared" si="152"/>
        <v>0.50952766795758908</v>
      </c>
      <c r="H232" s="230">
        <f t="shared" si="152"/>
        <v>0.56694107323375775</v>
      </c>
      <c r="I232" s="230">
        <f t="shared" si="152"/>
        <v>0.62641941356681119</v>
      </c>
      <c r="J232" s="230">
        <f t="shared" si="152"/>
        <v>0.68795506012102126</v>
      </c>
      <c r="K232" s="230">
        <f t="shared" si="152"/>
        <v>0.75153632267378723</v>
      </c>
      <c r="L232" s="230">
        <f t="shared" si="152"/>
        <v>0.81714735238699321</v>
      </c>
      <c r="M232" s="230">
        <f t="shared" si="152"/>
        <v>0.88476805342840015</v>
      </c>
      <c r="N232" s="230">
        <f t="shared" si="152"/>
        <v>0.95300849459260484</v>
      </c>
      <c r="O232" s="230">
        <f t="shared" si="152"/>
        <v>1.0215355823934487</v>
      </c>
      <c r="P232" s="230">
        <f t="shared" si="152"/>
        <v>1.0900028365980481</v>
      </c>
      <c r="Q232" s="230">
        <f t="shared" si="152"/>
        <v>1.1580532015000484</v>
      </c>
      <c r="R232" s="230">
        <f t="shared" si="152"/>
        <v>1.2253220597469408</v>
      </c>
      <c r="S232" s="230">
        <f t="shared" si="152"/>
        <v>1.2937671636997243</v>
      </c>
      <c r="T232" s="230">
        <f t="shared" si="152"/>
        <v>1.3633861134180485</v>
      </c>
      <c r="U232" s="230">
        <f t="shared" si="152"/>
        <v>1.4341759475757545</v>
      </c>
      <c r="V232" s="230">
        <f t="shared" si="152"/>
        <v>1.5061331367306496</v>
      </c>
      <c r="W232" s="230">
        <f t="shared" si="152"/>
        <v>1.5792535768819591</v>
      </c>
      <c r="X232" s="230">
        <f t="shared" si="152"/>
        <v>1.6535507960135065</v>
      </c>
      <c r="Y232" s="230">
        <f t="shared" si="152"/>
        <v>1.7290220448636191</v>
      </c>
      <c r="Z232" s="230">
        <f t="shared" si="152"/>
        <v>1.8056640637994834</v>
      </c>
      <c r="AA232" s="230">
        <f t="shared" si="152"/>
        <v>1.883473077242652</v>
      </c>
      <c r="AB232" s="230">
        <f t="shared" si="152"/>
        <v>1.9624447883324967</v>
      </c>
      <c r="AC232" s="230">
        <f t="shared" si="152"/>
        <v>2.0425936848168909</v>
      </c>
      <c r="AD232" s="230">
        <f t="shared" si="152"/>
        <v>2.1239167447662455</v>
      </c>
      <c r="AE232" s="230">
        <f t="shared" si="152"/>
        <v>2.2064104802958018</v>
      </c>
      <c r="AF232" s="230">
        <f t="shared" si="152"/>
        <v>2.2900709329013753</v>
      </c>
      <c r="AG232" s="230">
        <f t="shared" si="152"/>
        <v>2.3748936689935181</v>
      </c>
      <c r="AI232" s="763" t="s">
        <v>1391</v>
      </c>
      <c r="AJ232" s="323"/>
    </row>
    <row r="233" spans="1:36" s="181" customFormat="1">
      <c r="A233" s="181" t="s">
        <v>1700</v>
      </c>
      <c r="B233" s="349" t="s">
        <v>704</v>
      </c>
      <c r="C233" s="249">
        <f>C232/(1-C190)</f>
        <v>0.40290204930154599</v>
      </c>
      <c r="D233" s="249">
        <f t="shared" ref="D233:AG233" si="153">D232/(1-D190)</f>
        <v>0.47029143871363482</v>
      </c>
      <c r="E233" s="249">
        <f t="shared" si="153"/>
        <v>0.53972781048560958</v>
      </c>
      <c r="F233" s="249">
        <f t="shared" si="153"/>
        <v>0.61078711276764397</v>
      </c>
      <c r="G233" s="249">
        <f t="shared" si="153"/>
        <v>0.68301295972867171</v>
      </c>
      <c r="H233" s="249">
        <f t="shared" si="153"/>
        <v>0.75592143097834363</v>
      </c>
      <c r="I233" s="249">
        <f t="shared" si="153"/>
        <v>0.83079497820531989</v>
      </c>
      <c r="J233" s="249">
        <f t="shared" si="153"/>
        <v>0.90759242760029191</v>
      </c>
      <c r="K233" s="249">
        <f t="shared" si="153"/>
        <v>0.9862681399918467</v>
      </c>
      <c r="L233" s="249">
        <f t="shared" si="153"/>
        <v>1.066772000505213</v>
      </c>
      <c r="M233" s="249">
        <f t="shared" si="153"/>
        <v>1.1490494200368833</v>
      </c>
      <c r="N233" s="249">
        <f t="shared" si="153"/>
        <v>1.231277124796647</v>
      </c>
      <c r="O233" s="249">
        <f t="shared" si="153"/>
        <v>1.3130277408656152</v>
      </c>
      <c r="P233" s="249">
        <f t="shared" si="153"/>
        <v>1.393865519946353</v>
      </c>
      <c r="Q233" s="249">
        <f t="shared" si="153"/>
        <v>1.4733501291349216</v>
      </c>
      <c r="R233" s="249">
        <f t="shared" si="153"/>
        <v>1.5510405819581528</v>
      </c>
      <c r="S233" s="249">
        <f t="shared" si="153"/>
        <v>1.6294296772036829</v>
      </c>
      <c r="T233" s="249">
        <f t="shared" si="153"/>
        <v>1.7085039015263765</v>
      </c>
      <c r="U233" s="249">
        <f t="shared" si="153"/>
        <v>1.7882493111917137</v>
      </c>
      <c r="V233" s="249">
        <f t="shared" si="153"/>
        <v>1.8686515344052723</v>
      </c>
      <c r="W233" s="249">
        <f t="shared" si="153"/>
        <v>1.9496957739283445</v>
      </c>
      <c r="X233" s="249">
        <f t="shared" si="153"/>
        <v>2.0313891842917768</v>
      </c>
      <c r="Y233" s="249">
        <f t="shared" si="153"/>
        <v>2.1137188812513679</v>
      </c>
      <c r="Z233" s="249">
        <f t="shared" si="153"/>
        <v>2.1966716104616584</v>
      </c>
      <c r="AA233" s="249">
        <f t="shared" si="153"/>
        <v>2.2802337496884406</v>
      </c>
      <c r="AB233" s="249">
        <f t="shared" si="153"/>
        <v>2.3643913112439718</v>
      </c>
      <c r="AC233" s="249">
        <f t="shared" si="153"/>
        <v>2.4491530993008284</v>
      </c>
      <c r="AD233" s="249">
        <f t="shared" si="153"/>
        <v>2.5345068553296484</v>
      </c>
      <c r="AE233" s="249">
        <f t="shared" si="153"/>
        <v>2.6204400003513082</v>
      </c>
      <c r="AF233" s="249">
        <f t="shared" si="153"/>
        <v>2.7069396369992615</v>
      </c>
      <c r="AG233" s="249">
        <f t="shared" si="153"/>
        <v>2.7939925517570803</v>
      </c>
      <c r="AI233" s="763"/>
      <c r="AJ233" s="323"/>
    </row>
    <row r="234" spans="1:36" s="181" customFormat="1">
      <c r="A234" s="181" t="s">
        <v>1701</v>
      </c>
      <c r="B234" s="349" t="s">
        <v>704</v>
      </c>
      <c r="C234" s="249">
        <f>C222</f>
        <v>0.24993004782066314</v>
      </c>
      <c r="D234" s="249">
        <f t="shared" ref="D234:AG234" si="154">D222</f>
        <v>0.28509123749385024</v>
      </c>
      <c r="E234" s="249">
        <f t="shared" si="154"/>
        <v>0.32166052494580316</v>
      </c>
      <c r="F234" s="249">
        <f t="shared" si="154"/>
        <v>0.35945015465327534</v>
      </c>
      <c r="G234" s="249">
        <f t="shared" si="154"/>
        <v>0.39825063284347478</v>
      </c>
      <c r="H234" s="249">
        <f t="shared" si="154"/>
        <v>0.43783248844112199</v>
      </c>
      <c r="I234" s="249">
        <f t="shared" si="154"/>
        <v>0.4789795688770353</v>
      </c>
      <c r="J234" s="249">
        <f t="shared" si="154"/>
        <v>0.52169664680952488</v>
      </c>
      <c r="K234" s="249">
        <f t="shared" si="154"/>
        <v>0.56598565642652687</v>
      </c>
      <c r="L234" s="249">
        <f t="shared" si="154"/>
        <v>0.61184559171194297</v>
      </c>
      <c r="M234" s="249">
        <f t="shared" si="154"/>
        <v>0.65927240995866232</v>
      </c>
      <c r="N234" s="249">
        <f t="shared" si="154"/>
        <v>0.70724557075704819</v>
      </c>
      <c r="O234" s="249">
        <f t="shared" si="154"/>
        <v>0.75553991501335427</v>
      </c>
      <c r="P234" s="249">
        <f t="shared" si="154"/>
        <v>0.8039193748000385</v>
      </c>
      <c r="Q234" s="249">
        <f t="shared" si="154"/>
        <v>0.85213879882281274</v>
      </c>
      <c r="R234" s="249">
        <f t="shared" si="154"/>
        <v>0.8999459421879743</v>
      </c>
      <c r="S234" s="249">
        <f t="shared" si="154"/>
        <v>0.94878993105425535</v>
      </c>
      <c r="T234" s="249">
        <f t="shared" si="154"/>
        <v>0.99867416626350414</v>
      </c>
      <c r="U234" s="249">
        <f t="shared" si="154"/>
        <v>1.0496015929609102</v>
      </c>
      <c r="V234" s="249">
        <f t="shared" si="154"/>
        <v>1.1015746909075477</v>
      </c>
      <c r="W234" s="249">
        <f t="shared" si="154"/>
        <v>1.1545954649811976</v>
      </c>
      <c r="X234" s="249">
        <f t="shared" si="154"/>
        <v>1.208678748615557</v>
      </c>
      <c r="Y234" s="249">
        <f t="shared" si="154"/>
        <v>1.2638274121169153</v>
      </c>
      <c r="Z234" s="249">
        <f t="shared" si="154"/>
        <v>1.3200438973955089</v>
      </c>
      <c r="AA234" s="249">
        <f t="shared" si="154"/>
        <v>1.3773302096181159</v>
      </c>
      <c r="AB234" s="249">
        <f t="shared" si="154"/>
        <v>1.4356879090256043</v>
      </c>
      <c r="AC234" s="249">
        <f t="shared" si="154"/>
        <v>1.495132238125241</v>
      </c>
      <c r="AD234" s="249">
        <f t="shared" si="154"/>
        <v>1.5556655793783911</v>
      </c>
      <c r="AE234" s="249">
        <f t="shared" si="154"/>
        <v>1.6172899113109236</v>
      </c>
      <c r="AF234" s="249">
        <f t="shared" si="154"/>
        <v>1.6800068012733445</v>
      </c>
      <c r="AG234" s="249">
        <f t="shared" si="154"/>
        <v>1.743817398346295</v>
      </c>
      <c r="AI234" s="763"/>
      <c r="AJ234" s="323"/>
    </row>
    <row r="235" spans="1:36" s="181" customFormat="1">
      <c r="A235" s="181" t="s">
        <v>1702</v>
      </c>
      <c r="B235" s="349" t="s">
        <v>704</v>
      </c>
      <c r="C235" s="249">
        <f>C233-C234</f>
        <v>0.15297200148088286</v>
      </c>
      <c r="D235" s="249">
        <f t="shared" ref="D235:AG235" si="155">D233-D234</f>
        <v>0.18520020121978459</v>
      </c>
      <c r="E235" s="249">
        <f t="shared" si="155"/>
        <v>0.21806728553980642</v>
      </c>
      <c r="F235" s="249">
        <f t="shared" si="155"/>
        <v>0.25133695811436862</v>
      </c>
      <c r="G235" s="249">
        <f t="shared" si="155"/>
        <v>0.28476232688519693</v>
      </c>
      <c r="H235" s="249">
        <f t="shared" si="155"/>
        <v>0.31808894253722164</v>
      </c>
      <c r="I235" s="249">
        <f t="shared" si="155"/>
        <v>0.35181540932828459</v>
      </c>
      <c r="J235" s="249">
        <f t="shared" si="155"/>
        <v>0.38589578079076703</v>
      </c>
      <c r="K235" s="249">
        <f t="shared" si="155"/>
        <v>0.42028248356531983</v>
      </c>
      <c r="L235" s="249">
        <f t="shared" si="155"/>
        <v>0.45492640879327007</v>
      </c>
      <c r="M235" s="249">
        <f t="shared" si="155"/>
        <v>0.48977701007822094</v>
      </c>
      <c r="N235" s="249">
        <f t="shared" si="155"/>
        <v>0.52403155403959878</v>
      </c>
      <c r="O235" s="249">
        <f t="shared" si="155"/>
        <v>0.55748782585226098</v>
      </c>
      <c r="P235" s="249">
        <f t="shared" si="155"/>
        <v>0.58994614514631449</v>
      </c>
      <c r="Q235" s="249">
        <f t="shared" si="155"/>
        <v>0.62121133031210884</v>
      </c>
      <c r="R235" s="249">
        <f t="shared" si="155"/>
        <v>0.65109463977017845</v>
      </c>
      <c r="S235" s="249">
        <f t="shared" si="155"/>
        <v>0.68063974614942757</v>
      </c>
      <c r="T235" s="249">
        <f t="shared" si="155"/>
        <v>0.70982973526287241</v>
      </c>
      <c r="U235" s="249">
        <f t="shared" si="155"/>
        <v>0.73864771823080355</v>
      </c>
      <c r="V235" s="249">
        <f t="shared" si="155"/>
        <v>0.76707684349772465</v>
      </c>
      <c r="W235" s="249">
        <f t="shared" si="155"/>
        <v>0.79510030894714689</v>
      </c>
      <c r="X235" s="249">
        <f t="shared" si="155"/>
        <v>0.82271043567621982</v>
      </c>
      <c r="Y235" s="249">
        <f t="shared" si="155"/>
        <v>0.84989146913445257</v>
      </c>
      <c r="Z235" s="249">
        <f t="shared" si="155"/>
        <v>0.87662771306614951</v>
      </c>
      <c r="AA235" s="249">
        <f t="shared" si="155"/>
        <v>0.90290354007032469</v>
      </c>
      <c r="AB235" s="249">
        <f t="shared" si="155"/>
        <v>0.92870340221836756</v>
      </c>
      <c r="AC235" s="249">
        <f t="shared" si="155"/>
        <v>0.95402086117558738</v>
      </c>
      <c r="AD235" s="249">
        <f t="shared" si="155"/>
        <v>0.97884127595125725</v>
      </c>
      <c r="AE235" s="249">
        <f t="shared" si="155"/>
        <v>1.0031500890403846</v>
      </c>
      <c r="AF235" s="249">
        <f t="shared" si="155"/>
        <v>1.0269328357259171</v>
      </c>
      <c r="AG235" s="249">
        <f t="shared" si="155"/>
        <v>1.0501751534107853</v>
      </c>
      <c r="AI235" s="763"/>
      <c r="AJ235" s="323"/>
    </row>
    <row r="236" spans="1:36" s="181" customFormat="1">
      <c r="A236" s="181" t="s">
        <v>1703</v>
      </c>
      <c r="B236" s="349" t="s">
        <v>704</v>
      </c>
      <c r="C236" s="249">
        <f>(C235)/(1-C187)</f>
        <v>0.19121500185110357</v>
      </c>
      <c r="D236" s="249">
        <f t="shared" ref="D236:AG236" si="156">(D233-D222)/(1-D187)</f>
        <v>0.23053966956819658</v>
      </c>
      <c r="E236" s="249">
        <f t="shared" si="156"/>
        <v>0.27033134571050382</v>
      </c>
      <c r="F236" s="249">
        <f t="shared" si="156"/>
        <v>0.31029254088193658</v>
      </c>
      <c r="G236" s="249">
        <f t="shared" si="156"/>
        <v>0.35011761502278316</v>
      </c>
      <c r="H236" s="249">
        <f t="shared" si="156"/>
        <v>0.38949666433129182</v>
      </c>
      <c r="I236" s="249">
        <f t="shared" si="156"/>
        <v>0.42904318210766418</v>
      </c>
      <c r="J236" s="249">
        <f t="shared" si="156"/>
        <v>0.46869932889566851</v>
      </c>
      <c r="K236" s="249">
        <f t="shared" si="156"/>
        <v>0.5084062301193385</v>
      </c>
      <c r="L236" s="249">
        <f t="shared" si="156"/>
        <v>0.54810410697984346</v>
      </c>
      <c r="M236" s="249">
        <f t="shared" si="156"/>
        <v>0.58773241209386518</v>
      </c>
      <c r="N236" s="249">
        <f t="shared" si="156"/>
        <v>0.62633253470868389</v>
      </c>
      <c r="O236" s="249">
        <f t="shared" si="156"/>
        <v>0.66367598315745369</v>
      </c>
      <c r="P236" s="249">
        <f t="shared" si="156"/>
        <v>0.69954088357270494</v>
      </c>
      <c r="Q236" s="249">
        <f t="shared" si="156"/>
        <v>0.73371416965997116</v>
      </c>
      <c r="R236" s="249">
        <f t="shared" si="156"/>
        <v>0.7659936938472689</v>
      </c>
      <c r="S236" s="249">
        <f t="shared" si="156"/>
        <v>0.79762470251886053</v>
      </c>
      <c r="T236" s="249">
        <f t="shared" si="156"/>
        <v>0.82859502170763322</v>
      </c>
      <c r="U236" s="249">
        <f t="shared" si="156"/>
        <v>0.8588926956172136</v>
      </c>
      <c r="V236" s="249">
        <f t="shared" si="156"/>
        <v>0.88850599632941096</v>
      </c>
      <c r="W236" s="249">
        <f t="shared" si="156"/>
        <v>0.91742343340055432</v>
      </c>
      <c r="X236" s="249">
        <f t="shared" si="156"/>
        <v>0.94564417893818387</v>
      </c>
      <c r="Y236" s="249">
        <f t="shared" si="156"/>
        <v>0.97315817076464051</v>
      </c>
      <c r="Z236" s="249">
        <f t="shared" si="156"/>
        <v>0.99995556623515169</v>
      </c>
      <c r="AA236" s="249">
        <f t="shared" si="156"/>
        <v>1.0260267500799145</v>
      </c>
      <c r="AB236" s="249">
        <f t="shared" si="156"/>
        <v>1.0513623421340013</v>
      </c>
      <c r="AC236" s="249">
        <f t="shared" si="156"/>
        <v>1.0759633772657002</v>
      </c>
      <c r="AD236" s="249">
        <f t="shared" si="156"/>
        <v>1.0998216583721994</v>
      </c>
      <c r="AE236" s="249">
        <f t="shared" si="156"/>
        <v>1.1229292041496846</v>
      </c>
      <c r="AF236" s="249">
        <f t="shared" si="156"/>
        <v>1.1452782554564134</v>
      </c>
      <c r="AG236" s="249">
        <f t="shared" si="156"/>
        <v>1.1668612815675392</v>
      </c>
      <c r="AI236" s="763"/>
      <c r="AJ236" s="323"/>
    </row>
    <row r="237" spans="1:36" s="181" customFormat="1">
      <c r="A237" s="181" t="s">
        <v>1704</v>
      </c>
      <c r="B237" s="349" t="s">
        <v>704</v>
      </c>
      <c r="C237" s="249">
        <f>IF(C216&gt;C236,C236,C216)</f>
        <v>0.19121500185110357</v>
      </c>
      <c r="D237" s="249">
        <f t="shared" ref="D237:AG237" si="157">IF(D216&gt;D236,D236,D216)</f>
        <v>0.23053966956819658</v>
      </c>
      <c r="E237" s="249">
        <f t="shared" si="157"/>
        <v>0.27033134571050382</v>
      </c>
      <c r="F237" s="249">
        <f t="shared" si="157"/>
        <v>0.31029254088193658</v>
      </c>
      <c r="G237" s="249">
        <f t="shared" si="157"/>
        <v>0.35011761502278316</v>
      </c>
      <c r="H237" s="249">
        <f t="shared" si="157"/>
        <v>0.38949666433129182</v>
      </c>
      <c r="I237" s="249">
        <f t="shared" si="157"/>
        <v>0.42904318210766418</v>
      </c>
      <c r="J237" s="249">
        <f t="shared" si="157"/>
        <v>0.46869932889566851</v>
      </c>
      <c r="K237" s="249">
        <f t="shared" si="157"/>
        <v>0.5084062301193385</v>
      </c>
      <c r="L237" s="249">
        <f t="shared" si="157"/>
        <v>0.54810410697984346</v>
      </c>
      <c r="M237" s="249">
        <f t="shared" si="157"/>
        <v>0.58773241209386518</v>
      </c>
      <c r="N237" s="249">
        <f t="shared" si="157"/>
        <v>0.62633253470868389</v>
      </c>
      <c r="O237" s="249">
        <f t="shared" si="157"/>
        <v>0.66367598315745369</v>
      </c>
      <c r="P237" s="249">
        <f t="shared" si="157"/>
        <v>0.69954088357270494</v>
      </c>
      <c r="Q237" s="249">
        <f t="shared" si="157"/>
        <v>0.73371416965997116</v>
      </c>
      <c r="R237" s="249">
        <f t="shared" si="157"/>
        <v>0.7659936938472689</v>
      </c>
      <c r="S237" s="249">
        <f t="shared" si="157"/>
        <v>0.79762470251886053</v>
      </c>
      <c r="T237" s="249">
        <f t="shared" si="157"/>
        <v>0.82859502170763322</v>
      </c>
      <c r="U237" s="249">
        <f t="shared" si="157"/>
        <v>0.8588926956172136</v>
      </c>
      <c r="V237" s="249">
        <f t="shared" si="157"/>
        <v>0.88850599632941096</v>
      </c>
      <c r="W237" s="249">
        <f t="shared" si="157"/>
        <v>0.91742343340055432</v>
      </c>
      <c r="X237" s="249">
        <f t="shared" si="157"/>
        <v>0.94564417893818387</v>
      </c>
      <c r="Y237" s="249">
        <f t="shared" si="157"/>
        <v>0.97315817076464051</v>
      </c>
      <c r="Z237" s="249">
        <f t="shared" si="157"/>
        <v>0.99995556623515169</v>
      </c>
      <c r="AA237" s="249">
        <f t="shared" si="157"/>
        <v>1.0260267500799145</v>
      </c>
      <c r="AB237" s="249">
        <f t="shared" si="157"/>
        <v>1.0513623421340013</v>
      </c>
      <c r="AC237" s="249">
        <f t="shared" si="157"/>
        <v>1.0759633772657002</v>
      </c>
      <c r="AD237" s="249">
        <f t="shared" si="157"/>
        <v>1.0998216583721994</v>
      </c>
      <c r="AE237" s="249">
        <f t="shared" si="157"/>
        <v>1.1229292041496846</v>
      </c>
      <c r="AF237" s="249">
        <f t="shared" si="157"/>
        <v>1.1452782554564134</v>
      </c>
      <c r="AG237" s="249">
        <f t="shared" si="157"/>
        <v>1.1668612815675392</v>
      </c>
      <c r="AI237" s="763"/>
      <c r="AJ237" s="323"/>
    </row>
    <row r="238" spans="1:36" s="181" customFormat="1">
      <c r="A238" s="181" t="s">
        <v>1705</v>
      </c>
      <c r="B238" s="349" t="s">
        <v>704</v>
      </c>
      <c r="C238" s="249">
        <f>IF(C236-C237&lt;0,0,C236-C237)</f>
        <v>0</v>
      </c>
      <c r="D238" s="249">
        <f t="shared" ref="D238:AG238" si="158">IF(D236-D237&lt;0,0,D236-D237)</f>
        <v>0</v>
      </c>
      <c r="E238" s="249">
        <f t="shared" si="158"/>
        <v>0</v>
      </c>
      <c r="F238" s="249">
        <f t="shared" si="158"/>
        <v>0</v>
      </c>
      <c r="G238" s="249">
        <f t="shared" si="158"/>
        <v>0</v>
      </c>
      <c r="H238" s="249">
        <f t="shared" si="158"/>
        <v>0</v>
      </c>
      <c r="I238" s="249">
        <f t="shared" si="158"/>
        <v>0</v>
      </c>
      <c r="J238" s="249">
        <f t="shared" si="158"/>
        <v>0</v>
      </c>
      <c r="K238" s="249">
        <f t="shared" si="158"/>
        <v>0</v>
      </c>
      <c r="L238" s="249">
        <f t="shared" si="158"/>
        <v>0</v>
      </c>
      <c r="M238" s="249">
        <f t="shared" si="158"/>
        <v>0</v>
      </c>
      <c r="N238" s="249">
        <f t="shared" si="158"/>
        <v>0</v>
      </c>
      <c r="O238" s="249">
        <f t="shared" si="158"/>
        <v>0</v>
      </c>
      <c r="P238" s="249">
        <f t="shared" si="158"/>
        <v>0</v>
      </c>
      <c r="Q238" s="249">
        <f t="shared" si="158"/>
        <v>0</v>
      </c>
      <c r="R238" s="249">
        <f t="shared" si="158"/>
        <v>0</v>
      </c>
      <c r="S238" s="249">
        <f t="shared" si="158"/>
        <v>0</v>
      </c>
      <c r="T238" s="249">
        <f t="shared" si="158"/>
        <v>0</v>
      </c>
      <c r="U238" s="249">
        <f t="shared" si="158"/>
        <v>0</v>
      </c>
      <c r="V238" s="249">
        <f t="shared" si="158"/>
        <v>0</v>
      </c>
      <c r="W238" s="249">
        <f t="shared" si="158"/>
        <v>0</v>
      </c>
      <c r="X238" s="249">
        <f t="shared" si="158"/>
        <v>0</v>
      </c>
      <c r="Y238" s="249">
        <f t="shared" si="158"/>
        <v>0</v>
      </c>
      <c r="Z238" s="249">
        <f t="shared" si="158"/>
        <v>0</v>
      </c>
      <c r="AA238" s="249">
        <f t="shared" si="158"/>
        <v>0</v>
      </c>
      <c r="AB238" s="249">
        <f t="shared" si="158"/>
        <v>0</v>
      </c>
      <c r="AC238" s="249">
        <f t="shared" si="158"/>
        <v>0</v>
      </c>
      <c r="AD238" s="249">
        <f t="shared" si="158"/>
        <v>0</v>
      </c>
      <c r="AE238" s="249">
        <f t="shared" si="158"/>
        <v>0</v>
      </c>
      <c r="AF238" s="249">
        <f t="shared" si="158"/>
        <v>0</v>
      </c>
      <c r="AG238" s="249">
        <f t="shared" si="158"/>
        <v>0</v>
      </c>
      <c r="AI238" s="763"/>
      <c r="AJ238" s="323"/>
    </row>
    <row r="239" spans="1:36" s="181" customFormat="1">
      <c r="A239" s="181" t="s">
        <v>1706</v>
      </c>
      <c r="B239" s="349" t="s">
        <v>704</v>
      </c>
      <c r="C239" s="249">
        <f>C233*C190+C187*C236+C223+IF(C216&gt;C236,C216-C236,0)</f>
        <v>0.7187559083357169</v>
      </c>
      <c r="D239" s="249">
        <f t="shared" ref="D239:AG239" si="159">D233*D190+D187*D236+D223+IF(D216&gt;D236,D216-D236,0)</f>
        <v>0.76254208411162527</v>
      </c>
      <c r="E239" s="249">
        <f t="shared" si="159"/>
        <v>0.80653080838204805</v>
      </c>
      <c r="F239" s="249">
        <f t="shared" si="159"/>
        <v>0.85046771773379448</v>
      </c>
      <c r="G239" s="249">
        <f t="shared" si="159"/>
        <v>0.89408599002961009</v>
      </c>
      <c r="H239" s="249">
        <f t="shared" si="159"/>
        <v>0.93710892975626769</v>
      </c>
      <c r="I239" s="249">
        <f t="shared" si="159"/>
        <v>0.98136550871470152</v>
      </c>
      <c r="J239" s="249">
        <f t="shared" si="159"/>
        <v>1.0268450928524042</v>
      </c>
      <c r="K239" s="249">
        <f t="shared" si="159"/>
        <v>1.0735342141085722</v>
      </c>
      <c r="L239" s="249">
        <f t="shared" si="159"/>
        <v>1.1214165028031235</v>
      </c>
      <c r="M239" s="249">
        <f t="shared" si="159"/>
        <v>1.1704726267274284</v>
      </c>
      <c r="N239" s="249">
        <f t="shared" si="159"/>
        <v>1.21893369951129</v>
      </c>
      <c r="O239" s="249">
        <f t="shared" si="159"/>
        <v>1.2665575571554597</v>
      </c>
      <c r="P239" s="249">
        <f t="shared" si="159"/>
        <v>1.313098232658074</v>
      </c>
      <c r="Q239" s="249">
        <f t="shared" si="159"/>
        <v>1.3583079949282792</v>
      </c>
      <c r="R239" s="249">
        <f t="shared" si="159"/>
        <v>1.4019394811566595</v>
      </c>
      <c r="S239" s="249">
        <f t="shared" si="159"/>
        <v>1.4463490549874733</v>
      </c>
      <c r="T239" s="249">
        <f t="shared" si="159"/>
        <v>1.4915318119699723</v>
      </c>
      <c r="U239" s="249">
        <f t="shared" si="159"/>
        <v>1.5374822495884861</v>
      </c>
      <c r="V239" s="249">
        <f t="shared" si="159"/>
        <v>1.5841942607621537</v>
      </c>
      <c r="W239" s="249">
        <f t="shared" si="159"/>
        <v>1.6316611277769404</v>
      </c>
      <c r="X239" s="249">
        <f t="shared" si="159"/>
        <v>1.6798940195038976</v>
      </c>
      <c r="Y239" s="249">
        <f t="shared" si="159"/>
        <v>1.7288866276083297</v>
      </c>
      <c r="Z239" s="249">
        <f t="shared" si="159"/>
        <v>1.7786320699761391</v>
      </c>
      <c r="AA239" s="249">
        <f t="shared" si="159"/>
        <v>1.829122885707215</v>
      </c>
      <c r="AB239" s="249">
        <f t="shared" si="159"/>
        <v>1.880351030500969</v>
      </c>
      <c r="AC239" s="249">
        <f t="shared" si="159"/>
        <v>1.9323261409410102</v>
      </c>
      <c r="AD239" s="249">
        <f t="shared" si="159"/>
        <v>1.9850405131087305</v>
      </c>
      <c r="AE239" s="249">
        <f t="shared" si="159"/>
        <v>2.0384858918201489</v>
      </c>
      <c r="AF239" s="249">
        <f t="shared" si="159"/>
        <v>2.0926534668603565</v>
      </c>
      <c r="AG239" s="249">
        <f t="shared" si="159"/>
        <v>2.1475338695748953</v>
      </c>
      <c r="AI239" s="763"/>
      <c r="AJ239" s="323"/>
    </row>
    <row r="240" spans="1:36" s="181" customFormat="1">
      <c r="A240" s="181" t="s">
        <v>1707</v>
      </c>
      <c r="B240" s="349" t="s">
        <v>704</v>
      </c>
      <c r="C240" s="249">
        <f>C219-C238</f>
        <v>4.2488108129512732</v>
      </c>
      <c r="D240" s="249">
        <f t="shared" ref="D240:AF240" si="160">D219-D238</f>
        <v>4.3562243428199272</v>
      </c>
      <c r="E240" s="249">
        <f t="shared" si="160"/>
        <v>4.4542022304951088</v>
      </c>
      <c r="F240" s="249">
        <f t="shared" si="160"/>
        <v>4.5419967216340069</v>
      </c>
      <c r="G240" s="249">
        <f t="shared" si="160"/>
        <v>4.6189284255415028</v>
      </c>
      <c r="H240" s="249">
        <f t="shared" si="160"/>
        <v>4.6843950633155824</v>
      </c>
      <c r="I240" s="249">
        <f t="shared" si="160"/>
        <v>4.7481010766175729</v>
      </c>
      <c r="J240" s="249">
        <f t="shared" si="160"/>
        <v>4.8099421675692593</v>
      </c>
      <c r="K240" s="249">
        <f t="shared" si="160"/>
        <v>4.8698153920859468</v>
      </c>
      <c r="L240" s="249">
        <f t="shared" si="160"/>
        <v>4.9276194206705348</v>
      </c>
      <c r="M240" s="249">
        <f t="shared" si="160"/>
        <v>4.9832547998298864</v>
      </c>
      <c r="N240" s="249">
        <f t="shared" si="160"/>
        <v>5.0294178584065188</v>
      </c>
      <c r="O240" s="249">
        <f t="shared" si="160"/>
        <v>5.0658090895084573</v>
      </c>
      <c r="P240" s="249">
        <f t="shared" si="160"/>
        <v>5.0921847696975213</v>
      </c>
      <c r="Q240" s="249">
        <f t="shared" si="160"/>
        <v>5.108359623389247</v>
      </c>
      <c r="R240" s="249">
        <f t="shared" si="160"/>
        <v>5.1142089295305828</v>
      </c>
      <c r="S240" s="249">
        <f t="shared" si="160"/>
        <v>5.1188759762511324</v>
      </c>
      <c r="T240" s="249">
        <f t="shared" si="160"/>
        <v>5.1223499575379599</v>
      </c>
      <c r="U240" s="249">
        <f t="shared" si="160"/>
        <v>5.1246206747958762</v>
      </c>
      <c r="V240" s="249">
        <f t="shared" si="160"/>
        <v>5.1256785511501137</v>
      </c>
      <c r="W240" s="249">
        <f t="shared" si="160"/>
        <v>5.1255146453858424</v>
      </c>
      <c r="X240" s="249">
        <f t="shared" si="160"/>
        <v>5.1241771046810163</v>
      </c>
      <c r="Y240" s="249">
        <f t="shared" si="160"/>
        <v>5.1216582997192699</v>
      </c>
      <c r="Z240" s="249">
        <f t="shared" si="160"/>
        <v>5.1179511956166124</v>
      </c>
      <c r="AA240" s="249">
        <f t="shared" si="160"/>
        <v>5.1130493633228173</v>
      </c>
      <c r="AB240" s="249">
        <f t="shared" si="160"/>
        <v>5.1069469906767901</v>
      </c>
      <c r="AC240" s="249">
        <f t="shared" si="160"/>
        <v>5.0996871062962388</v>
      </c>
      <c r="AD240" s="249">
        <f t="shared" si="160"/>
        <v>5.0912649869555286</v>
      </c>
      <c r="AE240" s="249">
        <f t="shared" si="160"/>
        <v>5.0816764892364921</v>
      </c>
      <c r="AF240" s="249">
        <f t="shared" si="160"/>
        <v>5.0709180585880702</v>
      </c>
      <c r="AG240" s="249">
        <f>AG219-AG238</f>
        <v>5.0589867380595814</v>
      </c>
      <c r="AI240" s="763"/>
      <c r="AJ240" s="323"/>
    </row>
    <row r="241" spans="1:37" s="181" customFormat="1">
      <c r="B241" s="350"/>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c r="AG241" s="327"/>
      <c r="AJ241" s="323"/>
    </row>
    <row r="242" spans="1:37" s="181" customFormat="1">
      <c r="A242" s="181" t="s">
        <v>1400</v>
      </c>
      <c r="B242" s="350" t="s">
        <v>462</v>
      </c>
      <c r="C242" s="296">
        <v>0.8</v>
      </c>
      <c r="D242" s="317">
        <f>C242</f>
        <v>0.8</v>
      </c>
      <c r="E242" s="317">
        <f t="shared" ref="E242:AG242" si="161">D242</f>
        <v>0.8</v>
      </c>
      <c r="F242" s="317">
        <f t="shared" si="161"/>
        <v>0.8</v>
      </c>
      <c r="G242" s="317">
        <f t="shared" si="161"/>
        <v>0.8</v>
      </c>
      <c r="H242" s="317">
        <f t="shared" si="161"/>
        <v>0.8</v>
      </c>
      <c r="I242" s="317">
        <f t="shared" si="161"/>
        <v>0.8</v>
      </c>
      <c r="J242" s="317">
        <f t="shared" si="161"/>
        <v>0.8</v>
      </c>
      <c r="K242" s="317">
        <f t="shared" si="161"/>
        <v>0.8</v>
      </c>
      <c r="L242" s="317">
        <f t="shared" si="161"/>
        <v>0.8</v>
      </c>
      <c r="M242" s="317">
        <f>L242</f>
        <v>0.8</v>
      </c>
      <c r="N242" s="317">
        <f t="shared" si="161"/>
        <v>0.8</v>
      </c>
      <c r="O242" s="317">
        <f t="shared" si="161"/>
        <v>0.8</v>
      </c>
      <c r="P242" s="317">
        <f t="shared" si="161"/>
        <v>0.8</v>
      </c>
      <c r="Q242" s="317">
        <f t="shared" si="161"/>
        <v>0.8</v>
      </c>
      <c r="R242" s="317">
        <f t="shared" si="161"/>
        <v>0.8</v>
      </c>
      <c r="S242" s="317">
        <f t="shared" si="161"/>
        <v>0.8</v>
      </c>
      <c r="T242" s="317">
        <f t="shared" si="161"/>
        <v>0.8</v>
      </c>
      <c r="U242" s="317">
        <f t="shared" si="161"/>
        <v>0.8</v>
      </c>
      <c r="V242" s="317">
        <f t="shared" si="161"/>
        <v>0.8</v>
      </c>
      <c r="W242" s="317">
        <f t="shared" si="161"/>
        <v>0.8</v>
      </c>
      <c r="X242" s="317">
        <f t="shared" si="161"/>
        <v>0.8</v>
      </c>
      <c r="Y242" s="317">
        <f t="shared" si="161"/>
        <v>0.8</v>
      </c>
      <c r="Z242" s="317">
        <f t="shared" si="161"/>
        <v>0.8</v>
      </c>
      <c r="AA242" s="317">
        <f t="shared" si="161"/>
        <v>0.8</v>
      </c>
      <c r="AB242" s="317">
        <f t="shared" si="161"/>
        <v>0.8</v>
      </c>
      <c r="AC242" s="317">
        <f t="shared" si="161"/>
        <v>0.8</v>
      </c>
      <c r="AD242" s="317">
        <f t="shared" si="161"/>
        <v>0.8</v>
      </c>
      <c r="AE242" s="317">
        <f t="shared" si="161"/>
        <v>0.8</v>
      </c>
      <c r="AF242" s="317">
        <f t="shared" si="161"/>
        <v>0.8</v>
      </c>
      <c r="AG242" s="317">
        <f t="shared" si="161"/>
        <v>0.8</v>
      </c>
      <c r="AJ242" s="323" t="s">
        <v>1401</v>
      </c>
    </row>
    <row r="243" spans="1:37" s="181" customFormat="1">
      <c r="B243" s="350"/>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c r="AG243" s="327"/>
      <c r="AJ243" s="323"/>
    </row>
    <row r="244" spans="1:37" s="181" customFormat="1">
      <c r="A244" s="181" t="s">
        <v>1402</v>
      </c>
      <c r="B244" s="350" t="s">
        <v>704</v>
      </c>
      <c r="C244" s="327">
        <f>C178*C239*C242</f>
        <v>0.12650103986708619</v>
      </c>
      <c r="D244" s="327">
        <f t="shared" ref="D244:AG244" si="162">D178*D239*D242</f>
        <v>0.13827429791890805</v>
      </c>
      <c r="E244" s="327">
        <f t="shared" si="162"/>
        <v>0.15055241756464896</v>
      </c>
      <c r="F244" s="327">
        <f t="shared" si="162"/>
        <v>0.16328980180488853</v>
      </c>
      <c r="G244" s="327">
        <f t="shared" si="162"/>
        <v>0.17643296869917635</v>
      </c>
      <c r="H244" s="327">
        <f t="shared" si="162"/>
        <v>0.18992074309727025</v>
      </c>
      <c r="I244" s="327">
        <f t="shared" si="162"/>
        <v>0.2041240258126579</v>
      </c>
      <c r="J244" s="327">
        <f t="shared" si="162"/>
        <v>0.21906028647517953</v>
      </c>
      <c r="K244" s="327">
        <f t="shared" si="162"/>
        <v>0.23474614815174105</v>
      </c>
      <c r="L244" s="327">
        <f t="shared" si="162"/>
        <v>0.25119729662789964</v>
      </c>
      <c r="M244" s="327">
        <f t="shared" si="162"/>
        <v>0.26842838906282351</v>
      </c>
      <c r="N244" s="327">
        <f t="shared" si="162"/>
        <v>0.28604310815198264</v>
      </c>
      <c r="O244" s="327">
        <f t="shared" si="162"/>
        <v>0.30397381371731025</v>
      </c>
      <c r="P244" s="327">
        <f t="shared" si="162"/>
        <v>0.32214676641211404</v>
      </c>
      <c r="Q244" s="327">
        <f t="shared" si="162"/>
        <v>0.34048253739535522</v>
      </c>
      <c r="R244" s="327">
        <f t="shared" si="162"/>
        <v>0.35889650717610466</v>
      </c>
      <c r="S244" s="327">
        <f t="shared" si="162"/>
        <v>0.37797921970339288</v>
      </c>
      <c r="T244" s="327">
        <f t="shared" si="162"/>
        <v>0.39774181652532575</v>
      </c>
      <c r="U244" s="327">
        <f t="shared" si="162"/>
        <v>0.41819517188806804</v>
      </c>
      <c r="V244" s="327">
        <f t="shared" si="162"/>
        <v>0.43934987498470374</v>
      </c>
      <c r="W244" s="327">
        <f t="shared" si="162"/>
        <v>0.46121621211828157</v>
      </c>
      <c r="X244" s="327">
        <f t="shared" si="162"/>
        <v>0.48380947761712223</v>
      </c>
      <c r="Y244" s="327">
        <f t="shared" si="162"/>
        <v>0.50714007743177636</v>
      </c>
      <c r="Z244" s="327">
        <f t="shared" si="162"/>
        <v>0.53121811156620646</v>
      </c>
      <c r="AA244" s="327">
        <f t="shared" si="162"/>
        <v>0.55605335725499294</v>
      </c>
      <c r="AB244" s="327">
        <f t="shared" si="162"/>
        <v>0.58165525210163271</v>
      </c>
      <c r="AC244" s="327">
        <f t="shared" si="162"/>
        <v>0.60803862568277078</v>
      </c>
      <c r="AD244" s="327">
        <f t="shared" si="162"/>
        <v>0.63521296419479334</v>
      </c>
      <c r="AE244" s="327">
        <f t="shared" si="162"/>
        <v>0.66318741013882132</v>
      </c>
      <c r="AF244" s="327">
        <f t="shared" si="162"/>
        <v>0.69197074637515732</v>
      </c>
      <c r="AG244" s="327">
        <f t="shared" si="162"/>
        <v>0.72157138017716482</v>
      </c>
      <c r="AJ244" s="323"/>
    </row>
    <row r="245" spans="1:37" s="181" customFormat="1">
      <c r="A245" s="181" t="s">
        <v>1403</v>
      </c>
      <c r="B245" s="350" t="s">
        <v>704</v>
      </c>
      <c r="C245" s="327">
        <f>C239*C242-C244</f>
        <v>0.44850368680148733</v>
      </c>
      <c r="D245" s="327">
        <f t="shared" ref="D245:AG245" si="163">D239*D242-D244</f>
        <v>0.47175936937039226</v>
      </c>
      <c r="E245" s="327">
        <f t="shared" si="163"/>
        <v>0.49467222914098952</v>
      </c>
      <c r="F245" s="327">
        <f t="shared" si="163"/>
        <v>0.51708437238214711</v>
      </c>
      <c r="G245" s="327">
        <f t="shared" si="163"/>
        <v>0.53883582332451174</v>
      </c>
      <c r="H245" s="327">
        <f t="shared" si="163"/>
        <v>0.55976640070774397</v>
      </c>
      <c r="I245" s="327">
        <f t="shared" si="163"/>
        <v>0.58096838115910343</v>
      </c>
      <c r="J245" s="327">
        <f t="shared" si="163"/>
        <v>0.60241578780674387</v>
      </c>
      <c r="K245" s="327">
        <f t="shared" si="163"/>
        <v>0.62408122313511671</v>
      </c>
      <c r="L245" s="327">
        <f t="shared" si="163"/>
        <v>0.64593590561459924</v>
      </c>
      <c r="M245" s="327">
        <f t="shared" si="163"/>
        <v>0.66794971231911926</v>
      </c>
      <c r="N245" s="327">
        <f t="shared" si="163"/>
        <v>0.68910385145704944</v>
      </c>
      <c r="O245" s="327">
        <f t="shared" si="163"/>
        <v>0.70927223200705747</v>
      </c>
      <c r="P245" s="327">
        <f t="shared" si="163"/>
        <v>0.72833181971434513</v>
      </c>
      <c r="Q245" s="327">
        <f t="shared" si="163"/>
        <v>0.74616385854726808</v>
      </c>
      <c r="R245" s="327">
        <f t="shared" si="163"/>
        <v>0.76265507774922303</v>
      </c>
      <c r="S245" s="327">
        <f t="shared" si="163"/>
        <v>0.77910002428658576</v>
      </c>
      <c r="T245" s="327">
        <f t="shared" si="163"/>
        <v>0.79548363305065228</v>
      </c>
      <c r="U245" s="327">
        <f t="shared" si="163"/>
        <v>0.81179062778272093</v>
      </c>
      <c r="V245" s="327">
        <f t="shared" si="163"/>
        <v>0.82800553362501939</v>
      </c>
      <c r="W245" s="327">
        <f t="shared" si="163"/>
        <v>0.84411269010327084</v>
      </c>
      <c r="X245" s="327">
        <f t="shared" si="163"/>
        <v>0.86010573798599599</v>
      </c>
      <c r="Y245" s="327">
        <f t="shared" si="163"/>
        <v>0.87596922465488747</v>
      </c>
      <c r="Z245" s="327">
        <f t="shared" si="163"/>
        <v>0.89168754441470499</v>
      </c>
      <c r="AA245" s="327">
        <f t="shared" si="163"/>
        <v>0.90724495131077909</v>
      </c>
      <c r="AB245" s="327">
        <f t="shared" si="163"/>
        <v>0.92262557229914255</v>
      </c>
      <c r="AC245" s="327">
        <f t="shared" si="163"/>
        <v>0.93782228707003745</v>
      </c>
      <c r="AD245" s="327">
        <f t="shared" si="163"/>
        <v>0.95281944629219117</v>
      </c>
      <c r="AE245" s="327">
        <f t="shared" si="163"/>
        <v>0.96760130331729788</v>
      </c>
      <c r="AF245" s="327">
        <f t="shared" si="163"/>
        <v>0.98215202711312799</v>
      </c>
      <c r="AG245" s="327">
        <f t="shared" si="163"/>
        <v>0.99645571548275158</v>
      </c>
      <c r="AJ245" s="323"/>
    </row>
    <row r="246" spans="1:37" s="181" customFormat="1">
      <c r="B246" s="176"/>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c r="AG246" s="327"/>
      <c r="AJ246" s="323"/>
    </row>
    <row r="247" spans="1:37" s="181" customFormat="1">
      <c r="B247" s="210" t="s">
        <v>492</v>
      </c>
      <c r="C247" s="331">
        <v>0</v>
      </c>
      <c r="D247" s="331">
        <f>C247+1</f>
        <v>1</v>
      </c>
      <c r="E247" s="331">
        <f t="shared" ref="E247:AG247" si="164">D247+1</f>
        <v>2</v>
      </c>
      <c r="F247" s="331">
        <f t="shared" si="164"/>
        <v>3</v>
      </c>
      <c r="G247" s="331">
        <f t="shared" si="164"/>
        <v>4</v>
      </c>
      <c r="H247" s="331">
        <f t="shared" si="164"/>
        <v>5</v>
      </c>
      <c r="I247" s="331">
        <f t="shared" si="164"/>
        <v>6</v>
      </c>
      <c r="J247" s="331">
        <f t="shared" si="164"/>
        <v>7</v>
      </c>
      <c r="K247" s="331">
        <f t="shared" si="164"/>
        <v>8</v>
      </c>
      <c r="L247" s="331">
        <f t="shared" si="164"/>
        <v>9</v>
      </c>
      <c r="M247" s="331">
        <f t="shared" si="164"/>
        <v>10</v>
      </c>
      <c r="N247" s="331">
        <f t="shared" si="164"/>
        <v>11</v>
      </c>
      <c r="O247" s="331">
        <f t="shared" si="164"/>
        <v>12</v>
      </c>
      <c r="P247" s="331">
        <f t="shared" si="164"/>
        <v>13</v>
      </c>
      <c r="Q247" s="331">
        <f t="shared" si="164"/>
        <v>14</v>
      </c>
      <c r="R247" s="331">
        <f t="shared" si="164"/>
        <v>15</v>
      </c>
      <c r="S247" s="331">
        <f t="shared" si="164"/>
        <v>16</v>
      </c>
      <c r="T247" s="331">
        <f t="shared" si="164"/>
        <v>17</v>
      </c>
      <c r="U247" s="331">
        <f t="shared" si="164"/>
        <v>18</v>
      </c>
      <c r="V247" s="331">
        <f t="shared" si="164"/>
        <v>19</v>
      </c>
      <c r="W247" s="331">
        <f t="shared" si="164"/>
        <v>20</v>
      </c>
      <c r="X247" s="331">
        <f t="shared" si="164"/>
        <v>21</v>
      </c>
      <c r="Y247" s="331">
        <f t="shared" si="164"/>
        <v>22</v>
      </c>
      <c r="Z247" s="331">
        <f t="shared" si="164"/>
        <v>23</v>
      </c>
      <c r="AA247" s="331">
        <f t="shared" si="164"/>
        <v>24</v>
      </c>
      <c r="AB247" s="331">
        <f t="shared" si="164"/>
        <v>25</v>
      </c>
      <c r="AC247" s="331">
        <f t="shared" si="164"/>
        <v>26</v>
      </c>
      <c r="AD247" s="331">
        <f t="shared" si="164"/>
        <v>27</v>
      </c>
      <c r="AE247" s="331">
        <f t="shared" si="164"/>
        <v>28</v>
      </c>
      <c r="AF247" s="331">
        <f t="shared" si="164"/>
        <v>29</v>
      </c>
      <c r="AG247" s="331">
        <f t="shared" si="164"/>
        <v>30</v>
      </c>
      <c r="AJ247" s="323" t="s">
        <v>493</v>
      </c>
      <c r="AK247" s="181">
        <f>'Propylene Recycling HC'!AK199</f>
        <v>1.9</v>
      </c>
    </row>
    <row r="248" spans="1:37" s="181" customFormat="1">
      <c r="A248" s="181" t="s">
        <v>1404</v>
      </c>
      <c r="B248" s="176"/>
      <c r="C248" s="333">
        <f>$AK$249/((1+EXP(-$AK$248*(C247-$AK$250)))^$AK$247)</f>
        <v>4.6088632748610021E-5</v>
      </c>
      <c r="D248" s="333">
        <f t="shared" ref="D248:AG248" si="165">$AK$249/((1+EXP(-$AK$248*(D247-$AK$250)))^$AK$247)</f>
        <v>8.924759460408035E-5</v>
      </c>
      <c r="E248" s="333">
        <f t="shared" si="165"/>
        <v>1.7252431976790472E-4</v>
      </c>
      <c r="F248" s="333">
        <f t="shared" si="165"/>
        <v>3.3269643715580369E-4</v>
      </c>
      <c r="G248" s="333">
        <f t="shared" si="165"/>
        <v>6.393827369910735E-4</v>
      </c>
      <c r="H248" s="333">
        <f t="shared" si="165"/>
        <v>1.2229053771654547E-3</v>
      </c>
      <c r="I248" s="333">
        <f t="shared" si="165"/>
        <v>2.3234018804222717E-3</v>
      </c>
      <c r="J248" s="333">
        <f t="shared" si="165"/>
        <v>4.3736281679830789E-3</v>
      </c>
      <c r="K248" s="333">
        <f t="shared" si="165"/>
        <v>8.1294184230466908E-3</v>
      </c>
      <c r="L248" s="333">
        <f t="shared" si="165"/>
        <v>1.4853985082038716E-2</v>
      </c>
      <c r="M248" s="333">
        <f t="shared" si="165"/>
        <v>2.6531412096832362E-2</v>
      </c>
      <c r="N248" s="333">
        <f t="shared" si="165"/>
        <v>4.6014759335105015E-2</v>
      </c>
      <c r="O248" s="333">
        <f t="shared" si="165"/>
        <v>7.6910635328419796E-2</v>
      </c>
      <c r="P248" s="333">
        <f t="shared" si="165"/>
        <v>0.12294065829885638</v>
      </c>
      <c r="Q248" s="333">
        <f t="shared" si="165"/>
        <v>0.18666754187878853</v>
      </c>
      <c r="R248" s="333">
        <f t="shared" si="165"/>
        <v>0.26794336563407328</v>
      </c>
      <c r="S248" s="333">
        <f t="shared" si="165"/>
        <v>0.36297326582455031</v>
      </c>
      <c r="T248" s="333">
        <f t="shared" si="165"/>
        <v>0.46484396312424381</v>
      </c>
      <c r="U248" s="333">
        <f t="shared" si="165"/>
        <v>0.56546260593861253</v>
      </c>
      <c r="V248" s="333">
        <f t="shared" si="165"/>
        <v>0.6578403022607352</v>
      </c>
      <c r="W248" s="333">
        <f t="shared" si="165"/>
        <v>0.73754668886795227</v>
      </c>
      <c r="X248" s="333">
        <f t="shared" si="165"/>
        <v>0.80293052021410605</v>
      </c>
      <c r="Y248" s="333">
        <f t="shared" si="165"/>
        <v>0.85447682949112158</v>
      </c>
      <c r="Z248" s="333">
        <f t="shared" si="165"/>
        <v>0.89389910336617451</v>
      </c>
      <c r="AA248" s="333">
        <f t="shared" si="165"/>
        <v>0.92337223319290385</v>
      </c>
      <c r="AB248" s="333">
        <f t="shared" si="165"/>
        <v>0.94504210708611314</v>
      </c>
      <c r="AC248" s="333">
        <f t="shared" si="165"/>
        <v>0.96078240575184182</v>
      </c>
      <c r="AD248" s="333">
        <f t="shared" si="165"/>
        <v>0.97211605463477313</v>
      </c>
      <c r="AE248" s="333">
        <f t="shared" si="165"/>
        <v>0.98022577885232642</v>
      </c>
      <c r="AF248" s="333">
        <f t="shared" si="165"/>
        <v>0.98600279580400285</v>
      </c>
      <c r="AG248" s="333">
        <f t="shared" si="165"/>
        <v>0.9901050637460882</v>
      </c>
      <c r="AI248" s="176" t="s">
        <v>494</v>
      </c>
      <c r="AJ248" s="323" t="s">
        <v>495</v>
      </c>
      <c r="AK248" s="181">
        <f>'Propylene Recycling HC'!AK200</f>
        <v>0.35</v>
      </c>
    </row>
    <row r="249" spans="1:37" s="181" customFormat="1">
      <c r="B249" s="176"/>
      <c r="C249" s="329">
        <v>0</v>
      </c>
      <c r="D249" s="329">
        <v>0</v>
      </c>
      <c r="E249" s="329">
        <v>0</v>
      </c>
      <c r="F249" s="329">
        <v>0</v>
      </c>
      <c r="G249" s="329">
        <v>0</v>
      </c>
      <c r="H249" s="329">
        <v>0</v>
      </c>
      <c r="I249" s="329">
        <v>0</v>
      </c>
      <c r="J249" s="329">
        <v>0</v>
      </c>
      <c r="K249" s="329">
        <v>0</v>
      </c>
      <c r="L249" s="329">
        <v>0</v>
      </c>
      <c r="M249" s="329">
        <f>C248</f>
        <v>4.6088632748610021E-5</v>
      </c>
      <c r="N249" s="329">
        <v>0</v>
      </c>
      <c r="O249" s="329">
        <v>0</v>
      </c>
      <c r="P249" s="329">
        <v>0</v>
      </c>
      <c r="Q249" s="329">
        <v>0</v>
      </c>
      <c r="R249" s="329">
        <f t="shared" ref="R249:AG249" si="166">C248</f>
        <v>4.6088632748610021E-5</v>
      </c>
      <c r="S249" s="329">
        <f t="shared" si="166"/>
        <v>8.924759460408035E-5</v>
      </c>
      <c r="T249" s="329">
        <f t="shared" si="166"/>
        <v>1.7252431976790472E-4</v>
      </c>
      <c r="U249" s="329">
        <f t="shared" si="166"/>
        <v>3.3269643715580369E-4</v>
      </c>
      <c r="V249" s="329">
        <f t="shared" si="166"/>
        <v>6.393827369910735E-4</v>
      </c>
      <c r="W249" s="329">
        <f t="shared" si="166"/>
        <v>1.2229053771654547E-3</v>
      </c>
      <c r="X249" s="329">
        <f t="shared" si="166"/>
        <v>2.3234018804222717E-3</v>
      </c>
      <c r="Y249" s="329">
        <f t="shared" si="166"/>
        <v>4.3736281679830789E-3</v>
      </c>
      <c r="Z249" s="329">
        <f t="shared" si="166"/>
        <v>8.1294184230466908E-3</v>
      </c>
      <c r="AA249" s="329">
        <f t="shared" si="166"/>
        <v>1.4853985082038716E-2</v>
      </c>
      <c r="AB249" s="329">
        <f t="shared" si="166"/>
        <v>2.6531412096832362E-2</v>
      </c>
      <c r="AC249" s="329">
        <f t="shared" si="166"/>
        <v>4.6014759335105015E-2</v>
      </c>
      <c r="AD249" s="329">
        <f t="shared" si="166"/>
        <v>7.6910635328419796E-2</v>
      </c>
      <c r="AE249" s="329">
        <f t="shared" si="166"/>
        <v>0.12294065829885638</v>
      </c>
      <c r="AF249" s="329">
        <f t="shared" si="166"/>
        <v>0.18666754187878853</v>
      </c>
      <c r="AG249" s="329">
        <f t="shared" si="166"/>
        <v>0.26794336563407328</v>
      </c>
      <c r="AI249" s="176" t="s">
        <v>496</v>
      </c>
      <c r="AJ249" s="323" t="s">
        <v>497</v>
      </c>
      <c r="AK249" s="181">
        <f>'Propylene Recycling HC'!AK201</f>
        <v>1</v>
      </c>
    </row>
    <row r="250" spans="1:37" s="181" customFormat="1">
      <c r="B250" s="176"/>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c r="AG250" s="327"/>
      <c r="AJ250" s="323" t="s">
        <v>498</v>
      </c>
      <c r="AK250" s="181">
        <f>'Propylene Recycling HC'!AK202</f>
        <v>15</v>
      </c>
    </row>
    <row r="251" spans="1:37" s="181" customFormat="1">
      <c r="A251" s="181" t="s">
        <v>1460</v>
      </c>
      <c r="B251" s="176" t="s">
        <v>462</v>
      </c>
      <c r="C251" s="328">
        <v>0</v>
      </c>
      <c r="D251" s="328">
        <f>C251</f>
        <v>0</v>
      </c>
      <c r="E251" s="328">
        <f t="shared" ref="E251:AG251" si="167">D251</f>
        <v>0</v>
      </c>
      <c r="F251" s="328">
        <f t="shared" si="167"/>
        <v>0</v>
      </c>
      <c r="G251" s="328">
        <f t="shared" si="167"/>
        <v>0</v>
      </c>
      <c r="H251" s="328">
        <f t="shared" si="167"/>
        <v>0</v>
      </c>
      <c r="I251" s="328">
        <f t="shared" si="167"/>
        <v>0</v>
      </c>
      <c r="J251" s="328">
        <f t="shared" si="167"/>
        <v>0</v>
      </c>
      <c r="K251" s="328">
        <f t="shared" si="167"/>
        <v>0</v>
      </c>
      <c r="L251" s="328">
        <f t="shared" si="167"/>
        <v>0</v>
      </c>
      <c r="M251" s="328">
        <v>0</v>
      </c>
      <c r="N251" s="328">
        <f t="shared" si="167"/>
        <v>0</v>
      </c>
      <c r="O251" s="328">
        <f t="shared" si="167"/>
        <v>0</v>
      </c>
      <c r="P251" s="328">
        <f t="shared" si="167"/>
        <v>0</v>
      </c>
      <c r="Q251" s="328">
        <f t="shared" si="167"/>
        <v>0</v>
      </c>
      <c r="R251" s="328">
        <f t="shared" si="167"/>
        <v>0</v>
      </c>
      <c r="S251" s="328">
        <f t="shared" si="167"/>
        <v>0</v>
      </c>
      <c r="T251" s="328">
        <f t="shared" si="167"/>
        <v>0</v>
      </c>
      <c r="U251" s="328">
        <f t="shared" si="167"/>
        <v>0</v>
      </c>
      <c r="V251" s="328">
        <f t="shared" si="167"/>
        <v>0</v>
      </c>
      <c r="W251" s="328">
        <f t="shared" si="167"/>
        <v>0</v>
      </c>
      <c r="X251" s="328">
        <f t="shared" si="167"/>
        <v>0</v>
      </c>
      <c r="Y251" s="328">
        <f t="shared" si="167"/>
        <v>0</v>
      </c>
      <c r="Z251" s="328">
        <f t="shared" si="167"/>
        <v>0</v>
      </c>
      <c r="AA251" s="328">
        <f t="shared" si="167"/>
        <v>0</v>
      </c>
      <c r="AB251" s="328">
        <f t="shared" si="167"/>
        <v>0</v>
      </c>
      <c r="AC251" s="328">
        <f t="shared" si="167"/>
        <v>0</v>
      </c>
      <c r="AD251" s="328">
        <f t="shared" si="167"/>
        <v>0</v>
      </c>
      <c r="AE251" s="328">
        <f t="shared" si="167"/>
        <v>0</v>
      </c>
      <c r="AF251" s="328">
        <f t="shared" si="167"/>
        <v>0</v>
      </c>
      <c r="AG251" s="328">
        <f t="shared" si="167"/>
        <v>0</v>
      </c>
      <c r="AI251" s="176" t="s">
        <v>1516</v>
      </c>
      <c r="AJ251" s="323"/>
    </row>
    <row r="252" spans="1:37" s="300" customFormat="1" ht="16" thickBot="1">
      <c r="A252" s="334" t="s">
        <v>1407</v>
      </c>
      <c r="B252" s="335" t="s">
        <v>704</v>
      </c>
      <c r="C252" s="336">
        <f>C251*(C244*C248+C245*C249)</f>
        <v>0</v>
      </c>
      <c r="D252" s="336">
        <f t="shared" ref="D252:AG252" si="168">D251*(D244*D248+D245*D249)</f>
        <v>0</v>
      </c>
      <c r="E252" s="336">
        <f t="shared" si="168"/>
        <v>0</v>
      </c>
      <c r="F252" s="336">
        <f t="shared" si="168"/>
        <v>0</v>
      </c>
      <c r="G252" s="336">
        <f t="shared" si="168"/>
        <v>0</v>
      </c>
      <c r="H252" s="336">
        <f t="shared" si="168"/>
        <v>0</v>
      </c>
      <c r="I252" s="336">
        <f t="shared" si="168"/>
        <v>0</v>
      </c>
      <c r="J252" s="336">
        <f t="shared" si="168"/>
        <v>0</v>
      </c>
      <c r="K252" s="336">
        <f t="shared" si="168"/>
        <v>0</v>
      </c>
      <c r="L252" s="336">
        <f t="shared" si="168"/>
        <v>0</v>
      </c>
      <c r="M252" s="336">
        <f>M251*(M244*M248+M245*M249)</f>
        <v>0</v>
      </c>
      <c r="N252" s="336">
        <f t="shared" si="168"/>
        <v>0</v>
      </c>
      <c r="O252" s="336">
        <f t="shared" si="168"/>
        <v>0</v>
      </c>
      <c r="P252" s="336">
        <f t="shared" si="168"/>
        <v>0</v>
      </c>
      <c r="Q252" s="336">
        <f t="shared" si="168"/>
        <v>0</v>
      </c>
      <c r="R252" s="336">
        <f t="shared" si="168"/>
        <v>0</v>
      </c>
      <c r="S252" s="336">
        <f t="shared" si="168"/>
        <v>0</v>
      </c>
      <c r="T252" s="336">
        <f t="shared" si="168"/>
        <v>0</v>
      </c>
      <c r="U252" s="336">
        <f t="shared" si="168"/>
        <v>0</v>
      </c>
      <c r="V252" s="336">
        <f t="shared" si="168"/>
        <v>0</v>
      </c>
      <c r="W252" s="336">
        <f t="shared" si="168"/>
        <v>0</v>
      </c>
      <c r="X252" s="336">
        <f t="shared" si="168"/>
        <v>0</v>
      </c>
      <c r="Y252" s="336">
        <f t="shared" si="168"/>
        <v>0</v>
      </c>
      <c r="Z252" s="336">
        <f t="shared" si="168"/>
        <v>0</v>
      </c>
      <c r="AA252" s="336">
        <f t="shared" si="168"/>
        <v>0</v>
      </c>
      <c r="AB252" s="336">
        <f t="shared" si="168"/>
        <v>0</v>
      </c>
      <c r="AC252" s="336">
        <f t="shared" si="168"/>
        <v>0</v>
      </c>
      <c r="AD252" s="336">
        <f t="shared" si="168"/>
        <v>0</v>
      </c>
      <c r="AE252" s="336">
        <f t="shared" si="168"/>
        <v>0</v>
      </c>
      <c r="AF252" s="336">
        <f t="shared" si="168"/>
        <v>0</v>
      </c>
      <c r="AG252" s="336">
        <f t="shared" si="168"/>
        <v>0</v>
      </c>
      <c r="AJ252" s="326"/>
    </row>
    <row r="253" spans="1:37" s="230" customFormat="1">
      <c r="A253" s="325" t="s">
        <v>1408</v>
      </c>
      <c r="B253" s="324" t="s">
        <v>462</v>
      </c>
      <c r="C253" s="330">
        <v>0</v>
      </c>
      <c r="D253" s="330">
        <v>0.5</v>
      </c>
      <c r="E253" s="330">
        <v>0.5</v>
      </c>
      <c r="F253" s="330">
        <v>0.5</v>
      </c>
      <c r="G253" s="330">
        <v>0.5</v>
      </c>
      <c r="H253" s="330">
        <v>0.5</v>
      </c>
      <c r="I253" s="330">
        <v>0.5</v>
      </c>
      <c r="J253" s="330">
        <v>0.5</v>
      </c>
      <c r="K253" s="330">
        <v>0.5</v>
      </c>
      <c r="L253" s="330">
        <v>0.5</v>
      </c>
      <c r="M253" s="330">
        <v>0</v>
      </c>
      <c r="N253" s="330">
        <v>0.5</v>
      </c>
      <c r="O253" s="330">
        <v>0.5</v>
      </c>
      <c r="P253" s="330">
        <v>0.5</v>
      </c>
      <c r="Q253" s="330">
        <v>0.5</v>
      </c>
      <c r="R253" s="330">
        <v>0.5</v>
      </c>
      <c r="S253" s="330">
        <v>0.5</v>
      </c>
      <c r="T253" s="330">
        <v>0.5</v>
      </c>
      <c r="U253" s="330">
        <v>0.5</v>
      </c>
      <c r="V253" s="330">
        <v>0.5</v>
      </c>
      <c r="W253" s="330">
        <v>0</v>
      </c>
      <c r="X253" s="330">
        <v>0.5</v>
      </c>
      <c r="Y253" s="330">
        <v>0.5</v>
      </c>
      <c r="Z253" s="330">
        <v>0.5</v>
      </c>
      <c r="AA253" s="330">
        <v>0.5</v>
      </c>
      <c r="AB253" s="330">
        <v>0.5</v>
      </c>
      <c r="AC253" s="330">
        <v>0.5</v>
      </c>
      <c r="AD253" s="330">
        <v>0.5</v>
      </c>
      <c r="AE253" s="330">
        <v>0.5</v>
      </c>
      <c r="AF253" s="330">
        <v>0.5</v>
      </c>
      <c r="AG253" s="330">
        <v>0</v>
      </c>
      <c r="AJ253" s="230" t="s">
        <v>1410</v>
      </c>
    </row>
    <row r="254" spans="1:37" s="230" customFormat="1" ht="16" thickBot="1">
      <c r="A254" s="301" t="s">
        <v>1411</v>
      </c>
      <c r="B254" s="335" t="s">
        <v>704</v>
      </c>
      <c r="C254" s="336">
        <f>C253*(C244*C248+C245*C249)</f>
        <v>0</v>
      </c>
      <c r="D254" s="336">
        <f t="shared" ref="D254:AG254" si="169">D253*(D244*D248+D245*D249)</f>
        <v>6.1703242424152686E-6</v>
      </c>
      <c r="E254" s="336">
        <f t="shared" si="169"/>
        <v>1.2986976714877305E-5</v>
      </c>
      <c r="F254" s="336">
        <f t="shared" si="169"/>
        <v>2.7162967642181868E-5</v>
      </c>
      <c r="G254" s="336">
        <f t="shared" si="169"/>
        <v>5.640409721116989E-5</v>
      </c>
      <c r="H254" s="336">
        <f t="shared" si="169"/>
        <v>1.1612754898445536E-4</v>
      </c>
      <c r="I254" s="336">
        <f t="shared" si="169"/>
        <v>2.3713107270624683E-4</v>
      </c>
      <c r="J254" s="336">
        <f t="shared" si="169"/>
        <v>4.7904411970714391E-4</v>
      </c>
      <c r="K254" s="336">
        <f t="shared" si="169"/>
        <v>9.5417483076200575E-4</v>
      </c>
      <c r="L254" s="336">
        <f t="shared" si="169"/>
        <v>1.8656404483796377E-3</v>
      </c>
      <c r="M254" s="336">
        <f t="shared" si="169"/>
        <v>0</v>
      </c>
      <c r="N254" s="336">
        <f t="shared" si="169"/>
        <v>6.5811023905394481E-3</v>
      </c>
      <c r="O254" s="336">
        <f t="shared" si="169"/>
        <v>1.168940956810053E-2</v>
      </c>
      <c r="P254" s="336">
        <f t="shared" si="169"/>
        <v>1.9802467765776606E-2</v>
      </c>
      <c r="Q254" s="336">
        <f t="shared" si="169"/>
        <v>3.1778519154121825E-2</v>
      </c>
      <c r="R254" s="336">
        <f t="shared" si="169"/>
        <v>4.8099543888435535E-2</v>
      </c>
      <c r="S254" s="336">
        <f t="shared" si="169"/>
        <v>6.8632942296339636E-2</v>
      </c>
      <c r="T254" s="336">
        <f t="shared" si="169"/>
        <v>9.2512561283273412E-2</v>
      </c>
      <c r="U254" s="336">
        <f t="shared" si="169"/>
        <v>0.11837190576817636</v>
      </c>
      <c r="V254" s="336">
        <f t="shared" si="169"/>
        <v>0.14477573350124331</v>
      </c>
      <c r="W254" s="336">
        <f t="shared" si="169"/>
        <v>0</v>
      </c>
      <c r="X254" s="336">
        <f t="shared" si="169"/>
        <v>0.19523188341831474</v>
      </c>
      <c r="Y254" s="336">
        <f t="shared" si="169"/>
        <v>0.21858530457351152</v>
      </c>
      <c r="Z254" s="336">
        <f t="shared" si="169"/>
        <v>0.24105214738603528</v>
      </c>
      <c r="AA254" s="336">
        <f t="shared" si="169"/>
        <v>0.26346021661773983</v>
      </c>
      <c r="AB254" s="336">
        <f t="shared" si="169"/>
        <v>0.28708363215678784</v>
      </c>
      <c r="AC254" s="336">
        <f t="shared" si="169"/>
        <v>0.31367324020608084</v>
      </c>
      <c r="AD254" s="336">
        <f t="shared" si="169"/>
        <v>0.34539133478675377</v>
      </c>
      <c r="AE254" s="336">
        <f t="shared" si="169"/>
        <v>0.38451546841452172</v>
      </c>
      <c r="AF254" s="336">
        <f t="shared" si="169"/>
        <v>0.43281049759648227</v>
      </c>
      <c r="AG254" s="336">
        <f t="shared" si="169"/>
        <v>0</v>
      </c>
      <c r="AJ254" s="325"/>
    </row>
    <row r="255" spans="1:37" s="230" customFormat="1">
      <c r="A255" s="326"/>
      <c r="B255" s="324"/>
      <c r="AJ255" s="325"/>
    </row>
    <row r="256" spans="1:37" s="230" customFormat="1">
      <c r="A256" s="326" t="s">
        <v>1412</v>
      </c>
      <c r="B256" s="324" t="s">
        <v>704</v>
      </c>
      <c r="C256" s="230">
        <f>SUM(C225:C226)-SUM(C252,C254)</f>
        <v>3.1639900127881764</v>
      </c>
      <c r="D256" s="230">
        <f t="shared" ref="D256:AG256" si="170">SUM(D225:D226)-SUM(D252,D254)</f>
        <v>3.2911018344088387</v>
      </c>
      <c r="E256" s="230">
        <f t="shared" si="170"/>
        <v>3.4136367593510304</v>
      </c>
      <c r="F256" s="230">
        <f t="shared" si="170"/>
        <v>3.5307308052904145</v>
      </c>
      <c r="G256" s="230">
        <f t="shared" si="170"/>
        <v>3.6415365994827056</v>
      </c>
      <c r="H256" s="230">
        <f t="shared" si="170"/>
        <v>3.7452266573096029</v>
      </c>
      <c r="I256" s="230">
        <f t="shared" si="170"/>
        <v>3.8492828988234153</v>
      </c>
      <c r="J256" s="230">
        <f t="shared" si="170"/>
        <v>3.9535288511787612</v>
      </c>
      <c r="K256" s="230">
        <f t="shared" si="170"/>
        <v>4.0577317262255468</v>
      </c>
      <c r="L256" s="230">
        <f t="shared" si="170"/>
        <v>4.1615644756881487</v>
      </c>
      <c r="M256" s="230">
        <f t="shared" si="170"/>
        <v>4.2681133588423084</v>
      </c>
      <c r="N256" s="230">
        <f t="shared" si="170"/>
        <v>4.3597680263168836</v>
      </c>
      <c r="O256" s="230">
        <f t="shared" si="170"/>
        <v>4.4458805003211728</v>
      </c>
      <c r="P256" s="230">
        <f t="shared" si="170"/>
        <v>4.5214363828034827</v>
      </c>
      <c r="Q256" s="230">
        <f t="shared" si="170"/>
        <v>4.5850764306224114</v>
      </c>
      <c r="R256" s="230">
        <f t="shared" si="170"/>
        <v>4.6358584467563713</v>
      </c>
      <c r="S256" s="230">
        <f t="shared" si="170"/>
        <v>4.682043969084547</v>
      </c>
      <c r="T256" s="230">
        <f t="shared" si="170"/>
        <v>4.7244635691909647</v>
      </c>
      <c r="U256" s="230">
        <f t="shared" si="170"/>
        <v>4.7644478612250136</v>
      </c>
      <c r="V256" s="230">
        <f t="shared" si="170"/>
        <v>4.8033959269230264</v>
      </c>
      <c r="W256" s="230">
        <f t="shared" si="170"/>
        <v>5.0129953910216649</v>
      </c>
      <c r="X256" s="230">
        <f t="shared" si="170"/>
        <v>4.8820783402068662</v>
      </c>
      <c r="Y256" s="230">
        <f t="shared" si="170"/>
        <v>4.9224961695186389</v>
      </c>
      <c r="Z256" s="230">
        <f t="shared" si="170"/>
        <v>4.963222079603657</v>
      </c>
      <c r="AA256" s="230">
        <f t="shared" si="170"/>
        <v>5.0033931371531359</v>
      </c>
      <c r="AB256" s="230">
        <f t="shared" si="170"/>
        <v>5.0416998992014843</v>
      </c>
      <c r="AC256" s="230">
        <f t="shared" si="170"/>
        <v>5.0764069795332531</v>
      </c>
      <c r="AD256" s="230">
        <f t="shared" si="170"/>
        <v>5.1053182156346741</v>
      </c>
      <c r="AE256" s="230">
        <f t="shared" si="170"/>
        <v>5.1261220116952053</v>
      </c>
      <c r="AF256" s="230">
        <f t="shared" si="170"/>
        <v>5.1370193098110715</v>
      </c>
      <c r="AG256" s="230">
        <f t="shared" si="170"/>
        <v>5.6282521898455418</v>
      </c>
      <c r="AJ256" s="325"/>
    </row>
    <row r="257" spans="1:36" s="230" customFormat="1">
      <c r="A257" s="326"/>
      <c r="B257" s="324"/>
      <c r="AJ257" s="325"/>
    </row>
    <row r="258" spans="1:36" s="230" customFormat="1">
      <c r="A258" s="325" t="s">
        <v>1413</v>
      </c>
      <c r="B258" s="324" t="s">
        <v>704</v>
      </c>
      <c r="C258" s="327">
        <f t="shared" ref="C258:AG258" si="171">C178*C177*C128</f>
        <v>0</v>
      </c>
      <c r="D258" s="327">
        <f t="shared" si="171"/>
        <v>0</v>
      </c>
      <c r="E258" s="327">
        <f t="shared" si="171"/>
        <v>0</v>
      </c>
      <c r="F258" s="327">
        <f t="shared" si="171"/>
        <v>0</v>
      </c>
      <c r="G258" s="327">
        <f t="shared" si="171"/>
        <v>0</v>
      </c>
      <c r="H258" s="327">
        <f t="shared" si="171"/>
        <v>0</v>
      </c>
      <c r="I258" s="327">
        <f t="shared" si="171"/>
        <v>0</v>
      </c>
      <c r="J258" s="327">
        <f t="shared" si="171"/>
        <v>0</v>
      </c>
      <c r="K258" s="327">
        <f t="shared" si="171"/>
        <v>0</v>
      </c>
      <c r="L258" s="327">
        <f t="shared" si="171"/>
        <v>0</v>
      </c>
      <c r="M258" s="327">
        <f t="shared" si="171"/>
        <v>0</v>
      </c>
      <c r="N258" s="327">
        <f t="shared" si="171"/>
        <v>0</v>
      </c>
      <c r="O258" s="327">
        <f t="shared" si="171"/>
        <v>0</v>
      </c>
      <c r="P258" s="327">
        <f t="shared" si="171"/>
        <v>0</v>
      </c>
      <c r="Q258" s="327">
        <f t="shared" si="171"/>
        <v>0</v>
      </c>
      <c r="R258" s="327">
        <f t="shared" si="171"/>
        <v>0</v>
      </c>
      <c r="S258" s="327">
        <f t="shared" si="171"/>
        <v>0</v>
      </c>
      <c r="T258" s="327">
        <f t="shared" si="171"/>
        <v>0</v>
      </c>
      <c r="U258" s="327">
        <f t="shared" si="171"/>
        <v>0</v>
      </c>
      <c r="V258" s="327">
        <f t="shared" si="171"/>
        <v>0</v>
      </c>
      <c r="W258" s="327">
        <f t="shared" si="171"/>
        <v>0</v>
      </c>
      <c r="X258" s="327">
        <f t="shared" si="171"/>
        <v>0</v>
      </c>
      <c r="Y258" s="327">
        <f t="shared" si="171"/>
        <v>0</v>
      </c>
      <c r="Z258" s="327">
        <f t="shared" si="171"/>
        <v>0</v>
      </c>
      <c r="AA258" s="327">
        <f t="shared" si="171"/>
        <v>0</v>
      </c>
      <c r="AB258" s="327">
        <f t="shared" si="171"/>
        <v>0</v>
      </c>
      <c r="AC258" s="327">
        <f t="shared" si="171"/>
        <v>0</v>
      </c>
      <c r="AD258" s="327">
        <f t="shared" si="171"/>
        <v>0</v>
      </c>
      <c r="AE258" s="327">
        <f t="shared" si="171"/>
        <v>0</v>
      </c>
      <c r="AF258" s="327">
        <f t="shared" si="171"/>
        <v>0</v>
      </c>
      <c r="AG258" s="327">
        <f t="shared" si="171"/>
        <v>0</v>
      </c>
      <c r="AJ258" s="325"/>
    </row>
    <row r="259" spans="1:36" s="230" customFormat="1">
      <c r="A259" s="230" t="s">
        <v>1414</v>
      </c>
      <c r="B259" s="324" t="s">
        <v>704</v>
      </c>
      <c r="C259" s="327">
        <f t="shared" ref="C259:AG259" si="172">C179*C177*C128</f>
        <v>0</v>
      </c>
      <c r="D259" s="327">
        <f t="shared" si="172"/>
        <v>0</v>
      </c>
      <c r="E259" s="327">
        <f t="shared" si="172"/>
        <v>0</v>
      </c>
      <c r="F259" s="327">
        <f t="shared" si="172"/>
        <v>0</v>
      </c>
      <c r="G259" s="327">
        <f t="shared" si="172"/>
        <v>0</v>
      </c>
      <c r="H259" s="327">
        <f t="shared" si="172"/>
        <v>0</v>
      </c>
      <c r="I259" s="327">
        <f t="shared" si="172"/>
        <v>0</v>
      </c>
      <c r="J259" s="327">
        <f t="shared" si="172"/>
        <v>0</v>
      </c>
      <c r="K259" s="327">
        <f t="shared" si="172"/>
        <v>0</v>
      </c>
      <c r="L259" s="327">
        <f t="shared" si="172"/>
        <v>0</v>
      </c>
      <c r="M259" s="327">
        <f t="shared" si="172"/>
        <v>0</v>
      </c>
      <c r="N259" s="327">
        <f t="shared" si="172"/>
        <v>0</v>
      </c>
      <c r="O259" s="327">
        <f t="shared" si="172"/>
        <v>0</v>
      </c>
      <c r="P259" s="327">
        <f t="shared" si="172"/>
        <v>0</v>
      </c>
      <c r="Q259" s="327">
        <f t="shared" si="172"/>
        <v>0</v>
      </c>
      <c r="R259" s="327">
        <f t="shared" si="172"/>
        <v>0</v>
      </c>
      <c r="S259" s="327">
        <f t="shared" si="172"/>
        <v>0</v>
      </c>
      <c r="T259" s="327">
        <f t="shared" si="172"/>
        <v>0</v>
      </c>
      <c r="U259" s="327">
        <f t="shared" si="172"/>
        <v>0</v>
      </c>
      <c r="V259" s="327">
        <f t="shared" si="172"/>
        <v>0</v>
      </c>
      <c r="W259" s="327">
        <f t="shared" si="172"/>
        <v>0</v>
      </c>
      <c r="X259" s="327">
        <f t="shared" si="172"/>
        <v>0</v>
      </c>
      <c r="Y259" s="327">
        <f t="shared" si="172"/>
        <v>0</v>
      </c>
      <c r="Z259" s="327">
        <f t="shared" si="172"/>
        <v>0</v>
      </c>
      <c r="AA259" s="327">
        <f t="shared" si="172"/>
        <v>0</v>
      </c>
      <c r="AB259" s="327">
        <f t="shared" si="172"/>
        <v>0</v>
      </c>
      <c r="AC259" s="327">
        <f t="shared" si="172"/>
        <v>0</v>
      </c>
      <c r="AD259" s="327">
        <f t="shared" si="172"/>
        <v>0</v>
      </c>
      <c r="AE259" s="327">
        <f t="shared" si="172"/>
        <v>0</v>
      </c>
      <c r="AF259" s="327">
        <f t="shared" si="172"/>
        <v>0</v>
      </c>
      <c r="AG259" s="327">
        <f t="shared" si="172"/>
        <v>0</v>
      </c>
      <c r="AJ259" s="325"/>
    </row>
    <row r="260" spans="1:36" s="230" customFormat="1">
      <c r="B260" s="324"/>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c r="AA260" s="317"/>
      <c r="AB260" s="317"/>
      <c r="AC260" s="317"/>
      <c r="AD260" s="317"/>
      <c r="AE260" s="317"/>
      <c r="AF260" s="317"/>
      <c r="AG260" s="317"/>
      <c r="AJ260" s="325"/>
    </row>
    <row r="261" spans="1:36" s="230" customFormat="1">
      <c r="A261" s="351" t="s">
        <v>233</v>
      </c>
      <c r="B261" s="352" t="s">
        <v>704</v>
      </c>
      <c r="C261" s="304">
        <f>C239+C240</f>
        <v>4.9675667212869898</v>
      </c>
      <c r="D261" s="304">
        <f t="shared" ref="D261:AG261" si="173">D239+D240</f>
        <v>5.1187664269315523</v>
      </c>
      <c r="E261" s="304">
        <f t="shared" si="173"/>
        <v>5.2607330388771567</v>
      </c>
      <c r="F261" s="304">
        <f t="shared" si="173"/>
        <v>5.3924644393678012</v>
      </c>
      <c r="G261" s="304">
        <f t="shared" si="173"/>
        <v>5.5130144155711127</v>
      </c>
      <c r="H261" s="304">
        <f t="shared" si="173"/>
        <v>5.6215039930718502</v>
      </c>
      <c r="I261" s="304">
        <f t="shared" si="173"/>
        <v>5.7294665853322746</v>
      </c>
      <c r="J261" s="304">
        <f t="shared" si="173"/>
        <v>5.836787260421664</v>
      </c>
      <c r="K261" s="304">
        <f t="shared" si="173"/>
        <v>5.943349606194519</v>
      </c>
      <c r="L261" s="304">
        <f t="shared" si="173"/>
        <v>6.0490359234736584</v>
      </c>
      <c r="M261" s="304">
        <f t="shared" si="173"/>
        <v>6.1537274265573148</v>
      </c>
      <c r="N261" s="304">
        <f t="shared" si="173"/>
        <v>6.2483515579178093</v>
      </c>
      <c r="O261" s="304">
        <f t="shared" si="173"/>
        <v>6.3323666466639175</v>
      </c>
      <c r="P261" s="304">
        <f t="shared" si="173"/>
        <v>6.4052830023555956</v>
      </c>
      <c r="Q261" s="304">
        <f t="shared" si="173"/>
        <v>6.4666676183175262</v>
      </c>
      <c r="R261" s="304">
        <f t="shared" si="173"/>
        <v>6.5161484106872418</v>
      </c>
      <c r="S261" s="304">
        <f t="shared" si="173"/>
        <v>6.5652250312386062</v>
      </c>
      <c r="T261" s="304">
        <f t="shared" si="173"/>
        <v>6.6138817695079322</v>
      </c>
      <c r="U261" s="304">
        <f t="shared" si="173"/>
        <v>6.6621029243843619</v>
      </c>
      <c r="V261" s="304">
        <f t="shared" si="173"/>
        <v>6.7098728119122679</v>
      </c>
      <c r="W261" s="304">
        <f t="shared" si="173"/>
        <v>6.7571757731627828</v>
      </c>
      <c r="X261" s="304">
        <f t="shared" si="173"/>
        <v>6.8040711241849134</v>
      </c>
      <c r="Y261" s="304">
        <f t="shared" si="173"/>
        <v>6.8505449273275998</v>
      </c>
      <c r="Z261" s="304">
        <f t="shared" si="173"/>
        <v>6.896583265592751</v>
      </c>
      <c r="AA261" s="304">
        <f t="shared" si="173"/>
        <v>6.9421722490300324</v>
      </c>
      <c r="AB261" s="304">
        <f t="shared" si="173"/>
        <v>6.9872980211777591</v>
      </c>
      <c r="AC261" s="304">
        <f t="shared" si="173"/>
        <v>7.0320132472372485</v>
      </c>
      <c r="AD261" s="304">
        <f t="shared" si="173"/>
        <v>7.076305500064259</v>
      </c>
      <c r="AE261" s="304">
        <f t="shared" si="173"/>
        <v>7.120162381056641</v>
      </c>
      <c r="AF261" s="304">
        <f t="shared" si="173"/>
        <v>7.1635715254484271</v>
      </c>
      <c r="AG261" s="304">
        <f t="shared" si="173"/>
        <v>7.2065206076344772</v>
      </c>
      <c r="AI261" s="230" t="s">
        <v>1415</v>
      </c>
      <c r="AJ261" s="325"/>
    </row>
    <row r="262" spans="1:36" s="230" customFormat="1">
      <c r="A262" s="355" t="s">
        <v>234</v>
      </c>
      <c r="B262" s="356" t="s">
        <v>704</v>
      </c>
      <c r="C262" s="357">
        <f>C261</f>
        <v>4.9675667212869898</v>
      </c>
      <c r="D262" s="357">
        <f t="shared" ref="D262:AG262" si="174">D261</f>
        <v>5.1187664269315523</v>
      </c>
      <c r="E262" s="357">
        <f t="shared" si="174"/>
        <v>5.2607330388771567</v>
      </c>
      <c r="F262" s="357">
        <f t="shared" si="174"/>
        <v>5.3924644393678012</v>
      </c>
      <c r="G262" s="357">
        <f t="shared" si="174"/>
        <v>5.5130144155711127</v>
      </c>
      <c r="H262" s="357">
        <f t="shared" si="174"/>
        <v>5.6215039930718502</v>
      </c>
      <c r="I262" s="357">
        <f t="shared" si="174"/>
        <v>5.7294665853322746</v>
      </c>
      <c r="J262" s="357">
        <f t="shared" si="174"/>
        <v>5.836787260421664</v>
      </c>
      <c r="K262" s="357">
        <f t="shared" si="174"/>
        <v>5.943349606194519</v>
      </c>
      <c r="L262" s="357">
        <f t="shared" si="174"/>
        <v>6.0490359234736584</v>
      </c>
      <c r="M262" s="357">
        <f t="shared" si="174"/>
        <v>6.1537274265573148</v>
      </c>
      <c r="N262" s="357">
        <f t="shared" si="174"/>
        <v>6.2483515579178093</v>
      </c>
      <c r="O262" s="357">
        <f t="shared" si="174"/>
        <v>6.3323666466639175</v>
      </c>
      <c r="P262" s="357">
        <f t="shared" si="174"/>
        <v>6.4052830023555956</v>
      </c>
      <c r="Q262" s="357">
        <f t="shared" si="174"/>
        <v>6.4666676183175262</v>
      </c>
      <c r="R262" s="357">
        <f t="shared" si="174"/>
        <v>6.5161484106872418</v>
      </c>
      <c r="S262" s="357">
        <f t="shared" si="174"/>
        <v>6.5652250312386062</v>
      </c>
      <c r="T262" s="357">
        <f t="shared" si="174"/>
        <v>6.6138817695079322</v>
      </c>
      <c r="U262" s="357">
        <f t="shared" si="174"/>
        <v>6.6621029243843619</v>
      </c>
      <c r="V262" s="357">
        <f t="shared" si="174"/>
        <v>6.7098728119122679</v>
      </c>
      <c r="W262" s="357">
        <f t="shared" si="174"/>
        <v>6.7571757731627828</v>
      </c>
      <c r="X262" s="357">
        <f t="shared" si="174"/>
        <v>6.8040711241849134</v>
      </c>
      <c r="Y262" s="357">
        <f t="shared" si="174"/>
        <v>6.8505449273275998</v>
      </c>
      <c r="Z262" s="357">
        <f t="shared" si="174"/>
        <v>6.896583265592751</v>
      </c>
      <c r="AA262" s="357">
        <f t="shared" si="174"/>
        <v>6.9421722490300324</v>
      </c>
      <c r="AB262" s="357">
        <f t="shared" si="174"/>
        <v>6.9872980211777591</v>
      </c>
      <c r="AC262" s="357">
        <f t="shared" si="174"/>
        <v>7.0320132472372485</v>
      </c>
      <c r="AD262" s="357">
        <f t="shared" si="174"/>
        <v>7.076305500064259</v>
      </c>
      <c r="AE262" s="357">
        <f t="shared" si="174"/>
        <v>7.120162381056641</v>
      </c>
      <c r="AF262" s="357">
        <f t="shared" si="174"/>
        <v>7.1635715254484271</v>
      </c>
      <c r="AG262" s="357">
        <f t="shared" si="174"/>
        <v>7.2065206076344772</v>
      </c>
      <c r="AI262" s="230" t="s">
        <v>1416</v>
      </c>
      <c r="AJ262" s="325"/>
    </row>
    <row r="263" spans="1:36" s="230" customFormat="1">
      <c r="A263" s="433"/>
      <c r="B263" s="434"/>
      <c r="C263" s="433"/>
      <c r="D263" s="43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c r="AA263" s="433"/>
      <c r="AB263" s="433"/>
      <c r="AC263" s="433"/>
      <c r="AD263" s="433"/>
      <c r="AE263" s="433"/>
      <c r="AF263" s="433"/>
      <c r="AG263" s="433"/>
      <c r="AJ263" s="325"/>
    </row>
    <row r="264" spans="1:36">
      <c r="B264" s="1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30"/>
      <c r="AI264" s="23"/>
    </row>
    <row r="265" spans="1:36">
      <c r="B265" s="1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30"/>
      <c r="AI265" s="214"/>
    </row>
  </sheetData>
  <mergeCells count="5">
    <mergeCell ref="BD86:BE86"/>
    <mergeCell ref="BD91:BE91"/>
    <mergeCell ref="BD96:BE96"/>
    <mergeCell ref="BD104:BE104"/>
    <mergeCell ref="AI232:AI240"/>
  </mergeCells>
  <hyperlinks>
    <hyperlink ref="AJ90" r:id="rId1" xr:uid="{81369AAE-59BD-4365-8598-F5C02CAB7FC6}"/>
  </hyperlinks>
  <pageMargins left="0.7" right="0.7" top="0.75" bottom="0.75" header="0.3" footer="0.3"/>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8004-F306-4FF8-9166-EDF7F35CE901}">
  <sheetPr>
    <tabColor theme="4"/>
  </sheetPr>
  <dimension ref="B1:AB116"/>
  <sheetViews>
    <sheetView workbookViewId="0">
      <selection activeCell="C10" sqref="C10"/>
    </sheetView>
  </sheetViews>
  <sheetFormatPr baseColWidth="10" defaultColWidth="8.83203125" defaultRowHeight="15"/>
  <cols>
    <col min="2" max="2" width="27.5" customWidth="1"/>
    <col min="3" max="3" width="12.83203125" customWidth="1"/>
    <col min="4" max="5" width="10.83203125" customWidth="1"/>
    <col min="9" max="9" width="13.1640625" customWidth="1"/>
    <col min="10" max="10" width="15" customWidth="1"/>
    <col min="11" max="11" width="12.1640625" customWidth="1"/>
    <col min="15" max="15" width="23.5" customWidth="1"/>
    <col min="16" max="16" width="16.5" customWidth="1"/>
    <col min="17" max="17" width="14.5" customWidth="1"/>
    <col min="18" max="18" width="19.1640625" customWidth="1"/>
    <col min="19" max="19" width="23.1640625" customWidth="1"/>
    <col min="21" max="22" width="20" bestFit="1" customWidth="1"/>
    <col min="27" max="27" width="20" bestFit="1" customWidth="1"/>
  </cols>
  <sheetData>
    <row r="1" spans="2:28">
      <c r="B1" s="1">
        <v>2015</v>
      </c>
    </row>
    <row r="2" spans="2:28" ht="16">
      <c r="B2" s="364" t="s">
        <v>1708</v>
      </c>
      <c r="C2" s="363" t="s">
        <v>258</v>
      </c>
      <c r="D2" s="361" t="s">
        <v>477</v>
      </c>
      <c r="E2" s="362" t="s">
        <v>478</v>
      </c>
      <c r="F2" s="361" t="s">
        <v>480</v>
      </c>
      <c r="G2" s="361" t="s">
        <v>474</v>
      </c>
      <c r="H2" s="361" t="s">
        <v>745</v>
      </c>
      <c r="I2" s="367" t="s">
        <v>248</v>
      </c>
      <c r="J2" s="368" t="s">
        <v>67</v>
      </c>
      <c r="O2" t="s">
        <v>1709</v>
      </c>
    </row>
    <row r="3" spans="2:28">
      <c r="B3" s="365" t="s">
        <v>1022</v>
      </c>
      <c r="C3" s="262">
        <f>'Waste gen. - Industry shares'!$B28*('Demand - Industry shares'!B46/'Demand - Industry shares'!$I46)</f>
        <v>85.454846712967125</v>
      </c>
      <c r="D3" s="262">
        <f>'Waste gen. - Industry shares'!$B28*('Demand - Industry shares'!C46/'Demand - Industry shares'!$I46)</f>
        <v>39.522713403314157</v>
      </c>
      <c r="E3" s="262">
        <f>'Waste gen. - Industry shares'!$B28*('Demand - Industry shares'!D46/'Demand - Industry shares'!$I46)</f>
        <v>12.787039106684858</v>
      </c>
      <c r="F3" s="262">
        <f>'Waste gen. - Industry shares'!$B28*('Demand - Industry shares'!E46/'Demand - Industry shares'!$I46)</f>
        <v>4.6781850390310469</v>
      </c>
      <c r="G3" s="262">
        <f>'Waste gen. - Industry shares'!$B28*('Demand - Industry shares'!F46/'Demand - Industry shares'!$I46)</f>
        <v>31.499779262809046</v>
      </c>
      <c r="H3" s="262">
        <f>'Waste gen. - Industry shares'!$B28*('Demand - Industry shares'!G46/'Demand - Industry shares'!$I46)</f>
        <v>3.7425480312248376</v>
      </c>
      <c r="I3" s="262">
        <f>'Waste gen. - Industry shares'!$B28*('Demand - Industry shares'!H46/'Demand - Industry shares'!$I46)</f>
        <v>0.9356370078062094</v>
      </c>
      <c r="J3" s="371">
        <f>SUM(C3:I3)</f>
        <v>178.62074856383725</v>
      </c>
      <c r="O3" t="s">
        <v>1024</v>
      </c>
      <c r="P3" t="s">
        <v>1710</v>
      </c>
      <c r="Q3" t="s">
        <v>1711</v>
      </c>
      <c r="R3" t="s">
        <v>1712</v>
      </c>
      <c r="S3" t="s">
        <v>1713</v>
      </c>
      <c r="T3" t="s">
        <v>370</v>
      </c>
      <c r="U3" t="s">
        <v>1714</v>
      </c>
      <c r="V3" t="s">
        <v>1715</v>
      </c>
      <c r="W3" t="s">
        <v>1716</v>
      </c>
      <c r="X3" t="s">
        <v>248</v>
      </c>
      <c r="Y3" t="s">
        <v>1717</v>
      </c>
    </row>
    <row r="4" spans="2:28">
      <c r="B4" s="365" t="s">
        <v>310</v>
      </c>
      <c r="C4" s="262">
        <f>'Waste gen. - Industry shares'!$B29*('Demand - Industry shares'!B47/'Demand - Industry shares'!$I47)</f>
        <v>2.7159264308241129</v>
      </c>
      <c r="D4" s="262">
        <f>'Waste gen. - Industry shares'!$B29*('Demand - Industry shares'!C47/'Demand - Industry shares'!$I47)</f>
        <v>2.4010045836713467</v>
      </c>
      <c r="E4" s="262">
        <f>'Waste gen. - Industry shares'!$B29*('Demand - Industry shares'!D47/'Demand - Industry shares'!$I47)</f>
        <v>1.3579632154120564</v>
      </c>
      <c r="F4" s="262">
        <f>'Waste gen. - Industry shares'!$B29*('Demand - Industry shares'!E47/'Demand - Industry shares'!$I47)</f>
        <v>4.9997736567443907</v>
      </c>
      <c r="G4" s="262">
        <f>'Waste gen. - Industry shares'!$B29*('Demand - Industry shares'!F47/'Demand - Industry shares'!$I47)</f>
        <v>0</v>
      </c>
      <c r="H4" s="262">
        <f>'Waste gen. - Industry shares'!$B29*('Demand - Industry shares'!G47/'Demand - Industry shares'!$I47)</f>
        <v>1.4814144168131527</v>
      </c>
      <c r="I4" s="262">
        <f>'Waste gen. - Industry shares'!$B29*('Demand - Industry shares'!H47/'Demand - Industry shares'!$I47)</f>
        <v>0.30862800350274017</v>
      </c>
      <c r="J4" s="371">
        <f t="shared" ref="J4:J7" si="0">SUM(C4:I4)</f>
        <v>13.2647103069678</v>
      </c>
      <c r="N4" t="s">
        <v>474</v>
      </c>
      <c r="O4" s="24">
        <v>3.0599999999999999E-2</v>
      </c>
      <c r="P4" s="24">
        <v>1.21E-2</v>
      </c>
      <c r="Q4" s="24">
        <v>5.4000000000000003E-3</v>
      </c>
      <c r="R4" s="24">
        <v>1.3899999999999999E-2</v>
      </c>
      <c r="S4" s="24">
        <v>2.8999999999999998E-3</v>
      </c>
      <c r="T4" s="24">
        <v>0</v>
      </c>
      <c r="U4" s="24">
        <v>0</v>
      </c>
      <c r="V4" s="24">
        <v>0</v>
      </c>
      <c r="W4" s="24">
        <v>0</v>
      </c>
      <c r="X4" s="24">
        <v>8.0000000000000004E-4</v>
      </c>
      <c r="Y4" s="24">
        <v>5.1999999999999998E-3</v>
      </c>
      <c r="Z4" s="384">
        <f>SUM(O4:Y4)</f>
        <v>7.0899999999999991E-2</v>
      </c>
      <c r="AA4" s="384">
        <f>Z4/$Z$9</f>
        <v>0.38016085790884713</v>
      </c>
      <c r="AB4" s="6">
        <v>0.38</v>
      </c>
    </row>
    <row r="5" spans="2:28">
      <c r="B5" s="365" t="s">
        <v>311</v>
      </c>
      <c r="C5" s="262">
        <f>'Waste gen. - Industry shares'!$B30*('Demand - Industry shares'!B48/'Demand - Industry shares'!$I48)</f>
        <v>1.5990421753933857</v>
      </c>
      <c r="D5" s="262">
        <f>'Waste gen. - Industry shares'!$B30*('Demand - Industry shares'!C48/'Demand - Industry shares'!$I48)</f>
        <v>9.3984654608460332</v>
      </c>
      <c r="E5" s="262">
        <f>'Waste gen. - Industry shares'!$B30*('Demand - Industry shares'!D48/'Demand - Industry shares'!$I48)</f>
        <v>0</v>
      </c>
      <c r="F5" s="262">
        <f>'Waste gen. - Industry shares'!$B30*('Demand - Industry shares'!E48/'Demand - Industry shares'!$I48)</f>
        <v>0.53301405846446182</v>
      </c>
      <c r="G5" s="262">
        <f>'Waste gen. - Industry shares'!$B30*('Demand - Industry shares'!F48/'Demand - Industry shares'!$I48)</f>
        <v>0</v>
      </c>
      <c r="H5" s="262">
        <f>'Waste gen. - Industry shares'!$B30*('Demand - Industry shares'!G48/'Demand - Industry shares'!$I48)</f>
        <v>1.4213708225718982</v>
      </c>
      <c r="I5" s="262">
        <f>'Waste gen. - Industry shares'!$B30*('Demand - Industry shares'!H48/'Demand - Industry shares'!$I48)</f>
        <v>3.90876976207272</v>
      </c>
      <c r="J5" s="371">
        <f t="shared" si="0"/>
        <v>16.860662279348499</v>
      </c>
      <c r="N5" t="s">
        <v>472</v>
      </c>
      <c r="O5" s="24">
        <v>0</v>
      </c>
      <c r="P5" s="24">
        <v>1.6000000000000001E-3</v>
      </c>
      <c r="Q5" s="24">
        <v>0</v>
      </c>
      <c r="R5" s="24">
        <v>0</v>
      </c>
      <c r="S5" s="24">
        <v>1.8200000000000001E-2</v>
      </c>
      <c r="T5" s="24">
        <v>3.3999999999999998E-3</v>
      </c>
      <c r="U5" s="24">
        <v>0.02</v>
      </c>
      <c r="V5" s="24">
        <v>1.9900000000000001E-2</v>
      </c>
      <c r="W5" s="24">
        <v>0</v>
      </c>
      <c r="X5" s="24">
        <v>1.6000000000000001E-3</v>
      </c>
      <c r="Y5" s="24">
        <v>7.6E-3</v>
      </c>
      <c r="Z5" s="384">
        <f t="shared" ref="Z5:Z8" si="1">SUM(O5:Y5)</f>
        <v>7.2300000000000003E-2</v>
      </c>
      <c r="AA5" s="384">
        <f t="shared" ref="AA5:AA8" si="2">Z5/$Z$9</f>
        <v>0.38766756032171584</v>
      </c>
      <c r="AB5" s="384">
        <v>0.51900000000000002</v>
      </c>
    </row>
    <row r="6" spans="2:28">
      <c r="B6" s="365" t="s">
        <v>320</v>
      </c>
      <c r="C6" s="262">
        <f>'Waste gen. - Industry shares'!$B31*('Demand - Industry shares'!B49/'Demand - Industry shares'!$I49)</f>
        <v>0</v>
      </c>
      <c r="D6" s="262">
        <f>'Waste gen. - Industry shares'!$B31*('Demand - Industry shares'!C49/'Demand - Industry shares'!$I49)</f>
        <v>0</v>
      </c>
      <c r="E6" s="262">
        <f>'Waste gen. - Industry shares'!$B31*('Demand - Industry shares'!D49/'Demand - Industry shares'!$I49)</f>
        <v>0</v>
      </c>
      <c r="F6" s="262">
        <f>'Waste gen. - Industry shares'!$B31*('Demand - Industry shares'!E49/'Demand - Industry shares'!$I49)</f>
        <v>0</v>
      </c>
      <c r="G6" s="262">
        <f>'Waste gen. - Industry shares'!$B31*('Demand - Industry shares'!F49/'Demand - Industry shares'!$I49)</f>
        <v>27.355842406560768</v>
      </c>
      <c r="H6" s="262">
        <f>'Waste gen. - Industry shares'!$B31*('Demand - Industry shares'!G49/'Demand - Industry shares'!$I49)</f>
        <v>0</v>
      </c>
      <c r="I6" s="262">
        <f>'Waste gen. - Industry shares'!$B31*('Demand - Industry shares'!H49/'Demand - Industry shares'!$I49)</f>
        <v>6.6441575934392318</v>
      </c>
      <c r="J6" s="371">
        <f t="shared" si="0"/>
        <v>34</v>
      </c>
      <c r="N6" t="s">
        <v>477</v>
      </c>
      <c r="O6" s="24">
        <v>0</v>
      </c>
      <c r="P6" s="24">
        <v>0</v>
      </c>
      <c r="Q6" s="24">
        <v>0</v>
      </c>
      <c r="R6" s="24">
        <v>0</v>
      </c>
      <c r="S6" s="24">
        <v>0</v>
      </c>
      <c r="T6" s="24">
        <v>0</v>
      </c>
      <c r="U6" s="24">
        <v>0</v>
      </c>
      <c r="V6" s="24">
        <v>1.5800000000000002E-2</v>
      </c>
      <c r="W6" s="24">
        <v>0</v>
      </c>
      <c r="X6" s="24">
        <v>0</v>
      </c>
      <c r="Y6" s="24">
        <v>2.3999999999999998E-3</v>
      </c>
      <c r="Z6" s="384">
        <f t="shared" si="1"/>
        <v>1.8200000000000001E-2</v>
      </c>
      <c r="AA6" s="384">
        <f t="shared" si="2"/>
        <v>9.7587131367292232E-2</v>
      </c>
      <c r="AB6" s="6">
        <v>0.1</v>
      </c>
    </row>
    <row r="7" spans="2:28">
      <c r="B7" s="365" t="s">
        <v>248</v>
      </c>
      <c r="C7" s="262">
        <f>'Waste gen. - Industry shares'!$B32*('Demand - Industry shares'!B50/'Demand - Industry shares'!$I50)</f>
        <v>18.756999790145116</v>
      </c>
      <c r="D7" s="262">
        <f>'Waste gen. - Industry shares'!$B32*('Demand - Industry shares'!C50/'Demand - Industry shares'!$I50)</f>
        <v>31.118127739977194</v>
      </c>
      <c r="E7" s="262">
        <f>'Waste gen. - Industry shares'!$B32*('Demand - Industry shares'!D50/'Demand - Industry shares'!$I50)</f>
        <v>6.773361035330181</v>
      </c>
      <c r="F7" s="262">
        <f>'Waste gen. - Industry shares'!$B32*('Demand - Industry shares'!E50/'Demand - Industry shares'!$I50)</f>
        <v>9.378499895072558</v>
      </c>
      <c r="G7" s="262">
        <f>'Waste gen. - Industry shares'!$B32*('Demand - Industry shares'!F50/'Demand - Industry shares'!$I50)</f>
        <v>0</v>
      </c>
      <c r="H7" s="262">
        <f>'Waste gen. - Industry shares'!$B32*('Demand - Industry shares'!G50/'Demand - Industry shares'!$I50)</f>
        <v>16.672888702351212</v>
      </c>
      <c r="I7" s="262">
        <f>'Waste gen. - Industry shares'!$B32*('Demand - Industry shares'!H50/'Demand - Industry shares'!$I50)</f>
        <v>13.546722070660362</v>
      </c>
      <c r="J7" s="371">
        <f t="shared" si="0"/>
        <v>96.246599233536628</v>
      </c>
      <c r="N7" t="s">
        <v>473</v>
      </c>
      <c r="O7" s="24">
        <v>0</v>
      </c>
      <c r="P7" s="24">
        <v>8.9999999999999993E-3</v>
      </c>
      <c r="Q7" s="24">
        <v>0</v>
      </c>
      <c r="R7" s="24">
        <v>0</v>
      </c>
      <c r="S7" s="24">
        <v>0</v>
      </c>
      <c r="T7" s="24">
        <v>0</v>
      </c>
      <c r="U7" s="24">
        <v>0</v>
      </c>
      <c r="V7" s="24">
        <v>0</v>
      </c>
      <c r="W7" s="24">
        <v>3.0999999999999999E-3</v>
      </c>
      <c r="X7" s="24">
        <v>1.5E-3</v>
      </c>
      <c r="Y7" s="24">
        <v>1.1299999999999999E-2</v>
      </c>
      <c r="Z7" s="384">
        <f t="shared" si="1"/>
        <v>2.4899999999999999E-2</v>
      </c>
      <c r="AA7" s="384">
        <f t="shared" si="2"/>
        <v>0.13351206434316354</v>
      </c>
    </row>
    <row r="8" spans="2:28">
      <c r="B8" s="364" t="s">
        <v>67</v>
      </c>
      <c r="C8" s="369">
        <f>SUM(C3:C7)</f>
        <v>108.52681510932973</v>
      </c>
      <c r="D8" s="369">
        <f t="shared" ref="D8:I8" si="3">SUM(D3:D7)</f>
        <v>82.440311187808732</v>
      </c>
      <c r="E8" s="369">
        <f t="shared" si="3"/>
        <v>20.918363357427097</v>
      </c>
      <c r="F8" s="369">
        <f t="shared" si="3"/>
        <v>19.589472649312455</v>
      </c>
      <c r="G8" s="369">
        <f t="shared" si="3"/>
        <v>58.85562166936981</v>
      </c>
      <c r="H8" s="369">
        <f t="shared" si="3"/>
        <v>23.318221972961101</v>
      </c>
      <c r="I8" s="369">
        <f t="shared" si="3"/>
        <v>25.343914437481263</v>
      </c>
      <c r="J8" s="370">
        <f>SUM(J3:J7)</f>
        <v>338.9927203836902</v>
      </c>
      <c r="N8" t="s">
        <v>634</v>
      </c>
      <c r="O8" s="24">
        <v>0</v>
      </c>
      <c r="P8" s="24">
        <v>0</v>
      </c>
      <c r="Q8" s="24">
        <v>0</v>
      </c>
      <c r="R8" s="24">
        <v>0</v>
      </c>
      <c r="S8" s="24">
        <v>0</v>
      </c>
      <c r="T8" s="24">
        <v>0</v>
      </c>
      <c r="U8" s="24">
        <v>0</v>
      </c>
      <c r="V8" s="24">
        <v>0</v>
      </c>
      <c r="W8" s="24">
        <v>0</v>
      </c>
      <c r="X8" s="24">
        <v>0</v>
      </c>
      <c r="Y8" s="24">
        <v>2.0000000000000001E-4</v>
      </c>
      <c r="Z8" s="384">
        <f t="shared" si="1"/>
        <v>2.0000000000000001E-4</v>
      </c>
      <c r="AA8" s="384">
        <f t="shared" si="2"/>
        <v>1.0723860589812334E-3</v>
      </c>
      <c r="AB8" s="384">
        <v>0.1</v>
      </c>
    </row>
    <row r="9" spans="2:28">
      <c r="Z9" s="384">
        <f>SUM(Z4:Z8)</f>
        <v>0.1865</v>
      </c>
      <c r="AA9" s="384">
        <f>SUM(AA4:AA8)</f>
        <v>1</v>
      </c>
    </row>
    <row r="10" spans="2:28">
      <c r="B10" s="1">
        <v>2020</v>
      </c>
      <c r="O10" s="271"/>
    </row>
    <row r="11" spans="2:28" ht="16">
      <c r="B11" s="364" t="s">
        <v>1708</v>
      </c>
      <c r="C11" s="363" t="s">
        <v>258</v>
      </c>
      <c r="D11" s="361" t="s">
        <v>477</v>
      </c>
      <c r="E11" s="362" t="s">
        <v>478</v>
      </c>
      <c r="F11" s="361" t="s">
        <v>480</v>
      </c>
      <c r="G11" s="361" t="s">
        <v>474</v>
      </c>
      <c r="H11" s="361" t="s">
        <v>745</v>
      </c>
      <c r="I11" s="367" t="s">
        <v>248</v>
      </c>
      <c r="J11" s="368" t="s">
        <v>67</v>
      </c>
      <c r="N11" t="s">
        <v>1718</v>
      </c>
      <c r="O11" t="s">
        <v>324</v>
      </c>
      <c r="P11" t="s">
        <v>1719</v>
      </c>
      <c r="Q11" t="s">
        <v>370</v>
      </c>
      <c r="R11" t="s">
        <v>369</v>
      </c>
      <c r="S11" t="s">
        <v>248</v>
      </c>
      <c r="T11" t="s">
        <v>1717</v>
      </c>
    </row>
    <row r="12" spans="2:28">
      <c r="B12" s="365" t="s">
        <v>1022</v>
      </c>
      <c r="C12" s="262">
        <f>'Waste gen. - Industry shares'!$B36*('Demand - Industry shares'!B46/'Demand - Industry shares'!$I46)</f>
        <v>99.065588317623352</v>
      </c>
      <c r="D12" s="262">
        <f>'Waste gen. - Industry shares'!$B36*('Demand - Industry shares'!C46/'Demand - Industry shares'!$I46)</f>
        <v>45.817656994451212</v>
      </c>
      <c r="E12" s="262">
        <f>'Waste gen. - Industry shares'!$B36*('Demand - Industry shares'!D46/'Demand - Industry shares'!$I46)</f>
        <v>14.823682923439987</v>
      </c>
      <c r="F12" s="262">
        <f>'Waste gen. - Industry shares'!$B36*('Demand - Industry shares'!E46/'Demand - Industry shares'!$I46)</f>
        <v>5.4232986305268254</v>
      </c>
      <c r="G12" s="262">
        <f>'Waste gen. - Industry shares'!$B36*('Demand - Industry shares'!F46/'Demand - Industry shares'!$I46)</f>
        <v>36.516877445547287</v>
      </c>
      <c r="H12" s="262">
        <f>'Waste gen. - Industry shares'!$B36*('Demand - Industry shares'!G46/'Demand - Industry shares'!$I46)</f>
        <v>4.3386389044214608</v>
      </c>
      <c r="I12" s="262">
        <f>'Waste gen. - Industry shares'!$B36*('Demand - Industry shares'!H46/'Demand - Industry shares'!$I46)</f>
        <v>1.0846597261053652</v>
      </c>
      <c r="J12" s="371">
        <f>SUM(C12:I12)</f>
        <v>207.07040294211549</v>
      </c>
      <c r="N12" t="s">
        <v>258</v>
      </c>
      <c r="O12" s="384">
        <f>SUM(P5,Q5,R5,S5,V5,W5,P7,Q7,R7,S7,V7,W7)</f>
        <v>5.1799999999999999E-2</v>
      </c>
      <c r="P12" s="384">
        <f>O5+O7</f>
        <v>0</v>
      </c>
      <c r="Q12" s="384">
        <f>T5+T7</f>
        <v>3.3999999999999998E-3</v>
      </c>
      <c r="R12" s="384">
        <f>U5+U7</f>
        <v>0.02</v>
      </c>
      <c r="S12" s="384">
        <f>X5+X7</f>
        <v>3.1000000000000003E-3</v>
      </c>
      <c r="T12" s="384">
        <f>Y5+Y7</f>
        <v>1.89E-2</v>
      </c>
    </row>
    <row r="13" spans="2:28">
      <c r="B13" s="365" t="s">
        <v>310</v>
      </c>
      <c r="C13" s="262">
        <f>'Waste gen. - Industry shares'!$B37*('Demand - Industry shares'!B47/'Demand - Industry shares'!$I47)</f>
        <v>3.1485030989605263</v>
      </c>
      <c r="D13" s="262">
        <f>'Waste gen. - Industry shares'!$B37*('Demand - Industry shares'!C47/'Demand - Industry shares'!$I47)</f>
        <v>2.7834223661256572</v>
      </c>
      <c r="E13" s="262">
        <f>'Waste gen. - Industry shares'!$B37*('Demand - Industry shares'!D47/'Demand - Industry shares'!$I47)</f>
        <v>1.5742515494802631</v>
      </c>
      <c r="F13" s="262">
        <f>'Waste gen. - Industry shares'!$B37*('Demand - Industry shares'!E47/'Demand - Industry shares'!$I47)</f>
        <v>5.7961079776318787</v>
      </c>
      <c r="G13" s="262">
        <f>'Waste gen. - Industry shares'!$B37*('Demand - Industry shares'!F47/'Demand - Industry shares'!$I47)</f>
        <v>0</v>
      </c>
      <c r="H13" s="262">
        <f>'Waste gen. - Industry shares'!$B37*('Demand - Industry shares'!G47/'Demand - Industry shares'!$I47)</f>
        <v>1.7173653267057418</v>
      </c>
      <c r="I13" s="262">
        <f>'Waste gen. - Industry shares'!$B37*('Demand - Industry shares'!H47/'Demand - Industry shares'!$I47)</f>
        <v>0.35778444306369622</v>
      </c>
      <c r="J13" s="371">
        <f t="shared" ref="J13:J16" si="4">SUM(C13:I13)</f>
        <v>15.377434761967764</v>
      </c>
      <c r="N13" t="s">
        <v>477</v>
      </c>
      <c r="O13" s="384">
        <f>SUM(P6,Q6,R6,S6,V6,W6)</f>
        <v>1.5800000000000002E-2</v>
      </c>
      <c r="P13" s="384">
        <f>O6</f>
        <v>0</v>
      </c>
      <c r="Q13" s="384">
        <f>T6</f>
        <v>0</v>
      </c>
      <c r="R13" s="384">
        <f>U6</f>
        <v>0</v>
      </c>
      <c r="S13" s="384">
        <f>X6</f>
        <v>0</v>
      </c>
      <c r="T13" s="384">
        <f>Y6</f>
        <v>2.3999999999999998E-3</v>
      </c>
    </row>
    <row r="14" spans="2:28">
      <c r="B14" s="365" t="s">
        <v>311</v>
      </c>
      <c r="C14" s="262">
        <f>'Waste gen. - Industry shares'!$B38*('Demand - Industry shares'!B48/'Demand - Industry shares'!$I48)</f>
        <v>1.853728137645825</v>
      </c>
      <c r="D14" s="262">
        <f>'Waste gen. - Industry shares'!$B38*('Demand - Industry shares'!C48/'Demand - Industry shares'!$I48)</f>
        <v>10.895397346962806</v>
      </c>
      <c r="E14" s="262">
        <f>'Waste gen. - Industry shares'!$B38*('Demand - Industry shares'!D48/'Demand - Industry shares'!$I48)</f>
        <v>0</v>
      </c>
      <c r="F14" s="262">
        <f>'Waste gen. - Industry shares'!$B38*('Demand - Industry shares'!E48/'Demand - Industry shares'!$I48)</f>
        <v>0.617909379215275</v>
      </c>
      <c r="G14" s="262">
        <f>'Waste gen. - Industry shares'!$B38*('Demand - Industry shares'!F48/'Demand - Industry shares'!$I48)</f>
        <v>0</v>
      </c>
      <c r="H14" s="262">
        <f>'Waste gen. - Industry shares'!$B38*('Demand - Industry shares'!G48/'Demand - Industry shares'!$I48)</f>
        <v>1.6477583445740664</v>
      </c>
      <c r="I14" s="262">
        <f>'Waste gen. - Industry shares'!$B38*('Demand - Industry shares'!H48/'Demand - Industry shares'!$I48)</f>
        <v>4.5313354475786829</v>
      </c>
      <c r="J14" s="371">
        <f t="shared" si="4"/>
        <v>19.546128655976656</v>
      </c>
      <c r="N14" t="s">
        <v>478</v>
      </c>
      <c r="O14" s="384">
        <f>SUM(P8,Q8,R8,S8,V8,W8)</f>
        <v>0</v>
      </c>
      <c r="P14" s="384">
        <f>O8</f>
        <v>0</v>
      </c>
      <c r="Q14" s="384">
        <f>T8</f>
        <v>0</v>
      </c>
      <c r="R14" s="384">
        <f>U8</f>
        <v>0</v>
      </c>
      <c r="S14" s="384">
        <f>X8</f>
        <v>0</v>
      </c>
      <c r="T14" s="384">
        <f>Y4</f>
        <v>5.1999999999999998E-3</v>
      </c>
    </row>
    <row r="15" spans="2:28">
      <c r="B15" s="365" t="s">
        <v>320</v>
      </c>
      <c r="C15" s="262">
        <f>'Waste gen. - Industry shares'!$B39*('Demand - Industry shares'!B49/'Demand - Industry shares'!$I49)</f>
        <v>0</v>
      </c>
      <c r="D15" s="262">
        <f>'Waste gen. - Industry shares'!$B39*('Demand - Industry shares'!C49/'Demand - Industry shares'!$I49)</f>
        <v>0</v>
      </c>
      <c r="E15" s="262">
        <f>'Waste gen. - Industry shares'!$B39*('Demand - Industry shares'!D49/'Demand - Industry shares'!$I49)</f>
        <v>0</v>
      </c>
      <c r="F15" s="262">
        <f>'Waste gen. - Industry shares'!$B39*('Demand - Industry shares'!E49/'Demand - Industry shares'!$I49)</f>
        <v>0</v>
      </c>
      <c r="G15" s="262">
        <f>'Waste gen. - Industry shares'!$B39*('Demand - Industry shares'!F49/'Demand - Industry shares'!$I49)</f>
        <v>31.71291888256242</v>
      </c>
      <c r="H15" s="262">
        <f>'Waste gen. - Industry shares'!$B39*('Demand - Industry shares'!G49/'Demand - Industry shares'!$I49)</f>
        <v>0</v>
      </c>
      <c r="I15" s="262">
        <f>'Waste gen. - Industry shares'!$B39*('Demand - Industry shares'!H49/'Demand - Industry shares'!$I49)</f>
        <v>7.7023996436375803</v>
      </c>
      <c r="J15" s="371">
        <f t="shared" si="4"/>
        <v>39.415318526199997</v>
      </c>
      <c r="N15" t="s">
        <v>474</v>
      </c>
      <c r="O15" s="384">
        <f>SUM(P4,Q4,R4,S4,V4,W4)</f>
        <v>3.4299999999999997E-2</v>
      </c>
      <c r="P15" s="384">
        <f>O4</f>
        <v>3.0599999999999999E-2</v>
      </c>
      <c r="Q15" s="384">
        <f>T4</f>
        <v>0</v>
      </c>
      <c r="R15" s="384">
        <f>U4</f>
        <v>0</v>
      </c>
      <c r="S15" s="384">
        <f>X4</f>
        <v>8.0000000000000004E-4</v>
      </c>
      <c r="T15" s="384">
        <f>Y8</f>
        <v>2.0000000000000001E-4</v>
      </c>
    </row>
    <row r="16" spans="2:28">
      <c r="B16" s="365" t="s">
        <v>248</v>
      </c>
      <c r="C16" s="262">
        <f>'Waste gen. - Industry shares'!$B40*('Demand - Industry shares'!B50/'Demand - Industry shares'!$I50)</f>
        <v>21.744503568365769</v>
      </c>
      <c r="D16" s="262">
        <f>'Waste gen. - Industry shares'!$B40*('Demand - Industry shares'!C50/'Demand - Industry shares'!$I50)</f>
        <v>36.074438729711204</v>
      </c>
      <c r="E16" s="262">
        <f>'Waste gen. - Industry shares'!$B40*('Demand - Industry shares'!D50/'Demand - Industry shares'!$I50)</f>
        <v>7.8521818441320832</v>
      </c>
      <c r="F16" s="262">
        <f>'Waste gen. - Industry shares'!$B40*('Demand - Industry shares'!E50/'Demand - Industry shares'!$I50)</f>
        <v>10.872251784182884</v>
      </c>
      <c r="G16" s="262">
        <f>'Waste gen. - Industry shares'!$B40*('Demand - Industry shares'!F50/'Demand - Industry shares'!$I50)</f>
        <v>0</v>
      </c>
      <c r="H16" s="262">
        <f>'Waste gen. - Industry shares'!$B40*('Demand - Industry shares'!G50/'Demand - Industry shares'!$I50)</f>
        <v>19.328447616325128</v>
      </c>
      <c r="I16" s="262">
        <f>'Waste gen. - Industry shares'!$B40*('Demand - Industry shares'!H50/'Demand - Industry shares'!$I50)</f>
        <v>15.704363688264166</v>
      </c>
      <c r="J16" s="371">
        <f t="shared" si="4"/>
        <v>111.57618723098123</v>
      </c>
    </row>
    <row r="17" spans="2:14">
      <c r="B17" s="364" t="s">
        <v>67</v>
      </c>
      <c r="C17" s="369">
        <f>SUM(C12:C16)</f>
        <v>125.81232312259549</v>
      </c>
      <c r="D17" s="369">
        <f t="shared" ref="D17" si="5">SUM(D12:D16)</f>
        <v>95.570915437250875</v>
      </c>
      <c r="E17" s="369">
        <f t="shared" ref="E17" si="6">SUM(E12:E16)</f>
        <v>24.250116317052335</v>
      </c>
      <c r="F17" s="369">
        <f t="shared" ref="F17" si="7">SUM(F12:F16)</f>
        <v>22.709567771556863</v>
      </c>
      <c r="G17" s="369">
        <f t="shared" ref="G17" si="8">SUM(G12:G16)</f>
        <v>68.2297963281097</v>
      </c>
      <c r="H17" s="369">
        <f t="shared" ref="H17" si="9">SUM(H12:H16)</f>
        <v>27.032210192026398</v>
      </c>
      <c r="I17" s="369">
        <f t="shared" ref="I17" si="10">SUM(I12:I16)</f>
        <v>29.380542948649492</v>
      </c>
      <c r="J17" s="370">
        <f>SUM(J12:J16)</f>
        <v>392.98547211724116</v>
      </c>
    </row>
    <row r="19" spans="2:14">
      <c r="B19" s="1">
        <v>2020</v>
      </c>
    </row>
    <row r="20" spans="2:14" ht="16">
      <c r="B20" s="364" t="s">
        <v>1720</v>
      </c>
      <c r="C20" s="363" t="s">
        <v>258</v>
      </c>
      <c r="D20" s="361" t="s">
        <v>477</v>
      </c>
      <c r="E20" s="362" t="s">
        <v>478</v>
      </c>
      <c r="F20" s="361" t="s">
        <v>480</v>
      </c>
      <c r="G20" s="361" t="s">
        <v>474</v>
      </c>
      <c r="H20" s="361" t="s">
        <v>745</v>
      </c>
      <c r="I20" s="367" t="s">
        <v>248</v>
      </c>
      <c r="J20" s="368" t="s">
        <v>67</v>
      </c>
    </row>
    <row r="21" spans="2:14">
      <c r="B21" s="365" t="s">
        <v>1022</v>
      </c>
      <c r="C21" s="214">
        <v>0.51900000000000002</v>
      </c>
      <c r="D21" s="214">
        <v>0.1</v>
      </c>
      <c r="E21" s="214">
        <v>1E-3</v>
      </c>
      <c r="F21" s="214">
        <v>0</v>
      </c>
      <c r="G21" s="214">
        <v>0.38</v>
      </c>
      <c r="H21" s="214">
        <v>0</v>
      </c>
      <c r="I21" s="214">
        <v>0</v>
      </c>
      <c r="J21" s="383">
        <f>SUM(C21:I21)</f>
        <v>1</v>
      </c>
      <c r="L21" s="214">
        <v>0.14199999999999999</v>
      </c>
      <c r="N21" t="s">
        <v>1721</v>
      </c>
    </row>
    <row r="22" spans="2:14">
      <c r="B22" s="365" t="s">
        <v>310</v>
      </c>
      <c r="C22" s="214">
        <f>(24+54)/(450)</f>
        <v>0.17333333333333334</v>
      </c>
      <c r="D22" s="214">
        <f>30/450</f>
        <v>6.6666666666666666E-2</v>
      </c>
      <c r="E22" s="214">
        <f>(2+13)/(450)</f>
        <v>3.3333333333333333E-2</v>
      </c>
      <c r="F22" s="214">
        <f>309/450</f>
        <v>0.68666666666666665</v>
      </c>
      <c r="G22" s="214">
        <v>0</v>
      </c>
      <c r="H22" s="214">
        <f>18/450*H4/SUM(H4:I4)</f>
        <v>3.310344827586207E-2</v>
      </c>
      <c r="I22" s="214">
        <f>18/450*I4/SUM(H4:I4)</f>
        <v>6.8965517241379318E-3</v>
      </c>
      <c r="J22" s="383">
        <f>SUM(C22:I22)</f>
        <v>1</v>
      </c>
      <c r="L22" s="214">
        <v>1.6E-2</v>
      </c>
      <c r="N22" t="s">
        <v>1722</v>
      </c>
    </row>
    <row r="23" spans="2:14">
      <c r="B23" s="365" t="s">
        <v>311</v>
      </c>
      <c r="C23" s="214">
        <v>0.13</v>
      </c>
      <c r="D23" s="214">
        <v>0.66</v>
      </c>
      <c r="E23" s="214">
        <v>0.06</v>
      </c>
      <c r="F23" s="214">
        <v>0</v>
      </c>
      <c r="G23" s="214">
        <v>0</v>
      </c>
      <c r="H23" s="214">
        <v>0</v>
      </c>
      <c r="I23" s="214">
        <v>0.15</v>
      </c>
      <c r="J23" s="383">
        <f t="shared" ref="J23:J25" si="11">SUM(C23:I23)</f>
        <v>1</v>
      </c>
      <c r="L23" s="214">
        <v>2.5000000000000001E-2</v>
      </c>
      <c r="N23" t="s">
        <v>1723</v>
      </c>
    </row>
    <row r="24" spans="2:14">
      <c r="B24" s="365" t="s">
        <v>320</v>
      </c>
      <c r="C24" s="214">
        <f>C15/SUM($C15:$I15)</f>
        <v>0</v>
      </c>
      <c r="D24" s="214">
        <f t="shared" ref="D24:I25" si="12">D15/SUM($C15:$I15)</f>
        <v>0</v>
      </c>
      <c r="E24" s="214">
        <f t="shared" si="12"/>
        <v>0</v>
      </c>
      <c r="F24" s="214">
        <f t="shared" si="12"/>
        <v>0</v>
      </c>
      <c r="G24" s="214">
        <f t="shared" si="12"/>
        <v>0.80458360019296382</v>
      </c>
      <c r="H24" s="214">
        <f t="shared" si="12"/>
        <v>0</v>
      </c>
      <c r="I24" s="214">
        <f t="shared" si="12"/>
        <v>0.19541639980703623</v>
      </c>
      <c r="J24" s="383">
        <f t="shared" si="11"/>
        <v>1</v>
      </c>
      <c r="L24" s="214">
        <v>0.13</v>
      </c>
      <c r="N24" t="s">
        <v>1724</v>
      </c>
    </row>
    <row r="25" spans="2:14">
      <c r="B25" s="365" t="s">
        <v>248</v>
      </c>
      <c r="C25" s="214">
        <f>C16/SUM($C16:$I16)</f>
        <v>0.19488480569201594</v>
      </c>
      <c r="D25" s="214">
        <f t="shared" si="12"/>
        <v>0.32331664690272238</v>
      </c>
      <c r="E25" s="214">
        <f t="shared" si="12"/>
        <v>7.0375068722116865E-2</v>
      </c>
      <c r="F25" s="214">
        <f t="shared" si="12"/>
        <v>9.7442402846007969E-2</v>
      </c>
      <c r="G25" s="214">
        <f t="shared" si="12"/>
        <v>0</v>
      </c>
      <c r="H25" s="214">
        <f t="shared" si="12"/>
        <v>0.17323093839290307</v>
      </c>
      <c r="I25" s="214">
        <f t="shared" si="12"/>
        <v>0.14075013744423373</v>
      </c>
      <c r="J25" s="383">
        <f t="shared" si="11"/>
        <v>0.99999999999999989</v>
      </c>
      <c r="L25" s="214">
        <f>(14100+26000+8200+4500)/(598700+496700+149200+84100)</f>
        <v>3.973808986227139E-2</v>
      </c>
      <c r="N25" t="s">
        <v>1725</v>
      </c>
    </row>
    <row r="26" spans="2:14">
      <c r="B26" s="364" t="s">
        <v>67</v>
      </c>
      <c r="C26" s="379"/>
      <c r="D26" s="379"/>
      <c r="E26" s="379"/>
      <c r="F26" s="379"/>
      <c r="G26" s="379"/>
      <c r="H26" s="379"/>
      <c r="I26" s="379"/>
      <c r="J26" s="378">
        <f>J44/J17</f>
        <v>0.10101265357109386</v>
      </c>
      <c r="L26" s="376">
        <f>'Ethylene Recycling HC'!C222</f>
        <v>0.10392620862112158</v>
      </c>
    </row>
    <row r="28" spans="2:14">
      <c r="B28" s="1">
        <v>2020</v>
      </c>
    </row>
    <row r="29" spans="2:14" ht="16">
      <c r="B29" s="364" t="s">
        <v>378</v>
      </c>
      <c r="C29" s="363" t="s">
        <v>258</v>
      </c>
      <c r="D29" s="361" t="s">
        <v>477</v>
      </c>
      <c r="E29" s="362" t="s">
        <v>478</v>
      </c>
      <c r="F29" s="361" t="s">
        <v>480</v>
      </c>
      <c r="G29" s="361" t="s">
        <v>474</v>
      </c>
      <c r="H29" s="361" t="s">
        <v>745</v>
      </c>
      <c r="I29" s="367" t="s">
        <v>248</v>
      </c>
      <c r="J29" s="368" t="s">
        <v>67</v>
      </c>
    </row>
    <row r="30" spans="2:14">
      <c r="B30" s="365" t="s">
        <v>1022</v>
      </c>
      <c r="C30" s="110">
        <f>IFERROR(C39/C12,0)</f>
        <v>0.15404617097815404</v>
      </c>
      <c r="D30" s="110">
        <f t="shared" ref="D30:I31" si="13">IFERROR(D39/D12,0)</f>
        <v>6.4176125857639113E-2</v>
      </c>
      <c r="E30" s="110">
        <f t="shared" si="13"/>
        <v>1.9835824450403789E-3</v>
      </c>
      <c r="F30" s="110">
        <f t="shared" si="13"/>
        <v>0</v>
      </c>
      <c r="G30" s="110">
        <f t="shared" si="13"/>
        <v>0.3059823217200901</v>
      </c>
      <c r="H30" s="110">
        <f t="shared" si="13"/>
        <v>0</v>
      </c>
      <c r="I30" s="110">
        <f t="shared" si="13"/>
        <v>0</v>
      </c>
      <c r="J30" s="377">
        <f>L21</f>
        <v>0.14199999999999999</v>
      </c>
      <c r="L30" s="23"/>
    </row>
    <row r="31" spans="2:14">
      <c r="B31" s="365" t="s">
        <v>310</v>
      </c>
      <c r="C31" s="110">
        <f>IFERROR(C40/C13,0)</f>
        <v>1.3545088274044799E-2</v>
      </c>
      <c r="D31" s="110">
        <f t="shared" si="13"/>
        <v>5.8929601482881049E-3</v>
      </c>
      <c r="E31" s="110">
        <f t="shared" si="13"/>
        <v>5.2096493361710764E-3</v>
      </c>
      <c r="F31" s="110">
        <f t="shared" si="13"/>
        <v>2.9148309619169525E-2</v>
      </c>
      <c r="G31" s="110">
        <f t="shared" si="13"/>
        <v>0</v>
      </c>
      <c r="H31" s="110">
        <f t="shared" si="13"/>
        <v>4.7425773267212555E-3</v>
      </c>
      <c r="I31" s="110">
        <f t="shared" si="13"/>
        <v>4.7425773267212555E-3</v>
      </c>
      <c r="J31" s="377">
        <f>L22</f>
        <v>1.6E-2</v>
      </c>
      <c r="L31" s="214"/>
    </row>
    <row r="32" spans="2:14">
      <c r="B32" s="365" t="s">
        <v>311</v>
      </c>
      <c r="C32" s="110">
        <f t="shared" ref="C32:I32" si="14">IFERROR(C41/C14,0)</f>
        <v>3.4268734903381642E-2</v>
      </c>
      <c r="D32" s="110">
        <f t="shared" si="14"/>
        <v>2.9600675638829989E-2</v>
      </c>
      <c r="E32" s="110">
        <f t="shared" si="14"/>
        <v>0</v>
      </c>
      <c r="F32" s="110">
        <f t="shared" si="14"/>
        <v>0</v>
      </c>
      <c r="G32" s="110">
        <f t="shared" si="14"/>
        <v>0</v>
      </c>
      <c r="H32" s="110">
        <f t="shared" si="14"/>
        <v>0</v>
      </c>
      <c r="I32" s="110">
        <f t="shared" si="14"/>
        <v>1.6175801440407419E-2</v>
      </c>
      <c r="J32" s="377">
        <f t="shared" ref="J32:J34" si="15">L23</f>
        <v>2.5000000000000001E-2</v>
      </c>
      <c r="L32" s="23"/>
    </row>
    <row r="33" spans="2:12">
      <c r="B33" s="365" t="s">
        <v>320</v>
      </c>
      <c r="C33" s="110">
        <f t="shared" ref="C33:I33" si="16">IFERROR(C42/C15,0)</f>
        <v>0</v>
      </c>
      <c r="D33" s="110">
        <f t="shared" si="16"/>
        <v>0</v>
      </c>
      <c r="E33" s="110">
        <f t="shared" si="16"/>
        <v>0</v>
      </c>
      <c r="F33" s="110">
        <f t="shared" si="16"/>
        <v>0</v>
      </c>
      <c r="G33" s="110">
        <f t="shared" si="16"/>
        <v>0.13</v>
      </c>
      <c r="H33" s="110">
        <f t="shared" si="16"/>
        <v>0</v>
      </c>
      <c r="I33" s="110">
        <f t="shared" si="16"/>
        <v>0.13000000000000003</v>
      </c>
      <c r="J33" s="377">
        <f t="shared" si="15"/>
        <v>0.13</v>
      </c>
      <c r="L33" s="23"/>
    </row>
    <row r="34" spans="2:12">
      <c r="B34" s="365" t="s">
        <v>248</v>
      </c>
      <c r="C34" s="110">
        <f t="shared" ref="C34:I34" si="17">IFERROR(C43/C16,0)</f>
        <v>3.9738089862271384E-2</v>
      </c>
      <c r="D34" s="110">
        <f t="shared" si="17"/>
        <v>3.9738089862271384E-2</v>
      </c>
      <c r="E34" s="110">
        <f t="shared" si="17"/>
        <v>3.9738089862271384E-2</v>
      </c>
      <c r="F34" s="110">
        <f t="shared" si="17"/>
        <v>3.9738089862271384E-2</v>
      </c>
      <c r="G34" s="110">
        <f t="shared" si="17"/>
        <v>0</v>
      </c>
      <c r="H34" s="110">
        <f t="shared" si="17"/>
        <v>3.973808986227139E-2</v>
      </c>
      <c r="I34" s="110">
        <f t="shared" si="17"/>
        <v>3.9738089862271384E-2</v>
      </c>
      <c r="J34" s="377">
        <f t="shared" si="15"/>
        <v>3.973808986227139E-2</v>
      </c>
      <c r="L34" s="23"/>
    </row>
    <row r="35" spans="2:12">
      <c r="B35" s="364" t="s">
        <v>67</v>
      </c>
      <c r="C35" s="379">
        <f>C44/C17</f>
        <v>0.12900907367842454</v>
      </c>
      <c r="D35" s="379">
        <f t="shared" ref="D35:I35" si="18">D44/D17</f>
        <v>4.9312520530868736E-2</v>
      </c>
      <c r="E35" s="379">
        <f t="shared" si="18"/>
        <v>1.5626943455607355E-2</v>
      </c>
      <c r="F35" s="379">
        <f t="shared" si="18"/>
        <v>2.646414385200125E-2</v>
      </c>
      <c r="G35" s="379">
        <f t="shared" si="18"/>
        <v>0.2241864877323084</v>
      </c>
      <c r="H35" s="379">
        <f t="shared" si="18"/>
        <v>2.8714645255489477E-2</v>
      </c>
      <c r="I35" s="379">
        <f t="shared" si="18"/>
        <v>5.7873953349542095E-2</v>
      </c>
      <c r="J35" s="378">
        <f>J53/J26</f>
        <v>0</v>
      </c>
      <c r="L35" s="376"/>
    </row>
    <row r="36" spans="2:12">
      <c r="B36" s="1"/>
      <c r="C36" s="297"/>
      <c r="D36" s="297"/>
      <c r="E36" s="297"/>
      <c r="F36" s="297"/>
      <c r="G36" s="297"/>
      <c r="H36" s="297"/>
      <c r="I36" s="297"/>
      <c r="J36" s="297"/>
      <c r="L36" s="376"/>
    </row>
    <row r="37" spans="2:12">
      <c r="B37" s="1">
        <v>2020</v>
      </c>
    </row>
    <row r="38" spans="2:12" ht="16">
      <c r="B38" s="364" t="s">
        <v>1726</v>
      </c>
      <c r="C38" s="363" t="s">
        <v>258</v>
      </c>
      <c r="D38" s="361" t="s">
        <v>477</v>
      </c>
      <c r="E38" s="362" t="s">
        <v>478</v>
      </c>
      <c r="F38" s="361" t="s">
        <v>480</v>
      </c>
      <c r="G38" s="361" t="s">
        <v>474</v>
      </c>
      <c r="H38" s="361" t="s">
        <v>745</v>
      </c>
      <c r="I38" s="367" t="s">
        <v>248</v>
      </c>
      <c r="J38" s="368" t="s">
        <v>67</v>
      </c>
    </row>
    <row r="39" spans="2:12">
      <c r="B39" s="365" t="s">
        <v>1022</v>
      </c>
      <c r="C39" s="262">
        <f>$J39*C21</f>
        <v>15.260674556028027</v>
      </c>
      <c r="D39" s="262">
        <f t="shared" ref="D39:I40" si="19">$J39*D21</f>
        <v>2.9403997217780398</v>
      </c>
      <c r="E39" s="262">
        <f t="shared" si="19"/>
        <v>2.9403997217780399E-2</v>
      </c>
      <c r="F39" s="262">
        <f t="shared" si="19"/>
        <v>0</v>
      </c>
      <c r="G39" s="262">
        <f t="shared" si="19"/>
        <v>11.173518942756552</v>
      </c>
      <c r="H39" s="262">
        <f t="shared" si="19"/>
        <v>0</v>
      </c>
      <c r="I39" s="262">
        <f t="shared" si="19"/>
        <v>0</v>
      </c>
      <c r="J39" s="371">
        <f>J12*J30</f>
        <v>29.403997217780397</v>
      </c>
    </row>
    <row r="40" spans="2:12">
      <c r="B40" s="365" t="s">
        <v>310</v>
      </c>
      <c r="C40" s="262">
        <f>$J40*C22</f>
        <v>4.2646752406523936E-2</v>
      </c>
      <c r="D40" s="262">
        <f t="shared" si="19"/>
        <v>1.6402597079432282E-2</v>
      </c>
      <c r="E40" s="262">
        <f t="shared" si="19"/>
        <v>8.2012985397161408E-3</v>
      </c>
      <c r="F40" s="262">
        <f t="shared" si="19"/>
        <v>0.16894674991815251</v>
      </c>
      <c r="G40" s="262">
        <f t="shared" si="19"/>
        <v>0</v>
      </c>
      <c r="H40" s="262">
        <f t="shared" si="19"/>
        <v>8.1447378601318919E-3</v>
      </c>
      <c r="I40" s="262">
        <f t="shared" si="19"/>
        <v>1.6968203875274777E-3</v>
      </c>
      <c r="J40" s="371">
        <f t="shared" ref="J40:J43" si="20">J13*J31</f>
        <v>0.24603895619148425</v>
      </c>
    </row>
    <row r="41" spans="2:12">
      <c r="B41" s="365" t="s">
        <v>311</v>
      </c>
      <c r="C41" s="262">
        <f t="shared" ref="C41:I41" si="21">$J41*C23</f>
        <v>6.3524918131924138E-2</v>
      </c>
      <c r="D41" s="262">
        <f t="shared" si="21"/>
        <v>0.32251112282361483</v>
      </c>
      <c r="E41" s="262">
        <f t="shared" si="21"/>
        <v>2.9319192983964983E-2</v>
      </c>
      <c r="F41" s="262">
        <f t="shared" si="21"/>
        <v>0</v>
      </c>
      <c r="G41" s="262">
        <f t="shared" si="21"/>
        <v>0</v>
      </c>
      <c r="H41" s="262">
        <f t="shared" si="21"/>
        <v>0</v>
      </c>
      <c r="I41" s="262">
        <f t="shared" si="21"/>
        <v>7.3297982459912453E-2</v>
      </c>
      <c r="J41" s="371">
        <f t="shared" si="20"/>
        <v>0.48865321639941639</v>
      </c>
    </row>
    <row r="42" spans="2:12">
      <c r="B42" s="365" t="s">
        <v>320</v>
      </c>
      <c r="C42" s="262">
        <f t="shared" ref="C42:I42" si="22">$J42*C24</f>
        <v>0</v>
      </c>
      <c r="D42" s="262">
        <f t="shared" si="22"/>
        <v>0</v>
      </c>
      <c r="E42" s="262">
        <f t="shared" si="22"/>
        <v>0</v>
      </c>
      <c r="F42" s="262">
        <f t="shared" si="22"/>
        <v>0</v>
      </c>
      <c r="G42" s="262">
        <f t="shared" si="22"/>
        <v>4.1226794547331149</v>
      </c>
      <c r="H42" s="262">
        <f t="shared" si="22"/>
        <v>0</v>
      </c>
      <c r="I42" s="262">
        <f t="shared" si="22"/>
        <v>1.0013119536728856</v>
      </c>
      <c r="J42" s="371">
        <f t="shared" si="20"/>
        <v>5.1239914084059999</v>
      </c>
    </row>
    <row r="43" spans="2:12">
      <c r="B43" s="365" t="s">
        <v>248</v>
      </c>
      <c r="C43" s="262">
        <f t="shared" ref="C43:I43" si="23">$J43*C25</f>
        <v>0.86408503681019966</v>
      </c>
      <c r="D43" s="262">
        <f t="shared" si="23"/>
        <v>1.433529287972267</v>
      </c>
      <c r="E43" s="262">
        <f t="shared" si="23"/>
        <v>0.31203070773701658</v>
      </c>
      <c r="F43" s="262">
        <f t="shared" si="23"/>
        <v>0.43204251840509983</v>
      </c>
      <c r="G43" s="262">
        <f t="shared" si="23"/>
        <v>0</v>
      </c>
      <c r="H43" s="262">
        <f t="shared" si="23"/>
        <v>0.76807558827573319</v>
      </c>
      <c r="I43" s="262">
        <f t="shared" si="23"/>
        <v>0.62406141547403315</v>
      </c>
      <c r="J43" s="371">
        <f t="shared" si="20"/>
        <v>4.4338245546743495</v>
      </c>
    </row>
    <row r="44" spans="2:12">
      <c r="B44" s="364" t="s">
        <v>67</v>
      </c>
      <c r="C44" s="369">
        <f>SUM(C39:C43)</f>
        <v>16.230931263376675</v>
      </c>
      <c r="D44" s="369">
        <f t="shared" ref="D44" si="24">SUM(D39:D43)</f>
        <v>4.7128427296533539</v>
      </c>
      <c r="E44" s="369">
        <f t="shared" ref="E44" si="25">SUM(E39:E43)</f>
        <v>0.37895519647847808</v>
      </c>
      <c r="F44" s="369">
        <f t="shared" ref="F44" si="26">SUM(F39:F43)</f>
        <v>0.60098926832325228</v>
      </c>
      <c r="G44" s="369">
        <f t="shared" ref="G44" si="27">SUM(G39:G43)</f>
        <v>15.296198397489666</v>
      </c>
      <c r="H44" s="369">
        <f t="shared" ref="H44" si="28">SUM(H39:H43)</f>
        <v>0.77622032613586511</v>
      </c>
      <c r="I44" s="369">
        <f t="shared" ref="I44" si="29">SUM(I39:I43)</f>
        <v>1.7003681719943586</v>
      </c>
      <c r="J44" s="370">
        <f>SUM(J39:J43)</f>
        <v>39.696505353451649</v>
      </c>
    </row>
    <row r="46" spans="2:12">
      <c r="B46" s="1" t="s">
        <v>1727</v>
      </c>
    </row>
    <row r="47" spans="2:12" ht="16">
      <c r="B47" s="364" t="s">
        <v>1726</v>
      </c>
      <c r="C47" s="363" t="s">
        <v>258</v>
      </c>
      <c r="D47" s="361" t="s">
        <v>477</v>
      </c>
      <c r="E47" s="362" t="s">
        <v>478</v>
      </c>
      <c r="F47" s="361" t="s">
        <v>480</v>
      </c>
      <c r="G47" s="361" t="s">
        <v>474</v>
      </c>
      <c r="H47" s="361" t="s">
        <v>745</v>
      </c>
      <c r="I47" s="367" t="s">
        <v>248</v>
      </c>
      <c r="J47" s="368"/>
    </row>
    <row r="48" spans="2:12">
      <c r="B48" s="365" t="s">
        <v>1022</v>
      </c>
      <c r="C48" s="262">
        <f>C30/$J30</f>
        <v>1.0848321899870004</v>
      </c>
      <c r="D48" s="262">
        <f t="shared" ref="D48:I48" si="30">D30/$J30</f>
        <v>0.45194454829323322</v>
      </c>
      <c r="E48" s="262">
        <f t="shared" si="30"/>
        <v>1.3968890458030838E-2</v>
      </c>
      <c r="F48" s="262">
        <f t="shared" si="30"/>
        <v>0</v>
      </c>
      <c r="G48" s="262">
        <f t="shared" si="30"/>
        <v>2.1548050825358458</v>
      </c>
      <c r="H48" s="262">
        <f t="shared" si="30"/>
        <v>0</v>
      </c>
      <c r="I48" s="262">
        <f t="shared" si="30"/>
        <v>0</v>
      </c>
      <c r="J48" s="371"/>
    </row>
    <row r="49" spans="2:22">
      <c r="B49" s="365" t="s">
        <v>310</v>
      </c>
      <c r="C49" s="262">
        <f t="shared" ref="C49:I49" si="31">C31/$J31</f>
        <v>0.84656801712779994</v>
      </c>
      <c r="D49" s="262">
        <f t="shared" si="31"/>
        <v>0.36831000926800656</v>
      </c>
      <c r="E49" s="262">
        <f t="shared" si="31"/>
        <v>0.32560308351069228</v>
      </c>
      <c r="F49" s="262">
        <f t="shared" si="31"/>
        <v>1.8217693511980952</v>
      </c>
      <c r="G49" s="262">
        <f t="shared" si="31"/>
        <v>0</v>
      </c>
      <c r="H49" s="262">
        <f t="shared" si="31"/>
        <v>0.29641108292007845</v>
      </c>
      <c r="I49" s="262">
        <f t="shared" si="31"/>
        <v>0.29641108292007845</v>
      </c>
      <c r="J49" s="371"/>
    </row>
    <row r="50" spans="2:22">
      <c r="B50" s="365" t="s">
        <v>311</v>
      </c>
      <c r="C50" s="262">
        <f t="shared" ref="C50:I50" si="32">C32/$J32</f>
        <v>1.3707493961352657</v>
      </c>
      <c r="D50" s="262">
        <f t="shared" si="32"/>
        <v>1.1840270255531995</v>
      </c>
      <c r="E50" s="262">
        <f t="shared" si="32"/>
        <v>0</v>
      </c>
      <c r="F50" s="262">
        <f t="shared" si="32"/>
        <v>0</v>
      </c>
      <c r="G50" s="262">
        <f t="shared" si="32"/>
        <v>0</v>
      </c>
      <c r="H50" s="262">
        <f t="shared" si="32"/>
        <v>0</v>
      </c>
      <c r="I50" s="262">
        <f t="shared" si="32"/>
        <v>0.64703205761629667</v>
      </c>
      <c r="J50" s="371"/>
    </row>
    <row r="51" spans="2:22">
      <c r="B51" s="365" t="s">
        <v>320</v>
      </c>
      <c r="C51" s="262">
        <f t="shared" ref="C51:I51" si="33">C33/$J33</f>
        <v>0</v>
      </c>
      <c r="D51" s="262">
        <f t="shared" si="33"/>
        <v>0</v>
      </c>
      <c r="E51" s="262">
        <f t="shared" si="33"/>
        <v>0</v>
      </c>
      <c r="F51" s="262">
        <f t="shared" si="33"/>
        <v>0</v>
      </c>
      <c r="G51" s="262">
        <f t="shared" si="33"/>
        <v>1</v>
      </c>
      <c r="H51" s="262">
        <f t="shared" si="33"/>
        <v>0</v>
      </c>
      <c r="I51" s="262">
        <f t="shared" si="33"/>
        <v>1.0000000000000002</v>
      </c>
      <c r="J51" s="371"/>
    </row>
    <row r="52" spans="2:22">
      <c r="B52" s="365" t="s">
        <v>248</v>
      </c>
      <c r="C52" s="262">
        <f t="shared" ref="C52:I52" si="34">C34/$J34</f>
        <v>0.99999999999999978</v>
      </c>
      <c r="D52" s="262">
        <f t="shared" si="34"/>
        <v>0.99999999999999978</v>
      </c>
      <c r="E52" s="262">
        <f t="shared" si="34"/>
        <v>0.99999999999999978</v>
      </c>
      <c r="F52" s="262">
        <f t="shared" si="34"/>
        <v>0.99999999999999978</v>
      </c>
      <c r="G52" s="262">
        <f t="shared" si="34"/>
        <v>0</v>
      </c>
      <c r="H52" s="262">
        <f t="shared" si="34"/>
        <v>1</v>
      </c>
      <c r="I52" s="262">
        <f t="shared" si="34"/>
        <v>0.99999999999999978</v>
      </c>
      <c r="J52" s="371"/>
    </row>
    <row r="53" spans="2:22">
      <c r="B53" s="364"/>
      <c r="C53" s="369"/>
      <c r="D53" s="369"/>
      <c r="E53" s="369"/>
      <c r="F53" s="369"/>
      <c r="G53" s="369"/>
      <c r="H53" s="369"/>
      <c r="I53" s="369"/>
      <c r="J53" s="370"/>
    </row>
    <row r="55" spans="2:22">
      <c r="B55" s="1" t="s">
        <v>1728</v>
      </c>
    </row>
    <row r="56" spans="2:22" ht="32">
      <c r="B56" s="364"/>
      <c r="C56" s="363" t="s">
        <v>258</v>
      </c>
      <c r="D56" s="361" t="s">
        <v>477</v>
      </c>
      <c r="E56" s="362" t="s">
        <v>478</v>
      </c>
      <c r="F56" s="361" t="s">
        <v>480</v>
      </c>
      <c r="G56" s="361" t="s">
        <v>474</v>
      </c>
      <c r="H56" s="361" t="s">
        <v>745</v>
      </c>
      <c r="I56" s="367" t="s">
        <v>248</v>
      </c>
      <c r="J56" s="368" t="s">
        <v>1729</v>
      </c>
      <c r="K56" s="368" t="s">
        <v>1730</v>
      </c>
    </row>
    <row r="57" spans="2:22" ht="16">
      <c r="B57" s="389" t="s">
        <v>4</v>
      </c>
      <c r="C57" s="392">
        <f>1</f>
        <v>1</v>
      </c>
      <c r="D57" s="343">
        <v>0</v>
      </c>
      <c r="E57" s="343">
        <f>'Demand Breakdown - Ethylene'!E39</f>
        <v>0.2687140115163148</v>
      </c>
      <c r="F57" s="343">
        <f>'Demand Breakdown - Ethylene'!E38</f>
        <v>0.44800000000000001</v>
      </c>
      <c r="G57" s="343">
        <f>'Demand Breakdown - Ethylene'!E36</f>
        <v>0.14568158168574402</v>
      </c>
      <c r="H57" s="343">
        <f t="shared" ref="H57" si="35">H39/$J39</f>
        <v>0</v>
      </c>
      <c r="I57" s="393">
        <f>'Demand Breakdown - Ethylene'!E41</f>
        <v>0.1</v>
      </c>
      <c r="J57" s="393">
        <v>0.05</v>
      </c>
      <c r="K57" s="393">
        <v>0.1</v>
      </c>
    </row>
    <row r="58" spans="2:22" ht="16">
      <c r="B58" s="390" t="s">
        <v>5</v>
      </c>
      <c r="C58" s="394">
        <v>0</v>
      </c>
      <c r="D58" s="332">
        <v>1</v>
      </c>
      <c r="E58" s="332">
        <v>0</v>
      </c>
      <c r="F58" s="332">
        <v>0</v>
      </c>
      <c r="G58" s="332">
        <v>0</v>
      </c>
      <c r="H58" s="332">
        <v>0</v>
      </c>
      <c r="I58" s="395">
        <v>0.1</v>
      </c>
      <c r="J58" s="395">
        <v>0.05</v>
      </c>
      <c r="K58" s="395">
        <v>0.1</v>
      </c>
    </row>
    <row r="59" spans="2:22" ht="16">
      <c r="B59" s="390" t="s">
        <v>6</v>
      </c>
      <c r="C59" s="394">
        <f>'Demand - Industry shares'!C81</f>
        <v>0</v>
      </c>
      <c r="D59" s="332">
        <f>'Demand - Industry shares'!D81</f>
        <v>0</v>
      </c>
      <c r="E59" s="332">
        <f>'Demand - Industry shares'!E81</f>
        <v>0</v>
      </c>
      <c r="F59" s="332">
        <f>'Demand - Industry shares'!F81</f>
        <v>0</v>
      </c>
      <c r="G59" s="332">
        <f>'Demand - Industry shares'!G81</f>
        <v>4.1295053450461215E-2</v>
      </c>
      <c r="H59" s="332">
        <f>'Demand - Industry shares'!I81</f>
        <v>0.10886110356075018</v>
      </c>
      <c r="I59" s="332">
        <f>30%</f>
        <v>0.3</v>
      </c>
      <c r="J59" s="332">
        <v>0.1</v>
      </c>
      <c r="K59" s="332">
        <v>0.3</v>
      </c>
      <c r="N59" t="s">
        <v>67</v>
      </c>
      <c r="O59" t="s">
        <v>1731</v>
      </c>
      <c r="P59" t="s">
        <v>1732</v>
      </c>
      <c r="Q59" t="s">
        <v>378</v>
      </c>
      <c r="R59" t="s">
        <v>1733</v>
      </c>
      <c r="S59" t="s">
        <v>1734</v>
      </c>
      <c r="T59" t="s">
        <v>1735</v>
      </c>
    </row>
    <row r="60" spans="2:22" ht="16">
      <c r="B60" s="390" t="s">
        <v>7</v>
      </c>
      <c r="C60" s="394">
        <v>0</v>
      </c>
      <c r="D60" s="332">
        <v>0</v>
      </c>
      <c r="E60" s="332">
        <f>'Demand - Industry shares'!E96</f>
        <v>0.6818814091558747</v>
      </c>
      <c r="F60" s="332">
        <v>0</v>
      </c>
      <c r="G60" s="332">
        <v>0</v>
      </c>
      <c r="H60" s="332">
        <f>'Demand - Industry shares'!I96</f>
        <v>0.41329579380032699</v>
      </c>
      <c r="I60" s="332">
        <f>'Demand - Industry shares'!J96</f>
        <v>0.1</v>
      </c>
      <c r="J60" s="332">
        <v>0.1</v>
      </c>
      <c r="K60" s="332">
        <v>0.1</v>
      </c>
      <c r="M60" t="s">
        <v>258</v>
      </c>
      <c r="N60">
        <v>80</v>
      </c>
      <c r="O60" s="6">
        <v>1</v>
      </c>
      <c r="P60">
        <f>N60*O60</f>
        <v>80</v>
      </c>
      <c r="Q60" s="6">
        <v>0.15</v>
      </c>
      <c r="R60">
        <f>N60*Q60</f>
        <v>12</v>
      </c>
      <c r="S60">
        <f>N60*Q60*O60</f>
        <v>12</v>
      </c>
      <c r="T60" s="2">
        <f>S60/P60</f>
        <v>0.15</v>
      </c>
      <c r="U60" s="256">
        <f>Q60/R62</f>
        <v>0.83333333333333337</v>
      </c>
    </row>
    <row r="61" spans="2:22" ht="16">
      <c r="B61" s="390" t="s">
        <v>8</v>
      </c>
      <c r="C61" s="394">
        <v>0</v>
      </c>
      <c r="D61" s="332">
        <v>0</v>
      </c>
      <c r="E61" s="332">
        <f>'Demand - Industry shares'!E110</f>
        <v>5.3967647447898864E-2</v>
      </c>
      <c r="F61" s="332">
        <v>0</v>
      </c>
      <c r="G61" s="332">
        <f>'Demand - Industry shares'!G110</f>
        <v>6.1398057097631083E-2</v>
      </c>
      <c r="H61" s="332">
        <f>'Demand - Industry shares'!I110</f>
        <v>0.16636063165230416</v>
      </c>
      <c r="I61" s="332">
        <f>'Demand - Industry shares'!J110</f>
        <v>0.05</v>
      </c>
      <c r="J61" s="332">
        <v>2.5000000000000001E-2</v>
      </c>
      <c r="K61" s="332">
        <v>0</v>
      </c>
      <c r="M61" t="s">
        <v>474</v>
      </c>
      <c r="N61">
        <v>20</v>
      </c>
      <c r="O61" s="6">
        <v>0.15</v>
      </c>
      <c r="P61">
        <f>N61*O61</f>
        <v>3</v>
      </c>
      <c r="Q61" s="6">
        <v>0.3</v>
      </c>
      <c r="R61">
        <f>N61*Q61</f>
        <v>6</v>
      </c>
      <c r="S61">
        <f>N61*Q61*O61</f>
        <v>0.89999999999999991</v>
      </c>
      <c r="T61" s="2">
        <f>S61/P61</f>
        <v>0.3</v>
      </c>
      <c r="U61" s="256">
        <f>Q61/R62</f>
        <v>1.6666666666666667</v>
      </c>
    </row>
    <row r="62" spans="2:22" ht="16">
      <c r="B62" s="390" t="s">
        <v>9</v>
      </c>
      <c r="C62" s="394">
        <v>0</v>
      </c>
      <c r="D62" s="332">
        <v>0</v>
      </c>
      <c r="E62" s="332">
        <v>0</v>
      </c>
      <c r="F62" s="332">
        <v>0</v>
      </c>
      <c r="G62" s="332">
        <f>'Demand - Industry shares'!G124</f>
        <v>0.49068527623570229</v>
      </c>
      <c r="H62" s="332">
        <v>0</v>
      </c>
      <c r="I62" s="332">
        <f>'Demand - Industry shares'!J124</f>
        <v>0.05</v>
      </c>
      <c r="J62" s="332">
        <v>2.5000000000000001E-2</v>
      </c>
      <c r="K62" s="332">
        <v>0</v>
      </c>
      <c r="N62">
        <f>SUM(N60:N61)</f>
        <v>100</v>
      </c>
      <c r="P62">
        <f>SUM(P60:P61)</f>
        <v>83</v>
      </c>
      <c r="R62" s="2">
        <f>SUM(R60:R61)/N62</f>
        <v>0.18</v>
      </c>
      <c r="S62">
        <f>SUM(S60:S61)</f>
        <v>12.9</v>
      </c>
      <c r="T62" s="2">
        <f>S62/P62</f>
        <v>0.15542168674698795</v>
      </c>
      <c r="U62" s="245">
        <f>(U60*O60*N60+U61*O61*N61)/N62</f>
        <v>0.71666666666666667</v>
      </c>
      <c r="V62" s="256">
        <f>T62/R62</f>
        <v>0.86345381526104414</v>
      </c>
    </row>
    <row r="63" spans="2:22" ht="16">
      <c r="B63" s="388" t="s">
        <v>10</v>
      </c>
      <c r="C63" s="396">
        <v>0</v>
      </c>
      <c r="D63" s="397">
        <v>0</v>
      </c>
      <c r="E63" s="397">
        <v>0</v>
      </c>
      <c r="F63" s="397">
        <v>0</v>
      </c>
      <c r="G63" s="397">
        <v>0</v>
      </c>
      <c r="H63" s="397">
        <v>0</v>
      </c>
      <c r="I63" s="397">
        <v>0.2</v>
      </c>
      <c r="J63" s="397">
        <v>0.7</v>
      </c>
      <c r="K63" s="397">
        <v>0.02</v>
      </c>
    </row>
    <row r="64" spans="2:22" ht="16">
      <c r="B64" s="398" t="s">
        <v>248</v>
      </c>
      <c r="C64" s="577">
        <f>1-SUM(C57:C63)</f>
        <v>0</v>
      </c>
      <c r="D64" s="329">
        <f t="shared" ref="D64:H64" si="36">1-SUM(D57:D63)</f>
        <v>0</v>
      </c>
      <c r="E64" s="329">
        <f t="shared" si="36"/>
        <v>-4.5630681200883316E-3</v>
      </c>
      <c r="F64" s="329">
        <f t="shared" si="36"/>
        <v>0.55200000000000005</v>
      </c>
      <c r="G64" s="329">
        <f t="shared" si="36"/>
        <v>0.26094003153046141</v>
      </c>
      <c r="H64" s="329">
        <f t="shared" si="36"/>
        <v>0.31148247098661863</v>
      </c>
      <c r="I64" s="329">
        <f>1.2-SUM(I57:I63)</f>
        <v>0.29999999999999982</v>
      </c>
      <c r="J64" s="329">
        <f>1.2-SUM(J57:J63)</f>
        <v>0.14999999999999991</v>
      </c>
      <c r="K64" s="329">
        <f>1.2-SUM(K57:K63)</f>
        <v>0.57999999999999996</v>
      </c>
      <c r="L64" t="s">
        <v>1736</v>
      </c>
    </row>
    <row r="66" spans="2:21">
      <c r="B66" s="1" t="s">
        <v>1737</v>
      </c>
    </row>
    <row r="67" spans="2:21" ht="16">
      <c r="B67" s="364"/>
      <c r="C67" s="363" t="s">
        <v>4</v>
      </c>
      <c r="D67" s="361" t="s">
        <v>5</v>
      </c>
      <c r="E67" s="385" t="s">
        <v>6</v>
      </c>
      <c r="F67" s="361" t="s">
        <v>7</v>
      </c>
      <c r="G67" s="361" t="s">
        <v>8</v>
      </c>
      <c r="H67" s="361" t="s">
        <v>9</v>
      </c>
      <c r="I67" s="386" t="s">
        <v>10</v>
      </c>
      <c r="J67" s="368" t="s">
        <v>248</v>
      </c>
    </row>
    <row r="68" spans="2:21">
      <c r="B68" s="401" t="s">
        <v>1022</v>
      </c>
      <c r="C68" s="402">
        <f>SUMPRODUCT($C$57:$I$57,$C12:$I12)</f>
        <v>110.90685984500516</v>
      </c>
      <c r="D68" s="403">
        <f>SUMPRODUCT($C$58:$I$58,$C12:$I12)</f>
        <v>45.926122967061751</v>
      </c>
      <c r="E68" s="403">
        <f>SUMPRODUCT($C$59:$I$59,$C12:$I12)</f>
        <v>2.305673342876351</v>
      </c>
      <c r="F68" s="403">
        <f>SUMPRODUCT($C$60:$I$60,$C12:$I12)</f>
        <v>12.009600983341521</v>
      </c>
      <c r="G68" s="403">
        <f>SUMPRODUCT($C$61:$I$61,$C12:$I12)</f>
        <v>3.8180763152766408</v>
      </c>
      <c r="H68" s="403">
        <f>SUMPRODUCT($C$62:$I$62,$C12:$I12)</f>
        <v>17.972527082938928</v>
      </c>
      <c r="I68" s="404">
        <f>SUMPRODUCT($C$63:$I$63,$C12:$I12)</f>
        <v>0.21693194522107306</v>
      </c>
      <c r="J68" s="404">
        <f>SUMPRODUCT($C$64:$I$64,$C12:$I12)</f>
        <v>14.131542405615146</v>
      </c>
    </row>
    <row r="69" spans="2:21">
      <c r="B69" s="365" t="s">
        <v>310</v>
      </c>
      <c r="C69" s="405">
        <f>SUMPRODUCT($C$57:$I$57,$C13:$I13)</f>
        <v>6.2039613662425941</v>
      </c>
      <c r="D69" s="406">
        <f>SUMPRODUCT($C$58:$I$58,$C13:$I13)</f>
        <v>2.8192008104320267</v>
      </c>
      <c r="E69" s="406">
        <f>SUMPRODUCT($C$59:$I$59,$C13:$I13)</f>
        <v>0.29428961760126421</v>
      </c>
      <c r="F69" s="406">
        <f>SUMPRODUCT($C$60:$I$60,$C13:$I13)</f>
        <v>1.8190111751777982</v>
      </c>
      <c r="G69" s="406">
        <f>SUMPRODUCT($C$61:$I$61,$C13:$I13)</f>
        <v>0.3885498552983771</v>
      </c>
      <c r="H69" s="406">
        <f>SUMPRODUCT($C$62:$I$62,$C13:$I13)</f>
        <v>1.7889222153184812E-2</v>
      </c>
      <c r="I69" s="407">
        <f>SUMPRODUCT($C$63:$I$63,$C13:$I13)</f>
        <v>7.1556888612739247E-2</v>
      </c>
      <c r="J69" s="407">
        <f>SUMPRODUCT($C$64:$I$64,$C13:$I13)</f>
        <v>3.8345327150625192</v>
      </c>
    </row>
    <row r="70" spans="2:21">
      <c r="B70" s="365" t="s">
        <v>311</v>
      </c>
      <c r="C70" s="595">
        <f>SUMPRODUCT($C$57:$H$57,$C14:$H14)+J57*I14</f>
        <v>2.3571183119132026</v>
      </c>
      <c r="D70" s="406">
        <f>SUMPRODUCT($C$58:$H$58,$C14:$H14)+J58*I14</f>
        <v>11.12196411934174</v>
      </c>
      <c r="E70" s="406">
        <f>SUMPRODUCT($C$59:$H$59,$C14:$H14)+J59*I14</f>
        <v>0.63251033654963607</v>
      </c>
      <c r="F70" s="406">
        <f>SUMPRODUCT($C$60:$H$60,$C14:$H14)+J60*I14</f>
        <v>1.1341451377697198</v>
      </c>
      <c r="G70" s="406">
        <f>SUMPRODUCT($C$61:$H$61,$C14:$H14)+J61*I14</f>
        <v>0.38740550520316386</v>
      </c>
      <c r="H70" s="406">
        <f>SUMPRODUCT($C$62:$H$62,$C14:$H14)+J62*I14</f>
        <v>0.11328338618946708</v>
      </c>
      <c r="I70" s="406">
        <f>SUMPRODUCT($C$63:$H$63,$C14:$H14)+J63*I14</f>
        <v>3.1719348133050778</v>
      </c>
      <c r="J70" s="407">
        <f>SUMPRODUCT($C$64:$H$64,$C14:$H14)+J64*I14</f>
        <v>1.5340341352203843</v>
      </c>
    </row>
    <row r="71" spans="2:21">
      <c r="B71" s="365" t="s">
        <v>320</v>
      </c>
      <c r="C71" s="405">
        <f>SUMPRODUCT($C$57:$H$57,$C15:$H15)+K57*I14</f>
        <v>5.0731217274412597</v>
      </c>
      <c r="D71" s="406">
        <f>SUMPRODUCT($C$58:$H$58,$C15:$H15)+K58*I15</f>
        <v>0.77023996436375808</v>
      </c>
      <c r="E71" s="406">
        <f>SUMPRODUCT($C$59:$H$59,$C15:$H15)+K59*I15</f>
        <v>3.6203065734168298</v>
      </c>
      <c r="F71" s="406">
        <f>SUMPRODUCT($C$60:$H$60,$C15:$H15)+K60*I15</f>
        <v>0.77023996436375808</v>
      </c>
      <c r="G71" s="406">
        <f>SUMPRODUCT($C$61:$H$61,$C15:$H15)+K61*I15</f>
        <v>1.9471116042841103</v>
      </c>
      <c r="H71" s="406">
        <f>SUMPRODUCT($C$62:$H$62,$C15:$H15)+K62*I15</f>
        <v>15.56106236213056</v>
      </c>
      <c r="I71" s="406">
        <f>SUMPRODUCT($C$63:$H$63,$C15:$H15)+K63*I15</f>
        <v>0.15404799287275162</v>
      </c>
      <c r="J71" s="407">
        <f>SUMPRODUCT($C$64:$H$64,$C15:$H15)+K64*I15</f>
        <v>12.742561846448599</v>
      </c>
      <c r="K71" t="s">
        <v>366</v>
      </c>
      <c r="O71" s="6"/>
      <c r="Q71" s="6"/>
      <c r="T71" s="2"/>
      <c r="U71" s="256"/>
    </row>
    <row r="72" spans="2:21">
      <c r="B72" s="366" t="s">
        <v>248</v>
      </c>
      <c r="C72" s="408">
        <f>SUMPRODUCT($C$57:$I$57,$C16:$I16)</f>
        <v>30.295700018998424</v>
      </c>
      <c r="D72" s="409">
        <f>SUMPRODUCT($C$58:$I$58,$C16:$I16)</f>
        <v>37.644875098537618</v>
      </c>
      <c r="E72" s="409">
        <f>SUMPRODUCT($C$59:$I$59,$C16:$I16)</f>
        <v>6.8154252441085541</v>
      </c>
      <c r="F72" s="409">
        <f>SUMPRODUCT($C$60:$I$60,$C16:$I16)</f>
        <v>14.913059290168508</v>
      </c>
      <c r="G72" s="409">
        <f>SUMPRODUCT($C$61:$I$61,$C16:$I16)</f>
        <v>4.4244747201844419</v>
      </c>
      <c r="H72" s="409">
        <f>SUMPRODUCT($C$62:$I$62,$C16:$I16)</f>
        <v>0.78521818441320834</v>
      </c>
      <c r="I72" s="409">
        <f>SUMPRODUCT($C$63:$I$63,$C16:$I16)</f>
        <v>3.1408727376528334</v>
      </c>
      <c r="J72" s="418">
        <f>SUMPRODUCT($C$64:$I$64,$C16:$I16)</f>
        <v>16.697434674570474</v>
      </c>
      <c r="K72" s="410">
        <f>SUM(C68:J72)-J17</f>
        <v>5.5590021701240744</v>
      </c>
      <c r="O72" s="6"/>
      <c r="Q72" s="6"/>
      <c r="T72" s="2"/>
      <c r="U72" s="256"/>
    </row>
    <row r="74" spans="2:21">
      <c r="B74" s="1" t="s">
        <v>1737</v>
      </c>
    </row>
    <row r="75" spans="2:21" ht="16">
      <c r="B75" s="364"/>
      <c r="C75" s="363" t="s">
        <v>4</v>
      </c>
      <c r="D75" s="361" t="s">
        <v>5</v>
      </c>
      <c r="E75" s="385" t="s">
        <v>6</v>
      </c>
      <c r="F75" s="361" t="s">
        <v>7</v>
      </c>
      <c r="G75" s="361" t="s">
        <v>8</v>
      </c>
      <c r="H75" s="361" t="s">
        <v>9</v>
      </c>
      <c r="I75" s="386" t="s">
        <v>10</v>
      </c>
      <c r="J75" s="368" t="s">
        <v>248</v>
      </c>
    </row>
    <row r="76" spans="2:21">
      <c r="B76" s="401" t="s">
        <v>1022</v>
      </c>
      <c r="C76" s="411">
        <f t="shared" ref="C76:J80" si="37">C68/$J12</f>
        <v>0.53559976833583545</v>
      </c>
      <c r="D76" s="412">
        <f t="shared" si="37"/>
        <v>0.22178989519762488</v>
      </c>
      <c r="E76" s="412">
        <f t="shared" si="37"/>
        <v>1.1134731521823905E-2</v>
      </c>
      <c r="F76" s="412">
        <f t="shared" si="37"/>
        <v>5.7997670418880133E-2</v>
      </c>
      <c r="G76" s="412">
        <f t="shared" si="37"/>
        <v>1.8438541969438033E-2</v>
      </c>
      <c r="H76" s="412">
        <f t="shared" si="37"/>
        <v>8.6794282657396346E-2</v>
      </c>
      <c r="I76" s="413">
        <f t="shared" si="37"/>
        <v>1.0476241033911266E-3</v>
      </c>
      <c r="J76" s="413">
        <f t="shared" si="37"/>
        <v>6.8245109899001261E-2</v>
      </c>
    </row>
    <row r="77" spans="2:21">
      <c r="B77" s="365" t="s">
        <v>310</v>
      </c>
      <c r="C77" s="414">
        <f t="shared" si="37"/>
        <v>0.40344579328579167</v>
      </c>
      <c r="D77" s="333">
        <f t="shared" si="37"/>
        <v>0.18333362189931796</v>
      </c>
      <c r="E77" s="333">
        <f t="shared" si="37"/>
        <v>1.9137757510057262E-2</v>
      </c>
      <c r="F77" s="333">
        <f t="shared" si="37"/>
        <v>0.11829093755459572</v>
      </c>
      <c r="G77" s="333">
        <f t="shared" si="37"/>
        <v>2.5267533975130749E-2</v>
      </c>
      <c r="H77" s="333">
        <f t="shared" si="37"/>
        <v>1.1633424189468405E-3</v>
      </c>
      <c r="I77" s="415">
        <f t="shared" si="37"/>
        <v>4.6533696757873619E-3</v>
      </c>
      <c r="J77" s="415">
        <f t="shared" si="37"/>
        <v>0.24936101335615976</v>
      </c>
    </row>
    <row r="78" spans="2:21">
      <c r="B78" s="365" t="s">
        <v>311</v>
      </c>
      <c r="C78" s="414">
        <f t="shared" si="37"/>
        <v>0.12059259167888789</v>
      </c>
      <c r="D78" s="333">
        <f t="shared" si="37"/>
        <v>0.56901109754749091</v>
      </c>
      <c r="E78" s="333">
        <f t="shared" si="37"/>
        <v>3.2359877891023306E-2</v>
      </c>
      <c r="F78" s="333">
        <f t="shared" si="37"/>
        <v>5.8024029091967029E-2</v>
      </c>
      <c r="G78" s="333">
        <f t="shared" si="37"/>
        <v>1.9820063196233296E-2</v>
      </c>
      <c r="H78" s="333">
        <f t="shared" si="37"/>
        <v>5.7956942872586801E-3</v>
      </c>
      <c r="I78" s="333">
        <f t="shared" si="37"/>
        <v>0.16227944004324302</v>
      </c>
      <c r="J78" s="415">
        <f t="shared" si="37"/>
        <v>7.8482760561965292E-2</v>
      </c>
    </row>
    <row r="79" spans="2:21">
      <c r="B79" s="365" t="s">
        <v>320</v>
      </c>
      <c r="C79" s="414">
        <f t="shared" si="37"/>
        <v>0.12870939312767635</v>
      </c>
      <c r="D79" s="333">
        <f t="shared" si="37"/>
        <v>1.9541639980703622E-2</v>
      </c>
      <c r="E79" s="333">
        <f t="shared" si="37"/>
        <v>9.1850242717443825E-2</v>
      </c>
      <c r="F79" s="333">
        <f t="shared" si="37"/>
        <v>1.9541639980703622E-2</v>
      </c>
      <c r="G79" s="333">
        <f t="shared" si="37"/>
        <v>4.9399869824465176E-2</v>
      </c>
      <c r="H79" s="333">
        <f t="shared" si="37"/>
        <v>0.3947973261154003</v>
      </c>
      <c r="I79" s="333">
        <f t="shared" si="37"/>
        <v>3.9083279961407251E-3</v>
      </c>
      <c r="J79" s="415">
        <f t="shared" si="37"/>
        <v>0.32328958189132512</v>
      </c>
      <c r="K79" t="s">
        <v>366</v>
      </c>
      <c r="O79" s="6"/>
      <c r="Q79" s="6"/>
      <c r="T79" s="2"/>
      <c r="U79" s="256"/>
    </row>
    <row r="80" spans="2:21">
      <c r="B80" s="366" t="s">
        <v>248</v>
      </c>
      <c r="C80" s="416">
        <f t="shared" si="37"/>
        <v>0.27152478293850724</v>
      </c>
      <c r="D80" s="417">
        <f t="shared" si="37"/>
        <v>0.33739166064714576</v>
      </c>
      <c r="E80" s="417">
        <f t="shared" si="37"/>
        <v>6.1083152357585872E-2</v>
      </c>
      <c r="F80" s="417">
        <f t="shared" si="37"/>
        <v>0.13365808296797235</v>
      </c>
      <c r="G80" s="417">
        <f t="shared" si="37"/>
        <v>3.9654292102893285E-2</v>
      </c>
      <c r="H80" s="417">
        <f t="shared" si="37"/>
        <v>7.0375068722116872E-3</v>
      </c>
      <c r="I80" s="417">
        <f t="shared" si="37"/>
        <v>2.8150027488846749E-2</v>
      </c>
      <c r="J80" s="419">
        <f t="shared" si="37"/>
        <v>0.14965052211368374</v>
      </c>
      <c r="K80" s="410">
        <f>SUM(C76:J80)-5</f>
        <v>0.11125459719995501</v>
      </c>
      <c r="O80" s="6"/>
      <c r="Q80" s="6"/>
      <c r="T80" s="2"/>
      <c r="U80" s="256"/>
    </row>
    <row r="81" spans="2:14">
      <c r="B81" s="387"/>
      <c r="C81" s="391"/>
    </row>
    <row r="82" spans="2:14">
      <c r="B82" s="1" t="s">
        <v>1738</v>
      </c>
    </row>
    <row r="83" spans="2:14" ht="32">
      <c r="B83" s="364" t="s">
        <v>1726</v>
      </c>
      <c r="C83" s="363" t="s">
        <v>4</v>
      </c>
      <c r="D83" s="361" t="s">
        <v>5</v>
      </c>
      <c r="E83" s="385" t="s">
        <v>6</v>
      </c>
      <c r="F83" s="361" t="s">
        <v>7</v>
      </c>
      <c r="G83" s="361" t="s">
        <v>8</v>
      </c>
      <c r="H83" s="361" t="s">
        <v>9</v>
      </c>
      <c r="I83" s="386" t="s">
        <v>10</v>
      </c>
      <c r="J83" s="368" t="s">
        <v>248</v>
      </c>
      <c r="K83" s="368" t="s">
        <v>378</v>
      </c>
      <c r="L83" s="290" t="s">
        <v>366</v>
      </c>
    </row>
    <row r="84" spans="2:14">
      <c r="B84" s="365" t="s">
        <v>1022</v>
      </c>
      <c r="C84" s="262">
        <f>(SUMPRODUCT($C$57:$I$57,$C39:$I39)/SUMPRODUCT($C$57:$I$57,$C12:$I12))/(SUM($C39:$I39)/SUM($C12:$I12))</f>
        <v>1.072867743833287</v>
      </c>
      <c r="D84" s="262">
        <f>(SUMPRODUCT($C$58:$I$58,$C39:$I39)/SUMPRODUCT($C$58:$I$58,$C12:$I12))/(SUM($C39:$I39)/SUM($C12:$I12))</f>
        <v>0.45087716873167477</v>
      </c>
      <c r="E84" s="262">
        <f>IFERROR((SUMPRODUCT($C$59:$I$59,$C39:$I39)/SUMPRODUCT($C$59:$I$59,$C12:$I12))/(SUM($C39:$I39)/SUM($C12:$I12)),0)</f>
        <v>1.4092948968207217</v>
      </c>
      <c r="F84" s="262">
        <f>IFERROR((SUMPRODUCT($C$60:$I$60,$C39:$I39)/SUMPRODUCT($C$60:$I$60,$C12:$I12))/(SUM($C39:$I39)/SUM($C12:$I12)),0)</f>
        <v>1.1757048244025676E-2</v>
      </c>
      <c r="G84" s="262">
        <f>IFERROR((SUMPRODUCT($C$61:$I$61,$C39:$I39)/SUMPRODUCT($C$61:$I$61,$C12:$I12))/(SUM($C39:$I39)/SUM($C12:$I12)),0)</f>
        <v>1.2682797470271148</v>
      </c>
      <c r="H84" s="262">
        <f>IFERROR((SUMPRODUCT($C$62:$I$62,$C39:$I39)/SUMPRODUCT($C$62:$I$62,$C12:$I12))/(SUM($C39:$I39)/SUM($C12:$I12)),0)</f>
        <v>2.1483028519929506</v>
      </c>
      <c r="I84" s="262">
        <f>IFERROR((SUMPRODUCT($C$63:$I$63,$C39:$I39)/SUMPRODUCT($C$63:$I$63,$C12:$I12))/(SUM($C39:$I39)/SUM($C12:$I12)),0)</f>
        <v>0</v>
      </c>
      <c r="J84" s="262">
        <f>IFERROR((SUMPRODUCT($C$64:$I$64,$C39:$I39)/SUMPRODUCT($C$64:$I$64,$C12:$I12))/(SUM($C39:$I39)/SUM($C12:$I12)),0)</f>
        <v>1.4528901640014253</v>
      </c>
      <c r="K84" s="377">
        <f>J30*(SUMPRODUCT($C$57:$I$57,C12:I12)*C84+SUMPRODUCT($C$58:$I$58,C12:I12)*D84+SUMPRODUCT($C$59:$I$59,C12:I12)*E84+SUMPRODUCT($C$60:$I$60,C12:I12)*F84+SUMPRODUCT($C$64:$I$64,C12:I12)*J84)/J12</f>
        <v>0.11220191992739573</v>
      </c>
      <c r="L84" s="256">
        <f>K84-J30</f>
        <v>-2.9798080072604261E-2</v>
      </c>
    </row>
    <row r="85" spans="2:14">
      <c r="B85" s="365" t="s">
        <v>310</v>
      </c>
      <c r="C85" s="262">
        <f>(SUMPRODUCT($C$57:$I$57,$C40:$I40)/SUMPRODUCT($C$57:$I$57,$C13:$I13))/(SUM($C40:$I40)/SUM($C13:$I13))</f>
        <v>1.2160414039615226</v>
      </c>
      <c r="D85" s="262">
        <f>(SUMPRODUCT($C$58:$I$58,$C40:$I40)/SUMPRODUCT($C$58:$I$58,$C13:$I13))/(SUM($C40:$I40)/SUM($C13:$I13))</f>
        <v>0.36739754083989457</v>
      </c>
      <c r="E85" s="262">
        <f>IFERROR((SUMPRODUCT($C$59:$I$59,$C40:$I40)/SUMPRODUCT($C$59:$I$59,$C13:$I13))/(SUM($C40:$I40)/SUM($C13:$I13)),0)</f>
        <v>0.29641108292007839</v>
      </c>
      <c r="F85" s="262">
        <f>IFERROR((SUMPRODUCT($C$60:$I$60,$C40:$I40)/SUMPRODUCT($C$60:$I$60,$C13:$I13))/(SUM($C40:$I40)/SUM($C13:$I13)),0)</f>
        <v>0.31363815502085107</v>
      </c>
      <c r="G85" s="262">
        <f>IFERROR((SUMPRODUCT($C$61:$I$61,$C40:$I40)/SUMPRODUCT($C$61:$I$61,$C13:$I13))/(SUM($C40:$I40)/SUM($C13:$I13)),0)</f>
        <v>0.30279408114680212</v>
      </c>
      <c r="H85" s="262">
        <f>IFERROR((SUMPRODUCT($C$62:$I$62,$C40:$I40)/SUMPRODUCT($C$62:$I$62,$C13:$I13))/(SUM($C40:$I40)/SUM($C13:$I13)),0)</f>
        <v>0.29641108292007845</v>
      </c>
      <c r="I85" s="262">
        <f>IFERROR((SUMPRODUCT($C$63:$I$63,$C40:$I40)/SUMPRODUCT($C$63:$I$63,$C13:$I13))/(SUM($C40:$I40)/SUM($C13:$I13)),0)</f>
        <v>0.29641108292007845</v>
      </c>
      <c r="J85" s="262">
        <f>IFERROR((SUMPRODUCT($C$64:$I$64,$C40:$I40)/SUMPRODUCT($C$64:$I$64,$C13:$I13))/(SUM($C40:$I40)/SUM($C13:$I13)),0)</f>
        <v>1.5690825195471554</v>
      </c>
      <c r="K85" s="377">
        <f>J31*(SUMPRODUCT($C$57:$I$57,C13:I13)*C85+SUMPRODUCT($C$58:$I$58,C13:I13)*D85+SUMPRODUCT($C$59:$I$59,C13:I13)*E85+SUMPRODUCT($C$60:$I$60,C13:I13)*F85+SUMPRODUCT($C$64:$I$64,C13:I13)*J85)/J13</f>
        <v>1.5872069002895169E-2</v>
      </c>
      <c r="L85" s="256">
        <f>K85-J31</f>
        <v>-1.2793099710483105E-4</v>
      </c>
    </row>
    <row r="86" spans="2:14">
      <c r="B86" s="365" t="s">
        <v>311</v>
      </c>
      <c r="C86" s="262">
        <f>(SUMPRODUCT($C$57:$I$57,$C41:$I41)/SUMPRODUCT($C$57:$I$57,$C14:$I14))/(SUM($C41:$I41)/SUM($C14:$I14))</f>
        <v>1.2189286506738257</v>
      </c>
      <c r="D86" s="262">
        <f>(SUMPRODUCT($C$58:$I$58,$C41:$I41)/SUMPRODUCT($C$58:$I$58,$C14:$I14))/(SUM($C41:$I41)/SUM($C14:$I14))</f>
        <v>1.1625854455231439</v>
      </c>
      <c r="E86" s="262">
        <f>IFERROR((SUMPRODUCT($C$59:$I$59,$C41:$I41)/SUMPRODUCT($C$59:$I$59,$C14:$I14))/(SUM($C41:$I41)/SUM($C14:$I14)),0)</f>
        <v>0.57160689689087107</v>
      </c>
      <c r="F86" s="262">
        <f>IFERROR((SUMPRODUCT($C$60:$I$60,$C41:$I41)/SUMPRODUCT($C$60:$I$60,$C14:$I14))/(SUM($C41:$I41)/SUM($C14:$I14)),0)</f>
        <v>0.96361602984742023</v>
      </c>
      <c r="G86" s="262">
        <f>IFERROR((SUMPRODUCT($C$61:$I$61,$C41:$I41)/SUMPRODUCT($C$61:$I$61,$C14:$I14))/(SUM($C41:$I41)/SUM($C14:$I14)),0)</f>
        <v>0.41919739651634552</v>
      </c>
      <c r="H86" s="262">
        <f>IFERROR((SUMPRODUCT($C$62:$I$62,$C41:$I41)/SUMPRODUCT($C$62:$I$62,$C14:$I14))/(SUM($C41:$I41)/SUM($C14:$I14)),0)</f>
        <v>0.64703205761629667</v>
      </c>
      <c r="I86" s="262">
        <f>IFERROR((SUMPRODUCT($C$63:$I$63,$C41:$I41)/SUMPRODUCT($C$63:$I$63,$C14:$I14))/(SUM($C41:$I41)/SUM($C14:$I14)),0)</f>
        <v>0.64703205761629667</v>
      </c>
      <c r="J86" s="262">
        <f>IFERROR((SUMPRODUCT($C$64:$I$64,$C41:$I41)/SUMPRODUCT($C$64:$I$64,$C14:$I14))/(SUM($C41:$I41)/SUM($C14:$I14)),0)</f>
        <v>0.39490932148415553</v>
      </c>
      <c r="K86" s="377">
        <f>J32*(SUMPRODUCT($C$57:$I$57,C14:I14)*C86+SUMPRODUCT($C$58:$I$58,C14:I14)*D86+SUMPRODUCT($C$59:$I$59,C14:I14)*E86+SUMPRODUCT($C$60:$I$60,C14:I14)*F86+SUMPRODUCT($C$64:$I$64,C14:I14)*J86)/J14</f>
        <v>2.454404852882815E-2</v>
      </c>
      <c r="L86" s="256">
        <f>K86-J32</f>
        <v>-4.5595147117185111E-4</v>
      </c>
    </row>
    <row r="87" spans="2:14">
      <c r="B87" s="365" t="s">
        <v>320</v>
      </c>
      <c r="C87" s="262">
        <f>(SUMPRODUCT($C$57:$I$57,$C42:$I42)/SUMPRODUCT($C$57:$I$57,$C15:$I15))/(SUM($C42:$I42)/SUM($C15:$I15))</f>
        <v>0.99999999999999978</v>
      </c>
      <c r="D87" s="262">
        <f>(SUMPRODUCT($C$58:$I$58,$C42:$I42)/SUMPRODUCT($C$58:$I$58,$C15:$I15))/(SUM($C42:$I42)/SUM($C15:$I15))</f>
        <v>1</v>
      </c>
      <c r="E87" s="262">
        <f>IFERROR((SUMPRODUCT($C$59:$I$59,$C42:$I42)/SUMPRODUCT($C$59:$I$59,$C15:$I15))/(SUM($C42:$I42)/SUM($C15:$I15)),0)</f>
        <v>0.99999999999999978</v>
      </c>
      <c r="F87" s="262">
        <f>IFERROR((SUMPRODUCT($C$60:$I$60,$C42:$I42)/SUMPRODUCT($C$60:$I$60,$C15:$I15))/(SUM($C42:$I42)/SUM($C15:$I15)),0)</f>
        <v>1</v>
      </c>
      <c r="G87" s="262">
        <f>IFERROR((SUMPRODUCT($C$61:$I$61,$C42:$I42)/SUMPRODUCT($C$61:$I$61,$C15:$I15))/(SUM($C42:$I42)/SUM($C15:$I15)),0)</f>
        <v>0.99999999999999978</v>
      </c>
      <c r="H87" s="262">
        <f>IFERROR((SUMPRODUCT($C$62:$I$62,$C42:$I42)/SUMPRODUCT($C$62:$I$62,$C15:$I15))/(SUM($C42:$I42)/SUM($C15:$I15)),0)</f>
        <v>1</v>
      </c>
      <c r="I87" s="262">
        <f>IFERROR((SUMPRODUCT($C$63:$I$63,$C42:$I42)/SUMPRODUCT($C$63:$I$63,$C15:$I15))/(SUM($C42:$I42)/SUM($C15:$I15)),0)</f>
        <v>1</v>
      </c>
      <c r="J87" s="262">
        <f>IFERROR((SUMPRODUCT($C$64:$I$64,$C42:$I42)/SUMPRODUCT($C$64:$I$64,$C15:$I15))/(SUM($C42:$I42)/SUM($C15:$I15)),0)</f>
        <v>0.99999999999999978</v>
      </c>
      <c r="K87" s="377">
        <f>J33*(SUMPRODUCT($C$57:$I$57,C15:I15)*C87+SUMPRODUCT($C$58:$I$58,C15:I15)*D87+SUMPRODUCT($C$59:$I$59,C15:I15)*E87+SUMPRODUCT($C$60:$I$60,C15:I15)*F87+SUMPRODUCT($C$64:$I$64,C15:I15)*J87)/J15</f>
        <v>6.9713951330326027E-2</v>
      </c>
      <c r="L87" s="256">
        <f>K87-J33</f>
        <v>-6.0286048669673978E-2</v>
      </c>
    </row>
    <row r="88" spans="2:14">
      <c r="B88" s="365" t="s">
        <v>248</v>
      </c>
      <c r="C88" s="262">
        <f>(SUMPRODUCT($C$57:$I$57,$C43:$I43)/SUMPRODUCT($C$57:$I$57,$C16:$I16))/(SUM($C43:$I43)/SUM($C16:$I16))</f>
        <v>1.0000000000000002</v>
      </c>
      <c r="D88" s="262">
        <f>(SUMPRODUCT($C$58:$I$58,$C43:$I43)/SUMPRODUCT($C$58:$I$58,$C16:$I16))/(SUM($C43:$I43)/SUM($C16:$I16))</f>
        <v>1.0000000000000002</v>
      </c>
      <c r="E88" s="262">
        <f>IFERROR((SUMPRODUCT($C$59:$I$59,$C43:$I43)/SUMPRODUCT($C$59:$I$59,$C16:$I16))/(SUM($C43:$I43)/SUM($C16:$I16)),0)</f>
        <v>1.0000000000000004</v>
      </c>
      <c r="F88" s="262">
        <f>IFERROR((SUMPRODUCT($C$60:$I$60,$C43:$I43)/SUMPRODUCT($C$60:$I$60,$C16:$I16))/(SUM($C43:$I43)/SUM($C16:$I16)),0)</f>
        <v>1.0000000000000004</v>
      </c>
      <c r="G88" s="262">
        <f>IFERROR((SUMPRODUCT($C$61:$I$61,$C43:$I43)/SUMPRODUCT($C$61:$I$61,$C16:$I16))/(SUM($C43:$I43)/SUM($C16:$I16)),0)</f>
        <v>1.0000000000000004</v>
      </c>
      <c r="H88" s="262">
        <f>IFERROR((SUMPRODUCT($C$62:$I$62,$C43:$I43)/SUMPRODUCT($C$62:$I$62,$C16:$I16))/(SUM($C43:$I43)/SUM($C16:$I16)),0)</f>
        <v>1.0000000000000002</v>
      </c>
      <c r="I88" s="262">
        <f>IFERROR((SUMPRODUCT($C$63:$I$63,$C43:$I43)/SUMPRODUCT($C$63:$I$63,$C16:$I16))/(SUM($C43:$I43)/SUM($C16:$I16)),0)</f>
        <v>1.0000000000000002</v>
      </c>
      <c r="J88" s="262">
        <f>IFERROR((SUMPRODUCT($C$64:$I$64,$C43:$I43)/SUMPRODUCT($C$64:$I$64,$C16:$I16))/(SUM($C43:$I43)/SUM($C16:$I16)),0)</f>
        <v>1.0000000000000002</v>
      </c>
      <c r="K88" s="377">
        <f>J34*(SUMPRODUCT($C$57:$I$57,C16:I16)*C88+SUMPRODUCT($C$58:$I$58,C16:I16)*D88+SUMPRODUCT($C$59:$I$59,C16:I16)*E88+SUMPRODUCT($C$60:$I$60,C16:I16)*F88+SUMPRODUCT($C$64:$I$64,C16:I16)*J88)/J16</f>
        <v>3.7882646958767564E-2</v>
      </c>
      <c r="L88" s="256">
        <f>K88-J34</f>
        <v>-1.8554429035038261E-3</v>
      </c>
    </row>
    <row r="89" spans="2:14">
      <c r="B89" s="364"/>
      <c r="C89" s="399"/>
      <c r="D89" s="369"/>
      <c r="E89" s="369"/>
      <c r="F89" s="369"/>
      <c r="G89" s="369"/>
      <c r="H89" s="369"/>
      <c r="I89" s="369"/>
      <c r="J89" s="400"/>
      <c r="K89" s="370"/>
    </row>
    <row r="91" spans="2:14">
      <c r="B91" s="1" t="s">
        <v>1739</v>
      </c>
    </row>
    <row r="92" spans="2:14" ht="16">
      <c r="B92" s="364" t="s">
        <v>1726</v>
      </c>
      <c r="C92" s="363" t="s">
        <v>4</v>
      </c>
      <c r="D92" s="361" t="s">
        <v>5</v>
      </c>
      <c r="E92" s="385" t="s">
        <v>6</v>
      </c>
      <c r="F92" s="361" t="s">
        <v>7</v>
      </c>
      <c r="G92" s="361" t="s">
        <v>8</v>
      </c>
      <c r="H92" s="361" t="s">
        <v>9</v>
      </c>
      <c r="I92" s="386" t="s">
        <v>10</v>
      </c>
      <c r="J92" s="368" t="s">
        <v>248</v>
      </c>
      <c r="K92" s="368"/>
      <c r="L92" s="290"/>
    </row>
    <row r="93" spans="2:14">
      <c r="B93" s="365" t="s">
        <v>1022</v>
      </c>
      <c r="C93" s="262" cm="1">
        <f t="array" ref="C93">_xlfn.IFS(C84=0,$N$93,C84&lt;=0.5,$N$94,AND(C84&lt;=0.9,C84&gt;0.5),$N$95,AND(C84&lt;=1.1,C84&gt;0.9),$N$96,C84&gt;1.1,$N$97)</f>
        <v>1</v>
      </c>
      <c r="D93" s="262" cm="1">
        <f t="array" ref="D93">_xlfn.IFS(D84=0,$N$93,D84&lt;=0.5,$N$94,AND(D84&lt;=0.9,D84&gt;0.5),$N$95,AND(D84&lt;=1.1,D84&gt;0.9),$N$96,D84&gt;1.1,$N$97)</f>
        <v>0.8</v>
      </c>
      <c r="E93" s="262" cm="1">
        <f t="array" ref="E93">_xlfn.IFS(E84=0,$N$93,E84&lt;=0.5,$N$94,AND(E84&lt;=0.9,E84&gt;0.5),$N$95,AND(E84&lt;=1.1,E84&gt;0.9),$N$96,E84&gt;1.1,$N$97)</f>
        <v>1.1000000000000001</v>
      </c>
      <c r="F93" s="262" cm="1">
        <f t="array" ref="F93">_xlfn.IFS(F84=0,$N$93,F84&lt;=0.5,$N$94,AND(F84&lt;=0.9,F84&gt;0.5),$N$95,AND(F84&lt;=1.1,F84&gt;0.9),$N$96,F84&gt;1.1,$N$97)</f>
        <v>0.8</v>
      </c>
      <c r="G93" s="262" cm="1">
        <f t="array" ref="G93">_xlfn.IFS(G84=0,$N$93,G84&lt;=0.5,$N$94,AND(G84&lt;=0.9,G84&gt;0.5),$N$95,AND(G84&lt;=1.1,G84&gt;0.9),$N$96,G84&gt;1.1,$N$97)</f>
        <v>1.1000000000000001</v>
      </c>
      <c r="H93" s="262" cm="1">
        <f t="array" ref="H93">_xlfn.IFS(H84=0,$N$93,H84&lt;=0.5,$N$94,AND(H84&lt;=0.9,H84&gt;0.5),$N$95,AND(H84&lt;=1.1,H84&gt;0.9),$N$96,H84&gt;1.1,$N$97)</f>
        <v>1.1000000000000001</v>
      </c>
      <c r="I93" s="262" cm="1">
        <f t="array" ref="I93">_xlfn.IFS(I84=0,$N$93,I84&lt;=0.5,$N$94,AND(I84&lt;=0.9,I84&gt;0.5),$N$95,AND(I84&lt;=1.1,I84&gt;0.9),$N$96,I84&gt;1.1,$N$97)</f>
        <v>0</v>
      </c>
      <c r="J93" s="262" cm="1">
        <f t="array" ref="J93">_xlfn.IFS(J84=0,$N$93,J84&lt;=0.5,$N$94,AND(J84&lt;=0.9,J84&gt;0.5),$N$95,AND(J84&lt;=1.1,J84&gt;0.9),$N$96,J84&gt;1.1,$N$97)</f>
        <v>1.1000000000000001</v>
      </c>
      <c r="K93" s="377"/>
      <c r="L93" s="256"/>
      <c r="M93" t="s">
        <v>1740</v>
      </c>
      <c r="N93">
        <v>0</v>
      </c>
    </row>
    <row r="94" spans="2:14">
      <c r="B94" s="365" t="s">
        <v>310</v>
      </c>
      <c r="C94" s="262" cm="1">
        <f t="array" ref="C94">_xlfn.IFS(C85=0,$N$93,C85&lt;=0.5,$N$94,AND(C85&lt;=0.9,C85&gt;0.5),$N$95,AND(C85&lt;=1.1,C85&gt;0.9),$N$96,C85&gt;1.1,$N$97)</f>
        <v>1.1000000000000001</v>
      </c>
      <c r="D94" s="262" cm="1">
        <f t="array" ref="D94">_xlfn.IFS(D85=0,$N$93,D85&lt;=0.5,$N$94,AND(D85&lt;=0.9,D85&gt;0.5),$N$95,AND(D85&lt;=1.1,D85&gt;0.9),$N$96,D85&gt;1.1,$N$97)</f>
        <v>0.8</v>
      </c>
      <c r="E94" s="262" cm="1">
        <f t="array" ref="E94">_xlfn.IFS(E85=0,$N$93,E85&lt;=0.5,$N$94,AND(E85&lt;=0.9,E85&gt;0.5),$N$95,AND(E85&lt;=1.1,E85&gt;0.9),$N$96,E85&gt;1.1,$N$97)</f>
        <v>0.8</v>
      </c>
      <c r="F94" s="262" cm="1">
        <f t="array" ref="F94">_xlfn.IFS(F85=0,$N$93,F85&lt;=0.5,$N$94,AND(F85&lt;=0.9,F85&gt;0.5),$N$95,AND(F85&lt;=1.1,F85&gt;0.9),$N$96,F85&gt;1.1,$N$97)</f>
        <v>0.8</v>
      </c>
      <c r="G94" s="262" cm="1">
        <f t="array" ref="G94">_xlfn.IFS(G85=0,$N$93,G85&lt;=0.5,$N$94,AND(G85&lt;=0.9,G85&gt;0.5),$N$95,AND(G85&lt;=1.1,G85&gt;0.9),$N$96,G85&gt;1.1,$N$97)</f>
        <v>0.8</v>
      </c>
      <c r="H94" s="262" cm="1">
        <f t="array" ref="H94">_xlfn.IFS(H85=0,$N$93,H85&lt;=0.5,$N$94,AND(H85&lt;=0.9,H85&gt;0.5),$N$95,AND(H85&lt;=1.1,H85&gt;0.9),$N$96,H85&gt;1.1,$N$97)</f>
        <v>0.8</v>
      </c>
      <c r="I94" s="262" cm="1">
        <f t="array" ref="I94">_xlfn.IFS(I85=0,$N$93,I85&lt;=0.5,$N$94,AND(I85&lt;=0.9,I85&gt;0.5),$N$95,AND(I85&lt;=1.1,I85&gt;0.9),$N$96,I85&gt;1.1,$N$97)</f>
        <v>0.8</v>
      </c>
      <c r="J94" s="262" cm="1">
        <f t="array" ref="J94">_xlfn.IFS(J85=0,$N$93,J85&lt;=0.5,$N$94,AND(J85&lt;=0.9,J85&gt;0.5),$N$95,AND(J85&lt;=1.1,J85&gt;0.9),$N$96,J85&gt;1.1,$N$97)</f>
        <v>1.1000000000000001</v>
      </c>
      <c r="K94" s="377"/>
      <c r="L94" s="256"/>
      <c r="M94" t="s">
        <v>1741</v>
      </c>
      <c r="N94">
        <v>0.8</v>
      </c>
    </row>
    <row r="95" spans="2:14">
      <c r="B95" s="365" t="s">
        <v>311</v>
      </c>
      <c r="C95" s="262" cm="1">
        <f t="array" ref="C95">_xlfn.IFS(C86=0,$N$93,C86&lt;=0.5,$N$94,AND(C86&lt;=0.9,C86&gt;0.5),$N$95,AND(C86&lt;=1.1,C86&gt;0.9),$N$96,C86&gt;1.1,$N$97)</f>
        <v>1.1000000000000001</v>
      </c>
      <c r="D95" s="262" cm="1">
        <f t="array" ref="D95">_xlfn.IFS(D86=0,$N$93,D86&lt;=0.5,$N$94,AND(D86&lt;=0.9,D86&gt;0.5),$N$95,AND(D86&lt;=1.1,D86&gt;0.9),$N$96,D86&gt;1.1,$N$97)</f>
        <v>1.1000000000000001</v>
      </c>
      <c r="E95" s="262" cm="1">
        <f t="array" ref="E95">_xlfn.IFS(E86=0,$N$93,E86&lt;=0.5,$N$94,AND(E86&lt;=0.9,E86&gt;0.5),$N$95,AND(E86&lt;=1.1,E86&gt;0.9),$N$96,E86&gt;1.1,$N$97)</f>
        <v>0.9</v>
      </c>
      <c r="F95" s="262" cm="1">
        <f t="array" ref="F95">_xlfn.IFS(F86=0,$N$93,F86&lt;=0.5,$N$94,AND(F86&lt;=0.9,F86&gt;0.5),$N$95,AND(F86&lt;=1.1,F86&gt;0.9),$N$96,F86&gt;1.1,$N$97)</f>
        <v>1</v>
      </c>
      <c r="G95" s="262" cm="1">
        <f t="array" ref="G95">_xlfn.IFS(G86=0,$N$93,G86&lt;=0.5,$N$94,AND(G86&lt;=0.9,G86&gt;0.5),$N$95,AND(G86&lt;=1.1,G86&gt;0.9),$N$96,G86&gt;1.1,$N$97)</f>
        <v>0.8</v>
      </c>
      <c r="H95" s="262" cm="1">
        <f t="array" ref="H95">_xlfn.IFS(H86=0,$N$93,H86&lt;=0.5,$N$94,AND(H86&lt;=0.9,H86&gt;0.5),$N$95,AND(H86&lt;=1.1,H86&gt;0.9),$N$96,H86&gt;1.1,$N$97)</f>
        <v>0.9</v>
      </c>
      <c r="I95" s="262" cm="1">
        <f t="array" ref="I95">_xlfn.IFS(I86=0,$N$93,I86&lt;=0.5,$N$94,AND(I86&lt;=0.9,I86&gt;0.5),$N$95,AND(I86&lt;=1.1,I86&gt;0.9),$N$96,I86&gt;1.1,$N$97)</f>
        <v>0.9</v>
      </c>
      <c r="J95" s="262" cm="1">
        <f t="array" ref="J95">_xlfn.IFS(J86=0,$N$93,J86&lt;=0.5,$N$94,AND(J86&lt;=0.9,J86&gt;0.5),$N$95,AND(J86&lt;=1.1,J86&gt;0.9),$N$96,J86&gt;1.1,$N$97)</f>
        <v>0.8</v>
      </c>
      <c r="K95" s="377"/>
      <c r="L95" s="256"/>
      <c r="M95" t="s">
        <v>1742</v>
      </c>
      <c r="N95">
        <v>0.9</v>
      </c>
    </row>
    <row r="96" spans="2:14">
      <c r="B96" s="365" t="s">
        <v>320</v>
      </c>
      <c r="C96" s="262" cm="1">
        <f t="array" ref="C96">_xlfn.IFS(C87=0,$N$93,C87&lt;=0.5,$N$94,AND(C87&lt;=0.9,C87&gt;0.5),$N$95,AND(C87&lt;=1.1,C87&gt;0.9),$N$96,C87&gt;1.1,$N$97)</f>
        <v>1</v>
      </c>
      <c r="D96" s="262" cm="1">
        <f t="array" ref="D96">_xlfn.IFS(D87=0,$N$93,D87&lt;=0.5,$N$94,AND(D87&lt;=0.9,D87&gt;0.5),$N$95,AND(D87&lt;=1.1,D87&gt;0.9),$N$96,D87&gt;1.1,$N$97)</f>
        <v>1</v>
      </c>
      <c r="E96" s="262" cm="1">
        <f t="array" ref="E96">_xlfn.IFS(E87=0,$N$93,E87&lt;=0.5,$N$94,AND(E87&lt;=0.9,E87&gt;0.5),$N$95,AND(E87&lt;=1.1,E87&gt;0.9),$N$96,E87&gt;1.1,$N$97)</f>
        <v>1</v>
      </c>
      <c r="F96" s="262" cm="1">
        <f t="array" ref="F96">_xlfn.IFS(F87=0,$N$93,F87&lt;=0.5,$N$94,AND(F87&lt;=0.9,F87&gt;0.5),$N$95,AND(F87&lt;=1.1,F87&gt;0.9),$N$96,F87&gt;1.1,$N$97)</f>
        <v>1</v>
      </c>
      <c r="G96" s="262" cm="1">
        <f t="array" ref="G96">_xlfn.IFS(G87=0,$N$93,G87&lt;=0.5,$N$94,AND(G87&lt;=0.9,G87&gt;0.5),$N$95,AND(G87&lt;=1.1,G87&gt;0.9),$N$96,G87&gt;1.1,$N$97)</f>
        <v>1</v>
      </c>
      <c r="H96" s="262" cm="1">
        <f t="array" ref="H96">_xlfn.IFS(H87=0,$N$93,H87&lt;=0.5,$N$94,AND(H87&lt;=0.9,H87&gt;0.5),$N$95,AND(H87&lt;=1.1,H87&gt;0.9),$N$96,H87&gt;1.1,$N$97)</f>
        <v>1</v>
      </c>
      <c r="I96" s="262" cm="1">
        <f t="array" ref="I96">_xlfn.IFS(I87=0,$N$93,I87&lt;=0.5,$N$94,AND(I87&lt;=0.9,I87&gt;0.5),$N$95,AND(I87&lt;=1.1,I87&gt;0.9),$N$96,I87&gt;1.1,$N$97)</f>
        <v>1</v>
      </c>
      <c r="J96" s="262" cm="1">
        <f t="array" ref="J96">_xlfn.IFS(J87=0,$N$93,J87&lt;=0.5,$N$94,AND(J87&lt;=0.9,J87&gt;0.5),$N$95,AND(J87&lt;=1.1,J87&gt;0.9),$N$96,J87&gt;1.1,$N$97)</f>
        <v>1</v>
      </c>
      <c r="K96" s="377"/>
      <c r="L96" s="256"/>
      <c r="M96" t="s">
        <v>1743</v>
      </c>
      <c r="N96">
        <v>1</v>
      </c>
    </row>
    <row r="97" spans="2:14">
      <c r="B97" s="365" t="s">
        <v>248</v>
      </c>
      <c r="C97" s="262" cm="1">
        <f t="array" ref="C97">_xlfn.IFS(C88=0,$N$93,C88&lt;=0.5,$N$94,AND(C88&lt;=0.9,C88&gt;0.5),$N$95,AND(C88&lt;=1.1,C88&gt;0.9),$N$96,C88&gt;1.1,$N$97)</f>
        <v>1</v>
      </c>
      <c r="D97" s="262" cm="1">
        <f t="array" ref="D97">_xlfn.IFS(D88=0,$N$93,D88&lt;=0.5,$N$94,AND(D88&lt;=0.9,D88&gt;0.5),$N$95,AND(D88&lt;=1.1,D88&gt;0.9),$N$96,D88&gt;1.1,$N$97)</f>
        <v>1</v>
      </c>
      <c r="E97" s="262" cm="1">
        <f t="array" ref="E97">_xlfn.IFS(E88=0,$N$93,E88&lt;=0.5,$N$94,AND(E88&lt;=0.9,E88&gt;0.5),$N$95,AND(E88&lt;=1.1,E88&gt;0.9),$N$96,E88&gt;1.1,$N$97)</f>
        <v>1</v>
      </c>
      <c r="F97" s="262" cm="1">
        <f t="array" ref="F97">_xlfn.IFS(F88=0,$N$93,F88&lt;=0.5,$N$94,AND(F88&lt;=0.9,F88&gt;0.5),$N$95,AND(F88&lt;=1.1,F88&gt;0.9),$N$96,F88&gt;1.1,$N$97)</f>
        <v>1</v>
      </c>
      <c r="G97" s="262" cm="1">
        <f t="array" ref="G97">_xlfn.IFS(G88=0,$N$93,G88&lt;=0.5,$N$94,AND(G88&lt;=0.9,G88&gt;0.5),$N$95,AND(G88&lt;=1.1,G88&gt;0.9),$N$96,G88&gt;1.1,$N$97)</f>
        <v>1</v>
      </c>
      <c r="H97" s="262" cm="1">
        <f t="array" ref="H97">_xlfn.IFS(H88=0,$N$93,H88&lt;=0.5,$N$94,AND(H88&lt;=0.9,H88&gt;0.5),$N$95,AND(H88&lt;=1.1,H88&gt;0.9),$N$96,H88&gt;1.1,$N$97)</f>
        <v>1</v>
      </c>
      <c r="I97" s="262" cm="1">
        <f t="array" ref="I97">_xlfn.IFS(I88=0,$N$93,I88&lt;=0.5,$N$94,AND(I88&lt;=0.9,I88&gt;0.5),$N$95,AND(I88&lt;=1.1,I88&gt;0.9),$N$96,I88&gt;1.1,$N$97)</f>
        <v>1</v>
      </c>
      <c r="J97" s="262" cm="1">
        <f t="array" ref="J97">_xlfn.IFS(J88=0,$N$93,J88&lt;=0.5,$N$94,AND(J88&lt;=0.9,J88&gt;0.5),$N$95,AND(J88&lt;=1.1,J88&gt;0.9),$N$96,J88&gt;1.1,$N$97)</f>
        <v>1</v>
      </c>
      <c r="K97" s="377"/>
      <c r="L97" s="256"/>
      <c r="M97" t="s">
        <v>1744</v>
      </c>
      <c r="N97">
        <v>1.1000000000000001</v>
      </c>
    </row>
    <row r="98" spans="2:14">
      <c r="B98" s="364"/>
      <c r="C98" s="399"/>
      <c r="D98" s="369"/>
      <c r="E98" s="369"/>
      <c r="F98" s="369"/>
      <c r="G98" s="369"/>
      <c r="H98" s="369"/>
      <c r="I98" s="369"/>
      <c r="J98" s="400"/>
      <c r="K98" s="370"/>
    </row>
    <row r="100" spans="2:14">
      <c r="B100" s="1" t="s">
        <v>1745</v>
      </c>
    </row>
    <row r="101" spans="2:14" ht="16">
      <c r="B101" s="364" t="s">
        <v>378</v>
      </c>
      <c r="C101" s="363" t="s">
        <v>4</v>
      </c>
      <c r="D101" s="361" t="s">
        <v>5</v>
      </c>
      <c r="E101" s="385" t="s">
        <v>6</v>
      </c>
      <c r="F101" s="361" t="s">
        <v>7</v>
      </c>
      <c r="G101" s="361" t="s">
        <v>8</v>
      </c>
      <c r="H101" s="361" t="s">
        <v>9</v>
      </c>
      <c r="I101" s="386" t="s">
        <v>10</v>
      </c>
      <c r="J101" s="368" t="s">
        <v>248</v>
      </c>
      <c r="K101" s="368" t="s">
        <v>67</v>
      </c>
    </row>
    <row r="102" spans="2:14">
      <c r="B102" s="365" t="s">
        <v>1022</v>
      </c>
      <c r="C102" s="110"/>
      <c r="D102" s="110"/>
      <c r="E102" s="110"/>
      <c r="F102" s="110"/>
      <c r="G102" s="110"/>
      <c r="H102" s="110"/>
      <c r="I102" s="110"/>
      <c r="J102" s="110"/>
      <c r="K102" s="380">
        <f>'Ethylene Recycling HC'!AG55</f>
        <v>0.5732262658227848</v>
      </c>
    </row>
    <row r="103" spans="2:14">
      <c r="B103" s="365" t="s">
        <v>310</v>
      </c>
      <c r="C103" s="110"/>
      <c r="D103" s="110"/>
      <c r="E103" s="110"/>
      <c r="F103" s="110"/>
      <c r="G103" s="110"/>
      <c r="H103" s="110"/>
      <c r="I103" s="110"/>
      <c r="J103" s="110"/>
      <c r="K103" s="380">
        <f>'Ethylene Recycling HC'!AG196</f>
        <v>0.5</v>
      </c>
    </row>
    <row r="104" spans="2:14">
      <c r="B104" s="365" t="s">
        <v>311</v>
      </c>
      <c r="C104" s="110"/>
      <c r="D104" s="110"/>
      <c r="E104" s="110"/>
      <c r="F104" s="110"/>
      <c r="G104" s="110"/>
      <c r="H104" s="110"/>
      <c r="I104" s="110"/>
      <c r="J104" s="110"/>
      <c r="K104" s="380">
        <f>'Ethylene Recycling HC'!AG107</f>
        <v>0.44</v>
      </c>
    </row>
    <row r="105" spans="2:14">
      <c r="B105" s="365" t="s">
        <v>320</v>
      </c>
      <c r="C105" s="110"/>
      <c r="D105" s="110"/>
      <c r="E105" s="110"/>
      <c r="F105" s="110"/>
      <c r="G105" s="110"/>
      <c r="H105" s="110"/>
      <c r="I105" s="110"/>
      <c r="J105" s="110"/>
      <c r="K105" s="380">
        <f>'Ethylene Recycling HC'!AG156</f>
        <v>0.5</v>
      </c>
    </row>
    <row r="106" spans="2:14">
      <c r="B106" s="365" t="s">
        <v>248</v>
      </c>
      <c r="C106" s="110"/>
      <c r="D106" s="110"/>
      <c r="E106" s="110"/>
      <c r="F106" s="110"/>
      <c r="G106" s="110"/>
      <c r="H106" s="110"/>
      <c r="I106" s="110"/>
      <c r="J106" s="110"/>
      <c r="K106" s="380">
        <f>'Ethylene Recycling HC'!AG209</f>
        <v>0.2</v>
      </c>
    </row>
    <row r="107" spans="2:14">
      <c r="B107" s="364" t="s">
        <v>67</v>
      </c>
      <c r="C107" s="379"/>
      <c r="D107" s="379"/>
      <c r="E107" s="379"/>
      <c r="F107" s="379"/>
      <c r="G107" s="379"/>
      <c r="H107" s="379"/>
      <c r="I107" s="379"/>
      <c r="J107" s="378"/>
    </row>
    <row r="109" spans="2:14">
      <c r="B109" s="1"/>
    </row>
    <row r="110" spans="2:14">
      <c r="B110" s="1"/>
      <c r="C110" s="289"/>
      <c r="D110" s="290"/>
      <c r="E110" s="291"/>
      <c r="F110" s="290"/>
      <c r="G110" s="290"/>
      <c r="H110" s="290"/>
      <c r="I110" s="292"/>
      <c r="J110" s="290"/>
      <c r="K110" s="290"/>
    </row>
    <row r="111" spans="2:14">
      <c r="B111" s="1"/>
      <c r="C111" s="317"/>
      <c r="D111" s="317"/>
      <c r="E111" s="317"/>
      <c r="F111" s="317"/>
      <c r="G111" s="317"/>
      <c r="H111" s="317"/>
      <c r="I111" s="317"/>
      <c r="J111" s="317"/>
      <c r="K111" s="316"/>
    </row>
    <row r="112" spans="2:14">
      <c r="B112" s="1"/>
      <c r="C112" s="317"/>
      <c r="D112" s="317"/>
      <c r="E112" s="317"/>
      <c r="F112" s="317"/>
      <c r="G112" s="317"/>
      <c r="H112" s="317"/>
      <c r="I112" s="317"/>
      <c r="J112" s="317"/>
      <c r="K112" s="316"/>
    </row>
    <row r="113" spans="2:11">
      <c r="B113" s="1"/>
      <c r="C113" s="317"/>
      <c r="D113" s="317"/>
      <c r="E113" s="317"/>
      <c r="F113" s="317"/>
      <c r="G113" s="317"/>
      <c r="H113" s="317"/>
      <c r="I113" s="317"/>
      <c r="J113" s="317"/>
      <c r="K113" s="316"/>
    </row>
    <row r="114" spans="2:11">
      <c r="B114" s="1"/>
      <c r="C114" s="317"/>
      <c r="D114" s="317"/>
      <c r="E114" s="317"/>
      <c r="F114" s="317"/>
      <c r="G114" s="317"/>
      <c r="H114" s="317"/>
      <c r="I114" s="317"/>
      <c r="J114" s="317"/>
      <c r="K114" s="316"/>
    </row>
    <row r="115" spans="2:11">
      <c r="B115" s="1"/>
      <c r="C115" s="317"/>
      <c r="D115" s="317"/>
      <c r="E115" s="317"/>
      <c r="F115" s="317"/>
      <c r="G115" s="317"/>
      <c r="H115" s="317"/>
      <c r="I115" s="317"/>
      <c r="J115" s="317"/>
      <c r="K115" s="316"/>
    </row>
    <row r="116" spans="2:11">
      <c r="B116" s="1"/>
      <c r="C116" s="297"/>
      <c r="D116" s="297"/>
      <c r="E116" s="297"/>
      <c r="F116" s="297"/>
      <c r="G116" s="297"/>
      <c r="H116" s="297"/>
      <c r="I116" s="297"/>
      <c r="J116" s="297"/>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E95D-4B67-45B6-95FC-0B3A032F26FD}">
  <sheetPr>
    <tabColor theme="4"/>
  </sheetPr>
  <dimension ref="A1:AI93"/>
  <sheetViews>
    <sheetView topLeftCell="A28" zoomScale="70" zoomScaleNormal="70" workbookViewId="0">
      <selection activeCell="E38" sqref="E38"/>
    </sheetView>
  </sheetViews>
  <sheetFormatPr baseColWidth="10" defaultColWidth="8.83203125" defaultRowHeight="15"/>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c r="B1">
        <v>2020</v>
      </c>
      <c r="L1">
        <v>2050</v>
      </c>
    </row>
    <row r="2" spans="2:35">
      <c r="B2" t="s">
        <v>309</v>
      </c>
      <c r="D2" t="s">
        <v>1746</v>
      </c>
      <c r="E2" t="s">
        <v>1747</v>
      </c>
      <c r="F2" t="s">
        <v>1748</v>
      </c>
      <c r="G2" t="s">
        <v>1749</v>
      </c>
      <c r="H2" t="s">
        <v>1750</v>
      </c>
      <c r="L2" t="s">
        <v>309</v>
      </c>
      <c r="N2" t="s">
        <v>1746</v>
      </c>
      <c r="O2" t="s">
        <v>1747</v>
      </c>
      <c r="P2" t="s">
        <v>1748</v>
      </c>
      <c r="Q2" t="s">
        <v>1749</v>
      </c>
      <c r="R2" t="s">
        <v>1750</v>
      </c>
    </row>
    <row r="3" spans="2:35" ht="14.5" customHeight="1">
      <c r="B3" t="s">
        <v>474</v>
      </c>
      <c r="C3" s="256">
        <f>'Overall recycling rates'!G39*SUM('Overall recycling rates'!G60:G62)</f>
        <v>6.16871358298018</v>
      </c>
      <c r="D3" s="127">
        <f>$C3/$C$7</f>
        <v>0.99650473690303254</v>
      </c>
      <c r="E3" s="127">
        <f t="shared" ref="E3:H4" si="0">$C3/$C$7</f>
        <v>0.99650473690303254</v>
      </c>
      <c r="F3" s="127">
        <f t="shared" si="0"/>
        <v>0.99650473690303254</v>
      </c>
      <c r="G3" s="127">
        <f t="shared" si="0"/>
        <v>0.99650473690303254</v>
      </c>
      <c r="H3" s="127">
        <f t="shared" si="0"/>
        <v>0.99650473690303254</v>
      </c>
      <c r="J3" s="764" t="s">
        <v>1751</v>
      </c>
      <c r="L3" t="s">
        <v>474</v>
      </c>
      <c r="M3" s="256">
        <f>'Overall recycling rates'!G12*SUM('Overall recycling rates'!G60:G62)</f>
        <v>20.160359423062566</v>
      </c>
      <c r="N3" s="2">
        <f t="shared" ref="N3:O6" si="1">$M3/$M$7</f>
        <v>0.59645673131086063</v>
      </c>
      <c r="O3" s="2">
        <f t="shared" si="1"/>
        <v>0.59645673131086063</v>
      </c>
      <c r="P3" s="56">
        <v>0</v>
      </c>
      <c r="Q3" s="56">
        <v>0</v>
      </c>
      <c r="R3" s="2">
        <f>$M3/$M$7</f>
        <v>0.59645673131086063</v>
      </c>
      <c r="T3" s="28" t="s">
        <v>1752</v>
      </c>
    </row>
    <row r="4" spans="2:35" ht="14.5" customHeight="1">
      <c r="B4" t="s">
        <v>478</v>
      </c>
      <c r="C4" s="256">
        <f>'Overall recycling rates'!E39*SUM('Overall recycling rates'!E60:E62)</f>
        <v>2.1636903613083687E-2</v>
      </c>
      <c r="D4" s="127">
        <f>$C4/$C$7</f>
        <v>3.4952630969674104E-3</v>
      </c>
      <c r="E4" s="127">
        <f t="shared" si="0"/>
        <v>3.4952630969674104E-3</v>
      </c>
      <c r="F4" s="127">
        <f t="shared" si="0"/>
        <v>3.4952630969674104E-3</v>
      </c>
      <c r="G4" s="127">
        <f t="shared" si="0"/>
        <v>3.4952630969674104E-3</v>
      </c>
      <c r="H4" s="127">
        <f t="shared" si="0"/>
        <v>3.4952630969674104E-3</v>
      </c>
      <c r="J4" s="764"/>
      <c r="L4" t="s">
        <v>478</v>
      </c>
      <c r="M4" s="256">
        <f>'Overall recycling rates'!E12*SUM('Overall recycling rates'!E60:E62)</f>
        <v>10.907993094606782</v>
      </c>
      <c r="N4" s="2">
        <f t="shared" si="1"/>
        <v>0.32271973777054069</v>
      </c>
      <c r="O4" s="2">
        <f t="shared" si="1"/>
        <v>0.32271973777054069</v>
      </c>
      <c r="P4" s="56">
        <v>0</v>
      </c>
      <c r="Q4" s="56">
        <v>0</v>
      </c>
      <c r="R4" s="2">
        <f>$M4/$M$7</f>
        <v>0.32271973777054069</v>
      </c>
      <c r="T4" s="28"/>
    </row>
    <row r="5" spans="2:35">
      <c r="B5" t="s">
        <v>745</v>
      </c>
      <c r="C5" s="256">
        <f>'Overall recycling rates'!H39*SUM('Overall recycling rates'!H60:H62)</f>
        <v>0</v>
      </c>
      <c r="D5" s="127">
        <f t="shared" ref="D5:H6" si="2">$C5/$C$7</f>
        <v>0</v>
      </c>
      <c r="E5" s="127">
        <f t="shared" si="2"/>
        <v>0</v>
      </c>
      <c r="F5" s="127">
        <f t="shared" si="2"/>
        <v>0</v>
      </c>
      <c r="G5" s="127">
        <f t="shared" si="2"/>
        <v>0</v>
      </c>
      <c r="H5" s="127">
        <f t="shared" si="2"/>
        <v>0</v>
      </c>
      <c r="J5" s="764"/>
      <c r="L5" t="s">
        <v>745</v>
      </c>
      <c r="M5" s="256">
        <f>'Overall recycling rates'!H12*SUM('Overall recycling rates'!H60:H62)</f>
        <v>2.514919918666664</v>
      </c>
      <c r="N5" s="2">
        <f t="shared" si="1"/>
        <v>7.4405464839109606E-2</v>
      </c>
      <c r="O5" s="2">
        <f t="shared" si="1"/>
        <v>7.4405464839109606E-2</v>
      </c>
      <c r="P5" s="56">
        <v>0.5</v>
      </c>
      <c r="Q5" s="56">
        <v>0.5</v>
      </c>
      <c r="R5" s="2">
        <f>$M5/$M$7</f>
        <v>7.4405464839109606E-2</v>
      </c>
      <c r="T5" s="28"/>
      <c r="V5" s="420"/>
      <c r="W5" s="420"/>
      <c r="X5" s="420"/>
      <c r="Y5" s="420"/>
      <c r="Z5" s="420"/>
      <c r="AA5" s="420"/>
      <c r="AB5" s="420"/>
      <c r="AC5" s="420"/>
      <c r="AD5" s="420"/>
      <c r="AE5" s="420"/>
      <c r="AF5" s="420"/>
      <c r="AG5" s="384"/>
      <c r="AH5" s="384"/>
      <c r="AI5" s="6"/>
    </row>
    <row r="6" spans="2:35">
      <c r="B6" t="s">
        <v>248</v>
      </c>
      <c r="C6" s="256">
        <f>'Overall recycling rates'!I39*SUM('Overall recycling rates'!I60:I62)</f>
        <v>0</v>
      </c>
      <c r="D6" s="127">
        <f t="shared" si="2"/>
        <v>0</v>
      </c>
      <c r="E6" s="127">
        <f t="shared" si="2"/>
        <v>0</v>
      </c>
      <c r="F6" s="127">
        <f t="shared" si="2"/>
        <v>0</v>
      </c>
      <c r="G6" s="127">
        <f t="shared" si="2"/>
        <v>0</v>
      </c>
      <c r="H6" s="127">
        <f t="shared" si="2"/>
        <v>0</v>
      </c>
      <c r="J6" s="764"/>
      <c r="L6" t="s">
        <v>248</v>
      </c>
      <c r="M6" s="256">
        <f>'Overall recycling rates'!I12*SUM('Overall recycling rates'!I60:I62)</f>
        <v>0.21693194522107306</v>
      </c>
      <c r="N6" s="2">
        <f t="shared" si="1"/>
        <v>6.41806607948918E-3</v>
      </c>
      <c r="O6" s="2">
        <f t="shared" si="1"/>
        <v>6.41806607948918E-3</v>
      </c>
      <c r="P6" s="56">
        <v>0.5</v>
      </c>
      <c r="Q6" s="56">
        <v>0.5</v>
      </c>
      <c r="R6" s="2">
        <f>$M6/$M$7</f>
        <v>6.41806607948918E-3</v>
      </c>
      <c r="T6" s="28"/>
      <c r="V6" s="420"/>
      <c r="W6" s="420"/>
      <c r="X6" s="420"/>
      <c r="Y6" s="420"/>
      <c r="Z6" s="420"/>
      <c r="AA6" s="420"/>
      <c r="AB6" s="420"/>
      <c r="AC6" s="420"/>
      <c r="AD6" s="420"/>
      <c r="AE6" s="420"/>
      <c r="AF6" s="420"/>
      <c r="AG6" s="384"/>
      <c r="AH6" s="384"/>
      <c r="AI6" s="384"/>
    </row>
    <row r="7" spans="2:35">
      <c r="C7" s="256">
        <f t="shared" ref="C7:H7" si="3">SUM(C3:C6)</f>
        <v>6.1903504865932639</v>
      </c>
      <c r="D7" s="2">
        <f t="shared" si="3"/>
        <v>1</v>
      </c>
      <c r="E7" s="2">
        <f t="shared" si="3"/>
        <v>1</v>
      </c>
      <c r="F7" s="2">
        <f t="shared" si="3"/>
        <v>1</v>
      </c>
      <c r="G7" s="2">
        <f t="shared" si="3"/>
        <v>1</v>
      </c>
      <c r="H7" s="2">
        <f t="shared" si="3"/>
        <v>1</v>
      </c>
      <c r="J7" s="503"/>
      <c r="M7" s="256">
        <f t="shared" ref="M7:R7" si="4">SUM(M3:M6)</f>
        <v>33.80020438155708</v>
      </c>
      <c r="N7" s="2">
        <f t="shared" si="4"/>
        <v>1</v>
      </c>
      <c r="O7" s="2">
        <f t="shared" si="4"/>
        <v>1</v>
      </c>
      <c r="P7" s="2">
        <f t="shared" si="4"/>
        <v>1</v>
      </c>
      <c r="Q7" s="2">
        <f t="shared" si="4"/>
        <v>1</v>
      </c>
      <c r="R7" s="2">
        <f t="shared" si="4"/>
        <v>1</v>
      </c>
      <c r="T7" s="28"/>
      <c r="V7" s="420"/>
      <c r="W7" s="420"/>
      <c r="X7" s="420"/>
      <c r="Y7" s="420"/>
      <c r="Z7" s="420"/>
      <c r="AA7" s="420"/>
      <c r="AB7" s="420"/>
      <c r="AC7" s="420"/>
      <c r="AD7" s="420"/>
      <c r="AE7" s="420"/>
      <c r="AF7" s="420"/>
      <c r="AG7" s="384"/>
      <c r="AH7" s="384"/>
      <c r="AI7" s="384"/>
    </row>
    <row r="8" spans="2:35">
      <c r="AG8" s="384"/>
      <c r="AH8" s="384"/>
    </row>
    <row r="9" spans="2:35">
      <c r="B9" t="s">
        <v>370</v>
      </c>
      <c r="D9" t="s">
        <v>1746</v>
      </c>
      <c r="E9" t="s">
        <v>1753</v>
      </c>
      <c r="F9" t="s">
        <v>1754</v>
      </c>
      <c r="G9" t="s">
        <v>1750</v>
      </c>
      <c r="L9" t="s">
        <v>370</v>
      </c>
      <c r="N9" t="s">
        <v>1746</v>
      </c>
      <c r="O9" t="s">
        <v>1753</v>
      </c>
      <c r="P9" t="s">
        <v>1754</v>
      </c>
      <c r="Q9" t="s">
        <v>1750</v>
      </c>
      <c r="V9" s="271"/>
    </row>
    <row r="10" spans="2:35" ht="14.5" customHeight="1">
      <c r="B10" t="s">
        <v>474</v>
      </c>
      <c r="C10" s="256">
        <f>'Overall recycling rates'!G41*SUM('Overall recycling rates'!G60:G62)</f>
        <v>0</v>
      </c>
      <c r="D10" s="127">
        <f t="shared" ref="D10:G13" si="5">$C10/$C$14</f>
        <v>0</v>
      </c>
      <c r="E10" s="127">
        <f t="shared" si="5"/>
        <v>0</v>
      </c>
      <c r="F10" s="127">
        <f t="shared" si="5"/>
        <v>0</v>
      </c>
      <c r="G10" s="127">
        <f t="shared" si="5"/>
        <v>0</v>
      </c>
      <c r="I10" s="764" t="s">
        <v>1751</v>
      </c>
      <c r="L10" t="s">
        <v>474</v>
      </c>
      <c r="M10" s="256">
        <f>'Overall recycling rates'!G14*SUM('Overall recycling rates'!G60:G62)</f>
        <v>0</v>
      </c>
      <c r="N10" s="2">
        <f t="shared" ref="N10:Q13" si="6">$M10/$M$14</f>
        <v>0</v>
      </c>
      <c r="O10" s="2">
        <f t="shared" si="6"/>
        <v>0</v>
      </c>
      <c r="P10" s="2">
        <f t="shared" si="6"/>
        <v>0</v>
      </c>
      <c r="Q10" s="2">
        <f t="shared" si="6"/>
        <v>0</v>
      </c>
      <c r="T10" s="28" t="s">
        <v>1752</v>
      </c>
    </row>
    <row r="11" spans="2:35" ht="14.5" customHeight="1">
      <c r="B11" t="s">
        <v>478</v>
      </c>
      <c r="C11" s="256">
        <f>'Overall recycling rates'!E41*SUM('Overall recycling rates'!E60:E62)</f>
        <v>2.1574500497634611E-2</v>
      </c>
      <c r="D11" s="127">
        <f t="shared" si="5"/>
        <v>0.59541984732824427</v>
      </c>
      <c r="E11" s="127">
        <f t="shared" si="5"/>
        <v>0.59541984732824427</v>
      </c>
      <c r="F11" s="127">
        <f t="shared" si="5"/>
        <v>0.59541984732824427</v>
      </c>
      <c r="G11" s="127">
        <f t="shared" si="5"/>
        <v>0.59541984732824427</v>
      </c>
      <c r="I11" s="764"/>
      <c r="L11" t="s">
        <v>478</v>
      </c>
      <c r="M11" s="256">
        <f>'Overall recycling rates'!E14*SUM('Overall recycling rates'!E60:E62)</f>
        <v>0</v>
      </c>
      <c r="N11" s="2">
        <f t="shared" si="6"/>
        <v>0</v>
      </c>
      <c r="O11" s="2">
        <f t="shared" si="6"/>
        <v>0</v>
      </c>
      <c r="P11" s="2">
        <f t="shared" si="6"/>
        <v>0</v>
      </c>
      <c r="Q11" s="2">
        <f t="shared" si="6"/>
        <v>0</v>
      </c>
      <c r="T11" s="28"/>
    </row>
    <row r="12" spans="2:35">
      <c r="B12" t="s">
        <v>745</v>
      </c>
      <c r="C12" s="256">
        <f>'Overall recycling rates'!H41*SUM('Overall recycling rates'!H60:H62)</f>
        <v>0</v>
      </c>
      <c r="D12" s="127">
        <f t="shared" si="5"/>
        <v>0</v>
      </c>
      <c r="E12" s="127">
        <f t="shared" si="5"/>
        <v>0</v>
      </c>
      <c r="F12" s="127">
        <f t="shared" si="5"/>
        <v>0</v>
      </c>
      <c r="G12" s="127">
        <f t="shared" si="5"/>
        <v>0</v>
      </c>
      <c r="I12" s="764"/>
      <c r="L12" t="s">
        <v>745</v>
      </c>
      <c r="M12" s="256">
        <f>'Overall recycling rates'!H14*SUM('Overall recycling rates'!H60:H62)</f>
        <v>0.95513371202554831</v>
      </c>
      <c r="N12" s="2">
        <f t="shared" si="6"/>
        <v>0.51312630317698071</v>
      </c>
      <c r="O12" s="2">
        <f t="shared" si="6"/>
        <v>0.51312630317698071</v>
      </c>
      <c r="P12" s="2">
        <f t="shared" si="6"/>
        <v>0.51312630317698071</v>
      </c>
      <c r="Q12" s="2">
        <f t="shared" si="6"/>
        <v>0.51312630317698071</v>
      </c>
      <c r="T12" s="28"/>
      <c r="V12" s="384"/>
      <c r="W12" s="384"/>
      <c r="X12" s="384"/>
      <c r="Y12" s="384"/>
      <c r="Z12" s="384"/>
      <c r="AA12" s="384"/>
    </row>
    <row r="13" spans="2:35">
      <c r="B13" t="s">
        <v>248</v>
      </c>
      <c r="C13" s="256">
        <f>'Overall recycling rates'!I41*SUM('Overall recycling rates'!I60:I62)</f>
        <v>1.4659596491982492E-2</v>
      </c>
      <c r="D13" s="127">
        <f>$C13/$C$14</f>
        <v>0.40458015267175568</v>
      </c>
      <c r="E13" s="127">
        <f t="shared" si="5"/>
        <v>0.40458015267175568</v>
      </c>
      <c r="F13" s="127">
        <f t="shared" si="5"/>
        <v>0.40458015267175568</v>
      </c>
      <c r="G13" s="127">
        <f t="shared" si="5"/>
        <v>0.40458015267175568</v>
      </c>
      <c r="I13" s="764"/>
      <c r="L13" t="s">
        <v>248</v>
      </c>
      <c r="M13" s="256">
        <f>'Overall recycling rates'!I14*SUM('Overall recycling rates'!I60:I62)</f>
        <v>0.90626708951573665</v>
      </c>
      <c r="N13" s="2">
        <f t="shared" si="6"/>
        <v>0.48687369682301923</v>
      </c>
      <c r="O13" s="2">
        <f t="shared" si="6"/>
        <v>0.48687369682301923</v>
      </c>
      <c r="P13" s="2">
        <f t="shared" si="6"/>
        <v>0.48687369682301923</v>
      </c>
      <c r="Q13" s="2">
        <f t="shared" si="6"/>
        <v>0.48687369682301923</v>
      </c>
      <c r="T13" s="28"/>
      <c r="V13" s="384"/>
      <c r="W13" s="384"/>
      <c r="X13" s="384"/>
      <c r="Y13" s="384"/>
      <c r="Z13" s="384"/>
      <c r="AA13" s="384"/>
    </row>
    <row r="14" spans="2:35">
      <c r="C14" s="256">
        <f>SUM(C10:C13)</f>
        <v>3.6234096989617104E-2</v>
      </c>
      <c r="D14" s="2">
        <f>SUM(D10:D13)</f>
        <v>1</v>
      </c>
      <c r="E14" s="2">
        <f>SUM(E10:E13)</f>
        <v>1</v>
      </c>
      <c r="F14" s="2">
        <f>SUM(F10:F13)</f>
        <v>1</v>
      </c>
      <c r="G14" s="2">
        <f>SUM(G10:G13)</f>
        <v>1</v>
      </c>
      <c r="M14" s="44">
        <f>SUM(M10:M13)</f>
        <v>1.8614008015412851</v>
      </c>
      <c r="N14" s="2">
        <f>SUM(N10:N13)</f>
        <v>1</v>
      </c>
      <c r="O14" s="2">
        <f>SUM(O10:O13)</f>
        <v>1</v>
      </c>
      <c r="P14" s="2">
        <f>SUM(P10:P13)</f>
        <v>1</v>
      </c>
      <c r="Q14" s="2">
        <f>SUM(Q10:Q13)</f>
        <v>1</v>
      </c>
      <c r="V14" s="384"/>
      <c r="W14" s="384"/>
      <c r="X14" s="384"/>
      <c r="Y14" s="384"/>
      <c r="Z14" s="384"/>
      <c r="AA14" s="384"/>
    </row>
    <row r="16" spans="2:35">
      <c r="B16" t="s">
        <v>329</v>
      </c>
      <c r="D16" t="s">
        <v>1746</v>
      </c>
      <c r="E16" t="s">
        <v>1749</v>
      </c>
      <c r="F16" t="s">
        <v>1750</v>
      </c>
      <c r="L16" t="s">
        <v>329</v>
      </c>
      <c r="N16" t="s">
        <v>1746</v>
      </c>
      <c r="O16" t="s">
        <v>1749</v>
      </c>
      <c r="P16" t="s">
        <v>1750</v>
      </c>
    </row>
    <row r="17" spans="2:28" ht="14.5" customHeight="1">
      <c r="B17" t="s">
        <v>474</v>
      </c>
      <c r="C17" s="256">
        <f>'Overall recycling rates'!G42*SUM('Overall recycling rates'!G60:G62)</f>
        <v>2.2760626156339074</v>
      </c>
      <c r="D17" s="127">
        <f>$C17/$C$21</f>
        <v>0.91912919741166743</v>
      </c>
      <c r="E17" s="127">
        <f t="shared" ref="E17:F18" si="7">$C17/$C$21</f>
        <v>0.91912919741166743</v>
      </c>
      <c r="F17" s="127">
        <f t="shared" si="7"/>
        <v>0.91912919741166743</v>
      </c>
      <c r="I17" s="764" t="s">
        <v>1751</v>
      </c>
      <c r="L17" t="s">
        <v>474</v>
      </c>
      <c r="M17" s="256">
        <f>'Overall recycling rates'!G15*SUM('Overall recycling rates'!G60:G62)</f>
        <v>17.50817396641467</v>
      </c>
      <c r="N17" s="127">
        <f t="shared" ref="N17:P20" si="8">$M17/$M$21</f>
        <v>0.91912919741166732</v>
      </c>
      <c r="O17" s="127">
        <f t="shared" si="8"/>
        <v>0.91912919741166732</v>
      </c>
      <c r="P17" s="127">
        <f t="shared" si="8"/>
        <v>0.91912919741166732</v>
      </c>
      <c r="T17" s="28" t="s">
        <v>1752</v>
      </c>
      <c r="V17" s="384"/>
      <c r="W17" s="384"/>
      <c r="X17" s="384"/>
      <c r="Y17" s="384"/>
      <c r="Z17" s="384"/>
      <c r="AA17" s="384"/>
      <c r="AB17" s="6"/>
    </row>
    <row r="18" spans="2:28" ht="14.5" customHeight="1">
      <c r="B18" t="s">
        <v>478</v>
      </c>
      <c r="C18" s="256">
        <f>'Overall recycling rates'!E42*SUM('Overall recycling rates'!E60:E62)</f>
        <v>0</v>
      </c>
      <c r="D18" s="127">
        <f>$C18/$C$21</f>
        <v>0</v>
      </c>
      <c r="E18" s="127">
        <f t="shared" si="7"/>
        <v>0</v>
      </c>
      <c r="F18" s="127">
        <f t="shared" si="7"/>
        <v>0</v>
      </c>
      <c r="I18" s="764"/>
      <c r="L18" t="s">
        <v>478</v>
      </c>
      <c r="M18" s="256">
        <f>'Overall recycling rates'!E15*SUM('Overall recycling rates'!E60:E62)</f>
        <v>0</v>
      </c>
      <c r="N18" s="127">
        <f t="shared" si="8"/>
        <v>0</v>
      </c>
      <c r="O18" s="127">
        <f t="shared" si="8"/>
        <v>0</v>
      </c>
      <c r="P18" s="127">
        <f t="shared" si="8"/>
        <v>0</v>
      </c>
      <c r="T18" s="28"/>
      <c r="V18" s="384"/>
      <c r="W18" s="384"/>
      <c r="X18" s="384"/>
      <c r="Y18" s="384"/>
      <c r="Z18" s="384"/>
      <c r="AA18" s="384"/>
      <c r="AB18" s="6"/>
    </row>
    <row r="19" spans="2:28">
      <c r="B19" t="s">
        <v>745</v>
      </c>
      <c r="C19" s="256">
        <f>'Overall recycling rates'!H42*SUM('Overall recycling rates'!H60:H62)</f>
        <v>0</v>
      </c>
      <c r="D19" s="127">
        <f t="shared" ref="D19:F20" si="9">$C19/$C$21</f>
        <v>0</v>
      </c>
      <c r="E19" s="127">
        <f t="shared" si="9"/>
        <v>0</v>
      </c>
      <c r="F19" s="127">
        <f t="shared" si="9"/>
        <v>0</v>
      </c>
      <c r="I19" s="764"/>
      <c r="L19" t="s">
        <v>745</v>
      </c>
      <c r="M19" s="256">
        <f>'Overall recycling rates'!H15*SUM('Overall recycling rates'!H60:H62)</f>
        <v>0</v>
      </c>
      <c r="N19" s="127">
        <f t="shared" si="8"/>
        <v>0</v>
      </c>
      <c r="O19" s="127">
        <f t="shared" si="8"/>
        <v>0</v>
      </c>
      <c r="P19" s="127">
        <f t="shared" si="8"/>
        <v>0</v>
      </c>
      <c r="T19" s="28"/>
      <c r="V19" s="384"/>
      <c r="W19" s="384"/>
      <c r="X19" s="384"/>
      <c r="Y19" s="384"/>
      <c r="Z19" s="384"/>
      <c r="AA19" s="384"/>
    </row>
    <row r="20" spans="2:28">
      <c r="B20" t="s">
        <v>248</v>
      </c>
      <c r="C20" s="256">
        <f>'Overall recycling rates'!I42*SUM('Overall recycling rates'!I60:I62)</f>
        <v>0.20026239073457713</v>
      </c>
      <c r="D20" s="127">
        <f t="shared" si="9"/>
        <v>8.0870802588332583E-2</v>
      </c>
      <c r="E20" s="127">
        <f t="shared" si="9"/>
        <v>8.0870802588332583E-2</v>
      </c>
      <c r="F20" s="127">
        <f t="shared" si="9"/>
        <v>8.0870802588332583E-2</v>
      </c>
      <c r="I20" s="764"/>
      <c r="L20" t="s">
        <v>248</v>
      </c>
      <c r="M20" s="256">
        <f>'Overall recycling rates'!I15*SUM('Overall recycling rates'!I60:I62)</f>
        <v>1.5404799287275162</v>
      </c>
      <c r="N20" s="127">
        <f t="shared" si="8"/>
        <v>8.0870802588332569E-2</v>
      </c>
      <c r="O20" s="127">
        <f t="shared" si="8"/>
        <v>8.0870802588332569E-2</v>
      </c>
      <c r="P20" s="127">
        <f t="shared" si="8"/>
        <v>8.0870802588332569E-2</v>
      </c>
      <c r="T20" s="28"/>
      <c r="V20" s="384"/>
      <c r="W20" s="384"/>
      <c r="X20" s="384"/>
      <c r="Y20" s="384"/>
      <c r="Z20" s="384"/>
      <c r="AA20" s="384"/>
      <c r="AB20" s="6"/>
    </row>
    <row r="21" spans="2:28">
      <c r="C21" s="256">
        <f>SUM(C17:C20)</f>
        <v>2.4763250063684845</v>
      </c>
      <c r="D21" s="2">
        <f>SUM(D17:D20)</f>
        <v>1</v>
      </c>
      <c r="E21" s="2">
        <f>SUM(E17:E20)</f>
        <v>1</v>
      </c>
      <c r="F21" s="2">
        <f>SUM(F17:F20)</f>
        <v>1</v>
      </c>
      <c r="M21" s="44">
        <f>SUM(M17:M20)</f>
        <v>19.048653895142188</v>
      </c>
      <c r="N21" s="2">
        <f>SUM(N17:N20)</f>
        <v>0.99999999999999989</v>
      </c>
      <c r="O21" s="2">
        <f>SUM(O17:O20)</f>
        <v>0.99999999999999989</v>
      </c>
      <c r="P21" s="2">
        <f>SUM(P17:P20)</f>
        <v>0.99999999999999989</v>
      </c>
      <c r="AA21" s="384"/>
    </row>
    <row r="22" spans="2:28">
      <c r="V22" s="384"/>
      <c r="W22" s="384"/>
      <c r="X22" s="384"/>
      <c r="Y22" s="384"/>
      <c r="Z22" s="384"/>
      <c r="AA22" s="384"/>
    </row>
    <row r="23" spans="2:28">
      <c r="B23" t="s">
        <v>369</v>
      </c>
      <c r="D23" t="s">
        <v>1746</v>
      </c>
      <c r="L23" t="s">
        <v>369</v>
      </c>
      <c r="N23" t="s">
        <v>1746</v>
      </c>
      <c r="V23" s="384"/>
      <c r="W23" s="384"/>
      <c r="X23" s="384"/>
      <c r="Y23" s="384"/>
      <c r="Z23" s="384"/>
      <c r="AA23" s="384"/>
    </row>
    <row r="24" spans="2:28" ht="14.5" customHeight="1">
      <c r="B24" t="s">
        <v>474</v>
      </c>
      <c r="C24" s="256">
        <f>'Overall recycling rates'!G40*SUM('Overall recycling rates'!G60:G62)</f>
        <v>0</v>
      </c>
      <c r="D24" s="127">
        <f>$C24/$C$28</f>
        <v>0</v>
      </c>
      <c r="E24" s="2"/>
      <c r="F24" s="2"/>
      <c r="G24" s="2"/>
      <c r="I24" s="764" t="s">
        <v>1751</v>
      </c>
      <c r="L24" t="s">
        <v>474</v>
      </c>
      <c r="M24" s="256">
        <f>'Overall recycling rates'!G12*SUM('Overall recycling rates'!G60:G62)</f>
        <v>20.160359423062566</v>
      </c>
      <c r="N24" s="127">
        <f>$M24/$M$28</f>
        <v>0.59645673131086063</v>
      </c>
      <c r="P24" s="2"/>
      <c r="Q24" s="2"/>
      <c r="R24" s="2"/>
      <c r="T24" s="28" t="s">
        <v>1752</v>
      </c>
      <c r="V24" s="384"/>
      <c r="W24" s="384"/>
      <c r="X24" s="384"/>
      <c r="Y24" s="384"/>
      <c r="Z24" s="384"/>
    </row>
    <row r="25" spans="2:28" ht="14.5" customHeight="1">
      <c r="B25" t="s">
        <v>478</v>
      </c>
      <c r="C25" s="256">
        <f>'Overall recycling rates'!E40*SUM('Overall recycling rates'!E60:E62)</f>
        <v>6.034917793376028E-3</v>
      </c>
      <c r="D25" s="127">
        <f>$C25/$C$28</f>
        <v>0.54391014811667637</v>
      </c>
      <c r="E25" s="2"/>
      <c r="F25" s="2"/>
      <c r="G25" s="2"/>
      <c r="I25" s="764"/>
      <c r="L25" t="s">
        <v>478</v>
      </c>
      <c r="M25" s="256">
        <f>'Overall recycling rates'!E12*SUM('Overall recycling rates'!E60:E62)</f>
        <v>10.907993094606782</v>
      </c>
      <c r="N25" s="127">
        <f>$M25/$M$28</f>
        <v>0.32271973777054069</v>
      </c>
      <c r="P25" s="2"/>
      <c r="Q25" s="2"/>
      <c r="R25" s="2"/>
      <c r="T25" s="28"/>
      <c r="V25" s="384"/>
      <c r="W25" s="384"/>
      <c r="X25" s="384"/>
      <c r="Y25" s="384"/>
      <c r="Z25" s="384"/>
    </row>
    <row r="26" spans="2:28">
      <c r="B26" t="s">
        <v>745</v>
      </c>
      <c r="C26" s="256">
        <f>'Overall recycling rates'!H40*SUM('Overall recycling rates'!H60:H62)</f>
        <v>4.7211496342527649E-3</v>
      </c>
      <c r="D26" s="127">
        <f t="shared" ref="D26:D27" si="10">$C26/$C$28</f>
        <v>0.42550392312981294</v>
      </c>
      <c r="E26" s="2"/>
      <c r="F26" s="2"/>
      <c r="G26" s="2"/>
      <c r="I26" s="764"/>
      <c r="L26" t="s">
        <v>745</v>
      </c>
      <c r="M26" s="256">
        <f>'Overall recycling rates'!H12*SUM('Overall recycling rates'!H60:H62)</f>
        <v>2.514919918666664</v>
      </c>
      <c r="N26" s="127">
        <f>$M26/$M$28</f>
        <v>7.4405464839109606E-2</v>
      </c>
      <c r="P26" s="2"/>
      <c r="Q26" s="2"/>
      <c r="R26" s="2"/>
      <c r="T26" s="28"/>
      <c r="W26" s="23"/>
      <c r="X26" s="23"/>
      <c r="Y26" s="23"/>
      <c r="Z26" s="23"/>
    </row>
    <row r="27" spans="2:28">
      <c r="B27" t="s">
        <v>248</v>
      </c>
      <c r="C27" s="256">
        <f>'Overall recycling rates'!I40*SUM('Overall recycling rates'!I60:I62)</f>
        <v>3.3936407750549555E-4</v>
      </c>
      <c r="D27" s="127">
        <f t="shared" si="10"/>
        <v>3.0585928753510721E-2</v>
      </c>
      <c r="E27" s="56"/>
      <c r="F27" s="56"/>
      <c r="G27" s="56"/>
      <c r="I27" s="764"/>
      <c r="L27" t="s">
        <v>248</v>
      </c>
      <c r="M27" s="256">
        <f>'Overall recycling rates'!I12*SUM('Overall recycling rates'!I60:I62)</f>
        <v>0.21693194522107306</v>
      </c>
      <c r="N27" s="127">
        <f>$M27/$M$28</f>
        <v>6.41806607948918E-3</v>
      </c>
      <c r="P27" s="56"/>
      <c r="Q27" s="56"/>
      <c r="R27" s="56"/>
      <c r="T27" s="28"/>
    </row>
    <row r="28" spans="2:28">
      <c r="C28" s="256">
        <f>SUM(C24:C27)</f>
        <v>1.1095431505134288E-2</v>
      </c>
      <c r="D28" s="2">
        <f>SUM(D24:D27)</f>
        <v>1</v>
      </c>
      <c r="E28" s="2"/>
      <c r="F28" s="2"/>
      <c r="G28" s="2"/>
      <c r="M28" s="44">
        <f>SUM(M24:M27)</f>
        <v>33.80020438155708</v>
      </c>
      <c r="N28" s="2">
        <f>SUM(N24:N27)</f>
        <v>1</v>
      </c>
      <c r="P28" s="2"/>
      <c r="Q28" s="2"/>
      <c r="R28" s="2"/>
      <c r="V28" s="384"/>
      <c r="W28" s="384"/>
      <c r="X28" s="384"/>
      <c r="Y28" s="384"/>
      <c r="Z28" s="384"/>
    </row>
    <row r="29" spans="2:28">
      <c r="V29" s="384"/>
      <c r="W29" s="384"/>
      <c r="X29" s="384"/>
      <c r="Y29" s="384"/>
      <c r="Z29" s="384"/>
    </row>
    <row r="30" spans="2:28">
      <c r="B30" t="s">
        <v>248</v>
      </c>
      <c r="D30" t="s">
        <v>1746</v>
      </c>
      <c r="L30" t="s">
        <v>248</v>
      </c>
      <c r="N30" t="s">
        <v>1746</v>
      </c>
    </row>
    <row r="31" spans="2:28" ht="14.5" customHeight="1">
      <c r="B31" t="s">
        <v>474</v>
      </c>
      <c r="C31" s="256">
        <f>'Overall recycling rates'!G43*SUM('Overall recycling rates'!G60:G62)</f>
        <v>0</v>
      </c>
      <c r="D31" s="127">
        <f>$C31/$C$35</f>
        <v>0</v>
      </c>
      <c r="I31" s="764" t="s">
        <v>1751</v>
      </c>
      <c r="L31" t="s">
        <v>474</v>
      </c>
      <c r="M31" s="256">
        <f>'Overall recycling rates'!G16*SUM('Overall recycling rates'!G60:G62)</f>
        <v>0</v>
      </c>
      <c r="N31" s="127">
        <f>$M31/$L$35</f>
        <v>0</v>
      </c>
      <c r="T31" s="28" t="s">
        <v>1752</v>
      </c>
    </row>
    <row r="32" spans="2:28" ht="14.5" customHeight="1">
      <c r="B32" t="s">
        <v>478</v>
      </c>
      <c r="C32" s="256">
        <f>'Overall recycling rates'!E43*SUM('Overall recycling rates'!E60:E62)</f>
        <v>0.22960750191969143</v>
      </c>
      <c r="D32" s="127">
        <f>$C32/$C$35</f>
        <v>0.28713868492545019</v>
      </c>
      <c r="I32" s="764"/>
      <c r="L32" t="s">
        <v>478</v>
      </c>
      <c r="M32" s="256">
        <f>'Overall recycling rates'!E16*SUM('Overall recycling rates'!E60:E62)</f>
        <v>5.7780206022858724</v>
      </c>
      <c r="N32" s="127">
        <f>$M32/$L$35</f>
        <v>0.28713868492545019</v>
      </c>
      <c r="T32" s="28"/>
    </row>
    <row r="33" spans="1:35">
      <c r="B33" t="s">
        <v>745</v>
      </c>
      <c r="C33" s="256">
        <f>'Overall recycling rates'!H43*SUM('Overall recycling rates'!H60:H62)</f>
        <v>0.44521994997733838</v>
      </c>
      <c r="D33" s="127">
        <f t="shared" ref="D33:D34" si="11">$C33/$C$35</f>
        <v>0.55677567096122804</v>
      </c>
      <c r="I33" s="764"/>
      <c r="L33" t="s">
        <v>745</v>
      </c>
      <c r="M33" s="256">
        <f>'Overall recycling rates'!H16*SUM('Overall recycling rates'!H60:H62)</f>
        <v>11.203858854827454</v>
      </c>
      <c r="N33" s="127">
        <f>$M33/$L$35</f>
        <v>0.55677567096122804</v>
      </c>
      <c r="T33" s="28"/>
    </row>
    <row r="34" spans="1:35">
      <c r="B34" t="s">
        <v>248</v>
      </c>
      <c r="C34" s="256">
        <f>'Overall recycling rates'!I43*SUM('Overall recycling rates'!I60:I62)</f>
        <v>0.12481228309480663</v>
      </c>
      <c r="D34" s="127">
        <f t="shared" si="11"/>
        <v>0.15608564411332165</v>
      </c>
      <c r="I34" s="764"/>
      <c r="L34" t="s">
        <v>248</v>
      </c>
      <c r="M34" s="256">
        <f>'Overall recycling rates'!I16*SUM('Overall recycling rates'!I60:I62)</f>
        <v>3.1408727376528334</v>
      </c>
      <c r="N34" s="127">
        <f>$M34/$L$35</f>
        <v>0.15608564411332165</v>
      </c>
      <c r="T34" s="28"/>
    </row>
    <row r="35" spans="1:35">
      <c r="C35" s="256">
        <f>SUM(C31:C34)</f>
        <v>0.79963973499183649</v>
      </c>
      <c r="D35" s="2">
        <f>SUM(D31:D34)</f>
        <v>0.99999999999999978</v>
      </c>
      <c r="L35" s="44">
        <f>SUM(M31:M34)</f>
        <v>20.122752194766161</v>
      </c>
      <c r="M35" s="2">
        <f>SUM(N31:N34)</f>
        <v>0.99999999999999978</v>
      </c>
    </row>
    <row r="37" spans="1:35" s="273" customFormat="1" ht="16" thickBot="1">
      <c r="E37" s="273">
        <v>2020</v>
      </c>
      <c r="F37" s="273">
        <f>E37+1</f>
        <v>2021</v>
      </c>
      <c r="G37" s="273">
        <f t="shared" ref="G37:AI37" si="12">F37+1</f>
        <v>2022</v>
      </c>
      <c r="H37" s="273">
        <f t="shared" si="12"/>
        <v>2023</v>
      </c>
      <c r="I37" s="273">
        <f t="shared" si="12"/>
        <v>2024</v>
      </c>
      <c r="J37" s="273">
        <f t="shared" si="12"/>
        <v>2025</v>
      </c>
      <c r="K37" s="273">
        <f t="shared" si="12"/>
        <v>2026</v>
      </c>
      <c r="L37" s="273">
        <f t="shared" si="12"/>
        <v>2027</v>
      </c>
      <c r="M37" s="273">
        <f t="shared" si="12"/>
        <v>2028</v>
      </c>
      <c r="N37" s="273">
        <f t="shared" si="12"/>
        <v>2029</v>
      </c>
      <c r="O37" s="273">
        <f t="shared" si="12"/>
        <v>2030</v>
      </c>
      <c r="P37" s="273">
        <f t="shared" si="12"/>
        <v>2031</v>
      </c>
      <c r="Q37" s="273">
        <f t="shared" si="12"/>
        <v>2032</v>
      </c>
      <c r="R37" s="273">
        <f t="shared" si="12"/>
        <v>2033</v>
      </c>
      <c r="S37" s="273">
        <f t="shared" si="12"/>
        <v>2034</v>
      </c>
      <c r="T37" s="273">
        <f t="shared" si="12"/>
        <v>2035</v>
      </c>
      <c r="U37" s="273">
        <f t="shared" si="12"/>
        <v>2036</v>
      </c>
      <c r="V37" s="273">
        <f t="shared" si="12"/>
        <v>2037</v>
      </c>
      <c r="W37" s="273">
        <f t="shared" si="12"/>
        <v>2038</v>
      </c>
      <c r="X37" s="273">
        <f t="shared" si="12"/>
        <v>2039</v>
      </c>
      <c r="Y37" s="273">
        <f t="shared" si="12"/>
        <v>2040</v>
      </c>
      <c r="Z37" s="273">
        <f t="shared" si="12"/>
        <v>2041</v>
      </c>
      <c r="AA37" s="273">
        <f t="shared" si="12"/>
        <v>2042</v>
      </c>
      <c r="AB37" s="273">
        <f>AA37+1</f>
        <v>2043</v>
      </c>
      <c r="AC37" s="273">
        <f t="shared" si="12"/>
        <v>2044</v>
      </c>
      <c r="AD37" s="273">
        <f t="shared" si="12"/>
        <v>2045</v>
      </c>
      <c r="AE37" s="273">
        <f t="shared" si="12"/>
        <v>2046</v>
      </c>
      <c r="AF37" s="273">
        <f t="shared" si="12"/>
        <v>2047</v>
      </c>
      <c r="AG37" s="273">
        <f t="shared" si="12"/>
        <v>2048</v>
      </c>
      <c r="AH37" s="273">
        <f t="shared" si="12"/>
        <v>2049</v>
      </c>
      <c r="AI37" s="273">
        <f t="shared" si="12"/>
        <v>2050</v>
      </c>
    </row>
    <row r="38" spans="1:35">
      <c r="A38" s="310"/>
      <c r="B38" t="s">
        <v>309</v>
      </c>
      <c r="C38" t="s">
        <v>1746</v>
      </c>
      <c r="D38" t="s">
        <v>474</v>
      </c>
      <c r="E38" s="168">
        <f>D3</f>
        <v>0.99650473690303254</v>
      </c>
      <c r="F38" s="168">
        <f>-($E38-$AI38)/30+E38</f>
        <v>0.98316980338329352</v>
      </c>
      <c r="G38" s="168">
        <f t="shared" ref="G38:AH58" si="13">-($E38-$AI38)/30+F38</f>
        <v>0.96983486986355449</v>
      </c>
      <c r="H38" s="168">
        <f t="shared" si="13"/>
        <v>0.95649993634381547</v>
      </c>
      <c r="I38" s="168">
        <f t="shared" si="13"/>
        <v>0.94316500282407645</v>
      </c>
      <c r="J38" s="168">
        <f t="shared" si="13"/>
        <v>0.92983006930433743</v>
      </c>
      <c r="K38" s="168">
        <f t="shared" si="13"/>
        <v>0.9164951357845984</v>
      </c>
      <c r="L38" s="168">
        <f t="shared" si="13"/>
        <v>0.90316020226485938</v>
      </c>
      <c r="M38" s="168">
        <f t="shared" si="13"/>
        <v>0.88982526874512036</v>
      </c>
      <c r="N38" s="168">
        <f t="shared" si="13"/>
        <v>0.87649033522538133</v>
      </c>
      <c r="O38" s="168">
        <f t="shared" si="13"/>
        <v>0.86315540170564231</v>
      </c>
      <c r="P38" s="168">
        <f t="shared" si="13"/>
        <v>0.84982046818590329</v>
      </c>
      <c r="Q38" s="168">
        <f t="shared" si="13"/>
        <v>0.83648553466616427</v>
      </c>
      <c r="R38" s="168">
        <f t="shared" si="13"/>
        <v>0.82315060114642524</v>
      </c>
      <c r="S38" s="168">
        <f t="shared" si="13"/>
        <v>0.80981566762668622</v>
      </c>
      <c r="T38" s="168">
        <f t="shared" si="13"/>
        <v>0.7964807341069472</v>
      </c>
      <c r="U38" s="168">
        <f t="shared" si="13"/>
        <v>0.78314580058720817</v>
      </c>
      <c r="V38" s="168">
        <f t="shared" si="13"/>
        <v>0.76981086706746915</v>
      </c>
      <c r="W38" s="168">
        <f t="shared" si="13"/>
        <v>0.75647593354773013</v>
      </c>
      <c r="X38" s="168">
        <f t="shared" si="13"/>
        <v>0.74314100002799111</v>
      </c>
      <c r="Y38" s="168">
        <f t="shared" si="13"/>
        <v>0.72980606650825208</v>
      </c>
      <c r="Z38" s="168">
        <f t="shared" si="13"/>
        <v>0.71647113298851306</v>
      </c>
      <c r="AA38" s="168">
        <f t="shared" si="13"/>
        <v>0.70313619946877404</v>
      </c>
      <c r="AB38" s="168">
        <f t="shared" si="13"/>
        <v>0.68980126594903501</v>
      </c>
      <c r="AC38" s="168">
        <f t="shared" si="13"/>
        <v>0.67646633242929599</v>
      </c>
      <c r="AD38" s="168">
        <f t="shared" si="13"/>
        <v>0.66313139890955697</v>
      </c>
      <c r="AE38" s="168">
        <f t="shared" si="13"/>
        <v>0.64979646538981795</v>
      </c>
      <c r="AF38" s="168">
        <f t="shared" si="13"/>
        <v>0.63646153187007892</v>
      </c>
      <c r="AG38" s="168">
        <f t="shared" si="13"/>
        <v>0.6231265983503399</v>
      </c>
      <c r="AH38" s="168">
        <f t="shared" si="13"/>
        <v>0.60979166483060088</v>
      </c>
      <c r="AI38" s="168">
        <f>N3</f>
        <v>0.59645673131086063</v>
      </c>
    </row>
    <row r="39" spans="1:35">
      <c r="A39" s="310"/>
      <c r="B39" t="s">
        <v>309</v>
      </c>
      <c r="C39" t="s">
        <v>1746</v>
      </c>
      <c r="D39" t="s">
        <v>478</v>
      </c>
      <c r="E39" s="168">
        <f>D4</f>
        <v>3.4952630969674104E-3</v>
      </c>
      <c r="F39" s="168">
        <f>-($E39-$AI39)/30+E39</f>
        <v>1.4136078919419853E-2</v>
      </c>
      <c r="G39" s="168">
        <f t="shared" ref="G39" si="14">-($E39-$AI39)/30+F39</f>
        <v>2.4776894741872293E-2</v>
      </c>
      <c r="H39" s="168">
        <f t="shared" ref="H39" si="15">-($E39-$AI39)/30+G39</f>
        <v>3.5417710564324738E-2</v>
      </c>
      <c r="I39" s="168">
        <f t="shared" ref="I39" si="16">-($E39-$AI39)/30+H39</f>
        <v>4.6058526386777182E-2</v>
      </c>
      <c r="J39" s="168">
        <f t="shared" ref="J39" si="17">-($E39-$AI39)/30+I39</f>
        <v>5.6699342209229626E-2</v>
      </c>
      <c r="K39" s="168">
        <f t="shared" ref="K39" si="18">-($E39-$AI39)/30+J39</f>
        <v>6.7340158031682071E-2</v>
      </c>
      <c r="L39" s="168">
        <f t="shared" ref="L39" si="19">-($E39-$AI39)/30+K39</f>
        <v>7.7980973854134508E-2</v>
      </c>
      <c r="M39" s="168">
        <f t="shared" ref="M39" si="20">-($E39-$AI39)/30+L39</f>
        <v>8.8621789676586946E-2</v>
      </c>
      <c r="N39" s="168">
        <f t="shared" ref="N39" si="21">-($E39-$AI39)/30+M39</f>
        <v>9.9262605499039383E-2</v>
      </c>
      <c r="O39" s="168">
        <f t="shared" ref="O39" si="22">-($E39-$AI39)/30+N39</f>
        <v>0.10990342132149182</v>
      </c>
      <c r="P39" s="168">
        <f t="shared" ref="P39" si="23">-($E39-$AI39)/30+O39</f>
        <v>0.12054423714394426</v>
      </c>
      <c r="Q39" s="168">
        <f t="shared" ref="Q39" si="24">-($E39-$AI39)/30+P39</f>
        <v>0.13118505296639671</v>
      </c>
      <c r="R39" s="168">
        <f t="shared" ref="R39" si="25">-($E39-$AI39)/30+Q39</f>
        <v>0.14182586878884915</v>
      </c>
      <c r="S39" s="168">
        <f t="shared" ref="S39" si="26">-($E39-$AI39)/30+R39</f>
        <v>0.15246668461130158</v>
      </c>
      <c r="T39" s="168">
        <f t="shared" ref="T39" si="27">-($E39-$AI39)/30+S39</f>
        <v>0.16310750043375402</v>
      </c>
      <c r="U39" s="168">
        <f t="shared" ref="U39" si="28">-($E39-$AI39)/30+T39</f>
        <v>0.17374831625620646</v>
      </c>
      <c r="V39" s="168">
        <f t="shared" ref="V39" si="29">-($E39-$AI39)/30+U39</f>
        <v>0.1843891320786589</v>
      </c>
      <c r="W39" s="168">
        <f t="shared" ref="W39" si="30">-($E39-$AI39)/30+V39</f>
        <v>0.19502994790111133</v>
      </c>
      <c r="X39" s="168">
        <f t="shared" ref="X39" si="31">-($E39-$AI39)/30+W39</f>
        <v>0.20567076372356377</v>
      </c>
      <c r="Y39" s="168">
        <f t="shared" ref="Y39" si="32">-($E39-$AI39)/30+X39</f>
        <v>0.21631157954601621</v>
      </c>
      <c r="Z39" s="168">
        <f t="shared" ref="Z39" si="33">-($E39-$AI39)/30+Y39</f>
        <v>0.22695239536846865</v>
      </c>
      <c r="AA39" s="168">
        <f t="shared" ref="AA39" si="34">-($E39-$AI39)/30+Z39</f>
        <v>0.23759321119092108</v>
      </c>
      <c r="AB39" s="168">
        <f t="shared" ref="AB39" si="35">-($E39-$AI39)/30+AA39</f>
        <v>0.24823402701337352</v>
      </c>
      <c r="AC39" s="168">
        <f t="shared" ref="AC39" si="36">-($E39-$AI39)/30+AB39</f>
        <v>0.25887484283582596</v>
      </c>
      <c r="AD39" s="168">
        <f t="shared" ref="AD39" si="37">-($E39-$AI39)/30+AC39</f>
        <v>0.26951565865827842</v>
      </c>
      <c r="AE39" s="168">
        <f t="shared" ref="AE39" si="38">-($E39-$AI39)/30+AD39</f>
        <v>0.28015647448073089</v>
      </c>
      <c r="AF39" s="168">
        <f t="shared" ref="AF39" si="39">-($E39-$AI39)/30+AE39</f>
        <v>0.29079729030318335</v>
      </c>
      <c r="AG39" s="168">
        <f t="shared" ref="AG39" si="40">-($E39-$AI39)/30+AF39</f>
        <v>0.30143810612563582</v>
      </c>
      <c r="AH39" s="168">
        <f t="shared" ref="AH39" si="41">-($E39-$AI39)/30+AG39</f>
        <v>0.31207892194808828</v>
      </c>
      <c r="AI39" s="168">
        <f>N4</f>
        <v>0.32271973777054069</v>
      </c>
    </row>
    <row r="40" spans="1:35">
      <c r="A40" s="310"/>
      <c r="B40" t="s">
        <v>309</v>
      </c>
      <c r="C40" t="s">
        <v>1746</v>
      </c>
      <c r="D40" t="s">
        <v>745</v>
      </c>
      <c r="E40" s="168">
        <f>D5</f>
        <v>0</v>
      </c>
      <c r="F40" s="168">
        <f t="shared" ref="F40:U60" si="42">-($E40-$AI40)/30+E40</f>
        <v>2.4801821613036536E-3</v>
      </c>
      <c r="G40" s="168">
        <f t="shared" si="42"/>
        <v>4.9603643226073073E-3</v>
      </c>
      <c r="H40" s="168">
        <f t="shared" si="42"/>
        <v>7.4405464839109609E-3</v>
      </c>
      <c r="I40" s="168">
        <f t="shared" si="42"/>
        <v>9.9207286452146146E-3</v>
      </c>
      <c r="J40" s="168">
        <f t="shared" si="42"/>
        <v>1.2400910806518268E-2</v>
      </c>
      <c r="K40" s="168">
        <f t="shared" si="42"/>
        <v>1.4881092967821922E-2</v>
      </c>
      <c r="L40" s="168">
        <f t="shared" si="42"/>
        <v>1.7361275129125574E-2</v>
      </c>
      <c r="M40" s="168">
        <f t="shared" si="42"/>
        <v>1.9841457290429229E-2</v>
      </c>
      <c r="N40" s="168">
        <f t="shared" si="42"/>
        <v>2.2321639451732884E-2</v>
      </c>
      <c r="O40" s="168">
        <f t="shared" si="42"/>
        <v>2.480182161303654E-2</v>
      </c>
      <c r="P40" s="168">
        <f t="shared" si="42"/>
        <v>2.7282003774340195E-2</v>
      </c>
      <c r="Q40" s="168">
        <f t="shared" si="42"/>
        <v>2.9762185935643851E-2</v>
      </c>
      <c r="R40" s="168">
        <f t="shared" si="42"/>
        <v>3.2242368096947506E-2</v>
      </c>
      <c r="S40" s="168">
        <f t="shared" si="42"/>
        <v>3.4722550258251161E-2</v>
      </c>
      <c r="T40" s="168">
        <f t="shared" si="42"/>
        <v>3.7202732419554817E-2</v>
      </c>
      <c r="U40" s="168">
        <f t="shared" si="42"/>
        <v>3.9682914580858472E-2</v>
      </c>
      <c r="V40" s="168">
        <f t="shared" si="13"/>
        <v>4.2163096742162127E-2</v>
      </c>
      <c r="W40" s="168">
        <f t="shared" si="13"/>
        <v>4.4643278903465783E-2</v>
      </c>
      <c r="X40" s="168">
        <f t="shared" si="13"/>
        <v>4.7123461064769438E-2</v>
      </c>
      <c r="Y40" s="168">
        <f t="shared" si="13"/>
        <v>4.9603643226073094E-2</v>
      </c>
      <c r="Z40" s="168">
        <f t="shared" si="13"/>
        <v>5.2083825387376749E-2</v>
      </c>
      <c r="AA40" s="168">
        <f t="shared" si="13"/>
        <v>5.4564007548680404E-2</v>
      </c>
      <c r="AB40" s="168">
        <f t="shared" si="13"/>
        <v>5.704418970998406E-2</v>
      </c>
      <c r="AC40" s="168">
        <f t="shared" si="13"/>
        <v>5.9524371871287715E-2</v>
      </c>
      <c r="AD40" s="168">
        <f t="shared" si="13"/>
        <v>6.200455403259137E-2</v>
      </c>
      <c r="AE40" s="168">
        <f t="shared" si="13"/>
        <v>6.4484736193895026E-2</v>
      </c>
      <c r="AF40" s="168">
        <f t="shared" si="13"/>
        <v>6.6964918355198674E-2</v>
      </c>
      <c r="AG40" s="168">
        <f t="shared" si="13"/>
        <v>6.9445100516502323E-2</v>
      </c>
      <c r="AH40" s="168">
        <f t="shared" si="13"/>
        <v>7.1925282677805971E-2</v>
      </c>
      <c r="AI40" s="168">
        <f>N5</f>
        <v>7.4405464839109606E-2</v>
      </c>
    </row>
    <row r="41" spans="1:35">
      <c r="A41" s="310"/>
      <c r="B41" t="s">
        <v>309</v>
      </c>
      <c r="C41" t="s">
        <v>1746</v>
      </c>
      <c r="D41" t="s">
        <v>248</v>
      </c>
      <c r="E41" s="168">
        <f>D6</f>
        <v>0</v>
      </c>
      <c r="F41" s="168">
        <f t="shared" si="42"/>
        <v>2.1393553598297266E-4</v>
      </c>
      <c r="G41" s="168">
        <f t="shared" si="42"/>
        <v>4.2787107196594533E-4</v>
      </c>
      <c r="H41" s="168">
        <f t="shared" si="42"/>
        <v>6.4180660794891796E-4</v>
      </c>
      <c r="I41" s="168">
        <f t="shared" si="42"/>
        <v>8.5574214393189065E-4</v>
      </c>
      <c r="J41" s="168">
        <f t="shared" si="42"/>
        <v>1.0696776799148633E-3</v>
      </c>
      <c r="K41" s="168">
        <f t="shared" si="42"/>
        <v>1.2836132158978359E-3</v>
      </c>
      <c r="L41" s="168">
        <f t="shared" si="42"/>
        <v>1.4975487518808085E-3</v>
      </c>
      <c r="M41" s="168">
        <f t="shared" si="42"/>
        <v>1.7114842878637811E-3</v>
      </c>
      <c r="N41" s="168">
        <f t="shared" si="42"/>
        <v>1.9254198238467537E-3</v>
      </c>
      <c r="O41" s="168">
        <f t="shared" si="42"/>
        <v>2.1393553598297262E-3</v>
      </c>
      <c r="P41" s="168">
        <f t="shared" si="42"/>
        <v>2.3532908958126988E-3</v>
      </c>
      <c r="Q41" s="168">
        <f t="shared" si="42"/>
        <v>2.5672264317956714E-3</v>
      </c>
      <c r="R41" s="168">
        <f t="shared" si="42"/>
        <v>2.781161967778644E-3</v>
      </c>
      <c r="S41" s="168">
        <f t="shared" si="42"/>
        <v>2.9950975037616166E-3</v>
      </c>
      <c r="T41" s="168">
        <f t="shared" si="42"/>
        <v>3.2090330397445892E-3</v>
      </c>
      <c r="U41" s="168">
        <f t="shared" si="42"/>
        <v>3.4229685757275617E-3</v>
      </c>
      <c r="V41" s="168">
        <f t="shared" si="13"/>
        <v>3.6369041117105343E-3</v>
      </c>
      <c r="W41" s="168">
        <f t="shared" si="13"/>
        <v>3.8508396476935069E-3</v>
      </c>
      <c r="X41" s="168">
        <f t="shared" si="13"/>
        <v>4.0647751836764799E-3</v>
      </c>
      <c r="Y41" s="168">
        <f t="shared" si="13"/>
        <v>4.2787107196594525E-3</v>
      </c>
      <c r="Z41" s="168">
        <f t="shared" si="13"/>
        <v>4.4926462556424251E-3</v>
      </c>
      <c r="AA41" s="168">
        <f t="shared" si="13"/>
        <v>4.7065817916253977E-3</v>
      </c>
      <c r="AB41" s="168">
        <f t="shared" si="13"/>
        <v>4.9205173276083702E-3</v>
      </c>
      <c r="AC41" s="168">
        <f t="shared" si="13"/>
        <v>5.1344528635913428E-3</v>
      </c>
      <c r="AD41" s="168">
        <f t="shared" si="13"/>
        <v>5.3483883995743154E-3</v>
      </c>
      <c r="AE41" s="168">
        <f t="shared" si="13"/>
        <v>5.562323935557288E-3</v>
      </c>
      <c r="AF41" s="168">
        <f t="shared" si="13"/>
        <v>5.7762594715402606E-3</v>
      </c>
      <c r="AG41" s="168">
        <f t="shared" si="13"/>
        <v>5.9901950075232331E-3</v>
      </c>
      <c r="AH41" s="168">
        <f t="shared" si="13"/>
        <v>6.2041305435062057E-3</v>
      </c>
      <c r="AI41" s="168">
        <f>N6</f>
        <v>6.41806607948918E-3</v>
      </c>
    </row>
    <row r="42" spans="1:35" s="67" customFormat="1">
      <c r="A42" s="307"/>
      <c r="B42" s="67" t="s">
        <v>309</v>
      </c>
      <c r="C42" s="67" t="s">
        <v>1747</v>
      </c>
      <c r="D42" t="s">
        <v>474</v>
      </c>
      <c r="E42" s="201">
        <f>E3</f>
        <v>0.99650473690303254</v>
      </c>
      <c r="F42" s="201">
        <f t="shared" si="42"/>
        <v>0.98316980338329352</v>
      </c>
      <c r="G42" s="201">
        <f t="shared" si="42"/>
        <v>0.96983486986355449</v>
      </c>
      <c r="H42" s="201">
        <f t="shared" si="42"/>
        <v>0.95649993634381547</v>
      </c>
      <c r="I42" s="201">
        <f t="shared" si="42"/>
        <v>0.94316500282407645</v>
      </c>
      <c r="J42" s="201">
        <f t="shared" si="42"/>
        <v>0.92983006930433743</v>
      </c>
      <c r="K42" s="201">
        <f t="shared" si="42"/>
        <v>0.9164951357845984</v>
      </c>
      <c r="L42" s="201">
        <f t="shared" si="42"/>
        <v>0.90316020226485938</v>
      </c>
      <c r="M42" s="201">
        <f t="shared" si="42"/>
        <v>0.88982526874512036</v>
      </c>
      <c r="N42" s="201">
        <f t="shared" si="42"/>
        <v>0.87649033522538133</v>
      </c>
      <c r="O42" s="201">
        <f t="shared" si="42"/>
        <v>0.86315540170564231</v>
      </c>
      <c r="P42" s="201">
        <f t="shared" si="42"/>
        <v>0.84982046818590329</v>
      </c>
      <c r="Q42" s="201">
        <f t="shared" si="42"/>
        <v>0.83648553466616427</v>
      </c>
      <c r="R42" s="201">
        <f t="shared" si="42"/>
        <v>0.82315060114642524</v>
      </c>
      <c r="S42" s="201">
        <f t="shared" si="42"/>
        <v>0.80981566762668622</v>
      </c>
      <c r="T42" s="201">
        <f t="shared" si="42"/>
        <v>0.7964807341069472</v>
      </c>
      <c r="U42" s="201">
        <f t="shared" si="42"/>
        <v>0.78314580058720817</v>
      </c>
      <c r="V42" s="201">
        <f t="shared" si="13"/>
        <v>0.76981086706746915</v>
      </c>
      <c r="W42" s="201">
        <f t="shared" si="13"/>
        <v>0.75647593354773013</v>
      </c>
      <c r="X42" s="201">
        <f t="shared" si="13"/>
        <v>0.74314100002799111</v>
      </c>
      <c r="Y42" s="201">
        <f t="shared" si="13"/>
        <v>0.72980606650825208</v>
      </c>
      <c r="Z42" s="201">
        <f t="shared" si="13"/>
        <v>0.71647113298851306</v>
      </c>
      <c r="AA42" s="201">
        <f t="shared" si="13"/>
        <v>0.70313619946877404</v>
      </c>
      <c r="AB42" s="201">
        <f t="shared" si="13"/>
        <v>0.68980126594903501</v>
      </c>
      <c r="AC42" s="201">
        <f t="shared" si="13"/>
        <v>0.67646633242929599</v>
      </c>
      <c r="AD42" s="201">
        <f t="shared" si="13"/>
        <v>0.66313139890955697</v>
      </c>
      <c r="AE42" s="201">
        <f t="shared" si="13"/>
        <v>0.64979646538981795</v>
      </c>
      <c r="AF42" s="201">
        <f t="shared" si="13"/>
        <v>0.63646153187007892</v>
      </c>
      <c r="AG42" s="201">
        <f t="shared" si="13"/>
        <v>0.6231265983503399</v>
      </c>
      <c r="AH42" s="201">
        <f t="shared" si="13"/>
        <v>0.60979166483060088</v>
      </c>
      <c r="AI42" s="201">
        <f>O3</f>
        <v>0.59645673131086063</v>
      </c>
    </row>
    <row r="43" spans="1:35">
      <c r="A43" s="310"/>
      <c r="B43" s="67" t="s">
        <v>309</v>
      </c>
      <c r="C43" s="67" t="s">
        <v>1747</v>
      </c>
      <c r="D43" t="s">
        <v>478</v>
      </c>
      <c r="E43" s="201">
        <f>E4</f>
        <v>3.4952630969674104E-3</v>
      </c>
      <c r="F43" s="201">
        <f t="shared" ref="F43:U43" si="43">-($E43-$AI43)/30+E43</f>
        <v>1.4136078919419853E-2</v>
      </c>
      <c r="G43" s="201">
        <f t="shared" si="43"/>
        <v>2.4776894741872293E-2</v>
      </c>
      <c r="H43" s="201">
        <f t="shared" si="43"/>
        <v>3.5417710564324738E-2</v>
      </c>
      <c r="I43" s="201">
        <f t="shared" si="43"/>
        <v>4.6058526386777182E-2</v>
      </c>
      <c r="J43" s="201">
        <f t="shared" si="43"/>
        <v>5.6699342209229626E-2</v>
      </c>
      <c r="K43" s="201">
        <f t="shared" si="43"/>
        <v>6.7340158031682071E-2</v>
      </c>
      <c r="L43" s="201">
        <f t="shared" si="43"/>
        <v>7.7980973854134508E-2</v>
      </c>
      <c r="M43" s="201">
        <f t="shared" si="43"/>
        <v>8.8621789676586946E-2</v>
      </c>
      <c r="N43" s="201">
        <f t="shared" si="43"/>
        <v>9.9262605499039383E-2</v>
      </c>
      <c r="O43" s="201">
        <f t="shared" si="43"/>
        <v>0.10990342132149182</v>
      </c>
      <c r="P43" s="201">
        <f t="shared" si="43"/>
        <v>0.12054423714394426</v>
      </c>
      <c r="Q43" s="201">
        <f t="shared" si="43"/>
        <v>0.13118505296639671</v>
      </c>
      <c r="R43" s="201">
        <f t="shared" si="43"/>
        <v>0.14182586878884915</v>
      </c>
      <c r="S43" s="201">
        <f t="shared" si="43"/>
        <v>0.15246668461130158</v>
      </c>
      <c r="T43" s="201">
        <f t="shared" si="43"/>
        <v>0.16310750043375402</v>
      </c>
      <c r="U43" s="201">
        <f t="shared" si="43"/>
        <v>0.17374831625620646</v>
      </c>
      <c r="V43" s="201">
        <f t="shared" ref="V43" si="44">-($E43-$AI43)/30+U43</f>
        <v>0.1843891320786589</v>
      </c>
      <c r="W43" s="201">
        <f t="shared" ref="W43" si="45">-($E43-$AI43)/30+V43</f>
        <v>0.19502994790111133</v>
      </c>
      <c r="X43" s="201">
        <f t="shared" ref="X43" si="46">-($E43-$AI43)/30+W43</f>
        <v>0.20567076372356377</v>
      </c>
      <c r="Y43" s="201">
        <f t="shared" ref="Y43" si="47">-($E43-$AI43)/30+X43</f>
        <v>0.21631157954601621</v>
      </c>
      <c r="Z43" s="201">
        <f t="shared" ref="Z43" si="48">-($E43-$AI43)/30+Y43</f>
        <v>0.22695239536846865</v>
      </c>
      <c r="AA43" s="201">
        <f t="shared" ref="AA43" si="49">-($E43-$AI43)/30+Z43</f>
        <v>0.23759321119092108</v>
      </c>
      <c r="AB43" s="201">
        <f t="shared" ref="AB43" si="50">-($E43-$AI43)/30+AA43</f>
        <v>0.24823402701337352</v>
      </c>
      <c r="AC43" s="201">
        <f t="shared" ref="AC43" si="51">-($E43-$AI43)/30+AB43</f>
        <v>0.25887484283582596</v>
      </c>
      <c r="AD43" s="201">
        <f t="shared" ref="AD43" si="52">-($E43-$AI43)/30+AC43</f>
        <v>0.26951565865827842</v>
      </c>
      <c r="AE43" s="201">
        <f t="shared" ref="AE43" si="53">-($E43-$AI43)/30+AD43</f>
        <v>0.28015647448073089</v>
      </c>
      <c r="AF43" s="201">
        <f t="shared" ref="AF43" si="54">-($E43-$AI43)/30+AE43</f>
        <v>0.29079729030318335</v>
      </c>
      <c r="AG43" s="201">
        <f t="shared" ref="AG43" si="55">-($E43-$AI43)/30+AF43</f>
        <v>0.30143810612563582</v>
      </c>
      <c r="AH43" s="201">
        <f t="shared" ref="AH43" si="56">-($E43-$AI43)/30+AG43</f>
        <v>0.31207892194808828</v>
      </c>
      <c r="AI43" s="201">
        <f>O4</f>
        <v>0.32271973777054069</v>
      </c>
    </row>
    <row r="44" spans="1:35">
      <c r="A44" s="310"/>
      <c r="B44" t="s">
        <v>309</v>
      </c>
      <c r="C44" t="s">
        <v>1747</v>
      </c>
      <c r="D44" t="s">
        <v>745</v>
      </c>
      <c r="E44" s="168">
        <f>E5</f>
        <v>0</v>
      </c>
      <c r="F44" s="168">
        <f t="shared" si="42"/>
        <v>2.4801821613036536E-3</v>
      </c>
      <c r="G44" s="168">
        <f t="shared" si="42"/>
        <v>4.9603643226073073E-3</v>
      </c>
      <c r="H44" s="168">
        <f t="shared" si="42"/>
        <v>7.4405464839109609E-3</v>
      </c>
      <c r="I44" s="168">
        <f t="shared" si="42"/>
        <v>9.9207286452146146E-3</v>
      </c>
      <c r="J44" s="168">
        <f t="shared" si="42"/>
        <v>1.2400910806518268E-2</v>
      </c>
      <c r="K44" s="168">
        <f t="shared" si="42"/>
        <v>1.4881092967821922E-2</v>
      </c>
      <c r="L44" s="168">
        <f t="shared" si="42"/>
        <v>1.7361275129125574E-2</v>
      </c>
      <c r="M44" s="168">
        <f t="shared" si="42"/>
        <v>1.9841457290429229E-2</v>
      </c>
      <c r="N44" s="168">
        <f t="shared" si="42"/>
        <v>2.2321639451732884E-2</v>
      </c>
      <c r="O44" s="168">
        <f t="shared" si="42"/>
        <v>2.480182161303654E-2</v>
      </c>
      <c r="P44" s="168">
        <f t="shared" si="42"/>
        <v>2.7282003774340195E-2</v>
      </c>
      <c r="Q44" s="168">
        <f t="shared" si="42"/>
        <v>2.9762185935643851E-2</v>
      </c>
      <c r="R44" s="168">
        <f t="shared" si="42"/>
        <v>3.2242368096947506E-2</v>
      </c>
      <c r="S44" s="168">
        <f t="shared" si="42"/>
        <v>3.4722550258251161E-2</v>
      </c>
      <c r="T44" s="168">
        <f t="shared" si="42"/>
        <v>3.7202732419554817E-2</v>
      </c>
      <c r="U44" s="168">
        <f t="shared" si="42"/>
        <v>3.9682914580858472E-2</v>
      </c>
      <c r="V44" s="168">
        <f t="shared" si="13"/>
        <v>4.2163096742162127E-2</v>
      </c>
      <c r="W44" s="168">
        <f t="shared" si="13"/>
        <v>4.4643278903465783E-2</v>
      </c>
      <c r="X44" s="168">
        <f t="shared" si="13"/>
        <v>4.7123461064769438E-2</v>
      </c>
      <c r="Y44" s="168">
        <f t="shared" si="13"/>
        <v>4.9603643226073094E-2</v>
      </c>
      <c r="Z44" s="168">
        <f t="shared" si="13"/>
        <v>5.2083825387376749E-2</v>
      </c>
      <c r="AA44" s="168">
        <f t="shared" si="13"/>
        <v>5.4564007548680404E-2</v>
      </c>
      <c r="AB44" s="168">
        <f t="shared" si="13"/>
        <v>5.704418970998406E-2</v>
      </c>
      <c r="AC44" s="168">
        <f t="shared" si="13"/>
        <v>5.9524371871287715E-2</v>
      </c>
      <c r="AD44" s="168">
        <f t="shared" si="13"/>
        <v>6.200455403259137E-2</v>
      </c>
      <c r="AE44" s="168">
        <f t="shared" si="13"/>
        <v>6.4484736193895026E-2</v>
      </c>
      <c r="AF44" s="168">
        <f t="shared" si="13"/>
        <v>6.6964918355198674E-2</v>
      </c>
      <c r="AG44" s="168">
        <f t="shared" si="13"/>
        <v>6.9445100516502323E-2</v>
      </c>
      <c r="AH44" s="168">
        <f t="shared" si="13"/>
        <v>7.1925282677805971E-2</v>
      </c>
      <c r="AI44" s="168">
        <f>O5</f>
        <v>7.4405464839109606E-2</v>
      </c>
    </row>
    <row r="45" spans="1:35">
      <c r="A45" s="310"/>
      <c r="B45" t="s">
        <v>309</v>
      </c>
      <c r="C45" t="s">
        <v>1747</v>
      </c>
      <c r="D45" t="s">
        <v>248</v>
      </c>
      <c r="E45" s="168">
        <f>E6</f>
        <v>0</v>
      </c>
      <c r="F45" s="168">
        <f t="shared" si="42"/>
        <v>2.1393553598297266E-4</v>
      </c>
      <c r="G45" s="168">
        <f t="shared" si="42"/>
        <v>4.2787107196594533E-4</v>
      </c>
      <c r="H45" s="168">
        <f t="shared" si="42"/>
        <v>6.4180660794891796E-4</v>
      </c>
      <c r="I45" s="168">
        <f t="shared" si="42"/>
        <v>8.5574214393189065E-4</v>
      </c>
      <c r="J45" s="168">
        <f t="shared" si="42"/>
        <v>1.0696776799148633E-3</v>
      </c>
      <c r="K45" s="168">
        <f t="shared" si="42"/>
        <v>1.2836132158978359E-3</v>
      </c>
      <c r="L45" s="168">
        <f t="shared" si="42"/>
        <v>1.4975487518808085E-3</v>
      </c>
      <c r="M45" s="168">
        <f t="shared" si="42"/>
        <v>1.7114842878637811E-3</v>
      </c>
      <c r="N45" s="168">
        <f t="shared" si="42"/>
        <v>1.9254198238467537E-3</v>
      </c>
      <c r="O45" s="168">
        <f t="shared" si="42"/>
        <v>2.1393553598297262E-3</v>
      </c>
      <c r="P45" s="168">
        <f t="shared" si="42"/>
        <v>2.3532908958126988E-3</v>
      </c>
      <c r="Q45" s="168">
        <f t="shared" si="42"/>
        <v>2.5672264317956714E-3</v>
      </c>
      <c r="R45" s="168">
        <f t="shared" si="42"/>
        <v>2.781161967778644E-3</v>
      </c>
      <c r="S45" s="168">
        <f t="shared" si="42"/>
        <v>2.9950975037616166E-3</v>
      </c>
      <c r="T45" s="168">
        <f t="shared" si="42"/>
        <v>3.2090330397445892E-3</v>
      </c>
      <c r="U45" s="168">
        <f t="shared" si="42"/>
        <v>3.4229685757275617E-3</v>
      </c>
      <c r="V45" s="168">
        <f t="shared" si="13"/>
        <v>3.6369041117105343E-3</v>
      </c>
      <c r="W45" s="168">
        <f t="shared" si="13"/>
        <v>3.8508396476935069E-3</v>
      </c>
      <c r="X45" s="168">
        <f t="shared" si="13"/>
        <v>4.0647751836764799E-3</v>
      </c>
      <c r="Y45" s="168">
        <f t="shared" si="13"/>
        <v>4.2787107196594525E-3</v>
      </c>
      <c r="Z45" s="168">
        <f t="shared" si="13"/>
        <v>4.4926462556424251E-3</v>
      </c>
      <c r="AA45" s="168">
        <f t="shared" si="13"/>
        <v>4.7065817916253977E-3</v>
      </c>
      <c r="AB45" s="168">
        <f t="shared" si="13"/>
        <v>4.9205173276083702E-3</v>
      </c>
      <c r="AC45" s="168">
        <f t="shared" si="13"/>
        <v>5.1344528635913428E-3</v>
      </c>
      <c r="AD45" s="168">
        <f t="shared" si="13"/>
        <v>5.3483883995743154E-3</v>
      </c>
      <c r="AE45" s="168">
        <f t="shared" si="13"/>
        <v>5.562323935557288E-3</v>
      </c>
      <c r="AF45" s="168">
        <f t="shared" si="13"/>
        <v>5.7762594715402606E-3</v>
      </c>
      <c r="AG45" s="168">
        <f t="shared" si="13"/>
        <v>5.9901950075232331E-3</v>
      </c>
      <c r="AH45" s="168">
        <f t="shared" si="13"/>
        <v>6.2041305435062057E-3</v>
      </c>
      <c r="AI45" s="168">
        <f>O6</f>
        <v>6.41806607948918E-3</v>
      </c>
    </row>
    <row r="46" spans="1:35" s="67" customFormat="1">
      <c r="A46" s="307"/>
      <c r="B46" s="67" t="s">
        <v>309</v>
      </c>
      <c r="C46" s="67" t="s">
        <v>1748</v>
      </c>
      <c r="D46" t="s">
        <v>474</v>
      </c>
      <c r="E46" s="201">
        <f>F3</f>
        <v>0.99650473690303254</v>
      </c>
      <c r="F46" s="201">
        <f t="shared" si="42"/>
        <v>0.9632879123395981</v>
      </c>
      <c r="G46" s="201">
        <f t="shared" si="42"/>
        <v>0.93007108777616365</v>
      </c>
      <c r="H46" s="201">
        <f t="shared" si="42"/>
        <v>0.89685426321272921</v>
      </c>
      <c r="I46" s="201">
        <f t="shared" si="42"/>
        <v>0.86363743864929476</v>
      </c>
      <c r="J46" s="201">
        <f t="shared" si="42"/>
        <v>0.83042061408586032</v>
      </c>
      <c r="K46" s="201">
        <f t="shared" si="42"/>
        <v>0.79720378952242588</v>
      </c>
      <c r="L46" s="201">
        <f t="shared" si="42"/>
        <v>0.76398696495899143</v>
      </c>
      <c r="M46" s="201">
        <f t="shared" si="42"/>
        <v>0.73077014039555699</v>
      </c>
      <c r="N46" s="201">
        <f t="shared" si="42"/>
        <v>0.69755331583212254</v>
      </c>
      <c r="O46" s="201">
        <f t="shared" si="42"/>
        <v>0.6643364912686881</v>
      </c>
      <c r="P46" s="201">
        <f t="shared" si="42"/>
        <v>0.63111966670525366</v>
      </c>
      <c r="Q46" s="201">
        <f t="shared" si="42"/>
        <v>0.59790284214181921</v>
      </c>
      <c r="R46" s="201">
        <f t="shared" si="42"/>
        <v>0.56468601757838477</v>
      </c>
      <c r="S46" s="201">
        <f t="shared" si="42"/>
        <v>0.53146919301495033</v>
      </c>
      <c r="T46" s="201">
        <f t="shared" si="42"/>
        <v>0.49825236845151588</v>
      </c>
      <c r="U46" s="201">
        <f t="shared" si="42"/>
        <v>0.46503554388808144</v>
      </c>
      <c r="V46" s="201">
        <f t="shared" si="13"/>
        <v>0.43181871932464699</v>
      </c>
      <c r="W46" s="201">
        <f t="shared" si="13"/>
        <v>0.39860189476121255</v>
      </c>
      <c r="X46" s="201">
        <f t="shared" si="13"/>
        <v>0.36538507019777811</v>
      </c>
      <c r="Y46" s="201">
        <f t="shared" si="13"/>
        <v>0.33216824563434366</v>
      </c>
      <c r="Z46" s="201">
        <f t="shared" si="13"/>
        <v>0.29895142107090922</v>
      </c>
      <c r="AA46" s="201">
        <f t="shared" si="13"/>
        <v>0.26573459650747477</v>
      </c>
      <c r="AB46" s="201">
        <f t="shared" si="13"/>
        <v>0.23251777194404036</v>
      </c>
      <c r="AC46" s="201">
        <f t="shared" si="13"/>
        <v>0.19930094738060594</v>
      </c>
      <c r="AD46" s="201">
        <f t="shared" si="13"/>
        <v>0.16608412281717153</v>
      </c>
      <c r="AE46" s="201">
        <f t="shared" si="13"/>
        <v>0.13286729825373711</v>
      </c>
      <c r="AF46" s="201">
        <f t="shared" si="13"/>
        <v>9.9650473690302693E-2</v>
      </c>
      <c r="AG46" s="201">
        <f t="shared" si="13"/>
        <v>6.6433649126868277E-2</v>
      </c>
      <c r="AH46" s="201">
        <f t="shared" si="13"/>
        <v>3.3216824563433861E-2</v>
      </c>
      <c r="AI46" s="201">
        <f>P3</f>
        <v>0</v>
      </c>
    </row>
    <row r="47" spans="1:35">
      <c r="A47" s="310"/>
      <c r="B47" s="67" t="s">
        <v>309</v>
      </c>
      <c r="C47" s="67" t="s">
        <v>1748</v>
      </c>
      <c r="D47" t="s">
        <v>478</v>
      </c>
      <c r="E47" s="201">
        <f>F4</f>
        <v>3.4952630969674104E-3</v>
      </c>
      <c r="F47" s="201">
        <f t="shared" ref="F47:U47" si="57">-($E47-$AI47)/30+E47</f>
        <v>3.3787543270684967E-3</v>
      </c>
      <c r="G47" s="201">
        <f t="shared" si="57"/>
        <v>3.262245557169583E-3</v>
      </c>
      <c r="H47" s="201">
        <f t="shared" si="57"/>
        <v>3.1457367872706693E-3</v>
      </c>
      <c r="I47" s="201">
        <f t="shared" si="57"/>
        <v>3.0292280173717556E-3</v>
      </c>
      <c r="J47" s="201">
        <f t="shared" si="57"/>
        <v>2.9127192474728419E-3</v>
      </c>
      <c r="K47" s="201">
        <f t="shared" si="57"/>
        <v>2.7962104775739282E-3</v>
      </c>
      <c r="L47" s="201">
        <f t="shared" si="57"/>
        <v>2.6797017076750146E-3</v>
      </c>
      <c r="M47" s="201">
        <f t="shared" si="57"/>
        <v>2.5631929377761009E-3</v>
      </c>
      <c r="N47" s="201">
        <f t="shared" si="57"/>
        <v>2.4466841678771872E-3</v>
      </c>
      <c r="O47" s="201">
        <f t="shared" si="57"/>
        <v>2.3301753979782735E-3</v>
      </c>
      <c r="P47" s="201">
        <f t="shared" si="57"/>
        <v>2.2136666280793598E-3</v>
      </c>
      <c r="Q47" s="201">
        <f t="shared" si="57"/>
        <v>2.0971578581804461E-3</v>
      </c>
      <c r="R47" s="201">
        <f t="shared" si="57"/>
        <v>1.9806490882815324E-3</v>
      </c>
      <c r="S47" s="201">
        <f t="shared" si="57"/>
        <v>1.8641403183826187E-3</v>
      </c>
      <c r="T47" s="201">
        <f t="shared" si="57"/>
        <v>1.747631548483705E-3</v>
      </c>
      <c r="U47" s="201">
        <f t="shared" si="57"/>
        <v>1.6311227785847913E-3</v>
      </c>
      <c r="V47" s="201">
        <f t="shared" ref="V47" si="58">-($E47-$AI47)/30+U47</f>
        <v>1.5146140086858776E-3</v>
      </c>
      <c r="W47" s="201">
        <f t="shared" ref="W47" si="59">-($E47-$AI47)/30+V47</f>
        <v>1.3981052387869639E-3</v>
      </c>
      <c r="X47" s="201">
        <f t="shared" ref="X47" si="60">-($E47-$AI47)/30+W47</f>
        <v>1.2815964688880502E-3</v>
      </c>
      <c r="Y47" s="201">
        <f t="shared" ref="Y47" si="61">-($E47-$AI47)/30+X47</f>
        <v>1.1650876989891365E-3</v>
      </c>
      <c r="Z47" s="201">
        <f t="shared" ref="Z47" si="62">-($E47-$AI47)/30+Y47</f>
        <v>1.0485789290902228E-3</v>
      </c>
      <c r="AA47" s="201">
        <f t="shared" ref="AA47" si="63">-($E47-$AI47)/30+Z47</f>
        <v>9.3207015919130913E-4</v>
      </c>
      <c r="AB47" s="201">
        <f t="shared" ref="AB47" si="64">-($E47-$AI47)/30+AA47</f>
        <v>8.1556138929239543E-4</v>
      </c>
      <c r="AC47" s="201">
        <f t="shared" ref="AC47" si="65">-($E47-$AI47)/30+AB47</f>
        <v>6.9905261939348174E-4</v>
      </c>
      <c r="AD47" s="201">
        <f t="shared" ref="AD47" si="66">-($E47-$AI47)/30+AC47</f>
        <v>5.8254384949456804E-4</v>
      </c>
      <c r="AE47" s="201">
        <f t="shared" ref="AE47" si="67">-($E47-$AI47)/30+AD47</f>
        <v>4.6603507959565435E-4</v>
      </c>
      <c r="AF47" s="201">
        <f t="shared" ref="AF47" si="68">-($E47-$AI47)/30+AE47</f>
        <v>3.4952630969674065E-4</v>
      </c>
      <c r="AG47" s="201">
        <f t="shared" ref="AG47" si="69">-($E47-$AI47)/30+AF47</f>
        <v>2.3301753979782696E-4</v>
      </c>
      <c r="AH47" s="201">
        <f t="shared" ref="AH47" si="70">-($E47-$AI47)/30+AG47</f>
        <v>1.1650876989891327E-4</v>
      </c>
      <c r="AI47" s="201">
        <f>P4</f>
        <v>0</v>
      </c>
    </row>
    <row r="48" spans="1:35">
      <c r="A48" s="310"/>
      <c r="B48" t="s">
        <v>309</v>
      </c>
      <c r="C48" t="s">
        <v>1748</v>
      </c>
      <c r="D48" t="s">
        <v>745</v>
      </c>
      <c r="E48" s="168">
        <f>F5</f>
        <v>0</v>
      </c>
      <c r="F48" s="168">
        <f t="shared" si="42"/>
        <v>1.6666666666666666E-2</v>
      </c>
      <c r="G48" s="168">
        <f t="shared" si="42"/>
        <v>3.3333333333333333E-2</v>
      </c>
      <c r="H48" s="168">
        <f t="shared" si="42"/>
        <v>0.05</v>
      </c>
      <c r="I48" s="168">
        <f t="shared" si="42"/>
        <v>6.6666666666666666E-2</v>
      </c>
      <c r="J48" s="168">
        <f t="shared" si="42"/>
        <v>8.3333333333333329E-2</v>
      </c>
      <c r="K48" s="168">
        <f t="shared" si="42"/>
        <v>9.9999999999999992E-2</v>
      </c>
      <c r="L48" s="168">
        <f t="shared" si="42"/>
        <v>0.11666666666666665</v>
      </c>
      <c r="M48" s="168">
        <f t="shared" si="42"/>
        <v>0.13333333333333333</v>
      </c>
      <c r="N48" s="168">
        <f t="shared" si="42"/>
        <v>0.15</v>
      </c>
      <c r="O48" s="168">
        <f t="shared" si="42"/>
        <v>0.16666666666666666</v>
      </c>
      <c r="P48" s="168">
        <f t="shared" si="42"/>
        <v>0.18333333333333332</v>
      </c>
      <c r="Q48" s="168">
        <f t="shared" si="42"/>
        <v>0.19999999999999998</v>
      </c>
      <c r="R48" s="168">
        <f t="shared" si="42"/>
        <v>0.21666666666666665</v>
      </c>
      <c r="S48" s="168">
        <f t="shared" si="42"/>
        <v>0.23333333333333331</v>
      </c>
      <c r="T48" s="168">
        <f t="shared" si="42"/>
        <v>0.24999999999999997</v>
      </c>
      <c r="U48" s="168">
        <f t="shared" si="42"/>
        <v>0.26666666666666666</v>
      </c>
      <c r="V48" s="168">
        <f t="shared" si="13"/>
        <v>0.28333333333333333</v>
      </c>
      <c r="W48" s="168">
        <f t="shared" si="13"/>
        <v>0.3</v>
      </c>
      <c r="X48" s="168">
        <f t="shared" si="13"/>
        <v>0.31666666666666665</v>
      </c>
      <c r="Y48" s="168">
        <f t="shared" si="13"/>
        <v>0.33333333333333331</v>
      </c>
      <c r="Z48" s="168">
        <f t="shared" si="13"/>
        <v>0.35</v>
      </c>
      <c r="AA48" s="168">
        <f t="shared" si="13"/>
        <v>0.36666666666666664</v>
      </c>
      <c r="AB48" s="168">
        <f t="shared" si="13"/>
        <v>0.3833333333333333</v>
      </c>
      <c r="AC48" s="168">
        <f t="shared" si="13"/>
        <v>0.39999999999999997</v>
      </c>
      <c r="AD48" s="168">
        <f t="shared" si="13"/>
        <v>0.41666666666666663</v>
      </c>
      <c r="AE48" s="168">
        <f t="shared" si="13"/>
        <v>0.43333333333333329</v>
      </c>
      <c r="AF48" s="168">
        <f t="shared" si="13"/>
        <v>0.44999999999999996</v>
      </c>
      <c r="AG48" s="168">
        <f t="shared" si="13"/>
        <v>0.46666666666666662</v>
      </c>
      <c r="AH48" s="168">
        <f t="shared" si="13"/>
        <v>0.48333333333333328</v>
      </c>
      <c r="AI48" s="168">
        <f>P5</f>
        <v>0.5</v>
      </c>
    </row>
    <row r="49" spans="1:35">
      <c r="A49" s="310"/>
      <c r="B49" t="s">
        <v>309</v>
      </c>
      <c r="C49" t="s">
        <v>1748</v>
      </c>
      <c r="D49" t="s">
        <v>248</v>
      </c>
      <c r="E49" s="168">
        <f>F6</f>
        <v>0</v>
      </c>
      <c r="F49" s="168">
        <f t="shared" si="42"/>
        <v>1.6666666666666666E-2</v>
      </c>
      <c r="G49" s="168">
        <f t="shared" si="42"/>
        <v>3.3333333333333333E-2</v>
      </c>
      <c r="H49" s="168">
        <f t="shared" si="42"/>
        <v>0.05</v>
      </c>
      <c r="I49" s="168">
        <f t="shared" si="42"/>
        <v>6.6666666666666666E-2</v>
      </c>
      <c r="J49" s="168">
        <f t="shared" si="42"/>
        <v>8.3333333333333329E-2</v>
      </c>
      <c r="K49" s="168">
        <f t="shared" si="42"/>
        <v>9.9999999999999992E-2</v>
      </c>
      <c r="L49" s="168">
        <f t="shared" si="42"/>
        <v>0.11666666666666665</v>
      </c>
      <c r="M49" s="168">
        <f t="shared" si="42"/>
        <v>0.13333333333333333</v>
      </c>
      <c r="N49" s="168">
        <f t="shared" si="42"/>
        <v>0.15</v>
      </c>
      <c r="O49" s="168">
        <f t="shared" si="42"/>
        <v>0.16666666666666666</v>
      </c>
      <c r="P49" s="168">
        <f t="shared" si="42"/>
        <v>0.18333333333333332</v>
      </c>
      <c r="Q49" s="168">
        <f t="shared" si="42"/>
        <v>0.19999999999999998</v>
      </c>
      <c r="R49" s="168">
        <f t="shared" si="42"/>
        <v>0.21666666666666665</v>
      </c>
      <c r="S49" s="168">
        <f t="shared" si="42"/>
        <v>0.23333333333333331</v>
      </c>
      <c r="T49" s="168">
        <f t="shared" si="42"/>
        <v>0.24999999999999997</v>
      </c>
      <c r="U49" s="168">
        <f t="shared" si="42"/>
        <v>0.26666666666666666</v>
      </c>
      <c r="V49" s="168">
        <f t="shared" si="13"/>
        <v>0.28333333333333333</v>
      </c>
      <c r="W49" s="168">
        <f t="shared" si="13"/>
        <v>0.3</v>
      </c>
      <c r="X49" s="168">
        <f t="shared" si="13"/>
        <v>0.31666666666666665</v>
      </c>
      <c r="Y49" s="168">
        <f t="shared" si="13"/>
        <v>0.33333333333333331</v>
      </c>
      <c r="Z49" s="168">
        <f t="shared" si="13"/>
        <v>0.35</v>
      </c>
      <c r="AA49" s="168">
        <f t="shared" si="13"/>
        <v>0.36666666666666664</v>
      </c>
      <c r="AB49" s="168">
        <f t="shared" si="13"/>
        <v>0.3833333333333333</v>
      </c>
      <c r="AC49" s="168">
        <f t="shared" si="13"/>
        <v>0.39999999999999997</v>
      </c>
      <c r="AD49" s="168">
        <f t="shared" si="13"/>
        <v>0.41666666666666663</v>
      </c>
      <c r="AE49" s="168">
        <f t="shared" si="13"/>
        <v>0.43333333333333329</v>
      </c>
      <c r="AF49" s="168">
        <f t="shared" si="13"/>
        <v>0.44999999999999996</v>
      </c>
      <c r="AG49" s="168">
        <f t="shared" si="13"/>
        <v>0.46666666666666662</v>
      </c>
      <c r="AH49" s="168">
        <f t="shared" si="13"/>
        <v>0.48333333333333328</v>
      </c>
      <c r="AI49" s="168">
        <f>P6</f>
        <v>0.5</v>
      </c>
    </row>
    <row r="50" spans="1:35" s="67" customFormat="1">
      <c r="A50" s="307"/>
      <c r="B50" s="67" t="s">
        <v>309</v>
      </c>
      <c r="C50" s="67" t="s">
        <v>1749</v>
      </c>
      <c r="D50" t="s">
        <v>474</v>
      </c>
      <c r="E50" s="201">
        <f>G3</f>
        <v>0.99650473690303254</v>
      </c>
      <c r="F50" s="201">
        <f t="shared" si="42"/>
        <v>0.9632879123395981</v>
      </c>
      <c r="G50" s="201">
        <f t="shared" si="42"/>
        <v>0.93007108777616365</v>
      </c>
      <c r="H50" s="201">
        <f t="shared" si="42"/>
        <v>0.89685426321272921</v>
      </c>
      <c r="I50" s="201">
        <f t="shared" si="42"/>
        <v>0.86363743864929476</v>
      </c>
      <c r="J50" s="201">
        <f t="shared" si="42"/>
        <v>0.83042061408586032</v>
      </c>
      <c r="K50" s="201">
        <f t="shared" si="42"/>
        <v>0.79720378952242588</v>
      </c>
      <c r="L50" s="201">
        <f t="shared" si="42"/>
        <v>0.76398696495899143</v>
      </c>
      <c r="M50" s="201">
        <f t="shared" si="42"/>
        <v>0.73077014039555699</v>
      </c>
      <c r="N50" s="201">
        <f t="shared" si="42"/>
        <v>0.69755331583212254</v>
      </c>
      <c r="O50" s="201">
        <f t="shared" si="42"/>
        <v>0.6643364912686881</v>
      </c>
      <c r="P50" s="201">
        <f t="shared" si="42"/>
        <v>0.63111966670525366</v>
      </c>
      <c r="Q50" s="201">
        <f t="shared" si="42"/>
        <v>0.59790284214181921</v>
      </c>
      <c r="R50" s="201">
        <f t="shared" si="42"/>
        <v>0.56468601757838477</v>
      </c>
      <c r="S50" s="201">
        <f t="shared" si="42"/>
        <v>0.53146919301495033</v>
      </c>
      <c r="T50" s="201">
        <f t="shared" si="42"/>
        <v>0.49825236845151588</v>
      </c>
      <c r="U50" s="201">
        <f t="shared" si="42"/>
        <v>0.46503554388808144</v>
      </c>
      <c r="V50" s="201">
        <f t="shared" si="13"/>
        <v>0.43181871932464699</v>
      </c>
      <c r="W50" s="201">
        <f t="shared" si="13"/>
        <v>0.39860189476121255</v>
      </c>
      <c r="X50" s="201">
        <f t="shared" si="13"/>
        <v>0.36538507019777811</v>
      </c>
      <c r="Y50" s="201">
        <f t="shared" si="13"/>
        <v>0.33216824563434366</v>
      </c>
      <c r="Z50" s="201">
        <f t="shared" si="13"/>
        <v>0.29895142107090922</v>
      </c>
      <c r="AA50" s="201">
        <f t="shared" si="13"/>
        <v>0.26573459650747477</v>
      </c>
      <c r="AB50" s="201">
        <f t="shared" si="13"/>
        <v>0.23251777194404036</v>
      </c>
      <c r="AC50" s="201">
        <f t="shared" si="13"/>
        <v>0.19930094738060594</v>
      </c>
      <c r="AD50" s="201">
        <f t="shared" si="13"/>
        <v>0.16608412281717153</v>
      </c>
      <c r="AE50" s="201">
        <f t="shared" si="13"/>
        <v>0.13286729825373711</v>
      </c>
      <c r="AF50" s="201">
        <f t="shared" si="13"/>
        <v>9.9650473690302693E-2</v>
      </c>
      <c r="AG50" s="201">
        <f t="shared" si="13"/>
        <v>6.6433649126868277E-2</v>
      </c>
      <c r="AH50" s="201">
        <f t="shared" si="13"/>
        <v>3.3216824563433861E-2</v>
      </c>
      <c r="AI50" s="201">
        <f>Q3</f>
        <v>0</v>
      </c>
    </row>
    <row r="51" spans="1:35">
      <c r="A51" s="310"/>
      <c r="B51" s="67" t="s">
        <v>309</v>
      </c>
      <c r="C51" s="67" t="s">
        <v>1749</v>
      </c>
      <c r="D51" t="s">
        <v>478</v>
      </c>
      <c r="E51" s="201">
        <f>G4</f>
        <v>3.4952630969674104E-3</v>
      </c>
      <c r="F51" s="201">
        <f t="shared" ref="F51:U51" si="71">-($E51-$AI51)/30+E51</f>
        <v>3.3787543270684967E-3</v>
      </c>
      <c r="G51" s="201">
        <f t="shared" si="71"/>
        <v>3.262245557169583E-3</v>
      </c>
      <c r="H51" s="201">
        <f t="shared" si="71"/>
        <v>3.1457367872706693E-3</v>
      </c>
      <c r="I51" s="201">
        <f t="shared" si="71"/>
        <v>3.0292280173717556E-3</v>
      </c>
      <c r="J51" s="201">
        <f t="shared" si="71"/>
        <v>2.9127192474728419E-3</v>
      </c>
      <c r="K51" s="201">
        <f t="shared" si="71"/>
        <v>2.7962104775739282E-3</v>
      </c>
      <c r="L51" s="201">
        <f t="shared" si="71"/>
        <v>2.6797017076750146E-3</v>
      </c>
      <c r="M51" s="201">
        <f t="shared" si="71"/>
        <v>2.5631929377761009E-3</v>
      </c>
      <c r="N51" s="201">
        <f t="shared" si="71"/>
        <v>2.4466841678771872E-3</v>
      </c>
      <c r="O51" s="201">
        <f t="shared" si="71"/>
        <v>2.3301753979782735E-3</v>
      </c>
      <c r="P51" s="201">
        <f t="shared" si="71"/>
        <v>2.2136666280793598E-3</v>
      </c>
      <c r="Q51" s="201">
        <f t="shared" si="71"/>
        <v>2.0971578581804461E-3</v>
      </c>
      <c r="R51" s="201">
        <f t="shared" si="71"/>
        <v>1.9806490882815324E-3</v>
      </c>
      <c r="S51" s="201">
        <f t="shared" si="71"/>
        <v>1.8641403183826187E-3</v>
      </c>
      <c r="T51" s="201">
        <f t="shared" si="71"/>
        <v>1.747631548483705E-3</v>
      </c>
      <c r="U51" s="201">
        <f t="shared" si="71"/>
        <v>1.6311227785847913E-3</v>
      </c>
      <c r="V51" s="201">
        <f t="shared" ref="V51" si="72">-($E51-$AI51)/30+U51</f>
        <v>1.5146140086858776E-3</v>
      </c>
      <c r="W51" s="201">
        <f t="shared" ref="W51" si="73">-($E51-$AI51)/30+V51</f>
        <v>1.3981052387869639E-3</v>
      </c>
      <c r="X51" s="201">
        <f t="shared" ref="X51" si="74">-($E51-$AI51)/30+W51</f>
        <v>1.2815964688880502E-3</v>
      </c>
      <c r="Y51" s="201">
        <f t="shared" ref="Y51" si="75">-($E51-$AI51)/30+X51</f>
        <v>1.1650876989891365E-3</v>
      </c>
      <c r="Z51" s="201">
        <f t="shared" ref="Z51" si="76">-($E51-$AI51)/30+Y51</f>
        <v>1.0485789290902228E-3</v>
      </c>
      <c r="AA51" s="201">
        <f t="shared" ref="AA51" si="77">-($E51-$AI51)/30+Z51</f>
        <v>9.3207015919130913E-4</v>
      </c>
      <c r="AB51" s="201">
        <f t="shared" ref="AB51" si="78">-($E51-$AI51)/30+AA51</f>
        <v>8.1556138929239543E-4</v>
      </c>
      <c r="AC51" s="201">
        <f t="shared" ref="AC51" si="79">-($E51-$AI51)/30+AB51</f>
        <v>6.9905261939348174E-4</v>
      </c>
      <c r="AD51" s="201">
        <f t="shared" ref="AD51" si="80">-($E51-$AI51)/30+AC51</f>
        <v>5.8254384949456804E-4</v>
      </c>
      <c r="AE51" s="201">
        <f t="shared" ref="AE51" si="81">-($E51-$AI51)/30+AD51</f>
        <v>4.6603507959565435E-4</v>
      </c>
      <c r="AF51" s="201">
        <f t="shared" ref="AF51" si="82">-($E51-$AI51)/30+AE51</f>
        <v>3.4952630969674065E-4</v>
      </c>
      <c r="AG51" s="201">
        <f t="shared" ref="AG51" si="83">-($E51-$AI51)/30+AF51</f>
        <v>2.3301753979782696E-4</v>
      </c>
      <c r="AH51" s="201">
        <f t="shared" ref="AH51" si="84">-($E51-$AI51)/30+AG51</f>
        <v>1.1650876989891327E-4</v>
      </c>
      <c r="AI51" s="201">
        <f>Q4</f>
        <v>0</v>
      </c>
    </row>
    <row r="52" spans="1:35">
      <c r="A52" s="310"/>
      <c r="B52" t="s">
        <v>309</v>
      </c>
      <c r="C52" t="s">
        <v>1749</v>
      </c>
      <c r="D52" t="s">
        <v>745</v>
      </c>
      <c r="E52" s="168">
        <f>G5</f>
        <v>0</v>
      </c>
      <c r="F52" s="168">
        <f t="shared" si="42"/>
        <v>1.6666666666666666E-2</v>
      </c>
      <c r="G52" s="168">
        <f t="shared" si="42"/>
        <v>3.3333333333333333E-2</v>
      </c>
      <c r="H52" s="168">
        <f t="shared" si="42"/>
        <v>0.05</v>
      </c>
      <c r="I52" s="168">
        <f t="shared" si="42"/>
        <v>6.6666666666666666E-2</v>
      </c>
      <c r="J52" s="168">
        <f t="shared" si="42"/>
        <v>8.3333333333333329E-2</v>
      </c>
      <c r="K52" s="168">
        <f t="shared" si="42"/>
        <v>9.9999999999999992E-2</v>
      </c>
      <c r="L52" s="168">
        <f t="shared" si="42"/>
        <v>0.11666666666666665</v>
      </c>
      <c r="M52" s="168">
        <f t="shared" si="42"/>
        <v>0.13333333333333333</v>
      </c>
      <c r="N52" s="168">
        <f t="shared" si="42"/>
        <v>0.15</v>
      </c>
      <c r="O52" s="168">
        <f t="shared" si="42"/>
        <v>0.16666666666666666</v>
      </c>
      <c r="P52" s="168">
        <f t="shared" si="42"/>
        <v>0.18333333333333332</v>
      </c>
      <c r="Q52" s="168">
        <f t="shared" si="42"/>
        <v>0.19999999999999998</v>
      </c>
      <c r="R52" s="168">
        <f t="shared" si="42"/>
        <v>0.21666666666666665</v>
      </c>
      <c r="S52" s="168">
        <f t="shared" si="42"/>
        <v>0.23333333333333331</v>
      </c>
      <c r="T52" s="168">
        <f t="shared" si="42"/>
        <v>0.24999999999999997</v>
      </c>
      <c r="U52" s="168">
        <f t="shared" si="42"/>
        <v>0.26666666666666666</v>
      </c>
      <c r="V52" s="168">
        <f t="shared" si="13"/>
        <v>0.28333333333333333</v>
      </c>
      <c r="W52" s="168">
        <f t="shared" si="13"/>
        <v>0.3</v>
      </c>
      <c r="X52" s="168">
        <f t="shared" si="13"/>
        <v>0.31666666666666665</v>
      </c>
      <c r="Y52" s="168">
        <f t="shared" si="13"/>
        <v>0.33333333333333331</v>
      </c>
      <c r="Z52" s="168">
        <f t="shared" si="13"/>
        <v>0.35</v>
      </c>
      <c r="AA52" s="168">
        <f t="shared" si="13"/>
        <v>0.36666666666666664</v>
      </c>
      <c r="AB52" s="168">
        <f t="shared" si="13"/>
        <v>0.3833333333333333</v>
      </c>
      <c r="AC52" s="168">
        <f t="shared" si="13"/>
        <v>0.39999999999999997</v>
      </c>
      <c r="AD52" s="168">
        <f t="shared" si="13"/>
        <v>0.41666666666666663</v>
      </c>
      <c r="AE52" s="168">
        <f t="shared" si="13"/>
        <v>0.43333333333333329</v>
      </c>
      <c r="AF52" s="168">
        <f t="shared" si="13"/>
        <v>0.44999999999999996</v>
      </c>
      <c r="AG52" s="168">
        <f t="shared" si="13"/>
        <v>0.46666666666666662</v>
      </c>
      <c r="AH52" s="168">
        <f t="shared" si="13"/>
        <v>0.48333333333333328</v>
      </c>
      <c r="AI52" s="168">
        <f>Q5</f>
        <v>0.5</v>
      </c>
    </row>
    <row r="53" spans="1:35">
      <c r="A53" s="310"/>
      <c r="B53" t="s">
        <v>309</v>
      </c>
      <c r="C53" t="s">
        <v>1749</v>
      </c>
      <c r="D53" t="s">
        <v>248</v>
      </c>
      <c r="E53" s="168">
        <f>G6</f>
        <v>0</v>
      </c>
      <c r="F53" s="168">
        <f t="shared" si="42"/>
        <v>1.6666666666666666E-2</v>
      </c>
      <c r="G53" s="168">
        <f t="shared" si="42"/>
        <v>3.3333333333333333E-2</v>
      </c>
      <c r="H53" s="168">
        <f t="shared" si="42"/>
        <v>0.05</v>
      </c>
      <c r="I53" s="168">
        <f t="shared" si="42"/>
        <v>6.6666666666666666E-2</v>
      </c>
      <c r="J53" s="168">
        <f t="shared" si="42"/>
        <v>8.3333333333333329E-2</v>
      </c>
      <c r="K53" s="168">
        <f t="shared" si="42"/>
        <v>9.9999999999999992E-2</v>
      </c>
      <c r="L53" s="168">
        <f t="shared" si="42"/>
        <v>0.11666666666666665</v>
      </c>
      <c r="M53" s="168">
        <f t="shared" si="42"/>
        <v>0.13333333333333333</v>
      </c>
      <c r="N53" s="168">
        <f t="shared" si="42"/>
        <v>0.15</v>
      </c>
      <c r="O53" s="168">
        <f t="shared" si="42"/>
        <v>0.16666666666666666</v>
      </c>
      <c r="P53" s="168">
        <f t="shared" si="42"/>
        <v>0.18333333333333332</v>
      </c>
      <c r="Q53" s="168">
        <f t="shared" si="42"/>
        <v>0.19999999999999998</v>
      </c>
      <c r="R53" s="168">
        <f t="shared" si="42"/>
        <v>0.21666666666666665</v>
      </c>
      <c r="S53" s="168">
        <f t="shared" si="42"/>
        <v>0.23333333333333331</v>
      </c>
      <c r="T53" s="168">
        <f t="shared" si="42"/>
        <v>0.24999999999999997</v>
      </c>
      <c r="U53" s="168">
        <f t="shared" si="42"/>
        <v>0.26666666666666666</v>
      </c>
      <c r="V53" s="168">
        <f t="shared" si="13"/>
        <v>0.28333333333333333</v>
      </c>
      <c r="W53" s="168">
        <f t="shared" si="13"/>
        <v>0.3</v>
      </c>
      <c r="X53" s="168">
        <f t="shared" si="13"/>
        <v>0.31666666666666665</v>
      </c>
      <c r="Y53" s="168">
        <f t="shared" si="13"/>
        <v>0.33333333333333331</v>
      </c>
      <c r="Z53" s="168">
        <f t="shared" si="13"/>
        <v>0.35</v>
      </c>
      <c r="AA53" s="168">
        <f t="shared" si="13"/>
        <v>0.36666666666666664</v>
      </c>
      <c r="AB53" s="168">
        <f t="shared" si="13"/>
        <v>0.3833333333333333</v>
      </c>
      <c r="AC53" s="168">
        <f t="shared" si="13"/>
        <v>0.39999999999999997</v>
      </c>
      <c r="AD53" s="168">
        <f t="shared" si="13"/>
        <v>0.41666666666666663</v>
      </c>
      <c r="AE53" s="168">
        <f t="shared" si="13"/>
        <v>0.43333333333333329</v>
      </c>
      <c r="AF53" s="168">
        <f t="shared" si="13"/>
        <v>0.44999999999999996</v>
      </c>
      <c r="AG53" s="168">
        <f t="shared" si="13"/>
        <v>0.46666666666666662</v>
      </c>
      <c r="AH53" s="168">
        <f t="shared" si="13"/>
        <v>0.48333333333333328</v>
      </c>
      <c r="AI53" s="168">
        <f>Q6</f>
        <v>0.5</v>
      </c>
    </row>
    <row r="54" spans="1:35" s="67" customFormat="1">
      <c r="A54" s="307"/>
      <c r="B54" s="67" t="s">
        <v>309</v>
      </c>
      <c r="C54" s="67" t="s">
        <v>1750</v>
      </c>
      <c r="D54" t="s">
        <v>474</v>
      </c>
      <c r="E54" s="201">
        <f>H3</f>
        <v>0.99650473690303254</v>
      </c>
      <c r="F54" s="201">
        <f t="shared" si="42"/>
        <v>0.98316980338329352</v>
      </c>
      <c r="G54" s="201">
        <f t="shared" si="42"/>
        <v>0.96983486986355449</v>
      </c>
      <c r="H54" s="201">
        <f t="shared" si="42"/>
        <v>0.95649993634381547</v>
      </c>
      <c r="I54" s="201">
        <f t="shared" si="42"/>
        <v>0.94316500282407645</v>
      </c>
      <c r="J54" s="201">
        <f t="shared" si="42"/>
        <v>0.92983006930433743</v>
      </c>
      <c r="K54" s="201">
        <f t="shared" si="42"/>
        <v>0.9164951357845984</v>
      </c>
      <c r="L54" s="201">
        <f t="shared" si="42"/>
        <v>0.90316020226485938</v>
      </c>
      <c r="M54" s="201">
        <f t="shared" si="42"/>
        <v>0.88982526874512036</v>
      </c>
      <c r="N54" s="201">
        <f t="shared" si="42"/>
        <v>0.87649033522538133</v>
      </c>
      <c r="O54" s="201">
        <f t="shared" si="42"/>
        <v>0.86315540170564231</v>
      </c>
      <c r="P54" s="201">
        <f t="shared" si="42"/>
        <v>0.84982046818590329</v>
      </c>
      <c r="Q54" s="201">
        <f t="shared" si="42"/>
        <v>0.83648553466616427</v>
      </c>
      <c r="R54" s="201">
        <f t="shared" si="42"/>
        <v>0.82315060114642524</v>
      </c>
      <c r="S54" s="201">
        <f t="shared" si="42"/>
        <v>0.80981566762668622</v>
      </c>
      <c r="T54" s="201">
        <f t="shared" si="42"/>
        <v>0.7964807341069472</v>
      </c>
      <c r="U54" s="201">
        <f t="shared" si="42"/>
        <v>0.78314580058720817</v>
      </c>
      <c r="V54" s="201">
        <f t="shared" si="13"/>
        <v>0.76981086706746915</v>
      </c>
      <c r="W54" s="201">
        <f t="shared" si="13"/>
        <v>0.75647593354773013</v>
      </c>
      <c r="X54" s="201">
        <f t="shared" si="13"/>
        <v>0.74314100002799111</v>
      </c>
      <c r="Y54" s="201">
        <f t="shared" si="13"/>
        <v>0.72980606650825208</v>
      </c>
      <c r="Z54" s="201">
        <f t="shared" si="13"/>
        <v>0.71647113298851306</v>
      </c>
      <c r="AA54" s="201">
        <f t="shared" si="13"/>
        <v>0.70313619946877404</v>
      </c>
      <c r="AB54" s="201">
        <f t="shared" si="13"/>
        <v>0.68980126594903501</v>
      </c>
      <c r="AC54" s="201">
        <f t="shared" si="13"/>
        <v>0.67646633242929599</v>
      </c>
      <c r="AD54" s="201">
        <f t="shared" si="13"/>
        <v>0.66313139890955697</v>
      </c>
      <c r="AE54" s="201">
        <f t="shared" si="13"/>
        <v>0.64979646538981795</v>
      </c>
      <c r="AF54" s="201">
        <f t="shared" si="13"/>
        <v>0.63646153187007892</v>
      </c>
      <c r="AG54" s="201">
        <f t="shared" si="13"/>
        <v>0.6231265983503399</v>
      </c>
      <c r="AH54" s="201">
        <f t="shared" si="13"/>
        <v>0.60979166483060088</v>
      </c>
      <c r="AI54" s="201">
        <f>R3</f>
        <v>0.59645673131086063</v>
      </c>
    </row>
    <row r="55" spans="1:35">
      <c r="A55" s="310"/>
      <c r="B55" s="67" t="s">
        <v>309</v>
      </c>
      <c r="C55" s="67" t="s">
        <v>1750</v>
      </c>
      <c r="D55" t="s">
        <v>478</v>
      </c>
      <c r="E55" s="201">
        <f>H4</f>
        <v>3.4952630969674104E-3</v>
      </c>
      <c r="F55" s="201">
        <f t="shared" ref="F55:U55" si="85">-($E55-$AI55)/30+E55</f>
        <v>1.4136078919419853E-2</v>
      </c>
      <c r="G55" s="201">
        <f t="shared" si="85"/>
        <v>2.4776894741872293E-2</v>
      </c>
      <c r="H55" s="201">
        <f t="shared" si="85"/>
        <v>3.5417710564324738E-2</v>
      </c>
      <c r="I55" s="201">
        <f t="shared" si="85"/>
        <v>4.6058526386777182E-2</v>
      </c>
      <c r="J55" s="201">
        <f t="shared" si="85"/>
        <v>5.6699342209229626E-2</v>
      </c>
      <c r="K55" s="201">
        <f t="shared" si="85"/>
        <v>6.7340158031682071E-2</v>
      </c>
      <c r="L55" s="201">
        <f t="shared" si="85"/>
        <v>7.7980973854134508E-2</v>
      </c>
      <c r="M55" s="201">
        <f t="shared" si="85"/>
        <v>8.8621789676586946E-2</v>
      </c>
      <c r="N55" s="201">
        <f t="shared" si="85"/>
        <v>9.9262605499039383E-2</v>
      </c>
      <c r="O55" s="201">
        <f t="shared" si="85"/>
        <v>0.10990342132149182</v>
      </c>
      <c r="P55" s="201">
        <f t="shared" si="85"/>
        <v>0.12054423714394426</v>
      </c>
      <c r="Q55" s="201">
        <f t="shared" si="85"/>
        <v>0.13118505296639671</v>
      </c>
      <c r="R55" s="201">
        <f t="shared" si="85"/>
        <v>0.14182586878884915</v>
      </c>
      <c r="S55" s="201">
        <f t="shared" si="85"/>
        <v>0.15246668461130158</v>
      </c>
      <c r="T55" s="201">
        <f t="shared" si="85"/>
        <v>0.16310750043375402</v>
      </c>
      <c r="U55" s="201">
        <f t="shared" si="85"/>
        <v>0.17374831625620646</v>
      </c>
      <c r="V55" s="201">
        <f t="shared" ref="V55" si="86">-($E55-$AI55)/30+U55</f>
        <v>0.1843891320786589</v>
      </c>
      <c r="W55" s="201">
        <f t="shared" ref="W55" si="87">-($E55-$AI55)/30+V55</f>
        <v>0.19502994790111133</v>
      </c>
      <c r="X55" s="201">
        <f t="shared" ref="X55" si="88">-($E55-$AI55)/30+W55</f>
        <v>0.20567076372356377</v>
      </c>
      <c r="Y55" s="201">
        <f t="shared" ref="Y55" si="89">-($E55-$AI55)/30+X55</f>
        <v>0.21631157954601621</v>
      </c>
      <c r="Z55" s="201">
        <f t="shared" ref="Z55" si="90">-($E55-$AI55)/30+Y55</f>
        <v>0.22695239536846865</v>
      </c>
      <c r="AA55" s="201">
        <f t="shared" ref="AA55" si="91">-($E55-$AI55)/30+Z55</f>
        <v>0.23759321119092108</v>
      </c>
      <c r="AB55" s="201">
        <f t="shared" ref="AB55" si="92">-($E55-$AI55)/30+AA55</f>
        <v>0.24823402701337352</v>
      </c>
      <c r="AC55" s="201">
        <f t="shared" ref="AC55" si="93">-($E55-$AI55)/30+AB55</f>
        <v>0.25887484283582596</v>
      </c>
      <c r="AD55" s="201">
        <f t="shared" ref="AD55" si="94">-($E55-$AI55)/30+AC55</f>
        <v>0.26951565865827842</v>
      </c>
      <c r="AE55" s="201">
        <f t="shared" ref="AE55" si="95">-($E55-$AI55)/30+AD55</f>
        <v>0.28015647448073089</v>
      </c>
      <c r="AF55" s="201">
        <f t="shared" ref="AF55" si="96">-($E55-$AI55)/30+AE55</f>
        <v>0.29079729030318335</v>
      </c>
      <c r="AG55" s="201">
        <f t="shared" ref="AG55" si="97">-($E55-$AI55)/30+AF55</f>
        <v>0.30143810612563582</v>
      </c>
      <c r="AH55" s="201">
        <f t="shared" ref="AH55" si="98">-($E55-$AI55)/30+AG55</f>
        <v>0.31207892194808828</v>
      </c>
      <c r="AI55" s="201">
        <f>R4</f>
        <v>0.32271973777054069</v>
      </c>
    </row>
    <row r="56" spans="1:35">
      <c r="A56" s="310"/>
      <c r="B56" t="s">
        <v>309</v>
      </c>
      <c r="C56" t="s">
        <v>1750</v>
      </c>
      <c r="D56" t="s">
        <v>745</v>
      </c>
      <c r="E56" s="168">
        <f>H5</f>
        <v>0</v>
      </c>
      <c r="F56" s="168">
        <f t="shared" si="42"/>
        <v>2.4801821613036536E-3</v>
      </c>
      <c r="G56" s="168">
        <f t="shared" si="42"/>
        <v>4.9603643226073073E-3</v>
      </c>
      <c r="H56" s="168">
        <f t="shared" si="42"/>
        <v>7.4405464839109609E-3</v>
      </c>
      <c r="I56" s="168">
        <f t="shared" si="42"/>
        <v>9.9207286452146146E-3</v>
      </c>
      <c r="J56" s="168">
        <f t="shared" si="42"/>
        <v>1.2400910806518268E-2</v>
      </c>
      <c r="K56" s="168">
        <f t="shared" si="42"/>
        <v>1.4881092967821922E-2</v>
      </c>
      <c r="L56" s="168">
        <f t="shared" si="42"/>
        <v>1.7361275129125574E-2</v>
      </c>
      <c r="M56" s="168">
        <f t="shared" si="42"/>
        <v>1.9841457290429229E-2</v>
      </c>
      <c r="N56" s="168">
        <f t="shared" si="42"/>
        <v>2.2321639451732884E-2</v>
      </c>
      <c r="O56" s="168">
        <f t="shared" si="42"/>
        <v>2.480182161303654E-2</v>
      </c>
      <c r="P56" s="168">
        <f t="shared" si="42"/>
        <v>2.7282003774340195E-2</v>
      </c>
      <c r="Q56" s="168">
        <f t="shared" si="42"/>
        <v>2.9762185935643851E-2</v>
      </c>
      <c r="R56" s="168">
        <f t="shared" si="42"/>
        <v>3.2242368096947506E-2</v>
      </c>
      <c r="S56" s="168">
        <f t="shared" si="42"/>
        <v>3.4722550258251161E-2</v>
      </c>
      <c r="T56" s="168">
        <f t="shared" si="42"/>
        <v>3.7202732419554817E-2</v>
      </c>
      <c r="U56" s="168">
        <f t="shared" si="42"/>
        <v>3.9682914580858472E-2</v>
      </c>
      <c r="V56" s="168">
        <f t="shared" si="13"/>
        <v>4.2163096742162127E-2</v>
      </c>
      <c r="W56" s="168">
        <f t="shared" si="13"/>
        <v>4.4643278903465783E-2</v>
      </c>
      <c r="X56" s="168">
        <f t="shared" si="13"/>
        <v>4.7123461064769438E-2</v>
      </c>
      <c r="Y56" s="168">
        <f t="shared" si="13"/>
        <v>4.9603643226073094E-2</v>
      </c>
      <c r="Z56" s="168">
        <f t="shared" si="13"/>
        <v>5.2083825387376749E-2</v>
      </c>
      <c r="AA56" s="168">
        <f t="shared" si="13"/>
        <v>5.4564007548680404E-2</v>
      </c>
      <c r="AB56" s="168">
        <f t="shared" si="13"/>
        <v>5.704418970998406E-2</v>
      </c>
      <c r="AC56" s="168">
        <f t="shared" si="13"/>
        <v>5.9524371871287715E-2</v>
      </c>
      <c r="AD56" s="168">
        <f t="shared" si="13"/>
        <v>6.200455403259137E-2</v>
      </c>
      <c r="AE56" s="168">
        <f t="shared" si="13"/>
        <v>6.4484736193895026E-2</v>
      </c>
      <c r="AF56" s="168">
        <f t="shared" si="13"/>
        <v>6.6964918355198674E-2</v>
      </c>
      <c r="AG56" s="168">
        <f t="shared" si="13"/>
        <v>6.9445100516502323E-2</v>
      </c>
      <c r="AH56" s="168">
        <f t="shared" si="13"/>
        <v>7.1925282677805971E-2</v>
      </c>
      <c r="AI56" s="168">
        <f>R5</f>
        <v>7.4405464839109606E-2</v>
      </c>
    </row>
    <row r="57" spans="1:35">
      <c r="A57" s="310"/>
      <c r="B57" t="s">
        <v>309</v>
      </c>
      <c r="C57" t="s">
        <v>1750</v>
      </c>
      <c r="D57" t="s">
        <v>248</v>
      </c>
      <c r="E57" s="168">
        <f>H6</f>
        <v>0</v>
      </c>
      <c r="F57" s="168">
        <f t="shared" si="42"/>
        <v>2.1393553598297266E-4</v>
      </c>
      <c r="G57" s="168">
        <f t="shared" si="42"/>
        <v>4.2787107196594533E-4</v>
      </c>
      <c r="H57" s="168">
        <f t="shared" si="42"/>
        <v>6.4180660794891796E-4</v>
      </c>
      <c r="I57" s="168">
        <f t="shared" si="42"/>
        <v>8.5574214393189065E-4</v>
      </c>
      <c r="J57" s="168">
        <f t="shared" si="42"/>
        <v>1.0696776799148633E-3</v>
      </c>
      <c r="K57" s="168">
        <f t="shared" si="42"/>
        <v>1.2836132158978359E-3</v>
      </c>
      <c r="L57" s="168">
        <f t="shared" si="42"/>
        <v>1.4975487518808085E-3</v>
      </c>
      <c r="M57" s="168">
        <f t="shared" si="42"/>
        <v>1.7114842878637811E-3</v>
      </c>
      <c r="N57" s="168">
        <f t="shared" si="42"/>
        <v>1.9254198238467537E-3</v>
      </c>
      <c r="O57" s="168">
        <f t="shared" si="42"/>
        <v>2.1393553598297262E-3</v>
      </c>
      <c r="P57" s="168">
        <f t="shared" si="42"/>
        <v>2.3532908958126988E-3</v>
      </c>
      <c r="Q57" s="168">
        <f t="shared" si="42"/>
        <v>2.5672264317956714E-3</v>
      </c>
      <c r="R57" s="168">
        <f t="shared" si="42"/>
        <v>2.781161967778644E-3</v>
      </c>
      <c r="S57" s="168">
        <f t="shared" si="42"/>
        <v>2.9950975037616166E-3</v>
      </c>
      <c r="T57" s="168">
        <f t="shared" si="42"/>
        <v>3.2090330397445892E-3</v>
      </c>
      <c r="U57" s="168">
        <f t="shared" si="42"/>
        <v>3.4229685757275617E-3</v>
      </c>
      <c r="V57" s="168">
        <f t="shared" si="13"/>
        <v>3.6369041117105343E-3</v>
      </c>
      <c r="W57" s="168">
        <f t="shared" si="13"/>
        <v>3.8508396476935069E-3</v>
      </c>
      <c r="X57" s="168">
        <f t="shared" si="13"/>
        <v>4.0647751836764799E-3</v>
      </c>
      <c r="Y57" s="168">
        <f t="shared" si="13"/>
        <v>4.2787107196594525E-3</v>
      </c>
      <c r="Z57" s="168">
        <f t="shared" si="13"/>
        <v>4.4926462556424251E-3</v>
      </c>
      <c r="AA57" s="168">
        <f t="shared" si="13"/>
        <v>4.7065817916253977E-3</v>
      </c>
      <c r="AB57" s="168">
        <f t="shared" si="13"/>
        <v>4.9205173276083702E-3</v>
      </c>
      <c r="AC57" s="168">
        <f t="shared" si="13"/>
        <v>5.1344528635913428E-3</v>
      </c>
      <c r="AD57" s="168">
        <f t="shared" si="13"/>
        <v>5.3483883995743154E-3</v>
      </c>
      <c r="AE57" s="168">
        <f t="shared" si="13"/>
        <v>5.562323935557288E-3</v>
      </c>
      <c r="AF57" s="168">
        <f t="shared" si="13"/>
        <v>5.7762594715402606E-3</v>
      </c>
      <c r="AG57" s="168">
        <f t="shared" si="13"/>
        <v>5.9901950075232331E-3</v>
      </c>
      <c r="AH57" s="168">
        <f t="shared" si="13"/>
        <v>6.2041305435062057E-3</v>
      </c>
      <c r="AI57" s="168">
        <f>R6</f>
        <v>6.41806607948918E-3</v>
      </c>
    </row>
    <row r="58" spans="1:35" s="67" customFormat="1">
      <c r="A58" s="307"/>
      <c r="B58" s="67" t="s">
        <v>370</v>
      </c>
      <c r="C58" s="67" t="s">
        <v>1746</v>
      </c>
      <c r="D58" s="67" t="s">
        <v>474</v>
      </c>
      <c r="E58" s="201">
        <f>D10</f>
        <v>0</v>
      </c>
      <c r="F58" s="201">
        <f t="shared" si="42"/>
        <v>0</v>
      </c>
      <c r="G58" s="201">
        <f t="shared" si="42"/>
        <v>0</v>
      </c>
      <c r="H58" s="201">
        <f t="shared" si="42"/>
        <v>0</v>
      </c>
      <c r="I58" s="201">
        <f t="shared" si="42"/>
        <v>0</v>
      </c>
      <c r="J58" s="201">
        <f t="shared" si="42"/>
        <v>0</v>
      </c>
      <c r="K58" s="201">
        <f t="shared" si="42"/>
        <v>0</v>
      </c>
      <c r="L58" s="201">
        <f t="shared" si="42"/>
        <v>0</v>
      </c>
      <c r="M58" s="201">
        <f t="shared" si="42"/>
        <v>0</v>
      </c>
      <c r="N58" s="201">
        <f t="shared" si="42"/>
        <v>0</v>
      </c>
      <c r="O58" s="201">
        <f t="shared" si="42"/>
        <v>0</v>
      </c>
      <c r="P58" s="201">
        <f t="shared" si="42"/>
        <v>0</v>
      </c>
      <c r="Q58" s="201">
        <f t="shared" si="42"/>
        <v>0</v>
      </c>
      <c r="R58" s="201">
        <f t="shared" si="42"/>
        <v>0</v>
      </c>
      <c r="S58" s="201">
        <f t="shared" si="42"/>
        <v>0</v>
      </c>
      <c r="T58" s="201">
        <f t="shared" si="42"/>
        <v>0</v>
      </c>
      <c r="U58" s="201">
        <f t="shared" si="42"/>
        <v>0</v>
      </c>
      <c r="V58" s="201">
        <f t="shared" si="13"/>
        <v>0</v>
      </c>
      <c r="W58" s="201">
        <f t="shared" si="13"/>
        <v>0</v>
      </c>
      <c r="X58" s="201">
        <f t="shared" si="13"/>
        <v>0</v>
      </c>
      <c r="Y58" s="201">
        <f t="shared" si="13"/>
        <v>0</v>
      </c>
      <c r="Z58" s="201">
        <f t="shared" si="13"/>
        <v>0</v>
      </c>
      <c r="AA58" s="201">
        <f t="shared" si="13"/>
        <v>0</v>
      </c>
      <c r="AB58" s="201">
        <f t="shared" si="13"/>
        <v>0</v>
      </c>
      <c r="AC58" s="201">
        <f t="shared" si="13"/>
        <v>0</v>
      </c>
      <c r="AD58" s="201">
        <f t="shared" si="13"/>
        <v>0</v>
      </c>
      <c r="AE58" s="201">
        <f t="shared" si="13"/>
        <v>0</v>
      </c>
      <c r="AF58" s="201">
        <f t="shared" si="13"/>
        <v>0</v>
      </c>
      <c r="AG58" s="201">
        <f t="shared" si="13"/>
        <v>0</v>
      </c>
      <c r="AH58" s="201">
        <f t="shared" si="13"/>
        <v>0</v>
      </c>
      <c r="AI58" s="201">
        <f>N10</f>
        <v>0</v>
      </c>
    </row>
    <row r="59" spans="1:35">
      <c r="A59" s="310"/>
      <c r="B59" s="67" t="s">
        <v>370</v>
      </c>
      <c r="C59" s="67" t="s">
        <v>1746</v>
      </c>
      <c r="D59" t="s">
        <v>478</v>
      </c>
      <c r="E59" s="201">
        <f>D11</f>
        <v>0.59541984732824427</v>
      </c>
      <c r="F59" s="201">
        <f t="shared" ref="F59:U59" si="99">-($E59-$AI59)/30+E59</f>
        <v>0.57557251908396945</v>
      </c>
      <c r="G59" s="201">
        <f t="shared" si="99"/>
        <v>0.55572519083969463</v>
      </c>
      <c r="H59" s="201">
        <f t="shared" si="99"/>
        <v>0.53587786259541981</v>
      </c>
      <c r="I59" s="201">
        <f t="shared" si="99"/>
        <v>0.51603053435114499</v>
      </c>
      <c r="J59" s="201">
        <f t="shared" si="99"/>
        <v>0.49618320610687017</v>
      </c>
      <c r="K59" s="201">
        <f t="shared" si="99"/>
        <v>0.47633587786259535</v>
      </c>
      <c r="L59" s="201">
        <f t="shared" si="99"/>
        <v>0.45648854961832053</v>
      </c>
      <c r="M59" s="201">
        <f t="shared" si="99"/>
        <v>0.43664122137404571</v>
      </c>
      <c r="N59" s="201">
        <f t="shared" si="99"/>
        <v>0.41679389312977089</v>
      </c>
      <c r="O59" s="201">
        <f t="shared" si="99"/>
        <v>0.39694656488549607</v>
      </c>
      <c r="P59" s="201">
        <f t="shared" si="99"/>
        <v>0.37709923664122125</v>
      </c>
      <c r="Q59" s="201">
        <f t="shared" si="99"/>
        <v>0.35725190839694643</v>
      </c>
      <c r="R59" s="201">
        <f t="shared" si="99"/>
        <v>0.33740458015267161</v>
      </c>
      <c r="S59" s="201">
        <f t="shared" si="99"/>
        <v>0.31755725190839679</v>
      </c>
      <c r="T59" s="201">
        <f t="shared" si="99"/>
        <v>0.29770992366412197</v>
      </c>
      <c r="U59" s="201">
        <f t="shared" si="99"/>
        <v>0.27786259541984715</v>
      </c>
      <c r="V59" s="201">
        <f t="shared" ref="V59" si="100">-($E59-$AI59)/30+U59</f>
        <v>0.25801526717557233</v>
      </c>
      <c r="W59" s="201">
        <f t="shared" ref="W59" si="101">-($E59-$AI59)/30+V59</f>
        <v>0.23816793893129751</v>
      </c>
      <c r="X59" s="201">
        <f t="shared" ref="X59" si="102">-($E59-$AI59)/30+W59</f>
        <v>0.21832061068702269</v>
      </c>
      <c r="Y59" s="201">
        <f t="shared" ref="Y59" si="103">-($E59-$AI59)/30+X59</f>
        <v>0.19847328244274787</v>
      </c>
      <c r="Z59" s="201">
        <f t="shared" ref="Z59" si="104">-($E59-$AI59)/30+Y59</f>
        <v>0.17862595419847305</v>
      </c>
      <c r="AA59" s="201">
        <f t="shared" ref="AA59" si="105">-($E59-$AI59)/30+Z59</f>
        <v>0.15877862595419823</v>
      </c>
      <c r="AB59" s="201">
        <f t="shared" ref="AB59" si="106">-($E59-$AI59)/30+AA59</f>
        <v>0.13893129770992341</v>
      </c>
      <c r="AC59" s="201">
        <f t="shared" ref="AC59" si="107">-($E59-$AI59)/30+AB59</f>
        <v>0.1190839694656486</v>
      </c>
      <c r="AD59" s="201">
        <f t="shared" ref="AD59" si="108">-($E59-$AI59)/30+AC59</f>
        <v>9.9236641221373795E-2</v>
      </c>
      <c r="AE59" s="201">
        <f t="shared" ref="AE59" si="109">-($E59-$AI59)/30+AD59</f>
        <v>7.9389312977098989E-2</v>
      </c>
      <c r="AF59" s="201">
        <f t="shared" ref="AF59" si="110">-($E59-$AI59)/30+AE59</f>
        <v>5.9541984732824182E-2</v>
      </c>
      <c r="AG59" s="201">
        <f t="shared" ref="AG59" si="111">-($E59-$AI59)/30+AF59</f>
        <v>3.9694656488549376E-2</v>
      </c>
      <c r="AH59" s="201">
        <f t="shared" ref="AH59" si="112">-($E59-$AI59)/30+AG59</f>
        <v>1.9847328244274567E-2</v>
      </c>
      <c r="AI59" s="201">
        <f>N11</f>
        <v>0</v>
      </c>
    </row>
    <row r="60" spans="1:35">
      <c r="A60" s="310"/>
      <c r="B60" t="s">
        <v>370</v>
      </c>
      <c r="D60" t="s">
        <v>745</v>
      </c>
      <c r="E60" s="168">
        <f>D12</f>
        <v>0</v>
      </c>
      <c r="F60" s="168">
        <f t="shared" si="42"/>
        <v>1.7104210105899357E-2</v>
      </c>
      <c r="G60" s="168">
        <f t="shared" si="42"/>
        <v>3.4208420211798714E-2</v>
      </c>
      <c r="H60" s="168">
        <f t="shared" si="42"/>
        <v>5.1312630317698074E-2</v>
      </c>
      <c r="I60" s="168">
        <f t="shared" si="42"/>
        <v>6.8416840423597428E-2</v>
      </c>
      <c r="J60" s="168">
        <f t="shared" si="42"/>
        <v>8.5521050529496781E-2</v>
      </c>
      <c r="K60" s="168">
        <f t="shared" si="42"/>
        <v>0.10262526063539613</v>
      </c>
      <c r="L60" s="168">
        <f t="shared" si="42"/>
        <v>0.11972947074129549</v>
      </c>
      <c r="M60" s="168">
        <f t="shared" si="42"/>
        <v>0.13683368084719486</v>
      </c>
      <c r="N60" s="168">
        <f t="shared" si="42"/>
        <v>0.15393789095309421</v>
      </c>
      <c r="O60" s="168">
        <f t="shared" si="42"/>
        <v>0.17104210105899356</v>
      </c>
      <c r="P60" s="168">
        <f t="shared" si="42"/>
        <v>0.18814631116489292</v>
      </c>
      <c r="Q60" s="168">
        <f t="shared" si="42"/>
        <v>0.20525052127079227</v>
      </c>
      <c r="R60" s="168">
        <f t="shared" si="42"/>
        <v>0.22235473137669162</v>
      </c>
      <c r="S60" s="168">
        <f t="shared" si="42"/>
        <v>0.23945894148259098</v>
      </c>
      <c r="T60" s="168">
        <f t="shared" si="42"/>
        <v>0.25656315158849036</v>
      </c>
      <c r="U60" s="168">
        <f t="shared" ref="U60:AH80" si="113">-($E60-$AI60)/30+T60</f>
        <v>0.27366736169438971</v>
      </c>
      <c r="V60" s="168">
        <f t="shared" si="113"/>
        <v>0.29077157180028906</v>
      </c>
      <c r="W60" s="168">
        <f t="shared" si="113"/>
        <v>0.30787578190618842</v>
      </c>
      <c r="X60" s="168">
        <f t="shared" si="113"/>
        <v>0.32497999201208777</v>
      </c>
      <c r="Y60" s="168">
        <f t="shared" si="113"/>
        <v>0.34208420211798712</v>
      </c>
      <c r="Z60" s="168">
        <f t="shared" si="113"/>
        <v>0.35918841222388648</v>
      </c>
      <c r="AA60" s="168">
        <f t="shared" si="113"/>
        <v>0.37629262232978583</v>
      </c>
      <c r="AB60" s="168">
        <f t="shared" si="113"/>
        <v>0.39339683243568518</v>
      </c>
      <c r="AC60" s="168">
        <f t="shared" si="113"/>
        <v>0.41050104254158454</v>
      </c>
      <c r="AD60" s="168">
        <f t="shared" si="113"/>
        <v>0.42760525264748389</v>
      </c>
      <c r="AE60" s="168">
        <f t="shared" si="113"/>
        <v>0.44470946275338324</v>
      </c>
      <c r="AF60" s="168">
        <f t="shared" si="113"/>
        <v>0.4618136728592826</v>
      </c>
      <c r="AG60" s="168">
        <f t="shared" si="113"/>
        <v>0.47891788296518195</v>
      </c>
      <c r="AH60" s="168">
        <f t="shared" si="113"/>
        <v>0.4960220930710813</v>
      </c>
      <c r="AI60" s="168">
        <f>N12</f>
        <v>0.51312630317698071</v>
      </c>
    </row>
    <row r="61" spans="1:35" s="68" customFormat="1">
      <c r="A61" s="311"/>
      <c r="B61" s="68" t="s">
        <v>370</v>
      </c>
      <c r="D61" s="68" t="s">
        <v>248</v>
      </c>
      <c r="E61" s="421">
        <f>D13</f>
        <v>0.40458015267175568</v>
      </c>
      <c r="F61" s="421">
        <f t="shared" ref="F61:U81" si="114">-($E61-$AI61)/30+E61</f>
        <v>0.40732327081013114</v>
      </c>
      <c r="G61" s="421">
        <f t="shared" si="114"/>
        <v>0.41006638894850661</v>
      </c>
      <c r="H61" s="421">
        <f t="shared" si="114"/>
        <v>0.41280950708688208</v>
      </c>
      <c r="I61" s="421">
        <f t="shared" si="114"/>
        <v>0.41555262522525754</v>
      </c>
      <c r="J61" s="421">
        <f t="shared" si="114"/>
        <v>0.41829574336363301</v>
      </c>
      <c r="K61" s="421">
        <f t="shared" si="114"/>
        <v>0.42103886150200848</v>
      </c>
      <c r="L61" s="421">
        <f t="shared" si="114"/>
        <v>0.42378197964038394</v>
      </c>
      <c r="M61" s="421">
        <f t="shared" si="114"/>
        <v>0.42652509777875941</v>
      </c>
      <c r="N61" s="421">
        <f t="shared" si="114"/>
        <v>0.42926821591713488</v>
      </c>
      <c r="O61" s="421">
        <f t="shared" si="114"/>
        <v>0.43201133405551034</v>
      </c>
      <c r="P61" s="421">
        <f t="shared" si="114"/>
        <v>0.43475445219388581</v>
      </c>
      <c r="Q61" s="421">
        <f t="shared" si="114"/>
        <v>0.43749757033226128</v>
      </c>
      <c r="R61" s="421">
        <f t="shared" si="114"/>
        <v>0.44024068847063674</v>
      </c>
      <c r="S61" s="421">
        <f t="shared" si="114"/>
        <v>0.44298380660901221</v>
      </c>
      <c r="T61" s="421">
        <f t="shared" si="114"/>
        <v>0.44572692474738768</v>
      </c>
      <c r="U61" s="421">
        <f t="shared" si="114"/>
        <v>0.44847004288576314</v>
      </c>
      <c r="V61" s="421">
        <f t="shared" si="113"/>
        <v>0.45121316102413861</v>
      </c>
      <c r="W61" s="421">
        <f t="shared" si="113"/>
        <v>0.45395627916251408</v>
      </c>
      <c r="X61" s="421">
        <f t="shared" si="113"/>
        <v>0.45669939730088954</v>
      </c>
      <c r="Y61" s="421">
        <f t="shared" si="113"/>
        <v>0.45944251543926501</v>
      </c>
      <c r="Z61" s="421">
        <f t="shared" si="113"/>
        <v>0.46218563357764048</v>
      </c>
      <c r="AA61" s="421">
        <f t="shared" si="113"/>
        <v>0.46492875171601594</v>
      </c>
      <c r="AB61" s="421">
        <f t="shared" si="113"/>
        <v>0.46767186985439141</v>
      </c>
      <c r="AC61" s="421">
        <f t="shared" si="113"/>
        <v>0.47041498799276688</v>
      </c>
      <c r="AD61" s="421">
        <f t="shared" si="113"/>
        <v>0.47315810613114234</v>
      </c>
      <c r="AE61" s="421">
        <f t="shared" si="113"/>
        <v>0.47590122426951781</v>
      </c>
      <c r="AF61" s="421">
        <f t="shared" si="113"/>
        <v>0.47864434240789328</v>
      </c>
      <c r="AG61" s="421">
        <f t="shared" si="113"/>
        <v>0.48138746054626874</v>
      </c>
      <c r="AH61" s="421">
        <f t="shared" si="113"/>
        <v>0.48413057868464421</v>
      </c>
      <c r="AI61" s="421">
        <f>N13</f>
        <v>0.48687369682301923</v>
      </c>
    </row>
    <row r="62" spans="1:35">
      <c r="A62" s="310"/>
      <c r="B62" t="s">
        <v>370</v>
      </c>
      <c r="C62" t="s">
        <v>1753</v>
      </c>
      <c r="D62" t="s">
        <v>474</v>
      </c>
      <c r="E62" s="168">
        <f>E10</f>
        <v>0</v>
      </c>
      <c r="F62" s="168">
        <f t="shared" si="114"/>
        <v>0</v>
      </c>
      <c r="G62" s="168">
        <f t="shared" si="114"/>
        <v>0</v>
      </c>
      <c r="H62" s="168">
        <f t="shared" si="114"/>
        <v>0</v>
      </c>
      <c r="I62" s="168">
        <f t="shared" si="114"/>
        <v>0</v>
      </c>
      <c r="J62" s="168">
        <f t="shared" si="114"/>
        <v>0</v>
      </c>
      <c r="K62" s="168">
        <f t="shared" si="114"/>
        <v>0</v>
      </c>
      <c r="L62" s="168">
        <f t="shared" si="114"/>
        <v>0</v>
      </c>
      <c r="M62" s="168">
        <f t="shared" si="114"/>
        <v>0</v>
      </c>
      <c r="N62" s="168">
        <f t="shared" si="114"/>
        <v>0</v>
      </c>
      <c r="O62" s="168">
        <f t="shared" si="114"/>
        <v>0</v>
      </c>
      <c r="P62" s="168">
        <f t="shared" si="114"/>
        <v>0</v>
      </c>
      <c r="Q62" s="168">
        <f t="shared" si="114"/>
        <v>0</v>
      </c>
      <c r="R62" s="168">
        <f t="shared" si="114"/>
        <v>0</v>
      </c>
      <c r="S62" s="168">
        <f t="shared" si="114"/>
        <v>0</v>
      </c>
      <c r="T62" s="168">
        <f t="shared" si="114"/>
        <v>0</v>
      </c>
      <c r="U62" s="168">
        <f t="shared" si="114"/>
        <v>0</v>
      </c>
      <c r="V62" s="168">
        <f t="shared" si="113"/>
        <v>0</v>
      </c>
      <c r="W62" s="168">
        <f t="shared" si="113"/>
        <v>0</v>
      </c>
      <c r="X62" s="168">
        <f t="shared" si="113"/>
        <v>0</v>
      </c>
      <c r="Y62" s="168">
        <f t="shared" si="113"/>
        <v>0</v>
      </c>
      <c r="Z62" s="168">
        <f t="shared" si="113"/>
        <v>0</v>
      </c>
      <c r="AA62" s="168">
        <f t="shared" si="113"/>
        <v>0</v>
      </c>
      <c r="AB62" s="168">
        <f t="shared" si="113"/>
        <v>0</v>
      </c>
      <c r="AC62" s="168">
        <f t="shared" si="113"/>
        <v>0</v>
      </c>
      <c r="AD62" s="168">
        <f t="shared" si="113"/>
        <v>0</v>
      </c>
      <c r="AE62" s="168">
        <f t="shared" si="113"/>
        <v>0</v>
      </c>
      <c r="AF62" s="168">
        <f t="shared" si="113"/>
        <v>0</v>
      </c>
      <c r="AG62" s="168">
        <f t="shared" si="113"/>
        <v>0</v>
      </c>
      <c r="AH62" s="168">
        <f t="shared" si="113"/>
        <v>0</v>
      </c>
      <c r="AI62" s="168">
        <f>O10</f>
        <v>0</v>
      </c>
    </row>
    <row r="63" spans="1:35">
      <c r="A63" s="310"/>
      <c r="B63" t="s">
        <v>370</v>
      </c>
      <c r="C63" t="s">
        <v>1753</v>
      </c>
      <c r="D63" t="s">
        <v>478</v>
      </c>
      <c r="E63" s="168">
        <f>E11</f>
        <v>0.59541984732824427</v>
      </c>
      <c r="F63" s="168">
        <f t="shared" ref="F63:U63" si="115">-($E63-$AI63)/30+E63</f>
        <v>0.57557251908396945</v>
      </c>
      <c r="G63" s="168">
        <f t="shared" si="115"/>
        <v>0.55572519083969463</v>
      </c>
      <c r="H63" s="168">
        <f t="shared" si="115"/>
        <v>0.53587786259541981</v>
      </c>
      <c r="I63" s="168">
        <f t="shared" si="115"/>
        <v>0.51603053435114499</v>
      </c>
      <c r="J63" s="168">
        <f t="shared" si="115"/>
        <v>0.49618320610687017</v>
      </c>
      <c r="K63" s="168">
        <f t="shared" si="115"/>
        <v>0.47633587786259535</v>
      </c>
      <c r="L63" s="168">
        <f t="shared" si="115"/>
        <v>0.45648854961832053</v>
      </c>
      <c r="M63" s="168">
        <f t="shared" si="115"/>
        <v>0.43664122137404571</v>
      </c>
      <c r="N63" s="168">
        <f t="shared" si="115"/>
        <v>0.41679389312977089</v>
      </c>
      <c r="O63" s="168">
        <f t="shared" si="115"/>
        <v>0.39694656488549607</v>
      </c>
      <c r="P63" s="168">
        <f t="shared" si="115"/>
        <v>0.37709923664122125</v>
      </c>
      <c r="Q63" s="168">
        <f t="shared" si="115"/>
        <v>0.35725190839694643</v>
      </c>
      <c r="R63" s="168">
        <f t="shared" si="115"/>
        <v>0.33740458015267161</v>
      </c>
      <c r="S63" s="168">
        <f t="shared" si="115"/>
        <v>0.31755725190839679</v>
      </c>
      <c r="T63" s="168">
        <f t="shared" si="115"/>
        <v>0.29770992366412197</v>
      </c>
      <c r="U63" s="168">
        <f t="shared" si="115"/>
        <v>0.27786259541984715</v>
      </c>
      <c r="V63" s="168">
        <f t="shared" ref="V63" si="116">-($E63-$AI63)/30+U63</f>
        <v>0.25801526717557233</v>
      </c>
      <c r="W63" s="168">
        <f t="shared" ref="W63" si="117">-($E63-$AI63)/30+V63</f>
        <v>0.23816793893129751</v>
      </c>
      <c r="X63" s="168">
        <f t="shared" ref="X63" si="118">-($E63-$AI63)/30+W63</f>
        <v>0.21832061068702269</v>
      </c>
      <c r="Y63" s="168">
        <f t="shared" ref="Y63" si="119">-($E63-$AI63)/30+X63</f>
        <v>0.19847328244274787</v>
      </c>
      <c r="Z63" s="168">
        <f t="shared" ref="Z63" si="120">-($E63-$AI63)/30+Y63</f>
        <v>0.17862595419847305</v>
      </c>
      <c r="AA63" s="168">
        <f t="shared" ref="AA63" si="121">-($E63-$AI63)/30+Z63</f>
        <v>0.15877862595419823</v>
      </c>
      <c r="AB63" s="168">
        <f t="shared" ref="AB63" si="122">-($E63-$AI63)/30+AA63</f>
        <v>0.13893129770992341</v>
      </c>
      <c r="AC63" s="168">
        <f t="shared" ref="AC63" si="123">-($E63-$AI63)/30+AB63</f>
        <v>0.1190839694656486</v>
      </c>
      <c r="AD63" s="168">
        <f t="shared" ref="AD63" si="124">-($E63-$AI63)/30+AC63</f>
        <v>9.9236641221373795E-2</v>
      </c>
      <c r="AE63" s="168">
        <f t="shared" ref="AE63" si="125">-($E63-$AI63)/30+AD63</f>
        <v>7.9389312977098989E-2</v>
      </c>
      <c r="AF63" s="168">
        <f t="shared" ref="AF63" si="126">-($E63-$AI63)/30+AE63</f>
        <v>5.9541984732824182E-2</v>
      </c>
      <c r="AG63" s="168">
        <f t="shared" ref="AG63" si="127">-($E63-$AI63)/30+AF63</f>
        <v>3.9694656488549376E-2</v>
      </c>
      <c r="AH63" s="168">
        <f t="shared" ref="AH63" si="128">-($E63-$AI63)/30+AG63</f>
        <v>1.9847328244274567E-2</v>
      </c>
      <c r="AI63" s="168">
        <f>O11</f>
        <v>0</v>
      </c>
    </row>
    <row r="64" spans="1:35">
      <c r="A64" s="310"/>
      <c r="B64" t="s">
        <v>370</v>
      </c>
      <c r="D64" t="s">
        <v>745</v>
      </c>
      <c r="E64" s="168">
        <f>E12</f>
        <v>0</v>
      </c>
      <c r="F64" s="168">
        <f t="shared" si="114"/>
        <v>1.7104210105899357E-2</v>
      </c>
      <c r="G64" s="168">
        <f t="shared" si="114"/>
        <v>3.4208420211798714E-2</v>
      </c>
      <c r="H64" s="168">
        <f t="shared" si="114"/>
        <v>5.1312630317698074E-2</v>
      </c>
      <c r="I64" s="168">
        <f t="shared" si="114"/>
        <v>6.8416840423597428E-2</v>
      </c>
      <c r="J64" s="168">
        <f t="shared" si="114"/>
        <v>8.5521050529496781E-2</v>
      </c>
      <c r="K64" s="168">
        <f t="shared" si="114"/>
        <v>0.10262526063539613</v>
      </c>
      <c r="L64" s="168">
        <f t="shared" si="114"/>
        <v>0.11972947074129549</v>
      </c>
      <c r="M64" s="168">
        <f t="shared" si="114"/>
        <v>0.13683368084719486</v>
      </c>
      <c r="N64" s="168">
        <f t="shared" si="114"/>
        <v>0.15393789095309421</v>
      </c>
      <c r="O64" s="168">
        <f t="shared" si="114"/>
        <v>0.17104210105899356</v>
      </c>
      <c r="P64" s="168">
        <f t="shared" si="114"/>
        <v>0.18814631116489292</v>
      </c>
      <c r="Q64" s="168">
        <f t="shared" si="114"/>
        <v>0.20525052127079227</v>
      </c>
      <c r="R64" s="168">
        <f t="shared" si="114"/>
        <v>0.22235473137669162</v>
      </c>
      <c r="S64" s="168">
        <f t="shared" si="114"/>
        <v>0.23945894148259098</v>
      </c>
      <c r="T64" s="168">
        <f t="shared" si="114"/>
        <v>0.25656315158849036</v>
      </c>
      <c r="U64" s="168">
        <f t="shared" si="114"/>
        <v>0.27366736169438971</v>
      </c>
      <c r="V64" s="168">
        <f t="shared" si="113"/>
        <v>0.29077157180028906</v>
      </c>
      <c r="W64" s="168">
        <f t="shared" si="113"/>
        <v>0.30787578190618842</v>
      </c>
      <c r="X64" s="168">
        <f t="shared" si="113"/>
        <v>0.32497999201208777</v>
      </c>
      <c r="Y64" s="168">
        <f t="shared" si="113"/>
        <v>0.34208420211798712</v>
      </c>
      <c r="Z64" s="168">
        <f t="shared" si="113"/>
        <v>0.35918841222388648</v>
      </c>
      <c r="AA64" s="168">
        <f t="shared" si="113"/>
        <v>0.37629262232978583</v>
      </c>
      <c r="AB64" s="168">
        <f t="shared" si="113"/>
        <v>0.39339683243568518</v>
      </c>
      <c r="AC64" s="168">
        <f t="shared" si="113"/>
        <v>0.41050104254158454</v>
      </c>
      <c r="AD64" s="168">
        <f t="shared" si="113"/>
        <v>0.42760525264748389</v>
      </c>
      <c r="AE64" s="168">
        <f t="shared" si="113"/>
        <v>0.44470946275338324</v>
      </c>
      <c r="AF64" s="168">
        <f t="shared" si="113"/>
        <v>0.4618136728592826</v>
      </c>
      <c r="AG64" s="168">
        <f t="shared" si="113"/>
        <v>0.47891788296518195</v>
      </c>
      <c r="AH64" s="168">
        <f t="shared" si="113"/>
        <v>0.4960220930710813</v>
      </c>
      <c r="AI64" s="168">
        <f>O12</f>
        <v>0.51312630317698071</v>
      </c>
    </row>
    <row r="65" spans="1:35">
      <c r="A65" s="310"/>
      <c r="B65" t="s">
        <v>370</v>
      </c>
      <c r="D65" t="s">
        <v>248</v>
      </c>
      <c r="E65" s="168">
        <f>E13</f>
        <v>0.40458015267175568</v>
      </c>
      <c r="F65" s="168">
        <f t="shared" si="114"/>
        <v>0.40732327081013114</v>
      </c>
      <c r="G65" s="168">
        <f t="shared" si="114"/>
        <v>0.41006638894850661</v>
      </c>
      <c r="H65" s="168">
        <f t="shared" si="114"/>
        <v>0.41280950708688208</v>
      </c>
      <c r="I65" s="168">
        <f t="shared" si="114"/>
        <v>0.41555262522525754</v>
      </c>
      <c r="J65" s="168">
        <f t="shared" si="114"/>
        <v>0.41829574336363301</v>
      </c>
      <c r="K65" s="168">
        <f t="shared" si="114"/>
        <v>0.42103886150200848</v>
      </c>
      <c r="L65" s="168">
        <f t="shared" si="114"/>
        <v>0.42378197964038394</v>
      </c>
      <c r="M65" s="168">
        <f t="shared" si="114"/>
        <v>0.42652509777875941</v>
      </c>
      <c r="N65" s="168">
        <f t="shared" si="114"/>
        <v>0.42926821591713488</v>
      </c>
      <c r="O65" s="168">
        <f t="shared" si="114"/>
        <v>0.43201133405551034</v>
      </c>
      <c r="P65" s="168">
        <f t="shared" si="114"/>
        <v>0.43475445219388581</v>
      </c>
      <c r="Q65" s="168">
        <f t="shared" si="114"/>
        <v>0.43749757033226128</v>
      </c>
      <c r="R65" s="168">
        <f t="shared" si="114"/>
        <v>0.44024068847063674</v>
      </c>
      <c r="S65" s="168">
        <f t="shared" si="114"/>
        <v>0.44298380660901221</v>
      </c>
      <c r="T65" s="168">
        <f t="shared" si="114"/>
        <v>0.44572692474738768</v>
      </c>
      <c r="U65" s="168">
        <f t="shared" si="114"/>
        <v>0.44847004288576314</v>
      </c>
      <c r="V65" s="168">
        <f t="shared" si="113"/>
        <v>0.45121316102413861</v>
      </c>
      <c r="W65" s="168">
        <f t="shared" si="113"/>
        <v>0.45395627916251408</v>
      </c>
      <c r="X65" s="168">
        <f t="shared" si="113"/>
        <v>0.45669939730088954</v>
      </c>
      <c r="Y65" s="168">
        <f t="shared" si="113"/>
        <v>0.45944251543926501</v>
      </c>
      <c r="Z65" s="168">
        <f t="shared" si="113"/>
        <v>0.46218563357764048</v>
      </c>
      <c r="AA65" s="168">
        <f t="shared" si="113"/>
        <v>0.46492875171601594</v>
      </c>
      <c r="AB65" s="168">
        <f t="shared" si="113"/>
        <v>0.46767186985439141</v>
      </c>
      <c r="AC65" s="168">
        <f t="shared" si="113"/>
        <v>0.47041498799276688</v>
      </c>
      <c r="AD65" s="168">
        <f t="shared" si="113"/>
        <v>0.47315810613114234</v>
      </c>
      <c r="AE65" s="168">
        <f t="shared" si="113"/>
        <v>0.47590122426951781</v>
      </c>
      <c r="AF65" s="168">
        <f t="shared" si="113"/>
        <v>0.47864434240789328</v>
      </c>
      <c r="AG65" s="168">
        <f t="shared" si="113"/>
        <v>0.48138746054626874</v>
      </c>
      <c r="AH65" s="168">
        <f t="shared" si="113"/>
        <v>0.48413057868464421</v>
      </c>
      <c r="AI65" s="168">
        <f>O13</f>
        <v>0.48687369682301923</v>
      </c>
    </row>
    <row r="66" spans="1:35" s="67" customFormat="1">
      <c r="A66" s="307"/>
      <c r="B66" s="67" t="s">
        <v>370</v>
      </c>
      <c r="C66" s="67" t="s">
        <v>1754</v>
      </c>
      <c r="D66" t="s">
        <v>474</v>
      </c>
      <c r="E66" s="201">
        <f>F10</f>
        <v>0</v>
      </c>
      <c r="F66" s="201">
        <f t="shared" si="114"/>
        <v>0</v>
      </c>
      <c r="G66" s="201">
        <f t="shared" si="114"/>
        <v>0</v>
      </c>
      <c r="H66" s="201">
        <f t="shared" si="114"/>
        <v>0</v>
      </c>
      <c r="I66" s="201">
        <f t="shared" si="114"/>
        <v>0</v>
      </c>
      <c r="J66" s="201">
        <f t="shared" si="114"/>
        <v>0</v>
      </c>
      <c r="K66" s="201">
        <f t="shared" si="114"/>
        <v>0</v>
      </c>
      <c r="L66" s="201">
        <f t="shared" si="114"/>
        <v>0</v>
      </c>
      <c r="M66" s="201">
        <f t="shared" si="114"/>
        <v>0</v>
      </c>
      <c r="N66" s="201">
        <f t="shared" si="114"/>
        <v>0</v>
      </c>
      <c r="O66" s="201">
        <f t="shared" si="114"/>
        <v>0</v>
      </c>
      <c r="P66" s="201">
        <f t="shared" si="114"/>
        <v>0</v>
      </c>
      <c r="Q66" s="201">
        <f t="shared" si="114"/>
        <v>0</v>
      </c>
      <c r="R66" s="201">
        <f t="shared" si="114"/>
        <v>0</v>
      </c>
      <c r="S66" s="201">
        <f t="shared" si="114"/>
        <v>0</v>
      </c>
      <c r="T66" s="201">
        <f t="shared" si="114"/>
        <v>0</v>
      </c>
      <c r="U66" s="201">
        <f t="shared" si="114"/>
        <v>0</v>
      </c>
      <c r="V66" s="201">
        <f t="shared" si="113"/>
        <v>0</v>
      </c>
      <c r="W66" s="201">
        <f t="shared" si="113"/>
        <v>0</v>
      </c>
      <c r="X66" s="201">
        <f t="shared" si="113"/>
        <v>0</v>
      </c>
      <c r="Y66" s="201">
        <f t="shared" si="113"/>
        <v>0</v>
      </c>
      <c r="Z66" s="201">
        <f t="shared" si="113"/>
        <v>0</v>
      </c>
      <c r="AA66" s="201">
        <f t="shared" si="113"/>
        <v>0</v>
      </c>
      <c r="AB66" s="201">
        <f t="shared" si="113"/>
        <v>0</v>
      </c>
      <c r="AC66" s="201">
        <f t="shared" si="113"/>
        <v>0</v>
      </c>
      <c r="AD66" s="201">
        <f t="shared" si="113"/>
        <v>0</v>
      </c>
      <c r="AE66" s="201">
        <f t="shared" si="113"/>
        <v>0</v>
      </c>
      <c r="AF66" s="201">
        <f t="shared" si="113"/>
        <v>0</v>
      </c>
      <c r="AG66" s="201">
        <f t="shared" si="113"/>
        <v>0</v>
      </c>
      <c r="AH66" s="201">
        <f t="shared" si="113"/>
        <v>0</v>
      </c>
      <c r="AI66" s="201">
        <f>P10</f>
        <v>0</v>
      </c>
    </row>
    <row r="67" spans="1:35">
      <c r="A67" s="310"/>
      <c r="B67" s="67" t="s">
        <v>370</v>
      </c>
      <c r="C67" s="67" t="s">
        <v>1754</v>
      </c>
      <c r="D67" t="s">
        <v>478</v>
      </c>
      <c r="E67" s="201">
        <f>F11</f>
        <v>0.59541984732824427</v>
      </c>
      <c r="F67" s="201">
        <f t="shared" ref="F67:U67" si="129">-($E67-$AI67)/30+E67</f>
        <v>0.57557251908396945</v>
      </c>
      <c r="G67" s="201">
        <f t="shared" si="129"/>
        <v>0.55572519083969463</v>
      </c>
      <c r="H67" s="201">
        <f t="shared" si="129"/>
        <v>0.53587786259541981</v>
      </c>
      <c r="I67" s="201">
        <f t="shared" si="129"/>
        <v>0.51603053435114499</v>
      </c>
      <c r="J67" s="201">
        <f t="shared" si="129"/>
        <v>0.49618320610687017</v>
      </c>
      <c r="K67" s="201">
        <f t="shared" si="129"/>
        <v>0.47633587786259535</v>
      </c>
      <c r="L67" s="201">
        <f t="shared" si="129"/>
        <v>0.45648854961832053</v>
      </c>
      <c r="M67" s="201">
        <f t="shared" si="129"/>
        <v>0.43664122137404571</v>
      </c>
      <c r="N67" s="201">
        <f t="shared" si="129"/>
        <v>0.41679389312977089</v>
      </c>
      <c r="O67" s="201">
        <f t="shared" si="129"/>
        <v>0.39694656488549607</v>
      </c>
      <c r="P67" s="201">
        <f t="shared" si="129"/>
        <v>0.37709923664122125</v>
      </c>
      <c r="Q67" s="201">
        <f t="shared" si="129"/>
        <v>0.35725190839694643</v>
      </c>
      <c r="R67" s="201">
        <f t="shared" si="129"/>
        <v>0.33740458015267161</v>
      </c>
      <c r="S67" s="201">
        <f t="shared" si="129"/>
        <v>0.31755725190839679</v>
      </c>
      <c r="T67" s="201">
        <f t="shared" si="129"/>
        <v>0.29770992366412197</v>
      </c>
      <c r="U67" s="201">
        <f t="shared" si="129"/>
        <v>0.27786259541984715</v>
      </c>
      <c r="V67" s="201">
        <f t="shared" ref="V67" si="130">-($E67-$AI67)/30+U67</f>
        <v>0.25801526717557233</v>
      </c>
      <c r="W67" s="201">
        <f t="shared" ref="W67" si="131">-($E67-$AI67)/30+V67</f>
        <v>0.23816793893129751</v>
      </c>
      <c r="X67" s="201">
        <f t="shared" ref="X67" si="132">-($E67-$AI67)/30+W67</f>
        <v>0.21832061068702269</v>
      </c>
      <c r="Y67" s="201">
        <f t="shared" ref="Y67" si="133">-($E67-$AI67)/30+X67</f>
        <v>0.19847328244274787</v>
      </c>
      <c r="Z67" s="201">
        <f t="shared" ref="Z67" si="134">-($E67-$AI67)/30+Y67</f>
        <v>0.17862595419847305</v>
      </c>
      <c r="AA67" s="201">
        <f t="shared" ref="AA67" si="135">-($E67-$AI67)/30+Z67</f>
        <v>0.15877862595419823</v>
      </c>
      <c r="AB67" s="201">
        <f t="shared" ref="AB67" si="136">-($E67-$AI67)/30+AA67</f>
        <v>0.13893129770992341</v>
      </c>
      <c r="AC67" s="201">
        <f t="shared" ref="AC67" si="137">-($E67-$AI67)/30+AB67</f>
        <v>0.1190839694656486</v>
      </c>
      <c r="AD67" s="201">
        <f t="shared" ref="AD67" si="138">-($E67-$AI67)/30+AC67</f>
        <v>9.9236641221373795E-2</v>
      </c>
      <c r="AE67" s="201">
        <f t="shared" ref="AE67" si="139">-($E67-$AI67)/30+AD67</f>
        <v>7.9389312977098989E-2</v>
      </c>
      <c r="AF67" s="201">
        <f t="shared" ref="AF67" si="140">-($E67-$AI67)/30+AE67</f>
        <v>5.9541984732824182E-2</v>
      </c>
      <c r="AG67" s="201">
        <f t="shared" ref="AG67" si="141">-($E67-$AI67)/30+AF67</f>
        <v>3.9694656488549376E-2</v>
      </c>
      <c r="AH67" s="201">
        <f t="shared" ref="AH67" si="142">-($E67-$AI67)/30+AG67</f>
        <v>1.9847328244274567E-2</v>
      </c>
      <c r="AI67" s="201">
        <f>P11</f>
        <v>0</v>
      </c>
    </row>
    <row r="68" spans="1:35">
      <c r="A68" s="310"/>
      <c r="B68" t="s">
        <v>370</v>
      </c>
      <c r="D68" t="s">
        <v>745</v>
      </c>
      <c r="E68" s="168">
        <f>F12</f>
        <v>0</v>
      </c>
      <c r="F68" s="168">
        <f t="shared" si="114"/>
        <v>1.7104210105899357E-2</v>
      </c>
      <c r="G68" s="168">
        <f t="shared" si="114"/>
        <v>3.4208420211798714E-2</v>
      </c>
      <c r="H68" s="168">
        <f t="shared" si="114"/>
        <v>5.1312630317698074E-2</v>
      </c>
      <c r="I68" s="168">
        <f t="shared" si="114"/>
        <v>6.8416840423597428E-2</v>
      </c>
      <c r="J68" s="168">
        <f t="shared" si="114"/>
        <v>8.5521050529496781E-2</v>
      </c>
      <c r="K68" s="168">
        <f t="shared" si="114"/>
        <v>0.10262526063539613</v>
      </c>
      <c r="L68" s="168">
        <f t="shared" si="114"/>
        <v>0.11972947074129549</v>
      </c>
      <c r="M68" s="168">
        <f t="shared" si="114"/>
        <v>0.13683368084719486</v>
      </c>
      <c r="N68" s="168">
        <f t="shared" si="114"/>
        <v>0.15393789095309421</v>
      </c>
      <c r="O68" s="168">
        <f t="shared" si="114"/>
        <v>0.17104210105899356</v>
      </c>
      <c r="P68" s="168">
        <f t="shared" si="114"/>
        <v>0.18814631116489292</v>
      </c>
      <c r="Q68" s="168">
        <f t="shared" si="114"/>
        <v>0.20525052127079227</v>
      </c>
      <c r="R68" s="168">
        <f t="shared" si="114"/>
        <v>0.22235473137669162</v>
      </c>
      <c r="S68" s="168">
        <f t="shared" si="114"/>
        <v>0.23945894148259098</v>
      </c>
      <c r="T68" s="168">
        <f t="shared" si="114"/>
        <v>0.25656315158849036</v>
      </c>
      <c r="U68" s="168">
        <f t="shared" si="114"/>
        <v>0.27366736169438971</v>
      </c>
      <c r="V68" s="168">
        <f t="shared" si="113"/>
        <v>0.29077157180028906</v>
      </c>
      <c r="W68" s="168">
        <f t="shared" si="113"/>
        <v>0.30787578190618842</v>
      </c>
      <c r="X68" s="168">
        <f t="shared" si="113"/>
        <v>0.32497999201208777</v>
      </c>
      <c r="Y68" s="168">
        <f t="shared" si="113"/>
        <v>0.34208420211798712</v>
      </c>
      <c r="Z68" s="168">
        <f t="shared" si="113"/>
        <v>0.35918841222388648</v>
      </c>
      <c r="AA68" s="168">
        <f t="shared" si="113"/>
        <v>0.37629262232978583</v>
      </c>
      <c r="AB68" s="168">
        <f t="shared" si="113"/>
        <v>0.39339683243568518</v>
      </c>
      <c r="AC68" s="168">
        <f t="shared" si="113"/>
        <v>0.41050104254158454</v>
      </c>
      <c r="AD68" s="168">
        <f t="shared" si="113"/>
        <v>0.42760525264748389</v>
      </c>
      <c r="AE68" s="168">
        <f t="shared" si="113"/>
        <v>0.44470946275338324</v>
      </c>
      <c r="AF68" s="168">
        <f t="shared" si="113"/>
        <v>0.4618136728592826</v>
      </c>
      <c r="AG68" s="168">
        <f t="shared" si="113"/>
        <v>0.47891788296518195</v>
      </c>
      <c r="AH68" s="168">
        <f t="shared" si="113"/>
        <v>0.4960220930710813</v>
      </c>
      <c r="AI68" s="168">
        <f>P12</f>
        <v>0.51312630317698071</v>
      </c>
    </row>
    <row r="69" spans="1:35">
      <c r="A69" s="310"/>
      <c r="B69" t="s">
        <v>370</v>
      </c>
      <c r="D69" t="s">
        <v>248</v>
      </c>
      <c r="E69" s="168">
        <f>F13</f>
        <v>0.40458015267175568</v>
      </c>
      <c r="F69" s="168">
        <f t="shared" si="114"/>
        <v>0.40732327081013114</v>
      </c>
      <c r="G69" s="168">
        <f t="shared" si="114"/>
        <v>0.41006638894850661</v>
      </c>
      <c r="H69" s="168">
        <f t="shared" si="114"/>
        <v>0.41280950708688208</v>
      </c>
      <c r="I69" s="168">
        <f t="shared" si="114"/>
        <v>0.41555262522525754</v>
      </c>
      <c r="J69" s="168">
        <f t="shared" si="114"/>
        <v>0.41829574336363301</v>
      </c>
      <c r="K69" s="168">
        <f t="shared" si="114"/>
        <v>0.42103886150200848</v>
      </c>
      <c r="L69" s="168">
        <f t="shared" si="114"/>
        <v>0.42378197964038394</v>
      </c>
      <c r="M69" s="168">
        <f t="shared" si="114"/>
        <v>0.42652509777875941</v>
      </c>
      <c r="N69" s="168">
        <f t="shared" si="114"/>
        <v>0.42926821591713488</v>
      </c>
      <c r="O69" s="168">
        <f t="shared" si="114"/>
        <v>0.43201133405551034</v>
      </c>
      <c r="P69" s="168">
        <f t="shared" si="114"/>
        <v>0.43475445219388581</v>
      </c>
      <c r="Q69" s="168">
        <f t="shared" si="114"/>
        <v>0.43749757033226128</v>
      </c>
      <c r="R69" s="168">
        <f t="shared" si="114"/>
        <v>0.44024068847063674</v>
      </c>
      <c r="S69" s="168">
        <f t="shared" si="114"/>
        <v>0.44298380660901221</v>
      </c>
      <c r="T69" s="168">
        <f t="shared" si="114"/>
        <v>0.44572692474738768</v>
      </c>
      <c r="U69" s="168">
        <f t="shared" si="114"/>
        <v>0.44847004288576314</v>
      </c>
      <c r="V69" s="168">
        <f t="shared" si="113"/>
        <v>0.45121316102413861</v>
      </c>
      <c r="W69" s="168">
        <f t="shared" si="113"/>
        <v>0.45395627916251408</v>
      </c>
      <c r="X69" s="168">
        <f t="shared" si="113"/>
        <v>0.45669939730088954</v>
      </c>
      <c r="Y69" s="168">
        <f t="shared" si="113"/>
        <v>0.45944251543926501</v>
      </c>
      <c r="Z69" s="168">
        <f t="shared" si="113"/>
        <v>0.46218563357764048</v>
      </c>
      <c r="AA69" s="168">
        <f t="shared" si="113"/>
        <v>0.46492875171601594</v>
      </c>
      <c r="AB69" s="168">
        <f t="shared" si="113"/>
        <v>0.46767186985439141</v>
      </c>
      <c r="AC69" s="168">
        <f t="shared" si="113"/>
        <v>0.47041498799276688</v>
      </c>
      <c r="AD69" s="168">
        <f t="shared" si="113"/>
        <v>0.47315810613114234</v>
      </c>
      <c r="AE69" s="168">
        <f t="shared" si="113"/>
        <v>0.47590122426951781</v>
      </c>
      <c r="AF69" s="168">
        <f t="shared" si="113"/>
        <v>0.47864434240789328</v>
      </c>
      <c r="AG69" s="168">
        <f t="shared" si="113"/>
        <v>0.48138746054626874</v>
      </c>
      <c r="AH69" s="168">
        <f t="shared" si="113"/>
        <v>0.48413057868464421</v>
      </c>
      <c r="AI69" s="168">
        <f>P13</f>
        <v>0.48687369682301923</v>
      </c>
    </row>
    <row r="70" spans="1:35" s="67" customFormat="1">
      <c r="A70" s="307"/>
      <c r="B70" s="67" t="s">
        <v>370</v>
      </c>
      <c r="C70" s="67" t="s">
        <v>1750</v>
      </c>
      <c r="D70" t="s">
        <v>474</v>
      </c>
      <c r="E70" s="201">
        <f>G10</f>
        <v>0</v>
      </c>
      <c r="F70" s="201">
        <f t="shared" si="114"/>
        <v>0</v>
      </c>
      <c r="G70" s="201">
        <f t="shared" si="114"/>
        <v>0</v>
      </c>
      <c r="H70" s="201">
        <f t="shared" si="114"/>
        <v>0</v>
      </c>
      <c r="I70" s="201">
        <f t="shared" si="114"/>
        <v>0</v>
      </c>
      <c r="J70" s="201">
        <f t="shared" si="114"/>
        <v>0</v>
      </c>
      <c r="K70" s="201">
        <f t="shared" si="114"/>
        <v>0</v>
      </c>
      <c r="L70" s="201">
        <f t="shared" si="114"/>
        <v>0</v>
      </c>
      <c r="M70" s="201">
        <f t="shared" si="114"/>
        <v>0</v>
      </c>
      <c r="N70" s="201">
        <f t="shared" si="114"/>
        <v>0</v>
      </c>
      <c r="O70" s="201">
        <f t="shared" si="114"/>
        <v>0</v>
      </c>
      <c r="P70" s="201">
        <f t="shared" si="114"/>
        <v>0</v>
      </c>
      <c r="Q70" s="201">
        <f t="shared" si="114"/>
        <v>0</v>
      </c>
      <c r="R70" s="201">
        <f t="shared" si="114"/>
        <v>0</v>
      </c>
      <c r="S70" s="201">
        <f t="shared" si="114"/>
        <v>0</v>
      </c>
      <c r="T70" s="201">
        <f t="shared" si="114"/>
        <v>0</v>
      </c>
      <c r="U70" s="201">
        <f t="shared" si="114"/>
        <v>0</v>
      </c>
      <c r="V70" s="201">
        <f t="shared" si="113"/>
        <v>0</v>
      </c>
      <c r="W70" s="201">
        <f t="shared" si="113"/>
        <v>0</v>
      </c>
      <c r="X70" s="201">
        <f t="shared" si="113"/>
        <v>0</v>
      </c>
      <c r="Y70" s="201">
        <f t="shared" si="113"/>
        <v>0</v>
      </c>
      <c r="Z70" s="201">
        <f t="shared" si="113"/>
        <v>0</v>
      </c>
      <c r="AA70" s="201">
        <f t="shared" si="113"/>
        <v>0</v>
      </c>
      <c r="AB70" s="201">
        <f t="shared" si="113"/>
        <v>0</v>
      </c>
      <c r="AC70" s="201">
        <f t="shared" si="113"/>
        <v>0</v>
      </c>
      <c r="AD70" s="201">
        <f t="shared" si="113"/>
        <v>0</v>
      </c>
      <c r="AE70" s="201">
        <f t="shared" si="113"/>
        <v>0</v>
      </c>
      <c r="AF70" s="201">
        <f t="shared" si="113"/>
        <v>0</v>
      </c>
      <c r="AG70" s="201">
        <f t="shared" si="113"/>
        <v>0</v>
      </c>
      <c r="AH70" s="201">
        <f t="shared" si="113"/>
        <v>0</v>
      </c>
      <c r="AI70" s="201">
        <f>Q10</f>
        <v>0</v>
      </c>
    </row>
    <row r="71" spans="1:35">
      <c r="A71" s="310"/>
      <c r="B71" s="67" t="s">
        <v>370</v>
      </c>
      <c r="C71" s="67" t="s">
        <v>1750</v>
      </c>
      <c r="D71" t="s">
        <v>478</v>
      </c>
      <c r="E71" s="201">
        <f>G11</f>
        <v>0.59541984732824427</v>
      </c>
      <c r="F71" s="201">
        <f t="shared" ref="F71:U71" si="143">-($E71-$AI71)/30+E71</f>
        <v>0.57557251908396945</v>
      </c>
      <c r="G71" s="201">
        <f t="shared" si="143"/>
        <v>0.55572519083969463</v>
      </c>
      <c r="H71" s="201">
        <f t="shared" si="143"/>
        <v>0.53587786259541981</v>
      </c>
      <c r="I71" s="201">
        <f t="shared" si="143"/>
        <v>0.51603053435114499</v>
      </c>
      <c r="J71" s="201">
        <f t="shared" si="143"/>
        <v>0.49618320610687017</v>
      </c>
      <c r="K71" s="201">
        <f t="shared" si="143"/>
        <v>0.47633587786259535</v>
      </c>
      <c r="L71" s="201">
        <f t="shared" si="143"/>
        <v>0.45648854961832053</v>
      </c>
      <c r="M71" s="201">
        <f t="shared" si="143"/>
        <v>0.43664122137404571</v>
      </c>
      <c r="N71" s="201">
        <f t="shared" si="143"/>
        <v>0.41679389312977089</v>
      </c>
      <c r="O71" s="201">
        <f t="shared" si="143"/>
        <v>0.39694656488549607</v>
      </c>
      <c r="P71" s="201">
        <f t="shared" si="143"/>
        <v>0.37709923664122125</v>
      </c>
      <c r="Q71" s="201">
        <f t="shared" si="143"/>
        <v>0.35725190839694643</v>
      </c>
      <c r="R71" s="201">
        <f t="shared" si="143"/>
        <v>0.33740458015267161</v>
      </c>
      <c r="S71" s="201">
        <f t="shared" si="143"/>
        <v>0.31755725190839679</v>
      </c>
      <c r="T71" s="201">
        <f t="shared" si="143"/>
        <v>0.29770992366412197</v>
      </c>
      <c r="U71" s="201">
        <f t="shared" si="143"/>
        <v>0.27786259541984715</v>
      </c>
      <c r="V71" s="201">
        <f t="shared" ref="V71" si="144">-($E71-$AI71)/30+U71</f>
        <v>0.25801526717557233</v>
      </c>
      <c r="W71" s="201">
        <f t="shared" ref="W71" si="145">-($E71-$AI71)/30+V71</f>
        <v>0.23816793893129751</v>
      </c>
      <c r="X71" s="201">
        <f t="shared" ref="X71" si="146">-($E71-$AI71)/30+W71</f>
        <v>0.21832061068702269</v>
      </c>
      <c r="Y71" s="201">
        <f t="shared" ref="Y71" si="147">-($E71-$AI71)/30+X71</f>
        <v>0.19847328244274787</v>
      </c>
      <c r="Z71" s="201">
        <f t="shared" ref="Z71" si="148">-($E71-$AI71)/30+Y71</f>
        <v>0.17862595419847305</v>
      </c>
      <c r="AA71" s="201">
        <f t="shared" ref="AA71" si="149">-($E71-$AI71)/30+Z71</f>
        <v>0.15877862595419823</v>
      </c>
      <c r="AB71" s="201">
        <f t="shared" ref="AB71" si="150">-($E71-$AI71)/30+AA71</f>
        <v>0.13893129770992341</v>
      </c>
      <c r="AC71" s="201">
        <f t="shared" ref="AC71" si="151">-($E71-$AI71)/30+AB71</f>
        <v>0.1190839694656486</v>
      </c>
      <c r="AD71" s="201">
        <f t="shared" ref="AD71" si="152">-($E71-$AI71)/30+AC71</f>
        <v>9.9236641221373795E-2</v>
      </c>
      <c r="AE71" s="201">
        <f t="shared" ref="AE71" si="153">-($E71-$AI71)/30+AD71</f>
        <v>7.9389312977098989E-2</v>
      </c>
      <c r="AF71" s="201">
        <f t="shared" ref="AF71" si="154">-($E71-$AI71)/30+AE71</f>
        <v>5.9541984732824182E-2</v>
      </c>
      <c r="AG71" s="201">
        <f t="shared" ref="AG71" si="155">-($E71-$AI71)/30+AF71</f>
        <v>3.9694656488549376E-2</v>
      </c>
      <c r="AH71" s="201">
        <f t="shared" ref="AH71" si="156">-($E71-$AI71)/30+AG71</f>
        <v>1.9847328244274567E-2</v>
      </c>
      <c r="AI71" s="201">
        <f>Q11</f>
        <v>0</v>
      </c>
    </row>
    <row r="72" spans="1:35">
      <c r="A72" s="310"/>
      <c r="B72" t="s">
        <v>370</v>
      </c>
      <c r="D72" t="s">
        <v>745</v>
      </c>
      <c r="E72" s="168">
        <f>G12</f>
        <v>0</v>
      </c>
      <c r="F72" s="168">
        <f t="shared" si="114"/>
        <v>1.7104210105899357E-2</v>
      </c>
      <c r="G72" s="168">
        <f t="shared" si="114"/>
        <v>3.4208420211798714E-2</v>
      </c>
      <c r="H72" s="168">
        <f t="shared" si="114"/>
        <v>5.1312630317698074E-2</v>
      </c>
      <c r="I72" s="168">
        <f t="shared" si="114"/>
        <v>6.8416840423597428E-2</v>
      </c>
      <c r="J72" s="168">
        <f t="shared" si="114"/>
        <v>8.5521050529496781E-2</v>
      </c>
      <c r="K72" s="168">
        <f t="shared" si="114"/>
        <v>0.10262526063539613</v>
      </c>
      <c r="L72" s="168">
        <f t="shared" si="114"/>
        <v>0.11972947074129549</v>
      </c>
      <c r="M72" s="168">
        <f t="shared" si="114"/>
        <v>0.13683368084719486</v>
      </c>
      <c r="N72" s="168">
        <f t="shared" si="114"/>
        <v>0.15393789095309421</v>
      </c>
      <c r="O72" s="168">
        <f t="shared" si="114"/>
        <v>0.17104210105899356</v>
      </c>
      <c r="P72" s="168">
        <f t="shared" si="114"/>
        <v>0.18814631116489292</v>
      </c>
      <c r="Q72" s="168">
        <f t="shared" si="114"/>
        <v>0.20525052127079227</v>
      </c>
      <c r="R72" s="168">
        <f t="shared" si="114"/>
        <v>0.22235473137669162</v>
      </c>
      <c r="S72" s="168">
        <f t="shared" si="114"/>
        <v>0.23945894148259098</v>
      </c>
      <c r="T72" s="168">
        <f t="shared" si="114"/>
        <v>0.25656315158849036</v>
      </c>
      <c r="U72" s="168">
        <f t="shared" si="114"/>
        <v>0.27366736169438971</v>
      </c>
      <c r="V72" s="168">
        <f t="shared" si="113"/>
        <v>0.29077157180028906</v>
      </c>
      <c r="W72" s="168">
        <f t="shared" si="113"/>
        <v>0.30787578190618842</v>
      </c>
      <c r="X72" s="168">
        <f t="shared" si="113"/>
        <v>0.32497999201208777</v>
      </c>
      <c r="Y72" s="168">
        <f t="shared" si="113"/>
        <v>0.34208420211798712</v>
      </c>
      <c r="Z72" s="168">
        <f t="shared" si="113"/>
        <v>0.35918841222388648</v>
      </c>
      <c r="AA72" s="168">
        <f t="shared" si="113"/>
        <v>0.37629262232978583</v>
      </c>
      <c r="AB72" s="168">
        <f t="shared" si="113"/>
        <v>0.39339683243568518</v>
      </c>
      <c r="AC72" s="168">
        <f t="shared" si="113"/>
        <v>0.41050104254158454</v>
      </c>
      <c r="AD72" s="168">
        <f t="shared" si="113"/>
        <v>0.42760525264748389</v>
      </c>
      <c r="AE72" s="168">
        <f t="shared" si="113"/>
        <v>0.44470946275338324</v>
      </c>
      <c r="AF72" s="168">
        <f t="shared" si="113"/>
        <v>0.4618136728592826</v>
      </c>
      <c r="AG72" s="168">
        <f t="shared" si="113"/>
        <v>0.47891788296518195</v>
      </c>
      <c r="AH72" s="168">
        <f t="shared" si="113"/>
        <v>0.4960220930710813</v>
      </c>
      <c r="AI72" s="168">
        <f>Q12</f>
        <v>0.51312630317698071</v>
      </c>
    </row>
    <row r="73" spans="1:35">
      <c r="A73" s="310"/>
      <c r="B73" t="s">
        <v>370</v>
      </c>
      <c r="D73" t="s">
        <v>248</v>
      </c>
      <c r="E73" s="168">
        <f>G13</f>
        <v>0.40458015267175568</v>
      </c>
      <c r="F73" s="168">
        <f t="shared" si="114"/>
        <v>0.40732327081013114</v>
      </c>
      <c r="G73" s="168">
        <f t="shared" si="114"/>
        <v>0.41006638894850661</v>
      </c>
      <c r="H73" s="168">
        <f t="shared" si="114"/>
        <v>0.41280950708688208</v>
      </c>
      <c r="I73" s="168">
        <f t="shared" si="114"/>
        <v>0.41555262522525754</v>
      </c>
      <c r="J73" s="168">
        <f t="shared" si="114"/>
        <v>0.41829574336363301</v>
      </c>
      <c r="K73" s="168">
        <f t="shared" si="114"/>
        <v>0.42103886150200848</v>
      </c>
      <c r="L73" s="168">
        <f t="shared" si="114"/>
        <v>0.42378197964038394</v>
      </c>
      <c r="M73" s="168">
        <f t="shared" si="114"/>
        <v>0.42652509777875941</v>
      </c>
      <c r="N73" s="168">
        <f t="shared" si="114"/>
        <v>0.42926821591713488</v>
      </c>
      <c r="O73" s="168">
        <f t="shared" si="114"/>
        <v>0.43201133405551034</v>
      </c>
      <c r="P73" s="168">
        <f t="shared" si="114"/>
        <v>0.43475445219388581</v>
      </c>
      <c r="Q73" s="168">
        <f t="shared" si="114"/>
        <v>0.43749757033226128</v>
      </c>
      <c r="R73" s="168">
        <f t="shared" si="114"/>
        <v>0.44024068847063674</v>
      </c>
      <c r="S73" s="168">
        <f t="shared" si="114"/>
        <v>0.44298380660901221</v>
      </c>
      <c r="T73" s="168">
        <f t="shared" si="114"/>
        <v>0.44572692474738768</v>
      </c>
      <c r="U73" s="168">
        <f t="shared" si="114"/>
        <v>0.44847004288576314</v>
      </c>
      <c r="V73" s="168">
        <f t="shared" si="113"/>
        <v>0.45121316102413861</v>
      </c>
      <c r="W73" s="168">
        <f t="shared" si="113"/>
        <v>0.45395627916251408</v>
      </c>
      <c r="X73" s="168">
        <f t="shared" si="113"/>
        <v>0.45669939730088954</v>
      </c>
      <c r="Y73" s="168">
        <f t="shared" si="113"/>
        <v>0.45944251543926501</v>
      </c>
      <c r="Z73" s="168">
        <f t="shared" si="113"/>
        <v>0.46218563357764048</v>
      </c>
      <c r="AA73" s="168">
        <f t="shared" si="113"/>
        <v>0.46492875171601594</v>
      </c>
      <c r="AB73" s="168">
        <f t="shared" si="113"/>
        <v>0.46767186985439141</v>
      </c>
      <c r="AC73" s="168">
        <f t="shared" si="113"/>
        <v>0.47041498799276688</v>
      </c>
      <c r="AD73" s="168">
        <f t="shared" si="113"/>
        <v>0.47315810613114234</v>
      </c>
      <c r="AE73" s="168">
        <f t="shared" si="113"/>
        <v>0.47590122426951781</v>
      </c>
      <c r="AF73" s="168">
        <f t="shared" si="113"/>
        <v>0.47864434240789328</v>
      </c>
      <c r="AG73" s="168">
        <f t="shared" si="113"/>
        <v>0.48138746054626874</v>
      </c>
      <c r="AH73" s="168">
        <f t="shared" si="113"/>
        <v>0.48413057868464421</v>
      </c>
      <c r="AI73" s="168">
        <f>Q13</f>
        <v>0.48687369682301923</v>
      </c>
    </row>
    <row r="74" spans="1:35" s="67" customFormat="1">
      <c r="A74" s="307"/>
      <c r="B74" s="67" t="s">
        <v>329</v>
      </c>
      <c r="C74" s="67" t="s">
        <v>1746</v>
      </c>
      <c r="D74" t="s">
        <v>474</v>
      </c>
      <c r="E74" s="201">
        <f>D17</f>
        <v>0.91912919741166743</v>
      </c>
      <c r="F74" s="201">
        <f t="shared" si="114"/>
        <v>0.91912919741166743</v>
      </c>
      <c r="G74" s="201">
        <f t="shared" si="114"/>
        <v>0.91912919741166743</v>
      </c>
      <c r="H74" s="201">
        <f t="shared" si="114"/>
        <v>0.91912919741166743</v>
      </c>
      <c r="I74" s="201">
        <f t="shared" si="114"/>
        <v>0.91912919741166743</v>
      </c>
      <c r="J74" s="201">
        <f t="shared" si="114"/>
        <v>0.91912919741166743</v>
      </c>
      <c r="K74" s="201">
        <f t="shared" si="114"/>
        <v>0.91912919741166743</v>
      </c>
      <c r="L74" s="201">
        <f t="shared" si="114"/>
        <v>0.91912919741166743</v>
      </c>
      <c r="M74" s="201">
        <f t="shared" si="114"/>
        <v>0.91912919741166743</v>
      </c>
      <c r="N74" s="201">
        <f t="shared" si="114"/>
        <v>0.91912919741166743</v>
      </c>
      <c r="O74" s="201">
        <f t="shared" si="114"/>
        <v>0.91912919741166743</v>
      </c>
      <c r="P74" s="201">
        <f t="shared" si="114"/>
        <v>0.91912919741166743</v>
      </c>
      <c r="Q74" s="201">
        <f t="shared" si="114"/>
        <v>0.91912919741166743</v>
      </c>
      <c r="R74" s="201">
        <f t="shared" si="114"/>
        <v>0.91912919741166743</v>
      </c>
      <c r="S74" s="201">
        <f t="shared" si="114"/>
        <v>0.91912919741166743</v>
      </c>
      <c r="T74" s="201">
        <f t="shared" si="114"/>
        <v>0.91912919741166743</v>
      </c>
      <c r="U74" s="201">
        <f t="shared" si="114"/>
        <v>0.91912919741166743</v>
      </c>
      <c r="V74" s="201">
        <f t="shared" si="113"/>
        <v>0.91912919741166743</v>
      </c>
      <c r="W74" s="201">
        <f t="shared" si="113"/>
        <v>0.91912919741166743</v>
      </c>
      <c r="X74" s="201">
        <f t="shared" si="113"/>
        <v>0.91912919741166743</v>
      </c>
      <c r="Y74" s="201">
        <f t="shared" si="113"/>
        <v>0.91912919741166743</v>
      </c>
      <c r="Z74" s="201">
        <f t="shared" si="113"/>
        <v>0.91912919741166743</v>
      </c>
      <c r="AA74" s="201">
        <f t="shared" si="113"/>
        <v>0.91912919741166743</v>
      </c>
      <c r="AB74" s="201">
        <f t="shared" si="113"/>
        <v>0.91912919741166743</v>
      </c>
      <c r="AC74" s="201">
        <f t="shared" si="113"/>
        <v>0.91912919741166743</v>
      </c>
      <c r="AD74" s="201">
        <f t="shared" si="113"/>
        <v>0.91912919741166743</v>
      </c>
      <c r="AE74" s="201">
        <f t="shared" si="113"/>
        <v>0.91912919741166743</v>
      </c>
      <c r="AF74" s="201">
        <f t="shared" si="113"/>
        <v>0.91912919741166743</v>
      </c>
      <c r="AG74" s="201">
        <f t="shared" si="113"/>
        <v>0.91912919741166743</v>
      </c>
      <c r="AH74" s="201">
        <f t="shared" si="113"/>
        <v>0.91912919741166743</v>
      </c>
      <c r="AI74" s="201">
        <f>N17</f>
        <v>0.91912919741166732</v>
      </c>
    </row>
    <row r="75" spans="1:35">
      <c r="A75" s="310"/>
      <c r="B75" s="67" t="s">
        <v>329</v>
      </c>
      <c r="C75" s="67" t="s">
        <v>1746</v>
      </c>
      <c r="D75" t="s">
        <v>478</v>
      </c>
      <c r="E75" s="201">
        <f>D18</f>
        <v>0</v>
      </c>
      <c r="F75" s="201">
        <f t="shared" ref="F75:U75" si="157">-($E75-$AI75)/30+E75</f>
        <v>0</v>
      </c>
      <c r="G75" s="201">
        <f t="shared" si="157"/>
        <v>0</v>
      </c>
      <c r="H75" s="201">
        <f t="shared" si="157"/>
        <v>0</v>
      </c>
      <c r="I75" s="201">
        <f t="shared" si="157"/>
        <v>0</v>
      </c>
      <c r="J75" s="201">
        <f t="shared" si="157"/>
        <v>0</v>
      </c>
      <c r="K75" s="201">
        <f t="shared" si="157"/>
        <v>0</v>
      </c>
      <c r="L75" s="201">
        <f t="shared" si="157"/>
        <v>0</v>
      </c>
      <c r="M75" s="201">
        <f t="shared" si="157"/>
        <v>0</v>
      </c>
      <c r="N75" s="201">
        <f t="shared" si="157"/>
        <v>0</v>
      </c>
      <c r="O75" s="201">
        <f t="shared" si="157"/>
        <v>0</v>
      </c>
      <c r="P75" s="201">
        <f t="shared" si="157"/>
        <v>0</v>
      </c>
      <c r="Q75" s="201">
        <f t="shared" si="157"/>
        <v>0</v>
      </c>
      <c r="R75" s="201">
        <f t="shared" si="157"/>
        <v>0</v>
      </c>
      <c r="S75" s="201">
        <f t="shared" si="157"/>
        <v>0</v>
      </c>
      <c r="T75" s="201">
        <f t="shared" si="157"/>
        <v>0</v>
      </c>
      <c r="U75" s="201">
        <f t="shared" si="157"/>
        <v>0</v>
      </c>
      <c r="V75" s="201">
        <f t="shared" ref="V75" si="158">-($E75-$AI75)/30+U75</f>
        <v>0</v>
      </c>
      <c r="W75" s="201">
        <f t="shared" ref="W75" si="159">-($E75-$AI75)/30+V75</f>
        <v>0</v>
      </c>
      <c r="X75" s="201">
        <f t="shared" ref="X75" si="160">-($E75-$AI75)/30+W75</f>
        <v>0</v>
      </c>
      <c r="Y75" s="201">
        <f t="shared" ref="Y75" si="161">-($E75-$AI75)/30+X75</f>
        <v>0</v>
      </c>
      <c r="Z75" s="201">
        <f t="shared" ref="Z75" si="162">-($E75-$AI75)/30+Y75</f>
        <v>0</v>
      </c>
      <c r="AA75" s="201">
        <f t="shared" ref="AA75" si="163">-($E75-$AI75)/30+Z75</f>
        <v>0</v>
      </c>
      <c r="AB75" s="201">
        <f t="shared" ref="AB75" si="164">-($E75-$AI75)/30+AA75</f>
        <v>0</v>
      </c>
      <c r="AC75" s="201">
        <f t="shared" ref="AC75" si="165">-($E75-$AI75)/30+AB75</f>
        <v>0</v>
      </c>
      <c r="AD75" s="201">
        <f t="shared" ref="AD75" si="166">-($E75-$AI75)/30+AC75</f>
        <v>0</v>
      </c>
      <c r="AE75" s="201">
        <f t="shared" ref="AE75" si="167">-($E75-$AI75)/30+AD75</f>
        <v>0</v>
      </c>
      <c r="AF75" s="201">
        <f t="shared" ref="AF75" si="168">-($E75-$AI75)/30+AE75</f>
        <v>0</v>
      </c>
      <c r="AG75" s="201">
        <f t="shared" ref="AG75" si="169">-($E75-$AI75)/30+AF75</f>
        <v>0</v>
      </c>
      <c r="AH75" s="201">
        <f t="shared" ref="AH75" si="170">-($E75-$AI75)/30+AG75</f>
        <v>0</v>
      </c>
      <c r="AI75" s="201">
        <f>N18</f>
        <v>0</v>
      </c>
    </row>
    <row r="76" spans="1:35">
      <c r="A76" s="310"/>
      <c r="B76" t="s">
        <v>329</v>
      </c>
      <c r="D76" t="s">
        <v>745</v>
      </c>
      <c r="E76" s="168">
        <f>D19</f>
        <v>0</v>
      </c>
      <c r="F76" s="168">
        <f t="shared" si="114"/>
        <v>0</v>
      </c>
      <c r="G76" s="168">
        <f t="shared" si="114"/>
        <v>0</v>
      </c>
      <c r="H76" s="168">
        <f t="shared" si="114"/>
        <v>0</v>
      </c>
      <c r="I76" s="168">
        <f t="shared" si="114"/>
        <v>0</v>
      </c>
      <c r="J76" s="168">
        <f t="shared" si="114"/>
        <v>0</v>
      </c>
      <c r="K76" s="168">
        <f t="shared" si="114"/>
        <v>0</v>
      </c>
      <c r="L76" s="168">
        <f t="shared" si="114"/>
        <v>0</v>
      </c>
      <c r="M76" s="168">
        <f t="shared" si="114"/>
        <v>0</v>
      </c>
      <c r="N76" s="168">
        <f t="shared" si="114"/>
        <v>0</v>
      </c>
      <c r="O76" s="168">
        <f t="shared" si="114"/>
        <v>0</v>
      </c>
      <c r="P76" s="168">
        <f t="shared" si="114"/>
        <v>0</v>
      </c>
      <c r="Q76" s="168">
        <f t="shared" si="114"/>
        <v>0</v>
      </c>
      <c r="R76" s="168">
        <f t="shared" si="114"/>
        <v>0</v>
      </c>
      <c r="S76" s="168">
        <f t="shared" si="114"/>
        <v>0</v>
      </c>
      <c r="T76" s="168">
        <f t="shared" si="114"/>
        <v>0</v>
      </c>
      <c r="U76" s="168">
        <f t="shared" si="114"/>
        <v>0</v>
      </c>
      <c r="V76" s="168">
        <f t="shared" si="113"/>
        <v>0</v>
      </c>
      <c r="W76" s="168">
        <f t="shared" si="113"/>
        <v>0</v>
      </c>
      <c r="X76" s="168">
        <f t="shared" si="113"/>
        <v>0</v>
      </c>
      <c r="Y76" s="168">
        <f t="shared" si="113"/>
        <v>0</v>
      </c>
      <c r="Z76" s="168">
        <f t="shared" si="113"/>
        <v>0</v>
      </c>
      <c r="AA76" s="168">
        <f t="shared" si="113"/>
        <v>0</v>
      </c>
      <c r="AB76" s="168">
        <f t="shared" si="113"/>
        <v>0</v>
      </c>
      <c r="AC76" s="168">
        <f t="shared" si="113"/>
        <v>0</v>
      </c>
      <c r="AD76" s="168">
        <f t="shared" si="113"/>
        <v>0</v>
      </c>
      <c r="AE76" s="168">
        <f t="shared" si="113"/>
        <v>0</v>
      </c>
      <c r="AF76" s="168">
        <f t="shared" si="113"/>
        <v>0</v>
      </c>
      <c r="AG76" s="168">
        <f t="shared" si="113"/>
        <v>0</v>
      </c>
      <c r="AH76" s="168">
        <f t="shared" si="113"/>
        <v>0</v>
      </c>
      <c r="AI76" s="168">
        <f>N19</f>
        <v>0</v>
      </c>
    </row>
    <row r="77" spans="1:35">
      <c r="A77" s="310"/>
      <c r="B77" t="s">
        <v>329</v>
      </c>
      <c r="D77" t="s">
        <v>248</v>
      </c>
      <c r="E77" s="168">
        <f>D20</f>
        <v>8.0870802588332583E-2</v>
      </c>
      <c r="F77" s="168">
        <f t="shared" si="114"/>
        <v>8.0870802588332583E-2</v>
      </c>
      <c r="G77" s="168">
        <f t="shared" si="114"/>
        <v>8.0870802588332583E-2</v>
      </c>
      <c r="H77" s="168">
        <f t="shared" si="114"/>
        <v>8.0870802588332583E-2</v>
      </c>
      <c r="I77" s="168">
        <f t="shared" si="114"/>
        <v>8.0870802588332583E-2</v>
      </c>
      <c r="J77" s="168">
        <f t="shared" si="114"/>
        <v>8.0870802588332583E-2</v>
      </c>
      <c r="K77" s="168">
        <f t="shared" si="114"/>
        <v>8.0870802588332583E-2</v>
      </c>
      <c r="L77" s="168">
        <f t="shared" si="114"/>
        <v>8.0870802588332583E-2</v>
      </c>
      <c r="M77" s="168">
        <f t="shared" si="114"/>
        <v>8.0870802588332583E-2</v>
      </c>
      <c r="N77" s="168">
        <f t="shared" si="114"/>
        <v>8.0870802588332583E-2</v>
      </c>
      <c r="O77" s="168">
        <f t="shared" si="114"/>
        <v>8.0870802588332583E-2</v>
      </c>
      <c r="P77" s="168">
        <f t="shared" si="114"/>
        <v>8.0870802588332583E-2</v>
      </c>
      <c r="Q77" s="168">
        <f t="shared" si="114"/>
        <v>8.0870802588332583E-2</v>
      </c>
      <c r="R77" s="168">
        <f t="shared" si="114"/>
        <v>8.0870802588332583E-2</v>
      </c>
      <c r="S77" s="168">
        <f t="shared" si="114"/>
        <v>8.0870802588332583E-2</v>
      </c>
      <c r="T77" s="168">
        <f t="shared" si="114"/>
        <v>8.0870802588332583E-2</v>
      </c>
      <c r="U77" s="168">
        <f t="shared" si="114"/>
        <v>8.0870802588332583E-2</v>
      </c>
      <c r="V77" s="168">
        <f t="shared" si="113"/>
        <v>8.0870802588332583E-2</v>
      </c>
      <c r="W77" s="168">
        <f t="shared" si="113"/>
        <v>8.0870802588332583E-2</v>
      </c>
      <c r="X77" s="168">
        <f t="shared" si="113"/>
        <v>8.0870802588332583E-2</v>
      </c>
      <c r="Y77" s="168">
        <f t="shared" si="113"/>
        <v>8.0870802588332583E-2</v>
      </c>
      <c r="Z77" s="168">
        <f t="shared" si="113"/>
        <v>8.0870802588332583E-2</v>
      </c>
      <c r="AA77" s="168">
        <f t="shared" si="113"/>
        <v>8.0870802588332583E-2</v>
      </c>
      <c r="AB77" s="168">
        <f t="shared" si="113"/>
        <v>8.0870802588332583E-2</v>
      </c>
      <c r="AC77" s="168">
        <f t="shared" si="113"/>
        <v>8.0870802588332583E-2</v>
      </c>
      <c r="AD77" s="168">
        <f t="shared" si="113"/>
        <v>8.0870802588332583E-2</v>
      </c>
      <c r="AE77" s="168">
        <f t="shared" si="113"/>
        <v>8.0870802588332583E-2</v>
      </c>
      <c r="AF77" s="168">
        <f t="shared" si="113"/>
        <v>8.0870802588332583E-2</v>
      </c>
      <c r="AG77" s="168">
        <f t="shared" si="113"/>
        <v>8.0870802588332583E-2</v>
      </c>
      <c r="AH77" s="168">
        <f t="shared" si="113"/>
        <v>8.0870802588332583E-2</v>
      </c>
      <c r="AI77" s="168">
        <f>N20</f>
        <v>8.0870802588332569E-2</v>
      </c>
    </row>
    <row r="78" spans="1:35" s="67" customFormat="1">
      <c r="A78" s="307"/>
      <c r="B78" s="67" t="s">
        <v>329</v>
      </c>
      <c r="C78" s="67" t="s">
        <v>1749</v>
      </c>
      <c r="D78" t="s">
        <v>474</v>
      </c>
      <c r="E78" s="201">
        <f>E17</f>
        <v>0.91912919741166743</v>
      </c>
      <c r="F78" s="201">
        <f t="shared" si="114"/>
        <v>0.91912919741166743</v>
      </c>
      <c r="G78" s="201">
        <f t="shared" si="114"/>
        <v>0.91912919741166743</v>
      </c>
      <c r="H78" s="201">
        <f t="shared" si="114"/>
        <v>0.91912919741166743</v>
      </c>
      <c r="I78" s="201">
        <f t="shared" si="114"/>
        <v>0.91912919741166743</v>
      </c>
      <c r="J78" s="201">
        <f t="shared" si="114"/>
        <v>0.91912919741166743</v>
      </c>
      <c r="K78" s="201">
        <f t="shared" si="114"/>
        <v>0.91912919741166743</v>
      </c>
      <c r="L78" s="201">
        <f t="shared" si="114"/>
        <v>0.91912919741166743</v>
      </c>
      <c r="M78" s="201">
        <f t="shared" si="114"/>
        <v>0.91912919741166743</v>
      </c>
      <c r="N78" s="201">
        <f t="shared" si="114"/>
        <v>0.91912919741166743</v>
      </c>
      <c r="O78" s="201">
        <f t="shared" si="114"/>
        <v>0.91912919741166743</v>
      </c>
      <c r="P78" s="201">
        <f t="shared" si="114"/>
        <v>0.91912919741166743</v>
      </c>
      <c r="Q78" s="201">
        <f t="shared" si="114"/>
        <v>0.91912919741166743</v>
      </c>
      <c r="R78" s="201">
        <f t="shared" si="114"/>
        <v>0.91912919741166743</v>
      </c>
      <c r="S78" s="201">
        <f t="shared" si="114"/>
        <v>0.91912919741166743</v>
      </c>
      <c r="T78" s="201">
        <f t="shared" si="114"/>
        <v>0.91912919741166743</v>
      </c>
      <c r="U78" s="201">
        <f t="shared" si="114"/>
        <v>0.91912919741166743</v>
      </c>
      <c r="V78" s="201">
        <f t="shared" si="113"/>
        <v>0.91912919741166743</v>
      </c>
      <c r="W78" s="201">
        <f t="shared" si="113"/>
        <v>0.91912919741166743</v>
      </c>
      <c r="X78" s="201">
        <f t="shared" si="113"/>
        <v>0.91912919741166743</v>
      </c>
      <c r="Y78" s="201">
        <f t="shared" si="113"/>
        <v>0.91912919741166743</v>
      </c>
      <c r="Z78" s="201">
        <f t="shared" si="113"/>
        <v>0.91912919741166743</v>
      </c>
      <c r="AA78" s="201">
        <f t="shared" si="113"/>
        <v>0.91912919741166743</v>
      </c>
      <c r="AB78" s="201">
        <f t="shared" si="113"/>
        <v>0.91912919741166743</v>
      </c>
      <c r="AC78" s="201">
        <f t="shared" si="113"/>
        <v>0.91912919741166743</v>
      </c>
      <c r="AD78" s="201">
        <f t="shared" si="113"/>
        <v>0.91912919741166743</v>
      </c>
      <c r="AE78" s="201">
        <f t="shared" si="113"/>
        <v>0.91912919741166743</v>
      </c>
      <c r="AF78" s="201">
        <f t="shared" si="113"/>
        <v>0.91912919741166743</v>
      </c>
      <c r="AG78" s="201">
        <f t="shared" si="113"/>
        <v>0.91912919741166743</v>
      </c>
      <c r="AH78" s="201">
        <f t="shared" si="113"/>
        <v>0.91912919741166743</v>
      </c>
      <c r="AI78" s="201">
        <f>O17</f>
        <v>0.91912919741166732</v>
      </c>
    </row>
    <row r="79" spans="1:35">
      <c r="A79" s="310"/>
      <c r="B79" s="67" t="s">
        <v>329</v>
      </c>
      <c r="C79" s="67" t="s">
        <v>1749</v>
      </c>
      <c r="D79" t="s">
        <v>478</v>
      </c>
      <c r="E79" s="201">
        <f>E18</f>
        <v>0</v>
      </c>
      <c r="F79" s="201">
        <f t="shared" ref="F79:U79" si="171">-($E79-$AI79)/30+E79</f>
        <v>0</v>
      </c>
      <c r="G79" s="201">
        <f t="shared" si="171"/>
        <v>0</v>
      </c>
      <c r="H79" s="201">
        <f t="shared" si="171"/>
        <v>0</v>
      </c>
      <c r="I79" s="201">
        <f t="shared" si="171"/>
        <v>0</v>
      </c>
      <c r="J79" s="201">
        <f t="shared" si="171"/>
        <v>0</v>
      </c>
      <c r="K79" s="201">
        <f t="shared" si="171"/>
        <v>0</v>
      </c>
      <c r="L79" s="201">
        <f t="shared" si="171"/>
        <v>0</v>
      </c>
      <c r="M79" s="201">
        <f t="shared" si="171"/>
        <v>0</v>
      </c>
      <c r="N79" s="201">
        <f t="shared" si="171"/>
        <v>0</v>
      </c>
      <c r="O79" s="201">
        <f t="shared" si="171"/>
        <v>0</v>
      </c>
      <c r="P79" s="201">
        <f t="shared" si="171"/>
        <v>0</v>
      </c>
      <c r="Q79" s="201">
        <f t="shared" si="171"/>
        <v>0</v>
      </c>
      <c r="R79" s="201">
        <f t="shared" si="171"/>
        <v>0</v>
      </c>
      <c r="S79" s="201">
        <f t="shared" si="171"/>
        <v>0</v>
      </c>
      <c r="T79" s="201">
        <f t="shared" si="171"/>
        <v>0</v>
      </c>
      <c r="U79" s="201">
        <f t="shared" si="171"/>
        <v>0</v>
      </c>
      <c r="V79" s="201">
        <f t="shared" ref="V79" si="172">-($E79-$AI79)/30+U79</f>
        <v>0</v>
      </c>
      <c r="W79" s="201">
        <f t="shared" ref="W79" si="173">-($E79-$AI79)/30+V79</f>
        <v>0</v>
      </c>
      <c r="X79" s="201">
        <f t="shared" ref="X79" si="174">-($E79-$AI79)/30+W79</f>
        <v>0</v>
      </c>
      <c r="Y79" s="201">
        <f t="shared" ref="Y79" si="175">-($E79-$AI79)/30+X79</f>
        <v>0</v>
      </c>
      <c r="Z79" s="201">
        <f t="shared" ref="Z79" si="176">-($E79-$AI79)/30+Y79</f>
        <v>0</v>
      </c>
      <c r="AA79" s="201">
        <f t="shared" ref="AA79" si="177">-($E79-$AI79)/30+Z79</f>
        <v>0</v>
      </c>
      <c r="AB79" s="201">
        <f t="shared" ref="AB79" si="178">-($E79-$AI79)/30+AA79</f>
        <v>0</v>
      </c>
      <c r="AC79" s="201">
        <f t="shared" ref="AC79" si="179">-($E79-$AI79)/30+AB79</f>
        <v>0</v>
      </c>
      <c r="AD79" s="201">
        <f t="shared" ref="AD79" si="180">-($E79-$AI79)/30+AC79</f>
        <v>0</v>
      </c>
      <c r="AE79" s="201">
        <f t="shared" ref="AE79" si="181">-($E79-$AI79)/30+AD79</f>
        <v>0</v>
      </c>
      <c r="AF79" s="201">
        <f t="shared" ref="AF79" si="182">-($E79-$AI79)/30+AE79</f>
        <v>0</v>
      </c>
      <c r="AG79" s="201">
        <f t="shared" ref="AG79" si="183">-($E79-$AI79)/30+AF79</f>
        <v>0</v>
      </c>
      <c r="AH79" s="201">
        <f t="shared" ref="AH79" si="184">-($E79-$AI79)/30+AG79</f>
        <v>0</v>
      </c>
      <c r="AI79" s="201">
        <f>O18</f>
        <v>0</v>
      </c>
    </row>
    <row r="80" spans="1:35">
      <c r="A80" s="310"/>
      <c r="B80" t="s">
        <v>329</v>
      </c>
      <c r="D80" t="s">
        <v>745</v>
      </c>
      <c r="E80" s="168">
        <f>E19</f>
        <v>0</v>
      </c>
      <c r="F80" s="168">
        <f t="shared" si="114"/>
        <v>0</v>
      </c>
      <c r="G80" s="168">
        <f t="shared" si="114"/>
        <v>0</v>
      </c>
      <c r="H80" s="168">
        <f t="shared" si="114"/>
        <v>0</v>
      </c>
      <c r="I80" s="168">
        <f t="shared" si="114"/>
        <v>0</v>
      </c>
      <c r="J80" s="168">
        <f t="shared" si="114"/>
        <v>0</v>
      </c>
      <c r="K80" s="168">
        <f t="shared" si="114"/>
        <v>0</v>
      </c>
      <c r="L80" s="168">
        <f t="shared" si="114"/>
        <v>0</v>
      </c>
      <c r="M80" s="168">
        <f t="shared" si="114"/>
        <v>0</v>
      </c>
      <c r="N80" s="168">
        <f t="shared" si="114"/>
        <v>0</v>
      </c>
      <c r="O80" s="168">
        <f t="shared" si="114"/>
        <v>0</v>
      </c>
      <c r="P80" s="168">
        <f t="shared" si="114"/>
        <v>0</v>
      </c>
      <c r="Q80" s="168">
        <f t="shared" si="114"/>
        <v>0</v>
      </c>
      <c r="R80" s="168">
        <f t="shared" si="114"/>
        <v>0</v>
      </c>
      <c r="S80" s="168">
        <f t="shared" si="114"/>
        <v>0</v>
      </c>
      <c r="T80" s="168">
        <f t="shared" si="114"/>
        <v>0</v>
      </c>
      <c r="U80" s="168">
        <f t="shared" si="114"/>
        <v>0</v>
      </c>
      <c r="V80" s="168">
        <f t="shared" si="113"/>
        <v>0</v>
      </c>
      <c r="W80" s="168">
        <f t="shared" si="113"/>
        <v>0</v>
      </c>
      <c r="X80" s="168">
        <f t="shared" si="113"/>
        <v>0</v>
      </c>
      <c r="Y80" s="168">
        <f t="shared" si="113"/>
        <v>0</v>
      </c>
      <c r="Z80" s="168">
        <f t="shared" si="113"/>
        <v>0</v>
      </c>
      <c r="AA80" s="168">
        <f t="shared" si="113"/>
        <v>0</v>
      </c>
      <c r="AB80" s="168">
        <f t="shared" si="113"/>
        <v>0</v>
      </c>
      <c r="AC80" s="168">
        <f t="shared" si="113"/>
        <v>0</v>
      </c>
      <c r="AD80" s="168">
        <f t="shared" si="113"/>
        <v>0</v>
      </c>
      <c r="AE80" s="168">
        <f t="shared" si="113"/>
        <v>0</v>
      </c>
      <c r="AF80" s="168">
        <f t="shared" si="113"/>
        <v>0</v>
      </c>
      <c r="AG80" s="168">
        <f t="shared" si="113"/>
        <v>0</v>
      </c>
      <c r="AH80" s="168">
        <f t="shared" si="113"/>
        <v>0</v>
      </c>
      <c r="AI80" s="168">
        <f>O19</f>
        <v>0</v>
      </c>
    </row>
    <row r="81" spans="1:35">
      <c r="A81" s="310"/>
      <c r="B81" t="s">
        <v>329</v>
      </c>
      <c r="D81" t="s">
        <v>248</v>
      </c>
      <c r="E81" s="168">
        <f>E20</f>
        <v>8.0870802588332583E-2</v>
      </c>
      <c r="F81" s="168">
        <f t="shared" si="114"/>
        <v>8.0870802588332583E-2</v>
      </c>
      <c r="G81" s="168">
        <f t="shared" si="114"/>
        <v>8.0870802588332583E-2</v>
      </c>
      <c r="H81" s="168">
        <f t="shared" si="114"/>
        <v>8.0870802588332583E-2</v>
      </c>
      <c r="I81" s="168">
        <f t="shared" si="114"/>
        <v>8.0870802588332583E-2</v>
      </c>
      <c r="J81" s="168">
        <f t="shared" si="114"/>
        <v>8.0870802588332583E-2</v>
      </c>
      <c r="K81" s="168">
        <f t="shared" si="114"/>
        <v>8.0870802588332583E-2</v>
      </c>
      <c r="L81" s="168">
        <f t="shared" si="114"/>
        <v>8.0870802588332583E-2</v>
      </c>
      <c r="M81" s="168">
        <f t="shared" si="114"/>
        <v>8.0870802588332583E-2</v>
      </c>
      <c r="N81" s="168">
        <f t="shared" si="114"/>
        <v>8.0870802588332583E-2</v>
      </c>
      <c r="O81" s="168">
        <f t="shared" si="114"/>
        <v>8.0870802588332583E-2</v>
      </c>
      <c r="P81" s="168">
        <f t="shared" si="114"/>
        <v>8.0870802588332583E-2</v>
      </c>
      <c r="Q81" s="168">
        <f t="shared" si="114"/>
        <v>8.0870802588332583E-2</v>
      </c>
      <c r="R81" s="168">
        <f t="shared" si="114"/>
        <v>8.0870802588332583E-2</v>
      </c>
      <c r="S81" s="168">
        <f t="shared" si="114"/>
        <v>8.0870802588332583E-2</v>
      </c>
      <c r="T81" s="168">
        <f t="shared" si="114"/>
        <v>8.0870802588332583E-2</v>
      </c>
      <c r="U81" s="168">
        <f t="shared" ref="U81:AH93" si="185">-($E81-$AI81)/30+T81</f>
        <v>8.0870802588332583E-2</v>
      </c>
      <c r="V81" s="168">
        <f t="shared" si="185"/>
        <v>8.0870802588332583E-2</v>
      </c>
      <c r="W81" s="168">
        <f t="shared" si="185"/>
        <v>8.0870802588332583E-2</v>
      </c>
      <c r="X81" s="168">
        <f t="shared" si="185"/>
        <v>8.0870802588332583E-2</v>
      </c>
      <c r="Y81" s="168">
        <f t="shared" si="185"/>
        <v>8.0870802588332583E-2</v>
      </c>
      <c r="Z81" s="168">
        <f t="shared" si="185"/>
        <v>8.0870802588332583E-2</v>
      </c>
      <c r="AA81" s="168">
        <f t="shared" si="185"/>
        <v>8.0870802588332583E-2</v>
      </c>
      <c r="AB81" s="168">
        <f t="shared" si="185"/>
        <v>8.0870802588332583E-2</v>
      </c>
      <c r="AC81" s="168">
        <f t="shared" si="185"/>
        <v>8.0870802588332583E-2</v>
      </c>
      <c r="AD81" s="168">
        <f t="shared" si="185"/>
        <v>8.0870802588332583E-2</v>
      </c>
      <c r="AE81" s="168">
        <f t="shared" si="185"/>
        <v>8.0870802588332583E-2</v>
      </c>
      <c r="AF81" s="168">
        <f t="shared" si="185"/>
        <v>8.0870802588332583E-2</v>
      </c>
      <c r="AG81" s="168">
        <f t="shared" si="185"/>
        <v>8.0870802588332583E-2</v>
      </c>
      <c r="AH81" s="168">
        <f t="shared" si="185"/>
        <v>8.0870802588332583E-2</v>
      </c>
      <c r="AI81" s="168">
        <f>O20</f>
        <v>8.0870802588332569E-2</v>
      </c>
    </row>
    <row r="82" spans="1:35" s="67" customFormat="1">
      <c r="A82" s="307"/>
      <c r="B82" s="67" t="s">
        <v>329</v>
      </c>
      <c r="C82" s="67" t="s">
        <v>1750</v>
      </c>
      <c r="D82" t="s">
        <v>474</v>
      </c>
      <c r="E82" s="201">
        <f>F17</f>
        <v>0.91912919741166743</v>
      </c>
      <c r="F82" s="201">
        <f t="shared" ref="F82:U93" si="186">-($E82-$AI82)/30+E82</f>
        <v>0.91912919741166743</v>
      </c>
      <c r="G82" s="201">
        <f t="shared" si="186"/>
        <v>0.91912919741166743</v>
      </c>
      <c r="H82" s="201">
        <f t="shared" si="186"/>
        <v>0.91912919741166743</v>
      </c>
      <c r="I82" s="201">
        <f t="shared" si="186"/>
        <v>0.91912919741166743</v>
      </c>
      <c r="J82" s="201">
        <f t="shared" si="186"/>
        <v>0.91912919741166743</v>
      </c>
      <c r="K82" s="201">
        <f t="shared" si="186"/>
        <v>0.91912919741166743</v>
      </c>
      <c r="L82" s="201">
        <f t="shared" si="186"/>
        <v>0.91912919741166743</v>
      </c>
      <c r="M82" s="201">
        <f t="shared" si="186"/>
        <v>0.91912919741166743</v>
      </c>
      <c r="N82" s="201">
        <f t="shared" si="186"/>
        <v>0.91912919741166743</v>
      </c>
      <c r="O82" s="201">
        <f t="shared" si="186"/>
        <v>0.91912919741166743</v>
      </c>
      <c r="P82" s="201">
        <f t="shared" si="186"/>
        <v>0.91912919741166743</v>
      </c>
      <c r="Q82" s="201">
        <f t="shared" si="186"/>
        <v>0.91912919741166743</v>
      </c>
      <c r="R82" s="201">
        <f t="shared" si="186"/>
        <v>0.91912919741166743</v>
      </c>
      <c r="S82" s="201">
        <f t="shared" si="186"/>
        <v>0.91912919741166743</v>
      </c>
      <c r="T82" s="201">
        <f t="shared" si="186"/>
        <v>0.91912919741166743</v>
      </c>
      <c r="U82" s="201">
        <f t="shared" si="186"/>
        <v>0.91912919741166743</v>
      </c>
      <c r="V82" s="201">
        <f t="shared" si="185"/>
        <v>0.91912919741166743</v>
      </c>
      <c r="W82" s="201">
        <f t="shared" si="185"/>
        <v>0.91912919741166743</v>
      </c>
      <c r="X82" s="201">
        <f t="shared" si="185"/>
        <v>0.91912919741166743</v>
      </c>
      <c r="Y82" s="201">
        <f t="shared" si="185"/>
        <v>0.91912919741166743</v>
      </c>
      <c r="Z82" s="201">
        <f t="shared" si="185"/>
        <v>0.91912919741166743</v>
      </c>
      <c r="AA82" s="201">
        <f t="shared" si="185"/>
        <v>0.91912919741166743</v>
      </c>
      <c r="AB82" s="201">
        <f t="shared" si="185"/>
        <v>0.91912919741166743</v>
      </c>
      <c r="AC82" s="201">
        <f t="shared" si="185"/>
        <v>0.91912919741166743</v>
      </c>
      <c r="AD82" s="201">
        <f t="shared" si="185"/>
        <v>0.91912919741166743</v>
      </c>
      <c r="AE82" s="201">
        <f t="shared" si="185"/>
        <v>0.91912919741166743</v>
      </c>
      <c r="AF82" s="201">
        <f t="shared" si="185"/>
        <v>0.91912919741166743</v>
      </c>
      <c r="AG82" s="201">
        <f t="shared" si="185"/>
        <v>0.91912919741166743</v>
      </c>
      <c r="AH82" s="201">
        <f t="shared" si="185"/>
        <v>0.91912919741166743</v>
      </c>
      <c r="AI82" s="201">
        <f>P17</f>
        <v>0.91912919741166732</v>
      </c>
    </row>
    <row r="83" spans="1:35">
      <c r="A83" s="310"/>
      <c r="B83" s="67" t="s">
        <v>329</v>
      </c>
      <c r="C83" s="67" t="s">
        <v>1750</v>
      </c>
      <c r="D83" t="s">
        <v>478</v>
      </c>
      <c r="E83" s="201">
        <f>F18</f>
        <v>0</v>
      </c>
      <c r="F83" s="201">
        <f t="shared" ref="F83" si="187">-($E83-$AI83)/30+E83</f>
        <v>0</v>
      </c>
      <c r="G83" s="201">
        <f t="shared" ref="G83" si="188">-($E83-$AI83)/30+F83</f>
        <v>0</v>
      </c>
      <c r="H83" s="201">
        <f t="shared" ref="H83" si="189">-($E83-$AI83)/30+G83</f>
        <v>0</v>
      </c>
      <c r="I83" s="201">
        <f t="shared" ref="I83" si="190">-($E83-$AI83)/30+H83</f>
        <v>0</v>
      </c>
      <c r="J83" s="201">
        <f t="shared" ref="J83" si="191">-($E83-$AI83)/30+I83</f>
        <v>0</v>
      </c>
      <c r="K83" s="201">
        <f t="shared" ref="K83" si="192">-($E83-$AI83)/30+J83</f>
        <v>0</v>
      </c>
      <c r="L83" s="201">
        <f t="shared" ref="L83" si="193">-($E83-$AI83)/30+K83</f>
        <v>0</v>
      </c>
      <c r="M83" s="201">
        <f t="shared" ref="M83" si="194">-($E83-$AI83)/30+L83</f>
        <v>0</v>
      </c>
      <c r="N83" s="201">
        <f t="shared" ref="N83" si="195">-($E83-$AI83)/30+M83</f>
        <v>0</v>
      </c>
      <c r="O83" s="201">
        <f t="shared" ref="O83" si="196">-($E83-$AI83)/30+N83</f>
        <v>0</v>
      </c>
      <c r="P83" s="201">
        <f t="shared" ref="P83" si="197">-($E83-$AI83)/30+O83</f>
        <v>0</v>
      </c>
      <c r="Q83" s="201">
        <f t="shared" ref="Q83" si="198">-($E83-$AI83)/30+P83</f>
        <v>0</v>
      </c>
      <c r="R83" s="201">
        <f t="shared" ref="R83" si="199">-($E83-$AI83)/30+Q83</f>
        <v>0</v>
      </c>
      <c r="S83" s="201">
        <f t="shared" ref="S83" si="200">-($E83-$AI83)/30+R83</f>
        <v>0</v>
      </c>
      <c r="T83" s="201">
        <f t="shared" ref="T83" si="201">-($E83-$AI83)/30+S83</f>
        <v>0</v>
      </c>
      <c r="U83" s="201">
        <f t="shared" ref="U83" si="202">-($E83-$AI83)/30+T83</f>
        <v>0</v>
      </c>
      <c r="V83" s="201">
        <f t="shared" ref="V83" si="203">-($E83-$AI83)/30+U83</f>
        <v>0</v>
      </c>
      <c r="W83" s="201">
        <f t="shared" ref="W83" si="204">-($E83-$AI83)/30+V83</f>
        <v>0</v>
      </c>
      <c r="X83" s="201">
        <f t="shared" ref="X83" si="205">-($E83-$AI83)/30+W83</f>
        <v>0</v>
      </c>
      <c r="Y83" s="201">
        <f t="shared" ref="Y83" si="206">-($E83-$AI83)/30+X83</f>
        <v>0</v>
      </c>
      <c r="Z83" s="201">
        <f t="shared" ref="Z83" si="207">-($E83-$AI83)/30+Y83</f>
        <v>0</v>
      </c>
      <c r="AA83" s="201">
        <f t="shared" ref="AA83" si="208">-($E83-$AI83)/30+Z83</f>
        <v>0</v>
      </c>
      <c r="AB83" s="201">
        <f t="shared" ref="AB83" si="209">-($E83-$AI83)/30+AA83</f>
        <v>0</v>
      </c>
      <c r="AC83" s="201">
        <f t="shared" ref="AC83" si="210">-($E83-$AI83)/30+AB83</f>
        <v>0</v>
      </c>
      <c r="AD83" s="201">
        <f t="shared" ref="AD83" si="211">-($E83-$AI83)/30+AC83</f>
        <v>0</v>
      </c>
      <c r="AE83" s="201">
        <f t="shared" ref="AE83" si="212">-($E83-$AI83)/30+AD83</f>
        <v>0</v>
      </c>
      <c r="AF83" s="201">
        <f t="shared" ref="AF83" si="213">-($E83-$AI83)/30+AE83</f>
        <v>0</v>
      </c>
      <c r="AG83" s="201">
        <f t="shared" ref="AG83" si="214">-($E83-$AI83)/30+AF83</f>
        <v>0</v>
      </c>
      <c r="AH83" s="201">
        <f t="shared" ref="AH83" si="215">-($E83-$AI83)/30+AG83</f>
        <v>0</v>
      </c>
      <c r="AI83" s="201">
        <f>P18</f>
        <v>0</v>
      </c>
    </row>
    <row r="84" spans="1:35">
      <c r="A84" s="310"/>
      <c r="B84" t="s">
        <v>329</v>
      </c>
      <c r="D84" t="s">
        <v>745</v>
      </c>
      <c r="E84" s="168">
        <f>F19</f>
        <v>0</v>
      </c>
      <c r="F84" s="168">
        <f t="shared" si="186"/>
        <v>0</v>
      </c>
      <c r="G84" s="168">
        <f t="shared" si="186"/>
        <v>0</v>
      </c>
      <c r="H84" s="168">
        <f t="shared" si="186"/>
        <v>0</v>
      </c>
      <c r="I84" s="168">
        <f t="shared" si="186"/>
        <v>0</v>
      </c>
      <c r="J84" s="168">
        <f t="shared" si="186"/>
        <v>0</v>
      </c>
      <c r="K84" s="168">
        <f t="shared" si="186"/>
        <v>0</v>
      </c>
      <c r="L84" s="168">
        <f t="shared" si="186"/>
        <v>0</v>
      </c>
      <c r="M84" s="168">
        <f t="shared" si="186"/>
        <v>0</v>
      </c>
      <c r="N84" s="168">
        <f t="shared" si="186"/>
        <v>0</v>
      </c>
      <c r="O84" s="168">
        <f t="shared" si="186"/>
        <v>0</v>
      </c>
      <c r="P84" s="168">
        <f t="shared" si="186"/>
        <v>0</v>
      </c>
      <c r="Q84" s="168">
        <f t="shared" si="186"/>
        <v>0</v>
      </c>
      <c r="R84" s="168">
        <f t="shared" si="186"/>
        <v>0</v>
      </c>
      <c r="S84" s="168">
        <f t="shared" si="186"/>
        <v>0</v>
      </c>
      <c r="T84" s="168">
        <f t="shared" si="186"/>
        <v>0</v>
      </c>
      <c r="U84" s="168">
        <f t="shared" si="186"/>
        <v>0</v>
      </c>
      <c r="V84" s="168">
        <f t="shared" si="185"/>
        <v>0</v>
      </c>
      <c r="W84" s="168">
        <f t="shared" si="185"/>
        <v>0</v>
      </c>
      <c r="X84" s="168">
        <f t="shared" si="185"/>
        <v>0</v>
      </c>
      <c r="Y84" s="168">
        <f t="shared" si="185"/>
        <v>0</v>
      </c>
      <c r="Z84" s="168">
        <f t="shared" si="185"/>
        <v>0</v>
      </c>
      <c r="AA84" s="168">
        <f t="shared" si="185"/>
        <v>0</v>
      </c>
      <c r="AB84" s="168">
        <f t="shared" si="185"/>
        <v>0</v>
      </c>
      <c r="AC84" s="168">
        <f t="shared" si="185"/>
        <v>0</v>
      </c>
      <c r="AD84" s="168">
        <f t="shared" si="185"/>
        <v>0</v>
      </c>
      <c r="AE84" s="168">
        <f t="shared" si="185"/>
        <v>0</v>
      </c>
      <c r="AF84" s="168">
        <f t="shared" si="185"/>
        <v>0</v>
      </c>
      <c r="AG84" s="168">
        <f t="shared" si="185"/>
        <v>0</v>
      </c>
      <c r="AH84" s="168">
        <f t="shared" si="185"/>
        <v>0</v>
      </c>
      <c r="AI84" s="168">
        <f>P19</f>
        <v>0</v>
      </c>
    </row>
    <row r="85" spans="1:35">
      <c r="A85" s="310"/>
      <c r="B85" t="s">
        <v>329</v>
      </c>
      <c r="D85" t="s">
        <v>248</v>
      </c>
      <c r="E85" s="168">
        <f>F20</f>
        <v>8.0870802588332583E-2</v>
      </c>
      <c r="F85" s="168">
        <f t="shared" si="186"/>
        <v>8.0870802588332583E-2</v>
      </c>
      <c r="G85" s="168">
        <f t="shared" si="186"/>
        <v>8.0870802588332583E-2</v>
      </c>
      <c r="H85" s="168">
        <f t="shared" si="186"/>
        <v>8.0870802588332583E-2</v>
      </c>
      <c r="I85" s="168">
        <f t="shared" si="186"/>
        <v>8.0870802588332583E-2</v>
      </c>
      <c r="J85" s="168">
        <f t="shared" si="186"/>
        <v>8.0870802588332583E-2</v>
      </c>
      <c r="K85" s="168">
        <f t="shared" si="186"/>
        <v>8.0870802588332583E-2</v>
      </c>
      <c r="L85" s="168">
        <f t="shared" si="186"/>
        <v>8.0870802588332583E-2</v>
      </c>
      <c r="M85" s="168">
        <f t="shared" si="186"/>
        <v>8.0870802588332583E-2</v>
      </c>
      <c r="N85" s="168">
        <f t="shared" si="186"/>
        <v>8.0870802588332583E-2</v>
      </c>
      <c r="O85" s="168">
        <f t="shared" si="186"/>
        <v>8.0870802588332583E-2</v>
      </c>
      <c r="P85" s="168">
        <f t="shared" si="186"/>
        <v>8.0870802588332583E-2</v>
      </c>
      <c r="Q85" s="168">
        <f t="shared" si="186"/>
        <v>8.0870802588332583E-2</v>
      </c>
      <c r="R85" s="168">
        <f t="shared" si="186"/>
        <v>8.0870802588332583E-2</v>
      </c>
      <c r="S85" s="168">
        <f t="shared" si="186"/>
        <v>8.0870802588332583E-2</v>
      </c>
      <c r="T85" s="168">
        <f t="shared" si="186"/>
        <v>8.0870802588332583E-2</v>
      </c>
      <c r="U85" s="168">
        <f t="shared" si="186"/>
        <v>8.0870802588332583E-2</v>
      </c>
      <c r="V85" s="168">
        <f t="shared" si="185"/>
        <v>8.0870802588332583E-2</v>
      </c>
      <c r="W85" s="168">
        <f t="shared" si="185"/>
        <v>8.0870802588332583E-2</v>
      </c>
      <c r="X85" s="168">
        <f t="shared" si="185"/>
        <v>8.0870802588332583E-2</v>
      </c>
      <c r="Y85" s="168">
        <f t="shared" si="185"/>
        <v>8.0870802588332583E-2</v>
      </c>
      <c r="Z85" s="168">
        <f t="shared" si="185"/>
        <v>8.0870802588332583E-2</v>
      </c>
      <c r="AA85" s="168">
        <f t="shared" si="185"/>
        <v>8.0870802588332583E-2</v>
      </c>
      <c r="AB85" s="168">
        <f t="shared" si="185"/>
        <v>8.0870802588332583E-2</v>
      </c>
      <c r="AC85" s="168">
        <f t="shared" si="185"/>
        <v>8.0870802588332583E-2</v>
      </c>
      <c r="AD85" s="168">
        <f t="shared" si="185"/>
        <v>8.0870802588332583E-2</v>
      </c>
      <c r="AE85" s="168">
        <f t="shared" si="185"/>
        <v>8.0870802588332583E-2</v>
      </c>
      <c r="AF85" s="168">
        <f t="shared" si="185"/>
        <v>8.0870802588332583E-2</v>
      </c>
      <c r="AG85" s="168">
        <f t="shared" si="185"/>
        <v>8.0870802588332583E-2</v>
      </c>
      <c r="AH85" s="168">
        <f t="shared" si="185"/>
        <v>8.0870802588332583E-2</v>
      </c>
      <c r="AI85" s="168">
        <f>P20</f>
        <v>8.0870802588332569E-2</v>
      </c>
    </row>
    <row r="86" spans="1:35" s="67" customFormat="1">
      <c r="A86" s="307"/>
      <c r="B86" s="67" t="s">
        <v>369</v>
      </c>
      <c r="C86" s="67" t="s">
        <v>1746</v>
      </c>
      <c r="D86" t="s">
        <v>474</v>
      </c>
      <c r="E86" s="201">
        <f>D24</f>
        <v>0</v>
      </c>
      <c r="F86" s="201">
        <f t="shared" si="186"/>
        <v>1.9881891043695355E-2</v>
      </c>
      <c r="G86" s="201">
        <f t="shared" si="186"/>
        <v>3.976378208739071E-2</v>
      </c>
      <c r="H86" s="201">
        <f t="shared" si="186"/>
        <v>5.9645673131086069E-2</v>
      </c>
      <c r="I86" s="201">
        <f t="shared" si="186"/>
        <v>7.952756417478142E-2</v>
      </c>
      <c r="J86" s="201">
        <f t="shared" si="186"/>
        <v>9.9409455218476772E-2</v>
      </c>
      <c r="K86" s="201">
        <f t="shared" si="186"/>
        <v>0.11929134626217212</v>
      </c>
      <c r="L86" s="201">
        <f t="shared" si="186"/>
        <v>0.13917323730586748</v>
      </c>
      <c r="M86" s="201">
        <f t="shared" si="186"/>
        <v>0.15905512834956284</v>
      </c>
      <c r="N86" s="201">
        <f t="shared" si="186"/>
        <v>0.17893701939325821</v>
      </c>
      <c r="O86" s="201">
        <f t="shared" si="186"/>
        <v>0.19881891043695357</v>
      </c>
      <c r="P86" s="201">
        <f t="shared" si="186"/>
        <v>0.21870080148064894</v>
      </c>
      <c r="Q86" s="201">
        <f t="shared" si="186"/>
        <v>0.2385826925243443</v>
      </c>
      <c r="R86" s="201">
        <f t="shared" si="186"/>
        <v>0.25846458356803964</v>
      </c>
      <c r="S86" s="201">
        <f t="shared" si="186"/>
        <v>0.27834647461173501</v>
      </c>
      <c r="T86" s="201">
        <f t="shared" si="186"/>
        <v>0.29822836565543037</v>
      </c>
      <c r="U86" s="201">
        <f t="shared" si="186"/>
        <v>0.31811025669912574</v>
      </c>
      <c r="V86" s="201">
        <f t="shared" si="185"/>
        <v>0.3379921477428211</v>
      </c>
      <c r="W86" s="201">
        <f t="shared" si="185"/>
        <v>0.35787403878651647</v>
      </c>
      <c r="X86" s="201">
        <f t="shared" si="185"/>
        <v>0.37775592983021183</v>
      </c>
      <c r="Y86" s="201">
        <f t="shared" si="185"/>
        <v>0.3976378208739072</v>
      </c>
      <c r="Z86" s="201">
        <f t="shared" si="185"/>
        <v>0.41751971191760257</v>
      </c>
      <c r="AA86" s="201">
        <f t="shared" si="185"/>
        <v>0.43740160296129793</v>
      </c>
      <c r="AB86" s="201">
        <f t="shared" si="185"/>
        <v>0.4572834940049933</v>
      </c>
      <c r="AC86" s="201">
        <f t="shared" si="185"/>
        <v>0.47716538504868866</v>
      </c>
      <c r="AD86" s="201">
        <f t="shared" si="185"/>
        <v>0.49704727609238403</v>
      </c>
      <c r="AE86" s="201">
        <f t="shared" si="185"/>
        <v>0.51692916713607939</v>
      </c>
      <c r="AF86" s="201">
        <f t="shared" si="185"/>
        <v>0.5368110581797747</v>
      </c>
      <c r="AG86" s="201">
        <f t="shared" si="185"/>
        <v>0.55669294922347001</v>
      </c>
      <c r="AH86" s="201">
        <f t="shared" si="185"/>
        <v>0.57657484026716532</v>
      </c>
      <c r="AI86" s="201">
        <f>N24</f>
        <v>0.59645673131086063</v>
      </c>
    </row>
    <row r="87" spans="1:35">
      <c r="A87" s="310"/>
      <c r="B87" s="67" t="s">
        <v>369</v>
      </c>
      <c r="C87" s="67" t="s">
        <v>1746</v>
      </c>
      <c r="D87" t="s">
        <v>478</v>
      </c>
      <c r="E87" s="201">
        <f>D25</f>
        <v>0.54391014811667637</v>
      </c>
      <c r="F87" s="201">
        <f t="shared" ref="F87" si="216">-($E87-$AI87)/30+E87</f>
        <v>0.53653713443847184</v>
      </c>
      <c r="G87" s="201">
        <f t="shared" ref="G87" si="217">-($E87-$AI87)/30+F87</f>
        <v>0.52916412076026731</v>
      </c>
      <c r="H87" s="201">
        <f t="shared" ref="H87" si="218">-($E87-$AI87)/30+G87</f>
        <v>0.52179110708206278</v>
      </c>
      <c r="I87" s="201">
        <f t="shared" ref="I87" si="219">-($E87-$AI87)/30+H87</f>
        <v>0.51441809340385825</v>
      </c>
      <c r="J87" s="201">
        <f t="shared" ref="J87" si="220">-($E87-$AI87)/30+I87</f>
        <v>0.50704507972565371</v>
      </c>
      <c r="K87" s="201">
        <f t="shared" ref="K87" si="221">-($E87-$AI87)/30+J87</f>
        <v>0.49967206604744918</v>
      </c>
      <c r="L87" s="201">
        <f t="shared" ref="L87" si="222">-($E87-$AI87)/30+K87</f>
        <v>0.49229905236924465</v>
      </c>
      <c r="M87" s="201">
        <f t="shared" ref="M87" si="223">-($E87-$AI87)/30+L87</f>
        <v>0.48492603869104012</v>
      </c>
      <c r="N87" s="201">
        <f t="shared" ref="N87" si="224">-($E87-$AI87)/30+M87</f>
        <v>0.47755302501283559</v>
      </c>
      <c r="O87" s="201">
        <f t="shared" ref="O87" si="225">-($E87-$AI87)/30+N87</f>
        <v>0.47018001133463105</v>
      </c>
      <c r="P87" s="201">
        <f t="shared" ref="P87" si="226">-($E87-$AI87)/30+O87</f>
        <v>0.46280699765642652</v>
      </c>
      <c r="Q87" s="201">
        <f t="shared" ref="Q87" si="227">-($E87-$AI87)/30+P87</f>
        <v>0.45543398397822199</v>
      </c>
      <c r="R87" s="201">
        <f t="shared" ref="R87" si="228">-($E87-$AI87)/30+Q87</f>
        <v>0.44806097030001746</v>
      </c>
      <c r="S87" s="201">
        <f t="shared" ref="S87" si="229">-($E87-$AI87)/30+R87</f>
        <v>0.44068795662181293</v>
      </c>
      <c r="T87" s="201">
        <f t="shared" ref="T87" si="230">-($E87-$AI87)/30+S87</f>
        <v>0.43331494294360839</v>
      </c>
      <c r="U87" s="201">
        <f t="shared" ref="U87" si="231">-($E87-$AI87)/30+T87</f>
        <v>0.42594192926540386</v>
      </c>
      <c r="V87" s="201">
        <f t="shared" ref="V87" si="232">-($E87-$AI87)/30+U87</f>
        <v>0.41856891558719933</v>
      </c>
      <c r="W87" s="201">
        <f t="shared" ref="W87" si="233">-($E87-$AI87)/30+V87</f>
        <v>0.4111959019089948</v>
      </c>
      <c r="X87" s="201">
        <f t="shared" ref="X87" si="234">-($E87-$AI87)/30+W87</f>
        <v>0.40382288823079027</v>
      </c>
      <c r="Y87" s="201">
        <f t="shared" ref="Y87" si="235">-($E87-$AI87)/30+X87</f>
        <v>0.39644987455258573</v>
      </c>
      <c r="Z87" s="201">
        <f t="shared" ref="Z87" si="236">-($E87-$AI87)/30+Y87</f>
        <v>0.3890768608743812</v>
      </c>
      <c r="AA87" s="201">
        <f t="shared" ref="AA87" si="237">-($E87-$AI87)/30+Z87</f>
        <v>0.38170384719617667</v>
      </c>
      <c r="AB87" s="201">
        <f t="shared" ref="AB87" si="238">-($E87-$AI87)/30+AA87</f>
        <v>0.37433083351797214</v>
      </c>
      <c r="AC87" s="201">
        <f t="shared" ref="AC87" si="239">-($E87-$AI87)/30+AB87</f>
        <v>0.36695781983976761</v>
      </c>
      <c r="AD87" s="201">
        <f t="shared" ref="AD87" si="240">-($E87-$AI87)/30+AC87</f>
        <v>0.35958480616156308</v>
      </c>
      <c r="AE87" s="201">
        <f t="shared" ref="AE87" si="241">-($E87-$AI87)/30+AD87</f>
        <v>0.35221179248335854</v>
      </c>
      <c r="AF87" s="201">
        <f t="shared" ref="AF87" si="242">-($E87-$AI87)/30+AE87</f>
        <v>0.34483877880515401</v>
      </c>
      <c r="AG87" s="201">
        <f t="shared" ref="AG87" si="243">-($E87-$AI87)/30+AF87</f>
        <v>0.33746576512694948</v>
      </c>
      <c r="AH87" s="201">
        <f t="shared" ref="AH87" si="244">-($E87-$AI87)/30+AG87</f>
        <v>0.33009275144874495</v>
      </c>
      <c r="AI87" s="201">
        <f>N25</f>
        <v>0.32271973777054069</v>
      </c>
    </row>
    <row r="88" spans="1:35">
      <c r="A88" s="310"/>
      <c r="B88" t="s">
        <v>369</v>
      </c>
      <c r="C88" t="s">
        <v>1746</v>
      </c>
      <c r="D88" t="s">
        <v>745</v>
      </c>
      <c r="E88" s="168">
        <f>D26</f>
        <v>0.42550392312981294</v>
      </c>
      <c r="F88" s="168">
        <f t="shared" si="186"/>
        <v>0.4138006411867895</v>
      </c>
      <c r="G88" s="168">
        <f t="shared" si="186"/>
        <v>0.40209735924376605</v>
      </c>
      <c r="H88" s="168">
        <f t="shared" si="186"/>
        <v>0.3903940773007426</v>
      </c>
      <c r="I88" s="168">
        <f t="shared" si="186"/>
        <v>0.37869079535771916</v>
      </c>
      <c r="J88" s="168">
        <f t="shared" si="186"/>
        <v>0.36698751341469571</v>
      </c>
      <c r="K88" s="168">
        <f t="shared" si="186"/>
        <v>0.35528423147167226</v>
      </c>
      <c r="L88" s="168">
        <f t="shared" si="186"/>
        <v>0.34358094952864882</v>
      </c>
      <c r="M88" s="168">
        <f t="shared" si="186"/>
        <v>0.33187766758562537</v>
      </c>
      <c r="N88" s="168">
        <f t="shared" si="186"/>
        <v>0.32017438564260192</v>
      </c>
      <c r="O88" s="168">
        <f t="shared" si="186"/>
        <v>0.30847110369957847</v>
      </c>
      <c r="P88" s="168">
        <f t="shared" si="186"/>
        <v>0.29676782175655503</v>
      </c>
      <c r="Q88" s="168">
        <f t="shared" si="186"/>
        <v>0.28506453981353158</v>
      </c>
      <c r="R88" s="168">
        <f t="shared" si="186"/>
        <v>0.27336125787050813</v>
      </c>
      <c r="S88" s="168">
        <f t="shared" si="186"/>
        <v>0.26165797592748469</v>
      </c>
      <c r="T88" s="168">
        <f t="shared" si="186"/>
        <v>0.24995469398446124</v>
      </c>
      <c r="U88" s="168">
        <f t="shared" si="186"/>
        <v>0.23825141204143779</v>
      </c>
      <c r="V88" s="168">
        <f t="shared" si="185"/>
        <v>0.22654813009841435</v>
      </c>
      <c r="W88" s="168">
        <f t="shared" si="185"/>
        <v>0.2148448481553909</v>
      </c>
      <c r="X88" s="168">
        <f t="shared" si="185"/>
        <v>0.20314156621236745</v>
      </c>
      <c r="Y88" s="168">
        <f t="shared" si="185"/>
        <v>0.19143828426934401</v>
      </c>
      <c r="Z88" s="168">
        <f t="shared" si="185"/>
        <v>0.17973500232632056</v>
      </c>
      <c r="AA88" s="168">
        <f t="shared" si="185"/>
        <v>0.16803172038329711</v>
      </c>
      <c r="AB88" s="168">
        <f t="shared" si="185"/>
        <v>0.15632843844027366</v>
      </c>
      <c r="AC88" s="168">
        <f t="shared" si="185"/>
        <v>0.14462515649725022</v>
      </c>
      <c r="AD88" s="168">
        <f t="shared" si="185"/>
        <v>0.13292187455422677</v>
      </c>
      <c r="AE88" s="168">
        <f t="shared" si="185"/>
        <v>0.12121859261120332</v>
      </c>
      <c r="AF88" s="168">
        <f t="shared" si="185"/>
        <v>0.10951531066817988</v>
      </c>
      <c r="AG88" s="168">
        <f t="shared" si="185"/>
        <v>9.781202872515643E-2</v>
      </c>
      <c r="AH88" s="168">
        <f t="shared" si="185"/>
        <v>8.6108746782132983E-2</v>
      </c>
      <c r="AI88" s="168">
        <f>N26</f>
        <v>7.4405464839109606E-2</v>
      </c>
    </row>
    <row r="89" spans="1:35">
      <c r="A89" s="310"/>
      <c r="B89" t="s">
        <v>369</v>
      </c>
      <c r="C89" t="s">
        <v>1746</v>
      </c>
      <c r="D89" t="s">
        <v>248</v>
      </c>
      <c r="E89" s="168">
        <f>D27</f>
        <v>3.0585928753510721E-2</v>
      </c>
      <c r="F89" s="168">
        <f t="shared" si="186"/>
        <v>2.9780333331043338E-2</v>
      </c>
      <c r="G89" s="168">
        <f t="shared" si="186"/>
        <v>2.8974737908575954E-2</v>
      </c>
      <c r="H89" s="168">
        <f t="shared" si="186"/>
        <v>2.8169142486108571E-2</v>
      </c>
      <c r="I89" s="168">
        <f t="shared" si="186"/>
        <v>2.7363547063641188E-2</v>
      </c>
      <c r="J89" s="168">
        <f t="shared" si="186"/>
        <v>2.6557951641173805E-2</v>
      </c>
      <c r="K89" s="168">
        <f t="shared" si="186"/>
        <v>2.5752356218706422E-2</v>
      </c>
      <c r="L89" s="168">
        <f t="shared" si="186"/>
        <v>2.4946760796239038E-2</v>
      </c>
      <c r="M89" s="168">
        <f t="shared" si="186"/>
        <v>2.4141165373771655E-2</v>
      </c>
      <c r="N89" s="168">
        <f t="shared" si="186"/>
        <v>2.3335569951304272E-2</v>
      </c>
      <c r="O89" s="168">
        <f t="shared" si="186"/>
        <v>2.2529974528836889E-2</v>
      </c>
      <c r="P89" s="168">
        <f t="shared" si="186"/>
        <v>2.1724379106369505E-2</v>
      </c>
      <c r="Q89" s="168">
        <f t="shared" si="186"/>
        <v>2.0918783683902122E-2</v>
      </c>
      <c r="R89" s="168">
        <f t="shared" si="186"/>
        <v>2.0113188261434739E-2</v>
      </c>
      <c r="S89" s="168">
        <f t="shared" si="186"/>
        <v>1.9307592838967356E-2</v>
      </c>
      <c r="T89" s="168">
        <f t="shared" si="186"/>
        <v>1.8501997416499973E-2</v>
      </c>
      <c r="U89" s="168">
        <f t="shared" si="186"/>
        <v>1.7696401994032589E-2</v>
      </c>
      <c r="V89" s="168">
        <f t="shared" si="185"/>
        <v>1.6890806571565206E-2</v>
      </c>
      <c r="W89" s="168">
        <f t="shared" si="185"/>
        <v>1.6085211149097823E-2</v>
      </c>
      <c r="X89" s="168">
        <f t="shared" si="185"/>
        <v>1.5279615726630438E-2</v>
      </c>
      <c r="Y89" s="168">
        <f t="shared" si="185"/>
        <v>1.4474020304163053E-2</v>
      </c>
      <c r="Z89" s="168">
        <f t="shared" si="185"/>
        <v>1.3668424881695668E-2</v>
      </c>
      <c r="AA89" s="168">
        <f t="shared" si="185"/>
        <v>1.2862829459228283E-2</v>
      </c>
      <c r="AB89" s="168">
        <f t="shared" si="185"/>
        <v>1.2057234036760898E-2</v>
      </c>
      <c r="AC89" s="168">
        <f t="shared" si="185"/>
        <v>1.1251638614293513E-2</v>
      </c>
      <c r="AD89" s="168">
        <f t="shared" si="185"/>
        <v>1.0446043191826128E-2</v>
      </c>
      <c r="AE89" s="168">
        <f t="shared" si="185"/>
        <v>9.6404477693587433E-3</v>
      </c>
      <c r="AF89" s="168">
        <f t="shared" si="185"/>
        <v>8.8348523468913583E-3</v>
      </c>
      <c r="AG89" s="168">
        <f t="shared" si="185"/>
        <v>8.0292569244239734E-3</v>
      </c>
      <c r="AH89" s="168">
        <f t="shared" si="185"/>
        <v>7.2236615019565884E-3</v>
      </c>
      <c r="AI89" s="168">
        <f>N27</f>
        <v>6.41806607948918E-3</v>
      </c>
    </row>
    <row r="90" spans="1:35" s="67" customFormat="1">
      <c r="A90" s="307"/>
      <c r="B90" s="67" t="s">
        <v>248</v>
      </c>
      <c r="C90" s="67" t="s">
        <v>1746</v>
      </c>
      <c r="D90" t="s">
        <v>474</v>
      </c>
      <c r="E90" s="201">
        <f>D31</f>
        <v>0</v>
      </c>
      <c r="F90" s="201">
        <f t="shared" si="186"/>
        <v>0</v>
      </c>
      <c r="G90" s="201">
        <f t="shared" si="186"/>
        <v>0</v>
      </c>
      <c r="H90" s="201">
        <f t="shared" si="186"/>
        <v>0</v>
      </c>
      <c r="I90" s="201">
        <f t="shared" si="186"/>
        <v>0</v>
      </c>
      <c r="J90" s="201">
        <f t="shared" si="186"/>
        <v>0</v>
      </c>
      <c r="K90" s="201">
        <f t="shared" si="186"/>
        <v>0</v>
      </c>
      <c r="L90" s="201">
        <f t="shared" si="186"/>
        <v>0</v>
      </c>
      <c r="M90" s="201">
        <f t="shared" si="186"/>
        <v>0</v>
      </c>
      <c r="N90" s="201">
        <f t="shared" si="186"/>
        <v>0</v>
      </c>
      <c r="O90" s="201">
        <f t="shared" si="186"/>
        <v>0</v>
      </c>
      <c r="P90" s="201">
        <f t="shared" si="186"/>
        <v>0</v>
      </c>
      <c r="Q90" s="201">
        <f t="shared" si="186"/>
        <v>0</v>
      </c>
      <c r="R90" s="201">
        <f t="shared" si="186"/>
        <v>0</v>
      </c>
      <c r="S90" s="201">
        <f t="shared" si="186"/>
        <v>0</v>
      </c>
      <c r="T90" s="201">
        <f t="shared" si="186"/>
        <v>0</v>
      </c>
      <c r="U90" s="201">
        <f t="shared" si="186"/>
        <v>0</v>
      </c>
      <c r="V90" s="201">
        <f t="shared" si="185"/>
        <v>0</v>
      </c>
      <c r="W90" s="201">
        <f t="shared" si="185"/>
        <v>0</v>
      </c>
      <c r="X90" s="201">
        <f t="shared" si="185"/>
        <v>0</v>
      </c>
      <c r="Y90" s="201">
        <f t="shared" si="185"/>
        <v>0</v>
      </c>
      <c r="Z90" s="201">
        <f t="shared" si="185"/>
        <v>0</v>
      </c>
      <c r="AA90" s="201">
        <f t="shared" si="185"/>
        <v>0</v>
      </c>
      <c r="AB90" s="201">
        <f t="shared" si="185"/>
        <v>0</v>
      </c>
      <c r="AC90" s="201">
        <f t="shared" si="185"/>
        <v>0</v>
      </c>
      <c r="AD90" s="201">
        <f t="shared" si="185"/>
        <v>0</v>
      </c>
      <c r="AE90" s="201">
        <f t="shared" si="185"/>
        <v>0</v>
      </c>
      <c r="AF90" s="201">
        <f t="shared" si="185"/>
        <v>0</v>
      </c>
      <c r="AG90" s="201">
        <f t="shared" si="185"/>
        <v>0</v>
      </c>
      <c r="AH90" s="201">
        <f t="shared" si="185"/>
        <v>0</v>
      </c>
      <c r="AI90" s="201">
        <f>N31</f>
        <v>0</v>
      </c>
    </row>
    <row r="91" spans="1:35">
      <c r="A91" s="310"/>
      <c r="B91" s="67" t="s">
        <v>248</v>
      </c>
      <c r="C91" s="67" t="s">
        <v>1746</v>
      </c>
      <c r="D91" t="s">
        <v>478</v>
      </c>
      <c r="E91" s="201">
        <f>D32</f>
        <v>0.28713868492545019</v>
      </c>
      <c r="F91" s="201">
        <f t="shared" ref="F91" si="245">-($E91-$AI91)/30+E91</f>
        <v>0.28713868492545019</v>
      </c>
      <c r="G91" s="201">
        <f t="shared" ref="G91" si="246">-($E91-$AI91)/30+F91</f>
        <v>0.28713868492545019</v>
      </c>
      <c r="H91" s="201">
        <f t="shared" ref="H91" si="247">-($E91-$AI91)/30+G91</f>
        <v>0.28713868492545019</v>
      </c>
      <c r="I91" s="201">
        <f t="shared" ref="I91" si="248">-($E91-$AI91)/30+H91</f>
        <v>0.28713868492545019</v>
      </c>
      <c r="J91" s="201">
        <f t="shared" ref="J91" si="249">-($E91-$AI91)/30+I91</f>
        <v>0.28713868492545019</v>
      </c>
      <c r="K91" s="201">
        <f t="shared" ref="K91" si="250">-($E91-$AI91)/30+J91</f>
        <v>0.28713868492545019</v>
      </c>
      <c r="L91" s="201">
        <f t="shared" ref="L91" si="251">-($E91-$AI91)/30+K91</f>
        <v>0.28713868492545019</v>
      </c>
      <c r="M91" s="201">
        <f t="shared" ref="M91" si="252">-($E91-$AI91)/30+L91</f>
        <v>0.28713868492545019</v>
      </c>
      <c r="N91" s="201">
        <f t="shared" ref="N91" si="253">-($E91-$AI91)/30+M91</f>
        <v>0.28713868492545019</v>
      </c>
      <c r="O91" s="201">
        <f t="shared" ref="O91" si="254">-($E91-$AI91)/30+N91</f>
        <v>0.28713868492545019</v>
      </c>
      <c r="P91" s="201">
        <f t="shared" ref="P91" si="255">-($E91-$AI91)/30+O91</f>
        <v>0.28713868492545019</v>
      </c>
      <c r="Q91" s="201">
        <f t="shared" ref="Q91" si="256">-($E91-$AI91)/30+P91</f>
        <v>0.28713868492545019</v>
      </c>
      <c r="R91" s="201">
        <f t="shared" ref="R91" si="257">-($E91-$AI91)/30+Q91</f>
        <v>0.28713868492545019</v>
      </c>
      <c r="S91" s="201">
        <f t="shared" ref="S91" si="258">-($E91-$AI91)/30+R91</f>
        <v>0.28713868492545019</v>
      </c>
      <c r="T91" s="201">
        <f t="shared" ref="T91" si="259">-($E91-$AI91)/30+S91</f>
        <v>0.28713868492545019</v>
      </c>
      <c r="U91" s="201">
        <f t="shared" ref="U91" si="260">-($E91-$AI91)/30+T91</f>
        <v>0.28713868492545019</v>
      </c>
      <c r="V91" s="201">
        <f t="shared" ref="V91" si="261">-($E91-$AI91)/30+U91</f>
        <v>0.28713868492545019</v>
      </c>
      <c r="W91" s="201">
        <f t="shared" ref="W91" si="262">-($E91-$AI91)/30+V91</f>
        <v>0.28713868492545019</v>
      </c>
      <c r="X91" s="201">
        <f t="shared" ref="X91" si="263">-($E91-$AI91)/30+W91</f>
        <v>0.28713868492545019</v>
      </c>
      <c r="Y91" s="201">
        <f t="shared" ref="Y91" si="264">-($E91-$AI91)/30+X91</f>
        <v>0.28713868492545019</v>
      </c>
      <c r="Z91" s="201">
        <f t="shared" ref="Z91" si="265">-($E91-$AI91)/30+Y91</f>
        <v>0.28713868492545019</v>
      </c>
      <c r="AA91" s="201">
        <f t="shared" ref="AA91" si="266">-($E91-$AI91)/30+Z91</f>
        <v>0.28713868492545019</v>
      </c>
      <c r="AB91" s="201">
        <f t="shared" ref="AB91" si="267">-($E91-$AI91)/30+AA91</f>
        <v>0.28713868492545019</v>
      </c>
      <c r="AC91" s="201">
        <f t="shared" ref="AC91" si="268">-($E91-$AI91)/30+AB91</f>
        <v>0.28713868492545019</v>
      </c>
      <c r="AD91" s="201">
        <f t="shared" ref="AD91" si="269">-($E91-$AI91)/30+AC91</f>
        <v>0.28713868492545019</v>
      </c>
      <c r="AE91" s="201">
        <f t="shared" ref="AE91" si="270">-($E91-$AI91)/30+AD91</f>
        <v>0.28713868492545019</v>
      </c>
      <c r="AF91" s="201">
        <f t="shared" ref="AF91" si="271">-($E91-$AI91)/30+AE91</f>
        <v>0.28713868492545019</v>
      </c>
      <c r="AG91" s="201">
        <f t="shared" ref="AG91" si="272">-($E91-$AI91)/30+AF91</f>
        <v>0.28713868492545019</v>
      </c>
      <c r="AH91" s="201">
        <f t="shared" ref="AH91" si="273">-($E91-$AI91)/30+AG91</f>
        <v>0.28713868492545019</v>
      </c>
      <c r="AI91" s="201">
        <f>N32</f>
        <v>0.28713868492545019</v>
      </c>
    </row>
    <row r="92" spans="1:35">
      <c r="A92" s="310"/>
      <c r="B92" t="s">
        <v>248</v>
      </c>
      <c r="C92" t="s">
        <v>1746</v>
      </c>
      <c r="D92" t="s">
        <v>745</v>
      </c>
      <c r="E92" s="168">
        <f>D33</f>
        <v>0.55677567096122804</v>
      </c>
      <c r="F92" s="168">
        <f t="shared" si="186"/>
        <v>0.55677567096122804</v>
      </c>
      <c r="G92" s="168">
        <f t="shared" si="186"/>
        <v>0.55677567096122804</v>
      </c>
      <c r="H92" s="168">
        <f t="shared" si="186"/>
        <v>0.55677567096122804</v>
      </c>
      <c r="I92" s="168">
        <f t="shared" si="186"/>
        <v>0.55677567096122804</v>
      </c>
      <c r="J92" s="168">
        <f t="shared" si="186"/>
        <v>0.55677567096122804</v>
      </c>
      <c r="K92" s="168">
        <f t="shared" si="186"/>
        <v>0.55677567096122804</v>
      </c>
      <c r="L92" s="168">
        <f t="shared" si="186"/>
        <v>0.55677567096122804</v>
      </c>
      <c r="M92" s="168">
        <f t="shared" si="186"/>
        <v>0.55677567096122804</v>
      </c>
      <c r="N92" s="168">
        <f t="shared" si="186"/>
        <v>0.55677567096122804</v>
      </c>
      <c r="O92" s="168">
        <f t="shared" si="186"/>
        <v>0.55677567096122804</v>
      </c>
      <c r="P92" s="168">
        <f t="shared" si="186"/>
        <v>0.55677567096122804</v>
      </c>
      <c r="Q92" s="168">
        <f t="shared" si="186"/>
        <v>0.55677567096122804</v>
      </c>
      <c r="R92" s="168">
        <f t="shared" si="186"/>
        <v>0.55677567096122804</v>
      </c>
      <c r="S92" s="168">
        <f t="shared" si="186"/>
        <v>0.55677567096122804</v>
      </c>
      <c r="T92" s="168">
        <f t="shared" si="186"/>
        <v>0.55677567096122804</v>
      </c>
      <c r="U92" s="168">
        <f t="shared" si="186"/>
        <v>0.55677567096122804</v>
      </c>
      <c r="V92" s="168">
        <f t="shared" si="185"/>
        <v>0.55677567096122804</v>
      </c>
      <c r="W92" s="168">
        <f t="shared" si="185"/>
        <v>0.55677567096122804</v>
      </c>
      <c r="X92" s="168">
        <f t="shared" si="185"/>
        <v>0.55677567096122804</v>
      </c>
      <c r="Y92" s="168">
        <f t="shared" si="185"/>
        <v>0.55677567096122804</v>
      </c>
      <c r="Z92" s="168">
        <f t="shared" si="185"/>
        <v>0.55677567096122804</v>
      </c>
      <c r="AA92" s="168">
        <f t="shared" si="185"/>
        <v>0.55677567096122804</v>
      </c>
      <c r="AB92" s="168">
        <f t="shared" si="185"/>
        <v>0.55677567096122804</v>
      </c>
      <c r="AC92" s="168">
        <f t="shared" si="185"/>
        <v>0.55677567096122804</v>
      </c>
      <c r="AD92" s="168">
        <f t="shared" si="185"/>
        <v>0.55677567096122804</v>
      </c>
      <c r="AE92" s="168">
        <f t="shared" si="185"/>
        <v>0.55677567096122804</v>
      </c>
      <c r="AF92" s="168">
        <f t="shared" si="185"/>
        <v>0.55677567096122804</v>
      </c>
      <c r="AG92" s="168">
        <f t="shared" si="185"/>
        <v>0.55677567096122804</v>
      </c>
      <c r="AH92" s="168">
        <f t="shared" si="185"/>
        <v>0.55677567096122804</v>
      </c>
      <c r="AI92" s="168">
        <f>N33</f>
        <v>0.55677567096122804</v>
      </c>
    </row>
    <row r="93" spans="1:35">
      <c r="A93" s="310"/>
      <c r="B93" t="s">
        <v>248</v>
      </c>
      <c r="C93" t="s">
        <v>1746</v>
      </c>
      <c r="D93" t="s">
        <v>248</v>
      </c>
      <c r="E93" s="168">
        <f>D34</f>
        <v>0.15608564411332165</v>
      </c>
      <c r="F93" s="168">
        <f t="shared" si="186"/>
        <v>0.15608564411332165</v>
      </c>
      <c r="G93" s="168">
        <f t="shared" si="186"/>
        <v>0.15608564411332165</v>
      </c>
      <c r="H93" s="168">
        <f t="shared" si="186"/>
        <v>0.15608564411332165</v>
      </c>
      <c r="I93" s="168">
        <f t="shared" si="186"/>
        <v>0.15608564411332165</v>
      </c>
      <c r="J93" s="168">
        <f t="shared" si="186"/>
        <v>0.15608564411332165</v>
      </c>
      <c r="K93" s="168">
        <f t="shared" si="186"/>
        <v>0.15608564411332165</v>
      </c>
      <c r="L93" s="168">
        <f t="shared" si="186"/>
        <v>0.15608564411332165</v>
      </c>
      <c r="M93" s="168">
        <f t="shared" si="186"/>
        <v>0.15608564411332165</v>
      </c>
      <c r="N93" s="168">
        <f t="shared" si="186"/>
        <v>0.15608564411332165</v>
      </c>
      <c r="O93" s="168">
        <f t="shared" si="186"/>
        <v>0.15608564411332165</v>
      </c>
      <c r="P93" s="168">
        <f t="shared" si="186"/>
        <v>0.15608564411332165</v>
      </c>
      <c r="Q93" s="168">
        <f t="shared" si="186"/>
        <v>0.15608564411332165</v>
      </c>
      <c r="R93" s="168">
        <f t="shared" si="186"/>
        <v>0.15608564411332165</v>
      </c>
      <c r="S93" s="168">
        <f t="shared" si="186"/>
        <v>0.15608564411332165</v>
      </c>
      <c r="T93" s="168">
        <f t="shared" si="186"/>
        <v>0.15608564411332165</v>
      </c>
      <c r="U93" s="168">
        <f t="shared" si="186"/>
        <v>0.15608564411332165</v>
      </c>
      <c r="V93" s="168">
        <f t="shared" si="185"/>
        <v>0.15608564411332165</v>
      </c>
      <c r="W93" s="168">
        <f t="shared" si="185"/>
        <v>0.15608564411332165</v>
      </c>
      <c r="X93" s="168">
        <f t="shared" si="185"/>
        <v>0.15608564411332165</v>
      </c>
      <c r="Y93" s="168">
        <f t="shared" si="185"/>
        <v>0.15608564411332165</v>
      </c>
      <c r="Z93" s="168">
        <f t="shared" si="185"/>
        <v>0.15608564411332165</v>
      </c>
      <c r="AA93" s="168">
        <f t="shared" si="185"/>
        <v>0.15608564411332165</v>
      </c>
      <c r="AB93" s="168">
        <f t="shared" si="185"/>
        <v>0.15608564411332165</v>
      </c>
      <c r="AC93" s="168">
        <f t="shared" si="185"/>
        <v>0.15608564411332165</v>
      </c>
      <c r="AD93" s="168">
        <f t="shared" si="185"/>
        <v>0.15608564411332165</v>
      </c>
      <c r="AE93" s="168">
        <f t="shared" si="185"/>
        <v>0.15608564411332165</v>
      </c>
      <c r="AF93" s="168">
        <f t="shared" si="185"/>
        <v>0.15608564411332165</v>
      </c>
      <c r="AG93" s="168">
        <f t="shared" si="185"/>
        <v>0.15608564411332165</v>
      </c>
      <c r="AH93" s="168">
        <f t="shared" si="185"/>
        <v>0.15608564411332165</v>
      </c>
      <c r="AI93" s="168">
        <f>N34</f>
        <v>0.15608564411332165</v>
      </c>
    </row>
  </sheetData>
  <mergeCells count="5">
    <mergeCell ref="J3:J6"/>
    <mergeCell ref="I10:I13"/>
    <mergeCell ref="I17:I20"/>
    <mergeCell ref="I24:I27"/>
    <mergeCell ref="I31:I34"/>
  </mergeCell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CDA3-1203-49EC-9C47-2682FD299CE7}">
  <sheetPr>
    <tabColor theme="4"/>
  </sheetPr>
  <dimension ref="A1:AI74"/>
  <sheetViews>
    <sheetView topLeftCell="A49" zoomScale="70" zoomScaleNormal="70" workbookViewId="0">
      <selection activeCell="E66" sqref="E66"/>
    </sheetView>
  </sheetViews>
  <sheetFormatPr baseColWidth="10" defaultColWidth="8.83203125" defaultRowHeight="15"/>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c r="B1">
        <v>2020</v>
      </c>
      <c r="L1">
        <v>2050</v>
      </c>
    </row>
    <row r="2" spans="2:35">
      <c r="B2" t="s">
        <v>309</v>
      </c>
      <c r="D2" t="s">
        <v>1746</v>
      </c>
      <c r="E2" t="s">
        <v>1747</v>
      </c>
      <c r="F2" t="s">
        <v>1748</v>
      </c>
      <c r="G2" t="s">
        <v>1749</v>
      </c>
      <c r="H2" t="s">
        <v>1750</v>
      </c>
      <c r="L2" t="s">
        <v>309</v>
      </c>
      <c r="N2" t="s">
        <v>1746</v>
      </c>
      <c r="O2" t="s">
        <v>1747</v>
      </c>
      <c r="P2" t="s">
        <v>1748</v>
      </c>
      <c r="Q2" t="s">
        <v>1749</v>
      </c>
      <c r="R2" t="s">
        <v>1750</v>
      </c>
    </row>
    <row r="3" spans="2:35" ht="14.5" customHeight="1">
      <c r="B3" t="s">
        <v>474</v>
      </c>
      <c r="C3" s="256">
        <f>'Overall recycling rates'!G39*'Overall recycling rates'!$G$59</f>
        <v>0.46141106197087267</v>
      </c>
      <c r="D3" s="127">
        <f>$C3/$C$6</f>
        <v>1</v>
      </c>
      <c r="E3" s="127">
        <f t="shared" ref="E3:H3" si="0">$C3/$C$6</f>
        <v>1</v>
      </c>
      <c r="F3" s="127">
        <f t="shared" si="0"/>
        <v>1</v>
      </c>
      <c r="G3" s="127">
        <f t="shared" si="0"/>
        <v>1</v>
      </c>
      <c r="H3" s="127">
        <f t="shared" si="0"/>
        <v>1</v>
      </c>
      <c r="J3" s="764" t="s">
        <v>1751</v>
      </c>
      <c r="L3" t="s">
        <v>474</v>
      </c>
      <c r="M3" s="256">
        <f>'Overall recycling rates'!G12*'Overall recycling rates'!$G$59</f>
        <v>1.5079664059578168</v>
      </c>
      <c r="N3" s="2">
        <f>$M3/$M$6</f>
        <v>0.65402430514142706</v>
      </c>
      <c r="O3" s="2">
        <f t="shared" ref="O3:O5" si="1">$M3/$M$6</f>
        <v>0.65402430514142706</v>
      </c>
      <c r="P3" s="56">
        <v>0</v>
      </c>
      <c r="Q3" s="56">
        <v>0</v>
      </c>
      <c r="R3" s="2">
        <f>$M3/$M$6</f>
        <v>0.65402430514142706</v>
      </c>
      <c r="T3" s="28" t="s">
        <v>1752</v>
      </c>
    </row>
    <row r="4" spans="2:35">
      <c r="B4" t="s">
        <v>745</v>
      </c>
      <c r="C4" s="256">
        <f>'Overall recycling rates'!H39*'Overall recycling rates'!$H$59</f>
        <v>0</v>
      </c>
      <c r="D4" s="127">
        <f t="shared" ref="D4:H5" si="2">$C4/$C$6</f>
        <v>0</v>
      </c>
      <c r="E4" s="127">
        <f t="shared" si="2"/>
        <v>0</v>
      </c>
      <c r="F4" s="127">
        <f t="shared" si="2"/>
        <v>0</v>
      </c>
      <c r="G4" s="127">
        <f t="shared" si="2"/>
        <v>0</v>
      </c>
      <c r="H4" s="127">
        <f t="shared" si="2"/>
        <v>0</v>
      </c>
      <c r="J4" s="764"/>
      <c r="L4" t="s">
        <v>745</v>
      </c>
      <c r="M4" s="256">
        <f>'Overall recycling rates'!H12*'Overall recycling rates'!$H$59</f>
        <v>0.47230901908692435</v>
      </c>
      <c r="N4" s="2">
        <f>$M4/$M$6</f>
        <v>0.20484645864782999</v>
      </c>
      <c r="O4" s="2">
        <f t="shared" si="1"/>
        <v>0.20484645864782999</v>
      </c>
      <c r="P4" s="56">
        <v>0.5</v>
      </c>
      <c r="Q4" s="56">
        <v>0.5</v>
      </c>
      <c r="R4" s="2">
        <f>$M4/$M$6</f>
        <v>0.20484645864782999</v>
      </c>
      <c r="T4" s="28"/>
      <c r="V4" s="420"/>
      <c r="W4" s="420"/>
      <c r="X4" s="420"/>
      <c r="Y4" s="420"/>
      <c r="Z4" s="420"/>
      <c r="AA4" s="420"/>
      <c r="AB4" s="420"/>
      <c r="AC4" s="420"/>
      <c r="AD4" s="420"/>
      <c r="AE4" s="420"/>
      <c r="AF4" s="420"/>
      <c r="AG4" s="384"/>
      <c r="AH4" s="384"/>
      <c r="AI4" s="6"/>
    </row>
    <row r="5" spans="2:35">
      <c r="B5" t="s">
        <v>248</v>
      </c>
      <c r="C5" s="256">
        <f>'Overall recycling rates'!I39*'Overall recycling rates'!$I$59</f>
        <v>0</v>
      </c>
      <c r="D5" s="127">
        <f t="shared" si="2"/>
        <v>0</v>
      </c>
      <c r="E5" s="127">
        <f t="shared" si="2"/>
        <v>0</v>
      </c>
      <c r="F5" s="127">
        <f t="shared" si="2"/>
        <v>0</v>
      </c>
      <c r="G5" s="127">
        <f t="shared" si="2"/>
        <v>0</v>
      </c>
      <c r="H5" s="127">
        <f t="shared" si="2"/>
        <v>0</v>
      </c>
      <c r="J5" s="764"/>
      <c r="L5" t="s">
        <v>248</v>
      </c>
      <c r="M5" s="256">
        <f>'Overall recycling rates'!I12*'Overall recycling rates'!$I$59</f>
        <v>0.32539791783160954</v>
      </c>
      <c r="N5" s="2">
        <f>$M5/$M$6</f>
        <v>0.1411292362107428</v>
      </c>
      <c r="O5" s="2">
        <f t="shared" si="1"/>
        <v>0.1411292362107428</v>
      </c>
      <c r="P5" s="56">
        <v>0.5</v>
      </c>
      <c r="Q5" s="56">
        <v>0.5</v>
      </c>
      <c r="R5" s="2">
        <f>$M5/$M$6</f>
        <v>0.1411292362107428</v>
      </c>
      <c r="T5" s="28"/>
      <c r="V5" s="420"/>
      <c r="W5" s="420"/>
      <c r="X5" s="420"/>
      <c r="Y5" s="420"/>
      <c r="Z5" s="420"/>
      <c r="AA5" s="420"/>
      <c r="AB5" s="420"/>
      <c r="AC5" s="420"/>
      <c r="AD5" s="420"/>
      <c r="AE5" s="420"/>
      <c r="AF5" s="420"/>
      <c r="AG5" s="384"/>
      <c r="AH5" s="384"/>
      <c r="AI5" s="384"/>
    </row>
    <row r="6" spans="2:35">
      <c r="C6" s="256">
        <f t="shared" ref="C6:H6" si="3">SUM(C3:C5)</f>
        <v>0.46141106197087267</v>
      </c>
      <c r="D6" s="2">
        <f t="shared" si="3"/>
        <v>1</v>
      </c>
      <c r="E6" s="2">
        <f t="shared" si="3"/>
        <v>1</v>
      </c>
      <c r="F6" s="2">
        <f t="shared" si="3"/>
        <v>1</v>
      </c>
      <c r="G6" s="2">
        <f t="shared" si="3"/>
        <v>1</v>
      </c>
      <c r="H6" s="2">
        <f t="shared" si="3"/>
        <v>1</v>
      </c>
      <c r="J6" s="503"/>
      <c r="M6" s="256">
        <f t="shared" ref="M6:R6" si="4">SUM(M3:M5)</f>
        <v>2.305673342876351</v>
      </c>
      <c r="N6" s="2">
        <f t="shared" si="4"/>
        <v>0.99999999999999989</v>
      </c>
      <c r="O6" s="2">
        <f t="shared" si="4"/>
        <v>0.99999999999999989</v>
      </c>
      <c r="P6" s="2">
        <f t="shared" si="4"/>
        <v>1</v>
      </c>
      <c r="Q6" s="2">
        <f t="shared" si="4"/>
        <v>1</v>
      </c>
      <c r="R6" s="2">
        <f t="shared" si="4"/>
        <v>0.99999999999999989</v>
      </c>
      <c r="T6" s="28"/>
      <c r="V6" s="420"/>
      <c r="W6" s="420"/>
      <c r="X6" s="420"/>
      <c r="Y6" s="420"/>
      <c r="Z6" s="420"/>
      <c r="AA6" s="420"/>
      <c r="AB6" s="420"/>
      <c r="AC6" s="420"/>
      <c r="AD6" s="420"/>
      <c r="AE6" s="420"/>
      <c r="AF6" s="420"/>
      <c r="AG6" s="384"/>
      <c r="AH6" s="384"/>
      <c r="AI6" s="384"/>
    </row>
    <row r="7" spans="2:35">
      <c r="AG7" s="384"/>
      <c r="AH7" s="384"/>
    </row>
    <row r="8" spans="2:35">
      <c r="B8" t="s">
        <v>370</v>
      </c>
      <c r="D8" t="s">
        <v>1746</v>
      </c>
      <c r="E8" t="s">
        <v>1753</v>
      </c>
      <c r="F8" t="s">
        <v>1754</v>
      </c>
      <c r="G8" t="s">
        <v>1750</v>
      </c>
      <c r="L8" t="s">
        <v>370</v>
      </c>
      <c r="N8" t="s">
        <v>1746</v>
      </c>
      <c r="O8" t="s">
        <v>1753</v>
      </c>
      <c r="P8" t="s">
        <v>1754</v>
      </c>
      <c r="Q8" t="s">
        <v>1750</v>
      </c>
      <c r="V8" s="271"/>
    </row>
    <row r="9" spans="2:35" ht="14.5" customHeight="1">
      <c r="B9" t="s">
        <v>474</v>
      </c>
      <c r="C9" s="256">
        <f>'Overall recycling rates'!G41*'Overall recycling rates'!$G$59</f>
        <v>0</v>
      </c>
      <c r="D9" s="127">
        <f t="shared" ref="D9:G11" si="5">$C9/$C$12</f>
        <v>0</v>
      </c>
      <c r="E9" s="127">
        <f t="shared" si="5"/>
        <v>0</v>
      </c>
      <c r="F9" s="127">
        <f t="shared" si="5"/>
        <v>0</v>
      </c>
      <c r="G9" s="127">
        <f t="shared" si="5"/>
        <v>0</v>
      </c>
      <c r="I9" s="764" t="s">
        <v>1751</v>
      </c>
      <c r="L9" t="s">
        <v>474</v>
      </c>
      <c r="M9" s="256">
        <f>'Overall recycling rates'!G14*'Overall recycling rates'!$G$59</f>
        <v>0</v>
      </c>
      <c r="N9" s="2">
        <f t="shared" ref="N9:Q11" si="6">$M9/$M$12</f>
        <v>0</v>
      </c>
      <c r="O9" s="2">
        <f t="shared" si="6"/>
        <v>0</v>
      </c>
      <c r="P9" s="2">
        <f t="shared" si="6"/>
        <v>0</v>
      </c>
      <c r="Q9" s="2">
        <f t="shared" si="6"/>
        <v>0</v>
      </c>
      <c r="T9" s="28" t="s">
        <v>1752</v>
      </c>
    </row>
    <row r="10" spans="2:35">
      <c r="B10" t="s">
        <v>745</v>
      </c>
      <c r="C10" s="256">
        <f>'Overall recycling rates'!H41*'Overall recycling rates'!$H$59</f>
        <v>0</v>
      </c>
      <c r="D10" s="127">
        <f t="shared" si="5"/>
        <v>0</v>
      </c>
      <c r="E10" s="127">
        <f t="shared" si="5"/>
        <v>0</v>
      </c>
      <c r="F10" s="127">
        <f t="shared" si="5"/>
        <v>0</v>
      </c>
      <c r="G10" s="127">
        <f t="shared" si="5"/>
        <v>0</v>
      </c>
      <c r="I10" s="764"/>
      <c r="L10" t="s">
        <v>745</v>
      </c>
      <c r="M10" s="256">
        <f>'Overall recycling rates'!H14*'Overall recycling rates'!$H$59</f>
        <v>0.17937679179176774</v>
      </c>
      <c r="N10" s="2">
        <f t="shared" si="6"/>
        <v>0.1165709795018446</v>
      </c>
      <c r="O10" s="2">
        <f t="shared" si="6"/>
        <v>0.1165709795018446</v>
      </c>
      <c r="P10" s="2">
        <f t="shared" si="6"/>
        <v>0.1165709795018446</v>
      </c>
      <c r="Q10" s="2">
        <f t="shared" si="6"/>
        <v>0.1165709795018446</v>
      </c>
      <c r="T10" s="28"/>
      <c r="V10" s="384"/>
      <c r="W10" s="384"/>
      <c r="X10" s="384"/>
      <c r="Y10" s="384"/>
      <c r="Z10" s="384"/>
      <c r="AA10" s="384"/>
    </row>
    <row r="11" spans="2:35">
      <c r="B11" t="s">
        <v>248</v>
      </c>
      <c r="C11" s="256">
        <f>'Overall recycling rates'!I41*'Overall recycling rates'!$I$59</f>
        <v>2.1989394737973737E-2</v>
      </c>
      <c r="D11" s="127">
        <f>$C11/$C$12</f>
        <v>1</v>
      </c>
      <c r="E11" s="127">
        <f t="shared" si="5"/>
        <v>1</v>
      </c>
      <c r="F11" s="127">
        <f t="shared" si="5"/>
        <v>1</v>
      </c>
      <c r="G11" s="127">
        <f t="shared" si="5"/>
        <v>1</v>
      </c>
      <c r="I11" s="764"/>
      <c r="L11" t="s">
        <v>248</v>
      </c>
      <c r="M11" s="256">
        <f>'Overall recycling rates'!I14*'Overall recycling rates'!$I$59</f>
        <v>1.3594006342736049</v>
      </c>
      <c r="N11" s="2">
        <f t="shared" si="6"/>
        <v>0.88342902049815542</v>
      </c>
      <c r="O11" s="2">
        <f t="shared" si="6"/>
        <v>0.88342902049815542</v>
      </c>
      <c r="P11" s="2">
        <f t="shared" si="6"/>
        <v>0.88342902049815542</v>
      </c>
      <c r="Q11" s="2">
        <f t="shared" si="6"/>
        <v>0.88342902049815542</v>
      </c>
      <c r="T11" s="28"/>
      <c r="V11" s="384"/>
      <c r="W11" s="384"/>
      <c r="X11" s="384"/>
      <c r="Y11" s="384"/>
      <c r="Z11" s="384"/>
      <c r="AA11" s="384"/>
    </row>
    <row r="12" spans="2:35">
      <c r="C12" s="256">
        <f>SUM(C9:C11)</f>
        <v>2.1989394737973737E-2</v>
      </c>
      <c r="D12" s="2">
        <f>SUM(D9:D11)</f>
        <v>1</v>
      </c>
      <c r="E12" s="2">
        <f>SUM(E9:E11)</f>
        <v>1</v>
      </c>
      <c r="F12" s="2">
        <f>SUM(F9:F11)</f>
        <v>1</v>
      </c>
      <c r="G12" s="2">
        <f>SUM(G9:G11)</f>
        <v>1</v>
      </c>
      <c r="M12" s="44">
        <f>SUM(M9:M11)</f>
        <v>1.5387774260653726</v>
      </c>
      <c r="N12" s="2">
        <f>SUM(N9:N11)</f>
        <v>1</v>
      </c>
      <c r="O12" s="2">
        <f>SUM(O9:O11)</f>
        <v>1</v>
      </c>
      <c r="P12" s="2">
        <f>SUM(P9:P11)</f>
        <v>1</v>
      </c>
      <c r="Q12" s="2">
        <f>SUM(Q9:Q11)</f>
        <v>1</v>
      </c>
      <c r="V12" s="384"/>
      <c r="W12" s="384"/>
      <c r="X12" s="384"/>
      <c r="Y12" s="384"/>
      <c r="Z12" s="384"/>
      <c r="AA12" s="384"/>
    </row>
    <row r="14" spans="2:35">
      <c r="B14" t="s">
        <v>329</v>
      </c>
      <c r="D14" t="s">
        <v>1746</v>
      </c>
      <c r="E14" t="s">
        <v>1749</v>
      </c>
      <c r="F14" t="s">
        <v>1750</v>
      </c>
      <c r="L14" t="s">
        <v>329</v>
      </c>
      <c r="N14" t="s">
        <v>1746</v>
      </c>
      <c r="O14" t="s">
        <v>1749</v>
      </c>
      <c r="P14" t="s">
        <v>1750</v>
      </c>
    </row>
    <row r="15" spans="2:35" ht="14.5" customHeight="1">
      <c r="B15" t="s">
        <v>474</v>
      </c>
      <c r="C15" s="256">
        <f>'Overall recycling rates'!G42*'Overall recycling rates'!$G$59</f>
        <v>0.17024626844232227</v>
      </c>
      <c r="D15" s="127">
        <f>$C15/$C$18</f>
        <v>0.36173364154891818</v>
      </c>
      <c r="E15" s="127">
        <f t="shared" ref="E15:F15" si="7">$C15/$C$18</f>
        <v>0.36173364154891818</v>
      </c>
      <c r="F15" s="127">
        <f t="shared" si="7"/>
        <v>0.36173364154891818</v>
      </c>
      <c r="I15" s="764" t="s">
        <v>1751</v>
      </c>
      <c r="L15" t="s">
        <v>474</v>
      </c>
      <c r="M15" s="256">
        <f>'Overall recycling rates'!G15*'Overall recycling rates'!$G$59</f>
        <v>1.3095866803255558</v>
      </c>
      <c r="N15" s="127">
        <f t="shared" ref="N15:P17" si="8">$M15/$M$18</f>
        <v>0.36173364154891818</v>
      </c>
      <c r="O15" s="127">
        <f t="shared" si="8"/>
        <v>0.36173364154891818</v>
      </c>
      <c r="P15" s="127">
        <f t="shared" si="8"/>
        <v>0.36173364154891818</v>
      </c>
      <c r="T15" s="28" t="s">
        <v>1752</v>
      </c>
      <c r="V15" s="384"/>
      <c r="W15" s="384"/>
      <c r="X15" s="384"/>
      <c r="Y15" s="384"/>
      <c r="Z15" s="384"/>
      <c r="AA15" s="384"/>
      <c r="AB15" s="6"/>
    </row>
    <row r="16" spans="2:35">
      <c r="B16" t="s">
        <v>745</v>
      </c>
      <c r="C16" s="256">
        <f>'Overall recycling rates'!H42*'Overall recycling rates'!$H$59</f>
        <v>0</v>
      </c>
      <c r="D16" s="127">
        <f t="shared" ref="D16:F17" si="9">$C16/$C$18</f>
        <v>0</v>
      </c>
      <c r="E16" s="127">
        <f t="shared" si="9"/>
        <v>0</v>
      </c>
      <c r="F16" s="127">
        <f t="shared" si="9"/>
        <v>0</v>
      </c>
      <c r="I16" s="764"/>
      <c r="L16" t="s">
        <v>745</v>
      </c>
      <c r="M16" s="256">
        <f>'Overall recycling rates'!H15*'Overall recycling rates'!$H$59</f>
        <v>0</v>
      </c>
      <c r="N16" s="127">
        <f t="shared" si="8"/>
        <v>0</v>
      </c>
      <c r="O16" s="127">
        <f t="shared" si="8"/>
        <v>0</v>
      </c>
      <c r="P16" s="127">
        <f t="shared" si="8"/>
        <v>0</v>
      </c>
      <c r="T16" s="28"/>
      <c r="V16" s="384"/>
      <c r="W16" s="384"/>
      <c r="X16" s="384"/>
      <c r="Y16" s="384"/>
      <c r="Z16" s="384"/>
      <c r="AA16" s="384"/>
    </row>
    <row r="17" spans="2:35">
      <c r="B17" t="s">
        <v>248</v>
      </c>
      <c r="C17" s="256">
        <f>'Overall recycling rates'!I42*'Overall recycling rates'!$I$59</f>
        <v>0.30039358610186567</v>
      </c>
      <c r="D17" s="127">
        <f t="shared" si="9"/>
        <v>0.63826635845108182</v>
      </c>
      <c r="E17" s="127">
        <f t="shared" si="9"/>
        <v>0.63826635845108182</v>
      </c>
      <c r="F17" s="127">
        <f t="shared" si="9"/>
        <v>0.63826635845108182</v>
      </c>
      <c r="I17" s="764"/>
      <c r="L17" t="s">
        <v>248</v>
      </c>
      <c r="M17" s="256">
        <f>'Overall recycling rates'!I15*'Overall recycling rates'!$I$59</f>
        <v>2.310719893091274</v>
      </c>
      <c r="N17" s="127">
        <f t="shared" si="8"/>
        <v>0.63826635845108182</v>
      </c>
      <c r="O17" s="127">
        <f t="shared" si="8"/>
        <v>0.63826635845108182</v>
      </c>
      <c r="P17" s="127">
        <f t="shared" si="8"/>
        <v>0.63826635845108182</v>
      </c>
      <c r="T17" s="28"/>
      <c r="V17" s="384"/>
      <c r="W17" s="384"/>
      <c r="X17" s="384"/>
      <c r="Y17" s="384"/>
      <c r="Z17" s="384"/>
      <c r="AA17" s="384"/>
      <c r="AB17" s="6"/>
    </row>
    <row r="18" spans="2:35">
      <c r="C18" s="256">
        <f>SUM(C15:C17)</f>
        <v>0.47063985454418794</v>
      </c>
      <c r="D18" s="2">
        <f>SUM(D15:D17)</f>
        <v>1</v>
      </c>
      <c r="E18" s="2">
        <f>SUM(E15:E17)</f>
        <v>1</v>
      </c>
      <c r="F18" s="2">
        <f>SUM(F15:F17)</f>
        <v>1</v>
      </c>
      <c r="M18" s="44">
        <f>SUM(M15:M17)</f>
        <v>3.6203065734168298</v>
      </c>
      <c r="N18" s="2">
        <f>SUM(N15:N17)</f>
        <v>1</v>
      </c>
      <c r="O18" s="2">
        <f>SUM(O15:O17)</f>
        <v>1</v>
      </c>
      <c r="P18" s="2">
        <f>SUM(P15:P17)</f>
        <v>1</v>
      </c>
      <c r="AA18" s="384"/>
    </row>
    <row r="19" spans="2:35">
      <c r="V19" s="384"/>
      <c r="W19" s="384"/>
      <c r="X19" s="384"/>
      <c r="Y19" s="384"/>
      <c r="Z19" s="384"/>
      <c r="AA19" s="384"/>
    </row>
    <row r="20" spans="2:35">
      <c r="B20" t="s">
        <v>369</v>
      </c>
      <c r="D20" t="s">
        <v>1746</v>
      </c>
      <c r="L20" t="s">
        <v>369</v>
      </c>
      <c r="N20" t="s">
        <v>1746</v>
      </c>
      <c r="V20" s="384"/>
      <c r="W20" s="384"/>
      <c r="X20" s="384"/>
      <c r="Y20" s="384"/>
      <c r="Z20" s="384"/>
      <c r="AA20" s="384"/>
    </row>
    <row r="21" spans="2:35" ht="14.5" customHeight="1">
      <c r="B21" t="s">
        <v>474</v>
      </c>
      <c r="C21" s="256">
        <f>'Overall recycling rates'!G40*'Overall recycling rates'!$G$59</f>
        <v>0</v>
      </c>
      <c r="D21" s="127">
        <f>$C21/$C$24</f>
        <v>0</v>
      </c>
      <c r="E21" s="2"/>
      <c r="F21" s="2"/>
      <c r="G21" s="2"/>
      <c r="I21" s="764" t="s">
        <v>1751</v>
      </c>
      <c r="L21" t="s">
        <v>474</v>
      </c>
      <c r="M21" s="256">
        <f>'Overall recycling rates'!G12*'Overall recycling rates'!$G$59</f>
        <v>1.5079664059578168</v>
      </c>
      <c r="N21" s="127">
        <f>$M21/$M$24</f>
        <v>0.65402430514142706</v>
      </c>
      <c r="P21" s="2"/>
      <c r="Q21" s="2"/>
      <c r="R21" s="2"/>
      <c r="T21" s="28" t="s">
        <v>1752</v>
      </c>
      <c r="V21" s="384"/>
      <c r="W21" s="384"/>
      <c r="X21" s="384"/>
      <c r="Y21" s="384"/>
      <c r="Z21" s="384"/>
    </row>
    <row r="22" spans="2:35">
      <c r="B22" t="s">
        <v>745</v>
      </c>
      <c r="C22" s="256">
        <f>'Overall recycling rates'!H40*'Overall recycling rates'!$H$59</f>
        <v>8.8664515166698077E-4</v>
      </c>
      <c r="D22" s="127">
        <f t="shared" ref="D22:D23" si="10">$C22/$C$24</f>
        <v>0.63527312382274215</v>
      </c>
      <c r="E22" s="2"/>
      <c r="F22" s="2"/>
      <c r="G22" s="2"/>
      <c r="I22" s="764"/>
      <c r="L22" t="s">
        <v>745</v>
      </c>
      <c r="M22" s="256">
        <f>'Overall recycling rates'!H12*'Overall recycling rates'!$H$59</f>
        <v>0.47230901908692435</v>
      </c>
      <c r="N22" s="127">
        <f>$M22/$M$24</f>
        <v>0.20484645864782999</v>
      </c>
      <c r="P22" s="2"/>
      <c r="Q22" s="2"/>
      <c r="R22" s="2"/>
      <c r="T22" s="28"/>
      <c r="W22" s="23"/>
      <c r="X22" s="23"/>
      <c r="Y22" s="23"/>
      <c r="Z22" s="23"/>
    </row>
    <row r="23" spans="2:35">
      <c r="B23" t="s">
        <v>248</v>
      </c>
      <c r="C23" s="256">
        <f>'Overall recycling rates'!I40*'Overall recycling rates'!$I$59</f>
        <v>5.0904611625824324E-4</v>
      </c>
      <c r="D23" s="127">
        <f t="shared" si="10"/>
        <v>0.36472687617725791</v>
      </c>
      <c r="E23" s="56"/>
      <c r="F23" s="56"/>
      <c r="G23" s="56"/>
      <c r="I23" s="764"/>
      <c r="L23" t="s">
        <v>248</v>
      </c>
      <c r="M23" s="256">
        <f>'Overall recycling rates'!I12*'Overall recycling rates'!$I$59</f>
        <v>0.32539791783160954</v>
      </c>
      <c r="N23" s="127">
        <f>$M23/$M$24</f>
        <v>0.1411292362107428</v>
      </c>
      <c r="P23" s="56"/>
      <c r="Q23" s="56"/>
      <c r="R23" s="56"/>
      <c r="T23" s="28"/>
    </row>
    <row r="24" spans="2:35">
      <c r="C24" s="256">
        <f>SUM(C21:C23)</f>
        <v>1.395691267925224E-3</v>
      </c>
      <c r="D24" s="2">
        <f>SUM(D21:D23)</f>
        <v>1</v>
      </c>
      <c r="E24" s="2"/>
      <c r="F24" s="2"/>
      <c r="G24" s="2"/>
      <c r="M24" s="44">
        <f>SUM(M21:M23)</f>
        <v>2.305673342876351</v>
      </c>
      <c r="N24" s="2">
        <f>SUM(N21:N23)</f>
        <v>0.99999999999999989</v>
      </c>
      <c r="P24" s="2"/>
      <c r="Q24" s="2"/>
      <c r="R24" s="2"/>
      <c r="V24" s="384"/>
      <c r="W24" s="384"/>
      <c r="X24" s="384"/>
      <c r="Y24" s="384"/>
      <c r="Z24" s="384"/>
    </row>
    <row r="25" spans="2:35">
      <c r="V25" s="384"/>
      <c r="W25" s="384"/>
      <c r="X25" s="384"/>
      <c r="Y25" s="384"/>
      <c r="Z25" s="384"/>
    </row>
    <row r="26" spans="2:35">
      <c r="B26" t="s">
        <v>248</v>
      </c>
      <c r="D26" t="s">
        <v>1746</v>
      </c>
      <c r="L26" t="s">
        <v>248</v>
      </c>
      <c r="N26" t="s">
        <v>1746</v>
      </c>
    </row>
    <row r="27" spans="2:35" ht="14.5" customHeight="1">
      <c r="B27" t="s">
        <v>474</v>
      </c>
      <c r="C27" s="256">
        <f>'Overall recycling rates'!G43*'Overall recycling rates'!$G$59</f>
        <v>0</v>
      </c>
      <c r="D27" s="127">
        <f>$C27/$C$30</f>
        <v>0</v>
      </c>
      <c r="I27" s="764" t="s">
        <v>1751</v>
      </c>
      <c r="L27" t="s">
        <v>474</v>
      </c>
      <c r="M27" s="256">
        <f>'Overall recycling rates'!G16*'Overall recycling rates'!$G$59</f>
        <v>0</v>
      </c>
      <c r="N27" s="127">
        <f>$M27/$L$30</f>
        <v>0</v>
      </c>
      <c r="T27" s="28" t="s">
        <v>1752</v>
      </c>
    </row>
    <row r="28" spans="2:35">
      <c r="B28" t="s">
        <v>745</v>
      </c>
      <c r="C28" s="256">
        <f>'Overall recycling rates'!H43*'Overall recycling rates'!$H$59</f>
        <v>8.3613556157768706E-2</v>
      </c>
      <c r="D28" s="127">
        <f t="shared" ref="D28:D29" si="11">$C28/$C$30</f>
        <v>0.30872851836327631</v>
      </c>
      <c r="I28" s="764"/>
      <c r="L28" t="s">
        <v>745</v>
      </c>
      <c r="M28" s="256">
        <f>'Overall recycling rates'!H16*'Overall recycling rates'!$H$59</f>
        <v>2.1041161376293047</v>
      </c>
      <c r="N28" s="127">
        <f>$M28/$L$30</f>
        <v>0.30872851836327631</v>
      </c>
      <c r="T28" s="28"/>
    </row>
    <row r="29" spans="2:35">
      <c r="B29" t="s">
        <v>248</v>
      </c>
      <c r="C29" s="256">
        <f>'Overall recycling rates'!I43*'Overall recycling rates'!$I$59</f>
        <v>0.18721842464220995</v>
      </c>
      <c r="D29" s="127">
        <f t="shared" si="11"/>
        <v>0.69127148163672369</v>
      </c>
      <c r="I29" s="764"/>
      <c r="L29" t="s">
        <v>248</v>
      </c>
      <c r="M29" s="256">
        <f>'Overall recycling rates'!I16*'Overall recycling rates'!$I$59</f>
        <v>4.7113091064792494</v>
      </c>
      <c r="N29" s="127">
        <f>$M29/$L$30</f>
        <v>0.69127148163672369</v>
      </c>
      <c r="T29" s="28"/>
    </row>
    <row r="30" spans="2:35">
      <c r="C30" s="256">
        <f>SUM(C27:C29)</f>
        <v>0.27083198079997867</v>
      </c>
      <c r="D30" s="2">
        <f>SUM(D27:D29)</f>
        <v>1</v>
      </c>
      <c r="L30" s="44">
        <f>SUM(M27:M29)</f>
        <v>6.8154252441085541</v>
      </c>
      <c r="M30" s="2">
        <f>SUM(N27:N29)</f>
        <v>1</v>
      </c>
    </row>
    <row r="32" spans="2:35" s="273" customFormat="1" ht="16" thickBot="1">
      <c r="E32" s="273">
        <v>2020</v>
      </c>
      <c r="F32" s="273">
        <f>E32+1</f>
        <v>2021</v>
      </c>
      <c r="G32" s="273">
        <f t="shared" ref="G32:AI32" si="12">F32+1</f>
        <v>2022</v>
      </c>
      <c r="H32" s="273">
        <f t="shared" si="12"/>
        <v>2023</v>
      </c>
      <c r="I32" s="273">
        <f t="shared" si="12"/>
        <v>2024</v>
      </c>
      <c r="J32" s="273">
        <f t="shared" si="12"/>
        <v>2025</v>
      </c>
      <c r="K32" s="273">
        <f t="shared" si="12"/>
        <v>2026</v>
      </c>
      <c r="L32" s="273">
        <f t="shared" si="12"/>
        <v>2027</v>
      </c>
      <c r="M32" s="273">
        <f t="shared" si="12"/>
        <v>2028</v>
      </c>
      <c r="N32" s="273">
        <f t="shared" si="12"/>
        <v>2029</v>
      </c>
      <c r="O32" s="273">
        <f t="shared" si="12"/>
        <v>2030</v>
      </c>
      <c r="P32" s="273">
        <f t="shared" si="12"/>
        <v>2031</v>
      </c>
      <c r="Q32" s="273">
        <f t="shared" si="12"/>
        <v>2032</v>
      </c>
      <c r="R32" s="273">
        <f t="shared" si="12"/>
        <v>2033</v>
      </c>
      <c r="S32" s="273">
        <f t="shared" si="12"/>
        <v>2034</v>
      </c>
      <c r="T32" s="273">
        <f t="shared" si="12"/>
        <v>2035</v>
      </c>
      <c r="U32" s="273">
        <f t="shared" si="12"/>
        <v>2036</v>
      </c>
      <c r="V32" s="273">
        <f t="shared" si="12"/>
        <v>2037</v>
      </c>
      <c r="W32" s="273">
        <f t="shared" si="12"/>
        <v>2038</v>
      </c>
      <c r="X32" s="273">
        <f t="shared" si="12"/>
        <v>2039</v>
      </c>
      <c r="Y32" s="273">
        <f t="shared" si="12"/>
        <v>2040</v>
      </c>
      <c r="Z32" s="273">
        <f t="shared" si="12"/>
        <v>2041</v>
      </c>
      <c r="AA32" s="273">
        <f t="shared" si="12"/>
        <v>2042</v>
      </c>
      <c r="AB32" s="273">
        <f>AA32+1</f>
        <v>2043</v>
      </c>
      <c r="AC32" s="273">
        <f t="shared" si="12"/>
        <v>2044</v>
      </c>
      <c r="AD32" s="273">
        <f t="shared" si="12"/>
        <v>2045</v>
      </c>
      <c r="AE32" s="273">
        <f t="shared" si="12"/>
        <v>2046</v>
      </c>
      <c r="AF32" s="273">
        <f t="shared" si="12"/>
        <v>2047</v>
      </c>
      <c r="AG32" s="273">
        <f t="shared" si="12"/>
        <v>2048</v>
      </c>
      <c r="AH32" s="273">
        <f t="shared" si="12"/>
        <v>2049</v>
      </c>
      <c r="AI32" s="273">
        <f t="shared" si="12"/>
        <v>2050</v>
      </c>
    </row>
    <row r="33" spans="1:35">
      <c r="A33" s="310"/>
      <c r="B33" t="s">
        <v>309</v>
      </c>
      <c r="C33" t="s">
        <v>1746</v>
      </c>
      <c r="D33" t="s">
        <v>474</v>
      </c>
      <c r="E33" s="168">
        <f>D3</f>
        <v>1</v>
      </c>
      <c r="F33" s="168">
        <f>-($E33-$AI33)/30+E33</f>
        <v>0.98846747683804759</v>
      </c>
      <c r="G33" s="168">
        <f t="shared" ref="G33:AH33" si="13">-($E33-$AI33)/30+F33</f>
        <v>0.97693495367609517</v>
      </c>
      <c r="H33" s="168">
        <f t="shared" si="13"/>
        <v>0.96540243051414276</v>
      </c>
      <c r="I33" s="168">
        <f t="shared" si="13"/>
        <v>0.95386990735219035</v>
      </c>
      <c r="J33" s="168">
        <f t="shared" si="13"/>
        <v>0.94233738419023794</v>
      </c>
      <c r="K33" s="168">
        <f t="shared" si="13"/>
        <v>0.93080486102828552</v>
      </c>
      <c r="L33" s="168">
        <f t="shared" si="13"/>
        <v>0.91927233786633311</v>
      </c>
      <c r="M33" s="168">
        <f t="shared" si="13"/>
        <v>0.9077398147043807</v>
      </c>
      <c r="N33" s="168">
        <f t="shared" si="13"/>
        <v>0.89620729154242829</v>
      </c>
      <c r="O33" s="168">
        <f t="shared" si="13"/>
        <v>0.88467476838047587</v>
      </c>
      <c r="P33" s="168">
        <f t="shared" si="13"/>
        <v>0.87314224521852346</v>
      </c>
      <c r="Q33" s="168">
        <f t="shared" si="13"/>
        <v>0.86160972205657105</v>
      </c>
      <c r="R33" s="168">
        <f t="shared" si="13"/>
        <v>0.85007719889461864</v>
      </c>
      <c r="S33" s="168">
        <f t="shared" si="13"/>
        <v>0.83854467573266622</v>
      </c>
      <c r="T33" s="168">
        <f t="shared" si="13"/>
        <v>0.82701215257071381</v>
      </c>
      <c r="U33" s="168">
        <f t="shared" si="13"/>
        <v>0.8154796294087614</v>
      </c>
      <c r="V33" s="168">
        <f t="shared" si="13"/>
        <v>0.80394710624680898</v>
      </c>
      <c r="W33" s="168">
        <f t="shared" si="13"/>
        <v>0.79241458308485657</v>
      </c>
      <c r="X33" s="168">
        <f t="shared" si="13"/>
        <v>0.78088205992290416</v>
      </c>
      <c r="Y33" s="168">
        <f t="shared" si="13"/>
        <v>0.76934953676095175</v>
      </c>
      <c r="Z33" s="168">
        <f t="shared" si="13"/>
        <v>0.75781701359899933</v>
      </c>
      <c r="AA33" s="168">
        <f t="shared" si="13"/>
        <v>0.74628449043704692</v>
      </c>
      <c r="AB33" s="168">
        <f t="shared" si="13"/>
        <v>0.73475196727509451</v>
      </c>
      <c r="AC33" s="168">
        <f t="shared" si="13"/>
        <v>0.7232194441131421</v>
      </c>
      <c r="AD33" s="168">
        <f t="shared" si="13"/>
        <v>0.71168692095118968</v>
      </c>
      <c r="AE33" s="168">
        <f t="shared" si="13"/>
        <v>0.70015439778923727</v>
      </c>
      <c r="AF33" s="168">
        <f t="shared" si="13"/>
        <v>0.68862187462728486</v>
      </c>
      <c r="AG33" s="168">
        <f t="shared" si="13"/>
        <v>0.67708935146533245</v>
      </c>
      <c r="AH33" s="168">
        <f t="shared" si="13"/>
        <v>0.66555682830338003</v>
      </c>
      <c r="AI33" s="168">
        <f>N3</f>
        <v>0.65402430514142706</v>
      </c>
    </row>
    <row r="34" spans="1:35">
      <c r="A34" s="310"/>
      <c r="B34" t="s">
        <v>309</v>
      </c>
      <c r="C34" t="s">
        <v>1746</v>
      </c>
      <c r="D34" t="s">
        <v>745</v>
      </c>
      <c r="E34" s="168">
        <f>D4</f>
        <v>0</v>
      </c>
      <c r="F34" s="168">
        <f t="shared" ref="F34:AH38" si="14">-($E34-$AI34)/30+E34</f>
        <v>6.8282152882609996E-3</v>
      </c>
      <c r="G34" s="168">
        <f t="shared" si="14"/>
        <v>1.3656430576521999E-2</v>
      </c>
      <c r="H34" s="168">
        <f t="shared" si="14"/>
        <v>2.0484645864782998E-2</v>
      </c>
      <c r="I34" s="168">
        <f t="shared" si="14"/>
        <v>2.7312861153043998E-2</v>
      </c>
      <c r="J34" s="168">
        <f t="shared" si="14"/>
        <v>3.4141076441304999E-2</v>
      </c>
      <c r="K34" s="168">
        <f t="shared" si="14"/>
        <v>4.0969291729565996E-2</v>
      </c>
      <c r="L34" s="168">
        <f t="shared" si="14"/>
        <v>4.7797507017826993E-2</v>
      </c>
      <c r="M34" s="168">
        <f t="shared" si="14"/>
        <v>5.462572230608799E-2</v>
      </c>
      <c r="N34" s="168">
        <f t="shared" si="14"/>
        <v>6.1453937594348987E-2</v>
      </c>
      <c r="O34" s="168">
        <f t="shared" si="14"/>
        <v>6.8282152882609984E-2</v>
      </c>
      <c r="P34" s="168">
        <f t="shared" si="14"/>
        <v>7.5110368170870981E-2</v>
      </c>
      <c r="Q34" s="168">
        <f t="shared" si="14"/>
        <v>8.1938583459131978E-2</v>
      </c>
      <c r="R34" s="168">
        <f t="shared" si="14"/>
        <v>8.8766798747392975E-2</v>
      </c>
      <c r="S34" s="168">
        <f t="shared" si="14"/>
        <v>9.5595014035653972E-2</v>
      </c>
      <c r="T34" s="168">
        <f t="shared" si="14"/>
        <v>0.10242322932391497</v>
      </c>
      <c r="U34" s="168">
        <f t="shared" si="14"/>
        <v>0.10925144461217597</v>
      </c>
      <c r="V34" s="168">
        <f t="shared" si="14"/>
        <v>0.11607965990043696</v>
      </c>
      <c r="W34" s="168">
        <f t="shared" si="14"/>
        <v>0.12290787518869796</v>
      </c>
      <c r="X34" s="168">
        <f t="shared" si="14"/>
        <v>0.12973609047695897</v>
      </c>
      <c r="Y34" s="168">
        <f t="shared" si="14"/>
        <v>0.13656430576521997</v>
      </c>
      <c r="Z34" s="168">
        <f t="shared" si="14"/>
        <v>0.14339252105348096</v>
      </c>
      <c r="AA34" s="168">
        <f t="shared" si="14"/>
        <v>0.15022073634174196</v>
      </c>
      <c r="AB34" s="168">
        <f t="shared" si="14"/>
        <v>0.15704895163000296</v>
      </c>
      <c r="AC34" s="168">
        <f t="shared" si="14"/>
        <v>0.16387716691826396</v>
      </c>
      <c r="AD34" s="168">
        <f t="shared" si="14"/>
        <v>0.17070538220652495</v>
      </c>
      <c r="AE34" s="168">
        <f t="shared" si="14"/>
        <v>0.17753359749478595</v>
      </c>
      <c r="AF34" s="168">
        <f t="shared" si="14"/>
        <v>0.18436181278304695</v>
      </c>
      <c r="AG34" s="168">
        <f t="shared" si="14"/>
        <v>0.19119002807130794</v>
      </c>
      <c r="AH34" s="168">
        <f t="shared" si="14"/>
        <v>0.19801824335956894</v>
      </c>
      <c r="AI34" s="168">
        <f>N4</f>
        <v>0.20484645864782999</v>
      </c>
    </row>
    <row r="35" spans="1:35">
      <c r="A35" s="310"/>
      <c r="B35" t="s">
        <v>309</v>
      </c>
      <c r="C35" t="s">
        <v>1746</v>
      </c>
      <c r="D35" t="s">
        <v>248</v>
      </c>
      <c r="E35" s="168">
        <f>D5</f>
        <v>0</v>
      </c>
      <c r="F35" s="168">
        <f t="shared" si="14"/>
        <v>4.704307873691427E-3</v>
      </c>
      <c r="G35" s="168">
        <f t="shared" si="14"/>
        <v>9.4086157473828539E-3</v>
      </c>
      <c r="H35" s="168">
        <f t="shared" si="14"/>
        <v>1.4112923621074282E-2</v>
      </c>
      <c r="I35" s="168">
        <f t="shared" si="14"/>
        <v>1.8817231494765708E-2</v>
      </c>
      <c r="J35" s="168">
        <f t="shared" si="14"/>
        <v>2.3521539368457134E-2</v>
      </c>
      <c r="K35" s="168">
        <f t="shared" si="14"/>
        <v>2.822584724214856E-2</v>
      </c>
      <c r="L35" s="168">
        <f t="shared" si="14"/>
        <v>3.2930155115839986E-2</v>
      </c>
      <c r="M35" s="168">
        <f t="shared" si="14"/>
        <v>3.7634462989531416E-2</v>
      </c>
      <c r="N35" s="168">
        <f t="shared" si="14"/>
        <v>4.2338770863222845E-2</v>
      </c>
      <c r="O35" s="168">
        <f t="shared" si="14"/>
        <v>4.7043078736914275E-2</v>
      </c>
      <c r="P35" s="168">
        <f t="shared" si="14"/>
        <v>5.1747386610605704E-2</v>
      </c>
      <c r="Q35" s="168">
        <f t="shared" si="14"/>
        <v>5.6451694484297134E-2</v>
      </c>
      <c r="R35" s="168">
        <f t="shared" si="14"/>
        <v>6.1156002357988563E-2</v>
      </c>
      <c r="S35" s="168">
        <f t="shared" si="14"/>
        <v>6.5860310231679986E-2</v>
      </c>
      <c r="T35" s="168">
        <f t="shared" si="14"/>
        <v>7.0564618105371416E-2</v>
      </c>
      <c r="U35" s="168">
        <f t="shared" si="14"/>
        <v>7.5268925979062845E-2</v>
      </c>
      <c r="V35" s="168">
        <f t="shared" si="14"/>
        <v>7.9973233852754275E-2</v>
      </c>
      <c r="W35" s="168">
        <f t="shared" si="14"/>
        <v>8.4677541726445704E-2</v>
      </c>
      <c r="X35" s="168">
        <f t="shared" si="14"/>
        <v>8.9381849600137134E-2</v>
      </c>
      <c r="Y35" s="168">
        <f t="shared" si="14"/>
        <v>9.4086157473828563E-2</v>
      </c>
      <c r="Z35" s="168">
        <f t="shared" si="14"/>
        <v>9.8790465347519993E-2</v>
      </c>
      <c r="AA35" s="168">
        <f t="shared" si="14"/>
        <v>0.10349477322121142</v>
      </c>
      <c r="AB35" s="168">
        <f t="shared" si="14"/>
        <v>0.10819908109490285</v>
      </c>
      <c r="AC35" s="168">
        <f t="shared" si="14"/>
        <v>0.11290338896859428</v>
      </c>
      <c r="AD35" s="168">
        <f t="shared" si="14"/>
        <v>0.11760769684228571</v>
      </c>
      <c r="AE35" s="168">
        <f t="shared" si="14"/>
        <v>0.12231200471597714</v>
      </c>
      <c r="AF35" s="168">
        <f t="shared" si="14"/>
        <v>0.12701631258966856</v>
      </c>
      <c r="AG35" s="168">
        <f t="shared" si="14"/>
        <v>0.13172062046335997</v>
      </c>
      <c r="AH35" s="168">
        <f t="shared" si="14"/>
        <v>0.13642492833705139</v>
      </c>
      <c r="AI35" s="168">
        <f>N5</f>
        <v>0.1411292362107428</v>
      </c>
    </row>
    <row r="36" spans="1:35" s="67" customFormat="1">
      <c r="A36" s="307"/>
      <c r="B36" s="67" t="s">
        <v>309</v>
      </c>
      <c r="C36" s="67" t="s">
        <v>1747</v>
      </c>
      <c r="D36" t="s">
        <v>474</v>
      </c>
      <c r="E36" s="201">
        <f>E3</f>
        <v>1</v>
      </c>
      <c r="F36" s="201">
        <f t="shared" si="14"/>
        <v>0.98846747683804759</v>
      </c>
      <c r="G36" s="201">
        <f t="shared" si="14"/>
        <v>0.97693495367609517</v>
      </c>
      <c r="H36" s="201">
        <f t="shared" si="14"/>
        <v>0.96540243051414276</v>
      </c>
      <c r="I36" s="201">
        <f t="shared" si="14"/>
        <v>0.95386990735219035</v>
      </c>
      <c r="J36" s="201">
        <f t="shared" si="14"/>
        <v>0.94233738419023794</v>
      </c>
      <c r="K36" s="201">
        <f t="shared" si="14"/>
        <v>0.93080486102828552</v>
      </c>
      <c r="L36" s="201">
        <f t="shared" si="14"/>
        <v>0.91927233786633311</v>
      </c>
      <c r="M36" s="201">
        <f t="shared" si="14"/>
        <v>0.9077398147043807</v>
      </c>
      <c r="N36" s="201">
        <f t="shared" si="14"/>
        <v>0.89620729154242829</v>
      </c>
      <c r="O36" s="201">
        <f t="shared" si="14"/>
        <v>0.88467476838047587</v>
      </c>
      <c r="P36" s="201">
        <f t="shared" si="14"/>
        <v>0.87314224521852346</v>
      </c>
      <c r="Q36" s="201">
        <f t="shared" si="14"/>
        <v>0.86160972205657105</v>
      </c>
      <c r="R36" s="201">
        <f t="shared" si="14"/>
        <v>0.85007719889461864</v>
      </c>
      <c r="S36" s="201">
        <f t="shared" si="14"/>
        <v>0.83854467573266622</v>
      </c>
      <c r="T36" s="201">
        <f t="shared" si="14"/>
        <v>0.82701215257071381</v>
      </c>
      <c r="U36" s="201">
        <f t="shared" si="14"/>
        <v>0.8154796294087614</v>
      </c>
      <c r="V36" s="201">
        <f t="shared" si="14"/>
        <v>0.80394710624680898</v>
      </c>
      <c r="W36" s="201">
        <f t="shared" si="14"/>
        <v>0.79241458308485657</v>
      </c>
      <c r="X36" s="201">
        <f t="shared" si="14"/>
        <v>0.78088205992290416</v>
      </c>
      <c r="Y36" s="201">
        <f t="shared" si="14"/>
        <v>0.76934953676095175</v>
      </c>
      <c r="Z36" s="201">
        <f t="shared" si="14"/>
        <v>0.75781701359899933</v>
      </c>
      <c r="AA36" s="201">
        <f t="shared" si="14"/>
        <v>0.74628449043704692</v>
      </c>
      <c r="AB36" s="201">
        <f t="shared" si="14"/>
        <v>0.73475196727509451</v>
      </c>
      <c r="AC36" s="201">
        <f t="shared" si="14"/>
        <v>0.7232194441131421</v>
      </c>
      <c r="AD36" s="201">
        <f t="shared" si="14"/>
        <v>0.71168692095118968</v>
      </c>
      <c r="AE36" s="201">
        <f t="shared" si="14"/>
        <v>0.70015439778923727</v>
      </c>
      <c r="AF36" s="201">
        <f t="shared" si="14"/>
        <v>0.68862187462728486</v>
      </c>
      <c r="AG36" s="201">
        <f t="shared" si="14"/>
        <v>0.67708935146533245</v>
      </c>
      <c r="AH36" s="201">
        <f t="shared" si="14"/>
        <v>0.66555682830338003</v>
      </c>
      <c r="AI36" s="201">
        <f>O3</f>
        <v>0.65402430514142706</v>
      </c>
    </row>
    <row r="37" spans="1:35">
      <c r="A37" s="310"/>
      <c r="B37" t="s">
        <v>309</v>
      </c>
      <c r="C37" t="s">
        <v>1747</v>
      </c>
      <c r="D37" t="s">
        <v>745</v>
      </c>
      <c r="E37" s="168">
        <f>E4</f>
        <v>0</v>
      </c>
      <c r="F37" s="168">
        <f t="shared" si="14"/>
        <v>6.8282152882609996E-3</v>
      </c>
      <c r="G37" s="168">
        <f t="shared" si="14"/>
        <v>1.3656430576521999E-2</v>
      </c>
      <c r="H37" s="168">
        <f t="shared" si="14"/>
        <v>2.0484645864782998E-2</v>
      </c>
      <c r="I37" s="168">
        <f t="shared" si="14"/>
        <v>2.7312861153043998E-2</v>
      </c>
      <c r="J37" s="168">
        <f t="shared" si="14"/>
        <v>3.4141076441304999E-2</v>
      </c>
      <c r="K37" s="168">
        <f t="shared" si="14"/>
        <v>4.0969291729565996E-2</v>
      </c>
      <c r="L37" s="168">
        <f t="shared" si="14"/>
        <v>4.7797507017826993E-2</v>
      </c>
      <c r="M37" s="168">
        <f t="shared" si="14"/>
        <v>5.462572230608799E-2</v>
      </c>
      <c r="N37" s="168">
        <f t="shared" si="14"/>
        <v>6.1453937594348987E-2</v>
      </c>
      <c r="O37" s="168">
        <f t="shared" si="14"/>
        <v>6.8282152882609984E-2</v>
      </c>
      <c r="P37" s="168">
        <f t="shared" si="14"/>
        <v>7.5110368170870981E-2</v>
      </c>
      <c r="Q37" s="168">
        <f t="shared" si="14"/>
        <v>8.1938583459131978E-2</v>
      </c>
      <c r="R37" s="168">
        <f t="shared" si="14"/>
        <v>8.8766798747392975E-2</v>
      </c>
      <c r="S37" s="168">
        <f t="shared" si="14"/>
        <v>9.5595014035653972E-2</v>
      </c>
      <c r="T37" s="168">
        <f t="shared" si="14"/>
        <v>0.10242322932391497</v>
      </c>
      <c r="U37" s="168">
        <f t="shared" si="14"/>
        <v>0.10925144461217597</v>
      </c>
      <c r="V37" s="168">
        <f t="shared" si="14"/>
        <v>0.11607965990043696</v>
      </c>
      <c r="W37" s="168">
        <f t="shared" si="14"/>
        <v>0.12290787518869796</v>
      </c>
      <c r="X37" s="168">
        <f t="shared" si="14"/>
        <v>0.12973609047695897</v>
      </c>
      <c r="Y37" s="168">
        <f t="shared" si="14"/>
        <v>0.13656430576521997</v>
      </c>
      <c r="Z37" s="168">
        <f t="shared" si="14"/>
        <v>0.14339252105348096</v>
      </c>
      <c r="AA37" s="168">
        <f t="shared" si="14"/>
        <v>0.15022073634174196</v>
      </c>
      <c r="AB37" s="168">
        <f t="shared" si="14"/>
        <v>0.15704895163000296</v>
      </c>
      <c r="AC37" s="168">
        <f t="shared" si="14"/>
        <v>0.16387716691826396</v>
      </c>
      <c r="AD37" s="168">
        <f t="shared" si="14"/>
        <v>0.17070538220652495</v>
      </c>
      <c r="AE37" s="168">
        <f t="shared" si="14"/>
        <v>0.17753359749478595</v>
      </c>
      <c r="AF37" s="168">
        <f t="shared" si="14"/>
        <v>0.18436181278304695</v>
      </c>
      <c r="AG37" s="168">
        <f t="shared" si="14"/>
        <v>0.19119002807130794</v>
      </c>
      <c r="AH37" s="168">
        <f t="shared" si="14"/>
        <v>0.19801824335956894</v>
      </c>
      <c r="AI37" s="168">
        <f>O4</f>
        <v>0.20484645864782999</v>
      </c>
    </row>
    <row r="38" spans="1:35">
      <c r="A38" s="310"/>
      <c r="B38" t="s">
        <v>309</v>
      </c>
      <c r="C38" t="s">
        <v>1747</v>
      </c>
      <c r="D38" t="s">
        <v>248</v>
      </c>
      <c r="E38" s="168">
        <f>E5</f>
        <v>0</v>
      </c>
      <c r="F38" s="168">
        <f t="shared" si="14"/>
        <v>4.704307873691427E-3</v>
      </c>
      <c r="G38" s="168">
        <f t="shared" si="14"/>
        <v>9.4086157473828539E-3</v>
      </c>
      <c r="H38" s="168">
        <f t="shared" si="14"/>
        <v>1.4112923621074282E-2</v>
      </c>
      <c r="I38" s="168">
        <f t="shared" si="14"/>
        <v>1.8817231494765708E-2</v>
      </c>
      <c r="J38" s="168">
        <f t="shared" si="14"/>
        <v>2.3521539368457134E-2</v>
      </c>
      <c r="K38" s="168">
        <f t="shared" si="14"/>
        <v>2.822584724214856E-2</v>
      </c>
      <c r="L38" s="168">
        <f t="shared" si="14"/>
        <v>3.2930155115839986E-2</v>
      </c>
      <c r="M38" s="168">
        <f t="shared" si="14"/>
        <v>3.7634462989531416E-2</v>
      </c>
      <c r="N38" s="168">
        <f t="shared" si="14"/>
        <v>4.2338770863222845E-2</v>
      </c>
      <c r="O38" s="168">
        <f t="shared" si="14"/>
        <v>4.7043078736914275E-2</v>
      </c>
      <c r="P38" s="168">
        <f t="shared" si="14"/>
        <v>5.1747386610605704E-2</v>
      </c>
      <c r="Q38" s="168">
        <f t="shared" si="14"/>
        <v>5.6451694484297134E-2</v>
      </c>
      <c r="R38" s="168">
        <f t="shared" si="14"/>
        <v>6.1156002357988563E-2</v>
      </c>
      <c r="S38" s="168">
        <f t="shared" si="14"/>
        <v>6.5860310231679986E-2</v>
      </c>
      <c r="T38" s="168">
        <f t="shared" si="14"/>
        <v>7.0564618105371416E-2</v>
      </c>
      <c r="U38" s="168">
        <f t="shared" si="14"/>
        <v>7.5268925979062845E-2</v>
      </c>
      <c r="V38" s="168">
        <f t="shared" si="14"/>
        <v>7.9973233852754275E-2</v>
      </c>
      <c r="W38" s="168">
        <f t="shared" si="14"/>
        <v>8.4677541726445704E-2</v>
      </c>
      <c r="X38" s="168">
        <f t="shared" si="14"/>
        <v>8.9381849600137134E-2</v>
      </c>
      <c r="Y38" s="168">
        <f t="shared" si="14"/>
        <v>9.4086157473828563E-2</v>
      </c>
      <c r="Z38" s="168">
        <f t="shared" si="14"/>
        <v>9.8790465347519993E-2</v>
      </c>
      <c r="AA38" s="168">
        <f t="shared" si="14"/>
        <v>0.10349477322121142</v>
      </c>
      <c r="AB38" s="168">
        <f t="shared" si="14"/>
        <v>0.10819908109490285</v>
      </c>
      <c r="AC38" s="168">
        <f t="shared" si="14"/>
        <v>0.11290338896859428</v>
      </c>
      <c r="AD38" s="168">
        <f t="shared" si="14"/>
        <v>0.11760769684228571</v>
      </c>
      <c r="AE38" s="168">
        <f t="shared" si="14"/>
        <v>0.12231200471597714</v>
      </c>
      <c r="AF38" s="168">
        <f t="shared" si="14"/>
        <v>0.12701631258966856</v>
      </c>
      <c r="AG38" s="168">
        <f t="shared" si="14"/>
        <v>0.13172062046335997</v>
      </c>
      <c r="AH38" s="168">
        <f t="shared" si="14"/>
        <v>0.13642492833705139</v>
      </c>
      <c r="AI38" s="168">
        <f>O5</f>
        <v>0.1411292362107428</v>
      </c>
    </row>
    <row r="39" spans="1:35" s="67" customFormat="1">
      <c r="A39" s="307"/>
      <c r="B39" s="67" t="s">
        <v>309</v>
      </c>
      <c r="C39" s="67" t="s">
        <v>1748</v>
      </c>
      <c r="D39" t="s">
        <v>474</v>
      </c>
      <c r="E39" s="201">
        <f>F3</f>
        <v>1</v>
      </c>
      <c r="F39" s="201">
        <f t="shared" ref="F39:AH44" si="15">-($E39-$AI39)/30+E39</f>
        <v>0.96666666666666667</v>
      </c>
      <c r="G39" s="201">
        <f t="shared" si="15"/>
        <v>0.93333333333333335</v>
      </c>
      <c r="H39" s="201">
        <f t="shared" si="15"/>
        <v>0.9</v>
      </c>
      <c r="I39" s="201">
        <f t="shared" si="15"/>
        <v>0.8666666666666667</v>
      </c>
      <c r="J39" s="201">
        <f t="shared" si="15"/>
        <v>0.83333333333333337</v>
      </c>
      <c r="K39" s="201">
        <f t="shared" si="15"/>
        <v>0.8</v>
      </c>
      <c r="L39" s="201">
        <f t="shared" si="15"/>
        <v>0.76666666666666672</v>
      </c>
      <c r="M39" s="201">
        <f t="shared" si="15"/>
        <v>0.73333333333333339</v>
      </c>
      <c r="N39" s="201">
        <f t="shared" si="15"/>
        <v>0.70000000000000007</v>
      </c>
      <c r="O39" s="201">
        <f t="shared" si="15"/>
        <v>0.66666666666666674</v>
      </c>
      <c r="P39" s="201">
        <f t="shared" si="15"/>
        <v>0.63333333333333341</v>
      </c>
      <c r="Q39" s="201">
        <f t="shared" si="15"/>
        <v>0.60000000000000009</v>
      </c>
      <c r="R39" s="201">
        <f t="shared" si="15"/>
        <v>0.56666666666666676</v>
      </c>
      <c r="S39" s="201">
        <f t="shared" si="15"/>
        <v>0.53333333333333344</v>
      </c>
      <c r="T39" s="201">
        <f t="shared" si="15"/>
        <v>0.50000000000000011</v>
      </c>
      <c r="U39" s="201">
        <f t="shared" si="15"/>
        <v>0.46666666666666679</v>
      </c>
      <c r="V39" s="201">
        <f t="shared" si="15"/>
        <v>0.43333333333333346</v>
      </c>
      <c r="W39" s="201">
        <f t="shared" si="15"/>
        <v>0.40000000000000013</v>
      </c>
      <c r="X39" s="201">
        <f t="shared" si="15"/>
        <v>0.36666666666666681</v>
      </c>
      <c r="Y39" s="201">
        <f t="shared" si="15"/>
        <v>0.33333333333333348</v>
      </c>
      <c r="Z39" s="201">
        <f t="shared" si="15"/>
        <v>0.30000000000000016</v>
      </c>
      <c r="AA39" s="201">
        <f t="shared" si="15"/>
        <v>0.26666666666666683</v>
      </c>
      <c r="AB39" s="201">
        <f t="shared" si="15"/>
        <v>0.2333333333333335</v>
      </c>
      <c r="AC39" s="201">
        <f t="shared" si="15"/>
        <v>0.20000000000000018</v>
      </c>
      <c r="AD39" s="201">
        <f t="shared" si="15"/>
        <v>0.16666666666666685</v>
      </c>
      <c r="AE39" s="201">
        <f t="shared" si="15"/>
        <v>0.13333333333333353</v>
      </c>
      <c r="AF39" s="201">
        <f t="shared" si="15"/>
        <v>0.1000000000000002</v>
      </c>
      <c r="AG39" s="201">
        <f t="shared" si="15"/>
        <v>6.6666666666666874E-2</v>
      </c>
      <c r="AH39" s="201">
        <f t="shared" si="15"/>
        <v>3.3333333333333541E-2</v>
      </c>
      <c r="AI39" s="201">
        <f>P3</f>
        <v>0</v>
      </c>
    </row>
    <row r="40" spans="1:35">
      <c r="A40" s="310"/>
      <c r="B40" t="s">
        <v>309</v>
      </c>
      <c r="C40" t="s">
        <v>1748</v>
      </c>
      <c r="D40" t="s">
        <v>745</v>
      </c>
      <c r="E40" s="168">
        <f>F4</f>
        <v>0</v>
      </c>
      <c r="F40" s="168">
        <f t="shared" si="15"/>
        <v>1.6666666666666666E-2</v>
      </c>
      <c r="G40" s="168">
        <f t="shared" si="15"/>
        <v>3.3333333333333333E-2</v>
      </c>
      <c r="H40" s="168">
        <f t="shared" si="15"/>
        <v>0.05</v>
      </c>
      <c r="I40" s="168">
        <f t="shared" si="15"/>
        <v>6.6666666666666666E-2</v>
      </c>
      <c r="J40" s="168">
        <f t="shared" si="15"/>
        <v>8.3333333333333329E-2</v>
      </c>
      <c r="K40" s="168">
        <f t="shared" si="15"/>
        <v>9.9999999999999992E-2</v>
      </c>
      <c r="L40" s="168">
        <f t="shared" si="15"/>
        <v>0.11666666666666665</v>
      </c>
      <c r="M40" s="168">
        <f t="shared" si="15"/>
        <v>0.13333333333333333</v>
      </c>
      <c r="N40" s="168">
        <f t="shared" si="15"/>
        <v>0.15</v>
      </c>
      <c r="O40" s="168">
        <f t="shared" si="15"/>
        <v>0.16666666666666666</v>
      </c>
      <c r="P40" s="168">
        <f t="shared" si="15"/>
        <v>0.18333333333333332</v>
      </c>
      <c r="Q40" s="168">
        <f t="shared" si="15"/>
        <v>0.19999999999999998</v>
      </c>
      <c r="R40" s="168">
        <f t="shared" si="15"/>
        <v>0.21666666666666665</v>
      </c>
      <c r="S40" s="168">
        <f t="shared" si="15"/>
        <v>0.23333333333333331</v>
      </c>
      <c r="T40" s="168">
        <f t="shared" si="15"/>
        <v>0.24999999999999997</v>
      </c>
      <c r="U40" s="168">
        <f t="shared" si="15"/>
        <v>0.26666666666666666</v>
      </c>
      <c r="V40" s="168">
        <f t="shared" si="15"/>
        <v>0.28333333333333333</v>
      </c>
      <c r="W40" s="168">
        <f t="shared" si="15"/>
        <v>0.3</v>
      </c>
      <c r="X40" s="168">
        <f t="shared" si="15"/>
        <v>0.31666666666666665</v>
      </c>
      <c r="Y40" s="168">
        <f t="shared" si="15"/>
        <v>0.33333333333333331</v>
      </c>
      <c r="Z40" s="168">
        <f t="shared" si="15"/>
        <v>0.35</v>
      </c>
      <c r="AA40" s="168">
        <f t="shared" si="15"/>
        <v>0.36666666666666664</v>
      </c>
      <c r="AB40" s="168">
        <f t="shared" si="15"/>
        <v>0.3833333333333333</v>
      </c>
      <c r="AC40" s="168">
        <f t="shared" si="15"/>
        <v>0.39999999999999997</v>
      </c>
      <c r="AD40" s="168">
        <f t="shared" si="15"/>
        <v>0.41666666666666663</v>
      </c>
      <c r="AE40" s="168">
        <f t="shared" si="15"/>
        <v>0.43333333333333329</v>
      </c>
      <c r="AF40" s="168">
        <f t="shared" si="15"/>
        <v>0.44999999999999996</v>
      </c>
      <c r="AG40" s="168">
        <f t="shared" si="15"/>
        <v>0.46666666666666662</v>
      </c>
      <c r="AH40" s="168">
        <f t="shared" si="15"/>
        <v>0.48333333333333328</v>
      </c>
      <c r="AI40" s="168">
        <f>P4</f>
        <v>0.5</v>
      </c>
    </row>
    <row r="41" spans="1:35">
      <c r="A41" s="310"/>
      <c r="B41" t="s">
        <v>309</v>
      </c>
      <c r="C41" t="s">
        <v>1748</v>
      </c>
      <c r="D41" t="s">
        <v>248</v>
      </c>
      <c r="E41" s="168">
        <f>F5</f>
        <v>0</v>
      </c>
      <c r="F41" s="168">
        <f t="shared" si="15"/>
        <v>1.6666666666666666E-2</v>
      </c>
      <c r="G41" s="168">
        <f t="shared" si="15"/>
        <v>3.3333333333333333E-2</v>
      </c>
      <c r="H41" s="168">
        <f t="shared" si="15"/>
        <v>0.05</v>
      </c>
      <c r="I41" s="168">
        <f t="shared" si="15"/>
        <v>6.6666666666666666E-2</v>
      </c>
      <c r="J41" s="168">
        <f t="shared" si="15"/>
        <v>8.3333333333333329E-2</v>
      </c>
      <c r="K41" s="168">
        <f t="shared" si="15"/>
        <v>9.9999999999999992E-2</v>
      </c>
      <c r="L41" s="168">
        <f t="shared" si="15"/>
        <v>0.11666666666666665</v>
      </c>
      <c r="M41" s="168">
        <f t="shared" si="15"/>
        <v>0.13333333333333333</v>
      </c>
      <c r="N41" s="168">
        <f t="shared" si="15"/>
        <v>0.15</v>
      </c>
      <c r="O41" s="168">
        <f t="shared" si="15"/>
        <v>0.16666666666666666</v>
      </c>
      <c r="P41" s="168">
        <f t="shared" si="15"/>
        <v>0.18333333333333332</v>
      </c>
      <c r="Q41" s="168">
        <f t="shared" si="15"/>
        <v>0.19999999999999998</v>
      </c>
      <c r="R41" s="168">
        <f t="shared" si="15"/>
        <v>0.21666666666666665</v>
      </c>
      <c r="S41" s="168">
        <f t="shared" si="15"/>
        <v>0.23333333333333331</v>
      </c>
      <c r="T41" s="168">
        <f t="shared" si="15"/>
        <v>0.24999999999999997</v>
      </c>
      <c r="U41" s="168">
        <f t="shared" si="15"/>
        <v>0.26666666666666666</v>
      </c>
      <c r="V41" s="168">
        <f t="shared" si="15"/>
        <v>0.28333333333333333</v>
      </c>
      <c r="W41" s="168">
        <f t="shared" si="15"/>
        <v>0.3</v>
      </c>
      <c r="X41" s="168">
        <f t="shared" si="15"/>
        <v>0.31666666666666665</v>
      </c>
      <c r="Y41" s="168">
        <f t="shared" si="15"/>
        <v>0.33333333333333331</v>
      </c>
      <c r="Z41" s="168">
        <f t="shared" si="15"/>
        <v>0.35</v>
      </c>
      <c r="AA41" s="168">
        <f t="shared" si="15"/>
        <v>0.36666666666666664</v>
      </c>
      <c r="AB41" s="168">
        <f t="shared" si="15"/>
        <v>0.3833333333333333</v>
      </c>
      <c r="AC41" s="168">
        <f t="shared" si="15"/>
        <v>0.39999999999999997</v>
      </c>
      <c r="AD41" s="168">
        <f t="shared" si="15"/>
        <v>0.41666666666666663</v>
      </c>
      <c r="AE41" s="168">
        <f t="shared" si="15"/>
        <v>0.43333333333333329</v>
      </c>
      <c r="AF41" s="168">
        <f t="shared" si="15"/>
        <v>0.44999999999999996</v>
      </c>
      <c r="AG41" s="168">
        <f t="shared" si="15"/>
        <v>0.46666666666666662</v>
      </c>
      <c r="AH41" s="168">
        <f t="shared" si="15"/>
        <v>0.48333333333333328</v>
      </c>
      <c r="AI41" s="168">
        <f>P5</f>
        <v>0.5</v>
      </c>
    </row>
    <row r="42" spans="1:35" s="67" customFormat="1">
      <c r="A42" s="307"/>
      <c r="B42" s="67" t="s">
        <v>309</v>
      </c>
      <c r="C42" s="67" t="s">
        <v>1749</v>
      </c>
      <c r="D42" t="s">
        <v>474</v>
      </c>
      <c r="E42" s="201">
        <f>G3</f>
        <v>1</v>
      </c>
      <c r="F42" s="201">
        <f t="shared" si="15"/>
        <v>0.96666666666666667</v>
      </c>
      <c r="G42" s="201">
        <f t="shared" si="15"/>
        <v>0.93333333333333335</v>
      </c>
      <c r="H42" s="201">
        <f t="shared" si="15"/>
        <v>0.9</v>
      </c>
      <c r="I42" s="201">
        <f t="shared" si="15"/>
        <v>0.8666666666666667</v>
      </c>
      <c r="J42" s="201">
        <f t="shared" si="15"/>
        <v>0.83333333333333337</v>
      </c>
      <c r="K42" s="201">
        <f t="shared" si="15"/>
        <v>0.8</v>
      </c>
      <c r="L42" s="201">
        <f t="shared" si="15"/>
        <v>0.76666666666666672</v>
      </c>
      <c r="M42" s="201">
        <f t="shared" si="15"/>
        <v>0.73333333333333339</v>
      </c>
      <c r="N42" s="201">
        <f t="shared" si="15"/>
        <v>0.70000000000000007</v>
      </c>
      <c r="O42" s="201">
        <f t="shared" si="15"/>
        <v>0.66666666666666674</v>
      </c>
      <c r="P42" s="201">
        <f t="shared" si="15"/>
        <v>0.63333333333333341</v>
      </c>
      <c r="Q42" s="201">
        <f t="shared" si="15"/>
        <v>0.60000000000000009</v>
      </c>
      <c r="R42" s="201">
        <f t="shared" si="15"/>
        <v>0.56666666666666676</v>
      </c>
      <c r="S42" s="201">
        <f t="shared" si="15"/>
        <v>0.53333333333333344</v>
      </c>
      <c r="T42" s="201">
        <f t="shared" si="15"/>
        <v>0.50000000000000011</v>
      </c>
      <c r="U42" s="201">
        <f t="shared" si="15"/>
        <v>0.46666666666666679</v>
      </c>
      <c r="V42" s="201">
        <f t="shared" si="15"/>
        <v>0.43333333333333346</v>
      </c>
      <c r="W42" s="201">
        <f t="shared" si="15"/>
        <v>0.40000000000000013</v>
      </c>
      <c r="X42" s="201">
        <f t="shared" si="15"/>
        <v>0.36666666666666681</v>
      </c>
      <c r="Y42" s="201">
        <f t="shared" si="15"/>
        <v>0.33333333333333348</v>
      </c>
      <c r="Z42" s="201">
        <f t="shared" si="15"/>
        <v>0.30000000000000016</v>
      </c>
      <c r="AA42" s="201">
        <f t="shared" si="15"/>
        <v>0.26666666666666683</v>
      </c>
      <c r="AB42" s="201">
        <f t="shared" si="15"/>
        <v>0.2333333333333335</v>
      </c>
      <c r="AC42" s="201">
        <f t="shared" si="15"/>
        <v>0.20000000000000018</v>
      </c>
      <c r="AD42" s="201">
        <f t="shared" si="15"/>
        <v>0.16666666666666685</v>
      </c>
      <c r="AE42" s="201">
        <f t="shared" si="15"/>
        <v>0.13333333333333353</v>
      </c>
      <c r="AF42" s="201">
        <f t="shared" si="15"/>
        <v>0.1000000000000002</v>
      </c>
      <c r="AG42" s="201">
        <f t="shared" si="15"/>
        <v>6.6666666666666874E-2</v>
      </c>
      <c r="AH42" s="201">
        <f t="shared" si="15"/>
        <v>3.3333333333333541E-2</v>
      </c>
      <c r="AI42" s="201">
        <f>Q3</f>
        <v>0</v>
      </c>
    </row>
    <row r="43" spans="1:35">
      <c r="A43" s="310"/>
      <c r="B43" t="s">
        <v>309</v>
      </c>
      <c r="C43" t="s">
        <v>1749</v>
      </c>
      <c r="D43" t="s">
        <v>745</v>
      </c>
      <c r="E43" s="168">
        <f>G4</f>
        <v>0</v>
      </c>
      <c r="F43" s="168">
        <f t="shared" si="15"/>
        <v>1.6666666666666666E-2</v>
      </c>
      <c r="G43" s="168">
        <f t="shared" si="15"/>
        <v>3.3333333333333333E-2</v>
      </c>
      <c r="H43" s="168">
        <f t="shared" si="15"/>
        <v>0.05</v>
      </c>
      <c r="I43" s="168">
        <f t="shared" si="15"/>
        <v>6.6666666666666666E-2</v>
      </c>
      <c r="J43" s="168">
        <f t="shared" si="15"/>
        <v>8.3333333333333329E-2</v>
      </c>
      <c r="K43" s="168">
        <f t="shared" si="15"/>
        <v>9.9999999999999992E-2</v>
      </c>
      <c r="L43" s="168">
        <f t="shared" si="15"/>
        <v>0.11666666666666665</v>
      </c>
      <c r="M43" s="168">
        <f t="shared" si="15"/>
        <v>0.13333333333333333</v>
      </c>
      <c r="N43" s="168">
        <f t="shared" si="15"/>
        <v>0.15</v>
      </c>
      <c r="O43" s="168">
        <f t="shared" si="15"/>
        <v>0.16666666666666666</v>
      </c>
      <c r="P43" s="168">
        <f t="shared" si="15"/>
        <v>0.18333333333333332</v>
      </c>
      <c r="Q43" s="168">
        <f t="shared" si="15"/>
        <v>0.19999999999999998</v>
      </c>
      <c r="R43" s="168">
        <f t="shared" si="15"/>
        <v>0.21666666666666665</v>
      </c>
      <c r="S43" s="168">
        <f t="shared" si="15"/>
        <v>0.23333333333333331</v>
      </c>
      <c r="T43" s="168">
        <f t="shared" si="15"/>
        <v>0.24999999999999997</v>
      </c>
      <c r="U43" s="168">
        <f t="shared" si="15"/>
        <v>0.26666666666666666</v>
      </c>
      <c r="V43" s="168">
        <f t="shared" si="15"/>
        <v>0.28333333333333333</v>
      </c>
      <c r="W43" s="168">
        <f t="shared" si="15"/>
        <v>0.3</v>
      </c>
      <c r="X43" s="168">
        <f t="shared" si="15"/>
        <v>0.31666666666666665</v>
      </c>
      <c r="Y43" s="168">
        <f t="shared" si="15"/>
        <v>0.33333333333333331</v>
      </c>
      <c r="Z43" s="168">
        <f t="shared" si="15"/>
        <v>0.35</v>
      </c>
      <c r="AA43" s="168">
        <f t="shared" si="15"/>
        <v>0.36666666666666664</v>
      </c>
      <c r="AB43" s="168">
        <f t="shared" si="15"/>
        <v>0.3833333333333333</v>
      </c>
      <c r="AC43" s="168">
        <f t="shared" si="15"/>
        <v>0.39999999999999997</v>
      </c>
      <c r="AD43" s="168">
        <f t="shared" si="15"/>
        <v>0.41666666666666663</v>
      </c>
      <c r="AE43" s="168">
        <f t="shared" si="15"/>
        <v>0.43333333333333329</v>
      </c>
      <c r="AF43" s="168">
        <f t="shared" si="15"/>
        <v>0.44999999999999996</v>
      </c>
      <c r="AG43" s="168">
        <f t="shared" si="15"/>
        <v>0.46666666666666662</v>
      </c>
      <c r="AH43" s="168">
        <f t="shared" si="15"/>
        <v>0.48333333333333328</v>
      </c>
      <c r="AI43" s="168">
        <f>Q4</f>
        <v>0.5</v>
      </c>
    </row>
    <row r="44" spans="1:35">
      <c r="A44" s="310"/>
      <c r="B44" t="s">
        <v>309</v>
      </c>
      <c r="C44" t="s">
        <v>1749</v>
      </c>
      <c r="D44" t="s">
        <v>248</v>
      </c>
      <c r="E44" s="168">
        <f>G5</f>
        <v>0</v>
      </c>
      <c r="F44" s="168">
        <f t="shared" si="15"/>
        <v>1.6666666666666666E-2</v>
      </c>
      <c r="G44" s="168">
        <f t="shared" si="15"/>
        <v>3.3333333333333333E-2</v>
      </c>
      <c r="H44" s="168">
        <f t="shared" si="15"/>
        <v>0.05</v>
      </c>
      <c r="I44" s="168">
        <f t="shared" si="15"/>
        <v>6.6666666666666666E-2</v>
      </c>
      <c r="J44" s="168">
        <f t="shared" si="15"/>
        <v>8.3333333333333329E-2</v>
      </c>
      <c r="K44" s="168">
        <f t="shared" si="15"/>
        <v>9.9999999999999992E-2</v>
      </c>
      <c r="L44" s="168">
        <f t="shared" si="15"/>
        <v>0.11666666666666665</v>
      </c>
      <c r="M44" s="168">
        <f t="shared" si="15"/>
        <v>0.13333333333333333</v>
      </c>
      <c r="N44" s="168">
        <f t="shared" si="15"/>
        <v>0.15</v>
      </c>
      <c r="O44" s="168">
        <f t="shared" si="15"/>
        <v>0.16666666666666666</v>
      </c>
      <c r="P44" s="168">
        <f t="shared" si="15"/>
        <v>0.18333333333333332</v>
      </c>
      <c r="Q44" s="168">
        <f t="shared" si="15"/>
        <v>0.19999999999999998</v>
      </c>
      <c r="R44" s="168">
        <f t="shared" si="15"/>
        <v>0.21666666666666665</v>
      </c>
      <c r="S44" s="168">
        <f t="shared" si="15"/>
        <v>0.23333333333333331</v>
      </c>
      <c r="T44" s="168">
        <f t="shared" si="15"/>
        <v>0.24999999999999997</v>
      </c>
      <c r="U44" s="168">
        <f t="shared" si="15"/>
        <v>0.26666666666666666</v>
      </c>
      <c r="V44" s="168">
        <f t="shared" si="15"/>
        <v>0.28333333333333333</v>
      </c>
      <c r="W44" s="168">
        <f t="shared" si="15"/>
        <v>0.3</v>
      </c>
      <c r="X44" s="168">
        <f t="shared" si="15"/>
        <v>0.31666666666666665</v>
      </c>
      <c r="Y44" s="168">
        <f t="shared" si="15"/>
        <v>0.33333333333333331</v>
      </c>
      <c r="Z44" s="168">
        <f t="shared" si="15"/>
        <v>0.35</v>
      </c>
      <c r="AA44" s="168">
        <f t="shared" si="15"/>
        <v>0.36666666666666664</v>
      </c>
      <c r="AB44" s="168">
        <f t="shared" si="15"/>
        <v>0.3833333333333333</v>
      </c>
      <c r="AC44" s="168">
        <f t="shared" si="15"/>
        <v>0.39999999999999997</v>
      </c>
      <c r="AD44" s="168">
        <f t="shared" si="15"/>
        <v>0.41666666666666663</v>
      </c>
      <c r="AE44" s="168">
        <f t="shared" si="15"/>
        <v>0.43333333333333329</v>
      </c>
      <c r="AF44" s="168">
        <f t="shared" si="15"/>
        <v>0.44999999999999996</v>
      </c>
      <c r="AG44" s="168">
        <f t="shared" si="15"/>
        <v>0.46666666666666662</v>
      </c>
      <c r="AH44" s="168">
        <f t="shared" si="15"/>
        <v>0.48333333333333328</v>
      </c>
      <c r="AI44" s="168">
        <f>Q5</f>
        <v>0.5</v>
      </c>
    </row>
    <row r="45" spans="1:35" s="67" customFormat="1">
      <c r="A45" s="307"/>
      <c r="B45" s="67" t="s">
        <v>309</v>
      </c>
      <c r="C45" s="67" t="s">
        <v>1750</v>
      </c>
      <c r="D45" t="s">
        <v>474</v>
      </c>
      <c r="E45" s="201">
        <f>H3</f>
        <v>1</v>
      </c>
      <c r="F45" s="201">
        <f t="shared" ref="F45:AH50" si="16">-($E45-$AI45)/30+E45</f>
        <v>0.98846747683804759</v>
      </c>
      <c r="G45" s="201">
        <f t="shared" si="16"/>
        <v>0.97693495367609517</v>
      </c>
      <c r="H45" s="201">
        <f t="shared" si="16"/>
        <v>0.96540243051414276</v>
      </c>
      <c r="I45" s="201">
        <f t="shared" si="16"/>
        <v>0.95386990735219035</v>
      </c>
      <c r="J45" s="201">
        <f t="shared" si="16"/>
        <v>0.94233738419023794</v>
      </c>
      <c r="K45" s="201">
        <f t="shared" si="16"/>
        <v>0.93080486102828552</v>
      </c>
      <c r="L45" s="201">
        <f t="shared" si="16"/>
        <v>0.91927233786633311</v>
      </c>
      <c r="M45" s="201">
        <f t="shared" si="16"/>
        <v>0.9077398147043807</v>
      </c>
      <c r="N45" s="201">
        <f t="shared" si="16"/>
        <v>0.89620729154242829</v>
      </c>
      <c r="O45" s="201">
        <f t="shared" si="16"/>
        <v>0.88467476838047587</v>
      </c>
      <c r="P45" s="201">
        <f t="shared" si="16"/>
        <v>0.87314224521852346</v>
      </c>
      <c r="Q45" s="201">
        <f t="shared" si="16"/>
        <v>0.86160972205657105</v>
      </c>
      <c r="R45" s="201">
        <f t="shared" si="16"/>
        <v>0.85007719889461864</v>
      </c>
      <c r="S45" s="201">
        <f t="shared" si="16"/>
        <v>0.83854467573266622</v>
      </c>
      <c r="T45" s="201">
        <f t="shared" si="16"/>
        <v>0.82701215257071381</v>
      </c>
      <c r="U45" s="201">
        <f t="shared" si="16"/>
        <v>0.8154796294087614</v>
      </c>
      <c r="V45" s="201">
        <f t="shared" si="16"/>
        <v>0.80394710624680898</v>
      </c>
      <c r="W45" s="201">
        <f t="shared" si="16"/>
        <v>0.79241458308485657</v>
      </c>
      <c r="X45" s="201">
        <f t="shared" si="16"/>
        <v>0.78088205992290416</v>
      </c>
      <c r="Y45" s="201">
        <f t="shared" si="16"/>
        <v>0.76934953676095175</v>
      </c>
      <c r="Z45" s="201">
        <f t="shared" si="16"/>
        <v>0.75781701359899933</v>
      </c>
      <c r="AA45" s="201">
        <f t="shared" si="16"/>
        <v>0.74628449043704692</v>
      </c>
      <c r="AB45" s="201">
        <f t="shared" si="16"/>
        <v>0.73475196727509451</v>
      </c>
      <c r="AC45" s="201">
        <f t="shared" si="16"/>
        <v>0.7232194441131421</v>
      </c>
      <c r="AD45" s="201">
        <f t="shared" si="16"/>
        <v>0.71168692095118968</v>
      </c>
      <c r="AE45" s="201">
        <f t="shared" si="16"/>
        <v>0.70015439778923727</v>
      </c>
      <c r="AF45" s="201">
        <f t="shared" si="16"/>
        <v>0.68862187462728486</v>
      </c>
      <c r="AG45" s="201">
        <f t="shared" si="16"/>
        <v>0.67708935146533245</v>
      </c>
      <c r="AH45" s="201">
        <f t="shared" si="16"/>
        <v>0.66555682830338003</v>
      </c>
      <c r="AI45" s="201">
        <f>R3</f>
        <v>0.65402430514142706</v>
      </c>
    </row>
    <row r="46" spans="1:35">
      <c r="A46" s="310"/>
      <c r="B46" t="s">
        <v>309</v>
      </c>
      <c r="C46" t="s">
        <v>1750</v>
      </c>
      <c r="D46" t="s">
        <v>745</v>
      </c>
      <c r="E46" s="168">
        <f>H4</f>
        <v>0</v>
      </c>
      <c r="F46" s="168">
        <f t="shared" si="16"/>
        <v>6.8282152882609996E-3</v>
      </c>
      <c r="G46" s="168">
        <f t="shared" si="16"/>
        <v>1.3656430576521999E-2</v>
      </c>
      <c r="H46" s="168">
        <f t="shared" si="16"/>
        <v>2.0484645864782998E-2</v>
      </c>
      <c r="I46" s="168">
        <f t="shared" si="16"/>
        <v>2.7312861153043998E-2</v>
      </c>
      <c r="J46" s="168">
        <f t="shared" si="16"/>
        <v>3.4141076441304999E-2</v>
      </c>
      <c r="K46" s="168">
        <f t="shared" si="16"/>
        <v>4.0969291729565996E-2</v>
      </c>
      <c r="L46" s="168">
        <f t="shared" si="16"/>
        <v>4.7797507017826993E-2</v>
      </c>
      <c r="M46" s="168">
        <f t="shared" si="16"/>
        <v>5.462572230608799E-2</v>
      </c>
      <c r="N46" s="168">
        <f t="shared" si="16"/>
        <v>6.1453937594348987E-2</v>
      </c>
      <c r="O46" s="168">
        <f t="shared" si="16"/>
        <v>6.8282152882609984E-2</v>
      </c>
      <c r="P46" s="168">
        <f t="shared" si="16"/>
        <v>7.5110368170870981E-2</v>
      </c>
      <c r="Q46" s="168">
        <f t="shared" si="16"/>
        <v>8.1938583459131978E-2</v>
      </c>
      <c r="R46" s="168">
        <f t="shared" si="16"/>
        <v>8.8766798747392975E-2</v>
      </c>
      <c r="S46" s="168">
        <f t="shared" si="16"/>
        <v>9.5595014035653972E-2</v>
      </c>
      <c r="T46" s="168">
        <f t="shared" si="16"/>
        <v>0.10242322932391497</v>
      </c>
      <c r="U46" s="168">
        <f t="shared" si="16"/>
        <v>0.10925144461217597</v>
      </c>
      <c r="V46" s="168">
        <f t="shared" si="16"/>
        <v>0.11607965990043696</v>
      </c>
      <c r="W46" s="168">
        <f t="shared" si="16"/>
        <v>0.12290787518869796</v>
      </c>
      <c r="X46" s="168">
        <f t="shared" si="16"/>
        <v>0.12973609047695897</v>
      </c>
      <c r="Y46" s="168">
        <f t="shared" si="16"/>
        <v>0.13656430576521997</v>
      </c>
      <c r="Z46" s="168">
        <f t="shared" si="16"/>
        <v>0.14339252105348096</v>
      </c>
      <c r="AA46" s="168">
        <f t="shared" si="16"/>
        <v>0.15022073634174196</v>
      </c>
      <c r="AB46" s="168">
        <f t="shared" si="16"/>
        <v>0.15704895163000296</v>
      </c>
      <c r="AC46" s="168">
        <f t="shared" si="16"/>
        <v>0.16387716691826396</v>
      </c>
      <c r="AD46" s="168">
        <f t="shared" si="16"/>
        <v>0.17070538220652495</v>
      </c>
      <c r="AE46" s="168">
        <f t="shared" si="16"/>
        <v>0.17753359749478595</v>
      </c>
      <c r="AF46" s="168">
        <f t="shared" si="16"/>
        <v>0.18436181278304695</v>
      </c>
      <c r="AG46" s="168">
        <f t="shared" si="16"/>
        <v>0.19119002807130794</v>
      </c>
      <c r="AH46" s="168">
        <f t="shared" si="16"/>
        <v>0.19801824335956894</v>
      </c>
      <c r="AI46" s="168">
        <f>R4</f>
        <v>0.20484645864782999</v>
      </c>
    </row>
    <row r="47" spans="1:35">
      <c r="A47" s="310"/>
      <c r="B47" t="s">
        <v>309</v>
      </c>
      <c r="C47" t="s">
        <v>1750</v>
      </c>
      <c r="D47" t="s">
        <v>248</v>
      </c>
      <c r="E47" s="168">
        <f>H5</f>
        <v>0</v>
      </c>
      <c r="F47" s="168">
        <f t="shared" si="16"/>
        <v>4.704307873691427E-3</v>
      </c>
      <c r="G47" s="168">
        <f t="shared" si="16"/>
        <v>9.4086157473828539E-3</v>
      </c>
      <c r="H47" s="168">
        <f t="shared" si="16"/>
        <v>1.4112923621074282E-2</v>
      </c>
      <c r="I47" s="168">
        <f t="shared" si="16"/>
        <v>1.8817231494765708E-2</v>
      </c>
      <c r="J47" s="168">
        <f t="shared" si="16"/>
        <v>2.3521539368457134E-2</v>
      </c>
      <c r="K47" s="168">
        <f t="shared" si="16"/>
        <v>2.822584724214856E-2</v>
      </c>
      <c r="L47" s="168">
        <f t="shared" si="16"/>
        <v>3.2930155115839986E-2</v>
      </c>
      <c r="M47" s="168">
        <f t="shared" si="16"/>
        <v>3.7634462989531416E-2</v>
      </c>
      <c r="N47" s="168">
        <f t="shared" si="16"/>
        <v>4.2338770863222845E-2</v>
      </c>
      <c r="O47" s="168">
        <f t="shared" si="16"/>
        <v>4.7043078736914275E-2</v>
      </c>
      <c r="P47" s="168">
        <f t="shared" si="16"/>
        <v>5.1747386610605704E-2</v>
      </c>
      <c r="Q47" s="168">
        <f t="shared" si="16"/>
        <v>5.6451694484297134E-2</v>
      </c>
      <c r="R47" s="168">
        <f t="shared" si="16"/>
        <v>6.1156002357988563E-2</v>
      </c>
      <c r="S47" s="168">
        <f t="shared" si="16"/>
        <v>6.5860310231679986E-2</v>
      </c>
      <c r="T47" s="168">
        <f t="shared" si="16"/>
        <v>7.0564618105371416E-2</v>
      </c>
      <c r="U47" s="168">
        <f t="shared" si="16"/>
        <v>7.5268925979062845E-2</v>
      </c>
      <c r="V47" s="168">
        <f t="shared" si="16"/>
        <v>7.9973233852754275E-2</v>
      </c>
      <c r="W47" s="168">
        <f t="shared" si="16"/>
        <v>8.4677541726445704E-2</v>
      </c>
      <c r="X47" s="168">
        <f t="shared" si="16"/>
        <v>8.9381849600137134E-2</v>
      </c>
      <c r="Y47" s="168">
        <f t="shared" si="16"/>
        <v>9.4086157473828563E-2</v>
      </c>
      <c r="Z47" s="168">
        <f t="shared" si="16"/>
        <v>9.8790465347519993E-2</v>
      </c>
      <c r="AA47" s="168">
        <f t="shared" si="16"/>
        <v>0.10349477322121142</v>
      </c>
      <c r="AB47" s="168">
        <f t="shared" si="16"/>
        <v>0.10819908109490285</v>
      </c>
      <c r="AC47" s="168">
        <f t="shared" si="16"/>
        <v>0.11290338896859428</v>
      </c>
      <c r="AD47" s="168">
        <f t="shared" si="16"/>
        <v>0.11760769684228571</v>
      </c>
      <c r="AE47" s="168">
        <f t="shared" si="16"/>
        <v>0.12231200471597714</v>
      </c>
      <c r="AF47" s="168">
        <f t="shared" si="16"/>
        <v>0.12701631258966856</v>
      </c>
      <c r="AG47" s="168">
        <f t="shared" si="16"/>
        <v>0.13172062046335997</v>
      </c>
      <c r="AH47" s="168">
        <f t="shared" si="16"/>
        <v>0.13642492833705139</v>
      </c>
      <c r="AI47" s="168">
        <f>R5</f>
        <v>0.1411292362107428</v>
      </c>
    </row>
    <row r="48" spans="1:35" s="67" customFormat="1">
      <c r="A48" s="307"/>
      <c r="B48" s="67" t="s">
        <v>370</v>
      </c>
      <c r="C48" s="67" t="s">
        <v>1746</v>
      </c>
      <c r="D48" s="67" t="s">
        <v>474</v>
      </c>
      <c r="E48" s="201">
        <f>D9</f>
        <v>0</v>
      </c>
      <c r="F48" s="201">
        <f t="shared" si="16"/>
        <v>0</v>
      </c>
      <c r="G48" s="201">
        <f t="shared" si="16"/>
        <v>0</v>
      </c>
      <c r="H48" s="201">
        <f t="shared" si="16"/>
        <v>0</v>
      </c>
      <c r="I48" s="201">
        <f t="shared" si="16"/>
        <v>0</v>
      </c>
      <c r="J48" s="201">
        <f t="shared" si="16"/>
        <v>0</v>
      </c>
      <c r="K48" s="201">
        <f t="shared" si="16"/>
        <v>0</v>
      </c>
      <c r="L48" s="201">
        <f t="shared" si="16"/>
        <v>0</v>
      </c>
      <c r="M48" s="201">
        <f t="shared" si="16"/>
        <v>0</v>
      </c>
      <c r="N48" s="201">
        <f t="shared" si="16"/>
        <v>0</v>
      </c>
      <c r="O48" s="201">
        <f t="shared" si="16"/>
        <v>0</v>
      </c>
      <c r="P48" s="201">
        <f t="shared" si="16"/>
        <v>0</v>
      </c>
      <c r="Q48" s="201">
        <f t="shared" si="16"/>
        <v>0</v>
      </c>
      <c r="R48" s="201">
        <f t="shared" si="16"/>
        <v>0</v>
      </c>
      <c r="S48" s="201">
        <f t="shared" si="16"/>
        <v>0</v>
      </c>
      <c r="T48" s="201">
        <f t="shared" si="16"/>
        <v>0</v>
      </c>
      <c r="U48" s="201">
        <f t="shared" si="16"/>
        <v>0</v>
      </c>
      <c r="V48" s="201">
        <f t="shared" si="16"/>
        <v>0</v>
      </c>
      <c r="W48" s="201">
        <f t="shared" si="16"/>
        <v>0</v>
      </c>
      <c r="X48" s="201">
        <f t="shared" si="16"/>
        <v>0</v>
      </c>
      <c r="Y48" s="201">
        <f t="shared" si="16"/>
        <v>0</v>
      </c>
      <c r="Z48" s="201">
        <f t="shared" si="16"/>
        <v>0</v>
      </c>
      <c r="AA48" s="201">
        <f t="shared" si="16"/>
        <v>0</v>
      </c>
      <c r="AB48" s="201">
        <f t="shared" si="16"/>
        <v>0</v>
      </c>
      <c r="AC48" s="201">
        <f t="shared" si="16"/>
        <v>0</v>
      </c>
      <c r="AD48" s="201">
        <f t="shared" si="16"/>
        <v>0</v>
      </c>
      <c r="AE48" s="201">
        <f t="shared" si="16"/>
        <v>0</v>
      </c>
      <c r="AF48" s="201">
        <f t="shared" si="16"/>
        <v>0</v>
      </c>
      <c r="AG48" s="201">
        <f t="shared" si="16"/>
        <v>0</v>
      </c>
      <c r="AH48" s="201">
        <f t="shared" si="16"/>
        <v>0</v>
      </c>
      <c r="AI48" s="201">
        <f>N9</f>
        <v>0</v>
      </c>
    </row>
    <row r="49" spans="1:35">
      <c r="A49" s="310"/>
      <c r="B49" t="s">
        <v>370</v>
      </c>
      <c r="D49" t="s">
        <v>745</v>
      </c>
      <c r="E49" s="168">
        <f>D10</f>
        <v>0</v>
      </c>
      <c r="F49" s="168">
        <f t="shared" si="16"/>
        <v>3.8856993167281531E-3</v>
      </c>
      <c r="G49" s="168">
        <f t="shared" si="16"/>
        <v>7.7713986334563062E-3</v>
      </c>
      <c r="H49" s="168">
        <f t="shared" si="16"/>
        <v>1.1657097950184459E-2</v>
      </c>
      <c r="I49" s="168">
        <f t="shared" si="16"/>
        <v>1.5542797266912612E-2</v>
      </c>
      <c r="J49" s="168">
        <f t="shared" si="16"/>
        <v>1.9428496583640764E-2</v>
      </c>
      <c r="K49" s="168">
        <f t="shared" si="16"/>
        <v>2.3314195900368918E-2</v>
      </c>
      <c r="L49" s="168">
        <f t="shared" si="16"/>
        <v>2.7199895217097071E-2</v>
      </c>
      <c r="M49" s="168">
        <f t="shared" si="16"/>
        <v>3.1085594533825225E-2</v>
      </c>
      <c r="N49" s="168">
        <f t="shared" si="16"/>
        <v>3.4971293850553378E-2</v>
      </c>
      <c r="O49" s="168">
        <f t="shared" si="16"/>
        <v>3.8856993167281528E-2</v>
      </c>
      <c r="P49" s="168">
        <f t="shared" si="16"/>
        <v>4.2742692484009678E-2</v>
      </c>
      <c r="Q49" s="168">
        <f t="shared" si="16"/>
        <v>4.6628391800737828E-2</v>
      </c>
      <c r="R49" s="168">
        <f t="shared" si="16"/>
        <v>5.0514091117465978E-2</v>
      </c>
      <c r="S49" s="168">
        <f t="shared" si="16"/>
        <v>5.4399790434194129E-2</v>
      </c>
      <c r="T49" s="168">
        <f t="shared" si="16"/>
        <v>5.8285489750922279E-2</v>
      </c>
      <c r="U49" s="168">
        <f t="shared" si="16"/>
        <v>6.2171189067650429E-2</v>
      </c>
      <c r="V49" s="168">
        <f t="shared" si="16"/>
        <v>6.6056888384378579E-2</v>
      </c>
      <c r="W49" s="168">
        <f t="shared" si="16"/>
        <v>6.9942587701106729E-2</v>
      </c>
      <c r="X49" s="168">
        <f t="shared" si="16"/>
        <v>7.3828287017834879E-2</v>
      </c>
      <c r="Y49" s="168">
        <f t="shared" si="16"/>
        <v>7.7713986334563029E-2</v>
      </c>
      <c r="Z49" s="168">
        <f t="shared" si="16"/>
        <v>8.1599685651291179E-2</v>
      </c>
      <c r="AA49" s="168">
        <f t="shared" si="16"/>
        <v>8.5485384968019329E-2</v>
      </c>
      <c r="AB49" s="168">
        <f t="shared" si="16"/>
        <v>8.9371084284747479E-2</v>
      </c>
      <c r="AC49" s="168">
        <f t="shared" si="16"/>
        <v>9.3256783601475629E-2</v>
      </c>
      <c r="AD49" s="168">
        <f t="shared" si="16"/>
        <v>9.7142482918203779E-2</v>
      </c>
      <c r="AE49" s="168">
        <f t="shared" si="16"/>
        <v>0.10102818223493193</v>
      </c>
      <c r="AF49" s="168">
        <f t="shared" si="16"/>
        <v>0.10491388155166008</v>
      </c>
      <c r="AG49" s="168">
        <f t="shared" si="16"/>
        <v>0.10879958086838823</v>
      </c>
      <c r="AH49" s="168">
        <f t="shared" si="16"/>
        <v>0.11268528018511638</v>
      </c>
      <c r="AI49" s="168">
        <f>N10</f>
        <v>0.1165709795018446</v>
      </c>
    </row>
    <row r="50" spans="1:35" s="68" customFormat="1">
      <c r="A50" s="311"/>
      <c r="B50" s="68" t="s">
        <v>370</v>
      </c>
      <c r="D50" s="68" t="s">
        <v>248</v>
      </c>
      <c r="E50" s="421">
        <f>D11</f>
        <v>1</v>
      </c>
      <c r="F50" s="421">
        <f t="shared" si="16"/>
        <v>0.99611430068327189</v>
      </c>
      <c r="G50" s="421">
        <f t="shared" si="16"/>
        <v>0.99222860136654378</v>
      </c>
      <c r="H50" s="421">
        <f t="shared" si="16"/>
        <v>0.98834290204981567</v>
      </c>
      <c r="I50" s="421">
        <f t="shared" si="16"/>
        <v>0.98445720273308757</v>
      </c>
      <c r="J50" s="421">
        <f t="shared" si="16"/>
        <v>0.98057150341635946</v>
      </c>
      <c r="K50" s="421">
        <f t="shared" si="16"/>
        <v>0.97668580409963135</v>
      </c>
      <c r="L50" s="421">
        <f t="shared" si="16"/>
        <v>0.97280010478290324</v>
      </c>
      <c r="M50" s="421">
        <f t="shared" si="16"/>
        <v>0.96891440546617513</v>
      </c>
      <c r="N50" s="421">
        <f t="shared" si="16"/>
        <v>0.96502870614944702</v>
      </c>
      <c r="O50" s="421">
        <f t="shared" si="16"/>
        <v>0.96114300683271892</v>
      </c>
      <c r="P50" s="421">
        <f t="shared" si="16"/>
        <v>0.95725730751599081</v>
      </c>
      <c r="Q50" s="421">
        <f t="shared" si="16"/>
        <v>0.9533716081992627</v>
      </c>
      <c r="R50" s="421">
        <f t="shared" si="16"/>
        <v>0.94948590888253459</v>
      </c>
      <c r="S50" s="421">
        <f t="shared" si="16"/>
        <v>0.94560020956580648</v>
      </c>
      <c r="T50" s="421">
        <f t="shared" si="16"/>
        <v>0.94171451024907837</v>
      </c>
      <c r="U50" s="421">
        <f t="shared" si="16"/>
        <v>0.93782881093235027</v>
      </c>
      <c r="V50" s="421">
        <f t="shared" si="16"/>
        <v>0.93394311161562216</v>
      </c>
      <c r="W50" s="421">
        <f t="shared" si="16"/>
        <v>0.93005741229889405</v>
      </c>
      <c r="X50" s="421">
        <f t="shared" si="16"/>
        <v>0.92617171298216594</v>
      </c>
      <c r="Y50" s="421">
        <f t="shared" si="16"/>
        <v>0.92228601366543783</v>
      </c>
      <c r="Z50" s="421">
        <f t="shared" si="16"/>
        <v>0.91840031434870972</v>
      </c>
      <c r="AA50" s="421">
        <f t="shared" si="16"/>
        <v>0.91451461503198161</v>
      </c>
      <c r="AB50" s="421">
        <f t="shared" si="16"/>
        <v>0.91062891571525351</v>
      </c>
      <c r="AC50" s="421">
        <f t="shared" ref="AC50:AH50" si="17">-($E50-$AI50)/30+AB50</f>
        <v>0.9067432163985254</v>
      </c>
      <c r="AD50" s="421">
        <f t="shared" si="17"/>
        <v>0.90285751708179729</v>
      </c>
      <c r="AE50" s="421">
        <f t="shared" si="17"/>
        <v>0.89897181776506918</v>
      </c>
      <c r="AF50" s="421">
        <f t="shared" si="17"/>
        <v>0.89508611844834107</v>
      </c>
      <c r="AG50" s="421">
        <f t="shared" si="17"/>
        <v>0.89120041913161296</v>
      </c>
      <c r="AH50" s="421">
        <f t="shared" si="17"/>
        <v>0.88731471981488486</v>
      </c>
      <c r="AI50" s="421">
        <f>N11</f>
        <v>0.88342902049815542</v>
      </c>
    </row>
    <row r="51" spans="1:35">
      <c r="A51" s="310"/>
      <c r="B51" t="s">
        <v>370</v>
      </c>
      <c r="C51" t="s">
        <v>1753</v>
      </c>
      <c r="D51" t="s">
        <v>474</v>
      </c>
      <c r="E51" s="168">
        <f>E9</f>
        <v>0</v>
      </c>
      <c r="F51" s="168">
        <f t="shared" ref="F51:AH55" si="18">-($E51-$AI51)/30+E51</f>
        <v>0</v>
      </c>
      <c r="G51" s="168">
        <f t="shared" si="18"/>
        <v>0</v>
      </c>
      <c r="H51" s="168">
        <f t="shared" si="18"/>
        <v>0</v>
      </c>
      <c r="I51" s="168">
        <f t="shared" si="18"/>
        <v>0</v>
      </c>
      <c r="J51" s="168">
        <f t="shared" si="18"/>
        <v>0</v>
      </c>
      <c r="K51" s="168">
        <f t="shared" si="18"/>
        <v>0</v>
      </c>
      <c r="L51" s="168">
        <f t="shared" si="18"/>
        <v>0</v>
      </c>
      <c r="M51" s="168">
        <f t="shared" si="18"/>
        <v>0</v>
      </c>
      <c r="N51" s="168">
        <f t="shared" si="18"/>
        <v>0</v>
      </c>
      <c r="O51" s="168">
        <f t="shared" si="18"/>
        <v>0</v>
      </c>
      <c r="P51" s="168">
        <f t="shared" si="18"/>
        <v>0</v>
      </c>
      <c r="Q51" s="168">
        <f t="shared" si="18"/>
        <v>0</v>
      </c>
      <c r="R51" s="168">
        <f t="shared" si="18"/>
        <v>0</v>
      </c>
      <c r="S51" s="168">
        <f t="shared" si="18"/>
        <v>0</v>
      </c>
      <c r="T51" s="168">
        <f t="shared" si="18"/>
        <v>0</v>
      </c>
      <c r="U51" s="168">
        <f t="shared" si="18"/>
        <v>0</v>
      </c>
      <c r="V51" s="168">
        <f t="shared" si="18"/>
        <v>0</v>
      </c>
      <c r="W51" s="168">
        <f t="shared" si="18"/>
        <v>0</v>
      </c>
      <c r="X51" s="168">
        <f t="shared" si="18"/>
        <v>0</v>
      </c>
      <c r="Y51" s="168">
        <f t="shared" si="18"/>
        <v>0</v>
      </c>
      <c r="Z51" s="168">
        <f t="shared" si="18"/>
        <v>0</v>
      </c>
      <c r="AA51" s="168">
        <f t="shared" si="18"/>
        <v>0</v>
      </c>
      <c r="AB51" s="168">
        <f t="shared" si="18"/>
        <v>0</v>
      </c>
      <c r="AC51" s="168">
        <f t="shared" si="18"/>
        <v>0</v>
      </c>
      <c r="AD51" s="168">
        <f t="shared" si="18"/>
        <v>0</v>
      </c>
      <c r="AE51" s="168">
        <f t="shared" si="18"/>
        <v>0</v>
      </c>
      <c r="AF51" s="168">
        <f t="shared" si="18"/>
        <v>0</v>
      </c>
      <c r="AG51" s="168">
        <f t="shared" si="18"/>
        <v>0</v>
      </c>
      <c r="AH51" s="168">
        <f t="shared" si="18"/>
        <v>0</v>
      </c>
      <c r="AI51" s="168">
        <f>O9</f>
        <v>0</v>
      </c>
    </row>
    <row r="52" spans="1:35">
      <c r="A52" s="310"/>
      <c r="B52" t="s">
        <v>370</v>
      </c>
      <c r="D52" t="s">
        <v>745</v>
      </c>
      <c r="E52" s="168">
        <f>E10</f>
        <v>0</v>
      </c>
      <c r="F52" s="168">
        <f t="shared" si="18"/>
        <v>3.8856993167281531E-3</v>
      </c>
      <c r="G52" s="168">
        <f t="shared" si="18"/>
        <v>7.7713986334563062E-3</v>
      </c>
      <c r="H52" s="168">
        <f t="shared" si="18"/>
        <v>1.1657097950184459E-2</v>
      </c>
      <c r="I52" s="168">
        <f t="shared" si="18"/>
        <v>1.5542797266912612E-2</v>
      </c>
      <c r="J52" s="168">
        <f t="shared" si="18"/>
        <v>1.9428496583640764E-2</v>
      </c>
      <c r="K52" s="168">
        <f t="shared" si="18"/>
        <v>2.3314195900368918E-2</v>
      </c>
      <c r="L52" s="168">
        <f t="shared" si="18"/>
        <v>2.7199895217097071E-2</v>
      </c>
      <c r="M52" s="168">
        <f t="shared" si="18"/>
        <v>3.1085594533825225E-2</v>
      </c>
      <c r="N52" s="168">
        <f t="shared" si="18"/>
        <v>3.4971293850553378E-2</v>
      </c>
      <c r="O52" s="168">
        <f t="shared" si="18"/>
        <v>3.8856993167281528E-2</v>
      </c>
      <c r="P52" s="168">
        <f t="shared" si="18"/>
        <v>4.2742692484009678E-2</v>
      </c>
      <c r="Q52" s="168">
        <f t="shared" si="18"/>
        <v>4.6628391800737828E-2</v>
      </c>
      <c r="R52" s="168">
        <f t="shared" si="18"/>
        <v>5.0514091117465978E-2</v>
      </c>
      <c r="S52" s="168">
        <f t="shared" si="18"/>
        <v>5.4399790434194129E-2</v>
      </c>
      <c r="T52" s="168">
        <f t="shared" si="18"/>
        <v>5.8285489750922279E-2</v>
      </c>
      <c r="U52" s="168">
        <f t="shared" si="18"/>
        <v>6.2171189067650429E-2</v>
      </c>
      <c r="V52" s="168">
        <f t="shared" si="18"/>
        <v>6.6056888384378579E-2</v>
      </c>
      <c r="W52" s="168">
        <f t="shared" si="18"/>
        <v>6.9942587701106729E-2</v>
      </c>
      <c r="X52" s="168">
        <f t="shared" si="18"/>
        <v>7.3828287017834879E-2</v>
      </c>
      <c r="Y52" s="168">
        <f t="shared" si="18"/>
        <v>7.7713986334563029E-2</v>
      </c>
      <c r="Z52" s="168">
        <f t="shared" si="18"/>
        <v>8.1599685651291179E-2</v>
      </c>
      <c r="AA52" s="168">
        <f t="shared" si="18"/>
        <v>8.5485384968019329E-2</v>
      </c>
      <c r="AB52" s="168">
        <f t="shared" si="18"/>
        <v>8.9371084284747479E-2</v>
      </c>
      <c r="AC52" s="168">
        <f t="shared" si="18"/>
        <v>9.3256783601475629E-2</v>
      </c>
      <c r="AD52" s="168">
        <f t="shared" si="18"/>
        <v>9.7142482918203779E-2</v>
      </c>
      <c r="AE52" s="168">
        <f t="shared" si="18"/>
        <v>0.10102818223493193</v>
      </c>
      <c r="AF52" s="168">
        <f t="shared" si="18"/>
        <v>0.10491388155166008</v>
      </c>
      <c r="AG52" s="168">
        <f t="shared" si="18"/>
        <v>0.10879958086838823</v>
      </c>
      <c r="AH52" s="168">
        <f t="shared" si="18"/>
        <v>0.11268528018511638</v>
      </c>
      <c r="AI52" s="168">
        <f>O10</f>
        <v>0.1165709795018446</v>
      </c>
    </row>
    <row r="53" spans="1:35">
      <c r="A53" s="310"/>
      <c r="B53" t="s">
        <v>370</v>
      </c>
      <c r="D53" t="s">
        <v>248</v>
      </c>
      <c r="E53" s="168">
        <f>E11</f>
        <v>1</v>
      </c>
      <c r="F53" s="168">
        <f t="shared" si="18"/>
        <v>0.99611430068327189</v>
      </c>
      <c r="G53" s="168">
        <f t="shared" si="18"/>
        <v>0.99222860136654378</v>
      </c>
      <c r="H53" s="168">
        <f t="shared" si="18"/>
        <v>0.98834290204981567</v>
      </c>
      <c r="I53" s="168">
        <f t="shared" si="18"/>
        <v>0.98445720273308757</v>
      </c>
      <c r="J53" s="168">
        <f t="shared" si="18"/>
        <v>0.98057150341635946</v>
      </c>
      <c r="K53" s="168">
        <f t="shared" si="18"/>
        <v>0.97668580409963135</v>
      </c>
      <c r="L53" s="168">
        <f t="shared" si="18"/>
        <v>0.97280010478290324</v>
      </c>
      <c r="M53" s="168">
        <f t="shared" si="18"/>
        <v>0.96891440546617513</v>
      </c>
      <c r="N53" s="168">
        <f t="shared" si="18"/>
        <v>0.96502870614944702</v>
      </c>
      <c r="O53" s="168">
        <f t="shared" si="18"/>
        <v>0.96114300683271892</v>
      </c>
      <c r="P53" s="168">
        <f t="shared" si="18"/>
        <v>0.95725730751599081</v>
      </c>
      <c r="Q53" s="168">
        <f t="shared" si="18"/>
        <v>0.9533716081992627</v>
      </c>
      <c r="R53" s="168">
        <f t="shared" si="18"/>
        <v>0.94948590888253459</v>
      </c>
      <c r="S53" s="168">
        <f t="shared" si="18"/>
        <v>0.94560020956580648</v>
      </c>
      <c r="T53" s="168">
        <f t="shared" si="18"/>
        <v>0.94171451024907837</v>
      </c>
      <c r="U53" s="168">
        <f t="shared" si="18"/>
        <v>0.93782881093235027</v>
      </c>
      <c r="V53" s="168">
        <f t="shared" si="18"/>
        <v>0.93394311161562216</v>
      </c>
      <c r="W53" s="168">
        <f t="shared" si="18"/>
        <v>0.93005741229889405</v>
      </c>
      <c r="X53" s="168">
        <f t="shared" si="18"/>
        <v>0.92617171298216594</v>
      </c>
      <c r="Y53" s="168">
        <f t="shared" si="18"/>
        <v>0.92228601366543783</v>
      </c>
      <c r="Z53" s="168">
        <f t="shared" si="18"/>
        <v>0.91840031434870972</v>
      </c>
      <c r="AA53" s="168">
        <f t="shared" si="18"/>
        <v>0.91451461503198161</v>
      </c>
      <c r="AB53" s="168">
        <f t="shared" si="18"/>
        <v>0.91062891571525351</v>
      </c>
      <c r="AC53" s="168">
        <f t="shared" si="18"/>
        <v>0.9067432163985254</v>
      </c>
      <c r="AD53" s="168">
        <f t="shared" si="18"/>
        <v>0.90285751708179729</v>
      </c>
      <c r="AE53" s="168">
        <f t="shared" si="18"/>
        <v>0.89897181776506918</v>
      </c>
      <c r="AF53" s="168">
        <f t="shared" si="18"/>
        <v>0.89508611844834107</v>
      </c>
      <c r="AG53" s="168">
        <f t="shared" si="18"/>
        <v>0.89120041913161296</v>
      </c>
      <c r="AH53" s="168">
        <f t="shared" si="18"/>
        <v>0.88731471981488486</v>
      </c>
      <c r="AI53" s="168">
        <f>O11</f>
        <v>0.88342902049815542</v>
      </c>
    </row>
    <row r="54" spans="1:35" s="67" customFormat="1">
      <c r="A54" s="307"/>
      <c r="B54" s="67" t="s">
        <v>370</v>
      </c>
      <c r="C54" s="67" t="s">
        <v>1754</v>
      </c>
      <c r="D54" t="s">
        <v>474</v>
      </c>
      <c r="E54" s="201">
        <f>F9</f>
        <v>0</v>
      </c>
      <c r="F54" s="201">
        <f t="shared" si="18"/>
        <v>0</v>
      </c>
      <c r="G54" s="201">
        <f t="shared" si="18"/>
        <v>0</v>
      </c>
      <c r="H54" s="201">
        <f t="shared" si="18"/>
        <v>0</v>
      </c>
      <c r="I54" s="201">
        <f t="shared" si="18"/>
        <v>0</v>
      </c>
      <c r="J54" s="201">
        <f t="shared" si="18"/>
        <v>0</v>
      </c>
      <c r="K54" s="201">
        <f t="shared" si="18"/>
        <v>0</v>
      </c>
      <c r="L54" s="201">
        <f t="shared" si="18"/>
        <v>0</v>
      </c>
      <c r="M54" s="201">
        <f t="shared" si="18"/>
        <v>0</v>
      </c>
      <c r="N54" s="201">
        <f t="shared" si="18"/>
        <v>0</v>
      </c>
      <c r="O54" s="201">
        <f t="shared" si="18"/>
        <v>0</v>
      </c>
      <c r="P54" s="201">
        <f t="shared" si="18"/>
        <v>0</v>
      </c>
      <c r="Q54" s="201">
        <f t="shared" si="18"/>
        <v>0</v>
      </c>
      <c r="R54" s="201">
        <f t="shared" si="18"/>
        <v>0</v>
      </c>
      <c r="S54" s="201">
        <f t="shared" si="18"/>
        <v>0</v>
      </c>
      <c r="T54" s="201">
        <f t="shared" si="18"/>
        <v>0</v>
      </c>
      <c r="U54" s="201">
        <f t="shared" si="18"/>
        <v>0</v>
      </c>
      <c r="V54" s="201">
        <f t="shared" si="18"/>
        <v>0</v>
      </c>
      <c r="W54" s="201">
        <f t="shared" si="18"/>
        <v>0</v>
      </c>
      <c r="X54" s="201">
        <f t="shared" si="18"/>
        <v>0</v>
      </c>
      <c r="Y54" s="201">
        <f t="shared" si="18"/>
        <v>0</v>
      </c>
      <c r="Z54" s="201">
        <f t="shared" si="18"/>
        <v>0</v>
      </c>
      <c r="AA54" s="201">
        <f t="shared" si="18"/>
        <v>0</v>
      </c>
      <c r="AB54" s="201">
        <f t="shared" si="18"/>
        <v>0</v>
      </c>
      <c r="AC54" s="201">
        <f t="shared" si="18"/>
        <v>0</v>
      </c>
      <c r="AD54" s="201">
        <f t="shared" si="18"/>
        <v>0</v>
      </c>
      <c r="AE54" s="201">
        <f t="shared" si="18"/>
        <v>0</v>
      </c>
      <c r="AF54" s="201">
        <f t="shared" si="18"/>
        <v>0</v>
      </c>
      <c r="AG54" s="201">
        <f t="shared" si="18"/>
        <v>0</v>
      </c>
      <c r="AH54" s="201">
        <f t="shared" si="18"/>
        <v>0</v>
      </c>
      <c r="AI54" s="201">
        <f>P9</f>
        <v>0</v>
      </c>
    </row>
    <row r="55" spans="1:35">
      <c r="A55" s="310"/>
      <c r="B55" t="s">
        <v>370</v>
      </c>
      <c r="D55" t="s">
        <v>745</v>
      </c>
      <c r="E55" s="168">
        <f>F10</f>
        <v>0</v>
      </c>
      <c r="F55" s="168">
        <f t="shared" si="18"/>
        <v>3.8856993167281531E-3</v>
      </c>
      <c r="G55" s="168">
        <f t="shared" si="18"/>
        <v>7.7713986334563062E-3</v>
      </c>
      <c r="H55" s="168">
        <f t="shared" si="18"/>
        <v>1.1657097950184459E-2</v>
      </c>
      <c r="I55" s="168">
        <f t="shared" si="18"/>
        <v>1.5542797266912612E-2</v>
      </c>
      <c r="J55" s="168">
        <f t="shared" si="18"/>
        <v>1.9428496583640764E-2</v>
      </c>
      <c r="K55" s="168">
        <f t="shared" si="18"/>
        <v>2.3314195900368918E-2</v>
      </c>
      <c r="L55" s="168">
        <f t="shared" si="18"/>
        <v>2.7199895217097071E-2</v>
      </c>
      <c r="M55" s="168">
        <f t="shared" si="18"/>
        <v>3.1085594533825225E-2</v>
      </c>
      <c r="N55" s="168">
        <f t="shared" si="18"/>
        <v>3.4971293850553378E-2</v>
      </c>
      <c r="O55" s="168">
        <f t="shared" si="18"/>
        <v>3.8856993167281528E-2</v>
      </c>
      <c r="P55" s="168">
        <f t="shared" si="18"/>
        <v>4.2742692484009678E-2</v>
      </c>
      <c r="Q55" s="168">
        <f t="shared" si="18"/>
        <v>4.6628391800737828E-2</v>
      </c>
      <c r="R55" s="168">
        <f t="shared" si="18"/>
        <v>5.0514091117465978E-2</v>
      </c>
      <c r="S55" s="168">
        <f t="shared" si="18"/>
        <v>5.4399790434194129E-2</v>
      </c>
      <c r="T55" s="168">
        <f t="shared" si="18"/>
        <v>5.8285489750922279E-2</v>
      </c>
      <c r="U55" s="168">
        <f t="shared" si="18"/>
        <v>6.2171189067650429E-2</v>
      </c>
      <c r="V55" s="168">
        <f t="shared" si="18"/>
        <v>6.6056888384378579E-2</v>
      </c>
      <c r="W55" s="168">
        <f t="shared" si="18"/>
        <v>6.9942587701106729E-2</v>
      </c>
      <c r="X55" s="168">
        <f t="shared" si="18"/>
        <v>7.3828287017834879E-2</v>
      </c>
      <c r="Y55" s="168">
        <f t="shared" si="18"/>
        <v>7.7713986334563029E-2</v>
      </c>
      <c r="Z55" s="168">
        <f t="shared" si="18"/>
        <v>8.1599685651291179E-2</v>
      </c>
      <c r="AA55" s="168">
        <f t="shared" si="18"/>
        <v>8.5485384968019329E-2</v>
      </c>
      <c r="AB55" s="168">
        <f t="shared" si="18"/>
        <v>8.9371084284747479E-2</v>
      </c>
      <c r="AC55" s="168">
        <f t="shared" ref="AC55:AH55" si="19">-($E55-$AI55)/30+AB55</f>
        <v>9.3256783601475629E-2</v>
      </c>
      <c r="AD55" s="168">
        <f t="shared" si="19"/>
        <v>9.7142482918203779E-2</v>
      </c>
      <c r="AE55" s="168">
        <f t="shared" si="19"/>
        <v>0.10102818223493193</v>
      </c>
      <c r="AF55" s="168">
        <f t="shared" si="19"/>
        <v>0.10491388155166008</v>
      </c>
      <c r="AG55" s="168">
        <f t="shared" si="19"/>
        <v>0.10879958086838823</v>
      </c>
      <c r="AH55" s="168">
        <f t="shared" si="19"/>
        <v>0.11268528018511638</v>
      </c>
      <c r="AI55" s="168">
        <f>P10</f>
        <v>0.1165709795018446</v>
      </c>
    </row>
    <row r="56" spans="1:35">
      <c r="A56" s="310"/>
      <c r="B56" t="s">
        <v>370</v>
      </c>
      <c r="D56" t="s">
        <v>248</v>
      </c>
      <c r="E56" s="168">
        <f>F11</f>
        <v>1</v>
      </c>
      <c r="F56" s="168">
        <f t="shared" ref="F56:AH60" si="20">-($E56-$AI56)/30+E56</f>
        <v>0.99611430068327189</v>
      </c>
      <c r="G56" s="168">
        <f t="shared" si="20"/>
        <v>0.99222860136654378</v>
      </c>
      <c r="H56" s="168">
        <f t="shared" si="20"/>
        <v>0.98834290204981567</v>
      </c>
      <c r="I56" s="168">
        <f t="shared" si="20"/>
        <v>0.98445720273308757</v>
      </c>
      <c r="J56" s="168">
        <f t="shared" si="20"/>
        <v>0.98057150341635946</v>
      </c>
      <c r="K56" s="168">
        <f t="shared" si="20"/>
        <v>0.97668580409963135</v>
      </c>
      <c r="L56" s="168">
        <f t="shared" si="20"/>
        <v>0.97280010478290324</v>
      </c>
      <c r="M56" s="168">
        <f t="shared" si="20"/>
        <v>0.96891440546617513</v>
      </c>
      <c r="N56" s="168">
        <f t="shared" si="20"/>
        <v>0.96502870614944702</v>
      </c>
      <c r="O56" s="168">
        <f t="shared" si="20"/>
        <v>0.96114300683271892</v>
      </c>
      <c r="P56" s="168">
        <f t="shared" si="20"/>
        <v>0.95725730751599081</v>
      </c>
      <c r="Q56" s="168">
        <f t="shared" si="20"/>
        <v>0.9533716081992627</v>
      </c>
      <c r="R56" s="168">
        <f t="shared" si="20"/>
        <v>0.94948590888253459</v>
      </c>
      <c r="S56" s="168">
        <f t="shared" si="20"/>
        <v>0.94560020956580648</v>
      </c>
      <c r="T56" s="168">
        <f t="shared" si="20"/>
        <v>0.94171451024907837</v>
      </c>
      <c r="U56" s="168">
        <f t="shared" si="20"/>
        <v>0.93782881093235027</v>
      </c>
      <c r="V56" s="168">
        <f t="shared" si="20"/>
        <v>0.93394311161562216</v>
      </c>
      <c r="W56" s="168">
        <f t="shared" si="20"/>
        <v>0.93005741229889405</v>
      </c>
      <c r="X56" s="168">
        <f t="shared" si="20"/>
        <v>0.92617171298216594</v>
      </c>
      <c r="Y56" s="168">
        <f t="shared" si="20"/>
        <v>0.92228601366543783</v>
      </c>
      <c r="Z56" s="168">
        <f t="shared" si="20"/>
        <v>0.91840031434870972</v>
      </c>
      <c r="AA56" s="168">
        <f t="shared" si="20"/>
        <v>0.91451461503198161</v>
      </c>
      <c r="AB56" s="168">
        <f t="shared" si="20"/>
        <v>0.91062891571525351</v>
      </c>
      <c r="AC56" s="168">
        <f t="shared" si="20"/>
        <v>0.9067432163985254</v>
      </c>
      <c r="AD56" s="168">
        <f t="shared" si="20"/>
        <v>0.90285751708179729</v>
      </c>
      <c r="AE56" s="168">
        <f t="shared" si="20"/>
        <v>0.89897181776506918</v>
      </c>
      <c r="AF56" s="168">
        <f t="shared" si="20"/>
        <v>0.89508611844834107</v>
      </c>
      <c r="AG56" s="168">
        <f t="shared" si="20"/>
        <v>0.89120041913161296</v>
      </c>
      <c r="AH56" s="168">
        <f t="shared" si="20"/>
        <v>0.88731471981488486</v>
      </c>
      <c r="AI56" s="168">
        <f>P11</f>
        <v>0.88342902049815542</v>
      </c>
    </row>
    <row r="57" spans="1:35" s="67" customFormat="1">
      <c r="A57" s="307"/>
      <c r="B57" s="67" t="s">
        <v>370</v>
      </c>
      <c r="C57" s="67" t="s">
        <v>1750</v>
      </c>
      <c r="D57" t="s">
        <v>474</v>
      </c>
      <c r="E57" s="201">
        <f>G9</f>
        <v>0</v>
      </c>
      <c r="F57" s="201">
        <f t="shared" si="20"/>
        <v>0</v>
      </c>
      <c r="G57" s="201">
        <f t="shared" si="20"/>
        <v>0</v>
      </c>
      <c r="H57" s="201">
        <f t="shared" si="20"/>
        <v>0</v>
      </c>
      <c r="I57" s="201">
        <f t="shared" si="20"/>
        <v>0</v>
      </c>
      <c r="J57" s="201">
        <f t="shared" si="20"/>
        <v>0</v>
      </c>
      <c r="K57" s="201">
        <f t="shared" si="20"/>
        <v>0</v>
      </c>
      <c r="L57" s="201">
        <f t="shared" si="20"/>
        <v>0</v>
      </c>
      <c r="M57" s="201">
        <f t="shared" si="20"/>
        <v>0</v>
      </c>
      <c r="N57" s="201">
        <f t="shared" si="20"/>
        <v>0</v>
      </c>
      <c r="O57" s="201">
        <f t="shared" si="20"/>
        <v>0</v>
      </c>
      <c r="P57" s="201">
        <f t="shared" si="20"/>
        <v>0</v>
      </c>
      <c r="Q57" s="201">
        <f t="shared" si="20"/>
        <v>0</v>
      </c>
      <c r="R57" s="201">
        <f t="shared" si="20"/>
        <v>0</v>
      </c>
      <c r="S57" s="201">
        <f t="shared" si="20"/>
        <v>0</v>
      </c>
      <c r="T57" s="201">
        <f t="shared" si="20"/>
        <v>0</v>
      </c>
      <c r="U57" s="201">
        <f t="shared" si="20"/>
        <v>0</v>
      </c>
      <c r="V57" s="201">
        <f t="shared" si="20"/>
        <v>0</v>
      </c>
      <c r="W57" s="201">
        <f t="shared" si="20"/>
        <v>0</v>
      </c>
      <c r="X57" s="201">
        <f t="shared" si="20"/>
        <v>0</v>
      </c>
      <c r="Y57" s="201">
        <f t="shared" si="20"/>
        <v>0</v>
      </c>
      <c r="Z57" s="201">
        <f t="shared" si="20"/>
        <v>0</v>
      </c>
      <c r="AA57" s="201">
        <f t="shared" si="20"/>
        <v>0</v>
      </c>
      <c r="AB57" s="201">
        <f t="shared" si="20"/>
        <v>0</v>
      </c>
      <c r="AC57" s="201">
        <f t="shared" si="20"/>
        <v>0</v>
      </c>
      <c r="AD57" s="201">
        <f t="shared" si="20"/>
        <v>0</v>
      </c>
      <c r="AE57" s="201">
        <f t="shared" si="20"/>
        <v>0</v>
      </c>
      <c r="AF57" s="201">
        <f t="shared" si="20"/>
        <v>0</v>
      </c>
      <c r="AG57" s="201">
        <f t="shared" si="20"/>
        <v>0</v>
      </c>
      <c r="AH57" s="201">
        <f t="shared" si="20"/>
        <v>0</v>
      </c>
      <c r="AI57" s="201">
        <f>Q9</f>
        <v>0</v>
      </c>
    </row>
    <row r="58" spans="1:35">
      <c r="A58" s="310"/>
      <c r="B58" t="s">
        <v>370</v>
      </c>
      <c r="D58" t="s">
        <v>745</v>
      </c>
      <c r="E58" s="168">
        <f>G10</f>
        <v>0</v>
      </c>
      <c r="F58" s="168">
        <f t="shared" si="20"/>
        <v>3.8856993167281531E-3</v>
      </c>
      <c r="G58" s="168">
        <f t="shared" si="20"/>
        <v>7.7713986334563062E-3</v>
      </c>
      <c r="H58" s="168">
        <f t="shared" si="20"/>
        <v>1.1657097950184459E-2</v>
      </c>
      <c r="I58" s="168">
        <f t="shared" si="20"/>
        <v>1.5542797266912612E-2</v>
      </c>
      <c r="J58" s="168">
        <f t="shared" si="20"/>
        <v>1.9428496583640764E-2</v>
      </c>
      <c r="K58" s="168">
        <f t="shared" si="20"/>
        <v>2.3314195900368918E-2</v>
      </c>
      <c r="L58" s="168">
        <f t="shared" si="20"/>
        <v>2.7199895217097071E-2</v>
      </c>
      <c r="M58" s="168">
        <f t="shared" si="20"/>
        <v>3.1085594533825225E-2</v>
      </c>
      <c r="N58" s="168">
        <f t="shared" si="20"/>
        <v>3.4971293850553378E-2</v>
      </c>
      <c r="O58" s="168">
        <f t="shared" si="20"/>
        <v>3.8856993167281528E-2</v>
      </c>
      <c r="P58" s="168">
        <f t="shared" si="20"/>
        <v>4.2742692484009678E-2</v>
      </c>
      <c r="Q58" s="168">
        <f t="shared" si="20"/>
        <v>4.6628391800737828E-2</v>
      </c>
      <c r="R58" s="168">
        <f t="shared" si="20"/>
        <v>5.0514091117465978E-2</v>
      </c>
      <c r="S58" s="168">
        <f t="shared" si="20"/>
        <v>5.4399790434194129E-2</v>
      </c>
      <c r="T58" s="168">
        <f t="shared" si="20"/>
        <v>5.8285489750922279E-2</v>
      </c>
      <c r="U58" s="168">
        <f t="shared" si="20"/>
        <v>6.2171189067650429E-2</v>
      </c>
      <c r="V58" s="168">
        <f t="shared" si="20"/>
        <v>6.6056888384378579E-2</v>
      </c>
      <c r="W58" s="168">
        <f t="shared" si="20"/>
        <v>6.9942587701106729E-2</v>
      </c>
      <c r="X58" s="168">
        <f t="shared" si="20"/>
        <v>7.3828287017834879E-2</v>
      </c>
      <c r="Y58" s="168">
        <f t="shared" si="20"/>
        <v>7.7713986334563029E-2</v>
      </c>
      <c r="Z58" s="168">
        <f t="shared" si="20"/>
        <v>8.1599685651291179E-2</v>
      </c>
      <c r="AA58" s="168">
        <f t="shared" si="20"/>
        <v>8.5485384968019329E-2</v>
      </c>
      <c r="AB58" s="168">
        <f t="shared" si="20"/>
        <v>8.9371084284747479E-2</v>
      </c>
      <c r="AC58" s="168">
        <f t="shared" si="20"/>
        <v>9.3256783601475629E-2</v>
      </c>
      <c r="AD58" s="168">
        <f t="shared" si="20"/>
        <v>9.7142482918203779E-2</v>
      </c>
      <c r="AE58" s="168">
        <f t="shared" si="20"/>
        <v>0.10102818223493193</v>
      </c>
      <c r="AF58" s="168">
        <f t="shared" si="20"/>
        <v>0.10491388155166008</v>
      </c>
      <c r="AG58" s="168">
        <f t="shared" si="20"/>
        <v>0.10879958086838823</v>
      </c>
      <c r="AH58" s="168">
        <f t="shared" si="20"/>
        <v>0.11268528018511638</v>
      </c>
      <c r="AI58" s="168">
        <f>Q10</f>
        <v>0.1165709795018446</v>
      </c>
    </row>
    <row r="59" spans="1:35">
      <c r="A59" s="310"/>
      <c r="B59" t="s">
        <v>370</v>
      </c>
      <c r="D59" t="s">
        <v>248</v>
      </c>
      <c r="E59" s="168">
        <f>G11</f>
        <v>1</v>
      </c>
      <c r="F59" s="168">
        <f t="shared" si="20"/>
        <v>0.99611430068327189</v>
      </c>
      <c r="G59" s="168">
        <f t="shared" si="20"/>
        <v>0.99222860136654378</v>
      </c>
      <c r="H59" s="168">
        <f t="shared" si="20"/>
        <v>0.98834290204981567</v>
      </c>
      <c r="I59" s="168">
        <f t="shared" si="20"/>
        <v>0.98445720273308757</v>
      </c>
      <c r="J59" s="168">
        <f t="shared" si="20"/>
        <v>0.98057150341635946</v>
      </c>
      <c r="K59" s="168">
        <f t="shared" si="20"/>
        <v>0.97668580409963135</v>
      </c>
      <c r="L59" s="168">
        <f t="shared" si="20"/>
        <v>0.97280010478290324</v>
      </c>
      <c r="M59" s="168">
        <f t="shared" si="20"/>
        <v>0.96891440546617513</v>
      </c>
      <c r="N59" s="168">
        <f t="shared" si="20"/>
        <v>0.96502870614944702</v>
      </c>
      <c r="O59" s="168">
        <f t="shared" si="20"/>
        <v>0.96114300683271892</v>
      </c>
      <c r="P59" s="168">
        <f t="shared" si="20"/>
        <v>0.95725730751599081</v>
      </c>
      <c r="Q59" s="168">
        <f t="shared" si="20"/>
        <v>0.9533716081992627</v>
      </c>
      <c r="R59" s="168">
        <f t="shared" si="20"/>
        <v>0.94948590888253459</v>
      </c>
      <c r="S59" s="168">
        <f t="shared" si="20"/>
        <v>0.94560020956580648</v>
      </c>
      <c r="T59" s="168">
        <f t="shared" si="20"/>
        <v>0.94171451024907837</v>
      </c>
      <c r="U59" s="168">
        <f t="shared" si="20"/>
        <v>0.93782881093235027</v>
      </c>
      <c r="V59" s="168">
        <f t="shared" si="20"/>
        <v>0.93394311161562216</v>
      </c>
      <c r="W59" s="168">
        <f t="shared" si="20"/>
        <v>0.93005741229889405</v>
      </c>
      <c r="X59" s="168">
        <f t="shared" si="20"/>
        <v>0.92617171298216594</v>
      </c>
      <c r="Y59" s="168">
        <f t="shared" si="20"/>
        <v>0.92228601366543783</v>
      </c>
      <c r="Z59" s="168">
        <f t="shared" si="20"/>
        <v>0.91840031434870972</v>
      </c>
      <c r="AA59" s="168">
        <f t="shared" si="20"/>
        <v>0.91451461503198161</v>
      </c>
      <c r="AB59" s="168">
        <f t="shared" si="20"/>
        <v>0.91062891571525351</v>
      </c>
      <c r="AC59" s="168">
        <f t="shared" si="20"/>
        <v>0.9067432163985254</v>
      </c>
      <c r="AD59" s="168">
        <f t="shared" si="20"/>
        <v>0.90285751708179729</v>
      </c>
      <c r="AE59" s="168">
        <f t="shared" si="20"/>
        <v>0.89897181776506918</v>
      </c>
      <c r="AF59" s="168">
        <f t="shared" si="20"/>
        <v>0.89508611844834107</v>
      </c>
      <c r="AG59" s="168">
        <f t="shared" si="20"/>
        <v>0.89120041913161296</v>
      </c>
      <c r="AH59" s="168">
        <f t="shared" si="20"/>
        <v>0.88731471981488486</v>
      </c>
      <c r="AI59" s="168">
        <f>Q11</f>
        <v>0.88342902049815542</v>
      </c>
    </row>
    <row r="60" spans="1:35" s="67" customFormat="1">
      <c r="A60" s="307"/>
      <c r="B60" s="67" t="s">
        <v>329</v>
      </c>
      <c r="C60" s="67" t="s">
        <v>1746</v>
      </c>
      <c r="D60" t="s">
        <v>474</v>
      </c>
      <c r="E60" s="201">
        <f>D15</f>
        <v>0.36173364154891818</v>
      </c>
      <c r="F60" s="201">
        <f t="shared" si="20"/>
        <v>0.36173364154891818</v>
      </c>
      <c r="G60" s="201">
        <f t="shared" si="20"/>
        <v>0.36173364154891818</v>
      </c>
      <c r="H60" s="201">
        <f t="shared" si="20"/>
        <v>0.36173364154891818</v>
      </c>
      <c r="I60" s="201">
        <f t="shared" si="20"/>
        <v>0.36173364154891818</v>
      </c>
      <c r="J60" s="201">
        <f t="shared" si="20"/>
        <v>0.36173364154891818</v>
      </c>
      <c r="K60" s="201">
        <f t="shared" si="20"/>
        <v>0.36173364154891818</v>
      </c>
      <c r="L60" s="201">
        <f t="shared" si="20"/>
        <v>0.36173364154891818</v>
      </c>
      <c r="M60" s="201">
        <f t="shared" si="20"/>
        <v>0.36173364154891818</v>
      </c>
      <c r="N60" s="201">
        <f t="shared" si="20"/>
        <v>0.36173364154891818</v>
      </c>
      <c r="O60" s="201">
        <f t="shared" si="20"/>
        <v>0.36173364154891818</v>
      </c>
      <c r="P60" s="201">
        <f t="shared" si="20"/>
        <v>0.36173364154891818</v>
      </c>
      <c r="Q60" s="201">
        <f t="shared" si="20"/>
        <v>0.36173364154891818</v>
      </c>
      <c r="R60" s="201">
        <f t="shared" si="20"/>
        <v>0.36173364154891818</v>
      </c>
      <c r="S60" s="201">
        <f t="shared" si="20"/>
        <v>0.36173364154891818</v>
      </c>
      <c r="T60" s="201">
        <f t="shared" si="20"/>
        <v>0.36173364154891818</v>
      </c>
      <c r="U60" s="201">
        <f t="shared" si="20"/>
        <v>0.36173364154891818</v>
      </c>
      <c r="V60" s="201">
        <f t="shared" si="20"/>
        <v>0.36173364154891818</v>
      </c>
      <c r="W60" s="201">
        <f t="shared" si="20"/>
        <v>0.36173364154891818</v>
      </c>
      <c r="X60" s="201">
        <f t="shared" si="20"/>
        <v>0.36173364154891818</v>
      </c>
      <c r="Y60" s="201">
        <f t="shared" si="20"/>
        <v>0.36173364154891818</v>
      </c>
      <c r="Z60" s="201">
        <f t="shared" si="20"/>
        <v>0.36173364154891818</v>
      </c>
      <c r="AA60" s="201">
        <f t="shared" si="20"/>
        <v>0.36173364154891818</v>
      </c>
      <c r="AB60" s="201">
        <f t="shared" si="20"/>
        <v>0.36173364154891818</v>
      </c>
      <c r="AC60" s="201">
        <f t="shared" ref="AC60:AH60" si="21">-($E60-$AI60)/30+AB60</f>
        <v>0.36173364154891818</v>
      </c>
      <c r="AD60" s="201">
        <f t="shared" si="21"/>
        <v>0.36173364154891818</v>
      </c>
      <c r="AE60" s="201">
        <f t="shared" si="21"/>
        <v>0.36173364154891818</v>
      </c>
      <c r="AF60" s="201">
        <f t="shared" si="21"/>
        <v>0.36173364154891818</v>
      </c>
      <c r="AG60" s="201">
        <f t="shared" si="21"/>
        <v>0.36173364154891818</v>
      </c>
      <c r="AH60" s="201">
        <f t="shared" si="21"/>
        <v>0.36173364154891818</v>
      </c>
      <c r="AI60" s="201">
        <f>N15</f>
        <v>0.36173364154891818</v>
      </c>
    </row>
    <row r="61" spans="1:35">
      <c r="A61" s="310"/>
      <c r="B61" t="s">
        <v>329</v>
      </c>
      <c r="D61" t="s">
        <v>745</v>
      </c>
      <c r="E61" s="168">
        <f>D16</f>
        <v>0</v>
      </c>
      <c r="F61" s="168">
        <f t="shared" ref="F61:AH65" si="22">-($E61-$AI61)/30+E61</f>
        <v>0</v>
      </c>
      <c r="G61" s="168">
        <f t="shared" si="22"/>
        <v>0</v>
      </c>
      <c r="H61" s="168">
        <f t="shared" si="22"/>
        <v>0</v>
      </c>
      <c r="I61" s="168">
        <f t="shared" si="22"/>
        <v>0</v>
      </c>
      <c r="J61" s="168">
        <f t="shared" si="22"/>
        <v>0</v>
      </c>
      <c r="K61" s="168">
        <f t="shared" si="22"/>
        <v>0</v>
      </c>
      <c r="L61" s="168">
        <f t="shared" si="22"/>
        <v>0</v>
      </c>
      <c r="M61" s="168">
        <f t="shared" si="22"/>
        <v>0</v>
      </c>
      <c r="N61" s="168">
        <f t="shared" si="22"/>
        <v>0</v>
      </c>
      <c r="O61" s="168">
        <f t="shared" si="22"/>
        <v>0</v>
      </c>
      <c r="P61" s="168">
        <f t="shared" si="22"/>
        <v>0</v>
      </c>
      <c r="Q61" s="168">
        <f t="shared" si="22"/>
        <v>0</v>
      </c>
      <c r="R61" s="168">
        <f t="shared" si="22"/>
        <v>0</v>
      </c>
      <c r="S61" s="168">
        <f t="shared" si="22"/>
        <v>0</v>
      </c>
      <c r="T61" s="168">
        <f t="shared" si="22"/>
        <v>0</v>
      </c>
      <c r="U61" s="168">
        <f t="shared" si="22"/>
        <v>0</v>
      </c>
      <c r="V61" s="168">
        <f t="shared" si="22"/>
        <v>0</v>
      </c>
      <c r="W61" s="168">
        <f t="shared" si="22"/>
        <v>0</v>
      </c>
      <c r="X61" s="168">
        <f t="shared" si="22"/>
        <v>0</v>
      </c>
      <c r="Y61" s="168">
        <f t="shared" si="22"/>
        <v>0</v>
      </c>
      <c r="Z61" s="168">
        <f t="shared" si="22"/>
        <v>0</v>
      </c>
      <c r="AA61" s="168">
        <f t="shared" si="22"/>
        <v>0</v>
      </c>
      <c r="AB61" s="168">
        <f t="shared" si="22"/>
        <v>0</v>
      </c>
      <c r="AC61" s="168">
        <f t="shared" si="22"/>
        <v>0</v>
      </c>
      <c r="AD61" s="168">
        <f t="shared" si="22"/>
        <v>0</v>
      </c>
      <c r="AE61" s="168">
        <f t="shared" si="22"/>
        <v>0</v>
      </c>
      <c r="AF61" s="168">
        <f t="shared" si="22"/>
        <v>0</v>
      </c>
      <c r="AG61" s="168">
        <f t="shared" si="22"/>
        <v>0</v>
      </c>
      <c r="AH61" s="168">
        <f t="shared" si="22"/>
        <v>0</v>
      </c>
      <c r="AI61" s="168">
        <f>N16</f>
        <v>0</v>
      </c>
    </row>
    <row r="62" spans="1:35">
      <c r="A62" s="310"/>
      <c r="B62" t="s">
        <v>329</v>
      </c>
      <c r="D62" t="s">
        <v>248</v>
      </c>
      <c r="E62" s="168">
        <f>D17</f>
        <v>0.63826635845108182</v>
      </c>
      <c r="F62" s="168">
        <f t="shared" si="22"/>
        <v>0.63826635845108182</v>
      </c>
      <c r="G62" s="168">
        <f t="shared" si="22"/>
        <v>0.63826635845108182</v>
      </c>
      <c r="H62" s="168">
        <f t="shared" si="22"/>
        <v>0.63826635845108182</v>
      </c>
      <c r="I62" s="168">
        <f t="shared" si="22"/>
        <v>0.63826635845108182</v>
      </c>
      <c r="J62" s="168">
        <f t="shared" si="22"/>
        <v>0.63826635845108182</v>
      </c>
      <c r="K62" s="168">
        <f t="shared" si="22"/>
        <v>0.63826635845108182</v>
      </c>
      <c r="L62" s="168">
        <f t="shared" si="22"/>
        <v>0.63826635845108182</v>
      </c>
      <c r="M62" s="168">
        <f t="shared" si="22"/>
        <v>0.63826635845108182</v>
      </c>
      <c r="N62" s="168">
        <f t="shared" si="22"/>
        <v>0.63826635845108182</v>
      </c>
      <c r="O62" s="168">
        <f t="shared" si="22"/>
        <v>0.63826635845108182</v>
      </c>
      <c r="P62" s="168">
        <f t="shared" si="22"/>
        <v>0.63826635845108182</v>
      </c>
      <c r="Q62" s="168">
        <f t="shared" si="22"/>
        <v>0.63826635845108182</v>
      </c>
      <c r="R62" s="168">
        <f t="shared" si="22"/>
        <v>0.63826635845108182</v>
      </c>
      <c r="S62" s="168">
        <f t="shared" si="22"/>
        <v>0.63826635845108182</v>
      </c>
      <c r="T62" s="168">
        <f t="shared" si="22"/>
        <v>0.63826635845108182</v>
      </c>
      <c r="U62" s="168">
        <f t="shared" si="22"/>
        <v>0.63826635845108182</v>
      </c>
      <c r="V62" s="168">
        <f t="shared" si="22"/>
        <v>0.63826635845108182</v>
      </c>
      <c r="W62" s="168">
        <f t="shared" si="22"/>
        <v>0.63826635845108182</v>
      </c>
      <c r="X62" s="168">
        <f t="shared" si="22"/>
        <v>0.63826635845108182</v>
      </c>
      <c r="Y62" s="168">
        <f t="shared" si="22"/>
        <v>0.63826635845108182</v>
      </c>
      <c r="Z62" s="168">
        <f t="shared" si="22"/>
        <v>0.63826635845108182</v>
      </c>
      <c r="AA62" s="168">
        <f t="shared" si="22"/>
        <v>0.63826635845108182</v>
      </c>
      <c r="AB62" s="168">
        <f t="shared" si="22"/>
        <v>0.63826635845108182</v>
      </c>
      <c r="AC62" s="168">
        <f t="shared" si="22"/>
        <v>0.63826635845108182</v>
      </c>
      <c r="AD62" s="168">
        <f t="shared" si="22"/>
        <v>0.63826635845108182</v>
      </c>
      <c r="AE62" s="168">
        <f t="shared" si="22"/>
        <v>0.63826635845108182</v>
      </c>
      <c r="AF62" s="168">
        <f t="shared" si="22"/>
        <v>0.63826635845108182</v>
      </c>
      <c r="AG62" s="168">
        <f t="shared" si="22"/>
        <v>0.63826635845108182</v>
      </c>
      <c r="AH62" s="168">
        <f t="shared" si="22"/>
        <v>0.63826635845108182</v>
      </c>
      <c r="AI62" s="168">
        <f>N17</f>
        <v>0.63826635845108182</v>
      </c>
    </row>
    <row r="63" spans="1:35" s="67" customFormat="1">
      <c r="A63" s="307"/>
      <c r="B63" s="67" t="s">
        <v>329</v>
      </c>
      <c r="C63" s="67" t="s">
        <v>1749</v>
      </c>
      <c r="D63" t="s">
        <v>474</v>
      </c>
      <c r="E63" s="201">
        <f>E15</f>
        <v>0.36173364154891818</v>
      </c>
      <c r="F63" s="201">
        <f t="shared" si="22"/>
        <v>0.36173364154891818</v>
      </c>
      <c r="G63" s="201">
        <f t="shared" si="22"/>
        <v>0.36173364154891818</v>
      </c>
      <c r="H63" s="201">
        <f t="shared" si="22"/>
        <v>0.36173364154891818</v>
      </c>
      <c r="I63" s="201">
        <f t="shared" si="22"/>
        <v>0.36173364154891818</v>
      </c>
      <c r="J63" s="201">
        <f t="shared" si="22"/>
        <v>0.36173364154891818</v>
      </c>
      <c r="K63" s="201">
        <f t="shared" si="22"/>
        <v>0.36173364154891818</v>
      </c>
      <c r="L63" s="201">
        <f t="shared" si="22"/>
        <v>0.36173364154891818</v>
      </c>
      <c r="M63" s="201">
        <f t="shared" si="22"/>
        <v>0.36173364154891818</v>
      </c>
      <c r="N63" s="201">
        <f t="shared" si="22"/>
        <v>0.36173364154891818</v>
      </c>
      <c r="O63" s="201">
        <f t="shared" si="22"/>
        <v>0.36173364154891818</v>
      </c>
      <c r="P63" s="201">
        <f t="shared" si="22"/>
        <v>0.36173364154891818</v>
      </c>
      <c r="Q63" s="201">
        <f t="shared" si="22"/>
        <v>0.36173364154891818</v>
      </c>
      <c r="R63" s="201">
        <f t="shared" si="22"/>
        <v>0.36173364154891818</v>
      </c>
      <c r="S63" s="201">
        <f t="shared" si="22"/>
        <v>0.36173364154891818</v>
      </c>
      <c r="T63" s="201">
        <f t="shared" si="22"/>
        <v>0.36173364154891818</v>
      </c>
      <c r="U63" s="201">
        <f t="shared" si="22"/>
        <v>0.36173364154891818</v>
      </c>
      <c r="V63" s="201">
        <f t="shared" si="22"/>
        <v>0.36173364154891818</v>
      </c>
      <c r="W63" s="201">
        <f t="shared" si="22"/>
        <v>0.36173364154891818</v>
      </c>
      <c r="X63" s="201">
        <f t="shared" si="22"/>
        <v>0.36173364154891818</v>
      </c>
      <c r="Y63" s="201">
        <f t="shared" si="22"/>
        <v>0.36173364154891818</v>
      </c>
      <c r="Z63" s="201">
        <f t="shared" si="22"/>
        <v>0.36173364154891818</v>
      </c>
      <c r="AA63" s="201">
        <f t="shared" si="22"/>
        <v>0.36173364154891818</v>
      </c>
      <c r="AB63" s="201">
        <f t="shared" si="22"/>
        <v>0.36173364154891818</v>
      </c>
      <c r="AC63" s="201">
        <f t="shared" si="22"/>
        <v>0.36173364154891818</v>
      </c>
      <c r="AD63" s="201">
        <f t="shared" si="22"/>
        <v>0.36173364154891818</v>
      </c>
      <c r="AE63" s="201">
        <f t="shared" si="22"/>
        <v>0.36173364154891818</v>
      </c>
      <c r="AF63" s="201">
        <f t="shared" si="22"/>
        <v>0.36173364154891818</v>
      </c>
      <c r="AG63" s="201">
        <f t="shared" si="22"/>
        <v>0.36173364154891818</v>
      </c>
      <c r="AH63" s="201">
        <f t="shared" si="22"/>
        <v>0.36173364154891818</v>
      </c>
      <c r="AI63" s="201">
        <f>O15</f>
        <v>0.36173364154891818</v>
      </c>
    </row>
    <row r="64" spans="1:35">
      <c r="A64" s="310"/>
      <c r="B64" t="s">
        <v>329</v>
      </c>
      <c r="D64" t="s">
        <v>745</v>
      </c>
      <c r="E64" s="168">
        <f>E16</f>
        <v>0</v>
      </c>
      <c r="F64" s="168">
        <f t="shared" si="22"/>
        <v>0</v>
      </c>
      <c r="G64" s="168">
        <f t="shared" si="22"/>
        <v>0</v>
      </c>
      <c r="H64" s="168">
        <f t="shared" si="22"/>
        <v>0</v>
      </c>
      <c r="I64" s="168">
        <f t="shared" si="22"/>
        <v>0</v>
      </c>
      <c r="J64" s="168">
        <f t="shared" si="22"/>
        <v>0</v>
      </c>
      <c r="K64" s="168">
        <f t="shared" si="22"/>
        <v>0</v>
      </c>
      <c r="L64" s="168">
        <f t="shared" si="22"/>
        <v>0</v>
      </c>
      <c r="M64" s="168">
        <f t="shared" si="22"/>
        <v>0</v>
      </c>
      <c r="N64" s="168">
        <f t="shared" si="22"/>
        <v>0</v>
      </c>
      <c r="O64" s="168">
        <f t="shared" si="22"/>
        <v>0</v>
      </c>
      <c r="P64" s="168">
        <f t="shared" si="22"/>
        <v>0</v>
      </c>
      <c r="Q64" s="168">
        <f t="shared" si="22"/>
        <v>0</v>
      </c>
      <c r="R64" s="168">
        <f t="shared" si="22"/>
        <v>0</v>
      </c>
      <c r="S64" s="168">
        <f t="shared" si="22"/>
        <v>0</v>
      </c>
      <c r="T64" s="168">
        <f t="shared" si="22"/>
        <v>0</v>
      </c>
      <c r="U64" s="168">
        <f t="shared" si="22"/>
        <v>0</v>
      </c>
      <c r="V64" s="168">
        <f t="shared" si="22"/>
        <v>0</v>
      </c>
      <c r="W64" s="168">
        <f t="shared" si="22"/>
        <v>0</v>
      </c>
      <c r="X64" s="168">
        <f t="shared" si="22"/>
        <v>0</v>
      </c>
      <c r="Y64" s="168">
        <f t="shared" si="22"/>
        <v>0</v>
      </c>
      <c r="Z64" s="168">
        <f t="shared" si="22"/>
        <v>0</v>
      </c>
      <c r="AA64" s="168">
        <f t="shared" si="22"/>
        <v>0</v>
      </c>
      <c r="AB64" s="168">
        <f t="shared" si="22"/>
        <v>0</v>
      </c>
      <c r="AC64" s="168">
        <f t="shared" si="22"/>
        <v>0</v>
      </c>
      <c r="AD64" s="168">
        <f t="shared" si="22"/>
        <v>0</v>
      </c>
      <c r="AE64" s="168">
        <f t="shared" si="22"/>
        <v>0</v>
      </c>
      <c r="AF64" s="168">
        <f t="shared" si="22"/>
        <v>0</v>
      </c>
      <c r="AG64" s="168">
        <f t="shared" si="22"/>
        <v>0</v>
      </c>
      <c r="AH64" s="168">
        <f t="shared" si="22"/>
        <v>0</v>
      </c>
      <c r="AI64" s="168">
        <f>O16</f>
        <v>0</v>
      </c>
    </row>
    <row r="65" spans="1:35">
      <c r="A65" s="310"/>
      <c r="B65" t="s">
        <v>329</v>
      </c>
      <c r="D65" t="s">
        <v>248</v>
      </c>
      <c r="E65" s="168">
        <f>E17</f>
        <v>0.63826635845108182</v>
      </c>
      <c r="F65" s="168">
        <f t="shared" si="22"/>
        <v>0.63826635845108182</v>
      </c>
      <c r="G65" s="168">
        <f t="shared" si="22"/>
        <v>0.63826635845108182</v>
      </c>
      <c r="H65" s="168">
        <f t="shared" si="22"/>
        <v>0.63826635845108182</v>
      </c>
      <c r="I65" s="168">
        <f t="shared" si="22"/>
        <v>0.63826635845108182</v>
      </c>
      <c r="J65" s="168">
        <f t="shared" si="22"/>
        <v>0.63826635845108182</v>
      </c>
      <c r="K65" s="168">
        <f t="shared" si="22"/>
        <v>0.63826635845108182</v>
      </c>
      <c r="L65" s="168">
        <f t="shared" si="22"/>
        <v>0.63826635845108182</v>
      </c>
      <c r="M65" s="168">
        <f t="shared" si="22"/>
        <v>0.63826635845108182</v>
      </c>
      <c r="N65" s="168">
        <f t="shared" si="22"/>
        <v>0.63826635845108182</v>
      </c>
      <c r="O65" s="168">
        <f t="shared" si="22"/>
        <v>0.63826635845108182</v>
      </c>
      <c r="P65" s="168">
        <f t="shared" si="22"/>
        <v>0.63826635845108182</v>
      </c>
      <c r="Q65" s="168">
        <f t="shared" si="22"/>
        <v>0.63826635845108182</v>
      </c>
      <c r="R65" s="168">
        <f t="shared" si="22"/>
        <v>0.63826635845108182</v>
      </c>
      <c r="S65" s="168">
        <f t="shared" si="22"/>
        <v>0.63826635845108182</v>
      </c>
      <c r="T65" s="168">
        <f t="shared" si="22"/>
        <v>0.63826635845108182</v>
      </c>
      <c r="U65" s="168">
        <f t="shared" si="22"/>
        <v>0.63826635845108182</v>
      </c>
      <c r="V65" s="168">
        <f t="shared" si="22"/>
        <v>0.63826635845108182</v>
      </c>
      <c r="W65" s="168">
        <f t="shared" si="22"/>
        <v>0.63826635845108182</v>
      </c>
      <c r="X65" s="168">
        <f t="shared" si="22"/>
        <v>0.63826635845108182</v>
      </c>
      <c r="Y65" s="168">
        <f t="shared" si="22"/>
        <v>0.63826635845108182</v>
      </c>
      <c r="Z65" s="168">
        <f t="shared" si="22"/>
        <v>0.63826635845108182</v>
      </c>
      <c r="AA65" s="168">
        <f t="shared" si="22"/>
        <v>0.63826635845108182</v>
      </c>
      <c r="AB65" s="168">
        <f t="shared" si="22"/>
        <v>0.63826635845108182</v>
      </c>
      <c r="AC65" s="168">
        <f t="shared" si="22"/>
        <v>0.63826635845108182</v>
      </c>
      <c r="AD65" s="168">
        <f t="shared" si="22"/>
        <v>0.63826635845108182</v>
      </c>
      <c r="AE65" s="168">
        <f t="shared" si="22"/>
        <v>0.63826635845108182</v>
      </c>
      <c r="AF65" s="168">
        <f t="shared" si="22"/>
        <v>0.63826635845108182</v>
      </c>
      <c r="AG65" s="168">
        <f t="shared" si="22"/>
        <v>0.63826635845108182</v>
      </c>
      <c r="AH65" s="168">
        <f t="shared" si="22"/>
        <v>0.63826635845108182</v>
      </c>
      <c r="AI65" s="168">
        <f>O17</f>
        <v>0.63826635845108182</v>
      </c>
    </row>
    <row r="66" spans="1:35" s="67" customFormat="1">
      <c r="A66" s="307"/>
      <c r="B66" s="67" t="s">
        <v>329</v>
      </c>
      <c r="C66" s="67" t="s">
        <v>1750</v>
      </c>
      <c r="D66" t="s">
        <v>474</v>
      </c>
      <c r="E66" s="201">
        <f>F15</f>
        <v>0.36173364154891818</v>
      </c>
      <c r="F66" s="201">
        <f t="shared" ref="F66:AH71" si="23">-($E66-$AI66)/30+E66</f>
        <v>0.36173364154891818</v>
      </c>
      <c r="G66" s="201">
        <f t="shared" si="23"/>
        <v>0.36173364154891818</v>
      </c>
      <c r="H66" s="201">
        <f t="shared" si="23"/>
        <v>0.36173364154891818</v>
      </c>
      <c r="I66" s="201">
        <f t="shared" si="23"/>
        <v>0.36173364154891818</v>
      </c>
      <c r="J66" s="201">
        <f t="shared" si="23"/>
        <v>0.36173364154891818</v>
      </c>
      <c r="K66" s="201">
        <f t="shared" si="23"/>
        <v>0.36173364154891818</v>
      </c>
      <c r="L66" s="201">
        <f t="shared" si="23"/>
        <v>0.36173364154891818</v>
      </c>
      <c r="M66" s="201">
        <f t="shared" si="23"/>
        <v>0.36173364154891818</v>
      </c>
      <c r="N66" s="201">
        <f t="shared" si="23"/>
        <v>0.36173364154891818</v>
      </c>
      <c r="O66" s="201">
        <f t="shared" si="23"/>
        <v>0.36173364154891818</v>
      </c>
      <c r="P66" s="201">
        <f t="shared" si="23"/>
        <v>0.36173364154891818</v>
      </c>
      <c r="Q66" s="201">
        <f t="shared" si="23"/>
        <v>0.36173364154891818</v>
      </c>
      <c r="R66" s="201">
        <f t="shared" si="23"/>
        <v>0.36173364154891818</v>
      </c>
      <c r="S66" s="201">
        <f t="shared" si="23"/>
        <v>0.36173364154891818</v>
      </c>
      <c r="T66" s="201">
        <f t="shared" si="23"/>
        <v>0.36173364154891818</v>
      </c>
      <c r="U66" s="201">
        <f t="shared" si="23"/>
        <v>0.36173364154891818</v>
      </c>
      <c r="V66" s="201">
        <f t="shared" si="23"/>
        <v>0.36173364154891818</v>
      </c>
      <c r="W66" s="201">
        <f t="shared" si="23"/>
        <v>0.36173364154891818</v>
      </c>
      <c r="X66" s="201">
        <f t="shared" si="23"/>
        <v>0.36173364154891818</v>
      </c>
      <c r="Y66" s="201">
        <f t="shared" si="23"/>
        <v>0.36173364154891818</v>
      </c>
      <c r="Z66" s="201">
        <f t="shared" si="23"/>
        <v>0.36173364154891818</v>
      </c>
      <c r="AA66" s="201">
        <f t="shared" si="23"/>
        <v>0.36173364154891818</v>
      </c>
      <c r="AB66" s="201">
        <f t="shared" si="23"/>
        <v>0.36173364154891818</v>
      </c>
      <c r="AC66" s="201">
        <f t="shared" si="23"/>
        <v>0.36173364154891818</v>
      </c>
      <c r="AD66" s="201">
        <f t="shared" si="23"/>
        <v>0.36173364154891818</v>
      </c>
      <c r="AE66" s="201">
        <f t="shared" si="23"/>
        <v>0.36173364154891818</v>
      </c>
      <c r="AF66" s="201">
        <f t="shared" si="23"/>
        <v>0.36173364154891818</v>
      </c>
      <c r="AG66" s="201">
        <f t="shared" si="23"/>
        <v>0.36173364154891818</v>
      </c>
      <c r="AH66" s="201">
        <f t="shared" si="23"/>
        <v>0.36173364154891818</v>
      </c>
      <c r="AI66" s="201">
        <f>P15</f>
        <v>0.36173364154891818</v>
      </c>
    </row>
    <row r="67" spans="1:35">
      <c r="A67" s="310"/>
      <c r="B67" t="s">
        <v>329</v>
      </c>
      <c r="D67" t="s">
        <v>745</v>
      </c>
      <c r="E67" s="168">
        <f>F16</f>
        <v>0</v>
      </c>
      <c r="F67" s="168">
        <f t="shared" si="23"/>
        <v>0</v>
      </c>
      <c r="G67" s="168">
        <f t="shared" si="23"/>
        <v>0</v>
      </c>
      <c r="H67" s="168">
        <f t="shared" si="23"/>
        <v>0</v>
      </c>
      <c r="I67" s="168">
        <f t="shared" si="23"/>
        <v>0</v>
      </c>
      <c r="J67" s="168">
        <f t="shared" si="23"/>
        <v>0</v>
      </c>
      <c r="K67" s="168">
        <f t="shared" si="23"/>
        <v>0</v>
      </c>
      <c r="L67" s="168">
        <f t="shared" si="23"/>
        <v>0</v>
      </c>
      <c r="M67" s="168">
        <f t="shared" si="23"/>
        <v>0</v>
      </c>
      <c r="N67" s="168">
        <f t="shared" si="23"/>
        <v>0</v>
      </c>
      <c r="O67" s="168">
        <f t="shared" si="23"/>
        <v>0</v>
      </c>
      <c r="P67" s="168">
        <f t="shared" si="23"/>
        <v>0</v>
      </c>
      <c r="Q67" s="168">
        <f t="shared" si="23"/>
        <v>0</v>
      </c>
      <c r="R67" s="168">
        <f t="shared" si="23"/>
        <v>0</v>
      </c>
      <c r="S67" s="168">
        <f t="shared" si="23"/>
        <v>0</v>
      </c>
      <c r="T67" s="168">
        <f t="shared" si="23"/>
        <v>0</v>
      </c>
      <c r="U67" s="168">
        <f t="shared" si="23"/>
        <v>0</v>
      </c>
      <c r="V67" s="168">
        <f t="shared" si="23"/>
        <v>0</v>
      </c>
      <c r="W67" s="168">
        <f t="shared" si="23"/>
        <v>0</v>
      </c>
      <c r="X67" s="168">
        <f t="shared" si="23"/>
        <v>0</v>
      </c>
      <c r="Y67" s="168">
        <f t="shared" si="23"/>
        <v>0</v>
      </c>
      <c r="Z67" s="168">
        <f t="shared" si="23"/>
        <v>0</v>
      </c>
      <c r="AA67" s="168">
        <f t="shared" si="23"/>
        <v>0</v>
      </c>
      <c r="AB67" s="168">
        <f t="shared" si="23"/>
        <v>0</v>
      </c>
      <c r="AC67" s="168">
        <f t="shared" si="23"/>
        <v>0</v>
      </c>
      <c r="AD67" s="168">
        <f t="shared" si="23"/>
        <v>0</v>
      </c>
      <c r="AE67" s="168">
        <f t="shared" si="23"/>
        <v>0</v>
      </c>
      <c r="AF67" s="168">
        <f t="shared" si="23"/>
        <v>0</v>
      </c>
      <c r="AG67" s="168">
        <f t="shared" si="23"/>
        <v>0</v>
      </c>
      <c r="AH67" s="168">
        <f t="shared" si="23"/>
        <v>0</v>
      </c>
      <c r="AI67" s="168">
        <f>P16</f>
        <v>0</v>
      </c>
    </row>
    <row r="68" spans="1:35">
      <c r="A68" s="310"/>
      <c r="B68" t="s">
        <v>329</v>
      </c>
      <c r="D68" t="s">
        <v>248</v>
      </c>
      <c r="E68" s="168">
        <f>F17</f>
        <v>0.63826635845108182</v>
      </c>
      <c r="F68" s="168">
        <f t="shared" si="23"/>
        <v>0.63826635845108182</v>
      </c>
      <c r="G68" s="168">
        <f t="shared" si="23"/>
        <v>0.63826635845108182</v>
      </c>
      <c r="H68" s="168">
        <f t="shared" si="23"/>
        <v>0.63826635845108182</v>
      </c>
      <c r="I68" s="168">
        <f t="shared" si="23"/>
        <v>0.63826635845108182</v>
      </c>
      <c r="J68" s="168">
        <f t="shared" si="23"/>
        <v>0.63826635845108182</v>
      </c>
      <c r="K68" s="168">
        <f t="shared" si="23"/>
        <v>0.63826635845108182</v>
      </c>
      <c r="L68" s="168">
        <f t="shared" si="23"/>
        <v>0.63826635845108182</v>
      </c>
      <c r="M68" s="168">
        <f t="shared" si="23"/>
        <v>0.63826635845108182</v>
      </c>
      <c r="N68" s="168">
        <f t="shared" si="23"/>
        <v>0.63826635845108182</v>
      </c>
      <c r="O68" s="168">
        <f t="shared" si="23"/>
        <v>0.63826635845108182</v>
      </c>
      <c r="P68" s="168">
        <f t="shared" si="23"/>
        <v>0.63826635845108182</v>
      </c>
      <c r="Q68" s="168">
        <f t="shared" si="23"/>
        <v>0.63826635845108182</v>
      </c>
      <c r="R68" s="168">
        <f t="shared" si="23"/>
        <v>0.63826635845108182</v>
      </c>
      <c r="S68" s="168">
        <f t="shared" si="23"/>
        <v>0.63826635845108182</v>
      </c>
      <c r="T68" s="168">
        <f t="shared" si="23"/>
        <v>0.63826635845108182</v>
      </c>
      <c r="U68" s="168">
        <f t="shared" si="23"/>
        <v>0.63826635845108182</v>
      </c>
      <c r="V68" s="168">
        <f t="shared" si="23"/>
        <v>0.63826635845108182</v>
      </c>
      <c r="W68" s="168">
        <f t="shared" si="23"/>
        <v>0.63826635845108182</v>
      </c>
      <c r="X68" s="168">
        <f t="shared" si="23"/>
        <v>0.63826635845108182</v>
      </c>
      <c r="Y68" s="168">
        <f t="shared" si="23"/>
        <v>0.63826635845108182</v>
      </c>
      <c r="Z68" s="168">
        <f t="shared" si="23"/>
        <v>0.63826635845108182</v>
      </c>
      <c r="AA68" s="168">
        <f t="shared" si="23"/>
        <v>0.63826635845108182</v>
      </c>
      <c r="AB68" s="168">
        <f t="shared" si="23"/>
        <v>0.63826635845108182</v>
      </c>
      <c r="AC68" s="168">
        <f t="shared" si="23"/>
        <v>0.63826635845108182</v>
      </c>
      <c r="AD68" s="168">
        <f t="shared" si="23"/>
        <v>0.63826635845108182</v>
      </c>
      <c r="AE68" s="168">
        <f t="shared" si="23"/>
        <v>0.63826635845108182</v>
      </c>
      <c r="AF68" s="168">
        <f t="shared" si="23"/>
        <v>0.63826635845108182</v>
      </c>
      <c r="AG68" s="168">
        <f t="shared" si="23"/>
        <v>0.63826635845108182</v>
      </c>
      <c r="AH68" s="168">
        <f t="shared" si="23"/>
        <v>0.63826635845108182</v>
      </c>
      <c r="AI68" s="168">
        <f>P17</f>
        <v>0.63826635845108182</v>
      </c>
    </row>
    <row r="69" spans="1:35" s="67" customFormat="1">
      <c r="A69" s="307"/>
      <c r="B69" s="67" t="s">
        <v>369</v>
      </c>
      <c r="C69" s="67" t="s">
        <v>1746</v>
      </c>
      <c r="D69" t="s">
        <v>474</v>
      </c>
      <c r="E69" s="201">
        <f>D21</f>
        <v>0</v>
      </c>
      <c r="F69" s="201">
        <f t="shared" si="23"/>
        <v>2.1800810171380903E-2</v>
      </c>
      <c r="G69" s="201">
        <f t="shared" si="23"/>
        <v>4.3601620342761806E-2</v>
      </c>
      <c r="H69" s="201">
        <f t="shared" si="23"/>
        <v>6.5402430514142712E-2</v>
      </c>
      <c r="I69" s="201">
        <f t="shared" si="23"/>
        <v>8.7203240685523611E-2</v>
      </c>
      <c r="J69" s="201">
        <f t="shared" si="23"/>
        <v>0.10900405085690451</v>
      </c>
      <c r="K69" s="201">
        <f t="shared" si="23"/>
        <v>0.13080486102828542</v>
      </c>
      <c r="L69" s="201">
        <f t="shared" si="23"/>
        <v>0.15260567119966634</v>
      </c>
      <c r="M69" s="201">
        <f t="shared" si="23"/>
        <v>0.17440648137104725</v>
      </c>
      <c r="N69" s="201">
        <f t="shared" si="23"/>
        <v>0.19620729154242816</v>
      </c>
      <c r="O69" s="201">
        <f t="shared" si="23"/>
        <v>0.21800810171380908</v>
      </c>
      <c r="P69" s="201">
        <f t="shared" si="23"/>
        <v>0.23980891188518999</v>
      </c>
      <c r="Q69" s="201">
        <f t="shared" si="23"/>
        <v>0.2616097220565709</v>
      </c>
      <c r="R69" s="201">
        <f t="shared" si="23"/>
        <v>0.28341053222795182</v>
      </c>
      <c r="S69" s="201">
        <f t="shared" si="23"/>
        <v>0.30521134239933273</v>
      </c>
      <c r="T69" s="201">
        <f t="shared" si="23"/>
        <v>0.32701215257071364</v>
      </c>
      <c r="U69" s="201">
        <f t="shared" si="23"/>
        <v>0.34881296274209456</v>
      </c>
      <c r="V69" s="201">
        <f t="shared" si="23"/>
        <v>0.37061377291347547</v>
      </c>
      <c r="W69" s="201">
        <f t="shared" si="23"/>
        <v>0.39241458308485638</v>
      </c>
      <c r="X69" s="201">
        <f t="shared" si="23"/>
        <v>0.4142153932562373</v>
      </c>
      <c r="Y69" s="201">
        <f t="shared" si="23"/>
        <v>0.43601620342761821</v>
      </c>
      <c r="Z69" s="201">
        <f t="shared" si="23"/>
        <v>0.45781701359899912</v>
      </c>
      <c r="AA69" s="201">
        <f t="shared" si="23"/>
        <v>0.47961782377038004</v>
      </c>
      <c r="AB69" s="201">
        <f t="shared" si="23"/>
        <v>0.50141863394176089</v>
      </c>
      <c r="AC69" s="201">
        <f t="shared" si="23"/>
        <v>0.52321944411314181</v>
      </c>
      <c r="AD69" s="201">
        <f t="shared" si="23"/>
        <v>0.54502025428452272</v>
      </c>
      <c r="AE69" s="201">
        <f t="shared" si="23"/>
        <v>0.56682106445590363</v>
      </c>
      <c r="AF69" s="201">
        <f t="shared" si="23"/>
        <v>0.58862187462728455</v>
      </c>
      <c r="AG69" s="201">
        <f t="shared" si="23"/>
        <v>0.61042268479866546</v>
      </c>
      <c r="AH69" s="201">
        <f t="shared" si="23"/>
        <v>0.63222349497004637</v>
      </c>
      <c r="AI69" s="201">
        <f>N21</f>
        <v>0.65402430514142706</v>
      </c>
    </row>
    <row r="70" spans="1:35">
      <c r="A70" s="310"/>
      <c r="B70" t="s">
        <v>369</v>
      </c>
      <c r="C70" t="s">
        <v>1746</v>
      </c>
      <c r="D70" t="s">
        <v>745</v>
      </c>
      <c r="E70" s="168">
        <f>D22</f>
        <v>0.63527312382274215</v>
      </c>
      <c r="F70" s="168">
        <f t="shared" si="23"/>
        <v>0.6209255683169117</v>
      </c>
      <c r="G70" s="168">
        <f t="shared" si="23"/>
        <v>0.60657801281108126</v>
      </c>
      <c r="H70" s="168">
        <f t="shared" si="23"/>
        <v>0.59223045730525081</v>
      </c>
      <c r="I70" s="168">
        <f t="shared" si="23"/>
        <v>0.57788290179942037</v>
      </c>
      <c r="J70" s="168">
        <f t="shared" si="23"/>
        <v>0.56353534629358992</v>
      </c>
      <c r="K70" s="168">
        <f t="shared" si="23"/>
        <v>0.54918779078775948</v>
      </c>
      <c r="L70" s="168">
        <f t="shared" si="23"/>
        <v>0.53484023528192903</v>
      </c>
      <c r="M70" s="168">
        <f t="shared" si="23"/>
        <v>0.52049267977609859</v>
      </c>
      <c r="N70" s="168">
        <f t="shared" si="23"/>
        <v>0.50614512427026814</v>
      </c>
      <c r="O70" s="168">
        <f t="shared" si="23"/>
        <v>0.49179756876443775</v>
      </c>
      <c r="P70" s="168">
        <f t="shared" si="23"/>
        <v>0.47745001325860736</v>
      </c>
      <c r="Q70" s="168">
        <f t="shared" si="23"/>
        <v>0.46310245775277697</v>
      </c>
      <c r="R70" s="168">
        <f t="shared" si="23"/>
        <v>0.44875490224694659</v>
      </c>
      <c r="S70" s="168">
        <f t="shared" si="23"/>
        <v>0.4344073467411162</v>
      </c>
      <c r="T70" s="168">
        <f t="shared" si="23"/>
        <v>0.42005979123528581</v>
      </c>
      <c r="U70" s="168">
        <f t="shared" si="23"/>
        <v>0.40571223572945542</v>
      </c>
      <c r="V70" s="168">
        <f t="shared" si="23"/>
        <v>0.39136468022362503</v>
      </c>
      <c r="W70" s="168">
        <f t="shared" si="23"/>
        <v>0.37701712471779464</v>
      </c>
      <c r="X70" s="168">
        <f t="shared" si="23"/>
        <v>0.36266956921196425</v>
      </c>
      <c r="Y70" s="168">
        <f t="shared" si="23"/>
        <v>0.34832201370613386</v>
      </c>
      <c r="Z70" s="168">
        <f t="shared" si="23"/>
        <v>0.33397445820030347</v>
      </c>
      <c r="AA70" s="168">
        <f t="shared" si="23"/>
        <v>0.31962690269447308</v>
      </c>
      <c r="AB70" s="168">
        <f t="shared" si="23"/>
        <v>0.30527934718864269</v>
      </c>
      <c r="AC70" s="168">
        <f t="shared" si="23"/>
        <v>0.2909317916828123</v>
      </c>
      <c r="AD70" s="168">
        <f t="shared" si="23"/>
        <v>0.27658423617698191</v>
      </c>
      <c r="AE70" s="168">
        <f t="shared" si="23"/>
        <v>0.26223668067115152</v>
      </c>
      <c r="AF70" s="168">
        <f t="shared" si="23"/>
        <v>0.24788912516532111</v>
      </c>
      <c r="AG70" s="168">
        <f t="shared" si="23"/>
        <v>0.23354156965949069</v>
      </c>
      <c r="AH70" s="168">
        <f t="shared" si="23"/>
        <v>0.21919401415366027</v>
      </c>
      <c r="AI70" s="168">
        <f>N22</f>
        <v>0.20484645864782999</v>
      </c>
    </row>
    <row r="71" spans="1:35">
      <c r="A71" s="310"/>
      <c r="B71" t="s">
        <v>369</v>
      </c>
      <c r="C71" t="s">
        <v>1746</v>
      </c>
      <c r="D71" t="s">
        <v>248</v>
      </c>
      <c r="E71" s="168">
        <f>D23</f>
        <v>0.36472687617725791</v>
      </c>
      <c r="F71" s="168">
        <f t="shared" si="23"/>
        <v>0.35727362151170738</v>
      </c>
      <c r="G71" s="168">
        <f t="shared" si="23"/>
        <v>0.34982036684615686</v>
      </c>
      <c r="H71" s="168">
        <f t="shared" si="23"/>
        <v>0.34236711218060634</v>
      </c>
      <c r="I71" s="168">
        <f t="shared" si="23"/>
        <v>0.33491385751505581</v>
      </c>
      <c r="J71" s="168">
        <f t="shared" si="23"/>
        <v>0.32746060284950529</v>
      </c>
      <c r="K71" s="168">
        <f t="shared" si="23"/>
        <v>0.32000734818395477</v>
      </c>
      <c r="L71" s="168">
        <f t="shared" si="23"/>
        <v>0.31255409351840424</v>
      </c>
      <c r="M71" s="168">
        <f t="shared" si="23"/>
        <v>0.30510083885285372</v>
      </c>
      <c r="N71" s="168">
        <f t="shared" si="23"/>
        <v>0.29764758418730319</v>
      </c>
      <c r="O71" s="168">
        <f t="shared" si="23"/>
        <v>0.29019432952175267</v>
      </c>
      <c r="P71" s="168">
        <f t="shared" si="23"/>
        <v>0.28274107485620215</v>
      </c>
      <c r="Q71" s="168">
        <f t="shared" si="23"/>
        <v>0.27528782019065162</v>
      </c>
      <c r="R71" s="168">
        <f t="shared" si="23"/>
        <v>0.2678345655251011</v>
      </c>
      <c r="S71" s="168">
        <f t="shared" si="23"/>
        <v>0.26038131085955057</v>
      </c>
      <c r="T71" s="168">
        <f t="shared" si="23"/>
        <v>0.25292805619400005</v>
      </c>
      <c r="U71" s="168">
        <f t="shared" si="23"/>
        <v>0.24547480152844955</v>
      </c>
      <c r="V71" s="168">
        <f t="shared" si="23"/>
        <v>0.23802154686289906</v>
      </c>
      <c r="W71" s="168">
        <f t="shared" si="23"/>
        <v>0.23056829219734856</v>
      </c>
      <c r="X71" s="168">
        <f t="shared" si="23"/>
        <v>0.22311503753179807</v>
      </c>
      <c r="Y71" s="168">
        <f t="shared" si="23"/>
        <v>0.21566178286624757</v>
      </c>
      <c r="Z71" s="168">
        <f t="shared" si="23"/>
        <v>0.20820852820069707</v>
      </c>
      <c r="AA71" s="168">
        <f t="shared" si="23"/>
        <v>0.20075527353514658</v>
      </c>
      <c r="AB71" s="168">
        <f t="shared" si="23"/>
        <v>0.19330201886959608</v>
      </c>
      <c r="AC71" s="168">
        <f t="shared" si="23"/>
        <v>0.18584876420404559</v>
      </c>
      <c r="AD71" s="168">
        <f t="shared" si="23"/>
        <v>0.17839550953849509</v>
      </c>
      <c r="AE71" s="168">
        <f t="shared" si="23"/>
        <v>0.17094225487294459</v>
      </c>
      <c r="AF71" s="168">
        <f t="shared" si="23"/>
        <v>0.1634890002073941</v>
      </c>
      <c r="AG71" s="168">
        <f t="shared" si="23"/>
        <v>0.1560357455418436</v>
      </c>
      <c r="AH71" s="168">
        <f t="shared" si="23"/>
        <v>0.14858249087629311</v>
      </c>
      <c r="AI71" s="168">
        <f>N23</f>
        <v>0.1411292362107428</v>
      </c>
    </row>
    <row r="72" spans="1:35" s="67" customFormat="1">
      <c r="A72" s="307"/>
      <c r="B72" s="67" t="s">
        <v>248</v>
      </c>
      <c r="C72" s="67" t="s">
        <v>1746</v>
      </c>
      <c r="D72" t="s">
        <v>474</v>
      </c>
      <c r="E72" s="201">
        <f>D27</f>
        <v>0</v>
      </c>
      <c r="F72" s="201">
        <f t="shared" ref="F72:AH74" si="24">-($E72-$AI72)/30+E72</f>
        <v>0</v>
      </c>
      <c r="G72" s="201">
        <f t="shared" si="24"/>
        <v>0</v>
      </c>
      <c r="H72" s="201">
        <f t="shared" si="24"/>
        <v>0</v>
      </c>
      <c r="I72" s="201">
        <f t="shared" si="24"/>
        <v>0</v>
      </c>
      <c r="J72" s="201">
        <f t="shared" si="24"/>
        <v>0</v>
      </c>
      <c r="K72" s="201">
        <f t="shared" si="24"/>
        <v>0</v>
      </c>
      <c r="L72" s="201">
        <f t="shared" si="24"/>
        <v>0</v>
      </c>
      <c r="M72" s="201">
        <f t="shared" si="24"/>
        <v>0</v>
      </c>
      <c r="N72" s="201">
        <f t="shared" si="24"/>
        <v>0</v>
      </c>
      <c r="O72" s="201">
        <f t="shared" si="24"/>
        <v>0</v>
      </c>
      <c r="P72" s="201">
        <f t="shared" si="24"/>
        <v>0</v>
      </c>
      <c r="Q72" s="201">
        <f t="shared" si="24"/>
        <v>0</v>
      </c>
      <c r="R72" s="201">
        <f t="shared" si="24"/>
        <v>0</v>
      </c>
      <c r="S72" s="201">
        <f t="shared" si="24"/>
        <v>0</v>
      </c>
      <c r="T72" s="201">
        <f t="shared" si="24"/>
        <v>0</v>
      </c>
      <c r="U72" s="201">
        <f t="shared" si="24"/>
        <v>0</v>
      </c>
      <c r="V72" s="201">
        <f t="shared" si="24"/>
        <v>0</v>
      </c>
      <c r="W72" s="201">
        <f t="shared" si="24"/>
        <v>0</v>
      </c>
      <c r="X72" s="201">
        <f t="shared" si="24"/>
        <v>0</v>
      </c>
      <c r="Y72" s="201">
        <f t="shared" si="24"/>
        <v>0</v>
      </c>
      <c r="Z72" s="201">
        <f t="shared" si="24"/>
        <v>0</v>
      </c>
      <c r="AA72" s="201">
        <f t="shared" si="24"/>
        <v>0</v>
      </c>
      <c r="AB72" s="201">
        <f t="shared" si="24"/>
        <v>0</v>
      </c>
      <c r="AC72" s="201">
        <f t="shared" si="24"/>
        <v>0</v>
      </c>
      <c r="AD72" s="201">
        <f t="shared" si="24"/>
        <v>0</v>
      </c>
      <c r="AE72" s="201">
        <f t="shared" si="24"/>
        <v>0</v>
      </c>
      <c r="AF72" s="201">
        <f t="shared" si="24"/>
        <v>0</v>
      </c>
      <c r="AG72" s="201">
        <f t="shared" si="24"/>
        <v>0</v>
      </c>
      <c r="AH72" s="201">
        <f t="shared" si="24"/>
        <v>0</v>
      </c>
      <c r="AI72" s="201">
        <f>N27</f>
        <v>0</v>
      </c>
    </row>
    <row r="73" spans="1:35">
      <c r="A73" s="310"/>
      <c r="B73" t="s">
        <v>248</v>
      </c>
      <c r="C73" t="s">
        <v>1746</v>
      </c>
      <c r="D73" t="s">
        <v>745</v>
      </c>
      <c r="E73" s="168">
        <f>D28</f>
        <v>0.30872851836327631</v>
      </c>
      <c r="F73" s="168">
        <f t="shared" si="24"/>
        <v>0.30872851836327631</v>
      </c>
      <c r="G73" s="168">
        <f t="shared" si="24"/>
        <v>0.30872851836327631</v>
      </c>
      <c r="H73" s="168">
        <f t="shared" si="24"/>
        <v>0.30872851836327631</v>
      </c>
      <c r="I73" s="168">
        <f t="shared" si="24"/>
        <v>0.30872851836327631</v>
      </c>
      <c r="J73" s="168">
        <f t="shared" si="24"/>
        <v>0.30872851836327631</v>
      </c>
      <c r="K73" s="168">
        <f t="shared" si="24"/>
        <v>0.30872851836327631</v>
      </c>
      <c r="L73" s="168">
        <f t="shared" si="24"/>
        <v>0.30872851836327631</v>
      </c>
      <c r="M73" s="168">
        <f t="shared" si="24"/>
        <v>0.30872851836327631</v>
      </c>
      <c r="N73" s="168">
        <f t="shared" si="24"/>
        <v>0.30872851836327631</v>
      </c>
      <c r="O73" s="168">
        <f t="shared" si="24"/>
        <v>0.30872851836327631</v>
      </c>
      <c r="P73" s="168">
        <f t="shared" si="24"/>
        <v>0.30872851836327631</v>
      </c>
      <c r="Q73" s="168">
        <f t="shared" si="24"/>
        <v>0.30872851836327631</v>
      </c>
      <c r="R73" s="168">
        <f t="shared" si="24"/>
        <v>0.30872851836327631</v>
      </c>
      <c r="S73" s="168">
        <f t="shared" si="24"/>
        <v>0.30872851836327631</v>
      </c>
      <c r="T73" s="168">
        <f t="shared" si="24"/>
        <v>0.30872851836327631</v>
      </c>
      <c r="U73" s="168">
        <f t="shared" si="24"/>
        <v>0.30872851836327631</v>
      </c>
      <c r="V73" s="168">
        <f t="shared" si="24"/>
        <v>0.30872851836327631</v>
      </c>
      <c r="W73" s="168">
        <f t="shared" si="24"/>
        <v>0.30872851836327631</v>
      </c>
      <c r="X73" s="168">
        <f t="shared" si="24"/>
        <v>0.30872851836327631</v>
      </c>
      <c r="Y73" s="168">
        <f t="shared" si="24"/>
        <v>0.30872851836327631</v>
      </c>
      <c r="Z73" s="168">
        <f t="shared" si="24"/>
        <v>0.30872851836327631</v>
      </c>
      <c r="AA73" s="168">
        <f t="shared" si="24"/>
        <v>0.30872851836327631</v>
      </c>
      <c r="AB73" s="168">
        <f t="shared" si="24"/>
        <v>0.30872851836327631</v>
      </c>
      <c r="AC73" s="168">
        <f t="shared" si="24"/>
        <v>0.30872851836327631</v>
      </c>
      <c r="AD73" s="168">
        <f t="shared" si="24"/>
        <v>0.30872851836327631</v>
      </c>
      <c r="AE73" s="168">
        <f t="shared" si="24"/>
        <v>0.30872851836327631</v>
      </c>
      <c r="AF73" s="168">
        <f t="shared" si="24"/>
        <v>0.30872851836327631</v>
      </c>
      <c r="AG73" s="168">
        <f t="shared" si="24"/>
        <v>0.30872851836327631</v>
      </c>
      <c r="AH73" s="168">
        <f t="shared" si="24"/>
        <v>0.30872851836327631</v>
      </c>
      <c r="AI73" s="168">
        <f>N28</f>
        <v>0.30872851836327631</v>
      </c>
    </row>
    <row r="74" spans="1:35">
      <c r="A74" s="310"/>
      <c r="B74" t="s">
        <v>248</v>
      </c>
      <c r="C74" t="s">
        <v>1746</v>
      </c>
      <c r="D74" t="s">
        <v>248</v>
      </c>
      <c r="E74" s="168">
        <f>D29</f>
        <v>0.69127148163672369</v>
      </c>
      <c r="F74" s="168">
        <f t="shared" si="24"/>
        <v>0.69127148163672369</v>
      </c>
      <c r="G74" s="168">
        <f t="shared" si="24"/>
        <v>0.69127148163672369</v>
      </c>
      <c r="H74" s="168">
        <f t="shared" si="24"/>
        <v>0.69127148163672369</v>
      </c>
      <c r="I74" s="168">
        <f t="shared" si="24"/>
        <v>0.69127148163672369</v>
      </c>
      <c r="J74" s="168">
        <f t="shared" si="24"/>
        <v>0.69127148163672369</v>
      </c>
      <c r="K74" s="168">
        <f t="shared" si="24"/>
        <v>0.69127148163672369</v>
      </c>
      <c r="L74" s="168">
        <f t="shared" si="24"/>
        <v>0.69127148163672369</v>
      </c>
      <c r="M74" s="168">
        <f t="shared" si="24"/>
        <v>0.69127148163672369</v>
      </c>
      <c r="N74" s="168">
        <f t="shared" si="24"/>
        <v>0.69127148163672369</v>
      </c>
      <c r="O74" s="168">
        <f t="shared" si="24"/>
        <v>0.69127148163672369</v>
      </c>
      <c r="P74" s="168">
        <f t="shared" si="24"/>
        <v>0.69127148163672369</v>
      </c>
      <c r="Q74" s="168">
        <f t="shared" si="24"/>
        <v>0.69127148163672369</v>
      </c>
      <c r="R74" s="168">
        <f t="shared" si="24"/>
        <v>0.69127148163672369</v>
      </c>
      <c r="S74" s="168">
        <f t="shared" si="24"/>
        <v>0.69127148163672369</v>
      </c>
      <c r="T74" s="168">
        <f t="shared" si="24"/>
        <v>0.69127148163672369</v>
      </c>
      <c r="U74" s="168">
        <f t="shared" si="24"/>
        <v>0.69127148163672369</v>
      </c>
      <c r="V74" s="168">
        <f t="shared" si="24"/>
        <v>0.69127148163672369</v>
      </c>
      <c r="W74" s="168">
        <f t="shared" si="24"/>
        <v>0.69127148163672369</v>
      </c>
      <c r="X74" s="168">
        <f t="shared" si="24"/>
        <v>0.69127148163672369</v>
      </c>
      <c r="Y74" s="168">
        <f t="shared" si="24"/>
        <v>0.69127148163672369</v>
      </c>
      <c r="Z74" s="168">
        <f t="shared" si="24"/>
        <v>0.69127148163672369</v>
      </c>
      <c r="AA74" s="168">
        <f t="shared" si="24"/>
        <v>0.69127148163672369</v>
      </c>
      <c r="AB74" s="168">
        <f t="shared" si="24"/>
        <v>0.69127148163672369</v>
      </c>
      <c r="AC74" s="168">
        <f t="shared" si="24"/>
        <v>0.69127148163672369</v>
      </c>
      <c r="AD74" s="168">
        <f t="shared" si="24"/>
        <v>0.69127148163672369</v>
      </c>
      <c r="AE74" s="168">
        <f t="shared" si="24"/>
        <v>0.69127148163672369</v>
      </c>
      <c r="AF74" s="168">
        <f t="shared" si="24"/>
        <v>0.69127148163672369</v>
      </c>
      <c r="AG74" s="168">
        <f t="shared" si="24"/>
        <v>0.69127148163672369</v>
      </c>
      <c r="AH74" s="168">
        <f t="shared" si="24"/>
        <v>0.69127148163672369</v>
      </c>
      <c r="AI74" s="168">
        <f>N29</f>
        <v>0.69127148163672369</v>
      </c>
    </row>
  </sheetData>
  <mergeCells count="5">
    <mergeCell ref="I21:I23"/>
    <mergeCell ref="I27:I29"/>
    <mergeCell ref="J3:J5"/>
    <mergeCell ref="I9:I11"/>
    <mergeCell ref="I15:I17"/>
  </mergeCells>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83F3-D692-47A7-96D5-6EDE8331E4A5}">
  <sheetPr>
    <tabColor theme="4"/>
  </sheetPr>
  <dimension ref="A1:AI112"/>
  <sheetViews>
    <sheetView zoomScale="70" zoomScaleNormal="70" workbookViewId="0">
      <selection activeCell="C3" sqref="C3"/>
    </sheetView>
  </sheetViews>
  <sheetFormatPr baseColWidth="10" defaultColWidth="8.83203125" defaultRowHeight="15"/>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c r="B1">
        <v>2020</v>
      </c>
      <c r="K1">
        <v>2050</v>
      </c>
    </row>
    <row r="2" spans="2:35">
      <c r="B2" t="s">
        <v>309</v>
      </c>
      <c r="C2" t="s">
        <v>1746</v>
      </c>
      <c r="D2" t="s">
        <v>1747</v>
      </c>
      <c r="E2" t="s">
        <v>1748</v>
      </c>
      <c r="F2" t="s">
        <v>1749</v>
      </c>
      <c r="G2" t="s">
        <v>1750</v>
      </c>
      <c r="K2" t="s">
        <v>309</v>
      </c>
      <c r="M2" t="s">
        <v>1746</v>
      </c>
      <c r="N2" t="s">
        <v>1747</v>
      </c>
      <c r="O2" t="s">
        <v>1748</v>
      </c>
      <c r="P2" t="s">
        <v>1749</v>
      </c>
      <c r="Q2" t="s">
        <v>1750</v>
      </c>
      <c r="V2" t="s">
        <v>1709</v>
      </c>
    </row>
    <row r="3" spans="2:35">
      <c r="B3" t="s">
        <v>258</v>
      </c>
      <c r="C3" s="2">
        <f t="shared" ref="C3:G4" si="0">V31</f>
        <v>0.92769168914429945</v>
      </c>
      <c r="D3" s="2">
        <f t="shared" si="0"/>
        <v>0</v>
      </c>
      <c r="E3" s="2">
        <f t="shared" si="0"/>
        <v>1</v>
      </c>
      <c r="F3" s="2">
        <f t="shared" si="0"/>
        <v>1</v>
      </c>
      <c r="G3" s="2">
        <f t="shared" si="0"/>
        <v>0.71762870357071562</v>
      </c>
      <c r="I3" s="751" t="s">
        <v>1755</v>
      </c>
      <c r="K3" t="s">
        <v>258</v>
      </c>
      <c r="L3" s="44">
        <f>'Overall recycling rates'!C12*'Overall recycling rates'!C57</f>
        <v>99.065588317623352</v>
      </c>
      <c r="M3" s="2">
        <f>$L3/$L$8</f>
        <v>0.90956628275374496</v>
      </c>
      <c r="N3" s="56">
        <v>0</v>
      </c>
      <c r="O3" s="56">
        <v>1</v>
      </c>
      <c r="P3" s="2">
        <v>0.65</v>
      </c>
      <c r="Q3" s="2">
        <f t="shared" ref="Q3" si="1">$L3/$L$8</f>
        <v>0.90956628275374496</v>
      </c>
      <c r="S3" s="765" t="s">
        <v>1752</v>
      </c>
      <c r="V3" t="s">
        <v>1024</v>
      </c>
      <c r="W3" t="s">
        <v>1710</v>
      </c>
      <c r="X3" t="s">
        <v>1711</v>
      </c>
      <c r="Y3" t="s">
        <v>1712</v>
      </c>
      <c r="Z3" t="s">
        <v>1713</v>
      </c>
      <c r="AA3" t="s">
        <v>370</v>
      </c>
      <c r="AB3" t="s">
        <v>1714</v>
      </c>
      <c r="AC3" t="s">
        <v>1715</v>
      </c>
      <c r="AD3" t="s">
        <v>1716</v>
      </c>
      <c r="AE3" t="s">
        <v>248</v>
      </c>
      <c r="AF3" t="s">
        <v>1717</v>
      </c>
    </row>
    <row r="4" spans="2:35">
      <c r="B4" t="s">
        <v>478</v>
      </c>
      <c r="C4" s="2">
        <f t="shared" si="0"/>
        <v>0</v>
      </c>
      <c r="D4" s="2">
        <f t="shared" si="0"/>
        <v>0</v>
      </c>
      <c r="E4" s="2">
        <f t="shared" si="0"/>
        <v>0</v>
      </c>
      <c r="F4" s="2">
        <f t="shared" si="0"/>
        <v>0</v>
      </c>
      <c r="G4" s="2">
        <f t="shared" si="0"/>
        <v>0.26057170849044342</v>
      </c>
      <c r="I4" s="751"/>
      <c r="K4" t="s">
        <v>478</v>
      </c>
      <c r="L4" s="44">
        <f>'Overall recycling rates'!E57*'Overall recycling rates'!E12/2</f>
        <v>1.991665651901726</v>
      </c>
      <c r="M4" s="2">
        <f t="shared" ref="M4:Q7" si="2">$L4/$L$8</f>
        <v>1.8286389393664958E-2</v>
      </c>
      <c r="N4" s="56">
        <v>0</v>
      </c>
      <c r="O4" s="56">
        <v>0</v>
      </c>
      <c r="P4" s="2">
        <v>0.1</v>
      </c>
      <c r="Q4" s="2">
        <f t="shared" si="2"/>
        <v>1.8286389393664958E-2</v>
      </c>
      <c r="S4" s="765"/>
      <c r="U4" t="s">
        <v>474</v>
      </c>
      <c r="V4" s="420">
        <v>3.0599999999999999E-2</v>
      </c>
      <c r="W4" s="420">
        <v>1.21E-2</v>
      </c>
      <c r="X4" s="420">
        <v>5.4000000000000003E-3</v>
      </c>
      <c r="Y4" s="420">
        <v>1.3899999999999999E-2</v>
      </c>
      <c r="Z4" s="420">
        <v>2.8999999999999998E-3</v>
      </c>
      <c r="AA4" s="420">
        <v>0</v>
      </c>
      <c r="AB4" s="420">
        <v>0</v>
      </c>
      <c r="AC4" s="420">
        <v>0</v>
      </c>
      <c r="AD4" s="420">
        <v>0</v>
      </c>
      <c r="AE4" s="420">
        <v>8.0000000000000004E-4</v>
      </c>
      <c r="AF4" s="420">
        <v>5.1999999999999998E-3</v>
      </c>
      <c r="AG4" s="384"/>
      <c r="AH4" s="384"/>
      <c r="AI4" s="6"/>
    </row>
    <row r="5" spans="2:35">
      <c r="B5" t="s">
        <v>480</v>
      </c>
      <c r="C5" s="56">
        <v>0</v>
      </c>
      <c r="D5" s="56">
        <v>0</v>
      </c>
      <c r="E5" s="56">
        <v>0</v>
      </c>
      <c r="F5" s="56">
        <v>0</v>
      </c>
      <c r="G5" s="56">
        <v>0</v>
      </c>
      <c r="I5" s="751"/>
      <c r="K5" t="s">
        <v>480</v>
      </c>
      <c r="L5" s="44">
        <f>'Overall recycling rates'!F12*'Overall recycling rates'!F57</f>
        <v>2.4296377864760177</v>
      </c>
      <c r="M5" s="2">
        <f t="shared" si="2"/>
        <v>2.2307611022281626E-2</v>
      </c>
      <c r="N5" s="56">
        <v>0</v>
      </c>
      <c r="O5" s="56">
        <v>0</v>
      </c>
      <c r="P5" s="2">
        <v>0.15</v>
      </c>
      <c r="Q5" s="2">
        <f t="shared" si="2"/>
        <v>2.2307611022281626E-2</v>
      </c>
      <c r="S5" s="765"/>
      <c r="U5" t="s">
        <v>472</v>
      </c>
      <c r="V5" s="420">
        <v>0</v>
      </c>
      <c r="W5" s="420">
        <v>1.6000000000000001E-3</v>
      </c>
      <c r="X5" s="420">
        <v>0</v>
      </c>
      <c r="Y5" s="420">
        <v>0</v>
      </c>
      <c r="Z5" s="420">
        <v>1.8200000000000001E-2</v>
      </c>
      <c r="AA5" s="420">
        <v>3.3999999999999998E-3</v>
      </c>
      <c r="AB5" s="420">
        <v>0.02</v>
      </c>
      <c r="AC5" s="420">
        <v>1.9900000000000001E-2</v>
      </c>
      <c r="AD5" s="420">
        <v>0</v>
      </c>
      <c r="AE5" s="420">
        <v>1.6000000000000001E-3</v>
      </c>
      <c r="AF5" s="420">
        <v>7.6E-3</v>
      </c>
      <c r="AG5" s="384"/>
      <c r="AH5" s="384"/>
      <c r="AI5" s="384"/>
    </row>
    <row r="6" spans="2:35">
      <c r="B6" t="s">
        <v>474</v>
      </c>
      <c r="C6" s="2">
        <f>V33</f>
        <v>7.2308310855700428E-2</v>
      </c>
      <c r="D6" s="2">
        <f>W33</f>
        <v>1</v>
      </c>
      <c r="E6" s="2">
        <f>X33</f>
        <v>0</v>
      </c>
      <c r="F6" s="2">
        <f>Y33</f>
        <v>0</v>
      </c>
      <c r="G6" s="2">
        <f>Z33</f>
        <v>2.1799587938840969E-2</v>
      </c>
      <c r="I6" s="751"/>
      <c r="K6" t="s">
        <v>474</v>
      </c>
      <c r="L6" s="44">
        <f>'Overall recycling rates'!G12*'Overall recycling rates'!G57</f>
        <v>5.319836464491801</v>
      </c>
      <c r="M6" s="2">
        <f t="shared" si="2"/>
        <v>4.8843841338242371E-2</v>
      </c>
      <c r="N6" s="56">
        <v>1</v>
      </c>
      <c r="O6" s="56">
        <v>0</v>
      </c>
      <c r="P6" s="2">
        <v>0.05</v>
      </c>
      <c r="Q6" s="2">
        <f t="shared" si="2"/>
        <v>4.8843841338242371E-2</v>
      </c>
      <c r="S6" s="765"/>
      <c r="U6" t="s">
        <v>477</v>
      </c>
      <c r="V6" s="420">
        <v>0</v>
      </c>
      <c r="W6" s="420">
        <v>0</v>
      </c>
      <c r="X6" s="420">
        <v>0</v>
      </c>
      <c r="Y6" s="420">
        <v>0</v>
      </c>
      <c r="Z6" s="420">
        <v>0</v>
      </c>
      <c r="AA6" s="420">
        <v>0</v>
      </c>
      <c r="AB6" s="420">
        <v>0</v>
      </c>
      <c r="AC6" s="420">
        <v>1.5800000000000002E-2</v>
      </c>
      <c r="AD6" s="420">
        <v>0</v>
      </c>
      <c r="AE6" s="420">
        <v>0</v>
      </c>
      <c r="AF6" s="420">
        <v>2.3999999999999998E-3</v>
      </c>
      <c r="AG6" s="384"/>
      <c r="AH6" s="384"/>
      <c r="AI6" s="6"/>
    </row>
    <row r="7" spans="2:35">
      <c r="B7" t="s">
        <v>248</v>
      </c>
      <c r="C7" s="56">
        <v>0</v>
      </c>
      <c r="D7" s="56">
        <v>0</v>
      </c>
      <c r="E7" s="56">
        <v>0</v>
      </c>
      <c r="F7" s="56">
        <v>0</v>
      </c>
      <c r="G7" s="56">
        <v>0</v>
      </c>
      <c r="I7" s="751"/>
      <c r="K7" t="s">
        <v>248</v>
      </c>
      <c r="L7" s="44">
        <f>'Overall recycling rates'!I12*'Overall recycling rates'!I57</f>
        <v>0.10846597261053653</v>
      </c>
      <c r="M7" s="2">
        <f t="shared" si="2"/>
        <v>9.9587549206614414E-4</v>
      </c>
      <c r="N7" s="56">
        <f t="shared" si="2"/>
        <v>9.9587549206614414E-4</v>
      </c>
      <c r="O7" s="56">
        <v>0</v>
      </c>
      <c r="P7" s="2">
        <v>0.05</v>
      </c>
      <c r="Q7" s="2">
        <f t="shared" si="2"/>
        <v>9.9587549206614414E-4</v>
      </c>
      <c r="S7" s="765"/>
      <c r="U7" t="s">
        <v>473</v>
      </c>
      <c r="V7" s="420">
        <v>0</v>
      </c>
      <c r="W7" s="420">
        <v>8.9999999999999993E-3</v>
      </c>
      <c r="X7" s="420">
        <v>0</v>
      </c>
      <c r="Y7" s="420">
        <v>0</v>
      </c>
      <c r="Z7" s="420">
        <v>0</v>
      </c>
      <c r="AA7" s="420">
        <v>0</v>
      </c>
      <c r="AB7" s="420">
        <v>0</v>
      </c>
      <c r="AC7" s="420">
        <v>0</v>
      </c>
      <c r="AD7" s="420">
        <v>3.0999999999999999E-3</v>
      </c>
      <c r="AE7" s="420">
        <v>1.5E-3</v>
      </c>
      <c r="AF7" s="420">
        <v>1.1299999999999999E-2</v>
      </c>
      <c r="AG7" s="384"/>
      <c r="AH7" s="384"/>
    </row>
    <row r="8" spans="2:35">
      <c r="C8" s="2">
        <f>SUM(C3:C7)</f>
        <v>0.99999999999999989</v>
      </c>
      <c r="D8" s="2">
        <f t="shared" ref="D8:G8" si="3">SUM(D3:D7)</f>
        <v>1</v>
      </c>
      <c r="E8" s="2">
        <f t="shared" si="3"/>
        <v>1</v>
      </c>
      <c r="F8" s="2">
        <f t="shared" si="3"/>
        <v>1</v>
      </c>
      <c r="G8" s="2">
        <f t="shared" si="3"/>
        <v>1</v>
      </c>
      <c r="I8" s="751"/>
      <c r="L8" s="44">
        <f>SUM(L3:L7)</f>
        <v>108.91519419310343</v>
      </c>
      <c r="M8" s="2">
        <f>SUM(M3:M7)</f>
        <v>1</v>
      </c>
      <c r="N8" s="2">
        <f t="shared" ref="N8" si="4">SUM(N3:N7)</f>
        <v>1.000995875492066</v>
      </c>
      <c r="O8" s="2">
        <f t="shared" ref="O8" si="5">SUM(O3:O7)</f>
        <v>1</v>
      </c>
      <c r="P8" s="2">
        <f t="shared" ref="P8" si="6">SUM(P3:P7)</f>
        <v>1</v>
      </c>
      <c r="Q8" s="2">
        <f t="shared" ref="Q8" si="7">SUM(Q3:Q7)</f>
        <v>1</v>
      </c>
      <c r="S8" s="765"/>
      <c r="U8" t="s">
        <v>634</v>
      </c>
      <c r="V8" s="420">
        <v>0</v>
      </c>
      <c r="W8" s="420">
        <v>0</v>
      </c>
      <c r="X8" s="420">
        <v>0</v>
      </c>
      <c r="Y8" s="420">
        <v>0</v>
      </c>
      <c r="Z8" s="420">
        <v>0</v>
      </c>
      <c r="AA8" s="420">
        <v>0</v>
      </c>
      <c r="AB8" s="420">
        <v>0</v>
      </c>
      <c r="AC8" s="420">
        <v>0</v>
      </c>
      <c r="AD8" s="420">
        <v>0</v>
      </c>
      <c r="AE8" s="420">
        <v>0</v>
      </c>
      <c r="AF8" s="420">
        <v>2.0000000000000001E-4</v>
      </c>
      <c r="AG8" s="384"/>
      <c r="AH8" s="384"/>
      <c r="AI8" s="384"/>
    </row>
    <row r="9" spans="2:35">
      <c r="AG9" s="384"/>
      <c r="AH9" s="384"/>
    </row>
    <row r="10" spans="2:35">
      <c r="B10" t="s">
        <v>370</v>
      </c>
      <c r="D10" t="s">
        <v>1746</v>
      </c>
      <c r="E10" t="s">
        <v>1753</v>
      </c>
      <c r="F10" t="s">
        <v>1754</v>
      </c>
      <c r="G10" t="s">
        <v>1750</v>
      </c>
      <c r="K10" t="s">
        <v>370</v>
      </c>
      <c r="M10" t="s">
        <v>1746</v>
      </c>
      <c r="N10" t="s">
        <v>1753</v>
      </c>
      <c r="O10" t="s">
        <v>1754</v>
      </c>
      <c r="P10" t="s">
        <v>1750</v>
      </c>
      <c r="V10" s="271"/>
    </row>
    <row r="11" spans="2:35">
      <c r="B11" t="s">
        <v>258</v>
      </c>
      <c r="C11" s="256">
        <f>'Overall recycling rates'!C41*'Overall recycling rates'!C57</f>
        <v>6.3524918131924138E-2</v>
      </c>
      <c r="D11" s="2">
        <f>$C11/$C$16</f>
        <v>0.80683781047114178</v>
      </c>
      <c r="E11" s="2">
        <f t="shared" ref="E11:G15" si="8">$C11/$C$16</f>
        <v>0.80683781047114178</v>
      </c>
      <c r="F11" s="2">
        <f t="shared" si="8"/>
        <v>0.80683781047114178</v>
      </c>
      <c r="G11" s="2">
        <f t="shared" si="8"/>
        <v>0.80683781047114178</v>
      </c>
      <c r="I11" s="764" t="s">
        <v>1751</v>
      </c>
      <c r="K11" t="s">
        <v>258</v>
      </c>
      <c r="L11" s="44">
        <f>'Overall recycling rates'!C14*'Overall recycling rates'!C57</f>
        <v>1.853728137645825</v>
      </c>
      <c r="M11" s="2">
        <f>$L11/$L$16</f>
        <v>0.71747448979591832</v>
      </c>
      <c r="N11" s="2">
        <f t="shared" ref="N11:P11" si="9">$L11/$L$16</f>
        <v>0.71747448979591832</v>
      </c>
      <c r="O11" s="2">
        <f t="shared" si="9"/>
        <v>0.71747448979591832</v>
      </c>
      <c r="P11" s="2">
        <f t="shared" si="9"/>
        <v>0.71747448979591832</v>
      </c>
      <c r="S11" s="765" t="s">
        <v>1752</v>
      </c>
      <c r="U11" t="s">
        <v>1718</v>
      </c>
      <c r="V11" t="s">
        <v>324</v>
      </c>
      <c r="W11" t="s">
        <v>1719</v>
      </c>
      <c r="X11" t="s">
        <v>370</v>
      </c>
      <c r="Y11" t="s">
        <v>369</v>
      </c>
      <c r="Z11" t="s">
        <v>248</v>
      </c>
      <c r="AA11" t="s">
        <v>1717</v>
      </c>
    </row>
    <row r="12" spans="2:35">
      <c r="B12" t="s">
        <v>478</v>
      </c>
      <c r="C12" s="256">
        <f>'Overall recycling rates'!E41*'Overall recycling rates'!E57</f>
        <v>7.8784779611422232E-3</v>
      </c>
      <c r="D12" s="2">
        <f t="shared" ref="D12:D15" si="10">$C12/$C$16</f>
        <v>0.10006551908988028</v>
      </c>
      <c r="E12" s="2">
        <f t="shared" si="8"/>
        <v>0.10006551908988028</v>
      </c>
      <c r="F12" s="2">
        <f t="shared" si="8"/>
        <v>0.10006551908988028</v>
      </c>
      <c r="G12" s="2">
        <f t="shared" si="8"/>
        <v>0.10006551908988028</v>
      </c>
      <c r="I12" s="764"/>
      <c r="K12" t="s">
        <v>478</v>
      </c>
      <c r="L12" s="44">
        <f>'Overall recycling rates'!E14*'Overall recycling rates'!E57</f>
        <v>0</v>
      </c>
      <c r="M12" s="2">
        <f t="shared" ref="M12:P15" si="11">$L12/$L$16</f>
        <v>0</v>
      </c>
      <c r="N12" s="2">
        <f t="shared" si="11"/>
        <v>0</v>
      </c>
      <c r="O12" s="2">
        <f t="shared" si="11"/>
        <v>0</v>
      </c>
      <c r="P12" s="2">
        <f t="shared" si="11"/>
        <v>0</v>
      </c>
      <c r="S12" s="765"/>
      <c r="U12" t="s">
        <v>258</v>
      </c>
      <c r="V12" s="384">
        <f>SUM(W5,X5,Y5,Z5,AC5,AD5,W7,X7,Y7,Z7,AC7,AD7)</f>
        <v>5.1799999999999999E-2</v>
      </c>
      <c r="W12" s="384">
        <f>V5+V7</f>
        <v>0</v>
      </c>
      <c r="X12" s="384">
        <f>AA5+AA7</f>
        <v>3.3999999999999998E-3</v>
      </c>
      <c r="Y12" s="384">
        <f>AB5+AB7</f>
        <v>0.02</v>
      </c>
      <c r="Z12" s="384">
        <f>AE5+AE7</f>
        <v>3.1000000000000003E-3</v>
      </c>
      <c r="AA12" s="384">
        <f>AF5+AF7</f>
        <v>1.89E-2</v>
      </c>
    </row>
    <row r="13" spans="2:35">
      <c r="B13" t="s">
        <v>480</v>
      </c>
      <c r="C13" s="381">
        <f>'Overall recycling rates'!F41*'Overall recycling rates'!F57</f>
        <v>0</v>
      </c>
      <c r="D13" s="2">
        <f t="shared" si="10"/>
        <v>0</v>
      </c>
      <c r="E13" s="2">
        <f t="shared" si="8"/>
        <v>0</v>
      </c>
      <c r="F13" s="2">
        <f t="shared" si="8"/>
        <v>0</v>
      </c>
      <c r="G13" s="2">
        <f t="shared" si="8"/>
        <v>0</v>
      </c>
      <c r="I13" s="764"/>
      <c r="K13" t="s">
        <v>480</v>
      </c>
      <c r="L13" s="44">
        <f>'Overall recycling rates'!F14*'Overall recycling rates'!F57</f>
        <v>0.27682340188844323</v>
      </c>
      <c r="M13" s="2">
        <f t="shared" si="11"/>
        <v>0.10714285714285714</v>
      </c>
      <c r="N13" s="2">
        <f t="shared" si="11"/>
        <v>0.10714285714285714</v>
      </c>
      <c r="O13" s="2">
        <f t="shared" si="11"/>
        <v>0.10714285714285714</v>
      </c>
      <c r="P13" s="2">
        <f t="shared" si="11"/>
        <v>0.10714285714285714</v>
      </c>
      <c r="S13" s="765"/>
      <c r="U13" t="s">
        <v>477</v>
      </c>
      <c r="V13" s="384">
        <f>SUM(W6,X6,Y6,Z6,AC6,AD6)</f>
        <v>1.5800000000000002E-2</v>
      </c>
      <c r="W13" s="384">
        <f>V6</f>
        <v>0</v>
      </c>
      <c r="X13" s="384">
        <f>AA6</f>
        <v>0</v>
      </c>
      <c r="Y13" s="384">
        <f>AB6</f>
        <v>0</v>
      </c>
      <c r="Z13" s="384">
        <f>AE6</f>
        <v>0</v>
      </c>
      <c r="AA13" s="384">
        <f>AF6</f>
        <v>2.3999999999999998E-3</v>
      </c>
    </row>
    <row r="14" spans="2:35">
      <c r="B14" t="s">
        <v>474</v>
      </c>
      <c r="C14" s="381">
        <f>'Overall recycling rates'!G41*'Overall recycling rates'!G57</f>
        <v>0</v>
      </c>
      <c r="D14" s="2">
        <f t="shared" si="10"/>
        <v>0</v>
      </c>
      <c r="E14" s="2">
        <f t="shared" si="8"/>
        <v>0</v>
      </c>
      <c r="F14" s="2">
        <f t="shared" si="8"/>
        <v>0</v>
      </c>
      <c r="G14" s="2">
        <f t="shared" si="8"/>
        <v>0</v>
      </c>
      <c r="I14" s="764"/>
      <c r="K14" t="s">
        <v>474</v>
      </c>
      <c r="L14" s="44">
        <f>'Overall recycling rates'!G14*'Overall recycling rates'!G57</f>
        <v>0</v>
      </c>
      <c r="M14" s="2">
        <f t="shared" si="11"/>
        <v>0</v>
      </c>
      <c r="N14" s="2">
        <f t="shared" si="11"/>
        <v>0</v>
      </c>
      <c r="O14" s="2">
        <f t="shared" si="11"/>
        <v>0</v>
      </c>
      <c r="P14" s="2">
        <f t="shared" si="11"/>
        <v>0</v>
      </c>
      <c r="S14" s="765"/>
      <c r="U14" t="s">
        <v>478</v>
      </c>
      <c r="V14" s="384">
        <f>SUM(W8,X8,Y8,Z8,AC8,AD8)</f>
        <v>0</v>
      </c>
      <c r="W14" s="384">
        <f>V8</f>
        <v>0</v>
      </c>
      <c r="X14" s="384">
        <f>AA8</f>
        <v>0</v>
      </c>
      <c r="Y14" s="384">
        <f>AB8</f>
        <v>0</v>
      </c>
      <c r="Z14" s="384">
        <f>AE8</f>
        <v>0</v>
      </c>
      <c r="AA14" s="384">
        <f>AF4</f>
        <v>5.1999999999999998E-3</v>
      </c>
    </row>
    <row r="15" spans="2:35">
      <c r="B15" t="s">
        <v>248</v>
      </c>
      <c r="C15" s="381">
        <f>'Overall recycling rates'!I41*'Overall recycling rates'!I57</f>
        <v>7.3297982459912458E-3</v>
      </c>
      <c r="D15" s="2">
        <f t="shared" si="10"/>
        <v>9.3096670438977888E-2</v>
      </c>
      <c r="E15" s="2">
        <f t="shared" si="8"/>
        <v>9.3096670438977888E-2</v>
      </c>
      <c r="F15" s="2">
        <f t="shared" si="8"/>
        <v>9.3096670438977888E-2</v>
      </c>
      <c r="G15" s="2">
        <f t="shared" si="8"/>
        <v>9.3096670438977888E-2</v>
      </c>
      <c r="I15" s="764"/>
      <c r="K15" t="s">
        <v>248</v>
      </c>
      <c r="L15" s="44">
        <f>'Overall recycling rates'!I14*'Overall recycling rates'!I57</f>
        <v>0.45313354475786832</v>
      </c>
      <c r="M15" s="2">
        <f t="shared" si="11"/>
        <v>0.17538265306122447</v>
      </c>
      <c r="N15" s="2">
        <f t="shared" si="11"/>
        <v>0.17538265306122447</v>
      </c>
      <c r="O15" s="2">
        <f t="shared" si="11"/>
        <v>0.17538265306122447</v>
      </c>
      <c r="P15" s="2">
        <f t="shared" si="11"/>
        <v>0.17538265306122447</v>
      </c>
      <c r="S15" s="765"/>
      <c r="U15" t="s">
        <v>474</v>
      </c>
      <c r="V15" s="384">
        <f>SUM(W4,X4,Y4,Z4,AC4,AD4)</f>
        <v>3.4299999999999997E-2</v>
      </c>
      <c r="W15" s="384">
        <f>V4</f>
        <v>3.0599999999999999E-2</v>
      </c>
      <c r="X15" s="384">
        <f>AA4</f>
        <v>0</v>
      </c>
      <c r="Y15" s="384">
        <f>AB4</f>
        <v>0</v>
      </c>
      <c r="Z15" s="384">
        <f>AE4</f>
        <v>8.0000000000000004E-4</v>
      </c>
      <c r="AA15" s="384">
        <f>AF8</f>
        <v>2.0000000000000001E-4</v>
      </c>
    </row>
    <row r="16" spans="2:35">
      <c r="C16" s="256">
        <f>SUM(C11:C15)</f>
        <v>7.8733194339057608E-2</v>
      </c>
      <c r="D16" s="2">
        <f t="shared" ref="D16" si="12">SUM(D11:D15)</f>
        <v>0.99999999999999989</v>
      </c>
      <c r="E16" s="2">
        <f t="shared" ref="E16" si="13">SUM(E11:E15)</f>
        <v>0.99999999999999989</v>
      </c>
      <c r="F16" s="2">
        <f t="shared" ref="F16:G16" si="14">SUM(F11:F15)</f>
        <v>0.99999999999999989</v>
      </c>
      <c r="G16" s="2">
        <f t="shared" si="14"/>
        <v>0.99999999999999989</v>
      </c>
      <c r="L16" s="44">
        <f>SUM(L11:L15)</f>
        <v>2.5836850842921368</v>
      </c>
      <c r="M16" s="2">
        <f t="shared" ref="M16" si="15">SUM(M11:M15)</f>
        <v>0.99999999999999989</v>
      </c>
      <c r="N16" s="2">
        <f t="shared" ref="N16" si="16">SUM(N11:N15)</f>
        <v>0.99999999999999989</v>
      </c>
      <c r="O16" s="2">
        <f t="shared" ref="O16" si="17">SUM(O11:O15)</f>
        <v>0.99999999999999989</v>
      </c>
      <c r="P16" s="2">
        <f t="shared" ref="P16" si="18">SUM(P11:P15)</f>
        <v>0.99999999999999989</v>
      </c>
      <c r="V16" s="384"/>
      <c r="W16" s="384"/>
      <c r="X16" s="384"/>
      <c r="Y16" s="384"/>
      <c r="Z16" s="384"/>
      <c r="AA16" s="384"/>
    </row>
    <row r="18" spans="2:28">
      <c r="B18" t="s">
        <v>329</v>
      </c>
      <c r="D18" t="s">
        <v>1746</v>
      </c>
      <c r="E18" t="s">
        <v>1749</v>
      </c>
      <c r="F18" t="s">
        <v>1750</v>
      </c>
      <c r="K18" t="s">
        <v>329</v>
      </c>
      <c r="M18" t="s">
        <v>1746</v>
      </c>
      <c r="N18" t="s">
        <v>1749</v>
      </c>
      <c r="O18" t="s">
        <v>1750</v>
      </c>
      <c r="U18" t="s">
        <v>1718</v>
      </c>
      <c r="V18" t="s">
        <v>324</v>
      </c>
      <c r="W18" t="s">
        <v>1719</v>
      </c>
      <c r="X18" t="s">
        <v>370</v>
      </c>
      <c r="Y18" t="s">
        <v>369</v>
      </c>
      <c r="Z18" t="s">
        <v>248</v>
      </c>
      <c r="AB18" t="s">
        <v>1756</v>
      </c>
    </row>
    <row r="19" spans="2:28" ht="14.5" customHeight="1">
      <c r="B19" t="s">
        <v>258</v>
      </c>
      <c r="C19" s="262">
        <v>0</v>
      </c>
      <c r="D19" s="56">
        <v>0</v>
      </c>
      <c r="E19" s="56">
        <v>0</v>
      </c>
      <c r="F19" s="56">
        <v>0</v>
      </c>
      <c r="I19" s="764" t="s">
        <v>1751</v>
      </c>
      <c r="K19" t="s">
        <v>258</v>
      </c>
      <c r="L19" s="44">
        <f>'Overall recycling rates'!C15*'Overall recycling rates'!C57</f>
        <v>0</v>
      </c>
      <c r="M19" s="127">
        <f>$L19/$L$24</f>
        <v>0</v>
      </c>
      <c r="N19" s="127">
        <f t="shared" ref="N19:O19" si="19">$L19/$L$24</f>
        <v>0</v>
      </c>
      <c r="O19" s="127">
        <f t="shared" si="19"/>
        <v>0</v>
      </c>
      <c r="S19" s="765" t="s">
        <v>1752</v>
      </c>
      <c r="U19" t="s">
        <v>258</v>
      </c>
      <c r="V19" s="384">
        <f>V12+$AA12*V12/SUM($V12:$Z12)</f>
        <v>6.4303448275862068E-2</v>
      </c>
      <c r="W19" s="384">
        <f t="shared" ref="W19:Z19" si="20">W12+$AA12*W12/SUM($V12:$Z12)</f>
        <v>0</v>
      </c>
      <c r="X19" s="384">
        <f t="shared" si="20"/>
        <v>4.2206896551724134E-3</v>
      </c>
      <c r="Y19" s="384">
        <f t="shared" si="20"/>
        <v>2.4827586206896551E-2</v>
      </c>
      <c r="Z19" s="384">
        <f t="shared" si="20"/>
        <v>3.8482758620689657E-3</v>
      </c>
      <c r="AA19" s="384"/>
      <c r="AB19" s="6">
        <f>'Demand Breakdown - Ethylene'!E35</f>
        <v>1</v>
      </c>
    </row>
    <row r="20" spans="2:28">
      <c r="B20" t="s">
        <v>478</v>
      </c>
      <c r="C20" s="262">
        <v>0</v>
      </c>
      <c r="D20" s="56">
        <v>0</v>
      </c>
      <c r="E20" s="56">
        <v>0</v>
      </c>
      <c r="F20" s="56">
        <v>0</v>
      </c>
      <c r="I20" s="764"/>
      <c r="K20" t="s">
        <v>478</v>
      </c>
      <c r="L20" s="44">
        <f>'Overall recycling rates'!E15*'Overall recycling rates'!E57</f>
        <v>0</v>
      </c>
      <c r="M20" s="127">
        <f t="shared" ref="M20:O23" si="21">$L20/$L$24</f>
        <v>0</v>
      </c>
      <c r="N20" s="127">
        <f t="shared" si="21"/>
        <v>0</v>
      </c>
      <c r="O20" s="127">
        <f t="shared" si="21"/>
        <v>0</v>
      </c>
      <c r="S20" s="765"/>
      <c r="U20" t="s">
        <v>477</v>
      </c>
      <c r="V20" s="384">
        <f t="shared" ref="V20:Z20" si="22">V13+$AA13*V13/SUM($V13:$Z13)</f>
        <v>1.8200000000000001E-2</v>
      </c>
      <c r="W20" s="384">
        <f t="shared" si="22"/>
        <v>0</v>
      </c>
      <c r="X20" s="384">
        <f t="shared" si="22"/>
        <v>0</v>
      </c>
      <c r="Y20" s="384">
        <f t="shared" si="22"/>
        <v>0</v>
      </c>
      <c r="Z20" s="384">
        <f t="shared" si="22"/>
        <v>0</v>
      </c>
      <c r="AA20" s="384"/>
    </row>
    <row r="21" spans="2:28">
      <c r="B21" t="s">
        <v>480</v>
      </c>
      <c r="C21" s="262">
        <v>0</v>
      </c>
      <c r="D21" s="56">
        <v>0</v>
      </c>
      <c r="E21" s="56">
        <v>0</v>
      </c>
      <c r="F21" s="56">
        <v>0</v>
      </c>
      <c r="I21" s="764"/>
      <c r="K21" t="s">
        <v>480</v>
      </c>
      <c r="L21" s="44">
        <f>'Overall recycling rates'!F15*'Overall recycling rates'!F57</f>
        <v>0</v>
      </c>
      <c r="M21" s="127">
        <f t="shared" si="21"/>
        <v>0</v>
      </c>
      <c r="N21" s="127">
        <f t="shared" si="21"/>
        <v>0</v>
      </c>
      <c r="O21" s="127">
        <f t="shared" si="21"/>
        <v>0</v>
      </c>
      <c r="S21" s="765"/>
      <c r="U21" t="s">
        <v>478</v>
      </c>
      <c r="V21" s="384">
        <v>0</v>
      </c>
      <c r="W21" s="384">
        <v>0</v>
      </c>
      <c r="X21" s="384">
        <v>0</v>
      </c>
      <c r="Y21" s="384">
        <v>0</v>
      </c>
      <c r="Z21" s="384">
        <f>AA14</f>
        <v>5.1999999999999998E-3</v>
      </c>
      <c r="AA21" s="384"/>
      <c r="AB21" s="6">
        <f>'Demand Breakdown - Ethylene'!E39</f>
        <v>0.2687140115163148</v>
      </c>
    </row>
    <row r="22" spans="2:28">
      <c r="B22" t="s">
        <v>474</v>
      </c>
      <c r="C22" s="262">
        <f>'Overall recycling rates'!G42*'Overall recycling rates'!G57</f>
        <v>0.60059846374884085</v>
      </c>
      <c r="D22" s="2">
        <f>$C22/$C$24</f>
        <v>0.85710438531517308</v>
      </c>
      <c r="E22" s="2">
        <f t="shared" ref="E22:F23" si="23">$C22/$C$24</f>
        <v>0.85710438531517308</v>
      </c>
      <c r="F22" s="2">
        <f t="shared" si="23"/>
        <v>0.85710438531517308</v>
      </c>
      <c r="I22" s="764"/>
      <c r="K22" t="s">
        <v>474</v>
      </c>
      <c r="L22" s="44">
        <f>'Overall recycling rates'!G15*'Overall recycling rates'!G57</f>
        <v>4.6199881826833913</v>
      </c>
      <c r="M22" s="127">
        <f t="shared" si="21"/>
        <v>0.85710438531517308</v>
      </c>
      <c r="N22" s="127">
        <f t="shared" si="21"/>
        <v>0.85710438531517308</v>
      </c>
      <c r="O22" s="127">
        <f t="shared" si="21"/>
        <v>0.85710438531517308</v>
      </c>
      <c r="S22" s="765"/>
      <c r="U22" t="s">
        <v>474</v>
      </c>
      <c r="V22" s="384">
        <f t="shared" ref="V22:Z22" si="24">V15+$AA15*V15/SUM($V15:$Z15)</f>
        <v>3.4404414003044136E-2</v>
      </c>
      <c r="W22" s="384">
        <f t="shared" si="24"/>
        <v>3.0693150684931506E-2</v>
      </c>
      <c r="X22" s="384">
        <f t="shared" si="24"/>
        <v>0</v>
      </c>
      <c r="Y22" s="384">
        <f t="shared" si="24"/>
        <v>0</v>
      </c>
      <c r="Z22" s="384">
        <f t="shared" si="24"/>
        <v>8.0243531202435318E-4</v>
      </c>
      <c r="AA22" s="384"/>
      <c r="AB22" s="6">
        <f>'Demand Breakdown - Ethylene'!E36</f>
        <v>0.14568158168574402</v>
      </c>
    </row>
    <row r="23" spans="2:28">
      <c r="B23" t="s">
        <v>248</v>
      </c>
      <c r="C23" s="262">
        <f>'Overall recycling rates'!I42*'Overall recycling rates'!I57</f>
        <v>0.10013119536728857</v>
      </c>
      <c r="D23" s="2">
        <f>$C23/$C$24</f>
        <v>0.14289561468482695</v>
      </c>
      <c r="E23" s="2">
        <f t="shared" si="23"/>
        <v>0.14289561468482695</v>
      </c>
      <c r="F23" s="2">
        <f t="shared" si="23"/>
        <v>0.14289561468482695</v>
      </c>
      <c r="I23" s="764"/>
      <c r="K23" t="s">
        <v>248</v>
      </c>
      <c r="L23" s="44">
        <f>'Overall recycling rates'!I15*'Overall recycling rates'!I57</f>
        <v>0.77023996436375808</v>
      </c>
      <c r="M23" s="127">
        <f t="shared" si="21"/>
        <v>0.14289561468482692</v>
      </c>
      <c r="N23" s="127">
        <f t="shared" si="21"/>
        <v>0.14289561468482692</v>
      </c>
      <c r="O23" s="127">
        <f t="shared" si="21"/>
        <v>0.14289561468482692</v>
      </c>
      <c r="S23" s="765"/>
    </row>
    <row r="24" spans="2:28">
      <c r="C24" s="256">
        <f>SUM(C19:C23)</f>
        <v>0.70072965911612939</v>
      </c>
      <c r="D24" s="2">
        <f>SUM(D19:D23)</f>
        <v>1</v>
      </c>
      <c r="E24" s="2">
        <f t="shared" ref="E24" si="25">SUM(E19:E23)</f>
        <v>1</v>
      </c>
      <c r="F24" s="2">
        <f t="shared" ref="F24" si="26">SUM(F19:F23)</f>
        <v>1</v>
      </c>
      <c r="L24" s="44">
        <f>SUM(L19:L23)</f>
        <v>5.3902281470471491</v>
      </c>
      <c r="M24" s="2">
        <f>SUM(M19:M23)</f>
        <v>1</v>
      </c>
      <c r="N24" s="2">
        <f t="shared" ref="N24" si="27">SUM(N19:N23)</f>
        <v>1</v>
      </c>
      <c r="O24" s="2">
        <f t="shared" ref="O24" si="28">SUM(O19:O23)</f>
        <v>1</v>
      </c>
      <c r="U24" t="s">
        <v>1718</v>
      </c>
      <c r="V24" t="s">
        <v>324</v>
      </c>
      <c r="W24" t="s">
        <v>1719</v>
      </c>
      <c r="X24" t="s">
        <v>370</v>
      </c>
      <c r="Y24" t="s">
        <v>369</v>
      </c>
      <c r="Z24" t="s">
        <v>248</v>
      </c>
      <c r="AA24" s="384"/>
    </row>
    <row r="25" spans="2:28">
      <c r="U25" t="s">
        <v>258</v>
      </c>
      <c r="V25" s="384">
        <f>V19*$AB19</f>
        <v>6.4303448275862068E-2</v>
      </c>
      <c r="W25" s="384">
        <f t="shared" ref="W25:Z25" si="29">W19*$AB19</f>
        <v>0</v>
      </c>
      <c r="X25" s="384">
        <f t="shared" si="29"/>
        <v>4.2206896551724134E-3</v>
      </c>
      <c r="Y25" s="384">
        <f t="shared" si="29"/>
        <v>2.4827586206896551E-2</v>
      </c>
      <c r="Z25" s="384">
        <f t="shared" si="29"/>
        <v>3.8482758620689657E-3</v>
      </c>
      <c r="AA25" s="384"/>
    </row>
    <row r="26" spans="2:28">
      <c r="B26" t="s">
        <v>369</v>
      </c>
      <c r="D26" t="s">
        <v>1746</v>
      </c>
      <c r="K26" t="s">
        <v>369</v>
      </c>
      <c r="M26" t="s">
        <v>1746</v>
      </c>
      <c r="U26" t="s">
        <v>478</v>
      </c>
      <c r="V26" s="384">
        <f>V21*$AB21</f>
        <v>0</v>
      </c>
      <c r="W26" s="384">
        <f t="shared" ref="W26:Z26" si="30">W21*$AB21</f>
        <v>0</v>
      </c>
      <c r="X26" s="384">
        <f t="shared" si="30"/>
        <v>0</v>
      </c>
      <c r="Y26" s="384">
        <f t="shared" si="30"/>
        <v>0</v>
      </c>
      <c r="Z26" s="384">
        <f t="shared" si="30"/>
        <v>1.3973128598848369E-3</v>
      </c>
      <c r="AA26" s="384"/>
    </row>
    <row r="27" spans="2:28" ht="14.5" customHeight="1">
      <c r="B27" t="s">
        <v>258</v>
      </c>
      <c r="C27" s="256">
        <f>'Overall recycling rates'!C40*'Overall recycling rates'!C57</f>
        <v>4.2646752406523936E-2</v>
      </c>
      <c r="D27" s="2">
        <f>C27/$C$32</f>
        <v>0.35330398449159967</v>
      </c>
      <c r="E27" s="2"/>
      <c r="F27" s="2"/>
      <c r="G27" s="2"/>
      <c r="I27" s="764" t="s">
        <v>1751</v>
      </c>
      <c r="K27" t="s">
        <v>258</v>
      </c>
      <c r="L27" s="44">
        <f>'Overall recycling rates'!C13*'Overall recycling rates'!C57</f>
        <v>3.1485030989605263</v>
      </c>
      <c r="M27" s="127">
        <f>$L27/$L$32</f>
        <v>0.50749882423387904</v>
      </c>
      <c r="O27" s="2"/>
      <c r="P27" s="2"/>
      <c r="Q27" s="2"/>
      <c r="S27" s="765" t="s">
        <v>1752</v>
      </c>
      <c r="U27" t="s">
        <v>474</v>
      </c>
      <c r="V27" s="384">
        <f>V22*$AB22</f>
        <v>5.0120894489346299E-3</v>
      </c>
      <c r="W27" s="384">
        <f t="shared" ref="W27:Z27" si="31">W22*$AB22</f>
        <v>4.4714267386996992E-3</v>
      </c>
      <c r="X27" s="384">
        <f t="shared" si="31"/>
        <v>0</v>
      </c>
      <c r="Y27" s="384">
        <f t="shared" si="31"/>
        <v>0</v>
      </c>
      <c r="Z27" s="384">
        <f t="shared" si="31"/>
        <v>1.169000454562013E-4</v>
      </c>
    </row>
    <row r="28" spans="2:28">
      <c r="B28" t="s">
        <v>478</v>
      </c>
      <c r="C28" s="256">
        <f>'Overall recycling rates'!E40*'Overall recycling rates'!E57</f>
        <v>2.2038038302500187E-3</v>
      </c>
      <c r="D28" s="2">
        <f t="shared" ref="D28:D31" si="32">C28/$C$32</f>
        <v>1.8257255953353001E-2</v>
      </c>
      <c r="E28" s="2"/>
      <c r="F28" s="2"/>
      <c r="G28" s="2"/>
      <c r="I28" s="764"/>
      <c r="K28" t="s">
        <v>478</v>
      </c>
      <c r="L28" s="44">
        <f>'Overall recycling rates'!E13*'Overall recycling rates'!E57</f>
        <v>0.42302344899661587</v>
      </c>
      <c r="M28" s="127">
        <f t="shared" ref="M28:M31" si="33">$L28/$L$32</f>
        <v>6.8186022449849393E-2</v>
      </c>
      <c r="O28" s="2"/>
      <c r="P28" s="2"/>
      <c r="Q28" s="2"/>
      <c r="S28" s="765"/>
      <c r="W28" s="23">
        <f>SUM(W25:W27)/SUM($W$25:$Z$27)</f>
        <v>0.11499935012302656</v>
      </c>
      <c r="X28" s="23">
        <f t="shared" ref="X28:Z28" si="34">SUM(X25:X27)/SUM($W$25:$Z$27)</f>
        <v>0.10855071452136934</v>
      </c>
      <c r="Y28" s="23">
        <f t="shared" si="34"/>
        <v>0.63853361483158444</v>
      </c>
      <c r="Z28" s="23">
        <f t="shared" si="34"/>
        <v>0.13791632052401978</v>
      </c>
    </row>
    <row r="29" spans="2:28">
      <c r="B29" t="s">
        <v>480</v>
      </c>
      <c r="C29" s="256">
        <f>'Overall recycling rates'!F40*'Overall recycling rates'!F57</f>
        <v>7.568814396333233E-2</v>
      </c>
      <c r="D29" s="2">
        <f t="shared" si="32"/>
        <v>0.62703304078386057</v>
      </c>
      <c r="E29" s="56"/>
      <c r="F29" s="56"/>
      <c r="G29" s="56"/>
      <c r="I29" s="764"/>
      <c r="K29" t="s">
        <v>480</v>
      </c>
      <c r="L29" s="44">
        <f>'Overall recycling rates'!F13*'Overall recycling rates'!F57</f>
        <v>2.5966563739790818</v>
      </c>
      <c r="M29" s="127">
        <f t="shared" si="33"/>
        <v>0.41854812122270468</v>
      </c>
      <c r="O29" s="56"/>
      <c r="P29" s="56"/>
      <c r="Q29" s="56"/>
      <c r="S29" s="765"/>
    </row>
    <row r="30" spans="2:28">
      <c r="B30" t="s">
        <v>474</v>
      </c>
      <c r="C30" s="256">
        <f>'Overall recycling rates'!G40*'Overall recycling rates'!G57</f>
        <v>0</v>
      </c>
      <c r="D30" s="2">
        <f t="shared" si="32"/>
        <v>0</v>
      </c>
      <c r="E30" s="2"/>
      <c r="F30" s="2"/>
      <c r="G30" s="2"/>
      <c r="I30" s="764"/>
      <c r="K30" t="s">
        <v>474</v>
      </c>
      <c r="L30" s="44">
        <f>'Overall recycling rates'!G13*'Overall recycling rates'!G57</f>
        <v>0</v>
      </c>
      <c r="M30" s="127">
        <f t="shared" si="33"/>
        <v>0</v>
      </c>
      <c r="O30" s="2"/>
      <c r="P30" s="2"/>
      <c r="Q30" s="2"/>
      <c r="S30" s="765"/>
      <c r="U30" t="s">
        <v>1718</v>
      </c>
      <c r="V30" t="s">
        <v>324</v>
      </c>
      <c r="W30" t="s">
        <v>1719</v>
      </c>
      <c r="X30" t="s">
        <v>370</v>
      </c>
      <c r="Y30" t="s">
        <v>369</v>
      </c>
      <c r="Z30" t="s">
        <v>248</v>
      </c>
    </row>
    <row r="31" spans="2:28">
      <c r="B31" t="s">
        <v>248</v>
      </c>
      <c r="C31" s="256">
        <f>'Overall recycling rates'!I40*'Overall recycling rates'!I57</f>
        <v>1.6968203875274778E-4</v>
      </c>
      <c r="D31" s="2">
        <f t="shared" si="32"/>
        <v>1.4057187711867362E-3</v>
      </c>
      <c r="E31" s="56"/>
      <c r="F31" s="56"/>
      <c r="G31" s="56"/>
      <c r="I31" s="764"/>
      <c r="K31" t="s">
        <v>248</v>
      </c>
      <c r="L31" s="44">
        <f>'Overall recycling rates'!I13*'Overall recycling rates'!I57</f>
        <v>3.5778444306369624E-2</v>
      </c>
      <c r="M31" s="127">
        <f t="shared" si="33"/>
        <v>5.767032093566808E-3</v>
      </c>
      <c r="O31" s="56"/>
      <c r="P31" s="56"/>
      <c r="Q31" s="56"/>
      <c r="S31" s="765"/>
      <c r="U31" t="s">
        <v>258</v>
      </c>
      <c r="V31" s="384">
        <f t="shared" ref="V31:Z33" si="35">V25/SUM(V$25:V$27)</f>
        <v>0.92769168914429945</v>
      </c>
      <c r="W31" s="384">
        <f t="shared" si="35"/>
        <v>0</v>
      </c>
      <c r="X31" s="384">
        <f t="shared" si="35"/>
        <v>1</v>
      </c>
      <c r="Y31" s="384">
        <f t="shared" si="35"/>
        <v>1</v>
      </c>
      <c r="Z31" s="384">
        <f t="shared" si="35"/>
        <v>0.71762870357071562</v>
      </c>
    </row>
    <row r="32" spans="2:28">
      <c r="C32" s="256">
        <f>SUM(C27:C31)</f>
        <v>0.12070838223885903</v>
      </c>
      <c r="D32" s="2">
        <f>SUM(D27:D31)</f>
        <v>1</v>
      </c>
      <c r="E32" s="2"/>
      <c r="F32" s="2"/>
      <c r="G32" s="2"/>
      <c r="L32" s="44">
        <f>SUM(L27:L31)</f>
        <v>6.2039613662425941</v>
      </c>
      <c r="M32" s="2">
        <f>SUM(M27:M31)</f>
        <v>0.99999999999999989</v>
      </c>
      <c r="O32" s="2"/>
      <c r="P32" s="2"/>
      <c r="Q32" s="2"/>
      <c r="U32" t="s">
        <v>478</v>
      </c>
      <c r="V32" s="384">
        <f t="shared" si="35"/>
        <v>0</v>
      </c>
      <c r="W32" s="384">
        <f t="shared" si="35"/>
        <v>0</v>
      </c>
      <c r="X32" s="384">
        <f t="shared" si="35"/>
        <v>0</v>
      </c>
      <c r="Y32" s="384">
        <f t="shared" si="35"/>
        <v>0</v>
      </c>
      <c r="Z32" s="384">
        <f t="shared" si="35"/>
        <v>0.26057170849044342</v>
      </c>
    </row>
    <row r="33" spans="1:35">
      <c r="U33" t="s">
        <v>474</v>
      </c>
      <c r="V33" s="384">
        <f t="shared" si="35"/>
        <v>7.2308310855700428E-2</v>
      </c>
      <c r="W33" s="384">
        <f t="shared" si="35"/>
        <v>1</v>
      </c>
      <c r="X33" s="384">
        <f t="shared" si="35"/>
        <v>0</v>
      </c>
      <c r="Y33" s="384">
        <f t="shared" si="35"/>
        <v>0</v>
      </c>
      <c r="Z33" s="384">
        <f t="shared" si="35"/>
        <v>2.1799587938840969E-2</v>
      </c>
    </row>
    <row r="34" spans="1:35">
      <c r="B34" t="s">
        <v>248</v>
      </c>
      <c r="D34" t="s">
        <v>1746</v>
      </c>
      <c r="K34" t="s">
        <v>248</v>
      </c>
      <c r="M34" t="s">
        <v>1746</v>
      </c>
    </row>
    <row r="35" spans="1:35" ht="14.5" customHeight="1">
      <c r="B35" t="s">
        <v>258</v>
      </c>
      <c r="C35" s="256">
        <f>'Overall recycling rates'!C43*'Overall recycling rates'!C57</f>
        <v>0.86408503681019966</v>
      </c>
      <c r="D35" s="2">
        <f>C35/$C$40</f>
        <v>0.71774223915373458</v>
      </c>
      <c r="I35" s="764" t="s">
        <v>1751</v>
      </c>
      <c r="K35" t="s">
        <v>258</v>
      </c>
      <c r="L35" s="44">
        <f>'Overall recycling rates'!C16*'Overall recycling rates'!C57</f>
        <v>21.744503568365769</v>
      </c>
      <c r="M35" s="127">
        <f>$L35/$L$40</f>
        <v>0.71774223915373458</v>
      </c>
      <c r="S35" s="765" t="s">
        <v>1752</v>
      </c>
    </row>
    <row r="36" spans="1:35">
      <c r="B36" t="s">
        <v>478</v>
      </c>
      <c r="C36" s="256">
        <f>'Overall recycling rates'!E43*'Overall recycling rates'!E57</f>
        <v>8.3847023192288525E-2</v>
      </c>
      <c r="D36" s="2">
        <f t="shared" ref="D36:D39" si="36">C36/$C$40</f>
        <v>6.9646559781392461E-2</v>
      </c>
      <c r="I36" s="764"/>
      <c r="K36" t="s">
        <v>478</v>
      </c>
      <c r="L36" s="44">
        <f>'Overall recycling rates'!E16*'Overall recycling rates'!E57</f>
        <v>2.1099912824923064</v>
      </c>
      <c r="M36" s="127">
        <f t="shared" ref="M36:M39" si="37">$L36/$L$40</f>
        <v>6.9646559781392461E-2</v>
      </c>
      <c r="S36" s="765"/>
    </row>
    <row r="37" spans="1:35">
      <c r="B37" t="s">
        <v>480</v>
      </c>
      <c r="C37" s="256">
        <f>'Overall recycling rates'!F43*'Overall recycling rates'!F57</f>
        <v>0.19355504824548472</v>
      </c>
      <c r="D37" s="2">
        <f t="shared" si="36"/>
        <v>0.16077426157043653</v>
      </c>
      <c r="I37" s="764"/>
      <c r="K37" t="s">
        <v>480</v>
      </c>
      <c r="L37" s="44">
        <f>'Overall recycling rates'!F16*'Overall recycling rates'!F57</f>
        <v>4.8707687993139324</v>
      </c>
      <c r="M37" s="127">
        <f t="shared" si="37"/>
        <v>0.16077426157043656</v>
      </c>
      <c r="S37" s="765"/>
    </row>
    <row r="38" spans="1:35">
      <c r="B38" t="s">
        <v>474</v>
      </c>
      <c r="C38" s="256">
        <f>'Overall recycling rates'!G43*'Overall recycling rates'!G57</f>
        <v>0</v>
      </c>
      <c r="D38" s="2">
        <f t="shared" si="36"/>
        <v>0</v>
      </c>
      <c r="I38" s="764"/>
      <c r="K38" t="s">
        <v>474</v>
      </c>
      <c r="L38" s="44">
        <f>'Overall recycling rates'!G16*'Overall recycling rates'!G57</f>
        <v>0</v>
      </c>
      <c r="M38" s="127">
        <f t="shared" si="37"/>
        <v>0</v>
      </c>
      <c r="S38" s="765"/>
    </row>
    <row r="39" spans="1:35">
      <c r="B39" t="s">
        <v>248</v>
      </c>
      <c r="C39" s="256">
        <f>'Overall recycling rates'!I43*'Overall recycling rates'!I57</f>
        <v>6.2406141547403315E-2</v>
      </c>
      <c r="D39" s="2">
        <f t="shared" si="36"/>
        <v>5.1836939494436393E-2</v>
      </c>
      <c r="I39" s="764"/>
      <c r="K39" t="s">
        <v>248</v>
      </c>
      <c r="L39" s="44">
        <f>'Overall recycling rates'!I16*'Overall recycling rates'!I57</f>
        <v>1.5704363688264167</v>
      </c>
      <c r="M39" s="127">
        <f t="shared" si="37"/>
        <v>5.1836939494436386E-2</v>
      </c>
      <c r="S39" s="765"/>
    </row>
    <row r="40" spans="1:35">
      <c r="C40" s="256">
        <f>SUM(C35:C39)</f>
        <v>1.2038932497953763</v>
      </c>
      <c r="D40" s="2">
        <f>SUM(D35:D39)</f>
        <v>0.99999999999999989</v>
      </c>
      <c r="L40" s="44">
        <f>SUM(L35:L39)</f>
        <v>30.295700018998424</v>
      </c>
      <c r="M40" s="2">
        <f>SUM(M35:M39)</f>
        <v>0.99999999999999989</v>
      </c>
    </row>
    <row r="42" spans="1:35" s="273" customFormat="1" ht="16" thickBot="1">
      <c r="E42" s="273">
        <v>2020</v>
      </c>
      <c r="F42" s="273">
        <f>E42+1</f>
        <v>2021</v>
      </c>
      <c r="G42" s="273">
        <f t="shared" ref="G42:AI42" si="38">F42+1</f>
        <v>2022</v>
      </c>
      <c r="H42" s="273">
        <f t="shared" si="38"/>
        <v>2023</v>
      </c>
      <c r="I42" s="273">
        <f t="shared" si="38"/>
        <v>2024</v>
      </c>
      <c r="J42" s="273">
        <f t="shared" si="38"/>
        <v>2025</v>
      </c>
      <c r="K42" s="273">
        <f t="shared" si="38"/>
        <v>2026</v>
      </c>
      <c r="L42" s="273">
        <f t="shared" si="38"/>
        <v>2027</v>
      </c>
      <c r="M42" s="273">
        <f t="shared" si="38"/>
        <v>2028</v>
      </c>
      <c r="N42" s="273">
        <f t="shared" si="38"/>
        <v>2029</v>
      </c>
      <c r="O42" s="273">
        <f t="shared" si="38"/>
        <v>2030</v>
      </c>
      <c r="P42" s="273">
        <f t="shared" si="38"/>
        <v>2031</v>
      </c>
      <c r="Q42" s="273">
        <f t="shared" si="38"/>
        <v>2032</v>
      </c>
      <c r="R42" s="273">
        <f t="shared" si="38"/>
        <v>2033</v>
      </c>
      <c r="S42" s="273">
        <f t="shared" si="38"/>
        <v>2034</v>
      </c>
      <c r="T42" s="273">
        <f t="shared" si="38"/>
        <v>2035</v>
      </c>
      <c r="U42" s="273">
        <f t="shared" si="38"/>
        <v>2036</v>
      </c>
      <c r="V42" s="273">
        <f t="shared" si="38"/>
        <v>2037</v>
      </c>
      <c r="W42" s="273">
        <f t="shared" si="38"/>
        <v>2038</v>
      </c>
      <c r="X42" s="273">
        <f t="shared" si="38"/>
        <v>2039</v>
      </c>
      <c r="Y42" s="273">
        <f t="shared" si="38"/>
        <v>2040</v>
      </c>
      <c r="Z42" s="273">
        <f t="shared" si="38"/>
        <v>2041</v>
      </c>
      <c r="AA42" s="273">
        <f t="shared" si="38"/>
        <v>2042</v>
      </c>
      <c r="AB42" s="273">
        <f>AA42+1</f>
        <v>2043</v>
      </c>
      <c r="AC42" s="273">
        <f t="shared" si="38"/>
        <v>2044</v>
      </c>
      <c r="AD42" s="273">
        <f t="shared" si="38"/>
        <v>2045</v>
      </c>
      <c r="AE42" s="273">
        <f t="shared" si="38"/>
        <v>2046</v>
      </c>
      <c r="AF42" s="273">
        <f t="shared" si="38"/>
        <v>2047</v>
      </c>
      <c r="AG42" s="273">
        <f t="shared" si="38"/>
        <v>2048</v>
      </c>
      <c r="AH42" s="273">
        <f t="shared" si="38"/>
        <v>2049</v>
      </c>
      <c r="AI42" s="273">
        <f t="shared" si="38"/>
        <v>2050</v>
      </c>
    </row>
    <row r="43" spans="1:35">
      <c r="A43" s="310"/>
      <c r="B43" t="s">
        <v>309</v>
      </c>
      <c r="C43" t="s">
        <v>1746</v>
      </c>
      <c r="D43" t="s">
        <v>258</v>
      </c>
      <c r="E43" s="168">
        <f>C3</f>
        <v>0.92769168914429945</v>
      </c>
      <c r="F43" s="168">
        <f>-($E43-$AI43)/30+E43</f>
        <v>0.927087508931281</v>
      </c>
      <c r="G43" s="168">
        <f t="shared" ref="G43:AH43" si="39">-($E43-$AI43)/30+F43</f>
        <v>0.92648332871826256</v>
      </c>
      <c r="H43" s="168">
        <f t="shared" si="39"/>
        <v>0.92587914850524411</v>
      </c>
      <c r="I43" s="168">
        <f t="shared" si="39"/>
        <v>0.92527496829222566</v>
      </c>
      <c r="J43" s="168">
        <f t="shared" si="39"/>
        <v>0.92467078807920722</v>
      </c>
      <c r="K43" s="168">
        <f t="shared" si="39"/>
        <v>0.92406660786618877</v>
      </c>
      <c r="L43" s="168">
        <f t="shared" si="39"/>
        <v>0.92346242765317033</v>
      </c>
      <c r="M43" s="168">
        <f t="shared" si="39"/>
        <v>0.92285824744015188</v>
      </c>
      <c r="N43" s="168">
        <f t="shared" si="39"/>
        <v>0.92225406722713343</v>
      </c>
      <c r="O43" s="168">
        <f t="shared" si="39"/>
        <v>0.92164988701411499</v>
      </c>
      <c r="P43" s="168">
        <f t="shared" si="39"/>
        <v>0.92104570680109654</v>
      </c>
      <c r="Q43" s="168">
        <f t="shared" si="39"/>
        <v>0.9204415265880781</v>
      </c>
      <c r="R43" s="168">
        <f t="shared" si="39"/>
        <v>0.91983734637505965</v>
      </c>
      <c r="S43" s="168">
        <f t="shared" si="39"/>
        <v>0.9192331661620412</v>
      </c>
      <c r="T43" s="168">
        <f t="shared" si="39"/>
        <v>0.91862898594902276</v>
      </c>
      <c r="U43" s="168">
        <f t="shared" si="39"/>
        <v>0.91802480573600431</v>
      </c>
      <c r="V43" s="168">
        <f t="shared" si="39"/>
        <v>0.91742062552298587</v>
      </c>
      <c r="W43" s="168">
        <f t="shared" si="39"/>
        <v>0.91681644530996742</v>
      </c>
      <c r="X43" s="168">
        <f t="shared" si="39"/>
        <v>0.91621226509694897</v>
      </c>
      <c r="Y43" s="168">
        <f t="shared" si="39"/>
        <v>0.91560808488393053</v>
      </c>
      <c r="Z43" s="168">
        <f t="shared" si="39"/>
        <v>0.91500390467091208</v>
      </c>
      <c r="AA43" s="168">
        <f t="shared" si="39"/>
        <v>0.91439972445789364</v>
      </c>
      <c r="AB43" s="168">
        <f t="shared" si="39"/>
        <v>0.91379554424487519</v>
      </c>
      <c r="AC43" s="168">
        <f t="shared" si="39"/>
        <v>0.91319136403185674</v>
      </c>
      <c r="AD43" s="168">
        <f t="shared" si="39"/>
        <v>0.9125871838188383</v>
      </c>
      <c r="AE43" s="168">
        <f t="shared" si="39"/>
        <v>0.91198300360581985</v>
      </c>
      <c r="AF43" s="168">
        <f t="shared" si="39"/>
        <v>0.91137882339280141</v>
      </c>
      <c r="AG43" s="168">
        <f t="shared" si="39"/>
        <v>0.91077464317978296</v>
      </c>
      <c r="AH43" s="168">
        <f t="shared" si="39"/>
        <v>0.91017046296676452</v>
      </c>
      <c r="AI43" s="168">
        <f>M3</f>
        <v>0.90956628275374496</v>
      </c>
    </row>
    <row r="44" spans="1:35">
      <c r="A44" s="310"/>
      <c r="B44" t="s">
        <v>309</v>
      </c>
      <c r="C44" t="s">
        <v>1746</v>
      </c>
      <c r="D44" t="s">
        <v>478</v>
      </c>
      <c r="E44" s="168">
        <f t="shared" ref="E44:E47" si="40">C4</f>
        <v>0</v>
      </c>
      <c r="F44" s="168">
        <f t="shared" ref="F44:AH44" si="41">-($E44-$AI44)/30+E44</f>
        <v>6.0954631312216533E-4</v>
      </c>
      <c r="G44" s="168">
        <f t="shared" si="41"/>
        <v>1.2190926262443307E-3</v>
      </c>
      <c r="H44" s="168">
        <f t="shared" si="41"/>
        <v>1.8286389393664961E-3</v>
      </c>
      <c r="I44" s="168">
        <f t="shared" si="41"/>
        <v>2.4381852524886613E-3</v>
      </c>
      <c r="J44" s="168">
        <f t="shared" si="41"/>
        <v>3.0477315656108265E-3</v>
      </c>
      <c r="K44" s="168">
        <f t="shared" si="41"/>
        <v>3.6572778787329918E-3</v>
      </c>
      <c r="L44" s="168">
        <f t="shared" si="41"/>
        <v>4.2668241918551574E-3</v>
      </c>
      <c r="M44" s="168">
        <f t="shared" si="41"/>
        <v>4.8763705049773226E-3</v>
      </c>
      <c r="N44" s="168">
        <f t="shared" si="41"/>
        <v>5.4859168180994879E-3</v>
      </c>
      <c r="O44" s="168">
        <f t="shared" si="41"/>
        <v>6.0954631312216531E-3</v>
      </c>
      <c r="P44" s="168">
        <f t="shared" si="41"/>
        <v>6.7050094443438183E-3</v>
      </c>
      <c r="Q44" s="168">
        <f t="shared" si="41"/>
        <v>7.3145557574659835E-3</v>
      </c>
      <c r="R44" s="168">
        <f t="shared" si="41"/>
        <v>7.9241020705881487E-3</v>
      </c>
      <c r="S44" s="168">
        <f t="shared" si="41"/>
        <v>8.5336483837103148E-3</v>
      </c>
      <c r="T44" s="168">
        <f t="shared" si="41"/>
        <v>9.1431946968324809E-3</v>
      </c>
      <c r="U44" s="168">
        <f t="shared" si="41"/>
        <v>9.752741009954647E-3</v>
      </c>
      <c r="V44" s="168">
        <f t="shared" si="41"/>
        <v>1.0362287323076813E-2</v>
      </c>
      <c r="W44" s="168">
        <f t="shared" si="41"/>
        <v>1.0971833636198979E-2</v>
      </c>
      <c r="X44" s="168">
        <f t="shared" si="41"/>
        <v>1.1581379949321145E-2</v>
      </c>
      <c r="Y44" s="168">
        <f t="shared" si="41"/>
        <v>1.2190926262443311E-2</v>
      </c>
      <c r="Z44" s="168">
        <f t="shared" si="41"/>
        <v>1.2800472575565477E-2</v>
      </c>
      <c r="AA44" s="168">
        <f t="shared" si="41"/>
        <v>1.3410018888687644E-2</v>
      </c>
      <c r="AB44" s="168">
        <f t="shared" si="41"/>
        <v>1.401956520180981E-2</v>
      </c>
      <c r="AC44" s="168">
        <f t="shared" si="41"/>
        <v>1.4629111514931976E-2</v>
      </c>
      <c r="AD44" s="168">
        <f t="shared" si="41"/>
        <v>1.5238657828054142E-2</v>
      </c>
      <c r="AE44" s="168">
        <f t="shared" si="41"/>
        <v>1.5848204141176308E-2</v>
      </c>
      <c r="AF44" s="168">
        <f t="shared" si="41"/>
        <v>1.6457750454298474E-2</v>
      </c>
      <c r="AG44" s="168">
        <f t="shared" si="41"/>
        <v>1.706729676742064E-2</v>
      </c>
      <c r="AH44" s="168">
        <f t="shared" si="41"/>
        <v>1.7676843080542806E-2</v>
      </c>
      <c r="AI44" s="168">
        <f t="shared" ref="AI44:AI47" si="42">M4</f>
        <v>1.8286389393664958E-2</v>
      </c>
    </row>
    <row r="45" spans="1:35">
      <c r="A45" s="310"/>
      <c r="B45" t="s">
        <v>309</v>
      </c>
      <c r="C45" t="s">
        <v>1746</v>
      </c>
      <c r="D45" t="s">
        <v>480</v>
      </c>
      <c r="E45" s="168">
        <f t="shared" si="40"/>
        <v>0</v>
      </c>
      <c r="F45" s="168">
        <f t="shared" ref="F45:AH45" si="43">-($E45-$AI45)/30+E45</f>
        <v>7.4358703407605424E-4</v>
      </c>
      <c r="G45" s="168">
        <f t="shared" si="43"/>
        <v>1.4871740681521085E-3</v>
      </c>
      <c r="H45" s="168">
        <f t="shared" si="43"/>
        <v>2.2307611022281629E-3</v>
      </c>
      <c r="I45" s="168">
        <f t="shared" si="43"/>
        <v>2.974348136304217E-3</v>
      </c>
      <c r="J45" s="168">
        <f t="shared" si="43"/>
        <v>3.717935170380271E-3</v>
      </c>
      <c r="K45" s="168">
        <f t="shared" si="43"/>
        <v>4.461522204456325E-3</v>
      </c>
      <c r="L45" s="168">
        <f t="shared" si="43"/>
        <v>5.205109238532379E-3</v>
      </c>
      <c r="M45" s="168">
        <f t="shared" si="43"/>
        <v>5.9486962726084331E-3</v>
      </c>
      <c r="N45" s="168">
        <f t="shared" si="43"/>
        <v>6.6922833066844871E-3</v>
      </c>
      <c r="O45" s="168">
        <f t="shared" si="43"/>
        <v>7.4358703407605411E-3</v>
      </c>
      <c r="P45" s="168">
        <f t="shared" si="43"/>
        <v>8.1794573748365951E-3</v>
      </c>
      <c r="Q45" s="168">
        <f t="shared" si="43"/>
        <v>8.92304440891265E-3</v>
      </c>
      <c r="R45" s="168">
        <f t="shared" si="43"/>
        <v>9.6666314429887049E-3</v>
      </c>
      <c r="S45" s="168">
        <f t="shared" si="43"/>
        <v>1.041021847706476E-2</v>
      </c>
      <c r="T45" s="168">
        <f t="shared" si="43"/>
        <v>1.1153805511140815E-2</v>
      </c>
      <c r="U45" s="168">
        <f t="shared" si="43"/>
        <v>1.189739254521687E-2</v>
      </c>
      <c r="V45" s="168">
        <f t="shared" si="43"/>
        <v>1.2640979579292924E-2</v>
      </c>
      <c r="W45" s="168">
        <f t="shared" si="43"/>
        <v>1.3384566613368979E-2</v>
      </c>
      <c r="X45" s="168">
        <f t="shared" si="43"/>
        <v>1.4128153647445034E-2</v>
      </c>
      <c r="Y45" s="168">
        <f t="shared" si="43"/>
        <v>1.4871740681521089E-2</v>
      </c>
      <c r="Z45" s="168">
        <f t="shared" si="43"/>
        <v>1.5615327715597144E-2</v>
      </c>
      <c r="AA45" s="168">
        <f t="shared" si="43"/>
        <v>1.6358914749673197E-2</v>
      </c>
      <c r="AB45" s="168">
        <f t="shared" si="43"/>
        <v>1.7102501783749252E-2</v>
      </c>
      <c r="AC45" s="168">
        <f t="shared" si="43"/>
        <v>1.7846088817825307E-2</v>
      </c>
      <c r="AD45" s="168">
        <f t="shared" si="43"/>
        <v>1.8589675851901362E-2</v>
      </c>
      <c r="AE45" s="168">
        <f t="shared" si="43"/>
        <v>1.9333262885977417E-2</v>
      </c>
      <c r="AF45" s="168">
        <f t="shared" si="43"/>
        <v>2.0076849920053472E-2</v>
      </c>
      <c r="AG45" s="168">
        <f t="shared" si="43"/>
        <v>2.0820436954129527E-2</v>
      </c>
      <c r="AH45" s="168">
        <f t="shared" si="43"/>
        <v>2.1564023988205581E-2</v>
      </c>
      <c r="AI45" s="168">
        <f t="shared" si="42"/>
        <v>2.2307611022281626E-2</v>
      </c>
    </row>
    <row r="46" spans="1:35">
      <c r="A46" s="310"/>
      <c r="B46" t="s">
        <v>309</v>
      </c>
      <c r="C46" t="s">
        <v>1746</v>
      </c>
      <c r="D46" t="s">
        <v>474</v>
      </c>
      <c r="E46" s="168">
        <f t="shared" si="40"/>
        <v>7.2308310855700428E-2</v>
      </c>
      <c r="F46" s="168">
        <f t="shared" ref="F46:AH46" si="44">-($E46-$AI46)/30+E46</f>
        <v>7.1526161871785163E-2</v>
      </c>
      <c r="G46" s="168">
        <f t="shared" si="44"/>
        <v>7.0744012887869898E-2</v>
      </c>
      <c r="H46" s="168">
        <f t="shared" si="44"/>
        <v>6.9961863903954633E-2</v>
      </c>
      <c r="I46" s="168">
        <f t="shared" si="44"/>
        <v>6.9179714920039367E-2</v>
      </c>
      <c r="J46" s="168">
        <f t="shared" si="44"/>
        <v>6.8397565936124102E-2</v>
      </c>
      <c r="K46" s="168">
        <f t="shared" si="44"/>
        <v>6.7615416952208837E-2</v>
      </c>
      <c r="L46" s="168">
        <f t="shared" si="44"/>
        <v>6.6833267968293572E-2</v>
      </c>
      <c r="M46" s="168">
        <f t="shared" si="44"/>
        <v>6.6051118984378307E-2</v>
      </c>
      <c r="N46" s="168">
        <f t="shared" si="44"/>
        <v>6.5268970000463042E-2</v>
      </c>
      <c r="O46" s="168">
        <f t="shared" si="44"/>
        <v>6.4486821016547777E-2</v>
      </c>
      <c r="P46" s="168">
        <f t="shared" si="44"/>
        <v>6.3704672032632512E-2</v>
      </c>
      <c r="Q46" s="168">
        <f t="shared" si="44"/>
        <v>6.2922523048717247E-2</v>
      </c>
      <c r="R46" s="168">
        <f t="shared" si="44"/>
        <v>6.2140374064801981E-2</v>
      </c>
      <c r="S46" s="168">
        <f t="shared" si="44"/>
        <v>6.1358225080886716E-2</v>
      </c>
      <c r="T46" s="168">
        <f t="shared" si="44"/>
        <v>6.0576076096971451E-2</v>
      </c>
      <c r="U46" s="168">
        <f t="shared" si="44"/>
        <v>5.9793927113056186E-2</v>
      </c>
      <c r="V46" s="168">
        <f t="shared" si="44"/>
        <v>5.9011778129140921E-2</v>
      </c>
      <c r="W46" s="168">
        <f t="shared" si="44"/>
        <v>5.8229629145225656E-2</v>
      </c>
      <c r="X46" s="168">
        <f t="shared" si="44"/>
        <v>5.7447480161310391E-2</v>
      </c>
      <c r="Y46" s="168">
        <f t="shared" si="44"/>
        <v>5.6665331177395126E-2</v>
      </c>
      <c r="Z46" s="168">
        <f t="shared" si="44"/>
        <v>5.5883182193479861E-2</v>
      </c>
      <c r="AA46" s="168">
        <f t="shared" si="44"/>
        <v>5.5101033209564595E-2</v>
      </c>
      <c r="AB46" s="168">
        <f t="shared" si="44"/>
        <v>5.431888422564933E-2</v>
      </c>
      <c r="AC46" s="168">
        <f t="shared" si="44"/>
        <v>5.3536735241734065E-2</v>
      </c>
      <c r="AD46" s="168">
        <f t="shared" si="44"/>
        <v>5.27545862578188E-2</v>
      </c>
      <c r="AE46" s="168">
        <f t="shared" si="44"/>
        <v>5.1972437273903535E-2</v>
      </c>
      <c r="AF46" s="168">
        <f t="shared" si="44"/>
        <v>5.119028828998827E-2</v>
      </c>
      <c r="AG46" s="168">
        <f t="shared" si="44"/>
        <v>5.0408139306073005E-2</v>
      </c>
      <c r="AH46" s="168">
        <f t="shared" si="44"/>
        <v>4.962599032215774E-2</v>
      </c>
      <c r="AI46" s="168">
        <f t="shared" si="42"/>
        <v>4.8843841338242371E-2</v>
      </c>
    </row>
    <row r="47" spans="1:35" s="68" customFormat="1">
      <c r="A47" s="311"/>
      <c r="B47" s="68" t="s">
        <v>309</v>
      </c>
      <c r="C47" s="68" t="s">
        <v>1746</v>
      </c>
      <c r="D47" s="68" t="s">
        <v>248</v>
      </c>
      <c r="E47" s="421">
        <f t="shared" si="40"/>
        <v>0</v>
      </c>
      <c r="F47" s="421">
        <f t="shared" ref="F47:AH47" si="45">-($E47-$AI47)/30+E47</f>
        <v>3.3195849735538135E-5</v>
      </c>
      <c r="G47" s="421">
        <f t="shared" si="45"/>
        <v>6.639169947107627E-5</v>
      </c>
      <c r="H47" s="421">
        <f t="shared" si="45"/>
        <v>9.9587549206614398E-5</v>
      </c>
      <c r="I47" s="421">
        <f t="shared" si="45"/>
        <v>1.3278339894215254E-4</v>
      </c>
      <c r="J47" s="421">
        <f t="shared" si="45"/>
        <v>1.6597924867769068E-4</v>
      </c>
      <c r="K47" s="421">
        <f t="shared" si="45"/>
        <v>1.9917509841322882E-4</v>
      </c>
      <c r="L47" s="421">
        <f t="shared" si="45"/>
        <v>2.3237094814876696E-4</v>
      </c>
      <c r="M47" s="421">
        <f t="shared" si="45"/>
        <v>2.6556679788430508E-4</v>
      </c>
      <c r="N47" s="421">
        <f t="shared" si="45"/>
        <v>2.9876264761984322E-4</v>
      </c>
      <c r="O47" s="421">
        <f t="shared" si="45"/>
        <v>3.3195849735538136E-4</v>
      </c>
      <c r="P47" s="421">
        <f t="shared" si="45"/>
        <v>3.651543470909195E-4</v>
      </c>
      <c r="Q47" s="421">
        <f t="shared" si="45"/>
        <v>3.9835019682645765E-4</v>
      </c>
      <c r="R47" s="421">
        <f t="shared" si="45"/>
        <v>4.3154604656199579E-4</v>
      </c>
      <c r="S47" s="421">
        <f t="shared" si="45"/>
        <v>4.6474189629753393E-4</v>
      </c>
      <c r="T47" s="421">
        <f t="shared" si="45"/>
        <v>4.9793774603307207E-4</v>
      </c>
      <c r="U47" s="421">
        <f t="shared" si="45"/>
        <v>5.3113359576861016E-4</v>
      </c>
      <c r="V47" s="421">
        <f t="shared" si="45"/>
        <v>5.6432944550414824E-4</v>
      </c>
      <c r="W47" s="421">
        <f t="shared" si="45"/>
        <v>5.9752529523968633E-4</v>
      </c>
      <c r="X47" s="421">
        <f t="shared" si="45"/>
        <v>6.3072114497522442E-4</v>
      </c>
      <c r="Y47" s="421">
        <f t="shared" si="45"/>
        <v>6.6391699471076251E-4</v>
      </c>
      <c r="Z47" s="421">
        <f t="shared" si="45"/>
        <v>6.9711284444630059E-4</v>
      </c>
      <c r="AA47" s="421">
        <f t="shared" si="45"/>
        <v>7.3030869418183868E-4</v>
      </c>
      <c r="AB47" s="421">
        <f t="shared" si="45"/>
        <v>7.6350454391737677E-4</v>
      </c>
      <c r="AC47" s="421">
        <f t="shared" si="45"/>
        <v>7.9670039365291486E-4</v>
      </c>
      <c r="AD47" s="421">
        <f t="shared" si="45"/>
        <v>8.2989624338845294E-4</v>
      </c>
      <c r="AE47" s="421">
        <f t="shared" si="45"/>
        <v>8.6309209312399103E-4</v>
      </c>
      <c r="AF47" s="421">
        <f t="shared" si="45"/>
        <v>8.9628794285952912E-4</v>
      </c>
      <c r="AG47" s="421">
        <f t="shared" si="45"/>
        <v>9.2948379259506721E-4</v>
      </c>
      <c r="AH47" s="421">
        <f t="shared" si="45"/>
        <v>9.6267964233060529E-4</v>
      </c>
      <c r="AI47" s="421">
        <f t="shared" si="42"/>
        <v>9.9587549206614414E-4</v>
      </c>
    </row>
    <row r="48" spans="1:35" s="67" customFormat="1">
      <c r="A48" s="307"/>
      <c r="B48" s="67" t="s">
        <v>309</v>
      </c>
      <c r="C48" s="67" t="s">
        <v>1747</v>
      </c>
      <c r="D48" s="67" t="s">
        <v>258</v>
      </c>
      <c r="E48" s="201">
        <f>D3</f>
        <v>0</v>
      </c>
      <c r="F48" s="201">
        <f t="shared" ref="F48:AH48" si="46">-($E48-$AI48)/30+E48</f>
        <v>0</v>
      </c>
      <c r="G48" s="201">
        <f t="shared" si="46"/>
        <v>0</v>
      </c>
      <c r="H48" s="201">
        <f t="shared" si="46"/>
        <v>0</v>
      </c>
      <c r="I48" s="201">
        <f t="shared" si="46"/>
        <v>0</v>
      </c>
      <c r="J48" s="201">
        <f t="shared" si="46"/>
        <v>0</v>
      </c>
      <c r="K48" s="201">
        <f t="shared" si="46"/>
        <v>0</v>
      </c>
      <c r="L48" s="201">
        <f t="shared" si="46"/>
        <v>0</v>
      </c>
      <c r="M48" s="201">
        <f t="shared" si="46"/>
        <v>0</v>
      </c>
      <c r="N48" s="201">
        <f t="shared" si="46"/>
        <v>0</v>
      </c>
      <c r="O48" s="201">
        <f t="shared" si="46"/>
        <v>0</v>
      </c>
      <c r="P48" s="201">
        <f t="shared" si="46"/>
        <v>0</v>
      </c>
      <c r="Q48" s="201">
        <f t="shared" si="46"/>
        <v>0</v>
      </c>
      <c r="R48" s="201">
        <f t="shared" si="46"/>
        <v>0</v>
      </c>
      <c r="S48" s="201">
        <f t="shared" si="46"/>
        <v>0</v>
      </c>
      <c r="T48" s="201">
        <f t="shared" si="46"/>
        <v>0</v>
      </c>
      <c r="U48" s="201">
        <f t="shared" si="46"/>
        <v>0</v>
      </c>
      <c r="V48" s="201">
        <f t="shared" si="46"/>
        <v>0</v>
      </c>
      <c r="W48" s="201">
        <f t="shared" si="46"/>
        <v>0</v>
      </c>
      <c r="X48" s="201">
        <f t="shared" si="46"/>
        <v>0</v>
      </c>
      <c r="Y48" s="201">
        <f t="shared" si="46"/>
        <v>0</v>
      </c>
      <c r="Z48" s="201">
        <f t="shared" si="46"/>
        <v>0</v>
      </c>
      <c r="AA48" s="201">
        <f t="shared" si="46"/>
        <v>0</v>
      </c>
      <c r="AB48" s="201">
        <f t="shared" si="46"/>
        <v>0</v>
      </c>
      <c r="AC48" s="201">
        <f t="shared" si="46"/>
        <v>0</v>
      </c>
      <c r="AD48" s="201">
        <f t="shared" si="46"/>
        <v>0</v>
      </c>
      <c r="AE48" s="201">
        <f t="shared" si="46"/>
        <v>0</v>
      </c>
      <c r="AF48" s="201">
        <f t="shared" si="46"/>
        <v>0</v>
      </c>
      <c r="AG48" s="201">
        <f t="shared" si="46"/>
        <v>0</v>
      </c>
      <c r="AH48" s="201">
        <f t="shared" si="46"/>
        <v>0</v>
      </c>
      <c r="AI48" s="201">
        <f>N3</f>
        <v>0</v>
      </c>
    </row>
    <row r="49" spans="1:35">
      <c r="A49" s="310"/>
      <c r="B49" t="s">
        <v>309</v>
      </c>
      <c r="C49" t="s">
        <v>1747</v>
      </c>
      <c r="D49" t="s">
        <v>478</v>
      </c>
      <c r="E49" s="168">
        <f t="shared" ref="E49:E52" si="47">D4</f>
        <v>0</v>
      </c>
      <c r="F49" s="168">
        <f t="shared" ref="F49:AH49" si="48">-($E49-$AI49)/30+E49</f>
        <v>0</v>
      </c>
      <c r="G49" s="168">
        <f t="shared" si="48"/>
        <v>0</v>
      </c>
      <c r="H49" s="168">
        <f t="shared" si="48"/>
        <v>0</v>
      </c>
      <c r="I49" s="168">
        <f t="shared" si="48"/>
        <v>0</v>
      </c>
      <c r="J49" s="168">
        <f t="shared" si="48"/>
        <v>0</v>
      </c>
      <c r="K49" s="168">
        <f t="shared" si="48"/>
        <v>0</v>
      </c>
      <c r="L49" s="168">
        <f t="shared" si="48"/>
        <v>0</v>
      </c>
      <c r="M49" s="168">
        <f t="shared" si="48"/>
        <v>0</v>
      </c>
      <c r="N49" s="168">
        <f t="shared" si="48"/>
        <v>0</v>
      </c>
      <c r="O49" s="168">
        <f t="shared" si="48"/>
        <v>0</v>
      </c>
      <c r="P49" s="168">
        <f t="shared" si="48"/>
        <v>0</v>
      </c>
      <c r="Q49" s="168">
        <f t="shared" si="48"/>
        <v>0</v>
      </c>
      <c r="R49" s="168">
        <f t="shared" si="48"/>
        <v>0</v>
      </c>
      <c r="S49" s="168">
        <f t="shared" si="48"/>
        <v>0</v>
      </c>
      <c r="T49" s="168">
        <f t="shared" si="48"/>
        <v>0</v>
      </c>
      <c r="U49" s="168">
        <f t="shared" si="48"/>
        <v>0</v>
      </c>
      <c r="V49" s="168">
        <f t="shared" si="48"/>
        <v>0</v>
      </c>
      <c r="W49" s="168">
        <f t="shared" si="48"/>
        <v>0</v>
      </c>
      <c r="X49" s="168">
        <f t="shared" si="48"/>
        <v>0</v>
      </c>
      <c r="Y49" s="168">
        <f t="shared" si="48"/>
        <v>0</v>
      </c>
      <c r="Z49" s="168">
        <f t="shared" si="48"/>
        <v>0</v>
      </c>
      <c r="AA49" s="168">
        <f t="shared" si="48"/>
        <v>0</v>
      </c>
      <c r="AB49" s="168">
        <f t="shared" si="48"/>
        <v>0</v>
      </c>
      <c r="AC49" s="168">
        <f t="shared" si="48"/>
        <v>0</v>
      </c>
      <c r="AD49" s="168">
        <f t="shared" si="48"/>
        <v>0</v>
      </c>
      <c r="AE49" s="168">
        <f t="shared" si="48"/>
        <v>0</v>
      </c>
      <c r="AF49" s="168">
        <f t="shared" si="48"/>
        <v>0</v>
      </c>
      <c r="AG49" s="168">
        <f t="shared" si="48"/>
        <v>0</v>
      </c>
      <c r="AH49" s="168">
        <f t="shared" si="48"/>
        <v>0</v>
      </c>
      <c r="AI49" s="168">
        <f t="shared" ref="AI49:AI52" si="49">N4</f>
        <v>0</v>
      </c>
    </row>
    <row r="50" spans="1:35">
      <c r="A50" s="310"/>
      <c r="B50" t="s">
        <v>309</v>
      </c>
      <c r="C50" t="s">
        <v>1747</v>
      </c>
      <c r="D50" t="s">
        <v>480</v>
      </c>
      <c r="E50" s="168">
        <f t="shared" si="47"/>
        <v>0</v>
      </c>
      <c r="F50" s="168">
        <f t="shared" ref="F50:AH50" si="50">-($E50-$AI50)/30+E50</f>
        <v>0</v>
      </c>
      <c r="G50" s="168">
        <f t="shared" si="50"/>
        <v>0</v>
      </c>
      <c r="H50" s="168">
        <f t="shared" si="50"/>
        <v>0</v>
      </c>
      <c r="I50" s="168">
        <f t="shared" si="50"/>
        <v>0</v>
      </c>
      <c r="J50" s="168">
        <f t="shared" si="50"/>
        <v>0</v>
      </c>
      <c r="K50" s="168">
        <f t="shared" si="50"/>
        <v>0</v>
      </c>
      <c r="L50" s="168">
        <f t="shared" si="50"/>
        <v>0</v>
      </c>
      <c r="M50" s="168">
        <f t="shared" si="50"/>
        <v>0</v>
      </c>
      <c r="N50" s="168">
        <f t="shared" si="50"/>
        <v>0</v>
      </c>
      <c r="O50" s="168">
        <f t="shared" si="50"/>
        <v>0</v>
      </c>
      <c r="P50" s="168">
        <f t="shared" si="50"/>
        <v>0</v>
      </c>
      <c r="Q50" s="168">
        <f t="shared" si="50"/>
        <v>0</v>
      </c>
      <c r="R50" s="168">
        <f t="shared" si="50"/>
        <v>0</v>
      </c>
      <c r="S50" s="168">
        <f t="shared" si="50"/>
        <v>0</v>
      </c>
      <c r="T50" s="168">
        <f t="shared" si="50"/>
        <v>0</v>
      </c>
      <c r="U50" s="168">
        <f t="shared" si="50"/>
        <v>0</v>
      </c>
      <c r="V50" s="168">
        <f t="shared" si="50"/>
        <v>0</v>
      </c>
      <c r="W50" s="168">
        <f t="shared" si="50"/>
        <v>0</v>
      </c>
      <c r="X50" s="168">
        <f t="shared" si="50"/>
        <v>0</v>
      </c>
      <c r="Y50" s="168">
        <f t="shared" si="50"/>
        <v>0</v>
      </c>
      <c r="Z50" s="168">
        <f t="shared" si="50"/>
        <v>0</v>
      </c>
      <c r="AA50" s="168">
        <f t="shared" si="50"/>
        <v>0</v>
      </c>
      <c r="AB50" s="168">
        <f t="shared" si="50"/>
        <v>0</v>
      </c>
      <c r="AC50" s="168">
        <f t="shared" si="50"/>
        <v>0</v>
      </c>
      <c r="AD50" s="168">
        <f t="shared" si="50"/>
        <v>0</v>
      </c>
      <c r="AE50" s="168">
        <f t="shared" si="50"/>
        <v>0</v>
      </c>
      <c r="AF50" s="168">
        <f t="shared" si="50"/>
        <v>0</v>
      </c>
      <c r="AG50" s="168">
        <f t="shared" si="50"/>
        <v>0</v>
      </c>
      <c r="AH50" s="168">
        <f t="shared" si="50"/>
        <v>0</v>
      </c>
      <c r="AI50" s="168">
        <f t="shared" si="49"/>
        <v>0</v>
      </c>
    </row>
    <row r="51" spans="1:35">
      <c r="A51" s="310"/>
      <c r="B51" t="s">
        <v>309</v>
      </c>
      <c r="C51" t="s">
        <v>1747</v>
      </c>
      <c r="D51" t="s">
        <v>474</v>
      </c>
      <c r="E51" s="168">
        <f t="shared" si="47"/>
        <v>1</v>
      </c>
      <c r="F51" s="168">
        <f t="shared" ref="F51:AH51" si="51">-($E51-$AI51)/30+E51</f>
        <v>1</v>
      </c>
      <c r="G51" s="168">
        <f t="shared" si="51"/>
        <v>1</v>
      </c>
      <c r="H51" s="168">
        <f t="shared" si="51"/>
        <v>1</v>
      </c>
      <c r="I51" s="168">
        <f t="shared" si="51"/>
        <v>1</v>
      </c>
      <c r="J51" s="168">
        <f t="shared" si="51"/>
        <v>1</v>
      </c>
      <c r="K51" s="168">
        <f t="shared" si="51"/>
        <v>1</v>
      </c>
      <c r="L51" s="168">
        <f t="shared" si="51"/>
        <v>1</v>
      </c>
      <c r="M51" s="168">
        <f t="shared" si="51"/>
        <v>1</v>
      </c>
      <c r="N51" s="168">
        <f t="shared" si="51"/>
        <v>1</v>
      </c>
      <c r="O51" s="168">
        <f t="shared" si="51"/>
        <v>1</v>
      </c>
      <c r="P51" s="168">
        <f t="shared" si="51"/>
        <v>1</v>
      </c>
      <c r="Q51" s="168">
        <f t="shared" si="51"/>
        <v>1</v>
      </c>
      <c r="R51" s="168">
        <f t="shared" si="51"/>
        <v>1</v>
      </c>
      <c r="S51" s="168">
        <f t="shared" si="51"/>
        <v>1</v>
      </c>
      <c r="T51" s="168">
        <f t="shared" si="51"/>
        <v>1</v>
      </c>
      <c r="U51" s="168">
        <f t="shared" si="51"/>
        <v>1</v>
      </c>
      <c r="V51" s="168">
        <f t="shared" si="51"/>
        <v>1</v>
      </c>
      <c r="W51" s="168">
        <f t="shared" si="51"/>
        <v>1</v>
      </c>
      <c r="X51" s="168">
        <f t="shared" si="51"/>
        <v>1</v>
      </c>
      <c r="Y51" s="168">
        <f t="shared" si="51"/>
        <v>1</v>
      </c>
      <c r="Z51" s="168">
        <f t="shared" si="51"/>
        <v>1</v>
      </c>
      <c r="AA51" s="168">
        <f t="shared" si="51"/>
        <v>1</v>
      </c>
      <c r="AB51" s="168">
        <f t="shared" si="51"/>
        <v>1</v>
      </c>
      <c r="AC51" s="168">
        <f t="shared" si="51"/>
        <v>1</v>
      </c>
      <c r="AD51" s="168">
        <f t="shared" si="51"/>
        <v>1</v>
      </c>
      <c r="AE51" s="168">
        <f t="shared" si="51"/>
        <v>1</v>
      </c>
      <c r="AF51" s="168">
        <f t="shared" si="51"/>
        <v>1</v>
      </c>
      <c r="AG51" s="168">
        <f t="shared" si="51"/>
        <v>1</v>
      </c>
      <c r="AH51" s="168">
        <f t="shared" si="51"/>
        <v>1</v>
      </c>
      <c r="AI51" s="168">
        <f t="shared" si="49"/>
        <v>1</v>
      </c>
    </row>
    <row r="52" spans="1:35" s="68" customFormat="1">
      <c r="A52" s="311"/>
      <c r="B52" s="68" t="s">
        <v>309</v>
      </c>
      <c r="C52" s="68" t="s">
        <v>1747</v>
      </c>
      <c r="D52" s="68" t="s">
        <v>248</v>
      </c>
      <c r="E52" s="421">
        <f t="shared" si="47"/>
        <v>0</v>
      </c>
      <c r="F52" s="421">
        <f t="shared" ref="F52:AH52" si="52">-($E52-$AI52)/30+E52</f>
        <v>3.3195849735538135E-5</v>
      </c>
      <c r="G52" s="421">
        <f t="shared" si="52"/>
        <v>6.639169947107627E-5</v>
      </c>
      <c r="H52" s="421">
        <f t="shared" si="52"/>
        <v>9.9587549206614398E-5</v>
      </c>
      <c r="I52" s="421">
        <f t="shared" si="52"/>
        <v>1.3278339894215254E-4</v>
      </c>
      <c r="J52" s="421">
        <f t="shared" si="52"/>
        <v>1.6597924867769068E-4</v>
      </c>
      <c r="K52" s="421">
        <f t="shared" si="52"/>
        <v>1.9917509841322882E-4</v>
      </c>
      <c r="L52" s="421">
        <f t="shared" si="52"/>
        <v>2.3237094814876696E-4</v>
      </c>
      <c r="M52" s="421">
        <f t="shared" si="52"/>
        <v>2.6556679788430508E-4</v>
      </c>
      <c r="N52" s="421">
        <f t="shared" si="52"/>
        <v>2.9876264761984322E-4</v>
      </c>
      <c r="O52" s="421">
        <f t="shared" si="52"/>
        <v>3.3195849735538136E-4</v>
      </c>
      <c r="P52" s="421">
        <f t="shared" si="52"/>
        <v>3.651543470909195E-4</v>
      </c>
      <c r="Q52" s="421">
        <f t="shared" si="52"/>
        <v>3.9835019682645765E-4</v>
      </c>
      <c r="R52" s="421">
        <f t="shared" si="52"/>
        <v>4.3154604656199579E-4</v>
      </c>
      <c r="S52" s="421">
        <f t="shared" si="52"/>
        <v>4.6474189629753393E-4</v>
      </c>
      <c r="T52" s="421">
        <f t="shared" si="52"/>
        <v>4.9793774603307207E-4</v>
      </c>
      <c r="U52" s="421">
        <f t="shared" si="52"/>
        <v>5.3113359576861016E-4</v>
      </c>
      <c r="V52" s="421">
        <f t="shared" si="52"/>
        <v>5.6432944550414824E-4</v>
      </c>
      <c r="W52" s="421">
        <f t="shared" si="52"/>
        <v>5.9752529523968633E-4</v>
      </c>
      <c r="X52" s="421">
        <f t="shared" si="52"/>
        <v>6.3072114497522442E-4</v>
      </c>
      <c r="Y52" s="421">
        <f t="shared" si="52"/>
        <v>6.6391699471076251E-4</v>
      </c>
      <c r="Z52" s="421">
        <f t="shared" si="52"/>
        <v>6.9711284444630059E-4</v>
      </c>
      <c r="AA52" s="421">
        <f t="shared" si="52"/>
        <v>7.3030869418183868E-4</v>
      </c>
      <c r="AB52" s="421">
        <f t="shared" si="52"/>
        <v>7.6350454391737677E-4</v>
      </c>
      <c r="AC52" s="421">
        <f t="shared" si="52"/>
        <v>7.9670039365291486E-4</v>
      </c>
      <c r="AD52" s="421">
        <f t="shared" si="52"/>
        <v>8.2989624338845294E-4</v>
      </c>
      <c r="AE52" s="421">
        <f t="shared" si="52"/>
        <v>8.6309209312399103E-4</v>
      </c>
      <c r="AF52" s="421">
        <f t="shared" si="52"/>
        <v>8.9628794285952912E-4</v>
      </c>
      <c r="AG52" s="421">
        <f t="shared" si="52"/>
        <v>9.2948379259506721E-4</v>
      </c>
      <c r="AH52" s="421">
        <f t="shared" si="52"/>
        <v>9.6267964233060529E-4</v>
      </c>
      <c r="AI52" s="421">
        <f t="shared" si="49"/>
        <v>9.9587549206614414E-4</v>
      </c>
    </row>
    <row r="53" spans="1:35" s="67" customFormat="1">
      <c r="A53" s="307"/>
      <c r="B53" s="67" t="s">
        <v>309</v>
      </c>
      <c r="C53" s="67" t="s">
        <v>1748</v>
      </c>
      <c r="D53" s="67" t="s">
        <v>258</v>
      </c>
      <c r="E53" s="201">
        <f>E3</f>
        <v>1</v>
      </c>
      <c r="F53" s="201">
        <f t="shared" ref="F53:AH53" si="53">-($E53-$AI53)/30+E53</f>
        <v>1</v>
      </c>
      <c r="G53" s="201">
        <f t="shared" si="53"/>
        <v>1</v>
      </c>
      <c r="H53" s="201">
        <f t="shared" si="53"/>
        <v>1</v>
      </c>
      <c r="I53" s="201">
        <f t="shared" si="53"/>
        <v>1</v>
      </c>
      <c r="J53" s="201">
        <f t="shared" si="53"/>
        <v>1</v>
      </c>
      <c r="K53" s="201">
        <f t="shared" si="53"/>
        <v>1</v>
      </c>
      <c r="L53" s="201">
        <f t="shared" si="53"/>
        <v>1</v>
      </c>
      <c r="M53" s="201">
        <f t="shared" si="53"/>
        <v>1</v>
      </c>
      <c r="N53" s="201">
        <f t="shared" si="53"/>
        <v>1</v>
      </c>
      <c r="O53" s="201">
        <f t="shared" si="53"/>
        <v>1</v>
      </c>
      <c r="P53" s="201">
        <f t="shared" si="53"/>
        <v>1</v>
      </c>
      <c r="Q53" s="201">
        <f t="shared" si="53"/>
        <v>1</v>
      </c>
      <c r="R53" s="201">
        <f t="shared" si="53"/>
        <v>1</v>
      </c>
      <c r="S53" s="201">
        <f t="shared" si="53"/>
        <v>1</v>
      </c>
      <c r="T53" s="201">
        <f t="shared" si="53"/>
        <v>1</v>
      </c>
      <c r="U53" s="201">
        <f t="shared" si="53"/>
        <v>1</v>
      </c>
      <c r="V53" s="201">
        <f t="shared" si="53"/>
        <v>1</v>
      </c>
      <c r="W53" s="201">
        <f t="shared" si="53"/>
        <v>1</v>
      </c>
      <c r="X53" s="201">
        <f t="shared" si="53"/>
        <v>1</v>
      </c>
      <c r="Y53" s="201">
        <f t="shared" si="53"/>
        <v>1</v>
      </c>
      <c r="Z53" s="201">
        <f t="shared" si="53"/>
        <v>1</v>
      </c>
      <c r="AA53" s="201">
        <f t="shared" si="53"/>
        <v>1</v>
      </c>
      <c r="AB53" s="201">
        <f t="shared" si="53"/>
        <v>1</v>
      </c>
      <c r="AC53" s="201">
        <f t="shared" si="53"/>
        <v>1</v>
      </c>
      <c r="AD53" s="201">
        <f t="shared" si="53"/>
        <v>1</v>
      </c>
      <c r="AE53" s="201">
        <f t="shared" si="53"/>
        <v>1</v>
      </c>
      <c r="AF53" s="201">
        <f t="shared" si="53"/>
        <v>1</v>
      </c>
      <c r="AG53" s="201">
        <f t="shared" si="53"/>
        <v>1</v>
      </c>
      <c r="AH53" s="201">
        <f t="shared" si="53"/>
        <v>1</v>
      </c>
      <c r="AI53" s="201">
        <f>O3</f>
        <v>1</v>
      </c>
    </row>
    <row r="54" spans="1:35">
      <c r="A54" s="310"/>
      <c r="B54" t="s">
        <v>309</v>
      </c>
      <c r="C54" t="s">
        <v>1748</v>
      </c>
      <c r="D54" t="s">
        <v>478</v>
      </c>
      <c r="E54" s="168">
        <f t="shared" ref="E54:E57" si="54">E4</f>
        <v>0</v>
      </c>
      <c r="F54" s="168">
        <f t="shared" ref="F54:AH54" si="55">-($E54-$AI54)/30+E54</f>
        <v>0</v>
      </c>
      <c r="G54" s="168">
        <f t="shared" si="55"/>
        <v>0</v>
      </c>
      <c r="H54" s="168">
        <f t="shared" si="55"/>
        <v>0</v>
      </c>
      <c r="I54" s="168">
        <f t="shared" si="55"/>
        <v>0</v>
      </c>
      <c r="J54" s="168">
        <f t="shared" si="55"/>
        <v>0</v>
      </c>
      <c r="K54" s="168">
        <f t="shared" si="55"/>
        <v>0</v>
      </c>
      <c r="L54" s="168">
        <f t="shared" si="55"/>
        <v>0</v>
      </c>
      <c r="M54" s="168">
        <f t="shared" si="55"/>
        <v>0</v>
      </c>
      <c r="N54" s="168">
        <f t="shared" si="55"/>
        <v>0</v>
      </c>
      <c r="O54" s="168">
        <f t="shared" si="55"/>
        <v>0</v>
      </c>
      <c r="P54" s="168">
        <f t="shared" si="55"/>
        <v>0</v>
      </c>
      <c r="Q54" s="168">
        <f t="shared" si="55"/>
        <v>0</v>
      </c>
      <c r="R54" s="168">
        <f t="shared" si="55"/>
        <v>0</v>
      </c>
      <c r="S54" s="168">
        <f t="shared" si="55"/>
        <v>0</v>
      </c>
      <c r="T54" s="168">
        <f t="shared" si="55"/>
        <v>0</v>
      </c>
      <c r="U54" s="168">
        <f t="shared" si="55"/>
        <v>0</v>
      </c>
      <c r="V54" s="168">
        <f t="shared" si="55"/>
        <v>0</v>
      </c>
      <c r="W54" s="168">
        <f t="shared" si="55"/>
        <v>0</v>
      </c>
      <c r="X54" s="168">
        <f t="shared" si="55"/>
        <v>0</v>
      </c>
      <c r="Y54" s="168">
        <f t="shared" si="55"/>
        <v>0</v>
      </c>
      <c r="Z54" s="168">
        <f t="shared" si="55"/>
        <v>0</v>
      </c>
      <c r="AA54" s="168">
        <f t="shared" si="55"/>
        <v>0</v>
      </c>
      <c r="AB54" s="168">
        <f t="shared" si="55"/>
        <v>0</v>
      </c>
      <c r="AC54" s="168">
        <f t="shared" si="55"/>
        <v>0</v>
      </c>
      <c r="AD54" s="168">
        <f t="shared" si="55"/>
        <v>0</v>
      </c>
      <c r="AE54" s="168">
        <f t="shared" si="55"/>
        <v>0</v>
      </c>
      <c r="AF54" s="168">
        <f t="shared" si="55"/>
        <v>0</v>
      </c>
      <c r="AG54" s="168">
        <f t="shared" si="55"/>
        <v>0</v>
      </c>
      <c r="AH54" s="168">
        <f t="shared" si="55"/>
        <v>0</v>
      </c>
      <c r="AI54" s="168">
        <f t="shared" ref="AI54:AI57" si="56">O4</f>
        <v>0</v>
      </c>
    </row>
    <row r="55" spans="1:35">
      <c r="A55" s="310"/>
      <c r="B55" t="s">
        <v>309</v>
      </c>
      <c r="C55" t="s">
        <v>1748</v>
      </c>
      <c r="D55" t="s">
        <v>480</v>
      </c>
      <c r="E55" s="168">
        <f t="shared" si="54"/>
        <v>0</v>
      </c>
      <c r="F55" s="168">
        <f t="shared" ref="F55:AH55" si="57">-($E55-$AI55)/30+E55</f>
        <v>0</v>
      </c>
      <c r="G55" s="168">
        <f t="shared" si="57"/>
        <v>0</v>
      </c>
      <c r="H55" s="168">
        <f t="shared" si="57"/>
        <v>0</v>
      </c>
      <c r="I55" s="168">
        <f t="shared" si="57"/>
        <v>0</v>
      </c>
      <c r="J55" s="168">
        <f t="shared" si="57"/>
        <v>0</v>
      </c>
      <c r="K55" s="168">
        <f t="shared" si="57"/>
        <v>0</v>
      </c>
      <c r="L55" s="168">
        <f t="shared" si="57"/>
        <v>0</v>
      </c>
      <c r="M55" s="168">
        <f t="shared" si="57"/>
        <v>0</v>
      </c>
      <c r="N55" s="168">
        <f t="shared" si="57"/>
        <v>0</v>
      </c>
      <c r="O55" s="168">
        <f t="shared" si="57"/>
        <v>0</v>
      </c>
      <c r="P55" s="168">
        <f t="shared" si="57"/>
        <v>0</v>
      </c>
      <c r="Q55" s="168">
        <f t="shared" si="57"/>
        <v>0</v>
      </c>
      <c r="R55" s="168">
        <f t="shared" si="57"/>
        <v>0</v>
      </c>
      <c r="S55" s="168">
        <f t="shared" si="57"/>
        <v>0</v>
      </c>
      <c r="T55" s="168">
        <f t="shared" si="57"/>
        <v>0</v>
      </c>
      <c r="U55" s="168">
        <f t="shared" si="57"/>
        <v>0</v>
      </c>
      <c r="V55" s="168">
        <f t="shared" si="57"/>
        <v>0</v>
      </c>
      <c r="W55" s="168">
        <f t="shared" si="57"/>
        <v>0</v>
      </c>
      <c r="X55" s="168">
        <f t="shared" si="57"/>
        <v>0</v>
      </c>
      <c r="Y55" s="168">
        <f t="shared" si="57"/>
        <v>0</v>
      </c>
      <c r="Z55" s="168">
        <f t="shared" si="57"/>
        <v>0</v>
      </c>
      <c r="AA55" s="168">
        <f t="shared" si="57"/>
        <v>0</v>
      </c>
      <c r="AB55" s="168">
        <f t="shared" si="57"/>
        <v>0</v>
      </c>
      <c r="AC55" s="168">
        <f t="shared" si="57"/>
        <v>0</v>
      </c>
      <c r="AD55" s="168">
        <f t="shared" si="57"/>
        <v>0</v>
      </c>
      <c r="AE55" s="168">
        <f t="shared" si="57"/>
        <v>0</v>
      </c>
      <c r="AF55" s="168">
        <f t="shared" si="57"/>
        <v>0</v>
      </c>
      <c r="AG55" s="168">
        <f t="shared" si="57"/>
        <v>0</v>
      </c>
      <c r="AH55" s="168">
        <f t="shared" si="57"/>
        <v>0</v>
      </c>
      <c r="AI55" s="168">
        <f t="shared" si="56"/>
        <v>0</v>
      </c>
    </row>
    <row r="56" spans="1:35">
      <c r="A56" s="310"/>
      <c r="B56" t="s">
        <v>309</v>
      </c>
      <c r="C56" t="s">
        <v>1748</v>
      </c>
      <c r="D56" t="s">
        <v>474</v>
      </c>
      <c r="E56" s="168">
        <f t="shared" si="54"/>
        <v>0</v>
      </c>
      <c r="F56" s="168">
        <f t="shared" ref="F56:AH56" si="58">-($E56-$AI56)/30+E56</f>
        <v>0</v>
      </c>
      <c r="G56" s="168">
        <f t="shared" si="58"/>
        <v>0</v>
      </c>
      <c r="H56" s="168">
        <f t="shared" si="58"/>
        <v>0</v>
      </c>
      <c r="I56" s="168">
        <f t="shared" si="58"/>
        <v>0</v>
      </c>
      <c r="J56" s="168">
        <f t="shared" si="58"/>
        <v>0</v>
      </c>
      <c r="K56" s="168">
        <f t="shared" si="58"/>
        <v>0</v>
      </c>
      <c r="L56" s="168">
        <f t="shared" si="58"/>
        <v>0</v>
      </c>
      <c r="M56" s="168">
        <f t="shared" si="58"/>
        <v>0</v>
      </c>
      <c r="N56" s="168">
        <f t="shared" si="58"/>
        <v>0</v>
      </c>
      <c r="O56" s="168">
        <f t="shared" si="58"/>
        <v>0</v>
      </c>
      <c r="P56" s="168">
        <f t="shared" si="58"/>
        <v>0</v>
      </c>
      <c r="Q56" s="168">
        <f t="shared" si="58"/>
        <v>0</v>
      </c>
      <c r="R56" s="168">
        <f t="shared" si="58"/>
        <v>0</v>
      </c>
      <c r="S56" s="168">
        <f t="shared" si="58"/>
        <v>0</v>
      </c>
      <c r="T56" s="168">
        <f t="shared" si="58"/>
        <v>0</v>
      </c>
      <c r="U56" s="168">
        <f t="shared" si="58"/>
        <v>0</v>
      </c>
      <c r="V56" s="168">
        <f t="shared" si="58"/>
        <v>0</v>
      </c>
      <c r="W56" s="168">
        <f t="shared" si="58"/>
        <v>0</v>
      </c>
      <c r="X56" s="168">
        <f t="shared" si="58"/>
        <v>0</v>
      </c>
      <c r="Y56" s="168">
        <f t="shared" si="58"/>
        <v>0</v>
      </c>
      <c r="Z56" s="168">
        <f t="shared" si="58"/>
        <v>0</v>
      </c>
      <c r="AA56" s="168">
        <f t="shared" si="58"/>
        <v>0</v>
      </c>
      <c r="AB56" s="168">
        <f t="shared" si="58"/>
        <v>0</v>
      </c>
      <c r="AC56" s="168">
        <f t="shared" si="58"/>
        <v>0</v>
      </c>
      <c r="AD56" s="168">
        <f t="shared" si="58"/>
        <v>0</v>
      </c>
      <c r="AE56" s="168">
        <f t="shared" si="58"/>
        <v>0</v>
      </c>
      <c r="AF56" s="168">
        <f t="shared" si="58"/>
        <v>0</v>
      </c>
      <c r="AG56" s="168">
        <f t="shared" si="58"/>
        <v>0</v>
      </c>
      <c r="AH56" s="168">
        <f t="shared" si="58"/>
        <v>0</v>
      </c>
      <c r="AI56" s="168">
        <f t="shared" si="56"/>
        <v>0</v>
      </c>
    </row>
    <row r="57" spans="1:35" s="68" customFormat="1">
      <c r="A57" s="311"/>
      <c r="B57" s="68" t="s">
        <v>309</v>
      </c>
      <c r="C57" s="68" t="s">
        <v>1748</v>
      </c>
      <c r="D57" s="68" t="s">
        <v>248</v>
      </c>
      <c r="E57" s="421">
        <f t="shared" si="54"/>
        <v>0</v>
      </c>
      <c r="F57" s="421">
        <f t="shared" ref="F57:AH57" si="59">-($E57-$AI57)/30+E57</f>
        <v>0</v>
      </c>
      <c r="G57" s="421">
        <f t="shared" si="59"/>
        <v>0</v>
      </c>
      <c r="H57" s="421">
        <f t="shared" si="59"/>
        <v>0</v>
      </c>
      <c r="I57" s="421">
        <f t="shared" si="59"/>
        <v>0</v>
      </c>
      <c r="J57" s="421">
        <f t="shared" si="59"/>
        <v>0</v>
      </c>
      <c r="K57" s="421">
        <f t="shared" si="59"/>
        <v>0</v>
      </c>
      <c r="L57" s="421">
        <f t="shared" si="59"/>
        <v>0</v>
      </c>
      <c r="M57" s="421">
        <f t="shared" si="59"/>
        <v>0</v>
      </c>
      <c r="N57" s="421">
        <f t="shared" si="59"/>
        <v>0</v>
      </c>
      <c r="O57" s="421">
        <f t="shared" si="59"/>
        <v>0</v>
      </c>
      <c r="P57" s="421">
        <f t="shared" si="59"/>
        <v>0</v>
      </c>
      <c r="Q57" s="421">
        <f t="shared" si="59"/>
        <v>0</v>
      </c>
      <c r="R57" s="421">
        <f t="shared" si="59"/>
        <v>0</v>
      </c>
      <c r="S57" s="421">
        <f t="shared" si="59"/>
        <v>0</v>
      </c>
      <c r="T57" s="421">
        <f t="shared" si="59"/>
        <v>0</v>
      </c>
      <c r="U57" s="421">
        <f t="shared" si="59"/>
        <v>0</v>
      </c>
      <c r="V57" s="421">
        <f t="shared" si="59"/>
        <v>0</v>
      </c>
      <c r="W57" s="421">
        <f t="shared" si="59"/>
        <v>0</v>
      </c>
      <c r="X57" s="421">
        <f t="shared" si="59"/>
        <v>0</v>
      </c>
      <c r="Y57" s="421">
        <f t="shared" si="59"/>
        <v>0</v>
      </c>
      <c r="Z57" s="421">
        <f t="shared" si="59"/>
        <v>0</v>
      </c>
      <c r="AA57" s="421">
        <f t="shared" si="59"/>
        <v>0</v>
      </c>
      <c r="AB57" s="421">
        <f t="shared" si="59"/>
        <v>0</v>
      </c>
      <c r="AC57" s="421">
        <f t="shared" si="59"/>
        <v>0</v>
      </c>
      <c r="AD57" s="421">
        <f t="shared" si="59"/>
        <v>0</v>
      </c>
      <c r="AE57" s="421">
        <f t="shared" si="59"/>
        <v>0</v>
      </c>
      <c r="AF57" s="421">
        <f t="shared" si="59"/>
        <v>0</v>
      </c>
      <c r="AG57" s="421">
        <f t="shared" si="59"/>
        <v>0</v>
      </c>
      <c r="AH57" s="421">
        <f t="shared" si="59"/>
        <v>0</v>
      </c>
      <c r="AI57" s="421">
        <f t="shared" si="56"/>
        <v>0</v>
      </c>
    </row>
    <row r="58" spans="1:35" s="67" customFormat="1">
      <c r="A58" s="307"/>
      <c r="B58" s="67" t="s">
        <v>309</v>
      </c>
      <c r="C58" s="67" t="s">
        <v>1749</v>
      </c>
      <c r="D58" s="67" t="s">
        <v>258</v>
      </c>
      <c r="E58" s="201">
        <f>F3</f>
        <v>1</v>
      </c>
      <c r="F58" s="201">
        <f t="shared" ref="F58:AH58" si="60">-($E58-$AI58)/30+E58</f>
        <v>0.98833333333333329</v>
      </c>
      <c r="G58" s="201">
        <f t="shared" si="60"/>
        <v>0.97666666666666657</v>
      </c>
      <c r="H58" s="201">
        <f t="shared" si="60"/>
        <v>0.96499999999999986</v>
      </c>
      <c r="I58" s="201">
        <f t="shared" si="60"/>
        <v>0.95333333333333314</v>
      </c>
      <c r="J58" s="201">
        <f t="shared" si="60"/>
        <v>0.94166666666666643</v>
      </c>
      <c r="K58" s="201">
        <f t="shared" si="60"/>
        <v>0.92999999999999972</v>
      </c>
      <c r="L58" s="201">
        <f t="shared" si="60"/>
        <v>0.918333333333333</v>
      </c>
      <c r="M58" s="201">
        <f t="shared" si="60"/>
        <v>0.90666666666666629</v>
      </c>
      <c r="N58" s="201">
        <f t="shared" si="60"/>
        <v>0.89499999999999957</v>
      </c>
      <c r="O58" s="201">
        <f t="shared" si="60"/>
        <v>0.88333333333333286</v>
      </c>
      <c r="P58" s="201">
        <f t="shared" si="60"/>
        <v>0.87166666666666615</v>
      </c>
      <c r="Q58" s="201">
        <f t="shared" si="60"/>
        <v>0.85999999999999943</v>
      </c>
      <c r="R58" s="201">
        <f t="shared" si="60"/>
        <v>0.84833333333333272</v>
      </c>
      <c r="S58" s="201">
        <f t="shared" si="60"/>
        <v>0.836666666666666</v>
      </c>
      <c r="T58" s="201">
        <f t="shared" si="60"/>
        <v>0.82499999999999929</v>
      </c>
      <c r="U58" s="201">
        <f t="shared" si="60"/>
        <v>0.81333333333333258</v>
      </c>
      <c r="V58" s="201">
        <f t="shared" si="60"/>
        <v>0.80166666666666586</v>
      </c>
      <c r="W58" s="201">
        <f t="shared" si="60"/>
        <v>0.78999999999999915</v>
      </c>
      <c r="X58" s="201">
        <f t="shared" si="60"/>
        <v>0.77833333333333243</v>
      </c>
      <c r="Y58" s="201">
        <f t="shared" si="60"/>
        <v>0.76666666666666572</v>
      </c>
      <c r="Z58" s="201">
        <f t="shared" si="60"/>
        <v>0.75499999999999901</v>
      </c>
      <c r="AA58" s="201">
        <f t="shared" si="60"/>
        <v>0.74333333333333229</v>
      </c>
      <c r="AB58" s="201">
        <f t="shared" si="60"/>
        <v>0.73166666666666558</v>
      </c>
      <c r="AC58" s="201">
        <f t="shared" si="60"/>
        <v>0.71999999999999886</v>
      </c>
      <c r="AD58" s="201">
        <f t="shared" si="60"/>
        <v>0.70833333333333215</v>
      </c>
      <c r="AE58" s="201">
        <f t="shared" si="60"/>
        <v>0.69666666666666544</v>
      </c>
      <c r="AF58" s="201">
        <f t="shared" si="60"/>
        <v>0.68499999999999872</v>
      </c>
      <c r="AG58" s="201">
        <f t="shared" si="60"/>
        <v>0.67333333333333201</v>
      </c>
      <c r="AH58" s="201">
        <f t="shared" si="60"/>
        <v>0.66166666666666529</v>
      </c>
      <c r="AI58" s="201">
        <f>P3</f>
        <v>0.65</v>
      </c>
    </row>
    <row r="59" spans="1:35">
      <c r="A59" s="310"/>
      <c r="B59" t="s">
        <v>309</v>
      </c>
      <c r="C59" t="s">
        <v>1749</v>
      </c>
      <c r="D59" t="s">
        <v>478</v>
      </c>
      <c r="E59" s="168">
        <f t="shared" ref="E59:E62" si="61">F4</f>
        <v>0</v>
      </c>
      <c r="F59" s="168">
        <f t="shared" ref="F59:AH59" si="62">-($E59-$AI59)/30+E59</f>
        <v>3.3333333333333335E-3</v>
      </c>
      <c r="G59" s="168">
        <f t="shared" si="62"/>
        <v>6.6666666666666671E-3</v>
      </c>
      <c r="H59" s="168">
        <f t="shared" si="62"/>
        <v>0.01</v>
      </c>
      <c r="I59" s="168">
        <f t="shared" si="62"/>
        <v>1.3333333333333334E-2</v>
      </c>
      <c r="J59" s="168">
        <f t="shared" si="62"/>
        <v>1.6666666666666666E-2</v>
      </c>
      <c r="K59" s="168">
        <f t="shared" si="62"/>
        <v>0.02</v>
      </c>
      <c r="L59" s="168">
        <f t="shared" si="62"/>
        <v>2.3333333333333334E-2</v>
      </c>
      <c r="M59" s="168">
        <f t="shared" si="62"/>
        <v>2.6666666666666668E-2</v>
      </c>
      <c r="N59" s="168">
        <f t="shared" si="62"/>
        <v>3.0000000000000002E-2</v>
      </c>
      <c r="O59" s="168">
        <f t="shared" si="62"/>
        <v>3.3333333333333333E-2</v>
      </c>
      <c r="P59" s="168">
        <f t="shared" si="62"/>
        <v>3.6666666666666667E-2</v>
      </c>
      <c r="Q59" s="168">
        <f t="shared" si="62"/>
        <v>0.04</v>
      </c>
      <c r="R59" s="168">
        <f t="shared" si="62"/>
        <v>4.3333333333333335E-2</v>
      </c>
      <c r="S59" s="168">
        <f t="shared" si="62"/>
        <v>4.6666666666666669E-2</v>
      </c>
      <c r="T59" s="168">
        <f t="shared" si="62"/>
        <v>0.05</v>
      </c>
      <c r="U59" s="168">
        <f t="shared" si="62"/>
        <v>5.3333333333333337E-2</v>
      </c>
      <c r="V59" s="168">
        <f t="shared" si="62"/>
        <v>5.6666666666666671E-2</v>
      </c>
      <c r="W59" s="168">
        <f t="shared" si="62"/>
        <v>6.0000000000000005E-2</v>
      </c>
      <c r="X59" s="168">
        <f t="shared" si="62"/>
        <v>6.3333333333333339E-2</v>
      </c>
      <c r="Y59" s="168">
        <f t="shared" si="62"/>
        <v>6.6666666666666666E-2</v>
      </c>
      <c r="Z59" s="168">
        <f t="shared" si="62"/>
        <v>6.9999999999999993E-2</v>
      </c>
      <c r="AA59" s="168">
        <f t="shared" si="62"/>
        <v>7.333333333333332E-2</v>
      </c>
      <c r="AB59" s="168">
        <f t="shared" si="62"/>
        <v>7.6666666666666647E-2</v>
      </c>
      <c r="AC59" s="168">
        <f t="shared" si="62"/>
        <v>7.9999999999999974E-2</v>
      </c>
      <c r="AD59" s="168">
        <f t="shared" si="62"/>
        <v>8.3333333333333301E-2</v>
      </c>
      <c r="AE59" s="168">
        <f t="shared" si="62"/>
        <v>8.6666666666666628E-2</v>
      </c>
      <c r="AF59" s="168">
        <f t="shared" si="62"/>
        <v>8.9999999999999955E-2</v>
      </c>
      <c r="AG59" s="168">
        <f t="shared" si="62"/>
        <v>9.3333333333333282E-2</v>
      </c>
      <c r="AH59" s="168">
        <f t="shared" si="62"/>
        <v>9.6666666666666609E-2</v>
      </c>
      <c r="AI59" s="168">
        <f t="shared" ref="AI59:AI62" si="63">P4</f>
        <v>0.1</v>
      </c>
    </row>
    <row r="60" spans="1:35">
      <c r="A60" s="310"/>
      <c r="B60" t="s">
        <v>309</v>
      </c>
      <c r="C60" t="s">
        <v>1749</v>
      </c>
      <c r="D60" t="s">
        <v>480</v>
      </c>
      <c r="E60" s="168">
        <f t="shared" si="61"/>
        <v>0</v>
      </c>
      <c r="F60" s="168">
        <f t="shared" ref="F60:AH60" si="64">-($E60-$AI60)/30+E60</f>
        <v>5.0000000000000001E-3</v>
      </c>
      <c r="G60" s="168">
        <f t="shared" si="64"/>
        <v>0.01</v>
      </c>
      <c r="H60" s="168">
        <f t="shared" si="64"/>
        <v>1.4999999999999999E-2</v>
      </c>
      <c r="I60" s="168">
        <f t="shared" si="64"/>
        <v>0.02</v>
      </c>
      <c r="J60" s="168">
        <f t="shared" si="64"/>
        <v>2.5000000000000001E-2</v>
      </c>
      <c r="K60" s="168">
        <f t="shared" si="64"/>
        <v>3.0000000000000002E-2</v>
      </c>
      <c r="L60" s="168">
        <f t="shared" si="64"/>
        <v>3.5000000000000003E-2</v>
      </c>
      <c r="M60" s="168">
        <f t="shared" si="64"/>
        <v>0.04</v>
      </c>
      <c r="N60" s="168">
        <f t="shared" si="64"/>
        <v>4.4999999999999998E-2</v>
      </c>
      <c r="O60" s="168">
        <f t="shared" si="64"/>
        <v>4.9999999999999996E-2</v>
      </c>
      <c r="P60" s="168">
        <f t="shared" si="64"/>
        <v>5.4999999999999993E-2</v>
      </c>
      <c r="Q60" s="168">
        <f t="shared" si="64"/>
        <v>5.9999999999999991E-2</v>
      </c>
      <c r="R60" s="168">
        <f t="shared" si="64"/>
        <v>6.4999999999999988E-2</v>
      </c>
      <c r="S60" s="168">
        <f t="shared" si="64"/>
        <v>6.9999999999999993E-2</v>
      </c>
      <c r="T60" s="168">
        <f t="shared" si="64"/>
        <v>7.4999999999999997E-2</v>
      </c>
      <c r="U60" s="168">
        <f t="shared" si="64"/>
        <v>0.08</v>
      </c>
      <c r="V60" s="168">
        <f t="shared" si="64"/>
        <v>8.5000000000000006E-2</v>
      </c>
      <c r="W60" s="168">
        <f t="shared" si="64"/>
        <v>9.0000000000000011E-2</v>
      </c>
      <c r="X60" s="168">
        <f t="shared" si="64"/>
        <v>9.5000000000000015E-2</v>
      </c>
      <c r="Y60" s="168">
        <f t="shared" si="64"/>
        <v>0.10000000000000002</v>
      </c>
      <c r="Z60" s="168">
        <f t="shared" si="64"/>
        <v>0.10500000000000002</v>
      </c>
      <c r="AA60" s="168">
        <f t="shared" si="64"/>
        <v>0.11000000000000003</v>
      </c>
      <c r="AB60" s="168">
        <f t="shared" si="64"/>
        <v>0.11500000000000003</v>
      </c>
      <c r="AC60" s="168">
        <f t="shared" si="64"/>
        <v>0.12000000000000004</v>
      </c>
      <c r="AD60" s="168">
        <f t="shared" si="64"/>
        <v>0.12500000000000003</v>
      </c>
      <c r="AE60" s="168">
        <f t="shared" si="64"/>
        <v>0.13000000000000003</v>
      </c>
      <c r="AF60" s="168">
        <f t="shared" si="64"/>
        <v>0.13500000000000004</v>
      </c>
      <c r="AG60" s="168">
        <f t="shared" si="64"/>
        <v>0.14000000000000004</v>
      </c>
      <c r="AH60" s="168">
        <f t="shared" si="64"/>
        <v>0.14500000000000005</v>
      </c>
      <c r="AI60" s="168">
        <f t="shared" si="63"/>
        <v>0.15</v>
      </c>
    </row>
    <row r="61" spans="1:35">
      <c r="A61" s="310"/>
      <c r="B61" t="s">
        <v>309</v>
      </c>
      <c r="C61" t="s">
        <v>1749</v>
      </c>
      <c r="D61" t="s">
        <v>474</v>
      </c>
      <c r="E61" s="168">
        <f t="shared" si="61"/>
        <v>0</v>
      </c>
      <c r="F61" s="168">
        <f t="shared" ref="F61:AH61" si="65">-($E61-$AI61)/30+E61</f>
        <v>1.6666666666666668E-3</v>
      </c>
      <c r="G61" s="168">
        <f t="shared" si="65"/>
        <v>3.3333333333333335E-3</v>
      </c>
      <c r="H61" s="168">
        <f t="shared" si="65"/>
        <v>5.0000000000000001E-3</v>
      </c>
      <c r="I61" s="168">
        <f t="shared" si="65"/>
        <v>6.6666666666666671E-3</v>
      </c>
      <c r="J61" s="168">
        <f t="shared" si="65"/>
        <v>8.3333333333333332E-3</v>
      </c>
      <c r="K61" s="168">
        <f t="shared" si="65"/>
        <v>0.01</v>
      </c>
      <c r="L61" s="168">
        <f t="shared" si="65"/>
        <v>1.1666666666666667E-2</v>
      </c>
      <c r="M61" s="168">
        <f t="shared" si="65"/>
        <v>1.3333333333333334E-2</v>
      </c>
      <c r="N61" s="168">
        <f t="shared" si="65"/>
        <v>1.5000000000000001E-2</v>
      </c>
      <c r="O61" s="168">
        <f t="shared" si="65"/>
        <v>1.6666666666666666E-2</v>
      </c>
      <c r="P61" s="168">
        <f t="shared" si="65"/>
        <v>1.8333333333333333E-2</v>
      </c>
      <c r="Q61" s="168">
        <f t="shared" si="65"/>
        <v>0.02</v>
      </c>
      <c r="R61" s="168">
        <f t="shared" si="65"/>
        <v>2.1666666666666667E-2</v>
      </c>
      <c r="S61" s="168">
        <f t="shared" si="65"/>
        <v>2.3333333333333334E-2</v>
      </c>
      <c r="T61" s="168">
        <f t="shared" si="65"/>
        <v>2.5000000000000001E-2</v>
      </c>
      <c r="U61" s="168">
        <f t="shared" si="65"/>
        <v>2.6666666666666668E-2</v>
      </c>
      <c r="V61" s="168">
        <f t="shared" si="65"/>
        <v>2.8333333333333335E-2</v>
      </c>
      <c r="W61" s="168">
        <f t="shared" si="65"/>
        <v>3.0000000000000002E-2</v>
      </c>
      <c r="X61" s="168">
        <f t="shared" si="65"/>
        <v>3.1666666666666669E-2</v>
      </c>
      <c r="Y61" s="168">
        <f t="shared" si="65"/>
        <v>3.3333333333333333E-2</v>
      </c>
      <c r="Z61" s="168">
        <f t="shared" si="65"/>
        <v>3.4999999999999996E-2</v>
      </c>
      <c r="AA61" s="168">
        <f t="shared" si="65"/>
        <v>3.666666666666666E-2</v>
      </c>
      <c r="AB61" s="168">
        <f t="shared" si="65"/>
        <v>3.8333333333333323E-2</v>
      </c>
      <c r="AC61" s="168">
        <f t="shared" si="65"/>
        <v>3.9999999999999987E-2</v>
      </c>
      <c r="AD61" s="168">
        <f t="shared" si="65"/>
        <v>4.166666666666665E-2</v>
      </c>
      <c r="AE61" s="168">
        <f t="shared" si="65"/>
        <v>4.3333333333333314E-2</v>
      </c>
      <c r="AF61" s="168">
        <f t="shared" si="65"/>
        <v>4.4999999999999978E-2</v>
      </c>
      <c r="AG61" s="168">
        <f t="shared" si="65"/>
        <v>4.6666666666666641E-2</v>
      </c>
      <c r="AH61" s="168">
        <f t="shared" si="65"/>
        <v>4.8333333333333305E-2</v>
      </c>
      <c r="AI61" s="168">
        <f t="shared" si="63"/>
        <v>0.05</v>
      </c>
    </row>
    <row r="62" spans="1:35" s="68" customFormat="1">
      <c r="A62" s="311"/>
      <c r="B62" s="68" t="s">
        <v>309</v>
      </c>
      <c r="C62" s="68" t="s">
        <v>1749</v>
      </c>
      <c r="D62" s="68" t="s">
        <v>248</v>
      </c>
      <c r="E62" s="421">
        <f t="shared" si="61"/>
        <v>0</v>
      </c>
      <c r="F62" s="421">
        <f t="shared" ref="F62:AH62" si="66">-($E62-$AI62)/30+E62</f>
        <v>1.6666666666666668E-3</v>
      </c>
      <c r="G62" s="421">
        <f t="shared" si="66"/>
        <v>3.3333333333333335E-3</v>
      </c>
      <c r="H62" s="421">
        <f t="shared" si="66"/>
        <v>5.0000000000000001E-3</v>
      </c>
      <c r="I62" s="421">
        <f t="shared" si="66"/>
        <v>6.6666666666666671E-3</v>
      </c>
      <c r="J62" s="421">
        <f t="shared" si="66"/>
        <v>8.3333333333333332E-3</v>
      </c>
      <c r="K62" s="421">
        <f t="shared" si="66"/>
        <v>0.01</v>
      </c>
      <c r="L62" s="421">
        <f t="shared" si="66"/>
        <v>1.1666666666666667E-2</v>
      </c>
      <c r="M62" s="421">
        <f t="shared" si="66"/>
        <v>1.3333333333333334E-2</v>
      </c>
      <c r="N62" s="421">
        <f t="shared" si="66"/>
        <v>1.5000000000000001E-2</v>
      </c>
      <c r="O62" s="421">
        <f t="shared" si="66"/>
        <v>1.6666666666666666E-2</v>
      </c>
      <c r="P62" s="421">
        <f t="shared" si="66"/>
        <v>1.8333333333333333E-2</v>
      </c>
      <c r="Q62" s="421">
        <f t="shared" si="66"/>
        <v>0.02</v>
      </c>
      <c r="R62" s="421">
        <f t="shared" si="66"/>
        <v>2.1666666666666667E-2</v>
      </c>
      <c r="S62" s="421">
        <f t="shared" si="66"/>
        <v>2.3333333333333334E-2</v>
      </c>
      <c r="T62" s="421">
        <f t="shared" si="66"/>
        <v>2.5000000000000001E-2</v>
      </c>
      <c r="U62" s="421">
        <f t="shared" si="66"/>
        <v>2.6666666666666668E-2</v>
      </c>
      <c r="V62" s="421">
        <f t="shared" si="66"/>
        <v>2.8333333333333335E-2</v>
      </c>
      <c r="W62" s="421">
        <f t="shared" si="66"/>
        <v>3.0000000000000002E-2</v>
      </c>
      <c r="X62" s="421">
        <f t="shared" si="66"/>
        <v>3.1666666666666669E-2</v>
      </c>
      <c r="Y62" s="421">
        <f t="shared" si="66"/>
        <v>3.3333333333333333E-2</v>
      </c>
      <c r="Z62" s="421">
        <f t="shared" si="66"/>
        <v>3.4999999999999996E-2</v>
      </c>
      <c r="AA62" s="421">
        <f t="shared" si="66"/>
        <v>3.666666666666666E-2</v>
      </c>
      <c r="AB62" s="421">
        <f t="shared" si="66"/>
        <v>3.8333333333333323E-2</v>
      </c>
      <c r="AC62" s="421">
        <f t="shared" si="66"/>
        <v>3.9999999999999987E-2</v>
      </c>
      <c r="AD62" s="421">
        <f t="shared" si="66"/>
        <v>4.166666666666665E-2</v>
      </c>
      <c r="AE62" s="421">
        <f t="shared" si="66"/>
        <v>4.3333333333333314E-2</v>
      </c>
      <c r="AF62" s="421">
        <f t="shared" si="66"/>
        <v>4.4999999999999978E-2</v>
      </c>
      <c r="AG62" s="421">
        <f t="shared" si="66"/>
        <v>4.6666666666666641E-2</v>
      </c>
      <c r="AH62" s="421">
        <f t="shared" si="66"/>
        <v>4.8333333333333305E-2</v>
      </c>
      <c r="AI62" s="421">
        <f t="shared" si="63"/>
        <v>0.05</v>
      </c>
    </row>
    <row r="63" spans="1:35" s="67" customFormat="1">
      <c r="A63" s="307"/>
      <c r="B63" s="67" t="s">
        <v>309</v>
      </c>
      <c r="C63" s="67" t="s">
        <v>1750</v>
      </c>
      <c r="D63" s="67" t="s">
        <v>258</v>
      </c>
      <c r="E63" s="201">
        <f>G3</f>
        <v>0.71762870357071562</v>
      </c>
      <c r="F63" s="201">
        <f t="shared" ref="F63:AH63" si="67">-($E63-$AI63)/30+E63</f>
        <v>0.72402662287681663</v>
      </c>
      <c r="G63" s="201">
        <f t="shared" si="67"/>
        <v>0.73042454218291764</v>
      </c>
      <c r="H63" s="201">
        <f t="shared" si="67"/>
        <v>0.73682246148901864</v>
      </c>
      <c r="I63" s="201">
        <f t="shared" si="67"/>
        <v>0.74322038079511965</v>
      </c>
      <c r="J63" s="201">
        <f t="shared" si="67"/>
        <v>0.74961830010122066</v>
      </c>
      <c r="K63" s="201">
        <f t="shared" si="67"/>
        <v>0.75601621940732167</v>
      </c>
      <c r="L63" s="201">
        <f t="shared" si="67"/>
        <v>0.76241413871342267</v>
      </c>
      <c r="M63" s="201">
        <f t="shared" si="67"/>
        <v>0.76881205801952368</v>
      </c>
      <c r="N63" s="201">
        <f t="shared" si="67"/>
        <v>0.77520997732562469</v>
      </c>
      <c r="O63" s="201">
        <f t="shared" si="67"/>
        <v>0.7816078966317257</v>
      </c>
      <c r="P63" s="201">
        <f t="shared" si="67"/>
        <v>0.7880058159378267</v>
      </c>
      <c r="Q63" s="201">
        <f t="shared" si="67"/>
        <v>0.79440373524392771</v>
      </c>
      <c r="R63" s="201">
        <f t="shared" si="67"/>
        <v>0.80080165455002872</v>
      </c>
      <c r="S63" s="201">
        <f t="shared" si="67"/>
        <v>0.80719957385612973</v>
      </c>
      <c r="T63" s="201">
        <f t="shared" si="67"/>
        <v>0.81359749316223073</v>
      </c>
      <c r="U63" s="201">
        <f t="shared" si="67"/>
        <v>0.81999541246833174</v>
      </c>
      <c r="V63" s="201">
        <f t="shared" si="67"/>
        <v>0.82639333177443275</v>
      </c>
      <c r="W63" s="201">
        <f t="shared" si="67"/>
        <v>0.83279125108053376</v>
      </c>
      <c r="X63" s="201">
        <f t="shared" si="67"/>
        <v>0.83918917038663476</v>
      </c>
      <c r="Y63" s="201">
        <f t="shared" si="67"/>
        <v>0.84558708969273577</v>
      </c>
      <c r="Z63" s="201">
        <f t="shared" si="67"/>
        <v>0.85198500899883678</v>
      </c>
      <c r="AA63" s="201">
        <f t="shared" si="67"/>
        <v>0.85838292830493779</v>
      </c>
      <c r="AB63" s="201">
        <f t="shared" si="67"/>
        <v>0.86478084761103879</v>
      </c>
      <c r="AC63" s="201">
        <f t="shared" si="67"/>
        <v>0.8711787669171398</v>
      </c>
      <c r="AD63" s="201">
        <f t="shared" si="67"/>
        <v>0.87757668622324081</v>
      </c>
      <c r="AE63" s="201">
        <f t="shared" si="67"/>
        <v>0.88397460552934182</v>
      </c>
      <c r="AF63" s="201">
        <f t="shared" si="67"/>
        <v>0.89037252483544282</v>
      </c>
      <c r="AG63" s="201">
        <f t="shared" si="67"/>
        <v>0.89677044414154383</v>
      </c>
      <c r="AH63" s="201">
        <f t="shared" si="67"/>
        <v>0.90316836344764484</v>
      </c>
      <c r="AI63" s="201">
        <f>Q3</f>
        <v>0.90956628275374496</v>
      </c>
    </row>
    <row r="64" spans="1:35">
      <c r="A64" s="310"/>
      <c r="B64" t="s">
        <v>309</v>
      </c>
      <c r="C64" t="s">
        <v>1750</v>
      </c>
      <c r="D64" t="s">
        <v>478</v>
      </c>
      <c r="E64" s="168">
        <f t="shared" ref="E64:E67" si="68">G4</f>
        <v>0.26057170849044342</v>
      </c>
      <c r="F64" s="168">
        <f t="shared" ref="F64:AH64" si="69">-($E64-$AI64)/30+E64</f>
        <v>0.25249553118721746</v>
      </c>
      <c r="G64" s="168">
        <f t="shared" si="69"/>
        <v>0.2444193538839915</v>
      </c>
      <c r="H64" s="168">
        <f t="shared" si="69"/>
        <v>0.23634317658076553</v>
      </c>
      <c r="I64" s="168">
        <f t="shared" si="69"/>
        <v>0.22826699927753957</v>
      </c>
      <c r="J64" s="168">
        <f t="shared" si="69"/>
        <v>0.22019082197431361</v>
      </c>
      <c r="K64" s="168">
        <f t="shared" si="69"/>
        <v>0.21211464467108765</v>
      </c>
      <c r="L64" s="168">
        <f t="shared" si="69"/>
        <v>0.20403846736786169</v>
      </c>
      <c r="M64" s="168">
        <f t="shared" si="69"/>
        <v>0.19596229006463572</v>
      </c>
      <c r="N64" s="168">
        <f t="shared" si="69"/>
        <v>0.18788611276140976</v>
      </c>
      <c r="O64" s="168">
        <f t="shared" si="69"/>
        <v>0.1798099354581838</v>
      </c>
      <c r="P64" s="168">
        <f t="shared" si="69"/>
        <v>0.17173375815495784</v>
      </c>
      <c r="Q64" s="168">
        <f t="shared" si="69"/>
        <v>0.16365758085173188</v>
      </c>
      <c r="R64" s="168">
        <f t="shared" si="69"/>
        <v>0.15558140354850591</v>
      </c>
      <c r="S64" s="168">
        <f t="shared" si="69"/>
        <v>0.14750522624527995</v>
      </c>
      <c r="T64" s="168">
        <f t="shared" si="69"/>
        <v>0.13942904894205399</v>
      </c>
      <c r="U64" s="168">
        <f t="shared" si="69"/>
        <v>0.13135287163882803</v>
      </c>
      <c r="V64" s="168">
        <f t="shared" si="69"/>
        <v>0.12327669433560208</v>
      </c>
      <c r="W64" s="168">
        <f t="shared" si="69"/>
        <v>0.11520051703237613</v>
      </c>
      <c r="X64" s="168">
        <f t="shared" si="69"/>
        <v>0.10712433972915018</v>
      </c>
      <c r="Y64" s="168">
        <f t="shared" si="69"/>
        <v>9.9048162425924235E-2</v>
      </c>
      <c r="Z64" s="168">
        <f t="shared" si="69"/>
        <v>9.0971985122698287E-2</v>
      </c>
      <c r="AA64" s="168">
        <f t="shared" si="69"/>
        <v>8.2895807819472339E-2</v>
      </c>
      <c r="AB64" s="168">
        <f t="shared" si="69"/>
        <v>7.4819630516246391E-2</v>
      </c>
      <c r="AC64" s="168">
        <f t="shared" si="69"/>
        <v>6.6743453213020443E-2</v>
      </c>
      <c r="AD64" s="168">
        <f t="shared" si="69"/>
        <v>5.8667275909794495E-2</v>
      </c>
      <c r="AE64" s="168">
        <f t="shared" si="69"/>
        <v>5.0591098606568546E-2</v>
      </c>
      <c r="AF64" s="168">
        <f t="shared" si="69"/>
        <v>4.2514921303342598E-2</v>
      </c>
      <c r="AG64" s="168">
        <f t="shared" si="69"/>
        <v>3.443874400011665E-2</v>
      </c>
      <c r="AH64" s="168">
        <f t="shared" si="69"/>
        <v>2.6362566696890702E-2</v>
      </c>
      <c r="AI64" s="168">
        <f t="shared" ref="AI64:AI67" si="70">Q4</f>
        <v>1.8286389393664958E-2</v>
      </c>
    </row>
    <row r="65" spans="1:35">
      <c r="A65" s="310"/>
      <c r="B65" t="s">
        <v>309</v>
      </c>
      <c r="C65" t="s">
        <v>1750</v>
      </c>
      <c r="D65" t="s">
        <v>480</v>
      </c>
      <c r="E65" s="168">
        <f t="shared" si="68"/>
        <v>0</v>
      </c>
      <c r="F65" s="168">
        <f t="shared" ref="F65:AH65" si="71">-($E65-$AI65)/30+E65</f>
        <v>7.4358703407605424E-4</v>
      </c>
      <c r="G65" s="168">
        <f t="shared" si="71"/>
        <v>1.4871740681521085E-3</v>
      </c>
      <c r="H65" s="168">
        <f t="shared" si="71"/>
        <v>2.2307611022281629E-3</v>
      </c>
      <c r="I65" s="168">
        <f t="shared" si="71"/>
        <v>2.974348136304217E-3</v>
      </c>
      <c r="J65" s="168">
        <f t="shared" si="71"/>
        <v>3.717935170380271E-3</v>
      </c>
      <c r="K65" s="168">
        <f t="shared" si="71"/>
        <v>4.461522204456325E-3</v>
      </c>
      <c r="L65" s="168">
        <f t="shared" si="71"/>
        <v>5.205109238532379E-3</v>
      </c>
      <c r="M65" s="168">
        <f t="shared" si="71"/>
        <v>5.9486962726084331E-3</v>
      </c>
      <c r="N65" s="168">
        <f t="shared" si="71"/>
        <v>6.6922833066844871E-3</v>
      </c>
      <c r="O65" s="168">
        <f t="shared" si="71"/>
        <v>7.4358703407605411E-3</v>
      </c>
      <c r="P65" s="168">
        <f t="shared" si="71"/>
        <v>8.1794573748365951E-3</v>
      </c>
      <c r="Q65" s="168">
        <f t="shared" si="71"/>
        <v>8.92304440891265E-3</v>
      </c>
      <c r="R65" s="168">
        <f t="shared" si="71"/>
        <v>9.6666314429887049E-3</v>
      </c>
      <c r="S65" s="168">
        <f t="shared" si="71"/>
        <v>1.041021847706476E-2</v>
      </c>
      <c r="T65" s="168">
        <f t="shared" si="71"/>
        <v>1.1153805511140815E-2</v>
      </c>
      <c r="U65" s="168">
        <f t="shared" si="71"/>
        <v>1.189739254521687E-2</v>
      </c>
      <c r="V65" s="168">
        <f t="shared" si="71"/>
        <v>1.2640979579292924E-2</v>
      </c>
      <c r="W65" s="168">
        <f t="shared" si="71"/>
        <v>1.3384566613368979E-2</v>
      </c>
      <c r="X65" s="168">
        <f t="shared" si="71"/>
        <v>1.4128153647445034E-2</v>
      </c>
      <c r="Y65" s="168">
        <f t="shared" si="71"/>
        <v>1.4871740681521089E-2</v>
      </c>
      <c r="Z65" s="168">
        <f t="shared" si="71"/>
        <v>1.5615327715597144E-2</v>
      </c>
      <c r="AA65" s="168">
        <f t="shared" si="71"/>
        <v>1.6358914749673197E-2</v>
      </c>
      <c r="AB65" s="168">
        <f t="shared" si="71"/>
        <v>1.7102501783749252E-2</v>
      </c>
      <c r="AC65" s="168">
        <f t="shared" si="71"/>
        <v>1.7846088817825307E-2</v>
      </c>
      <c r="AD65" s="168">
        <f t="shared" si="71"/>
        <v>1.8589675851901362E-2</v>
      </c>
      <c r="AE65" s="168">
        <f t="shared" si="71"/>
        <v>1.9333262885977417E-2</v>
      </c>
      <c r="AF65" s="168">
        <f t="shared" si="71"/>
        <v>2.0076849920053472E-2</v>
      </c>
      <c r="AG65" s="168">
        <f t="shared" si="71"/>
        <v>2.0820436954129527E-2</v>
      </c>
      <c r="AH65" s="168">
        <f t="shared" si="71"/>
        <v>2.1564023988205581E-2</v>
      </c>
      <c r="AI65" s="168">
        <f t="shared" si="70"/>
        <v>2.2307611022281626E-2</v>
      </c>
    </row>
    <row r="66" spans="1:35">
      <c r="A66" s="310"/>
      <c r="B66" t="s">
        <v>309</v>
      </c>
      <c r="C66" t="s">
        <v>1750</v>
      </c>
      <c r="D66" t="s">
        <v>474</v>
      </c>
      <c r="E66" s="168">
        <f t="shared" si="68"/>
        <v>2.1799587938840969E-2</v>
      </c>
      <c r="F66" s="168">
        <f t="shared" ref="F66:AH66" si="72">-($E66-$AI66)/30+E66</f>
        <v>2.2701063052154351E-2</v>
      </c>
      <c r="G66" s="168">
        <f t="shared" si="72"/>
        <v>2.3602538165467729E-2</v>
      </c>
      <c r="H66" s="168">
        <f t="shared" si="72"/>
        <v>2.4504013278781107E-2</v>
      </c>
      <c r="I66" s="168">
        <f t="shared" si="72"/>
        <v>2.5405488392094486E-2</v>
      </c>
      <c r="J66" s="168">
        <f t="shared" si="72"/>
        <v>2.6306963505407864E-2</v>
      </c>
      <c r="K66" s="168">
        <f t="shared" si="72"/>
        <v>2.7208438618721242E-2</v>
      </c>
      <c r="L66" s="168">
        <f t="shared" si="72"/>
        <v>2.8109913732034621E-2</v>
      </c>
      <c r="M66" s="168">
        <f t="shared" si="72"/>
        <v>2.9011388845347999E-2</v>
      </c>
      <c r="N66" s="168">
        <f t="shared" si="72"/>
        <v>2.9912863958661377E-2</v>
      </c>
      <c r="O66" s="168">
        <f t="shared" si="72"/>
        <v>3.0814339071974756E-2</v>
      </c>
      <c r="P66" s="168">
        <f t="shared" si="72"/>
        <v>3.1715814185288134E-2</v>
      </c>
      <c r="Q66" s="168">
        <f t="shared" si="72"/>
        <v>3.2617289298601512E-2</v>
      </c>
      <c r="R66" s="168">
        <f t="shared" si="72"/>
        <v>3.3518764411914891E-2</v>
      </c>
      <c r="S66" s="168">
        <f t="shared" si="72"/>
        <v>3.4420239525228269E-2</v>
      </c>
      <c r="T66" s="168">
        <f t="shared" si="72"/>
        <v>3.5321714638541647E-2</v>
      </c>
      <c r="U66" s="168">
        <f t="shared" si="72"/>
        <v>3.6223189751855026E-2</v>
      </c>
      <c r="V66" s="168">
        <f t="shared" si="72"/>
        <v>3.7124664865168404E-2</v>
      </c>
      <c r="W66" s="168">
        <f t="shared" si="72"/>
        <v>3.8026139978481782E-2</v>
      </c>
      <c r="X66" s="168">
        <f t="shared" si="72"/>
        <v>3.892761509179516E-2</v>
      </c>
      <c r="Y66" s="168">
        <f t="shared" si="72"/>
        <v>3.9829090205108539E-2</v>
      </c>
      <c r="Z66" s="168">
        <f t="shared" si="72"/>
        <v>4.0730565318421917E-2</v>
      </c>
      <c r="AA66" s="168">
        <f t="shared" si="72"/>
        <v>4.1632040431735295E-2</v>
      </c>
      <c r="AB66" s="168">
        <f t="shared" si="72"/>
        <v>4.2533515545048674E-2</v>
      </c>
      <c r="AC66" s="168">
        <f t="shared" si="72"/>
        <v>4.3434990658362052E-2</v>
      </c>
      <c r="AD66" s="168">
        <f t="shared" si="72"/>
        <v>4.433646577167543E-2</v>
      </c>
      <c r="AE66" s="168">
        <f t="shared" si="72"/>
        <v>4.5237940884988809E-2</v>
      </c>
      <c r="AF66" s="168">
        <f t="shared" si="72"/>
        <v>4.6139415998302187E-2</v>
      </c>
      <c r="AG66" s="168">
        <f t="shared" si="72"/>
        <v>4.7040891111615565E-2</v>
      </c>
      <c r="AH66" s="168">
        <f t="shared" si="72"/>
        <v>4.7942366224928944E-2</v>
      </c>
      <c r="AI66" s="168">
        <f t="shared" si="70"/>
        <v>4.8843841338242371E-2</v>
      </c>
    </row>
    <row r="67" spans="1:35" s="68" customFormat="1">
      <c r="A67" s="311"/>
      <c r="B67" s="68" t="s">
        <v>309</v>
      </c>
      <c r="C67" s="68" t="s">
        <v>1750</v>
      </c>
      <c r="D67" s="68" t="s">
        <v>248</v>
      </c>
      <c r="E67" s="421">
        <f t="shared" si="68"/>
        <v>0</v>
      </c>
      <c r="F67" s="421">
        <f t="shared" ref="F67:AH67" si="73">-($E67-$AI67)/30+E67</f>
        <v>3.3195849735538135E-5</v>
      </c>
      <c r="G67" s="421">
        <f t="shared" si="73"/>
        <v>6.639169947107627E-5</v>
      </c>
      <c r="H67" s="421">
        <f t="shared" si="73"/>
        <v>9.9587549206614398E-5</v>
      </c>
      <c r="I67" s="421">
        <f t="shared" si="73"/>
        <v>1.3278339894215254E-4</v>
      </c>
      <c r="J67" s="421">
        <f t="shared" si="73"/>
        <v>1.6597924867769068E-4</v>
      </c>
      <c r="K67" s="421">
        <f t="shared" si="73"/>
        <v>1.9917509841322882E-4</v>
      </c>
      <c r="L67" s="421">
        <f t="shared" si="73"/>
        <v>2.3237094814876696E-4</v>
      </c>
      <c r="M67" s="421">
        <f t="shared" si="73"/>
        <v>2.6556679788430508E-4</v>
      </c>
      <c r="N67" s="421">
        <f t="shared" si="73"/>
        <v>2.9876264761984322E-4</v>
      </c>
      <c r="O67" s="421">
        <f t="shared" si="73"/>
        <v>3.3195849735538136E-4</v>
      </c>
      <c r="P67" s="421">
        <f t="shared" si="73"/>
        <v>3.651543470909195E-4</v>
      </c>
      <c r="Q67" s="421">
        <f t="shared" si="73"/>
        <v>3.9835019682645765E-4</v>
      </c>
      <c r="R67" s="421">
        <f t="shared" si="73"/>
        <v>4.3154604656199579E-4</v>
      </c>
      <c r="S67" s="421">
        <f t="shared" si="73"/>
        <v>4.6474189629753393E-4</v>
      </c>
      <c r="T67" s="421">
        <f t="shared" si="73"/>
        <v>4.9793774603307207E-4</v>
      </c>
      <c r="U67" s="421">
        <f t="shared" si="73"/>
        <v>5.3113359576861016E-4</v>
      </c>
      <c r="V67" s="421">
        <f t="shared" si="73"/>
        <v>5.6432944550414824E-4</v>
      </c>
      <c r="W67" s="421">
        <f t="shared" si="73"/>
        <v>5.9752529523968633E-4</v>
      </c>
      <c r="X67" s="421">
        <f t="shared" si="73"/>
        <v>6.3072114497522442E-4</v>
      </c>
      <c r="Y67" s="421">
        <f t="shared" si="73"/>
        <v>6.6391699471076251E-4</v>
      </c>
      <c r="Z67" s="421">
        <f t="shared" si="73"/>
        <v>6.9711284444630059E-4</v>
      </c>
      <c r="AA67" s="421">
        <f t="shared" si="73"/>
        <v>7.3030869418183868E-4</v>
      </c>
      <c r="AB67" s="421">
        <f t="shared" si="73"/>
        <v>7.6350454391737677E-4</v>
      </c>
      <c r="AC67" s="421">
        <f t="shared" si="73"/>
        <v>7.9670039365291486E-4</v>
      </c>
      <c r="AD67" s="421">
        <f t="shared" si="73"/>
        <v>8.2989624338845294E-4</v>
      </c>
      <c r="AE67" s="421">
        <f t="shared" si="73"/>
        <v>8.6309209312399103E-4</v>
      </c>
      <c r="AF67" s="421">
        <f t="shared" si="73"/>
        <v>8.9628794285952912E-4</v>
      </c>
      <c r="AG67" s="421">
        <f t="shared" si="73"/>
        <v>9.2948379259506721E-4</v>
      </c>
      <c r="AH67" s="421">
        <f t="shared" si="73"/>
        <v>9.6267964233060529E-4</v>
      </c>
      <c r="AI67" s="421">
        <f t="shared" si="70"/>
        <v>9.9587549206614414E-4</v>
      </c>
    </row>
    <row r="68" spans="1:35">
      <c r="B68" t="s">
        <v>370</v>
      </c>
      <c r="C68" t="s">
        <v>1746</v>
      </c>
      <c r="D68" t="s">
        <v>258</v>
      </c>
      <c r="E68" s="23">
        <f>D11</f>
        <v>0.80683781047114178</v>
      </c>
      <c r="F68" s="23">
        <f t="shared" ref="F68:AH68" si="74">-($E68-$AI68)/30+E68</f>
        <v>0.80385903311530105</v>
      </c>
      <c r="G68" s="23">
        <f t="shared" si="74"/>
        <v>0.80088025575946031</v>
      </c>
      <c r="H68" s="23">
        <f t="shared" si="74"/>
        <v>0.79790147840361958</v>
      </c>
      <c r="I68" s="23">
        <f t="shared" si="74"/>
        <v>0.79492270104777885</v>
      </c>
      <c r="J68" s="23">
        <f t="shared" si="74"/>
        <v>0.79194392369193811</v>
      </c>
      <c r="K68" s="23">
        <f t="shared" si="74"/>
        <v>0.78896514633609738</v>
      </c>
      <c r="L68" s="23">
        <f t="shared" si="74"/>
        <v>0.78598636898025664</v>
      </c>
      <c r="M68" s="23">
        <f t="shared" si="74"/>
        <v>0.78300759162441591</v>
      </c>
      <c r="N68" s="23">
        <f t="shared" si="74"/>
        <v>0.78002881426857518</v>
      </c>
      <c r="O68" s="23">
        <f t="shared" si="74"/>
        <v>0.77705003691273444</v>
      </c>
      <c r="P68" s="23">
        <f t="shared" si="74"/>
        <v>0.77407125955689371</v>
      </c>
      <c r="Q68" s="23">
        <f t="shared" si="74"/>
        <v>0.77109248220105298</v>
      </c>
      <c r="R68" s="23">
        <f t="shared" si="74"/>
        <v>0.76811370484521224</v>
      </c>
      <c r="S68" s="23">
        <f t="shared" si="74"/>
        <v>0.76513492748937151</v>
      </c>
      <c r="T68" s="23">
        <f t="shared" si="74"/>
        <v>0.76215615013353077</v>
      </c>
      <c r="U68" s="23">
        <f t="shared" si="74"/>
        <v>0.75917737277769004</v>
      </c>
      <c r="V68" s="23">
        <f t="shared" si="74"/>
        <v>0.75619859542184931</v>
      </c>
      <c r="W68" s="23">
        <f t="shared" si="74"/>
        <v>0.75321981806600857</v>
      </c>
      <c r="X68" s="23">
        <f t="shared" si="74"/>
        <v>0.75024104071016784</v>
      </c>
      <c r="Y68" s="23">
        <f t="shared" si="74"/>
        <v>0.74726226335432711</v>
      </c>
      <c r="Z68" s="23">
        <f t="shared" si="74"/>
        <v>0.74428348599848637</v>
      </c>
      <c r="AA68" s="23">
        <f t="shared" si="74"/>
        <v>0.74130470864264564</v>
      </c>
      <c r="AB68" s="23">
        <f t="shared" si="74"/>
        <v>0.7383259312868049</v>
      </c>
      <c r="AC68" s="23">
        <f t="shared" si="74"/>
        <v>0.73534715393096417</v>
      </c>
      <c r="AD68" s="23">
        <f t="shared" si="74"/>
        <v>0.73236837657512344</v>
      </c>
      <c r="AE68" s="23">
        <f t="shared" si="74"/>
        <v>0.7293895992192827</v>
      </c>
      <c r="AF68" s="23">
        <f t="shared" si="74"/>
        <v>0.72641082186344197</v>
      </c>
      <c r="AG68" s="23">
        <f t="shared" si="74"/>
        <v>0.72343204450760124</v>
      </c>
      <c r="AH68" s="23">
        <f t="shared" si="74"/>
        <v>0.7204532671517605</v>
      </c>
      <c r="AI68" s="23">
        <f>M11</f>
        <v>0.71747448979591832</v>
      </c>
    </row>
    <row r="69" spans="1:35">
      <c r="B69" t="s">
        <v>370</v>
      </c>
      <c r="D69" t="s">
        <v>478</v>
      </c>
      <c r="E69" s="23">
        <f t="shared" ref="E69:E72" si="75">D12</f>
        <v>0.10006551908988028</v>
      </c>
      <c r="F69" s="23">
        <f t="shared" ref="F69:AH69" si="76">-($E69-$AI69)/30+E69</f>
        <v>9.6730001786884262E-2</v>
      </c>
      <c r="G69" s="23">
        <f t="shared" si="76"/>
        <v>9.3394484483888249E-2</v>
      </c>
      <c r="H69" s="23">
        <f t="shared" si="76"/>
        <v>9.0058967180892235E-2</v>
      </c>
      <c r="I69" s="23">
        <f t="shared" si="76"/>
        <v>8.6723449877896222E-2</v>
      </c>
      <c r="J69" s="23">
        <f t="shared" si="76"/>
        <v>8.3387932574900209E-2</v>
      </c>
      <c r="K69" s="23">
        <f t="shared" si="76"/>
        <v>8.0052415271904195E-2</v>
      </c>
      <c r="L69" s="23">
        <f t="shared" si="76"/>
        <v>7.6716897968908182E-2</v>
      </c>
      <c r="M69" s="23">
        <f t="shared" si="76"/>
        <v>7.3381380665912169E-2</v>
      </c>
      <c r="N69" s="23">
        <f t="shared" si="76"/>
        <v>7.0045863362916155E-2</v>
      </c>
      <c r="O69" s="23">
        <f t="shared" si="76"/>
        <v>6.6710346059920142E-2</v>
      </c>
      <c r="P69" s="23">
        <f t="shared" si="76"/>
        <v>6.3374828756924129E-2</v>
      </c>
      <c r="Q69" s="23">
        <f t="shared" si="76"/>
        <v>6.0039311453928122E-2</v>
      </c>
      <c r="R69" s="23">
        <f t="shared" si="76"/>
        <v>5.6703794150932116E-2</v>
      </c>
      <c r="S69" s="23">
        <f t="shared" si="76"/>
        <v>5.3368276847936109E-2</v>
      </c>
      <c r="T69" s="23">
        <f t="shared" si="76"/>
        <v>5.0032759544940103E-2</v>
      </c>
      <c r="U69" s="23">
        <f t="shared" si="76"/>
        <v>4.6697242241944097E-2</v>
      </c>
      <c r="V69" s="23">
        <f t="shared" si="76"/>
        <v>4.336172493894809E-2</v>
      </c>
      <c r="W69" s="23">
        <f t="shared" si="76"/>
        <v>4.0026207635952084E-2</v>
      </c>
      <c r="X69" s="23">
        <f t="shared" si="76"/>
        <v>3.6690690332956077E-2</v>
      </c>
      <c r="Y69" s="23">
        <f t="shared" si="76"/>
        <v>3.3355173029960071E-2</v>
      </c>
      <c r="Z69" s="23">
        <f t="shared" si="76"/>
        <v>3.0019655726964061E-2</v>
      </c>
      <c r="AA69" s="23">
        <f t="shared" si="76"/>
        <v>2.6684138423968051E-2</v>
      </c>
      <c r="AB69" s="23">
        <f t="shared" si="76"/>
        <v>2.3348621120972041E-2</v>
      </c>
      <c r="AC69" s="23">
        <f t="shared" si="76"/>
        <v>2.0013103817976031E-2</v>
      </c>
      <c r="AD69" s="23">
        <f t="shared" si="76"/>
        <v>1.6677586514980022E-2</v>
      </c>
      <c r="AE69" s="23">
        <f t="shared" si="76"/>
        <v>1.3342069211984012E-2</v>
      </c>
      <c r="AF69" s="23">
        <f t="shared" si="76"/>
        <v>1.0006551908988002E-2</v>
      </c>
      <c r="AG69" s="23">
        <f t="shared" si="76"/>
        <v>6.6710346059919929E-3</v>
      </c>
      <c r="AH69" s="23">
        <f t="shared" si="76"/>
        <v>3.3355173029959839E-3</v>
      </c>
      <c r="AI69" s="23">
        <f t="shared" ref="AI69:AI72" si="77">M12</f>
        <v>0</v>
      </c>
    </row>
    <row r="70" spans="1:35">
      <c r="B70" t="s">
        <v>370</v>
      </c>
      <c r="D70" t="s">
        <v>480</v>
      </c>
      <c r="E70" s="23">
        <f t="shared" si="75"/>
        <v>0</v>
      </c>
      <c r="F70" s="23">
        <f t="shared" ref="F70:AH70" si="78">-($E70-$AI70)/30+E70</f>
        <v>3.5714285714285713E-3</v>
      </c>
      <c r="G70" s="23">
        <f t="shared" si="78"/>
        <v>7.1428571428571426E-3</v>
      </c>
      <c r="H70" s="23">
        <f t="shared" si="78"/>
        <v>1.0714285714285714E-2</v>
      </c>
      <c r="I70" s="23">
        <f t="shared" si="78"/>
        <v>1.4285714285714285E-2</v>
      </c>
      <c r="J70" s="23">
        <f t="shared" si="78"/>
        <v>1.7857142857142856E-2</v>
      </c>
      <c r="K70" s="23">
        <f t="shared" si="78"/>
        <v>2.1428571428571429E-2</v>
      </c>
      <c r="L70" s="23">
        <f t="shared" si="78"/>
        <v>2.5000000000000001E-2</v>
      </c>
      <c r="M70" s="23">
        <f t="shared" si="78"/>
        <v>2.8571428571428574E-2</v>
      </c>
      <c r="N70" s="23">
        <f t="shared" si="78"/>
        <v>3.2142857142857147E-2</v>
      </c>
      <c r="O70" s="23">
        <f t="shared" si="78"/>
        <v>3.5714285714285719E-2</v>
      </c>
      <c r="P70" s="23">
        <f t="shared" si="78"/>
        <v>3.9285714285714292E-2</v>
      </c>
      <c r="Q70" s="23">
        <f t="shared" si="78"/>
        <v>4.2857142857142864E-2</v>
      </c>
      <c r="R70" s="23">
        <f t="shared" si="78"/>
        <v>4.6428571428571437E-2</v>
      </c>
      <c r="S70" s="23">
        <f t="shared" si="78"/>
        <v>5.000000000000001E-2</v>
      </c>
      <c r="T70" s="23">
        <f t="shared" si="78"/>
        <v>5.3571428571428582E-2</v>
      </c>
      <c r="U70" s="23">
        <f t="shared" si="78"/>
        <v>5.7142857142857155E-2</v>
      </c>
      <c r="V70" s="23">
        <f t="shared" si="78"/>
        <v>6.0714285714285728E-2</v>
      </c>
      <c r="W70" s="23">
        <f t="shared" si="78"/>
        <v>6.4285714285714293E-2</v>
      </c>
      <c r="X70" s="23">
        <f t="shared" si="78"/>
        <v>6.7857142857142866E-2</v>
      </c>
      <c r="Y70" s="23">
        <f t="shared" si="78"/>
        <v>7.1428571428571438E-2</v>
      </c>
      <c r="Z70" s="23">
        <f t="shared" si="78"/>
        <v>7.5000000000000011E-2</v>
      </c>
      <c r="AA70" s="23">
        <f t="shared" si="78"/>
        <v>7.8571428571428584E-2</v>
      </c>
      <c r="AB70" s="23">
        <f t="shared" si="78"/>
        <v>8.2142857142857156E-2</v>
      </c>
      <c r="AC70" s="23">
        <f t="shared" si="78"/>
        <v>8.5714285714285729E-2</v>
      </c>
      <c r="AD70" s="23">
        <f t="shared" si="78"/>
        <v>8.9285714285714302E-2</v>
      </c>
      <c r="AE70" s="23">
        <f t="shared" si="78"/>
        <v>9.2857142857142874E-2</v>
      </c>
      <c r="AF70" s="23">
        <f t="shared" si="78"/>
        <v>9.6428571428571447E-2</v>
      </c>
      <c r="AG70" s="23">
        <f t="shared" si="78"/>
        <v>0.10000000000000002</v>
      </c>
      <c r="AH70" s="23">
        <f t="shared" si="78"/>
        <v>0.10357142857142859</v>
      </c>
      <c r="AI70" s="23">
        <f t="shared" si="77"/>
        <v>0.10714285714285714</v>
      </c>
    </row>
    <row r="71" spans="1:35">
      <c r="B71" t="s">
        <v>370</v>
      </c>
      <c r="D71" t="s">
        <v>474</v>
      </c>
      <c r="E71" s="23">
        <f t="shared" si="75"/>
        <v>0</v>
      </c>
      <c r="F71" s="23">
        <f t="shared" ref="F71:AH71" si="79">-($E71-$AI71)/30+E71</f>
        <v>0</v>
      </c>
      <c r="G71" s="23">
        <f t="shared" si="79"/>
        <v>0</v>
      </c>
      <c r="H71" s="23">
        <f t="shared" si="79"/>
        <v>0</v>
      </c>
      <c r="I71" s="23">
        <f t="shared" si="79"/>
        <v>0</v>
      </c>
      <c r="J71" s="23">
        <f t="shared" si="79"/>
        <v>0</v>
      </c>
      <c r="K71" s="23">
        <f t="shared" si="79"/>
        <v>0</v>
      </c>
      <c r="L71" s="23">
        <f t="shared" si="79"/>
        <v>0</v>
      </c>
      <c r="M71" s="23">
        <f t="shared" si="79"/>
        <v>0</v>
      </c>
      <c r="N71" s="23">
        <f t="shared" si="79"/>
        <v>0</v>
      </c>
      <c r="O71" s="23">
        <f t="shared" si="79"/>
        <v>0</v>
      </c>
      <c r="P71" s="23">
        <f t="shared" si="79"/>
        <v>0</v>
      </c>
      <c r="Q71" s="23">
        <f t="shared" si="79"/>
        <v>0</v>
      </c>
      <c r="R71" s="23">
        <f t="shared" si="79"/>
        <v>0</v>
      </c>
      <c r="S71" s="23">
        <f t="shared" si="79"/>
        <v>0</v>
      </c>
      <c r="T71" s="23">
        <f t="shared" si="79"/>
        <v>0</v>
      </c>
      <c r="U71" s="23">
        <f t="shared" si="79"/>
        <v>0</v>
      </c>
      <c r="V71" s="23">
        <f t="shared" si="79"/>
        <v>0</v>
      </c>
      <c r="W71" s="23">
        <f t="shared" si="79"/>
        <v>0</v>
      </c>
      <c r="X71" s="23">
        <f t="shared" si="79"/>
        <v>0</v>
      </c>
      <c r="Y71" s="23">
        <f t="shared" si="79"/>
        <v>0</v>
      </c>
      <c r="Z71" s="23">
        <f t="shared" si="79"/>
        <v>0</v>
      </c>
      <c r="AA71" s="23">
        <f t="shared" si="79"/>
        <v>0</v>
      </c>
      <c r="AB71" s="23">
        <f t="shared" si="79"/>
        <v>0</v>
      </c>
      <c r="AC71" s="23">
        <f t="shared" si="79"/>
        <v>0</v>
      </c>
      <c r="AD71" s="23">
        <f t="shared" si="79"/>
        <v>0</v>
      </c>
      <c r="AE71" s="23">
        <f t="shared" si="79"/>
        <v>0</v>
      </c>
      <c r="AF71" s="23">
        <f t="shared" si="79"/>
        <v>0</v>
      </c>
      <c r="AG71" s="23">
        <f t="shared" si="79"/>
        <v>0</v>
      </c>
      <c r="AH71" s="23">
        <f t="shared" si="79"/>
        <v>0</v>
      </c>
      <c r="AI71" s="23">
        <f t="shared" si="77"/>
        <v>0</v>
      </c>
    </row>
    <row r="72" spans="1:35">
      <c r="B72" t="s">
        <v>370</v>
      </c>
      <c r="D72" t="s">
        <v>248</v>
      </c>
      <c r="E72" s="23">
        <f t="shared" si="75"/>
        <v>9.3096670438977888E-2</v>
      </c>
      <c r="F72" s="23">
        <f t="shared" ref="F72:AH72" si="80">-($E72-$AI72)/30+E72</f>
        <v>9.5839536526386104E-2</v>
      </c>
      <c r="G72" s="23">
        <f t="shared" si="80"/>
        <v>9.858240261379432E-2</v>
      </c>
      <c r="H72" s="23">
        <f t="shared" si="80"/>
        <v>0.10132526870120254</v>
      </c>
      <c r="I72" s="23">
        <f t="shared" si="80"/>
        <v>0.10406813478861075</v>
      </c>
      <c r="J72" s="23">
        <f t="shared" si="80"/>
        <v>0.10681100087601897</v>
      </c>
      <c r="K72" s="23">
        <f t="shared" si="80"/>
        <v>0.10955386696342718</v>
      </c>
      <c r="L72" s="23">
        <f t="shared" si="80"/>
        <v>0.1122967330508354</v>
      </c>
      <c r="M72" s="23">
        <f t="shared" si="80"/>
        <v>0.11503959913824362</v>
      </c>
      <c r="N72" s="23">
        <f t="shared" si="80"/>
        <v>0.11778246522565183</v>
      </c>
      <c r="O72" s="23">
        <f t="shared" si="80"/>
        <v>0.12052533131306005</v>
      </c>
      <c r="P72" s="23">
        <f t="shared" si="80"/>
        <v>0.12326819740046827</v>
      </c>
      <c r="Q72" s="23">
        <f t="shared" si="80"/>
        <v>0.1260110634878765</v>
      </c>
      <c r="R72" s="23">
        <f t="shared" si="80"/>
        <v>0.12875392957528473</v>
      </c>
      <c r="S72" s="23">
        <f t="shared" si="80"/>
        <v>0.13149679566269296</v>
      </c>
      <c r="T72" s="23">
        <f t="shared" si="80"/>
        <v>0.13423966175010119</v>
      </c>
      <c r="U72" s="23">
        <f t="shared" si="80"/>
        <v>0.13698252783750942</v>
      </c>
      <c r="V72" s="23">
        <f t="shared" si="80"/>
        <v>0.13972539392491765</v>
      </c>
      <c r="W72" s="23">
        <f t="shared" si="80"/>
        <v>0.14246826001232588</v>
      </c>
      <c r="X72" s="23">
        <f t="shared" si="80"/>
        <v>0.14521112609973411</v>
      </c>
      <c r="Y72" s="23">
        <f t="shared" si="80"/>
        <v>0.14795399218714234</v>
      </c>
      <c r="Z72" s="23">
        <f t="shared" si="80"/>
        <v>0.15069685827455057</v>
      </c>
      <c r="AA72" s="23">
        <f t="shared" si="80"/>
        <v>0.1534397243619588</v>
      </c>
      <c r="AB72" s="23">
        <f t="shared" si="80"/>
        <v>0.15618259044936703</v>
      </c>
      <c r="AC72" s="23">
        <f t="shared" si="80"/>
        <v>0.15892545653677526</v>
      </c>
      <c r="AD72" s="23">
        <f t="shared" si="80"/>
        <v>0.16166832262418349</v>
      </c>
      <c r="AE72" s="23">
        <f t="shared" si="80"/>
        <v>0.16441118871159172</v>
      </c>
      <c r="AF72" s="23">
        <f t="shared" si="80"/>
        <v>0.16715405479899995</v>
      </c>
      <c r="AG72" s="23">
        <f t="shared" si="80"/>
        <v>0.16989692088640818</v>
      </c>
      <c r="AH72" s="23">
        <f t="shared" si="80"/>
        <v>0.17263978697381641</v>
      </c>
      <c r="AI72" s="23">
        <f t="shared" si="77"/>
        <v>0.17538265306122447</v>
      </c>
    </row>
    <row r="73" spans="1:35" s="67" customFormat="1">
      <c r="A73" s="307"/>
      <c r="B73" s="67" t="s">
        <v>370</v>
      </c>
      <c r="C73" s="67" t="s">
        <v>1753</v>
      </c>
      <c r="D73" s="67" t="s">
        <v>258</v>
      </c>
      <c r="E73" s="201">
        <f>E11</f>
        <v>0.80683781047114178</v>
      </c>
      <c r="F73" s="201">
        <f t="shared" ref="F73:AH73" si="81">-($E73-$AI73)/30+E73</f>
        <v>0.80385903311530105</v>
      </c>
      <c r="G73" s="201">
        <f t="shared" si="81"/>
        <v>0.80088025575946031</v>
      </c>
      <c r="H73" s="201">
        <f t="shared" si="81"/>
        <v>0.79790147840361958</v>
      </c>
      <c r="I73" s="201">
        <f t="shared" si="81"/>
        <v>0.79492270104777885</v>
      </c>
      <c r="J73" s="201">
        <f t="shared" si="81"/>
        <v>0.79194392369193811</v>
      </c>
      <c r="K73" s="201">
        <f t="shared" si="81"/>
        <v>0.78896514633609738</v>
      </c>
      <c r="L73" s="201">
        <f t="shared" si="81"/>
        <v>0.78598636898025664</v>
      </c>
      <c r="M73" s="201">
        <f t="shared" si="81"/>
        <v>0.78300759162441591</v>
      </c>
      <c r="N73" s="201">
        <f t="shared" si="81"/>
        <v>0.78002881426857518</v>
      </c>
      <c r="O73" s="201">
        <f t="shared" si="81"/>
        <v>0.77705003691273444</v>
      </c>
      <c r="P73" s="201">
        <f t="shared" si="81"/>
        <v>0.77407125955689371</v>
      </c>
      <c r="Q73" s="201">
        <f t="shared" si="81"/>
        <v>0.77109248220105298</v>
      </c>
      <c r="R73" s="201">
        <f t="shared" si="81"/>
        <v>0.76811370484521224</v>
      </c>
      <c r="S73" s="201">
        <f t="shared" si="81"/>
        <v>0.76513492748937151</v>
      </c>
      <c r="T73" s="201">
        <f t="shared" si="81"/>
        <v>0.76215615013353077</v>
      </c>
      <c r="U73" s="201">
        <f t="shared" si="81"/>
        <v>0.75917737277769004</v>
      </c>
      <c r="V73" s="201">
        <f t="shared" si="81"/>
        <v>0.75619859542184931</v>
      </c>
      <c r="W73" s="201">
        <f t="shared" si="81"/>
        <v>0.75321981806600857</v>
      </c>
      <c r="X73" s="201">
        <f t="shared" si="81"/>
        <v>0.75024104071016784</v>
      </c>
      <c r="Y73" s="201">
        <f t="shared" si="81"/>
        <v>0.74726226335432711</v>
      </c>
      <c r="Z73" s="201">
        <f t="shared" si="81"/>
        <v>0.74428348599848637</v>
      </c>
      <c r="AA73" s="201">
        <f t="shared" si="81"/>
        <v>0.74130470864264564</v>
      </c>
      <c r="AB73" s="201">
        <f t="shared" si="81"/>
        <v>0.7383259312868049</v>
      </c>
      <c r="AC73" s="201">
        <f t="shared" si="81"/>
        <v>0.73534715393096417</v>
      </c>
      <c r="AD73" s="201">
        <f t="shared" si="81"/>
        <v>0.73236837657512344</v>
      </c>
      <c r="AE73" s="201">
        <f t="shared" si="81"/>
        <v>0.7293895992192827</v>
      </c>
      <c r="AF73" s="201">
        <f t="shared" si="81"/>
        <v>0.72641082186344197</v>
      </c>
      <c r="AG73" s="201">
        <f t="shared" si="81"/>
        <v>0.72343204450760124</v>
      </c>
      <c r="AH73" s="201">
        <f t="shared" si="81"/>
        <v>0.7204532671517605</v>
      </c>
      <c r="AI73" s="201">
        <f>N11</f>
        <v>0.71747448979591832</v>
      </c>
    </row>
    <row r="74" spans="1:35">
      <c r="A74" s="310"/>
      <c r="B74" t="s">
        <v>370</v>
      </c>
      <c r="D74" t="s">
        <v>478</v>
      </c>
      <c r="E74" s="168">
        <f t="shared" ref="E74:E77" si="82">E12</f>
        <v>0.10006551908988028</v>
      </c>
      <c r="F74" s="168">
        <f t="shared" ref="F74:AH74" si="83">-($E74-$AI74)/30+E74</f>
        <v>9.6730001786884262E-2</v>
      </c>
      <c r="G74" s="168">
        <f t="shared" si="83"/>
        <v>9.3394484483888249E-2</v>
      </c>
      <c r="H74" s="168">
        <f t="shared" si="83"/>
        <v>9.0058967180892235E-2</v>
      </c>
      <c r="I74" s="168">
        <f t="shared" si="83"/>
        <v>8.6723449877896222E-2</v>
      </c>
      <c r="J74" s="168">
        <f t="shared" si="83"/>
        <v>8.3387932574900209E-2</v>
      </c>
      <c r="K74" s="168">
        <f t="shared" si="83"/>
        <v>8.0052415271904195E-2</v>
      </c>
      <c r="L74" s="168">
        <f t="shared" si="83"/>
        <v>7.6716897968908182E-2</v>
      </c>
      <c r="M74" s="168">
        <f t="shared" si="83"/>
        <v>7.3381380665912169E-2</v>
      </c>
      <c r="N74" s="168">
        <f t="shared" si="83"/>
        <v>7.0045863362916155E-2</v>
      </c>
      <c r="O74" s="168">
        <f t="shared" si="83"/>
        <v>6.6710346059920142E-2</v>
      </c>
      <c r="P74" s="168">
        <f t="shared" si="83"/>
        <v>6.3374828756924129E-2</v>
      </c>
      <c r="Q74" s="168">
        <f t="shared" si="83"/>
        <v>6.0039311453928122E-2</v>
      </c>
      <c r="R74" s="168">
        <f t="shared" si="83"/>
        <v>5.6703794150932116E-2</v>
      </c>
      <c r="S74" s="168">
        <f t="shared" si="83"/>
        <v>5.3368276847936109E-2</v>
      </c>
      <c r="T74" s="168">
        <f t="shared" si="83"/>
        <v>5.0032759544940103E-2</v>
      </c>
      <c r="U74" s="168">
        <f t="shared" si="83"/>
        <v>4.6697242241944097E-2</v>
      </c>
      <c r="V74" s="168">
        <f t="shared" si="83"/>
        <v>4.336172493894809E-2</v>
      </c>
      <c r="W74" s="168">
        <f t="shared" si="83"/>
        <v>4.0026207635952084E-2</v>
      </c>
      <c r="X74" s="168">
        <f t="shared" si="83"/>
        <v>3.6690690332956077E-2</v>
      </c>
      <c r="Y74" s="168">
        <f t="shared" si="83"/>
        <v>3.3355173029960071E-2</v>
      </c>
      <c r="Z74" s="168">
        <f t="shared" si="83"/>
        <v>3.0019655726964061E-2</v>
      </c>
      <c r="AA74" s="168">
        <f t="shared" si="83"/>
        <v>2.6684138423968051E-2</v>
      </c>
      <c r="AB74" s="168">
        <f t="shared" si="83"/>
        <v>2.3348621120972041E-2</v>
      </c>
      <c r="AC74" s="168">
        <f t="shared" si="83"/>
        <v>2.0013103817976031E-2</v>
      </c>
      <c r="AD74" s="168">
        <f t="shared" si="83"/>
        <v>1.6677586514980022E-2</v>
      </c>
      <c r="AE74" s="168">
        <f t="shared" si="83"/>
        <v>1.3342069211984012E-2</v>
      </c>
      <c r="AF74" s="168">
        <f t="shared" si="83"/>
        <v>1.0006551908988002E-2</v>
      </c>
      <c r="AG74" s="168">
        <f t="shared" si="83"/>
        <v>6.6710346059919929E-3</v>
      </c>
      <c r="AH74" s="168">
        <f t="shared" si="83"/>
        <v>3.3355173029959839E-3</v>
      </c>
      <c r="AI74" s="168">
        <f t="shared" ref="AI74:AI77" si="84">N12</f>
        <v>0</v>
      </c>
    </row>
    <row r="75" spans="1:35">
      <c r="A75" s="310"/>
      <c r="B75" t="s">
        <v>370</v>
      </c>
      <c r="D75" t="s">
        <v>480</v>
      </c>
      <c r="E75" s="168">
        <f t="shared" si="82"/>
        <v>0</v>
      </c>
      <c r="F75" s="168">
        <f t="shared" ref="F75:AH75" si="85">-($E75-$AI75)/30+E75</f>
        <v>3.5714285714285713E-3</v>
      </c>
      <c r="G75" s="168">
        <f t="shared" si="85"/>
        <v>7.1428571428571426E-3</v>
      </c>
      <c r="H75" s="168">
        <f t="shared" si="85"/>
        <v>1.0714285714285714E-2</v>
      </c>
      <c r="I75" s="168">
        <f t="shared" si="85"/>
        <v>1.4285714285714285E-2</v>
      </c>
      <c r="J75" s="168">
        <f t="shared" si="85"/>
        <v>1.7857142857142856E-2</v>
      </c>
      <c r="K75" s="168">
        <f t="shared" si="85"/>
        <v>2.1428571428571429E-2</v>
      </c>
      <c r="L75" s="168">
        <f t="shared" si="85"/>
        <v>2.5000000000000001E-2</v>
      </c>
      <c r="M75" s="168">
        <f t="shared" si="85"/>
        <v>2.8571428571428574E-2</v>
      </c>
      <c r="N75" s="168">
        <f t="shared" si="85"/>
        <v>3.2142857142857147E-2</v>
      </c>
      <c r="O75" s="168">
        <f t="shared" si="85"/>
        <v>3.5714285714285719E-2</v>
      </c>
      <c r="P75" s="168">
        <f t="shared" si="85"/>
        <v>3.9285714285714292E-2</v>
      </c>
      <c r="Q75" s="168">
        <f t="shared" si="85"/>
        <v>4.2857142857142864E-2</v>
      </c>
      <c r="R75" s="168">
        <f t="shared" si="85"/>
        <v>4.6428571428571437E-2</v>
      </c>
      <c r="S75" s="168">
        <f t="shared" si="85"/>
        <v>5.000000000000001E-2</v>
      </c>
      <c r="T75" s="168">
        <f t="shared" si="85"/>
        <v>5.3571428571428582E-2</v>
      </c>
      <c r="U75" s="168">
        <f t="shared" si="85"/>
        <v>5.7142857142857155E-2</v>
      </c>
      <c r="V75" s="168">
        <f t="shared" si="85"/>
        <v>6.0714285714285728E-2</v>
      </c>
      <c r="W75" s="168">
        <f t="shared" si="85"/>
        <v>6.4285714285714293E-2</v>
      </c>
      <c r="X75" s="168">
        <f t="shared" si="85"/>
        <v>6.7857142857142866E-2</v>
      </c>
      <c r="Y75" s="168">
        <f t="shared" si="85"/>
        <v>7.1428571428571438E-2</v>
      </c>
      <c r="Z75" s="168">
        <f t="shared" si="85"/>
        <v>7.5000000000000011E-2</v>
      </c>
      <c r="AA75" s="168">
        <f t="shared" si="85"/>
        <v>7.8571428571428584E-2</v>
      </c>
      <c r="AB75" s="168">
        <f t="shared" si="85"/>
        <v>8.2142857142857156E-2</v>
      </c>
      <c r="AC75" s="168">
        <f t="shared" si="85"/>
        <v>8.5714285714285729E-2</v>
      </c>
      <c r="AD75" s="168">
        <f t="shared" si="85"/>
        <v>8.9285714285714302E-2</v>
      </c>
      <c r="AE75" s="168">
        <f t="shared" si="85"/>
        <v>9.2857142857142874E-2</v>
      </c>
      <c r="AF75" s="168">
        <f t="shared" si="85"/>
        <v>9.6428571428571447E-2</v>
      </c>
      <c r="AG75" s="168">
        <f t="shared" si="85"/>
        <v>0.10000000000000002</v>
      </c>
      <c r="AH75" s="168">
        <f t="shared" si="85"/>
        <v>0.10357142857142859</v>
      </c>
      <c r="AI75" s="168">
        <f t="shared" si="84"/>
        <v>0.10714285714285714</v>
      </c>
    </row>
    <row r="76" spans="1:35">
      <c r="A76" s="310"/>
      <c r="B76" t="s">
        <v>370</v>
      </c>
      <c r="D76" t="s">
        <v>474</v>
      </c>
      <c r="E76" s="168">
        <f t="shared" si="82"/>
        <v>0</v>
      </c>
      <c r="F76" s="168">
        <f t="shared" ref="F76:AH76" si="86">-($E76-$AI76)/30+E76</f>
        <v>0</v>
      </c>
      <c r="G76" s="168">
        <f t="shared" si="86"/>
        <v>0</v>
      </c>
      <c r="H76" s="168">
        <f t="shared" si="86"/>
        <v>0</v>
      </c>
      <c r="I76" s="168">
        <f t="shared" si="86"/>
        <v>0</v>
      </c>
      <c r="J76" s="168">
        <f t="shared" si="86"/>
        <v>0</v>
      </c>
      <c r="K76" s="168">
        <f t="shared" si="86"/>
        <v>0</v>
      </c>
      <c r="L76" s="168">
        <f t="shared" si="86"/>
        <v>0</v>
      </c>
      <c r="M76" s="168">
        <f t="shared" si="86"/>
        <v>0</v>
      </c>
      <c r="N76" s="168">
        <f t="shared" si="86"/>
        <v>0</v>
      </c>
      <c r="O76" s="168">
        <f t="shared" si="86"/>
        <v>0</v>
      </c>
      <c r="P76" s="168">
        <f t="shared" si="86"/>
        <v>0</v>
      </c>
      <c r="Q76" s="168">
        <f t="shared" si="86"/>
        <v>0</v>
      </c>
      <c r="R76" s="168">
        <f t="shared" si="86"/>
        <v>0</v>
      </c>
      <c r="S76" s="168">
        <f t="shared" si="86"/>
        <v>0</v>
      </c>
      <c r="T76" s="168">
        <f t="shared" si="86"/>
        <v>0</v>
      </c>
      <c r="U76" s="168">
        <f t="shared" si="86"/>
        <v>0</v>
      </c>
      <c r="V76" s="168">
        <f t="shared" si="86"/>
        <v>0</v>
      </c>
      <c r="W76" s="168">
        <f t="shared" si="86"/>
        <v>0</v>
      </c>
      <c r="X76" s="168">
        <f t="shared" si="86"/>
        <v>0</v>
      </c>
      <c r="Y76" s="168">
        <f t="shared" si="86"/>
        <v>0</v>
      </c>
      <c r="Z76" s="168">
        <f t="shared" si="86"/>
        <v>0</v>
      </c>
      <c r="AA76" s="168">
        <f t="shared" si="86"/>
        <v>0</v>
      </c>
      <c r="AB76" s="168">
        <f t="shared" si="86"/>
        <v>0</v>
      </c>
      <c r="AC76" s="168">
        <f t="shared" si="86"/>
        <v>0</v>
      </c>
      <c r="AD76" s="168">
        <f t="shared" si="86"/>
        <v>0</v>
      </c>
      <c r="AE76" s="168">
        <f t="shared" si="86"/>
        <v>0</v>
      </c>
      <c r="AF76" s="168">
        <f t="shared" si="86"/>
        <v>0</v>
      </c>
      <c r="AG76" s="168">
        <f t="shared" si="86"/>
        <v>0</v>
      </c>
      <c r="AH76" s="168">
        <f t="shared" si="86"/>
        <v>0</v>
      </c>
      <c r="AI76" s="168">
        <f t="shared" si="84"/>
        <v>0</v>
      </c>
    </row>
    <row r="77" spans="1:35" s="68" customFormat="1">
      <c r="A77" s="311"/>
      <c r="B77" s="68" t="s">
        <v>370</v>
      </c>
      <c r="D77" s="68" t="s">
        <v>248</v>
      </c>
      <c r="E77" s="421">
        <f t="shared" si="82"/>
        <v>9.3096670438977888E-2</v>
      </c>
      <c r="F77" s="421">
        <f t="shared" ref="F77:AH77" si="87">-($E77-$AI77)/30+E77</f>
        <v>9.5839536526386104E-2</v>
      </c>
      <c r="G77" s="421">
        <f t="shared" si="87"/>
        <v>9.858240261379432E-2</v>
      </c>
      <c r="H77" s="421">
        <f t="shared" si="87"/>
        <v>0.10132526870120254</v>
      </c>
      <c r="I77" s="421">
        <f t="shared" si="87"/>
        <v>0.10406813478861075</v>
      </c>
      <c r="J77" s="421">
        <f t="shared" si="87"/>
        <v>0.10681100087601897</v>
      </c>
      <c r="K77" s="421">
        <f t="shared" si="87"/>
        <v>0.10955386696342718</v>
      </c>
      <c r="L77" s="421">
        <f t="shared" si="87"/>
        <v>0.1122967330508354</v>
      </c>
      <c r="M77" s="421">
        <f t="shared" si="87"/>
        <v>0.11503959913824362</v>
      </c>
      <c r="N77" s="421">
        <f t="shared" si="87"/>
        <v>0.11778246522565183</v>
      </c>
      <c r="O77" s="421">
        <f t="shared" si="87"/>
        <v>0.12052533131306005</v>
      </c>
      <c r="P77" s="421">
        <f t="shared" si="87"/>
        <v>0.12326819740046827</v>
      </c>
      <c r="Q77" s="421">
        <f t="shared" si="87"/>
        <v>0.1260110634878765</v>
      </c>
      <c r="R77" s="421">
        <f t="shared" si="87"/>
        <v>0.12875392957528473</v>
      </c>
      <c r="S77" s="421">
        <f t="shared" si="87"/>
        <v>0.13149679566269296</v>
      </c>
      <c r="T77" s="421">
        <f t="shared" si="87"/>
        <v>0.13423966175010119</v>
      </c>
      <c r="U77" s="421">
        <f t="shared" si="87"/>
        <v>0.13698252783750942</v>
      </c>
      <c r="V77" s="421">
        <f t="shared" si="87"/>
        <v>0.13972539392491765</v>
      </c>
      <c r="W77" s="421">
        <f t="shared" si="87"/>
        <v>0.14246826001232588</v>
      </c>
      <c r="X77" s="421">
        <f t="shared" si="87"/>
        <v>0.14521112609973411</v>
      </c>
      <c r="Y77" s="421">
        <f t="shared" si="87"/>
        <v>0.14795399218714234</v>
      </c>
      <c r="Z77" s="421">
        <f t="shared" si="87"/>
        <v>0.15069685827455057</v>
      </c>
      <c r="AA77" s="421">
        <f t="shared" si="87"/>
        <v>0.1534397243619588</v>
      </c>
      <c r="AB77" s="421">
        <f t="shared" si="87"/>
        <v>0.15618259044936703</v>
      </c>
      <c r="AC77" s="421">
        <f t="shared" si="87"/>
        <v>0.15892545653677526</v>
      </c>
      <c r="AD77" s="421">
        <f t="shared" si="87"/>
        <v>0.16166832262418349</v>
      </c>
      <c r="AE77" s="421">
        <f t="shared" si="87"/>
        <v>0.16441118871159172</v>
      </c>
      <c r="AF77" s="421">
        <f t="shared" si="87"/>
        <v>0.16715405479899995</v>
      </c>
      <c r="AG77" s="421">
        <f t="shared" si="87"/>
        <v>0.16989692088640818</v>
      </c>
      <c r="AH77" s="421">
        <f t="shared" si="87"/>
        <v>0.17263978697381641</v>
      </c>
      <c r="AI77" s="421">
        <f t="shared" si="84"/>
        <v>0.17538265306122447</v>
      </c>
    </row>
    <row r="78" spans="1:35" s="67" customFormat="1">
      <c r="A78" s="307"/>
      <c r="B78" s="67" t="s">
        <v>370</v>
      </c>
      <c r="C78" s="67" t="s">
        <v>1754</v>
      </c>
      <c r="D78" s="67" t="s">
        <v>258</v>
      </c>
      <c r="E78" s="201">
        <f>F11</f>
        <v>0.80683781047114178</v>
      </c>
      <c r="F78" s="201">
        <f t="shared" ref="F78:AH78" si="88">-($E78-$AI78)/30+E78</f>
        <v>0.80385903311530105</v>
      </c>
      <c r="G78" s="201">
        <f t="shared" si="88"/>
        <v>0.80088025575946031</v>
      </c>
      <c r="H78" s="201">
        <f t="shared" si="88"/>
        <v>0.79790147840361958</v>
      </c>
      <c r="I78" s="201">
        <f t="shared" si="88"/>
        <v>0.79492270104777885</v>
      </c>
      <c r="J78" s="201">
        <f t="shared" si="88"/>
        <v>0.79194392369193811</v>
      </c>
      <c r="K78" s="201">
        <f t="shared" si="88"/>
        <v>0.78896514633609738</v>
      </c>
      <c r="L78" s="201">
        <f t="shared" si="88"/>
        <v>0.78598636898025664</v>
      </c>
      <c r="M78" s="201">
        <f t="shared" si="88"/>
        <v>0.78300759162441591</v>
      </c>
      <c r="N78" s="201">
        <f t="shared" si="88"/>
        <v>0.78002881426857518</v>
      </c>
      <c r="O78" s="201">
        <f t="shared" si="88"/>
        <v>0.77705003691273444</v>
      </c>
      <c r="P78" s="201">
        <f t="shared" si="88"/>
        <v>0.77407125955689371</v>
      </c>
      <c r="Q78" s="201">
        <f t="shared" si="88"/>
        <v>0.77109248220105298</v>
      </c>
      <c r="R78" s="201">
        <f t="shared" si="88"/>
        <v>0.76811370484521224</v>
      </c>
      <c r="S78" s="201">
        <f t="shared" si="88"/>
        <v>0.76513492748937151</v>
      </c>
      <c r="T78" s="201">
        <f t="shared" si="88"/>
        <v>0.76215615013353077</v>
      </c>
      <c r="U78" s="201">
        <f t="shared" si="88"/>
        <v>0.75917737277769004</v>
      </c>
      <c r="V78" s="201">
        <f t="shared" si="88"/>
        <v>0.75619859542184931</v>
      </c>
      <c r="W78" s="201">
        <f t="shared" si="88"/>
        <v>0.75321981806600857</v>
      </c>
      <c r="X78" s="201">
        <f t="shared" si="88"/>
        <v>0.75024104071016784</v>
      </c>
      <c r="Y78" s="201">
        <f t="shared" si="88"/>
        <v>0.74726226335432711</v>
      </c>
      <c r="Z78" s="201">
        <f t="shared" si="88"/>
        <v>0.74428348599848637</v>
      </c>
      <c r="AA78" s="201">
        <f t="shared" si="88"/>
        <v>0.74130470864264564</v>
      </c>
      <c r="AB78" s="201">
        <f t="shared" si="88"/>
        <v>0.7383259312868049</v>
      </c>
      <c r="AC78" s="201">
        <f t="shared" si="88"/>
        <v>0.73534715393096417</v>
      </c>
      <c r="AD78" s="201">
        <f t="shared" si="88"/>
        <v>0.73236837657512344</v>
      </c>
      <c r="AE78" s="201">
        <f t="shared" si="88"/>
        <v>0.7293895992192827</v>
      </c>
      <c r="AF78" s="201">
        <f t="shared" si="88"/>
        <v>0.72641082186344197</v>
      </c>
      <c r="AG78" s="201">
        <f t="shared" si="88"/>
        <v>0.72343204450760124</v>
      </c>
      <c r="AH78" s="201">
        <f t="shared" si="88"/>
        <v>0.7204532671517605</v>
      </c>
      <c r="AI78" s="201">
        <f>O11</f>
        <v>0.71747448979591832</v>
      </c>
    </row>
    <row r="79" spans="1:35">
      <c r="A79" s="310"/>
      <c r="B79" t="s">
        <v>370</v>
      </c>
      <c r="D79" t="s">
        <v>478</v>
      </c>
      <c r="E79" s="168">
        <f t="shared" ref="E79:E82" si="89">F12</f>
        <v>0.10006551908988028</v>
      </c>
      <c r="F79" s="168">
        <f t="shared" ref="F79:AH79" si="90">-($E79-$AI79)/30+E79</f>
        <v>9.6730001786884262E-2</v>
      </c>
      <c r="G79" s="168">
        <f t="shared" si="90"/>
        <v>9.3394484483888249E-2</v>
      </c>
      <c r="H79" s="168">
        <f t="shared" si="90"/>
        <v>9.0058967180892235E-2</v>
      </c>
      <c r="I79" s="168">
        <f t="shared" si="90"/>
        <v>8.6723449877896222E-2</v>
      </c>
      <c r="J79" s="168">
        <f t="shared" si="90"/>
        <v>8.3387932574900209E-2</v>
      </c>
      <c r="K79" s="168">
        <f t="shared" si="90"/>
        <v>8.0052415271904195E-2</v>
      </c>
      <c r="L79" s="168">
        <f t="shared" si="90"/>
        <v>7.6716897968908182E-2</v>
      </c>
      <c r="M79" s="168">
        <f t="shared" si="90"/>
        <v>7.3381380665912169E-2</v>
      </c>
      <c r="N79" s="168">
        <f t="shared" si="90"/>
        <v>7.0045863362916155E-2</v>
      </c>
      <c r="O79" s="168">
        <f t="shared" si="90"/>
        <v>6.6710346059920142E-2</v>
      </c>
      <c r="P79" s="168">
        <f t="shared" si="90"/>
        <v>6.3374828756924129E-2</v>
      </c>
      <c r="Q79" s="168">
        <f t="shared" si="90"/>
        <v>6.0039311453928122E-2</v>
      </c>
      <c r="R79" s="168">
        <f t="shared" si="90"/>
        <v>5.6703794150932116E-2</v>
      </c>
      <c r="S79" s="168">
        <f t="shared" si="90"/>
        <v>5.3368276847936109E-2</v>
      </c>
      <c r="T79" s="168">
        <f t="shared" si="90"/>
        <v>5.0032759544940103E-2</v>
      </c>
      <c r="U79" s="168">
        <f t="shared" si="90"/>
        <v>4.6697242241944097E-2</v>
      </c>
      <c r="V79" s="168">
        <f t="shared" si="90"/>
        <v>4.336172493894809E-2</v>
      </c>
      <c r="W79" s="168">
        <f t="shared" si="90"/>
        <v>4.0026207635952084E-2</v>
      </c>
      <c r="X79" s="168">
        <f t="shared" si="90"/>
        <v>3.6690690332956077E-2</v>
      </c>
      <c r="Y79" s="168">
        <f t="shared" si="90"/>
        <v>3.3355173029960071E-2</v>
      </c>
      <c r="Z79" s="168">
        <f t="shared" si="90"/>
        <v>3.0019655726964061E-2</v>
      </c>
      <c r="AA79" s="168">
        <f t="shared" si="90"/>
        <v>2.6684138423968051E-2</v>
      </c>
      <c r="AB79" s="168">
        <f t="shared" si="90"/>
        <v>2.3348621120972041E-2</v>
      </c>
      <c r="AC79" s="168">
        <f t="shared" si="90"/>
        <v>2.0013103817976031E-2</v>
      </c>
      <c r="AD79" s="168">
        <f t="shared" si="90"/>
        <v>1.6677586514980022E-2</v>
      </c>
      <c r="AE79" s="168">
        <f t="shared" si="90"/>
        <v>1.3342069211984012E-2</v>
      </c>
      <c r="AF79" s="168">
        <f t="shared" si="90"/>
        <v>1.0006551908988002E-2</v>
      </c>
      <c r="AG79" s="168">
        <f t="shared" si="90"/>
        <v>6.6710346059919929E-3</v>
      </c>
      <c r="AH79" s="168">
        <f t="shared" si="90"/>
        <v>3.3355173029959839E-3</v>
      </c>
      <c r="AI79" s="168">
        <f t="shared" ref="AI79:AI82" si="91">O12</f>
        <v>0</v>
      </c>
    </row>
    <row r="80" spans="1:35">
      <c r="A80" s="310"/>
      <c r="B80" t="s">
        <v>370</v>
      </c>
      <c r="D80" t="s">
        <v>480</v>
      </c>
      <c r="E80" s="168">
        <f t="shared" si="89"/>
        <v>0</v>
      </c>
      <c r="F80" s="168">
        <f t="shared" ref="F80:AH80" si="92">-($E80-$AI80)/30+E80</f>
        <v>3.5714285714285713E-3</v>
      </c>
      <c r="G80" s="168">
        <f t="shared" si="92"/>
        <v>7.1428571428571426E-3</v>
      </c>
      <c r="H80" s="168">
        <f t="shared" si="92"/>
        <v>1.0714285714285714E-2</v>
      </c>
      <c r="I80" s="168">
        <f t="shared" si="92"/>
        <v>1.4285714285714285E-2</v>
      </c>
      <c r="J80" s="168">
        <f t="shared" si="92"/>
        <v>1.7857142857142856E-2</v>
      </c>
      <c r="K80" s="168">
        <f t="shared" si="92"/>
        <v>2.1428571428571429E-2</v>
      </c>
      <c r="L80" s="168">
        <f t="shared" si="92"/>
        <v>2.5000000000000001E-2</v>
      </c>
      <c r="M80" s="168">
        <f t="shared" si="92"/>
        <v>2.8571428571428574E-2</v>
      </c>
      <c r="N80" s="168">
        <f t="shared" si="92"/>
        <v>3.2142857142857147E-2</v>
      </c>
      <c r="O80" s="168">
        <f t="shared" si="92"/>
        <v>3.5714285714285719E-2</v>
      </c>
      <c r="P80" s="168">
        <f t="shared" si="92"/>
        <v>3.9285714285714292E-2</v>
      </c>
      <c r="Q80" s="168">
        <f t="shared" si="92"/>
        <v>4.2857142857142864E-2</v>
      </c>
      <c r="R80" s="168">
        <f t="shared" si="92"/>
        <v>4.6428571428571437E-2</v>
      </c>
      <c r="S80" s="168">
        <f t="shared" si="92"/>
        <v>5.000000000000001E-2</v>
      </c>
      <c r="T80" s="168">
        <f t="shared" si="92"/>
        <v>5.3571428571428582E-2</v>
      </c>
      <c r="U80" s="168">
        <f t="shared" si="92"/>
        <v>5.7142857142857155E-2</v>
      </c>
      <c r="V80" s="168">
        <f t="shared" si="92"/>
        <v>6.0714285714285728E-2</v>
      </c>
      <c r="W80" s="168">
        <f t="shared" si="92"/>
        <v>6.4285714285714293E-2</v>
      </c>
      <c r="X80" s="168">
        <f t="shared" si="92"/>
        <v>6.7857142857142866E-2</v>
      </c>
      <c r="Y80" s="168">
        <f t="shared" si="92"/>
        <v>7.1428571428571438E-2</v>
      </c>
      <c r="Z80" s="168">
        <f t="shared" si="92"/>
        <v>7.5000000000000011E-2</v>
      </c>
      <c r="AA80" s="168">
        <f t="shared" si="92"/>
        <v>7.8571428571428584E-2</v>
      </c>
      <c r="AB80" s="168">
        <f t="shared" si="92"/>
        <v>8.2142857142857156E-2</v>
      </c>
      <c r="AC80" s="168">
        <f t="shared" si="92"/>
        <v>8.5714285714285729E-2</v>
      </c>
      <c r="AD80" s="168">
        <f t="shared" si="92"/>
        <v>8.9285714285714302E-2</v>
      </c>
      <c r="AE80" s="168">
        <f t="shared" si="92"/>
        <v>9.2857142857142874E-2</v>
      </c>
      <c r="AF80" s="168">
        <f t="shared" si="92"/>
        <v>9.6428571428571447E-2</v>
      </c>
      <c r="AG80" s="168">
        <f t="shared" si="92"/>
        <v>0.10000000000000002</v>
      </c>
      <c r="AH80" s="168">
        <f t="shared" si="92"/>
        <v>0.10357142857142859</v>
      </c>
      <c r="AI80" s="168">
        <f t="shared" si="91"/>
        <v>0.10714285714285714</v>
      </c>
    </row>
    <row r="81" spans="1:35">
      <c r="A81" s="310"/>
      <c r="B81" t="s">
        <v>370</v>
      </c>
      <c r="D81" t="s">
        <v>474</v>
      </c>
      <c r="E81" s="168">
        <f t="shared" si="89"/>
        <v>0</v>
      </c>
      <c r="F81" s="168">
        <f t="shared" ref="F81:AH81" si="93">-($E81-$AI81)/30+E81</f>
        <v>0</v>
      </c>
      <c r="G81" s="168">
        <f t="shared" si="93"/>
        <v>0</v>
      </c>
      <c r="H81" s="168">
        <f t="shared" si="93"/>
        <v>0</v>
      </c>
      <c r="I81" s="168">
        <f t="shared" si="93"/>
        <v>0</v>
      </c>
      <c r="J81" s="168">
        <f t="shared" si="93"/>
        <v>0</v>
      </c>
      <c r="K81" s="168">
        <f t="shared" si="93"/>
        <v>0</v>
      </c>
      <c r="L81" s="168">
        <f t="shared" si="93"/>
        <v>0</v>
      </c>
      <c r="M81" s="168">
        <f t="shared" si="93"/>
        <v>0</v>
      </c>
      <c r="N81" s="168">
        <f t="shared" si="93"/>
        <v>0</v>
      </c>
      <c r="O81" s="168">
        <f t="shared" si="93"/>
        <v>0</v>
      </c>
      <c r="P81" s="168">
        <f t="shared" si="93"/>
        <v>0</v>
      </c>
      <c r="Q81" s="168">
        <f t="shared" si="93"/>
        <v>0</v>
      </c>
      <c r="R81" s="168">
        <f t="shared" si="93"/>
        <v>0</v>
      </c>
      <c r="S81" s="168">
        <f t="shared" si="93"/>
        <v>0</v>
      </c>
      <c r="T81" s="168">
        <f t="shared" si="93"/>
        <v>0</v>
      </c>
      <c r="U81" s="168">
        <f t="shared" si="93"/>
        <v>0</v>
      </c>
      <c r="V81" s="168">
        <f t="shared" si="93"/>
        <v>0</v>
      </c>
      <c r="W81" s="168">
        <f t="shared" si="93"/>
        <v>0</v>
      </c>
      <c r="X81" s="168">
        <f t="shared" si="93"/>
        <v>0</v>
      </c>
      <c r="Y81" s="168">
        <f t="shared" si="93"/>
        <v>0</v>
      </c>
      <c r="Z81" s="168">
        <f t="shared" si="93"/>
        <v>0</v>
      </c>
      <c r="AA81" s="168">
        <f t="shared" si="93"/>
        <v>0</v>
      </c>
      <c r="AB81" s="168">
        <f t="shared" si="93"/>
        <v>0</v>
      </c>
      <c r="AC81" s="168">
        <f t="shared" si="93"/>
        <v>0</v>
      </c>
      <c r="AD81" s="168">
        <f t="shared" si="93"/>
        <v>0</v>
      </c>
      <c r="AE81" s="168">
        <f t="shared" si="93"/>
        <v>0</v>
      </c>
      <c r="AF81" s="168">
        <f t="shared" si="93"/>
        <v>0</v>
      </c>
      <c r="AG81" s="168">
        <f t="shared" si="93"/>
        <v>0</v>
      </c>
      <c r="AH81" s="168">
        <f t="shared" si="93"/>
        <v>0</v>
      </c>
      <c r="AI81" s="168">
        <f t="shared" si="91"/>
        <v>0</v>
      </c>
    </row>
    <row r="82" spans="1:35" s="68" customFormat="1">
      <c r="A82" s="311"/>
      <c r="B82" s="68" t="s">
        <v>370</v>
      </c>
      <c r="D82" s="68" t="s">
        <v>248</v>
      </c>
      <c r="E82" s="421">
        <f t="shared" si="89"/>
        <v>9.3096670438977888E-2</v>
      </c>
      <c r="F82" s="421">
        <f t="shared" ref="F82:AH82" si="94">-($E82-$AI82)/30+E82</f>
        <v>9.5839536526386104E-2</v>
      </c>
      <c r="G82" s="421">
        <f t="shared" si="94"/>
        <v>9.858240261379432E-2</v>
      </c>
      <c r="H82" s="421">
        <f t="shared" si="94"/>
        <v>0.10132526870120254</v>
      </c>
      <c r="I82" s="421">
        <f t="shared" si="94"/>
        <v>0.10406813478861075</v>
      </c>
      <c r="J82" s="421">
        <f t="shared" si="94"/>
        <v>0.10681100087601897</v>
      </c>
      <c r="K82" s="421">
        <f t="shared" si="94"/>
        <v>0.10955386696342718</v>
      </c>
      <c r="L82" s="421">
        <f t="shared" si="94"/>
        <v>0.1122967330508354</v>
      </c>
      <c r="M82" s="421">
        <f t="shared" si="94"/>
        <v>0.11503959913824362</v>
      </c>
      <c r="N82" s="421">
        <f t="shared" si="94"/>
        <v>0.11778246522565183</v>
      </c>
      <c r="O82" s="421">
        <f t="shared" si="94"/>
        <v>0.12052533131306005</v>
      </c>
      <c r="P82" s="421">
        <f t="shared" si="94"/>
        <v>0.12326819740046827</v>
      </c>
      <c r="Q82" s="421">
        <f t="shared" si="94"/>
        <v>0.1260110634878765</v>
      </c>
      <c r="R82" s="421">
        <f t="shared" si="94"/>
        <v>0.12875392957528473</v>
      </c>
      <c r="S82" s="421">
        <f t="shared" si="94"/>
        <v>0.13149679566269296</v>
      </c>
      <c r="T82" s="421">
        <f t="shared" si="94"/>
        <v>0.13423966175010119</v>
      </c>
      <c r="U82" s="421">
        <f t="shared" si="94"/>
        <v>0.13698252783750942</v>
      </c>
      <c r="V82" s="421">
        <f t="shared" si="94"/>
        <v>0.13972539392491765</v>
      </c>
      <c r="W82" s="421">
        <f t="shared" si="94"/>
        <v>0.14246826001232588</v>
      </c>
      <c r="X82" s="421">
        <f t="shared" si="94"/>
        <v>0.14521112609973411</v>
      </c>
      <c r="Y82" s="421">
        <f t="shared" si="94"/>
        <v>0.14795399218714234</v>
      </c>
      <c r="Z82" s="421">
        <f t="shared" si="94"/>
        <v>0.15069685827455057</v>
      </c>
      <c r="AA82" s="421">
        <f t="shared" si="94"/>
        <v>0.1534397243619588</v>
      </c>
      <c r="AB82" s="421">
        <f t="shared" si="94"/>
        <v>0.15618259044936703</v>
      </c>
      <c r="AC82" s="421">
        <f t="shared" si="94"/>
        <v>0.15892545653677526</v>
      </c>
      <c r="AD82" s="421">
        <f t="shared" si="94"/>
        <v>0.16166832262418349</v>
      </c>
      <c r="AE82" s="421">
        <f t="shared" si="94"/>
        <v>0.16441118871159172</v>
      </c>
      <c r="AF82" s="421">
        <f t="shared" si="94"/>
        <v>0.16715405479899995</v>
      </c>
      <c r="AG82" s="421">
        <f t="shared" si="94"/>
        <v>0.16989692088640818</v>
      </c>
      <c r="AH82" s="421">
        <f t="shared" si="94"/>
        <v>0.17263978697381641</v>
      </c>
      <c r="AI82" s="421">
        <f t="shared" si="91"/>
        <v>0.17538265306122447</v>
      </c>
    </row>
    <row r="83" spans="1:35" s="67" customFormat="1">
      <c r="A83" s="307"/>
      <c r="B83" s="67" t="s">
        <v>370</v>
      </c>
      <c r="C83" s="67" t="s">
        <v>1750</v>
      </c>
      <c r="D83" s="67" t="s">
        <v>258</v>
      </c>
      <c r="E83" s="201">
        <f>G11</f>
        <v>0.80683781047114178</v>
      </c>
      <c r="F83" s="201">
        <f t="shared" ref="F83:AH83" si="95">-($E83-$AI83)/30+E83</f>
        <v>0.80385903311530105</v>
      </c>
      <c r="G83" s="201">
        <f t="shared" si="95"/>
        <v>0.80088025575946031</v>
      </c>
      <c r="H83" s="201">
        <f t="shared" si="95"/>
        <v>0.79790147840361958</v>
      </c>
      <c r="I83" s="201">
        <f t="shared" si="95"/>
        <v>0.79492270104777885</v>
      </c>
      <c r="J83" s="201">
        <f t="shared" si="95"/>
        <v>0.79194392369193811</v>
      </c>
      <c r="K83" s="201">
        <f t="shared" si="95"/>
        <v>0.78896514633609738</v>
      </c>
      <c r="L83" s="201">
        <f t="shared" si="95"/>
        <v>0.78598636898025664</v>
      </c>
      <c r="M83" s="201">
        <f t="shared" si="95"/>
        <v>0.78300759162441591</v>
      </c>
      <c r="N83" s="201">
        <f t="shared" si="95"/>
        <v>0.78002881426857518</v>
      </c>
      <c r="O83" s="201">
        <f t="shared" si="95"/>
        <v>0.77705003691273444</v>
      </c>
      <c r="P83" s="201">
        <f t="shared" si="95"/>
        <v>0.77407125955689371</v>
      </c>
      <c r="Q83" s="201">
        <f t="shared" si="95"/>
        <v>0.77109248220105298</v>
      </c>
      <c r="R83" s="201">
        <f t="shared" si="95"/>
        <v>0.76811370484521224</v>
      </c>
      <c r="S83" s="201">
        <f t="shared" si="95"/>
        <v>0.76513492748937151</v>
      </c>
      <c r="T83" s="201">
        <f t="shared" si="95"/>
        <v>0.76215615013353077</v>
      </c>
      <c r="U83" s="201">
        <f t="shared" si="95"/>
        <v>0.75917737277769004</v>
      </c>
      <c r="V83" s="201">
        <f t="shared" si="95"/>
        <v>0.75619859542184931</v>
      </c>
      <c r="W83" s="201">
        <f t="shared" si="95"/>
        <v>0.75321981806600857</v>
      </c>
      <c r="X83" s="201">
        <f t="shared" si="95"/>
        <v>0.75024104071016784</v>
      </c>
      <c r="Y83" s="201">
        <f t="shared" si="95"/>
        <v>0.74726226335432711</v>
      </c>
      <c r="Z83" s="201">
        <f t="shared" si="95"/>
        <v>0.74428348599848637</v>
      </c>
      <c r="AA83" s="201">
        <f t="shared" si="95"/>
        <v>0.74130470864264564</v>
      </c>
      <c r="AB83" s="201">
        <f t="shared" si="95"/>
        <v>0.7383259312868049</v>
      </c>
      <c r="AC83" s="201">
        <f t="shared" si="95"/>
        <v>0.73534715393096417</v>
      </c>
      <c r="AD83" s="201">
        <f t="shared" si="95"/>
        <v>0.73236837657512344</v>
      </c>
      <c r="AE83" s="201">
        <f t="shared" si="95"/>
        <v>0.7293895992192827</v>
      </c>
      <c r="AF83" s="201">
        <f t="shared" si="95"/>
        <v>0.72641082186344197</v>
      </c>
      <c r="AG83" s="201">
        <f t="shared" si="95"/>
        <v>0.72343204450760124</v>
      </c>
      <c r="AH83" s="201">
        <f t="shared" si="95"/>
        <v>0.7204532671517605</v>
      </c>
      <c r="AI83" s="201">
        <f>P11</f>
        <v>0.71747448979591832</v>
      </c>
    </row>
    <row r="84" spans="1:35">
      <c r="A84" s="310"/>
      <c r="B84" t="s">
        <v>370</v>
      </c>
      <c r="D84" t="s">
        <v>478</v>
      </c>
      <c r="E84" s="168">
        <f t="shared" ref="E84:E87" si="96">G12</f>
        <v>0.10006551908988028</v>
      </c>
      <c r="F84" s="168">
        <f t="shared" ref="F84:AH84" si="97">-($E84-$AI84)/30+E84</f>
        <v>9.6730001786884262E-2</v>
      </c>
      <c r="G84" s="168">
        <f t="shared" si="97"/>
        <v>9.3394484483888249E-2</v>
      </c>
      <c r="H84" s="168">
        <f t="shared" si="97"/>
        <v>9.0058967180892235E-2</v>
      </c>
      <c r="I84" s="168">
        <f t="shared" si="97"/>
        <v>8.6723449877896222E-2</v>
      </c>
      <c r="J84" s="168">
        <f t="shared" si="97"/>
        <v>8.3387932574900209E-2</v>
      </c>
      <c r="K84" s="168">
        <f t="shared" si="97"/>
        <v>8.0052415271904195E-2</v>
      </c>
      <c r="L84" s="168">
        <f t="shared" si="97"/>
        <v>7.6716897968908182E-2</v>
      </c>
      <c r="M84" s="168">
        <f t="shared" si="97"/>
        <v>7.3381380665912169E-2</v>
      </c>
      <c r="N84" s="168">
        <f t="shared" si="97"/>
        <v>7.0045863362916155E-2</v>
      </c>
      <c r="O84" s="168">
        <f t="shared" si="97"/>
        <v>6.6710346059920142E-2</v>
      </c>
      <c r="P84" s="168">
        <f t="shared" si="97"/>
        <v>6.3374828756924129E-2</v>
      </c>
      <c r="Q84" s="168">
        <f t="shared" si="97"/>
        <v>6.0039311453928122E-2</v>
      </c>
      <c r="R84" s="168">
        <f t="shared" si="97"/>
        <v>5.6703794150932116E-2</v>
      </c>
      <c r="S84" s="168">
        <f t="shared" si="97"/>
        <v>5.3368276847936109E-2</v>
      </c>
      <c r="T84" s="168">
        <f t="shared" si="97"/>
        <v>5.0032759544940103E-2</v>
      </c>
      <c r="U84" s="168">
        <f t="shared" si="97"/>
        <v>4.6697242241944097E-2</v>
      </c>
      <c r="V84" s="168">
        <f t="shared" si="97"/>
        <v>4.336172493894809E-2</v>
      </c>
      <c r="W84" s="168">
        <f t="shared" si="97"/>
        <v>4.0026207635952084E-2</v>
      </c>
      <c r="X84" s="168">
        <f t="shared" si="97"/>
        <v>3.6690690332956077E-2</v>
      </c>
      <c r="Y84" s="168">
        <f t="shared" si="97"/>
        <v>3.3355173029960071E-2</v>
      </c>
      <c r="Z84" s="168">
        <f t="shared" si="97"/>
        <v>3.0019655726964061E-2</v>
      </c>
      <c r="AA84" s="168">
        <f t="shared" si="97"/>
        <v>2.6684138423968051E-2</v>
      </c>
      <c r="AB84" s="168">
        <f t="shared" si="97"/>
        <v>2.3348621120972041E-2</v>
      </c>
      <c r="AC84" s="168">
        <f t="shared" si="97"/>
        <v>2.0013103817976031E-2</v>
      </c>
      <c r="AD84" s="168">
        <f t="shared" si="97"/>
        <v>1.6677586514980022E-2</v>
      </c>
      <c r="AE84" s="168">
        <f t="shared" si="97"/>
        <v>1.3342069211984012E-2</v>
      </c>
      <c r="AF84" s="168">
        <f t="shared" si="97"/>
        <v>1.0006551908988002E-2</v>
      </c>
      <c r="AG84" s="168">
        <f t="shared" si="97"/>
        <v>6.6710346059919929E-3</v>
      </c>
      <c r="AH84" s="168">
        <f t="shared" si="97"/>
        <v>3.3355173029959839E-3</v>
      </c>
      <c r="AI84" s="168">
        <f t="shared" ref="AI84:AI87" si="98">P12</f>
        <v>0</v>
      </c>
    </row>
    <row r="85" spans="1:35">
      <c r="A85" s="310"/>
      <c r="B85" t="s">
        <v>370</v>
      </c>
      <c r="D85" t="s">
        <v>480</v>
      </c>
      <c r="E85" s="168">
        <f t="shared" si="96"/>
        <v>0</v>
      </c>
      <c r="F85" s="168">
        <f t="shared" ref="F85:AH85" si="99">-($E85-$AI85)/30+E85</f>
        <v>3.5714285714285713E-3</v>
      </c>
      <c r="G85" s="168">
        <f t="shared" si="99"/>
        <v>7.1428571428571426E-3</v>
      </c>
      <c r="H85" s="168">
        <f t="shared" si="99"/>
        <v>1.0714285714285714E-2</v>
      </c>
      <c r="I85" s="168">
        <f t="shared" si="99"/>
        <v>1.4285714285714285E-2</v>
      </c>
      <c r="J85" s="168">
        <f t="shared" si="99"/>
        <v>1.7857142857142856E-2</v>
      </c>
      <c r="K85" s="168">
        <f t="shared" si="99"/>
        <v>2.1428571428571429E-2</v>
      </c>
      <c r="L85" s="168">
        <f t="shared" si="99"/>
        <v>2.5000000000000001E-2</v>
      </c>
      <c r="M85" s="168">
        <f t="shared" si="99"/>
        <v>2.8571428571428574E-2</v>
      </c>
      <c r="N85" s="168">
        <f t="shared" si="99"/>
        <v>3.2142857142857147E-2</v>
      </c>
      <c r="O85" s="168">
        <f t="shared" si="99"/>
        <v>3.5714285714285719E-2</v>
      </c>
      <c r="P85" s="168">
        <f t="shared" si="99"/>
        <v>3.9285714285714292E-2</v>
      </c>
      <c r="Q85" s="168">
        <f t="shared" si="99"/>
        <v>4.2857142857142864E-2</v>
      </c>
      <c r="R85" s="168">
        <f t="shared" si="99"/>
        <v>4.6428571428571437E-2</v>
      </c>
      <c r="S85" s="168">
        <f t="shared" si="99"/>
        <v>5.000000000000001E-2</v>
      </c>
      <c r="T85" s="168">
        <f t="shared" si="99"/>
        <v>5.3571428571428582E-2</v>
      </c>
      <c r="U85" s="168">
        <f t="shared" si="99"/>
        <v>5.7142857142857155E-2</v>
      </c>
      <c r="V85" s="168">
        <f t="shared" si="99"/>
        <v>6.0714285714285728E-2</v>
      </c>
      <c r="W85" s="168">
        <f t="shared" si="99"/>
        <v>6.4285714285714293E-2</v>
      </c>
      <c r="X85" s="168">
        <f t="shared" si="99"/>
        <v>6.7857142857142866E-2</v>
      </c>
      <c r="Y85" s="168">
        <f t="shared" si="99"/>
        <v>7.1428571428571438E-2</v>
      </c>
      <c r="Z85" s="168">
        <f t="shared" si="99"/>
        <v>7.5000000000000011E-2</v>
      </c>
      <c r="AA85" s="168">
        <f t="shared" si="99"/>
        <v>7.8571428571428584E-2</v>
      </c>
      <c r="AB85" s="168">
        <f t="shared" si="99"/>
        <v>8.2142857142857156E-2</v>
      </c>
      <c r="AC85" s="168">
        <f t="shared" si="99"/>
        <v>8.5714285714285729E-2</v>
      </c>
      <c r="AD85" s="168">
        <f t="shared" si="99"/>
        <v>8.9285714285714302E-2</v>
      </c>
      <c r="AE85" s="168">
        <f t="shared" si="99"/>
        <v>9.2857142857142874E-2</v>
      </c>
      <c r="AF85" s="168">
        <f t="shared" si="99"/>
        <v>9.6428571428571447E-2</v>
      </c>
      <c r="AG85" s="168">
        <f t="shared" si="99"/>
        <v>0.10000000000000002</v>
      </c>
      <c r="AH85" s="168">
        <f t="shared" si="99"/>
        <v>0.10357142857142859</v>
      </c>
      <c r="AI85" s="168">
        <f t="shared" si="98"/>
        <v>0.10714285714285714</v>
      </c>
    </row>
    <row r="86" spans="1:35">
      <c r="A86" s="310"/>
      <c r="B86" t="s">
        <v>370</v>
      </c>
      <c r="D86" t="s">
        <v>474</v>
      </c>
      <c r="E86" s="168">
        <f t="shared" si="96"/>
        <v>0</v>
      </c>
      <c r="F86" s="168">
        <f t="shared" ref="F86:AH86" si="100">-($E86-$AI86)/30+E86</f>
        <v>0</v>
      </c>
      <c r="G86" s="168">
        <f t="shared" si="100"/>
        <v>0</v>
      </c>
      <c r="H86" s="168">
        <f t="shared" si="100"/>
        <v>0</v>
      </c>
      <c r="I86" s="168">
        <f t="shared" si="100"/>
        <v>0</v>
      </c>
      <c r="J86" s="168">
        <f t="shared" si="100"/>
        <v>0</v>
      </c>
      <c r="K86" s="168">
        <f t="shared" si="100"/>
        <v>0</v>
      </c>
      <c r="L86" s="168">
        <f t="shared" si="100"/>
        <v>0</v>
      </c>
      <c r="M86" s="168">
        <f t="shared" si="100"/>
        <v>0</v>
      </c>
      <c r="N86" s="168">
        <f t="shared" si="100"/>
        <v>0</v>
      </c>
      <c r="O86" s="168">
        <f t="shared" si="100"/>
        <v>0</v>
      </c>
      <c r="P86" s="168">
        <f t="shared" si="100"/>
        <v>0</v>
      </c>
      <c r="Q86" s="168">
        <f t="shared" si="100"/>
        <v>0</v>
      </c>
      <c r="R86" s="168">
        <f t="shared" si="100"/>
        <v>0</v>
      </c>
      <c r="S86" s="168">
        <f t="shared" si="100"/>
        <v>0</v>
      </c>
      <c r="T86" s="168">
        <f t="shared" si="100"/>
        <v>0</v>
      </c>
      <c r="U86" s="168">
        <f t="shared" si="100"/>
        <v>0</v>
      </c>
      <c r="V86" s="168">
        <f t="shared" si="100"/>
        <v>0</v>
      </c>
      <c r="W86" s="168">
        <f t="shared" si="100"/>
        <v>0</v>
      </c>
      <c r="X86" s="168">
        <f t="shared" si="100"/>
        <v>0</v>
      </c>
      <c r="Y86" s="168">
        <f t="shared" si="100"/>
        <v>0</v>
      </c>
      <c r="Z86" s="168">
        <f t="shared" si="100"/>
        <v>0</v>
      </c>
      <c r="AA86" s="168">
        <f t="shared" si="100"/>
        <v>0</v>
      </c>
      <c r="AB86" s="168">
        <f t="shared" si="100"/>
        <v>0</v>
      </c>
      <c r="AC86" s="168">
        <f t="shared" si="100"/>
        <v>0</v>
      </c>
      <c r="AD86" s="168">
        <f t="shared" si="100"/>
        <v>0</v>
      </c>
      <c r="AE86" s="168">
        <f t="shared" si="100"/>
        <v>0</v>
      </c>
      <c r="AF86" s="168">
        <f t="shared" si="100"/>
        <v>0</v>
      </c>
      <c r="AG86" s="168">
        <f t="shared" si="100"/>
        <v>0</v>
      </c>
      <c r="AH86" s="168">
        <f t="shared" si="100"/>
        <v>0</v>
      </c>
      <c r="AI86" s="168">
        <f t="shared" si="98"/>
        <v>0</v>
      </c>
    </row>
    <row r="87" spans="1:35" s="68" customFormat="1">
      <c r="A87" s="311"/>
      <c r="B87" s="68" t="s">
        <v>370</v>
      </c>
      <c r="D87" s="68" t="s">
        <v>248</v>
      </c>
      <c r="E87" s="421">
        <f t="shared" si="96"/>
        <v>9.3096670438977888E-2</v>
      </c>
      <c r="F87" s="421">
        <f t="shared" ref="F87:AH87" si="101">-($E87-$AI87)/30+E87</f>
        <v>9.5839536526386104E-2</v>
      </c>
      <c r="G87" s="421">
        <f t="shared" si="101"/>
        <v>9.858240261379432E-2</v>
      </c>
      <c r="H87" s="421">
        <f t="shared" si="101"/>
        <v>0.10132526870120254</v>
      </c>
      <c r="I87" s="421">
        <f t="shared" si="101"/>
        <v>0.10406813478861075</v>
      </c>
      <c r="J87" s="421">
        <f t="shared" si="101"/>
        <v>0.10681100087601897</v>
      </c>
      <c r="K87" s="421">
        <f t="shared" si="101"/>
        <v>0.10955386696342718</v>
      </c>
      <c r="L87" s="421">
        <f t="shared" si="101"/>
        <v>0.1122967330508354</v>
      </c>
      <c r="M87" s="421">
        <f t="shared" si="101"/>
        <v>0.11503959913824362</v>
      </c>
      <c r="N87" s="421">
        <f t="shared" si="101"/>
        <v>0.11778246522565183</v>
      </c>
      <c r="O87" s="421">
        <f t="shared" si="101"/>
        <v>0.12052533131306005</v>
      </c>
      <c r="P87" s="421">
        <f t="shared" si="101"/>
        <v>0.12326819740046827</v>
      </c>
      <c r="Q87" s="421">
        <f t="shared" si="101"/>
        <v>0.1260110634878765</v>
      </c>
      <c r="R87" s="421">
        <f t="shared" si="101"/>
        <v>0.12875392957528473</v>
      </c>
      <c r="S87" s="421">
        <f t="shared" si="101"/>
        <v>0.13149679566269296</v>
      </c>
      <c r="T87" s="421">
        <f t="shared" si="101"/>
        <v>0.13423966175010119</v>
      </c>
      <c r="U87" s="421">
        <f t="shared" si="101"/>
        <v>0.13698252783750942</v>
      </c>
      <c r="V87" s="421">
        <f t="shared" si="101"/>
        <v>0.13972539392491765</v>
      </c>
      <c r="W87" s="421">
        <f t="shared" si="101"/>
        <v>0.14246826001232588</v>
      </c>
      <c r="X87" s="421">
        <f t="shared" si="101"/>
        <v>0.14521112609973411</v>
      </c>
      <c r="Y87" s="421">
        <f t="shared" si="101"/>
        <v>0.14795399218714234</v>
      </c>
      <c r="Z87" s="421">
        <f t="shared" si="101"/>
        <v>0.15069685827455057</v>
      </c>
      <c r="AA87" s="421">
        <f t="shared" si="101"/>
        <v>0.1534397243619588</v>
      </c>
      <c r="AB87" s="421">
        <f t="shared" si="101"/>
        <v>0.15618259044936703</v>
      </c>
      <c r="AC87" s="421">
        <f t="shared" si="101"/>
        <v>0.15892545653677526</v>
      </c>
      <c r="AD87" s="421">
        <f t="shared" si="101"/>
        <v>0.16166832262418349</v>
      </c>
      <c r="AE87" s="421">
        <f t="shared" si="101"/>
        <v>0.16441118871159172</v>
      </c>
      <c r="AF87" s="421">
        <f t="shared" si="101"/>
        <v>0.16715405479899995</v>
      </c>
      <c r="AG87" s="421">
        <f t="shared" si="101"/>
        <v>0.16989692088640818</v>
      </c>
      <c r="AH87" s="421">
        <f t="shared" si="101"/>
        <v>0.17263978697381641</v>
      </c>
      <c r="AI87" s="421">
        <f t="shared" si="98"/>
        <v>0.17538265306122447</v>
      </c>
    </row>
    <row r="88" spans="1:35" s="67" customFormat="1">
      <c r="A88" s="307"/>
      <c r="B88" s="67" t="s">
        <v>329</v>
      </c>
      <c r="C88" s="67" t="s">
        <v>1746</v>
      </c>
      <c r="D88" s="67" t="s">
        <v>258</v>
      </c>
      <c r="E88" s="201">
        <f>D19</f>
        <v>0</v>
      </c>
      <c r="F88" s="201">
        <f t="shared" ref="F88:AH88" si="102">-($E88-$AI88)/30+E88</f>
        <v>0</v>
      </c>
      <c r="G88" s="201">
        <f t="shared" si="102"/>
        <v>0</v>
      </c>
      <c r="H88" s="201">
        <f t="shared" si="102"/>
        <v>0</v>
      </c>
      <c r="I88" s="201">
        <f t="shared" si="102"/>
        <v>0</v>
      </c>
      <c r="J88" s="201">
        <f t="shared" si="102"/>
        <v>0</v>
      </c>
      <c r="K88" s="201">
        <f t="shared" si="102"/>
        <v>0</v>
      </c>
      <c r="L88" s="201">
        <f t="shared" si="102"/>
        <v>0</v>
      </c>
      <c r="M88" s="201">
        <f t="shared" si="102"/>
        <v>0</v>
      </c>
      <c r="N88" s="201">
        <f t="shared" si="102"/>
        <v>0</v>
      </c>
      <c r="O88" s="201">
        <f t="shared" si="102"/>
        <v>0</v>
      </c>
      <c r="P88" s="201">
        <f t="shared" si="102"/>
        <v>0</v>
      </c>
      <c r="Q88" s="201">
        <f t="shared" si="102"/>
        <v>0</v>
      </c>
      <c r="R88" s="201">
        <f t="shared" si="102"/>
        <v>0</v>
      </c>
      <c r="S88" s="201">
        <f t="shared" si="102"/>
        <v>0</v>
      </c>
      <c r="T88" s="201">
        <f t="shared" si="102"/>
        <v>0</v>
      </c>
      <c r="U88" s="201">
        <f t="shared" si="102"/>
        <v>0</v>
      </c>
      <c r="V88" s="201">
        <f t="shared" si="102"/>
        <v>0</v>
      </c>
      <c r="W88" s="201">
        <f t="shared" si="102"/>
        <v>0</v>
      </c>
      <c r="X88" s="201">
        <f t="shared" si="102"/>
        <v>0</v>
      </c>
      <c r="Y88" s="201">
        <f t="shared" si="102"/>
        <v>0</v>
      </c>
      <c r="Z88" s="201">
        <f t="shared" si="102"/>
        <v>0</v>
      </c>
      <c r="AA88" s="201">
        <f t="shared" si="102"/>
        <v>0</v>
      </c>
      <c r="AB88" s="201">
        <f t="shared" si="102"/>
        <v>0</v>
      </c>
      <c r="AC88" s="201">
        <f t="shared" si="102"/>
        <v>0</v>
      </c>
      <c r="AD88" s="201">
        <f t="shared" si="102"/>
        <v>0</v>
      </c>
      <c r="AE88" s="201">
        <f t="shared" si="102"/>
        <v>0</v>
      </c>
      <c r="AF88" s="201">
        <f t="shared" si="102"/>
        <v>0</v>
      </c>
      <c r="AG88" s="201">
        <f t="shared" si="102"/>
        <v>0</v>
      </c>
      <c r="AH88" s="201">
        <f t="shared" si="102"/>
        <v>0</v>
      </c>
      <c r="AI88" s="201">
        <f>M19</f>
        <v>0</v>
      </c>
    </row>
    <row r="89" spans="1:35">
      <c r="A89" s="310"/>
      <c r="B89" t="s">
        <v>329</v>
      </c>
      <c r="D89" t="s">
        <v>478</v>
      </c>
      <c r="E89" s="168">
        <f t="shared" ref="E89:E92" si="103">D20</f>
        <v>0</v>
      </c>
      <c r="F89" s="168">
        <f t="shared" ref="F89:AH89" si="104">-($E89-$AI89)/30+E89</f>
        <v>0</v>
      </c>
      <c r="G89" s="168">
        <f t="shared" si="104"/>
        <v>0</v>
      </c>
      <c r="H89" s="168">
        <f t="shared" si="104"/>
        <v>0</v>
      </c>
      <c r="I89" s="168">
        <f t="shared" si="104"/>
        <v>0</v>
      </c>
      <c r="J89" s="168">
        <f t="shared" si="104"/>
        <v>0</v>
      </c>
      <c r="K89" s="168">
        <f t="shared" si="104"/>
        <v>0</v>
      </c>
      <c r="L89" s="168">
        <f t="shared" si="104"/>
        <v>0</v>
      </c>
      <c r="M89" s="168">
        <f t="shared" si="104"/>
        <v>0</v>
      </c>
      <c r="N89" s="168">
        <f t="shared" si="104"/>
        <v>0</v>
      </c>
      <c r="O89" s="168">
        <f t="shared" si="104"/>
        <v>0</v>
      </c>
      <c r="P89" s="168">
        <f t="shared" si="104"/>
        <v>0</v>
      </c>
      <c r="Q89" s="168">
        <f t="shared" si="104"/>
        <v>0</v>
      </c>
      <c r="R89" s="168">
        <f t="shared" si="104"/>
        <v>0</v>
      </c>
      <c r="S89" s="168">
        <f t="shared" si="104"/>
        <v>0</v>
      </c>
      <c r="T89" s="168">
        <f t="shared" si="104"/>
        <v>0</v>
      </c>
      <c r="U89" s="168">
        <f t="shared" si="104"/>
        <v>0</v>
      </c>
      <c r="V89" s="168">
        <f t="shared" si="104"/>
        <v>0</v>
      </c>
      <c r="W89" s="168">
        <f t="shared" si="104"/>
        <v>0</v>
      </c>
      <c r="X89" s="168">
        <f t="shared" si="104"/>
        <v>0</v>
      </c>
      <c r="Y89" s="168">
        <f t="shared" si="104"/>
        <v>0</v>
      </c>
      <c r="Z89" s="168">
        <f t="shared" si="104"/>
        <v>0</v>
      </c>
      <c r="AA89" s="168">
        <f t="shared" si="104"/>
        <v>0</v>
      </c>
      <c r="AB89" s="168">
        <f t="shared" si="104"/>
        <v>0</v>
      </c>
      <c r="AC89" s="168">
        <f t="shared" si="104"/>
        <v>0</v>
      </c>
      <c r="AD89" s="168">
        <f t="shared" si="104"/>
        <v>0</v>
      </c>
      <c r="AE89" s="168">
        <f t="shared" si="104"/>
        <v>0</v>
      </c>
      <c r="AF89" s="168">
        <f t="shared" si="104"/>
        <v>0</v>
      </c>
      <c r="AG89" s="168">
        <f t="shared" si="104"/>
        <v>0</v>
      </c>
      <c r="AH89" s="168">
        <f t="shared" si="104"/>
        <v>0</v>
      </c>
      <c r="AI89" s="168">
        <f t="shared" ref="AI89:AI92" si="105">M20</f>
        <v>0</v>
      </c>
    </row>
    <row r="90" spans="1:35">
      <c r="A90" s="310"/>
      <c r="B90" t="s">
        <v>329</v>
      </c>
      <c r="D90" t="s">
        <v>480</v>
      </c>
      <c r="E90" s="168">
        <f t="shared" si="103"/>
        <v>0</v>
      </c>
      <c r="F90" s="168">
        <f t="shared" ref="F90:AH90" si="106">-($E90-$AI90)/30+E90</f>
        <v>0</v>
      </c>
      <c r="G90" s="168">
        <f t="shared" si="106"/>
        <v>0</v>
      </c>
      <c r="H90" s="168">
        <f t="shared" si="106"/>
        <v>0</v>
      </c>
      <c r="I90" s="168">
        <f t="shared" si="106"/>
        <v>0</v>
      </c>
      <c r="J90" s="168">
        <f t="shared" si="106"/>
        <v>0</v>
      </c>
      <c r="K90" s="168">
        <f t="shared" si="106"/>
        <v>0</v>
      </c>
      <c r="L90" s="168">
        <f t="shared" si="106"/>
        <v>0</v>
      </c>
      <c r="M90" s="168">
        <f t="shared" si="106"/>
        <v>0</v>
      </c>
      <c r="N90" s="168">
        <f t="shared" si="106"/>
        <v>0</v>
      </c>
      <c r="O90" s="168">
        <f t="shared" si="106"/>
        <v>0</v>
      </c>
      <c r="P90" s="168">
        <f t="shared" si="106"/>
        <v>0</v>
      </c>
      <c r="Q90" s="168">
        <f t="shared" si="106"/>
        <v>0</v>
      </c>
      <c r="R90" s="168">
        <f t="shared" si="106"/>
        <v>0</v>
      </c>
      <c r="S90" s="168">
        <f t="shared" si="106"/>
        <v>0</v>
      </c>
      <c r="T90" s="168">
        <f t="shared" si="106"/>
        <v>0</v>
      </c>
      <c r="U90" s="168">
        <f t="shared" si="106"/>
        <v>0</v>
      </c>
      <c r="V90" s="168">
        <f t="shared" si="106"/>
        <v>0</v>
      </c>
      <c r="W90" s="168">
        <f t="shared" si="106"/>
        <v>0</v>
      </c>
      <c r="X90" s="168">
        <f t="shared" si="106"/>
        <v>0</v>
      </c>
      <c r="Y90" s="168">
        <f t="shared" si="106"/>
        <v>0</v>
      </c>
      <c r="Z90" s="168">
        <f t="shared" si="106"/>
        <v>0</v>
      </c>
      <c r="AA90" s="168">
        <f t="shared" si="106"/>
        <v>0</v>
      </c>
      <c r="AB90" s="168">
        <f t="shared" si="106"/>
        <v>0</v>
      </c>
      <c r="AC90" s="168">
        <f t="shared" si="106"/>
        <v>0</v>
      </c>
      <c r="AD90" s="168">
        <f t="shared" si="106"/>
        <v>0</v>
      </c>
      <c r="AE90" s="168">
        <f t="shared" si="106"/>
        <v>0</v>
      </c>
      <c r="AF90" s="168">
        <f t="shared" si="106"/>
        <v>0</v>
      </c>
      <c r="AG90" s="168">
        <f t="shared" si="106"/>
        <v>0</v>
      </c>
      <c r="AH90" s="168">
        <f t="shared" si="106"/>
        <v>0</v>
      </c>
      <c r="AI90" s="168">
        <f t="shared" si="105"/>
        <v>0</v>
      </c>
    </row>
    <row r="91" spans="1:35">
      <c r="A91" s="310"/>
      <c r="B91" t="s">
        <v>329</v>
      </c>
      <c r="D91" t="s">
        <v>474</v>
      </c>
      <c r="E91" s="168">
        <f t="shared" si="103"/>
        <v>0.85710438531517308</v>
      </c>
      <c r="F91" s="168">
        <f t="shared" ref="F91:AH91" si="107">-($E91-$AI91)/30+E91</f>
        <v>0.85710438531517308</v>
      </c>
      <c r="G91" s="168">
        <f t="shared" si="107"/>
        <v>0.85710438531517308</v>
      </c>
      <c r="H91" s="168">
        <f t="shared" si="107"/>
        <v>0.85710438531517308</v>
      </c>
      <c r="I91" s="168">
        <f t="shared" si="107"/>
        <v>0.85710438531517308</v>
      </c>
      <c r="J91" s="168">
        <f t="shared" si="107"/>
        <v>0.85710438531517308</v>
      </c>
      <c r="K91" s="168">
        <f t="shared" si="107"/>
        <v>0.85710438531517308</v>
      </c>
      <c r="L91" s="168">
        <f t="shared" si="107"/>
        <v>0.85710438531517308</v>
      </c>
      <c r="M91" s="168">
        <f t="shared" si="107"/>
        <v>0.85710438531517308</v>
      </c>
      <c r="N91" s="168">
        <f t="shared" si="107"/>
        <v>0.85710438531517308</v>
      </c>
      <c r="O91" s="168">
        <f t="shared" si="107"/>
        <v>0.85710438531517308</v>
      </c>
      <c r="P91" s="168">
        <f t="shared" si="107"/>
        <v>0.85710438531517308</v>
      </c>
      <c r="Q91" s="168">
        <f t="shared" si="107"/>
        <v>0.85710438531517308</v>
      </c>
      <c r="R91" s="168">
        <f t="shared" si="107"/>
        <v>0.85710438531517308</v>
      </c>
      <c r="S91" s="168">
        <f t="shared" si="107"/>
        <v>0.85710438531517308</v>
      </c>
      <c r="T91" s="168">
        <f t="shared" si="107"/>
        <v>0.85710438531517308</v>
      </c>
      <c r="U91" s="168">
        <f t="shared" si="107"/>
        <v>0.85710438531517308</v>
      </c>
      <c r="V91" s="168">
        <f t="shared" si="107"/>
        <v>0.85710438531517308</v>
      </c>
      <c r="W91" s="168">
        <f t="shared" si="107"/>
        <v>0.85710438531517308</v>
      </c>
      <c r="X91" s="168">
        <f t="shared" si="107"/>
        <v>0.85710438531517308</v>
      </c>
      <c r="Y91" s="168">
        <f t="shared" si="107"/>
        <v>0.85710438531517308</v>
      </c>
      <c r="Z91" s="168">
        <f t="shared" si="107"/>
        <v>0.85710438531517308</v>
      </c>
      <c r="AA91" s="168">
        <f t="shared" si="107"/>
        <v>0.85710438531517308</v>
      </c>
      <c r="AB91" s="168">
        <f t="shared" si="107"/>
        <v>0.85710438531517308</v>
      </c>
      <c r="AC91" s="168">
        <f t="shared" si="107"/>
        <v>0.85710438531517308</v>
      </c>
      <c r="AD91" s="168">
        <f t="shared" si="107"/>
        <v>0.85710438531517308</v>
      </c>
      <c r="AE91" s="168">
        <f t="shared" si="107"/>
        <v>0.85710438531517308</v>
      </c>
      <c r="AF91" s="168">
        <f t="shared" si="107"/>
        <v>0.85710438531517308</v>
      </c>
      <c r="AG91" s="168">
        <f t="shared" si="107"/>
        <v>0.85710438531517308</v>
      </c>
      <c r="AH91" s="168">
        <f t="shared" si="107"/>
        <v>0.85710438531517308</v>
      </c>
      <c r="AI91" s="168">
        <f t="shared" si="105"/>
        <v>0.85710438531517308</v>
      </c>
    </row>
    <row r="92" spans="1:35" s="68" customFormat="1">
      <c r="A92" s="311"/>
      <c r="B92" s="68" t="s">
        <v>329</v>
      </c>
      <c r="D92" s="68" t="s">
        <v>248</v>
      </c>
      <c r="E92" s="421">
        <f t="shared" si="103"/>
        <v>0.14289561468482695</v>
      </c>
      <c r="F92" s="421">
        <f t="shared" ref="F92:AH92" si="108">-($E92-$AI92)/30+E92</f>
        <v>0.14289561468482695</v>
      </c>
      <c r="G92" s="421">
        <f t="shared" si="108"/>
        <v>0.14289561468482695</v>
      </c>
      <c r="H92" s="421">
        <f t="shared" si="108"/>
        <v>0.14289561468482695</v>
      </c>
      <c r="I92" s="421">
        <f t="shared" si="108"/>
        <v>0.14289561468482695</v>
      </c>
      <c r="J92" s="421">
        <f t="shared" si="108"/>
        <v>0.14289561468482695</v>
      </c>
      <c r="K92" s="421">
        <f t="shared" si="108"/>
        <v>0.14289561468482695</v>
      </c>
      <c r="L92" s="421">
        <f t="shared" si="108"/>
        <v>0.14289561468482695</v>
      </c>
      <c r="M92" s="421">
        <f t="shared" si="108"/>
        <v>0.14289561468482695</v>
      </c>
      <c r="N92" s="421">
        <f t="shared" si="108"/>
        <v>0.14289561468482695</v>
      </c>
      <c r="O92" s="421">
        <f t="shared" si="108"/>
        <v>0.14289561468482695</v>
      </c>
      <c r="P92" s="421">
        <f t="shared" si="108"/>
        <v>0.14289561468482695</v>
      </c>
      <c r="Q92" s="421">
        <f t="shared" si="108"/>
        <v>0.14289561468482695</v>
      </c>
      <c r="R92" s="421">
        <f t="shared" si="108"/>
        <v>0.14289561468482695</v>
      </c>
      <c r="S92" s="421">
        <f t="shared" si="108"/>
        <v>0.14289561468482695</v>
      </c>
      <c r="T92" s="421">
        <f t="shared" si="108"/>
        <v>0.14289561468482695</v>
      </c>
      <c r="U92" s="421">
        <f t="shared" si="108"/>
        <v>0.14289561468482695</v>
      </c>
      <c r="V92" s="421">
        <f t="shared" si="108"/>
        <v>0.14289561468482695</v>
      </c>
      <c r="W92" s="421">
        <f t="shared" si="108"/>
        <v>0.14289561468482695</v>
      </c>
      <c r="X92" s="421">
        <f t="shared" si="108"/>
        <v>0.14289561468482695</v>
      </c>
      <c r="Y92" s="421">
        <f t="shared" si="108"/>
        <v>0.14289561468482695</v>
      </c>
      <c r="Z92" s="421">
        <f t="shared" si="108"/>
        <v>0.14289561468482695</v>
      </c>
      <c r="AA92" s="421">
        <f t="shared" si="108"/>
        <v>0.14289561468482695</v>
      </c>
      <c r="AB92" s="421">
        <f t="shared" si="108"/>
        <v>0.14289561468482695</v>
      </c>
      <c r="AC92" s="421">
        <f t="shared" si="108"/>
        <v>0.14289561468482695</v>
      </c>
      <c r="AD92" s="421">
        <f t="shared" si="108"/>
        <v>0.14289561468482695</v>
      </c>
      <c r="AE92" s="421">
        <f t="shared" si="108"/>
        <v>0.14289561468482695</v>
      </c>
      <c r="AF92" s="421">
        <f t="shared" si="108"/>
        <v>0.14289561468482695</v>
      </c>
      <c r="AG92" s="421">
        <f t="shared" si="108"/>
        <v>0.14289561468482695</v>
      </c>
      <c r="AH92" s="421">
        <f t="shared" si="108"/>
        <v>0.14289561468482695</v>
      </c>
      <c r="AI92" s="421">
        <f t="shared" si="105"/>
        <v>0.14289561468482692</v>
      </c>
    </row>
    <row r="93" spans="1:35" s="67" customFormat="1">
      <c r="A93" s="307"/>
      <c r="B93" s="67" t="s">
        <v>329</v>
      </c>
      <c r="C93" s="67" t="s">
        <v>1749</v>
      </c>
      <c r="D93" s="67" t="s">
        <v>258</v>
      </c>
      <c r="E93" s="201">
        <f>E19</f>
        <v>0</v>
      </c>
      <c r="F93" s="201">
        <f t="shared" ref="F93:AH93" si="109">-($E93-$AI93)/30+E93</f>
        <v>0</v>
      </c>
      <c r="G93" s="201">
        <f t="shared" si="109"/>
        <v>0</v>
      </c>
      <c r="H93" s="201">
        <f t="shared" si="109"/>
        <v>0</v>
      </c>
      <c r="I93" s="201">
        <f t="shared" si="109"/>
        <v>0</v>
      </c>
      <c r="J93" s="201">
        <f t="shared" si="109"/>
        <v>0</v>
      </c>
      <c r="K93" s="201">
        <f t="shared" si="109"/>
        <v>0</v>
      </c>
      <c r="L93" s="201">
        <f t="shared" si="109"/>
        <v>0</v>
      </c>
      <c r="M93" s="201">
        <f t="shared" si="109"/>
        <v>0</v>
      </c>
      <c r="N93" s="201">
        <f t="shared" si="109"/>
        <v>0</v>
      </c>
      <c r="O93" s="201">
        <f t="shared" si="109"/>
        <v>0</v>
      </c>
      <c r="P93" s="201">
        <f t="shared" si="109"/>
        <v>0</v>
      </c>
      <c r="Q93" s="201">
        <f t="shared" si="109"/>
        <v>0</v>
      </c>
      <c r="R93" s="201">
        <f t="shared" si="109"/>
        <v>0</v>
      </c>
      <c r="S93" s="201">
        <f t="shared" si="109"/>
        <v>0</v>
      </c>
      <c r="T93" s="201">
        <f t="shared" si="109"/>
        <v>0</v>
      </c>
      <c r="U93" s="201">
        <f t="shared" si="109"/>
        <v>0</v>
      </c>
      <c r="V93" s="201">
        <f t="shared" si="109"/>
        <v>0</v>
      </c>
      <c r="W93" s="201">
        <f t="shared" si="109"/>
        <v>0</v>
      </c>
      <c r="X93" s="201">
        <f t="shared" si="109"/>
        <v>0</v>
      </c>
      <c r="Y93" s="201">
        <f t="shared" si="109"/>
        <v>0</v>
      </c>
      <c r="Z93" s="201">
        <f t="shared" si="109"/>
        <v>0</v>
      </c>
      <c r="AA93" s="201">
        <f t="shared" si="109"/>
        <v>0</v>
      </c>
      <c r="AB93" s="201">
        <f t="shared" si="109"/>
        <v>0</v>
      </c>
      <c r="AC93" s="201">
        <f t="shared" si="109"/>
        <v>0</v>
      </c>
      <c r="AD93" s="201">
        <f t="shared" si="109"/>
        <v>0</v>
      </c>
      <c r="AE93" s="201">
        <f t="shared" si="109"/>
        <v>0</v>
      </c>
      <c r="AF93" s="201">
        <f t="shared" si="109"/>
        <v>0</v>
      </c>
      <c r="AG93" s="201">
        <f t="shared" si="109"/>
        <v>0</v>
      </c>
      <c r="AH93" s="201">
        <f t="shared" si="109"/>
        <v>0</v>
      </c>
      <c r="AI93" s="201">
        <f>N19</f>
        <v>0</v>
      </c>
    </row>
    <row r="94" spans="1:35">
      <c r="A94" s="310"/>
      <c r="B94" t="s">
        <v>329</v>
      </c>
      <c r="D94" t="s">
        <v>478</v>
      </c>
      <c r="E94" s="168">
        <f t="shared" ref="E94:E97" si="110">E20</f>
        <v>0</v>
      </c>
      <c r="F94" s="168">
        <f t="shared" ref="F94:AH94" si="111">-($E94-$AI94)/30+E94</f>
        <v>0</v>
      </c>
      <c r="G94" s="168">
        <f t="shared" si="111"/>
        <v>0</v>
      </c>
      <c r="H94" s="168">
        <f t="shared" si="111"/>
        <v>0</v>
      </c>
      <c r="I94" s="168">
        <f t="shared" si="111"/>
        <v>0</v>
      </c>
      <c r="J94" s="168">
        <f t="shared" si="111"/>
        <v>0</v>
      </c>
      <c r="K94" s="168">
        <f t="shared" si="111"/>
        <v>0</v>
      </c>
      <c r="L94" s="168">
        <f t="shared" si="111"/>
        <v>0</v>
      </c>
      <c r="M94" s="168">
        <f t="shared" si="111"/>
        <v>0</v>
      </c>
      <c r="N94" s="168">
        <f t="shared" si="111"/>
        <v>0</v>
      </c>
      <c r="O94" s="168">
        <f t="shared" si="111"/>
        <v>0</v>
      </c>
      <c r="P94" s="168">
        <f t="shared" si="111"/>
        <v>0</v>
      </c>
      <c r="Q94" s="168">
        <f t="shared" si="111"/>
        <v>0</v>
      </c>
      <c r="R94" s="168">
        <f t="shared" si="111"/>
        <v>0</v>
      </c>
      <c r="S94" s="168">
        <f t="shared" si="111"/>
        <v>0</v>
      </c>
      <c r="T94" s="168">
        <f t="shared" si="111"/>
        <v>0</v>
      </c>
      <c r="U94" s="168">
        <f t="shared" si="111"/>
        <v>0</v>
      </c>
      <c r="V94" s="168">
        <f t="shared" si="111"/>
        <v>0</v>
      </c>
      <c r="W94" s="168">
        <f t="shared" si="111"/>
        <v>0</v>
      </c>
      <c r="X94" s="168">
        <f t="shared" si="111"/>
        <v>0</v>
      </c>
      <c r="Y94" s="168">
        <f t="shared" si="111"/>
        <v>0</v>
      </c>
      <c r="Z94" s="168">
        <f t="shared" si="111"/>
        <v>0</v>
      </c>
      <c r="AA94" s="168">
        <f t="shared" si="111"/>
        <v>0</v>
      </c>
      <c r="AB94" s="168">
        <f t="shared" si="111"/>
        <v>0</v>
      </c>
      <c r="AC94" s="168">
        <f t="shared" si="111"/>
        <v>0</v>
      </c>
      <c r="AD94" s="168">
        <f t="shared" si="111"/>
        <v>0</v>
      </c>
      <c r="AE94" s="168">
        <f t="shared" si="111"/>
        <v>0</v>
      </c>
      <c r="AF94" s="168">
        <f t="shared" si="111"/>
        <v>0</v>
      </c>
      <c r="AG94" s="168">
        <f t="shared" si="111"/>
        <v>0</v>
      </c>
      <c r="AH94" s="168">
        <f t="shared" si="111"/>
        <v>0</v>
      </c>
      <c r="AI94" s="168">
        <f t="shared" ref="AI94:AI97" si="112">N20</f>
        <v>0</v>
      </c>
    </row>
    <row r="95" spans="1:35">
      <c r="A95" s="310"/>
      <c r="B95" t="s">
        <v>329</v>
      </c>
      <c r="D95" t="s">
        <v>480</v>
      </c>
      <c r="E95" s="168">
        <f t="shared" si="110"/>
        <v>0</v>
      </c>
      <c r="F95" s="168">
        <f t="shared" ref="F95:AH95" si="113">-($E95-$AI95)/30+E95</f>
        <v>0</v>
      </c>
      <c r="G95" s="168">
        <f t="shared" si="113"/>
        <v>0</v>
      </c>
      <c r="H95" s="168">
        <f t="shared" si="113"/>
        <v>0</v>
      </c>
      <c r="I95" s="168">
        <f t="shared" si="113"/>
        <v>0</v>
      </c>
      <c r="J95" s="168">
        <f t="shared" si="113"/>
        <v>0</v>
      </c>
      <c r="K95" s="168">
        <f t="shared" si="113"/>
        <v>0</v>
      </c>
      <c r="L95" s="168">
        <f t="shared" si="113"/>
        <v>0</v>
      </c>
      <c r="M95" s="168">
        <f t="shared" si="113"/>
        <v>0</v>
      </c>
      <c r="N95" s="168">
        <f t="shared" si="113"/>
        <v>0</v>
      </c>
      <c r="O95" s="168">
        <f t="shared" si="113"/>
        <v>0</v>
      </c>
      <c r="P95" s="168">
        <f t="shared" si="113"/>
        <v>0</v>
      </c>
      <c r="Q95" s="168">
        <f t="shared" si="113"/>
        <v>0</v>
      </c>
      <c r="R95" s="168">
        <f t="shared" si="113"/>
        <v>0</v>
      </c>
      <c r="S95" s="168">
        <f t="shared" si="113"/>
        <v>0</v>
      </c>
      <c r="T95" s="168">
        <f t="shared" si="113"/>
        <v>0</v>
      </c>
      <c r="U95" s="168">
        <f t="shared" si="113"/>
        <v>0</v>
      </c>
      <c r="V95" s="168">
        <f t="shared" si="113"/>
        <v>0</v>
      </c>
      <c r="W95" s="168">
        <f t="shared" si="113"/>
        <v>0</v>
      </c>
      <c r="X95" s="168">
        <f t="shared" si="113"/>
        <v>0</v>
      </c>
      <c r="Y95" s="168">
        <f t="shared" si="113"/>
        <v>0</v>
      </c>
      <c r="Z95" s="168">
        <f t="shared" si="113"/>
        <v>0</v>
      </c>
      <c r="AA95" s="168">
        <f t="shared" si="113"/>
        <v>0</v>
      </c>
      <c r="AB95" s="168">
        <f t="shared" si="113"/>
        <v>0</v>
      </c>
      <c r="AC95" s="168">
        <f t="shared" si="113"/>
        <v>0</v>
      </c>
      <c r="AD95" s="168">
        <f t="shared" si="113"/>
        <v>0</v>
      </c>
      <c r="AE95" s="168">
        <f t="shared" si="113"/>
        <v>0</v>
      </c>
      <c r="AF95" s="168">
        <f t="shared" si="113"/>
        <v>0</v>
      </c>
      <c r="AG95" s="168">
        <f t="shared" si="113"/>
        <v>0</v>
      </c>
      <c r="AH95" s="168">
        <f t="shared" si="113"/>
        <v>0</v>
      </c>
      <c r="AI95" s="168">
        <f t="shared" si="112"/>
        <v>0</v>
      </c>
    </row>
    <row r="96" spans="1:35">
      <c r="A96" s="310"/>
      <c r="B96" t="s">
        <v>329</v>
      </c>
      <c r="D96" t="s">
        <v>474</v>
      </c>
      <c r="E96" s="168">
        <f t="shared" si="110"/>
        <v>0.85710438531517308</v>
      </c>
      <c r="F96" s="168">
        <f t="shared" ref="F96:AH96" si="114">-($E96-$AI96)/30+E96</f>
        <v>0.85710438531517308</v>
      </c>
      <c r="G96" s="168">
        <f t="shared" si="114"/>
        <v>0.85710438531517308</v>
      </c>
      <c r="H96" s="168">
        <f t="shared" si="114"/>
        <v>0.85710438531517308</v>
      </c>
      <c r="I96" s="168">
        <f t="shared" si="114"/>
        <v>0.85710438531517308</v>
      </c>
      <c r="J96" s="168">
        <f t="shared" si="114"/>
        <v>0.85710438531517308</v>
      </c>
      <c r="K96" s="168">
        <f t="shared" si="114"/>
        <v>0.85710438531517308</v>
      </c>
      <c r="L96" s="168">
        <f t="shared" si="114"/>
        <v>0.85710438531517308</v>
      </c>
      <c r="M96" s="168">
        <f t="shared" si="114"/>
        <v>0.85710438531517308</v>
      </c>
      <c r="N96" s="168">
        <f t="shared" si="114"/>
        <v>0.85710438531517308</v>
      </c>
      <c r="O96" s="168">
        <f t="shared" si="114"/>
        <v>0.85710438531517308</v>
      </c>
      <c r="P96" s="168">
        <f t="shared" si="114"/>
        <v>0.85710438531517308</v>
      </c>
      <c r="Q96" s="168">
        <f t="shared" si="114"/>
        <v>0.85710438531517308</v>
      </c>
      <c r="R96" s="168">
        <f t="shared" si="114"/>
        <v>0.85710438531517308</v>
      </c>
      <c r="S96" s="168">
        <f t="shared" si="114"/>
        <v>0.85710438531517308</v>
      </c>
      <c r="T96" s="168">
        <f t="shared" si="114"/>
        <v>0.85710438531517308</v>
      </c>
      <c r="U96" s="168">
        <f t="shared" si="114"/>
        <v>0.85710438531517308</v>
      </c>
      <c r="V96" s="168">
        <f t="shared" si="114"/>
        <v>0.85710438531517308</v>
      </c>
      <c r="W96" s="168">
        <f t="shared" si="114"/>
        <v>0.85710438531517308</v>
      </c>
      <c r="X96" s="168">
        <f t="shared" si="114"/>
        <v>0.85710438531517308</v>
      </c>
      <c r="Y96" s="168">
        <f t="shared" si="114"/>
        <v>0.85710438531517308</v>
      </c>
      <c r="Z96" s="168">
        <f t="shared" si="114"/>
        <v>0.85710438531517308</v>
      </c>
      <c r="AA96" s="168">
        <f t="shared" si="114"/>
        <v>0.85710438531517308</v>
      </c>
      <c r="AB96" s="168">
        <f t="shared" si="114"/>
        <v>0.85710438531517308</v>
      </c>
      <c r="AC96" s="168">
        <f t="shared" si="114"/>
        <v>0.85710438531517308</v>
      </c>
      <c r="AD96" s="168">
        <f t="shared" si="114"/>
        <v>0.85710438531517308</v>
      </c>
      <c r="AE96" s="168">
        <f t="shared" si="114"/>
        <v>0.85710438531517308</v>
      </c>
      <c r="AF96" s="168">
        <f t="shared" si="114"/>
        <v>0.85710438531517308</v>
      </c>
      <c r="AG96" s="168">
        <f t="shared" si="114"/>
        <v>0.85710438531517308</v>
      </c>
      <c r="AH96" s="168">
        <f t="shared" si="114"/>
        <v>0.85710438531517308</v>
      </c>
      <c r="AI96" s="168">
        <f t="shared" si="112"/>
        <v>0.85710438531517308</v>
      </c>
    </row>
    <row r="97" spans="1:35" s="68" customFormat="1">
      <c r="A97" s="311"/>
      <c r="B97" s="68" t="s">
        <v>329</v>
      </c>
      <c r="D97" s="68" t="s">
        <v>248</v>
      </c>
      <c r="E97" s="421">
        <f t="shared" si="110"/>
        <v>0.14289561468482695</v>
      </c>
      <c r="F97" s="421">
        <f t="shared" ref="F97:AH97" si="115">-($E97-$AI97)/30+E97</f>
        <v>0.14289561468482695</v>
      </c>
      <c r="G97" s="421">
        <f t="shared" si="115"/>
        <v>0.14289561468482695</v>
      </c>
      <c r="H97" s="421">
        <f t="shared" si="115"/>
        <v>0.14289561468482695</v>
      </c>
      <c r="I97" s="421">
        <f t="shared" si="115"/>
        <v>0.14289561468482695</v>
      </c>
      <c r="J97" s="421">
        <f t="shared" si="115"/>
        <v>0.14289561468482695</v>
      </c>
      <c r="K97" s="421">
        <f t="shared" si="115"/>
        <v>0.14289561468482695</v>
      </c>
      <c r="L97" s="421">
        <f t="shared" si="115"/>
        <v>0.14289561468482695</v>
      </c>
      <c r="M97" s="421">
        <f t="shared" si="115"/>
        <v>0.14289561468482695</v>
      </c>
      <c r="N97" s="421">
        <f t="shared" si="115"/>
        <v>0.14289561468482695</v>
      </c>
      <c r="O97" s="421">
        <f t="shared" si="115"/>
        <v>0.14289561468482695</v>
      </c>
      <c r="P97" s="421">
        <f t="shared" si="115"/>
        <v>0.14289561468482695</v>
      </c>
      <c r="Q97" s="421">
        <f t="shared" si="115"/>
        <v>0.14289561468482695</v>
      </c>
      <c r="R97" s="421">
        <f t="shared" si="115"/>
        <v>0.14289561468482695</v>
      </c>
      <c r="S97" s="421">
        <f t="shared" si="115"/>
        <v>0.14289561468482695</v>
      </c>
      <c r="T97" s="421">
        <f t="shared" si="115"/>
        <v>0.14289561468482695</v>
      </c>
      <c r="U97" s="421">
        <f t="shared" si="115"/>
        <v>0.14289561468482695</v>
      </c>
      <c r="V97" s="421">
        <f t="shared" si="115"/>
        <v>0.14289561468482695</v>
      </c>
      <c r="W97" s="421">
        <f t="shared" si="115"/>
        <v>0.14289561468482695</v>
      </c>
      <c r="X97" s="421">
        <f t="shared" si="115"/>
        <v>0.14289561468482695</v>
      </c>
      <c r="Y97" s="421">
        <f t="shared" si="115"/>
        <v>0.14289561468482695</v>
      </c>
      <c r="Z97" s="421">
        <f t="shared" si="115"/>
        <v>0.14289561468482695</v>
      </c>
      <c r="AA97" s="421">
        <f t="shared" si="115"/>
        <v>0.14289561468482695</v>
      </c>
      <c r="AB97" s="421">
        <f t="shared" si="115"/>
        <v>0.14289561468482695</v>
      </c>
      <c r="AC97" s="421">
        <f t="shared" si="115"/>
        <v>0.14289561468482695</v>
      </c>
      <c r="AD97" s="421">
        <f t="shared" si="115"/>
        <v>0.14289561468482695</v>
      </c>
      <c r="AE97" s="421">
        <f t="shared" si="115"/>
        <v>0.14289561468482695</v>
      </c>
      <c r="AF97" s="421">
        <f t="shared" si="115"/>
        <v>0.14289561468482695</v>
      </c>
      <c r="AG97" s="421">
        <f t="shared" si="115"/>
        <v>0.14289561468482695</v>
      </c>
      <c r="AH97" s="421">
        <f t="shared" si="115"/>
        <v>0.14289561468482695</v>
      </c>
      <c r="AI97" s="421">
        <f t="shared" si="112"/>
        <v>0.14289561468482692</v>
      </c>
    </row>
    <row r="98" spans="1:35" s="67" customFormat="1">
      <c r="A98" s="307"/>
      <c r="B98" s="67" t="s">
        <v>329</v>
      </c>
      <c r="C98" s="67" t="s">
        <v>1750</v>
      </c>
      <c r="D98" s="67" t="s">
        <v>258</v>
      </c>
      <c r="E98" s="201">
        <f>F19</f>
        <v>0</v>
      </c>
      <c r="F98" s="201">
        <f t="shared" ref="F98:AH98" si="116">-($E98-$AI98)/30+E98</f>
        <v>0</v>
      </c>
      <c r="G98" s="201">
        <f t="shared" si="116"/>
        <v>0</v>
      </c>
      <c r="H98" s="201">
        <f t="shared" si="116"/>
        <v>0</v>
      </c>
      <c r="I98" s="201">
        <f t="shared" si="116"/>
        <v>0</v>
      </c>
      <c r="J98" s="201">
        <f t="shared" si="116"/>
        <v>0</v>
      </c>
      <c r="K98" s="201">
        <f t="shared" si="116"/>
        <v>0</v>
      </c>
      <c r="L98" s="201">
        <f t="shared" si="116"/>
        <v>0</v>
      </c>
      <c r="M98" s="201">
        <f t="shared" si="116"/>
        <v>0</v>
      </c>
      <c r="N98" s="201">
        <f t="shared" si="116"/>
        <v>0</v>
      </c>
      <c r="O98" s="201">
        <f t="shared" si="116"/>
        <v>0</v>
      </c>
      <c r="P98" s="201">
        <f t="shared" si="116"/>
        <v>0</v>
      </c>
      <c r="Q98" s="201">
        <f t="shared" si="116"/>
        <v>0</v>
      </c>
      <c r="R98" s="201">
        <f t="shared" si="116"/>
        <v>0</v>
      </c>
      <c r="S98" s="201">
        <f t="shared" si="116"/>
        <v>0</v>
      </c>
      <c r="T98" s="201">
        <f t="shared" si="116"/>
        <v>0</v>
      </c>
      <c r="U98" s="201">
        <f t="shared" si="116"/>
        <v>0</v>
      </c>
      <c r="V98" s="201">
        <f t="shared" si="116"/>
        <v>0</v>
      </c>
      <c r="W98" s="201">
        <f t="shared" si="116"/>
        <v>0</v>
      </c>
      <c r="X98" s="201">
        <f t="shared" si="116"/>
        <v>0</v>
      </c>
      <c r="Y98" s="201">
        <f t="shared" si="116"/>
        <v>0</v>
      </c>
      <c r="Z98" s="201">
        <f t="shared" si="116"/>
        <v>0</v>
      </c>
      <c r="AA98" s="201">
        <f t="shared" si="116"/>
        <v>0</v>
      </c>
      <c r="AB98" s="201">
        <f t="shared" si="116"/>
        <v>0</v>
      </c>
      <c r="AC98" s="201">
        <f t="shared" si="116"/>
        <v>0</v>
      </c>
      <c r="AD98" s="201">
        <f t="shared" si="116"/>
        <v>0</v>
      </c>
      <c r="AE98" s="201">
        <f t="shared" si="116"/>
        <v>0</v>
      </c>
      <c r="AF98" s="201">
        <f t="shared" si="116"/>
        <v>0</v>
      </c>
      <c r="AG98" s="201">
        <f t="shared" si="116"/>
        <v>0</v>
      </c>
      <c r="AH98" s="201">
        <f t="shared" si="116"/>
        <v>0</v>
      </c>
      <c r="AI98" s="201">
        <f>O19</f>
        <v>0</v>
      </c>
    </row>
    <row r="99" spans="1:35">
      <c r="A99" s="310"/>
      <c r="B99" t="s">
        <v>329</v>
      </c>
      <c r="D99" t="s">
        <v>478</v>
      </c>
      <c r="E99" s="168">
        <f t="shared" ref="E99:E102" si="117">F20</f>
        <v>0</v>
      </c>
      <c r="F99" s="168">
        <f t="shared" ref="F99:AH99" si="118">-($E99-$AI99)/30+E99</f>
        <v>0</v>
      </c>
      <c r="G99" s="168">
        <f t="shared" si="118"/>
        <v>0</v>
      </c>
      <c r="H99" s="168">
        <f t="shared" si="118"/>
        <v>0</v>
      </c>
      <c r="I99" s="168">
        <f t="shared" si="118"/>
        <v>0</v>
      </c>
      <c r="J99" s="168">
        <f t="shared" si="118"/>
        <v>0</v>
      </c>
      <c r="K99" s="168">
        <f t="shared" si="118"/>
        <v>0</v>
      </c>
      <c r="L99" s="168">
        <f t="shared" si="118"/>
        <v>0</v>
      </c>
      <c r="M99" s="168">
        <f t="shared" si="118"/>
        <v>0</v>
      </c>
      <c r="N99" s="168">
        <f t="shared" si="118"/>
        <v>0</v>
      </c>
      <c r="O99" s="168">
        <f t="shared" si="118"/>
        <v>0</v>
      </c>
      <c r="P99" s="168">
        <f t="shared" si="118"/>
        <v>0</v>
      </c>
      <c r="Q99" s="168">
        <f t="shared" si="118"/>
        <v>0</v>
      </c>
      <c r="R99" s="168">
        <f t="shared" si="118"/>
        <v>0</v>
      </c>
      <c r="S99" s="168">
        <f t="shared" si="118"/>
        <v>0</v>
      </c>
      <c r="T99" s="168">
        <f t="shared" si="118"/>
        <v>0</v>
      </c>
      <c r="U99" s="168">
        <f t="shared" si="118"/>
        <v>0</v>
      </c>
      <c r="V99" s="168">
        <f t="shared" si="118"/>
        <v>0</v>
      </c>
      <c r="W99" s="168">
        <f t="shared" si="118"/>
        <v>0</v>
      </c>
      <c r="X99" s="168">
        <f t="shared" si="118"/>
        <v>0</v>
      </c>
      <c r="Y99" s="168">
        <f t="shared" si="118"/>
        <v>0</v>
      </c>
      <c r="Z99" s="168">
        <f t="shared" si="118"/>
        <v>0</v>
      </c>
      <c r="AA99" s="168">
        <f t="shared" si="118"/>
        <v>0</v>
      </c>
      <c r="AB99" s="168">
        <f t="shared" si="118"/>
        <v>0</v>
      </c>
      <c r="AC99" s="168">
        <f t="shared" si="118"/>
        <v>0</v>
      </c>
      <c r="AD99" s="168">
        <f t="shared" si="118"/>
        <v>0</v>
      </c>
      <c r="AE99" s="168">
        <f t="shared" si="118"/>
        <v>0</v>
      </c>
      <c r="AF99" s="168">
        <f t="shared" si="118"/>
        <v>0</v>
      </c>
      <c r="AG99" s="168">
        <f t="shared" si="118"/>
        <v>0</v>
      </c>
      <c r="AH99" s="168">
        <f t="shared" si="118"/>
        <v>0</v>
      </c>
      <c r="AI99" s="168">
        <f t="shared" ref="AI99:AI102" si="119">O20</f>
        <v>0</v>
      </c>
    </row>
    <row r="100" spans="1:35">
      <c r="A100" s="310"/>
      <c r="B100" t="s">
        <v>329</v>
      </c>
      <c r="D100" t="s">
        <v>480</v>
      </c>
      <c r="E100" s="168">
        <f t="shared" si="117"/>
        <v>0</v>
      </c>
      <c r="F100" s="168">
        <f t="shared" ref="F100:AH100" si="120">-($E100-$AI100)/30+E100</f>
        <v>0</v>
      </c>
      <c r="G100" s="168">
        <f t="shared" si="120"/>
        <v>0</v>
      </c>
      <c r="H100" s="168">
        <f t="shared" si="120"/>
        <v>0</v>
      </c>
      <c r="I100" s="168">
        <f t="shared" si="120"/>
        <v>0</v>
      </c>
      <c r="J100" s="168">
        <f t="shared" si="120"/>
        <v>0</v>
      </c>
      <c r="K100" s="168">
        <f t="shared" si="120"/>
        <v>0</v>
      </c>
      <c r="L100" s="168">
        <f t="shared" si="120"/>
        <v>0</v>
      </c>
      <c r="M100" s="168">
        <f t="shared" si="120"/>
        <v>0</v>
      </c>
      <c r="N100" s="168">
        <f t="shared" si="120"/>
        <v>0</v>
      </c>
      <c r="O100" s="168">
        <f t="shared" si="120"/>
        <v>0</v>
      </c>
      <c r="P100" s="168">
        <f t="shared" si="120"/>
        <v>0</v>
      </c>
      <c r="Q100" s="168">
        <f t="shared" si="120"/>
        <v>0</v>
      </c>
      <c r="R100" s="168">
        <f t="shared" si="120"/>
        <v>0</v>
      </c>
      <c r="S100" s="168">
        <f t="shared" si="120"/>
        <v>0</v>
      </c>
      <c r="T100" s="168">
        <f t="shared" si="120"/>
        <v>0</v>
      </c>
      <c r="U100" s="168">
        <f t="shared" si="120"/>
        <v>0</v>
      </c>
      <c r="V100" s="168">
        <f t="shared" si="120"/>
        <v>0</v>
      </c>
      <c r="W100" s="168">
        <f t="shared" si="120"/>
        <v>0</v>
      </c>
      <c r="X100" s="168">
        <f t="shared" si="120"/>
        <v>0</v>
      </c>
      <c r="Y100" s="168">
        <f t="shared" si="120"/>
        <v>0</v>
      </c>
      <c r="Z100" s="168">
        <f t="shared" si="120"/>
        <v>0</v>
      </c>
      <c r="AA100" s="168">
        <f t="shared" si="120"/>
        <v>0</v>
      </c>
      <c r="AB100" s="168">
        <f t="shared" si="120"/>
        <v>0</v>
      </c>
      <c r="AC100" s="168">
        <f t="shared" si="120"/>
        <v>0</v>
      </c>
      <c r="AD100" s="168">
        <f t="shared" si="120"/>
        <v>0</v>
      </c>
      <c r="AE100" s="168">
        <f t="shared" si="120"/>
        <v>0</v>
      </c>
      <c r="AF100" s="168">
        <f t="shared" si="120"/>
        <v>0</v>
      </c>
      <c r="AG100" s="168">
        <f t="shared" si="120"/>
        <v>0</v>
      </c>
      <c r="AH100" s="168">
        <f t="shared" si="120"/>
        <v>0</v>
      </c>
      <c r="AI100" s="168">
        <f t="shared" si="119"/>
        <v>0</v>
      </c>
    </row>
    <row r="101" spans="1:35">
      <c r="A101" s="310"/>
      <c r="B101" t="s">
        <v>329</v>
      </c>
      <c r="D101" t="s">
        <v>474</v>
      </c>
      <c r="E101" s="168">
        <f t="shared" si="117"/>
        <v>0.85710438531517308</v>
      </c>
      <c r="F101" s="168">
        <f t="shared" ref="F101:AH101" si="121">-($E101-$AI101)/30+E101</f>
        <v>0.85710438531517308</v>
      </c>
      <c r="G101" s="168">
        <f t="shared" si="121"/>
        <v>0.85710438531517308</v>
      </c>
      <c r="H101" s="168">
        <f t="shared" si="121"/>
        <v>0.85710438531517308</v>
      </c>
      <c r="I101" s="168">
        <f t="shared" si="121"/>
        <v>0.85710438531517308</v>
      </c>
      <c r="J101" s="168">
        <f t="shared" si="121"/>
        <v>0.85710438531517308</v>
      </c>
      <c r="K101" s="168">
        <f t="shared" si="121"/>
        <v>0.85710438531517308</v>
      </c>
      <c r="L101" s="168">
        <f t="shared" si="121"/>
        <v>0.85710438531517308</v>
      </c>
      <c r="M101" s="168">
        <f t="shared" si="121"/>
        <v>0.85710438531517308</v>
      </c>
      <c r="N101" s="168">
        <f t="shared" si="121"/>
        <v>0.85710438531517308</v>
      </c>
      <c r="O101" s="168">
        <f t="shared" si="121"/>
        <v>0.85710438531517308</v>
      </c>
      <c r="P101" s="168">
        <f t="shared" si="121"/>
        <v>0.85710438531517308</v>
      </c>
      <c r="Q101" s="168">
        <f t="shared" si="121"/>
        <v>0.85710438531517308</v>
      </c>
      <c r="R101" s="168">
        <f t="shared" si="121"/>
        <v>0.85710438531517308</v>
      </c>
      <c r="S101" s="168">
        <f t="shared" si="121"/>
        <v>0.85710438531517308</v>
      </c>
      <c r="T101" s="168">
        <f t="shared" si="121"/>
        <v>0.85710438531517308</v>
      </c>
      <c r="U101" s="168">
        <f t="shared" si="121"/>
        <v>0.85710438531517308</v>
      </c>
      <c r="V101" s="168">
        <f t="shared" si="121"/>
        <v>0.85710438531517308</v>
      </c>
      <c r="W101" s="168">
        <f t="shared" si="121"/>
        <v>0.85710438531517308</v>
      </c>
      <c r="X101" s="168">
        <f t="shared" si="121"/>
        <v>0.85710438531517308</v>
      </c>
      <c r="Y101" s="168">
        <f t="shared" si="121"/>
        <v>0.85710438531517308</v>
      </c>
      <c r="Z101" s="168">
        <f t="shared" si="121"/>
        <v>0.85710438531517308</v>
      </c>
      <c r="AA101" s="168">
        <f t="shared" si="121"/>
        <v>0.85710438531517308</v>
      </c>
      <c r="AB101" s="168">
        <f t="shared" si="121"/>
        <v>0.85710438531517308</v>
      </c>
      <c r="AC101" s="168">
        <f t="shared" si="121"/>
        <v>0.85710438531517308</v>
      </c>
      <c r="AD101" s="168">
        <f t="shared" si="121"/>
        <v>0.85710438531517308</v>
      </c>
      <c r="AE101" s="168">
        <f t="shared" si="121"/>
        <v>0.85710438531517308</v>
      </c>
      <c r="AF101" s="168">
        <f t="shared" si="121"/>
        <v>0.85710438531517308</v>
      </c>
      <c r="AG101" s="168">
        <f t="shared" si="121"/>
        <v>0.85710438531517308</v>
      </c>
      <c r="AH101" s="168">
        <f t="shared" si="121"/>
        <v>0.85710438531517308</v>
      </c>
      <c r="AI101" s="168">
        <f t="shared" si="119"/>
        <v>0.85710438531517308</v>
      </c>
    </row>
    <row r="102" spans="1:35" s="68" customFormat="1">
      <c r="A102" s="311"/>
      <c r="B102" s="68" t="s">
        <v>329</v>
      </c>
      <c r="D102" s="68" t="s">
        <v>248</v>
      </c>
      <c r="E102" s="421">
        <f t="shared" si="117"/>
        <v>0.14289561468482695</v>
      </c>
      <c r="F102" s="421">
        <f t="shared" ref="F102:AH102" si="122">-($E102-$AI102)/30+E102</f>
        <v>0.14289561468482695</v>
      </c>
      <c r="G102" s="421">
        <f t="shared" si="122"/>
        <v>0.14289561468482695</v>
      </c>
      <c r="H102" s="421">
        <f t="shared" si="122"/>
        <v>0.14289561468482695</v>
      </c>
      <c r="I102" s="421">
        <f t="shared" si="122"/>
        <v>0.14289561468482695</v>
      </c>
      <c r="J102" s="421">
        <f t="shared" si="122"/>
        <v>0.14289561468482695</v>
      </c>
      <c r="K102" s="421">
        <f t="shared" si="122"/>
        <v>0.14289561468482695</v>
      </c>
      <c r="L102" s="421">
        <f t="shared" si="122"/>
        <v>0.14289561468482695</v>
      </c>
      <c r="M102" s="421">
        <f t="shared" si="122"/>
        <v>0.14289561468482695</v>
      </c>
      <c r="N102" s="421">
        <f t="shared" si="122"/>
        <v>0.14289561468482695</v>
      </c>
      <c r="O102" s="421">
        <f t="shared" si="122"/>
        <v>0.14289561468482695</v>
      </c>
      <c r="P102" s="421">
        <f t="shared" si="122"/>
        <v>0.14289561468482695</v>
      </c>
      <c r="Q102" s="421">
        <f t="shared" si="122"/>
        <v>0.14289561468482695</v>
      </c>
      <c r="R102" s="421">
        <f t="shared" si="122"/>
        <v>0.14289561468482695</v>
      </c>
      <c r="S102" s="421">
        <f t="shared" si="122"/>
        <v>0.14289561468482695</v>
      </c>
      <c r="T102" s="421">
        <f t="shared" si="122"/>
        <v>0.14289561468482695</v>
      </c>
      <c r="U102" s="421">
        <f t="shared" si="122"/>
        <v>0.14289561468482695</v>
      </c>
      <c r="V102" s="421">
        <f t="shared" si="122"/>
        <v>0.14289561468482695</v>
      </c>
      <c r="W102" s="421">
        <f t="shared" si="122"/>
        <v>0.14289561468482695</v>
      </c>
      <c r="X102" s="421">
        <f t="shared" si="122"/>
        <v>0.14289561468482695</v>
      </c>
      <c r="Y102" s="421">
        <f t="shared" si="122"/>
        <v>0.14289561468482695</v>
      </c>
      <c r="Z102" s="421">
        <f t="shared" si="122"/>
        <v>0.14289561468482695</v>
      </c>
      <c r="AA102" s="421">
        <f t="shared" si="122"/>
        <v>0.14289561468482695</v>
      </c>
      <c r="AB102" s="421">
        <f t="shared" si="122"/>
        <v>0.14289561468482695</v>
      </c>
      <c r="AC102" s="421">
        <f t="shared" si="122"/>
        <v>0.14289561468482695</v>
      </c>
      <c r="AD102" s="421">
        <f t="shared" si="122"/>
        <v>0.14289561468482695</v>
      </c>
      <c r="AE102" s="421">
        <f t="shared" si="122"/>
        <v>0.14289561468482695</v>
      </c>
      <c r="AF102" s="421">
        <f t="shared" si="122"/>
        <v>0.14289561468482695</v>
      </c>
      <c r="AG102" s="421">
        <f t="shared" si="122"/>
        <v>0.14289561468482695</v>
      </c>
      <c r="AH102" s="421">
        <f t="shared" si="122"/>
        <v>0.14289561468482695</v>
      </c>
      <c r="AI102" s="421">
        <f t="shared" si="119"/>
        <v>0.14289561468482692</v>
      </c>
    </row>
    <row r="103" spans="1:35" s="67" customFormat="1">
      <c r="A103" s="307"/>
      <c r="B103" s="67" t="s">
        <v>369</v>
      </c>
      <c r="C103" s="67" t="s">
        <v>1746</v>
      </c>
      <c r="D103" s="67" t="s">
        <v>258</v>
      </c>
      <c r="E103" s="201">
        <f>D27</f>
        <v>0.35330398449159967</v>
      </c>
      <c r="F103" s="201">
        <f t="shared" ref="F103:AH103" si="123">-($E103-$AI103)/30+E103</f>
        <v>0.35844381248300899</v>
      </c>
      <c r="G103" s="201">
        <f t="shared" si="123"/>
        <v>0.36358364047441832</v>
      </c>
      <c r="H103" s="201">
        <f t="shared" si="123"/>
        <v>0.36872346846582765</v>
      </c>
      <c r="I103" s="201">
        <f t="shared" si="123"/>
        <v>0.37386329645723698</v>
      </c>
      <c r="J103" s="201">
        <f t="shared" si="123"/>
        <v>0.37900312444864631</v>
      </c>
      <c r="K103" s="201">
        <f t="shared" si="123"/>
        <v>0.38414295244005564</v>
      </c>
      <c r="L103" s="201">
        <f t="shared" si="123"/>
        <v>0.38928278043146497</v>
      </c>
      <c r="M103" s="201">
        <f t="shared" si="123"/>
        <v>0.3944226084228743</v>
      </c>
      <c r="N103" s="201">
        <f t="shared" si="123"/>
        <v>0.39956243641428363</v>
      </c>
      <c r="O103" s="201">
        <f t="shared" si="123"/>
        <v>0.40470226440569296</v>
      </c>
      <c r="P103" s="201">
        <f t="shared" si="123"/>
        <v>0.40984209239710229</v>
      </c>
      <c r="Q103" s="201">
        <f t="shared" si="123"/>
        <v>0.41498192038851162</v>
      </c>
      <c r="R103" s="201">
        <f t="shared" si="123"/>
        <v>0.42012174837992095</v>
      </c>
      <c r="S103" s="201">
        <f t="shared" si="123"/>
        <v>0.42526157637133027</v>
      </c>
      <c r="T103" s="201">
        <f t="shared" si="123"/>
        <v>0.4304014043627396</v>
      </c>
      <c r="U103" s="201">
        <f t="shared" si="123"/>
        <v>0.43554123235414893</v>
      </c>
      <c r="V103" s="201">
        <f t="shared" si="123"/>
        <v>0.44068106034555826</v>
      </c>
      <c r="W103" s="201">
        <f t="shared" si="123"/>
        <v>0.44582088833696759</v>
      </c>
      <c r="X103" s="201">
        <f t="shared" si="123"/>
        <v>0.45096071632837692</v>
      </c>
      <c r="Y103" s="201">
        <f t="shared" si="123"/>
        <v>0.45610054431978625</v>
      </c>
      <c r="Z103" s="201">
        <f t="shared" si="123"/>
        <v>0.46124037231119558</v>
      </c>
      <c r="AA103" s="201">
        <f t="shared" si="123"/>
        <v>0.46638020030260491</v>
      </c>
      <c r="AB103" s="201">
        <f t="shared" si="123"/>
        <v>0.47152002829401424</v>
      </c>
      <c r="AC103" s="201">
        <f t="shared" si="123"/>
        <v>0.47665985628542357</v>
      </c>
      <c r="AD103" s="201">
        <f t="shared" si="123"/>
        <v>0.4817996842768329</v>
      </c>
      <c r="AE103" s="201">
        <f t="shared" si="123"/>
        <v>0.48693951226824223</v>
      </c>
      <c r="AF103" s="201">
        <f t="shared" si="123"/>
        <v>0.49207934025965155</v>
      </c>
      <c r="AG103" s="201">
        <f t="shared" si="123"/>
        <v>0.49721916825106088</v>
      </c>
      <c r="AH103" s="201">
        <f t="shared" si="123"/>
        <v>0.50235899624247016</v>
      </c>
      <c r="AI103" s="201">
        <f>M27</f>
        <v>0.50749882423387904</v>
      </c>
    </row>
    <row r="104" spans="1:35">
      <c r="A104" s="310"/>
      <c r="B104" t="s">
        <v>369</v>
      </c>
      <c r="C104" t="s">
        <v>1746</v>
      </c>
      <c r="D104" t="s">
        <v>478</v>
      </c>
      <c r="E104" s="168">
        <f t="shared" ref="E104:E107" si="124">D28</f>
        <v>1.8257255953353001E-2</v>
      </c>
      <c r="F104" s="168">
        <f t="shared" ref="F104:AH104" si="125">-($E104-$AI104)/30+E104</f>
        <v>1.9921548169902881E-2</v>
      </c>
      <c r="G104" s="168">
        <f t="shared" si="125"/>
        <v>2.1585840386452761E-2</v>
      </c>
      <c r="H104" s="168">
        <f t="shared" si="125"/>
        <v>2.3250132603002641E-2</v>
      </c>
      <c r="I104" s="168">
        <f t="shared" si="125"/>
        <v>2.4914424819552521E-2</v>
      </c>
      <c r="J104" s="168">
        <f t="shared" si="125"/>
        <v>2.6578717036102401E-2</v>
      </c>
      <c r="K104" s="168">
        <f t="shared" si="125"/>
        <v>2.8243009252652281E-2</v>
      </c>
      <c r="L104" s="168">
        <f t="shared" si="125"/>
        <v>2.990730146920216E-2</v>
      </c>
      <c r="M104" s="168">
        <f t="shared" si="125"/>
        <v>3.157159368575204E-2</v>
      </c>
      <c r="N104" s="168">
        <f t="shared" si="125"/>
        <v>3.323588590230192E-2</v>
      </c>
      <c r="O104" s="168">
        <f t="shared" si="125"/>
        <v>3.49001781188518E-2</v>
      </c>
      <c r="P104" s="168">
        <f t="shared" si="125"/>
        <v>3.656447033540168E-2</v>
      </c>
      <c r="Q104" s="168">
        <f t="shared" si="125"/>
        <v>3.822876255195156E-2</v>
      </c>
      <c r="R104" s="168">
        <f t="shared" si="125"/>
        <v>3.989305476850144E-2</v>
      </c>
      <c r="S104" s="168">
        <f t="shared" si="125"/>
        <v>4.155734698505132E-2</v>
      </c>
      <c r="T104" s="168">
        <f t="shared" si="125"/>
        <v>4.32216392016012E-2</v>
      </c>
      <c r="U104" s="168">
        <f t="shared" si="125"/>
        <v>4.488593141815108E-2</v>
      </c>
      <c r="V104" s="168">
        <f t="shared" si="125"/>
        <v>4.655022363470096E-2</v>
      </c>
      <c r="W104" s="168">
        <f t="shared" si="125"/>
        <v>4.821451585125084E-2</v>
      </c>
      <c r="X104" s="168">
        <f t="shared" si="125"/>
        <v>4.987880806780072E-2</v>
      </c>
      <c r="Y104" s="168">
        <f t="shared" si="125"/>
        <v>5.15431002843506E-2</v>
      </c>
      <c r="Z104" s="168">
        <f t="shared" si="125"/>
        <v>5.320739250090048E-2</v>
      </c>
      <c r="AA104" s="168">
        <f t="shared" si="125"/>
        <v>5.487168471745036E-2</v>
      </c>
      <c r="AB104" s="168">
        <f t="shared" si="125"/>
        <v>5.653597693400024E-2</v>
      </c>
      <c r="AC104" s="168">
        <f t="shared" si="125"/>
        <v>5.820026915055012E-2</v>
      </c>
      <c r="AD104" s="168">
        <f t="shared" si="125"/>
        <v>5.98645613671E-2</v>
      </c>
      <c r="AE104" s="168">
        <f t="shared" si="125"/>
        <v>6.152885358364988E-2</v>
      </c>
      <c r="AF104" s="168">
        <f t="shared" si="125"/>
        <v>6.319314580019976E-2</v>
      </c>
      <c r="AG104" s="168">
        <f t="shared" si="125"/>
        <v>6.4857438016749633E-2</v>
      </c>
      <c r="AH104" s="168">
        <f t="shared" si="125"/>
        <v>6.6521730233299506E-2</v>
      </c>
      <c r="AI104" s="168">
        <f t="shared" ref="AI104:AI107" si="126">M28</f>
        <v>6.8186022449849393E-2</v>
      </c>
    </row>
    <row r="105" spans="1:35">
      <c r="A105" s="310"/>
      <c r="B105" t="s">
        <v>369</v>
      </c>
      <c r="C105" t="s">
        <v>1746</v>
      </c>
      <c r="D105" t="s">
        <v>480</v>
      </c>
      <c r="E105" s="168">
        <f t="shared" si="124"/>
        <v>0.62703304078386057</v>
      </c>
      <c r="F105" s="168">
        <f t="shared" ref="F105:AH105" si="127">-($E105-$AI105)/30+E105</f>
        <v>0.62008354346515537</v>
      </c>
      <c r="G105" s="168">
        <f t="shared" si="127"/>
        <v>0.61313404614645017</v>
      </c>
      <c r="H105" s="168">
        <f t="shared" si="127"/>
        <v>0.60618454882774497</v>
      </c>
      <c r="I105" s="168">
        <f t="shared" si="127"/>
        <v>0.59923505150903977</v>
      </c>
      <c r="J105" s="168">
        <f t="shared" si="127"/>
        <v>0.59228555419033457</v>
      </c>
      <c r="K105" s="168">
        <f t="shared" si="127"/>
        <v>0.58533605687162937</v>
      </c>
      <c r="L105" s="168">
        <f t="shared" si="127"/>
        <v>0.57838655955292417</v>
      </c>
      <c r="M105" s="168">
        <f t="shared" si="127"/>
        <v>0.57143706223421897</v>
      </c>
      <c r="N105" s="168">
        <f t="shared" si="127"/>
        <v>0.56448756491551377</v>
      </c>
      <c r="O105" s="168">
        <f t="shared" si="127"/>
        <v>0.55753806759680857</v>
      </c>
      <c r="P105" s="168">
        <f t="shared" si="127"/>
        <v>0.55058857027810337</v>
      </c>
      <c r="Q105" s="168">
        <f t="shared" si="127"/>
        <v>0.54363907295939817</v>
      </c>
      <c r="R105" s="168">
        <f t="shared" si="127"/>
        <v>0.53668957564069297</v>
      </c>
      <c r="S105" s="168">
        <f t="shared" si="127"/>
        <v>0.52974007832198777</v>
      </c>
      <c r="T105" s="168">
        <f t="shared" si="127"/>
        <v>0.52279058100328257</v>
      </c>
      <c r="U105" s="168">
        <f t="shared" si="127"/>
        <v>0.51584108368457737</v>
      </c>
      <c r="V105" s="168">
        <f t="shared" si="127"/>
        <v>0.50889158636587217</v>
      </c>
      <c r="W105" s="168">
        <f t="shared" si="127"/>
        <v>0.50194208904716697</v>
      </c>
      <c r="X105" s="168">
        <f t="shared" si="127"/>
        <v>0.49499259172846177</v>
      </c>
      <c r="Y105" s="168">
        <f t="shared" si="127"/>
        <v>0.48804309440975657</v>
      </c>
      <c r="Z105" s="168">
        <f t="shared" si="127"/>
        <v>0.48109359709105137</v>
      </c>
      <c r="AA105" s="168">
        <f t="shared" si="127"/>
        <v>0.47414409977234617</v>
      </c>
      <c r="AB105" s="168">
        <f t="shared" si="127"/>
        <v>0.46719460245364097</v>
      </c>
      <c r="AC105" s="168">
        <f t="shared" si="127"/>
        <v>0.46024510513493577</v>
      </c>
      <c r="AD105" s="168">
        <f t="shared" si="127"/>
        <v>0.45329560781623057</v>
      </c>
      <c r="AE105" s="168">
        <f t="shared" si="127"/>
        <v>0.44634611049752537</v>
      </c>
      <c r="AF105" s="168">
        <f t="shared" si="127"/>
        <v>0.43939661317882017</v>
      </c>
      <c r="AG105" s="168">
        <f t="shared" si="127"/>
        <v>0.43244711586011497</v>
      </c>
      <c r="AH105" s="168">
        <f t="shared" si="127"/>
        <v>0.42549761854140977</v>
      </c>
      <c r="AI105" s="168">
        <f t="shared" si="126"/>
        <v>0.41854812122270468</v>
      </c>
    </row>
    <row r="106" spans="1:35">
      <c r="A106" s="310"/>
      <c r="B106" t="s">
        <v>369</v>
      </c>
      <c r="C106" t="s">
        <v>1746</v>
      </c>
      <c r="D106" t="s">
        <v>474</v>
      </c>
      <c r="E106" s="168">
        <f t="shared" si="124"/>
        <v>0</v>
      </c>
      <c r="F106" s="168">
        <f t="shared" ref="F106:AH106" si="128">-($E106-$AI106)/30+E106</f>
        <v>0</v>
      </c>
      <c r="G106" s="168">
        <f t="shared" si="128"/>
        <v>0</v>
      </c>
      <c r="H106" s="168">
        <f t="shared" si="128"/>
        <v>0</v>
      </c>
      <c r="I106" s="168">
        <f t="shared" si="128"/>
        <v>0</v>
      </c>
      <c r="J106" s="168">
        <f t="shared" si="128"/>
        <v>0</v>
      </c>
      <c r="K106" s="168">
        <f t="shared" si="128"/>
        <v>0</v>
      </c>
      <c r="L106" s="168">
        <f t="shared" si="128"/>
        <v>0</v>
      </c>
      <c r="M106" s="168">
        <f t="shared" si="128"/>
        <v>0</v>
      </c>
      <c r="N106" s="168">
        <f t="shared" si="128"/>
        <v>0</v>
      </c>
      <c r="O106" s="168">
        <f t="shared" si="128"/>
        <v>0</v>
      </c>
      <c r="P106" s="168">
        <f t="shared" si="128"/>
        <v>0</v>
      </c>
      <c r="Q106" s="168">
        <f t="shared" si="128"/>
        <v>0</v>
      </c>
      <c r="R106" s="168">
        <f t="shared" si="128"/>
        <v>0</v>
      </c>
      <c r="S106" s="168">
        <f t="shared" si="128"/>
        <v>0</v>
      </c>
      <c r="T106" s="168">
        <f t="shared" si="128"/>
        <v>0</v>
      </c>
      <c r="U106" s="168">
        <f t="shared" si="128"/>
        <v>0</v>
      </c>
      <c r="V106" s="168">
        <f t="shared" si="128"/>
        <v>0</v>
      </c>
      <c r="W106" s="168">
        <f t="shared" si="128"/>
        <v>0</v>
      </c>
      <c r="X106" s="168">
        <f t="shared" si="128"/>
        <v>0</v>
      </c>
      <c r="Y106" s="168">
        <f t="shared" si="128"/>
        <v>0</v>
      </c>
      <c r="Z106" s="168">
        <f t="shared" si="128"/>
        <v>0</v>
      </c>
      <c r="AA106" s="168">
        <f t="shared" si="128"/>
        <v>0</v>
      </c>
      <c r="AB106" s="168">
        <f t="shared" si="128"/>
        <v>0</v>
      </c>
      <c r="AC106" s="168">
        <f t="shared" si="128"/>
        <v>0</v>
      </c>
      <c r="AD106" s="168">
        <f t="shared" si="128"/>
        <v>0</v>
      </c>
      <c r="AE106" s="168">
        <f t="shared" si="128"/>
        <v>0</v>
      </c>
      <c r="AF106" s="168">
        <f t="shared" si="128"/>
        <v>0</v>
      </c>
      <c r="AG106" s="168">
        <f t="shared" si="128"/>
        <v>0</v>
      </c>
      <c r="AH106" s="168">
        <f t="shared" si="128"/>
        <v>0</v>
      </c>
      <c r="AI106" s="168">
        <f t="shared" si="126"/>
        <v>0</v>
      </c>
    </row>
    <row r="107" spans="1:35" s="68" customFormat="1">
      <c r="A107" s="311"/>
      <c r="B107" s="68" t="s">
        <v>369</v>
      </c>
      <c r="C107" s="68" t="s">
        <v>1746</v>
      </c>
      <c r="D107" s="68" t="s">
        <v>248</v>
      </c>
      <c r="E107" s="421">
        <f t="shared" si="124"/>
        <v>1.4057187711867362E-3</v>
      </c>
      <c r="F107" s="421">
        <f t="shared" ref="F107:AH107" si="129">-($E107-$AI107)/30+E107</f>
        <v>1.5510958819327386E-3</v>
      </c>
      <c r="G107" s="421">
        <f t="shared" si="129"/>
        <v>1.6964729926787409E-3</v>
      </c>
      <c r="H107" s="421">
        <f t="shared" si="129"/>
        <v>1.8418501034247433E-3</v>
      </c>
      <c r="I107" s="421">
        <f t="shared" si="129"/>
        <v>1.9872272141707456E-3</v>
      </c>
      <c r="J107" s="421">
        <f t="shared" si="129"/>
        <v>2.1326043249167482E-3</v>
      </c>
      <c r="K107" s="421">
        <f t="shared" si="129"/>
        <v>2.2779814356627508E-3</v>
      </c>
      <c r="L107" s="421">
        <f t="shared" si="129"/>
        <v>2.4233585464087533E-3</v>
      </c>
      <c r="M107" s="421">
        <f t="shared" si="129"/>
        <v>2.5687356571547559E-3</v>
      </c>
      <c r="N107" s="421">
        <f t="shared" si="129"/>
        <v>2.7141127679007585E-3</v>
      </c>
      <c r="O107" s="421">
        <f t="shared" si="129"/>
        <v>2.859489878646761E-3</v>
      </c>
      <c r="P107" s="421">
        <f t="shared" si="129"/>
        <v>3.0048669893927636E-3</v>
      </c>
      <c r="Q107" s="421">
        <f t="shared" si="129"/>
        <v>3.1502441001387662E-3</v>
      </c>
      <c r="R107" s="421">
        <f t="shared" si="129"/>
        <v>3.2956212108847687E-3</v>
      </c>
      <c r="S107" s="421">
        <f t="shared" si="129"/>
        <v>3.4409983216307713E-3</v>
      </c>
      <c r="T107" s="421">
        <f t="shared" si="129"/>
        <v>3.5863754323767739E-3</v>
      </c>
      <c r="U107" s="421">
        <f t="shared" si="129"/>
        <v>3.7317525431227764E-3</v>
      </c>
      <c r="V107" s="421">
        <f t="shared" si="129"/>
        <v>3.877129653868779E-3</v>
      </c>
      <c r="W107" s="421">
        <f t="shared" si="129"/>
        <v>4.0225067646147816E-3</v>
      </c>
      <c r="X107" s="421">
        <f t="shared" si="129"/>
        <v>4.1678838753607837E-3</v>
      </c>
      <c r="Y107" s="421">
        <f t="shared" si="129"/>
        <v>4.3132609861067858E-3</v>
      </c>
      <c r="Z107" s="421">
        <f t="shared" si="129"/>
        <v>4.458638096852788E-3</v>
      </c>
      <c r="AA107" s="421">
        <f t="shared" si="129"/>
        <v>4.6040152075987901E-3</v>
      </c>
      <c r="AB107" s="421">
        <f t="shared" si="129"/>
        <v>4.7493923183447922E-3</v>
      </c>
      <c r="AC107" s="421">
        <f t="shared" si="129"/>
        <v>4.8947694290907943E-3</v>
      </c>
      <c r="AD107" s="421">
        <f t="shared" si="129"/>
        <v>5.0401465398367965E-3</v>
      </c>
      <c r="AE107" s="421">
        <f t="shared" si="129"/>
        <v>5.1855236505827986E-3</v>
      </c>
      <c r="AF107" s="421">
        <f t="shared" si="129"/>
        <v>5.3309007613288007E-3</v>
      </c>
      <c r="AG107" s="421">
        <f t="shared" si="129"/>
        <v>5.4762778720748029E-3</v>
      </c>
      <c r="AH107" s="421">
        <f t="shared" si="129"/>
        <v>5.621654982820805E-3</v>
      </c>
      <c r="AI107" s="421">
        <f t="shared" si="126"/>
        <v>5.767032093566808E-3</v>
      </c>
    </row>
    <row r="108" spans="1:35" s="67" customFormat="1">
      <c r="A108" s="307"/>
      <c r="B108" s="67" t="s">
        <v>248</v>
      </c>
      <c r="C108" s="67" t="s">
        <v>1746</v>
      </c>
      <c r="D108" s="67" t="s">
        <v>258</v>
      </c>
      <c r="E108" s="201">
        <f>D35</f>
        <v>0.71774223915373458</v>
      </c>
      <c r="F108" s="201">
        <f t="shared" ref="F108:AH108" si="130">-($E108-$AI108)/30+E108</f>
        <v>0.71774223915373458</v>
      </c>
      <c r="G108" s="201">
        <f t="shared" si="130"/>
        <v>0.71774223915373458</v>
      </c>
      <c r="H108" s="201">
        <f t="shared" si="130"/>
        <v>0.71774223915373458</v>
      </c>
      <c r="I108" s="201">
        <f t="shared" si="130"/>
        <v>0.71774223915373458</v>
      </c>
      <c r="J108" s="201">
        <f t="shared" si="130"/>
        <v>0.71774223915373458</v>
      </c>
      <c r="K108" s="201">
        <f t="shared" si="130"/>
        <v>0.71774223915373458</v>
      </c>
      <c r="L108" s="201">
        <f t="shared" si="130"/>
        <v>0.71774223915373458</v>
      </c>
      <c r="M108" s="201">
        <f t="shared" si="130"/>
        <v>0.71774223915373458</v>
      </c>
      <c r="N108" s="201">
        <f t="shared" si="130"/>
        <v>0.71774223915373458</v>
      </c>
      <c r="O108" s="201">
        <f t="shared" si="130"/>
        <v>0.71774223915373458</v>
      </c>
      <c r="P108" s="201">
        <f t="shared" si="130"/>
        <v>0.71774223915373458</v>
      </c>
      <c r="Q108" s="201">
        <f t="shared" si="130"/>
        <v>0.71774223915373458</v>
      </c>
      <c r="R108" s="201">
        <f t="shared" si="130"/>
        <v>0.71774223915373458</v>
      </c>
      <c r="S108" s="201">
        <f t="shared" si="130"/>
        <v>0.71774223915373458</v>
      </c>
      <c r="T108" s="201">
        <f t="shared" si="130"/>
        <v>0.71774223915373458</v>
      </c>
      <c r="U108" s="201">
        <f t="shared" si="130"/>
        <v>0.71774223915373458</v>
      </c>
      <c r="V108" s="201">
        <f t="shared" si="130"/>
        <v>0.71774223915373458</v>
      </c>
      <c r="W108" s="201">
        <f t="shared" si="130"/>
        <v>0.71774223915373458</v>
      </c>
      <c r="X108" s="201">
        <f t="shared" si="130"/>
        <v>0.71774223915373458</v>
      </c>
      <c r="Y108" s="201">
        <f t="shared" si="130"/>
        <v>0.71774223915373458</v>
      </c>
      <c r="Z108" s="201">
        <f t="shared" si="130"/>
        <v>0.71774223915373458</v>
      </c>
      <c r="AA108" s="201">
        <f t="shared" si="130"/>
        <v>0.71774223915373458</v>
      </c>
      <c r="AB108" s="201">
        <f t="shared" si="130"/>
        <v>0.71774223915373458</v>
      </c>
      <c r="AC108" s="201">
        <f t="shared" si="130"/>
        <v>0.71774223915373458</v>
      </c>
      <c r="AD108" s="201">
        <f t="shared" si="130"/>
        <v>0.71774223915373458</v>
      </c>
      <c r="AE108" s="201">
        <f t="shared" si="130"/>
        <v>0.71774223915373458</v>
      </c>
      <c r="AF108" s="201">
        <f t="shared" si="130"/>
        <v>0.71774223915373458</v>
      </c>
      <c r="AG108" s="201">
        <f t="shared" si="130"/>
        <v>0.71774223915373458</v>
      </c>
      <c r="AH108" s="201">
        <f t="shared" si="130"/>
        <v>0.71774223915373458</v>
      </c>
      <c r="AI108" s="201">
        <f>M35</f>
        <v>0.71774223915373458</v>
      </c>
    </row>
    <row r="109" spans="1:35">
      <c r="A109" s="310"/>
      <c r="B109" t="s">
        <v>248</v>
      </c>
      <c r="C109" t="s">
        <v>1746</v>
      </c>
      <c r="D109" t="s">
        <v>478</v>
      </c>
      <c r="E109" s="168">
        <f t="shared" ref="E109:E112" si="131">D36</f>
        <v>6.9646559781392461E-2</v>
      </c>
      <c r="F109" s="168">
        <f t="shared" ref="F109:AH109" si="132">-($E109-$AI109)/30+E109</f>
        <v>6.9646559781392461E-2</v>
      </c>
      <c r="G109" s="168">
        <f t="shared" si="132"/>
        <v>6.9646559781392461E-2</v>
      </c>
      <c r="H109" s="168">
        <f t="shared" si="132"/>
        <v>6.9646559781392461E-2</v>
      </c>
      <c r="I109" s="168">
        <f t="shared" si="132"/>
        <v>6.9646559781392461E-2</v>
      </c>
      <c r="J109" s="168">
        <f t="shared" si="132"/>
        <v>6.9646559781392461E-2</v>
      </c>
      <c r="K109" s="168">
        <f t="shared" si="132"/>
        <v>6.9646559781392461E-2</v>
      </c>
      <c r="L109" s="168">
        <f t="shared" si="132"/>
        <v>6.9646559781392461E-2</v>
      </c>
      <c r="M109" s="168">
        <f t="shared" si="132"/>
        <v>6.9646559781392461E-2</v>
      </c>
      <c r="N109" s="168">
        <f t="shared" si="132"/>
        <v>6.9646559781392461E-2</v>
      </c>
      <c r="O109" s="168">
        <f t="shared" si="132"/>
        <v>6.9646559781392461E-2</v>
      </c>
      <c r="P109" s="168">
        <f t="shared" si="132"/>
        <v>6.9646559781392461E-2</v>
      </c>
      <c r="Q109" s="168">
        <f t="shared" si="132"/>
        <v>6.9646559781392461E-2</v>
      </c>
      <c r="R109" s="168">
        <f t="shared" si="132"/>
        <v>6.9646559781392461E-2</v>
      </c>
      <c r="S109" s="168">
        <f t="shared" si="132"/>
        <v>6.9646559781392461E-2</v>
      </c>
      <c r="T109" s="168">
        <f t="shared" si="132"/>
        <v>6.9646559781392461E-2</v>
      </c>
      <c r="U109" s="168">
        <f t="shared" si="132"/>
        <v>6.9646559781392461E-2</v>
      </c>
      <c r="V109" s="168">
        <f t="shared" si="132"/>
        <v>6.9646559781392461E-2</v>
      </c>
      <c r="W109" s="168">
        <f t="shared" si="132"/>
        <v>6.9646559781392461E-2</v>
      </c>
      <c r="X109" s="168">
        <f t="shared" si="132"/>
        <v>6.9646559781392461E-2</v>
      </c>
      <c r="Y109" s="168">
        <f t="shared" si="132"/>
        <v>6.9646559781392461E-2</v>
      </c>
      <c r="Z109" s="168">
        <f t="shared" si="132"/>
        <v>6.9646559781392461E-2</v>
      </c>
      <c r="AA109" s="168">
        <f t="shared" si="132"/>
        <v>6.9646559781392461E-2</v>
      </c>
      <c r="AB109" s="168">
        <f t="shared" si="132"/>
        <v>6.9646559781392461E-2</v>
      </c>
      <c r="AC109" s="168">
        <f t="shared" si="132"/>
        <v>6.9646559781392461E-2</v>
      </c>
      <c r="AD109" s="168">
        <f t="shared" si="132"/>
        <v>6.9646559781392461E-2</v>
      </c>
      <c r="AE109" s="168">
        <f t="shared" si="132"/>
        <v>6.9646559781392461E-2</v>
      </c>
      <c r="AF109" s="168">
        <f t="shared" si="132"/>
        <v>6.9646559781392461E-2</v>
      </c>
      <c r="AG109" s="168">
        <f t="shared" si="132"/>
        <v>6.9646559781392461E-2</v>
      </c>
      <c r="AH109" s="168">
        <f t="shared" si="132"/>
        <v>6.9646559781392461E-2</v>
      </c>
      <c r="AI109" s="168">
        <f t="shared" ref="AI109:AI112" si="133">M36</f>
        <v>6.9646559781392461E-2</v>
      </c>
    </row>
    <row r="110" spans="1:35">
      <c r="A110" s="310"/>
      <c r="B110" t="s">
        <v>248</v>
      </c>
      <c r="C110" t="s">
        <v>1746</v>
      </c>
      <c r="D110" t="s">
        <v>480</v>
      </c>
      <c r="E110" s="168">
        <f t="shared" si="131"/>
        <v>0.16077426157043653</v>
      </c>
      <c r="F110" s="168">
        <f t="shared" ref="F110:AH110" si="134">-($E110-$AI110)/30+E110</f>
        <v>0.16077426157043653</v>
      </c>
      <c r="G110" s="168">
        <f t="shared" si="134"/>
        <v>0.16077426157043653</v>
      </c>
      <c r="H110" s="168">
        <f t="shared" si="134"/>
        <v>0.16077426157043653</v>
      </c>
      <c r="I110" s="168">
        <f t="shared" si="134"/>
        <v>0.16077426157043653</v>
      </c>
      <c r="J110" s="168">
        <f t="shared" si="134"/>
        <v>0.16077426157043653</v>
      </c>
      <c r="K110" s="168">
        <f t="shared" si="134"/>
        <v>0.16077426157043653</v>
      </c>
      <c r="L110" s="168">
        <f t="shared" si="134"/>
        <v>0.16077426157043653</v>
      </c>
      <c r="M110" s="168">
        <f t="shared" si="134"/>
        <v>0.16077426157043653</v>
      </c>
      <c r="N110" s="168">
        <f t="shared" si="134"/>
        <v>0.16077426157043653</v>
      </c>
      <c r="O110" s="168">
        <f t="shared" si="134"/>
        <v>0.16077426157043653</v>
      </c>
      <c r="P110" s="168">
        <f t="shared" si="134"/>
        <v>0.16077426157043653</v>
      </c>
      <c r="Q110" s="168">
        <f t="shared" si="134"/>
        <v>0.16077426157043653</v>
      </c>
      <c r="R110" s="168">
        <f t="shared" si="134"/>
        <v>0.16077426157043653</v>
      </c>
      <c r="S110" s="168">
        <f t="shared" si="134"/>
        <v>0.16077426157043653</v>
      </c>
      <c r="T110" s="168">
        <f t="shared" si="134"/>
        <v>0.16077426157043653</v>
      </c>
      <c r="U110" s="168">
        <f t="shared" si="134"/>
        <v>0.16077426157043653</v>
      </c>
      <c r="V110" s="168">
        <f t="shared" si="134"/>
        <v>0.16077426157043653</v>
      </c>
      <c r="W110" s="168">
        <f t="shared" si="134"/>
        <v>0.16077426157043653</v>
      </c>
      <c r="X110" s="168">
        <f t="shared" si="134"/>
        <v>0.16077426157043653</v>
      </c>
      <c r="Y110" s="168">
        <f t="shared" si="134"/>
        <v>0.16077426157043653</v>
      </c>
      <c r="Z110" s="168">
        <f t="shared" si="134"/>
        <v>0.16077426157043653</v>
      </c>
      <c r="AA110" s="168">
        <f t="shared" si="134"/>
        <v>0.16077426157043653</v>
      </c>
      <c r="AB110" s="168">
        <f t="shared" si="134"/>
        <v>0.16077426157043653</v>
      </c>
      <c r="AC110" s="168">
        <f t="shared" si="134"/>
        <v>0.16077426157043653</v>
      </c>
      <c r="AD110" s="168">
        <f t="shared" si="134"/>
        <v>0.16077426157043653</v>
      </c>
      <c r="AE110" s="168">
        <f t="shared" si="134"/>
        <v>0.16077426157043653</v>
      </c>
      <c r="AF110" s="168">
        <f t="shared" si="134"/>
        <v>0.16077426157043653</v>
      </c>
      <c r="AG110" s="168">
        <f t="shared" si="134"/>
        <v>0.16077426157043653</v>
      </c>
      <c r="AH110" s="168">
        <f t="shared" si="134"/>
        <v>0.16077426157043653</v>
      </c>
      <c r="AI110" s="168">
        <f t="shared" si="133"/>
        <v>0.16077426157043656</v>
      </c>
    </row>
    <row r="111" spans="1:35">
      <c r="A111" s="310"/>
      <c r="B111" t="s">
        <v>248</v>
      </c>
      <c r="C111" t="s">
        <v>1746</v>
      </c>
      <c r="D111" t="s">
        <v>474</v>
      </c>
      <c r="E111" s="168">
        <f t="shared" si="131"/>
        <v>0</v>
      </c>
      <c r="F111" s="168">
        <f t="shared" ref="F111:AH111" si="135">-($E111-$AI111)/30+E111</f>
        <v>0</v>
      </c>
      <c r="G111" s="168">
        <f t="shared" si="135"/>
        <v>0</v>
      </c>
      <c r="H111" s="168">
        <f t="shared" si="135"/>
        <v>0</v>
      </c>
      <c r="I111" s="168">
        <f t="shared" si="135"/>
        <v>0</v>
      </c>
      <c r="J111" s="168">
        <f t="shared" si="135"/>
        <v>0</v>
      </c>
      <c r="K111" s="168">
        <f t="shared" si="135"/>
        <v>0</v>
      </c>
      <c r="L111" s="168">
        <f t="shared" si="135"/>
        <v>0</v>
      </c>
      <c r="M111" s="168">
        <f t="shared" si="135"/>
        <v>0</v>
      </c>
      <c r="N111" s="168">
        <f t="shared" si="135"/>
        <v>0</v>
      </c>
      <c r="O111" s="168">
        <f t="shared" si="135"/>
        <v>0</v>
      </c>
      <c r="P111" s="168">
        <f t="shared" si="135"/>
        <v>0</v>
      </c>
      <c r="Q111" s="168">
        <f t="shared" si="135"/>
        <v>0</v>
      </c>
      <c r="R111" s="168">
        <f t="shared" si="135"/>
        <v>0</v>
      </c>
      <c r="S111" s="168">
        <f t="shared" si="135"/>
        <v>0</v>
      </c>
      <c r="T111" s="168">
        <f t="shared" si="135"/>
        <v>0</v>
      </c>
      <c r="U111" s="168">
        <f t="shared" si="135"/>
        <v>0</v>
      </c>
      <c r="V111" s="168">
        <f t="shared" si="135"/>
        <v>0</v>
      </c>
      <c r="W111" s="168">
        <f t="shared" si="135"/>
        <v>0</v>
      </c>
      <c r="X111" s="168">
        <f t="shared" si="135"/>
        <v>0</v>
      </c>
      <c r="Y111" s="168">
        <f t="shared" si="135"/>
        <v>0</v>
      </c>
      <c r="Z111" s="168">
        <f t="shared" si="135"/>
        <v>0</v>
      </c>
      <c r="AA111" s="168">
        <f t="shared" si="135"/>
        <v>0</v>
      </c>
      <c r="AB111" s="168">
        <f t="shared" si="135"/>
        <v>0</v>
      </c>
      <c r="AC111" s="168">
        <f t="shared" si="135"/>
        <v>0</v>
      </c>
      <c r="AD111" s="168">
        <f t="shared" si="135"/>
        <v>0</v>
      </c>
      <c r="AE111" s="168">
        <f t="shared" si="135"/>
        <v>0</v>
      </c>
      <c r="AF111" s="168">
        <f t="shared" si="135"/>
        <v>0</v>
      </c>
      <c r="AG111" s="168">
        <f t="shared" si="135"/>
        <v>0</v>
      </c>
      <c r="AH111" s="168">
        <f t="shared" si="135"/>
        <v>0</v>
      </c>
      <c r="AI111" s="168">
        <f t="shared" si="133"/>
        <v>0</v>
      </c>
    </row>
    <row r="112" spans="1:35" s="68" customFormat="1">
      <c r="A112" s="311"/>
      <c r="B112" s="68" t="s">
        <v>248</v>
      </c>
      <c r="C112" s="68" t="s">
        <v>1746</v>
      </c>
      <c r="D112" s="68" t="s">
        <v>248</v>
      </c>
      <c r="E112" s="421">
        <f t="shared" si="131"/>
        <v>5.1836939494436393E-2</v>
      </c>
      <c r="F112" s="421">
        <f t="shared" ref="F112:AH112" si="136">-($E112-$AI112)/30+E112</f>
        <v>5.1836939494436393E-2</v>
      </c>
      <c r="G112" s="421">
        <f t="shared" si="136"/>
        <v>5.1836939494436393E-2</v>
      </c>
      <c r="H112" s="421">
        <f t="shared" si="136"/>
        <v>5.1836939494436393E-2</v>
      </c>
      <c r="I112" s="421">
        <f t="shared" si="136"/>
        <v>5.1836939494436393E-2</v>
      </c>
      <c r="J112" s="421">
        <f t="shared" si="136"/>
        <v>5.1836939494436393E-2</v>
      </c>
      <c r="K112" s="421">
        <f t="shared" si="136"/>
        <v>5.1836939494436393E-2</v>
      </c>
      <c r="L112" s="421">
        <f t="shared" si="136"/>
        <v>5.1836939494436393E-2</v>
      </c>
      <c r="M112" s="421">
        <f t="shared" si="136"/>
        <v>5.1836939494436393E-2</v>
      </c>
      <c r="N112" s="421">
        <f t="shared" si="136"/>
        <v>5.1836939494436393E-2</v>
      </c>
      <c r="O112" s="421">
        <f t="shared" si="136"/>
        <v>5.1836939494436393E-2</v>
      </c>
      <c r="P112" s="421">
        <f t="shared" si="136"/>
        <v>5.1836939494436393E-2</v>
      </c>
      <c r="Q112" s="421">
        <f t="shared" si="136"/>
        <v>5.1836939494436393E-2</v>
      </c>
      <c r="R112" s="421">
        <f t="shared" si="136"/>
        <v>5.1836939494436393E-2</v>
      </c>
      <c r="S112" s="421">
        <f t="shared" si="136"/>
        <v>5.1836939494436393E-2</v>
      </c>
      <c r="T112" s="421">
        <f t="shared" si="136"/>
        <v>5.1836939494436393E-2</v>
      </c>
      <c r="U112" s="421">
        <f t="shared" si="136"/>
        <v>5.1836939494436393E-2</v>
      </c>
      <c r="V112" s="421">
        <f t="shared" si="136"/>
        <v>5.1836939494436393E-2</v>
      </c>
      <c r="W112" s="421">
        <f t="shared" si="136"/>
        <v>5.1836939494436393E-2</v>
      </c>
      <c r="X112" s="421">
        <f t="shared" si="136"/>
        <v>5.1836939494436393E-2</v>
      </c>
      <c r="Y112" s="421">
        <f t="shared" si="136"/>
        <v>5.1836939494436393E-2</v>
      </c>
      <c r="Z112" s="421">
        <f t="shared" si="136"/>
        <v>5.1836939494436393E-2</v>
      </c>
      <c r="AA112" s="421">
        <f t="shared" si="136"/>
        <v>5.1836939494436393E-2</v>
      </c>
      <c r="AB112" s="421">
        <f t="shared" si="136"/>
        <v>5.1836939494436393E-2</v>
      </c>
      <c r="AC112" s="421">
        <f t="shared" si="136"/>
        <v>5.1836939494436393E-2</v>
      </c>
      <c r="AD112" s="421">
        <f t="shared" si="136"/>
        <v>5.1836939494436393E-2</v>
      </c>
      <c r="AE112" s="421">
        <f t="shared" si="136"/>
        <v>5.1836939494436393E-2</v>
      </c>
      <c r="AF112" s="421">
        <f t="shared" si="136"/>
        <v>5.1836939494436393E-2</v>
      </c>
      <c r="AG112" s="421">
        <f t="shared" si="136"/>
        <v>5.1836939494436393E-2</v>
      </c>
      <c r="AH112" s="421">
        <f t="shared" si="136"/>
        <v>5.1836939494436393E-2</v>
      </c>
      <c r="AI112" s="421">
        <f t="shared" si="133"/>
        <v>5.1836939494436386E-2</v>
      </c>
    </row>
  </sheetData>
  <mergeCells count="10">
    <mergeCell ref="S3:S8"/>
    <mergeCell ref="S11:S15"/>
    <mergeCell ref="S19:S23"/>
    <mergeCell ref="S27:S31"/>
    <mergeCell ref="S35:S39"/>
    <mergeCell ref="I3:I8"/>
    <mergeCell ref="I11:I15"/>
    <mergeCell ref="I19:I23"/>
    <mergeCell ref="I27:I31"/>
    <mergeCell ref="I35:I39"/>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A2F74-9BD1-4979-A141-1A72102C28AB}">
  <sheetPr>
    <tabColor theme="4"/>
  </sheetPr>
  <dimension ref="A1:E41"/>
  <sheetViews>
    <sheetView topLeftCell="A15" zoomScale="130" zoomScaleNormal="130" workbookViewId="0">
      <selection activeCell="C18" sqref="C18"/>
    </sheetView>
  </sheetViews>
  <sheetFormatPr baseColWidth="10" defaultColWidth="8.83203125" defaultRowHeight="15"/>
  <cols>
    <col min="1" max="1" width="15.1640625" customWidth="1"/>
  </cols>
  <sheetData>
    <row r="1" spans="1:3" s="81" customFormat="1" ht="16" thickBot="1">
      <c r="A1" s="81" t="s">
        <v>1001</v>
      </c>
    </row>
    <row r="2" spans="1:3">
      <c r="A2" s="54" t="s">
        <v>1002</v>
      </c>
    </row>
    <row r="3" spans="1:3">
      <c r="A3" s="158" t="s">
        <v>1003</v>
      </c>
    </row>
    <row r="4" spans="1:3">
      <c r="A4" s="177" t="s">
        <v>1757</v>
      </c>
    </row>
    <row r="5" spans="1:3">
      <c r="A5" s="158"/>
    </row>
    <row r="6" spans="1:3">
      <c r="A6" s="1">
        <v>2015</v>
      </c>
      <c r="B6" t="s">
        <v>831</v>
      </c>
      <c r="C6" t="s">
        <v>462</v>
      </c>
    </row>
    <row r="7" spans="1:3">
      <c r="A7" t="s">
        <v>309</v>
      </c>
      <c r="B7" s="157">
        <v>141.17553691951099</v>
      </c>
      <c r="C7" s="2">
        <f t="shared" ref="C7:C14" si="0">B7/SUM($B$7:$B$14)</f>
        <v>0.46288166072261605</v>
      </c>
    </row>
    <row r="8" spans="1:3">
      <c r="A8" t="s">
        <v>329</v>
      </c>
      <c r="B8" s="157">
        <v>42.802422799095297</v>
      </c>
      <c r="C8" s="2">
        <f t="shared" si="0"/>
        <v>0.14033916201425573</v>
      </c>
    </row>
    <row r="9" spans="1:3">
      <c r="A9" t="s">
        <v>192</v>
      </c>
      <c r="B9" s="157">
        <v>38.069206075611099</v>
      </c>
      <c r="C9" s="2">
        <f t="shared" si="0"/>
        <v>0.12482004825465627</v>
      </c>
    </row>
    <row r="10" spans="1:3">
      <c r="A10" t="s">
        <v>1758</v>
      </c>
      <c r="B10" s="157">
        <v>37.445211644326299</v>
      </c>
      <c r="C10" s="2">
        <f t="shared" si="0"/>
        <v>0.12277411604191429</v>
      </c>
    </row>
    <row r="11" spans="1:3">
      <c r="A11" t="s">
        <v>1462</v>
      </c>
      <c r="B11" s="157">
        <v>16.860662279348499</v>
      </c>
      <c r="C11" s="2">
        <f t="shared" si="0"/>
        <v>5.52821793849285E-2</v>
      </c>
    </row>
    <row r="12" spans="1:3">
      <c r="A12" t="s">
        <v>1759</v>
      </c>
      <c r="B12" s="157">
        <v>13.5945878411284</v>
      </c>
      <c r="C12" s="2">
        <f t="shared" si="0"/>
        <v>4.457348301305681E-2</v>
      </c>
    </row>
    <row r="13" spans="1:3">
      <c r="A13" t="s">
        <v>369</v>
      </c>
      <c r="B13" s="157">
        <v>13.2647103069678</v>
      </c>
      <c r="C13" s="2">
        <f t="shared" si="0"/>
        <v>4.3491891512297036E-2</v>
      </c>
    </row>
    <row r="14" spans="1:3">
      <c r="A14" t="s">
        <v>1760</v>
      </c>
      <c r="B14" s="157">
        <v>1.78038251770183</v>
      </c>
      <c r="C14" s="2">
        <f t="shared" si="0"/>
        <v>5.8374590562753565E-3</v>
      </c>
    </row>
    <row r="15" spans="1:3">
      <c r="B15" s="26">
        <f>SUM(B7:B14)</f>
        <v>304.9927203836902</v>
      </c>
      <c r="C15" s="23">
        <f>SUM(C7:C14)</f>
        <v>1.0000000000000002</v>
      </c>
    </row>
    <row r="17" spans="1:4">
      <c r="A17" s="1">
        <v>2015</v>
      </c>
      <c r="B17" t="s">
        <v>831</v>
      </c>
      <c r="C17" t="s">
        <v>462</v>
      </c>
    </row>
    <row r="18" spans="1:4">
      <c r="A18" t="s">
        <v>309</v>
      </c>
      <c r="B18" s="26">
        <f>B7</f>
        <v>141.17553691951099</v>
      </c>
      <c r="C18" s="2">
        <f>B18/SUM($B$7:$B$14,$B$23)</f>
        <v>0.41645595445153194</v>
      </c>
    </row>
    <row r="19" spans="1:4">
      <c r="A19" t="s">
        <v>310</v>
      </c>
      <c r="B19" s="26">
        <f>B13</f>
        <v>13.2647103069678</v>
      </c>
      <c r="C19" s="2">
        <f t="shared" ref="C19:C24" si="1">B19/SUM($B$7:$B$14,$B$23)</f>
        <v>3.9129779223441984E-2</v>
      </c>
    </row>
    <row r="20" spans="1:4">
      <c r="A20" t="s">
        <v>311</v>
      </c>
      <c r="B20" s="26">
        <f>B11</f>
        <v>16.860662279348499</v>
      </c>
      <c r="C20" s="2">
        <f t="shared" si="1"/>
        <v>4.9737534954333813E-2</v>
      </c>
    </row>
    <row r="21" spans="1:4">
      <c r="A21" t="s">
        <v>312</v>
      </c>
      <c r="B21" s="26">
        <f>B12</f>
        <v>13.5945878411284</v>
      </c>
      <c r="C21" s="2">
        <f t="shared" si="1"/>
        <v>4.0102890191097064E-2</v>
      </c>
    </row>
    <row r="22" spans="1:4">
      <c r="A22" t="s">
        <v>746</v>
      </c>
      <c r="B22" s="26">
        <f>B10</f>
        <v>37.445211644326299</v>
      </c>
      <c r="C22" s="2">
        <f t="shared" si="1"/>
        <v>0.11046022345832027</v>
      </c>
    </row>
    <row r="23" spans="1:4">
      <c r="A23" t="s">
        <v>320</v>
      </c>
      <c r="B23" s="51">
        <v>34</v>
      </c>
      <c r="C23" s="2">
        <f>B23/SUM($B$7:$B$14,$B$23)</f>
        <v>0.10029713901088191</v>
      </c>
      <c r="D23" s="54" t="s">
        <v>1761</v>
      </c>
    </row>
    <row r="24" spans="1:4">
      <c r="A24" t="s">
        <v>248</v>
      </c>
      <c r="B24" s="26">
        <f>B9+B8+B14</f>
        <v>82.652011392408227</v>
      </c>
      <c r="C24" s="2">
        <f t="shared" si="1"/>
        <v>0.24381647871039305</v>
      </c>
    </row>
    <row r="25" spans="1:4">
      <c r="A25" t="s">
        <v>364</v>
      </c>
      <c r="B25" s="26">
        <f>SUM(B18:B24)</f>
        <v>338.9927203836902</v>
      </c>
      <c r="C25" s="2">
        <f>SUM(C18:C24)</f>
        <v>1</v>
      </c>
    </row>
    <row r="26" spans="1:4">
      <c r="B26" s="26"/>
      <c r="C26" s="23"/>
    </row>
    <row r="27" spans="1:4">
      <c r="A27" s="1">
        <v>2015</v>
      </c>
      <c r="B27" t="s">
        <v>831</v>
      </c>
      <c r="C27" t="s">
        <v>462</v>
      </c>
    </row>
    <row r="28" spans="1:4">
      <c r="A28" t="s">
        <v>1022</v>
      </c>
      <c r="B28" s="26">
        <f>B18+B22</f>
        <v>178.62074856383728</v>
      </c>
      <c r="C28" s="2">
        <f>C18+C22</f>
        <v>0.52691617790985223</v>
      </c>
    </row>
    <row r="29" spans="1:4">
      <c r="A29" t="s">
        <v>310</v>
      </c>
      <c r="B29" s="26">
        <f>B19</f>
        <v>13.2647103069678</v>
      </c>
      <c r="C29" s="2">
        <f>C19</f>
        <v>3.9129779223441984E-2</v>
      </c>
    </row>
    <row r="30" spans="1:4">
      <c r="A30" t="s">
        <v>311</v>
      </c>
      <c r="B30" s="26">
        <f>B20</f>
        <v>16.860662279348499</v>
      </c>
      <c r="C30" s="2">
        <f>C20</f>
        <v>4.9737534954333813E-2</v>
      </c>
    </row>
    <row r="31" spans="1:4">
      <c r="A31" t="s">
        <v>320</v>
      </c>
      <c r="B31" s="26">
        <f>B23</f>
        <v>34</v>
      </c>
      <c r="C31" s="2">
        <f>C23</f>
        <v>0.10029713901088191</v>
      </c>
    </row>
    <row r="32" spans="1:4">
      <c r="A32" t="s">
        <v>248</v>
      </c>
      <c r="B32" s="26">
        <f>B24+B21</f>
        <v>96.246599233536628</v>
      </c>
      <c r="C32" s="2">
        <f>C24+C21</f>
        <v>0.28391936890149011</v>
      </c>
    </row>
    <row r="33" spans="1:5">
      <c r="A33" t="s">
        <v>364</v>
      </c>
      <c r="B33" s="26">
        <f>SUM(B28:B32)</f>
        <v>338.9927203836902</v>
      </c>
      <c r="C33" s="2">
        <f>SUM(C28:C32)</f>
        <v>1</v>
      </c>
    </row>
    <row r="34" spans="1:5">
      <c r="B34" s="26"/>
      <c r="C34" s="2"/>
    </row>
    <row r="35" spans="1:5">
      <c r="A35" s="1">
        <v>2020</v>
      </c>
      <c r="B35" t="s">
        <v>831</v>
      </c>
      <c r="C35" t="s">
        <v>462</v>
      </c>
    </row>
    <row r="36" spans="1:5">
      <c r="A36" t="s">
        <v>1022</v>
      </c>
      <c r="B36" s="26">
        <f>B28*(1+$E$37)^5</f>
        <v>207.07040294211549</v>
      </c>
      <c r="C36" s="2">
        <f>B36/$B$41</f>
        <v>0.52691617790985212</v>
      </c>
      <c r="E36" t="s">
        <v>1762</v>
      </c>
    </row>
    <row r="37" spans="1:5">
      <c r="A37" t="s">
        <v>310</v>
      </c>
      <c r="B37" s="26">
        <f t="shared" ref="B37:B40" si="2">B29*(1+$E$37)^5</f>
        <v>15.377434761967763</v>
      </c>
      <c r="C37" s="2">
        <f t="shared" ref="C37:C40" si="3">B37/$B$41</f>
        <v>3.9129779223441984E-2</v>
      </c>
      <c r="E37" s="55">
        <v>0.03</v>
      </c>
    </row>
    <row r="38" spans="1:5">
      <c r="A38" t="s">
        <v>311</v>
      </c>
      <c r="B38" s="26">
        <f t="shared" si="2"/>
        <v>19.546128655976656</v>
      </c>
      <c r="C38" s="2">
        <f t="shared" si="3"/>
        <v>4.9737534954333806E-2</v>
      </c>
    </row>
    <row r="39" spans="1:5">
      <c r="A39" t="s">
        <v>320</v>
      </c>
      <c r="B39" s="26">
        <f t="shared" si="2"/>
        <v>39.415318526199997</v>
      </c>
      <c r="C39" s="2">
        <f t="shared" si="3"/>
        <v>0.10029713901088191</v>
      </c>
    </row>
    <row r="40" spans="1:5">
      <c r="A40" t="s">
        <v>248</v>
      </c>
      <c r="B40" s="26">
        <f t="shared" si="2"/>
        <v>111.57618723098125</v>
      </c>
      <c r="C40" s="2">
        <f t="shared" si="3"/>
        <v>0.28391936890149011</v>
      </c>
    </row>
    <row r="41" spans="1:5">
      <c r="A41" t="s">
        <v>364</v>
      </c>
      <c r="B41" s="26">
        <f>SUM(B36:B40)</f>
        <v>392.98547211724116</v>
      </c>
      <c r="C41" s="2">
        <f>SUM(C36:C40)</f>
        <v>1</v>
      </c>
    </row>
  </sheetData>
  <hyperlinks>
    <hyperlink ref="A3" r:id="rId1" xr:uid="{41D67967-2C9E-4985-A90A-A2958C799988}"/>
  </hyperlinks>
  <pageMargins left="0.7" right="0.7" top="0.75" bottom="0.75" header="0.3" footer="0.3"/>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92B0-FF37-42CD-ABA8-29FCBFB74983}">
  <sheetPr>
    <tabColor theme="9"/>
  </sheetPr>
  <dimension ref="B2:B19"/>
  <sheetViews>
    <sheetView workbookViewId="0">
      <selection activeCell="F16" sqref="F16"/>
    </sheetView>
  </sheetViews>
  <sheetFormatPr baseColWidth="10" defaultColWidth="8.83203125" defaultRowHeight="15"/>
  <sheetData>
    <row r="2" spans="2:2">
      <c r="B2" t="s">
        <v>1763</v>
      </c>
    </row>
    <row r="3" spans="2:2">
      <c r="B3" t="s">
        <v>1764</v>
      </c>
    </row>
    <row r="4" spans="2:2">
      <c r="B4" t="s">
        <v>1765</v>
      </c>
    </row>
    <row r="5" spans="2:2">
      <c r="B5" t="s">
        <v>1766</v>
      </c>
    </row>
    <row r="6" spans="2:2">
      <c r="B6" t="s">
        <v>1767</v>
      </c>
    </row>
    <row r="8" spans="2:2">
      <c r="B8" t="s">
        <v>1768</v>
      </c>
    </row>
    <row r="9" spans="2:2">
      <c r="B9" t="s">
        <v>1769</v>
      </c>
    </row>
    <row r="11" spans="2:2">
      <c r="B11" t="s">
        <v>1770</v>
      </c>
    </row>
    <row r="12" spans="2:2">
      <c r="B12" t="s">
        <v>1771</v>
      </c>
    </row>
    <row r="13" spans="2:2">
      <c r="B13" t="s">
        <v>1772</v>
      </c>
    </row>
    <row r="15" spans="2:2">
      <c r="B15" t="s">
        <v>1773</v>
      </c>
    </row>
    <row r="16" spans="2:2">
      <c r="B16" t="s">
        <v>1774</v>
      </c>
    </row>
    <row r="18" spans="2:2">
      <c r="B18" t="s">
        <v>1775</v>
      </c>
    </row>
    <row r="19" spans="2:2">
      <c r="B19" t="s">
        <v>1776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4E56-4EF3-49A5-884E-2D16FFF574BD}">
  <sheetPr>
    <tabColor theme="9"/>
  </sheetPr>
  <dimension ref="A1:AH119"/>
  <sheetViews>
    <sheetView topLeftCell="D3" zoomScale="70" zoomScaleNormal="70" workbookViewId="0">
      <selection activeCell="K20" sqref="K20"/>
    </sheetView>
  </sheetViews>
  <sheetFormatPr baseColWidth="10" defaultColWidth="8.83203125" defaultRowHeight="15"/>
  <cols>
    <col min="1" max="1" width="32.5" customWidth="1"/>
    <col min="2" max="2" width="33" customWidth="1"/>
    <col min="3" max="3" width="28.5" customWidth="1"/>
    <col min="4" max="4" width="19.83203125" customWidth="1"/>
    <col min="5" max="5" width="19.83203125" style="460" customWidth="1"/>
    <col min="6" max="6" width="19.83203125" customWidth="1"/>
    <col min="7" max="7" width="19" customWidth="1"/>
    <col min="8" max="8" width="25.5" bestFit="1" customWidth="1"/>
    <col min="9" max="10" width="25.5" customWidth="1"/>
    <col min="11" max="11" width="32.83203125" bestFit="1" customWidth="1"/>
    <col min="12" max="12" width="25.5" customWidth="1"/>
    <col min="13" max="13" width="10.83203125" customWidth="1"/>
    <col min="14" max="14" width="58.1640625" bestFit="1" customWidth="1"/>
    <col min="17" max="17" width="31.1640625" bestFit="1" customWidth="1"/>
    <col min="18" max="18" width="27.1640625" bestFit="1" customWidth="1"/>
    <col min="19" max="19" width="33.83203125" bestFit="1" customWidth="1"/>
    <col min="20" max="29" width="16.83203125" bestFit="1" customWidth="1"/>
    <col min="30" max="30" width="15.33203125" bestFit="1" customWidth="1"/>
    <col min="31" max="31" width="16.83203125" bestFit="1" customWidth="1"/>
    <col min="32" max="32" width="6.83203125" bestFit="1" customWidth="1"/>
    <col min="33" max="33" width="9.5" bestFit="1" customWidth="1"/>
    <col min="34" max="34" width="14.33203125" bestFit="1" customWidth="1"/>
  </cols>
  <sheetData>
    <row r="1" spans="1:19">
      <c r="A1" s="1" t="s">
        <v>1777</v>
      </c>
      <c r="B1" s="280" t="b">
        <v>1</v>
      </c>
    </row>
    <row r="2" spans="1:19">
      <c r="C2" t="s">
        <v>1060</v>
      </c>
      <c r="D2" s="43">
        <f>SUMIF(F:F,C2,H:H)</f>
        <v>102.16223893794904</v>
      </c>
    </row>
    <row r="3" spans="1:19">
      <c r="D3" s="521">
        <f>'Yearly Demand - Methanol'!G10</f>
        <v>102.16223893794903</v>
      </c>
    </row>
    <row r="4" spans="1:19">
      <c r="A4" s="456" t="s">
        <v>1778</v>
      </c>
      <c r="B4" s="456" t="s">
        <v>1779</v>
      </c>
      <c r="C4" s="456" t="s">
        <v>1780</v>
      </c>
      <c r="D4" s="456" t="s">
        <v>1781</v>
      </c>
      <c r="E4" s="456" t="s">
        <v>1782</v>
      </c>
      <c r="F4" s="456" t="s">
        <v>1783</v>
      </c>
      <c r="G4" s="456" t="s">
        <v>1784</v>
      </c>
      <c r="H4" s="456" t="s">
        <v>1785</v>
      </c>
      <c r="I4" s="456" t="s">
        <v>1786</v>
      </c>
      <c r="J4" s="456" t="s">
        <v>1787</v>
      </c>
      <c r="K4" s="456" t="s">
        <v>1788</v>
      </c>
      <c r="L4" s="456" t="s">
        <v>1789</v>
      </c>
      <c r="M4" s="456" t="s">
        <v>1790</v>
      </c>
      <c r="N4" s="456" t="s">
        <v>1791</v>
      </c>
    </row>
    <row r="5" spans="1:19">
      <c r="A5" t="s">
        <v>6</v>
      </c>
      <c r="B5" s="457" t="s">
        <v>4</v>
      </c>
      <c r="C5" s="457"/>
      <c r="D5" s="457" t="s">
        <v>179</v>
      </c>
      <c r="E5" s="457"/>
      <c r="F5" s="457" t="s">
        <v>1792</v>
      </c>
      <c r="G5" s="205">
        <f>30.5145062488026%*0.4</f>
        <v>0.12205802499521042</v>
      </c>
      <c r="H5" s="458">
        <f>31.2019722359321*0.4</f>
        <v>12.480788894372841</v>
      </c>
      <c r="I5" s="459">
        <v>2</v>
      </c>
      <c r="J5" s="458">
        <f>H5</f>
        <v>12.480788894372841</v>
      </c>
      <c r="K5" s="458">
        <v>1.75093632958801</v>
      </c>
      <c r="L5" s="458">
        <f>J5*K5</f>
        <v>21.853066697075981</v>
      </c>
      <c r="M5" s="458" t="str">
        <f t="shared" ref="M5:M36" si="0">IF(AND(OR(B5="Other",C5="Other"),$B$1=TRUE),$S$9,_xlfn.XLOOKUP(D5,$Q$6:$Q$10,$S$6:$S$10,$S$8))</f>
        <v>#A9A9A9</v>
      </c>
      <c r="N5" t="str">
        <f>CONCATENATE(A5," [",IF(H5&lt;1,ROUND(H5,2),ROUND(H5,1)),"] ",IF($B$1=TRUE,IF((ISBLANK(C5)),B5,C5),B5)," ",M5)</f>
        <v>Methanol [12.5] Ethylene #A9A9A9</v>
      </c>
      <c r="Q5" t="s">
        <v>1793</v>
      </c>
    </row>
    <row r="6" spans="1:19">
      <c r="A6" t="s">
        <v>6</v>
      </c>
      <c r="B6" s="457" t="s">
        <v>5</v>
      </c>
      <c r="C6" s="457"/>
      <c r="D6" s="457" t="s">
        <v>179</v>
      </c>
      <c r="E6" s="457"/>
      <c r="F6" s="457" t="s">
        <v>1792</v>
      </c>
      <c r="G6" s="205">
        <f>30.5145062488026%*0.6</f>
        <v>0.1830870374928156</v>
      </c>
      <c r="H6" s="458">
        <f>31.2019722359321*0.6</f>
        <v>18.721183341559261</v>
      </c>
      <c r="I6" s="459">
        <v>3</v>
      </c>
      <c r="J6" s="458">
        <f t="shared" ref="J6:J69" si="1">H6</f>
        <v>18.721183341559261</v>
      </c>
      <c r="K6" s="458" t="e">
        <v>#N/A</v>
      </c>
      <c r="L6" s="458" t="e">
        <f t="shared" ref="L6:L69" si="2">J6*K6</f>
        <v>#N/A</v>
      </c>
      <c r="M6" s="458" t="str">
        <f t="shared" si="0"/>
        <v>#A9A9A9</v>
      </c>
      <c r="N6" t="str">
        <f>CONCATENATE(A6," [",IF(H6&lt;1,ROUND(H6,2),ROUND(H6,1)),"] ",IF($B$1=TRUE,IF((ISBLANK(C6)),B6,C6),B6)," ",M6)</f>
        <v>Methanol [18.7] Propylene #A9A9A9</v>
      </c>
      <c r="Q6" t="s">
        <v>1055</v>
      </c>
      <c r="R6" t="s">
        <v>1236</v>
      </c>
      <c r="S6" s="458" t="s">
        <v>1794</v>
      </c>
    </row>
    <row r="7" spans="1:19">
      <c r="A7" t="s">
        <v>6</v>
      </c>
      <c r="B7" s="457" t="s">
        <v>1034</v>
      </c>
      <c r="C7" s="457"/>
      <c r="D7" s="457"/>
      <c r="E7" s="457"/>
      <c r="F7" s="457" t="s">
        <v>1792</v>
      </c>
      <c r="G7" s="205">
        <v>0.23263118840911975</v>
      </c>
      <c r="H7" s="458">
        <v>23.787217209972287</v>
      </c>
      <c r="I7" s="459">
        <v>1</v>
      </c>
      <c r="J7" s="458">
        <f>H7</f>
        <v>23.787217209972287</v>
      </c>
      <c r="K7" s="458">
        <v>0.93714107365792754</v>
      </c>
      <c r="L7" s="458">
        <f t="shared" si="2"/>
        <v>22.291978275487761</v>
      </c>
      <c r="M7" s="458" t="str">
        <f t="shared" si="0"/>
        <v>#A9A9A9</v>
      </c>
      <c r="N7" t="str">
        <f t="shared" ref="N7:N36" si="3">CONCATENATE(A7," [",IF(H7&lt;1,ROUND(H7,2),ROUND(H7,1)),"] ",IF($B$1=TRUE,IF((ISBLANK(C7)),B7,C7),B7)," ",M7)</f>
        <v>Methanol [23.8] Formaldehyde #A9A9A9</v>
      </c>
      <c r="Q7" t="s">
        <v>740</v>
      </c>
      <c r="R7" t="s">
        <v>1795</v>
      </c>
      <c r="S7" t="s">
        <v>1796</v>
      </c>
    </row>
    <row r="8" spans="1:19">
      <c r="A8" t="s">
        <v>6</v>
      </c>
      <c r="B8" s="457" t="s">
        <v>1797</v>
      </c>
      <c r="C8" s="457"/>
      <c r="D8" s="457"/>
      <c r="E8" s="457"/>
      <c r="F8" s="457" t="s">
        <v>1792</v>
      </c>
      <c r="G8" s="205">
        <v>0.1021547725875792</v>
      </c>
      <c r="H8" s="458">
        <v>10.445623311275693</v>
      </c>
      <c r="I8" s="459">
        <v>1</v>
      </c>
      <c r="J8" s="458">
        <f t="shared" si="1"/>
        <v>10.445623311275693</v>
      </c>
      <c r="K8" s="458" t="e">
        <v>#N/A</v>
      </c>
      <c r="L8" s="458" t="e">
        <f t="shared" si="2"/>
        <v>#N/A</v>
      </c>
      <c r="M8" s="458" t="str">
        <f t="shared" si="0"/>
        <v>#A9A9A9</v>
      </c>
      <c r="N8" t="str">
        <f t="shared" si="3"/>
        <v>Methanol [10.4] Methyl tert-Butyl Ether (MTBE) #A9A9A9</v>
      </c>
      <c r="Q8" t="s">
        <v>1798</v>
      </c>
      <c r="R8" t="s">
        <v>1799</v>
      </c>
      <c r="S8" s="458" t="s">
        <v>1800</v>
      </c>
    </row>
    <row r="9" spans="1:19">
      <c r="A9" t="s">
        <v>6</v>
      </c>
      <c r="B9" s="457" t="s">
        <v>246</v>
      </c>
      <c r="C9" s="457"/>
      <c r="D9" s="457"/>
      <c r="E9" s="457"/>
      <c r="F9" s="457" t="s">
        <v>1792</v>
      </c>
      <c r="G9" s="205">
        <v>7.0342979835361516E-2</v>
      </c>
      <c r="H9" s="458">
        <v>7.192774760698633</v>
      </c>
      <c r="I9" s="459">
        <v>1</v>
      </c>
      <c r="J9" s="458">
        <f t="shared" si="1"/>
        <v>7.192774760698633</v>
      </c>
      <c r="K9" s="458">
        <v>1.8742821473158551</v>
      </c>
      <c r="L9" s="458">
        <f t="shared" si="2"/>
        <v>13.481289323641519</v>
      </c>
      <c r="M9" s="458" t="str">
        <f t="shared" si="0"/>
        <v>#A9A9A9</v>
      </c>
      <c r="N9" t="str">
        <f t="shared" si="3"/>
        <v>Methanol [7.2] Acetic Acid #A9A9A9</v>
      </c>
      <c r="Q9" t="s">
        <v>192</v>
      </c>
      <c r="R9" t="s">
        <v>1801</v>
      </c>
      <c r="S9" s="458" t="s">
        <v>1802</v>
      </c>
    </row>
    <row r="10" spans="1:19">
      <c r="A10" t="s">
        <v>6</v>
      </c>
      <c r="B10" s="457" t="s">
        <v>1803</v>
      </c>
      <c r="C10" s="457"/>
      <c r="D10" s="457"/>
      <c r="E10" s="457"/>
      <c r="F10" s="457" t="s">
        <v>1792</v>
      </c>
      <c r="G10" s="205">
        <v>1.733781708100687E-2</v>
      </c>
      <c r="H10" s="458">
        <v>1.772842341876246</v>
      </c>
      <c r="I10" s="459">
        <v>1</v>
      </c>
      <c r="J10" s="458">
        <f t="shared" si="1"/>
        <v>1.772842341876246</v>
      </c>
      <c r="K10" s="458" t="e">
        <v>#N/A</v>
      </c>
      <c r="L10" s="458" t="e">
        <f t="shared" si="2"/>
        <v>#N/A</v>
      </c>
      <c r="M10" s="458" t="str">
        <f t="shared" si="0"/>
        <v>#A9A9A9</v>
      </c>
      <c r="N10" t="str">
        <f t="shared" si="3"/>
        <v>Methanol [1.8] Methyl Methacrylate (MMA) #A9A9A9</v>
      </c>
      <c r="Q10" t="s">
        <v>187</v>
      </c>
      <c r="R10" t="s">
        <v>1804</v>
      </c>
      <c r="S10" s="458" t="s">
        <v>1805</v>
      </c>
    </row>
    <row r="11" spans="1:19">
      <c r="A11" t="s">
        <v>6</v>
      </c>
      <c r="B11" s="457" t="s">
        <v>1806</v>
      </c>
      <c r="C11" s="457"/>
      <c r="D11" s="457" t="s">
        <v>187</v>
      </c>
      <c r="E11" s="457" t="s">
        <v>187</v>
      </c>
      <c r="F11" s="457" t="s">
        <v>1060</v>
      </c>
      <c r="G11" s="205">
        <v>2.9805719753632672E-2</v>
      </c>
      <c r="H11" s="458">
        <v>3.0477217381202508</v>
      </c>
      <c r="I11" s="459">
        <v>1</v>
      </c>
      <c r="J11" s="458">
        <f t="shared" si="1"/>
        <v>3.0477217381202508</v>
      </c>
      <c r="K11" s="458" t="e">
        <v>#N/A</v>
      </c>
      <c r="L11" s="458" t="e">
        <f t="shared" si="2"/>
        <v>#N/A</v>
      </c>
      <c r="M11" s="458" t="str">
        <f t="shared" si="0"/>
        <v>#CC66FF</v>
      </c>
      <c r="N11" t="str">
        <f t="shared" si="3"/>
        <v>Methanol [3] Biodiesel #CC66FF</v>
      </c>
    </row>
    <row r="12" spans="1:19">
      <c r="A12" t="s">
        <v>6</v>
      </c>
      <c r="B12" s="457" t="s">
        <v>1807</v>
      </c>
      <c r="C12" s="457"/>
      <c r="D12" s="457"/>
      <c r="E12" s="457"/>
      <c r="F12" s="457" t="s">
        <v>1792</v>
      </c>
      <c r="G12" s="205">
        <v>2.8522886298573059E-2</v>
      </c>
      <c r="H12" s="458">
        <v>2.9165482774660565</v>
      </c>
      <c r="I12" s="459">
        <v>1</v>
      </c>
      <c r="J12" s="458">
        <f t="shared" si="1"/>
        <v>2.9165482774660565</v>
      </c>
      <c r="K12" s="458" t="e">
        <v>#N/A</v>
      </c>
      <c r="L12" s="458" t="e">
        <f t="shared" si="2"/>
        <v>#N/A</v>
      </c>
      <c r="M12" s="458" t="str">
        <f t="shared" si="0"/>
        <v>#A9A9A9</v>
      </c>
      <c r="N12" t="str">
        <f t="shared" si="3"/>
        <v>Methanol [2.9] Dimethylether (DME) #A9A9A9</v>
      </c>
    </row>
    <row r="13" spans="1:19">
      <c r="A13" t="s">
        <v>6</v>
      </c>
      <c r="B13" s="457" t="s">
        <v>1808</v>
      </c>
      <c r="C13" s="457"/>
      <c r="D13" s="457" t="s">
        <v>187</v>
      </c>
      <c r="E13" s="457" t="s">
        <v>187</v>
      </c>
      <c r="F13" s="457" t="s">
        <v>1060</v>
      </c>
      <c r="G13" s="205">
        <v>0.12836023848013775</v>
      </c>
      <c r="H13" s="458">
        <v>13.125208596196902</v>
      </c>
      <c r="I13" s="459">
        <v>1</v>
      </c>
      <c r="J13" s="458">
        <f t="shared" si="1"/>
        <v>13.125208596196902</v>
      </c>
      <c r="K13" s="458" t="e">
        <v>#N/A</v>
      </c>
      <c r="L13" s="458" t="e">
        <f t="shared" si="2"/>
        <v>#N/A</v>
      </c>
      <c r="M13" s="458" t="str">
        <f t="shared" si="0"/>
        <v>#CC66FF</v>
      </c>
      <c r="N13" t="str">
        <f t="shared" si="3"/>
        <v>Methanol [13.1] Gasoline Blending &amp; Combustion #CC66FF</v>
      </c>
    </row>
    <row r="14" spans="1:19">
      <c r="A14" t="s">
        <v>6</v>
      </c>
      <c r="B14" s="457" t="s">
        <v>1809</v>
      </c>
      <c r="C14" s="457" t="s">
        <v>192</v>
      </c>
      <c r="D14" s="457" t="s">
        <v>187</v>
      </c>
      <c r="E14" s="457" t="s">
        <v>187</v>
      </c>
      <c r="F14" s="457" t="s">
        <v>1060</v>
      </c>
      <c r="G14" s="205">
        <v>1.2248167496215287E-4</v>
      </c>
      <c r="H14" s="458">
        <v>1.2524108338569352E-2</v>
      </c>
      <c r="I14" s="459">
        <v>1</v>
      </c>
      <c r="J14" s="458">
        <f t="shared" si="1"/>
        <v>1.2524108338569352E-2</v>
      </c>
      <c r="K14" s="458" t="e">
        <v>#N/A</v>
      </c>
      <c r="L14" s="458" t="e">
        <f t="shared" si="2"/>
        <v>#N/A</v>
      </c>
      <c r="M14" s="458" t="str">
        <f t="shared" si="0"/>
        <v>#964B00</v>
      </c>
      <c r="N14" t="str">
        <f t="shared" si="3"/>
        <v>Methanol [0.01] Other #964B00</v>
      </c>
      <c r="Q14" s="657" t="s">
        <v>1810</v>
      </c>
      <c r="R14" t="s">
        <v>1811</v>
      </c>
    </row>
    <row r="15" spans="1:19">
      <c r="A15" t="s">
        <v>6</v>
      </c>
      <c r="B15" s="460" t="s">
        <v>192</v>
      </c>
      <c r="C15" s="460"/>
      <c r="D15" s="460"/>
      <c r="E15" s="460" t="s">
        <v>248</v>
      </c>
      <c r="F15" s="460" t="s">
        <v>1060</v>
      </c>
      <c r="G15" s="207">
        <v>3.7085809133041631E-2</v>
      </c>
      <c r="H15" s="458">
        <v>3.7921321009795088</v>
      </c>
      <c r="I15" s="459">
        <v>1</v>
      </c>
      <c r="J15" s="458">
        <f t="shared" si="1"/>
        <v>3.7921321009795088</v>
      </c>
      <c r="K15" s="458" t="e">
        <v>#N/A</v>
      </c>
      <c r="L15" s="458" t="e">
        <f t="shared" si="2"/>
        <v>#N/A</v>
      </c>
      <c r="M15" s="458" t="str">
        <f t="shared" si="0"/>
        <v>#964B00</v>
      </c>
      <c r="N15" t="str">
        <f t="shared" si="3"/>
        <v>Methanol [3.8] Other #964B00</v>
      </c>
      <c r="Q15" s="3" t="s">
        <v>187</v>
      </c>
      <c r="R15">
        <v>28.587862624213781</v>
      </c>
    </row>
    <row r="16" spans="1:19">
      <c r="A16" s="457" t="s">
        <v>1797</v>
      </c>
      <c r="B16" t="s">
        <v>1812</v>
      </c>
      <c r="D16" s="457" t="s">
        <v>187</v>
      </c>
      <c r="E16" s="457" t="s">
        <v>187</v>
      </c>
      <c r="F16" s="457" t="s">
        <v>1060</v>
      </c>
      <c r="G16" s="6">
        <v>0.95</v>
      </c>
      <c r="H16" s="44">
        <v>9.9233421457119082</v>
      </c>
      <c r="I16" s="459">
        <v>1</v>
      </c>
      <c r="J16" s="458">
        <f t="shared" si="1"/>
        <v>9.9233421457119082</v>
      </c>
      <c r="K16" s="458" t="e">
        <v>#N/A</v>
      </c>
      <c r="L16" s="458" t="e">
        <f t="shared" si="2"/>
        <v>#N/A</v>
      </c>
      <c r="M16" s="458" t="str">
        <f t="shared" si="0"/>
        <v>#CC66FF</v>
      </c>
      <c r="N16" t="str">
        <f t="shared" si="3"/>
        <v>Methyl tert-Butyl Ether (MTBE) [9.9] Fuel blend #CC66FF</v>
      </c>
      <c r="O16" s="6"/>
      <c r="P16" s="44"/>
      <c r="Q16" s="3" t="s">
        <v>1055</v>
      </c>
      <c r="R16">
        <v>36.46485392651546</v>
      </c>
    </row>
    <row r="17" spans="1:19">
      <c r="A17" s="457" t="s">
        <v>1797</v>
      </c>
      <c r="B17" t="s">
        <v>920</v>
      </c>
      <c r="C17" t="s">
        <v>192</v>
      </c>
      <c r="E17" s="460" t="s">
        <v>248</v>
      </c>
      <c r="F17" s="457" t="s">
        <v>1060</v>
      </c>
      <c r="G17" s="6">
        <v>0.05</v>
      </c>
      <c r="H17" s="44">
        <v>0.52228116556378501</v>
      </c>
      <c r="I17" s="459">
        <v>1</v>
      </c>
      <c r="J17" s="458">
        <f t="shared" si="1"/>
        <v>0.52228116556378501</v>
      </c>
      <c r="K17" s="458" t="e">
        <v>#N/A</v>
      </c>
      <c r="L17" s="458" t="e">
        <f t="shared" si="2"/>
        <v>#N/A</v>
      </c>
      <c r="M17" s="458" t="str">
        <f t="shared" si="0"/>
        <v>#964B00</v>
      </c>
      <c r="N17" t="str">
        <f t="shared" si="3"/>
        <v>Methyl tert-Butyl Ether (MTBE) [0.52] Other #964B00</v>
      </c>
      <c r="O17" s="6"/>
      <c r="P17" s="44"/>
      <c r="Q17" s="3" t="s">
        <v>740</v>
      </c>
      <c r="R17">
        <v>22.580763290736638</v>
      </c>
    </row>
    <row r="18" spans="1:19">
      <c r="A18" s="457" t="s">
        <v>1807</v>
      </c>
      <c r="B18" t="s">
        <v>187</v>
      </c>
      <c r="D18" t="s">
        <v>187</v>
      </c>
      <c r="E18" t="s">
        <v>187</v>
      </c>
      <c r="F18" s="457" t="s">
        <v>1060</v>
      </c>
      <c r="G18" s="6">
        <v>0.85</v>
      </c>
      <c r="H18" s="44">
        <f>G18*$H$12</f>
        <v>2.4790660358461478</v>
      </c>
      <c r="I18" s="459">
        <v>1</v>
      </c>
      <c r="J18" s="458">
        <f t="shared" si="1"/>
        <v>2.4790660358461478</v>
      </c>
      <c r="K18" s="458" t="e">
        <v>#N/A</v>
      </c>
      <c r="L18" s="458" t="e">
        <f t="shared" si="2"/>
        <v>#N/A</v>
      </c>
      <c r="M18" s="458" t="str">
        <f t="shared" si="0"/>
        <v>#CC66FF</v>
      </c>
      <c r="N18" t="str">
        <f t="shared" si="3"/>
        <v>Dimethylether (DME) [2.5] Fuel #CC66FF</v>
      </c>
      <c r="Q18" s="3" t="s">
        <v>1813</v>
      </c>
      <c r="R18">
        <v>118.96135776205246</v>
      </c>
    </row>
    <row r="19" spans="1:19">
      <c r="A19" s="457" t="s">
        <v>1807</v>
      </c>
      <c r="B19" t="s">
        <v>192</v>
      </c>
      <c r="E19" s="460" t="s">
        <v>248</v>
      </c>
      <c r="F19" s="457" t="s">
        <v>1060</v>
      </c>
      <c r="G19" s="6">
        <v>0.15</v>
      </c>
      <c r="H19" s="44">
        <f>G19*$H$12</f>
        <v>0.43748224161990845</v>
      </c>
      <c r="I19" s="459">
        <v>1</v>
      </c>
      <c r="J19" s="458">
        <f t="shared" si="1"/>
        <v>0.43748224161990845</v>
      </c>
      <c r="K19" s="458" t="e">
        <v>#N/A</v>
      </c>
      <c r="L19" s="458" t="e">
        <f t="shared" si="2"/>
        <v>#N/A</v>
      </c>
      <c r="M19" s="458" t="str">
        <f t="shared" si="0"/>
        <v>#964B00</v>
      </c>
      <c r="N19" t="str">
        <f t="shared" si="3"/>
        <v>Dimethylether (DME) [0.44] Other #964B00</v>
      </c>
      <c r="Q19" s="3" t="s">
        <v>1814</v>
      </c>
      <c r="R19">
        <v>206.59483760351833</v>
      </c>
    </row>
    <row r="20" spans="1:19" ht="16">
      <c r="A20" t="s">
        <v>1034</v>
      </c>
      <c r="B20" s="134" t="s">
        <v>1815</v>
      </c>
      <c r="C20" s="134"/>
      <c r="D20" t="s">
        <v>740</v>
      </c>
      <c r="E20" t="s">
        <v>740</v>
      </c>
      <c r="F20" s="457" t="s">
        <v>1060</v>
      </c>
      <c r="G20" s="6">
        <v>0.38</v>
      </c>
      <c r="H20" s="44">
        <v>9.0391425397894682</v>
      </c>
      <c r="I20" s="459">
        <v>1</v>
      </c>
      <c r="J20" s="458">
        <f t="shared" si="1"/>
        <v>9.0391425397894682</v>
      </c>
      <c r="K20" s="458" t="e">
        <v>#N/A</v>
      </c>
      <c r="L20" s="458" t="e">
        <f t="shared" si="2"/>
        <v>#N/A</v>
      </c>
      <c r="M20" s="458" t="str">
        <f t="shared" si="0"/>
        <v>#FFFF00</v>
      </c>
      <c r="N20" t="str">
        <f t="shared" si="3"/>
        <v>Formaldehyde [9] Carbamide-methanal resins (UF) #FFFF00</v>
      </c>
    </row>
    <row r="21" spans="1:19">
      <c r="A21" t="s">
        <v>1034</v>
      </c>
      <c r="B21" t="s">
        <v>1816</v>
      </c>
      <c r="D21" t="s">
        <v>740</v>
      </c>
      <c r="E21" t="s">
        <v>740</v>
      </c>
      <c r="F21" s="457" t="s">
        <v>1060</v>
      </c>
      <c r="G21" s="6">
        <v>0.16</v>
      </c>
      <c r="H21" s="44">
        <v>3.8059547535955658</v>
      </c>
      <c r="I21" s="459">
        <v>1</v>
      </c>
      <c r="J21" s="458">
        <f t="shared" si="1"/>
        <v>3.8059547535955658</v>
      </c>
      <c r="K21" s="458" t="e">
        <v>#N/A</v>
      </c>
      <c r="L21" s="458" t="e">
        <f t="shared" si="2"/>
        <v>#N/A</v>
      </c>
      <c r="M21" s="458" t="str">
        <f t="shared" si="0"/>
        <v>#FFFF00</v>
      </c>
      <c r="N21" t="str">
        <f t="shared" si="3"/>
        <v>Formaldehyde [3.8] Phenolic Resins (PF) #FFFF00</v>
      </c>
      <c r="P21" t="s">
        <v>1817</v>
      </c>
      <c r="Q21" s="3" t="s">
        <v>187</v>
      </c>
      <c r="R21">
        <f>GETPIVOTDATA("Amount (Mt Methanol)",$Q$14,"Classification","Fuel")</f>
        <v>28.587862624213781</v>
      </c>
      <c r="S21" s="2">
        <f>R21/$R$25</f>
        <v>0.27471012342412782</v>
      </c>
    </row>
    <row r="22" spans="1:19">
      <c r="A22" t="s">
        <v>1034</v>
      </c>
      <c r="B22" t="s">
        <v>1818</v>
      </c>
      <c r="D22" t="s">
        <v>740</v>
      </c>
      <c r="E22" t="s">
        <v>740</v>
      </c>
      <c r="F22" s="457" t="s">
        <v>1060</v>
      </c>
      <c r="G22" s="6">
        <v>0.21</v>
      </c>
      <c r="H22" s="44">
        <v>4.9953156140941797</v>
      </c>
      <c r="I22" s="459">
        <v>1</v>
      </c>
      <c r="J22" s="458">
        <f t="shared" si="1"/>
        <v>4.9953156140941797</v>
      </c>
      <c r="K22" s="458" t="e">
        <v>#N/A</v>
      </c>
      <c r="L22" s="458" t="e">
        <f t="shared" si="2"/>
        <v>#N/A</v>
      </c>
      <c r="M22" s="458" t="str">
        <f t="shared" si="0"/>
        <v>#FFFF00</v>
      </c>
      <c r="N22" t="str">
        <f t="shared" si="3"/>
        <v>Formaldehyde [5] Melamine Resins #FFFF00</v>
      </c>
      <c r="Q22" s="3" t="s">
        <v>1819</v>
      </c>
      <c r="R22" s="44">
        <f>GETPIVOTDATA("Amount (Mt Methanol)",$Q$14,"Classification","Major polymers")-H27</f>
        <v>28.851572700948026</v>
      </c>
      <c r="S22" s="2">
        <f>R22/$R$25</f>
        <v>0.27724419981452192</v>
      </c>
    </row>
    <row r="23" spans="1:19">
      <c r="A23" t="s">
        <v>1034</v>
      </c>
      <c r="B23" t="s">
        <v>1820</v>
      </c>
      <c r="D23" t="s">
        <v>740</v>
      </c>
      <c r="E23" t="s">
        <v>740</v>
      </c>
      <c r="F23" s="457" t="s">
        <v>1060</v>
      </c>
      <c r="G23" s="6">
        <v>0.08</v>
      </c>
      <c r="H23" s="44">
        <v>1.9029773767977829</v>
      </c>
      <c r="I23" s="459">
        <v>1</v>
      </c>
      <c r="J23" s="458">
        <f t="shared" si="1"/>
        <v>1.9029773767977829</v>
      </c>
      <c r="K23" s="458" t="e">
        <v>#N/A</v>
      </c>
      <c r="L23" s="458" t="e">
        <f t="shared" si="2"/>
        <v>#N/A</v>
      </c>
      <c r="M23" s="458" t="str">
        <f t="shared" si="0"/>
        <v>#FFFF00</v>
      </c>
      <c r="N23" t="str">
        <f t="shared" si="3"/>
        <v>Formaldehyde [1.9] Polyacetal resins (polyoxymethylene) #FFFF00</v>
      </c>
      <c r="Q23" s="3" t="s">
        <v>1821</v>
      </c>
      <c r="R23">
        <f>GETPIVOTDATA("Amount (Mt Methanol)",$Q$14,"Classification","Minor polymers")</f>
        <v>22.580763290736638</v>
      </c>
      <c r="S23" s="2">
        <f>R23/$R$25</f>
        <v>0.21698594092708512</v>
      </c>
    </row>
    <row r="24" spans="1:19">
      <c r="A24" t="s">
        <v>1034</v>
      </c>
      <c r="B24" t="s">
        <v>1822</v>
      </c>
      <c r="E24"/>
      <c r="F24" s="457" t="s">
        <v>1792</v>
      </c>
      <c r="G24" s="6">
        <v>0.05</v>
      </c>
      <c r="H24" s="44">
        <v>1.1893608604986143</v>
      </c>
      <c r="I24" s="459">
        <v>1</v>
      </c>
      <c r="J24" s="458">
        <f t="shared" si="1"/>
        <v>1.1893608604986143</v>
      </c>
      <c r="K24" s="458" t="e">
        <v>#N/A</v>
      </c>
      <c r="L24" s="458" t="e">
        <f t="shared" si="2"/>
        <v>#N/A</v>
      </c>
      <c r="M24" s="458" t="str">
        <f t="shared" si="0"/>
        <v>#A9A9A9</v>
      </c>
      <c r="N24" t="str">
        <f t="shared" si="3"/>
        <v>Formaldehyde [1.2] Methylene diphenyl diisocyanate #A9A9A9</v>
      </c>
      <c r="Q24" s="3" t="s">
        <v>192</v>
      </c>
      <c r="R24" s="44">
        <v>24.045360628442481</v>
      </c>
      <c r="S24" s="2">
        <f>R24/$R$25</f>
        <v>0.23105973583426512</v>
      </c>
    </row>
    <row r="25" spans="1:19">
      <c r="A25" t="s">
        <v>1034</v>
      </c>
      <c r="B25" t="s">
        <v>1823</v>
      </c>
      <c r="E25"/>
      <c r="F25" s="457" t="s">
        <v>1792</v>
      </c>
      <c r="G25" s="6">
        <v>0.05</v>
      </c>
      <c r="H25" s="44">
        <v>1.1893608604986143</v>
      </c>
      <c r="I25" s="459">
        <v>1</v>
      </c>
      <c r="J25" s="458">
        <f t="shared" si="1"/>
        <v>1.1893608604986143</v>
      </c>
      <c r="K25" s="458" t="e">
        <v>#N/A</v>
      </c>
      <c r="L25" s="458" t="e">
        <f t="shared" si="2"/>
        <v>#N/A</v>
      </c>
      <c r="M25" s="458" t="str">
        <f t="shared" si="0"/>
        <v>#A9A9A9</v>
      </c>
      <c r="N25" t="str">
        <f t="shared" si="3"/>
        <v>Formaldehyde [1.2] 1,4-butanediol #A9A9A9</v>
      </c>
      <c r="Q25" s="3" t="s">
        <v>67</v>
      </c>
      <c r="R25">
        <f>SUM(R21:R24)</f>
        <v>104.06555924434093</v>
      </c>
    </row>
    <row r="26" spans="1:19">
      <c r="A26" t="s">
        <v>1034</v>
      </c>
      <c r="B26" s="461" t="s">
        <v>192</v>
      </c>
      <c r="C26" s="461"/>
      <c r="D26" s="461"/>
      <c r="E26" s="460" t="s">
        <v>248</v>
      </c>
      <c r="F26" s="461" t="s">
        <v>1060</v>
      </c>
      <c r="G26" s="258">
        <v>7.0000000000000007E-2</v>
      </c>
      <c r="H26" s="44">
        <v>1.6651052046980603</v>
      </c>
      <c r="I26" s="459">
        <v>1</v>
      </c>
      <c r="J26" s="458">
        <f t="shared" si="1"/>
        <v>1.6651052046980603</v>
      </c>
      <c r="K26" s="458" t="e">
        <v>#N/A</v>
      </c>
      <c r="L26" s="458" t="e">
        <f t="shared" si="2"/>
        <v>#N/A</v>
      </c>
      <c r="M26" s="458" t="str">
        <f t="shared" si="0"/>
        <v>#964B00</v>
      </c>
      <c r="N26" t="str">
        <f t="shared" si="3"/>
        <v>Formaldehyde [1.7] Other #964B00</v>
      </c>
    </row>
    <row r="27" spans="1:19">
      <c r="A27" t="s">
        <v>4</v>
      </c>
      <c r="B27" t="s">
        <v>1824</v>
      </c>
      <c r="D27" t="s">
        <v>1055</v>
      </c>
      <c r="E27"/>
      <c r="F27" t="s">
        <v>1792</v>
      </c>
      <c r="G27" s="127">
        <v>0.61</v>
      </c>
      <c r="H27" s="462">
        <f>G27*$H$5</f>
        <v>7.6132812255674329</v>
      </c>
      <c r="I27" s="459">
        <v>1</v>
      </c>
      <c r="J27" s="458">
        <f t="shared" si="1"/>
        <v>7.6132812255674329</v>
      </c>
      <c r="K27" s="458" t="e">
        <v>#N/A</v>
      </c>
      <c r="L27" s="458" t="e">
        <f t="shared" si="2"/>
        <v>#N/A</v>
      </c>
      <c r="M27" s="458" t="str">
        <f t="shared" si="0"/>
        <v>#0000FF</v>
      </c>
      <c r="N27" t="str">
        <f t="shared" si="3"/>
        <v>Ethylene [7.6] Polyethylene (PE) #0000FF</v>
      </c>
    </row>
    <row r="28" spans="1:19">
      <c r="A28" t="s">
        <v>4</v>
      </c>
      <c r="B28" t="s">
        <v>260</v>
      </c>
      <c r="E28"/>
      <c r="F28" t="s">
        <v>1792</v>
      </c>
      <c r="G28" s="127">
        <v>0.14000000000000001</v>
      </c>
      <c r="H28" s="462">
        <f t="shared" ref="H28:H31" si="4">G28*$H$5</f>
        <v>1.7473104452121979</v>
      </c>
      <c r="I28" s="459">
        <v>1</v>
      </c>
      <c r="J28" s="458">
        <f t="shared" si="1"/>
        <v>1.7473104452121979</v>
      </c>
      <c r="K28" s="458">
        <v>1.572192513368984</v>
      </c>
      <c r="L28" s="458">
        <f t="shared" si="2"/>
        <v>2.747108400494044</v>
      </c>
      <c r="M28" s="458" t="str">
        <f t="shared" si="0"/>
        <v>#A9A9A9</v>
      </c>
      <c r="N28" t="str">
        <f t="shared" si="3"/>
        <v>Ethylene [1.7] Ethylene Oxide #A9A9A9</v>
      </c>
    </row>
    <row r="29" spans="1:19">
      <c r="A29" t="s">
        <v>4</v>
      </c>
      <c r="B29" t="s">
        <v>627</v>
      </c>
      <c r="E29"/>
      <c r="F29" t="s">
        <v>1792</v>
      </c>
      <c r="G29" s="127">
        <v>0.12</v>
      </c>
      <c r="H29" s="462">
        <f t="shared" si="4"/>
        <v>1.4976946673247409</v>
      </c>
      <c r="I29" s="459">
        <v>1</v>
      </c>
      <c r="J29" s="458">
        <f t="shared" si="1"/>
        <v>1.4976946673247409</v>
      </c>
      <c r="K29" s="458" t="e">
        <v>#N/A</v>
      </c>
      <c r="L29" s="458" t="e">
        <f t="shared" si="2"/>
        <v>#N/A</v>
      </c>
      <c r="M29" s="458" t="str">
        <f t="shared" si="0"/>
        <v>#A9A9A9</v>
      </c>
      <c r="N29" t="str">
        <f t="shared" si="3"/>
        <v>Ethylene [1.5] Ethylene Dichloride #A9A9A9</v>
      </c>
    </row>
    <row r="30" spans="1:19">
      <c r="A30" t="s">
        <v>4</v>
      </c>
      <c r="B30" t="s">
        <v>658</v>
      </c>
      <c r="E30"/>
      <c r="F30" t="s">
        <v>1792</v>
      </c>
      <c r="G30" s="127">
        <v>0.06</v>
      </c>
      <c r="H30" s="462">
        <f t="shared" si="4"/>
        <v>0.74884733366237044</v>
      </c>
      <c r="I30" s="459">
        <v>1</v>
      </c>
      <c r="J30" s="458">
        <f t="shared" si="1"/>
        <v>0.74884733366237044</v>
      </c>
      <c r="K30" s="458" t="e">
        <v>#N/A</v>
      </c>
      <c r="L30" s="458" t="e">
        <f t="shared" si="2"/>
        <v>#N/A</v>
      </c>
      <c r="M30" s="458" t="str">
        <f t="shared" si="0"/>
        <v>#A9A9A9</v>
      </c>
      <c r="N30" t="str">
        <f t="shared" si="3"/>
        <v>Ethylene [0.75] Ethylbenzene #A9A9A9</v>
      </c>
    </row>
    <row r="31" spans="1:19">
      <c r="A31" t="s">
        <v>4</v>
      </c>
      <c r="B31" t="s">
        <v>192</v>
      </c>
      <c r="E31" s="460" t="s">
        <v>179</v>
      </c>
      <c r="F31" t="s">
        <v>1060</v>
      </c>
      <c r="G31" s="127">
        <f>1-G29-G28-G27-G30</f>
        <v>7.0000000000000007E-2</v>
      </c>
      <c r="H31" s="462">
        <f t="shared" si="4"/>
        <v>0.87365522260609896</v>
      </c>
      <c r="I31" s="459">
        <v>1</v>
      </c>
      <c r="J31" s="458">
        <f t="shared" si="1"/>
        <v>0.87365522260609896</v>
      </c>
      <c r="K31" s="458" t="e">
        <v>#N/A</v>
      </c>
      <c r="L31" s="458" t="e">
        <f t="shared" si="2"/>
        <v>#N/A</v>
      </c>
      <c r="M31" s="458" t="str">
        <f t="shared" si="0"/>
        <v>#964B00</v>
      </c>
      <c r="N31" t="str">
        <f t="shared" si="3"/>
        <v>Ethylene [0.87] Other #964B00</v>
      </c>
      <c r="Q31" s="657" t="s">
        <v>1810</v>
      </c>
      <c r="R31" t="s">
        <v>1811</v>
      </c>
    </row>
    <row r="32" spans="1:19">
      <c r="A32" t="s">
        <v>1824</v>
      </c>
      <c r="B32" s="461" t="s">
        <v>1825</v>
      </c>
      <c r="C32" s="461"/>
      <c r="D32" t="s">
        <v>1055</v>
      </c>
      <c r="E32" s="460" t="s">
        <v>179</v>
      </c>
      <c r="F32" t="s">
        <v>1060</v>
      </c>
      <c r="G32" s="463">
        <v>0.44903581267217635</v>
      </c>
      <c r="H32" s="462">
        <f>G32*$H$27</f>
        <v>3.4186359222244951</v>
      </c>
      <c r="I32" s="459">
        <v>1</v>
      </c>
      <c r="J32" s="458">
        <f t="shared" si="1"/>
        <v>3.4186359222244951</v>
      </c>
      <c r="K32" s="458" t="e">
        <v>#N/A</v>
      </c>
      <c r="L32" s="458" t="e">
        <f t="shared" si="2"/>
        <v>#N/A</v>
      </c>
      <c r="M32" s="458" t="str">
        <f t="shared" si="0"/>
        <v>#0000FF</v>
      </c>
      <c r="N32" t="str">
        <f t="shared" si="3"/>
        <v>Polyethylene (PE) [3.4] High-density Polyethylene (HDPE) #0000FF</v>
      </c>
      <c r="Q32" s="3" t="s">
        <v>4</v>
      </c>
      <c r="R32">
        <v>15.60098611796605</v>
      </c>
    </row>
    <row r="33" spans="1:18">
      <c r="A33" t="s">
        <v>1824</v>
      </c>
      <c r="B33" s="461" t="s">
        <v>1826</v>
      </c>
      <c r="C33" s="461"/>
      <c r="D33" t="s">
        <v>1055</v>
      </c>
      <c r="E33" s="460" t="s">
        <v>179</v>
      </c>
      <c r="F33" t="s">
        <v>1060</v>
      </c>
      <c r="G33" s="463">
        <v>0.55096418732782371</v>
      </c>
      <c r="H33" s="462">
        <f>G33*$H$27</f>
        <v>4.1946453033429387</v>
      </c>
      <c r="I33" s="459">
        <v>1</v>
      </c>
      <c r="J33" s="458">
        <f t="shared" si="1"/>
        <v>4.1946453033429387</v>
      </c>
      <c r="K33" s="458" t="e">
        <v>#N/A</v>
      </c>
      <c r="L33" s="458" t="e">
        <f t="shared" si="2"/>
        <v>#N/A</v>
      </c>
      <c r="M33" s="458" t="str">
        <f t="shared" si="0"/>
        <v>#0000FF</v>
      </c>
      <c r="N33" t="str">
        <f t="shared" si="3"/>
        <v>Polyethylene (PE) [4.2] Low-density Polyethylene (LDPE) #0000FF</v>
      </c>
      <c r="Q33" s="3" t="s">
        <v>1034</v>
      </c>
      <c r="R33">
        <v>23.787217209972287</v>
      </c>
    </row>
    <row r="34" spans="1:18">
      <c r="A34" t="s">
        <v>260</v>
      </c>
      <c r="B34" t="s">
        <v>667</v>
      </c>
      <c r="E34"/>
      <c r="F34" t="s">
        <v>1792</v>
      </c>
      <c r="G34" s="463">
        <v>0.67</v>
      </c>
      <c r="H34" s="462">
        <f>G34*$H$28</f>
        <v>1.1706979982921726</v>
      </c>
      <c r="I34" s="459">
        <v>1</v>
      </c>
      <c r="J34" s="458">
        <f t="shared" si="1"/>
        <v>1.1706979982921726</v>
      </c>
      <c r="K34" s="458">
        <v>1.407482993197279</v>
      </c>
      <c r="L34" s="458">
        <f t="shared" si="2"/>
        <v>1.64773752276633</v>
      </c>
      <c r="M34" s="458" t="str">
        <f t="shared" si="0"/>
        <v>#A9A9A9</v>
      </c>
      <c r="N34" t="str">
        <f t="shared" si="3"/>
        <v>Ethylene Oxide [1.2] Ethylene glycol #A9A9A9</v>
      </c>
      <c r="Q34" s="3" t="s">
        <v>1797</v>
      </c>
      <c r="R34">
        <v>10.445623311275693</v>
      </c>
    </row>
    <row r="35" spans="1:18">
      <c r="A35" t="s">
        <v>260</v>
      </c>
      <c r="B35" t="s">
        <v>669</v>
      </c>
      <c r="C35" s="461" t="s">
        <v>192</v>
      </c>
      <c r="E35" s="460" t="s">
        <v>179</v>
      </c>
      <c r="F35" t="s">
        <v>1060</v>
      </c>
      <c r="G35" s="463">
        <v>0.13</v>
      </c>
      <c r="H35" s="462">
        <f t="shared" ref="H35:H40" si="5">G35*$H$28</f>
        <v>0.22715035787758572</v>
      </c>
      <c r="I35" s="459">
        <v>1</v>
      </c>
      <c r="J35" s="458">
        <f t="shared" si="1"/>
        <v>0.22715035787758572</v>
      </c>
      <c r="K35" s="458" t="e">
        <v>#N/A</v>
      </c>
      <c r="L35" s="458" t="e">
        <f t="shared" si="2"/>
        <v>#N/A</v>
      </c>
      <c r="M35" s="458" t="str">
        <f t="shared" si="0"/>
        <v>#964B00</v>
      </c>
      <c r="N35" t="str">
        <f t="shared" si="3"/>
        <v>Ethylene Oxide [0.23] Other #964B00</v>
      </c>
      <c r="Q35" s="3" t="s">
        <v>5</v>
      </c>
      <c r="R35">
        <v>15.60098611796605</v>
      </c>
    </row>
    <row r="36" spans="1:18">
      <c r="A36" t="s">
        <v>260</v>
      </c>
      <c r="B36" t="s">
        <v>670</v>
      </c>
      <c r="C36" s="461" t="s">
        <v>192</v>
      </c>
      <c r="E36" s="460" t="s">
        <v>179</v>
      </c>
      <c r="F36" t="s">
        <v>1060</v>
      </c>
      <c r="G36" s="463">
        <v>0.06</v>
      </c>
      <c r="H36" s="462">
        <f t="shared" si="5"/>
        <v>0.10483862671273188</v>
      </c>
      <c r="I36" s="459">
        <v>1</v>
      </c>
      <c r="J36" s="458">
        <f t="shared" si="1"/>
        <v>0.10483862671273188</v>
      </c>
      <c r="K36" s="458" t="e">
        <v>#N/A</v>
      </c>
      <c r="L36" s="458" t="e">
        <f t="shared" si="2"/>
        <v>#N/A</v>
      </c>
      <c r="M36" s="458" t="str">
        <f t="shared" si="0"/>
        <v>#964B00</v>
      </c>
      <c r="N36" t="str">
        <f t="shared" si="3"/>
        <v>Ethylene Oxide [0.1] Other #964B00</v>
      </c>
      <c r="Q36" s="3" t="s">
        <v>246</v>
      </c>
      <c r="R36">
        <v>7.192774760698633</v>
      </c>
    </row>
    <row r="37" spans="1:18">
      <c r="A37" t="s">
        <v>260</v>
      </c>
      <c r="B37" t="s">
        <v>671</v>
      </c>
      <c r="C37" s="461" t="s">
        <v>192</v>
      </c>
      <c r="E37" s="460" t="s">
        <v>179</v>
      </c>
      <c r="F37" t="s">
        <v>1060</v>
      </c>
      <c r="G37" s="463">
        <v>0.03</v>
      </c>
      <c r="H37" s="462">
        <f t="shared" si="5"/>
        <v>5.2419313356365939E-2</v>
      </c>
      <c r="I37" s="459">
        <v>1</v>
      </c>
      <c r="J37" s="458">
        <f t="shared" si="1"/>
        <v>5.2419313356365939E-2</v>
      </c>
      <c r="K37" s="458" t="e">
        <v>#N/A</v>
      </c>
      <c r="L37" s="458" t="e">
        <f t="shared" si="2"/>
        <v>#N/A</v>
      </c>
      <c r="M37" s="458" t="str">
        <f t="shared" ref="M37:M68" si="6">IF(AND(OR(B37="Other",C37="Other"),$B$1=TRUE),$S$9,_xlfn.XLOOKUP(D37,$Q$6:$Q$10,$S$6:$S$10,$S$8))</f>
        <v>#964B00</v>
      </c>
      <c r="N37" t="str">
        <f t="shared" ref="N37:N68" si="7">CONCATENATE(A37," [",IF(H37&lt;1,ROUND(H37,2),ROUND(H37,1)),"] ",IF($B$1=TRUE,IF((ISBLANK(C37)),B37,C37),B37)," ",M37)</f>
        <v>Ethylene Oxide [0.05] Other #964B00</v>
      </c>
      <c r="Q37" s="3" t="s">
        <v>1803</v>
      </c>
      <c r="R37">
        <v>1.772842341876246</v>
      </c>
    </row>
    <row r="38" spans="1:18">
      <c r="A38" t="s">
        <v>260</v>
      </c>
      <c r="B38" t="s">
        <v>672</v>
      </c>
      <c r="C38" s="461" t="s">
        <v>192</v>
      </c>
      <c r="E38" s="460" t="s">
        <v>179</v>
      </c>
      <c r="F38" t="s">
        <v>1060</v>
      </c>
      <c r="G38" s="463">
        <v>0.02</v>
      </c>
      <c r="H38" s="462">
        <f t="shared" si="5"/>
        <v>3.4946208904243957E-2</v>
      </c>
      <c r="I38" s="459">
        <v>1</v>
      </c>
      <c r="J38" s="458">
        <f t="shared" si="1"/>
        <v>3.4946208904243957E-2</v>
      </c>
      <c r="K38" s="458" t="e">
        <v>#N/A</v>
      </c>
      <c r="L38" s="458" t="e">
        <f t="shared" si="2"/>
        <v>#N/A</v>
      </c>
      <c r="M38" s="458" t="str">
        <f t="shared" si="6"/>
        <v>#964B00</v>
      </c>
      <c r="N38" t="str">
        <f t="shared" si="7"/>
        <v>Ethylene Oxide [0.03] Other #964B00</v>
      </c>
      <c r="Q38" s="3" t="s">
        <v>1806</v>
      </c>
      <c r="R38">
        <v>3.0477217381202508</v>
      </c>
    </row>
    <row r="39" spans="1:18">
      <c r="A39" t="s">
        <v>260</v>
      </c>
      <c r="B39" t="s">
        <v>1827</v>
      </c>
      <c r="D39" t="s">
        <v>1055</v>
      </c>
      <c r="E39" s="460" t="s">
        <v>179</v>
      </c>
      <c r="F39" t="s">
        <v>1060</v>
      </c>
      <c r="G39" s="463">
        <v>0.03</v>
      </c>
      <c r="H39" s="462">
        <f t="shared" si="5"/>
        <v>5.2419313356365939E-2</v>
      </c>
      <c r="I39" s="459">
        <v>1</v>
      </c>
      <c r="J39" s="458">
        <f t="shared" si="1"/>
        <v>5.2419313356365939E-2</v>
      </c>
      <c r="K39" s="458" t="e">
        <v>#N/A</v>
      </c>
      <c r="L39" s="458" t="e">
        <f t="shared" si="2"/>
        <v>#N/A</v>
      </c>
      <c r="M39" s="458" t="str">
        <f t="shared" si="6"/>
        <v>#0000FF</v>
      </c>
      <c r="N39" t="str">
        <f t="shared" si="7"/>
        <v>Ethylene Oxide [0.05] Polyurethane (PU) #0000FF</v>
      </c>
      <c r="Q39" s="3" t="s">
        <v>1807</v>
      </c>
      <c r="R39">
        <v>2.9165482774660565</v>
      </c>
    </row>
    <row r="40" spans="1:18">
      <c r="A40" t="s">
        <v>260</v>
      </c>
      <c r="B40" s="461" t="s">
        <v>192</v>
      </c>
      <c r="C40" s="461"/>
      <c r="D40" s="461"/>
      <c r="E40" s="460" t="s">
        <v>179</v>
      </c>
      <c r="F40" s="461" t="s">
        <v>1060</v>
      </c>
      <c r="G40" s="463">
        <v>0.06</v>
      </c>
      <c r="H40" s="462">
        <f t="shared" si="5"/>
        <v>0.10483862671273188</v>
      </c>
      <c r="I40" s="459">
        <v>1</v>
      </c>
      <c r="J40" s="458">
        <f t="shared" si="1"/>
        <v>0.10483862671273188</v>
      </c>
      <c r="K40" s="458" t="e">
        <v>#N/A</v>
      </c>
      <c r="L40" s="458" t="e">
        <f t="shared" si="2"/>
        <v>#N/A</v>
      </c>
      <c r="M40" s="458" t="str">
        <f t="shared" si="6"/>
        <v>#964B00</v>
      </c>
      <c r="N40" t="str">
        <f t="shared" si="7"/>
        <v>Ethylene Oxide [0.1] Other #964B00</v>
      </c>
      <c r="Q40" s="3" t="s">
        <v>1808</v>
      </c>
      <c r="R40">
        <v>13.125208596196902</v>
      </c>
    </row>
    <row r="41" spans="1:18">
      <c r="A41" t="s">
        <v>627</v>
      </c>
      <c r="B41" t="s">
        <v>1828</v>
      </c>
      <c r="D41" t="s">
        <v>1055</v>
      </c>
      <c r="E41" s="460" t="s">
        <v>179</v>
      </c>
      <c r="F41" t="s">
        <v>1060</v>
      </c>
      <c r="G41" s="6">
        <v>0.96</v>
      </c>
      <c r="H41" s="462">
        <f>G41*$H$29</f>
        <v>1.4377868806317511</v>
      </c>
      <c r="I41" s="459">
        <v>1</v>
      </c>
      <c r="J41" s="458">
        <f t="shared" si="1"/>
        <v>1.4377868806317511</v>
      </c>
      <c r="K41" s="458" t="e">
        <v>#N/A</v>
      </c>
      <c r="L41" s="458" t="e">
        <f t="shared" si="2"/>
        <v>#N/A</v>
      </c>
      <c r="M41" s="458" t="str">
        <f t="shared" si="6"/>
        <v>#0000FF</v>
      </c>
      <c r="N41" t="str">
        <f t="shared" si="7"/>
        <v>Ethylene Dichloride [1.4] Polyvinylchloride (PVC) #0000FF</v>
      </c>
      <c r="Q41" s="3" t="s">
        <v>1809</v>
      </c>
      <c r="R41">
        <v>1.2524108338569352E-2</v>
      </c>
    </row>
    <row r="42" spans="1:18">
      <c r="A42" t="s">
        <v>627</v>
      </c>
      <c r="B42" s="461" t="s">
        <v>192</v>
      </c>
      <c r="C42" s="461"/>
      <c r="D42" s="461"/>
      <c r="E42" s="460" t="s">
        <v>179</v>
      </c>
      <c r="F42" s="461" t="s">
        <v>1060</v>
      </c>
      <c r="G42" s="6">
        <v>0.04</v>
      </c>
      <c r="H42" s="462">
        <f>G42*$H$29</f>
        <v>5.9907786692989635E-2</v>
      </c>
      <c r="I42" s="459">
        <v>1</v>
      </c>
      <c r="J42" s="458">
        <f t="shared" si="1"/>
        <v>5.9907786692989635E-2</v>
      </c>
      <c r="K42" s="458" t="e">
        <v>#N/A</v>
      </c>
      <c r="L42" s="458" t="e">
        <f t="shared" si="2"/>
        <v>#N/A</v>
      </c>
      <c r="M42" s="458" t="str">
        <f t="shared" si="6"/>
        <v>#964B00</v>
      </c>
      <c r="N42" t="str">
        <f t="shared" si="7"/>
        <v>Ethylene Dichloride [0.06] Other #964B00</v>
      </c>
      <c r="Q42" s="3" t="s">
        <v>192</v>
      </c>
      <c r="R42">
        <v>14.117428251048938</v>
      </c>
    </row>
    <row r="43" spans="1:18">
      <c r="A43" t="s">
        <v>658</v>
      </c>
      <c r="B43" t="s">
        <v>1829</v>
      </c>
      <c r="D43" t="s">
        <v>1055</v>
      </c>
      <c r="E43" s="460" t="s">
        <v>179</v>
      </c>
      <c r="F43" t="s">
        <v>1060</v>
      </c>
      <c r="G43" s="258">
        <f>99%*47%</f>
        <v>0.46529999999999999</v>
      </c>
      <c r="H43" s="462">
        <f>G43*$H$30</f>
        <v>0.34843866435310095</v>
      </c>
      <c r="I43" s="459">
        <v>1</v>
      </c>
      <c r="J43" s="458">
        <f t="shared" si="1"/>
        <v>0.34843866435310095</v>
      </c>
      <c r="K43" s="458" t="e">
        <v>#N/A</v>
      </c>
      <c r="L43" s="458" t="e">
        <f t="shared" si="2"/>
        <v>#N/A</v>
      </c>
      <c r="M43" s="458" t="str">
        <f t="shared" si="6"/>
        <v>#0000FF</v>
      </c>
      <c r="N43" t="str">
        <f t="shared" si="7"/>
        <v>Ethylbenzene [0.35] Polystyrene (PS) #0000FF</v>
      </c>
      <c r="Q43" s="3" t="s">
        <v>1812</v>
      </c>
      <c r="R43">
        <v>9.9233421457119082</v>
      </c>
    </row>
    <row r="44" spans="1:18">
      <c r="A44" t="s">
        <v>658</v>
      </c>
      <c r="B44" t="s">
        <v>192</v>
      </c>
      <c r="E44" s="460" t="s">
        <v>179</v>
      </c>
      <c r="F44" t="s">
        <v>1060</v>
      </c>
      <c r="G44" s="258">
        <f>1-G43</f>
        <v>0.53469999999999995</v>
      </c>
      <c r="H44" s="462">
        <f>G44*$H$30</f>
        <v>0.40040866930926944</v>
      </c>
      <c r="I44" s="459">
        <v>1</v>
      </c>
      <c r="J44" s="458">
        <f t="shared" si="1"/>
        <v>0.40040866930926944</v>
      </c>
      <c r="K44" s="458" t="e">
        <v>#N/A</v>
      </c>
      <c r="L44" s="458" t="e">
        <f t="shared" si="2"/>
        <v>#N/A</v>
      </c>
      <c r="M44" s="458" t="str">
        <f t="shared" si="6"/>
        <v>#964B00</v>
      </c>
      <c r="N44" t="str">
        <f t="shared" si="7"/>
        <v>Ethylbenzene [0.4] Other #964B00</v>
      </c>
      <c r="Q44" s="3" t="s">
        <v>920</v>
      </c>
      <c r="R44">
        <v>0.52228116556378501</v>
      </c>
    </row>
    <row r="45" spans="1:18">
      <c r="A45" t="s">
        <v>5</v>
      </c>
      <c r="B45" s="461" t="s">
        <v>1830</v>
      </c>
      <c r="C45" s="461"/>
      <c r="D45" t="s">
        <v>1055</v>
      </c>
      <c r="E45" s="460" t="s">
        <v>179</v>
      </c>
      <c r="F45" t="s">
        <v>1060</v>
      </c>
      <c r="G45" s="464">
        <v>0.67</v>
      </c>
      <c r="H45" s="462">
        <f>G45*$H$6</f>
        <v>12.543192838844705</v>
      </c>
      <c r="I45" s="459">
        <v>1</v>
      </c>
      <c r="J45" s="458">
        <f t="shared" si="1"/>
        <v>12.543192838844705</v>
      </c>
      <c r="K45" s="458" t="e">
        <v>#N/A</v>
      </c>
      <c r="L45" s="458" t="e">
        <f t="shared" si="2"/>
        <v>#N/A</v>
      </c>
      <c r="M45" s="458" t="str">
        <f t="shared" si="6"/>
        <v>#0000FF</v>
      </c>
      <c r="N45" t="str">
        <f t="shared" si="7"/>
        <v>Propylene [12.5] Polypropylene (PP) #0000FF</v>
      </c>
      <c r="Q45" s="3" t="s">
        <v>187</v>
      </c>
      <c r="R45">
        <v>2.4790660358461478</v>
      </c>
    </row>
    <row r="46" spans="1:18">
      <c r="A46" t="s">
        <v>5</v>
      </c>
      <c r="B46" s="461" t="s">
        <v>573</v>
      </c>
      <c r="C46" s="461"/>
      <c r="D46" s="461"/>
      <c r="F46" s="461" t="s">
        <v>1792</v>
      </c>
      <c r="G46" s="464">
        <v>0.05</v>
      </c>
      <c r="H46" s="462">
        <f t="shared" ref="H46:H51" si="8">G46*$H$6</f>
        <v>0.93605916707796311</v>
      </c>
      <c r="I46" s="459">
        <v>1</v>
      </c>
      <c r="J46" s="458">
        <f t="shared" si="1"/>
        <v>0.93605916707796311</v>
      </c>
      <c r="K46" s="458" t="e">
        <v>#N/A</v>
      </c>
      <c r="L46" s="458" t="e">
        <f t="shared" si="2"/>
        <v>#N/A</v>
      </c>
      <c r="M46" s="458" t="str">
        <f t="shared" si="6"/>
        <v>#A9A9A9</v>
      </c>
      <c r="N46" t="str">
        <f t="shared" si="7"/>
        <v>Propylene [0.94] Propenic Acid #A9A9A9</v>
      </c>
      <c r="Q46" s="3" t="s">
        <v>1815</v>
      </c>
      <c r="R46">
        <v>9.0391425397894682</v>
      </c>
    </row>
    <row r="47" spans="1:18">
      <c r="A47" t="s">
        <v>5</v>
      </c>
      <c r="B47" s="461" t="s">
        <v>575</v>
      </c>
      <c r="C47" s="461"/>
      <c r="D47" s="461"/>
      <c r="E47" s="461"/>
      <c r="F47" s="461" t="s">
        <v>1792</v>
      </c>
      <c r="G47" s="464">
        <v>0.06</v>
      </c>
      <c r="H47" s="462">
        <f t="shared" si="8"/>
        <v>1.1232710004935555</v>
      </c>
      <c r="I47" s="459">
        <v>1</v>
      </c>
      <c r="J47" s="458">
        <f t="shared" si="1"/>
        <v>1.1232710004935555</v>
      </c>
      <c r="K47" s="458" t="e">
        <v>#N/A</v>
      </c>
      <c r="L47" s="458" t="e">
        <f t="shared" si="2"/>
        <v>#N/A</v>
      </c>
      <c r="M47" s="458" t="str">
        <f t="shared" si="6"/>
        <v>#A9A9A9</v>
      </c>
      <c r="N47" t="str">
        <f t="shared" si="7"/>
        <v>Propylene [1.1] Propenonitrile #A9A9A9</v>
      </c>
      <c r="Q47" s="3" t="s">
        <v>1816</v>
      </c>
      <c r="R47">
        <v>3.8059547535955658</v>
      </c>
    </row>
    <row r="48" spans="1:18">
      <c r="A48" t="s">
        <v>5</v>
      </c>
      <c r="B48" s="461" t="s">
        <v>576</v>
      </c>
      <c r="C48" s="461"/>
      <c r="D48" s="461"/>
      <c r="E48" s="461"/>
      <c r="F48" s="461" t="s">
        <v>1792</v>
      </c>
      <c r="G48" s="464">
        <v>0.04</v>
      </c>
      <c r="H48" s="462">
        <f t="shared" si="8"/>
        <v>0.74884733366237044</v>
      </c>
      <c r="I48" s="459">
        <v>1</v>
      </c>
      <c r="J48" s="458">
        <f t="shared" si="1"/>
        <v>0.74884733366237044</v>
      </c>
      <c r="K48" s="458" t="e">
        <v>#N/A</v>
      </c>
      <c r="L48" s="458" t="e">
        <f t="shared" si="2"/>
        <v>#N/A</v>
      </c>
      <c r="M48" s="458" t="str">
        <f t="shared" si="6"/>
        <v>#A9A9A9</v>
      </c>
      <c r="N48" t="str">
        <f t="shared" si="7"/>
        <v>Propylene [0.75] Cumene #A9A9A9</v>
      </c>
      <c r="Q48" s="3" t="s">
        <v>1818</v>
      </c>
      <c r="R48">
        <v>4.9953156140941797</v>
      </c>
    </row>
    <row r="49" spans="1:18">
      <c r="A49" t="s">
        <v>5</v>
      </c>
      <c r="B49" s="461" t="s">
        <v>717</v>
      </c>
      <c r="C49" s="461"/>
      <c r="D49" s="461"/>
      <c r="E49" s="461"/>
      <c r="F49" s="461" t="s">
        <v>1792</v>
      </c>
      <c r="G49" s="464">
        <v>7.0000000000000007E-2</v>
      </c>
      <c r="H49" s="462">
        <f t="shared" si="8"/>
        <v>1.3104828339091483</v>
      </c>
      <c r="I49" s="459">
        <v>1</v>
      </c>
      <c r="J49" s="458">
        <f t="shared" si="1"/>
        <v>1.3104828339091483</v>
      </c>
      <c r="K49" s="458" t="e">
        <v>#N/A</v>
      </c>
      <c r="L49" s="458" t="e">
        <f t="shared" si="2"/>
        <v>#N/A</v>
      </c>
      <c r="M49" s="458" t="str">
        <f t="shared" si="6"/>
        <v>#A9A9A9</v>
      </c>
      <c r="N49" t="str">
        <f t="shared" si="7"/>
        <v>Propylene [1.3] Propylene oxide #A9A9A9</v>
      </c>
      <c r="Q49" s="3" t="s">
        <v>1820</v>
      </c>
      <c r="R49">
        <v>1.9029773767977829</v>
      </c>
    </row>
    <row r="50" spans="1:18">
      <c r="A50" t="s">
        <v>5</v>
      </c>
      <c r="B50" s="461" t="s">
        <v>583</v>
      </c>
      <c r="C50" s="461"/>
      <c r="D50" s="461"/>
      <c r="E50" s="461"/>
      <c r="F50" s="461" t="s">
        <v>1792</v>
      </c>
      <c r="G50" s="464">
        <v>0.03</v>
      </c>
      <c r="H50" s="462">
        <f t="shared" si="8"/>
        <v>0.56163550024677777</v>
      </c>
      <c r="I50" s="459">
        <v>1</v>
      </c>
      <c r="J50" s="458">
        <f t="shared" si="1"/>
        <v>0.56163550024677777</v>
      </c>
      <c r="K50" s="458" t="e">
        <v>#N/A</v>
      </c>
      <c r="L50" s="458" t="e">
        <f t="shared" si="2"/>
        <v>#N/A</v>
      </c>
      <c r="M50" s="458" t="str">
        <f t="shared" si="6"/>
        <v>#A9A9A9</v>
      </c>
      <c r="N50" t="str">
        <f t="shared" si="7"/>
        <v>Propylene [0.56] Butanol #A9A9A9</v>
      </c>
      <c r="Q50" s="3" t="s">
        <v>1822</v>
      </c>
      <c r="R50">
        <v>1.1893608604986143</v>
      </c>
    </row>
    <row r="51" spans="1:18">
      <c r="A51" t="s">
        <v>5</v>
      </c>
      <c r="B51" s="461" t="s">
        <v>192</v>
      </c>
      <c r="C51" s="461"/>
      <c r="D51" s="461"/>
      <c r="E51" s="460" t="s">
        <v>179</v>
      </c>
      <c r="F51" s="461" t="s">
        <v>1060</v>
      </c>
      <c r="G51" s="464">
        <v>0.08</v>
      </c>
      <c r="H51" s="462">
        <f t="shared" si="8"/>
        <v>1.4976946673247409</v>
      </c>
      <c r="I51" s="459">
        <v>1</v>
      </c>
      <c r="J51" s="458">
        <f t="shared" si="1"/>
        <v>1.4976946673247409</v>
      </c>
      <c r="K51" s="458" t="e">
        <v>#N/A</v>
      </c>
      <c r="L51" s="458" t="e">
        <f t="shared" si="2"/>
        <v>#N/A</v>
      </c>
      <c r="M51" s="458" t="str">
        <f t="shared" si="6"/>
        <v>#964B00</v>
      </c>
      <c r="N51" t="str">
        <f t="shared" si="7"/>
        <v>Propylene [1.5] Other #964B00</v>
      </c>
      <c r="Q51" s="3" t="s">
        <v>1823</v>
      </c>
      <c r="R51">
        <v>1.1893608604986143</v>
      </c>
    </row>
    <row r="52" spans="1:18">
      <c r="A52" s="461" t="s">
        <v>573</v>
      </c>
      <c r="B52" t="s">
        <v>590</v>
      </c>
      <c r="C52" s="461" t="s">
        <v>192</v>
      </c>
      <c r="E52" s="460" t="s">
        <v>179</v>
      </c>
      <c r="F52" t="s">
        <v>1060</v>
      </c>
      <c r="G52" s="6">
        <v>0.5</v>
      </c>
      <c r="H52" s="465">
        <f>G52*$H$46</f>
        <v>0.46802958353898155</v>
      </c>
      <c r="I52" s="459">
        <v>1</v>
      </c>
      <c r="J52" s="458">
        <f t="shared" si="1"/>
        <v>0.46802958353898155</v>
      </c>
      <c r="K52" s="458" t="e">
        <v>#N/A</v>
      </c>
      <c r="L52" s="458" t="e">
        <f t="shared" si="2"/>
        <v>#N/A</v>
      </c>
      <c r="M52" s="458" t="str">
        <f t="shared" si="6"/>
        <v>#964B00</v>
      </c>
      <c r="N52" t="str">
        <f t="shared" si="7"/>
        <v>Propenic Acid [0.47] Other #964B00</v>
      </c>
      <c r="Q52" s="3" t="s">
        <v>1824</v>
      </c>
      <c r="R52">
        <v>9.5166015319592905</v>
      </c>
    </row>
    <row r="53" spans="1:18">
      <c r="A53" s="461" t="s">
        <v>573</v>
      </c>
      <c r="B53" t="s">
        <v>592</v>
      </c>
      <c r="C53" s="461" t="s">
        <v>192</v>
      </c>
      <c r="E53" s="460" t="s">
        <v>179</v>
      </c>
      <c r="F53" t="s">
        <v>1060</v>
      </c>
      <c r="G53" s="6">
        <v>0.35</v>
      </c>
      <c r="H53" s="465">
        <f t="shared" ref="H53:H55" si="9">G53*$H$46</f>
        <v>0.32762070847728708</v>
      </c>
      <c r="I53" s="459">
        <v>1</v>
      </c>
      <c r="J53" s="458">
        <f t="shared" si="1"/>
        <v>0.32762070847728708</v>
      </c>
      <c r="K53" s="458" t="e">
        <v>#N/A</v>
      </c>
      <c r="L53" s="458" t="e">
        <f t="shared" si="2"/>
        <v>#N/A</v>
      </c>
      <c r="M53" s="458" t="str">
        <f t="shared" si="6"/>
        <v>#964B00</v>
      </c>
      <c r="N53" t="str">
        <f t="shared" si="7"/>
        <v>Propenic Acid [0.33] Other #964B00</v>
      </c>
      <c r="Q53" s="3" t="s">
        <v>260</v>
      </c>
      <c r="R53">
        <v>2.1841380565152471</v>
      </c>
    </row>
    <row r="54" spans="1:18">
      <c r="A54" s="461" t="s">
        <v>573</v>
      </c>
      <c r="B54" t="s">
        <v>593</v>
      </c>
      <c r="C54" s="461" t="s">
        <v>192</v>
      </c>
      <c r="E54" s="460" t="s">
        <v>179</v>
      </c>
      <c r="F54" t="s">
        <v>1060</v>
      </c>
      <c r="G54" s="6">
        <v>0.1</v>
      </c>
      <c r="H54" s="465">
        <f t="shared" si="9"/>
        <v>9.3605916707796319E-2</v>
      </c>
      <c r="I54" s="459">
        <v>1</v>
      </c>
      <c r="J54" s="458">
        <f t="shared" si="1"/>
        <v>9.3605916707796319E-2</v>
      </c>
      <c r="K54" s="458" t="e">
        <v>#N/A</v>
      </c>
      <c r="L54" s="458" t="e">
        <f t="shared" si="2"/>
        <v>#N/A</v>
      </c>
      <c r="M54" s="458" t="str">
        <f t="shared" si="6"/>
        <v>#964B00</v>
      </c>
      <c r="N54" t="str">
        <f t="shared" si="7"/>
        <v>Propenic Acid [0.09] Other #964B00</v>
      </c>
      <c r="O54" s="461"/>
      <c r="P54" s="466"/>
      <c r="Q54" s="3" t="s">
        <v>627</v>
      </c>
      <c r="R54">
        <v>1.872118334155926</v>
      </c>
    </row>
    <row r="55" spans="1:18">
      <c r="A55" s="461" t="s">
        <v>573</v>
      </c>
      <c r="B55" t="s">
        <v>192</v>
      </c>
      <c r="E55" s="460" t="s">
        <v>179</v>
      </c>
      <c r="F55" t="s">
        <v>1060</v>
      </c>
      <c r="G55" s="6">
        <v>0.05</v>
      </c>
      <c r="H55" s="465">
        <f t="shared" si="9"/>
        <v>4.6802958353898159E-2</v>
      </c>
      <c r="I55" s="459">
        <v>1</v>
      </c>
      <c r="J55" s="458">
        <f t="shared" si="1"/>
        <v>4.6802958353898159E-2</v>
      </c>
      <c r="K55" s="458" t="e">
        <v>#N/A</v>
      </c>
      <c r="L55" s="458" t="e">
        <f t="shared" si="2"/>
        <v>#N/A</v>
      </c>
      <c r="M55" s="458" t="str">
        <f t="shared" si="6"/>
        <v>#964B00</v>
      </c>
      <c r="N55" t="str">
        <f t="shared" si="7"/>
        <v>Propenic Acid [0.05] Other #964B00</v>
      </c>
      <c r="O55" s="467"/>
      <c r="P55" s="465"/>
      <c r="Q55" s="3" t="s">
        <v>658</v>
      </c>
      <c r="R55">
        <v>0.93605916707796299</v>
      </c>
    </row>
    <row r="56" spans="1:18">
      <c r="A56" s="461" t="s">
        <v>575</v>
      </c>
      <c r="B56" t="s">
        <v>596</v>
      </c>
      <c r="C56" s="461" t="s">
        <v>192</v>
      </c>
      <c r="E56" s="460" t="s">
        <v>179</v>
      </c>
      <c r="F56" t="s">
        <v>1060</v>
      </c>
      <c r="G56" s="6">
        <v>0.3</v>
      </c>
      <c r="H56" s="465">
        <f>G56*$H$47</f>
        <v>0.33698130014806665</v>
      </c>
      <c r="I56" s="459">
        <v>1</v>
      </c>
      <c r="J56" s="458">
        <f t="shared" si="1"/>
        <v>0.33698130014806665</v>
      </c>
      <c r="K56" s="458" t="e">
        <v>#N/A</v>
      </c>
      <c r="L56" s="458" t="e">
        <f t="shared" si="2"/>
        <v>#N/A</v>
      </c>
      <c r="M56" s="458" t="str">
        <f t="shared" si="6"/>
        <v>#964B00</v>
      </c>
      <c r="N56" t="str">
        <f t="shared" si="7"/>
        <v>Propenonitrile [0.34] Other #964B00</v>
      </c>
      <c r="O56" s="467"/>
      <c r="P56" s="465"/>
      <c r="Q56" s="3" t="s">
        <v>1825</v>
      </c>
      <c r="R56">
        <v>4.2732949027806182</v>
      </c>
    </row>
    <row r="57" spans="1:18">
      <c r="A57" s="461" t="s">
        <v>575</v>
      </c>
      <c r="B57" t="s">
        <v>598</v>
      </c>
      <c r="C57" s="461" t="s">
        <v>192</v>
      </c>
      <c r="E57" s="460" t="s">
        <v>179</v>
      </c>
      <c r="F57" t="s">
        <v>1060</v>
      </c>
      <c r="G57" s="6">
        <v>0.35</v>
      </c>
      <c r="H57" s="465">
        <f t="shared" ref="H57:H59" si="10">G57*$H$47</f>
        <v>0.39314485017274442</v>
      </c>
      <c r="I57" s="459">
        <v>1</v>
      </c>
      <c r="J57" s="458">
        <f t="shared" si="1"/>
        <v>0.39314485017274442</v>
      </c>
      <c r="K57" s="458" t="e">
        <v>#N/A</v>
      </c>
      <c r="L57" s="458" t="e">
        <f t="shared" si="2"/>
        <v>#N/A</v>
      </c>
      <c r="M57" s="458" t="str">
        <f t="shared" si="6"/>
        <v>#964B00</v>
      </c>
      <c r="N57" t="str">
        <f t="shared" si="7"/>
        <v>Propenonitrile [0.39] Other #964B00</v>
      </c>
      <c r="O57" s="467"/>
      <c r="P57" s="465"/>
      <c r="Q57" s="3" t="s">
        <v>1826</v>
      </c>
      <c r="R57">
        <v>5.2433066291786723</v>
      </c>
    </row>
    <row r="58" spans="1:18">
      <c r="A58" s="461" t="s">
        <v>575</v>
      </c>
      <c r="B58" t="s">
        <v>600</v>
      </c>
      <c r="C58" s="461" t="s">
        <v>192</v>
      </c>
      <c r="E58" s="460" t="s">
        <v>179</v>
      </c>
      <c r="F58" t="s">
        <v>1060</v>
      </c>
      <c r="G58" s="6">
        <v>0.15</v>
      </c>
      <c r="H58" s="465">
        <f t="shared" si="10"/>
        <v>0.16849065007403333</v>
      </c>
      <c r="I58" s="459">
        <v>1</v>
      </c>
      <c r="J58" s="458">
        <f t="shared" si="1"/>
        <v>0.16849065007403333</v>
      </c>
      <c r="K58" s="458" t="e">
        <v>#N/A</v>
      </c>
      <c r="L58" s="458" t="e">
        <f t="shared" si="2"/>
        <v>#N/A</v>
      </c>
      <c r="M58" s="458" t="str">
        <f t="shared" si="6"/>
        <v>#964B00</v>
      </c>
      <c r="N58" t="str">
        <f t="shared" si="7"/>
        <v>Propenonitrile [0.17] Other #964B00</v>
      </c>
      <c r="O58" s="467"/>
      <c r="P58" s="465"/>
      <c r="Q58" s="3" t="s">
        <v>667</v>
      </c>
      <c r="R58">
        <v>1.4633724978652156</v>
      </c>
    </row>
    <row r="59" spans="1:18">
      <c r="A59" s="461" t="s">
        <v>575</v>
      </c>
      <c r="B59" t="s">
        <v>192</v>
      </c>
      <c r="E59" s="460" t="s">
        <v>179</v>
      </c>
      <c r="F59" t="s">
        <v>1060</v>
      </c>
      <c r="G59" s="6">
        <v>0.2</v>
      </c>
      <c r="H59" s="465">
        <f t="shared" si="10"/>
        <v>0.22465420009871112</v>
      </c>
      <c r="I59" s="459">
        <v>1</v>
      </c>
      <c r="J59" s="458">
        <f t="shared" si="1"/>
        <v>0.22465420009871112</v>
      </c>
      <c r="K59" s="458" t="e">
        <v>#N/A</v>
      </c>
      <c r="L59" s="458" t="e">
        <f t="shared" si="2"/>
        <v>#N/A</v>
      </c>
      <c r="M59" s="458" t="str">
        <f t="shared" si="6"/>
        <v>#964B00</v>
      </c>
      <c r="N59" t="str">
        <f t="shared" si="7"/>
        <v>Propenonitrile [0.22] Other #964B00</v>
      </c>
      <c r="O59" s="464"/>
      <c r="P59" s="465"/>
      <c r="Q59" s="3" t="s">
        <v>669</v>
      </c>
      <c r="R59">
        <v>0.28393794734698213</v>
      </c>
    </row>
    <row r="60" spans="1:18">
      <c r="A60" s="461" t="s">
        <v>576</v>
      </c>
      <c r="B60" t="s">
        <v>724</v>
      </c>
      <c r="C60" s="461" t="s">
        <v>192</v>
      </c>
      <c r="E60" s="460" t="s">
        <v>179</v>
      </c>
      <c r="F60" t="s">
        <v>1060</v>
      </c>
      <c r="G60" s="6">
        <v>0.98</v>
      </c>
      <c r="H60" s="465">
        <f>G60*$H$48</f>
        <v>0.73387038698912299</v>
      </c>
      <c r="I60" s="459">
        <v>1</v>
      </c>
      <c r="J60" s="458">
        <f t="shared" si="1"/>
        <v>0.73387038698912299</v>
      </c>
      <c r="K60" s="458" t="e">
        <v>#N/A</v>
      </c>
      <c r="L60" s="458" t="e">
        <f t="shared" si="2"/>
        <v>#N/A</v>
      </c>
      <c r="M60" s="458" t="str">
        <f t="shared" si="6"/>
        <v>#964B00</v>
      </c>
      <c r="N60" t="str">
        <f t="shared" si="7"/>
        <v>Cumene [0.73] Other #964B00</v>
      </c>
      <c r="Q60" s="3" t="s">
        <v>670</v>
      </c>
      <c r="R60">
        <v>0.13104828339091482</v>
      </c>
    </row>
    <row r="61" spans="1:18">
      <c r="A61" s="461" t="s">
        <v>576</v>
      </c>
      <c r="B61" s="461" t="s">
        <v>192</v>
      </c>
      <c r="C61" s="461"/>
      <c r="D61" s="461"/>
      <c r="E61" s="460" t="s">
        <v>179</v>
      </c>
      <c r="F61" s="461" t="s">
        <v>1060</v>
      </c>
      <c r="G61" s="6">
        <v>0.02</v>
      </c>
      <c r="H61" s="465">
        <f>G61*$H$48</f>
        <v>1.4976946673247409E-2</v>
      </c>
      <c r="I61" s="459">
        <v>1</v>
      </c>
      <c r="J61" s="458">
        <f t="shared" si="1"/>
        <v>1.4976946673247409E-2</v>
      </c>
      <c r="K61" s="458" t="e">
        <v>#N/A</v>
      </c>
      <c r="L61" s="458" t="e">
        <f t="shared" si="2"/>
        <v>#N/A</v>
      </c>
      <c r="M61" s="458" t="str">
        <f t="shared" si="6"/>
        <v>#964B00</v>
      </c>
      <c r="N61" t="str">
        <f t="shared" si="7"/>
        <v>Cumene [0.01] Other #964B00</v>
      </c>
      <c r="O61" s="6"/>
      <c r="P61" s="44"/>
      <c r="Q61" s="3" t="s">
        <v>671</v>
      </c>
      <c r="R61">
        <v>6.5524141695457408E-2</v>
      </c>
    </row>
    <row r="62" spans="1:18">
      <c r="A62" s="461" t="s">
        <v>717</v>
      </c>
      <c r="B62" s="461" t="s">
        <v>1827</v>
      </c>
      <c r="C62" s="461"/>
      <c r="D62" t="s">
        <v>1055</v>
      </c>
      <c r="E62" s="460" t="s">
        <v>179</v>
      </c>
      <c r="F62" t="s">
        <v>1060</v>
      </c>
      <c r="G62" s="464">
        <v>0.68</v>
      </c>
      <c r="H62" s="465">
        <f>G62*$H$49</f>
        <v>0.89112832705822087</v>
      </c>
      <c r="I62" s="459">
        <v>1</v>
      </c>
      <c r="J62" s="458">
        <f t="shared" si="1"/>
        <v>0.89112832705822087</v>
      </c>
      <c r="K62" s="458" t="e">
        <v>#N/A</v>
      </c>
      <c r="L62" s="458" t="e">
        <f t="shared" si="2"/>
        <v>#N/A</v>
      </c>
      <c r="M62" s="458" t="str">
        <f t="shared" si="6"/>
        <v>#0000FF</v>
      </c>
      <c r="N62" t="str">
        <f t="shared" si="7"/>
        <v>Propylene oxide [0.89] Polyurethane (PU) #0000FF</v>
      </c>
      <c r="O62" s="6"/>
      <c r="P62" s="44"/>
      <c r="Q62" s="3" t="s">
        <v>672</v>
      </c>
      <c r="R62">
        <v>4.3682761130304941E-2</v>
      </c>
    </row>
    <row r="63" spans="1:18">
      <c r="A63" s="461" t="s">
        <v>717</v>
      </c>
      <c r="B63" s="461" t="s">
        <v>727</v>
      </c>
      <c r="C63" s="461" t="s">
        <v>192</v>
      </c>
      <c r="D63" s="461"/>
      <c r="E63" s="460" t="s">
        <v>179</v>
      </c>
      <c r="F63" s="461" t="s">
        <v>1060</v>
      </c>
      <c r="G63" s="464">
        <v>0.22</v>
      </c>
      <c r="H63" s="465">
        <f t="shared" ref="H63:H65" si="11">G63*$H$49</f>
        <v>0.28830622346001261</v>
      </c>
      <c r="I63" s="459">
        <v>1</v>
      </c>
      <c r="J63" s="458">
        <f t="shared" si="1"/>
        <v>0.28830622346001261</v>
      </c>
      <c r="K63" s="458" t="e">
        <v>#N/A</v>
      </c>
      <c r="L63" s="458" t="e">
        <f t="shared" si="2"/>
        <v>#N/A</v>
      </c>
      <c r="M63" s="458" t="str">
        <f t="shared" si="6"/>
        <v>#964B00</v>
      </c>
      <c r="N63" t="str">
        <f t="shared" si="7"/>
        <v>Propylene oxide [0.29] Other #964B00</v>
      </c>
      <c r="O63" s="6"/>
      <c r="P63" s="44"/>
      <c r="Q63" s="3" t="s">
        <v>1827</v>
      </c>
      <c r="R63">
        <v>1.938023898384325</v>
      </c>
    </row>
    <row r="64" spans="1:18">
      <c r="A64" s="461" t="s">
        <v>717</v>
      </c>
      <c r="B64" s="461" t="s">
        <v>728</v>
      </c>
      <c r="C64" s="461" t="s">
        <v>192</v>
      </c>
      <c r="D64" s="461"/>
      <c r="E64" s="460" t="s">
        <v>179</v>
      </c>
      <c r="F64" s="461" t="s">
        <v>1060</v>
      </c>
      <c r="G64" s="464">
        <v>0.04</v>
      </c>
      <c r="H64" s="465">
        <f t="shared" si="11"/>
        <v>5.2419313356365932E-2</v>
      </c>
      <c r="I64" s="459">
        <v>1</v>
      </c>
      <c r="J64" s="458">
        <f t="shared" si="1"/>
        <v>5.2419313356365932E-2</v>
      </c>
      <c r="K64" s="458" t="e">
        <v>#N/A</v>
      </c>
      <c r="L64" s="458" t="e">
        <f t="shared" si="2"/>
        <v>#N/A</v>
      </c>
      <c r="M64" s="458" t="str">
        <f t="shared" si="6"/>
        <v>#964B00</v>
      </c>
      <c r="N64" t="str">
        <f t="shared" si="7"/>
        <v>Propylene oxide [0.05] Other #964B00</v>
      </c>
      <c r="O64" s="6"/>
      <c r="P64" s="44"/>
      <c r="Q64" s="3" t="s">
        <v>1828</v>
      </c>
      <c r="R64">
        <v>1.797233600789689</v>
      </c>
    </row>
    <row r="65" spans="1:18">
      <c r="A65" s="461" t="s">
        <v>717</v>
      </c>
      <c r="B65" s="461" t="s">
        <v>192</v>
      </c>
      <c r="C65" s="461"/>
      <c r="D65" s="461"/>
      <c r="E65" s="460" t="s">
        <v>179</v>
      </c>
      <c r="F65" s="461" t="s">
        <v>1060</v>
      </c>
      <c r="G65" s="464">
        <v>0.06</v>
      </c>
      <c r="H65" s="465">
        <f t="shared" si="11"/>
        <v>7.8628970034548898E-2</v>
      </c>
      <c r="I65" s="459">
        <v>1</v>
      </c>
      <c r="J65" s="458">
        <f t="shared" si="1"/>
        <v>7.8628970034548898E-2</v>
      </c>
      <c r="K65" s="458" t="e">
        <v>#N/A</v>
      </c>
      <c r="L65" s="458" t="e">
        <f t="shared" si="2"/>
        <v>#N/A</v>
      </c>
      <c r="M65" s="458" t="str">
        <f t="shared" si="6"/>
        <v>#964B00</v>
      </c>
      <c r="N65" t="str">
        <f t="shared" si="7"/>
        <v>Propylene oxide [0.08] Other #964B00</v>
      </c>
      <c r="Q65" s="3" t="s">
        <v>1829</v>
      </c>
      <c r="R65">
        <v>0.4355483304413762</v>
      </c>
    </row>
    <row r="66" spans="1:18">
      <c r="A66" s="468" t="s">
        <v>583</v>
      </c>
      <c r="B66" s="461" t="s">
        <v>192</v>
      </c>
      <c r="C66" s="461"/>
      <c r="D66" s="461"/>
      <c r="E66" s="460" t="s">
        <v>179</v>
      </c>
      <c r="F66" s="461" t="s">
        <v>1060</v>
      </c>
      <c r="G66" s="464">
        <v>1</v>
      </c>
      <c r="H66" s="465">
        <f>G66*H50</f>
        <v>0.56163550024677777</v>
      </c>
      <c r="I66" s="459">
        <v>1</v>
      </c>
      <c r="J66" s="458">
        <f t="shared" si="1"/>
        <v>0.56163550024677777</v>
      </c>
      <c r="K66" s="458" t="e">
        <v>#N/A</v>
      </c>
      <c r="L66" s="458" t="e">
        <f t="shared" si="2"/>
        <v>#N/A</v>
      </c>
      <c r="M66" s="458" t="str">
        <f t="shared" si="6"/>
        <v>#964B00</v>
      </c>
      <c r="N66" t="str">
        <f t="shared" si="7"/>
        <v>Butanol [0.56] Other #964B00</v>
      </c>
      <c r="Q66" s="3" t="s">
        <v>1830</v>
      </c>
      <c r="R66">
        <v>10.452660699037255</v>
      </c>
    </row>
    <row r="67" spans="1:18">
      <c r="A67" t="s">
        <v>246</v>
      </c>
      <c r="B67" t="s">
        <v>1831</v>
      </c>
      <c r="E67"/>
      <c r="F67" t="s">
        <v>1792</v>
      </c>
      <c r="H67" s="44">
        <v>2.8771099042794535</v>
      </c>
      <c r="I67" s="459">
        <v>1</v>
      </c>
      <c r="J67" s="458">
        <f t="shared" si="1"/>
        <v>2.8771099042794535</v>
      </c>
      <c r="K67" s="458" t="e">
        <v>#N/A</v>
      </c>
      <c r="L67" s="458" t="e">
        <f t="shared" si="2"/>
        <v>#N/A</v>
      </c>
      <c r="M67" s="458" t="str">
        <f t="shared" si="6"/>
        <v>#A9A9A9</v>
      </c>
      <c r="N67" t="str">
        <f t="shared" si="7"/>
        <v>Acetic Acid [2.9] Vinyl acetate monomer (VAM) #A9A9A9</v>
      </c>
      <c r="Q67" s="3" t="s">
        <v>573</v>
      </c>
      <c r="R67">
        <v>0.78004930589830257</v>
      </c>
    </row>
    <row r="68" spans="1:18">
      <c r="A68" t="s">
        <v>246</v>
      </c>
      <c r="B68" t="s">
        <v>845</v>
      </c>
      <c r="F68" t="s">
        <v>1792</v>
      </c>
      <c r="H68" s="44">
        <v>1.5104826997467129</v>
      </c>
      <c r="I68" s="459">
        <v>1</v>
      </c>
      <c r="J68" s="458">
        <f t="shared" si="1"/>
        <v>1.5104826997467129</v>
      </c>
      <c r="K68" s="458">
        <v>2.7664690601478719</v>
      </c>
      <c r="L68" s="458">
        <f t="shared" si="2"/>
        <v>4.1787036547379088</v>
      </c>
      <c r="M68" s="458" t="str">
        <f t="shared" si="6"/>
        <v>#A9A9A9</v>
      </c>
      <c r="N68" t="str">
        <f t="shared" si="7"/>
        <v>Acetic Acid [1.5] Terephthalic acid #A9A9A9</v>
      </c>
      <c r="Q68" s="3" t="s">
        <v>575</v>
      </c>
      <c r="R68">
        <v>0.93605916707796299</v>
      </c>
    </row>
    <row r="69" spans="1:18">
      <c r="A69" t="s">
        <v>246</v>
      </c>
      <c r="B69" t="s">
        <v>1832</v>
      </c>
      <c r="C69" t="s">
        <v>192</v>
      </c>
      <c r="E69" s="460" t="s">
        <v>248</v>
      </c>
      <c r="F69" t="s">
        <v>1060</v>
      </c>
      <c r="H69" s="44">
        <v>0.71927747606986336</v>
      </c>
      <c r="I69" s="459">
        <v>1</v>
      </c>
      <c r="J69" s="458">
        <f t="shared" si="1"/>
        <v>0.71927747606986336</v>
      </c>
      <c r="K69" s="458" t="e">
        <v>#N/A</v>
      </c>
      <c r="L69" s="458" t="e">
        <f t="shared" si="2"/>
        <v>#N/A</v>
      </c>
      <c r="M69" s="458" t="str">
        <f t="shared" ref="M69:M88" si="12">IF(AND(OR(B69="Other",C69="Other"),$B$1=TRUE),$S$9,_xlfn.XLOOKUP(D69,$Q$6:$Q$10,$S$6:$S$10,$S$8))</f>
        <v>#964B00</v>
      </c>
      <c r="N69" t="str">
        <f t="shared" ref="N69:N88" si="13">CONCATENATE(A69," [",IF(H69&lt;1,ROUND(H69,2),ROUND(H69,1)),"] ",IF($B$1=TRUE,IF((ISBLANK(C69)),B69,C69),B69)," ",M69)</f>
        <v>Acetic Acid [0.72] Other #964B00</v>
      </c>
      <c r="Q69" s="3" t="s">
        <v>576</v>
      </c>
      <c r="R69">
        <v>0.62403944471864203</v>
      </c>
    </row>
    <row r="70" spans="1:18">
      <c r="A70" t="s">
        <v>246</v>
      </c>
      <c r="B70" t="s">
        <v>1833</v>
      </c>
      <c r="C70" t="s">
        <v>192</v>
      </c>
      <c r="E70" s="460" t="s">
        <v>248</v>
      </c>
      <c r="F70" t="s">
        <v>1060</v>
      </c>
      <c r="H70" s="44">
        <v>0.79120522367684964</v>
      </c>
      <c r="I70" s="459">
        <v>1</v>
      </c>
      <c r="J70" s="458">
        <f t="shared" ref="J70:J119" si="14">H70</f>
        <v>0.79120522367684964</v>
      </c>
      <c r="K70" s="458" t="e">
        <v>#N/A</v>
      </c>
      <c r="L70" s="458" t="e">
        <f t="shared" ref="L70:L119" si="15">J70*K70</f>
        <v>#N/A</v>
      </c>
      <c r="M70" s="458" t="str">
        <f t="shared" si="12"/>
        <v>#964B00</v>
      </c>
      <c r="N70" t="str">
        <f t="shared" si="13"/>
        <v>Acetic Acid [0.79] Other #964B00</v>
      </c>
      <c r="Q70" s="3" t="s">
        <v>717</v>
      </c>
      <c r="R70">
        <v>1.0920690282576235</v>
      </c>
    </row>
    <row r="71" spans="1:18">
      <c r="A71" t="s">
        <v>246</v>
      </c>
      <c r="B71" s="461" t="s">
        <v>192</v>
      </c>
      <c r="C71" s="461"/>
      <c r="D71" s="461"/>
      <c r="E71" s="460" t="s">
        <v>248</v>
      </c>
      <c r="F71" s="461" t="s">
        <v>1060</v>
      </c>
      <c r="H71" s="44">
        <v>1.2946994569257539</v>
      </c>
      <c r="I71" s="459">
        <v>1</v>
      </c>
      <c r="J71" s="458">
        <f t="shared" si="14"/>
        <v>1.2946994569257539</v>
      </c>
      <c r="K71" s="458" t="e">
        <v>#N/A</v>
      </c>
      <c r="L71" s="458" t="e">
        <f t="shared" si="15"/>
        <v>#N/A</v>
      </c>
      <c r="M71" s="458" t="str">
        <f t="shared" si="12"/>
        <v>#964B00</v>
      </c>
      <c r="N71" t="str">
        <f t="shared" si="13"/>
        <v>Acetic Acid [1.3] Other #964B00</v>
      </c>
      <c r="Q71" s="3" t="s">
        <v>583</v>
      </c>
      <c r="R71">
        <v>0.4680295835389815</v>
      </c>
    </row>
    <row r="72" spans="1:18">
      <c r="A72" t="s">
        <v>6</v>
      </c>
      <c r="B72" s="457" t="s">
        <v>1834</v>
      </c>
      <c r="C72" s="457" t="s">
        <v>192</v>
      </c>
      <c r="D72" s="457"/>
      <c r="E72" s="460" t="s">
        <v>248</v>
      </c>
      <c r="F72" s="457" t="s">
        <v>1060</v>
      </c>
      <c r="G72" s="205">
        <v>2.2216780422383169E-2</v>
      </c>
      <c r="H72" s="458">
        <v>2.2717305672878156</v>
      </c>
      <c r="I72" s="459">
        <v>1</v>
      </c>
      <c r="J72" s="458">
        <f t="shared" si="14"/>
        <v>2.2717305672878156</v>
      </c>
      <c r="K72" s="458" t="e">
        <v>#N/A</v>
      </c>
      <c r="L72" s="458" t="e">
        <f t="shared" si="15"/>
        <v>#N/A</v>
      </c>
      <c r="M72" s="458" t="str">
        <f t="shared" si="12"/>
        <v>#964B00</v>
      </c>
      <c r="N72" t="str">
        <f t="shared" si="13"/>
        <v>Methanol [2.3] Other #964B00</v>
      </c>
      <c r="Q72" s="3" t="s">
        <v>590</v>
      </c>
      <c r="R72">
        <v>0.39002465294915128</v>
      </c>
    </row>
    <row r="73" spans="1:18">
      <c r="A73" t="s">
        <v>6</v>
      </c>
      <c r="B73" s="457" t="s">
        <v>1835</v>
      </c>
      <c r="C73" s="457" t="s">
        <v>192</v>
      </c>
      <c r="D73" s="457"/>
      <c r="E73" s="460" t="s">
        <v>248</v>
      </c>
      <c r="F73" s="457" t="s">
        <v>1060</v>
      </c>
      <c r="G73" s="205">
        <v>1.5781321174464437E-2</v>
      </c>
      <c r="H73" s="458">
        <v>1.6136860977433933</v>
      </c>
      <c r="I73" s="459">
        <v>1</v>
      </c>
      <c r="J73" s="458">
        <f t="shared" si="14"/>
        <v>1.6136860977433933</v>
      </c>
      <c r="K73" s="458" t="e">
        <v>#N/A</v>
      </c>
      <c r="L73" s="458" t="e">
        <f t="shared" si="15"/>
        <v>#N/A</v>
      </c>
      <c r="M73" s="458" t="str">
        <f t="shared" si="12"/>
        <v>#964B00</v>
      </c>
      <c r="N73" t="str">
        <f t="shared" si="13"/>
        <v>Methanol [1.6] Other #964B00</v>
      </c>
      <c r="Q73" s="3" t="s">
        <v>592</v>
      </c>
      <c r="R73">
        <v>0.27301725706440588</v>
      </c>
    </row>
    <row r="74" spans="1:18">
      <c r="A74" t="s">
        <v>6</v>
      </c>
      <c r="B74" s="457" t="s">
        <v>1836</v>
      </c>
      <c r="C74" s="457"/>
      <c r="D74" s="457"/>
      <c r="E74" s="457"/>
      <c r="F74" s="457" t="s">
        <v>1792</v>
      </c>
      <c r="G74" s="205">
        <v>4.662655189360548E-3</v>
      </c>
      <c r="H74" s="458">
        <v>0.47677008625974848</v>
      </c>
      <c r="I74" s="459">
        <v>1</v>
      </c>
      <c r="J74" s="458">
        <f t="shared" si="14"/>
        <v>0.47677008625974848</v>
      </c>
      <c r="K74" s="458">
        <v>6.0608614232209739</v>
      </c>
      <c r="L74" s="458">
        <f t="shared" si="15"/>
        <v>2.8896374235574456</v>
      </c>
      <c r="M74" s="458" t="str">
        <f t="shared" si="12"/>
        <v>#A9A9A9</v>
      </c>
      <c r="N74" t="str">
        <f t="shared" si="13"/>
        <v>Methanol [0.48] Dimethyl terephthalate (DMT) #A9A9A9</v>
      </c>
      <c r="Q74" s="3" t="s">
        <v>593</v>
      </c>
      <c r="R74">
        <v>7.8004930589830268E-2</v>
      </c>
    </row>
    <row r="75" spans="1:18">
      <c r="A75" t="s">
        <v>6</v>
      </c>
      <c r="B75" s="457" t="s">
        <v>1837</v>
      </c>
      <c r="C75" s="457" t="s">
        <v>192</v>
      </c>
      <c r="D75" s="457"/>
      <c r="E75" s="460" t="s">
        <v>248</v>
      </c>
      <c r="F75" s="457" t="s">
        <v>1060</v>
      </c>
      <c r="G75" s="205">
        <v>4.9435021407774277E-3</v>
      </c>
      <c r="H75" s="458">
        <v>0.50548750580180479</v>
      </c>
      <c r="I75" s="459">
        <v>1</v>
      </c>
      <c r="J75" s="458">
        <f t="shared" si="14"/>
        <v>0.50548750580180479</v>
      </c>
      <c r="K75" s="458" t="e">
        <v>#N/A</v>
      </c>
      <c r="L75" s="458" t="e">
        <f t="shared" si="15"/>
        <v>#N/A</v>
      </c>
      <c r="M75" s="458" t="str">
        <f t="shared" si="12"/>
        <v>#964B00</v>
      </c>
      <c r="N75" t="str">
        <f t="shared" si="13"/>
        <v>Methanol [0.51] Other #964B00</v>
      </c>
      <c r="Q75" s="3" t="s">
        <v>596</v>
      </c>
      <c r="R75">
        <v>0.28081775012338889</v>
      </c>
    </row>
    <row r="76" spans="1:18">
      <c r="A76" s="457" t="s">
        <v>1803</v>
      </c>
      <c r="B76" t="s">
        <v>1838</v>
      </c>
      <c r="D76" t="s">
        <v>740</v>
      </c>
      <c r="E76" t="s">
        <v>740</v>
      </c>
      <c r="F76" t="s">
        <v>1060</v>
      </c>
      <c r="H76" s="44">
        <v>1.772842341876246</v>
      </c>
      <c r="I76" s="459">
        <v>1</v>
      </c>
      <c r="J76" s="458">
        <f t="shared" si="14"/>
        <v>1.772842341876246</v>
      </c>
      <c r="K76" s="458" t="e">
        <v>#N/A</v>
      </c>
      <c r="L76" s="458" t="e">
        <f t="shared" si="15"/>
        <v>#N/A</v>
      </c>
      <c r="M76" s="458" t="str">
        <f t="shared" si="12"/>
        <v>#FFFF00</v>
      </c>
      <c r="N76" t="str">
        <f t="shared" si="13"/>
        <v>Methyl Methacrylate (MMA) [1.8] Polymethyl methacrylate (PMMA) #FFFF00</v>
      </c>
      <c r="Q76" s="3" t="s">
        <v>598</v>
      </c>
      <c r="R76">
        <v>0.32762070847728703</v>
      </c>
    </row>
    <row r="77" spans="1:18">
      <c r="A77" t="s">
        <v>1831</v>
      </c>
      <c r="B77" t="s">
        <v>1839</v>
      </c>
      <c r="D77" t="s">
        <v>740</v>
      </c>
      <c r="E77" t="s">
        <v>740</v>
      </c>
      <c r="F77" t="s">
        <v>1060</v>
      </c>
      <c r="G77" s="6">
        <v>0.37</v>
      </c>
      <c r="H77" s="44">
        <f>G77*$H$67</f>
        <v>1.0645306645833978</v>
      </c>
      <c r="I77" s="459">
        <v>1</v>
      </c>
      <c r="J77" s="458">
        <f t="shared" si="14"/>
        <v>1.0645306645833978</v>
      </c>
      <c r="K77" s="458" t="e">
        <v>#N/A</v>
      </c>
      <c r="L77" s="458" t="e">
        <f t="shared" si="15"/>
        <v>#N/A</v>
      </c>
      <c r="M77" s="458" t="str">
        <f t="shared" si="12"/>
        <v>#FFFF00</v>
      </c>
      <c r="N77" t="str">
        <f t="shared" si="13"/>
        <v>Vinyl acetate monomer (VAM) [1.1] Polyvinyl acetate (PVA) #FFFF00</v>
      </c>
      <c r="Q77" s="3" t="s">
        <v>600</v>
      </c>
      <c r="R77">
        <v>0.14040887506169444</v>
      </c>
    </row>
    <row r="78" spans="1:18">
      <c r="A78" t="s">
        <v>1831</v>
      </c>
      <c r="B78" t="s">
        <v>192</v>
      </c>
      <c r="E78" s="460" t="s">
        <v>248</v>
      </c>
      <c r="F78" t="s">
        <v>1060</v>
      </c>
      <c r="G78" s="6">
        <f>1-G77</f>
        <v>0.63</v>
      </c>
      <c r="H78" s="44">
        <f>G78*$H$67</f>
        <v>1.8125792396960556</v>
      </c>
      <c r="I78" s="459">
        <v>1</v>
      </c>
      <c r="J78" s="458">
        <f t="shared" si="14"/>
        <v>1.8125792396960556</v>
      </c>
      <c r="K78" s="458" t="e">
        <v>#N/A</v>
      </c>
      <c r="L78" s="458" t="e">
        <f t="shared" si="15"/>
        <v>#N/A</v>
      </c>
      <c r="M78" s="458" t="str">
        <f t="shared" si="12"/>
        <v>#964B00</v>
      </c>
      <c r="N78" t="str">
        <f t="shared" si="13"/>
        <v>Vinyl acetate monomer (VAM) [1.8] Other #964B00</v>
      </c>
      <c r="Q78" s="3" t="s">
        <v>724</v>
      </c>
      <c r="R78">
        <v>0.61155865582426916</v>
      </c>
    </row>
    <row r="79" spans="1:18">
      <c r="A79" t="s">
        <v>845</v>
      </c>
      <c r="B79" s="469" t="s">
        <v>1840</v>
      </c>
      <c r="C79" s="469"/>
      <c r="E79" s="460" t="s">
        <v>1055</v>
      </c>
      <c r="F79" t="s">
        <v>1060</v>
      </c>
      <c r="G79" s="6">
        <v>0.9</v>
      </c>
      <c r="H79" s="44">
        <f>G79*$H$68</f>
        <v>1.3594344297720415</v>
      </c>
      <c r="I79" s="459">
        <v>1</v>
      </c>
      <c r="J79" s="458">
        <f t="shared" si="14"/>
        <v>1.3594344297720415</v>
      </c>
      <c r="K79" s="458">
        <v>1.1569113716803505</v>
      </c>
      <c r="L79" s="458">
        <f t="shared" si="15"/>
        <v>1.5727451508570678</v>
      </c>
      <c r="M79" s="458" t="str">
        <f t="shared" si="12"/>
        <v>#A9A9A9</v>
      </c>
      <c r="N79" t="str">
        <f t="shared" si="13"/>
        <v>Terephthalic acid [1.4] Polyethylene terephthalate (PET) #A9A9A9</v>
      </c>
      <c r="Q79" s="3" t="s">
        <v>727</v>
      </c>
      <c r="R79">
        <v>0.24025518621667719</v>
      </c>
    </row>
    <row r="80" spans="1:18">
      <c r="A80" t="s">
        <v>845</v>
      </c>
      <c r="B80" t="s">
        <v>192</v>
      </c>
      <c r="E80" s="460" t="s">
        <v>248</v>
      </c>
      <c r="F80" t="s">
        <v>1060</v>
      </c>
      <c r="G80" s="6">
        <f>1-G79</f>
        <v>9.9999999999999978E-2</v>
      </c>
      <c r="H80" s="44">
        <f>G80*$H$68</f>
        <v>0.15104826997467125</v>
      </c>
      <c r="I80" s="459">
        <v>1</v>
      </c>
      <c r="J80" s="458">
        <f t="shared" si="14"/>
        <v>0.15104826997467125</v>
      </c>
      <c r="K80" s="458" t="e">
        <v>#N/A</v>
      </c>
      <c r="L80" s="458" t="e">
        <f t="shared" si="15"/>
        <v>#N/A</v>
      </c>
      <c r="M80" s="458" t="str">
        <f t="shared" si="12"/>
        <v>#964B00</v>
      </c>
      <c r="N80" t="str">
        <f t="shared" si="13"/>
        <v>Terephthalic acid [0.15] Other #964B00</v>
      </c>
      <c r="Q80" s="3" t="s">
        <v>728</v>
      </c>
      <c r="R80">
        <v>4.3682761130304941E-2</v>
      </c>
    </row>
    <row r="81" spans="1:34">
      <c r="A81" s="457" t="s">
        <v>1836</v>
      </c>
      <c r="B81" s="469" t="s">
        <v>1840</v>
      </c>
      <c r="E81" s="460" t="s">
        <v>1055</v>
      </c>
      <c r="F81" t="s">
        <v>1060</v>
      </c>
      <c r="H81" s="44">
        <v>0.42438915566653618</v>
      </c>
      <c r="I81" s="459">
        <v>1</v>
      </c>
      <c r="J81" s="458">
        <f t="shared" si="14"/>
        <v>0.42438915566653618</v>
      </c>
      <c r="K81" s="458">
        <v>0.98975230444410101</v>
      </c>
      <c r="L81" s="458">
        <f t="shared" si="15"/>
        <v>0.42004014480204049</v>
      </c>
      <c r="M81" s="458" t="str">
        <f t="shared" si="12"/>
        <v>#A9A9A9</v>
      </c>
      <c r="N81" t="str">
        <f t="shared" si="13"/>
        <v>Dimethyl terephthalate (DMT) [0.42] Polyethylene terephthalate (PET) #A9A9A9</v>
      </c>
      <c r="Q81" s="3" t="s">
        <v>1831</v>
      </c>
      <c r="R81">
        <v>2.8771099042794535</v>
      </c>
    </row>
    <row r="82" spans="1:34">
      <c r="A82" s="457" t="s">
        <v>1836</v>
      </c>
      <c r="B82" t="s">
        <v>192</v>
      </c>
      <c r="E82" s="460" t="s">
        <v>248</v>
      </c>
      <c r="F82" t="s">
        <v>1060</v>
      </c>
      <c r="H82" s="44">
        <v>5.2380930593212353E-2</v>
      </c>
      <c r="I82" s="459">
        <v>1</v>
      </c>
      <c r="J82" s="458">
        <f t="shared" si="14"/>
        <v>5.2380930593212353E-2</v>
      </c>
      <c r="K82" s="458" t="e">
        <v>#N/A</v>
      </c>
      <c r="L82" s="458" t="e">
        <f t="shared" si="15"/>
        <v>#N/A</v>
      </c>
      <c r="M82" s="458" t="str">
        <f t="shared" si="12"/>
        <v>#964B00</v>
      </c>
      <c r="N82" t="str">
        <f t="shared" si="13"/>
        <v>Dimethyl terephthalate (DMT) [0.05] Other #964B00</v>
      </c>
      <c r="Q82" s="3" t="s">
        <v>845</v>
      </c>
      <c r="R82">
        <v>1.5104826997467129</v>
      </c>
    </row>
    <row r="83" spans="1:34">
      <c r="A83" t="s">
        <v>1822</v>
      </c>
      <c r="B83" t="s">
        <v>1827</v>
      </c>
      <c r="E83" s="460" t="s">
        <v>1055</v>
      </c>
      <c r="F83" t="s">
        <v>1060</v>
      </c>
      <c r="G83" s="6">
        <v>0.95</v>
      </c>
      <c r="H83" s="44">
        <f>G83*$H$24</f>
        <v>1.1298928174736835</v>
      </c>
      <c r="I83" s="459">
        <v>1</v>
      </c>
      <c r="J83" s="458">
        <f t="shared" si="14"/>
        <v>1.1298928174736835</v>
      </c>
      <c r="K83" s="458" t="e">
        <v>#N/A</v>
      </c>
      <c r="L83" s="458" t="e">
        <f t="shared" si="15"/>
        <v>#N/A</v>
      </c>
      <c r="M83" s="458" t="str">
        <f t="shared" si="12"/>
        <v>#A9A9A9</v>
      </c>
      <c r="N83" t="str">
        <f t="shared" si="13"/>
        <v>Methylene diphenyl diisocyanate [1.1] Polyurethane (PU) #A9A9A9</v>
      </c>
      <c r="Q83" s="3" t="s">
        <v>1832</v>
      </c>
      <c r="R83">
        <v>0.71927747606986336</v>
      </c>
    </row>
    <row r="84" spans="1:34">
      <c r="A84" t="s">
        <v>1822</v>
      </c>
      <c r="B84" t="s">
        <v>192</v>
      </c>
      <c r="E84" s="460" t="s">
        <v>248</v>
      </c>
      <c r="F84" t="s">
        <v>1060</v>
      </c>
      <c r="G84" s="6">
        <v>0.05</v>
      </c>
      <c r="H84" s="44">
        <f>G84*$H$24</f>
        <v>5.9468043024930722E-2</v>
      </c>
      <c r="I84" s="459">
        <v>1</v>
      </c>
      <c r="J84" s="458">
        <f t="shared" si="14"/>
        <v>5.9468043024930722E-2</v>
      </c>
      <c r="K84" s="458" t="e">
        <v>#N/A</v>
      </c>
      <c r="L84" s="458" t="e">
        <f t="shared" si="15"/>
        <v>#N/A</v>
      </c>
      <c r="M84" s="458" t="str">
        <f t="shared" si="12"/>
        <v>#964B00</v>
      </c>
      <c r="N84" t="str">
        <f t="shared" si="13"/>
        <v>Methylene diphenyl diisocyanate [0.06] Other #964B00</v>
      </c>
      <c r="Q84" s="3" t="s">
        <v>1833</v>
      </c>
      <c r="R84">
        <v>0.79120522367684964</v>
      </c>
    </row>
    <row r="85" spans="1:34">
      <c r="A85" t="s">
        <v>1823</v>
      </c>
      <c r="B85" t="s">
        <v>1841</v>
      </c>
      <c r="C85" t="s">
        <v>192</v>
      </c>
      <c r="E85" s="460" t="s">
        <v>248</v>
      </c>
      <c r="F85" t="s">
        <v>1060</v>
      </c>
      <c r="G85" s="6">
        <v>0.5</v>
      </c>
      <c r="H85" s="44">
        <f>G85*$H$25</f>
        <v>0.59468043024930717</v>
      </c>
      <c r="I85" s="459">
        <v>1</v>
      </c>
      <c r="J85" s="458">
        <f t="shared" si="14"/>
        <v>0.59468043024930717</v>
      </c>
      <c r="K85" s="458" t="e">
        <v>#N/A</v>
      </c>
      <c r="L85" s="458" t="e">
        <f t="shared" si="15"/>
        <v>#N/A</v>
      </c>
      <c r="M85" s="458" t="str">
        <f t="shared" si="12"/>
        <v>#964B00</v>
      </c>
      <c r="N85" t="str">
        <f t="shared" si="13"/>
        <v>1,4-butanediol [0.59] Other #964B00</v>
      </c>
      <c r="Q85" s="3" t="s">
        <v>1834</v>
      </c>
      <c r="R85">
        <v>2.2717305672878156</v>
      </c>
    </row>
    <row r="86" spans="1:34">
      <c r="A86" t="s">
        <v>1823</v>
      </c>
      <c r="B86" t="s">
        <v>192</v>
      </c>
      <c r="E86" s="460" t="s">
        <v>248</v>
      </c>
      <c r="F86" t="s">
        <v>1060</v>
      </c>
      <c r="G86" s="6">
        <v>0.5</v>
      </c>
      <c r="H86" s="44">
        <f>G86*$H$25</f>
        <v>0.59468043024930717</v>
      </c>
      <c r="I86" s="459">
        <v>1</v>
      </c>
      <c r="J86" s="458">
        <f t="shared" si="14"/>
        <v>0.59468043024930717</v>
      </c>
      <c r="K86" s="458" t="e">
        <v>#N/A</v>
      </c>
      <c r="L86" s="458" t="e">
        <f t="shared" si="15"/>
        <v>#N/A</v>
      </c>
      <c r="M86" s="458" t="str">
        <f t="shared" si="12"/>
        <v>#964B00</v>
      </c>
      <c r="N86" t="str">
        <f t="shared" si="13"/>
        <v>1,4-butanediol [0.59] Other #964B00</v>
      </c>
      <c r="Q86" s="3" t="s">
        <v>1835</v>
      </c>
      <c r="R86">
        <v>1.6136860977433933</v>
      </c>
    </row>
    <row r="87" spans="1:34">
      <c r="A87" t="s">
        <v>667</v>
      </c>
      <c r="B87" s="469" t="s">
        <v>1840</v>
      </c>
      <c r="E87" s="460" t="s">
        <v>179</v>
      </c>
      <c r="F87" t="s">
        <v>1060</v>
      </c>
      <c r="G87" s="6">
        <v>0.7</v>
      </c>
      <c r="H87" s="44">
        <f>G87*$H$34</f>
        <v>0.81948859880452074</v>
      </c>
      <c r="I87" s="459">
        <v>1</v>
      </c>
      <c r="J87" s="458">
        <f t="shared" si="14"/>
        <v>0.81948859880452074</v>
      </c>
      <c r="K87" s="458">
        <v>3.0965039471564362</v>
      </c>
      <c r="L87" s="458">
        <f t="shared" si="15"/>
        <v>2.5375496808478957</v>
      </c>
      <c r="M87" s="458" t="str">
        <f t="shared" si="12"/>
        <v>#A9A9A9</v>
      </c>
      <c r="N87" t="str">
        <f t="shared" si="13"/>
        <v>Ethylene glycol [0.82] Polyethylene terephthalate (PET) #A9A9A9</v>
      </c>
      <c r="Q87" s="3" t="s">
        <v>1836</v>
      </c>
      <c r="R87">
        <v>0.47677008625974848</v>
      </c>
    </row>
    <row r="88" spans="1:34">
      <c r="A88" t="s">
        <v>667</v>
      </c>
      <c r="B88" t="s">
        <v>192</v>
      </c>
      <c r="E88" s="460" t="s">
        <v>179</v>
      </c>
      <c r="F88" t="s">
        <v>1060</v>
      </c>
      <c r="G88" s="6">
        <v>0.30000000000000004</v>
      </c>
      <c r="H88" s="44">
        <f>G88*$H$34</f>
        <v>0.35120939948765184</v>
      </c>
      <c r="I88" s="459">
        <v>1</v>
      </c>
      <c r="J88" s="458">
        <f t="shared" si="14"/>
        <v>0.35120939948765184</v>
      </c>
      <c r="K88" s="458" t="e">
        <v>#N/A</v>
      </c>
      <c r="L88" s="458" t="e">
        <f t="shared" si="15"/>
        <v>#N/A</v>
      </c>
      <c r="M88" s="458" t="str">
        <f t="shared" si="12"/>
        <v>#964B00</v>
      </c>
      <c r="N88" t="str">
        <f t="shared" si="13"/>
        <v>Ethylene glycol [0.35] Other #964B00</v>
      </c>
      <c r="Q88" s="3" t="s">
        <v>1837</v>
      </c>
      <c r="R88">
        <v>0.50548750580180479</v>
      </c>
    </row>
    <row r="89" spans="1:34">
      <c r="E89"/>
      <c r="I89" s="459">
        <v>1</v>
      </c>
      <c r="J89" s="458">
        <f t="shared" si="14"/>
        <v>0</v>
      </c>
      <c r="K89" s="458" t="e">
        <v>#DIV/0!</v>
      </c>
      <c r="L89" s="458" t="e">
        <f t="shared" si="15"/>
        <v>#DIV/0!</v>
      </c>
      <c r="Q89" s="3" t="s">
        <v>1838</v>
      </c>
      <c r="R89">
        <v>1.772842341876246</v>
      </c>
    </row>
    <row r="90" spans="1:34" s="470" customFormat="1">
      <c r="I90" s="459">
        <v>1</v>
      </c>
      <c r="J90" s="458">
        <f t="shared" si="14"/>
        <v>0</v>
      </c>
      <c r="K90" s="458" t="e">
        <v>#DIV/0!</v>
      </c>
      <c r="L90" s="458" t="e">
        <f t="shared" si="15"/>
        <v>#DIV/0!</v>
      </c>
      <c r="Q90" s="3" t="s">
        <v>1839</v>
      </c>
      <c r="R90">
        <v>1.0645306645833978</v>
      </c>
      <c r="S90"/>
      <c r="T90"/>
      <c r="U90"/>
      <c r="V90"/>
      <c r="W90"/>
      <c r="X90"/>
      <c r="Y90"/>
      <c r="Z90"/>
      <c r="AA90"/>
      <c r="AB90"/>
      <c r="AC90"/>
      <c r="AD90"/>
      <c r="AE90"/>
      <c r="AF90"/>
      <c r="AG90"/>
      <c r="AH90"/>
    </row>
    <row r="91" spans="1:34" s="470" customFormat="1">
      <c r="A91" s="457"/>
      <c r="B91"/>
      <c r="C91"/>
      <c r="D91"/>
      <c r="E91"/>
      <c r="F91"/>
      <c r="G91" s="6"/>
      <c r="H91" s="44"/>
      <c r="I91" s="459">
        <v>1</v>
      </c>
      <c r="J91" s="458">
        <f t="shared" si="14"/>
        <v>0</v>
      </c>
      <c r="K91" s="458" t="e">
        <v>#DIV/0!</v>
      </c>
      <c r="L91" s="458" t="e">
        <f t="shared" si="15"/>
        <v>#DIV/0!</v>
      </c>
      <c r="M91" s="458"/>
      <c r="N91"/>
      <c r="Q91" s="3" t="s">
        <v>1840</v>
      </c>
      <c r="R91">
        <v>2.8081843339442285</v>
      </c>
      <c r="S91"/>
      <c r="T91"/>
      <c r="U91"/>
      <c r="V91"/>
      <c r="W91"/>
      <c r="X91"/>
      <c r="Y91"/>
      <c r="Z91"/>
      <c r="AA91"/>
      <c r="AB91"/>
      <c r="AC91"/>
      <c r="AD91"/>
      <c r="AE91"/>
      <c r="AF91"/>
      <c r="AG91"/>
      <c r="AH91"/>
    </row>
    <row r="92" spans="1:34">
      <c r="A92" s="471" t="s">
        <v>1830</v>
      </c>
      <c r="B92" s="471" t="s">
        <v>1842</v>
      </c>
      <c r="C92" s="471"/>
      <c r="D92" s="470" t="s">
        <v>1055</v>
      </c>
      <c r="E92" s="470"/>
      <c r="F92" s="470"/>
      <c r="G92" s="472">
        <v>0.67</v>
      </c>
      <c r="H92" s="473">
        <f>G92*$H$45</f>
        <v>8.4039392020259527</v>
      </c>
      <c r="I92" s="459">
        <v>1</v>
      </c>
      <c r="J92" s="458">
        <f t="shared" si="14"/>
        <v>8.4039392020259527</v>
      </c>
      <c r="K92" s="458" t="e">
        <v>#N/A</v>
      </c>
      <c r="L92" s="458" t="e">
        <f t="shared" si="15"/>
        <v>#N/A</v>
      </c>
      <c r="M92" s="474" t="str">
        <f>IF(AND(OR(B92="Other",C92="Other"),$B$1=TRUE),$S$9,_xlfn.XLOOKUP(D92,$Q$6:$Q$10,$S$6:$S$10,$S$8))</f>
        <v>#0000FF</v>
      </c>
      <c r="N92" s="470" t="str">
        <f>CONCATENATE(A92," [",IF(H92&lt;1,ROUND(H92,2),ROUND(H92,1)),"] ",IF($B$1=TRUE,IF((ISBLANK(C92)),B92,C92),B92)," ",M92)</f>
        <v>Polypropylene (PP) [8.4] Polypropylene PP (ex-fibre) #0000FF</v>
      </c>
      <c r="Q92" s="3" t="s">
        <v>1841</v>
      </c>
      <c r="R92">
        <v>0.59468043024930717</v>
      </c>
    </row>
    <row r="93" spans="1:34">
      <c r="A93" s="471" t="s">
        <v>1830</v>
      </c>
      <c r="B93" s="471" t="s">
        <v>1843</v>
      </c>
      <c r="C93" s="471"/>
      <c r="D93" s="470" t="s">
        <v>1055</v>
      </c>
      <c r="E93" s="470"/>
      <c r="F93" s="470"/>
      <c r="G93" s="472">
        <v>0.33</v>
      </c>
      <c r="H93" s="473">
        <f>G93*$H$45</f>
        <v>4.1392536368187525</v>
      </c>
      <c r="I93" s="459">
        <v>1</v>
      </c>
      <c r="J93" s="458">
        <f t="shared" si="14"/>
        <v>4.1392536368187525</v>
      </c>
      <c r="K93" s="458" t="e">
        <v>#N/A</v>
      </c>
      <c r="L93" s="458" t="e">
        <f t="shared" si="15"/>
        <v>#N/A</v>
      </c>
      <c r="M93" s="474" t="str">
        <f>IF(AND(OR(B93="Other",C93="Other"),$B$1=TRUE),$S$9,_xlfn.XLOOKUP(D93,$Q$6:$Q$10,$S$6:$S$10,$S$8))</f>
        <v>#0000FF</v>
      </c>
      <c r="N93" s="470" t="str">
        <f>CONCATENATE(A93," [",IF(H93&lt;1,ROUND(H93,2),ROUND(H93,1)),"] ",IF($B$1=TRUE,IF((ISBLANK(C93)),B93,C93),B93)," ",M93)</f>
        <v>Polypropylene (PP) [4.1] Polypropylene fibres #0000FF</v>
      </c>
      <c r="Q93" s="3" t="s">
        <v>1814</v>
      </c>
      <c r="R93">
        <v>206.59483760351833</v>
      </c>
    </row>
    <row r="94" spans="1:34">
      <c r="E94"/>
      <c r="I94" s="459">
        <v>1</v>
      </c>
      <c r="J94" s="458">
        <f t="shared" si="14"/>
        <v>0</v>
      </c>
      <c r="K94" s="458" t="e">
        <v>#DIV/0!</v>
      </c>
      <c r="L94" s="458" t="e">
        <f t="shared" si="15"/>
        <v>#DIV/0!</v>
      </c>
    </row>
    <row r="95" spans="1:34">
      <c r="A95" s="469" t="s">
        <v>1840</v>
      </c>
      <c r="B95" s="469" t="s">
        <v>1844</v>
      </c>
      <c r="E95"/>
      <c r="G95" s="2">
        <f>45/(25+45)</f>
        <v>0.6428571428571429</v>
      </c>
      <c r="H95" s="43">
        <f>SUM($H$79,$H$81,$H$87)*G95</f>
        <v>1.6735578327277063</v>
      </c>
      <c r="I95" s="459">
        <v>1</v>
      </c>
      <c r="J95" s="458">
        <f t="shared" si="14"/>
        <v>1.6735578327277063</v>
      </c>
      <c r="K95" s="458" t="e">
        <v>#N/A</v>
      </c>
      <c r="L95" s="458" t="e">
        <f t="shared" si="15"/>
        <v>#N/A</v>
      </c>
    </row>
    <row r="96" spans="1:34">
      <c r="A96" s="469" t="s">
        <v>1840</v>
      </c>
      <c r="B96" s="469" t="s">
        <v>1845</v>
      </c>
      <c r="E96"/>
      <c r="G96" s="2">
        <f>25/(25+45)</f>
        <v>0.35714285714285715</v>
      </c>
      <c r="H96" s="43">
        <f>SUM($H$79,$H$81,$H$87)*G96</f>
        <v>0.92975435151539232</v>
      </c>
      <c r="I96" s="459">
        <v>1</v>
      </c>
      <c r="J96" s="458">
        <f t="shared" si="14"/>
        <v>0.92975435151539232</v>
      </c>
      <c r="K96" s="458" t="e">
        <v>#N/A</v>
      </c>
      <c r="L96" s="458" t="e">
        <f t="shared" si="15"/>
        <v>#N/A</v>
      </c>
    </row>
    <row r="97" spans="1:12">
      <c r="E97"/>
      <c r="I97" s="459">
        <v>1</v>
      </c>
      <c r="J97" s="458">
        <f t="shared" si="14"/>
        <v>0</v>
      </c>
      <c r="K97" s="458" t="e">
        <v>#DIV/0!</v>
      </c>
      <c r="L97" s="458" t="e">
        <f t="shared" si="15"/>
        <v>#DIV/0!</v>
      </c>
    </row>
    <row r="98" spans="1:12">
      <c r="A98" t="s">
        <v>4</v>
      </c>
      <c r="B98" t="s">
        <v>261</v>
      </c>
      <c r="E98"/>
      <c r="H98">
        <v>99.2</v>
      </c>
      <c r="I98" s="459">
        <v>1</v>
      </c>
      <c r="J98" s="458">
        <f t="shared" si="14"/>
        <v>99.2</v>
      </c>
      <c r="K98" s="458" t="e">
        <v>#N/A</v>
      </c>
      <c r="L98" s="458" t="e">
        <f t="shared" si="15"/>
        <v>#N/A</v>
      </c>
    </row>
    <row r="99" spans="1:12">
      <c r="A99" t="s">
        <v>4</v>
      </c>
      <c r="B99" t="s">
        <v>260</v>
      </c>
      <c r="E99"/>
      <c r="H99">
        <v>22.8</v>
      </c>
      <c r="I99" s="459">
        <v>1</v>
      </c>
      <c r="J99" s="458">
        <f t="shared" si="14"/>
        <v>22.8</v>
      </c>
      <c r="K99" s="458">
        <v>1.572192513368984</v>
      </c>
      <c r="L99" s="458">
        <f t="shared" si="15"/>
        <v>35.845989304812839</v>
      </c>
    </row>
    <row r="100" spans="1:12">
      <c r="A100" t="s">
        <v>4</v>
      </c>
      <c r="B100" t="s">
        <v>627</v>
      </c>
      <c r="E100"/>
      <c r="H100">
        <v>19.5</v>
      </c>
      <c r="I100" s="459">
        <v>1</v>
      </c>
      <c r="J100" s="458">
        <f t="shared" si="14"/>
        <v>19.5</v>
      </c>
      <c r="K100" s="458" t="e">
        <v>#N/A</v>
      </c>
      <c r="L100" s="458" t="e">
        <f t="shared" si="15"/>
        <v>#N/A</v>
      </c>
    </row>
    <row r="101" spans="1:12">
      <c r="A101" t="s">
        <v>4</v>
      </c>
      <c r="B101" t="s">
        <v>658</v>
      </c>
      <c r="E101"/>
      <c r="H101">
        <v>9.8000000000000007</v>
      </c>
      <c r="I101" s="459">
        <v>1</v>
      </c>
      <c r="J101" s="458">
        <f t="shared" si="14"/>
        <v>9.8000000000000007</v>
      </c>
      <c r="K101" s="458" t="e">
        <v>#N/A</v>
      </c>
      <c r="L101" s="458" t="e">
        <f t="shared" si="15"/>
        <v>#N/A</v>
      </c>
    </row>
    <row r="102" spans="1:12">
      <c r="A102" t="s">
        <v>4</v>
      </c>
      <c r="B102" t="s">
        <v>248</v>
      </c>
      <c r="E102"/>
      <c r="H102">
        <v>11.4</v>
      </c>
      <c r="I102" s="459">
        <v>1</v>
      </c>
      <c r="J102" s="458">
        <f t="shared" si="14"/>
        <v>11.4</v>
      </c>
      <c r="K102" s="458" t="e">
        <v>#N/A</v>
      </c>
      <c r="L102" s="458" t="e">
        <f t="shared" si="15"/>
        <v>#N/A</v>
      </c>
    </row>
    <row r="103" spans="1:12">
      <c r="E103"/>
      <c r="I103" s="459">
        <v>1</v>
      </c>
      <c r="J103" s="458">
        <f t="shared" si="14"/>
        <v>0</v>
      </c>
      <c r="K103" s="458" t="e">
        <v>#DIV/0!</v>
      </c>
      <c r="L103" s="458" t="e">
        <f t="shared" si="15"/>
        <v>#DIV/0!</v>
      </c>
    </row>
    <row r="104" spans="1:12">
      <c r="A104" t="s">
        <v>261</v>
      </c>
      <c r="B104" s="461" t="s">
        <v>1825</v>
      </c>
      <c r="E104"/>
      <c r="H104">
        <v>44.6</v>
      </c>
      <c r="I104" s="459">
        <v>1</v>
      </c>
      <c r="J104" s="458">
        <f t="shared" si="14"/>
        <v>44.6</v>
      </c>
      <c r="K104" s="458" t="e">
        <v>#N/A</v>
      </c>
      <c r="L104" s="458" t="e">
        <f t="shared" si="15"/>
        <v>#N/A</v>
      </c>
    </row>
    <row r="105" spans="1:12">
      <c r="A105" t="s">
        <v>261</v>
      </c>
      <c r="B105" s="461" t="s">
        <v>1826</v>
      </c>
      <c r="E105"/>
      <c r="H105">
        <v>54.6</v>
      </c>
      <c r="I105" s="459">
        <v>1</v>
      </c>
      <c r="J105" s="458">
        <f t="shared" si="14"/>
        <v>54.6</v>
      </c>
      <c r="K105" s="458" t="e">
        <v>#N/A</v>
      </c>
      <c r="L105" s="458" t="e">
        <f t="shared" si="15"/>
        <v>#N/A</v>
      </c>
    </row>
    <row r="106" spans="1:12">
      <c r="E106"/>
      <c r="I106" s="459">
        <v>1</v>
      </c>
      <c r="J106" s="458">
        <f t="shared" si="14"/>
        <v>0</v>
      </c>
      <c r="K106" s="458" t="e">
        <v>#DIV/0!</v>
      </c>
      <c r="L106" s="458" t="e">
        <f t="shared" si="15"/>
        <v>#DIV/0!</v>
      </c>
    </row>
    <row r="107" spans="1:12">
      <c r="A107" t="s">
        <v>260</v>
      </c>
      <c r="B107" s="469" t="s">
        <v>1840</v>
      </c>
      <c r="E107"/>
      <c r="H107">
        <v>3.8</v>
      </c>
      <c r="I107" s="459">
        <v>1</v>
      </c>
      <c r="J107" s="458">
        <f t="shared" si="14"/>
        <v>3.8</v>
      </c>
      <c r="K107" s="458">
        <v>4.3582766439909291</v>
      </c>
      <c r="L107" s="458">
        <f t="shared" si="15"/>
        <v>16.561451247165529</v>
      </c>
    </row>
    <row r="108" spans="1:12">
      <c r="A108" t="s">
        <v>260</v>
      </c>
      <c r="B108" s="469" t="s">
        <v>1840</v>
      </c>
      <c r="E108"/>
      <c r="H108">
        <v>6.9</v>
      </c>
      <c r="I108" s="459">
        <v>1</v>
      </c>
      <c r="J108" s="458">
        <f t="shared" si="14"/>
        <v>6.9</v>
      </c>
      <c r="K108" s="458">
        <v>4.3582766439909291</v>
      </c>
      <c r="L108" s="458">
        <f t="shared" si="15"/>
        <v>30.072108843537411</v>
      </c>
    </row>
    <row r="109" spans="1:12">
      <c r="A109" t="s">
        <v>260</v>
      </c>
      <c r="B109" t="s">
        <v>248</v>
      </c>
      <c r="E109"/>
      <c r="H109">
        <v>12.1</v>
      </c>
      <c r="I109" s="459">
        <v>1</v>
      </c>
      <c r="J109" s="458">
        <f t="shared" si="14"/>
        <v>12.1</v>
      </c>
      <c r="K109" s="458" t="e">
        <v>#N/A</v>
      </c>
      <c r="L109" s="458" t="e">
        <f t="shared" si="15"/>
        <v>#N/A</v>
      </c>
    </row>
    <row r="110" spans="1:12">
      <c r="E110"/>
      <c r="I110" s="459">
        <v>1</v>
      </c>
      <c r="J110" s="458">
        <f t="shared" si="14"/>
        <v>0</v>
      </c>
      <c r="K110" s="458" t="e">
        <v>#DIV/0!</v>
      </c>
      <c r="L110" s="458" t="e">
        <f t="shared" si="15"/>
        <v>#DIV/0!</v>
      </c>
    </row>
    <row r="111" spans="1:12">
      <c r="A111" t="s">
        <v>627</v>
      </c>
      <c r="B111" t="s">
        <v>1828</v>
      </c>
      <c r="E111"/>
      <c r="H111">
        <v>18.7</v>
      </c>
      <c r="I111" s="459">
        <v>1</v>
      </c>
      <c r="J111" s="458">
        <f t="shared" si="14"/>
        <v>18.7</v>
      </c>
      <c r="K111" s="458" t="e">
        <v>#N/A</v>
      </c>
      <c r="L111" s="458" t="e">
        <f t="shared" si="15"/>
        <v>#N/A</v>
      </c>
    </row>
    <row r="112" spans="1:12">
      <c r="A112" t="s">
        <v>627</v>
      </c>
      <c r="B112" t="s">
        <v>248</v>
      </c>
      <c r="E112"/>
      <c r="H112">
        <v>0.8</v>
      </c>
      <c r="I112" s="459">
        <v>1</v>
      </c>
      <c r="J112" s="458">
        <f t="shared" si="14"/>
        <v>0.8</v>
      </c>
      <c r="K112" s="458" t="e">
        <v>#N/A</v>
      </c>
      <c r="L112" s="458" t="e">
        <f t="shared" si="15"/>
        <v>#N/A</v>
      </c>
    </row>
    <row r="113" spans="1:12">
      <c r="E113"/>
      <c r="I113" s="459">
        <v>1</v>
      </c>
      <c r="J113" s="458">
        <f t="shared" si="14"/>
        <v>0</v>
      </c>
      <c r="K113" s="458" t="e">
        <v>#DIV/0!</v>
      </c>
      <c r="L113" s="458" t="e">
        <f t="shared" si="15"/>
        <v>#DIV/0!</v>
      </c>
    </row>
    <row r="114" spans="1:12">
      <c r="A114" t="s">
        <v>658</v>
      </c>
      <c r="B114" t="s">
        <v>1829</v>
      </c>
      <c r="E114"/>
      <c r="H114">
        <v>4.5</v>
      </c>
      <c r="I114" s="459">
        <v>1</v>
      </c>
      <c r="J114" s="458">
        <f t="shared" si="14"/>
        <v>4.5</v>
      </c>
      <c r="K114" s="458" t="e">
        <v>#N/A</v>
      </c>
      <c r="L114" s="458" t="e">
        <f t="shared" si="15"/>
        <v>#N/A</v>
      </c>
    </row>
    <row r="115" spans="1:12">
      <c r="A115" t="s">
        <v>658</v>
      </c>
      <c r="B115" t="s">
        <v>248</v>
      </c>
      <c r="H115">
        <v>5.3</v>
      </c>
      <c r="I115" s="459">
        <v>1</v>
      </c>
      <c r="J115" s="458">
        <f t="shared" si="14"/>
        <v>5.3</v>
      </c>
      <c r="K115" s="458" t="e">
        <v>#N/A</v>
      </c>
      <c r="L115" s="458" t="e">
        <f t="shared" si="15"/>
        <v>#N/A</v>
      </c>
    </row>
    <row r="116" spans="1:12">
      <c r="I116" s="459">
        <v>1</v>
      </c>
      <c r="J116" s="458">
        <f t="shared" si="14"/>
        <v>0</v>
      </c>
      <c r="K116" s="458" t="e">
        <v>#DIV/0!</v>
      </c>
      <c r="L116" s="458" t="e">
        <f t="shared" si="15"/>
        <v>#DIV/0!</v>
      </c>
    </row>
    <row r="117" spans="1:12">
      <c r="A117" t="s">
        <v>9</v>
      </c>
      <c r="B117" t="s">
        <v>845</v>
      </c>
      <c r="H117" s="475">
        <f>37.4*0.98</f>
        <v>36.652000000000001</v>
      </c>
      <c r="I117" s="459">
        <v>1</v>
      </c>
      <c r="J117" s="458">
        <f t="shared" si="14"/>
        <v>36.652000000000001</v>
      </c>
      <c r="K117" s="458">
        <v>1.5643314500941619</v>
      </c>
      <c r="L117" s="458">
        <f t="shared" si="15"/>
        <v>57.335876308851219</v>
      </c>
    </row>
    <row r="118" spans="1:12">
      <c r="I118" s="459">
        <v>1</v>
      </c>
      <c r="J118" s="458">
        <f t="shared" si="14"/>
        <v>0</v>
      </c>
      <c r="K118" s="458" t="e">
        <v>#DIV/0!</v>
      </c>
      <c r="L118" s="458" t="e">
        <f t="shared" si="15"/>
        <v>#DIV/0!</v>
      </c>
    </row>
    <row r="119" spans="1:12">
      <c r="A119" t="s">
        <v>845</v>
      </c>
      <c r="B119" s="469" t="s">
        <v>1840</v>
      </c>
      <c r="H119">
        <f>H117*95%</f>
        <v>34.819400000000002</v>
      </c>
      <c r="I119" s="459">
        <v>1</v>
      </c>
      <c r="J119" s="458">
        <f t="shared" si="14"/>
        <v>34.819400000000002</v>
      </c>
      <c r="K119" s="458">
        <v>1.1569113716803505</v>
      </c>
      <c r="L119" s="458">
        <f t="shared" si="15"/>
        <v>40.282959815086798</v>
      </c>
    </row>
  </sheetData>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EA126-03A0-4A6F-BA73-8FE98C8BCCE0}">
  <dimension ref="B1:S18"/>
  <sheetViews>
    <sheetView workbookViewId="0">
      <selection activeCell="I2" sqref="I2"/>
    </sheetView>
  </sheetViews>
  <sheetFormatPr baseColWidth="10" defaultColWidth="8.83203125" defaultRowHeight="15"/>
  <cols>
    <col min="2" max="2" width="14.5" customWidth="1"/>
    <col min="18" max="18" width="14.5" customWidth="1"/>
  </cols>
  <sheetData>
    <row r="1" spans="2:19">
      <c r="B1">
        <v>2020</v>
      </c>
      <c r="C1">
        <v>2050</v>
      </c>
      <c r="I1">
        <v>2020</v>
      </c>
      <c r="J1">
        <v>2050</v>
      </c>
      <c r="L1">
        <v>2020</v>
      </c>
      <c r="M1">
        <v>2050</v>
      </c>
      <c r="O1">
        <v>2020</v>
      </c>
      <c r="P1">
        <v>2050</v>
      </c>
      <c r="R1">
        <v>2020</v>
      </c>
      <c r="S1">
        <v>2050</v>
      </c>
    </row>
    <row r="2" spans="2:19">
      <c r="B2" t="s">
        <v>1846</v>
      </c>
      <c r="C2" t="s">
        <v>1847</v>
      </c>
      <c r="I2">
        <f>'Ethylene Recycling HC'!C45*'Ethylene Recycling HC'!C67</f>
        <v>5.1856182039383869</v>
      </c>
      <c r="J2">
        <f>'Ethylene Recycling HC'!AG45*'Ethylene Recycling HC'!AG67</f>
        <v>40.653531774038527</v>
      </c>
      <c r="L2">
        <f>'Propylene Recycling HC'!C45*'Propylene Recycling HC'!C63</f>
        <v>0.9024309249455934</v>
      </c>
      <c r="M2">
        <f>'Propylene Recycling HC'!AG45*'Propylene Recycling HC'!AG63</f>
        <v>13.467582451863505</v>
      </c>
      <c r="O2">
        <f>I2+L2</f>
        <v>6.0880491288839806</v>
      </c>
      <c r="P2">
        <f>J2+M2</f>
        <v>54.121114225902033</v>
      </c>
      <c r="R2" t="s">
        <v>1848</v>
      </c>
      <c r="S2" t="s">
        <v>1849</v>
      </c>
    </row>
    <row r="3" spans="2:19">
      <c r="B3" t="s">
        <v>1850</v>
      </c>
      <c r="C3" t="s">
        <v>1851</v>
      </c>
      <c r="I3">
        <f>'Ethylene Recycling HC'!C45*'Ethylene Recycling HC'!C73</f>
        <v>6.6928339575582632</v>
      </c>
      <c r="J3">
        <f>'Ethylene Recycling HC'!AG45*'Ethylene Recycling HC'!AG73</f>
        <v>37.480391418847439</v>
      </c>
      <c r="L3">
        <f>'Propylene Recycling HC'!C45*'Propylene Recycling HC'!C67</f>
        <v>1.4592500062950025</v>
      </c>
      <c r="M3">
        <f>'Propylene Recycling HC'!AG45*'Propylene Recycling HC'!AG67</f>
        <v>14.118904972583978</v>
      </c>
      <c r="O3">
        <f t="shared" ref="O3:O18" si="0">I3+L3</f>
        <v>8.1520839638532649</v>
      </c>
      <c r="P3">
        <f t="shared" ref="P3:P18" si="1">J3+M3</f>
        <v>51.599296391431416</v>
      </c>
      <c r="R3" t="s">
        <v>1852</v>
      </c>
      <c r="S3" t="s">
        <v>1853</v>
      </c>
    </row>
    <row r="4" spans="2:19">
      <c r="B4" t="s">
        <v>1854</v>
      </c>
      <c r="C4" t="s">
        <v>1855</v>
      </c>
      <c r="I4">
        <f>'Ethylene Recycling HC'!C70*'Ethylene Recycling HC'!C45</f>
        <v>1.205373589929996</v>
      </c>
      <c r="J4">
        <f>'Ethylene Recycling HC'!AG70*'Ethylene Recycling HC'!AG45</f>
        <v>2.6637267396038453</v>
      </c>
      <c r="L4">
        <v>0</v>
      </c>
      <c r="M4">
        <v>0</v>
      </c>
      <c r="O4">
        <f t="shared" si="0"/>
        <v>1.205373589929996</v>
      </c>
      <c r="P4">
        <f t="shared" si="1"/>
        <v>2.6637267396038453</v>
      </c>
      <c r="R4" t="s">
        <v>1854</v>
      </c>
      <c r="S4" t="s">
        <v>1855</v>
      </c>
    </row>
    <row r="5" spans="2:19">
      <c r="B5" t="s">
        <v>1856</v>
      </c>
      <c r="C5" t="s">
        <v>1857</v>
      </c>
      <c r="I5">
        <f>'Ethylene Recycling HC'!C71*'Ethylene Recycling HC'!C45</f>
        <v>1.4455793898150646</v>
      </c>
      <c r="J5">
        <f>'Ethylene Recycling HC'!AG71*'Ethylene Recycling HC'!AG45</f>
        <v>7.3474278161521234</v>
      </c>
      <c r="L5">
        <f>'Propylene Recycling HC'!C66*'Propylene Recycling HC'!C45</f>
        <v>0.36481250157375061</v>
      </c>
      <c r="M5">
        <f>'Propylene Recycling HC'!AG66*'Propylene Recycling HC'!AG45</f>
        <v>3.5297262431459946</v>
      </c>
      <c r="O5">
        <f t="shared" si="0"/>
        <v>1.8103918913888153</v>
      </c>
      <c r="P5">
        <f t="shared" si="1"/>
        <v>10.877154059298118</v>
      </c>
      <c r="R5" t="s">
        <v>1858</v>
      </c>
      <c r="S5" t="s">
        <v>1859</v>
      </c>
    </row>
    <row r="6" spans="2:19">
      <c r="O6">
        <f t="shared" si="0"/>
        <v>0</v>
      </c>
      <c r="P6">
        <f t="shared" si="1"/>
        <v>0</v>
      </c>
    </row>
    <row r="7" spans="2:19">
      <c r="B7" t="s">
        <v>1860</v>
      </c>
      <c r="C7" t="s">
        <v>1861</v>
      </c>
      <c r="I7">
        <f>'Ethylene Recycling HC'!C46*'Ethylene Recycling HC'!C107</f>
        <v>5.464110500180247E-2</v>
      </c>
      <c r="J7">
        <f>'Ethylene Recycling HC'!AG46*'Ethylene Recycling HC'!AG107</f>
        <v>1.6242422951129007</v>
      </c>
      <c r="L7">
        <f>'Propylene Recycling HC'!C46*'Propylene Recycling HC'!C87</f>
        <v>2.3979186750311469E-2</v>
      </c>
      <c r="M7">
        <f>'Propylene Recycling HC'!AG46*'Propylene Recycling HC'!AG87</f>
        <v>6.7442489856083192</v>
      </c>
      <c r="O7">
        <f t="shared" si="0"/>
        <v>7.8620291752113936E-2</v>
      </c>
      <c r="P7">
        <f t="shared" si="1"/>
        <v>8.3684912807212193</v>
      </c>
      <c r="R7" t="s">
        <v>1860</v>
      </c>
      <c r="S7" t="s">
        <v>1862</v>
      </c>
    </row>
    <row r="8" spans="2:19">
      <c r="B8" t="s">
        <v>1863</v>
      </c>
      <c r="C8" t="s">
        <v>1863</v>
      </c>
      <c r="I8">
        <f>'Ethylene Recycling HC'!C47*'Ethylene Recycling HC'!C119</f>
        <v>1.587728533651675E-2</v>
      </c>
      <c r="J8">
        <f>'Ethylene Recycling HC'!AG47*'Ethylene Recycling HC'!AG119</f>
        <v>9.679298752403212E-2</v>
      </c>
      <c r="L8">
        <f>'Propylene Recycling HC'!C47*'Propylene Recycling HC'!C90</f>
        <v>8.387992979705142E-3</v>
      </c>
      <c r="M8">
        <f>'Propylene Recycling HC'!AG47*'Propylene Recycling HC'!AG90</f>
        <v>4.8383079461513823E-2</v>
      </c>
      <c r="O8">
        <f t="shared" si="0"/>
        <v>2.426527831622189E-2</v>
      </c>
      <c r="P8">
        <f t="shared" si="1"/>
        <v>0.14517606698554594</v>
      </c>
      <c r="R8" t="s">
        <v>1863</v>
      </c>
      <c r="S8" t="s">
        <v>1863</v>
      </c>
    </row>
    <row r="9" spans="2:19">
      <c r="B9" t="s">
        <v>1864</v>
      </c>
      <c r="C9" t="s">
        <v>1865</v>
      </c>
      <c r="I9">
        <f>'Ethylene Recycling HC'!C47*'Ethylene Recycling HC'!C118</f>
        <v>6.8801569791572578E-2</v>
      </c>
      <c r="J9">
        <f>'Ethylene Recycling HC'!AG47*'Ethylene Recycling HC'!AG118</f>
        <v>0.41943627927080596</v>
      </c>
      <c r="L9">
        <f>'Propylene Recycling HC'!C47*'Propylene Recycling HC'!C89</f>
        <v>3.6347969578722286E-2</v>
      </c>
      <c r="M9">
        <f>'Propylene Recycling HC'!AG47*'Propylene Recycling HC'!AG89</f>
        <v>0.20966001099989326</v>
      </c>
      <c r="O9">
        <f t="shared" si="0"/>
        <v>0.10514953937029486</v>
      </c>
      <c r="P9">
        <f t="shared" si="1"/>
        <v>0.62909629027069924</v>
      </c>
      <c r="R9" t="s">
        <v>1864</v>
      </c>
      <c r="S9" t="s">
        <v>1866</v>
      </c>
    </row>
    <row r="10" spans="2:19">
      <c r="B10" t="s">
        <v>1867</v>
      </c>
      <c r="C10" t="s">
        <v>1868</v>
      </c>
      <c r="I10">
        <f>'Ethylene Recycling HC'!C47*'Ethylene Recycling HC'!C120</f>
        <v>4.763185600955025E-2</v>
      </c>
      <c r="J10">
        <f>'Ethylene Recycling HC'!AG47*'Ethylene Recycling HC'!AG120</f>
        <v>0.29037896257209639</v>
      </c>
      <c r="L10">
        <f>'Propylene Recycling HC'!C47*'Propylene Recycling HC'!C91</f>
        <v>2.5163978939115428E-2</v>
      </c>
      <c r="M10">
        <f>'Propylene Recycling HC'!AG47*'Propylene Recycling HC'!AG91</f>
        <v>0.1451492383845415</v>
      </c>
      <c r="O10">
        <f t="shared" si="0"/>
        <v>7.2795834948665677E-2</v>
      </c>
      <c r="P10">
        <f t="shared" si="1"/>
        <v>0.43552820095663791</v>
      </c>
      <c r="R10" t="s">
        <v>1867</v>
      </c>
      <c r="S10" t="s">
        <v>1868</v>
      </c>
    </row>
    <row r="11" spans="2:19">
      <c r="O11">
        <f t="shared" si="0"/>
        <v>0</v>
      </c>
      <c r="P11">
        <f t="shared" si="1"/>
        <v>0</v>
      </c>
    </row>
    <row r="12" spans="2:19">
      <c r="B12" t="s">
        <v>1869</v>
      </c>
      <c r="C12" t="s">
        <v>1870</v>
      </c>
      <c r="I12">
        <f>'Ethylene Recycling HC'!C48*'Ethylene Recycling HC'!C159</f>
        <v>3.0576426161855401E-2</v>
      </c>
      <c r="J12">
        <f>'Ethylene Recycling HC'!AG48*'Ethylene Recycling HC'!AG159</f>
        <v>1.1242876340964965</v>
      </c>
      <c r="L12">
        <v>0</v>
      </c>
      <c r="M12">
        <v>0</v>
      </c>
      <c r="O12">
        <f t="shared" si="0"/>
        <v>3.0576426161855401E-2</v>
      </c>
      <c r="P12">
        <f t="shared" si="1"/>
        <v>1.1242876340964965</v>
      </c>
      <c r="R12" t="s">
        <v>1869</v>
      </c>
      <c r="S12" t="s">
        <v>1870</v>
      </c>
    </row>
    <row r="13" spans="2:19">
      <c r="B13" t="s">
        <v>1871</v>
      </c>
      <c r="C13" t="s">
        <v>1871</v>
      </c>
      <c r="I13">
        <f>'Ethylene Recycling HC'!C48*'Ethylene Recycling HC'!C166</f>
        <v>0.29047604853762626</v>
      </c>
      <c r="J13">
        <f>'Ethylene Recycling HC'!AG48*'Ethylene Recycling HC'!AG166</f>
        <v>1.3116689064459126</v>
      </c>
      <c r="L13">
        <v>0</v>
      </c>
      <c r="M13">
        <v>0</v>
      </c>
      <c r="O13">
        <f t="shared" si="0"/>
        <v>0.29047604853762626</v>
      </c>
      <c r="P13">
        <f t="shared" si="1"/>
        <v>1.3116689064459126</v>
      </c>
      <c r="R13" t="s">
        <v>1871</v>
      </c>
      <c r="S13" t="s">
        <v>1872</v>
      </c>
    </row>
    <row r="14" spans="2:19">
      <c r="B14" t="s">
        <v>1873</v>
      </c>
      <c r="C14" t="s">
        <v>1874</v>
      </c>
      <c r="I14">
        <f>'Ethylene Recycling HC'!C48*'Ethylene Recycling HC'!C167</f>
        <v>0.29047604853762626</v>
      </c>
      <c r="J14">
        <f>'Ethylene Recycling HC'!AG48*'Ethylene Recycling HC'!AG167</f>
        <v>1.3116689064459126</v>
      </c>
      <c r="L14">
        <v>0</v>
      </c>
      <c r="M14">
        <v>0</v>
      </c>
      <c r="O14">
        <f t="shared" si="0"/>
        <v>0.29047604853762626</v>
      </c>
      <c r="P14">
        <f t="shared" si="1"/>
        <v>1.3116689064459126</v>
      </c>
      <c r="R14" t="s">
        <v>1873</v>
      </c>
      <c r="S14" t="s">
        <v>1875</v>
      </c>
    </row>
    <row r="15" spans="2:19">
      <c r="O15">
        <f t="shared" si="0"/>
        <v>0</v>
      </c>
      <c r="P15">
        <f t="shared" si="1"/>
        <v>0</v>
      </c>
    </row>
    <row r="16" spans="2:19">
      <c r="B16" t="s">
        <v>1876</v>
      </c>
      <c r="C16" t="s">
        <v>1877</v>
      </c>
      <c r="I16">
        <f>'Ethylene Recycling HC'!C209*'Ethylene Recycling HC'!C49</f>
        <v>1.4045884056601052</v>
      </c>
      <c r="J16">
        <f>'Ethylene Recycling HC'!AG209*'Ethylene Recycling HC'!AG49</f>
        <v>8.952037220899717</v>
      </c>
      <c r="L16">
        <f>'Propylene Recycling HC'!C114*'Propylene Recycling HC'!C49</f>
        <v>1.7810258612810881</v>
      </c>
      <c r="M16">
        <f>'Propylene Recycling HC'!AG114*'Propylene Recycling HC'!AG49</f>
        <v>11.351232672378689</v>
      </c>
      <c r="O16">
        <f t="shared" si="0"/>
        <v>3.1856142669411933</v>
      </c>
      <c r="P16">
        <f t="shared" si="1"/>
        <v>20.303269893278404</v>
      </c>
      <c r="R16" t="s">
        <v>1878</v>
      </c>
      <c r="S16" t="s">
        <v>1879</v>
      </c>
    </row>
    <row r="17" spans="2:19">
      <c r="O17">
        <f t="shared" si="0"/>
        <v>0</v>
      </c>
      <c r="P17">
        <f t="shared" si="1"/>
        <v>0</v>
      </c>
    </row>
    <row r="18" spans="2:19">
      <c r="B18" t="s">
        <v>1880</v>
      </c>
      <c r="C18" t="s">
        <v>1881</v>
      </c>
      <c r="I18">
        <f>'Ethylene Recycling HC'!C199*'Ethylene Recycling HC'!C47</f>
        <v>0.11192716725632186</v>
      </c>
      <c r="J18">
        <f>'Ethylene Recycling HC'!AG199*'Ethylene Recycling HC'!AG47</f>
        <v>5.0413014335433415</v>
      </c>
      <c r="L18">
        <f>'Propylene Recycling HC'!C111*'Propylene Recycling HC'!C47</f>
        <v>1.5366689721754976E-2</v>
      </c>
      <c r="M18">
        <f>'Propylene Recycling HC'!AG111*'Propylene Recycling HC'!AG47</f>
        <v>1.6660840034956554</v>
      </c>
      <c r="O18">
        <f t="shared" si="0"/>
        <v>0.12729385697807682</v>
      </c>
      <c r="P18">
        <f t="shared" si="1"/>
        <v>6.7073854370389974</v>
      </c>
      <c r="R18" t="s">
        <v>1880</v>
      </c>
      <c r="S18" t="s">
        <v>1882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FAD42453072142B8ED04CA36838DF4" ma:contentTypeVersion="" ma:contentTypeDescription="Create a new document." ma:contentTypeScope="" ma:versionID="66ded517128d15965bf4810a51ae728a">
  <xsd:schema xmlns:xsd="http://www.w3.org/2001/XMLSchema" xmlns:xs="http://www.w3.org/2001/XMLSchema" xmlns:p="http://schemas.microsoft.com/office/2006/metadata/properties" xmlns:ns2="4ba20efe-f5fd-4091-9ff3-e4fb4b8c4e00" xmlns:ns3="f6f44a7d-d6f5-4042-8792-19cb5f90fb06" targetNamespace="http://schemas.microsoft.com/office/2006/metadata/properties" ma:root="true" ma:fieldsID="a895659a4ed1a5d6eda6357258287c2b" ns2:_="" ns3:_="">
    <xsd:import namespace="4ba20efe-f5fd-4091-9ff3-e4fb4b8c4e00"/>
    <xsd:import namespace="f6f44a7d-d6f5-4042-8792-19cb5f90fb0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a20efe-f5fd-4091-9ff3-e4fb4b8c4e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fd27762-0251-4a48-b483-e1f79c0a654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6f44a7d-d6f5-4042-8792-19cb5f90fb0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f1cb957-661d-4683-93b6-7eb55a432899}" ma:internalName="TaxCatchAll" ma:showField="CatchAllData" ma:web="f6f44a7d-d6f5-4042-8792-19cb5f90fb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f6f44a7d-d6f5-4042-8792-19cb5f90fb06">
      <UserInfo>
        <DisplayName>Kash Burchett</DisplayName>
        <AccountId>21974</AccountId>
        <AccountType/>
      </UserInfo>
      <UserInfo>
        <DisplayName>Andreas Wagner</DisplayName>
        <AccountId>19464</AccountId>
        <AccountType/>
      </UserInfo>
      <UserInfo>
        <DisplayName>Jane Leung</DisplayName>
        <AccountId>27396</AccountId>
        <AccountType/>
      </UserInfo>
    </SharedWithUsers>
    <lcf76f155ced4ddcb4097134ff3c332f xmlns="4ba20efe-f5fd-4091-9ff3-e4fb4b8c4e00">
      <Terms xmlns="http://schemas.microsoft.com/office/infopath/2007/PartnerControls"/>
    </lcf76f155ced4ddcb4097134ff3c332f>
    <TaxCatchAll xmlns="f6f44a7d-d6f5-4042-8792-19cb5f90fb06" xsi:nil="true"/>
  </documentManagement>
</p:properties>
</file>

<file path=customXml/itemProps1.xml><?xml version="1.0" encoding="utf-8"?>
<ds:datastoreItem xmlns:ds="http://schemas.openxmlformats.org/officeDocument/2006/customXml" ds:itemID="{3E687C9C-C7FE-40C1-A127-99508767EC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a20efe-f5fd-4091-9ff3-e4fb4b8c4e00"/>
    <ds:schemaRef ds:uri="f6f44a7d-d6f5-4042-8792-19cb5f90fb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E6D6CB-A07B-439B-94F4-5C90E1571D16}">
  <ds:schemaRefs>
    <ds:schemaRef ds:uri="http://schemas.microsoft.com/sharepoint/v3/contenttype/forms"/>
  </ds:schemaRefs>
</ds:datastoreItem>
</file>

<file path=customXml/itemProps3.xml><?xml version="1.0" encoding="utf-8"?>
<ds:datastoreItem xmlns:ds="http://schemas.openxmlformats.org/officeDocument/2006/customXml" ds:itemID="{DF9FECC7-D2ED-472E-B237-E3E1DE764B06}">
  <ds:schemaRefs>
    <ds:schemaRef ds:uri="http://purl.org/dc/terms/"/>
    <ds:schemaRef ds:uri="http://schemas.microsoft.com/office/2006/metadata/properties"/>
    <ds:schemaRef ds:uri="http://purl.org/dc/dcmitype/"/>
    <ds:schemaRef ds:uri="4ba20efe-f5fd-4091-9ff3-e4fb4b8c4e00"/>
    <ds:schemaRef ds:uri="http://schemas.microsoft.com/office/infopath/2007/PartnerControls"/>
    <ds:schemaRef ds:uri="http://schemas.microsoft.com/office/2006/documentManagement/types"/>
    <ds:schemaRef ds:uri="f6f44a7d-d6f5-4042-8792-19cb5f90fb06"/>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54</vt:i4>
      </vt:variant>
    </vt:vector>
  </HeadingPairs>
  <TitlesOfParts>
    <vt:vector size="54" baseType="lpstr">
      <vt:lpstr>COVER SHEET</vt:lpstr>
      <vt:lpstr>Sankey</vt:lpstr>
      <vt:lpstr>Final Exhibits</vt:lpstr>
      <vt:lpstr>Job + CO2 Analysis</vt:lpstr>
      <vt:lpstr>Yearly Summary</vt:lpstr>
      <vt:lpstr>Ammonia</vt:lpstr>
      <vt:lpstr>Side calc.</vt:lpstr>
      <vt:lpstr>Yearly BTX</vt:lpstr>
      <vt:lpstr>Yearly Butadiene</vt:lpstr>
      <vt:lpstr>Yearly Methanol</vt:lpstr>
      <vt:lpstr>Yearly HC Ethylene</vt:lpstr>
      <vt:lpstr>Yearly LC Ethylene</vt:lpstr>
      <vt:lpstr>Yearly HC Propylene</vt:lpstr>
      <vt:lpstr>Yearly LC Propylene</vt:lpstr>
      <vt:lpstr>Scope 3 summary</vt:lpstr>
      <vt:lpstr>Scope 3 Yearly</vt:lpstr>
      <vt:lpstr>Per Capita Plastic</vt:lpstr>
      <vt:lpstr>Yearly Demand - Eth&amp;Prop</vt:lpstr>
      <vt:lpstr>Yearly Demand - Methanol</vt:lpstr>
      <vt:lpstr>Propylene</vt:lpstr>
      <vt:lpstr>Ethylene</vt:lpstr>
      <vt:lpstr>Yearly Demand - BTX</vt:lpstr>
      <vt:lpstr>Yearly Demand - C4</vt:lpstr>
      <vt:lpstr>Demand Breakdown - Ethylene</vt:lpstr>
      <vt:lpstr>Demand Breakdown - Propylene</vt:lpstr>
      <vt:lpstr>Demand Breakdown - Methanol</vt:lpstr>
      <vt:lpstr>Demand Breakdown - C4</vt:lpstr>
      <vt:lpstr>Demand Breakdown - BTX</vt:lpstr>
      <vt:lpstr>Demand - Solar</vt:lpstr>
      <vt:lpstr>Demand - Wind</vt:lpstr>
      <vt:lpstr>Demand - Industry shares</vt:lpstr>
      <vt:lpstr>R&amp;S - Packaging and hh goods</vt:lpstr>
      <vt:lpstr>R&amp;S - Transportation</vt:lpstr>
      <vt:lpstr>R&amp;S - Buildings</vt:lpstr>
      <vt:lpstr>R&amp;S - Apparel</vt:lpstr>
      <vt:lpstr>R&amp;S - Others</vt:lpstr>
      <vt:lpstr>Ethylene Recycling LC</vt:lpstr>
      <vt:lpstr>Ethylene Recycling HC</vt:lpstr>
      <vt:lpstr>Propylene Recycling LC</vt:lpstr>
      <vt:lpstr>Propylene Recycling HC</vt:lpstr>
      <vt:lpstr>Methanol Recycling LC</vt:lpstr>
      <vt:lpstr>Methanol Recycling HC</vt:lpstr>
      <vt:lpstr>BTX Recycling LC</vt:lpstr>
      <vt:lpstr>BTX Recycling HC</vt:lpstr>
      <vt:lpstr>Butadiene Recycling LC</vt:lpstr>
      <vt:lpstr>Butadiene Recycling HC</vt:lpstr>
      <vt:lpstr>Overall recycling rates</vt:lpstr>
      <vt:lpstr>BTX recycling rates</vt:lpstr>
      <vt:lpstr>Methanol recycling rates</vt:lpstr>
      <vt:lpstr>Ethylene recycling rates</vt:lpstr>
      <vt:lpstr>Waste gen. - Industry shares</vt:lpstr>
      <vt:lpstr>Sankey Ethylene</vt:lpstr>
      <vt:lpstr>Sankey Methanol_detailed</vt:lpstr>
      <vt:lpstr>Sankey recycling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Kash Burchett</dc:creator>
  <cp:keywords/>
  <dc:description/>
  <cp:lastModifiedBy>Jenny Hawkin</cp:lastModifiedBy>
  <cp:revision/>
  <dcterms:created xsi:type="dcterms:W3CDTF">2021-07-13T09:35:38Z</dcterms:created>
  <dcterms:modified xsi:type="dcterms:W3CDTF">2026-06-03T13:32:48Z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0x010100A1FAD42453072142B8ED04CA36838DF4</vt:lpwstr>
  </property>
  <property fmtid="{D5CDD505-2E9C-101B-9397-08002B2CF9AE}" pid="3" name="MediaServiceImageTags">
    <vt:lpwstr/>
  </property>
</Properties>
</file>